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drawings/drawing17.xml" ContentType="application/vnd.openxmlformats-officedocument.drawingml.chartshapes+xml"/>
  <Override PartName="/xl/drawings/drawing70.xml" ContentType="application/vnd.openxmlformats-officedocument.drawingml.chartshapes+xml"/>
  <Override PartName="/xl/drawings/drawing62.xml" ContentType="application/vnd.openxmlformats-officedocument.drawingml.chartshapes+xml"/>
  <Override PartName="/xl/drawings/drawing35.xml" ContentType="application/vnd.openxmlformats-officedocument.drawingml.chartshapes+xml"/>
  <Override PartName="/xl/drawings/drawing57.xml" ContentType="application/vnd.openxmlformats-officedocument.drawingml.chartshapes+xml"/>
  <Override PartName="/xl/drawings/drawing29.xml" ContentType="application/vnd.openxmlformats-officedocument.drawingml.chartshapes+xml"/>
  <Override PartName="/xl/drawings/drawing5.xml" ContentType="application/vnd.openxmlformats-officedocument.drawingml.chartshapes+xml"/>
  <Override PartName="/xl/drawings/drawing19.xml" ContentType="application/vnd.openxmlformats-officedocument.drawingml.chartshapes+xml"/>
  <Override PartName="/xl/drawings/drawing69.xml" ContentType="application/vnd.openxmlformats-officedocument.drawingml.chartshapes+xml"/>
  <Override PartName="/xl/drawings/drawing61.xml" ContentType="application/vnd.openxmlformats-officedocument.drawingml.chartshapes+xml"/>
  <Override PartName="/xl/drawings/drawing48.xml" ContentType="application/vnd.openxmlformats-officedocument.drawingml.chartshapes+xml"/>
  <Override PartName="/xl/drawings/drawing40.xml" ContentType="application/vnd.openxmlformats-officedocument.drawingml.chartshapes+xml"/>
  <Override PartName="/xl/drawings/drawing7.xml" ContentType="application/vnd.openxmlformats-officedocument.drawingml.chartshapes+xml"/>
  <Override PartName="/xl/drawings/drawing71.xml" ContentType="application/vnd.openxmlformats-officedocument.drawingml.chartshapes+xml"/>
  <Override PartName="/xl/drawings/drawing43.xml" ContentType="application/vnd.openxmlformats-officedocument.drawingml.chartshapes+xml"/>
  <Override PartName="/xl/drawings/drawing68.xml" ContentType="application/vnd.openxmlformats-officedocument.drawingml.chartshapes+xml"/>
  <Override PartName="/xl/drawings/drawing49.xml" ContentType="application/vnd.openxmlformats-officedocument.drawingml.chartshapes+xml"/>
  <Override PartName="/xl/drawings/drawing9.xml" ContentType="application/vnd.openxmlformats-officedocument.drawingml.chartshapes+xml"/>
  <Override PartName="/xl/drawings/drawing21.xml" ContentType="application/vnd.openxmlformats-officedocument.drawingml.chartshapes+xml"/>
  <Override PartName="/xl/drawings/drawing37.xml" ContentType="application/vnd.openxmlformats-officedocument.drawingml.chartshapes+xml"/>
  <Override PartName="/xl/drawings/drawing53.xml" ContentType="application/vnd.openxmlformats-officedocument.drawingml.chartshapes+xml"/>
  <Override PartName="/xl/drawings/drawing23.xml" ContentType="application/vnd.openxmlformats-officedocument.drawingml.chartshapes+xml"/>
  <Override PartName="/xl/drawings/drawing11.xml" ContentType="application/vnd.openxmlformats-officedocument.drawingml.chartshapes+xml"/>
  <Override PartName="/xl/drawings/drawing31.xml" ContentType="application/vnd.openxmlformats-officedocument.drawingml.chartshapes+xml"/>
  <Override PartName="/xl/drawings/drawing66.xml" ContentType="application/vnd.openxmlformats-officedocument.drawingml.chartshapes+xml"/>
  <Override PartName="/xl/drawings/drawing41.xml" ContentType="application/vnd.openxmlformats-officedocument.drawingml.chartshapes+xml"/>
  <Override PartName="/xl/drawings/drawing55.xml" ContentType="application/vnd.openxmlformats-officedocument.drawingml.chartshapes+xml"/>
  <Override PartName="/xl/drawings/drawing33.xml" ContentType="application/vnd.openxmlformats-officedocument.drawingml.chartshapes+xml"/>
  <Override PartName="/xl/drawings/drawing13.xml" ContentType="application/vnd.openxmlformats-officedocument.drawingml.chartshapes+xml"/>
  <Override PartName="/xl/drawings/drawing74.xml" ContentType="application/vnd.openxmlformats-officedocument.drawingml.chartshapes+xml"/>
  <Override PartName="/xl/drawings/drawing59.xml" ContentType="application/vnd.openxmlformats-officedocument.drawingml.chartshapes+xml"/>
  <Override PartName="/xl/drawings/drawing25.xml" ContentType="application/vnd.openxmlformats-officedocument.drawingml.chartshapes+xml"/>
  <Override PartName="/xl/drawings/drawing64.xml" ContentType="application/vnd.openxmlformats-officedocument.drawingml.chartshapes+xml"/>
  <Override PartName="/xl/drawings/drawing38.xml" ContentType="application/vnd.openxmlformats-officedocument.drawingml.chartshapes+xml"/>
  <Override PartName="/xl/drawings/drawing15.xml" ContentType="application/vnd.openxmlformats-officedocument.drawingml.chartshapes+xml"/>
  <Override PartName="/xl/drawings/drawing72.xml" ContentType="application/vnd.openxmlformats-officedocument.drawingml.chartshapes+xml"/>
  <Override PartName="/xl/drawings/drawing51.xml" ContentType="application/vnd.openxmlformats-officedocument.drawingml.chartshapes+xml"/>
  <Override PartName="/xl/drawings/drawing2.xml" ContentType="application/vnd.openxmlformats-officedocument.drawingml.chartshapes+xml"/>
  <Override PartName="/xl/drawings/drawing44.xml" ContentType="application/vnd.openxmlformats-officedocument.drawingml.chartshapes+xml"/>
  <Override PartName="/xl/drawings/drawing46.xml" ContentType="application/vnd.openxmlformats-officedocument.drawingml.chartshapes+xml"/>
  <Override PartName="/xl/drawings/drawing27.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8.xml" ContentType="application/vnd.openxmlformats-officedocument.drawing+xml"/>
  <Override PartName="/xl/charts/chart14.xml" ContentType="application/vnd.openxmlformats-officedocument.drawingml.chart+xml"/>
  <Override PartName="/xl/drawings/drawing30.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2.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4.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6.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9.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2.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5.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xml" ContentType="application/vnd.openxmlformats-officedocument.themeOverride+xml"/>
  <Override PartName="/xl/drawings/drawing47.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0.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2.xml" ContentType="application/vnd.openxmlformats-officedocument.drawing+xml"/>
  <Override PartName="/xl/charts/chart28.xml" ContentType="application/vnd.openxmlformats-officedocument.drawingml.chart+xml"/>
  <Override PartName="/xl/worksheets/sheet57.xml" ContentType="application/vnd.openxmlformats-officedocument.spreadsheetml.worksheet+xml"/>
  <Override PartName="/xl/charts/colors27.xml" ContentType="application/vnd.ms-office.chartcolorstyle+xml"/>
  <Override PartName="/xl/drawings/drawing54.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6.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8.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0.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3.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5.xml" ContentType="application/vnd.openxmlformats-officedocument.drawing+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7.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charts/style27.xml" ContentType="application/vnd.ms-office.chartsty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3.xml" ContentType="application/vnd.openxmlformats-officedocument.drawing+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8"/>
  <workbookPr defaultThemeVersion="166925"/>
  <mc:AlternateContent xmlns:mc="http://schemas.openxmlformats.org/markup-compatibility/2006">
    <mc:Choice Requires="x15">
      <x15ac:absPath xmlns:x15ac="http://schemas.microsoft.com/office/spreadsheetml/2010/11/ac" url="C:\Users\frank-a\Dropbox\Ukraine Solidarity\Release 12\"/>
    </mc:Choice>
  </mc:AlternateContent>
  <xr:revisionPtr revIDLastSave="37" documentId="13_ncr:1_{23B4CDC0-DAB7-4C9A-B4FD-B1FDDE822DA5}" xr6:coauthVersionLast="47" xr6:coauthVersionMax="47" xr10:uidLastSave="{A49A495B-AE65-463F-8674-2EDEDD012C28}"/>
  <bookViews>
    <workbookView xWindow="-108" yWindow="-108" windowWidth="18396" windowHeight="11016" tabRatio="710" xr2:uid="{00000000-000D-0000-FFFF-FFFF00000000}"/>
  </bookViews>
  <sheets>
    <sheet name="ReadMe" sheetId="23" r:id="rId1"/>
    <sheet name="Updates and Corrections" sheetId="40" r:id="rId2"/>
    <sheet name="Bilateral Assistance, MAIN DATA" sheetId="1" r:id="rId3"/>
    <sheet name="Country Summary (€)" sheetId="15" r:id="rId4"/>
    <sheet name="Country Summary ($)" sheetId="174" r:id="rId5"/>
    <sheet name="Aggregates by Country Group" sheetId="48" r:id="rId6"/>
    <sheet name="Fig 1. Transparency Index" sheetId="104" r:id="rId7"/>
    <sheet name="Fig 2. Refugee Number" sheetId="120" r:id="rId8"/>
    <sheet name="Fig 3. Country Groups" sheetId="98" r:id="rId9"/>
    <sheet name="Fig 4. Ranking (€)" sheetId="10" r:id="rId10"/>
    <sheet name="Fig 5. Ranking (%)" sheetId="8" r:id="rId11"/>
    <sheet name="Fig 6. Ranking (€ bn.+ EU)" sheetId="12" r:id="rId12"/>
    <sheet name="Fig 7. With Refugee Support, €" sheetId="39" r:id="rId13"/>
    <sheet name="Fig 8. With Refugee Support, %" sheetId="38" r:id="rId14"/>
    <sheet name="Fig 9. Financial Aid" sheetId="53" r:id="rId15"/>
    <sheet name="Fig 10. Budget Support" sheetId="56" r:id="rId16"/>
    <sheet name="Fig 11. Aid over Time" sheetId="117" r:id="rId17"/>
    <sheet name="Fig 12. Budget supp. over time" sheetId="126" r:id="rId18"/>
    <sheet name="Fig 13. Military Aid" sheetId="36" r:id="rId19"/>
    <sheet name="Fig 14. Heavy Weapon Ranking" sheetId="164" r:id="rId20"/>
    <sheet name="Fig 15. Weapon Stocks UKR RU" sheetId="155" r:id="rId21"/>
    <sheet name="Fig 16. NATO Stocks" sheetId="141" r:id="rId22"/>
    <sheet name="Fig 17. Share of stocks pledged" sheetId="95" r:id="rId23"/>
    <sheet name="Fig 18. Comparison WW2 (weap.)" sheetId="142" r:id="rId24"/>
    <sheet name="Fig 19. Comparison WW2 % GDP" sheetId="166" r:id="rId25"/>
    <sheet name="Fig 20. Comp. with US wars" sheetId="163" r:id="rId26"/>
    <sheet name="Fig 21. Comparison Gulf War" sheetId="153" r:id="rId27"/>
    <sheet name="Fig 22. Comp. European Crises" sheetId="136" r:id="rId28"/>
    <sheet name="Fig 23. Domestic Priorities" sheetId="148" r:id="rId29"/>
    <sheet name="Fig 24. Priorities Germany" sheetId="135" r:id="rId30"/>
    <sheet name="Figure A1. Transparency Index" sheetId="140" r:id="rId31"/>
    <sheet name="Figure A2.  Ranking % GDP + EU" sheetId="32" r:id="rId32"/>
    <sheet name="Figure A3. In-kind over Time" sheetId="128" r:id="rId33"/>
    <sheet name="Figure A4. Heavy Weap over time" sheetId="131" r:id="rId34"/>
    <sheet name="Figure A5. Weapon Delivery" sheetId="156" r:id="rId35"/>
    <sheet name="Figure A6. Tank Unit Ranking" sheetId="173" r:id="rId36"/>
    <sheet name="Figure A7. Milit. vs Financial" sheetId="177" r:id="rId37"/>
    <sheet name="Figure A8. Weapon Deliv Ranking" sheetId="179" r:id="rId38"/>
    <sheet name="Data Transparency Index" sheetId="105" r:id="rId39"/>
    <sheet name="Designated Websites, total sums" sheetId="175" r:id="rId40"/>
    <sheet name="EU Aid Shares" sheetId="41" r:id="rId41"/>
    <sheet name="EIB Aid Shares" sheetId="43" r:id="rId42"/>
    <sheet name="EPF Aid Shares" sheetId="44" r:id="rId43"/>
    <sheet name="Multilateral Assistance" sheetId="5" r:id="rId44"/>
    <sheet name="Commercial Assistance" sheetId="58" r:id="rId45"/>
    <sheet name="Price List, Weapons &amp; Items" sheetId="24" r:id="rId46"/>
    <sheet name="Exchange Rates" sheetId="3" r:id="rId47"/>
    <sheet name="Refugees Recorded" sheetId="168" r:id="rId48"/>
    <sheet name="Refugee Cost Calculations" sheetId="169" r:id="rId49"/>
    <sheet name="Aid over time by type and month" sheetId="178" r:id="rId50"/>
    <sheet name="Commitments per Month" sheetId="109" r:id="rId51"/>
    <sheet name="Comm. per Month (Heavy Weapons)" sheetId="121" r:id="rId52"/>
    <sheet name="In-kind Military per Country" sheetId="64" r:id="rId53"/>
    <sheet name="Heavy Weapon Stocks" sheetId="78" r:id="rId54"/>
    <sheet name="Share, Heavy Weapons to Ukraine" sheetId="92" r:id="rId55"/>
    <sheet name="Comm per Month (Mil in-kind)" sheetId="111" r:id="rId56"/>
    <sheet name="Financial disb per Month (€)" sheetId="167" r:id="rId57"/>
    <sheet name="Table Aid vs Energy" sheetId="137" r:id="rId58"/>
    <sheet name="Table European Crisis" sheetId="139" r:id="rId59"/>
    <sheet name="Historical comparison (data) " sheetId="146" r:id="rId60"/>
    <sheet name="deflator" sheetId="147" r:id="rId61"/>
    <sheet name="Table Gulf War" sheetId="150" r:id="rId62"/>
    <sheet name="Summary of US acts" sheetId="176" r:id="rId63"/>
  </sheets>
  <externalReferences>
    <externalReference r:id="rId64"/>
    <externalReference r:id="rId65"/>
    <externalReference r:id="rId66"/>
    <externalReference r:id="rId67"/>
  </externalReferences>
  <definedNames>
    <definedName name="_xlnm._FilterDatabase" localSheetId="2" hidden="1">'Bilateral Assistance, MAIN DATA'!$A$1:$BT$1</definedName>
    <definedName name="_xlnm._FilterDatabase" localSheetId="44" hidden="1">'Commercial Assistance'!$L$1:$L$1</definedName>
    <definedName name="_xlnm._FilterDatabase" localSheetId="6" hidden="1">'Fig 1. Transparency Index'!$B$11:$C$11</definedName>
    <definedName name="_xlnm._FilterDatabase" localSheetId="15" hidden="1">'Fig 10. Budget Support'!$B$11:$F$11</definedName>
    <definedName name="_xlnm._FilterDatabase" localSheetId="18" hidden="1">'Fig 13. Military Aid'!$B$11:$C$11</definedName>
    <definedName name="_xlnm._FilterDatabase" localSheetId="19" hidden="1">'Fig 14. Heavy Weapon Ranking'!$B$11:$C$11</definedName>
    <definedName name="_xlnm._FilterDatabase" localSheetId="22" hidden="1">'Fig 17. Share of stocks pledged'!$B$11:$N$11</definedName>
    <definedName name="_xlnm._FilterDatabase" localSheetId="24" hidden="1">'Fig 19. Comparison WW2 % GDP'!$F$11:$H$11</definedName>
    <definedName name="_xlnm._FilterDatabase" localSheetId="25" hidden="1">'Fig 20. Comp. with US wars'!$H$11:$I$11</definedName>
    <definedName name="_xlnm._FilterDatabase" localSheetId="9" hidden="1">'Fig 4. Ranking (€)'!$B$11:$F$11</definedName>
    <definedName name="_xlnm._FilterDatabase" localSheetId="10" hidden="1">'Fig 5. Ranking (%)'!$B$11:$C$11</definedName>
    <definedName name="_xlnm._FilterDatabase" localSheetId="11" hidden="1">'Fig 6. Ranking (€ bn.+ EU)'!$B$11:$E$11</definedName>
    <definedName name="_xlnm._FilterDatabase" localSheetId="12" hidden="1">'Fig 7. With Refugee Support, €'!$B$11:$G$11</definedName>
    <definedName name="_xlnm._FilterDatabase" localSheetId="13" hidden="1">'Fig 8. With Refugee Support, %'!$B$11:$E$11</definedName>
    <definedName name="_xlnm._FilterDatabase" localSheetId="14" hidden="1">'Fig 9. Financial Aid'!$B$11:$G$11</definedName>
    <definedName name="_xlnm._FilterDatabase" localSheetId="30" hidden="1">'Figure A1. Transparency Index'!$B$12:$H$12</definedName>
    <definedName name="_xlnm._FilterDatabase" localSheetId="31" hidden="1">'Figure A2.  Ranking % GDP + EU'!$B$11:$E$11</definedName>
    <definedName name="_xlnm._FilterDatabase" localSheetId="35" hidden="1">'Figure A6. Tank Unit Ranking'!$B$11:$E$11</definedName>
    <definedName name="_xlnm._FilterDatabase" localSheetId="37" hidden="1">'Figure A8. Weapon Deliv Ranking'!$C$64:$F$64</definedName>
    <definedName name="_xlnm._FilterDatabase" localSheetId="53" hidden="1">'Heavy Weapon Stocks'!$B$11:$OA$11</definedName>
    <definedName name="_xlnm._FilterDatabase" localSheetId="59" hidden="1">'Historical comparison (data) '!$B$98:$D$98</definedName>
    <definedName name="_xlnm._FilterDatabase" localSheetId="52" hidden="1">'In-kind Military per Country'!$C$19:$F$19</definedName>
    <definedName name="_xlnm._FilterDatabase" localSheetId="45" hidden="1">'Price List, Weapons &amp; Items'!$A$11:$R$605</definedName>
    <definedName name="_xlnm._FilterDatabase" localSheetId="54" hidden="1">'Share, Heavy Weapons to Ukraine'!$B$11:$AF$11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7" i="128" l="1"/>
  <c r="G26" i="128"/>
  <c r="G25" i="128"/>
  <c r="F27" i="128"/>
  <c r="F26" i="128"/>
  <c r="F25" i="128"/>
  <c r="E27" i="128"/>
  <c r="E26" i="128"/>
  <c r="E25" i="128"/>
  <c r="D27" i="128"/>
  <c r="D26" i="128"/>
  <c r="D25" i="128"/>
  <c r="C27" i="128"/>
  <c r="C26" i="128"/>
  <c r="C25" i="128"/>
  <c r="AT106" i="179"/>
  <c r="AI106" i="179"/>
  <c r="X106" i="179"/>
  <c r="M106" i="179"/>
  <c r="B106" i="179"/>
  <c r="AT105" i="179"/>
  <c r="AI105" i="179"/>
  <c r="X105" i="179"/>
  <c r="M105" i="179"/>
  <c r="B105" i="179"/>
  <c r="AT104" i="179"/>
  <c r="AI104" i="179"/>
  <c r="X104" i="179"/>
  <c r="M104" i="179"/>
  <c r="B104" i="179"/>
  <c r="AT103" i="179"/>
  <c r="AI103" i="179"/>
  <c r="X103" i="179"/>
  <c r="M103" i="179"/>
  <c r="B103" i="179"/>
  <c r="AT102" i="179"/>
  <c r="AI102" i="179"/>
  <c r="X102" i="179"/>
  <c r="M102" i="179"/>
  <c r="B102" i="179"/>
  <c r="AT101" i="179"/>
  <c r="AI101" i="179"/>
  <c r="X101" i="179"/>
  <c r="M101" i="179"/>
  <c r="B101" i="179"/>
  <c r="AT100" i="179"/>
  <c r="AI100" i="179"/>
  <c r="X100" i="179"/>
  <c r="M100" i="179"/>
  <c r="B100" i="179"/>
  <c r="AT99" i="179"/>
  <c r="AI99" i="179"/>
  <c r="X99" i="179"/>
  <c r="M99" i="179"/>
  <c r="B99" i="179"/>
  <c r="AX98" i="179"/>
  <c r="AT98" i="179"/>
  <c r="AM98" i="179"/>
  <c r="AI98" i="179"/>
  <c r="AB98" i="179"/>
  <c r="X98" i="179"/>
  <c r="Q98" i="179"/>
  <c r="M98" i="179"/>
  <c r="F98" i="179"/>
  <c r="B98" i="179"/>
  <c r="AX97" i="179"/>
  <c r="AT97" i="179"/>
  <c r="AM97" i="179"/>
  <c r="AI97" i="179"/>
  <c r="AB97" i="179"/>
  <c r="X97" i="179"/>
  <c r="Q97" i="179"/>
  <c r="M97" i="179"/>
  <c r="F97" i="179"/>
  <c r="B97" i="179"/>
  <c r="AX96" i="179"/>
  <c r="AT96" i="179"/>
  <c r="AM96" i="179"/>
  <c r="AI96" i="179"/>
  <c r="AB96" i="179"/>
  <c r="X96" i="179"/>
  <c r="Q96" i="179"/>
  <c r="M96" i="179"/>
  <c r="F96" i="179"/>
  <c r="B96" i="179"/>
  <c r="AX95" i="179"/>
  <c r="AT95" i="179"/>
  <c r="AM95" i="179"/>
  <c r="AI95" i="179"/>
  <c r="AB95" i="179"/>
  <c r="X95" i="179"/>
  <c r="Q95" i="179"/>
  <c r="M95" i="179"/>
  <c r="F95" i="179"/>
  <c r="B95" i="179"/>
  <c r="AX94" i="179"/>
  <c r="AT94" i="179"/>
  <c r="AM94" i="179"/>
  <c r="AI94" i="179"/>
  <c r="AB94" i="179"/>
  <c r="X94" i="179"/>
  <c r="Q94" i="179"/>
  <c r="M94" i="179"/>
  <c r="F94" i="179"/>
  <c r="B94" i="179"/>
  <c r="AT93" i="179"/>
  <c r="AI93" i="179"/>
  <c r="X93" i="179"/>
  <c r="M93" i="179"/>
  <c r="B93" i="179"/>
  <c r="AT92" i="179"/>
  <c r="AI92" i="179"/>
  <c r="X92" i="179"/>
  <c r="M92" i="179"/>
  <c r="B92" i="179"/>
  <c r="AT91" i="179"/>
  <c r="AI91" i="179"/>
  <c r="X91" i="179"/>
  <c r="M91" i="179"/>
  <c r="B91" i="179"/>
  <c r="AT90" i="179"/>
  <c r="AI90" i="179"/>
  <c r="X90" i="179"/>
  <c r="M90" i="179"/>
  <c r="B90" i="179"/>
  <c r="AT89" i="179"/>
  <c r="AI89" i="179"/>
  <c r="X89" i="179"/>
  <c r="M89" i="179"/>
  <c r="B89" i="179"/>
  <c r="AT88" i="179"/>
  <c r="AI88" i="179"/>
  <c r="X88" i="179"/>
  <c r="M88" i="179"/>
  <c r="B88" i="179"/>
  <c r="AT87" i="179"/>
  <c r="AI87" i="179"/>
  <c r="X87" i="179"/>
  <c r="M87" i="179"/>
  <c r="B87" i="179"/>
  <c r="AT86" i="179"/>
  <c r="AI86" i="179"/>
  <c r="X86" i="179"/>
  <c r="M86" i="179"/>
  <c r="B86" i="179"/>
  <c r="AT85" i="179"/>
  <c r="AI85" i="179"/>
  <c r="X85" i="179"/>
  <c r="M85" i="179"/>
  <c r="B85" i="179"/>
  <c r="AT84" i="179"/>
  <c r="AI84" i="179"/>
  <c r="X84" i="179"/>
  <c r="M84" i="179"/>
  <c r="B84" i="179"/>
  <c r="AT83" i="179"/>
  <c r="AI83" i="179"/>
  <c r="X83" i="179"/>
  <c r="M83" i="179"/>
  <c r="B83" i="179"/>
  <c r="AT82" i="179"/>
  <c r="AI82" i="179"/>
  <c r="X82" i="179"/>
  <c r="M82" i="179"/>
  <c r="B82" i="179"/>
  <c r="AT81" i="179"/>
  <c r="AI81" i="179"/>
  <c r="X81" i="179"/>
  <c r="M81" i="179"/>
  <c r="B81" i="179"/>
  <c r="AT80" i="179"/>
  <c r="AI80" i="179"/>
  <c r="X80" i="179"/>
  <c r="M80" i="179"/>
  <c r="B80" i="179"/>
  <c r="AT79" i="179"/>
  <c r="AI79" i="179"/>
  <c r="X79" i="179"/>
  <c r="M79" i="179"/>
  <c r="B79" i="179"/>
  <c r="AT78" i="179"/>
  <c r="AI78" i="179"/>
  <c r="X78" i="179"/>
  <c r="M78" i="179"/>
  <c r="B78" i="179"/>
  <c r="AT77" i="179"/>
  <c r="AI77" i="179"/>
  <c r="X77" i="179"/>
  <c r="M77" i="179"/>
  <c r="B77" i="179"/>
  <c r="AT76" i="179"/>
  <c r="AI76" i="179"/>
  <c r="X76" i="179"/>
  <c r="M76" i="179"/>
  <c r="B76" i="179"/>
  <c r="AT75" i="179"/>
  <c r="AI75" i="179"/>
  <c r="X75" i="179"/>
  <c r="M75" i="179"/>
  <c r="B75" i="179"/>
  <c r="AT74" i="179"/>
  <c r="AI74" i="179"/>
  <c r="X74" i="179"/>
  <c r="M74" i="179"/>
  <c r="B74" i="179"/>
  <c r="AT73" i="179"/>
  <c r="AI73" i="179"/>
  <c r="X73" i="179"/>
  <c r="M73" i="179"/>
  <c r="B73" i="179"/>
  <c r="AT72" i="179"/>
  <c r="AI72" i="179"/>
  <c r="X72" i="179"/>
  <c r="M72" i="179"/>
  <c r="B72" i="179"/>
  <c r="AT71" i="179"/>
  <c r="AI71" i="179"/>
  <c r="X71" i="179"/>
  <c r="M71" i="179"/>
  <c r="B71" i="179"/>
  <c r="AT70" i="179"/>
  <c r="AI70" i="179"/>
  <c r="X70" i="179"/>
  <c r="M70" i="179"/>
  <c r="B70" i="179"/>
  <c r="AT69" i="179"/>
  <c r="AI69" i="179"/>
  <c r="X69" i="179"/>
  <c r="M69" i="179"/>
  <c r="B69" i="179"/>
  <c r="AT68" i="179"/>
  <c r="AI68" i="179"/>
  <c r="X68" i="179"/>
  <c r="M68" i="179"/>
  <c r="B68" i="179"/>
  <c r="AT67" i="179"/>
  <c r="AI67" i="179"/>
  <c r="X67" i="179"/>
  <c r="M67" i="179"/>
  <c r="B67" i="179"/>
  <c r="AT66" i="179"/>
  <c r="AI66" i="179"/>
  <c r="X66" i="179"/>
  <c r="M66" i="179"/>
  <c r="B66" i="179"/>
  <c r="AT65" i="179"/>
  <c r="AI65" i="179"/>
  <c r="X65" i="179"/>
  <c r="M65" i="179"/>
  <c r="B65" i="179"/>
  <c r="AD49" i="64"/>
  <c r="AD50" i="64"/>
  <c r="AD51" i="64"/>
  <c r="AD52" i="64"/>
  <c r="AD53" i="64"/>
  <c r="X49" i="64"/>
  <c r="X50" i="64"/>
  <c r="X51" i="64"/>
  <c r="X52" i="64"/>
  <c r="X53" i="64"/>
  <c r="R49" i="64"/>
  <c r="R50" i="64"/>
  <c r="R51" i="64"/>
  <c r="R52" i="64"/>
  <c r="R53" i="64"/>
  <c r="L49" i="64"/>
  <c r="L50" i="64"/>
  <c r="L51" i="64"/>
  <c r="L52" i="64"/>
  <c r="L53" i="64"/>
  <c r="F49" i="64"/>
  <c r="F50" i="64"/>
  <c r="F51" i="64"/>
  <c r="F52" i="64"/>
  <c r="F53" i="64"/>
  <c r="T21" i="64"/>
  <c r="T22" i="64"/>
  <c r="T23" i="64"/>
  <c r="T24" i="64"/>
  <c r="T25" i="64"/>
  <c r="T26" i="64"/>
  <c r="T27" i="64"/>
  <c r="T28" i="64"/>
  <c r="T29" i="64"/>
  <c r="T30" i="64"/>
  <c r="T31" i="64"/>
  <c r="T32" i="64"/>
  <c r="T33" i="64"/>
  <c r="T34" i="64"/>
  <c r="T35" i="64"/>
  <c r="T36" i="64"/>
  <c r="T37" i="64"/>
  <c r="T38" i="64"/>
  <c r="T39" i="64"/>
  <c r="T40" i="64"/>
  <c r="T41" i="64"/>
  <c r="T42" i="64"/>
  <c r="T43" i="64"/>
  <c r="T44" i="64"/>
  <c r="T45" i="64"/>
  <c r="T46" i="64"/>
  <c r="T47" i="64"/>
  <c r="T48" i="64"/>
  <c r="T49" i="64"/>
  <c r="T50" i="64"/>
  <c r="T51" i="64"/>
  <c r="T52" i="64"/>
  <c r="T53" i="64"/>
  <c r="T54" i="64"/>
  <c r="T55" i="64"/>
  <c r="T56" i="64"/>
  <c r="T57" i="64"/>
  <c r="T58" i="64"/>
  <c r="T59" i="64"/>
  <c r="T60" i="64"/>
  <c r="T61" i="64"/>
  <c r="Z21" i="64"/>
  <c r="Z22" i="64"/>
  <c r="Z23" i="64"/>
  <c r="Z24" i="64"/>
  <c r="Z25" i="64"/>
  <c r="Z26" i="64"/>
  <c r="Z27" i="64"/>
  <c r="Z28" i="64"/>
  <c r="Z29" i="64"/>
  <c r="Z30" i="64"/>
  <c r="Z31" i="64"/>
  <c r="Z32" i="64"/>
  <c r="Z33" i="64"/>
  <c r="Z34" i="64"/>
  <c r="Z35" i="64"/>
  <c r="Z36" i="64"/>
  <c r="Z37" i="64"/>
  <c r="Z38" i="64"/>
  <c r="Z39" i="64"/>
  <c r="Z40" i="64"/>
  <c r="Z41" i="64"/>
  <c r="Z42" i="64"/>
  <c r="Z43" i="64"/>
  <c r="Z44" i="64"/>
  <c r="Z45" i="64"/>
  <c r="Z46" i="64"/>
  <c r="Z47" i="64"/>
  <c r="Z48" i="64"/>
  <c r="Z49" i="64"/>
  <c r="Z50" i="64"/>
  <c r="Z51" i="64"/>
  <c r="Z52" i="64"/>
  <c r="Z53" i="64"/>
  <c r="Z54" i="64"/>
  <c r="Z55" i="64"/>
  <c r="Z56" i="64"/>
  <c r="Z57" i="64"/>
  <c r="Z58" i="64"/>
  <c r="Z59" i="64"/>
  <c r="Z60" i="64"/>
  <c r="Z61" i="64"/>
  <c r="Z20" i="64"/>
  <c r="T20" i="64"/>
  <c r="N21" i="64"/>
  <c r="N22" i="64"/>
  <c r="N23" i="64"/>
  <c r="N24" i="64"/>
  <c r="N25" i="64"/>
  <c r="N26" i="64"/>
  <c r="N27" i="64"/>
  <c r="N28" i="64"/>
  <c r="N29" i="64"/>
  <c r="N30" i="64"/>
  <c r="N31" i="64"/>
  <c r="N32" i="64"/>
  <c r="N33" i="64"/>
  <c r="N34" i="64"/>
  <c r="N35" i="64"/>
  <c r="N36" i="64"/>
  <c r="N37" i="64"/>
  <c r="N38" i="64"/>
  <c r="N39" i="64"/>
  <c r="N40" i="64"/>
  <c r="N41" i="64"/>
  <c r="N42" i="64"/>
  <c r="N43" i="64"/>
  <c r="N44" i="64"/>
  <c r="N45" i="64"/>
  <c r="N46" i="64"/>
  <c r="N47" i="64"/>
  <c r="N48" i="64"/>
  <c r="N49" i="64"/>
  <c r="N50" i="64"/>
  <c r="N51" i="64"/>
  <c r="N52" i="64"/>
  <c r="N53" i="64"/>
  <c r="N54" i="64"/>
  <c r="N55" i="64"/>
  <c r="N56" i="64"/>
  <c r="N57" i="64"/>
  <c r="N58" i="64"/>
  <c r="N59" i="64"/>
  <c r="N60" i="64"/>
  <c r="N61" i="64"/>
  <c r="N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20" i="64"/>
  <c r="B61" i="64"/>
  <c r="B21" i="64"/>
  <c r="B22" i="64"/>
  <c r="B23" i="64"/>
  <c r="B24" i="64"/>
  <c r="B25" i="64"/>
  <c r="B26" i="64"/>
  <c r="B27" i="64"/>
  <c r="B28" i="64"/>
  <c r="B29" i="64"/>
  <c r="B30" i="64"/>
  <c r="B31" i="64"/>
  <c r="B32" i="64"/>
  <c r="B33" i="64"/>
  <c r="B34" i="64"/>
  <c r="B35" i="64"/>
  <c r="B36" i="64"/>
  <c r="B37" i="64"/>
  <c r="B38" i="64"/>
  <c r="B39" i="64"/>
  <c r="B40" i="64"/>
  <c r="B41" i="64"/>
  <c r="B42" i="64"/>
  <c r="B43" i="64"/>
  <c r="B44" i="64"/>
  <c r="B45" i="64"/>
  <c r="B46" i="64"/>
  <c r="B47" i="64"/>
  <c r="B48" i="64"/>
  <c r="B49" i="64"/>
  <c r="B50" i="64"/>
  <c r="B51" i="64"/>
  <c r="B52" i="64"/>
  <c r="B53" i="64"/>
  <c r="B54" i="64"/>
  <c r="B55" i="64"/>
  <c r="B56" i="64"/>
  <c r="B57" i="64"/>
  <c r="B58" i="64"/>
  <c r="B59" i="64"/>
  <c r="B60" i="64"/>
  <c r="B20" i="64"/>
  <c r="BA1759" i="1" l="1"/>
  <c r="AZ1759" i="1"/>
  <c r="AY1759" i="1"/>
  <c r="AX1759" i="1"/>
  <c r="AV1759" i="1"/>
  <c r="AU1759" i="1"/>
  <c r="AT1759" i="1"/>
  <c r="AS1759" i="1"/>
  <c r="AR1759" i="1"/>
  <c r="AP1759" i="1"/>
  <c r="AO1759" i="1"/>
  <c r="AM1759" i="1"/>
  <c r="AC1759" i="1"/>
  <c r="T1759" i="1"/>
  <c r="R1759" i="1"/>
  <c r="S1759" i="1" s="1"/>
  <c r="Q1759" i="1"/>
  <c r="P1759" i="1"/>
  <c r="O1759" i="1"/>
  <c r="L1759" i="1"/>
  <c r="K1759" i="1"/>
  <c r="J1759" i="1"/>
  <c r="BA1597" i="1"/>
  <c r="AZ1597" i="1"/>
  <c r="AY1597" i="1"/>
  <c r="AX1597" i="1"/>
  <c r="AV1597" i="1"/>
  <c r="AU1597" i="1"/>
  <c r="AT1597" i="1"/>
  <c r="AS1597" i="1"/>
  <c r="AR1597" i="1"/>
  <c r="AP1597" i="1"/>
  <c r="AO1597" i="1"/>
  <c r="AM1597" i="1"/>
  <c r="AC1597" i="1"/>
  <c r="T1597" i="1"/>
  <c r="R1597" i="1"/>
  <c r="S1597" i="1" s="1"/>
  <c r="Q1597" i="1"/>
  <c r="P1597" i="1"/>
  <c r="O1597" i="1"/>
  <c r="L1597" i="1"/>
  <c r="K1597" i="1"/>
  <c r="J1597" i="1"/>
  <c r="J1872" i="1"/>
  <c r="K1872" i="1"/>
  <c r="L1872" i="1"/>
  <c r="O1872" i="1"/>
  <c r="P1872" i="1"/>
  <c r="Q1872" i="1"/>
  <c r="R1872" i="1"/>
  <c r="S1872" i="1"/>
  <c r="T1872" i="1"/>
  <c r="AC1872" i="1"/>
  <c r="AM1872" i="1"/>
  <c r="AO1872" i="1"/>
  <c r="AP1872" i="1"/>
  <c r="AR1872" i="1"/>
  <c r="AS1872" i="1"/>
  <c r="AT1872" i="1"/>
  <c r="AU1872" i="1"/>
  <c r="AV1872" i="1"/>
  <c r="AW1872" i="1"/>
  <c r="AX1872" i="1"/>
  <c r="AY1872" i="1"/>
  <c r="AZ1872" i="1"/>
  <c r="BA1872" i="1"/>
  <c r="J1885" i="1"/>
  <c r="K1885" i="1"/>
  <c r="L1885" i="1"/>
  <c r="O1885" i="1"/>
  <c r="P1885" i="1"/>
  <c r="Q1885" i="1"/>
  <c r="R1885" i="1"/>
  <c r="S1885" i="1"/>
  <c r="T1885" i="1"/>
  <c r="AC1885" i="1"/>
  <c r="AM1885" i="1"/>
  <c r="AO1885" i="1"/>
  <c r="AP1885" i="1"/>
  <c r="AR1885" i="1"/>
  <c r="AS1885" i="1"/>
  <c r="AT1885" i="1"/>
  <c r="AU1885" i="1"/>
  <c r="AV1885" i="1"/>
  <c r="AW1885" i="1"/>
  <c r="AX1885" i="1"/>
  <c r="AY1885" i="1"/>
  <c r="AZ1885" i="1"/>
  <c r="BA1885" i="1"/>
  <c r="AC3" i="1"/>
  <c r="AC4" i="1"/>
  <c r="AC5" i="1"/>
  <c r="AC6" i="1"/>
  <c r="AC7" i="1"/>
  <c r="AC8" i="1"/>
  <c r="AC9" i="1"/>
  <c r="AC10" i="1"/>
  <c r="AC11" i="1"/>
  <c r="AC12" i="1"/>
  <c r="AC13" i="1"/>
  <c r="AC14" i="1"/>
  <c r="AC15" i="1"/>
  <c r="AC16" i="1"/>
  <c r="AC17"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AC789" i="1"/>
  <c r="AC790" i="1"/>
  <c r="AC791" i="1"/>
  <c r="AC792" i="1"/>
  <c r="AC793" i="1"/>
  <c r="AC794" i="1"/>
  <c r="AC795" i="1"/>
  <c r="AC796" i="1"/>
  <c r="AC797" i="1"/>
  <c r="AC798" i="1"/>
  <c r="AC799" i="1"/>
  <c r="AC800" i="1"/>
  <c r="AC801" i="1"/>
  <c r="AC802" i="1"/>
  <c r="AC803" i="1"/>
  <c r="AC804" i="1"/>
  <c r="AC805" i="1"/>
  <c r="AC806" i="1"/>
  <c r="AC807" i="1"/>
  <c r="AC808" i="1"/>
  <c r="AC809" i="1"/>
  <c r="AC810" i="1"/>
  <c r="AC811" i="1"/>
  <c r="AC812" i="1"/>
  <c r="AC813" i="1"/>
  <c r="AC814" i="1"/>
  <c r="AC815" i="1"/>
  <c r="AC816" i="1"/>
  <c r="AC817" i="1"/>
  <c r="AC818" i="1"/>
  <c r="AC819" i="1"/>
  <c r="AC820" i="1"/>
  <c r="AC821" i="1"/>
  <c r="AC822"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47" i="1"/>
  <c r="AC848" i="1"/>
  <c r="AC849" i="1"/>
  <c r="AC850" i="1"/>
  <c r="AC851" i="1"/>
  <c r="AC852" i="1"/>
  <c r="AC853" i="1"/>
  <c r="AC854" i="1"/>
  <c r="AC855" i="1"/>
  <c r="AC856" i="1"/>
  <c r="AC857" i="1"/>
  <c r="AC858" i="1"/>
  <c r="AC859" i="1"/>
  <c r="AC860" i="1"/>
  <c r="AC861" i="1"/>
  <c r="AC862" i="1"/>
  <c r="AC863" i="1"/>
  <c r="AC864" i="1"/>
  <c r="AC865" i="1"/>
  <c r="AC866" i="1"/>
  <c r="AC867" i="1"/>
  <c r="AC868" i="1"/>
  <c r="AC869" i="1"/>
  <c r="AC870" i="1"/>
  <c r="AC871" i="1"/>
  <c r="AC872" i="1"/>
  <c r="AC873" i="1"/>
  <c r="AC874" i="1"/>
  <c r="AC875" i="1"/>
  <c r="AC876" i="1"/>
  <c r="AC877" i="1"/>
  <c r="AC878" i="1"/>
  <c r="AC879" i="1"/>
  <c r="AC880" i="1"/>
  <c r="AC881" i="1"/>
  <c r="AC882" i="1"/>
  <c r="AC883" i="1"/>
  <c r="AC884" i="1"/>
  <c r="AC885" i="1"/>
  <c r="AC886" i="1"/>
  <c r="AC887" i="1"/>
  <c r="AC888" i="1"/>
  <c r="AC889" i="1"/>
  <c r="AC890" i="1"/>
  <c r="AC891" i="1"/>
  <c r="AC892" i="1"/>
  <c r="AC893" i="1"/>
  <c r="AC894" i="1"/>
  <c r="AC895" i="1"/>
  <c r="AC896" i="1"/>
  <c r="AC897" i="1"/>
  <c r="AC898" i="1"/>
  <c r="AC899" i="1"/>
  <c r="AC900" i="1"/>
  <c r="AC901" i="1"/>
  <c r="AC902" i="1"/>
  <c r="AC903" i="1"/>
  <c r="AC904" i="1"/>
  <c r="AC905" i="1"/>
  <c r="AC906" i="1"/>
  <c r="AC907" i="1"/>
  <c r="AC908" i="1"/>
  <c r="AC909" i="1"/>
  <c r="AC910" i="1"/>
  <c r="AC911" i="1"/>
  <c r="AC912" i="1"/>
  <c r="AC913" i="1"/>
  <c r="AC914" i="1"/>
  <c r="AC915" i="1"/>
  <c r="AC916" i="1"/>
  <c r="AC917" i="1"/>
  <c r="AC918" i="1"/>
  <c r="AC919" i="1"/>
  <c r="AC920" i="1"/>
  <c r="AC921" i="1"/>
  <c r="AC922" i="1"/>
  <c r="AC923" i="1"/>
  <c r="AC924" i="1"/>
  <c r="AC925" i="1"/>
  <c r="AC926" i="1"/>
  <c r="AC927" i="1"/>
  <c r="AC928" i="1"/>
  <c r="AC929" i="1"/>
  <c r="AC930" i="1"/>
  <c r="AC931" i="1"/>
  <c r="AC932" i="1"/>
  <c r="AC933" i="1"/>
  <c r="AC934" i="1"/>
  <c r="AC935" i="1"/>
  <c r="AC936" i="1"/>
  <c r="AC937" i="1"/>
  <c r="AC938" i="1"/>
  <c r="AC939" i="1"/>
  <c r="AC940" i="1"/>
  <c r="AC941" i="1"/>
  <c r="AC942" i="1"/>
  <c r="AC943" i="1"/>
  <c r="AC944" i="1"/>
  <c r="AC945" i="1"/>
  <c r="AC946" i="1"/>
  <c r="AC947" i="1"/>
  <c r="AC948" i="1"/>
  <c r="AC949" i="1"/>
  <c r="AC950" i="1"/>
  <c r="AC951" i="1"/>
  <c r="AC952" i="1"/>
  <c r="AC953" i="1"/>
  <c r="AC954" i="1"/>
  <c r="AC955" i="1"/>
  <c r="AC956" i="1"/>
  <c r="AC957" i="1"/>
  <c r="AC958" i="1"/>
  <c r="AC959" i="1"/>
  <c r="AC960" i="1"/>
  <c r="AC961" i="1"/>
  <c r="AC962" i="1"/>
  <c r="AC963" i="1"/>
  <c r="AC964" i="1"/>
  <c r="AC965" i="1"/>
  <c r="AC966" i="1"/>
  <c r="AC967" i="1"/>
  <c r="AC968" i="1"/>
  <c r="AC969" i="1"/>
  <c r="AC970" i="1"/>
  <c r="AC971" i="1"/>
  <c r="AC972"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7" i="1"/>
  <c r="AC1008" i="1"/>
  <c r="AC1009" i="1"/>
  <c r="AC1010" i="1"/>
  <c r="AC1011" i="1"/>
  <c r="AC1012" i="1"/>
  <c r="AC1013" i="1"/>
  <c r="AC1014" i="1"/>
  <c r="AC1015" i="1"/>
  <c r="AC1016" i="1"/>
  <c r="AC1017" i="1"/>
  <c r="AC1018" i="1"/>
  <c r="AC1019" i="1"/>
  <c r="AC1020" i="1"/>
  <c r="AC1021" i="1"/>
  <c r="AC1022" i="1"/>
  <c r="AC1023" i="1"/>
  <c r="AC1024" i="1"/>
  <c r="AC1025" i="1"/>
  <c r="AC1026" i="1"/>
  <c r="AC1027" i="1"/>
  <c r="AC1028" i="1"/>
  <c r="AC1029" i="1"/>
  <c r="AC1030" i="1"/>
  <c r="AC1031" i="1"/>
  <c r="AC1032" i="1"/>
  <c r="AC1033" i="1"/>
  <c r="AC1034" i="1"/>
  <c r="AC1035" i="1"/>
  <c r="AC1036" i="1"/>
  <c r="AC1037" i="1"/>
  <c r="AC1038" i="1"/>
  <c r="AC1039" i="1"/>
  <c r="AC1040" i="1"/>
  <c r="AC1041" i="1"/>
  <c r="AC1042" i="1"/>
  <c r="AC1043" i="1"/>
  <c r="AC1044" i="1"/>
  <c r="AC1045" i="1"/>
  <c r="AC1046" i="1"/>
  <c r="AC1047" i="1"/>
  <c r="AC1048" i="1"/>
  <c r="AC1049" i="1"/>
  <c r="AC1050" i="1"/>
  <c r="AC1051" i="1"/>
  <c r="AC1052" i="1"/>
  <c r="AC1053" i="1"/>
  <c r="AC1054" i="1"/>
  <c r="AC1055" i="1"/>
  <c r="AC1056" i="1"/>
  <c r="AC1057" i="1"/>
  <c r="AC1058" i="1"/>
  <c r="AC1059" i="1"/>
  <c r="AC1060" i="1"/>
  <c r="AC1061" i="1"/>
  <c r="AC1062" i="1"/>
  <c r="AC1063" i="1"/>
  <c r="AC1064" i="1"/>
  <c r="AC1065" i="1"/>
  <c r="AC1066" i="1"/>
  <c r="AC1067" i="1"/>
  <c r="AC1068" i="1"/>
  <c r="AC1069" i="1"/>
  <c r="AC1070" i="1"/>
  <c r="AC1071" i="1"/>
  <c r="AC1072" i="1"/>
  <c r="AC1073" i="1"/>
  <c r="AC1074" i="1"/>
  <c r="AC1075" i="1"/>
  <c r="AC1076" i="1"/>
  <c r="AC1077" i="1"/>
  <c r="AC1078" i="1"/>
  <c r="AC1079" i="1"/>
  <c r="AC1080" i="1"/>
  <c r="AC1081" i="1"/>
  <c r="AC1082" i="1"/>
  <c r="AC1083" i="1"/>
  <c r="AC1084" i="1"/>
  <c r="AC1085" i="1"/>
  <c r="AC1086" i="1"/>
  <c r="AC1087" i="1"/>
  <c r="AC1088" i="1"/>
  <c r="AC1089" i="1"/>
  <c r="AC1090" i="1"/>
  <c r="AC1091" i="1"/>
  <c r="AC1092" i="1"/>
  <c r="AC1093" i="1"/>
  <c r="AC1094" i="1"/>
  <c r="AC1095" i="1"/>
  <c r="AC1096" i="1"/>
  <c r="AC1097" i="1"/>
  <c r="AC1098" i="1"/>
  <c r="AC1099" i="1"/>
  <c r="AC1100" i="1"/>
  <c r="AC1101" i="1"/>
  <c r="AC1102" i="1"/>
  <c r="AC1103" i="1"/>
  <c r="AC1104" i="1"/>
  <c r="AC1105" i="1"/>
  <c r="AC1106" i="1"/>
  <c r="AC1107" i="1"/>
  <c r="AC1108" i="1"/>
  <c r="AC1109" i="1"/>
  <c r="AC1110" i="1"/>
  <c r="AC1111" i="1"/>
  <c r="AC1112" i="1"/>
  <c r="AC1113" i="1"/>
  <c r="AC1114" i="1"/>
  <c r="AC1115" i="1"/>
  <c r="AC1116" i="1"/>
  <c r="AC1117" i="1"/>
  <c r="AC1118" i="1"/>
  <c r="AC1119" i="1"/>
  <c r="AC1120" i="1"/>
  <c r="AC1121" i="1"/>
  <c r="AC1122" i="1"/>
  <c r="AC1123" i="1"/>
  <c r="AC1124" i="1"/>
  <c r="AC1125" i="1"/>
  <c r="AC1126" i="1"/>
  <c r="AC1127" i="1"/>
  <c r="AC1128" i="1"/>
  <c r="AC1129" i="1"/>
  <c r="AC1130" i="1"/>
  <c r="AC1131" i="1"/>
  <c r="AC1132" i="1"/>
  <c r="AC1133" i="1"/>
  <c r="AC1134" i="1"/>
  <c r="AC1135" i="1"/>
  <c r="AC1136" i="1"/>
  <c r="AC1137" i="1"/>
  <c r="AC1138" i="1"/>
  <c r="AC1139" i="1"/>
  <c r="AC1140" i="1"/>
  <c r="AC1141" i="1"/>
  <c r="AC1142" i="1"/>
  <c r="AC1143" i="1"/>
  <c r="AC1144" i="1"/>
  <c r="AC1145" i="1"/>
  <c r="AC1146" i="1"/>
  <c r="AC1147" i="1"/>
  <c r="AC1148" i="1"/>
  <c r="AC1149" i="1"/>
  <c r="AC1150" i="1"/>
  <c r="AC1151" i="1"/>
  <c r="AC1152" i="1"/>
  <c r="AC1153" i="1"/>
  <c r="AC1154" i="1"/>
  <c r="AC1155" i="1"/>
  <c r="AC1156" i="1"/>
  <c r="AC1157" i="1"/>
  <c r="AC1158" i="1"/>
  <c r="AC1159" i="1"/>
  <c r="AC1160" i="1"/>
  <c r="AC1161" i="1"/>
  <c r="AC1162" i="1"/>
  <c r="AC1163" i="1"/>
  <c r="AC1164" i="1"/>
  <c r="AC1165" i="1"/>
  <c r="AC1166" i="1"/>
  <c r="AC1167" i="1"/>
  <c r="AC1168" i="1"/>
  <c r="AC1169" i="1"/>
  <c r="AC1170" i="1"/>
  <c r="AC1171" i="1"/>
  <c r="AC1172" i="1"/>
  <c r="AC1173" i="1"/>
  <c r="AC1174" i="1"/>
  <c r="AC1175" i="1"/>
  <c r="AC1176" i="1"/>
  <c r="AC1177" i="1"/>
  <c r="AC1178" i="1"/>
  <c r="AC1179" i="1"/>
  <c r="AC1180" i="1"/>
  <c r="AC1181" i="1"/>
  <c r="AC1182" i="1"/>
  <c r="AC1183" i="1"/>
  <c r="AC1184" i="1"/>
  <c r="AC1185" i="1"/>
  <c r="AC1186" i="1"/>
  <c r="AC1187" i="1"/>
  <c r="AC1188" i="1"/>
  <c r="AC1189" i="1"/>
  <c r="AC1190" i="1"/>
  <c r="AC1191" i="1"/>
  <c r="AC1192" i="1"/>
  <c r="AC1193" i="1"/>
  <c r="AC1194" i="1"/>
  <c r="AC1195" i="1"/>
  <c r="AC1196" i="1"/>
  <c r="AC1197" i="1"/>
  <c r="AC1198" i="1"/>
  <c r="AC1199" i="1"/>
  <c r="AC1200" i="1"/>
  <c r="AC1201" i="1"/>
  <c r="AC1202" i="1"/>
  <c r="AC1203" i="1"/>
  <c r="AC1204" i="1"/>
  <c r="AC1205" i="1"/>
  <c r="AC1206" i="1"/>
  <c r="AC1207" i="1"/>
  <c r="AC1208" i="1"/>
  <c r="AC1209" i="1"/>
  <c r="AC1210" i="1"/>
  <c r="AC1211" i="1"/>
  <c r="AC1212" i="1"/>
  <c r="AC1213" i="1"/>
  <c r="AC1214" i="1"/>
  <c r="AC1215" i="1"/>
  <c r="AC1216" i="1"/>
  <c r="AC1217" i="1"/>
  <c r="AC1218" i="1"/>
  <c r="AC1219" i="1"/>
  <c r="AC1220" i="1"/>
  <c r="AC1221" i="1"/>
  <c r="AC1222" i="1"/>
  <c r="AC1223" i="1"/>
  <c r="AC1224" i="1"/>
  <c r="AC1225" i="1"/>
  <c r="AC1226" i="1"/>
  <c r="AC1227" i="1"/>
  <c r="AC1228" i="1"/>
  <c r="AC1229" i="1"/>
  <c r="AC1230" i="1"/>
  <c r="AC1231" i="1"/>
  <c r="AC1232" i="1"/>
  <c r="AC1233" i="1"/>
  <c r="AC1234" i="1"/>
  <c r="AC1235" i="1"/>
  <c r="AC1236" i="1"/>
  <c r="AC1237" i="1"/>
  <c r="AC1238" i="1"/>
  <c r="AC1239" i="1"/>
  <c r="AC1240" i="1"/>
  <c r="AC1241" i="1"/>
  <c r="AC1242" i="1"/>
  <c r="AC1243" i="1"/>
  <c r="AC1244" i="1"/>
  <c r="AC1245" i="1"/>
  <c r="AC1246" i="1"/>
  <c r="AC1247" i="1"/>
  <c r="AC1248" i="1"/>
  <c r="AC1249" i="1"/>
  <c r="AC1250" i="1"/>
  <c r="AC1251" i="1"/>
  <c r="AC1252" i="1"/>
  <c r="AC1253" i="1"/>
  <c r="AC1254" i="1"/>
  <c r="AC1255" i="1"/>
  <c r="AC1256" i="1"/>
  <c r="AC1257" i="1"/>
  <c r="AC1258" i="1"/>
  <c r="AC1259" i="1"/>
  <c r="AC1260" i="1"/>
  <c r="AC1261" i="1"/>
  <c r="AC1262" i="1"/>
  <c r="AC1263" i="1"/>
  <c r="AC1264" i="1"/>
  <c r="AC1265" i="1"/>
  <c r="AC1266" i="1"/>
  <c r="AC1267" i="1"/>
  <c r="AC1268" i="1"/>
  <c r="AC1269" i="1"/>
  <c r="AC1270" i="1"/>
  <c r="AC1271" i="1"/>
  <c r="AC1272" i="1"/>
  <c r="AC1273" i="1"/>
  <c r="AC1274" i="1"/>
  <c r="AC1275" i="1"/>
  <c r="AC1276" i="1"/>
  <c r="AC1277" i="1"/>
  <c r="AC1278" i="1"/>
  <c r="AC1279" i="1"/>
  <c r="AC1280" i="1"/>
  <c r="AC1281" i="1"/>
  <c r="AC1282" i="1"/>
  <c r="AC1283" i="1"/>
  <c r="AC1284" i="1"/>
  <c r="AC1285" i="1"/>
  <c r="AC1286" i="1"/>
  <c r="AC1287" i="1"/>
  <c r="AC1288" i="1"/>
  <c r="AC1289" i="1"/>
  <c r="AC1290" i="1"/>
  <c r="AC1291" i="1"/>
  <c r="AC1292" i="1"/>
  <c r="AC1293" i="1"/>
  <c r="AC1294" i="1"/>
  <c r="AC1295" i="1"/>
  <c r="AC1296" i="1"/>
  <c r="AC1297" i="1"/>
  <c r="AC1298" i="1"/>
  <c r="AC1299" i="1"/>
  <c r="AC1300" i="1"/>
  <c r="AC1301" i="1"/>
  <c r="AC1302" i="1"/>
  <c r="AC1303" i="1"/>
  <c r="AC1304" i="1"/>
  <c r="AC1305" i="1"/>
  <c r="AC1306" i="1"/>
  <c r="AC1307" i="1"/>
  <c r="AC1308" i="1"/>
  <c r="AC1309" i="1"/>
  <c r="AC1310" i="1"/>
  <c r="AC1311" i="1"/>
  <c r="AC1312" i="1"/>
  <c r="AC1313" i="1"/>
  <c r="AC1314" i="1"/>
  <c r="AC1315" i="1"/>
  <c r="AC1316" i="1"/>
  <c r="AC1317" i="1"/>
  <c r="AC1318" i="1"/>
  <c r="AC1319" i="1"/>
  <c r="AC1320" i="1"/>
  <c r="AC1321" i="1"/>
  <c r="AC1322" i="1"/>
  <c r="AC1323" i="1"/>
  <c r="AC1324" i="1"/>
  <c r="AC1325" i="1"/>
  <c r="AC1326" i="1"/>
  <c r="AC1327" i="1"/>
  <c r="AC1328" i="1"/>
  <c r="AC1329" i="1"/>
  <c r="AC1330" i="1"/>
  <c r="AC1331" i="1"/>
  <c r="AC1332" i="1"/>
  <c r="AC1333" i="1"/>
  <c r="AC1334" i="1"/>
  <c r="AC1335" i="1"/>
  <c r="AC1336" i="1"/>
  <c r="AC1337" i="1"/>
  <c r="AC1338" i="1"/>
  <c r="AC1339" i="1"/>
  <c r="AC1340" i="1"/>
  <c r="AC1341" i="1"/>
  <c r="AC1342" i="1"/>
  <c r="AC1343" i="1"/>
  <c r="AC1344" i="1"/>
  <c r="AC1345" i="1"/>
  <c r="AC1346" i="1"/>
  <c r="AC1347" i="1"/>
  <c r="AC1348" i="1"/>
  <c r="AC1349" i="1"/>
  <c r="AC1350" i="1"/>
  <c r="AC1351" i="1"/>
  <c r="AC1352" i="1"/>
  <c r="AC1353" i="1"/>
  <c r="AC1354" i="1"/>
  <c r="AC1355" i="1"/>
  <c r="AC1356" i="1"/>
  <c r="AC1357" i="1"/>
  <c r="AC1358" i="1"/>
  <c r="AC1359" i="1"/>
  <c r="AC1360" i="1"/>
  <c r="AC1361" i="1"/>
  <c r="AC1362" i="1"/>
  <c r="AC1363" i="1"/>
  <c r="AC1364" i="1"/>
  <c r="AC1365" i="1"/>
  <c r="AC1366" i="1"/>
  <c r="AC1367" i="1"/>
  <c r="AC1368" i="1"/>
  <c r="AC1369" i="1"/>
  <c r="AC1370" i="1"/>
  <c r="AC1371" i="1"/>
  <c r="AC1372" i="1"/>
  <c r="AC1373" i="1"/>
  <c r="AC1374" i="1"/>
  <c r="AC1375" i="1"/>
  <c r="AC1376" i="1"/>
  <c r="AC1377" i="1"/>
  <c r="AC1378" i="1"/>
  <c r="AC1379" i="1"/>
  <c r="AC1380" i="1"/>
  <c r="AC1381" i="1"/>
  <c r="AC1382" i="1"/>
  <c r="AC1383" i="1"/>
  <c r="AC1384" i="1"/>
  <c r="AC1385" i="1"/>
  <c r="AC1386" i="1"/>
  <c r="AC1387" i="1"/>
  <c r="AC1388" i="1"/>
  <c r="AC1389" i="1"/>
  <c r="AC1390" i="1"/>
  <c r="AC1391" i="1"/>
  <c r="AC1392" i="1"/>
  <c r="AC1393" i="1"/>
  <c r="AC1394" i="1"/>
  <c r="AC1395" i="1"/>
  <c r="AC1396" i="1"/>
  <c r="AC1397" i="1"/>
  <c r="AC1398" i="1"/>
  <c r="AC1399" i="1"/>
  <c r="AC1400" i="1"/>
  <c r="AC1401" i="1"/>
  <c r="AC1402" i="1"/>
  <c r="AC1403" i="1"/>
  <c r="AC1404" i="1"/>
  <c r="AC1405" i="1"/>
  <c r="AC1406" i="1"/>
  <c r="AC1407" i="1"/>
  <c r="AC1408" i="1"/>
  <c r="AC1409" i="1"/>
  <c r="AC1410" i="1"/>
  <c r="AC1411" i="1"/>
  <c r="AC1412" i="1"/>
  <c r="AC1413" i="1"/>
  <c r="AC1414" i="1"/>
  <c r="AC1415" i="1"/>
  <c r="AC1416" i="1"/>
  <c r="AC1417" i="1"/>
  <c r="AC1418" i="1"/>
  <c r="AC1419" i="1"/>
  <c r="AC1420" i="1"/>
  <c r="AC1421" i="1"/>
  <c r="AC1422" i="1"/>
  <c r="AC1423" i="1"/>
  <c r="AC1424" i="1"/>
  <c r="AC1425" i="1"/>
  <c r="AC1426" i="1"/>
  <c r="AC1427" i="1"/>
  <c r="AC1428" i="1"/>
  <c r="AC1429" i="1"/>
  <c r="AC1430" i="1"/>
  <c r="AC1431" i="1"/>
  <c r="AC1432" i="1"/>
  <c r="AC1433" i="1"/>
  <c r="AC1434" i="1"/>
  <c r="AC1435" i="1"/>
  <c r="AC1436" i="1"/>
  <c r="AC1437" i="1"/>
  <c r="AC1438" i="1"/>
  <c r="AC1439" i="1"/>
  <c r="AC1440" i="1"/>
  <c r="AC1441" i="1"/>
  <c r="AC1442" i="1"/>
  <c r="AC1443" i="1"/>
  <c r="AC1444" i="1"/>
  <c r="AC1445" i="1"/>
  <c r="AC1446" i="1"/>
  <c r="AC1447" i="1"/>
  <c r="AC1448" i="1"/>
  <c r="AC1449" i="1"/>
  <c r="AC1450" i="1"/>
  <c r="AC1451" i="1"/>
  <c r="AC1452" i="1"/>
  <c r="AC1453" i="1"/>
  <c r="AC1454" i="1"/>
  <c r="AC1455" i="1"/>
  <c r="AC1456" i="1"/>
  <c r="AC1457" i="1"/>
  <c r="AC1458" i="1"/>
  <c r="AC1459" i="1"/>
  <c r="AC1460" i="1"/>
  <c r="AC1461" i="1"/>
  <c r="AC1462" i="1"/>
  <c r="AC1463" i="1"/>
  <c r="AC1464" i="1"/>
  <c r="AC1465" i="1"/>
  <c r="AC1466" i="1"/>
  <c r="AC1467" i="1"/>
  <c r="AC1468" i="1"/>
  <c r="AC1469" i="1"/>
  <c r="AC1470" i="1"/>
  <c r="AC1471" i="1"/>
  <c r="AC1472" i="1"/>
  <c r="AC1473" i="1"/>
  <c r="AC1474" i="1"/>
  <c r="AC1475" i="1"/>
  <c r="AC1476" i="1"/>
  <c r="AC1477" i="1"/>
  <c r="AC1478" i="1"/>
  <c r="AC1479" i="1"/>
  <c r="AC1480" i="1"/>
  <c r="AC1481" i="1"/>
  <c r="AC1482" i="1"/>
  <c r="AC1483" i="1"/>
  <c r="AC1484" i="1"/>
  <c r="AC1485" i="1"/>
  <c r="AC1486" i="1"/>
  <c r="AC1487" i="1"/>
  <c r="AC1488" i="1"/>
  <c r="AC1489" i="1"/>
  <c r="AC1490" i="1"/>
  <c r="AC1491" i="1"/>
  <c r="AC1492" i="1"/>
  <c r="AC1493" i="1"/>
  <c r="AC1494" i="1"/>
  <c r="AC1495" i="1"/>
  <c r="AC1496" i="1"/>
  <c r="AC1497" i="1"/>
  <c r="AC1498" i="1"/>
  <c r="AC1499" i="1"/>
  <c r="AC1500" i="1"/>
  <c r="AC1501" i="1"/>
  <c r="AC1502" i="1"/>
  <c r="AC1503" i="1"/>
  <c r="AC1504" i="1"/>
  <c r="AC1505" i="1"/>
  <c r="AC1506" i="1"/>
  <c r="AC1507" i="1"/>
  <c r="AC1508" i="1"/>
  <c r="AC1509" i="1"/>
  <c r="AC1510" i="1"/>
  <c r="AC1511" i="1"/>
  <c r="AC1512" i="1"/>
  <c r="AC1513" i="1"/>
  <c r="AC1514" i="1"/>
  <c r="AC1515" i="1"/>
  <c r="AC1516" i="1"/>
  <c r="AC1517" i="1"/>
  <c r="AC1518" i="1"/>
  <c r="AC1519" i="1"/>
  <c r="AC1520" i="1"/>
  <c r="AC1521" i="1"/>
  <c r="AC1522" i="1"/>
  <c r="AC1523" i="1"/>
  <c r="AC1524" i="1"/>
  <c r="AC1525" i="1"/>
  <c r="AC1526" i="1"/>
  <c r="AC1527" i="1"/>
  <c r="AC1528" i="1"/>
  <c r="AC1529" i="1"/>
  <c r="AC1530" i="1"/>
  <c r="AC1531" i="1"/>
  <c r="AC1532" i="1"/>
  <c r="AC1533" i="1"/>
  <c r="AC1534" i="1"/>
  <c r="AC1535" i="1"/>
  <c r="AC1536" i="1"/>
  <c r="AC1537" i="1"/>
  <c r="AC1538" i="1"/>
  <c r="AC1539" i="1"/>
  <c r="AC1540" i="1"/>
  <c r="AC1541" i="1"/>
  <c r="AC1542" i="1"/>
  <c r="AC1543" i="1"/>
  <c r="AC1544" i="1"/>
  <c r="AC1545" i="1"/>
  <c r="AC1546" i="1"/>
  <c r="AC1547" i="1"/>
  <c r="AC1548" i="1"/>
  <c r="AC1549" i="1"/>
  <c r="AC1550" i="1"/>
  <c r="AC1551" i="1"/>
  <c r="AC1552" i="1"/>
  <c r="AC1553" i="1"/>
  <c r="AC1554" i="1"/>
  <c r="AC1555" i="1"/>
  <c r="AC1556" i="1"/>
  <c r="AC1557" i="1"/>
  <c r="AC1558" i="1"/>
  <c r="AC1559" i="1"/>
  <c r="AC1560" i="1"/>
  <c r="AC1561" i="1"/>
  <c r="AC1562" i="1"/>
  <c r="AC1563" i="1"/>
  <c r="AC1564" i="1"/>
  <c r="AC1565" i="1"/>
  <c r="AC1566" i="1"/>
  <c r="AC1567" i="1"/>
  <c r="AC1568" i="1"/>
  <c r="AC1569" i="1"/>
  <c r="AC1570" i="1"/>
  <c r="AC1571" i="1"/>
  <c r="AC1572" i="1"/>
  <c r="AC1573" i="1"/>
  <c r="AC1574" i="1"/>
  <c r="AC1575" i="1"/>
  <c r="AC1576" i="1"/>
  <c r="AC1577" i="1"/>
  <c r="AC1578" i="1"/>
  <c r="AC1579" i="1"/>
  <c r="AC1580" i="1"/>
  <c r="AC1581" i="1"/>
  <c r="AC1582" i="1"/>
  <c r="AC1583" i="1"/>
  <c r="AC1584" i="1"/>
  <c r="AC1585" i="1"/>
  <c r="AC1586" i="1"/>
  <c r="AC1587" i="1"/>
  <c r="AC1588" i="1"/>
  <c r="AC1589" i="1"/>
  <c r="AC1590" i="1"/>
  <c r="AC1591" i="1"/>
  <c r="AC1592" i="1"/>
  <c r="AC1593" i="1"/>
  <c r="AC1594" i="1"/>
  <c r="AC1595" i="1"/>
  <c r="AC1596" i="1"/>
  <c r="AC1598" i="1"/>
  <c r="AC1599" i="1"/>
  <c r="AC1600" i="1"/>
  <c r="AC1601" i="1"/>
  <c r="AC1602" i="1"/>
  <c r="AC1603" i="1"/>
  <c r="AC1604" i="1"/>
  <c r="AC1605" i="1"/>
  <c r="AC1606" i="1"/>
  <c r="AC1607" i="1"/>
  <c r="AC1608" i="1"/>
  <c r="AC1609" i="1"/>
  <c r="AC1610" i="1"/>
  <c r="AC1611" i="1"/>
  <c r="AC1612" i="1"/>
  <c r="AC1613" i="1"/>
  <c r="AC1614" i="1"/>
  <c r="AC1615" i="1"/>
  <c r="AC1616" i="1"/>
  <c r="AC1617" i="1"/>
  <c r="AC1618" i="1"/>
  <c r="AC1619" i="1"/>
  <c r="AC1620" i="1"/>
  <c r="AC1621" i="1"/>
  <c r="AC1622" i="1"/>
  <c r="AC1623" i="1"/>
  <c r="AC1624" i="1"/>
  <c r="AC1625" i="1"/>
  <c r="AC1626" i="1"/>
  <c r="AC1627" i="1"/>
  <c r="AC1628" i="1"/>
  <c r="AC1629" i="1"/>
  <c r="AC1630" i="1"/>
  <c r="AC1631" i="1"/>
  <c r="AC1632" i="1"/>
  <c r="AC1633" i="1"/>
  <c r="AC1634" i="1"/>
  <c r="AC1635" i="1"/>
  <c r="AC1636" i="1"/>
  <c r="AC1637" i="1"/>
  <c r="AC1638" i="1"/>
  <c r="AC1639" i="1"/>
  <c r="AC1640" i="1"/>
  <c r="AC1641" i="1"/>
  <c r="AC1642" i="1"/>
  <c r="AC1643" i="1"/>
  <c r="AC1644" i="1"/>
  <c r="AC1645" i="1"/>
  <c r="AC1646" i="1"/>
  <c r="AC1647" i="1"/>
  <c r="AC1648" i="1"/>
  <c r="AC1649" i="1"/>
  <c r="AC1650" i="1"/>
  <c r="AC1651" i="1"/>
  <c r="AC1652" i="1"/>
  <c r="AC1653" i="1"/>
  <c r="AC1654" i="1"/>
  <c r="AC1655" i="1"/>
  <c r="AC1656" i="1"/>
  <c r="AC1657" i="1"/>
  <c r="AC1658" i="1"/>
  <c r="AC1659" i="1"/>
  <c r="AC1660" i="1"/>
  <c r="AC1661" i="1"/>
  <c r="AC1662" i="1"/>
  <c r="AC1663" i="1"/>
  <c r="AC1664" i="1"/>
  <c r="AC1665" i="1"/>
  <c r="AC1666" i="1"/>
  <c r="AC1667" i="1"/>
  <c r="AC1668" i="1"/>
  <c r="AC1669" i="1"/>
  <c r="AC1670" i="1"/>
  <c r="AC1671" i="1"/>
  <c r="AC1672" i="1"/>
  <c r="AC1673" i="1"/>
  <c r="AC1674" i="1"/>
  <c r="AC1675" i="1"/>
  <c r="AC1676" i="1"/>
  <c r="AC1677" i="1"/>
  <c r="AC1678" i="1"/>
  <c r="AC1679" i="1"/>
  <c r="AC1680" i="1"/>
  <c r="AC1681" i="1"/>
  <c r="AC1682" i="1"/>
  <c r="AC1683" i="1"/>
  <c r="AC1684" i="1"/>
  <c r="AC1685" i="1"/>
  <c r="AC1686" i="1"/>
  <c r="AC1687" i="1"/>
  <c r="AC1688" i="1"/>
  <c r="AC1689" i="1"/>
  <c r="AC1690" i="1"/>
  <c r="AC1691" i="1"/>
  <c r="AC1692" i="1"/>
  <c r="AC1693" i="1"/>
  <c r="AC1694" i="1"/>
  <c r="AC1695" i="1"/>
  <c r="AC1696" i="1"/>
  <c r="AC1697" i="1"/>
  <c r="AC1698" i="1"/>
  <c r="AC1699" i="1"/>
  <c r="AC1700" i="1"/>
  <c r="AC1701" i="1"/>
  <c r="AC1702" i="1"/>
  <c r="AC1703" i="1"/>
  <c r="AC1704" i="1"/>
  <c r="AC1705" i="1"/>
  <c r="AC1706" i="1"/>
  <c r="AC1707" i="1"/>
  <c r="AC1708" i="1"/>
  <c r="AC1709" i="1"/>
  <c r="AC1710" i="1"/>
  <c r="AC1711" i="1"/>
  <c r="AC1712" i="1"/>
  <c r="AC1713" i="1"/>
  <c r="AC1714" i="1"/>
  <c r="AC1715" i="1"/>
  <c r="AC1716" i="1"/>
  <c r="AC1717" i="1"/>
  <c r="AC1718" i="1"/>
  <c r="AC1719" i="1"/>
  <c r="AC1720" i="1"/>
  <c r="AC1721" i="1"/>
  <c r="AC1722" i="1"/>
  <c r="AC1723" i="1"/>
  <c r="AC1724" i="1"/>
  <c r="AC1725" i="1"/>
  <c r="AC1726" i="1"/>
  <c r="AC1727" i="1"/>
  <c r="AC1728" i="1"/>
  <c r="AC1729" i="1"/>
  <c r="AC1730" i="1"/>
  <c r="AC1731" i="1"/>
  <c r="AC1732" i="1"/>
  <c r="AC1733" i="1"/>
  <c r="AC1734" i="1"/>
  <c r="AC1735" i="1"/>
  <c r="AC1736" i="1"/>
  <c r="AC1737" i="1"/>
  <c r="AC1738" i="1"/>
  <c r="AC1739" i="1"/>
  <c r="AC1740" i="1"/>
  <c r="AC1741" i="1"/>
  <c r="AC1742" i="1"/>
  <c r="AC1743" i="1"/>
  <c r="AC1744" i="1"/>
  <c r="AC1745" i="1"/>
  <c r="AC1746" i="1"/>
  <c r="AC1747" i="1"/>
  <c r="AC1748" i="1"/>
  <c r="AC1749" i="1"/>
  <c r="AC1750" i="1"/>
  <c r="AC1751" i="1"/>
  <c r="AC1752" i="1"/>
  <c r="AC1753" i="1"/>
  <c r="AC1754" i="1"/>
  <c r="AC1755" i="1"/>
  <c r="AC1756" i="1"/>
  <c r="AC1757" i="1"/>
  <c r="AC1758" i="1"/>
  <c r="AC1760" i="1"/>
  <c r="AC1761" i="1"/>
  <c r="AC1762" i="1"/>
  <c r="AC1763" i="1"/>
  <c r="AC1764" i="1"/>
  <c r="AC1765" i="1"/>
  <c r="AC1766" i="1"/>
  <c r="AC1767" i="1"/>
  <c r="AC1768" i="1"/>
  <c r="AC1769" i="1"/>
  <c r="AC1770" i="1"/>
  <c r="AC1771" i="1"/>
  <c r="AC1772" i="1"/>
  <c r="AC1773" i="1"/>
  <c r="AC1774" i="1"/>
  <c r="AC1775" i="1"/>
  <c r="AC1776" i="1"/>
  <c r="AC1777" i="1"/>
  <c r="AC1778" i="1"/>
  <c r="AC1779" i="1"/>
  <c r="AC1780" i="1"/>
  <c r="AC1781" i="1"/>
  <c r="AC1782" i="1"/>
  <c r="AC1783" i="1"/>
  <c r="AC1784" i="1"/>
  <c r="AC1785" i="1"/>
  <c r="AC1786" i="1"/>
  <c r="AC1787" i="1"/>
  <c r="AC1788" i="1"/>
  <c r="AC1789" i="1"/>
  <c r="AC1790" i="1"/>
  <c r="AC1791" i="1"/>
  <c r="AC1792" i="1"/>
  <c r="AC1793" i="1"/>
  <c r="AC1794" i="1"/>
  <c r="AC1795" i="1"/>
  <c r="AC1796" i="1"/>
  <c r="AC1797" i="1"/>
  <c r="AC1798" i="1"/>
  <c r="AC1799" i="1"/>
  <c r="AC1800" i="1"/>
  <c r="AC1801" i="1"/>
  <c r="AC1802" i="1"/>
  <c r="AC1803" i="1"/>
  <c r="AC1804" i="1"/>
  <c r="AC1805" i="1"/>
  <c r="AC1806" i="1"/>
  <c r="AC1807" i="1"/>
  <c r="AC1808" i="1"/>
  <c r="AC1809" i="1"/>
  <c r="AC1810" i="1"/>
  <c r="AC1811" i="1"/>
  <c r="AC1812" i="1"/>
  <c r="AC1813" i="1"/>
  <c r="AC1814" i="1"/>
  <c r="AC1815" i="1"/>
  <c r="AC1816" i="1"/>
  <c r="AC1817" i="1"/>
  <c r="AC1818" i="1"/>
  <c r="AC1819" i="1"/>
  <c r="AC1820" i="1"/>
  <c r="AC1821" i="1"/>
  <c r="AC1822" i="1"/>
  <c r="AC1823" i="1"/>
  <c r="AC1824" i="1"/>
  <c r="AC1825" i="1"/>
  <c r="AC1826" i="1"/>
  <c r="AC1827" i="1"/>
  <c r="AC1828" i="1"/>
  <c r="AC1829" i="1"/>
  <c r="AC1830" i="1"/>
  <c r="AC1831" i="1"/>
  <c r="AC1832" i="1"/>
  <c r="AC1833" i="1"/>
  <c r="AC1834" i="1"/>
  <c r="AC1835" i="1"/>
  <c r="AC1836" i="1"/>
  <c r="AC1837" i="1"/>
  <c r="AC1838" i="1"/>
  <c r="AC1839" i="1"/>
  <c r="AC1840" i="1"/>
  <c r="AC1841" i="1"/>
  <c r="AC1842" i="1"/>
  <c r="AC1843" i="1"/>
  <c r="AC1844" i="1"/>
  <c r="AC1845" i="1"/>
  <c r="AC1846" i="1"/>
  <c r="AC1847" i="1"/>
  <c r="AC1848" i="1"/>
  <c r="AC1849" i="1"/>
  <c r="AC1850" i="1"/>
  <c r="AC1851" i="1"/>
  <c r="AC1852" i="1"/>
  <c r="AC1853" i="1"/>
  <c r="AC1854" i="1"/>
  <c r="AC1855" i="1"/>
  <c r="AC1856" i="1"/>
  <c r="AC1857" i="1"/>
  <c r="AC1858" i="1"/>
  <c r="AC1859" i="1"/>
  <c r="AC1860" i="1"/>
  <c r="AC1861" i="1"/>
  <c r="AC1862" i="1"/>
  <c r="AC1863" i="1"/>
  <c r="AC1864" i="1"/>
  <c r="AC1865" i="1"/>
  <c r="AC1866" i="1"/>
  <c r="AC1867" i="1"/>
  <c r="AC1868" i="1"/>
  <c r="AC1869" i="1"/>
  <c r="AC1870" i="1"/>
  <c r="AC1871" i="1"/>
  <c r="AC1873" i="1"/>
  <c r="AC1874" i="1"/>
  <c r="AC1875" i="1"/>
  <c r="AC1876" i="1"/>
  <c r="AC1877" i="1"/>
  <c r="AC1878" i="1"/>
  <c r="AC1879" i="1"/>
  <c r="AC1880" i="1"/>
  <c r="AC1881" i="1"/>
  <c r="AC1882" i="1"/>
  <c r="AC1883" i="1"/>
  <c r="AC1884" i="1"/>
  <c r="AC1886" i="1"/>
  <c r="AC1887" i="1"/>
  <c r="AC1888" i="1"/>
  <c r="AC1889" i="1"/>
  <c r="AC1890" i="1"/>
  <c r="AC1891" i="1"/>
  <c r="AC1892" i="1"/>
  <c r="AC1893" i="1"/>
  <c r="AC1894" i="1"/>
  <c r="AC1895" i="1"/>
  <c r="AC1896" i="1"/>
  <c r="AC1897" i="1"/>
  <c r="AC1898" i="1"/>
  <c r="AC1899" i="1"/>
  <c r="AC1900" i="1"/>
  <c r="AC1901" i="1"/>
  <c r="AC1902" i="1"/>
  <c r="AC1903" i="1"/>
  <c r="AC1904" i="1"/>
  <c r="AC1905" i="1"/>
  <c r="AC1906" i="1"/>
  <c r="AC1907" i="1"/>
  <c r="AC1908" i="1"/>
  <c r="AC1909" i="1"/>
  <c r="AC1910" i="1"/>
  <c r="AC1911" i="1"/>
  <c r="AC1912" i="1"/>
  <c r="AC1913" i="1"/>
  <c r="AC1914" i="1"/>
  <c r="AC1915" i="1"/>
  <c r="AC1916" i="1"/>
  <c r="AC1917" i="1"/>
  <c r="AC1918" i="1"/>
  <c r="AC1919" i="1"/>
  <c r="AC1920" i="1"/>
  <c r="AC1921" i="1"/>
  <c r="AC1922" i="1"/>
  <c r="AC1923" i="1"/>
  <c r="AC1924" i="1"/>
  <c r="AC1925" i="1"/>
  <c r="AC1926" i="1"/>
  <c r="AC1927" i="1"/>
  <c r="AC1928" i="1"/>
  <c r="AC1929" i="1"/>
  <c r="AC1930" i="1"/>
  <c r="AC1931" i="1"/>
  <c r="AC1932" i="1"/>
  <c r="AC1933" i="1"/>
  <c r="AC1934" i="1"/>
  <c r="AC1935" i="1"/>
  <c r="AC1936" i="1"/>
  <c r="AC1937" i="1"/>
  <c r="AC1938" i="1"/>
  <c r="AC1939" i="1"/>
  <c r="AC1940" i="1"/>
  <c r="AC1941" i="1"/>
  <c r="AC1942" i="1"/>
  <c r="AC1943" i="1"/>
  <c r="AC1944" i="1"/>
  <c r="AC1945" i="1"/>
  <c r="AC1946" i="1"/>
  <c r="AC1947" i="1"/>
  <c r="AC1948" i="1"/>
  <c r="AC1949" i="1"/>
  <c r="AC1950" i="1"/>
  <c r="AC1951" i="1"/>
  <c r="AC1952" i="1"/>
  <c r="AC1953" i="1"/>
  <c r="AC1954" i="1"/>
  <c r="AC1955" i="1"/>
  <c r="AC1956" i="1"/>
  <c r="AC1957" i="1"/>
  <c r="AC1958" i="1"/>
  <c r="AC1959" i="1"/>
  <c r="AC1960" i="1"/>
  <c r="AC1961" i="1"/>
  <c r="AC1962" i="1"/>
  <c r="AC1963" i="1"/>
  <c r="AC1964" i="1"/>
  <c r="AC1965" i="1"/>
  <c r="AC1966" i="1"/>
  <c r="AC1967" i="1"/>
  <c r="AC1968" i="1"/>
  <c r="AC1969" i="1"/>
  <c r="AC1970" i="1"/>
  <c r="AC1971" i="1"/>
  <c r="AC1972" i="1"/>
  <c r="AC1973" i="1"/>
  <c r="AC1974" i="1"/>
  <c r="AC1975" i="1"/>
  <c r="AC1976" i="1"/>
  <c r="AC1977" i="1"/>
  <c r="AC1978" i="1"/>
  <c r="AC1979" i="1"/>
  <c r="AC1980" i="1"/>
  <c r="AC1981" i="1"/>
  <c r="AC1982" i="1"/>
  <c r="AC1983" i="1"/>
  <c r="AC1984" i="1"/>
  <c r="AC1985" i="1"/>
  <c r="AC1986" i="1"/>
  <c r="AC1987" i="1"/>
  <c r="AC1988" i="1"/>
  <c r="AC1989" i="1"/>
  <c r="AC1990" i="1"/>
  <c r="AC1991" i="1"/>
  <c r="AC1992" i="1"/>
  <c r="AC1993" i="1"/>
  <c r="AC1994" i="1"/>
  <c r="AC1995" i="1"/>
  <c r="AC1996" i="1"/>
  <c r="AC1997" i="1"/>
  <c r="AC1998" i="1"/>
  <c r="AC1999" i="1"/>
  <c r="AC2000" i="1"/>
  <c r="O1880" i="1"/>
  <c r="P1880" i="1"/>
  <c r="Q1880" i="1"/>
  <c r="R1880" i="1"/>
  <c r="S1880" i="1"/>
  <c r="T1880" i="1"/>
  <c r="O1881" i="1"/>
  <c r="P1881" i="1"/>
  <c r="Q1881" i="1"/>
  <c r="R1881" i="1"/>
  <c r="S1881" i="1"/>
  <c r="T1881" i="1"/>
  <c r="O1882" i="1"/>
  <c r="P1882" i="1"/>
  <c r="Q1882" i="1"/>
  <c r="R1882" i="1"/>
  <c r="S1882" i="1"/>
  <c r="T1882" i="1"/>
  <c r="O1883" i="1"/>
  <c r="P1883" i="1"/>
  <c r="Q1883" i="1"/>
  <c r="R1883" i="1"/>
  <c r="S1883" i="1"/>
  <c r="T1883" i="1"/>
  <c r="O1884" i="1"/>
  <c r="P1884" i="1"/>
  <c r="Q1884" i="1"/>
  <c r="R1884" i="1"/>
  <c r="S1884" i="1"/>
  <c r="T1884" i="1"/>
  <c r="O1886" i="1"/>
  <c r="P1886" i="1"/>
  <c r="Q1886" i="1"/>
  <c r="R1886" i="1"/>
  <c r="S1886" i="1"/>
  <c r="T1886" i="1"/>
  <c r="O1887" i="1"/>
  <c r="P1887" i="1"/>
  <c r="Q1887" i="1"/>
  <c r="R1887" i="1"/>
  <c r="S1887" i="1"/>
  <c r="T1887" i="1"/>
  <c r="O1888" i="1"/>
  <c r="P1888" i="1"/>
  <c r="Q1888" i="1"/>
  <c r="R1888" i="1"/>
  <c r="S1888" i="1"/>
  <c r="T1888" i="1"/>
  <c r="O1889" i="1"/>
  <c r="P1889" i="1"/>
  <c r="Q1889" i="1"/>
  <c r="R1889" i="1"/>
  <c r="S1889" i="1"/>
  <c r="T1889" i="1"/>
  <c r="O1890" i="1"/>
  <c r="P1890" i="1"/>
  <c r="Q1890" i="1"/>
  <c r="R1890" i="1"/>
  <c r="S1890" i="1"/>
  <c r="T1890" i="1"/>
  <c r="O1891" i="1"/>
  <c r="P1891" i="1"/>
  <c r="Q1891" i="1"/>
  <c r="R1891" i="1"/>
  <c r="S1891" i="1"/>
  <c r="T1891" i="1"/>
  <c r="O1892" i="1"/>
  <c r="P1892" i="1"/>
  <c r="Q1892" i="1"/>
  <c r="R1892" i="1"/>
  <c r="S1892" i="1"/>
  <c r="T1892" i="1"/>
  <c r="O1893" i="1"/>
  <c r="P1893" i="1"/>
  <c r="Q1893" i="1"/>
  <c r="R1893" i="1"/>
  <c r="S1893" i="1"/>
  <c r="T1893" i="1"/>
  <c r="P1894" i="1"/>
  <c r="Q1894" i="1"/>
  <c r="R1894" i="1"/>
  <c r="S1894" i="1"/>
  <c r="T1894" i="1"/>
  <c r="O1895" i="1"/>
  <c r="P1895" i="1"/>
  <c r="Q1895" i="1"/>
  <c r="R1895" i="1"/>
  <c r="S1895" i="1"/>
  <c r="T1895" i="1"/>
  <c r="O1896" i="1"/>
  <c r="P1896" i="1"/>
  <c r="Q1896" i="1"/>
  <c r="R1896" i="1"/>
  <c r="S1896" i="1"/>
  <c r="T1896" i="1"/>
  <c r="O1897" i="1"/>
  <c r="P1897" i="1"/>
  <c r="Q1897" i="1"/>
  <c r="R1897" i="1"/>
  <c r="S1897" i="1"/>
  <c r="T1897" i="1"/>
  <c r="O1898" i="1"/>
  <c r="P1898" i="1"/>
  <c r="Q1898" i="1"/>
  <c r="R1898" i="1"/>
  <c r="S1898" i="1"/>
  <c r="T1898" i="1"/>
  <c r="O1899" i="1"/>
  <c r="P1899" i="1"/>
  <c r="Q1899" i="1"/>
  <c r="R1899" i="1"/>
  <c r="S1899" i="1"/>
  <c r="T1899" i="1"/>
  <c r="O1900" i="1"/>
  <c r="P1900" i="1"/>
  <c r="Q1900" i="1"/>
  <c r="R1900" i="1"/>
  <c r="S1900" i="1"/>
  <c r="T1900" i="1"/>
  <c r="O1901" i="1"/>
  <c r="P1901" i="1"/>
  <c r="Q1901" i="1"/>
  <c r="R1901" i="1"/>
  <c r="S1901" i="1"/>
  <c r="T1901" i="1"/>
  <c r="O1902" i="1"/>
  <c r="P1902" i="1"/>
  <c r="Q1902" i="1"/>
  <c r="R1902" i="1"/>
  <c r="S1902" i="1"/>
  <c r="T1902" i="1"/>
  <c r="O1903" i="1"/>
  <c r="P1903" i="1"/>
  <c r="Q1903" i="1"/>
  <c r="R1903" i="1"/>
  <c r="S1903" i="1"/>
  <c r="T1903" i="1"/>
  <c r="O1904" i="1"/>
  <c r="P1904" i="1"/>
  <c r="Q1904" i="1"/>
  <c r="R1904" i="1"/>
  <c r="S1904" i="1"/>
  <c r="T1904" i="1"/>
  <c r="O1905" i="1"/>
  <c r="P1905" i="1"/>
  <c r="Q1905" i="1"/>
  <c r="R1905" i="1"/>
  <c r="S1905" i="1"/>
  <c r="T1905" i="1"/>
  <c r="O1906" i="1"/>
  <c r="P1906" i="1"/>
  <c r="Q1906" i="1"/>
  <c r="R1906" i="1"/>
  <c r="S1906" i="1"/>
  <c r="T1906" i="1"/>
  <c r="O1907" i="1"/>
  <c r="P1907" i="1"/>
  <c r="Q1907" i="1"/>
  <c r="R1907" i="1"/>
  <c r="S1907" i="1"/>
  <c r="T1907" i="1"/>
  <c r="O1908" i="1"/>
  <c r="P1908" i="1"/>
  <c r="Q1908" i="1"/>
  <c r="R1908" i="1"/>
  <c r="S1908" i="1"/>
  <c r="T1908" i="1"/>
  <c r="O1909" i="1"/>
  <c r="P1909" i="1"/>
  <c r="Q1909" i="1"/>
  <c r="R1909" i="1"/>
  <c r="S1909" i="1"/>
  <c r="T1909" i="1"/>
  <c r="O1910" i="1"/>
  <c r="P1910" i="1"/>
  <c r="Q1910" i="1"/>
  <c r="R1910" i="1"/>
  <c r="S1910" i="1"/>
  <c r="T1910" i="1"/>
  <c r="O1911" i="1"/>
  <c r="P1911" i="1"/>
  <c r="Q1911" i="1"/>
  <c r="R1911" i="1"/>
  <c r="S1911" i="1"/>
  <c r="T1911" i="1"/>
  <c r="O1912" i="1"/>
  <c r="P1912" i="1"/>
  <c r="Q1912" i="1"/>
  <c r="R1912" i="1"/>
  <c r="S1912" i="1"/>
  <c r="T1912" i="1"/>
  <c r="O1913" i="1"/>
  <c r="P1913" i="1"/>
  <c r="Q1913" i="1"/>
  <c r="R1913" i="1"/>
  <c r="S1913" i="1"/>
  <c r="T1913" i="1"/>
  <c r="O1914" i="1"/>
  <c r="P1914" i="1"/>
  <c r="Q1914" i="1"/>
  <c r="R1914" i="1"/>
  <c r="S1914" i="1"/>
  <c r="T1914" i="1"/>
  <c r="O1915" i="1"/>
  <c r="P1915" i="1"/>
  <c r="Q1915" i="1"/>
  <c r="R1915" i="1"/>
  <c r="S1915" i="1"/>
  <c r="T1915" i="1"/>
  <c r="O1916" i="1"/>
  <c r="P1916" i="1"/>
  <c r="Q1916" i="1"/>
  <c r="R1916" i="1"/>
  <c r="S1916" i="1"/>
  <c r="T1916" i="1"/>
  <c r="O1917" i="1"/>
  <c r="P1917" i="1"/>
  <c r="Q1917" i="1"/>
  <c r="R1917" i="1"/>
  <c r="S1917" i="1"/>
  <c r="T1917" i="1"/>
  <c r="O1918" i="1"/>
  <c r="P1918" i="1"/>
  <c r="Q1918" i="1"/>
  <c r="R1918" i="1"/>
  <c r="S1918" i="1"/>
  <c r="T1918" i="1"/>
  <c r="O1919" i="1"/>
  <c r="P1919" i="1"/>
  <c r="Q1919" i="1"/>
  <c r="R1919" i="1"/>
  <c r="S1919" i="1"/>
  <c r="T1919" i="1"/>
  <c r="O1920" i="1"/>
  <c r="P1920" i="1"/>
  <c r="Q1920" i="1"/>
  <c r="R1920" i="1"/>
  <c r="S1920" i="1"/>
  <c r="T1920" i="1"/>
  <c r="O1921" i="1"/>
  <c r="P1921" i="1"/>
  <c r="Q1921" i="1"/>
  <c r="R1921" i="1"/>
  <c r="S1921" i="1"/>
  <c r="T1921" i="1"/>
  <c r="P1922" i="1"/>
  <c r="Q1922" i="1"/>
  <c r="R1922" i="1"/>
  <c r="S1922" i="1"/>
  <c r="T1922" i="1"/>
  <c r="O1923" i="1"/>
  <c r="P1923" i="1"/>
  <c r="Q1923" i="1"/>
  <c r="R1923" i="1"/>
  <c r="S1923" i="1"/>
  <c r="T1923" i="1"/>
  <c r="O1924" i="1"/>
  <c r="P1924" i="1"/>
  <c r="Q1924" i="1"/>
  <c r="R1924" i="1"/>
  <c r="S1924" i="1"/>
  <c r="T1924" i="1"/>
  <c r="O1925" i="1"/>
  <c r="P1925" i="1"/>
  <c r="Q1925" i="1"/>
  <c r="R1925" i="1"/>
  <c r="S1925" i="1"/>
  <c r="T1925" i="1"/>
  <c r="O1926" i="1"/>
  <c r="P1926" i="1"/>
  <c r="Q1926" i="1"/>
  <c r="R1926" i="1"/>
  <c r="S1926" i="1"/>
  <c r="T1926" i="1"/>
  <c r="O1927" i="1"/>
  <c r="P1927" i="1"/>
  <c r="Q1927" i="1"/>
  <c r="R1927" i="1"/>
  <c r="S1927" i="1"/>
  <c r="T1927" i="1"/>
  <c r="O1928" i="1"/>
  <c r="P1928" i="1"/>
  <c r="Q1928" i="1"/>
  <c r="R1928" i="1"/>
  <c r="S1928" i="1"/>
  <c r="T1928" i="1"/>
  <c r="O1929" i="1"/>
  <c r="P1929" i="1"/>
  <c r="Q1929" i="1"/>
  <c r="R1929" i="1"/>
  <c r="S1929" i="1"/>
  <c r="T1929" i="1"/>
  <c r="O1930" i="1"/>
  <c r="P1930" i="1"/>
  <c r="Q1930" i="1"/>
  <c r="R1930" i="1"/>
  <c r="S1930" i="1"/>
  <c r="T1930" i="1"/>
  <c r="O1931" i="1"/>
  <c r="P1931" i="1"/>
  <c r="Q1931" i="1"/>
  <c r="R1931" i="1"/>
  <c r="S1931" i="1"/>
  <c r="T1931" i="1"/>
  <c r="O1932" i="1"/>
  <c r="P1932" i="1"/>
  <c r="Q1932" i="1"/>
  <c r="R1932" i="1"/>
  <c r="S1932" i="1"/>
  <c r="T1932" i="1"/>
  <c r="O1933" i="1"/>
  <c r="P1933" i="1"/>
  <c r="Q1933" i="1"/>
  <c r="R1933" i="1"/>
  <c r="S1933" i="1"/>
  <c r="T1933" i="1"/>
  <c r="O1934" i="1"/>
  <c r="P1934" i="1"/>
  <c r="Q1934" i="1"/>
  <c r="R1934" i="1"/>
  <c r="S1934" i="1"/>
  <c r="T1934" i="1"/>
  <c r="O1935" i="1"/>
  <c r="P1935" i="1"/>
  <c r="Q1935" i="1"/>
  <c r="R1935" i="1"/>
  <c r="S1935" i="1"/>
  <c r="T1935" i="1"/>
  <c r="O1936" i="1"/>
  <c r="P1936" i="1"/>
  <c r="Q1936" i="1"/>
  <c r="R1936" i="1"/>
  <c r="S1936" i="1"/>
  <c r="T1936" i="1"/>
  <c r="O1937" i="1"/>
  <c r="P1937" i="1"/>
  <c r="Q1937" i="1"/>
  <c r="R1937" i="1"/>
  <c r="S1937" i="1"/>
  <c r="T1937" i="1"/>
  <c r="O1938" i="1"/>
  <c r="P1938" i="1"/>
  <c r="Q1938" i="1"/>
  <c r="R1938" i="1"/>
  <c r="S1938" i="1"/>
  <c r="T1938" i="1"/>
  <c r="O1939" i="1"/>
  <c r="P1939" i="1"/>
  <c r="Q1939" i="1"/>
  <c r="R1939" i="1"/>
  <c r="S1939" i="1"/>
  <c r="T1939" i="1"/>
  <c r="O1940" i="1"/>
  <c r="P1940" i="1"/>
  <c r="Q1940" i="1"/>
  <c r="R1940" i="1"/>
  <c r="S1940" i="1"/>
  <c r="T1940" i="1"/>
  <c r="O1941" i="1"/>
  <c r="P1941" i="1"/>
  <c r="Q1941" i="1"/>
  <c r="R1941" i="1"/>
  <c r="S1941" i="1"/>
  <c r="T1941" i="1"/>
  <c r="O1942" i="1"/>
  <c r="P1942" i="1"/>
  <c r="Q1942" i="1"/>
  <c r="R1942" i="1"/>
  <c r="S1942" i="1"/>
  <c r="T1942" i="1"/>
  <c r="O1943" i="1"/>
  <c r="P1943" i="1"/>
  <c r="Q1943" i="1"/>
  <c r="R1943" i="1"/>
  <c r="S1943" i="1"/>
  <c r="T1943" i="1"/>
  <c r="O1944" i="1"/>
  <c r="P1944" i="1"/>
  <c r="Q1944" i="1"/>
  <c r="R1944" i="1"/>
  <c r="S1944" i="1"/>
  <c r="T1944" i="1"/>
  <c r="P1945" i="1"/>
  <c r="Q1945" i="1"/>
  <c r="R1945" i="1"/>
  <c r="S1945" i="1"/>
  <c r="T1945" i="1"/>
  <c r="O1946" i="1"/>
  <c r="P1946" i="1"/>
  <c r="Q1946" i="1"/>
  <c r="R1946" i="1"/>
  <c r="S1946" i="1"/>
  <c r="T1946" i="1"/>
  <c r="O1947" i="1"/>
  <c r="P1947" i="1"/>
  <c r="Q1947" i="1"/>
  <c r="R1947" i="1"/>
  <c r="S1947" i="1"/>
  <c r="T1947" i="1"/>
  <c r="O1948" i="1"/>
  <c r="P1948" i="1"/>
  <c r="Q1948" i="1"/>
  <c r="R1948" i="1"/>
  <c r="S1948" i="1"/>
  <c r="T1948" i="1"/>
  <c r="O1949" i="1"/>
  <c r="P1949" i="1"/>
  <c r="Q1949" i="1"/>
  <c r="R1949" i="1"/>
  <c r="S1949" i="1"/>
  <c r="T1949" i="1"/>
  <c r="O1950" i="1"/>
  <c r="P1950" i="1"/>
  <c r="Q1950" i="1"/>
  <c r="R1950" i="1"/>
  <c r="S1950" i="1"/>
  <c r="T1950" i="1"/>
  <c r="O1951" i="1"/>
  <c r="P1951" i="1"/>
  <c r="Q1951" i="1"/>
  <c r="R1951" i="1"/>
  <c r="S1951" i="1"/>
  <c r="T1951" i="1"/>
  <c r="O1952" i="1"/>
  <c r="P1952" i="1"/>
  <c r="Q1952" i="1"/>
  <c r="R1952" i="1"/>
  <c r="S1952" i="1"/>
  <c r="T1952" i="1"/>
  <c r="P1953" i="1"/>
  <c r="Q1953" i="1"/>
  <c r="R1953" i="1"/>
  <c r="S1953" i="1"/>
  <c r="T1953" i="1"/>
  <c r="O1954" i="1"/>
  <c r="P1954" i="1"/>
  <c r="Q1954" i="1"/>
  <c r="R1954" i="1"/>
  <c r="S1954" i="1"/>
  <c r="T1954" i="1"/>
  <c r="O1955" i="1"/>
  <c r="P1955" i="1"/>
  <c r="Q1955" i="1"/>
  <c r="R1955" i="1"/>
  <c r="S1955" i="1"/>
  <c r="T1955" i="1"/>
  <c r="O1956" i="1"/>
  <c r="P1956" i="1"/>
  <c r="Q1956" i="1"/>
  <c r="R1956" i="1"/>
  <c r="S1956" i="1"/>
  <c r="T1956" i="1"/>
  <c r="O1957" i="1"/>
  <c r="P1957" i="1"/>
  <c r="Q1957" i="1"/>
  <c r="R1957" i="1"/>
  <c r="S1957" i="1"/>
  <c r="T1957" i="1"/>
  <c r="O1958" i="1"/>
  <c r="P1958" i="1"/>
  <c r="Q1958" i="1"/>
  <c r="R1958" i="1"/>
  <c r="S1958" i="1"/>
  <c r="T1958" i="1"/>
  <c r="O1959" i="1"/>
  <c r="P1959" i="1"/>
  <c r="Q1959" i="1"/>
  <c r="R1959" i="1"/>
  <c r="S1959" i="1"/>
  <c r="T1959" i="1"/>
  <c r="O1960" i="1"/>
  <c r="P1960" i="1"/>
  <c r="Q1960" i="1"/>
  <c r="R1960" i="1"/>
  <c r="S1960" i="1"/>
  <c r="T1960" i="1"/>
  <c r="O1961" i="1"/>
  <c r="P1961" i="1"/>
  <c r="Q1961" i="1"/>
  <c r="R1961" i="1"/>
  <c r="S1961" i="1"/>
  <c r="T1961" i="1"/>
  <c r="O1962" i="1"/>
  <c r="P1962" i="1"/>
  <c r="Q1962" i="1"/>
  <c r="R1962" i="1"/>
  <c r="S1962" i="1"/>
  <c r="T1962" i="1"/>
  <c r="O1963" i="1"/>
  <c r="P1963" i="1"/>
  <c r="Q1963" i="1"/>
  <c r="R1963" i="1"/>
  <c r="S1963" i="1"/>
  <c r="T1963" i="1"/>
  <c r="O1964" i="1"/>
  <c r="P1964" i="1"/>
  <c r="Q1964" i="1"/>
  <c r="R1964" i="1"/>
  <c r="S1964" i="1"/>
  <c r="T1964" i="1"/>
  <c r="O1965" i="1"/>
  <c r="P1965" i="1"/>
  <c r="Q1965" i="1"/>
  <c r="R1965" i="1"/>
  <c r="S1965" i="1"/>
  <c r="T1965" i="1"/>
  <c r="O1966" i="1"/>
  <c r="P1966" i="1"/>
  <c r="Q1966" i="1"/>
  <c r="R1966" i="1"/>
  <c r="S1966" i="1"/>
  <c r="T1966" i="1"/>
  <c r="O1967" i="1"/>
  <c r="P1967" i="1"/>
  <c r="Q1967" i="1"/>
  <c r="R1967" i="1"/>
  <c r="S1967" i="1"/>
  <c r="T1967" i="1"/>
  <c r="O1968" i="1"/>
  <c r="P1968" i="1"/>
  <c r="Q1968" i="1"/>
  <c r="R1968" i="1"/>
  <c r="S1968" i="1"/>
  <c r="T1968" i="1"/>
  <c r="O1969" i="1"/>
  <c r="P1969" i="1"/>
  <c r="Q1969" i="1"/>
  <c r="R1969" i="1"/>
  <c r="S1969" i="1"/>
  <c r="T1969" i="1"/>
  <c r="O1970" i="1"/>
  <c r="P1970" i="1"/>
  <c r="Q1970" i="1"/>
  <c r="R1970" i="1"/>
  <c r="S1970" i="1"/>
  <c r="T1970" i="1"/>
  <c r="O1971" i="1"/>
  <c r="P1971" i="1"/>
  <c r="Q1971" i="1"/>
  <c r="R1971" i="1"/>
  <c r="S1971" i="1"/>
  <c r="T1971" i="1"/>
  <c r="O1972" i="1"/>
  <c r="P1972" i="1"/>
  <c r="Q1972" i="1"/>
  <c r="R1972" i="1"/>
  <c r="S1972" i="1"/>
  <c r="T1972" i="1"/>
  <c r="O1973" i="1"/>
  <c r="P1973" i="1"/>
  <c r="Q1973" i="1"/>
  <c r="R1973" i="1"/>
  <c r="S1973" i="1"/>
  <c r="T1973" i="1"/>
  <c r="O1974" i="1"/>
  <c r="P1974" i="1"/>
  <c r="Q1974" i="1"/>
  <c r="R1974" i="1"/>
  <c r="S1974" i="1"/>
  <c r="T1974" i="1"/>
  <c r="O1975" i="1"/>
  <c r="P1975" i="1"/>
  <c r="R1975" i="1"/>
  <c r="S1975" i="1"/>
  <c r="T1975" i="1"/>
  <c r="O1976" i="1"/>
  <c r="P1976" i="1"/>
  <c r="R1976" i="1"/>
  <c r="S1976" i="1"/>
  <c r="T1976" i="1"/>
  <c r="O1977" i="1"/>
  <c r="P1977" i="1"/>
  <c r="R1977" i="1"/>
  <c r="S1977" i="1"/>
  <c r="T1977" i="1"/>
  <c r="O1978" i="1"/>
  <c r="P1978" i="1"/>
  <c r="Q1978" i="1"/>
  <c r="R1978" i="1"/>
  <c r="S1978" i="1"/>
  <c r="T1978" i="1"/>
  <c r="O1979" i="1"/>
  <c r="P1979" i="1"/>
  <c r="Q1979" i="1"/>
  <c r="R1979" i="1"/>
  <c r="S1979" i="1"/>
  <c r="T1979" i="1"/>
  <c r="O1980" i="1"/>
  <c r="P1980" i="1"/>
  <c r="Q1980" i="1"/>
  <c r="R1980" i="1"/>
  <c r="S1980" i="1"/>
  <c r="T1980" i="1"/>
  <c r="O1981" i="1"/>
  <c r="P1981" i="1"/>
  <c r="Q1981" i="1"/>
  <c r="R1981" i="1"/>
  <c r="S1981" i="1"/>
  <c r="T1981" i="1"/>
  <c r="O1982" i="1"/>
  <c r="P1982" i="1"/>
  <c r="Q1982" i="1"/>
  <c r="R1982" i="1"/>
  <c r="S1982" i="1"/>
  <c r="T1982" i="1"/>
  <c r="O1983" i="1"/>
  <c r="P1983" i="1"/>
  <c r="Q1983" i="1"/>
  <c r="R1983" i="1"/>
  <c r="S1983" i="1"/>
  <c r="T1983" i="1"/>
  <c r="O1984" i="1"/>
  <c r="P1984" i="1"/>
  <c r="Q1984" i="1"/>
  <c r="R1984" i="1"/>
  <c r="S1984" i="1"/>
  <c r="T1984" i="1"/>
  <c r="O1985" i="1"/>
  <c r="P1985" i="1"/>
  <c r="Q1985" i="1"/>
  <c r="R1985" i="1"/>
  <c r="S1985" i="1"/>
  <c r="T1985" i="1"/>
  <c r="O1986" i="1"/>
  <c r="P1986" i="1"/>
  <c r="R1986" i="1"/>
  <c r="S1986" i="1"/>
  <c r="T1986" i="1"/>
  <c r="O1987" i="1"/>
  <c r="P1987" i="1"/>
  <c r="R1987" i="1"/>
  <c r="S1987" i="1"/>
  <c r="T1987" i="1"/>
  <c r="O1988" i="1"/>
  <c r="P1988" i="1"/>
  <c r="R1988" i="1"/>
  <c r="S1988" i="1"/>
  <c r="T1988" i="1"/>
  <c r="O1989" i="1"/>
  <c r="P1989" i="1"/>
  <c r="R1989" i="1"/>
  <c r="S1989" i="1"/>
  <c r="T1989" i="1"/>
  <c r="O1990" i="1"/>
  <c r="P1990" i="1"/>
  <c r="Q1990" i="1"/>
  <c r="R1990" i="1"/>
  <c r="S1990" i="1"/>
  <c r="T1990" i="1"/>
  <c r="O1991" i="1"/>
  <c r="P1991" i="1"/>
  <c r="Q1991" i="1"/>
  <c r="R1991" i="1"/>
  <c r="S1991" i="1"/>
  <c r="T1991" i="1"/>
  <c r="O1992" i="1"/>
  <c r="P1992" i="1"/>
  <c r="Q1992" i="1"/>
  <c r="R1992" i="1"/>
  <c r="S1992" i="1"/>
  <c r="T1992" i="1"/>
  <c r="O1993" i="1"/>
  <c r="P1993" i="1"/>
  <c r="Q1993" i="1"/>
  <c r="R1993" i="1"/>
  <c r="S1993" i="1"/>
  <c r="T1993" i="1"/>
  <c r="O1994" i="1"/>
  <c r="P1994" i="1"/>
  <c r="Q1994" i="1"/>
  <c r="R1994" i="1"/>
  <c r="S1994" i="1"/>
  <c r="T1994" i="1"/>
  <c r="O1995" i="1"/>
  <c r="P1995" i="1"/>
  <c r="Q1995" i="1"/>
  <c r="R1995" i="1"/>
  <c r="S1995" i="1"/>
  <c r="T1995" i="1"/>
  <c r="O1996" i="1"/>
  <c r="P1996" i="1"/>
  <c r="Q1996" i="1"/>
  <c r="R1996" i="1"/>
  <c r="S1996" i="1"/>
  <c r="T1996" i="1"/>
  <c r="O1997" i="1"/>
  <c r="P1997" i="1"/>
  <c r="Q1997" i="1"/>
  <c r="R1997" i="1"/>
  <c r="S1997" i="1"/>
  <c r="T1997" i="1"/>
  <c r="O1998" i="1"/>
  <c r="P1998" i="1"/>
  <c r="Q1998" i="1"/>
  <c r="R1998" i="1"/>
  <c r="S1998" i="1"/>
  <c r="T1998" i="1"/>
  <c r="O1999" i="1"/>
  <c r="P1999" i="1"/>
  <c r="Q1999" i="1"/>
  <c r="R1999" i="1"/>
  <c r="S1999" i="1"/>
  <c r="T1999" i="1"/>
  <c r="O2000" i="1"/>
  <c r="P2000" i="1"/>
  <c r="Q2000" i="1"/>
  <c r="R2000" i="1"/>
  <c r="S2000" i="1"/>
  <c r="T2000" i="1"/>
  <c r="O1781" i="1"/>
  <c r="P1781" i="1"/>
  <c r="Q1781" i="1"/>
  <c r="R1781" i="1"/>
  <c r="S1781" i="1"/>
  <c r="T1781" i="1"/>
  <c r="O1782" i="1"/>
  <c r="P1782" i="1"/>
  <c r="Q1782" i="1"/>
  <c r="R1782" i="1"/>
  <c r="S1782" i="1"/>
  <c r="T1782" i="1"/>
  <c r="O1783" i="1"/>
  <c r="P1783" i="1"/>
  <c r="Q1783" i="1"/>
  <c r="R1783" i="1"/>
  <c r="S1783" i="1"/>
  <c r="T1783" i="1"/>
  <c r="O1784" i="1"/>
  <c r="P1784" i="1"/>
  <c r="Q1784" i="1"/>
  <c r="R1784" i="1"/>
  <c r="S1784" i="1"/>
  <c r="T1784" i="1"/>
  <c r="O1785" i="1"/>
  <c r="P1785" i="1"/>
  <c r="Q1785" i="1"/>
  <c r="R1785" i="1"/>
  <c r="S1785" i="1"/>
  <c r="T1785" i="1"/>
  <c r="O1786" i="1"/>
  <c r="P1786" i="1"/>
  <c r="Q1786" i="1"/>
  <c r="R1786" i="1"/>
  <c r="S1786" i="1"/>
  <c r="T1786" i="1"/>
  <c r="O1787" i="1"/>
  <c r="P1787" i="1"/>
  <c r="Q1787" i="1"/>
  <c r="R1787" i="1"/>
  <c r="S1787" i="1"/>
  <c r="T1787" i="1"/>
  <c r="O1788" i="1"/>
  <c r="P1788" i="1"/>
  <c r="Q1788" i="1"/>
  <c r="R1788" i="1"/>
  <c r="S1788" i="1"/>
  <c r="T1788" i="1"/>
  <c r="O1789" i="1"/>
  <c r="P1789" i="1"/>
  <c r="Q1789" i="1"/>
  <c r="R1789" i="1"/>
  <c r="S1789" i="1"/>
  <c r="T1789" i="1"/>
  <c r="O1790" i="1"/>
  <c r="P1790" i="1"/>
  <c r="Q1790" i="1"/>
  <c r="R1790" i="1"/>
  <c r="S1790" i="1"/>
  <c r="T1790" i="1"/>
  <c r="O1791" i="1"/>
  <c r="P1791" i="1"/>
  <c r="Q1791" i="1"/>
  <c r="R1791" i="1"/>
  <c r="S1791" i="1"/>
  <c r="T1791" i="1"/>
  <c r="O1792" i="1"/>
  <c r="P1792" i="1"/>
  <c r="Q1792" i="1"/>
  <c r="R1792" i="1"/>
  <c r="S1792" i="1"/>
  <c r="T1792" i="1"/>
  <c r="O1793" i="1"/>
  <c r="P1793" i="1"/>
  <c r="Q1793" i="1"/>
  <c r="R1793" i="1"/>
  <c r="S1793" i="1"/>
  <c r="T1793" i="1"/>
  <c r="O1794" i="1"/>
  <c r="P1794" i="1"/>
  <c r="Q1794" i="1"/>
  <c r="R1794" i="1"/>
  <c r="S1794" i="1"/>
  <c r="T1794" i="1"/>
  <c r="O1795" i="1"/>
  <c r="P1795" i="1"/>
  <c r="Q1795" i="1"/>
  <c r="R1795" i="1"/>
  <c r="S1795" i="1"/>
  <c r="T1795" i="1"/>
  <c r="O1796" i="1"/>
  <c r="P1796" i="1"/>
  <c r="Q1796" i="1"/>
  <c r="R1796" i="1"/>
  <c r="S1796" i="1"/>
  <c r="T1796" i="1"/>
  <c r="O1797" i="1"/>
  <c r="P1797" i="1"/>
  <c r="Q1797" i="1"/>
  <c r="R1797" i="1"/>
  <c r="S1797" i="1"/>
  <c r="T1797" i="1"/>
  <c r="O1798" i="1"/>
  <c r="P1798" i="1"/>
  <c r="Q1798" i="1"/>
  <c r="R1798" i="1"/>
  <c r="S1798" i="1"/>
  <c r="T1798" i="1"/>
  <c r="O1799" i="1"/>
  <c r="P1799" i="1"/>
  <c r="Q1799" i="1"/>
  <c r="R1799" i="1"/>
  <c r="S1799" i="1"/>
  <c r="T1799" i="1"/>
  <c r="O1800" i="1"/>
  <c r="P1800" i="1"/>
  <c r="Q1800" i="1"/>
  <c r="R1800" i="1"/>
  <c r="S1800" i="1"/>
  <c r="T1800" i="1"/>
  <c r="O1801" i="1"/>
  <c r="P1801" i="1"/>
  <c r="Q1801" i="1"/>
  <c r="R1801" i="1"/>
  <c r="S1801" i="1"/>
  <c r="T1801" i="1"/>
  <c r="O1802" i="1"/>
  <c r="P1802" i="1"/>
  <c r="Q1802" i="1"/>
  <c r="R1802" i="1"/>
  <c r="S1802" i="1"/>
  <c r="T1802" i="1"/>
  <c r="O1803" i="1"/>
  <c r="P1803" i="1"/>
  <c r="Q1803" i="1"/>
  <c r="R1803" i="1"/>
  <c r="S1803" i="1"/>
  <c r="T1803" i="1"/>
  <c r="O1804" i="1"/>
  <c r="P1804" i="1"/>
  <c r="Q1804" i="1"/>
  <c r="R1804" i="1"/>
  <c r="S1804" i="1"/>
  <c r="T1804" i="1"/>
  <c r="O1805" i="1"/>
  <c r="P1805" i="1"/>
  <c r="Q1805" i="1"/>
  <c r="R1805" i="1"/>
  <c r="S1805" i="1"/>
  <c r="T1805" i="1"/>
  <c r="O1806" i="1"/>
  <c r="P1806" i="1"/>
  <c r="Q1806" i="1"/>
  <c r="R1806" i="1"/>
  <c r="S1806" i="1"/>
  <c r="T1806" i="1"/>
  <c r="O1807" i="1"/>
  <c r="P1807" i="1"/>
  <c r="Q1807" i="1"/>
  <c r="R1807" i="1"/>
  <c r="S1807" i="1"/>
  <c r="T1807" i="1"/>
  <c r="O1808" i="1"/>
  <c r="P1808" i="1"/>
  <c r="Q1808" i="1"/>
  <c r="R1808" i="1"/>
  <c r="S1808" i="1"/>
  <c r="T1808" i="1"/>
  <c r="O1809" i="1"/>
  <c r="P1809" i="1"/>
  <c r="Q1809" i="1"/>
  <c r="R1809" i="1"/>
  <c r="S1809" i="1"/>
  <c r="T1809" i="1"/>
  <c r="O1810" i="1"/>
  <c r="P1810" i="1"/>
  <c r="Q1810" i="1"/>
  <c r="R1810" i="1"/>
  <c r="S1810" i="1"/>
  <c r="T1810" i="1"/>
  <c r="O1811" i="1"/>
  <c r="P1811" i="1"/>
  <c r="Q1811" i="1"/>
  <c r="R1811" i="1"/>
  <c r="S1811" i="1"/>
  <c r="T1811" i="1"/>
  <c r="O1812" i="1"/>
  <c r="P1812" i="1"/>
  <c r="Q1812" i="1"/>
  <c r="R1812" i="1"/>
  <c r="S1812" i="1"/>
  <c r="T1812" i="1"/>
  <c r="O1813" i="1"/>
  <c r="P1813" i="1"/>
  <c r="Q1813" i="1"/>
  <c r="R1813" i="1"/>
  <c r="S1813" i="1"/>
  <c r="T1813" i="1"/>
  <c r="O1814" i="1"/>
  <c r="P1814" i="1"/>
  <c r="Q1814" i="1"/>
  <c r="R1814" i="1"/>
  <c r="S1814" i="1"/>
  <c r="T1814" i="1"/>
  <c r="O1815" i="1"/>
  <c r="P1815" i="1"/>
  <c r="Q1815" i="1"/>
  <c r="R1815" i="1"/>
  <c r="S1815" i="1"/>
  <c r="T1815" i="1"/>
  <c r="O1816" i="1"/>
  <c r="P1816" i="1"/>
  <c r="Q1816" i="1"/>
  <c r="R1816" i="1"/>
  <c r="S1816" i="1"/>
  <c r="T1816" i="1"/>
  <c r="O1817" i="1"/>
  <c r="P1817" i="1"/>
  <c r="Q1817" i="1"/>
  <c r="R1817" i="1"/>
  <c r="S1817" i="1"/>
  <c r="T1817" i="1"/>
  <c r="O1818" i="1"/>
  <c r="P1818" i="1"/>
  <c r="Q1818" i="1"/>
  <c r="R1818" i="1"/>
  <c r="S1818" i="1"/>
  <c r="T1818" i="1"/>
  <c r="O1819" i="1"/>
  <c r="P1819" i="1"/>
  <c r="Q1819" i="1"/>
  <c r="R1819" i="1"/>
  <c r="S1819" i="1"/>
  <c r="T1819" i="1"/>
  <c r="O1820" i="1"/>
  <c r="P1820" i="1"/>
  <c r="Q1820" i="1"/>
  <c r="R1820" i="1"/>
  <c r="S1820" i="1"/>
  <c r="T1820" i="1"/>
  <c r="O1821" i="1"/>
  <c r="P1821" i="1"/>
  <c r="Q1821" i="1"/>
  <c r="R1821" i="1"/>
  <c r="S1821" i="1"/>
  <c r="T1821" i="1"/>
  <c r="O1822" i="1"/>
  <c r="P1822" i="1"/>
  <c r="Q1822" i="1"/>
  <c r="R1822" i="1"/>
  <c r="S1822" i="1"/>
  <c r="T1822" i="1"/>
  <c r="O1823" i="1"/>
  <c r="P1823" i="1"/>
  <c r="Q1823" i="1"/>
  <c r="R1823" i="1"/>
  <c r="S1823" i="1"/>
  <c r="T1823" i="1"/>
  <c r="O1824" i="1"/>
  <c r="P1824" i="1"/>
  <c r="Q1824" i="1"/>
  <c r="R1824" i="1"/>
  <c r="S1824" i="1"/>
  <c r="T1824" i="1"/>
  <c r="O1825" i="1"/>
  <c r="P1825" i="1"/>
  <c r="Q1825" i="1"/>
  <c r="R1825" i="1"/>
  <c r="S1825" i="1"/>
  <c r="T1825" i="1"/>
  <c r="O1826" i="1"/>
  <c r="P1826" i="1"/>
  <c r="Q1826" i="1"/>
  <c r="R1826" i="1"/>
  <c r="S1826" i="1"/>
  <c r="T1826" i="1"/>
  <c r="O1827" i="1"/>
  <c r="P1827" i="1"/>
  <c r="Q1827" i="1"/>
  <c r="R1827" i="1"/>
  <c r="S1827" i="1"/>
  <c r="T1827" i="1"/>
  <c r="O1828" i="1"/>
  <c r="P1828" i="1"/>
  <c r="Q1828" i="1"/>
  <c r="R1828" i="1"/>
  <c r="S1828" i="1"/>
  <c r="T1828" i="1"/>
  <c r="O1829" i="1"/>
  <c r="P1829" i="1"/>
  <c r="Q1829" i="1"/>
  <c r="R1829" i="1"/>
  <c r="S1829" i="1"/>
  <c r="T1829" i="1"/>
  <c r="O1830" i="1"/>
  <c r="P1830" i="1"/>
  <c r="Q1830" i="1"/>
  <c r="R1830" i="1"/>
  <c r="S1830" i="1"/>
  <c r="T1830" i="1"/>
  <c r="O1831" i="1"/>
  <c r="P1831" i="1"/>
  <c r="Q1831" i="1"/>
  <c r="R1831" i="1"/>
  <c r="S1831" i="1"/>
  <c r="T1831" i="1"/>
  <c r="O1832" i="1"/>
  <c r="P1832" i="1"/>
  <c r="Q1832" i="1"/>
  <c r="R1832" i="1"/>
  <c r="S1832" i="1"/>
  <c r="T1832" i="1"/>
  <c r="O1833" i="1"/>
  <c r="P1833" i="1"/>
  <c r="Q1833" i="1"/>
  <c r="R1833" i="1"/>
  <c r="S1833" i="1"/>
  <c r="T1833" i="1"/>
  <c r="O1834" i="1"/>
  <c r="P1834" i="1"/>
  <c r="Q1834" i="1"/>
  <c r="R1834" i="1"/>
  <c r="S1834" i="1"/>
  <c r="T1834" i="1"/>
  <c r="O1835" i="1"/>
  <c r="P1835" i="1"/>
  <c r="Q1835" i="1"/>
  <c r="R1835" i="1"/>
  <c r="S1835" i="1"/>
  <c r="T1835" i="1"/>
  <c r="O1836" i="1"/>
  <c r="P1836" i="1"/>
  <c r="Q1836" i="1"/>
  <c r="R1836" i="1"/>
  <c r="S1836" i="1"/>
  <c r="T1836" i="1"/>
  <c r="O1837" i="1"/>
  <c r="P1837" i="1"/>
  <c r="Q1837" i="1"/>
  <c r="R1837" i="1"/>
  <c r="S1837" i="1"/>
  <c r="T1837" i="1"/>
  <c r="O1838" i="1"/>
  <c r="P1838" i="1"/>
  <c r="Q1838" i="1"/>
  <c r="R1838" i="1"/>
  <c r="S1838" i="1"/>
  <c r="T1838" i="1"/>
  <c r="O1839" i="1"/>
  <c r="P1839" i="1"/>
  <c r="Q1839" i="1"/>
  <c r="R1839" i="1"/>
  <c r="S1839" i="1"/>
  <c r="T1839" i="1"/>
  <c r="O1840" i="1"/>
  <c r="P1840" i="1"/>
  <c r="Q1840" i="1"/>
  <c r="R1840" i="1"/>
  <c r="S1840" i="1"/>
  <c r="T1840" i="1"/>
  <c r="O1841" i="1"/>
  <c r="P1841" i="1"/>
  <c r="Q1841" i="1"/>
  <c r="R1841" i="1"/>
  <c r="S1841" i="1"/>
  <c r="T1841" i="1"/>
  <c r="O1842" i="1"/>
  <c r="P1842" i="1"/>
  <c r="Q1842" i="1"/>
  <c r="R1842" i="1"/>
  <c r="S1842" i="1"/>
  <c r="T1842" i="1"/>
  <c r="O1843" i="1"/>
  <c r="P1843" i="1"/>
  <c r="Q1843" i="1"/>
  <c r="R1843" i="1"/>
  <c r="S1843" i="1"/>
  <c r="T1843" i="1"/>
  <c r="O1844" i="1"/>
  <c r="P1844" i="1"/>
  <c r="Q1844" i="1"/>
  <c r="R1844" i="1"/>
  <c r="S1844" i="1"/>
  <c r="T1844" i="1"/>
  <c r="O1845" i="1"/>
  <c r="P1845" i="1"/>
  <c r="Q1845" i="1"/>
  <c r="R1845" i="1"/>
  <c r="S1845" i="1"/>
  <c r="T1845" i="1"/>
  <c r="O1846" i="1"/>
  <c r="P1846" i="1"/>
  <c r="Q1846" i="1"/>
  <c r="R1846" i="1"/>
  <c r="S1846" i="1"/>
  <c r="T1846" i="1"/>
  <c r="O1847" i="1"/>
  <c r="P1847" i="1"/>
  <c r="Q1847" i="1"/>
  <c r="R1847" i="1"/>
  <c r="S1847" i="1"/>
  <c r="T1847" i="1"/>
  <c r="O1848" i="1"/>
  <c r="P1848" i="1"/>
  <c r="Q1848" i="1"/>
  <c r="R1848" i="1"/>
  <c r="S1848" i="1"/>
  <c r="T1848" i="1"/>
  <c r="O1849" i="1"/>
  <c r="P1849" i="1"/>
  <c r="Q1849" i="1"/>
  <c r="R1849" i="1"/>
  <c r="S1849" i="1"/>
  <c r="T1849" i="1"/>
  <c r="O1850" i="1"/>
  <c r="P1850" i="1"/>
  <c r="Q1850" i="1"/>
  <c r="R1850" i="1"/>
  <c r="S1850" i="1"/>
  <c r="T1850" i="1"/>
  <c r="O1851" i="1"/>
  <c r="P1851" i="1"/>
  <c r="Q1851" i="1"/>
  <c r="R1851" i="1"/>
  <c r="S1851" i="1"/>
  <c r="T1851" i="1"/>
  <c r="O1852" i="1"/>
  <c r="P1852" i="1"/>
  <c r="Q1852" i="1"/>
  <c r="R1852" i="1"/>
  <c r="S1852" i="1"/>
  <c r="T1852" i="1"/>
  <c r="O1853" i="1"/>
  <c r="P1853" i="1"/>
  <c r="Q1853" i="1"/>
  <c r="R1853" i="1"/>
  <c r="S1853" i="1"/>
  <c r="T1853" i="1"/>
  <c r="O1854" i="1"/>
  <c r="P1854" i="1"/>
  <c r="Q1854" i="1"/>
  <c r="R1854" i="1"/>
  <c r="S1854" i="1"/>
  <c r="T1854" i="1"/>
  <c r="O1855" i="1"/>
  <c r="P1855" i="1"/>
  <c r="Q1855" i="1"/>
  <c r="R1855" i="1"/>
  <c r="S1855" i="1"/>
  <c r="T1855" i="1"/>
  <c r="O1856" i="1"/>
  <c r="P1856" i="1"/>
  <c r="Q1856" i="1"/>
  <c r="R1856" i="1"/>
  <c r="S1856" i="1"/>
  <c r="T1856" i="1"/>
  <c r="O1857" i="1"/>
  <c r="P1857" i="1"/>
  <c r="Q1857" i="1"/>
  <c r="R1857" i="1"/>
  <c r="S1857" i="1"/>
  <c r="T1857" i="1"/>
  <c r="O1858" i="1"/>
  <c r="P1858" i="1"/>
  <c r="Q1858" i="1"/>
  <c r="R1858" i="1"/>
  <c r="S1858" i="1"/>
  <c r="T1858" i="1"/>
  <c r="O1859" i="1"/>
  <c r="P1859" i="1"/>
  <c r="Q1859" i="1"/>
  <c r="R1859" i="1"/>
  <c r="S1859" i="1"/>
  <c r="T1859" i="1"/>
  <c r="O1860" i="1"/>
  <c r="P1860" i="1"/>
  <c r="Q1860" i="1"/>
  <c r="R1860" i="1"/>
  <c r="S1860" i="1"/>
  <c r="T1860" i="1"/>
  <c r="O1861" i="1"/>
  <c r="P1861" i="1"/>
  <c r="Q1861" i="1"/>
  <c r="R1861" i="1"/>
  <c r="S1861" i="1"/>
  <c r="T1861" i="1"/>
  <c r="O1862" i="1"/>
  <c r="P1862" i="1"/>
  <c r="Q1862" i="1"/>
  <c r="R1862" i="1"/>
  <c r="S1862" i="1"/>
  <c r="T1862" i="1"/>
  <c r="O1863" i="1"/>
  <c r="P1863" i="1"/>
  <c r="Q1863" i="1"/>
  <c r="R1863" i="1"/>
  <c r="S1863" i="1"/>
  <c r="T1863" i="1"/>
  <c r="O1864" i="1"/>
  <c r="P1864" i="1"/>
  <c r="Q1864" i="1"/>
  <c r="R1864" i="1"/>
  <c r="S1864" i="1"/>
  <c r="T1864" i="1"/>
  <c r="O1865" i="1"/>
  <c r="P1865" i="1"/>
  <c r="Q1865" i="1"/>
  <c r="R1865" i="1"/>
  <c r="S1865" i="1"/>
  <c r="T1865" i="1"/>
  <c r="P1866" i="1"/>
  <c r="Q1866" i="1"/>
  <c r="R1866" i="1"/>
  <c r="S1866" i="1"/>
  <c r="T1866" i="1"/>
  <c r="O1867" i="1"/>
  <c r="P1867" i="1"/>
  <c r="Q1867" i="1"/>
  <c r="R1867" i="1"/>
  <c r="S1867" i="1"/>
  <c r="T1867" i="1"/>
  <c r="O1868" i="1"/>
  <c r="P1868" i="1"/>
  <c r="Q1868" i="1"/>
  <c r="R1868" i="1"/>
  <c r="S1868" i="1"/>
  <c r="T1868" i="1"/>
  <c r="O1869" i="1"/>
  <c r="P1869" i="1"/>
  <c r="Q1869" i="1"/>
  <c r="R1869" i="1"/>
  <c r="S1869" i="1"/>
  <c r="T1869" i="1"/>
  <c r="O1870" i="1"/>
  <c r="P1870" i="1"/>
  <c r="Q1870" i="1"/>
  <c r="R1870" i="1"/>
  <c r="S1870" i="1"/>
  <c r="T1870" i="1"/>
  <c r="O1871" i="1"/>
  <c r="P1871" i="1"/>
  <c r="Q1871" i="1"/>
  <c r="R1871" i="1"/>
  <c r="S1871" i="1"/>
  <c r="T1871" i="1"/>
  <c r="O1873" i="1"/>
  <c r="P1873" i="1"/>
  <c r="Q1873" i="1"/>
  <c r="R1873" i="1"/>
  <c r="S1873" i="1"/>
  <c r="T1873" i="1"/>
  <c r="O1874" i="1"/>
  <c r="P1874" i="1"/>
  <c r="Q1874" i="1"/>
  <c r="R1874" i="1"/>
  <c r="S1874" i="1"/>
  <c r="T1874" i="1"/>
  <c r="O1875" i="1"/>
  <c r="P1875" i="1"/>
  <c r="Q1875" i="1"/>
  <c r="R1875" i="1"/>
  <c r="S1875" i="1"/>
  <c r="T1875" i="1"/>
  <c r="O1876" i="1"/>
  <c r="P1876" i="1"/>
  <c r="Q1876" i="1"/>
  <c r="R1876" i="1"/>
  <c r="S1876" i="1"/>
  <c r="T1876" i="1"/>
  <c r="O1877" i="1"/>
  <c r="P1877" i="1"/>
  <c r="Q1877" i="1"/>
  <c r="R1877" i="1"/>
  <c r="S1877" i="1"/>
  <c r="T1877" i="1"/>
  <c r="O1878" i="1"/>
  <c r="P1878" i="1"/>
  <c r="Q1878" i="1"/>
  <c r="R1878" i="1"/>
  <c r="S1878" i="1"/>
  <c r="T1878" i="1"/>
  <c r="P1879" i="1"/>
  <c r="Q1879" i="1"/>
  <c r="R1879" i="1"/>
  <c r="S1879" i="1"/>
  <c r="T1879" i="1"/>
  <c r="O1637" i="1"/>
  <c r="P1637" i="1"/>
  <c r="Q1637" i="1"/>
  <c r="R1637" i="1"/>
  <c r="S1637" i="1"/>
  <c r="T1637" i="1"/>
  <c r="O1638" i="1"/>
  <c r="P1638" i="1"/>
  <c r="Q1638" i="1"/>
  <c r="R1638" i="1"/>
  <c r="S1638" i="1"/>
  <c r="T1638" i="1"/>
  <c r="O1639" i="1"/>
  <c r="P1639" i="1"/>
  <c r="Q1639" i="1"/>
  <c r="R1639" i="1"/>
  <c r="S1639" i="1"/>
  <c r="T1639" i="1"/>
  <c r="O1640" i="1"/>
  <c r="P1640" i="1"/>
  <c r="Q1640" i="1"/>
  <c r="R1640" i="1"/>
  <c r="S1640" i="1"/>
  <c r="T1640" i="1"/>
  <c r="O1641" i="1"/>
  <c r="P1641" i="1"/>
  <c r="Q1641" i="1"/>
  <c r="R1641" i="1"/>
  <c r="S1641" i="1"/>
  <c r="T1641" i="1"/>
  <c r="O1642" i="1"/>
  <c r="P1642" i="1"/>
  <c r="Q1642" i="1"/>
  <c r="R1642" i="1"/>
  <c r="S1642" i="1"/>
  <c r="T1642" i="1"/>
  <c r="O1643" i="1"/>
  <c r="P1643" i="1"/>
  <c r="Q1643" i="1"/>
  <c r="R1643" i="1"/>
  <c r="S1643" i="1"/>
  <c r="T1643" i="1"/>
  <c r="Q1644" i="1"/>
  <c r="R1644" i="1"/>
  <c r="S1644" i="1"/>
  <c r="T1644" i="1"/>
  <c r="O1645" i="1"/>
  <c r="P1645" i="1"/>
  <c r="Q1645" i="1"/>
  <c r="R1645" i="1"/>
  <c r="S1645" i="1"/>
  <c r="T1645" i="1"/>
  <c r="O1646" i="1"/>
  <c r="P1646" i="1"/>
  <c r="Q1646" i="1"/>
  <c r="R1646" i="1"/>
  <c r="S1646" i="1"/>
  <c r="T1646" i="1"/>
  <c r="O1647" i="1"/>
  <c r="P1647" i="1"/>
  <c r="Q1647" i="1"/>
  <c r="R1647" i="1"/>
  <c r="S1647" i="1"/>
  <c r="T1647" i="1"/>
  <c r="O1648" i="1"/>
  <c r="P1648" i="1"/>
  <c r="Q1648" i="1"/>
  <c r="R1648" i="1"/>
  <c r="S1648" i="1"/>
  <c r="T1648" i="1"/>
  <c r="O1649" i="1"/>
  <c r="P1649" i="1"/>
  <c r="Q1649" i="1"/>
  <c r="R1649" i="1"/>
  <c r="S1649" i="1"/>
  <c r="T1649" i="1"/>
  <c r="O1650" i="1"/>
  <c r="P1650" i="1"/>
  <c r="Q1650" i="1"/>
  <c r="R1650" i="1"/>
  <c r="S1650" i="1"/>
  <c r="T1650" i="1"/>
  <c r="O1651" i="1"/>
  <c r="P1651" i="1"/>
  <c r="Q1651" i="1"/>
  <c r="R1651" i="1"/>
  <c r="S1651" i="1"/>
  <c r="T1651" i="1"/>
  <c r="O1652" i="1"/>
  <c r="P1652" i="1"/>
  <c r="Q1652" i="1"/>
  <c r="R1652" i="1"/>
  <c r="S1652" i="1"/>
  <c r="T1652" i="1"/>
  <c r="O1653" i="1"/>
  <c r="P1653" i="1"/>
  <c r="Q1653" i="1"/>
  <c r="R1653" i="1"/>
  <c r="S1653" i="1"/>
  <c r="T1653" i="1"/>
  <c r="O1654" i="1"/>
  <c r="P1654" i="1"/>
  <c r="Q1654" i="1"/>
  <c r="R1654" i="1"/>
  <c r="S1654" i="1"/>
  <c r="T1654" i="1"/>
  <c r="O1655" i="1"/>
  <c r="P1655" i="1"/>
  <c r="Q1655" i="1"/>
  <c r="R1655" i="1"/>
  <c r="S1655" i="1"/>
  <c r="T1655" i="1"/>
  <c r="O1656" i="1"/>
  <c r="P1656" i="1"/>
  <c r="Q1656" i="1"/>
  <c r="R1656" i="1"/>
  <c r="S1656" i="1"/>
  <c r="T1656" i="1"/>
  <c r="O1657" i="1"/>
  <c r="P1657" i="1"/>
  <c r="Q1657" i="1"/>
  <c r="R1657" i="1"/>
  <c r="S1657" i="1"/>
  <c r="T1657" i="1"/>
  <c r="O1658" i="1"/>
  <c r="P1658" i="1"/>
  <c r="Q1658" i="1"/>
  <c r="R1658" i="1"/>
  <c r="S1658" i="1"/>
  <c r="T1658" i="1"/>
  <c r="O1659" i="1"/>
  <c r="P1659" i="1"/>
  <c r="Q1659" i="1"/>
  <c r="R1659" i="1"/>
  <c r="S1659" i="1"/>
  <c r="T1659" i="1"/>
  <c r="O1660" i="1"/>
  <c r="P1660" i="1"/>
  <c r="Q1660" i="1"/>
  <c r="R1660" i="1"/>
  <c r="S1660" i="1"/>
  <c r="T1660" i="1"/>
  <c r="O1661" i="1"/>
  <c r="P1661" i="1"/>
  <c r="Q1661" i="1"/>
  <c r="R1661" i="1"/>
  <c r="S1661" i="1"/>
  <c r="T1661" i="1"/>
  <c r="O1662" i="1"/>
  <c r="P1662" i="1"/>
  <c r="Q1662" i="1"/>
  <c r="R1662" i="1"/>
  <c r="S1662" i="1"/>
  <c r="T1662" i="1"/>
  <c r="O1663" i="1"/>
  <c r="P1663" i="1"/>
  <c r="Q1663" i="1"/>
  <c r="R1663" i="1"/>
  <c r="S1663" i="1"/>
  <c r="T1663" i="1"/>
  <c r="O1664" i="1"/>
  <c r="P1664" i="1"/>
  <c r="Q1664" i="1"/>
  <c r="R1664" i="1"/>
  <c r="S1664" i="1"/>
  <c r="T1664" i="1"/>
  <c r="O1665" i="1"/>
  <c r="P1665" i="1"/>
  <c r="Q1665" i="1"/>
  <c r="R1665" i="1"/>
  <c r="S1665" i="1"/>
  <c r="T1665" i="1"/>
  <c r="O1666" i="1"/>
  <c r="P1666" i="1"/>
  <c r="Q1666" i="1"/>
  <c r="R1666" i="1"/>
  <c r="S1666" i="1"/>
  <c r="T1666" i="1"/>
  <c r="O1667" i="1"/>
  <c r="P1667" i="1"/>
  <c r="Q1667" i="1"/>
  <c r="R1667" i="1"/>
  <c r="S1667" i="1"/>
  <c r="T1667" i="1"/>
  <c r="O1668" i="1"/>
  <c r="P1668" i="1"/>
  <c r="Q1668" i="1"/>
  <c r="R1668" i="1"/>
  <c r="S1668" i="1"/>
  <c r="T1668" i="1"/>
  <c r="O1669" i="1"/>
  <c r="P1669" i="1"/>
  <c r="Q1669" i="1"/>
  <c r="R1669" i="1"/>
  <c r="S1669" i="1"/>
  <c r="T1669" i="1"/>
  <c r="O1670" i="1"/>
  <c r="P1670" i="1"/>
  <c r="Q1670" i="1"/>
  <c r="R1670" i="1"/>
  <c r="S1670" i="1"/>
  <c r="T1670" i="1"/>
  <c r="O1671" i="1"/>
  <c r="P1671" i="1"/>
  <c r="Q1671" i="1"/>
  <c r="R1671" i="1"/>
  <c r="S1671" i="1"/>
  <c r="T1671" i="1"/>
  <c r="O1672" i="1"/>
  <c r="P1672" i="1"/>
  <c r="Q1672" i="1"/>
  <c r="R1672" i="1"/>
  <c r="S1672" i="1"/>
  <c r="T1672" i="1"/>
  <c r="O1673" i="1"/>
  <c r="P1673" i="1"/>
  <c r="Q1673" i="1"/>
  <c r="R1673" i="1"/>
  <c r="S1673" i="1"/>
  <c r="T1673" i="1"/>
  <c r="O1674" i="1"/>
  <c r="P1674" i="1"/>
  <c r="Q1674" i="1"/>
  <c r="R1674" i="1"/>
  <c r="S1674" i="1"/>
  <c r="T1674" i="1"/>
  <c r="O1675" i="1"/>
  <c r="P1675" i="1"/>
  <c r="Q1675" i="1"/>
  <c r="R1675" i="1"/>
  <c r="S1675" i="1"/>
  <c r="T1675" i="1"/>
  <c r="O1676" i="1"/>
  <c r="P1676" i="1"/>
  <c r="Q1676" i="1"/>
  <c r="R1676" i="1"/>
  <c r="S1676" i="1"/>
  <c r="T1676" i="1"/>
  <c r="O1677" i="1"/>
  <c r="P1677" i="1"/>
  <c r="Q1677" i="1"/>
  <c r="R1677" i="1"/>
  <c r="S1677" i="1"/>
  <c r="T1677" i="1"/>
  <c r="O1678" i="1"/>
  <c r="P1678" i="1"/>
  <c r="Q1678" i="1"/>
  <c r="R1678" i="1"/>
  <c r="S1678" i="1"/>
  <c r="T1678" i="1"/>
  <c r="O1679" i="1"/>
  <c r="P1679" i="1"/>
  <c r="Q1679" i="1"/>
  <c r="R1679" i="1"/>
  <c r="S1679" i="1"/>
  <c r="T1679" i="1"/>
  <c r="O1680" i="1"/>
  <c r="P1680" i="1"/>
  <c r="Q1680" i="1"/>
  <c r="R1680" i="1"/>
  <c r="S1680" i="1"/>
  <c r="T1680" i="1"/>
  <c r="O1681" i="1"/>
  <c r="P1681" i="1"/>
  <c r="Q1681" i="1"/>
  <c r="R1681" i="1"/>
  <c r="S1681" i="1"/>
  <c r="T1681" i="1"/>
  <c r="O1682" i="1"/>
  <c r="P1682" i="1"/>
  <c r="Q1682" i="1"/>
  <c r="R1682" i="1"/>
  <c r="S1682" i="1"/>
  <c r="T1682" i="1"/>
  <c r="O1683" i="1"/>
  <c r="P1683" i="1"/>
  <c r="Q1683" i="1"/>
  <c r="R1683" i="1"/>
  <c r="S1683" i="1"/>
  <c r="T1683" i="1"/>
  <c r="O1684" i="1"/>
  <c r="P1684" i="1"/>
  <c r="Q1684" i="1"/>
  <c r="R1684" i="1"/>
  <c r="S1684" i="1"/>
  <c r="T1684" i="1"/>
  <c r="O1685" i="1"/>
  <c r="P1685" i="1"/>
  <c r="Q1685" i="1"/>
  <c r="R1685" i="1"/>
  <c r="S1685" i="1"/>
  <c r="T1685" i="1"/>
  <c r="O1686" i="1"/>
  <c r="P1686" i="1"/>
  <c r="Q1686" i="1"/>
  <c r="R1686" i="1"/>
  <c r="S1686" i="1"/>
  <c r="T1686" i="1"/>
  <c r="O1687" i="1"/>
  <c r="P1687" i="1"/>
  <c r="Q1687" i="1"/>
  <c r="R1687" i="1"/>
  <c r="S1687" i="1"/>
  <c r="T1687" i="1"/>
  <c r="O1688" i="1"/>
  <c r="P1688" i="1"/>
  <c r="Q1688" i="1"/>
  <c r="R1688" i="1"/>
  <c r="S1688" i="1"/>
  <c r="T1688" i="1"/>
  <c r="O1689" i="1"/>
  <c r="P1689" i="1"/>
  <c r="Q1689" i="1"/>
  <c r="R1689" i="1"/>
  <c r="S1689" i="1"/>
  <c r="T1689" i="1"/>
  <c r="O1690" i="1"/>
  <c r="P1690" i="1"/>
  <c r="Q1690" i="1"/>
  <c r="R1690" i="1"/>
  <c r="S1690" i="1"/>
  <c r="T1690" i="1"/>
  <c r="O1691" i="1"/>
  <c r="P1691" i="1"/>
  <c r="Q1691" i="1"/>
  <c r="R1691" i="1"/>
  <c r="S1691" i="1"/>
  <c r="T1691" i="1"/>
  <c r="O1692" i="1"/>
  <c r="P1692" i="1"/>
  <c r="Q1692" i="1"/>
  <c r="R1692" i="1"/>
  <c r="S1692" i="1"/>
  <c r="T1692" i="1"/>
  <c r="O1693" i="1"/>
  <c r="P1693" i="1"/>
  <c r="Q1693" i="1"/>
  <c r="R1693" i="1"/>
  <c r="S1693" i="1"/>
  <c r="T1693" i="1"/>
  <c r="O1694" i="1"/>
  <c r="P1694" i="1"/>
  <c r="Q1694" i="1"/>
  <c r="R1694" i="1"/>
  <c r="S1694" i="1"/>
  <c r="T1694" i="1"/>
  <c r="O1695" i="1"/>
  <c r="P1695" i="1"/>
  <c r="Q1695" i="1"/>
  <c r="R1695" i="1"/>
  <c r="S1695" i="1"/>
  <c r="T1695" i="1"/>
  <c r="Q1696" i="1"/>
  <c r="R1696" i="1"/>
  <c r="S1696" i="1"/>
  <c r="T1696" i="1"/>
  <c r="O1697" i="1"/>
  <c r="P1697" i="1"/>
  <c r="Q1697" i="1"/>
  <c r="R1697" i="1"/>
  <c r="S1697" i="1"/>
  <c r="T1697" i="1"/>
  <c r="O1698" i="1"/>
  <c r="P1698" i="1"/>
  <c r="Q1698" i="1"/>
  <c r="R1698" i="1"/>
  <c r="S1698" i="1"/>
  <c r="T1698" i="1"/>
  <c r="O1699" i="1"/>
  <c r="P1699" i="1"/>
  <c r="Q1699" i="1"/>
  <c r="R1699" i="1"/>
  <c r="S1699" i="1"/>
  <c r="T1699" i="1"/>
  <c r="R1700" i="1"/>
  <c r="S1700" i="1"/>
  <c r="T1700" i="1"/>
  <c r="O1701" i="1"/>
  <c r="P1701" i="1"/>
  <c r="Q1701" i="1"/>
  <c r="R1701" i="1"/>
  <c r="S1701" i="1"/>
  <c r="T1701" i="1"/>
  <c r="O1702" i="1"/>
  <c r="P1702" i="1"/>
  <c r="Q1702" i="1"/>
  <c r="R1702" i="1"/>
  <c r="S1702" i="1"/>
  <c r="T1702" i="1"/>
  <c r="O1703" i="1"/>
  <c r="P1703" i="1"/>
  <c r="Q1703" i="1"/>
  <c r="R1703" i="1"/>
  <c r="S1703" i="1"/>
  <c r="T1703" i="1"/>
  <c r="O1704" i="1"/>
  <c r="P1704" i="1"/>
  <c r="Q1704" i="1"/>
  <c r="R1704" i="1"/>
  <c r="S1704" i="1"/>
  <c r="T1704" i="1"/>
  <c r="O1705" i="1"/>
  <c r="P1705" i="1"/>
  <c r="Q1705" i="1"/>
  <c r="R1705" i="1"/>
  <c r="S1705" i="1"/>
  <c r="T1705" i="1"/>
  <c r="O1706" i="1"/>
  <c r="P1706" i="1"/>
  <c r="Q1706" i="1"/>
  <c r="R1706" i="1"/>
  <c r="S1706" i="1"/>
  <c r="T1706" i="1"/>
  <c r="O1707" i="1"/>
  <c r="P1707" i="1"/>
  <c r="Q1707" i="1"/>
  <c r="R1707" i="1"/>
  <c r="S1707" i="1"/>
  <c r="T1707" i="1"/>
  <c r="O1708" i="1"/>
  <c r="P1708" i="1"/>
  <c r="Q1708" i="1"/>
  <c r="R1708" i="1"/>
  <c r="S1708" i="1"/>
  <c r="T1708" i="1"/>
  <c r="O1709" i="1"/>
  <c r="P1709" i="1"/>
  <c r="Q1709" i="1"/>
  <c r="R1709" i="1"/>
  <c r="S1709" i="1"/>
  <c r="T1709" i="1"/>
  <c r="O1710" i="1"/>
  <c r="P1710" i="1"/>
  <c r="Q1710" i="1"/>
  <c r="R1710" i="1"/>
  <c r="S1710" i="1"/>
  <c r="T1710" i="1"/>
  <c r="O1711" i="1"/>
  <c r="P1711" i="1"/>
  <c r="Q1711" i="1"/>
  <c r="R1711" i="1"/>
  <c r="S1711" i="1"/>
  <c r="T1711" i="1"/>
  <c r="O1712" i="1"/>
  <c r="P1712" i="1"/>
  <c r="Q1712" i="1"/>
  <c r="R1712" i="1"/>
  <c r="S1712" i="1"/>
  <c r="T1712" i="1"/>
  <c r="O1713" i="1"/>
  <c r="P1713" i="1"/>
  <c r="Q1713" i="1"/>
  <c r="R1713" i="1"/>
  <c r="S1713" i="1"/>
  <c r="T1713" i="1"/>
  <c r="O1714" i="1"/>
  <c r="P1714" i="1"/>
  <c r="Q1714" i="1"/>
  <c r="R1714" i="1"/>
  <c r="S1714" i="1"/>
  <c r="T1714" i="1"/>
  <c r="O1715" i="1"/>
  <c r="P1715" i="1"/>
  <c r="Q1715" i="1"/>
  <c r="R1715" i="1"/>
  <c r="S1715" i="1"/>
  <c r="T1715" i="1"/>
  <c r="O1716" i="1"/>
  <c r="P1716" i="1"/>
  <c r="Q1716" i="1"/>
  <c r="R1716" i="1"/>
  <c r="S1716" i="1"/>
  <c r="T1716" i="1"/>
  <c r="O1717" i="1"/>
  <c r="P1717" i="1"/>
  <c r="Q1717" i="1"/>
  <c r="R1717" i="1"/>
  <c r="S1717" i="1"/>
  <c r="T1717" i="1"/>
  <c r="O1718" i="1"/>
  <c r="P1718" i="1"/>
  <c r="Q1718" i="1"/>
  <c r="R1718" i="1"/>
  <c r="S1718" i="1"/>
  <c r="T1718" i="1"/>
  <c r="O1719" i="1"/>
  <c r="P1719" i="1"/>
  <c r="Q1719" i="1"/>
  <c r="R1719" i="1"/>
  <c r="S1719" i="1"/>
  <c r="T1719" i="1"/>
  <c r="O1720" i="1"/>
  <c r="P1720" i="1"/>
  <c r="Q1720" i="1"/>
  <c r="R1720" i="1"/>
  <c r="S1720" i="1"/>
  <c r="T1720" i="1"/>
  <c r="O1721" i="1"/>
  <c r="P1721" i="1"/>
  <c r="Q1721" i="1"/>
  <c r="R1721" i="1"/>
  <c r="S1721" i="1"/>
  <c r="T1721" i="1"/>
  <c r="O1722" i="1"/>
  <c r="P1722" i="1"/>
  <c r="Q1722" i="1"/>
  <c r="R1722" i="1"/>
  <c r="S1722" i="1"/>
  <c r="T1722" i="1"/>
  <c r="O1723" i="1"/>
  <c r="P1723" i="1"/>
  <c r="Q1723" i="1"/>
  <c r="R1723" i="1"/>
  <c r="S1723" i="1"/>
  <c r="T1723" i="1"/>
  <c r="O1724" i="1"/>
  <c r="P1724" i="1"/>
  <c r="Q1724" i="1"/>
  <c r="R1724" i="1"/>
  <c r="S1724" i="1"/>
  <c r="T1724" i="1"/>
  <c r="O1725" i="1"/>
  <c r="P1725" i="1"/>
  <c r="Q1725" i="1"/>
  <c r="R1725" i="1"/>
  <c r="S1725" i="1"/>
  <c r="T1725" i="1"/>
  <c r="O1726" i="1"/>
  <c r="P1726" i="1"/>
  <c r="Q1726" i="1"/>
  <c r="R1726" i="1"/>
  <c r="S1726" i="1"/>
  <c r="T1726" i="1"/>
  <c r="O1727" i="1"/>
  <c r="P1727" i="1"/>
  <c r="Q1727" i="1"/>
  <c r="R1727" i="1"/>
  <c r="S1727" i="1"/>
  <c r="T1727" i="1"/>
  <c r="O1728" i="1"/>
  <c r="P1728" i="1"/>
  <c r="Q1728" i="1"/>
  <c r="R1728" i="1"/>
  <c r="S1728" i="1"/>
  <c r="T1728" i="1"/>
  <c r="O1729" i="1"/>
  <c r="P1729" i="1"/>
  <c r="Q1729" i="1"/>
  <c r="R1729" i="1"/>
  <c r="S1729" i="1"/>
  <c r="T1729" i="1"/>
  <c r="O1730" i="1"/>
  <c r="P1730" i="1"/>
  <c r="Q1730" i="1"/>
  <c r="R1730" i="1"/>
  <c r="S1730" i="1"/>
  <c r="T1730" i="1"/>
  <c r="O1731" i="1"/>
  <c r="P1731" i="1"/>
  <c r="Q1731" i="1"/>
  <c r="R1731" i="1"/>
  <c r="S1731" i="1"/>
  <c r="T1731" i="1"/>
  <c r="O1732" i="1"/>
  <c r="P1732" i="1"/>
  <c r="Q1732" i="1"/>
  <c r="R1732" i="1"/>
  <c r="S1732" i="1"/>
  <c r="T1732" i="1"/>
  <c r="O1733" i="1"/>
  <c r="P1733" i="1"/>
  <c r="Q1733" i="1"/>
  <c r="R1733" i="1"/>
  <c r="S1733" i="1"/>
  <c r="T1733" i="1"/>
  <c r="O1734" i="1"/>
  <c r="P1734" i="1"/>
  <c r="Q1734" i="1"/>
  <c r="R1734" i="1"/>
  <c r="S1734" i="1"/>
  <c r="T1734" i="1"/>
  <c r="O1735" i="1"/>
  <c r="P1735" i="1"/>
  <c r="Q1735" i="1"/>
  <c r="R1735" i="1"/>
  <c r="S1735" i="1"/>
  <c r="T1735" i="1"/>
  <c r="O1736" i="1"/>
  <c r="P1736" i="1"/>
  <c r="Q1736" i="1"/>
  <c r="R1736" i="1"/>
  <c r="S1736" i="1"/>
  <c r="T1736" i="1"/>
  <c r="O1737" i="1"/>
  <c r="P1737" i="1"/>
  <c r="Q1737" i="1"/>
  <c r="R1737" i="1"/>
  <c r="S1737" i="1"/>
  <c r="T1737" i="1"/>
  <c r="O1738" i="1"/>
  <c r="P1738" i="1"/>
  <c r="Q1738" i="1"/>
  <c r="R1738" i="1"/>
  <c r="S1738" i="1"/>
  <c r="T1738" i="1"/>
  <c r="O1739" i="1"/>
  <c r="P1739" i="1"/>
  <c r="Q1739" i="1"/>
  <c r="R1739" i="1"/>
  <c r="S1739" i="1"/>
  <c r="T1739" i="1"/>
  <c r="O1740" i="1"/>
  <c r="P1740" i="1"/>
  <c r="Q1740" i="1"/>
  <c r="R1740" i="1"/>
  <c r="S1740" i="1"/>
  <c r="T1740" i="1"/>
  <c r="O1741" i="1"/>
  <c r="P1741" i="1"/>
  <c r="Q1741" i="1"/>
  <c r="R1741" i="1"/>
  <c r="S1741" i="1"/>
  <c r="T1741" i="1"/>
  <c r="O1742" i="1"/>
  <c r="P1742" i="1"/>
  <c r="Q1742" i="1"/>
  <c r="R1742" i="1"/>
  <c r="S1742" i="1"/>
  <c r="T1742" i="1"/>
  <c r="O1743" i="1"/>
  <c r="P1743" i="1"/>
  <c r="Q1743" i="1"/>
  <c r="R1743" i="1"/>
  <c r="S1743" i="1"/>
  <c r="T1743" i="1"/>
  <c r="O1744" i="1"/>
  <c r="P1744" i="1"/>
  <c r="Q1744" i="1"/>
  <c r="R1744" i="1"/>
  <c r="S1744" i="1"/>
  <c r="T1744" i="1"/>
  <c r="O1745" i="1"/>
  <c r="P1745" i="1"/>
  <c r="Q1745" i="1"/>
  <c r="R1745" i="1"/>
  <c r="S1745" i="1"/>
  <c r="T1745" i="1"/>
  <c r="O1746" i="1"/>
  <c r="P1746" i="1"/>
  <c r="Q1746" i="1"/>
  <c r="R1746" i="1"/>
  <c r="S1746" i="1"/>
  <c r="T1746" i="1"/>
  <c r="O1747" i="1"/>
  <c r="P1747" i="1"/>
  <c r="Q1747" i="1"/>
  <c r="R1747" i="1"/>
  <c r="S1747" i="1"/>
  <c r="T1747" i="1"/>
  <c r="O1748" i="1"/>
  <c r="P1748" i="1"/>
  <c r="Q1748" i="1"/>
  <c r="R1748" i="1"/>
  <c r="S1748" i="1"/>
  <c r="T1748" i="1"/>
  <c r="O1749" i="1"/>
  <c r="P1749" i="1"/>
  <c r="Q1749" i="1"/>
  <c r="R1749" i="1"/>
  <c r="S1749" i="1"/>
  <c r="T1749" i="1"/>
  <c r="O1750" i="1"/>
  <c r="P1750" i="1"/>
  <c r="Q1750" i="1"/>
  <c r="R1750" i="1"/>
  <c r="S1750" i="1"/>
  <c r="T1750" i="1"/>
  <c r="O1751" i="1"/>
  <c r="P1751" i="1"/>
  <c r="Q1751" i="1"/>
  <c r="R1751" i="1"/>
  <c r="S1751" i="1"/>
  <c r="T1751" i="1"/>
  <c r="O1752" i="1"/>
  <c r="P1752" i="1"/>
  <c r="Q1752" i="1"/>
  <c r="R1752" i="1"/>
  <c r="S1752" i="1"/>
  <c r="T1752" i="1"/>
  <c r="O1753" i="1"/>
  <c r="P1753" i="1"/>
  <c r="Q1753" i="1"/>
  <c r="R1753" i="1"/>
  <c r="S1753" i="1"/>
  <c r="T1753" i="1"/>
  <c r="O1754" i="1"/>
  <c r="P1754" i="1"/>
  <c r="Q1754" i="1"/>
  <c r="R1754" i="1"/>
  <c r="S1754" i="1"/>
  <c r="T1754" i="1"/>
  <c r="O1755" i="1"/>
  <c r="P1755" i="1"/>
  <c r="Q1755" i="1"/>
  <c r="R1755" i="1"/>
  <c r="S1755" i="1"/>
  <c r="T1755" i="1"/>
  <c r="O1756" i="1"/>
  <c r="P1756" i="1"/>
  <c r="Q1756" i="1"/>
  <c r="R1756" i="1"/>
  <c r="S1756" i="1"/>
  <c r="T1756" i="1"/>
  <c r="O1757" i="1"/>
  <c r="P1757" i="1"/>
  <c r="Q1757" i="1"/>
  <c r="R1757" i="1"/>
  <c r="S1757" i="1"/>
  <c r="T1757" i="1"/>
  <c r="O1758" i="1"/>
  <c r="P1758" i="1"/>
  <c r="Q1758" i="1"/>
  <c r="R1758" i="1"/>
  <c r="S1758" i="1"/>
  <c r="T1758" i="1"/>
  <c r="O1760" i="1"/>
  <c r="P1760" i="1"/>
  <c r="Q1760" i="1"/>
  <c r="R1760" i="1"/>
  <c r="S1760" i="1"/>
  <c r="T1760" i="1"/>
  <c r="O1761" i="1"/>
  <c r="P1761" i="1"/>
  <c r="Q1761" i="1"/>
  <c r="R1761" i="1"/>
  <c r="S1761" i="1"/>
  <c r="T1761" i="1"/>
  <c r="O1762" i="1"/>
  <c r="P1762" i="1"/>
  <c r="Q1762" i="1"/>
  <c r="R1762" i="1"/>
  <c r="S1762" i="1"/>
  <c r="T1762" i="1"/>
  <c r="O1763" i="1"/>
  <c r="P1763" i="1"/>
  <c r="Q1763" i="1"/>
  <c r="R1763" i="1"/>
  <c r="S1763" i="1"/>
  <c r="T1763" i="1"/>
  <c r="O1764" i="1"/>
  <c r="P1764" i="1"/>
  <c r="Q1764" i="1"/>
  <c r="R1764" i="1"/>
  <c r="S1764" i="1"/>
  <c r="T1764" i="1"/>
  <c r="O1765" i="1"/>
  <c r="P1765" i="1"/>
  <c r="Q1765" i="1"/>
  <c r="R1765" i="1"/>
  <c r="S1765" i="1"/>
  <c r="T1765" i="1"/>
  <c r="O1766" i="1"/>
  <c r="P1766" i="1"/>
  <c r="Q1766" i="1"/>
  <c r="R1766" i="1"/>
  <c r="S1766" i="1"/>
  <c r="T1766" i="1"/>
  <c r="O1767" i="1"/>
  <c r="P1767" i="1"/>
  <c r="Q1767" i="1"/>
  <c r="R1767" i="1"/>
  <c r="S1767" i="1"/>
  <c r="T1767" i="1"/>
  <c r="O1768" i="1"/>
  <c r="P1768" i="1"/>
  <c r="Q1768" i="1"/>
  <c r="R1768" i="1"/>
  <c r="S1768" i="1"/>
  <c r="T1768" i="1"/>
  <c r="O1769" i="1"/>
  <c r="P1769" i="1"/>
  <c r="Q1769" i="1"/>
  <c r="R1769" i="1"/>
  <c r="S1769" i="1"/>
  <c r="T1769" i="1"/>
  <c r="O1770" i="1"/>
  <c r="P1770" i="1"/>
  <c r="Q1770" i="1"/>
  <c r="R1770" i="1"/>
  <c r="S1770" i="1"/>
  <c r="T1770" i="1"/>
  <c r="O1771" i="1"/>
  <c r="P1771" i="1"/>
  <c r="Q1771" i="1"/>
  <c r="R1771" i="1"/>
  <c r="S1771" i="1"/>
  <c r="T1771" i="1"/>
  <c r="O1772" i="1"/>
  <c r="P1772" i="1"/>
  <c r="Q1772" i="1"/>
  <c r="R1772" i="1"/>
  <c r="S1772" i="1"/>
  <c r="T1772" i="1"/>
  <c r="O1773" i="1"/>
  <c r="P1773" i="1"/>
  <c r="Q1773" i="1"/>
  <c r="R1773" i="1"/>
  <c r="S1773" i="1"/>
  <c r="T1773" i="1"/>
  <c r="O1774" i="1"/>
  <c r="P1774" i="1"/>
  <c r="Q1774" i="1"/>
  <c r="R1774" i="1"/>
  <c r="S1774" i="1"/>
  <c r="T1774" i="1"/>
  <c r="O1775" i="1"/>
  <c r="P1775" i="1"/>
  <c r="Q1775" i="1"/>
  <c r="R1775" i="1"/>
  <c r="S1775" i="1"/>
  <c r="T1775" i="1"/>
  <c r="O1776" i="1"/>
  <c r="P1776" i="1"/>
  <c r="Q1776" i="1"/>
  <c r="R1776" i="1"/>
  <c r="S1776" i="1"/>
  <c r="T1776" i="1"/>
  <c r="O1777" i="1"/>
  <c r="P1777" i="1"/>
  <c r="Q1777" i="1"/>
  <c r="R1777" i="1"/>
  <c r="S1777" i="1"/>
  <c r="T1777" i="1"/>
  <c r="O1778" i="1"/>
  <c r="P1778" i="1"/>
  <c r="Q1778" i="1"/>
  <c r="R1778" i="1"/>
  <c r="S1778" i="1"/>
  <c r="T1778" i="1"/>
  <c r="O1779" i="1"/>
  <c r="P1779" i="1"/>
  <c r="Q1779" i="1"/>
  <c r="R1779" i="1"/>
  <c r="S1779" i="1"/>
  <c r="T1779" i="1"/>
  <c r="O1780" i="1"/>
  <c r="P1780" i="1"/>
  <c r="Q1780" i="1"/>
  <c r="R1780" i="1"/>
  <c r="S1780" i="1"/>
  <c r="T1780" i="1"/>
  <c r="O1479" i="1"/>
  <c r="P1479" i="1"/>
  <c r="Q1479" i="1"/>
  <c r="R1479" i="1"/>
  <c r="S1479" i="1"/>
  <c r="T1479" i="1"/>
  <c r="O1480" i="1"/>
  <c r="P1480" i="1"/>
  <c r="Q1480" i="1"/>
  <c r="R1480" i="1"/>
  <c r="S1480" i="1"/>
  <c r="T1480" i="1"/>
  <c r="O1481" i="1"/>
  <c r="P1481" i="1"/>
  <c r="Q1481" i="1"/>
  <c r="R1481" i="1"/>
  <c r="S1481" i="1"/>
  <c r="T1481" i="1"/>
  <c r="O1482" i="1"/>
  <c r="P1482" i="1"/>
  <c r="Q1482" i="1"/>
  <c r="R1482" i="1"/>
  <c r="S1482" i="1"/>
  <c r="T1482" i="1"/>
  <c r="O1483" i="1"/>
  <c r="P1483" i="1"/>
  <c r="R1483" i="1"/>
  <c r="S1483" i="1"/>
  <c r="T1483" i="1"/>
  <c r="O1484" i="1"/>
  <c r="P1484" i="1"/>
  <c r="R1484" i="1"/>
  <c r="S1484" i="1"/>
  <c r="T1484" i="1"/>
  <c r="O1485" i="1"/>
  <c r="P1485" i="1"/>
  <c r="R1485" i="1"/>
  <c r="S1485" i="1"/>
  <c r="T1485" i="1"/>
  <c r="O1486" i="1"/>
  <c r="P1486" i="1"/>
  <c r="R1486" i="1"/>
  <c r="S1486" i="1"/>
  <c r="T1486" i="1"/>
  <c r="O1487" i="1"/>
  <c r="P1487" i="1"/>
  <c r="Q1487" i="1"/>
  <c r="R1487" i="1"/>
  <c r="S1487" i="1"/>
  <c r="T1487" i="1"/>
  <c r="O1488" i="1"/>
  <c r="P1488" i="1"/>
  <c r="Q1488" i="1"/>
  <c r="R1488" i="1"/>
  <c r="S1488" i="1"/>
  <c r="T1488" i="1"/>
  <c r="O1489" i="1"/>
  <c r="P1489" i="1"/>
  <c r="Q1489" i="1"/>
  <c r="R1489" i="1"/>
  <c r="S1489" i="1"/>
  <c r="T1489" i="1"/>
  <c r="O1490" i="1"/>
  <c r="P1490" i="1"/>
  <c r="Q1490" i="1"/>
  <c r="R1490" i="1"/>
  <c r="S1490" i="1"/>
  <c r="T1490" i="1"/>
  <c r="O1491" i="1"/>
  <c r="P1491" i="1"/>
  <c r="Q1491" i="1"/>
  <c r="R1491" i="1"/>
  <c r="S1491" i="1"/>
  <c r="T1491" i="1"/>
  <c r="O1492" i="1"/>
  <c r="P1492" i="1"/>
  <c r="Q1492" i="1"/>
  <c r="R1492" i="1"/>
  <c r="S1492" i="1"/>
  <c r="T1492" i="1"/>
  <c r="O1493" i="1"/>
  <c r="P1493" i="1"/>
  <c r="Q1493" i="1"/>
  <c r="R1493" i="1"/>
  <c r="S1493" i="1"/>
  <c r="T1493" i="1"/>
  <c r="O1494" i="1"/>
  <c r="P1494" i="1"/>
  <c r="Q1494" i="1"/>
  <c r="R1494" i="1"/>
  <c r="S1494" i="1"/>
  <c r="T1494" i="1"/>
  <c r="O1495" i="1"/>
  <c r="P1495" i="1"/>
  <c r="Q1495" i="1"/>
  <c r="R1495" i="1"/>
  <c r="S1495" i="1"/>
  <c r="T1495" i="1"/>
  <c r="O1496" i="1"/>
  <c r="P1496" i="1"/>
  <c r="Q1496" i="1"/>
  <c r="R1496" i="1"/>
  <c r="S1496" i="1"/>
  <c r="T1496" i="1"/>
  <c r="O1497" i="1"/>
  <c r="P1497" i="1"/>
  <c r="Q1497" i="1"/>
  <c r="R1497" i="1"/>
  <c r="S1497" i="1"/>
  <c r="T1497" i="1"/>
  <c r="O1498" i="1"/>
  <c r="P1498" i="1"/>
  <c r="Q1498" i="1"/>
  <c r="R1498" i="1"/>
  <c r="S1498" i="1"/>
  <c r="T1498" i="1"/>
  <c r="O1499" i="1"/>
  <c r="P1499" i="1"/>
  <c r="Q1499" i="1"/>
  <c r="R1499" i="1"/>
  <c r="S1499" i="1"/>
  <c r="T1499" i="1"/>
  <c r="O1500" i="1"/>
  <c r="P1500" i="1"/>
  <c r="Q1500" i="1"/>
  <c r="R1500" i="1"/>
  <c r="S1500" i="1"/>
  <c r="T1500" i="1"/>
  <c r="O1501" i="1"/>
  <c r="P1501" i="1"/>
  <c r="Q1501" i="1"/>
  <c r="R1501" i="1"/>
  <c r="S1501" i="1"/>
  <c r="T1501" i="1"/>
  <c r="O1502" i="1"/>
  <c r="P1502" i="1"/>
  <c r="Q1502" i="1"/>
  <c r="R1502" i="1"/>
  <c r="S1502" i="1"/>
  <c r="T1502" i="1"/>
  <c r="O1503" i="1"/>
  <c r="P1503" i="1"/>
  <c r="Q1503" i="1"/>
  <c r="R1503" i="1"/>
  <c r="S1503" i="1"/>
  <c r="T1503" i="1"/>
  <c r="O1504" i="1"/>
  <c r="P1504" i="1"/>
  <c r="Q1504" i="1"/>
  <c r="R1504" i="1"/>
  <c r="S1504" i="1"/>
  <c r="T1504" i="1"/>
  <c r="O1505" i="1"/>
  <c r="P1505" i="1"/>
  <c r="Q1505" i="1"/>
  <c r="R1505" i="1"/>
  <c r="S1505" i="1"/>
  <c r="T1505" i="1"/>
  <c r="O1506" i="1"/>
  <c r="P1506" i="1"/>
  <c r="Q1506" i="1"/>
  <c r="R1506" i="1"/>
  <c r="S1506" i="1"/>
  <c r="T1506" i="1"/>
  <c r="O1507" i="1"/>
  <c r="P1507" i="1"/>
  <c r="Q1507" i="1"/>
  <c r="R1507" i="1"/>
  <c r="S1507" i="1"/>
  <c r="T1507" i="1"/>
  <c r="O1508" i="1"/>
  <c r="P1508" i="1"/>
  <c r="Q1508" i="1"/>
  <c r="R1508" i="1"/>
  <c r="S1508" i="1"/>
  <c r="T1508" i="1"/>
  <c r="O1509" i="1"/>
  <c r="P1509" i="1"/>
  <c r="Q1509" i="1"/>
  <c r="R1509" i="1"/>
  <c r="S1509" i="1"/>
  <c r="T1509" i="1"/>
  <c r="O1510" i="1"/>
  <c r="P1510" i="1"/>
  <c r="Q1510" i="1"/>
  <c r="R1510" i="1"/>
  <c r="S1510" i="1"/>
  <c r="T1510" i="1"/>
  <c r="O1511" i="1"/>
  <c r="P1511" i="1"/>
  <c r="Q1511" i="1"/>
  <c r="R1511" i="1"/>
  <c r="S1511" i="1"/>
  <c r="T1511" i="1"/>
  <c r="O1512" i="1"/>
  <c r="P1512" i="1"/>
  <c r="Q1512" i="1"/>
  <c r="R1512" i="1"/>
  <c r="S1512" i="1"/>
  <c r="T1512" i="1"/>
  <c r="O1513" i="1"/>
  <c r="P1513" i="1"/>
  <c r="Q1513" i="1"/>
  <c r="R1513" i="1"/>
  <c r="S1513" i="1"/>
  <c r="T1513" i="1"/>
  <c r="O1514" i="1"/>
  <c r="P1514" i="1"/>
  <c r="Q1514" i="1"/>
  <c r="R1514" i="1"/>
  <c r="S1514" i="1"/>
  <c r="T1514" i="1"/>
  <c r="O1515" i="1"/>
  <c r="P1515" i="1"/>
  <c r="Q1515" i="1"/>
  <c r="R1515" i="1"/>
  <c r="S1515" i="1"/>
  <c r="T1515" i="1"/>
  <c r="O1516" i="1"/>
  <c r="P1516" i="1"/>
  <c r="Q1516" i="1"/>
  <c r="R1516" i="1"/>
  <c r="S1516" i="1"/>
  <c r="T1516" i="1"/>
  <c r="O1517" i="1"/>
  <c r="P1517" i="1"/>
  <c r="Q1517" i="1"/>
  <c r="R1517" i="1"/>
  <c r="S1517" i="1"/>
  <c r="T1517" i="1"/>
  <c r="O1518" i="1"/>
  <c r="P1518" i="1"/>
  <c r="Q1518" i="1"/>
  <c r="R1518" i="1"/>
  <c r="S1518" i="1"/>
  <c r="T1518" i="1"/>
  <c r="O1519" i="1"/>
  <c r="P1519" i="1"/>
  <c r="Q1519" i="1"/>
  <c r="R1519" i="1"/>
  <c r="S1519" i="1"/>
  <c r="T1519" i="1"/>
  <c r="O1520" i="1"/>
  <c r="P1520" i="1"/>
  <c r="Q1520" i="1"/>
  <c r="R1520" i="1"/>
  <c r="S1520" i="1"/>
  <c r="T1520" i="1"/>
  <c r="O1521" i="1"/>
  <c r="P1521" i="1"/>
  <c r="Q1521" i="1"/>
  <c r="R1521" i="1"/>
  <c r="S1521" i="1"/>
  <c r="T1521" i="1"/>
  <c r="O1522" i="1"/>
  <c r="P1522" i="1"/>
  <c r="Q1522" i="1"/>
  <c r="R1522" i="1"/>
  <c r="S1522" i="1"/>
  <c r="T1522" i="1"/>
  <c r="R1523" i="1"/>
  <c r="S1523" i="1"/>
  <c r="T1523" i="1"/>
  <c r="O1524" i="1"/>
  <c r="P1524" i="1"/>
  <c r="Q1524" i="1"/>
  <c r="R1524" i="1"/>
  <c r="S1524" i="1"/>
  <c r="T1524" i="1"/>
  <c r="O1525" i="1"/>
  <c r="P1525" i="1"/>
  <c r="Q1525" i="1"/>
  <c r="R1525" i="1"/>
  <c r="S1525" i="1"/>
  <c r="T1525" i="1"/>
  <c r="O1526" i="1"/>
  <c r="P1526" i="1"/>
  <c r="Q1526" i="1"/>
  <c r="R1526" i="1"/>
  <c r="S1526" i="1"/>
  <c r="T1526" i="1"/>
  <c r="O1527" i="1"/>
  <c r="P1527" i="1"/>
  <c r="Q1527" i="1"/>
  <c r="R1527" i="1"/>
  <c r="S1527" i="1"/>
  <c r="T1527" i="1"/>
  <c r="O1528" i="1"/>
  <c r="P1528" i="1"/>
  <c r="Q1528" i="1"/>
  <c r="R1528" i="1"/>
  <c r="S1528" i="1"/>
  <c r="T1528" i="1"/>
  <c r="O1529" i="1"/>
  <c r="P1529" i="1"/>
  <c r="Q1529" i="1"/>
  <c r="R1529" i="1"/>
  <c r="S1529" i="1"/>
  <c r="T1529" i="1"/>
  <c r="O1530" i="1"/>
  <c r="P1530" i="1"/>
  <c r="Q1530" i="1"/>
  <c r="R1530" i="1"/>
  <c r="S1530" i="1"/>
  <c r="T1530" i="1"/>
  <c r="O1531" i="1"/>
  <c r="P1531" i="1"/>
  <c r="Q1531" i="1"/>
  <c r="R1531" i="1"/>
  <c r="S1531" i="1"/>
  <c r="T1531" i="1"/>
  <c r="O1532" i="1"/>
  <c r="P1532" i="1"/>
  <c r="Q1532" i="1"/>
  <c r="R1532" i="1"/>
  <c r="S1532" i="1"/>
  <c r="T1532" i="1"/>
  <c r="O1533" i="1"/>
  <c r="P1533" i="1"/>
  <c r="Q1533" i="1"/>
  <c r="R1533" i="1"/>
  <c r="S1533" i="1"/>
  <c r="T1533" i="1"/>
  <c r="O1534" i="1"/>
  <c r="P1534" i="1"/>
  <c r="Q1534" i="1"/>
  <c r="R1534" i="1"/>
  <c r="S1534" i="1"/>
  <c r="T1534" i="1"/>
  <c r="O1535" i="1"/>
  <c r="P1535" i="1"/>
  <c r="Q1535" i="1"/>
  <c r="R1535" i="1"/>
  <c r="S1535" i="1"/>
  <c r="T1535" i="1"/>
  <c r="O1536" i="1"/>
  <c r="P1536" i="1"/>
  <c r="Q1536" i="1"/>
  <c r="R1536" i="1"/>
  <c r="S1536" i="1"/>
  <c r="T1536" i="1"/>
  <c r="O1537" i="1"/>
  <c r="P1537" i="1"/>
  <c r="Q1537" i="1"/>
  <c r="R1537" i="1"/>
  <c r="S1537" i="1"/>
  <c r="T1537" i="1"/>
  <c r="O1538" i="1"/>
  <c r="P1538" i="1"/>
  <c r="Q1538" i="1"/>
  <c r="R1538" i="1"/>
  <c r="S1538" i="1"/>
  <c r="T1538" i="1"/>
  <c r="O1539" i="1"/>
  <c r="P1539" i="1"/>
  <c r="Q1539" i="1"/>
  <c r="R1539" i="1"/>
  <c r="S1539" i="1"/>
  <c r="T1539" i="1"/>
  <c r="O1540" i="1"/>
  <c r="P1540" i="1"/>
  <c r="Q1540" i="1"/>
  <c r="R1540" i="1"/>
  <c r="S1540" i="1"/>
  <c r="T1540" i="1"/>
  <c r="O1541" i="1"/>
  <c r="P1541" i="1"/>
  <c r="Q1541" i="1"/>
  <c r="R1541" i="1"/>
  <c r="S1541" i="1"/>
  <c r="T1541" i="1"/>
  <c r="O1542" i="1"/>
  <c r="P1542" i="1"/>
  <c r="Q1542" i="1"/>
  <c r="R1542" i="1"/>
  <c r="S1542" i="1"/>
  <c r="T1542" i="1"/>
  <c r="O1543" i="1"/>
  <c r="P1543" i="1"/>
  <c r="Q1543" i="1"/>
  <c r="R1543" i="1"/>
  <c r="S1543" i="1"/>
  <c r="T1543" i="1"/>
  <c r="O1544" i="1"/>
  <c r="P1544" i="1"/>
  <c r="Q1544" i="1"/>
  <c r="R1544" i="1"/>
  <c r="S1544" i="1"/>
  <c r="T1544" i="1"/>
  <c r="O1545" i="1"/>
  <c r="P1545" i="1"/>
  <c r="Q1545" i="1"/>
  <c r="R1545" i="1"/>
  <c r="S1545" i="1"/>
  <c r="T1545" i="1"/>
  <c r="O1546" i="1"/>
  <c r="P1546" i="1"/>
  <c r="Q1546" i="1"/>
  <c r="R1546" i="1"/>
  <c r="S1546" i="1"/>
  <c r="T1546" i="1"/>
  <c r="O1547" i="1"/>
  <c r="P1547" i="1"/>
  <c r="Q1547" i="1"/>
  <c r="R1547" i="1"/>
  <c r="S1547" i="1"/>
  <c r="T1547" i="1"/>
  <c r="O1548" i="1"/>
  <c r="P1548" i="1"/>
  <c r="Q1548" i="1"/>
  <c r="R1548" i="1"/>
  <c r="S1548" i="1"/>
  <c r="T1548" i="1"/>
  <c r="O1549" i="1"/>
  <c r="P1549" i="1"/>
  <c r="Q1549" i="1"/>
  <c r="R1549" i="1"/>
  <c r="S1549" i="1"/>
  <c r="T1549" i="1"/>
  <c r="O1550" i="1"/>
  <c r="P1550" i="1"/>
  <c r="Q1550" i="1"/>
  <c r="R1550" i="1"/>
  <c r="S1550" i="1"/>
  <c r="T1550" i="1"/>
  <c r="O1551" i="1"/>
  <c r="P1551" i="1"/>
  <c r="Q1551" i="1"/>
  <c r="R1551" i="1"/>
  <c r="S1551" i="1"/>
  <c r="T1551" i="1"/>
  <c r="O1552" i="1"/>
  <c r="P1552" i="1"/>
  <c r="Q1552" i="1"/>
  <c r="R1552" i="1"/>
  <c r="S1552" i="1"/>
  <c r="T1552" i="1"/>
  <c r="O1553" i="1"/>
  <c r="P1553" i="1"/>
  <c r="Q1553" i="1"/>
  <c r="R1553" i="1"/>
  <c r="S1553" i="1"/>
  <c r="T1553" i="1"/>
  <c r="O1554" i="1"/>
  <c r="P1554" i="1"/>
  <c r="Q1554" i="1"/>
  <c r="R1554" i="1"/>
  <c r="S1554" i="1"/>
  <c r="T1554" i="1"/>
  <c r="O1555" i="1"/>
  <c r="P1555" i="1"/>
  <c r="Q1555" i="1"/>
  <c r="R1555" i="1"/>
  <c r="S1555" i="1"/>
  <c r="T1555" i="1"/>
  <c r="O1556" i="1"/>
  <c r="P1556" i="1"/>
  <c r="Q1556" i="1"/>
  <c r="R1556" i="1"/>
  <c r="S1556" i="1"/>
  <c r="T1556" i="1"/>
  <c r="O1557" i="1"/>
  <c r="P1557" i="1"/>
  <c r="Q1557" i="1"/>
  <c r="R1557" i="1"/>
  <c r="S1557" i="1"/>
  <c r="T1557" i="1"/>
  <c r="O1558" i="1"/>
  <c r="P1558" i="1"/>
  <c r="Q1558" i="1"/>
  <c r="R1558" i="1"/>
  <c r="S1558" i="1"/>
  <c r="T1558" i="1"/>
  <c r="O1559" i="1"/>
  <c r="P1559" i="1"/>
  <c r="Q1559" i="1"/>
  <c r="R1559" i="1"/>
  <c r="S1559" i="1"/>
  <c r="T1559" i="1"/>
  <c r="O1560" i="1"/>
  <c r="P1560" i="1"/>
  <c r="Q1560" i="1"/>
  <c r="R1560" i="1"/>
  <c r="S1560" i="1"/>
  <c r="T1560" i="1"/>
  <c r="O1561" i="1"/>
  <c r="P1561" i="1"/>
  <c r="Q1561" i="1"/>
  <c r="R1561" i="1"/>
  <c r="S1561" i="1"/>
  <c r="T1561" i="1"/>
  <c r="O1562" i="1"/>
  <c r="P1562" i="1"/>
  <c r="Q1562" i="1"/>
  <c r="R1562" i="1"/>
  <c r="S1562" i="1"/>
  <c r="T1562" i="1"/>
  <c r="O1563" i="1"/>
  <c r="P1563" i="1"/>
  <c r="Q1563" i="1"/>
  <c r="R1563" i="1"/>
  <c r="S1563" i="1"/>
  <c r="T1563" i="1"/>
  <c r="O1564" i="1"/>
  <c r="P1564" i="1"/>
  <c r="Q1564" i="1"/>
  <c r="R1564" i="1"/>
  <c r="S1564" i="1"/>
  <c r="T1564" i="1"/>
  <c r="O1565" i="1"/>
  <c r="P1565" i="1"/>
  <c r="Q1565" i="1"/>
  <c r="R1565" i="1"/>
  <c r="S1565" i="1"/>
  <c r="T1565" i="1"/>
  <c r="O1566" i="1"/>
  <c r="P1566" i="1"/>
  <c r="Q1566" i="1"/>
  <c r="R1566" i="1"/>
  <c r="S1566" i="1"/>
  <c r="T1566" i="1"/>
  <c r="O1567" i="1"/>
  <c r="P1567" i="1"/>
  <c r="Q1567" i="1"/>
  <c r="R1567" i="1"/>
  <c r="S1567" i="1"/>
  <c r="T1567" i="1"/>
  <c r="O1568" i="1"/>
  <c r="P1568" i="1"/>
  <c r="Q1568" i="1"/>
  <c r="R1568" i="1"/>
  <c r="S1568" i="1"/>
  <c r="T1568" i="1"/>
  <c r="O1569" i="1"/>
  <c r="P1569" i="1"/>
  <c r="Q1569" i="1"/>
  <c r="R1569" i="1"/>
  <c r="S1569" i="1"/>
  <c r="T1569" i="1"/>
  <c r="O1570" i="1"/>
  <c r="P1570" i="1"/>
  <c r="Q1570" i="1"/>
  <c r="R1570" i="1"/>
  <c r="S1570" i="1"/>
  <c r="T1570" i="1"/>
  <c r="O1571" i="1"/>
  <c r="P1571" i="1"/>
  <c r="Q1571" i="1"/>
  <c r="R1571" i="1"/>
  <c r="S1571" i="1"/>
  <c r="T1571" i="1"/>
  <c r="O1572" i="1"/>
  <c r="P1572" i="1"/>
  <c r="Q1572" i="1"/>
  <c r="R1572" i="1"/>
  <c r="S1572" i="1"/>
  <c r="T1572" i="1"/>
  <c r="O1573" i="1"/>
  <c r="P1573" i="1"/>
  <c r="Q1573" i="1"/>
  <c r="R1573" i="1"/>
  <c r="S1573" i="1"/>
  <c r="T1573" i="1"/>
  <c r="O1574" i="1"/>
  <c r="P1574" i="1"/>
  <c r="Q1574" i="1"/>
  <c r="R1574" i="1"/>
  <c r="S1574" i="1"/>
  <c r="T1574" i="1"/>
  <c r="O1575" i="1"/>
  <c r="P1575" i="1"/>
  <c r="Q1575" i="1"/>
  <c r="R1575" i="1"/>
  <c r="S1575" i="1"/>
  <c r="T1575" i="1"/>
  <c r="O1576" i="1"/>
  <c r="P1576" i="1"/>
  <c r="Q1576" i="1"/>
  <c r="R1576" i="1"/>
  <c r="S1576" i="1"/>
  <c r="T1576" i="1"/>
  <c r="O1577" i="1"/>
  <c r="P1577" i="1"/>
  <c r="Q1577" i="1"/>
  <c r="R1577" i="1"/>
  <c r="S1577" i="1"/>
  <c r="T1577" i="1"/>
  <c r="O1578" i="1"/>
  <c r="P1578" i="1"/>
  <c r="Q1578" i="1"/>
  <c r="R1578" i="1"/>
  <c r="S1578" i="1"/>
  <c r="T1578" i="1"/>
  <c r="O1579" i="1"/>
  <c r="P1579" i="1"/>
  <c r="Q1579" i="1"/>
  <c r="R1579" i="1"/>
  <c r="S1579" i="1"/>
  <c r="T1579" i="1"/>
  <c r="O1580" i="1"/>
  <c r="P1580" i="1"/>
  <c r="Q1580" i="1"/>
  <c r="R1580" i="1"/>
  <c r="S1580" i="1"/>
  <c r="T1580" i="1"/>
  <c r="O1581" i="1"/>
  <c r="P1581" i="1"/>
  <c r="Q1581" i="1"/>
  <c r="R1581" i="1"/>
  <c r="S1581" i="1"/>
  <c r="T1581" i="1"/>
  <c r="O1582" i="1"/>
  <c r="P1582" i="1"/>
  <c r="Q1582" i="1"/>
  <c r="R1582" i="1"/>
  <c r="S1582" i="1"/>
  <c r="T1582" i="1"/>
  <c r="O1583" i="1"/>
  <c r="P1583" i="1"/>
  <c r="Q1583" i="1"/>
  <c r="R1583" i="1"/>
  <c r="S1583" i="1"/>
  <c r="T1583" i="1"/>
  <c r="O1584" i="1"/>
  <c r="P1584" i="1"/>
  <c r="Q1584" i="1"/>
  <c r="R1584" i="1"/>
  <c r="S1584" i="1"/>
  <c r="T1584" i="1"/>
  <c r="O1585" i="1"/>
  <c r="P1585" i="1"/>
  <c r="Q1585" i="1"/>
  <c r="R1585" i="1"/>
  <c r="S1585" i="1"/>
  <c r="T1585" i="1"/>
  <c r="R1586" i="1"/>
  <c r="S1586" i="1"/>
  <c r="T1586" i="1"/>
  <c r="O1587" i="1"/>
  <c r="P1587" i="1"/>
  <c r="Q1587" i="1"/>
  <c r="R1587" i="1"/>
  <c r="S1587" i="1"/>
  <c r="T1587" i="1"/>
  <c r="O1588" i="1"/>
  <c r="P1588" i="1"/>
  <c r="Q1588" i="1"/>
  <c r="R1588" i="1"/>
  <c r="S1588" i="1"/>
  <c r="T1588" i="1"/>
  <c r="O1589" i="1"/>
  <c r="P1589" i="1"/>
  <c r="Q1589" i="1"/>
  <c r="R1589" i="1"/>
  <c r="S1589" i="1"/>
  <c r="T1589" i="1"/>
  <c r="O1590" i="1"/>
  <c r="P1590" i="1"/>
  <c r="Q1590" i="1"/>
  <c r="R1590" i="1"/>
  <c r="S1590" i="1"/>
  <c r="T1590" i="1"/>
  <c r="O1591" i="1"/>
  <c r="P1591" i="1"/>
  <c r="Q1591" i="1"/>
  <c r="R1591" i="1"/>
  <c r="S1591" i="1"/>
  <c r="T1591" i="1"/>
  <c r="O1592" i="1"/>
  <c r="P1592" i="1"/>
  <c r="Q1592" i="1"/>
  <c r="R1592" i="1"/>
  <c r="S1592" i="1"/>
  <c r="T1592" i="1"/>
  <c r="O1593" i="1"/>
  <c r="P1593" i="1"/>
  <c r="Q1593" i="1"/>
  <c r="R1593" i="1"/>
  <c r="S1593" i="1"/>
  <c r="T1593" i="1"/>
  <c r="O1594" i="1"/>
  <c r="P1594" i="1"/>
  <c r="Q1594" i="1"/>
  <c r="R1594" i="1"/>
  <c r="S1594" i="1"/>
  <c r="T1594" i="1"/>
  <c r="O1595" i="1"/>
  <c r="P1595" i="1"/>
  <c r="Q1595" i="1"/>
  <c r="R1595" i="1"/>
  <c r="S1595" i="1"/>
  <c r="T1595" i="1"/>
  <c r="O1596" i="1"/>
  <c r="P1596" i="1"/>
  <c r="Q1596" i="1"/>
  <c r="R1596" i="1"/>
  <c r="S1596" i="1"/>
  <c r="T1596" i="1"/>
  <c r="O1598" i="1"/>
  <c r="P1598" i="1"/>
  <c r="Q1598" i="1"/>
  <c r="R1598" i="1"/>
  <c r="S1598" i="1"/>
  <c r="T1598" i="1"/>
  <c r="O1599" i="1"/>
  <c r="P1599" i="1"/>
  <c r="Q1599" i="1"/>
  <c r="R1599" i="1"/>
  <c r="S1599" i="1"/>
  <c r="T1599" i="1"/>
  <c r="O1600" i="1"/>
  <c r="P1600" i="1"/>
  <c r="Q1600" i="1"/>
  <c r="R1600" i="1"/>
  <c r="S1600" i="1"/>
  <c r="T1600" i="1"/>
  <c r="O1601" i="1"/>
  <c r="P1601" i="1"/>
  <c r="Q1601" i="1"/>
  <c r="R1601" i="1"/>
  <c r="S1601" i="1"/>
  <c r="T1601" i="1"/>
  <c r="O1602" i="1"/>
  <c r="P1602" i="1"/>
  <c r="Q1602" i="1"/>
  <c r="R1602" i="1"/>
  <c r="S1602" i="1"/>
  <c r="T1602" i="1"/>
  <c r="O1603" i="1"/>
  <c r="P1603" i="1"/>
  <c r="Q1603" i="1"/>
  <c r="R1603" i="1"/>
  <c r="S1603" i="1"/>
  <c r="T1603" i="1"/>
  <c r="O1604" i="1"/>
  <c r="P1604" i="1"/>
  <c r="Q1604" i="1"/>
  <c r="R1604" i="1"/>
  <c r="S1604" i="1"/>
  <c r="T1604" i="1"/>
  <c r="O1605" i="1"/>
  <c r="P1605" i="1"/>
  <c r="Q1605" i="1"/>
  <c r="R1605" i="1"/>
  <c r="S1605" i="1"/>
  <c r="T1605" i="1"/>
  <c r="O1606" i="1"/>
  <c r="P1606" i="1"/>
  <c r="Q1606" i="1"/>
  <c r="R1606" i="1"/>
  <c r="S1606" i="1"/>
  <c r="T1606" i="1"/>
  <c r="O1607" i="1"/>
  <c r="P1607" i="1"/>
  <c r="Q1607" i="1"/>
  <c r="R1607" i="1"/>
  <c r="S1607" i="1"/>
  <c r="T1607" i="1"/>
  <c r="O1608" i="1"/>
  <c r="P1608" i="1"/>
  <c r="Q1608" i="1"/>
  <c r="R1608" i="1"/>
  <c r="S1608" i="1"/>
  <c r="T1608" i="1"/>
  <c r="O1609" i="1"/>
  <c r="P1609" i="1"/>
  <c r="Q1609" i="1"/>
  <c r="R1609" i="1"/>
  <c r="S1609" i="1"/>
  <c r="T1609" i="1"/>
  <c r="O1610" i="1"/>
  <c r="P1610" i="1"/>
  <c r="Q1610" i="1"/>
  <c r="R1610" i="1"/>
  <c r="S1610" i="1"/>
  <c r="T1610" i="1"/>
  <c r="O1611" i="1"/>
  <c r="P1611" i="1"/>
  <c r="Q1611" i="1"/>
  <c r="R1611" i="1"/>
  <c r="S1611" i="1"/>
  <c r="T1611" i="1"/>
  <c r="O1612" i="1"/>
  <c r="P1612" i="1"/>
  <c r="Q1612" i="1"/>
  <c r="R1612" i="1"/>
  <c r="S1612" i="1"/>
  <c r="T1612" i="1"/>
  <c r="O1613" i="1"/>
  <c r="P1613" i="1"/>
  <c r="Q1613" i="1"/>
  <c r="R1613" i="1"/>
  <c r="S1613" i="1"/>
  <c r="T1613" i="1"/>
  <c r="O1614" i="1"/>
  <c r="P1614" i="1"/>
  <c r="Q1614" i="1"/>
  <c r="R1614" i="1"/>
  <c r="S1614" i="1"/>
  <c r="T1614" i="1"/>
  <c r="O1615" i="1"/>
  <c r="P1615" i="1"/>
  <c r="Q1615" i="1"/>
  <c r="R1615" i="1"/>
  <c r="S1615" i="1"/>
  <c r="T1615" i="1"/>
  <c r="O1616" i="1"/>
  <c r="P1616" i="1"/>
  <c r="Q1616" i="1"/>
  <c r="R1616" i="1"/>
  <c r="S1616" i="1"/>
  <c r="T1616" i="1"/>
  <c r="O1617" i="1"/>
  <c r="P1617" i="1"/>
  <c r="Q1617" i="1"/>
  <c r="R1617" i="1"/>
  <c r="S1617" i="1"/>
  <c r="T1617" i="1"/>
  <c r="O1618" i="1"/>
  <c r="P1618" i="1"/>
  <c r="Q1618" i="1"/>
  <c r="R1618" i="1"/>
  <c r="S1618" i="1"/>
  <c r="T1618" i="1"/>
  <c r="O1619" i="1"/>
  <c r="P1619" i="1"/>
  <c r="Q1619" i="1"/>
  <c r="R1619" i="1"/>
  <c r="S1619" i="1"/>
  <c r="T1619" i="1"/>
  <c r="O1620" i="1"/>
  <c r="P1620" i="1"/>
  <c r="Q1620" i="1"/>
  <c r="R1620" i="1"/>
  <c r="S1620" i="1"/>
  <c r="T1620" i="1"/>
  <c r="O1621" i="1"/>
  <c r="P1621" i="1"/>
  <c r="Q1621" i="1"/>
  <c r="R1621" i="1"/>
  <c r="S1621" i="1"/>
  <c r="T1621" i="1"/>
  <c r="O1622" i="1"/>
  <c r="P1622" i="1"/>
  <c r="Q1622" i="1"/>
  <c r="R1622" i="1"/>
  <c r="S1622" i="1"/>
  <c r="T1622" i="1"/>
  <c r="O1623" i="1"/>
  <c r="P1623" i="1"/>
  <c r="Q1623" i="1"/>
  <c r="R1623" i="1"/>
  <c r="S1623" i="1"/>
  <c r="T1623" i="1"/>
  <c r="O1624" i="1"/>
  <c r="P1624" i="1"/>
  <c r="Q1624" i="1"/>
  <c r="R1624" i="1"/>
  <c r="S1624" i="1"/>
  <c r="T1624" i="1"/>
  <c r="O1625" i="1"/>
  <c r="P1625" i="1"/>
  <c r="Q1625" i="1"/>
  <c r="R1625" i="1"/>
  <c r="S1625" i="1"/>
  <c r="T1625" i="1"/>
  <c r="O1626" i="1"/>
  <c r="P1626" i="1"/>
  <c r="Q1626" i="1"/>
  <c r="R1626" i="1"/>
  <c r="S1626" i="1"/>
  <c r="T1626" i="1"/>
  <c r="O1627" i="1"/>
  <c r="P1627" i="1"/>
  <c r="Q1627" i="1"/>
  <c r="R1627" i="1"/>
  <c r="S1627" i="1"/>
  <c r="T1627" i="1"/>
  <c r="O1628" i="1"/>
  <c r="P1628" i="1"/>
  <c r="Q1628" i="1"/>
  <c r="R1628" i="1"/>
  <c r="S1628" i="1"/>
  <c r="T1628" i="1"/>
  <c r="O1629" i="1"/>
  <c r="P1629" i="1"/>
  <c r="Q1629" i="1"/>
  <c r="R1629" i="1"/>
  <c r="S1629" i="1"/>
  <c r="T1629" i="1"/>
  <c r="O1630" i="1"/>
  <c r="P1630" i="1"/>
  <c r="Q1630" i="1"/>
  <c r="R1630" i="1"/>
  <c r="S1630" i="1"/>
  <c r="T1630" i="1"/>
  <c r="O1631" i="1"/>
  <c r="P1631" i="1"/>
  <c r="Q1631" i="1"/>
  <c r="R1631" i="1"/>
  <c r="S1631" i="1"/>
  <c r="T1631" i="1"/>
  <c r="O1632" i="1"/>
  <c r="P1632" i="1"/>
  <c r="Q1632" i="1"/>
  <c r="R1632" i="1"/>
  <c r="S1632" i="1"/>
  <c r="T1632" i="1"/>
  <c r="O1633" i="1"/>
  <c r="P1633" i="1"/>
  <c r="Q1633" i="1"/>
  <c r="R1633" i="1"/>
  <c r="S1633" i="1"/>
  <c r="T1633" i="1"/>
  <c r="O1634" i="1"/>
  <c r="P1634" i="1"/>
  <c r="Q1634" i="1"/>
  <c r="R1634" i="1"/>
  <c r="S1634" i="1"/>
  <c r="T1634" i="1"/>
  <c r="O1635" i="1"/>
  <c r="P1635" i="1"/>
  <c r="Q1635" i="1"/>
  <c r="R1635" i="1"/>
  <c r="S1635" i="1"/>
  <c r="T1635" i="1"/>
  <c r="O1636" i="1"/>
  <c r="P1636" i="1"/>
  <c r="Q1636" i="1"/>
  <c r="R1636" i="1"/>
  <c r="S1636" i="1"/>
  <c r="T1636" i="1"/>
  <c r="O1418" i="1"/>
  <c r="P1418" i="1"/>
  <c r="Q1418" i="1"/>
  <c r="R1418" i="1"/>
  <c r="S1418" i="1"/>
  <c r="T1418" i="1"/>
  <c r="O1419" i="1"/>
  <c r="P1419" i="1"/>
  <c r="Q1419" i="1"/>
  <c r="R1419" i="1"/>
  <c r="S1419" i="1"/>
  <c r="T1419" i="1"/>
  <c r="O1420" i="1"/>
  <c r="P1420" i="1"/>
  <c r="Q1420" i="1"/>
  <c r="R1420" i="1"/>
  <c r="S1420" i="1"/>
  <c r="T1420" i="1"/>
  <c r="O1421" i="1"/>
  <c r="P1421" i="1"/>
  <c r="Q1421" i="1"/>
  <c r="R1421" i="1"/>
  <c r="S1421" i="1"/>
  <c r="T1421" i="1"/>
  <c r="O1422" i="1"/>
  <c r="P1422" i="1"/>
  <c r="Q1422" i="1"/>
  <c r="R1422" i="1"/>
  <c r="S1422" i="1"/>
  <c r="T1422" i="1"/>
  <c r="O1423" i="1"/>
  <c r="P1423" i="1"/>
  <c r="Q1423" i="1"/>
  <c r="R1423" i="1"/>
  <c r="S1423" i="1"/>
  <c r="T1423" i="1"/>
  <c r="O1424" i="1"/>
  <c r="P1424" i="1"/>
  <c r="Q1424" i="1"/>
  <c r="R1424" i="1"/>
  <c r="S1424" i="1"/>
  <c r="T1424" i="1"/>
  <c r="O1425" i="1"/>
  <c r="P1425" i="1"/>
  <c r="Q1425" i="1"/>
  <c r="R1425" i="1"/>
  <c r="S1425" i="1"/>
  <c r="T1425" i="1"/>
  <c r="O1426" i="1"/>
  <c r="P1426" i="1"/>
  <c r="Q1426" i="1"/>
  <c r="R1426" i="1"/>
  <c r="S1426" i="1"/>
  <c r="T1426" i="1"/>
  <c r="P1427" i="1"/>
  <c r="Q1427" i="1"/>
  <c r="R1427" i="1"/>
  <c r="S1427" i="1"/>
  <c r="T1427" i="1"/>
  <c r="P1428" i="1"/>
  <c r="Q1428" i="1"/>
  <c r="R1428" i="1"/>
  <c r="S1428" i="1"/>
  <c r="T1428" i="1"/>
  <c r="O1429" i="1"/>
  <c r="P1429" i="1"/>
  <c r="Q1429" i="1"/>
  <c r="R1429" i="1"/>
  <c r="S1429" i="1"/>
  <c r="T1429" i="1"/>
  <c r="O1430" i="1"/>
  <c r="P1430" i="1"/>
  <c r="Q1430" i="1"/>
  <c r="R1430" i="1"/>
  <c r="S1430" i="1"/>
  <c r="T1430" i="1"/>
  <c r="O1431" i="1"/>
  <c r="P1431" i="1"/>
  <c r="Q1431" i="1"/>
  <c r="R1431" i="1"/>
  <c r="S1431" i="1"/>
  <c r="T1431" i="1"/>
  <c r="O1432" i="1"/>
  <c r="P1432" i="1"/>
  <c r="Q1432" i="1"/>
  <c r="R1432" i="1"/>
  <c r="S1432" i="1"/>
  <c r="T1432" i="1"/>
  <c r="O1433" i="1"/>
  <c r="P1433" i="1"/>
  <c r="Q1433" i="1"/>
  <c r="R1433" i="1"/>
  <c r="S1433" i="1"/>
  <c r="T1433" i="1"/>
  <c r="O1434" i="1"/>
  <c r="P1434" i="1"/>
  <c r="Q1434" i="1"/>
  <c r="R1434" i="1"/>
  <c r="S1434" i="1"/>
  <c r="T1434" i="1"/>
  <c r="O1435" i="1"/>
  <c r="P1435" i="1"/>
  <c r="Q1435" i="1"/>
  <c r="R1435" i="1"/>
  <c r="S1435" i="1"/>
  <c r="T1435" i="1"/>
  <c r="O1436" i="1"/>
  <c r="P1436" i="1"/>
  <c r="Q1436" i="1"/>
  <c r="R1436" i="1"/>
  <c r="S1436" i="1"/>
  <c r="T1436" i="1"/>
  <c r="O1437" i="1"/>
  <c r="P1437" i="1"/>
  <c r="Q1437" i="1"/>
  <c r="R1437" i="1"/>
  <c r="S1437" i="1"/>
  <c r="T1437" i="1"/>
  <c r="O1438" i="1"/>
  <c r="P1438" i="1"/>
  <c r="Q1438" i="1"/>
  <c r="R1438" i="1"/>
  <c r="S1438" i="1"/>
  <c r="T1438" i="1"/>
  <c r="O1439" i="1"/>
  <c r="P1439" i="1"/>
  <c r="Q1439" i="1"/>
  <c r="R1439" i="1"/>
  <c r="S1439" i="1"/>
  <c r="T1439" i="1"/>
  <c r="O1440" i="1"/>
  <c r="P1440" i="1"/>
  <c r="Q1440" i="1"/>
  <c r="R1440" i="1"/>
  <c r="S1440" i="1"/>
  <c r="T1440" i="1"/>
  <c r="O1441" i="1"/>
  <c r="P1441" i="1"/>
  <c r="Q1441" i="1"/>
  <c r="R1441" i="1"/>
  <c r="S1441" i="1"/>
  <c r="T1441" i="1"/>
  <c r="O1442" i="1"/>
  <c r="P1442" i="1"/>
  <c r="Q1442" i="1"/>
  <c r="R1442" i="1"/>
  <c r="S1442" i="1"/>
  <c r="T1442" i="1"/>
  <c r="O1443" i="1"/>
  <c r="P1443" i="1"/>
  <c r="Q1443" i="1"/>
  <c r="T1443" i="1"/>
  <c r="O1444" i="1"/>
  <c r="P1444" i="1"/>
  <c r="Q1444" i="1"/>
  <c r="R1444" i="1"/>
  <c r="S1444" i="1"/>
  <c r="T1444" i="1"/>
  <c r="O1445" i="1"/>
  <c r="P1445" i="1"/>
  <c r="Q1445" i="1"/>
  <c r="T1445" i="1"/>
  <c r="O1446" i="1"/>
  <c r="P1446" i="1"/>
  <c r="Q1446" i="1"/>
  <c r="T1446" i="1"/>
  <c r="O1447" i="1"/>
  <c r="P1447" i="1"/>
  <c r="Q1447" i="1"/>
  <c r="T1447" i="1"/>
  <c r="O1448" i="1"/>
  <c r="P1448" i="1"/>
  <c r="Q1448" i="1"/>
  <c r="T1448" i="1"/>
  <c r="O1449" i="1"/>
  <c r="P1449" i="1"/>
  <c r="Q1449" i="1"/>
  <c r="T1449" i="1"/>
  <c r="O1450" i="1"/>
  <c r="P1450" i="1"/>
  <c r="Q1450" i="1"/>
  <c r="R1450" i="1"/>
  <c r="S1450" i="1"/>
  <c r="T1450" i="1"/>
  <c r="O1451" i="1"/>
  <c r="P1451" i="1"/>
  <c r="Q1451" i="1"/>
  <c r="R1451" i="1"/>
  <c r="S1451" i="1"/>
  <c r="T1451" i="1"/>
  <c r="O1452" i="1"/>
  <c r="P1452" i="1"/>
  <c r="Q1452" i="1"/>
  <c r="R1452" i="1"/>
  <c r="S1452" i="1"/>
  <c r="T1452" i="1"/>
  <c r="O1453" i="1"/>
  <c r="P1453" i="1"/>
  <c r="Q1453" i="1"/>
  <c r="R1453" i="1"/>
  <c r="S1453" i="1"/>
  <c r="T1453" i="1"/>
  <c r="O1454" i="1"/>
  <c r="P1454" i="1"/>
  <c r="Q1454" i="1"/>
  <c r="R1454" i="1"/>
  <c r="S1454" i="1"/>
  <c r="T1454" i="1"/>
  <c r="O1455" i="1"/>
  <c r="P1455" i="1"/>
  <c r="Q1455" i="1"/>
  <c r="R1455" i="1"/>
  <c r="S1455" i="1"/>
  <c r="T1455" i="1"/>
  <c r="O1456" i="1"/>
  <c r="P1456" i="1"/>
  <c r="R1456" i="1"/>
  <c r="S1456" i="1"/>
  <c r="T1456" i="1"/>
  <c r="O1457" i="1"/>
  <c r="P1457" i="1"/>
  <c r="R1457" i="1"/>
  <c r="S1457" i="1"/>
  <c r="T1457" i="1"/>
  <c r="O1458" i="1"/>
  <c r="P1458" i="1"/>
  <c r="R1458" i="1"/>
  <c r="S1458" i="1"/>
  <c r="T1458" i="1"/>
  <c r="O1459" i="1"/>
  <c r="P1459" i="1"/>
  <c r="R1459" i="1"/>
  <c r="S1459" i="1"/>
  <c r="T1459" i="1"/>
  <c r="O1460" i="1"/>
  <c r="P1460" i="1"/>
  <c r="Q1460" i="1"/>
  <c r="R1460" i="1"/>
  <c r="S1460" i="1"/>
  <c r="T1460" i="1"/>
  <c r="R1461" i="1"/>
  <c r="S1461" i="1"/>
  <c r="T1461" i="1"/>
  <c r="O1462" i="1"/>
  <c r="P1462" i="1"/>
  <c r="R1462" i="1"/>
  <c r="S1462" i="1"/>
  <c r="T1462" i="1"/>
  <c r="O1463" i="1"/>
  <c r="P1463" i="1"/>
  <c r="R1463" i="1"/>
  <c r="S1463" i="1"/>
  <c r="T1463" i="1"/>
  <c r="O1464" i="1"/>
  <c r="P1464" i="1"/>
  <c r="R1464" i="1"/>
  <c r="S1464" i="1"/>
  <c r="T1464" i="1"/>
  <c r="O1465" i="1"/>
  <c r="P1465" i="1"/>
  <c r="R1465" i="1"/>
  <c r="S1465" i="1"/>
  <c r="T1465" i="1"/>
  <c r="O1466" i="1"/>
  <c r="P1466" i="1"/>
  <c r="R1466" i="1"/>
  <c r="S1466" i="1"/>
  <c r="T1466" i="1"/>
  <c r="O1467" i="1"/>
  <c r="P1467" i="1"/>
  <c r="R1467" i="1"/>
  <c r="S1467" i="1"/>
  <c r="T1467" i="1"/>
  <c r="O1468" i="1"/>
  <c r="P1468" i="1"/>
  <c r="R1468" i="1"/>
  <c r="S1468" i="1"/>
  <c r="T1468" i="1"/>
  <c r="O1469" i="1"/>
  <c r="P1469" i="1"/>
  <c r="Q1469" i="1"/>
  <c r="R1469" i="1"/>
  <c r="S1469" i="1"/>
  <c r="T1469" i="1"/>
  <c r="O1470" i="1"/>
  <c r="P1470" i="1"/>
  <c r="Q1470" i="1"/>
  <c r="R1470" i="1"/>
  <c r="S1470" i="1"/>
  <c r="T1470" i="1"/>
  <c r="O1471" i="1"/>
  <c r="P1471" i="1"/>
  <c r="Q1471" i="1"/>
  <c r="R1471" i="1"/>
  <c r="S1471" i="1"/>
  <c r="T1471" i="1"/>
  <c r="O1472" i="1"/>
  <c r="P1472" i="1"/>
  <c r="Q1472" i="1"/>
  <c r="R1472" i="1"/>
  <c r="S1472" i="1"/>
  <c r="T1472" i="1"/>
  <c r="O1473" i="1"/>
  <c r="P1473" i="1"/>
  <c r="Q1473" i="1"/>
  <c r="R1473" i="1"/>
  <c r="S1473" i="1"/>
  <c r="T1473" i="1"/>
  <c r="O1474" i="1"/>
  <c r="P1474" i="1"/>
  <c r="Q1474" i="1"/>
  <c r="R1474" i="1"/>
  <c r="S1474" i="1"/>
  <c r="T1474" i="1"/>
  <c r="O1475" i="1"/>
  <c r="P1475" i="1"/>
  <c r="Q1475" i="1"/>
  <c r="R1475" i="1"/>
  <c r="S1475" i="1"/>
  <c r="T1475" i="1"/>
  <c r="O1476" i="1"/>
  <c r="P1476" i="1"/>
  <c r="R1476" i="1"/>
  <c r="S1476" i="1"/>
  <c r="T1476" i="1"/>
  <c r="O1477" i="1"/>
  <c r="P1477" i="1"/>
  <c r="Q1477" i="1"/>
  <c r="R1477" i="1"/>
  <c r="S1477" i="1"/>
  <c r="T1477" i="1"/>
  <c r="O1478" i="1"/>
  <c r="P1478" i="1"/>
  <c r="Q1478" i="1"/>
  <c r="R1478" i="1"/>
  <c r="S1478" i="1"/>
  <c r="T1478" i="1"/>
  <c r="O1250" i="1"/>
  <c r="P1250" i="1"/>
  <c r="Q1250" i="1"/>
  <c r="R1250" i="1"/>
  <c r="S1250" i="1"/>
  <c r="T1250" i="1"/>
  <c r="O1251" i="1"/>
  <c r="P1251" i="1"/>
  <c r="Q1251" i="1"/>
  <c r="R1251" i="1"/>
  <c r="S1251" i="1"/>
  <c r="T1251" i="1"/>
  <c r="Q1252" i="1"/>
  <c r="T1252" i="1"/>
  <c r="O1253" i="1"/>
  <c r="P1253" i="1"/>
  <c r="Q1253" i="1"/>
  <c r="O1254" i="1"/>
  <c r="P1254" i="1"/>
  <c r="Q1254" i="1"/>
  <c r="R1254" i="1"/>
  <c r="S1254" i="1"/>
  <c r="T1254" i="1"/>
  <c r="O1255" i="1"/>
  <c r="P1255" i="1"/>
  <c r="Q1255" i="1"/>
  <c r="R1255" i="1"/>
  <c r="S1255" i="1"/>
  <c r="T1255" i="1"/>
  <c r="O1256" i="1"/>
  <c r="P1256" i="1"/>
  <c r="Q1256" i="1"/>
  <c r="R1256" i="1"/>
  <c r="S1256" i="1"/>
  <c r="T1256" i="1"/>
  <c r="O1257" i="1"/>
  <c r="P1257" i="1"/>
  <c r="Q1257" i="1"/>
  <c r="R1257" i="1"/>
  <c r="S1257" i="1"/>
  <c r="T1257" i="1"/>
  <c r="O1258" i="1"/>
  <c r="P1258" i="1"/>
  <c r="Q1258" i="1"/>
  <c r="O1259" i="1"/>
  <c r="P1259" i="1"/>
  <c r="Q1259" i="1"/>
  <c r="R1259" i="1"/>
  <c r="S1259" i="1"/>
  <c r="T1259" i="1"/>
  <c r="O1260" i="1"/>
  <c r="P1260" i="1"/>
  <c r="Q1260" i="1"/>
  <c r="R1260" i="1"/>
  <c r="S1260" i="1"/>
  <c r="T1260" i="1"/>
  <c r="O1261" i="1"/>
  <c r="P1261" i="1"/>
  <c r="Q1261" i="1"/>
  <c r="R1261" i="1"/>
  <c r="S1261" i="1"/>
  <c r="T1261" i="1"/>
  <c r="O1262" i="1"/>
  <c r="P1262" i="1"/>
  <c r="Q1262" i="1"/>
  <c r="R1262" i="1"/>
  <c r="S1262" i="1"/>
  <c r="T1262" i="1"/>
  <c r="O1263" i="1"/>
  <c r="P1263" i="1"/>
  <c r="Q1263" i="1"/>
  <c r="R1263" i="1"/>
  <c r="S1263" i="1"/>
  <c r="T1263" i="1"/>
  <c r="O1264" i="1"/>
  <c r="P1264" i="1"/>
  <c r="Q1264" i="1"/>
  <c r="Q1265" i="1"/>
  <c r="R1265" i="1"/>
  <c r="S1265" i="1"/>
  <c r="T1265" i="1"/>
  <c r="R1266" i="1"/>
  <c r="S1266" i="1"/>
  <c r="T1266" i="1"/>
  <c r="O1268" i="1"/>
  <c r="P1268" i="1"/>
  <c r="Q1268" i="1"/>
  <c r="R1268" i="1"/>
  <c r="S1268" i="1"/>
  <c r="T1268" i="1"/>
  <c r="O1269" i="1"/>
  <c r="P1269" i="1"/>
  <c r="Q1269" i="1"/>
  <c r="R1269" i="1"/>
  <c r="S1269" i="1"/>
  <c r="T1269" i="1"/>
  <c r="O1270" i="1"/>
  <c r="P1270" i="1"/>
  <c r="Q1270" i="1"/>
  <c r="R1270" i="1"/>
  <c r="S1270" i="1"/>
  <c r="T1270" i="1"/>
  <c r="O1271" i="1"/>
  <c r="P1271" i="1"/>
  <c r="Q1271" i="1"/>
  <c r="R1271" i="1"/>
  <c r="S1271" i="1"/>
  <c r="T1271" i="1"/>
  <c r="O1272" i="1"/>
  <c r="P1272" i="1"/>
  <c r="Q1272" i="1"/>
  <c r="O1273" i="1"/>
  <c r="P1273" i="1"/>
  <c r="Q1273" i="1"/>
  <c r="R1273" i="1"/>
  <c r="S1273" i="1"/>
  <c r="T1273" i="1"/>
  <c r="O1274" i="1"/>
  <c r="P1274" i="1"/>
  <c r="Q1274" i="1"/>
  <c r="R1274" i="1"/>
  <c r="S1274" i="1"/>
  <c r="T1274" i="1"/>
  <c r="O1275" i="1"/>
  <c r="P1275" i="1"/>
  <c r="Q1275" i="1"/>
  <c r="O1276" i="1"/>
  <c r="P1276" i="1"/>
  <c r="Q1276" i="1"/>
  <c r="R1276" i="1"/>
  <c r="S1276" i="1"/>
  <c r="T1276" i="1"/>
  <c r="O1277" i="1"/>
  <c r="P1277" i="1"/>
  <c r="Q1277" i="1"/>
  <c r="R1277" i="1"/>
  <c r="S1277" i="1"/>
  <c r="T1277" i="1"/>
  <c r="O1278" i="1"/>
  <c r="P1278" i="1"/>
  <c r="Q1278" i="1"/>
  <c r="R1278" i="1"/>
  <c r="S1278" i="1"/>
  <c r="T1278" i="1"/>
  <c r="O1279" i="1"/>
  <c r="P1279" i="1"/>
  <c r="Q1279" i="1"/>
  <c r="R1279" i="1"/>
  <c r="S1279" i="1"/>
  <c r="T1279" i="1"/>
  <c r="O1280" i="1"/>
  <c r="P1280" i="1"/>
  <c r="Q1280" i="1"/>
  <c r="R1280" i="1"/>
  <c r="S1280" i="1"/>
  <c r="T1280" i="1"/>
  <c r="O1281" i="1"/>
  <c r="P1281" i="1"/>
  <c r="Q1281" i="1"/>
  <c r="R1281" i="1"/>
  <c r="S1281" i="1"/>
  <c r="T1281" i="1"/>
  <c r="O1282" i="1"/>
  <c r="P1282" i="1"/>
  <c r="Q1282" i="1"/>
  <c r="R1282" i="1"/>
  <c r="S1282" i="1"/>
  <c r="T1282" i="1"/>
  <c r="O1283" i="1"/>
  <c r="P1283" i="1"/>
  <c r="Q1283" i="1"/>
  <c r="R1283" i="1"/>
  <c r="S1283" i="1"/>
  <c r="T1283" i="1"/>
  <c r="O1284" i="1"/>
  <c r="P1284" i="1"/>
  <c r="Q1284" i="1"/>
  <c r="R1284" i="1"/>
  <c r="S1284" i="1"/>
  <c r="T1284" i="1"/>
  <c r="O1285" i="1"/>
  <c r="P1285" i="1"/>
  <c r="Q1285" i="1"/>
  <c r="R1285" i="1"/>
  <c r="S1285" i="1"/>
  <c r="T1285" i="1"/>
  <c r="O1286" i="1"/>
  <c r="P1286" i="1"/>
  <c r="Q1286" i="1"/>
  <c r="R1286" i="1"/>
  <c r="S1286" i="1"/>
  <c r="T1286" i="1"/>
  <c r="O1287" i="1"/>
  <c r="P1287" i="1"/>
  <c r="Q1287" i="1"/>
  <c r="R1287" i="1"/>
  <c r="S1287" i="1"/>
  <c r="T1287" i="1"/>
  <c r="O1288" i="1"/>
  <c r="P1288" i="1"/>
  <c r="Q1288" i="1"/>
  <c r="R1288" i="1"/>
  <c r="S1288" i="1"/>
  <c r="T1288" i="1"/>
  <c r="O1289" i="1"/>
  <c r="P1289" i="1"/>
  <c r="Q1289" i="1"/>
  <c r="R1289" i="1"/>
  <c r="S1289" i="1"/>
  <c r="T1289" i="1"/>
  <c r="O1290" i="1"/>
  <c r="P1290" i="1"/>
  <c r="Q1290" i="1"/>
  <c r="R1290" i="1"/>
  <c r="S1290" i="1"/>
  <c r="T1290" i="1"/>
  <c r="O1291" i="1"/>
  <c r="P1291" i="1"/>
  <c r="Q1291" i="1"/>
  <c r="R1291" i="1"/>
  <c r="S1291" i="1"/>
  <c r="T1291" i="1"/>
  <c r="O1292" i="1"/>
  <c r="P1292" i="1"/>
  <c r="Q1292" i="1"/>
  <c r="R1292" i="1"/>
  <c r="S1292" i="1"/>
  <c r="T1292" i="1"/>
  <c r="O1293" i="1"/>
  <c r="P1293" i="1"/>
  <c r="Q1293" i="1"/>
  <c r="R1293" i="1"/>
  <c r="S1293" i="1"/>
  <c r="T1293" i="1"/>
  <c r="O1294" i="1"/>
  <c r="P1294" i="1"/>
  <c r="Q1294" i="1"/>
  <c r="R1294" i="1"/>
  <c r="S1294" i="1"/>
  <c r="T1294" i="1"/>
  <c r="O1295" i="1"/>
  <c r="P1295" i="1"/>
  <c r="Q1295" i="1"/>
  <c r="R1295" i="1"/>
  <c r="S1295" i="1"/>
  <c r="T1295" i="1"/>
  <c r="O1296" i="1"/>
  <c r="P1296" i="1"/>
  <c r="Q1296" i="1"/>
  <c r="R1296" i="1"/>
  <c r="S1296" i="1"/>
  <c r="T1296" i="1"/>
  <c r="O1297" i="1"/>
  <c r="P1297" i="1"/>
  <c r="Q1297" i="1"/>
  <c r="R1297" i="1"/>
  <c r="S1297" i="1"/>
  <c r="T1297" i="1"/>
  <c r="O1298" i="1"/>
  <c r="P1298" i="1"/>
  <c r="Q1298" i="1"/>
  <c r="R1298" i="1"/>
  <c r="S1298" i="1"/>
  <c r="T1298" i="1"/>
  <c r="O1299" i="1"/>
  <c r="P1299" i="1"/>
  <c r="Q1299" i="1"/>
  <c r="R1299" i="1"/>
  <c r="S1299" i="1"/>
  <c r="T1299" i="1"/>
  <c r="O1300" i="1"/>
  <c r="P1300" i="1"/>
  <c r="Q1300" i="1"/>
  <c r="R1300" i="1"/>
  <c r="S1300" i="1"/>
  <c r="T1300" i="1"/>
  <c r="O1301" i="1"/>
  <c r="P1301" i="1"/>
  <c r="Q1301" i="1"/>
  <c r="R1301" i="1"/>
  <c r="S1301" i="1"/>
  <c r="T1301" i="1"/>
  <c r="O1302" i="1"/>
  <c r="P1302" i="1"/>
  <c r="Q1302" i="1"/>
  <c r="R1302" i="1"/>
  <c r="S1302" i="1"/>
  <c r="T1302" i="1"/>
  <c r="O1303" i="1"/>
  <c r="P1303" i="1"/>
  <c r="Q1303" i="1"/>
  <c r="R1303" i="1"/>
  <c r="S1303" i="1"/>
  <c r="T1303" i="1"/>
  <c r="O1304" i="1"/>
  <c r="P1304" i="1"/>
  <c r="Q1304" i="1"/>
  <c r="R1304" i="1"/>
  <c r="S1304" i="1"/>
  <c r="T1304" i="1"/>
  <c r="O1305" i="1"/>
  <c r="P1305" i="1"/>
  <c r="Q1305" i="1"/>
  <c r="R1305" i="1"/>
  <c r="S1305" i="1"/>
  <c r="T1305" i="1"/>
  <c r="O1306" i="1"/>
  <c r="P1306" i="1"/>
  <c r="Q1306" i="1"/>
  <c r="R1306" i="1"/>
  <c r="S1306" i="1"/>
  <c r="T1306" i="1"/>
  <c r="O1307" i="1"/>
  <c r="P1307" i="1"/>
  <c r="Q1307" i="1"/>
  <c r="R1307" i="1"/>
  <c r="S1307" i="1"/>
  <c r="T1307" i="1"/>
  <c r="O1308" i="1"/>
  <c r="P1308" i="1"/>
  <c r="Q1308" i="1"/>
  <c r="R1308" i="1"/>
  <c r="S1308" i="1"/>
  <c r="T1308" i="1"/>
  <c r="O1309" i="1"/>
  <c r="P1309" i="1"/>
  <c r="Q1309" i="1"/>
  <c r="R1309" i="1"/>
  <c r="S1309" i="1"/>
  <c r="T1309" i="1"/>
  <c r="P1310" i="1"/>
  <c r="Q1310" i="1"/>
  <c r="R1310" i="1"/>
  <c r="S1310" i="1"/>
  <c r="T1310" i="1"/>
  <c r="O1311" i="1"/>
  <c r="P1311" i="1"/>
  <c r="Q1311" i="1"/>
  <c r="R1311" i="1"/>
  <c r="S1311" i="1"/>
  <c r="T1311" i="1"/>
  <c r="O1312" i="1"/>
  <c r="P1312" i="1"/>
  <c r="Q1312" i="1"/>
  <c r="R1312" i="1"/>
  <c r="S1312" i="1"/>
  <c r="T1312" i="1"/>
  <c r="O1313" i="1"/>
  <c r="P1313" i="1"/>
  <c r="Q1313" i="1"/>
  <c r="R1313" i="1"/>
  <c r="S1313" i="1"/>
  <c r="T1313" i="1"/>
  <c r="O1314" i="1"/>
  <c r="P1314" i="1"/>
  <c r="Q1314" i="1"/>
  <c r="R1314" i="1"/>
  <c r="S1314" i="1"/>
  <c r="T1314" i="1"/>
  <c r="O1315" i="1"/>
  <c r="P1315" i="1"/>
  <c r="Q1315" i="1"/>
  <c r="R1315" i="1"/>
  <c r="S1315" i="1"/>
  <c r="T1315" i="1"/>
  <c r="O1316" i="1"/>
  <c r="P1316" i="1"/>
  <c r="Q1316" i="1"/>
  <c r="R1316" i="1"/>
  <c r="S1316" i="1"/>
  <c r="T1316" i="1"/>
  <c r="O1317" i="1"/>
  <c r="P1317" i="1"/>
  <c r="Q1317" i="1"/>
  <c r="R1317" i="1"/>
  <c r="S1317" i="1"/>
  <c r="T1317" i="1"/>
  <c r="O1318" i="1"/>
  <c r="P1318" i="1"/>
  <c r="Q1318" i="1"/>
  <c r="R1318" i="1"/>
  <c r="S1318" i="1"/>
  <c r="T1318" i="1"/>
  <c r="O1319" i="1"/>
  <c r="P1319" i="1"/>
  <c r="Q1319" i="1"/>
  <c r="R1319" i="1"/>
  <c r="S1319" i="1"/>
  <c r="T1319" i="1"/>
  <c r="O1320" i="1"/>
  <c r="P1320" i="1"/>
  <c r="Q1320" i="1"/>
  <c r="R1320" i="1"/>
  <c r="S1320" i="1"/>
  <c r="T1320" i="1"/>
  <c r="O1321" i="1"/>
  <c r="P1321" i="1"/>
  <c r="Q1321" i="1"/>
  <c r="R1321" i="1"/>
  <c r="S1321" i="1"/>
  <c r="T1321" i="1"/>
  <c r="O1322" i="1"/>
  <c r="P1322" i="1"/>
  <c r="Q1322" i="1"/>
  <c r="R1322" i="1"/>
  <c r="S1322" i="1"/>
  <c r="T1322" i="1"/>
  <c r="O1323" i="1"/>
  <c r="P1323" i="1"/>
  <c r="Q1323" i="1"/>
  <c r="R1323" i="1"/>
  <c r="S1323" i="1"/>
  <c r="T1323" i="1"/>
  <c r="O1324" i="1"/>
  <c r="P1324" i="1"/>
  <c r="Q1324" i="1"/>
  <c r="R1324" i="1"/>
  <c r="S1324" i="1"/>
  <c r="T1324" i="1"/>
  <c r="O1325" i="1"/>
  <c r="P1325" i="1"/>
  <c r="Q1325" i="1"/>
  <c r="R1325" i="1"/>
  <c r="S1325" i="1"/>
  <c r="T1325" i="1"/>
  <c r="O1326" i="1"/>
  <c r="P1326" i="1"/>
  <c r="Q1326" i="1"/>
  <c r="R1326" i="1"/>
  <c r="S1326" i="1"/>
  <c r="T1326" i="1"/>
  <c r="O1327" i="1"/>
  <c r="P1327" i="1"/>
  <c r="Q1327" i="1"/>
  <c r="R1327" i="1"/>
  <c r="S1327" i="1"/>
  <c r="T1327" i="1"/>
  <c r="O1328" i="1"/>
  <c r="P1328" i="1"/>
  <c r="Q1328" i="1"/>
  <c r="R1328" i="1"/>
  <c r="S1328" i="1"/>
  <c r="T1328" i="1"/>
  <c r="O1329" i="1"/>
  <c r="P1329" i="1"/>
  <c r="Q1329" i="1"/>
  <c r="R1329" i="1"/>
  <c r="S1329" i="1"/>
  <c r="T1329" i="1"/>
  <c r="O1330" i="1"/>
  <c r="P1330" i="1"/>
  <c r="Q1330" i="1"/>
  <c r="R1330" i="1"/>
  <c r="S1330" i="1"/>
  <c r="T1330" i="1"/>
  <c r="O1331" i="1"/>
  <c r="P1331" i="1"/>
  <c r="Q1331" i="1"/>
  <c r="R1331" i="1"/>
  <c r="S1331" i="1"/>
  <c r="T1331" i="1"/>
  <c r="O1332" i="1"/>
  <c r="P1332" i="1"/>
  <c r="Q1332" i="1"/>
  <c r="R1332" i="1"/>
  <c r="S1332" i="1"/>
  <c r="T1332" i="1"/>
  <c r="O1333" i="1"/>
  <c r="P1333" i="1"/>
  <c r="Q1333" i="1"/>
  <c r="R1333" i="1"/>
  <c r="S1333" i="1"/>
  <c r="T1333" i="1"/>
  <c r="O1334" i="1"/>
  <c r="P1334" i="1"/>
  <c r="Q1334" i="1"/>
  <c r="R1334" i="1"/>
  <c r="S1334" i="1"/>
  <c r="T1334" i="1"/>
  <c r="O1335" i="1"/>
  <c r="P1335" i="1"/>
  <c r="Q1335" i="1"/>
  <c r="R1335" i="1"/>
  <c r="S1335" i="1"/>
  <c r="T1335" i="1"/>
  <c r="O1336" i="1"/>
  <c r="P1336" i="1"/>
  <c r="Q1336" i="1"/>
  <c r="O1337" i="1"/>
  <c r="P1337" i="1"/>
  <c r="Q1337" i="1"/>
  <c r="R1337" i="1"/>
  <c r="S1337" i="1"/>
  <c r="T1337" i="1"/>
  <c r="O1338" i="1"/>
  <c r="P1338" i="1"/>
  <c r="Q1338" i="1"/>
  <c r="R1338" i="1"/>
  <c r="S1338" i="1"/>
  <c r="T1338" i="1"/>
  <c r="O1339" i="1"/>
  <c r="P1339" i="1"/>
  <c r="Q1339" i="1"/>
  <c r="R1339" i="1"/>
  <c r="S1339" i="1"/>
  <c r="T1339" i="1"/>
  <c r="O1340" i="1"/>
  <c r="P1340" i="1"/>
  <c r="Q1340" i="1"/>
  <c r="R1340" i="1"/>
  <c r="S1340" i="1"/>
  <c r="T1340" i="1"/>
  <c r="O1341" i="1"/>
  <c r="P1341" i="1"/>
  <c r="Q1341" i="1"/>
  <c r="O1342" i="1"/>
  <c r="P1342" i="1"/>
  <c r="Q1342" i="1"/>
  <c r="R1342" i="1"/>
  <c r="S1342" i="1"/>
  <c r="T1342" i="1"/>
  <c r="O1343" i="1"/>
  <c r="P1343" i="1"/>
  <c r="Q1343" i="1"/>
  <c r="R1343" i="1"/>
  <c r="S1343" i="1"/>
  <c r="T1343" i="1"/>
  <c r="O1344" i="1"/>
  <c r="P1344" i="1"/>
  <c r="Q1344" i="1"/>
  <c r="R1344" i="1"/>
  <c r="S1344" i="1"/>
  <c r="T1344" i="1"/>
  <c r="O1345" i="1"/>
  <c r="P1345" i="1"/>
  <c r="Q1345" i="1"/>
  <c r="R1345" i="1"/>
  <c r="S1345" i="1"/>
  <c r="T1345" i="1"/>
  <c r="O1346" i="1"/>
  <c r="P1346" i="1"/>
  <c r="Q1346" i="1"/>
  <c r="R1346" i="1"/>
  <c r="S1346" i="1"/>
  <c r="T1346" i="1"/>
  <c r="O1347" i="1"/>
  <c r="P1347" i="1"/>
  <c r="Q1347" i="1"/>
  <c r="R1347" i="1"/>
  <c r="S1347" i="1"/>
  <c r="T1347" i="1"/>
  <c r="O1348" i="1"/>
  <c r="P1348" i="1"/>
  <c r="Q1348" i="1"/>
  <c r="R1348" i="1"/>
  <c r="S1348" i="1"/>
  <c r="T1348" i="1"/>
  <c r="O1349" i="1"/>
  <c r="P1349" i="1"/>
  <c r="Q1349" i="1"/>
  <c r="R1349" i="1"/>
  <c r="S1349" i="1"/>
  <c r="T1349" i="1"/>
  <c r="O1350" i="1"/>
  <c r="P1350" i="1"/>
  <c r="Q1350" i="1"/>
  <c r="R1350" i="1"/>
  <c r="S1350" i="1"/>
  <c r="T1350" i="1"/>
  <c r="O1351" i="1"/>
  <c r="P1351" i="1"/>
  <c r="Q1351" i="1"/>
  <c r="R1351" i="1"/>
  <c r="S1351" i="1"/>
  <c r="T1351" i="1"/>
  <c r="O1352" i="1"/>
  <c r="P1352" i="1"/>
  <c r="Q1352" i="1"/>
  <c r="R1352" i="1"/>
  <c r="S1352" i="1"/>
  <c r="T1352" i="1"/>
  <c r="O1353" i="1"/>
  <c r="P1353" i="1"/>
  <c r="Q1353" i="1"/>
  <c r="R1353" i="1"/>
  <c r="S1353" i="1"/>
  <c r="T1353" i="1"/>
  <c r="O1354" i="1"/>
  <c r="P1354" i="1"/>
  <c r="Q1354" i="1"/>
  <c r="R1354" i="1"/>
  <c r="S1354" i="1"/>
  <c r="T1354" i="1"/>
  <c r="O1355" i="1"/>
  <c r="P1355" i="1"/>
  <c r="Q1355" i="1"/>
  <c r="R1355" i="1"/>
  <c r="S1355" i="1"/>
  <c r="T1355" i="1"/>
  <c r="O1356" i="1"/>
  <c r="P1356" i="1"/>
  <c r="Q1356" i="1"/>
  <c r="R1356" i="1"/>
  <c r="S1356" i="1"/>
  <c r="T1356" i="1"/>
  <c r="O1357" i="1"/>
  <c r="P1357" i="1"/>
  <c r="Q1357" i="1"/>
  <c r="R1357" i="1"/>
  <c r="S1357" i="1"/>
  <c r="T1357" i="1"/>
  <c r="O1358" i="1"/>
  <c r="P1358" i="1"/>
  <c r="Q1358" i="1"/>
  <c r="R1358" i="1"/>
  <c r="S1358" i="1"/>
  <c r="T1358" i="1"/>
  <c r="O1359" i="1"/>
  <c r="P1359" i="1"/>
  <c r="Q1359" i="1"/>
  <c r="R1359" i="1"/>
  <c r="S1359" i="1"/>
  <c r="T1359" i="1"/>
  <c r="O1360" i="1"/>
  <c r="P1360" i="1"/>
  <c r="Q1360" i="1"/>
  <c r="R1360" i="1"/>
  <c r="S1360" i="1"/>
  <c r="T1360" i="1"/>
  <c r="O1361" i="1"/>
  <c r="P1361" i="1"/>
  <c r="Q1361" i="1"/>
  <c r="R1361" i="1"/>
  <c r="S1361" i="1"/>
  <c r="T1361" i="1"/>
  <c r="O1362" i="1"/>
  <c r="P1362" i="1"/>
  <c r="Q1362" i="1"/>
  <c r="R1362" i="1"/>
  <c r="S1362" i="1"/>
  <c r="T1362" i="1"/>
  <c r="O1363" i="1"/>
  <c r="P1363" i="1"/>
  <c r="Q1363" i="1"/>
  <c r="R1363" i="1"/>
  <c r="S1363" i="1"/>
  <c r="T1363" i="1"/>
  <c r="O1364" i="1"/>
  <c r="P1364" i="1"/>
  <c r="Q1364" i="1"/>
  <c r="R1364" i="1"/>
  <c r="S1364" i="1"/>
  <c r="T1364" i="1"/>
  <c r="O1365" i="1"/>
  <c r="P1365" i="1"/>
  <c r="Q1365" i="1"/>
  <c r="R1365" i="1"/>
  <c r="S1365" i="1"/>
  <c r="T1365" i="1"/>
  <c r="O1366" i="1"/>
  <c r="Q1366" i="1"/>
  <c r="R1366" i="1"/>
  <c r="S1366" i="1"/>
  <c r="T1366" i="1"/>
  <c r="O1367" i="1"/>
  <c r="P1367" i="1"/>
  <c r="Q1367" i="1"/>
  <c r="R1367" i="1"/>
  <c r="S1367" i="1"/>
  <c r="T1367" i="1"/>
  <c r="O1368" i="1"/>
  <c r="P1368" i="1"/>
  <c r="Q1368" i="1"/>
  <c r="R1368" i="1"/>
  <c r="S1368" i="1"/>
  <c r="T1368" i="1"/>
  <c r="O1369" i="1"/>
  <c r="P1369" i="1"/>
  <c r="Q1369" i="1"/>
  <c r="R1369" i="1"/>
  <c r="S1369" i="1"/>
  <c r="T1369" i="1"/>
  <c r="O1370" i="1"/>
  <c r="P1370" i="1"/>
  <c r="Q1370" i="1"/>
  <c r="R1370" i="1"/>
  <c r="S1370" i="1"/>
  <c r="T1370" i="1"/>
  <c r="O1371" i="1"/>
  <c r="P1371" i="1"/>
  <c r="Q1371" i="1"/>
  <c r="R1371" i="1"/>
  <c r="S1371" i="1"/>
  <c r="T1371" i="1"/>
  <c r="O1372" i="1"/>
  <c r="P1372" i="1"/>
  <c r="Q1372" i="1"/>
  <c r="R1372" i="1"/>
  <c r="S1372" i="1"/>
  <c r="T1372" i="1"/>
  <c r="O1373" i="1"/>
  <c r="P1373" i="1"/>
  <c r="Q1373" i="1"/>
  <c r="R1373" i="1"/>
  <c r="S1373" i="1"/>
  <c r="T1373" i="1"/>
  <c r="O1374" i="1"/>
  <c r="P1374" i="1"/>
  <c r="Q1374" i="1"/>
  <c r="R1374" i="1"/>
  <c r="S1374" i="1"/>
  <c r="T1374" i="1"/>
  <c r="O1375" i="1"/>
  <c r="P1375" i="1"/>
  <c r="Q1375" i="1"/>
  <c r="R1375" i="1"/>
  <c r="S1375" i="1"/>
  <c r="T1375" i="1"/>
  <c r="O1376" i="1"/>
  <c r="P1376" i="1"/>
  <c r="Q1376" i="1"/>
  <c r="R1376" i="1"/>
  <c r="S1376" i="1"/>
  <c r="T1376" i="1"/>
  <c r="O1377" i="1"/>
  <c r="P1377" i="1"/>
  <c r="O1378" i="1"/>
  <c r="P1378" i="1"/>
  <c r="R1377" i="1" s="1"/>
  <c r="S1377" i="1" s="1"/>
  <c r="R1378" i="1"/>
  <c r="S1378" i="1"/>
  <c r="T1378" i="1"/>
  <c r="O1379" i="1"/>
  <c r="P1379" i="1"/>
  <c r="Q1379" i="1"/>
  <c r="R1379" i="1"/>
  <c r="S1379" i="1"/>
  <c r="T1379" i="1"/>
  <c r="O1380" i="1"/>
  <c r="P1380" i="1"/>
  <c r="Q1380" i="1"/>
  <c r="R1380" i="1"/>
  <c r="S1380" i="1"/>
  <c r="T1380" i="1"/>
  <c r="O1381" i="1"/>
  <c r="P1381" i="1"/>
  <c r="Q1381" i="1"/>
  <c r="R1381" i="1"/>
  <c r="S1381" i="1"/>
  <c r="T1381" i="1"/>
  <c r="O1382" i="1"/>
  <c r="P1382" i="1"/>
  <c r="Q1382" i="1"/>
  <c r="R1382" i="1"/>
  <c r="S1382" i="1"/>
  <c r="T1382" i="1"/>
  <c r="O1383" i="1"/>
  <c r="P1383" i="1"/>
  <c r="Q1383" i="1"/>
  <c r="R1383" i="1"/>
  <c r="S1383" i="1"/>
  <c r="T1383" i="1"/>
  <c r="O1384" i="1"/>
  <c r="P1384" i="1"/>
  <c r="Q1384" i="1"/>
  <c r="R1384" i="1"/>
  <c r="S1384" i="1"/>
  <c r="T1384" i="1"/>
  <c r="O1385" i="1"/>
  <c r="P1385" i="1"/>
  <c r="Q1385" i="1"/>
  <c r="R1385" i="1"/>
  <c r="S1385" i="1"/>
  <c r="T1385" i="1"/>
  <c r="O1386" i="1"/>
  <c r="P1386" i="1"/>
  <c r="Q1386" i="1"/>
  <c r="O1387" i="1"/>
  <c r="P1387" i="1"/>
  <c r="Q1387" i="1"/>
  <c r="R1387" i="1"/>
  <c r="S1387" i="1"/>
  <c r="T1387" i="1"/>
  <c r="R1388" i="1"/>
  <c r="S1388" i="1"/>
  <c r="T1388" i="1"/>
  <c r="R1389" i="1"/>
  <c r="S1389" i="1"/>
  <c r="T1389" i="1"/>
  <c r="O1390" i="1"/>
  <c r="P1390" i="1"/>
  <c r="Q1390" i="1"/>
  <c r="R1390" i="1"/>
  <c r="S1390" i="1"/>
  <c r="T1390" i="1"/>
  <c r="O1391" i="1"/>
  <c r="P1391" i="1"/>
  <c r="Q1391" i="1"/>
  <c r="R1391" i="1"/>
  <c r="S1391" i="1"/>
  <c r="O1392" i="1"/>
  <c r="P1392" i="1"/>
  <c r="Q1392" i="1"/>
  <c r="R1392" i="1"/>
  <c r="S1392" i="1"/>
  <c r="T1392" i="1"/>
  <c r="O1393" i="1"/>
  <c r="P1393" i="1"/>
  <c r="Q1393" i="1"/>
  <c r="R1393" i="1"/>
  <c r="S1393" i="1"/>
  <c r="T1393" i="1"/>
  <c r="O1394" i="1"/>
  <c r="P1394" i="1"/>
  <c r="Q1394" i="1"/>
  <c r="R1394" i="1"/>
  <c r="S1394" i="1"/>
  <c r="T1394" i="1"/>
  <c r="O1395" i="1"/>
  <c r="P1395" i="1"/>
  <c r="Q1395" i="1"/>
  <c r="R1395" i="1"/>
  <c r="S1395" i="1"/>
  <c r="T1395" i="1"/>
  <c r="O1396" i="1"/>
  <c r="P1396" i="1"/>
  <c r="Q1396" i="1"/>
  <c r="R1396" i="1"/>
  <c r="S1396" i="1"/>
  <c r="T1396" i="1"/>
  <c r="O1397" i="1"/>
  <c r="P1397" i="1"/>
  <c r="Q1397" i="1"/>
  <c r="R1397" i="1"/>
  <c r="S1397" i="1"/>
  <c r="T1397" i="1"/>
  <c r="O1398" i="1"/>
  <c r="P1398" i="1"/>
  <c r="Q1398" i="1"/>
  <c r="R1398" i="1"/>
  <c r="S1398" i="1"/>
  <c r="T1398" i="1"/>
  <c r="O1399" i="1"/>
  <c r="P1399" i="1"/>
  <c r="Q1399" i="1"/>
  <c r="R1399" i="1"/>
  <c r="S1399" i="1"/>
  <c r="T1399" i="1"/>
  <c r="O1400" i="1"/>
  <c r="P1400" i="1"/>
  <c r="Q1400" i="1"/>
  <c r="R1400" i="1"/>
  <c r="S1400" i="1"/>
  <c r="O1401" i="1"/>
  <c r="P1401" i="1"/>
  <c r="Q1401" i="1"/>
  <c r="R1401" i="1"/>
  <c r="S1401" i="1"/>
  <c r="T1401" i="1"/>
  <c r="O1402" i="1"/>
  <c r="P1402" i="1"/>
  <c r="Q1402" i="1"/>
  <c r="R1402" i="1"/>
  <c r="S1402" i="1"/>
  <c r="T1402" i="1"/>
  <c r="O1403" i="1"/>
  <c r="P1403" i="1"/>
  <c r="Q1403" i="1"/>
  <c r="R1403" i="1"/>
  <c r="S1403" i="1"/>
  <c r="T1403" i="1"/>
  <c r="Q1404" i="1"/>
  <c r="R1404" i="1"/>
  <c r="S1404" i="1"/>
  <c r="T1404" i="1"/>
  <c r="O1405" i="1"/>
  <c r="P1405" i="1"/>
  <c r="Q1405" i="1"/>
  <c r="R1405" i="1"/>
  <c r="S1405" i="1"/>
  <c r="T1405" i="1"/>
  <c r="O1406" i="1"/>
  <c r="P1406" i="1"/>
  <c r="Q1406" i="1"/>
  <c r="R1406" i="1"/>
  <c r="S1406" i="1"/>
  <c r="T1406" i="1"/>
  <c r="O1407" i="1"/>
  <c r="P1407" i="1"/>
  <c r="Q1407" i="1"/>
  <c r="R1407" i="1"/>
  <c r="S1407" i="1"/>
  <c r="T1407" i="1"/>
  <c r="O1408" i="1"/>
  <c r="P1408" i="1"/>
  <c r="Q1408" i="1"/>
  <c r="R1408" i="1"/>
  <c r="S1408" i="1"/>
  <c r="T1408" i="1"/>
  <c r="O1409" i="1"/>
  <c r="P1409" i="1"/>
  <c r="Q1409" i="1"/>
  <c r="R1409" i="1"/>
  <c r="S1409" i="1"/>
  <c r="T1409" i="1"/>
  <c r="O1410" i="1"/>
  <c r="P1410" i="1"/>
  <c r="Q1410" i="1"/>
  <c r="T1410" i="1"/>
  <c r="O1411" i="1"/>
  <c r="P1411" i="1"/>
  <c r="Q1411" i="1"/>
  <c r="R1411" i="1"/>
  <c r="S1411" i="1"/>
  <c r="T1411" i="1"/>
  <c r="Q1412" i="1"/>
  <c r="R1412" i="1"/>
  <c r="S1412" i="1"/>
  <c r="T1412" i="1"/>
  <c r="O1413" i="1"/>
  <c r="P1413" i="1"/>
  <c r="Q1413" i="1"/>
  <c r="R1413" i="1"/>
  <c r="S1413" i="1"/>
  <c r="T1413" i="1"/>
  <c r="O1414" i="1"/>
  <c r="P1414" i="1"/>
  <c r="Q1414" i="1"/>
  <c r="R1414" i="1"/>
  <c r="S1414" i="1"/>
  <c r="T1414" i="1"/>
  <c r="O1415" i="1"/>
  <c r="P1415" i="1"/>
  <c r="Q1415" i="1"/>
  <c r="R1415" i="1"/>
  <c r="S1415" i="1"/>
  <c r="T1415" i="1"/>
  <c r="O1416" i="1"/>
  <c r="P1416" i="1"/>
  <c r="Q1416" i="1"/>
  <c r="R1416" i="1"/>
  <c r="S1416" i="1"/>
  <c r="T1416" i="1"/>
  <c r="O1417" i="1"/>
  <c r="P1417" i="1"/>
  <c r="Q1417" i="1"/>
  <c r="R1417" i="1"/>
  <c r="S1417" i="1"/>
  <c r="T1417" i="1"/>
  <c r="O1123" i="1"/>
  <c r="P1123" i="1"/>
  <c r="Q1123" i="1"/>
  <c r="O1124" i="1"/>
  <c r="P1124" i="1"/>
  <c r="Q1124" i="1"/>
  <c r="R1124" i="1"/>
  <c r="S1124" i="1"/>
  <c r="T1124" i="1"/>
  <c r="O1125" i="1"/>
  <c r="P1125" i="1"/>
  <c r="Q1125" i="1"/>
  <c r="R1125" i="1"/>
  <c r="S1125" i="1"/>
  <c r="T1125" i="1"/>
  <c r="O1126" i="1"/>
  <c r="P1126" i="1"/>
  <c r="Q1126" i="1"/>
  <c r="R1126" i="1"/>
  <c r="S1126" i="1"/>
  <c r="T1126" i="1"/>
  <c r="O1127" i="1"/>
  <c r="P1127" i="1"/>
  <c r="Q1127" i="1"/>
  <c r="R1127" i="1"/>
  <c r="S1127" i="1"/>
  <c r="T1127" i="1"/>
  <c r="O1128" i="1"/>
  <c r="P1128" i="1"/>
  <c r="Q1128" i="1"/>
  <c r="R1128" i="1"/>
  <c r="S1128" i="1"/>
  <c r="T1128" i="1"/>
  <c r="O1129" i="1"/>
  <c r="P1129" i="1"/>
  <c r="Q1129" i="1"/>
  <c r="R1129" i="1"/>
  <c r="S1129" i="1"/>
  <c r="T1129" i="1"/>
  <c r="O1130" i="1"/>
  <c r="P1130" i="1"/>
  <c r="Q1130" i="1"/>
  <c r="R1130" i="1"/>
  <c r="S1130" i="1"/>
  <c r="T1130" i="1"/>
  <c r="O1131" i="1"/>
  <c r="P1131" i="1"/>
  <c r="Q1131" i="1"/>
  <c r="R1131" i="1"/>
  <c r="S1131" i="1"/>
  <c r="T1131" i="1"/>
  <c r="O1132" i="1"/>
  <c r="P1132" i="1"/>
  <c r="Q1132" i="1"/>
  <c r="R1132" i="1"/>
  <c r="S1132" i="1"/>
  <c r="T1132" i="1"/>
  <c r="O1133" i="1"/>
  <c r="P1133" i="1"/>
  <c r="Q1133" i="1"/>
  <c r="T1133" i="1"/>
  <c r="O1134" i="1"/>
  <c r="P1134" i="1"/>
  <c r="Q1134" i="1"/>
  <c r="R1134" i="1"/>
  <c r="S1134" i="1"/>
  <c r="T1134" i="1"/>
  <c r="O1135" i="1"/>
  <c r="P1135" i="1"/>
  <c r="Q1135" i="1"/>
  <c r="R1135" i="1"/>
  <c r="S1135" i="1"/>
  <c r="T1135" i="1"/>
  <c r="O1136" i="1"/>
  <c r="P1136" i="1"/>
  <c r="Q1136" i="1"/>
  <c r="R1136" i="1"/>
  <c r="S1136" i="1"/>
  <c r="T1136" i="1"/>
  <c r="O1137" i="1"/>
  <c r="P1137" i="1"/>
  <c r="Q1137" i="1"/>
  <c r="T1137" i="1"/>
  <c r="O1138" i="1"/>
  <c r="P1138" i="1"/>
  <c r="Q1138" i="1"/>
  <c r="R1138" i="1"/>
  <c r="S1138" i="1"/>
  <c r="T1138" i="1"/>
  <c r="O1139" i="1"/>
  <c r="P1139" i="1"/>
  <c r="Q1139" i="1"/>
  <c r="R1139" i="1"/>
  <c r="S1139" i="1"/>
  <c r="T1139" i="1"/>
  <c r="O1140" i="1"/>
  <c r="P1140" i="1"/>
  <c r="Q1140" i="1"/>
  <c r="R1140" i="1"/>
  <c r="S1140" i="1"/>
  <c r="T1140" i="1"/>
  <c r="O1141" i="1"/>
  <c r="P1141" i="1"/>
  <c r="Q1141" i="1"/>
  <c r="R1141" i="1"/>
  <c r="S1141" i="1"/>
  <c r="T1141" i="1"/>
  <c r="O1142" i="1"/>
  <c r="P1142" i="1"/>
  <c r="Q1142" i="1"/>
  <c r="R1142" i="1"/>
  <c r="S1142" i="1"/>
  <c r="T1142" i="1"/>
  <c r="O1143" i="1"/>
  <c r="P1143" i="1"/>
  <c r="Q1143" i="1"/>
  <c r="R1143" i="1"/>
  <c r="S1143" i="1"/>
  <c r="T1143" i="1"/>
  <c r="O1144" i="1"/>
  <c r="P1144" i="1"/>
  <c r="Q1144" i="1"/>
  <c r="R1144" i="1"/>
  <c r="S1144" i="1"/>
  <c r="T1144" i="1"/>
  <c r="O1146" i="1"/>
  <c r="P1146" i="1"/>
  <c r="Q1146" i="1"/>
  <c r="O1147" i="1"/>
  <c r="P1147" i="1"/>
  <c r="R1146" i="1" s="1"/>
  <c r="S1146" i="1" s="1"/>
  <c r="Q1147" i="1"/>
  <c r="T1146" i="1" s="1"/>
  <c r="R1147" i="1"/>
  <c r="S1147" i="1"/>
  <c r="T1147" i="1"/>
  <c r="O1148" i="1"/>
  <c r="P1148" i="1"/>
  <c r="Q1148" i="1"/>
  <c r="R1148" i="1"/>
  <c r="S1148" i="1"/>
  <c r="T1148" i="1"/>
  <c r="O1149" i="1"/>
  <c r="P1149" i="1"/>
  <c r="Q1149" i="1"/>
  <c r="R1149" i="1"/>
  <c r="S1149" i="1"/>
  <c r="T1149" i="1"/>
  <c r="Q1150" i="1"/>
  <c r="T1150" i="1"/>
  <c r="O1151" i="1"/>
  <c r="P1151" i="1"/>
  <c r="Q1151" i="1"/>
  <c r="O1152" i="1"/>
  <c r="P1152" i="1"/>
  <c r="Q1152" i="1"/>
  <c r="R1152" i="1"/>
  <c r="S1152" i="1"/>
  <c r="T1152" i="1"/>
  <c r="O1153" i="1"/>
  <c r="P1153" i="1"/>
  <c r="Q1153" i="1"/>
  <c r="R1153" i="1"/>
  <c r="S1153" i="1"/>
  <c r="T1153" i="1"/>
  <c r="O1154" i="1"/>
  <c r="P1154" i="1"/>
  <c r="Q1154" i="1"/>
  <c r="R1154" i="1"/>
  <c r="S1154" i="1"/>
  <c r="T1154" i="1"/>
  <c r="O1155" i="1"/>
  <c r="P1155" i="1"/>
  <c r="Q1155" i="1"/>
  <c r="R1155" i="1"/>
  <c r="S1155" i="1"/>
  <c r="T1155" i="1"/>
  <c r="O1156" i="1"/>
  <c r="P1156" i="1"/>
  <c r="Q1156" i="1"/>
  <c r="T1156" i="1"/>
  <c r="O1157" i="1"/>
  <c r="P1157" i="1"/>
  <c r="R1156" i="1" s="1"/>
  <c r="S1156" i="1" s="1"/>
  <c r="Q1157" i="1"/>
  <c r="R1157" i="1"/>
  <c r="S1157" i="1"/>
  <c r="T1157" i="1"/>
  <c r="O1158" i="1"/>
  <c r="P1158" i="1"/>
  <c r="Q1158" i="1"/>
  <c r="R1158" i="1"/>
  <c r="S1158" i="1"/>
  <c r="T1158" i="1"/>
  <c r="O1159" i="1"/>
  <c r="P1159" i="1"/>
  <c r="Q1159" i="1"/>
  <c r="R1159" i="1"/>
  <c r="S1159" i="1"/>
  <c r="T1159" i="1"/>
  <c r="O1160" i="1"/>
  <c r="P1160" i="1"/>
  <c r="Q1160" i="1"/>
  <c r="R1160" i="1"/>
  <c r="S1160" i="1"/>
  <c r="T1160" i="1"/>
  <c r="O1161" i="1"/>
  <c r="P1161" i="1"/>
  <c r="Q1161" i="1"/>
  <c r="R1161" i="1"/>
  <c r="S1161" i="1"/>
  <c r="T1161" i="1"/>
  <c r="O1162" i="1"/>
  <c r="P1162" i="1"/>
  <c r="Q1162" i="1"/>
  <c r="R1162" i="1"/>
  <c r="S1162" i="1"/>
  <c r="T1162" i="1"/>
  <c r="O1163" i="1"/>
  <c r="P1163" i="1"/>
  <c r="Q1163" i="1"/>
  <c r="R1163" i="1"/>
  <c r="S1163" i="1"/>
  <c r="T1163" i="1"/>
  <c r="O1164" i="1"/>
  <c r="P1164" i="1"/>
  <c r="Q1164" i="1"/>
  <c r="R1164" i="1"/>
  <c r="S1164" i="1"/>
  <c r="T1164" i="1"/>
  <c r="O1165" i="1"/>
  <c r="P1165" i="1"/>
  <c r="Q1165" i="1"/>
  <c r="R1165" i="1"/>
  <c r="S1165" i="1"/>
  <c r="T1165" i="1"/>
  <c r="O1166" i="1"/>
  <c r="P1166" i="1"/>
  <c r="Q1166" i="1"/>
  <c r="R1166" i="1"/>
  <c r="S1166" i="1"/>
  <c r="T1166" i="1"/>
  <c r="O1167" i="1"/>
  <c r="P1167" i="1"/>
  <c r="Q1167" i="1"/>
  <c r="R1167" i="1"/>
  <c r="S1167" i="1"/>
  <c r="T1167" i="1"/>
  <c r="O1168" i="1"/>
  <c r="P1168" i="1"/>
  <c r="Q1168" i="1"/>
  <c r="R1168" i="1"/>
  <c r="S1168" i="1"/>
  <c r="T1168" i="1"/>
  <c r="O1169" i="1"/>
  <c r="P1169" i="1"/>
  <c r="Q1169" i="1"/>
  <c r="R1169" i="1"/>
  <c r="S1169" i="1"/>
  <c r="T1169" i="1"/>
  <c r="O1170" i="1"/>
  <c r="P1170" i="1"/>
  <c r="Q1170" i="1"/>
  <c r="R1170" i="1"/>
  <c r="S1170" i="1"/>
  <c r="T1170" i="1"/>
  <c r="O1171" i="1"/>
  <c r="P1171" i="1"/>
  <c r="Q1171" i="1"/>
  <c r="R1171" i="1"/>
  <c r="S1171" i="1"/>
  <c r="T1171" i="1"/>
  <c r="O1172" i="1"/>
  <c r="P1172" i="1"/>
  <c r="Q1172" i="1"/>
  <c r="R1172" i="1"/>
  <c r="S1172" i="1"/>
  <c r="T1172" i="1"/>
  <c r="O1173" i="1"/>
  <c r="P1173" i="1"/>
  <c r="Q1173" i="1"/>
  <c r="R1173" i="1"/>
  <c r="S1173" i="1"/>
  <c r="T1173" i="1"/>
  <c r="O1174" i="1"/>
  <c r="P1174" i="1"/>
  <c r="Q1174" i="1"/>
  <c r="T1174" i="1"/>
  <c r="O1175" i="1"/>
  <c r="P1175" i="1"/>
  <c r="Q1175" i="1"/>
  <c r="R1175" i="1"/>
  <c r="S1175" i="1"/>
  <c r="T1175" i="1"/>
  <c r="O1176" i="1"/>
  <c r="P1176" i="1"/>
  <c r="Q1176" i="1"/>
  <c r="R1176" i="1"/>
  <c r="S1176" i="1"/>
  <c r="T1176" i="1"/>
  <c r="O1177" i="1"/>
  <c r="P1177" i="1"/>
  <c r="Q1177" i="1"/>
  <c r="R1177" i="1"/>
  <c r="S1177" i="1"/>
  <c r="T1177" i="1"/>
  <c r="O1178" i="1"/>
  <c r="P1178" i="1"/>
  <c r="Q1178" i="1"/>
  <c r="R1178" i="1"/>
  <c r="S1178" i="1"/>
  <c r="T1178" i="1"/>
  <c r="O1179" i="1"/>
  <c r="P1179" i="1"/>
  <c r="Q1179" i="1"/>
  <c r="R1179" i="1"/>
  <c r="S1179" i="1"/>
  <c r="T1179" i="1"/>
  <c r="O1180" i="1"/>
  <c r="P1180" i="1"/>
  <c r="Q1180" i="1"/>
  <c r="R1180" i="1"/>
  <c r="S1180" i="1"/>
  <c r="T1180" i="1"/>
  <c r="O1181" i="1"/>
  <c r="P1181" i="1"/>
  <c r="Q1181" i="1"/>
  <c r="R1181" i="1"/>
  <c r="S1181" i="1"/>
  <c r="T1181" i="1"/>
  <c r="O1182" i="1"/>
  <c r="P1182" i="1"/>
  <c r="Q1182" i="1"/>
  <c r="T1182" i="1"/>
  <c r="O1183" i="1"/>
  <c r="P1183" i="1"/>
  <c r="Q1183" i="1"/>
  <c r="R1183" i="1"/>
  <c r="S1183" i="1"/>
  <c r="T1183" i="1"/>
  <c r="O1184" i="1"/>
  <c r="P1184" i="1"/>
  <c r="Q1184" i="1"/>
  <c r="R1184" i="1"/>
  <c r="S1184" i="1"/>
  <c r="T1184" i="1"/>
  <c r="O1185" i="1"/>
  <c r="P1185" i="1"/>
  <c r="Q1185" i="1"/>
  <c r="R1185" i="1"/>
  <c r="S1185" i="1"/>
  <c r="T1185" i="1"/>
  <c r="O1186" i="1"/>
  <c r="P1186" i="1"/>
  <c r="Q1186" i="1"/>
  <c r="R1186" i="1"/>
  <c r="S1186" i="1"/>
  <c r="T1186" i="1"/>
  <c r="O1187" i="1"/>
  <c r="P1187" i="1"/>
  <c r="Q1187" i="1"/>
  <c r="R1187" i="1"/>
  <c r="S1187" i="1"/>
  <c r="T1187" i="1"/>
  <c r="O1188" i="1"/>
  <c r="P1188" i="1"/>
  <c r="Q1188" i="1"/>
  <c r="R1188" i="1"/>
  <c r="S1188" i="1"/>
  <c r="T1188" i="1"/>
  <c r="O1189" i="1"/>
  <c r="P1189" i="1"/>
  <c r="Q1189" i="1"/>
  <c r="R1189" i="1"/>
  <c r="S1189" i="1"/>
  <c r="T1189" i="1"/>
  <c r="O1190" i="1"/>
  <c r="P1190" i="1"/>
  <c r="Q1190" i="1"/>
  <c r="R1190" i="1"/>
  <c r="S1190" i="1"/>
  <c r="T1190" i="1"/>
  <c r="O1191" i="1"/>
  <c r="P1191" i="1"/>
  <c r="Q1191" i="1"/>
  <c r="R1191" i="1"/>
  <c r="S1191" i="1"/>
  <c r="T1191" i="1"/>
  <c r="P1192" i="1"/>
  <c r="Q1192" i="1"/>
  <c r="R1192" i="1"/>
  <c r="S1192" i="1"/>
  <c r="T1192" i="1"/>
  <c r="O1193" i="1"/>
  <c r="P1193" i="1"/>
  <c r="Q1193" i="1"/>
  <c r="R1193" i="1"/>
  <c r="S1193" i="1"/>
  <c r="T1193" i="1"/>
  <c r="O1194" i="1"/>
  <c r="P1194" i="1"/>
  <c r="Q1194" i="1"/>
  <c r="R1194" i="1"/>
  <c r="S1194" i="1"/>
  <c r="T1194" i="1"/>
  <c r="O1195" i="1"/>
  <c r="P1195" i="1"/>
  <c r="Q1195" i="1"/>
  <c r="R1195" i="1"/>
  <c r="S1195" i="1"/>
  <c r="T1195" i="1"/>
  <c r="O1196" i="1"/>
  <c r="P1196" i="1"/>
  <c r="Q1196" i="1"/>
  <c r="R1196" i="1"/>
  <c r="S1196" i="1"/>
  <c r="T1196" i="1"/>
  <c r="O1197" i="1"/>
  <c r="P1197" i="1"/>
  <c r="Q1197" i="1"/>
  <c r="R1197" i="1"/>
  <c r="S1197" i="1"/>
  <c r="T1197" i="1"/>
  <c r="O1198" i="1"/>
  <c r="P1198" i="1"/>
  <c r="Q1198" i="1"/>
  <c r="R1198" i="1"/>
  <c r="S1198" i="1"/>
  <c r="T1198" i="1"/>
  <c r="O1199" i="1"/>
  <c r="P1199" i="1"/>
  <c r="Q1199" i="1"/>
  <c r="R1199" i="1"/>
  <c r="S1199" i="1"/>
  <c r="T1199" i="1"/>
  <c r="O1200" i="1"/>
  <c r="P1200" i="1"/>
  <c r="Q1200" i="1"/>
  <c r="R1200" i="1"/>
  <c r="S1200" i="1"/>
  <c r="T1200" i="1"/>
  <c r="O1201" i="1"/>
  <c r="P1201" i="1"/>
  <c r="Q1201" i="1"/>
  <c r="R1201" i="1"/>
  <c r="S1201" i="1"/>
  <c r="T1201" i="1"/>
  <c r="O1202" i="1"/>
  <c r="P1202" i="1"/>
  <c r="Q1202" i="1"/>
  <c r="O1203" i="1"/>
  <c r="P1203" i="1"/>
  <c r="Q1203" i="1"/>
  <c r="R1203" i="1"/>
  <c r="S1203" i="1"/>
  <c r="T1203" i="1"/>
  <c r="O1204" i="1"/>
  <c r="P1204" i="1"/>
  <c r="Q1204" i="1"/>
  <c r="R1204" i="1"/>
  <c r="S1204" i="1"/>
  <c r="T1204" i="1"/>
  <c r="O1205" i="1"/>
  <c r="P1205" i="1"/>
  <c r="Q1205" i="1"/>
  <c r="R1205" i="1"/>
  <c r="S1205" i="1"/>
  <c r="T1205" i="1"/>
  <c r="P1206" i="1"/>
  <c r="Q1206" i="1"/>
  <c r="R1206" i="1"/>
  <c r="S1206" i="1"/>
  <c r="T1206" i="1"/>
  <c r="O1207" i="1"/>
  <c r="P1207" i="1"/>
  <c r="Q1207" i="1"/>
  <c r="R1207" i="1"/>
  <c r="S1207" i="1"/>
  <c r="T1207" i="1"/>
  <c r="O1208" i="1"/>
  <c r="P1208" i="1"/>
  <c r="Q1208" i="1"/>
  <c r="R1208" i="1"/>
  <c r="S1208" i="1"/>
  <c r="T1208" i="1"/>
  <c r="O1209" i="1"/>
  <c r="P1209" i="1"/>
  <c r="Q1209" i="1"/>
  <c r="R1209" i="1"/>
  <c r="S1209" i="1"/>
  <c r="T1209" i="1"/>
  <c r="O1210" i="1"/>
  <c r="P1210" i="1"/>
  <c r="Q1210" i="1"/>
  <c r="R1210" i="1"/>
  <c r="S1210" i="1"/>
  <c r="T1210" i="1"/>
  <c r="O1211" i="1"/>
  <c r="P1211" i="1"/>
  <c r="Q1211" i="1"/>
  <c r="R1211" i="1"/>
  <c r="S1211" i="1"/>
  <c r="T1211" i="1"/>
  <c r="O1212" i="1"/>
  <c r="P1212" i="1"/>
  <c r="Q1212" i="1"/>
  <c r="R1212" i="1"/>
  <c r="S1212" i="1"/>
  <c r="T1212" i="1"/>
  <c r="O1213" i="1"/>
  <c r="P1213" i="1"/>
  <c r="Q1213" i="1"/>
  <c r="R1213" i="1"/>
  <c r="S1213" i="1"/>
  <c r="T1213" i="1"/>
  <c r="O1214" i="1"/>
  <c r="P1214" i="1"/>
  <c r="Q1214" i="1"/>
  <c r="R1214" i="1"/>
  <c r="S1214" i="1"/>
  <c r="T1214" i="1"/>
  <c r="O1215" i="1"/>
  <c r="P1215" i="1"/>
  <c r="Q1215" i="1"/>
  <c r="O1216" i="1"/>
  <c r="P1216" i="1"/>
  <c r="Q1216" i="1"/>
  <c r="R1216" i="1"/>
  <c r="S1216" i="1"/>
  <c r="T1216" i="1"/>
  <c r="O1217" i="1"/>
  <c r="P1217" i="1"/>
  <c r="Q1217" i="1"/>
  <c r="R1217" i="1"/>
  <c r="S1217" i="1"/>
  <c r="T1217" i="1"/>
  <c r="O1218" i="1"/>
  <c r="P1218" i="1"/>
  <c r="Q1218" i="1"/>
  <c r="R1218" i="1"/>
  <c r="S1218" i="1"/>
  <c r="T1218" i="1"/>
  <c r="O1219" i="1"/>
  <c r="P1219" i="1"/>
  <c r="Q1219" i="1"/>
  <c r="R1219" i="1"/>
  <c r="S1219" i="1"/>
  <c r="T1219" i="1"/>
  <c r="O1220" i="1"/>
  <c r="P1220" i="1"/>
  <c r="Q1220" i="1"/>
  <c r="R1220" i="1"/>
  <c r="S1220" i="1"/>
  <c r="T1220" i="1"/>
  <c r="O1221" i="1"/>
  <c r="P1221" i="1"/>
  <c r="Q1221" i="1"/>
  <c r="R1221" i="1"/>
  <c r="S1221" i="1"/>
  <c r="T1221" i="1"/>
  <c r="O1222" i="1"/>
  <c r="P1222" i="1"/>
  <c r="Q1222" i="1"/>
  <c r="R1222" i="1"/>
  <c r="S1222" i="1"/>
  <c r="T1222" i="1"/>
  <c r="O1223" i="1"/>
  <c r="P1223" i="1"/>
  <c r="Q1223" i="1"/>
  <c r="R1223" i="1"/>
  <c r="S1223" i="1"/>
  <c r="T1223" i="1"/>
  <c r="O1224" i="1"/>
  <c r="P1224" i="1"/>
  <c r="Q1224" i="1"/>
  <c r="R1224" i="1"/>
  <c r="S1224" i="1"/>
  <c r="T1224" i="1"/>
  <c r="O1225" i="1"/>
  <c r="P1225" i="1"/>
  <c r="Q1225" i="1"/>
  <c r="R1225" i="1"/>
  <c r="S1225" i="1"/>
  <c r="T1225" i="1"/>
  <c r="O1226" i="1"/>
  <c r="P1226" i="1"/>
  <c r="Q1226" i="1"/>
  <c r="R1226" i="1"/>
  <c r="S1226" i="1"/>
  <c r="T1226" i="1"/>
  <c r="O1227" i="1"/>
  <c r="P1227" i="1"/>
  <c r="Q1227" i="1"/>
  <c r="R1227" i="1"/>
  <c r="S1227" i="1"/>
  <c r="T1227" i="1"/>
  <c r="O1228" i="1"/>
  <c r="P1228" i="1"/>
  <c r="Q1228" i="1"/>
  <c r="R1228" i="1"/>
  <c r="S1228" i="1"/>
  <c r="T1228" i="1"/>
  <c r="O1229" i="1"/>
  <c r="P1229" i="1"/>
  <c r="Q1229" i="1"/>
  <c r="R1229" i="1"/>
  <c r="S1229" i="1"/>
  <c r="T1229" i="1"/>
  <c r="O1230" i="1"/>
  <c r="P1230" i="1"/>
  <c r="Q1230" i="1"/>
  <c r="R1230" i="1"/>
  <c r="S1230" i="1"/>
  <c r="T1230" i="1"/>
  <c r="O1231" i="1"/>
  <c r="P1231" i="1"/>
  <c r="Q1231" i="1"/>
  <c r="R1231" i="1"/>
  <c r="S1231" i="1"/>
  <c r="T1231" i="1"/>
  <c r="O1232" i="1"/>
  <c r="P1232" i="1"/>
  <c r="Q1232" i="1"/>
  <c r="R1232" i="1"/>
  <c r="S1232" i="1"/>
  <c r="T1232" i="1"/>
  <c r="O1233" i="1"/>
  <c r="P1233" i="1"/>
  <c r="Q1233" i="1"/>
  <c r="R1233" i="1"/>
  <c r="S1233" i="1"/>
  <c r="T1233" i="1"/>
  <c r="O1234" i="1"/>
  <c r="P1234" i="1"/>
  <c r="Q1234" i="1"/>
  <c r="R1234" i="1"/>
  <c r="S1234" i="1"/>
  <c r="T1234" i="1"/>
  <c r="O1235" i="1"/>
  <c r="P1235" i="1"/>
  <c r="Q1235" i="1"/>
  <c r="R1235" i="1"/>
  <c r="S1235" i="1"/>
  <c r="T1235" i="1"/>
  <c r="O1236" i="1"/>
  <c r="P1236" i="1"/>
  <c r="Q1236" i="1"/>
  <c r="R1236" i="1"/>
  <c r="S1236" i="1"/>
  <c r="T1236" i="1"/>
  <c r="O1237" i="1"/>
  <c r="P1237" i="1"/>
  <c r="Q1237" i="1"/>
  <c r="R1237" i="1"/>
  <c r="S1237" i="1"/>
  <c r="T1237" i="1"/>
  <c r="O1238" i="1"/>
  <c r="P1238" i="1"/>
  <c r="Q1238" i="1"/>
  <c r="T1238" i="1"/>
  <c r="O1239" i="1"/>
  <c r="P1239" i="1"/>
  <c r="R1238" i="1" s="1"/>
  <c r="S1238" i="1" s="1"/>
  <c r="Q1239" i="1"/>
  <c r="R1239" i="1"/>
  <c r="S1239" i="1"/>
  <c r="T1239" i="1"/>
  <c r="O1240" i="1"/>
  <c r="P1240" i="1"/>
  <c r="Q1240" i="1"/>
  <c r="R1240" i="1"/>
  <c r="S1240" i="1"/>
  <c r="T1240" i="1"/>
  <c r="O1241" i="1"/>
  <c r="P1241" i="1"/>
  <c r="Q1241" i="1"/>
  <c r="R1241" i="1"/>
  <c r="S1241" i="1"/>
  <c r="T1241" i="1"/>
  <c r="O1242" i="1"/>
  <c r="P1242" i="1"/>
  <c r="Q1242" i="1"/>
  <c r="R1242" i="1"/>
  <c r="S1242" i="1"/>
  <c r="T1242" i="1"/>
  <c r="O1243" i="1"/>
  <c r="P1243" i="1"/>
  <c r="Q1243" i="1"/>
  <c r="R1243" i="1"/>
  <c r="S1243" i="1"/>
  <c r="T1243" i="1"/>
  <c r="O1245" i="1"/>
  <c r="P1245" i="1"/>
  <c r="Q1245" i="1"/>
  <c r="R1245" i="1"/>
  <c r="S1245" i="1"/>
  <c r="T1245" i="1"/>
  <c r="O1246" i="1"/>
  <c r="P1246" i="1"/>
  <c r="Q1246" i="1"/>
  <c r="R1246" i="1"/>
  <c r="S1246" i="1"/>
  <c r="T1246" i="1"/>
  <c r="O1247" i="1"/>
  <c r="P1247" i="1"/>
  <c r="Q1247" i="1"/>
  <c r="T1247" i="1"/>
  <c r="O1248" i="1"/>
  <c r="P1248" i="1"/>
  <c r="R1247" i="1" s="1"/>
  <c r="S1247" i="1" s="1"/>
  <c r="Q1248" i="1"/>
  <c r="R1248" i="1"/>
  <c r="S1248" i="1"/>
  <c r="T1248" i="1"/>
  <c r="O1249" i="1"/>
  <c r="P1249" i="1"/>
  <c r="Q1249" i="1"/>
  <c r="R1249" i="1"/>
  <c r="S1249" i="1"/>
  <c r="T1249" i="1"/>
  <c r="O1048" i="1"/>
  <c r="P1048" i="1"/>
  <c r="Q1048" i="1"/>
  <c r="R1048" i="1"/>
  <c r="S1048" i="1"/>
  <c r="T1048" i="1"/>
  <c r="O1049" i="1"/>
  <c r="P1049" i="1"/>
  <c r="Q1049" i="1"/>
  <c r="R1049" i="1"/>
  <c r="S1049" i="1"/>
  <c r="T1049" i="1"/>
  <c r="O1050" i="1"/>
  <c r="P1050" i="1"/>
  <c r="Q1050" i="1"/>
  <c r="R1050" i="1"/>
  <c r="S1050" i="1"/>
  <c r="T1050" i="1"/>
  <c r="O1051" i="1"/>
  <c r="P1051" i="1"/>
  <c r="Q1051" i="1"/>
  <c r="R1051" i="1"/>
  <c r="S1051" i="1"/>
  <c r="T1051" i="1"/>
  <c r="O1052" i="1"/>
  <c r="P1052" i="1"/>
  <c r="Q1052" i="1"/>
  <c r="R1052" i="1"/>
  <c r="S1052" i="1"/>
  <c r="T1052" i="1"/>
  <c r="O1053" i="1"/>
  <c r="P1053" i="1"/>
  <c r="Q1053" i="1"/>
  <c r="R1053" i="1"/>
  <c r="S1053" i="1"/>
  <c r="T1053" i="1"/>
  <c r="O1054" i="1"/>
  <c r="P1054" i="1"/>
  <c r="Q1054" i="1"/>
  <c r="R1054" i="1"/>
  <c r="S1054" i="1"/>
  <c r="T1054" i="1"/>
  <c r="O1055" i="1"/>
  <c r="P1055" i="1"/>
  <c r="Q1055" i="1"/>
  <c r="R1055" i="1"/>
  <c r="S1055" i="1"/>
  <c r="T1055" i="1"/>
  <c r="O1056" i="1"/>
  <c r="P1056" i="1"/>
  <c r="Q1056" i="1"/>
  <c r="R1056" i="1"/>
  <c r="S1056" i="1"/>
  <c r="T1056" i="1"/>
  <c r="O1057" i="1"/>
  <c r="P1057" i="1"/>
  <c r="Q1057" i="1"/>
  <c r="R1057" i="1"/>
  <c r="S1057" i="1"/>
  <c r="T1057" i="1"/>
  <c r="O1058" i="1"/>
  <c r="P1058" i="1"/>
  <c r="Q1058" i="1"/>
  <c r="R1058" i="1"/>
  <c r="S1058" i="1"/>
  <c r="T1058" i="1"/>
  <c r="O1059" i="1"/>
  <c r="P1059" i="1"/>
  <c r="Q1059" i="1"/>
  <c r="R1059" i="1"/>
  <c r="S1059" i="1"/>
  <c r="T1059" i="1"/>
  <c r="O1060" i="1"/>
  <c r="P1060" i="1"/>
  <c r="Q1060" i="1"/>
  <c r="R1060" i="1"/>
  <c r="S1060" i="1"/>
  <c r="T1060" i="1"/>
  <c r="O1061" i="1"/>
  <c r="P1061" i="1"/>
  <c r="Q1061" i="1"/>
  <c r="R1061" i="1"/>
  <c r="S1061" i="1"/>
  <c r="T1061" i="1"/>
  <c r="O1062" i="1"/>
  <c r="P1062" i="1"/>
  <c r="Q1062" i="1"/>
  <c r="R1062" i="1"/>
  <c r="S1062" i="1"/>
  <c r="T1062" i="1"/>
  <c r="O1063" i="1"/>
  <c r="P1063" i="1"/>
  <c r="Q1063" i="1"/>
  <c r="R1063" i="1"/>
  <c r="S1063" i="1"/>
  <c r="T1063" i="1"/>
  <c r="O1064" i="1"/>
  <c r="P1064" i="1"/>
  <c r="Q1064" i="1"/>
  <c r="R1064" i="1"/>
  <c r="S1064" i="1"/>
  <c r="T1064" i="1"/>
  <c r="O1065" i="1"/>
  <c r="P1065" i="1"/>
  <c r="Q1065" i="1"/>
  <c r="R1065" i="1"/>
  <c r="S1065" i="1"/>
  <c r="T1065" i="1"/>
  <c r="O1066" i="1"/>
  <c r="P1066" i="1"/>
  <c r="Q1066" i="1"/>
  <c r="R1066" i="1"/>
  <c r="S1066" i="1"/>
  <c r="T1066" i="1"/>
  <c r="O1067" i="1"/>
  <c r="P1067" i="1"/>
  <c r="Q1067" i="1"/>
  <c r="R1067" i="1"/>
  <c r="S1067" i="1"/>
  <c r="T1067" i="1"/>
  <c r="O1068" i="1"/>
  <c r="P1068" i="1"/>
  <c r="Q1068" i="1"/>
  <c r="R1068" i="1"/>
  <c r="S1068" i="1"/>
  <c r="T1068" i="1"/>
  <c r="O1069" i="1"/>
  <c r="P1069" i="1"/>
  <c r="Q1069" i="1"/>
  <c r="R1069" i="1"/>
  <c r="S1069" i="1"/>
  <c r="T1069" i="1"/>
  <c r="O1070" i="1"/>
  <c r="P1070" i="1"/>
  <c r="Q1070" i="1"/>
  <c r="R1070" i="1"/>
  <c r="S1070" i="1"/>
  <c r="T1070" i="1"/>
  <c r="O1071" i="1"/>
  <c r="P1071" i="1"/>
  <c r="Q1071" i="1"/>
  <c r="R1071" i="1"/>
  <c r="S1071" i="1"/>
  <c r="T1071" i="1"/>
  <c r="O1072" i="1"/>
  <c r="P1072" i="1"/>
  <c r="Q1072" i="1"/>
  <c r="R1072" i="1"/>
  <c r="S1072" i="1"/>
  <c r="T1072" i="1"/>
  <c r="O1073" i="1"/>
  <c r="P1073" i="1"/>
  <c r="Q1073" i="1"/>
  <c r="R1073" i="1"/>
  <c r="S1073" i="1"/>
  <c r="T1073" i="1"/>
  <c r="O1074" i="1"/>
  <c r="P1074" i="1"/>
  <c r="Q1074" i="1"/>
  <c r="R1074" i="1"/>
  <c r="S1074" i="1"/>
  <c r="T1074" i="1"/>
  <c r="O1075" i="1"/>
  <c r="Q1075" i="1"/>
  <c r="R1075" i="1"/>
  <c r="S1075" i="1"/>
  <c r="T1075" i="1"/>
  <c r="O1076" i="1"/>
  <c r="P1076" i="1"/>
  <c r="Q1076" i="1"/>
  <c r="R1076" i="1"/>
  <c r="S1076" i="1"/>
  <c r="T1076" i="1"/>
  <c r="O1077" i="1"/>
  <c r="P1077" i="1"/>
  <c r="Q1077" i="1"/>
  <c r="R1077" i="1"/>
  <c r="S1077" i="1"/>
  <c r="T1077" i="1"/>
  <c r="O1078" i="1"/>
  <c r="P1078" i="1"/>
  <c r="Q1078" i="1"/>
  <c r="R1078" i="1"/>
  <c r="S1078" i="1"/>
  <c r="T1078" i="1"/>
  <c r="O1079" i="1"/>
  <c r="P1079" i="1"/>
  <c r="Q1079" i="1"/>
  <c r="R1079" i="1"/>
  <c r="S1079" i="1"/>
  <c r="T1079" i="1"/>
  <c r="O1080" i="1"/>
  <c r="P1080" i="1"/>
  <c r="Q1080" i="1"/>
  <c r="R1080" i="1"/>
  <c r="S1080" i="1"/>
  <c r="T1080" i="1"/>
  <c r="O1081" i="1"/>
  <c r="P1081" i="1"/>
  <c r="Q1081" i="1"/>
  <c r="R1081" i="1"/>
  <c r="S1081" i="1"/>
  <c r="T1081" i="1"/>
  <c r="O1082" i="1"/>
  <c r="P1082" i="1"/>
  <c r="Q1082" i="1"/>
  <c r="R1082" i="1"/>
  <c r="S1082" i="1"/>
  <c r="T1082" i="1"/>
  <c r="O1083" i="1"/>
  <c r="P1083" i="1"/>
  <c r="Q1083" i="1"/>
  <c r="R1083" i="1"/>
  <c r="S1083" i="1"/>
  <c r="T1083" i="1"/>
  <c r="O1084" i="1"/>
  <c r="P1084" i="1"/>
  <c r="Q1084" i="1"/>
  <c r="R1084" i="1"/>
  <c r="S1084" i="1"/>
  <c r="T1084" i="1"/>
  <c r="O1085" i="1"/>
  <c r="P1085" i="1"/>
  <c r="Q1085" i="1"/>
  <c r="R1085" i="1"/>
  <c r="S1085" i="1"/>
  <c r="T1085" i="1"/>
  <c r="O1086" i="1"/>
  <c r="P1086" i="1"/>
  <c r="Q1086" i="1"/>
  <c r="R1086" i="1"/>
  <c r="S1086" i="1"/>
  <c r="T1086" i="1"/>
  <c r="O1087" i="1"/>
  <c r="P1087" i="1"/>
  <c r="Q1087" i="1"/>
  <c r="R1087" i="1"/>
  <c r="S1087" i="1"/>
  <c r="T1087" i="1"/>
  <c r="O1088" i="1"/>
  <c r="P1088" i="1"/>
  <c r="Q1088" i="1"/>
  <c r="R1088" i="1"/>
  <c r="S1088" i="1"/>
  <c r="T1088" i="1"/>
  <c r="O1089" i="1"/>
  <c r="P1089" i="1"/>
  <c r="Q1089" i="1"/>
  <c r="R1089" i="1"/>
  <c r="S1089" i="1"/>
  <c r="T1089" i="1"/>
  <c r="O1090" i="1"/>
  <c r="P1090" i="1"/>
  <c r="Q1090" i="1"/>
  <c r="R1090" i="1"/>
  <c r="S1090" i="1"/>
  <c r="T1090" i="1"/>
  <c r="O1091" i="1"/>
  <c r="P1091" i="1"/>
  <c r="Q1091" i="1"/>
  <c r="R1091" i="1"/>
  <c r="S1091" i="1"/>
  <c r="T1091" i="1"/>
  <c r="O1092" i="1"/>
  <c r="P1092" i="1"/>
  <c r="Q1092" i="1"/>
  <c r="R1092" i="1"/>
  <c r="S1092" i="1"/>
  <c r="T1092" i="1"/>
  <c r="O1093" i="1"/>
  <c r="P1093" i="1"/>
  <c r="Q1093" i="1"/>
  <c r="R1093" i="1"/>
  <c r="S1093" i="1"/>
  <c r="T1093" i="1"/>
  <c r="O1094" i="1"/>
  <c r="P1094" i="1"/>
  <c r="Q1094" i="1"/>
  <c r="R1094" i="1"/>
  <c r="S1094" i="1"/>
  <c r="T1094" i="1"/>
  <c r="O1095" i="1"/>
  <c r="P1095" i="1"/>
  <c r="Q1095" i="1"/>
  <c r="R1095" i="1"/>
  <c r="S1095" i="1"/>
  <c r="T1095" i="1"/>
  <c r="O1096" i="1"/>
  <c r="P1096" i="1"/>
  <c r="Q1096" i="1"/>
  <c r="R1096" i="1"/>
  <c r="S1096" i="1"/>
  <c r="T1096" i="1"/>
  <c r="O1097" i="1"/>
  <c r="P1097" i="1"/>
  <c r="Q1097" i="1"/>
  <c r="R1097" i="1"/>
  <c r="S1097" i="1"/>
  <c r="T1097" i="1"/>
  <c r="O1098" i="1"/>
  <c r="P1098" i="1"/>
  <c r="Q1098" i="1"/>
  <c r="R1098" i="1"/>
  <c r="S1098" i="1"/>
  <c r="T1098" i="1"/>
  <c r="O1099" i="1"/>
  <c r="P1099" i="1"/>
  <c r="Q1099" i="1"/>
  <c r="R1099" i="1"/>
  <c r="S1099" i="1"/>
  <c r="T1099" i="1"/>
  <c r="O1100" i="1"/>
  <c r="P1100" i="1"/>
  <c r="Q1100" i="1"/>
  <c r="R1100" i="1"/>
  <c r="S1100" i="1"/>
  <c r="T1100" i="1"/>
  <c r="O1101" i="1"/>
  <c r="P1101" i="1"/>
  <c r="Q1101" i="1"/>
  <c r="R1101" i="1"/>
  <c r="S1101" i="1"/>
  <c r="T1101" i="1"/>
  <c r="O1102" i="1"/>
  <c r="P1102" i="1"/>
  <c r="Q1102" i="1"/>
  <c r="R1102" i="1"/>
  <c r="S1102" i="1"/>
  <c r="T1102" i="1"/>
  <c r="O1103" i="1"/>
  <c r="P1103" i="1"/>
  <c r="Q1103" i="1"/>
  <c r="T1103" i="1"/>
  <c r="O1104" i="1"/>
  <c r="Q1104" i="1"/>
  <c r="T1104" i="1"/>
  <c r="O1105" i="1"/>
  <c r="Q1105" i="1"/>
  <c r="T1105" i="1"/>
  <c r="O1106" i="1"/>
  <c r="P1106" i="1"/>
  <c r="Q1106" i="1"/>
  <c r="R1106" i="1"/>
  <c r="S1106" i="1"/>
  <c r="T1106" i="1"/>
  <c r="O1107" i="1"/>
  <c r="P1107" i="1"/>
  <c r="Q1107" i="1"/>
  <c r="R1107" i="1"/>
  <c r="S1107" i="1"/>
  <c r="T1107" i="1"/>
  <c r="O1108" i="1"/>
  <c r="P1108" i="1"/>
  <c r="Q1108" i="1"/>
  <c r="R1108" i="1"/>
  <c r="S1108" i="1"/>
  <c r="T1108" i="1"/>
  <c r="O1109" i="1"/>
  <c r="P1109" i="1"/>
  <c r="Q1109" i="1"/>
  <c r="R1109" i="1"/>
  <c r="S1109" i="1"/>
  <c r="T1109" i="1"/>
  <c r="O1110" i="1"/>
  <c r="P1110" i="1"/>
  <c r="Q1110" i="1"/>
  <c r="R1110" i="1"/>
  <c r="S1110" i="1"/>
  <c r="T1110" i="1"/>
  <c r="O1111" i="1"/>
  <c r="P1111" i="1"/>
  <c r="Q1111" i="1"/>
  <c r="R1111" i="1"/>
  <c r="S1111" i="1"/>
  <c r="T1111" i="1"/>
  <c r="O1112" i="1"/>
  <c r="P1112" i="1"/>
  <c r="Q1112" i="1"/>
  <c r="R1112" i="1"/>
  <c r="S1112" i="1"/>
  <c r="T1112" i="1"/>
  <c r="O1113" i="1"/>
  <c r="P1113" i="1"/>
  <c r="Q1113" i="1"/>
  <c r="R1113" i="1"/>
  <c r="S1113" i="1"/>
  <c r="T1113" i="1"/>
  <c r="O1114" i="1"/>
  <c r="P1114" i="1"/>
  <c r="Q1114" i="1"/>
  <c r="R1114" i="1"/>
  <c r="S1114" i="1"/>
  <c r="T1114" i="1"/>
  <c r="O1115" i="1"/>
  <c r="P1115" i="1"/>
  <c r="Q1115" i="1"/>
  <c r="R1115" i="1"/>
  <c r="S1115" i="1"/>
  <c r="T1115" i="1"/>
  <c r="O1116" i="1"/>
  <c r="P1116" i="1"/>
  <c r="Q1116" i="1"/>
  <c r="R1116" i="1"/>
  <c r="S1116" i="1"/>
  <c r="T1116" i="1"/>
  <c r="O1117" i="1"/>
  <c r="P1117" i="1"/>
  <c r="Q1117" i="1"/>
  <c r="R1117" i="1"/>
  <c r="S1117" i="1"/>
  <c r="T1117" i="1"/>
  <c r="O1118" i="1"/>
  <c r="P1118" i="1"/>
  <c r="Q1118" i="1"/>
  <c r="R1118" i="1"/>
  <c r="S1118" i="1"/>
  <c r="T1118" i="1"/>
  <c r="O1119" i="1"/>
  <c r="P1119" i="1"/>
  <c r="Q1119" i="1"/>
  <c r="R1119" i="1"/>
  <c r="S1119" i="1"/>
  <c r="T1119" i="1"/>
  <c r="O1120" i="1"/>
  <c r="P1120" i="1"/>
  <c r="Q1120" i="1"/>
  <c r="R1120" i="1"/>
  <c r="S1120" i="1"/>
  <c r="T1120" i="1"/>
  <c r="O1121" i="1"/>
  <c r="P1121" i="1"/>
  <c r="Q1121" i="1"/>
  <c r="T1121" i="1"/>
  <c r="O1122" i="1"/>
  <c r="P1122" i="1"/>
  <c r="R1121" i="1" s="1"/>
  <c r="S1121" i="1" s="1"/>
  <c r="Q1122" i="1"/>
  <c r="R1122" i="1"/>
  <c r="S1122" i="1"/>
  <c r="T1122" i="1"/>
  <c r="O949" i="1"/>
  <c r="P949" i="1"/>
  <c r="Q949" i="1"/>
  <c r="R949" i="1"/>
  <c r="S949" i="1"/>
  <c r="T949" i="1"/>
  <c r="O950" i="1"/>
  <c r="P950" i="1"/>
  <c r="Q950" i="1"/>
  <c r="R950" i="1"/>
  <c r="S950" i="1"/>
  <c r="T950" i="1"/>
  <c r="O951" i="1"/>
  <c r="P951" i="1"/>
  <c r="Q951" i="1"/>
  <c r="R951" i="1"/>
  <c r="S951" i="1"/>
  <c r="T951" i="1"/>
  <c r="O952" i="1"/>
  <c r="P952" i="1"/>
  <c r="Q952" i="1"/>
  <c r="R952" i="1"/>
  <c r="S952" i="1"/>
  <c r="T952" i="1"/>
  <c r="O953" i="1"/>
  <c r="P953" i="1"/>
  <c r="Q953" i="1"/>
  <c r="R953" i="1"/>
  <c r="S953" i="1"/>
  <c r="T953" i="1"/>
  <c r="O954" i="1"/>
  <c r="P954" i="1"/>
  <c r="Q954" i="1"/>
  <c r="R954" i="1"/>
  <c r="S954" i="1"/>
  <c r="T954" i="1"/>
  <c r="O955" i="1"/>
  <c r="P955" i="1"/>
  <c r="Q955" i="1"/>
  <c r="R955" i="1"/>
  <c r="S955" i="1"/>
  <c r="T955" i="1"/>
  <c r="O956" i="1"/>
  <c r="P956" i="1"/>
  <c r="Q956" i="1"/>
  <c r="R956" i="1"/>
  <c r="S956" i="1"/>
  <c r="T956" i="1"/>
  <c r="O957" i="1"/>
  <c r="P957" i="1"/>
  <c r="Q957" i="1"/>
  <c r="R957" i="1"/>
  <c r="S957" i="1"/>
  <c r="T957" i="1"/>
  <c r="O958" i="1"/>
  <c r="P958" i="1"/>
  <c r="Q958" i="1"/>
  <c r="R958" i="1"/>
  <c r="S958" i="1"/>
  <c r="T958" i="1"/>
  <c r="O959" i="1"/>
  <c r="P959" i="1"/>
  <c r="Q959" i="1"/>
  <c r="R959" i="1"/>
  <c r="S959" i="1"/>
  <c r="T959" i="1"/>
  <c r="O960" i="1"/>
  <c r="P960" i="1"/>
  <c r="Q960" i="1"/>
  <c r="R960" i="1"/>
  <c r="S960" i="1"/>
  <c r="T960" i="1"/>
  <c r="O961" i="1"/>
  <c r="P961" i="1"/>
  <c r="Q961" i="1"/>
  <c r="R961" i="1"/>
  <c r="S961" i="1"/>
  <c r="T961" i="1"/>
  <c r="O962" i="1"/>
  <c r="P962" i="1"/>
  <c r="Q962" i="1"/>
  <c r="R962" i="1"/>
  <c r="S962" i="1"/>
  <c r="T962" i="1"/>
  <c r="O963" i="1"/>
  <c r="P963" i="1"/>
  <c r="Q963" i="1"/>
  <c r="R963" i="1"/>
  <c r="S963" i="1"/>
  <c r="T963" i="1"/>
  <c r="O964" i="1"/>
  <c r="P964" i="1"/>
  <c r="Q964" i="1"/>
  <c r="R964" i="1"/>
  <c r="S964" i="1"/>
  <c r="T964" i="1"/>
  <c r="O965" i="1"/>
  <c r="P965" i="1"/>
  <c r="Q965" i="1"/>
  <c r="R965" i="1"/>
  <c r="S965" i="1"/>
  <c r="T965" i="1"/>
  <c r="O966" i="1"/>
  <c r="P966" i="1"/>
  <c r="Q966" i="1"/>
  <c r="R966" i="1"/>
  <c r="S966" i="1"/>
  <c r="T966" i="1"/>
  <c r="O967" i="1"/>
  <c r="P967" i="1"/>
  <c r="Q967" i="1"/>
  <c r="R967" i="1"/>
  <c r="S967" i="1"/>
  <c r="T967" i="1"/>
  <c r="O968" i="1"/>
  <c r="P968" i="1"/>
  <c r="Q968" i="1"/>
  <c r="R968" i="1"/>
  <c r="S968" i="1"/>
  <c r="T968" i="1"/>
  <c r="O969" i="1"/>
  <c r="P969" i="1"/>
  <c r="Q969" i="1"/>
  <c r="R969" i="1"/>
  <c r="S969" i="1"/>
  <c r="T969" i="1"/>
  <c r="O970" i="1"/>
  <c r="P970" i="1"/>
  <c r="Q970" i="1"/>
  <c r="R970" i="1"/>
  <c r="S970" i="1"/>
  <c r="T970" i="1"/>
  <c r="O971" i="1"/>
  <c r="P971" i="1"/>
  <c r="Q971" i="1"/>
  <c r="R971" i="1"/>
  <c r="S971" i="1"/>
  <c r="T971" i="1"/>
  <c r="O972" i="1"/>
  <c r="P972" i="1"/>
  <c r="Q972" i="1"/>
  <c r="R972" i="1"/>
  <c r="S972" i="1"/>
  <c r="T972" i="1"/>
  <c r="O973" i="1"/>
  <c r="P973" i="1"/>
  <c r="Q973" i="1"/>
  <c r="R973" i="1"/>
  <c r="S973" i="1"/>
  <c r="T973" i="1"/>
  <c r="O974" i="1"/>
  <c r="P974" i="1"/>
  <c r="Q974" i="1"/>
  <c r="R974" i="1"/>
  <c r="S974" i="1"/>
  <c r="T974" i="1"/>
  <c r="O975" i="1"/>
  <c r="P975" i="1"/>
  <c r="Q975" i="1"/>
  <c r="R975" i="1"/>
  <c r="S975" i="1"/>
  <c r="T975" i="1"/>
  <c r="O976" i="1"/>
  <c r="P976" i="1"/>
  <c r="Q976" i="1"/>
  <c r="R976" i="1"/>
  <c r="S976" i="1"/>
  <c r="T976" i="1"/>
  <c r="O977" i="1"/>
  <c r="P977" i="1"/>
  <c r="Q977" i="1"/>
  <c r="R977" i="1"/>
  <c r="S977" i="1"/>
  <c r="T977" i="1"/>
  <c r="O978" i="1"/>
  <c r="P978" i="1"/>
  <c r="Q978" i="1"/>
  <c r="R978" i="1"/>
  <c r="S978" i="1"/>
  <c r="T978" i="1"/>
  <c r="O979" i="1"/>
  <c r="P979" i="1"/>
  <c r="Q979" i="1"/>
  <c r="R979" i="1"/>
  <c r="S979" i="1"/>
  <c r="T979" i="1"/>
  <c r="O980" i="1"/>
  <c r="P980" i="1"/>
  <c r="Q980" i="1"/>
  <c r="R980" i="1"/>
  <c r="S980" i="1"/>
  <c r="T980" i="1"/>
  <c r="O981" i="1"/>
  <c r="P981" i="1"/>
  <c r="Q981" i="1"/>
  <c r="O982" i="1"/>
  <c r="P982" i="1"/>
  <c r="R981" i="1" s="1"/>
  <c r="S981" i="1" s="1"/>
  <c r="Q982" i="1"/>
  <c r="T981" i="1" s="1"/>
  <c r="R982" i="1"/>
  <c r="S982" i="1"/>
  <c r="T982" i="1"/>
  <c r="O983" i="1"/>
  <c r="P983" i="1"/>
  <c r="Q983" i="1"/>
  <c r="R983" i="1"/>
  <c r="S983" i="1"/>
  <c r="T983" i="1"/>
  <c r="O984" i="1"/>
  <c r="P984" i="1"/>
  <c r="Q984" i="1"/>
  <c r="R984" i="1"/>
  <c r="S984" i="1"/>
  <c r="T984" i="1"/>
  <c r="O985" i="1"/>
  <c r="P985" i="1"/>
  <c r="Q985" i="1"/>
  <c r="R985" i="1"/>
  <c r="S985" i="1"/>
  <c r="T985" i="1"/>
  <c r="O986" i="1"/>
  <c r="P986" i="1"/>
  <c r="Q986" i="1"/>
  <c r="R986" i="1"/>
  <c r="S986" i="1"/>
  <c r="T986" i="1"/>
  <c r="R987" i="1"/>
  <c r="S987" i="1"/>
  <c r="T987" i="1"/>
  <c r="O988" i="1"/>
  <c r="P988" i="1"/>
  <c r="Q988" i="1"/>
  <c r="R988" i="1"/>
  <c r="S988" i="1"/>
  <c r="T988" i="1"/>
  <c r="O989" i="1"/>
  <c r="P989" i="1"/>
  <c r="Q989" i="1"/>
  <c r="R989" i="1"/>
  <c r="S989" i="1"/>
  <c r="T989" i="1"/>
  <c r="O990" i="1"/>
  <c r="P990" i="1"/>
  <c r="Q990" i="1"/>
  <c r="R990" i="1"/>
  <c r="S990" i="1"/>
  <c r="T990" i="1"/>
  <c r="O991" i="1"/>
  <c r="P991" i="1"/>
  <c r="Q991" i="1"/>
  <c r="R991" i="1"/>
  <c r="S991" i="1"/>
  <c r="T991" i="1"/>
  <c r="O992" i="1"/>
  <c r="P992" i="1"/>
  <c r="Q992" i="1"/>
  <c r="R992" i="1"/>
  <c r="S992" i="1"/>
  <c r="T992" i="1"/>
  <c r="O993" i="1"/>
  <c r="P993" i="1"/>
  <c r="Q993" i="1"/>
  <c r="R993" i="1"/>
  <c r="S993" i="1"/>
  <c r="T993" i="1"/>
  <c r="Q994" i="1"/>
  <c r="R994" i="1"/>
  <c r="S994" i="1"/>
  <c r="T994" i="1"/>
  <c r="O995" i="1"/>
  <c r="Q995" i="1"/>
  <c r="R995" i="1"/>
  <c r="S995" i="1"/>
  <c r="T995" i="1"/>
  <c r="P996" i="1"/>
  <c r="Q996" i="1"/>
  <c r="R996" i="1"/>
  <c r="S996" i="1"/>
  <c r="T996" i="1"/>
  <c r="O997" i="1"/>
  <c r="P997" i="1"/>
  <c r="Q997" i="1"/>
  <c r="R997" i="1"/>
  <c r="S997" i="1"/>
  <c r="T997" i="1"/>
  <c r="O998" i="1"/>
  <c r="P998" i="1"/>
  <c r="Q998" i="1"/>
  <c r="R998" i="1"/>
  <c r="S998" i="1"/>
  <c r="T998" i="1"/>
  <c r="Q999" i="1"/>
  <c r="R999" i="1"/>
  <c r="S999" i="1"/>
  <c r="T999" i="1"/>
  <c r="Q1000" i="1"/>
  <c r="R1000" i="1"/>
  <c r="S1000" i="1"/>
  <c r="T1000" i="1"/>
  <c r="Q1001" i="1"/>
  <c r="R1001" i="1"/>
  <c r="S1001" i="1"/>
  <c r="T1001" i="1"/>
  <c r="Q1002" i="1"/>
  <c r="R1002" i="1"/>
  <c r="S1002" i="1"/>
  <c r="T1002" i="1"/>
  <c r="Q1003" i="1"/>
  <c r="R1003" i="1"/>
  <c r="S1003" i="1"/>
  <c r="T1003" i="1"/>
  <c r="O1004" i="1"/>
  <c r="P1004" i="1"/>
  <c r="Q1004" i="1"/>
  <c r="R1004" i="1"/>
  <c r="S1004" i="1"/>
  <c r="T1004" i="1"/>
  <c r="O1005" i="1"/>
  <c r="P1005" i="1"/>
  <c r="Q1005" i="1"/>
  <c r="R1005" i="1"/>
  <c r="S1005" i="1"/>
  <c r="T1005" i="1"/>
  <c r="Q1006" i="1"/>
  <c r="R1006" i="1"/>
  <c r="S1006" i="1"/>
  <c r="T1006" i="1"/>
  <c r="O1007" i="1"/>
  <c r="P1007" i="1"/>
  <c r="Q1007" i="1"/>
  <c r="R1007" i="1"/>
  <c r="S1007" i="1"/>
  <c r="T1007" i="1"/>
  <c r="O1008" i="1"/>
  <c r="P1008" i="1"/>
  <c r="Q1008" i="1"/>
  <c r="R1008" i="1"/>
  <c r="S1008" i="1"/>
  <c r="T1008" i="1"/>
  <c r="O1009" i="1"/>
  <c r="P1009" i="1"/>
  <c r="Q1009" i="1"/>
  <c r="R1009" i="1"/>
  <c r="S1009" i="1"/>
  <c r="T1009" i="1"/>
  <c r="Q1010" i="1"/>
  <c r="R1010" i="1"/>
  <c r="S1010" i="1"/>
  <c r="T1010" i="1"/>
  <c r="O1011" i="1"/>
  <c r="P1011" i="1"/>
  <c r="Q1011" i="1"/>
  <c r="R1011" i="1"/>
  <c r="S1011" i="1"/>
  <c r="T1011" i="1"/>
  <c r="Q1012" i="1"/>
  <c r="R1012" i="1"/>
  <c r="S1012" i="1"/>
  <c r="T1012" i="1"/>
  <c r="Q1013" i="1"/>
  <c r="R1013" i="1"/>
  <c r="S1013" i="1"/>
  <c r="T1013" i="1"/>
  <c r="Q1014" i="1"/>
  <c r="R1014" i="1"/>
  <c r="S1014" i="1"/>
  <c r="T1014" i="1"/>
  <c r="O1015" i="1"/>
  <c r="P1015" i="1"/>
  <c r="Q1015" i="1"/>
  <c r="R1015" i="1"/>
  <c r="S1015" i="1"/>
  <c r="T1015" i="1"/>
  <c r="O1016" i="1"/>
  <c r="P1016" i="1"/>
  <c r="Q1016" i="1"/>
  <c r="R1016" i="1"/>
  <c r="S1016" i="1"/>
  <c r="T1016" i="1"/>
  <c r="O1017" i="1"/>
  <c r="P1017" i="1"/>
  <c r="Q1017" i="1"/>
  <c r="R1017" i="1"/>
  <c r="S1017" i="1"/>
  <c r="T1017" i="1"/>
  <c r="O1018" i="1"/>
  <c r="P1018" i="1"/>
  <c r="Q1018" i="1"/>
  <c r="T1018" i="1"/>
  <c r="O1019" i="1"/>
  <c r="P1019" i="1"/>
  <c r="Q1019" i="1"/>
  <c r="R1019" i="1"/>
  <c r="S1019" i="1"/>
  <c r="T1019" i="1"/>
  <c r="O1020" i="1"/>
  <c r="P1020" i="1"/>
  <c r="Q1020" i="1"/>
  <c r="R1020" i="1"/>
  <c r="S1020" i="1"/>
  <c r="T1020" i="1"/>
  <c r="O1021" i="1"/>
  <c r="P1021" i="1"/>
  <c r="Q1021" i="1"/>
  <c r="R1021" i="1"/>
  <c r="S1021" i="1"/>
  <c r="T1021" i="1"/>
  <c r="O1022" i="1"/>
  <c r="P1022" i="1"/>
  <c r="Q1022" i="1"/>
  <c r="R1022" i="1"/>
  <c r="S1022" i="1"/>
  <c r="T1022" i="1"/>
  <c r="O1023" i="1"/>
  <c r="P1023" i="1"/>
  <c r="Q1023" i="1"/>
  <c r="R1023" i="1"/>
  <c r="S1023" i="1"/>
  <c r="T1023" i="1"/>
  <c r="O1024" i="1"/>
  <c r="P1024" i="1"/>
  <c r="Q1024" i="1"/>
  <c r="R1024" i="1"/>
  <c r="S1024" i="1"/>
  <c r="T1024" i="1"/>
  <c r="O1025" i="1"/>
  <c r="P1025" i="1"/>
  <c r="Q1025" i="1"/>
  <c r="R1025" i="1"/>
  <c r="S1025" i="1"/>
  <c r="T1025" i="1"/>
  <c r="O1026" i="1"/>
  <c r="P1026" i="1"/>
  <c r="Q1026" i="1"/>
  <c r="R1026" i="1"/>
  <c r="S1026" i="1"/>
  <c r="T1026" i="1"/>
  <c r="O1027" i="1"/>
  <c r="P1027" i="1"/>
  <c r="Q1027" i="1"/>
  <c r="R1027" i="1"/>
  <c r="S1027" i="1"/>
  <c r="T1027" i="1"/>
  <c r="O1028" i="1"/>
  <c r="P1028" i="1"/>
  <c r="Q1028" i="1"/>
  <c r="R1028" i="1"/>
  <c r="S1028" i="1"/>
  <c r="T1028" i="1"/>
  <c r="O1029" i="1"/>
  <c r="P1029" i="1"/>
  <c r="Q1029" i="1"/>
  <c r="R1029" i="1"/>
  <c r="S1029" i="1"/>
  <c r="T1029" i="1"/>
  <c r="O1030" i="1"/>
  <c r="P1030" i="1"/>
  <c r="Q1030" i="1"/>
  <c r="R1030" i="1"/>
  <c r="S1030" i="1"/>
  <c r="T1030" i="1"/>
  <c r="O1031" i="1"/>
  <c r="P1031" i="1"/>
  <c r="Q1031" i="1"/>
  <c r="R1031" i="1"/>
  <c r="S1031" i="1"/>
  <c r="T1031" i="1"/>
  <c r="O1032" i="1"/>
  <c r="P1032" i="1"/>
  <c r="Q1032" i="1"/>
  <c r="R1032" i="1"/>
  <c r="S1032" i="1"/>
  <c r="T1032" i="1"/>
  <c r="O1033" i="1"/>
  <c r="P1033" i="1"/>
  <c r="Q1033" i="1"/>
  <c r="R1033" i="1"/>
  <c r="S1033" i="1"/>
  <c r="O1034" i="1"/>
  <c r="P1034" i="1"/>
  <c r="Q1034" i="1"/>
  <c r="R1034" i="1"/>
  <c r="S1034" i="1"/>
  <c r="T1034" i="1"/>
  <c r="O1035" i="1"/>
  <c r="P1035" i="1"/>
  <c r="Q1035" i="1"/>
  <c r="R1035" i="1"/>
  <c r="S1035" i="1"/>
  <c r="T1035" i="1"/>
  <c r="O1036" i="1"/>
  <c r="P1036" i="1"/>
  <c r="Q1036" i="1"/>
  <c r="R1036" i="1"/>
  <c r="S1036" i="1"/>
  <c r="T1036" i="1"/>
  <c r="O1037" i="1"/>
  <c r="P1037" i="1"/>
  <c r="Q1037" i="1"/>
  <c r="R1037" i="1"/>
  <c r="S1037" i="1"/>
  <c r="T1037" i="1"/>
  <c r="O1038" i="1"/>
  <c r="P1038" i="1"/>
  <c r="Q1038" i="1"/>
  <c r="R1038" i="1"/>
  <c r="S1038" i="1"/>
  <c r="T1038" i="1"/>
  <c r="O1039" i="1"/>
  <c r="P1039" i="1"/>
  <c r="Q1039" i="1"/>
  <c r="T1039" i="1"/>
  <c r="O1040" i="1"/>
  <c r="P1040" i="1"/>
  <c r="R1039" i="1" s="1"/>
  <c r="S1039" i="1" s="1"/>
  <c r="Q1040" i="1"/>
  <c r="R1040" i="1"/>
  <c r="S1040" i="1"/>
  <c r="T1040" i="1"/>
  <c r="O1041" i="1"/>
  <c r="P1041" i="1"/>
  <c r="Q1041" i="1"/>
  <c r="R1041" i="1"/>
  <c r="S1041" i="1"/>
  <c r="T1041" i="1"/>
  <c r="O1042" i="1"/>
  <c r="P1042" i="1"/>
  <c r="Q1042" i="1"/>
  <c r="R1042" i="1"/>
  <c r="S1042" i="1"/>
  <c r="T1042" i="1"/>
  <c r="O1043" i="1"/>
  <c r="P1043" i="1"/>
  <c r="Q1043" i="1"/>
  <c r="R1043" i="1"/>
  <c r="S1043" i="1"/>
  <c r="T1043" i="1"/>
  <c r="O1044" i="1"/>
  <c r="P1044" i="1"/>
  <c r="Q1044" i="1"/>
  <c r="R1044" i="1"/>
  <c r="S1044" i="1"/>
  <c r="T1044" i="1"/>
  <c r="O1045" i="1"/>
  <c r="P1045" i="1"/>
  <c r="Q1045" i="1"/>
  <c r="R1045" i="1"/>
  <c r="S1045" i="1"/>
  <c r="T1045" i="1"/>
  <c r="O1046" i="1"/>
  <c r="P1046" i="1"/>
  <c r="Q1046" i="1"/>
  <c r="R1046" i="1"/>
  <c r="S1046" i="1"/>
  <c r="T1046" i="1"/>
  <c r="O1047" i="1"/>
  <c r="P1047" i="1"/>
  <c r="Q1047" i="1"/>
  <c r="R1047" i="1"/>
  <c r="S1047" i="1"/>
  <c r="T1047" i="1"/>
  <c r="AN3" i="1"/>
  <c r="AN11" i="1"/>
  <c r="AN13" i="1"/>
  <c r="AN14" i="1"/>
  <c r="AN15" i="1"/>
  <c r="AN16" i="1"/>
  <c r="AN17" i="1"/>
  <c r="AN18" i="1"/>
  <c r="AN19" i="1"/>
  <c r="AN20" i="1"/>
  <c r="AN21" i="1"/>
  <c r="AN22" i="1"/>
  <c r="AN26" i="1"/>
  <c r="AN28" i="1"/>
  <c r="AN29" i="1"/>
  <c r="AN30" i="1"/>
  <c r="AN31" i="1"/>
  <c r="AN32" i="1"/>
  <c r="AN33" i="1"/>
  <c r="AN34" i="1"/>
  <c r="AN35" i="1"/>
  <c r="AN36" i="1"/>
  <c r="AN38" i="1"/>
  <c r="AN39" i="1"/>
  <c r="AN40" i="1"/>
  <c r="AN44" i="1"/>
  <c r="AN45" i="1"/>
  <c r="AN52" i="1"/>
  <c r="AN53" i="1"/>
  <c r="AN54" i="1"/>
  <c r="AN55" i="1"/>
  <c r="AN56" i="1"/>
  <c r="AN60" i="1"/>
  <c r="AN62" i="1"/>
  <c r="AN68" i="1"/>
  <c r="AN69" i="1"/>
  <c r="AN70" i="1"/>
  <c r="AN71" i="1"/>
  <c r="AN72" i="1"/>
  <c r="AN73" i="1"/>
  <c r="AN74" i="1"/>
  <c r="AN75" i="1"/>
  <c r="AN76" i="1"/>
  <c r="AN77" i="1"/>
  <c r="AN78" i="1"/>
  <c r="AN79" i="1"/>
  <c r="AN80" i="1"/>
  <c r="AN81" i="1"/>
  <c r="AN82" i="1"/>
  <c r="AN83" i="1"/>
  <c r="AN84" i="1"/>
  <c r="AN85" i="1"/>
  <c r="AN86" i="1"/>
  <c r="AN87" i="1"/>
  <c r="AN88" i="1"/>
  <c r="AN89" i="1"/>
  <c r="AN91" i="1"/>
  <c r="AN92" i="1"/>
  <c r="AN93" i="1"/>
  <c r="AN94" i="1"/>
  <c r="AN95" i="1"/>
  <c r="AN96" i="1"/>
  <c r="AN97" i="1"/>
  <c r="AN98" i="1"/>
  <c r="AN99" i="1"/>
  <c r="AN101" i="1"/>
  <c r="AN102" i="1"/>
  <c r="AN103" i="1"/>
  <c r="AN104" i="1"/>
  <c r="AN105" i="1"/>
  <c r="AN106" i="1"/>
  <c r="AN107" i="1"/>
  <c r="AN108" i="1"/>
  <c r="AN109" i="1"/>
  <c r="AN111" i="1"/>
  <c r="AN112" i="1"/>
  <c r="AN113" i="1"/>
  <c r="AN114" i="1"/>
  <c r="AN115" i="1"/>
  <c r="AN116" i="1"/>
  <c r="AN117" i="1"/>
  <c r="AN125" i="1"/>
  <c r="AN126" i="1"/>
  <c r="AN127" i="1"/>
  <c r="AN128" i="1"/>
  <c r="AN129" i="1"/>
  <c r="AN149" i="1"/>
  <c r="AN153" i="1"/>
  <c r="AN154" i="1"/>
  <c r="AN155" i="1"/>
  <c r="AN156" i="1"/>
  <c r="AN157" i="1"/>
  <c r="AN158" i="1"/>
  <c r="AN159" i="1"/>
  <c r="AN160" i="1"/>
  <c r="AN161" i="1"/>
  <c r="AN162" i="1"/>
  <c r="AN165" i="1"/>
  <c r="AN166" i="1"/>
  <c r="AN167" i="1"/>
  <c r="AN168" i="1"/>
  <c r="AN169" i="1"/>
  <c r="AN170" i="1"/>
  <c r="AN171" i="1"/>
  <c r="AN174" i="1"/>
  <c r="AN175" i="1"/>
  <c r="AN176" i="1"/>
  <c r="AN177" i="1"/>
  <c r="AN178" i="1"/>
  <c r="AN179" i="1"/>
  <c r="AN180" i="1"/>
  <c r="AN181" i="1"/>
  <c r="AN183" i="1"/>
  <c r="AN184" i="1"/>
  <c r="AN185" i="1"/>
  <c r="AN186" i="1"/>
  <c r="AN187" i="1"/>
  <c r="AN189" i="1"/>
  <c r="AN190" i="1"/>
  <c r="AN191" i="1"/>
  <c r="AN192" i="1"/>
  <c r="AN193" i="1"/>
  <c r="AN194" i="1"/>
  <c r="AN196" i="1"/>
  <c r="AN197" i="1"/>
  <c r="AN198" i="1"/>
  <c r="AN206" i="1"/>
  <c r="AN207" i="1"/>
  <c r="AN208" i="1"/>
  <c r="AN211" i="1"/>
  <c r="AN212" i="1"/>
  <c r="AN216" i="1"/>
  <c r="AN217" i="1"/>
  <c r="AN218" i="1"/>
  <c r="AN219" i="1"/>
  <c r="AN220" i="1"/>
  <c r="AN222" i="1"/>
  <c r="AN227" i="1"/>
  <c r="AN228" i="1"/>
  <c r="AN229" i="1"/>
  <c r="AN230" i="1"/>
  <c r="AN231" i="1"/>
  <c r="AN232" i="1"/>
  <c r="AN233" i="1"/>
  <c r="AN234" i="1"/>
  <c r="AN235" i="1"/>
  <c r="AN236" i="1"/>
  <c r="AN237" i="1"/>
  <c r="AN238" i="1"/>
  <c r="AN239" i="1"/>
  <c r="AN240" i="1"/>
  <c r="AN241" i="1"/>
  <c r="AN242" i="1"/>
  <c r="AN243" i="1"/>
  <c r="AN244" i="1"/>
  <c r="AN248" i="1"/>
  <c r="AN251" i="1"/>
  <c r="AN252" i="1"/>
  <c r="AN253" i="1"/>
  <c r="AN255" i="1"/>
  <c r="AN256" i="1"/>
  <c r="AN257" i="1"/>
  <c r="AN258" i="1"/>
  <c r="AN260" i="1"/>
  <c r="AN261" i="1"/>
  <c r="AN262" i="1"/>
  <c r="AN263" i="1"/>
  <c r="AN264" i="1"/>
  <c r="AN265" i="1"/>
  <c r="AN269" i="1"/>
  <c r="AN272" i="1"/>
  <c r="AN277" i="1"/>
  <c r="AN280" i="1"/>
  <c r="AN281" i="1"/>
  <c r="AN282" i="1"/>
  <c r="AN284" i="1"/>
  <c r="AN285" i="1"/>
  <c r="AN287" i="1"/>
  <c r="AN300" i="1"/>
  <c r="AN301" i="1"/>
  <c r="AN302" i="1"/>
  <c r="AN303" i="1"/>
  <c r="AN304" i="1"/>
  <c r="AN305" i="1"/>
  <c r="AN306" i="1"/>
  <c r="AN307" i="1"/>
  <c r="AN308" i="1"/>
  <c r="AN309" i="1"/>
  <c r="AN310" i="1"/>
  <c r="AN311" i="1"/>
  <c r="AN312" i="1"/>
  <c r="AN317" i="1"/>
  <c r="AN318" i="1"/>
  <c r="AN320" i="1"/>
  <c r="AN321" i="1"/>
  <c r="AN322" i="1"/>
  <c r="AN323" i="1"/>
  <c r="AN324" i="1"/>
  <c r="AN326" i="1"/>
  <c r="AN327" i="1"/>
  <c r="AN329" i="1"/>
  <c r="AN333" i="1"/>
  <c r="AN334" i="1"/>
  <c r="AN335" i="1"/>
  <c r="AN336" i="1"/>
  <c r="AN337" i="1"/>
  <c r="AN338" i="1"/>
  <c r="AN339" i="1"/>
  <c r="AN340" i="1"/>
  <c r="AN341" i="1"/>
  <c r="AN342" i="1"/>
  <c r="AN344" i="1"/>
  <c r="AN345" i="1"/>
  <c r="AN346" i="1"/>
  <c r="AN347" i="1"/>
  <c r="AN348" i="1"/>
  <c r="AN349" i="1"/>
  <c r="AN350" i="1"/>
  <c r="AN351" i="1"/>
  <c r="AN352" i="1"/>
  <c r="AN353" i="1"/>
  <c r="AN354" i="1"/>
  <c r="AN355" i="1"/>
  <c r="AN357" i="1"/>
  <c r="AN358" i="1"/>
  <c r="AN359" i="1"/>
  <c r="AN360" i="1"/>
  <c r="AN361" i="1"/>
  <c r="AN362" i="1"/>
  <c r="AN363" i="1"/>
  <c r="AN364" i="1"/>
  <c r="AN365" i="1"/>
  <c r="AN366" i="1"/>
  <c r="AN367" i="1"/>
  <c r="AN368" i="1"/>
  <c r="AN369" i="1"/>
  <c r="AN370" i="1"/>
  <c r="AN371" i="1"/>
  <c r="AN372" i="1"/>
  <c r="AN373" i="1"/>
  <c r="AN374" i="1"/>
  <c r="AN375" i="1"/>
  <c r="AN377" i="1"/>
  <c r="AN378" i="1"/>
  <c r="AN380" i="1"/>
  <c r="AN381" i="1"/>
  <c r="AN382" i="1"/>
  <c r="AN383" i="1"/>
  <c r="AN385" i="1"/>
  <c r="AN386" i="1"/>
  <c r="AN388" i="1"/>
  <c r="AN389" i="1"/>
  <c r="AN390" i="1"/>
  <c r="AN393" i="1"/>
  <c r="AN395" i="1"/>
  <c r="AN396" i="1"/>
  <c r="AN400" i="1"/>
  <c r="AN401" i="1"/>
  <c r="AN402" i="1"/>
  <c r="AN403" i="1"/>
  <c r="AN404" i="1"/>
  <c r="AN405" i="1"/>
  <c r="AN406" i="1"/>
  <c r="AN407" i="1"/>
  <c r="AN408" i="1"/>
  <c r="AN409" i="1"/>
  <c r="AN410" i="1"/>
  <c r="AN414" i="1"/>
  <c r="AN415" i="1"/>
  <c r="AN416" i="1"/>
  <c r="AN417" i="1"/>
  <c r="AN418" i="1"/>
  <c r="AN419" i="1"/>
  <c r="AN420" i="1"/>
  <c r="AN428" i="1"/>
  <c r="AN429" i="1"/>
  <c r="AN435" i="1"/>
  <c r="AN436" i="1"/>
  <c r="AN437" i="1"/>
  <c r="AN438" i="1"/>
  <c r="AN439" i="1"/>
  <c r="AN440" i="1"/>
  <c r="AN442" i="1"/>
  <c r="AN443" i="1"/>
  <c r="AN444" i="1"/>
  <c r="AN446" i="1"/>
  <c r="AN447" i="1"/>
  <c r="AN448" i="1"/>
  <c r="AN449" i="1"/>
  <c r="AN450" i="1"/>
  <c r="AN452" i="1"/>
  <c r="AN453" i="1"/>
  <c r="AN454" i="1"/>
  <c r="AN455" i="1"/>
  <c r="AN456" i="1"/>
  <c r="AN457" i="1"/>
  <c r="AN458" i="1"/>
  <c r="AN459" i="1"/>
  <c r="AN461" i="1"/>
  <c r="AN462" i="1"/>
  <c r="AN466" i="1"/>
  <c r="AN467" i="1"/>
  <c r="AN468" i="1"/>
  <c r="AN469" i="1"/>
  <c r="AN470" i="1"/>
  <c r="AN471" i="1"/>
  <c r="AN472" i="1"/>
  <c r="AN473" i="1"/>
  <c r="AN474" i="1"/>
  <c r="AN475" i="1"/>
  <c r="AN476" i="1"/>
  <c r="AN477" i="1"/>
  <c r="AN479" i="1"/>
  <c r="AN480" i="1"/>
  <c r="AN481" i="1"/>
  <c r="AN490" i="1"/>
  <c r="AN491" i="1"/>
  <c r="AN492" i="1"/>
  <c r="AN493" i="1"/>
  <c r="AN494" i="1"/>
  <c r="AN496" i="1"/>
  <c r="AN497" i="1"/>
  <c r="AN498" i="1"/>
  <c r="AN499" i="1"/>
  <c r="AN500" i="1"/>
  <c r="AN501" i="1"/>
  <c r="AN502" i="1"/>
  <c r="AN503" i="1"/>
  <c r="AN519" i="1"/>
  <c r="AN527" i="1"/>
  <c r="AN537" i="1"/>
  <c r="AN538" i="1"/>
  <c r="AN539" i="1"/>
  <c r="AN540" i="1"/>
  <c r="AN541" i="1"/>
  <c r="AN542" i="1"/>
  <c r="AN543" i="1"/>
  <c r="AN544" i="1"/>
  <c r="AN546" i="1"/>
  <c r="AN547" i="1"/>
  <c r="AN548" i="1"/>
  <c r="AN549" i="1"/>
  <c r="AN550" i="1"/>
  <c r="AN551" i="1"/>
  <c r="AN552" i="1"/>
  <c r="AN553" i="1"/>
  <c r="AN554" i="1"/>
  <c r="AN555" i="1"/>
  <c r="AN556" i="1"/>
  <c r="AN557" i="1"/>
  <c r="AN558" i="1"/>
  <c r="AN559" i="1"/>
  <c r="AN560" i="1"/>
  <c r="AN561" i="1"/>
  <c r="AN563" i="1"/>
  <c r="AN564" i="1"/>
  <c r="AN565" i="1"/>
  <c r="AN566" i="1"/>
  <c r="AN567" i="1"/>
  <c r="AN568" i="1"/>
  <c r="AN569" i="1"/>
  <c r="AN570" i="1"/>
  <c r="AN571" i="1"/>
  <c r="AN572" i="1"/>
  <c r="AN573" i="1"/>
  <c r="AN575" i="1"/>
  <c r="AN576" i="1"/>
  <c r="AN577" i="1"/>
  <c r="AN578" i="1"/>
  <c r="AN579" i="1"/>
  <c r="AN580" i="1"/>
  <c r="AN581" i="1"/>
  <c r="AN582" i="1"/>
  <c r="AN584" i="1"/>
  <c r="AN585" i="1"/>
  <c r="AN587" i="1"/>
  <c r="AN588" i="1"/>
  <c r="AN589" i="1"/>
  <c r="AN590" i="1"/>
  <c r="AN591" i="1"/>
  <c r="AN592" i="1"/>
  <c r="AN593" i="1"/>
  <c r="AN594" i="1"/>
  <c r="AN595" i="1"/>
  <c r="AN596" i="1"/>
  <c r="AN597" i="1"/>
  <c r="AN598" i="1"/>
  <c r="AN599" i="1"/>
  <c r="AN600" i="1"/>
  <c r="AN601" i="1"/>
  <c r="AN602"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N700" i="1"/>
  <c r="AN713" i="1"/>
  <c r="AN714" i="1"/>
  <c r="AN715" i="1"/>
  <c r="AN716" i="1"/>
  <c r="AN717" i="1"/>
  <c r="AN718" i="1"/>
  <c r="AN719" i="1"/>
  <c r="AN720" i="1"/>
  <c r="AN721" i="1"/>
  <c r="AN722" i="1"/>
  <c r="AN723" i="1"/>
  <c r="AN724" i="1"/>
  <c r="AN725" i="1"/>
  <c r="AN726" i="1"/>
  <c r="AN727" i="1"/>
  <c r="AN728" i="1"/>
  <c r="AN730" i="1"/>
  <c r="AN731" i="1"/>
  <c r="AN732" i="1"/>
  <c r="AN733" i="1"/>
  <c r="AN734" i="1"/>
  <c r="AN735" i="1"/>
  <c r="AN739" i="1"/>
  <c r="AN741" i="1"/>
  <c r="AN743" i="1"/>
  <c r="AN746" i="1"/>
  <c r="AN747" i="1"/>
  <c r="AN748" i="1"/>
  <c r="AN751" i="1"/>
  <c r="AN752" i="1"/>
  <c r="AN753" i="1"/>
  <c r="AN754" i="1"/>
  <c r="AN758" i="1"/>
  <c r="AN773" i="1"/>
  <c r="AN776" i="1"/>
  <c r="AN777" i="1"/>
  <c r="AN783" i="1"/>
  <c r="AN784" i="1"/>
  <c r="AN785" i="1"/>
  <c r="AN786" i="1"/>
  <c r="AN787" i="1"/>
  <c r="AN788" i="1"/>
  <c r="AN789" i="1"/>
  <c r="AN797" i="1"/>
  <c r="AN798" i="1"/>
  <c r="AN799" i="1"/>
  <c r="AN800" i="1"/>
  <c r="AN803" i="1"/>
  <c r="AN804" i="1"/>
  <c r="AN805" i="1"/>
  <c r="AN806" i="1"/>
  <c r="AN807" i="1"/>
  <c r="AN808" i="1"/>
  <c r="AN809" i="1"/>
  <c r="AN811" i="1"/>
  <c r="AN820" i="1"/>
  <c r="AN823" i="1"/>
  <c r="AN826" i="1"/>
  <c r="AN827" i="1"/>
  <c r="AN828" i="1"/>
  <c r="AN829" i="1"/>
  <c r="AN830" i="1"/>
  <c r="AN832" i="1"/>
  <c r="AN833" i="1"/>
  <c r="AN834" i="1"/>
  <c r="AN836" i="1"/>
  <c r="AN837" i="1"/>
  <c r="AN846" i="1"/>
  <c r="AN847" i="1"/>
  <c r="AN852" i="1"/>
  <c r="AN853" i="1"/>
  <c r="AN855" i="1"/>
  <c r="AN856" i="1"/>
  <c r="AN857" i="1"/>
  <c r="AN858" i="1"/>
  <c r="AN859" i="1"/>
  <c r="AN860" i="1"/>
  <c r="AN861" i="1"/>
  <c r="AN862" i="1"/>
  <c r="AN863" i="1"/>
  <c r="AN864" i="1"/>
  <c r="AN868" i="1"/>
  <c r="AN869" i="1"/>
  <c r="AN870" i="1"/>
  <c r="AN871" i="1"/>
  <c r="AN872" i="1"/>
  <c r="AN873" i="1"/>
  <c r="AN874" i="1"/>
  <c r="AN875" i="1"/>
  <c r="AN877" i="1"/>
  <c r="AN881" i="1"/>
  <c r="AN882" i="1"/>
  <c r="AN883" i="1"/>
  <c r="AN884" i="1"/>
  <c r="AN885" i="1"/>
  <c r="AN886" i="1"/>
  <c r="AN887" i="1"/>
  <c r="AN888" i="1"/>
  <c r="AN889" i="1"/>
  <c r="AN890" i="1"/>
  <c r="AN891" i="1"/>
  <c r="AN892" i="1"/>
  <c r="AN893" i="1"/>
  <c r="AN895" i="1"/>
  <c r="AN896" i="1"/>
  <c r="AN898" i="1"/>
  <c r="AN899" i="1"/>
  <c r="AN900" i="1"/>
  <c r="AN901" i="1"/>
  <c r="AN902" i="1"/>
  <c r="AN903" i="1"/>
  <c r="AN904" i="1"/>
  <c r="AN906" i="1"/>
  <c r="AN908" i="1"/>
  <c r="AN909" i="1"/>
  <c r="AN910" i="1"/>
  <c r="AN911" i="1"/>
  <c r="AN912" i="1"/>
  <c r="AN913" i="1"/>
  <c r="AN914" i="1"/>
  <c r="AN915" i="1"/>
  <c r="AN916" i="1"/>
  <c r="AN917" i="1"/>
  <c r="AN930" i="1"/>
  <c r="AN931" i="1"/>
  <c r="AN932" i="1"/>
  <c r="AN933" i="1"/>
  <c r="AN934" i="1"/>
  <c r="AN935" i="1"/>
  <c r="AN936" i="1"/>
  <c r="AN937" i="1"/>
  <c r="AN939" i="1"/>
  <c r="AN940" i="1"/>
  <c r="AN941" i="1"/>
  <c r="AN942" i="1"/>
  <c r="AN943" i="1"/>
  <c r="AN944" i="1"/>
  <c r="AN945" i="1"/>
  <c r="AN946" i="1"/>
  <c r="AN947" i="1"/>
  <c r="AN948" i="1"/>
  <c r="AN949" i="1"/>
  <c r="AN950" i="1"/>
  <c r="AN951" i="1"/>
  <c r="AN955" i="1"/>
  <c r="AN956" i="1"/>
  <c r="AN963" i="1"/>
  <c r="AN965" i="1"/>
  <c r="AN966" i="1"/>
  <c r="AN967" i="1"/>
  <c r="AN969" i="1"/>
  <c r="AN970" i="1"/>
  <c r="AN971" i="1"/>
  <c r="AN972" i="1"/>
  <c r="AN973" i="1"/>
  <c r="AN974" i="1"/>
  <c r="AN975" i="1"/>
  <c r="AN976" i="1"/>
  <c r="AN977" i="1"/>
  <c r="AN979" i="1"/>
  <c r="AN980" i="1"/>
  <c r="AN981" i="1"/>
  <c r="AN982" i="1"/>
  <c r="AN983" i="1"/>
  <c r="AN984" i="1"/>
  <c r="AN987"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8" i="1"/>
  <c r="AN1019" i="1"/>
  <c r="AN1020" i="1"/>
  <c r="AN1021" i="1"/>
  <c r="AN1022" i="1"/>
  <c r="AN1033" i="1"/>
  <c r="AN1034" i="1"/>
  <c r="AN1035" i="1"/>
  <c r="AN1040" i="1"/>
  <c r="AN1050" i="1"/>
  <c r="AN1051" i="1"/>
  <c r="AN1052" i="1"/>
  <c r="AN1053" i="1"/>
  <c r="AN1054" i="1"/>
  <c r="AN1055" i="1"/>
  <c r="AN1056" i="1"/>
  <c r="AN1057" i="1"/>
  <c r="AN1058" i="1"/>
  <c r="AN1059" i="1"/>
  <c r="AN1061" i="1"/>
  <c r="AN1064" i="1"/>
  <c r="AN1065" i="1"/>
  <c r="AN1066" i="1"/>
  <c r="AN1067" i="1"/>
  <c r="AN1068" i="1"/>
  <c r="AN1069" i="1"/>
  <c r="AN1070" i="1"/>
  <c r="AN1071" i="1"/>
  <c r="AN1072" i="1"/>
  <c r="AN1075" i="1"/>
  <c r="AN1077" i="1"/>
  <c r="AN1078" i="1"/>
  <c r="AN1080" i="1"/>
  <c r="AN1081" i="1"/>
  <c r="AN1082" i="1"/>
  <c r="AN1083" i="1"/>
  <c r="AN1092" i="1"/>
  <c r="AN1100" i="1"/>
  <c r="AN1102" i="1"/>
  <c r="AN1104"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33" i="1"/>
  <c r="AN1134" i="1"/>
  <c r="AN1135" i="1"/>
  <c r="AN1137" i="1"/>
  <c r="AN1138" i="1"/>
  <c r="AN1139" i="1"/>
  <c r="AN1140" i="1"/>
  <c r="AN1141" i="1"/>
  <c r="AN1142" i="1"/>
  <c r="AN1143" i="1"/>
  <c r="AN1145" i="1"/>
  <c r="AN1146" i="1"/>
  <c r="AN1147" i="1"/>
  <c r="AN1149" i="1"/>
  <c r="AN1150" i="1"/>
  <c r="AN1151" i="1"/>
  <c r="AN1152" i="1"/>
  <c r="AN1153" i="1"/>
  <c r="AN1154" i="1"/>
  <c r="AN1155" i="1"/>
  <c r="AN1156" i="1"/>
  <c r="AN1157" i="1"/>
  <c r="AN1167" i="1"/>
  <c r="AN1168" i="1"/>
  <c r="AN1174" i="1"/>
  <c r="AN1176" i="1"/>
  <c r="AN1177" i="1"/>
  <c r="AN1179" i="1"/>
  <c r="AN1180" i="1"/>
  <c r="AN1181" i="1"/>
  <c r="AN1184" i="1"/>
  <c r="AN1185" i="1"/>
  <c r="AN1186" i="1"/>
  <c r="AN1187" i="1"/>
  <c r="AN1191" i="1"/>
  <c r="AN1192" i="1"/>
  <c r="AN1193" i="1"/>
  <c r="AN1194" i="1"/>
  <c r="AN1195" i="1"/>
  <c r="AN1196" i="1"/>
  <c r="AN1197" i="1"/>
  <c r="AN1201" i="1"/>
  <c r="AN1202" i="1"/>
  <c r="AN1203" i="1"/>
  <c r="AN1204" i="1"/>
  <c r="AN1205" i="1"/>
  <c r="AN1206" i="1"/>
  <c r="AN1207" i="1"/>
  <c r="AN1208" i="1"/>
  <c r="AN1210" i="1"/>
  <c r="AN1213" i="1"/>
  <c r="AN1214" i="1"/>
  <c r="AN1216" i="1"/>
  <c r="AN1217" i="1"/>
  <c r="AN1220" i="1"/>
  <c r="AN1221" i="1"/>
  <c r="AN1222" i="1"/>
  <c r="AN1223" i="1"/>
  <c r="AN1224" i="1"/>
  <c r="AN1226" i="1"/>
  <c r="AN1228" i="1"/>
  <c r="AN1229" i="1"/>
  <c r="AN1230" i="1"/>
  <c r="AN1231" i="1"/>
  <c r="AN1232" i="1"/>
  <c r="AN1233" i="1"/>
  <c r="AN1236" i="1"/>
  <c r="AN1238" i="1"/>
  <c r="AN1239" i="1"/>
  <c r="AN1240" i="1"/>
  <c r="AN1241" i="1"/>
  <c r="AN1242" i="1"/>
  <c r="AN1243" i="1"/>
  <c r="AN1244" i="1"/>
  <c r="AN1245" i="1"/>
  <c r="AN1247" i="1"/>
  <c r="AN1248" i="1"/>
  <c r="AN1250" i="1"/>
  <c r="AN1251" i="1"/>
  <c r="AN1252" i="1"/>
  <c r="AN1253" i="1"/>
  <c r="AN1254" i="1"/>
  <c r="AN1255" i="1"/>
  <c r="AN1257" i="1"/>
  <c r="AN1258" i="1"/>
  <c r="AN1259" i="1"/>
  <c r="AN1261" i="1"/>
  <c r="AN1263" i="1"/>
  <c r="AN1264" i="1"/>
  <c r="AN1265" i="1"/>
  <c r="AN1266" i="1"/>
  <c r="AN1267" i="1"/>
  <c r="AN1268" i="1"/>
  <c r="AN1269" i="1"/>
  <c r="AN1270" i="1"/>
  <c r="AN1271" i="1"/>
  <c r="AN1272" i="1"/>
  <c r="AN1273" i="1"/>
  <c r="AN1274" i="1"/>
  <c r="AN1275" i="1"/>
  <c r="AN1276" i="1"/>
  <c r="AN1277" i="1"/>
  <c r="AN1279" i="1"/>
  <c r="AN1280" i="1"/>
  <c r="AN1281" i="1"/>
  <c r="AN1292" i="1"/>
  <c r="AN1296" i="1"/>
  <c r="AN1297" i="1"/>
  <c r="AN1298" i="1"/>
  <c r="AN1299" i="1"/>
  <c r="AN1301" i="1"/>
  <c r="AN1302" i="1"/>
  <c r="AN1303" i="1"/>
  <c r="AN1307" i="1"/>
  <c r="AN1309" i="1"/>
  <c r="AN1310" i="1"/>
  <c r="AN1311" i="1"/>
  <c r="AN1312" i="1"/>
  <c r="AN1315" i="1"/>
  <c r="AN1316" i="1"/>
  <c r="AN1317" i="1"/>
  <c r="AN1327" i="1"/>
  <c r="AN1328" i="1"/>
  <c r="AN1335" i="1"/>
  <c r="AN1336" i="1"/>
  <c r="AN1337" i="1"/>
  <c r="AN1338" i="1"/>
  <c r="AN1339" i="1"/>
  <c r="AN1340" i="1"/>
  <c r="AN1342" i="1"/>
  <c r="AN1343" i="1"/>
  <c r="AN1344" i="1"/>
  <c r="AN1345" i="1"/>
  <c r="AN1346" i="1"/>
  <c r="AN1347" i="1"/>
  <c r="AN1348" i="1"/>
  <c r="AN1349" i="1"/>
  <c r="AN1350" i="1"/>
  <c r="AN1366" i="1"/>
  <c r="AN1370" i="1"/>
  <c r="AN1373" i="1"/>
  <c r="AN1374" i="1"/>
  <c r="AN1375" i="1"/>
  <c r="AN1376" i="1"/>
  <c r="AN1377" i="1"/>
  <c r="AN1378" i="1"/>
  <c r="AN1379" i="1"/>
  <c r="AN1380" i="1"/>
  <c r="AN1381" i="1"/>
  <c r="AN1382" i="1"/>
  <c r="AN1383" i="1"/>
  <c r="AN1384" i="1"/>
  <c r="AN1385" i="1"/>
  <c r="AN1386" i="1"/>
  <c r="AN1387" i="1"/>
  <c r="AN1388" i="1"/>
  <c r="AN1389" i="1"/>
  <c r="AN1390" i="1"/>
  <c r="AN1392" i="1"/>
  <c r="AN1393" i="1"/>
  <c r="AN1394" i="1"/>
  <c r="AN1396" i="1"/>
  <c r="AN1397" i="1"/>
  <c r="AN1398" i="1"/>
  <c r="AN1399" i="1"/>
  <c r="AN1400" i="1"/>
  <c r="AN1401" i="1"/>
  <c r="AN1402" i="1"/>
  <c r="AN1403" i="1"/>
  <c r="AN1404" i="1"/>
  <c r="AN1405" i="1"/>
  <c r="AN1406" i="1"/>
  <c r="AN1407" i="1"/>
  <c r="AN1408" i="1"/>
  <c r="AN1409" i="1"/>
  <c r="AN1410" i="1"/>
  <c r="AN1411" i="1"/>
  <c r="AN1412" i="1"/>
  <c r="AN1413" i="1"/>
  <c r="AN1415" i="1"/>
  <c r="AN1416" i="1"/>
  <c r="AN1417" i="1"/>
  <c r="AN1418" i="1"/>
  <c r="AN1420" i="1"/>
  <c r="AN1421" i="1"/>
  <c r="AN1422" i="1"/>
  <c r="AN1423" i="1"/>
  <c r="AN1424" i="1"/>
  <c r="AN1425" i="1"/>
  <c r="AN1426" i="1"/>
  <c r="AN1427" i="1"/>
  <c r="AN1428" i="1"/>
  <c r="AN1429"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3" i="1"/>
  <c r="AN1484" i="1"/>
  <c r="AN1485" i="1"/>
  <c r="AN1486" i="1"/>
  <c r="AN1487" i="1"/>
  <c r="AN1488" i="1"/>
  <c r="AN1489" i="1"/>
  <c r="AN1490" i="1"/>
  <c r="AN1491" i="1"/>
  <c r="AN1493" i="1"/>
  <c r="AN1494" i="1"/>
  <c r="AN1498" i="1"/>
  <c r="AN1499" i="1"/>
  <c r="AN1500" i="1"/>
  <c r="AN1503" i="1"/>
  <c r="AN1504" i="1"/>
  <c r="AN1505" i="1"/>
  <c r="AN1506" i="1"/>
  <c r="AN1507" i="1"/>
  <c r="AN1508" i="1"/>
  <c r="AN1509" i="1"/>
  <c r="AN1510" i="1"/>
  <c r="AN1511" i="1"/>
  <c r="AN1512" i="1"/>
  <c r="AN1514" i="1"/>
  <c r="AN1515" i="1"/>
  <c r="AN1516" i="1"/>
  <c r="AN1517" i="1"/>
  <c r="AN1518" i="1"/>
  <c r="AN1520" i="1"/>
  <c r="AN1521" i="1"/>
  <c r="AN1522" i="1"/>
  <c r="AN1523" i="1"/>
  <c r="AN1524" i="1"/>
  <c r="AN1525" i="1"/>
  <c r="AN1527" i="1"/>
  <c r="AN1528" i="1"/>
  <c r="AN1529" i="1"/>
  <c r="AN1530" i="1"/>
  <c r="AN1531" i="1"/>
  <c r="AN1532" i="1"/>
  <c r="AN1533" i="1"/>
  <c r="AN1535" i="1"/>
  <c r="AN1536" i="1"/>
  <c r="AN1537" i="1"/>
  <c r="AN1538" i="1"/>
  <c r="AN1539"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9" i="1"/>
  <c r="AN1600" i="1"/>
  <c r="AN1601" i="1"/>
  <c r="AN1602" i="1"/>
  <c r="AN1603" i="1"/>
  <c r="AN1604" i="1"/>
  <c r="AN1605" i="1"/>
  <c r="AN1606" i="1"/>
  <c r="AN1608" i="1"/>
  <c r="AN1609" i="1"/>
  <c r="AN1610" i="1"/>
  <c r="AN1611" i="1"/>
  <c r="AN1612" i="1"/>
  <c r="AN1613" i="1"/>
  <c r="AN1614" i="1"/>
  <c r="AN1615" i="1"/>
  <c r="AN1616" i="1"/>
  <c r="AN1617" i="1"/>
  <c r="AN1618" i="1"/>
  <c r="AN1619" i="1"/>
  <c r="AN1620" i="1"/>
  <c r="AN1621" i="1"/>
  <c r="AN1623" i="1"/>
  <c r="AN1624" i="1"/>
  <c r="AN1625" i="1"/>
  <c r="AN1627"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2" i="1"/>
  <c r="AN1713" i="1"/>
  <c r="AN1714" i="1"/>
  <c r="AN1715" i="1"/>
  <c r="AN1716" i="1"/>
  <c r="AN1717" i="1"/>
  <c r="AN1718" i="1"/>
  <c r="AN1719" i="1"/>
  <c r="AN1720" i="1"/>
  <c r="AN1721" i="1"/>
  <c r="AN1722" i="1"/>
  <c r="AN1723" i="1"/>
  <c r="AN1724" i="1"/>
  <c r="AN1725" i="1"/>
  <c r="AN1726" i="1"/>
  <c r="AN1727" i="1"/>
  <c r="AN1728" i="1"/>
  <c r="AN1729" i="1"/>
  <c r="AN1730" i="1"/>
  <c r="AN1731" i="1"/>
  <c r="AN1732" i="1"/>
  <c r="AN1733"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4" i="1"/>
  <c r="AN1785" i="1"/>
  <c r="AN1786" i="1"/>
  <c r="AN1787" i="1"/>
  <c r="AN1788" i="1"/>
  <c r="AN1789" i="1"/>
  <c r="AN1790" i="1"/>
  <c r="AN1791" i="1"/>
  <c r="AN1792" i="1"/>
  <c r="AN1793" i="1"/>
  <c r="AN1794" i="1"/>
  <c r="AN1795" i="1"/>
  <c r="AN1797" i="1"/>
  <c r="AN1798" i="1"/>
  <c r="AN1799" i="1"/>
  <c r="AN1800" i="1"/>
  <c r="AN1801" i="1"/>
  <c r="AN1802" i="1"/>
  <c r="AN1803" i="1"/>
  <c r="AN1804" i="1"/>
  <c r="AN1805" i="1"/>
  <c r="AN1806" i="1"/>
  <c r="AN1807" i="1"/>
  <c r="AN1812" i="1"/>
  <c r="AN1813" i="1"/>
  <c r="AN1814" i="1"/>
  <c r="AN1815" i="1"/>
  <c r="AN1816" i="1"/>
  <c r="AN1817" i="1"/>
  <c r="AN1819" i="1"/>
  <c r="AN1820" i="1"/>
  <c r="AN1821" i="1"/>
  <c r="AN1822" i="1"/>
  <c r="AN1823" i="1"/>
  <c r="AN1824" i="1"/>
  <c r="AN1825" i="1"/>
  <c r="AN1826" i="1"/>
  <c r="AN1827" i="1"/>
  <c r="AN1828" i="1"/>
  <c r="AN1829"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3" i="1"/>
  <c r="AN1864" i="1"/>
  <c r="AN1865" i="1"/>
  <c r="AN1866" i="1"/>
  <c r="AN1867" i="1"/>
  <c r="AN1868" i="1"/>
  <c r="AN1869" i="1"/>
  <c r="AN1870" i="1"/>
  <c r="AN1871" i="1"/>
  <c r="AN1873" i="1"/>
  <c r="AN1874" i="1"/>
  <c r="AN1875" i="1"/>
  <c r="AN1876" i="1"/>
  <c r="AN1877" i="1"/>
  <c r="AN1878" i="1"/>
  <c r="AN1879" i="1"/>
  <c r="AN1880" i="1"/>
  <c r="AN1881" i="1"/>
  <c r="AN1882" i="1"/>
  <c r="AN1883" i="1"/>
  <c r="AN1884" i="1"/>
  <c r="AN1886" i="1"/>
  <c r="AN1887" i="1"/>
  <c r="AN1888" i="1"/>
  <c r="AN1889" i="1"/>
  <c r="AN1890" i="1"/>
  <c r="AN1891" i="1"/>
  <c r="AN1892" i="1"/>
  <c r="AN1893" i="1"/>
  <c r="AN1894" i="1"/>
  <c r="AN1895" i="1"/>
  <c r="AN1896" i="1"/>
  <c r="AN1897" i="1"/>
  <c r="AN1898" i="1"/>
  <c r="AN1902" i="1"/>
  <c r="AN1903" i="1"/>
  <c r="AN1904" i="1"/>
  <c r="AN1905" i="1"/>
  <c r="AN1908" i="1"/>
  <c r="AN1909" i="1"/>
  <c r="AN1910" i="1"/>
  <c r="AN1912" i="1"/>
  <c r="AN1913" i="1"/>
  <c r="AN1914" i="1"/>
  <c r="AN1915" i="1"/>
  <c r="AN1916" i="1"/>
  <c r="AN1917" i="1"/>
  <c r="AN1918" i="1"/>
  <c r="AN1919" i="1"/>
  <c r="AN1921" i="1"/>
  <c r="AN1922"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50" i="1"/>
  <c r="AN1951" i="1"/>
  <c r="AN1952" i="1"/>
  <c r="AN1953" i="1"/>
  <c r="AN1954" i="1"/>
  <c r="AN1955" i="1"/>
  <c r="AN1956" i="1"/>
  <c r="AN1957" i="1"/>
  <c r="AN1958" i="1"/>
  <c r="AN1959" i="1"/>
  <c r="AN1960" i="1"/>
  <c r="AN1961" i="1"/>
  <c r="AN1962" i="1"/>
  <c r="AN1963" i="1"/>
  <c r="AN1964" i="1"/>
  <c r="AN1965" i="1"/>
  <c r="AN1966" i="1"/>
  <c r="AN1967" i="1"/>
  <c r="Q856" i="1"/>
  <c r="T856" i="1"/>
  <c r="O857" i="1"/>
  <c r="P857" i="1"/>
  <c r="Q857" i="1"/>
  <c r="R857" i="1"/>
  <c r="S857" i="1"/>
  <c r="T857" i="1"/>
  <c r="O858" i="1"/>
  <c r="P858" i="1"/>
  <c r="Q858" i="1"/>
  <c r="R858" i="1"/>
  <c r="S858" i="1"/>
  <c r="T858" i="1"/>
  <c r="O859" i="1"/>
  <c r="P859" i="1"/>
  <c r="Q859" i="1"/>
  <c r="R859" i="1"/>
  <c r="S859" i="1"/>
  <c r="T859" i="1"/>
  <c r="Q860" i="1"/>
  <c r="R860" i="1"/>
  <c r="S860" i="1"/>
  <c r="T860" i="1"/>
  <c r="R861" i="1"/>
  <c r="S861" i="1"/>
  <c r="T861" i="1"/>
  <c r="R862" i="1"/>
  <c r="S862" i="1"/>
  <c r="T862" i="1"/>
  <c r="R863" i="1"/>
  <c r="S863" i="1"/>
  <c r="T863" i="1"/>
  <c r="R864" i="1"/>
  <c r="S864" i="1"/>
  <c r="T864" i="1"/>
  <c r="O865" i="1"/>
  <c r="P865" i="1"/>
  <c r="Q865" i="1"/>
  <c r="R865" i="1"/>
  <c r="S865" i="1"/>
  <c r="T865" i="1"/>
  <c r="O866" i="1"/>
  <c r="P866" i="1"/>
  <c r="Q866" i="1"/>
  <c r="R866" i="1"/>
  <c r="S866" i="1"/>
  <c r="T866" i="1"/>
  <c r="O867" i="1"/>
  <c r="P867" i="1"/>
  <c r="Q867" i="1"/>
  <c r="R867" i="1"/>
  <c r="S867" i="1"/>
  <c r="T867" i="1"/>
  <c r="O868" i="1"/>
  <c r="P868" i="1"/>
  <c r="Q868" i="1"/>
  <c r="O869" i="1"/>
  <c r="P869" i="1"/>
  <c r="R868" i="1" s="1"/>
  <c r="S868" i="1" s="1"/>
  <c r="Q869" i="1"/>
  <c r="T868" i="1" s="1"/>
  <c r="R869" i="1"/>
  <c r="S869" i="1"/>
  <c r="T869" i="1"/>
  <c r="O870" i="1"/>
  <c r="P870" i="1"/>
  <c r="Q870" i="1"/>
  <c r="R870" i="1"/>
  <c r="S870" i="1"/>
  <c r="T870" i="1"/>
  <c r="O871" i="1"/>
  <c r="P871" i="1"/>
  <c r="Q871" i="1"/>
  <c r="R871" i="1"/>
  <c r="S871" i="1"/>
  <c r="T871" i="1"/>
  <c r="O872" i="1"/>
  <c r="P872" i="1"/>
  <c r="Q872" i="1"/>
  <c r="R872" i="1"/>
  <c r="S872" i="1"/>
  <c r="T872" i="1"/>
  <c r="O873" i="1"/>
  <c r="P873" i="1"/>
  <c r="Q873" i="1"/>
  <c r="R873" i="1"/>
  <c r="S873" i="1"/>
  <c r="T873" i="1"/>
  <c r="O874" i="1"/>
  <c r="P874" i="1"/>
  <c r="Q874" i="1"/>
  <c r="R874" i="1"/>
  <c r="S874" i="1"/>
  <c r="T874" i="1"/>
  <c r="O875" i="1"/>
  <c r="P875" i="1"/>
  <c r="Q875" i="1"/>
  <c r="R875" i="1"/>
  <c r="S875" i="1"/>
  <c r="T875" i="1"/>
  <c r="O876" i="1"/>
  <c r="P876" i="1"/>
  <c r="Q876" i="1"/>
  <c r="R876" i="1"/>
  <c r="S876" i="1"/>
  <c r="T876" i="1"/>
  <c r="O877" i="1"/>
  <c r="P877" i="1"/>
  <c r="Q877" i="1"/>
  <c r="R877" i="1"/>
  <c r="S877" i="1"/>
  <c r="T877" i="1"/>
  <c r="O878" i="1"/>
  <c r="P878" i="1"/>
  <c r="Q878" i="1"/>
  <c r="R878" i="1"/>
  <c r="S878" i="1"/>
  <c r="T878" i="1"/>
  <c r="O879" i="1"/>
  <c r="P879" i="1"/>
  <c r="Q879" i="1"/>
  <c r="R879" i="1"/>
  <c r="S879" i="1"/>
  <c r="T879" i="1"/>
  <c r="O880" i="1"/>
  <c r="P880" i="1"/>
  <c r="Q880" i="1"/>
  <c r="R880" i="1"/>
  <c r="S880" i="1"/>
  <c r="T880" i="1"/>
  <c r="O881" i="1"/>
  <c r="P881" i="1"/>
  <c r="Q881" i="1"/>
  <c r="R881" i="1"/>
  <c r="S881" i="1"/>
  <c r="T881" i="1"/>
  <c r="O882" i="1"/>
  <c r="P882" i="1"/>
  <c r="Q882" i="1"/>
  <c r="R882" i="1"/>
  <c r="S882" i="1"/>
  <c r="T882" i="1"/>
  <c r="O883" i="1"/>
  <c r="P883" i="1"/>
  <c r="Q883" i="1"/>
  <c r="R883" i="1"/>
  <c r="S883" i="1"/>
  <c r="T883" i="1"/>
  <c r="O884" i="1"/>
  <c r="P884" i="1"/>
  <c r="Q884" i="1"/>
  <c r="R884" i="1"/>
  <c r="S884" i="1"/>
  <c r="T884" i="1"/>
  <c r="O885" i="1"/>
  <c r="P885" i="1"/>
  <c r="Q885" i="1"/>
  <c r="R885" i="1"/>
  <c r="S885" i="1"/>
  <c r="O886" i="1"/>
  <c r="P886" i="1"/>
  <c r="Q886" i="1"/>
  <c r="R886" i="1"/>
  <c r="S886" i="1"/>
  <c r="T886" i="1"/>
  <c r="O887" i="1"/>
  <c r="P887" i="1"/>
  <c r="Q887" i="1"/>
  <c r="R887" i="1"/>
  <c r="S887" i="1"/>
  <c r="T887" i="1"/>
  <c r="O888" i="1"/>
  <c r="P888" i="1"/>
  <c r="Q888" i="1"/>
  <c r="R888" i="1"/>
  <c r="S888" i="1"/>
  <c r="T888" i="1"/>
  <c r="O889" i="1"/>
  <c r="P889" i="1"/>
  <c r="Q889" i="1"/>
  <c r="R889" i="1"/>
  <c r="S889" i="1"/>
  <c r="T889" i="1"/>
  <c r="O890" i="1"/>
  <c r="P890" i="1"/>
  <c r="Q890" i="1"/>
  <c r="R890" i="1"/>
  <c r="S890" i="1"/>
  <c r="T890" i="1"/>
  <c r="O891" i="1"/>
  <c r="P891" i="1"/>
  <c r="Q891" i="1"/>
  <c r="O892" i="1"/>
  <c r="P892" i="1"/>
  <c r="Q892" i="1"/>
  <c r="R892" i="1"/>
  <c r="S892" i="1"/>
  <c r="T892" i="1"/>
  <c r="O893" i="1"/>
  <c r="P893" i="1"/>
  <c r="Q893" i="1"/>
  <c r="O894" i="1"/>
  <c r="P894" i="1"/>
  <c r="R893" i="1" s="1"/>
  <c r="S893" i="1" s="1"/>
  <c r="Q894" i="1"/>
  <c r="T893" i="1" s="1"/>
  <c r="R894" i="1"/>
  <c r="S894" i="1"/>
  <c r="T894" i="1"/>
  <c r="O895" i="1"/>
  <c r="P895" i="1"/>
  <c r="Q895" i="1"/>
  <c r="O896" i="1"/>
  <c r="P896" i="1"/>
  <c r="Q896" i="1"/>
  <c r="R896" i="1"/>
  <c r="S896" i="1"/>
  <c r="T896" i="1"/>
  <c r="O897" i="1"/>
  <c r="P897" i="1"/>
  <c r="Q897" i="1"/>
  <c r="R897" i="1"/>
  <c r="S897" i="1"/>
  <c r="T897" i="1"/>
  <c r="O899" i="1"/>
  <c r="P899" i="1"/>
  <c r="Q899" i="1"/>
  <c r="R899" i="1"/>
  <c r="S899" i="1"/>
  <c r="T899" i="1"/>
  <c r="O900" i="1"/>
  <c r="P900" i="1"/>
  <c r="Q900" i="1"/>
  <c r="R900" i="1"/>
  <c r="S900" i="1"/>
  <c r="T900" i="1"/>
  <c r="R901" i="1"/>
  <c r="S901" i="1"/>
  <c r="T901" i="1"/>
  <c r="O902" i="1"/>
  <c r="P902" i="1"/>
  <c r="Q902" i="1"/>
  <c r="R902" i="1"/>
  <c r="S902" i="1"/>
  <c r="T902" i="1"/>
  <c r="O903" i="1"/>
  <c r="P903" i="1"/>
  <c r="Q903" i="1"/>
  <c r="R903" i="1"/>
  <c r="S903" i="1"/>
  <c r="T903" i="1"/>
  <c r="O904" i="1"/>
  <c r="P904" i="1"/>
  <c r="Q904" i="1"/>
  <c r="R904" i="1"/>
  <c r="S904" i="1"/>
  <c r="T904" i="1"/>
  <c r="O905" i="1"/>
  <c r="P905" i="1"/>
  <c r="Q905" i="1"/>
  <c r="O906" i="1"/>
  <c r="P906" i="1"/>
  <c r="Q906" i="1"/>
  <c r="R906" i="1"/>
  <c r="S906" i="1"/>
  <c r="T906" i="1"/>
  <c r="O907" i="1"/>
  <c r="P907" i="1"/>
  <c r="Q907" i="1"/>
  <c r="O908" i="1"/>
  <c r="P908" i="1"/>
  <c r="Q908" i="1"/>
  <c r="R908" i="1"/>
  <c r="S908" i="1"/>
  <c r="O909" i="1"/>
  <c r="P909" i="1"/>
  <c r="Q909" i="1"/>
  <c r="R909" i="1"/>
  <c r="S909" i="1"/>
  <c r="T909" i="1"/>
  <c r="O910" i="1"/>
  <c r="P910" i="1"/>
  <c r="Q910" i="1"/>
  <c r="R910" i="1"/>
  <c r="S910" i="1"/>
  <c r="T910" i="1"/>
  <c r="O911" i="1"/>
  <c r="P911" i="1"/>
  <c r="Q911" i="1"/>
  <c r="R911" i="1"/>
  <c r="S911" i="1"/>
  <c r="T911" i="1"/>
  <c r="O912" i="1"/>
  <c r="P912" i="1"/>
  <c r="Q912" i="1"/>
  <c r="R912" i="1"/>
  <c r="S912" i="1"/>
  <c r="T912" i="1"/>
  <c r="O913" i="1"/>
  <c r="P913" i="1"/>
  <c r="Q913" i="1"/>
  <c r="R913" i="1"/>
  <c r="S913" i="1"/>
  <c r="T913" i="1"/>
  <c r="O914" i="1"/>
  <c r="P914" i="1"/>
  <c r="Q914" i="1"/>
  <c r="R914" i="1"/>
  <c r="S914" i="1"/>
  <c r="T914" i="1"/>
  <c r="O915" i="1"/>
  <c r="P915" i="1"/>
  <c r="Q915" i="1"/>
  <c r="R915" i="1"/>
  <c r="S915" i="1"/>
  <c r="T915" i="1"/>
  <c r="R916" i="1"/>
  <c r="S916" i="1"/>
  <c r="T916" i="1"/>
  <c r="O917" i="1"/>
  <c r="P917" i="1"/>
  <c r="Q917" i="1"/>
  <c r="R917" i="1"/>
  <c r="S917" i="1"/>
  <c r="T917" i="1"/>
  <c r="O918" i="1"/>
  <c r="P918" i="1"/>
  <c r="Q918" i="1"/>
  <c r="R918" i="1"/>
  <c r="S918" i="1"/>
  <c r="T918" i="1"/>
  <c r="O919" i="1"/>
  <c r="P919" i="1"/>
  <c r="Q919" i="1"/>
  <c r="R919" i="1"/>
  <c r="S919" i="1"/>
  <c r="T919" i="1"/>
  <c r="O920" i="1"/>
  <c r="P920" i="1"/>
  <c r="Q920" i="1"/>
  <c r="R920" i="1"/>
  <c r="S920" i="1"/>
  <c r="T920" i="1"/>
  <c r="O921" i="1"/>
  <c r="P921" i="1"/>
  <c r="Q921" i="1"/>
  <c r="R921" i="1"/>
  <c r="S921" i="1"/>
  <c r="T921" i="1"/>
  <c r="O922" i="1"/>
  <c r="P922" i="1"/>
  <c r="Q922" i="1"/>
  <c r="R922" i="1"/>
  <c r="S922" i="1"/>
  <c r="T922" i="1"/>
  <c r="O923" i="1"/>
  <c r="P923" i="1"/>
  <c r="Q923" i="1"/>
  <c r="R923" i="1"/>
  <c r="S923" i="1"/>
  <c r="T923" i="1"/>
  <c r="O924" i="1"/>
  <c r="P924" i="1"/>
  <c r="Q924" i="1"/>
  <c r="R924" i="1"/>
  <c r="S924" i="1"/>
  <c r="T924" i="1"/>
  <c r="O925" i="1"/>
  <c r="P925" i="1"/>
  <c r="Q925" i="1"/>
  <c r="R925" i="1"/>
  <c r="S925" i="1"/>
  <c r="T925" i="1"/>
  <c r="O926" i="1"/>
  <c r="P926" i="1"/>
  <c r="Q926" i="1"/>
  <c r="R926" i="1"/>
  <c r="S926" i="1"/>
  <c r="T926" i="1"/>
  <c r="O927" i="1"/>
  <c r="P927" i="1"/>
  <c r="Q927" i="1"/>
  <c r="R927" i="1"/>
  <c r="S927" i="1"/>
  <c r="T927" i="1"/>
  <c r="O928" i="1"/>
  <c r="P928" i="1"/>
  <c r="Q928" i="1"/>
  <c r="R928" i="1"/>
  <c r="S928" i="1"/>
  <c r="T928" i="1"/>
  <c r="O929" i="1"/>
  <c r="P929" i="1"/>
  <c r="Q929" i="1"/>
  <c r="R929" i="1"/>
  <c r="S929" i="1"/>
  <c r="T929" i="1"/>
  <c r="O930" i="1"/>
  <c r="P930" i="1"/>
  <c r="Q930" i="1"/>
  <c r="R930" i="1"/>
  <c r="S930" i="1"/>
  <c r="T930" i="1"/>
  <c r="O931" i="1"/>
  <c r="P931" i="1"/>
  <c r="Q931" i="1"/>
  <c r="R931" i="1"/>
  <c r="S931" i="1"/>
  <c r="T931" i="1"/>
  <c r="O932" i="1"/>
  <c r="P932" i="1"/>
  <c r="Q932" i="1"/>
  <c r="R932" i="1"/>
  <c r="S932" i="1"/>
  <c r="T932" i="1"/>
  <c r="O933" i="1"/>
  <c r="P933" i="1"/>
  <c r="Q933" i="1"/>
  <c r="R933" i="1"/>
  <c r="S933" i="1"/>
  <c r="T933" i="1"/>
  <c r="O934" i="1"/>
  <c r="P934" i="1"/>
  <c r="Q934" i="1"/>
  <c r="R934" i="1"/>
  <c r="S934" i="1"/>
  <c r="T934" i="1"/>
  <c r="O935" i="1"/>
  <c r="P935" i="1"/>
  <c r="Q935" i="1"/>
  <c r="R935" i="1"/>
  <c r="S935" i="1"/>
  <c r="T935" i="1"/>
  <c r="O936" i="1"/>
  <c r="P936" i="1"/>
  <c r="Q936" i="1"/>
  <c r="R936" i="1"/>
  <c r="S936" i="1"/>
  <c r="T936" i="1"/>
  <c r="O937" i="1"/>
  <c r="P937" i="1"/>
  <c r="Q937" i="1"/>
  <c r="R937" i="1"/>
  <c r="S937" i="1"/>
  <c r="T937" i="1"/>
  <c r="O938" i="1"/>
  <c r="P938" i="1"/>
  <c r="Q938" i="1"/>
  <c r="R938" i="1"/>
  <c r="S938" i="1"/>
  <c r="T938" i="1"/>
  <c r="O939" i="1"/>
  <c r="P939" i="1"/>
  <c r="Q939" i="1"/>
  <c r="R939" i="1"/>
  <c r="S939" i="1"/>
  <c r="T939" i="1"/>
  <c r="O940" i="1"/>
  <c r="P940" i="1"/>
  <c r="Q940" i="1"/>
  <c r="R940" i="1"/>
  <c r="S940" i="1"/>
  <c r="T940" i="1"/>
  <c r="O941" i="1"/>
  <c r="P941" i="1"/>
  <c r="Q941" i="1"/>
  <c r="R941" i="1"/>
  <c r="S941" i="1"/>
  <c r="T941" i="1"/>
  <c r="O942" i="1"/>
  <c r="P942" i="1"/>
  <c r="Q942" i="1"/>
  <c r="R942" i="1"/>
  <c r="S942" i="1"/>
  <c r="T942" i="1"/>
  <c r="O943" i="1"/>
  <c r="P943" i="1"/>
  <c r="Q943" i="1"/>
  <c r="R943" i="1"/>
  <c r="S943" i="1"/>
  <c r="T943" i="1"/>
  <c r="O944" i="1"/>
  <c r="P944" i="1"/>
  <c r="Q944" i="1"/>
  <c r="R944" i="1"/>
  <c r="S944" i="1"/>
  <c r="T944" i="1"/>
  <c r="R945" i="1"/>
  <c r="S945" i="1"/>
  <c r="T945" i="1"/>
  <c r="O946" i="1"/>
  <c r="P946" i="1"/>
  <c r="Q946" i="1"/>
  <c r="R946" i="1"/>
  <c r="S946" i="1"/>
  <c r="T946" i="1"/>
  <c r="O947" i="1"/>
  <c r="P947" i="1"/>
  <c r="Q947" i="1"/>
  <c r="R947" i="1"/>
  <c r="S947" i="1"/>
  <c r="T947" i="1"/>
  <c r="O948" i="1"/>
  <c r="P948" i="1"/>
  <c r="Q948" i="1"/>
  <c r="R948" i="1"/>
  <c r="S948" i="1"/>
  <c r="T948" i="1"/>
  <c r="O727" i="1"/>
  <c r="P727" i="1"/>
  <c r="Q727" i="1"/>
  <c r="R727" i="1"/>
  <c r="S727" i="1"/>
  <c r="T727" i="1"/>
  <c r="O728" i="1"/>
  <c r="P728" i="1"/>
  <c r="Q728" i="1"/>
  <c r="R728" i="1"/>
  <c r="S728" i="1"/>
  <c r="T728" i="1"/>
  <c r="O729" i="1"/>
  <c r="P729" i="1"/>
  <c r="Q729" i="1"/>
  <c r="R729" i="1"/>
  <c r="S729" i="1"/>
  <c r="T729" i="1"/>
  <c r="O730" i="1"/>
  <c r="P730" i="1"/>
  <c r="Q730" i="1"/>
  <c r="T730" i="1"/>
  <c r="O731" i="1"/>
  <c r="P731" i="1"/>
  <c r="Q731" i="1"/>
  <c r="R731" i="1"/>
  <c r="S731" i="1"/>
  <c r="T731" i="1"/>
  <c r="O732" i="1"/>
  <c r="P732" i="1"/>
  <c r="Q732" i="1"/>
  <c r="R732" i="1"/>
  <c r="S732" i="1"/>
  <c r="T732" i="1"/>
  <c r="O733" i="1"/>
  <c r="P733" i="1"/>
  <c r="Q733" i="1"/>
  <c r="T733" i="1"/>
  <c r="O734" i="1"/>
  <c r="P734" i="1"/>
  <c r="Q734" i="1"/>
  <c r="R734" i="1"/>
  <c r="S734" i="1"/>
  <c r="T734" i="1"/>
  <c r="O735" i="1"/>
  <c r="P735" i="1"/>
  <c r="Q735" i="1"/>
  <c r="R735" i="1"/>
  <c r="S735" i="1"/>
  <c r="T735" i="1"/>
  <c r="O736" i="1"/>
  <c r="P736" i="1"/>
  <c r="Q736" i="1"/>
  <c r="R736" i="1"/>
  <c r="S736" i="1"/>
  <c r="T736" i="1"/>
  <c r="O737" i="1"/>
  <c r="P737" i="1"/>
  <c r="Q737" i="1"/>
  <c r="R737" i="1"/>
  <c r="S737" i="1"/>
  <c r="T737" i="1"/>
  <c r="O738" i="1"/>
  <c r="P738" i="1"/>
  <c r="Q738" i="1"/>
  <c r="R738" i="1"/>
  <c r="S738" i="1"/>
  <c r="T738" i="1"/>
  <c r="O739" i="1"/>
  <c r="Q739" i="1"/>
  <c r="T739" i="1"/>
  <c r="O740" i="1"/>
  <c r="P740" i="1"/>
  <c r="Q740" i="1"/>
  <c r="R740" i="1"/>
  <c r="S740" i="1"/>
  <c r="T740" i="1"/>
  <c r="O741" i="1"/>
  <c r="P741" i="1"/>
  <c r="Q741" i="1"/>
  <c r="R741" i="1"/>
  <c r="S741" i="1"/>
  <c r="T741" i="1"/>
  <c r="O742" i="1"/>
  <c r="P742" i="1"/>
  <c r="Q742" i="1"/>
  <c r="R742" i="1"/>
  <c r="S742" i="1"/>
  <c r="T742" i="1"/>
  <c r="O743" i="1"/>
  <c r="P743" i="1"/>
  <c r="Q743" i="1"/>
  <c r="R743" i="1"/>
  <c r="S743" i="1"/>
  <c r="T743" i="1"/>
  <c r="O744" i="1"/>
  <c r="P744" i="1"/>
  <c r="Q744" i="1"/>
  <c r="R744" i="1"/>
  <c r="S744" i="1"/>
  <c r="T744" i="1"/>
  <c r="O745" i="1"/>
  <c r="P745" i="1"/>
  <c r="Q745" i="1"/>
  <c r="R745" i="1"/>
  <c r="S745" i="1"/>
  <c r="T745" i="1"/>
  <c r="O746" i="1"/>
  <c r="P746" i="1"/>
  <c r="Q746" i="1"/>
  <c r="R746" i="1"/>
  <c r="S746" i="1"/>
  <c r="T746" i="1"/>
  <c r="O747" i="1"/>
  <c r="P747" i="1"/>
  <c r="Q747" i="1"/>
  <c r="R747" i="1"/>
  <c r="S747" i="1"/>
  <c r="T747" i="1"/>
  <c r="O748" i="1"/>
  <c r="P748" i="1"/>
  <c r="Q748" i="1"/>
  <c r="R748" i="1"/>
  <c r="S748" i="1"/>
  <c r="T748" i="1"/>
  <c r="O749" i="1"/>
  <c r="P749" i="1"/>
  <c r="Q749" i="1"/>
  <c r="R749" i="1"/>
  <c r="S749" i="1"/>
  <c r="T749" i="1"/>
  <c r="O750" i="1"/>
  <c r="P750" i="1"/>
  <c r="Q750" i="1"/>
  <c r="R750" i="1"/>
  <c r="S750" i="1"/>
  <c r="T750" i="1"/>
  <c r="O751" i="1"/>
  <c r="P751" i="1"/>
  <c r="Q751" i="1"/>
  <c r="T751" i="1"/>
  <c r="O752" i="1"/>
  <c r="P752" i="1"/>
  <c r="Q752" i="1"/>
  <c r="R752" i="1"/>
  <c r="S752" i="1"/>
  <c r="T752" i="1"/>
  <c r="O753" i="1"/>
  <c r="P753" i="1"/>
  <c r="Q753" i="1"/>
  <c r="R753" i="1"/>
  <c r="S753" i="1"/>
  <c r="T753" i="1"/>
  <c r="O754" i="1"/>
  <c r="P754" i="1"/>
  <c r="Q754" i="1"/>
  <c r="R754" i="1"/>
  <c r="S754" i="1"/>
  <c r="T754" i="1"/>
  <c r="O755" i="1"/>
  <c r="P755" i="1"/>
  <c r="Q755" i="1"/>
  <c r="R755" i="1"/>
  <c r="S755" i="1"/>
  <c r="T755" i="1"/>
  <c r="O756" i="1"/>
  <c r="P756" i="1"/>
  <c r="Q756" i="1"/>
  <c r="R756" i="1"/>
  <c r="S756" i="1"/>
  <c r="T756" i="1"/>
  <c r="O757" i="1"/>
  <c r="P757" i="1"/>
  <c r="Q757" i="1"/>
  <c r="R757" i="1"/>
  <c r="S757" i="1"/>
  <c r="T757" i="1"/>
  <c r="O758" i="1"/>
  <c r="P758" i="1"/>
  <c r="Q758" i="1"/>
  <c r="R758" i="1"/>
  <c r="S758" i="1"/>
  <c r="T758" i="1"/>
  <c r="O759" i="1"/>
  <c r="P759" i="1"/>
  <c r="Q759" i="1"/>
  <c r="R759" i="1"/>
  <c r="S759" i="1"/>
  <c r="T759" i="1"/>
  <c r="O760" i="1"/>
  <c r="P760" i="1"/>
  <c r="Q760" i="1"/>
  <c r="R760" i="1"/>
  <c r="S760" i="1"/>
  <c r="T760" i="1"/>
  <c r="O761" i="1"/>
  <c r="P761" i="1"/>
  <c r="Q761" i="1"/>
  <c r="R761" i="1"/>
  <c r="S761" i="1"/>
  <c r="T761" i="1"/>
  <c r="O762" i="1"/>
  <c r="P762" i="1"/>
  <c r="Q762" i="1"/>
  <c r="R762" i="1"/>
  <c r="S762" i="1"/>
  <c r="T762" i="1"/>
  <c r="O763" i="1"/>
  <c r="P763" i="1"/>
  <c r="Q763" i="1"/>
  <c r="R763" i="1"/>
  <c r="S763" i="1"/>
  <c r="T763" i="1"/>
  <c r="O764" i="1"/>
  <c r="P764" i="1"/>
  <c r="Q764" i="1"/>
  <c r="R764" i="1"/>
  <c r="S764" i="1"/>
  <c r="T764" i="1"/>
  <c r="O765" i="1"/>
  <c r="P765" i="1"/>
  <c r="Q765" i="1"/>
  <c r="R765" i="1"/>
  <c r="S765" i="1"/>
  <c r="T765" i="1"/>
  <c r="O766" i="1"/>
  <c r="P766" i="1"/>
  <c r="Q766" i="1"/>
  <c r="R766" i="1"/>
  <c r="S766" i="1"/>
  <c r="T766" i="1"/>
  <c r="O767" i="1"/>
  <c r="P767" i="1"/>
  <c r="Q767" i="1"/>
  <c r="R767" i="1"/>
  <c r="S767" i="1"/>
  <c r="T767" i="1"/>
  <c r="O768" i="1"/>
  <c r="P768" i="1"/>
  <c r="Q768" i="1"/>
  <c r="R768" i="1"/>
  <c r="S768" i="1"/>
  <c r="T768" i="1"/>
  <c r="O769" i="1"/>
  <c r="P769" i="1"/>
  <c r="Q769" i="1"/>
  <c r="R769" i="1"/>
  <c r="S769" i="1"/>
  <c r="T769" i="1"/>
  <c r="O770" i="1"/>
  <c r="P770" i="1"/>
  <c r="Q770" i="1"/>
  <c r="R770" i="1"/>
  <c r="S770" i="1"/>
  <c r="T770" i="1"/>
  <c r="O771" i="1"/>
  <c r="P771" i="1"/>
  <c r="Q771" i="1"/>
  <c r="R771" i="1"/>
  <c r="S771" i="1"/>
  <c r="T771" i="1"/>
  <c r="O772" i="1"/>
  <c r="P772" i="1"/>
  <c r="Q772" i="1"/>
  <c r="R772" i="1"/>
  <c r="S772" i="1"/>
  <c r="T772" i="1"/>
  <c r="O774" i="1"/>
  <c r="P774" i="1"/>
  <c r="Q774" i="1"/>
  <c r="R774" i="1"/>
  <c r="S774" i="1"/>
  <c r="T774" i="1"/>
  <c r="O775" i="1"/>
  <c r="P775" i="1"/>
  <c r="Q775" i="1"/>
  <c r="R775" i="1"/>
  <c r="S775" i="1"/>
  <c r="T775" i="1"/>
  <c r="O776" i="1"/>
  <c r="P776" i="1"/>
  <c r="Q776" i="1"/>
  <c r="R776" i="1"/>
  <c r="S776" i="1"/>
  <c r="T776" i="1"/>
  <c r="O777" i="1"/>
  <c r="P777" i="1"/>
  <c r="Q777" i="1"/>
  <c r="R777" i="1"/>
  <c r="S777" i="1"/>
  <c r="T777" i="1"/>
  <c r="O778" i="1"/>
  <c r="P778" i="1"/>
  <c r="Q778" i="1"/>
  <c r="R778" i="1"/>
  <c r="S778" i="1"/>
  <c r="T778" i="1"/>
  <c r="O779" i="1"/>
  <c r="P779" i="1"/>
  <c r="Q779" i="1"/>
  <c r="R779" i="1"/>
  <c r="S779" i="1"/>
  <c r="T779" i="1"/>
  <c r="O780" i="1"/>
  <c r="P780" i="1"/>
  <c r="Q780" i="1"/>
  <c r="R780" i="1"/>
  <c r="S780" i="1"/>
  <c r="T780" i="1"/>
  <c r="O781" i="1"/>
  <c r="P781" i="1"/>
  <c r="Q781" i="1"/>
  <c r="R781" i="1"/>
  <c r="S781" i="1"/>
  <c r="T781" i="1"/>
  <c r="O782" i="1"/>
  <c r="P782" i="1"/>
  <c r="Q782" i="1"/>
  <c r="R782" i="1"/>
  <c r="S782" i="1"/>
  <c r="T782" i="1"/>
  <c r="O783" i="1"/>
  <c r="P783" i="1"/>
  <c r="Q783" i="1"/>
  <c r="R783" i="1"/>
  <c r="S783" i="1"/>
  <c r="T783" i="1"/>
  <c r="O784" i="1"/>
  <c r="P784" i="1"/>
  <c r="Q784" i="1"/>
  <c r="T784" i="1"/>
  <c r="O785" i="1"/>
  <c r="P785" i="1"/>
  <c r="Q785" i="1"/>
  <c r="R785" i="1"/>
  <c r="S785" i="1"/>
  <c r="T785" i="1"/>
  <c r="O786" i="1"/>
  <c r="P786" i="1"/>
  <c r="Q786" i="1"/>
  <c r="R786" i="1"/>
  <c r="S786" i="1"/>
  <c r="T786" i="1"/>
  <c r="O787" i="1"/>
  <c r="P787" i="1"/>
  <c r="Q787" i="1"/>
  <c r="R787" i="1"/>
  <c r="S787" i="1"/>
  <c r="T787" i="1"/>
  <c r="O788" i="1"/>
  <c r="P788" i="1"/>
  <c r="Q788" i="1"/>
  <c r="R788" i="1"/>
  <c r="S788" i="1"/>
  <c r="T788" i="1"/>
  <c r="O789" i="1"/>
  <c r="P789" i="1"/>
  <c r="Q789" i="1"/>
  <c r="R789" i="1"/>
  <c r="S789" i="1"/>
  <c r="T789" i="1"/>
  <c r="O790" i="1"/>
  <c r="P790" i="1"/>
  <c r="Q790" i="1"/>
  <c r="R790" i="1"/>
  <c r="S790" i="1"/>
  <c r="T790" i="1"/>
  <c r="O791" i="1"/>
  <c r="P791" i="1"/>
  <c r="Q791" i="1"/>
  <c r="R791" i="1"/>
  <c r="S791" i="1"/>
  <c r="T791" i="1"/>
  <c r="O792" i="1"/>
  <c r="P792" i="1"/>
  <c r="Q792" i="1"/>
  <c r="R792" i="1"/>
  <c r="S792" i="1"/>
  <c r="T792" i="1"/>
  <c r="O793" i="1"/>
  <c r="P793" i="1"/>
  <c r="Q793" i="1"/>
  <c r="R793" i="1"/>
  <c r="S793" i="1"/>
  <c r="T793" i="1"/>
  <c r="O794" i="1"/>
  <c r="P794" i="1"/>
  <c r="Q794" i="1"/>
  <c r="R794" i="1"/>
  <c r="S794" i="1"/>
  <c r="T794" i="1"/>
  <c r="O795" i="1"/>
  <c r="P795" i="1"/>
  <c r="Q795" i="1"/>
  <c r="R795" i="1"/>
  <c r="S795" i="1"/>
  <c r="T795" i="1"/>
  <c r="O796" i="1"/>
  <c r="P796" i="1"/>
  <c r="Q796" i="1"/>
  <c r="R796" i="1"/>
  <c r="S796" i="1"/>
  <c r="T796" i="1"/>
  <c r="O797" i="1"/>
  <c r="P797" i="1"/>
  <c r="Q797" i="1"/>
  <c r="T797" i="1"/>
  <c r="O798" i="1"/>
  <c r="P798" i="1"/>
  <c r="Q798" i="1"/>
  <c r="R798" i="1"/>
  <c r="S798" i="1"/>
  <c r="T798" i="1"/>
  <c r="O799" i="1"/>
  <c r="P799" i="1"/>
  <c r="Q799" i="1"/>
  <c r="R799" i="1"/>
  <c r="S799" i="1"/>
  <c r="T799" i="1"/>
  <c r="O800" i="1"/>
  <c r="P800" i="1"/>
  <c r="Q800" i="1"/>
  <c r="R800" i="1"/>
  <c r="S800" i="1"/>
  <c r="T800" i="1"/>
  <c r="O801" i="1"/>
  <c r="P801" i="1"/>
  <c r="Q801" i="1"/>
  <c r="R801" i="1"/>
  <c r="S801" i="1"/>
  <c r="T801" i="1"/>
  <c r="O802" i="1"/>
  <c r="P802" i="1"/>
  <c r="Q802" i="1"/>
  <c r="R802" i="1"/>
  <c r="S802" i="1"/>
  <c r="T802" i="1"/>
  <c r="O803" i="1"/>
  <c r="P803" i="1"/>
  <c r="Q803" i="1"/>
  <c r="T803" i="1"/>
  <c r="O804" i="1"/>
  <c r="P804" i="1"/>
  <c r="Q804" i="1"/>
  <c r="R804" i="1"/>
  <c r="S804" i="1"/>
  <c r="T804" i="1"/>
  <c r="O805" i="1"/>
  <c r="P805" i="1"/>
  <c r="Q805" i="1"/>
  <c r="R805" i="1"/>
  <c r="S805" i="1"/>
  <c r="T805" i="1"/>
  <c r="O806" i="1"/>
  <c r="P806" i="1"/>
  <c r="Q806" i="1"/>
  <c r="R806" i="1"/>
  <c r="S806" i="1"/>
  <c r="T806" i="1"/>
  <c r="O807" i="1"/>
  <c r="P807" i="1"/>
  <c r="Q807" i="1"/>
  <c r="R807" i="1"/>
  <c r="S807" i="1"/>
  <c r="T807" i="1"/>
  <c r="O808" i="1"/>
  <c r="P808" i="1"/>
  <c r="Q808" i="1"/>
  <c r="T808" i="1"/>
  <c r="O809" i="1"/>
  <c r="P809" i="1"/>
  <c r="R808" i="1" s="1"/>
  <c r="S808" i="1" s="1"/>
  <c r="Q809" i="1"/>
  <c r="R809" i="1"/>
  <c r="S809" i="1"/>
  <c r="T809" i="1"/>
  <c r="O810" i="1"/>
  <c r="P810" i="1"/>
  <c r="Q810" i="1"/>
  <c r="R810" i="1"/>
  <c r="S810" i="1"/>
  <c r="T810" i="1"/>
  <c r="O811" i="1"/>
  <c r="P811" i="1"/>
  <c r="Q811" i="1"/>
  <c r="R811" i="1"/>
  <c r="S811" i="1"/>
  <c r="T811" i="1"/>
  <c r="O812" i="1"/>
  <c r="P812" i="1"/>
  <c r="Q812" i="1"/>
  <c r="R812" i="1"/>
  <c r="S812" i="1"/>
  <c r="T812" i="1"/>
  <c r="O813" i="1"/>
  <c r="P813" i="1"/>
  <c r="Q813" i="1"/>
  <c r="R813" i="1"/>
  <c r="S813" i="1"/>
  <c r="T813" i="1"/>
  <c r="O814" i="1"/>
  <c r="P814" i="1"/>
  <c r="Q814" i="1"/>
  <c r="R814" i="1"/>
  <c r="S814" i="1"/>
  <c r="T814" i="1"/>
  <c r="O815" i="1"/>
  <c r="P815" i="1"/>
  <c r="Q815" i="1"/>
  <c r="R815" i="1"/>
  <c r="S815" i="1"/>
  <c r="T815" i="1"/>
  <c r="O816" i="1"/>
  <c r="P816" i="1"/>
  <c r="Q816" i="1"/>
  <c r="R816" i="1"/>
  <c r="S816" i="1"/>
  <c r="T816" i="1"/>
  <c r="O817" i="1"/>
  <c r="P817" i="1"/>
  <c r="Q817" i="1"/>
  <c r="R817" i="1"/>
  <c r="S817" i="1"/>
  <c r="T817" i="1"/>
  <c r="O818" i="1"/>
  <c r="P818" i="1"/>
  <c r="Q818" i="1"/>
  <c r="R818" i="1"/>
  <c r="S818" i="1"/>
  <c r="T818" i="1"/>
  <c r="O819" i="1"/>
  <c r="P819" i="1"/>
  <c r="Q819" i="1"/>
  <c r="R819" i="1"/>
  <c r="S819" i="1"/>
  <c r="T819" i="1"/>
  <c r="O820" i="1"/>
  <c r="P820" i="1"/>
  <c r="Q820" i="1"/>
  <c r="R820" i="1"/>
  <c r="S820" i="1"/>
  <c r="T820" i="1"/>
  <c r="O821" i="1"/>
  <c r="P821" i="1"/>
  <c r="Q821" i="1"/>
  <c r="R821" i="1"/>
  <c r="S821" i="1"/>
  <c r="T821" i="1"/>
  <c r="O822" i="1"/>
  <c r="P822" i="1"/>
  <c r="Q822" i="1"/>
  <c r="R822" i="1"/>
  <c r="S822" i="1"/>
  <c r="T822" i="1"/>
  <c r="O823" i="1"/>
  <c r="P823" i="1"/>
  <c r="Q823" i="1"/>
  <c r="R823" i="1"/>
  <c r="S823" i="1"/>
  <c r="T823" i="1"/>
  <c r="O824" i="1"/>
  <c r="P824" i="1"/>
  <c r="Q824" i="1"/>
  <c r="R824" i="1"/>
  <c r="S824" i="1"/>
  <c r="T824" i="1"/>
  <c r="O825" i="1"/>
  <c r="P825" i="1"/>
  <c r="Q825" i="1"/>
  <c r="R825" i="1"/>
  <c r="S825" i="1"/>
  <c r="T825" i="1"/>
  <c r="O826" i="1"/>
  <c r="P826" i="1"/>
  <c r="Q826" i="1"/>
  <c r="O827" i="1"/>
  <c r="P827" i="1"/>
  <c r="Q827" i="1"/>
  <c r="R827" i="1"/>
  <c r="S827" i="1"/>
  <c r="T827" i="1"/>
  <c r="O828" i="1"/>
  <c r="P828" i="1"/>
  <c r="Q828" i="1"/>
  <c r="R828" i="1"/>
  <c r="S828" i="1"/>
  <c r="T828" i="1"/>
  <c r="O829" i="1"/>
  <c r="P829" i="1"/>
  <c r="Q829" i="1"/>
  <c r="R829" i="1"/>
  <c r="S829" i="1"/>
  <c r="T829" i="1"/>
  <c r="P830" i="1"/>
  <c r="Q830" i="1"/>
  <c r="R830" i="1"/>
  <c r="S830" i="1"/>
  <c r="T830" i="1"/>
  <c r="O831" i="1"/>
  <c r="P831" i="1"/>
  <c r="Q831" i="1"/>
  <c r="R831" i="1"/>
  <c r="S831" i="1"/>
  <c r="T831" i="1"/>
  <c r="O832" i="1"/>
  <c r="P832" i="1"/>
  <c r="Q832" i="1"/>
  <c r="R832" i="1"/>
  <c r="S832" i="1"/>
  <c r="T832" i="1"/>
  <c r="O833" i="1"/>
  <c r="P833" i="1"/>
  <c r="Q833" i="1"/>
  <c r="R833" i="1"/>
  <c r="S833" i="1"/>
  <c r="T833" i="1"/>
  <c r="O834" i="1"/>
  <c r="P834" i="1"/>
  <c r="Q834" i="1"/>
  <c r="T834" i="1"/>
  <c r="O835" i="1"/>
  <c r="P835" i="1"/>
  <c r="Q835" i="1"/>
  <c r="R835" i="1"/>
  <c r="S835" i="1"/>
  <c r="T835" i="1"/>
  <c r="O836" i="1"/>
  <c r="P836" i="1"/>
  <c r="Q836" i="1"/>
  <c r="R836" i="1"/>
  <c r="S836" i="1"/>
  <c r="T836" i="1"/>
  <c r="O837" i="1"/>
  <c r="P837" i="1"/>
  <c r="Q837" i="1"/>
  <c r="R837" i="1"/>
  <c r="S837" i="1"/>
  <c r="T837" i="1"/>
  <c r="O838" i="1"/>
  <c r="P838" i="1"/>
  <c r="Q838" i="1"/>
  <c r="R838" i="1"/>
  <c r="S838" i="1"/>
  <c r="T838" i="1"/>
  <c r="O839" i="1"/>
  <c r="P839" i="1"/>
  <c r="Q839" i="1"/>
  <c r="R839" i="1"/>
  <c r="S839" i="1"/>
  <c r="T839" i="1"/>
  <c r="O840" i="1"/>
  <c r="P840" i="1"/>
  <c r="Q840" i="1"/>
  <c r="R840" i="1"/>
  <c r="S840" i="1"/>
  <c r="T840" i="1"/>
  <c r="O841" i="1"/>
  <c r="P841" i="1"/>
  <c r="Q841" i="1"/>
  <c r="R841" i="1"/>
  <c r="S841" i="1"/>
  <c r="T841" i="1"/>
  <c r="O842" i="1"/>
  <c r="P842" i="1"/>
  <c r="Q842" i="1"/>
  <c r="R842" i="1"/>
  <c r="S842" i="1"/>
  <c r="T842" i="1"/>
  <c r="O843" i="1"/>
  <c r="P843" i="1"/>
  <c r="Q843" i="1"/>
  <c r="R843" i="1"/>
  <c r="S843" i="1"/>
  <c r="T843" i="1"/>
  <c r="O844" i="1"/>
  <c r="P844" i="1"/>
  <c r="Q844" i="1"/>
  <c r="R844" i="1"/>
  <c r="S844" i="1"/>
  <c r="T844" i="1"/>
  <c r="O845" i="1"/>
  <c r="P845" i="1"/>
  <c r="Q845" i="1"/>
  <c r="R845" i="1"/>
  <c r="S845" i="1"/>
  <c r="T845" i="1"/>
  <c r="O846" i="1"/>
  <c r="P846" i="1"/>
  <c r="Q846" i="1"/>
  <c r="R846" i="1"/>
  <c r="S846" i="1"/>
  <c r="T846" i="1"/>
  <c r="O847" i="1"/>
  <c r="P847" i="1"/>
  <c r="Q847" i="1"/>
  <c r="R847" i="1"/>
  <c r="S847" i="1"/>
  <c r="T847" i="1"/>
  <c r="O848" i="1"/>
  <c r="P848" i="1"/>
  <c r="Q848" i="1"/>
  <c r="R848" i="1"/>
  <c r="S848" i="1"/>
  <c r="T848" i="1"/>
  <c r="O849" i="1"/>
  <c r="P849" i="1"/>
  <c r="Q849" i="1"/>
  <c r="R849" i="1"/>
  <c r="S849" i="1"/>
  <c r="T849" i="1"/>
  <c r="O850" i="1"/>
  <c r="P850" i="1"/>
  <c r="Q850" i="1"/>
  <c r="R850" i="1"/>
  <c r="S850" i="1"/>
  <c r="T850" i="1"/>
  <c r="O851" i="1"/>
  <c r="P851" i="1"/>
  <c r="Q851" i="1"/>
  <c r="R851" i="1"/>
  <c r="S851" i="1"/>
  <c r="T851" i="1"/>
  <c r="O852" i="1"/>
  <c r="P852" i="1"/>
  <c r="Q852" i="1"/>
  <c r="R852" i="1"/>
  <c r="S852" i="1"/>
  <c r="T852" i="1"/>
  <c r="Q853" i="1"/>
  <c r="T853" i="1"/>
  <c r="O854" i="1"/>
  <c r="P854" i="1"/>
  <c r="Q854" i="1"/>
  <c r="R854" i="1"/>
  <c r="S854" i="1"/>
  <c r="T854" i="1"/>
  <c r="Q855" i="1"/>
  <c r="R855" i="1"/>
  <c r="S855" i="1"/>
  <c r="T855" i="1"/>
  <c r="O578" i="1"/>
  <c r="P578" i="1"/>
  <c r="Q578" i="1"/>
  <c r="R578" i="1"/>
  <c r="S578" i="1"/>
  <c r="T578" i="1"/>
  <c r="O579" i="1"/>
  <c r="P579" i="1"/>
  <c r="Q579" i="1"/>
  <c r="R579" i="1"/>
  <c r="S579" i="1"/>
  <c r="T579" i="1"/>
  <c r="O580" i="1"/>
  <c r="P580" i="1"/>
  <c r="Q580" i="1"/>
  <c r="R580" i="1"/>
  <c r="S580" i="1"/>
  <c r="T580" i="1"/>
  <c r="O581" i="1"/>
  <c r="P581" i="1"/>
  <c r="Q581" i="1"/>
  <c r="R581" i="1"/>
  <c r="S581" i="1"/>
  <c r="T581" i="1"/>
  <c r="O582" i="1"/>
  <c r="P582" i="1"/>
  <c r="Q582" i="1"/>
  <c r="R582" i="1"/>
  <c r="S582" i="1"/>
  <c r="T582" i="1"/>
  <c r="O583" i="1"/>
  <c r="P583" i="1"/>
  <c r="Q583" i="1"/>
  <c r="R583" i="1"/>
  <c r="S583" i="1"/>
  <c r="T583" i="1"/>
  <c r="O584" i="1"/>
  <c r="P584" i="1"/>
  <c r="Q584" i="1"/>
  <c r="R584" i="1"/>
  <c r="S584" i="1"/>
  <c r="T584" i="1"/>
  <c r="O585" i="1"/>
  <c r="P585" i="1"/>
  <c r="Q585" i="1"/>
  <c r="R585" i="1"/>
  <c r="S585" i="1"/>
  <c r="T585" i="1"/>
  <c r="O586" i="1"/>
  <c r="P586" i="1"/>
  <c r="Q586" i="1"/>
  <c r="R586" i="1"/>
  <c r="S586" i="1"/>
  <c r="T586" i="1"/>
  <c r="O587" i="1"/>
  <c r="P587" i="1"/>
  <c r="Q587" i="1"/>
  <c r="R587" i="1"/>
  <c r="S587" i="1"/>
  <c r="T587" i="1"/>
  <c r="O588" i="1"/>
  <c r="P588" i="1"/>
  <c r="Q588" i="1"/>
  <c r="R588" i="1"/>
  <c r="S588" i="1"/>
  <c r="T588" i="1"/>
  <c r="O589" i="1"/>
  <c r="P589" i="1"/>
  <c r="Q589" i="1"/>
  <c r="R589" i="1"/>
  <c r="S589" i="1"/>
  <c r="T589" i="1"/>
  <c r="O590" i="1"/>
  <c r="P590" i="1"/>
  <c r="Q590" i="1"/>
  <c r="R590" i="1"/>
  <c r="S590" i="1"/>
  <c r="T590" i="1"/>
  <c r="O591" i="1"/>
  <c r="Q591" i="1"/>
  <c r="R591" i="1"/>
  <c r="S591" i="1"/>
  <c r="T591" i="1"/>
  <c r="O592" i="1"/>
  <c r="P592" i="1"/>
  <c r="Q592" i="1"/>
  <c r="R592" i="1"/>
  <c r="S592" i="1"/>
  <c r="T592" i="1"/>
  <c r="O593" i="1"/>
  <c r="P593" i="1"/>
  <c r="Q593" i="1"/>
  <c r="R593" i="1"/>
  <c r="S593" i="1"/>
  <c r="T593" i="1"/>
  <c r="O594" i="1"/>
  <c r="P594" i="1"/>
  <c r="Q594" i="1"/>
  <c r="R594" i="1"/>
  <c r="S594" i="1"/>
  <c r="T594" i="1"/>
  <c r="O595" i="1"/>
  <c r="P595" i="1"/>
  <c r="Q595" i="1"/>
  <c r="R595" i="1"/>
  <c r="S595" i="1"/>
  <c r="T595" i="1"/>
  <c r="O596" i="1"/>
  <c r="P596" i="1"/>
  <c r="Q596" i="1"/>
  <c r="R596" i="1"/>
  <c r="S596" i="1"/>
  <c r="T596" i="1"/>
  <c r="O597" i="1"/>
  <c r="P597" i="1"/>
  <c r="Q597" i="1"/>
  <c r="R597" i="1"/>
  <c r="S597" i="1"/>
  <c r="T597" i="1"/>
  <c r="O598" i="1"/>
  <c r="P598" i="1"/>
  <c r="Q598" i="1"/>
  <c r="R598" i="1"/>
  <c r="S598" i="1"/>
  <c r="T598" i="1"/>
  <c r="O599" i="1"/>
  <c r="P599" i="1"/>
  <c r="Q599" i="1"/>
  <c r="R599" i="1"/>
  <c r="S599" i="1"/>
  <c r="T599" i="1"/>
  <c r="O600" i="1"/>
  <c r="P600" i="1"/>
  <c r="Q600" i="1"/>
  <c r="R600" i="1"/>
  <c r="S600" i="1"/>
  <c r="T600" i="1"/>
  <c r="O601" i="1"/>
  <c r="P601" i="1"/>
  <c r="Q601" i="1"/>
  <c r="R601" i="1"/>
  <c r="S601" i="1"/>
  <c r="T601" i="1"/>
  <c r="O602" i="1"/>
  <c r="P602" i="1"/>
  <c r="Q602" i="1"/>
  <c r="R602" i="1"/>
  <c r="S602" i="1"/>
  <c r="T602" i="1"/>
  <c r="O603" i="1"/>
  <c r="P603" i="1"/>
  <c r="Q603" i="1"/>
  <c r="R603" i="1"/>
  <c r="S603" i="1"/>
  <c r="T603" i="1"/>
  <c r="O604" i="1"/>
  <c r="P604" i="1"/>
  <c r="Q604" i="1"/>
  <c r="R604" i="1"/>
  <c r="S604" i="1"/>
  <c r="T604" i="1"/>
  <c r="O605" i="1"/>
  <c r="P605" i="1"/>
  <c r="Q605" i="1"/>
  <c r="R605" i="1"/>
  <c r="S605" i="1"/>
  <c r="T605" i="1"/>
  <c r="R606" i="1"/>
  <c r="S606" i="1"/>
  <c r="T606" i="1"/>
  <c r="O607" i="1"/>
  <c r="P607" i="1"/>
  <c r="Q607" i="1"/>
  <c r="R607" i="1"/>
  <c r="S607" i="1"/>
  <c r="T607" i="1"/>
  <c r="O608" i="1"/>
  <c r="P608" i="1"/>
  <c r="Q608" i="1"/>
  <c r="R608" i="1"/>
  <c r="S608" i="1"/>
  <c r="T608" i="1"/>
  <c r="O609" i="1"/>
  <c r="P609" i="1"/>
  <c r="Q609" i="1"/>
  <c r="R609" i="1"/>
  <c r="S609" i="1"/>
  <c r="T609" i="1"/>
  <c r="O610" i="1"/>
  <c r="P610" i="1"/>
  <c r="Q610" i="1"/>
  <c r="R610" i="1"/>
  <c r="S610" i="1"/>
  <c r="T610" i="1"/>
  <c r="O611" i="1"/>
  <c r="P611" i="1"/>
  <c r="Q611" i="1"/>
  <c r="R611" i="1"/>
  <c r="S611" i="1"/>
  <c r="T611" i="1"/>
  <c r="O612" i="1"/>
  <c r="P612" i="1"/>
  <c r="Q612" i="1"/>
  <c r="R612" i="1"/>
  <c r="S612" i="1"/>
  <c r="T612" i="1"/>
  <c r="O613" i="1"/>
  <c r="P613" i="1"/>
  <c r="Q613" i="1"/>
  <c r="R613" i="1"/>
  <c r="S613" i="1"/>
  <c r="T613" i="1"/>
  <c r="O614" i="1"/>
  <c r="P614" i="1"/>
  <c r="Q614" i="1"/>
  <c r="R614" i="1"/>
  <c r="S614" i="1"/>
  <c r="T614" i="1"/>
  <c r="Q615" i="1"/>
  <c r="R615" i="1"/>
  <c r="S615" i="1"/>
  <c r="T615" i="1"/>
  <c r="O616" i="1"/>
  <c r="P616" i="1"/>
  <c r="Q616" i="1"/>
  <c r="R616" i="1"/>
  <c r="S616" i="1"/>
  <c r="T616" i="1"/>
  <c r="O617" i="1"/>
  <c r="P617" i="1"/>
  <c r="Q617" i="1"/>
  <c r="R617" i="1"/>
  <c r="S617" i="1"/>
  <c r="T617" i="1"/>
  <c r="O618" i="1"/>
  <c r="P618" i="1"/>
  <c r="Q618" i="1"/>
  <c r="R618" i="1"/>
  <c r="S618" i="1"/>
  <c r="T618" i="1"/>
  <c r="O619" i="1"/>
  <c r="P619" i="1"/>
  <c r="Q619" i="1"/>
  <c r="R619" i="1"/>
  <c r="S619" i="1"/>
  <c r="T619" i="1"/>
  <c r="O620" i="1"/>
  <c r="P620" i="1"/>
  <c r="Q620" i="1"/>
  <c r="R620" i="1"/>
  <c r="S620" i="1"/>
  <c r="T620" i="1"/>
  <c r="O621" i="1"/>
  <c r="P621" i="1"/>
  <c r="Q621" i="1"/>
  <c r="R621" i="1"/>
  <c r="S621" i="1"/>
  <c r="T621" i="1"/>
  <c r="O622" i="1"/>
  <c r="P622" i="1"/>
  <c r="Q622" i="1"/>
  <c r="R622" i="1"/>
  <c r="S622" i="1"/>
  <c r="T622" i="1"/>
  <c r="Q623" i="1"/>
  <c r="R623" i="1"/>
  <c r="S623" i="1"/>
  <c r="T623" i="1"/>
  <c r="O624" i="1"/>
  <c r="P624" i="1"/>
  <c r="Q624" i="1"/>
  <c r="R624" i="1"/>
  <c r="S624" i="1"/>
  <c r="T624" i="1"/>
  <c r="O625" i="1"/>
  <c r="P625" i="1"/>
  <c r="Q625" i="1"/>
  <c r="R625" i="1"/>
  <c r="S625" i="1"/>
  <c r="T625" i="1"/>
  <c r="O626" i="1"/>
  <c r="P626" i="1"/>
  <c r="Q626" i="1"/>
  <c r="R626" i="1"/>
  <c r="S626" i="1"/>
  <c r="T626" i="1"/>
  <c r="O627" i="1"/>
  <c r="P627" i="1"/>
  <c r="Q627" i="1"/>
  <c r="R627" i="1"/>
  <c r="S627" i="1"/>
  <c r="T627" i="1"/>
  <c r="O628" i="1"/>
  <c r="P628" i="1"/>
  <c r="Q628" i="1"/>
  <c r="R628" i="1"/>
  <c r="S628" i="1"/>
  <c r="T628" i="1"/>
  <c r="O629" i="1"/>
  <c r="P629" i="1"/>
  <c r="Q629" i="1"/>
  <c r="R629" i="1"/>
  <c r="S629" i="1"/>
  <c r="O630" i="1"/>
  <c r="P630" i="1"/>
  <c r="Q630" i="1"/>
  <c r="R630" i="1"/>
  <c r="S630" i="1"/>
  <c r="T630" i="1"/>
  <c r="O631" i="1"/>
  <c r="P631" i="1"/>
  <c r="Q631" i="1"/>
  <c r="R631" i="1"/>
  <c r="S631" i="1"/>
  <c r="T631" i="1"/>
  <c r="O632" i="1"/>
  <c r="P632" i="1"/>
  <c r="Q632" i="1"/>
  <c r="R632" i="1"/>
  <c r="S632" i="1"/>
  <c r="T632" i="1"/>
  <c r="O633" i="1"/>
  <c r="P633" i="1"/>
  <c r="Q633" i="1"/>
  <c r="R633" i="1"/>
  <c r="S633" i="1"/>
  <c r="T633" i="1"/>
  <c r="O634" i="1"/>
  <c r="P634" i="1"/>
  <c r="Q634" i="1"/>
  <c r="R634" i="1"/>
  <c r="S634" i="1"/>
  <c r="T634" i="1"/>
  <c r="O635" i="1"/>
  <c r="P635" i="1"/>
  <c r="Q635" i="1"/>
  <c r="R635" i="1"/>
  <c r="S635" i="1"/>
  <c r="T635" i="1"/>
  <c r="O636" i="1"/>
  <c r="P636" i="1"/>
  <c r="Q636" i="1"/>
  <c r="R636" i="1"/>
  <c r="S636" i="1"/>
  <c r="T636" i="1"/>
  <c r="O637" i="1"/>
  <c r="P637" i="1"/>
  <c r="Q637" i="1"/>
  <c r="R637" i="1"/>
  <c r="S637" i="1"/>
  <c r="T637" i="1"/>
  <c r="O638" i="1"/>
  <c r="P638" i="1"/>
  <c r="Q638" i="1"/>
  <c r="R638" i="1"/>
  <c r="S638" i="1"/>
  <c r="T638" i="1"/>
  <c r="O639" i="1"/>
  <c r="P639" i="1"/>
  <c r="Q639" i="1"/>
  <c r="R639" i="1"/>
  <c r="S639" i="1"/>
  <c r="T639" i="1"/>
  <c r="R640" i="1"/>
  <c r="S640" i="1"/>
  <c r="T640" i="1"/>
  <c r="R641" i="1"/>
  <c r="S641" i="1"/>
  <c r="T641" i="1"/>
  <c r="O642" i="1"/>
  <c r="P642" i="1"/>
  <c r="Q642" i="1"/>
  <c r="R642" i="1"/>
  <c r="S642" i="1"/>
  <c r="T642" i="1"/>
  <c r="O643" i="1"/>
  <c r="P643" i="1"/>
  <c r="Q643" i="1"/>
  <c r="R643" i="1"/>
  <c r="S643" i="1"/>
  <c r="T643" i="1"/>
  <c r="O644" i="1"/>
  <c r="P644" i="1"/>
  <c r="Q644" i="1"/>
  <c r="R644" i="1"/>
  <c r="S644" i="1"/>
  <c r="T644" i="1"/>
  <c r="O645" i="1"/>
  <c r="P645" i="1"/>
  <c r="Q645" i="1"/>
  <c r="R645" i="1"/>
  <c r="S645" i="1"/>
  <c r="T645" i="1"/>
  <c r="O646" i="1"/>
  <c r="P646" i="1"/>
  <c r="Q646" i="1"/>
  <c r="R646" i="1"/>
  <c r="S646" i="1"/>
  <c r="T646" i="1"/>
  <c r="O647" i="1"/>
  <c r="P647" i="1"/>
  <c r="Q647" i="1"/>
  <c r="R647" i="1"/>
  <c r="S647" i="1"/>
  <c r="T647" i="1"/>
  <c r="O648" i="1"/>
  <c r="P648" i="1"/>
  <c r="Q648" i="1"/>
  <c r="R648" i="1"/>
  <c r="S648" i="1"/>
  <c r="T648" i="1"/>
  <c r="O649" i="1"/>
  <c r="P649" i="1"/>
  <c r="Q649" i="1"/>
  <c r="R649" i="1"/>
  <c r="S649" i="1"/>
  <c r="T649" i="1"/>
  <c r="O650" i="1"/>
  <c r="P650" i="1"/>
  <c r="Q650" i="1"/>
  <c r="R650" i="1"/>
  <c r="S650" i="1"/>
  <c r="T650" i="1"/>
  <c r="O651" i="1"/>
  <c r="P651" i="1"/>
  <c r="Q651" i="1"/>
  <c r="R651" i="1"/>
  <c r="S651" i="1"/>
  <c r="T651" i="1"/>
  <c r="O652" i="1"/>
  <c r="P652" i="1"/>
  <c r="Q652" i="1"/>
  <c r="R652" i="1"/>
  <c r="S652" i="1"/>
  <c r="T652" i="1"/>
  <c r="O653" i="1"/>
  <c r="P653" i="1"/>
  <c r="Q653" i="1"/>
  <c r="R653" i="1"/>
  <c r="S653" i="1"/>
  <c r="T653" i="1"/>
  <c r="O654" i="1"/>
  <c r="P654" i="1"/>
  <c r="Q654" i="1"/>
  <c r="R654" i="1"/>
  <c r="S654" i="1"/>
  <c r="T654" i="1"/>
  <c r="O655" i="1"/>
  <c r="P655" i="1"/>
  <c r="Q655" i="1"/>
  <c r="R655" i="1"/>
  <c r="S655" i="1"/>
  <c r="T655" i="1"/>
  <c r="O656" i="1"/>
  <c r="P656" i="1"/>
  <c r="Q656" i="1"/>
  <c r="R656" i="1"/>
  <c r="S656" i="1"/>
  <c r="T656" i="1"/>
  <c r="O657" i="1"/>
  <c r="P657" i="1"/>
  <c r="Q657" i="1"/>
  <c r="R657" i="1"/>
  <c r="S657" i="1"/>
  <c r="T657" i="1"/>
  <c r="O658" i="1"/>
  <c r="P658" i="1"/>
  <c r="Q658" i="1"/>
  <c r="R658" i="1"/>
  <c r="S658" i="1"/>
  <c r="T658" i="1"/>
  <c r="O659" i="1"/>
  <c r="P659" i="1"/>
  <c r="Q659" i="1"/>
  <c r="R659" i="1"/>
  <c r="S659" i="1"/>
  <c r="T659" i="1"/>
  <c r="O660" i="1"/>
  <c r="P660" i="1"/>
  <c r="Q660" i="1"/>
  <c r="R660" i="1"/>
  <c r="S660" i="1"/>
  <c r="T660" i="1"/>
  <c r="O661" i="1"/>
  <c r="P661" i="1"/>
  <c r="Q661" i="1"/>
  <c r="R661" i="1"/>
  <c r="S661" i="1"/>
  <c r="T661" i="1"/>
  <c r="O662" i="1"/>
  <c r="P662" i="1"/>
  <c r="Q662" i="1"/>
  <c r="R662" i="1"/>
  <c r="S662" i="1"/>
  <c r="T662" i="1"/>
  <c r="O663" i="1"/>
  <c r="P663" i="1"/>
  <c r="Q663" i="1"/>
  <c r="R663" i="1"/>
  <c r="S663" i="1"/>
  <c r="T663" i="1"/>
  <c r="O664" i="1"/>
  <c r="P664" i="1"/>
  <c r="Q664" i="1"/>
  <c r="R664" i="1"/>
  <c r="S664" i="1"/>
  <c r="T664" i="1"/>
  <c r="O665" i="1"/>
  <c r="P665" i="1"/>
  <c r="Q665" i="1"/>
  <c r="R665" i="1"/>
  <c r="S665" i="1"/>
  <c r="T665" i="1"/>
  <c r="O666" i="1"/>
  <c r="P666" i="1"/>
  <c r="Q666" i="1"/>
  <c r="R666" i="1"/>
  <c r="S666" i="1"/>
  <c r="T666" i="1"/>
  <c r="O667" i="1"/>
  <c r="P667" i="1"/>
  <c r="Q667" i="1"/>
  <c r="R667" i="1"/>
  <c r="S667" i="1"/>
  <c r="T667" i="1"/>
  <c r="O668" i="1"/>
  <c r="P668" i="1"/>
  <c r="Q668" i="1"/>
  <c r="R668" i="1"/>
  <c r="S668" i="1"/>
  <c r="T668" i="1"/>
  <c r="O669" i="1"/>
  <c r="P669" i="1"/>
  <c r="Q669" i="1"/>
  <c r="R669" i="1"/>
  <c r="S669" i="1"/>
  <c r="T669" i="1"/>
  <c r="O670" i="1"/>
  <c r="P670" i="1"/>
  <c r="Q670" i="1"/>
  <c r="R670" i="1"/>
  <c r="S670" i="1"/>
  <c r="T670" i="1"/>
  <c r="O671" i="1"/>
  <c r="P671" i="1"/>
  <c r="Q671" i="1"/>
  <c r="R671" i="1"/>
  <c r="S671" i="1"/>
  <c r="T671" i="1"/>
  <c r="O672" i="1"/>
  <c r="P672" i="1"/>
  <c r="Q672" i="1"/>
  <c r="R672" i="1"/>
  <c r="S672" i="1"/>
  <c r="T672" i="1"/>
  <c r="O673" i="1"/>
  <c r="P673" i="1"/>
  <c r="Q673" i="1"/>
  <c r="R673" i="1"/>
  <c r="S673" i="1"/>
  <c r="T673" i="1"/>
  <c r="O674" i="1"/>
  <c r="P674" i="1"/>
  <c r="Q674" i="1"/>
  <c r="R674" i="1"/>
  <c r="S674" i="1"/>
  <c r="T674" i="1"/>
  <c r="O675" i="1"/>
  <c r="P675" i="1"/>
  <c r="Q675" i="1"/>
  <c r="R675" i="1"/>
  <c r="S675" i="1"/>
  <c r="T675" i="1"/>
  <c r="O676" i="1"/>
  <c r="P676" i="1"/>
  <c r="Q676" i="1"/>
  <c r="R676" i="1"/>
  <c r="S676" i="1"/>
  <c r="T676" i="1"/>
  <c r="O677" i="1"/>
  <c r="P677" i="1"/>
  <c r="Q677" i="1"/>
  <c r="R677" i="1"/>
  <c r="S677" i="1"/>
  <c r="T677" i="1"/>
  <c r="O678" i="1"/>
  <c r="P678" i="1"/>
  <c r="Q678" i="1"/>
  <c r="R678" i="1"/>
  <c r="S678" i="1"/>
  <c r="T678" i="1"/>
  <c r="O679" i="1"/>
  <c r="P679" i="1"/>
  <c r="Q679" i="1"/>
  <c r="R679" i="1"/>
  <c r="S679" i="1"/>
  <c r="T679" i="1"/>
  <c r="R680" i="1"/>
  <c r="S680" i="1"/>
  <c r="T680" i="1"/>
  <c r="O681" i="1"/>
  <c r="P681" i="1"/>
  <c r="Q681" i="1"/>
  <c r="R681" i="1"/>
  <c r="S681" i="1"/>
  <c r="T681" i="1"/>
  <c r="O682" i="1"/>
  <c r="P682" i="1"/>
  <c r="Q682" i="1"/>
  <c r="R682" i="1"/>
  <c r="S682" i="1"/>
  <c r="T682" i="1"/>
  <c r="O683" i="1"/>
  <c r="P683" i="1"/>
  <c r="Q683" i="1"/>
  <c r="R683" i="1"/>
  <c r="S683" i="1"/>
  <c r="T683" i="1"/>
  <c r="R684" i="1"/>
  <c r="S684" i="1"/>
  <c r="T684" i="1"/>
  <c r="O685" i="1"/>
  <c r="P685" i="1"/>
  <c r="Q685" i="1"/>
  <c r="R685" i="1"/>
  <c r="S685" i="1"/>
  <c r="T685" i="1"/>
  <c r="O686" i="1"/>
  <c r="P686" i="1"/>
  <c r="Q686" i="1"/>
  <c r="R686" i="1"/>
  <c r="S686" i="1"/>
  <c r="T686" i="1"/>
  <c r="O687" i="1"/>
  <c r="P687" i="1"/>
  <c r="Q687" i="1"/>
  <c r="R687" i="1"/>
  <c r="S687" i="1"/>
  <c r="T687" i="1"/>
  <c r="O688" i="1"/>
  <c r="P688" i="1"/>
  <c r="Q688" i="1"/>
  <c r="R688" i="1"/>
  <c r="S688" i="1"/>
  <c r="T688" i="1"/>
  <c r="O689" i="1"/>
  <c r="P689" i="1"/>
  <c r="Q689" i="1"/>
  <c r="R689" i="1"/>
  <c r="S689" i="1"/>
  <c r="T689" i="1"/>
  <c r="O690" i="1"/>
  <c r="P690" i="1"/>
  <c r="Q690" i="1"/>
  <c r="R690" i="1"/>
  <c r="S690" i="1"/>
  <c r="T690" i="1"/>
  <c r="O691" i="1"/>
  <c r="P691" i="1"/>
  <c r="Q691" i="1"/>
  <c r="R691" i="1"/>
  <c r="S691" i="1"/>
  <c r="T691" i="1"/>
  <c r="O692" i="1"/>
  <c r="P692" i="1"/>
  <c r="Q692" i="1"/>
  <c r="R692" i="1"/>
  <c r="S692" i="1"/>
  <c r="T692" i="1"/>
  <c r="O693" i="1"/>
  <c r="P693" i="1"/>
  <c r="Q693" i="1"/>
  <c r="R693" i="1"/>
  <c r="S693" i="1"/>
  <c r="T693" i="1"/>
  <c r="O694" i="1"/>
  <c r="P694" i="1"/>
  <c r="Q694" i="1"/>
  <c r="R694" i="1"/>
  <c r="S694" i="1"/>
  <c r="T694" i="1"/>
  <c r="O695" i="1"/>
  <c r="P695" i="1"/>
  <c r="Q695" i="1"/>
  <c r="R695" i="1"/>
  <c r="S695" i="1"/>
  <c r="T695" i="1"/>
  <c r="O696" i="1"/>
  <c r="P696" i="1"/>
  <c r="Q696" i="1"/>
  <c r="R696" i="1"/>
  <c r="S696" i="1"/>
  <c r="T696" i="1"/>
  <c r="O697" i="1"/>
  <c r="P697" i="1"/>
  <c r="Q697" i="1"/>
  <c r="R697" i="1"/>
  <c r="S697" i="1"/>
  <c r="T697" i="1"/>
  <c r="O698" i="1"/>
  <c r="P698" i="1"/>
  <c r="Q698" i="1"/>
  <c r="R698" i="1"/>
  <c r="S698" i="1"/>
  <c r="T698" i="1"/>
  <c r="O699" i="1"/>
  <c r="P699" i="1"/>
  <c r="Q699" i="1"/>
  <c r="R699" i="1"/>
  <c r="S699" i="1"/>
  <c r="T699" i="1"/>
  <c r="O700" i="1"/>
  <c r="P700" i="1"/>
  <c r="Q700" i="1"/>
  <c r="R700" i="1"/>
  <c r="S700" i="1"/>
  <c r="T700" i="1"/>
  <c r="O701" i="1"/>
  <c r="P701" i="1"/>
  <c r="Q701" i="1"/>
  <c r="R701" i="1"/>
  <c r="S701" i="1"/>
  <c r="T701" i="1"/>
  <c r="O702" i="1"/>
  <c r="P702" i="1"/>
  <c r="Q702" i="1"/>
  <c r="R702" i="1"/>
  <c r="S702" i="1"/>
  <c r="T702" i="1"/>
  <c r="O703" i="1"/>
  <c r="P703" i="1"/>
  <c r="Q703" i="1"/>
  <c r="R703" i="1"/>
  <c r="S703" i="1"/>
  <c r="T703" i="1"/>
  <c r="O704" i="1"/>
  <c r="P704" i="1"/>
  <c r="Q704" i="1"/>
  <c r="R704" i="1"/>
  <c r="S704" i="1"/>
  <c r="T704" i="1"/>
  <c r="O705" i="1"/>
  <c r="P705" i="1"/>
  <c r="Q705" i="1"/>
  <c r="R705" i="1"/>
  <c r="S705" i="1"/>
  <c r="T705" i="1"/>
  <c r="O706" i="1"/>
  <c r="P706" i="1"/>
  <c r="Q706" i="1"/>
  <c r="R706" i="1"/>
  <c r="S706" i="1"/>
  <c r="T706" i="1"/>
  <c r="O707" i="1"/>
  <c r="P707" i="1"/>
  <c r="Q707" i="1"/>
  <c r="R707" i="1"/>
  <c r="S707" i="1"/>
  <c r="T707" i="1"/>
  <c r="O708" i="1"/>
  <c r="P708" i="1"/>
  <c r="Q708" i="1"/>
  <c r="R708" i="1"/>
  <c r="S708" i="1"/>
  <c r="T708" i="1"/>
  <c r="O709" i="1"/>
  <c r="P709" i="1"/>
  <c r="Q709" i="1"/>
  <c r="R709" i="1"/>
  <c r="S709" i="1"/>
  <c r="T709" i="1"/>
  <c r="O710" i="1"/>
  <c r="P710" i="1"/>
  <c r="Q710" i="1"/>
  <c r="R710" i="1"/>
  <c r="S710" i="1"/>
  <c r="T710" i="1"/>
  <c r="O711" i="1"/>
  <c r="P711" i="1"/>
  <c r="Q711" i="1"/>
  <c r="R711" i="1"/>
  <c r="S711" i="1"/>
  <c r="T711" i="1"/>
  <c r="O712" i="1"/>
  <c r="P712" i="1"/>
  <c r="Q712" i="1"/>
  <c r="R712" i="1"/>
  <c r="S712" i="1"/>
  <c r="T712" i="1"/>
  <c r="O713" i="1"/>
  <c r="P713" i="1"/>
  <c r="Q713" i="1"/>
  <c r="O714" i="1"/>
  <c r="P714" i="1"/>
  <c r="Q714" i="1"/>
  <c r="R714" i="1"/>
  <c r="S714" i="1"/>
  <c r="T714" i="1"/>
  <c r="O715" i="1"/>
  <c r="P715" i="1"/>
  <c r="Q715" i="1"/>
  <c r="R715" i="1"/>
  <c r="S715" i="1"/>
  <c r="T715" i="1"/>
  <c r="O716" i="1"/>
  <c r="P716" i="1"/>
  <c r="Q716" i="1"/>
  <c r="O717" i="1"/>
  <c r="P717" i="1"/>
  <c r="Q717" i="1"/>
  <c r="R717" i="1"/>
  <c r="S717" i="1"/>
  <c r="T717" i="1"/>
  <c r="O718" i="1"/>
  <c r="P718" i="1"/>
  <c r="Q718" i="1"/>
  <c r="R718" i="1"/>
  <c r="S718" i="1"/>
  <c r="T718" i="1"/>
  <c r="O719" i="1"/>
  <c r="P719" i="1"/>
  <c r="Q719" i="1"/>
  <c r="R719" i="1"/>
  <c r="S719" i="1"/>
  <c r="T719" i="1"/>
  <c r="O720" i="1"/>
  <c r="P720" i="1"/>
  <c r="Q720" i="1"/>
  <c r="R720" i="1"/>
  <c r="S720" i="1"/>
  <c r="T720" i="1"/>
  <c r="O721" i="1"/>
  <c r="P721" i="1"/>
  <c r="Q721" i="1"/>
  <c r="R721" i="1"/>
  <c r="S721" i="1"/>
  <c r="T721" i="1"/>
  <c r="O722" i="1"/>
  <c r="P722" i="1"/>
  <c r="Q722" i="1"/>
  <c r="R722" i="1"/>
  <c r="S722" i="1"/>
  <c r="T722" i="1"/>
  <c r="O723" i="1"/>
  <c r="P723" i="1"/>
  <c r="Q723" i="1"/>
  <c r="R723" i="1"/>
  <c r="S723" i="1"/>
  <c r="T723" i="1"/>
  <c r="O724" i="1"/>
  <c r="P724" i="1"/>
  <c r="Q724" i="1"/>
  <c r="O725" i="1"/>
  <c r="P725" i="1"/>
  <c r="R724" i="1" s="1"/>
  <c r="S724" i="1" s="1"/>
  <c r="Q725" i="1"/>
  <c r="T724" i="1" s="1"/>
  <c r="R725" i="1"/>
  <c r="S725" i="1"/>
  <c r="T725" i="1"/>
  <c r="O726" i="1"/>
  <c r="P726" i="1"/>
  <c r="Q726" i="1"/>
  <c r="R726" i="1"/>
  <c r="S726" i="1"/>
  <c r="T726" i="1"/>
  <c r="O425" i="1"/>
  <c r="P425" i="1"/>
  <c r="Q425" i="1"/>
  <c r="R425" i="1"/>
  <c r="S425" i="1"/>
  <c r="T425" i="1"/>
  <c r="O426" i="1"/>
  <c r="P426" i="1"/>
  <c r="Q426" i="1"/>
  <c r="R426" i="1"/>
  <c r="S426" i="1"/>
  <c r="T426" i="1"/>
  <c r="O427" i="1"/>
  <c r="P427" i="1"/>
  <c r="Q427" i="1"/>
  <c r="R427" i="1"/>
  <c r="S427" i="1"/>
  <c r="T427" i="1"/>
  <c r="O428" i="1"/>
  <c r="P428" i="1"/>
  <c r="Q428" i="1"/>
  <c r="R428" i="1"/>
  <c r="S428" i="1"/>
  <c r="T428" i="1"/>
  <c r="O429" i="1"/>
  <c r="P429" i="1"/>
  <c r="Q429" i="1"/>
  <c r="R429" i="1"/>
  <c r="S429" i="1"/>
  <c r="T429" i="1"/>
  <c r="O430" i="1"/>
  <c r="P430" i="1"/>
  <c r="Q430" i="1"/>
  <c r="R430" i="1"/>
  <c r="S430" i="1"/>
  <c r="T430" i="1"/>
  <c r="O431" i="1"/>
  <c r="P431" i="1"/>
  <c r="Q431" i="1"/>
  <c r="R431" i="1"/>
  <c r="S431" i="1"/>
  <c r="T431" i="1"/>
  <c r="O432" i="1"/>
  <c r="P432" i="1"/>
  <c r="Q432" i="1"/>
  <c r="R432" i="1"/>
  <c r="S432" i="1"/>
  <c r="T432" i="1"/>
  <c r="O433" i="1"/>
  <c r="P433" i="1"/>
  <c r="Q433" i="1"/>
  <c r="R433" i="1"/>
  <c r="S433" i="1"/>
  <c r="T433" i="1"/>
  <c r="O434" i="1"/>
  <c r="P434" i="1"/>
  <c r="Q434" i="1"/>
  <c r="R434" i="1"/>
  <c r="S434" i="1"/>
  <c r="T434" i="1"/>
  <c r="O435" i="1"/>
  <c r="P435" i="1"/>
  <c r="Q435" i="1"/>
  <c r="R435" i="1"/>
  <c r="S435" i="1"/>
  <c r="T435" i="1"/>
  <c r="O436" i="1"/>
  <c r="P436" i="1"/>
  <c r="Q436" i="1"/>
  <c r="R436" i="1"/>
  <c r="S436" i="1"/>
  <c r="T436" i="1"/>
  <c r="O437" i="1"/>
  <c r="P437" i="1"/>
  <c r="Q437" i="1"/>
  <c r="R437" i="1"/>
  <c r="S437" i="1"/>
  <c r="T437" i="1"/>
  <c r="O438" i="1"/>
  <c r="P438" i="1"/>
  <c r="Q438" i="1"/>
  <c r="R438" i="1"/>
  <c r="S438" i="1"/>
  <c r="T438" i="1"/>
  <c r="O439" i="1"/>
  <c r="P439" i="1"/>
  <c r="Q439" i="1"/>
  <c r="R439" i="1"/>
  <c r="S439" i="1"/>
  <c r="T439" i="1"/>
  <c r="O440" i="1"/>
  <c r="P440" i="1"/>
  <c r="Q440" i="1"/>
  <c r="R440" i="1"/>
  <c r="S440" i="1"/>
  <c r="T440" i="1"/>
  <c r="O441" i="1"/>
  <c r="P441" i="1"/>
  <c r="Q441" i="1"/>
  <c r="R441" i="1"/>
  <c r="S441" i="1"/>
  <c r="T441" i="1"/>
  <c r="O442" i="1"/>
  <c r="P442" i="1"/>
  <c r="Q442" i="1"/>
  <c r="T442" i="1"/>
  <c r="O443" i="1"/>
  <c r="P443" i="1"/>
  <c r="Q443" i="1"/>
  <c r="R443" i="1"/>
  <c r="S443" i="1"/>
  <c r="T443" i="1"/>
  <c r="O444" i="1"/>
  <c r="P444" i="1"/>
  <c r="Q444" i="1"/>
  <c r="R444" i="1"/>
  <c r="S444" i="1"/>
  <c r="T444" i="1"/>
  <c r="O445" i="1"/>
  <c r="P445" i="1"/>
  <c r="Q445" i="1"/>
  <c r="R445" i="1"/>
  <c r="S445" i="1"/>
  <c r="T445" i="1"/>
  <c r="O446" i="1"/>
  <c r="P446" i="1"/>
  <c r="Q446" i="1"/>
  <c r="R446" i="1"/>
  <c r="S446" i="1"/>
  <c r="T446" i="1"/>
  <c r="O447" i="1"/>
  <c r="P447" i="1"/>
  <c r="Q447" i="1"/>
  <c r="T447" i="1"/>
  <c r="O448" i="1"/>
  <c r="P448" i="1"/>
  <c r="Q448" i="1"/>
  <c r="R448" i="1"/>
  <c r="S448" i="1"/>
  <c r="T448" i="1"/>
  <c r="O449" i="1"/>
  <c r="P449" i="1"/>
  <c r="Q449" i="1"/>
  <c r="R449" i="1"/>
  <c r="S449" i="1"/>
  <c r="T449" i="1"/>
  <c r="O450" i="1"/>
  <c r="P450" i="1"/>
  <c r="Q450" i="1"/>
  <c r="R450" i="1"/>
  <c r="S450" i="1"/>
  <c r="T450" i="1"/>
  <c r="O451" i="1"/>
  <c r="P451" i="1"/>
  <c r="Q451" i="1"/>
  <c r="R451" i="1"/>
  <c r="S451" i="1"/>
  <c r="T451" i="1"/>
  <c r="O452" i="1"/>
  <c r="P452" i="1"/>
  <c r="Q452" i="1"/>
  <c r="R452" i="1"/>
  <c r="S452" i="1"/>
  <c r="T452" i="1"/>
  <c r="O453" i="1"/>
  <c r="P453" i="1"/>
  <c r="Q453" i="1"/>
  <c r="T453" i="1"/>
  <c r="O454" i="1"/>
  <c r="P454" i="1"/>
  <c r="Q454" i="1"/>
  <c r="R454" i="1"/>
  <c r="S454" i="1"/>
  <c r="T454" i="1"/>
  <c r="O455" i="1"/>
  <c r="P455" i="1"/>
  <c r="Q455" i="1"/>
  <c r="R455" i="1"/>
  <c r="S455" i="1"/>
  <c r="T455" i="1"/>
  <c r="O456" i="1"/>
  <c r="P456" i="1"/>
  <c r="Q456" i="1"/>
  <c r="R456" i="1"/>
  <c r="S456" i="1"/>
  <c r="T456" i="1"/>
  <c r="R457" i="1"/>
  <c r="S457" i="1"/>
  <c r="T457" i="1"/>
  <c r="R458" i="1"/>
  <c r="S458" i="1"/>
  <c r="T458" i="1"/>
  <c r="O459" i="1"/>
  <c r="P459" i="1"/>
  <c r="Q459" i="1"/>
  <c r="R459" i="1"/>
  <c r="S459" i="1"/>
  <c r="T459" i="1"/>
  <c r="O460" i="1"/>
  <c r="P460" i="1"/>
  <c r="Q460" i="1"/>
  <c r="R460" i="1"/>
  <c r="S460" i="1"/>
  <c r="T460" i="1"/>
  <c r="O461" i="1"/>
  <c r="P461" i="1"/>
  <c r="Q461" i="1"/>
  <c r="R461" i="1"/>
  <c r="S461" i="1"/>
  <c r="T461" i="1"/>
  <c r="O462" i="1"/>
  <c r="P462" i="1"/>
  <c r="Q462" i="1"/>
  <c r="R462" i="1"/>
  <c r="S462" i="1"/>
  <c r="T462" i="1"/>
  <c r="O463" i="1"/>
  <c r="P463" i="1"/>
  <c r="Q463" i="1"/>
  <c r="R463" i="1"/>
  <c r="S463" i="1"/>
  <c r="T463" i="1"/>
  <c r="O464" i="1"/>
  <c r="P464" i="1"/>
  <c r="Q464" i="1"/>
  <c r="R464" i="1"/>
  <c r="S464" i="1"/>
  <c r="T464" i="1"/>
  <c r="O465" i="1"/>
  <c r="P465" i="1"/>
  <c r="Q465" i="1"/>
  <c r="R465" i="1"/>
  <c r="S465" i="1"/>
  <c r="T465" i="1"/>
  <c r="O466" i="1"/>
  <c r="P466" i="1"/>
  <c r="Q466" i="1"/>
  <c r="R466" i="1"/>
  <c r="S466" i="1"/>
  <c r="T466" i="1"/>
  <c r="O467" i="1"/>
  <c r="P467" i="1"/>
  <c r="Q467" i="1"/>
  <c r="R467" i="1"/>
  <c r="S467" i="1"/>
  <c r="T467" i="1"/>
  <c r="O468" i="1"/>
  <c r="P468" i="1"/>
  <c r="Q468" i="1"/>
  <c r="R468" i="1"/>
  <c r="S468" i="1"/>
  <c r="T468" i="1"/>
  <c r="O469" i="1"/>
  <c r="P469" i="1"/>
  <c r="Q469" i="1"/>
  <c r="R469" i="1"/>
  <c r="S469" i="1"/>
  <c r="T469" i="1"/>
  <c r="O470" i="1"/>
  <c r="P470" i="1"/>
  <c r="Q470" i="1"/>
  <c r="R470" i="1"/>
  <c r="S470" i="1"/>
  <c r="T470" i="1"/>
  <c r="O471" i="1"/>
  <c r="P471" i="1"/>
  <c r="Q471" i="1"/>
  <c r="R471" i="1"/>
  <c r="S471" i="1"/>
  <c r="T471" i="1"/>
  <c r="O472" i="1"/>
  <c r="P472" i="1"/>
  <c r="Q472" i="1"/>
  <c r="R472" i="1"/>
  <c r="S472" i="1"/>
  <c r="T472" i="1"/>
  <c r="O473" i="1"/>
  <c r="P473" i="1"/>
  <c r="Q473" i="1"/>
  <c r="R473" i="1"/>
  <c r="S473" i="1"/>
  <c r="T473" i="1"/>
  <c r="O474" i="1"/>
  <c r="P474" i="1"/>
  <c r="Q474" i="1"/>
  <c r="R474" i="1"/>
  <c r="S474" i="1"/>
  <c r="T474" i="1"/>
  <c r="O475" i="1"/>
  <c r="P475" i="1"/>
  <c r="Q475" i="1"/>
  <c r="R475" i="1"/>
  <c r="S475" i="1"/>
  <c r="T475" i="1"/>
  <c r="O476" i="1"/>
  <c r="P476" i="1"/>
  <c r="Q476" i="1"/>
  <c r="R476" i="1"/>
  <c r="S476" i="1"/>
  <c r="T476" i="1"/>
  <c r="O477" i="1"/>
  <c r="P477" i="1"/>
  <c r="Q477" i="1"/>
  <c r="R477" i="1"/>
  <c r="S477" i="1"/>
  <c r="T477" i="1"/>
  <c r="O478" i="1"/>
  <c r="P478" i="1"/>
  <c r="Q478" i="1"/>
  <c r="T478" i="1"/>
  <c r="O479" i="1"/>
  <c r="P479" i="1"/>
  <c r="R478" i="1" s="1"/>
  <c r="S478" i="1" s="1"/>
  <c r="Q479" i="1"/>
  <c r="R479" i="1"/>
  <c r="S479" i="1"/>
  <c r="T479" i="1"/>
  <c r="O480" i="1"/>
  <c r="P480" i="1"/>
  <c r="Q480" i="1"/>
  <c r="R480" i="1"/>
  <c r="S480" i="1"/>
  <c r="T480" i="1"/>
  <c r="O481" i="1"/>
  <c r="P481" i="1"/>
  <c r="Q481" i="1"/>
  <c r="R481" i="1"/>
  <c r="S481" i="1"/>
  <c r="T481" i="1"/>
  <c r="O482" i="1"/>
  <c r="P482" i="1"/>
  <c r="Q482" i="1"/>
  <c r="R482" i="1"/>
  <c r="S482" i="1"/>
  <c r="T482" i="1"/>
  <c r="O483" i="1"/>
  <c r="P483" i="1"/>
  <c r="Q483" i="1"/>
  <c r="T483" i="1"/>
  <c r="O484" i="1"/>
  <c r="P484" i="1"/>
  <c r="Q484" i="1"/>
  <c r="R484" i="1"/>
  <c r="S484" i="1"/>
  <c r="T484" i="1"/>
  <c r="O485" i="1"/>
  <c r="P485" i="1"/>
  <c r="Q485" i="1"/>
  <c r="R485" i="1"/>
  <c r="S485" i="1"/>
  <c r="T485" i="1"/>
  <c r="O486" i="1"/>
  <c r="P486" i="1"/>
  <c r="Q486" i="1"/>
  <c r="R486" i="1"/>
  <c r="S486" i="1"/>
  <c r="T486" i="1"/>
  <c r="O487" i="1"/>
  <c r="P487" i="1"/>
  <c r="Q487" i="1"/>
  <c r="R487" i="1"/>
  <c r="S487" i="1"/>
  <c r="T487" i="1"/>
  <c r="O488" i="1"/>
  <c r="P488" i="1"/>
  <c r="Q488" i="1"/>
  <c r="R488" i="1"/>
  <c r="S488" i="1"/>
  <c r="T488" i="1"/>
  <c r="O489" i="1"/>
  <c r="P489" i="1"/>
  <c r="Q489" i="1"/>
  <c r="R489" i="1"/>
  <c r="S489" i="1"/>
  <c r="T489" i="1"/>
  <c r="O490" i="1"/>
  <c r="P490" i="1"/>
  <c r="Q490" i="1"/>
  <c r="R490" i="1"/>
  <c r="S490" i="1"/>
  <c r="T490" i="1"/>
  <c r="O491" i="1"/>
  <c r="P491" i="1"/>
  <c r="Q491" i="1"/>
  <c r="R491" i="1"/>
  <c r="S491" i="1"/>
  <c r="T491" i="1"/>
  <c r="O492" i="1"/>
  <c r="P492" i="1"/>
  <c r="Q492" i="1"/>
  <c r="O493" i="1"/>
  <c r="P493" i="1"/>
  <c r="Q493" i="1"/>
  <c r="R493" i="1"/>
  <c r="S493" i="1"/>
  <c r="T493" i="1"/>
  <c r="O494" i="1"/>
  <c r="P494" i="1"/>
  <c r="Q494" i="1"/>
  <c r="R494" i="1"/>
  <c r="S494" i="1"/>
  <c r="T494" i="1"/>
  <c r="O495" i="1"/>
  <c r="P495" i="1"/>
  <c r="Q495" i="1"/>
  <c r="R495" i="1"/>
  <c r="S495" i="1"/>
  <c r="T495" i="1"/>
  <c r="O496" i="1"/>
  <c r="P496" i="1"/>
  <c r="Q496" i="1"/>
  <c r="R496" i="1"/>
  <c r="S496" i="1"/>
  <c r="T496" i="1"/>
  <c r="O497" i="1"/>
  <c r="P497" i="1"/>
  <c r="Q497" i="1"/>
  <c r="R497" i="1"/>
  <c r="S497" i="1"/>
  <c r="T497" i="1"/>
  <c r="O498" i="1"/>
  <c r="P498" i="1"/>
  <c r="Q498" i="1"/>
  <c r="O499" i="1"/>
  <c r="P499" i="1"/>
  <c r="R498" i="1" s="1"/>
  <c r="S498" i="1" s="1"/>
  <c r="Q499" i="1"/>
  <c r="T498" i="1" s="1"/>
  <c r="R499" i="1"/>
  <c r="S499" i="1"/>
  <c r="T499" i="1"/>
  <c r="O500" i="1"/>
  <c r="P500" i="1"/>
  <c r="Q500" i="1"/>
  <c r="R500" i="1"/>
  <c r="S500" i="1"/>
  <c r="T500" i="1"/>
  <c r="O501" i="1"/>
  <c r="P501" i="1"/>
  <c r="Q501" i="1"/>
  <c r="R501" i="1"/>
  <c r="S501" i="1"/>
  <c r="T501" i="1"/>
  <c r="O502" i="1"/>
  <c r="P502" i="1"/>
  <c r="Q502" i="1"/>
  <c r="R502" i="1"/>
  <c r="S502" i="1"/>
  <c r="T502" i="1"/>
  <c r="O503" i="1"/>
  <c r="P503" i="1"/>
  <c r="Q503" i="1"/>
  <c r="R503" i="1"/>
  <c r="S503" i="1"/>
  <c r="T503" i="1"/>
  <c r="O504" i="1"/>
  <c r="P504" i="1"/>
  <c r="Q504" i="1"/>
  <c r="R504" i="1"/>
  <c r="S504" i="1"/>
  <c r="T504" i="1"/>
  <c r="O505" i="1"/>
  <c r="P505" i="1"/>
  <c r="Q505" i="1"/>
  <c r="R505" i="1"/>
  <c r="S505" i="1"/>
  <c r="T505" i="1"/>
  <c r="O506" i="1"/>
  <c r="P506" i="1"/>
  <c r="Q506" i="1"/>
  <c r="R506" i="1"/>
  <c r="S506" i="1"/>
  <c r="T506" i="1"/>
  <c r="O507" i="1"/>
  <c r="P507" i="1"/>
  <c r="Q507" i="1"/>
  <c r="R507" i="1"/>
  <c r="S507" i="1"/>
  <c r="T507" i="1"/>
  <c r="O508" i="1"/>
  <c r="P508" i="1"/>
  <c r="Q508" i="1"/>
  <c r="R508" i="1"/>
  <c r="S508" i="1"/>
  <c r="T508" i="1"/>
  <c r="O509" i="1"/>
  <c r="P509" i="1"/>
  <c r="Q509" i="1"/>
  <c r="R509" i="1"/>
  <c r="S509" i="1"/>
  <c r="T509" i="1"/>
  <c r="O510" i="1"/>
  <c r="P510" i="1"/>
  <c r="Q510" i="1"/>
  <c r="R510" i="1"/>
  <c r="S510" i="1"/>
  <c r="T510" i="1"/>
  <c r="O511" i="1"/>
  <c r="P511" i="1"/>
  <c r="Q511" i="1"/>
  <c r="R511" i="1"/>
  <c r="S511" i="1"/>
  <c r="T511" i="1"/>
  <c r="O512" i="1"/>
  <c r="P512" i="1"/>
  <c r="Q512" i="1"/>
  <c r="R512" i="1"/>
  <c r="S512" i="1"/>
  <c r="T512" i="1"/>
  <c r="O513" i="1"/>
  <c r="P513" i="1"/>
  <c r="Q513" i="1"/>
  <c r="R513" i="1"/>
  <c r="S513" i="1"/>
  <c r="T513" i="1"/>
  <c r="O514" i="1"/>
  <c r="P514" i="1"/>
  <c r="Q514" i="1"/>
  <c r="R514" i="1"/>
  <c r="S514" i="1"/>
  <c r="T514" i="1"/>
  <c r="O515" i="1"/>
  <c r="P515" i="1"/>
  <c r="Q515" i="1"/>
  <c r="R515" i="1"/>
  <c r="S515" i="1"/>
  <c r="T515" i="1"/>
  <c r="O516" i="1"/>
  <c r="P516" i="1"/>
  <c r="Q516" i="1"/>
  <c r="R516" i="1"/>
  <c r="S516" i="1"/>
  <c r="T516" i="1"/>
  <c r="O517" i="1"/>
  <c r="P517" i="1"/>
  <c r="Q517" i="1"/>
  <c r="R517" i="1"/>
  <c r="S517" i="1"/>
  <c r="T517" i="1"/>
  <c r="O518" i="1"/>
  <c r="P518" i="1"/>
  <c r="Q518" i="1"/>
  <c r="R518" i="1"/>
  <c r="S518" i="1"/>
  <c r="T518" i="1"/>
  <c r="O519" i="1"/>
  <c r="P519" i="1"/>
  <c r="Q519" i="1"/>
  <c r="R519" i="1"/>
  <c r="S519" i="1"/>
  <c r="T519" i="1"/>
  <c r="O520" i="1"/>
  <c r="P520" i="1"/>
  <c r="Q520" i="1"/>
  <c r="R520" i="1"/>
  <c r="S520" i="1"/>
  <c r="T520" i="1"/>
  <c r="O521" i="1"/>
  <c r="P521" i="1"/>
  <c r="Q521" i="1"/>
  <c r="R521" i="1"/>
  <c r="S521" i="1"/>
  <c r="T521" i="1"/>
  <c r="O522" i="1"/>
  <c r="P522" i="1"/>
  <c r="Q522" i="1"/>
  <c r="R522" i="1"/>
  <c r="S522" i="1"/>
  <c r="T522" i="1"/>
  <c r="O523" i="1"/>
  <c r="P523" i="1"/>
  <c r="Q523" i="1"/>
  <c r="R523" i="1"/>
  <c r="S523" i="1"/>
  <c r="T523" i="1"/>
  <c r="O524" i="1"/>
  <c r="P524" i="1"/>
  <c r="Q524" i="1"/>
  <c r="R524" i="1"/>
  <c r="S524" i="1"/>
  <c r="T524" i="1"/>
  <c r="O525" i="1"/>
  <c r="P525" i="1"/>
  <c r="Q525" i="1"/>
  <c r="R525" i="1"/>
  <c r="S525" i="1"/>
  <c r="T525" i="1"/>
  <c r="O526" i="1"/>
  <c r="P526" i="1"/>
  <c r="Q526" i="1"/>
  <c r="R526" i="1"/>
  <c r="S526" i="1"/>
  <c r="T526" i="1"/>
  <c r="O527" i="1"/>
  <c r="P527" i="1"/>
  <c r="Q527" i="1"/>
  <c r="R527" i="1"/>
  <c r="S527" i="1"/>
  <c r="T527" i="1"/>
  <c r="O528" i="1"/>
  <c r="P528" i="1"/>
  <c r="Q528" i="1"/>
  <c r="R528" i="1"/>
  <c r="S528" i="1"/>
  <c r="T528" i="1"/>
  <c r="O529" i="1"/>
  <c r="P529" i="1"/>
  <c r="Q529" i="1"/>
  <c r="R529" i="1"/>
  <c r="S529" i="1"/>
  <c r="T529" i="1"/>
  <c r="O530" i="1"/>
  <c r="P530" i="1"/>
  <c r="Q530" i="1"/>
  <c r="R530" i="1"/>
  <c r="S530" i="1"/>
  <c r="T530" i="1"/>
  <c r="O531" i="1"/>
  <c r="P531" i="1"/>
  <c r="Q531" i="1"/>
  <c r="R531" i="1"/>
  <c r="S531" i="1"/>
  <c r="T531" i="1"/>
  <c r="O532" i="1"/>
  <c r="P532" i="1"/>
  <c r="Q532" i="1"/>
  <c r="R532" i="1"/>
  <c r="S532" i="1"/>
  <c r="T532" i="1"/>
  <c r="O533" i="1"/>
  <c r="P533" i="1"/>
  <c r="Q533" i="1"/>
  <c r="R533" i="1"/>
  <c r="S533" i="1"/>
  <c r="T533" i="1"/>
  <c r="O534" i="1"/>
  <c r="P534" i="1"/>
  <c r="Q534" i="1"/>
  <c r="R534" i="1"/>
  <c r="S534" i="1"/>
  <c r="T534" i="1"/>
  <c r="O535" i="1"/>
  <c r="P535" i="1"/>
  <c r="Q535" i="1"/>
  <c r="R535" i="1"/>
  <c r="S535" i="1"/>
  <c r="T535" i="1"/>
  <c r="O536" i="1"/>
  <c r="P536" i="1"/>
  <c r="Q536" i="1"/>
  <c r="R536" i="1"/>
  <c r="S536" i="1"/>
  <c r="O537" i="1"/>
  <c r="P537" i="1"/>
  <c r="Q537" i="1"/>
  <c r="R537" i="1"/>
  <c r="S537" i="1"/>
  <c r="T537" i="1"/>
  <c r="O538" i="1"/>
  <c r="P538" i="1"/>
  <c r="Q538" i="1"/>
  <c r="R538" i="1"/>
  <c r="S538" i="1"/>
  <c r="T538" i="1"/>
  <c r="O539" i="1"/>
  <c r="P539" i="1"/>
  <c r="Q539" i="1"/>
  <c r="R539" i="1"/>
  <c r="S539" i="1"/>
  <c r="T539" i="1"/>
  <c r="O540" i="1"/>
  <c r="P540" i="1"/>
  <c r="Q540" i="1"/>
  <c r="R540" i="1"/>
  <c r="S540" i="1"/>
  <c r="T540" i="1"/>
  <c r="O541" i="1"/>
  <c r="P541" i="1"/>
  <c r="Q541" i="1"/>
  <c r="R541" i="1"/>
  <c r="S541" i="1"/>
  <c r="T541" i="1"/>
  <c r="O542" i="1"/>
  <c r="P542" i="1"/>
  <c r="Q542" i="1"/>
  <c r="R542" i="1"/>
  <c r="S542" i="1"/>
  <c r="T542" i="1"/>
  <c r="O543" i="1"/>
  <c r="P543" i="1"/>
  <c r="Q543" i="1"/>
  <c r="R543" i="1"/>
  <c r="S543" i="1"/>
  <c r="T543" i="1"/>
  <c r="O544" i="1"/>
  <c r="P544" i="1"/>
  <c r="Q544" i="1"/>
  <c r="R544" i="1"/>
  <c r="S544" i="1"/>
  <c r="T544" i="1"/>
  <c r="O545" i="1"/>
  <c r="P545" i="1"/>
  <c r="Q545" i="1"/>
  <c r="R545" i="1"/>
  <c r="S545" i="1"/>
  <c r="T545" i="1"/>
  <c r="O546" i="1"/>
  <c r="P546" i="1"/>
  <c r="Q546" i="1"/>
  <c r="R546" i="1"/>
  <c r="S546" i="1"/>
  <c r="T546" i="1"/>
  <c r="O547" i="1"/>
  <c r="P547" i="1"/>
  <c r="Q547" i="1"/>
  <c r="R547" i="1"/>
  <c r="S547" i="1"/>
  <c r="T547" i="1"/>
  <c r="O548" i="1"/>
  <c r="P548" i="1"/>
  <c r="Q548" i="1"/>
  <c r="R548" i="1"/>
  <c r="S548" i="1"/>
  <c r="T548" i="1"/>
  <c r="O549" i="1"/>
  <c r="P549" i="1"/>
  <c r="Q549" i="1"/>
  <c r="R549" i="1"/>
  <c r="S549" i="1"/>
  <c r="T549" i="1"/>
  <c r="R550" i="1"/>
  <c r="S550" i="1"/>
  <c r="T550" i="1"/>
  <c r="O551" i="1"/>
  <c r="P551" i="1"/>
  <c r="Q551" i="1"/>
  <c r="R551" i="1"/>
  <c r="S551" i="1"/>
  <c r="T551" i="1"/>
  <c r="O552" i="1"/>
  <c r="P552" i="1"/>
  <c r="Q552" i="1"/>
  <c r="R552" i="1"/>
  <c r="S552" i="1"/>
  <c r="T552" i="1"/>
  <c r="O553" i="1"/>
  <c r="P553" i="1"/>
  <c r="Q553" i="1"/>
  <c r="R553" i="1"/>
  <c r="S553" i="1"/>
  <c r="T553" i="1"/>
  <c r="O554" i="1"/>
  <c r="P554" i="1"/>
  <c r="Q554" i="1"/>
  <c r="R554" i="1"/>
  <c r="S554" i="1"/>
  <c r="T554" i="1"/>
  <c r="O555" i="1"/>
  <c r="P555" i="1"/>
  <c r="Q555" i="1"/>
  <c r="R555" i="1"/>
  <c r="S555" i="1"/>
  <c r="T555" i="1"/>
  <c r="O556" i="1"/>
  <c r="P556" i="1"/>
  <c r="Q556" i="1"/>
  <c r="R556" i="1"/>
  <c r="S556" i="1"/>
  <c r="T556" i="1"/>
  <c r="R557" i="1"/>
  <c r="S557" i="1"/>
  <c r="T557" i="1"/>
  <c r="O558" i="1"/>
  <c r="P558" i="1"/>
  <c r="Q558" i="1"/>
  <c r="R558" i="1"/>
  <c r="S558" i="1"/>
  <c r="T558" i="1"/>
  <c r="O559" i="1"/>
  <c r="P559" i="1"/>
  <c r="Q559" i="1"/>
  <c r="R559" i="1"/>
  <c r="S559" i="1"/>
  <c r="T559" i="1"/>
  <c r="O560" i="1"/>
  <c r="P560" i="1"/>
  <c r="Q560" i="1"/>
  <c r="R560" i="1"/>
  <c r="S560" i="1"/>
  <c r="T560" i="1"/>
  <c r="O561" i="1"/>
  <c r="P561" i="1"/>
  <c r="Q561" i="1"/>
  <c r="R561" i="1"/>
  <c r="S561" i="1"/>
  <c r="T561" i="1"/>
  <c r="O562" i="1"/>
  <c r="P562" i="1"/>
  <c r="Q562" i="1"/>
  <c r="R562" i="1"/>
  <c r="S562" i="1"/>
  <c r="T562" i="1"/>
  <c r="O563" i="1"/>
  <c r="P563" i="1"/>
  <c r="Q563" i="1"/>
  <c r="R563" i="1"/>
  <c r="S563" i="1"/>
  <c r="T563" i="1"/>
  <c r="O564" i="1"/>
  <c r="P564" i="1"/>
  <c r="Q564" i="1"/>
  <c r="R564" i="1"/>
  <c r="S564" i="1"/>
  <c r="T564" i="1"/>
  <c r="O565" i="1"/>
  <c r="P565" i="1"/>
  <c r="Q565" i="1"/>
  <c r="R565" i="1"/>
  <c r="S565" i="1"/>
  <c r="T565" i="1"/>
  <c r="O566" i="1"/>
  <c r="P566" i="1"/>
  <c r="Q566" i="1"/>
  <c r="R566" i="1"/>
  <c r="S566" i="1"/>
  <c r="T566" i="1"/>
  <c r="O567" i="1"/>
  <c r="P567" i="1"/>
  <c r="Q567" i="1"/>
  <c r="R567" i="1"/>
  <c r="S567" i="1"/>
  <c r="T567" i="1"/>
  <c r="O568" i="1"/>
  <c r="P568" i="1"/>
  <c r="Q568" i="1"/>
  <c r="R568" i="1"/>
  <c r="S568" i="1"/>
  <c r="T568" i="1"/>
  <c r="O569" i="1"/>
  <c r="P569" i="1"/>
  <c r="Q569" i="1"/>
  <c r="R569" i="1"/>
  <c r="S569" i="1"/>
  <c r="T569" i="1"/>
  <c r="O570" i="1"/>
  <c r="P570" i="1"/>
  <c r="Q570" i="1"/>
  <c r="R570" i="1"/>
  <c r="S570" i="1"/>
  <c r="T570" i="1"/>
  <c r="R571" i="1"/>
  <c r="S571" i="1"/>
  <c r="T571" i="1"/>
  <c r="O572" i="1"/>
  <c r="P572" i="1"/>
  <c r="Q572" i="1"/>
  <c r="R572" i="1"/>
  <c r="S572" i="1"/>
  <c r="T572" i="1"/>
  <c r="O573" i="1"/>
  <c r="P573" i="1"/>
  <c r="Q573" i="1"/>
  <c r="R573" i="1"/>
  <c r="S573" i="1"/>
  <c r="T573" i="1"/>
  <c r="O574" i="1"/>
  <c r="P574" i="1"/>
  <c r="Q574" i="1"/>
  <c r="R574" i="1"/>
  <c r="S574" i="1"/>
  <c r="T574" i="1"/>
  <c r="R575" i="1"/>
  <c r="S575" i="1"/>
  <c r="T575" i="1"/>
  <c r="R576" i="1"/>
  <c r="S576" i="1"/>
  <c r="T576" i="1"/>
  <c r="O577" i="1"/>
  <c r="P577" i="1"/>
  <c r="Q577" i="1"/>
  <c r="R577" i="1"/>
  <c r="S577" i="1"/>
  <c r="T577" i="1"/>
  <c r="O278" i="1"/>
  <c r="P278" i="1"/>
  <c r="Q278" i="1"/>
  <c r="R278" i="1"/>
  <c r="S278" i="1"/>
  <c r="T278" i="1"/>
  <c r="O279" i="1"/>
  <c r="P279" i="1"/>
  <c r="Q279" i="1"/>
  <c r="R279" i="1"/>
  <c r="S279" i="1"/>
  <c r="T279" i="1"/>
  <c r="O280" i="1"/>
  <c r="P280" i="1"/>
  <c r="Q280" i="1"/>
  <c r="R280" i="1"/>
  <c r="S280" i="1"/>
  <c r="T280" i="1"/>
  <c r="O281" i="1"/>
  <c r="P281" i="1"/>
  <c r="Q281" i="1"/>
  <c r="R281" i="1"/>
  <c r="S281" i="1"/>
  <c r="T281" i="1"/>
  <c r="O282" i="1"/>
  <c r="P282" i="1"/>
  <c r="Q282" i="1"/>
  <c r="R282" i="1"/>
  <c r="S282" i="1"/>
  <c r="T282" i="1"/>
  <c r="O283" i="1"/>
  <c r="P283" i="1"/>
  <c r="Q283" i="1"/>
  <c r="R283" i="1"/>
  <c r="S283" i="1"/>
  <c r="T283" i="1"/>
  <c r="O284" i="1"/>
  <c r="P284" i="1"/>
  <c r="Q284" i="1"/>
  <c r="T284" i="1"/>
  <c r="O285" i="1"/>
  <c r="P285" i="1"/>
  <c r="R284" i="1" s="1"/>
  <c r="S284" i="1" s="1"/>
  <c r="Q285" i="1"/>
  <c r="R285" i="1"/>
  <c r="S285" i="1"/>
  <c r="T285" i="1"/>
  <c r="O286" i="1"/>
  <c r="P286" i="1"/>
  <c r="Q286" i="1"/>
  <c r="R286" i="1"/>
  <c r="S286" i="1"/>
  <c r="T286" i="1"/>
  <c r="O287" i="1"/>
  <c r="P287" i="1"/>
  <c r="Q287" i="1"/>
  <c r="R287" i="1"/>
  <c r="S287" i="1"/>
  <c r="T287" i="1"/>
  <c r="O288" i="1"/>
  <c r="P288" i="1"/>
  <c r="Q288" i="1"/>
  <c r="R288" i="1"/>
  <c r="S288" i="1"/>
  <c r="T288" i="1"/>
  <c r="O289" i="1"/>
  <c r="P289" i="1"/>
  <c r="Q289" i="1"/>
  <c r="R289" i="1"/>
  <c r="S289" i="1"/>
  <c r="T289" i="1"/>
  <c r="O290" i="1"/>
  <c r="P290" i="1"/>
  <c r="Q290" i="1"/>
  <c r="R290" i="1"/>
  <c r="S290" i="1"/>
  <c r="T290" i="1"/>
  <c r="O291" i="1"/>
  <c r="P291" i="1"/>
  <c r="Q291" i="1"/>
  <c r="R291" i="1"/>
  <c r="S291" i="1"/>
  <c r="T291" i="1"/>
  <c r="O292" i="1"/>
  <c r="P292" i="1"/>
  <c r="Q292" i="1"/>
  <c r="R292" i="1"/>
  <c r="S292" i="1"/>
  <c r="T292" i="1"/>
  <c r="O293" i="1"/>
  <c r="P293" i="1"/>
  <c r="Q293" i="1"/>
  <c r="R293" i="1"/>
  <c r="S293" i="1"/>
  <c r="T293" i="1"/>
  <c r="O294" i="1"/>
  <c r="P294" i="1"/>
  <c r="Q294" i="1"/>
  <c r="R294" i="1"/>
  <c r="S294" i="1"/>
  <c r="T294" i="1"/>
  <c r="O295" i="1"/>
  <c r="P295" i="1"/>
  <c r="Q295" i="1"/>
  <c r="R295" i="1"/>
  <c r="S295" i="1"/>
  <c r="T295" i="1"/>
  <c r="O296" i="1"/>
  <c r="P296" i="1"/>
  <c r="Q296" i="1"/>
  <c r="R296" i="1"/>
  <c r="S296" i="1"/>
  <c r="T296" i="1"/>
  <c r="O297" i="1"/>
  <c r="P297" i="1"/>
  <c r="Q297" i="1"/>
  <c r="R297" i="1"/>
  <c r="S297" i="1"/>
  <c r="T297" i="1"/>
  <c r="O298" i="1"/>
  <c r="P298" i="1"/>
  <c r="Q298" i="1"/>
  <c r="R298" i="1"/>
  <c r="S298" i="1"/>
  <c r="T298" i="1"/>
  <c r="O299" i="1"/>
  <c r="P299" i="1"/>
  <c r="Q299" i="1"/>
  <c r="R299" i="1"/>
  <c r="S299" i="1"/>
  <c r="T299" i="1"/>
  <c r="O300" i="1"/>
  <c r="P300" i="1"/>
  <c r="Q300" i="1"/>
  <c r="R300" i="1"/>
  <c r="S300" i="1"/>
  <c r="T300" i="1"/>
  <c r="O301" i="1"/>
  <c r="P301" i="1"/>
  <c r="Q301" i="1"/>
  <c r="R301" i="1"/>
  <c r="S301" i="1"/>
  <c r="T301" i="1"/>
  <c r="O302" i="1"/>
  <c r="P302" i="1"/>
  <c r="Q302" i="1"/>
  <c r="R302" i="1"/>
  <c r="S302" i="1"/>
  <c r="T302" i="1"/>
  <c r="O303" i="1"/>
  <c r="P303" i="1"/>
  <c r="Q303" i="1"/>
  <c r="R303" i="1"/>
  <c r="S303" i="1"/>
  <c r="T303" i="1"/>
  <c r="O304" i="1"/>
  <c r="P304" i="1"/>
  <c r="Q304" i="1"/>
  <c r="R304" i="1"/>
  <c r="S304" i="1"/>
  <c r="T304" i="1"/>
  <c r="O305" i="1"/>
  <c r="P305" i="1"/>
  <c r="Q305" i="1"/>
  <c r="R305" i="1"/>
  <c r="S305" i="1"/>
  <c r="T305" i="1"/>
  <c r="O306" i="1"/>
  <c r="P306" i="1"/>
  <c r="Q306" i="1"/>
  <c r="R306" i="1"/>
  <c r="S306" i="1"/>
  <c r="T306" i="1"/>
  <c r="O307" i="1"/>
  <c r="P307" i="1"/>
  <c r="Q307" i="1"/>
  <c r="R307" i="1"/>
  <c r="S307" i="1"/>
  <c r="T307" i="1"/>
  <c r="O308" i="1"/>
  <c r="P308" i="1"/>
  <c r="Q308" i="1"/>
  <c r="R308" i="1"/>
  <c r="S308" i="1"/>
  <c r="T308" i="1"/>
  <c r="O309" i="1"/>
  <c r="P309" i="1"/>
  <c r="Q309" i="1"/>
  <c r="R309" i="1"/>
  <c r="S309" i="1"/>
  <c r="T309" i="1"/>
  <c r="O310" i="1"/>
  <c r="P310" i="1"/>
  <c r="Q310" i="1"/>
  <c r="R310" i="1"/>
  <c r="S310" i="1"/>
  <c r="T310" i="1"/>
  <c r="O311" i="1"/>
  <c r="P311" i="1"/>
  <c r="Q311" i="1"/>
  <c r="R311" i="1"/>
  <c r="S311" i="1"/>
  <c r="T311" i="1"/>
  <c r="O312" i="1"/>
  <c r="Q312" i="1"/>
  <c r="R312" i="1"/>
  <c r="S312" i="1"/>
  <c r="T312" i="1"/>
  <c r="O313" i="1"/>
  <c r="P313" i="1"/>
  <c r="Q313" i="1"/>
  <c r="R313" i="1"/>
  <c r="S313" i="1"/>
  <c r="T313" i="1"/>
  <c r="O314" i="1"/>
  <c r="P314" i="1"/>
  <c r="Q314" i="1"/>
  <c r="R314" i="1"/>
  <c r="S314" i="1"/>
  <c r="T314" i="1"/>
  <c r="O315" i="1"/>
  <c r="P315" i="1"/>
  <c r="Q315" i="1"/>
  <c r="R315" i="1"/>
  <c r="S315" i="1"/>
  <c r="T315" i="1"/>
  <c r="O316" i="1"/>
  <c r="P316" i="1"/>
  <c r="Q316" i="1"/>
  <c r="R316" i="1"/>
  <c r="S316" i="1"/>
  <c r="T316" i="1"/>
  <c r="O317" i="1"/>
  <c r="Q317" i="1"/>
  <c r="R317" i="1"/>
  <c r="S317" i="1"/>
  <c r="T317" i="1"/>
  <c r="O318" i="1"/>
  <c r="P318" i="1"/>
  <c r="Q318" i="1"/>
  <c r="R318" i="1"/>
  <c r="S318" i="1"/>
  <c r="T318" i="1"/>
  <c r="O319" i="1"/>
  <c r="P319" i="1"/>
  <c r="Q319" i="1"/>
  <c r="R319" i="1"/>
  <c r="S319" i="1"/>
  <c r="T319" i="1"/>
  <c r="O320" i="1"/>
  <c r="P320" i="1"/>
  <c r="Q320" i="1"/>
  <c r="R320" i="1"/>
  <c r="S320" i="1"/>
  <c r="T320" i="1"/>
  <c r="O321" i="1"/>
  <c r="P321" i="1"/>
  <c r="Q321" i="1"/>
  <c r="R321" i="1"/>
  <c r="S321" i="1"/>
  <c r="T321" i="1"/>
  <c r="O322" i="1"/>
  <c r="P322" i="1"/>
  <c r="Q322" i="1"/>
  <c r="R322" i="1"/>
  <c r="S322" i="1"/>
  <c r="T322" i="1"/>
  <c r="O323" i="1"/>
  <c r="P323" i="1"/>
  <c r="Q323" i="1"/>
  <c r="R323" i="1"/>
  <c r="S323" i="1"/>
  <c r="T323" i="1"/>
  <c r="O324" i="1"/>
  <c r="P324" i="1"/>
  <c r="Q324" i="1"/>
  <c r="R324" i="1"/>
  <c r="S324" i="1"/>
  <c r="T324" i="1"/>
  <c r="O325" i="1"/>
  <c r="P325" i="1"/>
  <c r="Q325" i="1"/>
  <c r="R325" i="1"/>
  <c r="S325" i="1"/>
  <c r="T325" i="1"/>
  <c r="O326" i="1"/>
  <c r="P326" i="1"/>
  <c r="Q326" i="1"/>
  <c r="R326" i="1"/>
  <c r="S326" i="1"/>
  <c r="T326" i="1"/>
  <c r="O327" i="1"/>
  <c r="P327" i="1"/>
  <c r="Q327" i="1"/>
  <c r="R327" i="1"/>
  <c r="S327" i="1"/>
  <c r="T327" i="1"/>
  <c r="O328" i="1"/>
  <c r="P328" i="1"/>
  <c r="Q328" i="1"/>
  <c r="R328" i="1"/>
  <c r="S328" i="1"/>
  <c r="T328" i="1"/>
  <c r="O329" i="1"/>
  <c r="P329" i="1"/>
  <c r="Q329" i="1"/>
  <c r="R329" i="1"/>
  <c r="S329" i="1"/>
  <c r="T329" i="1"/>
  <c r="O330" i="1"/>
  <c r="P330" i="1"/>
  <c r="Q330" i="1"/>
  <c r="R330" i="1"/>
  <c r="S330" i="1"/>
  <c r="T330" i="1"/>
  <c r="O331" i="1"/>
  <c r="P331" i="1"/>
  <c r="Q331" i="1"/>
  <c r="R331" i="1"/>
  <c r="S331" i="1"/>
  <c r="T331" i="1"/>
  <c r="O332" i="1"/>
  <c r="P332" i="1"/>
  <c r="Q332" i="1"/>
  <c r="R332" i="1"/>
  <c r="S332" i="1"/>
  <c r="T332" i="1"/>
  <c r="O333" i="1"/>
  <c r="P333" i="1"/>
  <c r="R333" i="1"/>
  <c r="S333" i="1"/>
  <c r="T333" i="1"/>
  <c r="O334" i="1"/>
  <c r="P334" i="1"/>
  <c r="R334" i="1"/>
  <c r="S334" i="1"/>
  <c r="T334" i="1"/>
  <c r="O335" i="1"/>
  <c r="P335" i="1"/>
  <c r="R335" i="1"/>
  <c r="S335" i="1"/>
  <c r="T335" i="1"/>
  <c r="O336" i="1"/>
  <c r="P336" i="1"/>
  <c r="R336" i="1"/>
  <c r="S336" i="1"/>
  <c r="T336" i="1"/>
  <c r="O337" i="1"/>
  <c r="P337" i="1"/>
  <c r="R337" i="1"/>
  <c r="S337" i="1"/>
  <c r="T337" i="1"/>
  <c r="O338" i="1"/>
  <c r="P338" i="1"/>
  <c r="R338" i="1"/>
  <c r="S338" i="1"/>
  <c r="T338" i="1"/>
  <c r="O339" i="1"/>
  <c r="P339" i="1"/>
  <c r="R339" i="1"/>
  <c r="S339" i="1"/>
  <c r="T339" i="1"/>
  <c r="O340" i="1"/>
  <c r="P340" i="1"/>
  <c r="R340" i="1"/>
  <c r="S340" i="1"/>
  <c r="T340" i="1"/>
  <c r="O341" i="1"/>
  <c r="P341" i="1"/>
  <c r="R341" i="1"/>
  <c r="S341" i="1"/>
  <c r="T341" i="1"/>
  <c r="O342" i="1"/>
  <c r="P342" i="1"/>
  <c r="R342" i="1"/>
  <c r="S342" i="1"/>
  <c r="T342" i="1"/>
  <c r="O343" i="1"/>
  <c r="P343" i="1"/>
  <c r="R343" i="1"/>
  <c r="S343" i="1"/>
  <c r="T343" i="1"/>
  <c r="O344" i="1"/>
  <c r="P344" i="1"/>
  <c r="R344" i="1"/>
  <c r="S344" i="1"/>
  <c r="T344" i="1"/>
  <c r="O345" i="1"/>
  <c r="P345" i="1"/>
  <c r="R345" i="1"/>
  <c r="S345" i="1"/>
  <c r="T345" i="1"/>
  <c r="O346" i="1"/>
  <c r="P346" i="1"/>
  <c r="R346" i="1"/>
  <c r="S346" i="1"/>
  <c r="T346" i="1"/>
  <c r="O347" i="1"/>
  <c r="P347" i="1"/>
  <c r="R347" i="1"/>
  <c r="S347" i="1"/>
  <c r="T347" i="1"/>
  <c r="O348" i="1"/>
  <c r="P348" i="1"/>
  <c r="R348" i="1"/>
  <c r="S348" i="1"/>
  <c r="T348" i="1"/>
  <c r="O349" i="1"/>
  <c r="P349" i="1"/>
  <c r="R349" i="1"/>
  <c r="S349" i="1"/>
  <c r="T349" i="1"/>
  <c r="O350" i="1"/>
  <c r="P350" i="1"/>
  <c r="R350" i="1"/>
  <c r="S350" i="1"/>
  <c r="T350" i="1"/>
  <c r="O351" i="1"/>
  <c r="P351" i="1"/>
  <c r="R351" i="1"/>
  <c r="S351" i="1"/>
  <c r="T351" i="1"/>
  <c r="O352" i="1"/>
  <c r="P352" i="1"/>
  <c r="Q352" i="1"/>
  <c r="R352" i="1"/>
  <c r="S352" i="1"/>
  <c r="T352" i="1"/>
  <c r="R353" i="1"/>
  <c r="S353" i="1"/>
  <c r="T353" i="1"/>
  <c r="O354" i="1"/>
  <c r="P354" i="1"/>
  <c r="R354" i="1"/>
  <c r="S354" i="1"/>
  <c r="T354" i="1"/>
  <c r="R355" i="1"/>
  <c r="S355" i="1"/>
  <c r="T355" i="1"/>
  <c r="O356" i="1"/>
  <c r="P356" i="1"/>
  <c r="Q356" i="1"/>
  <c r="R356" i="1"/>
  <c r="S356" i="1"/>
  <c r="T356" i="1"/>
  <c r="P357" i="1"/>
  <c r="Q357" i="1"/>
  <c r="R357" i="1"/>
  <c r="S357" i="1"/>
  <c r="T357" i="1"/>
  <c r="O358" i="1"/>
  <c r="P358" i="1"/>
  <c r="Q358" i="1"/>
  <c r="R358" i="1"/>
  <c r="S358" i="1"/>
  <c r="T358" i="1"/>
  <c r="O359" i="1"/>
  <c r="P359" i="1"/>
  <c r="Q359" i="1"/>
  <c r="R359" i="1"/>
  <c r="S359" i="1"/>
  <c r="T359" i="1"/>
  <c r="O360" i="1"/>
  <c r="P360" i="1"/>
  <c r="Q360" i="1"/>
  <c r="R360" i="1"/>
  <c r="S360" i="1"/>
  <c r="T360" i="1"/>
  <c r="P361" i="1"/>
  <c r="Q361" i="1"/>
  <c r="R361" i="1"/>
  <c r="S361" i="1"/>
  <c r="T361" i="1"/>
  <c r="O362" i="1"/>
  <c r="P362" i="1"/>
  <c r="Q362" i="1"/>
  <c r="R362" i="1"/>
  <c r="S362" i="1"/>
  <c r="T362" i="1"/>
  <c r="R363" i="1"/>
  <c r="S363" i="1"/>
  <c r="T363" i="1"/>
  <c r="O364" i="1"/>
  <c r="P364" i="1"/>
  <c r="Q364" i="1"/>
  <c r="T364" i="1"/>
  <c r="P365" i="1"/>
  <c r="Q365" i="1"/>
  <c r="R365" i="1"/>
  <c r="S365" i="1"/>
  <c r="T365" i="1"/>
  <c r="O366" i="1"/>
  <c r="P366" i="1"/>
  <c r="Q366" i="1"/>
  <c r="R366" i="1"/>
  <c r="S366" i="1"/>
  <c r="T366" i="1"/>
  <c r="O367" i="1"/>
  <c r="P367" i="1"/>
  <c r="Q367" i="1"/>
  <c r="R367" i="1"/>
  <c r="S367" i="1"/>
  <c r="T367" i="1"/>
  <c r="O368" i="1"/>
  <c r="P368" i="1"/>
  <c r="Q368" i="1"/>
  <c r="R368" i="1"/>
  <c r="S368" i="1"/>
  <c r="T368" i="1"/>
  <c r="O369" i="1"/>
  <c r="P369" i="1"/>
  <c r="Q369" i="1"/>
  <c r="R369" i="1"/>
  <c r="S369" i="1"/>
  <c r="T369" i="1"/>
  <c r="O370" i="1"/>
  <c r="P370" i="1"/>
  <c r="Q370" i="1"/>
  <c r="R370" i="1"/>
  <c r="S370" i="1"/>
  <c r="T370" i="1"/>
  <c r="O371" i="1"/>
  <c r="P371" i="1"/>
  <c r="Q371" i="1"/>
  <c r="R371" i="1"/>
  <c r="S371" i="1"/>
  <c r="T371" i="1"/>
  <c r="Q372" i="1"/>
  <c r="R372" i="1"/>
  <c r="S372" i="1"/>
  <c r="T372" i="1"/>
  <c r="O373" i="1"/>
  <c r="P373" i="1"/>
  <c r="Q373" i="1"/>
  <c r="R373" i="1"/>
  <c r="S373" i="1"/>
  <c r="T373" i="1"/>
  <c r="O374" i="1"/>
  <c r="P374" i="1"/>
  <c r="Q374" i="1"/>
  <c r="T374" i="1"/>
  <c r="O375" i="1"/>
  <c r="P375" i="1"/>
  <c r="Q375" i="1"/>
  <c r="R375" i="1"/>
  <c r="S375" i="1"/>
  <c r="T375" i="1"/>
  <c r="O376" i="1"/>
  <c r="P376" i="1"/>
  <c r="Q376" i="1"/>
  <c r="R376" i="1"/>
  <c r="S376" i="1"/>
  <c r="T376" i="1"/>
  <c r="O377" i="1"/>
  <c r="P377" i="1"/>
  <c r="Q377" i="1"/>
  <c r="R377" i="1"/>
  <c r="S377" i="1"/>
  <c r="T377" i="1"/>
  <c r="O378" i="1"/>
  <c r="P378" i="1"/>
  <c r="Q378" i="1"/>
  <c r="R378" i="1"/>
  <c r="S378" i="1"/>
  <c r="T378" i="1"/>
  <c r="O379" i="1"/>
  <c r="P379" i="1"/>
  <c r="Q379" i="1"/>
  <c r="R379" i="1"/>
  <c r="S379" i="1"/>
  <c r="T379" i="1"/>
  <c r="O380" i="1"/>
  <c r="P380" i="1"/>
  <c r="Q380" i="1"/>
  <c r="R380" i="1"/>
  <c r="S380" i="1"/>
  <c r="T380" i="1"/>
  <c r="O381" i="1"/>
  <c r="P381" i="1"/>
  <c r="Q381" i="1"/>
  <c r="R381" i="1"/>
  <c r="S381" i="1"/>
  <c r="T381" i="1"/>
  <c r="O382" i="1"/>
  <c r="P382" i="1"/>
  <c r="Q382" i="1"/>
  <c r="R382" i="1"/>
  <c r="S382" i="1"/>
  <c r="T382" i="1"/>
  <c r="O383" i="1"/>
  <c r="P383" i="1"/>
  <c r="Q383" i="1"/>
  <c r="R383" i="1"/>
  <c r="S383" i="1"/>
  <c r="T383" i="1"/>
  <c r="O384" i="1"/>
  <c r="P384" i="1"/>
  <c r="Q384" i="1"/>
  <c r="R384" i="1"/>
  <c r="S384" i="1"/>
  <c r="T384" i="1"/>
  <c r="O385" i="1"/>
  <c r="P385" i="1"/>
  <c r="Q385" i="1"/>
  <c r="R385" i="1"/>
  <c r="S385" i="1"/>
  <c r="T385" i="1"/>
  <c r="O386" i="1"/>
  <c r="P386" i="1"/>
  <c r="Q386" i="1"/>
  <c r="R386" i="1"/>
  <c r="S386" i="1"/>
  <c r="T386" i="1"/>
  <c r="O387" i="1"/>
  <c r="P387" i="1"/>
  <c r="Q387" i="1"/>
  <c r="R387" i="1"/>
  <c r="S387" i="1"/>
  <c r="T387" i="1"/>
  <c r="O388" i="1"/>
  <c r="P388" i="1"/>
  <c r="Q388" i="1"/>
  <c r="T388" i="1"/>
  <c r="O389" i="1"/>
  <c r="P389" i="1"/>
  <c r="Q389" i="1"/>
  <c r="R389" i="1"/>
  <c r="S389" i="1"/>
  <c r="T389" i="1"/>
  <c r="O390" i="1"/>
  <c r="P390" i="1"/>
  <c r="Q390" i="1"/>
  <c r="R390" i="1"/>
  <c r="S390" i="1"/>
  <c r="T390" i="1"/>
  <c r="O391" i="1"/>
  <c r="P391" i="1"/>
  <c r="Q391" i="1"/>
  <c r="R391" i="1"/>
  <c r="S391" i="1"/>
  <c r="T391" i="1"/>
  <c r="O392" i="1"/>
  <c r="P392" i="1"/>
  <c r="Q392" i="1"/>
  <c r="R392" i="1"/>
  <c r="S392" i="1"/>
  <c r="T392" i="1"/>
  <c r="R393" i="1"/>
  <c r="S393" i="1"/>
  <c r="T393" i="1"/>
  <c r="O394" i="1"/>
  <c r="P394" i="1"/>
  <c r="Q394" i="1"/>
  <c r="R394" i="1"/>
  <c r="S394" i="1"/>
  <c r="T394" i="1"/>
  <c r="R395" i="1"/>
  <c r="S395" i="1"/>
  <c r="T395" i="1"/>
  <c r="O396" i="1"/>
  <c r="P396" i="1"/>
  <c r="Q396" i="1"/>
  <c r="R396" i="1"/>
  <c r="S396" i="1"/>
  <c r="T396" i="1"/>
  <c r="O397" i="1"/>
  <c r="P397" i="1"/>
  <c r="Q397" i="1"/>
  <c r="R397" i="1"/>
  <c r="S397" i="1"/>
  <c r="T397" i="1"/>
  <c r="O398" i="1"/>
  <c r="P398" i="1"/>
  <c r="Q398" i="1"/>
  <c r="R398" i="1"/>
  <c r="S398" i="1"/>
  <c r="T398" i="1"/>
  <c r="O399" i="1"/>
  <c r="P399" i="1"/>
  <c r="Q399" i="1"/>
  <c r="R399" i="1"/>
  <c r="S399" i="1"/>
  <c r="T399" i="1"/>
  <c r="O400" i="1"/>
  <c r="P400" i="1"/>
  <c r="Q400" i="1"/>
  <c r="R400" i="1"/>
  <c r="S400" i="1"/>
  <c r="T400" i="1"/>
  <c r="O401" i="1"/>
  <c r="P401" i="1"/>
  <c r="Q401" i="1"/>
  <c r="R401" i="1"/>
  <c r="S401" i="1"/>
  <c r="T401" i="1"/>
  <c r="O402" i="1"/>
  <c r="P402" i="1"/>
  <c r="Q402" i="1"/>
  <c r="R402" i="1"/>
  <c r="S402" i="1"/>
  <c r="T402" i="1"/>
  <c r="O403" i="1"/>
  <c r="P403" i="1"/>
  <c r="Q403" i="1"/>
  <c r="R403" i="1"/>
  <c r="S403" i="1"/>
  <c r="T403" i="1"/>
  <c r="O404" i="1"/>
  <c r="P404" i="1"/>
  <c r="Q404" i="1"/>
  <c r="R404" i="1"/>
  <c r="S404" i="1"/>
  <c r="T404" i="1"/>
  <c r="O405" i="1"/>
  <c r="P405" i="1"/>
  <c r="Q405" i="1"/>
  <c r="R405" i="1"/>
  <c r="S405" i="1"/>
  <c r="T405" i="1"/>
  <c r="O406" i="1"/>
  <c r="P406" i="1"/>
  <c r="Q406" i="1"/>
  <c r="R406" i="1"/>
  <c r="S406" i="1"/>
  <c r="T406" i="1"/>
  <c r="O407" i="1"/>
  <c r="P407" i="1"/>
  <c r="Q407" i="1"/>
  <c r="R407" i="1"/>
  <c r="S407" i="1"/>
  <c r="T407" i="1"/>
  <c r="O408" i="1"/>
  <c r="P408" i="1"/>
  <c r="Q408" i="1"/>
  <c r="R408" i="1"/>
  <c r="S408" i="1"/>
  <c r="T408" i="1"/>
  <c r="O409" i="1"/>
  <c r="P409" i="1"/>
  <c r="Q409" i="1"/>
  <c r="R409" i="1"/>
  <c r="S409" i="1"/>
  <c r="T409" i="1"/>
  <c r="O410" i="1"/>
  <c r="P410" i="1"/>
  <c r="Q410" i="1"/>
  <c r="R410" i="1"/>
  <c r="S410" i="1"/>
  <c r="T410" i="1"/>
  <c r="O411" i="1"/>
  <c r="P411" i="1"/>
  <c r="Q411" i="1"/>
  <c r="R411" i="1"/>
  <c r="S411" i="1"/>
  <c r="T411" i="1"/>
  <c r="O412" i="1"/>
  <c r="P412" i="1"/>
  <c r="Q412" i="1"/>
  <c r="R412" i="1"/>
  <c r="S412" i="1"/>
  <c r="T412" i="1"/>
  <c r="O413" i="1"/>
  <c r="P413" i="1"/>
  <c r="Q413" i="1"/>
  <c r="R413" i="1"/>
  <c r="S413" i="1"/>
  <c r="T413" i="1"/>
  <c r="O414" i="1"/>
  <c r="P414" i="1"/>
  <c r="Q414" i="1"/>
  <c r="R414" i="1"/>
  <c r="S414" i="1"/>
  <c r="T414" i="1"/>
  <c r="O415" i="1"/>
  <c r="P415" i="1"/>
  <c r="Q415" i="1"/>
  <c r="R415" i="1"/>
  <c r="S415" i="1"/>
  <c r="T415" i="1"/>
  <c r="O416" i="1"/>
  <c r="P416" i="1"/>
  <c r="Q416" i="1"/>
  <c r="R416" i="1"/>
  <c r="S416" i="1"/>
  <c r="T416" i="1"/>
  <c r="O417" i="1"/>
  <c r="P417" i="1"/>
  <c r="Q417" i="1"/>
  <c r="R417" i="1"/>
  <c r="S417" i="1"/>
  <c r="T417" i="1"/>
  <c r="O418" i="1"/>
  <c r="P418" i="1"/>
  <c r="Q418" i="1"/>
  <c r="R418" i="1"/>
  <c r="S418" i="1"/>
  <c r="T418" i="1"/>
  <c r="O419" i="1"/>
  <c r="P419" i="1"/>
  <c r="Q419" i="1"/>
  <c r="R419" i="1"/>
  <c r="S419" i="1"/>
  <c r="T419" i="1"/>
  <c r="O420" i="1"/>
  <c r="P420" i="1"/>
  <c r="Q420" i="1"/>
  <c r="R420" i="1"/>
  <c r="S420" i="1"/>
  <c r="T420" i="1"/>
  <c r="O421" i="1"/>
  <c r="P421" i="1"/>
  <c r="Q421" i="1"/>
  <c r="R421" i="1"/>
  <c r="S421" i="1"/>
  <c r="T421" i="1"/>
  <c r="O422" i="1"/>
  <c r="P422" i="1"/>
  <c r="Q422" i="1"/>
  <c r="R422" i="1"/>
  <c r="S422" i="1"/>
  <c r="T422" i="1"/>
  <c r="O423" i="1"/>
  <c r="P423" i="1"/>
  <c r="Q423" i="1"/>
  <c r="R423" i="1"/>
  <c r="S423" i="1"/>
  <c r="T423" i="1"/>
  <c r="O424" i="1"/>
  <c r="P424" i="1"/>
  <c r="Q424" i="1"/>
  <c r="R424" i="1"/>
  <c r="S424" i="1"/>
  <c r="T424" i="1"/>
  <c r="AO3" i="1"/>
  <c r="AP3" i="1"/>
  <c r="AR3" i="1"/>
  <c r="AS3" i="1"/>
  <c r="AT3" i="1"/>
  <c r="AU3" i="1"/>
  <c r="AV3" i="1"/>
  <c r="AX3" i="1"/>
  <c r="AY3" i="1"/>
  <c r="AZ3" i="1"/>
  <c r="BA3" i="1"/>
  <c r="AO4" i="1"/>
  <c r="AP4" i="1"/>
  <c r="AR4" i="1"/>
  <c r="AS4" i="1"/>
  <c r="AT4" i="1"/>
  <c r="AU4" i="1"/>
  <c r="AV4" i="1"/>
  <c r="AX4" i="1"/>
  <c r="AY4" i="1"/>
  <c r="AZ4" i="1"/>
  <c r="BA4" i="1"/>
  <c r="AO5" i="1"/>
  <c r="AP5" i="1"/>
  <c r="AR5" i="1"/>
  <c r="AS5" i="1"/>
  <c r="AT5" i="1"/>
  <c r="AU5" i="1"/>
  <c r="AV5" i="1"/>
  <c r="AX5" i="1"/>
  <c r="AY5" i="1"/>
  <c r="AZ5" i="1"/>
  <c r="BA5" i="1"/>
  <c r="AO6" i="1"/>
  <c r="AP6" i="1"/>
  <c r="AR6" i="1"/>
  <c r="AS6" i="1"/>
  <c r="AT6" i="1"/>
  <c r="AU6" i="1"/>
  <c r="AV6" i="1"/>
  <c r="AX6" i="1"/>
  <c r="AY6" i="1"/>
  <c r="AO7" i="1"/>
  <c r="AP7" i="1"/>
  <c r="AR7" i="1"/>
  <c r="AS7" i="1"/>
  <c r="AT7" i="1"/>
  <c r="AU7" i="1"/>
  <c r="AV7" i="1"/>
  <c r="AX7" i="1"/>
  <c r="AY7" i="1"/>
  <c r="AO8" i="1"/>
  <c r="AP8" i="1"/>
  <c r="AR8" i="1"/>
  <c r="AS8" i="1"/>
  <c r="AT8" i="1"/>
  <c r="AU8" i="1"/>
  <c r="AV8" i="1"/>
  <c r="AX8" i="1"/>
  <c r="AY8" i="1"/>
  <c r="AO9" i="1"/>
  <c r="AP9" i="1"/>
  <c r="AR9" i="1"/>
  <c r="AS9" i="1"/>
  <c r="AT9" i="1"/>
  <c r="AU9" i="1"/>
  <c r="AV9" i="1"/>
  <c r="AX9" i="1"/>
  <c r="AY9" i="1"/>
  <c r="AZ9" i="1"/>
  <c r="BA9" i="1"/>
  <c r="AO10" i="1"/>
  <c r="AP10" i="1"/>
  <c r="AR10" i="1"/>
  <c r="AS10" i="1"/>
  <c r="AT10" i="1"/>
  <c r="AU10" i="1"/>
  <c r="AV10" i="1"/>
  <c r="AX10" i="1"/>
  <c r="AY10" i="1"/>
  <c r="AZ10" i="1"/>
  <c r="BA10" i="1"/>
  <c r="AO11" i="1"/>
  <c r="AP11" i="1"/>
  <c r="AR11" i="1"/>
  <c r="AS11" i="1"/>
  <c r="AT11" i="1"/>
  <c r="AU11" i="1"/>
  <c r="AV11" i="1"/>
  <c r="AX11" i="1"/>
  <c r="AY11" i="1"/>
  <c r="AZ11" i="1"/>
  <c r="BA11" i="1"/>
  <c r="AO12" i="1"/>
  <c r="AP12" i="1"/>
  <c r="AR12" i="1"/>
  <c r="AS12" i="1"/>
  <c r="AT12" i="1"/>
  <c r="AU12" i="1"/>
  <c r="AV12" i="1"/>
  <c r="AX12" i="1"/>
  <c r="AY12" i="1"/>
  <c r="AZ12" i="1"/>
  <c r="BA12" i="1"/>
  <c r="AO13" i="1"/>
  <c r="AP13" i="1"/>
  <c r="AR13" i="1"/>
  <c r="AS13" i="1"/>
  <c r="AT13" i="1"/>
  <c r="AU13" i="1"/>
  <c r="AV13" i="1"/>
  <c r="AX13" i="1"/>
  <c r="AY13" i="1"/>
  <c r="AO14" i="1"/>
  <c r="AP14" i="1"/>
  <c r="AR14" i="1"/>
  <c r="AS14" i="1"/>
  <c r="AT14" i="1"/>
  <c r="AU14" i="1"/>
  <c r="AV14" i="1"/>
  <c r="AX14" i="1"/>
  <c r="AY14" i="1"/>
  <c r="AO15" i="1"/>
  <c r="AP15" i="1"/>
  <c r="AR15" i="1"/>
  <c r="AS15" i="1"/>
  <c r="AT15" i="1"/>
  <c r="AU15" i="1"/>
  <c r="AV15" i="1"/>
  <c r="AX15" i="1"/>
  <c r="AY15" i="1"/>
  <c r="AZ15" i="1"/>
  <c r="BA15" i="1"/>
  <c r="AO16" i="1"/>
  <c r="AP16" i="1"/>
  <c r="AR16" i="1"/>
  <c r="AS16" i="1"/>
  <c r="AT16" i="1"/>
  <c r="AU16" i="1"/>
  <c r="AV16" i="1"/>
  <c r="AX16" i="1"/>
  <c r="AY16" i="1"/>
  <c r="AO17" i="1"/>
  <c r="AP17" i="1"/>
  <c r="AR17" i="1"/>
  <c r="AS17" i="1"/>
  <c r="AT17" i="1"/>
  <c r="AU17" i="1"/>
  <c r="AV17" i="1"/>
  <c r="AX17" i="1"/>
  <c r="AY17" i="1"/>
  <c r="AZ17" i="1"/>
  <c r="BA17" i="1"/>
  <c r="AO18" i="1"/>
  <c r="AP18" i="1"/>
  <c r="AR18" i="1"/>
  <c r="AS18" i="1"/>
  <c r="AT18" i="1"/>
  <c r="AU18" i="1"/>
  <c r="AV18" i="1"/>
  <c r="AX18" i="1"/>
  <c r="AY18" i="1"/>
  <c r="AO19" i="1"/>
  <c r="AP19" i="1"/>
  <c r="AR19" i="1"/>
  <c r="AS19" i="1"/>
  <c r="AT19" i="1"/>
  <c r="AU19" i="1"/>
  <c r="AV19" i="1"/>
  <c r="AX19" i="1"/>
  <c r="AY19" i="1"/>
  <c r="AZ19" i="1"/>
  <c r="BA19" i="1"/>
  <c r="AO20" i="1"/>
  <c r="AP20" i="1"/>
  <c r="AR20" i="1"/>
  <c r="AS20" i="1"/>
  <c r="AT20" i="1"/>
  <c r="AU20" i="1"/>
  <c r="AV20" i="1"/>
  <c r="AX20" i="1"/>
  <c r="AY20" i="1"/>
  <c r="AO21" i="1"/>
  <c r="AP21" i="1"/>
  <c r="AR21" i="1"/>
  <c r="AS21" i="1"/>
  <c r="AT21" i="1"/>
  <c r="AU21" i="1"/>
  <c r="AV21" i="1"/>
  <c r="AX21" i="1"/>
  <c r="AY21" i="1"/>
  <c r="AZ21" i="1"/>
  <c r="BA21" i="1"/>
  <c r="AO22" i="1"/>
  <c r="AP22" i="1"/>
  <c r="AR22" i="1"/>
  <c r="AS22" i="1"/>
  <c r="AT22" i="1"/>
  <c r="AU22" i="1"/>
  <c r="AV22" i="1"/>
  <c r="AX22" i="1"/>
  <c r="AY22" i="1"/>
  <c r="AZ22" i="1"/>
  <c r="BA22" i="1"/>
  <c r="AO23" i="1"/>
  <c r="AP23" i="1"/>
  <c r="AR23" i="1"/>
  <c r="AS23" i="1"/>
  <c r="AT23" i="1"/>
  <c r="AU23" i="1"/>
  <c r="AV23" i="1"/>
  <c r="AX23" i="1"/>
  <c r="AY23" i="1"/>
  <c r="AZ23" i="1"/>
  <c r="BA23" i="1"/>
  <c r="AO24" i="1"/>
  <c r="AP24" i="1"/>
  <c r="AR24" i="1"/>
  <c r="AS24" i="1"/>
  <c r="AT24" i="1"/>
  <c r="AU24" i="1"/>
  <c r="AV24" i="1"/>
  <c r="AX24" i="1"/>
  <c r="AY24" i="1"/>
  <c r="AO25" i="1"/>
  <c r="AP25" i="1"/>
  <c r="AR25" i="1"/>
  <c r="AS25" i="1"/>
  <c r="AT25" i="1"/>
  <c r="AU25" i="1"/>
  <c r="AV25" i="1"/>
  <c r="AX25" i="1"/>
  <c r="AY25" i="1"/>
  <c r="AO26" i="1"/>
  <c r="AP26" i="1"/>
  <c r="AR26" i="1"/>
  <c r="AS26" i="1"/>
  <c r="AT26" i="1"/>
  <c r="AU26" i="1"/>
  <c r="AV26" i="1"/>
  <c r="AX26" i="1"/>
  <c r="AY26" i="1"/>
  <c r="AZ26" i="1"/>
  <c r="BA26" i="1"/>
  <c r="AO27" i="1"/>
  <c r="AP27" i="1"/>
  <c r="AR27" i="1"/>
  <c r="AS27" i="1"/>
  <c r="AT27" i="1"/>
  <c r="AU27" i="1"/>
  <c r="AV27" i="1"/>
  <c r="AX27" i="1"/>
  <c r="AY27" i="1"/>
  <c r="AO28" i="1"/>
  <c r="AP28" i="1"/>
  <c r="AR28" i="1"/>
  <c r="AS28" i="1"/>
  <c r="AT28" i="1"/>
  <c r="AU28" i="1"/>
  <c r="AV28" i="1"/>
  <c r="AX28" i="1"/>
  <c r="AY28" i="1"/>
  <c r="AZ28" i="1"/>
  <c r="BA28" i="1"/>
  <c r="AO29" i="1"/>
  <c r="AP29" i="1"/>
  <c r="AR29" i="1"/>
  <c r="AS29" i="1"/>
  <c r="AT29" i="1"/>
  <c r="AU29" i="1"/>
  <c r="AV29" i="1"/>
  <c r="AX29" i="1"/>
  <c r="AY29" i="1"/>
  <c r="AZ29" i="1"/>
  <c r="BA29" i="1"/>
  <c r="AO30" i="1"/>
  <c r="AP30" i="1"/>
  <c r="AR30" i="1"/>
  <c r="AS30" i="1"/>
  <c r="AT30" i="1"/>
  <c r="AU30" i="1"/>
  <c r="AV30" i="1"/>
  <c r="AX30" i="1"/>
  <c r="AY30" i="1"/>
  <c r="AZ30" i="1"/>
  <c r="BA30" i="1"/>
  <c r="AO31" i="1"/>
  <c r="AP31" i="1"/>
  <c r="AR31" i="1"/>
  <c r="AS31" i="1"/>
  <c r="AT31" i="1"/>
  <c r="AU31" i="1"/>
  <c r="AV31" i="1"/>
  <c r="AX31" i="1"/>
  <c r="AY31" i="1"/>
  <c r="AZ31" i="1"/>
  <c r="BA31" i="1"/>
  <c r="AO32" i="1"/>
  <c r="AP32" i="1"/>
  <c r="AR32" i="1"/>
  <c r="AS32" i="1"/>
  <c r="AT32" i="1"/>
  <c r="AU32" i="1"/>
  <c r="AV32" i="1"/>
  <c r="AX32" i="1"/>
  <c r="AY32" i="1"/>
  <c r="AZ32" i="1"/>
  <c r="BA32" i="1"/>
  <c r="AO33" i="1"/>
  <c r="AP33" i="1"/>
  <c r="AR33" i="1"/>
  <c r="AS33" i="1"/>
  <c r="AT33" i="1"/>
  <c r="AU33" i="1"/>
  <c r="AV33" i="1"/>
  <c r="AX33" i="1"/>
  <c r="AY33" i="1"/>
  <c r="AZ33" i="1"/>
  <c r="BA33" i="1"/>
  <c r="AO34" i="1"/>
  <c r="AP34" i="1"/>
  <c r="AR34" i="1"/>
  <c r="AS34" i="1"/>
  <c r="AT34" i="1"/>
  <c r="AU34" i="1"/>
  <c r="AV34" i="1"/>
  <c r="AX34" i="1"/>
  <c r="AY34" i="1"/>
  <c r="AZ34" i="1"/>
  <c r="BA34" i="1"/>
  <c r="AO35" i="1"/>
  <c r="AP35" i="1"/>
  <c r="AR35" i="1"/>
  <c r="AS35" i="1"/>
  <c r="AT35" i="1"/>
  <c r="AU35" i="1"/>
  <c r="AV35" i="1"/>
  <c r="AX35" i="1"/>
  <c r="AY35" i="1"/>
  <c r="AZ35" i="1"/>
  <c r="BA35" i="1"/>
  <c r="AO36" i="1"/>
  <c r="AP36" i="1"/>
  <c r="AR36" i="1"/>
  <c r="AS36" i="1"/>
  <c r="AT36" i="1"/>
  <c r="AU36" i="1"/>
  <c r="AV36" i="1"/>
  <c r="AX36" i="1"/>
  <c r="AY36" i="1"/>
  <c r="AZ36" i="1"/>
  <c r="BA36" i="1"/>
  <c r="AO37" i="1"/>
  <c r="AP37" i="1"/>
  <c r="AR37" i="1"/>
  <c r="AS37" i="1"/>
  <c r="AT37" i="1"/>
  <c r="AU37" i="1"/>
  <c r="AV37" i="1"/>
  <c r="AX37" i="1"/>
  <c r="AY37" i="1"/>
  <c r="AZ37" i="1"/>
  <c r="BA37" i="1"/>
  <c r="AO38" i="1"/>
  <c r="AP38" i="1"/>
  <c r="AR38" i="1"/>
  <c r="AS38" i="1"/>
  <c r="AT38" i="1"/>
  <c r="AU38" i="1"/>
  <c r="AV38" i="1"/>
  <c r="AX38" i="1"/>
  <c r="AY38" i="1"/>
  <c r="AZ38" i="1"/>
  <c r="BA38" i="1"/>
  <c r="AO39" i="1"/>
  <c r="AP39" i="1"/>
  <c r="AR39" i="1"/>
  <c r="AS39" i="1"/>
  <c r="AT39" i="1"/>
  <c r="AU39" i="1"/>
  <c r="AV39" i="1"/>
  <c r="AX39" i="1"/>
  <c r="AY39" i="1"/>
  <c r="AZ39" i="1"/>
  <c r="BA39" i="1"/>
  <c r="AO40" i="1"/>
  <c r="AP40" i="1"/>
  <c r="AR40" i="1"/>
  <c r="AS40" i="1"/>
  <c r="AT40" i="1"/>
  <c r="AU40" i="1"/>
  <c r="AV40" i="1"/>
  <c r="AX40" i="1"/>
  <c r="AY40" i="1"/>
  <c r="AZ40" i="1"/>
  <c r="BA40" i="1"/>
  <c r="AO41" i="1"/>
  <c r="AP41" i="1"/>
  <c r="AR41" i="1"/>
  <c r="AS41" i="1"/>
  <c r="AT41" i="1"/>
  <c r="AU41" i="1"/>
  <c r="AV41" i="1"/>
  <c r="AX41" i="1"/>
  <c r="AY41" i="1"/>
  <c r="AZ41" i="1"/>
  <c r="BA41" i="1"/>
  <c r="AO42" i="1"/>
  <c r="AP42" i="1"/>
  <c r="AR42" i="1"/>
  <c r="AS42" i="1"/>
  <c r="AT42" i="1"/>
  <c r="AU42" i="1"/>
  <c r="AV42" i="1"/>
  <c r="AX42" i="1"/>
  <c r="AY42" i="1"/>
  <c r="AZ42" i="1"/>
  <c r="BA42" i="1"/>
  <c r="AO43" i="1"/>
  <c r="AP43" i="1"/>
  <c r="AR43" i="1"/>
  <c r="AS43" i="1"/>
  <c r="AT43" i="1"/>
  <c r="AU43" i="1"/>
  <c r="AV43" i="1"/>
  <c r="AX43" i="1"/>
  <c r="AY43" i="1"/>
  <c r="AZ43" i="1"/>
  <c r="BA43" i="1"/>
  <c r="AO44" i="1"/>
  <c r="AP44" i="1"/>
  <c r="AR44" i="1"/>
  <c r="AS44" i="1"/>
  <c r="AT44" i="1"/>
  <c r="AU44" i="1"/>
  <c r="AV44" i="1"/>
  <c r="AX44" i="1"/>
  <c r="AY44" i="1"/>
  <c r="AZ44" i="1"/>
  <c r="BA44" i="1"/>
  <c r="AO45" i="1"/>
  <c r="AP45" i="1"/>
  <c r="AR45" i="1"/>
  <c r="AS45" i="1"/>
  <c r="AT45" i="1"/>
  <c r="AU45" i="1"/>
  <c r="AV45" i="1"/>
  <c r="AX45" i="1"/>
  <c r="AY45" i="1"/>
  <c r="AZ45" i="1"/>
  <c r="BA45" i="1"/>
  <c r="AO46" i="1"/>
  <c r="AP46" i="1"/>
  <c r="AR46" i="1"/>
  <c r="AS46" i="1"/>
  <c r="AT46" i="1"/>
  <c r="AU46" i="1"/>
  <c r="AV46" i="1"/>
  <c r="AX46" i="1"/>
  <c r="AY46" i="1"/>
  <c r="AZ46" i="1"/>
  <c r="BA46" i="1"/>
  <c r="AO47" i="1"/>
  <c r="AP47" i="1"/>
  <c r="AR47" i="1"/>
  <c r="AS47" i="1"/>
  <c r="AT47" i="1"/>
  <c r="AU47" i="1"/>
  <c r="AV47" i="1"/>
  <c r="AX47" i="1"/>
  <c r="AY47" i="1"/>
  <c r="AZ47" i="1"/>
  <c r="BA47" i="1"/>
  <c r="AO48" i="1"/>
  <c r="AP48" i="1"/>
  <c r="AR48" i="1"/>
  <c r="AS48" i="1"/>
  <c r="AT48" i="1"/>
  <c r="AU48" i="1"/>
  <c r="AV48" i="1"/>
  <c r="AX48" i="1"/>
  <c r="AY48" i="1"/>
  <c r="AZ48" i="1"/>
  <c r="BA48" i="1"/>
  <c r="AO49" i="1"/>
  <c r="AP49" i="1"/>
  <c r="AR49" i="1"/>
  <c r="AS49" i="1"/>
  <c r="AT49" i="1"/>
  <c r="AU49" i="1"/>
  <c r="AV49" i="1"/>
  <c r="AX49" i="1"/>
  <c r="AY49" i="1"/>
  <c r="AZ49" i="1"/>
  <c r="BA49" i="1"/>
  <c r="AO50" i="1"/>
  <c r="AP50" i="1"/>
  <c r="AR50" i="1"/>
  <c r="AS50" i="1"/>
  <c r="AT50" i="1"/>
  <c r="AU50" i="1"/>
  <c r="AV50" i="1"/>
  <c r="AX50" i="1"/>
  <c r="AY50" i="1"/>
  <c r="AZ50" i="1"/>
  <c r="BA50" i="1"/>
  <c r="AO51" i="1"/>
  <c r="AP51" i="1"/>
  <c r="AR51" i="1"/>
  <c r="AS51" i="1"/>
  <c r="AT51" i="1"/>
  <c r="AU51" i="1"/>
  <c r="AV51" i="1"/>
  <c r="AX51" i="1"/>
  <c r="AY51" i="1"/>
  <c r="AZ51" i="1"/>
  <c r="BA51" i="1"/>
  <c r="AO52" i="1"/>
  <c r="AP52" i="1"/>
  <c r="AR52" i="1"/>
  <c r="AS52" i="1"/>
  <c r="AT52" i="1"/>
  <c r="AU52" i="1"/>
  <c r="AV52" i="1"/>
  <c r="AX52" i="1"/>
  <c r="AY52" i="1"/>
  <c r="AZ52" i="1"/>
  <c r="BA52" i="1"/>
  <c r="AO53" i="1"/>
  <c r="AP53" i="1"/>
  <c r="AR53" i="1"/>
  <c r="AS53" i="1"/>
  <c r="AT53" i="1"/>
  <c r="AU53" i="1"/>
  <c r="AV53" i="1"/>
  <c r="AX53" i="1"/>
  <c r="AY53" i="1"/>
  <c r="AZ53" i="1"/>
  <c r="BA53" i="1"/>
  <c r="AO54" i="1"/>
  <c r="AP54" i="1"/>
  <c r="AR54" i="1"/>
  <c r="AS54" i="1"/>
  <c r="AT54" i="1"/>
  <c r="AU54" i="1"/>
  <c r="AV54" i="1"/>
  <c r="AX54" i="1"/>
  <c r="AY54" i="1"/>
  <c r="AZ54" i="1"/>
  <c r="BA54" i="1"/>
  <c r="AO55" i="1"/>
  <c r="AP55" i="1"/>
  <c r="AR55" i="1"/>
  <c r="AS55" i="1"/>
  <c r="AT55" i="1"/>
  <c r="AU55" i="1"/>
  <c r="AV55" i="1"/>
  <c r="AX55" i="1"/>
  <c r="AY55" i="1"/>
  <c r="AZ55" i="1"/>
  <c r="BA55" i="1"/>
  <c r="AO56" i="1"/>
  <c r="AP56" i="1"/>
  <c r="AR56" i="1"/>
  <c r="AS56" i="1"/>
  <c r="AT56" i="1"/>
  <c r="AU56" i="1"/>
  <c r="AV56" i="1"/>
  <c r="AX56" i="1"/>
  <c r="AY56" i="1"/>
  <c r="AZ56" i="1"/>
  <c r="BA56" i="1"/>
  <c r="AO57" i="1"/>
  <c r="AP57" i="1"/>
  <c r="AR57" i="1"/>
  <c r="AS57" i="1"/>
  <c r="AT57" i="1"/>
  <c r="AU57" i="1"/>
  <c r="AV57" i="1"/>
  <c r="AX57" i="1"/>
  <c r="AY57" i="1"/>
  <c r="AZ57" i="1"/>
  <c r="BA57" i="1"/>
  <c r="AO58" i="1"/>
  <c r="AP58" i="1"/>
  <c r="AR58" i="1"/>
  <c r="AS58" i="1"/>
  <c r="AT58" i="1"/>
  <c r="AU58" i="1"/>
  <c r="AV58" i="1"/>
  <c r="AX58" i="1"/>
  <c r="AY58" i="1"/>
  <c r="AZ58" i="1"/>
  <c r="BA58" i="1"/>
  <c r="AO59" i="1"/>
  <c r="AP59" i="1"/>
  <c r="AR59" i="1"/>
  <c r="AS59" i="1"/>
  <c r="AT59" i="1"/>
  <c r="AU59" i="1"/>
  <c r="AV59" i="1"/>
  <c r="AX59" i="1"/>
  <c r="AY59" i="1"/>
  <c r="AZ59" i="1"/>
  <c r="BA59" i="1"/>
  <c r="AO60" i="1"/>
  <c r="AP60" i="1"/>
  <c r="AR60" i="1"/>
  <c r="AS60" i="1"/>
  <c r="AT60" i="1"/>
  <c r="AU60" i="1"/>
  <c r="AV60" i="1"/>
  <c r="AX60" i="1"/>
  <c r="AY60" i="1"/>
  <c r="AZ60" i="1"/>
  <c r="BA60" i="1"/>
  <c r="AO61" i="1"/>
  <c r="AP61" i="1"/>
  <c r="AR61" i="1"/>
  <c r="AS61" i="1"/>
  <c r="AT61" i="1"/>
  <c r="AU61" i="1"/>
  <c r="AV61" i="1"/>
  <c r="AX61" i="1"/>
  <c r="AY61" i="1"/>
  <c r="AZ61" i="1"/>
  <c r="BA61" i="1"/>
  <c r="AO62" i="1"/>
  <c r="AP62" i="1"/>
  <c r="AR62" i="1"/>
  <c r="AS62" i="1"/>
  <c r="AT62" i="1"/>
  <c r="AU62" i="1"/>
  <c r="AV62" i="1"/>
  <c r="AX62" i="1"/>
  <c r="AY62" i="1"/>
  <c r="AZ62" i="1"/>
  <c r="BA62" i="1"/>
  <c r="AO63" i="1"/>
  <c r="AP63" i="1"/>
  <c r="AR63" i="1"/>
  <c r="AS63" i="1"/>
  <c r="AT63" i="1"/>
  <c r="AU63" i="1"/>
  <c r="AV63" i="1"/>
  <c r="AX63" i="1"/>
  <c r="AY63" i="1"/>
  <c r="AZ63" i="1"/>
  <c r="BA63" i="1"/>
  <c r="AO64" i="1"/>
  <c r="AP64" i="1"/>
  <c r="AR64" i="1"/>
  <c r="AS64" i="1"/>
  <c r="AT64" i="1"/>
  <c r="AU64" i="1"/>
  <c r="AV64" i="1"/>
  <c r="AX64" i="1"/>
  <c r="AY64" i="1"/>
  <c r="AZ64" i="1"/>
  <c r="BA64" i="1"/>
  <c r="AO65" i="1"/>
  <c r="AP65" i="1"/>
  <c r="AR65" i="1"/>
  <c r="AS65" i="1"/>
  <c r="AT65" i="1"/>
  <c r="AU65" i="1"/>
  <c r="AV65" i="1"/>
  <c r="AX65" i="1"/>
  <c r="AY65" i="1"/>
  <c r="AZ65" i="1"/>
  <c r="BA65" i="1"/>
  <c r="AO66" i="1"/>
  <c r="AP66" i="1"/>
  <c r="AR66" i="1"/>
  <c r="AS66" i="1"/>
  <c r="AT66" i="1"/>
  <c r="AU66" i="1"/>
  <c r="AV66" i="1"/>
  <c r="AX66" i="1"/>
  <c r="AY66" i="1"/>
  <c r="AZ66" i="1"/>
  <c r="BA66" i="1"/>
  <c r="AO67" i="1"/>
  <c r="AP67" i="1"/>
  <c r="AR67" i="1"/>
  <c r="AS67" i="1"/>
  <c r="AT67" i="1"/>
  <c r="AU67" i="1"/>
  <c r="AV67" i="1"/>
  <c r="AX67" i="1"/>
  <c r="AY67" i="1"/>
  <c r="AZ67" i="1"/>
  <c r="BA67" i="1"/>
  <c r="AO68" i="1"/>
  <c r="AP68" i="1"/>
  <c r="AR68" i="1"/>
  <c r="AS68" i="1"/>
  <c r="AT68" i="1"/>
  <c r="AU68" i="1"/>
  <c r="AV68" i="1"/>
  <c r="AX68" i="1"/>
  <c r="AY68" i="1"/>
  <c r="AO69" i="1"/>
  <c r="AP69" i="1"/>
  <c r="AR69" i="1"/>
  <c r="AS69" i="1"/>
  <c r="AT69" i="1"/>
  <c r="AU69" i="1"/>
  <c r="AV69" i="1"/>
  <c r="AX69" i="1"/>
  <c r="AY69" i="1"/>
  <c r="AZ69" i="1"/>
  <c r="BA69" i="1"/>
  <c r="AO70" i="1"/>
  <c r="AP70" i="1"/>
  <c r="AR70" i="1"/>
  <c r="AS70" i="1"/>
  <c r="AT70" i="1"/>
  <c r="AU70" i="1"/>
  <c r="AV70" i="1"/>
  <c r="AX70" i="1"/>
  <c r="AY70" i="1"/>
  <c r="AZ70" i="1"/>
  <c r="BA70" i="1"/>
  <c r="AO71" i="1"/>
  <c r="AP71" i="1"/>
  <c r="AR71" i="1"/>
  <c r="AS71" i="1"/>
  <c r="AT71" i="1"/>
  <c r="AU71" i="1"/>
  <c r="AV71" i="1"/>
  <c r="AX71" i="1"/>
  <c r="AY71" i="1"/>
  <c r="AZ71" i="1"/>
  <c r="BA71" i="1"/>
  <c r="AO72" i="1"/>
  <c r="AP72" i="1"/>
  <c r="AR72" i="1"/>
  <c r="AS72" i="1"/>
  <c r="AT72" i="1"/>
  <c r="AU72" i="1"/>
  <c r="AV72" i="1"/>
  <c r="AX72" i="1"/>
  <c r="AY72" i="1"/>
  <c r="AZ72" i="1"/>
  <c r="BA72" i="1"/>
  <c r="AO73" i="1"/>
  <c r="AP73" i="1"/>
  <c r="AR73" i="1"/>
  <c r="AS73" i="1"/>
  <c r="AT73" i="1"/>
  <c r="AU73" i="1"/>
  <c r="AV73" i="1"/>
  <c r="AX73" i="1"/>
  <c r="AY73" i="1"/>
  <c r="AZ73" i="1"/>
  <c r="BA73" i="1"/>
  <c r="AO74" i="1"/>
  <c r="AP74" i="1"/>
  <c r="AR74" i="1"/>
  <c r="AS74" i="1"/>
  <c r="AT74" i="1"/>
  <c r="AU74" i="1"/>
  <c r="AV74" i="1"/>
  <c r="AX74" i="1"/>
  <c r="AY74" i="1"/>
  <c r="AZ74" i="1"/>
  <c r="BA74" i="1"/>
  <c r="AO75" i="1"/>
  <c r="AP75" i="1"/>
  <c r="AR75" i="1"/>
  <c r="AS75" i="1"/>
  <c r="AT75" i="1"/>
  <c r="AU75" i="1"/>
  <c r="AV75" i="1"/>
  <c r="AX75" i="1"/>
  <c r="AY75" i="1"/>
  <c r="AZ75" i="1"/>
  <c r="BA75" i="1"/>
  <c r="AO76" i="1"/>
  <c r="AP76" i="1"/>
  <c r="AR76" i="1"/>
  <c r="AS76" i="1"/>
  <c r="AT76" i="1"/>
  <c r="AU76" i="1"/>
  <c r="AV76" i="1"/>
  <c r="AX76" i="1"/>
  <c r="AY76" i="1"/>
  <c r="AO77" i="1"/>
  <c r="AP77" i="1"/>
  <c r="AR77" i="1"/>
  <c r="AS77" i="1"/>
  <c r="AT77" i="1"/>
  <c r="AU77" i="1"/>
  <c r="AV77" i="1"/>
  <c r="AX77" i="1"/>
  <c r="AY77" i="1"/>
  <c r="AZ77" i="1"/>
  <c r="BA77" i="1"/>
  <c r="AO78" i="1"/>
  <c r="AP78" i="1"/>
  <c r="AR78" i="1"/>
  <c r="AS78" i="1"/>
  <c r="AT78" i="1"/>
  <c r="AU78" i="1"/>
  <c r="AV78" i="1"/>
  <c r="AX78" i="1"/>
  <c r="AY78" i="1"/>
  <c r="AZ78" i="1"/>
  <c r="BA78" i="1"/>
  <c r="AO79" i="1"/>
  <c r="AP79" i="1"/>
  <c r="AR79" i="1"/>
  <c r="AS79" i="1"/>
  <c r="AT79" i="1"/>
  <c r="AU79" i="1"/>
  <c r="AV79" i="1"/>
  <c r="AX79" i="1"/>
  <c r="AY79" i="1"/>
  <c r="AZ79" i="1"/>
  <c r="BA79" i="1"/>
  <c r="AO80" i="1"/>
  <c r="AP80" i="1"/>
  <c r="AR80" i="1"/>
  <c r="AS80" i="1"/>
  <c r="AT80" i="1"/>
  <c r="AU80" i="1"/>
  <c r="AV80" i="1"/>
  <c r="AX80" i="1"/>
  <c r="AY80" i="1"/>
  <c r="AZ80" i="1"/>
  <c r="BA80" i="1"/>
  <c r="AO81" i="1"/>
  <c r="AP81" i="1"/>
  <c r="AR81" i="1"/>
  <c r="AS81" i="1"/>
  <c r="AT81" i="1"/>
  <c r="AU81" i="1"/>
  <c r="AV81" i="1"/>
  <c r="AX81" i="1"/>
  <c r="AY81" i="1"/>
  <c r="AZ81" i="1"/>
  <c r="BA81" i="1"/>
  <c r="AO82" i="1"/>
  <c r="AP82" i="1"/>
  <c r="AR82" i="1"/>
  <c r="AS82" i="1"/>
  <c r="AT82" i="1"/>
  <c r="AU82" i="1"/>
  <c r="AV82" i="1"/>
  <c r="AX82" i="1"/>
  <c r="AY82" i="1"/>
  <c r="AZ82" i="1"/>
  <c r="BA82" i="1"/>
  <c r="AO83" i="1"/>
  <c r="AP83" i="1"/>
  <c r="AR83" i="1"/>
  <c r="AS83" i="1"/>
  <c r="AT83" i="1"/>
  <c r="AU83" i="1"/>
  <c r="AV83" i="1"/>
  <c r="AX83" i="1"/>
  <c r="AY83" i="1"/>
  <c r="AO84" i="1"/>
  <c r="AP84" i="1"/>
  <c r="AR84" i="1"/>
  <c r="AS84" i="1"/>
  <c r="AT84" i="1"/>
  <c r="AU84" i="1"/>
  <c r="AV84" i="1"/>
  <c r="AX84" i="1"/>
  <c r="AY84" i="1"/>
  <c r="AZ84" i="1"/>
  <c r="BA84" i="1"/>
  <c r="AO85" i="1"/>
  <c r="AP85" i="1"/>
  <c r="AR85" i="1"/>
  <c r="AS85" i="1"/>
  <c r="AT85" i="1"/>
  <c r="AU85" i="1"/>
  <c r="AV85" i="1"/>
  <c r="AX85" i="1"/>
  <c r="AY85" i="1"/>
  <c r="AO86" i="1"/>
  <c r="AP86" i="1"/>
  <c r="AR86" i="1"/>
  <c r="AS86" i="1"/>
  <c r="AT86" i="1"/>
  <c r="AU86" i="1"/>
  <c r="AV86" i="1"/>
  <c r="AX86" i="1"/>
  <c r="AY86" i="1"/>
  <c r="AZ86" i="1"/>
  <c r="BA86" i="1"/>
  <c r="AO87" i="1"/>
  <c r="AP87" i="1"/>
  <c r="AR87" i="1"/>
  <c r="AS87" i="1"/>
  <c r="AT87" i="1"/>
  <c r="AU87" i="1"/>
  <c r="AV87" i="1"/>
  <c r="AX87" i="1"/>
  <c r="AY87" i="1"/>
  <c r="AO88" i="1"/>
  <c r="AP88" i="1"/>
  <c r="AR88" i="1"/>
  <c r="AS88" i="1"/>
  <c r="AT88" i="1"/>
  <c r="AU88" i="1"/>
  <c r="AV88" i="1"/>
  <c r="AX88" i="1"/>
  <c r="AY88" i="1"/>
  <c r="AZ88" i="1"/>
  <c r="BA88" i="1"/>
  <c r="AO89" i="1"/>
  <c r="AP89" i="1"/>
  <c r="AR89" i="1"/>
  <c r="AS89" i="1"/>
  <c r="AT89" i="1"/>
  <c r="AU89" i="1"/>
  <c r="AV89" i="1"/>
  <c r="AX89" i="1"/>
  <c r="AY89" i="1"/>
  <c r="AZ89" i="1"/>
  <c r="BA89" i="1"/>
  <c r="AO90" i="1"/>
  <c r="AP90" i="1"/>
  <c r="AR90" i="1"/>
  <c r="AS90" i="1"/>
  <c r="AT90" i="1"/>
  <c r="AU90" i="1"/>
  <c r="AV90" i="1"/>
  <c r="AX90" i="1"/>
  <c r="AY90" i="1"/>
  <c r="AZ90" i="1"/>
  <c r="BA90" i="1"/>
  <c r="AO91" i="1"/>
  <c r="AP91" i="1"/>
  <c r="AR91" i="1"/>
  <c r="AS91" i="1"/>
  <c r="AT91" i="1"/>
  <c r="AU91" i="1"/>
  <c r="AV91" i="1"/>
  <c r="AX91" i="1"/>
  <c r="AY91" i="1"/>
  <c r="AO92" i="1"/>
  <c r="AP92" i="1"/>
  <c r="AR92" i="1"/>
  <c r="AS92" i="1"/>
  <c r="AT92" i="1"/>
  <c r="AU92" i="1"/>
  <c r="AV92" i="1"/>
  <c r="AX92" i="1"/>
  <c r="AY92" i="1"/>
  <c r="AZ92" i="1"/>
  <c r="BA92" i="1"/>
  <c r="AO93" i="1"/>
  <c r="AP93" i="1"/>
  <c r="AR93" i="1"/>
  <c r="AS93" i="1"/>
  <c r="AT93" i="1"/>
  <c r="AU93" i="1"/>
  <c r="AV93" i="1"/>
  <c r="AX93" i="1"/>
  <c r="AY93" i="1"/>
  <c r="AZ93" i="1"/>
  <c r="BA93" i="1"/>
  <c r="AO94" i="1"/>
  <c r="AP94" i="1"/>
  <c r="AR94" i="1"/>
  <c r="AS94" i="1"/>
  <c r="AT94" i="1"/>
  <c r="AU94" i="1"/>
  <c r="AV94" i="1"/>
  <c r="AX94" i="1"/>
  <c r="AY94" i="1"/>
  <c r="AO95" i="1"/>
  <c r="AP95" i="1"/>
  <c r="AR95" i="1"/>
  <c r="AS95" i="1"/>
  <c r="AT95" i="1"/>
  <c r="AU95" i="1"/>
  <c r="AV95" i="1"/>
  <c r="AX95" i="1"/>
  <c r="AY95" i="1"/>
  <c r="AZ95" i="1"/>
  <c r="BA95" i="1"/>
  <c r="AO96" i="1"/>
  <c r="AP96" i="1"/>
  <c r="AR96" i="1"/>
  <c r="AS96" i="1"/>
  <c r="AT96" i="1"/>
  <c r="AU96" i="1"/>
  <c r="AV96" i="1"/>
  <c r="AX96" i="1"/>
  <c r="AY96" i="1"/>
  <c r="AZ96" i="1"/>
  <c r="BA96" i="1"/>
  <c r="AO97" i="1"/>
  <c r="AP97" i="1"/>
  <c r="AR97" i="1"/>
  <c r="AS97" i="1"/>
  <c r="AT97" i="1"/>
  <c r="AU97" i="1"/>
  <c r="AV97" i="1"/>
  <c r="AX97" i="1"/>
  <c r="AY97" i="1"/>
  <c r="AZ97" i="1"/>
  <c r="BA97" i="1"/>
  <c r="AO98" i="1"/>
  <c r="AP98" i="1"/>
  <c r="AR98" i="1"/>
  <c r="AS98" i="1"/>
  <c r="AT98" i="1"/>
  <c r="AU98" i="1"/>
  <c r="AV98" i="1"/>
  <c r="AX98" i="1"/>
  <c r="AY98" i="1"/>
  <c r="AZ98" i="1"/>
  <c r="BA98" i="1"/>
  <c r="AO99" i="1"/>
  <c r="AP99" i="1"/>
  <c r="AR99" i="1"/>
  <c r="AS99" i="1"/>
  <c r="AT99" i="1"/>
  <c r="AU99" i="1"/>
  <c r="AV99" i="1"/>
  <c r="AX99" i="1"/>
  <c r="AY99" i="1"/>
  <c r="AZ99" i="1"/>
  <c r="BA99" i="1"/>
  <c r="AO100" i="1"/>
  <c r="AP100" i="1"/>
  <c r="AR100" i="1"/>
  <c r="AS100" i="1"/>
  <c r="AT100" i="1"/>
  <c r="AU100" i="1"/>
  <c r="AV100" i="1"/>
  <c r="AX100" i="1"/>
  <c r="AY100" i="1"/>
  <c r="AZ100" i="1"/>
  <c r="BA100" i="1"/>
  <c r="AO101" i="1"/>
  <c r="AP101" i="1"/>
  <c r="AR101" i="1"/>
  <c r="AS101" i="1"/>
  <c r="AT101" i="1"/>
  <c r="AU101" i="1"/>
  <c r="AV101" i="1"/>
  <c r="AX101" i="1"/>
  <c r="AY101" i="1"/>
  <c r="AZ101" i="1"/>
  <c r="BA101" i="1"/>
  <c r="AO102" i="1"/>
  <c r="AP102" i="1"/>
  <c r="AR102" i="1"/>
  <c r="AS102" i="1"/>
  <c r="AT102" i="1"/>
  <c r="AU102" i="1"/>
  <c r="AV102" i="1"/>
  <c r="AX102" i="1"/>
  <c r="AY102" i="1"/>
  <c r="AZ102" i="1"/>
  <c r="BA102" i="1"/>
  <c r="AO103" i="1"/>
  <c r="AP103" i="1"/>
  <c r="AR103" i="1"/>
  <c r="AS103" i="1"/>
  <c r="AT103" i="1"/>
  <c r="AU103" i="1"/>
  <c r="AV103" i="1"/>
  <c r="AX103" i="1"/>
  <c r="AY103" i="1"/>
  <c r="AZ103" i="1"/>
  <c r="BA103" i="1"/>
  <c r="AO104" i="1"/>
  <c r="AP104" i="1"/>
  <c r="AR104" i="1"/>
  <c r="AS104" i="1"/>
  <c r="AT104" i="1"/>
  <c r="AU104" i="1"/>
  <c r="AV104" i="1"/>
  <c r="AX104" i="1"/>
  <c r="AY104" i="1"/>
  <c r="AO105" i="1"/>
  <c r="AP105" i="1"/>
  <c r="AR105" i="1"/>
  <c r="AS105" i="1"/>
  <c r="AT105" i="1"/>
  <c r="AU105" i="1"/>
  <c r="AV105" i="1"/>
  <c r="AX105" i="1"/>
  <c r="AY105" i="1"/>
  <c r="AO106" i="1"/>
  <c r="AP106" i="1"/>
  <c r="AR106" i="1"/>
  <c r="AS106" i="1"/>
  <c r="AT106" i="1"/>
  <c r="AU106" i="1"/>
  <c r="AV106" i="1"/>
  <c r="AX106" i="1"/>
  <c r="AY106" i="1"/>
  <c r="AZ106" i="1"/>
  <c r="BA106" i="1"/>
  <c r="AO107" i="1"/>
  <c r="AP107" i="1"/>
  <c r="AR107" i="1"/>
  <c r="AS107" i="1"/>
  <c r="AT107" i="1"/>
  <c r="AU107" i="1"/>
  <c r="AV107" i="1"/>
  <c r="AX107" i="1"/>
  <c r="AY107" i="1"/>
  <c r="AZ107" i="1"/>
  <c r="BA107" i="1"/>
  <c r="AO108" i="1"/>
  <c r="AP108" i="1"/>
  <c r="AR108" i="1"/>
  <c r="AS108" i="1"/>
  <c r="AT108" i="1"/>
  <c r="AU108" i="1"/>
  <c r="AV108" i="1"/>
  <c r="AX108" i="1"/>
  <c r="AY108" i="1"/>
  <c r="AZ108" i="1"/>
  <c r="BA108" i="1"/>
  <c r="AO109" i="1"/>
  <c r="AP109" i="1"/>
  <c r="AR109" i="1"/>
  <c r="AS109" i="1"/>
  <c r="AT109" i="1"/>
  <c r="AU109" i="1"/>
  <c r="AV109" i="1"/>
  <c r="AX109" i="1"/>
  <c r="AY109" i="1"/>
  <c r="AO110" i="1"/>
  <c r="AP110" i="1"/>
  <c r="AR110" i="1"/>
  <c r="AS110" i="1"/>
  <c r="AT110" i="1"/>
  <c r="AU110" i="1"/>
  <c r="AV110" i="1"/>
  <c r="AX110" i="1"/>
  <c r="AY110" i="1"/>
  <c r="AZ110" i="1"/>
  <c r="BA110" i="1"/>
  <c r="AO111" i="1"/>
  <c r="AP111" i="1"/>
  <c r="AR111" i="1"/>
  <c r="AS111" i="1"/>
  <c r="AT111" i="1"/>
  <c r="AU111" i="1"/>
  <c r="AV111" i="1"/>
  <c r="AX111" i="1"/>
  <c r="AY111" i="1"/>
  <c r="AO112" i="1"/>
  <c r="AP112" i="1"/>
  <c r="AR112" i="1"/>
  <c r="AS112" i="1"/>
  <c r="AT112" i="1"/>
  <c r="AU112" i="1"/>
  <c r="AV112" i="1"/>
  <c r="AX112" i="1"/>
  <c r="AY112" i="1"/>
  <c r="AZ112" i="1"/>
  <c r="BA112" i="1"/>
  <c r="AO113" i="1"/>
  <c r="AP113" i="1"/>
  <c r="AR113" i="1"/>
  <c r="AS113" i="1"/>
  <c r="AT113" i="1"/>
  <c r="AU113" i="1"/>
  <c r="AV113" i="1"/>
  <c r="AX113" i="1"/>
  <c r="AY113" i="1"/>
  <c r="AZ113" i="1"/>
  <c r="BA113" i="1"/>
  <c r="AO114" i="1"/>
  <c r="AP114" i="1"/>
  <c r="AR114" i="1"/>
  <c r="AS114" i="1"/>
  <c r="AT114" i="1"/>
  <c r="AU114" i="1"/>
  <c r="AV114" i="1"/>
  <c r="AX114" i="1"/>
  <c r="AY114" i="1"/>
  <c r="AZ114" i="1"/>
  <c r="BA114" i="1"/>
  <c r="AO115" i="1"/>
  <c r="AP115" i="1"/>
  <c r="AR115" i="1"/>
  <c r="AS115" i="1"/>
  <c r="AT115" i="1"/>
  <c r="AU115" i="1"/>
  <c r="AV115" i="1"/>
  <c r="AX115" i="1"/>
  <c r="AY115" i="1"/>
  <c r="AZ115" i="1"/>
  <c r="BA115" i="1"/>
  <c r="AO116" i="1"/>
  <c r="AP116" i="1"/>
  <c r="AR116" i="1"/>
  <c r="AS116" i="1"/>
  <c r="AT116" i="1"/>
  <c r="AU116" i="1"/>
  <c r="AV116" i="1"/>
  <c r="AX116" i="1"/>
  <c r="AY116" i="1"/>
  <c r="AZ116" i="1"/>
  <c r="BA116" i="1"/>
  <c r="AO117" i="1"/>
  <c r="AP117" i="1"/>
  <c r="AR117" i="1"/>
  <c r="AS117" i="1"/>
  <c r="AT117" i="1"/>
  <c r="AU117" i="1"/>
  <c r="AV117" i="1"/>
  <c r="AX117" i="1"/>
  <c r="AY117" i="1"/>
  <c r="AZ117" i="1"/>
  <c r="BA117" i="1"/>
  <c r="AO118" i="1"/>
  <c r="AP118" i="1"/>
  <c r="AR118" i="1"/>
  <c r="AS118" i="1"/>
  <c r="AT118" i="1"/>
  <c r="AU118" i="1"/>
  <c r="AV118" i="1"/>
  <c r="AX118" i="1"/>
  <c r="AY118" i="1"/>
  <c r="AO119" i="1"/>
  <c r="AP119" i="1"/>
  <c r="AR119" i="1"/>
  <c r="AS119" i="1"/>
  <c r="AT119" i="1"/>
  <c r="AU119" i="1"/>
  <c r="AV119" i="1"/>
  <c r="AX119" i="1"/>
  <c r="AY119" i="1"/>
  <c r="AZ119" i="1"/>
  <c r="BA119" i="1"/>
  <c r="AO120" i="1"/>
  <c r="AP120" i="1"/>
  <c r="AR120" i="1"/>
  <c r="AS120" i="1"/>
  <c r="AT120" i="1"/>
  <c r="AU120" i="1"/>
  <c r="AV120" i="1"/>
  <c r="AX120" i="1"/>
  <c r="AY120" i="1"/>
  <c r="AZ120" i="1"/>
  <c r="BA120" i="1"/>
  <c r="AO121" i="1"/>
  <c r="AP121" i="1"/>
  <c r="AR121" i="1"/>
  <c r="AS121" i="1"/>
  <c r="AT121" i="1"/>
  <c r="AU121" i="1"/>
  <c r="AV121" i="1"/>
  <c r="AX121" i="1"/>
  <c r="AY121" i="1"/>
  <c r="AZ121" i="1"/>
  <c r="BA121" i="1"/>
  <c r="AO122" i="1"/>
  <c r="AP122" i="1"/>
  <c r="AR122" i="1"/>
  <c r="AS122" i="1"/>
  <c r="AT122" i="1"/>
  <c r="AU122" i="1"/>
  <c r="AV122" i="1"/>
  <c r="AX122" i="1"/>
  <c r="AY122" i="1"/>
  <c r="AZ122" i="1"/>
  <c r="BA122" i="1"/>
  <c r="AO123" i="1"/>
  <c r="AP123" i="1"/>
  <c r="AR123" i="1"/>
  <c r="AS123" i="1"/>
  <c r="AT123" i="1"/>
  <c r="AU123" i="1"/>
  <c r="AV123" i="1"/>
  <c r="AX123" i="1"/>
  <c r="AY123" i="1"/>
  <c r="AZ123" i="1"/>
  <c r="BA123" i="1"/>
  <c r="AO124" i="1"/>
  <c r="AP124" i="1"/>
  <c r="AR124" i="1"/>
  <c r="AS124" i="1"/>
  <c r="AT124" i="1"/>
  <c r="AU124" i="1"/>
  <c r="AV124" i="1"/>
  <c r="AX124" i="1"/>
  <c r="AY124" i="1"/>
  <c r="AZ124" i="1"/>
  <c r="BA124" i="1"/>
  <c r="AO125" i="1"/>
  <c r="AP125" i="1"/>
  <c r="AR125" i="1"/>
  <c r="AS125" i="1"/>
  <c r="AT125" i="1"/>
  <c r="AU125" i="1"/>
  <c r="AV125" i="1"/>
  <c r="AX125" i="1"/>
  <c r="AY125" i="1"/>
  <c r="AO126" i="1"/>
  <c r="AP126" i="1"/>
  <c r="AR126" i="1"/>
  <c r="AS126" i="1"/>
  <c r="AT126" i="1"/>
  <c r="AU126" i="1"/>
  <c r="AV126" i="1"/>
  <c r="AX126" i="1"/>
  <c r="AY126" i="1"/>
  <c r="AZ126" i="1"/>
  <c r="BA126" i="1"/>
  <c r="AO127" i="1"/>
  <c r="AP127" i="1"/>
  <c r="AR127" i="1"/>
  <c r="AS127" i="1"/>
  <c r="AT127" i="1"/>
  <c r="AU127" i="1"/>
  <c r="AV127" i="1"/>
  <c r="AX127" i="1"/>
  <c r="AY127" i="1"/>
  <c r="AZ127" i="1"/>
  <c r="BA127" i="1"/>
  <c r="AO128" i="1"/>
  <c r="AP128" i="1"/>
  <c r="AR128" i="1"/>
  <c r="AS128" i="1"/>
  <c r="AT128" i="1"/>
  <c r="AU128" i="1"/>
  <c r="AV128" i="1"/>
  <c r="AX128" i="1"/>
  <c r="AY128" i="1"/>
  <c r="AZ128" i="1"/>
  <c r="BA128" i="1"/>
  <c r="AO129" i="1"/>
  <c r="AP129" i="1"/>
  <c r="AR129" i="1"/>
  <c r="AS129" i="1"/>
  <c r="AT129" i="1"/>
  <c r="AU129" i="1"/>
  <c r="AV129" i="1"/>
  <c r="AX129" i="1"/>
  <c r="AY129" i="1"/>
  <c r="AZ129" i="1"/>
  <c r="BA129" i="1"/>
  <c r="AO130" i="1"/>
  <c r="AP130" i="1"/>
  <c r="AR130" i="1"/>
  <c r="AS130" i="1"/>
  <c r="AT130" i="1"/>
  <c r="AU130" i="1"/>
  <c r="AV130" i="1"/>
  <c r="AX130" i="1"/>
  <c r="AY130" i="1"/>
  <c r="AZ130" i="1"/>
  <c r="BA130" i="1"/>
  <c r="AO131" i="1"/>
  <c r="AP131" i="1"/>
  <c r="AR131" i="1"/>
  <c r="AS131" i="1"/>
  <c r="AT131" i="1"/>
  <c r="AU131" i="1"/>
  <c r="AV131" i="1"/>
  <c r="AX131" i="1"/>
  <c r="AY131" i="1"/>
  <c r="AO132" i="1"/>
  <c r="AP132" i="1"/>
  <c r="AR132" i="1"/>
  <c r="AS132" i="1"/>
  <c r="AT132" i="1"/>
  <c r="AU132" i="1"/>
  <c r="AV132" i="1"/>
  <c r="AX132" i="1"/>
  <c r="AY132" i="1"/>
  <c r="AZ132" i="1"/>
  <c r="BA132" i="1"/>
  <c r="AO133" i="1"/>
  <c r="AP133" i="1"/>
  <c r="AR133" i="1"/>
  <c r="AS133" i="1"/>
  <c r="AT133" i="1"/>
  <c r="AU133" i="1"/>
  <c r="AV133" i="1"/>
  <c r="AX133" i="1"/>
  <c r="AY133" i="1"/>
  <c r="AZ133" i="1"/>
  <c r="BA133" i="1"/>
  <c r="AO134" i="1"/>
  <c r="AP134" i="1"/>
  <c r="AR134" i="1"/>
  <c r="AS134" i="1"/>
  <c r="AT134" i="1"/>
  <c r="AU134" i="1"/>
  <c r="AV134" i="1"/>
  <c r="AX134" i="1"/>
  <c r="AY134" i="1"/>
  <c r="AZ134" i="1"/>
  <c r="BA134" i="1"/>
  <c r="AO135" i="1"/>
  <c r="AP135" i="1"/>
  <c r="AR135" i="1"/>
  <c r="AS135" i="1"/>
  <c r="AT135" i="1"/>
  <c r="AU135" i="1"/>
  <c r="AV135" i="1"/>
  <c r="AX135" i="1"/>
  <c r="AY135" i="1"/>
  <c r="AZ135" i="1"/>
  <c r="BA135" i="1"/>
  <c r="AO136" i="1"/>
  <c r="AP136" i="1"/>
  <c r="AR136" i="1"/>
  <c r="AS136" i="1"/>
  <c r="AT136" i="1"/>
  <c r="AU136" i="1"/>
  <c r="AV136" i="1"/>
  <c r="AX136" i="1"/>
  <c r="AY136" i="1"/>
  <c r="AZ136" i="1"/>
  <c r="BA136" i="1"/>
  <c r="AO137" i="1"/>
  <c r="AP137" i="1"/>
  <c r="AR137" i="1"/>
  <c r="AS137" i="1"/>
  <c r="AT137" i="1"/>
  <c r="AU137" i="1"/>
  <c r="AV137" i="1"/>
  <c r="AX137" i="1"/>
  <c r="AY137" i="1"/>
  <c r="AZ137" i="1"/>
  <c r="BA137" i="1"/>
  <c r="AO138" i="1"/>
  <c r="AP138" i="1"/>
  <c r="AR138" i="1"/>
  <c r="AS138" i="1"/>
  <c r="AT138" i="1"/>
  <c r="AU138" i="1"/>
  <c r="AV138" i="1"/>
  <c r="AX138" i="1"/>
  <c r="AY138" i="1"/>
  <c r="AZ138" i="1"/>
  <c r="BA138" i="1"/>
  <c r="AO139" i="1"/>
  <c r="AP139" i="1"/>
  <c r="AR139" i="1"/>
  <c r="AS139" i="1"/>
  <c r="AT139" i="1"/>
  <c r="AU139" i="1"/>
  <c r="AV139" i="1"/>
  <c r="AX139" i="1"/>
  <c r="AY139" i="1"/>
  <c r="AZ139" i="1"/>
  <c r="BA139" i="1"/>
  <c r="AO140" i="1"/>
  <c r="AP140" i="1"/>
  <c r="AR140" i="1"/>
  <c r="AS140" i="1"/>
  <c r="AT140" i="1"/>
  <c r="AU140" i="1"/>
  <c r="AV140" i="1"/>
  <c r="AX140" i="1"/>
  <c r="AY140" i="1"/>
  <c r="AZ140" i="1"/>
  <c r="BA140" i="1"/>
  <c r="AO141" i="1"/>
  <c r="AP141" i="1"/>
  <c r="AR141" i="1"/>
  <c r="AS141" i="1"/>
  <c r="AT141" i="1"/>
  <c r="AU141" i="1"/>
  <c r="AV141" i="1"/>
  <c r="AX141" i="1"/>
  <c r="AY141" i="1"/>
  <c r="AZ141" i="1"/>
  <c r="BA141" i="1"/>
  <c r="AO142" i="1"/>
  <c r="AP142" i="1"/>
  <c r="AR142" i="1"/>
  <c r="AS142" i="1"/>
  <c r="AT142" i="1"/>
  <c r="AU142" i="1"/>
  <c r="AV142" i="1"/>
  <c r="AX142" i="1"/>
  <c r="AY142" i="1"/>
  <c r="AZ142" i="1"/>
  <c r="BA142" i="1"/>
  <c r="AO143" i="1"/>
  <c r="AP143" i="1"/>
  <c r="AR143" i="1"/>
  <c r="AS143" i="1"/>
  <c r="AT143" i="1"/>
  <c r="AU143" i="1"/>
  <c r="AV143" i="1"/>
  <c r="AX143" i="1"/>
  <c r="AY143" i="1"/>
  <c r="AZ143" i="1"/>
  <c r="BA143" i="1"/>
  <c r="AO144" i="1"/>
  <c r="AP144" i="1"/>
  <c r="AR144" i="1"/>
  <c r="AS144" i="1"/>
  <c r="AT144" i="1"/>
  <c r="AU144" i="1"/>
  <c r="AV144" i="1"/>
  <c r="AX144" i="1"/>
  <c r="AY144" i="1"/>
  <c r="AZ144" i="1"/>
  <c r="BA144" i="1"/>
  <c r="AO145" i="1"/>
  <c r="AP145" i="1"/>
  <c r="AR145" i="1"/>
  <c r="AS145" i="1"/>
  <c r="AT145" i="1"/>
  <c r="AU145" i="1"/>
  <c r="AV145" i="1"/>
  <c r="AX145" i="1"/>
  <c r="AY145" i="1"/>
  <c r="AZ145" i="1"/>
  <c r="BA145" i="1"/>
  <c r="AO146" i="1"/>
  <c r="AP146" i="1"/>
  <c r="AR146" i="1"/>
  <c r="AS146" i="1"/>
  <c r="AT146" i="1"/>
  <c r="AU146" i="1"/>
  <c r="AV146" i="1"/>
  <c r="AX146" i="1"/>
  <c r="AY146" i="1"/>
  <c r="AZ146" i="1"/>
  <c r="BA146" i="1"/>
  <c r="AO147" i="1"/>
  <c r="AP147" i="1"/>
  <c r="AR147" i="1"/>
  <c r="AS147" i="1"/>
  <c r="AT147" i="1"/>
  <c r="AU147" i="1"/>
  <c r="AV147" i="1"/>
  <c r="AX147" i="1"/>
  <c r="AY147" i="1"/>
  <c r="AZ147" i="1"/>
  <c r="BA147" i="1"/>
  <c r="AO148" i="1"/>
  <c r="AP148" i="1"/>
  <c r="AR148" i="1"/>
  <c r="AS148" i="1"/>
  <c r="AT148" i="1"/>
  <c r="AU148" i="1"/>
  <c r="AV148" i="1"/>
  <c r="AX148" i="1"/>
  <c r="AY148" i="1"/>
  <c r="AZ148" i="1"/>
  <c r="BA148" i="1"/>
  <c r="AO149" i="1"/>
  <c r="AP149" i="1"/>
  <c r="AR149" i="1"/>
  <c r="AS149" i="1"/>
  <c r="AT149" i="1"/>
  <c r="AU149" i="1"/>
  <c r="AV149" i="1"/>
  <c r="AX149" i="1"/>
  <c r="AY149" i="1"/>
  <c r="AZ149" i="1"/>
  <c r="BA149" i="1"/>
  <c r="AO150" i="1"/>
  <c r="AP150" i="1"/>
  <c r="AR150" i="1"/>
  <c r="AS150" i="1"/>
  <c r="AT150" i="1"/>
  <c r="AU150" i="1"/>
  <c r="AV150" i="1"/>
  <c r="AX150" i="1"/>
  <c r="AY150" i="1"/>
  <c r="AZ150" i="1"/>
  <c r="BA150" i="1"/>
  <c r="AO151" i="1"/>
  <c r="AP151" i="1"/>
  <c r="AR151" i="1"/>
  <c r="AS151" i="1"/>
  <c r="AT151" i="1"/>
  <c r="AU151" i="1"/>
  <c r="AV151" i="1"/>
  <c r="AX151" i="1"/>
  <c r="AY151" i="1"/>
  <c r="AO152" i="1"/>
  <c r="AP152" i="1"/>
  <c r="AR152" i="1"/>
  <c r="AS152" i="1"/>
  <c r="AT152" i="1"/>
  <c r="AU152" i="1"/>
  <c r="AV152" i="1"/>
  <c r="AX152" i="1"/>
  <c r="AY152" i="1"/>
  <c r="AO153" i="1"/>
  <c r="AP153" i="1"/>
  <c r="AR153" i="1"/>
  <c r="AS153" i="1"/>
  <c r="AT153" i="1"/>
  <c r="AU153" i="1"/>
  <c r="AV153" i="1"/>
  <c r="AX153" i="1"/>
  <c r="AY153" i="1"/>
  <c r="AZ153" i="1"/>
  <c r="BA153" i="1"/>
  <c r="AO154" i="1"/>
  <c r="AP154" i="1"/>
  <c r="AR154" i="1"/>
  <c r="AS154" i="1"/>
  <c r="AT154" i="1"/>
  <c r="AU154" i="1"/>
  <c r="AV154" i="1"/>
  <c r="AX154" i="1"/>
  <c r="AY154" i="1"/>
  <c r="AZ154" i="1"/>
  <c r="BA154" i="1"/>
  <c r="AO155" i="1"/>
  <c r="AP155" i="1"/>
  <c r="AR155" i="1"/>
  <c r="AS155" i="1"/>
  <c r="AT155" i="1"/>
  <c r="AU155" i="1"/>
  <c r="AV155" i="1"/>
  <c r="AX155" i="1"/>
  <c r="AY155" i="1"/>
  <c r="AZ155" i="1"/>
  <c r="BA155" i="1"/>
  <c r="AO156" i="1"/>
  <c r="AP156" i="1"/>
  <c r="AR156" i="1"/>
  <c r="AS156" i="1"/>
  <c r="AT156" i="1"/>
  <c r="AU156" i="1"/>
  <c r="AV156" i="1"/>
  <c r="AX156" i="1"/>
  <c r="AY156" i="1"/>
  <c r="AZ156" i="1"/>
  <c r="BA156" i="1"/>
  <c r="AO157" i="1"/>
  <c r="AP157" i="1"/>
  <c r="AR157" i="1"/>
  <c r="AS157" i="1"/>
  <c r="AT157" i="1"/>
  <c r="AU157" i="1"/>
  <c r="AV157" i="1"/>
  <c r="AX157" i="1"/>
  <c r="AY157" i="1"/>
  <c r="AO158" i="1"/>
  <c r="AP158" i="1"/>
  <c r="AR158" i="1"/>
  <c r="AS158" i="1"/>
  <c r="AT158" i="1"/>
  <c r="AU158" i="1"/>
  <c r="AV158" i="1"/>
  <c r="AX158" i="1"/>
  <c r="AY158" i="1"/>
  <c r="AZ158" i="1"/>
  <c r="BA158" i="1"/>
  <c r="AO159" i="1"/>
  <c r="AP159" i="1"/>
  <c r="AR159" i="1"/>
  <c r="AS159" i="1"/>
  <c r="AT159" i="1"/>
  <c r="AU159" i="1"/>
  <c r="AV159" i="1"/>
  <c r="AX159" i="1"/>
  <c r="AY159" i="1"/>
  <c r="AZ159" i="1"/>
  <c r="BA159" i="1"/>
  <c r="AO160" i="1"/>
  <c r="AP160" i="1"/>
  <c r="AR160" i="1"/>
  <c r="AS160" i="1"/>
  <c r="AT160" i="1"/>
  <c r="AU160" i="1"/>
  <c r="AV160" i="1"/>
  <c r="AX160" i="1"/>
  <c r="AY160" i="1"/>
  <c r="AZ160" i="1"/>
  <c r="BA160" i="1"/>
  <c r="AO161" i="1"/>
  <c r="AP161" i="1"/>
  <c r="AR161" i="1"/>
  <c r="AS161" i="1"/>
  <c r="AT161" i="1"/>
  <c r="AU161" i="1"/>
  <c r="AV161" i="1"/>
  <c r="AX161" i="1"/>
  <c r="AY161" i="1"/>
  <c r="AZ161" i="1"/>
  <c r="BA161" i="1"/>
  <c r="AO162" i="1"/>
  <c r="AP162" i="1"/>
  <c r="AR162" i="1"/>
  <c r="AS162" i="1"/>
  <c r="AT162" i="1"/>
  <c r="AU162" i="1"/>
  <c r="AV162" i="1"/>
  <c r="AX162" i="1"/>
  <c r="AY162" i="1"/>
  <c r="AZ162" i="1"/>
  <c r="BA162" i="1"/>
  <c r="AO163" i="1"/>
  <c r="AP163" i="1"/>
  <c r="AR163" i="1"/>
  <c r="AS163" i="1"/>
  <c r="AT163" i="1"/>
  <c r="AU163" i="1"/>
  <c r="AV163" i="1"/>
  <c r="AX163" i="1"/>
  <c r="AY163" i="1"/>
  <c r="AO164" i="1"/>
  <c r="AP164" i="1"/>
  <c r="AR164" i="1"/>
  <c r="AS164" i="1"/>
  <c r="AT164" i="1"/>
  <c r="AU164" i="1"/>
  <c r="AV164" i="1"/>
  <c r="AX164" i="1"/>
  <c r="AY164" i="1"/>
  <c r="AO165" i="1"/>
  <c r="AP165" i="1"/>
  <c r="AR165" i="1"/>
  <c r="AS165" i="1"/>
  <c r="AT165" i="1"/>
  <c r="AU165" i="1"/>
  <c r="AV165" i="1"/>
  <c r="AX165" i="1"/>
  <c r="AY165" i="1"/>
  <c r="AZ165" i="1"/>
  <c r="BA165" i="1"/>
  <c r="AO166" i="1"/>
  <c r="AP166" i="1"/>
  <c r="AR166" i="1"/>
  <c r="AS166" i="1"/>
  <c r="AT166" i="1"/>
  <c r="AU166" i="1"/>
  <c r="AV166" i="1"/>
  <c r="AX166" i="1"/>
  <c r="AY166" i="1"/>
  <c r="AZ166" i="1"/>
  <c r="BA166" i="1"/>
  <c r="AO167" i="1"/>
  <c r="AP167" i="1"/>
  <c r="AR167" i="1"/>
  <c r="AS167" i="1"/>
  <c r="AT167" i="1"/>
  <c r="AU167" i="1"/>
  <c r="AV167" i="1"/>
  <c r="AX167" i="1"/>
  <c r="AY167" i="1"/>
  <c r="AZ167" i="1"/>
  <c r="BA167" i="1"/>
  <c r="AO168" i="1"/>
  <c r="AP168" i="1"/>
  <c r="AR168" i="1"/>
  <c r="AS168" i="1"/>
  <c r="AT168" i="1"/>
  <c r="AU168" i="1"/>
  <c r="AV168" i="1"/>
  <c r="AX168" i="1"/>
  <c r="AY168" i="1"/>
  <c r="AO169" i="1"/>
  <c r="AP169" i="1"/>
  <c r="AR169" i="1"/>
  <c r="AS169" i="1"/>
  <c r="AT169" i="1"/>
  <c r="AU169" i="1"/>
  <c r="AV169" i="1"/>
  <c r="AX169" i="1"/>
  <c r="AY169" i="1"/>
  <c r="AZ169" i="1"/>
  <c r="BA169" i="1"/>
  <c r="AO170" i="1"/>
  <c r="AP170" i="1"/>
  <c r="AR170" i="1"/>
  <c r="AS170" i="1"/>
  <c r="AT170" i="1"/>
  <c r="AU170" i="1"/>
  <c r="AV170" i="1"/>
  <c r="AX170" i="1"/>
  <c r="AY170" i="1"/>
  <c r="AZ170" i="1"/>
  <c r="BA170" i="1"/>
  <c r="AO171" i="1"/>
  <c r="AP171" i="1"/>
  <c r="AR171" i="1"/>
  <c r="AS171" i="1"/>
  <c r="AT171" i="1"/>
  <c r="AU171" i="1"/>
  <c r="AV171" i="1"/>
  <c r="AX171" i="1"/>
  <c r="AY171" i="1"/>
  <c r="AO172" i="1"/>
  <c r="AP172" i="1"/>
  <c r="AR172" i="1"/>
  <c r="AS172" i="1"/>
  <c r="AT172" i="1"/>
  <c r="AU172" i="1"/>
  <c r="AV172" i="1"/>
  <c r="AX172" i="1"/>
  <c r="AY172" i="1"/>
  <c r="AZ172" i="1"/>
  <c r="BA172" i="1"/>
  <c r="AO173" i="1"/>
  <c r="AP173" i="1"/>
  <c r="AR173" i="1"/>
  <c r="AS173" i="1"/>
  <c r="AT173" i="1"/>
  <c r="AU173" i="1"/>
  <c r="AV173" i="1"/>
  <c r="AX173" i="1"/>
  <c r="AY173" i="1"/>
  <c r="AZ173" i="1"/>
  <c r="BA173" i="1"/>
  <c r="AO174" i="1"/>
  <c r="AP174" i="1"/>
  <c r="AR174" i="1"/>
  <c r="AS174" i="1"/>
  <c r="AT174" i="1"/>
  <c r="AU174" i="1"/>
  <c r="AV174" i="1"/>
  <c r="AX174" i="1"/>
  <c r="AY174" i="1"/>
  <c r="AZ174" i="1"/>
  <c r="BA174" i="1"/>
  <c r="AO175" i="1"/>
  <c r="AP175" i="1"/>
  <c r="AR175" i="1"/>
  <c r="AS175" i="1"/>
  <c r="AT175" i="1"/>
  <c r="AU175" i="1"/>
  <c r="AV175" i="1"/>
  <c r="AX175" i="1"/>
  <c r="AY175" i="1"/>
  <c r="AZ175" i="1"/>
  <c r="BA175" i="1"/>
  <c r="AO176" i="1"/>
  <c r="AP176" i="1"/>
  <c r="AR176" i="1"/>
  <c r="AS176" i="1"/>
  <c r="AT176" i="1"/>
  <c r="AU176" i="1"/>
  <c r="AV176" i="1"/>
  <c r="AX176" i="1"/>
  <c r="AY176" i="1"/>
  <c r="AZ176" i="1"/>
  <c r="BA176" i="1"/>
  <c r="AO177" i="1"/>
  <c r="AP177" i="1"/>
  <c r="AR177" i="1"/>
  <c r="AS177" i="1"/>
  <c r="AT177" i="1"/>
  <c r="AU177" i="1"/>
  <c r="AV177" i="1"/>
  <c r="AX177" i="1"/>
  <c r="AY177" i="1"/>
  <c r="AO178" i="1"/>
  <c r="AP178" i="1"/>
  <c r="AR178" i="1"/>
  <c r="AS178" i="1"/>
  <c r="AT178" i="1"/>
  <c r="AU178" i="1"/>
  <c r="AV178" i="1"/>
  <c r="AX178" i="1"/>
  <c r="AY178" i="1"/>
  <c r="AZ178" i="1"/>
  <c r="BA178" i="1"/>
  <c r="AO179" i="1"/>
  <c r="AP179" i="1"/>
  <c r="AR179" i="1"/>
  <c r="AS179" i="1"/>
  <c r="AT179" i="1"/>
  <c r="AU179" i="1"/>
  <c r="AV179" i="1"/>
  <c r="AX179" i="1"/>
  <c r="AY179" i="1"/>
  <c r="AZ179" i="1"/>
  <c r="BA179" i="1"/>
  <c r="AO180" i="1"/>
  <c r="AP180" i="1"/>
  <c r="AR180" i="1"/>
  <c r="AS180" i="1"/>
  <c r="AT180" i="1"/>
  <c r="AU180" i="1"/>
  <c r="AV180" i="1"/>
  <c r="AX180" i="1"/>
  <c r="AY180" i="1"/>
  <c r="AO181" i="1"/>
  <c r="AP181" i="1"/>
  <c r="AR181" i="1"/>
  <c r="AS181" i="1"/>
  <c r="AT181" i="1"/>
  <c r="AU181" i="1"/>
  <c r="AV181" i="1"/>
  <c r="AX181" i="1"/>
  <c r="AY181" i="1"/>
  <c r="AZ181" i="1"/>
  <c r="BA181" i="1"/>
  <c r="AO182" i="1"/>
  <c r="AP182" i="1"/>
  <c r="AR182" i="1"/>
  <c r="AS182" i="1"/>
  <c r="AT182" i="1"/>
  <c r="AU182" i="1"/>
  <c r="AV182" i="1"/>
  <c r="AX182" i="1"/>
  <c r="AY182" i="1"/>
  <c r="AO183" i="1"/>
  <c r="AP183" i="1"/>
  <c r="AR183" i="1"/>
  <c r="AS183" i="1"/>
  <c r="AT183" i="1"/>
  <c r="AU183" i="1"/>
  <c r="AV183" i="1"/>
  <c r="AX183" i="1"/>
  <c r="AY183" i="1"/>
  <c r="AO184" i="1"/>
  <c r="AP184" i="1"/>
  <c r="AR184" i="1"/>
  <c r="AS184" i="1"/>
  <c r="AT184" i="1"/>
  <c r="AU184" i="1"/>
  <c r="AV184" i="1"/>
  <c r="AX184" i="1"/>
  <c r="AY184" i="1"/>
  <c r="AZ184" i="1"/>
  <c r="BA184" i="1"/>
  <c r="AO185" i="1"/>
  <c r="AP185" i="1"/>
  <c r="AR185" i="1"/>
  <c r="AS185" i="1"/>
  <c r="AT185" i="1"/>
  <c r="AU185" i="1"/>
  <c r="AV185" i="1"/>
  <c r="AX185" i="1"/>
  <c r="AY185" i="1"/>
  <c r="AZ185" i="1"/>
  <c r="BA185" i="1"/>
  <c r="AO186" i="1"/>
  <c r="AP186" i="1"/>
  <c r="AR186" i="1"/>
  <c r="AS186" i="1"/>
  <c r="AT186" i="1"/>
  <c r="AU186" i="1"/>
  <c r="AV186" i="1"/>
  <c r="AX186" i="1"/>
  <c r="AY186" i="1"/>
  <c r="AZ186" i="1"/>
  <c r="BA186" i="1"/>
  <c r="AO187" i="1"/>
  <c r="AP187" i="1"/>
  <c r="AR187" i="1"/>
  <c r="AS187" i="1"/>
  <c r="AT187" i="1"/>
  <c r="AU187" i="1"/>
  <c r="AV187" i="1"/>
  <c r="AX187" i="1"/>
  <c r="AY187" i="1"/>
  <c r="AZ187" i="1"/>
  <c r="BA187" i="1"/>
  <c r="AO188" i="1"/>
  <c r="AP188" i="1"/>
  <c r="AR188" i="1"/>
  <c r="AS188" i="1"/>
  <c r="AT188" i="1"/>
  <c r="AU188" i="1"/>
  <c r="AV188" i="1"/>
  <c r="AX188" i="1"/>
  <c r="AY188" i="1"/>
  <c r="AO189" i="1"/>
  <c r="AP189" i="1"/>
  <c r="AR189" i="1"/>
  <c r="AS189" i="1"/>
  <c r="AT189" i="1"/>
  <c r="AU189" i="1"/>
  <c r="AV189" i="1"/>
  <c r="AX189" i="1"/>
  <c r="AY189" i="1"/>
  <c r="AZ189" i="1"/>
  <c r="BA189" i="1"/>
  <c r="AO190" i="1"/>
  <c r="AP190" i="1"/>
  <c r="AR190" i="1"/>
  <c r="AS190" i="1"/>
  <c r="AT190" i="1"/>
  <c r="AU190" i="1"/>
  <c r="AV190" i="1"/>
  <c r="AX190" i="1"/>
  <c r="AY190" i="1"/>
  <c r="AZ190" i="1"/>
  <c r="BA190" i="1"/>
  <c r="AO191" i="1"/>
  <c r="AP191" i="1"/>
  <c r="AR191" i="1"/>
  <c r="AS191" i="1"/>
  <c r="AT191" i="1"/>
  <c r="AU191" i="1"/>
  <c r="AV191" i="1"/>
  <c r="AX191" i="1"/>
  <c r="AY191" i="1"/>
  <c r="AZ191" i="1"/>
  <c r="BA191" i="1"/>
  <c r="AO192" i="1"/>
  <c r="AP192" i="1"/>
  <c r="AR192" i="1"/>
  <c r="AS192" i="1"/>
  <c r="AT192" i="1"/>
  <c r="AU192" i="1"/>
  <c r="AV192" i="1"/>
  <c r="AX192" i="1"/>
  <c r="AY192" i="1"/>
  <c r="AO193" i="1"/>
  <c r="AP193" i="1"/>
  <c r="AR193" i="1"/>
  <c r="AS193" i="1"/>
  <c r="AT193" i="1"/>
  <c r="AU193" i="1"/>
  <c r="AV193" i="1"/>
  <c r="AX193" i="1"/>
  <c r="AY193" i="1"/>
  <c r="AZ193" i="1"/>
  <c r="BA193" i="1"/>
  <c r="AO194" i="1"/>
  <c r="AP194" i="1"/>
  <c r="AR194" i="1"/>
  <c r="AS194" i="1"/>
  <c r="AT194" i="1"/>
  <c r="AU194" i="1"/>
  <c r="AV194" i="1"/>
  <c r="AX194" i="1"/>
  <c r="AY194" i="1"/>
  <c r="AZ194" i="1"/>
  <c r="BA194" i="1"/>
  <c r="AO195" i="1"/>
  <c r="AP195" i="1"/>
  <c r="AR195" i="1"/>
  <c r="AS195" i="1"/>
  <c r="AT195" i="1"/>
  <c r="AU195" i="1"/>
  <c r="AV195" i="1"/>
  <c r="AX195" i="1"/>
  <c r="AY195" i="1"/>
  <c r="AO196" i="1"/>
  <c r="AP196" i="1"/>
  <c r="AR196" i="1"/>
  <c r="AS196" i="1"/>
  <c r="AT196" i="1"/>
  <c r="AU196" i="1"/>
  <c r="AV196" i="1"/>
  <c r="AX196" i="1"/>
  <c r="AY196" i="1"/>
  <c r="AO197" i="1"/>
  <c r="AP197" i="1"/>
  <c r="AR197" i="1"/>
  <c r="AS197" i="1"/>
  <c r="AT197" i="1"/>
  <c r="AU197" i="1"/>
  <c r="AV197" i="1"/>
  <c r="AX197" i="1"/>
  <c r="AY197" i="1"/>
  <c r="AZ197" i="1"/>
  <c r="BA197" i="1"/>
  <c r="AO198" i="1"/>
  <c r="AP198" i="1"/>
  <c r="AR198" i="1"/>
  <c r="AS198" i="1"/>
  <c r="AT198" i="1"/>
  <c r="AU198" i="1"/>
  <c r="AV198" i="1"/>
  <c r="AX198" i="1"/>
  <c r="AY198" i="1"/>
  <c r="AZ198" i="1"/>
  <c r="BA198" i="1"/>
  <c r="AO199" i="1"/>
  <c r="AP199" i="1"/>
  <c r="AR199" i="1"/>
  <c r="AS199" i="1"/>
  <c r="AT199" i="1"/>
  <c r="AU199" i="1"/>
  <c r="AV199" i="1"/>
  <c r="AX199" i="1"/>
  <c r="AY199" i="1"/>
  <c r="AZ199" i="1"/>
  <c r="BA199" i="1"/>
  <c r="AO200" i="1"/>
  <c r="AP200" i="1"/>
  <c r="AR200" i="1"/>
  <c r="AS200" i="1"/>
  <c r="AT200" i="1"/>
  <c r="AU200" i="1"/>
  <c r="AV200" i="1"/>
  <c r="AX200" i="1"/>
  <c r="AY200" i="1"/>
  <c r="AZ200" i="1"/>
  <c r="BA200" i="1"/>
  <c r="AO201" i="1"/>
  <c r="AP201" i="1"/>
  <c r="AR201" i="1"/>
  <c r="AS201" i="1"/>
  <c r="AT201" i="1"/>
  <c r="AU201" i="1"/>
  <c r="AV201" i="1"/>
  <c r="AX201" i="1"/>
  <c r="AY201" i="1"/>
  <c r="AZ201" i="1"/>
  <c r="BA201" i="1"/>
  <c r="AO202" i="1"/>
  <c r="AP202" i="1"/>
  <c r="AR202" i="1"/>
  <c r="AS202" i="1"/>
  <c r="AT202" i="1"/>
  <c r="AU202" i="1"/>
  <c r="AV202" i="1"/>
  <c r="AX202" i="1"/>
  <c r="AY202" i="1"/>
  <c r="AZ202" i="1"/>
  <c r="BA202" i="1"/>
  <c r="AO203" i="1"/>
  <c r="AP203" i="1"/>
  <c r="AR203" i="1"/>
  <c r="AS203" i="1"/>
  <c r="AT203" i="1"/>
  <c r="AU203" i="1"/>
  <c r="AV203" i="1"/>
  <c r="AX203" i="1"/>
  <c r="AY203" i="1"/>
  <c r="AZ203" i="1"/>
  <c r="BA203" i="1"/>
  <c r="AO204" i="1"/>
  <c r="AP204" i="1"/>
  <c r="AR204" i="1"/>
  <c r="AS204" i="1"/>
  <c r="AT204" i="1"/>
  <c r="AU204" i="1"/>
  <c r="AV204" i="1"/>
  <c r="AX204" i="1"/>
  <c r="AY204" i="1"/>
  <c r="AZ204" i="1"/>
  <c r="BA204" i="1"/>
  <c r="AO205" i="1"/>
  <c r="AP205" i="1"/>
  <c r="AR205" i="1"/>
  <c r="AS205" i="1"/>
  <c r="AT205" i="1"/>
  <c r="AU205" i="1"/>
  <c r="AV205" i="1"/>
  <c r="AX205" i="1"/>
  <c r="AY205" i="1"/>
  <c r="AZ205" i="1"/>
  <c r="BA205" i="1"/>
  <c r="AO206" i="1"/>
  <c r="AP206" i="1"/>
  <c r="AR206" i="1"/>
  <c r="AS206" i="1"/>
  <c r="AT206" i="1"/>
  <c r="AU206" i="1"/>
  <c r="AV206" i="1"/>
  <c r="AX206" i="1"/>
  <c r="AY206" i="1"/>
  <c r="AZ206" i="1"/>
  <c r="BA206" i="1"/>
  <c r="AO207" i="1"/>
  <c r="AP207" i="1"/>
  <c r="AR207" i="1"/>
  <c r="AS207" i="1"/>
  <c r="AT207" i="1"/>
  <c r="AU207" i="1"/>
  <c r="AV207" i="1"/>
  <c r="AX207" i="1"/>
  <c r="AY207" i="1"/>
  <c r="AZ207" i="1"/>
  <c r="BA207" i="1"/>
  <c r="AO208" i="1"/>
  <c r="AP208" i="1"/>
  <c r="AR208" i="1"/>
  <c r="AS208" i="1"/>
  <c r="AT208" i="1"/>
  <c r="AU208" i="1"/>
  <c r="AV208" i="1"/>
  <c r="AX208" i="1"/>
  <c r="AY208" i="1"/>
  <c r="AZ208" i="1"/>
  <c r="BA208" i="1"/>
  <c r="AO209" i="1"/>
  <c r="AP209" i="1"/>
  <c r="AR209" i="1"/>
  <c r="AS209" i="1"/>
  <c r="AT209" i="1"/>
  <c r="AU209" i="1"/>
  <c r="AV209" i="1"/>
  <c r="AX209" i="1"/>
  <c r="AY209" i="1"/>
  <c r="AZ209" i="1"/>
  <c r="BA209" i="1"/>
  <c r="AO210" i="1"/>
  <c r="AP210" i="1"/>
  <c r="AR210" i="1"/>
  <c r="AS210" i="1"/>
  <c r="AT210" i="1"/>
  <c r="AU210" i="1"/>
  <c r="AV210" i="1"/>
  <c r="AX210" i="1"/>
  <c r="AY210" i="1"/>
  <c r="AO211" i="1"/>
  <c r="AP211" i="1"/>
  <c r="AR211" i="1"/>
  <c r="AS211" i="1"/>
  <c r="AT211" i="1"/>
  <c r="AU211" i="1"/>
  <c r="AV211" i="1"/>
  <c r="AX211" i="1"/>
  <c r="AY211" i="1"/>
  <c r="AZ211" i="1"/>
  <c r="BA211" i="1"/>
  <c r="AO212" i="1"/>
  <c r="AP212" i="1"/>
  <c r="AR212" i="1"/>
  <c r="AS212" i="1"/>
  <c r="AT212" i="1"/>
  <c r="AU212" i="1"/>
  <c r="AV212" i="1"/>
  <c r="AX212" i="1"/>
  <c r="AY212" i="1"/>
  <c r="AO213" i="1"/>
  <c r="AP213" i="1"/>
  <c r="AR213" i="1"/>
  <c r="AS213" i="1"/>
  <c r="AT213" i="1"/>
  <c r="AU213" i="1"/>
  <c r="AV213" i="1"/>
  <c r="AX213" i="1"/>
  <c r="AY213" i="1"/>
  <c r="AO214" i="1"/>
  <c r="AP214" i="1"/>
  <c r="AR214" i="1"/>
  <c r="AS214" i="1"/>
  <c r="AT214" i="1"/>
  <c r="AU214" i="1"/>
  <c r="AV214" i="1"/>
  <c r="AX214" i="1"/>
  <c r="AY214" i="1"/>
  <c r="AO215" i="1"/>
  <c r="AP215" i="1"/>
  <c r="AR215" i="1"/>
  <c r="AS215" i="1"/>
  <c r="AT215" i="1"/>
  <c r="AU215" i="1"/>
  <c r="AV215" i="1"/>
  <c r="AX215" i="1"/>
  <c r="AY215" i="1"/>
  <c r="AO216" i="1"/>
  <c r="AP216" i="1"/>
  <c r="AR216" i="1"/>
  <c r="AS216" i="1"/>
  <c r="AT216" i="1"/>
  <c r="AU216" i="1"/>
  <c r="AV216" i="1"/>
  <c r="AX216" i="1"/>
  <c r="AY216" i="1"/>
  <c r="AZ216" i="1"/>
  <c r="BA216" i="1"/>
  <c r="AO217" i="1"/>
  <c r="AP217" i="1"/>
  <c r="AR217" i="1"/>
  <c r="AS217" i="1"/>
  <c r="AT217" i="1"/>
  <c r="AU217" i="1"/>
  <c r="AV217" i="1"/>
  <c r="AX217" i="1"/>
  <c r="AY217" i="1"/>
  <c r="AZ217" i="1"/>
  <c r="BA217" i="1"/>
  <c r="AO218" i="1"/>
  <c r="AP218" i="1"/>
  <c r="AR218" i="1"/>
  <c r="AS218" i="1"/>
  <c r="AT218" i="1"/>
  <c r="AU218" i="1"/>
  <c r="AV218" i="1"/>
  <c r="AX218" i="1"/>
  <c r="AY218" i="1"/>
  <c r="AZ218" i="1"/>
  <c r="BA218" i="1"/>
  <c r="AO219" i="1"/>
  <c r="AP219" i="1"/>
  <c r="AR219" i="1"/>
  <c r="AS219" i="1"/>
  <c r="AT219" i="1"/>
  <c r="AU219" i="1"/>
  <c r="AV219" i="1"/>
  <c r="AX219" i="1"/>
  <c r="AY219" i="1"/>
  <c r="AZ219" i="1"/>
  <c r="BA219" i="1"/>
  <c r="AO220" i="1"/>
  <c r="AP220" i="1"/>
  <c r="AR220" i="1"/>
  <c r="AS220" i="1"/>
  <c r="AT220" i="1"/>
  <c r="AU220" i="1"/>
  <c r="AV220" i="1"/>
  <c r="AX220" i="1"/>
  <c r="AY220" i="1"/>
  <c r="AZ220" i="1"/>
  <c r="BA220" i="1"/>
  <c r="AO221" i="1"/>
  <c r="AP221" i="1"/>
  <c r="AR221" i="1"/>
  <c r="AS221" i="1"/>
  <c r="AT221" i="1"/>
  <c r="AU221" i="1"/>
  <c r="AV221" i="1"/>
  <c r="AX221" i="1"/>
  <c r="AY221" i="1"/>
  <c r="AZ221" i="1"/>
  <c r="BA221" i="1"/>
  <c r="AO222" i="1"/>
  <c r="AP222" i="1"/>
  <c r="AR222" i="1"/>
  <c r="AS222" i="1"/>
  <c r="AT222" i="1"/>
  <c r="AU222" i="1"/>
  <c r="AV222" i="1"/>
  <c r="AX222" i="1"/>
  <c r="AY222" i="1"/>
  <c r="AZ222" i="1"/>
  <c r="BA222" i="1"/>
  <c r="AO223" i="1"/>
  <c r="AP223" i="1"/>
  <c r="AR223" i="1"/>
  <c r="AS223" i="1"/>
  <c r="AT223" i="1"/>
  <c r="AU223" i="1"/>
  <c r="AV223" i="1"/>
  <c r="AX223" i="1"/>
  <c r="AY223" i="1"/>
  <c r="AZ223" i="1"/>
  <c r="BA223" i="1"/>
  <c r="AO224" i="1"/>
  <c r="AP224" i="1"/>
  <c r="AR224" i="1"/>
  <c r="AS224" i="1"/>
  <c r="AT224" i="1"/>
  <c r="AU224" i="1"/>
  <c r="AV224" i="1"/>
  <c r="AX224" i="1"/>
  <c r="AY224" i="1"/>
  <c r="AZ224" i="1"/>
  <c r="BA224" i="1"/>
  <c r="AO225" i="1"/>
  <c r="AP225" i="1"/>
  <c r="AR225" i="1"/>
  <c r="AS225" i="1"/>
  <c r="AT225" i="1"/>
  <c r="AU225" i="1"/>
  <c r="AV225" i="1"/>
  <c r="AX225" i="1"/>
  <c r="AY225" i="1"/>
  <c r="AZ225" i="1"/>
  <c r="BA225" i="1"/>
  <c r="AO226" i="1"/>
  <c r="AP226" i="1"/>
  <c r="AR226" i="1"/>
  <c r="AS226" i="1"/>
  <c r="AT226" i="1"/>
  <c r="AU226" i="1"/>
  <c r="AV226" i="1"/>
  <c r="AX226" i="1"/>
  <c r="AY226" i="1"/>
  <c r="AO227" i="1"/>
  <c r="AP227" i="1"/>
  <c r="AR227" i="1"/>
  <c r="AS227" i="1"/>
  <c r="AT227" i="1"/>
  <c r="AU227" i="1"/>
  <c r="AV227" i="1"/>
  <c r="AX227" i="1"/>
  <c r="AY227" i="1"/>
  <c r="AO228" i="1"/>
  <c r="AP228" i="1"/>
  <c r="AR228" i="1"/>
  <c r="AS228" i="1"/>
  <c r="AT228" i="1"/>
  <c r="AU228" i="1"/>
  <c r="AV228" i="1"/>
  <c r="AX228" i="1"/>
  <c r="AY228" i="1"/>
  <c r="AZ228" i="1"/>
  <c r="BA228" i="1"/>
  <c r="AO229" i="1"/>
  <c r="AP229" i="1"/>
  <c r="AR229" i="1"/>
  <c r="AS229" i="1"/>
  <c r="AT229" i="1"/>
  <c r="AU229" i="1"/>
  <c r="AV229" i="1"/>
  <c r="AX229" i="1"/>
  <c r="AY229" i="1"/>
  <c r="AZ229" i="1"/>
  <c r="BA229" i="1"/>
  <c r="AO230" i="1"/>
  <c r="AP230" i="1"/>
  <c r="AR230" i="1"/>
  <c r="AS230" i="1"/>
  <c r="AT230" i="1"/>
  <c r="AU230" i="1"/>
  <c r="AV230" i="1"/>
  <c r="AX230" i="1"/>
  <c r="AY230" i="1"/>
  <c r="AZ230" i="1"/>
  <c r="BA230" i="1"/>
  <c r="AO231" i="1"/>
  <c r="AP231" i="1"/>
  <c r="AR231" i="1"/>
  <c r="AS231" i="1"/>
  <c r="AT231" i="1"/>
  <c r="AU231" i="1"/>
  <c r="AV231" i="1"/>
  <c r="AX231" i="1"/>
  <c r="AY231" i="1"/>
  <c r="AZ231" i="1"/>
  <c r="BA231" i="1"/>
  <c r="AO232" i="1"/>
  <c r="AP232" i="1"/>
  <c r="AR232" i="1"/>
  <c r="AS232" i="1"/>
  <c r="AT232" i="1"/>
  <c r="AU232" i="1"/>
  <c r="AV232" i="1"/>
  <c r="AX232" i="1"/>
  <c r="AY232" i="1"/>
  <c r="AZ232" i="1"/>
  <c r="BA232" i="1"/>
  <c r="AO233" i="1"/>
  <c r="AP233" i="1"/>
  <c r="AR233" i="1"/>
  <c r="AS233" i="1"/>
  <c r="AT233" i="1"/>
  <c r="AU233" i="1"/>
  <c r="AV233" i="1"/>
  <c r="AX233" i="1"/>
  <c r="AY233" i="1"/>
  <c r="AZ233" i="1"/>
  <c r="BA233" i="1"/>
  <c r="AO234" i="1"/>
  <c r="AP234" i="1"/>
  <c r="AR234" i="1"/>
  <c r="AS234" i="1"/>
  <c r="AT234" i="1"/>
  <c r="AU234" i="1"/>
  <c r="AV234" i="1"/>
  <c r="AX234" i="1"/>
  <c r="AY234" i="1"/>
  <c r="AZ234" i="1"/>
  <c r="BA234" i="1"/>
  <c r="AO235" i="1"/>
  <c r="AP235" i="1"/>
  <c r="AR235" i="1"/>
  <c r="AS235" i="1"/>
  <c r="AT235" i="1"/>
  <c r="AU235" i="1"/>
  <c r="AV235" i="1"/>
  <c r="AX235" i="1"/>
  <c r="AY235" i="1"/>
  <c r="AZ235" i="1"/>
  <c r="BA235" i="1"/>
  <c r="AO236" i="1"/>
  <c r="AP236" i="1"/>
  <c r="AR236" i="1"/>
  <c r="AS236" i="1"/>
  <c r="AT236" i="1"/>
  <c r="AU236" i="1"/>
  <c r="AV236" i="1"/>
  <c r="AX236" i="1"/>
  <c r="AY236" i="1"/>
  <c r="AZ236" i="1"/>
  <c r="BA236" i="1"/>
  <c r="AO237" i="1"/>
  <c r="AP237" i="1"/>
  <c r="AR237" i="1"/>
  <c r="AS237" i="1"/>
  <c r="AT237" i="1"/>
  <c r="AU237" i="1"/>
  <c r="AV237" i="1"/>
  <c r="AX237" i="1"/>
  <c r="AY237" i="1"/>
  <c r="AZ237" i="1"/>
  <c r="BA237" i="1"/>
  <c r="AO238" i="1"/>
  <c r="AP238" i="1"/>
  <c r="AR238" i="1"/>
  <c r="AS238" i="1"/>
  <c r="AT238" i="1"/>
  <c r="AU238" i="1"/>
  <c r="AV238" i="1"/>
  <c r="AX238" i="1"/>
  <c r="AY238" i="1"/>
  <c r="AZ238" i="1"/>
  <c r="BA238" i="1"/>
  <c r="AO239" i="1"/>
  <c r="AP239" i="1"/>
  <c r="AR239" i="1"/>
  <c r="AS239" i="1"/>
  <c r="AT239" i="1"/>
  <c r="AU239" i="1"/>
  <c r="AV239" i="1"/>
  <c r="AX239" i="1"/>
  <c r="AY239" i="1"/>
  <c r="AO240" i="1"/>
  <c r="AP240" i="1"/>
  <c r="AR240" i="1"/>
  <c r="AS240" i="1"/>
  <c r="AT240" i="1"/>
  <c r="AU240" i="1"/>
  <c r="AV240" i="1"/>
  <c r="AX240" i="1"/>
  <c r="AY240" i="1"/>
  <c r="AZ240" i="1"/>
  <c r="BA240" i="1"/>
  <c r="AO241" i="1"/>
  <c r="AP241" i="1"/>
  <c r="AR241" i="1"/>
  <c r="AS241" i="1"/>
  <c r="AT241" i="1"/>
  <c r="AU241" i="1"/>
  <c r="AV241" i="1"/>
  <c r="AX241" i="1"/>
  <c r="AY241" i="1"/>
  <c r="AZ241" i="1"/>
  <c r="BA241" i="1"/>
  <c r="AO242" i="1"/>
  <c r="AP242" i="1"/>
  <c r="AR242" i="1"/>
  <c r="AS242" i="1"/>
  <c r="AT242" i="1"/>
  <c r="AU242" i="1"/>
  <c r="AV242" i="1"/>
  <c r="AX242" i="1"/>
  <c r="AY242" i="1"/>
  <c r="AZ242" i="1"/>
  <c r="BA242" i="1"/>
  <c r="AO243" i="1"/>
  <c r="AP243" i="1"/>
  <c r="AR243" i="1"/>
  <c r="AS243" i="1"/>
  <c r="AT243" i="1"/>
  <c r="AU243" i="1"/>
  <c r="AV243" i="1"/>
  <c r="AX243" i="1"/>
  <c r="AY243" i="1"/>
  <c r="AZ243" i="1"/>
  <c r="BA243" i="1"/>
  <c r="AO244" i="1"/>
  <c r="AP244" i="1"/>
  <c r="AR244" i="1"/>
  <c r="AS244" i="1"/>
  <c r="AT244" i="1"/>
  <c r="AU244" i="1"/>
  <c r="AV244" i="1"/>
  <c r="AX244" i="1"/>
  <c r="AY244" i="1"/>
  <c r="AZ244" i="1"/>
  <c r="BA244" i="1"/>
  <c r="AO245" i="1"/>
  <c r="AP245" i="1"/>
  <c r="AR245" i="1"/>
  <c r="AS245" i="1"/>
  <c r="AT245" i="1"/>
  <c r="AU245" i="1"/>
  <c r="AV245" i="1"/>
  <c r="AX245" i="1"/>
  <c r="AY245" i="1"/>
  <c r="AO246" i="1"/>
  <c r="AP246" i="1"/>
  <c r="AR246" i="1"/>
  <c r="AS246" i="1"/>
  <c r="AT246" i="1"/>
  <c r="AU246" i="1"/>
  <c r="AV246" i="1"/>
  <c r="AX246" i="1"/>
  <c r="AY246" i="1"/>
  <c r="AO247" i="1"/>
  <c r="AP247" i="1"/>
  <c r="AR247" i="1"/>
  <c r="AS247" i="1"/>
  <c r="AT247" i="1"/>
  <c r="AU247" i="1"/>
  <c r="AV247" i="1"/>
  <c r="AX247" i="1"/>
  <c r="AY247" i="1"/>
  <c r="AO248" i="1"/>
  <c r="AP248" i="1"/>
  <c r="AR248" i="1"/>
  <c r="AS248" i="1"/>
  <c r="AT248" i="1"/>
  <c r="AU248" i="1"/>
  <c r="AV248" i="1"/>
  <c r="AX248" i="1"/>
  <c r="AY248" i="1"/>
  <c r="AZ248" i="1"/>
  <c r="BA248" i="1"/>
  <c r="AO249" i="1"/>
  <c r="AP249" i="1"/>
  <c r="AR249" i="1"/>
  <c r="AS249" i="1"/>
  <c r="AT249" i="1"/>
  <c r="AU249" i="1"/>
  <c r="AV249" i="1"/>
  <c r="AX249" i="1"/>
  <c r="AY249" i="1"/>
  <c r="AO250" i="1"/>
  <c r="AP250" i="1"/>
  <c r="AR250" i="1"/>
  <c r="AS250" i="1"/>
  <c r="AT250" i="1"/>
  <c r="AU250" i="1"/>
  <c r="AV250" i="1"/>
  <c r="AX250" i="1"/>
  <c r="AY250" i="1"/>
  <c r="AO251" i="1"/>
  <c r="AP251" i="1"/>
  <c r="AR251" i="1"/>
  <c r="AS251" i="1"/>
  <c r="AT251" i="1"/>
  <c r="AU251" i="1"/>
  <c r="AV251" i="1"/>
  <c r="AX251" i="1"/>
  <c r="AY251" i="1"/>
  <c r="AO252" i="1"/>
  <c r="AP252" i="1"/>
  <c r="AR252" i="1"/>
  <c r="AS252" i="1"/>
  <c r="AT252" i="1"/>
  <c r="AU252" i="1"/>
  <c r="AV252" i="1"/>
  <c r="AX252" i="1"/>
  <c r="AY252" i="1"/>
  <c r="AZ252" i="1"/>
  <c r="BA252" i="1"/>
  <c r="AO253" i="1"/>
  <c r="AP253" i="1"/>
  <c r="AR253" i="1"/>
  <c r="AS253" i="1"/>
  <c r="AT253" i="1"/>
  <c r="AU253" i="1"/>
  <c r="AV253" i="1"/>
  <c r="AX253" i="1"/>
  <c r="AY253" i="1"/>
  <c r="AZ253" i="1"/>
  <c r="BA253" i="1"/>
  <c r="AO254" i="1"/>
  <c r="AP254" i="1"/>
  <c r="AR254" i="1"/>
  <c r="AS254" i="1"/>
  <c r="AT254" i="1"/>
  <c r="AU254" i="1"/>
  <c r="AV254" i="1"/>
  <c r="AX254" i="1"/>
  <c r="AY254" i="1"/>
  <c r="AO255" i="1"/>
  <c r="AP255" i="1"/>
  <c r="AR255" i="1"/>
  <c r="AS255" i="1"/>
  <c r="AT255" i="1"/>
  <c r="AU255" i="1"/>
  <c r="AV255" i="1"/>
  <c r="AX255" i="1"/>
  <c r="AY255" i="1"/>
  <c r="AZ255" i="1"/>
  <c r="BA255" i="1"/>
  <c r="AO256" i="1"/>
  <c r="AP256" i="1"/>
  <c r="AR256" i="1"/>
  <c r="AS256" i="1"/>
  <c r="AT256" i="1"/>
  <c r="AU256" i="1"/>
  <c r="AV256" i="1"/>
  <c r="AX256" i="1"/>
  <c r="AY256" i="1"/>
  <c r="AZ256" i="1"/>
  <c r="BA256" i="1"/>
  <c r="AO257" i="1"/>
  <c r="AP257" i="1"/>
  <c r="AR257" i="1"/>
  <c r="AS257" i="1"/>
  <c r="AT257" i="1"/>
  <c r="AU257" i="1"/>
  <c r="AV257" i="1"/>
  <c r="AX257" i="1"/>
  <c r="AY257" i="1"/>
  <c r="AZ257" i="1"/>
  <c r="BA257" i="1"/>
  <c r="AO258" i="1"/>
  <c r="AP258" i="1"/>
  <c r="AR258" i="1"/>
  <c r="AS258" i="1"/>
  <c r="AT258" i="1"/>
  <c r="AU258" i="1"/>
  <c r="AV258" i="1"/>
  <c r="AX258" i="1"/>
  <c r="AY258" i="1"/>
  <c r="AZ258" i="1"/>
  <c r="BA258" i="1"/>
  <c r="AO259" i="1"/>
  <c r="AP259" i="1"/>
  <c r="AR259" i="1"/>
  <c r="AS259" i="1"/>
  <c r="AT259" i="1"/>
  <c r="AU259" i="1"/>
  <c r="AV259" i="1"/>
  <c r="AX259" i="1"/>
  <c r="AY259" i="1"/>
  <c r="AO260" i="1"/>
  <c r="AP260" i="1"/>
  <c r="AR260" i="1"/>
  <c r="AS260" i="1"/>
  <c r="AT260" i="1"/>
  <c r="AU260" i="1"/>
  <c r="AV260" i="1"/>
  <c r="AX260" i="1"/>
  <c r="AY260" i="1"/>
  <c r="AO261" i="1"/>
  <c r="AP261" i="1"/>
  <c r="AR261" i="1"/>
  <c r="AS261" i="1"/>
  <c r="AT261" i="1"/>
  <c r="AU261" i="1"/>
  <c r="AV261" i="1"/>
  <c r="AX261" i="1"/>
  <c r="AY261" i="1"/>
  <c r="AZ261" i="1"/>
  <c r="BA261" i="1"/>
  <c r="AO262" i="1"/>
  <c r="AP262" i="1"/>
  <c r="AR262" i="1"/>
  <c r="AS262" i="1"/>
  <c r="AT262" i="1"/>
  <c r="AU262" i="1"/>
  <c r="AV262" i="1"/>
  <c r="AX262" i="1"/>
  <c r="AY262" i="1"/>
  <c r="AZ262" i="1"/>
  <c r="BA262" i="1"/>
  <c r="AO263" i="1"/>
  <c r="AP263" i="1"/>
  <c r="AR263" i="1"/>
  <c r="AS263" i="1"/>
  <c r="AT263" i="1"/>
  <c r="AU263" i="1"/>
  <c r="AV263" i="1"/>
  <c r="AX263" i="1"/>
  <c r="AY263" i="1"/>
  <c r="AZ263" i="1"/>
  <c r="BA263" i="1"/>
  <c r="AO264" i="1"/>
  <c r="AP264" i="1"/>
  <c r="AR264" i="1"/>
  <c r="AS264" i="1"/>
  <c r="AT264" i="1"/>
  <c r="AU264" i="1"/>
  <c r="AV264" i="1"/>
  <c r="AX264" i="1"/>
  <c r="AY264" i="1"/>
  <c r="AZ264" i="1"/>
  <c r="BA264" i="1"/>
  <c r="AO265" i="1"/>
  <c r="AP265" i="1"/>
  <c r="AR265" i="1"/>
  <c r="AS265" i="1"/>
  <c r="AT265" i="1"/>
  <c r="AU265" i="1"/>
  <c r="AV265" i="1"/>
  <c r="AX265" i="1"/>
  <c r="AY265" i="1"/>
  <c r="AZ265" i="1"/>
  <c r="BA265" i="1"/>
  <c r="AO266" i="1"/>
  <c r="AP266" i="1"/>
  <c r="AR266" i="1"/>
  <c r="AS266" i="1"/>
  <c r="AT266" i="1"/>
  <c r="AU266" i="1"/>
  <c r="AV266" i="1"/>
  <c r="AX266" i="1"/>
  <c r="AY266" i="1"/>
  <c r="AO267" i="1"/>
  <c r="AP267" i="1"/>
  <c r="AR267" i="1"/>
  <c r="AS267" i="1"/>
  <c r="AT267" i="1"/>
  <c r="AU267" i="1"/>
  <c r="AV267" i="1"/>
  <c r="AX267" i="1"/>
  <c r="AY267" i="1"/>
  <c r="AZ267" i="1"/>
  <c r="BA267" i="1"/>
  <c r="AO268" i="1"/>
  <c r="AP268" i="1"/>
  <c r="AR268" i="1"/>
  <c r="AS268" i="1"/>
  <c r="AT268" i="1"/>
  <c r="AU268" i="1"/>
  <c r="AV268" i="1"/>
  <c r="AX268" i="1"/>
  <c r="AY268" i="1"/>
  <c r="AO269" i="1"/>
  <c r="AP269" i="1"/>
  <c r="AR269" i="1"/>
  <c r="AS269" i="1"/>
  <c r="AT269" i="1"/>
  <c r="AU269" i="1"/>
  <c r="AV269" i="1"/>
  <c r="AX269" i="1"/>
  <c r="AY269" i="1"/>
  <c r="AZ269" i="1"/>
  <c r="BA269" i="1"/>
  <c r="AO270" i="1"/>
  <c r="AP270" i="1"/>
  <c r="AR270" i="1"/>
  <c r="AS270" i="1"/>
  <c r="AT270" i="1"/>
  <c r="AU270" i="1"/>
  <c r="AV270" i="1"/>
  <c r="AX270" i="1"/>
  <c r="AY270" i="1"/>
  <c r="AO271" i="1"/>
  <c r="AP271" i="1"/>
  <c r="AR271" i="1"/>
  <c r="AS271" i="1"/>
  <c r="AT271" i="1"/>
  <c r="AU271" i="1"/>
  <c r="AV271" i="1"/>
  <c r="AX271" i="1"/>
  <c r="AY271" i="1"/>
  <c r="AO272" i="1"/>
  <c r="AP272" i="1"/>
  <c r="AR272" i="1"/>
  <c r="AS272" i="1"/>
  <c r="AT272" i="1"/>
  <c r="AU272" i="1"/>
  <c r="AV272" i="1"/>
  <c r="AX272" i="1"/>
  <c r="AY272" i="1"/>
  <c r="AZ272" i="1"/>
  <c r="BA272" i="1"/>
  <c r="AO273" i="1"/>
  <c r="AP273" i="1"/>
  <c r="AR273" i="1"/>
  <c r="AS273" i="1"/>
  <c r="AT273" i="1"/>
  <c r="AU273" i="1"/>
  <c r="AV273" i="1"/>
  <c r="AX273" i="1"/>
  <c r="AY273" i="1"/>
  <c r="AZ273" i="1"/>
  <c r="BA273" i="1"/>
  <c r="AO274" i="1"/>
  <c r="AP274" i="1"/>
  <c r="AR274" i="1"/>
  <c r="AS274" i="1"/>
  <c r="AT274" i="1"/>
  <c r="AU274" i="1"/>
  <c r="AV274" i="1"/>
  <c r="AX274" i="1"/>
  <c r="AY274" i="1"/>
  <c r="AZ274" i="1"/>
  <c r="BA274" i="1"/>
  <c r="AO275" i="1"/>
  <c r="AP275" i="1"/>
  <c r="AR275" i="1"/>
  <c r="AS275" i="1"/>
  <c r="AT275" i="1"/>
  <c r="AU275" i="1"/>
  <c r="AV275" i="1"/>
  <c r="AX275" i="1"/>
  <c r="AY275" i="1"/>
  <c r="AZ275" i="1"/>
  <c r="BA275" i="1"/>
  <c r="AO276" i="1"/>
  <c r="AP276" i="1"/>
  <c r="AR276" i="1"/>
  <c r="AS276" i="1"/>
  <c r="AT276" i="1"/>
  <c r="AU276" i="1"/>
  <c r="AV276" i="1"/>
  <c r="AX276" i="1"/>
  <c r="AY276" i="1"/>
  <c r="AZ276" i="1"/>
  <c r="BA276" i="1"/>
  <c r="AO277" i="1"/>
  <c r="AP277" i="1"/>
  <c r="AR277" i="1"/>
  <c r="AS277" i="1"/>
  <c r="AT277" i="1"/>
  <c r="AU277" i="1"/>
  <c r="AV277" i="1"/>
  <c r="AX277" i="1"/>
  <c r="AY277" i="1"/>
  <c r="AZ277" i="1"/>
  <c r="BA277" i="1"/>
  <c r="AO278" i="1"/>
  <c r="AP278" i="1"/>
  <c r="AR278" i="1"/>
  <c r="AS278" i="1"/>
  <c r="AT278" i="1"/>
  <c r="AU278" i="1"/>
  <c r="AV278" i="1"/>
  <c r="AW278" i="1"/>
  <c r="AX278" i="1"/>
  <c r="AY278" i="1"/>
  <c r="AZ278" i="1"/>
  <c r="BA278" i="1"/>
  <c r="AO279" i="1"/>
  <c r="AP279" i="1"/>
  <c r="AR279" i="1"/>
  <c r="AS279" i="1"/>
  <c r="AT279" i="1"/>
  <c r="AU279" i="1"/>
  <c r="AV279" i="1"/>
  <c r="AW279" i="1"/>
  <c r="AX279" i="1"/>
  <c r="AY279" i="1"/>
  <c r="AZ279" i="1"/>
  <c r="BA279" i="1"/>
  <c r="AO280" i="1"/>
  <c r="AP280" i="1"/>
  <c r="AR280" i="1"/>
  <c r="AS280" i="1"/>
  <c r="AT280" i="1"/>
  <c r="AU280" i="1"/>
  <c r="AV280" i="1"/>
  <c r="AW280" i="1"/>
  <c r="AX280" i="1"/>
  <c r="AY280" i="1"/>
  <c r="AZ280" i="1"/>
  <c r="BA280" i="1"/>
  <c r="AO281" i="1"/>
  <c r="AP281" i="1"/>
  <c r="AR281" i="1"/>
  <c r="AS281" i="1"/>
  <c r="AT281" i="1"/>
  <c r="AU281" i="1"/>
  <c r="AV281" i="1"/>
  <c r="AW281" i="1"/>
  <c r="AX281" i="1"/>
  <c r="AY281" i="1"/>
  <c r="AZ281" i="1"/>
  <c r="BA281" i="1"/>
  <c r="AO282" i="1"/>
  <c r="AP282" i="1"/>
  <c r="AR282" i="1"/>
  <c r="AS282" i="1"/>
  <c r="AT282" i="1"/>
  <c r="AU282" i="1"/>
  <c r="AV282" i="1"/>
  <c r="AW282" i="1"/>
  <c r="AX282" i="1"/>
  <c r="AY282" i="1"/>
  <c r="AZ282" i="1"/>
  <c r="BA282" i="1"/>
  <c r="AO283" i="1"/>
  <c r="AP283" i="1"/>
  <c r="AR283" i="1"/>
  <c r="AS283" i="1"/>
  <c r="AT283" i="1"/>
  <c r="AU283" i="1"/>
  <c r="AV283" i="1"/>
  <c r="AW283" i="1"/>
  <c r="AX283" i="1"/>
  <c r="AY283" i="1"/>
  <c r="AZ283" i="1"/>
  <c r="BA283" i="1"/>
  <c r="AO284" i="1"/>
  <c r="AP284" i="1"/>
  <c r="AR284" i="1"/>
  <c r="AS284" i="1"/>
  <c r="AT284" i="1"/>
  <c r="AU284" i="1"/>
  <c r="AV284" i="1"/>
  <c r="AW284" i="1"/>
  <c r="AX284" i="1"/>
  <c r="AY284" i="1"/>
  <c r="AZ284" i="1"/>
  <c r="BA284" i="1"/>
  <c r="AO285" i="1"/>
  <c r="AP285" i="1"/>
  <c r="AR285" i="1"/>
  <c r="AS285" i="1"/>
  <c r="AT285" i="1"/>
  <c r="AU285" i="1"/>
  <c r="AV285" i="1"/>
  <c r="AW285" i="1"/>
  <c r="AX285" i="1"/>
  <c r="AY285" i="1"/>
  <c r="AZ285" i="1"/>
  <c r="BA285" i="1"/>
  <c r="AO286" i="1"/>
  <c r="AP286" i="1"/>
  <c r="AR286" i="1"/>
  <c r="AS286" i="1"/>
  <c r="AT286" i="1"/>
  <c r="AU286" i="1"/>
  <c r="AV286" i="1"/>
  <c r="AW286" i="1"/>
  <c r="AX286" i="1"/>
  <c r="AY286" i="1"/>
  <c r="AZ286" i="1"/>
  <c r="BA286" i="1"/>
  <c r="AO287" i="1"/>
  <c r="AP287" i="1"/>
  <c r="AR287" i="1"/>
  <c r="AS287" i="1"/>
  <c r="AT287" i="1"/>
  <c r="AU287" i="1"/>
  <c r="AV287" i="1"/>
  <c r="AW287" i="1"/>
  <c r="AX287" i="1"/>
  <c r="AY287" i="1"/>
  <c r="AZ287" i="1"/>
  <c r="BA287" i="1"/>
  <c r="AO288" i="1"/>
  <c r="AP288" i="1"/>
  <c r="AR288" i="1"/>
  <c r="AS288" i="1"/>
  <c r="AT288" i="1"/>
  <c r="AU288" i="1"/>
  <c r="AV288" i="1"/>
  <c r="AW288" i="1"/>
  <c r="AX288" i="1"/>
  <c r="AY288" i="1"/>
  <c r="AZ288" i="1"/>
  <c r="BA288" i="1"/>
  <c r="AO289" i="1"/>
  <c r="AP289" i="1"/>
  <c r="AR289" i="1"/>
  <c r="AS289" i="1"/>
  <c r="AT289" i="1"/>
  <c r="AU289" i="1"/>
  <c r="AV289" i="1"/>
  <c r="AW289" i="1"/>
  <c r="AX289" i="1"/>
  <c r="AY289" i="1"/>
  <c r="AZ289" i="1"/>
  <c r="BA289" i="1"/>
  <c r="AO290" i="1"/>
  <c r="AP290" i="1"/>
  <c r="AR290" i="1"/>
  <c r="AS290" i="1"/>
  <c r="AT290" i="1"/>
  <c r="AU290" i="1"/>
  <c r="AV290" i="1"/>
  <c r="AW290" i="1"/>
  <c r="AX290" i="1"/>
  <c r="AY290" i="1"/>
  <c r="AZ290" i="1"/>
  <c r="BA290" i="1"/>
  <c r="AO291" i="1"/>
  <c r="AP291" i="1"/>
  <c r="AR291" i="1"/>
  <c r="AS291" i="1"/>
  <c r="AT291" i="1"/>
  <c r="AU291" i="1"/>
  <c r="AV291" i="1"/>
  <c r="AW291" i="1"/>
  <c r="AX291" i="1"/>
  <c r="AY291" i="1"/>
  <c r="AZ291" i="1"/>
  <c r="BA291" i="1"/>
  <c r="AO292" i="1"/>
  <c r="AP292" i="1"/>
  <c r="AR292" i="1"/>
  <c r="AS292" i="1"/>
  <c r="AT292" i="1"/>
  <c r="AU292" i="1"/>
  <c r="AV292" i="1"/>
  <c r="AW292" i="1"/>
  <c r="AX292" i="1"/>
  <c r="AY292" i="1"/>
  <c r="AZ292" i="1"/>
  <c r="BA292" i="1"/>
  <c r="AO293" i="1"/>
  <c r="AP293" i="1"/>
  <c r="AR293" i="1"/>
  <c r="AS293" i="1"/>
  <c r="AT293" i="1"/>
  <c r="AU293" i="1"/>
  <c r="AV293" i="1"/>
  <c r="AW293" i="1"/>
  <c r="AX293" i="1"/>
  <c r="AY293" i="1"/>
  <c r="AZ293" i="1"/>
  <c r="BA293" i="1"/>
  <c r="AO294" i="1"/>
  <c r="AP294" i="1"/>
  <c r="AR294" i="1"/>
  <c r="AS294" i="1"/>
  <c r="AT294" i="1"/>
  <c r="AU294" i="1"/>
  <c r="AV294" i="1"/>
  <c r="AW294" i="1"/>
  <c r="AX294" i="1"/>
  <c r="AY294" i="1"/>
  <c r="AZ294" i="1"/>
  <c r="BA294" i="1"/>
  <c r="AO295" i="1"/>
  <c r="AP295" i="1"/>
  <c r="AR295" i="1"/>
  <c r="AS295" i="1"/>
  <c r="AT295" i="1"/>
  <c r="AU295" i="1"/>
  <c r="AV295" i="1"/>
  <c r="AW295" i="1"/>
  <c r="AX295" i="1"/>
  <c r="AY295" i="1"/>
  <c r="AZ295" i="1"/>
  <c r="BA295" i="1"/>
  <c r="AO296" i="1"/>
  <c r="AP296" i="1"/>
  <c r="AR296" i="1"/>
  <c r="AS296" i="1"/>
  <c r="AT296" i="1"/>
  <c r="AU296" i="1"/>
  <c r="AV296" i="1"/>
  <c r="AW296" i="1"/>
  <c r="AX296" i="1"/>
  <c r="AY296" i="1"/>
  <c r="AZ296" i="1"/>
  <c r="BA296" i="1"/>
  <c r="AO297" i="1"/>
  <c r="AP297" i="1"/>
  <c r="AR297" i="1"/>
  <c r="AS297" i="1"/>
  <c r="AT297" i="1"/>
  <c r="AU297" i="1"/>
  <c r="AV297" i="1"/>
  <c r="AW297" i="1"/>
  <c r="AX297" i="1"/>
  <c r="AY297" i="1"/>
  <c r="AZ297" i="1"/>
  <c r="BA297" i="1"/>
  <c r="AO298" i="1"/>
  <c r="AP298" i="1"/>
  <c r="AR298" i="1"/>
  <c r="AS298" i="1"/>
  <c r="AT298" i="1"/>
  <c r="AU298" i="1"/>
  <c r="AV298" i="1"/>
  <c r="AW298" i="1"/>
  <c r="AX298" i="1"/>
  <c r="AY298" i="1"/>
  <c r="AZ298" i="1"/>
  <c r="BA298" i="1"/>
  <c r="AO299" i="1"/>
  <c r="AP299" i="1"/>
  <c r="AR299" i="1"/>
  <c r="AS299" i="1"/>
  <c r="AT299" i="1"/>
  <c r="AU299" i="1"/>
  <c r="AV299" i="1"/>
  <c r="AW299" i="1"/>
  <c r="AX299" i="1"/>
  <c r="AY299" i="1"/>
  <c r="AZ299" i="1"/>
  <c r="BA299" i="1"/>
  <c r="AO300" i="1"/>
  <c r="AP300" i="1"/>
  <c r="AR300" i="1"/>
  <c r="AS300" i="1"/>
  <c r="AT300" i="1"/>
  <c r="AU300" i="1"/>
  <c r="AV300" i="1"/>
  <c r="AW300" i="1"/>
  <c r="AX300" i="1"/>
  <c r="AY300" i="1"/>
  <c r="AZ300" i="1"/>
  <c r="BA300" i="1"/>
  <c r="AO301" i="1"/>
  <c r="AP301" i="1"/>
  <c r="AR301" i="1"/>
  <c r="AS301" i="1"/>
  <c r="AT301" i="1"/>
  <c r="AU301" i="1"/>
  <c r="AV301" i="1"/>
  <c r="AW301" i="1"/>
  <c r="AX301" i="1"/>
  <c r="AY301" i="1"/>
  <c r="AZ301" i="1"/>
  <c r="BA301" i="1"/>
  <c r="AO302" i="1"/>
  <c r="AP302" i="1"/>
  <c r="AR302" i="1"/>
  <c r="AS302" i="1"/>
  <c r="AT302" i="1"/>
  <c r="AU302" i="1"/>
  <c r="AV302" i="1"/>
  <c r="AW302" i="1"/>
  <c r="AX302" i="1"/>
  <c r="AY302" i="1"/>
  <c r="AZ302" i="1"/>
  <c r="BA302" i="1"/>
  <c r="AO303" i="1"/>
  <c r="AP303" i="1"/>
  <c r="AR303" i="1"/>
  <c r="AS303" i="1"/>
  <c r="AT303" i="1"/>
  <c r="AU303" i="1"/>
  <c r="AV303" i="1"/>
  <c r="AW303" i="1"/>
  <c r="AX303" i="1"/>
  <c r="AY303" i="1"/>
  <c r="AZ303" i="1"/>
  <c r="BA303" i="1"/>
  <c r="AO304" i="1"/>
  <c r="AP304" i="1"/>
  <c r="AR304" i="1"/>
  <c r="AS304" i="1"/>
  <c r="AT304" i="1"/>
  <c r="AU304" i="1"/>
  <c r="AV304" i="1"/>
  <c r="AW304" i="1"/>
  <c r="AX304" i="1"/>
  <c r="AY304" i="1"/>
  <c r="AZ304" i="1"/>
  <c r="BA304" i="1"/>
  <c r="AO305" i="1"/>
  <c r="AP305" i="1"/>
  <c r="AR305" i="1"/>
  <c r="AS305" i="1"/>
  <c r="AT305" i="1"/>
  <c r="AU305" i="1"/>
  <c r="AV305" i="1"/>
  <c r="AW305" i="1"/>
  <c r="AX305" i="1"/>
  <c r="AY305" i="1"/>
  <c r="AZ305" i="1"/>
  <c r="BA305" i="1"/>
  <c r="AO306" i="1"/>
  <c r="AP306" i="1"/>
  <c r="AR306" i="1"/>
  <c r="AS306" i="1"/>
  <c r="AT306" i="1"/>
  <c r="AU306" i="1"/>
  <c r="AV306" i="1"/>
  <c r="AW306" i="1"/>
  <c r="AX306" i="1"/>
  <c r="AY306" i="1"/>
  <c r="AZ306" i="1"/>
  <c r="BA306" i="1"/>
  <c r="AO307" i="1"/>
  <c r="AP307" i="1"/>
  <c r="AR307" i="1"/>
  <c r="AS307" i="1"/>
  <c r="AT307" i="1"/>
  <c r="AU307" i="1"/>
  <c r="AV307" i="1"/>
  <c r="AW307" i="1"/>
  <c r="AX307" i="1"/>
  <c r="AY307" i="1"/>
  <c r="AZ307" i="1"/>
  <c r="BA307" i="1"/>
  <c r="AO308" i="1"/>
  <c r="AP308" i="1"/>
  <c r="AR308" i="1"/>
  <c r="AS308" i="1"/>
  <c r="AT308" i="1"/>
  <c r="AU308" i="1"/>
  <c r="AV308" i="1"/>
  <c r="AW308" i="1"/>
  <c r="AX308" i="1"/>
  <c r="AY308" i="1"/>
  <c r="AZ308" i="1"/>
  <c r="BA308" i="1"/>
  <c r="AO309" i="1"/>
  <c r="AP309" i="1"/>
  <c r="AR309" i="1"/>
  <c r="AS309" i="1"/>
  <c r="AT309" i="1"/>
  <c r="AU309" i="1"/>
  <c r="AV309" i="1"/>
  <c r="AW309" i="1"/>
  <c r="AX309" i="1"/>
  <c r="AY309" i="1"/>
  <c r="AZ309" i="1"/>
  <c r="BA309" i="1"/>
  <c r="AO310" i="1"/>
  <c r="AP310" i="1"/>
  <c r="AR310" i="1"/>
  <c r="AS310" i="1"/>
  <c r="AT310" i="1"/>
  <c r="AU310" i="1"/>
  <c r="AV310" i="1"/>
  <c r="AW310" i="1"/>
  <c r="AX310" i="1"/>
  <c r="AY310" i="1"/>
  <c r="AZ310" i="1"/>
  <c r="BA310" i="1"/>
  <c r="AO311" i="1"/>
  <c r="AP311" i="1"/>
  <c r="AR311" i="1"/>
  <c r="AS311" i="1"/>
  <c r="AT311" i="1"/>
  <c r="AU311" i="1"/>
  <c r="AV311" i="1"/>
  <c r="AW311" i="1"/>
  <c r="AX311" i="1"/>
  <c r="AY311" i="1"/>
  <c r="AZ311" i="1"/>
  <c r="BA311" i="1"/>
  <c r="AO312" i="1"/>
  <c r="AP312" i="1"/>
  <c r="AR312" i="1"/>
  <c r="AS312" i="1"/>
  <c r="AT312" i="1"/>
  <c r="AU312" i="1"/>
  <c r="AV312" i="1"/>
  <c r="AW312" i="1"/>
  <c r="AX312" i="1"/>
  <c r="AY312" i="1"/>
  <c r="AO313" i="1"/>
  <c r="AP313" i="1"/>
  <c r="AR313" i="1"/>
  <c r="AS313" i="1"/>
  <c r="AT313" i="1"/>
  <c r="AU313" i="1"/>
  <c r="AV313" i="1"/>
  <c r="AW313" i="1"/>
  <c r="AX313" i="1"/>
  <c r="AY313" i="1"/>
  <c r="AZ313" i="1"/>
  <c r="BA313" i="1"/>
  <c r="AO314" i="1"/>
  <c r="AP314" i="1"/>
  <c r="AR314" i="1"/>
  <c r="AS314" i="1"/>
  <c r="AT314" i="1"/>
  <c r="AU314" i="1"/>
  <c r="AV314" i="1"/>
  <c r="AW314" i="1"/>
  <c r="AX314" i="1"/>
  <c r="AY314" i="1"/>
  <c r="AZ314" i="1"/>
  <c r="BA314" i="1"/>
  <c r="AO315" i="1"/>
  <c r="AP315" i="1"/>
  <c r="AR315" i="1"/>
  <c r="AS315" i="1"/>
  <c r="AT315" i="1"/>
  <c r="AU315" i="1"/>
  <c r="AV315" i="1"/>
  <c r="AW315" i="1"/>
  <c r="AX315" i="1"/>
  <c r="AY315" i="1"/>
  <c r="AZ315" i="1"/>
  <c r="BA315" i="1"/>
  <c r="AO316" i="1"/>
  <c r="AP316" i="1"/>
  <c r="AR316" i="1"/>
  <c r="AS316" i="1"/>
  <c r="AT316" i="1"/>
  <c r="AU316" i="1"/>
  <c r="AV316" i="1"/>
  <c r="AW316" i="1"/>
  <c r="AX316" i="1"/>
  <c r="AY316" i="1"/>
  <c r="AO317" i="1"/>
  <c r="AP317" i="1"/>
  <c r="AR317" i="1"/>
  <c r="AS317" i="1"/>
  <c r="AT317" i="1"/>
  <c r="AU317" i="1"/>
  <c r="AV317" i="1"/>
  <c r="AW317" i="1"/>
  <c r="AX317" i="1"/>
  <c r="AY317" i="1"/>
  <c r="AZ317" i="1"/>
  <c r="BA317" i="1"/>
  <c r="AO318" i="1"/>
  <c r="AP318" i="1"/>
  <c r="AR318" i="1"/>
  <c r="AS318" i="1"/>
  <c r="AT318" i="1"/>
  <c r="AU318" i="1"/>
  <c r="AV318" i="1"/>
  <c r="AW318" i="1"/>
  <c r="AX318" i="1"/>
  <c r="AY318" i="1"/>
  <c r="AZ318" i="1"/>
  <c r="BA318" i="1"/>
  <c r="AO319" i="1"/>
  <c r="AP319" i="1"/>
  <c r="AR319" i="1"/>
  <c r="AS319" i="1"/>
  <c r="AT319" i="1"/>
  <c r="AU319" i="1"/>
  <c r="AV319" i="1"/>
  <c r="AW319" i="1"/>
  <c r="AX319" i="1"/>
  <c r="AY319" i="1"/>
  <c r="AZ319" i="1"/>
  <c r="BA319" i="1"/>
  <c r="AO320" i="1"/>
  <c r="AP320" i="1"/>
  <c r="AR320" i="1"/>
  <c r="AS320" i="1"/>
  <c r="AT320" i="1"/>
  <c r="AU320" i="1"/>
  <c r="AV320" i="1"/>
  <c r="AW320" i="1"/>
  <c r="AX320" i="1"/>
  <c r="AY320" i="1"/>
  <c r="AZ320" i="1"/>
  <c r="BA320" i="1"/>
  <c r="AO321" i="1"/>
  <c r="AP321" i="1"/>
  <c r="AR321" i="1"/>
  <c r="AS321" i="1"/>
  <c r="AT321" i="1"/>
  <c r="AU321" i="1"/>
  <c r="AV321" i="1"/>
  <c r="AW321" i="1"/>
  <c r="AX321" i="1"/>
  <c r="AY321" i="1"/>
  <c r="AZ321" i="1"/>
  <c r="BA321" i="1"/>
  <c r="AO322" i="1"/>
  <c r="AP322" i="1"/>
  <c r="AR322" i="1"/>
  <c r="AS322" i="1"/>
  <c r="AT322" i="1"/>
  <c r="AU322" i="1"/>
  <c r="AV322" i="1"/>
  <c r="AW322" i="1"/>
  <c r="AX322" i="1"/>
  <c r="AY322" i="1"/>
  <c r="AZ322" i="1"/>
  <c r="BA322" i="1"/>
  <c r="AO323" i="1"/>
  <c r="AP323" i="1"/>
  <c r="AR323" i="1"/>
  <c r="AS323" i="1"/>
  <c r="AT323" i="1"/>
  <c r="AU323" i="1"/>
  <c r="AV323" i="1"/>
  <c r="AW323" i="1"/>
  <c r="AX323" i="1"/>
  <c r="AY323" i="1"/>
  <c r="AZ323" i="1"/>
  <c r="BA323" i="1"/>
  <c r="AO324" i="1"/>
  <c r="AP324" i="1"/>
  <c r="AR324" i="1"/>
  <c r="AS324" i="1"/>
  <c r="AT324" i="1"/>
  <c r="AU324" i="1"/>
  <c r="AV324" i="1"/>
  <c r="AW324" i="1"/>
  <c r="AX324" i="1"/>
  <c r="AY324" i="1"/>
  <c r="AZ324" i="1"/>
  <c r="BA324" i="1"/>
  <c r="AO325" i="1"/>
  <c r="AP325" i="1"/>
  <c r="AR325" i="1"/>
  <c r="AS325" i="1"/>
  <c r="AT325" i="1"/>
  <c r="AU325" i="1"/>
  <c r="AV325" i="1"/>
  <c r="AW325" i="1"/>
  <c r="AX325" i="1"/>
  <c r="AY325" i="1"/>
  <c r="AZ325" i="1"/>
  <c r="BA325" i="1"/>
  <c r="AO326" i="1"/>
  <c r="AP326" i="1"/>
  <c r="AR326" i="1"/>
  <c r="AS326" i="1"/>
  <c r="AT326" i="1"/>
  <c r="AU326" i="1"/>
  <c r="AV326" i="1"/>
  <c r="AW326" i="1"/>
  <c r="AX326" i="1"/>
  <c r="AY326" i="1"/>
  <c r="AZ326" i="1"/>
  <c r="BA326" i="1"/>
  <c r="AO327" i="1"/>
  <c r="AP327" i="1"/>
  <c r="AR327" i="1"/>
  <c r="AS327" i="1"/>
  <c r="AT327" i="1"/>
  <c r="AU327" i="1"/>
  <c r="AV327" i="1"/>
  <c r="AW327" i="1"/>
  <c r="AX327" i="1"/>
  <c r="AY327" i="1"/>
  <c r="AZ327" i="1"/>
  <c r="BA327" i="1"/>
  <c r="AO328" i="1"/>
  <c r="AP328" i="1"/>
  <c r="AR328" i="1"/>
  <c r="AS328" i="1"/>
  <c r="AT328" i="1"/>
  <c r="AU328" i="1"/>
  <c r="AV328" i="1"/>
  <c r="AW328" i="1"/>
  <c r="AX328" i="1"/>
  <c r="AY328" i="1"/>
  <c r="AZ328" i="1"/>
  <c r="BA328" i="1"/>
  <c r="AO329" i="1"/>
  <c r="AP329" i="1"/>
  <c r="AR329" i="1"/>
  <c r="AS329" i="1"/>
  <c r="AT329" i="1"/>
  <c r="AU329" i="1"/>
  <c r="AV329" i="1"/>
  <c r="AW329" i="1"/>
  <c r="AX329" i="1"/>
  <c r="AY329" i="1"/>
  <c r="AZ329" i="1"/>
  <c r="BA329" i="1"/>
  <c r="AO330" i="1"/>
  <c r="AP330" i="1"/>
  <c r="AR330" i="1"/>
  <c r="AS330" i="1"/>
  <c r="AT330" i="1"/>
  <c r="AU330" i="1"/>
  <c r="AV330" i="1"/>
  <c r="AW330" i="1"/>
  <c r="AX330" i="1"/>
  <c r="AY330" i="1"/>
  <c r="AZ330" i="1"/>
  <c r="BA330" i="1"/>
  <c r="AO331" i="1"/>
  <c r="AP331" i="1"/>
  <c r="AR331" i="1"/>
  <c r="AS331" i="1"/>
  <c r="AT331" i="1"/>
  <c r="AU331" i="1"/>
  <c r="AV331" i="1"/>
  <c r="AW331" i="1"/>
  <c r="AX331" i="1"/>
  <c r="AY331" i="1"/>
  <c r="AZ331" i="1"/>
  <c r="BA331" i="1"/>
  <c r="AO332" i="1"/>
  <c r="AP332" i="1"/>
  <c r="AR332" i="1"/>
  <c r="AS332" i="1"/>
  <c r="AT332" i="1"/>
  <c r="AU332" i="1"/>
  <c r="AV332" i="1"/>
  <c r="AW332" i="1"/>
  <c r="AX332" i="1"/>
  <c r="AY332" i="1"/>
  <c r="AZ332" i="1"/>
  <c r="BA332" i="1"/>
  <c r="AO333" i="1"/>
  <c r="AP333" i="1"/>
  <c r="AR333" i="1"/>
  <c r="AS333" i="1"/>
  <c r="AT333" i="1"/>
  <c r="AU333" i="1"/>
  <c r="AV333" i="1"/>
  <c r="AW333" i="1"/>
  <c r="AX333" i="1"/>
  <c r="AY333" i="1"/>
  <c r="AZ333" i="1"/>
  <c r="BA333" i="1"/>
  <c r="AO334" i="1"/>
  <c r="AP334" i="1"/>
  <c r="AR334" i="1"/>
  <c r="AS334" i="1"/>
  <c r="AT334" i="1"/>
  <c r="AU334" i="1"/>
  <c r="AV334" i="1"/>
  <c r="AW334" i="1"/>
  <c r="AX334" i="1"/>
  <c r="AY334" i="1"/>
  <c r="AZ334" i="1"/>
  <c r="BA334" i="1"/>
  <c r="AO335" i="1"/>
  <c r="AP335" i="1"/>
  <c r="AR335" i="1"/>
  <c r="AS335" i="1"/>
  <c r="AT335" i="1"/>
  <c r="AU335" i="1"/>
  <c r="AV335" i="1"/>
  <c r="AW335" i="1"/>
  <c r="AX335" i="1"/>
  <c r="AY335" i="1"/>
  <c r="AZ335" i="1"/>
  <c r="BA335" i="1"/>
  <c r="AO336" i="1"/>
  <c r="AP336" i="1"/>
  <c r="AR336" i="1"/>
  <c r="AS336" i="1"/>
  <c r="AT336" i="1"/>
  <c r="AU336" i="1"/>
  <c r="AV336" i="1"/>
  <c r="AW336" i="1"/>
  <c r="AX336" i="1"/>
  <c r="AY336" i="1"/>
  <c r="AZ336" i="1"/>
  <c r="BA336" i="1"/>
  <c r="AO337" i="1"/>
  <c r="AP337" i="1"/>
  <c r="AR337" i="1"/>
  <c r="AS337" i="1"/>
  <c r="AT337" i="1"/>
  <c r="AU337" i="1"/>
  <c r="AV337" i="1"/>
  <c r="AW337" i="1"/>
  <c r="AX337" i="1"/>
  <c r="AY337" i="1"/>
  <c r="AZ337" i="1"/>
  <c r="BA337" i="1"/>
  <c r="AO338" i="1"/>
  <c r="AP338" i="1"/>
  <c r="AR338" i="1"/>
  <c r="AS338" i="1"/>
  <c r="AT338" i="1"/>
  <c r="AU338" i="1"/>
  <c r="AV338" i="1"/>
  <c r="AW338" i="1"/>
  <c r="AX338" i="1"/>
  <c r="AY338" i="1"/>
  <c r="AZ338" i="1"/>
  <c r="BA338" i="1"/>
  <c r="AO339" i="1"/>
  <c r="AP339" i="1"/>
  <c r="AR339" i="1"/>
  <c r="AS339" i="1"/>
  <c r="AT339" i="1"/>
  <c r="AU339" i="1"/>
  <c r="AV339" i="1"/>
  <c r="AW339" i="1"/>
  <c r="AX339" i="1"/>
  <c r="AY339" i="1"/>
  <c r="AZ339" i="1"/>
  <c r="BA339" i="1"/>
  <c r="AO340" i="1"/>
  <c r="AP340" i="1"/>
  <c r="AR340" i="1"/>
  <c r="AS340" i="1"/>
  <c r="AT340" i="1"/>
  <c r="AU340" i="1"/>
  <c r="AV340" i="1"/>
  <c r="AW340" i="1"/>
  <c r="AX340" i="1"/>
  <c r="AY340" i="1"/>
  <c r="AZ340" i="1"/>
  <c r="BA340" i="1"/>
  <c r="AO341" i="1"/>
  <c r="AP341" i="1"/>
  <c r="AR341" i="1"/>
  <c r="AS341" i="1"/>
  <c r="AT341" i="1"/>
  <c r="AU341" i="1"/>
  <c r="AV341" i="1"/>
  <c r="AW341" i="1"/>
  <c r="AX341" i="1"/>
  <c r="AY341" i="1"/>
  <c r="AZ341" i="1"/>
  <c r="BA341" i="1"/>
  <c r="AO342" i="1"/>
  <c r="AP342" i="1"/>
  <c r="AR342" i="1"/>
  <c r="AS342" i="1"/>
  <c r="AT342" i="1"/>
  <c r="AU342" i="1"/>
  <c r="AV342" i="1"/>
  <c r="AW342" i="1"/>
  <c r="AX342" i="1"/>
  <c r="AY342" i="1"/>
  <c r="AZ342" i="1"/>
  <c r="BA342" i="1"/>
  <c r="AO343" i="1"/>
  <c r="AP343" i="1"/>
  <c r="AR343" i="1"/>
  <c r="AS343" i="1"/>
  <c r="AT343" i="1"/>
  <c r="AU343" i="1"/>
  <c r="AV343" i="1"/>
  <c r="AW343" i="1"/>
  <c r="AX343" i="1"/>
  <c r="AY343" i="1"/>
  <c r="AZ343" i="1"/>
  <c r="BA343" i="1"/>
  <c r="AO344" i="1"/>
  <c r="AP344" i="1"/>
  <c r="AR344" i="1"/>
  <c r="AS344" i="1"/>
  <c r="AT344" i="1"/>
  <c r="AU344" i="1"/>
  <c r="AV344" i="1"/>
  <c r="AW344" i="1"/>
  <c r="AX344" i="1"/>
  <c r="AY344" i="1"/>
  <c r="AZ344" i="1"/>
  <c r="BA344" i="1"/>
  <c r="AO345" i="1"/>
  <c r="AP345" i="1"/>
  <c r="AR345" i="1"/>
  <c r="AS345" i="1"/>
  <c r="AT345" i="1"/>
  <c r="AU345" i="1"/>
  <c r="AV345" i="1"/>
  <c r="AW345" i="1"/>
  <c r="AX345" i="1"/>
  <c r="AY345" i="1"/>
  <c r="AZ345" i="1"/>
  <c r="BA345" i="1"/>
  <c r="AO346" i="1"/>
  <c r="AP346" i="1"/>
  <c r="AR346" i="1"/>
  <c r="AS346" i="1"/>
  <c r="AT346" i="1"/>
  <c r="AU346" i="1"/>
  <c r="AV346" i="1"/>
  <c r="AW346" i="1"/>
  <c r="AX346" i="1"/>
  <c r="AY346" i="1"/>
  <c r="AZ346" i="1"/>
  <c r="BA346" i="1"/>
  <c r="AO347" i="1"/>
  <c r="AP347" i="1"/>
  <c r="AR347" i="1"/>
  <c r="AS347" i="1"/>
  <c r="AT347" i="1"/>
  <c r="AU347" i="1"/>
  <c r="AV347" i="1"/>
  <c r="AW347" i="1"/>
  <c r="AX347" i="1"/>
  <c r="AY347" i="1"/>
  <c r="AZ347" i="1"/>
  <c r="BA347" i="1"/>
  <c r="AO348" i="1"/>
  <c r="AP348" i="1"/>
  <c r="AR348" i="1"/>
  <c r="AS348" i="1"/>
  <c r="AT348" i="1"/>
  <c r="AU348" i="1"/>
  <c r="AV348" i="1"/>
  <c r="AW348" i="1"/>
  <c r="AX348" i="1"/>
  <c r="AY348" i="1"/>
  <c r="AZ348" i="1"/>
  <c r="BA348" i="1"/>
  <c r="AO349" i="1"/>
  <c r="AP349" i="1"/>
  <c r="AR349" i="1"/>
  <c r="AS349" i="1"/>
  <c r="AT349" i="1"/>
  <c r="AU349" i="1"/>
  <c r="AV349" i="1"/>
  <c r="AW349" i="1"/>
  <c r="AX349" i="1"/>
  <c r="AY349" i="1"/>
  <c r="AZ349" i="1"/>
  <c r="BA349" i="1"/>
  <c r="AO350" i="1"/>
  <c r="AP350" i="1"/>
  <c r="AR350" i="1"/>
  <c r="AS350" i="1"/>
  <c r="AT350" i="1"/>
  <c r="AU350" i="1"/>
  <c r="AV350" i="1"/>
  <c r="AW350" i="1"/>
  <c r="AX350" i="1"/>
  <c r="AY350" i="1"/>
  <c r="AZ350" i="1"/>
  <c r="BA350" i="1"/>
  <c r="AO351" i="1"/>
  <c r="AP351" i="1"/>
  <c r="AR351" i="1"/>
  <c r="AS351" i="1"/>
  <c r="AT351" i="1"/>
  <c r="AU351" i="1"/>
  <c r="AV351" i="1"/>
  <c r="AW351" i="1"/>
  <c r="AX351" i="1"/>
  <c r="AY351" i="1"/>
  <c r="AZ351" i="1"/>
  <c r="BA351" i="1"/>
  <c r="AO352" i="1"/>
  <c r="AP352" i="1"/>
  <c r="AR352" i="1"/>
  <c r="AS352" i="1"/>
  <c r="AT352" i="1"/>
  <c r="AU352" i="1"/>
  <c r="AV352" i="1"/>
  <c r="AW352" i="1"/>
  <c r="AX352" i="1"/>
  <c r="AY352" i="1"/>
  <c r="AZ352" i="1"/>
  <c r="BA352" i="1"/>
  <c r="AO353" i="1"/>
  <c r="AP353" i="1"/>
  <c r="AR353" i="1"/>
  <c r="AS353" i="1"/>
  <c r="AT353" i="1"/>
  <c r="AU353" i="1"/>
  <c r="AV353" i="1"/>
  <c r="AW353" i="1"/>
  <c r="AX353" i="1"/>
  <c r="AY353" i="1"/>
  <c r="AO354" i="1"/>
  <c r="AP354" i="1"/>
  <c r="AR354" i="1"/>
  <c r="AS354" i="1"/>
  <c r="AT354" i="1"/>
  <c r="AU354" i="1"/>
  <c r="AV354" i="1"/>
  <c r="AW354" i="1"/>
  <c r="AX354" i="1"/>
  <c r="AY354" i="1"/>
  <c r="AZ354" i="1"/>
  <c r="BA354" i="1"/>
  <c r="AO355" i="1"/>
  <c r="AP355" i="1"/>
  <c r="AR355" i="1"/>
  <c r="AS355" i="1"/>
  <c r="AT355" i="1"/>
  <c r="AU355" i="1"/>
  <c r="AV355" i="1"/>
  <c r="AW355" i="1"/>
  <c r="AX355" i="1"/>
  <c r="AY355" i="1"/>
  <c r="AO356" i="1"/>
  <c r="AP356" i="1"/>
  <c r="AR356" i="1"/>
  <c r="AS356" i="1"/>
  <c r="AT356" i="1"/>
  <c r="AU356" i="1"/>
  <c r="AV356" i="1"/>
  <c r="AW356" i="1"/>
  <c r="AX356" i="1"/>
  <c r="AY356" i="1"/>
  <c r="AZ356" i="1"/>
  <c r="BA356" i="1"/>
  <c r="AO357" i="1"/>
  <c r="AP357" i="1"/>
  <c r="AR357" i="1"/>
  <c r="AS357" i="1"/>
  <c r="AT357" i="1"/>
  <c r="AU357" i="1"/>
  <c r="AV357" i="1"/>
  <c r="AW357" i="1"/>
  <c r="AX357" i="1"/>
  <c r="AY357" i="1"/>
  <c r="AZ357" i="1"/>
  <c r="BA357" i="1"/>
  <c r="AO358" i="1"/>
  <c r="AP358" i="1"/>
  <c r="AR358" i="1"/>
  <c r="AS358" i="1"/>
  <c r="AT358" i="1"/>
  <c r="AU358" i="1"/>
  <c r="AV358" i="1"/>
  <c r="AW358" i="1"/>
  <c r="AX358" i="1"/>
  <c r="AY358" i="1"/>
  <c r="AZ358" i="1"/>
  <c r="BA358" i="1"/>
  <c r="AO359" i="1"/>
  <c r="AP359" i="1"/>
  <c r="AR359" i="1"/>
  <c r="AS359" i="1"/>
  <c r="AT359" i="1"/>
  <c r="AU359" i="1"/>
  <c r="AV359" i="1"/>
  <c r="AW359" i="1"/>
  <c r="AX359" i="1"/>
  <c r="AY359" i="1"/>
  <c r="AZ359" i="1"/>
  <c r="BA359" i="1"/>
  <c r="AO360" i="1"/>
  <c r="AP360" i="1"/>
  <c r="AR360" i="1"/>
  <c r="AS360" i="1"/>
  <c r="AT360" i="1"/>
  <c r="AU360" i="1"/>
  <c r="AV360" i="1"/>
  <c r="AW360" i="1"/>
  <c r="AX360" i="1"/>
  <c r="AY360" i="1"/>
  <c r="AZ360" i="1"/>
  <c r="BA360" i="1"/>
  <c r="AO361" i="1"/>
  <c r="AP361" i="1"/>
  <c r="AR361" i="1"/>
  <c r="AS361" i="1"/>
  <c r="AT361" i="1"/>
  <c r="AU361" i="1"/>
  <c r="AV361" i="1"/>
  <c r="AW361" i="1"/>
  <c r="AX361" i="1"/>
  <c r="AY361" i="1"/>
  <c r="AZ361" i="1"/>
  <c r="BA361" i="1"/>
  <c r="AO362" i="1"/>
  <c r="AP362" i="1"/>
  <c r="AR362" i="1"/>
  <c r="AS362" i="1"/>
  <c r="AT362" i="1"/>
  <c r="AU362" i="1"/>
  <c r="AV362" i="1"/>
  <c r="AW362" i="1"/>
  <c r="AX362" i="1"/>
  <c r="AY362" i="1"/>
  <c r="AZ362" i="1"/>
  <c r="BA362" i="1"/>
  <c r="AO363" i="1"/>
  <c r="AP363" i="1"/>
  <c r="AR363" i="1"/>
  <c r="AS363" i="1"/>
  <c r="AT363" i="1"/>
  <c r="AU363" i="1"/>
  <c r="AV363" i="1"/>
  <c r="AW363" i="1"/>
  <c r="AX363" i="1"/>
  <c r="AY363" i="1"/>
  <c r="AO364" i="1"/>
  <c r="AP364" i="1"/>
  <c r="AR364" i="1"/>
  <c r="AS364" i="1"/>
  <c r="AT364" i="1"/>
  <c r="AU364" i="1"/>
  <c r="AV364" i="1"/>
  <c r="AW364" i="1"/>
  <c r="AX364" i="1"/>
  <c r="AY364" i="1"/>
  <c r="AZ364" i="1"/>
  <c r="BA364" i="1"/>
  <c r="AO365" i="1"/>
  <c r="AP365" i="1"/>
  <c r="AR365" i="1"/>
  <c r="AS365" i="1"/>
  <c r="AT365" i="1"/>
  <c r="AU365" i="1"/>
  <c r="AV365" i="1"/>
  <c r="AW365" i="1"/>
  <c r="AX365" i="1"/>
  <c r="AY365" i="1"/>
  <c r="AZ365" i="1"/>
  <c r="BA365" i="1"/>
  <c r="AO366" i="1"/>
  <c r="AP366" i="1"/>
  <c r="AR366" i="1"/>
  <c r="AS366" i="1"/>
  <c r="AT366" i="1"/>
  <c r="AU366" i="1"/>
  <c r="AV366" i="1"/>
  <c r="AW366" i="1"/>
  <c r="AX366" i="1"/>
  <c r="AY366" i="1"/>
  <c r="AZ366" i="1"/>
  <c r="BA366" i="1"/>
  <c r="AO367" i="1"/>
  <c r="AP367" i="1"/>
  <c r="AR367" i="1"/>
  <c r="AS367" i="1"/>
  <c r="AT367" i="1"/>
  <c r="AU367" i="1"/>
  <c r="AV367" i="1"/>
  <c r="AW367" i="1"/>
  <c r="AX367" i="1"/>
  <c r="AY367" i="1"/>
  <c r="AZ367" i="1"/>
  <c r="BA367" i="1"/>
  <c r="AO368" i="1"/>
  <c r="AP368" i="1"/>
  <c r="AR368" i="1"/>
  <c r="AS368" i="1"/>
  <c r="AT368" i="1"/>
  <c r="AU368" i="1"/>
  <c r="AV368" i="1"/>
  <c r="AW368" i="1"/>
  <c r="AX368" i="1"/>
  <c r="AY368" i="1"/>
  <c r="AZ368" i="1"/>
  <c r="BA368" i="1"/>
  <c r="AO369" i="1"/>
  <c r="AP369" i="1"/>
  <c r="AR369" i="1"/>
  <c r="AS369" i="1"/>
  <c r="AT369" i="1"/>
  <c r="AU369" i="1"/>
  <c r="AV369" i="1"/>
  <c r="AW369" i="1"/>
  <c r="AX369" i="1"/>
  <c r="AY369" i="1"/>
  <c r="AO370" i="1"/>
  <c r="AP370" i="1"/>
  <c r="AR370" i="1"/>
  <c r="AS370" i="1"/>
  <c r="AT370" i="1"/>
  <c r="AU370" i="1"/>
  <c r="AV370" i="1"/>
  <c r="AW370" i="1"/>
  <c r="AX370" i="1"/>
  <c r="AY370" i="1"/>
  <c r="AZ370" i="1"/>
  <c r="BA370" i="1"/>
  <c r="AO371" i="1"/>
  <c r="AP371" i="1"/>
  <c r="AR371" i="1"/>
  <c r="AS371" i="1"/>
  <c r="AT371" i="1"/>
  <c r="AU371" i="1"/>
  <c r="AV371" i="1"/>
  <c r="AW371" i="1"/>
  <c r="AX371" i="1"/>
  <c r="AY371" i="1"/>
  <c r="AZ371" i="1"/>
  <c r="BA371" i="1"/>
  <c r="AO372" i="1"/>
  <c r="AP372" i="1"/>
  <c r="AR372" i="1"/>
  <c r="AS372" i="1"/>
  <c r="AT372" i="1"/>
  <c r="AU372" i="1"/>
  <c r="AV372" i="1"/>
  <c r="AW372" i="1"/>
  <c r="AX372" i="1"/>
  <c r="AY372" i="1"/>
  <c r="AZ372" i="1"/>
  <c r="BA372" i="1"/>
  <c r="AO373" i="1"/>
  <c r="AP373" i="1"/>
  <c r="AR373" i="1"/>
  <c r="AS373" i="1"/>
  <c r="AT373" i="1"/>
  <c r="AU373" i="1"/>
  <c r="AV373" i="1"/>
  <c r="AW373" i="1"/>
  <c r="AX373" i="1"/>
  <c r="AY373" i="1"/>
  <c r="AZ373" i="1"/>
  <c r="BA373" i="1"/>
  <c r="AO374" i="1"/>
  <c r="AP374" i="1"/>
  <c r="AR374" i="1"/>
  <c r="AS374" i="1"/>
  <c r="AT374" i="1"/>
  <c r="AU374" i="1"/>
  <c r="AV374" i="1"/>
  <c r="AW374" i="1"/>
  <c r="AX374" i="1"/>
  <c r="AY374" i="1"/>
  <c r="AZ374" i="1"/>
  <c r="BA374" i="1"/>
  <c r="AO375" i="1"/>
  <c r="AP375" i="1"/>
  <c r="AR375" i="1"/>
  <c r="AS375" i="1"/>
  <c r="AT375" i="1"/>
  <c r="AU375" i="1"/>
  <c r="AV375" i="1"/>
  <c r="AW375" i="1"/>
  <c r="AX375" i="1"/>
  <c r="AY375" i="1"/>
  <c r="AZ375" i="1"/>
  <c r="BA375" i="1"/>
  <c r="AO376" i="1"/>
  <c r="AP376" i="1"/>
  <c r="AR376" i="1"/>
  <c r="AS376" i="1"/>
  <c r="AT376" i="1"/>
  <c r="AU376" i="1"/>
  <c r="AV376" i="1"/>
  <c r="AW376" i="1"/>
  <c r="AX376" i="1"/>
  <c r="AY376" i="1"/>
  <c r="AZ376" i="1"/>
  <c r="BA376" i="1"/>
  <c r="AO377" i="1"/>
  <c r="AP377" i="1"/>
  <c r="AR377" i="1"/>
  <c r="AS377" i="1"/>
  <c r="AT377" i="1"/>
  <c r="AU377" i="1"/>
  <c r="AV377" i="1"/>
  <c r="AW377" i="1"/>
  <c r="AX377" i="1"/>
  <c r="AY377" i="1"/>
  <c r="AZ377" i="1"/>
  <c r="BA377" i="1"/>
  <c r="AO378" i="1"/>
  <c r="AP378" i="1"/>
  <c r="AR378" i="1"/>
  <c r="AS378" i="1"/>
  <c r="AT378" i="1"/>
  <c r="AU378" i="1"/>
  <c r="AV378" i="1"/>
  <c r="AW378" i="1"/>
  <c r="AX378" i="1"/>
  <c r="AY378" i="1"/>
  <c r="AZ378" i="1"/>
  <c r="BA378" i="1"/>
  <c r="AO379" i="1"/>
  <c r="AP379" i="1"/>
  <c r="AR379" i="1"/>
  <c r="AS379" i="1"/>
  <c r="AT379" i="1"/>
  <c r="AU379" i="1"/>
  <c r="AV379" i="1"/>
  <c r="AW379" i="1"/>
  <c r="AX379" i="1"/>
  <c r="AY379" i="1"/>
  <c r="AZ379" i="1"/>
  <c r="BA379" i="1"/>
  <c r="AO380" i="1"/>
  <c r="AP380" i="1"/>
  <c r="AR380" i="1"/>
  <c r="AS380" i="1"/>
  <c r="AT380" i="1"/>
  <c r="AU380" i="1"/>
  <c r="AV380" i="1"/>
  <c r="AW380" i="1"/>
  <c r="AX380" i="1"/>
  <c r="AY380" i="1"/>
  <c r="AZ380" i="1"/>
  <c r="BA380" i="1"/>
  <c r="AO381" i="1"/>
  <c r="AP381" i="1"/>
  <c r="AR381" i="1"/>
  <c r="AS381" i="1"/>
  <c r="AT381" i="1"/>
  <c r="AU381" i="1"/>
  <c r="AV381" i="1"/>
  <c r="AW381" i="1"/>
  <c r="AX381" i="1"/>
  <c r="AY381" i="1"/>
  <c r="AZ381" i="1"/>
  <c r="BA381" i="1"/>
  <c r="AO382" i="1"/>
  <c r="AP382" i="1"/>
  <c r="AR382" i="1"/>
  <c r="AS382" i="1"/>
  <c r="AT382" i="1"/>
  <c r="AU382" i="1"/>
  <c r="AV382" i="1"/>
  <c r="AW382" i="1"/>
  <c r="AX382" i="1"/>
  <c r="AY382" i="1"/>
  <c r="AZ382" i="1"/>
  <c r="BA382" i="1"/>
  <c r="AO383" i="1"/>
  <c r="AP383" i="1"/>
  <c r="AR383" i="1"/>
  <c r="AS383" i="1"/>
  <c r="AT383" i="1"/>
  <c r="AU383" i="1"/>
  <c r="AV383" i="1"/>
  <c r="AW383" i="1"/>
  <c r="AX383" i="1"/>
  <c r="AY383" i="1"/>
  <c r="AZ383" i="1"/>
  <c r="BA383" i="1"/>
  <c r="AO384" i="1"/>
  <c r="AP384" i="1"/>
  <c r="AR384" i="1"/>
  <c r="AS384" i="1"/>
  <c r="AT384" i="1"/>
  <c r="AU384" i="1"/>
  <c r="AV384" i="1"/>
  <c r="AW384" i="1"/>
  <c r="AX384" i="1"/>
  <c r="AY384" i="1"/>
  <c r="AZ384" i="1"/>
  <c r="BA384" i="1"/>
  <c r="AO385" i="1"/>
  <c r="AP385" i="1"/>
  <c r="AR385" i="1"/>
  <c r="AS385" i="1"/>
  <c r="AT385" i="1"/>
  <c r="AU385" i="1"/>
  <c r="AV385" i="1"/>
  <c r="AW385" i="1"/>
  <c r="AX385" i="1"/>
  <c r="AY385" i="1"/>
  <c r="AZ385" i="1"/>
  <c r="BA385" i="1"/>
  <c r="AO386" i="1"/>
  <c r="AP386" i="1"/>
  <c r="AR386" i="1"/>
  <c r="AS386" i="1"/>
  <c r="AT386" i="1"/>
  <c r="AU386" i="1"/>
  <c r="AV386" i="1"/>
  <c r="AW386" i="1"/>
  <c r="AX386" i="1"/>
  <c r="AY386" i="1"/>
  <c r="AZ386" i="1"/>
  <c r="BA386" i="1"/>
  <c r="AO387" i="1"/>
  <c r="AP387" i="1"/>
  <c r="AR387" i="1"/>
  <c r="AS387" i="1"/>
  <c r="AT387" i="1"/>
  <c r="AU387" i="1"/>
  <c r="AV387" i="1"/>
  <c r="AW387" i="1"/>
  <c r="AX387" i="1"/>
  <c r="AY387" i="1"/>
  <c r="AZ387" i="1"/>
  <c r="BA387" i="1"/>
  <c r="AO388" i="1"/>
  <c r="AP388" i="1"/>
  <c r="AR388" i="1"/>
  <c r="AS388" i="1"/>
  <c r="AT388" i="1"/>
  <c r="AU388" i="1"/>
  <c r="AV388" i="1"/>
  <c r="AW388" i="1"/>
  <c r="AX388" i="1"/>
  <c r="AY388" i="1"/>
  <c r="AZ388" i="1"/>
  <c r="BA388" i="1"/>
  <c r="AO389" i="1"/>
  <c r="AP389" i="1"/>
  <c r="AR389" i="1"/>
  <c r="AS389" i="1"/>
  <c r="AT389" i="1"/>
  <c r="AU389" i="1"/>
  <c r="AV389" i="1"/>
  <c r="AW389" i="1"/>
  <c r="AX389" i="1"/>
  <c r="AY389" i="1"/>
  <c r="AZ389" i="1"/>
  <c r="BA389" i="1"/>
  <c r="AO390" i="1"/>
  <c r="AP390" i="1"/>
  <c r="AR390" i="1"/>
  <c r="AS390" i="1"/>
  <c r="AT390" i="1"/>
  <c r="AU390" i="1"/>
  <c r="AV390" i="1"/>
  <c r="AW390" i="1"/>
  <c r="AX390" i="1"/>
  <c r="AY390" i="1"/>
  <c r="AZ390" i="1"/>
  <c r="BA390" i="1"/>
  <c r="AO391" i="1"/>
  <c r="AP391" i="1"/>
  <c r="AR391" i="1"/>
  <c r="AS391" i="1"/>
  <c r="AT391" i="1"/>
  <c r="AU391" i="1"/>
  <c r="AV391" i="1"/>
  <c r="AW391" i="1"/>
  <c r="AX391" i="1"/>
  <c r="AY391" i="1"/>
  <c r="AZ391" i="1"/>
  <c r="BA391" i="1"/>
  <c r="AO392" i="1"/>
  <c r="AP392" i="1"/>
  <c r="AR392" i="1"/>
  <c r="AS392" i="1"/>
  <c r="AT392" i="1"/>
  <c r="AU392" i="1"/>
  <c r="AV392" i="1"/>
  <c r="AW392" i="1"/>
  <c r="AX392" i="1"/>
  <c r="AY392" i="1"/>
  <c r="AZ392" i="1"/>
  <c r="BA392" i="1"/>
  <c r="AO393" i="1"/>
  <c r="AP393" i="1"/>
  <c r="AR393" i="1"/>
  <c r="AS393" i="1"/>
  <c r="AT393" i="1"/>
  <c r="AU393" i="1"/>
  <c r="AV393" i="1"/>
  <c r="AW393" i="1"/>
  <c r="AX393" i="1"/>
  <c r="AY393" i="1"/>
  <c r="AZ393" i="1"/>
  <c r="BA393" i="1"/>
  <c r="AO394" i="1"/>
  <c r="AP394" i="1"/>
  <c r="AR394" i="1"/>
  <c r="AS394" i="1"/>
  <c r="AT394" i="1"/>
  <c r="AU394" i="1"/>
  <c r="AV394" i="1"/>
  <c r="AW394" i="1"/>
  <c r="AX394" i="1"/>
  <c r="AY394" i="1"/>
  <c r="AZ394" i="1"/>
  <c r="BA394" i="1"/>
  <c r="AO395" i="1"/>
  <c r="AP395" i="1"/>
  <c r="AR395" i="1"/>
  <c r="AS395" i="1"/>
  <c r="AT395" i="1"/>
  <c r="AU395" i="1"/>
  <c r="AV395" i="1"/>
  <c r="AW395" i="1"/>
  <c r="AX395" i="1"/>
  <c r="AY395" i="1"/>
  <c r="AZ395" i="1"/>
  <c r="BA395" i="1"/>
  <c r="AO396" i="1"/>
  <c r="AP396" i="1"/>
  <c r="AR396" i="1"/>
  <c r="AS396" i="1"/>
  <c r="AT396" i="1"/>
  <c r="AU396" i="1"/>
  <c r="AV396" i="1"/>
  <c r="AW396" i="1"/>
  <c r="AX396" i="1"/>
  <c r="AY396" i="1"/>
  <c r="AZ396" i="1"/>
  <c r="BA396" i="1"/>
  <c r="AO397" i="1"/>
  <c r="AP397" i="1"/>
  <c r="AR397" i="1"/>
  <c r="AS397" i="1"/>
  <c r="AT397" i="1"/>
  <c r="AU397" i="1"/>
  <c r="AV397" i="1"/>
  <c r="AW397" i="1"/>
  <c r="AX397" i="1"/>
  <c r="AY397" i="1"/>
  <c r="AZ397" i="1"/>
  <c r="BA397" i="1"/>
  <c r="AO398" i="1"/>
  <c r="AP398" i="1"/>
  <c r="AR398" i="1"/>
  <c r="AS398" i="1"/>
  <c r="AT398" i="1"/>
  <c r="AU398" i="1"/>
  <c r="AV398" i="1"/>
  <c r="AW398" i="1"/>
  <c r="AX398" i="1"/>
  <c r="AY398" i="1"/>
  <c r="AZ398" i="1"/>
  <c r="BA398" i="1"/>
  <c r="AO399" i="1"/>
  <c r="AP399" i="1"/>
  <c r="AR399" i="1"/>
  <c r="AS399" i="1"/>
  <c r="AT399" i="1"/>
  <c r="AU399" i="1"/>
  <c r="AV399" i="1"/>
  <c r="AW399" i="1"/>
  <c r="AX399" i="1"/>
  <c r="AY399" i="1"/>
  <c r="AZ399" i="1"/>
  <c r="BA399" i="1"/>
  <c r="AO400" i="1"/>
  <c r="AP400" i="1"/>
  <c r="AR400" i="1"/>
  <c r="AS400" i="1"/>
  <c r="AT400" i="1"/>
  <c r="AU400" i="1"/>
  <c r="AV400" i="1"/>
  <c r="AW400" i="1"/>
  <c r="AX400" i="1"/>
  <c r="AY400" i="1"/>
  <c r="AZ400" i="1"/>
  <c r="BA400" i="1"/>
  <c r="AO401" i="1"/>
  <c r="AP401" i="1"/>
  <c r="AR401" i="1"/>
  <c r="AS401" i="1"/>
  <c r="AT401" i="1"/>
  <c r="AU401" i="1"/>
  <c r="AV401" i="1"/>
  <c r="AW401" i="1"/>
  <c r="AX401" i="1"/>
  <c r="AY401" i="1"/>
  <c r="AZ401" i="1"/>
  <c r="BA401" i="1"/>
  <c r="AO402" i="1"/>
  <c r="AP402" i="1"/>
  <c r="AR402" i="1"/>
  <c r="AS402" i="1"/>
  <c r="AT402" i="1"/>
  <c r="AU402" i="1"/>
  <c r="AV402" i="1"/>
  <c r="AW402" i="1"/>
  <c r="AX402" i="1"/>
  <c r="AY402" i="1"/>
  <c r="AZ402" i="1"/>
  <c r="BA402" i="1"/>
  <c r="AO403" i="1"/>
  <c r="AP403" i="1"/>
  <c r="AR403" i="1"/>
  <c r="AS403" i="1"/>
  <c r="AT403" i="1"/>
  <c r="AU403" i="1"/>
  <c r="AV403" i="1"/>
  <c r="AW403" i="1"/>
  <c r="AX403" i="1"/>
  <c r="AY403" i="1"/>
  <c r="AZ403" i="1"/>
  <c r="BA403" i="1"/>
  <c r="AO404" i="1"/>
  <c r="AP404" i="1"/>
  <c r="AR404" i="1"/>
  <c r="AS404" i="1"/>
  <c r="AT404" i="1"/>
  <c r="AU404" i="1"/>
  <c r="AV404" i="1"/>
  <c r="AW404" i="1"/>
  <c r="AX404" i="1"/>
  <c r="AY404" i="1"/>
  <c r="AZ404" i="1"/>
  <c r="BA404" i="1"/>
  <c r="AO405" i="1"/>
  <c r="AP405" i="1"/>
  <c r="AR405" i="1"/>
  <c r="AS405" i="1"/>
  <c r="AT405" i="1"/>
  <c r="AU405" i="1"/>
  <c r="AV405" i="1"/>
  <c r="AW405" i="1"/>
  <c r="AX405" i="1"/>
  <c r="AY405" i="1"/>
  <c r="AZ405" i="1"/>
  <c r="BA405" i="1"/>
  <c r="AO406" i="1"/>
  <c r="AP406" i="1"/>
  <c r="AR406" i="1"/>
  <c r="AS406" i="1"/>
  <c r="AT406" i="1"/>
  <c r="AU406" i="1"/>
  <c r="AV406" i="1"/>
  <c r="AW406" i="1"/>
  <c r="AX406" i="1"/>
  <c r="AY406" i="1"/>
  <c r="AZ406" i="1"/>
  <c r="BA406" i="1"/>
  <c r="AO407" i="1"/>
  <c r="AP407" i="1"/>
  <c r="AR407" i="1"/>
  <c r="AS407" i="1"/>
  <c r="AT407" i="1"/>
  <c r="AU407" i="1"/>
  <c r="AV407" i="1"/>
  <c r="AW407" i="1"/>
  <c r="AX407" i="1"/>
  <c r="AY407" i="1"/>
  <c r="AZ407" i="1"/>
  <c r="BA407" i="1"/>
  <c r="AO408" i="1"/>
  <c r="AP408" i="1"/>
  <c r="AR408" i="1"/>
  <c r="AS408" i="1"/>
  <c r="AT408" i="1"/>
  <c r="AU408" i="1"/>
  <c r="AV408" i="1"/>
  <c r="AW408" i="1"/>
  <c r="AX408" i="1"/>
  <c r="AY408" i="1"/>
  <c r="AZ408" i="1"/>
  <c r="BA408" i="1"/>
  <c r="AO409" i="1"/>
  <c r="AP409" i="1"/>
  <c r="AR409" i="1"/>
  <c r="AS409" i="1"/>
  <c r="AT409" i="1"/>
  <c r="AU409" i="1"/>
  <c r="AV409" i="1"/>
  <c r="AW409" i="1"/>
  <c r="AX409" i="1"/>
  <c r="AY409" i="1"/>
  <c r="AZ409" i="1"/>
  <c r="BA409" i="1"/>
  <c r="AO410" i="1"/>
  <c r="AP410" i="1"/>
  <c r="AR410" i="1"/>
  <c r="AS410" i="1"/>
  <c r="AT410" i="1"/>
  <c r="AU410" i="1"/>
  <c r="AV410" i="1"/>
  <c r="AW410" i="1"/>
  <c r="AX410" i="1"/>
  <c r="AY410" i="1"/>
  <c r="AZ410" i="1"/>
  <c r="BA410" i="1"/>
  <c r="AO411" i="1"/>
  <c r="AP411" i="1"/>
  <c r="AR411" i="1"/>
  <c r="AS411" i="1"/>
  <c r="AT411" i="1"/>
  <c r="AU411" i="1"/>
  <c r="AV411" i="1"/>
  <c r="AW411" i="1"/>
  <c r="AX411" i="1"/>
  <c r="AY411" i="1"/>
  <c r="AZ411" i="1"/>
  <c r="BA411" i="1"/>
  <c r="AO412" i="1"/>
  <c r="AP412" i="1"/>
  <c r="AR412" i="1"/>
  <c r="AS412" i="1"/>
  <c r="AT412" i="1"/>
  <c r="AU412" i="1"/>
  <c r="AV412" i="1"/>
  <c r="AW412" i="1"/>
  <c r="AX412" i="1"/>
  <c r="AY412" i="1"/>
  <c r="AZ412" i="1"/>
  <c r="BA412" i="1"/>
  <c r="AO413" i="1"/>
  <c r="AP413" i="1"/>
  <c r="AR413" i="1"/>
  <c r="AS413" i="1"/>
  <c r="AT413" i="1"/>
  <c r="AU413" i="1"/>
  <c r="AV413" i="1"/>
  <c r="AW413" i="1"/>
  <c r="AX413" i="1"/>
  <c r="AY413" i="1"/>
  <c r="AZ413" i="1"/>
  <c r="BA413" i="1"/>
  <c r="AO414" i="1"/>
  <c r="AP414" i="1"/>
  <c r="AR414" i="1"/>
  <c r="AS414" i="1"/>
  <c r="AT414" i="1"/>
  <c r="AU414" i="1"/>
  <c r="AV414" i="1"/>
  <c r="AW414" i="1"/>
  <c r="AX414" i="1"/>
  <c r="AY414" i="1"/>
  <c r="AZ414" i="1"/>
  <c r="BA414" i="1"/>
  <c r="AO415" i="1"/>
  <c r="AP415" i="1"/>
  <c r="AR415" i="1"/>
  <c r="AS415" i="1"/>
  <c r="AT415" i="1"/>
  <c r="AU415" i="1"/>
  <c r="AV415" i="1"/>
  <c r="AW415" i="1"/>
  <c r="AX415" i="1"/>
  <c r="AY415" i="1"/>
  <c r="AZ415" i="1"/>
  <c r="BA415" i="1"/>
  <c r="AO416" i="1"/>
  <c r="AP416" i="1"/>
  <c r="AR416" i="1"/>
  <c r="AS416" i="1"/>
  <c r="AT416" i="1"/>
  <c r="AU416" i="1"/>
  <c r="AV416" i="1"/>
  <c r="AW416" i="1"/>
  <c r="AX416" i="1"/>
  <c r="AY416" i="1"/>
  <c r="AZ416" i="1"/>
  <c r="BA416" i="1"/>
  <c r="AO417" i="1"/>
  <c r="AP417" i="1"/>
  <c r="AR417" i="1"/>
  <c r="AS417" i="1"/>
  <c r="AT417" i="1"/>
  <c r="AU417" i="1"/>
  <c r="AV417" i="1"/>
  <c r="AW417" i="1"/>
  <c r="AX417" i="1"/>
  <c r="AY417" i="1"/>
  <c r="AZ417" i="1"/>
  <c r="BA417" i="1"/>
  <c r="AO418" i="1"/>
  <c r="AP418" i="1"/>
  <c r="AR418" i="1"/>
  <c r="AS418" i="1"/>
  <c r="AT418" i="1"/>
  <c r="AU418" i="1"/>
  <c r="AV418" i="1"/>
  <c r="AW418" i="1"/>
  <c r="AX418" i="1"/>
  <c r="AY418" i="1"/>
  <c r="AZ418" i="1"/>
  <c r="BA418" i="1"/>
  <c r="AO419" i="1"/>
  <c r="AP419" i="1"/>
  <c r="AR419" i="1"/>
  <c r="AS419" i="1"/>
  <c r="AT419" i="1"/>
  <c r="AU419" i="1"/>
  <c r="AV419" i="1"/>
  <c r="AW419" i="1"/>
  <c r="AX419" i="1"/>
  <c r="AY419" i="1"/>
  <c r="AZ419" i="1"/>
  <c r="BA419" i="1"/>
  <c r="AO420" i="1"/>
  <c r="AP420" i="1"/>
  <c r="AR420" i="1"/>
  <c r="AS420" i="1"/>
  <c r="AT420" i="1"/>
  <c r="AU420" i="1"/>
  <c r="AV420" i="1"/>
  <c r="AW420" i="1"/>
  <c r="AX420" i="1"/>
  <c r="AY420" i="1"/>
  <c r="AZ420" i="1"/>
  <c r="BA420" i="1"/>
  <c r="AO421" i="1"/>
  <c r="AP421" i="1"/>
  <c r="AR421" i="1"/>
  <c r="AS421" i="1"/>
  <c r="AT421" i="1"/>
  <c r="AU421" i="1"/>
  <c r="AV421" i="1"/>
  <c r="AW421" i="1"/>
  <c r="AX421" i="1"/>
  <c r="AY421" i="1"/>
  <c r="AZ421" i="1"/>
  <c r="BA421" i="1"/>
  <c r="AO422" i="1"/>
  <c r="AP422" i="1"/>
  <c r="AR422" i="1"/>
  <c r="AS422" i="1"/>
  <c r="AT422" i="1"/>
  <c r="AU422" i="1"/>
  <c r="AV422" i="1"/>
  <c r="AW422" i="1"/>
  <c r="AX422" i="1"/>
  <c r="AY422" i="1"/>
  <c r="AZ422" i="1"/>
  <c r="BA422" i="1"/>
  <c r="AO423" i="1"/>
  <c r="AP423" i="1"/>
  <c r="AR423" i="1"/>
  <c r="AS423" i="1"/>
  <c r="AT423" i="1"/>
  <c r="AU423" i="1"/>
  <c r="AV423" i="1"/>
  <c r="AW423" i="1"/>
  <c r="AX423" i="1"/>
  <c r="AY423" i="1"/>
  <c r="AZ423" i="1"/>
  <c r="BA423" i="1"/>
  <c r="AO424" i="1"/>
  <c r="AP424" i="1"/>
  <c r="AR424" i="1"/>
  <c r="AS424" i="1"/>
  <c r="AT424" i="1"/>
  <c r="AU424" i="1"/>
  <c r="AV424" i="1"/>
  <c r="AW424" i="1"/>
  <c r="AX424" i="1"/>
  <c r="AY424" i="1"/>
  <c r="AZ424" i="1"/>
  <c r="BA424" i="1"/>
  <c r="AO425" i="1"/>
  <c r="AP425" i="1"/>
  <c r="AR425" i="1"/>
  <c r="AS425" i="1"/>
  <c r="AT425" i="1"/>
  <c r="AU425" i="1"/>
  <c r="AV425" i="1"/>
  <c r="AW425" i="1"/>
  <c r="AX425" i="1"/>
  <c r="AY425" i="1"/>
  <c r="AZ425" i="1"/>
  <c r="BA425" i="1"/>
  <c r="AO426" i="1"/>
  <c r="AP426" i="1"/>
  <c r="AR426" i="1"/>
  <c r="AS426" i="1"/>
  <c r="AT426" i="1"/>
  <c r="AU426" i="1"/>
  <c r="AV426" i="1"/>
  <c r="AW426" i="1"/>
  <c r="AX426" i="1"/>
  <c r="AY426" i="1"/>
  <c r="AZ426" i="1"/>
  <c r="BA426" i="1"/>
  <c r="AO427" i="1"/>
  <c r="AP427" i="1"/>
  <c r="AR427" i="1"/>
  <c r="AS427" i="1"/>
  <c r="AT427" i="1"/>
  <c r="AU427" i="1"/>
  <c r="AV427" i="1"/>
  <c r="AW427" i="1"/>
  <c r="AX427" i="1"/>
  <c r="AY427" i="1"/>
  <c r="AZ427" i="1"/>
  <c r="BA427" i="1"/>
  <c r="AO428" i="1"/>
  <c r="AP428" i="1"/>
  <c r="AR428" i="1"/>
  <c r="AS428" i="1"/>
  <c r="AT428" i="1"/>
  <c r="AU428" i="1"/>
  <c r="AV428" i="1"/>
  <c r="AW428" i="1"/>
  <c r="AX428" i="1"/>
  <c r="AY428" i="1"/>
  <c r="AZ428" i="1"/>
  <c r="BA428" i="1"/>
  <c r="AO429" i="1"/>
  <c r="AP429" i="1"/>
  <c r="AR429" i="1"/>
  <c r="AS429" i="1"/>
  <c r="AT429" i="1"/>
  <c r="AU429" i="1"/>
  <c r="AV429" i="1"/>
  <c r="AW429" i="1"/>
  <c r="AX429" i="1"/>
  <c r="AY429" i="1"/>
  <c r="AZ429" i="1"/>
  <c r="BA429" i="1"/>
  <c r="AO430" i="1"/>
  <c r="AP430" i="1"/>
  <c r="AR430" i="1"/>
  <c r="AS430" i="1"/>
  <c r="AT430" i="1"/>
  <c r="AU430" i="1"/>
  <c r="AV430" i="1"/>
  <c r="AW430" i="1"/>
  <c r="AX430" i="1"/>
  <c r="AY430" i="1"/>
  <c r="AZ430" i="1"/>
  <c r="BA430" i="1"/>
  <c r="AO431" i="1"/>
  <c r="AP431" i="1"/>
  <c r="AR431" i="1"/>
  <c r="AS431" i="1"/>
  <c r="AT431" i="1"/>
  <c r="AU431" i="1"/>
  <c r="AV431" i="1"/>
  <c r="AW431" i="1"/>
  <c r="AX431" i="1"/>
  <c r="AY431" i="1"/>
  <c r="AZ431" i="1"/>
  <c r="BA431" i="1"/>
  <c r="AO432" i="1"/>
  <c r="AP432" i="1"/>
  <c r="AR432" i="1"/>
  <c r="AS432" i="1"/>
  <c r="AT432" i="1"/>
  <c r="AU432" i="1"/>
  <c r="AV432" i="1"/>
  <c r="AW432" i="1"/>
  <c r="AX432" i="1"/>
  <c r="AY432" i="1"/>
  <c r="AZ432" i="1"/>
  <c r="BA432" i="1"/>
  <c r="AO433" i="1"/>
  <c r="AP433" i="1"/>
  <c r="AR433" i="1"/>
  <c r="AS433" i="1"/>
  <c r="AT433" i="1"/>
  <c r="AU433" i="1"/>
  <c r="AV433" i="1"/>
  <c r="AW433" i="1"/>
  <c r="AX433" i="1"/>
  <c r="AY433" i="1"/>
  <c r="AZ433" i="1"/>
  <c r="BA433" i="1"/>
  <c r="AO434" i="1"/>
  <c r="AP434" i="1"/>
  <c r="AR434" i="1"/>
  <c r="AS434" i="1"/>
  <c r="AT434" i="1"/>
  <c r="AU434" i="1"/>
  <c r="AV434" i="1"/>
  <c r="AW434" i="1"/>
  <c r="AX434" i="1"/>
  <c r="AY434" i="1"/>
  <c r="AZ434" i="1"/>
  <c r="BA434" i="1"/>
  <c r="AO435" i="1"/>
  <c r="AP435" i="1"/>
  <c r="AR435" i="1"/>
  <c r="AS435" i="1"/>
  <c r="AT435" i="1"/>
  <c r="AU435" i="1"/>
  <c r="AV435" i="1"/>
  <c r="AW435" i="1"/>
  <c r="AX435" i="1"/>
  <c r="AY435" i="1"/>
  <c r="AZ435" i="1"/>
  <c r="BA435" i="1"/>
  <c r="AO436" i="1"/>
  <c r="AP436" i="1"/>
  <c r="AR436" i="1"/>
  <c r="AS436" i="1"/>
  <c r="AT436" i="1"/>
  <c r="AU436" i="1"/>
  <c r="AV436" i="1"/>
  <c r="AW436" i="1"/>
  <c r="AX436" i="1"/>
  <c r="AY436" i="1"/>
  <c r="AZ436" i="1"/>
  <c r="BA436" i="1"/>
  <c r="AO437" i="1"/>
  <c r="AP437" i="1"/>
  <c r="AR437" i="1"/>
  <c r="AS437" i="1"/>
  <c r="AT437" i="1"/>
  <c r="AU437" i="1"/>
  <c r="AV437" i="1"/>
  <c r="AW437" i="1"/>
  <c r="AX437" i="1"/>
  <c r="AY437" i="1"/>
  <c r="AZ437" i="1"/>
  <c r="BA437" i="1"/>
  <c r="AO438" i="1"/>
  <c r="AP438" i="1"/>
  <c r="AR438" i="1"/>
  <c r="AS438" i="1"/>
  <c r="AT438" i="1"/>
  <c r="AU438" i="1"/>
  <c r="AV438" i="1"/>
  <c r="AW438" i="1"/>
  <c r="AX438" i="1"/>
  <c r="AY438" i="1"/>
  <c r="AZ438" i="1"/>
  <c r="BA438" i="1"/>
  <c r="AO439" i="1"/>
  <c r="AP439" i="1"/>
  <c r="AR439" i="1"/>
  <c r="AS439" i="1"/>
  <c r="AT439" i="1"/>
  <c r="AU439" i="1"/>
  <c r="AV439" i="1"/>
  <c r="AW439" i="1"/>
  <c r="AX439" i="1"/>
  <c r="AY439" i="1"/>
  <c r="AZ439" i="1"/>
  <c r="BA439" i="1"/>
  <c r="AO440" i="1"/>
  <c r="AP440" i="1"/>
  <c r="AR440" i="1"/>
  <c r="AS440" i="1"/>
  <c r="AT440" i="1"/>
  <c r="AU440" i="1"/>
  <c r="AV440" i="1"/>
  <c r="AW440" i="1"/>
  <c r="AX440" i="1"/>
  <c r="AY440" i="1"/>
  <c r="AZ440" i="1"/>
  <c r="BA440" i="1"/>
  <c r="AO441" i="1"/>
  <c r="AP441" i="1"/>
  <c r="AR441" i="1"/>
  <c r="AS441" i="1"/>
  <c r="AT441" i="1"/>
  <c r="AU441" i="1"/>
  <c r="AV441" i="1"/>
  <c r="AW441" i="1"/>
  <c r="AX441" i="1"/>
  <c r="AY441" i="1"/>
  <c r="AZ441" i="1"/>
  <c r="BA441" i="1"/>
  <c r="AO442" i="1"/>
  <c r="AP442" i="1"/>
  <c r="AR442" i="1"/>
  <c r="AS442" i="1"/>
  <c r="AT442" i="1"/>
  <c r="AU442" i="1"/>
  <c r="AV442" i="1"/>
  <c r="AW442" i="1"/>
  <c r="AX442" i="1"/>
  <c r="AY442" i="1"/>
  <c r="AZ442" i="1"/>
  <c r="BA442" i="1"/>
  <c r="AO443" i="1"/>
  <c r="AP443" i="1"/>
  <c r="AR443" i="1"/>
  <c r="AS443" i="1"/>
  <c r="AT443" i="1"/>
  <c r="AU443" i="1"/>
  <c r="AV443" i="1"/>
  <c r="AW443" i="1"/>
  <c r="AX443" i="1"/>
  <c r="AY443" i="1"/>
  <c r="AZ443" i="1"/>
  <c r="BA443" i="1"/>
  <c r="AO444" i="1"/>
  <c r="AP444" i="1"/>
  <c r="AR444" i="1"/>
  <c r="AS444" i="1"/>
  <c r="AT444" i="1"/>
  <c r="AU444" i="1"/>
  <c r="AV444" i="1"/>
  <c r="AW444" i="1"/>
  <c r="AX444" i="1"/>
  <c r="AY444" i="1"/>
  <c r="AZ444" i="1"/>
  <c r="BA444" i="1"/>
  <c r="AO445" i="1"/>
  <c r="AP445" i="1"/>
  <c r="AR445" i="1"/>
  <c r="AS445" i="1"/>
  <c r="AT445" i="1"/>
  <c r="AU445" i="1"/>
  <c r="AV445" i="1"/>
  <c r="AW445" i="1"/>
  <c r="AX445" i="1"/>
  <c r="AY445" i="1"/>
  <c r="AZ445" i="1"/>
  <c r="BA445" i="1"/>
  <c r="AO446" i="1"/>
  <c r="AP446" i="1"/>
  <c r="AR446" i="1"/>
  <c r="AS446" i="1"/>
  <c r="AT446" i="1"/>
  <c r="AU446" i="1"/>
  <c r="AV446" i="1"/>
  <c r="AW446" i="1"/>
  <c r="AX446" i="1"/>
  <c r="AY446" i="1"/>
  <c r="AZ446" i="1"/>
  <c r="BA446" i="1"/>
  <c r="AO447" i="1"/>
  <c r="AP447" i="1"/>
  <c r="AR447" i="1"/>
  <c r="AS447" i="1"/>
  <c r="AT447" i="1"/>
  <c r="AU447" i="1"/>
  <c r="AV447" i="1"/>
  <c r="AW447" i="1"/>
  <c r="AX447" i="1"/>
  <c r="AY447" i="1"/>
  <c r="AZ447" i="1"/>
  <c r="BA447" i="1"/>
  <c r="AO448" i="1"/>
  <c r="AP448" i="1"/>
  <c r="AR448" i="1"/>
  <c r="AS448" i="1"/>
  <c r="AT448" i="1"/>
  <c r="AU448" i="1"/>
  <c r="AV448" i="1"/>
  <c r="AW448" i="1"/>
  <c r="AX448" i="1"/>
  <c r="AY448" i="1"/>
  <c r="AZ448" i="1"/>
  <c r="BA448" i="1"/>
  <c r="AO449" i="1"/>
  <c r="AP449" i="1"/>
  <c r="AR449" i="1"/>
  <c r="AS449" i="1"/>
  <c r="AT449" i="1"/>
  <c r="AU449" i="1"/>
  <c r="AV449" i="1"/>
  <c r="AW449" i="1"/>
  <c r="AX449" i="1"/>
  <c r="AY449" i="1"/>
  <c r="AZ449" i="1"/>
  <c r="BA449" i="1"/>
  <c r="AO450" i="1"/>
  <c r="AP450" i="1"/>
  <c r="AR450" i="1"/>
  <c r="AS450" i="1"/>
  <c r="AT450" i="1"/>
  <c r="AU450" i="1"/>
  <c r="AV450" i="1"/>
  <c r="AW450" i="1"/>
  <c r="AX450" i="1"/>
  <c r="AY450" i="1"/>
  <c r="AZ450" i="1"/>
  <c r="BA450" i="1"/>
  <c r="AO451" i="1"/>
  <c r="AP451" i="1"/>
  <c r="AR451" i="1"/>
  <c r="AS451" i="1"/>
  <c r="AT451" i="1"/>
  <c r="AU451" i="1"/>
  <c r="AV451" i="1"/>
  <c r="AW451" i="1"/>
  <c r="AX451" i="1"/>
  <c r="AY451" i="1"/>
  <c r="AZ451" i="1"/>
  <c r="BA451" i="1"/>
  <c r="AO452" i="1"/>
  <c r="AP452" i="1"/>
  <c r="AR452" i="1"/>
  <c r="AS452" i="1"/>
  <c r="AT452" i="1"/>
  <c r="AU452" i="1"/>
  <c r="AV452" i="1"/>
  <c r="AW452" i="1"/>
  <c r="AX452" i="1"/>
  <c r="AY452" i="1"/>
  <c r="AZ452" i="1"/>
  <c r="BA452" i="1"/>
  <c r="AO453" i="1"/>
  <c r="AP453" i="1"/>
  <c r="AR453" i="1"/>
  <c r="AS453" i="1"/>
  <c r="AT453" i="1"/>
  <c r="AU453" i="1"/>
  <c r="AV453" i="1"/>
  <c r="AW453" i="1"/>
  <c r="AX453" i="1"/>
  <c r="AY453" i="1"/>
  <c r="AZ453" i="1"/>
  <c r="BA453" i="1"/>
  <c r="AO454" i="1"/>
  <c r="AP454" i="1"/>
  <c r="AR454" i="1"/>
  <c r="AS454" i="1"/>
  <c r="AT454" i="1"/>
  <c r="AU454" i="1"/>
  <c r="AV454" i="1"/>
  <c r="AW454" i="1"/>
  <c r="AX454" i="1"/>
  <c r="AY454" i="1"/>
  <c r="AZ454" i="1"/>
  <c r="BA454" i="1"/>
  <c r="AO455" i="1"/>
  <c r="AP455" i="1"/>
  <c r="AR455" i="1"/>
  <c r="AS455" i="1"/>
  <c r="AT455" i="1"/>
  <c r="AU455" i="1"/>
  <c r="AV455" i="1"/>
  <c r="AW455" i="1"/>
  <c r="AX455" i="1"/>
  <c r="AY455" i="1"/>
  <c r="AZ455" i="1"/>
  <c r="BA455" i="1"/>
  <c r="AO456" i="1"/>
  <c r="AP456" i="1"/>
  <c r="AR456" i="1"/>
  <c r="AS456" i="1"/>
  <c r="AT456" i="1"/>
  <c r="AU456" i="1"/>
  <c r="AV456" i="1"/>
  <c r="AW456" i="1"/>
  <c r="AX456" i="1"/>
  <c r="AY456" i="1"/>
  <c r="AZ456" i="1"/>
  <c r="BA456" i="1"/>
  <c r="AO457" i="1"/>
  <c r="AP457" i="1"/>
  <c r="AR457" i="1"/>
  <c r="AS457" i="1"/>
  <c r="AT457" i="1"/>
  <c r="AU457" i="1"/>
  <c r="AV457" i="1"/>
  <c r="AW457" i="1"/>
  <c r="AX457" i="1"/>
  <c r="AY457" i="1"/>
  <c r="AZ457" i="1"/>
  <c r="BA457" i="1"/>
  <c r="AO458" i="1"/>
  <c r="AP458" i="1"/>
  <c r="AR458" i="1"/>
  <c r="AS458" i="1"/>
  <c r="AT458" i="1"/>
  <c r="AU458" i="1"/>
  <c r="AV458" i="1"/>
  <c r="AW458" i="1"/>
  <c r="AX458" i="1"/>
  <c r="AY458" i="1"/>
  <c r="AZ458" i="1"/>
  <c r="BA458" i="1"/>
  <c r="AO459" i="1"/>
  <c r="AP459" i="1"/>
  <c r="AR459" i="1"/>
  <c r="AS459" i="1"/>
  <c r="AT459" i="1"/>
  <c r="AU459" i="1"/>
  <c r="AV459" i="1"/>
  <c r="AW459" i="1"/>
  <c r="AX459" i="1"/>
  <c r="AY459" i="1"/>
  <c r="AZ459" i="1"/>
  <c r="BA459" i="1"/>
  <c r="AO460" i="1"/>
  <c r="AP460" i="1"/>
  <c r="AR460" i="1"/>
  <c r="AS460" i="1"/>
  <c r="AT460" i="1"/>
  <c r="AU460" i="1"/>
  <c r="AV460" i="1"/>
  <c r="AW460" i="1"/>
  <c r="AX460" i="1"/>
  <c r="AY460" i="1"/>
  <c r="AZ460" i="1"/>
  <c r="BA460" i="1"/>
  <c r="AO461" i="1"/>
  <c r="AP461" i="1"/>
  <c r="AR461" i="1"/>
  <c r="AS461" i="1"/>
  <c r="AT461" i="1"/>
  <c r="AU461" i="1"/>
  <c r="AV461" i="1"/>
  <c r="AW461" i="1"/>
  <c r="AX461" i="1"/>
  <c r="AY461" i="1"/>
  <c r="AZ461" i="1"/>
  <c r="BA461" i="1"/>
  <c r="AO462" i="1"/>
  <c r="AP462" i="1"/>
  <c r="AR462" i="1"/>
  <c r="AS462" i="1"/>
  <c r="AT462" i="1"/>
  <c r="AU462" i="1"/>
  <c r="AV462" i="1"/>
  <c r="AW462" i="1"/>
  <c r="AX462" i="1"/>
  <c r="AY462" i="1"/>
  <c r="AZ462" i="1"/>
  <c r="BA462" i="1"/>
  <c r="AO463" i="1"/>
  <c r="AP463" i="1"/>
  <c r="AR463" i="1"/>
  <c r="AS463" i="1"/>
  <c r="AT463" i="1"/>
  <c r="AU463" i="1"/>
  <c r="AV463" i="1"/>
  <c r="AW463" i="1"/>
  <c r="AX463" i="1"/>
  <c r="AY463" i="1"/>
  <c r="AZ463" i="1"/>
  <c r="BA463" i="1"/>
  <c r="AO464" i="1"/>
  <c r="AP464" i="1"/>
  <c r="AR464" i="1"/>
  <c r="AS464" i="1"/>
  <c r="AT464" i="1"/>
  <c r="AU464" i="1"/>
  <c r="AV464" i="1"/>
  <c r="AW464" i="1"/>
  <c r="AX464" i="1"/>
  <c r="AY464" i="1"/>
  <c r="AZ464" i="1"/>
  <c r="BA464" i="1"/>
  <c r="AO465" i="1"/>
  <c r="AP465" i="1"/>
  <c r="AR465" i="1"/>
  <c r="AS465" i="1"/>
  <c r="AT465" i="1"/>
  <c r="AU465" i="1"/>
  <c r="AV465" i="1"/>
  <c r="AW465" i="1"/>
  <c r="AX465" i="1"/>
  <c r="AY465" i="1"/>
  <c r="AZ465" i="1"/>
  <c r="BA465" i="1"/>
  <c r="AO466" i="1"/>
  <c r="AP466" i="1"/>
  <c r="AR466" i="1"/>
  <c r="AS466" i="1"/>
  <c r="AT466" i="1"/>
  <c r="AU466" i="1"/>
  <c r="AV466" i="1"/>
  <c r="AW466" i="1"/>
  <c r="AX466" i="1"/>
  <c r="AY466" i="1"/>
  <c r="AZ466" i="1"/>
  <c r="BA466" i="1"/>
  <c r="AO467" i="1"/>
  <c r="AP467" i="1"/>
  <c r="AR467" i="1"/>
  <c r="AS467" i="1"/>
  <c r="AT467" i="1"/>
  <c r="AU467" i="1"/>
  <c r="AV467" i="1"/>
  <c r="AW467" i="1"/>
  <c r="AX467" i="1"/>
  <c r="AY467" i="1"/>
  <c r="AZ467" i="1"/>
  <c r="BA467" i="1"/>
  <c r="AO468" i="1"/>
  <c r="AP468" i="1"/>
  <c r="AR468" i="1"/>
  <c r="AS468" i="1"/>
  <c r="AT468" i="1"/>
  <c r="AU468" i="1"/>
  <c r="AV468" i="1"/>
  <c r="AW468" i="1"/>
  <c r="AX468" i="1"/>
  <c r="AY468" i="1"/>
  <c r="AZ468" i="1"/>
  <c r="BA468" i="1"/>
  <c r="AO469" i="1"/>
  <c r="AP469" i="1"/>
  <c r="AR469" i="1"/>
  <c r="AS469" i="1"/>
  <c r="AT469" i="1"/>
  <c r="AU469" i="1"/>
  <c r="AV469" i="1"/>
  <c r="AW469" i="1"/>
  <c r="AX469" i="1"/>
  <c r="AY469" i="1"/>
  <c r="AZ469" i="1"/>
  <c r="BA469" i="1"/>
  <c r="AO470" i="1"/>
  <c r="AP470" i="1"/>
  <c r="AR470" i="1"/>
  <c r="AS470" i="1"/>
  <c r="AT470" i="1"/>
  <c r="AU470" i="1"/>
  <c r="AV470" i="1"/>
  <c r="AW470" i="1"/>
  <c r="AX470" i="1"/>
  <c r="AY470" i="1"/>
  <c r="AZ470" i="1"/>
  <c r="BA470" i="1"/>
  <c r="AO471" i="1"/>
  <c r="AP471" i="1"/>
  <c r="AR471" i="1"/>
  <c r="AS471" i="1"/>
  <c r="AT471" i="1"/>
  <c r="AU471" i="1"/>
  <c r="AV471" i="1"/>
  <c r="AW471" i="1"/>
  <c r="AX471" i="1"/>
  <c r="AY471" i="1"/>
  <c r="AZ471" i="1"/>
  <c r="BA471" i="1"/>
  <c r="AO472" i="1"/>
  <c r="AP472" i="1"/>
  <c r="AR472" i="1"/>
  <c r="AS472" i="1"/>
  <c r="AT472" i="1"/>
  <c r="AU472" i="1"/>
  <c r="AV472" i="1"/>
  <c r="AW472" i="1"/>
  <c r="AX472" i="1"/>
  <c r="AY472" i="1"/>
  <c r="AZ472" i="1"/>
  <c r="BA472" i="1"/>
  <c r="AO473" i="1"/>
  <c r="AP473" i="1"/>
  <c r="AR473" i="1"/>
  <c r="AS473" i="1"/>
  <c r="AT473" i="1"/>
  <c r="AU473" i="1"/>
  <c r="AV473" i="1"/>
  <c r="AW473" i="1"/>
  <c r="AX473" i="1"/>
  <c r="AY473" i="1"/>
  <c r="AZ473" i="1"/>
  <c r="BA473" i="1"/>
  <c r="AO474" i="1"/>
  <c r="AP474" i="1"/>
  <c r="AR474" i="1"/>
  <c r="AS474" i="1"/>
  <c r="AT474" i="1"/>
  <c r="AU474" i="1"/>
  <c r="AV474" i="1"/>
  <c r="AW474" i="1"/>
  <c r="AX474" i="1"/>
  <c r="AY474" i="1"/>
  <c r="AZ474" i="1"/>
  <c r="BA474" i="1"/>
  <c r="AO475" i="1"/>
  <c r="AP475" i="1"/>
  <c r="AR475" i="1"/>
  <c r="AS475" i="1"/>
  <c r="AT475" i="1"/>
  <c r="AU475" i="1"/>
  <c r="AV475" i="1"/>
  <c r="AW475" i="1"/>
  <c r="AX475" i="1"/>
  <c r="AY475" i="1"/>
  <c r="AZ475" i="1"/>
  <c r="BA475" i="1"/>
  <c r="AO476" i="1"/>
  <c r="AP476" i="1"/>
  <c r="AR476" i="1"/>
  <c r="AS476" i="1"/>
  <c r="AT476" i="1"/>
  <c r="AU476" i="1"/>
  <c r="AV476" i="1"/>
  <c r="AW476" i="1"/>
  <c r="AX476" i="1"/>
  <c r="AY476" i="1"/>
  <c r="AZ476" i="1"/>
  <c r="BA476" i="1"/>
  <c r="AO477" i="1"/>
  <c r="AP477" i="1"/>
  <c r="AR477" i="1"/>
  <c r="AS477" i="1"/>
  <c r="AT477" i="1"/>
  <c r="AU477" i="1"/>
  <c r="AV477" i="1"/>
  <c r="AW477" i="1"/>
  <c r="AX477" i="1"/>
  <c r="AY477" i="1"/>
  <c r="AZ477" i="1"/>
  <c r="BA477" i="1"/>
  <c r="AO478" i="1"/>
  <c r="AP478" i="1"/>
  <c r="AR478" i="1"/>
  <c r="AS478" i="1"/>
  <c r="AT478" i="1"/>
  <c r="AU478" i="1"/>
  <c r="AV478" i="1"/>
  <c r="AW478" i="1"/>
  <c r="AX478" i="1"/>
  <c r="AY478" i="1"/>
  <c r="AZ478" i="1"/>
  <c r="BA478" i="1"/>
  <c r="AO479" i="1"/>
  <c r="AP479" i="1"/>
  <c r="AR479" i="1"/>
  <c r="AS479" i="1"/>
  <c r="AT479" i="1"/>
  <c r="AU479" i="1"/>
  <c r="AV479" i="1"/>
  <c r="AW479" i="1"/>
  <c r="AX479" i="1"/>
  <c r="AY479" i="1"/>
  <c r="AZ479" i="1"/>
  <c r="BA479" i="1"/>
  <c r="AO480" i="1"/>
  <c r="AP480" i="1"/>
  <c r="AR480" i="1"/>
  <c r="AS480" i="1"/>
  <c r="AT480" i="1"/>
  <c r="AU480" i="1"/>
  <c r="AV480" i="1"/>
  <c r="AW480" i="1"/>
  <c r="AX480" i="1"/>
  <c r="AY480" i="1"/>
  <c r="AZ480" i="1"/>
  <c r="BA480" i="1"/>
  <c r="AO481" i="1"/>
  <c r="AP481" i="1"/>
  <c r="AR481" i="1"/>
  <c r="AS481" i="1"/>
  <c r="AT481" i="1"/>
  <c r="AU481" i="1"/>
  <c r="AV481" i="1"/>
  <c r="AW481" i="1"/>
  <c r="AX481" i="1"/>
  <c r="AY481" i="1"/>
  <c r="AZ481" i="1"/>
  <c r="BA481" i="1"/>
  <c r="AO482" i="1"/>
  <c r="AP482" i="1"/>
  <c r="AR482" i="1"/>
  <c r="AS482" i="1"/>
  <c r="AT482" i="1"/>
  <c r="AU482" i="1"/>
  <c r="AV482" i="1"/>
  <c r="AW482" i="1"/>
  <c r="AX482" i="1"/>
  <c r="AY482" i="1"/>
  <c r="AZ482" i="1"/>
  <c r="BA482" i="1"/>
  <c r="AO483" i="1"/>
  <c r="AP483" i="1"/>
  <c r="AR483" i="1"/>
  <c r="AS483" i="1"/>
  <c r="AT483" i="1"/>
  <c r="AU483" i="1"/>
  <c r="AV483" i="1"/>
  <c r="AW483" i="1"/>
  <c r="AX483" i="1"/>
  <c r="AY483" i="1"/>
  <c r="AO484" i="1"/>
  <c r="AP484" i="1"/>
  <c r="AR484" i="1"/>
  <c r="AS484" i="1"/>
  <c r="AT484" i="1"/>
  <c r="AU484" i="1"/>
  <c r="AV484" i="1"/>
  <c r="AW484" i="1"/>
  <c r="AX484" i="1"/>
  <c r="AY484" i="1"/>
  <c r="AZ484" i="1"/>
  <c r="BA484" i="1"/>
  <c r="AO485" i="1"/>
  <c r="AP485" i="1"/>
  <c r="AR485" i="1"/>
  <c r="AS485" i="1"/>
  <c r="AT485" i="1"/>
  <c r="AU485" i="1"/>
  <c r="AV485" i="1"/>
  <c r="AW485" i="1"/>
  <c r="AX485" i="1"/>
  <c r="AY485" i="1"/>
  <c r="AZ485" i="1"/>
  <c r="BA485" i="1"/>
  <c r="AO486" i="1"/>
  <c r="AP486" i="1"/>
  <c r="AR486" i="1"/>
  <c r="AS486" i="1"/>
  <c r="AT486" i="1"/>
  <c r="AU486" i="1"/>
  <c r="AV486" i="1"/>
  <c r="AW486" i="1"/>
  <c r="AX486" i="1"/>
  <c r="AY486" i="1"/>
  <c r="AZ486" i="1"/>
  <c r="BA486" i="1"/>
  <c r="AO487" i="1"/>
  <c r="AP487" i="1"/>
  <c r="AR487" i="1"/>
  <c r="AS487" i="1"/>
  <c r="AT487" i="1"/>
  <c r="AU487" i="1"/>
  <c r="AV487" i="1"/>
  <c r="AW487" i="1"/>
  <c r="AX487" i="1"/>
  <c r="AY487" i="1"/>
  <c r="AZ487" i="1"/>
  <c r="BA487" i="1"/>
  <c r="AO488" i="1"/>
  <c r="AP488" i="1"/>
  <c r="AR488" i="1"/>
  <c r="AS488" i="1"/>
  <c r="AT488" i="1"/>
  <c r="AU488" i="1"/>
  <c r="AV488" i="1"/>
  <c r="AW488" i="1"/>
  <c r="AX488" i="1"/>
  <c r="AY488" i="1"/>
  <c r="AZ488" i="1"/>
  <c r="BA488" i="1"/>
  <c r="AO489" i="1"/>
  <c r="AP489" i="1"/>
  <c r="AR489" i="1"/>
  <c r="AS489" i="1"/>
  <c r="AT489" i="1"/>
  <c r="AU489" i="1"/>
  <c r="AV489" i="1"/>
  <c r="AW489" i="1"/>
  <c r="AX489" i="1"/>
  <c r="AY489" i="1"/>
  <c r="AZ489" i="1"/>
  <c r="BA489" i="1"/>
  <c r="AO490" i="1"/>
  <c r="AP490" i="1"/>
  <c r="AR490" i="1"/>
  <c r="AS490" i="1"/>
  <c r="AT490" i="1"/>
  <c r="AU490" i="1"/>
  <c r="AV490" i="1"/>
  <c r="AW490" i="1"/>
  <c r="AX490" i="1"/>
  <c r="AY490" i="1"/>
  <c r="AZ490" i="1"/>
  <c r="BA490" i="1"/>
  <c r="AO491" i="1"/>
  <c r="AP491" i="1"/>
  <c r="AR491" i="1"/>
  <c r="AS491" i="1"/>
  <c r="AT491" i="1"/>
  <c r="AU491" i="1"/>
  <c r="AV491" i="1"/>
  <c r="AW491" i="1"/>
  <c r="AX491" i="1"/>
  <c r="AY491" i="1"/>
  <c r="AZ491" i="1"/>
  <c r="BA491" i="1"/>
  <c r="AO492" i="1"/>
  <c r="AP492" i="1"/>
  <c r="AR492" i="1"/>
  <c r="AS492" i="1"/>
  <c r="AT492" i="1"/>
  <c r="AU492" i="1"/>
  <c r="AV492" i="1"/>
  <c r="AX492" i="1"/>
  <c r="AY492" i="1"/>
  <c r="AZ492" i="1"/>
  <c r="BA492" i="1"/>
  <c r="AO493" i="1"/>
  <c r="AP493" i="1"/>
  <c r="AR493" i="1"/>
  <c r="AS493" i="1"/>
  <c r="AT493" i="1"/>
  <c r="AU493" i="1"/>
  <c r="AV493" i="1"/>
  <c r="AW493" i="1"/>
  <c r="AX493" i="1"/>
  <c r="AY493" i="1"/>
  <c r="AZ493" i="1"/>
  <c r="BA493" i="1"/>
  <c r="AO494" i="1"/>
  <c r="AP494" i="1"/>
  <c r="AR494" i="1"/>
  <c r="AS494" i="1"/>
  <c r="AT494" i="1"/>
  <c r="AU494" i="1"/>
  <c r="AV494" i="1"/>
  <c r="AW494" i="1"/>
  <c r="AX494" i="1"/>
  <c r="AY494" i="1"/>
  <c r="AZ494" i="1"/>
  <c r="BA494" i="1"/>
  <c r="AO495" i="1"/>
  <c r="AP495" i="1"/>
  <c r="AR495" i="1"/>
  <c r="AS495" i="1"/>
  <c r="AT495" i="1"/>
  <c r="AU495" i="1"/>
  <c r="AV495" i="1"/>
  <c r="AW495" i="1"/>
  <c r="AX495" i="1"/>
  <c r="AY495" i="1"/>
  <c r="AZ495" i="1"/>
  <c r="BA495" i="1"/>
  <c r="AO496" i="1"/>
  <c r="AP496" i="1"/>
  <c r="AR496" i="1"/>
  <c r="AS496" i="1"/>
  <c r="AT496" i="1"/>
  <c r="AU496" i="1"/>
  <c r="AV496" i="1"/>
  <c r="AW496" i="1"/>
  <c r="AX496" i="1"/>
  <c r="AY496" i="1"/>
  <c r="AZ496" i="1"/>
  <c r="BA496" i="1"/>
  <c r="AO497" i="1"/>
  <c r="AP497" i="1"/>
  <c r="AR497" i="1"/>
  <c r="AS497" i="1"/>
  <c r="AT497" i="1"/>
  <c r="AU497" i="1"/>
  <c r="AV497" i="1"/>
  <c r="AW497" i="1"/>
  <c r="AX497" i="1"/>
  <c r="AY497" i="1"/>
  <c r="AZ497" i="1"/>
  <c r="BA497" i="1"/>
  <c r="AO498" i="1"/>
  <c r="AP498" i="1"/>
  <c r="AR498" i="1"/>
  <c r="AS498" i="1"/>
  <c r="AT498" i="1"/>
  <c r="AU498" i="1"/>
  <c r="AV498" i="1"/>
  <c r="AW498" i="1"/>
  <c r="AX498" i="1"/>
  <c r="AY498" i="1"/>
  <c r="AZ498" i="1"/>
  <c r="BA498" i="1"/>
  <c r="AO499" i="1"/>
  <c r="AP499" i="1"/>
  <c r="AR499" i="1"/>
  <c r="AS499" i="1"/>
  <c r="AT499" i="1"/>
  <c r="AU499" i="1"/>
  <c r="AV499" i="1"/>
  <c r="AW499" i="1"/>
  <c r="AX499" i="1"/>
  <c r="AY499" i="1"/>
  <c r="AZ499" i="1"/>
  <c r="BA499" i="1"/>
  <c r="AO500" i="1"/>
  <c r="AP500" i="1"/>
  <c r="AR500" i="1"/>
  <c r="AS500" i="1"/>
  <c r="AT500" i="1"/>
  <c r="AU500" i="1"/>
  <c r="AV500" i="1"/>
  <c r="AW500" i="1"/>
  <c r="AX500" i="1"/>
  <c r="AY500" i="1"/>
  <c r="AZ500" i="1"/>
  <c r="BA500" i="1"/>
  <c r="AO501" i="1"/>
  <c r="AP501" i="1"/>
  <c r="AR501" i="1"/>
  <c r="AS501" i="1"/>
  <c r="AT501" i="1"/>
  <c r="AU501" i="1"/>
  <c r="AV501" i="1"/>
  <c r="AW501" i="1"/>
  <c r="AX501" i="1"/>
  <c r="AY501" i="1"/>
  <c r="AZ501" i="1"/>
  <c r="BA501" i="1"/>
  <c r="AO502" i="1"/>
  <c r="AP502" i="1"/>
  <c r="AR502" i="1"/>
  <c r="AS502" i="1"/>
  <c r="AT502" i="1"/>
  <c r="AU502" i="1"/>
  <c r="AV502" i="1"/>
  <c r="AW502" i="1"/>
  <c r="AX502" i="1"/>
  <c r="AY502" i="1"/>
  <c r="AZ502" i="1"/>
  <c r="BA502" i="1"/>
  <c r="AO503" i="1"/>
  <c r="AP503" i="1"/>
  <c r="AR503" i="1"/>
  <c r="AS503" i="1"/>
  <c r="AT503" i="1"/>
  <c r="AU503" i="1"/>
  <c r="AV503" i="1"/>
  <c r="AW503" i="1"/>
  <c r="AX503" i="1"/>
  <c r="AY503" i="1"/>
  <c r="AZ503" i="1"/>
  <c r="BA503" i="1"/>
  <c r="AO504" i="1"/>
  <c r="AP504" i="1"/>
  <c r="AR504" i="1"/>
  <c r="AS504" i="1"/>
  <c r="AT504" i="1"/>
  <c r="AU504" i="1"/>
  <c r="AV504" i="1"/>
  <c r="AW504" i="1"/>
  <c r="AX504" i="1"/>
  <c r="AY504" i="1"/>
  <c r="AZ504" i="1"/>
  <c r="BA504" i="1"/>
  <c r="AO505" i="1"/>
  <c r="AP505" i="1"/>
  <c r="AR505" i="1"/>
  <c r="AS505" i="1"/>
  <c r="AT505" i="1"/>
  <c r="AU505" i="1"/>
  <c r="AV505" i="1"/>
  <c r="AW505" i="1"/>
  <c r="AX505" i="1"/>
  <c r="AY505" i="1"/>
  <c r="AZ505" i="1"/>
  <c r="BA505" i="1"/>
  <c r="AO506" i="1"/>
  <c r="AP506" i="1"/>
  <c r="AR506" i="1"/>
  <c r="AS506" i="1"/>
  <c r="AT506" i="1"/>
  <c r="AU506" i="1"/>
  <c r="AV506" i="1"/>
  <c r="AW506" i="1"/>
  <c r="AX506" i="1"/>
  <c r="AY506" i="1"/>
  <c r="AZ506" i="1"/>
  <c r="BA506" i="1"/>
  <c r="AO507" i="1"/>
  <c r="AP507" i="1"/>
  <c r="AR507" i="1"/>
  <c r="AS507" i="1"/>
  <c r="AT507" i="1"/>
  <c r="AU507" i="1"/>
  <c r="AV507" i="1"/>
  <c r="AW507" i="1"/>
  <c r="AX507" i="1"/>
  <c r="AY507" i="1"/>
  <c r="AZ507" i="1"/>
  <c r="BA507" i="1"/>
  <c r="AO508" i="1"/>
  <c r="AP508" i="1"/>
  <c r="AR508" i="1"/>
  <c r="AS508" i="1"/>
  <c r="AT508" i="1"/>
  <c r="AU508" i="1"/>
  <c r="AV508" i="1"/>
  <c r="AW508" i="1"/>
  <c r="AX508" i="1"/>
  <c r="AY508" i="1"/>
  <c r="AZ508" i="1"/>
  <c r="BA508" i="1"/>
  <c r="AO509" i="1"/>
  <c r="AP509" i="1"/>
  <c r="AR509" i="1"/>
  <c r="AS509" i="1"/>
  <c r="AT509" i="1"/>
  <c r="AU509" i="1"/>
  <c r="AV509" i="1"/>
  <c r="AW509" i="1"/>
  <c r="AX509" i="1"/>
  <c r="AY509" i="1"/>
  <c r="AZ509" i="1"/>
  <c r="BA509" i="1"/>
  <c r="AO510" i="1"/>
  <c r="AP510" i="1"/>
  <c r="AR510" i="1"/>
  <c r="AS510" i="1"/>
  <c r="AT510" i="1"/>
  <c r="AU510" i="1"/>
  <c r="AV510" i="1"/>
  <c r="AW510" i="1"/>
  <c r="AX510" i="1"/>
  <c r="AY510" i="1"/>
  <c r="AZ510" i="1"/>
  <c r="BA510" i="1"/>
  <c r="AO511" i="1"/>
  <c r="AP511" i="1"/>
  <c r="AR511" i="1"/>
  <c r="AS511" i="1"/>
  <c r="AT511" i="1"/>
  <c r="AU511" i="1"/>
  <c r="AV511" i="1"/>
  <c r="AW511" i="1"/>
  <c r="AX511" i="1"/>
  <c r="AY511" i="1"/>
  <c r="AZ511" i="1"/>
  <c r="BA511" i="1"/>
  <c r="AO512" i="1"/>
  <c r="AP512" i="1"/>
  <c r="AR512" i="1"/>
  <c r="AS512" i="1"/>
  <c r="AT512" i="1"/>
  <c r="AU512" i="1"/>
  <c r="AV512" i="1"/>
  <c r="AW512" i="1"/>
  <c r="AX512" i="1"/>
  <c r="AY512" i="1"/>
  <c r="AZ512" i="1"/>
  <c r="BA512" i="1"/>
  <c r="AO513" i="1"/>
  <c r="AP513" i="1"/>
  <c r="AR513" i="1"/>
  <c r="AS513" i="1"/>
  <c r="AT513" i="1"/>
  <c r="AU513" i="1"/>
  <c r="AV513" i="1"/>
  <c r="AW513" i="1"/>
  <c r="AX513" i="1"/>
  <c r="AY513" i="1"/>
  <c r="AZ513" i="1"/>
  <c r="BA513" i="1"/>
  <c r="AO514" i="1"/>
  <c r="AP514" i="1"/>
  <c r="AR514" i="1"/>
  <c r="AS514" i="1"/>
  <c r="AT514" i="1"/>
  <c r="AU514" i="1"/>
  <c r="AV514" i="1"/>
  <c r="AW514" i="1"/>
  <c r="AX514" i="1"/>
  <c r="AY514" i="1"/>
  <c r="AZ514" i="1"/>
  <c r="BA514" i="1"/>
  <c r="AO515" i="1"/>
  <c r="AP515" i="1"/>
  <c r="AR515" i="1"/>
  <c r="AS515" i="1"/>
  <c r="AT515" i="1"/>
  <c r="AU515" i="1"/>
  <c r="AV515" i="1"/>
  <c r="AW515" i="1"/>
  <c r="AX515" i="1"/>
  <c r="AY515" i="1"/>
  <c r="AZ515" i="1"/>
  <c r="BA515" i="1"/>
  <c r="AO516" i="1"/>
  <c r="AP516" i="1"/>
  <c r="AR516" i="1"/>
  <c r="AS516" i="1"/>
  <c r="AT516" i="1"/>
  <c r="AU516" i="1"/>
  <c r="AV516" i="1"/>
  <c r="AW516" i="1"/>
  <c r="AX516" i="1"/>
  <c r="AY516" i="1"/>
  <c r="AZ516" i="1"/>
  <c r="BA516" i="1"/>
  <c r="AO517" i="1"/>
  <c r="AP517" i="1"/>
  <c r="AR517" i="1"/>
  <c r="AS517" i="1"/>
  <c r="AT517" i="1"/>
  <c r="AU517" i="1"/>
  <c r="AV517" i="1"/>
  <c r="AW517" i="1"/>
  <c r="AX517" i="1"/>
  <c r="AY517" i="1"/>
  <c r="AZ517" i="1"/>
  <c r="BA517" i="1"/>
  <c r="AO518" i="1"/>
  <c r="AP518" i="1"/>
  <c r="AR518" i="1"/>
  <c r="AS518" i="1"/>
  <c r="AT518" i="1"/>
  <c r="AU518" i="1"/>
  <c r="AV518" i="1"/>
  <c r="AW518" i="1"/>
  <c r="AX518" i="1"/>
  <c r="AY518" i="1"/>
  <c r="AZ518" i="1"/>
  <c r="BA518" i="1"/>
  <c r="AO519" i="1"/>
  <c r="AP519" i="1"/>
  <c r="AR519" i="1"/>
  <c r="AS519" i="1"/>
  <c r="AT519" i="1"/>
  <c r="AU519" i="1"/>
  <c r="AV519" i="1"/>
  <c r="AW519" i="1"/>
  <c r="AX519" i="1"/>
  <c r="AY519" i="1"/>
  <c r="AZ519" i="1"/>
  <c r="BA519" i="1"/>
  <c r="AO520" i="1"/>
  <c r="AP520" i="1"/>
  <c r="AR520" i="1"/>
  <c r="AS520" i="1"/>
  <c r="AT520" i="1"/>
  <c r="AU520" i="1"/>
  <c r="AV520" i="1"/>
  <c r="AW520" i="1"/>
  <c r="AX520" i="1"/>
  <c r="AY520" i="1"/>
  <c r="AZ520" i="1"/>
  <c r="BA520" i="1"/>
  <c r="AO521" i="1"/>
  <c r="AP521" i="1"/>
  <c r="AR521" i="1"/>
  <c r="AS521" i="1"/>
  <c r="AT521" i="1"/>
  <c r="AU521" i="1"/>
  <c r="AV521" i="1"/>
  <c r="AW521" i="1"/>
  <c r="AX521" i="1"/>
  <c r="AY521" i="1"/>
  <c r="AZ521" i="1"/>
  <c r="BA521" i="1"/>
  <c r="AO522" i="1"/>
  <c r="AP522" i="1"/>
  <c r="AR522" i="1"/>
  <c r="AS522" i="1"/>
  <c r="AT522" i="1"/>
  <c r="AU522" i="1"/>
  <c r="AV522" i="1"/>
  <c r="AW522" i="1"/>
  <c r="AX522" i="1"/>
  <c r="AY522" i="1"/>
  <c r="AZ522" i="1"/>
  <c r="BA522" i="1"/>
  <c r="AO523" i="1"/>
  <c r="AP523" i="1"/>
  <c r="AR523" i="1"/>
  <c r="AS523" i="1"/>
  <c r="AT523" i="1"/>
  <c r="AU523" i="1"/>
  <c r="AV523" i="1"/>
  <c r="AW523" i="1"/>
  <c r="AX523" i="1"/>
  <c r="AY523" i="1"/>
  <c r="AZ523" i="1"/>
  <c r="BA523" i="1"/>
  <c r="AO524" i="1"/>
  <c r="AP524" i="1"/>
  <c r="AR524" i="1"/>
  <c r="AS524" i="1"/>
  <c r="AT524" i="1"/>
  <c r="AU524" i="1"/>
  <c r="AV524" i="1"/>
  <c r="AW524" i="1"/>
  <c r="AX524" i="1"/>
  <c r="AY524" i="1"/>
  <c r="AZ524" i="1"/>
  <c r="BA524" i="1"/>
  <c r="AO525" i="1"/>
  <c r="AP525" i="1"/>
  <c r="AR525" i="1"/>
  <c r="AS525" i="1"/>
  <c r="AT525" i="1"/>
  <c r="AU525" i="1"/>
  <c r="AV525" i="1"/>
  <c r="AW525" i="1"/>
  <c r="AX525" i="1"/>
  <c r="AY525" i="1"/>
  <c r="AZ525" i="1"/>
  <c r="BA525" i="1"/>
  <c r="AO526" i="1"/>
  <c r="AP526" i="1"/>
  <c r="AR526" i="1"/>
  <c r="AS526" i="1"/>
  <c r="AT526" i="1"/>
  <c r="AU526" i="1"/>
  <c r="AV526" i="1"/>
  <c r="AW526" i="1"/>
  <c r="AX526" i="1"/>
  <c r="AY526" i="1"/>
  <c r="AZ526" i="1"/>
  <c r="BA526" i="1"/>
  <c r="AO527" i="1"/>
  <c r="AP527" i="1"/>
  <c r="AR527" i="1"/>
  <c r="AS527" i="1"/>
  <c r="AT527" i="1"/>
  <c r="AU527" i="1"/>
  <c r="AV527" i="1"/>
  <c r="AW527" i="1"/>
  <c r="AX527" i="1"/>
  <c r="AY527" i="1"/>
  <c r="AZ527" i="1"/>
  <c r="BA527" i="1"/>
  <c r="AO528" i="1"/>
  <c r="AP528" i="1"/>
  <c r="AR528" i="1"/>
  <c r="AS528" i="1"/>
  <c r="AT528" i="1"/>
  <c r="AU528" i="1"/>
  <c r="AV528" i="1"/>
  <c r="AW528" i="1"/>
  <c r="AX528" i="1"/>
  <c r="AY528" i="1"/>
  <c r="AZ528" i="1"/>
  <c r="BA528" i="1"/>
  <c r="AO529" i="1"/>
  <c r="AP529" i="1"/>
  <c r="AR529" i="1"/>
  <c r="AS529" i="1"/>
  <c r="AT529" i="1"/>
  <c r="AU529" i="1"/>
  <c r="AV529" i="1"/>
  <c r="AW529" i="1"/>
  <c r="AX529" i="1"/>
  <c r="AY529" i="1"/>
  <c r="AZ529" i="1"/>
  <c r="BA529" i="1"/>
  <c r="AO530" i="1"/>
  <c r="AP530" i="1"/>
  <c r="AR530" i="1"/>
  <c r="AS530" i="1"/>
  <c r="AT530" i="1"/>
  <c r="AU530" i="1"/>
  <c r="AV530" i="1"/>
  <c r="AW530" i="1"/>
  <c r="AX530" i="1"/>
  <c r="AY530" i="1"/>
  <c r="AZ530" i="1"/>
  <c r="BA530" i="1"/>
  <c r="AO531" i="1"/>
  <c r="AP531" i="1"/>
  <c r="AR531" i="1"/>
  <c r="AS531" i="1"/>
  <c r="AT531" i="1"/>
  <c r="AU531" i="1"/>
  <c r="AV531" i="1"/>
  <c r="AW531" i="1"/>
  <c r="AX531" i="1"/>
  <c r="AY531" i="1"/>
  <c r="AZ531" i="1"/>
  <c r="BA531" i="1"/>
  <c r="AO532" i="1"/>
  <c r="AP532" i="1"/>
  <c r="AR532" i="1"/>
  <c r="AS532" i="1"/>
  <c r="AT532" i="1"/>
  <c r="AU532" i="1"/>
  <c r="AV532" i="1"/>
  <c r="AW532" i="1"/>
  <c r="AX532" i="1"/>
  <c r="AY532" i="1"/>
  <c r="AZ532" i="1"/>
  <c r="BA532" i="1"/>
  <c r="AO533" i="1"/>
  <c r="AP533" i="1"/>
  <c r="AR533" i="1"/>
  <c r="AS533" i="1"/>
  <c r="AT533" i="1"/>
  <c r="AU533" i="1"/>
  <c r="AV533" i="1"/>
  <c r="AW533" i="1"/>
  <c r="AX533" i="1"/>
  <c r="AY533" i="1"/>
  <c r="AZ533" i="1"/>
  <c r="BA533" i="1"/>
  <c r="AO534" i="1"/>
  <c r="AP534" i="1"/>
  <c r="AR534" i="1"/>
  <c r="AS534" i="1"/>
  <c r="AT534" i="1"/>
  <c r="AU534" i="1"/>
  <c r="AV534" i="1"/>
  <c r="AW534" i="1"/>
  <c r="AX534" i="1"/>
  <c r="AY534" i="1"/>
  <c r="AO535" i="1"/>
  <c r="AP535" i="1"/>
  <c r="AR535" i="1"/>
  <c r="AS535" i="1"/>
  <c r="AT535" i="1"/>
  <c r="AU535" i="1"/>
  <c r="AV535" i="1"/>
  <c r="AW535" i="1"/>
  <c r="AX535" i="1"/>
  <c r="AY535" i="1"/>
  <c r="AO536" i="1"/>
  <c r="AP536" i="1"/>
  <c r="AR536" i="1"/>
  <c r="AS536" i="1"/>
  <c r="AT536" i="1"/>
  <c r="AU536" i="1"/>
  <c r="AV536" i="1"/>
  <c r="AX536" i="1"/>
  <c r="AY536" i="1"/>
  <c r="AO537" i="1"/>
  <c r="AP537" i="1"/>
  <c r="AR537" i="1"/>
  <c r="AS537" i="1"/>
  <c r="AT537" i="1"/>
  <c r="AU537" i="1"/>
  <c r="AV537" i="1"/>
  <c r="AW537" i="1"/>
  <c r="AX537" i="1"/>
  <c r="AY537" i="1"/>
  <c r="AZ537" i="1"/>
  <c r="BA537" i="1"/>
  <c r="AO538" i="1"/>
  <c r="AP538" i="1"/>
  <c r="AR538" i="1"/>
  <c r="AS538" i="1"/>
  <c r="AT538" i="1"/>
  <c r="AU538" i="1"/>
  <c r="AV538" i="1"/>
  <c r="AW538" i="1"/>
  <c r="AX538" i="1"/>
  <c r="AY538" i="1"/>
  <c r="AZ538" i="1"/>
  <c r="BA538" i="1"/>
  <c r="AO539" i="1"/>
  <c r="AP539" i="1"/>
  <c r="AR539" i="1"/>
  <c r="AS539" i="1"/>
  <c r="AT539" i="1"/>
  <c r="AU539" i="1"/>
  <c r="AV539" i="1"/>
  <c r="AW539" i="1"/>
  <c r="AX539" i="1"/>
  <c r="AY539" i="1"/>
  <c r="AZ539" i="1"/>
  <c r="BA539" i="1"/>
  <c r="AO540" i="1"/>
  <c r="AP540" i="1"/>
  <c r="AR540" i="1"/>
  <c r="AS540" i="1"/>
  <c r="AT540" i="1"/>
  <c r="AU540" i="1"/>
  <c r="AV540" i="1"/>
  <c r="AW540" i="1"/>
  <c r="AX540" i="1"/>
  <c r="AY540" i="1"/>
  <c r="AZ540" i="1"/>
  <c r="BA540" i="1"/>
  <c r="AO541" i="1"/>
  <c r="AP541" i="1"/>
  <c r="AR541" i="1"/>
  <c r="AS541" i="1"/>
  <c r="AT541" i="1"/>
  <c r="AU541" i="1"/>
  <c r="AV541" i="1"/>
  <c r="AW541" i="1"/>
  <c r="AX541" i="1"/>
  <c r="AY541" i="1"/>
  <c r="AZ541" i="1"/>
  <c r="BA541" i="1"/>
  <c r="AO542" i="1"/>
  <c r="AP542" i="1"/>
  <c r="AR542" i="1"/>
  <c r="AS542" i="1"/>
  <c r="AT542" i="1"/>
  <c r="AU542" i="1"/>
  <c r="AV542" i="1"/>
  <c r="AW542" i="1"/>
  <c r="AX542" i="1"/>
  <c r="AY542" i="1"/>
  <c r="AZ542" i="1"/>
  <c r="BA542" i="1"/>
  <c r="AO543" i="1"/>
  <c r="AP543" i="1"/>
  <c r="AR543" i="1"/>
  <c r="AS543" i="1"/>
  <c r="AT543" i="1"/>
  <c r="AU543" i="1"/>
  <c r="AV543" i="1"/>
  <c r="AW543" i="1"/>
  <c r="AX543" i="1"/>
  <c r="AY543" i="1"/>
  <c r="AZ543" i="1"/>
  <c r="BA543" i="1"/>
  <c r="AO544" i="1"/>
  <c r="AP544" i="1"/>
  <c r="AR544" i="1"/>
  <c r="AS544" i="1"/>
  <c r="AT544" i="1"/>
  <c r="AU544" i="1"/>
  <c r="AV544" i="1"/>
  <c r="AW544" i="1"/>
  <c r="AX544" i="1"/>
  <c r="AY544" i="1"/>
  <c r="AZ544" i="1"/>
  <c r="BA544" i="1"/>
  <c r="AO545" i="1"/>
  <c r="AP545" i="1"/>
  <c r="AR545" i="1"/>
  <c r="AS545" i="1"/>
  <c r="AT545" i="1"/>
  <c r="AU545" i="1"/>
  <c r="AV545" i="1"/>
  <c r="AW545" i="1"/>
  <c r="AX545" i="1"/>
  <c r="AY545" i="1"/>
  <c r="AZ545" i="1"/>
  <c r="BA545" i="1"/>
  <c r="AO546" i="1"/>
  <c r="AP546" i="1"/>
  <c r="AR546" i="1"/>
  <c r="AS546" i="1"/>
  <c r="AT546" i="1"/>
  <c r="AU546" i="1"/>
  <c r="AV546" i="1"/>
  <c r="AW546" i="1"/>
  <c r="AX546" i="1"/>
  <c r="AY546" i="1"/>
  <c r="AZ546" i="1"/>
  <c r="BA546" i="1"/>
  <c r="AO547" i="1"/>
  <c r="AP547" i="1"/>
  <c r="AR547" i="1"/>
  <c r="AS547" i="1"/>
  <c r="AT547" i="1"/>
  <c r="AU547" i="1"/>
  <c r="AV547" i="1"/>
  <c r="AW547" i="1"/>
  <c r="AX547" i="1"/>
  <c r="AY547" i="1"/>
  <c r="AZ547" i="1"/>
  <c r="BA547" i="1"/>
  <c r="AO548" i="1"/>
  <c r="AP548" i="1"/>
  <c r="AR548" i="1"/>
  <c r="AS548" i="1"/>
  <c r="AT548" i="1"/>
  <c r="AU548" i="1"/>
  <c r="AV548" i="1"/>
  <c r="AW548" i="1"/>
  <c r="AX548" i="1"/>
  <c r="AY548" i="1"/>
  <c r="AZ548" i="1"/>
  <c r="BA548" i="1"/>
  <c r="AO549" i="1"/>
  <c r="AP549" i="1"/>
  <c r="AR549" i="1"/>
  <c r="AS549" i="1"/>
  <c r="AT549" i="1"/>
  <c r="AU549" i="1"/>
  <c r="AV549" i="1"/>
  <c r="AW549" i="1"/>
  <c r="AX549" i="1"/>
  <c r="AY549" i="1"/>
  <c r="AZ549" i="1"/>
  <c r="BA549" i="1"/>
  <c r="AO550" i="1"/>
  <c r="AP550" i="1"/>
  <c r="AR550" i="1"/>
  <c r="AS550" i="1"/>
  <c r="AT550" i="1"/>
  <c r="AU550" i="1"/>
  <c r="AV550" i="1"/>
  <c r="AW550" i="1"/>
  <c r="AX550" i="1"/>
  <c r="AY550" i="1"/>
  <c r="AZ550" i="1"/>
  <c r="BA550" i="1"/>
  <c r="AO551" i="1"/>
  <c r="AP551" i="1"/>
  <c r="AR551" i="1"/>
  <c r="AS551" i="1"/>
  <c r="AT551" i="1"/>
  <c r="AU551" i="1"/>
  <c r="AV551" i="1"/>
  <c r="AW551" i="1"/>
  <c r="AX551" i="1"/>
  <c r="AY551" i="1"/>
  <c r="AZ551" i="1"/>
  <c r="BA551" i="1"/>
  <c r="AO552" i="1"/>
  <c r="AP552" i="1"/>
  <c r="AR552" i="1"/>
  <c r="AS552" i="1"/>
  <c r="AT552" i="1"/>
  <c r="AU552" i="1"/>
  <c r="AV552" i="1"/>
  <c r="AW552" i="1"/>
  <c r="AX552" i="1"/>
  <c r="AY552" i="1"/>
  <c r="AZ552" i="1"/>
  <c r="BA552" i="1"/>
  <c r="AO553" i="1"/>
  <c r="AP553" i="1"/>
  <c r="AR553" i="1"/>
  <c r="AS553" i="1"/>
  <c r="AT553" i="1"/>
  <c r="AU553" i="1"/>
  <c r="AV553" i="1"/>
  <c r="AW553" i="1"/>
  <c r="AX553" i="1"/>
  <c r="AY553" i="1"/>
  <c r="AZ553" i="1"/>
  <c r="BA553" i="1"/>
  <c r="AO554" i="1"/>
  <c r="AP554" i="1"/>
  <c r="AR554" i="1"/>
  <c r="AS554" i="1"/>
  <c r="AT554" i="1"/>
  <c r="AU554" i="1"/>
  <c r="AV554" i="1"/>
  <c r="AW554" i="1"/>
  <c r="AX554" i="1"/>
  <c r="AY554" i="1"/>
  <c r="AZ554" i="1"/>
  <c r="BA554" i="1"/>
  <c r="AO555" i="1"/>
  <c r="AP555" i="1"/>
  <c r="AR555" i="1"/>
  <c r="AS555" i="1"/>
  <c r="AT555" i="1"/>
  <c r="AU555" i="1"/>
  <c r="AV555" i="1"/>
  <c r="AW555" i="1"/>
  <c r="AX555" i="1"/>
  <c r="AY555" i="1"/>
  <c r="AZ555" i="1"/>
  <c r="BA555" i="1"/>
  <c r="AO556" i="1"/>
  <c r="AP556" i="1"/>
  <c r="AR556" i="1"/>
  <c r="AS556" i="1"/>
  <c r="AT556" i="1"/>
  <c r="AU556" i="1"/>
  <c r="AV556" i="1"/>
  <c r="AW556" i="1"/>
  <c r="AX556" i="1"/>
  <c r="AY556" i="1"/>
  <c r="AZ556" i="1"/>
  <c r="BA556" i="1"/>
  <c r="AO557" i="1"/>
  <c r="AP557" i="1"/>
  <c r="AR557" i="1"/>
  <c r="AS557" i="1"/>
  <c r="AT557" i="1"/>
  <c r="AU557" i="1"/>
  <c r="AV557" i="1"/>
  <c r="AW557" i="1"/>
  <c r="AX557" i="1"/>
  <c r="AY557" i="1"/>
  <c r="AZ557" i="1"/>
  <c r="BA557" i="1"/>
  <c r="AO558" i="1"/>
  <c r="AP558" i="1"/>
  <c r="AR558" i="1"/>
  <c r="AS558" i="1"/>
  <c r="AT558" i="1"/>
  <c r="AU558" i="1"/>
  <c r="AV558" i="1"/>
  <c r="AW558" i="1"/>
  <c r="AX558" i="1"/>
  <c r="AY558" i="1"/>
  <c r="AZ558" i="1"/>
  <c r="BA558" i="1"/>
  <c r="AO559" i="1"/>
  <c r="AP559" i="1"/>
  <c r="AR559" i="1"/>
  <c r="AS559" i="1"/>
  <c r="AT559" i="1"/>
  <c r="AU559" i="1"/>
  <c r="AV559" i="1"/>
  <c r="AW559" i="1"/>
  <c r="AX559" i="1"/>
  <c r="AY559" i="1"/>
  <c r="AZ559" i="1"/>
  <c r="BA559" i="1"/>
  <c r="AO560" i="1"/>
  <c r="AP560" i="1"/>
  <c r="AR560" i="1"/>
  <c r="AS560" i="1"/>
  <c r="AT560" i="1"/>
  <c r="AU560" i="1"/>
  <c r="AV560" i="1"/>
  <c r="AW560" i="1"/>
  <c r="AX560" i="1"/>
  <c r="AY560" i="1"/>
  <c r="AZ560" i="1"/>
  <c r="BA560" i="1"/>
  <c r="AO561" i="1"/>
  <c r="AP561" i="1"/>
  <c r="AR561" i="1"/>
  <c r="AS561" i="1"/>
  <c r="AT561" i="1"/>
  <c r="AU561" i="1"/>
  <c r="AV561" i="1"/>
  <c r="AW561" i="1"/>
  <c r="AX561" i="1"/>
  <c r="AY561" i="1"/>
  <c r="AZ561" i="1"/>
  <c r="BA561" i="1"/>
  <c r="AO562" i="1"/>
  <c r="AP562" i="1"/>
  <c r="AR562" i="1"/>
  <c r="AS562" i="1"/>
  <c r="AT562" i="1"/>
  <c r="AU562" i="1"/>
  <c r="AV562" i="1"/>
  <c r="AW562" i="1"/>
  <c r="AX562" i="1"/>
  <c r="AY562" i="1"/>
  <c r="AZ562" i="1"/>
  <c r="BA562" i="1"/>
  <c r="AO563" i="1"/>
  <c r="AP563" i="1"/>
  <c r="AR563" i="1"/>
  <c r="AS563" i="1"/>
  <c r="AT563" i="1"/>
  <c r="AU563" i="1"/>
  <c r="AV563" i="1"/>
  <c r="AW563" i="1"/>
  <c r="AX563" i="1"/>
  <c r="AY563" i="1"/>
  <c r="AZ563" i="1"/>
  <c r="BA563" i="1"/>
  <c r="AO564" i="1"/>
  <c r="AP564" i="1"/>
  <c r="AR564" i="1"/>
  <c r="AS564" i="1"/>
  <c r="AT564" i="1"/>
  <c r="AU564" i="1"/>
  <c r="AV564" i="1"/>
  <c r="AW564" i="1"/>
  <c r="AX564" i="1"/>
  <c r="AY564" i="1"/>
  <c r="AZ564" i="1"/>
  <c r="BA564" i="1"/>
  <c r="AO565" i="1"/>
  <c r="AP565" i="1"/>
  <c r="AR565" i="1"/>
  <c r="AS565" i="1"/>
  <c r="AT565" i="1"/>
  <c r="AU565" i="1"/>
  <c r="AV565" i="1"/>
  <c r="AW565" i="1"/>
  <c r="AX565" i="1"/>
  <c r="AY565" i="1"/>
  <c r="AZ565" i="1"/>
  <c r="BA565" i="1"/>
  <c r="AO566" i="1"/>
  <c r="AP566" i="1"/>
  <c r="AR566" i="1"/>
  <c r="AS566" i="1"/>
  <c r="AT566" i="1"/>
  <c r="AU566" i="1"/>
  <c r="AV566" i="1"/>
  <c r="AW566" i="1"/>
  <c r="AX566" i="1"/>
  <c r="AY566" i="1"/>
  <c r="AZ566" i="1"/>
  <c r="BA566" i="1"/>
  <c r="AO567" i="1"/>
  <c r="AP567" i="1"/>
  <c r="AR567" i="1"/>
  <c r="AS567" i="1"/>
  <c r="AT567" i="1"/>
  <c r="AU567" i="1"/>
  <c r="AV567" i="1"/>
  <c r="AW567" i="1"/>
  <c r="AX567" i="1"/>
  <c r="AY567" i="1"/>
  <c r="AZ567" i="1"/>
  <c r="BA567" i="1"/>
  <c r="AO568" i="1"/>
  <c r="AP568" i="1"/>
  <c r="AR568" i="1"/>
  <c r="AS568" i="1"/>
  <c r="AT568" i="1"/>
  <c r="AU568" i="1"/>
  <c r="AV568" i="1"/>
  <c r="AW568" i="1"/>
  <c r="AX568" i="1"/>
  <c r="AY568" i="1"/>
  <c r="AZ568" i="1"/>
  <c r="BA568" i="1"/>
  <c r="AO569" i="1"/>
  <c r="AP569" i="1"/>
  <c r="AR569" i="1"/>
  <c r="AS569" i="1"/>
  <c r="AT569" i="1"/>
  <c r="AU569" i="1"/>
  <c r="AV569" i="1"/>
  <c r="AW569" i="1"/>
  <c r="AX569" i="1"/>
  <c r="AY569" i="1"/>
  <c r="AZ569" i="1"/>
  <c r="BA569" i="1"/>
  <c r="AO570" i="1"/>
  <c r="AP570" i="1"/>
  <c r="AR570" i="1"/>
  <c r="AS570" i="1"/>
  <c r="AT570" i="1"/>
  <c r="AU570" i="1"/>
  <c r="AV570" i="1"/>
  <c r="AW570" i="1"/>
  <c r="AX570" i="1"/>
  <c r="AY570" i="1"/>
  <c r="AZ570" i="1"/>
  <c r="BA570" i="1"/>
  <c r="AO571" i="1"/>
  <c r="AP571" i="1"/>
  <c r="AR571" i="1"/>
  <c r="AS571" i="1"/>
  <c r="AT571" i="1"/>
  <c r="AU571" i="1"/>
  <c r="AV571" i="1"/>
  <c r="AW571" i="1"/>
  <c r="AX571" i="1"/>
  <c r="AY571" i="1"/>
  <c r="AZ571" i="1"/>
  <c r="BA571" i="1"/>
  <c r="AO572" i="1"/>
  <c r="AP572" i="1"/>
  <c r="AR572" i="1"/>
  <c r="AS572" i="1"/>
  <c r="AT572" i="1"/>
  <c r="AU572" i="1"/>
  <c r="AV572" i="1"/>
  <c r="AW572" i="1"/>
  <c r="AX572" i="1"/>
  <c r="AY572" i="1"/>
  <c r="AZ572" i="1"/>
  <c r="BA572" i="1"/>
  <c r="AO573" i="1"/>
  <c r="AP573" i="1"/>
  <c r="AR573" i="1"/>
  <c r="AS573" i="1"/>
  <c r="AT573" i="1"/>
  <c r="AU573" i="1"/>
  <c r="AV573" i="1"/>
  <c r="AW573" i="1"/>
  <c r="AX573" i="1"/>
  <c r="AY573" i="1"/>
  <c r="AZ573" i="1"/>
  <c r="BA573" i="1"/>
  <c r="AO574" i="1"/>
  <c r="AP574" i="1"/>
  <c r="AR574" i="1"/>
  <c r="AS574" i="1"/>
  <c r="AT574" i="1"/>
  <c r="AU574" i="1"/>
  <c r="AV574" i="1"/>
  <c r="AW574" i="1"/>
  <c r="AX574" i="1"/>
  <c r="AY574" i="1"/>
  <c r="AZ574" i="1"/>
  <c r="BA574" i="1"/>
  <c r="AO575" i="1"/>
  <c r="AP575" i="1"/>
  <c r="AR575" i="1"/>
  <c r="AS575" i="1"/>
  <c r="AT575" i="1"/>
  <c r="AU575" i="1"/>
  <c r="AV575" i="1"/>
  <c r="AW575" i="1"/>
  <c r="AX575" i="1"/>
  <c r="AY575" i="1"/>
  <c r="AZ575" i="1"/>
  <c r="BA575" i="1"/>
  <c r="AO576" i="1"/>
  <c r="AP576" i="1"/>
  <c r="AR576" i="1"/>
  <c r="AS576" i="1"/>
  <c r="AT576" i="1"/>
  <c r="AU576" i="1"/>
  <c r="AV576" i="1"/>
  <c r="AW576" i="1"/>
  <c r="AX576" i="1"/>
  <c r="AY576" i="1"/>
  <c r="AZ576" i="1"/>
  <c r="BA576" i="1"/>
  <c r="AO577" i="1"/>
  <c r="AP577" i="1"/>
  <c r="AR577" i="1"/>
  <c r="AS577" i="1"/>
  <c r="AT577" i="1"/>
  <c r="AU577" i="1"/>
  <c r="AV577" i="1"/>
  <c r="AW577" i="1"/>
  <c r="AX577" i="1"/>
  <c r="AY577" i="1"/>
  <c r="AZ577" i="1"/>
  <c r="BA577" i="1"/>
  <c r="AO578" i="1"/>
  <c r="AP578" i="1"/>
  <c r="AR578" i="1"/>
  <c r="AS578" i="1"/>
  <c r="AT578" i="1"/>
  <c r="AU578" i="1"/>
  <c r="AV578" i="1"/>
  <c r="AW578" i="1"/>
  <c r="AX578" i="1"/>
  <c r="AY578" i="1"/>
  <c r="AZ578" i="1"/>
  <c r="BA578" i="1"/>
  <c r="AO579" i="1"/>
  <c r="AP579" i="1"/>
  <c r="AR579" i="1"/>
  <c r="AS579" i="1"/>
  <c r="AT579" i="1"/>
  <c r="AU579" i="1"/>
  <c r="AV579" i="1"/>
  <c r="AW579" i="1"/>
  <c r="AX579" i="1"/>
  <c r="AY579" i="1"/>
  <c r="AZ579" i="1"/>
  <c r="BA579" i="1"/>
  <c r="AO580" i="1"/>
  <c r="AP580" i="1"/>
  <c r="AR580" i="1"/>
  <c r="AS580" i="1"/>
  <c r="AT580" i="1"/>
  <c r="AU580" i="1"/>
  <c r="AV580" i="1"/>
  <c r="AW580" i="1"/>
  <c r="AX580" i="1"/>
  <c r="AY580" i="1"/>
  <c r="AZ580" i="1"/>
  <c r="BA580" i="1"/>
  <c r="AO581" i="1"/>
  <c r="AP581" i="1"/>
  <c r="AR581" i="1"/>
  <c r="AS581" i="1"/>
  <c r="AT581" i="1"/>
  <c r="AU581" i="1"/>
  <c r="AV581" i="1"/>
  <c r="AW581" i="1"/>
  <c r="AX581" i="1"/>
  <c r="AY581" i="1"/>
  <c r="AZ581" i="1"/>
  <c r="BA581" i="1"/>
  <c r="AO582" i="1"/>
  <c r="AP582" i="1"/>
  <c r="AR582" i="1"/>
  <c r="AS582" i="1"/>
  <c r="AT582" i="1"/>
  <c r="AU582" i="1"/>
  <c r="AV582" i="1"/>
  <c r="AW582" i="1"/>
  <c r="AX582" i="1"/>
  <c r="AY582" i="1"/>
  <c r="AZ582" i="1"/>
  <c r="BA582" i="1"/>
  <c r="AO583" i="1"/>
  <c r="AP583" i="1"/>
  <c r="AR583" i="1"/>
  <c r="AS583" i="1"/>
  <c r="AT583" i="1"/>
  <c r="AU583" i="1"/>
  <c r="AV583" i="1"/>
  <c r="AW583" i="1"/>
  <c r="AX583" i="1"/>
  <c r="AY583" i="1"/>
  <c r="AZ583" i="1"/>
  <c r="BA583" i="1"/>
  <c r="AO584" i="1"/>
  <c r="AP584" i="1"/>
  <c r="AR584" i="1"/>
  <c r="AS584" i="1"/>
  <c r="AT584" i="1"/>
  <c r="AU584" i="1"/>
  <c r="AV584" i="1"/>
  <c r="AW584" i="1"/>
  <c r="AX584" i="1"/>
  <c r="AY584" i="1"/>
  <c r="AZ584" i="1"/>
  <c r="BA584" i="1"/>
  <c r="AO585" i="1"/>
  <c r="AP585" i="1"/>
  <c r="AR585" i="1"/>
  <c r="AS585" i="1"/>
  <c r="AT585" i="1"/>
  <c r="AU585" i="1"/>
  <c r="AV585" i="1"/>
  <c r="AW585" i="1"/>
  <c r="AX585" i="1"/>
  <c r="AY585" i="1"/>
  <c r="AZ585" i="1"/>
  <c r="BA585" i="1"/>
  <c r="AO586" i="1"/>
  <c r="AP586" i="1"/>
  <c r="AR586" i="1"/>
  <c r="AS586" i="1"/>
  <c r="AT586" i="1"/>
  <c r="AU586" i="1"/>
  <c r="AV586" i="1"/>
  <c r="AW586" i="1"/>
  <c r="AX586" i="1"/>
  <c r="AY586" i="1"/>
  <c r="AZ586" i="1"/>
  <c r="BA586" i="1"/>
  <c r="AO587" i="1"/>
  <c r="AP587" i="1"/>
  <c r="AR587" i="1"/>
  <c r="AS587" i="1"/>
  <c r="AT587" i="1"/>
  <c r="AU587" i="1"/>
  <c r="AV587" i="1"/>
  <c r="AW587" i="1"/>
  <c r="AX587" i="1"/>
  <c r="AY587" i="1"/>
  <c r="AZ587" i="1"/>
  <c r="BA587" i="1"/>
  <c r="AO588" i="1"/>
  <c r="AP588" i="1"/>
  <c r="AR588" i="1"/>
  <c r="AS588" i="1"/>
  <c r="AT588" i="1"/>
  <c r="AU588" i="1"/>
  <c r="AV588" i="1"/>
  <c r="AW588" i="1"/>
  <c r="AX588" i="1"/>
  <c r="AY588" i="1"/>
  <c r="AZ588" i="1"/>
  <c r="BA588" i="1"/>
  <c r="AO589" i="1"/>
  <c r="AP589" i="1"/>
  <c r="AR589" i="1"/>
  <c r="AS589" i="1"/>
  <c r="AT589" i="1"/>
  <c r="AU589" i="1"/>
  <c r="AV589" i="1"/>
  <c r="AW589" i="1"/>
  <c r="AX589" i="1"/>
  <c r="AY589" i="1"/>
  <c r="AZ589" i="1"/>
  <c r="BA589" i="1"/>
  <c r="AO590" i="1"/>
  <c r="AP590" i="1"/>
  <c r="AR590" i="1"/>
  <c r="AS590" i="1"/>
  <c r="AT590" i="1"/>
  <c r="AU590" i="1"/>
  <c r="AV590" i="1"/>
  <c r="AW590" i="1"/>
  <c r="AX590" i="1"/>
  <c r="AY590" i="1"/>
  <c r="AZ590" i="1"/>
  <c r="BA590" i="1"/>
  <c r="AO591" i="1"/>
  <c r="AP591" i="1"/>
  <c r="AR591" i="1"/>
  <c r="AS591" i="1"/>
  <c r="AT591" i="1"/>
  <c r="AU591" i="1"/>
  <c r="AV591" i="1"/>
  <c r="AW591" i="1"/>
  <c r="AX591" i="1"/>
  <c r="AY591" i="1"/>
  <c r="AZ591" i="1"/>
  <c r="BA591" i="1"/>
  <c r="AO592" i="1"/>
  <c r="AP592" i="1"/>
  <c r="AR592" i="1"/>
  <c r="AS592" i="1"/>
  <c r="AT592" i="1"/>
  <c r="AU592" i="1"/>
  <c r="AV592" i="1"/>
  <c r="AW592" i="1"/>
  <c r="AX592" i="1"/>
  <c r="AY592" i="1"/>
  <c r="AZ592" i="1"/>
  <c r="BA592" i="1"/>
  <c r="AO593" i="1"/>
  <c r="AP593" i="1"/>
  <c r="AR593" i="1"/>
  <c r="AS593" i="1"/>
  <c r="AT593" i="1"/>
  <c r="AU593" i="1"/>
  <c r="AV593" i="1"/>
  <c r="AW593" i="1"/>
  <c r="AX593" i="1"/>
  <c r="AY593" i="1"/>
  <c r="AZ593" i="1"/>
  <c r="BA593" i="1"/>
  <c r="AO594" i="1"/>
  <c r="AP594" i="1"/>
  <c r="AR594" i="1"/>
  <c r="AS594" i="1"/>
  <c r="AT594" i="1"/>
  <c r="AU594" i="1"/>
  <c r="AV594" i="1"/>
  <c r="AW594" i="1"/>
  <c r="AX594" i="1"/>
  <c r="AY594" i="1"/>
  <c r="AZ594" i="1"/>
  <c r="BA594" i="1"/>
  <c r="AO595" i="1"/>
  <c r="AP595" i="1"/>
  <c r="AR595" i="1"/>
  <c r="AS595" i="1"/>
  <c r="AT595" i="1"/>
  <c r="AU595" i="1"/>
  <c r="AV595" i="1"/>
  <c r="AW595" i="1"/>
  <c r="AX595" i="1"/>
  <c r="AY595" i="1"/>
  <c r="AZ595" i="1"/>
  <c r="BA595" i="1"/>
  <c r="AO596" i="1"/>
  <c r="AP596" i="1"/>
  <c r="AR596" i="1"/>
  <c r="AS596" i="1"/>
  <c r="AT596" i="1"/>
  <c r="AU596" i="1"/>
  <c r="AV596" i="1"/>
  <c r="AW596" i="1"/>
  <c r="AX596" i="1"/>
  <c r="AY596" i="1"/>
  <c r="AZ596" i="1"/>
  <c r="BA596" i="1"/>
  <c r="AO597" i="1"/>
  <c r="AP597" i="1"/>
  <c r="AR597" i="1"/>
  <c r="AS597" i="1"/>
  <c r="AT597" i="1"/>
  <c r="AU597" i="1"/>
  <c r="AV597" i="1"/>
  <c r="AW597" i="1"/>
  <c r="AX597" i="1"/>
  <c r="AY597" i="1"/>
  <c r="AZ597" i="1"/>
  <c r="BA597" i="1"/>
  <c r="AO598" i="1"/>
  <c r="AP598" i="1"/>
  <c r="AR598" i="1"/>
  <c r="AS598" i="1"/>
  <c r="AT598" i="1"/>
  <c r="AU598" i="1"/>
  <c r="AV598" i="1"/>
  <c r="AW598" i="1"/>
  <c r="AX598" i="1"/>
  <c r="AY598" i="1"/>
  <c r="AZ598" i="1"/>
  <c r="BA598" i="1"/>
  <c r="AO599" i="1"/>
  <c r="AP599" i="1"/>
  <c r="AR599" i="1"/>
  <c r="AS599" i="1"/>
  <c r="AT599" i="1"/>
  <c r="AU599" i="1"/>
  <c r="AV599" i="1"/>
  <c r="AW599" i="1"/>
  <c r="AX599" i="1"/>
  <c r="AY599" i="1"/>
  <c r="AZ599" i="1"/>
  <c r="BA599" i="1"/>
  <c r="AO600" i="1"/>
  <c r="AP600" i="1"/>
  <c r="AR600" i="1"/>
  <c r="AS600" i="1"/>
  <c r="AT600" i="1"/>
  <c r="AU600" i="1"/>
  <c r="AV600" i="1"/>
  <c r="AW600" i="1"/>
  <c r="AX600" i="1"/>
  <c r="AY600" i="1"/>
  <c r="AZ600" i="1"/>
  <c r="BA600" i="1"/>
  <c r="AO601" i="1"/>
  <c r="AP601" i="1"/>
  <c r="AR601" i="1"/>
  <c r="AS601" i="1"/>
  <c r="AT601" i="1"/>
  <c r="AU601" i="1"/>
  <c r="AV601" i="1"/>
  <c r="AW601" i="1"/>
  <c r="AX601" i="1"/>
  <c r="AY601" i="1"/>
  <c r="AZ601" i="1"/>
  <c r="BA601" i="1"/>
  <c r="AO602" i="1"/>
  <c r="AP602" i="1"/>
  <c r="AR602" i="1"/>
  <c r="AS602" i="1"/>
  <c r="AT602" i="1"/>
  <c r="AU602" i="1"/>
  <c r="AV602" i="1"/>
  <c r="AW602" i="1"/>
  <c r="AX602" i="1"/>
  <c r="AY602" i="1"/>
  <c r="AZ602" i="1"/>
  <c r="BA602" i="1"/>
  <c r="AO603" i="1"/>
  <c r="AP603" i="1"/>
  <c r="AR603" i="1"/>
  <c r="AS603" i="1"/>
  <c r="AT603" i="1"/>
  <c r="AU603" i="1"/>
  <c r="AV603" i="1"/>
  <c r="AW603" i="1"/>
  <c r="AX603" i="1"/>
  <c r="AY603" i="1"/>
  <c r="AZ603" i="1"/>
  <c r="BA603" i="1"/>
  <c r="AO604" i="1"/>
  <c r="AP604" i="1"/>
  <c r="AR604" i="1"/>
  <c r="AS604" i="1"/>
  <c r="AT604" i="1"/>
  <c r="AU604" i="1"/>
  <c r="AV604" i="1"/>
  <c r="AW604" i="1"/>
  <c r="AX604" i="1"/>
  <c r="AY604" i="1"/>
  <c r="AZ604" i="1"/>
  <c r="BA604" i="1"/>
  <c r="AO605" i="1"/>
  <c r="AP605" i="1"/>
  <c r="AR605" i="1"/>
  <c r="AS605" i="1"/>
  <c r="AT605" i="1"/>
  <c r="AU605" i="1"/>
  <c r="AV605" i="1"/>
  <c r="AW605" i="1"/>
  <c r="AX605" i="1"/>
  <c r="AY605" i="1"/>
  <c r="AZ605" i="1"/>
  <c r="BA605" i="1"/>
  <c r="AO606" i="1"/>
  <c r="AP606" i="1"/>
  <c r="AR606" i="1"/>
  <c r="AS606" i="1"/>
  <c r="AT606" i="1"/>
  <c r="AU606" i="1"/>
  <c r="AV606" i="1"/>
  <c r="AW606" i="1"/>
  <c r="AX606" i="1"/>
  <c r="AY606" i="1"/>
  <c r="AZ606" i="1"/>
  <c r="BA606" i="1"/>
  <c r="AO607" i="1"/>
  <c r="AP607" i="1"/>
  <c r="AR607" i="1"/>
  <c r="AS607" i="1"/>
  <c r="AT607" i="1"/>
  <c r="AU607" i="1"/>
  <c r="AV607" i="1"/>
  <c r="AW607" i="1"/>
  <c r="AX607" i="1"/>
  <c r="AY607" i="1"/>
  <c r="AZ607" i="1"/>
  <c r="BA607" i="1"/>
  <c r="AO608" i="1"/>
  <c r="AP608" i="1"/>
  <c r="AR608" i="1"/>
  <c r="AS608" i="1"/>
  <c r="AT608" i="1"/>
  <c r="AU608" i="1"/>
  <c r="AV608" i="1"/>
  <c r="AW608" i="1"/>
  <c r="AX608" i="1"/>
  <c r="AY608" i="1"/>
  <c r="AZ608" i="1"/>
  <c r="BA608" i="1"/>
  <c r="AO609" i="1"/>
  <c r="AP609" i="1"/>
  <c r="AR609" i="1"/>
  <c r="AS609" i="1"/>
  <c r="AT609" i="1"/>
  <c r="AU609" i="1"/>
  <c r="AV609" i="1"/>
  <c r="AW609" i="1"/>
  <c r="AX609" i="1"/>
  <c r="AY609" i="1"/>
  <c r="AZ609" i="1"/>
  <c r="BA609" i="1"/>
  <c r="AO610" i="1"/>
  <c r="AP610" i="1"/>
  <c r="AR610" i="1"/>
  <c r="AS610" i="1"/>
  <c r="AT610" i="1"/>
  <c r="AU610" i="1"/>
  <c r="AV610" i="1"/>
  <c r="AW610" i="1"/>
  <c r="AX610" i="1"/>
  <c r="AY610" i="1"/>
  <c r="AZ610" i="1"/>
  <c r="BA610" i="1"/>
  <c r="AO611" i="1"/>
  <c r="AP611" i="1"/>
  <c r="AR611" i="1"/>
  <c r="AS611" i="1"/>
  <c r="AT611" i="1"/>
  <c r="AU611" i="1"/>
  <c r="AV611" i="1"/>
  <c r="AW611" i="1"/>
  <c r="AX611" i="1"/>
  <c r="AY611" i="1"/>
  <c r="AZ611" i="1"/>
  <c r="BA611" i="1"/>
  <c r="AO612" i="1"/>
  <c r="AP612" i="1"/>
  <c r="AR612" i="1"/>
  <c r="AS612" i="1"/>
  <c r="AT612" i="1"/>
  <c r="AU612" i="1"/>
  <c r="AV612" i="1"/>
  <c r="AW612" i="1"/>
  <c r="AX612" i="1"/>
  <c r="AY612" i="1"/>
  <c r="AZ612" i="1"/>
  <c r="BA612" i="1"/>
  <c r="AO613" i="1"/>
  <c r="AP613" i="1"/>
  <c r="AR613" i="1"/>
  <c r="AS613" i="1"/>
  <c r="AT613" i="1"/>
  <c r="AU613" i="1"/>
  <c r="AV613" i="1"/>
  <c r="AW613" i="1"/>
  <c r="AX613" i="1"/>
  <c r="AY613" i="1"/>
  <c r="AZ613" i="1"/>
  <c r="BA613" i="1"/>
  <c r="AO614" i="1"/>
  <c r="AP614" i="1"/>
  <c r="AR614" i="1"/>
  <c r="AS614" i="1"/>
  <c r="AT614" i="1"/>
  <c r="AU614" i="1"/>
  <c r="AV614" i="1"/>
  <c r="AW614" i="1"/>
  <c r="AX614" i="1"/>
  <c r="AY614" i="1"/>
  <c r="AZ614" i="1"/>
  <c r="BA614" i="1"/>
  <c r="AO615" i="1"/>
  <c r="AP615" i="1"/>
  <c r="AR615" i="1"/>
  <c r="AS615" i="1"/>
  <c r="AT615" i="1"/>
  <c r="AU615" i="1"/>
  <c r="AV615" i="1"/>
  <c r="AW615" i="1"/>
  <c r="AX615" i="1"/>
  <c r="AY615" i="1"/>
  <c r="AZ615" i="1"/>
  <c r="BA615" i="1"/>
  <c r="AO616" i="1"/>
  <c r="AP616" i="1"/>
  <c r="AR616" i="1"/>
  <c r="AS616" i="1"/>
  <c r="AT616" i="1"/>
  <c r="AU616" i="1"/>
  <c r="AV616" i="1"/>
  <c r="AW616" i="1"/>
  <c r="AX616" i="1"/>
  <c r="AY616" i="1"/>
  <c r="AZ616" i="1"/>
  <c r="BA616" i="1"/>
  <c r="AO617" i="1"/>
  <c r="AP617" i="1"/>
  <c r="AR617" i="1"/>
  <c r="AS617" i="1"/>
  <c r="AT617" i="1"/>
  <c r="AU617" i="1"/>
  <c r="AV617" i="1"/>
  <c r="AW617" i="1"/>
  <c r="AX617" i="1"/>
  <c r="AY617" i="1"/>
  <c r="AZ617" i="1"/>
  <c r="BA617" i="1"/>
  <c r="AO618" i="1"/>
  <c r="AP618" i="1"/>
  <c r="AR618" i="1"/>
  <c r="AS618" i="1"/>
  <c r="AT618" i="1"/>
  <c r="AU618" i="1"/>
  <c r="AV618" i="1"/>
  <c r="AW618" i="1"/>
  <c r="AX618" i="1"/>
  <c r="AY618" i="1"/>
  <c r="AZ618" i="1"/>
  <c r="BA618" i="1"/>
  <c r="AO619" i="1"/>
  <c r="AP619" i="1"/>
  <c r="AR619" i="1"/>
  <c r="AS619" i="1"/>
  <c r="AT619" i="1"/>
  <c r="AU619" i="1"/>
  <c r="AV619" i="1"/>
  <c r="AW619" i="1"/>
  <c r="AX619" i="1"/>
  <c r="AY619" i="1"/>
  <c r="AZ619" i="1"/>
  <c r="BA619" i="1"/>
  <c r="AO620" i="1"/>
  <c r="AP620" i="1"/>
  <c r="AR620" i="1"/>
  <c r="AS620" i="1"/>
  <c r="AT620" i="1"/>
  <c r="AU620" i="1"/>
  <c r="AV620" i="1"/>
  <c r="AW620" i="1"/>
  <c r="AX620" i="1"/>
  <c r="AY620" i="1"/>
  <c r="AZ620" i="1"/>
  <c r="BA620" i="1"/>
  <c r="AO621" i="1"/>
  <c r="AP621" i="1"/>
  <c r="AR621" i="1"/>
  <c r="AS621" i="1"/>
  <c r="AT621" i="1"/>
  <c r="AU621" i="1"/>
  <c r="AV621" i="1"/>
  <c r="AW621" i="1"/>
  <c r="AX621" i="1"/>
  <c r="AY621" i="1"/>
  <c r="AZ621" i="1"/>
  <c r="BA621" i="1"/>
  <c r="AO622" i="1"/>
  <c r="AP622" i="1"/>
  <c r="AR622" i="1"/>
  <c r="AS622" i="1"/>
  <c r="AT622" i="1"/>
  <c r="AU622" i="1"/>
  <c r="AV622" i="1"/>
  <c r="AW622" i="1"/>
  <c r="AX622" i="1"/>
  <c r="AY622" i="1"/>
  <c r="AZ622" i="1"/>
  <c r="BA622" i="1"/>
  <c r="AO623" i="1"/>
  <c r="AP623" i="1"/>
  <c r="AR623" i="1"/>
  <c r="AS623" i="1"/>
  <c r="AT623" i="1"/>
  <c r="AU623" i="1"/>
  <c r="AV623" i="1"/>
  <c r="AW623" i="1"/>
  <c r="AX623" i="1"/>
  <c r="AY623" i="1"/>
  <c r="AZ623" i="1"/>
  <c r="BA623" i="1"/>
  <c r="AO624" i="1"/>
  <c r="AP624" i="1"/>
  <c r="AR624" i="1"/>
  <c r="AS624" i="1"/>
  <c r="AT624" i="1"/>
  <c r="AU624" i="1"/>
  <c r="AV624" i="1"/>
  <c r="AW624" i="1"/>
  <c r="AX624" i="1"/>
  <c r="AY624" i="1"/>
  <c r="AZ624" i="1"/>
  <c r="BA624" i="1"/>
  <c r="AO625" i="1"/>
  <c r="AP625" i="1"/>
  <c r="AR625" i="1"/>
  <c r="AS625" i="1"/>
  <c r="AT625" i="1"/>
  <c r="AU625" i="1"/>
  <c r="AV625" i="1"/>
  <c r="AW625" i="1"/>
  <c r="AX625" i="1"/>
  <c r="AY625" i="1"/>
  <c r="AZ625" i="1"/>
  <c r="BA625" i="1"/>
  <c r="AO626" i="1"/>
  <c r="AP626" i="1"/>
  <c r="AR626" i="1"/>
  <c r="AS626" i="1"/>
  <c r="AT626" i="1"/>
  <c r="AU626" i="1"/>
  <c r="AV626" i="1"/>
  <c r="AW626" i="1"/>
  <c r="AX626" i="1"/>
  <c r="AY626" i="1"/>
  <c r="AZ626" i="1"/>
  <c r="BA626" i="1"/>
  <c r="AO627" i="1"/>
  <c r="AP627" i="1"/>
  <c r="AR627" i="1"/>
  <c r="AS627" i="1"/>
  <c r="AT627" i="1"/>
  <c r="AU627" i="1"/>
  <c r="AV627" i="1"/>
  <c r="AW627" i="1"/>
  <c r="AX627" i="1"/>
  <c r="AY627" i="1"/>
  <c r="AZ627" i="1"/>
  <c r="BA627" i="1"/>
  <c r="AO628" i="1"/>
  <c r="AP628" i="1"/>
  <c r="AR628" i="1"/>
  <c r="AS628" i="1"/>
  <c r="AT628" i="1"/>
  <c r="AU628" i="1"/>
  <c r="AV628" i="1"/>
  <c r="AW628" i="1"/>
  <c r="AX628" i="1"/>
  <c r="AY628" i="1"/>
  <c r="AZ628" i="1"/>
  <c r="BA628" i="1"/>
  <c r="AO629" i="1"/>
  <c r="AP629" i="1"/>
  <c r="AR629" i="1"/>
  <c r="AS629" i="1"/>
  <c r="AT629" i="1"/>
  <c r="AU629" i="1"/>
  <c r="AV629" i="1"/>
  <c r="AX629" i="1"/>
  <c r="AY629" i="1"/>
  <c r="AO630" i="1"/>
  <c r="AP630" i="1"/>
  <c r="AR630" i="1"/>
  <c r="AS630" i="1"/>
  <c r="AT630" i="1"/>
  <c r="AU630" i="1"/>
  <c r="AV630" i="1"/>
  <c r="AW630" i="1"/>
  <c r="AX630" i="1"/>
  <c r="AY630" i="1"/>
  <c r="AO631" i="1"/>
  <c r="AP631" i="1"/>
  <c r="AR631" i="1"/>
  <c r="AS631" i="1"/>
  <c r="AT631" i="1"/>
  <c r="AU631" i="1"/>
  <c r="AV631" i="1"/>
  <c r="AW631" i="1"/>
  <c r="AX631" i="1"/>
  <c r="AY631" i="1"/>
  <c r="AZ631" i="1"/>
  <c r="BA631" i="1"/>
  <c r="AO632" i="1"/>
  <c r="AP632" i="1"/>
  <c r="AR632" i="1"/>
  <c r="AS632" i="1"/>
  <c r="AT632" i="1"/>
  <c r="AU632" i="1"/>
  <c r="AV632" i="1"/>
  <c r="AW632" i="1"/>
  <c r="AX632" i="1"/>
  <c r="AY632" i="1"/>
  <c r="AZ632" i="1"/>
  <c r="BA632" i="1"/>
  <c r="AO633" i="1"/>
  <c r="AP633" i="1"/>
  <c r="AR633" i="1"/>
  <c r="AS633" i="1"/>
  <c r="AT633" i="1"/>
  <c r="AU633" i="1"/>
  <c r="AV633" i="1"/>
  <c r="AW633" i="1"/>
  <c r="AX633" i="1"/>
  <c r="AY633" i="1"/>
  <c r="AZ633" i="1"/>
  <c r="BA633" i="1"/>
  <c r="AO634" i="1"/>
  <c r="AP634" i="1"/>
  <c r="AR634" i="1"/>
  <c r="AS634" i="1"/>
  <c r="AT634" i="1"/>
  <c r="AU634" i="1"/>
  <c r="AV634" i="1"/>
  <c r="AW634" i="1"/>
  <c r="AX634" i="1"/>
  <c r="AY634" i="1"/>
  <c r="AZ634" i="1"/>
  <c r="BA634" i="1"/>
  <c r="AO635" i="1"/>
  <c r="AP635" i="1"/>
  <c r="AR635" i="1"/>
  <c r="AS635" i="1"/>
  <c r="AT635" i="1"/>
  <c r="AU635" i="1"/>
  <c r="AV635" i="1"/>
  <c r="AW635" i="1"/>
  <c r="AX635" i="1"/>
  <c r="AY635" i="1"/>
  <c r="AZ635" i="1"/>
  <c r="BA635" i="1"/>
  <c r="AO636" i="1"/>
  <c r="AP636" i="1"/>
  <c r="AR636" i="1"/>
  <c r="AS636" i="1"/>
  <c r="AT636" i="1"/>
  <c r="AU636" i="1"/>
  <c r="AV636" i="1"/>
  <c r="AW636" i="1"/>
  <c r="AX636" i="1"/>
  <c r="AY636" i="1"/>
  <c r="AZ636" i="1"/>
  <c r="BA636" i="1"/>
  <c r="AO637" i="1"/>
  <c r="AP637" i="1"/>
  <c r="AR637" i="1"/>
  <c r="AS637" i="1"/>
  <c r="AT637" i="1"/>
  <c r="AU637" i="1"/>
  <c r="AV637" i="1"/>
  <c r="AW637" i="1"/>
  <c r="AX637" i="1"/>
  <c r="AY637" i="1"/>
  <c r="AZ637" i="1"/>
  <c r="BA637" i="1"/>
  <c r="AO638" i="1"/>
  <c r="AP638" i="1"/>
  <c r="AR638" i="1"/>
  <c r="AS638" i="1"/>
  <c r="AT638" i="1"/>
  <c r="AU638" i="1"/>
  <c r="AV638" i="1"/>
  <c r="AW638" i="1"/>
  <c r="AX638" i="1"/>
  <c r="AY638" i="1"/>
  <c r="AZ638" i="1"/>
  <c r="BA638" i="1"/>
  <c r="AO639" i="1"/>
  <c r="AP639" i="1"/>
  <c r="AR639" i="1"/>
  <c r="AS639" i="1"/>
  <c r="AT639" i="1"/>
  <c r="AU639" i="1"/>
  <c r="AV639" i="1"/>
  <c r="AW639" i="1"/>
  <c r="AX639" i="1"/>
  <c r="AY639" i="1"/>
  <c r="AZ639" i="1"/>
  <c r="BA639" i="1"/>
  <c r="AO640" i="1"/>
  <c r="AP640" i="1"/>
  <c r="AR640" i="1"/>
  <c r="AS640" i="1"/>
  <c r="AT640" i="1"/>
  <c r="AU640" i="1"/>
  <c r="AV640" i="1"/>
  <c r="AW640" i="1"/>
  <c r="AX640" i="1"/>
  <c r="AY640" i="1"/>
  <c r="AZ640" i="1"/>
  <c r="BA640" i="1"/>
  <c r="AO641" i="1"/>
  <c r="AP641" i="1"/>
  <c r="AR641" i="1"/>
  <c r="AS641" i="1"/>
  <c r="AT641" i="1"/>
  <c r="AU641" i="1"/>
  <c r="AV641" i="1"/>
  <c r="AW641" i="1"/>
  <c r="AX641" i="1"/>
  <c r="AY641" i="1"/>
  <c r="AZ641" i="1"/>
  <c r="BA641" i="1"/>
  <c r="AO642" i="1"/>
  <c r="AP642" i="1"/>
  <c r="AR642" i="1"/>
  <c r="AS642" i="1"/>
  <c r="AT642" i="1"/>
  <c r="AU642" i="1"/>
  <c r="AV642" i="1"/>
  <c r="AW642" i="1"/>
  <c r="AX642" i="1"/>
  <c r="AY642" i="1"/>
  <c r="AZ642" i="1"/>
  <c r="BA642" i="1"/>
  <c r="AO643" i="1"/>
  <c r="AP643" i="1"/>
  <c r="AR643" i="1"/>
  <c r="AS643" i="1"/>
  <c r="AT643" i="1"/>
  <c r="AU643" i="1"/>
  <c r="AV643" i="1"/>
  <c r="AW643" i="1"/>
  <c r="AX643" i="1"/>
  <c r="AY643" i="1"/>
  <c r="AZ643" i="1"/>
  <c r="BA643" i="1"/>
  <c r="AO644" i="1"/>
  <c r="AP644" i="1"/>
  <c r="AR644" i="1"/>
  <c r="AS644" i="1"/>
  <c r="AT644" i="1"/>
  <c r="AU644" i="1"/>
  <c r="AV644" i="1"/>
  <c r="AW644" i="1"/>
  <c r="AX644" i="1"/>
  <c r="AY644" i="1"/>
  <c r="AZ644" i="1"/>
  <c r="BA644" i="1"/>
  <c r="AO645" i="1"/>
  <c r="AP645" i="1"/>
  <c r="AR645" i="1"/>
  <c r="AS645" i="1"/>
  <c r="AT645" i="1"/>
  <c r="AU645" i="1"/>
  <c r="AV645" i="1"/>
  <c r="AW645" i="1"/>
  <c r="AX645" i="1"/>
  <c r="AY645" i="1"/>
  <c r="AZ645" i="1"/>
  <c r="BA645" i="1"/>
  <c r="AO646" i="1"/>
  <c r="AP646" i="1"/>
  <c r="AR646" i="1"/>
  <c r="AS646" i="1"/>
  <c r="AT646" i="1"/>
  <c r="AU646" i="1"/>
  <c r="AV646" i="1"/>
  <c r="AW646" i="1"/>
  <c r="AX646" i="1"/>
  <c r="AY646" i="1"/>
  <c r="AZ646" i="1"/>
  <c r="BA646" i="1"/>
  <c r="AO647" i="1"/>
  <c r="AP647" i="1"/>
  <c r="AR647" i="1"/>
  <c r="AS647" i="1"/>
  <c r="AT647" i="1"/>
  <c r="AU647" i="1"/>
  <c r="AV647" i="1"/>
  <c r="AW647" i="1"/>
  <c r="AX647" i="1"/>
  <c r="AY647" i="1"/>
  <c r="AZ647" i="1"/>
  <c r="BA647" i="1"/>
  <c r="AO648" i="1"/>
  <c r="AP648" i="1"/>
  <c r="AR648" i="1"/>
  <c r="AS648" i="1"/>
  <c r="AT648" i="1"/>
  <c r="AU648" i="1"/>
  <c r="AV648" i="1"/>
  <c r="AW648" i="1"/>
  <c r="AX648" i="1"/>
  <c r="AY648" i="1"/>
  <c r="AZ648" i="1"/>
  <c r="BA648" i="1"/>
  <c r="AO649" i="1"/>
  <c r="AP649" i="1"/>
  <c r="AR649" i="1"/>
  <c r="AS649" i="1"/>
  <c r="AT649" i="1"/>
  <c r="AU649" i="1"/>
  <c r="AV649" i="1"/>
  <c r="AW649" i="1"/>
  <c r="AX649" i="1"/>
  <c r="AY649" i="1"/>
  <c r="AZ649" i="1"/>
  <c r="BA649" i="1"/>
  <c r="AO650" i="1"/>
  <c r="AP650" i="1"/>
  <c r="AR650" i="1"/>
  <c r="AS650" i="1"/>
  <c r="AT650" i="1"/>
  <c r="AU650" i="1"/>
  <c r="AV650" i="1"/>
  <c r="AW650" i="1"/>
  <c r="AX650" i="1"/>
  <c r="AY650" i="1"/>
  <c r="AZ650" i="1"/>
  <c r="BA650" i="1"/>
  <c r="AO651" i="1"/>
  <c r="AP651" i="1"/>
  <c r="AR651" i="1"/>
  <c r="AS651" i="1"/>
  <c r="AT651" i="1"/>
  <c r="AU651" i="1"/>
  <c r="AV651" i="1"/>
  <c r="AW651" i="1"/>
  <c r="AX651" i="1"/>
  <c r="AY651" i="1"/>
  <c r="AZ651" i="1"/>
  <c r="BA651" i="1"/>
  <c r="AO652" i="1"/>
  <c r="AP652" i="1"/>
  <c r="AR652" i="1"/>
  <c r="AS652" i="1"/>
  <c r="AT652" i="1"/>
  <c r="AU652" i="1"/>
  <c r="AV652" i="1"/>
  <c r="AW652" i="1"/>
  <c r="AX652" i="1"/>
  <c r="AY652" i="1"/>
  <c r="AZ652" i="1"/>
  <c r="BA652" i="1"/>
  <c r="AO653" i="1"/>
  <c r="AP653" i="1"/>
  <c r="AR653" i="1"/>
  <c r="AS653" i="1"/>
  <c r="AT653" i="1"/>
  <c r="AU653" i="1"/>
  <c r="AV653" i="1"/>
  <c r="AW653" i="1"/>
  <c r="AX653" i="1"/>
  <c r="AY653" i="1"/>
  <c r="AZ653" i="1"/>
  <c r="BA653" i="1"/>
  <c r="AO654" i="1"/>
  <c r="AP654" i="1"/>
  <c r="AR654" i="1"/>
  <c r="AS654" i="1"/>
  <c r="AT654" i="1"/>
  <c r="AU654" i="1"/>
  <c r="AV654" i="1"/>
  <c r="AW654" i="1"/>
  <c r="AX654" i="1"/>
  <c r="AY654" i="1"/>
  <c r="AZ654" i="1"/>
  <c r="BA654" i="1"/>
  <c r="AO655" i="1"/>
  <c r="AP655" i="1"/>
  <c r="AR655" i="1"/>
  <c r="AS655" i="1"/>
  <c r="AT655" i="1"/>
  <c r="AU655" i="1"/>
  <c r="AV655" i="1"/>
  <c r="AW655" i="1"/>
  <c r="AX655" i="1"/>
  <c r="AY655" i="1"/>
  <c r="AZ655" i="1"/>
  <c r="BA655" i="1"/>
  <c r="AO656" i="1"/>
  <c r="AP656" i="1"/>
  <c r="AR656" i="1"/>
  <c r="AS656" i="1"/>
  <c r="AT656" i="1"/>
  <c r="AU656" i="1"/>
  <c r="AV656" i="1"/>
  <c r="AW656" i="1"/>
  <c r="AX656" i="1"/>
  <c r="AY656" i="1"/>
  <c r="AZ656" i="1"/>
  <c r="BA656" i="1"/>
  <c r="AO657" i="1"/>
  <c r="AP657" i="1"/>
  <c r="AR657" i="1"/>
  <c r="AS657" i="1"/>
  <c r="AT657" i="1"/>
  <c r="AU657" i="1"/>
  <c r="AV657" i="1"/>
  <c r="AW657" i="1"/>
  <c r="AX657" i="1"/>
  <c r="AY657" i="1"/>
  <c r="AZ657" i="1"/>
  <c r="BA657" i="1"/>
  <c r="AO658" i="1"/>
  <c r="AP658" i="1"/>
  <c r="AR658" i="1"/>
  <c r="AS658" i="1"/>
  <c r="AT658" i="1"/>
  <c r="AU658" i="1"/>
  <c r="AV658" i="1"/>
  <c r="AW658" i="1"/>
  <c r="AX658" i="1"/>
  <c r="AY658" i="1"/>
  <c r="AZ658" i="1"/>
  <c r="BA658" i="1"/>
  <c r="AO659" i="1"/>
  <c r="AP659" i="1"/>
  <c r="AR659" i="1"/>
  <c r="AS659" i="1"/>
  <c r="AT659" i="1"/>
  <c r="AU659" i="1"/>
  <c r="AV659" i="1"/>
  <c r="AW659" i="1"/>
  <c r="AX659" i="1"/>
  <c r="AY659" i="1"/>
  <c r="AZ659" i="1"/>
  <c r="BA659" i="1"/>
  <c r="AO660" i="1"/>
  <c r="AP660" i="1"/>
  <c r="AR660" i="1"/>
  <c r="AS660" i="1"/>
  <c r="AT660" i="1"/>
  <c r="AU660" i="1"/>
  <c r="AV660" i="1"/>
  <c r="AW660" i="1"/>
  <c r="AX660" i="1"/>
  <c r="AY660" i="1"/>
  <c r="AZ660" i="1"/>
  <c r="BA660" i="1"/>
  <c r="AO661" i="1"/>
  <c r="AP661" i="1"/>
  <c r="AR661" i="1"/>
  <c r="AS661" i="1"/>
  <c r="AT661" i="1"/>
  <c r="AU661" i="1"/>
  <c r="AV661" i="1"/>
  <c r="AW661" i="1"/>
  <c r="AX661" i="1"/>
  <c r="AY661" i="1"/>
  <c r="AZ661" i="1"/>
  <c r="BA661" i="1"/>
  <c r="AO662" i="1"/>
  <c r="AP662" i="1"/>
  <c r="AR662" i="1"/>
  <c r="AS662" i="1"/>
  <c r="AT662" i="1"/>
  <c r="AU662" i="1"/>
  <c r="AV662" i="1"/>
  <c r="AW662" i="1"/>
  <c r="AX662" i="1"/>
  <c r="AY662" i="1"/>
  <c r="AZ662" i="1"/>
  <c r="BA662" i="1"/>
  <c r="AO663" i="1"/>
  <c r="AP663" i="1"/>
  <c r="AR663" i="1"/>
  <c r="AS663" i="1"/>
  <c r="AT663" i="1"/>
  <c r="AU663" i="1"/>
  <c r="AV663" i="1"/>
  <c r="AW663" i="1"/>
  <c r="AX663" i="1"/>
  <c r="AY663" i="1"/>
  <c r="AZ663" i="1"/>
  <c r="BA663" i="1"/>
  <c r="AO664" i="1"/>
  <c r="AP664" i="1"/>
  <c r="AR664" i="1"/>
  <c r="AS664" i="1"/>
  <c r="AT664" i="1"/>
  <c r="AU664" i="1"/>
  <c r="AV664" i="1"/>
  <c r="AW664" i="1"/>
  <c r="AX664" i="1"/>
  <c r="AY664" i="1"/>
  <c r="AZ664" i="1"/>
  <c r="BA664" i="1"/>
  <c r="AO665" i="1"/>
  <c r="AP665" i="1"/>
  <c r="AR665" i="1"/>
  <c r="AS665" i="1"/>
  <c r="AT665" i="1"/>
  <c r="AU665" i="1"/>
  <c r="AV665" i="1"/>
  <c r="AW665" i="1"/>
  <c r="AX665" i="1"/>
  <c r="AY665" i="1"/>
  <c r="AZ665" i="1"/>
  <c r="BA665" i="1"/>
  <c r="AO666" i="1"/>
  <c r="AP666" i="1"/>
  <c r="AR666" i="1"/>
  <c r="AS666" i="1"/>
  <c r="AT666" i="1"/>
  <c r="AU666" i="1"/>
  <c r="AV666" i="1"/>
  <c r="AW666" i="1"/>
  <c r="AX666" i="1"/>
  <c r="AY666" i="1"/>
  <c r="AZ666" i="1"/>
  <c r="BA666" i="1"/>
  <c r="AO667" i="1"/>
  <c r="AP667" i="1"/>
  <c r="AR667" i="1"/>
  <c r="AS667" i="1"/>
  <c r="AT667" i="1"/>
  <c r="AU667" i="1"/>
  <c r="AV667" i="1"/>
  <c r="AW667" i="1"/>
  <c r="AX667" i="1"/>
  <c r="AY667" i="1"/>
  <c r="AZ667" i="1"/>
  <c r="BA667" i="1"/>
  <c r="AO668" i="1"/>
  <c r="AP668" i="1"/>
  <c r="AR668" i="1"/>
  <c r="AS668" i="1"/>
  <c r="AT668" i="1"/>
  <c r="AU668" i="1"/>
  <c r="AV668" i="1"/>
  <c r="AW668" i="1"/>
  <c r="AX668" i="1"/>
  <c r="AY668" i="1"/>
  <c r="AZ668" i="1"/>
  <c r="BA668" i="1"/>
  <c r="AO669" i="1"/>
  <c r="AP669" i="1"/>
  <c r="AR669" i="1"/>
  <c r="AS669" i="1"/>
  <c r="AT669" i="1"/>
  <c r="AU669" i="1"/>
  <c r="AV669" i="1"/>
  <c r="AW669" i="1"/>
  <c r="AX669" i="1"/>
  <c r="AY669" i="1"/>
  <c r="AZ669" i="1"/>
  <c r="BA669" i="1"/>
  <c r="AO670" i="1"/>
  <c r="AP670" i="1"/>
  <c r="AR670" i="1"/>
  <c r="AS670" i="1"/>
  <c r="AT670" i="1"/>
  <c r="AU670" i="1"/>
  <c r="AV670" i="1"/>
  <c r="AW670" i="1"/>
  <c r="AX670" i="1"/>
  <c r="AY670" i="1"/>
  <c r="AZ670" i="1"/>
  <c r="BA670" i="1"/>
  <c r="AO671" i="1"/>
  <c r="AP671" i="1"/>
  <c r="AR671" i="1"/>
  <c r="AS671" i="1"/>
  <c r="AT671" i="1"/>
  <c r="AU671" i="1"/>
  <c r="AV671" i="1"/>
  <c r="AW671" i="1"/>
  <c r="AX671" i="1"/>
  <c r="AY671" i="1"/>
  <c r="AZ671" i="1"/>
  <c r="BA671" i="1"/>
  <c r="AO672" i="1"/>
  <c r="AP672" i="1"/>
  <c r="AR672" i="1"/>
  <c r="AS672" i="1"/>
  <c r="AT672" i="1"/>
  <c r="AU672" i="1"/>
  <c r="AV672" i="1"/>
  <c r="AW672" i="1"/>
  <c r="AX672" i="1"/>
  <c r="AY672" i="1"/>
  <c r="AZ672" i="1"/>
  <c r="BA672" i="1"/>
  <c r="AO673" i="1"/>
  <c r="AP673" i="1"/>
  <c r="AR673" i="1"/>
  <c r="AS673" i="1"/>
  <c r="AT673" i="1"/>
  <c r="AU673" i="1"/>
  <c r="AV673" i="1"/>
  <c r="AW673" i="1"/>
  <c r="AX673" i="1"/>
  <c r="AY673" i="1"/>
  <c r="AZ673" i="1"/>
  <c r="BA673" i="1"/>
  <c r="AO674" i="1"/>
  <c r="AP674" i="1"/>
  <c r="AR674" i="1"/>
  <c r="AS674" i="1"/>
  <c r="AT674" i="1"/>
  <c r="AU674" i="1"/>
  <c r="AV674" i="1"/>
  <c r="AW674" i="1"/>
  <c r="AX674" i="1"/>
  <c r="AY674" i="1"/>
  <c r="AZ674" i="1"/>
  <c r="BA674" i="1"/>
  <c r="AO675" i="1"/>
  <c r="AP675" i="1"/>
  <c r="AR675" i="1"/>
  <c r="AS675" i="1"/>
  <c r="AT675" i="1"/>
  <c r="AU675" i="1"/>
  <c r="AV675" i="1"/>
  <c r="AW675" i="1"/>
  <c r="AX675" i="1"/>
  <c r="AY675" i="1"/>
  <c r="AZ675" i="1"/>
  <c r="BA675" i="1"/>
  <c r="AO676" i="1"/>
  <c r="AP676" i="1"/>
  <c r="AR676" i="1"/>
  <c r="AS676" i="1"/>
  <c r="AT676" i="1"/>
  <c r="AU676" i="1"/>
  <c r="AV676" i="1"/>
  <c r="AW676" i="1"/>
  <c r="AX676" i="1"/>
  <c r="AY676" i="1"/>
  <c r="AZ676" i="1"/>
  <c r="BA676" i="1"/>
  <c r="AO677" i="1"/>
  <c r="AP677" i="1"/>
  <c r="AR677" i="1"/>
  <c r="AS677" i="1"/>
  <c r="AT677" i="1"/>
  <c r="AU677" i="1"/>
  <c r="AV677" i="1"/>
  <c r="AW677" i="1"/>
  <c r="AX677" i="1"/>
  <c r="AY677" i="1"/>
  <c r="AZ677" i="1"/>
  <c r="BA677" i="1"/>
  <c r="AO678" i="1"/>
  <c r="AP678" i="1"/>
  <c r="AR678" i="1"/>
  <c r="AS678" i="1"/>
  <c r="AT678" i="1"/>
  <c r="AU678" i="1"/>
  <c r="AV678" i="1"/>
  <c r="AW678" i="1"/>
  <c r="AX678" i="1"/>
  <c r="AY678" i="1"/>
  <c r="AZ678" i="1"/>
  <c r="BA678" i="1"/>
  <c r="AO679" i="1"/>
  <c r="AP679" i="1"/>
  <c r="AR679" i="1"/>
  <c r="AS679" i="1"/>
  <c r="AT679" i="1"/>
  <c r="AU679" i="1"/>
  <c r="AV679" i="1"/>
  <c r="AW679" i="1"/>
  <c r="AX679" i="1"/>
  <c r="AY679" i="1"/>
  <c r="AZ679" i="1"/>
  <c r="BA679" i="1"/>
  <c r="AO680" i="1"/>
  <c r="AP680" i="1"/>
  <c r="AR680" i="1"/>
  <c r="AS680" i="1"/>
  <c r="AT680" i="1"/>
  <c r="AU680" i="1"/>
  <c r="AV680" i="1"/>
  <c r="AW680" i="1"/>
  <c r="AX680" i="1"/>
  <c r="AY680" i="1"/>
  <c r="AZ680" i="1"/>
  <c r="BA680" i="1"/>
  <c r="AO681" i="1"/>
  <c r="AP681" i="1"/>
  <c r="AR681" i="1"/>
  <c r="AS681" i="1"/>
  <c r="AT681" i="1"/>
  <c r="AU681" i="1"/>
  <c r="AV681" i="1"/>
  <c r="AW681" i="1"/>
  <c r="AX681" i="1"/>
  <c r="AY681" i="1"/>
  <c r="AZ681" i="1"/>
  <c r="BA681" i="1"/>
  <c r="AO682" i="1"/>
  <c r="AP682" i="1"/>
  <c r="AR682" i="1"/>
  <c r="AS682" i="1"/>
  <c r="AT682" i="1"/>
  <c r="AU682" i="1"/>
  <c r="AV682" i="1"/>
  <c r="AW682" i="1"/>
  <c r="AX682" i="1"/>
  <c r="AY682" i="1"/>
  <c r="AZ682" i="1"/>
  <c r="BA682" i="1"/>
  <c r="AO683" i="1"/>
  <c r="AP683" i="1"/>
  <c r="AR683" i="1"/>
  <c r="AS683" i="1"/>
  <c r="AT683" i="1"/>
  <c r="AU683" i="1"/>
  <c r="AV683" i="1"/>
  <c r="AW683" i="1"/>
  <c r="AX683" i="1"/>
  <c r="AY683" i="1"/>
  <c r="AZ683" i="1"/>
  <c r="BA683" i="1"/>
  <c r="AO684" i="1"/>
  <c r="AP684" i="1"/>
  <c r="AR684" i="1"/>
  <c r="AS684" i="1"/>
  <c r="AT684" i="1"/>
  <c r="AU684" i="1"/>
  <c r="AV684" i="1"/>
  <c r="AW684" i="1"/>
  <c r="AX684" i="1"/>
  <c r="AY684" i="1"/>
  <c r="AZ684" i="1"/>
  <c r="BA684" i="1"/>
  <c r="AO685" i="1"/>
  <c r="AP685" i="1"/>
  <c r="AR685" i="1"/>
  <c r="AS685" i="1"/>
  <c r="AT685" i="1"/>
  <c r="AU685" i="1"/>
  <c r="AV685" i="1"/>
  <c r="AW685" i="1"/>
  <c r="AX685" i="1"/>
  <c r="AY685" i="1"/>
  <c r="AZ685" i="1"/>
  <c r="BA685" i="1"/>
  <c r="AO686" i="1"/>
  <c r="AP686" i="1"/>
  <c r="AR686" i="1"/>
  <c r="AS686" i="1"/>
  <c r="AT686" i="1"/>
  <c r="AU686" i="1"/>
  <c r="AV686" i="1"/>
  <c r="AW686" i="1"/>
  <c r="AX686" i="1"/>
  <c r="AY686" i="1"/>
  <c r="AZ686" i="1"/>
  <c r="BA686" i="1"/>
  <c r="AO687" i="1"/>
  <c r="AP687" i="1"/>
  <c r="AR687" i="1"/>
  <c r="AS687" i="1"/>
  <c r="AT687" i="1"/>
  <c r="AU687" i="1"/>
  <c r="AV687" i="1"/>
  <c r="AW687" i="1"/>
  <c r="AX687" i="1"/>
  <c r="AY687" i="1"/>
  <c r="AZ687" i="1"/>
  <c r="BA687" i="1"/>
  <c r="AO688" i="1"/>
  <c r="AP688" i="1"/>
  <c r="AR688" i="1"/>
  <c r="AS688" i="1"/>
  <c r="AT688" i="1"/>
  <c r="AU688" i="1"/>
  <c r="AV688" i="1"/>
  <c r="AW688" i="1"/>
  <c r="AX688" i="1"/>
  <c r="AY688" i="1"/>
  <c r="AZ688" i="1"/>
  <c r="BA688" i="1"/>
  <c r="AO689" i="1"/>
  <c r="AP689" i="1"/>
  <c r="AR689" i="1"/>
  <c r="AS689" i="1"/>
  <c r="AT689" i="1"/>
  <c r="AU689" i="1"/>
  <c r="AV689" i="1"/>
  <c r="AW689" i="1"/>
  <c r="AX689" i="1"/>
  <c r="AY689" i="1"/>
  <c r="AZ689" i="1"/>
  <c r="BA689" i="1"/>
  <c r="AO690" i="1"/>
  <c r="AP690" i="1"/>
  <c r="AR690" i="1"/>
  <c r="AS690" i="1"/>
  <c r="AT690" i="1"/>
  <c r="AU690" i="1"/>
  <c r="AV690" i="1"/>
  <c r="AW690" i="1"/>
  <c r="AX690" i="1"/>
  <c r="AY690" i="1"/>
  <c r="AZ690" i="1"/>
  <c r="BA690" i="1"/>
  <c r="AO691" i="1"/>
  <c r="AP691" i="1"/>
  <c r="AR691" i="1"/>
  <c r="AS691" i="1"/>
  <c r="AT691" i="1"/>
  <c r="AU691" i="1"/>
  <c r="AV691" i="1"/>
  <c r="AW691" i="1"/>
  <c r="AX691" i="1"/>
  <c r="AY691" i="1"/>
  <c r="AZ691" i="1"/>
  <c r="BA691" i="1"/>
  <c r="AO692" i="1"/>
  <c r="AP692" i="1"/>
  <c r="AR692" i="1"/>
  <c r="AS692" i="1"/>
  <c r="AT692" i="1"/>
  <c r="AU692" i="1"/>
  <c r="AV692" i="1"/>
  <c r="AW692" i="1"/>
  <c r="AX692" i="1"/>
  <c r="AY692" i="1"/>
  <c r="AZ692" i="1"/>
  <c r="BA692" i="1"/>
  <c r="AO693" i="1"/>
  <c r="AP693" i="1"/>
  <c r="AR693" i="1"/>
  <c r="AS693" i="1"/>
  <c r="AT693" i="1"/>
  <c r="AU693" i="1"/>
  <c r="AV693" i="1"/>
  <c r="AW693" i="1"/>
  <c r="AX693" i="1"/>
  <c r="AY693" i="1"/>
  <c r="AZ693" i="1"/>
  <c r="BA693" i="1"/>
  <c r="AO694" i="1"/>
  <c r="AP694" i="1"/>
  <c r="AR694" i="1"/>
  <c r="AS694" i="1"/>
  <c r="AT694" i="1"/>
  <c r="AU694" i="1"/>
  <c r="AV694" i="1"/>
  <c r="AW694" i="1"/>
  <c r="AX694" i="1"/>
  <c r="AY694" i="1"/>
  <c r="AZ694" i="1"/>
  <c r="BA694" i="1"/>
  <c r="AO695" i="1"/>
  <c r="AP695" i="1"/>
  <c r="AR695" i="1"/>
  <c r="AS695" i="1"/>
  <c r="AT695" i="1"/>
  <c r="AU695" i="1"/>
  <c r="AV695" i="1"/>
  <c r="AW695" i="1"/>
  <c r="AX695" i="1"/>
  <c r="AY695" i="1"/>
  <c r="AZ695" i="1"/>
  <c r="BA695" i="1"/>
  <c r="AO696" i="1"/>
  <c r="AP696" i="1"/>
  <c r="AR696" i="1"/>
  <c r="AS696" i="1"/>
  <c r="AT696" i="1"/>
  <c r="AU696" i="1"/>
  <c r="AV696" i="1"/>
  <c r="AW696" i="1"/>
  <c r="AX696" i="1"/>
  <c r="AY696" i="1"/>
  <c r="AZ696" i="1"/>
  <c r="BA696" i="1"/>
  <c r="AO697" i="1"/>
  <c r="AP697" i="1"/>
  <c r="AR697" i="1"/>
  <c r="AS697" i="1"/>
  <c r="AT697" i="1"/>
  <c r="AU697" i="1"/>
  <c r="AV697" i="1"/>
  <c r="AW697" i="1"/>
  <c r="AX697" i="1"/>
  <c r="AY697" i="1"/>
  <c r="AZ697" i="1"/>
  <c r="BA697" i="1"/>
  <c r="AO698" i="1"/>
  <c r="AP698" i="1"/>
  <c r="AR698" i="1"/>
  <c r="AS698" i="1"/>
  <c r="AT698" i="1"/>
  <c r="AU698" i="1"/>
  <c r="AV698" i="1"/>
  <c r="AW698" i="1"/>
  <c r="AX698" i="1"/>
  <c r="AY698" i="1"/>
  <c r="AZ698" i="1"/>
  <c r="BA698" i="1"/>
  <c r="AO699" i="1"/>
  <c r="AP699" i="1"/>
  <c r="AR699" i="1"/>
  <c r="AS699" i="1"/>
  <c r="AT699" i="1"/>
  <c r="AU699" i="1"/>
  <c r="AV699" i="1"/>
  <c r="AW699" i="1"/>
  <c r="AX699" i="1"/>
  <c r="AY699" i="1"/>
  <c r="AZ699" i="1"/>
  <c r="BA699" i="1"/>
  <c r="AO700" i="1"/>
  <c r="AP700" i="1"/>
  <c r="AR700" i="1"/>
  <c r="AS700" i="1"/>
  <c r="AT700" i="1"/>
  <c r="AU700" i="1"/>
  <c r="AV700" i="1"/>
  <c r="AW700" i="1"/>
  <c r="AX700" i="1"/>
  <c r="AY700" i="1"/>
  <c r="AZ700" i="1"/>
  <c r="BA700" i="1"/>
  <c r="AO701" i="1"/>
  <c r="AP701" i="1"/>
  <c r="AR701" i="1"/>
  <c r="AS701" i="1"/>
  <c r="AT701" i="1"/>
  <c r="AU701" i="1"/>
  <c r="AV701" i="1"/>
  <c r="AW701" i="1"/>
  <c r="AX701" i="1"/>
  <c r="AY701" i="1"/>
  <c r="AZ701" i="1"/>
  <c r="BA701" i="1"/>
  <c r="AO702" i="1"/>
  <c r="AP702" i="1"/>
  <c r="AR702" i="1"/>
  <c r="AS702" i="1"/>
  <c r="AT702" i="1"/>
  <c r="AU702" i="1"/>
  <c r="AV702" i="1"/>
  <c r="AW702" i="1"/>
  <c r="AX702" i="1"/>
  <c r="AY702" i="1"/>
  <c r="AZ702" i="1"/>
  <c r="BA702" i="1"/>
  <c r="AO703" i="1"/>
  <c r="AP703" i="1"/>
  <c r="AR703" i="1"/>
  <c r="AS703" i="1"/>
  <c r="AT703" i="1"/>
  <c r="AU703" i="1"/>
  <c r="AV703" i="1"/>
  <c r="AW703" i="1"/>
  <c r="AX703" i="1"/>
  <c r="AY703" i="1"/>
  <c r="AZ703" i="1"/>
  <c r="BA703" i="1"/>
  <c r="AO704" i="1"/>
  <c r="AP704" i="1"/>
  <c r="AR704" i="1"/>
  <c r="AS704" i="1"/>
  <c r="AT704" i="1"/>
  <c r="AU704" i="1"/>
  <c r="AV704" i="1"/>
  <c r="AW704" i="1"/>
  <c r="AX704" i="1"/>
  <c r="AY704" i="1"/>
  <c r="AZ704" i="1"/>
  <c r="BA704" i="1"/>
  <c r="AO705" i="1"/>
  <c r="AP705" i="1"/>
  <c r="AR705" i="1"/>
  <c r="AS705" i="1"/>
  <c r="AT705" i="1"/>
  <c r="AU705" i="1"/>
  <c r="AV705" i="1"/>
  <c r="AW705" i="1"/>
  <c r="AX705" i="1"/>
  <c r="AY705" i="1"/>
  <c r="AZ705" i="1"/>
  <c r="BA705" i="1"/>
  <c r="AO706" i="1"/>
  <c r="AP706" i="1"/>
  <c r="AR706" i="1"/>
  <c r="AS706" i="1"/>
  <c r="AT706" i="1"/>
  <c r="AU706" i="1"/>
  <c r="AV706" i="1"/>
  <c r="AW706" i="1"/>
  <c r="AX706" i="1"/>
  <c r="AY706" i="1"/>
  <c r="AZ706" i="1"/>
  <c r="BA706" i="1"/>
  <c r="AO707" i="1"/>
  <c r="AP707" i="1"/>
  <c r="AR707" i="1"/>
  <c r="AS707" i="1"/>
  <c r="AT707" i="1"/>
  <c r="AU707" i="1"/>
  <c r="AV707" i="1"/>
  <c r="AW707" i="1"/>
  <c r="AX707" i="1"/>
  <c r="AY707" i="1"/>
  <c r="AZ707" i="1"/>
  <c r="BA707" i="1"/>
  <c r="AO708" i="1"/>
  <c r="AP708" i="1"/>
  <c r="AR708" i="1"/>
  <c r="AS708" i="1"/>
  <c r="AT708" i="1"/>
  <c r="AU708" i="1"/>
  <c r="AV708" i="1"/>
  <c r="AW708" i="1"/>
  <c r="AX708" i="1"/>
  <c r="AY708" i="1"/>
  <c r="AZ708" i="1"/>
  <c r="BA708" i="1"/>
  <c r="AO709" i="1"/>
  <c r="AP709" i="1"/>
  <c r="AR709" i="1"/>
  <c r="AS709" i="1"/>
  <c r="AT709" i="1"/>
  <c r="AU709" i="1"/>
  <c r="AV709" i="1"/>
  <c r="AW709" i="1"/>
  <c r="AX709" i="1"/>
  <c r="AY709" i="1"/>
  <c r="AZ709" i="1"/>
  <c r="BA709" i="1"/>
  <c r="AO710" i="1"/>
  <c r="AP710" i="1"/>
  <c r="AR710" i="1"/>
  <c r="AS710" i="1"/>
  <c r="AT710" i="1"/>
  <c r="AU710" i="1"/>
  <c r="AV710" i="1"/>
  <c r="AW710" i="1"/>
  <c r="AX710" i="1"/>
  <c r="AY710" i="1"/>
  <c r="AZ710" i="1"/>
  <c r="BA710" i="1"/>
  <c r="AO711" i="1"/>
  <c r="AP711" i="1"/>
  <c r="AR711" i="1"/>
  <c r="AS711" i="1"/>
  <c r="AT711" i="1"/>
  <c r="AU711" i="1"/>
  <c r="AV711" i="1"/>
  <c r="AW711" i="1"/>
  <c r="AX711" i="1"/>
  <c r="AY711" i="1"/>
  <c r="AZ711" i="1"/>
  <c r="BA711" i="1"/>
  <c r="AO712" i="1"/>
  <c r="AP712" i="1"/>
  <c r="AR712" i="1"/>
  <c r="AS712" i="1"/>
  <c r="AT712" i="1"/>
  <c r="AU712" i="1"/>
  <c r="AV712" i="1"/>
  <c r="AW712" i="1"/>
  <c r="AX712" i="1"/>
  <c r="AY712" i="1"/>
  <c r="AZ712" i="1"/>
  <c r="BA712" i="1"/>
  <c r="AO713" i="1"/>
  <c r="AP713" i="1"/>
  <c r="AR713" i="1"/>
  <c r="AS713" i="1"/>
  <c r="AT713" i="1"/>
  <c r="AU713" i="1"/>
  <c r="AV713" i="1"/>
  <c r="AX713" i="1"/>
  <c r="AY713" i="1"/>
  <c r="AZ713" i="1"/>
  <c r="BA713" i="1"/>
  <c r="AO714" i="1"/>
  <c r="AP714" i="1"/>
  <c r="AR714" i="1"/>
  <c r="AS714" i="1"/>
  <c r="AT714" i="1"/>
  <c r="AU714" i="1"/>
  <c r="AV714" i="1"/>
  <c r="AW714" i="1"/>
  <c r="AX714" i="1"/>
  <c r="AY714" i="1"/>
  <c r="AZ714" i="1"/>
  <c r="BA714" i="1"/>
  <c r="AO715" i="1"/>
  <c r="AP715" i="1"/>
  <c r="AR715" i="1"/>
  <c r="AS715" i="1"/>
  <c r="AT715" i="1"/>
  <c r="AU715" i="1"/>
  <c r="AV715" i="1"/>
  <c r="AW715" i="1"/>
  <c r="AX715" i="1"/>
  <c r="AY715" i="1"/>
  <c r="AZ715" i="1"/>
  <c r="BA715" i="1"/>
  <c r="AO716" i="1"/>
  <c r="AP716" i="1"/>
  <c r="AR716" i="1"/>
  <c r="AS716" i="1"/>
  <c r="AT716" i="1"/>
  <c r="AU716" i="1"/>
  <c r="AV716" i="1"/>
  <c r="AX716" i="1"/>
  <c r="AY716" i="1"/>
  <c r="AZ716" i="1"/>
  <c r="BA716" i="1"/>
  <c r="AO717" i="1"/>
  <c r="AP717" i="1"/>
  <c r="AR717" i="1"/>
  <c r="AS717" i="1"/>
  <c r="AT717" i="1"/>
  <c r="AU717" i="1"/>
  <c r="AV717" i="1"/>
  <c r="AW717" i="1"/>
  <c r="AX717" i="1"/>
  <c r="AY717" i="1"/>
  <c r="AZ717" i="1"/>
  <c r="BA717" i="1"/>
  <c r="AO718" i="1"/>
  <c r="AP718" i="1"/>
  <c r="AR718" i="1"/>
  <c r="AS718" i="1"/>
  <c r="AT718" i="1"/>
  <c r="AU718" i="1"/>
  <c r="AV718" i="1"/>
  <c r="AW718" i="1"/>
  <c r="AX718" i="1"/>
  <c r="AY718" i="1"/>
  <c r="AZ718" i="1"/>
  <c r="BA718" i="1"/>
  <c r="AO719" i="1"/>
  <c r="AP719" i="1"/>
  <c r="AR719" i="1"/>
  <c r="AS719" i="1"/>
  <c r="AT719" i="1"/>
  <c r="AU719" i="1"/>
  <c r="AV719" i="1"/>
  <c r="AW719" i="1"/>
  <c r="AX719" i="1"/>
  <c r="AY719" i="1"/>
  <c r="AZ719" i="1"/>
  <c r="BA719" i="1"/>
  <c r="AO720" i="1"/>
  <c r="AP720" i="1"/>
  <c r="AR720" i="1"/>
  <c r="AS720" i="1"/>
  <c r="AT720" i="1"/>
  <c r="AU720" i="1"/>
  <c r="AV720" i="1"/>
  <c r="AW720" i="1"/>
  <c r="AX720" i="1"/>
  <c r="AY720" i="1"/>
  <c r="AZ720" i="1"/>
  <c r="BA720" i="1"/>
  <c r="AO721" i="1"/>
  <c r="AP721" i="1"/>
  <c r="AR721" i="1"/>
  <c r="AS721" i="1"/>
  <c r="AT721" i="1"/>
  <c r="AU721" i="1"/>
  <c r="AV721" i="1"/>
  <c r="AW721" i="1"/>
  <c r="AX721" i="1"/>
  <c r="AY721" i="1"/>
  <c r="AZ721" i="1"/>
  <c r="BA721" i="1"/>
  <c r="AO722" i="1"/>
  <c r="AP722" i="1"/>
  <c r="AR722" i="1"/>
  <c r="AS722" i="1"/>
  <c r="AT722" i="1"/>
  <c r="AU722" i="1"/>
  <c r="AV722" i="1"/>
  <c r="AW722" i="1"/>
  <c r="AX722" i="1"/>
  <c r="AY722" i="1"/>
  <c r="AZ722" i="1"/>
  <c r="BA722" i="1"/>
  <c r="AO723" i="1"/>
  <c r="AP723" i="1"/>
  <c r="AR723" i="1"/>
  <c r="AS723" i="1"/>
  <c r="AT723" i="1"/>
  <c r="AU723" i="1"/>
  <c r="AV723" i="1"/>
  <c r="AW723" i="1"/>
  <c r="AX723" i="1"/>
  <c r="AY723" i="1"/>
  <c r="AZ723" i="1"/>
  <c r="BA723" i="1"/>
  <c r="AO724" i="1"/>
  <c r="AP724" i="1"/>
  <c r="AR724" i="1"/>
  <c r="AS724" i="1"/>
  <c r="AT724" i="1"/>
  <c r="AU724" i="1"/>
  <c r="AV724" i="1"/>
  <c r="AW724" i="1"/>
  <c r="AX724" i="1"/>
  <c r="AY724" i="1"/>
  <c r="AZ724" i="1"/>
  <c r="BA724" i="1"/>
  <c r="AO725" i="1"/>
  <c r="AP725" i="1"/>
  <c r="AR725" i="1"/>
  <c r="AS725" i="1"/>
  <c r="AT725" i="1"/>
  <c r="AU725" i="1"/>
  <c r="AV725" i="1"/>
  <c r="AW725" i="1"/>
  <c r="AX725" i="1"/>
  <c r="AY725" i="1"/>
  <c r="AZ725" i="1"/>
  <c r="BA725" i="1"/>
  <c r="AO726" i="1"/>
  <c r="AP726" i="1"/>
  <c r="AR726" i="1"/>
  <c r="AS726" i="1"/>
  <c r="AT726" i="1"/>
  <c r="AU726" i="1"/>
  <c r="AV726" i="1"/>
  <c r="AW726" i="1"/>
  <c r="AX726" i="1"/>
  <c r="AY726" i="1"/>
  <c r="AZ726" i="1"/>
  <c r="BA726" i="1"/>
  <c r="AO727" i="1"/>
  <c r="AP727" i="1"/>
  <c r="AR727" i="1"/>
  <c r="AS727" i="1"/>
  <c r="AT727" i="1"/>
  <c r="AU727" i="1"/>
  <c r="AV727" i="1"/>
  <c r="AW727" i="1"/>
  <c r="AX727" i="1"/>
  <c r="AY727" i="1"/>
  <c r="AZ727" i="1"/>
  <c r="BA727" i="1"/>
  <c r="AO728" i="1"/>
  <c r="AP728" i="1"/>
  <c r="AR728" i="1"/>
  <c r="AS728" i="1"/>
  <c r="AT728" i="1"/>
  <c r="AU728" i="1"/>
  <c r="AV728" i="1"/>
  <c r="AW728" i="1"/>
  <c r="AX728" i="1"/>
  <c r="AY728" i="1"/>
  <c r="AZ728" i="1"/>
  <c r="BA728" i="1"/>
  <c r="AO729" i="1"/>
  <c r="AP729" i="1"/>
  <c r="AR729" i="1"/>
  <c r="AS729" i="1"/>
  <c r="AT729" i="1"/>
  <c r="AU729" i="1"/>
  <c r="AV729" i="1"/>
  <c r="AW729" i="1"/>
  <c r="AX729" i="1"/>
  <c r="AY729" i="1"/>
  <c r="AZ729" i="1"/>
  <c r="BA729" i="1"/>
  <c r="AO730" i="1"/>
  <c r="AP730" i="1"/>
  <c r="AR730" i="1"/>
  <c r="AS730" i="1"/>
  <c r="AT730" i="1"/>
  <c r="AU730" i="1"/>
  <c r="AV730" i="1"/>
  <c r="AW730" i="1"/>
  <c r="AX730" i="1"/>
  <c r="AY730" i="1"/>
  <c r="AZ730" i="1"/>
  <c r="BA730" i="1"/>
  <c r="AO731" i="1"/>
  <c r="AP731" i="1"/>
  <c r="AR731" i="1"/>
  <c r="AS731" i="1"/>
  <c r="AT731" i="1"/>
  <c r="AU731" i="1"/>
  <c r="AV731" i="1"/>
  <c r="AW731" i="1"/>
  <c r="AX731" i="1"/>
  <c r="AY731" i="1"/>
  <c r="AZ731" i="1"/>
  <c r="BA731" i="1"/>
  <c r="AO732" i="1"/>
  <c r="AP732" i="1"/>
  <c r="AR732" i="1"/>
  <c r="AS732" i="1"/>
  <c r="AT732" i="1"/>
  <c r="AU732" i="1"/>
  <c r="AV732" i="1"/>
  <c r="AW732" i="1"/>
  <c r="AX732" i="1"/>
  <c r="AY732" i="1"/>
  <c r="AZ732" i="1"/>
  <c r="BA732" i="1"/>
  <c r="AO733" i="1"/>
  <c r="AP733" i="1"/>
  <c r="AR733" i="1"/>
  <c r="AS733" i="1"/>
  <c r="AT733" i="1"/>
  <c r="AU733" i="1"/>
  <c r="AV733" i="1"/>
  <c r="AW733" i="1"/>
  <c r="AX733" i="1"/>
  <c r="AY733" i="1"/>
  <c r="AZ733" i="1"/>
  <c r="BA733" i="1"/>
  <c r="AO734" i="1"/>
  <c r="AP734" i="1"/>
  <c r="AR734" i="1"/>
  <c r="AS734" i="1"/>
  <c r="AT734" i="1"/>
  <c r="AU734" i="1"/>
  <c r="AV734" i="1"/>
  <c r="AW734" i="1"/>
  <c r="AX734" i="1"/>
  <c r="AY734" i="1"/>
  <c r="AZ734" i="1"/>
  <c r="BA734" i="1"/>
  <c r="AO735" i="1"/>
  <c r="AP735" i="1"/>
  <c r="AR735" i="1"/>
  <c r="AS735" i="1"/>
  <c r="AT735" i="1"/>
  <c r="AU735" i="1"/>
  <c r="AV735" i="1"/>
  <c r="AW735" i="1"/>
  <c r="AX735" i="1"/>
  <c r="AY735" i="1"/>
  <c r="AZ735" i="1"/>
  <c r="BA735" i="1"/>
  <c r="AO736" i="1"/>
  <c r="AP736" i="1"/>
  <c r="AR736" i="1"/>
  <c r="AS736" i="1"/>
  <c r="AT736" i="1"/>
  <c r="AU736" i="1"/>
  <c r="AV736" i="1"/>
  <c r="AW736" i="1"/>
  <c r="AX736" i="1"/>
  <c r="AY736" i="1"/>
  <c r="AZ736" i="1"/>
  <c r="BA736" i="1"/>
  <c r="AO737" i="1"/>
  <c r="AP737" i="1"/>
  <c r="AR737" i="1"/>
  <c r="AS737" i="1"/>
  <c r="AT737" i="1"/>
  <c r="AU737" i="1"/>
  <c r="AV737" i="1"/>
  <c r="AW737" i="1"/>
  <c r="AX737" i="1"/>
  <c r="AY737" i="1"/>
  <c r="AZ737" i="1"/>
  <c r="BA737" i="1"/>
  <c r="AO738" i="1"/>
  <c r="AP738" i="1"/>
  <c r="AR738" i="1"/>
  <c r="AS738" i="1"/>
  <c r="AT738" i="1"/>
  <c r="AU738" i="1"/>
  <c r="AV738" i="1"/>
  <c r="AW738" i="1"/>
  <c r="AX738" i="1"/>
  <c r="AY738" i="1"/>
  <c r="AZ738" i="1"/>
  <c r="BA738" i="1"/>
  <c r="AO739" i="1"/>
  <c r="AP739" i="1"/>
  <c r="AR739" i="1"/>
  <c r="AS739" i="1"/>
  <c r="AT739" i="1"/>
  <c r="AU739" i="1"/>
  <c r="AV739" i="1"/>
  <c r="AW739" i="1"/>
  <c r="AX739" i="1"/>
  <c r="AY739" i="1"/>
  <c r="AZ739" i="1"/>
  <c r="BA739" i="1"/>
  <c r="AO740" i="1"/>
  <c r="AP740" i="1"/>
  <c r="AR740" i="1"/>
  <c r="AS740" i="1"/>
  <c r="AT740" i="1"/>
  <c r="AU740" i="1"/>
  <c r="AV740" i="1"/>
  <c r="AW740" i="1"/>
  <c r="AX740" i="1"/>
  <c r="AY740" i="1"/>
  <c r="AZ740" i="1"/>
  <c r="BA740" i="1"/>
  <c r="AO741" i="1"/>
  <c r="AP741" i="1"/>
  <c r="AR741" i="1"/>
  <c r="AS741" i="1"/>
  <c r="AT741" i="1"/>
  <c r="AU741" i="1"/>
  <c r="AV741" i="1"/>
  <c r="AW741" i="1"/>
  <c r="AX741" i="1"/>
  <c r="AY741" i="1"/>
  <c r="AZ741" i="1"/>
  <c r="BA741" i="1"/>
  <c r="AO742" i="1"/>
  <c r="AP742" i="1"/>
  <c r="AR742" i="1"/>
  <c r="AS742" i="1"/>
  <c r="AT742" i="1"/>
  <c r="AU742" i="1"/>
  <c r="AV742" i="1"/>
  <c r="AW742" i="1"/>
  <c r="AX742" i="1"/>
  <c r="AY742" i="1"/>
  <c r="AZ742" i="1"/>
  <c r="BA742" i="1"/>
  <c r="AO743" i="1"/>
  <c r="AP743" i="1"/>
  <c r="AR743" i="1"/>
  <c r="AS743" i="1"/>
  <c r="AT743" i="1"/>
  <c r="AU743" i="1"/>
  <c r="AV743" i="1"/>
  <c r="AW743" i="1"/>
  <c r="AX743" i="1"/>
  <c r="AY743" i="1"/>
  <c r="AZ743" i="1"/>
  <c r="BA743" i="1"/>
  <c r="AO744" i="1"/>
  <c r="AP744" i="1"/>
  <c r="AR744" i="1"/>
  <c r="AS744" i="1"/>
  <c r="AT744" i="1"/>
  <c r="AU744" i="1"/>
  <c r="AV744" i="1"/>
  <c r="AW744" i="1"/>
  <c r="AX744" i="1"/>
  <c r="AY744" i="1"/>
  <c r="AZ744" i="1"/>
  <c r="BA744" i="1"/>
  <c r="AO745" i="1"/>
  <c r="AP745" i="1"/>
  <c r="AR745" i="1"/>
  <c r="AS745" i="1"/>
  <c r="AT745" i="1"/>
  <c r="AU745" i="1"/>
  <c r="AV745" i="1"/>
  <c r="AW745" i="1"/>
  <c r="AX745" i="1"/>
  <c r="AY745" i="1"/>
  <c r="AZ745" i="1"/>
  <c r="BA745" i="1"/>
  <c r="AO746" i="1"/>
  <c r="AP746" i="1"/>
  <c r="AR746" i="1"/>
  <c r="AS746" i="1"/>
  <c r="AT746" i="1"/>
  <c r="AU746" i="1"/>
  <c r="AV746" i="1"/>
  <c r="AW746" i="1"/>
  <c r="AX746" i="1"/>
  <c r="AY746" i="1"/>
  <c r="AZ746" i="1"/>
  <c r="BA746" i="1"/>
  <c r="AO747" i="1"/>
  <c r="AP747" i="1"/>
  <c r="AR747" i="1"/>
  <c r="AS747" i="1"/>
  <c r="AT747" i="1"/>
  <c r="AU747" i="1"/>
  <c r="AV747" i="1"/>
  <c r="AW747" i="1"/>
  <c r="AX747" i="1"/>
  <c r="AY747" i="1"/>
  <c r="AZ747" i="1"/>
  <c r="BA747" i="1"/>
  <c r="AO748" i="1"/>
  <c r="AP748" i="1"/>
  <c r="AR748" i="1"/>
  <c r="AS748" i="1"/>
  <c r="AT748" i="1"/>
  <c r="AU748" i="1"/>
  <c r="AV748" i="1"/>
  <c r="AW748" i="1"/>
  <c r="AX748" i="1"/>
  <c r="AY748" i="1"/>
  <c r="AZ748" i="1"/>
  <c r="BA748" i="1"/>
  <c r="AO749" i="1"/>
  <c r="AP749" i="1"/>
  <c r="AR749" i="1"/>
  <c r="AS749" i="1"/>
  <c r="AT749" i="1"/>
  <c r="AU749" i="1"/>
  <c r="AV749" i="1"/>
  <c r="AW749" i="1"/>
  <c r="AX749" i="1"/>
  <c r="AY749" i="1"/>
  <c r="AZ749" i="1"/>
  <c r="BA749" i="1"/>
  <c r="AO750" i="1"/>
  <c r="AP750" i="1"/>
  <c r="AR750" i="1"/>
  <c r="AS750" i="1"/>
  <c r="AT750" i="1"/>
  <c r="AU750" i="1"/>
  <c r="AV750" i="1"/>
  <c r="AW750" i="1"/>
  <c r="AX750" i="1"/>
  <c r="AY750" i="1"/>
  <c r="AZ750" i="1"/>
  <c r="BA750" i="1"/>
  <c r="AO751" i="1"/>
  <c r="AP751" i="1"/>
  <c r="AR751" i="1"/>
  <c r="AS751" i="1"/>
  <c r="AT751" i="1"/>
  <c r="AU751" i="1"/>
  <c r="AV751" i="1"/>
  <c r="AW751" i="1"/>
  <c r="AX751" i="1"/>
  <c r="AY751" i="1"/>
  <c r="AZ751" i="1"/>
  <c r="BA751" i="1"/>
  <c r="AO752" i="1"/>
  <c r="AP752" i="1"/>
  <c r="AR752" i="1"/>
  <c r="AS752" i="1"/>
  <c r="AT752" i="1"/>
  <c r="AU752" i="1"/>
  <c r="AV752" i="1"/>
  <c r="AW752" i="1"/>
  <c r="AX752" i="1"/>
  <c r="AY752" i="1"/>
  <c r="AZ752" i="1"/>
  <c r="BA752" i="1"/>
  <c r="AO753" i="1"/>
  <c r="AP753" i="1"/>
  <c r="AR753" i="1"/>
  <c r="AS753" i="1"/>
  <c r="AT753" i="1"/>
  <c r="AU753" i="1"/>
  <c r="AV753" i="1"/>
  <c r="AW753" i="1"/>
  <c r="AX753" i="1"/>
  <c r="AY753" i="1"/>
  <c r="AZ753" i="1"/>
  <c r="BA753" i="1"/>
  <c r="AO754" i="1"/>
  <c r="AP754" i="1"/>
  <c r="AR754" i="1"/>
  <c r="AS754" i="1"/>
  <c r="AT754" i="1"/>
  <c r="AU754" i="1"/>
  <c r="AV754" i="1"/>
  <c r="AW754" i="1"/>
  <c r="AX754" i="1"/>
  <c r="AY754" i="1"/>
  <c r="AZ754" i="1"/>
  <c r="BA754" i="1"/>
  <c r="AO755" i="1"/>
  <c r="AP755" i="1"/>
  <c r="AR755" i="1"/>
  <c r="AS755" i="1"/>
  <c r="AT755" i="1"/>
  <c r="AU755" i="1"/>
  <c r="AV755" i="1"/>
  <c r="AW755" i="1"/>
  <c r="AX755" i="1"/>
  <c r="AY755" i="1"/>
  <c r="AZ755" i="1"/>
  <c r="BA755" i="1"/>
  <c r="AO756" i="1"/>
  <c r="AP756" i="1"/>
  <c r="AR756" i="1"/>
  <c r="AS756" i="1"/>
  <c r="AT756" i="1"/>
  <c r="AU756" i="1"/>
  <c r="AV756" i="1"/>
  <c r="AW756" i="1"/>
  <c r="AX756" i="1"/>
  <c r="AY756" i="1"/>
  <c r="AZ756" i="1"/>
  <c r="BA756" i="1"/>
  <c r="AO757" i="1"/>
  <c r="AP757" i="1"/>
  <c r="AR757" i="1"/>
  <c r="AS757" i="1"/>
  <c r="AT757" i="1"/>
  <c r="AU757" i="1"/>
  <c r="AV757" i="1"/>
  <c r="AW757" i="1"/>
  <c r="AX757" i="1"/>
  <c r="AY757" i="1"/>
  <c r="AZ757" i="1"/>
  <c r="BA757" i="1"/>
  <c r="AO758" i="1"/>
  <c r="AP758" i="1"/>
  <c r="AR758" i="1"/>
  <c r="AS758" i="1"/>
  <c r="AT758" i="1"/>
  <c r="AU758" i="1"/>
  <c r="AV758" i="1"/>
  <c r="AW758" i="1"/>
  <c r="AX758" i="1"/>
  <c r="AY758" i="1"/>
  <c r="AZ758" i="1"/>
  <c r="BA758" i="1"/>
  <c r="AO759" i="1"/>
  <c r="AP759" i="1"/>
  <c r="AR759" i="1"/>
  <c r="AS759" i="1"/>
  <c r="AT759" i="1"/>
  <c r="AU759" i="1"/>
  <c r="AV759" i="1"/>
  <c r="AW759" i="1"/>
  <c r="AX759" i="1"/>
  <c r="AY759" i="1"/>
  <c r="AZ759" i="1"/>
  <c r="BA759" i="1"/>
  <c r="AO760" i="1"/>
  <c r="AP760" i="1"/>
  <c r="AR760" i="1"/>
  <c r="AS760" i="1"/>
  <c r="AT760" i="1"/>
  <c r="AU760" i="1"/>
  <c r="AV760" i="1"/>
  <c r="AW760" i="1"/>
  <c r="AX760" i="1"/>
  <c r="AY760" i="1"/>
  <c r="AZ760" i="1"/>
  <c r="BA760" i="1"/>
  <c r="AO761" i="1"/>
  <c r="AP761" i="1"/>
  <c r="AR761" i="1"/>
  <c r="AS761" i="1"/>
  <c r="AT761" i="1"/>
  <c r="AU761" i="1"/>
  <c r="AV761" i="1"/>
  <c r="AW761" i="1"/>
  <c r="AX761" i="1"/>
  <c r="AY761" i="1"/>
  <c r="AZ761" i="1"/>
  <c r="BA761" i="1"/>
  <c r="AO762" i="1"/>
  <c r="AP762" i="1"/>
  <c r="AR762" i="1"/>
  <c r="AS762" i="1"/>
  <c r="AT762" i="1"/>
  <c r="AU762" i="1"/>
  <c r="AV762" i="1"/>
  <c r="AW762" i="1"/>
  <c r="AX762" i="1"/>
  <c r="AY762" i="1"/>
  <c r="AZ762" i="1"/>
  <c r="BA762" i="1"/>
  <c r="AO763" i="1"/>
  <c r="AP763" i="1"/>
  <c r="AR763" i="1"/>
  <c r="AS763" i="1"/>
  <c r="AT763" i="1"/>
  <c r="AU763" i="1"/>
  <c r="AV763" i="1"/>
  <c r="AW763" i="1"/>
  <c r="AX763" i="1"/>
  <c r="AY763" i="1"/>
  <c r="AZ763" i="1"/>
  <c r="BA763" i="1"/>
  <c r="AO764" i="1"/>
  <c r="AP764" i="1"/>
  <c r="AR764" i="1"/>
  <c r="AS764" i="1"/>
  <c r="AT764" i="1"/>
  <c r="AU764" i="1"/>
  <c r="AV764" i="1"/>
  <c r="AW764" i="1"/>
  <c r="AX764" i="1"/>
  <c r="AY764" i="1"/>
  <c r="AZ764" i="1"/>
  <c r="BA764" i="1"/>
  <c r="AO765" i="1"/>
  <c r="AP765" i="1"/>
  <c r="AR765" i="1"/>
  <c r="AS765" i="1"/>
  <c r="AT765" i="1"/>
  <c r="AU765" i="1"/>
  <c r="AV765" i="1"/>
  <c r="AW765" i="1"/>
  <c r="AX765" i="1"/>
  <c r="AY765" i="1"/>
  <c r="AZ765" i="1"/>
  <c r="BA765" i="1"/>
  <c r="AO766" i="1"/>
  <c r="AP766" i="1"/>
  <c r="AR766" i="1"/>
  <c r="AS766" i="1"/>
  <c r="AT766" i="1"/>
  <c r="AU766" i="1"/>
  <c r="AV766" i="1"/>
  <c r="AW766" i="1"/>
  <c r="AX766" i="1"/>
  <c r="AY766" i="1"/>
  <c r="AZ766" i="1"/>
  <c r="BA766" i="1"/>
  <c r="AO767" i="1"/>
  <c r="AP767" i="1"/>
  <c r="AR767" i="1"/>
  <c r="AS767" i="1"/>
  <c r="AT767" i="1"/>
  <c r="AU767" i="1"/>
  <c r="AV767" i="1"/>
  <c r="AW767" i="1"/>
  <c r="AX767" i="1"/>
  <c r="AY767" i="1"/>
  <c r="AZ767" i="1"/>
  <c r="BA767" i="1"/>
  <c r="AO768" i="1"/>
  <c r="AP768" i="1"/>
  <c r="AR768" i="1"/>
  <c r="AS768" i="1"/>
  <c r="AT768" i="1"/>
  <c r="AU768" i="1"/>
  <c r="AV768" i="1"/>
  <c r="AW768" i="1"/>
  <c r="AX768" i="1"/>
  <c r="AY768" i="1"/>
  <c r="AZ768" i="1"/>
  <c r="BA768" i="1"/>
  <c r="AO769" i="1"/>
  <c r="AP769" i="1"/>
  <c r="AR769" i="1"/>
  <c r="AS769" i="1"/>
  <c r="AT769" i="1"/>
  <c r="AU769" i="1"/>
  <c r="AV769" i="1"/>
  <c r="AW769" i="1"/>
  <c r="AX769" i="1"/>
  <c r="AY769" i="1"/>
  <c r="AZ769" i="1"/>
  <c r="BA769" i="1"/>
  <c r="AO770" i="1"/>
  <c r="AP770" i="1"/>
  <c r="AR770" i="1"/>
  <c r="AS770" i="1"/>
  <c r="AT770" i="1"/>
  <c r="AU770" i="1"/>
  <c r="AV770" i="1"/>
  <c r="AW770" i="1"/>
  <c r="AX770" i="1"/>
  <c r="AY770" i="1"/>
  <c r="AZ770" i="1"/>
  <c r="BA770" i="1"/>
  <c r="AO771" i="1"/>
  <c r="AP771" i="1"/>
  <c r="AR771" i="1"/>
  <c r="AS771" i="1"/>
  <c r="AT771" i="1"/>
  <c r="AU771" i="1"/>
  <c r="AV771" i="1"/>
  <c r="AW771" i="1"/>
  <c r="AX771" i="1"/>
  <c r="AY771" i="1"/>
  <c r="AZ771" i="1"/>
  <c r="BA771" i="1"/>
  <c r="AO772" i="1"/>
  <c r="AP772" i="1"/>
  <c r="AR772" i="1"/>
  <c r="AS772" i="1"/>
  <c r="AT772" i="1"/>
  <c r="AU772" i="1"/>
  <c r="AV772" i="1"/>
  <c r="AW772" i="1"/>
  <c r="AX772" i="1"/>
  <c r="AY772" i="1"/>
  <c r="AZ772" i="1"/>
  <c r="BA772" i="1"/>
  <c r="AO773" i="1"/>
  <c r="AP773" i="1"/>
  <c r="AR773" i="1"/>
  <c r="AS773" i="1"/>
  <c r="AT773" i="1"/>
  <c r="AU773" i="1"/>
  <c r="AV773" i="1"/>
  <c r="AX773" i="1"/>
  <c r="AY773" i="1"/>
  <c r="AZ773" i="1"/>
  <c r="BA773" i="1"/>
  <c r="AO774" i="1"/>
  <c r="AP774" i="1"/>
  <c r="AR774" i="1"/>
  <c r="AS774" i="1"/>
  <c r="AT774" i="1"/>
  <c r="AU774" i="1"/>
  <c r="AV774" i="1"/>
  <c r="AW774" i="1"/>
  <c r="AX774" i="1"/>
  <c r="AY774" i="1"/>
  <c r="AZ774" i="1"/>
  <c r="BA774" i="1"/>
  <c r="AO775" i="1"/>
  <c r="AP775" i="1"/>
  <c r="AR775" i="1"/>
  <c r="AS775" i="1"/>
  <c r="AT775" i="1"/>
  <c r="AU775" i="1"/>
  <c r="AV775" i="1"/>
  <c r="AW775" i="1"/>
  <c r="AX775" i="1"/>
  <c r="AY775" i="1"/>
  <c r="AZ775" i="1"/>
  <c r="BA775" i="1"/>
  <c r="AO776" i="1"/>
  <c r="AP776" i="1"/>
  <c r="AR776" i="1"/>
  <c r="AS776" i="1"/>
  <c r="AT776" i="1"/>
  <c r="AU776" i="1"/>
  <c r="AV776" i="1"/>
  <c r="AW776" i="1"/>
  <c r="AX776" i="1"/>
  <c r="AY776" i="1"/>
  <c r="AZ776" i="1"/>
  <c r="BA776" i="1"/>
  <c r="AO777" i="1"/>
  <c r="AP777" i="1"/>
  <c r="AR777" i="1"/>
  <c r="AS777" i="1"/>
  <c r="AT777" i="1"/>
  <c r="AU777" i="1"/>
  <c r="AV777" i="1"/>
  <c r="AW777" i="1"/>
  <c r="AX777" i="1"/>
  <c r="AY777" i="1"/>
  <c r="AZ777" i="1"/>
  <c r="BA777" i="1"/>
  <c r="AO778" i="1"/>
  <c r="AP778" i="1"/>
  <c r="AR778" i="1"/>
  <c r="AS778" i="1"/>
  <c r="AT778" i="1"/>
  <c r="AU778" i="1"/>
  <c r="AV778" i="1"/>
  <c r="AW778" i="1"/>
  <c r="AX778" i="1"/>
  <c r="AY778" i="1"/>
  <c r="AZ778" i="1"/>
  <c r="BA778" i="1"/>
  <c r="AO779" i="1"/>
  <c r="AP779" i="1"/>
  <c r="AR779" i="1"/>
  <c r="AS779" i="1"/>
  <c r="AT779" i="1"/>
  <c r="AU779" i="1"/>
  <c r="AV779" i="1"/>
  <c r="AW779" i="1"/>
  <c r="AX779" i="1"/>
  <c r="AY779" i="1"/>
  <c r="AZ779" i="1"/>
  <c r="BA779" i="1"/>
  <c r="AO780" i="1"/>
  <c r="AP780" i="1"/>
  <c r="AR780" i="1"/>
  <c r="AS780" i="1"/>
  <c r="AT780" i="1"/>
  <c r="AU780" i="1"/>
  <c r="AV780" i="1"/>
  <c r="AW780" i="1"/>
  <c r="AX780" i="1"/>
  <c r="AY780" i="1"/>
  <c r="AZ780" i="1"/>
  <c r="BA780" i="1"/>
  <c r="AO781" i="1"/>
  <c r="AP781" i="1"/>
  <c r="AR781" i="1"/>
  <c r="AS781" i="1"/>
  <c r="AT781" i="1"/>
  <c r="AU781" i="1"/>
  <c r="AV781" i="1"/>
  <c r="AW781" i="1"/>
  <c r="AX781" i="1"/>
  <c r="AY781" i="1"/>
  <c r="AZ781" i="1"/>
  <c r="BA781" i="1"/>
  <c r="AO782" i="1"/>
  <c r="AP782" i="1"/>
  <c r="AR782" i="1"/>
  <c r="AS782" i="1"/>
  <c r="AT782" i="1"/>
  <c r="AU782" i="1"/>
  <c r="AV782" i="1"/>
  <c r="AW782" i="1"/>
  <c r="AX782" i="1"/>
  <c r="AY782" i="1"/>
  <c r="AZ782" i="1"/>
  <c r="BA782" i="1"/>
  <c r="AO783" i="1"/>
  <c r="AP783" i="1"/>
  <c r="AR783" i="1"/>
  <c r="AS783" i="1"/>
  <c r="AT783" i="1"/>
  <c r="AU783" i="1"/>
  <c r="AV783" i="1"/>
  <c r="AW783" i="1"/>
  <c r="AX783" i="1"/>
  <c r="AY783" i="1"/>
  <c r="AZ783" i="1"/>
  <c r="BA783" i="1"/>
  <c r="AO784" i="1"/>
  <c r="AP784" i="1"/>
  <c r="AR784" i="1"/>
  <c r="AS784" i="1"/>
  <c r="AT784" i="1"/>
  <c r="AU784" i="1"/>
  <c r="AV784" i="1"/>
  <c r="AW784" i="1"/>
  <c r="AX784" i="1"/>
  <c r="AY784" i="1"/>
  <c r="AZ784" i="1"/>
  <c r="BA784" i="1"/>
  <c r="AO785" i="1"/>
  <c r="AP785" i="1"/>
  <c r="AR785" i="1"/>
  <c r="AS785" i="1"/>
  <c r="AT785" i="1"/>
  <c r="AU785" i="1"/>
  <c r="AV785" i="1"/>
  <c r="AW785" i="1"/>
  <c r="AX785" i="1"/>
  <c r="AY785" i="1"/>
  <c r="AZ785" i="1"/>
  <c r="BA785" i="1"/>
  <c r="AO786" i="1"/>
  <c r="AP786" i="1"/>
  <c r="AR786" i="1"/>
  <c r="AS786" i="1"/>
  <c r="AT786" i="1"/>
  <c r="AU786" i="1"/>
  <c r="AV786" i="1"/>
  <c r="AW786" i="1"/>
  <c r="AX786" i="1"/>
  <c r="AY786" i="1"/>
  <c r="AZ786" i="1"/>
  <c r="BA786" i="1"/>
  <c r="AO787" i="1"/>
  <c r="AP787" i="1"/>
  <c r="AR787" i="1"/>
  <c r="AS787" i="1"/>
  <c r="AT787" i="1"/>
  <c r="AU787" i="1"/>
  <c r="AV787" i="1"/>
  <c r="AW787" i="1"/>
  <c r="AX787" i="1"/>
  <c r="AY787" i="1"/>
  <c r="AZ787" i="1"/>
  <c r="BA787" i="1"/>
  <c r="AO788" i="1"/>
  <c r="AP788" i="1"/>
  <c r="AR788" i="1"/>
  <c r="AS788" i="1"/>
  <c r="AT788" i="1"/>
  <c r="AU788" i="1"/>
  <c r="AV788" i="1"/>
  <c r="AW788" i="1"/>
  <c r="AX788" i="1"/>
  <c r="AY788" i="1"/>
  <c r="AZ788" i="1"/>
  <c r="BA788" i="1"/>
  <c r="AO789" i="1"/>
  <c r="AP789" i="1"/>
  <c r="AR789" i="1"/>
  <c r="AS789" i="1"/>
  <c r="AT789" i="1"/>
  <c r="AU789" i="1"/>
  <c r="AV789" i="1"/>
  <c r="AW789" i="1"/>
  <c r="AX789" i="1"/>
  <c r="AY789" i="1"/>
  <c r="AZ789" i="1"/>
  <c r="BA789" i="1"/>
  <c r="AO790" i="1"/>
  <c r="AP790" i="1"/>
  <c r="AR790" i="1"/>
  <c r="AS790" i="1"/>
  <c r="AT790" i="1"/>
  <c r="AU790" i="1"/>
  <c r="AV790" i="1"/>
  <c r="AW790" i="1"/>
  <c r="AX790" i="1"/>
  <c r="AY790" i="1"/>
  <c r="AZ790" i="1"/>
  <c r="BA790" i="1"/>
  <c r="AO791" i="1"/>
  <c r="AP791" i="1"/>
  <c r="AR791" i="1"/>
  <c r="AS791" i="1"/>
  <c r="AT791" i="1"/>
  <c r="AU791" i="1"/>
  <c r="AV791" i="1"/>
  <c r="AW791" i="1"/>
  <c r="AX791" i="1"/>
  <c r="AY791" i="1"/>
  <c r="AZ791" i="1"/>
  <c r="BA791" i="1"/>
  <c r="AO792" i="1"/>
  <c r="AP792" i="1"/>
  <c r="AR792" i="1"/>
  <c r="AS792" i="1"/>
  <c r="AT792" i="1"/>
  <c r="AU792" i="1"/>
  <c r="AV792" i="1"/>
  <c r="AW792" i="1"/>
  <c r="AX792" i="1"/>
  <c r="AY792" i="1"/>
  <c r="AZ792" i="1"/>
  <c r="BA792" i="1"/>
  <c r="AO793" i="1"/>
  <c r="AP793" i="1"/>
  <c r="AR793" i="1"/>
  <c r="AS793" i="1"/>
  <c r="AT793" i="1"/>
  <c r="AU793" i="1"/>
  <c r="AV793" i="1"/>
  <c r="AW793" i="1"/>
  <c r="AX793" i="1"/>
  <c r="AY793" i="1"/>
  <c r="AZ793" i="1"/>
  <c r="BA793" i="1"/>
  <c r="AO794" i="1"/>
  <c r="AP794" i="1"/>
  <c r="AR794" i="1"/>
  <c r="AS794" i="1"/>
  <c r="AT794" i="1"/>
  <c r="AU794" i="1"/>
  <c r="AV794" i="1"/>
  <c r="AW794" i="1"/>
  <c r="AX794" i="1"/>
  <c r="AY794" i="1"/>
  <c r="AZ794" i="1"/>
  <c r="BA794" i="1"/>
  <c r="AO795" i="1"/>
  <c r="AP795" i="1"/>
  <c r="AR795" i="1"/>
  <c r="AS795" i="1"/>
  <c r="AT795" i="1"/>
  <c r="AU795" i="1"/>
  <c r="AV795" i="1"/>
  <c r="AW795" i="1"/>
  <c r="AX795" i="1"/>
  <c r="AY795" i="1"/>
  <c r="AZ795" i="1"/>
  <c r="BA795" i="1"/>
  <c r="AO796" i="1"/>
  <c r="AP796" i="1"/>
  <c r="AR796" i="1"/>
  <c r="AS796" i="1"/>
  <c r="AT796" i="1"/>
  <c r="AU796" i="1"/>
  <c r="AV796" i="1"/>
  <c r="AW796" i="1"/>
  <c r="AX796" i="1"/>
  <c r="AY796" i="1"/>
  <c r="AZ796" i="1"/>
  <c r="BA796" i="1"/>
  <c r="AO797" i="1"/>
  <c r="AP797" i="1"/>
  <c r="AR797" i="1"/>
  <c r="AS797" i="1"/>
  <c r="AT797" i="1"/>
  <c r="AU797" i="1"/>
  <c r="AV797" i="1"/>
  <c r="AW797" i="1"/>
  <c r="AX797" i="1"/>
  <c r="AY797" i="1"/>
  <c r="AZ797" i="1"/>
  <c r="BA797" i="1"/>
  <c r="AO798" i="1"/>
  <c r="AP798" i="1"/>
  <c r="AR798" i="1"/>
  <c r="AS798" i="1"/>
  <c r="AT798" i="1"/>
  <c r="AU798" i="1"/>
  <c r="AV798" i="1"/>
  <c r="AW798" i="1"/>
  <c r="AX798" i="1"/>
  <c r="AY798" i="1"/>
  <c r="AZ798" i="1"/>
  <c r="BA798" i="1"/>
  <c r="AO799" i="1"/>
  <c r="AP799" i="1"/>
  <c r="AR799" i="1"/>
  <c r="AS799" i="1"/>
  <c r="AT799" i="1"/>
  <c r="AU799" i="1"/>
  <c r="AV799" i="1"/>
  <c r="AW799" i="1"/>
  <c r="AX799" i="1"/>
  <c r="AY799" i="1"/>
  <c r="AZ799" i="1"/>
  <c r="BA799" i="1"/>
  <c r="AO800" i="1"/>
  <c r="AP800" i="1"/>
  <c r="AR800" i="1"/>
  <c r="AS800" i="1"/>
  <c r="AT800" i="1"/>
  <c r="AU800" i="1"/>
  <c r="AV800" i="1"/>
  <c r="AW800" i="1"/>
  <c r="AX800" i="1"/>
  <c r="AY800" i="1"/>
  <c r="AZ800" i="1"/>
  <c r="BA800" i="1"/>
  <c r="AO801" i="1"/>
  <c r="AP801" i="1"/>
  <c r="AR801" i="1"/>
  <c r="AS801" i="1"/>
  <c r="AT801" i="1"/>
  <c r="AU801" i="1"/>
  <c r="AV801" i="1"/>
  <c r="AW801" i="1"/>
  <c r="AX801" i="1"/>
  <c r="AY801" i="1"/>
  <c r="AZ801" i="1"/>
  <c r="BA801" i="1"/>
  <c r="AO802" i="1"/>
  <c r="AP802" i="1"/>
  <c r="AR802" i="1"/>
  <c r="AS802" i="1"/>
  <c r="AT802" i="1"/>
  <c r="AU802" i="1"/>
  <c r="AV802" i="1"/>
  <c r="AW802" i="1"/>
  <c r="AX802" i="1"/>
  <c r="AY802" i="1"/>
  <c r="AZ802" i="1"/>
  <c r="BA802" i="1"/>
  <c r="AO803" i="1"/>
  <c r="AP803" i="1"/>
  <c r="AR803" i="1"/>
  <c r="AS803" i="1"/>
  <c r="AT803" i="1"/>
  <c r="AU803" i="1"/>
  <c r="AV803" i="1"/>
  <c r="AW803" i="1"/>
  <c r="AX803" i="1"/>
  <c r="AY803" i="1"/>
  <c r="AZ803" i="1"/>
  <c r="BA803" i="1"/>
  <c r="AO804" i="1"/>
  <c r="AP804" i="1"/>
  <c r="AR804" i="1"/>
  <c r="AS804" i="1"/>
  <c r="AT804" i="1"/>
  <c r="AU804" i="1"/>
  <c r="AV804" i="1"/>
  <c r="AW804" i="1"/>
  <c r="AX804" i="1"/>
  <c r="AY804" i="1"/>
  <c r="AZ804" i="1"/>
  <c r="BA804" i="1"/>
  <c r="AO805" i="1"/>
  <c r="AP805" i="1"/>
  <c r="AR805" i="1"/>
  <c r="AS805" i="1"/>
  <c r="AT805" i="1"/>
  <c r="AU805" i="1"/>
  <c r="AV805" i="1"/>
  <c r="AW805" i="1"/>
  <c r="AX805" i="1"/>
  <c r="AY805" i="1"/>
  <c r="AZ805" i="1"/>
  <c r="BA805" i="1"/>
  <c r="AO806" i="1"/>
  <c r="AP806" i="1"/>
  <c r="AR806" i="1"/>
  <c r="AS806" i="1"/>
  <c r="AT806" i="1"/>
  <c r="AU806" i="1"/>
  <c r="AV806" i="1"/>
  <c r="AW806" i="1"/>
  <c r="AX806" i="1"/>
  <c r="AY806" i="1"/>
  <c r="AZ806" i="1"/>
  <c r="BA806" i="1"/>
  <c r="AO807" i="1"/>
  <c r="AP807" i="1"/>
  <c r="AR807" i="1"/>
  <c r="AS807" i="1"/>
  <c r="AT807" i="1"/>
  <c r="AU807" i="1"/>
  <c r="AV807" i="1"/>
  <c r="AW807" i="1"/>
  <c r="AX807" i="1"/>
  <c r="AY807" i="1"/>
  <c r="AZ807" i="1"/>
  <c r="BA807" i="1"/>
  <c r="AO808" i="1"/>
  <c r="AP808" i="1"/>
  <c r="AR808" i="1"/>
  <c r="AS808" i="1"/>
  <c r="AT808" i="1"/>
  <c r="AU808" i="1"/>
  <c r="AV808" i="1"/>
  <c r="AW808" i="1"/>
  <c r="AX808" i="1"/>
  <c r="AY808" i="1"/>
  <c r="AZ808" i="1"/>
  <c r="BA808" i="1"/>
  <c r="AO809" i="1"/>
  <c r="AP809" i="1"/>
  <c r="AR809" i="1"/>
  <c r="AS809" i="1"/>
  <c r="AT809" i="1"/>
  <c r="AU809" i="1"/>
  <c r="AV809" i="1"/>
  <c r="AW809" i="1"/>
  <c r="AX809" i="1"/>
  <c r="AY809" i="1"/>
  <c r="AZ809" i="1"/>
  <c r="BA809" i="1"/>
  <c r="AO810" i="1"/>
  <c r="AP810" i="1"/>
  <c r="AR810" i="1"/>
  <c r="AS810" i="1"/>
  <c r="AT810" i="1"/>
  <c r="AU810" i="1"/>
  <c r="AV810" i="1"/>
  <c r="AW810" i="1"/>
  <c r="AX810" i="1"/>
  <c r="AY810" i="1"/>
  <c r="AZ810" i="1"/>
  <c r="BA810" i="1"/>
  <c r="AO811" i="1"/>
  <c r="AP811" i="1"/>
  <c r="AR811" i="1"/>
  <c r="AS811" i="1"/>
  <c r="AT811" i="1"/>
  <c r="AU811" i="1"/>
  <c r="AV811" i="1"/>
  <c r="AW811" i="1"/>
  <c r="AX811" i="1"/>
  <c r="AY811" i="1"/>
  <c r="AZ811" i="1"/>
  <c r="BA811" i="1"/>
  <c r="AO812" i="1"/>
  <c r="AP812" i="1"/>
  <c r="AR812" i="1"/>
  <c r="AS812" i="1"/>
  <c r="AT812" i="1"/>
  <c r="AU812" i="1"/>
  <c r="AV812" i="1"/>
  <c r="AW812" i="1"/>
  <c r="AX812" i="1"/>
  <c r="AY812" i="1"/>
  <c r="AZ812" i="1"/>
  <c r="BA812" i="1"/>
  <c r="AO813" i="1"/>
  <c r="AP813" i="1"/>
  <c r="AR813" i="1"/>
  <c r="AS813" i="1"/>
  <c r="AT813" i="1"/>
  <c r="AU813" i="1"/>
  <c r="AV813" i="1"/>
  <c r="AW813" i="1"/>
  <c r="AX813" i="1"/>
  <c r="AY813" i="1"/>
  <c r="AZ813" i="1"/>
  <c r="BA813" i="1"/>
  <c r="AO814" i="1"/>
  <c r="AP814" i="1"/>
  <c r="AR814" i="1"/>
  <c r="AS814" i="1"/>
  <c r="AT814" i="1"/>
  <c r="AU814" i="1"/>
  <c r="AV814" i="1"/>
  <c r="AW814" i="1"/>
  <c r="AX814" i="1"/>
  <c r="AY814" i="1"/>
  <c r="AZ814" i="1"/>
  <c r="BA814" i="1"/>
  <c r="AO815" i="1"/>
  <c r="AP815" i="1"/>
  <c r="AR815" i="1"/>
  <c r="AS815" i="1"/>
  <c r="AT815" i="1"/>
  <c r="AU815" i="1"/>
  <c r="AV815" i="1"/>
  <c r="AW815" i="1"/>
  <c r="AX815" i="1"/>
  <c r="AY815" i="1"/>
  <c r="AZ815" i="1"/>
  <c r="BA815" i="1"/>
  <c r="AO816" i="1"/>
  <c r="AP816" i="1"/>
  <c r="AR816" i="1"/>
  <c r="AS816" i="1"/>
  <c r="AT816" i="1"/>
  <c r="AU816" i="1"/>
  <c r="AV816" i="1"/>
  <c r="AW816" i="1"/>
  <c r="AX816" i="1"/>
  <c r="AY816" i="1"/>
  <c r="AZ816" i="1"/>
  <c r="BA816" i="1"/>
  <c r="AO817" i="1"/>
  <c r="AP817" i="1"/>
  <c r="AR817" i="1"/>
  <c r="AS817" i="1"/>
  <c r="AT817" i="1"/>
  <c r="AU817" i="1"/>
  <c r="AV817" i="1"/>
  <c r="AW817" i="1"/>
  <c r="AX817" i="1"/>
  <c r="AY817" i="1"/>
  <c r="AZ817" i="1"/>
  <c r="BA817" i="1"/>
  <c r="AO818" i="1"/>
  <c r="AP818" i="1"/>
  <c r="AR818" i="1"/>
  <c r="AS818" i="1"/>
  <c r="AT818" i="1"/>
  <c r="AU818" i="1"/>
  <c r="AV818" i="1"/>
  <c r="AW818" i="1"/>
  <c r="AX818" i="1"/>
  <c r="AY818" i="1"/>
  <c r="AZ818" i="1"/>
  <c r="BA818" i="1"/>
  <c r="AO819" i="1"/>
  <c r="AP819" i="1"/>
  <c r="AR819" i="1"/>
  <c r="AS819" i="1"/>
  <c r="AT819" i="1"/>
  <c r="AU819" i="1"/>
  <c r="AV819" i="1"/>
  <c r="AW819" i="1"/>
  <c r="AX819" i="1"/>
  <c r="AY819" i="1"/>
  <c r="AZ819" i="1"/>
  <c r="BA819" i="1"/>
  <c r="AO820" i="1"/>
  <c r="AP820" i="1"/>
  <c r="AR820" i="1"/>
  <c r="AS820" i="1"/>
  <c r="AT820" i="1"/>
  <c r="AU820" i="1"/>
  <c r="AV820" i="1"/>
  <c r="AW820" i="1"/>
  <c r="AX820" i="1"/>
  <c r="AY820" i="1"/>
  <c r="AZ820" i="1"/>
  <c r="BA820" i="1"/>
  <c r="AO821" i="1"/>
  <c r="AP821" i="1"/>
  <c r="AR821" i="1"/>
  <c r="AS821" i="1"/>
  <c r="AT821" i="1"/>
  <c r="AU821" i="1"/>
  <c r="AV821" i="1"/>
  <c r="AW821" i="1"/>
  <c r="AX821" i="1"/>
  <c r="AY821" i="1"/>
  <c r="AZ821" i="1"/>
  <c r="BA821" i="1"/>
  <c r="AO822" i="1"/>
  <c r="AP822" i="1"/>
  <c r="AR822" i="1"/>
  <c r="AS822" i="1"/>
  <c r="AT822" i="1"/>
  <c r="AU822" i="1"/>
  <c r="AV822" i="1"/>
  <c r="AW822" i="1"/>
  <c r="AX822" i="1"/>
  <c r="AY822" i="1"/>
  <c r="AZ822" i="1"/>
  <c r="BA822" i="1"/>
  <c r="AO823" i="1"/>
  <c r="AP823" i="1"/>
  <c r="AR823" i="1"/>
  <c r="AS823" i="1"/>
  <c r="AT823" i="1"/>
  <c r="AU823" i="1"/>
  <c r="AV823" i="1"/>
  <c r="AW823" i="1"/>
  <c r="AX823" i="1"/>
  <c r="AY823" i="1"/>
  <c r="AZ823" i="1"/>
  <c r="BA823" i="1"/>
  <c r="AO824" i="1"/>
  <c r="AP824" i="1"/>
  <c r="AR824" i="1"/>
  <c r="AS824" i="1"/>
  <c r="AT824" i="1"/>
  <c r="AU824" i="1"/>
  <c r="AV824" i="1"/>
  <c r="AW824" i="1"/>
  <c r="AX824" i="1"/>
  <c r="AY824" i="1"/>
  <c r="AZ824" i="1"/>
  <c r="BA824" i="1"/>
  <c r="AO825" i="1"/>
  <c r="AP825" i="1"/>
  <c r="AR825" i="1"/>
  <c r="AS825" i="1"/>
  <c r="AT825" i="1"/>
  <c r="AU825" i="1"/>
  <c r="AV825" i="1"/>
  <c r="AW825" i="1"/>
  <c r="AX825" i="1"/>
  <c r="AY825" i="1"/>
  <c r="AZ825" i="1"/>
  <c r="BA825" i="1"/>
  <c r="AO826" i="1"/>
  <c r="AP826" i="1"/>
  <c r="AR826" i="1"/>
  <c r="AS826" i="1"/>
  <c r="AT826" i="1"/>
  <c r="AU826" i="1"/>
  <c r="AV826" i="1"/>
  <c r="AX826" i="1"/>
  <c r="AY826" i="1"/>
  <c r="AZ826" i="1"/>
  <c r="BA826" i="1"/>
  <c r="AO827" i="1"/>
  <c r="AP827" i="1"/>
  <c r="AR827" i="1"/>
  <c r="AS827" i="1"/>
  <c r="AT827" i="1"/>
  <c r="AU827" i="1"/>
  <c r="AV827" i="1"/>
  <c r="AW827" i="1"/>
  <c r="AX827" i="1"/>
  <c r="AY827" i="1"/>
  <c r="AZ827" i="1"/>
  <c r="BA827" i="1"/>
  <c r="AO828" i="1"/>
  <c r="AP828" i="1"/>
  <c r="AR828" i="1"/>
  <c r="AS828" i="1"/>
  <c r="AT828" i="1"/>
  <c r="AU828" i="1"/>
  <c r="AV828" i="1"/>
  <c r="AW828" i="1"/>
  <c r="AX828" i="1"/>
  <c r="AY828" i="1"/>
  <c r="AZ828" i="1"/>
  <c r="BA828" i="1"/>
  <c r="AO829" i="1"/>
  <c r="AP829" i="1"/>
  <c r="AR829" i="1"/>
  <c r="AS829" i="1"/>
  <c r="AT829" i="1"/>
  <c r="AU829" i="1"/>
  <c r="AV829" i="1"/>
  <c r="AW829" i="1"/>
  <c r="AX829" i="1"/>
  <c r="AY829" i="1"/>
  <c r="AZ829" i="1"/>
  <c r="BA829" i="1"/>
  <c r="AO830" i="1"/>
  <c r="AP830" i="1"/>
  <c r="AR830" i="1"/>
  <c r="AS830" i="1"/>
  <c r="AT830" i="1"/>
  <c r="AU830" i="1"/>
  <c r="AV830" i="1"/>
  <c r="AW830" i="1"/>
  <c r="AX830" i="1"/>
  <c r="AY830" i="1"/>
  <c r="AZ830" i="1"/>
  <c r="BA830" i="1"/>
  <c r="AO831" i="1"/>
  <c r="AP831" i="1"/>
  <c r="AR831" i="1"/>
  <c r="AS831" i="1"/>
  <c r="AT831" i="1"/>
  <c r="AU831" i="1"/>
  <c r="AV831" i="1"/>
  <c r="AW831" i="1"/>
  <c r="AX831" i="1"/>
  <c r="AY831" i="1"/>
  <c r="AZ831" i="1"/>
  <c r="BA831" i="1"/>
  <c r="AO832" i="1"/>
  <c r="AP832" i="1"/>
  <c r="AR832" i="1"/>
  <c r="AS832" i="1"/>
  <c r="AT832" i="1"/>
  <c r="AU832" i="1"/>
  <c r="AV832" i="1"/>
  <c r="AW832" i="1"/>
  <c r="AX832" i="1"/>
  <c r="AY832" i="1"/>
  <c r="AZ832" i="1"/>
  <c r="BA832" i="1"/>
  <c r="AO833" i="1"/>
  <c r="AP833" i="1"/>
  <c r="AR833" i="1"/>
  <c r="AS833" i="1"/>
  <c r="AT833" i="1"/>
  <c r="AU833" i="1"/>
  <c r="AV833" i="1"/>
  <c r="AW833" i="1"/>
  <c r="AX833" i="1"/>
  <c r="AY833" i="1"/>
  <c r="AZ833" i="1"/>
  <c r="BA833" i="1"/>
  <c r="AO834" i="1"/>
  <c r="AP834" i="1"/>
  <c r="AR834" i="1"/>
  <c r="AS834" i="1"/>
  <c r="AT834" i="1"/>
  <c r="AU834" i="1"/>
  <c r="AV834" i="1"/>
  <c r="AW834" i="1"/>
  <c r="AX834" i="1"/>
  <c r="AY834" i="1"/>
  <c r="AZ834" i="1"/>
  <c r="BA834" i="1"/>
  <c r="AO835" i="1"/>
  <c r="AP835" i="1"/>
  <c r="AR835" i="1"/>
  <c r="AS835" i="1"/>
  <c r="AT835" i="1"/>
  <c r="AU835" i="1"/>
  <c r="AV835" i="1"/>
  <c r="AW835" i="1"/>
  <c r="AX835" i="1"/>
  <c r="AY835" i="1"/>
  <c r="AZ835" i="1"/>
  <c r="BA835" i="1"/>
  <c r="AO836" i="1"/>
  <c r="AP836" i="1"/>
  <c r="AR836" i="1"/>
  <c r="AS836" i="1"/>
  <c r="AT836" i="1"/>
  <c r="AU836" i="1"/>
  <c r="AV836" i="1"/>
  <c r="AW836" i="1"/>
  <c r="AX836" i="1"/>
  <c r="AY836" i="1"/>
  <c r="AZ836" i="1"/>
  <c r="BA836" i="1"/>
  <c r="AO837" i="1"/>
  <c r="AP837" i="1"/>
  <c r="AR837" i="1"/>
  <c r="AS837" i="1"/>
  <c r="AT837" i="1"/>
  <c r="AU837" i="1"/>
  <c r="AV837" i="1"/>
  <c r="AW837" i="1"/>
  <c r="AX837" i="1"/>
  <c r="AY837" i="1"/>
  <c r="AZ837" i="1"/>
  <c r="BA837" i="1"/>
  <c r="AO838" i="1"/>
  <c r="AP838" i="1"/>
  <c r="AR838" i="1"/>
  <c r="AS838" i="1"/>
  <c r="AT838" i="1"/>
  <c r="AU838" i="1"/>
  <c r="AV838" i="1"/>
  <c r="AW838" i="1"/>
  <c r="AX838" i="1"/>
  <c r="AY838" i="1"/>
  <c r="AZ838" i="1"/>
  <c r="BA838" i="1"/>
  <c r="AO839" i="1"/>
  <c r="AP839" i="1"/>
  <c r="AR839" i="1"/>
  <c r="AS839" i="1"/>
  <c r="AT839" i="1"/>
  <c r="AU839" i="1"/>
  <c r="AV839" i="1"/>
  <c r="AW839" i="1"/>
  <c r="AX839" i="1"/>
  <c r="AY839" i="1"/>
  <c r="AZ839" i="1"/>
  <c r="BA839" i="1"/>
  <c r="AO840" i="1"/>
  <c r="AP840" i="1"/>
  <c r="AR840" i="1"/>
  <c r="AS840" i="1"/>
  <c r="AT840" i="1"/>
  <c r="AU840" i="1"/>
  <c r="AV840" i="1"/>
  <c r="AW840" i="1"/>
  <c r="AX840" i="1"/>
  <c r="AY840" i="1"/>
  <c r="AZ840" i="1"/>
  <c r="BA840" i="1"/>
  <c r="AO841" i="1"/>
  <c r="AP841" i="1"/>
  <c r="AR841" i="1"/>
  <c r="AS841" i="1"/>
  <c r="AT841" i="1"/>
  <c r="AU841" i="1"/>
  <c r="AV841" i="1"/>
  <c r="AW841" i="1"/>
  <c r="AX841" i="1"/>
  <c r="AY841" i="1"/>
  <c r="AZ841" i="1"/>
  <c r="BA841" i="1"/>
  <c r="AO842" i="1"/>
  <c r="AP842" i="1"/>
  <c r="AR842" i="1"/>
  <c r="AS842" i="1"/>
  <c r="AT842" i="1"/>
  <c r="AU842" i="1"/>
  <c r="AV842" i="1"/>
  <c r="AW842" i="1"/>
  <c r="AX842" i="1"/>
  <c r="AY842" i="1"/>
  <c r="AZ842" i="1"/>
  <c r="BA842" i="1"/>
  <c r="AO843" i="1"/>
  <c r="AP843" i="1"/>
  <c r="AR843" i="1"/>
  <c r="AS843" i="1"/>
  <c r="AT843" i="1"/>
  <c r="AU843" i="1"/>
  <c r="AV843" i="1"/>
  <c r="AW843" i="1"/>
  <c r="AX843" i="1"/>
  <c r="AY843" i="1"/>
  <c r="AZ843" i="1"/>
  <c r="BA843" i="1"/>
  <c r="AO844" i="1"/>
  <c r="AP844" i="1"/>
  <c r="AR844" i="1"/>
  <c r="AS844" i="1"/>
  <c r="AT844" i="1"/>
  <c r="AU844" i="1"/>
  <c r="AV844" i="1"/>
  <c r="AW844" i="1"/>
  <c r="AX844" i="1"/>
  <c r="AY844" i="1"/>
  <c r="AZ844" i="1"/>
  <c r="BA844" i="1"/>
  <c r="AO845" i="1"/>
  <c r="AP845" i="1"/>
  <c r="AR845" i="1"/>
  <c r="AS845" i="1"/>
  <c r="AT845" i="1"/>
  <c r="AU845" i="1"/>
  <c r="AV845" i="1"/>
  <c r="AW845" i="1"/>
  <c r="AX845" i="1"/>
  <c r="AY845" i="1"/>
  <c r="AZ845" i="1"/>
  <c r="BA845" i="1"/>
  <c r="AO846" i="1"/>
  <c r="AP846" i="1"/>
  <c r="AR846" i="1"/>
  <c r="AS846" i="1"/>
  <c r="AT846" i="1"/>
  <c r="AU846" i="1"/>
  <c r="AV846" i="1"/>
  <c r="AW846" i="1"/>
  <c r="AX846" i="1"/>
  <c r="AY846" i="1"/>
  <c r="AZ846" i="1"/>
  <c r="BA846" i="1"/>
  <c r="AO847" i="1"/>
  <c r="AP847" i="1"/>
  <c r="AR847" i="1"/>
  <c r="AS847" i="1"/>
  <c r="AT847" i="1"/>
  <c r="AU847" i="1"/>
  <c r="AV847" i="1"/>
  <c r="AW847" i="1"/>
  <c r="AX847" i="1"/>
  <c r="AY847" i="1"/>
  <c r="AZ847" i="1"/>
  <c r="BA847" i="1"/>
  <c r="AO848" i="1"/>
  <c r="AP848" i="1"/>
  <c r="AR848" i="1"/>
  <c r="AS848" i="1"/>
  <c r="AT848" i="1"/>
  <c r="AU848" i="1"/>
  <c r="AV848" i="1"/>
  <c r="AW848" i="1"/>
  <c r="AX848" i="1"/>
  <c r="AY848" i="1"/>
  <c r="AZ848" i="1"/>
  <c r="BA848" i="1"/>
  <c r="AO849" i="1"/>
  <c r="AP849" i="1"/>
  <c r="AR849" i="1"/>
  <c r="AS849" i="1"/>
  <c r="AT849" i="1"/>
  <c r="AU849" i="1"/>
  <c r="AV849" i="1"/>
  <c r="AW849" i="1"/>
  <c r="AX849" i="1"/>
  <c r="AY849" i="1"/>
  <c r="AZ849" i="1"/>
  <c r="BA849" i="1"/>
  <c r="AO850" i="1"/>
  <c r="AP850" i="1"/>
  <c r="AR850" i="1"/>
  <c r="AS850" i="1"/>
  <c r="AT850" i="1"/>
  <c r="AU850" i="1"/>
  <c r="AV850" i="1"/>
  <c r="AW850" i="1"/>
  <c r="AX850" i="1"/>
  <c r="AY850" i="1"/>
  <c r="AZ850" i="1"/>
  <c r="BA850" i="1"/>
  <c r="AO851" i="1"/>
  <c r="AP851" i="1"/>
  <c r="AR851" i="1"/>
  <c r="AS851" i="1"/>
  <c r="AT851" i="1"/>
  <c r="AU851" i="1"/>
  <c r="AV851" i="1"/>
  <c r="AW851" i="1"/>
  <c r="AX851" i="1"/>
  <c r="AY851" i="1"/>
  <c r="AZ851" i="1"/>
  <c r="BA851" i="1"/>
  <c r="AO852" i="1"/>
  <c r="AP852" i="1"/>
  <c r="AR852" i="1"/>
  <c r="AS852" i="1"/>
  <c r="AT852" i="1"/>
  <c r="AU852" i="1"/>
  <c r="AV852" i="1"/>
  <c r="AW852" i="1"/>
  <c r="AX852" i="1"/>
  <c r="AY852" i="1"/>
  <c r="AZ852" i="1"/>
  <c r="BA852" i="1"/>
  <c r="AO853" i="1"/>
  <c r="AP853" i="1"/>
  <c r="AR853" i="1"/>
  <c r="AS853" i="1"/>
  <c r="AT853" i="1"/>
  <c r="AU853" i="1"/>
  <c r="AV853" i="1"/>
  <c r="AW853" i="1"/>
  <c r="AX853" i="1"/>
  <c r="AY853" i="1"/>
  <c r="AZ853" i="1"/>
  <c r="BA853" i="1"/>
  <c r="AO854" i="1"/>
  <c r="AP854" i="1"/>
  <c r="AR854" i="1"/>
  <c r="AS854" i="1"/>
  <c r="AT854" i="1"/>
  <c r="AU854" i="1"/>
  <c r="AV854" i="1"/>
  <c r="AW854" i="1"/>
  <c r="AX854" i="1"/>
  <c r="AY854" i="1"/>
  <c r="AZ854" i="1"/>
  <c r="BA854" i="1"/>
  <c r="AO855" i="1"/>
  <c r="AP855" i="1"/>
  <c r="AR855" i="1"/>
  <c r="AS855" i="1"/>
  <c r="AT855" i="1"/>
  <c r="AU855" i="1"/>
  <c r="AV855" i="1"/>
  <c r="AW855" i="1"/>
  <c r="AX855" i="1"/>
  <c r="AY855" i="1"/>
  <c r="AZ855" i="1"/>
  <c r="BA855" i="1"/>
  <c r="AO856" i="1"/>
  <c r="AP856" i="1"/>
  <c r="AR856" i="1"/>
  <c r="AS856" i="1"/>
  <c r="AT856" i="1"/>
  <c r="AU856" i="1"/>
  <c r="AV856" i="1"/>
  <c r="AW856" i="1"/>
  <c r="AX856" i="1"/>
  <c r="AY856" i="1"/>
  <c r="AZ856" i="1"/>
  <c r="BA856" i="1"/>
  <c r="AO857" i="1"/>
  <c r="AP857" i="1"/>
  <c r="AR857" i="1"/>
  <c r="AS857" i="1"/>
  <c r="AT857" i="1"/>
  <c r="AU857" i="1"/>
  <c r="AV857" i="1"/>
  <c r="AW857" i="1"/>
  <c r="AX857" i="1"/>
  <c r="AY857" i="1"/>
  <c r="AZ857" i="1"/>
  <c r="BA857" i="1"/>
  <c r="AO858" i="1"/>
  <c r="AP858" i="1"/>
  <c r="AR858" i="1"/>
  <c r="AS858" i="1"/>
  <c r="AT858" i="1"/>
  <c r="AU858" i="1"/>
  <c r="AV858" i="1"/>
  <c r="AW858" i="1"/>
  <c r="AX858" i="1"/>
  <c r="AY858" i="1"/>
  <c r="AZ858" i="1"/>
  <c r="BA858" i="1"/>
  <c r="AO859" i="1"/>
  <c r="AP859" i="1"/>
  <c r="AR859" i="1"/>
  <c r="AS859" i="1"/>
  <c r="AT859" i="1"/>
  <c r="AU859" i="1"/>
  <c r="AV859" i="1"/>
  <c r="AW859" i="1"/>
  <c r="AX859" i="1"/>
  <c r="AY859" i="1"/>
  <c r="AZ859" i="1"/>
  <c r="BA859" i="1"/>
  <c r="AO860" i="1"/>
  <c r="AP860" i="1"/>
  <c r="AR860" i="1"/>
  <c r="AS860" i="1"/>
  <c r="AT860" i="1"/>
  <c r="AU860" i="1"/>
  <c r="AV860" i="1"/>
  <c r="AW860" i="1"/>
  <c r="AX860" i="1"/>
  <c r="AY860" i="1"/>
  <c r="AZ860" i="1"/>
  <c r="BA860" i="1"/>
  <c r="AO861" i="1"/>
  <c r="AP861" i="1"/>
  <c r="AR861" i="1"/>
  <c r="AS861" i="1"/>
  <c r="AT861" i="1"/>
  <c r="AU861" i="1"/>
  <c r="AV861" i="1"/>
  <c r="AW861" i="1"/>
  <c r="AX861" i="1"/>
  <c r="AY861" i="1"/>
  <c r="AO862" i="1"/>
  <c r="AP862" i="1"/>
  <c r="AR862" i="1"/>
  <c r="AS862" i="1"/>
  <c r="AT862" i="1"/>
  <c r="AU862" i="1"/>
  <c r="AV862" i="1"/>
  <c r="AW862" i="1"/>
  <c r="AX862" i="1"/>
  <c r="AY862" i="1"/>
  <c r="AZ862" i="1"/>
  <c r="BA862" i="1"/>
  <c r="AO863" i="1"/>
  <c r="AP863" i="1"/>
  <c r="AR863" i="1"/>
  <c r="AS863" i="1"/>
  <c r="AT863" i="1"/>
  <c r="AU863" i="1"/>
  <c r="AV863" i="1"/>
  <c r="AW863" i="1"/>
  <c r="AX863" i="1"/>
  <c r="AY863" i="1"/>
  <c r="AZ863" i="1"/>
  <c r="BA863" i="1"/>
  <c r="AO864" i="1"/>
  <c r="AP864" i="1"/>
  <c r="AR864" i="1"/>
  <c r="AS864" i="1"/>
  <c r="AT864" i="1"/>
  <c r="AU864" i="1"/>
  <c r="AV864" i="1"/>
  <c r="AW864" i="1"/>
  <c r="AX864" i="1"/>
  <c r="AY864" i="1"/>
  <c r="AZ864" i="1"/>
  <c r="BA864" i="1"/>
  <c r="AO865" i="1"/>
  <c r="AP865" i="1"/>
  <c r="AR865" i="1"/>
  <c r="AS865" i="1"/>
  <c r="AT865" i="1"/>
  <c r="AU865" i="1"/>
  <c r="AV865" i="1"/>
  <c r="AW865" i="1"/>
  <c r="AX865" i="1"/>
  <c r="AY865" i="1"/>
  <c r="AZ865" i="1"/>
  <c r="BA865" i="1"/>
  <c r="AO866" i="1"/>
  <c r="AP866" i="1"/>
  <c r="AR866" i="1"/>
  <c r="AS866" i="1"/>
  <c r="AT866" i="1"/>
  <c r="AU866" i="1"/>
  <c r="AV866" i="1"/>
  <c r="AW866" i="1"/>
  <c r="AX866" i="1"/>
  <c r="AY866" i="1"/>
  <c r="AZ866" i="1"/>
  <c r="BA866" i="1"/>
  <c r="AO867" i="1"/>
  <c r="AP867" i="1"/>
  <c r="AR867" i="1"/>
  <c r="AS867" i="1"/>
  <c r="AT867" i="1"/>
  <c r="AU867" i="1"/>
  <c r="AV867" i="1"/>
  <c r="AW867" i="1"/>
  <c r="AX867" i="1"/>
  <c r="AY867" i="1"/>
  <c r="AZ867" i="1"/>
  <c r="BA867" i="1"/>
  <c r="AO868" i="1"/>
  <c r="AP868" i="1"/>
  <c r="AR868" i="1"/>
  <c r="AS868" i="1"/>
  <c r="AT868" i="1"/>
  <c r="AU868" i="1"/>
  <c r="AV868" i="1"/>
  <c r="AW868" i="1"/>
  <c r="AX868" i="1"/>
  <c r="AY868" i="1"/>
  <c r="AZ868" i="1"/>
  <c r="BA868" i="1"/>
  <c r="AO869" i="1"/>
  <c r="AP869" i="1"/>
  <c r="AR869" i="1"/>
  <c r="AS869" i="1"/>
  <c r="AT869" i="1"/>
  <c r="AU869" i="1"/>
  <c r="AV869" i="1"/>
  <c r="AW869" i="1"/>
  <c r="AX869" i="1"/>
  <c r="AY869" i="1"/>
  <c r="AZ869" i="1"/>
  <c r="BA869" i="1"/>
  <c r="AO870" i="1"/>
  <c r="AP870" i="1"/>
  <c r="AR870" i="1"/>
  <c r="AS870" i="1"/>
  <c r="AT870" i="1"/>
  <c r="AU870" i="1"/>
  <c r="AV870" i="1"/>
  <c r="AW870" i="1"/>
  <c r="AX870" i="1"/>
  <c r="AY870" i="1"/>
  <c r="AZ870" i="1"/>
  <c r="BA870" i="1"/>
  <c r="AO871" i="1"/>
  <c r="AP871" i="1"/>
  <c r="AR871" i="1"/>
  <c r="AS871" i="1"/>
  <c r="AT871" i="1"/>
  <c r="AU871" i="1"/>
  <c r="AV871" i="1"/>
  <c r="AW871" i="1"/>
  <c r="AX871" i="1"/>
  <c r="AY871" i="1"/>
  <c r="AZ871" i="1"/>
  <c r="BA871" i="1"/>
  <c r="AO872" i="1"/>
  <c r="AP872" i="1"/>
  <c r="AR872" i="1"/>
  <c r="AS872" i="1"/>
  <c r="AT872" i="1"/>
  <c r="AU872" i="1"/>
  <c r="AV872" i="1"/>
  <c r="AW872" i="1"/>
  <c r="AX872" i="1"/>
  <c r="AY872" i="1"/>
  <c r="AZ872" i="1"/>
  <c r="BA872" i="1"/>
  <c r="AO873" i="1"/>
  <c r="AP873" i="1"/>
  <c r="AR873" i="1"/>
  <c r="AS873" i="1"/>
  <c r="AT873" i="1"/>
  <c r="AU873" i="1"/>
  <c r="AV873" i="1"/>
  <c r="AW873" i="1"/>
  <c r="AX873" i="1"/>
  <c r="AY873" i="1"/>
  <c r="AZ873" i="1"/>
  <c r="BA873" i="1"/>
  <c r="AO874" i="1"/>
  <c r="AP874" i="1"/>
  <c r="AR874" i="1"/>
  <c r="AS874" i="1"/>
  <c r="AT874" i="1"/>
  <c r="AU874" i="1"/>
  <c r="AV874" i="1"/>
  <c r="AW874" i="1"/>
  <c r="AX874" i="1"/>
  <c r="AY874" i="1"/>
  <c r="AZ874" i="1"/>
  <c r="BA874" i="1"/>
  <c r="AO875" i="1"/>
  <c r="AP875" i="1"/>
  <c r="AR875" i="1"/>
  <c r="AS875" i="1"/>
  <c r="AT875" i="1"/>
  <c r="AU875" i="1"/>
  <c r="AV875" i="1"/>
  <c r="AW875" i="1"/>
  <c r="AX875" i="1"/>
  <c r="AY875" i="1"/>
  <c r="AZ875" i="1"/>
  <c r="BA875" i="1"/>
  <c r="AO876" i="1"/>
  <c r="AP876" i="1"/>
  <c r="AR876" i="1"/>
  <c r="AS876" i="1"/>
  <c r="AT876" i="1"/>
  <c r="AU876" i="1"/>
  <c r="AV876" i="1"/>
  <c r="AW876" i="1"/>
  <c r="AX876" i="1"/>
  <c r="AY876" i="1"/>
  <c r="AZ876" i="1"/>
  <c r="BA876" i="1"/>
  <c r="AO877" i="1"/>
  <c r="AP877" i="1"/>
  <c r="AR877" i="1"/>
  <c r="AS877" i="1"/>
  <c r="AT877" i="1"/>
  <c r="AU877" i="1"/>
  <c r="AV877" i="1"/>
  <c r="AW877" i="1"/>
  <c r="AX877" i="1"/>
  <c r="AY877" i="1"/>
  <c r="AZ877" i="1"/>
  <c r="BA877" i="1"/>
  <c r="AO878" i="1"/>
  <c r="AP878" i="1"/>
  <c r="AR878" i="1"/>
  <c r="AS878" i="1"/>
  <c r="AT878" i="1"/>
  <c r="AU878" i="1"/>
  <c r="AV878" i="1"/>
  <c r="AW878" i="1"/>
  <c r="AX878" i="1"/>
  <c r="AY878" i="1"/>
  <c r="AZ878" i="1"/>
  <c r="BA878" i="1"/>
  <c r="AO879" i="1"/>
  <c r="AP879" i="1"/>
  <c r="AR879" i="1"/>
  <c r="AS879" i="1"/>
  <c r="AT879" i="1"/>
  <c r="AU879" i="1"/>
  <c r="AV879" i="1"/>
  <c r="AW879" i="1"/>
  <c r="AX879" i="1"/>
  <c r="AY879" i="1"/>
  <c r="AZ879" i="1"/>
  <c r="BA879" i="1"/>
  <c r="AO880" i="1"/>
  <c r="AP880" i="1"/>
  <c r="AR880" i="1"/>
  <c r="AS880" i="1"/>
  <c r="AT880" i="1"/>
  <c r="AU880" i="1"/>
  <c r="AV880" i="1"/>
  <c r="AW880" i="1"/>
  <c r="AX880" i="1"/>
  <c r="AY880" i="1"/>
  <c r="AZ880" i="1"/>
  <c r="BA880" i="1"/>
  <c r="AO881" i="1"/>
  <c r="AP881" i="1"/>
  <c r="AR881" i="1"/>
  <c r="AS881" i="1"/>
  <c r="AT881" i="1"/>
  <c r="AU881" i="1"/>
  <c r="AV881" i="1"/>
  <c r="AW881" i="1"/>
  <c r="AX881" i="1"/>
  <c r="AY881" i="1"/>
  <c r="AZ881" i="1"/>
  <c r="BA881" i="1"/>
  <c r="AO882" i="1"/>
  <c r="AP882" i="1"/>
  <c r="AR882" i="1"/>
  <c r="AS882" i="1"/>
  <c r="AT882" i="1"/>
  <c r="AU882" i="1"/>
  <c r="AV882" i="1"/>
  <c r="AW882" i="1"/>
  <c r="AX882" i="1"/>
  <c r="AY882" i="1"/>
  <c r="AZ882" i="1"/>
  <c r="BA882" i="1"/>
  <c r="AO883" i="1"/>
  <c r="AP883" i="1"/>
  <c r="AR883" i="1"/>
  <c r="AS883" i="1"/>
  <c r="AT883" i="1"/>
  <c r="AU883" i="1"/>
  <c r="AV883" i="1"/>
  <c r="AW883" i="1"/>
  <c r="AX883" i="1"/>
  <c r="AY883" i="1"/>
  <c r="AZ883" i="1"/>
  <c r="BA883" i="1"/>
  <c r="AO884" i="1"/>
  <c r="AP884" i="1"/>
  <c r="AR884" i="1"/>
  <c r="AS884" i="1"/>
  <c r="AT884" i="1"/>
  <c r="AU884" i="1"/>
  <c r="AV884" i="1"/>
  <c r="AW884" i="1"/>
  <c r="AX884" i="1"/>
  <c r="AY884" i="1"/>
  <c r="AZ884" i="1"/>
  <c r="BA884" i="1"/>
  <c r="AO885" i="1"/>
  <c r="AP885" i="1"/>
  <c r="AR885" i="1"/>
  <c r="AS885" i="1"/>
  <c r="AT885" i="1"/>
  <c r="AU885" i="1"/>
  <c r="AV885" i="1"/>
  <c r="AX885" i="1"/>
  <c r="AY885" i="1"/>
  <c r="AZ885" i="1"/>
  <c r="BA885" i="1"/>
  <c r="AO886" i="1"/>
  <c r="AP886" i="1"/>
  <c r="AR886" i="1"/>
  <c r="AS886" i="1"/>
  <c r="AT886" i="1"/>
  <c r="AU886" i="1"/>
  <c r="AV886" i="1"/>
  <c r="AW886" i="1"/>
  <c r="AX886" i="1"/>
  <c r="AY886" i="1"/>
  <c r="AZ886" i="1"/>
  <c r="BA886" i="1"/>
  <c r="AO887" i="1"/>
  <c r="AP887" i="1"/>
  <c r="AR887" i="1"/>
  <c r="AS887" i="1"/>
  <c r="AT887" i="1"/>
  <c r="AU887" i="1"/>
  <c r="AV887" i="1"/>
  <c r="AW887" i="1"/>
  <c r="AX887" i="1"/>
  <c r="AY887" i="1"/>
  <c r="AZ887" i="1"/>
  <c r="BA887" i="1"/>
  <c r="AO888" i="1"/>
  <c r="AP888" i="1"/>
  <c r="AR888" i="1"/>
  <c r="AS888" i="1"/>
  <c r="AT888" i="1"/>
  <c r="AU888" i="1"/>
  <c r="AV888" i="1"/>
  <c r="AW888" i="1"/>
  <c r="AX888" i="1"/>
  <c r="AY888" i="1"/>
  <c r="AZ888" i="1"/>
  <c r="BA888" i="1"/>
  <c r="AO889" i="1"/>
  <c r="AP889" i="1"/>
  <c r="AR889" i="1"/>
  <c r="AS889" i="1"/>
  <c r="AT889" i="1"/>
  <c r="AU889" i="1"/>
  <c r="AV889" i="1"/>
  <c r="AW889" i="1"/>
  <c r="AX889" i="1"/>
  <c r="AY889" i="1"/>
  <c r="AZ889" i="1"/>
  <c r="BA889" i="1"/>
  <c r="AO890" i="1"/>
  <c r="AP890" i="1"/>
  <c r="AR890" i="1"/>
  <c r="AS890" i="1"/>
  <c r="AT890" i="1"/>
  <c r="AU890" i="1"/>
  <c r="AV890" i="1"/>
  <c r="AW890" i="1"/>
  <c r="AX890" i="1"/>
  <c r="AY890" i="1"/>
  <c r="AZ890" i="1"/>
  <c r="BA890" i="1"/>
  <c r="AO891" i="1"/>
  <c r="AP891" i="1"/>
  <c r="AR891" i="1"/>
  <c r="AS891" i="1"/>
  <c r="AT891" i="1"/>
  <c r="AU891" i="1"/>
  <c r="AV891" i="1"/>
  <c r="AX891" i="1"/>
  <c r="AY891" i="1"/>
  <c r="AO892" i="1"/>
  <c r="AP892" i="1"/>
  <c r="AR892" i="1"/>
  <c r="AS892" i="1"/>
  <c r="AT892" i="1"/>
  <c r="AU892" i="1"/>
  <c r="AV892" i="1"/>
  <c r="AW892" i="1"/>
  <c r="AX892" i="1"/>
  <c r="AY892" i="1"/>
  <c r="AO893" i="1"/>
  <c r="AP893" i="1"/>
  <c r="AR893" i="1"/>
  <c r="AS893" i="1"/>
  <c r="AT893" i="1"/>
  <c r="AU893" i="1"/>
  <c r="AV893" i="1"/>
  <c r="AW893" i="1"/>
  <c r="AX893" i="1"/>
  <c r="AY893" i="1"/>
  <c r="AZ893" i="1"/>
  <c r="BA893" i="1"/>
  <c r="AO894" i="1"/>
  <c r="AP894" i="1"/>
  <c r="AR894" i="1"/>
  <c r="AS894" i="1"/>
  <c r="AT894" i="1"/>
  <c r="AU894" i="1"/>
  <c r="AV894" i="1"/>
  <c r="AW894" i="1"/>
  <c r="AX894" i="1"/>
  <c r="AY894" i="1"/>
  <c r="AZ894" i="1"/>
  <c r="BA894" i="1"/>
  <c r="AO895" i="1"/>
  <c r="AP895" i="1"/>
  <c r="AR895" i="1"/>
  <c r="AS895" i="1"/>
  <c r="AT895" i="1"/>
  <c r="AU895" i="1"/>
  <c r="AV895" i="1"/>
  <c r="AX895" i="1"/>
  <c r="AY895" i="1"/>
  <c r="AO896" i="1"/>
  <c r="AP896" i="1"/>
  <c r="AR896" i="1"/>
  <c r="AS896" i="1"/>
  <c r="AT896" i="1"/>
  <c r="AU896" i="1"/>
  <c r="AV896" i="1"/>
  <c r="AW896" i="1"/>
  <c r="AX896" i="1"/>
  <c r="AY896" i="1"/>
  <c r="AO897" i="1"/>
  <c r="AP897" i="1"/>
  <c r="AR897" i="1"/>
  <c r="AS897" i="1"/>
  <c r="AT897" i="1"/>
  <c r="AU897" i="1"/>
  <c r="AV897" i="1"/>
  <c r="AW897" i="1"/>
  <c r="AX897" i="1"/>
  <c r="AY897" i="1"/>
  <c r="AZ897" i="1"/>
  <c r="BA897" i="1"/>
  <c r="AO898" i="1"/>
  <c r="AP898" i="1"/>
  <c r="AR898" i="1"/>
  <c r="AS898" i="1"/>
  <c r="AT898" i="1"/>
  <c r="AU898" i="1"/>
  <c r="AV898" i="1"/>
  <c r="AX898" i="1"/>
  <c r="AY898" i="1"/>
  <c r="AZ898" i="1"/>
  <c r="BA898" i="1"/>
  <c r="AO899" i="1"/>
  <c r="AP899" i="1"/>
  <c r="AR899" i="1"/>
  <c r="AS899" i="1"/>
  <c r="AT899" i="1"/>
  <c r="AU899" i="1"/>
  <c r="AV899" i="1"/>
  <c r="AW899" i="1"/>
  <c r="AX899" i="1"/>
  <c r="AY899" i="1"/>
  <c r="AZ899" i="1"/>
  <c r="BA899" i="1"/>
  <c r="AO900" i="1"/>
  <c r="AP900" i="1"/>
  <c r="AR900" i="1"/>
  <c r="AS900" i="1"/>
  <c r="AT900" i="1"/>
  <c r="AU900" i="1"/>
  <c r="AV900" i="1"/>
  <c r="AW900" i="1"/>
  <c r="AX900" i="1"/>
  <c r="AY900" i="1"/>
  <c r="AZ900" i="1"/>
  <c r="BA900" i="1"/>
  <c r="AO901" i="1"/>
  <c r="AP901" i="1"/>
  <c r="AR901" i="1"/>
  <c r="AS901" i="1"/>
  <c r="AT901" i="1"/>
  <c r="AU901" i="1"/>
  <c r="AV901" i="1"/>
  <c r="AW901" i="1"/>
  <c r="AX901" i="1"/>
  <c r="AY901" i="1"/>
  <c r="AZ901" i="1"/>
  <c r="BA901" i="1"/>
  <c r="AO902" i="1"/>
  <c r="AP902" i="1"/>
  <c r="AR902" i="1"/>
  <c r="AS902" i="1"/>
  <c r="AT902" i="1"/>
  <c r="AU902" i="1"/>
  <c r="AV902" i="1"/>
  <c r="AW902" i="1"/>
  <c r="AX902" i="1"/>
  <c r="AY902" i="1"/>
  <c r="AZ902" i="1"/>
  <c r="BA902" i="1"/>
  <c r="AO903" i="1"/>
  <c r="AP903" i="1"/>
  <c r="AR903" i="1"/>
  <c r="AS903" i="1"/>
  <c r="AT903" i="1"/>
  <c r="AU903" i="1"/>
  <c r="AV903" i="1"/>
  <c r="AW903" i="1"/>
  <c r="AX903" i="1"/>
  <c r="AY903" i="1"/>
  <c r="AZ903" i="1"/>
  <c r="BA903" i="1"/>
  <c r="AO904" i="1"/>
  <c r="AP904" i="1"/>
  <c r="AR904" i="1"/>
  <c r="AS904" i="1"/>
  <c r="AT904" i="1"/>
  <c r="AU904" i="1"/>
  <c r="AV904" i="1"/>
  <c r="AW904" i="1"/>
  <c r="AX904" i="1"/>
  <c r="AY904" i="1"/>
  <c r="AZ904" i="1"/>
  <c r="BA904" i="1"/>
  <c r="AO905" i="1"/>
  <c r="AP905" i="1"/>
  <c r="AR905" i="1"/>
  <c r="AS905" i="1"/>
  <c r="AT905" i="1"/>
  <c r="AU905" i="1"/>
  <c r="AV905" i="1"/>
  <c r="AX905" i="1"/>
  <c r="AY905" i="1"/>
  <c r="AO906" i="1"/>
  <c r="AP906" i="1"/>
  <c r="AR906" i="1"/>
  <c r="AS906" i="1"/>
  <c r="AT906" i="1"/>
  <c r="AU906" i="1"/>
  <c r="AV906" i="1"/>
  <c r="AW906" i="1"/>
  <c r="AX906" i="1"/>
  <c r="AY906" i="1"/>
  <c r="AZ906" i="1"/>
  <c r="BA906" i="1"/>
  <c r="AO907" i="1"/>
  <c r="AP907" i="1"/>
  <c r="AR907" i="1"/>
  <c r="AS907" i="1"/>
  <c r="AT907" i="1"/>
  <c r="AU907" i="1"/>
  <c r="AV907" i="1"/>
  <c r="AX907" i="1"/>
  <c r="AY907" i="1"/>
  <c r="AO908" i="1"/>
  <c r="AP908" i="1"/>
  <c r="AR908" i="1"/>
  <c r="AS908" i="1"/>
  <c r="AT908" i="1"/>
  <c r="AU908" i="1"/>
  <c r="AV908" i="1"/>
  <c r="AX908" i="1"/>
  <c r="AY908" i="1"/>
  <c r="AZ908" i="1"/>
  <c r="BA908" i="1"/>
  <c r="AO909" i="1"/>
  <c r="AP909" i="1"/>
  <c r="AR909" i="1"/>
  <c r="AS909" i="1"/>
  <c r="AT909" i="1"/>
  <c r="AU909" i="1"/>
  <c r="AV909" i="1"/>
  <c r="AW909" i="1"/>
  <c r="AX909" i="1"/>
  <c r="AY909" i="1"/>
  <c r="AZ909" i="1"/>
  <c r="BA909" i="1"/>
  <c r="AO910" i="1"/>
  <c r="AP910" i="1"/>
  <c r="AR910" i="1"/>
  <c r="AS910" i="1"/>
  <c r="AT910" i="1"/>
  <c r="AU910" i="1"/>
  <c r="AV910" i="1"/>
  <c r="AW910" i="1"/>
  <c r="AX910" i="1"/>
  <c r="AY910" i="1"/>
  <c r="AZ910" i="1"/>
  <c r="BA910" i="1"/>
  <c r="AO911" i="1"/>
  <c r="AP911" i="1"/>
  <c r="AR911" i="1"/>
  <c r="AS911" i="1"/>
  <c r="AT911" i="1"/>
  <c r="AU911" i="1"/>
  <c r="AV911" i="1"/>
  <c r="AW911" i="1"/>
  <c r="AX911" i="1"/>
  <c r="AY911" i="1"/>
  <c r="AZ911" i="1"/>
  <c r="BA911" i="1"/>
  <c r="AO912" i="1"/>
  <c r="AP912" i="1"/>
  <c r="AR912" i="1"/>
  <c r="AS912" i="1"/>
  <c r="AT912" i="1"/>
  <c r="AU912" i="1"/>
  <c r="AV912" i="1"/>
  <c r="AW912" i="1"/>
  <c r="AX912" i="1"/>
  <c r="AY912" i="1"/>
  <c r="AZ912" i="1"/>
  <c r="BA912" i="1"/>
  <c r="AO913" i="1"/>
  <c r="AP913" i="1"/>
  <c r="AR913" i="1"/>
  <c r="AS913" i="1"/>
  <c r="AT913" i="1"/>
  <c r="AU913" i="1"/>
  <c r="AV913" i="1"/>
  <c r="AW913" i="1"/>
  <c r="AX913" i="1"/>
  <c r="AY913" i="1"/>
  <c r="AZ913" i="1"/>
  <c r="BA913" i="1"/>
  <c r="AO914" i="1"/>
  <c r="AP914" i="1"/>
  <c r="AR914" i="1"/>
  <c r="AS914" i="1"/>
  <c r="AT914" i="1"/>
  <c r="AU914" i="1"/>
  <c r="AV914" i="1"/>
  <c r="AW914" i="1"/>
  <c r="AX914" i="1"/>
  <c r="AY914" i="1"/>
  <c r="AZ914" i="1"/>
  <c r="BA914" i="1"/>
  <c r="AO915" i="1"/>
  <c r="AP915" i="1"/>
  <c r="AR915" i="1"/>
  <c r="AS915" i="1"/>
  <c r="AT915" i="1"/>
  <c r="AU915" i="1"/>
  <c r="AV915" i="1"/>
  <c r="AW915" i="1"/>
  <c r="AX915" i="1"/>
  <c r="AY915" i="1"/>
  <c r="AO916" i="1"/>
  <c r="AP916" i="1"/>
  <c r="AR916" i="1"/>
  <c r="AS916" i="1"/>
  <c r="AT916" i="1"/>
  <c r="AU916" i="1"/>
  <c r="AV916" i="1"/>
  <c r="AW916" i="1"/>
  <c r="AX916" i="1"/>
  <c r="AY916" i="1"/>
  <c r="AZ916" i="1"/>
  <c r="BA916" i="1"/>
  <c r="AO917" i="1"/>
  <c r="AP917" i="1"/>
  <c r="AR917" i="1"/>
  <c r="AS917" i="1"/>
  <c r="AT917" i="1"/>
  <c r="AU917" i="1"/>
  <c r="AV917" i="1"/>
  <c r="AW917" i="1"/>
  <c r="AX917" i="1"/>
  <c r="AY917" i="1"/>
  <c r="AZ917" i="1"/>
  <c r="BA917" i="1"/>
  <c r="AO918" i="1"/>
  <c r="AP918" i="1"/>
  <c r="AR918" i="1"/>
  <c r="AS918" i="1"/>
  <c r="AT918" i="1"/>
  <c r="AU918" i="1"/>
  <c r="AV918" i="1"/>
  <c r="AW918" i="1"/>
  <c r="AX918" i="1"/>
  <c r="AY918" i="1"/>
  <c r="AZ918" i="1"/>
  <c r="BA918" i="1"/>
  <c r="AO919" i="1"/>
  <c r="AP919" i="1"/>
  <c r="AR919" i="1"/>
  <c r="AS919" i="1"/>
  <c r="AT919" i="1"/>
  <c r="AU919" i="1"/>
  <c r="AV919" i="1"/>
  <c r="AW919" i="1"/>
  <c r="AX919" i="1"/>
  <c r="AY919" i="1"/>
  <c r="AZ919" i="1"/>
  <c r="BA919" i="1"/>
  <c r="AO920" i="1"/>
  <c r="AP920" i="1"/>
  <c r="AR920" i="1"/>
  <c r="AS920" i="1"/>
  <c r="AT920" i="1"/>
  <c r="AU920" i="1"/>
  <c r="AV920" i="1"/>
  <c r="AW920" i="1"/>
  <c r="AX920" i="1"/>
  <c r="AY920" i="1"/>
  <c r="AZ920" i="1"/>
  <c r="BA920" i="1"/>
  <c r="AO921" i="1"/>
  <c r="AP921" i="1"/>
  <c r="AR921" i="1"/>
  <c r="AS921" i="1"/>
  <c r="AT921" i="1"/>
  <c r="AU921" i="1"/>
  <c r="AV921" i="1"/>
  <c r="AW921" i="1"/>
  <c r="AX921" i="1"/>
  <c r="AY921" i="1"/>
  <c r="AZ921" i="1"/>
  <c r="BA921" i="1"/>
  <c r="AO922" i="1"/>
  <c r="AP922" i="1"/>
  <c r="AR922" i="1"/>
  <c r="AS922" i="1"/>
  <c r="AT922" i="1"/>
  <c r="AU922" i="1"/>
  <c r="AV922" i="1"/>
  <c r="AW922" i="1"/>
  <c r="AX922" i="1"/>
  <c r="AY922" i="1"/>
  <c r="AZ922" i="1"/>
  <c r="BA922" i="1"/>
  <c r="AO923" i="1"/>
  <c r="AP923" i="1"/>
  <c r="AR923" i="1"/>
  <c r="AS923" i="1"/>
  <c r="AT923" i="1"/>
  <c r="AU923" i="1"/>
  <c r="AV923" i="1"/>
  <c r="AW923" i="1"/>
  <c r="AX923" i="1"/>
  <c r="AY923" i="1"/>
  <c r="AZ923" i="1"/>
  <c r="BA923" i="1"/>
  <c r="AO924" i="1"/>
  <c r="AP924" i="1"/>
  <c r="AR924" i="1"/>
  <c r="AS924" i="1"/>
  <c r="AT924" i="1"/>
  <c r="AU924" i="1"/>
  <c r="AV924" i="1"/>
  <c r="AW924" i="1"/>
  <c r="AX924" i="1"/>
  <c r="AY924" i="1"/>
  <c r="AZ924" i="1"/>
  <c r="BA924" i="1"/>
  <c r="AO925" i="1"/>
  <c r="AP925" i="1"/>
  <c r="AR925" i="1"/>
  <c r="AS925" i="1"/>
  <c r="AT925" i="1"/>
  <c r="AU925" i="1"/>
  <c r="AV925" i="1"/>
  <c r="AW925" i="1"/>
  <c r="AX925" i="1"/>
  <c r="AY925" i="1"/>
  <c r="AZ925" i="1"/>
  <c r="BA925" i="1"/>
  <c r="AO926" i="1"/>
  <c r="AP926" i="1"/>
  <c r="AR926" i="1"/>
  <c r="AS926" i="1"/>
  <c r="AT926" i="1"/>
  <c r="AU926" i="1"/>
  <c r="AV926" i="1"/>
  <c r="AW926" i="1"/>
  <c r="AX926" i="1"/>
  <c r="AY926" i="1"/>
  <c r="AZ926" i="1"/>
  <c r="BA926" i="1"/>
  <c r="AO927" i="1"/>
  <c r="AP927" i="1"/>
  <c r="AR927" i="1"/>
  <c r="AS927" i="1"/>
  <c r="AT927" i="1"/>
  <c r="AU927" i="1"/>
  <c r="AV927" i="1"/>
  <c r="AW927" i="1"/>
  <c r="AX927" i="1"/>
  <c r="AY927" i="1"/>
  <c r="AZ927" i="1"/>
  <c r="BA927" i="1"/>
  <c r="AO928" i="1"/>
  <c r="AP928" i="1"/>
  <c r="AR928" i="1"/>
  <c r="AS928" i="1"/>
  <c r="AT928" i="1"/>
  <c r="AU928" i="1"/>
  <c r="AV928" i="1"/>
  <c r="AW928" i="1"/>
  <c r="AX928" i="1"/>
  <c r="AY928" i="1"/>
  <c r="AZ928" i="1"/>
  <c r="BA928" i="1"/>
  <c r="AO929" i="1"/>
  <c r="AP929" i="1"/>
  <c r="AR929" i="1"/>
  <c r="AS929" i="1"/>
  <c r="AT929" i="1"/>
  <c r="AU929" i="1"/>
  <c r="AV929" i="1"/>
  <c r="AW929" i="1"/>
  <c r="AX929" i="1"/>
  <c r="AY929" i="1"/>
  <c r="AZ929" i="1"/>
  <c r="BA929" i="1"/>
  <c r="AO930" i="1"/>
  <c r="AP930" i="1"/>
  <c r="AR930" i="1"/>
  <c r="AS930" i="1"/>
  <c r="AT930" i="1"/>
  <c r="AU930" i="1"/>
  <c r="AV930" i="1"/>
  <c r="AW930" i="1"/>
  <c r="AX930" i="1"/>
  <c r="AY930" i="1"/>
  <c r="AO931" i="1"/>
  <c r="AP931" i="1"/>
  <c r="AR931" i="1"/>
  <c r="AS931" i="1"/>
  <c r="AT931" i="1"/>
  <c r="AU931" i="1"/>
  <c r="AV931" i="1"/>
  <c r="AW931" i="1"/>
  <c r="AX931" i="1"/>
  <c r="AY931" i="1"/>
  <c r="AZ931" i="1"/>
  <c r="BA931" i="1"/>
  <c r="AO932" i="1"/>
  <c r="AP932" i="1"/>
  <c r="AR932" i="1"/>
  <c r="AS932" i="1"/>
  <c r="AT932" i="1"/>
  <c r="AU932" i="1"/>
  <c r="AV932" i="1"/>
  <c r="AW932" i="1"/>
  <c r="AX932" i="1"/>
  <c r="AY932" i="1"/>
  <c r="AZ932" i="1"/>
  <c r="BA932" i="1"/>
  <c r="AO933" i="1"/>
  <c r="AP933" i="1"/>
  <c r="AR933" i="1"/>
  <c r="AS933" i="1"/>
  <c r="AT933" i="1"/>
  <c r="AU933" i="1"/>
  <c r="AV933" i="1"/>
  <c r="AW933" i="1"/>
  <c r="AX933" i="1"/>
  <c r="AY933" i="1"/>
  <c r="AZ933" i="1"/>
  <c r="BA933" i="1"/>
  <c r="AO934" i="1"/>
  <c r="AP934" i="1"/>
  <c r="AR934" i="1"/>
  <c r="AS934" i="1"/>
  <c r="AT934" i="1"/>
  <c r="AU934" i="1"/>
  <c r="AV934" i="1"/>
  <c r="AW934" i="1"/>
  <c r="AX934" i="1"/>
  <c r="AY934" i="1"/>
  <c r="AZ934" i="1"/>
  <c r="BA934" i="1"/>
  <c r="AO935" i="1"/>
  <c r="AP935" i="1"/>
  <c r="AR935" i="1"/>
  <c r="AS935" i="1"/>
  <c r="AT935" i="1"/>
  <c r="AU935" i="1"/>
  <c r="AV935" i="1"/>
  <c r="AW935" i="1"/>
  <c r="AX935" i="1"/>
  <c r="AY935" i="1"/>
  <c r="AZ935" i="1"/>
  <c r="BA935" i="1"/>
  <c r="AO936" i="1"/>
  <c r="AP936" i="1"/>
  <c r="AR936" i="1"/>
  <c r="AS936" i="1"/>
  <c r="AT936" i="1"/>
  <c r="AU936" i="1"/>
  <c r="AV936" i="1"/>
  <c r="AW936" i="1"/>
  <c r="AX936" i="1"/>
  <c r="AY936" i="1"/>
  <c r="AZ936" i="1"/>
  <c r="BA936" i="1"/>
  <c r="AO937" i="1"/>
  <c r="AP937" i="1"/>
  <c r="AR937" i="1"/>
  <c r="AS937" i="1"/>
  <c r="AT937" i="1"/>
  <c r="AU937" i="1"/>
  <c r="AV937" i="1"/>
  <c r="AW937" i="1"/>
  <c r="AX937" i="1"/>
  <c r="AY937" i="1"/>
  <c r="AZ937" i="1"/>
  <c r="BA937" i="1"/>
  <c r="AO938" i="1"/>
  <c r="AP938" i="1"/>
  <c r="AR938" i="1"/>
  <c r="AS938" i="1"/>
  <c r="AT938" i="1"/>
  <c r="AU938" i="1"/>
  <c r="AV938" i="1"/>
  <c r="AW938" i="1"/>
  <c r="AX938" i="1"/>
  <c r="AY938" i="1"/>
  <c r="AZ938" i="1"/>
  <c r="BA938" i="1"/>
  <c r="AO939" i="1"/>
  <c r="AP939" i="1"/>
  <c r="AR939" i="1"/>
  <c r="AS939" i="1"/>
  <c r="AT939" i="1"/>
  <c r="AU939" i="1"/>
  <c r="AV939" i="1"/>
  <c r="AW939" i="1"/>
  <c r="AX939" i="1"/>
  <c r="AY939" i="1"/>
  <c r="AZ939" i="1"/>
  <c r="BA939" i="1"/>
  <c r="AO940" i="1"/>
  <c r="AP940" i="1"/>
  <c r="AR940" i="1"/>
  <c r="AS940" i="1"/>
  <c r="AT940" i="1"/>
  <c r="AU940" i="1"/>
  <c r="AV940" i="1"/>
  <c r="AW940" i="1"/>
  <c r="AX940" i="1"/>
  <c r="AY940" i="1"/>
  <c r="AZ940" i="1"/>
  <c r="BA940" i="1"/>
  <c r="AO941" i="1"/>
  <c r="AP941" i="1"/>
  <c r="AR941" i="1"/>
  <c r="AS941" i="1"/>
  <c r="AT941" i="1"/>
  <c r="AU941" i="1"/>
  <c r="AV941" i="1"/>
  <c r="AW941" i="1"/>
  <c r="AX941" i="1"/>
  <c r="AY941" i="1"/>
  <c r="AZ941" i="1"/>
  <c r="BA941" i="1"/>
  <c r="AO942" i="1"/>
  <c r="AP942" i="1"/>
  <c r="AR942" i="1"/>
  <c r="AS942" i="1"/>
  <c r="AT942" i="1"/>
  <c r="AU942" i="1"/>
  <c r="AV942" i="1"/>
  <c r="AW942" i="1"/>
  <c r="AX942" i="1"/>
  <c r="AY942" i="1"/>
  <c r="AZ942" i="1"/>
  <c r="BA942" i="1"/>
  <c r="AO943" i="1"/>
  <c r="AP943" i="1"/>
  <c r="AR943" i="1"/>
  <c r="AS943" i="1"/>
  <c r="AT943" i="1"/>
  <c r="AU943" i="1"/>
  <c r="AV943" i="1"/>
  <c r="AW943" i="1"/>
  <c r="AX943" i="1"/>
  <c r="AY943" i="1"/>
  <c r="AZ943" i="1"/>
  <c r="BA943" i="1"/>
  <c r="AO944" i="1"/>
  <c r="AP944" i="1"/>
  <c r="AR944" i="1"/>
  <c r="AS944" i="1"/>
  <c r="AT944" i="1"/>
  <c r="AU944" i="1"/>
  <c r="AV944" i="1"/>
  <c r="AW944" i="1"/>
  <c r="AX944" i="1"/>
  <c r="AY944" i="1"/>
  <c r="AZ944" i="1"/>
  <c r="BA944" i="1"/>
  <c r="AO945" i="1"/>
  <c r="AP945" i="1"/>
  <c r="AR945" i="1"/>
  <c r="AS945" i="1"/>
  <c r="AT945" i="1"/>
  <c r="AU945" i="1"/>
  <c r="AV945" i="1"/>
  <c r="AW945" i="1"/>
  <c r="AX945" i="1"/>
  <c r="AY945" i="1"/>
  <c r="AZ945" i="1"/>
  <c r="BA945" i="1"/>
  <c r="AO946" i="1"/>
  <c r="AP946" i="1"/>
  <c r="AR946" i="1"/>
  <c r="AS946" i="1"/>
  <c r="AT946" i="1"/>
  <c r="AU946" i="1"/>
  <c r="AV946" i="1"/>
  <c r="AW946" i="1"/>
  <c r="AX946" i="1"/>
  <c r="AY946" i="1"/>
  <c r="AZ946" i="1"/>
  <c r="BA946" i="1"/>
  <c r="AO947" i="1"/>
  <c r="AP947" i="1"/>
  <c r="AR947" i="1"/>
  <c r="AS947" i="1"/>
  <c r="AT947" i="1"/>
  <c r="AU947" i="1"/>
  <c r="AV947" i="1"/>
  <c r="AW947" i="1"/>
  <c r="AX947" i="1"/>
  <c r="AY947" i="1"/>
  <c r="AZ947" i="1"/>
  <c r="BA947" i="1"/>
  <c r="AO948" i="1"/>
  <c r="AP948" i="1"/>
  <c r="AR948" i="1"/>
  <c r="AS948" i="1"/>
  <c r="AT948" i="1"/>
  <c r="AU948" i="1"/>
  <c r="AV948" i="1"/>
  <c r="AW948" i="1"/>
  <c r="AX948" i="1"/>
  <c r="AY948" i="1"/>
  <c r="AZ948" i="1"/>
  <c r="BA948" i="1"/>
  <c r="AO949" i="1"/>
  <c r="AP949" i="1"/>
  <c r="AR949" i="1"/>
  <c r="AS949" i="1"/>
  <c r="AT949" i="1"/>
  <c r="AU949" i="1"/>
  <c r="AV949" i="1"/>
  <c r="AX949" i="1"/>
  <c r="AY949" i="1"/>
  <c r="AZ949" i="1"/>
  <c r="BA949" i="1"/>
  <c r="AO950" i="1"/>
  <c r="AP950" i="1"/>
  <c r="AR950" i="1"/>
  <c r="AS950" i="1"/>
  <c r="AT950" i="1"/>
  <c r="AU950" i="1"/>
  <c r="AV950" i="1"/>
  <c r="AX950" i="1"/>
  <c r="AY950" i="1"/>
  <c r="AZ950" i="1"/>
  <c r="BA950" i="1"/>
  <c r="AO951" i="1"/>
  <c r="AP951" i="1"/>
  <c r="AR951" i="1"/>
  <c r="AS951" i="1"/>
  <c r="AT951" i="1"/>
  <c r="AU951" i="1"/>
  <c r="AV951" i="1"/>
  <c r="AX951" i="1"/>
  <c r="AY951" i="1"/>
  <c r="AZ951" i="1"/>
  <c r="BA951" i="1"/>
  <c r="AO952" i="1"/>
  <c r="AP952" i="1"/>
  <c r="AR952" i="1"/>
  <c r="AS952" i="1"/>
  <c r="AT952" i="1"/>
  <c r="AU952" i="1"/>
  <c r="AV952" i="1"/>
  <c r="AX952" i="1"/>
  <c r="AY952" i="1"/>
  <c r="AZ952" i="1"/>
  <c r="BA952" i="1"/>
  <c r="AO953" i="1"/>
  <c r="AP953" i="1"/>
  <c r="AR953" i="1"/>
  <c r="AS953" i="1"/>
  <c r="AT953" i="1"/>
  <c r="AU953" i="1"/>
  <c r="AV953" i="1"/>
  <c r="AX953" i="1"/>
  <c r="AY953" i="1"/>
  <c r="AZ953" i="1"/>
  <c r="BA953" i="1"/>
  <c r="AO954" i="1"/>
  <c r="AP954" i="1"/>
  <c r="AR954" i="1"/>
  <c r="AS954" i="1"/>
  <c r="AT954" i="1"/>
  <c r="AU954" i="1"/>
  <c r="AV954" i="1"/>
  <c r="AX954" i="1"/>
  <c r="AY954" i="1"/>
  <c r="AZ954" i="1"/>
  <c r="BA954" i="1"/>
  <c r="AO955" i="1"/>
  <c r="AP955" i="1"/>
  <c r="AR955" i="1"/>
  <c r="AS955" i="1"/>
  <c r="AT955" i="1"/>
  <c r="AU955" i="1"/>
  <c r="AV955" i="1"/>
  <c r="AX955" i="1"/>
  <c r="AY955" i="1"/>
  <c r="AO956" i="1"/>
  <c r="AP956" i="1"/>
  <c r="AR956" i="1"/>
  <c r="AS956" i="1"/>
  <c r="AT956" i="1"/>
  <c r="AU956" i="1"/>
  <c r="AV956" i="1"/>
  <c r="AX956" i="1"/>
  <c r="AY956" i="1"/>
  <c r="AZ956" i="1"/>
  <c r="BA956" i="1"/>
  <c r="AO957" i="1"/>
  <c r="AP957" i="1"/>
  <c r="AR957" i="1"/>
  <c r="AS957" i="1"/>
  <c r="AT957" i="1"/>
  <c r="AU957" i="1"/>
  <c r="AV957" i="1"/>
  <c r="AX957" i="1"/>
  <c r="AY957" i="1"/>
  <c r="AZ957" i="1"/>
  <c r="BA957" i="1"/>
  <c r="AO958" i="1"/>
  <c r="AP958" i="1"/>
  <c r="AR958" i="1"/>
  <c r="AS958" i="1"/>
  <c r="AT958" i="1"/>
  <c r="AU958" i="1"/>
  <c r="AV958" i="1"/>
  <c r="AX958" i="1"/>
  <c r="AY958" i="1"/>
  <c r="AZ958" i="1"/>
  <c r="BA958" i="1"/>
  <c r="AO959" i="1"/>
  <c r="AP959" i="1"/>
  <c r="AR959" i="1"/>
  <c r="AS959" i="1"/>
  <c r="AT959" i="1"/>
  <c r="AU959" i="1"/>
  <c r="AV959" i="1"/>
  <c r="AX959" i="1"/>
  <c r="AY959" i="1"/>
  <c r="AZ959" i="1"/>
  <c r="BA959" i="1"/>
  <c r="AO960" i="1"/>
  <c r="AP960" i="1"/>
  <c r="AR960" i="1"/>
  <c r="AS960" i="1"/>
  <c r="AT960" i="1"/>
  <c r="AU960" i="1"/>
  <c r="AV960" i="1"/>
  <c r="AX960" i="1"/>
  <c r="AY960" i="1"/>
  <c r="AZ960" i="1"/>
  <c r="BA960" i="1"/>
  <c r="AO961" i="1"/>
  <c r="AP961" i="1"/>
  <c r="AR961" i="1"/>
  <c r="AS961" i="1"/>
  <c r="AT961" i="1"/>
  <c r="AU961" i="1"/>
  <c r="AV961" i="1"/>
  <c r="AX961" i="1"/>
  <c r="AY961" i="1"/>
  <c r="AZ961" i="1"/>
  <c r="BA961" i="1"/>
  <c r="AO962" i="1"/>
  <c r="AP962" i="1"/>
  <c r="AR962" i="1"/>
  <c r="AS962" i="1"/>
  <c r="AT962" i="1"/>
  <c r="AU962" i="1"/>
  <c r="AV962" i="1"/>
  <c r="AX962" i="1"/>
  <c r="AY962" i="1"/>
  <c r="AZ962" i="1"/>
  <c r="BA962" i="1"/>
  <c r="AO963" i="1"/>
  <c r="AP963" i="1"/>
  <c r="AR963" i="1"/>
  <c r="AS963" i="1"/>
  <c r="AT963" i="1"/>
  <c r="AU963" i="1"/>
  <c r="AV963" i="1"/>
  <c r="AX963" i="1"/>
  <c r="AY963" i="1"/>
  <c r="AZ963" i="1"/>
  <c r="BA963" i="1"/>
  <c r="AO964" i="1"/>
  <c r="AP964" i="1"/>
  <c r="AR964" i="1"/>
  <c r="AS964" i="1"/>
  <c r="AT964" i="1"/>
  <c r="AU964" i="1"/>
  <c r="AV964" i="1"/>
  <c r="AX964" i="1"/>
  <c r="AY964" i="1"/>
  <c r="AZ964" i="1"/>
  <c r="BA964" i="1"/>
  <c r="AO965" i="1"/>
  <c r="AP965" i="1"/>
  <c r="AR965" i="1"/>
  <c r="AS965" i="1"/>
  <c r="AT965" i="1"/>
  <c r="AU965" i="1"/>
  <c r="AV965" i="1"/>
  <c r="AX965" i="1"/>
  <c r="AY965" i="1"/>
  <c r="AO966" i="1"/>
  <c r="AP966" i="1"/>
  <c r="AR966" i="1"/>
  <c r="AS966" i="1"/>
  <c r="AT966" i="1"/>
  <c r="AU966" i="1"/>
  <c r="AV966" i="1"/>
  <c r="AX966" i="1"/>
  <c r="AY966" i="1"/>
  <c r="AZ966" i="1"/>
  <c r="BA966" i="1"/>
  <c r="AO967" i="1"/>
  <c r="AP967" i="1"/>
  <c r="AR967" i="1"/>
  <c r="AS967" i="1"/>
  <c r="AT967" i="1"/>
  <c r="AU967" i="1"/>
  <c r="AV967" i="1"/>
  <c r="AX967" i="1"/>
  <c r="AY967" i="1"/>
  <c r="AZ967" i="1"/>
  <c r="BA967" i="1"/>
  <c r="AO968" i="1"/>
  <c r="AP968" i="1"/>
  <c r="AR968" i="1"/>
  <c r="AS968" i="1"/>
  <c r="AT968" i="1"/>
  <c r="AU968" i="1"/>
  <c r="AV968" i="1"/>
  <c r="AX968" i="1"/>
  <c r="AY968" i="1"/>
  <c r="AZ968" i="1"/>
  <c r="BA968" i="1"/>
  <c r="AO969" i="1"/>
  <c r="AP969" i="1"/>
  <c r="AR969" i="1"/>
  <c r="AS969" i="1"/>
  <c r="AT969" i="1"/>
  <c r="AU969" i="1"/>
  <c r="AV969" i="1"/>
  <c r="AX969" i="1"/>
  <c r="AY969" i="1"/>
  <c r="AZ969" i="1"/>
  <c r="BA969" i="1"/>
  <c r="AO970" i="1"/>
  <c r="AP970" i="1"/>
  <c r="AR970" i="1"/>
  <c r="AS970" i="1"/>
  <c r="AT970" i="1"/>
  <c r="AU970" i="1"/>
  <c r="AV970" i="1"/>
  <c r="AX970" i="1"/>
  <c r="AY970" i="1"/>
  <c r="AZ970" i="1"/>
  <c r="BA970" i="1"/>
  <c r="AO971" i="1"/>
  <c r="AP971" i="1"/>
  <c r="AR971" i="1"/>
  <c r="AS971" i="1"/>
  <c r="AT971" i="1"/>
  <c r="AU971" i="1"/>
  <c r="AV971" i="1"/>
  <c r="AX971" i="1"/>
  <c r="AY971" i="1"/>
  <c r="AZ971" i="1"/>
  <c r="BA971" i="1"/>
  <c r="AO972" i="1"/>
  <c r="AP972" i="1"/>
  <c r="AR972" i="1"/>
  <c r="AS972" i="1"/>
  <c r="AT972" i="1"/>
  <c r="AU972" i="1"/>
  <c r="AV972" i="1"/>
  <c r="AX972" i="1"/>
  <c r="AY972" i="1"/>
  <c r="AZ972" i="1"/>
  <c r="BA972" i="1"/>
  <c r="AO973" i="1"/>
  <c r="AP973" i="1"/>
  <c r="AR973" i="1"/>
  <c r="AS973" i="1"/>
  <c r="AT973" i="1"/>
  <c r="AU973" i="1"/>
  <c r="AV973" i="1"/>
  <c r="AX973" i="1"/>
  <c r="AY973" i="1"/>
  <c r="AZ973" i="1"/>
  <c r="BA973" i="1"/>
  <c r="AO974" i="1"/>
  <c r="AP974" i="1"/>
  <c r="AR974" i="1"/>
  <c r="AS974" i="1"/>
  <c r="AT974" i="1"/>
  <c r="AU974" i="1"/>
  <c r="AV974" i="1"/>
  <c r="AX974" i="1"/>
  <c r="AY974" i="1"/>
  <c r="AZ974" i="1"/>
  <c r="BA974" i="1"/>
  <c r="AO975" i="1"/>
  <c r="AP975" i="1"/>
  <c r="AR975" i="1"/>
  <c r="AS975" i="1"/>
  <c r="AT975" i="1"/>
  <c r="AU975" i="1"/>
  <c r="AV975" i="1"/>
  <c r="AX975" i="1"/>
  <c r="AY975" i="1"/>
  <c r="AZ975" i="1"/>
  <c r="BA975" i="1"/>
  <c r="AO976" i="1"/>
  <c r="AP976" i="1"/>
  <c r="AR976" i="1"/>
  <c r="AS976" i="1"/>
  <c r="AT976" i="1"/>
  <c r="AU976" i="1"/>
  <c r="AV976" i="1"/>
  <c r="AX976" i="1"/>
  <c r="AY976" i="1"/>
  <c r="AZ976" i="1"/>
  <c r="BA976" i="1"/>
  <c r="AO977" i="1"/>
  <c r="AP977" i="1"/>
  <c r="AR977" i="1"/>
  <c r="AS977" i="1"/>
  <c r="AT977" i="1"/>
  <c r="AU977" i="1"/>
  <c r="AV977" i="1"/>
  <c r="AX977" i="1"/>
  <c r="AY977" i="1"/>
  <c r="AZ977" i="1"/>
  <c r="BA977" i="1"/>
  <c r="AO978" i="1"/>
  <c r="AP978" i="1"/>
  <c r="AR978" i="1"/>
  <c r="AS978" i="1"/>
  <c r="AT978" i="1"/>
  <c r="AU978" i="1"/>
  <c r="AV978" i="1"/>
  <c r="AX978" i="1"/>
  <c r="AY978" i="1"/>
  <c r="AZ978" i="1"/>
  <c r="BA978" i="1"/>
  <c r="AO979" i="1"/>
  <c r="AP979" i="1"/>
  <c r="AR979" i="1"/>
  <c r="AS979" i="1"/>
  <c r="AT979" i="1"/>
  <c r="AU979" i="1"/>
  <c r="AV979" i="1"/>
  <c r="AX979" i="1"/>
  <c r="AY979" i="1"/>
  <c r="AZ979" i="1"/>
  <c r="BA979" i="1"/>
  <c r="AO980" i="1"/>
  <c r="AP980" i="1"/>
  <c r="AR980" i="1"/>
  <c r="AS980" i="1"/>
  <c r="AT980" i="1"/>
  <c r="AU980" i="1"/>
  <c r="AV980" i="1"/>
  <c r="AX980" i="1"/>
  <c r="AY980" i="1"/>
  <c r="AZ980" i="1"/>
  <c r="BA980" i="1"/>
  <c r="AO981" i="1"/>
  <c r="AP981" i="1"/>
  <c r="AR981" i="1"/>
  <c r="AS981" i="1"/>
  <c r="AT981" i="1"/>
  <c r="AU981" i="1"/>
  <c r="AV981" i="1"/>
  <c r="AX981" i="1"/>
  <c r="AY981" i="1"/>
  <c r="AZ981" i="1"/>
  <c r="BA981" i="1"/>
  <c r="AO982" i="1"/>
  <c r="AP982" i="1"/>
  <c r="AR982" i="1"/>
  <c r="AS982" i="1"/>
  <c r="AT982" i="1"/>
  <c r="AU982" i="1"/>
  <c r="AV982" i="1"/>
  <c r="AX982" i="1"/>
  <c r="AY982" i="1"/>
  <c r="AZ982" i="1"/>
  <c r="BA982" i="1"/>
  <c r="AO983" i="1"/>
  <c r="AP983" i="1"/>
  <c r="AR983" i="1"/>
  <c r="AS983" i="1"/>
  <c r="AT983" i="1"/>
  <c r="AU983" i="1"/>
  <c r="AV983" i="1"/>
  <c r="AX983" i="1"/>
  <c r="AY983" i="1"/>
  <c r="AZ983" i="1"/>
  <c r="BA983" i="1"/>
  <c r="AO984" i="1"/>
  <c r="AP984" i="1"/>
  <c r="AR984" i="1"/>
  <c r="AS984" i="1"/>
  <c r="AT984" i="1"/>
  <c r="AU984" i="1"/>
  <c r="AV984" i="1"/>
  <c r="AX984" i="1"/>
  <c r="AY984" i="1"/>
  <c r="AZ984" i="1"/>
  <c r="BA984" i="1"/>
  <c r="AO985" i="1"/>
  <c r="AP985" i="1"/>
  <c r="AR985" i="1"/>
  <c r="AS985" i="1"/>
  <c r="AT985" i="1"/>
  <c r="AU985" i="1"/>
  <c r="AV985" i="1"/>
  <c r="AX985" i="1"/>
  <c r="AY985" i="1"/>
  <c r="AZ985" i="1"/>
  <c r="BA985" i="1"/>
  <c r="AO986" i="1"/>
  <c r="AP986" i="1"/>
  <c r="AR986" i="1"/>
  <c r="AS986" i="1"/>
  <c r="AT986" i="1"/>
  <c r="AU986" i="1"/>
  <c r="AV986" i="1"/>
  <c r="AX986" i="1"/>
  <c r="AY986" i="1"/>
  <c r="AZ986" i="1"/>
  <c r="BA986" i="1"/>
  <c r="AO987" i="1"/>
  <c r="AP987" i="1"/>
  <c r="AR987" i="1"/>
  <c r="AS987" i="1"/>
  <c r="AT987" i="1"/>
  <c r="AU987" i="1"/>
  <c r="AV987" i="1"/>
  <c r="AX987" i="1"/>
  <c r="AY987" i="1"/>
  <c r="AO988" i="1"/>
  <c r="AP988" i="1"/>
  <c r="AR988" i="1"/>
  <c r="AS988" i="1"/>
  <c r="AT988" i="1"/>
  <c r="AU988" i="1"/>
  <c r="AV988" i="1"/>
  <c r="AX988" i="1"/>
  <c r="AY988" i="1"/>
  <c r="AZ988" i="1"/>
  <c r="BA988" i="1"/>
  <c r="AO989" i="1"/>
  <c r="AP989" i="1"/>
  <c r="AR989" i="1"/>
  <c r="AS989" i="1"/>
  <c r="AT989" i="1"/>
  <c r="AU989" i="1"/>
  <c r="AV989" i="1"/>
  <c r="AX989" i="1"/>
  <c r="AY989" i="1"/>
  <c r="AZ989" i="1"/>
  <c r="BA989" i="1"/>
  <c r="AO990" i="1"/>
  <c r="AP990" i="1"/>
  <c r="AR990" i="1"/>
  <c r="AS990" i="1"/>
  <c r="AT990" i="1"/>
  <c r="AU990" i="1"/>
  <c r="AV990" i="1"/>
  <c r="AX990" i="1"/>
  <c r="AY990" i="1"/>
  <c r="AZ990" i="1"/>
  <c r="BA990" i="1"/>
  <c r="AO991" i="1"/>
  <c r="AP991" i="1"/>
  <c r="AR991" i="1"/>
  <c r="AS991" i="1"/>
  <c r="AT991" i="1"/>
  <c r="AU991" i="1"/>
  <c r="AV991" i="1"/>
  <c r="AX991" i="1"/>
  <c r="AY991" i="1"/>
  <c r="AO992" i="1"/>
  <c r="AP992" i="1"/>
  <c r="AR992" i="1"/>
  <c r="AS992" i="1"/>
  <c r="AT992" i="1"/>
  <c r="AU992" i="1"/>
  <c r="AV992" i="1"/>
  <c r="AX992" i="1"/>
  <c r="AY992" i="1"/>
  <c r="AZ992" i="1"/>
  <c r="BA992" i="1"/>
  <c r="AO993" i="1"/>
  <c r="AP993" i="1"/>
  <c r="AR993" i="1"/>
  <c r="AS993" i="1"/>
  <c r="AT993" i="1"/>
  <c r="AU993" i="1"/>
  <c r="AV993" i="1"/>
  <c r="AX993" i="1"/>
  <c r="AY993" i="1"/>
  <c r="AZ993" i="1"/>
  <c r="BA993" i="1"/>
  <c r="AO994" i="1"/>
  <c r="AP994" i="1"/>
  <c r="AR994" i="1"/>
  <c r="AS994" i="1"/>
  <c r="AT994" i="1"/>
  <c r="AU994" i="1"/>
  <c r="AV994" i="1"/>
  <c r="AX994" i="1"/>
  <c r="AY994" i="1"/>
  <c r="AZ994" i="1"/>
  <c r="BA994" i="1"/>
  <c r="AO995" i="1"/>
  <c r="AP995" i="1"/>
  <c r="AR995" i="1"/>
  <c r="AS995" i="1"/>
  <c r="AT995" i="1"/>
  <c r="AU995" i="1"/>
  <c r="AV995" i="1"/>
  <c r="AX995" i="1"/>
  <c r="AY995" i="1"/>
  <c r="AZ995" i="1"/>
  <c r="BA995" i="1"/>
  <c r="AO996" i="1"/>
  <c r="AP996" i="1"/>
  <c r="AR996" i="1"/>
  <c r="AS996" i="1"/>
  <c r="AT996" i="1"/>
  <c r="AU996" i="1"/>
  <c r="AV996" i="1"/>
  <c r="AX996" i="1"/>
  <c r="AY996" i="1"/>
  <c r="AZ996" i="1"/>
  <c r="BA996" i="1"/>
  <c r="AO997" i="1"/>
  <c r="AP997" i="1"/>
  <c r="AR997" i="1"/>
  <c r="AS997" i="1"/>
  <c r="AT997" i="1"/>
  <c r="AU997" i="1"/>
  <c r="AV997" i="1"/>
  <c r="AX997" i="1"/>
  <c r="AY997" i="1"/>
  <c r="AZ997" i="1"/>
  <c r="BA997" i="1"/>
  <c r="AO998" i="1"/>
  <c r="AP998" i="1"/>
  <c r="AR998" i="1"/>
  <c r="AS998" i="1"/>
  <c r="AT998" i="1"/>
  <c r="AU998" i="1"/>
  <c r="AV998" i="1"/>
  <c r="AX998" i="1"/>
  <c r="AY998" i="1"/>
  <c r="AZ998" i="1"/>
  <c r="BA998" i="1"/>
  <c r="AO999" i="1"/>
  <c r="AP999" i="1"/>
  <c r="AR999" i="1"/>
  <c r="AS999" i="1"/>
  <c r="AT999" i="1"/>
  <c r="AU999" i="1"/>
  <c r="AV999" i="1"/>
  <c r="AX999" i="1"/>
  <c r="AY999" i="1"/>
  <c r="AZ999" i="1"/>
  <c r="BA999" i="1"/>
  <c r="AO1000" i="1"/>
  <c r="AP1000" i="1"/>
  <c r="AR1000" i="1"/>
  <c r="AS1000" i="1"/>
  <c r="AT1000" i="1"/>
  <c r="AU1000" i="1"/>
  <c r="AV1000" i="1"/>
  <c r="AX1000" i="1"/>
  <c r="AY1000" i="1"/>
  <c r="AZ1000" i="1"/>
  <c r="BA1000" i="1"/>
  <c r="AO1001" i="1"/>
  <c r="AP1001" i="1"/>
  <c r="AR1001" i="1"/>
  <c r="AS1001" i="1"/>
  <c r="AT1001" i="1"/>
  <c r="AU1001" i="1"/>
  <c r="AV1001" i="1"/>
  <c r="AX1001" i="1"/>
  <c r="AY1001" i="1"/>
  <c r="AZ1001" i="1"/>
  <c r="BA1001" i="1"/>
  <c r="AO1002" i="1"/>
  <c r="AP1002" i="1"/>
  <c r="AR1002" i="1"/>
  <c r="AS1002" i="1"/>
  <c r="AT1002" i="1"/>
  <c r="AU1002" i="1"/>
  <c r="AV1002" i="1"/>
  <c r="AX1002" i="1"/>
  <c r="AY1002" i="1"/>
  <c r="AZ1002" i="1"/>
  <c r="BA1002" i="1"/>
  <c r="AO1003" i="1"/>
  <c r="AP1003" i="1"/>
  <c r="AR1003" i="1"/>
  <c r="AS1003" i="1"/>
  <c r="AT1003" i="1"/>
  <c r="AU1003" i="1"/>
  <c r="AV1003" i="1"/>
  <c r="AX1003" i="1"/>
  <c r="AY1003" i="1"/>
  <c r="AZ1003" i="1"/>
  <c r="BA1003" i="1"/>
  <c r="AO1004" i="1"/>
  <c r="AP1004" i="1"/>
  <c r="AR1004" i="1"/>
  <c r="AS1004" i="1"/>
  <c r="AT1004" i="1"/>
  <c r="AU1004" i="1"/>
  <c r="AV1004" i="1"/>
  <c r="AX1004" i="1"/>
  <c r="AY1004" i="1"/>
  <c r="AZ1004" i="1"/>
  <c r="BA1004" i="1"/>
  <c r="AO1005" i="1"/>
  <c r="AP1005" i="1"/>
  <c r="AR1005" i="1"/>
  <c r="AS1005" i="1"/>
  <c r="AT1005" i="1"/>
  <c r="AU1005" i="1"/>
  <c r="AV1005" i="1"/>
  <c r="AX1005" i="1"/>
  <c r="AY1005" i="1"/>
  <c r="AZ1005" i="1"/>
  <c r="BA1005" i="1"/>
  <c r="AO1006" i="1"/>
  <c r="AP1006" i="1"/>
  <c r="AR1006" i="1"/>
  <c r="AS1006" i="1"/>
  <c r="AT1006" i="1"/>
  <c r="AU1006" i="1"/>
  <c r="AV1006" i="1"/>
  <c r="AX1006" i="1"/>
  <c r="AY1006" i="1"/>
  <c r="AZ1006" i="1"/>
  <c r="BA1006" i="1"/>
  <c r="AO1007" i="1"/>
  <c r="AP1007" i="1"/>
  <c r="AR1007" i="1"/>
  <c r="AS1007" i="1"/>
  <c r="AT1007" i="1"/>
  <c r="AU1007" i="1"/>
  <c r="AV1007" i="1"/>
  <c r="AX1007" i="1"/>
  <c r="AY1007" i="1"/>
  <c r="AZ1007" i="1"/>
  <c r="BA1007" i="1"/>
  <c r="AO1008" i="1"/>
  <c r="AP1008" i="1"/>
  <c r="AR1008" i="1"/>
  <c r="AS1008" i="1"/>
  <c r="AT1008" i="1"/>
  <c r="AU1008" i="1"/>
  <c r="AV1008" i="1"/>
  <c r="AX1008" i="1"/>
  <c r="AY1008" i="1"/>
  <c r="AZ1008" i="1"/>
  <c r="BA1008" i="1"/>
  <c r="AO1009" i="1"/>
  <c r="AP1009" i="1"/>
  <c r="AR1009" i="1"/>
  <c r="AS1009" i="1"/>
  <c r="AT1009" i="1"/>
  <c r="AU1009" i="1"/>
  <c r="AV1009" i="1"/>
  <c r="AX1009" i="1"/>
  <c r="AY1009" i="1"/>
  <c r="AZ1009" i="1"/>
  <c r="BA1009" i="1"/>
  <c r="AO1010" i="1"/>
  <c r="AP1010" i="1"/>
  <c r="AR1010" i="1"/>
  <c r="AS1010" i="1"/>
  <c r="AT1010" i="1"/>
  <c r="AU1010" i="1"/>
  <c r="AV1010" i="1"/>
  <c r="AX1010" i="1"/>
  <c r="AY1010" i="1"/>
  <c r="AZ1010" i="1"/>
  <c r="BA1010" i="1"/>
  <c r="AO1011" i="1"/>
  <c r="AP1011" i="1"/>
  <c r="AR1011" i="1"/>
  <c r="AS1011" i="1"/>
  <c r="AT1011" i="1"/>
  <c r="AU1011" i="1"/>
  <c r="AV1011" i="1"/>
  <c r="AX1011" i="1"/>
  <c r="AY1011" i="1"/>
  <c r="AZ1011" i="1"/>
  <c r="BA1011" i="1"/>
  <c r="AO1012" i="1"/>
  <c r="AP1012" i="1"/>
  <c r="AR1012" i="1"/>
  <c r="AS1012" i="1"/>
  <c r="AT1012" i="1"/>
  <c r="AU1012" i="1"/>
  <c r="AV1012" i="1"/>
  <c r="AX1012" i="1"/>
  <c r="AY1012" i="1"/>
  <c r="AZ1012" i="1"/>
  <c r="BA1012" i="1"/>
  <c r="AO1013" i="1"/>
  <c r="AP1013" i="1"/>
  <c r="AR1013" i="1"/>
  <c r="AS1013" i="1"/>
  <c r="AT1013" i="1"/>
  <c r="AU1013" i="1"/>
  <c r="AV1013" i="1"/>
  <c r="AX1013" i="1"/>
  <c r="AY1013" i="1"/>
  <c r="AZ1013" i="1"/>
  <c r="BA1013" i="1"/>
  <c r="AO1014" i="1"/>
  <c r="AP1014" i="1"/>
  <c r="AR1014" i="1"/>
  <c r="AS1014" i="1"/>
  <c r="AT1014" i="1"/>
  <c r="AU1014" i="1"/>
  <c r="AV1014" i="1"/>
  <c r="AX1014" i="1"/>
  <c r="AY1014" i="1"/>
  <c r="AZ1014" i="1"/>
  <c r="BA1014" i="1"/>
  <c r="AO1015" i="1"/>
  <c r="AP1015" i="1"/>
  <c r="AR1015" i="1"/>
  <c r="AS1015" i="1"/>
  <c r="AT1015" i="1"/>
  <c r="AU1015" i="1"/>
  <c r="AV1015" i="1"/>
  <c r="AX1015" i="1"/>
  <c r="AY1015" i="1"/>
  <c r="AZ1015" i="1"/>
  <c r="BA1015" i="1"/>
  <c r="AO1016" i="1"/>
  <c r="AP1016" i="1"/>
  <c r="AR1016" i="1"/>
  <c r="AS1016" i="1"/>
  <c r="AT1016" i="1"/>
  <c r="AU1016" i="1"/>
  <c r="AV1016" i="1"/>
  <c r="AX1016" i="1"/>
  <c r="AY1016" i="1"/>
  <c r="AZ1016" i="1"/>
  <c r="BA1016" i="1"/>
  <c r="AO1017" i="1"/>
  <c r="AP1017" i="1"/>
  <c r="AR1017" i="1"/>
  <c r="AS1017" i="1"/>
  <c r="AT1017" i="1"/>
  <c r="AU1017" i="1"/>
  <c r="AV1017" i="1"/>
  <c r="AX1017" i="1"/>
  <c r="AY1017" i="1"/>
  <c r="AZ1017" i="1"/>
  <c r="BA1017" i="1"/>
  <c r="AO1018" i="1"/>
  <c r="AP1018" i="1"/>
  <c r="AR1018" i="1"/>
  <c r="AS1018" i="1"/>
  <c r="AT1018" i="1"/>
  <c r="AU1018" i="1"/>
  <c r="AV1018" i="1"/>
  <c r="AX1018" i="1"/>
  <c r="AY1018" i="1"/>
  <c r="AZ1018" i="1"/>
  <c r="BA1018" i="1"/>
  <c r="AO1019" i="1"/>
  <c r="AP1019" i="1"/>
  <c r="AR1019" i="1"/>
  <c r="AS1019" i="1"/>
  <c r="AT1019" i="1"/>
  <c r="AU1019" i="1"/>
  <c r="AV1019" i="1"/>
  <c r="AX1019" i="1"/>
  <c r="AY1019" i="1"/>
  <c r="AZ1019" i="1"/>
  <c r="BA1019" i="1"/>
  <c r="AO1020" i="1"/>
  <c r="AP1020" i="1"/>
  <c r="AR1020" i="1"/>
  <c r="AS1020" i="1"/>
  <c r="AT1020" i="1"/>
  <c r="AU1020" i="1"/>
  <c r="AV1020" i="1"/>
  <c r="AX1020" i="1"/>
  <c r="AY1020" i="1"/>
  <c r="AZ1020" i="1"/>
  <c r="BA1020" i="1"/>
  <c r="AO1021" i="1"/>
  <c r="AP1021" i="1"/>
  <c r="AR1021" i="1"/>
  <c r="AS1021" i="1"/>
  <c r="AT1021" i="1"/>
  <c r="AU1021" i="1"/>
  <c r="AV1021" i="1"/>
  <c r="AX1021" i="1"/>
  <c r="AY1021" i="1"/>
  <c r="AZ1021" i="1"/>
  <c r="BA1021" i="1"/>
  <c r="AO1022" i="1"/>
  <c r="AP1022" i="1"/>
  <c r="AR1022" i="1"/>
  <c r="AS1022" i="1"/>
  <c r="AT1022" i="1"/>
  <c r="AU1022" i="1"/>
  <c r="AV1022" i="1"/>
  <c r="AX1022" i="1"/>
  <c r="AY1022" i="1"/>
  <c r="AZ1022" i="1"/>
  <c r="BA1022" i="1"/>
  <c r="AO1023" i="1"/>
  <c r="AP1023" i="1"/>
  <c r="AR1023" i="1"/>
  <c r="AS1023" i="1"/>
  <c r="AT1023" i="1"/>
  <c r="AU1023" i="1"/>
  <c r="AV1023" i="1"/>
  <c r="AX1023" i="1"/>
  <c r="AY1023" i="1"/>
  <c r="AZ1023" i="1"/>
  <c r="BA1023" i="1"/>
  <c r="AO1024" i="1"/>
  <c r="AP1024" i="1"/>
  <c r="AR1024" i="1"/>
  <c r="AS1024" i="1"/>
  <c r="AT1024" i="1"/>
  <c r="AU1024" i="1"/>
  <c r="AV1024" i="1"/>
  <c r="AX1024" i="1"/>
  <c r="AY1024" i="1"/>
  <c r="AZ1024" i="1"/>
  <c r="BA1024" i="1"/>
  <c r="AO1025" i="1"/>
  <c r="AP1025" i="1"/>
  <c r="AR1025" i="1"/>
  <c r="AS1025" i="1"/>
  <c r="AT1025" i="1"/>
  <c r="AU1025" i="1"/>
  <c r="AV1025" i="1"/>
  <c r="AX1025" i="1"/>
  <c r="AY1025" i="1"/>
  <c r="AZ1025" i="1"/>
  <c r="BA1025" i="1"/>
  <c r="AO1026" i="1"/>
  <c r="AP1026" i="1"/>
  <c r="AR1026" i="1"/>
  <c r="AS1026" i="1"/>
  <c r="AT1026" i="1"/>
  <c r="AU1026" i="1"/>
  <c r="AV1026" i="1"/>
  <c r="AX1026" i="1"/>
  <c r="AY1026" i="1"/>
  <c r="AZ1026" i="1"/>
  <c r="BA1026" i="1"/>
  <c r="AO1027" i="1"/>
  <c r="AP1027" i="1"/>
  <c r="AR1027" i="1"/>
  <c r="AS1027" i="1"/>
  <c r="AT1027" i="1"/>
  <c r="AU1027" i="1"/>
  <c r="AV1027" i="1"/>
  <c r="AX1027" i="1"/>
  <c r="AY1027" i="1"/>
  <c r="AZ1027" i="1"/>
  <c r="BA1027" i="1"/>
  <c r="AO1028" i="1"/>
  <c r="AP1028" i="1"/>
  <c r="AR1028" i="1"/>
  <c r="AS1028" i="1"/>
  <c r="AT1028" i="1"/>
  <c r="AU1028" i="1"/>
  <c r="AV1028" i="1"/>
  <c r="AX1028" i="1"/>
  <c r="AY1028" i="1"/>
  <c r="AZ1028" i="1"/>
  <c r="BA1028" i="1"/>
  <c r="AO1029" i="1"/>
  <c r="AP1029" i="1"/>
  <c r="AR1029" i="1"/>
  <c r="AS1029" i="1"/>
  <c r="AT1029" i="1"/>
  <c r="AU1029" i="1"/>
  <c r="AV1029" i="1"/>
  <c r="AX1029" i="1"/>
  <c r="AY1029" i="1"/>
  <c r="AZ1029" i="1"/>
  <c r="BA1029" i="1"/>
  <c r="AO1030" i="1"/>
  <c r="AP1030" i="1"/>
  <c r="AR1030" i="1"/>
  <c r="AS1030" i="1"/>
  <c r="AT1030" i="1"/>
  <c r="AU1030" i="1"/>
  <c r="AV1030" i="1"/>
  <c r="AX1030" i="1"/>
  <c r="AY1030" i="1"/>
  <c r="AZ1030" i="1"/>
  <c r="BA1030" i="1"/>
  <c r="AO1031" i="1"/>
  <c r="AP1031" i="1"/>
  <c r="AR1031" i="1"/>
  <c r="AS1031" i="1"/>
  <c r="AT1031" i="1"/>
  <c r="AU1031" i="1"/>
  <c r="AV1031" i="1"/>
  <c r="AX1031" i="1"/>
  <c r="AY1031" i="1"/>
  <c r="AZ1031" i="1"/>
  <c r="BA1031" i="1"/>
  <c r="AO1032" i="1"/>
  <c r="AP1032" i="1"/>
  <c r="AR1032" i="1"/>
  <c r="AS1032" i="1"/>
  <c r="AT1032" i="1"/>
  <c r="AU1032" i="1"/>
  <c r="AV1032" i="1"/>
  <c r="AX1032" i="1"/>
  <c r="AY1032" i="1"/>
  <c r="AZ1032" i="1"/>
  <c r="BA1032" i="1"/>
  <c r="AO1033" i="1"/>
  <c r="AP1033" i="1"/>
  <c r="AR1033" i="1"/>
  <c r="AS1033" i="1"/>
  <c r="AT1033" i="1"/>
  <c r="AU1033" i="1"/>
  <c r="AV1033" i="1"/>
  <c r="AX1033" i="1"/>
  <c r="AY1033" i="1"/>
  <c r="AO1034" i="1"/>
  <c r="AP1034" i="1"/>
  <c r="AR1034" i="1"/>
  <c r="AS1034" i="1"/>
  <c r="AT1034" i="1"/>
  <c r="AU1034" i="1"/>
  <c r="AV1034" i="1"/>
  <c r="AX1034" i="1"/>
  <c r="AY1034" i="1"/>
  <c r="AZ1034" i="1"/>
  <c r="BA1034" i="1"/>
  <c r="AO1035" i="1"/>
  <c r="AP1035" i="1"/>
  <c r="AR1035" i="1"/>
  <c r="AS1035" i="1"/>
  <c r="AT1035" i="1"/>
  <c r="AU1035" i="1"/>
  <c r="AV1035" i="1"/>
  <c r="AX1035" i="1"/>
  <c r="AY1035" i="1"/>
  <c r="AZ1035" i="1"/>
  <c r="BA1035" i="1"/>
  <c r="AO1036" i="1"/>
  <c r="AP1036" i="1"/>
  <c r="AR1036" i="1"/>
  <c r="AS1036" i="1"/>
  <c r="AT1036" i="1"/>
  <c r="AU1036" i="1"/>
  <c r="AV1036" i="1"/>
  <c r="AX1036" i="1"/>
  <c r="AY1036" i="1"/>
  <c r="AZ1036" i="1"/>
  <c r="BA1036" i="1"/>
  <c r="AO1037" i="1"/>
  <c r="AP1037" i="1"/>
  <c r="AR1037" i="1"/>
  <c r="AS1037" i="1"/>
  <c r="AT1037" i="1"/>
  <c r="AU1037" i="1"/>
  <c r="AV1037" i="1"/>
  <c r="AX1037" i="1"/>
  <c r="AY1037" i="1"/>
  <c r="AZ1037" i="1"/>
  <c r="BA1037" i="1"/>
  <c r="AO1038" i="1"/>
  <c r="AP1038" i="1"/>
  <c r="AR1038" i="1"/>
  <c r="AS1038" i="1"/>
  <c r="AT1038" i="1"/>
  <c r="AU1038" i="1"/>
  <c r="AV1038" i="1"/>
  <c r="AX1038" i="1"/>
  <c r="AY1038" i="1"/>
  <c r="AZ1038" i="1"/>
  <c r="BA1038" i="1"/>
  <c r="AO1039" i="1"/>
  <c r="AP1039" i="1"/>
  <c r="AR1039" i="1"/>
  <c r="AS1039" i="1"/>
  <c r="AT1039" i="1"/>
  <c r="AU1039" i="1"/>
  <c r="AV1039" i="1"/>
  <c r="AX1039" i="1"/>
  <c r="AY1039" i="1"/>
  <c r="AZ1039" i="1"/>
  <c r="BA1039" i="1"/>
  <c r="AO1040" i="1"/>
  <c r="AP1040" i="1"/>
  <c r="AR1040" i="1"/>
  <c r="AS1040" i="1"/>
  <c r="AT1040" i="1"/>
  <c r="AU1040" i="1"/>
  <c r="AV1040" i="1"/>
  <c r="AX1040" i="1"/>
  <c r="AY1040" i="1"/>
  <c r="AZ1040" i="1"/>
  <c r="BA1040" i="1"/>
  <c r="AO1041" i="1"/>
  <c r="AP1041" i="1"/>
  <c r="AR1041" i="1"/>
  <c r="AS1041" i="1"/>
  <c r="AT1041" i="1"/>
  <c r="AU1041" i="1"/>
  <c r="AV1041" i="1"/>
  <c r="AX1041" i="1"/>
  <c r="AY1041" i="1"/>
  <c r="AZ1041" i="1"/>
  <c r="BA1041" i="1"/>
  <c r="AO1042" i="1"/>
  <c r="AP1042" i="1"/>
  <c r="AR1042" i="1"/>
  <c r="AS1042" i="1"/>
  <c r="AT1042" i="1"/>
  <c r="AU1042" i="1"/>
  <c r="AV1042" i="1"/>
  <c r="AX1042" i="1"/>
  <c r="AY1042" i="1"/>
  <c r="AZ1042" i="1"/>
  <c r="BA1042" i="1"/>
  <c r="AO1043" i="1"/>
  <c r="AP1043" i="1"/>
  <c r="AR1043" i="1"/>
  <c r="AS1043" i="1"/>
  <c r="AT1043" i="1"/>
  <c r="AU1043" i="1"/>
  <c r="AV1043" i="1"/>
  <c r="AX1043" i="1"/>
  <c r="AY1043" i="1"/>
  <c r="AZ1043" i="1"/>
  <c r="BA1043" i="1"/>
  <c r="AO1044" i="1"/>
  <c r="AP1044" i="1"/>
  <c r="AR1044" i="1"/>
  <c r="AS1044" i="1"/>
  <c r="AT1044" i="1"/>
  <c r="AU1044" i="1"/>
  <c r="AV1044" i="1"/>
  <c r="AX1044" i="1"/>
  <c r="AY1044" i="1"/>
  <c r="AZ1044" i="1"/>
  <c r="BA1044" i="1"/>
  <c r="AO1045" i="1"/>
  <c r="AP1045" i="1"/>
  <c r="AR1045" i="1"/>
  <c r="AS1045" i="1"/>
  <c r="AT1045" i="1"/>
  <c r="AU1045" i="1"/>
  <c r="AV1045" i="1"/>
  <c r="AX1045" i="1"/>
  <c r="AY1045" i="1"/>
  <c r="AZ1045" i="1"/>
  <c r="BA1045" i="1"/>
  <c r="AO1046" i="1"/>
  <c r="AP1046" i="1"/>
  <c r="AR1046" i="1"/>
  <c r="AS1046" i="1"/>
  <c r="AT1046" i="1"/>
  <c r="AU1046" i="1"/>
  <c r="AV1046" i="1"/>
  <c r="AX1046" i="1"/>
  <c r="AY1046" i="1"/>
  <c r="AZ1046" i="1"/>
  <c r="BA1046" i="1"/>
  <c r="AO1047" i="1"/>
  <c r="AP1047" i="1"/>
  <c r="AR1047" i="1"/>
  <c r="AS1047" i="1"/>
  <c r="AT1047" i="1"/>
  <c r="AU1047" i="1"/>
  <c r="AV1047" i="1"/>
  <c r="AX1047" i="1"/>
  <c r="AY1047" i="1"/>
  <c r="AZ1047" i="1"/>
  <c r="BA1047" i="1"/>
  <c r="AO1048" i="1"/>
  <c r="AP1048" i="1"/>
  <c r="AR1048" i="1"/>
  <c r="AS1048" i="1"/>
  <c r="AT1048" i="1"/>
  <c r="AU1048" i="1"/>
  <c r="AV1048" i="1"/>
  <c r="AX1048" i="1"/>
  <c r="AY1048" i="1"/>
  <c r="AZ1048" i="1"/>
  <c r="BA1048" i="1"/>
  <c r="AO1049" i="1"/>
  <c r="AP1049" i="1"/>
  <c r="AR1049" i="1"/>
  <c r="AS1049" i="1"/>
  <c r="AT1049" i="1"/>
  <c r="AU1049" i="1"/>
  <c r="AV1049" i="1"/>
  <c r="AX1049" i="1"/>
  <c r="AY1049" i="1"/>
  <c r="AO1050" i="1"/>
  <c r="AP1050" i="1"/>
  <c r="AR1050" i="1"/>
  <c r="AS1050" i="1"/>
  <c r="AT1050" i="1"/>
  <c r="AU1050" i="1"/>
  <c r="AV1050" i="1"/>
  <c r="AX1050" i="1"/>
  <c r="AY1050" i="1"/>
  <c r="AZ1050" i="1"/>
  <c r="BA1050" i="1"/>
  <c r="AO1051" i="1"/>
  <c r="AP1051" i="1"/>
  <c r="AR1051" i="1"/>
  <c r="AS1051" i="1"/>
  <c r="AT1051" i="1"/>
  <c r="AU1051" i="1"/>
  <c r="AV1051" i="1"/>
  <c r="AX1051" i="1"/>
  <c r="AY1051" i="1"/>
  <c r="AZ1051" i="1"/>
  <c r="BA1051" i="1"/>
  <c r="AO1052" i="1"/>
  <c r="AP1052" i="1"/>
  <c r="AR1052" i="1"/>
  <c r="AS1052" i="1"/>
  <c r="AT1052" i="1"/>
  <c r="AU1052" i="1"/>
  <c r="AV1052" i="1"/>
  <c r="AX1052" i="1"/>
  <c r="AY1052" i="1"/>
  <c r="AZ1052" i="1"/>
  <c r="BA1052" i="1"/>
  <c r="AO1053" i="1"/>
  <c r="AP1053" i="1"/>
  <c r="AR1053" i="1"/>
  <c r="AS1053" i="1"/>
  <c r="AT1053" i="1"/>
  <c r="AU1053" i="1"/>
  <c r="AV1053" i="1"/>
  <c r="AX1053" i="1"/>
  <c r="AY1053" i="1"/>
  <c r="AZ1053" i="1"/>
  <c r="BA1053" i="1"/>
  <c r="AO1054" i="1"/>
  <c r="AP1054" i="1"/>
  <c r="AR1054" i="1"/>
  <c r="AS1054" i="1"/>
  <c r="AT1054" i="1"/>
  <c r="AU1054" i="1"/>
  <c r="AV1054" i="1"/>
  <c r="AX1054" i="1"/>
  <c r="AY1054" i="1"/>
  <c r="AZ1054" i="1"/>
  <c r="BA1054" i="1"/>
  <c r="AO1055" i="1"/>
  <c r="AP1055" i="1"/>
  <c r="AR1055" i="1"/>
  <c r="AS1055" i="1"/>
  <c r="AT1055" i="1"/>
  <c r="AU1055" i="1"/>
  <c r="AV1055" i="1"/>
  <c r="AX1055" i="1"/>
  <c r="AY1055" i="1"/>
  <c r="AZ1055" i="1"/>
  <c r="BA1055" i="1"/>
  <c r="AO1056" i="1"/>
  <c r="AP1056" i="1"/>
  <c r="AR1056" i="1"/>
  <c r="AS1056" i="1"/>
  <c r="AT1056" i="1"/>
  <c r="AU1056" i="1"/>
  <c r="AV1056" i="1"/>
  <c r="AX1056" i="1"/>
  <c r="AY1056" i="1"/>
  <c r="AZ1056" i="1"/>
  <c r="BA1056" i="1"/>
  <c r="AO1057" i="1"/>
  <c r="AP1057" i="1"/>
  <c r="AR1057" i="1"/>
  <c r="AS1057" i="1"/>
  <c r="AT1057" i="1"/>
  <c r="AU1057" i="1"/>
  <c r="AV1057" i="1"/>
  <c r="AX1057" i="1"/>
  <c r="AY1057" i="1"/>
  <c r="AZ1057" i="1"/>
  <c r="BA1057" i="1"/>
  <c r="AO1058" i="1"/>
  <c r="AP1058" i="1"/>
  <c r="AR1058" i="1"/>
  <c r="AS1058" i="1"/>
  <c r="AT1058" i="1"/>
  <c r="AU1058" i="1"/>
  <c r="AV1058" i="1"/>
  <c r="AX1058" i="1"/>
  <c r="AY1058" i="1"/>
  <c r="AZ1058" i="1"/>
  <c r="BA1058" i="1"/>
  <c r="AO1059" i="1"/>
  <c r="AP1059" i="1"/>
  <c r="AR1059" i="1"/>
  <c r="AS1059" i="1"/>
  <c r="AT1059" i="1"/>
  <c r="AU1059" i="1"/>
  <c r="AV1059" i="1"/>
  <c r="AX1059" i="1"/>
  <c r="AY1059" i="1"/>
  <c r="AZ1059" i="1"/>
  <c r="BA1059" i="1"/>
  <c r="AO1060" i="1"/>
  <c r="AP1060" i="1"/>
  <c r="AR1060" i="1"/>
  <c r="AS1060" i="1"/>
  <c r="AT1060" i="1"/>
  <c r="AU1060" i="1"/>
  <c r="AV1060" i="1"/>
  <c r="AX1060" i="1"/>
  <c r="AY1060" i="1"/>
  <c r="AZ1060" i="1"/>
  <c r="BA1060" i="1"/>
  <c r="AO1061" i="1"/>
  <c r="AP1061" i="1"/>
  <c r="AR1061" i="1"/>
  <c r="AS1061" i="1"/>
  <c r="AT1061" i="1"/>
  <c r="AU1061" i="1"/>
  <c r="AV1061" i="1"/>
  <c r="AX1061" i="1"/>
  <c r="AY1061" i="1"/>
  <c r="AZ1061" i="1"/>
  <c r="BA1061" i="1"/>
  <c r="AO1062" i="1"/>
  <c r="AP1062" i="1"/>
  <c r="AR1062" i="1"/>
  <c r="AS1062" i="1"/>
  <c r="AT1062" i="1"/>
  <c r="AU1062" i="1"/>
  <c r="AV1062" i="1"/>
  <c r="AX1062" i="1"/>
  <c r="AY1062" i="1"/>
  <c r="AZ1062" i="1"/>
  <c r="BA1062" i="1"/>
  <c r="AO1063" i="1"/>
  <c r="AP1063" i="1"/>
  <c r="AR1063" i="1"/>
  <c r="AS1063" i="1"/>
  <c r="AT1063" i="1"/>
  <c r="AU1063" i="1"/>
  <c r="AV1063" i="1"/>
  <c r="AX1063" i="1"/>
  <c r="AY1063" i="1"/>
  <c r="AZ1063" i="1"/>
  <c r="BA1063" i="1"/>
  <c r="AO1064" i="1"/>
  <c r="AP1064" i="1"/>
  <c r="AR1064" i="1"/>
  <c r="AS1064" i="1"/>
  <c r="AT1064" i="1"/>
  <c r="AU1064" i="1"/>
  <c r="AV1064" i="1"/>
  <c r="AX1064" i="1"/>
  <c r="AY1064" i="1"/>
  <c r="AZ1064" i="1"/>
  <c r="BA1064" i="1"/>
  <c r="AO1065" i="1"/>
  <c r="AP1065" i="1"/>
  <c r="AR1065" i="1"/>
  <c r="AS1065" i="1"/>
  <c r="AT1065" i="1"/>
  <c r="AU1065" i="1"/>
  <c r="AV1065" i="1"/>
  <c r="AX1065" i="1"/>
  <c r="AY1065" i="1"/>
  <c r="AZ1065" i="1"/>
  <c r="BA1065" i="1"/>
  <c r="AO1066" i="1"/>
  <c r="AP1066" i="1"/>
  <c r="AR1066" i="1"/>
  <c r="AS1066" i="1"/>
  <c r="AT1066" i="1"/>
  <c r="AU1066" i="1"/>
  <c r="AV1066" i="1"/>
  <c r="AX1066" i="1"/>
  <c r="AY1066" i="1"/>
  <c r="AZ1066" i="1"/>
  <c r="BA1066" i="1"/>
  <c r="AO1067" i="1"/>
  <c r="AP1067" i="1"/>
  <c r="AR1067" i="1"/>
  <c r="AS1067" i="1"/>
  <c r="AT1067" i="1"/>
  <c r="AU1067" i="1"/>
  <c r="AV1067" i="1"/>
  <c r="AX1067" i="1"/>
  <c r="AY1067" i="1"/>
  <c r="AZ1067" i="1"/>
  <c r="BA1067" i="1"/>
  <c r="AO1068" i="1"/>
  <c r="AP1068" i="1"/>
  <c r="AR1068" i="1"/>
  <c r="AS1068" i="1"/>
  <c r="AT1068" i="1"/>
  <c r="AU1068" i="1"/>
  <c r="AV1068" i="1"/>
  <c r="AX1068" i="1"/>
  <c r="AY1068" i="1"/>
  <c r="AZ1068" i="1"/>
  <c r="BA1068" i="1"/>
  <c r="AO1069" i="1"/>
  <c r="AP1069" i="1"/>
  <c r="AR1069" i="1"/>
  <c r="AS1069" i="1"/>
  <c r="AT1069" i="1"/>
  <c r="AU1069" i="1"/>
  <c r="AV1069" i="1"/>
  <c r="AX1069" i="1"/>
  <c r="AY1069" i="1"/>
  <c r="AZ1069" i="1"/>
  <c r="BA1069" i="1"/>
  <c r="AO1070" i="1"/>
  <c r="AP1070" i="1"/>
  <c r="AR1070" i="1"/>
  <c r="AS1070" i="1"/>
  <c r="AT1070" i="1"/>
  <c r="AU1070" i="1"/>
  <c r="AV1070" i="1"/>
  <c r="AX1070" i="1"/>
  <c r="AY1070" i="1"/>
  <c r="AZ1070" i="1"/>
  <c r="BA1070" i="1"/>
  <c r="AO1071" i="1"/>
  <c r="AP1071" i="1"/>
  <c r="AR1071" i="1"/>
  <c r="AS1071" i="1"/>
  <c r="AT1071" i="1"/>
  <c r="AU1071" i="1"/>
  <c r="AV1071" i="1"/>
  <c r="AX1071" i="1"/>
  <c r="AY1071" i="1"/>
  <c r="AZ1071" i="1"/>
  <c r="BA1071" i="1"/>
  <c r="AO1072" i="1"/>
  <c r="AP1072" i="1"/>
  <c r="AR1072" i="1"/>
  <c r="AS1072" i="1"/>
  <c r="AT1072" i="1"/>
  <c r="AU1072" i="1"/>
  <c r="AV1072" i="1"/>
  <c r="AX1072" i="1"/>
  <c r="AY1072" i="1"/>
  <c r="AZ1072" i="1"/>
  <c r="BA1072" i="1"/>
  <c r="AO1073" i="1"/>
  <c r="AP1073" i="1"/>
  <c r="AR1073" i="1"/>
  <c r="AS1073" i="1"/>
  <c r="AT1073" i="1"/>
  <c r="AU1073" i="1"/>
  <c r="AV1073" i="1"/>
  <c r="AX1073" i="1"/>
  <c r="AY1073" i="1"/>
  <c r="AZ1073" i="1"/>
  <c r="BA1073" i="1"/>
  <c r="AO1074" i="1"/>
  <c r="AP1074" i="1"/>
  <c r="AR1074" i="1"/>
  <c r="AS1074" i="1"/>
  <c r="AT1074" i="1"/>
  <c r="AU1074" i="1"/>
  <c r="AV1074" i="1"/>
  <c r="AX1074" i="1"/>
  <c r="AY1074" i="1"/>
  <c r="AO1075" i="1"/>
  <c r="AP1075" i="1"/>
  <c r="AR1075" i="1"/>
  <c r="AS1075" i="1"/>
  <c r="AT1075" i="1"/>
  <c r="AU1075" i="1"/>
  <c r="AV1075" i="1"/>
  <c r="AX1075" i="1"/>
  <c r="AY1075" i="1"/>
  <c r="AZ1075" i="1"/>
  <c r="BA1075" i="1"/>
  <c r="AO1076" i="1"/>
  <c r="AP1076" i="1"/>
  <c r="AR1076" i="1"/>
  <c r="AS1076" i="1"/>
  <c r="AT1076" i="1"/>
  <c r="AU1076" i="1"/>
  <c r="AV1076" i="1"/>
  <c r="AX1076" i="1"/>
  <c r="AY1076" i="1"/>
  <c r="AZ1076" i="1"/>
  <c r="BA1076" i="1"/>
  <c r="AO1077" i="1"/>
  <c r="AP1077" i="1"/>
  <c r="AR1077" i="1"/>
  <c r="AS1077" i="1"/>
  <c r="AT1077" i="1"/>
  <c r="AU1077" i="1"/>
  <c r="AV1077" i="1"/>
  <c r="AX1077" i="1"/>
  <c r="AY1077" i="1"/>
  <c r="AZ1077" i="1"/>
  <c r="BA1077" i="1"/>
  <c r="AO1078" i="1"/>
  <c r="AP1078" i="1"/>
  <c r="AR1078" i="1"/>
  <c r="AS1078" i="1"/>
  <c r="AT1078" i="1"/>
  <c r="AU1078" i="1"/>
  <c r="AV1078" i="1"/>
  <c r="AX1078" i="1"/>
  <c r="AY1078" i="1"/>
  <c r="AZ1078" i="1"/>
  <c r="BA1078" i="1"/>
  <c r="AO1079" i="1"/>
  <c r="AP1079" i="1"/>
  <c r="AR1079" i="1"/>
  <c r="AS1079" i="1"/>
  <c r="AT1079" i="1"/>
  <c r="AU1079" i="1"/>
  <c r="AV1079" i="1"/>
  <c r="AX1079" i="1"/>
  <c r="AY1079" i="1"/>
  <c r="AO1080" i="1"/>
  <c r="AP1080" i="1"/>
  <c r="AR1080" i="1"/>
  <c r="AS1080" i="1"/>
  <c r="AT1080" i="1"/>
  <c r="AU1080" i="1"/>
  <c r="AV1080" i="1"/>
  <c r="AX1080" i="1"/>
  <c r="AY1080" i="1"/>
  <c r="AZ1080" i="1"/>
  <c r="BA1080" i="1"/>
  <c r="AO1081" i="1"/>
  <c r="AP1081" i="1"/>
  <c r="AR1081" i="1"/>
  <c r="AS1081" i="1"/>
  <c r="AT1081" i="1"/>
  <c r="AU1081" i="1"/>
  <c r="AV1081" i="1"/>
  <c r="AX1081" i="1"/>
  <c r="AY1081" i="1"/>
  <c r="AZ1081" i="1"/>
  <c r="BA1081" i="1"/>
  <c r="AO1082" i="1"/>
  <c r="AP1082" i="1"/>
  <c r="AR1082" i="1"/>
  <c r="AS1082" i="1"/>
  <c r="AT1082" i="1"/>
  <c r="AU1082" i="1"/>
  <c r="AV1082" i="1"/>
  <c r="AX1082" i="1"/>
  <c r="AY1082" i="1"/>
  <c r="AZ1082" i="1"/>
  <c r="BA1082" i="1"/>
  <c r="AO1083" i="1"/>
  <c r="AP1083" i="1"/>
  <c r="AR1083" i="1"/>
  <c r="AS1083" i="1"/>
  <c r="AT1083" i="1"/>
  <c r="AU1083" i="1"/>
  <c r="AV1083" i="1"/>
  <c r="AX1083" i="1"/>
  <c r="AY1083" i="1"/>
  <c r="AZ1083" i="1"/>
  <c r="BA1083" i="1"/>
  <c r="AO1084" i="1"/>
  <c r="AP1084" i="1"/>
  <c r="AR1084" i="1"/>
  <c r="AS1084" i="1"/>
  <c r="AT1084" i="1"/>
  <c r="AU1084" i="1"/>
  <c r="AV1084" i="1"/>
  <c r="AX1084" i="1"/>
  <c r="AY1084" i="1"/>
  <c r="AZ1084" i="1"/>
  <c r="BA1084" i="1"/>
  <c r="AO1085" i="1"/>
  <c r="AP1085" i="1"/>
  <c r="AR1085" i="1"/>
  <c r="AS1085" i="1"/>
  <c r="AT1085" i="1"/>
  <c r="AU1085" i="1"/>
  <c r="AV1085" i="1"/>
  <c r="AX1085" i="1"/>
  <c r="AY1085" i="1"/>
  <c r="AZ1085" i="1"/>
  <c r="BA1085" i="1"/>
  <c r="AO1086" i="1"/>
  <c r="AP1086" i="1"/>
  <c r="AR1086" i="1"/>
  <c r="AS1086" i="1"/>
  <c r="AT1086" i="1"/>
  <c r="AU1086" i="1"/>
  <c r="AV1086" i="1"/>
  <c r="AX1086" i="1"/>
  <c r="AY1086" i="1"/>
  <c r="AZ1086" i="1"/>
  <c r="BA1086" i="1"/>
  <c r="AO1087" i="1"/>
  <c r="AP1087" i="1"/>
  <c r="AR1087" i="1"/>
  <c r="AS1087" i="1"/>
  <c r="AT1087" i="1"/>
  <c r="AU1087" i="1"/>
  <c r="AV1087" i="1"/>
  <c r="AX1087" i="1"/>
  <c r="AY1087" i="1"/>
  <c r="AZ1087" i="1"/>
  <c r="BA1087" i="1"/>
  <c r="AO1088" i="1"/>
  <c r="AP1088" i="1"/>
  <c r="AR1088" i="1"/>
  <c r="AS1088" i="1"/>
  <c r="AT1088" i="1"/>
  <c r="AU1088" i="1"/>
  <c r="AV1088" i="1"/>
  <c r="AX1088" i="1"/>
  <c r="AY1088" i="1"/>
  <c r="AZ1088" i="1"/>
  <c r="BA1088" i="1"/>
  <c r="AO1089" i="1"/>
  <c r="AP1089" i="1"/>
  <c r="AR1089" i="1"/>
  <c r="AS1089" i="1"/>
  <c r="AT1089" i="1"/>
  <c r="AU1089" i="1"/>
  <c r="AV1089" i="1"/>
  <c r="AX1089" i="1"/>
  <c r="AY1089" i="1"/>
  <c r="AZ1089" i="1"/>
  <c r="BA1089" i="1"/>
  <c r="AO1090" i="1"/>
  <c r="AP1090" i="1"/>
  <c r="AR1090" i="1"/>
  <c r="AS1090" i="1"/>
  <c r="AT1090" i="1"/>
  <c r="AU1090" i="1"/>
  <c r="AV1090" i="1"/>
  <c r="AX1090" i="1"/>
  <c r="AY1090" i="1"/>
  <c r="AZ1090" i="1"/>
  <c r="BA1090" i="1"/>
  <c r="AO1091" i="1"/>
  <c r="AP1091" i="1"/>
  <c r="AR1091" i="1"/>
  <c r="AS1091" i="1"/>
  <c r="AT1091" i="1"/>
  <c r="AU1091" i="1"/>
  <c r="AV1091" i="1"/>
  <c r="AX1091" i="1"/>
  <c r="AY1091" i="1"/>
  <c r="AZ1091" i="1"/>
  <c r="BA1091" i="1"/>
  <c r="AO1092" i="1"/>
  <c r="AP1092" i="1"/>
  <c r="AR1092" i="1"/>
  <c r="AS1092" i="1"/>
  <c r="AT1092" i="1"/>
  <c r="AU1092" i="1"/>
  <c r="AV1092" i="1"/>
  <c r="AX1092" i="1"/>
  <c r="AY1092" i="1"/>
  <c r="AZ1092" i="1"/>
  <c r="BA1092" i="1"/>
  <c r="AO1093" i="1"/>
  <c r="AP1093" i="1"/>
  <c r="AR1093" i="1"/>
  <c r="AS1093" i="1"/>
  <c r="AT1093" i="1"/>
  <c r="AU1093" i="1"/>
  <c r="AV1093" i="1"/>
  <c r="AX1093" i="1"/>
  <c r="AY1093" i="1"/>
  <c r="AZ1093" i="1"/>
  <c r="BA1093" i="1"/>
  <c r="AO1094" i="1"/>
  <c r="AP1094" i="1"/>
  <c r="AR1094" i="1"/>
  <c r="AS1094" i="1"/>
  <c r="AT1094" i="1"/>
  <c r="AU1094" i="1"/>
  <c r="AV1094" i="1"/>
  <c r="AX1094" i="1"/>
  <c r="AY1094" i="1"/>
  <c r="AZ1094" i="1"/>
  <c r="BA1094" i="1"/>
  <c r="AO1095" i="1"/>
  <c r="AP1095" i="1"/>
  <c r="AR1095" i="1"/>
  <c r="AS1095" i="1"/>
  <c r="AT1095" i="1"/>
  <c r="AU1095" i="1"/>
  <c r="AV1095" i="1"/>
  <c r="AX1095" i="1"/>
  <c r="AY1095" i="1"/>
  <c r="AZ1095" i="1"/>
  <c r="BA1095" i="1"/>
  <c r="AO1096" i="1"/>
  <c r="AP1096" i="1"/>
  <c r="AR1096" i="1"/>
  <c r="AS1096" i="1"/>
  <c r="AT1096" i="1"/>
  <c r="AU1096" i="1"/>
  <c r="AV1096" i="1"/>
  <c r="AX1096" i="1"/>
  <c r="AY1096" i="1"/>
  <c r="AZ1096" i="1"/>
  <c r="BA1096" i="1"/>
  <c r="AO1097" i="1"/>
  <c r="AP1097" i="1"/>
  <c r="AR1097" i="1"/>
  <c r="AS1097" i="1"/>
  <c r="AT1097" i="1"/>
  <c r="AU1097" i="1"/>
  <c r="AV1097" i="1"/>
  <c r="AX1097" i="1"/>
  <c r="AY1097" i="1"/>
  <c r="AZ1097" i="1"/>
  <c r="BA1097" i="1"/>
  <c r="AO1098" i="1"/>
  <c r="AP1098" i="1"/>
  <c r="AR1098" i="1"/>
  <c r="AS1098" i="1"/>
  <c r="AT1098" i="1"/>
  <c r="AU1098" i="1"/>
  <c r="AV1098" i="1"/>
  <c r="AX1098" i="1"/>
  <c r="AY1098" i="1"/>
  <c r="AZ1098" i="1"/>
  <c r="BA1098" i="1"/>
  <c r="AO1099" i="1"/>
  <c r="AP1099" i="1"/>
  <c r="AR1099" i="1"/>
  <c r="AS1099" i="1"/>
  <c r="AT1099" i="1"/>
  <c r="AU1099" i="1"/>
  <c r="AV1099" i="1"/>
  <c r="AX1099" i="1"/>
  <c r="AY1099" i="1"/>
  <c r="AZ1099" i="1"/>
  <c r="BA1099" i="1"/>
  <c r="AO1100" i="1"/>
  <c r="AP1100" i="1"/>
  <c r="AR1100" i="1"/>
  <c r="AS1100" i="1"/>
  <c r="AT1100" i="1"/>
  <c r="AU1100" i="1"/>
  <c r="AV1100" i="1"/>
  <c r="AX1100" i="1"/>
  <c r="AY1100" i="1"/>
  <c r="AZ1100" i="1"/>
  <c r="BA1100" i="1"/>
  <c r="AO1101" i="1"/>
  <c r="AP1101" i="1"/>
  <c r="AR1101" i="1"/>
  <c r="AS1101" i="1"/>
  <c r="AT1101" i="1"/>
  <c r="AU1101" i="1"/>
  <c r="AV1101" i="1"/>
  <c r="AX1101" i="1"/>
  <c r="AY1101" i="1"/>
  <c r="AZ1101" i="1"/>
  <c r="BA1101" i="1"/>
  <c r="AO1102" i="1"/>
  <c r="AP1102" i="1"/>
  <c r="AR1102" i="1"/>
  <c r="AS1102" i="1"/>
  <c r="AT1102" i="1"/>
  <c r="AU1102" i="1"/>
  <c r="AV1102" i="1"/>
  <c r="AX1102" i="1"/>
  <c r="AY1102" i="1"/>
  <c r="AZ1102" i="1"/>
  <c r="BA1102" i="1"/>
  <c r="AO1103" i="1"/>
  <c r="AP1103" i="1"/>
  <c r="AR1103" i="1"/>
  <c r="AS1103" i="1"/>
  <c r="AT1103" i="1"/>
  <c r="AU1103" i="1"/>
  <c r="AV1103" i="1"/>
  <c r="AX1103" i="1"/>
  <c r="AY1103" i="1"/>
  <c r="AO1104" i="1"/>
  <c r="AP1104" i="1"/>
  <c r="AR1104" i="1"/>
  <c r="AS1104" i="1"/>
  <c r="AT1104" i="1"/>
  <c r="AU1104" i="1"/>
  <c r="AV1104" i="1"/>
  <c r="AX1104" i="1"/>
  <c r="AY1104" i="1"/>
  <c r="AZ1104" i="1"/>
  <c r="BA1104" i="1"/>
  <c r="AO1105" i="1"/>
  <c r="AP1105" i="1"/>
  <c r="AR1105" i="1"/>
  <c r="AS1105" i="1"/>
  <c r="AT1105" i="1"/>
  <c r="AU1105" i="1"/>
  <c r="AV1105" i="1"/>
  <c r="AX1105" i="1"/>
  <c r="AY1105" i="1"/>
  <c r="AO1106" i="1"/>
  <c r="AP1106" i="1"/>
  <c r="AR1106" i="1"/>
  <c r="AS1106" i="1"/>
  <c r="AT1106" i="1"/>
  <c r="AU1106" i="1"/>
  <c r="AV1106" i="1"/>
  <c r="AX1106" i="1"/>
  <c r="AY1106" i="1"/>
  <c r="AZ1106" i="1"/>
  <c r="BA1106" i="1"/>
  <c r="AO1107" i="1"/>
  <c r="AP1107" i="1"/>
  <c r="AR1107" i="1"/>
  <c r="AS1107" i="1"/>
  <c r="AT1107" i="1"/>
  <c r="AU1107" i="1"/>
  <c r="AV1107" i="1"/>
  <c r="AX1107" i="1"/>
  <c r="AY1107" i="1"/>
  <c r="AO1108" i="1"/>
  <c r="AP1108" i="1"/>
  <c r="AR1108" i="1"/>
  <c r="AS1108" i="1"/>
  <c r="AT1108" i="1"/>
  <c r="AU1108" i="1"/>
  <c r="AV1108" i="1"/>
  <c r="AX1108" i="1"/>
  <c r="AY1108" i="1"/>
  <c r="AZ1108" i="1"/>
  <c r="BA1108" i="1"/>
  <c r="AO1109" i="1"/>
  <c r="AP1109" i="1"/>
  <c r="AR1109" i="1"/>
  <c r="AS1109" i="1"/>
  <c r="AT1109" i="1"/>
  <c r="AU1109" i="1"/>
  <c r="AV1109" i="1"/>
  <c r="AX1109" i="1"/>
  <c r="AY1109" i="1"/>
  <c r="AZ1109" i="1"/>
  <c r="BA1109" i="1"/>
  <c r="AO1110" i="1"/>
  <c r="AP1110" i="1"/>
  <c r="AR1110" i="1"/>
  <c r="AS1110" i="1"/>
  <c r="AT1110" i="1"/>
  <c r="AU1110" i="1"/>
  <c r="AV1110" i="1"/>
  <c r="AX1110" i="1"/>
  <c r="AY1110" i="1"/>
  <c r="AZ1110" i="1"/>
  <c r="BA1110" i="1"/>
  <c r="AO1111" i="1"/>
  <c r="AP1111" i="1"/>
  <c r="AR1111" i="1"/>
  <c r="AS1111" i="1"/>
  <c r="AT1111" i="1"/>
  <c r="AU1111" i="1"/>
  <c r="AV1111" i="1"/>
  <c r="AX1111" i="1"/>
  <c r="AY1111" i="1"/>
  <c r="AZ1111" i="1"/>
  <c r="BA1111" i="1"/>
  <c r="AO1112" i="1"/>
  <c r="AP1112" i="1"/>
  <c r="AR1112" i="1"/>
  <c r="AS1112" i="1"/>
  <c r="AT1112" i="1"/>
  <c r="AU1112" i="1"/>
  <c r="AV1112" i="1"/>
  <c r="AX1112" i="1"/>
  <c r="AY1112" i="1"/>
  <c r="AZ1112" i="1"/>
  <c r="BA1112" i="1"/>
  <c r="AO1113" i="1"/>
  <c r="AP1113" i="1"/>
  <c r="AR1113" i="1"/>
  <c r="AS1113" i="1"/>
  <c r="AT1113" i="1"/>
  <c r="AU1113" i="1"/>
  <c r="AV1113" i="1"/>
  <c r="AX1113" i="1"/>
  <c r="AY1113" i="1"/>
  <c r="AZ1113" i="1"/>
  <c r="BA1113" i="1"/>
  <c r="AO1114" i="1"/>
  <c r="AP1114" i="1"/>
  <c r="AR1114" i="1"/>
  <c r="AS1114" i="1"/>
  <c r="AT1114" i="1"/>
  <c r="AU1114" i="1"/>
  <c r="AV1114" i="1"/>
  <c r="AX1114" i="1"/>
  <c r="AY1114" i="1"/>
  <c r="AZ1114" i="1"/>
  <c r="BA1114" i="1"/>
  <c r="AO1115" i="1"/>
  <c r="AP1115" i="1"/>
  <c r="AR1115" i="1"/>
  <c r="AS1115" i="1"/>
  <c r="AT1115" i="1"/>
  <c r="AU1115" i="1"/>
  <c r="AV1115" i="1"/>
  <c r="AX1115" i="1"/>
  <c r="AY1115" i="1"/>
  <c r="AZ1115" i="1"/>
  <c r="BA1115" i="1"/>
  <c r="AO1116" i="1"/>
  <c r="AP1116" i="1"/>
  <c r="AR1116" i="1"/>
  <c r="AS1116" i="1"/>
  <c r="AT1116" i="1"/>
  <c r="AU1116" i="1"/>
  <c r="AV1116" i="1"/>
  <c r="AX1116" i="1"/>
  <c r="AY1116" i="1"/>
  <c r="AZ1116" i="1"/>
  <c r="BA1116" i="1"/>
  <c r="AO1117" i="1"/>
  <c r="AP1117" i="1"/>
  <c r="AR1117" i="1"/>
  <c r="AS1117" i="1"/>
  <c r="AT1117" i="1"/>
  <c r="AU1117" i="1"/>
  <c r="AV1117" i="1"/>
  <c r="AX1117" i="1"/>
  <c r="AY1117" i="1"/>
  <c r="AZ1117" i="1"/>
  <c r="BA1117" i="1"/>
  <c r="AO1118" i="1"/>
  <c r="AP1118" i="1"/>
  <c r="AR1118" i="1"/>
  <c r="AS1118" i="1"/>
  <c r="AT1118" i="1"/>
  <c r="AU1118" i="1"/>
  <c r="AV1118" i="1"/>
  <c r="AX1118" i="1"/>
  <c r="AY1118" i="1"/>
  <c r="AZ1118" i="1"/>
  <c r="BA1118" i="1"/>
  <c r="AO1119" i="1"/>
  <c r="AP1119" i="1"/>
  <c r="AR1119" i="1"/>
  <c r="AS1119" i="1"/>
  <c r="AT1119" i="1"/>
  <c r="AU1119" i="1"/>
  <c r="AV1119" i="1"/>
  <c r="AX1119" i="1"/>
  <c r="AY1119" i="1"/>
  <c r="AZ1119" i="1"/>
  <c r="BA1119" i="1"/>
  <c r="AO1120" i="1"/>
  <c r="AP1120" i="1"/>
  <c r="AR1120" i="1"/>
  <c r="AS1120" i="1"/>
  <c r="AT1120" i="1"/>
  <c r="AU1120" i="1"/>
  <c r="AV1120" i="1"/>
  <c r="AX1120" i="1"/>
  <c r="AY1120" i="1"/>
  <c r="AZ1120" i="1"/>
  <c r="BA1120" i="1"/>
  <c r="AO1121" i="1"/>
  <c r="AP1121" i="1"/>
  <c r="AR1121" i="1"/>
  <c r="AS1121" i="1"/>
  <c r="AT1121" i="1"/>
  <c r="AU1121" i="1"/>
  <c r="AV1121" i="1"/>
  <c r="AX1121" i="1"/>
  <c r="AY1121" i="1"/>
  <c r="AZ1121" i="1"/>
  <c r="BA1121" i="1"/>
  <c r="AO1122" i="1"/>
  <c r="AP1122" i="1"/>
  <c r="AR1122" i="1"/>
  <c r="AS1122" i="1"/>
  <c r="AT1122" i="1"/>
  <c r="AU1122" i="1"/>
  <c r="AV1122" i="1"/>
  <c r="AX1122" i="1"/>
  <c r="AY1122" i="1"/>
  <c r="AZ1122" i="1"/>
  <c r="BA1122" i="1"/>
  <c r="AO1123" i="1"/>
  <c r="AP1123" i="1"/>
  <c r="AR1123" i="1"/>
  <c r="AS1123" i="1"/>
  <c r="AT1123" i="1"/>
  <c r="AU1123" i="1"/>
  <c r="AV1123" i="1"/>
  <c r="AX1123" i="1"/>
  <c r="AY1123" i="1"/>
  <c r="AZ1123" i="1"/>
  <c r="BA1123" i="1"/>
  <c r="AO1124" i="1"/>
  <c r="AP1124" i="1"/>
  <c r="AR1124" i="1"/>
  <c r="AS1124" i="1"/>
  <c r="AT1124" i="1"/>
  <c r="AU1124" i="1"/>
  <c r="AV1124" i="1"/>
  <c r="AX1124" i="1"/>
  <c r="AY1124" i="1"/>
  <c r="AZ1124" i="1"/>
  <c r="BA1124" i="1"/>
  <c r="AO1125" i="1"/>
  <c r="AP1125" i="1"/>
  <c r="AR1125" i="1"/>
  <c r="AS1125" i="1"/>
  <c r="AT1125" i="1"/>
  <c r="AU1125" i="1"/>
  <c r="AV1125" i="1"/>
  <c r="AX1125" i="1"/>
  <c r="AY1125" i="1"/>
  <c r="AZ1125" i="1"/>
  <c r="BA1125" i="1"/>
  <c r="AO1126" i="1"/>
  <c r="AP1126" i="1"/>
  <c r="AR1126" i="1"/>
  <c r="AS1126" i="1"/>
  <c r="AT1126" i="1"/>
  <c r="AU1126" i="1"/>
  <c r="AV1126" i="1"/>
  <c r="AX1126" i="1"/>
  <c r="AY1126" i="1"/>
  <c r="AZ1126" i="1"/>
  <c r="BA1126" i="1"/>
  <c r="AO1127" i="1"/>
  <c r="AP1127" i="1"/>
  <c r="AR1127" i="1"/>
  <c r="AS1127" i="1"/>
  <c r="AT1127" i="1"/>
  <c r="AU1127" i="1"/>
  <c r="AV1127" i="1"/>
  <c r="AX1127" i="1"/>
  <c r="AY1127" i="1"/>
  <c r="AZ1127" i="1"/>
  <c r="BA1127" i="1"/>
  <c r="AO1128" i="1"/>
  <c r="AP1128" i="1"/>
  <c r="AR1128" i="1"/>
  <c r="AS1128" i="1"/>
  <c r="AT1128" i="1"/>
  <c r="AU1128" i="1"/>
  <c r="AV1128" i="1"/>
  <c r="AX1128" i="1"/>
  <c r="AY1128" i="1"/>
  <c r="AZ1128" i="1"/>
  <c r="BA1128" i="1"/>
  <c r="AO1129" i="1"/>
  <c r="AP1129" i="1"/>
  <c r="AR1129" i="1"/>
  <c r="AS1129" i="1"/>
  <c r="AT1129" i="1"/>
  <c r="AU1129" i="1"/>
  <c r="AV1129" i="1"/>
  <c r="AX1129" i="1"/>
  <c r="AY1129" i="1"/>
  <c r="AZ1129" i="1"/>
  <c r="BA1129" i="1"/>
  <c r="AO1130" i="1"/>
  <c r="AP1130" i="1"/>
  <c r="AR1130" i="1"/>
  <c r="AS1130" i="1"/>
  <c r="AT1130" i="1"/>
  <c r="AU1130" i="1"/>
  <c r="AV1130" i="1"/>
  <c r="AX1130" i="1"/>
  <c r="AY1130" i="1"/>
  <c r="AZ1130" i="1"/>
  <c r="BA1130" i="1"/>
  <c r="AO1131" i="1"/>
  <c r="AP1131" i="1"/>
  <c r="AR1131" i="1"/>
  <c r="AS1131" i="1"/>
  <c r="AT1131" i="1"/>
  <c r="AU1131" i="1"/>
  <c r="AV1131" i="1"/>
  <c r="AX1131" i="1"/>
  <c r="AY1131" i="1"/>
  <c r="AZ1131" i="1"/>
  <c r="BA1131" i="1"/>
  <c r="AO1132" i="1"/>
  <c r="AP1132" i="1"/>
  <c r="AR1132" i="1"/>
  <c r="AS1132" i="1"/>
  <c r="AT1132" i="1"/>
  <c r="AU1132" i="1"/>
  <c r="AV1132" i="1"/>
  <c r="AX1132" i="1"/>
  <c r="AY1132" i="1"/>
  <c r="AZ1132" i="1"/>
  <c r="BA1132" i="1"/>
  <c r="AO1133" i="1"/>
  <c r="AP1133" i="1"/>
  <c r="AR1133" i="1"/>
  <c r="AS1133" i="1"/>
  <c r="AT1133" i="1"/>
  <c r="AU1133" i="1"/>
  <c r="AV1133" i="1"/>
  <c r="AX1133" i="1"/>
  <c r="AY1133" i="1"/>
  <c r="AZ1133" i="1"/>
  <c r="BA1133" i="1"/>
  <c r="AO1134" i="1"/>
  <c r="AP1134" i="1"/>
  <c r="AR1134" i="1"/>
  <c r="AS1134" i="1"/>
  <c r="AT1134" i="1"/>
  <c r="AU1134" i="1"/>
  <c r="AV1134" i="1"/>
  <c r="AX1134" i="1"/>
  <c r="AY1134" i="1"/>
  <c r="AZ1134" i="1"/>
  <c r="BA1134" i="1"/>
  <c r="AO1135" i="1"/>
  <c r="AP1135" i="1"/>
  <c r="AR1135" i="1"/>
  <c r="AS1135" i="1"/>
  <c r="AT1135" i="1"/>
  <c r="AU1135" i="1"/>
  <c r="AV1135" i="1"/>
  <c r="AX1135" i="1"/>
  <c r="AY1135" i="1"/>
  <c r="AZ1135" i="1"/>
  <c r="BA1135" i="1"/>
  <c r="AO1136" i="1"/>
  <c r="AP1136" i="1"/>
  <c r="AR1136" i="1"/>
  <c r="AS1136" i="1"/>
  <c r="AT1136" i="1"/>
  <c r="AU1136" i="1"/>
  <c r="AV1136" i="1"/>
  <c r="AX1136" i="1"/>
  <c r="AY1136" i="1"/>
  <c r="AZ1136" i="1"/>
  <c r="BA1136" i="1"/>
  <c r="AO1137" i="1"/>
  <c r="AP1137" i="1"/>
  <c r="AR1137" i="1"/>
  <c r="AS1137" i="1"/>
  <c r="AT1137" i="1"/>
  <c r="AU1137" i="1"/>
  <c r="AV1137" i="1"/>
  <c r="AX1137" i="1"/>
  <c r="AY1137" i="1"/>
  <c r="AZ1137" i="1"/>
  <c r="BA1137" i="1"/>
  <c r="AO1138" i="1"/>
  <c r="AP1138" i="1"/>
  <c r="AR1138" i="1"/>
  <c r="AS1138" i="1"/>
  <c r="AT1138" i="1"/>
  <c r="AU1138" i="1"/>
  <c r="AV1138" i="1"/>
  <c r="AX1138" i="1"/>
  <c r="AY1138" i="1"/>
  <c r="AZ1138" i="1"/>
  <c r="BA1138" i="1"/>
  <c r="AO1139" i="1"/>
  <c r="AP1139" i="1"/>
  <c r="AR1139" i="1"/>
  <c r="AS1139" i="1"/>
  <c r="AT1139" i="1"/>
  <c r="AU1139" i="1"/>
  <c r="AV1139" i="1"/>
  <c r="AX1139" i="1"/>
  <c r="AY1139" i="1"/>
  <c r="AZ1139" i="1"/>
  <c r="BA1139" i="1"/>
  <c r="AO1140" i="1"/>
  <c r="AP1140" i="1"/>
  <c r="AR1140" i="1"/>
  <c r="AS1140" i="1"/>
  <c r="AT1140" i="1"/>
  <c r="AU1140" i="1"/>
  <c r="AV1140" i="1"/>
  <c r="AX1140" i="1"/>
  <c r="AY1140" i="1"/>
  <c r="AZ1140" i="1"/>
  <c r="BA1140" i="1"/>
  <c r="AO1141" i="1"/>
  <c r="AP1141" i="1"/>
  <c r="AR1141" i="1"/>
  <c r="AS1141" i="1"/>
  <c r="AT1141" i="1"/>
  <c r="AU1141" i="1"/>
  <c r="AV1141" i="1"/>
  <c r="AX1141" i="1"/>
  <c r="AY1141" i="1"/>
  <c r="AZ1141" i="1"/>
  <c r="BA1141" i="1"/>
  <c r="AO1142" i="1"/>
  <c r="AP1142" i="1"/>
  <c r="AR1142" i="1"/>
  <c r="AS1142" i="1"/>
  <c r="AT1142" i="1"/>
  <c r="AU1142" i="1"/>
  <c r="AV1142" i="1"/>
  <c r="AX1142" i="1"/>
  <c r="AY1142" i="1"/>
  <c r="AZ1142" i="1"/>
  <c r="BA1142" i="1"/>
  <c r="AO1143" i="1"/>
  <c r="AP1143" i="1"/>
  <c r="AR1143" i="1"/>
  <c r="AS1143" i="1"/>
  <c r="AT1143" i="1"/>
  <c r="AU1143" i="1"/>
  <c r="AV1143" i="1"/>
  <c r="AX1143" i="1"/>
  <c r="AY1143" i="1"/>
  <c r="AZ1143" i="1"/>
  <c r="BA1143" i="1"/>
  <c r="AO1144" i="1"/>
  <c r="AP1144" i="1"/>
  <c r="AR1144" i="1"/>
  <c r="AS1144" i="1"/>
  <c r="AT1144" i="1"/>
  <c r="AU1144" i="1"/>
  <c r="AV1144" i="1"/>
  <c r="AX1144" i="1"/>
  <c r="AY1144" i="1"/>
  <c r="AZ1144" i="1"/>
  <c r="BA1144" i="1"/>
  <c r="AO1145" i="1"/>
  <c r="AP1145" i="1"/>
  <c r="AR1145" i="1"/>
  <c r="AS1145" i="1"/>
  <c r="AT1145" i="1"/>
  <c r="AU1145" i="1"/>
  <c r="AV1145" i="1"/>
  <c r="AX1145" i="1"/>
  <c r="AY1145" i="1"/>
  <c r="AZ1145" i="1"/>
  <c r="BA1145" i="1"/>
  <c r="AO1146" i="1"/>
  <c r="AP1146" i="1"/>
  <c r="AR1146" i="1"/>
  <c r="AS1146" i="1"/>
  <c r="AT1146" i="1"/>
  <c r="AU1146" i="1"/>
  <c r="AV1146" i="1"/>
  <c r="AX1146" i="1"/>
  <c r="AY1146" i="1"/>
  <c r="AZ1146" i="1"/>
  <c r="BA1146" i="1"/>
  <c r="AO1147" i="1"/>
  <c r="AP1147" i="1"/>
  <c r="AR1147" i="1"/>
  <c r="AS1147" i="1"/>
  <c r="AT1147" i="1"/>
  <c r="AU1147" i="1"/>
  <c r="AV1147" i="1"/>
  <c r="AX1147" i="1"/>
  <c r="AY1147" i="1"/>
  <c r="AZ1147" i="1"/>
  <c r="BA1147" i="1"/>
  <c r="AO1148" i="1"/>
  <c r="AP1148" i="1"/>
  <c r="AR1148" i="1"/>
  <c r="AS1148" i="1"/>
  <c r="AT1148" i="1"/>
  <c r="AU1148" i="1"/>
  <c r="AV1148" i="1"/>
  <c r="AX1148" i="1"/>
  <c r="AY1148" i="1"/>
  <c r="AZ1148" i="1"/>
  <c r="BA1148" i="1"/>
  <c r="AO1149" i="1"/>
  <c r="AP1149" i="1"/>
  <c r="AR1149" i="1"/>
  <c r="AS1149" i="1"/>
  <c r="AT1149" i="1"/>
  <c r="AU1149" i="1"/>
  <c r="AV1149" i="1"/>
  <c r="AX1149" i="1"/>
  <c r="AY1149" i="1"/>
  <c r="AZ1149" i="1"/>
  <c r="BA1149" i="1"/>
  <c r="AO1150" i="1"/>
  <c r="AP1150" i="1"/>
  <c r="AR1150" i="1"/>
  <c r="AS1150" i="1"/>
  <c r="AT1150" i="1"/>
  <c r="AU1150" i="1"/>
  <c r="AV1150" i="1"/>
  <c r="AX1150" i="1"/>
  <c r="AY1150" i="1"/>
  <c r="AZ1150" i="1"/>
  <c r="BA1150" i="1"/>
  <c r="AO1151" i="1"/>
  <c r="AP1151" i="1"/>
  <c r="AR1151" i="1"/>
  <c r="AS1151" i="1"/>
  <c r="AT1151" i="1"/>
  <c r="AU1151" i="1"/>
  <c r="AV1151" i="1"/>
  <c r="AX1151" i="1"/>
  <c r="AY1151" i="1"/>
  <c r="AZ1151" i="1"/>
  <c r="BA1151" i="1"/>
  <c r="AO1152" i="1"/>
  <c r="AP1152" i="1"/>
  <c r="AR1152" i="1"/>
  <c r="AS1152" i="1"/>
  <c r="AT1152" i="1"/>
  <c r="AU1152" i="1"/>
  <c r="AV1152" i="1"/>
  <c r="AX1152" i="1"/>
  <c r="AY1152" i="1"/>
  <c r="AZ1152" i="1"/>
  <c r="BA1152" i="1"/>
  <c r="AO1153" i="1"/>
  <c r="AP1153" i="1"/>
  <c r="AR1153" i="1"/>
  <c r="AS1153" i="1"/>
  <c r="AT1153" i="1"/>
  <c r="AU1153" i="1"/>
  <c r="AV1153" i="1"/>
  <c r="AX1153" i="1"/>
  <c r="AY1153" i="1"/>
  <c r="AZ1153" i="1"/>
  <c r="BA1153" i="1"/>
  <c r="AO1154" i="1"/>
  <c r="AP1154" i="1"/>
  <c r="AR1154" i="1"/>
  <c r="AS1154" i="1"/>
  <c r="AT1154" i="1"/>
  <c r="AU1154" i="1"/>
  <c r="AV1154" i="1"/>
  <c r="AX1154" i="1"/>
  <c r="AY1154" i="1"/>
  <c r="AZ1154" i="1"/>
  <c r="BA1154" i="1"/>
  <c r="AO1155" i="1"/>
  <c r="AP1155" i="1"/>
  <c r="AR1155" i="1"/>
  <c r="AS1155" i="1"/>
  <c r="AT1155" i="1"/>
  <c r="AU1155" i="1"/>
  <c r="AV1155" i="1"/>
  <c r="AX1155" i="1"/>
  <c r="AY1155" i="1"/>
  <c r="AZ1155" i="1"/>
  <c r="BA1155" i="1"/>
  <c r="AO1156" i="1"/>
  <c r="AP1156" i="1"/>
  <c r="AR1156" i="1"/>
  <c r="AS1156" i="1"/>
  <c r="AT1156" i="1"/>
  <c r="AU1156" i="1"/>
  <c r="AV1156" i="1"/>
  <c r="AX1156" i="1"/>
  <c r="AY1156" i="1"/>
  <c r="AZ1156" i="1"/>
  <c r="BA1156" i="1"/>
  <c r="AO1157" i="1"/>
  <c r="AP1157" i="1"/>
  <c r="AR1157" i="1"/>
  <c r="AS1157" i="1"/>
  <c r="AT1157" i="1"/>
  <c r="AU1157" i="1"/>
  <c r="AV1157" i="1"/>
  <c r="AX1157" i="1"/>
  <c r="AY1157" i="1"/>
  <c r="AZ1157" i="1"/>
  <c r="BA1157" i="1"/>
  <c r="AO1158" i="1"/>
  <c r="AP1158" i="1"/>
  <c r="AR1158" i="1"/>
  <c r="AS1158" i="1"/>
  <c r="AT1158" i="1"/>
  <c r="AU1158" i="1"/>
  <c r="AV1158" i="1"/>
  <c r="AX1158" i="1"/>
  <c r="AY1158" i="1"/>
  <c r="AZ1158" i="1"/>
  <c r="BA1158" i="1"/>
  <c r="AO1159" i="1"/>
  <c r="AP1159" i="1"/>
  <c r="AR1159" i="1"/>
  <c r="AS1159" i="1"/>
  <c r="AT1159" i="1"/>
  <c r="AU1159" i="1"/>
  <c r="AV1159" i="1"/>
  <c r="AX1159" i="1"/>
  <c r="AY1159" i="1"/>
  <c r="AZ1159" i="1"/>
  <c r="BA1159" i="1"/>
  <c r="AO1160" i="1"/>
  <c r="AP1160" i="1"/>
  <c r="AR1160" i="1"/>
  <c r="AS1160" i="1"/>
  <c r="AT1160" i="1"/>
  <c r="AU1160" i="1"/>
  <c r="AV1160" i="1"/>
  <c r="AX1160" i="1"/>
  <c r="AY1160" i="1"/>
  <c r="AZ1160" i="1"/>
  <c r="BA1160" i="1"/>
  <c r="AO1161" i="1"/>
  <c r="AP1161" i="1"/>
  <c r="AR1161" i="1"/>
  <c r="AS1161" i="1"/>
  <c r="AT1161" i="1"/>
  <c r="AU1161" i="1"/>
  <c r="AV1161" i="1"/>
  <c r="AX1161" i="1"/>
  <c r="AY1161" i="1"/>
  <c r="AZ1161" i="1"/>
  <c r="BA1161" i="1"/>
  <c r="AO1162" i="1"/>
  <c r="AP1162" i="1"/>
  <c r="AR1162" i="1"/>
  <c r="AS1162" i="1"/>
  <c r="AT1162" i="1"/>
  <c r="AU1162" i="1"/>
  <c r="AV1162" i="1"/>
  <c r="AX1162" i="1"/>
  <c r="AY1162" i="1"/>
  <c r="AZ1162" i="1"/>
  <c r="BA1162" i="1"/>
  <c r="AO1163" i="1"/>
  <c r="AP1163" i="1"/>
  <c r="AR1163" i="1"/>
  <c r="AS1163" i="1"/>
  <c r="AT1163" i="1"/>
  <c r="AU1163" i="1"/>
  <c r="AV1163" i="1"/>
  <c r="AX1163" i="1"/>
  <c r="AY1163" i="1"/>
  <c r="AZ1163" i="1"/>
  <c r="BA1163" i="1"/>
  <c r="AO1164" i="1"/>
  <c r="AP1164" i="1"/>
  <c r="AR1164" i="1"/>
  <c r="AS1164" i="1"/>
  <c r="AT1164" i="1"/>
  <c r="AU1164" i="1"/>
  <c r="AV1164" i="1"/>
  <c r="AX1164" i="1"/>
  <c r="AY1164" i="1"/>
  <c r="AZ1164" i="1"/>
  <c r="BA1164" i="1"/>
  <c r="AO1165" i="1"/>
  <c r="AP1165" i="1"/>
  <c r="AR1165" i="1"/>
  <c r="AS1165" i="1"/>
  <c r="AT1165" i="1"/>
  <c r="AU1165" i="1"/>
  <c r="AV1165" i="1"/>
  <c r="AX1165" i="1"/>
  <c r="AY1165" i="1"/>
  <c r="AZ1165" i="1"/>
  <c r="BA1165" i="1"/>
  <c r="AO1166" i="1"/>
  <c r="AP1166" i="1"/>
  <c r="AR1166" i="1"/>
  <c r="AS1166" i="1"/>
  <c r="AT1166" i="1"/>
  <c r="AU1166" i="1"/>
  <c r="AV1166" i="1"/>
  <c r="AX1166" i="1"/>
  <c r="AY1166" i="1"/>
  <c r="AZ1166" i="1"/>
  <c r="BA1166" i="1"/>
  <c r="AO1167" i="1"/>
  <c r="AP1167" i="1"/>
  <c r="AR1167" i="1"/>
  <c r="AS1167" i="1"/>
  <c r="AT1167" i="1"/>
  <c r="AU1167" i="1"/>
  <c r="AV1167" i="1"/>
  <c r="AX1167" i="1"/>
  <c r="AY1167" i="1"/>
  <c r="AZ1167" i="1"/>
  <c r="BA1167" i="1"/>
  <c r="AO1168" i="1"/>
  <c r="AP1168" i="1"/>
  <c r="AR1168" i="1"/>
  <c r="AS1168" i="1"/>
  <c r="AT1168" i="1"/>
  <c r="AU1168" i="1"/>
  <c r="AV1168" i="1"/>
  <c r="AX1168" i="1"/>
  <c r="AY1168" i="1"/>
  <c r="AZ1168" i="1"/>
  <c r="BA1168" i="1"/>
  <c r="AO1169" i="1"/>
  <c r="AP1169" i="1"/>
  <c r="AR1169" i="1"/>
  <c r="AS1169" i="1"/>
  <c r="AT1169" i="1"/>
  <c r="AU1169" i="1"/>
  <c r="AV1169" i="1"/>
  <c r="AX1169" i="1"/>
  <c r="AY1169" i="1"/>
  <c r="AZ1169" i="1"/>
  <c r="BA1169" i="1"/>
  <c r="AO1170" i="1"/>
  <c r="AP1170" i="1"/>
  <c r="AR1170" i="1"/>
  <c r="AS1170" i="1"/>
  <c r="AT1170" i="1"/>
  <c r="AU1170" i="1"/>
  <c r="AV1170" i="1"/>
  <c r="AX1170" i="1"/>
  <c r="AY1170" i="1"/>
  <c r="AZ1170" i="1"/>
  <c r="BA1170" i="1"/>
  <c r="AO1171" i="1"/>
  <c r="AP1171" i="1"/>
  <c r="AR1171" i="1"/>
  <c r="AS1171" i="1"/>
  <c r="AT1171" i="1"/>
  <c r="AU1171" i="1"/>
  <c r="AV1171" i="1"/>
  <c r="AX1171" i="1"/>
  <c r="AY1171" i="1"/>
  <c r="AZ1171" i="1"/>
  <c r="BA1171" i="1"/>
  <c r="AO1172" i="1"/>
  <c r="AP1172" i="1"/>
  <c r="AR1172" i="1"/>
  <c r="AS1172" i="1"/>
  <c r="AT1172" i="1"/>
  <c r="AU1172" i="1"/>
  <c r="AV1172" i="1"/>
  <c r="AX1172" i="1"/>
  <c r="AY1172" i="1"/>
  <c r="AZ1172" i="1"/>
  <c r="BA1172" i="1"/>
  <c r="AO1173" i="1"/>
  <c r="AP1173" i="1"/>
  <c r="AR1173" i="1"/>
  <c r="AS1173" i="1"/>
  <c r="AT1173" i="1"/>
  <c r="AU1173" i="1"/>
  <c r="AV1173" i="1"/>
  <c r="AX1173" i="1"/>
  <c r="AY1173" i="1"/>
  <c r="AZ1173" i="1"/>
  <c r="BA1173" i="1"/>
  <c r="AO1174" i="1"/>
  <c r="AP1174" i="1"/>
  <c r="AR1174" i="1"/>
  <c r="AS1174" i="1"/>
  <c r="AT1174" i="1"/>
  <c r="AU1174" i="1"/>
  <c r="AV1174" i="1"/>
  <c r="AX1174" i="1"/>
  <c r="AY1174" i="1"/>
  <c r="AZ1174" i="1"/>
  <c r="BA1174" i="1"/>
  <c r="AO1175" i="1"/>
  <c r="AP1175" i="1"/>
  <c r="AR1175" i="1"/>
  <c r="AS1175" i="1"/>
  <c r="AT1175" i="1"/>
  <c r="AU1175" i="1"/>
  <c r="AV1175" i="1"/>
  <c r="AX1175" i="1"/>
  <c r="AY1175" i="1"/>
  <c r="AZ1175" i="1"/>
  <c r="BA1175" i="1"/>
  <c r="AO1176" i="1"/>
  <c r="AP1176" i="1"/>
  <c r="AR1176" i="1"/>
  <c r="AS1176" i="1"/>
  <c r="AT1176" i="1"/>
  <c r="AU1176" i="1"/>
  <c r="AV1176" i="1"/>
  <c r="AX1176" i="1"/>
  <c r="AY1176" i="1"/>
  <c r="AZ1176" i="1"/>
  <c r="BA1176" i="1"/>
  <c r="AO1177" i="1"/>
  <c r="AP1177" i="1"/>
  <c r="AR1177" i="1"/>
  <c r="AS1177" i="1"/>
  <c r="AT1177" i="1"/>
  <c r="AU1177" i="1"/>
  <c r="AV1177" i="1"/>
  <c r="AX1177" i="1"/>
  <c r="AY1177" i="1"/>
  <c r="AZ1177" i="1"/>
  <c r="BA1177" i="1"/>
  <c r="AO1178" i="1"/>
  <c r="AP1178" i="1"/>
  <c r="AR1178" i="1"/>
  <c r="AS1178" i="1"/>
  <c r="AT1178" i="1"/>
  <c r="AU1178" i="1"/>
  <c r="AV1178" i="1"/>
  <c r="AX1178" i="1"/>
  <c r="AY1178" i="1"/>
  <c r="AZ1178" i="1"/>
  <c r="BA1178" i="1"/>
  <c r="AO1179" i="1"/>
  <c r="AP1179" i="1"/>
  <c r="AR1179" i="1"/>
  <c r="AS1179" i="1"/>
  <c r="AT1179" i="1"/>
  <c r="AU1179" i="1"/>
  <c r="AV1179" i="1"/>
  <c r="AX1179" i="1"/>
  <c r="AY1179" i="1"/>
  <c r="AZ1179" i="1"/>
  <c r="BA1179" i="1"/>
  <c r="AO1180" i="1"/>
  <c r="AP1180" i="1"/>
  <c r="AR1180" i="1"/>
  <c r="AS1180" i="1"/>
  <c r="AT1180" i="1"/>
  <c r="AU1180" i="1"/>
  <c r="AV1180" i="1"/>
  <c r="AX1180" i="1"/>
  <c r="AY1180" i="1"/>
  <c r="AZ1180" i="1"/>
  <c r="BA1180" i="1"/>
  <c r="AO1181" i="1"/>
  <c r="AP1181" i="1"/>
  <c r="AR1181" i="1"/>
  <c r="AS1181" i="1"/>
  <c r="AT1181" i="1"/>
  <c r="AU1181" i="1"/>
  <c r="AV1181" i="1"/>
  <c r="AX1181" i="1"/>
  <c r="AY1181" i="1"/>
  <c r="AZ1181" i="1"/>
  <c r="BA1181" i="1"/>
  <c r="AO1182" i="1"/>
  <c r="AP1182" i="1"/>
  <c r="AR1182" i="1"/>
  <c r="AS1182" i="1"/>
  <c r="AT1182" i="1"/>
  <c r="AU1182" i="1"/>
  <c r="AV1182" i="1"/>
  <c r="AX1182" i="1"/>
  <c r="AY1182" i="1"/>
  <c r="AZ1182" i="1"/>
  <c r="BA1182" i="1"/>
  <c r="AO1183" i="1"/>
  <c r="AP1183" i="1"/>
  <c r="AR1183" i="1"/>
  <c r="AS1183" i="1"/>
  <c r="AT1183" i="1"/>
  <c r="AU1183" i="1"/>
  <c r="AV1183" i="1"/>
  <c r="AX1183" i="1"/>
  <c r="AY1183" i="1"/>
  <c r="AZ1183" i="1"/>
  <c r="BA1183" i="1"/>
  <c r="AO1184" i="1"/>
  <c r="AP1184" i="1"/>
  <c r="AR1184" i="1"/>
  <c r="AS1184" i="1"/>
  <c r="AT1184" i="1"/>
  <c r="AU1184" i="1"/>
  <c r="AV1184" i="1"/>
  <c r="AX1184" i="1"/>
  <c r="AY1184" i="1"/>
  <c r="AZ1184" i="1"/>
  <c r="BA1184" i="1"/>
  <c r="AO1185" i="1"/>
  <c r="AP1185" i="1"/>
  <c r="AR1185" i="1"/>
  <c r="AS1185" i="1"/>
  <c r="AT1185" i="1"/>
  <c r="AU1185" i="1"/>
  <c r="AV1185" i="1"/>
  <c r="AX1185" i="1"/>
  <c r="AY1185" i="1"/>
  <c r="AZ1185" i="1"/>
  <c r="BA1185" i="1"/>
  <c r="AO1186" i="1"/>
  <c r="AP1186" i="1"/>
  <c r="AR1186" i="1"/>
  <c r="AS1186" i="1"/>
  <c r="AT1186" i="1"/>
  <c r="AU1186" i="1"/>
  <c r="AV1186" i="1"/>
  <c r="AX1186" i="1"/>
  <c r="AY1186" i="1"/>
  <c r="AZ1186" i="1"/>
  <c r="BA1186" i="1"/>
  <c r="AO1187" i="1"/>
  <c r="AP1187" i="1"/>
  <c r="AR1187" i="1"/>
  <c r="AS1187" i="1"/>
  <c r="AT1187" i="1"/>
  <c r="AU1187" i="1"/>
  <c r="AV1187" i="1"/>
  <c r="AX1187" i="1"/>
  <c r="AY1187" i="1"/>
  <c r="AZ1187" i="1"/>
  <c r="BA1187" i="1"/>
  <c r="AO1188" i="1"/>
  <c r="AP1188" i="1"/>
  <c r="AR1188" i="1"/>
  <c r="AS1188" i="1"/>
  <c r="AT1188" i="1"/>
  <c r="AU1188" i="1"/>
  <c r="AV1188" i="1"/>
  <c r="AX1188" i="1"/>
  <c r="AY1188" i="1"/>
  <c r="AZ1188" i="1"/>
  <c r="BA1188" i="1"/>
  <c r="AO1189" i="1"/>
  <c r="AP1189" i="1"/>
  <c r="AR1189" i="1"/>
  <c r="AS1189" i="1"/>
  <c r="AT1189" i="1"/>
  <c r="AU1189" i="1"/>
  <c r="AV1189" i="1"/>
  <c r="AX1189" i="1"/>
  <c r="AY1189" i="1"/>
  <c r="AZ1189" i="1"/>
  <c r="BA1189" i="1"/>
  <c r="AO1190" i="1"/>
  <c r="AP1190" i="1"/>
  <c r="AR1190" i="1"/>
  <c r="AS1190" i="1"/>
  <c r="AT1190" i="1"/>
  <c r="AU1190" i="1"/>
  <c r="AV1190" i="1"/>
  <c r="AX1190" i="1"/>
  <c r="AY1190" i="1"/>
  <c r="AZ1190" i="1"/>
  <c r="BA1190" i="1"/>
  <c r="AO1191" i="1"/>
  <c r="AP1191" i="1"/>
  <c r="AR1191" i="1"/>
  <c r="AS1191" i="1"/>
  <c r="AT1191" i="1"/>
  <c r="AU1191" i="1"/>
  <c r="AV1191" i="1"/>
  <c r="AX1191" i="1"/>
  <c r="AY1191" i="1"/>
  <c r="AZ1191" i="1"/>
  <c r="BA1191" i="1"/>
  <c r="AO1192" i="1"/>
  <c r="AP1192" i="1"/>
  <c r="AR1192" i="1"/>
  <c r="AS1192" i="1"/>
  <c r="AT1192" i="1"/>
  <c r="AU1192" i="1"/>
  <c r="AV1192" i="1"/>
  <c r="AX1192" i="1"/>
  <c r="AY1192" i="1"/>
  <c r="AZ1192" i="1"/>
  <c r="BA1192" i="1"/>
  <c r="AO1193" i="1"/>
  <c r="AP1193" i="1"/>
  <c r="AR1193" i="1"/>
  <c r="AS1193" i="1"/>
  <c r="AT1193" i="1"/>
  <c r="AU1193" i="1"/>
  <c r="AV1193" i="1"/>
  <c r="AX1193" i="1"/>
  <c r="AY1193" i="1"/>
  <c r="AZ1193" i="1"/>
  <c r="BA1193" i="1"/>
  <c r="AO1194" i="1"/>
  <c r="AP1194" i="1"/>
  <c r="AR1194" i="1"/>
  <c r="AS1194" i="1"/>
  <c r="AT1194" i="1"/>
  <c r="AU1194" i="1"/>
  <c r="AV1194" i="1"/>
  <c r="AX1194" i="1"/>
  <c r="AY1194" i="1"/>
  <c r="AZ1194" i="1"/>
  <c r="BA1194" i="1"/>
  <c r="AO1195" i="1"/>
  <c r="AP1195" i="1"/>
  <c r="AR1195" i="1"/>
  <c r="AS1195" i="1"/>
  <c r="AT1195" i="1"/>
  <c r="AU1195" i="1"/>
  <c r="AV1195" i="1"/>
  <c r="AX1195" i="1"/>
  <c r="AY1195" i="1"/>
  <c r="AO1196" i="1"/>
  <c r="AP1196" i="1"/>
  <c r="AR1196" i="1"/>
  <c r="AS1196" i="1"/>
  <c r="AT1196" i="1"/>
  <c r="AU1196" i="1"/>
  <c r="AV1196" i="1"/>
  <c r="AX1196" i="1"/>
  <c r="AY1196" i="1"/>
  <c r="AO1197" i="1"/>
  <c r="AP1197" i="1"/>
  <c r="AR1197" i="1"/>
  <c r="AS1197" i="1"/>
  <c r="AT1197" i="1"/>
  <c r="AU1197" i="1"/>
  <c r="AV1197" i="1"/>
  <c r="AX1197" i="1"/>
  <c r="AY1197" i="1"/>
  <c r="AZ1197" i="1"/>
  <c r="BA1197" i="1"/>
  <c r="AO1198" i="1"/>
  <c r="AP1198" i="1"/>
  <c r="AR1198" i="1"/>
  <c r="AS1198" i="1"/>
  <c r="AT1198" i="1"/>
  <c r="AU1198" i="1"/>
  <c r="AV1198" i="1"/>
  <c r="AX1198" i="1"/>
  <c r="AY1198" i="1"/>
  <c r="AZ1198" i="1"/>
  <c r="BA1198" i="1"/>
  <c r="AO1199" i="1"/>
  <c r="AP1199" i="1"/>
  <c r="AR1199" i="1"/>
  <c r="AS1199" i="1"/>
  <c r="AT1199" i="1"/>
  <c r="AU1199" i="1"/>
  <c r="AV1199" i="1"/>
  <c r="AX1199" i="1"/>
  <c r="AY1199" i="1"/>
  <c r="AZ1199" i="1"/>
  <c r="BA1199" i="1"/>
  <c r="AO1200" i="1"/>
  <c r="AP1200" i="1"/>
  <c r="AR1200" i="1"/>
  <c r="AS1200" i="1"/>
  <c r="AT1200" i="1"/>
  <c r="AU1200" i="1"/>
  <c r="AV1200" i="1"/>
  <c r="AX1200" i="1"/>
  <c r="AY1200" i="1"/>
  <c r="AZ1200" i="1"/>
  <c r="BA1200" i="1"/>
  <c r="AO1201" i="1"/>
  <c r="AP1201" i="1"/>
  <c r="AR1201" i="1"/>
  <c r="AS1201" i="1"/>
  <c r="AT1201" i="1"/>
  <c r="AU1201" i="1"/>
  <c r="AV1201" i="1"/>
  <c r="AX1201" i="1"/>
  <c r="AY1201" i="1"/>
  <c r="AO1202" i="1"/>
  <c r="AP1202" i="1"/>
  <c r="AR1202" i="1"/>
  <c r="AS1202" i="1"/>
  <c r="AT1202" i="1"/>
  <c r="AU1202" i="1"/>
  <c r="AV1202" i="1"/>
  <c r="AX1202" i="1"/>
  <c r="AY1202" i="1"/>
  <c r="AZ1202" i="1"/>
  <c r="BA1202" i="1"/>
  <c r="AO1203" i="1"/>
  <c r="AP1203" i="1"/>
  <c r="AR1203" i="1"/>
  <c r="AS1203" i="1"/>
  <c r="AT1203" i="1"/>
  <c r="AU1203" i="1"/>
  <c r="AV1203" i="1"/>
  <c r="AX1203" i="1"/>
  <c r="AY1203" i="1"/>
  <c r="AZ1203" i="1"/>
  <c r="BA1203" i="1"/>
  <c r="AO1204" i="1"/>
  <c r="AP1204" i="1"/>
  <c r="AR1204" i="1"/>
  <c r="AS1204" i="1"/>
  <c r="AT1204" i="1"/>
  <c r="AU1204" i="1"/>
  <c r="AV1204" i="1"/>
  <c r="AX1204" i="1"/>
  <c r="AY1204" i="1"/>
  <c r="AZ1204" i="1"/>
  <c r="BA1204" i="1"/>
  <c r="AO1205" i="1"/>
  <c r="AP1205" i="1"/>
  <c r="AR1205" i="1"/>
  <c r="AS1205" i="1"/>
  <c r="AT1205" i="1"/>
  <c r="AU1205" i="1"/>
  <c r="AV1205" i="1"/>
  <c r="AX1205" i="1"/>
  <c r="AY1205" i="1"/>
  <c r="AZ1205" i="1"/>
  <c r="BA1205" i="1"/>
  <c r="AO1206" i="1"/>
  <c r="AP1206" i="1"/>
  <c r="AR1206" i="1"/>
  <c r="AS1206" i="1"/>
  <c r="AT1206" i="1"/>
  <c r="AU1206" i="1"/>
  <c r="AV1206" i="1"/>
  <c r="AX1206" i="1"/>
  <c r="AY1206" i="1"/>
  <c r="AZ1206" i="1"/>
  <c r="BA1206" i="1"/>
  <c r="AO1207" i="1"/>
  <c r="AP1207" i="1"/>
  <c r="AR1207" i="1"/>
  <c r="AS1207" i="1"/>
  <c r="AT1207" i="1"/>
  <c r="AU1207" i="1"/>
  <c r="AV1207" i="1"/>
  <c r="AX1207" i="1"/>
  <c r="AY1207" i="1"/>
  <c r="AZ1207" i="1"/>
  <c r="BA1207" i="1"/>
  <c r="AO1208" i="1"/>
  <c r="AP1208" i="1"/>
  <c r="AR1208" i="1"/>
  <c r="AS1208" i="1"/>
  <c r="AT1208" i="1"/>
  <c r="AU1208" i="1"/>
  <c r="AV1208" i="1"/>
  <c r="AX1208" i="1"/>
  <c r="AY1208" i="1"/>
  <c r="AZ1208" i="1"/>
  <c r="BA1208" i="1"/>
  <c r="AO1209" i="1"/>
  <c r="AP1209" i="1"/>
  <c r="AR1209" i="1"/>
  <c r="AS1209" i="1"/>
  <c r="AT1209" i="1"/>
  <c r="AU1209" i="1"/>
  <c r="AV1209" i="1"/>
  <c r="AX1209" i="1"/>
  <c r="AY1209" i="1"/>
  <c r="AZ1209" i="1"/>
  <c r="BA1209" i="1"/>
  <c r="AO1210" i="1"/>
  <c r="AP1210" i="1"/>
  <c r="AR1210" i="1"/>
  <c r="AS1210" i="1"/>
  <c r="AT1210" i="1"/>
  <c r="AU1210" i="1"/>
  <c r="AV1210" i="1"/>
  <c r="AX1210" i="1"/>
  <c r="AY1210" i="1"/>
  <c r="AZ1210" i="1"/>
  <c r="BA1210" i="1"/>
  <c r="AO1211" i="1"/>
  <c r="AP1211" i="1"/>
  <c r="AR1211" i="1"/>
  <c r="AS1211" i="1"/>
  <c r="AT1211" i="1"/>
  <c r="AU1211" i="1"/>
  <c r="AV1211" i="1"/>
  <c r="AX1211" i="1"/>
  <c r="AY1211" i="1"/>
  <c r="AZ1211" i="1"/>
  <c r="BA1211" i="1"/>
  <c r="AO1212" i="1"/>
  <c r="AP1212" i="1"/>
  <c r="AR1212" i="1"/>
  <c r="AS1212" i="1"/>
  <c r="AT1212" i="1"/>
  <c r="AU1212" i="1"/>
  <c r="AV1212" i="1"/>
  <c r="AX1212" i="1"/>
  <c r="AY1212" i="1"/>
  <c r="AZ1212" i="1"/>
  <c r="BA1212" i="1"/>
  <c r="AO1213" i="1"/>
  <c r="AP1213" i="1"/>
  <c r="AR1213" i="1"/>
  <c r="AS1213" i="1"/>
  <c r="AT1213" i="1"/>
  <c r="AU1213" i="1"/>
  <c r="AV1213" i="1"/>
  <c r="AX1213" i="1"/>
  <c r="AY1213" i="1"/>
  <c r="AZ1213" i="1"/>
  <c r="BA1213" i="1"/>
  <c r="AO1214" i="1"/>
  <c r="AP1214" i="1"/>
  <c r="AR1214" i="1"/>
  <c r="AS1214" i="1"/>
  <c r="AT1214" i="1"/>
  <c r="AU1214" i="1"/>
  <c r="AV1214" i="1"/>
  <c r="AX1214" i="1"/>
  <c r="AY1214" i="1"/>
  <c r="AZ1214" i="1"/>
  <c r="BA1214" i="1"/>
  <c r="AO1215" i="1"/>
  <c r="AP1215" i="1"/>
  <c r="AR1215" i="1"/>
  <c r="AS1215" i="1"/>
  <c r="AT1215" i="1"/>
  <c r="AU1215" i="1"/>
  <c r="AV1215" i="1"/>
  <c r="AX1215" i="1"/>
  <c r="AY1215" i="1"/>
  <c r="AZ1215" i="1"/>
  <c r="BA1215" i="1"/>
  <c r="AO1216" i="1"/>
  <c r="AP1216" i="1"/>
  <c r="AR1216" i="1"/>
  <c r="AS1216" i="1"/>
  <c r="AT1216" i="1"/>
  <c r="AU1216" i="1"/>
  <c r="AV1216" i="1"/>
  <c r="AX1216" i="1"/>
  <c r="AY1216" i="1"/>
  <c r="AZ1216" i="1"/>
  <c r="BA1216" i="1"/>
  <c r="AO1217" i="1"/>
  <c r="AP1217" i="1"/>
  <c r="AR1217" i="1"/>
  <c r="AS1217" i="1"/>
  <c r="AT1217" i="1"/>
  <c r="AU1217" i="1"/>
  <c r="AV1217" i="1"/>
  <c r="AX1217" i="1"/>
  <c r="AY1217" i="1"/>
  <c r="AZ1217" i="1"/>
  <c r="BA1217" i="1"/>
  <c r="AO1218" i="1"/>
  <c r="AP1218" i="1"/>
  <c r="AR1218" i="1"/>
  <c r="AS1218" i="1"/>
  <c r="AT1218" i="1"/>
  <c r="AU1218" i="1"/>
  <c r="AV1218" i="1"/>
  <c r="AX1218" i="1"/>
  <c r="AY1218" i="1"/>
  <c r="AZ1218" i="1"/>
  <c r="BA1218" i="1"/>
  <c r="AO1219" i="1"/>
  <c r="AP1219" i="1"/>
  <c r="AR1219" i="1"/>
  <c r="AS1219" i="1"/>
  <c r="AT1219" i="1"/>
  <c r="AU1219" i="1"/>
  <c r="AV1219" i="1"/>
  <c r="AX1219" i="1"/>
  <c r="AY1219" i="1"/>
  <c r="AZ1219" i="1"/>
  <c r="BA1219" i="1"/>
  <c r="AO1220" i="1"/>
  <c r="AP1220" i="1"/>
  <c r="AR1220" i="1"/>
  <c r="AS1220" i="1"/>
  <c r="AT1220" i="1"/>
  <c r="AU1220" i="1"/>
  <c r="AV1220" i="1"/>
  <c r="AX1220" i="1"/>
  <c r="AY1220" i="1"/>
  <c r="AZ1220" i="1"/>
  <c r="BA1220" i="1"/>
  <c r="AO1221" i="1"/>
  <c r="AP1221" i="1"/>
  <c r="AR1221" i="1"/>
  <c r="AS1221" i="1"/>
  <c r="AT1221" i="1"/>
  <c r="AU1221" i="1"/>
  <c r="AV1221" i="1"/>
  <c r="AX1221" i="1"/>
  <c r="AY1221" i="1"/>
  <c r="AZ1221" i="1"/>
  <c r="BA1221" i="1"/>
  <c r="AO1222" i="1"/>
  <c r="AP1222" i="1"/>
  <c r="AR1222" i="1"/>
  <c r="AS1222" i="1"/>
  <c r="AT1222" i="1"/>
  <c r="AU1222" i="1"/>
  <c r="AV1222" i="1"/>
  <c r="AX1222" i="1"/>
  <c r="AY1222" i="1"/>
  <c r="AZ1222" i="1"/>
  <c r="BA1222" i="1"/>
  <c r="AO1223" i="1"/>
  <c r="AP1223" i="1"/>
  <c r="AR1223" i="1"/>
  <c r="AS1223" i="1"/>
  <c r="AT1223" i="1"/>
  <c r="AU1223" i="1"/>
  <c r="AV1223" i="1"/>
  <c r="AX1223" i="1"/>
  <c r="AY1223" i="1"/>
  <c r="AZ1223" i="1"/>
  <c r="BA1223" i="1"/>
  <c r="AO1224" i="1"/>
  <c r="AP1224" i="1"/>
  <c r="AR1224" i="1"/>
  <c r="AS1224" i="1"/>
  <c r="AT1224" i="1"/>
  <c r="AU1224" i="1"/>
  <c r="AV1224" i="1"/>
  <c r="AX1224" i="1"/>
  <c r="AY1224" i="1"/>
  <c r="AZ1224" i="1"/>
  <c r="BA1224" i="1"/>
  <c r="AO1225" i="1"/>
  <c r="AP1225" i="1"/>
  <c r="AR1225" i="1"/>
  <c r="AS1225" i="1"/>
  <c r="AT1225" i="1"/>
  <c r="AU1225" i="1"/>
  <c r="AV1225" i="1"/>
  <c r="AX1225" i="1"/>
  <c r="AY1225" i="1"/>
  <c r="AZ1225" i="1"/>
  <c r="BA1225" i="1"/>
  <c r="AO1226" i="1"/>
  <c r="AP1226" i="1"/>
  <c r="AR1226" i="1"/>
  <c r="AS1226" i="1"/>
  <c r="AT1226" i="1"/>
  <c r="AU1226" i="1"/>
  <c r="AV1226" i="1"/>
  <c r="AX1226" i="1"/>
  <c r="AY1226" i="1"/>
  <c r="AZ1226" i="1"/>
  <c r="BA1226" i="1"/>
  <c r="AO1227" i="1"/>
  <c r="AP1227" i="1"/>
  <c r="AR1227" i="1"/>
  <c r="AS1227" i="1"/>
  <c r="AT1227" i="1"/>
  <c r="AU1227" i="1"/>
  <c r="AV1227" i="1"/>
  <c r="AX1227" i="1"/>
  <c r="AY1227" i="1"/>
  <c r="AZ1227" i="1"/>
  <c r="BA1227" i="1"/>
  <c r="AO1228" i="1"/>
  <c r="AP1228" i="1"/>
  <c r="AR1228" i="1"/>
  <c r="AS1228" i="1"/>
  <c r="AT1228" i="1"/>
  <c r="AU1228" i="1"/>
  <c r="AV1228" i="1"/>
  <c r="AX1228" i="1"/>
  <c r="AY1228" i="1"/>
  <c r="AZ1228" i="1"/>
  <c r="BA1228" i="1"/>
  <c r="AO1229" i="1"/>
  <c r="AP1229" i="1"/>
  <c r="AR1229" i="1"/>
  <c r="AS1229" i="1"/>
  <c r="AT1229" i="1"/>
  <c r="AU1229" i="1"/>
  <c r="AV1229" i="1"/>
  <c r="AX1229" i="1"/>
  <c r="AY1229" i="1"/>
  <c r="AZ1229" i="1"/>
  <c r="BA1229" i="1"/>
  <c r="AO1230" i="1"/>
  <c r="AP1230" i="1"/>
  <c r="AR1230" i="1"/>
  <c r="AS1230" i="1"/>
  <c r="AT1230" i="1"/>
  <c r="AU1230" i="1"/>
  <c r="AV1230" i="1"/>
  <c r="AX1230" i="1"/>
  <c r="AY1230" i="1"/>
  <c r="AZ1230" i="1"/>
  <c r="BA1230" i="1"/>
  <c r="AO1231" i="1"/>
  <c r="AP1231" i="1"/>
  <c r="AR1231" i="1"/>
  <c r="AS1231" i="1"/>
  <c r="AT1231" i="1"/>
  <c r="AU1231" i="1"/>
  <c r="AV1231" i="1"/>
  <c r="AX1231" i="1"/>
  <c r="AY1231" i="1"/>
  <c r="AZ1231" i="1"/>
  <c r="BA1231" i="1"/>
  <c r="AO1232" i="1"/>
  <c r="AP1232" i="1"/>
  <c r="AR1232" i="1"/>
  <c r="AS1232" i="1"/>
  <c r="AT1232" i="1"/>
  <c r="AU1232" i="1"/>
  <c r="AV1232" i="1"/>
  <c r="AX1232" i="1"/>
  <c r="AY1232" i="1"/>
  <c r="AZ1232" i="1"/>
  <c r="BA1232" i="1"/>
  <c r="AO1233" i="1"/>
  <c r="AP1233" i="1"/>
  <c r="AR1233" i="1"/>
  <c r="AS1233" i="1"/>
  <c r="AT1233" i="1"/>
  <c r="AU1233" i="1"/>
  <c r="AV1233" i="1"/>
  <c r="AX1233" i="1"/>
  <c r="AY1233" i="1"/>
  <c r="AZ1233" i="1"/>
  <c r="BA1233" i="1"/>
  <c r="AO1234" i="1"/>
  <c r="AP1234" i="1"/>
  <c r="AR1234" i="1"/>
  <c r="AS1234" i="1"/>
  <c r="AT1234" i="1"/>
  <c r="AU1234" i="1"/>
  <c r="AV1234" i="1"/>
  <c r="AX1234" i="1"/>
  <c r="AY1234" i="1"/>
  <c r="AZ1234" i="1"/>
  <c r="BA1234" i="1"/>
  <c r="AO1235" i="1"/>
  <c r="AP1235" i="1"/>
  <c r="AR1235" i="1"/>
  <c r="AS1235" i="1"/>
  <c r="AT1235" i="1"/>
  <c r="AU1235" i="1"/>
  <c r="AV1235" i="1"/>
  <c r="AX1235" i="1"/>
  <c r="AY1235" i="1"/>
  <c r="AZ1235" i="1"/>
  <c r="BA1235" i="1"/>
  <c r="AO1236" i="1"/>
  <c r="AP1236" i="1"/>
  <c r="AR1236" i="1"/>
  <c r="AS1236" i="1"/>
  <c r="AT1236" i="1"/>
  <c r="AU1236" i="1"/>
  <c r="AV1236" i="1"/>
  <c r="AX1236" i="1"/>
  <c r="AY1236" i="1"/>
  <c r="AZ1236" i="1"/>
  <c r="BA1236" i="1"/>
  <c r="AO1237" i="1"/>
  <c r="AP1237" i="1"/>
  <c r="AR1237" i="1"/>
  <c r="AS1237" i="1"/>
  <c r="AT1237" i="1"/>
  <c r="AU1237" i="1"/>
  <c r="AV1237" i="1"/>
  <c r="AX1237" i="1"/>
  <c r="AY1237" i="1"/>
  <c r="AZ1237" i="1"/>
  <c r="BA1237" i="1"/>
  <c r="AO1238" i="1"/>
  <c r="AP1238" i="1"/>
  <c r="AR1238" i="1"/>
  <c r="AS1238" i="1"/>
  <c r="AT1238" i="1"/>
  <c r="AU1238" i="1"/>
  <c r="AV1238" i="1"/>
  <c r="AX1238" i="1"/>
  <c r="AY1238" i="1"/>
  <c r="AZ1238" i="1"/>
  <c r="BA1238" i="1"/>
  <c r="AO1239" i="1"/>
  <c r="AP1239" i="1"/>
  <c r="AR1239" i="1"/>
  <c r="AS1239" i="1"/>
  <c r="AT1239" i="1"/>
  <c r="AU1239" i="1"/>
  <c r="AV1239" i="1"/>
  <c r="AX1239" i="1"/>
  <c r="AY1239" i="1"/>
  <c r="AZ1239" i="1"/>
  <c r="BA1239" i="1"/>
  <c r="AO1240" i="1"/>
  <c r="AP1240" i="1"/>
  <c r="AR1240" i="1"/>
  <c r="AS1240" i="1"/>
  <c r="AT1240" i="1"/>
  <c r="AU1240" i="1"/>
  <c r="AV1240" i="1"/>
  <c r="AX1240" i="1"/>
  <c r="AY1240" i="1"/>
  <c r="AZ1240" i="1"/>
  <c r="BA1240" i="1"/>
  <c r="AO1241" i="1"/>
  <c r="AP1241" i="1"/>
  <c r="AR1241" i="1"/>
  <c r="AS1241" i="1"/>
  <c r="AT1241" i="1"/>
  <c r="AU1241" i="1"/>
  <c r="AV1241" i="1"/>
  <c r="AX1241" i="1"/>
  <c r="AY1241" i="1"/>
  <c r="AZ1241" i="1"/>
  <c r="BA1241" i="1"/>
  <c r="AO1242" i="1"/>
  <c r="AP1242" i="1"/>
  <c r="AR1242" i="1"/>
  <c r="AS1242" i="1"/>
  <c r="AT1242" i="1"/>
  <c r="AU1242" i="1"/>
  <c r="AV1242" i="1"/>
  <c r="AX1242" i="1"/>
  <c r="AY1242" i="1"/>
  <c r="AZ1242" i="1"/>
  <c r="BA1242" i="1"/>
  <c r="AO1243" i="1"/>
  <c r="AP1243" i="1"/>
  <c r="AR1243" i="1"/>
  <c r="AS1243" i="1"/>
  <c r="AT1243" i="1"/>
  <c r="AU1243" i="1"/>
  <c r="AV1243" i="1"/>
  <c r="AX1243" i="1"/>
  <c r="AY1243" i="1"/>
  <c r="AZ1243" i="1"/>
  <c r="BA1243" i="1"/>
  <c r="AO1244" i="1"/>
  <c r="AP1244" i="1"/>
  <c r="AR1244" i="1"/>
  <c r="AS1244" i="1"/>
  <c r="AT1244" i="1"/>
  <c r="AU1244" i="1"/>
  <c r="AV1244" i="1"/>
  <c r="AX1244" i="1"/>
  <c r="AY1244" i="1"/>
  <c r="AZ1244" i="1"/>
  <c r="BA1244" i="1"/>
  <c r="AO1245" i="1"/>
  <c r="AP1245" i="1"/>
  <c r="AR1245" i="1"/>
  <c r="AS1245" i="1"/>
  <c r="AT1245" i="1"/>
  <c r="AU1245" i="1"/>
  <c r="AV1245" i="1"/>
  <c r="AX1245" i="1"/>
  <c r="AY1245" i="1"/>
  <c r="AZ1245" i="1"/>
  <c r="BA1245" i="1"/>
  <c r="AO1246" i="1"/>
  <c r="AP1246" i="1"/>
  <c r="AR1246" i="1"/>
  <c r="AS1246" i="1"/>
  <c r="AT1246" i="1"/>
  <c r="AU1246" i="1"/>
  <c r="AV1246" i="1"/>
  <c r="AX1246" i="1"/>
  <c r="AY1246" i="1"/>
  <c r="AZ1246" i="1"/>
  <c r="BA1246" i="1"/>
  <c r="AO1247" i="1"/>
  <c r="AP1247" i="1"/>
  <c r="AR1247" i="1"/>
  <c r="AS1247" i="1"/>
  <c r="AT1247" i="1"/>
  <c r="AU1247" i="1"/>
  <c r="AV1247" i="1"/>
  <c r="AX1247" i="1"/>
  <c r="AY1247" i="1"/>
  <c r="AZ1247" i="1"/>
  <c r="BA1247" i="1"/>
  <c r="AO1248" i="1"/>
  <c r="AP1248" i="1"/>
  <c r="AR1248" i="1"/>
  <c r="AS1248" i="1"/>
  <c r="AT1248" i="1"/>
  <c r="AU1248" i="1"/>
  <c r="AV1248" i="1"/>
  <c r="AX1248" i="1"/>
  <c r="AY1248" i="1"/>
  <c r="AZ1248" i="1"/>
  <c r="BA1248" i="1"/>
  <c r="AO1249" i="1"/>
  <c r="AP1249" i="1"/>
  <c r="AR1249" i="1"/>
  <c r="AS1249" i="1"/>
  <c r="AT1249" i="1"/>
  <c r="AU1249" i="1"/>
  <c r="AV1249" i="1"/>
  <c r="AX1249" i="1"/>
  <c r="AY1249" i="1"/>
  <c r="AZ1249" i="1"/>
  <c r="BA1249" i="1"/>
  <c r="AO1250" i="1"/>
  <c r="AP1250" i="1"/>
  <c r="AR1250" i="1"/>
  <c r="AS1250" i="1"/>
  <c r="AT1250" i="1"/>
  <c r="AU1250" i="1"/>
  <c r="AV1250" i="1"/>
  <c r="AX1250" i="1"/>
  <c r="AY1250" i="1"/>
  <c r="AZ1250" i="1"/>
  <c r="BA1250" i="1"/>
  <c r="AO1251" i="1"/>
  <c r="AP1251" i="1"/>
  <c r="AR1251" i="1"/>
  <c r="AS1251" i="1"/>
  <c r="AT1251" i="1"/>
  <c r="AU1251" i="1"/>
  <c r="AV1251" i="1"/>
  <c r="AX1251" i="1"/>
  <c r="AY1251" i="1"/>
  <c r="AZ1251" i="1"/>
  <c r="BA1251" i="1"/>
  <c r="AO1252" i="1"/>
  <c r="AP1252" i="1"/>
  <c r="AR1252" i="1"/>
  <c r="AS1252" i="1"/>
  <c r="AT1252" i="1"/>
  <c r="AU1252" i="1"/>
  <c r="AV1252" i="1"/>
  <c r="AX1252" i="1"/>
  <c r="AY1252" i="1"/>
  <c r="AZ1252" i="1"/>
  <c r="BA1252" i="1"/>
  <c r="AO1253" i="1"/>
  <c r="AP1253" i="1"/>
  <c r="AR1253" i="1"/>
  <c r="AS1253" i="1"/>
  <c r="AT1253" i="1"/>
  <c r="AU1253" i="1"/>
  <c r="AV1253" i="1"/>
  <c r="AX1253" i="1"/>
  <c r="AY1253" i="1"/>
  <c r="AZ1253" i="1"/>
  <c r="BA1253" i="1"/>
  <c r="AO1254" i="1"/>
  <c r="AP1254" i="1"/>
  <c r="AR1254" i="1"/>
  <c r="AS1254" i="1"/>
  <c r="AT1254" i="1"/>
  <c r="AU1254" i="1"/>
  <c r="AV1254" i="1"/>
  <c r="AX1254" i="1"/>
  <c r="AY1254" i="1"/>
  <c r="AZ1254" i="1"/>
  <c r="BA1254" i="1"/>
  <c r="AO1255" i="1"/>
  <c r="AP1255" i="1"/>
  <c r="AR1255" i="1"/>
  <c r="AS1255" i="1"/>
  <c r="AT1255" i="1"/>
  <c r="AU1255" i="1"/>
  <c r="AV1255" i="1"/>
  <c r="AX1255" i="1"/>
  <c r="AY1255" i="1"/>
  <c r="AZ1255" i="1"/>
  <c r="BA1255" i="1"/>
  <c r="AO1256" i="1"/>
  <c r="AP1256" i="1"/>
  <c r="AR1256" i="1"/>
  <c r="AS1256" i="1"/>
  <c r="AT1256" i="1"/>
  <c r="AU1256" i="1"/>
  <c r="AV1256" i="1"/>
  <c r="AX1256" i="1"/>
  <c r="AY1256" i="1"/>
  <c r="AZ1256" i="1"/>
  <c r="BA1256" i="1"/>
  <c r="AO1257" i="1"/>
  <c r="AP1257" i="1"/>
  <c r="AR1257" i="1"/>
  <c r="AS1257" i="1"/>
  <c r="AT1257" i="1"/>
  <c r="AU1257" i="1"/>
  <c r="AV1257" i="1"/>
  <c r="AX1257" i="1"/>
  <c r="AY1257" i="1"/>
  <c r="AZ1257" i="1"/>
  <c r="BA1257" i="1"/>
  <c r="AO1258" i="1"/>
  <c r="AP1258" i="1"/>
  <c r="AR1258" i="1"/>
  <c r="AS1258" i="1"/>
  <c r="AT1258" i="1"/>
  <c r="AU1258" i="1"/>
  <c r="AV1258" i="1"/>
  <c r="AX1258" i="1"/>
  <c r="AY1258" i="1"/>
  <c r="AZ1258" i="1"/>
  <c r="BA1258" i="1"/>
  <c r="AO1259" i="1"/>
  <c r="AP1259" i="1"/>
  <c r="AR1259" i="1"/>
  <c r="AS1259" i="1"/>
  <c r="AT1259" i="1"/>
  <c r="AU1259" i="1"/>
  <c r="AV1259" i="1"/>
  <c r="AX1259" i="1"/>
  <c r="AY1259" i="1"/>
  <c r="AZ1259" i="1"/>
  <c r="BA1259" i="1"/>
  <c r="AO1260" i="1"/>
  <c r="AP1260" i="1"/>
  <c r="AR1260" i="1"/>
  <c r="AS1260" i="1"/>
  <c r="AT1260" i="1"/>
  <c r="AU1260" i="1"/>
  <c r="AV1260" i="1"/>
  <c r="AX1260" i="1"/>
  <c r="AY1260" i="1"/>
  <c r="AZ1260" i="1"/>
  <c r="BA1260" i="1"/>
  <c r="AO1261" i="1"/>
  <c r="AP1261" i="1"/>
  <c r="AR1261" i="1"/>
  <c r="AS1261" i="1"/>
  <c r="AT1261" i="1"/>
  <c r="AU1261" i="1"/>
  <c r="AV1261" i="1"/>
  <c r="AX1261" i="1"/>
  <c r="AY1261" i="1"/>
  <c r="AZ1261" i="1"/>
  <c r="BA1261" i="1"/>
  <c r="AO1262" i="1"/>
  <c r="AP1262" i="1"/>
  <c r="AR1262" i="1"/>
  <c r="AS1262" i="1"/>
  <c r="AT1262" i="1"/>
  <c r="AU1262" i="1"/>
  <c r="AV1262" i="1"/>
  <c r="AX1262" i="1"/>
  <c r="AY1262" i="1"/>
  <c r="AZ1262" i="1"/>
  <c r="BA1262" i="1"/>
  <c r="AO1263" i="1"/>
  <c r="AP1263" i="1"/>
  <c r="AR1263" i="1"/>
  <c r="AS1263" i="1"/>
  <c r="AT1263" i="1"/>
  <c r="AU1263" i="1"/>
  <c r="AV1263" i="1"/>
  <c r="AX1263" i="1"/>
  <c r="AY1263" i="1"/>
  <c r="AZ1263" i="1"/>
  <c r="BA1263" i="1"/>
  <c r="AO1264" i="1"/>
  <c r="AP1264" i="1"/>
  <c r="AR1264" i="1"/>
  <c r="AS1264" i="1"/>
  <c r="AT1264" i="1"/>
  <c r="AU1264" i="1"/>
  <c r="AV1264" i="1"/>
  <c r="AX1264" i="1"/>
  <c r="AY1264" i="1"/>
  <c r="AZ1264" i="1"/>
  <c r="BA1264" i="1"/>
  <c r="AO1265" i="1"/>
  <c r="AP1265" i="1"/>
  <c r="AR1265" i="1"/>
  <c r="AS1265" i="1"/>
  <c r="AT1265" i="1"/>
  <c r="AU1265" i="1"/>
  <c r="AV1265" i="1"/>
  <c r="AX1265" i="1"/>
  <c r="AY1265" i="1"/>
  <c r="AZ1265" i="1"/>
  <c r="BA1265" i="1"/>
  <c r="AO1266" i="1"/>
  <c r="AP1266" i="1"/>
  <c r="AR1266" i="1"/>
  <c r="AS1266" i="1"/>
  <c r="AT1266" i="1"/>
  <c r="AU1266" i="1"/>
  <c r="AV1266" i="1"/>
  <c r="AX1266" i="1"/>
  <c r="AY1266" i="1"/>
  <c r="AZ1266" i="1"/>
  <c r="BA1266" i="1"/>
  <c r="AO1267" i="1"/>
  <c r="AP1267" i="1"/>
  <c r="AR1267" i="1"/>
  <c r="AS1267" i="1"/>
  <c r="AT1267" i="1"/>
  <c r="AU1267" i="1"/>
  <c r="AV1267" i="1"/>
  <c r="AX1267" i="1"/>
  <c r="AY1267" i="1"/>
  <c r="AZ1267" i="1"/>
  <c r="BA1267" i="1"/>
  <c r="AO1268" i="1"/>
  <c r="AP1268" i="1"/>
  <c r="AR1268" i="1"/>
  <c r="AS1268" i="1"/>
  <c r="AT1268" i="1"/>
  <c r="AU1268" i="1"/>
  <c r="AV1268" i="1"/>
  <c r="AX1268" i="1"/>
  <c r="AY1268" i="1"/>
  <c r="AZ1268" i="1"/>
  <c r="BA1268" i="1"/>
  <c r="AO1269" i="1"/>
  <c r="AP1269" i="1"/>
  <c r="AR1269" i="1"/>
  <c r="AS1269" i="1"/>
  <c r="AT1269" i="1"/>
  <c r="AU1269" i="1"/>
  <c r="AV1269" i="1"/>
  <c r="AX1269" i="1"/>
  <c r="AY1269" i="1"/>
  <c r="AZ1269" i="1"/>
  <c r="BA1269" i="1"/>
  <c r="AO1270" i="1"/>
  <c r="AP1270" i="1"/>
  <c r="AR1270" i="1"/>
  <c r="AS1270" i="1"/>
  <c r="AT1270" i="1"/>
  <c r="AU1270" i="1"/>
  <c r="AV1270" i="1"/>
  <c r="AX1270" i="1"/>
  <c r="AY1270" i="1"/>
  <c r="AZ1270" i="1"/>
  <c r="BA1270" i="1"/>
  <c r="AO1271" i="1"/>
  <c r="AP1271" i="1"/>
  <c r="AR1271" i="1"/>
  <c r="AS1271" i="1"/>
  <c r="AT1271" i="1"/>
  <c r="AU1271" i="1"/>
  <c r="AV1271" i="1"/>
  <c r="AX1271" i="1"/>
  <c r="AY1271" i="1"/>
  <c r="AZ1271" i="1"/>
  <c r="BA1271" i="1"/>
  <c r="AO1272" i="1"/>
  <c r="AP1272" i="1"/>
  <c r="AR1272" i="1"/>
  <c r="AS1272" i="1"/>
  <c r="AT1272" i="1"/>
  <c r="AU1272" i="1"/>
  <c r="AV1272" i="1"/>
  <c r="AX1272" i="1"/>
  <c r="AY1272" i="1"/>
  <c r="AZ1272" i="1"/>
  <c r="BA1272" i="1"/>
  <c r="AO1273" i="1"/>
  <c r="AP1273" i="1"/>
  <c r="AR1273" i="1"/>
  <c r="AS1273" i="1"/>
  <c r="AT1273" i="1"/>
  <c r="AU1273" i="1"/>
  <c r="AV1273" i="1"/>
  <c r="AX1273" i="1"/>
  <c r="AY1273" i="1"/>
  <c r="AZ1273" i="1"/>
  <c r="BA1273" i="1"/>
  <c r="AO1274" i="1"/>
  <c r="AP1274" i="1"/>
  <c r="AR1274" i="1"/>
  <c r="AS1274" i="1"/>
  <c r="AT1274" i="1"/>
  <c r="AU1274" i="1"/>
  <c r="AV1274" i="1"/>
  <c r="AX1274" i="1"/>
  <c r="AY1274" i="1"/>
  <c r="AZ1274" i="1"/>
  <c r="BA1274" i="1"/>
  <c r="AO1275" i="1"/>
  <c r="AP1275" i="1"/>
  <c r="AR1275" i="1"/>
  <c r="AS1275" i="1"/>
  <c r="AT1275" i="1"/>
  <c r="AU1275" i="1"/>
  <c r="AV1275" i="1"/>
  <c r="AX1275" i="1"/>
  <c r="AY1275" i="1"/>
  <c r="AZ1275" i="1"/>
  <c r="BA1275" i="1"/>
  <c r="AO1276" i="1"/>
  <c r="AP1276" i="1"/>
  <c r="AR1276" i="1"/>
  <c r="AS1276" i="1"/>
  <c r="AT1276" i="1"/>
  <c r="AU1276" i="1"/>
  <c r="AV1276" i="1"/>
  <c r="AX1276" i="1"/>
  <c r="AY1276" i="1"/>
  <c r="AZ1276" i="1"/>
  <c r="BA1276" i="1"/>
  <c r="AO1277" i="1"/>
  <c r="AP1277" i="1"/>
  <c r="AR1277" i="1"/>
  <c r="AS1277" i="1"/>
  <c r="AT1277" i="1"/>
  <c r="AU1277" i="1"/>
  <c r="AV1277" i="1"/>
  <c r="AX1277" i="1"/>
  <c r="AY1277" i="1"/>
  <c r="AZ1277" i="1"/>
  <c r="BA1277" i="1"/>
  <c r="AO1278" i="1"/>
  <c r="AP1278" i="1"/>
  <c r="AR1278" i="1"/>
  <c r="AS1278" i="1"/>
  <c r="AT1278" i="1"/>
  <c r="AU1278" i="1"/>
  <c r="AV1278" i="1"/>
  <c r="AX1278" i="1"/>
  <c r="AY1278" i="1"/>
  <c r="AZ1278" i="1"/>
  <c r="BA1278" i="1"/>
  <c r="AO1279" i="1"/>
  <c r="AP1279" i="1"/>
  <c r="AR1279" i="1"/>
  <c r="AS1279" i="1"/>
  <c r="AT1279" i="1"/>
  <c r="AU1279" i="1"/>
  <c r="AV1279" i="1"/>
  <c r="AX1279" i="1"/>
  <c r="AY1279" i="1"/>
  <c r="AZ1279" i="1"/>
  <c r="BA1279" i="1"/>
  <c r="AO1280" i="1"/>
  <c r="AP1280" i="1"/>
  <c r="AR1280" i="1"/>
  <c r="AS1280" i="1"/>
  <c r="AT1280" i="1"/>
  <c r="AU1280" i="1"/>
  <c r="AV1280" i="1"/>
  <c r="AX1280" i="1"/>
  <c r="AY1280" i="1"/>
  <c r="AZ1280" i="1"/>
  <c r="BA1280" i="1"/>
  <c r="AO1281" i="1"/>
  <c r="AP1281" i="1"/>
  <c r="AR1281" i="1"/>
  <c r="AS1281" i="1"/>
  <c r="AT1281" i="1"/>
  <c r="AU1281" i="1"/>
  <c r="AV1281" i="1"/>
  <c r="AX1281" i="1"/>
  <c r="AY1281" i="1"/>
  <c r="AZ1281" i="1"/>
  <c r="BA1281" i="1"/>
  <c r="AO1282" i="1"/>
  <c r="AP1282" i="1"/>
  <c r="AR1282" i="1"/>
  <c r="AS1282" i="1"/>
  <c r="AT1282" i="1"/>
  <c r="AU1282" i="1"/>
  <c r="AV1282" i="1"/>
  <c r="AX1282" i="1"/>
  <c r="AY1282" i="1"/>
  <c r="AZ1282" i="1"/>
  <c r="BA1282" i="1"/>
  <c r="AO1283" i="1"/>
  <c r="AP1283" i="1"/>
  <c r="AR1283" i="1"/>
  <c r="AS1283" i="1"/>
  <c r="AT1283" i="1"/>
  <c r="AU1283" i="1"/>
  <c r="AV1283" i="1"/>
  <c r="AX1283" i="1"/>
  <c r="AY1283" i="1"/>
  <c r="AZ1283" i="1"/>
  <c r="BA1283" i="1"/>
  <c r="AO1284" i="1"/>
  <c r="AP1284" i="1"/>
  <c r="AR1284" i="1"/>
  <c r="AS1284" i="1"/>
  <c r="AT1284" i="1"/>
  <c r="AU1284" i="1"/>
  <c r="AV1284" i="1"/>
  <c r="AX1284" i="1"/>
  <c r="AY1284" i="1"/>
  <c r="AZ1284" i="1"/>
  <c r="BA1284" i="1"/>
  <c r="AO1285" i="1"/>
  <c r="AP1285" i="1"/>
  <c r="AR1285" i="1"/>
  <c r="AS1285" i="1"/>
  <c r="AT1285" i="1"/>
  <c r="AU1285" i="1"/>
  <c r="AV1285" i="1"/>
  <c r="AX1285" i="1"/>
  <c r="AY1285" i="1"/>
  <c r="AZ1285" i="1"/>
  <c r="BA1285" i="1"/>
  <c r="AO1286" i="1"/>
  <c r="AP1286" i="1"/>
  <c r="AR1286" i="1"/>
  <c r="AS1286" i="1"/>
  <c r="AT1286" i="1"/>
  <c r="AU1286" i="1"/>
  <c r="AV1286" i="1"/>
  <c r="AX1286" i="1"/>
  <c r="AY1286" i="1"/>
  <c r="AZ1286" i="1"/>
  <c r="BA1286" i="1"/>
  <c r="AO1287" i="1"/>
  <c r="AP1287" i="1"/>
  <c r="AR1287" i="1"/>
  <c r="AS1287" i="1"/>
  <c r="AT1287" i="1"/>
  <c r="AU1287" i="1"/>
  <c r="AV1287" i="1"/>
  <c r="AX1287" i="1"/>
  <c r="AY1287" i="1"/>
  <c r="AZ1287" i="1"/>
  <c r="BA1287" i="1"/>
  <c r="AO1288" i="1"/>
  <c r="AP1288" i="1"/>
  <c r="AR1288" i="1"/>
  <c r="AS1288" i="1"/>
  <c r="AT1288" i="1"/>
  <c r="AU1288" i="1"/>
  <c r="AV1288" i="1"/>
  <c r="AX1288" i="1"/>
  <c r="AY1288" i="1"/>
  <c r="AZ1288" i="1"/>
  <c r="BA1288" i="1"/>
  <c r="AO1289" i="1"/>
  <c r="AP1289" i="1"/>
  <c r="AR1289" i="1"/>
  <c r="AS1289" i="1"/>
  <c r="AT1289" i="1"/>
  <c r="AU1289" i="1"/>
  <c r="AV1289" i="1"/>
  <c r="AX1289" i="1"/>
  <c r="AY1289" i="1"/>
  <c r="AZ1289" i="1"/>
  <c r="BA1289" i="1"/>
  <c r="AO1290" i="1"/>
  <c r="AP1290" i="1"/>
  <c r="AR1290" i="1"/>
  <c r="AS1290" i="1"/>
  <c r="AT1290" i="1"/>
  <c r="AU1290" i="1"/>
  <c r="AV1290" i="1"/>
  <c r="AX1290" i="1"/>
  <c r="AY1290" i="1"/>
  <c r="AZ1290" i="1"/>
  <c r="BA1290" i="1"/>
  <c r="AO1291" i="1"/>
  <c r="AP1291" i="1"/>
  <c r="AR1291" i="1"/>
  <c r="AS1291" i="1"/>
  <c r="AT1291" i="1"/>
  <c r="AU1291" i="1"/>
  <c r="AV1291" i="1"/>
  <c r="AX1291" i="1"/>
  <c r="AY1291" i="1"/>
  <c r="AZ1291" i="1"/>
  <c r="BA1291" i="1"/>
  <c r="AO1292" i="1"/>
  <c r="AP1292" i="1"/>
  <c r="AR1292" i="1"/>
  <c r="AS1292" i="1"/>
  <c r="AT1292" i="1"/>
  <c r="AU1292" i="1"/>
  <c r="AV1292" i="1"/>
  <c r="AX1292" i="1"/>
  <c r="AY1292" i="1"/>
  <c r="AZ1292" i="1"/>
  <c r="BA1292" i="1"/>
  <c r="AO1293" i="1"/>
  <c r="AP1293" i="1"/>
  <c r="AR1293" i="1"/>
  <c r="AS1293" i="1"/>
  <c r="AT1293" i="1"/>
  <c r="AU1293" i="1"/>
  <c r="AV1293" i="1"/>
  <c r="AX1293" i="1"/>
  <c r="AY1293" i="1"/>
  <c r="AZ1293" i="1"/>
  <c r="BA1293" i="1"/>
  <c r="AO1294" i="1"/>
  <c r="AP1294" i="1"/>
  <c r="AR1294" i="1"/>
  <c r="AS1294" i="1"/>
  <c r="AT1294" i="1"/>
  <c r="AU1294" i="1"/>
  <c r="AV1294" i="1"/>
  <c r="AX1294" i="1"/>
  <c r="AY1294" i="1"/>
  <c r="AZ1294" i="1"/>
  <c r="BA1294" i="1"/>
  <c r="AO1295" i="1"/>
  <c r="AP1295" i="1"/>
  <c r="AR1295" i="1"/>
  <c r="AS1295" i="1"/>
  <c r="AT1295" i="1"/>
  <c r="AU1295" i="1"/>
  <c r="AV1295" i="1"/>
  <c r="AX1295" i="1"/>
  <c r="AY1295" i="1"/>
  <c r="AZ1295" i="1"/>
  <c r="BA1295" i="1"/>
  <c r="AO1296" i="1"/>
  <c r="AP1296" i="1"/>
  <c r="AR1296" i="1"/>
  <c r="AS1296" i="1"/>
  <c r="AT1296" i="1"/>
  <c r="AU1296" i="1"/>
  <c r="AV1296" i="1"/>
  <c r="AX1296" i="1"/>
  <c r="AY1296" i="1"/>
  <c r="AO1297" i="1"/>
  <c r="AP1297" i="1"/>
  <c r="AR1297" i="1"/>
  <c r="AS1297" i="1"/>
  <c r="AT1297" i="1"/>
  <c r="AU1297" i="1"/>
  <c r="AV1297" i="1"/>
  <c r="AX1297" i="1"/>
  <c r="AY1297" i="1"/>
  <c r="AZ1297" i="1"/>
  <c r="BA1297" i="1"/>
  <c r="AO1298" i="1"/>
  <c r="AP1298" i="1"/>
  <c r="AR1298" i="1"/>
  <c r="AS1298" i="1"/>
  <c r="AT1298" i="1"/>
  <c r="AU1298" i="1"/>
  <c r="AV1298" i="1"/>
  <c r="AX1298" i="1"/>
  <c r="AY1298" i="1"/>
  <c r="AZ1298" i="1"/>
  <c r="BA1298" i="1"/>
  <c r="AO1299" i="1"/>
  <c r="AP1299" i="1"/>
  <c r="AR1299" i="1"/>
  <c r="AS1299" i="1"/>
  <c r="AT1299" i="1"/>
  <c r="AU1299" i="1"/>
  <c r="AV1299" i="1"/>
  <c r="AX1299" i="1"/>
  <c r="AY1299" i="1"/>
  <c r="AZ1299" i="1"/>
  <c r="BA1299" i="1"/>
  <c r="AO1300" i="1"/>
  <c r="AP1300" i="1"/>
  <c r="AR1300" i="1"/>
  <c r="AS1300" i="1"/>
  <c r="AT1300" i="1"/>
  <c r="AU1300" i="1"/>
  <c r="AV1300" i="1"/>
  <c r="AX1300" i="1"/>
  <c r="AY1300" i="1"/>
  <c r="AZ1300" i="1"/>
  <c r="BA1300" i="1"/>
  <c r="AO1301" i="1"/>
  <c r="AP1301" i="1"/>
  <c r="AR1301" i="1"/>
  <c r="AS1301" i="1"/>
  <c r="AT1301" i="1"/>
  <c r="AU1301" i="1"/>
  <c r="AV1301" i="1"/>
  <c r="AX1301" i="1"/>
  <c r="AY1301" i="1"/>
  <c r="AO1302" i="1"/>
  <c r="AP1302" i="1"/>
  <c r="AR1302" i="1"/>
  <c r="AS1302" i="1"/>
  <c r="AT1302" i="1"/>
  <c r="AU1302" i="1"/>
  <c r="AV1302" i="1"/>
  <c r="AX1302" i="1"/>
  <c r="AY1302" i="1"/>
  <c r="AZ1302" i="1"/>
  <c r="BA1302" i="1"/>
  <c r="AO1303" i="1"/>
  <c r="AP1303" i="1"/>
  <c r="AR1303" i="1"/>
  <c r="AS1303" i="1"/>
  <c r="AT1303" i="1"/>
  <c r="AU1303" i="1"/>
  <c r="AV1303" i="1"/>
  <c r="AX1303" i="1"/>
  <c r="AY1303" i="1"/>
  <c r="AZ1303" i="1"/>
  <c r="BA1303" i="1"/>
  <c r="AO1304" i="1"/>
  <c r="AP1304" i="1"/>
  <c r="AR1304" i="1"/>
  <c r="AS1304" i="1"/>
  <c r="AT1304" i="1"/>
  <c r="AU1304" i="1"/>
  <c r="AV1304" i="1"/>
  <c r="AX1304" i="1"/>
  <c r="AY1304" i="1"/>
  <c r="AZ1304" i="1"/>
  <c r="BA1304" i="1"/>
  <c r="AO1305" i="1"/>
  <c r="AP1305" i="1"/>
  <c r="AR1305" i="1"/>
  <c r="AS1305" i="1"/>
  <c r="AT1305" i="1"/>
  <c r="AU1305" i="1"/>
  <c r="AV1305" i="1"/>
  <c r="AX1305" i="1"/>
  <c r="AY1305" i="1"/>
  <c r="AZ1305" i="1"/>
  <c r="BA1305" i="1"/>
  <c r="AO1306" i="1"/>
  <c r="AP1306" i="1"/>
  <c r="AR1306" i="1"/>
  <c r="AS1306" i="1"/>
  <c r="AT1306" i="1"/>
  <c r="AU1306" i="1"/>
  <c r="AV1306" i="1"/>
  <c r="AX1306" i="1"/>
  <c r="AY1306" i="1"/>
  <c r="AZ1306" i="1"/>
  <c r="BA1306" i="1"/>
  <c r="AO1307" i="1"/>
  <c r="AP1307" i="1"/>
  <c r="AR1307" i="1"/>
  <c r="AS1307" i="1"/>
  <c r="AT1307" i="1"/>
  <c r="AU1307" i="1"/>
  <c r="AV1307" i="1"/>
  <c r="AX1307" i="1"/>
  <c r="AY1307" i="1"/>
  <c r="AZ1307" i="1"/>
  <c r="BA1307" i="1"/>
  <c r="AO1308" i="1"/>
  <c r="AP1308" i="1"/>
  <c r="AR1308" i="1"/>
  <c r="AS1308" i="1"/>
  <c r="AT1308" i="1"/>
  <c r="AU1308" i="1"/>
  <c r="AV1308" i="1"/>
  <c r="AX1308" i="1"/>
  <c r="AY1308" i="1"/>
  <c r="AZ1308" i="1"/>
  <c r="BA1308" i="1"/>
  <c r="AO1309" i="1"/>
  <c r="AP1309" i="1"/>
  <c r="AQ1309" i="1"/>
  <c r="AR1309" i="1"/>
  <c r="AS1309" i="1"/>
  <c r="AT1309" i="1"/>
  <c r="AU1309" i="1"/>
  <c r="AV1309" i="1"/>
  <c r="AX1309" i="1"/>
  <c r="AY1309" i="1"/>
  <c r="AO1310" i="1"/>
  <c r="AP1310" i="1"/>
  <c r="AR1310" i="1"/>
  <c r="AS1310" i="1"/>
  <c r="AT1310" i="1"/>
  <c r="AU1310" i="1"/>
  <c r="AV1310" i="1"/>
  <c r="AX1310" i="1"/>
  <c r="AY1310" i="1"/>
  <c r="AZ1310" i="1"/>
  <c r="BA1310" i="1"/>
  <c r="AO1311" i="1"/>
  <c r="AP1311" i="1"/>
  <c r="AR1311" i="1"/>
  <c r="AS1311" i="1"/>
  <c r="AT1311" i="1"/>
  <c r="AU1311" i="1"/>
  <c r="AV1311" i="1"/>
  <c r="AX1311" i="1"/>
  <c r="AY1311" i="1"/>
  <c r="AZ1311" i="1"/>
  <c r="BA1311" i="1"/>
  <c r="AO1312" i="1"/>
  <c r="AP1312" i="1"/>
  <c r="AQ1312" i="1"/>
  <c r="AR1312" i="1"/>
  <c r="AS1312" i="1"/>
  <c r="AT1312" i="1"/>
  <c r="AU1312" i="1"/>
  <c r="AV1312" i="1"/>
  <c r="AX1312" i="1"/>
  <c r="AY1312" i="1"/>
  <c r="AZ1312" i="1"/>
  <c r="BA1312" i="1"/>
  <c r="AO1313" i="1"/>
  <c r="AP1313" i="1"/>
  <c r="AR1313" i="1"/>
  <c r="AS1313" i="1"/>
  <c r="AT1313" i="1"/>
  <c r="AU1313" i="1"/>
  <c r="AV1313" i="1"/>
  <c r="AX1313" i="1"/>
  <c r="AY1313" i="1"/>
  <c r="AZ1313" i="1"/>
  <c r="BA1313" i="1"/>
  <c r="AO1314" i="1"/>
  <c r="AP1314" i="1"/>
  <c r="AR1314" i="1"/>
  <c r="AS1314" i="1"/>
  <c r="AT1314" i="1"/>
  <c r="AU1314" i="1"/>
  <c r="AV1314" i="1"/>
  <c r="AX1314" i="1"/>
  <c r="AY1314" i="1"/>
  <c r="AO1315" i="1"/>
  <c r="AP1315" i="1"/>
  <c r="AR1315" i="1"/>
  <c r="AS1315" i="1"/>
  <c r="AT1315" i="1"/>
  <c r="AU1315" i="1"/>
  <c r="AV1315" i="1"/>
  <c r="AX1315" i="1"/>
  <c r="AY1315" i="1"/>
  <c r="AZ1315" i="1"/>
  <c r="BA1315" i="1"/>
  <c r="AO1316" i="1"/>
  <c r="AP1316" i="1"/>
  <c r="AR1316" i="1"/>
  <c r="AS1316" i="1"/>
  <c r="AT1316" i="1"/>
  <c r="AU1316" i="1"/>
  <c r="AV1316" i="1"/>
  <c r="AX1316" i="1"/>
  <c r="AY1316" i="1"/>
  <c r="AZ1316" i="1"/>
  <c r="BA1316" i="1"/>
  <c r="AO1317" i="1"/>
  <c r="AP1317" i="1"/>
  <c r="AR1317" i="1"/>
  <c r="AS1317" i="1"/>
  <c r="AT1317" i="1"/>
  <c r="AU1317" i="1"/>
  <c r="AV1317" i="1"/>
  <c r="AX1317" i="1"/>
  <c r="AY1317" i="1"/>
  <c r="AZ1317" i="1"/>
  <c r="BA1317" i="1"/>
  <c r="AO1318" i="1"/>
  <c r="AP1318" i="1"/>
  <c r="AR1318" i="1"/>
  <c r="AS1318" i="1"/>
  <c r="AT1318" i="1"/>
  <c r="AU1318" i="1"/>
  <c r="AV1318" i="1"/>
  <c r="AX1318" i="1"/>
  <c r="AY1318" i="1"/>
  <c r="AZ1318" i="1"/>
  <c r="BA1318" i="1"/>
  <c r="AO1319" i="1"/>
  <c r="AP1319" i="1"/>
  <c r="AR1319" i="1"/>
  <c r="AS1319" i="1"/>
  <c r="AT1319" i="1"/>
  <c r="AU1319" i="1"/>
  <c r="AV1319" i="1"/>
  <c r="AX1319" i="1"/>
  <c r="AY1319" i="1"/>
  <c r="AZ1319" i="1"/>
  <c r="BA1319" i="1"/>
  <c r="AO1320" i="1"/>
  <c r="AP1320" i="1"/>
  <c r="AR1320" i="1"/>
  <c r="AS1320" i="1"/>
  <c r="AT1320" i="1"/>
  <c r="AU1320" i="1"/>
  <c r="AV1320" i="1"/>
  <c r="AX1320" i="1"/>
  <c r="AY1320" i="1"/>
  <c r="AZ1320" i="1"/>
  <c r="BA1320" i="1"/>
  <c r="AO1321" i="1"/>
  <c r="AP1321" i="1"/>
  <c r="AR1321" i="1"/>
  <c r="AS1321" i="1"/>
  <c r="AT1321" i="1"/>
  <c r="AU1321" i="1"/>
  <c r="AV1321" i="1"/>
  <c r="AX1321" i="1"/>
  <c r="AY1321" i="1"/>
  <c r="AZ1321" i="1"/>
  <c r="BA1321" i="1"/>
  <c r="AO1322" i="1"/>
  <c r="AP1322" i="1"/>
  <c r="AR1322" i="1"/>
  <c r="AS1322" i="1"/>
  <c r="AT1322" i="1"/>
  <c r="AU1322" i="1"/>
  <c r="AV1322" i="1"/>
  <c r="AX1322" i="1"/>
  <c r="AY1322" i="1"/>
  <c r="AZ1322" i="1"/>
  <c r="BA1322" i="1"/>
  <c r="AO1323" i="1"/>
  <c r="AP1323" i="1"/>
  <c r="AR1323" i="1"/>
  <c r="AS1323" i="1"/>
  <c r="AT1323" i="1"/>
  <c r="AU1323" i="1"/>
  <c r="AV1323" i="1"/>
  <c r="AX1323" i="1"/>
  <c r="AY1323" i="1"/>
  <c r="AZ1323" i="1"/>
  <c r="BA1323" i="1"/>
  <c r="AO1324" i="1"/>
  <c r="AP1324" i="1"/>
  <c r="AR1324" i="1"/>
  <c r="AS1324" i="1"/>
  <c r="AT1324" i="1"/>
  <c r="AU1324" i="1"/>
  <c r="AV1324" i="1"/>
  <c r="AX1324" i="1"/>
  <c r="AY1324" i="1"/>
  <c r="AZ1324" i="1"/>
  <c r="BA1324" i="1"/>
  <c r="AO1325" i="1"/>
  <c r="AP1325" i="1"/>
  <c r="AR1325" i="1"/>
  <c r="AS1325" i="1"/>
  <c r="AT1325" i="1"/>
  <c r="AU1325" i="1"/>
  <c r="AV1325" i="1"/>
  <c r="AX1325" i="1"/>
  <c r="AY1325" i="1"/>
  <c r="AZ1325" i="1"/>
  <c r="BA1325" i="1"/>
  <c r="AO1326" i="1"/>
  <c r="AP1326" i="1"/>
  <c r="AR1326" i="1"/>
  <c r="AS1326" i="1"/>
  <c r="AT1326" i="1"/>
  <c r="AU1326" i="1"/>
  <c r="AV1326" i="1"/>
  <c r="AX1326" i="1"/>
  <c r="AY1326" i="1"/>
  <c r="AZ1326" i="1"/>
  <c r="BA1326" i="1"/>
  <c r="AO1327" i="1"/>
  <c r="AP1327" i="1"/>
  <c r="AR1327" i="1"/>
  <c r="AS1327" i="1"/>
  <c r="AT1327" i="1"/>
  <c r="AU1327" i="1"/>
  <c r="AV1327" i="1"/>
  <c r="AX1327" i="1"/>
  <c r="AY1327" i="1"/>
  <c r="AZ1327" i="1"/>
  <c r="BA1327" i="1"/>
  <c r="AO1328" i="1"/>
  <c r="AP1328" i="1"/>
  <c r="AR1328" i="1"/>
  <c r="AS1328" i="1"/>
  <c r="AT1328" i="1"/>
  <c r="AU1328" i="1"/>
  <c r="AV1328" i="1"/>
  <c r="AX1328" i="1"/>
  <c r="AY1328" i="1"/>
  <c r="AZ1328" i="1"/>
  <c r="BA1328" i="1"/>
  <c r="AO1329" i="1"/>
  <c r="AP1329" i="1"/>
  <c r="AR1329" i="1"/>
  <c r="AS1329" i="1"/>
  <c r="AT1329" i="1"/>
  <c r="AU1329" i="1"/>
  <c r="AV1329" i="1"/>
  <c r="AX1329" i="1"/>
  <c r="AY1329" i="1"/>
  <c r="AZ1329" i="1"/>
  <c r="BA1329" i="1"/>
  <c r="AO1330" i="1"/>
  <c r="AP1330" i="1"/>
  <c r="AR1330" i="1"/>
  <c r="AS1330" i="1"/>
  <c r="AT1330" i="1"/>
  <c r="AU1330" i="1"/>
  <c r="AV1330" i="1"/>
  <c r="AX1330" i="1"/>
  <c r="AY1330" i="1"/>
  <c r="AZ1330" i="1"/>
  <c r="BA1330" i="1"/>
  <c r="AO1331" i="1"/>
  <c r="AP1331" i="1"/>
  <c r="AR1331" i="1"/>
  <c r="AS1331" i="1"/>
  <c r="AT1331" i="1"/>
  <c r="AU1331" i="1"/>
  <c r="AV1331" i="1"/>
  <c r="AX1331" i="1"/>
  <c r="AY1331" i="1"/>
  <c r="AZ1331" i="1"/>
  <c r="BA1331" i="1"/>
  <c r="AO1332" i="1"/>
  <c r="AP1332" i="1"/>
  <c r="AR1332" i="1"/>
  <c r="AS1332" i="1"/>
  <c r="AT1332" i="1"/>
  <c r="AU1332" i="1"/>
  <c r="AV1332" i="1"/>
  <c r="AX1332" i="1"/>
  <c r="AY1332" i="1"/>
  <c r="AZ1332" i="1"/>
  <c r="BA1332" i="1"/>
  <c r="AO1333" i="1"/>
  <c r="AP1333" i="1"/>
  <c r="AR1333" i="1"/>
  <c r="AS1333" i="1"/>
  <c r="AT1333" i="1"/>
  <c r="AU1333" i="1"/>
  <c r="AV1333" i="1"/>
  <c r="AX1333" i="1"/>
  <c r="AY1333" i="1"/>
  <c r="AZ1333" i="1"/>
  <c r="BA1333" i="1"/>
  <c r="AO1334" i="1"/>
  <c r="AP1334" i="1"/>
  <c r="AR1334" i="1"/>
  <c r="AS1334" i="1"/>
  <c r="AT1334" i="1"/>
  <c r="AU1334" i="1"/>
  <c r="AV1334" i="1"/>
  <c r="AX1334" i="1"/>
  <c r="AY1334" i="1"/>
  <c r="AZ1334" i="1"/>
  <c r="BA1334" i="1"/>
  <c r="AO1335" i="1"/>
  <c r="AP1335" i="1"/>
  <c r="AR1335" i="1"/>
  <c r="AS1335" i="1"/>
  <c r="AT1335" i="1"/>
  <c r="AU1335" i="1"/>
  <c r="AV1335" i="1"/>
  <c r="AX1335" i="1"/>
  <c r="AY1335" i="1"/>
  <c r="AZ1335" i="1"/>
  <c r="BA1335" i="1"/>
  <c r="AO1336" i="1"/>
  <c r="AP1336" i="1"/>
  <c r="AR1336" i="1"/>
  <c r="AS1336" i="1"/>
  <c r="AT1336" i="1"/>
  <c r="AU1336" i="1"/>
  <c r="AV1336" i="1"/>
  <c r="AX1336" i="1"/>
  <c r="AY1336" i="1"/>
  <c r="AZ1336" i="1"/>
  <c r="BA1336" i="1"/>
  <c r="AO1337" i="1"/>
  <c r="AP1337" i="1"/>
  <c r="AR1337" i="1"/>
  <c r="AS1337" i="1"/>
  <c r="AT1337" i="1"/>
  <c r="AU1337" i="1"/>
  <c r="AV1337" i="1"/>
  <c r="AX1337" i="1"/>
  <c r="AY1337" i="1"/>
  <c r="AZ1337" i="1"/>
  <c r="BA1337" i="1"/>
  <c r="AO1338" i="1"/>
  <c r="AP1338" i="1"/>
  <c r="AR1338" i="1"/>
  <c r="AS1338" i="1"/>
  <c r="AT1338" i="1"/>
  <c r="AU1338" i="1"/>
  <c r="AV1338" i="1"/>
  <c r="AX1338" i="1"/>
  <c r="AY1338" i="1"/>
  <c r="AZ1338" i="1"/>
  <c r="BA1338" i="1"/>
  <c r="AO1339" i="1"/>
  <c r="AP1339" i="1"/>
  <c r="AR1339" i="1"/>
  <c r="AS1339" i="1"/>
  <c r="AT1339" i="1"/>
  <c r="AU1339" i="1"/>
  <c r="AV1339" i="1"/>
  <c r="AX1339" i="1"/>
  <c r="AY1339" i="1"/>
  <c r="AZ1339" i="1"/>
  <c r="BA1339" i="1"/>
  <c r="AO1340" i="1"/>
  <c r="AP1340" i="1"/>
  <c r="AR1340" i="1"/>
  <c r="AS1340" i="1"/>
  <c r="AT1340" i="1"/>
  <c r="AU1340" i="1"/>
  <c r="AV1340" i="1"/>
  <c r="AX1340" i="1"/>
  <c r="AY1340" i="1"/>
  <c r="AZ1340" i="1"/>
  <c r="BA1340" i="1"/>
  <c r="AO1341" i="1"/>
  <c r="AP1341" i="1"/>
  <c r="AR1341" i="1"/>
  <c r="AS1341" i="1"/>
  <c r="AT1341" i="1"/>
  <c r="AU1341" i="1"/>
  <c r="AV1341" i="1"/>
  <c r="AX1341" i="1"/>
  <c r="AY1341" i="1"/>
  <c r="AZ1341" i="1"/>
  <c r="BA1341" i="1"/>
  <c r="AO1342" i="1"/>
  <c r="AP1342" i="1"/>
  <c r="AR1342" i="1"/>
  <c r="AS1342" i="1"/>
  <c r="AT1342" i="1"/>
  <c r="AU1342" i="1"/>
  <c r="AV1342" i="1"/>
  <c r="AX1342" i="1"/>
  <c r="AY1342" i="1"/>
  <c r="AZ1342" i="1"/>
  <c r="BA1342" i="1"/>
  <c r="AO1343" i="1"/>
  <c r="AP1343" i="1"/>
  <c r="AR1343" i="1"/>
  <c r="AS1343" i="1"/>
  <c r="AT1343" i="1"/>
  <c r="AU1343" i="1"/>
  <c r="AV1343" i="1"/>
  <c r="AX1343" i="1"/>
  <c r="AY1343" i="1"/>
  <c r="AZ1343" i="1"/>
  <c r="BA1343" i="1"/>
  <c r="AO1344" i="1"/>
  <c r="AP1344" i="1"/>
  <c r="AR1344" i="1"/>
  <c r="AS1344" i="1"/>
  <c r="AT1344" i="1"/>
  <c r="AU1344" i="1"/>
  <c r="AV1344" i="1"/>
  <c r="AX1344" i="1"/>
  <c r="AY1344" i="1"/>
  <c r="AZ1344" i="1"/>
  <c r="BA1344" i="1"/>
  <c r="AO1345" i="1"/>
  <c r="AP1345" i="1"/>
  <c r="AR1345" i="1"/>
  <c r="AS1345" i="1"/>
  <c r="AT1345" i="1"/>
  <c r="AU1345" i="1"/>
  <c r="AV1345" i="1"/>
  <c r="AX1345" i="1"/>
  <c r="AY1345" i="1"/>
  <c r="AZ1345" i="1"/>
  <c r="BA1345" i="1"/>
  <c r="AO1346" i="1"/>
  <c r="AP1346" i="1"/>
  <c r="AR1346" i="1"/>
  <c r="AS1346" i="1"/>
  <c r="AT1346" i="1"/>
  <c r="AU1346" i="1"/>
  <c r="AV1346" i="1"/>
  <c r="AX1346" i="1"/>
  <c r="AY1346" i="1"/>
  <c r="AZ1346" i="1"/>
  <c r="BA1346" i="1"/>
  <c r="AO1347" i="1"/>
  <c r="AP1347" i="1"/>
  <c r="AR1347" i="1"/>
  <c r="AS1347" i="1"/>
  <c r="AT1347" i="1"/>
  <c r="AU1347" i="1"/>
  <c r="AV1347" i="1"/>
  <c r="AX1347" i="1"/>
  <c r="AY1347" i="1"/>
  <c r="AZ1347" i="1"/>
  <c r="BA1347" i="1"/>
  <c r="AO1348" i="1"/>
  <c r="AP1348" i="1"/>
  <c r="AR1348" i="1"/>
  <c r="AS1348" i="1"/>
  <c r="AT1348" i="1"/>
  <c r="AU1348" i="1"/>
  <c r="AV1348" i="1"/>
  <c r="AX1348" i="1"/>
  <c r="AY1348" i="1"/>
  <c r="AZ1348" i="1"/>
  <c r="BA1348" i="1"/>
  <c r="AO1349" i="1"/>
  <c r="AP1349" i="1"/>
  <c r="AR1349" i="1"/>
  <c r="AS1349" i="1"/>
  <c r="AT1349" i="1"/>
  <c r="AU1349" i="1"/>
  <c r="AV1349" i="1"/>
  <c r="AX1349" i="1"/>
  <c r="AY1349" i="1"/>
  <c r="AZ1349" i="1"/>
  <c r="BA1349" i="1"/>
  <c r="AO1350" i="1"/>
  <c r="AP1350" i="1"/>
  <c r="AR1350" i="1"/>
  <c r="AS1350" i="1"/>
  <c r="AT1350" i="1"/>
  <c r="AU1350" i="1"/>
  <c r="AV1350" i="1"/>
  <c r="AX1350" i="1"/>
  <c r="AY1350" i="1"/>
  <c r="AZ1350" i="1"/>
  <c r="BA1350" i="1"/>
  <c r="AO1351" i="1"/>
  <c r="AP1351" i="1"/>
  <c r="AR1351" i="1"/>
  <c r="AS1351" i="1"/>
  <c r="AT1351" i="1"/>
  <c r="AU1351" i="1"/>
  <c r="AV1351" i="1"/>
  <c r="AX1351" i="1"/>
  <c r="AY1351" i="1"/>
  <c r="AZ1351" i="1"/>
  <c r="BA1351" i="1"/>
  <c r="AO1352" i="1"/>
  <c r="AP1352" i="1"/>
  <c r="AR1352" i="1"/>
  <c r="AS1352" i="1"/>
  <c r="AT1352" i="1"/>
  <c r="AU1352" i="1"/>
  <c r="AV1352" i="1"/>
  <c r="AX1352" i="1"/>
  <c r="AY1352" i="1"/>
  <c r="AZ1352" i="1"/>
  <c r="BA1352" i="1"/>
  <c r="AO1353" i="1"/>
  <c r="AP1353" i="1"/>
  <c r="AR1353" i="1"/>
  <c r="AS1353" i="1"/>
  <c r="AT1353" i="1"/>
  <c r="AU1353" i="1"/>
  <c r="AV1353" i="1"/>
  <c r="AX1353" i="1"/>
  <c r="AY1353" i="1"/>
  <c r="AZ1353" i="1"/>
  <c r="BA1353" i="1"/>
  <c r="AO1354" i="1"/>
  <c r="AP1354" i="1"/>
  <c r="AR1354" i="1"/>
  <c r="AS1354" i="1"/>
  <c r="AT1354" i="1"/>
  <c r="AU1354" i="1"/>
  <c r="AV1354" i="1"/>
  <c r="AX1354" i="1"/>
  <c r="AY1354" i="1"/>
  <c r="AZ1354" i="1"/>
  <c r="BA1354" i="1"/>
  <c r="AO1355" i="1"/>
  <c r="AP1355" i="1"/>
  <c r="AR1355" i="1"/>
  <c r="AS1355" i="1"/>
  <c r="AT1355" i="1"/>
  <c r="AU1355" i="1"/>
  <c r="AV1355" i="1"/>
  <c r="AX1355" i="1"/>
  <c r="AY1355" i="1"/>
  <c r="AZ1355" i="1"/>
  <c r="BA1355" i="1"/>
  <c r="AO1356" i="1"/>
  <c r="AP1356" i="1"/>
  <c r="AR1356" i="1"/>
  <c r="AS1356" i="1"/>
  <c r="AT1356" i="1"/>
  <c r="AU1356" i="1"/>
  <c r="AV1356" i="1"/>
  <c r="AX1356" i="1"/>
  <c r="AY1356" i="1"/>
  <c r="AZ1356" i="1"/>
  <c r="BA1356" i="1"/>
  <c r="AO1357" i="1"/>
  <c r="AP1357" i="1"/>
  <c r="AR1357" i="1"/>
  <c r="AS1357" i="1"/>
  <c r="AT1357" i="1"/>
  <c r="AU1357" i="1"/>
  <c r="AV1357" i="1"/>
  <c r="AX1357" i="1"/>
  <c r="AY1357" i="1"/>
  <c r="AZ1357" i="1"/>
  <c r="BA1357" i="1"/>
  <c r="AO1358" i="1"/>
  <c r="AP1358" i="1"/>
  <c r="AR1358" i="1"/>
  <c r="AS1358" i="1"/>
  <c r="AT1358" i="1"/>
  <c r="AU1358" i="1"/>
  <c r="AV1358" i="1"/>
  <c r="AX1358" i="1"/>
  <c r="AY1358" i="1"/>
  <c r="AZ1358" i="1"/>
  <c r="BA1358" i="1"/>
  <c r="AO1359" i="1"/>
  <c r="AP1359" i="1"/>
  <c r="AR1359" i="1"/>
  <c r="AS1359" i="1"/>
  <c r="AT1359" i="1"/>
  <c r="AU1359" i="1"/>
  <c r="AV1359" i="1"/>
  <c r="AX1359" i="1"/>
  <c r="AY1359" i="1"/>
  <c r="AZ1359" i="1"/>
  <c r="BA1359" i="1"/>
  <c r="AO1360" i="1"/>
  <c r="AP1360" i="1"/>
  <c r="AR1360" i="1"/>
  <c r="AS1360" i="1"/>
  <c r="AT1360" i="1"/>
  <c r="AU1360" i="1"/>
  <c r="AV1360" i="1"/>
  <c r="AX1360" i="1"/>
  <c r="AY1360" i="1"/>
  <c r="AZ1360" i="1"/>
  <c r="BA1360" i="1"/>
  <c r="AO1361" i="1"/>
  <c r="AP1361" i="1"/>
  <c r="AR1361" i="1"/>
  <c r="AS1361" i="1"/>
  <c r="AT1361" i="1"/>
  <c r="AU1361" i="1"/>
  <c r="AV1361" i="1"/>
  <c r="AX1361" i="1"/>
  <c r="AY1361" i="1"/>
  <c r="AZ1361" i="1"/>
  <c r="BA1361" i="1"/>
  <c r="AO1362" i="1"/>
  <c r="AP1362" i="1"/>
  <c r="AR1362" i="1"/>
  <c r="AS1362" i="1"/>
  <c r="AT1362" i="1"/>
  <c r="AU1362" i="1"/>
  <c r="AV1362" i="1"/>
  <c r="AX1362" i="1"/>
  <c r="AY1362" i="1"/>
  <c r="AZ1362" i="1"/>
  <c r="BA1362" i="1"/>
  <c r="AO1363" i="1"/>
  <c r="AP1363" i="1"/>
  <c r="AR1363" i="1"/>
  <c r="AS1363" i="1"/>
  <c r="AT1363" i="1"/>
  <c r="AU1363" i="1"/>
  <c r="AV1363" i="1"/>
  <c r="AX1363" i="1"/>
  <c r="AY1363" i="1"/>
  <c r="AZ1363" i="1"/>
  <c r="BA1363" i="1"/>
  <c r="AO1364" i="1"/>
  <c r="AP1364" i="1"/>
  <c r="AR1364" i="1"/>
  <c r="AS1364" i="1"/>
  <c r="AT1364" i="1"/>
  <c r="AU1364" i="1"/>
  <c r="AV1364" i="1"/>
  <c r="AX1364" i="1"/>
  <c r="AY1364" i="1"/>
  <c r="AZ1364" i="1"/>
  <c r="BA1364" i="1"/>
  <c r="AO1365" i="1"/>
  <c r="AP1365" i="1"/>
  <c r="AR1365" i="1"/>
  <c r="AS1365" i="1"/>
  <c r="AT1365" i="1"/>
  <c r="AU1365" i="1"/>
  <c r="AV1365" i="1"/>
  <c r="AX1365" i="1"/>
  <c r="AY1365" i="1"/>
  <c r="AZ1365" i="1"/>
  <c r="BA1365" i="1"/>
  <c r="AO1366" i="1"/>
  <c r="AP1366" i="1"/>
  <c r="AR1366" i="1"/>
  <c r="AS1366" i="1"/>
  <c r="AT1366" i="1"/>
  <c r="AU1366" i="1"/>
  <c r="AV1366" i="1"/>
  <c r="AX1366" i="1"/>
  <c r="AY1366" i="1"/>
  <c r="AZ1366" i="1"/>
  <c r="BA1366" i="1"/>
  <c r="AO1367" i="1"/>
  <c r="AP1367" i="1"/>
  <c r="AR1367" i="1"/>
  <c r="AS1367" i="1"/>
  <c r="AT1367" i="1"/>
  <c r="AU1367" i="1"/>
  <c r="AV1367" i="1"/>
  <c r="AX1367" i="1"/>
  <c r="AY1367" i="1"/>
  <c r="AZ1367" i="1"/>
  <c r="BA1367" i="1"/>
  <c r="AO1368" i="1"/>
  <c r="AP1368" i="1"/>
  <c r="AR1368" i="1"/>
  <c r="AS1368" i="1"/>
  <c r="AT1368" i="1"/>
  <c r="AU1368" i="1"/>
  <c r="AV1368" i="1"/>
  <c r="AX1368" i="1"/>
  <c r="AY1368" i="1"/>
  <c r="AZ1368" i="1"/>
  <c r="BA1368" i="1"/>
  <c r="AO1369" i="1"/>
  <c r="AP1369" i="1"/>
  <c r="AR1369" i="1"/>
  <c r="AS1369" i="1"/>
  <c r="AT1369" i="1"/>
  <c r="AU1369" i="1"/>
  <c r="AV1369" i="1"/>
  <c r="AX1369" i="1"/>
  <c r="AY1369" i="1"/>
  <c r="AZ1369" i="1"/>
  <c r="BA1369" i="1"/>
  <c r="AO1370" i="1"/>
  <c r="AP1370" i="1"/>
  <c r="AR1370" i="1"/>
  <c r="AS1370" i="1"/>
  <c r="AT1370" i="1"/>
  <c r="AU1370" i="1"/>
  <c r="AV1370" i="1"/>
  <c r="AX1370" i="1"/>
  <c r="AY1370" i="1"/>
  <c r="AZ1370" i="1"/>
  <c r="BA1370" i="1"/>
  <c r="AO1371" i="1"/>
  <c r="AP1371" i="1"/>
  <c r="AR1371" i="1"/>
  <c r="AS1371" i="1"/>
  <c r="AT1371" i="1"/>
  <c r="AU1371" i="1"/>
  <c r="AV1371" i="1"/>
  <c r="AX1371" i="1"/>
  <c r="AY1371" i="1"/>
  <c r="AZ1371" i="1"/>
  <c r="BA1371" i="1"/>
  <c r="AO1372" i="1"/>
  <c r="AP1372" i="1"/>
  <c r="AR1372" i="1"/>
  <c r="AS1372" i="1"/>
  <c r="AT1372" i="1"/>
  <c r="AU1372" i="1"/>
  <c r="AV1372" i="1"/>
  <c r="AX1372" i="1"/>
  <c r="AY1372" i="1"/>
  <c r="AZ1372" i="1"/>
  <c r="BA1372" i="1"/>
  <c r="AO1373" i="1"/>
  <c r="AP1373" i="1"/>
  <c r="AR1373" i="1"/>
  <c r="AS1373" i="1"/>
  <c r="AT1373" i="1"/>
  <c r="AU1373" i="1"/>
  <c r="AV1373" i="1"/>
  <c r="AX1373" i="1"/>
  <c r="AY1373" i="1"/>
  <c r="AZ1373" i="1"/>
  <c r="BA1373" i="1"/>
  <c r="AO1374" i="1"/>
  <c r="AP1374" i="1"/>
  <c r="AR1374" i="1"/>
  <c r="AS1374" i="1"/>
  <c r="AT1374" i="1"/>
  <c r="AU1374" i="1"/>
  <c r="AV1374" i="1"/>
  <c r="AX1374" i="1"/>
  <c r="AY1374" i="1"/>
  <c r="AZ1374" i="1"/>
  <c r="BA1374" i="1"/>
  <c r="AO1375" i="1"/>
  <c r="AP1375" i="1"/>
  <c r="AR1375" i="1"/>
  <c r="AS1375" i="1"/>
  <c r="AT1375" i="1"/>
  <c r="AU1375" i="1"/>
  <c r="AV1375" i="1"/>
  <c r="AX1375" i="1"/>
  <c r="AY1375" i="1"/>
  <c r="AZ1375" i="1"/>
  <c r="BA1375" i="1"/>
  <c r="AO1376" i="1"/>
  <c r="AP1376" i="1"/>
  <c r="AR1376" i="1"/>
  <c r="AS1376" i="1"/>
  <c r="AT1376" i="1"/>
  <c r="AU1376" i="1"/>
  <c r="AV1376" i="1"/>
  <c r="AX1376" i="1"/>
  <c r="AY1376" i="1"/>
  <c r="AZ1376" i="1"/>
  <c r="BA1376" i="1"/>
  <c r="AO1377" i="1"/>
  <c r="AP1377" i="1"/>
  <c r="AR1377" i="1"/>
  <c r="AS1377" i="1"/>
  <c r="AT1377" i="1"/>
  <c r="AU1377" i="1"/>
  <c r="AV1377" i="1"/>
  <c r="AX1377" i="1"/>
  <c r="AY1377" i="1"/>
  <c r="AZ1377" i="1"/>
  <c r="BA1377" i="1"/>
  <c r="AO1378" i="1"/>
  <c r="AP1378" i="1"/>
  <c r="AR1378" i="1"/>
  <c r="AS1378" i="1"/>
  <c r="AT1378" i="1"/>
  <c r="AU1378" i="1"/>
  <c r="AV1378" i="1"/>
  <c r="AX1378" i="1"/>
  <c r="AY1378" i="1"/>
  <c r="AZ1378" i="1"/>
  <c r="BA1378" i="1"/>
  <c r="AO1379" i="1"/>
  <c r="AP1379" i="1"/>
  <c r="AR1379" i="1"/>
  <c r="AS1379" i="1"/>
  <c r="AT1379" i="1"/>
  <c r="AU1379" i="1"/>
  <c r="AV1379" i="1"/>
  <c r="AX1379" i="1"/>
  <c r="AY1379" i="1"/>
  <c r="AO1380" i="1"/>
  <c r="AP1380" i="1"/>
  <c r="AR1380" i="1"/>
  <c r="AS1380" i="1"/>
  <c r="AT1380" i="1"/>
  <c r="AU1380" i="1"/>
  <c r="AV1380" i="1"/>
  <c r="AX1380" i="1"/>
  <c r="AY1380" i="1"/>
  <c r="AZ1380" i="1"/>
  <c r="BA1380" i="1"/>
  <c r="AO1381" i="1"/>
  <c r="AP1381" i="1"/>
  <c r="AR1381" i="1"/>
  <c r="AS1381" i="1"/>
  <c r="AT1381" i="1"/>
  <c r="AU1381" i="1"/>
  <c r="AV1381" i="1"/>
  <c r="AX1381" i="1"/>
  <c r="AY1381" i="1"/>
  <c r="AZ1381" i="1"/>
  <c r="BA1381" i="1"/>
  <c r="AO1382" i="1"/>
  <c r="AP1382" i="1"/>
  <c r="AR1382" i="1"/>
  <c r="AS1382" i="1"/>
  <c r="AT1382" i="1"/>
  <c r="AU1382" i="1"/>
  <c r="AV1382" i="1"/>
  <c r="AX1382" i="1"/>
  <c r="AY1382" i="1"/>
  <c r="AZ1382" i="1"/>
  <c r="BA1382" i="1"/>
  <c r="AO1383" i="1"/>
  <c r="AP1383" i="1"/>
  <c r="AR1383" i="1"/>
  <c r="AS1383" i="1"/>
  <c r="AT1383" i="1"/>
  <c r="AU1383" i="1"/>
  <c r="AV1383" i="1"/>
  <c r="AX1383" i="1"/>
  <c r="AY1383" i="1"/>
  <c r="AZ1383" i="1"/>
  <c r="BA1383" i="1"/>
  <c r="AO1384" i="1"/>
  <c r="AP1384" i="1"/>
  <c r="AR1384" i="1"/>
  <c r="AS1384" i="1"/>
  <c r="AT1384" i="1"/>
  <c r="AU1384" i="1"/>
  <c r="AV1384" i="1"/>
  <c r="AX1384" i="1"/>
  <c r="AY1384" i="1"/>
  <c r="AZ1384" i="1"/>
  <c r="BA1384" i="1"/>
  <c r="AO1385" i="1"/>
  <c r="AP1385" i="1"/>
  <c r="AR1385" i="1"/>
  <c r="AS1385" i="1"/>
  <c r="AT1385" i="1"/>
  <c r="AU1385" i="1"/>
  <c r="AV1385" i="1"/>
  <c r="AX1385" i="1"/>
  <c r="AY1385" i="1"/>
  <c r="AZ1385" i="1"/>
  <c r="BA1385" i="1"/>
  <c r="AO1386" i="1"/>
  <c r="AP1386" i="1"/>
  <c r="AR1386" i="1"/>
  <c r="AS1386" i="1"/>
  <c r="AT1386" i="1"/>
  <c r="AU1386" i="1"/>
  <c r="AV1386" i="1"/>
  <c r="AX1386" i="1"/>
  <c r="AY1386" i="1"/>
  <c r="AZ1386" i="1"/>
  <c r="BA1386" i="1"/>
  <c r="AO1387" i="1"/>
  <c r="AP1387" i="1"/>
  <c r="AR1387" i="1"/>
  <c r="AS1387" i="1"/>
  <c r="AT1387" i="1"/>
  <c r="AU1387" i="1"/>
  <c r="AV1387" i="1"/>
  <c r="AX1387" i="1"/>
  <c r="AY1387" i="1"/>
  <c r="AZ1387" i="1"/>
  <c r="BA1387" i="1"/>
  <c r="AO1388" i="1"/>
  <c r="AP1388" i="1"/>
  <c r="AR1388" i="1"/>
  <c r="AS1388" i="1"/>
  <c r="AT1388" i="1"/>
  <c r="AU1388" i="1"/>
  <c r="AV1388" i="1"/>
  <c r="AX1388" i="1"/>
  <c r="AY1388" i="1"/>
  <c r="AZ1388" i="1"/>
  <c r="BA1388" i="1"/>
  <c r="AO1389" i="1"/>
  <c r="AP1389" i="1"/>
  <c r="AR1389" i="1"/>
  <c r="AS1389" i="1"/>
  <c r="AT1389" i="1"/>
  <c r="AU1389" i="1"/>
  <c r="AV1389" i="1"/>
  <c r="AX1389" i="1"/>
  <c r="AY1389" i="1"/>
  <c r="AZ1389" i="1"/>
  <c r="BA1389" i="1"/>
  <c r="AO1390" i="1"/>
  <c r="AP1390" i="1"/>
  <c r="AR1390" i="1"/>
  <c r="AS1390" i="1"/>
  <c r="AT1390" i="1"/>
  <c r="AU1390" i="1"/>
  <c r="AV1390" i="1"/>
  <c r="AX1390" i="1"/>
  <c r="AY1390" i="1"/>
  <c r="AZ1390" i="1"/>
  <c r="BA1390" i="1"/>
  <c r="AO1391" i="1"/>
  <c r="AP1391" i="1"/>
  <c r="AR1391" i="1"/>
  <c r="AS1391" i="1"/>
  <c r="AT1391" i="1"/>
  <c r="AU1391" i="1"/>
  <c r="AV1391" i="1"/>
  <c r="AX1391" i="1"/>
  <c r="AY1391" i="1"/>
  <c r="AO1392" i="1"/>
  <c r="AP1392" i="1"/>
  <c r="AR1392" i="1"/>
  <c r="AS1392" i="1"/>
  <c r="AT1392" i="1"/>
  <c r="AU1392" i="1"/>
  <c r="AV1392" i="1"/>
  <c r="AX1392" i="1"/>
  <c r="AY1392" i="1"/>
  <c r="AZ1392" i="1"/>
  <c r="BA1392" i="1"/>
  <c r="AO1393" i="1"/>
  <c r="AP1393" i="1"/>
  <c r="AR1393" i="1"/>
  <c r="AS1393" i="1"/>
  <c r="AT1393" i="1"/>
  <c r="AU1393" i="1"/>
  <c r="AV1393" i="1"/>
  <c r="AX1393" i="1"/>
  <c r="AY1393" i="1"/>
  <c r="AZ1393" i="1"/>
  <c r="BA1393" i="1"/>
  <c r="AO1394" i="1"/>
  <c r="AP1394" i="1"/>
  <c r="AR1394" i="1"/>
  <c r="AS1394" i="1"/>
  <c r="AT1394" i="1"/>
  <c r="AU1394" i="1"/>
  <c r="AV1394" i="1"/>
  <c r="AX1394" i="1"/>
  <c r="AY1394" i="1"/>
  <c r="AZ1394" i="1"/>
  <c r="BA1394" i="1"/>
  <c r="AO1395" i="1"/>
  <c r="AP1395" i="1"/>
  <c r="AR1395" i="1"/>
  <c r="AS1395" i="1"/>
  <c r="AT1395" i="1"/>
  <c r="AU1395" i="1"/>
  <c r="AV1395" i="1"/>
  <c r="AX1395" i="1"/>
  <c r="AY1395" i="1"/>
  <c r="AZ1395" i="1"/>
  <c r="BA1395" i="1"/>
  <c r="AO1396" i="1"/>
  <c r="AP1396" i="1"/>
  <c r="AR1396" i="1"/>
  <c r="AS1396" i="1"/>
  <c r="AT1396" i="1"/>
  <c r="AU1396" i="1"/>
  <c r="AV1396" i="1"/>
  <c r="AX1396" i="1"/>
  <c r="AY1396" i="1"/>
  <c r="AZ1396" i="1"/>
  <c r="BA1396" i="1"/>
  <c r="AO1397" i="1"/>
  <c r="AP1397" i="1"/>
  <c r="AR1397" i="1"/>
  <c r="AS1397" i="1"/>
  <c r="AT1397" i="1"/>
  <c r="AU1397" i="1"/>
  <c r="AV1397" i="1"/>
  <c r="AX1397" i="1"/>
  <c r="AY1397" i="1"/>
  <c r="AZ1397" i="1"/>
  <c r="BA1397" i="1"/>
  <c r="AO1398" i="1"/>
  <c r="AP1398" i="1"/>
  <c r="AR1398" i="1"/>
  <c r="AS1398" i="1"/>
  <c r="AT1398" i="1"/>
  <c r="AU1398" i="1"/>
  <c r="AV1398" i="1"/>
  <c r="AX1398" i="1"/>
  <c r="AY1398" i="1"/>
  <c r="AZ1398" i="1"/>
  <c r="BA1398" i="1"/>
  <c r="AO1399" i="1"/>
  <c r="AP1399" i="1"/>
  <c r="AR1399" i="1"/>
  <c r="AS1399" i="1"/>
  <c r="AT1399" i="1"/>
  <c r="AU1399" i="1"/>
  <c r="AV1399" i="1"/>
  <c r="AX1399" i="1"/>
  <c r="AY1399" i="1"/>
  <c r="AZ1399" i="1"/>
  <c r="BA1399" i="1"/>
  <c r="AO1400" i="1"/>
  <c r="AP1400" i="1"/>
  <c r="AR1400" i="1"/>
  <c r="AS1400" i="1"/>
  <c r="AT1400" i="1"/>
  <c r="AU1400" i="1"/>
  <c r="AV1400" i="1"/>
  <c r="AX1400" i="1"/>
  <c r="AY1400" i="1"/>
  <c r="AO1401" i="1"/>
  <c r="AP1401" i="1"/>
  <c r="AR1401" i="1"/>
  <c r="AS1401" i="1"/>
  <c r="AT1401" i="1"/>
  <c r="AU1401" i="1"/>
  <c r="AV1401" i="1"/>
  <c r="AX1401" i="1"/>
  <c r="AY1401" i="1"/>
  <c r="AZ1401" i="1"/>
  <c r="BA1401" i="1"/>
  <c r="AO1402" i="1"/>
  <c r="AP1402" i="1"/>
  <c r="AR1402" i="1"/>
  <c r="AS1402" i="1"/>
  <c r="AT1402" i="1"/>
  <c r="AU1402" i="1"/>
  <c r="AV1402" i="1"/>
  <c r="AX1402" i="1"/>
  <c r="AY1402" i="1"/>
  <c r="AZ1402" i="1"/>
  <c r="BA1402" i="1"/>
  <c r="AO1403" i="1"/>
  <c r="AP1403" i="1"/>
  <c r="AR1403" i="1"/>
  <c r="AS1403" i="1"/>
  <c r="AT1403" i="1"/>
  <c r="AU1403" i="1"/>
  <c r="AV1403" i="1"/>
  <c r="AX1403" i="1"/>
  <c r="AY1403" i="1"/>
  <c r="AZ1403" i="1"/>
  <c r="BA1403" i="1"/>
  <c r="AO1404" i="1"/>
  <c r="AP1404" i="1"/>
  <c r="AR1404" i="1"/>
  <c r="AS1404" i="1"/>
  <c r="AT1404" i="1"/>
  <c r="AU1404" i="1"/>
  <c r="AV1404" i="1"/>
  <c r="AX1404" i="1"/>
  <c r="AY1404" i="1"/>
  <c r="AZ1404" i="1"/>
  <c r="BA1404" i="1"/>
  <c r="AO1405" i="1"/>
  <c r="AP1405" i="1"/>
  <c r="AR1405" i="1"/>
  <c r="AS1405" i="1"/>
  <c r="AT1405" i="1"/>
  <c r="AU1405" i="1"/>
  <c r="AV1405" i="1"/>
  <c r="AX1405" i="1"/>
  <c r="AY1405" i="1"/>
  <c r="AZ1405" i="1"/>
  <c r="BA1405" i="1"/>
  <c r="AO1406" i="1"/>
  <c r="AP1406" i="1"/>
  <c r="AR1406" i="1"/>
  <c r="AS1406" i="1"/>
  <c r="AT1406" i="1"/>
  <c r="AU1406" i="1"/>
  <c r="AV1406" i="1"/>
  <c r="AX1406" i="1"/>
  <c r="AY1406" i="1"/>
  <c r="AZ1406" i="1"/>
  <c r="BA1406" i="1"/>
  <c r="AO1407" i="1"/>
  <c r="AP1407" i="1"/>
  <c r="AR1407" i="1"/>
  <c r="AS1407" i="1"/>
  <c r="AT1407" i="1"/>
  <c r="AU1407" i="1"/>
  <c r="AV1407" i="1"/>
  <c r="AX1407" i="1"/>
  <c r="AY1407" i="1"/>
  <c r="AZ1407" i="1"/>
  <c r="BA1407" i="1"/>
  <c r="AO1408" i="1"/>
  <c r="AP1408" i="1"/>
  <c r="AR1408" i="1"/>
  <c r="AS1408" i="1"/>
  <c r="AT1408" i="1"/>
  <c r="AU1408" i="1"/>
  <c r="AV1408" i="1"/>
  <c r="AX1408" i="1"/>
  <c r="AY1408" i="1"/>
  <c r="AZ1408" i="1"/>
  <c r="BA1408" i="1"/>
  <c r="AO1409" i="1"/>
  <c r="AP1409" i="1"/>
  <c r="AR1409" i="1"/>
  <c r="AS1409" i="1"/>
  <c r="AT1409" i="1"/>
  <c r="AU1409" i="1"/>
  <c r="AV1409" i="1"/>
  <c r="AX1409" i="1"/>
  <c r="AY1409" i="1"/>
  <c r="AZ1409" i="1"/>
  <c r="BA1409" i="1"/>
  <c r="AO1410" i="1"/>
  <c r="AP1410" i="1"/>
  <c r="AR1410" i="1"/>
  <c r="AS1410" i="1"/>
  <c r="AT1410" i="1"/>
  <c r="AU1410" i="1"/>
  <c r="AV1410" i="1"/>
  <c r="AX1410" i="1"/>
  <c r="AY1410" i="1"/>
  <c r="AZ1410" i="1"/>
  <c r="BA1410" i="1"/>
  <c r="AO1411" i="1"/>
  <c r="AP1411" i="1"/>
  <c r="AR1411" i="1"/>
  <c r="AS1411" i="1"/>
  <c r="AT1411" i="1"/>
  <c r="AU1411" i="1"/>
  <c r="AV1411" i="1"/>
  <c r="AX1411" i="1"/>
  <c r="AY1411" i="1"/>
  <c r="AZ1411" i="1"/>
  <c r="BA1411" i="1"/>
  <c r="AO1412" i="1"/>
  <c r="AP1412" i="1"/>
  <c r="AR1412" i="1"/>
  <c r="AS1412" i="1"/>
  <c r="AT1412" i="1"/>
  <c r="AU1412" i="1"/>
  <c r="AV1412" i="1"/>
  <c r="AX1412" i="1"/>
  <c r="AY1412" i="1"/>
  <c r="AZ1412" i="1"/>
  <c r="BA1412" i="1"/>
  <c r="AO1413" i="1"/>
  <c r="AP1413" i="1"/>
  <c r="AR1413" i="1"/>
  <c r="AS1413" i="1"/>
  <c r="AT1413" i="1"/>
  <c r="AU1413" i="1"/>
  <c r="AV1413" i="1"/>
  <c r="AX1413" i="1"/>
  <c r="AY1413" i="1"/>
  <c r="AZ1413" i="1"/>
  <c r="BA1413" i="1"/>
  <c r="AO1414" i="1"/>
  <c r="AP1414" i="1"/>
  <c r="AR1414" i="1"/>
  <c r="AS1414" i="1"/>
  <c r="AT1414" i="1"/>
  <c r="AU1414" i="1"/>
  <c r="AV1414" i="1"/>
  <c r="AX1414" i="1"/>
  <c r="AY1414" i="1"/>
  <c r="AZ1414" i="1"/>
  <c r="BA1414" i="1"/>
  <c r="AO1415" i="1"/>
  <c r="AP1415" i="1"/>
  <c r="AR1415" i="1"/>
  <c r="AS1415" i="1"/>
  <c r="AT1415" i="1"/>
  <c r="AU1415" i="1"/>
  <c r="AV1415" i="1"/>
  <c r="AX1415" i="1"/>
  <c r="AY1415" i="1"/>
  <c r="AZ1415" i="1"/>
  <c r="BA1415" i="1"/>
  <c r="AO1416" i="1"/>
  <c r="AP1416" i="1"/>
  <c r="AR1416" i="1"/>
  <c r="AS1416" i="1"/>
  <c r="AT1416" i="1"/>
  <c r="AU1416" i="1"/>
  <c r="AV1416" i="1"/>
  <c r="AX1416" i="1"/>
  <c r="AY1416" i="1"/>
  <c r="AZ1416" i="1"/>
  <c r="BA1416" i="1"/>
  <c r="AO1417" i="1"/>
  <c r="AP1417" i="1"/>
  <c r="AR1417" i="1"/>
  <c r="AS1417" i="1"/>
  <c r="AT1417" i="1"/>
  <c r="AU1417" i="1"/>
  <c r="AV1417" i="1"/>
  <c r="AX1417" i="1"/>
  <c r="AY1417" i="1"/>
  <c r="AZ1417" i="1"/>
  <c r="BA1417" i="1"/>
  <c r="AO1418" i="1"/>
  <c r="AP1418" i="1"/>
  <c r="AR1418" i="1"/>
  <c r="AS1418" i="1"/>
  <c r="AT1418" i="1"/>
  <c r="AU1418" i="1"/>
  <c r="AV1418" i="1"/>
  <c r="AX1418" i="1"/>
  <c r="AY1418" i="1"/>
  <c r="AZ1418" i="1"/>
  <c r="BA1418" i="1"/>
  <c r="AO1419" i="1"/>
  <c r="AP1419" i="1"/>
  <c r="AR1419" i="1"/>
  <c r="AS1419" i="1"/>
  <c r="AT1419" i="1"/>
  <c r="AU1419" i="1"/>
  <c r="AV1419" i="1"/>
  <c r="AX1419" i="1"/>
  <c r="AY1419" i="1"/>
  <c r="AO1420" i="1"/>
  <c r="AP1420" i="1"/>
  <c r="AR1420" i="1"/>
  <c r="AS1420" i="1"/>
  <c r="AT1420" i="1"/>
  <c r="AU1420" i="1"/>
  <c r="AV1420" i="1"/>
  <c r="AX1420" i="1"/>
  <c r="AY1420" i="1"/>
  <c r="AZ1420" i="1"/>
  <c r="BA1420" i="1"/>
  <c r="AO1421" i="1"/>
  <c r="AP1421" i="1"/>
  <c r="AR1421" i="1"/>
  <c r="AS1421" i="1"/>
  <c r="AT1421" i="1"/>
  <c r="AU1421" i="1"/>
  <c r="AV1421" i="1"/>
  <c r="AX1421" i="1"/>
  <c r="AY1421" i="1"/>
  <c r="AZ1421" i="1"/>
  <c r="BA1421" i="1"/>
  <c r="AO1422" i="1"/>
  <c r="AP1422" i="1"/>
  <c r="AR1422" i="1"/>
  <c r="AS1422" i="1"/>
  <c r="AT1422" i="1"/>
  <c r="AU1422" i="1"/>
  <c r="AV1422" i="1"/>
  <c r="AX1422" i="1"/>
  <c r="AY1422" i="1"/>
  <c r="AZ1422" i="1"/>
  <c r="BA1422" i="1"/>
  <c r="AO1423" i="1"/>
  <c r="AP1423" i="1"/>
  <c r="AR1423" i="1"/>
  <c r="AS1423" i="1"/>
  <c r="AT1423" i="1"/>
  <c r="AU1423" i="1"/>
  <c r="AV1423" i="1"/>
  <c r="AX1423" i="1"/>
  <c r="AY1423" i="1"/>
  <c r="AZ1423" i="1"/>
  <c r="BA1423" i="1"/>
  <c r="AO1424" i="1"/>
  <c r="AP1424" i="1"/>
  <c r="AR1424" i="1"/>
  <c r="AS1424" i="1"/>
  <c r="AT1424" i="1"/>
  <c r="AU1424" i="1"/>
  <c r="AV1424" i="1"/>
  <c r="AX1424" i="1"/>
  <c r="AY1424" i="1"/>
  <c r="AZ1424" i="1"/>
  <c r="BA1424" i="1"/>
  <c r="AO1425" i="1"/>
  <c r="AP1425" i="1"/>
  <c r="AR1425" i="1"/>
  <c r="AS1425" i="1"/>
  <c r="AT1425" i="1"/>
  <c r="AU1425" i="1"/>
  <c r="AV1425" i="1"/>
  <c r="AX1425" i="1"/>
  <c r="AY1425" i="1"/>
  <c r="AZ1425" i="1"/>
  <c r="BA1425" i="1"/>
  <c r="AO1426" i="1"/>
  <c r="AP1426" i="1"/>
  <c r="AR1426" i="1"/>
  <c r="AS1426" i="1"/>
  <c r="AT1426" i="1"/>
  <c r="AU1426" i="1"/>
  <c r="AV1426" i="1"/>
  <c r="AX1426" i="1"/>
  <c r="AY1426" i="1"/>
  <c r="AZ1426" i="1"/>
  <c r="BA1426" i="1"/>
  <c r="AO1427" i="1"/>
  <c r="AP1427" i="1"/>
  <c r="AR1427" i="1"/>
  <c r="AS1427" i="1"/>
  <c r="AT1427" i="1"/>
  <c r="AU1427" i="1"/>
  <c r="AV1427" i="1"/>
  <c r="AX1427" i="1"/>
  <c r="AY1427" i="1"/>
  <c r="AZ1427" i="1"/>
  <c r="BA1427" i="1"/>
  <c r="AO1428" i="1"/>
  <c r="AP1428" i="1"/>
  <c r="AR1428" i="1"/>
  <c r="AS1428" i="1"/>
  <c r="AT1428" i="1"/>
  <c r="AU1428" i="1"/>
  <c r="AV1428" i="1"/>
  <c r="AX1428" i="1"/>
  <c r="AY1428" i="1"/>
  <c r="AZ1428" i="1"/>
  <c r="BA1428" i="1"/>
  <c r="AO1429" i="1"/>
  <c r="AP1429" i="1"/>
  <c r="AR1429" i="1"/>
  <c r="AS1429" i="1"/>
  <c r="AT1429" i="1"/>
  <c r="AU1429" i="1"/>
  <c r="AV1429" i="1"/>
  <c r="AX1429" i="1"/>
  <c r="AY1429" i="1"/>
  <c r="AZ1429" i="1"/>
  <c r="BA1429" i="1"/>
  <c r="AO1430" i="1"/>
  <c r="AP1430" i="1"/>
  <c r="AR1430" i="1"/>
  <c r="AS1430" i="1"/>
  <c r="AT1430" i="1"/>
  <c r="AU1430" i="1"/>
  <c r="AV1430" i="1"/>
  <c r="AX1430" i="1"/>
  <c r="AY1430" i="1"/>
  <c r="AZ1430" i="1"/>
  <c r="BA1430" i="1"/>
  <c r="AO1431" i="1"/>
  <c r="AP1431" i="1"/>
  <c r="AR1431" i="1"/>
  <c r="AS1431" i="1"/>
  <c r="AT1431" i="1"/>
  <c r="AU1431" i="1"/>
  <c r="AV1431" i="1"/>
  <c r="AX1431" i="1"/>
  <c r="AY1431" i="1"/>
  <c r="AZ1431" i="1"/>
  <c r="BA1431" i="1"/>
  <c r="AO1432" i="1"/>
  <c r="AP1432" i="1"/>
  <c r="AR1432" i="1"/>
  <c r="AS1432" i="1"/>
  <c r="AT1432" i="1"/>
  <c r="AU1432" i="1"/>
  <c r="AV1432" i="1"/>
  <c r="AX1432" i="1"/>
  <c r="AY1432" i="1"/>
  <c r="AZ1432" i="1"/>
  <c r="BA1432" i="1"/>
  <c r="AO1433" i="1"/>
  <c r="AP1433" i="1"/>
  <c r="AR1433" i="1"/>
  <c r="AS1433" i="1"/>
  <c r="AT1433" i="1"/>
  <c r="AU1433" i="1"/>
  <c r="AV1433" i="1"/>
  <c r="AX1433" i="1"/>
  <c r="AY1433" i="1"/>
  <c r="AZ1433" i="1"/>
  <c r="BA1433" i="1"/>
  <c r="AO1434" i="1"/>
  <c r="AP1434" i="1"/>
  <c r="AR1434" i="1"/>
  <c r="AS1434" i="1"/>
  <c r="AT1434" i="1"/>
  <c r="AU1434" i="1"/>
  <c r="AV1434" i="1"/>
  <c r="AX1434" i="1"/>
  <c r="AY1434" i="1"/>
  <c r="AZ1434" i="1"/>
  <c r="BA1434" i="1"/>
  <c r="AO1435" i="1"/>
  <c r="AP1435" i="1"/>
  <c r="AR1435" i="1"/>
  <c r="AS1435" i="1"/>
  <c r="AT1435" i="1"/>
  <c r="AU1435" i="1"/>
  <c r="AV1435" i="1"/>
  <c r="AX1435" i="1"/>
  <c r="AY1435" i="1"/>
  <c r="AZ1435" i="1"/>
  <c r="BA1435" i="1"/>
  <c r="AO1436" i="1"/>
  <c r="AP1436" i="1"/>
  <c r="AR1436" i="1"/>
  <c r="AS1436" i="1"/>
  <c r="AT1436" i="1"/>
  <c r="AU1436" i="1"/>
  <c r="AV1436" i="1"/>
  <c r="AX1436" i="1"/>
  <c r="AY1436" i="1"/>
  <c r="AZ1436" i="1"/>
  <c r="BA1436" i="1"/>
  <c r="AO1437" i="1"/>
  <c r="AP1437" i="1"/>
  <c r="AR1437" i="1"/>
  <c r="AS1437" i="1"/>
  <c r="AT1437" i="1"/>
  <c r="AU1437" i="1"/>
  <c r="AV1437" i="1"/>
  <c r="AX1437" i="1"/>
  <c r="AY1437" i="1"/>
  <c r="AZ1437" i="1"/>
  <c r="BA1437" i="1"/>
  <c r="AO1438" i="1"/>
  <c r="AP1438" i="1"/>
  <c r="AR1438" i="1"/>
  <c r="AS1438" i="1"/>
  <c r="AT1438" i="1"/>
  <c r="AU1438" i="1"/>
  <c r="AV1438" i="1"/>
  <c r="AX1438" i="1"/>
  <c r="AY1438" i="1"/>
  <c r="AZ1438" i="1"/>
  <c r="BA1438" i="1"/>
  <c r="AO1439" i="1"/>
  <c r="AP1439" i="1"/>
  <c r="AR1439" i="1"/>
  <c r="AS1439" i="1"/>
  <c r="AT1439" i="1"/>
  <c r="AU1439" i="1"/>
  <c r="AV1439" i="1"/>
  <c r="AX1439" i="1"/>
  <c r="AY1439" i="1"/>
  <c r="AZ1439" i="1"/>
  <c r="BA1439" i="1"/>
  <c r="AO1440" i="1"/>
  <c r="AP1440" i="1"/>
  <c r="AR1440" i="1"/>
  <c r="AS1440" i="1"/>
  <c r="AT1440" i="1"/>
  <c r="AU1440" i="1"/>
  <c r="AV1440" i="1"/>
  <c r="AX1440" i="1"/>
  <c r="AY1440" i="1"/>
  <c r="AZ1440" i="1"/>
  <c r="BA1440" i="1"/>
  <c r="AO1441" i="1"/>
  <c r="AP1441" i="1"/>
  <c r="AR1441" i="1"/>
  <c r="AS1441" i="1"/>
  <c r="AT1441" i="1"/>
  <c r="AU1441" i="1"/>
  <c r="AV1441" i="1"/>
  <c r="AX1441" i="1"/>
  <c r="AY1441" i="1"/>
  <c r="AZ1441" i="1"/>
  <c r="BA1441" i="1"/>
  <c r="AO1442" i="1"/>
  <c r="AP1442" i="1"/>
  <c r="AR1442" i="1"/>
  <c r="AS1442" i="1"/>
  <c r="AT1442" i="1"/>
  <c r="AU1442" i="1"/>
  <c r="AV1442" i="1"/>
  <c r="AX1442" i="1"/>
  <c r="AY1442" i="1"/>
  <c r="AZ1442" i="1"/>
  <c r="BA1442" i="1"/>
  <c r="AO1443" i="1"/>
  <c r="AP1443" i="1"/>
  <c r="AR1443" i="1"/>
  <c r="AS1443" i="1"/>
  <c r="AT1443" i="1"/>
  <c r="AU1443" i="1"/>
  <c r="AV1443" i="1"/>
  <c r="AX1443" i="1"/>
  <c r="AY1443" i="1"/>
  <c r="AO1444" i="1"/>
  <c r="AP1444" i="1"/>
  <c r="AR1444" i="1"/>
  <c r="AS1444" i="1"/>
  <c r="AT1444" i="1"/>
  <c r="AU1444" i="1"/>
  <c r="AV1444" i="1"/>
  <c r="AX1444" i="1"/>
  <c r="AY1444" i="1"/>
  <c r="AZ1444" i="1"/>
  <c r="BA1444" i="1"/>
  <c r="AO1445" i="1"/>
  <c r="AP1445" i="1"/>
  <c r="AR1445" i="1"/>
  <c r="AS1445" i="1"/>
  <c r="AT1445" i="1"/>
  <c r="AU1445" i="1"/>
  <c r="AV1445" i="1"/>
  <c r="AX1445" i="1"/>
  <c r="AY1445" i="1"/>
  <c r="AO1446" i="1"/>
  <c r="AP1446" i="1"/>
  <c r="AR1446" i="1"/>
  <c r="AS1446" i="1"/>
  <c r="AT1446" i="1"/>
  <c r="AU1446" i="1"/>
  <c r="AV1446" i="1"/>
  <c r="AX1446" i="1"/>
  <c r="AY1446" i="1"/>
  <c r="AO1447" i="1"/>
  <c r="AP1447" i="1"/>
  <c r="AR1447" i="1"/>
  <c r="AS1447" i="1"/>
  <c r="AT1447" i="1"/>
  <c r="AU1447" i="1"/>
  <c r="AV1447" i="1"/>
  <c r="AX1447" i="1"/>
  <c r="AY1447" i="1"/>
  <c r="AO1448" i="1"/>
  <c r="AP1448" i="1"/>
  <c r="AR1448" i="1"/>
  <c r="AS1448" i="1"/>
  <c r="AT1448" i="1"/>
  <c r="AU1448" i="1"/>
  <c r="AV1448" i="1"/>
  <c r="AX1448" i="1"/>
  <c r="AY1448" i="1"/>
  <c r="AO1449" i="1"/>
  <c r="AP1449" i="1"/>
  <c r="AR1449" i="1"/>
  <c r="AS1449" i="1"/>
  <c r="AT1449" i="1"/>
  <c r="AU1449" i="1"/>
  <c r="AV1449" i="1"/>
  <c r="AX1449" i="1"/>
  <c r="AY1449" i="1"/>
  <c r="AO1450" i="1"/>
  <c r="AP1450" i="1"/>
  <c r="AR1450" i="1"/>
  <c r="AS1450" i="1"/>
  <c r="AT1450" i="1"/>
  <c r="AU1450" i="1"/>
  <c r="AV1450" i="1"/>
  <c r="AX1450" i="1"/>
  <c r="AY1450" i="1"/>
  <c r="AZ1450" i="1"/>
  <c r="BA1450" i="1"/>
  <c r="AO1451" i="1"/>
  <c r="AP1451" i="1"/>
  <c r="AR1451" i="1"/>
  <c r="AS1451" i="1"/>
  <c r="AT1451" i="1"/>
  <c r="AU1451" i="1"/>
  <c r="AV1451" i="1"/>
  <c r="AX1451" i="1"/>
  <c r="AY1451" i="1"/>
  <c r="AZ1451" i="1"/>
  <c r="BA1451" i="1"/>
  <c r="AO1452" i="1"/>
  <c r="AP1452" i="1"/>
  <c r="AR1452" i="1"/>
  <c r="AS1452" i="1"/>
  <c r="AT1452" i="1"/>
  <c r="AU1452" i="1"/>
  <c r="AV1452" i="1"/>
  <c r="AX1452" i="1"/>
  <c r="AY1452" i="1"/>
  <c r="AZ1452" i="1"/>
  <c r="BA1452" i="1"/>
  <c r="AO1453" i="1"/>
  <c r="AP1453" i="1"/>
  <c r="AR1453" i="1"/>
  <c r="AS1453" i="1"/>
  <c r="AT1453" i="1"/>
  <c r="AU1453" i="1"/>
  <c r="AV1453" i="1"/>
  <c r="AX1453" i="1"/>
  <c r="AY1453" i="1"/>
  <c r="AO1454" i="1"/>
  <c r="AP1454" i="1"/>
  <c r="AR1454" i="1"/>
  <c r="AS1454" i="1"/>
  <c r="AT1454" i="1"/>
  <c r="AU1454" i="1"/>
  <c r="AV1454" i="1"/>
  <c r="AX1454" i="1"/>
  <c r="AY1454" i="1"/>
  <c r="AZ1454" i="1"/>
  <c r="BA1454" i="1"/>
  <c r="AO1455" i="1"/>
  <c r="AP1455" i="1"/>
  <c r="AR1455" i="1"/>
  <c r="AS1455" i="1"/>
  <c r="AT1455" i="1"/>
  <c r="AU1455" i="1"/>
  <c r="AV1455" i="1"/>
  <c r="AX1455" i="1"/>
  <c r="AY1455" i="1"/>
  <c r="AZ1455" i="1"/>
  <c r="BA1455" i="1"/>
  <c r="AO1456" i="1"/>
  <c r="AP1456" i="1"/>
  <c r="AR1456" i="1"/>
  <c r="AS1456" i="1"/>
  <c r="AT1456" i="1"/>
  <c r="AU1456" i="1"/>
  <c r="AV1456" i="1"/>
  <c r="AX1456" i="1"/>
  <c r="AY1456" i="1"/>
  <c r="AZ1456" i="1"/>
  <c r="BA1456" i="1"/>
  <c r="AO1457" i="1"/>
  <c r="AP1457" i="1"/>
  <c r="AR1457" i="1"/>
  <c r="AS1457" i="1"/>
  <c r="AT1457" i="1"/>
  <c r="AU1457" i="1"/>
  <c r="AV1457" i="1"/>
  <c r="AX1457" i="1"/>
  <c r="AY1457" i="1"/>
  <c r="AZ1457" i="1"/>
  <c r="BA1457" i="1"/>
  <c r="AO1458" i="1"/>
  <c r="AP1458" i="1"/>
  <c r="AR1458" i="1"/>
  <c r="AS1458" i="1"/>
  <c r="AT1458" i="1"/>
  <c r="AU1458" i="1"/>
  <c r="AV1458" i="1"/>
  <c r="AX1458" i="1"/>
  <c r="AY1458" i="1"/>
  <c r="AZ1458" i="1"/>
  <c r="BA1458" i="1"/>
  <c r="AO1459" i="1"/>
  <c r="AP1459" i="1"/>
  <c r="AR1459" i="1"/>
  <c r="AS1459" i="1"/>
  <c r="AT1459" i="1"/>
  <c r="AU1459" i="1"/>
  <c r="AV1459" i="1"/>
  <c r="AX1459" i="1"/>
  <c r="AY1459" i="1"/>
  <c r="AZ1459" i="1"/>
  <c r="BA1459" i="1"/>
  <c r="AO1460" i="1"/>
  <c r="AP1460" i="1"/>
  <c r="AR1460" i="1"/>
  <c r="AS1460" i="1"/>
  <c r="AT1460" i="1"/>
  <c r="AU1460" i="1"/>
  <c r="AV1460" i="1"/>
  <c r="AX1460" i="1"/>
  <c r="AY1460" i="1"/>
  <c r="AZ1460" i="1"/>
  <c r="BA1460" i="1"/>
  <c r="AO1461" i="1"/>
  <c r="AP1461" i="1"/>
  <c r="AR1461" i="1"/>
  <c r="AS1461" i="1"/>
  <c r="AT1461" i="1"/>
  <c r="AU1461" i="1"/>
  <c r="AV1461" i="1"/>
  <c r="AX1461" i="1"/>
  <c r="AY1461" i="1"/>
  <c r="AZ1461" i="1"/>
  <c r="BA1461" i="1"/>
  <c r="AO1462" i="1"/>
  <c r="AP1462" i="1"/>
  <c r="AR1462" i="1"/>
  <c r="AS1462" i="1"/>
  <c r="AT1462" i="1"/>
  <c r="AU1462" i="1"/>
  <c r="AV1462" i="1"/>
  <c r="AX1462" i="1"/>
  <c r="AY1462" i="1"/>
  <c r="AZ1462" i="1"/>
  <c r="BA1462" i="1"/>
  <c r="AO1463" i="1"/>
  <c r="AP1463" i="1"/>
  <c r="AR1463" i="1"/>
  <c r="AS1463" i="1"/>
  <c r="AT1463" i="1"/>
  <c r="AU1463" i="1"/>
  <c r="AV1463" i="1"/>
  <c r="AX1463" i="1"/>
  <c r="AY1463" i="1"/>
  <c r="AZ1463" i="1"/>
  <c r="BA1463" i="1"/>
  <c r="AO1464" i="1"/>
  <c r="AP1464" i="1"/>
  <c r="AR1464" i="1"/>
  <c r="AS1464" i="1"/>
  <c r="AT1464" i="1"/>
  <c r="AU1464" i="1"/>
  <c r="AV1464" i="1"/>
  <c r="AX1464" i="1"/>
  <c r="AY1464" i="1"/>
  <c r="AZ1464" i="1"/>
  <c r="BA1464" i="1"/>
  <c r="AO1465" i="1"/>
  <c r="AP1465" i="1"/>
  <c r="AR1465" i="1"/>
  <c r="AS1465" i="1"/>
  <c r="AT1465" i="1"/>
  <c r="AU1465" i="1"/>
  <c r="AV1465" i="1"/>
  <c r="AX1465" i="1"/>
  <c r="AY1465" i="1"/>
  <c r="AZ1465" i="1"/>
  <c r="BA1465" i="1"/>
  <c r="AO1466" i="1"/>
  <c r="AP1466" i="1"/>
  <c r="AR1466" i="1"/>
  <c r="AS1466" i="1"/>
  <c r="AT1466" i="1"/>
  <c r="AU1466" i="1"/>
  <c r="AV1466" i="1"/>
  <c r="AX1466" i="1"/>
  <c r="AY1466" i="1"/>
  <c r="AZ1466" i="1"/>
  <c r="BA1466" i="1"/>
  <c r="AO1467" i="1"/>
  <c r="AP1467" i="1"/>
  <c r="AR1467" i="1"/>
  <c r="AS1467" i="1"/>
  <c r="AT1467" i="1"/>
  <c r="AU1467" i="1"/>
  <c r="AV1467" i="1"/>
  <c r="AX1467" i="1"/>
  <c r="AY1467" i="1"/>
  <c r="AZ1467" i="1"/>
  <c r="BA1467" i="1"/>
  <c r="AO1468" i="1"/>
  <c r="AP1468" i="1"/>
  <c r="AR1468" i="1"/>
  <c r="AS1468" i="1"/>
  <c r="AT1468" i="1"/>
  <c r="AU1468" i="1"/>
  <c r="AV1468" i="1"/>
  <c r="AX1468" i="1"/>
  <c r="AY1468" i="1"/>
  <c r="AZ1468" i="1"/>
  <c r="BA1468" i="1"/>
  <c r="AO1469" i="1"/>
  <c r="AP1469" i="1"/>
  <c r="AR1469" i="1"/>
  <c r="AS1469" i="1"/>
  <c r="AT1469" i="1"/>
  <c r="AU1469" i="1"/>
  <c r="AV1469" i="1"/>
  <c r="AX1469" i="1"/>
  <c r="AY1469" i="1"/>
  <c r="AZ1469" i="1"/>
  <c r="BA1469" i="1"/>
  <c r="AO1470" i="1"/>
  <c r="AP1470" i="1"/>
  <c r="AR1470" i="1"/>
  <c r="AS1470" i="1"/>
  <c r="AT1470" i="1"/>
  <c r="AU1470" i="1"/>
  <c r="AV1470" i="1"/>
  <c r="AX1470" i="1"/>
  <c r="AY1470" i="1"/>
  <c r="AZ1470" i="1"/>
  <c r="BA1470" i="1"/>
  <c r="AO1471" i="1"/>
  <c r="AP1471" i="1"/>
  <c r="AR1471" i="1"/>
  <c r="AS1471" i="1"/>
  <c r="AT1471" i="1"/>
  <c r="AU1471" i="1"/>
  <c r="AV1471" i="1"/>
  <c r="AX1471" i="1"/>
  <c r="AY1471" i="1"/>
  <c r="AZ1471" i="1"/>
  <c r="BA1471" i="1"/>
  <c r="AO1472" i="1"/>
  <c r="AP1472" i="1"/>
  <c r="AR1472" i="1"/>
  <c r="AS1472" i="1"/>
  <c r="AT1472" i="1"/>
  <c r="AU1472" i="1"/>
  <c r="AV1472" i="1"/>
  <c r="AX1472" i="1"/>
  <c r="AY1472" i="1"/>
  <c r="AZ1472" i="1"/>
  <c r="BA1472" i="1"/>
  <c r="AO1473" i="1"/>
  <c r="AP1473" i="1"/>
  <c r="AR1473" i="1"/>
  <c r="AS1473" i="1"/>
  <c r="AT1473" i="1"/>
  <c r="AU1473" i="1"/>
  <c r="AV1473" i="1"/>
  <c r="AX1473" i="1"/>
  <c r="AY1473" i="1"/>
  <c r="AZ1473" i="1"/>
  <c r="BA1473" i="1"/>
  <c r="AO1474" i="1"/>
  <c r="AP1474" i="1"/>
  <c r="AR1474" i="1"/>
  <c r="AS1474" i="1"/>
  <c r="AT1474" i="1"/>
  <c r="AU1474" i="1"/>
  <c r="AV1474" i="1"/>
  <c r="AX1474" i="1"/>
  <c r="AY1474" i="1"/>
  <c r="AZ1474" i="1"/>
  <c r="BA1474" i="1"/>
  <c r="AO1475" i="1"/>
  <c r="AP1475" i="1"/>
  <c r="AR1475" i="1"/>
  <c r="AS1475" i="1"/>
  <c r="AT1475" i="1"/>
  <c r="AU1475" i="1"/>
  <c r="AV1475" i="1"/>
  <c r="AX1475" i="1"/>
  <c r="AY1475" i="1"/>
  <c r="AZ1475" i="1"/>
  <c r="BA1475" i="1"/>
  <c r="AO1476" i="1"/>
  <c r="AP1476" i="1"/>
  <c r="AR1476" i="1"/>
  <c r="AS1476" i="1"/>
  <c r="AT1476" i="1"/>
  <c r="AU1476" i="1"/>
  <c r="AV1476" i="1"/>
  <c r="AX1476" i="1"/>
  <c r="AY1476" i="1"/>
  <c r="AZ1476" i="1"/>
  <c r="BA1476" i="1"/>
  <c r="AO1477" i="1"/>
  <c r="AP1477" i="1"/>
  <c r="AR1477" i="1"/>
  <c r="AS1477" i="1"/>
  <c r="AT1477" i="1"/>
  <c r="AU1477" i="1"/>
  <c r="AV1477" i="1"/>
  <c r="AX1477" i="1"/>
  <c r="AY1477" i="1"/>
  <c r="AZ1477" i="1"/>
  <c r="BA1477" i="1"/>
  <c r="AO1478" i="1"/>
  <c r="AP1478" i="1"/>
  <c r="AR1478" i="1"/>
  <c r="AS1478" i="1"/>
  <c r="AT1478" i="1"/>
  <c r="AU1478" i="1"/>
  <c r="AV1478" i="1"/>
  <c r="AX1478" i="1"/>
  <c r="AY1478" i="1"/>
  <c r="AZ1478" i="1"/>
  <c r="BA1478" i="1"/>
  <c r="AO1479" i="1"/>
  <c r="AP1479" i="1"/>
  <c r="AR1479" i="1"/>
  <c r="AS1479" i="1"/>
  <c r="AT1479" i="1"/>
  <c r="AU1479" i="1"/>
  <c r="AV1479" i="1"/>
  <c r="AX1479" i="1"/>
  <c r="AY1479" i="1"/>
  <c r="AZ1479" i="1"/>
  <c r="BA1479" i="1"/>
  <c r="AO1480" i="1"/>
  <c r="AP1480" i="1"/>
  <c r="AR1480" i="1"/>
  <c r="AS1480" i="1"/>
  <c r="AT1480" i="1"/>
  <c r="AU1480" i="1"/>
  <c r="AV1480" i="1"/>
  <c r="AX1480" i="1"/>
  <c r="AY1480" i="1"/>
  <c r="AZ1480" i="1"/>
  <c r="BA1480" i="1"/>
  <c r="AO1481" i="1"/>
  <c r="AP1481" i="1"/>
  <c r="AR1481" i="1"/>
  <c r="AS1481" i="1"/>
  <c r="AT1481" i="1"/>
  <c r="AU1481" i="1"/>
  <c r="AV1481" i="1"/>
  <c r="AX1481" i="1"/>
  <c r="AY1481" i="1"/>
  <c r="AZ1481" i="1"/>
  <c r="BA1481" i="1"/>
  <c r="AO1482" i="1"/>
  <c r="AP1482" i="1"/>
  <c r="AR1482" i="1"/>
  <c r="AS1482" i="1"/>
  <c r="AT1482" i="1"/>
  <c r="AU1482" i="1"/>
  <c r="AV1482" i="1"/>
  <c r="AX1482" i="1"/>
  <c r="AY1482" i="1"/>
  <c r="AZ1482" i="1"/>
  <c r="BA1482" i="1"/>
  <c r="AO1483" i="1"/>
  <c r="AP1483" i="1"/>
  <c r="AR1483" i="1"/>
  <c r="AS1483" i="1"/>
  <c r="AT1483" i="1"/>
  <c r="AU1483" i="1"/>
  <c r="AV1483" i="1"/>
  <c r="AX1483" i="1"/>
  <c r="AY1483" i="1"/>
  <c r="AZ1483" i="1"/>
  <c r="BA1483" i="1"/>
  <c r="AO1484" i="1"/>
  <c r="AP1484" i="1"/>
  <c r="AR1484" i="1"/>
  <c r="AS1484" i="1"/>
  <c r="AT1484" i="1"/>
  <c r="AU1484" i="1"/>
  <c r="AV1484" i="1"/>
  <c r="AX1484" i="1"/>
  <c r="AY1484" i="1"/>
  <c r="AZ1484" i="1"/>
  <c r="BA1484" i="1"/>
  <c r="AO1485" i="1"/>
  <c r="AP1485" i="1"/>
  <c r="AR1485" i="1"/>
  <c r="AS1485" i="1"/>
  <c r="AT1485" i="1"/>
  <c r="AU1485" i="1"/>
  <c r="AV1485" i="1"/>
  <c r="AX1485" i="1"/>
  <c r="AY1485" i="1"/>
  <c r="AZ1485" i="1"/>
  <c r="BA1485" i="1"/>
  <c r="AO1486" i="1"/>
  <c r="AP1486" i="1"/>
  <c r="AR1486" i="1"/>
  <c r="AS1486" i="1"/>
  <c r="AT1486" i="1"/>
  <c r="AU1486" i="1"/>
  <c r="AV1486" i="1"/>
  <c r="AX1486" i="1"/>
  <c r="AY1486" i="1"/>
  <c r="AZ1486" i="1"/>
  <c r="BA1486" i="1"/>
  <c r="AO1487" i="1"/>
  <c r="AP1487" i="1"/>
  <c r="AR1487" i="1"/>
  <c r="AS1487" i="1"/>
  <c r="AT1487" i="1"/>
  <c r="AU1487" i="1"/>
  <c r="AV1487" i="1"/>
  <c r="AX1487" i="1"/>
  <c r="AY1487" i="1"/>
  <c r="AZ1487" i="1"/>
  <c r="BA1487" i="1"/>
  <c r="AO1488" i="1"/>
  <c r="AP1488" i="1"/>
  <c r="AR1488" i="1"/>
  <c r="AS1488" i="1"/>
  <c r="AT1488" i="1"/>
  <c r="AU1488" i="1"/>
  <c r="AV1488" i="1"/>
  <c r="AX1488" i="1"/>
  <c r="AY1488" i="1"/>
  <c r="AZ1488" i="1"/>
  <c r="BA1488" i="1"/>
  <c r="AO1489" i="1"/>
  <c r="AP1489" i="1"/>
  <c r="AR1489" i="1"/>
  <c r="AS1489" i="1"/>
  <c r="AT1489" i="1"/>
  <c r="AU1489" i="1"/>
  <c r="AV1489" i="1"/>
  <c r="AX1489" i="1"/>
  <c r="AY1489" i="1"/>
  <c r="AZ1489" i="1"/>
  <c r="BA1489" i="1"/>
  <c r="AO1490" i="1"/>
  <c r="AP1490" i="1"/>
  <c r="AR1490" i="1"/>
  <c r="AS1490" i="1"/>
  <c r="AT1490" i="1"/>
  <c r="AU1490" i="1"/>
  <c r="AV1490" i="1"/>
  <c r="AX1490" i="1"/>
  <c r="AY1490" i="1"/>
  <c r="AZ1490" i="1"/>
  <c r="BA1490" i="1"/>
  <c r="AO1491" i="1"/>
  <c r="AP1491" i="1"/>
  <c r="AR1491" i="1"/>
  <c r="AS1491" i="1"/>
  <c r="AT1491" i="1"/>
  <c r="AU1491" i="1"/>
  <c r="AV1491" i="1"/>
  <c r="AX1491" i="1"/>
  <c r="AY1491" i="1"/>
  <c r="AZ1491" i="1"/>
  <c r="BA1491" i="1"/>
  <c r="AO1492" i="1"/>
  <c r="AP1492" i="1"/>
  <c r="AR1492" i="1"/>
  <c r="AS1492" i="1"/>
  <c r="AT1492" i="1"/>
  <c r="AU1492" i="1"/>
  <c r="AV1492" i="1"/>
  <c r="AX1492" i="1"/>
  <c r="AY1492" i="1"/>
  <c r="AZ1492" i="1"/>
  <c r="BA1492" i="1"/>
  <c r="AO1493" i="1"/>
  <c r="AP1493" i="1"/>
  <c r="AR1493" i="1"/>
  <c r="AS1493" i="1"/>
  <c r="AT1493" i="1"/>
  <c r="AU1493" i="1"/>
  <c r="AV1493" i="1"/>
  <c r="AX1493" i="1"/>
  <c r="AY1493" i="1"/>
  <c r="AZ1493" i="1"/>
  <c r="BA1493" i="1"/>
  <c r="AO1494" i="1"/>
  <c r="AP1494" i="1"/>
  <c r="AR1494" i="1"/>
  <c r="AS1494" i="1"/>
  <c r="AT1494" i="1"/>
  <c r="AU1494" i="1"/>
  <c r="AV1494" i="1"/>
  <c r="AX1494" i="1"/>
  <c r="AY1494" i="1"/>
  <c r="AZ1494" i="1"/>
  <c r="BA1494" i="1"/>
  <c r="AO1495" i="1"/>
  <c r="AP1495" i="1"/>
  <c r="AR1495" i="1"/>
  <c r="AS1495" i="1"/>
  <c r="AT1495" i="1"/>
  <c r="AU1495" i="1"/>
  <c r="AV1495" i="1"/>
  <c r="AX1495" i="1"/>
  <c r="AY1495" i="1"/>
  <c r="AZ1495" i="1"/>
  <c r="BA1495" i="1"/>
  <c r="AO1496" i="1"/>
  <c r="AP1496" i="1"/>
  <c r="AR1496" i="1"/>
  <c r="AS1496" i="1"/>
  <c r="AT1496" i="1"/>
  <c r="AU1496" i="1"/>
  <c r="AV1496" i="1"/>
  <c r="AX1496" i="1"/>
  <c r="AY1496" i="1"/>
  <c r="AZ1496" i="1"/>
  <c r="BA1496" i="1"/>
  <c r="AO1497" i="1"/>
  <c r="AP1497" i="1"/>
  <c r="AR1497" i="1"/>
  <c r="AS1497" i="1"/>
  <c r="AT1497" i="1"/>
  <c r="AU1497" i="1"/>
  <c r="AV1497" i="1"/>
  <c r="AX1497" i="1"/>
  <c r="AY1497" i="1"/>
  <c r="AZ1497" i="1"/>
  <c r="BA1497" i="1"/>
  <c r="AO1498" i="1"/>
  <c r="AP1498" i="1"/>
  <c r="AR1498" i="1"/>
  <c r="AS1498" i="1"/>
  <c r="AT1498" i="1"/>
  <c r="AU1498" i="1"/>
  <c r="AV1498" i="1"/>
  <c r="AX1498" i="1"/>
  <c r="AY1498" i="1"/>
  <c r="AZ1498" i="1"/>
  <c r="BA1498" i="1"/>
  <c r="AO1499" i="1"/>
  <c r="AP1499" i="1"/>
  <c r="AR1499" i="1"/>
  <c r="AS1499" i="1"/>
  <c r="AT1499" i="1"/>
  <c r="AU1499" i="1"/>
  <c r="AV1499" i="1"/>
  <c r="AX1499" i="1"/>
  <c r="AY1499" i="1"/>
  <c r="AZ1499" i="1"/>
  <c r="BA1499" i="1"/>
  <c r="AO1500" i="1"/>
  <c r="AP1500" i="1"/>
  <c r="AR1500" i="1"/>
  <c r="AS1500" i="1"/>
  <c r="AT1500" i="1"/>
  <c r="AU1500" i="1"/>
  <c r="AV1500" i="1"/>
  <c r="AX1500" i="1"/>
  <c r="AY1500" i="1"/>
  <c r="AZ1500" i="1"/>
  <c r="BA1500" i="1"/>
  <c r="AO1501" i="1"/>
  <c r="AP1501" i="1"/>
  <c r="AR1501" i="1"/>
  <c r="AS1501" i="1"/>
  <c r="AT1501" i="1"/>
  <c r="AU1501" i="1"/>
  <c r="AV1501" i="1"/>
  <c r="AX1501" i="1"/>
  <c r="AY1501" i="1"/>
  <c r="AZ1501" i="1"/>
  <c r="BA1501" i="1"/>
  <c r="AO1502" i="1"/>
  <c r="AP1502" i="1"/>
  <c r="AR1502" i="1"/>
  <c r="AS1502" i="1"/>
  <c r="AT1502" i="1"/>
  <c r="AU1502" i="1"/>
  <c r="AV1502" i="1"/>
  <c r="AX1502" i="1"/>
  <c r="AY1502" i="1"/>
  <c r="AZ1502" i="1"/>
  <c r="BA1502" i="1"/>
  <c r="AO1503" i="1"/>
  <c r="AP1503" i="1"/>
  <c r="AR1503" i="1"/>
  <c r="AS1503" i="1"/>
  <c r="AT1503" i="1"/>
  <c r="AU1503" i="1"/>
  <c r="AV1503" i="1"/>
  <c r="AX1503" i="1"/>
  <c r="AY1503" i="1"/>
  <c r="AZ1503" i="1"/>
  <c r="BA1503" i="1"/>
  <c r="AO1504" i="1"/>
  <c r="AP1504" i="1"/>
  <c r="AR1504" i="1"/>
  <c r="AS1504" i="1"/>
  <c r="AT1504" i="1"/>
  <c r="AU1504" i="1"/>
  <c r="AV1504" i="1"/>
  <c r="AX1504" i="1"/>
  <c r="AY1504" i="1"/>
  <c r="AZ1504" i="1"/>
  <c r="BA1504" i="1"/>
  <c r="AO1505" i="1"/>
  <c r="AP1505" i="1"/>
  <c r="AR1505" i="1"/>
  <c r="AS1505" i="1"/>
  <c r="AT1505" i="1"/>
  <c r="AU1505" i="1"/>
  <c r="AV1505" i="1"/>
  <c r="AX1505" i="1"/>
  <c r="AY1505" i="1"/>
  <c r="AZ1505" i="1"/>
  <c r="BA1505" i="1"/>
  <c r="AO1506" i="1"/>
  <c r="AP1506" i="1"/>
  <c r="AR1506" i="1"/>
  <c r="AS1506" i="1"/>
  <c r="AT1506" i="1"/>
  <c r="AU1506" i="1"/>
  <c r="AV1506" i="1"/>
  <c r="AX1506" i="1"/>
  <c r="AY1506" i="1"/>
  <c r="AZ1506" i="1"/>
  <c r="BA1506" i="1"/>
  <c r="AO1507" i="1"/>
  <c r="AP1507" i="1"/>
  <c r="AR1507" i="1"/>
  <c r="AS1507" i="1"/>
  <c r="AT1507" i="1"/>
  <c r="AU1507" i="1"/>
  <c r="AV1507" i="1"/>
  <c r="AX1507" i="1"/>
  <c r="AY1507" i="1"/>
  <c r="AZ1507" i="1"/>
  <c r="BA1507" i="1"/>
  <c r="AO1508" i="1"/>
  <c r="AP1508" i="1"/>
  <c r="AR1508" i="1"/>
  <c r="AS1508" i="1"/>
  <c r="AT1508" i="1"/>
  <c r="AU1508" i="1"/>
  <c r="AV1508" i="1"/>
  <c r="AX1508" i="1"/>
  <c r="AY1508" i="1"/>
  <c r="AZ1508" i="1"/>
  <c r="BA1508" i="1"/>
  <c r="AO1509" i="1"/>
  <c r="AP1509" i="1"/>
  <c r="AR1509" i="1"/>
  <c r="AS1509" i="1"/>
  <c r="AT1509" i="1"/>
  <c r="AU1509" i="1"/>
  <c r="AV1509" i="1"/>
  <c r="AX1509" i="1"/>
  <c r="AY1509" i="1"/>
  <c r="AZ1509" i="1"/>
  <c r="BA1509" i="1"/>
  <c r="AO1510" i="1"/>
  <c r="AP1510" i="1"/>
  <c r="AR1510" i="1"/>
  <c r="AS1510" i="1"/>
  <c r="AT1510" i="1"/>
  <c r="AU1510" i="1"/>
  <c r="AV1510" i="1"/>
  <c r="AX1510" i="1"/>
  <c r="AY1510" i="1"/>
  <c r="AZ1510" i="1"/>
  <c r="BA1510" i="1"/>
  <c r="AO1511" i="1"/>
  <c r="AP1511" i="1"/>
  <c r="AR1511" i="1"/>
  <c r="AS1511" i="1"/>
  <c r="AT1511" i="1"/>
  <c r="AU1511" i="1"/>
  <c r="AV1511" i="1"/>
  <c r="AX1511" i="1"/>
  <c r="AY1511" i="1"/>
  <c r="AZ1511" i="1"/>
  <c r="BA1511" i="1"/>
  <c r="AO1512" i="1"/>
  <c r="AP1512" i="1"/>
  <c r="AR1512" i="1"/>
  <c r="AS1512" i="1"/>
  <c r="AT1512" i="1"/>
  <c r="AU1512" i="1"/>
  <c r="AV1512" i="1"/>
  <c r="AX1512" i="1"/>
  <c r="AY1512" i="1"/>
  <c r="AZ1512" i="1"/>
  <c r="BA1512" i="1"/>
  <c r="AO1513" i="1"/>
  <c r="AP1513" i="1"/>
  <c r="AR1513" i="1"/>
  <c r="AS1513" i="1"/>
  <c r="AT1513" i="1"/>
  <c r="AU1513" i="1"/>
  <c r="AV1513" i="1"/>
  <c r="AX1513" i="1"/>
  <c r="AY1513" i="1"/>
  <c r="AZ1513" i="1"/>
  <c r="BA1513" i="1"/>
  <c r="AO1514" i="1"/>
  <c r="AP1514" i="1"/>
  <c r="AR1514" i="1"/>
  <c r="AS1514" i="1"/>
  <c r="AT1514" i="1"/>
  <c r="AU1514" i="1"/>
  <c r="AV1514" i="1"/>
  <c r="AX1514" i="1"/>
  <c r="AY1514" i="1"/>
  <c r="AZ1514" i="1"/>
  <c r="BA1514" i="1"/>
  <c r="AO1515" i="1"/>
  <c r="AP1515" i="1"/>
  <c r="AR1515" i="1"/>
  <c r="AS1515" i="1"/>
  <c r="AT1515" i="1"/>
  <c r="AU1515" i="1"/>
  <c r="AV1515" i="1"/>
  <c r="AX1515" i="1"/>
  <c r="AY1515" i="1"/>
  <c r="AZ1515" i="1"/>
  <c r="BA1515" i="1"/>
  <c r="AO1516" i="1"/>
  <c r="AP1516" i="1"/>
  <c r="AR1516" i="1"/>
  <c r="AS1516" i="1"/>
  <c r="AT1516" i="1"/>
  <c r="AU1516" i="1"/>
  <c r="AV1516" i="1"/>
  <c r="AX1516" i="1"/>
  <c r="AY1516" i="1"/>
  <c r="AZ1516" i="1"/>
  <c r="BA1516" i="1"/>
  <c r="AO1517" i="1"/>
  <c r="AP1517" i="1"/>
  <c r="AR1517" i="1"/>
  <c r="AS1517" i="1"/>
  <c r="AT1517" i="1"/>
  <c r="AU1517" i="1"/>
  <c r="AV1517" i="1"/>
  <c r="AX1517" i="1"/>
  <c r="AY1517" i="1"/>
  <c r="AZ1517" i="1"/>
  <c r="BA1517" i="1"/>
  <c r="AO1518" i="1"/>
  <c r="AP1518" i="1"/>
  <c r="AR1518" i="1"/>
  <c r="AS1518" i="1"/>
  <c r="AT1518" i="1"/>
  <c r="AU1518" i="1"/>
  <c r="AV1518" i="1"/>
  <c r="AX1518" i="1"/>
  <c r="AY1518" i="1"/>
  <c r="AZ1518" i="1"/>
  <c r="BA1518" i="1"/>
  <c r="AO1519" i="1"/>
  <c r="AP1519" i="1"/>
  <c r="AR1519" i="1"/>
  <c r="AS1519" i="1"/>
  <c r="AT1519" i="1"/>
  <c r="AU1519" i="1"/>
  <c r="AV1519" i="1"/>
  <c r="AX1519" i="1"/>
  <c r="AY1519" i="1"/>
  <c r="AZ1519" i="1"/>
  <c r="BA1519" i="1"/>
  <c r="AO1520" i="1"/>
  <c r="AP1520" i="1"/>
  <c r="AR1520" i="1"/>
  <c r="AS1520" i="1"/>
  <c r="AT1520" i="1"/>
  <c r="AU1520" i="1"/>
  <c r="AV1520" i="1"/>
  <c r="AX1520" i="1"/>
  <c r="AY1520" i="1"/>
  <c r="AZ1520" i="1"/>
  <c r="BA1520" i="1"/>
  <c r="AO1521" i="1"/>
  <c r="AP1521" i="1"/>
  <c r="AR1521" i="1"/>
  <c r="AS1521" i="1"/>
  <c r="AT1521" i="1"/>
  <c r="AU1521" i="1"/>
  <c r="AV1521" i="1"/>
  <c r="AX1521" i="1"/>
  <c r="AY1521" i="1"/>
  <c r="AZ1521" i="1"/>
  <c r="BA1521" i="1"/>
  <c r="AO1522" i="1"/>
  <c r="AP1522" i="1"/>
  <c r="AR1522" i="1"/>
  <c r="AS1522" i="1"/>
  <c r="AT1522" i="1"/>
  <c r="AU1522" i="1"/>
  <c r="AV1522" i="1"/>
  <c r="AX1522" i="1"/>
  <c r="AY1522" i="1"/>
  <c r="AZ1522" i="1"/>
  <c r="BA1522" i="1"/>
  <c r="AO1523" i="1"/>
  <c r="AP1523" i="1"/>
  <c r="AR1523" i="1"/>
  <c r="AS1523" i="1"/>
  <c r="AT1523" i="1"/>
  <c r="AU1523" i="1"/>
  <c r="AV1523" i="1"/>
  <c r="AX1523" i="1"/>
  <c r="AY1523" i="1"/>
  <c r="AZ1523" i="1"/>
  <c r="BA1523" i="1"/>
  <c r="AO1524" i="1"/>
  <c r="AP1524" i="1"/>
  <c r="AR1524" i="1"/>
  <c r="AS1524" i="1"/>
  <c r="AT1524" i="1"/>
  <c r="AU1524" i="1"/>
  <c r="AV1524" i="1"/>
  <c r="AX1524" i="1"/>
  <c r="AY1524" i="1"/>
  <c r="AZ1524" i="1"/>
  <c r="BA1524" i="1"/>
  <c r="AO1525" i="1"/>
  <c r="AP1525" i="1"/>
  <c r="AR1525" i="1"/>
  <c r="AS1525" i="1"/>
  <c r="AT1525" i="1"/>
  <c r="AU1525" i="1"/>
  <c r="AV1525" i="1"/>
  <c r="AX1525" i="1"/>
  <c r="AY1525" i="1"/>
  <c r="AZ1525" i="1"/>
  <c r="BA1525" i="1"/>
  <c r="AO1526" i="1"/>
  <c r="AP1526" i="1"/>
  <c r="AR1526" i="1"/>
  <c r="AS1526" i="1"/>
  <c r="AT1526" i="1"/>
  <c r="AU1526" i="1"/>
  <c r="AV1526" i="1"/>
  <c r="AX1526" i="1"/>
  <c r="AY1526" i="1"/>
  <c r="AZ1526" i="1"/>
  <c r="BA1526" i="1"/>
  <c r="AO1527" i="1"/>
  <c r="AP1527" i="1"/>
  <c r="AR1527" i="1"/>
  <c r="AS1527" i="1"/>
  <c r="AT1527" i="1"/>
  <c r="AU1527" i="1"/>
  <c r="AV1527" i="1"/>
  <c r="AX1527" i="1"/>
  <c r="AY1527" i="1"/>
  <c r="AZ1527" i="1"/>
  <c r="BA1527" i="1"/>
  <c r="AO1528" i="1"/>
  <c r="AP1528" i="1"/>
  <c r="AR1528" i="1"/>
  <c r="AS1528" i="1"/>
  <c r="AT1528" i="1"/>
  <c r="AU1528" i="1"/>
  <c r="AV1528" i="1"/>
  <c r="AX1528" i="1"/>
  <c r="AY1528" i="1"/>
  <c r="AZ1528" i="1"/>
  <c r="BA1528" i="1"/>
  <c r="AO1529" i="1"/>
  <c r="AP1529" i="1"/>
  <c r="AR1529" i="1"/>
  <c r="AS1529" i="1"/>
  <c r="AT1529" i="1"/>
  <c r="AU1529" i="1"/>
  <c r="AV1529" i="1"/>
  <c r="AX1529" i="1"/>
  <c r="AY1529" i="1"/>
  <c r="AZ1529" i="1"/>
  <c r="BA1529" i="1"/>
  <c r="AO1530" i="1"/>
  <c r="AP1530" i="1"/>
  <c r="AR1530" i="1"/>
  <c r="AS1530" i="1"/>
  <c r="AT1530" i="1"/>
  <c r="AU1530" i="1"/>
  <c r="AV1530" i="1"/>
  <c r="AX1530" i="1"/>
  <c r="AY1530" i="1"/>
  <c r="AZ1530" i="1"/>
  <c r="BA1530" i="1"/>
  <c r="AO1531" i="1"/>
  <c r="AP1531" i="1"/>
  <c r="AR1531" i="1"/>
  <c r="AS1531" i="1"/>
  <c r="AT1531" i="1"/>
  <c r="AU1531" i="1"/>
  <c r="AV1531" i="1"/>
  <c r="AX1531" i="1"/>
  <c r="AY1531" i="1"/>
  <c r="AZ1531" i="1"/>
  <c r="BA1531" i="1"/>
  <c r="AO1532" i="1"/>
  <c r="AP1532" i="1"/>
  <c r="AR1532" i="1"/>
  <c r="AS1532" i="1"/>
  <c r="AT1532" i="1"/>
  <c r="AU1532" i="1"/>
  <c r="AV1532" i="1"/>
  <c r="AX1532" i="1"/>
  <c r="AY1532" i="1"/>
  <c r="AZ1532" i="1"/>
  <c r="BA1532" i="1"/>
  <c r="AO1533" i="1"/>
  <c r="AP1533" i="1"/>
  <c r="AR1533" i="1"/>
  <c r="AS1533" i="1"/>
  <c r="AT1533" i="1"/>
  <c r="AU1533" i="1"/>
  <c r="AV1533" i="1"/>
  <c r="AX1533" i="1"/>
  <c r="AY1533" i="1"/>
  <c r="AZ1533" i="1"/>
  <c r="BA1533" i="1"/>
  <c r="AO1534" i="1"/>
  <c r="AP1534" i="1"/>
  <c r="AR1534" i="1"/>
  <c r="AS1534" i="1"/>
  <c r="AT1534" i="1"/>
  <c r="AU1534" i="1"/>
  <c r="AV1534" i="1"/>
  <c r="AX1534" i="1"/>
  <c r="AY1534" i="1"/>
  <c r="AZ1534" i="1"/>
  <c r="BA1534" i="1"/>
  <c r="AO1535" i="1"/>
  <c r="AP1535" i="1"/>
  <c r="AR1535" i="1"/>
  <c r="AS1535" i="1"/>
  <c r="AT1535" i="1"/>
  <c r="AU1535" i="1"/>
  <c r="AV1535" i="1"/>
  <c r="AX1535" i="1"/>
  <c r="AY1535" i="1"/>
  <c r="AZ1535" i="1"/>
  <c r="BA1535" i="1"/>
  <c r="AO1536" i="1"/>
  <c r="AP1536" i="1"/>
  <c r="AR1536" i="1"/>
  <c r="AS1536" i="1"/>
  <c r="AT1536" i="1"/>
  <c r="AU1536" i="1"/>
  <c r="AV1536" i="1"/>
  <c r="AX1536" i="1"/>
  <c r="AY1536" i="1"/>
  <c r="AZ1536" i="1"/>
  <c r="BA1536" i="1"/>
  <c r="AO1537" i="1"/>
  <c r="AP1537" i="1"/>
  <c r="AR1537" i="1"/>
  <c r="AS1537" i="1"/>
  <c r="AT1537" i="1"/>
  <c r="AU1537" i="1"/>
  <c r="AV1537" i="1"/>
  <c r="AX1537" i="1"/>
  <c r="AY1537" i="1"/>
  <c r="AZ1537" i="1"/>
  <c r="BA1537" i="1"/>
  <c r="AO1538" i="1"/>
  <c r="AP1538" i="1"/>
  <c r="AR1538" i="1"/>
  <c r="AS1538" i="1"/>
  <c r="AT1538" i="1"/>
  <c r="AU1538" i="1"/>
  <c r="AV1538" i="1"/>
  <c r="AX1538" i="1"/>
  <c r="AY1538" i="1"/>
  <c r="AZ1538" i="1"/>
  <c r="BA1538" i="1"/>
  <c r="AO1539" i="1"/>
  <c r="AP1539" i="1"/>
  <c r="AR1539" i="1"/>
  <c r="AS1539" i="1"/>
  <c r="AT1539" i="1"/>
  <c r="AU1539" i="1"/>
  <c r="AV1539" i="1"/>
  <c r="AX1539" i="1"/>
  <c r="AY1539" i="1"/>
  <c r="AZ1539" i="1"/>
  <c r="BA1539" i="1"/>
  <c r="AO1540" i="1"/>
  <c r="AP1540" i="1"/>
  <c r="AR1540" i="1"/>
  <c r="AS1540" i="1"/>
  <c r="AT1540" i="1"/>
  <c r="AU1540" i="1"/>
  <c r="AV1540" i="1"/>
  <c r="AX1540" i="1"/>
  <c r="AY1540" i="1"/>
  <c r="AZ1540" i="1"/>
  <c r="BA1540" i="1"/>
  <c r="AO1541" i="1"/>
  <c r="AP1541" i="1"/>
  <c r="AR1541" i="1"/>
  <c r="AS1541" i="1"/>
  <c r="AT1541" i="1"/>
  <c r="AU1541" i="1"/>
  <c r="AV1541" i="1"/>
  <c r="AX1541" i="1"/>
  <c r="AY1541" i="1"/>
  <c r="AZ1541" i="1"/>
  <c r="BA1541" i="1"/>
  <c r="AO1542" i="1"/>
  <c r="AP1542" i="1"/>
  <c r="AR1542" i="1"/>
  <c r="AS1542" i="1"/>
  <c r="AT1542" i="1"/>
  <c r="AU1542" i="1"/>
  <c r="AV1542" i="1"/>
  <c r="AX1542" i="1"/>
  <c r="AY1542" i="1"/>
  <c r="AZ1542" i="1"/>
  <c r="BA1542" i="1"/>
  <c r="AO1543" i="1"/>
  <c r="AP1543" i="1"/>
  <c r="AR1543" i="1"/>
  <c r="AS1543" i="1"/>
  <c r="AT1543" i="1"/>
  <c r="AU1543" i="1"/>
  <c r="AV1543" i="1"/>
  <c r="AX1543" i="1"/>
  <c r="AY1543" i="1"/>
  <c r="AZ1543" i="1"/>
  <c r="BA1543" i="1"/>
  <c r="AO1544" i="1"/>
  <c r="AP1544" i="1"/>
  <c r="AR1544" i="1"/>
  <c r="AS1544" i="1"/>
  <c r="AT1544" i="1"/>
  <c r="AU1544" i="1"/>
  <c r="AV1544" i="1"/>
  <c r="AX1544" i="1"/>
  <c r="AY1544" i="1"/>
  <c r="AZ1544" i="1"/>
  <c r="BA1544" i="1"/>
  <c r="AO1545" i="1"/>
  <c r="AP1545" i="1"/>
  <c r="AR1545" i="1"/>
  <c r="AS1545" i="1"/>
  <c r="AT1545" i="1"/>
  <c r="AU1545" i="1"/>
  <c r="AV1545" i="1"/>
  <c r="AX1545" i="1"/>
  <c r="AY1545" i="1"/>
  <c r="AZ1545" i="1"/>
  <c r="BA1545" i="1"/>
  <c r="AO1546" i="1"/>
  <c r="AP1546" i="1"/>
  <c r="AR1546" i="1"/>
  <c r="AS1546" i="1"/>
  <c r="AT1546" i="1"/>
  <c r="AU1546" i="1"/>
  <c r="AV1546" i="1"/>
  <c r="AX1546" i="1"/>
  <c r="AY1546" i="1"/>
  <c r="AZ1546" i="1"/>
  <c r="BA1546" i="1"/>
  <c r="AO1547" i="1"/>
  <c r="AP1547" i="1"/>
  <c r="AR1547" i="1"/>
  <c r="AS1547" i="1"/>
  <c r="AT1547" i="1"/>
  <c r="AU1547" i="1"/>
  <c r="AV1547" i="1"/>
  <c r="AX1547" i="1"/>
  <c r="AY1547" i="1"/>
  <c r="AZ1547" i="1"/>
  <c r="BA1547" i="1"/>
  <c r="AO1548" i="1"/>
  <c r="AP1548" i="1"/>
  <c r="AR1548" i="1"/>
  <c r="AS1548" i="1"/>
  <c r="AT1548" i="1"/>
  <c r="AU1548" i="1"/>
  <c r="AV1548" i="1"/>
  <c r="AX1548" i="1"/>
  <c r="AY1548" i="1"/>
  <c r="AZ1548" i="1"/>
  <c r="BA1548" i="1"/>
  <c r="AO1549" i="1"/>
  <c r="AP1549" i="1"/>
  <c r="AR1549" i="1"/>
  <c r="AS1549" i="1"/>
  <c r="AT1549" i="1"/>
  <c r="AU1549" i="1"/>
  <c r="AV1549" i="1"/>
  <c r="AX1549" i="1"/>
  <c r="AY1549" i="1"/>
  <c r="AZ1549" i="1"/>
  <c r="BA1549" i="1"/>
  <c r="AO1550" i="1"/>
  <c r="AP1550" i="1"/>
  <c r="AR1550" i="1"/>
  <c r="AS1550" i="1"/>
  <c r="AT1550" i="1"/>
  <c r="AU1550" i="1"/>
  <c r="AV1550" i="1"/>
  <c r="AX1550" i="1"/>
  <c r="AY1550" i="1"/>
  <c r="AZ1550" i="1"/>
  <c r="BA1550" i="1"/>
  <c r="AO1551" i="1"/>
  <c r="AP1551" i="1"/>
  <c r="AR1551" i="1"/>
  <c r="AS1551" i="1"/>
  <c r="AT1551" i="1"/>
  <c r="AU1551" i="1"/>
  <c r="AV1551" i="1"/>
  <c r="AX1551" i="1"/>
  <c r="AY1551" i="1"/>
  <c r="AZ1551" i="1"/>
  <c r="BA1551" i="1"/>
  <c r="AO1552" i="1"/>
  <c r="AP1552" i="1"/>
  <c r="AR1552" i="1"/>
  <c r="AS1552" i="1"/>
  <c r="AT1552" i="1"/>
  <c r="AU1552" i="1"/>
  <c r="AV1552" i="1"/>
  <c r="AX1552" i="1"/>
  <c r="AY1552" i="1"/>
  <c r="AZ1552" i="1"/>
  <c r="BA1552" i="1"/>
  <c r="AO1553" i="1"/>
  <c r="AP1553" i="1"/>
  <c r="AR1553" i="1"/>
  <c r="AS1553" i="1"/>
  <c r="AT1553" i="1"/>
  <c r="AU1553" i="1"/>
  <c r="AV1553" i="1"/>
  <c r="AX1553" i="1"/>
  <c r="AY1553" i="1"/>
  <c r="AZ1553" i="1"/>
  <c r="BA1553" i="1"/>
  <c r="AO1554" i="1"/>
  <c r="AP1554" i="1"/>
  <c r="AR1554" i="1"/>
  <c r="AS1554" i="1"/>
  <c r="AT1554" i="1"/>
  <c r="AU1554" i="1"/>
  <c r="AV1554" i="1"/>
  <c r="AX1554" i="1"/>
  <c r="AY1554" i="1"/>
  <c r="AZ1554" i="1"/>
  <c r="BA1554" i="1"/>
  <c r="AO1555" i="1"/>
  <c r="AP1555" i="1"/>
  <c r="AR1555" i="1"/>
  <c r="AS1555" i="1"/>
  <c r="AT1555" i="1"/>
  <c r="AU1555" i="1"/>
  <c r="AV1555" i="1"/>
  <c r="AX1555" i="1"/>
  <c r="AY1555" i="1"/>
  <c r="AZ1555" i="1"/>
  <c r="BA1555" i="1"/>
  <c r="AO1556" i="1"/>
  <c r="AP1556" i="1"/>
  <c r="AR1556" i="1"/>
  <c r="AS1556" i="1"/>
  <c r="AT1556" i="1"/>
  <c r="AU1556" i="1"/>
  <c r="AV1556" i="1"/>
  <c r="AX1556" i="1"/>
  <c r="AY1556" i="1"/>
  <c r="AZ1556" i="1"/>
  <c r="BA1556" i="1"/>
  <c r="AO1557" i="1"/>
  <c r="AP1557" i="1"/>
  <c r="AR1557" i="1"/>
  <c r="AS1557" i="1"/>
  <c r="AT1557" i="1"/>
  <c r="AU1557" i="1"/>
  <c r="AV1557" i="1"/>
  <c r="AX1557" i="1"/>
  <c r="AY1557" i="1"/>
  <c r="AZ1557" i="1"/>
  <c r="BA1557" i="1"/>
  <c r="AO1558" i="1"/>
  <c r="AP1558" i="1"/>
  <c r="AR1558" i="1"/>
  <c r="AS1558" i="1"/>
  <c r="AT1558" i="1"/>
  <c r="AU1558" i="1"/>
  <c r="AV1558" i="1"/>
  <c r="AX1558" i="1"/>
  <c r="AY1558" i="1"/>
  <c r="AZ1558" i="1"/>
  <c r="BA1558" i="1"/>
  <c r="AO1559" i="1"/>
  <c r="AP1559" i="1"/>
  <c r="AR1559" i="1"/>
  <c r="AS1559" i="1"/>
  <c r="AT1559" i="1"/>
  <c r="AU1559" i="1"/>
  <c r="AV1559" i="1"/>
  <c r="AX1559" i="1"/>
  <c r="AY1559" i="1"/>
  <c r="AZ1559" i="1"/>
  <c r="BA1559" i="1"/>
  <c r="AO1560" i="1"/>
  <c r="AP1560" i="1"/>
  <c r="AR1560" i="1"/>
  <c r="AS1560" i="1"/>
  <c r="AT1560" i="1"/>
  <c r="AU1560" i="1"/>
  <c r="AV1560" i="1"/>
  <c r="AX1560" i="1"/>
  <c r="AY1560" i="1"/>
  <c r="AZ1560" i="1"/>
  <c r="BA1560" i="1"/>
  <c r="AO1561" i="1"/>
  <c r="AP1561" i="1"/>
  <c r="AR1561" i="1"/>
  <c r="AS1561" i="1"/>
  <c r="AT1561" i="1"/>
  <c r="AU1561" i="1"/>
  <c r="AV1561" i="1"/>
  <c r="AX1561" i="1"/>
  <c r="AY1561" i="1"/>
  <c r="AZ1561" i="1"/>
  <c r="BA1561" i="1"/>
  <c r="AO1562" i="1"/>
  <c r="AP1562" i="1"/>
  <c r="AR1562" i="1"/>
  <c r="AS1562" i="1"/>
  <c r="AT1562" i="1"/>
  <c r="AU1562" i="1"/>
  <c r="AV1562" i="1"/>
  <c r="AX1562" i="1"/>
  <c r="AY1562" i="1"/>
  <c r="AZ1562" i="1"/>
  <c r="BA1562" i="1"/>
  <c r="AO1563" i="1"/>
  <c r="AP1563" i="1"/>
  <c r="AR1563" i="1"/>
  <c r="AS1563" i="1"/>
  <c r="AT1563" i="1"/>
  <c r="AU1563" i="1"/>
  <c r="AV1563" i="1"/>
  <c r="AX1563" i="1"/>
  <c r="AY1563" i="1"/>
  <c r="AZ1563" i="1"/>
  <c r="BA1563" i="1"/>
  <c r="AO1564" i="1"/>
  <c r="AP1564" i="1"/>
  <c r="AR1564" i="1"/>
  <c r="AS1564" i="1"/>
  <c r="AT1564" i="1"/>
  <c r="AU1564" i="1"/>
  <c r="AV1564" i="1"/>
  <c r="AX1564" i="1"/>
  <c r="AY1564" i="1"/>
  <c r="AZ1564" i="1"/>
  <c r="BA1564" i="1"/>
  <c r="AO1565" i="1"/>
  <c r="AP1565" i="1"/>
  <c r="AR1565" i="1"/>
  <c r="AS1565" i="1"/>
  <c r="AT1565" i="1"/>
  <c r="AU1565" i="1"/>
  <c r="AV1565" i="1"/>
  <c r="AX1565" i="1"/>
  <c r="AY1565" i="1"/>
  <c r="AZ1565" i="1"/>
  <c r="BA1565" i="1"/>
  <c r="AO1566" i="1"/>
  <c r="AP1566" i="1"/>
  <c r="AR1566" i="1"/>
  <c r="AS1566" i="1"/>
  <c r="AT1566" i="1"/>
  <c r="AU1566" i="1"/>
  <c r="AV1566" i="1"/>
  <c r="AX1566" i="1"/>
  <c r="AY1566" i="1"/>
  <c r="AZ1566" i="1"/>
  <c r="BA1566" i="1"/>
  <c r="AO1567" i="1"/>
  <c r="AP1567" i="1"/>
  <c r="AR1567" i="1"/>
  <c r="AS1567" i="1"/>
  <c r="AT1567" i="1"/>
  <c r="AU1567" i="1"/>
  <c r="AV1567" i="1"/>
  <c r="AX1567" i="1"/>
  <c r="AY1567" i="1"/>
  <c r="AZ1567" i="1"/>
  <c r="BA1567" i="1"/>
  <c r="AO1568" i="1"/>
  <c r="AP1568" i="1"/>
  <c r="AR1568" i="1"/>
  <c r="AS1568" i="1"/>
  <c r="AT1568" i="1"/>
  <c r="AU1568" i="1"/>
  <c r="AV1568" i="1"/>
  <c r="AX1568" i="1"/>
  <c r="AY1568" i="1"/>
  <c r="AZ1568" i="1"/>
  <c r="BA1568" i="1"/>
  <c r="AO1569" i="1"/>
  <c r="AP1569" i="1"/>
  <c r="AR1569" i="1"/>
  <c r="AS1569" i="1"/>
  <c r="AT1569" i="1"/>
  <c r="AU1569" i="1"/>
  <c r="AV1569" i="1"/>
  <c r="AX1569" i="1"/>
  <c r="AY1569" i="1"/>
  <c r="AZ1569" i="1"/>
  <c r="BA1569" i="1"/>
  <c r="AO1570" i="1"/>
  <c r="AP1570" i="1"/>
  <c r="AR1570" i="1"/>
  <c r="AS1570" i="1"/>
  <c r="AT1570" i="1"/>
  <c r="AU1570" i="1"/>
  <c r="AV1570" i="1"/>
  <c r="AX1570" i="1"/>
  <c r="AY1570" i="1"/>
  <c r="AZ1570" i="1"/>
  <c r="BA1570" i="1"/>
  <c r="AO1571" i="1"/>
  <c r="AP1571" i="1"/>
  <c r="AR1571" i="1"/>
  <c r="AS1571" i="1"/>
  <c r="AT1571" i="1"/>
  <c r="AU1571" i="1"/>
  <c r="AV1571" i="1"/>
  <c r="AX1571" i="1"/>
  <c r="AY1571" i="1"/>
  <c r="AZ1571" i="1"/>
  <c r="BA1571" i="1"/>
  <c r="AO1572" i="1"/>
  <c r="AP1572" i="1"/>
  <c r="AR1572" i="1"/>
  <c r="AS1572" i="1"/>
  <c r="AT1572" i="1"/>
  <c r="AU1572" i="1"/>
  <c r="AV1572" i="1"/>
  <c r="AX1572" i="1"/>
  <c r="AY1572" i="1"/>
  <c r="AZ1572" i="1"/>
  <c r="BA1572" i="1"/>
  <c r="AO1573" i="1"/>
  <c r="AP1573" i="1"/>
  <c r="AR1573" i="1"/>
  <c r="AS1573" i="1"/>
  <c r="AT1573" i="1"/>
  <c r="AU1573" i="1"/>
  <c r="AV1573" i="1"/>
  <c r="AX1573" i="1"/>
  <c r="AY1573" i="1"/>
  <c r="AZ1573" i="1"/>
  <c r="BA1573" i="1"/>
  <c r="AO1574" i="1"/>
  <c r="AP1574" i="1"/>
  <c r="AR1574" i="1"/>
  <c r="AS1574" i="1"/>
  <c r="AT1574" i="1"/>
  <c r="AU1574" i="1"/>
  <c r="AV1574" i="1"/>
  <c r="AX1574" i="1"/>
  <c r="AY1574" i="1"/>
  <c r="AZ1574" i="1"/>
  <c r="BA1574" i="1"/>
  <c r="AO1575" i="1"/>
  <c r="AP1575" i="1"/>
  <c r="AR1575" i="1"/>
  <c r="AS1575" i="1"/>
  <c r="AT1575" i="1"/>
  <c r="AU1575" i="1"/>
  <c r="AV1575" i="1"/>
  <c r="AX1575" i="1"/>
  <c r="AY1575" i="1"/>
  <c r="AZ1575" i="1"/>
  <c r="BA1575" i="1"/>
  <c r="AO1576" i="1"/>
  <c r="AP1576" i="1"/>
  <c r="AR1576" i="1"/>
  <c r="AS1576" i="1"/>
  <c r="AT1576" i="1"/>
  <c r="AU1576" i="1"/>
  <c r="AV1576" i="1"/>
  <c r="AX1576" i="1"/>
  <c r="AY1576" i="1"/>
  <c r="AZ1576" i="1"/>
  <c r="BA1576" i="1"/>
  <c r="AO1577" i="1"/>
  <c r="AP1577" i="1"/>
  <c r="AR1577" i="1"/>
  <c r="AS1577" i="1"/>
  <c r="AT1577" i="1"/>
  <c r="AU1577" i="1"/>
  <c r="AV1577" i="1"/>
  <c r="AX1577" i="1"/>
  <c r="AY1577" i="1"/>
  <c r="AZ1577" i="1"/>
  <c r="BA1577" i="1"/>
  <c r="AO1578" i="1"/>
  <c r="AP1578" i="1"/>
  <c r="AR1578" i="1"/>
  <c r="AS1578" i="1"/>
  <c r="AT1578" i="1"/>
  <c r="AU1578" i="1"/>
  <c r="AV1578" i="1"/>
  <c r="AX1578" i="1"/>
  <c r="AY1578" i="1"/>
  <c r="AZ1578" i="1"/>
  <c r="BA1578" i="1"/>
  <c r="AO1579" i="1"/>
  <c r="AP1579" i="1"/>
  <c r="AR1579" i="1"/>
  <c r="AS1579" i="1"/>
  <c r="AT1579" i="1"/>
  <c r="AU1579" i="1"/>
  <c r="AV1579" i="1"/>
  <c r="AX1579" i="1"/>
  <c r="AY1579" i="1"/>
  <c r="AZ1579" i="1"/>
  <c r="BA1579" i="1"/>
  <c r="AO1580" i="1"/>
  <c r="AP1580" i="1"/>
  <c r="AR1580" i="1"/>
  <c r="AS1580" i="1"/>
  <c r="AT1580" i="1"/>
  <c r="AU1580" i="1"/>
  <c r="AV1580" i="1"/>
  <c r="AX1580" i="1"/>
  <c r="AY1580" i="1"/>
  <c r="AZ1580" i="1"/>
  <c r="BA1580" i="1"/>
  <c r="AO1581" i="1"/>
  <c r="AP1581" i="1"/>
  <c r="AR1581" i="1"/>
  <c r="AS1581" i="1"/>
  <c r="AT1581" i="1"/>
  <c r="AU1581" i="1"/>
  <c r="AV1581" i="1"/>
  <c r="AX1581" i="1"/>
  <c r="AY1581" i="1"/>
  <c r="AZ1581" i="1"/>
  <c r="BA1581" i="1"/>
  <c r="AO1582" i="1"/>
  <c r="AP1582" i="1"/>
  <c r="AR1582" i="1"/>
  <c r="AS1582" i="1"/>
  <c r="AT1582" i="1"/>
  <c r="AU1582" i="1"/>
  <c r="AV1582" i="1"/>
  <c r="AX1582" i="1"/>
  <c r="AY1582" i="1"/>
  <c r="AZ1582" i="1"/>
  <c r="BA1582" i="1"/>
  <c r="AO1583" i="1"/>
  <c r="AP1583" i="1"/>
  <c r="AR1583" i="1"/>
  <c r="AS1583" i="1"/>
  <c r="AT1583" i="1"/>
  <c r="AU1583" i="1"/>
  <c r="AV1583" i="1"/>
  <c r="AX1583" i="1"/>
  <c r="AY1583" i="1"/>
  <c r="AZ1583" i="1"/>
  <c r="BA1583" i="1"/>
  <c r="AO1584" i="1"/>
  <c r="AP1584" i="1"/>
  <c r="AR1584" i="1"/>
  <c r="AS1584" i="1"/>
  <c r="AT1584" i="1"/>
  <c r="AU1584" i="1"/>
  <c r="AV1584" i="1"/>
  <c r="AX1584" i="1"/>
  <c r="AY1584" i="1"/>
  <c r="AZ1584" i="1"/>
  <c r="BA1584" i="1"/>
  <c r="AO1585" i="1"/>
  <c r="AP1585" i="1"/>
  <c r="AR1585" i="1"/>
  <c r="AS1585" i="1"/>
  <c r="AT1585" i="1"/>
  <c r="AU1585" i="1"/>
  <c r="AV1585" i="1"/>
  <c r="AX1585" i="1"/>
  <c r="AY1585" i="1"/>
  <c r="AZ1585" i="1"/>
  <c r="BA1585" i="1"/>
  <c r="AO1586" i="1"/>
  <c r="AP1586" i="1"/>
  <c r="AR1586" i="1"/>
  <c r="AS1586" i="1"/>
  <c r="AT1586" i="1"/>
  <c r="AU1586" i="1"/>
  <c r="AV1586" i="1"/>
  <c r="AX1586" i="1"/>
  <c r="AY1586" i="1"/>
  <c r="AZ1586" i="1"/>
  <c r="BA1586" i="1"/>
  <c r="AO1587" i="1"/>
  <c r="AP1587" i="1"/>
  <c r="AR1587" i="1"/>
  <c r="AS1587" i="1"/>
  <c r="AT1587" i="1"/>
  <c r="AU1587" i="1"/>
  <c r="AV1587" i="1"/>
  <c r="AX1587" i="1"/>
  <c r="AY1587" i="1"/>
  <c r="AZ1587" i="1"/>
  <c r="BA1587" i="1"/>
  <c r="AO1588" i="1"/>
  <c r="AP1588" i="1"/>
  <c r="AR1588" i="1"/>
  <c r="AS1588" i="1"/>
  <c r="AT1588" i="1"/>
  <c r="AU1588" i="1"/>
  <c r="AV1588" i="1"/>
  <c r="AX1588" i="1"/>
  <c r="AY1588" i="1"/>
  <c r="AZ1588" i="1"/>
  <c r="BA1588" i="1"/>
  <c r="AO1589" i="1"/>
  <c r="AP1589" i="1"/>
  <c r="AR1589" i="1"/>
  <c r="AS1589" i="1"/>
  <c r="AT1589" i="1"/>
  <c r="AU1589" i="1"/>
  <c r="AV1589" i="1"/>
  <c r="AX1589" i="1"/>
  <c r="AY1589" i="1"/>
  <c r="AZ1589" i="1"/>
  <c r="BA1589" i="1"/>
  <c r="AO1590" i="1"/>
  <c r="AP1590" i="1"/>
  <c r="AR1590" i="1"/>
  <c r="AS1590" i="1"/>
  <c r="AT1590" i="1"/>
  <c r="AU1590" i="1"/>
  <c r="AV1590" i="1"/>
  <c r="AX1590" i="1"/>
  <c r="AY1590" i="1"/>
  <c r="AZ1590" i="1"/>
  <c r="BA1590" i="1"/>
  <c r="AO1591" i="1"/>
  <c r="AP1591" i="1"/>
  <c r="AR1591" i="1"/>
  <c r="AS1591" i="1"/>
  <c r="AT1591" i="1"/>
  <c r="AU1591" i="1"/>
  <c r="AV1591" i="1"/>
  <c r="AX1591" i="1"/>
  <c r="AY1591" i="1"/>
  <c r="AZ1591" i="1"/>
  <c r="BA1591" i="1"/>
  <c r="AO1592" i="1"/>
  <c r="AP1592" i="1"/>
  <c r="AR1592" i="1"/>
  <c r="AS1592" i="1"/>
  <c r="AT1592" i="1"/>
  <c r="AU1592" i="1"/>
  <c r="AV1592" i="1"/>
  <c r="AX1592" i="1"/>
  <c r="AY1592" i="1"/>
  <c r="AZ1592" i="1"/>
  <c r="BA1592" i="1"/>
  <c r="AO1593" i="1"/>
  <c r="AP1593" i="1"/>
  <c r="AR1593" i="1"/>
  <c r="AS1593" i="1"/>
  <c r="AT1593" i="1"/>
  <c r="AU1593" i="1"/>
  <c r="AV1593" i="1"/>
  <c r="AX1593" i="1"/>
  <c r="AY1593" i="1"/>
  <c r="AZ1593" i="1"/>
  <c r="BA1593" i="1"/>
  <c r="AO1594" i="1"/>
  <c r="AP1594" i="1"/>
  <c r="AR1594" i="1"/>
  <c r="AS1594" i="1"/>
  <c r="AT1594" i="1"/>
  <c r="AU1594" i="1"/>
  <c r="AV1594" i="1"/>
  <c r="AX1594" i="1"/>
  <c r="AY1594" i="1"/>
  <c r="AZ1594" i="1"/>
  <c r="BA1594" i="1"/>
  <c r="AO1595" i="1"/>
  <c r="AP1595" i="1"/>
  <c r="AR1595" i="1"/>
  <c r="AS1595" i="1"/>
  <c r="AT1595" i="1"/>
  <c r="AU1595" i="1"/>
  <c r="AV1595" i="1"/>
  <c r="AX1595" i="1"/>
  <c r="AY1595" i="1"/>
  <c r="AZ1595" i="1"/>
  <c r="BA1595" i="1"/>
  <c r="AO1596" i="1"/>
  <c r="AP1596" i="1"/>
  <c r="AR1596" i="1"/>
  <c r="AS1596" i="1"/>
  <c r="AT1596" i="1"/>
  <c r="AU1596" i="1"/>
  <c r="AV1596" i="1"/>
  <c r="AX1596" i="1"/>
  <c r="AY1596" i="1"/>
  <c r="AZ1596" i="1"/>
  <c r="BA1596" i="1"/>
  <c r="AO1598" i="1"/>
  <c r="AP1598" i="1"/>
  <c r="AR1598" i="1"/>
  <c r="AS1598" i="1"/>
  <c r="AT1598" i="1"/>
  <c r="AU1598" i="1"/>
  <c r="AV1598" i="1"/>
  <c r="AX1598" i="1"/>
  <c r="AY1598" i="1"/>
  <c r="AO1599" i="1"/>
  <c r="AP1599" i="1"/>
  <c r="AR1599" i="1"/>
  <c r="AS1599" i="1"/>
  <c r="AT1599" i="1"/>
  <c r="AU1599" i="1"/>
  <c r="AV1599" i="1"/>
  <c r="AX1599" i="1"/>
  <c r="AY1599" i="1"/>
  <c r="AZ1599" i="1"/>
  <c r="BA1599" i="1"/>
  <c r="AO1600" i="1"/>
  <c r="AP1600" i="1"/>
  <c r="AR1600" i="1"/>
  <c r="AS1600" i="1"/>
  <c r="AT1600" i="1"/>
  <c r="AU1600" i="1"/>
  <c r="AV1600" i="1"/>
  <c r="AX1600" i="1"/>
  <c r="AY1600" i="1"/>
  <c r="AZ1600" i="1"/>
  <c r="BA1600" i="1"/>
  <c r="AO1601" i="1"/>
  <c r="AP1601" i="1"/>
  <c r="AR1601" i="1"/>
  <c r="AS1601" i="1"/>
  <c r="AT1601" i="1"/>
  <c r="AU1601" i="1"/>
  <c r="AV1601" i="1"/>
  <c r="AX1601" i="1"/>
  <c r="AY1601" i="1"/>
  <c r="AZ1601" i="1"/>
  <c r="BA1601" i="1"/>
  <c r="AO1602" i="1"/>
  <c r="AP1602" i="1"/>
  <c r="AR1602" i="1"/>
  <c r="AS1602" i="1"/>
  <c r="AT1602" i="1"/>
  <c r="AU1602" i="1"/>
  <c r="AV1602" i="1"/>
  <c r="AX1602" i="1"/>
  <c r="AY1602" i="1"/>
  <c r="AZ1602" i="1"/>
  <c r="BA1602" i="1"/>
  <c r="AO1603" i="1"/>
  <c r="AP1603" i="1"/>
  <c r="AR1603" i="1"/>
  <c r="AS1603" i="1"/>
  <c r="AT1603" i="1"/>
  <c r="AU1603" i="1"/>
  <c r="AV1603" i="1"/>
  <c r="AX1603" i="1"/>
  <c r="AY1603" i="1"/>
  <c r="AZ1603" i="1"/>
  <c r="BA1603" i="1"/>
  <c r="AO1604" i="1"/>
  <c r="AP1604" i="1"/>
  <c r="AR1604" i="1"/>
  <c r="AS1604" i="1"/>
  <c r="AT1604" i="1"/>
  <c r="AU1604" i="1"/>
  <c r="AV1604" i="1"/>
  <c r="AX1604" i="1"/>
  <c r="AY1604" i="1"/>
  <c r="AZ1604" i="1"/>
  <c r="BA1604" i="1"/>
  <c r="AO1605" i="1"/>
  <c r="AP1605" i="1"/>
  <c r="AR1605" i="1"/>
  <c r="AS1605" i="1"/>
  <c r="AT1605" i="1"/>
  <c r="AU1605" i="1"/>
  <c r="AV1605" i="1"/>
  <c r="AX1605" i="1"/>
  <c r="AY1605" i="1"/>
  <c r="AZ1605" i="1"/>
  <c r="BA1605" i="1"/>
  <c r="AO1606" i="1"/>
  <c r="AP1606" i="1"/>
  <c r="AR1606" i="1"/>
  <c r="AS1606" i="1"/>
  <c r="AT1606" i="1"/>
  <c r="AU1606" i="1"/>
  <c r="AV1606" i="1"/>
  <c r="AX1606" i="1"/>
  <c r="AY1606" i="1"/>
  <c r="AZ1606" i="1"/>
  <c r="BA1606" i="1"/>
  <c r="AO1607" i="1"/>
  <c r="AP1607" i="1"/>
  <c r="AR1607" i="1"/>
  <c r="AS1607" i="1"/>
  <c r="AT1607" i="1"/>
  <c r="AU1607" i="1"/>
  <c r="AV1607" i="1"/>
  <c r="AX1607" i="1"/>
  <c r="AY1607" i="1"/>
  <c r="AZ1607" i="1"/>
  <c r="BA1607" i="1"/>
  <c r="AO1608" i="1"/>
  <c r="AP1608" i="1"/>
  <c r="AR1608" i="1"/>
  <c r="AS1608" i="1"/>
  <c r="AT1608" i="1"/>
  <c r="AU1608" i="1"/>
  <c r="AV1608" i="1"/>
  <c r="AX1608" i="1"/>
  <c r="AY1608" i="1"/>
  <c r="AZ1608" i="1"/>
  <c r="BA1608" i="1"/>
  <c r="AO1609" i="1"/>
  <c r="AP1609" i="1"/>
  <c r="AR1609" i="1"/>
  <c r="AS1609" i="1"/>
  <c r="AT1609" i="1"/>
  <c r="AU1609" i="1"/>
  <c r="AV1609" i="1"/>
  <c r="AX1609" i="1"/>
  <c r="AY1609" i="1"/>
  <c r="AZ1609" i="1"/>
  <c r="BA1609" i="1"/>
  <c r="AO1610" i="1"/>
  <c r="AP1610" i="1"/>
  <c r="AR1610" i="1"/>
  <c r="AS1610" i="1"/>
  <c r="AT1610" i="1"/>
  <c r="AU1610" i="1"/>
  <c r="AV1610" i="1"/>
  <c r="AX1610" i="1"/>
  <c r="AY1610" i="1"/>
  <c r="AZ1610" i="1"/>
  <c r="BA1610" i="1"/>
  <c r="AO1611" i="1"/>
  <c r="AP1611" i="1"/>
  <c r="AR1611" i="1"/>
  <c r="AS1611" i="1"/>
  <c r="AT1611" i="1"/>
  <c r="AU1611" i="1"/>
  <c r="AV1611" i="1"/>
  <c r="AX1611" i="1"/>
  <c r="AY1611" i="1"/>
  <c r="AZ1611" i="1"/>
  <c r="BA1611" i="1"/>
  <c r="AO1612" i="1"/>
  <c r="AP1612" i="1"/>
  <c r="AR1612" i="1"/>
  <c r="AS1612" i="1"/>
  <c r="AT1612" i="1"/>
  <c r="AU1612" i="1"/>
  <c r="AV1612" i="1"/>
  <c r="AX1612" i="1"/>
  <c r="AY1612" i="1"/>
  <c r="AZ1612" i="1"/>
  <c r="BA1612" i="1"/>
  <c r="AO1613" i="1"/>
  <c r="AP1613" i="1"/>
  <c r="AR1613" i="1"/>
  <c r="AS1613" i="1"/>
  <c r="AT1613" i="1"/>
  <c r="AU1613" i="1"/>
  <c r="AV1613" i="1"/>
  <c r="AX1613" i="1"/>
  <c r="AY1613" i="1"/>
  <c r="AZ1613" i="1"/>
  <c r="BA1613" i="1"/>
  <c r="AO1614" i="1"/>
  <c r="AP1614" i="1"/>
  <c r="AR1614" i="1"/>
  <c r="AS1614" i="1"/>
  <c r="AT1614" i="1"/>
  <c r="AU1614" i="1"/>
  <c r="AV1614" i="1"/>
  <c r="AX1614" i="1"/>
  <c r="AY1614" i="1"/>
  <c r="AZ1614" i="1"/>
  <c r="BA1614" i="1"/>
  <c r="AO1615" i="1"/>
  <c r="AP1615" i="1"/>
  <c r="AR1615" i="1"/>
  <c r="AS1615" i="1"/>
  <c r="AT1615" i="1"/>
  <c r="AU1615" i="1"/>
  <c r="AV1615" i="1"/>
  <c r="AX1615" i="1"/>
  <c r="AY1615" i="1"/>
  <c r="AZ1615" i="1"/>
  <c r="BA1615" i="1"/>
  <c r="AO1616" i="1"/>
  <c r="AP1616" i="1"/>
  <c r="AR1616" i="1"/>
  <c r="AS1616" i="1"/>
  <c r="AT1616" i="1"/>
  <c r="AU1616" i="1"/>
  <c r="AV1616" i="1"/>
  <c r="AX1616" i="1"/>
  <c r="AY1616" i="1"/>
  <c r="AO1617" i="1"/>
  <c r="AP1617" i="1"/>
  <c r="AR1617" i="1"/>
  <c r="AS1617" i="1"/>
  <c r="AT1617" i="1"/>
  <c r="AU1617" i="1"/>
  <c r="AV1617" i="1"/>
  <c r="AX1617" i="1"/>
  <c r="AY1617" i="1"/>
  <c r="AZ1617" i="1"/>
  <c r="BA1617" i="1"/>
  <c r="AO1618" i="1"/>
  <c r="AP1618" i="1"/>
  <c r="AR1618" i="1"/>
  <c r="AS1618" i="1"/>
  <c r="AT1618" i="1"/>
  <c r="AU1618" i="1"/>
  <c r="AV1618" i="1"/>
  <c r="AX1618" i="1"/>
  <c r="AY1618" i="1"/>
  <c r="AZ1618" i="1"/>
  <c r="BA1618" i="1"/>
  <c r="AO1619" i="1"/>
  <c r="AP1619" i="1"/>
  <c r="AR1619" i="1"/>
  <c r="AS1619" i="1"/>
  <c r="AT1619" i="1"/>
  <c r="AU1619" i="1"/>
  <c r="AV1619" i="1"/>
  <c r="AX1619" i="1"/>
  <c r="AY1619" i="1"/>
  <c r="AZ1619" i="1"/>
  <c r="BA1619" i="1"/>
  <c r="AO1620" i="1"/>
  <c r="AP1620" i="1"/>
  <c r="AR1620" i="1"/>
  <c r="AS1620" i="1"/>
  <c r="AT1620" i="1"/>
  <c r="AU1620" i="1"/>
  <c r="AV1620" i="1"/>
  <c r="AX1620" i="1"/>
  <c r="AY1620" i="1"/>
  <c r="AZ1620" i="1"/>
  <c r="BA1620" i="1"/>
  <c r="AO1621" i="1"/>
  <c r="AP1621" i="1"/>
  <c r="AR1621" i="1"/>
  <c r="AS1621" i="1"/>
  <c r="AT1621" i="1"/>
  <c r="AU1621" i="1"/>
  <c r="AV1621" i="1"/>
  <c r="AX1621" i="1"/>
  <c r="AY1621" i="1"/>
  <c r="AZ1621" i="1"/>
  <c r="BA1621" i="1"/>
  <c r="AO1622" i="1"/>
  <c r="AP1622" i="1"/>
  <c r="AR1622" i="1"/>
  <c r="AS1622" i="1"/>
  <c r="AT1622" i="1"/>
  <c r="AU1622" i="1"/>
  <c r="AV1622" i="1"/>
  <c r="AX1622" i="1"/>
  <c r="AY1622" i="1"/>
  <c r="AZ1622" i="1"/>
  <c r="BA1622" i="1"/>
  <c r="AO1623" i="1"/>
  <c r="AP1623" i="1"/>
  <c r="AR1623" i="1"/>
  <c r="AS1623" i="1"/>
  <c r="AT1623" i="1"/>
  <c r="AU1623" i="1"/>
  <c r="AV1623" i="1"/>
  <c r="AX1623" i="1"/>
  <c r="AY1623" i="1"/>
  <c r="AZ1623" i="1"/>
  <c r="BA1623" i="1"/>
  <c r="AO1624" i="1"/>
  <c r="AP1624" i="1"/>
  <c r="AR1624" i="1"/>
  <c r="AS1624" i="1"/>
  <c r="AT1624" i="1"/>
  <c r="AU1624" i="1"/>
  <c r="AV1624" i="1"/>
  <c r="AX1624" i="1"/>
  <c r="AY1624" i="1"/>
  <c r="AZ1624" i="1"/>
  <c r="BA1624" i="1"/>
  <c r="AO1625" i="1"/>
  <c r="AP1625" i="1"/>
  <c r="AR1625" i="1"/>
  <c r="AS1625" i="1"/>
  <c r="AT1625" i="1"/>
  <c r="AU1625" i="1"/>
  <c r="AV1625" i="1"/>
  <c r="AX1625" i="1"/>
  <c r="AY1625" i="1"/>
  <c r="AZ1625" i="1"/>
  <c r="BA1625" i="1"/>
  <c r="AO1626" i="1"/>
  <c r="AP1626" i="1"/>
  <c r="AR1626" i="1"/>
  <c r="AS1626" i="1"/>
  <c r="AT1626" i="1"/>
  <c r="AU1626" i="1"/>
  <c r="AV1626" i="1"/>
  <c r="AX1626" i="1"/>
  <c r="AY1626" i="1"/>
  <c r="AZ1626" i="1"/>
  <c r="BA1626" i="1"/>
  <c r="AO1627" i="1"/>
  <c r="AP1627" i="1"/>
  <c r="AR1627" i="1"/>
  <c r="AS1627" i="1"/>
  <c r="AT1627" i="1"/>
  <c r="AU1627" i="1"/>
  <c r="AV1627" i="1"/>
  <c r="AX1627" i="1"/>
  <c r="AY1627" i="1"/>
  <c r="AZ1627" i="1"/>
  <c r="BA1627" i="1"/>
  <c r="AO1628" i="1"/>
  <c r="AP1628" i="1"/>
  <c r="AR1628" i="1"/>
  <c r="AS1628" i="1"/>
  <c r="AT1628" i="1"/>
  <c r="AU1628" i="1"/>
  <c r="AV1628" i="1"/>
  <c r="AX1628" i="1"/>
  <c r="AY1628" i="1"/>
  <c r="AZ1628" i="1"/>
  <c r="BA1628" i="1"/>
  <c r="AO1629" i="1"/>
  <c r="AP1629" i="1"/>
  <c r="AR1629" i="1"/>
  <c r="AS1629" i="1"/>
  <c r="AT1629" i="1"/>
  <c r="AU1629" i="1"/>
  <c r="AV1629" i="1"/>
  <c r="AX1629" i="1"/>
  <c r="AY1629" i="1"/>
  <c r="AZ1629" i="1"/>
  <c r="BA1629" i="1"/>
  <c r="AO1630" i="1"/>
  <c r="AP1630" i="1"/>
  <c r="AR1630" i="1"/>
  <c r="AS1630" i="1"/>
  <c r="AT1630" i="1"/>
  <c r="AU1630" i="1"/>
  <c r="AV1630" i="1"/>
  <c r="AX1630" i="1"/>
  <c r="AY1630" i="1"/>
  <c r="AZ1630" i="1"/>
  <c r="BA1630" i="1"/>
  <c r="AO1631" i="1"/>
  <c r="AP1631" i="1"/>
  <c r="AR1631" i="1"/>
  <c r="AS1631" i="1"/>
  <c r="AT1631" i="1"/>
  <c r="AU1631" i="1"/>
  <c r="AV1631" i="1"/>
  <c r="AX1631" i="1"/>
  <c r="AY1631" i="1"/>
  <c r="AZ1631" i="1"/>
  <c r="BA1631" i="1"/>
  <c r="AO1632" i="1"/>
  <c r="AP1632" i="1"/>
  <c r="AR1632" i="1"/>
  <c r="AS1632" i="1"/>
  <c r="AT1632" i="1"/>
  <c r="AU1632" i="1"/>
  <c r="AV1632" i="1"/>
  <c r="AX1632" i="1"/>
  <c r="AY1632" i="1"/>
  <c r="AZ1632" i="1"/>
  <c r="BA1632" i="1"/>
  <c r="AO1633" i="1"/>
  <c r="AP1633" i="1"/>
  <c r="AR1633" i="1"/>
  <c r="AS1633" i="1"/>
  <c r="AT1633" i="1"/>
  <c r="AU1633" i="1"/>
  <c r="AV1633" i="1"/>
  <c r="AX1633" i="1"/>
  <c r="AY1633" i="1"/>
  <c r="AZ1633" i="1"/>
  <c r="BA1633" i="1"/>
  <c r="AO1634" i="1"/>
  <c r="AP1634" i="1"/>
  <c r="AR1634" i="1"/>
  <c r="AS1634" i="1"/>
  <c r="AT1634" i="1"/>
  <c r="AU1634" i="1"/>
  <c r="AV1634" i="1"/>
  <c r="AX1634" i="1"/>
  <c r="AY1634" i="1"/>
  <c r="AZ1634" i="1"/>
  <c r="BA1634" i="1"/>
  <c r="AO1635" i="1"/>
  <c r="AP1635" i="1"/>
  <c r="AR1635" i="1"/>
  <c r="AS1635" i="1"/>
  <c r="AT1635" i="1"/>
  <c r="AU1635" i="1"/>
  <c r="AV1635" i="1"/>
  <c r="AX1635" i="1"/>
  <c r="AY1635" i="1"/>
  <c r="AZ1635" i="1"/>
  <c r="BA1635" i="1"/>
  <c r="AO1636" i="1"/>
  <c r="AP1636" i="1"/>
  <c r="AR1636" i="1"/>
  <c r="AS1636" i="1"/>
  <c r="AT1636" i="1"/>
  <c r="AU1636" i="1"/>
  <c r="AV1636" i="1"/>
  <c r="AX1636" i="1"/>
  <c r="AY1636" i="1"/>
  <c r="AZ1636" i="1"/>
  <c r="BA1636" i="1"/>
  <c r="AO1637" i="1"/>
  <c r="AP1637" i="1"/>
  <c r="AR1637" i="1"/>
  <c r="AS1637" i="1"/>
  <c r="AT1637" i="1"/>
  <c r="AU1637" i="1"/>
  <c r="AV1637" i="1"/>
  <c r="AX1637" i="1"/>
  <c r="AY1637" i="1"/>
  <c r="AZ1637" i="1"/>
  <c r="BA1637" i="1"/>
  <c r="AO1638" i="1"/>
  <c r="AP1638" i="1"/>
  <c r="AR1638" i="1"/>
  <c r="AS1638" i="1"/>
  <c r="AT1638" i="1"/>
  <c r="AU1638" i="1"/>
  <c r="AV1638" i="1"/>
  <c r="AX1638" i="1"/>
  <c r="AY1638" i="1"/>
  <c r="AZ1638" i="1"/>
  <c r="BA1638" i="1"/>
  <c r="AO1639" i="1"/>
  <c r="AP1639" i="1"/>
  <c r="AR1639" i="1"/>
  <c r="AS1639" i="1"/>
  <c r="AT1639" i="1"/>
  <c r="AU1639" i="1"/>
  <c r="AV1639" i="1"/>
  <c r="AX1639" i="1"/>
  <c r="AY1639" i="1"/>
  <c r="AZ1639" i="1"/>
  <c r="BA1639" i="1"/>
  <c r="AO1640" i="1"/>
  <c r="AP1640" i="1"/>
  <c r="AR1640" i="1"/>
  <c r="AS1640" i="1"/>
  <c r="AT1640" i="1"/>
  <c r="AU1640" i="1"/>
  <c r="AV1640" i="1"/>
  <c r="AX1640" i="1"/>
  <c r="AY1640" i="1"/>
  <c r="AZ1640" i="1"/>
  <c r="BA1640" i="1"/>
  <c r="AO1641" i="1"/>
  <c r="AP1641" i="1"/>
  <c r="AR1641" i="1"/>
  <c r="AS1641" i="1"/>
  <c r="AT1641" i="1"/>
  <c r="AU1641" i="1"/>
  <c r="AV1641" i="1"/>
  <c r="AX1641" i="1"/>
  <c r="AY1641" i="1"/>
  <c r="AZ1641" i="1"/>
  <c r="BA1641" i="1"/>
  <c r="AO1642" i="1"/>
  <c r="AP1642" i="1"/>
  <c r="AR1642" i="1"/>
  <c r="AS1642" i="1"/>
  <c r="AT1642" i="1"/>
  <c r="AU1642" i="1"/>
  <c r="AV1642" i="1"/>
  <c r="AX1642" i="1"/>
  <c r="AY1642" i="1"/>
  <c r="AZ1642" i="1"/>
  <c r="BA1642" i="1"/>
  <c r="AO1643" i="1"/>
  <c r="AP1643" i="1"/>
  <c r="AR1643" i="1"/>
  <c r="AS1643" i="1"/>
  <c r="AT1643" i="1"/>
  <c r="AU1643" i="1"/>
  <c r="AV1643" i="1"/>
  <c r="AX1643" i="1"/>
  <c r="AY1643" i="1"/>
  <c r="AZ1643" i="1"/>
  <c r="BA1643" i="1"/>
  <c r="AO1644" i="1"/>
  <c r="AP1644" i="1"/>
  <c r="AR1644" i="1"/>
  <c r="AS1644" i="1"/>
  <c r="AT1644" i="1"/>
  <c r="AU1644" i="1"/>
  <c r="AV1644" i="1"/>
  <c r="AX1644" i="1"/>
  <c r="AY1644" i="1"/>
  <c r="AZ1644" i="1"/>
  <c r="BA1644" i="1"/>
  <c r="AO1645" i="1"/>
  <c r="AP1645" i="1"/>
  <c r="AR1645" i="1"/>
  <c r="AS1645" i="1"/>
  <c r="AT1645" i="1"/>
  <c r="AU1645" i="1"/>
  <c r="AV1645" i="1"/>
  <c r="AX1645" i="1"/>
  <c r="AY1645" i="1"/>
  <c r="AZ1645" i="1"/>
  <c r="BA1645" i="1"/>
  <c r="AO1646" i="1"/>
  <c r="AP1646" i="1"/>
  <c r="AR1646" i="1"/>
  <c r="AS1646" i="1"/>
  <c r="AT1646" i="1"/>
  <c r="AU1646" i="1"/>
  <c r="AV1646" i="1"/>
  <c r="AX1646" i="1"/>
  <c r="AY1646" i="1"/>
  <c r="AZ1646" i="1"/>
  <c r="BA1646" i="1"/>
  <c r="AO1647" i="1"/>
  <c r="AP1647" i="1"/>
  <c r="AR1647" i="1"/>
  <c r="AS1647" i="1"/>
  <c r="AT1647" i="1"/>
  <c r="AU1647" i="1"/>
  <c r="AV1647" i="1"/>
  <c r="AX1647" i="1"/>
  <c r="AY1647" i="1"/>
  <c r="AZ1647" i="1"/>
  <c r="BA1647" i="1"/>
  <c r="AO1648" i="1"/>
  <c r="AP1648" i="1"/>
  <c r="AR1648" i="1"/>
  <c r="AS1648" i="1"/>
  <c r="AT1648" i="1"/>
  <c r="AU1648" i="1"/>
  <c r="AV1648" i="1"/>
  <c r="AX1648" i="1"/>
  <c r="AY1648" i="1"/>
  <c r="AZ1648" i="1"/>
  <c r="BA1648" i="1"/>
  <c r="AO1649" i="1"/>
  <c r="AP1649" i="1"/>
  <c r="AR1649" i="1"/>
  <c r="AS1649" i="1"/>
  <c r="AT1649" i="1"/>
  <c r="AU1649" i="1"/>
  <c r="AV1649" i="1"/>
  <c r="AX1649" i="1"/>
  <c r="AY1649" i="1"/>
  <c r="AZ1649" i="1"/>
  <c r="BA1649" i="1"/>
  <c r="AO1650" i="1"/>
  <c r="AP1650" i="1"/>
  <c r="AR1650" i="1"/>
  <c r="AS1650" i="1"/>
  <c r="AT1650" i="1"/>
  <c r="AU1650" i="1"/>
  <c r="AV1650" i="1"/>
  <c r="AX1650" i="1"/>
  <c r="AY1650" i="1"/>
  <c r="AZ1650" i="1"/>
  <c r="BA1650" i="1"/>
  <c r="AO1651" i="1"/>
  <c r="AP1651" i="1"/>
  <c r="AR1651" i="1"/>
  <c r="AS1651" i="1"/>
  <c r="AT1651" i="1"/>
  <c r="AU1651" i="1"/>
  <c r="AV1651" i="1"/>
  <c r="AX1651" i="1"/>
  <c r="AY1651" i="1"/>
  <c r="AZ1651" i="1"/>
  <c r="BA1651" i="1"/>
  <c r="AO1652" i="1"/>
  <c r="AP1652" i="1"/>
  <c r="AR1652" i="1"/>
  <c r="AS1652" i="1"/>
  <c r="AT1652" i="1"/>
  <c r="AU1652" i="1"/>
  <c r="AV1652" i="1"/>
  <c r="AX1652" i="1"/>
  <c r="AY1652" i="1"/>
  <c r="AZ1652" i="1"/>
  <c r="BA1652" i="1"/>
  <c r="AO1653" i="1"/>
  <c r="AP1653" i="1"/>
  <c r="AR1653" i="1"/>
  <c r="AS1653" i="1"/>
  <c r="AT1653" i="1"/>
  <c r="AU1653" i="1"/>
  <c r="AV1653" i="1"/>
  <c r="AX1653" i="1"/>
  <c r="AY1653" i="1"/>
  <c r="AZ1653" i="1"/>
  <c r="BA1653" i="1"/>
  <c r="AO1654" i="1"/>
  <c r="AP1654" i="1"/>
  <c r="AR1654" i="1"/>
  <c r="AS1654" i="1"/>
  <c r="AT1654" i="1"/>
  <c r="AU1654" i="1"/>
  <c r="AV1654" i="1"/>
  <c r="AX1654" i="1"/>
  <c r="AY1654" i="1"/>
  <c r="AZ1654" i="1"/>
  <c r="BA1654" i="1"/>
  <c r="AO1655" i="1"/>
  <c r="AP1655" i="1"/>
  <c r="AR1655" i="1"/>
  <c r="AS1655" i="1"/>
  <c r="AT1655" i="1"/>
  <c r="AU1655" i="1"/>
  <c r="AV1655" i="1"/>
  <c r="AX1655" i="1"/>
  <c r="AY1655" i="1"/>
  <c r="AZ1655" i="1"/>
  <c r="BA1655" i="1"/>
  <c r="AO1656" i="1"/>
  <c r="AP1656" i="1"/>
  <c r="AR1656" i="1"/>
  <c r="AS1656" i="1"/>
  <c r="AT1656" i="1"/>
  <c r="AU1656" i="1"/>
  <c r="AV1656" i="1"/>
  <c r="AX1656" i="1"/>
  <c r="AY1656" i="1"/>
  <c r="AZ1656" i="1"/>
  <c r="BA1656" i="1"/>
  <c r="AO1657" i="1"/>
  <c r="AP1657" i="1"/>
  <c r="AR1657" i="1"/>
  <c r="AS1657" i="1"/>
  <c r="AT1657" i="1"/>
  <c r="AU1657" i="1"/>
  <c r="AV1657" i="1"/>
  <c r="AX1657" i="1"/>
  <c r="AY1657" i="1"/>
  <c r="AZ1657" i="1"/>
  <c r="BA1657" i="1"/>
  <c r="AO1658" i="1"/>
  <c r="AP1658" i="1"/>
  <c r="AR1658" i="1"/>
  <c r="AS1658" i="1"/>
  <c r="AT1658" i="1"/>
  <c r="AU1658" i="1"/>
  <c r="AV1658" i="1"/>
  <c r="AX1658" i="1"/>
  <c r="AY1658" i="1"/>
  <c r="AZ1658" i="1"/>
  <c r="BA1658" i="1"/>
  <c r="AO1659" i="1"/>
  <c r="AP1659" i="1"/>
  <c r="AR1659" i="1"/>
  <c r="AS1659" i="1"/>
  <c r="AT1659" i="1"/>
  <c r="AU1659" i="1"/>
  <c r="AV1659" i="1"/>
  <c r="AX1659" i="1"/>
  <c r="AY1659" i="1"/>
  <c r="AZ1659" i="1"/>
  <c r="BA1659" i="1"/>
  <c r="AO1660" i="1"/>
  <c r="AP1660" i="1"/>
  <c r="AR1660" i="1"/>
  <c r="AS1660" i="1"/>
  <c r="AT1660" i="1"/>
  <c r="AU1660" i="1"/>
  <c r="AV1660" i="1"/>
  <c r="AX1660" i="1"/>
  <c r="AY1660" i="1"/>
  <c r="AZ1660" i="1"/>
  <c r="BA1660" i="1"/>
  <c r="AO1661" i="1"/>
  <c r="AP1661" i="1"/>
  <c r="AR1661" i="1"/>
  <c r="AS1661" i="1"/>
  <c r="AT1661" i="1"/>
  <c r="AU1661" i="1"/>
  <c r="AV1661" i="1"/>
  <c r="AX1661" i="1"/>
  <c r="AY1661" i="1"/>
  <c r="AZ1661" i="1"/>
  <c r="BA1661" i="1"/>
  <c r="AO1662" i="1"/>
  <c r="AP1662" i="1"/>
  <c r="AR1662" i="1"/>
  <c r="AS1662" i="1"/>
  <c r="AT1662" i="1"/>
  <c r="AU1662" i="1"/>
  <c r="AV1662" i="1"/>
  <c r="AX1662" i="1"/>
  <c r="AY1662" i="1"/>
  <c r="AZ1662" i="1"/>
  <c r="BA1662" i="1"/>
  <c r="AO1663" i="1"/>
  <c r="AP1663" i="1"/>
  <c r="AR1663" i="1"/>
  <c r="AS1663" i="1"/>
  <c r="AT1663" i="1"/>
  <c r="AU1663" i="1"/>
  <c r="AV1663" i="1"/>
  <c r="AX1663" i="1"/>
  <c r="AY1663" i="1"/>
  <c r="AZ1663" i="1"/>
  <c r="BA1663" i="1"/>
  <c r="AO1664" i="1"/>
  <c r="AP1664" i="1"/>
  <c r="AR1664" i="1"/>
  <c r="AS1664" i="1"/>
  <c r="AT1664" i="1"/>
  <c r="AU1664" i="1"/>
  <c r="AV1664" i="1"/>
  <c r="AX1664" i="1"/>
  <c r="AY1664" i="1"/>
  <c r="AZ1664" i="1"/>
  <c r="BA1664" i="1"/>
  <c r="AO1665" i="1"/>
  <c r="AP1665" i="1"/>
  <c r="AR1665" i="1"/>
  <c r="AS1665" i="1"/>
  <c r="AT1665" i="1"/>
  <c r="AU1665" i="1"/>
  <c r="AV1665" i="1"/>
  <c r="AX1665" i="1"/>
  <c r="AY1665" i="1"/>
  <c r="AO1666" i="1"/>
  <c r="AP1666" i="1"/>
  <c r="AR1666" i="1"/>
  <c r="AS1666" i="1"/>
  <c r="AT1666" i="1"/>
  <c r="AU1666" i="1"/>
  <c r="AV1666" i="1"/>
  <c r="AX1666" i="1"/>
  <c r="AY1666" i="1"/>
  <c r="AZ1666" i="1"/>
  <c r="BA1666" i="1"/>
  <c r="AO1667" i="1"/>
  <c r="AP1667" i="1"/>
  <c r="AR1667" i="1"/>
  <c r="AS1667" i="1"/>
  <c r="AT1667" i="1"/>
  <c r="AU1667" i="1"/>
  <c r="AV1667" i="1"/>
  <c r="AX1667" i="1"/>
  <c r="AY1667" i="1"/>
  <c r="AZ1667" i="1"/>
  <c r="BA1667" i="1"/>
  <c r="AO1668" i="1"/>
  <c r="AP1668" i="1"/>
  <c r="AR1668" i="1"/>
  <c r="AS1668" i="1"/>
  <c r="AT1668" i="1"/>
  <c r="AU1668" i="1"/>
  <c r="AV1668" i="1"/>
  <c r="AX1668" i="1"/>
  <c r="AY1668" i="1"/>
  <c r="AZ1668" i="1"/>
  <c r="BA1668" i="1"/>
  <c r="AO1669" i="1"/>
  <c r="AP1669" i="1"/>
  <c r="AR1669" i="1"/>
  <c r="AS1669" i="1"/>
  <c r="AT1669" i="1"/>
  <c r="AU1669" i="1"/>
  <c r="AV1669" i="1"/>
  <c r="AX1669" i="1"/>
  <c r="AY1669" i="1"/>
  <c r="AZ1669" i="1"/>
  <c r="BA1669" i="1"/>
  <c r="AO1670" i="1"/>
  <c r="AP1670" i="1"/>
  <c r="AR1670" i="1"/>
  <c r="AS1670" i="1"/>
  <c r="AT1670" i="1"/>
  <c r="AU1670" i="1"/>
  <c r="AV1670" i="1"/>
  <c r="AX1670" i="1"/>
  <c r="AY1670" i="1"/>
  <c r="AZ1670" i="1"/>
  <c r="BA1670" i="1"/>
  <c r="AO1671" i="1"/>
  <c r="AP1671" i="1"/>
  <c r="AR1671" i="1"/>
  <c r="AS1671" i="1"/>
  <c r="AT1671" i="1"/>
  <c r="AU1671" i="1"/>
  <c r="AV1671" i="1"/>
  <c r="AX1671" i="1"/>
  <c r="AY1671" i="1"/>
  <c r="AZ1671" i="1"/>
  <c r="BA1671" i="1"/>
  <c r="AO1672" i="1"/>
  <c r="AP1672" i="1"/>
  <c r="AR1672" i="1"/>
  <c r="AS1672" i="1"/>
  <c r="AT1672" i="1"/>
  <c r="AU1672" i="1"/>
  <c r="AV1672" i="1"/>
  <c r="AX1672" i="1"/>
  <c r="AY1672" i="1"/>
  <c r="AZ1672" i="1"/>
  <c r="BA1672" i="1"/>
  <c r="AO1673" i="1"/>
  <c r="AP1673" i="1"/>
  <c r="AR1673" i="1"/>
  <c r="AS1673" i="1"/>
  <c r="AT1673" i="1"/>
  <c r="AU1673" i="1"/>
  <c r="AV1673" i="1"/>
  <c r="AX1673" i="1"/>
  <c r="AY1673" i="1"/>
  <c r="AZ1673" i="1"/>
  <c r="BA1673" i="1"/>
  <c r="AO1674" i="1"/>
  <c r="AP1674" i="1"/>
  <c r="AR1674" i="1"/>
  <c r="AS1674" i="1"/>
  <c r="AT1674" i="1"/>
  <c r="AU1674" i="1"/>
  <c r="AV1674" i="1"/>
  <c r="AX1674" i="1"/>
  <c r="AY1674" i="1"/>
  <c r="AZ1674" i="1"/>
  <c r="BA1674" i="1"/>
  <c r="AO1675" i="1"/>
  <c r="AP1675" i="1"/>
  <c r="AR1675" i="1"/>
  <c r="AS1675" i="1"/>
  <c r="AT1675" i="1"/>
  <c r="AU1675" i="1"/>
  <c r="AV1675" i="1"/>
  <c r="AX1675" i="1"/>
  <c r="AY1675" i="1"/>
  <c r="AZ1675" i="1"/>
  <c r="BA1675" i="1"/>
  <c r="AO1676" i="1"/>
  <c r="AP1676" i="1"/>
  <c r="AR1676" i="1"/>
  <c r="AS1676" i="1"/>
  <c r="AT1676" i="1"/>
  <c r="AU1676" i="1"/>
  <c r="AV1676" i="1"/>
  <c r="AX1676" i="1"/>
  <c r="AY1676" i="1"/>
  <c r="AZ1676" i="1"/>
  <c r="BA1676" i="1"/>
  <c r="AO1677" i="1"/>
  <c r="AP1677" i="1"/>
  <c r="AR1677" i="1"/>
  <c r="AS1677" i="1"/>
  <c r="AT1677" i="1"/>
  <c r="AU1677" i="1"/>
  <c r="AV1677" i="1"/>
  <c r="AX1677" i="1"/>
  <c r="AY1677" i="1"/>
  <c r="AZ1677" i="1"/>
  <c r="BA1677" i="1"/>
  <c r="AO1678" i="1"/>
  <c r="AP1678" i="1"/>
  <c r="AR1678" i="1"/>
  <c r="AS1678" i="1"/>
  <c r="AT1678" i="1"/>
  <c r="AU1678" i="1"/>
  <c r="AV1678" i="1"/>
  <c r="AX1678" i="1"/>
  <c r="AY1678" i="1"/>
  <c r="AZ1678" i="1"/>
  <c r="BA1678" i="1"/>
  <c r="AO1679" i="1"/>
  <c r="AP1679" i="1"/>
  <c r="AR1679" i="1"/>
  <c r="AS1679" i="1"/>
  <c r="AT1679" i="1"/>
  <c r="AU1679" i="1"/>
  <c r="AV1679" i="1"/>
  <c r="AX1679" i="1"/>
  <c r="AY1679" i="1"/>
  <c r="AZ1679" i="1"/>
  <c r="BA1679" i="1"/>
  <c r="AO1680" i="1"/>
  <c r="AP1680" i="1"/>
  <c r="AR1680" i="1"/>
  <c r="AS1680" i="1"/>
  <c r="AT1680" i="1"/>
  <c r="AU1680" i="1"/>
  <c r="AV1680" i="1"/>
  <c r="AX1680" i="1"/>
  <c r="AY1680" i="1"/>
  <c r="AZ1680" i="1"/>
  <c r="BA1680" i="1"/>
  <c r="AO1681" i="1"/>
  <c r="AP1681" i="1"/>
  <c r="AR1681" i="1"/>
  <c r="AS1681" i="1"/>
  <c r="AT1681" i="1"/>
  <c r="AU1681" i="1"/>
  <c r="AV1681" i="1"/>
  <c r="AX1681" i="1"/>
  <c r="AY1681" i="1"/>
  <c r="AZ1681" i="1"/>
  <c r="BA1681" i="1"/>
  <c r="AO1682" i="1"/>
  <c r="AP1682" i="1"/>
  <c r="AR1682" i="1"/>
  <c r="AS1682" i="1"/>
  <c r="AT1682" i="1"/>
  <c r="AU1682" i="1"/>
  <c r="AV1682" i="1"/>
  <c r="AX1682" i="1"/>
  <c r="AY1682" i="1"/>
  <c r="AZ1682" i="1"/>
  <c r="BA1682" i="1"/>
  <c r="AO1683" i="1"/>
  <c r="AP1683" i="1"/>
  <c r="AR1683" i="1"/>
  <c r="AS1683" i="1"/>
  <c r="AT1683" i="1"/>
  <c r="AU1683" i="1"/>
  <c r="AV1683" i="1"/>
  <c r="AX1683" i="1"/>
  <c r="AY1683" i="1"/>
  <c r="AZ1683" i="1"/>
  <c r="BA1683" i="1"/>
  <c r="AO1684" i="1"/>
  <c r="AP1684" i="1"/>
  <c r="AR1684" i="1"/>
  <c r="AS1684" i="1"/>
  <c r="AT1684" i="1"/>
  <c r="AU1684" i="1"/>
  <c r="AV1684" i="1"/>
  <c r="AX1684" i="1"/>
  <c r="AY1684" i="1"/>
  <c r="AZ1684" i="1"/>
  <c r="BA1684" i="1"/>
  <c r="AO1685" i="1"/>
  <c r="AP1685" i="1"/>
  <c r="AR1685" i="1"/>
  <c r="AS1685" i="1"/>
  <c r="AT1685" i="1"/>
  <c r="AU1685" i="1"/>
  <c r="AV1685" i="1"/>
  <c r="AX1685" i="1"/>
  <c r="AY1685" i="1"/>
  <c r="AZ1685" i="1"/>
  <c r="BA1685" i="1"/>
  <c r="AO1686" i="1"/>
  <c r="AP1686" i="1"/>
  <c r="AR1686" i="1"/>
  <c r="AS1686" i="1"/>
  <c r="AT1686" i="1"/>
  <c r="AU1686" i="1"/>
  <c r="AV1686" i="1"/>
  <c r="AX1686" i="1"/>
  <c r="AY1686" i="1"/>
  <c r="AZ1686" i="1"/>
  <c r="BA1686" i="1"/>
  <c r="AO1687" i="1"/>
  <c r="AP1687" i="1"/>
  <c r="AR1687" i="1"/>
  <c r="AS1687" i="1"/>
  <c r="AT1687" i="1"/>
  <c r="AU1687" i="1"/>
  <c r="AV1687" i="1"/>
  <c r="AX1687" i="1"/>
  <c r="AY1687" i="1"/>
  <c r="AZ1687" i="1"/>
  <c r="BA1687" i="1"/>
  <c r="AO1688" i="1"/>
  <c r="AP1688" i="1"/>
  <c r="AR1688" i="1"/>
  <c r="AS1688" i="1"/>
  <c r="AT1688" i="1"/>
  <c r="AU1688" i="1"/>
  <c r="AV1688" i="1"/>
  <c r="AX1688" i="1"/>
  <c r="AY1688" i="1"/>
  <c r="AZ1688" i="1"/>
  <c r="BA1688" i="1"/>
  <c r="AO1689" i="1"/>
  <c r="AP1689" i="1"/>
  <c r="AR1689" i="1"/>
  <c r="AS1689" i="1"/>
  <c r="AT1689" i="1"/>
  <c r="AU1689" i="1"/>
  <c r="AV1689" i="1"/>
  <c r="AX1689" i="1"/>
  <c r="AY1689" i="1"/>
  <c r="AZ1689" i="1"/>
  <c r="BA1689" i="1"/>
  <c r="AO1690" i="1"/>
  <c r="AP1690" i="1"/>
  <c r="AR1690" i="1"/>
  <c r="AS1690" i="1"/>
  <c r="AT1690" i="1"/>
  <c r="AU1690" i="1"/>
  <c r="AV1690" i="1"/>
  <c r="AX1690" i="1"/>
  <c r="AY1690" i="1"/>
  <c r="AZ1690" i="1"/>
  <c r="BA1690" i="1"/>
  <c r="AO1691" i="1"/>
  <c r="AP1691" i="1"/>
  <c r="AR1691" i="1"/>
  <c r="AS1691" i="1"/>
  <c r="AT1691" i="1"/>
  <c r="AU1691" i="1"/>
  <c r="AV1691" i="1"/>
  <c r="AX1691" i="1"/>
  <c r="AY1691" i="1"/>
  <c r="AZ1691" i="1"/>
  <c r="BA1691" i="1"/>
  <c r="AO1692" i="1"/>
  <c r="AP1692" i="1"/>
  <c r="AR1692" i="1"/>
  <c r="AS1692" i="1"/>
  <c r="AT1692" i="1"/>
  <c r="AU1692" i="1"/>
  <c r="AV1692" i="1"/>
  <c r="AX1692" i="1"/>
  <c r="AY1692" i="1"/>
  <c r="AZ1692" i="1"/>
  <c r="BA1692" i="1"/>
  <c r="AO1693" i="1"/>
  <c r="AP1693" i="1"/>
  <c r="AR1693" i="1"/>
  <c r="AS1693" i="1"/>
  <c r="AT1693" i="1"/>
  <c r="AU1693" i="1"/>
  <c r="AV1693" i="1"/>
  <c r="AX1693" i="1"/>
  <c r="AY1693" i="1"/>
  <c r="AZ1693" i="1"/>
  <c r="BA1693" i="1"/>
  <c r="AO1694" i="1"/>
  <c r="AP1694" i="1"/>
  <c r="AR1694" i="1"/>
  <c r="AS1694" i="1"/>
  <c r="AT1694" i="1"/>
  <c r="AU1694" i="1"/>
  <c r="AV1694" i="1"/>
  <c r="AX1694" i="1"/>
  <c r="AY1694" i="1"/>
  <c r="AZ1694" i="1"/>
  <c r="BA1694" i="1"/>
  <c r="AO1695" i="1"/>
  <c r="AP1695" i="1"/>
  <c r="AR1695" i="1"/>
  <c r="AS1695" i="1"/>
  <c r="AT1695" i="1"/>
  <c r="AU1695" i="1"/>
  <c r="AV1695" i="1"/>
  <c r="AX1695" i="1"/>
  <c r="AY1695" i="1"/>
  <c r="AZ1695" i="1"/>
  <c r="BA1695" i="1"/>
  <c r="AO1696" i="1"/>
  <c r="AP1696" i="1"/>
  <c r="AR1696" i="1"/>
  <c r="AS1696" i="1"/>
  <c r="AT1696" i="1"/>
  <c r="AU1696" i="1"/>
  <c r="AV1696" i="1"/>
  <c r="AX1696" i="1"/>
  <c r="AY1696" i="1"/>
  <c r="AZ1696" i="1"/>
  <c r="BA1696" i="1"/>
  <c r="AO1697" i="1"/>
  <c r="AP1697" i="1"/>
  <c r="AR1697" i="1"/>
  <c r="AS1697" i="1"/>
  <c r="AT1697" i="1"/>
  <c r="AU1697" i="1"/>
  <c r="AV1697" i="1"/>
  <c r="AX1697" i="1"/>
  <c r="AY1697" i="1"/>
  <c r="AZ1697" i="1"/>
  <c r="BA1697" i="1"/>
  <c r="AO1698" i="1"/>
  <c r="AP1698" i="1"/>
  <c r="AR1698" i="1"/>
  <c r="AS1698" i="1"/>
  <c r="AT1698" i="1"/>
  <c r="AU1698" i="1"/>
  <c r="AV1698" i="1"/>
  <c r="AX1698" i="1"/>
  <c r="AY1698" i="1"/>
  <c r="AZ1698" i="1"/>
  <c r="BA1698" i="1"/>
  <c r="AO1699" i="1"/>
  <c r="AP1699" i="1"/>
  <c r="AR1699" i="1"/>
  <c r="AS1699" i="1"/>
  <c r="AT1699" i="1"/>
  <c r="AU1699" i="1"/>
  <c r="AV1699" i="1"/>
  <c r="AX1699" i="1"/>
  <c r="AY1699" i="1"/>
  <c r="AZ1699" i="1"/>
  <c r="BA1699" i="1"/>
  <c r="AO1700" i="1"/>
  <c r="AP1700" i="1"/>
  <c r="AR1700" i="1"/>
  <c r="AS1700" i="1"/>
  <c r="AT1700" i="1"/>
  <c r="AU1700" i="1"/>
  <c r="AV1700" i="1"/>
  <c r="AX1700" i="1"/>
  <c r="AY1700" i="1"/>
  <c r="AZ1700" i="1"/>
  <c r="BA1700" i="1"/>
  <c r="AO1701" i="1"/>
  <c r="AP1701" i="1"/>
  <c r="AR1701" i="1"/>
  <c r="AS1701" i="1"/>
  <c r="AT1701" i="1"/>
  <c r="AU1701" i="1"/>
  <c r="AV1701" i="1"/>
  <c r="AX1701" i="1"/>
  <c r="AY1701" i="1"/>
  <c r="AZ1701" i="1"/>
  <c r="BA1701" i="1"/>
  <c r="AO1702" i="1"/>
  <c r="AP1702" i="1"/>
  <c r="AR1702" i="1"/>
  <c r="AS1702" i="1"/>
  <c r="AT1702" i="1"/>
  <c r="AU1702" i="1"/>
  <c r="AV1702" i="1"/>
  <c r="AX1702" i="1"/>
  <c r="AY1702" i="1"/>
  <c r="AZ1702" i="1"/>
  <c r="BA1702" i="1"/>
  <c r="AO1703" i="1"/>
  <c r="AP1703" i="1"/>
  <c r="AR1703" i="1"/>
  <c r="AS1703" i="1"/>
  <c r="AT1703" i="1"/>
  <c r="AU1703" i="1"/>
  <c r="AV1703" i="1"/>
  <c r="AX1703" i="1"/>
  <c r="AY1703" i="1"/>
  <c r="AZ1703" i="1"/>
  <c r="BA1703" i="1"/>
  <c r="AO1704" i="1"/>
  <c r="AP1704" i="1"/>
  <c r="AR1704" i="1"/>
  <c r="AS1704" i="1"/>
  <c r="AT1704" i="1"/>
  <c r="AU1704" i="1"/>
  <c r="AV1704" i="1"/>
  <c r="AX1704" i="1"/>
  <c r="AY1704" i="1"/>
  <c r="AZ1704" i="1"/>
  <c r="BA1704" i="1"/>
  <c r="AO1705" i="1"/>
  <c r="AP1705" i="1"/>
  <c r="AR1705" i="1"/>
  <c r="AS1705" i="1"/>
  <c r="AT1705" i="1"/>
  <c r="AU1705" i="1"/>
  <c r="AV1705" i="1"/>
  <c r="AX1705" i="1"/>
  <c r="AY1705" i="1"/>
  <c r="AZ1705" i="1"/>
  <c r="BA1705" i="1"/>
  <c r="AO1706" i="1"/>
  <c r="AP1706" i="1"/>
  <c r="AR1706" i="1"/>
  <c r="AS1706" i="1"/>
  <c r="AT1706" i="1"/>
  <c r="AU1706" i="1"/>
  <c r="AV1706" i="1"/>
  <c r="AX1706" i="1"/>
  <c r="AY1706" i="1"/>
  <c r="AZ1706" i="1"/>
  <c r="BA1706" i="1"/>
  <c r="AO1707" i="1"/>
  <c r="AP1707" i="1"/>
  <c r="AR1707" i="1"/>
  <c r="AS1707" i="1"/>
  <c r="AT1707" i="1"/>
  <c r="AU1707" i="1"/>
  <c r="AV1707" i="1"/>
  <c r="AX1707" i="1"/>
  <c r="AY1707" i="1"/>
  <c r="AZ1707" i="1"/>
  <c r="BA1707" i="1"/>
  <c r="AO1708" i="1"/>
  <c r="AP1708" i="1"/>
  <c r="AR1708" i="1"/>
  <c r="AS1708" i="1"/>
  <c r="AT1708" i="1"/>
  <c r="AU1708" i="1"/>
  <c r="AV1708" i="1"/>
  <c r="AX1708" i="1"/>
  <c r="AY1708" i="1"/>
  <c r="AZ1708" i="1"/>
  <c r="BA1708" i="1"/>
  <c r="AO1709" i="1"/>
  <c r="AP1709" i="1"/>
  <c r="AR1709" i="1"/>
  <c r="AS1709" i="1"/>
  <c r="AT1709" i="1"/>
  <c r="AU1709" i="1"/>
  <c r="AV1709" i="1"/>
  <c r="AX1709" i="1"/>
  <c r="AY1709" i="1"/>
  <c r="AZ1709" i="1"/>
  <c r="BA1709" i="1"/>
  <c r="AO1710" i="1"/>
  <c r="AP1710" i="1"/>
  <c r="AR1710" i="1"/>
  <c r="AS1710" i="1"/>
  <c r="AT1710" i="1"/>
  <c r="AU1710" i="1"/>
  <c r="AV1710" i="1"/>
  <c r="AX1710" i="1"/>
  <c r="AY1710" i="1"/>
  <c r="AZ1710" i="1"/>
  <c r="BA1710" i="1"/>
  <c r="AO1711" i="1"/>
  <c r="AP1711" i="1"/>
  <c r="AR1711" i="1"/>
  <c r="AS1711" i="1"/>
  <c r="AT1711" i="1"/>
  <c r="AU1711" i="1"/>
  <c r="AV1711" i="1"/>
  <c r="AX1711" i="1"/>
  <c r="AY1711" i="1"/>
  <c r="AZ1711" i="1"/>
  <c r="BA1711" i="1"/>
  <c r="AO1712" i="1"/>
  <c r="AP1712" i="1"/>
  <c r="AR1712" i="1"/>
  <c r="AS1712" i="1"/>
  <c r="AT1712" i="1"/>
  <c r="AU1712" i="1"/>
  <c r="AV1712" i="1"/>
  <c r="AX1712" i="1"/>
  <c r="AY1712" i="1"/>
  <c r="AZ1712" i="1"/>
  <c r="BA1712" i="1"/>
  <c r="AO1713" i="1"/>
  <c r="AP1713" i="1"/>
  <c r="AR1713" i="1"/>
  <c r="AS1713" i="1"/>
  <c r="AT1713" i="1"/>
  <c r="AU1713" i="1"/>
  <c r="AV1713" i="1"/>
  <c r="AX1713" i="1"/>
  <c r="AY1713" i="1"/>
  <c r="AZ1713" i="1"/>
  <c r="BA1713" i="1"/>
  <c r="AO1714" i="1"/>
  <c r="AP1714" i="1"/>
  <c r="AR1714" i="1"/>
  <c r="AS1714" i="1"/>
  <c r="AT1714" i="1"/>
  <c r="AU1714" i="1"/>
  <c r="AV1714" i="1"/>
  <c r="AX1714" i="1"/>
  <c r="AY1714" i="1"/>
  <c r="AZ1714" i="1"/>
  <c r="BA1714" i="1"/>
  <c r="AO1715" i="1"/>
  <c r="AP1715" i="1"/>
  <c r="AR1715" i="1"/>
  <c r="AS1715" i="1"/>
  <c r="AT1715" i="1"/>
  <c r="AU1715" i="1"/>
  <c r="AV1715" i="1"/>
  <c r="AX1715" i="1"/>
  <c r="AY1715" i="1"/>
  <c r="AZ1715" i="1"/>
  <c r="BA1715" i="1"/>
  <c r="AO1716" i="1"/>
  <c r="AP1716" i="1"/>
  <c r="AR1716" i="1"/>
  <c r="AS1716" i="1"/>
  <c r="AT1716" i="1"/>
  <c r="AU1716" i="1"/>
  <c r="AV1716" i="1"/>
  <c r="AX1716" i="1"/>
  <c r="AY1716" i="1"/>
  <c r="AZ1716" i="1"/>
  <c r="BA1716" i="1"/>
  <c r="AO1717" i="1"/>
  <c r="AP1717" i="1"/>
  <c r="AR1717" i="1"/>
  <c r="AS1717" i="1"/>
  <c r="AT1717" i="1"/>
  <c r="AU1717" i="1"/>
  <c r="AV1717" i="1"/>
  <c r="AX1717" i="1"/>
  <c r="AY1717" i="1"/>
  <c r="AZ1717" i="1"/>
  <c r="BA1717" i="1"/>
  <c r="AO1718" i="1"/>
  <c r="AP1718" i="1"/>
  <c r="AR1718" i="1"/>
  <c r="AS1718" i="1"/>
  <c r="AT1718" i="1"/>
  <c r="AU1718" i="1"/>
  <c r="AV1718" i="1"/>
  <c r="AX1718" i="1"/>
  <c r="AY1718" i="1"/>
  <c r="AZ1718" i="1"/>
  <c r="BA1718" i="1"/>
  <c r="AO1719" i="1"/>
  <c r="AP1719" i="1"/>
  <c r="AR1719" i="1"/>
  <c r="AS1719" i="1"/>
  <c r="AT1719" i="1"/>
  <c r="AU1719" i="1"/>
  <c r="AV1719" i="1"/>
  <c r="AX1719" i="1"/>
  <c r="AY1719" i="1"/>
  <c r="AZ1719" i="1"/>
  <c r="BA1719" i="1"/>
  <c r="AO1720" i="1"/>
  <c r="AP1720" i="1"/>
  <c r="AR1720" i="1"/>
  <c r="AS1720" i="1"/>
  <c r="AT1720" i="1"/>
  <c r="AU1720" i="1"/>
  <c r="AV1720" i="1"/>
  <c r="AX1720" i="1"/>
  <c r="AY1720" i="1"/>
  <c r="AZ1720" i="1"/>
  <c r="BA1720" i="1"/>
  <c r="AO1721" i="1"/>
  <c r="AP1721" i="1"/>
  <c r="AR1721" i="1"/>
  <c r="AS1721" i="1"/>
  <c r="AT1721" i="1"/>
  <c r="AU1721" i="1"/>
  <c r="AV1721" i="1"/>
  <c r="AX1721" i="1"/>
  <c r="AY1721" i="1"/>
  <c r="AZ1721" i="1"/>
  <c r="BA1721" i="1"/>
  <c r="AO1722" i="1"/>
  <c r="AP1722" i="1"/>
  <c r="AR1722" i="1"/>
  <c r="AS1722" i="1"/>
  <c r="AT1722" i="1"/>
  <c r="AU1722" i="1"/>
  <c r="AV1722" i="1"/>
  <c r="AX1722" i="1"/>
  <c r="AY1722" i="1"/>
  <c r="AZ1722" i="1"/>
  <c r="BA1722" i="1"/>
  <c r="AO1723" i="1"/>
  <c r="AP1723" i="1"/>
  <c r="AR1723" i="1"/>
  <c r="AS1723" i="1"/>
  <c r="AT1723" i="1"/>
  <c r="AU1723" i="1"/>
  <c r="AV1723" i="1"/>
  <c r="AX1723" i="1"/>
  <c r="AY1723" i="1"/>
  <c r="AZ1723" i="1"/>
  <c r="BA1723" i="1"/>
  <c r="AO1724" i="1"/>
  <c r="AP1724" i="1"/>
  <c r="AR1724" i="1"/>
  <c r="AS1724" i="1"/>
  <c r="AT1724" i="1"/>
  <c r="AU1724" i="1"/>
  <c r="AV1724" i="1"/>
  <c r="AX1724" i="1"/>
  <c r="AY1724" i="1"/>
  <c r="AZ1724" i="1"/>
  <c r="BA1724" i="1"/>
  <c r="AO1725" i="1"/>
  <c r="AP1725" i="1"/>
  <c r="AR1725" i="1"/>
  <c r="AS1725" i="1"/>
  <c r="AT1725" i="1"/>
  <c r="AU1725" i="1"/>
  <c r="AV1725" i="1"/>
  <c r="AX1725" i="1"/>
  <c r="AY1725" i="1"/>
  <c r="AZ1725" i="1"/>
  <c r="BA1725" i="1"/>
  <c r="AO1726" i="1"/>
  <c r="AP1726" i="1"/>
  <c r="AR1726" i="1"/>
  <c r="AS1726" i="1"/>
  <c r="AT1726" i="1"/>
  <c r="AU1726" i="1"/>
  <c r="AV1726" i="1"/>
  <c r="AX1726" i="1"/>
  <c r="AY1726" i="1"/>
  <c r="AZ1726" i="1"/>
  <c r="BA1726" i="1"/>
  <c r="AO1727" i="1"/>
  <c r="AP1727" i="1"/>
  <c r="AR1727" i="1"/>
  <c r="AS1727" i="1"/>
  <c r="AT1727" i="1"/>
  <c r="AU1727" i="1"/>
  <c r="AV1727" i="1"/>
  <c r="AX1727" i="1"/>
  <c r="AY1727" i="1"/>
  <c r="AZ1727" i="1"/>
  <c r="BA1727" i="1"/>
  <c r="AO1728" i="1"/>
  <c r="AP1728" i="1"/>
  <c r="AR1728" i="1"/>
  <c r="AS1728" i="1"/>
  <c r="AT1728" i="1"/>
  <c r="AU1728" i="1"/>
  <c r="AV1728" i="1"/>
  <c r="AX1728" i="1"/>
  <c r="AY1728" i="1"/>
  <c r="AZ1728" i="1"/>
  <c r="BA1728" i="1"/>
  <c r="AO1729" i="1"/>
  <c r="AP1729" i="1"/>
  <c r="AR1729" i="1"/>
  <c r="AS1729" i="1"/>
  <c r="AT1729" i="1"/>
  <c r="AU1729" i="1"/>
  <c r="AV1729" i="1"/>
  <c r="AX1729" i="1"/>
  <c r="AY1729" i="1"/>
  <c r="AZ1729" i="1"/>
  <c r="BA1729" i="1"/>
  <c r="AO1730" i="1"/>
  <c r="AP1730" i="1"/>
  <c r="AR1730" i="1"/>
  <c r="AS1730" i="1"/>
  <c r="AT1730" i="1"/>
  <c r="AU1730" i="1"/>
  <c r="AV1730" i="1"/>
  <c r="AX1730" i="1"/>
  <c r="AY1730" i="1"/>
  <c r="AZ1730" i="1"/>
  <c r="BA1730" i="1"/>
  <c r="AO1731" i="1"/>
  <c r="AP1731" i="1"/>
  <c r="AR1731" i="1"/>
  <c r="AS1731" i="1"/>
  <c r="AT1731" i="1"/>
  <c r="AU1731" i="1"/>
  <c r="AV1731" i="1"/>
  <c r="AX1731" i="1"/>
  <c r="AY1731" i="1"/>
  <c r="AZ1731" i="1"/>
  <c r="BA1731" i="1"/>
  <c r="AO1732" i="1"/>
  <c r="AP1732" i="1"/>
  <c r="AR1732" i="1"/>
  <c r="AS1732" i="1"/>
  <c r="AT1732" i="1"/>
  <c r="AU1732" i="1"/>
  <c r="AV1732" i="1"/>
  <c r="AX1732" i="1"/>
  <c r="AY1732" i="1"/>
  <c r="AZ1732" i="1"/>
  <c r="BA1732" i="1"/>
  <c r="AO1733" i="1"/>
  <c r="AP1733" i="1"/>
  <c r="AR1733" i="1"/>
  <c r="AS1733" i="1"/>
  <c r="AT1733" i="1"/>
  <c r="AU1733" i="1"/>
  <c r="AV1733" i="1"/>
  <c r="AX1733" i="1"/>
  <c r="AY1733" i="1"/>
  <c r="AZ1733" i="1"/>
  <c r="BA1733" i="1"/>
  <c r="AO1734" i="1"/>
  <c r="AP1734" i="1"/>
  <c r="AR1734" i="1"/>
  <c r="AS1734" i="1"/>
  <c r="AT1734" i="1"/>
  <c r="AU1734" i="1"/>
  <c r="AV1734" i="1"/>
  <c r="AX1734" i="1"/>
  <c r="AY1734" i="1"/>
  <c r="AZ1734" i="1"/>
  <c r="BA1734" i="1"/>
  <c r="AO1735" i="1"/>
  <c r="AP1735" i="1"/>
  <c r="AR1735" i="1"/>
  <c r="AS1735" i="1"/>
  <c r="AT1735" i="1"/>
  <c r="AU1735" i="1"/>
  <c r="AV1735" i="1"/>
  <c r="AX1735" i="1"/>
  <c r="AY1735" i="1"/>
  <c r="AO1736" i="1"/>
  <c r="AP1736" i="1"/>
  <c r="AR1736" i="1"/>
  <c r="AS1736" i="1"/>
  <c r="AT1736" i="1"/>
  <c r="AU1736" i="1"/>
  <c r="AV1736" i="1"/>
  <c r="AX1736" i="1"/>
  <c r="AY1736" i="1"/>
  <c r="AZ1736" i="1"/>
  <c r="BA1736" i="1"/>
  <c r="AO1737" i="1"/>
  <c r="AP1737" i="1"/>
  <c r="AR1737" i="1"/>
  <c r="AS1737" i="1"/>
  <c r="AT1737" i="1"/>
  <c r="AU1737" i="1"/>
  <c r="AV1737" i="1"/>
  <c r="AX1737" i="1"/>
  <c r="AY1737" i="1"/>
  <c r="AZ1737" i="1"/>
  <c r="BA1737" i="1"/>
  <c r="AO1738" i="1"/>
  <c r="AP1738" i="1"/>
  <c r="AR1738" i="1"/>
  <c r="AS1738" i="1"/>
  <c r="AT1738" i="1"/>
  <c r="AU1738" i="1"/>
  <c r="AV1738" i="1"/>
  <c r="AX1738" i="1"/>
  <c r="AY1738" i="1"/>
  <c r="AZ1738" i="1"/>
  <c r="BA1738" i="1"/>
  <c r="AO1739" i="1"/>
  <c r="AP1739" i="1"/>
  <c r="AR1739" i="1"/>
  <c r="AS1739" i="1"/>
  <c r="AT1739" i="1"/>
  <c r="AU1739" i="1"/>
  <c r="AV1739" i="1"/>
  <c r="AX1739" i="1"/>
  <c r="AY1739" i="1"/>
  <c r="AZ1739" i="1"/>
  <c r="BA1739" i="1"/>
  <c r="AO1740" i="1"/>
  <c r="AP1740" i="1"/>
  <c r="AR1740" i="1"/>
  <c r="AS1740" i="1"/>
  <c r="AT1740" i="1"/>
  <c r="AU1740" i="1"/>
  <c r="AV1740" i="1"/>
  <c r="AX1740" i="1"/>
  <c r="AY1740" i="1"/>
  <c r="AZ1740" i="1"/>
  <c r="BA1740" i="1"/>
  <c r="AO1741" i="1"/>
  <c r="AP1741" i="1"/>
  <c r="AR1741" i="1"/>
  <c r="AS1741" i="1"/>
  <c r="AT1741" i="1"/>
  <c r="AU1741" i="1"/>
  <c r="AV1741" i="1"/>
  <c r="AX1741" i="1"/>
  <c r="AY1741" i="1"/>
  <c r="AZ1741" i="1"/>
  <c r="BA1741" i="1"/>
  <c r="AO1742" i="1"/>
  <c r="AP1742" i="1"/>
  <c r="AR1742" i="1"/>
  <c r="AS1742" i="1"/>
  <c r="AT1742" i="1"/>
  <c r="AU1742" i="1"/>
  <c r="AV1742" i="1"/>
  <c r="AX1742" i="1"/>
  <c r="AY1742" i="1"/>
  <c r="AZ1742" i="1"/>
  <c r="BA1742" i="1"/>
  <c r="AO1743" i="1"/>
  <c r="AP1743" i="1"/>
  <c r="AR1743" i="1"/>
  <c r="AS1743" i="1"/>
  <c r="AT1743" i="1"/>
  <c r="AU1743" i="1"/>
  <c r="AV1743" i="1"/>
  <c r="AX1743" i="1"/>
  <c r="AY1743" i="1"/>
  <c r="AZ1743" i="1"/>
  <c r="BA1743" i="1"/>
  <c r="AO1744" i="1"/>
  <c r="AP1744" i="1"/>
  <c r="AR1744" i="1"/>
  <c r="AS1744" i="1"/>
  <c r="AT1744" i="1"/>
  <c r="AU1744" i="1"/>
  <c r="AV1744" i="1"/>
  <c r="AX1744" i="1"/>
  <c r="AY1744" i="1"/>
  <c r="AZ1744" i="1"/>
  <c r="BA1744" i="1"/>
  <c r="AO1745" i="1"/>
  <c r="AP1745" i="1"/>
  <c r="AR1745" i="1"/>
  <c r="AS1745" i="1"/>
  <c r="AT1745" i="1"/>
  <c r="AU1745" i="1"/>
  <c r="AV1745" i="1"/>
  <c r="AX1745" i="1"/>
  <c r="AY1745" i="1"/>
  <c r="AZ1745" i="1"/>
  <c r="BA1745" i="1"/>
  <c r="AO1746" i="1"/>
  <c r="AP1746" i="1"/>
  <c r="AR1746" i="1"/>
  <c r="AS1746" i="1"/>
  <c r="AT1746" i="1"/>
  <c r="AU1746" i="1"/>
  <c r="AV1746" i="1"/>
  <c r="AX1746" i="1"/>
  <c r="AY1746" i="1"/>
  <c r="AZ1746" i="1"/>
  <c r="BA1746" i="1"/>
  <c r="AO1747" i="1"/>
  <c r="AP1747" i="1"/>
  <c r="AR1747" i="1"/>
  <c r="AS1747" i="1"/>
  <c r="AT1747" i="1"/>
  <c r="AU1747" i="1"/>
  <c r="AV1747" i="1"/>
  <c r="AX1747" i="1"/>
  <c r="AY1747" i="1"/>
  <c r="AZ1747" i="1"/>
  <c r="BA1747" i="1"/>
  <c r="AO1748" i="1"/>
  <c r="AP1748" i="1"/>
  <c r="AR1748" i="1"/>
  <c r="AS1748" i="1"/>
  <c r="AT1748" i="1"/>
  <c r="AU1748" i="1"/>
  <c r="AV1748" i="1"/>
  <c r="AX1748" i="1"/>
  <c r="AY1748" i="1"/>
  <c r="AZ1748" i="1"/>
  <c r="BA1748" i="1"/>
  <c r="AO1749" i="1"/>
  <c r="AP1749" i="1"/>
  <c r="AR1749" i="1"/>
  <c r="AS1749" i="1"/>
  <c r="AT1749" i="1"/>
  <c r="AU1749" i="1"/>
  <c r="AV1749" i="1"/>
  <c r="AX1749" i="1"/>
  <c r="AY1749" i="1"/>
  <c r="AZ1749" i="1"/>
  <c r="BA1749" i="1"/>
  <c r="AO1750" i="1"/>
  <c r="AP1750" i="1"/>
  <c r="AR1750" i="1"/>
  <c r="AS1750" i="1"/>
  <c r="AT1750" i="1"/>
  <c r="AU1750" i="1"/>
  <c r="AV1750" i="1"/>
  <c r="AX1750" i="1"/>
  <c r="AY1750" i="1"/>
  <c r="AZ1750" i="1"/>
  <c r="BA1750" i="1"/>
  <c r="AO1751" i="1"/>
  <c r="AP1751" i="1"/>
  <c r="AR1751" i="1"/>
  <c r="AS1751" i="1"/>
  <c r="AT1751" i="1"/>
  <c r="AU1751" i="1"/>
  <c r="AV1751" i="1"/>
  <c r="AX1751" i="1"/>
  <c r="AY1751" i="1"/>
  <c r="AZ1751" i="1"/>
  <c r="BA1751" i="1"/>
  <c r="AO1752" i="1"/>
  <c r="AP1752" i="1"/>
  <c r="AR1752" i="1"/>
  <c r="AS1752" i="1"/>
  <c r="AT1752" i="1"/>
  <c r="AU1752" i="1"/>
  <c r="AV1752" i="1"/>
  <c r="AX1752" i="1"/>
  <c r="AY1752" i="1"/>
  <c r="AZ1752" i="1"/>
  <c r="BA1752" i="1"/>
  <c r="AO1753" i="1"/>
  <c r="AP1753" i="1"/>
  <c r="AR1753" i="1"/>
  <c r="AS1753" i="1"/>
  <c r="AT1753" i="1"/>
  <c r="AU1753" i="1"/>
  <c r="AV1753" i="1"/>
  <c r="AX1753" i="1"/>
  <c r="AY1753" i="1"/>
  <c r="AZ1753" i="1"/>
  <c r="BA1753" i="1"/>
  <c r="AO1754" i="1"/>
  <c r="AP1754" i="1"/>
  <c r="AR1754" i="1"/>
  <c r="AS1754" i="1"/>
  <c r="AT1754" i="1"/>
  <c r="AU1754" i="1"/>
  <c r="AV1754" i="1"/>
  <c r="AX1754" i="1"/>
  <c r="AY1754" i="1"/>
  <c r="AZ1754" i="1"/>
  <c r="BA1754" i="1"/>
  <c r="AO1755" i="1"/>
  <c r="AP1755" i="1"/>
  <c r="AR1755" i="1"/>
  <c r="AS1755" i="1"/>
  <c r="AT1755" i="1"/>
  <c r="AU1755" i="1"/>
  <c r="AV1755" i="1"/>
  <c r="AX1755" i="1"/>
  <c r="AY1755" i="1"/>
  <c r="AZ1755" i="1"/>
  <c r="BA1755" i="1"/>
  <c r="AO1756" i="1"/>
  <c r="AP1756" i="1"/>
  <c r="AR1756" i="1"/>
  <c r="AS1756" i="1"/>
  <c r="AT1756" i="1"/>
  <c r="AU1756" i="1"/>
  <c r="AV1756" i="1"/>
  <c r="AX1756" i="1"/>
  <c r="AY1756" i="1"/>
  <c r="AZ1756" i="1"/>
  <c r="BA1756" i="1"/>
  <c r="AO1757" i="1"/>
  <c r="AP1757" i="1"/>
  <c r="AR1757" i="1"/>
  <c r="AS1757" i="1"/>
  <c r="AT1757" i="1"/>
  <c r="AU1757" i="1"/>
  <c r="AV1757" i="1"/>
  <c r="AX1757" i="1"/>
  <c r="AY1757" i="1"/>
  <c r="AZ1757" i="1"/>
  <c r="BA1757" i="1"/>
  <c r="AO1758" i="1"/>
  <c r="AP1758" i="1"/>
  <c r="AR1758" i="1"/>
  <c r="AS1758" i="1"/>
  <c r="AT1758" i="1"/>
  <c r="AU1758" i="1"/>
  <c r="AV1758" i="1"/>
  <c r="AX1758" i="1"/>
  <c r="AY1758" i="1"/>
  <c r="AZ1758" i="1"/>
  <c r="BA1758" i="1"/>
  <c r="AO1760" i="1"/>
  <c r="AP1760" i="1"/>
  <c r="AR1760" i="1"/>
  <c r="AS1760" i="1"/>
  <c r="AT1760" i="1"/>
  <c r="AU1760" i="1"/>
  <c r="AV1760" i="1"/>
  <c r="AX1760" i="1"/>
  <c r="AY1760" i="1"/>
  <c r="AZ1760" i="1"/>
  <c r="BA1760" i="1"/>
  <c r="AO1761" i="1"/>
  <c r="AP1761" i="1"/>
  <c r="AR1761" i="1"/>
  <c r="AS1761" i="1"/>
  <c r="AT1761" i="1"/>
  <c r="AU1761" i="1"/>
  <c r="AV1761" i="1"/>
  <c r="AX1761" i="1"/>
  <c r="AY1761" i="1"/>
  <c r="AZ1761" i="1"/>
  <c r="BA1761" i="1"/>
  <c r="AO1762" i="1"/>
  <c r="AP1762" i="1"/>
  <c r="AR1762" i="1"/>
  <c r="AS1762" i="1"/>
  <c r="AT1762" i="1"/>
  <c r="AU1762" i="1"/>
  <c r="AV1762" i="1"/>
  <c r="AX1762" i="1"/>
  <c r="AY1762" i="1"/>
  <c r="AZ1762" i="1"/>
  <c r="BA1762" i="1"/>
  <c r="AO1763" i="1"/>
  <c r="AP1763" i="1"/>
  <c r="AR1763" i="1"/>
  <c r="AS1763" i="1"/>
  <c r="AT1763" i="1"/>
  <c r="AU1763" i="1"/>
  <c r="AV1763" i="1"/>
  <c r="AX1763" i="1"/>
  <c r="AY1763" i="1"/>
  <c r="AZ1763" i="1"/>
  <c r="BA1763" i="1"/>
  <c r="AO1764" i="1"/>
  <c r="AP1764" i="1"/>
  <c r="AR1764" i="1"/>
  <c r="AS1764" i="1"/>
  <c r="AT1764" i="1"/>
  <c r="AU1764" i="1"/>
  <c r="AV1764" i="1"/>
  <c r="AX1764" i="1"/>
  <c r="AY1764" i="1"/>
  <c r="AZ1764" i="1"/>
  <c r="BA1764" i="1"/>
  <c r="AO1765" i="1"/>
  <c r="AP1765" i="1"/>
  <c r="AR1765" i="1"/>
  <c r="AS1765" i="1"/>
  <c r="AT1765" i="1"/>
  <c r="AU1765" i="1"/>
  <c r="AV1765" i="1"/>
  <c r="AX1765" i="1"/>
  <c r="AY1765" i="1"/>
  <c r="AZ1765" i="1"/>
  <c r="BA1765" i="1"/>
  <c r="AO1766" i="1"/>
  <c r="AP1766" i="1"/>
  <c r="AR1766" i="1"/>
  <c r="AS1766" i="1"/>
  <c r="AT1766" i="1"/>
  <c r="AU1766" i="1"/>
  <c r="AV1766" i="1"/>
  <c r="AX1766" i="1"/>
  <c r="AY1766" i="1"/>
  <c r="AZ1766" i="1"/>
  <c r="BA1766" i="1"/>
  <c r="AO1767" i="1"/>
  <c r="AP1767" i="1"/>
  <c r="AR1767" i="1"/>
  <c r="AS1767" i="1"/>
  <c r="AT1767" i="1"/>
  <c r="AU1767" i="1"/>
  <c r="AV1767" i="1"/>
  <c r="AX1767" i="1"/>
  <c r="AY1767" i="1"/>
  <c r="AZ1767" i="1"/>
  <c r="BA1767" i="1"/>
  <c r="AO1768" i="1"/>
  <c r="AP1768" i="1"/>
  <c r="AR1768" i="1"/>
  <c r="AS1768" i="1"/>
  <c r="AT1768" i="1"/>
  <c r="AU1768" i="1"/>
  <c r="AV1768" i="1"/>
  <c r="AX1768" i="1"/>
  <c r="AY1768" i="1"/>
  <c r="AZ1768" i="1"/>
  <c r="BA1768" i="1"/>
  <c r="AO1769" i="1"/>
  <c r="AP1769" i="1"/>
  <c r="AR1769" i="1"/>
  <c r="AS1769" i="1"/>
  <c r="AT1769" i="1"/>
  <c r="AU1769" i="1"/>
  <c r="AV1769" i="1"/>
  <c r="AX1769" i="1"/>
  <c r="AY1769" i="1"/>
  <c r="AZ1769" i="1"/>
  <c r="BA1769" i="1"/>
  <c r="AO1770" i="1"/>
  <c r="AP1770" i="1"/>
  <c r="AR1770" i="1"/>
  <c r="AS1770" i="1"/>
  <c r="AT1770" i="1"/>
  <c r="AU1770" i="1"/>
  <c r="AV1770" i="1"/>
  <c r="AX1770" i="1"/>
  <c r="AY1770" i="1"/>
  <c r="AZ1770" i="1"/>
  <c r="BA1770" i="1"/>
  <c r="AO1771" i="1"/>
  <c r="AP1771" i="1"/>
  <c r="AR1771" i="1"/>
  <c r="AS1771" i="1"/>
  <c r="AT1771" i="1"/>
  <c r="AU1771" i="1"/>
  <c r="AV1771" i="1"/>
  <c r="AX1771" i="1"/>
  <c r="AY1771" i="1"/>
  <c r="AZ1771" i="1"/>
  <c r="BA1771" i="1"/>
  <c r="AO1772" i="1"/>
  <c r="AP1772" i="1"/>
  <c r="AR1772" i="1"/>
  <c r="AS1772" i="1"/>
  <c r="AT1772" i="1"/>
  <c r="AU1772" i="1"/>
  <c r="AV1772" i="1"/>
  <c r="AX1772" i="1"/>
  <c r="AY1772" i="1"/>
  <c r="AZ1772" i="1"/>
  <c r="BA1772" i="1"/>
  <c r="AO1773" i="1"/>
  <c r="AP1773" i="1"/>
  <c r="AR1773" i="1"/>
  <c r="AS1773" i="1"/>
  <c r="AT1773" i="1"/>
  <c r="AU1773" i="1"/>
  <c r="AV1773" i="1"/>
  <c r="AX1773" i="1"/>
  <c r="AY1773" i="1"/>
  <c r="AZ1773" i="1"/>
  <c r="BA1773" i="1"/>
  <c r="AO1774" i="1"/>
  <c r="AP1774" i="1"/>
  <c r="AR1774" i="1"/>
  <c r="AS1774" i="1"/>
  <c r="AT1774" i="1"/>
  <c r="AU1774" i="1"/>
  <c r="AV1774" i="1"/>
  <c r="AX1774" i="1"/>
  <c r="AY1774" i="1"/>
  <c r="AZ1774" i="1"/>
  <c r="BA1774" i="1"/>
  <c r="AO1775" i="1"/>
  <c r="AP1775" i="1"/>
  <c r="AR1775" i="1"/>
  <c r="AS1775" i="1"/>
  <c r="AT1775" i="1"/>
  <c r="AU1775" i="1"/>
  <c r="AV1775" i="1"/>
  <c r="AX1775" i="1"/>
  <c r="AY1775" i="1"/>
  <c r="AZ1775" i="1"/>
  <c r="BA1775" i="1"/>
  <c r="AO1776" i="1"/>
  <c r="AP1776" i="1"/>
  <c r="AR1776" i="1"/>
  <c r="AS1776" i="1"/>
  <c r="AT1776" i="1"/>
  <c r="AU1776" i="1"/>
  <c r="AV1776" i="1"/>
  <c r="AX1776" i="1"/>
  <c r="AY1776" i="1"/>
  <c r="AZ1776" i="1"/>
  <c r="BA1776" i="1"/>
  <c r="AO1777" i="1"/>
  <c r="AP1777" i="1"/>
  <c r="AR1777" i="1"/>
  <c r="AS1777" i="1"/>
  <c r="AT1777" i="1"/>
  <c r="AU1777" i="1"/>
  <c r="AV1777" i="1"/>
  <c r="AX1777" i="1"/>
  <c r="AY1777" i="1"/>
  <c r="AZ1777" i="1"/>
  <c r="BA1777" i="1"/>
  <c r="AO1778" i="1"/>
  <c r="AP1778" i="1"/>
  <c r="AR1778" i="1"/>
  <c r="AS1778" i="1"/>
  <c r="AT1778" i="1"/>
  <c r="AU1778" i="1"/>
  <c r="AV1778" i="1"/>
  <c r="AX1778" i="1"/>
  <c r="AY1778" i="1"/>
  <c r="AZ1778" i="1"/>
  <c r="BA1778" i="1"/>
  <c r="AO1779" i="1"/>
  <c r="AP1779" i="1"/>
  <c r="AR1779" i="1"/>
  <c r="AS1779" i="1"/>
  <c r="AT1779" i="1"/>
  <c r="AU1779" i="1"/>
  <c r="AV1779" i="1"/>
  <c r="AX1779" i="1"/>
  <c r="AY1779" i="1"/>
  <c r="AZ1779" i="1"/>
  <c r="BA1779" i="1"/>
  <c r="AO1780" i="1"/>
  <c r="AP1780" i="1"/>
  <c r="AR1780" i="1"/>
  <c r="AS1780" i="1"/>
  <c r="AT1780" i="1"/>
  <c r="AU1780" i="1"/>
  <c r="AV1780" i="1"/>
  <c r="AX1780" i="1"/>
  <c r="AY1780" i="1"/>
  <c r="AZ1780" i="1"/>
  <c r="BA1780" i="1"/>
  <c r="AO1781" i="1"/>
  <c r="AP1781" i="1"/>
  <c r="AR1781" i="1"/>
  <c r="AS1781" i="1"/>
  <c r="AT1781" i="1"/>
  <c r="AU1781" i="1"/>
  <c r="AV1781" i="1"/>
  <c r="AX1781" i="1"/>
  <c r="AY1781" i="1"/>
  <c r="AZ1781" i="1"/>
  <c r="BA1781" i="1"/>
  <c r="AO1782" i="1"/>
  <c r="AP1782" i="1"/>
  <c r="AR1782" i="1"/>
  <c r="AS1782" i="1"/>
  <c r="AT1782" i="1"/>
  <c r="AU1782" i="1"/>
  <c r="AV1782" i="1"/>
  <c r="AX1782" i="1"/>
  <c r="AY1782" i="1"/>
  <c r="AZ1782" i="1"/>
  <c r="BA1782" i="1"/>
  <c r="AO1783" i="1"/>
  <c r="AP1783" i="1"/>
  <c r="AR1783" i="1"/>
  <c r="AS1783" i="1"/>
  <c r="AT1783" i="1"/>
  <c r="AU1783" i="1"/>
  <c r="AV1783" i="1"/>
  <c r="AX1783" i="1"/>
  <c r="AY1783" i="1"/>
  <c r="AZ1783" i="1"/>
  <c r="BA1783" i="1"/>
  <c r="AO1784" i="1"/>
  <c r="AP1784" i="1"/>
  <c r="AR1784" i="1"/>
  <c r="AS1784" i="1"/>
  <c r="AT1784" i="1"/>
  <c r="AU1784" i="1"/>
  <c r="AV1784" i="1"/>
  <c r="AX1784" i="1"/>
  <c r="AY1784" i="1"/>
  <c r="AZ1784" i="1"/>
  <c r="BA1784" i="1"/>
  <c r="AO1785" i="1"/>
  <c r="AP1785" i="1"/>
  <c r="AR1785" i="1"/>
  <c r="AS1785" i="1"/>
  <c r="AT1785" i="1"/>
  <c r="AU1785" i="1"/>
  <c r="AV1785" i="1"/>
  <c r="AX1785" i="1"/>
  <c r="AY1785" i="1"/>
  <c r="AZ1785" i="1"/>
  <c r="BA1785" i="1"/>
  <c r="AO1786" i="1"/>
  <c r="AP1786" i="1"/>
  <c r="AR1786" i="1"/>
  <c r="AS1786" i="1"/>
  <c r="AT1786" i="1"/>
  <c r="AU1786" i="1"/>
  <c r="AV1786" i="1"/>
  <c r="AX1786" i="1"/>
  <c r="AY1786" i="1"/>
  <c r="AZ1786" i="1"/>
  <c r="BA1786" i="1"/>
  <c r="AO1787" i="1"/>
  <c r="AP1787" i="1"/>
  <c r="AR1787" i="1"/>
  <c r="AS1787" i="1"/>
  <c r="AT1787" i="1"/>
  <c r="AU1787" i="1"/>
  <c r="AV1787" i="1"/>
  <c r="AX1787" i="1"/>
  <c r="AY1787" i="1"/>
  <c r="AZ1787" i="1"/>
  <c r="BA1787" i="1"/>
  <c r="AO1788" i="1"/>
  <c r="AP1788" i="1"/>
  <c r="AR1788" i="1"/>
  <c r="AS1788" i="1"/>
  <c r="AT1788" i="1"/>
  <c r="AU1788" i="1"/>
  <c r="AV1788" i="1"/>
  <c r="AX1788" i="1"/>
  <c r="AY1788" i="1"/>
  <c r="AZ1788" i="1"/>
  <c r="BA1788" i="1"/>
  <c r="AO1789" i="1"/>
  <c r="AP1789" i="1"/>
  <c r="AR1789" i="1"/>
  <c r="AS1789" i="1"/>
  <c r="AT1789" i="1"/>
  <c r="AU1789" i="1"/>
  <c r="AV1789" i="1"/>
  <c r="AX1789" i="1"/>
  <c r="AY1789" i="1"/>
  <c r="AZ1789" i="1"/>
  <c r="BA1789" i="1"/>
  <c r="AO1790" i="1"/>
  <c r="AP1790" i="1"/>
  <c r="AR1790" i="1"/>
  <c r="AS1790" i="1"/>
  <c r="AT1790" i="1"/>
  <c r="AU1790" i="1"/>
  <c r="AV1790" i="1"/>
  <c r="AX1790" i="1"/>
  <c r="AY1790" i="1"/>
  <c r="AZ1790" i="1"/>
  <c r="BA1790" i="1"/>
  <c r="AO1791" i="1"/>
  <c r="AP1791" i="1"/>
  <c r="AR1791" i="1"/>
  <c r="AS1791" i="1"/>
  <c r="AT1791" i="1"/>
  <c r="AU1791" i="1"/>
  <c r="AV1791" i="1"/>
  <c r="AX1791" i="1"/>
  <c r="AY1791" i="1"/>
  <c r="AZ1791" i="1"/>
  <c r="BA1791" i="1"/>
  <c r="AO1792" i="1"/>
  <c r="AP1792" i="1"/>
  <c r="AR1792" i="1"/>
  <c r="AS1792" i="1"/>
  <c r="AT1792" i="1"/>
  <c r="AU1792" i="1"/>
  <c r="AV1792" i="1"/>
  <c r="AX1792" i="1"/>
  <c r="AY1792" i="1"/>
  <c r="AZ1792" i="1"/>
  <c r="BA1792" i="1"/>
  <c r="AO1793" i="1"/>
  <c r="AP1793" i="1"/>
  <c r="AR1793" i="1"/>
  <c r="AS1793" i="1"/>
  <c r="AT1793" i="1"/>
  <c r="AU1793" i="1"/>
  <c r="AV1793" i="1"/>
  <c r="AX1793" i="1"/>
  <c r="AY1793" i="1"/>
  <c r="AZ1793" i="1"/>
  <c r="BA1793" i="1"/>
  <c r="AO1794" i="1"/>
  <c r="AP1794" i="1"/>
  <c r="AR1794" i="1"/>
  <c r="AS1794" i="1"/>
  <c r="AT1794" i="1"/>
  <c r="AU1794" i="1"/>
  <c r="AV1794" i="1"/>
  <c r="AX1794" i="1"/>
  <c r="AY1794" i="1"/>
  <c r="AZ1794" i="1"/>
  <c r="BA1794" i="1"/>
  <c r="AO1795" i="1"/>
  <c r="AP1795" i="1"/>
  <c r="AR1795" i="1"/>
  <c r="AS1795" i="1"/>
  <c r="AT1795" i="1"/>
  <c r="AU1795" i="1"/>
  <c r="AV1795" i="1"/>
  <c r="AX1795" i="1"/>
  <c r="AY1795" i="1"/>
  <c r="AZ1795" i="1"/>
  <c r="BA1795" i="1"/>
  <c r="AO1796" i="1"/>
  <c r="AP1796" i="1"/>
  <c r="AR1796" i="1"/>
  <c r="AS1796" i="1"/>
  <c r="AT1796" i="1"/>
  <c r="AU1796" i="1"/>
  <c r="AV1796" i="1"/>
  <c r="AX1796" i="1"/>
  <c r="AY1796" i="1"/>
  <c r="AZ1796" i="1"/>
  <c r="BA1796" i="1"/>
  <c r="AO1797" i="1"/>
  <c r="AP1797" i="1"/>
  <c r="AR1797" i="1"/>
  <c r="AS1797" i="1"/>
  <c r="AT1797" i="1"/>
  <c r="AU1797" i="1"/>
  <c r="AV1797" i="1"/>
  <c r="AX1797" i="1"/>
  <c r="AY1797" i="1"/>
  <c r="AZ1797" i="1"/>
  <c r="BA1797" i="1"/>
  <c r="AO1798" i="1"/>
  <c r="AP1798" i="1"/>
  <c r="AR1798" i="1"/>
  <c r="AS1798" i="1"/>
  <c r="AT1798" i="1"/>
  <c r="AU1798" i="1"/>
  <c r="AV1798" i="1"/>
  <c r="AX1798" i="1"/>
  <c r="AY1798" i="1"/>
  <c r="AZ1798" i="1"/>
  <c r="BA1798" i="1"/>
  <c r="AO1799" i="1"/>
  <c r="AP1799" i="1"/>
  <c r="AR1799" i="1"/>
  <c r="AS1799" i="1"/>
  <c r="AT1799" i="1"/>
  <c r="AU1799" i="1"/>
  <c r="AV1799" i="1"/>
  <c r="AX1799" i="1"/>
  <c r="AY1799" i="1"/>
  <c r="AZ1799" i="1"/>
  <c r="BA1799" i="1"/>
  <c r="AO1800" i="1"/>
  <c r="AP1800" i="1"/>
  <c r="AR1800" i="1"/>
  <c r="AS1800" i="1"/>
  <c r="AT1800" i="1"/>
  <c r="AU1800" i="1"/>
  <c r="AV1800" i="1"/>
  <c r="AX1800" i="1"/>
  <c r="AY1800" i="1"/>
  <c r="AZ1800" i="1"/>
  <c r="BA1800" i="1"/>
  <c r="AO1801" i="1"/>
  <c r="AP1801" i="1"/>
  <c r="AR1801" i="1"/>
  <c r="AS1801" i="1"/>
  <c r="AT1801" i="1"/>
  <c r="AU1801" i="1"/>
  <c r="AV1801" i="1"/>
  <c r="AX1801" i="1"/>
  <c r="AY1801" i="1"/>
  <c r="AZ1801" i="1"/>
  <c r="BA1801" i="1"/>
  <c r="AO1802" i="1"/>
  <c r="AP1802" i="1"/>
  <c r="AR1802" i="1"/>
  <c r="AS1802" i="1"/>
  <c r="AT1802" i="1"/>
  <c r="AU1802" i="1"/>
  <c r="AV1802" i="1"/>
  <c r="AX1802" i="1"/>
  <c r="AY1802" i="1"/>
  <c r="AZ1802" i="1"/>
  <c r="BA1802" i="1"/>
  <c r="AO1803" i="1"/>
  <c r="AP1803" i="1"/>
  <c r="AR1803" i="1"/>
  <c r="AS1803" i="1"/>
  <c r="AT1803" i="1"/>
  <c r="AU1803" i="1"/>
  <c r="AV1803" i="1"/>
  <c r="AX1803" i="1"/>
  <c r="AY1803" i="1"/>
  <c r="AZ1803" i="1"/>
  <c r="BA1803" i="1"/>
  <c r="AO1804" i="1"/>
  <c r="AP1804" i="1"/>
  <c r="AR1804" i="1"/>
  <c r="AS1804" i="1"/>
  <c r="AT1804" i="1"/>
  <c r="AU1804" i="1"/>
  <c r="AV1804" i="1"/>
  <c r="AX1804" i="1"/>
  <c r="AY1804" i="1"/>
  <c r="AZ1804" i="1"/>
  <c r="BA1804" i="1"/>
  <c r="AO1805" i="1"/>
  <c r="AP1805" i="1"/>
  <c r="AR1805" i="1"/>
  <c r="AS1805" i="1"/>
  <c r="AT1805" i="1"/>
  <c r="AU1805" i="1"/>
  <c r="AV1805" i="1"/>
  <c r="AX1805" i="1"/>
  <c r="AY1805" i="1"/>
  <c r="AZ1805" i="1"/>
  <c r="BA1805" i="1"/>
  <c r="AO1806" i="1"/>
  <c r="AP1806" i="1"/>
  <c r="AR1806" i="1"/>
  <c r="AS1806" i="1"/>
  <c r="AT1806" i="1"/>
  <c r="AU1806" i="1"/>
  <c r="AV1806" i="1"/>
  <c r="AX1806" i="1"/>
  <c r="AY1806" i="1"/>
  <c r="AZ1806" i="1"/>
  <c r="BA1806" i="1"/>
  <c r="AO1807" i="1"/>
  <c r="AP1807" i="1"/>
  <c r="AR1807" i="1"/>
  <c r="AS1807" i="1"/>
  <c r="AT1807" i="1"/>
  <c r="AU1807" i="1"/>
  <c r="AV1807" i="1"/>
  <c r="AX1807" i="1"/>
  <c r="AY1807" i="1"/>
  <c r="AZ1807" i="1"/>
  <c r="BA1807" i="1"/>
  <c r="AO1808" i="1"/>
  <c r="AP1808" i="1"/>
  <c r="AR1808" i="1"/>
  <c r="AS1808" i="1"/>
  <c r="AT1808" i="1"/>
  <c r="AU1808" i="1"/>
  <c r="AV1808" i="1"/>
  <c r="AX1808" i="1"/>
  <c r="AY1808" i="1"/>
  <c r="AZ1808" i="1"/>
  <c r="BA1808" i="1"/>
  <c r="AO1809" i="1"/>
  <c r="AP1809" i="1"/>
  <c r="AR1809" i="1"/>
  <c r="AS1809" i="1"/>
  <c r="AT1809" i="1"/>
  <c r="AU1809" i="1"/>
  <c r="AV1809" i="1"/>
  <c r="AX1809" i="1"/>
  <c r="AY1809" i="1"/>
  <c r="AZ1809" i="1"/>
  <c r="BA1809" i="1"/>
  <c r="AO1810" i="1"/>
  <c r="AP1810" i="1"/>
  <c r="AR1810" i="1"/>
  <c r="AS1810" i="1"/>
  <c r="AT1810" i="1"/>
  <c r="AU1810" i="1"/>
  <c r="AV1810" i="1"/>
  <c r="AX1810" i="1"/>
  <c r="AY1810" i="1"/>
  <c r="AZ1810" i="1"/>
  <c r="BA1810" i="1"/>
  <c r="AO1811" i="1"/>
  <c r="AP1811" i="1"/>
  <c r="AR1811" i="1"/>
  <c r="AS1811" i="1"/>
  <c r="AT1811" i="1"/>
  <c r="AU1811" i="1"/>
  <c r="AV1811" i="1"/>
  <c r="AX1811" i="1"/>
  <c r="AY1811" i="1"/>
  <c r="AZ1811" i="1"/>
  <c r="BA1811" i="1"/>
  <c r="AO1812" i="1"/>
  <c r="AP1812" i="1"/>
  <c r="AR1812" i="1"/>
  <c r="AS1812" i="1"/>
  <c r="AT1812" i="1"/>
  <c r="AU1812" i="1"/>
  <c r="AV1812" i="1"/>
  <c r="AX1812" i="1"/>
  <c r="AY1812" i="1"/>
  <c r="AZ1812" i="1"/>
  <c r="BA1812" i="1"/>
  <c r="AO1813" i="1"/>
  <c r="AP1813" i="1"/>
  <c r="AR1813" i="1"/>
  <c r="AS1813" i="1"/>
  <c r="AT1813" i="1"/>
  <c r="AU1813" i="1"/>
  <c r="AV1813" i="1"/>
  <c r="AX1813" i="1"/>
  <c r="AY1813" i="1"/>
  <c r="AZ1813" i="1"/>
  <c r="BA1813" i="1"/>
  <c r="AO1814" i="1"/>
  <c r="AP1814" i="1"/>
  <c r="AR1814" i="1"/>
  <c r="AS1814" i="1"/>
  <c r="AT1814" i="1"/>
  <c r="AU1814" i="1"/>
  <c r="AV1814" i="1"/>
  <c r="AX1814" i="1"/>
  <c r="AY1814" i="1"/>
  <c r="AZ1814" i="1"/>
  <c r="BA1814" i="1"/>
  <c r="AO1815" i="1"/>
  <c r="AP1815" i="1"/>
  <c r="AR1815" i="1"/>
  <c r="AS1815" i="1"/>
  <c r="AT1815" i="1"/>
  <c r="AU1815" i="1"/>
  <c r="AV1815" i="1"/>
  <c r="AX1815" i="1"/>
  <c r="AY1815" i="1"/>
  <c r="AZ1815" i="1"/>
  <c r="BA1815" i="1"/>
  <c r="AO1816" i="1"/>
  <c r="AP1816" i="1"/>
  <c r="AR1816" i="1"/>
  <c r="AS1816" i="1"/>
  <c r="AT1816" i="1"/>
  <c r="AU1816" i="1"/>
  <c r="AV1816" i="1"/>
  <c r="AX1816" i="1"/>
  <c r="AY1816" i="1"/>
  <c r="AZ1816" i="1"/>
  <c r="BA1816" i="1"/>
  <c r="AO1817" i="1"/>
  <c r="AP1817" i="1"/>
  <c r="AR1817" i="1"/>
  <c r="AS1817" i="1"/>
  <c r="AT1817" i="1"/>
  <c r="AU1817" i="1"/>
  <c r="AV1817" i="1"/>
  <c r="AX1817" i="1"/>
  <c r="AY1817" i="1"/>
  <c r="AZ1817" i="1"/>
  <c r="BA1817" i="1"/>
  <c r="AO1818" i="1"/>
  <c r="AP1818" i="1"/>
  <c r="AR1818" i="1"/>
  <c r="AS1818" i="1"/>
  <c r="AT1818" i="1"/>
  <c r="AU1818" i="1"/>
  <c r="AV1818" i="1"/>
  <c r="AX1818" i="1"/>
  <c r="AY1818" i="1"/>
  <c r="AZ1818" i="1"/>
  <c r="BA1818" i="1"/>
  <c r="AO1819" i="1"/>
  <c r="AP1819" i="1"/>
  <c r="AR1819" i="1"/>
  <c r="AS1819" i="1"/>
  <c r="AT1819" i="1"/>
  <c r="AU1819" i="1"/>
  <c r="AV1819" i="1"/>
  <c r="AX1819" i="1"/>
  <c r="AY1819" i="1"/>
  <c r="AZ1819" i="1"/>
  <c r="BA1819" i="1"/>
  <c r="AO1820" i="1"/>
  <c r="AP1820" i="1"/>
  <c r="AR1820" i="1"/>
  <c r="AS1820" i="1"/>
  <c r="AT1820" i="1"/>
  <c r="AU1820" i="1"/>
  <c r="AV1820" i="1"/>
  <c r="AX1820" i="1"/>
  <c r="AY1820" i="1"/>
  <c r="AZ1820" i="1"/>
  <c r="BA1820" i="1"/>
  <c r="AO1821" i="1"/>
  <c r="AP1821" i="1"/>
  <c r="AR1821" i="1"/>
  <c r="AS1821" i="1"/>
  <c r="AT1821" i="1"/>
  <c r="AU1821" i="1"/>
  <c r="AV1821" i="1"/>
  <c r="AX1821" i="1"/>
  <c r="AY1821" i="1"/>
  <c r="AZ1821" i="1"/>
  <c r="BA1821" i="1"/>
  <c r="AO1822" i="1"/>
  <c r="AP1822" i="1"/>
  <c r="AR1822" i="1"/>
  <c r="AS1822" i="1"/>
  <c r="AT1822" i="1"/>
  <c r="AU1822" i="1"/>
  <c r="AV1822" i="1"/>
  <c r="AX1822" i="1"/>
  <c r="AY1822" i="1"/>
  <c r="AZ1822" i="1"/>
  <c r="BA1822" i="1"/>
  <c r="AO1823" i="1"/>
  <c r="AP1823" i="1"/>
  <c r="AR1823" i="1"/>
  <c r="AS1823" i="1"/>
  <c r="AT1823" i="1"/>
  <c r="AU1823" i="1"/>
  <c r="AV1823" i="1"/>
  <c r="AX1823" i="1"/>
  <c r="AY1823" i="1"/>
  <c r="AZ1823" i="1"/>
  <c r="BA1823" i="1"/>
  <c r="AO1824" i="1"/>
  <c r="AP1824" i="1"/>
  <c r="AR1824" i="1"/>
  <c r="AS1824" i="1"/>
  <c r="AT1824" i="1"/>
  <c r="AU1824" i="1"/>
  <c r="AV1824" i="1"/>
  <c r="AX1824" i="1"/>
  <c r="AY1824" i="1"/>
  <c r="AZ1824" i="1"/>
  <c r="BA1824" i="1"/>
  <c r="AO1825" i="1"/>
  <c r="AP1825" i="1"/>
  <c r="AR1825" i="1"/>
  <c r="AS1825" i="1"/>
  <c r="AT1825" i="1"/>
  <c r="AU1825" i="1"/>
  <c r="AV1825" i="1"/>
  <c r="AX1825" i="1"/>
  <c r="AY1825" i="1"/>
  <c r="AZ1825" i="1"/>
  <c r="BA1825" i="1"/>
  <c r="AO1826" i="1"/>
  <c r="AP1826" i="1"/>
  <c r="AR1826" i="1"/>
  <c r="AS1826" i="1"/>
  <c r="AT1826" i="1"/>
  <c r="AU1826" i="1"/>
  <c r="AV1826" i="1"/>
  <c r="AX1826" i="1"/>
  <c r="AY1826" i="1"/>
  <c r="AZ1826" i="1"/>
  <c r="BA1826" i="1"/>
  <c r="AO1827" i="1"/>
  <c r="AP1827" i="1"/>
  <c r="AR1827" i="1"/>
  <c r="AS1827" i="1"/>
  <c r="AT1827" i="1"/>
  <c r="AU1827" i="1"/>
  <c r="AV1827" i="1"/>
  <c r="AX1827" i="1"/>
  <c r="AY1827" i="1"/>
  <c r="AZ1827" i="1"/>
  <c r="BA1827" i="1"/>
  <c r="AO1828" i="1"/>
  <c r="AP1828" i="1"/>
  <c r="AR1828" i="1"/>
  <c r="AS1828" i="1"/>
  <c r="AT1828" i="1"/>
  <c r="AU1828" i="1"/>
  <c r="AV1828" i="1"/>
  <c r="AX1828" i="1"/>
  <c r="AY1828" i="1"/>
  <c r="AZ1828" i="1"/>
  <c r="BA1828" i="1"/>
  <c r="AO1829" i="1"/>
  <c r="AP1829" i="1"/>
  <c r="AR1829" i="1"/>
  <c r="AS1829" i="1"/>
  <c r="AT1829" i="1"/>
  <c r="AU1829" i="1"/>
  <c r="AV1829" i="1"/>
  <c r="AX1829" i="1"/>
  <c r="AY1829" i="1"/>
  <c r="AZ1829" i="1"/>
  <c r="BA1829" i="1"/>
  <c r="AO1830" i="1"/>
  <c r="AP1830" i="1"/>
  <c r="AR1830" i="1"/>
  <c r="AS1830" i="1"/>
  <c r="AT1830" i="1"/>
  <c r="AU1830" i="1"/>
  <c r="AV1830" i="1"/>
  <c r="AX1830" i="1"/>
  <c r="AY1830" i="1"/>
  <c r="AZ1830" i="1"/>
  <c r="BA1830" i="1"/>
  <c r="AO1831" i="1"/>
  <c r="AP1831" i="1"/>
  <c r="AR1831" i="1"/>
  <c r="AS1831" i="1"/>
  <c r="AT1831" i="1"/>
  <c r="AU1831" i="1"/>
  <c r="AV1831" i="1"/>
  <c r="AX1831" i="1"/>
  <c r="AY1831" i="1"/>
  <c r="AZ1831" i="1"/>
  <c r="BA1831" i="1"/>
  <c r="AO1832" i="1"/>
  <c r="AP1832" i="1"/>
  <c r="AR1832" i="1"/>
  <c r="AS1832" i="1"/>
  <c r="AT1832" i="1"/>
  <c r="AU1832" i="1"/>
  <c r="AV1832" i="1"/>
  <c r="AX1832" i="1"/>
  <c r="AY1832" i="1"/>
  <c r="AZ1832" i="1"/>
  <c r="BA1832" i="1"/>
  <c r="AO1833" i="1"/>
  <c r="AP1833" i="1"/>
  <c r="AR1833" i="1"/>
  <c r="AS1833" i="1"/>
  <c r="AT1833" i="1"/>
  <c r="AU1833" i="1"/>
  <c r="AV1833" i="1"/>
  <c r="AX1833" i="1"/>
  <c r="AY1833" i="1"/>
  <c r="AZ1833" i="1"/>
  <c r="BA1833" i="1"/>
  <c r="AO1834" i="1"/>
  <c r="AP1834" i="1"/>
  <c r="AR1834" i="1"/>
  <c r="AS1834" i="1"/>
  <c r="AT1834" i="1"/>
  <c r="AU1834" i="1"/>
  <c r="AV1834" i="1"/>
  <c r="AX1834" i="1"/>
  <c r="AY1834" i="1"/>
  <c r="AZ1834" i="1"/>
  <c r="BA1834" i="1"/>
  <c r="AO1835" i="1"/>
  <c r="AP1835" i="1"/>
  <c r="AR1835" i="1"/>
  <c r="AS1835" i="1"/>
  <c r="AT1835" i="1"/>
  <c r="AU1835" i="1"/>
  <c r="AV1835" i="1"/>
  <c r="AX1835" i="1"/>
  <c r="AY1835" i="1"/>
  <c r="AZ1835" i="1"/>
  <c r="BA1835" i="1"/>
  <c r="AO1836" i="1"/>
  <c r="AP1836" i="1"/>
  <c r="AR1836" i="1"/>
  <c r="AS1836" i="1"/>
  <c r="AT1836" i="1"/>
  <c r="AU1836" i="1"/>
  <c r="AV1836" i="1"/>
  <c r="AX1836" i="1"/>
  <c r="AY1836" i="1"/>
  <c r="AZ1836" i="1"/>
  <c r="BA1836" i="1"/>
  <c r="AO1837" i="1"/>
  <c r="AP1837" i="1"/>
  <c r="AR1837" i="1"/>
  <c r="AS1837" i="1"/>
  <c r="AT1837" i="1"/>
  <c r="AU1837" i="1"/>
  <c r="AV1837" i="1"/>
  <c r="AX1837" i="1"/>
  <c r="AY1837" i="1"/>
  <c r="AZ1837" i="1"/>
  <c r="BA1837" i="1"/>
  <c r="AO1838" i="1"/>
  <c r="AP1838" i="1"/>
  <c r="AR1838" i="1"/>
  <c r="AS1838" i="1"/>
  <c r="AT1838" i="1"/>
  <c r="AU1838" i="1"/>
  <c r="AV1838" i="1"/>
  <c r="AX1838" i="1"/>
  <c r="AY1838" i="1"/>
  <c r="AZ1838" i="1"/>
  <c r="BA1838" i="1"/>
  <c r="AO1839" i="1"/>
  <c r="AP1839" i="1"/>
  <c r="AR1839" i="1"/>
  <c r="AS1839" i="1"/>
  <c r="AT1839" i="1"/>
  <c r="AU1839" i="1"/>
  <c r="AV1839" i="1"/>
  <c r="AX1839" i="1"/>
  <c r="AY1839" i="1"/>
  <c r="AZ1839" i="1"/>
  <c r="BA1839" i="1"/>
  <c r="AO1840" i="1"/>
  <c r="AP1840" i="1"/>
  <c r="AR1840" i="1"/>
  <c r="AS1840" i="1"/>
  <c r="AT1840" i="1"/>
  <c r="AU1840" i="1"/>
  <c r="AV1840" i="1"/>
  <c r="AX1840" i="1"/>
  <c r="AY1840" i="1"/>
  <c r="AZ1840" i="1"/>
  <c r="BA1840" i="1"/>
  <c r="AO1841" i="1"/>
  <c r="AP1841" i="1"/>
  <c r="AR1841" i="1"/>
  <c r="AS1841" i="1"/>
  <c r="AT1841" i="1"/>
  <c r="AU1841" i="1"/>
  <c r="AV1841" i="1"/>
  <c r="AX1841" i="1"/>
  <c r="AY1841" i="1"/>
  <c r="AZ1841" i="1"/>
  <c r="BA1841" i="1"/>
  <c r="AO1842" i="1"/>
  <c r="AP1842" i="1"/>
  <c r="AR1842" i="1"/>
  <c r="AS1842" i="1"/>
  <c r="AT1842" i="1"/>
  <c r="AU1842" i="1"/>
  <c r="AV1842" i="1"/>
  <c r="AX1842" i="1"/>
  <c r="AY1842" i="1"/>
  <c r="AZ1842" i="1"/>
  <c r="BA1842" i="1"/>
  <c r="AO1843" i="1"/>
  <c r="AP1843" i="1"/>
  <c r="AR1843" i="1"/>
  <c r="AS1843" i="1"/>
  <c r="AT1843" i="1"/>
  <c r="AU1843" i="1"/>
  <c r="AV1843" i="1"/>
  <c r="AX1843" i="1"/>
  <c r="AY1843" i="1"/>
  <c r="AZ1843" i="1"/>
  <c r="BA1843" i="1"/>
  <c r="AO1844" i="1"/>
  <c r="AP1844" i="1"/>
  <c r="AR1844" i="1"/>
  <c r="AS1844" i="1"/>
  <c r="AT1844" i="1"/>
  <c r="AU1844" i="1"/>
  <c r="AV1844" i="1"/>
  <c r="AX1844" i="1"/>
  <c r="AY1844" i="1"/>
  <c r="AZ1844" i="1"/>
  <c r="BA1844" i="1"/>
  <c r="AO1845" i="1"/>
  <c r="AP1845" i="1"/>
  <c r="AR1845" i="1"/>
  <c r="AS1845" i="1"/>
  <c r="AT1845" i="1"/>
  <c r="AU1845" i="1"/>
  <c r="AV1845" i="1"/>
  <c r="AX1845" i="1"/>
  <c r="AY1845" i="1"/>
  <c r="AZ1845" i="1"/>
  <c r="BA1845" i="1"/>
  <c r="AO1846" i="1"/>
  <c r="AP1846" i="1"/>
  <c r="AR1846" i="1"/>
  <c r="AS1846" i="1"/>
  <c r="AT1846" i="1"/>
  <c r="AU1846" i="1"/>
  <c r="AV1846" i="1"/>
  <c r="AX1846" i="1"/>
  <c r="AY1846" i="1"/>
  <c r="AZ1846" i="1"/>
  <c r="BA1846" i="1"/>
  <c r="AO1847" i="1"/>
  <c r="AP1847" i="1"/>
  <c r="AR1847" i="1"/>
  <c r="AS1847" i="1"/>
  <c r="AT1847" i="1"/>
  <c r="AU1847" i="1"/>
  <c r="AV1847" i="1"/>
  <c r="AX1847" i="1"/>
  <c r="AY1847" i="1"/>
  <c r="AZ1847" i="1"/>
  <c r="BA1847" i="1"/>
  <c r="AO1848" i="1"/>
  <c r="AP1848" i="1"/>
  <c r="AR1848" i="1"/>
  <c r="AS1848" i="1"/>
  <c r="AT1848" i="1"/>
  <c r="AU1848" i="1"/>
  <c r="AV1848" i="1"/>
  <c r="AX1848" i="1"/>
  <c r="AY1848" i="1"/>
  <c r="AZ1848" i="1"/>
  <c r="BA1848" i="1"/>
  <c r="AO1849" i="1"/>
  <c r="AP1849" i="1"/>
  <c r="AR1849" i="1"/>
  <c r="AS1849" i="1"/>
  <c r="AT1849" i="1"/>
  <c r="AU1849" i="1"/>
  <c r="AV1849" i="1"/>
  <c r="AX1849" i="1"/>
  <c r="AY1849" i="1"/>
  <c r="AZ1849" i="1"/>
  <c r="BA1849" i="1"/>
  <c r="AO1850" i="1"/>
  <c r="AP1850" i="1"/>
  <c r="AR1850" i="1"/>
  <c r="AS1850" i="1"/>
  <c r="AT1850" i="1"/>
  <c r="AU1850" i="1"/>
  <c r="AV1850" i="1"/>
  <c r="AX1850" i="1"/>
  <c r="AY1850" i="1"/>
  <c r="AZ1850" i="1"/>
  <c r="BA1850" i="1"/>
  <c r="AO1851" i="1"/>
  <c r="AP1851" i="1"/>
  <c r="AR1851" i="1"/>
  <c r="AS1851" i="1"/>
  <c r="AT1851" i="1"/>
  <c r="AU1851" i="1"/>
  <c r="AV1851" i="1"/>
  <c r="AX1851" i="1"/>
  <c r="AY1851" i="1"/>
  <c r="AZ1851" i="1"/>
  <c r="BA1851" i="1"/>
  <c r="AO1852" i="1"/>
  <c r="AP1852" i="1"/>
  <c r="AR1852" i="1"/>
  <c r="AS1852" i="1"/>
  <c r="AT1852" i="1"/>
  <c r="AU1852" i="1"/>
  <c r="AV1852" i="1"/>
  <c r="AX1852" i="1"/>
  <c r="AY1852" i="1"/>
  <c r="AZ1852" i="1"/>
  <c r="BA1852" i="1"/>
  <c r="AO1853" i="1"/>
  <c r="AP1853" i="1"/>
  <c r="AR1853" i="1"/>
  <c r="AS1853" i="1"/>
  <c r="AT1853" i="1"/>
  <c r="AU1853" i="1"/>
  <c r="AV1853" i="1"/>
  <c r="AX1853" i="1"/>
  <c r="AY1853" i="1"/>
  <c r="AZ1853" i="1"/>
  <c r="BA1853" i="1"/>
  <c r="AO1854" i="1"/>
  <c r="AP1854" i="1"/>
  <c r="AR1854" i="1"/>
  <c r="AS1854" i="1"/>
  <c r="AT1854" i="1"/>
  <c r="AU1854" i="1"/>
  <c r="AV1854" i="1"/>
  <c r="AX1854" i="1"/>
  <c r="AY1854" i="1"/>
  <c r="AZ1854" i="1"/>
  <c r="BA1854" i="1"/>
  <c r="AO1855" i="1"/>
  <c r="AP1855" i="1"/>
  <c r="AR1855" i="1"/>
  <c r="AS1855" i="1"/>
  <c r="AT1855" i="1"/>
  <c r="AU1855" i="1"/>
  <c r="AV1855" i="1"/>
  <c r="AX1855" i="1"/>
  <c r="AY1855" i="1"/>
  <c r="AZ1855" i="1"/>
  <c r="BA1855" i="1"/>
  <c r="AO1856" i="1"/>
  <c r="AP1856" i="1"/>
  <c r="AR1856" i="1"/>
  <c r="AS1856" i="1"/>
  <c r="AT1856" i="1"/>
  <c r="AU1856" i="1"/>
  <c r="AV1856" i="1"/>
  <c r="AX1856" i="1"/>
  <c r="AY1856" i="1"/>
  <c r="AZ1856" i="1"/>
  <c r="BA1856" i="1"/>
  <c r="AO1857" i="1"/>
  <c r="AP1857" i="1"/>
  <c r="AR1857" i="1"/>
  <c r="AS1857" i="1"/>
  <c r="AT1857" i="1"/>
  <c r="AU1857" i="1"/>
  <c r="AV1857" i="1"/>
  <c r="AX1857" i="1"/>
  <c r="AY1857" i="1"/>
  <c r="AZ1857" i="1"/>
  <c r="BA1857" i="1"/>
  <c r="AO1858" i="1"/>
  <c r="AP1858" i="1"/>
  <c r="AR1858" i="1"/>
  <c r="AS1858" i="1"/>
  <c r="AT1858" i="1"/>
  <c r="AU1858" i="1"/>
  <c r="AV1858" i="1"/>
  <c r="AX1858" i="1"/>
  <c r="AY1858" i="1"/>
  <c r="AZ1858" i="1"/>
  <c r="BA1858" i="1"/>
  <c r="AO1859" i="1"/>
  <c r="AP1859" i="1"/>
  <c r="AR1859" i="1"/>
  <c r="AS1859" i="1"/>
  <c r="AT1859" i="1"/>
  <c r="AU1859" i="1"/>
  <c r="AV1859" i="1"/>
  <c r="AX1859" i="1"/>
  <c r="AY1859" i="1"/>
  <c r="AZ1859" i="1"/>
  <c r="BA1859" i="1"/>
  <c r="AO1860" i="1"/>
  <c r="AP1860" i="1"/>
  <c r="AR1860" i="1"/>
  <c r="AS1860" i="1"/>
  <c r="AT1860" i="1"/>
  <c r="AU1860" i="1"/>
  <c r="AV1860" i="1"/>
  <c r="AX1860" i="1"/>
  <c r="AY1860" i="1"/>
  <c r="AZ1860" i="1"/>
  <c r="BA1860" i="1"/>
  <c r="AO1861" i="1"/>
  <c r="AP1861" i="1"/>
  <c r="AR1861" i="1"/>
  <c r="AS1861" i="1"/>
  <c r="AT1861" i="1"/>
  <c r="AU1861" i="1"/>
  <c r="AV1861" i="1"/>
  <c r="AX1861" i="1"/>
  <c r="AY1861" i="1"/>
  <c r="AZ1861" i="1"/>
  <c r="BA1861" i="1"/>
  <c r="AO1862" i="1"/>
  <c r="AP1862" i="1"/>
  <c r="AR1862" i="1"/>
  <c r="AS1862" i="1"/>
  <c r="AT1862" i="1"/>
  <c r="AU1862" i="1"/>
  <c r="AV1862" i="1"/>
  <c r="AX1862" i="1"/>
  <c r="AY1862" i="1"/>
  <c r="AZ1862" i="1"/>
  <c r="BA1862" i="1"/>
  <c r="AO1863" i="1"/>
  <c r="AP1863" i="1"/>
  <c r="AR1863" i="1"/>
  <c r="AS1863" i="1"/>
  <c r="AT1863" i="1"/>
  <c r="AU1863" i="1"/>
  <c r="AV1863" i="1"/>
  <c r="AX1863" i="1"/>
  <c r="AY1863" i="1"/>
  <c r="AZ1863" i="1"/>
  <c r="BA1863" i="1"/>
  <c r="AO1864" i="1"/>
  <c r="AP1864" i="1"/>
  <c r="AR1864" i="1"/>
  <c r="AS1864" i="1"/>
  <c r="AT1864" i="1"/>
  <c r="AU1864" i="1"/>
  <c r="AV1864" i="1"/>
  <c r="AX1864" i="1"/>
  <c r="AY1864" i="1"/>
  <c r="AZ1864" i="1"/>
  <c r="BA1864" i="1"/>
  <c r="AO1865" i="1"/>
  <c r="AP1865" i="1"/>
  <c r="AR1865" i="1"/>
  <c r="AS1865" i="1"/>
  <c r="AT1865" i="1"/>
  <c r="AU1865" i="1"/>
  <c r="AV1865" i="1"/>
  <c r="AX1865" i="1"/>
  <c r="AY1865" i="1"/>
  <c r="AZ1865" i="1"/>
  <c r="BA1865" i="1"/>
  <c r="AO1866" i="1"/>
  <c r="AP1866" i="1"/>
  <c r="AR1866" i="1"/>
  <c r="AS1866" i="1"/>
  <c r="AT1866" i="1"/>
  <c r="AU1866" i="1"/>
  <c r="AV1866" i="1"/>
  <c r="AX1866" i="1"/>
  <c r="AY1866" i="1"/>
  <c r="AZ1866" i="1"/>
  <c r="BA1866" i="1"/>
  <c r="AO1867" i="1"/>
  <c r="AP1867" i="1"/>
  <c r="AR1867" i="1"/>
  <c r="AS1867" i="1"/>
  <c r="AT1867" i="1"/>
  <c r="AU1867" i="1"/>
  <c r="AV1867" i="1"/>
  <c r="AX1867" i="1"/>
  <c r="AY1867" i="1"/>
  <c r="AZ1867" i="1"/>
  <c r="BA1867" i="1"/>
  <c r="AO1868" i="1"/>
  <c r="AP1868" i="1"/>
  <c r="AR1868" i="1"/>
  <c r="AS1868" i="1"/>
  <c r="AT1868" i="1"/>
  <c r="AU1868" i="1"/>
  <c r="AV1868" i="1"/>
  <c r="AX1868" i="1"/>
  <c r="AY1868" i="1"/>
  <c r="AZ1868" i="1"/>
  <c r="BA1868" i="1"/>
  <c r="AO1869" i="1"/>
  <c r="AP1869" i="1"/>
  <c r="AR1869" i="1"/>
  <c r="AS1869" i="1"/>
  <c r="AT1869" i="1"/>
  <c r="AU1869" i="1"/>
  <c r="AV1869" i="1"/>
  <c r="AX1869" i="1"/>
  <c r="AY1869" i="1"/>
  <c r="AZ1869" i="1"/>
  <c r="BA1869" i="1"/>
  <c r="AO1870" i="1"/>
  <c r="AP1870" i="1"/>
  <c r="AR1870" i="1"/>
  <c r="AS1870" i="1"/>
  <c r="AT1870" i="1"/>
  <c r="AU1870" i="1"/>
  <c r="AV1870" i="1"/>
  <c r="AX1870" i="1"/>
  <c r="AY1870" i="1"/>
  <c r="AZ1870" i="1"/>
  <c r="BA1870" i="1"/>
  <c r="AO1871" i="1"/>
  <c r="AP1871" i="1"/>
  <c r="AR1871" i="1"/>
  <c r="AS1871" i="1"/>
  <c r="AT1871" i="1"/>
  <c r="AU1871" i="1"/>
  <c r="AV1871" i="1"/>
  <c r="AX1871" i="1"/>
  <c r="AY1871" i="1"/>
  <c r="AZ1871" i="1"/>
  <c r="BA1871" i="1"/>
  <c r="AO1873" i="1"/>
  <c r="AP1873" i="1"/>
  <c r="AR1873" i="1"/>
  <c r="AS1873" i="1"/>
  <c r="AT1873" i="1"/>
  <c r="AU1873" i="1"/>
  <c r="AV1873" i="1"/>
  <c r="AX1873" i="1"/>
  <c r="AY1873" i="1"/>
  <c r="AZ1873" i="1"/>
  <c r="BA1873" i="1"/>
  <c r="AO1874" i="1"/>
  <c r="AP1874" i="1"/>
  <c r="AR1874" i="1"/>
  <c r="AS1874" i="1"/>
  <c r="AT1874" i="1"/>
  <c r="AU1874" i="1"/>
  <c r="AV1874" i="1"/>
  <c r="AX1874" i="1"/>
  <c r="AY1874" i="1"/>
  <c r="AZ1874" i="1"/>
  <c r="BA1874" i="1"/>
  <c r="AO1875" i="1"/>
  <c r="AP1875" i="1"/>
  <c r="AR1875" i="1"/>
  <c r="AS1875" i="1"/>
  <c r="AT1875" i="1"/>
  <c r="AU1875" i="1"/>
  <c r="AV1875" i="1"/>
  <c r="AX1875" i="1"/>
  <c r="AY1875" i="1"/>
  <c r="AZ1875" i="1"/>
  <c r="BA1875" i="1"/>
  <c r="AO1876" i="1"/>
  <c r="AP1876" i="1"/>
  <c r="AR1876" i="1"/>
  <c r="AS1876" i="1"/>
  <c r="AT1876" i="1"/>
  <c r="AU1876" i="1"/>
  <c r="AV1876" i="1"/>
  <c r="AX1876" i="1"/>
  <c r="AY1876" i="1"/>
  <c r="AZ1876" i="1"/>
  <c r="BA1876" i="1"/>
  <c r="AO1877" i="1"/>
  <c r="AP1877" i="1"/>
  <c r="AR1877" i="1"/>
  <c r="AS1877" i="1"/>
  <c r="AT1877" i="1"/>
  <c r="AU1877" i="1"/>
  <c r="AV1877" i="1"/>
  <c r="AX1877" i="1"/>
  <c r="AY1877" i="1"/>
  <c r="AZ1877" i="1"/>
  <c r="BA1877" i="1"/>
  <c r="AO1878" i="1"/>
  <c r="AP1878" i="1"/>
  <c r="AR1878" i="1"/>
  <c r="AS1878" i="1"/>
  <c r="AT1878" i="1"/>
  <c r="AU1878" i="1"/>
  <c r="AV1878" i="1"/>
  <c r="AX1878" i="1"/>
  <c r="AY1878" i="1"/>
  <c r="AZ1878" i="1"/>
  <c r="BA1878" i="1"/>
  <c r="AO1879" i="1"/>
  <c r="AP1879" i="1"/>
  <c r="AR1879" i="1"/>
  <c r="AS1879" i="1"/>
  <c r="AT1879" i="1"/>
  <c r="AU1879" i="1"/>
  <c r="AV1879" i="1"/>
  <c r="AX1879" i="1"/>
  <c r="AY1879" i="1"/>
  <c r="AZ1879" i="1"/>
  <c r="BA1879" i="1"/>
  <c r="AO1880" i="1"/>
  <c r="AP1880" i="1"/>
  <c r="AR1880" i="1"/>
  <c r="AS1880" i="1"/>
  <c r="AT1880" i="1"/>
  <c r="AU1880" i="1"/>
  <c r="AV1880" i="1"/>
  <c r="AX1880" i="1"/>
  <c r="AY1880" i="1"/>
  <c r="AZ1880" i="1"/>
  <c r="BA1880" i="1"/>
  <c r="AO1881" i="1"/>
  <c r="AP1881" i="1"/>
  <c r="AR1881" i="1"/>
  <c r="AS1881" i="1"/>
  <c r="AT1881" i="1"/>
  <c r="AU1881" i="1"/>
  <c r="AV1881" i="1"/>
  <c r="AX1881" i="1"/>
  <c r="AY1881" i="1"/>
  <c r="AZ1881" i="1"/>
  <c r="BA1881" i="1"/>
  <c r="AO1882" i="1"/>
  <c r="AP1882" i="1"/>
  <c r="AR1882" i="1"/>
  <c r="AS1882" i="1"/>
  <c r="AT1882" i="1"/>
  <c r="AU1882" i="1"/>
  <c r="AV1882" i="1"/>
  <c r="AX1882" i="1"/>
  <c r="AY1882" i="1"/>
  <c r="AZ1882" i="1"/>
  <c r="BA1882" i="1"/>
  <c r="AO1883" i="1"/>
  <c r="AP1883" i="1"/>
  <c r="AR1883" i="1"/>
  <c r="AS1883" i="1"/>
  <c r="AT1883" i="1"/>
  <c r="AU1883" i="1"/>
  <c r="AV1883" i="1"/>
  <c r="AX1883" i="1"/>
  <c r="AY1883" i="1"/>
  <c r="AZ1883" i="1"/>
  <c r="BA1883" i="1"/>
  <c r="AO1884" i="1"/>
  <c r="AP1884" i="1"/>
  <c r="AR1884" i="1"/>
  <c r="AS1884" i="1"/>
  <c r="AT1884" i="1"/>
  <c r="AU1884" i="1"/>
  <c r="AV1884" i="1"/>
  <c r="AX1884" i="1"/>
  <c r="AY1884" i="1"/>
  <c r="AZ1884" i="1"/>
  <c r="BA1884" i="1"/>
  <c r="AO1886" i="1"/>
  <c r="AP1886" i="1"/>
  <c r="AR1886" i="1"/>
  <c r="AS1886" i="1"/>
  <c r="AT1886" i="1"/>
  <c r="AU1886" i="1"/>
  <c r="AV1886" i="1"/>
  <c r="AX1886" i="1"/>
  <c r="AY1886" i="1"/>
  <c r="AZ1886" i="1"/>
  <c r="BA1886" i="1"/>
  <c r="AO1887" i="1"/>
  <c r="AP1887" i="1"/>
  <c r="AR1887" i="1"/>
  <c r="AS1887" i="1"/>
  <c r="AT1887" i="1"/>
  <c r="AU1887" i="1"/>
  <c r="AV1887" i="1"/>
  <c r="AX1887" i="1"/>
  <c r="AY1887" i="1"/>
  <c r="AZ1887" i="1"/>
  <c r="BA1887" i="1"/>
  <c r="AO1888" i="1"/>
  <c r="AP1888" i="1"/>
  <c r="AR1888" i="1"/>
  <c r="AS1888" i="1"/>
  <c r="AT1888" i="1"/>
  <c r="AU1888" i="1"/>
  <c r="AV1888" i="1"/>
  <c r="AX1888" i="1"/>
  <c r="AY1888" i="1"/>
  <c r="AZ1888" i="1"/>
  <c r="BA1888" i="1"/>
  <c r="AO1889" i="1"/>
  <c r="AP1889" i="1"/>
  <c r="AR1889" i="1"/>
  <c r="AS1889" i="1"/>
  <c r="AT1889" i="1"/>
  <c r="AU1889" i="1"/>
  <c r="AV1889" i="1"/>
  <c r="AX1889" i="1"/>
  <c r="AY1889" i="1"/>
  <c r="AZ1889" i="1"/>
  <c r="BA1889" i="1"/>
  <c r="AO1890" i="1"/>
  <c r="AP1890" i="1"/>
  <c r="AR1890" i="1"/>
  <c r="AS1890" i="1"/>
  <c r="AT1890" i="1"/>
  <c r="AU1890" i="1"/>
  <c r="AV1890" i="1"/>
  <c r="AX1890" i="1"/>
  <c r="AY1890" i="1"/>
  <c r="AZ1890" i="1"/>
  <c r="BA1890" i="1"/>
  <c r="AO1891" i="1"/>
  <c r="AP1891" i="1"/>
  <c r="AR1891" i="1"/>
  <c r="AS1891" i="1"/>
  <c r="AT1891" i="1"/>
  <c r="AU1891" i="1"/>
  <c r="AV1891" i="1"/>
  <c r="AX1891" i="1"/>
  <c r="AY1891" i="1"/>
  <c r="AZ1891" i="1"/>
  <c r="BA1891" i="1"/>
  <c r="AO1892" i="1"/>
  <c r="AP1892" i="1"/>
  <c r="AR1892" i="1"/>
  <c r="AS1892" i="1"/>
  <c r="AT1892" i="1"/>
  <c r="AU1892" i="1"/>
  <c r="AV1892" i="1"/>
  <c r="AX1892" i="1"/>
  <c r="AY1892" i="1"/>
  <c r="AZ1892" i="1"/>
  <c r="BA1892" i="1"/>
  <c r="AO1893" i="1"/>
  <c r="AP1893" i="1"/>
  <c r="AR1893" i="1"/>
  <c r="AS1893" i="1"/>
  <c r="AT1893" i="1"/>
  <c r="AU1893" i="1"/>
  <c r="AV1893" i="1"/>
  <c r="AX1893" i="1"/>
  <c r="AY1893" i="1"/>
  <c r="AZ1893" i="1"/>
  <c r="BA1893" i="1"/>
  <c r="AO1894" i="1"/>
  <c r="AP1894" i="1"/>
  <c r="AR1894" i="1"/>
  <c r="AS1894" i="1"/>
  <c r="AT1894" i="1"/>
  <c r="AU1894" i="1"/>
  <c r="AV1894" i="1"/>
  <c r="AX1894" i="1"/>
  <c r="AY1894" i="1"/>
  <c r="AZ1894" i="1"/>
  <c r="BA1894" i="1"/>
  <c r="AO1895" i="1"/>
  <c r="AP1895" i="1"/>
  <c r="AR1895" i="1"/>
  <c r="AS1895" i="1"/>
  <c r="AT1895" i="1"/>
  <c r="AU1895" i="1"/>
  <c r="AV1895" i="1"/>
  <c r="AX1895" i="1"/>
  <c r="AY1895" i="1"/>
  <c r="AZ1895" i="1"/>
  <c r="BA1895" i="1"/>
  <c r="AO1896" i="1"/>
  <c r="AP1896" i="1"/>
  <c r="AR1896" i="1"/>
  <c r="AS1896" i="1"/>
  <c r="AT1896" i="1"/>
  <c r="AU1896" i="1"/>
  <c r="AV1896" i="1"/>
  <c r="AX1896" i="1"/>
  <c r="AY1896" i="1"/>
  <c r="AZ1896" i="1"/>
  <c r="BA1896" i="1"/>
  <c r="AO1897" i="1"/>
  <c r="AP1897" i="1"/>
  <c r="AR1897" i="1"/>
  <c r="AS1897" i="1"/>
  <c r="AT1897" i="1"/>
  <c r="AU1897" i="1"/>
  <c r="AV1897" i="1"/>
  <c r="AX1897" i="1"/>
  <c r="AY1897" i="1"/>
  <c r="AZ1897" i="1"/>
  <c r="BA1897" i="1"/>
  <c r="AO1898" i="1"/>
  <c r="AP1898" i="1"/>
  <c r="AR1898" i="1"/>
  <c r="AS1898" i="1"/>
  <c r="AT1898" i="1"/>
  <c r="AU1898" i="1"/>
  <c r="AV1898" i="1"/>
  <c r="AX1898" i="1"/>
  <c r="AY1898" i="1"/>
  <c r="AZ1898" i="1"/>
  <c r="BA1898" i="1"/>
  <c r="AO1899" i="1"/>
  <c r="AP1899" i="1"/>
  <c r="AR1899" i="1"/>
  <c r="AS1899" i="1"/>
  <c r="AT1899" i="1"/>
  <c r="AU1899" i="1"/>
  <c r="AV1899" i="1"/>
  <c r="AX1899" i="1"/>
  <c r="AY1899" i="1"/>
  <c r="AZ1899" i="1"/>
  <c r="BA1899" i="1"/>
  <c r="AO1900" i="1"/>
  <c r="AP1900" i="1"/>
  <c r="AR1900" i="1"/>
  <c r="AS1900" i="1"/>
  <c r="AT1900" i="1"/>
  <c r="AU1900" i="1"/>
  <c r="AV1900" i="1"/>
  <c r="AX1900" i="1"/>
  <c r="AY1900" i="1"/>
  <c r="AZ1900" i="1"/>
  <c r="BA1900" i="1"/>
  <c r="AO1901" i="1"/>
  <c r="AP1901" i="1"/>
  <c r="AR1901" i="1"/>
  <c r="AS1901" i="1"/>
  <c r="AT1901" i="1"/>
  <c r="AU1901" i="1"/>
  <c r="AV1901" i="1"/>
  <c r="AX1901" i="1"/>
  <c r="AY1901" i="1"/>
  <c r="AO1902" i="1"/>
  <c r="AP1902" i="1"/>
  <c r="AR1902" i="1"/>
  <c r="AS1902" i="1"/>
  <c r="AT1902" i="1"/>
  <c r="AU1902" i="1"/>
  <c r="AV1902" i="1"/>
  <c r="AX1902" i="1"/>
  <c r="AY1902" i="1"/>
  <c r="AZ1902" i="1"/>
  <c r="BA1902" i="1"/>
  <c r="AO1903" i="1"/>
  <c r="AP1903" i="1"/>
  <c r="AR1903" i="1"/>
  <c r="AS1903" i="1"/>
  <c r="AT1903" i="1"/>
  <c r="AU1903" i="1"/>
  <c r="AV1903" i="1"/>
  <c r="AX1903" i="1"/>
  <c r="AY1903" i="1"/>
  <c r="AZ1903" i="1"/>
  <c r="BA1903" i="1"/>
  <c r="AO1904" i="1"/>
  <c r="AP1904" i="1"/>
  <c r="AR1904" i="1"/>
  <c r="AS1904" i="1"/>
  <c r="AT1904" i="1"/>
  <c r="AU1904" i="1"/>
  <c r="AV1904" i="1"/>
  <c r="AX1904" i="1"/>
  <c r="AY1904" i="1"/>
  <c r="AZ1904" i="1"/>
  <c r="BA1904" i="1"/>
  <c r="AO1905" i="1"/>
  <c r="AP1905" i="1"/>
  <c r="AR1905" i="1"/>
  <c r="AS1905" i="1"/>
  <c r="AT1905" i="1"/>
  <c r="AU1905" i="1"/>
  <c r="AV1905" i="1"/>
  <c r="AX1905" i="1"/>
  <c r="AY1905" i="1"/>
  <c r="AZ1905" i="1"/>
  <c r="BA1905" i="1"/>
  <c r="AO1906" i="1"/>
  <c r="AP1906" i="1"/>
  <c r="AR1906" i="1"/>
  <c r="AS1906" i="1"/>
  <c r="AT1906" i="1"/>
  <c r="AU1906" i="1"/>
  <c r="AV1906" i="1"/>
  <c r="AX1906" i="1"/>
  <c r="AY1906" i="1"/>
  <c r="AZ1906" i="1"/>
  <c r="BA1906" i="1"/>
  <c r="AO1907" i="1"/>
  <c r="AP1907" i="1"/>
  <c r="AR1907" i="1"/>
  <c r="AS1907" i="1"/>
  <c r="AT1907" i="1"/>
  <c r="AU1907" i="1"/>
  <c r="AV1907" i="1"/>
  <c r="AX1907" i="1"/>
  <c r="AY1907" i="1"/>
  <c r="AZ1907" i="1"/>
  <c r="BA1907" i="1"/>
  <c r="AO1908" i="1"/>
  <c r="AP1908" i="1"/>
  <c r="AR1908" i="1"/>
  <c r="AS1908" i="1"/>
  <c r="AT1908" i="1"/>
  <c r="AU1908" i="1"/>
  <c r="AV1908" i="1"/>
  <c r="AX1908" i="1"/>
  <c r="AY1908" i="1"/>
  <c r="AZ1908" i="1"/>
  <c r="BA1908" i="1"/>
  <c r="AO1909" i="1"/>
  <c r="AP1909" i="1"/>
  <c r="AR1909" i="1"/>
  <c r="AS1909" i="1"/>
  <c r="AT1909" i="1"/>
  <c r="AU1909" i="1"/>
  <c r="AV1909" i="1"/>
  <c r="AX1909" i="1"/>
  <c r="AY1909" i="1"/>
  <c r="AZ1909" i="1"/>
  <c r="BA1909" i="1"/>
  <c r="AO1910" i="1"/>
  <c r="AP1910" i="1"/>
  <c r="AR1910" i="1"/>
  <c r="AS1910" i="1"/>
  <c r="AT1910" i="1"/>
  <c r="AU1910" i="1"/>
  <c r="AV1910" i="1"/>
  <c r="AX1910" i="1"/>
  <c r="AY1910" i="1"/>
  <c r="AZ1910" i="1"/>
  <c r="BA1910" i="1"/>
  <c r="AO1911" i="1"/>
  <c r="AP1911" i="1"/>
  <c r="AR1911" i="1"/>
  <c r="AS1911" i="1"/>
  <c r="AT1911" i="1"/>
  <c r="AU1911" i="1"/>
  <c r="AV1911" i="1"/>
  <c r="AX1911" i="1"/>
  <c r="AY1911" i="1"/>
  <c r="AZ1911" i="1"/>
  <c r="BA1911" i="1"/>
  <c r="AO1912" i="1"/>
  <c r="AP1912" i="1"/>
  <c r="AR1912" i="1"/>
  <c r="AS1912" i="1"/>
  <c r="AT1912" i="1"/>
  <c r="AU1912" i="1"/>
  <c r="AV1912" i="1"/>
  <c r="AX1912" i="1"/>
  <c r="AY1912" i="1"/>
  <c r="AZ1912" i="1"/>
  <c r="BA1912" i="1"/>
  <c r="AO1913" i="1"/>
  <c r="AP1913" i="1"/>
  <c r="AR1913" i="1"/>
  <c r="AS1913" i="1"/>
  <c r="AT1913" i="1"/>
  <c r="AU1913" i="1"/>
  <c r="AV1913" i="1"/>
  <c r="AX1913" i="1"/>
  <c r="AY1913" i="1"/>
  <c r="AZ1913" i="1"/>
  <c r="BA1913" i="1"/>
  <c r="AO1914" i="1"/>
  <c r="AP1914" i="1"/>
  <c r="AR1914" i="1"/>
  <c r="AS1914" i="1"/>
  <c r="AT1914" i="1"/>
  <c r="AU1914" i="1"/>
  <c r="AV1914" i="1"/>
  <c r="AX1914" i="1"/>
  <c r="AY1914" i="1"/>
  <c r="AZ1914" i="1"/>
  <c r="BA1914" i="1"/>
  <c r="AO1915" i="1"/>
  <c r="AP1915" i="1"/>
  <c r="AR1915" i="1"/>
  <c r="AS1915" i="1"/>
  <c r="AT1915" i="1"/>
  <c r="AU1915" i="1"/>
  <c r="AV1915" i="1"/>
  <c r="AX1915" i="1"/>
  <c r="AY1915" i="1"/>
  <c r="AZ1915" i="1"/>
  <c r="BA1915" i="1"/>
  <c r="AO1916" i="1"/>
  <c r="AP1916" i="1"/>
  <c r="AR1916" i="1"/>
  <c r="AS1916" i="1"/>
  <c r="AT1916" i="1"/>
  <c r="AU1916" i="1"/>
  <c r="AV1916" i="1"/>
  <c r="AX1916" i="1"/>
  <c r="AY1916" i="1"/>
  <c r="AZ1916" i="1"/>
  <c r="BA1916" i="1"/>
  <c r="AO1917" i="1"/>
  <c r="AP1917" i="1"/>
  <c r="AR1917" i="1"/>
  <c r="AS1917" i="1"/>
  <c r="AT1917" i="1"/>
  <c r="AU1917" i="1"/>
  <c r="AV1917" i="1"/>
  <c r="AX1917" i="1"/>
  <c r="AY1917" i="1"/>
  <c r="AZ1917" i="1"/>
  <c r="BA1917" i="1"/>
  <c r="AO1918" i="1"/>
  <c r="AP1918" i="1"/>
  <c r="AR1918" i="1"/>
  <c r="AS1918" i="1"/>
  <c r="AT1918" i="1"/>
  <c r="AU1918" i="1"/>
  <c r="AV1918" i="1"/>
  <c r="AX1918" i="1"/>
  <c r="AY1918" i="1"/>
  <c r="AZ1918" i="1"/>
  <c r="BA1918" i="1"/>
  <c r="AO1919" i="1"/>
  <c r="AP1919" i="1"/>
  <c r="AR1919" i="1"/>
  <c r="AS1919" i="1"/>
  <c r="AT1919" i="1"/>
  <c r="AU1919" i="1"/>
  <c r="AV1919" i="1"/>
  <c r="AX1919" i="1"/>
  <c r="AY1919" i="1"/>
  <c r="AZ1919" i="1"/>
  <c r="BA1919" i="1"/>
  <c r="AO1920" i="1"/>
  <c r="AP1920" i="1"/>
  <c r="AR1920" i="1"/>
  <c r="AS1920" i="1"/>
  <c r="AT1920" i="1"/>
  <c r="AU1920" i="1"/>
  <c r="AV1920" i="1"/>
  <c r="AX1920" i="1"/>
  <c r="AY1920" i="1"/>
  <c r="AZ1920" i="1"/>
  <c r="BA1920" i="1"/>
  <c r="AO1921" i="1"/>
  <c r="AP1921" i="1"/>
  <c r="AR1921" i="1"/>
  <c r="AS1921" i="1"/>
  <c r="AT1921" i="1"/>
  <c r="AU1921" i="1"/>
  <c r="AV1921" i="1"/>
  <c r="AX1921" i="1"/>
  <c r="AY1921" i="1"/>
  <c r="AZ1921" i="1"/>
  <c r="BA1921" i="1"/>
  <c r="AO1922" i="1"/>
  <c r="AP1922" i="1"/>
  <c r="AR1922" i="1"/>
  <c r="AS1922" i="1"/>
  <c r="AT1922" i="1"/>
  <c r="AU1922" i="1"/>
  <c r="AV1922" i="1"/>
  <c r="AX1922" i="1"/>
  <c r="AY1922" i="1"/>
  <c r="AZ1922" i="1"/>
  <c r="BA1922" i="1"/>
  <c r="AO1923" i="1"/>
  <c r="AP1923" i="1"/>
  <c r="AR1923" i="1"/>
  <c r="AS1923" i="1"/>
  <c r="AT1923" i="1"/>
  <c r="AU1923" i="1"/>
  <c r="AV1923" i="1"/>
  <c r="AX1923" i="1"/>
  <c r="AY1923" i="1"/>
  <c r="AZ1923" i="1"/>
  <c r="BA1923" i="1"/>
  <c r="AO1924" i="1"/>
  <c r="AP1924" i="1"/>
  <c r="AR1924" i="1"/>
  <c r="AS1924" i="1"/>
  <c r="AT1924" i="1"/>
  <c r="AU1924" i="1"/>
  <c r="AV1924" i="1"/>
  <c r="AX1924" i="1"/>
  <c r="AY1924" i="1"/>
  <c r="AZ1924" i="1"/>
  <c r="BA1924" i="1"/>
  <c r="AO1925" i="1"/>
  <c r="AP1925" i="1"/>
  <c r="AR1925" i="1"/>
  <c r="AS1925" i="1"/>
  <c r="AT1925" i="1"/>
  <c r="AU1925" i="1"/>
  <c r="AV1925" i="1"/>
  <c r="AX1925" i="1"/>
  <c r="AY1925" i="1"/>
  <c r="AZ1925" i="1"/>
  <c r="BA1925" i="1"/>
  <c r="AO1926" i="1"/>
  <c r="AP1926" i="1"/>
  <c r="AR1926" i="1"/>
  <c r="AS1926" i="1"/>
  <c r="AT1926" i="1"/>
  <c r="AU1926" i="1"/>
  <c r="AV1926" i="1"/>
  <c r="AX1926" i="1"/>
  <c r="AY1926" i="1"/>
  <c r="AZ1926" i="1"/>
  <c r="BA1926" i="1"/>
  <c r="AO1927" i="1"/>
  <c r="AP1927" i="1"/>
  <c r="AR1927" i="1"/>
  <c r="AS1927" i="1"/>
  <c r="AT1927" i="1"/>
  <c r="AU1927" i="1"/>
  <c r="AV1927" i="1"/>
  <c r="AX1927" i="1"/>
  <c r="AY1927" i="1"/>
  <c r="AZ1927" i="1"/>
  <c r="BA1927" i="1"/>
  <c r="AO1928" i="1"/>
  <c r="AP1928" i="1"/>
  <c r="AR1928" i="1"/>
  <c r="AS1928" i="1"/>
  <c r="AT1928" i="1"/>
  <c r="AU1928" i="1"/>
  <c r="AV1928" i="1"/>
  <c r="AX1928" i="1"/>
  <c r="AY1928" i="1"/>
  <c r="AZ1928" i="1"/>
  <c r="BA1928" i="1"/>
  <c r="AO1929" i="1"/>
  <c r="AP1929" i="1"/>
  <c r="AR1929" i="1"/>
  <c r="AS1929" i="1"/>
  <c r="AT1929" i="1"/>
  <c r="AU1929" i="1"/>
  <c r="AV1929" i="1"/>
  <c r="AX1929" i="1"/>
  <c r="AY1929" i="1"/>
  <c r="AZ1929" i="1"/>
  <c r="BA1929" i="1"/>
  <c r="AO1930" i="1"/>
  <c r="AP1930" i="1"/>
  <c r="AR1930" i="1"/>
  <c r="AS1930" i="1"/>
  <c r="AT1930" i="1"/>
  <c r="AU1930" i="1"/>
  <c r="AV1930" i="1"/>
  <c r="AX1930" i="1"/>
  <c r="AY1930" i="1"/>
  <c r="AZ1930" i="1"/>
  <c r="BA1930" i="1"/>
  <c r="AO1931" i="1"/>
  <c r="AP1931" i="1"/>
  <c r="AR1931" i="1"/>
  <c r="AS1931" i="1"/>
  <c r="AT1931" i="1"/>
  <c r="AU1931" i="1"/>
  <c r="AV1931" i="1"/>
  <c r="AX1931" i="1"/>
  <c r="AY1931" i="1"/>
  <c r="AZ1931" i="1"/>
  <c r="BA1931" i="1"/>
  <c r="AO1932" i="1"/>
  <c r="AP1932" i="1"/>
  <c r="AR1932" i="1"/>
  <c r="AS1932" i="1"/>
  <c r="AT1932" i="1"/>
  <c r="AU1932" i="1"/>
  <c r="AV1932" i="1"/>
  <c r="AX1932" i="1"/>
  <c r="AY1932" i="1"/>
  <c r="AZ1932" i="1"/>
  <c r="BA1932" i="1"/>
  <c r="AO1933" i="1"/>
  <c r="AP1933" i="1"/>
  <c r="AR1933" i="1"/>
  <c r="AS1933" i="1"/>
  <c r="AT1933" i="1"/>
  <c r="AU1933" i="1"/>
  <c r="AV1933" i="1"/>
  <c r="AX1933" i="1"/>
  <c r="AY1933" i="1"/>
  <c r="AZ1933" i="1"/>
  <c r="BA1933" i="1"/>
  <c r="AO1934" i="1"/>
  <c r="AP1934" i="1"/>
  <c r="AR1934" i="1"/>
  <c r="AS1934" i="1"/>
  <c r="AT1934" i="1"/>
  <c r="AU1934" i="1"/>
  <c r="AV1934" i="1"/>
  <c r="AX1934" i="1"/>
  <c r="AY1934" i="1"/>
  <c r="AZ1934" i="1"/>
  <c r="BA1934" i="1"/>
  <c r="AO1935" i="1"/>
  <c r="AP1935" i="1"/>
  <c r="AR1935" i="1"/>
  <c r="AS1935" i="1"/>
  <c r="AT1935" i="1"/>
  <c r="AU1935" i="1"/>
  <c r="AV1935" i="1"/>
  <c r="AX1935" i="1"/>
  <c r="AY1935" i="1"/>
  <c r="AZ1935" i="1"/>
  <c r="BA1935" i="1"/>
  <c r="AO1936" i="1"/>
  <c r="AP1936" i="1"/>
  <c r="AR1936" i="1"/>
  <c r="AS1936" i="1"/>
  <c r="AT1936" i="1"/>
  <c r="AU1936" i="1"/>
  <c r="AV1936" i="1"/>
  <c r="AX1936" i="1"/>
  <c r="AY1936" i="1"/>
  <c r="AZ1936" i="1"/>
  <c r="BA1936" i="1"/>
  <c r="AO1937" i="1"/>
  <c r="AP1937" i="1"/>
  <c r="AR1937" i="1"/>
  <c r="AS1937" i="1"/>
  <c r="AT1937" i="1"/>
  <c r="AU1937" i="1"/>
  <c r="AV1937" i="1"/>
  <c r="AX1937" i="1"/>
  <c r="AY1937" i="1"/>
  <c r="AZ1937" i="1"/>
  <c r="BA1937" i="1"/>
  <c r="AO1938" i="1"/>
  <c r="AP1938" i="1"/>
  <c r="AR1938" i="1"/>
  <c r="AS1938" i="1"/>
  <c r="AT1938" i="1"/>
  <c r="AU1938" i="1"/>
  <c r="AV1938" i="1"/>
  <c r="AX1938" i="1"/>
  <c r="AY1938" i="1"/>
  <c r="AZ1938" i="1"/>
  <c r="BA1938" i="1"/>
  <c r="AO1939" i="1"/>
  <c r="AP1939" i="1"/>
  <c r="AR1939" i="1"/>
  <c r="AS1939" i="1"/>
  <c r="AT1939" i="1"/>
  <c r="AU1939" i="1"/>
  <c r="AV1939" i="1"/>
  <c r="AX1939" i="1"/>
  <c r="AY1939" i="1"/>
  <c r="AZ1939" i="1"/>
  <c r="BA1939" i="1"/>
  <c r="AO1940" i="1"/>
  <c r="AP1940" i="1"/>
  <c r="AR1940" i="1"/>
  <c r="AS1940" i="1"/>
  <c r="AT1940" i="1"/>
  <c r="AU1940" i="1"/>
  <c r="AV1940" i="1"/>
  <c r="AX1940" i="1"/>
  <c r="AY1940" i="1"/>
  <c r="AZ1940" i="1"/>
  <c r="BA1940" i="1"/>
  <c r="AO1941" i="1"/>
  <c r="AP1941" i="1"/>
  <c r="AR1941" i="1"/>
  <c r="AS1941" i="1"/>
  <c r="AT1941" i="1"/>
  <c r="AU1941" i="1"/>
  <c r="AV1941" i="1"/>
  <c r="AX1941" i="1"/>
  <c r="AY1941" i="1"/>
  <c r="AZ1941" i="1"/>
  <c r="BA1941" i="1"/>
  <c r="AO1942" i="1"/>
  <c r="AP1942" i="1"/>
  <c r="AR1942" i="1"/>
  <c r="AS1942" i="1"/>
  <c r="AT1942" i="1"/>
  <c r="AU1942" i="1"/>
  <c r="AV1942" i="1"/>
  <c r="AX1942" i="1"/>
  <c r="AY1942" i="1"/>
  <c r="AZ1942" i="1"/>
  <c r="BA1942" i="1"/>
  <c r="AO1943" i="1"/>
  <c r="AP1943" i="1"/>
  <c r="AR1943" i="1"/>
  <c r="AS1943" i="1"/>
  <c r="AT1943" i="1"/>
  <c r="AU1943" i="1"/>
  <c r="AV1943" i="1"/>
  <c r="AX1943" i="1"/>
  <c r="AY1943" i="1"/>
  <c r="AZ1943" i="1"/>
  <c r="BA1943" i="1"/>
  <c r="AO1944" i="1"/>
  <c r="AP1944" i="1"/>
  <c r="AR1944" i="1"/>
  <c r="AS1944" i="1"/>
  <c r="AT1944" i="1"/>
  <c r="AU1944" i="1"/>
  <c r="AV1944" i="1"/>
  <c r="AX1944" i="1"/>
  <c r="AY1944" i="1"/>
  <c r="AZ1944" i="1"/>
  <c r="BA1944" i="1"/>
  <c r="AO1945" i="1"/>
  <c r="AP1945" i="1"/>
  <c r="AR1945" i="1"/>
  <c r="AS1945" i="1"/>
  <c r="AT1945" i="1"/>
  <c r="AU1945" i="1"/>
  <c r="AV1945" i="1"/>
  <c r="AX1945" i="1"/>
  <c r="AY1945" i="1"/>
  <c r="AZ1945" i="1"/>
  <c r="BA1945" i="1"/>
  <c r="AO1946" i="1"/>
  <c r="AP1946" i="1"/>
  <c r="AR1946" i="1"/>
  <c r="AS1946" i="1"/>
  <c r="AT1946" i="1"/>
  <c r="AU1946" i="1"/>
  <c r="AV1946" i="1"/>
  <c r="AX1946" i="1"/>
  <c r="AY1946" i="1"/>
  <c r="AZ1946" i="1"/>
  <c r="BA1946" i="1"/>
  <c r="AO1947" i="1"/>
  <c r="AP1947" i="1"/>
  <c r="AR1947" i="1"/>
  <c r="AS1947" i="1"/>
  <c r="AT1947" i="1"/>
  <c r="AU1947" i="1"/>
  <c r="AV1947" i="1"/>
  <c r="AX1947" i="1"/>
  <c r="AY1947" i="1"/>
  <c r="AZ1947" i="1"/>
  <c r="BA1947" i="1"/>
  <c r="AO1948" i="1"/>
  <c r="AP1948" i="1"/>
  <c r="AR1948" i="1"/>
  <c r="AS1948" i="1"/>
  <c r="AT1948" i="1"/>
  <c r="AU1948" i="1"/>
  <c r="AV1948" i="1"/>
  <c r="AX1948" i="1"/>
  <c r="AY1948" i="1"/>
  <c r="AZ1948" i="1"/>
  <c r="BA1948" i="1"/>
  <c r="AO1949" i="1"/>
  <c r="AP1949" i="1"/>
  <c r="AR1949" i="1"/>
  <c r="AS1949" i="1"/>
  <c r="AT1949" i="1"/>
  <c r="AU1949" i="1"/>
  <c r="AV1949" i="1"/>
  <c r="AX1949" i="1"/>
  <c r="AY1949" i="1"/>
  <c r="AZ1949" i="1"/>
  <c r="BA1949" i="1"/>
  <c r="AO1950" i="1"/>
  <c r="AP1950" i="1"/>
  <c r="AR1950" i="1"/>
  <c r="AS1950" i="1"/>
  <c r="AT1950" i="1"/>
  <c r="AU1950" i="1"/>
  <c r="AV1950" i="1"/>
  <c r="AX1950" i="1"/>
  <c r="AY1950" i="1"/>
  <c r="AZ1950" i="1"/>
  <c r="BA1950" i="1"/>
  <c r="AO1951" i="1"/>
  <c r="AP1951" i="1"/>
  <c r="AR1951" i="1"/>
  <c r="AS1951" i="1"/>
  <c r="AT1951" i="1"/>
  <c r="AU1951" i="1"/>
  <c r="AV1951" i="1"/>
  <c r="AX1951" i="1"/>
  <c r="AY1951" i="1"/>
  <c r="AZ1951" i="1"/>
  <c r="BA1951" i="1"/>
  <c r="AO1952" i="1"/>
  <c r="AP1952" i="1"/>
  <c r="AR1952" i="1"/>
  <c r="AS1952" i="1"/>
  <c r="AT1952" i="1"/>
  <c r="AU1952" i="1"/>
  <c r="AV1952" i="1"/>
  <c r="AX1952" i="1"/>
  <c r="AY1952" i="1"/>
  <c r="AZ1952" i="1"/>
  <c r="BA1952" i="1"/>
  <c r="AO1953" i="1"/>
  <c r="AP1953" i="1"/>
  <c r="AR1953" i="1"/>
  <c r="AS1953" i="1"/>
  <c r="AT1953" i="1"/>
  <c r="AU1953" i="1"/>
  <c r="AV1953" i="1"/>
  <c r="AX1953" i="1"/>
  <c r="AY1953" i="1"/>
  <c r="AZ1953" i="1"/>
  <c r="BA1953" i="1"/>
  <c r="AO1954" i="1"/>
  <c r="AP1954" i="1"/>
  <c r="AR1954" i="1"/>
  <c r="AS1954" i="1"/>
  <c r="AT1954" i="1"/>
  <c r="AU1954" i="1"/>
  <c r="AV1954" i="1"/>
  <c r="AX1954" i="1"/>
  <c r="AY1954" i="1"/>
  <c r="AZ1954" i="1"/>
  <c r="BA1954" i="1"/>
  <c r="AO1955" i="1"/>
  <c r="AP1955" i="1"/>
  <c r="AR1955" i="1"/>
  <c r="AS1955" i="1"/>
  <c r="AT1955" i="1"/>
  <c r="AU1955" i="1"/>
  <c r="AV1955" i="1"/>
  <c r="AX1955" i="1"/>
  <c r="AY1955" i="1"/>
  <c r="AZ1955" i="1"/>
  <c r="BA1955" i="1"/>
  <c r="AO1956" i="1"/>
  <c r="AP1956" i="1"/>
  <c r="AR1956" i="1"/>
  <c r="AS1956" i="1"/>
  <c r="AT1956" i="1"/>
  <c r="AU1956" i="1"/>
  <c r="AV1956" i="1"/>
  <c r="AX1956" i="1"/>
  <c r="AY1956" i="1"/>
  <c r="AZ1956" i="1"/>
  <c r="BA1956" i="1"/>
  <c r="AO1957" i="1"/>
  <c r="AP1957" i="1"/>
  <c r="AR1957" i="1"/>
  <c r="AS1957" i="1"/>
  <c r="AT1957" i="1"/>
  <c r="AU1957" i="1"/>
  <c r="AV1957" i="1"/>
  <c r="AX1957" i="1"/>
  <c r="AY1957" i="1"/>
  <c r="AZ1957" i="1"/>
  <c r="BA1957" i="1"/>
  <c r="AO1958" i="1"/>
  <c r="AP1958" i="1"/>
  <c r="AR1958" i="1"/>
  <c r="AS1958" i="1"/>
  <c r="AT1958" i="1"/>
  <c r="AU1958" i="1"/>
  <c r="AV1958" i="1"/>
  <c r="AX1958" i="1"/>
  <c r="AY1958" i="1"/>
  <c r="AZ1958" i="1"/>
  <c r="BA1958" i="1"/>
  <c r="AO1959" i="1"/>
  <c r="AP1959" i="1"/>
  <c r="AR1959" i="1"/>
  <c r="AS1959" i="1"/>
  <c r="AT1959" i="1"/>
  <c r="AU1959" i="1"/>
  <c r="AV1959" i="1"/>
  <c r="AX1959" i="1"/>
  <c r="AY1959" i="1"/>
  <c r="AZ1959" i="1"/>
  <c r="BA1959" i="1"/>
  <c r="AO1960" i="1"/>
  <c r="AP1960" i="1"/>
  <c r="AR1960" i="1"/>
  <c r="AS1960" i="1"/>
  <c r="AT1960" i="1"/>
  <c r="AU1960" i="1"/>
  <c r="AV1960" i="1"/>
  <c r="AX1960" i="1"/>
  <c r="AY1960" i="1"/>
  <c r="AZ1960" i="1"/>
  <c r="BA1960" i="1"/>
  <c r="AO1961" i="1"/>
  <c r="AP1961" i="1"/>
  <c r="AR1961" i="1"/>
  <c r="AS1961" i="1"/>
  <c r="AT1961" i="1"/>
  <c r="AU1961" i="1"/>
  <c r="AV1961" i="1"/>
  <c r="AX1961" i="1"/>
  <c r="AY1961" i="1"/>
  <c r="AZ1961" i="1"/>
  <c r="BA1961" i="1"/>
  <c r="AO1962" i="1"/>
  <c r="AP1962" i="1"/>
  <c r="AR1962" i="1"/>
  <c r="AS1962" i="1"/>
  <c r="AT1962" i="1"/>
  <c r="AU1962" i="1"/>
  <c r="AV1962" i="1"/>
  <c r="AX1962" i="1"/>
  <c r="AY1962" i="1"/>
  <c r="AZ1962" i="1"/>
  <c r="BA1962" i="1"/>
  <c r="AO1963" i="1"/>
  <c r="AP1963" i="1"/>
  <c r="AR1963" i="1"/>
  <c r="AS1963" i="1"/>
  <c r="AT1963" i="1"/>
  <c r="AU1963" i="1"/>
  <c r="AV1963" i="1"/>
  <c r="AX1963" i="1"/>
  <c r="AY1963" i="1"/>
  <c r="AZ1963" i="1"/>
  <c r="BA1963" i="1"/>
  <c r="AO1964" i="1"/>
  <c r="AP1964" i="1"/>
  <c r="AR1964" i="1"/>
  <c r="AS1964" i="1"/>
  <c r="AT1964" i="1"/>
  <c r="AU1964" i="1"/>
  <c r="AV1964" i="1"/>
  <c r="AX1964" i="1"/>
  <c r="AY1964" i="1"/>
  <c r="AZ1964" i="1"/>
  <c r="BA1964" i="1"/>
  <c r="AO1965" i="1"/>
  <c r="AP1965" i="1"/>
  <c r="AR1965" i="1"/>
  <c r="AS1965" i="1"/>
  <c r="AT1965" i="1"/>
  <c r="AU1965" i="1"/>
  <c r="AV1965" i="1"/>
  <c r="AX1965" i="1"/>
  <c r="AY1965" i="1"/>
  <c r="AZ1965" i="1"/>
  <c r="BA1965" i="1"/>
  <c r="AO1966" i="1"/>
  <c r="AP1966" i="1"/>
  <c r="AR1966" i="1"/>
  <c r="AS1966" i="1"/>
  <c r="AT1966" i="1"/>
  <c r="AU1966" i="1"/>
  <c r="AV1966" i="1"/>
  <c r="AX1966" i="1"/>
  <c r="AY1966" i="1"/>
  <c r="AZ1966" i="1"/>
  <c r="BA1966" i="1"/>
  <c r="AO1967" i="1"/>
  <c r="AP1967" i="1"/>
  <c r="AR1967" i="1"/>
  <c r="AS1967" i="1"/>
  <c r="AT1967" i="1"/>
  <c r="AU1967" i="1"/>
  <c r="AV1967" i="1"/>
  <c r="AX1967" i="1"/>
  <c r="AY1967" i="1"/>
  <c r="AZ1967" i="1"/>
  <c r="BA1967" i="1"/>
  <c r="AO1968" i="1"/>
  <c r="AP1968" i="1"/>
  <c r="AR1968" i="1"/>
  <c r="AS1968" i="1"/>
  <c r="AT1968" i="1"/>
  <c r="AU1968" i="1"/>
  <c r="AV1968" i="1"/>
  <c r="AX1968" i="1"/>
  <c r="AY1968" i="1"/>
  <c r="AZ1968" i="1"/>
  <c r="BA1968" i="1"/>
  <c r="AO1969" i="1"/>
  <c r="AP1969" i="1"/>
  <c r="AR1969" i="1"/>
  <c r="AS1969" i="1"/>
  <c r="AT1969" i="1"/>
  <c r="AU1969" i="1"/>
  <c r="AV1969" i="1"/>
  <c r="AX1969" i="1"/>
  <c r="AY1969" i="1"/>
  <c r="AZ1969" i="1"/>
  <c r="BA1969" i="1"/>
  <c r="AO1970" i="1"/>
  <c r="AP1970" i="1"/>
  <c r="AR1970" i="1"/>
  <c r="AS1970" i="1"/>
  <c r="AT1970" i="1"/>
  <c r="AU1970" i="1"/>
  <c r="AV1970" i="1"/>
  <c r="AX1970" i="1"/>
  <c r="AY1970" i="1"/>
  <c r="AZ1970" i="1"/>
  <c r="BA1970" i="1"/>
  <c r="AO1971" i="1"/>
  <c r="AP1971" i="1"/>
  <c r="AR1971" i="1"/>
  <c r="AS1971" i="1"/>
  <c r="AT1971" i="1"/>
  <c r="AU1971" i="1"/>
  <c r="AV1971" i="1"/>
  <c r="AX1971" i="1"/>
  <c r="AY1971" i="1"/>
  <c r="AZ1971" i="1"/>
  <c r="BA1971" i="1"/>
  <c r="AO1972" i="1"/>
  <c r="AP1972" i="1"/>
  <c r="AR1972" i="1"/>
  <c r="AS1972" i="1"/>
  <c r="AT1972" i="1"/>
  <c r="AU1972" i="1"/>
  <c r="AV1972" i="1"/>
  <c r="AX1972" i="1"/>
  <c r="AY1972" i="1"/>
  <c r="AZ1972" i="1"/>
  <c r="BA1972" i="1"/>
  <c r="AO1973" i="1"/>
  <c r="AP1973" i="1"/>
  <c r="AR1973" i="1"/>
  <c r="AS1973" i="1"/>
  <c r="AT1973" i="1"/>
  <c r="AU1973" i="1"/>
  <c r="AV1973" i="1"/>
  <c r="AX1973" i="1"/>
  <c r="AY1973" i="1"/>
  <c r="AZ1973" i="1"/>
  <c r="BA1973" i="1"/>
  <c r="AO1974" i="1"/>
  <c r="AP1974" i="1"/>
  <c r="AR1974" i="1"/>
  <c r="AS1974" i="1"/>
  <c r="AT1974" i="1"/>
  <c r="AU1974" i="1"/>
  <c r="AV1974" i="1"/>
  <c r="AX1974" i="1"/>
  <c r="AY1974" i="1"/>
  <c r="AZ1974" i="1"/>
  <c r="BA1974" i="1"/>
  <c r="AO1975" i="1"/>
  <c r="AP1975" i="1"/>
  <c r="AR1975" i="1"/>
  <c r="AS1975" i="1"/>
  <c r="AT1975" i="1"/>
  <c r="AU1975" i="1"/>
  <c r="AV1975" i="1"/>
  <c r="AX1975" i="1"/>
  <c r="AY1975" i="1"/>
  <c r="AZ1975" i="1"/>
  <c r="BA1975" i="1"/>
  <c r="AO1976" i="1"/>
  <c r="AP1976" i="1"/>
  <c r="AR1976" i="1"/>
  <c r="AS1976" i="1"/>
  <c r="AT1976" i="1"/>
  <c r="AU1976" i="1"/>
  <c r="AV1976" i="1"/>
  <c r="AX1976" i="1"/>
  <c r="AY1976" i="1"/>
  <c r="AZ1976" i="1"/>
  <c r="BA1976" i="1"/>
  <c r="AO1977" i="1"/>
  <c r="AP1977" i="1"/>
  <c r="AR1977" i="1"/>
  <c r="AS1977" i="1"/>
  <c r="AT1977" i="1"/>
  <c r="AU1977" i="1"/>
  <c r="AV1977" i="1"/>
  <c r="AX1977" i="1"/>
  <c r="AY1977" i="1"/>
  <c r="AZ1977" i="1"/>
  <c r="BA1977" i="1"/>
  <c r="AO1978" i="1"/>
  <c r="AP1978" i="1"/>
  <c r="AR1978" i="1"/>
  <c r="AS1978" i="1"/>
  <c r="AT1978" i="1"/>
  <c r="AU1978" i="1"/>
  <c r="AV1978" i="1"/>
  <c r="AX1978" i="1"/>
  <c r="AY1978" i="1"/>
  <c r="AZ1978" i="1"/>
  <c r="BA1978" i="1"/>
  <c r="AO1979" i="1"/>
  <c r="AP1979" i="1"/>
  <c r="AR1979" i="1"/>
  <c r="AS1979" i="1"/>
  <c r="AT1979" i="1"/>
  <c r="AU1979" i="1"/>
  <c r="AV1979" i="1"/>
  <c r="AX1979" i="1"/>
  <c r="AY1979" i="1"/>
  <c r="AZ1979" i="1"/>
  <c r="BA1979" i="1"/>
  <c r="AO1980" i="1"/>
  <c r="AP1980" i="1"/>
  <c r="AR1980" i="1"/>
  <c r="AS1980" i="1"/>
  <c r="AT1980" i="1"/>
  <c r="AU1980" i="1"/>
  <c r="AV1980" i="1"/>
  <c r="AX1980" i="1"/>
  <c r="AY1980" i="1"/>
  <c r="AZ1980" i="1"/>
  <c r="BA1980" i="1"/>
  <c r="AO1981" i="1"/>
  <c r="AP1981" i="1"/>
  <c r="AR1981" i="1"/>
  <c r="AS1981" i="1"/>
  <c r="AT1981" i="1"/>
  <c r="AU1981" i="1"/>
  <c r="AV1981" i="1"/>
  <c r="AX1981" i="1"/>
  <c r="AY1981" i="1"/>
  <c r="AZ1981" i="1"/>
  <c r="BA1981" i="1"/>
  <c r="AO1982" i="1"/>
  <c r="AP1982" i="1"/>
  <c r="AR1982" i="1"/>
  <c r="AS1982" i="1"/>
  <c r="AT1982" i="1"/>
  <c r="AU1982" i="1"/>
  <c r="AV1982" i="1"/>
  <c r="AX1982" i="1"/>
  <c r="AY1982" i="1"/>
  <c r="AZ1982" i="1"/>
  <c r="BA1982" i="1"/>
  <c r="AO1983" i="1"/>
  <c r="AP1983" i="1"/>
  <c r="AR1983" i="1"/>
  <c r="AS1983" i="1"/>
  <c r="AT1983" i="1"/>
  <c r="AU1983" i="1"/>
  <c r="AV1983" i="1"/>
  <c r="AX1983" i="1"/>
  <c r="AY1983" i="1"/>
  <c r="AZ1983" i="1"/>
  <c r="BA1983" i="1"/>
  <c r="AO1984" i="1"/>
  <c r="AP1984" i="1"/>
  <c r="AR1984" i="1"/>
  <c r="AS1984" i="1"/>
  <c r="AT1984" i="1"/>
  <c r="AU1984" i="1"/>
  <c r="AV1984" i="1"/>
  <c r="AX1984" i="1"/>
  <c r="AY1984" i="1"/>
  <c r="AZ1984" i="1"/>
  <c r="BA1984" i="1"/>
  <c r="AO1985" i="1"/>
  <c r="AP1985" i="1"/>
  <c r="AR1985" i="1"/>
  <c r="AS1985" i="1"/>
  <c r="AT1985" i="1"/>
  <c r="AU1985" i="1"/>
  <c r="AV1985" i="1"/>
  <c r="AX1985" i="1"/>
  <c r="AY1985" i="1"/>
  <c r="AZ1985" i="1"/>
  <c r="BA1985" i="1"/>
  <c r="AO1986" i="1"/>
  <c r="AP1986" i="1"/>
  <c r="AR1986" i="1"/>
  <c r="AS1986" i="1"/>
  <c r="AT1986" i="1"/>
  <c r="AU1986" i="1"/>
  <c r="AV1986" i="1"/>
  <c r="AX1986" i="1"/>
  <c r="AY1986" i="1"/>
  <c r="AZ1986" i="1"/>
  <c r="BA1986" i="1"/>
  <c r="AO1987" i="1"/>
  <c r="AP1987" i="1"/>
  <c r="AR1987" i="1"/>
  <c r="AS1987" i="1"/>
  <c r="AT1987" i="1"/>
  <c r="AU1987" i="1"/>
  <c r="AV1987" i="1"/>
  <c r="AX1987" i="1"/>
  <c r="AY1987" i="1"/>
  <c r="AZ1987" i="1"/>
  <c r="BA1987" i="1"/>
  <c r="AO1988" i="1"/>
  <c r="AP1988" i="1"/>
  <c r="AR1988" i="1"/>
  <c r="AS1988" i="1"/>
  <c r="AT1988" i="1"/>
  <c r="AU1988" i="1"/>
  <c r="AV1988" i="1"/>
  <c r="AX1988" i="1"/>
  <c r="AY1988" i="1"/>
  <c r="AZ1988" i="1"/>
  <c r="BA1988" i="1"/>
  <c r="AO1989" i="1"/>
  <c r="AP1989" i="1"/>
  <c r="AR1989" i="1"/>
  <c r="AS1989" i="1"/>
  <c r="AT1989" i="1"/>
  <c r="AU1989" i="1"/>
  <c r="AV1989" i="1"/>
  <c r="AX1989" i="1"/>
  <c r="AY1989" i="1"/>
  <c r="AZ1989" i="1"/>
  <c r="BA1989" i="1"/>
  <c r="AO1990" i="1"/>
  <c r="AP1990" i="1"/>
  <c r="AR1990" i="1"/>
  <c r="AS1990" i="1"/>
  <c r="AT1990" i="1"/>
  <c r="AU1990" i="1"/>
  <c r="AV1990" i="1"/>
  <c r="AX1990" i="1"/>
  <c r="AZ1990" i="1"/>
  <c r="BA1990" i="1"/>
  <c r="AO1991" i="1"/>
  <c r="AP1991" i="1"/>
  <c r="AR1991" i="1"/>
  <c r="AS1991" i="1"/>
  <c r="AT1991" i="1"/>
  <c r="AU1991" i="1"/>
  <c r="AV1991" i="1"/>
  <c r="AX1991" i="1"/>
  <c r="AZ1991" i="1"/>
  <c r="BA1991" i="1"/>
  <c r="AO1992" i="1"/>
  <c r="AP1992" i="1"/>
  <c r="AR1992" i="1"/>
  <c r="AS1992" i="1"/>
  <c r="AT1992" i="1"/>
  <c r="AU1992" i="1"/>
  <c r="AV1992" i="1"/>
  <c r="AX1992" i="1"/>
  <c r="AZ1992" i="1"/>
  <c r="BA1992" i="1"/>
  <c r="AO1993" i="1"/>
  <c r="AP1993" i="1"/>
  <c r="AR1993" i="1"/>
  <c r="AS1993" i="1"/>
  <c r="AT1993" i="1"/>
  <c r="AU1993" i="1"/>
  <c r="AV1993" i="1"/>
  <c r="AX1993" i="1"/>
  <c r="AZ1993" i="1"/>
  <c r="BA1993" i="1"/>
  <c r="AO1994" i="1"/>
  <c r="AP1994" i="1"/>
  <c r="AR1994" i="1"/>
  <c r="AS1994" i="1"/>
  <c r="AT1994" i="1"/>
  <c r="AU1994" i="1"/>
  <c r="AV1994" i="1"/>
  <c r="AX1994" i="1"/>
  <c r="AZ1994" i="1"/>
  <c r="BA1994" i="1"/>
  <c r="AO1995" i="1"/>
  <c r="AP1995" i="1"/>
  <c r="AR1995" i="1"/>
  <c r="AS1995" i="1"/>
  <c r="AT1995" i="1"/>
  <c r="AU1995" i="1"/>
  <c r="AV1995" i="1"/>
  <c r="AX1995" i="1"/>
  <c r="AZ1995" i="1"/>
  <c r="BA1995" i="1"/>
  <c r="AO1996" i="1"/>
  <c r="AP1996" i="1"/>
  <c r="AR1996" i="1"/>
  <c r="AS1996" i="1"/>
  <c r="AT1996" i="1"/>
  <c r="AU1996" i="1"/>
  <c r="AV1996" i="1"/>
  <c r="AX1996" i="1"/>
  <c r="AZ1996" i="1"/>
  <c r="BA1996" i="1"/>
  <c r="AO1997" i="1"/>
  <c r="AP1997" i="1"/>
  <c r="AR1997" i="1"/>
  <c r="AS1997" i="1"/>
  <c r="AT1997" i="1"/>
  <c r="AU1997" i="1"/>
  <c r="AV1997" i="1"/>
  <c r="AX1997" i="1"/>
  <c r="AZ1997" i="1"/>
  <c r="BA1997" i="1"/>
  <c r="AO1998" i="1"/>
  <c r="AP1998" i="1"/>
  <c r="AR1998" i="1"/>
  <c r="AS1998" i="1"/>
  <c r="AT1998" i="1"/>
  <c r="AU1998" i="1"/>
  <c r="AV1998" i="1"/>
  <c r="AX1998" i="1"/>
  <c r="AZ1998" i="1"/>
  <c r="BA1998" i="1"/>
  <c r="AO1999" i="1"/>
  <c r="AP1999" i="1"/>
  <c r="AR1999" i="1"/>
  <c r="AS1999" i="1"/>
  <c r="AT1999" i="1"/>
  <c r="AU1999" i="1"/>
  <c r="AV1999" i="1"/>
  <c r="AX1999" i="1"/>
  <c r="AZ1999" i="1"/>
  <c r="BA1999" i="1"/>
  <c r="AO2000" i="1"/>
  <c r="AP2000" i="1"/>
  <c r="AR2000" i="1"/>
  <c r="AS2000" i="1"/>
  <c r="AT2000" i="1"/>
  <c r="AU2000" i="1"/>
  <c r="AV2000" i="1"/>
  <c r="AX2000" i="1"/>
  <c r="AZ2000" i="1"/>
  <c r="BA2000" i="1"/>
  <c r="O144" i="1"/>
  <c r="P144" i="1"/>
  <c r="Q144" i="1"/>
  <c r="R144" i="1"/>
  <c r="S144" i="1"/>
  <c r="T144" i="1"/>
  <c r="AW144" i="1" s="1"/>
  <c r="O145" i="1"/>
  <c r="P145" i="1"/>
  <c r="Q145" i="1"/>
  <c r="R145" i="1"/>
  <c r="S145" i="1"/>
  <c r="T145" i="1"/>
  <c r="AW145" i="1" s="1"/>
  <c r="O146" i="1"/>
  <c r="P146" i="1"/>
  <c r="Q146" i="1"/>
  <c r="R146" i="1"/>
  <c r="S146" i="1"/>
  <c r="T146" i="1"/>
  <c r="AW146" i="1" s="1"/>
  <c r="O147" i="1"/>
  <c r="P147" i="1"/>
  <c r="Q147" i="1"/>
  <c r="R147" i="1"/>
  <c r="S147" i="1"/>
  <c r="T147" i="1"/>
  <c r="AW147" i="1" s="1"/>
  <c r="O148" i="1"/>
  <c r="P148" i="1"/>
  <c r="Q148" i="1"/>
  <c r="R148" i="1"/>
  <c r="S148" i="1"/>
  <c r="T148" i="1"/>
  <c r="AW148" i="1" s="1"/>
  <c r="O149" i="1"/>
  <c r="P149" i="1"/>
  <c r="Q149" i="1"/>
  <c r="R149" i="1"/>
  <c r="S149" i="1"/>
  <c r="T149" i="1"/>
  <c r="AW149" i="1" s="1"/>
  <c r="O150" i="1"/>
  <c r="P150" i="1"/>
  <c r="Q150" i="1"/>
  <c r="R150" i="1"/>
  <c r="S150" i="1"/>
  <c r="T150" i="1"/>
  <c r="AW150" i="1" s="1"/>
  <c r="O151" i="1"/>
  <c r="P151" i="1"/>
  <c r="Q151" i="1"/>
  <c r="R151" i="1"/>
  <c r="S151" i="1"/>
  <c r="T151" i="1"/>
  <c r="AW151" i="1" s="1"/>
  <c r="O152" i="1"/>
  <c r="P152" i="1"/>
  <c r="Q152" i="1"/>
  <c r="R152" i="1"/>
  <c r="S152" i="1"/>
  <c r="T152" i="1"/>
  <c r="AW152" i="1" s="1"/>
  <c r="O153" i="1"/>
  <c r="P153" i="1"/>
  <c r="Q153" i="1"/>
  <c r="O154" i="1"/>
  <c r="P154" i="1"/>
  <c r="Q154" i="1"/>
  <c r="R154" i="1"/>
  <c r="S154" i="1"/>
  <c r="T154" i="1"/>
  <c r="AW154" i="1" s="1"/>
  <c r="R155" i="1"/>
  <c r="S155" i="1"/>
  <c r="T155" i="1"/>
  <c r="AW155" i="1" s="1"/>
  <c r="O156" i="1"/>
  <c r="P156" i="1"/>
  <c r="Q156" i="1"/>
  <c r="R156" i="1"/>
  <c r="S156" i="1"/>
  <c r="T156" i="1"/>
  <c r="AW156" i="1" s="1"/>
  <c r="O157" i="1"/>
  <c r="P157" i="1"/>
  <c r="Q157" i="1"/>
  <c r="R157" i="1"/>
  <c r="S157" i="1"/>
  <c r="T157" i="1"/>
  <c r="AW157" i="1" s="1"/>
  <c r="O158" i="1"/>
  <c r="P158" i="1"/>
  <c r="Q158" i="1"/>
  <c r="R158" i="1"/>
  <c r="S158" i="1"/>
  <c r="T158" i="1"/>
  <c r="AW158" i="1" s="1"/>
  <c r="O159" i="1"/>
  <c r="P159" i="1"/>
  <c r="Q159" i="1"/>
  <c r="R159" i="1"/>
  <c r="S159" i="1"/>
  <c r="T159" i="1"/>
  <c r="AW159" i="1" s="1"/>
  <c r="O160" i="1"/>
  <c r="P160" i="1"/>
  <c r="Q160" i="1"/>
  <c r="R160" i="1"/>
  <c r="S160" i="1"/>
  <c r="T160" i="1"/>
  <c r="AW160" i="1" s="1"/>
  <c r="O161" i="1"/>
  <c r="P161" i="1"/>
  <c r="Q161" i="1"/>
  <c r="O162" i="1"/>
  <c r="P162" i="1"/>
  <c r="R161" i="1" s="1"/>
  <c r="S161" i="1" s="1"/>
  <c r="Q162" i="1"/>
  <c r="T161" i="1" s="1"/>
  <c r="AW161" i="1" s="1"/>
  <c r="R162" i="1"/>
  <c r="S162" i="1"/>
  <c r="T162" i="1"/>
  <c r="AW162" i="1" s="1"/>
  <c r="O163" i="1"/>
  <c r="P163" i="1"/>
  <c r="Q163" i="1"/>
  <c r="R163" i="1"/>
  <c r="S163" i="1"/>
  <c r="T163" i="1"/>
  <c r="AW163" i="1" s="1"/>
  <c r="O164" i="1"/>
  <c r="P164" i="1"/>
  <c r="Q164" i="1"/>
  <c r="R164" i="1"/>
  <c r="S164" i="1"/>
  <c r="T164" i="1"/>
  <c r="AW164" i="1" s="1"/>
  <c r="O165" i="1"/>
  <c r="P165" i="1"/>
  <c r="Q165" i="1"/>
  <c r="R165" i="1"/>
  <c r="S165" i="1"/>
  <c r="T165" i="1"/>
  <c r="AW165" i="1" s="1"/>
  <c r="O166" i="1"/>
  <c r="P166" i="1"/>
  <c r="Q166" i="1"/>
  <c r="P167" i="1"/>
  <c r="R166" i="1" s="1"/>
  <c r="S166" i="1" s="1"/>
  <c r="Q167" i="1"/>
  <c r="T166" i="1" s="1"/>
  <c r="AW166" i="1" s="1"/>
  <c r="R167" i="1"/>
  <c r="S167" i="1"/>
  <c r="T167" i="1"/>
  <c r="AW167" i="1" s="1"/>
  <c r="O168" i="1"/>
  <c r="P168" i="1"/>
  <c r="Q168" i="1"/>
  <c r="R168" i="1"/>
  <c r="S168" i="1"/>
  <c r="T168" i="1"/>
  <c r="AW168" i="1" s="1"/>
  <c r="O169" i="1"/>
  <c r="P169" i="1"/>
  <c r="Q169" i="1"/>
  <c r="R169" i="1"/>
  <c r="S169" i="1"/>
  <c r="T169" i="1"/>
  <c r="AW169" i="1" s="1"/>
  <c r="O170" i="1"/>
  <c r="P170" i="1"/>
  <c r="Q170" i="1"/>
  <c r="R170" i="1"/>
  <c r="S170" i="1"/>
  <c r="T170" i="1"/>
  <c r="AW170" i="1" s="1"/>
  <c r="O171" i="1"/>
  <c r="P171" i="1"/>
  <c r="Q171" i="1"/>
  <c r="R171" i="1"/>
  <c r="S171" i="1"/>
  <c r="T171" i="1"/>
  <c r="AW171" i="1" s="1"/>
  <c r="O172" i="1"/>
  <c r="P172" i="1"/>
  <c r="Q172" i="1"/>
  <c r="R172" i="1"/>
  <c r="S172" i="1"/>
  <c r="T172" i="1"/>
  <c r="AW172" i="1" s="1"/>
  <c r="O173" i="1"/>
  <c r="P173" i="1"/>
  <c r="Q173" i="1"/>
  <c r="R173" i="1"/>
  <c r="S173" i="1"/>
  <c r="T173" i="1"/>
  <c r="AW173" i="1" s="1"/>
  <c r="O174" i="1"/>
  <c r="P174" i="1"/>
  <c r="Q174" i="1"/>
  <c r="R174" i="1"/>
  <c r="S174" i="1"/>
  <c r="T174" i="1"/>
  <c r="AW174" i="1" s="1"/>
  <c r="O175" i="1"/>
  <c r="P175" i="1"/>
  <c r="Q175" i="1"/>
  <c r="O176" i="1"/>
  <c r="P176" i="1"/>
  <c r="R175" i="1" s="1"/>
  <c r="S175" i="1" s="1"/>
  <c r="Q176" i="1"/>
  <c r="T175" i="1" s="1"/>
  <c r="AW175" i="1" s="1"/>
  <c r="R176" i="1"/>
  <c r="S176" i="1"/>
  <c r="T176" i="1"/>
  <c r="AW176" i="1" s="1"/>
  <c r="O177" i="1"/>
  <c r="P177" i="1"/>
  <c r="Q177" i="1"/>
  <c r="R177" i="1"/>
  <c r="S177" i="1"/>
  <c r="T177" i="1"/>
  <c r="AW177" i="1" s="1"/>
  <c r="O178" i="1"/>
  <c r="P178" i="1"/>
  <c r="Q178" i="1"/>
  <c r="R178" i="1"/>
  <c r="S178" i="1"/>
  <c r="T178" i="1"/>
  <c r="AW178" i="1" s="1"/>
  <c r="Q179" i="1"/>
  <c r="R179" i="1"/>
  <c r="S179" i="1"/>
  <c r="T179" i="1"/>
  <c r="AW179" i="1" s="1"/>
  <c r="O180" i="1"/>
  <c r="P180" i="1"/>
  <c r="Q180" i="1"/>
  <c r="R180" i="1"/>
  <c r="S180" i="1"/>
  <c r="T180" i="1"/>
  <c r="AW180" i="1" s="1"/>
  <c r="O181" i="1"/>
  <c r="P181" i="1"/>
  <c r="Q181" i="1"/>
  <c r="R181" i="1"/>
  <c r="S181" i="1"/>
  <c r="T181" i="1"/>
  <c r="AW181" i="1" s="1"/>
  <c r="O182" i="1"/>
  <c r="P182" i="1"/>
  <c r="Q182" i="1"/>
  <c r="R182" i="1"/>
  <c r="S182" i="1"/>
  <c r="T182" i="1"/>
  <c r="AW182" i="1" s="1"/>
  <c r="O183" i="1"/>
  <c r="P183" i="1"/>
  <c r="Q183" i="1"/>
  <c r="R183" i="1"/>
  <c r="S183" i="1"/>
  <c r="T183" i="1"/>
  <c r="AW183" i="1" s="1"/>
  <c r="O184" i="1"/>
  <c r="P184" i="1"/>
  <c r="Q184" i="1"/>
  <c r="R184" i="1"/>
  <c r="S184" i="1"/>
  <c r="T184" i="1"/>
  <c r="AW184" i="1" s="1"/>
  <c r="O185" i="1"/>
  <c r="P185" i="1"/>
  <c r="Q185" i="1"/>
  <c r="T185" i="1"/>
  <c r="AW185" i="1" s="1"/>
  <c r="O186" i="1"/>
  <c r="P186" i="1"/>
  <c r="Q186" i="1"/>
  <c r="R186" i="1"/>
  <c r="S186" i="1"/>
  <c r="T186" i="1"/>
  <c r="AW186" i="1" s="1"/>
  <c r="O187" i="1"/>
  <c r="P187" i="1"/>
  <c r="Q187" i="1"/>
  <c r="R187" i="1"/>
  <c r="S187" i="1"/>
  <c r="T187" i="1"/>
  <c r="AW187" i="1" s="1"/>
  <c r="O188" i="1"/>
  <c r="P188" i="1"/>
  <c r="Q188" i="1"/>
  <c r="R188" i="1"/>
  <c r="S188" i="1"/>
  <c r="T188" i="1"/>
  <c r="AW188" i="1" s="1"/>
  <c r="O189" i="1"/>
  <c r="P189" i="1"/>
  <c r="Q189" i="1"/>
  <c r="O190" i="1"/>
  <c r="P190" i="1"/>
  <c r="Q190" i="1"/>
  <c r="R190" i="1"/>
  <c r="S190" i="1"/>
  <c r="T190" i="1"/>
  <c r="AW190" i="1" s="1"/>
  <c r="O191" i="1"/>
  <c r="P191" i="1"/>
  <c r="Q191" i="1"/>
  <c r="R191" i="1"/>
  <c r="S191" i="1"/>
  <c r="T191" i="1"/>
  <c r="AW191" i="1" s="1"/>
  <c r="R192" i="1"/>
  <c r="S192" i="1"/>
  <c r="Q193" i="1"/>
  <c r="R193" i="1"/>
  <c r="S193" i="1"/>
  <c r="T193" i="1"/>
  <c r="AW193" i="1" s="1"/>
  <c r="O194" i="1"/>
  <c r="P194" i="1"/>
  <c r="Q194" i="1"/>
  <c r="R194" i="1"/>
  <c r="S194" i="1"/>
  <c r="T194" i="1"/>
  <c r="AW194" i="1" s="1"/>
  <c r="O195" i="1"/>
  <c r="P195" i="1"/>
  <c r="Q195" i="1"/>
  <c r="R195" i="1"/>
  <c r="S195" i="1"/>
  <c r="T195" i="1"/>
  <c r="AW195" i="1" s="1"/>
  <c r="Q196" i="1"/>
  <c r="R196" i="1"/>
  <c r="S196" i="1"/>
  <c r="T196" i="1"/>
  <c r="AW196" i="1" s="1"/>
  <c r="Q197" i="1"/>
  <c r="R197" i="1"/>
  <c r="S197" i="1"/>
  <c r="T197" i="1"/>
  <c r="AW197" i="1" s="1"/>
  <c r="O198" i="1"/>
  <c r="P198" i="1"/>
  <c r="Q198" i="1"/>
  <c r="R198" i="1"/>
  <c r="S198" i="1"/>
  <c r="T198" i="1"/>
  <c r="AW198" i="1" s="1"/>
  <c r="O199" i="1"/>
  <c r="P199" i="1"/>
  <c r="Q199" i="1"/>
  <c r="R199" i="1"/>
  <c r="S199" i="1"/>
  <c r="T199" i="1"/>
  <c r="AW199" i="1" s="1"/>
  <c r="O200" i="1"/>
  <c r="P200" i="1"/>
  <c r="Q200" i="1"/>
  <c r="R200" i="1"/>
  <c r="S200" i="1"/>
  <c r="T200" i="1"/>
  <c r="AW200" i="1" s="1"/>
  <c r="O201" i="1"/>
  <c r="P201" i="1"/>
  <c r="Q201" i="1"/>
  <c r="R201" i="1"/>
  <c r="S201" i="1"/>
  <c r="T201" i="1"/>
  <c r="AW201" i="1" s="1"/>
  <c r="O202" i="1"/>
  <c r="P202" i="1"/>
  <c r="Q202" i="1"/>
  <c r="R202" i="1"/>
  <c r="S202" i="1"/>
  <c r="T202" i="1"/>
  <c r="AW202" i="1" s="1"/>
  <c r="O203" i="1"/>
  <c r="P203" i="1"/>
  <c r="Q203" i="1"/>
  <c r="R203" i="1"/>
  <c r="S203" i="1"/>
  <c r="T203" i="1"/>
  <c r="AW203" i="1" s="1"/>
  <c r="O204" i="1"/>
  <c r="P204" i="1"/>
  <c r="Q204" i="1"/>
  <c r="R204" i="1"/>
  <c r="S204" i="1"/>
  <c r="T204" i="1"/>
  <c r="AW204" i="1" s="1"/>
  <c r="O205" i="1"/>
  <c r="P205" i="1"/>
  <c r="Q205" i="1"/>
  <c r="R205" i="1"/>
  <c r="S205" i="1"/>
  <c r="T205" i="1"/>
  <c r="AW205" i="1" s="1"/>
  <c r="O206" i="1"/>
  <c r="P206" i="1"/>
  <c r="Q206" i="1"/>
  <c r="R206" i="1"/>
  <c r="S206" i="1"/>
  <c r="T206" i="1"/>
  <c r="AW206" i="1" s="1"/>
  <c r="O207" i="1"/>
  <c r="P207" i="1"/>
  <c r="Q207" i="1"/>
  <c r="R207" i="1"/>
  <c r="S207" i="1"/>
  <c r="T207" i="1"/>
  <c r="AW207" i="1" s="1"/>
  <c r="O208" i="1"/>
  <c r="P208" i="1"/>
  <c r="Q208" i="1"/>
  <c r="R208" i="1"/>
  <c r="S208" i="1"/>
  <c r="T208" i="1"/>
  <c r="AW208" i="1" s="1"/>
  <c r="O209" i="1"/>
  <c r="P209" i="1"/>
  <c r="Q209" i="1"/>
  <c r="R209" i="1"/>
  <c r="S209" i="1"/>
  <c r="T209" i="1"/>
  <c r="AW209" i="1" s="1"/>
  <c r="O210" i="1"/>
  <c r="P210" i="1"/>
  <c r="Q210" i="1"/>
  <c r="R210" i="1"/>
  <c r="S210" i="1"/>
  <c r="T210" i="1"/>
  <c r="AW210" i="1" s="1"/>
  <c r="O211" i="1"/>
  <c r="P211" i="1"/>
  <c r="Q211" i="1"/>
  <c r="R211" i="1"/>
  <c r="S211" i="1"/>
  <c r="T211" i="1"/>
  <c r="AW211" i="1" s="1"/>
  <c r="O212" i="1"/>
  <c r="P212" i="1"/>
  <c r="Q212" i="1"/>
  <c r="R212" i="1"/>
  <c r="S212" i="1"/>
  <c r="T212" i="1"/>
  <c r="AW212" i="1" s="1"/>
  <c r="O213" i="1"/>
  <c r="P213" i="1"/>
  <c r="Q213" i="1"/>
  <c r="R213" i="1"/>
  <c r="S213" i="1"/>
  <c r="T213" i="1"/>
  <c r="AW213" i="1" s="1"/>
  <c r="O214" i="1"/>
  <c r="P214" i="1"/>
  <c r="Q214" i="1"/>
  <c r="R214" i="1"/>
  <c r="S214" i="1"/>
  <c r="T214" i="1"/>
  <c r="AW214" i="1" s="1"/>
  <c r="O215" i="1"/>
  <c r="P215" i="1"/>
  <c r="Q215" i="1"/>
  <c r="R215" i="1"/>
  <c r="S215" i="1"/>
  <c r="T215" i="1"/>
  <c r="AW215" i="1" s="1"/>
  <c r="O216" i="1"/>
  <c r="P216" i="1"/>
  <c r="Q216" i="1"/>
  <c r="R216" i="1"/>
  <c r="S216" i="1"/>
  <c r="T216" i="1"/>
  <c r="AW216" i="1" s="1"/>
  <c r="O217" i="1"/>
  <c r="P217" i="1"/>
  <c r="Q217" i="1"/>
  <c r="R217" i="1"/>
  <c r="S217" i="1"/>
  <c r="T217" i="1"/>
  <c r="AW217" i="1" s="1"/>
  <c r="O218" i="1"/>
  <c r="P218" i="1"/>
  <c r="Q218" i="1"/>
  <c r="R218" i="1"/>
  <c r="S218" i="1"/>
  <c r="T218" i="1"/>
  <c r="AW218" i="1" s="1"/>
  <c r="O219" i="1"/>
  <c r="P219" i="1"/>
  <c r="Q219" i="1"/>
  <c r="R219" i="1"/>
  <c r="S219" i="1"/>
  <c r="T219" i="1"/>
  <c r="AW219" i="1" s="1"/>
  <c r="O220" i="1"/>
  <c r="P220" i="1"/>
  <c r="Q220" i="1"/>
  <c r="R220" i="1"/>
  <c r="S220" i="1"/>
  <c r="T220" i="1"/>
  <c r="AW220" i="1" s="1"/>
  <c r="O221" i="1"/>
  <c r="P221" i="1"/>
  <c r="Q221" i="1"/>
  <c r="R221" i="1"/>
  <c r="S221" i="1"/>
  <c r="T221" i="1"/>
  <c r="AW221" i="1" s="1"/>
  <c r="O222" i="1"/>
  <c r="P222" i="1"/>
  <c r="Q222" i="1"/>
  <c r="R222" i="1"/>
  <c r="S222" i="1"/>
  <c r="T222" i="1"/>
  <c r="AW222" i="1" s="1"/>
  <c r="O223" i="1"/>
  <c r="P223" i="1"/>
  <c r="Q223" i="1"/>
  <c r="R223" i="1"/>
  <c r="S223" i="1"/>
  <c r="T223" i="1"/>
  <c r="AW223" i="1" s="1"/>
  <c r="O224" i="1"/>
  <c r="P224" i="1"/>
  <c r="Q224" i="1"/>
  <c r="R224" i="1"/>
  <c r="S224" i="1"/>
  <c r="T224" i="1"/>
  <c r="AW224" i="1" s="1"/>
  <c r="O225" i="1"/>
  <c r="P225" i="1"/>
  <c r="Q225" i="1"/>
  <c r="R225" i="1"/>
  <c r="S225" i="1"/>
  <c r="T225" i="1"/>
  <c r="AW225" i="1" s="1"/>
  <c r="O226" i="1"/>
  <c r="P226" i="1"/>
  <c r="Q226" i="1"/>
  <c r="R226" i="1"/>
  <c r="S226" i="1"/>
  <c r="T226" i="1"/>
  <c r="AW226" i="1" s="1"/>
  <c r="O227" i="1"/>
  <c r="P227" i="1"/>
  <c r="R227" i="1"/>
  <c r="S227" i="1"/>
  <c r="T227" i="1"/>
  <c r="AW227" i="1" s="1"/>
  <c r="O228" i="1"/>
  <c r="P228" i="1"/>
  <c r="R228" i="1"/>
  <c r="S228" i="1"/>
  <c r="T228" i="1"/>
  <c r="AW228" i="1" s="1"/>
  <c r="O229" i="1"/>
  <c r="P229" i="1"/>
  <c r="R229" i="1"/>
  <c r="S229" i="1"/>
  <c r="T229" i="1"/>
  <c r="AW229" i="1" s="1"/>
  <c r="O230" i="1"/>
  <c r="P230" i="1"/>
  <c r="R230" i="1"/>
  <c r="S230" i="1"/>
  <c r="T230" i="1"/>
  <c r="AW230" i="1" s="1"/>
  <c r="O231" i="1"/>
  <c r="P231" i="1"/>
  <c r="R231" i="1"/>
  <c r="S231" i="1"/>
  <c r="T231" i="1"/>
  <c r="AW231" i="1" s="1"/>
  <c r="O232" i="1"/>
  <c r="P232" i="1"/>
  <c r="R232" i="1"/>
  <c r="S232" i="1"/>
  <c r="T232" i="1"/>
  <c r="AW232" i="1" s="1"/>
  <c r="O233" i="1"/>
  <c r="P233" i="1"/>
  <c r="R233" i="1"/>
  <c r="S233" i="1"/>
  <c r="T233" i="1"/>
  <c r="AW233" i="1" s="1"/>
  <c r="O234" i="1"/>
  <c r="P234" i="1"/>
  <c r="R234" i="1"/>
  <c r="S234" i="1"/>
  <c r="T234" i="1"/>
  <c r="AW234" i="1" s="1"/>
  <c r="O235" i="1"/>
  <c r="P235" i="1"/>
  <c r="R235" i="1"/>
  <c r="S235" i="1"/>
  <c r="T235" i="1"/>
  <c r="AW235" i="1" s="1"/>
  <c r="O236" i="1"/>
  <c r="P236" i="1"/>
  <c r="R236" i="1"/>
  <c r="S236" i="1"/>
  <c r="T236" i="1"/>
  <c r="AW236" i="1" s="1"/>
  <c r="O237" i="1"/>
  <c r="P237" i="1"/>
  <c r="R237" i="1"/>
  <c r="S237" i="1"/>
  <c r="T237" i="1"/>
  <c r="AW237" i="1" s="1"/>
  <c r="O238" i="1"/>
  <c r="P238" i="1"/>
  <c r="R238" i="1"/>
  <c r="S238" i="1"/>
  <c r="T238" i="1"/>
  <c r="AW238" i="1" s="1"/>
  <c r="O239" i="1"/>
  <c r="P239" i="1"/>
  <c r="Q239" i="1"/>
  <c r="R239" i="1"/>
  <c r="S239" i="1"/>
  <c r="T239" i="1"/>
  <c r="AW239" i="1" s="1"/>
  <c r="O240" i="1"/>
  <c r="P240" i="1"/>
  <c r="R240" i="1"/>
  <c r="S240" i="1"/>
  <c r="T240" i="1"/>
  <c r="AW240" i="1" s="1"/>
  <c r="O241" i="1"/>
  <c r="P241" i="1"/>
  <c r="R241" i="1"/>
  <c r="S241" i="1"/>
  <c r="T241" i="1"/>
  <c r="AW241" i="1" s="1"/>
  <c r="O242" i="1"/>
  <c r="P242" i="1"/>
  <c r="R242" i="1"/>
  <c r="S242" i="1"/>
  <c r="T242" i="1"/>
  <c r="AW242" i="1" s="1"/>
  <c r="O243" i="1"/>
  <c r="P243" i="1"/>
  <c r="R243" i="1"/>
  <c r="S243" i="1"/>
  <c r="T243" i="1"/>
  <c r="AW243" i="1" s="1"/>
  <c r="O244" i="1"/>
  <c r="P244" i="1"/>
  <c r="R244" i="1"/>
  <c r="S244" i="1"/>
  <c r="T244" i="1"/>
  <c r="AW244" i="1" s="1"/>
  <c r="O245" i="1"/>
  <c r="P245" i="1"/>
  <c r="Q245" i="1"/>
  <c r="R245" i="1"/>
  <c r="S245" i="1"/>
  <c r="T245" i="1"/>
  <c r="AW245" i="1" s="1"/>
  <c r="O246" i="1"/>
  <c r="P246" i="1"/>
  <c r="Q246" i="1"/>
  <c r="R246" i="1"/>
  <c r="S246" i="1"/>
  <c r="T246" i="1"/>
  <c r="AW246" i="1" s="1"/>
  <c r="O247" i="1"/>
  <c r="P247" i="1"/>
  <c r="Q247" i="1"/>
  <c r="R247" i="1"/>
  <c r="S247" i="1"/>
  <c r="T247" i="1"/>
  <c r="AW247" i="1" s="1"/>
  <c r="O248" i="1"/>
  <c r="P248" i="1"/>
  <c r="Q248" i="1"/>
  <c r="R248" i="1"/>
  <c r="S248" i="1"/>
  <c r="T248" i="1"/>
  <c r="AW248" i="1" s="1"/>
  <c r="O249" i="1"/>
  <c r="P249" i="1"/>
  <c r="Q249" i="1"/>
  <c r="R249" i="1"/>
  <c r="S249" i="1"/>
  <c r="T249" i="1"/>
  <c r="AW249" i="1" s="1"/>
  <c r="O250" i="1"/>
  <c r="P250" i="1"/>
  <c r="Q250" i="1"/>
  <c r="R250" i="1"/>
  <c r="S250" i="1"/>
  <c r="T250" i="1"/>
  <c r="AW250" i="1" s="1"/>
  <c r="O251" i="1"/>
  <c r="P251" i="1"/>
  <c r="Q251" i="1"/>
  <c r="R251" i="1"/>
  <c r="S251" i="1"/>
  <c r="T251" i="1"/>
  <c r="AW251" i="1" s="1"/>
  <c r="O252" i="1"/>
  <c r="P252" i="1"/>
  <c r="Q252" i="1"/>
  <c r="O253" i="1"/>
  <c r="P253" i="1"/>
  <c r="R252" i="1" s="1"/>
  <c r="S252" i="1" s="1"/>
  <c r="Q253" i="1"/>
  <c r="T252" i="1" s="1"/>
  <c r="AW252" i="1" s="1"/>
  <c r="R253" i="1"/>
  <c r="S253" i="1"/>
  <c r="T253" i="1"/>
  <c r="AW253" i="1" s="1"/>
  <c r="O254" i="1"/>
  <c r="P254" i="1"/>
  <c r="Q254" i="1"/>
  <c r="R254" i="1"/>
  <c r="S254" i="1"/>
  <c r="T254" i="1"/>
  <c r="AW254" i="1" s="1"/>
  <c r="O255" i="1"/>
  <c r="P255" i="1"/>
  <c r="Q255" i="1"/>
  <c r="O256" i="1"/>
  <c r="P256" i="1"/>
  <c r="Q256" i="1"/>
  <c r="R256" i="1"/>
  <c r="S256" i="1"/>
  <c r="T256" i="1"/>
  <c r="AW256" i="1" s="1"/>
  <c r="O257" i="1"/>
  <c r="P257" i="1"/>
  <c r="Q257" i="1"/>
  <c r="R257" i="1"/>
  <c r="S257" i="1"/>
  <c r="T257" i="1"/>
  <c r="AW257" i="1" s="1"/>
  <c r="O258" i="1"/>
  <c r="P258" i="1"/>
  <c r="Q258" i="1"/>
  <c r="R258" i="1"/>
  <c r="S258" i="1"/>
  <c r="T258" i="1"/>
  <c r="AW258" i="1" s="1"/>
  <c r="O259" i="1"/>
  <c r="P259" i="1"/>
  <c r="Q259" i="1"/>
  <c r="R259" i="1"/>
  <c r="S259" i="1"/>
  <c r="T259" i="1"/>
  <c r="AW259" i="1" s="1"/>
  <c r="O260" i="1"/>
  <c r="P260" i="1"/>
  <c r="Q260" i="1"/>
  <c r="R260" i="1"/>
  <c r="S260" i="1"/>
  <c r="T260" i="1"/>
  <c r="AW260" i="1" s="1"/>
  <c r="O261" i="1"/>
  <c r="P261" i="1"/>
  <c r="Q261" i="1"/>
  <c r="R261" i="1"/>
  <c r="S261" i="1"/>
  <c r="T261" i="1"/>
  <c r="AW261" i="1" s="1"/>
  <c r="O262" i="1"/>
  <c r="P262" i="1"/>
  <c r="Q262" i="1"/>
  <c r="R262" i="1"/>
  <c r="S262" i="1"/>
  <c r="T262" i="1"/>
  <c r="AW262" i="1" s="1"/>
  <c r="O263" i="1"/>
  <c r="P263" i="1"/>
  <c r="Q263" i="1"/>
  <c r="R263" i="1"/>
  <c r="S263" i="1"/>
  <c r="T263" i="1"/>
  <c r="AW263" i="1" s="1"/>
  <c r="O264" i="1"/>
  <c r="P264" i="1"/>
  <c r="Q264" i="1"/>
  <c r="R264" i="1"/>
  <c r="S264" i="1"/>
  <c r="T264" i="1"/>
  <c r="AW264" i="1" s="1"/>
  <c r="O265" i="1"/>
  <c r="P265" i="1"/>
  <c r="Q265" i="1"/>
  <c r="R265" i="1"/>
  <c r="S265" i="1"/>
  <c r="T265" i="1"/>
  <c r="AW265" i="1" s="1"/>
  <c r="O266" i="1"/>
  <c r="P266" i="1"/>
  <c r="Q266" i="1"/>
  <c r="R266" i="1"/>
  <c r="S266" i="1"/>
  <c r="T266" i="1"/>
  <c r="AW266" i="1" s="1"/>
  <c r="O267" i="1"/>
  <c r="P267" i="1"/>
  <c r="Q267" i="1"/>
  <c r="R267" i="1"/>
  <c r="S267" i="1"/>
  <c r="T267" i="1"/>
  <c r="AW267" i="1" s="1"/>
  <c r="O268" i="1"/>
  <c r="P268" i="1"/>
  <c r="Q268" i="1"/>
  <c r="R268" i="1"/>
  <c r="S268" i="1"/>
  <c r="T268" i="1"/>
  <c r="AW268" i="1" s="1"/>
  <c r="O269" i="1"/>
  <c r="P269" i="1"/>
  <c r="Q269" i="1"/>
  <c r="R269" i="1"/>
  <c r="S269" i="1"/>
  <c r="T269" i="1"/>
  <c r="AW269" i="1" s="1"/>
  <c r="O270" i="1"/>
  <c r="P270" i="1"/>
  <c r="Q270" i="1"/>
  <c r="R270" i="1"/>
  <c r="S270" i="1"/>
  <c r="T270" i="1"/>
  <c r="AW270" i="1" s="1"/>
  <c r="O271" i="1"/>
  <c r="P271" i="1"/>
  <c r="Q271" i="1"/>
  <c r="R271" i="1"/>
  <c r="S271" i="1"/>
  <c r="T271" i="1"/>
  <c r="AW271" i="1" s="1"/>
  <c r="O272" i="1"/>
  <c r="P272" i="1"/>
  <c r="Q272" i="1"/>
  <c r="R272" i="1"/>
  <c r="S272" i="1"/>
  <c r="T272" i="1"/>
  <c r="AW272" i="1" s="1"/>
  <c r="O273" i="1"/>
  <c r="P273" i="1"/>
  <c r="Q273" i="1"/>
  <c r="R273" i="1"/>
  <c r="S273" i="1"/>
  <c r="T273" i="1"/>
  <c r="AW273" i="1" s="1"/>
  <c r="O274" i="1"/>
  <c r="P274" i="1"/>
  <c r="Q274" i="1"/>
  <c r="R274" i="1"/>
  <c r="S274" i="1"/>
  <c r="T274" i="1"/>
  <c r="AW274" i="1" s="1"/>
  <c r="O275" i="1"/>
  <c r="P275" i="1"/>
  <c r="Q275" i="1"/>
  <c r="R275" i="1"/>
  <c r="S275" i="1"/>
  <c r="T275" i="1"/>
  <c r="AW275" i="1" s="1"/>
  <c r="O276" i="1"/>
  <c r="P276" i="1"/>
  <c r="Q276" i="1"/>
  <c r="R276" i="1"/>
  <c r="S276" i="1"/>
  <c r="T276" i="1"/>
  <c r="AW276" i="1" s="1"/>
  <c r="O277" i="1"/>
  <c r="P277" i="1"/>
  <c r="Q277" i="1"/>
  <c r="R277" i="1"/>
  <c r="S277" i="1"/>
  <c r="T277" i="1"/>
  <c r="AW277" i="1" s="1"/>
  <c r="O72" i="1"/>
  <c r="P72" i="1"/>
  <c r="Q72" i="1"/>
  <c r="R72" i="1"/>
  <c r="S72" i="1"/>
  <c r="T72" i="1"/>
  <c r="AW72" i="1" s="1"/>
  <c r="O73" i="1"/>
  <c r="P73" i="1"/>
  <c r="Q73" i="1"/>
  <c r="R73" i="1"/>
  <c r="S73" i="1"/>
  <c r="T73" i="1"/>
  <c r="AW73" i="1" s="1"/>
  <c r="O74" i="1"/>
  <c r="P74" i="1"/>
  <c r="Q74" i="1"/>
  <c r="R74" i="1"/>
  <c r="S74" i="1"/>
  <c r="T74" i="1"/>
  <c r="AW74" i="1" s="1"/>
  <c r="O75" i="1"/>
  <c r="P75" i="1"/>
  <c r="Q75" i="1"/>
  <c r="R75" i="1"/>
  <c r="S75" i="1"/>
  <c r="T75" i="1"/>
  <c r="AW75" i="1" s="1"/>
  <c r="O76" i="1"/>
  <c r="P76" i="1"/>
  <c r="Q76" i="1"/>
  <c r="R76" i="1"/>
  <c r="S76" i="1"/>
  <c r="T76" i="1"/>
  <c r="AW76" i="1" s="1"/>
  <c r="O77" i="1"/>
  <c r="P77" i="1"/>
  <c r="Q77" i="1"/>
  <c r="R77" i="1"/>
  <c r="S77" i="1"/>
  <c r="T77" i="1"/>
  <c r="AW77" i="1" s="1"/>
  <c r="O78" i="1"/>
  <c r="P78" i="1"/>
  <c r="Q78" i="1"/>
  <c r="R78" i="1"/>
  <c r="S78" i="1"/>
  <c r="T78" i="1"/>
  <c r="AW78" i="1" s="1"/>
  <c r="O79" i="1"/>
  <c r="P79" i="1"/>
  <c r="Q79" i="1"/>
  <c r="R79" i="1"/>
  <c r="S79" i="1"/>
  <c r="T79" i="1"/>
  <c r="AW79" i="1" s="1"/>
  <c r="O80" i="1"/>
  <c r="P80" i="1"/>
  <c r="Q80" i="1"/>
  <c r="R80" i="1"/>
  <c r="S80" i="1"/>
  <c r="T80" i="1"/>
  <c r="AW80" i="1" s="1"/>
  <c r="O81" i="1"/>
  <c r="P81" i="1"/>
  <c r="Q81" i="1"/>
  <c r="R81" i="1"/>
  <c r="S81" i="1"/>
  <c r="T81" i="1"/>
  <c r="AW81" i="1" s="1"/>
  <c r="O82" i="1"/>
  <c r="P82" i="1"/>
  <c r="Q82" i="1"/>
  <c r="R82" i="1"/>
  <c r="S82" i="1"/>
  <c r="T82" i="1"/>
  <c r="AW82" i="1" s="1"/>
  <c r="O83" i="1"/>
  <c r="P83" i="1"/>
  <c r="Q83" i="1"/>
  <c r="R83" i="1"/>
  <c r="S83" i="1"/>
  <c r="T83" i="1"/>
  <c r="AW83" i="1" s="1"/>
  <c r="O84" i="1"/>
  <c r="P84" i="1"/>
  <c r="Q84" i="1"/>
  <c r="R84" i="1"/>
  <c r="S84" i="1"/>
  <c r="T84" i="1"/>
  <c r="AW84" i="1" s="1"/>
  <c r="O85" i="1"/>
  <c r="P85" i="1"/>
  <c r="Q85" i="1"/>
  <c r="R85" i="1"/>
  <c r="S85" i="1"/>
  <c r="T85" i="1"/>
  <c r="AW85" i="1" s="1"/>
  <c r="O86" i="1"/>
  <c r="P86" i="1"/>
  <c r="Q86" i="1"/>
  <c r="R86" i="1"/>
  <c r="S86" i="1"/>
  <c r="T86" i="1"/>
  <c r="AW86" i="1" s="1"/>
  <c r="O87" i="1"/>
  <c r="P87" i="1"/>
  <c r="Q87" i="1"/>
  <c r="R87" i="1"/>
  <c r="S87" i="1"/>
  <c r="T87" i="1"/>
  <c r="AW87" i="1" s="1"/>
  <c r="P88" i="1"/>
  <c r="Q88" i="1"/>
  <c r="R88" i="1"/>
  <c r="S88" i="1"/>
  <c r="T88" i="1"/>
  <c r="AW88" i="1" s="1"/>
  <c r="O89" i="1"/>
  <c r="P89" i="1"/>
  <c r="Q89" i="1"/>
  <c r="R89" i="1"/>
  <c r="S89" i="1"/>
  <c r="T89" i="1"/>
  <c r="AW89" i="1" s="1"/>
  <c r="O90" i="1"/>
  <c r="P90" i="1"/>
  <c r="Q90" i="1"/>
  <c r="R90" i="1"/>
  <c r="S90" i="1"/>
  <c r="T90" i="1"/>
  <c r="AW90" i="1" s="1"/>
  <c r="O91" i="1"/>
  <c r="P91" i="1"/>
  <c r="Q91" i="1"/>
  <c r="R91" i="1"/>
  <c r="S91" i="1"/>
  <c r="T91" i="1"/>
  <c r="AW91" i="1" s="1"/>
  <c r="O92" i="1"/>
  <c r="P92" i="1"/>
  <c r="Q92" i="1"/>
  <c r="R92" i="1"/>
  <c r="S92" i="1"/>
  <c r="T92" i="1"/>
  <c r="AW92" i="1" s="1"/>
  <c r="O93" i="1"/>
  <c r="P93" i="1"/>
  <c r="Q93" i="1"/>
  <c r="R93" i="1"/>
  <c r="S93" i="1"/>
  <c r="T93" i="1"/>
  <c r="AW93" i="1" s="1"/>
  <c r="O94" i="1"/>
  <c r="P94" i="1"/>
  <c r="Q94" i="1"/>
  <c r="R94" i="1"/>
  <c r="S94" i="1"/>
  <c r="T94" i="1"/>
  <c r="AW94" i="1" s="1"/>
  <c r="O95" i="1"/>
  <c r="P95" i="1"/>
  <c r="Q95" i="1"/>
  <c r="R95" i="1"/>
  <c r="S95" i="1"/>
  <c r="T95" i="1"/>
  <c r="AW95" i="1" s="1"/>
  <c r="O96" i="1"/>
  <c r="P96" i="1"/>
  <c r="Q96" i="1"/>
  <c r="R96" i="1"/>
  <c r="S96" i="1"/>
  <c r="T96" i="1"/>
  <c r="AW96" i="1" s="1"/>
  <c r="R97" i="1"/>
  <c r="S97" i="1"/>
  <c r="T97" i="1"/>
  <c r="AW97" i="1" s="1"/>
  <c r="O98" i="1"/>
  <c r="P98" i="1"/>
  <c r="Q98" i="1"/>
  <c r="R98" i="1"/>
  <c r="S98" i="1"/>
  <c r="T98" i="1"/>
  <c r="AW98" i="1" s="1"/>
  <c r="O99" i="1"/>
  <c r="R99" i="1"/>
  <c r="S99" i="1"/>
  <c r="T99" i="1"/>
  <c r="AW99" i="1" s="1"/>
  <c r="O100" i="1"/>
  <c r="P100" i="1"/>
  <c r="Q100" i="1"/>
  <c r="R100" i="1"/>
  <c r="S100" i="1"/>
  <c r="T100" i="1"/>
  <c r="AW100" i="1" s="1"/>
  <c r="O101" i="1"/>
  <c r="P101" i="1"/>
  <c r="Q101" i="1"/>
  <c r="R101" i="1"/>
  <c r="S101" i="1"/>
  <c r="T101" i="1"/>
  <c r="AW101" i="1" s="1"/>
  <c r="O102" i="1"/>
  <c r="P102" i="1"/>
  <c r="Q102" i="1"/>
  <c r="R102" i="1"/>
  <c r="S102" i="1"/>
  <c r="T102" i="1"/>
  <c r="AW102" i="1" s="1"/>
  <c r="R103" i="1"/>
  <c r="S103" i="1"/>
  <c r="T103" i="1"/>
  <c r="AW103" i="1" s="1"/>
  <c r="O104" i="1"/>
  <c r="P104" i="1"/>
  <c r="Q104" i="1"/>
  <c r="R104" i="1"/>
  <c r="S104" i="1"/>
  <c r="T104" i="1"/>
  <c r="AW104" i="1" s="1"/>
  <c r="O105" i="1"/>
  <c r="P105" i="1"/>
  <c r="Q105" i="1"/>
  <c r="R105" i="1"/>
  <c r="S105" i="1"/>
  <c r="T105" i="1"/>
  <c r="AW105" i="1" s="1"/>
  <c r="O106" i="1"/>
  <c r="P106" i="1"/>
  <c r="Q106" i="1"/>
  <c r="R106" i="1"/>
  <c r="S106" i="1"/>
  <c r="T106" i="1"/>
  <c r="AW106" i="1" s="1"/>
  <c r="O107" i="1"/>
  <c r="P107" i="1"/>
  <c r="Q107" i="1"/>
  <c r="R107" i="1"/>
  <c r="S107" i="1"/>
  <c r="T107" i="1"/>
  <c r="AW107" i="1" s="1"/>
  <c r="O108" i="1"/>
  <c r="P108" i="1"/>
  <c r="Q108" i="1"/>
  <c r="R108" i="1"/>
  <c r="S108" i="1"/>
  <c r="T108" i="1"/>
  <c r="AW108" i="1" s="1"/>
  <c r="O109" i="1"/>
  <c r="P109" i="1"/>
  <c r="Q109" i="1"/>
  <c r="R109" i="1"/>
  <c r="S109" i="1"/>
  <c r="T109" i="1"/>
  <c r="AW109" i="1" s="1"/>
  <c r="O110" i="1"/>
  <c r="P110" i="1"/>
  <c r="Q110" i="1"/>
  <c r="R110" i="1"/>
  <c r="S110" i="1"/>
  <c r="T110" i="1"/>
  <c r="AW110" i="1" s="1"/>
  <c r="O111" i="1"/>
  <c r="P111" i="1"/>
  <c r="Q111" i="1"/>
  <c r="R111" i="1"/>
  <c r="S111" i="1"/>
  <c r="T111" i="1"/>
  <c r="AW111" i="1" s="1"/>
  <c r="O112" i="1"/>
  <c r="P112" i="1"/>
  <c r="Q112" i="1"/>
  <c r="R112" i="1"/>
  <c r="S112" i="1"/>
  <c r="T112" i="1"/>
  <c r="AW112" i="1" s="1"/>
  <c r="O113" i="1"/>
  <c r="P113" i="1"/>
  <c r="Q113" i="1"/>
  <c r="R113" i="1"/>
  <c r="S113" i="1"/>
  <c r="T113" i="1"/>
  <c r="AW113" i="1" s="1"/>
  <c r="R114" i="1"/>
  <c r="S114" i="1"/>
  <c r="T114" i="1"/>
  <c r="AW114" i="1" s="1"/>
  <c r="O115" i="1"/>
  <c r="P115" i="1"/>
  <c r="Q115" i="1"/>
  <c r="R115" i="1"/>
  <c r="S115" i="1"/>
  <c r="T115" i="1"/>
  <c r="AW115" i="1" s="1"/>
  <c r="O116" i="1"/>
  <c r="P116" i="1"/>
  <c r="Q116" i="1"/>
  <c r="R116" i="1"/>
  <c r="S116" i="1"/>
  <c r="T116" i="1"/>
  <c r="AW116" i="1" s="1"/>
  <c r="O117" i="1"/>
  <c r="P117" i="1"/>
  <c r="Q117" i="1"/>
  <c r="R117" i="1"/>
  <c r="S117" i="1"/>
  <c r="T117" i="1"/>
  <c r="AW117" i="1" s="1"/>
  <c r="O118" i="1"/>
  <c r="P118" i="1"/>
  <c r="Q118" i="1"/>
  <c r="T118" i="1"/>
  <c r="AW118" i="1" s="1"/>
  <c r="O119" i="1"/>
  <c r="P119" i="1"/>
  <c r="Q119" i="1"/>
  <c r="R119" i="1"/>
  <c r="S119" i="1"/>
  <c r="T119" i="1"/>
  <c r="AW119" i="1" s="1"/>
  <c r="O120" i="1"/>
  <c r="P120" i="1"/>
  <c r="Q120" i="1"/>
  <c r="R120" i="1"/>
  <c r="S120" i="1"/>
  <c r="T120" i="1"/>
  <c r="AW120" i="1" s="1"/>
  <c r="O121" i="1"/>
  <c r="P121" i="1"/>
  <c r="Q121" i="1"/>
  <c r="R121" i="1"/>
  <c r="S121" i="1"/>
  <c r="T121" i="1"/>
  <c r="AW121" i="1" s="1"/>
  <c r="O122" i="1"/>
  <c r="P122" i="1"/>
  <c r="Q122" i="1"/>
  <c r="R122" i="1"/>
  <c r="S122" i="1"/>
  <c r="T122" i="1"/>
  <c r="AW122" i="1" s="1"/>
  <c r="O123" i="1"/>
  <c r="P123" i="1"/>
  <c r="Q123" i="1"/>
  <c r="R123" i="1"/>
  <c r="S123" i="1"/>
  <c r="T123" i="1"/>
  <c r="AW123" i="1" s="1"/>
  <c r="O124" i="1"/>
  <c r="P124" i="1"/>
  <c r="Q124" i="1"/>
  <c r="R124" i="1"/>
  <c r="S124" i="1"/>
  <c r="T124" i="1"/>
  <c r="AW124" i="1" s="1"/>
  <c r="O125" i="1"/>
  <c r="P125" i="1"/>
  <c r="Q125" i="1"/>
  <c r="R125" i="1"/>
  <c r="S125" i="1"/>
  <c r="T125" i="1"/>
  <c r="AW125" i="1" s="1"/>
  <c r="O126" i="1"/>
  <c r="P126" i="1"/>
  <c r="Q126" i="1"/>
  <c r="R126" i="1"/>
  <c r="S126" i="1"/>
  <c r="T126" i="1"/>
  <c r="AW126" i="1" s="1"/>
  <c r="O127" i="1"/>
  <c r="P127" i="1"/>
  <c r="Q127" i="1"/>
  <c r="R127" i="1"/>
  <c r="S127" i="1"/>
  <c r="T127" i="1"/>
  <c r="AW127" i="1" s="1"/>
  <c r="R128" i="1"/>
  <c r="S128" i="1"/>
  <c r="T128" i="1"/>
  <c r="AW128" i="1" s="1"/>
  <c r="O129" i="1"/>
  <c r="P129" i="1"/>
  <c r="Q129" i="1"/>
  <c r="R129" i="1"/>
  <c r="S129" i="1"/>
  <c r="T129" i="1"/>
  <c r="AW129" i="1" s="1"/>
  <c r="O130" i="1"/>
  <c r="P130" i="1"/>
  <c r="Q130" i="1"/>
  <c r="R130" i="1"/>
  <c r="S130" i="1"/>
  <c r="T130" i="1"/>
  <c r="AW130" i="1" s="1"/>
  <c r="O131" i="1"/>
  <c r="P131" i="1"/>
  <c r="Q131" i="1"/>
  <c r="R131" i="1"/>
  <c r="S131" i="1"/>
  <c r="T131" i="1"/>
  <c r="AW131" i="1" s="1"/>
  <c r="O132" i="1"/>
  <c r="P132" i="1"/>
  <c r="Q132" i="1"/>
  <c r="R132" i="1"/>
  <c r="S132" i="1"/>
  <c r="T132" i="1"/>
  <c r="AW132" i="1" s="1"/>
  <c r="O133" i="1"/>
  <c r="P133" i="1"/>
  <c r="Q133" i="1"/>
  <c r="R133" i="1"/>
  <c r="S133" i="1"/>
  <c r="T133" i="1"/>
  <c r="AW133" i="1" s="1"/>
  <c r="O134" i="1"/>
  <c r="P134" i="1"/>
  <c r="Q134" i="1"/>
  <c r="R134" i="1"/>
  <c r="S134" i="1"/>
  <c r="T134" i="1"/>
  <c r="AW134" i="1" s="1"/>
  <c r="O135" i="1"/>
  <c r="P135" i="1"/>
  <c r="Q135" i="1"/>
  <c r="R135" i="1"/>
  <c r="S135" i="1"/>
  <c r="T135" i="1"/>
  <c r="AW135" i="1" s="1"/>
  <c r="O136" i="1"/>
  <c r="P136" i="1"/>
  <c r="Q136" i="1"/>
  <c r="R136" i="1"/>
  <c r="S136" i="1"/>
  <c r="T136" i="1"/>
  <c r="AW136" i="1" s="1"/>
  <c r="O137" i="1"/>
  <c r="P137" i="1"/>
  <c r="Q137" i="1"/>
  <c r="R137" i="1"/>
  <c r="S137" i="1"/>
  <c r="T137" i="1"/>
  <c r="AW137" i="1" s="1"/>
  <c r="O138" i="1"/>
  <c r="P138" i="1"/>
  <c r="Q138" i="1"/>
  <c r="R138" i="1"/>
  <c r="S138" i="1"/>
  <c r="T138" i="1"/>
  <c r="AW138" i="1" s="1"/>
  <c r="O139" i="1"/>
  <c r="P139" i="1"/>
  <c r="Q139" i="1"/>
  <c r="R139" i="1"/>
  <c r="S139" i="1"/>
  <c r="T139" i="1"/>
  <c r="AW139" i="1" s="1"/>
  <c r="O140" i="1"/>
  <c r="P140" i="1"/>
  <c r="Q140" i="1"/>
  <c r="R140" i="1"/>
  <c r="S140" i="1"/>
  <c r="T140" i="1"/>
  <c r="AW140" i="1" s="1"/>
  <c r="O141" i="1"/>
  <c r="P141" i="1"/>
  <c r="Q141" i="1"/>
  <c r="R141" i="1"/>
  <c r="S141" i="1"/>
  <c r="T141" i="1"/>
  <c r="AW141" i="1" s="1"/>
  <c r="O142" i="1"/>
  <c r="P142" i="1"/>
  <c r="Q142" i="1"/>
  <c r="R142" i="1"/>
  <c r="S142" i="1"/>
  <c r="T142" i="1"/>
  <c r="AW142" i="1" s="1"/>
  <c r="O143" i="1"/>
  <c r="P143" i="1"/>
  <c r="Q143" i="1"/>
  <c r="R143" i="1"/>
  <c r="S143" i="1"/>
  <c r="T143" i="1"/>
  <c r="AW143" i="1" s="1"/>
  <c r="O25" i="1"/>
  <c r="P25" i="1"/>
  <c r="Q25" i="1"/>
  <c r="R25" i="1"/>
  <c r="S25" i="1"/>
  <c r="T25" i="1"/>
  <c r="AW25" i="1" s="1"/>
  <c r="O26" i="1"/>
  <c r="P26" i="1"/>
  <c r="Q26" i="1"/>
  <c r="R26" i="1"/>
  <c r="S26" i="1"/>
  <c r="T26" i="1"/>
  <c r="AW26" i="1" s="1"/>
  <c r="O27" i="1"/>
  <c r="P27" i="1"/>
  <c r="Q27" i="1"/>
  <c r="R27" i="1"/>
  <c r="S27" i="1"/>
  <c r="T27" i="1"/>
  <c r="AW27" i="1" s="1"/>
  <c r="O28" i="1"/>
  <c r="P28" i="1"/>
  <c r="Q28" i="1"/>
  <c r="T28" i="1"/>
  <c r="AW28" i="1" s="1"/>
  <c r="O29" i="1"/>
  <c r="P29" i="1"/>
  <c r="Q29" i="1"/>
  <c r="R29" i="1"/>
  <c r="S29" i="1"/>
  <c r="T29" i="1"/>
  <c r="AW29" i="1" s="1"/>
  <c r="O30" i="1"/>
  <c r="P30" i="1"/>
  <c r="Q30" i="1"/>
  <c r="R30" i="1"/>
  <c r="S30" i="1"/>
  <c r="T30" i="1"/>
  <c r="AW30" i="1" s="1"/>
  <c r="O31" i="1"/>
  <c r="P31" i="1"/>
  <c r="Q31" i="1"/>
  <c r="R31" i="1"/>
  <c r="S31" i="1"/>
  <c r="T31" i="1"/>
  <c r="AW31" i="1" s="1"/>
  <c r="O32" i="1"/>
  <c r="P32" i="1"/>
  <c r="Q32" i="1"/>
  <c r="R32" i="1"/>
  <c r="S32" i="1"/>
  <c r="T32" i="1"/>
  <c r="AW32" i="1" s="1"/>
  <c r="O33" i="1"/>
  <c r="P33" i="1"/>
  <c r="Q33" i="1"/>
  <c r="R33" i="1"/>
  <c r="S33" i="1"/>
  <c r="T33" i="1"/>
  <c r="AW33" i="1" s="1"/>
  <c r="O34" i="1"/>
  <c r="P34" i="1"/>
  <c r="Q34" i="1"/>
  <c r="R34" i="1"/>
  <c r="S34" i="1"/>
  <c r="T34" i="1"/>
  <c r="AW34" i="1" s="1"/>
  <c r="O35" i="1"/>
  <c r="P35" i="1"/>
  <c r="Q35" i="1"/>
  <c r="R35" i="1"/>
  <c r="S35" i="1"/>
  <c r="T35" i="1"/>
  <c r="AW35" i="1" s="1"/>
  <c r="O36" i="1"/>
  <c r="P36" i="1"/>
  <c r="Q36" i="1"/>
  <c r="R36" i="1"/>
  <c r="S36" i="1"/>
  <c r="T36" i="1"/>
  <c r="AW36" i="1" s="1"/>
  <c r="O37" i="1"/>
  <c r="P37" i="1"/>
  <c r="Q37" i="1"/>
  <c r="R37" i="1"/>
  <c r="S37" i="1"/>
  <c r="T37" i="1"/>
  <c r="AW37" i="1" s="1"/>
  <c r="O38" i="1"/>
  <c r="P38" i="1"/>
  <c r="Q38" i="1"/>
  <c r="T38" i="1"/>
  <c r="AW38" i="1" s="1"/>
  <c r="O39" i="1"/>
  <c r="P39" i="1"/>
  <c r="Q39" i="1"/>
  <c r="R39" i="1"/>
  <c r="S39" i="1"/>
  <c r="T39" i="1"/>
  <c r="AW39" i="1" s="1"/>
  <c r="O40" i="1"/>
  <c r="P40" i="1"/>
  <c r="Q40" i="1"/>
  <c r="R40" i="1"/>
  <c r="S40" i="1"/>
  <c r="T40" i="1"/>
  <c r="AW40" i="1" s="1"/>
  <c r="O41" i="1"/>
  <c r="P41" i="1"/>
  <c r="Q41" i="1"/>
  <c r="R41" i="1"/>
  <c r="S41" i="1"/>
  <c r="T41" i="1"/>
  <c r="AW41" i="1" s="1"/>
  <c r="O42" i="1"/>
  <c r="P42" i="1"/>
  <c r="Q42" i="1"/>
  <c r="R42" i="1"/>
  <c r="S42" i="1"/>
  <c r="T42" i="1"/>
  <c r="AW42" i="1" s="1"/>
  <c r="O43" i="1"/>
  <c r="P43" i="1"/>
  <c r="Q43" i="1"/>
  <c r="R43" i="1"/>
  <c r="S43" i="1"/>
  <c r="T43" i="1"/>
  <c r="AW43" i="1" s="1"/>
  <c r="O44" i="1"/>
  <c r="P44" i="1"/>
  <c r="Q44" i="1"/>
  <c r="T44" i="1"/>
  <c r="AW44" i="1" s="1"/>
  <c r="O45" i="1"/>
  <c r="P45" i="1"/>
  <c r="R44" i="1" s="1"/>
  <c r="S44" i="1" s="1"/>
  <c r="Q45" i="1"/>
  <c r="R45" i="1"/>
  <c r="S45" i="1"/>
  <c r="T45" i="1"/>
  <c r="AW45" i="1" s="1"/>
  <c r="O46" i="1"/>
  <c r="P46" i="1"/>
  <c r="Q46" i="1"/>
  <c r="R46" i="1"/>
  <c r="S46" i="1"/>
  <c r="T46" i="1"/>
  <c r="AW46" i="1" s="1"/>
  <c r="O47" i="1"/>
  <c r="P47" i="1"/>
  <c r="Q47" i="1"/>
  <c r="R47" i="1"/>
  <c r="S47" i="1"/>
  <c r="T47" i="1"/>
  <c r="AW47" i="1" s="1"/>
  <c r="O48" i="1"/>
  <c r="P48" i="1"/>
  <c r="Q48" i="1"/>
  <c r="R48" i="1"/>
  <c r="S48" i="1"/>
  <c r="T48" i="1"/>
  <c r="AW48" i="1" s="1"/>
  <c r="O49" i="1"/>
  <c r="P49" i="1"/>
  <c r="Q49" i="1"/>
  <c r="R49" i="1"/>
  <c r="S49" i="1"/>
  <c r="T49" i="1"/>
  <c r="AW49" i="1" s="1"/>
  <c r="O50" i="1"/>
  <c r="P50" i="1"/>
  <c r="Q50" i="1"/>
  <c r="R50" i="1"/>
  <c r="S50" i="1"/>
  <c r="T50" i="1"/>
  <c r="AW50" i="1" s="1"/>
  <c r="O51" i="1"/>
  <c r="P51" i="1"/>
  <c r="Q51" i="1"/>
  <c r="R51" i="1"/>
  <c r="S51" i="1"/>
  <c r="T51" i="1"/>
  <c r="AW51" i="1" s="1"/>
  <c r="O52" i="1"/>
  <c r="P52" i="1"/>
  <c r="Q52" i="1"/>
  <c r="R52" i="1"/>
  <c r="S52" i="1"/>
  <c r="T52" i="1"/>
  <c r="AW52" i="1" s="1"/>
  <c r="O53" i="1"/>
  <c r="P53" i="1"/>
  <c r="Q53" i="1"/>
  <c r="O54" i="1"/>
  <c r="P54" i="1"/>
  <c r="Q54" i="1"/>
  <c r="R54" i="1"/>
  <c r="S54" i="1"/>
  <c r="T54" i="1"/>
  <c r="AW54" i="1" s="1"/>
  <c r="O55" i="1"/>
  <c r="P55" i="1"/>
  <c r="Q55" i="1"/>
  <c r="R55" i="1"/>
  <c r="S55" i="1"/>
  <c r="T55" i="1"/>
  <c r="AW55" i="1" s="1"/>
  <c r="O56" i="1"/>
  <c r="P56" i="1"/>
  <c r="Q56" i="1"/>
  <c r="R56" i="1"/>
  <c r="S56" i="1"/>
  <c r="T56" i="1"/>
  <c r="AW56" i="1" s="1"/>
  <c r="O57" i="1"/>
  <c r="P57" i="1"/>
  <c r="Q57" i="1"/>
  <c r="R57" i="1"/>
  <c r="S57" i="1"/>
  <c r="T57" i="1"/>
  <c r="AW57" i="1" s="1"/>
  <c r="O58" i="1"/>
  <c r="P58" i="1"/>
  <c r="Q58" i="1"/>
  <c r="R58" i="1"/>
  <c r="S58" i="1"/>
  <c r="T58" i="1"/>
  <c r="AW58" i="1" s="1"/>
  <c r="O59" i="1"/>
  <c r="P59" i="1"/>
  <c r="Q59" i="1"/>
  <c r="R59" i="1"/>
  <c r="S59" i="1"/>
  <c r="T59" i="1"/>
  <c r="AW59" i="1" s="1"/>
  <c r="O60" i="1"/>
  <c r="P60" i="1"/>
  <c r="Q60" i="1"/>
  <c r="R60" i="1"/>
  <c r="S60" i="1"/>
  <c r="T60" i="1"/>
  <c r="AW60" i="1" s="1"/>
  <c r="O61" i="1"/>
  <c r="P61" i="1"/>
  <c r="Q61" i="1"/>
  <c r="R61" i="1"/>
  <c r="S61" i="1"/>
  <c r="T61" i="1"/>
  <c r="AW61" i="1" s="1"/>
  <c r="O62" i="1"/>
  <c r="P62" i="1"/>
  <c r="Q62" i="1"/>
  <c r="R62" i="1"/>
  <c r="S62" i="1"/>
  <c r="T62" i="1"/>
  <c r="AW62" i="1" s="1"/>
  <c r="O63" i="1"/>
  <c r="P63" i="1"/>
  <c r="Q63" i="1"/>
  <c r="R63" i="1"/>
  <c r="S63" i="1"/>
  <c r="T63" i="1"/>
  <c r="AW63" i="1" s="1"/>
  <c r="O64" i="1"/>
  <c r="P64" i="1"/>
  <c r="Q64" i="1"/>
  <c r="R64" i="1"/>
  <c r="S64" i="1"/>
  <c r="T64" i="1"/>
  <c r="AW64" i="1" s="1"/>
  <c r="O65" i="1"/>
  <c r="P65" i="1"/>
  <c r="Q65" i="1"/>
  <c r="R65" i="1"/>
  <c r="S65" i="1"/>
  <c r="T65" i="1"/>
  <c r="AW65" i="1" s="1"/>
  <c r="O66" i="1"/>
  <c r="P66" i="1"/>
  <c r="Q66" i="1"/>
  <c r="R66" i="1"/>
  <c r="S66" i="1"/>
  <c r="T66" i="1"/>
  <c r="AW66" i="1" s="1"/>
  <c r="O67" i="1"/>
  <c r="P67" i="1"/>
  <c r="Q67" i="1"/>
  <c r="R67" i="1"/>
  <c r="S67" i="1"/>
  <c r="T67" i="1"/>
  <c r="AW67" i="1" s="1"/>
  <c r="O68" i="1"/>
  <c r="P68" i="1"/>
  <c r="Q68" i="1"/>
  <c r="R68" i="1"/>
  <c r="S68" i="1"/>
  <c r="T68" i="1"/>
  <c r="AW68" i="1" s="1"/>
  <c r="O69" i="1"/>
  <c r="P69" i="1"/>
  <c r="Q69" i="1"/>
  <c r="R69" i="1"/>
  <c r="S69" i="1"/>
  <c r="T69" i="1"/>
  <c r="AW69" i="1" s="1"/>
  <c r="O70" i="1"/>
  <c r="P70" i="1"/>
  <c r="Q70" i="1"/>
  <c r="R70" i="1"/>
  <c r="S70" i="1"/>
  <c r="T70" i="1"/>
  <c r="AW70" i="1" s="1"/>
  <c r="O71" i="1"/>
  <c r="P71" i="1"/>
  <c r="Q71" i="1"/>
  <c r="R71" i="1"/>
  <c r="S71" i="1"/>
  <c r="T71" i="1"/>
  <c r="AW71" i="1" s="1"/>
  <c r="O3" i="1"/>
  <c r="P3" i="1"/>
  <c r="Q3" i="1"/>
  <c r="R3" i="1"/>
  <c r="S3" i="1"/>
  <c r="T3" i="1"/>
  <c r="AW3" i="1" s="1"/>
  <c r="O4" i="1"/>
  <c r="P4" i="1"/>
  <c r="Q4" i="1"/>
  <c r="R4" i="1"/>
  <c r="S4" i="1"/>
  <c r="T4" i="1"/>
  <c r="AW4" i="1" s="1"/>
  <c r="O5" i="1"/>
  <c r="P5" i="1"/>
  <c r="Q5" i="1"/>
  <c r="R5" i="1"/>
  <c r="S5" i="1"/>
  <c r="T5" i="1"/>
  <c r="AW5" i="1" s="1"/>
  <c r="O6" i="1"/>
  <c r="P6" i="1"/>
  <c r="Q6" i="1"/>
  <c r="R6" i="1"/>
  <c r="S6" i="1"/>
  <c r="T6" i="1"/>
  <c r="AW6" i="1" s="1"/>
  <c r="O7" i="1"/>
  <c r="P7" i="1"/>
  <c r="Q7" i="1"/>
  <c r="R7" i="1"/>
  <c r="S7" i="1"/>
  <c r="T7" i="1"/>
  <c r="AW7" i="1" s="1"/>
  <c r="O8" i="1"/>
  <c r="P8" i="1"/>
  <c r="Q8" i="1"/>
  <c r="R8" i="1"/>
  <c r="S8" i="1"/>
  <c r="T8" i="1"/>
  <c r="AW8" i="1" s="1"/>
  <c r="O9" i="1"/>
  <c r="P9" i="1"/>
  <c r="Q9" i="1"/>
  <c r="R9" i="1"/>
  <c r="S9" i="1"/>
  <c r="T9" i="1"/>
  <c r="AW9" i="1" s="1"/>
  <c r="O10" i="1"/>
  <c r="P10" i="1"/>
  <c r="Q10" i="1"/>
  <c r="R10" i="1"/>
  <c r="S10" i="1"/>
  <c r="T10" i="1"/>
  <c r="AW10" i="1" s="1"/>
  <c r="O11" i="1"/>
  <c r="P11" i="1"/>
  <c r="Q11" i="1"/>
  <c r="R11" i="1"/>
  <c r="S11" i="1"/>
  <c r="T11" i="1"/>
  <c r="AW11" i="1" s="1"/>
  <c r="O12" i="1"/>
  <c r="P12" i="1"/>
  <c r="Q12" i="1"/>
  <c r="R12" i="1"/>
  <c r="S12" i="1"/>
  <c r="T12" i="1"/>
  <c r="AW12" i="1" s="1"/>
  <c r="O13" i="1"/>
  <c r="P13" i="1"/>
  <c r="Q13" i="1"/>
  <c r="R13" i="1"/>
  <c r="S13" i="1"/>
  <c r="T13" i="1"/>
  <c r="AW13" i="1" s="1"/>
  <c r="O14" i="1"/>
  <c r="P14" i="1"/>
  <c r="Q14" i="1"/>
  <c r="R14" i="1"/>
  <c r="S14" i="1"/>
  <c r="T14" i="1"/>
  <c r="AW14" i="1" s="1"/>
  <c r="O15" i="1"/>
  <c r="P15" i="1"/>
  <c r="Q15" i="1"/>
  <c r="R15" i="1"/>
  <c r="S15" i="1"/>
  <c r="T15" i="1"/>
  <c r="AW15" i="1" s="1"/>
  <c r="O16" i="1"/>
  <c r="P16" i="1"/>
  <c r="Q16" i="1"/>
  <c r="R16" i="1"/>
  <c r="S16" i="1"/>
  <c r="T16" i="1"/>
  <c r="AW16" i="1" s="1"/>
  <c r="O17" i="1"/>
  <c r="P17" i="1"/>
  <c r="Q17" i="1"/>
  <c r="R17" i="1"/>
  <c r="S17" i="1"/>
  <c r="T17" i="1"/>
  <c r="AW17" i="1" s="1"/>
  <c r="O18" i="1"/>
  <c r="P18" i="1"/>
  <c r="Q18" i="1"/>
  <c r="R18" i="1"/>
  <c r="S18" i="1"/>
  <c r="T18" i="1"/>
  <c r="AW18" i="1" s="1"/>
  <c r="O19" i="1"/>
  <c r="P19" i="1"/>
  <c r="Q19" i="1"/>
  <c r="R19" i="1"/>
  <c r="S19" i="1"/>
  <c r="T19" i="1"/>
  <c r="AW19" i="1" s="1"/>
  <c r="O20" i="1"/>
  <c r="P20" i="1"/>
  <c r="Q20" i="1"/>
  <c r="R20" i="1"/>
  <c r="S20" i="1"/>
  <c r="O21" i="1"/>
  <c r="P21" i="1"/>
  <c r="Q21" i="1"/>
  <c r="R21" i="1"/>
  <c r="S21" i="1"/>
  <c r="T21" i="1"/>
  <c r="AW21" i="1" s="1"/>
  <c r="O22" i="1"/>
  <c r="P22" i="1"/>
  <c r="Q22" i="1"/>
  <c r="R22" i="1"/>
  <c r="S22" i="1"/>
  <c r="T22" i="1"/>
  <c r="AW22" i="1" s="1"/>
  <c r="O23" i="1"/>
  <c r="P23" i="1"/>
  <c r="Q23" i="1"/>
  <c r="R23" i="1"/>
  <c r="S23" i="1"/>
  <c r="T23" i="1"/>
  <c r="AW23" i="1" s="1"/>
  <c r="O24" i="1"/>
  <c r="P24" i="1"/>
  <c r="Q24" i="1"/>
  <c r="R24" i="1"/>
  <c r="S24" i="1"/>
  <c r="T24" i="1"/>
  <c r="AW24" i="1" s="1"/>
  <c r="J1682" i="1"/>
  <c r="K1682" i="1"/>
  <c r="L1682" i="1"/>
  <c r="J1683" i="1"/>
  <c r="K1683" i="1"/>
  <c r="L1683" i="1"/>
  <c r="J1684" i="1"/>
  <c r="K1684" i="1"/>
  <c r="L1684" i="1"/>
  <c r="J1685" i="1"/>
  <c r="K1685" i="1"/>
  <c r="L1685" i="1"/>
  <c r="J1686" i="1"/>
  <c r="K1686" i="1"/>
  <c r="L1686" i="1"/>
  <c r="J1687" i="1"/>
  <c r="K1687" i="1"/>
  <c r="L1687" i="1"/>
  <c r="J1688" i="1"/>
  <c r="K1688" i="1"/>
  <c r="L1688" i="1"/>
  <c r="J1689" i="1"/>
  <c r="K1689" i="1"/>
  <c r="L1689" i="1"/>
  <c r="J1690" i="1"/>
  <c r="K1690" i="1"/>
  <c r="L1690" i="1"/>
  <c r="J1691" i="1"/>
  <c r="K1691" i="1"/>
  <c r="L1691" i="1"/>
  <c r="J1692" i="1"/>
  <c r="K1692" i="1"/>
  <c r="L1692" i="1"/>
  <c r="J1693" i="1"/>
  <c r="K1693" i="1"/>
  <c r="L1693" i="1"/>
  <c r="J1694" i="1"/>
  <c r="K1694" i="1"/>
  <c r="L1694" i="1"/>
  <c r="J1695" i="1"/>
  <c r="K1695" i="1"/>
  <c r="L1695" i="1"/>
  <c r="J1696" i="1"/>
  <c r="K1696" i="1"/>
  <c r="L1696" i="1"/>
  <c r="J1697" i="1"/>
  <c r="K1697" i="1"/>
  <c r="L1697" i="1"/>
  <c r="J1698" i="1"/>
  <c r="K1698" i="1"/>
  <c r="L1698" i="1"/>
  <c r="J1699" i="1"/>
  <c r="K1699" i="1"/>
  <c r="L1699" i="1"/>
  <c r="J1700" i="1"/>
  <c r="K1700" i="1"/>
  <c r="L1700" i="1"/>
  <c r="J1701" i="1"/>
  <c r="K1701" i="1"/>
  <c r="L1701" i="1"/>
  <c r="J1702" i="1"/>
  <c r="K1702" i="1"/>
  <c r="L1702" i="1"/>
  <c r="J1703" i="1"/>
  <c r="K1703" i="1"/>
  <c r="L1703" i="1"/>
  <c r="J1704" i="1"/>
  <c r="K1704" i="1"/>
  <c r="L1704" i="1"/>
  <c r="J1705" i="1"/>
  <c r="K1705" i="1"/>
  <c r="L1705" i="1"/>
  <c r="J1706" i="1"/>
  <c r="K1706" i="1"/>
  <c r="L1706" i="1"/>
  <c r="J1707" i="1"/>
  <c r="K1707" i="1"/>
  <c r="L1707" i="1"/>
  <c r="J1708" i="1"/>
  <c r="K1708" i="1"/>
  <c r="L1708" i="1"/>
  <c r="J1709" i="1"/>
  <c r="K1709" i="1"/>
  <c r="L1709" i="1"/>
  <c r="J1710" i="1"/>
  <c r="K1710" i="1"/>
  <c r="L1710" i="1"/>
  <c r="J1711" i="1"/>
  <c r="K1711" i="1"/>
  <c r="L1711" i="1"/>
  <c r="J1712" i="1"/>
  <c r="K1712" i="1"/>
  <c r="L1712" i="1"/>
  <c r="J1713" i="1"/>
  <c r="K1713" i="1"/>
  <c r="L1713" i="1"/>
  <c r="J1714" i="1"/>
  <c r="K1714" i="1"/>
  <c r="L1714" i="1"/>
  <c r="J1715" i="1"/>
  <c r="K1715" i="1"/>
  <c r="L1715" i="1"/>
  <c r="J1716" i="1"/>
  <c r="K1716" i="1"/>
  <c r="L1716" i="1"/>
  <c r="J1717" i="1"/>
  <c r="K1717" i="1"/>
  <c r="L1717" i="1"/>
  <c r="J1718" i="1"/>
  <c r="K1718" i="1"/>
  <c r="L1718" i="1"/>
  <c r="J1719" i="1"/>
  <c r="K1719" i="1"/>
  <c r="L1719" i="1"/>
  <c r="J1720" i="1"/>
  <c r="K1720" i="1"/>
  <c r="L1720" i="1"/>
  <c r="J1721" i="1"/>
  <c r="K1721" i="1"/>
  <c r="L1721" i="1"/>
  <c r="J1722" i="1"/>
  <c r="K1722" i="1"/>
  <c r="L1722" i="1"/>
  <c r="J1723" i="1"/>
  <c r="K1723" i="1"/>
  <c r="L1723" i="1"/>
  <c r="J1724" i="1"/>
  <c r="K1724" i="1"/>
  <c r="L1724" i="1"/>
  <c r="J1725" i="1"/>
  <c r="K1725" i="1"/>
  <c r="L1725" i="1"/>
  <c r="J1726" i="1"/>
  <c r="K1726" i="1"/>
  <c r="L1726" i="1"/>
  <c r="J1727" i="1"/>
  <c r="K1727" i="1"/>
  <c r="L1727" i="1"/>
  <c r="J1728" i="1"/>
  <c r="K1728" i="1"/>
  <c r="L1728" i="1"/>
  <c r="J1729" i="1"/>
  <c r="K1729" i="1"/>
  <c r="L1729" i="1"/>
  <c r="J1730" i="1"/>
  <c r="K1730" i="1"/>
  <c r="L1730" i="1"/>
  <c r="J1731" i="1"/>
  <c r="K1731" i="1"/>
  <c r="L1731" i="1"/>
  <c r="J1732" i="1"/>
  <c r="K1732" i="1"/>
  <c r="L1732" i="1"/>
  <c r="J1733" i="1"/>
  <c r="K1733" i="1"/>
  <c r="L1733" i="1"/>
  <c r="J1734" i="1"/>
  <c r="K1734" i="1"/>
  <c r="L1734" i="1"/>
  <c r="J1735" i="1"/>
  <c r="K1735" i="1"/>
  <c r="L1735" i="1"/>
  <c r="J1736" i="1"/>
  <c r="K1736" i="1"/>
  <c r="L1736" i="1"/>
  <c r="J1737" i="1"/>
  <c r="K1737" i="1"/>
  <c r="L1737" i="1"/>
  <c r="J1738" i="1"/>
  <c r="K1738" i="1"/>
  <c r="L1738" i="1"/>
  <c r="J1739" i="1"/>
  <c r="K1739" i="1"/>
  <c r="L1739" i="1"/>
  <c r="J1740" i="1"/>
  <c r="K1740" i="1"/>
  <c r="L1740" i="1"/>
  <c r="J1741" i="1"/>
  <c r="K1741" i="1"/>
  <c r="L1741" i="1"/>
  <c r="J1742" i="1"/>
  <c r="K1742" i="1"/>
  <c r="L1742" i="1"/>
  <c r="J1743" i="1"/>
  <c r="K1743" i="1"/>
  <c r="L1743" i="1"/>
  <c r="J1744" i="1"/>
  <c r="K1744" i="1"/>
  <c r="L1744" i="1"/>
  <c r="J1745" i="1"/>
  <c r="K1745" i="1"/>
  <c r="L1745" i="1"/>
  <c r="J1746" i="1"/>
  <c r="K1746" i="1"/>
  <c r="L1746" i="1"/>
  <c r="J1747" i="1"/>
  <c r="K1747" i="1"/>
  <c r="L1747" i="1"/>
  <c r="J1748" i="1"/>
  <c r="K1748" i="1"/>
  <c r="L1748" i="1"/>
  <c r="J1749" i="1"/>
  <c r="K1749" i="1"/>
  <c r="L1749" i="1"/>
  <c r="J1750" i="1"/>
  <c r="K1750" i="1"/>
  <c r="L1750" i="1"/>
  <c r="J1751" i="1"/>
  <c r="K1751" i="1"/>
  <c r="L1751" i="1"/>
  <c r="J1752" i="1"/>
  <c r="K1752" i="1"/>
  <c r="L1752" i="1"/>
  <c r="J1753" i="1"/>
  <c r="K1753" i="1"/>
  <c r="L1753" i="1"/>
  <c r="J1754" i="1"/>
  <c r="K1754" i="1"/>
  <c r="L1754" i="1"/>
  <c r="J1755" i="1"/>
  <c r="K1755" i="1"/>
  <c r="L1755" i="1"/>
  <c r="J1756" i="1"/>
  <c r="K1756" i="1"/>
  <c r="L1756" i="1"/>
  <c r="J1757" i="1"/>
  <c r="K1757" i="1"/>
  <c r="L1757" i="1"/>
  <c r="J1758" i="1"/>
  <c r="K1758" i="1"/>
  <c r="L1758" i="1"/>
  <c r="J1760" i="1"/>
  <c r="K1760" i="1"/>
  <c r="L1760" i="1"/>
  <c r="J1761" i="1"/>
  <c r="K1761" i="1"/>
  <c r="L1761" i="1"/>
  <c r="J1762" i="1"/>
  <c r="K1762" i="1"/>
  <c r="L1762" i="1"/>
  <c r="J1763" i="1"/>
  <c r="K1763" i="1"/>
  <c r="L1763" i="1"/>
  <c r="J1764" i="1"/>
  <c r="K1764" i="1"/>
  <c r="L1764" i="1"/>
  <c r="J1765" i="1"/>
  <c r="K1765" i="1"/>
  <c r="L1765" i="1"/>
  <c r="J1766" i="1"/>
  <c r="K1766" i="1"/>
  <c r="L1766" i="1"/>
  <c r="J1767" i="1"/>
  <c r="K1767" i="1"/>
  <c r="L1767" i="1"/>
  <c r="J1768" i="1"/>
  <c r="K1768" i="1"/>
  <c r="L1768" i="1"/>
  <c r="J1769" i="1"/>
  <c r="K1769" i="1"/>
  <c r="L1769" i="1"/>
  <c r="J1770" i="1"/>
  <c r="K1770" i="1"/>
  <c r="L1770" i="1"/>
  <c r="J1771" i="1"/>
  <c r="K1771" i="1"/>
  <c r="L1771" i="1"/>
  <c r="J1772" i="1"/>
  <c r="K1772" i="1"/>
  <c r="L1772" i="1"/>
  <c r="J1773" i="1"/>
  <c r="K1773" i="1"/>
  <c r="L1773" i="1"/>
  <c r="J1774" i="1"/>
  <c r="K1774" i="1"/>
  <c r="L1774" i="1"/>
  <c r="J1775" i="1"/>
  <c r="K1775" i="1"/>
  <c r="L1775" i="1"/>
  <c r="J1776" i="1"/>
  <c r="K1776" i="1"/>
  <c r="L1776" i="1"/>
  <c r="J1777" i="1"/>
  <c r="K1777" i="1"/>
  <c r="L1777" i="1"/>
  <c r="J1778" i="1"/>
  <c r="K1778" i="1"/>
  <c r="L1778" i="1"/>
  <c r="J1779" i="1"/>
  <c r="K1779" i="1"/>
  <c r="L1779" i="1"/>
  <c r="J1780" i="1"/>
  <c r="K1780" i="1"/>
  <c r="L1780" i="1"/>
  <c r="J1781" i="1"/>
  <c r="K1781" i="1"/>
  <c r="L1781" i="1"/>
  <c r="J1782" i="1"/>
  <c r="K1782" i="1"/>
  <c r="L1782" i="1"/>
  <c r="J1783" i="1"/>
  <c r="K1783" i="1"/>
  <c r="L1783" i="1"/>
  <c r="J1784" i="1"/>
  <c r="K1784" i="1"/>
  <c r="L1784" i="1"/>
  <c r="J1785" i="1"/>
  <c r="K1785" i="1"/>
  <c r="L1785" i="1"/>
  <c r="J1786" i="1"/>
  <c r="K1786" i="1"/>
  <c r="L1786" i="1"/>
  <c r="J1787" i="1"/>
  <c r="K1787" i="1"/>
  <c r="L1787" i="1"/>
  <c r="J1788" i="1"/>
  <c r="K1788" i="1"/>
  <c r="L1788" i="1"/>
  <c r="J1789" i="1"/>
  <c r="K1789" i="1"/>
  <c r="L1789" i="1"/>
  <c r="J1790" i="1"/>
  <c r="K1790" i="1"/>
  <c r="L1790" i="1"/>
  <c r="J1791" i="1"/>
  <c r="K1791" i="1"/>
  <c r="L1791" i="1"/>
  <c r="J1792" i="1"/>
  <c r="K1792" i="1"/>
  <c r="L1792" i="1"/>
  <c r="J1793" i="1"/>
  <c r="K1793" i="1"/>
  <c r="L1793" i="1"/>
  <c r="J1794" i="1"/>
  <c r="K1794" i="1"/>
  <c r="L1794" i="1"/>
  <c r="J1795" i="1"/>
  <c r="K1795" i="1"/>
  <c r="L1795" i="1"/>
  <c r="J1796" i="1"/>
  <c r="K1796" i="1"/>
  <c r="L1796" i="1"/>
  <c r="J1797" i="1"/>
  <c r="K1797" i="1"/>
  <c r="L1797" i="1"/>
  <c r="J1798" i="1"/>
  <c r="K1798" i="1"/>
  <c r="L1798" i="1"/>
  <c r="J1799" i="1"/>
  <c r="K1799" i="1"/>
  <c r="L1799" i="1"/>
  <c r="J1800" i="1"/>
  <c r="K1800" i="1"/>
  <c r="L1800" i="1"/>
  <c r="J1801" i="1"/>
  <c r="K1801" i="1"/>
  <c r="L1801" i="1"/>
  <c r="J1802" i="1"/>
  <c r="K1802" i="1"/>
  <c r="L1802" i="1"/>
  <c r="J1803" i="1"/>
  <c r="K1803" i="1"/>
  <c r="L1803" i="1"/>
  <c r="J1804" i="1"/>
  <c r="K1804" i="1"/>
  <c r="L1804" i="1"/>
  <c r="J1805" i="1"/>
  <c r="K1805" i="1"/>
  <c r="L1805" i="1"/>
  <c r="J1806" i="1"/>
  <c r="K1806" i="1"/>
  <c r="L1806" i="1"/>
  <c r="J1807" i="1"/>
  <c r="K1807" i="1"/>
  <c r="L1807" i="1"/>
  <c r="J1808" i="1"/>
  <c r="K1808" i="1"/>
  <c r="L1808" i="1"/>
  <c r="J1809" i="1"/>
  <c r="K1809" i="1"/>
  <c r="L1809" i="1"/>
  <c r="J1810" i="1"/>
  <c r="K1810" i="1"/>
  <c r="L1810" i="1"/>
  <c r="J1811" i="1"/>
  <c r="K1811" i="1"/>
  <c r="L1811" i="1"/>
  <c r="J1812" i="1"/>
  <c r="K1812" i="1"/>
  <c r="L1812" i="1"/>
  <c r="J1813" i="1"/>
  <c r="K1813" i="1"/>
  <c r="L1813" i="1"/>
  <c r="J1814" i="1"/>
  <c r="K1814" i="1"/>
  <c r="L1814" i="1"/>
  <c r="J1815" i="1"/>
  <c r="K1815" i="1"/>
  <c r="L1815" i="1"/>
  <c r="J1816" i="1"/>
  <c r="K1816" i="1"/>
  <c r="L1816" i="1"/>
  <c r="J1817" i="1"/>
  <c r="K1817" i="1"/>
  <c r="L1817" i="1"/>
  <c r="J1818" i="1"/>
  <c r="K1818" i="1"/>
  <c r="L1818" i="1"/>
  <c r="J1819" i="1"/>
  <c r="K1819" i="1"/>
  <c r="L1819" i="1"/>
  <c r="J1820" i="1"/>
  <c r="K1820" i="1"/>
  <c r="L1820" i="1"/>
  <c r="J1821" i="1"/>
  <c r="K1821" i="1"/>
  <c r="L1821" i="1"/>
  <c r="J1822" i="1"/>
  <c r="K1822" i="1"/>
  <c r="L1822" i="1"/>
  <c r="J1823" i="1"/>
  <c r="K1823" i="1"/>
  <c r="L1823" i="1"/>
  <c r="J1824" i="1"/>
  <c r="K1824" i="1"/>
  <c r="L1824" i="1"/>
  <c r="J1825" i="1"/>
  <c r="K1825" i="1"/>
  <c r="L1825" i="1"/>
  <c r="J1826" i="1"/>
  <c r="K1826" i="1"/>
  <c r="L1826" i="1"/>
  <c r="J1827" i="1"/>
  <c r="K1827" i="1"/>
  <c r="L1827" i="1"/>
  <c r="J1828" i="1"/>
  <c r="K1828" i="1"/>
  <c r="L1828" i="1"/>
  <c r="J1829" i="1"/>
  <c r="K1829" i="1"/>
  <c r="L1829" i="1"/>
  <c r="J1830" i="1"/>
  <c r="K1830" i="1"/>
  <c r="L1830" i="1"/>
  <c r="J1831" i="1"/>
  <c r="K1831" i="1"/>
  <c r="L1831" i="1"/>
  <c r="J1832" i="1"/>
  <c r="K1832" i="1"/>
  <c r="L1832" i="1"/>
  <c r="J1833" i="1"/>
  <c r="K1833" i="1"/>
  <c r="L1833" i="1"/>
  <c r="J1834" i="1"/>
  <c r="K1834" i="1"/>
  <c r="L1834" i="1"/>
  <c r="J1835" i="1"/>
  <c r="K1835" i="1"/>
  <c r="L1835" i="1"/>
  <c r="J1836" i="1"/>
  <c r="K1836" i="1"/>
  <c r="L1836" i="1"/>
  <c r="J1837" i="1"/>
  <c r="K1837" i="1"/>
  <c r="L1837" i="1"/>
  <c r="J1838" i="1"/>
  <c r="K1838" i="1"/>
  <c r="L1838" i="1"/>
  <c r="J1839" i="1"/>
  <c r="K1839" i="1"/>
  <c r="L1839" i="1"/>
  <c r="J1840" i="1"/>
  <c r="K1840" i="1"/>
  <c r="L1840" i="1"/>
  <c r="J1841" i="1"/>
  <c r="K1841" i="1"/>
  <c r="L1841" i="1"/>
  <c r="J1842" i="1"/>
  <c r="K1842" i="1"/>
  <c r="L1842" i="1"/>
  <c r="J1843" i="1"/>
  <c r="K1843" i="1"/>
  <c r="L1843" i="1"/>
  <c r="J1844" i="1"/>
  <c r="K1844" i="1"/>
  <c r="L1844" i="1"/>
  <c r="J1845" i="1"/>
  <c r="K1845" i="1"/>
  <c r="L1845" i="1"/>
  <c r="J1846" i="1"/>
  <c r="K1846" i="1"/>
  <c r="L1846" i="1"/>
  <c r="J1847" i="1"/>
  <c r="K1847" i="1"/>
  <c r="L1847" i="1"/>
  <c r="J1848" i="1"/>
  <c r="K1848" i="1"/>
  <c r="L1848" i="1"/>
  <c r="J1849" i="1"/>
  <c r="K1849" i="1"/>
  <c r="L1849" i="1"/>
  <c r="J1850" i="1"/>
  <c r="K1850" i="1"/>
  <c r="L1850" i="1"/>
  <c r="J1851" i="1"/>
  <c r="K1851" i="1"/>
  <c r="L1851" i="1"/>
  <c r="J1852" i="1"/>
  <c r="K1852" i="1"/>
  <c r="L1852" i="1"/>
  <c r="J1853" i="1"/>
  <c r="K1853" i="1"/>
  <c r="L1853" i="1"/>
  <c r="J1854" i="1"/>
  <c r="K1854" i="1"/>
  <c r="L1854" i="1"/>
  <c r="J1855" i="1"/>
  <c r="K1855" i="1"/>
  <c r="L1855" i="1"/>
  <c r="J1856" i="1"/>
  <c r="K1856" i="1"/>
  <c r="L1856" i="1"/>
  <c r="J1857" i="1"/>
  <c r="K1857" i="1"/>
  <c r="L1857" i="1"/>
  <c r="J1858" i="1"/>
  <c r="K1858" i="1"/>
  <c r="L1858" i="1"/>
  <c r="J1859" i="1"/>
  <c r="K1859" i="1"/>
  <c r="L1859" i="1"/>
  <c r="J1860" i="1"/>
  <c r="K1860" i="1"/>
  <c r="L1860" i="1"/>
  <c r="J1861" i="1"/>
  <c r="K1861" i="1"/>
  <c r="L1861" i="1"/>
  <c r="J1862" i="1"/>
  <c r="K1862" i="1"/>
  <c r="L1862" i="1"/>
  <c r="J1863" i="1"/>
  <c r="K1863" i="1"/>
  <c r="L1863" i="1"/>
  <c r="J1864" i="1"/>
  <c r="K1864" i="1"/>
  <c r="L1864" i="1"/>
  <c r="J1865" i="1"/>
  <c r="K1865" i="1"/>
  <c r="L1865" i="1"/>
  <c r="J1866" i="1"/>
  <c r="K1866" i="1"/>
  <c r="L1866" i="1"/>
  <c r="J1867" i="1"/>
  <c r="K1867" i="1"/>
  <c r="L1867" i="1"/>
  <c r="J1868" i="1"/>
  <c r="K1868" i="1"/>
  <c r="L1868" i="1"/>
  <c r="J1869" i="1"/>
  <c r="K1869" i="1"/>
  <c r="L1869" i="1"/>
  <c r="J1870" i="1"/>
  <c r="K1870" i="1"/>
  <c r="L1870" i="1"/>
  <c r="J1871" i="1"/>
  <c r="K1871" i="1"/>
  <c r="L1871" i="1"/>
  <c r="J1873" i="1"/>
  <c r="K1873" i="1"/>
  <c r="L1873" i="1"/>
  <c r="J1874" i="1"/>
  <c r="K1874" i="1"/>
  <c r="L1874" i="1"/>
  <c r="J1875" i="1"/>
  <c r="K1875" i="1"/>
  <c r="L1875" i="1"/>
  <c r="J1876" i="1"/>
  <c r="K1876" i="1"/>
  <c r="L1876" i="1"/>
  <c r="J1877" i="1"/>
  <c r="K1877" i="1"/>
  <c r="L1877" i="1"/>
  <c r="J1878" i="1"/>
  <c r="K1878" i="1"/>
  <c r="L1878" i="1"/>
  <c r="J1879" i="1"/>
  <c r="K1879" i="1"/>
  <c r="L1879" i="1"/>
  <c r="J1880" i="1"/>
  <c r="K1880" i="1"/>
  <c r="L1880" i="1"/>
  <c r="J1881" i="1"/>
  <c r="K1881" i="1"/>
  <c r="L1881" i="1"/>
  <c r="J1882" i="1"/>
  <c r="K1882" i="1"/>
  <c r="L1882" i="1"/>
  <c r="J1883" i="1"/>
  <c r="K1883" i="1"/>
  <c r="L1883" i="1"/>
  <c r="J1884" i="1"/>
  <c r="K1884" i="1"/>
  <c r="L1884" i="1"/>
  <c r="J1886" i="1"/>
  <c r="K1886" i="1"/>
  <c r="L1886" i="1"/>
  <c r="J1887" i="1"/>
  <c r="K1887" i="1"/>
  <c r="L1887" i="1"/>
  <c r="J1888" i="1"/>
  <c r="K1888" i="1"/>
  <c r="L1888" i="1"/>
  <c r="J1889" i="1"/>
  <c r="K1889" i="1"/>
  <c r="L1889" i="1"/>
  <c r="J1890" i="1"/>
  <c r="K1890" i="1"/>
  <c r="L1890" i="1"/>
  <c r="J1891" i="1"/>
  <c r="K1891" i="1"/>
  <c r="L1891" i="1"/>
  <c r="J1892" i="1"/>
  <c r="K1892" i="1"/>
  <c r="L1892" i="1"/>
  <c r="J1893" i="1"/>
  <c r="K1893" i="1"/>
  <c r="L1893" i="1"/>
  <c r="J1894" i="1"/>
  <c r="K1894" i="1"/>
  <c r="L1894" i="1"/>
  <c r="J1895" i="1"/>
  <c r="K1895" i="1"/>
  <c r="L1895" i="1"/>
  <c r="J1896" i="1"/>
  <c r="K1896" i="1"/>
  <c r="L1896" i="1"/>
  <c r="J1897" i="1"/>
  <c r="K1897" i="1"/>
  <c r="L1897" i="1"/>
  <c r="J1898" i="1"/>
  <c r="K1898" i="1"/>
  <c r="L1898" i="1"/>
  <c r="J1899" i="1"/>
  <c r="K1899" i="1"/>
  <c r="L1899" i="1"/>
  <c r="J1900" i="1"/>
  <c r="K1900" i="1"/>
  <c r="L1900" i="1"/>
  <c r="J1901" i="1"/>
  <c r="K1901" i="1"/>
  <c r="L1901" i="1"/>
  <c r="J1902" i="1"/>
  <c r="K1902" i="1"/>
  <c r="L1902" i="1"/>
  <c r="J1903" i="1"/>
  <c r="K1903" i="1"/>
  <c r="L1903" i="1"/>
  <c r="J1904" i="1"/>
  <c r="K1904" i="1"/>
  <c r="L1904" i="1"/>
  <c r="J1905" i="1"/>
  <c r="K1905" i="1"/>
  <c r="L1905" i="1"/>
  <c r="J1906" i="1"/>
  <c r="K1906" i="1"/>
  <c r="L1906" i="1"/>
  <c r="J1907" i="1"/>
  <c r="K1907" i="1"/>
  <c r="L1907" i="1"/>
  <c r="J1908" i="1"/>
  <c r="K1908" i="1"/>
  <c r="L1908" i="1"/>
  <c r="J1909" i="1"/>
  <c r="K1909" i="1"/>
  <c r="L1909" i="1"/>
  <c r="J1910" i="1"/>
  <c r="K1910" i="1"/>
  <c r="L1910" i="1"/>
  <c r="J1911" i="1"/>
  <c r="K1911" i="1"/>
  <c r="L1911" i="1"/>
  <c r="J1912" i="1"/>
  <c r="K1912" i="1"/>
  <c r="L1912" i="1"/>
  <c r="J1913" i="1"/>
  <c r="K1913" i="1"/>
  <c r="L1913" i="1"/>
  <c r="J1914" i="1"/>
  <c r="K1914" i="1"/>
  <c r="L1914" i="1"/>
  <c r="J1915" i="1"/>
  <c r="K1915" i="1"/>
  <c r="L1915" i="1"/>
  <c r="J1916" i="1"/>
  <c r="K1916" i="1"/>
  <c r="L1916" i="1"/>
  <c r="J1917" i="1"/>
  <c r="K1917" i="1"/>
  <c r="L1917" i="1"/>
  <c r="J1918" i="1"/>
  <c r="K1918" i="1"/>
  <c r="L1918" i="1"/>
  <c r="J1919" i="1"/>
  <c r="K1919" i="1"/>
  <c r="L1919" i="1"/>
  <c r="J1920" i="1"/>
  <c r="K1920" i="1"/>
  <c r="L1920" i="1"/>
  <c r="J1921" i="1"/>
  <c r="K1921" i="1"/>
  <c r="L1921" i="1"/>
  <c r="J1922" i="1"/>
  <c r="K1922" i="1"/>
  <c r="L1922" i="1"/>
  <c r="J1923" i="1"/>
  <c r="K1923" i="1"/>
  <c r="L1923" i="1"/>
  <c r="J1924" i="1"/>
  <c r="K1924" i="1"/>
  <c r="L1924" i="1"/>
  <c r="J1925" i="1"/>
  <c r="K1925" i="1"/>
  <c r="L1925" i="1"/>
  <c r="J1926" i="1"/>
  <c r="K1926" i="1"/>
  <c r="L1926" i="1"/>
  <c r="J1927" i="1"/>
  <c r="K1927" i="1"/>
  <c r="L1927" i="1"/>
  <c r="J1928" i="1"/>
  <c r="K1928" i="1"/>
  <c r="L1928" i="1"/>
  <c r="J1929" i="1"/>
  <c r="K1929" i="1"/>
  <c r="L1929" i="1"/>
  <c r="J1930" i="1"/>
  <c r="K1930" i="1"/>
  <c r="L1930" i="1"/>
  <c r="J1931" i="1"/>
  <c r="K1931" i="1"/>
  <c r="L1931" i="1"/>
  <c r="J1932" i="1"/>
  <c r="K1932" i="1"/>
  <c r="L1932" i="1"/>
  <c r="J1933" i="1"/>
  <c r="K1933" i="1"/>
  <c r="L1933" i="1"/>
  <c r="J1934" i="1"/>
  <c r="K1934" i="1"/>
  <c r="L1934" i="1"/>
  <c r="J1935" i="1"/>
  <c r="K1935" i="1"/>
  <c r="L1935" i="1"/>
  <c r="J1936" i="1"/>
  <c r="K1936" i="1"/>
  <c r="L1936" i="1"/>
  <c r="J1937" i="1"/>
  <c r="K1937" i="1"/>
  <c r="L1937" i="1"/>
  <c r="J1938" i="1"/>
  <c r="K1938" i="1"/>
  <c r="L1938" i="1"/>
  <c r="J1939" i="1"/>
  <c r="K1939" i="1"/>
  <c r="L1939" i="1"/>
  <c r="J1940" i="1"/>
  <c r="K1940" i="1"/>
  <c r="L1940" i="1"/>
  <c r="J1941" i="1"/>
  <c r="K1941" i="1"/>
  <c r="L1941" i="1"/>
  <c r="J1942" i="1"/>
  <c r="K1942" i="1"/>
  <c r="L1942" i="1"/>
  <c r="J1943" i="1"/>
  <c r="K1943" i="1"/>
  <c r="L1943" i="1"/>
  <c r="J1944" i="1"/>
  <c r="K1944" i="1"/>
  <c r="L1944" i="1"/>
  <c r="J1945" i="1"/>
  <c r="K1945" i="1"/>
  <c r="L1945" i="1"/>
  <c r="J1946" i="1"/>
  <c r="K1946" i="1"/>
  <c r="L1946" i="1"/>
  <c r="J1947" i="1"/>
  <c r="K1947" i="1"/>
  <c r="L1947" i="1"/>
  <c r="J1948" i="1"/>
  <c r="K1948" i="1"/>
  <c r="L1948" i="1"/>
  <c r="J1949" i="1"/>
  <c r="K1949" i="1"/>
  <c r="L1949" i="1"/>
  <c r="J1950" i="1"/>
  <c r="K1950" i="1"/>
  <c r="L1950" i="1"/>
  <c r="J1951" i="1"/>
  <c r="K1951" i="1"/>
  <c r="L1951" i="1"/>
  <c r="J1952" i="1"/>
  <c r="K1952" i="1"/>
  <c r="L1952" i="1"/>
  <c r="J1953" i="1"/>
  <c r="K1953" i="1"/>
  <c r="L1953" i="1"/>
  <c r="J1954" i="1"/>
  <c r="K1954" i="1"/>
  <c r="L1954" i="1"/>
  <c r="J1955" i="1"/>
  <c r="K1955" i="1"/>
  <c r="L1955" i="1"/>
  <c r="J1956" i="1"/>
  <c r="K1956" i="1"/>
  <c r="L1956" i="1"/>
  <c r="J1957" i="1"/>
  <c r="K1957" i="1"/>
  <c r="L1957" i="1"/>
  <c r="J1958" i="1"/>
  <c r="K1958" i="1"/>
  <c r="L1958" i="1"/>
  <c r="J1959" i="1"/>
  <c r="K1959" i="1"/>
  <c r="L1959" i="1"/>
  <c r="J1960" i="1"/>
  <c r="K1960" i="1"/>
  <c r="L1960" i="1"/>
  <c r="J1961" i="1"/>
  <c r="K1961" i="1"/>
  <c r="L1961" i="1"/>
  <c r="J1962" i="1"/>
  <c r="K1962" i="1"/>
  <c r="L1962" i="1"/>
  <c r="J1963" i="1"/>
  <c r="K1963" i="1"/>
  <c r="L1963" i="1"/>
  <c r="J1964" i="1"/>
  <c r="K1964" i="1"/>
  <c r="L1964" i="1"/>
  <c r="J1965" i="1"/>
  <c r="K1965" i="1"/>
  <c r="L1965" i="1"/>
  <c r="J1966" i="1"/>
  <c r="K1966" i="1"/>
  <c r="L1966" i="1"/>
  <c r="J1967" i="1"/>
  <c r="K1967" i="1"/>
  <c r="L1967" i="1"/>
  <c r="J1968" i="1"/>
  <c r="K1968" i="1"/>
  <c r="L1968" i="1"/>
  <c r="J1969" i="1"/>
  <c r="K1969" i="1"/>
  <c r="L1969" i="1"/>
  <c r="J1970" i="1"/>
  <c r="K1970" i="1"/>
  <c r="L1970" i="1"/>
  <c r="J1971" i="1"/>
  <c r="K1971" i="1"/>
  <c r="L1971" i="1"/>
  <c r="J1972" i="1"/>
  <c r="K1972" i="1"/>
  <c r="L1972" i="1"/>
  <c r="J1973" i="1"/>
  <c r="K1973" i="1"/>
  <c r="L1973" i="1"/>
  <c r="J1974" i="1"/>
  <c r="K1974" i="1"/>
  <c r="L1974" i="1"/>
  <c r="J1975" i="1"/>
  <c r="K1975" i="1"/>
  <c r="L1975" i="1"/>
  <c r="J1976" i="1"/>
  <c r="K1976" i="1"/>
  <c r="L1976" i="1"/>
  <c r="J1977" i="1"/>
  <c r="K1977" i="1"/>
  <c r="L1977" i="1"/>
  <c r="J1978" i="1"/>
  <c r="K1978" i="1"/>
  <c r="L1978" i="1"/>
  <c r="J1979" i="1"/>
  <c r="K1979" i="1"/>
  <c r="L1979" i="1"/>
  <c r="J1980" i="1"/>
  <c r="K1980" i="1"/>
  <c r="L1980" i="1"/>
  <c r="J1981" i="1"/>
  <c r="K1981" i="1"/>
  <c r="L1981" i="1"/>
  <c r="J1982" i="1"/>
  <c r="K1982" i="1"/>
  <c r="L1982" i="1"/>
  <c r="J1983" i="1"/>
  <c r="K1983" i="1"/>
  <c r="L1983" i="1"/>
  <c r="J1984" i="1"/>
  <c r="K1984" i="1"/>
  <c r="L1984" i="1"/>
  <c r="J1985" i="1"/>
  <c r="K1985" i="1"/>
  <c r="L1985" i="1"/>
  <c r="J1986" i="1"/>
  <c r="K1986" i="1"/>
  <c r="L1986" i="1"/>
  <c r="J1987" i="1"/>
  <c r="K1987" i="1"/>
  <c r="L1987" i="1"/>
  <c r="J1988" i="1"/>
  <c r="K1988" i="1"/>
  <c r="L1988" i="1"/>
  <c r="J1989" i="1"/>
  <c r="K1989" i="1"/>
  <c r="L1989" i="1"/>
  <c r="J1990" i="1"/>
  <c r="K1990" i="1"/>
  <c r="L1990" i="1"/>
  <c r="J1991" i="1"/>
  <c r="K1991" i="1"/>
  <c r="L1991" i="1"/>
  <c r="J1992" i="1"/>
  <c r="K1992" i="1"/>
  <c r="L1992" i="1"/>
  <c r="J1993" i="1"/>
  <c r="K1993" i="1"/>
  <c r="L1993" i="1"/>
  <c r="J1994" i="1"/>
  <c r="K1994" i="1"/>
  <c r="L1994" i="1"/>
  <c r="J1995" i="1"/>
  <c r="K1995" i="1"/>
  <c r="L1995" i="1"/>
  <c r="J1996" i="1"/>
  <c r="K1996" i="1"/>
  <c r="L1996" i="1"/>
  <c r="J1997" i="1"/>
  <c r="K1997" i="1"/>
  <c r="L1997" i="1"/>
  <c r="J1998" i="1"/>
  <c r="K1998" i="1"/>
  <c r="L1998" i="1"/>
  <c r="J1999" i="1"/>
  <c r="K1999" i="1"/>
  <c r="L1999" i="1"/>
  <c r="J2000" i="1"/>
  <c r="K2000" i="1"/>
  <c r="L2000" i="1"/>
  <c r="J1431" i="1"/>
  <c r="K1431" i="1"/>
  <c r="L1431" i="1"/>
  <c r="J1432" i="1"/>
  <c r="K1432" i="1"/>
  <c r="L1432" i="1"/>
  <c r="J1433" i="1"/>
  <c r="K1433" i="1"/>
  <c r="L1433" i="1"/>
  <c r="J1434" i="1"/>
  <c r="K1434" i="1"/>
  <c r="L1434" i="1"/>
  <c r="J1435" i="1"/>
  <c r="K1435" i="1"/>
  <c r="L1435" i="1"/>
  <c r="J1436" i="1"/>
  <c r="K1436" i="1"/>
  <c r="L1436" i="1"/>
  <c r="J1437" i="1"/>
  <c r="K1437" i="1"/>
  <c r="L1437" i="1"/>
  <c r="J1438" i="1"/>
  <c r="K1438" i="1"/>
  <c r="L1438" i="1"/>
  <c r="J1439" i="1"/>
  <c r="K1439" i="1"/>
  <c r="L1439" i="1"/>
  <c r="J1440" i="1"/>
  <c r="K1440" i="1"/>
  <c r="L1440" i="1"/>
  <c r="J1441" i="1"/>
  <c r="K1441" i="1"/>
  <c r="L1441" i="1"/>
  <c r="J1442" i="1"/>
  <c r="K1442" i="1"/>
  <c r="L1442" i="1"/>
  <c r="J1443" i="1"/>
  <c r="K1443" i="1"/>
  <c r="L1443" i="1"/>
  <c r="J1444" i="1"/>
  <c r="K1444" i="1"/>
  <c r="L1444" i="1"/>
  <c r="J1445" i="1"/>
  <c r="K1445" i="1"/>
  <c r="L1445" i="1"/>
  <c r="J1446" i="1"/>
  <c r="K1446" i="1"/>
  <c r="L1446" i="1"/>
  <c r="J1447" i="1"/>
  <c r="K1447" i="1"/>
  <c r="L1447" i="1"/>
  <c r="J1448" i="1"/>
  <c r="K1448" i="1"/>
  <c r="L1448" i="1"/>
  <c r="J1449" i="1"/>
  <c r="K1449" i="1"/>
  <c r="L1449" i="1"/>
  <c r="J1450" i="1"/>
  <c r="K1450" i="1"/>
  <c r="L1450" i="1"/>
  <c r="J1451" i="1"/>
  <c r="K1451" i="1"/>
  <c r="L1451" i="1"/>
  <c r="J1452" i="1"/>
  <c r="K1452" i="1"/>
  <c r="L1452" i="1"/>
  <c r="J1453" i="1"/>
  <c r="K1453" i="1"/>
  <c r="L1453" i="1"/>
  <c r="J1454" i="1"/>
  <c r="K1454" i="1"/>
  <c r="L1454" i="1"/>
  <c r="J1455" i="1"/>
  <c r="K1455" i="1"/>
  <c r="L1455" i="1"/>
  <c r="J1456" i="1"/>
  <c r="K1456" i="1"/>
  <c r="L1456" i="1"/>
  <c r="J1457" i="1"/>
  <c r="K1457" i="1"/>
  <c r="L1457" i="1"/>
  <c r="J1458" i="1"/>
  <c r="K1458" i="1"/>
  <c r="L1458" i="1"/>
  <c r="J1459" i="1"/>
  <c r="K1459" i="1"/>
  <c r="L1459" i="1"/>
  <c r="J1460" i="1"/>
  <c r="K1460" i="1"/>
  <c r="L1460" i="1"/>
  <c r="J1461" i="1"/>
  <c r="K1461" i="1"/>
  <c r="L1461" i="1"/>
  <c r="J1462" i="1"/>
  <c r="K1462" i="1"/>
  <c r="L1462" i="1"/>
  <c r="J1463" i="1"/>
  <c r="K1463" i="1"/>
  <c r="L1463" i="1"/>
  <c r="J1464" i="1"/>
  <c r="K1464" i="1"/>
  <c r="L1464" i="1"/>
  <c r="J1465" i="1"/>
  <c r="K1465" i="1"/>
  <c r="L1465" i="1"/>
  <c r="J1466" i="1"/>
  <c r="K1466" i="1"/>
  <c r="L1466" i="1"/>
  <c r="J1467" i="1"/>
  <c r="K1467" i="1"/>
  <c r="L1467" i="1"/>
  <c r="J1468" i="1"/>
  <c r="K1468" i="1"/>
  <c r="L1468" i="1"/>
  <c r="J1469" i="1"/>
  <c r="K1469" i="1"/>
  <c r="L1469" i="1"/>
  <c r="J1470" i="1"/>
  <c r="K1470" i="1"/>
  <c r="L1470" i="1"/>
  <c r="J1471" i="1"/>
  <c r="K1471" i="1"/>
  <c r="L1471" i="1"/>
  <c r="J1472" i="1"/>
  <c r="K1472" i="1"/>
  <c r="L1472" i="1"/>
  <c r="J1473" i="1"/>
  <c r="K1473" i="1"/>
  <c r="L1473" i="1"/>
  <c r="J1474" i="1"/>
  <c r="K1474" i="1"/>
  <c r="L1474" i="1"/>
  <c r="J1475" i="1"/>
  <c r="K1475" i="1"/>
  <c r="L1475" i="1"/>
  <c r="J1476" i="1"/>
  <c r="K1476" i="1"/>
  <c r="L1476" i="1"/>
  <c r="J1477" i="1"/>
  <c r="K1477" i="1"/>
  <c r="L1477" i="1"/>
  <c r="J1478" i="1"/>
  <c r="K1478" i="1"/>
  <c r="L1478" i="1"/>
  <c r="J1479" i="1"/>
  <c r="K1479" i="1"/>
  <c r="L1479" i="1"/>
  <c r="J1480" i="1"/>
  <c r="K1480" i="1"/>
  <c r="L1480" i="1"/>
  <c r="J1481" i="1"/>
  <c r="K1481" i="1"/>
  <c r="L1481" i="1"/>
  <c r="J1482" i="1"/>
  <c r="K1482" i="1"/>
  <c r="L1482" i="1"/>
  <c r="J1483" i="1"/>
  <c r="K1483" i="1"/>
  <c r="L1483" i="1"/>
  <c r="J1484" i="1"/>
  <c r="K1484" i="1"/>
  <c r="L1484" i="1"/>
  <c r="J1485" i="1"/>
  <c r="K1485" i="1"/>
  <c r="L1485" i="1"/>
  <c r="J1486" i="1"/>
  <c r="K1486" i="1"/>
  <c r="L1486" i="1"/>
  <c r="J1487" i="1"/>
  <c r="K1487" i="1"/>
  <c r="L1487" i="1"/>
  <c r="J1488" i="1"/>
  <c r="K1488" i="1"/>
  <c r="L1488" i="1"/>
  <c r="J1489" i="1"/>
  <c r="K1489" i="1"/>
  <c r="L1489" i="1"/>
  <c r="J1490" i="1"/>
  <c r="K1490" i="1"/>
  <c r="L1490" i="1"/>
  <c r="J1491" i="1"/>
  <c r="K1491" i="1"/>
  <c r="L1491" i="1"/>
  <c r="J1492" i="1"/>
  <c r="K1492" i="1"/>
  <c r="L1492" i="1"/>
  <c r="J1493" i="1"/>
  <c r="K1493" i="1"/>
  <c r="L1493" i="1"/>
  <c r="J1494" i="1"/>
  <c r="K1494" i="1"/>
  <c r="L1494" i="1"/>
  <c r="J1495" i="1"/>
  <c r="K1495" i="1"/>
  <c r="L1495" i="1"/>
  <c r="J1496" i="1"/>
  <c r="K1496" i="1"/>
  <c r="L1496" i="1"/>
  <c r="J1497" i="1"/>
  <c r="K1497" i="1"/>
  <c r="L1497" i="1"/>
  <c r="J1498" i="1"/>
  <c r="K1498" i="1"/>
  <c r="L1498" i="1"/>
  <c r="J1499" i="1"/>
  <c r="K1499" i="1"/>
  <c r="L1499" i="1"/>
  <c r="J1500" i="1"/>
  <c r="K1500" i="1"/>
  <c r="L1500" i="1"/>
  <c r="J1501" i="1"/>
  <c r="K1501" i="1"/>
  <c r="L1501" i="1"/>
  <c r="J1502" i="1"/>
  <c r="K1502" i="1"/>
  <c r="L1502" i="1"/>
  <c r="J1503" i="1"/>
  <c r="K1503" i="1"/>
  <c r="L1503" i="1"/>
  <c r="J1504" i="1"/>
  <c r="K1504" i="1"/>
  <c r="L1504" i="1"/>
  <c r="J1505" i="1"/>
  <c r="K1505" i="1"/>
  <c r="L1505" i="1"/>
  <c r="J1506" i="1"/>
  <c r="K1506" i="1"/>
  <c r="L1506" i="1"/>
  <c r="J1507" i="1"/>
  <c r="K1507" i="1"/>
  <c r="L1507" i="1"/>
  <c r="J1508" i="1"/>
  <c r="K1508" i="1"/>
  <c r="L1508" i="1"/>
  <c r="J1509" i="1"/>
  <c r="K1509" i="1"/>
  <c r="L1509" i="1"/>
  <c r="J1510" i="1"/>
  <c r="K1510" i="1"/>
  <c r="L1510" i="1"/>
  <c r="J1511" i="1"/>
  <c r="K1511" i="1"/>
  <c r="L1511" i="1"/>
  <c r="J1512" i="1"/>
  <c r="K1512" i="1"/>
  <c r="L1512" i="1"/>
  <c r="J1513" i="1"/>
  <c r="K1513" i="1"/>
  <c r="L1513" i="1"/>
  <c r="J1514" i="1"/>
  <c r="K1514" i="1"/>
  <c r="L1514" i="1"/>
  <c r="J1515" i="1"/>
  <c r="K1515" i="1"/>
  <c r="L1515" i="1"/>
  <c r="J1516" i="1"/>
  <c r="K1516" i="1"/>
  <c r="L1516" i="1"/>
  <c r="J1517" i="1"/>
  <c r="K1517" i="1"/>
  <c r="L1517" i="1"/>
  <c r="J1518" i="1"/>
  <c r="K1518" i="1"/>
  <c r="L1518" i="1"/>
  <c r="J1519" i="1"/>
  <c r="K1519" i="1"/>
  <c r="L1519" i="1"/>
  <c r="J1520" i="1"/>
  <c r="K1520" i="1"/>
  <c r="L1520" i="1"/>
  <c r="J1521" i="1"/>
  <c r="K1521" i="1"/>
  <c r="L1521" i="1"/>
  <c r="J1522" i="1"/>
  <c r="K1522" i="1"/>
  <c r="L1522" i="1"/>
  <c r="J1523" i="1"/>
  <c r="K1523" i="1"/>
  <c r="L1523" i="1"/>
  <c r="J1524" i="1"/>
  <c r="K1524" i="1"/>
  <c r="L1524" i="1"/>
  <c r="J1525" i="1"/>
  <c r="K1525" i="1"/>
  <c r="L1525" i="1"/>
  <c r="J1526" i="1"/>
  <c r="K1526" i="1"/>
  <c r="L1526" i="1"/>
  <c r="J1527" i="1"/>
  <c r="K1527" i="1"/>
  <c r="L1527" i="1"/>
  <c r="J1528" i="1"/>
  <c r="K1528" i="1"/>
  <c r="L1528" i="1"/>
  <c r="J1529" i="1"/>
  <c r="K1529" i="1"/>
  <c r="L1529" i="1"/>
  <c r="J1530" i="1"/>
  <c r="K1530" i="1"/>
  <c r="L1530" i="1"/>
  <c r="J1531" i="1"/>
  <c r="K1531" i="1"/>
  <c r="L1531" i="1"/>
  <c r="J1532" i="1"/>
  <c r="K1532" i="1"/>
  <c r="L1532" i="1"/>
  <c r="J1533" i="1"/>
  <c r="K1533" i="1"/>
  <c r="L1533" i="1"/>
  <c r="J1534" i="1"/>
  <c r="K1534" i="1"/>
  <c r="L1534" i="1"/>
  <c r="J1535" i="1"/>
  <c r="K1535" i="1"/>
  <c r="L1535" i="1"/>
  <c r="J1536" i="1"/>
  <c r="K1536" i="1"/>
  <c r="L1536" i="1"/>
  <c r="J1537" i="1"/>
  <c r="K1537" i="1"/>
  <c r="L1537" i="1"/>
  <c r="J1538" i="1"/>
  <c r="K1538" i="1"/>
  <c r="L1538" i="1"/>
  <c r="J1539" i="1"/>
  <c r="K1539" i="1"/>
  <c r="L1539" i="1"/>
  <c r="J1540" i="1"/>
  <c r="K1540" i="1"/>
  <c r="L1540" i="1"/>
  <c r="J1541" i="1"/>
  <c r="K1541" i="1"/>
  <c r="L1541" i="1"/>
  <c r="J1542" i="1"/>
  <c r="K1542" i="1"/>
  <c r="L1542" i="1"/>
  <c r="J1543" i="1"/>
  <c r="K1543" i="1"/>
  <c r="L1543" i="1"/>
  <c r="J1544" i="1"/>
  <c r="K1544" i="1"/>
  <c r="L1544" i="1"/>
  <c r="J1545" i="1"/>
  <c r="K1545" i="1"/>
  <c r="L1545" i="1"/>
  <c r="J1546" i="1"/>
  <c r="K1546" i="1"/>
  <c r="L1546" i="1"/>
  <c r="J1547" i="1"/>
  <c r="K1547" i="1"/>
  <c r="L1547" i="1"/>
  <c r="J1548" i="1"/>
  <c r="K1548" i="1"/>
  <c r="L1548" i="1"/>
  <c r="J1549" i="1"/>
  <c r="K1549" i="1"/>
  <c r="L1549" i="1"/>
  <c r="J1550" i="1"/>
  <c r="K1550" i="1"/>
  <c r="L1550" i="1"/>
  <c r="J1551" i="1"/>
  <c r="K1551" i="1"/>
  <c r="L1551" i="1"/>
  <c r="J1552" i="1"/>
  <c r="K1552" i="1"/>
  <c r="L1552" i="1"/>
  <c r="J1553" i="1"/>
  <c r="K1553" i="1"/>
  <c r="L1553" i="1"/>
  <c r="J1554" i="1"/>
  <c r="K1554" i="1"/>
  <c r="L1554" i="1"/>
  <c r="J1555" i="1"/>
  <c r="K1555" i="1"/>
  <c r="L1555" i="1"/>
  <c r="J1556" i="1"/>
  <c r="K1556" i="1"/>
  <c r="L1556" i="1"/>
  <c r="J1557" i="1"/>
  <c r="K1557" i="1"/>
  <c r="L1557" i="1"/>
  <c r="J1558" i="1"/>
  <c r="K1558" i="1"/>
  <c r="L1558" i="1"/>
  <c r="J1559" i="1"/>
  <c r="K1559" i="1"/>
  <c r="L1559" i="1"/>
  <c r="J1560" i="1"/>
  <c r="K1560" i="1"/>
  <c r="L1560" i="1"/>
  <c r="J1561" i="1"/>
  <c r="K1561" i="1"/>
  <c r="L1561" i="1"/>
  <c r="J1562" i="1"/>
  <c r="K1562" i="1"/>
  <c r="L1562" i="1"/>
  <c r="J1563" i="1"/>
  <c r="K1563" i="1"/>
  <c r="L1563" i="1"/>
  <c r="J1564" i="1"/>
  <c r="K1564" i="1"/>
  <c r="L1564" i="1"/>
  <c r="J1565" i="1"/>
  <c r="K1565" i="1"/>
  <c r="L1565" i="1"/>
  <c r="J1566" i="1"/>
  <c r="K1566" i="1"/>
  <c r="L1566" i="1"/>
  <c r="J1567" i="1"/>
  <c r="K1567" i="1"/>
  <c r="L1567" i="1"/>
  <c r="J1568" i="1"/>
  <c r="K1568" i="1"/>
  <c r="L1568" i="1"/>
  <c r="J1569" i="1"/>
  <c r="K1569" i="1"/>
  <c r="L1569" i="1"/>
  <c r="J1570" i="1"/>
  <c r="K1570" i="1"/>
  <c r="L1570" i="1"/>
  <c r="J1571" i="1"/>
  <c r="K1571" i="1"/>
  <c r="L1571" i="1"/>
  <c r="J1572" i="1"/>
  <c r="K1572" i="1"/>
  <c r="L1572" i="1"/>
  <c r="J1573" i="1"/>
  <c r="K1573" i="1"/>
  <c r="L1573" i="1"/>
  <c r="J1574" i="1"/>
  <c r="K1574" i="1"/>
  <c r="L1574" i="1"/>
  <c r="J1575" i="1"/>
  <c r="K1575" i="1"/>
  <c r="L1575" i="1"/>
  <c r="J1576" i="1"/>
  <c r="K1576" i="1"/>
  <c r="L1576" i="1"/>
  <c r="J1577" i="1"/>
  <c r="K1577" i="1"/>
  <c r="L1577" i="1"/>
  <c r="J1578" i="1"/>
  <c r="K1578" i="1"/>
  <c r="L1578" i="1"/>
  <c r="J1579" i="1"/>
  <c r="K1579" i="1"/>
  <c r="L1579" i="1"/>
  <c r="J1580" i="1"/>
  <c r="K1580" i="1"/>
  <c r="L1580" i="1"/>
  <c r="J1581" i="1"/>
  <c r="K1581" i="1"/>
  <c r="L1581" i="1"/>
  <c r="J1582" i="1"/>
  <c r="K1582" i="1"/>
  <c r="L1582" i="1"/>
  <c r="J1583" i="1"/>
  <c r="K1583" i="1"/>
  <c r="L1583" i="1"/>
  <c r="J1584" i="1"/>
  <c r="K1584" i="1"/>
  <c r="L1584" i="1"/>
  <c r="J1585" i="1"/>
  <c r="K1585" i="1"/>
  <c r="L1585" i="1"/>
  <c r="J1586" i="1"/>
  <c r="K1586" i="1"/>
  <c r="L1586" i="1"/>
  <c r="J1587" i="1"/>
  <c r="K1587" i="1"/>
  <c r="L1587" i="1"/>
  <c r="J1588" i="1"/>
  <c r="K1588" i="1"/>
  <c r="L1588" i="1"/>
  <c r="J1589" i="1"/>
  <c r="K1589" i="1"/>
  <c r="L1589" i="1"/>
  <c r="J1590" i="1"/>
  <c r="K1590" i="1"/>
  <c r="L1590" i="1"/>
  <c r="J1591" i="1"/>
  <c r="K1591" i="1"/>
  <c r="L1591" i="1"/>
  <c r="J1592" i="1"/>
  <c r="K1592" i="1"/>
  <c r="L1592" i="1"/>
  <c r="J1593" i="1"/>
  <c r="K1593" i="1"/>
  <c r="L1593" i="1"/>
  <c r="J1594" i="1"/>
  <c r="K1594" i="1"/>
  <c r="L1594" i="1"/>
  <c r="J1595" i="1"/>
  <c r="K1595" i="1"/>
  <c r="L1595" i="1"/>
  <c r="J1596" i="1"/>
  <c r="K1596" i="1"/>
  <c r="L1596" i="1"/>
  <c r="J1598" i="1"/>
  <c r="K1598" i="1"/>
  <c r="L1598" i="1"/>
  <c r="J1599" i="1"/>
  <c r="K1599" i="1"/>
  <c r="L1599" i="1"/>
  <c r="J1600" i="1"/>
  <c r="K1600" i="1"/>
  <c r="L1600" i="1"/>
  <c r="J1601" i="1"/>
  <c r="K1601" i="1"/>
  <c r="L1601" i="1"/>
  <c r="J1602" i="1"/>
  <c r="K1602" i="1"/>
  <c r="L1602" i="1"/>
  <c r="J1603" i="1"/>
  <c r="K1603" i="1"/>
  <c r="L1603" i="1"/>
  <c r="J1604" i="1"/>
  <c r="K1604" i="1"/>
  <c r="L1604" i="1"/>
  <c r="J1605" i="1"/>
  <c r="K1605" i="1"/>
  <c r="L1605" i="1"/>
  <c r="J1606" i="1"/>
  <c r="K1606" i="1"/>
  <c r="L1606" i="1"/>
  <c r="J1607" i="1"/>
  <c r="K1607" i="1"/>
  <c r="L1607" i="1"/>
  <c r="J1608" i="1"/>
  <c r="K1608" i="1"/>
  <c r="L1608" i="1"/>
  <c r="J1609" i="1"/>
  <c r="K1609" i="1"/>
  <c r="L1609" i="1"/>
  <c r="J1610" i="1"/>
  <c r="K1610" i="1"/>
  <c r="L1610" i="1"/>
  <c r="J1611" i="1"/>
  <c r="K1611" i="1"/>
  <c r="L1611" i="1"/>
  <c r="J1612" i="1"/>
  <c r="K1612" i="1"/>
  <c r="L1612" i="1"/>
  <c r="J1613" i="1"/>
  <c r="K1613" i="1"/>
  <c r="L1613" i="1"/>
  <c r="J1614" i="1"/>
  <c r="K1614" i="1"/>
  <c r="L1614" i="1"/>
  <c r="J1615" i="1"/>
  <c r="K1615" i="1"/>
  <c r="L1615" i="1"/>
  <c r="J1616" i="1"/>
  <c r="K1616" i="1"/>
  <c r="L1616" i="1"/>
  <c r="J1617" i="1"/>
  <c r="K1617" i="1"/>
  <c r="L1617" i="1"/>
  <c r="J1618" i="1"/>
  <c r="K1618" i="1"/>
  <c r="L1618" i="1"/>
  <c r="J1619" i="1"/>
  <c r="K1619" i="1"/>
  <c r="L1619" i="1"/>
  <c r="J1620" i="1"/>
  <c r="K1620" i="1"/>
  <c r="L1620" i="1"/>
  <c r="J1621" i="1"/>
  <c r="K1621" i="1"/>
  <c r="L1621" i="1"/>
  <c r="J1622" i="1"/>
  <c r="K1622" i="1"/>
  <c r="L1622" i="1"/>
  <c r="J1623" i="1"/>
  <c r="K1623" i="1"/>
  <c r="L1623" i="1"/>
  <c r="J1624" i="1"/>
  <c r="K1624" i="1"/>
  <c r="L1624" i="1"/>
  <c r="J1625" i="1"/>
  <c r="K1625" i="1"/>
  <c r="L1625" i="1"/>
  <c r="J1626" i="1"/>
  <c r="K1626" i="1"/>
  <c r="L1626" i="1"/>
  <c r="J1627" i="1"/>
  <c r="K1627" i="1"/>
  <c r="L1627" i="1"/>
  <c r="J1628" i="1"/>
  <c r="K1628" i="1"/>
  <c r="L1628" i="1"/>
  <c r="J1629" i="1"/>
  <c r="K1629" i="1"/>
  <c r="L1629" i="1"/>
  <c r="J1630" i="1"/>
  <c r="K1630" i="1"/>
  <c r="L1630" i="1"/>
  <c r="J1631" i="1"/>
  <c r="K1631" i="1"/>
  <c r="L1631" i="1"/>
  <c r="J1632" i="1"/>
  <c r="K1632" i="1"/>
  <c r="L1632" i="1"/>
  <c r="J1633" i="1"/>
  <c r="K1633" i="1"/>
  <c r="L1633" i="1"/>
  <c r="J1634" i="1"/>
  <c r="K1634" i="1"/>
  <c r="L1634" i="1"/>
  <c r="J1635" i="1"/>
  <c r="K1635" i="1"/>
  <c r="L1635" i="1"/>
  <c r="J1636" i="1"/>
  <c r="K1636" i="1"/>
  <c r="L1636" i="1"/>
  <c r="J1637" i="1"/>
  <c r="K1637" i="1"/>
  <c r="L1637" i="1"/>
  <c r="J1638" i="1"/>
  <c r="K1638" i="1"/>
  <c r="L1638" i="1"/>
  <c r="J1639" i="1"/>
  <c r="K1639" i="1"/>
  <c r="L1639" i="1"/>
  <c r="J1640" i="1"/>
  <c r="K1640" i="1"/>
  <c r="L1640" i="1"/>
  <c r="J1641" i="1"/>
  <c r="K1641" i="1"/>
  <c r="L1641" i="1"/>
  <c r="J1642" i="1"/>
  <c r="K1642" i="1"/>
  <c r="L1642" i="1"/>
  <c r="J1643" i="1"/>
  <c r="K1643" i="1"/>
  <c r="L1643" i="1"/>
  <c r="J1644" i="1"/>
  <c r="K1644" i="1"/>
  <c r="L1644" i="1"/>
  <c r="J1645" i="1"/>
  <c r="K1645" i="1"/>
  <c r="L1645" i="1"/>
  <c r="J1646" i="1"/>
  <c r="K1646" i="1"/>
  <c r="L1646" i="1"/>
  <c r="J1647" i="1"/>
  <c r="K1647" i="1"/>
  <c r="L1647" i="1"/>
  <c r="J1648" i="1"/>
  <c r="K1648" i="1"/>
  <c r="L1648" i="1"/>
  <c r="J1649" i="1"/>
  <c r="K1649" i="1"/>
  <c r="L1649" i="1"/>
  <c r="J1650" i="1"/>
  <c r="K1650" i="1"/>
  <c r="L1650" i="1"/>
  <c r="J1651" i="1"/>
  <c r="K1651" i="1"/>
  <c r="L1651" i="1"/>
  <c r="J1652" i="1"/>
  <c r="K1652" i="1"/>
  <c r="L1652" i="1"/>
  <c r="J1653" i="1"/>
  <c r="K1653" i="1"/>
  <c r="L1653" i="1"/>
  <c r="J1654" i="1"/>
  <c r="K1654" i="1"/>
  <c r="L1654" i="1"/>
  <c r="J1655" i="1"/>
  <c r="K1655" i="1"/>
  <c r="L1655" i="1"/>
  <c r="J1656" i="1"/>
  <c r="K1656" i="1"/>
  <c r="L1656" i="1"/>
  <c r="J1657" i="1"/>
  <c r="K1657" i="1"/>
  <c r="L1657" i="1"/>
  <c r="J1658" i="1"/>
  <c r="K1658" i="1"/>
  <c r="L1658" i="1"/>
  <c r="J1659" i="1"/>
  <c r="K1659" i="1"/>
  <c r="L1659" i="1"/>
  <c r="J1660" i="1"/>
  <c r="K1660" i="1"/>
  <c r="L1660" i="1"/>
  <c r="J1661" i="1"/>
  <c r="K1661" i="1"/>
  <c r="L1661" i="1"/>
  <c r="J1662" i="1"/>
  <c r="K1662" i="1"/>
  <c r="L1662" i="1"/>
  <c r="J1663" i="1"/>
  <c r="K1663" i="1"/>
  <c r="L1663" i="1"/>
  <c r="J1664" i="1"/>
  <c r="K1664" i="1"/>
  <c r="L1664" i="1"/>
  <c r="J1665" i="1"/>
  <c r="K1665" i="1"/>
  <c r="L1665" i="1"/>
  <c r="J1666" i="1"/>
  <c r="K1666" i="1"/>
  <c r="L1666" i="1"/>
  <c r="J1667" i="1"/>
  <c r="K1667" i="1"/>
  <c r="L1667" i="1"/>
  <c r="J1668" i="1"/>
  <c r="K1668" i="1"/>
  <c r="L1668" i="1"/>
  <c r="J1669" i="1"/>
  <c r="K1669" i="1"/>
  <c r="L1669" i="1"/>
  <c r="J1670" i="1"/>
  <c r="K1670" i="1"/>
  <c r="L1670" i="1"/>
  <c r="J1671" i="1"/>
  <c r="K1671" i="1"/>
  <c r="L1671" i="1"/>
  <c r="J1672" i="1"/>
  <c r="K1672" i="1"/>
  <c r="L1672" i="1"/>
  <c r="J1673" i="1"/>
  <c r="K1673" i="1"/>
  <c r="L1673" i="1"/>
  <c r="J1674" i="1"/>
  <c r="K1674" i="1"/>
  <c r="L1674" i="1"/>
  <c r="J1675" i="1"/>
  <c r="K1675" i="1"/>
  <c r="L1675" i="1"/>
  <c r="J1676" i="1"/>
  <c r="K1676" i="1"/>
  <c r="L1676" i="1"/>
  <c r="J1677" i="1"/>
  <c r="K1677" i="1"/>
  <c r="L1677" i="1"/>
  <c r="J1678" i="1"/>
  <c r="K1678" i="1"/>
  <c r="L1678" i="1"/>
  <c r="J1679" i="1"/>
  <c r="K1679" i="1"/>
  <c r="L1679" i="1"/>
  <c r="J1680" i="1"/>
  <c r="K1680" i="1"/>
  <c r="L1680" i="1"/>
  <c r="J1681" i="1"/>
  <c r="K1681" i="1"/>
  <c r="L1681" i="1"/>
  <c r="J1284" i="1"/>
  <c r="K1284" i="1"/>
  <c r="L1284" i="1"/>
  <c r="J1285" i="1"/>
  <c r="K1285" i="1"/>
  <c r="L1285" i="1"/>
  <c r="J1286" i="1"/>
  <c r="K1286" i="1"/>
  <c r="L1286" i="1"/>
  <c r="J1287" i="1"/>
  <c r="K1287" i="1"/>
  <c r="L1287" i="1"/>
  <c r="J1288" i="1"/>
  <c r="K1288" i="1"/>
  <c r="L1288" i="1"/>
  <c r="J1289" i="1"/>
  <c r="K1289" i="1"/>
  <c r="L1289" i="1"/>
  <c r="J1290" i="1"/>
  <c r="K1290" i="1"/>
  <c r="L1290" i="1"/>
  <c r="J1291" i="1"/>
  <c r="K1291" i="1"/>
  <c r="L1291" i="1"/>
  <c r="J1292" i="1"/>
  <c r="K1292" i="1"/>
  <c r="L1292" i="1"/>
  <c r="J1293" i="1"/>
  <c r="K1293" i="1"/>
  <c r="L1293" i="1"/>
  <c r="J1294" i="1"/>
  <c r="K1294" i="1"/>
  <c r="L1294" i="1"/>
  <c r="J1295" i="1"/>
  <c r="K1295" i="1"/>
  <c r="L1295" i="1"/>
  <c r="J1296" i="1"/>
  <c r="K1296" i="1"/>
  <c r="L1296" i="1"/>
  <c r="J1297" i="1"/>
  <c r="K1297" i="1"/>
  <c r="L1297" i="1"/>
  <c r="J1298" i="1"/>
  <c r="K1298" i="1"/>
  <c r="L1298" i="1"/>
  <c r="J1299" i="1"/>
  <c r="K1299" i="1"/>
  <c r="L1299" i="1"/>
  <c r="J1300" i="1"/>
  <c r="K1300" i="1"/>
  <c r="L1300" i="1"/>
  <c r="J1301" i="1"/>
  <c r="K1301" i="1"/>
  <c r="L1301" i="1"/>
  <c r="J1302" i="1"/>
  <c r="K1302" i="1"/>
  <c r="L1302" i="1"/>
  <c r="J1303" i="1"/>
  <c r="K1303" i="1"/>
  <c r="L1303" i="1"/>
  <c r="J1304" i="1"/>
  <c r="K1304" i="1"/>
  <c r="L1304" i="1"/>
  <c r="J1305" i="1"/>
  <c r="K1305" i="1"/>
  <c r="L1305" i="1"/>
  <c r="J1306" i="1"/>
  <c r="K1306" i="1"/>
  <c r="L1306" i="1"/>
  <c r="J1307" i="1"/>
  <c r="K1307" i="1"/>
  <c r="L1307" i="1"/>
  <c r="J1308" i="1"/>
  <c r="K1308" i="1"/>
  <c r="L1308" i="1"/>
  <c r="J1309" i="1"/>
  <c r="K1309" i="1"/>
  <c r="L1309" i="1"/>
  <c r="J1310" i="1"/>
  <c r="K1310" i="1"/>
  <c r="L1310" i="1"/>
  <c r="J1311" i="1"/>
  <c r="K1311" i="1"/>
  <c r="L1311" i="1"/>
  <c r="J1312" i="1"/>
  <c r="K1312" i="1"/>
  <c r="L1312" i="1"/>
  <c r="J1313" i="1"/>
  <c r="K1313" i="1"/>
  <c r="L1313" i="1"/>
  <c r="J1314" i="1"/>
  <c r="K1314" i="1"/>
  <c r="L1314" i="1"/>
  <c r="J1315" i="1"/>
  <c r="K1315" i="1"/>
  <c r="L1315" i="1"/>
  <c r="J1316" i="1"/>
  <c r="K1316" i="1"/>
  <c r="L1316" i="1"/>
  <c r="J1317" i="1"/>
  <c r="K1317" i="1"/>
  <c r="L1317" i="1"/>
  <c r="J1318" i="1"/>
  <c r="K1318" i="1"/>
  <c r="L1318" i="1"/>
  <c r="J1319" i="1"/>
  <c r="K1319" i="1"/>
  <c r="L1319" i="1"/>
  <c r="J1320" i="1"/>
  <c r="K1320" i="1"/>
  <c r="L1320" i="1"/>
  <c r="J1321" i="1"/>
  <c r="K1321" i="1"/>
  <c r="L1321" i="1"/>
  <c r="J1322" i="1"/>
  <c r="K1322" i="1"/>
  <c r="L1322" i="1"/>
  <c r="J1323" i="1"/>
  <c r="K1323" i="1"/>
  <c r="L1323" i="1"/>
  <c r="J1324" i="1"/>
  <c r="K1324" i="1"/>
  <c r="L1324" i="1"/>
  <c r="J1325" i="1"/>
  <c r="K1325" i="1"/>
  <c r="L1325" i="1"/>
  <c r="J1326" i="1"/>
  <c r="K1326" i="1"/>
  <c r="L1326" i="1"/>
  <c r="J1327" i="1"/>
  <c r="K1327" i="1"/>
  <c r="L1327" i="1"/>
  <c r="J1328" i="1"/>
  <c r="K1328" i="1"/>
  <c r="L1328" i="1"/>
  <c r="J1329" i="1"/>
  <c r="K1329" i="1"/>
  <c r="L1329" i="1"/>
  <c r="J1330" i="1"/>
  <c r="K1330" i="1"/>
  <c r="L1330" i="1"/>
  <c r="J1331" i="1"/>
  <c r="K1331" i="1"/>
  <c r="L1331" i="1"/>
  <c r="J1332" i="1"/>
  <c r="K1332" i="1"/>
  <c r="L1332" i="1"/>
  <c r="J1333" i="1"/>
  <c r="K1333" i="1"/>
  <c r="L1333" i="1"/>
  <c r="J1334" i="1"/>
  <c r="K1334" i="1"/>
  <c r="L1334" i="1"/>
  <c r="J1335" i="1"/>
  <c r="K1335" i="1"/>
  <c r="L1335" i="1"/>
  <c r="J1336" i="1"/>
  <c r="K1336" i="1"/>
  <c r="L1336" i="1"/>
  <c r="J1337" i="1"/>
  <c r="K1337" i="1"/>
  <c r="L1337" i="1"/>
  <c r="J1338" i="1"/>
  <c r="K1338" i="1"/>
  <c r="L1338" i="1"/>
  <c r="J1339" i="1"/>
  <c r="K1339" i="1"/>
  <c r="L1339" i="1"/>
  <c r="J1340" i="1"/>
  <c r="K1340" i="1"/>
  <c r="L1340" i="1"/>
  <c r="J1341" i="1"/>
  <c r="K1341" i="1"/>
  <c r="L1341" i="1"/>
  <c r="J1342" i="1"/>
  <c r="K1342" i="1"/>
  <c r="L1342" i="1"/>
  <c r="J1343" i="1"/>
  <c r="K1343" i="1"/>
  <c r="L1343" i="1"/>
  <c r="J1344" i="1"/>
  <c r="K1344" i="1"/>
  <c r="L1344" i="1"/>
  <c r="J1345" i="1"/>
  <c r="K1345" i="1"/>
  <c r="L1345" i="1"/>
  <c r="J1346" i="1"/>
  <c r="K1346" i="1"/>
  <c r="L1346" i="1"/>
  <c r="J1347" i="1"/>
  <c r="K1347" i="1"/>
  <c r="L1347" i="1"/>
  <c r="J1348" i="1"/>
  <c r="K1348" i="1"/>
  <c r="L1348" i="1"/>
  <c r="J1349" i="1"/>
  <c r="K1349" i="1"/>
  <c r="L1349" i="1"/>
  <c r="J1350" i="1"/>
  <c r="K1350" i="1"/>
  <c r="L1350" i="1"/>
  <c r="J1351" i="1"/>
  <c r="K1351" i="1"/>
  <c r="L1351" i="1"/>
  <c r="J1352" i="1"/>
  <c r="K1352" i="1"/>
  <c r="L1352" i="1"/>
  <c r="J1353" i="1"/>
  <c r="K1353" i="1"/>
  <c r="L1353" i="1"/>
  <c r="J1354" i="1"/>
  <c r="K1354" i="1"/>
  <c r="L1354" i="1"/>
  <c r="J1355" i="1"/>
  <c r="K1355" i="1"/>
  <c r="L1355" i="1"/>
  <c r="J1356" i="1"/>
  <c r="K1356" i="1"/>
  <c r="L1356" i="1"/>
  <c r="J1357" i="1"/>
  <c r="K1357" i="1"/>
  <c r="L1357" i="1"/>
  <c r="J1358" i="1"/>
  <c r="K1358" i="1"/>
  <c r="L1358" i="1"/>
  <c r="J1359" i="1"/>
  <c r="K1359" i="1"/>
  <c r="L1359" i="1"/>
  <c r="J1360" i="1"/>
  <c r="K1360" i="1"/>
  <c r="L1360" i="1"/>
  <c r="J1361" i="1"/>
  <c r="K1361" i="1"/>
  <c r="L1361" i="1"/>
  <c r="J1362" i="1"/>
  <c r="K1362" i="1"/>
  <c r="L1362" i="1"/>
  <c r="J1363" i="1"/>
  <c r="K1363" i="1"/>
  <c r="L1363" i="1"/>
  <c r="J1364" i="1"/>
  <c r="K1364" i="1"/>
  <c r="L1364" i="1"/>
  <c r="J1365" i="1"/>
  <c r="K1365" i="1"/>
  <c r="L1365" i="1"/>
  <c r="J1366" i="1"/>
  <c r="K1366" i="1"/>
  <c r="L1366" i="1"/>
  <c r="J1367" i="1"/>
  <c r="K1367" i="1"/>
  <c r="L1367" i="1"/>
  <c r="J1368" i="1"/>
  <c r="K1368" i="1"/>
  <c r="L1368" i="1"/>
  <c r="J1369" i="1"/>
  <c r="K1369" i="1"/>
  <c r="L1369" i="1"/>
  <c r="J1370" i="1"/>
  <c r="K1370" i="1"/>
  <c r="L1370" i="1"/>
  <c r="J1371" i="1"/>
  <c r="K1371" i="1"/>
  <c r="L1371" i="1"/>
  <c r="J1372" i="1"/>
  <c r="K1372" i="1"/>
  <c r="L1372" i="1"/>
  <c r="J1373" i="1"/>
  <c r="K1373" i="1"/>
  <c r="L1373" i="1"/>
  <c r="J1374" i="1"/>
  <c r="K1374" i="1"/>
  <c r="L1374" i="1"/>
  <c r="J1375" i="1"/>
  <c r="K1375" i="1"/>
  <c r="L1375" i="1"/>
  <c r="J1376" i="1"/>
  <c r="K1376" i="1"/>
  <c r="L1376" i="1"/>
  <c r="J1377" i="1"/>
  <c r="K1377" i="1"/>
  <c r="L1377" i="1"/>
  <c r="J1378" i="1"/>
  <c r="K1378" i="1"/>
  <c r="L1378" i="1"/>
  <c r="J1379" i="1"/>
  <c r="K1379" i="1"/>
  <c r="L1379" i="1"/>
  <c r="J1380" i="1"/>
  <c r="K1380" i="1"/>
  <c r="L1380" i="1"/>
  <c r="J1381" i="1"/>
  <c r="K1381" i="1"/>
  <c r="L1381" i="1"/>
  <c r="J1382" i="1"/>
  <c r="K1382" i="1"/>
  <c r="L1382" i="1"/>
  <c r="J1383" i="1"/>
  <c r="K1383" i="1"/>
  <c r="L1383" i="1"/>
  <c r="J1384" i="1"/>
  <c r="K1384" i="1"/>
  <c r="L1384" i="1"/>
  <c r="J1385" i="1"/>
  <c r="K1385" i="1"/>
  <c r="L1385" i="1"/>
  <c r="J1386" i="1"/>
  <c r="K1386" i="1"/>
  <c r="L1386" i="1"/>
  <c r="J1387" i="1"/>
  <c r="K1387" i="1"/>
  <c r="L1387" i="1"/>
  <c r="J1388" i="1"/>
  <c r="K1388" i="1"/>
  <c r="L1388" i="1"/>
  <c r="J1389" i="1"/>
  <c r="K1389" i="1"/>
  <c r="L1389" i="1"/>
  <c r="J1390" i="1"/>
  <c r="K1390" i="1"/>
  <c r="L1390" i="1"/>
  <c r="J1391" i="1"/>
  <c r="K1391" i="1"/>
  <c r="L1391" i="1"/>
  <c r="J1392" i="1"/>
  <c r="K1392" i="1"/>
  <c r="L1392" i="1"/>
  <c r="J1393" i="1"/>
  <c r="K1393" i="1"/>
  <c r="L1393" i="1"/>
  <c r="J1394" i="1"/>
  <c r="K1394" i="1"/>
  <c r="L1394" i="1"/>
  <c r="J1395" i="1"/>
  <c r="K1395" i="1"/>
  <c r="L1395" i="1"/>
  <c r="J1396" i="1"/>
  <c r="K1396" i="1"/>
  <c r="L1396" i="1"/>
  <c r="J1397" i="1"/>
  <c r="K1397" i="1"/>
  <c r="L1397" i="1"/>
  <c r="J1398" i="1"/>
  <c r="K1398" i="1"/>
  <c r="L1398" i="1"/>
  <c r="J1399" i="1"/>
  <c r="K1399" i="1"/>
  <c r="L1399" i="1"/>
  <c r="J1400" i="1"/>
  <c r="K1400" i="1"/>
  <c r="L1400" i="1"/>
  <c r="J1401" i="1"/>
  <c r="K1401" i="1"/>
  <c r="L1401" i="1"/>
  <c r="J1402" i="1"/>
  <c r="K1402" i="1"/>
  <c r="L1402" i="1"/>
  <c r="J1403" i="1"/>
  <c r="K1403" i="1"/>
  <c r="L1403" i="1"/>
  <c r="J1404" i="1"/>
  <c r="K1404" i="1"/>
  <c r="L1404" i="1"/>
  <c r="J1405" i="1"/>
  <c r="K1405" i="1"/>
  <c r="L1405" i="1"/>
  <c r="J1406" i="1"/>
  <c r="K1406" i="1"/>
  <c r="L1406" i="1"/>
  <c r="J1407" i="1"/>
  <c r="K1407" i="1"/>
  <c r="L1407" i="1"/>
  <c r="J1408" i="1"/>
  <c r="K1408" i="1"/>
  <c r="L1408" i="1"/>
  <c r="J1409" i="1"/>
  <c r="K1409" i="1"/>
  <c r="L1409" i="1"/>
  <c r="J1410" i="1"/>
  <c r="K1410" i="1"/>
  <c r="L1410" i="1"/>
  <c r="J1411" i="1"/>
  <c r="K1411" i="1"/>
  <c r="L1411" i="1"/>
  <c r="J1412" i="1"/>
  <c r="K1412" i="1"/>
  <c r="L1412" i="1"/>
  <c r="J1413" i="1"/>
  <c r="K1413" i="1"/>
  <c r="L1413" i="1"/>
  <c r="J1414" i="1"/>
  <c r="K1414" i="1"/>
  <c r="L1414" i="1"/>
  <c r="J1415" i="1"/>
  <c r="K1415" i="1"/>
  <c r="L1415" i="1"/>
  <c r="J1416" i="1"/>
  <c r="K1416" i="1"/>
  <c r="L1416" i="1"/>
  <c r="J1417" i="1"/>
  <c r="K1417" i="1"/>
  <c r="L1417" i="1"/>
  <c r="J1418" i="1"/>
  <c r="K1418" i="1"/>
  <c r="L1418" i="1"/>
  <c r="J1419" i="1"/>
  <c r="K1419" i="1"/>
  <c r="L1419" i="1"/>
  <c r="J1420" i="1"/>
  <c r="K1420" i="1"/>
  <c r="L1420" i="1"/>
  <c r="J1421" i="1"/>
  <c r="K1421" i="1"/>
  <c r="L1421" i="1"/>
  <c r="J1422" i="1"/>
  <c r="K1422" i="1"/>
  <c r="L1422" i="1"/>
  <c r="J1423" i="1"/>
  <c r="K1423" i="1"/>
  <c r="L1423" i="1"/>
  <c r="J1424" i="1"/>
  <c r="K1424" i="1"/>
  <c r="L1424" i="1"/>
  <c r="J1425" i="1"/>
  <c r="K1425" i="1"/>
  <c r="L1425" i="1"/>
  <c r="J1426" i="1"/>
  <c r="K1426" i="1"/>
  <c r="L1426" i="1"/>
  <c r="J1427" i="1"/>
  <c r="K1427" i="1"/>
  <c r="L1427" i="1"/>
  <c r="J1428" i="1"/>
  <c r="K1428" i="1"/>
  <c r="L1428" i="1"/>
  <c r="J1429" i="1"/>
  <c r="K1429" i="1"/>
  <c r="L1429" i="1"/>
  <c r="J1430" i="1"/>
  <c r="K1430" i="1"/>
  <c r="L1430" i="1"/>
  <c r="J1191" i="1"/>
  <c r="K1191" i="1"/>
  <c r="L1191" i="1"/>
  <c r="J1192" i="1"/>
  <c r="K1192" i="1"/>
  <c r="L1192" i="1"/>
  <c r="J1193" i="1"/>
  <c r="K1193" i="1"/>
  <c r="L1193" i="1"/>
  <c r="J1194" i="1"/>
  <c r="K1194" i="1"/>
  <c r="L1194" i="1"/>
  <c r="J1195" i="1"/>
  <c r="K1195" i="1"/>
  <c r="L1195" i="1"/>
  <c r="J1196" i="1"/>
  <c r="K1196" i="1"/>
  <c r="L1196" i="1"/>
  <c r="J1197" i="1"/>
  <c r="K1197" i="1"/>
  <c r="L1197" i="1"/>
  <c r="J1198" i="1"/>
  <c r="K1198" i="1"/>
  <c r="L1198" i="1"/>
  <c r="J1199" i="1"/>
  <c r="K1199" i="1"/>
  <c r="L1199" i="1"/>
  <c r="J1200" i="1"/>
  <c r="K1200" i="1"/>
  <c r="L1200" i="1"/>
  <c r="J1201" i="1"/>
  <c r="K1201" i="1"/>
  <c r="L1201" i="1"/>
  <c r="J1202" i="1"/>
  <c r="K1202" i="1"/>
  <c r="L1202" i="1"/>
  <c r="J1203" i="1"/>
  <c r="K1203" i="1"/>
  <c r="L1203" i="1"/>
  <c r="J1204" i="1"/>
  <c r="K1204" i="1"/>
  <c r="L1204" i="1"/>
  <c r="J1205" i="1"/>
  <c r="K1205" i="1"/>
  <c r="L1205" i="1"/>
  <c r="J1206" i="1"/>
  <c r="K1206" i="1"/>
  <c r="L1206" i="1"/>
  <c r="J1207" i="1"/>
  <c r="K1207" i="1"/>
  <c r="L1207" i="1"/>
  <c r="J1208" i="1"/>
  <c r="K1208" i="1"/>
  <c r="L1208" i="1"/>
  <c r="J1209" i="1"/>
  <c r="K1209" i="1"/>
  <c r="L1209" i="1"/>
  <c r="J1210" i="1"/>
  <c r="K1210" i="1"/>
  <c r="L1210" i="1"/>
  <c r="J1211" i="1"/>
  <c r="K1211" i="1"/>
  <c r="L1211" i="1"/>
  <c r="J1212" i="1"/>
  <c r="K1212" i="1"/>
  <c r="L1212" i="1"/>
  <c r="J1213" i="1"/>
  <c r="K1213" i="1"/>
  <c r="L1213" i="1"/>
  <c r="J1214" i="1"/>
  <c r="K1214" i="1"/>
  <c r="L1214" i="1"/>
  <c r="J1215" i="1"/>
  <c r="K1215" i="1"/>
  <c r="L1215" i="1"/>
  <c r="J1216" i="1"/>
  <c r="K1216" i="1"/>
  <c r="L1216" i="1"/>
  <c r="J1217" i="1"/>
  <c r="K1217" i="1"/>
  <c r="L1217" i="1"/>
  <c r="J1218" i="1"/>
  <c r="K1218" i="1"/>
  <c r="L1218" i="1"/>
  <c r="J1219" i="1"/>
  <c r="K1219" i="1"/>
  <c r="L1219" i="1"/>
  <c r="J1220" i="1"/>
  <c r="K1220" i="1"/>
  <c r="L1220" i="1"/>
  <c r="J1221" i="1"/>
  <c r="K1221" i="1"/>
  <c r="L1221" i="1"/>
  <c r="J1222" i="1"/>
  <c r="K1222" i="1"/>
  <c r="L1222" i="1"/>
  <c r="J1223" i="1"/>
  <c r="K1223" i="1"/>
  <c r="L1223" i="1"/>
  <c r="J1224" i="1"/>
  <c r="K1224" i="1"/>
  <c r="L1224" i="1"/>
  <c r="J1225" i="1"/>
  <c r="K1225" i="1"/>
  <c r="L1225" i="1"/>
  <c r="J1226" i="1"/>
  <c r="K1226" i="1"/>
  <c r="L1226" i="1"/>
  <c r="J1227" i="1"/>
  <c r="K1227" i="1"/>
  <c r="L1227" i="1"/>
  <c r="J1228" i="1"/>
  <c r="K1228" i="1"/>
  <c r="L1228" i="1"/>
  <c r="J1229" i="1"/>
  <c r="K1229" i="1"/>
  <c r="L1229" i="1"/>
  <c r="J1230" i="1"/>
  <c r="K1230" i="1"/>
  <c r="L1230" i="1"/>
  <c r="J1231" i="1"/>
  <c r="K1231" i="1"/>
  <c r="L1231" i="1"/>
  <c r="J1232" i="1"/>
  <c r="K1232" i="1"/>
  <c r="L1232" i="1"/>
  <c r="J1233" i="1"/>
  <c r="K1233" i="1"/>
  <c r="L1233" i="1"/>
  <c r="J1234" i="1"/>
  <c r="K1234" i="1"/>
  <c r="L1234" i="1"/>
  <c r="J1235" i="1"/>
  <c r="K1235" i="1"/>
  <c r="L1235" i="1"/>
  <c r="J1236" i="1"/>
  <c r="K1236" i="1"/>
  <c r="L1236" i="1"/>
  <c r="J1237" i="1"/>
  <c r="K1237" i="1"/>
  <c r="L1237" i="1"/>
  <c r="J1238" i="1"/>
  <c r="K1238" i="1"/>
  <c r="L1238" i="1"/>
  <c r="J1239" i="1"/>
  <c r="K1239" i="1"/>
  <c r="L1239" i="1"/>
  <c r="J1240" i="1"/>
  <c r="K1240" i="1"/>
  <c r="L1240" i="1"/>
  <c r="J1241" i="1"/>
  <c r="K1241" i="1"/>
  <c r="L1241" i="1"/>
  <c r="J1242" i="1"/>
  <c r="K1242" i="1"/>
  <c r="L1242" i="1"/>
  <c r="J1243" i="1"/>
  <c r="K1243" i="1"/>
  <c r="L1243" i="1"/>
  <c r="J1244" i="1"/>
  <c r="K1244" i="1"/>
  <c r="L1244" i="1"/>
  <c r="J1245" i="1"/>
  <c r="K1245" i="1"/>
  <c r="L1245" i="1"/>
  <c r="J1246" i="1"/>
  <c r="K1246" i="1"/>
  <c r="L1246" i="1"/>
  <c r="J1247" i="1"/>
  <c r="K1247" i="1"/>
  <c r="L1247" i="1"/>
  <c r="J1248" i="1"/>
  <c r="K1248" i="1"/>
  <c r="L1248" i="1"/>
  <c r="J1249" i="1"/>
  <c r="K1249" i="1"/>
  <c r="L1249" i="1"/>
  <c r="J1250" i="1"/>
  <c r="K1250" i="1"/>
  <c r="L1250" i="1"/>
  <c r="J1251" i="1"/>
  <c r="K1251" i="1"/>
  <c r="L1251" i="1"/>
  <c r="J1252" i="1"/>
  <c r="K1252" i="1"/>
  <c r="L1252" i="1"/>
  <c r="J1253" i="1"/>
  <c r="K1253" i="1"/>
  <c r="L1253" i="1"/>
  <c r="J1254" i="1"/>
  <c r="K1254" i="1"/>
  <c r="L1254" i="1"/>
  <c r="J1255" i="1"/>
  <c r="K1255" i="1"/>
  <c r="L1255" i="1"/>
  <c r="J1256" i="1"/>
  <c r="K1256" i="1"/>
  <c r="L1256" i="1"/>
  <c r="J1257" i="1"/>
  <c r="K1257" i="1"/>
  <c r="L1257" i="1"/>
  <c r="J1258" i="1"/>
  <c r="K1258" i="1"/>
  <c r="L1258" i="1"/>
  <c r="J1259" i="1"/>
  <c r="K1259" i="1"/>
  <c r="L1259" i="1"/>
  <c r="J1260" i="1"/>
  <c r="K1260" i="1"/>
  <c r="L1260" i="1"/>
  <c r="J1261" i="1"/>
  <c r="K1261" i="1"/>
  <c r="L1261" i="1"/>
  <c r="J1262" i="1"/>
  <c r="K1262" i="1"/>
  <c r="L1262" i="1"/>
  <c r="J1263" i="1"/>
  <c r="K1263" i="1"/>
  <c r="L1263" i="1"/>
  <c r="J1264" i="1"/>
  <c r="K1264" i="1"/>
  <c r="L1264" i="1"/>
  <c r="J1265" i="1"/>
  <c r="K1265" i="1"/>
  <c r="L1265" i="1"/>
  <c r="J1266" i="1"/>
  <c r="K1266" i="1"/>
  <c r="L1266" i="1"/>
  <c r="J1267" i="1"/>
  <c r="K1267" i="1"/>
  <c r="L1267" i="1"/>
  <c r="J1268" i="1"/>
  <c r="K1268" i="1"/>
  <c r="L1268" i="1"/>
  <c r="J1269" i="1"/>
  <c r="K1269" i="1"/>
  <c r="L1269" i="1"/>
  <c r="J1270" i="1"/>
  <c r="K1270" i="1"/>
  <c r="L1270" i="1"/>
  <c r="J1271" i="1"/>
  <c r="K1271" i="1"/>
  <c r="L1271" i="1"/>
  <c r="J1272" i="1"/>
  <c r="K1272" i="1"/>
  <c r="L1272" i="1"/>
  <c r="J1273" i="1"/>
  <c r="K1273" i="1"/>
  <c r="L1273" i="1"/>
  <c r="J1274" i="1"/>
  <c r="K1274" i="1"/>
  <c r="L1274" i="1"/>
  <c r="J1275" i="1"/>
  <c r="K1275" i="1"/>
  <c r="L1275" i="1"/>
  <c r="J1276" i="1"/>
  <c r="K1276" i="1"/>
  <c r="L1276" i="1"/>
  <c r="J1277" i="1"/>
  <c r="K1277" i="1"/>
  <c r="L1277" i="1"/>
  <c r="J1278" i="1"/>
  <c r="K1278" i="1"/>
  <c r="L1278" i="1"/>
  <c r="J1279" i="1"/>
  <c r="K1279" i="1"/>
  <c r="L1279" i="1"/>
  <c r="J1280" i="1"/>
  <c r="K1280" i="1"/>
  <c r="L1280" i="1"/>
  <c r="J1281" i="1"/>
  <c r="K1281" i="1"/>
  <c r="L1281" i="1"/>
  <c r="J1282" i="1"/>
  <c r="K1282" i="1"/>
  <c r="L1282" i="1"/>
  <c r="J1283" i="1"/>
  <c r="K1283" i="1"/>
  <c r="L1283" i="1"/>
  <c r="AM3" i="1"/>
  <c r="AM4" i="1"/>
  <c r="AM5" i="1"/>
  <c r="AM6" i="1"/>
  <c r="AM7" i="1"/>
  <c r="AM8" i="1"/>
  <c r="AM9" i="1"/>
  <c r="AM10" i="1"/>
  <c r="AM11" i="1"/>
  <c r="AM12" i="1"/>
  <c r="AM13" i="1"/>
  <c r="AM14" i="1"/>
  <c r="AM15" i="1"/>
  <c r="AM16" i="1"/>
  <c r="AM17" i="1"/>
  <c r="AM18" i="1"/>
  <c r="AM19" i="1"/>
  <c r="AM20" i="1"/>
  <c r="AM21" i="1"/>
  <c r="AM22" i="1"/>
  <c r="AM23" i="1"/>
  <c r="AM24" i="1"/>
  <c r="AM25" i="1"/>
  <c r="AM26" i="1"/>
  <c r="AM27"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M54" i="1"/>
  <c r="AM55" i="1"/>
  <c r="AM56" i="1"/>
  <c r="AM57" i="1"/>
  <c r="AM58" i="1"/>
  <c r="AM59" i="1"/>
  <c r="AM60" i="1"/>
  <c r="AM61" i="1"/>
  <c r="AM62" i="1"/>
  <c r="AM63" i="1"/>
  <c r="AM64" i="1"/>
  <c r="AM65" i="1"/>
  <c r="AM66" i="1"/>
  <c r="AM67" i="1"/>
  <c r="AM68" i="1"/>
  <c r="AM69" i="1"/>
  <c r="AM70" i="1"/>
  <c r="AM71" i="1"/>
  <c r="AM72" i="1"/>
  <c r="AM73" i="1"/>
  <c r="AM74" i="1"/>
  <c r="AM75" i="1"/>
  <c r="AM76" i="1"/>
  <c r="AM77" i="1"/>
  <c r="AM78" i="1"/>
  <c r="AM79" i="1"/>
  <c r="AM80" i="1"/>
  <c r="AM81"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2" i="1"/>
  <c r="AM123" i="1"/>
  <c r="AM124" i="1"/>
  <c r="AM125" i="1"/>
  <c r="AM126" i="1"/>
  <c r="AM127" i="1"/>
  <c r="AM128" i="1"/>
  <c r="AM129" i="1"/>
  <c r="AM130" i="1"/>
  <c r="AM131" i="1"/>
  <c r="AM132" i="1"/>
  <c r="AM133" i="1"/>
  <c r="AM134" i="1"/>
  <c r="AM135" i="1"/>
  <c r="AM136" i="1"/>
  <c r="AM137" i="1"/>
  <c r="AM138" i="1"/>
  <c r="AM139" i="1"/>
  <c r="AM140" i="1"/>
  <c r="AM141" i="1"/>
  <c r="AM142" i="1"/>
  <c r="AM143" i="1"/>
  <c r="AM144" i="1"/>
  <c r="AM145" i="1"/>
  <c r="AM146" i="1"/>
  <c r="AM147" i="1"/>
  <c r="AM148" i="1"/>
  <c r="AM149" i="1"/>
  <c r="AM150" i="1"/>
  <c r="AM151" i="1"/>
  <c r="AM152" i="1"/>
  <c r="AM153" i="1"/>
  <c r="AM154" i="1"/>
  <c r="AM155" i="1"/>
  <c r="AM156" i="1"/>
  <c r="AM157" i="1"/>
  <c r="AM158" i="1"/>
  <c r="AM159" i="1"/>
  <c r="AM160" i="1"/>
  <c r="AM161" i="1"/>
  <c r="AM162" i="1"/>
  <c r="AM163" i="1"/>
  <c r="AM164" i="1"/>
  <c r="AM165" i="1"/>
  <c r="AM166" i="1"/>
  <c r="AM167" i="1"/>
  <c r="AM168" i="1"/>
  <c r="AM169" i="1"/>
  <c r="AM170" i="1"/>
  <c r="AM171" i="1"/>
  <c r="AM172" i="1"/>
  <c r="AM173" i="1"/>
  <c r="AM174" i="1"/>
  <c r="AM175" i="1"/>
  <c r="AM176" i="1"/>
  <c r="AM177" i="1"/>
  <c r="AM178" i="1"/>
  <c r="AM179" i="1"/>
  <c r="AM180" i="1"/>
  <c r="AM181" i="1"/>
  <c r="AM182" i="1"/>
  <c r="AM183" i="1"/>
  <c r="AM184" i="1"/>
  <c r="AM185" i="1"/>
  <c r="AM186" i="1"/>
  <c r="AM187" i="1"/>
  <c r="AM188" i="1"/>
  <c r="AM189" i="1"/>
  <c r="AM190" i="1"/>
  <c r="AM191" i="1"/>
  <c r="AM192" i="1"/>
  <c r="AM193" i="1"/>
  <c r="AM194" i="1"/>
  <c r="AM195" i="1"/>
  <c r="AM196" i="1"/>
  <c r="AM197" i="1"/>
  <c r="AM198" i="1"/>
  <c r="AM199" i="1"/>
  <c r="AM200" i="1"/>
  <c r="AM201" i="1"/>
  <c r="AM202" i="1"/>
  <c r="AM203" i="1"/>
  <c r="AM204" i="1"/>
  <c r="AM205" i="1"/>
  <c r="AM206" i="1"/>
  <c r="AM207" i="1"/>
  <c r="AM208" i="1"/>
  <c r="AM209" i="1"/>
  <c r="AM210" i="1"/>
  <c r="AM211" i="1"/>
  <c r="AM212" i="1"/>
  <c r="AM213" i="1"/>
  <c r="AM214" i="1"/>
  <c r="AM215" i="1"/>
  <c r="AM216" i="1"/>
  <c r="AM217" i="1"/>
  <c r="AM218" i="1"/>
  <c r="AM219" i="1"/>
  <c r="AM220" i="1"/>
  <c r="AM221" i="1"/>
  <c r="AM222" i="1"/>
  <c r="AM223" i="1"/>
  <c r="AM224" i="1"/>
  <c r="AM225" i="1"/>
  <c r="AM226" i="1"/>
  <c r="AM227" i="1"/>
  <c r="AM228" i="1"/>
  <c r="AM229" i="1"/>
  <c r="AM230" i="1"/>
  <c r="AM231" i="1"/>
  <c r="AM232" i="1"/>
  <c r="AM233" i="1"/>
  <c r="AM234" i="1"/>
  <c r="AM235" i="1"/>
  <c r="AM236" i="1"/>
  <c r="AM237" i="1"/>
  <c r="AM238" i="1"/>
  <c r="AM239" i="1"/>
  <c r="AM240" i="1"/>
  <c r="AM241" i="1"/>
  <c r="AM242" i="1"/>
  <c r="AM243" i="1"/>
  <c r="AM244" i="1"/>
  <c r="AM245" i="1"/>
  <c r="AM246" i="1"/>
  <c r="AM247" i="1"/>
  <c r="AM248" i="1"/>
  <c r="AM249" i="1"/>
  <c r="AM250" i="1"/>
  <c r="AM251" i="1"/>
  <c r="AM252" i="1"/>
  <c r="AM253" i="1"/>
  <c r="AM254" i="1"/>
  <c r="AM255" i="1"/>
  <c r="AM256" i="1"/>
  <c r="AM257" i="1"/>
  <c r="AM258" i="1"/>
  <c r="AM259" i="1"/>
  <c r="AM260" i="1"/>
  <c r="AM261" i="1"/>
  <c r="AJ262" i="1"/>
  <c r="AK262" i="1"/>
  <c r="AL262" i="1"/>
  <c r="AM262" i="1"/>
  <c r="AM263" i="1"/>
  <c r="AM264" i="1"/>
  <c r="AM265" i="1"/>
  <c r="AM266" i="1"/>
  <c r="AM267" i="1"/>
  <c r="AM268" i="1"/>
  <c r="AM269" i="1"/>
  <c r="AM270" i="1"/>
  <c r="AM271" i="1"/>
  <c r="AM272" i="1"/>
  <c r="AM273" i="1"/>
  <c r="AM274" i="1"/>
  <c r="AM275" i="1"/>
  <c r="AM276" i="1"/>
  <c r="AM277" i="1"/>
  <c r="AM278" i="1"/>
  <c r="AM279" i="1"/>
  <c r="AM280" i="1"/>
  <c r="AM281" i="1"/>
  <c r="AM282" i="1"/>
  <c r="AM283" i="1"/>
  <c r="AM284" i="1"/>
  <c r="AM285" i="1"/>
  <c r="AM286" i="1"/>
  <c r="AM287" i="1"/>
  <c r="AM288" i="1"/>
  <c r="AM289" i="1"/>
  <c r="AM290" i="1"/>
  <c r="AM291" i="1"/>
  <c r="AM292" i="1"/>
  <c r="AM293" i="1"/>
  <c r="AM294" i="1"/>
  <c r="AM295" i="1"/>
  <c r="AM296" i="1"/>
  <c r="AM297" i="1"/>
  <c r="AM298" i="1"/>
  <c r="AM299" i="1"/>
  <c r="AM300" i="1"/>
  <c r="AM301" i="1"/>
  <c r="AM302" i="1"/>
  <c r="AM303" i="1"/>
  <c r="AM304" i="1"/>
  <c r="AM305" i="1"/>
  <c r="AM306" i="1"/>
  <c r="AM307" i="1"/>
  <c r="AM308" i="1"/>
  <c r="AM309" i="1"/>
  <c r="AM310" i="1"/>
  <c r="AM311" i="1"/>
  <c r="AM312" i="1"/>
  <c r="AM313" i="1"/>
  <c r="AM314" i="1"/>
  <c r="AM315" i="1"/>
  <c r="AM316" i="1"/>
  <c r="AM317" i="1"/>
  <c r="AM318" i="1"/>
  <c r="AM319" i="1"/>
  <c r="AM320" i="1"/>
  <c r="AM321" i="1"/>
  <c r="AM322" i="1"/>
  <c r="AM323" i="1"/>
  <c r="AM324" i="1"/>
  <c r="AM325" i="1"/>
  <c r="AM326" i="1"/>
  <c r="AM327" i="1"/>
  <c r="AM328" i="1"/>
  <c r="AM329" i="1"/>
  <c r="AM330" i="1"/>
  <c r="AM331" i="1"/>
  <c r="AM332" i="1"/>
  <c r="AM333" i="1"/>
  <c r="AM334" i="1"/>
  <c r="AM335" i="1"/>
  <c r="AM336" i="1"/>
  <c r="AM337" i="1"/>
  <c r="AM338" i="1"/>
  <c r="AM339" i="1"/>
  <c r="AM340" i="1"/>
  <c r="AM341" i="1"/>
  <c r="AM342" i="1"/>
  <c r="AM343" i="1"/>
  <c r="AM344" i="1"/>
  <c r="AM345" i="1"/>
  <c r="AM346" i="1"/>
  <c r="AM347" i="1"/>
  <c r="AM348" i="1"/>
  <c r="AM349" i="1"/>
  <c r="AM350" i="1"/>
  <c r="AM351" i="1"/>
  <c r="AM352" i="1"/>
  <c r="AM353" i="1"/>
  <c r="AM354" i="1"/>
  <c r="AM355" i="1"/>
  <c r="AM356" i="1"/>
  <c r="AM357" i="1"/>
  <c r="AM358" i="1"/>
  <c r="AM359" i="1"/>
  <c r="AM360" i="1"/>
  <c r="AM361" i="1"/>
  <c r="AM362" i="1"/>
  <c r="AM363" i="1"/>
  <c r="AM364" i="1"/>
  <c r="AM365" i="1"/>
  <c r="AM366" i="1"/>
  <c r="AM367" i="1"/>
  <c r="AM368" i="1"/>
  <c r="AM369" i="1"/>
  <c r="AM370" i="1"/>
  <c r="AM371" i="1"/>
  <c r="AM372" i="1"/>
  <c r="AM373" i="1"/>
  <c r="AM374" i="1"/>
  <c r="AM375" i="1"/>
  <c r="AM376" i="1"/>
  <c r="AM377" i="1"/>
  <c r="AM378" i="1"/>
  <c r="AM379" i="1"/>
  <c r="AM380" i="1"/>
  <c r="AM381" i="1"/>
  <c r="AM382" i="1"/>
  <c r="AM383" i="1"/>
  <c r="AM384" i="1"/>
  <c r="AM385" i="1"/>
  <c r="AM386" i="1"/>
  <c r="AM387" i="1"/>
  <c r="AM388" i="1"/>
  <c r="AM389" i="1"/>
  <c r="AM390" i="1"/>
  <c r="AM391" i="1"/>
  <c r="AM392" i="1"/>
  <c r="AM393" i="1"/>
  <c r="AM394" i="1"/>
  <c r="AM395" i="1"/>
  <c r="AM396" i="1"/>
  <c r="AM397" i="1"/>
  <c r="AM398" i="1"/>
  <c r="AM399" i="1"/>
  <c r="AM400" i="1"/>
  <c r="AM401" i="1"/>
  <c r="AM402" i="1"/>
  <c r="AM403" i="1"/>
  <c r="AM404" i="1"/>
  <c r="AM405" i="1"/>
  <c r="AM406" i="1"/>
  <c r="AM407" i="1"/>
  <c r="AM408" i="1"/>
  <c r="AM409" i="1"/>
  <c r="AM410" i="1"/>
  <c r="AM411" i="1"/>
  <c r="AM412" i="1"/>
  <c r="AM413" i="1"/>
  <c r="AM414" i="1"/>
  <c r="AM415" i="1"/>
  <c r="AM416" i="1"/>
  <c r="AM417" i="1"/>
  <c r="AM418" i="1"/>
  <c r="AM419" i="1"/>
  <c r="AM420" i="1"/>
  <c r="AM421" i="1"/>
  <c r="AM422" i="1"/>
  <c r="AM423" i="1"/>
  <c r="AM424" i="1"/>
  <c r="AM425" i="1"/>
  <c r="AM426" i="1"/>
  <c r="AM427" i="1"/>
  <c r="AM428" i="1"/>
  <c r="AM429" i="1"/>
  <c r="AM430" i="1"/>
  <c r="AM431" i="1"/>
  <c r="AM432" i="1"/>
  <c r="AM433" i="1"/>
  <c r="AM434" i="1"/>
  <c r="AM435" i="1"/>
  <c r="AM436" i="1"/>
  <c r="AM437" i="1"/>
  <c r="AM438" i="1"/>
  <c r="AM439" i="1"/>
  <c r="AM440" i="1"/>
  <c r="AM441" i="1"/>
  <c r="AM442" i="1"/>
  <c r="AM443" i="1"/>
  <c r="AM444" i="1"/>
  <c r="AM445" i="1"/>
  <c r="AM446" i="1"/>
  <c r="AM447" i="1"/>
  <c r="AM448" i="1"/>
  <c r="AM449" i="1"/>
  <c r="AM450" i="1"/>
  <c r="AM451" i="1"/>
  <c r="AM452" i="1"/>
  <c r="AM453" i="1"/>
  <c r="AM454" i="1"/>
  <c r="AM455" i="1"/>
  <c r="AM456" i="1"/>
  <c r="AM457" i="1"/>
  <c r="AM458" i="1"/>
  <c r="AM459" i="1"/>
  <c r="AM460" i="1"/>
  <c r="AM461" i="1"/>
  <c r="AM462" i="1"/>
  <c r="AM463" i="1"/>
  <c r="AM464" i="1"/>
  <c r="AM465" i="1"/>
  <c r="AM466" i="1"/>
  <c r="AM467" i="1"/>
  <c r="AM468" i="1"/>
  <c r="AM469" i="1"/>
  <c r="AM470" i="1"/>
  <c r="AM471" i="1"/>
  <c r="AM472" i="1"/>
  <c r="AM473" i="1"/>
  <c r="AM474" i="1"/>
  <c r="AM475" i="1"/>
  <c r="AM476" i="1"/>
  <c r="AM477" i="1"/>
  <c r="AM478" i="1"/>
  <c r="AM479" i="1"/>
  <c r="AM480" i="1"/>
  <c r="AM481" i="1"/>
  <c r="AM482" i="1"/>
  <c r="AM483" i="1"/>
  <c r="AM484" i="1"/>
  <c r="AM485" i="1"/>
  <c r="AM486" i="1"/>
  <c r="AM487" i="1"/>
  <c r="AM488" i="1"/>
  <c r="AM489" i="1"/>
  <c r="AM490" i="1"/>
  <c r="AM491" i="1"/>
  <c r="AM492" i="1"/>
  <c r="AM493" i="1"/>
  <c r="AM494" i="1"/>
  <c r="AM495" i="1"/>
  <c r="AM496" i="1"/>
  <c r="AM497" i="1"/>
  <c r="AM498" i="1"/>
  <c r="AM499" i="1"/>
  <c r="AM500" i="1"/>
  <c r="AM501" i="1"/>
  <c r="AM502" i="1"/>
  <c r="AM503" i="1"/>
  <c r="AM504" i="1"/>
  <c r="AM505" i="1"/>
  <c r="AM506" i="1"/>
  <c r="AM507" i="1"/>
  <c r="AM508" i="1"/>
  <c r="AM509" i="1"/>
  <c r="AM510" i="1"/>
  <c r="AM511" i="1"/>
  <c r="AM512" i="1"/>
  <c r="AM513" i="1"/>
  <c r="AM514" i="1"/>
  <c r="AM515" i="1"/>
  <c r="AM516" i="1"/>
  <c r="AM517" i="1"/>
  <c r="AM518" i="1"/>
  <c r="AM519" i="1"/>
  <c r="AM520" i="1"/>
  <c r="AM521" i="1"/>
  <c r="AM522" i="1"/>
  <c r="AM523" i="1"/>
  <c r="AM524" i="1"/>
  <c r="AM525" i="1"/>
  <c r="AM526" i="1"/>
  <c r="AM527" i="1"/>
  <c r="AM528" i="1"/>
  <c r="AM529" i="1"/>
  <c r="AM530" i="1"/>
  <c r="AM531" i="1"/>
  <c r="AM532" i="1"/>
  <c r="AM533" i="1"/>
  <c r="AM534" i="1"/>
  <c r="AM535" i="1"/>
  <c r="AM536" i="1"/>
  <c r="AM537" i="1"/>
  <c r="AM538" i="1"/>
  <c r="AM539" i="1"/>
  <c r="AM540" i="1"/>
  <c r="AM541" i="1"/>
  <c r="AM542" i="1"/>
  <c r="AM543" i="1"/>
  <c r="AM544" i="1"/>
  <c r="AM545" i="1"/>
  <c r="AM546" i="1"/>
  <c r="AM547" i="1"/>
  <c r="AM548" i="1"/>
  <c r="AM549" i="1"/>
  <c r="AM550" i="1"/>
  <c r="AM551" i="1"/>
  <c r="AM552" i="1"/>
  <c r="AM553" i="1"/>
  <c r="AM554" i="1"/>
  <c r="AM555" i="1"/>
  <c r="AM556" i="1"/>
  <c r="AM557" i="1"/>
  <c r="AM558" i="1"/>
  <c r="AM559" i="1"/>
  <c r="AM560" i="1"/>
  <c r="AM561" i="1"/>
  <c r="AM562" i="1"/>
  <c r="AM563" i="1"/>
  <c r="AM564" i="1"/>
  <c r="AM565" i="1"/>
  <c r="AM566" i="1"/>
  <c r="AM567" i="1"/>
  <c r="AM568" i="1"/>
  <c r="AM569" i="1"/>
  <c r="AM570" i="1"/>
  <c r="AM571" i="1"/>
  <c r="AM572" i="1"/>
  <c r="AM573" i="1"/>
  <c r="AM574" i="1"/>
  <c r="AM575" i="1"/>
  <c r="AM576" i="1"/>
  <c r="AM577" i="1"/>
  <c r="AM578" i="1"/>
  <c r="AM579" i="1"/>
  <c r="AM580" i="1"/>
  <c r="AM581" i="1"/>
  <c r="AM582" i="1"/>
  <c r="AM583" i="1"/>
  <c r="AM584" i="1"/>
  <c r="AM585" i="1"/>
  <c r="AM586" i="1"/>
  <c r="AM587" i="1"/>
  <c r="AM588" i="1"/>
  <c r="AM589" i="1"/>
  <c r="AM590" i="1"/>
  <c r="AM591" i="1"/>
  <c r="AM592" i="1"/>
  <c r="AM593" i="1"/>
  <c r="AM594" i="1"/>
  <c r="AM595" i="1"/>
  <c r="AM596" i="1"/>
  <c r="AM597" i="1"/>
  <c r="AM598" i="1"/>
  <c r="AM599" i="1"/>
  <c r="AM600" i="1"/>
  <c r="AM601" i="1"/>
  <c r="AM602" i="1"/>
  <c r="AM603" i="1"/>
  <c r="AM604" i="1"/>
  <c r="AM605" i="1"/>
  <c r="AM606" i="1"/>
  <c r="AM607" i="1"/>
  <c r="AM608" i="1"/>
  <c r="AM609" i="1"/>
  <c r="AM610" i="1"/>
  <c r="AM611" i="1"/>
  <c r="AM612" i="1"/>
  <c r="AM613" i="1"/>
  <c r="AM614" i="1"/>
  <c r="AM615" i="1"/>
  <c r="AM616" i="1"/>
  <c r="AM617" i="1"/>
  <c r="AM618" i="1"/>
  <c r="AM619" i="1"/>
  <c r="AM620" i="1"/>
  <c r="AM621" i="1"/>
  <c r="AM622" i="1"/>
  <c r="AM623" i="1"/>
  <c r="AM624" i="1"/>
  <c r="AM625" i="1"/>
  <c r="AM626" i="1"/>
  <c r="AM627" i="1"/>
  <c r="AM628" i="1"/>
  <c r="AM629" i="1"/>
  <c r="AM630" i="1"/>
  <c r="AM631" i="1"/>
  <c r="AM632" i="1"/>
  <c r="AM633" i="1"/>
  <c r="AM634" i="1"/>
  <c r="AM635" i="1"/>
  <c r="AM636" i="1"/>
  <c r="AM637" i="1"/>
  <c r="AM638" i="1"/>
  <c r="AM639" i="1"/>
  <c r="AM640" i="1"/>
  <c r="AM641" i="1"/>
  <c r="AM642" i="1"/>
  <c r="AM643" i="1"/>
  <c r="AM644" i="1"/>
  <c r="AM645" i="1"/>
  <c r="AM646" i="1"/>
  <c r="AM647" i="1"/>
  <c r="AM648" i="1"/>
  <c r="AM649" i="1"/>
  <c r="AM650" i="1"/>
  <c r="AM651" i="1"/>
  <c r="AM652" i="1"/>
  <c r="AM653" i="1"/>
  <c r="AM654" i="1"/>
  <c r="AM655" i="1"/>
  <c r="AJ656" i="1"/>
  <c r="AK656" i="1"/>
  <c r="AL656" i="1"/>
  <c r="AM656" i="1"/>
  <c r="AM657" i="1"/>
  <c r="AM658" i="1"/>
  <c r="AM659" i="1"/>
  <c r="AM660" i="1"/>
  <c r="AM661" i="1"/>
  <c r="AM662" i="1"/>
  <c r="AM663" i="1"/>
  <c r="AM664" i="1"/>
  <c r="AM665" i="1"/>
  <c r="AM666" i="1"/>
  <c r="AM667" i="1"/>
  <c r="AM668" i="1"/>
  <c r="AM669" i="1"/>
  <c r="AM670" i="1"/>
  <c r="AM671" i="1"/>
  <c r="AM672" i="1"/>
  <c r="AM673" i="1"/>
  <c r="AM674" i="1"/>
  <c r="AM675" i="1"/>
  <c r="AM676" i="1"/>
  <c r="AM677" i="1"/>
  <c r="AM678" i="1"/>
  <c r="AM679" i="1"/>
  <c r="AM680" i="1"/>
  <c r="AM681" i="1"/>
  <c r="AM682" i="1"/>
  <c r="AM683" i="1"/>
  <c r="AM684" i="1"/>
  <c r="AM685" i="1"/>
  <c r="AM686" i="1"/>
  <c r="AM687" i="1"/>
  <c r="AM688" i="1"/>
  <c r="AM689" i="1"/>
  <c r="AM690" i="1"/>
  <c r="AM691" i="1"/>
  <c r="AM692" i="1"/>
  <c r="AM693" i="1"/>
  <c r="AM694" i="1"/>
  <c r="AM695" i="1"/>
  <c r="AM696" i="1"/>
  <c r="AM697" i="1"/>
  <c r="AM698" i="1"/>
  <c r="AM699" i="1"/>
  <c r="AM700" i="1"/>
  <c r="AM701" i="1"/>
  <c r="AM702" i="1"/>
  <c r="AM703" i="1"/>
  <c r="AM704" i="1"/>
  <c r="AM705" i="1"/>
  <c r="AM706" i="1"/>
  <c r="AM707" i="1"/>
  <c r="AM708" i="1"/>
  <c r="AM709" i="1"/>
  <c r="AM710" i="1"/>
  <c r="AM711" i="1"/>
  <c r="AM712" i="1"/>
  <c r="AM713" i="1"/>
  <c r="AM714" i="1"/>
  <c r="AM715" i="1"/>
  <c r="AM716" i="1"/>
  <c r="AM717" i="1"/>
  <c r="AM718" i="1"/>
  <c r="AM719" i="1"/>
  <c r="AM720" i="1"/>
  <c r="AM721" i="1"/>
  <c r="AM722" i="1"/>
  <c r="AM723" i="1"/>
  <c r="AM724" i="1"/>
  <c r="AM725" i="1"/>
  <c r="AM726" i="1"/>
  <c r="AM727" i="1"/>
  <c r="AM728" i="1"/>
  <c r="AM729" i="1"/>
  <c r="AM730" i="1"/>
  <c r="AM731" i="1"/>
  <c r="AM732" i="1"/>
  <c r="AM733" i="1"/>
  <c r="AM734" i="1"/>
  <c r="AM735" i="1"/>
  <c r="AM736" i="1"/>
  <c r="AM737" i="1"/>
  <c r="AM738" i="1"/>
  <c r="AM739" i="1"/>
  <c r="AM740" i="1"/>
  <c r="AM741" i="1"/>
  <c r="AM742" i="1"/>
  <c r="AM743" i="1"/>
  <c r="AM744" i="1"/>
  <c r="AM745" i="1"/>
  <c r="AM746" i="1"/>
  <c r="AM747" i="1"/>
  <c r="AM748" i="1"/>
  <c r="AM749" i="1"/>
  <c r="AM750" i="1"/>
  <c r="AM751" i="1"/>
  <c r="AM752" i="1"/>
  <c r="AM753" i="1"/>
  <c r="AM754" i="1"/>
  <c r="AM755" i="1"/>
  <c r="AM756" i="1"/>
  <c r="AM757" i="1"/>
  <c r="AM758" i="1"/>
  <c r="AM759" i="1"/>
  <c r="AM760" i="1"/>
  <c r="AM761" i="1"/>
  <c r="AM762" i="1"/>
  <c r="AM763" i="1"/>
  <c r="AM764" i="1"/>
  <c r="AM765" i="1"/>
  <c r="AM766" i="1"/>
  <c r="AM767" i="1"/>
  <c r="AM768" i="1"/>
  <c r="AM769" i="1"/>
  <c r="AM770" i="1"/>
  <c r="AM771" i="1"/>
  <c r="AM772" i="1"/>
  <c r="AM773" i="1"/>
  <c r="AM774" i="1"/>
  <c r="AM775" i="1"/>
  <c r="AJ776" i="1"/>
  <c r="AK776" i="1"/>
  <c r="AL776" i="1"/>
  <c r="AM776" i="1"/>
  <c r="AM777" i="1"/>
  <c r="AM778" i="1"/>
  <c r="AM779" i="1"/>
  <c r="AM780" i="1"/>
  <c r="AM781" i="1"/>
  <c r="AM782" i="1"/>
  <c r="AM783" i="1"/>
  <c r="AM784" i="1"/>
  <c r="AM785" i="1"/>
  <c r="AM786" i="1"/>
  <c r="AM787" i="1"/>
  <c r="AM788" i="1"/>
  <c r="AM789" i="1"/>
  <c r="AM790" i="1"/>
  <c r="AM791" i="1"/>
  <c r="AM792" i="1"/>
  <c r="AM793" i="1"/>
  <c r="AM794" i="1"/>
  <c r="AM795" i="1"/>
  <c r="AM796" i="1"/>
  <c r="AM797" i="1"/>
  <c r="AM798" i="1"/>
  <c r="AM799" i="1"/>
  <c r="AM800" i="1"/>
  <c r="AM801" i="1"/>
  <c r="AM802" i="1"/>
  <c r="AM803" i="1"/>
  <c r="AM804" i="1"/>
  <c r="AM805" i="1"/>
  <c r="AM806" i="1"/>
  <c r="AM807" i="1"/>
  <c r="AM808" i="1"/>
  <c r="AM809" i="1"/>
  <c r="AM810" i="1"/>
  <c r="AM811" i="1"/>
  <c r="AM812" i="1"/>
  <c r="AM813" i="1"/>
  <c r="AM814" i="1"/>
  <c r="AM815" i="1"/>
  <c r="AM816" i="1"/>
  <c r="AM817" i="1"/>
  <c r="AM818" i="1"/>
  <c r="AM819" i="1"/>
  <c r="AM820" i="1"/>
  <c r="AM821" i="1"/>
  <c r="AM822" i="1"/>
  <c r="AM823" i="1"/>
  <c r="AM824" i="1"/>
  <c r="AM825" i="1"/>
  <c r="AM826" i="1"/>
  <c r="AM827" i="1"/>
  <c r="AM828" i="1"/>
  <c r="AM829" i="1"/>
  <c r="AM830" i="1"/>
  <c r="AM831" i="1"/>
  <c r="AM832" i="1"/>
  <c r="AM833" i="1"/>
  <c r="AM834" i="1"/>
  <c r="AM835" i="1"/>
  <c r="AM836" i="1"/>
  <c r="AM837" i="1"/>
  <c r="AM838" i="1"/>
  <c r="AM839" i="1"/>
  <c r="AM840" i="1"/>
  <c r="AM841" i="1"/>
  <c r="AM842" i="1"/>
  <c r="AM843" i="1"/>
  <c r="AM844" i="1"/>
  <c r="AM845" i="1"/>
  <c r="AM846" i="1"/>
  <c r="AM847" i="1"/>
  <c r="AM848" i="1"/>
  <c r="AM849" i="1"/>
  <c r="AM850" i="1"/>
  <c r="AM851" i="1"/>
  <c r="AM852" i="1"/>
  <c r="AM853" i="1"/>
  <c r="AM854" i="1"/>
  <c r="AM855" i="1"/>
  <c r="AM856" i="1"/>
  <c r="AM857" i="1"/>
  <c r="AM858" i="1"/>
  <c r="AM859" i="1"/>
  <c r="AM860" i="1"/>
  <c r="AM861" i="1"/>
  <c r="AM862" i="1"/>
  <c r="AM863" i="1"/>
  <c r="AM864" i="1"/>
  <c r="AM865" i="1"/>
  <c r="AM866" i="1"/>
  <c r="AM867" i="1"/>
  <c r="AM868" i="1"/>
  <c r="AM869" i="1"/>
  <c r="AM870" i="1"/>
  <c r="AM871" i="1"/>
  <c r="AM872" i="1"/>
  <c r="AM873" i="1"/>
  <c r="AM874" i="1"/>
  <c r="AM875" i="1"/>
  <c r="AM876" i="1"/>
  <c r="AM877" i="1"/>
  <c r="AM878" i="1"/>
  <c r="AM879" i="1"/>
  <c r="AM880" i="1"/>
  <c r="AM881" i="1"/>
  <c r="AM882" i="1"/>
  <c r="AM883" i="1"/>
  <c r="AM884" i="1"/>
  <c r="AM885" i="1"/>
  <c r="AM886" i="1"/>
  <c r="AM887" i="1"/>
  <c r="AM888" i="1"/>
  <c r="AM889" i="1"/>
  <c r="AM890" i="1"/>
  <c r="AM891" i="1"/>
  <c r="AM892" i="1"/>
  <c r="AM893" i="1"/>
  <c r="AM894" i="1"/>
  <c r="AM895" i="1"/>
  <c r="AM896" i="1"/>
  <c r="AM897" i="1"/>
  <c r="AM898" i="1"/>
  <c r="AM899" i="1"/>
  <c r="AM900" i="1"/>
  <c r="AM901" i="1"/>
  <c r="AM902" i="1"/>
  <c r="AM903" i="1"/>
  <c r="AM904" i="1"/>
  <c r="AM905" i="1"/>
  <c r="AM906" i="1"/>
  <c r="AM907" i="1"/>
  <c r="AM908" i="1"/>
  <c r="AM909" i="1"/>
  <c r="AM910" i="1"/>
  <c r="AM911" i="1"/>
  <c r="AM912" i="1"/>
  <c r="AM913" i="1"/>
  <c r="AM914" i="1"/>
  <c r="AM915" i="1"/>
  <c r="AM916" i="1"/>
  <c r="AM917" i="1"/>
  <c r="AM918" i="1"/>
  <c r="AM919" i="1"/>
  <c r="AM920" i="1"/>
  <c r="AM921" i="1"/>
  <c r="AM922" i="1"/>
  <c r="AM923" i="1"/>
  <c r="AM924" i="1"/>
  <c r="AM925" i="1"/>
  <c r="AM926" i="1"/>
  <c r="AM927" i="1"/>
  <c r="AM928" i="1"/>
  <c r="AM929" i="1"/>
  <c r="AM930" i="1"/>
  <c r="AM931" i="1"/>
  <c r="AM932" i="1"/>
  <c r="AM933" i="1"/>
  <c r="AM934" i="1"/>
  <c r="AM935" i="1"/>
  <c r="AM936" i="1"/>
  <c r="AM937" i="1"/>
  <c r="AM938" i="1"/>
  <c r="AM939" i="1"/>
  <c r="AM940" i="1"/>
  <c r="AM941" i="1"/>
  <c r="AM942" i="1"/>
  <c r="AM943" i="1"/>
  <c r="AM944" i="1"/>
  <c r="AM945" i="1"/>
  <c r="AM946" i="1"/>
  <c r="AM947" i="1"/>
  <c r="AM948" i="1"/>
  <c r="AM949" i="1"/>
  <c r="AM950" i="1"/>
  <c r="AM951" i="1"/>
  <c r="AM952" i="1"/>
  <c r="AM953" i="1"/>
  <c r="AM954" i="1"/>
  <c r="AM955" i="1"/>
  <c r="AM956" i="1"/>
  <c r="AM957" i="1"/>
  <c r="AM958" i="1"/>
  <c r="AM959" i="1"/>
  <c r="AM960" i="1"/>
  <c r="AM961" i="1"/>
  <c r="AM962" i="1"/>
  <c r="AM963" i="1"/>
  <c r="AM964" i="1"/>
  <c r="AM965" i="1"/>
  <c r="AM966" i="1"/>
  <c r="AM967" i="1"/>
  <c r="AM968" i="1"/>
  <c r="AM969" i="1"/>
  <c r="AM970" i="1"/>
  <c r="AM971" i="1"/>
  <c r="AM972" i="1"/>
  <c r="AM973" i="1"/>
  <c r="AM974" i="1"/>
  <c r="AM975" i="1"/>
  <c r="AM976" i="1"/>
  <c r="AM977" i="1"/>
  <c r="AM978" i="1"/>
  <c r="AM979" i="1"/>
  <c r="AM980" i="1"/>
  <c r="AM981" i="1"/>
  <c r="AM982" i="1"/>
  <c r="AM983" i="1"/>
  <c r="AM984" i="1"/>
  <c r="AM985" i="1"/>
  <c r="AM986" i="1"/>
  <c r="AM987" i="1"/>
  <c r="AM988" i="1"/>
  <c r="AM989" i="1"/>
  <c r="AM990" i="1"/>
  <c r="AM991" i="1"/>
  <c r="AM992" i="1"/>
  <c r="AM993" i="1"/>
  <c r="AM994" i="1"/>
  <c r="AM995" i="1"/>
  <c r="AM996" i="1"/>
  <c r="AM997" i="1"/>
  <c r="AM998" i="1"/>
  <c r="AM999" i="1"/>
  <c r="AM1000" i="1"/>
  <c r="AM1001" i="1"/>
  <c r="AM1002" i="1"/>
  <c r="AM1003" i="1"/>
  <c r="AM1004" i="1"/>
  <c r="AM1005" i="1"/>
  <c r="AM1006" i="1"/>
  <c r="AM1007" i="1"/>
  <c r="AM1008" i="1"/>
  <c r="AM1009" i="1"/>
  <c r="AM1010" i="1"/>
  <c r="AM1011" i="1"/>
  <c r="AM1012" i="1"/>
  <c r="AM1013" i="1"/>
  <c r="AM1014" i="1"/>
  <c r="AM1015" i="1"/>
  <c r="AM1016" i="1"/>
  <c r="AM1017" i="1"/>
  <c r="AM1018" i="1"/>
  <c r="AM1019" i="1"/>
  <c r="AM1020" i="1"/>
  <c r="AM1021" i="1"/>
  <c r="AM1022" i="1"/>
  <c r="AM1023" i="1"/>
  <c r="AM1024" i="1"/>
  <c r="AM1025" i="1"/>
  <c r="AM1026" i="1"/>
  <c r="AM1027" i="1"/>
  <c r="AM1028" i="1"/>
  <c r="AM1029" i="1"/>
  <c r="AM1030" i="1"/>
  <c r="AM1031" i="1"/>
  <c r="AM1032" i="1"/>
  <c r="AM1033" i="1"/>
  <c r="AM1034" i="1"/>
  <c r="AM1035" i="1"/>
  <c r="AM1036" i="1"/>
  <c r="AM1037" i="1"/>
  <c r="AM1038" i="1"/>
  <c r="AM1039" i="1"/>
  <c r="AM1040" i="1"/>
  <c r="AM1041" i="1"/>
  <c r="AM1042" i="1"/>
  <c r="AM1043" i="1"/>
  <c r="AM1044" i="1"/>
  <c r="AM1045" i="1"/>
  <c r="AM1046" i="1"/>
  <c r="AM1047" i="1"/>
  <c r="AM1048" i="1"/>
  <c r="AM1049" i="1"/>
  <c r="AM1050" i="1"/>
  <c r="AM1051" i="1"/>
  <c r="AM1052" i="1"/>
  <c r="AM1053" i="1"/>
  <c r="AM1054" i="1"/>
  <c r="AM1055" i="1"/>
  <c r="AM1056" i="1"/>
  <c r="AM1057" i="1"/>
  <c r="AM1058" i="1"/>
  <c r="AM1059" i="1"/>
  <c r="AM1060" i="1"/>
  <c r="AM1061" i="1"/>
  <c r="AM1062" i="1"/>
  <c r="AM1063" i="1"/>
  <c r="AM1064" i="1"/>
  <c r="AM1065" i="1"/>
  <c r="AM1066" i="1"/>
  <c r="AM1067" i="1"/>
  <c r="AM1068" i="1"/>
  <c r="AM1069" i="1"/>
  <c r="AM1070" i="1"/>
  <c r="AM1071" i="1"/>
  <c r="AM1072" i="1"/>
  <c r="AM1073" i="1"/>
  <c r="AM1074" i="1"/>
  <c r="AM1075" i="1"/>
  <c r="AM1076" i="1"/>
  <c r="AM1077" i="1"/>
  <c r="AM1078" i="1"/>
  <c r="AM1079" i="1"/>
  <c r="AM1080" i="1"/>
  <c r="AM1081" i="1"/>
  <c r="AM1082" i="1"/>
  <c r="AM1083" i="1"/>
  <c r="AM1084" i="1"/>
  <c r="AM1085" i="1"/>
  <c r="AM1086" i="1"/>
  <c r="AM1087" i="1"/>
  <c r="AM1088" i="1"/>
  <c r="AM1089" i="1"/>
  <c r="AM1090" i="1"/>
  <c r="AM1091" i="1"/>
  <c r="AM1092" i="1"/>
  <c r="AM1093" i="1"/>
  <c r="AM1094" i="1"/>
  <c r="AM1095" i="1"/>
  <c r="AM1096" i="1"/>
  <c r="AM1097" i="1"/>
  <c r="AM1098" i="1"/>
  <c r="AM1099" i="1"/>
  <c r="AM1100" i="1"/>
  <c r="AM1101" i="1"/>
  <c r="AM1102" i="1"/>
  <c r="AM1103" i="1"/>
  <c r="AM1104" i="1"/>
  <c r="AM1105" i="1"/>
  <c r="AM1106" i="1"/>
  <c r="AM1107" i="1"/>
  <c r="AM1108" i="1"/>
  <c r="AM1109" i="1"/>
  <c r="AM1110" i="1"/>
  <c r="AM1111" i="1"/>
  <c r="AM1112" i="1"/>
  <c r="AM1113" i="1"/>
  <c r="AM1114" i="1"/>
  <c r="AM1115" i="1"/>
  <c r="AM1116" i="1"/>
  <c r="AM1117" i="1"/>
  <c r="AM1118" i="1"/>
  <c r="AM1119" i="1"/>
  <c r="AM1120" i="1"/>
  <c r="AM1121" i="1"/>
  <c r="AM1122" i="1"/>
  <c r="AM1123" i="1"/>
  <c r="AM1124" i="1"/>
  <c r="AM1125" i="1"/>
  <c r="AM1126" i="1"/>
  <c r="AM1127" i="1"/>
  <c r="AM1128" i="1"/>
  <c r="AM1129" i="1"/>
  <c r="AM1130" i="1"/>
  <c r="AM1131" i="1"/>
  <c r="AM1132" i="1"/>
  <c r="AM1133" i="1"/>
  <c r="AM1134" i="1"/>
  <c r="AM1135" i="1"/>
  <c r="AM1136" i="1"/>
  <c r="AM1137" i="1"/>
  <c r="AM1138" i="1"/>
  <c r="AM1139" i="1"/>
  <c r="AM1140" i="1"/>
  <c r="AM1141" i="1"/>
  <c r="AM1142" i="1"/>
  <c r="AM1143" i="1"/>
  <c r="AM1144" i="1"/>
  <c r="AM1145" i="1"/>
  <c r="AM1146" i="1"/>
  <c r="AM1147" i="1"/>
  <c r="AM1148" i="1"/>
  <c r="AM1149" i="1"/>
  <c r="AM1150" i="1"/>
  <c r="AM1151" i="1"/>
  <c r="AM1152" i="1"/>
  <c r="AM1153" i="1"/>
  <c r="AM1154" i="1"/>
  <c r="AM1155" i="1"/>
  <c r="AM1156" i="1"/>
  <c r="AM1157" i="1"/>
  <c r="AM1158" i="1"/>
  <c r="AM1159" i="1"/>
  <c r="AM1160" i="1"/>
  <c r="AM1161" i="1"/>
  <c r="AM1162" i="1"/>
  <c r="AM1163" i="1"/>
  <c r="AM1164" i="1"/>
  <c r="AM1165" i="1"/>
  <c r="AM1166" i="1"/>
  <c r="AM1167" i="1"/>
  <c r="AM1168" i="1"/>
  <c r="AM1169" i="1"/>
  <c r="AM1170" i="1"/>
  <c r="AM1171" i="1"/>
  <c r="AM1172" i="1"/>
  <c r="AM1173" i="1"/>
  <c r="AM1174" i="1"/>
  <c r="AM1175" i="1"/>
  <c r="AM1176" i="1"/>
  <c r="AM1177" i="1"/>
  <c r="AM1178" i="1"/>
  <c r="AM1179" i="1"/>
  <c r="AM1180" i="1"/>
  <c r="AM1181" i="1"/>
  <c r="AM1182" i="1"/>
  <c r="AM1183" i="1"/>
  <c r="AM1184" i="1"/>
  <c r="AM1185" i="1"/>
  <c r="AM1186" i="1"/>
  <c r="AM1187" i="1"/>
  <c r="AM1188" i="1"/>
  <c r="AM1189" i="1"/>
  <c r="AM1190" i="1"/>
  <c r="AM1191" i="1"/>
  <c r="AM1192" i="1"/>
  <c r="AM1193" i="1"/>
  <c r="AM1194" i="1"/>
  <c r="AM1195" i="1"/>
  <c r="AM1196" i="1"/>
  <c r="AM1197" i="1"/>
  <c r="AM1198" i="1"/>
  <c r="AM1199" i="1"/>
  <c r="AM1200" i="1"/>
  <c r="AM1201" i="1"/>
  <c r="AM1202" i="1"/>
  <c r="AM1203" i="1"/>
  <c r="AM1204" i="1"/>
  <c r="AM1205" i="1"/>
  <c r="AM1206" i="1"/>
  <c r="AM1207" i="1"/>
  <c r="AM1208" i="1"/>
  <c r="AM1209" i="1"/>
  <c r="AM1210" i="1"/>
  <c r="AM1211" i="1"/>
  <c r="AM1212" i="1"/>
  <c r="AM1213" i="1"/>
  <c r="AM1214" i="1"/>
  <c r="AM1215" i="1"/>
  <c r="AM1216" i="1"/>
  <c r="AM1217" i="1"/>
  <c r="AM1218" i="1"/>
  <c r="AM1219" i="1"/>
  <c r="AM1220" i="1"/>
  <c r="AM1221" i="1"/>
  <c r="AM1222" i="1"/>
  <c r="AM1223" i="1"/>
  <c r="AM1224" i="1"/>
  <c r="AM1225" i="1"/>
  <c r="AM1226" i="1"/>
  <c r="AM1227" i="1"/>
  <c r="AM1228" i="1"/>
  <c r="AM1229" i="1"/>
  <c r="AM1230" i="1"/>
  <c r="AM1231" i="1"/>
  <c r="AM1232" i="1"/>
  <c r="AM1233" i="1"/>
  <c r="AM1234" i="1"/>
  <c r="AM1235" i="1"/>
  <c r="AM1236" i="1"/>
  <c r="AM1237" i="1"/>
  <c r="AM1238" i="1"/>
  <c r="AM1239" i="1"/>
  <c r="AM1240" i="1"/>
  <c r="AM1241" i="1"/>
  <c r="AM1242" i="1"/>
  <c r="AM1243" i="1"/>
  <c r="AM1244" i="1"/>
  <c r="AM1245" i="1"/>
  <c r="AM1246" i="1"/>
  <c r="AM1247" i="1"/>
  <c r="AM1248" i="1"/>
  <c r="AM1249" i="1"/>
  <c r="AM1250" i="1"/>
  <c r="AM1251" i="1"/>
  <c r="AM1252" i="1"/>
  <c r="AM1253" i="1"/>
  <c r="AM1254" i="1"/>
  <c r="AM1255" i="1"/>
  <c r="AM1256" i="1"/>
  <c r="AM1257" i="1"/>
  <c r="AM1258" i="1"/>
  <c r="AM1259" i="1"/>
  <c r="AM1260" i="1"/>
  <c r="AM1261" i="1"/>
  <c r="AM1262" i="1"/>
  <c r="AM1263" i="1"/>
  <c r="AM1264" i="1"/>
  <c r="AM1265" i="1"/>
  <c r="AM1266" i="1"/>
  <c r="AM1267" i="1"/>
  <c r="AM1268" i="1"/>
  <c r="AM1269" i="1"/>
  <c r="AM1270" i="1"/>
  <c r="AM1271" i="1"/>
  <c r="AM1272" i="1"/>
  <c r="AM1273" i="1"/>
  <c r="AM1274" i="1"/>
  <c r="AM1275" i="1"/>
  <c r="AM1276" i="1"/>
  <c r="AM1277" i="1"/>
  <c r="AM1278" i="1"/>
  <c r="AM1279" i="1"/>
  <c r="AM1280" i="1"/>
  <c r="AM1281" i="1"/>
  <c r="AM1282" i="1"/>
  <c r="AM1283" i="1"/>
  <c r="AM1284" i="1"/>
  <c r="AM1285" i="1"/>
  <c r="AM1286" i="1"/>
  <c r="AM1287" i="1"/>
  <c r="AM1288" i="1"/>
  <c r="AM1289" i="1"/>
  <c r="AM1290" i="1"/>
  <c r="AM1291" i="1"/>
  <c r="AM1292" i="1"/>
  <c r="AM1293" i="1"/>
  <c r="AM1294" i="1"/>
  <c r="AM1295" i="1"/>
  <c r="AM1296" i="1"/>
  <c r="AM1297" i="1"/>
  <c r="AM1298" i="1"/>
  <c r="AM1299" i="1"/>
  <c r="AM1300" i="1"/>
  <c r="AM1301" i="1"/>
  <c r="AM1302" i="1"/>
  <c r="AM1303" i="1"/>
  <c r="AM1304" i="1"/>
  <c r="AM1305" i="1"/>
  <c r="AM1306" i="1"/>
  <c r="AM1307" i="1"/>
  <c r="AM1308" i="1"/>
  <c r="AM1309" i="1"/>
  <c r="AM1310" i="1"/>
  <c r="AM1311" i="1"/>
  <c r="AM1312" i="1"/>
  <c r="AM1313" i="1"/>
  <c r="AM1314" i="1"/>
  <c r="AM1315" i="1"/>
  <c r="AM1316" i="1"/>
  <c r="AM1317" i="1"/>
  <c r="AM1318" i="1"/>
  <c r="AM1319" i="1"/>
  <c r="AM1320" i="1"/>
  <c r="AM1321" i="1"/>
  <c r="AM1322" i="1"/>
  <c r="AM1323" i="1"/>
  <c r="AM1324" i="1"/>
  <c r="AM1325" i="1"/>
  <c r="AM1326" i="1"/>
  <c r="AM1327" i="1"/>
  <c r="AM1328" i="1"/>
  <c r="AM1329" i="1"/>
  <c r="AM1330" i="1"/>
  <c r="AM1331" i="1"/>
  <c r="AM1332" i="1"/>
  <c r="AM1333" i="1"/>
  <c r="AM1334" i="1"/>
  <c r="AM1335" i="1"/>
  <c r="AM1336" i="1"/>
  <c r="AM1337" i="1"/>
  <c r="AM1338" i="1"/>
  <c r="AM1339" i="1"/>
  <c r="AM1340" i="1"/>
  <c r="AM1341" i="1"/>
  <c r="AM1342" i="1"/>
  <c r="AM1343" i="1"/>
  <c r="AM1344" i="1"/>
  <c r="AM1345" i="1"/>
  <c r="AM1346" i="1"/>
  <c r="AM1347" i="1"/>
  <c r="AM1348" i="1"/>
  <c r="AM1349" i="1"/>
  <c r="AM1350" i="1"/>
  <c r="AM1351" i="1"/>
  <c r="AM1352" i="1"/>
  <c r="AM1353" i="1"/>
  <c r="AM1354" i="1"/>
  <c r="AM1355" i="1"/>
  <c r="AM1356" i="1"/>
  <c r="AM1357" i="1"/>
  <c r="AM1358" i="1"/>
  <c r="AM1359" i="1"/>
  <c r="AM1360" i="1"/>
  <c r="AM1361" i="1"/>
  <c r="AM1362" i="1"/>
  <c r="AM1363" i="1"/>
  <c r="AM1364" i="1"/>
  <c r="AM1365" i="1"/>
  <c r="AM1366" i="1"/>
  <c r="AM1367" i="1"/>
  <c r="AM1368" i="1"/>
  <c r="AM1369" i="1"/>
  <c r="AM1370" i="1"/>
  <c r="AM1371" i="1"/>
  <c r="AM1372" i="1"/>
  <c r="AM1373" i="1"/>
  <c r="AM1374" i="1"/>
  <c r="AM1375" i="1"/>
  <c r="AM1376" i="1"/>
  <c r="AM1377" i="1"/>
  <c r="AM1378" i="1"/>
  <c r="AM1379" i="1"/>
  <c r="AM1380" i="1"/>
  <c r="AM1381" i="1"/>
  <c r="AM1382" i="1"/>
  <c r="AM1383" i="1"/>
  <c r="AM1384" i="1"/>
  <c r="AM1385" i="1"/>
  <c r="AM1386" i="1"/>
  <c r="AM1387" i="1"/>
  <c r="AM1388" i="1"/>
  <c r="AM1389" i="1"/>
  <c r="AM1390" i="1"/>
  <c r="AM1391" i="1"/>
  <c r="AM1392" i="1"/>
  <c r="AM1393" i="1"/>
  <c r="AM1394" i="1"/>
  <c r="AM1395" i="1"/>
  <c r="AM1396" i="1"/>
  <c r="AM1397" i="1"/>
  <c r="AM1398" i="1"/>
  <c r="AM1399" i="1"/>
  <c r="AM1400" i="1"/>
  <c r="AM1401" i="1"/>
  <c r="AM1402" i="1"/>
  <c r="AM1403" i="1"/>
  <c r="AM1404" i="1"/>
  <c r="AM1405" i="1"/>
  <c r="AM1406" i="1"/>
  <c r="AM1407" i="1"/>
  <c r="AM1408" i="1"/>
  <c r="AM1409" i="1"/>
  <c r="AM1410" i="1"/>
  <c r="AM1411" i="1"/>
  <c r="AM1412" i="1"/>
  <c r="AM1413" i="1"/>
  <c r="AM1414" i="1"/>
  <c r="AM1415" i="1"/>
  <c r="AM1416" i="1"/>
  <c r="AM1417" i="1"/>
  <c r="AM1418" i="1"/>
  <c r="AM1419" i="1"/>
  <c r="AM1420" i="1"/>
  <c r="AM1421" i="1"/>
  <c r="AM1422" i="1"/>
  <c r="AM1423" i="1"/>
  <c r="AM1424" i="1"/>
  <c r="AM1425" i="1"/>
  <c r="AM1426" i="1"/>
  <c r="AM1427" i="1"/>
  <c r="AM1428" i="1"/>
  <c r="AM1429" i="1"/>
  <c r="AM1430" i="1"/>
  <c r="AM1431" i="1"/>
  <c r="AM1432" i="1"/>
  <c r="AM1433" i="1"/>
  <c r="AM1434" i="1"/>
  <c r="AM1435" i="1"/>
  <c r="AM1436" i="1"/>
  <c r="AM1437" i="1"/>
  <c r="AM1438" i="1"/>
  <c r="AM1439" i="1"/>
  <c r="AM1440" i="1"/>
  <c r="AM1441" i="1"/>
  <c r="AM1442" i="1"/>
  <c r="AM1443" i="1"/>
  <c r="AM1444" i="1"/>
  <c r="AM1445" i="1"/>
  <c r="AM1446" i="1"/>
  <c r="AM1447" i="1"/>
  <c r="AM1448" i="1"/>
  <c r="AM1449" i="1"/>
  <c r="AM1450" i="1"/>
  <c r="AM1451" i="1"/>
  <c r="AM1452" i="1"/>
  <c r="AM1453" i="1"/>
  <c r="AM1454" i="1"/>
  <c r="AM1455" i="1"/>
  <c r="AM1456" i="1"/>
  <c r="AM1457" i="1"/>
  <c r="AM1458" i="1"/>
  <c r="AM1459" i="1"/>
  <c r="AM1460" i="1"/>
  <c r="AM1461" i="1"/>
  <c r="AM1462" i="1"/>
  <c r="AM1463" i="1"/>
  <c r="AM1464" i="1"/>
  <c r="AM1465" i="1"/>
  <c r="AM1466" i="1"/>
  <c r="AM1467" i="1"/>
  <c r="AM1468" i="1"/>
  <c r="AM1469" i="1"/>
  <c r="AM1470" i="1"/>
  <c r="AM1471" i="1"/>
  <c r="AM1472" i="1"/>
  <c r="AM1473" i="1"/>
  <c r="AM1474" i="1"/>
  <c r="AM1475" i="1"/>
  <c r="AM1476" i="1"/>
  <c r="AM1477" i="1"/>
  <c r="AM1478" i="1"/>
  <c r="AM1479" i="1"/>
  <c r="AM1480" i="1"/>
  <c r="AM1481" i="1"/>
  <c r="AM1482" i="1"/>
  <c r="AM1483" i="1"/>
  <c r="AM1484" i="1"/>
  <c r="AM1485" i="1"/>
  <c r="AM1486" i="1"/>
  <c r="AM1487" i="1"/>
  <c r="AM1488" i="1"/>
  <c r="AM1489" i="1"/>
  <c r="AM1490" i="1"/>
  <c r="AM1491" i="1"/>
  <c r="AM1492" i="1"/>
  <c r="AM1493" i="1"/>
  <c r="AM1494" i="1"/>
  <c r="AM1495" i="1"/>
  <c r="AM1496" i="1"/>
  <c r="AM1497" i="1"/>
  <c r="AM1498" i="1"/>
  <c r="AM1499" i="1"/>
  <c r="AM1500" i="1"/>
  <c r="AM1501" i="1"/>
  <c r="AM1502" i="1"/>
  <c r="AM1503" i="1"/>
  <c r="AM1504" i="1"/>
  <c r="AM1505" i="1"/>
  <c r="AM1506" i="1"/>
  <c r="AM1507" i="1"/>
  <c r="AM1508" i="1"/>
  <c r="AM1509" i="1"/>
  <c r="AM1510" i="1"/>
  <c r="AM1511" i="1"/>
  <c r="AM1512" i="1"/>
  <c r="AM1513" i="1"/>
  <c r="AM1514" i="1"/>
  <c r="AM1515" i="1"/>
  <c r="AM1516" i="1"/>
  <c r="AM1517" i="1"/>
  <c r="AM1518" i="1"/>
  <c r="AM1519" i="1"/>
  <c r="AM1520" i="1"/>
  <c r="AM1521" i="1"/>
  <c r="AM1522" i="1"/>
  <c r="AM1523" i="1"/>
  <c r="AM1524" i="1"/>
  <c r="AM1525" i="1"/>
  <c r="AM1526" i="1"/>
  <c r="AM1527" i="1"/>
  <c r="AM1528" i="1"/>
  <c r="AM1529" i="1"/>
  <c r="AM1530" i="1"/>
  <c r="AM1531" i="1"/>
  <c r="AM1532" i="1"/>
  <c r="AM1533" i="1"/>
  <c r="AM1534" i="1"/>
  <c r="AM1535" i="1"/>
  <c r="AM1536" i="1"/>
  <c r="AM1537" i="1"/>
  <c r="AM1538" i="1"/>
  <c r="AM1539" i="1"/>
  <c r="AM1540" i="1"/>
  <c r="AM1541" i="1"/>
  <c r="AM1542" i="1"/>
  <c r="AM1543" i="1"/>
  <c r="AM1544" i="1"/>
  <c r="AM1545" i="1"/>
  <c r="AM1546" i="1"/>
  <c r="AM1547" i="1"/>
  <c r="AM1548" i="1"/>
  <c r="AM1549" i="1"/>
  <c r="AM1550" i="1"/>
  <c r="AM1551" i="1"/>
  <c r="AM1552" i="1"/>
  <c r="AM1553" i="1"/>
  <c r="AM1554" i="1"/>
  <c r="AM1555" i="1"/>
  <c r="AM1556" i="1"/>
  <c r="AM1557" i="1"/>
  <c r="AM1558" i="1"/>
  <c r="AM1559" i="1"/>
  <c r="AM1560" i="1"/>
  <c r="AM1561" i="1"/>
  <c r="AM1562" i="1"/>
  <c r="AM1563" i="1"/>
  <c r="AM1564" i="1"/>
  <c r="AM1565" i="1"/>
  <c r="AM1566" i="1"/>
  <c r="AM1567" i="1"/>
  <c r="AM1568" i="1"/>
  <c r="AM1569" i="1"/>
  <c r="AM1570" i="1"/>
  <c r="AM1571" i="1"/>
  <c r="AM1572" i="1"/>
  <c r="AM1573" i="1"/>
  <c r="AM1574" i="1"/>
  <c r="AM1575" i="1"/>
  <c r="AM1576" i="1"/>
  <c r="AM1577" i="1"/>
  <c r="AM1578" i="1"/>
  <c r="AM1579" i="1"/>
  <c r="AM1580" i="1"/>
  <c r="AM1581" i="1"/>
  <c r="AM1582" i="1"/>
  <c r="AM1583" i="1"/>
  <c r="AM1584" i="1"/>
  <c r="AM1585" i="1"/>
  <c r="AM1586" i="1"/>
  <c r="AM1587" i="1"/>
  <c r="AM1588" i="1"/>
  <c r="AM1589" i="1"/>
  <c r="AM1590" i="1"/>
  <c r="AM1591" i="1"/>
  <c r="AM1592" i="1"/>
  <c r="AM1593" i="1"/>
  <c r="AM1594" i="1"/>
  <c r="AM1595" i="1"/>
  <c r="AM1596" i="1"/>
  <c r="AM1598" i="1"/>
  <c r="AM1599" i="1"/>
  <c r="AM1600" i="1"/>
  <c r="AM1601" i="1"/>
  <c r="AM1602" i="1"/>
  <c r="AM1603" i="1"/>
  <c r="AM1604" i="1"/>
  <c r="AM1605" i="1"/>
  <c r="AM1606" i="1"/>
  <c r="AM1607" i="1"/>
  <c r="AM1608" i="1"/>
  <c r="AM1609" i="1"/>
  <c r="AM1610" i="1"/>
  <c r="AM1611" i="1"/>
  <c r="AM1612" i="1"/>
  <c r="AM1613" i="1"/>
  <c r="AM1614" i="1"/>
  <c r="AM1615" i="1"/>
  <c r="AM1616" i="1"/>
  <c r="AM1617" i="1"/>
  <c r="AM1618" i="1"/>
  <c r="AM1619" i="1"/>
  <c r="AM1620" i="1"/>
  <c r="AM1621" i="1"/>
  <c r="AM1622" i="1"/>
  <c r="AM1623" i="1"/>
  <c r="AM1624" i="1"/>
  <c r="AM1625" i="1"/>
  <c r="AM1626" i="1"/>
  <c r="AM1627" i="1"/>
  <c r="AM1628" i="1"/>
  <c r="AM1629" i="1"/>
  <c r="AM1630" i="1"/>
  <c r="AM1631" i="1"/>
  <c r="AM1632" i="1"/>
  <c r="AM1633" i="1"/>
  <c r="AM1634" i="1"/>
  <c r="AM1635" i="1"/>
  <c r="AM1636" i="1"/>
  <c r="AM1637" i="1"/>
  <c r="AM1638" i="1"/>
  <c r="AM1639" i="1"/>
  <c r="AM1640" i="1"/>
  <c r="AM1641" i="1"/>
  <c r="AM1642" i="1"/>
  <c r="AM1643" i="1"/>
  <c r="AM1644" i="1"/>
  <c r="AM1645" i="1"/>
  <c r="AM1646" i="1"/>
  <c r="AM1647" i="1"/>
  <c r="AM1648" i="1"/>
  <c r="AM1649" i="1"/>
  <c r="AM1650" i="1"/>
  <c r="AM1651" i="1"/>
  <c r="AM1652" i="1"/>
  <c r="AM1653" i="1"/>
  <c r="AM1654" i="1"/>
  <c r="AM1655" i="1"/>
  <c r="AM1656" i="1"/>
  <c r="AM1657" i="1"/>
  <c r="AM1658" i="1"/>
  <c r="AM1659" i="1"/>
  <c r="AM1660" i="1"/>
  <c r="AM1661" i="1"/>
  <c r="AM1662" i="1"/>
  <c r="AM1663" i="1"/>
  <c r="AM1664" i="1"/>
  <c r="AM1665" i="1"/>
  <c r="AM1666" i="1"/>
  <c r="AM1667" i="1"/>
  <c r="AM1668" i="1"/>
  <c r="AM1669" i="1"/>
  <c r="AM1670" i="1"/>
  <c r="AM1671" i="1"/>
  <c r="AM1672" i="1"/>
  <c r="AM1673" i="1"/>
  <c r="AM1674" i="1"/>
  <c r="AM1675" i="1"/>
  <c r="AM1676" i="1"/>
  <c r="AM1677" i="1"/>
  <c r="AM1678" i="1"/>
  <c r="AM1679" i="1"/>
  <c r="AM1680" i="1"/>
  <c r="AM1681" i="1"/>
  <c r="AM1682" i="1"/>
  <c r="AM1683" i="1"/>
  <c r="AM1684" i="1"/>
  <c r="AM1685" i="1"/>
  <c r="AM1686" i="1"/>
  <c r="AM1687" i="1"/>
  <c r="AM1688" i="1"/>
  <c r="AM1689" i="1"/>
  <c r="AM1690" i="1"/>
  <c r="AM1691" i="1"/>
  <c r="AM1692" i="1"/>
  <c r="AM1693" i="1"/>
  <c r="AM1694" i="1"/>
  <c r="AM1695" i="1"/>
  <c r="AM1696" i="1"/>
  <c r="AM1697" i="1"/>
  <c r="AM1698" i="1"/>
  <c r="AM1699" i="1"/>
  <c r="AM1700" i="1"/>
  <c r="AM1701" i="1"/>
  <c r="AM1702" i="1"/>
  <c r="AM1703" i="1"/>
  <c r="AM1704" i="1"/>
  <c r="AM1705" i="1"/>
  <c r="AM1706" i="1"/>
  <c r="AM1707" i="1"/>
  <c r="AM1708" i="1"/>
  <c r="AM1709" i="1"/>
  <c r="AM1710" i="1"/>
  <c r="AM1711" i="1"/>
  <c r="AM1712" i="1"/>
  <c r="AM1713" i="1"/>
  <c r="AM1714" i="1"/>
  <c r="AM1715" i="1"/>
  <c r="AM1716" i="1"/>
  <c r="AM1717" i="1"/>
  <c r="AM1718" i="1"/>
  <c r="AM1719" i="1"/>
  <c r="AM1720" i="1"/>
  <c r="AM1721" i="1"/>
  <c r="AM1722" i="1"/>
  <c r="AM1723" i="1"/>
  <c r="AM1724" i="1"/>
  <c r="AM1725" i="1"/>
  <c r="AM1726" i="1"/>
  <c r="AM1727" i="1"/>
  <c r="AM1728" i="1"/>
  <c r="AM1729" i="1"/>
  <c r="AM1730" i="1"/>
  <c r="AM1731" i="1"/>
  <c r="AM1732" i="1"/>
  <c r="AM1733" i="1"/>
  <c r="AM1734" i="1"/>
  <c r="AM1735" i="1"/>
  <c r="AM1736" i="1"/>
  <c r="AM1737" i="1"/>
  <c r="AM1738" i="1"/>
  <c r="AM1739" i="1"/>
  <c r="AM1740" i="1"/>
  <c r="AM1741" i="1"/>
  <c r="AM1742" i="1"/>
  <c r="AM1743" i="1"/>
  <c r="AM1744" i="1"/>
  <c r="AM1745" i="1"/>
  <c r="AM1746" i="1"/>
  <c r="AM1747" i="1"/>
  <c r="AM1748" i="1"/>
  <c r="AM1749" i="1"/>
  <c r="AM1750" i="1"/>
  <c r="AM1751" i="1"/>
  <c r="AM1752" i="1"/>
  <c r="AM1753" i="1"/>
  <c r="AM1754" i="1"/>
  <c r="AM1755" i="1"/>
  <c r="AM1756" i="1"/>
  <c r="AM1757" i="1"/>
  <c r="AM1758" i="1"/>
  <c r="AM1760" i="1"/>
  <c r="AM1761" i="1"/>
  <c r="AM1762" i="1"/>
  <c r="AM1763" i="1"/>
  <c r="AM1764" i="1"/>
  <c r="AM1765" i="1"/>
  <c r="AM1766" i="1"/>
  <c r="AM1767" i="1"/>
  <c r="AM1768" i="1"/>
  <c r="AM1769" i="1"/>
  <c r="AM1770" i="1"/>
  <c r="AM1771" i="1"/>
  <c r="AM1772" i="1"/>
  <c r="AM1773" i="1"/>
  <c r="AM1774" i="1"/>
  <c r="AM1775" i="1"/>
  <c r="AM1776" i="1"/>
  <c r="AM1777" i="1"/>
  <c r="AM1778" i="1"/>
  <c r="AM1779" i="1"/>
  <c r="AM1780" i="1"/>
  <c r="AM1781" i="1"/>
  <c r="AM1782" i="1"/>
  <c r="AM1783" i="1"/>
  <c r="AM1784" i="1"/>
  <c r="AM1785" i="1"/>
  <c r="AM1786" i="1"/>
  <c r="AM1787" i="1"/>
  <c r="AM1788" i="1"/>
  <c r="AM1789" i="1"/>
  <c r="AM1790" i="1"/>
  <c r="AM1791" i="1"/>
  <c r="AM1792" i="1"/>
  <c r="AM1793" i="1"/>
  <c r="AM1794" i="1"/>
  <c r="AM1795" i="1"/>
  <c r="AM1796" i="1"/>
  <c r="AM1797" i="1"/>
  <c r="AM1798" i="1"/>
  <c r="AM1799" i="1"/>
  <c r="AM1800" i="1"/>
  <c r="AM1801" i="1"/>
  <c r="AM1802" i="1"/>
  <c r="AM1803" i="1"/>
  <c r="AM1804" i="1"/>
  <c r="AM1805" i="1"/>
  <c r="AM1806" i="1"/>
  <c r="AM1807" i="1"/>
  <c r="AM1808" i="1"/>
  <c r="AM1809" i="1"/>
  <c r="AM1810" i="1"/>
  <c r="AM1811" i="1"/>
  <c r="AM1812" i="1"/>
  <c r="AM1813" i="1"/>
  <c r="AM1814" i="1"/>
  <c r="AM1815" i="1"/>
  <c r="AM1816" i="1"/>
  <c r="AM1817" i="1"/>
  <c r="AM1818" i="1"/>
  <c r="AM1819" i="1"/>
  <c r="AM1820" i="1"/>
  <c r="AM1821" i="1"/>
  <c r="AM1822" i="1"/>
  <c r="AM1823" i="1"/>
  <c r="AM1824" i="1"/>
  <c r="AM1825" i="1"/>
  <c r="AM1826" i="1"/>
  <c r="AM1827" i="1"/>
  <c r="AM1828" i="1"/>
  <c r="AM1829" i="1"/>
  <c r="AM1830" i="1"/>
  <c r="AM1831" i="1"/>
  <c r="AJ1832" i="1"/>
  <c r="AK1832" i="1"/>
  <c r="AL1832" i="1"/>
  <c r="AM1832" i="1"/>
  <c r="AM1833" i="1"/>
  <c r="AM1834" i="1"/>
  <c r="AM1835" i="1"/>
  <c r="AM1836" i="1"/>
  <c r="AM1837" i="1"/>
  <c r="AM1838" i="1"/>
  <c r="AJ1839" i="1"/>
  <c r="AK1839" i="1"/>
  <c r="AL1839" i="1"/>
  <c r="AM1839" i="1"/>
  <c r="AM1840" i="1"/>
  <c r="AM1841" i="1"/>
  <c r="AM1842" i="1"/>
  <c r="AM1843" i="1"/>
  <c r="AM1844" i="1"/>
  <c r="AJ1845" i="1"/>
  <c r="AK1845" i="1"/>
  <c r="AL1845" i="1"/>
  <c r="AM1845" i="1"/>
  <c r="AM1846" i="1"/>
  <c r="AM1847" i="1"/>
  <c r="AM1848" i="1"/>
  <c r="AM1849" i="1"/>
  <c r="AM1850" i="1"/>
  <c r="AM1851" i="1"/>
  <c r="AM1852" i="1"/>
  <c r="AM1853" i="1"/>
  <c r="AM1854" i="1"/>
  <c r="AM1855" i="1"/>
  <c r="AM1856" i="1"/>
  <c r="AM1857" i="1"/>
  <c r="AM1858" i="1"/>
  <c r="AM1859" i="1"/>
  <c r="AM1860" i="1"/>
  <c r="AM1861" i="1"/>
  <c r="AM1862" i="1"/>
  <c r="AM1863" i="1"/>
  <c r="AM1864" i="1"/>
  <c r="AM1865" i="1"/>
  <c r="AM1866" i="1"/>
  <c r="AJ1867" i="1"/>
  <c r="AK1867" i="1"/>
  <c r="AL1867" i="1"/>
  <c r="AM1867" i="1"/>
  <c r="AM1868" i="1"/>
  <c r="AM1869" i="1"/>
  <c r="AM1870" i="1"/>
  <c r="AM1871" i="1"/>
  <c r="AM1873" i="1"/>
  <c r="AM1874" i="1"/>
  <c r="AM1875" i="1"/>
  <c r="AM1876" i="1"/>
  <c r="AM1877" i="1"/>
  <c r="AM1878" i="1"/>
  <c r="AM1879" i="1"/>
  <c r="AM1880" i="1"/>
  <c r="AM1881" i="1"/>
  <c r="AM1882" i="1"/>
  <c r="AM1883" i="1"/>
  <c r="AM1884" i="1"/>
  <c r="AM1886" i="1"/>
  <c r="AJ1887" i="1"/>
  <c r="AK1887" i="1"/>
  <c r="AL1887" i="1"/>
  <c r="AM1887" i="1"/>
  <c r="AM1888" i="1"/>
  <c r="AM1889" i="1"/>
  <c r="AM1890" i="1"/>
  <c r="AM1891" i="1"/>
  <c r="AM1892" i="1"/>
  <c r="AJ1893" i="1"/>
  <c r="AK1893" i="1"/>
  <c r="AL1893" i="1"/>
  <c r="AM1893" i="1"/>
  <c r="AM1894" i="1"/>
  <c r="AM1895" i="1"/>
  <c r="AJ1896" i="1"/>
  <c r="AK1896" i="1"/>
  <c r="AL1896" i="1"/>
  <c r="AM1896" i="1"/>
  <c r="AM1897" i="1"/>
  <c r="AM1898" i="1"/>
  <c r="AM1899" i="1"/>
  <c r="AM1900" i="1"/>
  <c r="AM1901" i="1"/>
  <c r="AM1902" i="1"/>
  <c r="AM1903" i="1"/>
  <c r="AM1904" i="1"/>
  <c r="AM1905" i="1"/>
  <c r="AM1906" i="1"/>
  <c r="AM1907" i="1"/>
  <c r="AM1908" i="1"/>
  <c r="AM1909" i="1"/>
  <c r="AM1910" i="1"/>
  <c r="AM1911" i="1"/>
  <c r="AM1912" i="1"/>
  <c r="AM1913" i="1"/>
  <c r="AJ1914" i="1"/>
  <c r="AK1914" i="1"/>
  <c r="AL1914" i="1"/>
  <c r="AM1914" i="1"/>
  <c r="AJ1915" i="1"/>
  <c r="AK1915" i="1"/>
  <c r="AL1915" i="1"/>
  <c r="AM1915" i="1"/>
  <c r="AJ1916" i="1"/>
  <c r="AK1916" i="1"/>
  <c r="AL1916" i="1"/>
  <c r="AM1916" i="1"/>
  <c r="AM1917" i="1"/>
  <c r="AM1918" i="1"/>
  <c r="AM1919" i="1"/>
  <c r="AM1920" i="1"/>
  <c r="AM1921" i="1"/>
  <c r="AM1922" i="1"/>
  <c r="AM1923" i="1"/>
  <c r="AM1924" i="1"/>
  <c r="AM1925" i="1"/>
  <c r="AM1926" i="1"/>
  <c r="AM1927" i="1"/>
  <c r="AM1928" i="1"/>
  <c r="AM1929" i="1"/>
  <c r="AM1930" i="1"/>
  <c r="AM1931" i="1"/>
  <c r="AM1932" i="1"/>
  <c r="AM1933" i="1"/>
  <c r="AM1934" i="1"/>
  <c r="AM1935" i="1"/>
  <c r="AM1936" i="1"/>
  <c r="AJ1937" i="1"/>
  <c r="AK1937" i="1"/>
  <c r="AL1937" i="1"/>
  <c r="AM1937" i="1"/>
  <c r="AM1938" i="1"/>
  <c r="AJ1939" i="1"/>
  <c r="AK1939" i="1"/>
  <c r="AL1939" i="1"/>
  <c r="AM1939" i="1"/>
  <c r="AJ1940" i="1"/>
  <c r="AK1940" i="1"/>
  <c r="AL1940" i="1"/>
  <c r="AM1940" i="1"/>
  <c r="AM1941" i="1"/>
  <c r="AM1942" i="1"/>
  <c r="AM1943" i="1"/>
  <c r="AM1944" i="1"/>
  <c r="AM1945" i="1"/>
  <c r="AM1946" i="1"/>
  <c r="AM1947" i="1"/>
  <c r="AM1948" i="1"/>
  <c r="AM1949" i="1"/>
  <c r="AM1950" i="1"/>
  <c r="AM1951" i="1"/>
  <c r="AM1952" i="1"/>
  <c r="AM1953" i="1"/>
  <c r="AM1954" i="1"/>
  <c r="AM1955" i="1"/>
  <c r="AM1956" i="1"/>
  <c r="AM1957" i="1"/>
  <c r="AJ1958" i="1"/>
  <c r="AK1958" i="1"/>
  <c r="AL1958" i="1"/>
  <c r="AM1958" i="1"/>
  <c r="AM1959" i="1"/>
  <c r="AM1960" i="1"/>
  <c r="AM1961" i="1"/>
  <c r="AM1962" i="1"/>
  <c r="AM1963" i="1"/>
  <c r="AM1964" i="1"/>
  <c r="AM1965" i="1"/>
  <c r="AM1966" i="1"/>
  <c r="AM1967" i="1"/>
  <c r="AM1968" i="1"/>
  <c r="AM1969" i="1"/>
  <c r="AM1970" i="1"/>
  <c r="AM1971" i="1"/>
  <c r="AM1972" i="1"/>
  <c r="AM1973" i="1"/>
  <c r="AM1974" i="1"/>
  <c r="AM1975" i="1"/>
  <c r="AM1976" i="1"/>
  <c r="AM1977" i="1"/>
  <c r="AM1978" i="1"/>
  <c r="AM1979" i="1"/>
  <c r="AM1980" i="1"/>
  <c r="AM1981" i="1"/>
  <c r="AM1982" i="1"/>
  <c r="AM1983" i="1"/>
  <c r="AM1984" i="1"/>
  <c r="AM1985" i="1"/>
  <c r="AM1986" i="1"/>
  <c r="AM1987" i="1"/>
  <c r="AM1988" i="1"/>
  <c r="AM1989" i="1"/>
  <c r="AM1990" i="1"/>
  <c r="AM1991" i="1"/>
  <c r="AM1992" i="1"/>
  <c r="AM1993" i="1"/>
  <c r="AM1994" i="1"/>
  <c r="AM1995" i="1"/>
  <c r="AM1996" i="1"/>
  <c r="AM1997" i="1"/>
  <c r="AM1998" i="1"/>
  <c r="AM1999" i="1"/>
  <c r="AM2000" i="1"/>
  <c r="J952" i="1"/>
  <c r="K952" i="1"/>
  <c r="L952" i="1"/>
  <c r="J953" i="1"/>
  <c r="K953" i="1"/>
  <c r="L953" i="1"/>
  <c r="J954" i="1"/>
  <c r="K954" i="1"/>
  <c r="L954" i="1"/>
  <c r="J955" i="1"/>
  <c r="K955" i="1"/>
  <c r="L955" i="1"/>
  <c r="J956" i="1"/>
  <c r="K956" i="1"/>
  <c r="L956" i="1"/>
  <c r="J957" i="1"/>
  <c r="K957" i="1"/>
  <c r="L957" i="1"/>
  <c r="J958" i="1"/>
  <c r="K958" i="1"/>
  <c r="L958" i="1"/>
  <c r="J959" i="1"/>
  <c r="K959" i="1"/>
  <c r="L959" i="1"/>
  <c r="J960" i="1"/>
  <c r="K960" i="1"/>
  <c r="L960" i="1"/>
  <c r="J961" i="1"/>
  <c r="K961" i="1"/>
  <c r="L961" i="1"/>
  <c r="J962" i="1"/>
  <c r="K962" i="1"/>
  <c r="L962" i="1"/>
  <c r="J963" i="1"/>
  <c r="K963" i="1"/>
  <c r="L963" i="1"/>
  <c r="J964" i="1"/>
  <c r="K964" i="1"/>
  <c r="L964" i="1"/>
  <c r="J965" i="1"/>
  <c r="K965" i="1"/>
  <c r="L965" i="1"/>
  <c r="J966" i="1"/>
  <c r="K966" i="1"/>
  <c r="L966" i="1"/>
  <c r="J967" i="1"/>
  <c r="K967" i="1"/>
  <c r="L967" i="1"/>
  <c r="J968" i="1"/>
  <c r="K968" i="1"/>
  <c r="L968" i="1"/>
  <c r="J969" i="1"/>
  <c r="K969" i="1"/>
  <c r="L969" i="1"/>
  <c r="J970" i="1"/>
  <c r="K970" i="1"/>
  <c r="L970" i="1"/>
  <c r="J971" i="1"/>
  <c r="K971" i="1"/>
  <c r="L971" i="1"/>
  <c r="J972" i="1"/>
  <c r="K972" i="1"/>
  <c r="L972" i="1"/>
  <c r="J973" i="1"/>
  <c r="K973" i="1"/>
  <c r="L973" i="1"/>
  <c r="J974" i="1"/>
  <c r="K974" i="1"/>
  <c r="L974" i="1"/>
  <c r="J975" i="1"/>
  <c r="K975" i="1"/>
  <c r="L975" i="1"/>
  <c r="J976" i="1"/>
  <c r="K976" i="1"/>
  <c r="L976" i="1"/>
  <c r="J977" i="1"/>
  <c r="K977" i="1"/>
  <c r="L977" i="1"/>
  <c r="J978" i="1"/>
  <c r="K978" i="1"/>
  <c r="L978" i="1"/>
  <c r="J979" i="1"/>
  <c r="K979" i="1"/>
  <c r="L979" i="1"/>
  <c r="J980" i="1"/>
  <c r="K980" i="1"/>
  <c r="L980" i="1"/>
  <c r="J981" i="1"/>
  <c r="K981" i="1"/>
  <c r="L981" i="1"/>
  <c r="J982" i="1"/>
  <c r="K982" i="1"/>
  <c r="L982" i="1"/>
  <c r="J983" i="1"/>
  <c r="K983" i="1"/>
  <c r="L983" i="1"/>
  <c r="J984" i="1"/>
  <c r="K984" i="1"/>
  <c r="L984" i="1"/>
  <c r="J985" i="1"/>
  <c r="K985" i="1"/>
  <c r="L985" i="1"/>
  <c r="J986" i="1"/>
  <c r="K986" i="1"/>
  <c r="L986" i="1"/>
  <c r="J987" i="1"/>
  <c r="K987" i="1"/>
  <c r="L987" i="1"/>
  <c r="J988" i="1"/>
  <c r="K988" i="1"/>
  <c r="L988" i="1"/>
  <c r="J989" i="1"/>
  <c r="K989" i="1"/>
  <c r="L989" i="1"/>
  <c r="J990" i="1"/>
  <c r="K990" i="1"/>
  <c r="L990" i="1"/>
  <c r="J991" i="1"/>
  <c r="K991" i="1"/>
  <c r="L991" i="1"/>
  <c r="J992" i="1"/>
  <c r="K992" i="1"/>
  <c r="L992" i="1"/>
  <c r="J993" i="1"/>
  <c r="K993" i="1"/>
  <c r="L993" i="1"/>
  <c r="J994" i="1"/>
  <c r="K994" i="1"/>
  <c r="L994" i="1"/>
  <c r="J995" i="1"/>
  <c r="K995" i="1"/>
  <c r="L995" i="1"/>
  <c r="J996" i="1"/>
  <c r="K996" i="1"/>
  <c r="L996" i="1"/>
  <c r="J997" i="1"/>
  <c r="K997" i="1"/>
  <c r="L997" i="1"/>
  <c r="J998" i="1"/>
  <c r="K998" i="1"/>
  <c r="L998" i="1"/>
  <c r="J999" i="1"/>
  <c r="K999" i="1"/>
  <c r="L999" i="1"/>
  <c r="J1000" i="1"/>
  <c r="K1000" i="1"/>
  <c r="L1000" i="1"/>
  <c r="J1001" i="1"/>
  <c r="K1001" i="1"/>
  <c r="L1001" i="1"/>
  <c r="J1002" i="1"/>
  <c r="K1002" i="1"/>
  <c r="L1002" i="1"/>
  <c r="J1003" i="1"/>
  <c r="K1003" i="1"/>
  <c r="L1003" i="1"/>
  <c r="J1004" i="1"/>
  <c r="K1004" i="1"/>
  <c r="L1004" i="1"/>
  <c r="J1005" i="1"/>
  <c r="K1005" i="1"/>
  <c r="L1005" i="1"/>
  <c r="J1006" i="1"/>
  <c r="K1006" i="1"/>
  <c r="L1006" i="1"/>
  <c r="J1007" i="1"/>
  <c r="K1007" i="1"/>
  <c r="L1007" i="1"/>
  <c r="J1008" i="1"/>
  <c r="K1008" i="1"/>
  <c r="L1008" i="1"/>
  <c r="J1009" i="1"/>
  <c r="K1009" i="1"/>
  <c r="L1009" i="1"/>
  <c r="J1010" i="1"/>
  <c r="K1010" i="1"/>
  <c r="L1010" i="1"/>
  <c r="J1011" i="1"/>
  <c r="K1011" i="1"/>
  <c r="L1011" i="1"/>
  <c r="J1012" i="1"/>
  <c r="K1012" i="1"/>
  <c r="L1012" i="1"/>
  <c r="J1013" i="1"/>
  <c r="K1013" i="1"/>
  <c r="L1013" i="1"/>
  <c r="J1014" i="1"/>
  <c r="K1014" i="1"/>
  <c r="L1014" i="1"/>
  <c r="J1015" i="1"/>
  <c r="K1015" i="1"/>
  <c r="L1015" i="1"/>
  <c r="J1016" i="1"/>
  <c r="K1016" i="1"/>
  <c r="L1016" i="1"/>
  <c r="J1017" i="1"/>
  <c r="K1017" i="1"/>
  <c r="L1017" i="1"/>
  <c r="J1018" i="1"/>
  <c r="K1018" i="1"/>
  <c r="L1018" i="1"/>
  <c r="J1019" i="1"/>
  <c r="K1019" i="1"/>
  <c r="L1019" i="1"/>
  <c r="J1020" i="1"/>
  <c r="K1020" i="1"/>
  <c r="L1020" i="1"/>
  <c r="J1021" i="1"/>
  <c r="K1021" i="1"/>
  <c r="L1021" i="1"/>
  <c r="J1022" i="1"/>
  <c r="K1022" i="1"/>
  <c r="L1022" i="1"/>
  <c r="J1023" i="1"/>
  <c r="K1023" i="1"/>
  <c r="L1023" i="1"/>
  <c r="J1024" i="1"/>
  <c r="K1024" i="1"/>
  <c r="L1024" i="1"/>
  <c r="J1025" i="1"/>
  <c r="K1025" i="1"/>
  <c r="L1025" i="1"/>
  <c r="J1026" i="1"/>
  <c r="K1026" i="1"/>
  <c r="L1026" i="1"/>
  <c r="J1027" i="1"/>
  <c r="K1027" i="1"/>
  <c r="L1027" i="1"/>
  <c r="J1028" i="1"/>
  <c r="K1028" i="1"/>
  <c r="L1028" i="1"/>
  <c r="J1029" i="1"/>
  <c r="K1029" i="1"/>
  <c r="L1029" i="1"/>
  <c r="J1030" i="1"/>
  <c r="K1030" i="1"/>
  <c r="L1030" i="1"/>
  <c r="J1031" i="1"/>
  <c r="K1031" i="1"/>
  <c r="L1031" i="1"/>
  <c r="J1032" i="1"/>
  <c r="K1032" i="1"/>
  <c r="L1032" i="1"/>
  <c r="J1033" i="1"/>
  <c r="K1033" i="1"/>
  <c r="L1033" i="1"/>
  <c r="J1034" i="1"/>
  <c r="K1034" i="1"/>
  <c r="L1034" i="1"/>
  <c r="J1035" i="1"/>
  <c r="K1035" i="1"/>
  <c r="L1035" i="1"/>
  <c r="J1036" i="1"/>
  <c r="K1036" i="1"/>
  <c r="L1036" i="1"/>
  <c r="J1037" i="1"/>
  <c r="K1037" i="1"/>
  <c r="L1037" i="1"/>
  <c r="J1038" i="1"/>
  <c r="K1038" i="1"/>
  <c r="L1038" i="1"/>
  <c r="J1039" i="1"/>
  <c r="K1039" i="1"/>
  <c r="L1039" i="1"/>
  <c r="J1040" i="1"/>
  <c r="K1040" i="1"/>
  <c r="L1040" i="1"/>
  <c r="J1041" i="1"/>
  <c r="K1041" i="1"/>
  <c r="L1041" i="1"/>
  <c r="J1042" i="1"/>
  <c r="K1042" i="1"/>
  <c r="L1042" i="1"/>
  <c r="J1043" i="1"/>
  <c r="K1043" i="1"/>
  <c r="L1043" i="1"/>
  <c r="J1044" i="1"/>
  <c r="K1044" i="1"/>
  <c r="L1044" i="1"/>
  <c r="J1045" i="1"/>
  <c r="K1045" i="1"/>
  <c r="L1045" i="1"/>
  <c r="J1046" i="1"/>
  <c r="K1046" i="1"/>
  <c r="L1046" i="1"/>
  <c r="J1047" i="1"/>
  <c r="K1047" i="1"/>
  <c r="L1047" i="1"/>
  <c r="J1048" i="1"/>
  <c r="K1048" i="1"/>
  <c r="L1048" i="1"/>
  <c r="J1049" i="1"/>
  <c r="K1049" i="1"/>
  <c r="L1049" i="1"/>
  <c r="J1050" i="1"/>
  <c r="K1050" i="1"/>
  <c r="L1050" i="1"/>
  <c r="J1051" i="1"/>
  <c r="K1051" i="1"/>
  <c r="L1051" i="1"/>
  <c r="J1052" i="1"/>
  <c r="K1052" i="1"/>
  <c r="L1052" i="1"/>
  <c r="J1053" i="1"/>
  <c r="K1053" i="1"/>
  <c r="L1053" i="1"/>
  <c r="J1054" i="1"/>
  <c r="K1054" i="1"/>
  <c r="L1054" i="1"/>
  <c r="J1055" i="1"/>
  <c r="K1055" i="1"/>
  <c r="L1055" i="1"/>
  <c r="J1056" i="1"/>
  <c r="K1056" i="1"/>
  <c r="L1056" i="1"/>
  <c r="J1057" i="1"/>
  <c r="K1057" i="1"/>
  <c r="L1057" i="1"/>
  <c r="J1058" i="1"/>
  <c r="K1058" i="1"/>
  <c r="L1058" i="1"/>
  <c r="J1059" i="1"/>
  <c r="K1059" i="1"/>
  <c r="L1059" i="1"/>
  <c r="J1060" i="1"/>
  <c r="K1060" i="1"/>
  <c r="L1060" i="1"/>
  <c r="J1061" i="1"/>
  <c r="K1061" i="1"/>
  <c r="L1061" i="1"/>
  <c r="J1062" i="1"/>
  <c r="K1062" i="1"/>
  <c r="L1062" i="1"/>
  <c r="J1063" i="1"/>
  <c r="K1063" i="1"/>
  <c r="L1063" i="1"/>
  <c r="J1064" i="1"/>
  <c r="K1064" i="1"/>
  <c r="L1064" i="1"/>
  <c r="J1065" i="1"/>
  <c r="K1065" i="1"/>
  <c r="L1065" i="1"/>
  <c r="J1066" i="1"/>
  <c r="K1066" i="1"/>
  <c r="L1066" i="1"/>
  <c r="J1067" i="1"/>
  <c r="K1067" i="1"/>
  <c r="L1067" i="1"/>
  <c r="J1068" i="1"/>
  <c r="K1068" i="1"/>
  <c r="L1068" i="1"/>
  <c r="J1069" i="1"/>
  <c r="K1069" i="1"/>
  <c r="L1069" i="1"/>
  <c r="J1070" i="1"/>
  <c r="K1070" i="1"/>
  <c r="L1070" i="1"/>
  <c r="J1071" i="1"/>
  <c r="K1071" i="1"/>
  <c r="L1071" i="1"/>
  <c r="J1072" i="1"/>
  <c r="K1072" i="1"/>
  <c r="L1072" i="1"/>
  <c r="J1073" i="1"/>
  <c r="K1073" i="1"/>
  <c r="L1073" i="1"/>
  <c r="J1074" i="1"/>
  <c r="K1074" i="1"/>
  <c r="L1074" i="1"/>
  <c r="J1075" i="1"/>
  <c r="K1075" i="1"/>
  <c r="L1075" i="1"/>
  <c r="J1076" i="1"/>
  <c r="K1076" i="1"/>
  <c r="L1076" i="1"/>
  <c r="J1077" i="1"/>
  <c r="K1077" i="1"/>
  <c r="L1077" i="1"/>
  <c r="J1078" i="1"/>
  <c r="K1078" i="1"/>
  <c r="L1078" i="1"/>
  <c r="J1079" i="1"/>
  <c r="K1079" i="1"/>
  <c r="L1079" i="1"/>
  <c r="J1080" i="1"/>
  <c r="K1080" i="1"/>
  <c r="L1080" i="1"/>
  <c r="J1081" i="1"/>
  <c r="K1081" i="1"/>
  <c r="L1081" i="1"/>
  <c r="J1082" i="1"/>
  <c r="K1082" i="1"/>
  <c r="L1082" i="1"/>
  <c r="J1083" i="1"/>
  <c r="K1083" i="1"/>
  <c r="L1083" i="1"/>
  <c r="J1084" i="1"/>
  <c r="K1084" i="1"/>
  <c r="L1084" i="1"/>
  <c r="J1085" i="1"/>
  <c r="K1085" i="1"/>
  <c r="L1085" i="1"/>
  <c r="J1086" i="1"/>
  <c r="K1086" i="1"/>
  <c r="L1086" i="1"/>
  <c r="J1087" i="1"/>
  <c r="K1087" i="1"/>
  <c r="L1087" i="1"/>
  <c r="J1088" i="1"/>
  <c r="K1088" i="1"/>
  <c r="L1088" i="1"/>
  <c r="J1089" i="1"/>
  <c r="K1089" i="1"/>
  <c r="L1089" i="1"/>
  <c r="J1090" i="1"/>
  <c r="K1090" i="1"/>
  <c r="L1090" i="1"/>
  <c r="J1091" i="1"/>
  <c r="K1091" i="1"/>
  <c r="L1091" i="1"/>
  <c r="J1092" i="1"/>
  <c r="K1092" i="1"/>
  <c r="L1092" i="1"/>
  <c r="J1093" i="1"/>
  <c r="K1093" i="1"/>
  <c r="L1093" i="1"/>
  <c r="J1094" i="1"/>
  <c r="K1094" i="1"/>
  <c r="L1094" i="1"/>
  <c r="J1095" i="1"/>
  <c r="K1095" i="1"/>
  <c r="L1095" i="1"/>
  <c r="J1096" i="1"/>
  <c r="K1096" i="1"/>
  <c r="L1096" i="1"/>
  <c r="J1097" i="1"/>
  <c r="K1097" i="1"/>
  <c r="L1097" i="1"/>
  <c r="J1098" i="1"/>
  <c r="K1098" i="1"/>
  <c r="L1098" i="1"/>
  <c r="J1099" i="1"/>
  <c r="K1099" i="1"/>
  <c r="L1099" i="1"/>
  <c r="J1100" i="1"/>
  <c r="K1100" i="1"/>
  <c r="L1100" i="1"/>
  <c r="J1101" i="1"/>
  <c r="K1101" i="1"/>
  <c r="L1101" i="1"/>
  <c r="J1102" i="1"/>
  <c r="K1102" i="1"/>
  <c r="L1102" i="1"/>
  <c r="J1103" i="1"/>
  <c r="K1103" i="1"/>
  <c r="L1103" i="1"/>
  <c r="J1104" i="1"/>
  <c r="K1104" i="1"/>
  <c r="L1104" i="1"/>
  <c r="J1105" i="1"/>
  <c r="K1105" i="1"/>
  <c r="L1105" i="1"/>
  <c r="J1106" i="1"/>
  <c r="K1106" i="1"/>
  <c r="L1106" i="1"/>
  <c r="J1107" i="1"/>
  <c r="K1107" i="1"/>
  <c r="L1107" i="1"/>
  <c r="J1108" i="1"/>
  <c r="K1108" i="1"/>
  <c r="L1108" i="1"/>
  <c r="J1109" i="1"/>
  <c r="K1109" i="1"/>
  <c r="L1109" i="1"/>
  <c r="J1110" i="1"/>
  <c r="K1110" i="1"/>
  <c r="L1110" i="1"/>
  <c r="J1111" i="1"/>
  <c r="K1111" i="1"/>
  <c r="L1111" i="1"/>
  <c r="J1112" i="1"/>
  <c r="K1112" i="1"/>
  <c r="L1112" i="1"/>
  <c r="J1113" i="1"/>
  <c r="K1113" i="1"/>
  <c r="L1113" i="1"/>
  <c r="J1114" i="1"/>
  <c r="K1114" i="1"/>
  <c r="L1114" i="1"/>
  <c r="J1115" i="1"/>
  <c r="K1115" i="1"/>
  <c r="L1115" i="1"/>
  <c r="J1116" i="1"/>
  <c r="K1116" i="1"/>
  <c r="L1116" i="1"/>
  <c r="J1117" i="1"/>
  <c r="K1117" i="1"/>
  <c r="L1117" i="1"/>
  <c r="J1118" i="1"/>
  <c r="K1118" i="1"/>
  <c r="L1118" i="1"/>
  <c r="J1119" i="1"/>
  <c r="K1119" i="1"/>
  <c r="L1119" i="1"/>
  <c r="J1120" i="1"/>
  <c r="K1120" i="1"/>
  <c r="L1120" i="1"/>
  <c r="J1121" i="1"/>
  <c r="K1121" i="1"/>
  <c r="L1121" i="1"/>
  <c r="J1122" i="1"/>
  <c r="K1122" i="1"/>
  <c r="L1122" i="1"/>
  <c r="J1123" i="1"/>
  <c r="K1123" i="1"/>
  <c r="L1123" i="1"/>
  <c r="J1124" i="1"/>
  <c r="K1124" i="1"/>
  <c r="L1124" i="1"/>
  <c r="J1125" i="1"/>
  <c r="K1125" i="1"/>
  <c r="L1125" i="1"/>
  <c r="J1126" i="1"/>
  <c r="K1126" i="1"/>
  <c r="L1126" i="1"/>
  <c r="J1127" i="1"/>
  <c r="K1127" i="1"/>
  <c r="L1127" i="1"/>
  <c r="J1128" i="1"/>
  <c r="K1128" i="1"/>
  <c r="L1128" i="1"/>
  <c r="J1129" i="1"/>
  <c r="K1129" i="1"/>
  <c r="L1129" i="1"/>
  <c r="J1130" i="1"/>
  <c r="K1130" i="1"/>
  <c r="L1130" i="1"/>
  <c r="J1131" i="1"/>
  <c r="K1131" i="1"/>
  <c r="L1131" i="1"/>
  <c r="J1132" i="1"/>
  <c r="K1132" i="1"/>
  <c r="L1132" i="1"/>
  <c r="J1133" i="1"/>
  <c r="K1133" i="1"/>
  <c r="L1133" i="1"/>
  <c r="J1134" i="1"/>
  <c r="K1134" i="1"/>
  <c r="L1134" i="1"/>
  <c r="J1135" i="1"/>
  <c r="K1135" i="1"/>
  <c r="L1135" i="1"/>
  <c r="J1136" i="1"/>
  <c r="K1136" i="1"/>
  <c r="L1136" i="1"/>
  <c r="J1137" i="1"/>
  <c r="K1137" i="1"/>
  <c r="L1137" i="1"/>
  <c r="J1138" i="1"/>
  <c r="K1138" i="1"/>
  <c r="L1138" i="1"/>
  <c r="J1139" i="1"/>
  <c r="K1139" i="1"/>
  <c r="L1139" i="1"/>
  <c r="J1140" i="1"/>
  <c r="K1140" i="1"/>
  <c r="L1140" i="1"/>
  <c r="J1141" i="1"/>
  <c r="K1141" i="1"/>
  <c r="L1141" i="1"/>
  <c r="J1142" i="1"/>
  <c r="K1142" i="1"/>
  <c r="L1142" i="1"/>
  <c r="J1143" i="1"/>
  <c r="K1143" i="1"/>
  <c r="L1143" i="1"/>
  <c r="J1144" i="1"/>
  <c r="K1144" i="1"/>
  <c r="L1144" i="1"/>
  <c r="J1145" i="1"/>
  <c r="K1145" i="1"/>
  <c r="L1145" i="1"/>
  <c r="J1146" i="1"/>
  <c r="K1146" i="1"/>
  <c r="L1146" i="1"/>
  <c r="J1147" i="1"/>
  <c r="K1147" i="1"/>
  <c r="L1147" i="1"/>
  <c r="J1148" i="1"/>
  <c r="K1148" i="1"/>
  <c r="L1148" i="1"/>
  <c r="J1149" i="1"/>
  <c r="K1149" i="1"/>
  <c r="L1149" i="1"/>
  <c r="J1150" i="1"/>
  <c r="K1150" i="1"/>
  <c r="L1150" i="1"/>
  <c r="J1151" i="1"/>
  <c r="K1151" i="1"/>
  <c r="L1151" i="1"/>
  <c r="J1152" i="1"/>
  <c r="K1152" i="1"/>
  <c r="L1152" i="1"/>
  <c r="J1153" i="1"/>
  <c r="K1153" i="1"/>
  <c r="L1153" i="1"/>
  <c r="J1154" i="1"/>
  <c r="K1154" i="1"/>
  <c r="L1154" i="1"/>
  <c r="J1155" i="1"/>
  <c r="K1155" i="1"/>
  <c r="L1155" i="1"/>
  <c r="J1156" i="1"/>
  <c r="K1156" i="1"/>
  <c r="L1156" i="1"/>
  <c r="J1157" i="1"/>
  <c r="K1157" i="1"/>
  <c r="L1157" i="1"/>
  <c r="J1158" i="1"/>
  <c r="K1158" i="1"/>
  <c r="L1158" i="1"/>
  <c r="J1159" i="1"/>
  <c r="K1159" i="1"/>
  <c r="L1159" i="1"/>
  <c r="J1160" i="1"/>
  <c r="K1160" i="1"/>
  <c r="L1160" i="1"/>
  <c r="J1161" i="1"/>
  <c r="K1161" i="1"/>
  <c r="L1161" i="1"/>
  <c r="J1162" i="1"/>
  <c r="K1162" i="1"/>
  <c r="L1162" i="1"/>
  <c r="J1163" i="1"/>
  <c r="K1163" i="1"/>
  <c r="L1163" i="1"/>
  <c r="J1164" i="1"/>
  <c r="K1164" i="1"/>
  <c r="L1164" i="1"/>
  <c r="J1165" i="1"/>
  <c r="K1165" i="1"/>
  <c r="L1165" i="1"/>
  <c r="J1166" i="1"/>
  <c r="K1166" i="1"/>
  <c r="L1166" i="1"/>
  <c r="J1167" i="1"/>
  <c r="K1167" i="1"/>
  <c r="L1167" i="1"/>
  <c r="J1168" i="1"/>
  <c r="K1168" i="1"/>
  <c r="L1168" i="1"/>
  <c r="J1169" i="1"/>
  <c r="K1169" i="1"/>
  <c r="L1169" i="1"/>
  <c r="J1170" i="1"/>
  <c r="K1170" i="1"/>
  <c r="L1170" i="1"/>
  <c r="J1171" i="1"/>
  <c r="K1171" i="1"/>
  <c r="L1171" i="1"/>
  <c r="J1172" i="1"/>
  <c r="K1172" i="1"/>
  <c r="L1172" i="1"/>
  <c r="J1173" i="1"/>
  <c r="K1173" i="1"/>
  <c r="L1173" i="1"/>
  <c r="J1174" i="1"/>
  <c r="K1174" i="1"/>
  <c r="L1174" i="1"/>
  <c r="J1175" i="1"/>
  <c r="K1175" i="1"/>
  <c r="L1175" i="1"/>
  <c r="J1176" i="1"/>
  <c r="K1176" i="1"/>
  <c r="L1176" i="1"/>
  <c r="J1177" i="1"/>
  <c r="K1177" i="1"/>
  <c r="L1177" i="1"/>
  <c r="J1178" i="1"/>
  <c r="K1178" i="1"/>
  <c r="L1178" i="1"/>
  <c r="J1179" i="1"/>
  <c r="K1179" i="1"/>
  <c r="L1179" i="1"/>
  <c r="J1180" i="1"/>
  <c r="K1180" i="1"/>
  <c r="L1180" i="1"/>
  <c r="J1181" i="1"/>
  <c r="K1181" i="1"/>
  <c r="L1181" i="1"/>
  <c r="J1182" i="1"/>
  <c r="K1182" i="1"/>
  <c r="L1182" i="1"/>
  <c r="J1183" i="1"/>
  <c r="K1183" i="1"/>
  <c r="L1183" i="1"/>
  <c r="J1184" i="1"/>
  <c r="K1184" i="1"/>
  <c r="L1184" i="1"/>
  <c r="J1185" i="1"/>
  <c r="K1185" i="1"/>
  <c r="L1185" i="1"/>
  <c r="J1186" i="1"/>
  <c r="K1186" i="1"/>
  <c r="L1186" i="1"/>
  <c r="J1187" i="1"/>
  <c r="K1187" i="1"/>
  <c r="L1187" i="1"/>
  <c r="J1188" i="1"/>
  <c r="K1188" i="1"/>
  <c r="L1188" i="1"/>
  <c r="J1189" i="1"/>
  <c r="K1189" i="1"/>
  <c r="L1189" i="1"/>
  <c r="J1190" i="1"/>
  <c r="K1190" i="1"/>
  <c r="L1190" i="1"/>
  <c r="J802" i="1"/>
  <c r="K802" i="1"/>
  <c r="L802" i="1"/>
  <c r="J803" i="1"/>
  <c r="K803" i="1"/>
  <c r="L803" i="1"/>
  <c r="J804" i="1"/>
  <c r="K804" i="1"/>
  <c r="L804" i="1"/>
  <c r="J805" i="1"/>
  <c r="K805" i="1"/>
  <c r="L805" i="1"/>
  <c r="J806" i="1"/>
  <c r="K806" i="1"/>
  <c r="L806" i="1"/>
  <c r="J807" i="1"/>
  <c r="K807" i="1"/>
  <c r="L807" i="1"/>
  <c r="J808" i="1"/>
  <c r="K808" i="1"/>
  <c r="L808" i="1"/>
  <c r="J809" i="1"/>
  <c r="K809" i="1"/>
  <c r="L809" i="1"/>
  <c r="J810" i="1"/>
  <c r="K810" i="1"/>
  <c r="L810" i="1"/>
  <c r="J811" i="1"/>
  <c r="K811" i="1"/>
  <c r="L811" i="1"/>
  <c r="J812" i="1"/>
  <c r="K812" i="1"/>
  <c r="L812" i="1"/>
  <c r="J813" i="1"/>
  <c r="K813" i="1"/>
  <c r="L813" i="1"/>
  <c r="J814" i="1"/>
  <c r="K814" i="1"/>
  <c r="L814" i="1"/>
  <c r="J815" i="1"/>
  <c r="K815" i="1"/>
  <c r="L815" i="1"/>
  <c r="J816" i="1"/>
  <c r="K816" i="1"/>
  <c r="L816" i="1"/>
  <c r="J817" i="1"/>
  <c r="K817" i="1"/>
  <c r="L817" i="1"/>
  <c r="J818" i="1"/>
  <c r="K818" i="1"/>
  <c r="L818" i="1"/>
  <c r="J819" i="1"/>
  <c r="K819" i="1"/>
  <c r="L819" i="1"/>
  <c r="J820" i="1"/>
  <c r="K820" i="1"/>
  <c r="L820" i="1"/>
  <c r="J821" i="1"/>
  <c r="K821" i="1"/>
  <c r="L821" i="1"/>
  <c r="J822" i="1"/>
  <c r="K822" i="1"/>
  <c r="L822" i="1"/>
  <c r="J823" i="1"/>
  <c r="K823" i="1"/>
  <c r="L823" i="1"/>
  <c r="J824" i="1"/>
  <c r="K824" i="1"/>
  <c r="L824" i="1"/>
  <c r="J825" i="1"/>
  <c r="K825" i="1"/>
  <c r="L825" i="1"/>
  <c r="J826" i="1"/>
  <c r="K826" i="1"/>
  <c r="L826" i="1"/>
  <c r="J827" i="1"/>
  <c r="K827" i="1"/>
  <c r="L827" i="1"/>
  <c r="J828" i="1"/>
  <c r="K828" i="1"/>
  <c r="L828" i="1"/>
  <c r="J829" i="1"/>
  <c r="K829" i="1"/>
  <c r="L829" i="1"/>
  <c r="J830" i="1"/>
  <c r="K830" i="1"/>
  <c r="L830" i="1"/>
  <c r="J831" i="1"/>
  <c r="K831" i="1"/>
  <c r="L831" i="1"/>
  <c r="J832" i="1"/>
  <c r="K832" i="1"/>
  <c r="L832" i="1"/>
  <c r="J833" i="1"/>
  <c r="K833" i="1"/>
  <c r="L833" i="1"/>
  <c r="J834" i="1"/>
  <c r="K834" i="1"/>
  <c r="L834" i="1"/>
  <c r="J835" i="1"/>
  <c r="K835" i="1"/>
  <c r="L835" i="1"/>
  <c r="J836" i="1"/>
  <c r="K836" i="1"/>
  <c r="L836" i="1"/>
  <c r="J837" i="1"/>
  <c r="K837" i="1"/>
  <c r="L837" i="1"/>
  <c r="J838" i="1"/>
  <c r="K838" i="1"/>
  <c r="L838" i="1"/>
  <c r="J839" i="1"/>
  <c r="K839" i="1"/>
  <c r="L839" i="1"/>
  <c r="J840" i="1"/>
  <c r="K840" i="1"/>
  <c r="L840" i="1"/>
  <c r="J841" i="1"/>
  <c r="K841" i="1"/>
  <c r="L841" i="1"/>
  <c r="J842" i="1"/>
  <c r="K842" i="1"/>
  <c r="L842" i="1"/>
  <c r="J843" i="1"/>
  <c r="K843" i="1"/>
  <c r="L843" i="1"/>
  <c r="J844" i="1"/>
  <c r="K844" i="1"/>
  <c r="L844" i="1"/>
  <c r="J845" i="1"/>
  <c r="K845" i="1"/>
  <c r="L845" i="1"/>
  <c r="J846" i="1"/>
  <c r="K846" i="1"/>
  <c r="L846" i="1"/>
  <c r="J847" i="1"/>
  <c r="K847" i="1"/>
  <c r="L847" i="1"/>
  <c r="J848" i="1"/>
  <c r="K848" i="1"/>
  <c r="L848" i="1"/>
  <c r="J849" i="1"/>
  <c r="K849" i="1"/>
  <c r="L849" i="1"/>
  <c r="J850" i="1"/>
  <c r="K850" i="1"/>
  <c r="L850" i="1"/>
  <c r="J851" i="1"/>
  <c r="K851" i="1"/>
  <c r="L851" i="1"/>
  <c r="J852" i="1"/>
  <c r="K852" i="1"/>
  <c r="L852" i="1"/>
  <c r="J853" i="1"/>
  <c r="K853" i="1"/>
  <c r="L853" i="1"/>
  <c r="J854" i="1"/>
  <c r="K854" i="1"/>
  <c r="L854" i="1"/>
  <c r="J855" i="1"/>
  <c r="K855" i="1"/>
  <c r="L855" i="1"/>
  <c r="J856" i="1"/>
  <c r="K856" i="1"/>
  <c r="L856" i="1"/>
  <c r="J857" i="1"/>
  <c r="K857" i="1"/>
  <c r="L857" i="1"/>
  <c r="J858" i="1"/>
  <c r="K858" i="1"/>
  <c r="L858" i="1"/>
  <c r="J859" i="1"/>
  <c r="K859" i="1"/>
  <c r="L859" i="1"/>
  <c r="J860" i="1"/>
  <c r="K860" i="1"/>
  <c r="L860" i="1"/>
  <c r="J861" i="1"/>
  <c r="K861" i="1"/>
  <c r="L861" i="1"/>
  <c r="J862" i="1"/>
  <c r="K862" i="1"/>
  <c r="L862" i="1"/>
  <c r="J863" i="1"/>
  <c r="K863" i="1"/>
  <c r="L863" i="1"/>
  <c r="J864" i="1"/>
  <c r="K864" i="1"/>
  <c r="L864" i="1"/>
  <c r="J865" i="1"/>
  <c r="K865" i="1"/>
  <c r="L865" i="1"/>
  <c r="J866" i="1"/>
  <c r="K866" i="1"/>
  <c r="L866" i="1"/>
  <c r="J867" i="1"/>
  <c r="K867" i="1"/>
  <c r="L867" i="1"/>
  <c r="J868" i="1"/>
  <c r="K868" i="1"/>
  <c r="L868" i="1"/>
  <c r="J869" i="1"/>
  <c r="K869" i="1"/>
  <c r="L869" i="1"/>
  <c r="J870" i="1"/>
  <c r="K870" i="1"/>
  <c r="L870" i="1"/>
  <c r="J871" i="1"/>
  <c r="K871" i="1"/>
  <c r="L871" i="1"/>
  <c r="J872" i="1"/>
  <c r="K872" i="1"/>
  <c r="L872" i="1"/>
  <c r="J873" i="1"/>
  <c r="K873" i="1"/>
  <c r="L873" i="1"/>
  <c r="J874" i="1"/>
  <c r="K874" i="1"/>
  <c r="L874" i="1"/>
  <c r="J875" i="1"/>
  <c r="K875" i="1"/>
  <c r="L875" i="1"/>
  <c r="J876" i="1"/>
  <c r="K876" i="1"/>
  <c r="L876" i="1"/>
  <c r="J877" i="1"/>
  <c r="K877" i="1"/>
  <c r="L877" i="1"/>
  <c r="J878" i="1"/>
  <c r="K878" i="1"/>
  <c r="L878" i="1"/>
  <c r="J879" i="1"/>
  <c r="K879" i="1"/>
  <c r="L879" i="1"/>
  <c r="J880" i="1"/>
  <c r="K880" i="1"/>
  <c r="L880" i="1"/>
  <c r="J881" i="1"/>
  <c r="K881" i="1"/>
  <c r="L881" i="1"/>
  <c r="J882" i="1"/>
  <c r="K882" i="1"/>
  <c r="L882" i="1"/>
  <c r="J883" i="1"/>
  <c r="K883" i="1"/>
  <c r="L883" i="1"/>
  <c r="J884" i="1"/>
  <c r="K884" i="1"/>
  <c r="L884" i="1"/>
  <c r="J885" i="1"/>
  <c r="K885" i="1"/>
  <c r="L885" i="1"/>
  <c r="J886" i="1"/>
  <c r="K886" i="1"/>
  <c r="L886" i="1"/>
  <c r="J887" i="1"/>
  <c r="K887" i="1"/>
  <c r="L887" i="1"/>
  <c r="J888" i="1"/>
  <c r="K888" i="1"/>
  <c r="L888" i="1"/>
  <c r="J889" i="1"/>
  <c r="K889" i="1"/>
  <c r="L889" i="1"/>
  <c r="J890" i="1"/>
  <c r="K890" i="1"/>
  <c r="L890" i="1"/>
  <c r="J891" i="1"/>
  <c r="K891" i="1"/>
  <c r="L891" i="1"/>
  <c r="J892" i="1"/>
  <c r="K892" i="1"/>
  <c r="L892" i="1"/>
  <c r="J893" i="1"/>
  <c r="K893" i="1"/>
  <c r="L893" i="1"/>
  <c r="J894" i="1"/>
  <c r="K894" i="1"/>
  <c r="L894" i="1"/>
  <c r="J895" i="1"/>
  <c r="K895" i="1"/>
  <c r="L895" i="1"/>
  <c r="J896" i="1"/>
  <c r="K896" i="1"/>
  <c r="L896" i="1"/>
  <c r="J897" i="1"/>
  <c r="K897" i="1"/>
  <c r="L897" i="1"/>
  <c r="J898" i="1"/>
  <c r="K898" i="1"/>
  <c r="L898" i="1"/>
  <c r="J899" i="1"/>
  <c r="K899" i="1"/>
  <c r="L899" i="1"/>
  <c r="J900" i="1"/>
  <c r="K900" i="1"/>
  <c r="L900" i="1"/>
  <c r="J901" i="1"/>
  <c r="K901" i="1"/>
  <c r="L901" i="1"/>
  <c r="J902" i="1"/>
  <c r="K902" i="1"/>
  <c r="L902" i="1"/>
  <c r="J903" i="1"/>
  <c r="K903" i="1"/>
  <c r="L903" i="1"/>
  <c r="J904" i="1"/>
  <c r="K904" i="1"/>
  <c r="L904" i="1"/>
  <c r="J905" i="1"/>
  <c r="K905" i="1"/>
  <c r="L905" i="1"/>
  <c r="J906" i="1"/>
  <c r="K906" i="1"/>
  <c r="L906" i="1"/>
  <c r="J907" i="1"/>
  <c r="K907" i="1"/>
  <c r="L907" i="1"/>
  <c r="J908" i="1"/>
  <c r="K908" i="1"/>
  <c r="L908" i="1"/>
  <c r="J909" i="1"/>
  <c r="K909" i="1"/>
  <c r="L909" i="1"/>
  <c r="J910" i="1"/>
  <c r="K910" i="1"/>
  <c r="L910" i="1"/>
  <c r="J911" i="1"/>
  <c r="K911" i="1"/>
  <c r="L911" i="1"/>
  <c r="J912" i="1"/>
  <c r="K912" i="1"/>
  <c r="L912" i="1"/>
  <c r="J913" i="1"/>
  <c r="K913" i="1"/>
  <c r="L913" i="1"/>
  <c r="J914" i="1"/>
  <c r="K914" i="1"/>
  <c r="L914" i="1"/>
  <c r="J915" i="1"/>
  <c r="K915" i="1"/>
  <c r="L915" i="1"/>
  <c r="J916" i="1"/>
  <c r="K916" i="1"/>
  <c r="L916" i="1"/>
  <c r="J917" i="1"/>
  <c r="K917" i="1"/>
  <c r="L917" i="1"/>
  <c r="J918" i="1"/>
  <c r="K918" i="1"/>
  <c r="L918" i="1"/>
  <c r="J919" i="1"/>
  <c r="K919" i="1"/>
  <c r="L919" i="1"/>
  <c r="J920" i="1"/>
  <c r="K920" i="1"/>
  <c r="L920" i="1"/>
  <c r="J921" i="1"/>
  <c r="K921" i="1"/>
  <c r="L921" i="1"/>
  <c r="J922" i="1"/>
  <c r="K922" i="1"/>
  <c r="L922" i="1"/>
  <c r="J923" i="1"/>
  <c r="K923" i="1"/>
  <c r="L923" i="1"/>
  <c r="J924" i="1"/>
  <c r="K924" i="1"/>
  <c r="L924" i="1"/>
  <c r="J925" i="1"/>
  <c r="K925" i="1"/>
  <c r="L925" i="1"/>
  <c r="J926" i="1"/>
  <c r="K926" i="1"/>
  <c r="L926" i="1"/>
  <c r="J927" i="1"/>
  <c r="K927" i="1"/>
  <c r="L927" i="1"/>
  <c r="J928" i="1"/>
  <c r="K928" i="1"/>
  <c r="L928" i="1"/>
  <c r="J929" i="1"/>
  <c r="K929" i="1"/>
  <c r="L929" i="1"/>
  <c r="J930" i="1"/>
  <c r="K930" i="1"/>
  <c r="L930" i="1"/>
  <c r="J931" i="1"/>
  <c r="K931" i="1"/>
  <c r="L931" i="1"/>
  <c r="J932" i="1"/>
  <c r="K932" i="1"/>
  <c r="L932" i="1"/>
  <c r="J933" i="1"/>
  <c r="K933" i="1"/>
  <c r="L933" i="1"/>
  <c r="J934" i="1"/>
  <c r="K934" i="1"/>
  <c r="L934" i="1"/>
  <c r="J935" i="1"/>
  <c r="K935" i="1"/>
  <c r="L935" i="1"/>
  <c r="J936" i="1"/>
  <c r="K936" i="1"/>
  <c r="L936" i="1"/>
  <c r="J937" i="1"/>
  <c r="K937" i="1"/>
  <c r="L937" i="1"/>
  <c r="J938" i="1"/>
  <c r="K938" i="1"/>
  <c r="L938" i="1"/>
  <c r="J939" i="1"/>
  <c r="K939" i="1"/>
  <c r="L939" i="1"/>
  <c r="J940" i="1"/>
  <c r="K940" i="1"/>
  <c r="L940" i="1"/>
  <c r="J941" i="1"/>
  <c r="K941" i="1"/>
  <c r="L941" i="1"/>
  <c r="J942" i="1"/>
  <c r="K942" i="1"/>
  <c r="L942" i="1"/>
  <c r="J943" i="1"/>
  <c r="K943" i="1"/>
  <c r="L943" i="1"/>
  <c r="J944" i="1"/>
  <c r="K944" i="1"/>
  <c r="L944" i="1"/>
  <c r="J945" i="1"/>
  <c r="K945" i="1"/>
  <c r="L945" i="1"/>
  <c r="J946" i="1"/>
  <c r="K946" i="1"/>
  <c r="L946" i="1"/>
  <c r="J947" i="1"/>
  <c r="K947" i="1"/>
  <c r="L947" i="1"/>
  <c r="J948" i="1"/>
  <c r="K948" i="1"/>
  <c r="L948" i="1"/>
  <c r="J949" i="1"/>
  <c r="K949" i="1"/>
  <c r="L949" i="1"/>
  <c r="J950" i="1"/>
  <c r="K950" i="1"/>
  <c r="L950" i="1"/>
  <c r="J951" i="1"/>
  <c r="K951" i="1"/>
  <c r="L951" i="1"/>
  <c r="J720" i="1"/>
  <c r="K720" i="1"/>
  <c r="L720" i="1"/>
  <c r="J721" i="1"/>
  <c r="K721" i="1"/>
  <c r="L721" i="1"/>
  <c r="J722" i="1"/>
  <c r="K722" i="1"/>
  <c r="L722" i="1"/>
  <c r="J723" i="1"/>
  <c r="K723" i="1"/>
  <c r="L723" i="1"/>
  <c r="J724" i="1"/>
  <c r="K724" i="1"/>
  <c r="L724" i="1"/>
  <c r="J725" i="1"/>
  <c r="K725" i="1"/>
  <c r="L725" i="1"/>
  <c r="J726" i="1"/>
  <c r="K726" i="1"/>
  <c r="L726" i="1"/>
  <c r="J727" i="1"/>
  <c r="K727" i="1"/>
  <c r="L727" i="1"/>
  <c r="J728" i="1"/>
  <c r="K728" i="1"/>
  <c r="L728" i="1"/>
  <c r="J729" i="1"/>
  <c r="K729" i="1"/>
  <c r="L729" i="1"/>
  <c r="J730" i="1"/>
  <c r="K730" i="1"/>
  <c r="L730" i="1"/>
  <c r="J731" i="1"/>
  <c r="K731" i="1"/>
  <c r="L731" i="1"/>
  <c r="J732" i="1"/>
  <c r="K732" i="1"/>
  <c r="L732" i="1"/>
  <c r="J733" i="1"/>
  <c r="K733" i="1"/>
  <c r="L733" i="1"/>
  <c r="J734" i="1"/>
  <c r="K734" i="1"/>
  <c r="L734" i="1"/>
  <c r="J735" i="1"/>
  <c r="K735" i="1"/>
  <c r="L735" i="1"/>
  <c r="J736" i="1"/>
  <c r="K736" i="1"/>
  <c r="L736" i="1"/>
  <c r="J737" i="1"/>
  <c r="K737" i="1"/>
  <c r="L737" i="1"/>
  <c r="J738" i="1"/>
  <c r="K738" i="1"/>
  <c r="L738" i="1"/>
  <c r="J739" i="1"/>
  <c r="K739" i="1"/>
  <c r="L739" i="1"/>
  <c r="J740" i="1"/>
  <c r="K740" i="1"/>
  <c r="L740" i="1"/>
  <c r="J741" i="1"/>
  <c r="K741" i="1"/>
  <c r="L741" i="1"/>
  <c r="J742" i="1"/>
  <c r="K742" i="1"/>
  <c r="L742" i="1"/>
  <c r="J743" i="1"/>
  <c r="K743" i="1"/>
  <c r="L743" i="1"/>
  <c r="J744" i="1"/>
  <c r="K744" i="1"/>
  <c r="L744" i="1"/>
  <c r="J745" i="1"/>
  <c r="K745" i="1"/>
  <c r="L745" i="1"/>
  <c r="J746" i="1"/>
  <c r="K746" i="1"/>
  <c r="L746" i="1"/>
  <c r="J747" i="1"/>
  <c r="K747" i="1"/>
  <c r="L747" i="1"/>
  <c r="J748" i="1"/>
  <c r="K748" i="1"/>
  <c r="L748" i="1"/>
  <c r="J749" i="1"/>
  <c r="K749" i="1"/>
  <c r="L749" i="1"/>
  <c r="J750" i="1"/>
  <c r="K750" i="1"/>
  <c r="L750" i="1"/>
  <c r="J751" i="1"/>
  <c r="K751" i="1"/>
  <c r="L751" i="1"/>
  <c r="J752" i="1"/>
  <c r="K752" i="1"/>
  <c r="L752" i="1"/>
  <c r="J753" i="1"/>
  <c r="K753" i="1"/>
  <c r="L753" i="1"/>
  <c r="J754" i="1"/>
  <c r="K754" i="1"/>
  <c r="L754" i="1"/>
  <c r="J755" i="1"/>
  <c r="K755" i="1"/>
  <c r="L755" i="1"/>
  <c r="J756" i="1"/>
  <c r="K756" i="1"/>
  <c r="L756" i="1"/>
  <c r="J757" i="1"/>
  <c r="K757" i="1"/>
  <c r="L757" i="1"/>
  <c r="J758" i="1"/>
  <c r="K758" i="1"/>
  <c r="L758" i="1"/>
  <c r="J759" i="1"/>
  <c r="K759" i="1"/>
  <c r="L759" i="1"/>
  <c r="J760" i="1"/>
  <c r="K760" i="1"/>
  <c r="L760" i="1"/>
  <c r="J761" i="1"/>
  <c r="K761" i="1"/>
  <c r="L761" i="1"/>
  <c r="J762" i="1"/>
  <c r="K762" i="1"/>
  <c r="L762" i="1"/>
  <c r="J763" i="1"/>
  <c r="K763" i="1"/>
  <c r="L763" i="1"/>
  <c r="J764" i="1"/>
  <c r="K764" i="1"/>
  <c r="L764" i="1"/>
  <c r="J765" i="1"/>
  <c r="K765" i="1"/>
  <c r="L765" i="1"/>
  <c r="J766" i="1"/>
  <c r="K766" i="1"/>
  <c r="L766" i="1"/>
  <c r="J767" i="1"/>
  <c r="K767" i="1"/>
  <c r="L767" i="1"/>
  <c r="J768" i="1"/>
  <c r="K768" i="1"/>
  <c r="L768" i="1"/>
  <c r="J769" i="1"/>
  <c r="K769" i="1"/>
  <c r="L769" i="1"/>
  <c r="J770" i="1"/>
  <c r="K770" i="1"/>
  <c r="L770" i="1"/>
  <c r="J771" i="1"/>
  <c r="K771" i="1"/>
  <c r="L771" i="1"/>
  <c r="J772" i="1"/>
  <c r="K772" i="1"/>
  <c r="L772" i="1"/>
  <c r="J773" i="1"/>
  <c r="K773" i="1"/>
  <c r="L773" i="1"/>
  <c r="J774" i="1"/>
  <c r="K774" i="1"/>
  <c r="L774" i="1"/>
  <c r="J775" i="1"/>
  <c r="K775" i="1"/>
  <c r="L775" i="1"/>
  <c r="J776" i="1"/>
  <c r="K776" i="1"/>
  <c r="L776" i="1"/>
  <c r="J777" i="1"/>
  <c r="K777" i="1"/>
  <c r="L777" i="1"/>
  <c r="J778" i="1"/>
  <c r="K778" i="1"/>
  <c r="L778" i="1"/>
  <c r="J779" i="1"/>
  <c r="K779" i="1"/>
  <c r="L779" i="1"/>
  <c r="J780" i="1"/>
  <c r="K780" i="1"/>
  <c r="L780" i="1"/>
  <c r="J781" i="1"/>
  <c r="K781" i="1"/>
  <c r="L781" i="1"/>
  <c r="J782" i="1"/>
  <c r="K782" i="1"/>
  <c r="L782" i="1"/>
  <c r="J783" i="1"/>
  <c r="K783" i="1"/>
  <c r="L783" i="1"/>
  <c r="J784" i="1"/>
  <c r="K784" i="1"/>
  <c r="L784" i="1"/>
  <c r="J785" i="1"/>
  <c r="K785" i="1"/>
  <c r="L785" i="1"/>
  <c r="J786" i="1"/>
  <c r="K786" i="1"/>
  <c r="L786" i="1"/>
  <c r="J787" i="1"/>
  <c r="K787" i="1"/>
  <c r="L787" i="1"/>
  <c r="J788" i="1"/>
  <c r="K788" i="1"/>
  <c r="L788" i="1"/>
  <c r="J789" i="1"/>
  <c r="K789" i="1"/>
  <c r="L789" i="1"/>
  <c r="J790" i="1"/>
  <c r="K790" i="1"/>
  <c r="L790" i="1"/>
  <c r="J791" i="1"/>
  <c r="K791" i="1"/>
  <c r="L791" i="1"/>
  <c r="J792" i="1"/>
  <c r="K792" i="1"/>
  <c r="L792" i="1"/>
  <c r="J793" i="1"/>
  <c r="K793" i="1"/>
  <c r="L793" i="1"/>
  <c r="J794" i="1"/>
  <c r="K794" i="1"/>
  <c r="L794" i="1"/>
  <c r="J795" i="1"/>
  <c r="K795" i="1"/>
  <c r="L795" i="1"/>
  <c r="J796" i="1"/>
  <c r="K796" i="1"/>
  <c r="L796" i="1"/>
  <c r="J797" i="1"/>
  <c r="K797" i="1"/>
  <c r="L797" i="1"/>
  <c r="J798" i="1"/>
  <c r="K798" i="1"/>
  <c r="L798" i="1"/>
  <c r="J799" i="1"/>
  <c r="K799" i="1"/>
  <c r="L799" i="1"/>
  <c r="J800" i="1"/>
  <c r="K800" i="1"/>
  <c r="L800" i="1"/>
  <c r="J801" i="1"/>
  <c r="K801" i="1"/>
  <c r="L801" i="1"/>
  <c r="J667" i="1"/>
  <c r="K667" i="1"/>
  <c r="L667" i="1"/>
  <c r="J668" i="1"/>
  <c r="K668" i="1"/>
  <c r="L668" i="1"/>
  <c r="J669" i="1"/>
  <c r="K669" i="1"/>
  <c r="L669" i="1"/>
  <c r="J670" i="1"/>
  <c r="K670" i="1"/>
  <c r="L670" i="1"/>
  <c r="J671" i="1"/>
  <c r="K671" i="1"/>
  <c r="L671" i="1"/>
  <c r="J672" i="1"/>
  <c r="K672" i="1"/>
  <c r="L672" i="1"/>
  <c r="J673" i="1"/>
  <c r="K673" i="1"/>
  <c r="L673" i="1"/>
  <c r="J674" i="1"/>
  <c r="K674" i="1"/>
  <c r="L674" i="1"/>
  <c r="J675" i="1"/>
  <c r="K675" i="1"/>
  <c r="L675" i="1"/>
  <c r="J676" i="1"/>
  <c r="K676" i="1"/>
  <c r="L676" i="1"/>
  <c r="J677" i="1"/>
  <c r="K677" i="1"/>
  <c r="L677" i="1"/>
  <c r="J678" i="1"/>
  <c r="K678" i="1"/>
  <c r="L678" i="1"/>
  <c r="J679" i="1"/>
  <c r="K679" i="1"/>
  <c r="L679" i="1"/>
  <c r="J680" i="1"/>
  <c r="K680" i="1"/>
  <c r="L680" i="1"/>
  <c r="J681" i="1"/>
  <c r="K681" i="1"/>
  <c r="L681" i="1"/>
  <c r="J682" i="1"/>
  <c r="K682" i="1"/>
  <c r="L682" i="1"/>
  <c r="J683" i="1"/>
  <c r="K683" i="1"/>
  <c r="L683" i="1"/>
  <c r="J684" i="1"/>
  <c r="K684" i="1"/>
  <c r="L684" i="1"/>
  <c r="J685" i="1"/>
  <c r="K685" i="1"/>
  <c r="L685" i="1"/>
  <c r="J686" i="1"/>
  <c r="K686" i="1"/>
  <c r="L686" i="1"/>
  <c r="J687" i="1"/>
  <c r="K687" i="1"/>
  <c r="L687" i="1"/>
  <c r="J688" i="1"/>
  <c r="K688" i="1"/>
  <c r="L688" i="1"/>
  <c r="J689" i="1"/>
  <c r="K689" i="1"/>
  <c r="L689" i="1"/>
  <c r="J690" i="1"/>
  <c r="K690" i="1"/>
  <c r="L690" i="1"/>
  <c r="J691" i="1"/>
  <c r="K691" i="1"/>
  <c r="L691" i="1"/>
  <c r="J692" i="1"/>
  <c r="K692" i="1"/>
  <c r="L692" i="1"/>
  <c r="J693" i="1"/>
  <c r="K693" i="1"/>
  <c r="L693" i="1"/>
  <c r="J694" i="1"/>
  <c r="K694" i="1"/>
  <c r="L694" i="1"/>
  <c r="J695" i="1"/>
  <c r="K695" i="1"/>
  <c r="L695" i="1"/>
  <c r="J696" i="1"/>
  <c r="K696" i="1"/>
  <c r="L696" i="1"/>
  <c r="J697" i="1"/>
  <c r="K697" i="1"/>
  <c r="L697" i="1"/>
  <c r="J698" i="1"/>
  <c r="K698" i="1"/>
  <c r="L698" i="1"/>
  <c r="J699" i="1"/>
  <c r="K699" i="1"/>
  <c r="L699" i="1"/>
  <c r="J700" i="1"/>
  <c r="K700" i="1"/>
  <c r="L700" i="1"/>
  <c r="J701" i="1"/>
  <c r="K701" i="1"/>
  <c r="L701" i="1"/>
  <c r="J702" i="1"/>
  <c r="K702" i="1"/>
  <c r="L702" i="1"/>
  <c r="J703" i="1"/>
  <c r="K703" i="1"/>
  <c r="L703" i="1"/>
  <c r="J704" i="1"/>
  <c r="K704" i="1"/>
  <c r="L704" i="1"/>
  <c r="J705" i="1"/>
  <c r="K705" i="1"/>
  <c r="L705" i="1"/>
  <c r="J706" i="1"/>
  <c r="K706" i="1"/>
  <c r="L706" i="1"/>
  <c r="J707" i="1"/>
  <c r="K707" i="1"/>
  <c r="L707" i="1"/>
  <c r="J708" i="1"/>
  <c r="K708" i="1"/>
  <c r="L708" i="1"/>
  <c r="J709" i="1"/>
  <c r="K709" i="1"/>
  <c r="L709" i="1"/>
  <c r="J710" i="1"/>
  <c r="K710" i="1"/>
  <c r="L710" i="1"/>
  <c r="J711" i="1"/>
  <c r="K711" i="1"/>
  <c r="L711" i="1"/>
  <c r="J712" i="1"/>
  <c r="K712" i="1"/>
  <c r="L712" i="1"/>
  <c r="J713" i="1"/>
  <c r="K713" i="1"/>
  <c r="L713" i="1"/>
  <c r="J714" i="1"/>
  <c r="K714" i="1"/>
  <c r="L714" i="1"/>
  <c r="J715" i="1"/>
  <c r="K715" i="1"/>
  <c r="L715" i="1"/>
  <c r="J716" i="1"/>
  <c r="K716" i="1"/>
  <c r="L716" i="1"/>
  <c r="J717" i="1"/>
  <c r="K717" i="1"/>
  <c r="L717" i="1"/>
  <c r="J718" i="1"/>
  <c r="K718" i="1"/>
  <c r="L718" i="1"/>
  <c r="J719" i="1"/>
  <c r="K719" i="1"/>
  <c r="L719" i="1"/>
  <c r="J590" i="1"/>
  <c r="K590" i="1"/>
  <c r="L590" i="1"/>
  <c r="J591" i="1"/>
  <c r="K591" i="1"/>
  <c r="L591" i="1"/>
  <c r="J592" i="1"/>
  <c r="K592" i="1"/>
  <c r="L592" i="1"/>
  <c r="J593" i="1"/>
  <c r="K593" i="1"/>
  <c r="L593" i="1"/>
  <c r="J594" i="1"/>
  <c r="K594" i="1"/>
  <c r="L594" i="1"/>
  <c r="J595" i="1"/>
  <c r="K595" i="1"/>
  <c r="L595" i="1"/>
  <c r="J596" i="1"/>
  <c r="K596" i="1"/>
  <c r="L596" i="1"/>
  <c r="J597" i="1"/>
  <c r="K597" i="1"/>
  <c r="L597" i="1"/>
  <c r="J598" i="1"/>
  <c r="K598" i="1"/>
  <c r="L598" i="1"/>
  <c r="J599" i="1"/>
  <c r="K599" i="1"/>
  <c r="L599" i="1"/>
  <c r="J600" i="1"/>
  <c r="K600" i="1"/>
  <c r="L600" i="1"/>
  <c r="J601" i="1"/>
  <c r="K601" i="1"/>
  <c r="L601" i="1"/>
  <c r="J602" i="1"/>
  <c r="K602" i="1"/>
  <c r="L602" i="1"/>
  <c r="J603" i="1"/>
  <c r="K603" i="1"/>
  <c r="L603" i="1"/>
  <c r="J604" i="1"/>
  <c r="K604" i="1"/>
  <c r="L604" i="1"/>
  <c r="J605" i="1"/>
  <c r="K605" i="1"/>
  <c r="L605" i="1"/>
  <c r="J606" i="1"/>
  <c r="K606" i="1"/>
  <c r="L606" i="1"/>
  <c r="J607" i="1"/>
  <c r="K607" i="1"/>
  <c r="L607" i="1"/>
  <c r="J608" i="1"/>
  <c r="K608" i="1"/>
  <c r="L608" i="1"/>
  <c r="J609" i="1"/>
  <c r="K609" i="1"/>
  <c r="L609" i="1"/>
  <c r="J610" i="1"/>
  <c r="K610" i="1"/>
  <c r="L610" i="1"/>
  <c r="J611" i="1"/>
  <c r="K611" i="1"/>
  <c r="L611" i="1"/>
  <c r="J612" i="1"/>
  <c r="K612" i="1"/>
  <c r="L612" i="1"/>
  <c r="J613" i="1"/>
  <c r="K613" i="1"/>
  <c r="L613" i="1"/>
  <c r="J614" i="1"/>
  <c r="K614" i="1"/>
  <c r="L614" i="1"/>
  <c r="J615" i="1"/>
  <c r="K615" i="1"/>
  <c r="L615" i="1"/>
  <c r="J616" i="1"/>
  <c r="K616" i="1"/>
  <c r="L616" i="1"/>
  <c r="J617" i="1"/>
  <c r="K617" i="1"/>
  <c r="L617" i="1"/>
  <c r="J618" i="1"/>
  <c r="K618" i="1"/>
  <c r="L618" i="1"/>
  <c r="J619" i="1"/>
  <c r="K619" i="1"/>
  <c r="L619" i="1"/>
  <c r="J620" i="1"/>
  <c r="K620" i="1"/>
  <c r="L620" i="1"/>
  <c r="J621" i="1"/>
  <c r="K621" i="1"/>
  <c r="L621" i="1"/>
  <c r="J622" i="1"/>
  <c r="K622" i="1"/>
  <c r="L622" i="1"/>
  <c r="J623" i="1"/>
  <c r="K623" i="1"/>
  <c r="L623" i="1"/>
  <c r="J624" i="1"/>
  <c r="K624" i="1"/>
  <c r="L624" i="1"/>
  <c r="J625" i="1"/>
  <c r="K625" i="1"/>
  <c r="L625" i="1"/>
  <c r="J626" i="1"/>
  <c r="K626" i="1"/>
  <c r="L626" i="1"/>
  <c r="J627" i="1"/>
  <c r="K627" i="1"/>
  <c r="L627" i="1"/>
  <c r="J628" i="1"/>
  <c r="K628" i="1"/>
  <c r="L628" i="1"/>
  <c r="J629" i="1"/>
  <c r="K629" i="1"/>
  <c r="L629" i="1"/>
  <c r="J630" i="1"/>
  <c r="K630" i="1"/>
  <c r="L630" i="1"/>
  <c r="J631" i="1"/>
  <c r="K631" i="1"/>
  <c r="L631" i="1"/>
  <c r="J632" i="1"/>
  <c r="K632" i="1"/>
  <c r="L632" i="1"/>
  <c r="J633" i="1"/>
  <c r="K633" i="1"/>
  <c r="L633" i="1"/>
  <c r="J634" i="1"/>
  <c r="K634" i="1"/>
  <c r="L634" i="1"/>
  <c r="J635" i="1"/>
  <c r="K635" i="1"/>
  <c r="L635" i="1"/>
  <c r="J636" i="1"/>
  <c r="K636" i="1"/>
  <c r="L636" i="1"/>
  <c r="J637" i="1"/>
  <c r="K637" i="1"/>
  <c r="L637" i="1"/>
  <c r="J638" i="1"/>
  <c r="K638" i="1"/>
  <c r="L638" i="1"/>
  <c r="J639" i="1"/>
  <c r="K639" i="1"/>
  <c r="L639" i="1"/>
  <c r="J640" i="1"/>
  <c r="K640" i="1"/>
  <c r="L640" i="1"/>
  <c r="J641" i="1"/>
  <c r="K641" i="1"/>
  <c r="L641" i="1"/>
  <c r="J642" i="1"/>
  <c r="K642" i="1"/>
  <c r="L642" i="1"/>
  <c r="J643" i="1"/>
  <c r="K643" i="1"/>
  <c r="L643" i="1"/>
  <c r="J644" i="1"/>
  <c r="K644" i="1"/>
  <c r="L644" i="1"/>
  <c r="J645" i="1"/>
  <c r="K645" i="1"/>
  <c r="L645" i="1"/>
  <c r="J646" i="1"/>
  <c r="K646" i="1"/>
  <c r="L646" i="1"/>
  <c r="J647" i="1"/>
  <c r="K647" i="1"/>
  <c r="L647" i="1"/>
  <c r="J648" i="1"/>
  <c r="K648" i="1"/>
  <c r="L648" i="1"/>
  <c r="J649" i="1"/>
  <c r="K649" i="1"/>
  <c r="L649" i="1"/>
  <c r="J650" i="1"/>
  <c r="K650" i="1"/>
  <c r="L650" i="1"/>
  <c r="J651" i="1"/>
  <c r="K651" i="1"/>
  <c r="L651" i="1"/>
  <c r="J652" i="1"/>
  <c r="K652" i="1"/>
  <c r="L652" i="1"/>
  <c r="J653" i="1"/>
  <c r="K653" i="1"/>
  <c r="L653" i="1"/>
  <c r="J654" i="1"/>
  <c r="K654" i="1"/>
  <c r="L654" i="1"/>
  <c r="J655" i="1"/>
  <c r="K655" i="1"/>
  <c r="L655" i="1"/>
  <c r="J656" i="1"/>
  <c r="K656" i="1"/>
  <c r="L656" i="1"/>
  <c r="J657" i="1"/>
  <c r="K657" i="1"/>
  <c r="L657" i="1"/>
  <c r="J658" i="1"/>
  <c r="K658" i="1"/>
  <c r="L658" i="1"/>
  <c r="J659" i="1"/>
  <c r="K659" i="1"/>
  <c r="L659" i="1"/>
  <c r="J660" i="1"/>
  <c r="K660" i="1"/>
  <c r="L660" i="1"/>
  <c r="J661" i="1"/>
  <c r="K661" i="1"/>
  <c r="L661" i="1"/>
  <c r="J662" i="1"/>
  <c r="K662" i="1"/>
  <c r="L662" i="1"/>
  <c r="J663" i="1"/>
  <c r="K663" i="1"/>
  <c r="L663" i="1"/>
  <c r="J664" i="1"/>
  <c r="K664" i="1"/>
  <c r="L664" i="1"/>
  <c r="J665" i="1"/>
  <c r="K665" i="1"/>
  <c r="L665" i="1"/>
  <c r="J666" i="1"/>
  <c r="K666" i="1"/>
  <c r="L666" i="1"/>
  <c r="J469" i="1"/>
  <c r="K469" i="1"/>
  <c r="L469" i="1"/>
  <c r="J470" i="1"/>
  <c r="K470" i="1"/>
  <c r="L470" i="1"/>
  <c r="J471" i="1"/>
  <c r="K471" i="1"/>
  <c r="L471" i="1"/>
  <c r="J472" i="1"/>
  <c r="K472" i="1"/>
  <c r="L472" i="1"/>
  <c r="J473" i="1"/>
  <c r="K473" i="1"/>
  <c r="L473" i="1"/>
  <c r="J474" i="1"/>
  <c r="K474" i="1"/>
  <c r="L474" i="1"/>
  <c r="J475" i="1"/>
  <c r="K475" i="1"/>
  <c r="L475" i="1"/>
  <c r="J476" i="1"/>
  <c r="K476" i="1"/>
  <c r="L476" i="1"/>
  <c r="J477" i="1"/>
  <c r="K477" i="1"/>
  <c r="L477" i="1"/>
  <c r="J478" i="1"/>
  <c r="K478" i="1"/>
  <c r="L478" i="1"/>
  <c r="J479" i="1"/>
  <c r="K479" i="1"/>
  <c r="L479" i="1"/>
  <c r="J480" i="1"/>
  <c r="K480" i="1"/>
  <c r="L480" i="1"/>
  <c r="J481" i="1"/>
  <c r="K481" i="1"/>
  <c r="L481" i="1"/>
  <c r="J482" i="1"/>
  <c r="K482" i="1"/>
  <c r="L482" i="1"/>
  <c r="J483" i="1"/>
  <c r="K483" i="1"/>
  <c r="L483" i="1"/>
  <c r="J484" i="1"/>
  <c r="K484" i="1"/>
  <c r="L484" i="1"/>
  <c r="J485" i="1"/>
  <c r="K485" i="1"/>
  <c r="L485" i="1"/>
  <c r="J486" i="1"/>
  <c r="K486" i="1"/>
  <c r="L486" i="1"/>
  <c r="J487" i="1"/>
  <c r="K487" i="1"/>
  <c r="L487" i="1"/>
  <c r="J488" i="1"/>
  <c r="K488" i="1"/>
  <c r="L488" i="1"/>
  <c r="J489" i="1"/>
  <c r="K489" i="1"/>
  <c r="L489" i="1"/>
  <c r="J490" i="1"/>
  <c r="K490" i="1"/>
  <c r="L490" i="1"/>
  <c r="J491" i="1"/>
  <c r="K491" i="1"/>
  <c r="L491" i="1"/>
  <c r="J492" i="1"/>
  <c r="K492" i="1"/>
  <c r="L492" i="1"/>
  <c r="J493" i="1"/>
  <c r="K493" i="1"/>
  <c r="L493" i="1"/>
  <c r="J494" i="1"/>
  <c r="K494" i="1"/>
  <c r="L494" i="1"/>
  <c r="J495" i="1"/>
  <c r="K495" i="1"/>
  <c r="L495" i="1"/>
  <c r="J496" i="1"/>
  <c r="K496" i="1"/>
  <c r="L496" i="1"/>
  <c r="J497" i="1"/>
  <c r="K497" i="1"/>
  <c r="L497" i="1"/>
  <c r="J498" i="1"/>
  <c r="K498" i="1"/>
  <c r="L498" i="1"/>
  <c r="J499" i="1"/>
  <c r="K499" i="1"/>
  <c r="L499" i="1"/>
  <c r="J500" i="1"/>
  <c r="K500" i="1"/>
  <c r="L500" i="1"/>
  <c r="J501" i="1"/>
  <c r="K501" i="1"/>
  <c r="L501" i="1"/>
  <c r="J502" i="1"/>
  <c r="K502" i="1"/>
  <c r="L502" i="1"/>
  <c r="J503" i="1"/>
  <c r="K503" i="1"/>
  <c r="L503" i="1"/>
  <c r="J504" i="1"/>
  <c r="K504" i="1"/>
  <c r="L504" i="1"/>
  <c r="J505" i="1"/>
  <c r="K505" i="1"/>
  <c r="L505" i="1"/>
  <c r="J506" i="1"/>
  <c r="K506" i="1"/>
  <c r="L506" i="1"/>
  <c r="J507" i="1"/>
  <c r="K507" i="1"/>
  <c r="L507" i="1"/>
  <c r="J508" i="1"/>
  <c r="K508" i="1"/>
  <c r="L508" i="1"/>
  <c r="J509" i="1"/>
  <c r="K509" i="1"/>
  <c r="L509" i="1"/>
  <c r="J510" i="1"/>
  <c r="K510" i="1"/>
  <c r="L510" i="1"/>
  <c r="J511" i="1"/>
  <c r="K511" i="1"/>
  <c r="L511" i="1"/>
  <c r="J512" i="1"/>
  <c r="K512" i="1"/>
  <c r="L512" i="1"/>
  <c r="J513" i="1"/>
  <c r="K513" i="1"/>
  <c r="L513" i="1"/>
  <c r="J514" i="1"/>
  <c r="K514" i="1"/>
  <c r="L514" i="1"/>
  <c r="J515" i="1"/>
  <c r="K515" i="1"/>
  <c r="L515" i="1"/>
  <c r="J516" i="1"/>
  <c r="K516" i="1"/>
  <c r="L516" i="1"/>
  <c r="J517" i="1"/>
  <c r="K517" i="1"/>
  <c r="L517" i="1"/>
  <c r="J518" i="1"/>
  <c r="K518" i="1"/>
  <c r="L518" i="1"/>
  <c r="J519" i="1"/>
  <c r="K519" i="1"/>
  <c r="L519" i="1"/>
  <c r="J520" i="1"/>
  <c r="K520" i="1"/>
  <c r="L520" i="1"/>
  <c r="J521" i="1"/>
  <c r="K521" i="1"/>
  <c r="L521" i="1"/>
  <c r="J522" i="1"/>
  <c r="K522" i="1"/>
  <c r="L522" i="1"/>
  <c r="J523" i="1"/>
  <c r="K523" i="1"/>
  <c r="L523" i="1"/>
  <c r="J524" i="1"/>
  <c r="K524" i="1"/>
  <c r="L524" i="1"/>
  <c r="J525" i="1"/>
  <c r="K525" i="1"/>
  <c r="L525" i="1"/>
  <c r="J526" i="1"/>
  <c r="K526" i="1"/>
  <c r="L526" i="1"/>
  <c r="J527" i="1"/>
  <c r="K527" i="1"/>
  <c r="L527" i="1"/>
  <c r="J528" i="1"/>
  <c r="K528" i="1"/>
  <c r="L528" i="1"/>
  <c r="J529" i="1"/>
  <c r="K529" i="1"/>
  <c r="L529" i="1"/>
  <c r="J530" i="1"/>
  <c r="K530" i="1"/>
  <c r="L530" i="1"/>
  <c r="J531" i="1"/>
  <c r="K531" i="1"/>
  <c r="L531" i="1"/>
  <c r="J532" i="1"/>
  <c r="K532" i="1"/>
  <c r="L532" i="1"/>
  <c r="J533" i="1"/>
  <c r="K533" i="1"/>
  <c r="L533" i="1"/>
  <c r="J534" i="1"/>
  <c r="K534" i="1"/>
  <c r="L534" i="1"/>
  <c r="J535" i="1"/>
  <c r="K535" i="1"/>
  <c r="L535" i="1"/>
  <c r="J536" i="1"/>
  <c r="K536" i="1"/>
  <c r="L536" i="1"/>
  <c r="J537" i="1"/>
  <c r="K537" i="1"/>
  <c r="L537" i="1"/>
  <c r="J538" i="1"/>
  <c r="K538" i="1"/>
  <c r="L538" i="1"/>
  <c r="J539" i="1"/>
  <c r="K539" i="1"/>
  <c r="L539" i="1"/>
  <c r="J540" i="1"/>
  <c r="K540" i="1"/>
  <c r="L540" i="1"/>
  <c r="J541" i="1"/>
  <c r="K541" i="1"/>
  <c r="L541" i="1"/>
  <c r="J542" i="1"/>
  <c r="K542" i="1"/>
  <c r="L542" i="1"/>
  <c r="J543" i="1"/>
  <c r="K543" i="1"/>
  <c r="L543" i="1"/>
  <c r="J544" i="1"/>
  <c r="K544" i="1"/>
  <c r="L544" i="1"/>
  <c r="J545" i="1"/>
  <c r="K545" i="1"/>
  <c r="L545" i="1"/>
  <c r="J546" i="1"/>
  <c r="K546" i="1"/>
  <c r="L546" i="1"/>
  <c r="J547" i="1"/>
  <c r="K547" i="1"/>
  <c r="L547" i="1"/>
  <c r="J548" i="1"/>
  <c r="K548" i="1"/>
  <c r="L548" i="1"/>
  <c r="J549" i="1"/>
  <c r="K549" i="1"/>
  <c r="L549" i="1"/>
  <c r="J550" i="1"/>
  <c r="K550" i="1"/>
  <c r="L550" i="1"/>
  <c r="J551" i="1"/>
  <c r="K551" i="1"/>
  <c r="L551" i="1"/>
  <c r="J552" i="1"/>
  <c r="K552" i="1"/>
  <c r="L552" i="1"/>
  <c r="J553" i="1"/>
  <c r="K553" i="1"/>
  <c r="L553" i="1"/>
  <c r="J554" i="1"/>
  <c r="K554" i="1"/>
  <c r="L554" i="1"/>
  <c r="J555" i="1"/>
  <c r="K555" i="1"/>
  <c r="L555" i="1"/>
  <c r="J556" i="1"/>
  <c r="K556" i="1"/>
  <c r="L556" i="1"/>
  <c r="J557" i="1"/>
  <c r="K557" i="1"/>
  <c r="L557" i="1"/>
  <c r="J558" i="1"/>
  <c r="K558" i="1"/>
  <c r="L558" i="1"/>
  <c r="J559" i="1"/>
  <c r="K559" i="1"/>
  <c r="L559" i="1"/>
  <c r="J560" i="1"/>
  <c r="K560" i="1"/>
  <c r="L560" i="1"/>
  <c r="J561" i="1"/>
  <c r="K561" i="1"/>
  <c r="L561" i="1"/>
  <c r="J562" i="1"/>
  <c r="K562" i="1"/>
  <c r="L562" i="1"/>
  <c r="J563" i="1"/>
  <c r="K563" i="1"/>
  <c r="L563" i="1"/>
  <c r="J564" i="1"/>
  <c r="K564" i="1"/>
  <c r="L564" i="1"/>
  <c r="J565" i="1"/>
  <c r="K565" i="1"/>
  <c r="L565" i="1"/>
  <c r="J566" i="1"/>
  <c r="K566" i="1"/>
  <c r="L566" i="1"/>
  <c r="J567" i="1"/>
  <c r="K567" i="1"/>
  <c r="L567" i="1"/>
  <c r="J568" i="1"/>
  <c r="K568" i="1"/>
  <c r="L568" i="1"/>
  <c r="J569" i="1"/>
  <c r="K569" i="1"/>
  <c r="L569" i="1"/>
  <c r="J570" i="1"/>
  <c r="K570" i="1"/>
  <c r="L570" i="1"/>
  <c r="J571" i="1"/>
  <c r="K571" i="1"/>
  <c r="L571" i="1"/>
  <c r="J572" i="1"/>
  <c r="K572" i="1"/>
  <c r="L572" i="1"/>
  <c r="J573" i="1"/>
  <c r="K573" i="1"/>
  <c r="L573" i="1"/>
  <c r="J574" i="1"/>
  <c r="K574" i="1"/>
  <c r="L574" i="1"/>
  <c r="J575" i="1"/>
  <c r="K575" i="1"/>
  <c r="L575" i="1"/>
  <c r="J576" i="1"/>
  <c r="K576" i="1"/>
  <c r="L576" i="1"/>
  <c r="J577" i="1"/>
  <c r="K577" i="1"/>
  <c r="L577" i="1"/>
  <c r="J578" i="1"/>
  <c r="K578" i="1"/>
  <c r="L578" i="1"/>
  <c r="J579" i="1"/>
  <c r="K579" i="1"/>
  <c r="L579" i="1"/>
  <c r="J580" i="1"/>
  <c r="K580" i="1"/>
  <c r="L580" i="1"/>
  <c r="J581" i="1"/>
  <c r="K581" i="1"/>
  <c r="L581" i="1"/>
  <c r="J582" i="1"/>
  <c r="K582" i="1"/>
  <c r="L582" i="1"/>
  <c r="J583" i="1"/>
  <c r="K583" i="1"/>
  <c r="L583" i="1"/>
  <c r="J584" i="1"/>
  <c r="K584" i="1"/>
  <c r="L584" i="1"/>
  <c r="J585" i="1"/>
  <c r="K585" i="1"/>
  <c r="L585" i="1"/>
  <c r="J586" i="1"/>
  <c r="K586" i="1"/>
  <c r="L586" i="1"/>
  <c r="J587" i="1"/>
  <c r="K587" i="1"/>
  <c r="L587" i="1"/>
  <c r="J588" i="1"/>
  <c r="K588" i="1"/>
  <c r="L588" i="1"/>
  <c r="J345" i="1"/>
  <c r="K345" i="1"/>
  <c r="L345" i="1"/>
  <c r="J346" i="1"/>
  <c r="K346" i="1"/>
  <c r="L346" i="1"/>
  <c r="J347" i="1"/>
  <c r="K347" i="1"/>
  <c r="L347" i="1"/>
  <c r="J348" i="1"/>
  <c r="K348" i="1"/>
  <c r="L348" i="1"/>
  <c r="J349" i="1"/>
  <c r="K349" i="1"/>
  <c r="L349" i="1"/>
  <c r="J350" i="1"/>
  <c r="K350" i="1"/>
  <c r="L350" i="1"/>
  <c r="J351" i="1"/>
  <c r="K351" i="1"/>
  <c r="L351" i="1"/>
  <c r="J352" i="1"/>
  <c r="K352" i="1"/>
  <c r="L352" i="1"/>
  <c r="J353" i="1"/>
  <c r="K353" i="1"/>
  <c r="L353" i="1"/>
  <c r="J354" i="1"/>
  <c r="K354" i="1"/>
  <c r="L354" i="1"/>
  <c r="J355" i="1"/>
  <c r="K355" i="1"/>
  <c r="L355" i="1"/>
  <c r="J356" i="1"/>
  <c r="K356" i="1"/>
  <c r="L356" i="1"/>
  <c r="J357" i="1"/>
  <c r="K357" i="1"/>
  <c r="L357" i="1"/>
  <c r="J358" i="1"/>
  <c r="K358" i="1"/>
  <c r="L358" i="1"/>
  <c r="J359" i="1"/>
  <c r="K359" i="1"/>
  <c r="L359" i="1"/>
  <c r="J360" i="1"/>
  <c r="K360" i="1"/>
  <c r="L360" i="1"/>
  <c r="J361" i="1"/>
  <c r="K361" i="1"/>
  <c r="L361" i="1"/>
  <c r="J362" i="1"/>
  <c r="K362" i="1"/>
  <c r="L362" i="1"/>
  <c r="J363" i="1"/>
  <c r="K363" i="1"/>
  <c r="L363" i="1"/>
  <c r="J364" i="1"/>
  <c r="K364" i="1"/>
  <c r="L364" i="1"/>
  <c r="J365" i="1"/>
  <c r="K365" i="1"/>
  <c r="L365" i="1"/>
  <c r="J366" i="1"/>
  <c r="K366" i="1"/>
  <c r="L366" i="1"/>
  <c r="J367" i="1"/>
  <c r="K367" i="1"/>
  <c r="L367" i="1"/>
  <c r="J368" i="1"/>
  <c r="K368" i="1"/>
  <c r="L368" i="1"/>
  <c r="J369" i="1"/>
  <c r="K369" i="1"/>
  <c r="L369" i="1"/>
  <c r="J370" i="1"/>
  <c r="K370" i="1"/>
  <c r="L370" i="1"/>
  <c r="J371" i="1"/>
  <c r="K371" i="1"/>
  <c r="L371" i="1"/>
  <c r="J372" i="1"/>
  <c r="K372" i="1"/>
  <c r="L372" i="1"/>
  <c r="J373" i="1"/>
  <c r="K373" i="1"/>
  <c r="L373" i="1"/>
  <c r="J374" i="1"/>
  <c r="K374" i="1"/>
  <c r="L374" i="1"/>
  <c r="J375" i="1"/>
  <c r="K375" i="1"/>
  <c r="L375" i="1"/>
  <c r="J376" i="1"/>
  <c r="K376" i="1"/>
  <c r="L376" i="1"/>
  <c r="J377" i="1"/>
  <c r="K377" i="1"/>
  <c r="L377" i="1"/>
  <c r="J378" i="1"/>
  <c r="K378" i="1"/>
  <c r="L378" i="1"/>
  <c r="J379" i="1"/>
  <c r="K379" i="1"/>
  <c r="L379" i="1"/>
  <c r="J380" i="1"/>
  <c r="K380" i="1"/>
  <c r="L380" i="1"/>
  <c r="J381" i="1"/>
  <c r="K381" i="1"/>
  <c r="L381" i="1"/>
  <c r="J382" i="1"/>
  <c r="K382" i="1"/>
  <c r="L382" i="1"/>
  <c r="J383" i="1"/>
  <c r="K383" i="1"/>
  <c r="L383" i="1"/>
  <c r="J384" i="1"/>
  <c r="K384" i="1"/>
  <c r="L384" i="1"/>
  <c r="J385" i="1"/>
  <c r="K385" i="1"/>
  <c r="L385" i="1"/>
  <c r="J386" i="1"/>
  <c r="K386" i="1"/>
  <c r="L386" i="1"/>
  <c r="J387" i="1"/>
  <c r="K387" i="1"/>
  <c r="L387" i="1"/>
  <c r="J388" i="1"/>
  <c r="K388" i="1"/>
  <c r="L388" i="1"/>
  <c r="J389" i="1"/>
  <c r="K389" i="1"/>
  <c r="L389" i="1"/>
  <c r="J390" i="1"/>
  <c r="K390" i="1"/>
  <c r="L390" i="1"/>
  <c r="J391" i="1"/>
  <c r="K391" i="1"/>
  <c r="L391" i="1"/>
  <c r="J392" i="1"/>
  <c r="K392" i="1"/>
  <c r="L392" i="1"/>
  <c r="J393" i="1"/>
  <c r="K393" i="1"/>
  <c r="L393" i="1"/>
  <c r="J394" i="1"/>
  <c r="K394" i="1"/>
  <c r="L394" i="1"/>
  <c r="J395" i="1"/>
  <c r="K395" i="1"/>
  <c r="L395" i="1"/>
  <c r="J396" i="1"/>
  <c r="K396" i="1"/>
  <c r="L396" i="1"/>
  <c r="J397" i="1"/>
  <c r="K397" i="1"/>
  <c r="L397" i="1"/>
  <c r="J398" i="1"/>
  <c r="K398" i="1"/>
  <c r="L398" i="1"/>
  <c r="J399" i="1"/>
  <c r="K399" i="1"/>
  <c r="L399" i="1"/>
  <c r="J400" i="1"/>
  <c r="K400" i="1"/>
  <c r="L400" i="1"/>
  <c r="J401" i="1"/>
  <c r="K401" i="1"/>
  <c r="L401" i="1"/>
  <c r="J402" i="1"/>
  <c r="K402" i="1"/>
  <c r="L402" i="1"/>
  <c r="J403" i="1"/>
  <c r="K403" i="1"/>
  <c r="L403" i="1"/>
  <c r="J404" i="1"/>
  <c r="K404" i="1"/>
  <c r="L404" i="1"/>
  <c r="J405" i="1"/>
  <c r="K405" i="1"/>
  <c r="L405" i="1"/>
  <c r="J406" i="1"/>
  <c r="K406" i="1"/>
  <c r="L406" i="1"/>
  <c r="J407" i="1"/>
  <c r="K407" i="1"/>
  <c r="L407" i="1"/>
  <c r="J408" i="1"/>
  <c r="K408" i="1"/>
  <c r="L408" i="1"/>
  <c r="J409" i="1"/>
  <c r="K409" i="1"/>
  <c r="L409" i="1"/>
  <c r="J410" i="1"/>
  <c r="K410" i="1"/>
  <c r="L410" i="1"/>
  <c r="J411" i="1"/>
  <c r="K411" i="1"/>
  <c r="L411" i="1"/>
  <c r="J412" i="1"/>
  <c r="K412" i="1"/>
  <c r="L412" i="1"/>
  <c r="J413" i="1"/>
  <c r="K413" i="1"/>
  <c r="L413" i="1"/>
  <c r="J414" i="1"/>
  <c r="K414" i="1"/>
  <c r="L414" i="1"/>
  <c r="J415" i="1"/>
  <c r="K415" i="1"/>
  <c r="L415" i="1"/>
  <c r="J416" i="1"/>
  <c r="K416" i="1"/>
  <c r="L416" i="1"/>
  <c r="J417" i="1"/>
  <c r="K417" i="1"/>
  <c r="L417" i="1"/>
  <c r="J418" i="1"/>
  <c r="K418" i="1"/>
  <c r="L418" i="1"/>
  <c r="J419" i="1"/>
  <c r="K419" i="1"/>
  <c r="L419" i="1"/>
  <c r="J420" i="1"/>
  <c r="K420" i="1"/>
  <c r="L420" i="1"/>
  <c r="J421" i="1"/>
  <c r="K421" i="1"/>
  <c r="L421" i="1"/>
  <c r="J422" i="1"/>
  <c r="K422" i="1"/>
  <c r="L422" i="1"/>
  <c r="J423" i="1"/>
  <c r="K423" i="1"/>
  <c r="L423" i="1"/>
  <c r="J424" i="1"/>
  <c r="K424" i="1"/>
  <c r="L424" i="1"/>
  <c r="J425" i="1"/>
  <c r="K425" i="1"/>
  <c r="L425" i="1"/>
  <c r="J426" i="1"/>
  <c r="K426" i="1"/>
  <c r="L426" i="1"/>
  <c r="J427" i="1"/>
  <c r="K427" i="1"/>
  <c r="L427" i="1"/>
  <c r="J428" i="1"/>
  <c r="K428" i="1"/>
  <c r="L428" i="1"/>
  <c r="J429" i="1"/>
  <c r="K429" i="1"/>
  <c r="L429" i="1"/>
  <c r="J430" i="1"/>
  <c r="K430" i="1"/>
  <c r="L430" i="1"/>
  <c r="J431" i="1"/>
  <c r="K431" i="1"/>
  <c r="L431" i="1"/>
  <c r="J432" i="1"/>
  <c r="K432" i="1"/>
  <c r="L432" i="1"/>
  <c r="J433" i="1"/>
  <c r="K433" i="1"/>
  <c r="L433" i="1"/>
  <c r="J434" i="1"/>
  <c r="K434" i="1"/>
  <c r="L434" i="1"/>
  <c r="J435" i="1"/>
  <c r="K435" i="1"/>
  <c r="L435" i="1"/>
  <c r="J436" i="1"/>
  <c r="K436" i="1"/>
  <c r="L436" i="1"/>
  <c r="J437" i="1"/>
  <c r="K437" i="1"/>
  <c r="L437" i="1"/>
  <c r="J438" i="1"/>
  <c r="K438" i="1"/>
  <c r="L438" i="1"/>
  <c r="J439" i="1"/>
  <c r="K439" i="1"/>
  <c r="L439" i="1"/>
  <c r="J440" i="1"/>
  <c r="K440" i="1"/>
  <c r="L440" i="1"/>
  <c r="J441" i="1"/>
  <c r="K441" i="1"/>
  <c r="L441" i="1"/>
  <c r="J442" i="1"/>
  <c r="K442" i="1"/>
  <c r="L442" i="1"/>
  <c r="J443" i="1"/>
  <c r="K443" i="1"/>
  <c r="L443" i="1"/>
  <c r="J444" i="1"/>
  <c r="K444" i="1"/>
  <c r="L444" i="1"/>
  <c r="J445" i="1"/>
  <c r="K445" i="1"/>
  <c r="L445" i="1"/>
  <c r="J446" i="1"/>
  <c r="K446" i="1"/>
  <c r="L446" i="1"/>
  <c r="J447" i="1"/>
  <c r="K447" i="1"/>
  <c r="L447" i="1"/>
  <c r="J448" i="1"/>
  <c r="K448" i="1"/>
  <c r="L448" i="1"/>
  <c r="J449" i="1"/>
  <c r="K449" i="1"/>
  <c r="L449" i="1"/>
  <c r="J450" i="1"/>
  <c r="K450" i="1"/>
  <c r="L450" i="1"/>
  <c r="J451" i="1"/>
  <c r="K451" i="1"/>
  <c r="L451" i="1"/>
  <c r="J452" i="1"/>
  <c r="K452" i="1"/>
  <c r="L452" i="1"/>
  <c r="J453" i="1"/>
  <c r="K453" i="1"/>
  <c r="L453" i="1"/>
  <c r="J454" i="1"/>
  <c r="K454" i="1"/>
  <c r="L454" i="1"/>
  <c r="J455" i="1"/>
  <c r="K455" i="1"/>
  <c r="L455" i="1"/>
  <c r="J456" i="1"/>
  <c r="K456" i="1"/>
  <c r="L456" i="1"/>
  <c r="J457" i="1"/>
  <c r="K457" i="1"/>
  <c r="L457" i="1"/>
  <c r="J458" i="1"/>
  <c r="K458" i="1"/>
  <c r="L458" i="1"/>
  <c r="J459" i="1"/>
  <c r="K459" i="1"/>
  <c r="L459" i="1"/>
  <c r="J460" i="1"/>
  <c r="K460" i="1"/>
  <c r="L460" i="1"/>
  <c r="J461" i="1"/>
  <c r="K461" i="1"/>
  <c r="L461" i="1"/>
  <c r="J462" i="1"/>
  <c r="K462" i="1"/>
  <c r="L462" i="1"/>
  <c r="J463" i="1"/>
  <c r="K463" i="1"/>
  <c r="L463" i="1"/>
  <c r="J464" i="1"/>
  <c r="K464" i="1"/>
  <c r="L464" i="1"/>
  <c r="J465" i="1"/>
  <c r="K465" i="1"/>
  <c r="L465" i="1"/>
  <c r="J466" i="1"/>
  <c r="K466" i="1"/>
  <c r="L466" i="1"/>
  <c r="J467" i="1"/>
  <c r="K467" i="1"/>
  <c r="L467" i="1"/>
  <c r="J213" i="1"/>
  <c r="K213" i="1"/>
  <c r="L213" i="1"/>
  <c r="J214" i="1"/>
  <c r="K214" i="1"/>
  <c r="L214" i="1"/>
  <c r="J215" i="1"/>
  <c r="K215" i="1"/>
  <c r="L215" i="1"/>
  <c r="J216" i="1"/>
  <c r="K216" i="1"/>
  <c r="L216" i="1"/>
  <c r="J217" i="1"/>
  <c r="K217" i="1"/>
  <c r="L217" i="1"/>
  <c r="J218" i="1"/>
  <c r="K218" i="1"/>
  <c r="L218" i="1"/>
  <c r="J219" i="1"/>
  <c r="K219" i="1"/>
  <c r="L219" i="1"/>
  <c r="J220" i="1"/>
  <c r="K220" i="1"/>
  <c r="L220" i="1"/>
  <c r="J221" i="1"/>
  <c r="K221" i="1"/>
  <c r="L221" i="1"/>
  <c r="J222" i="1"/>
  <c r="K222" i="1"/>
  <c r="L222" i="1"/>
  <c r="J223" i="1"/>
  <c r="K223" i="1"/>
  <c r="L223" i="1"/>
  <c r="J224" i="1"/>
  <c r="K224" i="1"/>
  <c r="L224" i="1"/>
  <c r="J225" i="1"/>
  <c r="K225" i="1"/>
  <c r="L225" i="1"/>
  <c r="J226" i="1"/>
  <c r="K226" i="1"/>
  <c r="L226" i="1"/>
  <c r="J227" i="1"/>
  <c r="K227" i="1"/>
  <c r="L227" i="1"/>
  <c r="J228" i="1"/>
  <c r="K228" i="1"/>
  <c r="L228" i="1"/>
  <c r="J229" i="1"/>
  <c r="K229" i="1"/>
  <c r="L229" i="1"/>
  <c r="J230" i="1"/>
  <c r="K230" i="1"/>
  <c r="L230" i="1"/>
  <c r="J231" i="1"/>
  <c r="K231" i="1"/>
  <c r="L231" i="1"/>
  <c r="J232" i="1"/>
  <c r="K232" i="1"/>
  <c r="L232" i="1"/>
  <c r="J233" i="1"/>
  <c r="K233" i="1"/>
  <c r="L233" i="1"/>
  <c r="J234" i="1"/>
  <c r="K234" i="1"/>
  <c r="L234" i="1"/>
  <c r="J235" i="1"/>
  <c r="K235" i="1"/>
  <c r="L235" i="1"/>
  <c r="J236" i="1"/>
  <c r="K236" i="1"/>
  <c r="L236" i="1"/>
  <c r="J237" i="1"/>
  <c r="K237" i="1"/>
  <c r="L237" i="1"/>
  <c r="J238" i="1"/>
  <c r="K238" i="1"/>
  <c r="L238" i="1"/>
  <c r="J239" i="1"/>
  <c r="K239" i="1"/>
  <c r="L239" i="1"/>
  <c r="J240" i="1"/>
  <c r="K240" i="1"/>
  <c r="L240" i="1"/>
  <c r="J241" i="1"/>
  <c r="K241" i="1"/>
  <c r="L241" i="1"/>
  <c r="J242" i="1"/>
  <c r="K242" i="1"/>
  <c r="L242" i="1"/>
  <c r="J243" i="1"/>
  <c r="K243" i="1"/>
  <c r="L243" i="1"/>
  <c r="J244" i="1"/>
  <c r="K244" i="1"/>
  <c r="L244" i="1"/>
  <c r="J245" i="1"/>
  <c r="K245" i="1"/>
  <c r="L245" i="1"/>
  <c r="J246" i="1"/>
  <c r="K246" i="1"/>
  <c r="L246" i="1"/>
  <c r="J247" i="1"/>
  <c r="K247" i="1"/>
  <c r="L247" i="1"/>
  <c r="J248" i="1"/>
  <c r="K248" i="1"/>
  <c r="L248" i="1"/>
  <c r="J249" i="1"/>
  <c r="K249" i="1"/>
  <c r="L249" i="1"/>
  <c r="J250" i="1"/>
  <c r="K250" i="1"/>
  <c r="L250" i="1"/>
  <c r="J251" i="1"/>
  <c r="K251" i="1"/>
  <c r="L251" i="1"/>
  <c r="J252" i="1"/>
  <c r="K252" i="1"/>
  <c r="L252" i="1"/>
  <c r="J253" i="1"/>
  <c r="K253" i="1"/>
  <c r="L253" i="1"/>
  <c r="J254" i="1"/>
  <c r="K254" i="1"/>
  <c r="L254" i="1"/>
  <c r="J255" i="1"/>
  <c r="K255" i="1"/>
  <c r="L255" i="1"/>
  <c r="J256" i="1"/>
  <c r="K256" i="1"/>
  <c r="L256" i="1"/>
  <c r="J257" i="1"/>
  <c r="K257" i="1"/>
  <c r="L257" i="1"/>
  <c r="J258" i="1"/>
  <c r="K258" i="1"/>
  <c r="L258" i="1"/>
  <c r="J259" i="1"/>
  <c r="K259" i="1"/>
  <c r="L259" i="1"/>
  <c r="J260" i="1"/>
  <c r="K260" i="1"/>
  <c r="L260" i="1"/>
  <c r="J261" i="1"/>
  <c r="K261" i="1"/>
  <c r="L261" i="1"/>
  <c r="J262" i="1"/>
  <c r="K262" i="1"/>
  <c r="L262" i="1"/>
  <c r="J263" i="1"/>
  <c r="K263" i="1"/>
  <c r="L263" i="1"/>
  <c r="J264" i="1"/>
  <c r="K264" i="1"/>
  <c r="L264" i="1"/>
  <c r="J265" i="1"/>
  <c r="K265" i="1"/>
  <c r="L265" i="1"/>
  <c r="J266" i="1"/>
  <c r="K266" i="1"/>
  <c r="L266" i="1"/>
  <c r="J267" i="1"/>
  <c r="K267" i="1"/>
  <c r="L267" i="1"/>
  <c r="J268" i="1"/>
  <c r="K268" i="1"/>
  <c r="L268" i="1"/>
  <c r="J269" i="1"/>
  <c r="K269" i="1"/>
  <c r="L269" i="1"/>
  <c r="J270" i="1"/>
  <c r="K270" i="1"/>
  <c r="L270" i="1"/>
  <c r="J271" i="1"/>
  <c r="K271" i="1"/>
  <c r="L271" i="1"/>
  <c r="J272" i="1"/>
  <c r="K272" i="1"/>
  <c r="L272" i="1"/>
  <c r="J273" i="1"/>
  <c r="K273" i="1"/>
  <c r="L273" i="1"/>
  <c r="J274" i="1"/>
  <c r="K274" i="1"/>
  <c r="L274" i="1"/>
  <c r="J275" i="1"/>
  <c r="K275" i="1"/>
  <c r="L275" i="1"/>
  <c r="J276" i="1"/>
  <c r="K276" i="1"/>
  <c r="L276" i="1"/>
  <c r="J277" i="1"/>
  <c r="K277" i="1"/>
  <c r="L277" i="1"/>
  <c r="J278" i="1"/>
  <c r="K278" i="1"/>
  <c r="L278" i="1"/>
  <c r="J279" i="1"/>
  <c r="K279" i="1"/>
  <c r="L279" i="1"/>
  <c r="J280" i="1"/>
  <c r="K280" i="1"/>
  <c r="L280" i="1"/>
  <c r="J281" i="1"/>
  <c r="K281" i="1"/>
  <c r="L281" i="1"/>
  <c r="J282" i="1"/>
  <c r="K282" i="1"/>
  <c r="L282" i="1"/>
  <c r="J283" i="1"/>
  <c r="K283" i="1"/>
  <c r="L283" i="1"/>
  <c r="J284" i="1"/>
  <c r="K284" i="1"/>
  <c r="L284" i="1"/>
  <c r="J285" i="1"/>
  <c r="K285" i="1"/>
  <c r="L285" i="1"/>
  <c r="J286" i="1"/>
  <c r="K286" i="1"/>
  <c r="L286" i="1"/>
  <c r="J287" i="1"/>
  <c r="K287" i="1"/>
  <c r="L287" i="1"/>
  <c r="J288" i="1"/>
  <c r="K288" i="1"/>
  <c r="L288" i="1"/>
  <c r="J289" i="1"/>
  <c r="K289" i="1"/>
  <c r="L289" i="1"/>
  <c r="J290" i="1"/>
  <c r="K290" i="1"/>
  <c r="L290" i="1"/>
  <c r="J291" i="1"/>
  <c r="K291" i="1"/>
  <c r="L291" i="1"/>
  <c r="J292" i="1"/>
  <c r="K292" i="1"/>
  <c r="L292" i="1"/>
  <c r="J293" i="1"/>
  <c r="K293" i="1"/>
  <c r="L293" i="1"/>
  <c r="J294" i="1"/>
  <c r="K294" i="1"/>
  <c r="L294" i="1"/>
  <c r="J295" i="1"/>
  <c r="K295" i="1"/>
  <c r="L295" i="1"/>
  <c r="J296" i="1"/>
  <c r="K296" i="1"/>
  <c r="L296" i="1"/>
  <c r="J297" i="1"/>
  <c r="K297" i="1"/>
  <c r="L297" i="1"/>
  <c r="J298" i="1"/>
  <c r="K298" i="1"/>
  <c r="L298" i="1"/>
  <c r="J299" i="1"/>
  <c r="K299" i="1"/>
  <c r="L299" i="1"/>
  <c r="J300" i="1"/>
  <c r="K300" i="1"/>
  <c r="L300" i="1"/>
  <c r="J301" i="1"/>
  <c r="K301" i="1"/>
  <c r="L301" i="1"/>
  <c r="J302" i="1"/>
  <c r="K302" i="1"/>
  <c r="L302" i="1"/>
  <c r="J303" i="1"/>
  <c r="K303" i="1"/>
  <c r="L303" i="1"/>
  <c r="J304" i="1"/>
  <c r="K304" i="1"/>
  <c r="L304" i="1"/>
  <c r="J305" i="1"/>
  <c r="K305" i="1"/>
  <c r="L305" i="1"/>
  <c r="J306" i="1"/>
  <c r="K306" i="1"/>
  <c r="L306" i="1"/>
  <c r="J307" i="1"/>
  <c r="K307" i="1"/>
  <c r="L307" i="1"/>
  <c r="J308" i="1"/>
  <c r="K308" i="1"/>
  <c r="L308" i="1"/>
  <c r="J309" i="1"/>
  <c r="K309" i="1"/>
  <c r="L309" i="1"/>
  <c r="J310" i="1"/>
  <c r="K310" i="1"/>
  <c r="L310" i="1"/>
  <c r="J311" i="1"/>
  <c r="K311" i="1"/>
  <c r="L311" i="1"/>
  <c r="J312" i="1"/>
  <c r="K312" i="1"/>
  <c r="L312" i="1"/>
  <c r="J313" i="1"/>
  <c r="K313" i="1"/>
  <c r="L313" i="1"/>
  <c r="J314" i="1"/>
  <c r="K314" i="1"/>
  <c r="L314" i="1"/>
  <c r="J315" i="1"/>
  <c r="K315" i="1"/>
  <c r="L315" i="1"/>
  <c r="J316" i="1"/>
  <c r="K316" i="1"/>
  <c r="L316" i="1"/>
  <c r="J317" i="1"/>
  <c r="K317" i="1"/>
  <c r="L317" i="1"/>
  <c r="J318" i="1"/>
  <c r="K318" i="1"/>
  <c r="L318" i="1"/>
  <c r="J319" i="1"/>
  <c r="K319" i="1"/>
  <c r="L319" i="1"/>
  <c r="J320" i="1"/>
  <c r="K320" i="1"/>
  <c r="L320" i="1"/>
  <c r="J321" i="1"/>
  <c r="K321" i="1"/>
  <c r="L321" i="1"/>
  <c r="J322" i="1"/>
  <c r="K322" i="1"/>
  <c r="L322" i="1"/>
  <c r="J323" i="1"/>
  <c r="K323" i="1"/>
  <c r="L323" i="1"/>
  <c r="J324" i="1"/>
  <c r="K324" i="1"/>
  <c r="L324" i="1"/>
  <c r="J325" i="1"/>
  <c r="K325" i="1"/>
  <c r="L325" i="1"/>
  <c r="J326" i="1"/>
  <c r="K326" i="1"/>
  <c r="L326" i="1"/>
  <c r="J327" i="1"/>
  <c r="K327" i="1"/>
  <c r="L327" i="1"/>
  <c r="J328" i="1"/>
  <c r="K328" i="1"/>
  <c r="L328" i="1"/>
  <c r="J329" i="1"/>
  <c r="K329" i="1"/>
  <c r="L329" i="1"/>
  <c r="J330" i="1"/>
  <c r="K330" i="1"/>
  <c r="L330" i="1"/>
  <c r="J331" i="1"/>
  <c r="K331" i="1"/>
  <c r="L331" i="1"/>
  <c r="J332" i="1"/>
  <c r="K332" i="1"/>
  <c r="L332" i="1"/>
  <c r="J333" i="1"/>
  <c r="K333" i="1"/>
  <c r="L333" i="1"/>
  <c r="J334" i="1"/>
  <c r="K334" i="1"/>
  <c r="L334" i="1"/>
  <c r="J335" i="1"/>
  <c r="K335" i="1"/>
  <c r="L335" i="1"/>
  <c r="J336" i="1"/>
  <c r="K336" i="1"/>
  <c r="L336" i="1"/>
  <c r="J337" i="1"/>
  <c r="K337" i="1"/>
  <c r="L337" i="1"/>
  <c r="J338" i="1"/>
  <c r="K338" i="1"/>
  <c r="L338" i="1"/>
  <c r="J339" i="1"/>
  <c r="K339" i="1"/>
  <c r="L339" i="1"/>
  <c r="J340" i="1"/>
  <c r="K340" i="1"/>
  <c r="L340" i="1"/>
  <c r="J341" i="1"/>
  <c r="K341" i="1"/>
  <c r="L341" i="1"/>
  <c r="J342" i="1"/>
  <c r="K342" i="1"/>
  <c r="L342" i="1"/>
  <c r="J343" i="1"/>
  <c r="K343" i="1"/>
  <c r="L343" i="1"/>
  <c r="J128" i="1"/>
  <c r="K128" i="1"/>
  <c r="L128" i="1"/>
  <c r="J129" i="1"/>
  <c r="K129" i="1"/>
  <c r="L129" i="1"/>
  <c r="J130" i="1"/>
  <c r="K130" i="1"/>
  <c r="L130" i="1"/>
  <c r="J131" i="1"/>
  <c r="K131" i="1"/>
  <c r="L131" i="1"/>
  <c r="J132" i="1"/>
  <c r="K132" i="1"/>
  <c r="L132" i="1"/>
  <c r="J133" i="1"/>
  <c r="K133" i="1"/>
  <c r="L133" i="1"/>
  <c r="J134" i="1"/>
  <c r="K134" i="1"/>
  <c r="L134" i="1"/>
  <c r="J135" i="1"/>
  <c r="K135" i="1"/>
  <c r="L135" i="1"/>
  <c r="J136" i="1"/>
  <c r="K136" i="1"/>
  <c r="L136" i="1"/>
  <c r="J137" i="1"/>
  <c r="K137" i="1"/>
  <c r="L137" i="1"/>
  <c r="J138" i="1"/>
  <c r="K138" i="1"/>
  <c r="L138" i="1"/>
  <c r="J139" i="1"/>
  <c r="K139" i="1"/>
  <c r="L139" i="1"/>
  <c r="J140" i="1"/>
  <c r="K140" i="1"/>
  <c r="L140" i="1"/>
  <c r="J141" i="1"/>
  <c r="K141" i="1"/>
  <c r="L141" i="1"/>
  <c r="J142" i="1"/>
  <c r="K142" i="1"/>
  <c r="L142" i="1"/>
  <c r="J143" i="1"/>
  <c r="K143" i="1"/>
  <c r="L143" i="1"/>
  <c r="J144" i="1"/>
  <c r="K144" i="1"/>
  <c r="L144" i="1"/>
  <c r="J145" i="1"/>
  <c r="K145" i="1"/>
  <c r="L145" i="1"/>
  <c r="J146" i="1"/>
  <c r="K146" i="1"/>
  <c r="L146" i="1"/>
  <c r="J147" i="1"/>
  <c r="K147" i="1"/>
  <c r="L147" i="1"/>
  <c r="J148" i="1"/>
  <c r="K148" i="1"/>
  <c r="L148" i="1"/>
  <c r="J149" i="1"/>
  <c r="K149" i="1"/>
  <c r="L149" i="1"/>
  <c r="J150" i="1"/>
  <c r="K150" i="1"/>
  <c r="L150" i="1"/>
  <c r="J151" i="1"/>
  <c r="K151" i="1"/>
  <c r="L151" i="1"/>
  <c r="J152" i="1"/>
  <c r="K152" i="1"/>
  <c r="L152" i="1"/>
  <c r="J153" i="1"/>
  <c r="K153" i="1"/>
  <c r="L153" i="1"/>
  <c r="J154" i="1"/>
  <c r="K154" i="1"/>
  <c r="L154" i="1"/>
  <c r="J155" i="1"/>
  <c r="K155" i="1"/>
  <c r="L155" i="1"/>
  <c r="J156" i="1"/>
  <c r="K156" i="1"/>
  <c r="L156" i="1"/>
  <c r="J157" i="1"/>
  <c r="K157" i="1"/>
  <c r="L157" i="1"/>
  <c r="J158" i="1"/>
  <c r="K158" i="1"/>
  <c r="L158" i="1"/>
  <c r="J159" i="1"/>
  <c r="K159" i="1"/>
  <c r="L159" i="1"/>
  <c r="J160" i="1"/>
  <c r="K160" i="1"/>
  <c r="L160" i="1"/>
  <c r="J161" i="1"/>
  <c r="K161" i="1"/>
  <c r="L161" i="1"/>
  <c r="J162" i="1"/>
  <c r="K162" i="1"/>
  <c r="L162" i="1"/>
  <c r="J163" i="1"/>
  <c r="K163" i="1"/>
  <c r="L163" i="1"/>
  <c r="J164" i="1"/>
  <c r="K164" i="1"/>
  <c r="L164" i="1"/>
  <c r="J165" i="1"/>
  <c r="K165" i="1"/>
  <c r="L165" i="1"/>
  <c r="J166" i="1"/>
  <c r="K166" i="1"/>
  <c r="L166" i="1"/>
  <c r="J167" i="1"/>
  <c r="K167" i="1"/>
  <c r="L167" i="1"/>
  <c r="J168" i="1"/>
  <c r="K168" i="1"/>
  <c r="L168" i="1"/>
  <c r="J169" i="1"/>
  <c r="K169" i="1"/>
  <c r="L169" i="1"/>
  <c r="J170" i="1"/>
  <c r="K170" i="1"/>
  <c r="L170" i="1"/>
  <c r="J171" i="1"/>
  <c r="K171" i="1"/>
  <c r="L171" i="1"/>
  <c r="J172" i="1"/>
  <c r="K172" i="1"/>
  <c r="L172" i="1"/>
  <c r="J173" i="1"/>
  <c r="K173" i="1"/>
  <c r="L173" i="1"/>
  <c r="J174" i="1"/>
  <c r="K174" i="1"/>
  <c r="L174" i="1"/>
  <c r="J175" i="1"/>
  <c r="K175" i="1"/>
  <c r="L175" i="1"/>
  <c r="J176" i="1"/>
  <c r="K176" i="1"/>
  <c r="L176" i="1"/>
  <c r="J177" i="1"/>
  <c r="K177" i="1"/>
  <c r="L177" i="1"/>
  <c r="J178" i="1"/>
  <c r="K178" i="1"/>
  <c r="L178" i="1"/>
  <c r="J179" i="1"/>
  <c r="K179" i="1"/>
  <c r="L179" i="1"/>
  <c r="J180" i="1"/>
  <c r="K180" i="1"/>
  <c r="L180" i="1"/>
  <c r="J181" i="1"/>
  <c r="K181" i="1"/>
  <c r="L181" i="1"/>
  <c r="J182" i="1"/>
  <c r="K182" i="1"/>
  <c r="L182" i="1"/>
  <c r="J183" i="1"/>
  <c r="K183" i="1"/>
  <c r="L183" i="1"/>
  <c r="J184" i="1"/>
  <c r="K184" i="1"/>
  <c r="L184" i="1"/>
  <c r="J185" i="1"/>
  <c r="K185" i="1"/>
  <c r="L185" i="1"/>
  <c r="J186" i="1"/>
  <c r="K186" i="1"/>
  <c r="L186" i="1"/>
  <c r="J187" i="1"/>
  <c r="K187" i="1"/>
  <c r="L187" i="1"/>
  <c r="J188" i="1"/>
  <c r="K188" i="1"/>
  <c r="L188" i="1"/>
  <c r="J189" i="1"/>
  <c r="K189" i="1"/>
  <c r="L189" i="1"/>
  <c r="J190" i="1"/>
  <c r="K190" i="1"/>
  <c r="L190" i="1"/>
  <c r="J191" i="1"/>
  <c r="K191" i="1"/>
  <c r="L191" i="1"/>
  <c r="J192" i="1"/>
  <c r="K192" i="1"/>
  <c r="L192" i="1"/>
  <c r="J193" i="1"/>
  <c r="K193" i="1"/>
  <c r="L193" i="1"/>
  <c r="J194" i="1"/>
  <c r="K194" i="1"/>
  <c r="L194" i="1"/>
  <c r="J195" i="1"/>
  <c r="K195" i="1"/>
  <c r="L195" i="1"/>
  <c r="J196" i="1"/>
  <c r="K196" i="1"/>
  <c r="L196" i="1"/>
  <c r="J197" i="1"/>
  <c r="K197" i="1"/>
  <c r="L197" i="1"/>
  <c r="J198" i="1"/>
  <c r="K198" i="1"/>
  <c r="L198" i="1"/>
  <c r="J199" i="1"/>
  <c r="K199" i="1"/>
  <c r="L199" i="1"/>
  <c r="J200" i="1"/>
  <c r="K200" i="1"/>
  <c r="L200" i="1"/>
  <c r="J201" i="1"/>
  <c r="K201" i="1"/>
  <c r="L201" i="1"/>
  <c r="J202" i="1"/>
  <c r="K202" i="1"/>
  <c r="L202" i="1"/>
  <c r="J203" i="1"/>
  <c r="K203" i="1"/>
  <c r="L203" i="1"/>
  <c r="J204" i="1"/>
  <c r="K204" i="1"/>
  <c r="L204" i="1"/>
  <c r="J205" i="1"/>
  <c r="K205" i="1"/>
  <c r="L205" i="1"/>
  <c r="J206" i="1"/>
  <c r="K206" i="1"/>
  <c r="L206" i="1"/>
  <c r="J207" i="1"/>
  <c r="K207" i="1"/>
  <c r="L207" i="1"/>
  <c r="J208" i="1"/>
  <c r="K208" i="1"/>
  <c r="L208" i="1"/>
  <c r="J209" i="1"/>
  <c r="K209" i="1"/>
  <c r="L209" i="1"/>
  <c r="J210" i="1"/>
  <c r="K210" i="1"/>
  <c r="L210" i="1"/>
  <c r="J211" i="1"/>
  <c r="K211" i="1"/>
  <c r="L211" i="1"/>
  <c r="J57" i="1"/>
  <c r="K57" i="1"/>
  <c r="L57" i="1"/>
  <c r="J58" i="1"/>
  <c r="K58" i="1"/>
  <c r="L58" i="1"/>
  <c r="J59" i="1"/>
  <c r="K59" i="1"/>
  <c r="L59" i="1"/>
  <c r="J60" i="1"/>
  <c r="K60" i="1"/>
  <c r="L60" i="1"/>
  <c r="J61" i="1"/>
  <c r="K61" i="1"/>
  <c r="L61" i="1"/>
  <c r="J62" i="1"/>
  <c r="K62" i="1"/>
  <c r="L62" i="1"/>
  <c r="J63" i="1"/>
  <c r="K63" i="1"/>
  <c r="L63" i="1"/>
  <c r="J64" i="1"/>
  <c r="K64" i="1"/>
  <c r="L64" i="1"/>
  <c r="J65" i="1"/>
  <c r="K65" i="1"/>
  <c r="L65" i="1"/>
  <c r="J66" i="1"/>
  <c r="K66" i="1"/>
  <c r="L66" i="1"/>
  <c r="J67" i="1"/>
  <c r="K67" i="1"/>
  <c r="L67" i="1"/>
  <c r="J68" i="1"/>
  <c r="K68" i="1"/>
  <c r="L68" i="1"/>
  <c r="J69" i="1"/>
  <c r="K69" i="1"/>
  <c r="L69" i="1"/>
  <c r="J70" i="1"/>
  <c r="K70" i="1"/>
  <c r="L70" i="1"/>
  <c r="J71" i="1"/>
  <c r="K71" i="1"/>
  <c r="L71" i="1"/>
  <c r="J72" i="1"/>
  <c r="K72" i="1"/>
  <c r="L72" i="1"/>
  <c r="J73" i="1"/>
  <c r="K73" i="1"/>
  <c r="L73" i="1"/>
  <c r="J74" i="1"/>
  <c r="K74" i="1"/>
  <c r="L74" i="1"/>
  <c r="J75" i="1"/>
  <c r="K75" i="1"/>
  <c r="L75" i="1"/>
  <c r="J76" i="1"/>
  <c r="K76" i="1"/>
  <c r="L76" i="1"/>
  <c r="J77" i="1"/>
  <c r="K77" i="1"/>
  <c r="L77" i="1"/>
  <c r="J78" i="1"/>
  <c r="K78" i="1"/>
  <c r="L78" i="1"/>
  <c r="J79" i="1"/>
  <c r="K79" i="1"/>
  <c r="L79" i="1"/>
  <c r="J80" i="1"/>
  <c r="K80" i="1"/>
  <c r="L80" i="1"/>
  <c r="J81" i="1"/>
  <c r="K81" i="1"/>
  <c r="L81" i="1"/>
  <c r="J82" i="1"/>
  <c r="K82" i="1"/>
  <c r="L82" i="1"/>
  <c r="J83" i="1"/>
  <c r="K83" i="1"/>
  <c r="L83" i="1"/>
  <c r="J84" i="1"/>
  <c r="K84" i="1"/>
  <c r="L84" i="1"/>
  <c r="J85" i="1"/>
  <c r="K85" i="1"/>
  <c r="L85" i="1"/>
  <c r="J86" i="1"/>
  <c r="K86" i="1"/>
  <c r="L86" i="1"/>
  <c r="J87" i="1"/>
  <c r="K87" i="1"/>
  <c r="L87" i="1"/>
  <c r="J88" i="1"/>
  <c r="K88" i="1"/>
  <c r="L88" i="1"/>
  <c r="J89" i="1"/>
  <c r="K89" i="1"/>
  <c r="L89" i="1"/>
  <c r="J90" i="1"/>
  <c r="K90" i="1"/>
  <c r="L90" i="1"/>
  <c r="J91" i="1"/>
  <c r="K91" i="1"/>
  <c r="L91" i="1"/>
  <c r="J92" i="1"/>
  <c r="K92" i="1"/>
  <c r="L92" i="1"/>
  <c r="J93" i="1"/>
  <c r="K93" i="1"/>
  <c r="L93" i="1"/>
  <c r="J94" i="1"/>
  <c r="K94" i="1"/>
  <c r="L94" i="1"/>
  <c r="J95" i="1"/>
  <c r="K95" i="1"/>
  <c r="L95" i="1"/>
  <c r="J96" i="1"/>
  <c r="K96" i="1"/>
  <c r="L96" i="1"/>
  <c r="J97" i="1"/>
  <c r="K97" i="1"/>
  <c r="L97" i="1"/>
  <c r="J98" i="1"/>
  <c r="K98" i="1"/>
  <c r="L98" i="1"/>
  <c r="J99" i="1"/>
  <c r="K99" i="1"/>
  <c r="L99" i="1"/>
  <c r="J100" i="1"/>
  <c r="K100" i="1"/>
  <c r="L100" i="1"/>
  <c r="J101" i="1"/>
  <c r="K101" i="1"/>
  <c r="L101" i="1"/>
  <c r="J102" i="1"/>
  <c r="K102" i="1"/>
  <c r="L102" i="1"/>
  <c r="J103" i="1"/>
  <c r="K103" i="1"/>
  <c r="L103" i="1"/>
  <c r="J104" i="1"/>
  <c r="K104" i="1"/>
  <c r="L104" i="1"/>
  <c r="J105" i="1"/>
  <c r="K105" i="1"/>
  <c r="L105" i="1"/>
  <c r="J106" i="1"/>
  <c r="K106" i="1"/>
  <c r="L106" i="1"/>
  <c r="J107" i="1"/>
  <c r="K107" i="1"/>
  <c r="L107" i="1"/>
  <c r="J108" i="1"/>
  <c r="K108" i="1"/>
  <c r="L108" i="1"/>
  <c r="J109" i="1"/>
  <c r="K109" i="1"/>
  <c r="L109" i="1"/>
  <c r="J110" i="1"/>
  <c r="K110" i="1"/>
  <c r="L110" i="1"/>
  <c r="J111" i="1"/>
  <c r="K111" i="1"/>
  <c r="L111" i="1"/>
  <c r="J112" i="1"/>
  <c r="K112" i="1"/>
  <c r="L112" i="1"/>
  <c r="J113" i="1"/>
  <c r="K113" i="1"/>
  <c r="L113" i="1"/>
  <c r="J114" i="1"/>
  <c r="K114" i="1"/>
  <c r="L114" i="1"/>
  <c r="J115" i="1"/>
  <c r="K115" i="1"/>
  <c r="L115" i="1"/>
  <c r="J116" i="1"/>
  <c r="K116" i="1"/>
  <c r="L116" i="1"/>
  <c r="J117" i="1"/>
  <c r="K117" i="1"/>
  <c r="L117" i="1"/>
  <c r="J118" i="1"/>
  <c r="K118" i="1"/>
  <c r="L118" i="1"/>
  <c r="J119" i="1"/>
  <c r="K119" i="1"/>
  <c r="L119" i="1"/>
  <c r="J120" i="1"/>
  <c r="K120" i="1"/>
  <c r="L120" i="1"/>
  <c r="J121" i="1"/>
  <c r="K121" i="1"/>
  <c r="L121" i="1"/>
  <c r="J122" i="1"/>
  <c r="K122" i="1"/>
  <c r="L122" i="1"/>
  <c r="J123" i="1"/>
  <c r="K123" i="1"/>
  <c r="L123" i="1"/>
  <c r="J124" i="1"/>
  <c r="K124" i="1"/>
  <c r="L124" i="1"/>
  <c r="J125" i="1"/>
  <c r="K125" i="1"/>
  <c r="L125" i="1"/>
  <c r="J126" i="1"/>
  <c r="K126" i="1"/>
  <c r="L126" i="1"/>
  <c r="J3" i="1"/>
  <c r="K3" i="1"/>
  <c r="L3" i="1"/>
  <c r="J4" i="1"/>
  <c r="K4" i="1"/>
  <c r="L4" i="1"/>
  <c r="J5" i="1"/>
  <c r="K5" i="1"/>
  <c r="L5" i="1"/>
  <c r="J6" i="1"/>
  <c r="K6" i="1"/>
  <c r="L6" i="1"/>
  <c r="J7" i="1"/>
  <c r="K7" i="1"/>
  <c r="L7" i="1"/>
  <c r="J8" i="1"/>
  <c r="K8" i="1"/>
  <c r="L8" i="1"/>
  <c r="J9" i="1"/>
  <c r="K9" i="1"/>
  <c r="L9" i="1"/>
  <c r="J10" i="1"/>
  <c r="K10" i="1"/>
  <c r="L10" i="1"/>
  <c r="J11" i="1"/>
  <c r="K11" i="1"/>
  <c r="L11" i="1"/>
  <c r="J12" i="1"/>
  <c r="K12" i="1"/>
  <c r="L12" i="1"/>
  <c r="J13" i="1"/>
  <c r="K13" i="1"/>
  <c r="L13" i="1"/>
  <c r="J14" i="1"/>
  <c r="K14" i="1"/>
  <c r="L14" i="1"/>
  <c r="J15" i="1"/>
  <c r="K15" i="1"/>
  <c r="L15" i="1"/>
  <c r="J16" i="1"/>
  <c r="K16" i="1"/>
  <c r="L16" i="1"/>
  <c r="J17" i="1"/>
  <c r="K17" i="1"/>
  <c r="L17" i="1"/>
  <c r="J18" i="1"/>
  <c r="K18" i="1"/>
  <c r="L18" i="1"/>
  <c r="J19" i="1"/>
  <c r="K19" i="1"/>
  <c r="L19" i="1"/>
  <c r="J20" i="1"/>
  <c r="K20" i="1"/>
  <c r="L20" i="1"/>
  <c r="J21" i="1"/>
  <c r="K21" i="1"/>
  <c r="L21" i="1"/>
  <c r="J22" i="1"/>
  <c r="K22" i="1"/>
  <c r="L22" i="1"/>
  <c r="J23" i="1"/>
  <c r="K23" i="1"/>
  <c r="L23" i="1"/>
  <c r="J24" i="1"/>
  <c r="K24" i="1"/>
  <c r="L24" i="1"/>
  <c r="J25" i="1"/>
  <c r="K25" i="1"/>
  <c r="L25" i="1"/>
  <c r="J26" i="1"/>
  <c r="K26" i="1"/>
  <c r="L26" i="1"/>
  <c r="J27" i="1"/>
  <c r="K27" i="1"/>
  <c r="L27" i="1"/>
  <c r="J28" i="1"/>
  <c r="K28" i="1"/>
  <c r="L28" i="1"/>
  <c r="J29" i="1"/>
  <c r="K29" i="1"/>
  <c r="L29" i="1"/>
  <c r="J30" i="1"/>
  <c r="K30" i="1"/>
  <c r="L30" i="1"/>
  <c r="J31" i="1"/>
  <c r="K31" i="1"/>
  <c r="L31" i="1"/>
  <c r="J32" i="1"/>
  <c r="K32" i="1"/>
  <c r="L32" i="1"/>
  <c r="J33" i="1"/>
  <c r="K33" i="1"/>
  <c r="L33" i="1"/>
  <c r="J34" i="1"/>
  <c r="K34" i="1"/>
  <c r="L34" i="1"/>
  <c r="J35" i="1"/>
  <c r="K35" i="1"/>
  <c r="L35" i="1"/>
  <c r="J36" i="1"/>
  <c r="K36" i="1"/>
  <c r="L36" i="1"/>
  <c r="J37" i="1"/>
  <c r="K37" i="1"/>
  <c r="L37" i="1"/>
  <c r="J38" i="1"/>
  <c r="K38" i="1"/>
  <c r="L38" i="1"/>
  <c r="J39" i="1"/>
  <c r="K39" i="1"/>
  <c r="L39" i="1"/>
  <c r="J40" i="1"/>
  <c r="K40" i="1"/>
  <c r="L40" i="1"/>
  <c r="J41" i="1"/>
  <c r="K41" i="1"/>
  <c r="L41" i="1"/>
  <c r="J42" i="1"/>
  <c r="K42" i="1"/>
  <c r="L42" i="1"/>
  <c r="J43" i="1"/>
  <c r="K43" i="1"/>
  <c r="L43" i="1"/>
  <c r="J44" i="1"/>
  <c r="K44" i="1"/>
  <c r="L44" i="1"/>
  <c r="J45" i="1"/>
  <c r="K45" i="1"/>
  <c r="L45" i="1"/>
  <c r="J46" i="1"/>
  <c r="K46" i="1"/>
  <c r="L46" i="1"/>
  <c r="J47" i="1"/>
  <c r="K47" i="1"/>
  <c r="L47" i="1"/>
  <c r="J48" i="1"/>
  <c r="K48" i="1"/>
  <c r="L48" i="1"/>
  <c r="J49" i="1"/>
  <c r="K49" i="1"/>
  <c r="L49" i="1"/>
  <c r="J50" i="1"/>
  <c r="K50" i="1"/>
  <c r="L50" i="1"/>
  <c r="J51" i="1"/>
  <c r="K51" i="1"/>
  <c r="L51" i="1"/>
  <c r="J52" i="1"/>
  <c r="K52" i="1"/>
  <c r="L52" i="1"/>
  <c r="J53" i="1"/>
  <c r="K53" i="1"/>
  <c r="L53" i="1"/>
  <c r="J54" i="1"/>
  <c r="K54" i="1"/>
  <c r="L54" i="1"/>
  <c r="J55" i="1"/>
  <c r="K55" i="1"/>
  <c r="L55" i="1"/>
  <c r="H483" i="1"/>
  <c r="C47" i="120"/>
  <c r="C48" i="120"/>
  <c r="C49" i="120"/>
  <c r="C50" i="120"/>
  <c r="C51" i="120"/>
  <c r="C52" i="120"/>
  <c r="C53" i="120"/>
  <c r="C54" i="120"/>
  <c r="C55" i="120"/>
  <c r="AW949" i="1"/>
  <c r="AW950" i="1"/>
  <c r="AW951" i="1"/>
  <c r="AW954" i="1"/>
  <c r="AW955" i="1"/>
  <c r="AW956" i="1"/>
  <c r="AW957" i="1"/>
  <c r="AW958" i="1"/>
  <c r="AW959" i="1"/>
  <c r="AW960" i="1"/>
  <c r="AW961" i="1"/>
  <c r="AW962" i="1"/>
  <c r="AW963" i="1"/>
  <c r="AW964" i="1"/>
  <c r="AW965" i="1"/>
  <c r="AW966" i="1"/>
  <c r="AW967" i="1"/>
  <c r="AW968" i="1"/>
  <c r="AW969" i="1"/>
  <c r="AW970" i="1"/>
  <c r="AW971" i="1"/>
  <c r="AW972" i="1"/>
  <c r="AW973" i="1"/>
  <c r="AW974" i="1"/>
  <c r="AW975" i="1"/>
  <c r="AW976" i="1"/>
  <c r="AW977" i="1"/>
  <c r="AW978" i="1"/>
  <c r="AW979" i="1"/>
  <c r="AW980" i="1"/>
  <c r="AW981" i="1"/>
  <c r="AW982" i="1"/>
  <c r="AW983" i="1"/>
  <c r="AW984" i="1"/>
  <c r="AW986" i="1"/>
  <c r="AW987" i="1"/>
  <c r="AW988" i="1"/>
  <c r="AW989" i="1"/>
  <c r="AW991" i="1"/>
  <c r="AW992" i="1"/>
  <c r="AW993" i="1"/>
  <c r="AW994" i="1"/>
  <c r="AW995" i="1"/>
  <c r="AW996" i="1"/>
  <c r="AW997" i="1"/>
  <c r="AW998" i="1"/>
  <c r="AW999" i="1"/>
  <c r="AW1000" i="1"/>
  <c r="AW1001" i="1"/>
  <c r="AW1002" i="1"/>
  <c r="AW1003" i="1"/>
  <c r="AW1004" i="1"/>
  <c r="AW1005" i="1"/>
  <c r="AW1006" i="1"/>
  <c r="AW1007" i="1"/>
  <c r="AW1008" i="1"/>
  <c r="AW1009" i="1"/>
  <c r="AW1010" i="1"/>
  <c r="AW1011" i="1"/>
  <c r="AW1012" i="1"/>
  <c r="AW1013" i="1"/>
  <c r="AW1014" i="1"/>
  <c r="AW1015" i="1"/>
  <c r="AW1016" i="1"/>
  <c r="AW1017" i="1"/>
  <c r="AW1018" i="1"/>
  <c r="AW1019" i="1"/>
  <c r="AW1020" i="1"/>
  <c r="AW1021" i="1"/>
  <c r="AW1022" i="1"/>
  <c r="AW1023" i="1"/>
  <c r="AW1024" i="1"/>
  <c r="AW1025" i="1"/>
  <c r="AW1026" i="1"/>
  <c r="AW1027" i="1"/>
  <c r="AW1028" i="1"/>
  <c r="AW1029" i="1"/>
  <c r="AW1030" i="1"/>
  <c r="AW1031" i="1"/>
  <c r="AW1032" i="1"/>
  <c r="AW1034" i="1"/>
  <c r="AW1035" i="1"/>
  <c r="AW1036" i="1"/>
  <c r="AW1037" i="1"/>
  <c r="AW1038" i="1"/>
  <c r="AW1039" i="1"/>
  <c r="AW1040" i="1"/>
  <c r="AW1041" i="1"/>
  <c r="AW1042" i="1"/>
  <c r="AW1043" i="1"/>
  <c r="AW1044" i="1"/>
  <c r="AW1045" i="1"/>
  <c r="AW1046" i="1"/>
  <c r="AW1047" i="1"/>
  <c r="AW1048" i="1"/>
  <c r="AW1049" i="1"/>
  <c r="AW1050" i="1"/>
  <c r="AW1051" i="1"/>
  <c r="AW1052" i="1"/>
  <c r="AW1053" i="1"/>
  <c r="AW1054" i="1"/>
  <c r="AW1055" i="1"/>
  <c r="AW1056" i="1"/>
  <c r="AW1057" i="1"/>
  <c r="AW1058" i="1"/>
  <c r="AW1059" i="1"/>
  <c r="AW1060" i="1"/>
  <c r="AW1061" i="1"/>
  <c r="AW1062" i="1"/>
  <c r="AW1063" i="1"/>
  <c r="AW1064" i="1"/>
  <c r="AW1065" i="1"/>
  <c r="AW1066" i="1"/>
  <c r="AW1067" i="1"/>
  <c r="AW1068" i="1"/>
  <c r="AW1069" i="1"/>
  <c r="AW1070" i="1"/>
  <c r="AW1071" i="1"/>
  <c r="AW1072" i="1"/>
  <c r="AW1073" i="1"/>
  <c r="AW1074" i="1"/>
  <c r="AW1075" i="1"/>
  <c r="AW1076" i="1"/>
  <c r="AW1077" i="1"/>
  <c r="AW1078" i="1"/>
  <c r="AW1079" i="1"/>
  <c r="AW1080" i="1"/>
  <c r="AW1081" i="1"/>
  <c r="AW1082" i="1"/>
  <c r="AW1083" i="1"/>
  <c r="AW1084" i="1"/>
  <c r="AW1085" i="1"/>
  <c r="AW1086" i="1"/>
  <c r="AW1087" i="1"/>
  <c r="AW1088" i="1"/>
  <c r="AW1089" i="1"/>
  <c r="AW1090" i="1"/>
  <c r="AW1091" i="1"/>
  <c r="AW1092" i="1"/>
  <c r="AW1093" i="1"/>
  <c r="AW1094" i="1"/>
  <c r="AW1095" i="1"/>
  <c r="AW1096" i="1"/>
  <c r="AW1097" i="1"/>
  <c r="AW1098" i="1"/>
  <c r="AW1099" i="1"/>
  <c r="AW1100" i="1"/>
  <c r="AW1101" i="1"/>
  <c r="AW1102" i="1"/>
  <c r="AW1103" i="1"/>
  <c r="AW1104" i="1"/>
  <c r="AW1105" i="1"/>
  <c r="AW1106" i="1"/>
  <c r="AW1107" i="1"/>
  <c r="AW1108" i="1"/>
  <c r="AW1109" i="1"/>
  <c r="AW1110" i="1"/>
  <c r="AW1111" i="1"/>
  <c r="AW1112" i="1"/>
  <c r="AW1113" i="1"/>
  <c r="AW1114" i="1"/>
  <c r="AW1115" i="1"/>
  <c r="AW1116" i="1"/>
  <c r="AW1117" i="1"/>
  <c r="AW1118" i="1"/>
  <c r="AW1119" i="1"/>
  <c r="AW1120" i="1"/>
  <c r="AW1121" i="1"/>
  <c r="AW1122" i="1"/>
  <c r="AW1124" i="1"/>
  <c r="AW1125" i="1"/>
  <c r="AW1126" i="1"/>
  <c r="AW1127" i="1"/>
  <c r="AW1129" i="1"/>
  <c r="AW1130" i="1"/>
  <c r="AW1131" i="1"/>
  <c r="AW1132" i="1"/>
  <c r="AW1133" i="1"/>
  <c r="AW1134" i="1"/>
  <c r="AW1135" i="1"/>
  <c r="AW1136" i="1"/>
  <c r="AW1137" i="1"/>
  <c r="AW1138" i="1"/>
  <c r="AW1139" i="1"/>
  <c r="AW1140" i="1"/>
  <c r="AW1141" i="1"/>
  <c r="AW1142" i="1"/>
  <c r="AW1143" i="1"/>
  <c r="AW1144" i="1"/>
  <c r="AW1146" i="1"/>
  <c r="AW1147" i="1"/>
  <c r="AW1148" i="1"/>
  <c r="AW1149" i="1"/>
  <c r="AW1150" i="1"/>
  <c r="AW1152" i="1"/>
  <c r="AW1153" i="1"/>
  <c r="AW1154" i="1"/>
  <c r="AW1155" i="1"/>
  <c r="AW1156" i="1"/>
  <c r="AW1157" i="1"/>
  <c r="AW1158" i="1"/>
  <c r="AW1159" i="1"/>
  <c r="AW1160" i="1"/>
  <c r="AW1161" i="1"/>
  <c r="AW1162" i="1"/>
  <c r="AW1163" i="1"/>
  <c r="AW1164" i="1"/>
  <c r="AW1165" i="1"/>
  <c r="AW1166" i="1"/>
  <c r="AW1167" i="1"/>
  <c r="AW1168" i="1"/>
  <c r="AW1169" i="1"/>
  <c r="AW1170" i="1"/>
  <c r="AW1171" i="1"/>
  <c r="AW1172" i="1"/>
  <c r="AW1173" i="1"/>
  <c r="AW1174" i="1"/>
  <c r="AW1175" i="1"/>
  <c r="AW1176" i="1"/>
  <c r="AW1177" i="1"/>
  <c r="AW1178" i="1"/>
  <c r="AW1179" i="1"/>
  <c r="AW1180" i="1"/>
  <c r="AW1181" i="1"/>
  <c r="AW1182" i="1"/>
  <c r="AW1183" i="1"/>
  <c r="AW1184" i="1"/>
  <c r="AW1185" i="1"/>
  <c r="AW1186" i="1"/>
  <c r="AW1187" i="1"/>
  <c r="AW1188" i="1"/>
  <c r="AW1189" i="1"/>
  <c r="AW1190" i="1"/>
  <c r="AW1191" i="1"/>
  <c r="AW1192" i="1"/>
  <c r="AW1193" i="1"/>
  <c r="AW1194" i="1"/>
  <c r="AW1195" i="1"/>
  <c r="AW1196" i="1"/>
  <c r="AW1197" i="1"/>
  <c r="AW1198" i="1"/>
  <c r="AW1199" i="1"/>
  <c r="AW1200" i="1"/>
  <c r="AW1201" i="1"/>
  <c r="AW1203" i="1"/>
  <c r="AW1204" i="1"/>
  <c r="AW1205" i="1"/>
  <c r="AW1206" i="1"/>
  <c r="AW1207" i="1"/>
  <c r="AW1208" i="1"/>
  <c r="AW1209" i="1"/>
  <c r="AW1210" i="1"/>
  <c r="AW1211" i="1"/>
  <c r="AW1212" i="1"/>
  <c r="AW1213" i="1"/>
  <c r="AW1214" i="1"/>
  <c r="AW1216" i="1"/>
  <c r="AW1217" i="1"/>
  <c r="AW1218" i="1"/>
  <c r="AW1219" i="1"/>
  <c r="AW1220" i="1"/>
  <c r="AW1221" i="1"/>
  <c r="AW1222" i="1"/>
  <c r="AW1223" i="1"/>
  <c r="AW1224" i="1"/>
  <c r="AW1225" i="1"/>
  <c r="AW1226" i="1"/>
  <c r="AW1227" i="1"/>
  <c r="AW1228" i="1"/>
  <c r="AW1229" i="1"/>
  <c r="AW1230" i="1"/>
  <c r="AW1231" i="1"/>
  <c r="AW1232" i="1"/>
  <c r="AW1233" i="1"/>
  <c r="AW1234" i="1"/>
  <c r="AW1235" i="1"/>
  <c r="AW1236" i="1"/>
  <c r="AW1238" i="1"/>
  <c r="AW1239" i="1"/>
  <c r="AW1240" i="1"/>
  <c r="AW1241" i="1"/>
  <c r="AW1242" i="1"/>
  <c r="AW1243" i="1"/>
  <c r="AW1245" i="1"/>
  <c r="AW1246" i="1"/>
  <c r="AW1247" i="1"/>
  <c r="AW1248" i="1"/>
  <c r="AW1249" i="1"/>
  <c r="AW1250" i="1"/>
  <c r="AW1251" i="1"/>
  <c r="AW1252" i="1"/>
  <c r="AW1254" i="1"/>
  <c r="AW1255" i="1"/>
  <c r="AW1256" i="1"/>
  <c r="AW1257" i="1"/>
  <c r="AW1259" i="1"/>
  <c r="AW1260" i="1"/>
  <c r="AW1261" i="1"/>
  <c r="AW1263" i="1"/>
  <c r="AW1265" i="1"/>
  <c r="AW1266" i="1"/>
  <c r="AW1268" i="1"/>
  <c r="AW1269" i="1"/>
  <c r="AW1270" i="1"/>
  <c r="AW1271" i="1"/>
  <c r="AW1273" i="1"/>
  <c r="AW1274" i="1"/>
  <c r="AW1276" i="1"/>
  <c r="AW1277" i="1"/>
  <c r="AW1279" i="1"/>
  <c r="AW1280" i="1"/>
  <c r="AW1281" i="1"/>
  <c r="AW1282" i="1"/>
  <c r="AW1283" i="1"/>
  <c r="AW1284" i="1"/>
  <c r="AW1285" i="1"/>
  <c r="AW1286" i="1"/>
  <c r="AW1287" i="1"/>
  <c r="AW1288" i="1"/>
  <c r="AW1289" i="1"/>
  <c r="AW1290" i="1"/>
  <c r="AW1291" i="1"/>
  <c r="AW1292" i="1"/>
  <c r="AW1293" i="1"/>
  <c r="AW1294" i="1"/>
  <c r="AW1295" i="1"/>
  <c r="AW1296" i="1"/>
  <c r="AW1297" i="1"/>
  <c r="AW1298" i="1"/>
  <c r="AW1299" i="1"/>
  <c r="AW1300" i="1"/>
  <c r="AW1301" i="1"/>
  <c r="AW1302" i="1"/>
  <c r="AW1303" i="1"/>
  <c r="AW1304" i="1"/>
  <c r="AW1305" i="1"/>
  <c r="AW1306" i="1"/>
  <c r="AW1307" i="1"/>
  <c r="AW1308" i="1"/>
  <c r="AW1309" i="1"/>
  <c r="AW1310" i="1"/>
  <c r="AW1311" i="1"/>
  <c r="AW1312" i="1"/>
  <c r="AW1313" i="1"/>
  <c r="AW1314" i="1"/>
  <c r="AW1315" i="1"/>
  <c r="AW1316" i="1"/>
  <c r="AW1317" i="1"/>
  <c r="AW1318" i="1"/>
  <c r="AW1319" i="1"/>
  <c r="AW1320" i="1"/>
  <c r="AW1321" i="1"/>
  <c r="AW1322" i="1"/>
  <c r="AW1323" i="1"/>
  <c r="AW1324" i="1"/>
  <c r="AW1325" i="1"/>
  <c r="AW1326" i="1"/>
  <c r="AW1327" i="1"/>
  <c r="AW1328" i="1"/>
  <c r="AW1329" i="1"/>
  <c r="AW1330" i="1"/>
  <c r="AW1331" i="1"/>
  <c r="AW1332" i="1"/>
  <c r="AW1333" i="1"/>
  <c r="AW1334" i="1"/>
  <c r="AW1335" i="1"/>
  <c r="AW1337" i="1"/>
  <c r="AW1338" i="1"/>
  <c r="AW1339" i="1"/>
  <c r="AW1340" i="1"/>
  <c r="AW1342" i="1"/>
  <c r="AW1343" i="1"/>
  <c r="AW1344" i="1"/>
  <c r="AW1345" i="1"/>
  <c r="AW1346" i="1"/>
  <c r="AW1347" i="1"/>
  <c r="AW1348" i="1"/>
  <c r="AW1349" i="1"/>
  <c r="AW1350" i="1"/>
  <c r="AW1351" i="1"/>
  <c r="AW1352" i="1"/>
  <c r="AW1353" i="1"/>
  <c r="AW1354" i="1"/>
  <c r="AW1355" i="1"/>
  <c r="AW1356" i="1"/>
  <c r="AW1357" i="1"/>
  <c r="AW1358" i="1"/>
  <c r="AW1359" i="1"/>
  <c r="AW1360" i="1"/>
  <c r="AW1361" i="1"/>
  <c r="AW1362" i="1"/>
  <c r="AW1363" i="1"/>
  <c r="AW1364" i="1"/>
  <c r="AW1365" i="1"/>
  <c r="AW1366" i="1"/>
  <c r="AW1367" i="1"/>
  <c r="AW1368" i="1"/>
  <c r="AW1369" i="1"/>
  <c r="AW1370" i="1"/>
  <c r="AW1371" i="1"/>
  <c r="AW1372" i="1"/>
  <c r="AW1373" i="1"/>
  <c r="AW1374" i="1"/>
  <c r="AW1375" i="1"/>
  <c r="AW1376" i="1"/>
  <c r="AW1378" i="1"/>
  <c r="AW1379" i="1"/>
  <c r="AW1380" i="1"/>
  <c r="AW1381" i="1"/>
  <c r="AW1382" i="1"/>
  <c r="AW1383" i="1"/>
  <c r="AW1384" i="1"/>
  <c r="AW1385" i="1"/>
  <c r="AW1387" i="1"/>
  <c r="AW1388" i="1"/>
  <c r="AW1389" i="1"/>
  <c r="AW1390" i="1"/>
  <c r="AW1392" i="1"/>
  <c r="AW1393" i="1"/>
  <c r="AW1394" i="1"/>
  <c r="AW1395" i="1"/>
  <c r="AW1396" i="1"/>
  <c r="AW1397" i="1"/>
  <c r="AW1398" i="1"/>
  <c r="AW1399" i="1"/>
  <c r="AW1401" i="1"/>
  <c r="AW1402" i="1"/>
  <c r="AW1403" i="1"/>
  <c r="AW1404" i="1"/>
  <c r="AW1405" i="1"/>
  <c r="AW1406" i="1"/>
  <c r="AW1407" i="1"/>
  <c r="AW1408" i="1"/>
  <c r="AW1409" i="1"/>
  <c r="AW1410" i="1"/>
  <c r="AW1411" i="1"/>
  <c r="AW1412" i="1"/>
  <c r="AW1413" i="1"/>
  <c r="AW1414" i="1"/>
  <c r="AW1415" i="1"/>
  <c r="AW1416" i="1"/>
  <c r="AW1417" i="1"/>
  <c r="AW1418" i="1"/>
  <c r="AW1419" i="1"/>
  <c r="AW1420" i="1"/>
  <c r="AW1421" i="1"/>
  <c r="AW1422" i="1"/>
  <c r="AW1423" i="1"/>
  <c r="AW1424" i="1"/>
  <c r="AW1425" i="1"/>
  <c r="AW1426" i="1"/>
  <c r="AW1427" i="1"/>
  <c r="AW1428" i="1"/>
  <c r="AW1429" i="1"/>
  <c r="AW1430" i="1"/>
  <c r="AW1431" i="1"/>
  <c r="AW1432" i="1"/>
  <c r="AW1433" i="1"/>
  <c r="AW1434" i="1"/>
  <c r="AW1435" i="1"/>
  <c r="AW1436" i="1"/>
  <c r="AW1437" i="1"/>
  <c r="AW1438" i="1"/>
  <c r="AW1439" i="1"/>
  <c r="AW1440" i="1"/>
  <c r="AW1441" i="1"/>
  <c r="AW1442" i="1"/>
  <c r="AW1443" i="1"/>
  <c r="AW1444" i="1"/>
  <c r="AW1445" i="1"/>
  <c r="AW1446" i="1"/>
  <c r="AW1447" i="1"/>
  <c r="AW1448" i="1"/>
  <c r="AW1449" i="1"/>
  <c r="AW1450" i="1"/>
  <c r="AW1451" i="1"/>
  <c r="AW1452" i="1"/>
  <c r="AW1453" i="1"/>
  <c r="AW1454" i="1"/>
  <c r="AW1455" i="1"/>
  <c r="AW1456" i="1"/>
  <c r="AW1457" i="1"/>
  <c r="AW1458" i="1"/>
  <c r="AW1459" i="1"/>
  <c r="AW1460" i="1"/>
  <c r="AW1461" i="1"/>
  <c r="AW1462" i="1"/>
  <c r="AW1463" i="1"/>
  <c r="AW1464" i="1"/>
  <c r="AW1465" i="1"/>
  <c r="AW1466" i="1"/>
  <c r="AW1467" i="1"/>
  <c r="AW1468" i="1"/>
  <c r="AW1469" i="1"/>
  <c r="AW1470" i="1"/>
  <c r="AW1471" i="1"/>
  <c r="AW1472" i="1"/>
  <c r="AW1473" i="1"/>
  <c r="AW1474" i="1"/>
  <c r="AW1475" i="1"/>
  <c r="AW1476" i="1"/>
  <c r="AW1477" i="1"/>
  <c r="AW1478" i="1"/>
  <c r="AW1479" i="1"/>
  <c r="AW1480" i="1"/>
  <c r="AW1481" i="1"/>
  <c r="AW1482" i="1"/>
  <c r="AW1483" i="1"/>
  <c r="AW1484" i="1"/>
  <c r="AW1485" i="1"/>
  <c r="AW1486" i="1"/>
  <c r="AW1487" i="1"/>
  <c r="AW1488" i="1"/>
  <c r="AW1489" i="1"/>
  <c r="AW1490" i="1"/>
  <c r="AW1491" i="1"/>
  <c r="AW1492" i="1"/>
  <c r="AW1493" i="1"/>
  <c r="AW1494" i="1"/>
  <c r="AW1495" i="1"/>
  <c r="AW1496" i="1"/>
  <c r="AW1497" i="1"/>
  <c r="AW1498" i="1"/>
  <c r="AW1499" i="1"/>
  <c r="AW1500" i="1"/>
  <c r="AW1501" i="1"/>
  <c r="AW1502" i="1"/>
  <c r="AW1503" i="1"/>
  <c r="AW1504" i="1"/>
  <c r="AW1505" i="1"/>
  <c r="AW1506" i="1"/>
  <c r="AW1507" i="1"/>
  <c r="AW1508" i="1"/>
  <c r="AW1509" i="1"/>
  <c r="AW1510" i="1"/>
  <c r="AW1511" i="1"/>
  <c r="AW1512" i="1"/>
  <c r="AW1513" i="1"/>
  <c r="AW1514" i="1"/>
  <c r="AW1515" i="1"/>
  <c r="AW1516" i="1"/>
  <c r="AW1517" i="1"/>
  <c r="AW1518" i="1"/>
  <c r="AW1519" i="1"/>
  <c r="AW1520" i="1"/>
  <c r="AW1521" i="1"/>
  <c r="AW1522" i="1"/>
  <c r="AW1523" i="1"/>
  <c r="AW1524" i="1"/>
  <c r="AW1525" i="1"/>
  <c r="AW1526" i="1"/>
  <c r="AW1527" i="1"/>
  <c r="AW1528" i="1"/>
  <c r="AW1529" i="1"/>
  <c r="AW1530" i="1"/>
  <c r="AW1531" i="1"/>
  <c r="AW1532" i="1"/>
  <c r="AW1533" i="1"/>
  <c r="AW1534" i="1"/>
  <c r="AW1535" i="1"/>
  <c r="AW1536" i="1"/>
  <c r="AW1537" i="1"/>
  <c r="AW1538" i="1"/>
  <c r="AW1539" i="1"/>
  <c r="AW1540" i="1"/>
  <c r="AW1541" i="1"/>
  <c r="AW1542" i="1"/>
  <c r="AW1543" i="1"/>
  <c r="AW1544" i="1"/>
  <c r="AW1545" i="1"/>
  <c r="AW1546" i="1"/>
  <c r="AW1547" i="1"/>
  <c r="AW1548" i="1"/>
  <c r="AW1549" i="1"/>
  <c r="AW1550" i="1"/>
  <c r="AW1551" i="1"/>
  <c r="AW1552" i="1"/>
  <c r="AW1553" i="1"/>
  <c r="AW1554" i="1"/>
  <c r="AW1555" i="1"/>
  <c r="AW1556" i="1"/>
  <c r="AW1557" i="1"/>
  <c r="AW1558" i="1"/>
  <c r="AW1559" i="1"/>
  <c r="AW1560" i="1"/>
  <c r="AW1561" i="1"/>
  <c r="AW1562" i="1"/>
  <c r="AW1563" i="1"/>
  <c r="AW1564" i="1"/>
  <c r="AW1565" i="1"/>
  <c r="AW1566" i="1"/>
  <c r="AW1567" i="1"/>
  <c r="AW1568" i="1"/>
  <c r="AW1569" i="1"/>
  <c r="AW1570" i="1"/>
  <c r="AW1571" i="1"/>
  <c r="AW1572" i="1"/>
  <c r="AW1573" i="1"/>
  <c r="AW1574" i="1"/>
  <c r="AW1575" i="1"/>
  <c r="AW1576" i="1"/>
  <c r="AW1577" i="1"/>
  <c r="AW1578" i="1"/>
  <c r="AW1579" i="1"/>
  <c r="AW1580" i="1"/>
  <c r="AW1581" i="1"/>
  <c r="AW1582" i="1"/>
  <c r="AW1583" i="1"/>
  <c r="AW1584" i="1"/>
  <c r="AW1585" i="1"/>
  <c r="AW1586" i="1"/>
  <c r="AW1587" i="1"/>
  <c r="AW1588" i="1"/>
  <c r="AW1589" i="1"/>
  <c r="AW1590" i="1"/>
  <c r="AW1591" i="1"/>
  <c r="AW1592" i="1"/>
  <c r="AW1593" i="1"/>
  <c r="AW1594" i="1"/>
  <c r="AW1595" i="1"/>
  <c r="AW1596" i="1"/>
  <c r="AW1598" i="1"/>
  <c r="AW1599" i="1"/>
  <c r="AW1600" i="1"/>
  <c r="AW1601" i="1"/>
  <c r="AW1602" i="1"/>
  <c r="AW1603" i="1"/>
  <c r="AW1604" i="1"/>
  <c r="AW1605" i="1"/>
  <c r="AW1606" i="1"/>
  <c r="AW1607" i="1"/>
  <c r="AW1608" i="1"/>
  <c r="AW1609" i="1"/>
  <c r="AW1610" i="1"/>
  <c r="AW1611" i="1"/>
  <c r="AW1612" i="1"/>
  <c r="AW1613" i="1"/>
  <c r="AW1614" i="1"/>
  <c r="AW1615" i="1"/>
  <c r="AW1616" i="1"/>
  <c r="AW1617" i="1"/>
  <c r="AW1618" i="1"/>
  <c r="AW1619" i="1"/>
  <c r="AW1620" i="1"/>
  <c r="AW1621" i="1"/>
  <c r="AW1622" i="1"/>
  <c r="AW1623" i="1"/>
  <c r="AW1624" i="1"/>
  <c r="AW1625" i="1"/>
  <c r="AW1626" i="1"/>
  <c r="AW1627" i="1"/>
  <c r="AW1628" i="1"/>
  <c r="AW1629" i="1"/>
  <c r="AW1630" i="1"/>
  <c r="AW1631" i="1"/>
  <c r="AW1632" i="1"/>
  <c r="AW1633" i="1"/>
  <c r="AW1634" i="1"/>
  <c r="AW1635" i="1"/>
  <c r="AW1636" i="1"/>
  <c r="AW1637" i="1"/>
  <c r="AW1638" i="1"/>
  <c r="AW1639" i="1"/>
  <c r="AW1640" i="1"/>
  <c r="AW1641" i="1"/>
  <c r="AW1642" i="1"/>
  <c r="AW1643" i="1"/>
  <c r="AW1644" i="1"/>
  <c r="AW1645" i="1"/>
  <c r="AW1646" i="1"/>
  <c r="AW1647" i="1"/>
  <c r="AW1648" i="1"/>
  <c r="AW1649" i="1"/>
  <c r="AW1650" i="1"/>
  <c r="AW1651" i="1"/>
  <c r="AW1652" i="1"/>
  <c r="AW1653" i="1"/>
  <c r="AW1654" i="1"/>
  <c r="AW1655" i="1"/>
  <c r="AW1656" i="1"/>
  <c r="AW1657" i="1"/>
  <c r="AW1658" i="1"/>
  <c r="AW1659" i="1"/>
  <c r="AW1660" i="1"/>
  <c r="AW1661" i="1"/>
  <c r="AW1662" i="1"/>
  <c r="AW1663" i="1"/>
  <c r="AW1664" i="1"/>
  <c r="AW1665" i="1"/>
  <c r="AW1666" i="1"/>
  <c r="AW1667" i="1"/>
  <c r="AW1668" i="1"/>
  <c r="AW1669" i="1"/>
  <c r="AW1670" i="1"/>
  <c r="AW1671" i="1"/>
  <c r="AW1672" i="1"/>
  <c r="AW1673" i="1"/>
  <c r="AW1674" i="1"/>
  <c r="AW1675" i="1"/>
  <c r="AW1676" i="1"/>
  <c r="AW1677" i="1"/>
  <c r="AW1678" i="1"/>
  <c r="AW1679" i="1"/>
  <c r="AW1680" i="1"/>
  <c r="AW1681" i="1"/>
  <c r="AW1682" i="1"/>
  <c r="AW1683" i="1"/>
  <c r="AW1684" i="1"/>
  <c r="AW1685" i="1"/>
  <c r="AW1686" i="1"/>
  <c r="AW1687" i="1"/>
  <c r="AW1688" i="1"/>
  <c r="AW1689" i="1"/>
  <c r="AW1690" i="1"/>
  <c r="AW1691" i="1"/>
  <c r="AW1692" i="1"/>
  <c r="AW1693" i="1"/>
  <c r="AW1694" i="1"/>
  <c r="AW1695" i="1"/>
  <c r="AW1696" i="1"/>
  <c r="AW1697" i="1"/>
  <c r="AW1698" i="1"/>
  <c r="AW1699" i="1"/>
  <c r="AW1700" i="1"/>
  <c r="AW1701" i="1"/>
  <c r="AW1702" i="1"/>
  <c r="AW1703" i="1"/>
  <c r="AW1704" i="1"/>
  <c r="AW1705" i="1"/>
  <c r="AW1706" i="1"/>
  <c r="AW1707" i="1"/>
  <c r="AW1708" i="1"/>
  <c r="AW1709" i="1"/>
  <c r="AW1710" i="1"/>
  <c r="AW1711" i="1"/>
  <c r="AW1712" i="1"/>
  <c r="AW1713" i="1"/>
  <c r="AW1714" i="1"/>
  <c r="AW1715" i="1"/>
  <c r="AW1716" i="1"/>
  <c r="AW1717" i="1"/>
  <c r="AW1718" i="1"/>
  <c r="AW1719" i="1"/>
  <c r="AW1720" i="1"/>
  <c r="AW1721" i="1"/>
  <c r="AW1722" i="1"/>
  <c r="AW1723" i="1"/>
  <c r="AW1724" i="1"/>
  <c r="AW1725" i="1"/>
  <c r="AW1726" i="1"/>
  <c r="AW1727" i="1"/>
  <c r="AW1728" i="1"/>
  <c r="AW1729" i="1"/>
  <c r="AW1730" i="1"/>
  <c r="AW1731" i="1"/>
  <c r="AW1732" i="1"/>
  <c r="AW1733" i="1"/>
  <c r="AW1734" i="1"/>
  <c r="AW1735" i="1"/>
  <c r="AW1736" i="1"/>
  <c r="AW1737" i="1"/>
  <c r="AW1738" i="1"/>
  <c r="AW1739" i="1"/>
  <c r="AW1740" i="1"/>
  <c r="AW1741" i="1"/>
  <c r="AW1742" i="1"/>
  <c r="AW1743" i="1"/>
  <c r="AW1744" i="1"/>
  <c r="AW1745" i="1"/>
  <c r="AW1746" i="1"/>
  <c r="AW1747" i="1"/>
  <c r="AW1748" i="1"/>
  <c r="AW1749" i="1"/>
  <c r="AW1750" i="1"/>
  <c r="AW1751" i="1"/>
  <c r="AW1752" i="1"/>
  <c r="AW1753" i="1"/>
  <c r="AW1754" i="1"/>
  <c r="AW1755" i="1"/>
  <c r="AW1756" i="1"/>
  <c r="AW1757" i="1"/>
  <c r="AW1758" i="1"/>
  <c r="AW1760" i="1"/>
  <c r="AW1761" i="1"/>
  <c r="AW1762" i="1"/>
  <c r="AW1763" i="1"/>
  <c r="AW1764" i="1"/>
  <c r="AW1765" i="1"/>
  <c r="AW1766" i="1"/>
  <c r="AW1767" i="1"/>
  <c r="AW1768" i="1"/>
  <c r="AW1769" i="1"/>
  <c r="AW1770" i="1"/>
  <c r="AW1771" i="1"/>
  <c r="AW1772" i="1"/>
  <c r="AW1773" i="1"/>
  <c r="AW1774" i="1"/>
  <c r="AW1775" i="1"/>
  <c r="AW1776" i="1"/>
  <c r="AW1777" i="1"/>
  <c r="AW1778" i="1"/>
  <c r="AW1779" i="1"/>
  <c r="AW1780" i="1"/>
  <c r="AW1781" i="1"/>
  <c r="AW1782" i="1"/>
  <c r="AW1783" i="1"/>
  <c r="AW1784" i="1"/>
  <c r="AW1785" i="1"/>
  <c r="AW1786" i="1"/>
  <c r="AW1787" i="1"/>
  <c r="AW1788" i="1"/>
  <c r="AW1789" i="1"/>
  <c r="AW1790" i="1"/>
  <c r="AW1791" i="1"/>
  <c r="AW1792" i="1"/>
  <c r="AW1793" i="1"/>
  <c r="AW1794" i="1"/>
  <c r="AW1795" i="1"/>
  <c r="AW1796" i="1"/>
  <c r="AW1797" i="1"/>
  <c r="AW1798" i="1"/>
  <c r="AW1799" i="1"/>
  <c r="AW1800" i="1"/>
  <c r="AW1801" i="1"/>
  <c r="AW1802" i="1"/>
  <c r="AW1803" i="1"/>
  <c r="AW1804" i="1"/>
  <c r="AW1805" i="1"/>
  <c r="AW1806" i="1"/>
  <c r="AW1807" i="1"/>
  <c r="AW1808" i="1"/>
  <c r="AW1809" i="1"/>
  <c r="AW1810" i="1"/>
  <c r="AW1811" i="1"/>
  <c r="AW1812" i="1"/>
  <c r="AW1813" i="1"/>
  <c r="AW1814" i="1"/>
  <c r="AW1815" i="1"/>
  <c r="AW1816" i="1"/>
  <c r="AW1817" i="1"/>
  <c r="AW1818" i="1"/>
  <c r="AW1819" i="1"/>
  <c r="AW1820" i="1"/>
  <c r="AW1821" i="1"/>
  <c r="AW1822" i="1"/>
  <c r="AW1823" i="1"/>
  <c r="AW1824" i="1"/>
  <c r="AW1825" i="1"/>
  <c r="AW1826" i="1"/>
  <c r="AW1827" i="1"/>
  <c r="AW1828" i="1"/>
  <c r="AW1829" i="1"/>
  <c r="AW1830" i="1"/>
  <c r="AW1831" i="1"/>
  <c r="AW1832" i="1"/>
  <c r="AW1833" i="1"/>
  <c r="AW1834" i="1"/>
  <c r="AW1835" i="1"/>
  <c r="AW1836" i="1"/>
  <c r="AW1837" i="1"/>
  <c r="AW1838" i="1"/>
  <c r="AW1839" i="1"/>
  <c r="AW1840" i="1"/>
  <c r="AW1841" i="1"/>
  <c r="AW1842" i="1"/>
  <c r="AW1843" i="1"/>
  <c r="AW1844" i="1"/>
  <c r="AW1845" i="1"/>
  <c r="AW1846" i="1"/>
  <c r="AW1847" i="1"/>
  <c r="AW1848" i="1"/>
  <c r="AW1849" i="1"/>
  <c r="AW1850" i="1"/>
  <c r="AW1851" i="1"/>
  <c r="AW1852" i="1"/>
  <c r="AW1853" i="1"/>
  <c r="AW1854" i="1"/>
  <c r="AW1855" i="1"/>
  <c r="AW1856" i="1"/>
  <c r="AW1857" i="1"/>
  <c r="AW1858" i="1"/>
  <c r="AW1859" i="1"/>
  <c r="AW1860" i="1"/>
  <c r="AW1861" i="1"/>
  <c r="AW1862" i="1"/>
  <c r="AW1863" i="1"/>
  <c r="AW1864" i="1"/>
  <c r="AW1865" i="1"/>
  <c r="AW1866" i="1"/>
  <c r="AW1867" i="1"/>
  <c r="AW1868" i="1"/>
  <c r="AW1869" i="1"/>
  <c r="AW1870" i="1"/>
  <c r="AW1871" i="1"/>
  <c r="AW1873" i="1"/>
  <c r="AW1874" i="1"/>
  <c r="AW1875" i="1"/>
  <c r="AW1876" i="1"/>
  <c r="AW1877" i="1"/>
  <c r="AW1878" i="1"/>
  <c r="AW1879" i="1"/>
  <c r="AW1880" i="1"/>
  <c r="AW1881" i="1"/>
  <c r="AW1882" i="1"/>
  <c r="AW1883" i="1"/>
  <c r="AW1884" i="1"/>
  <c r="AW1886" i="1"/>
  <c r="AW1887" i="1"/>
  <c r="AW1888" i="1"/>
  <c r="AW1889" i="1"/>
  <c r="AW1890" i="1"/>
  <c r="AW1891" i="1"/>
  <c r="AW1892" i="1"/>
  <c r="AW1893" i="1"/>
  <c r="AW1894" i="1"/>
  <c r="AW1895" i="1"/>
  <c r="AW1896" i="1"/>
  <c r="AW1897" i="1"/>
  <c r="AW1898" i="1"/>
  <c r="AW1899" i="1"/>
  <c r="AW1900" i="1"/>
  <c r="AW1901" i="1"/>
  <c r="AW1902" i="1"/>
  <c r="AW1903" i="1"/>
  <c r="AW1904" i="1"/>
  <c r="AW1905" i="1"/>
  <c r="AW1906" i="1"/>
  <c r="AW1907" i="1"/>
  <c r="AW1908" i="1"/>
  <c r="AW1909" i="1"/>
  <c r="AW1910" i="1"/>
  <c r="AW1911" i="1"/>
  <c r="AW1912" i="1"/>
  <c r="AW1913" i="1"/>
  <c r="AW1914" i="1"/>
  <c r="AW1915" i="1"/>
  <c r="AW1916" i="1"/>
  <c r="AW1917" i="1"/>
  <c r="AW1918" i="1"/>
  <c r="AW1919" i="1"/>
  <c r="AW1920" i="1"/>
  <c r="AW1921" i="1"/>
  <c r="AW1922" i="1"/>
  <c r="AW1923" i="1"/>
  <c r="AW1924" i="1"/>
  <c r="AW1925" i="1"/>
  <c r="AW1926" i="1"/>
  <c r="AW1927" i="1"/>
  <c r="AW1928" i="1"/>
  <c r="AW1929" i="1"/>
  <c r="AW1930" i="1"/>
  <c r="AW1931" i="1"/>
  <c r="AW1932" i="1"/>
  <c r="AW1933" i="1"/>
  <c r="AW1934" i="1"/>
  <c r="AW1935" i="1"/>
  <c r="AW1936" i="1"/>
  <c r="AW1937" i="1"/>
  <c r="AW1938" i="1"/>
  <c r="AW1939" i="1"/>
  <c r="AW1940" i="1"/>
  <c r="AW1941" i="1"/>
  <c r="AW1942" i="1"/>
  <c r="AW1943" i="1"/>
  <c r="AW1944" i="1"/>
  <c r="AW1945" i="1"/>
  <c r="AW1946" i="1"/>
  <c r="AW1947" i="1"/>
  <c r="AW1948" i="1"/>
  <c r="AW1949" i="1"/>
  <c r="AW1950" i="1"/>
  <c r="AW1951" i="1"/>
  <c r="AW1952" i="1"/>
  <c r="AW1953" i="1"/>
  <c r="AW1954" i="1"/>
  <c r="AW1955" i="1"/>
  <c r="AW1956" i="1"/>
  <c r="AW1957" i="1"/>
  <c r="AW1958" i="1"/>
  <c r="AW1959" i="1"/>
  <c r="AW1960" i="1"/>
  <c r="AW1961" i="1"/>
  <c r="AW1962" i="1"/>
  <c r="AW1963" i="1"/>
  <c r="AW1964" i="1"/>
  <c r="AW1965" i="1"/>
  <c r="AW1966" i="1"/>
  <c r="AW1967" i="1"/>
  <c r="AW1968" i="1"/>
  <c r="AW1969" i="1"/>
  <c r="AW1970" i="1"/>
  <c r="AW1971" i="1"/>
  <c r="AW1972" i="1"/>
  <c r="AW1973" i="1"/>
  <c r="AW1974" i="1"/>
  <c r="AW1975" i="1"/>
  <c r="AW1976" i="1"/>
  <c r="AW1977" i="1"/>
  <c r="AW1978" i="1"/>
  <c r="AW1979" i="1"/>
  <c r="AW1980" i="1"/>
  <c r="AW1981" i="1"/>
  <c r="AW1982" i="1"/>
  <c r="AW1983" i="1"/>
  <c r="AW1984" i="1"/>
  <c r="AW1985" i="1"/>
  <c r="AW1986" i="1"/>
  <c r="AW1987" i="1"/>
  <c r="AW1988" i="1"/>
  <c r="AW1989" i="1"/>
  <c r="AW1990" i="1"/>
  <c r="AW1991" i="1"/>
  <c r="AW1992" i="1"/>
  <c r="AW1993" i="1"/>
  <c r="AW1994" i="1"/>
  <c r="AW1995" i="1"/>
  <c r="AW1996" i="1"/>
  <c r="AW1997" i="1"/>
  <c r="AW1998" i="1"/>
  <c r="AW1999" i="1"/>
  <c r="AW2000" i="1"/>
  <c r="J56" i="1"/>
  <c r="K56" i="1"/>
  <c r="L56" i="1"/>
  <c r="J127" i="1"/>
  <c r="K127" i="1"/>
  <c r="L127" i="1"/>
  <c r="J212" i="1"/>
  <c r="K212" i="1"/>
  <c r="L212" i="1"/>
  <c r="J344" i="1"/>
  <c r="K344" i="1"/>
  <c r="L344" i="1"/>
  <c r="J468" i="1"/>
  <c r="K468" i="1"/>
  <c r="L468" i="1"/>
  <c r="J589" i="1"/>
  <c r="K589" i="1"/>
  <c r="L589" i="1"/>
  <c r="AV2" i="1"/>
  <c r="D29" i="173"/>
  <c r="D36" i="173"/>
  <c r="D50" i="173"/>
  <c r="E38" i="173"/>
  <c r="E39" i="173"/>
  <c r="E40" i="173"/>
  <c r="E41" i="173"/>
  <c r="E42" i="173"/>
  <c r="AW1759" i="1" l="1"/>
  <c r="AW1597" i="1"/>
  <c r="R483" i="1"/>
  <c r="S483" i="1" s="1"/>
  <c r="AZ483" i="1"/>
  <c r="BA483" i="1"/>
  <c r="T1033" i="1"/>
  <c r="R1018" i="1"/>
  <c r="S1018" i="1" s="1"/>
  <c r="T1215" i="1"/>
  <c r="R1215" i="1"/>
  <c r="S1215" i="1" s="1"/>
  <c r="T1202" i="1"/>
  <c r="R1202" i="1"/>
  <c r="S1202" i="1" s="1"/>
  <c r="R1182" i="1"/>
  <c r="S1182" i="1" s="1"/>
  <c r="R1174" i="1"/>
  <c r="S1174" i="1" s="1"/>
  <c r="T1151" i="1"/>
  <c r="R1151" i="1"/>
  <c r="S1151" i="1" s="1"/>
  <c r="R1137" i="1"/>
  <c r="S1137" i="1" s="1"/>
  <c r="R1133" i="1"/>
  <c r="S1133" i="1" s="1"/>
  <c r="T1123" i="1"/>
  <c r="R1123" i="1"/>
  <c r="S1123" i="1" s="1"/>
  <c r="T1400" i="1"/>
  <c r="T1391" i="1"/>
  <c r="T1341" i="1"/>
  <c r="R1341" i="1"/>
  <c r="S1341" i="1" s="1"/>
  <c r="T1336" i="1"/>
  <c r="R1336" i="1"/>
  <c r="S1336" i="1" s="1"/>
  <c r="T1275" i="1"/>
  <c r="R1275" i="1"/>
  <c r="S1275" i="1" s="1"/>
  <c r="T1272" i="1"/>
  <c r="R1272" i="1"/>
  <c r="S1272" i="1" s="1"/>
  <c r="T1258" i="1"/>
  <c r="R1258" i="1"/>
  <c r="S1258" i="1" s="1"/>
  <c r="T1253" i="1"/>
  <c r="R1253" i="1"/>
  <c r="S1253" i="1" s="1"/>
  <c r="T20" i="1"/>
  <c r="AW20" i="1" s="1"/>
  <c r="T53" i="1"/>
  <c r="R53" i="1"/>
  <c r="S53" i="1" s="1"/>
  <c r="R38" i="1"/>
  <c r="S38" i="1" s="1"/>
  <c r="R28" i="1"/>
  <c r="S28" i="1" s="1"/>
  <c r="T255" i="1"/>
  <c r="R255" i="1"/>
  <c r="S255" i="1" s="1"/>
  <c r="T189" i="1"/>
  <c r="R189" i="1"/>
  <c r="S189" i="1" s="1"/>
  <c r="R185" i="1"/>
  <c r="S185" i="1" s="1"/>
  <c r="AZ1901" i="1"/>
  <c r="BA1901" i="1"/>
  <c r="AZ1735" i="1"/>
  <c r="BA1735" i="1"/>
  <c r="AZ1598" i="1"/>
  <c r="BA1598" i="1"/>
  <c r="AZ1419" i="1"/>
  <c r="BA1419" i="1"/>
  <c r="AZ1391" i="1"/>
  <c r="BA1391" i="1"/>
  <c r="AZ1379" i="1"/>
  <c r="BA1379" i="1"/>
  <c r="AZ1314" i="1"/>
  <c r="BA1314" i="1"/>
  <c r="AZ1309" i="1"/>
  <c r="BA1309" i="1"/>
  <c r="AZ1301" i="1"/>
  <c r="BA1301" i="1"/>
  <c r="AZ1296" i="1"/>
  <c r="BA1296" i="1"/>
  <c r="AZ1201" i="1"/>
  <c r="BA1201" i="1"/>
  <c r="AZ1196" i="1"/>
  <c r="BA1196" i="1"/>
  <c r="AZ1195" i="1"/>
  <c r="BA1195" i="1"/>
  <c r="AZ1107" i="1"/>
  <c r="BA1107" i="1"/>
  <c r="AZ1079" i="1"/>
  <c r="BA1079" i="1"/>
  <c r="AZ1049" i="1"/>
  <c r="BA1049" i="1"/>
  <c r="AZ1033" i="1"/>
  <c r="BA1033" i="1"/>
  <c r="AZ965" i="1"/>
  <c r="BA965" i="1"/>
  <c r="AZ955" i="1"/>
  <c r="BA955" i="1"/>
  <c r="AZ24" i="1"/>
  <c r="BA24" i="1"/>
  <c r="AZ20" i="1"/>
  <c r="BA20" i="1"/>
  <c r="AZ18" i="1"/>
  <c r="BA18" i="1"/>
  <c r="AZ16" i="1"/>
  <c r="BA16" i="1"/>
  <c r="AZ14" i="1"/>
  <c r="BA14" i="1"/>
  <c r="AZ13" i="1"/>
  <c r="BA13" i="1"/>
  <c r="AZ8" i="1"/>
  <c r="BA8" i="1"/>
  <c r="AZ7" i="1"/>
  <c r="BA7" i="1"/>
  <c r="AZ6" i="1"/>
  <c r="BA6" i="1"/>
  <c r="AZ68" i="1"/>
  <c r="BA68" i="1"/>
  <c r="AZ27" i="1"/>
  <c r="BA27" i="1"/>
  <c r="AZ25" i="1"/>
  <c r="BA25" i="1"/>
  <c r="AZ131" i="1"/>
  <c r="BA131" i="1"/>
  <c r="AZ109" i="1"/>
  <c r="BA109" i="1"/>
  <c r="AZ105" i="1"/>
  <c r="BA105" i="1"/>
  <c r="AZ104" i="1"/>
  <c r="BA104" i="1"/>
  <c r="AZ91" i="1"/>
  <c r="BA91" i="1"/>
  <c r="AZ87" i="1"/>
  <c r="BA87" i="1"/>
  <c r="AZ85" i="1"/>
  <c r="BA85" i="1"/>
  <c r="AZ83" i="1"/>
  <c r="BA83" i="1"/>
  <c r="AZ76" i="1"/>
  <c r="BA76" i="1"/>
  <c r="AZ271" i="1"/>
  <c r="BA271" i="1"/>
  <c r="AZ270" i="1"/>
  <c r="BA270" i="1"/>
  <c r="AZ268" i="1"/>
  <c r="BA268" i="1"/>
  <c r="AZ266" i="1"/>
  <c r="BA266" i="1"/>
  <c r="AZ260" i="1"/>
  <c r="BA260" i="1"/>
  <c r="AZ259" i="1"/>
  <c r="BA259" i="1"/>
  <c r="AZ254" i="1"/>
  <c r="BA254" i="1"/>
  <c r="AZ251" i="1"/>
  <c r="BA251" i="1"/>
  <c r="AZ250" i="1"/>
  <c r="BA250" i="1"/>
  <c r="AZ249" i="1"/>
  <c r="BA249" i="1"/>
  <c r="AZ247" i="1"/>
  <c r="BA247" i="1"/>
  <c r="AZ246" i="1"/>
  <c r="BA246" i="1"/>
  <c r="AZ245" i="1"/>
  <c r="BA245" i="1"/>
  <c r="AZ239" i="1"/>
  <c r="BA239" i="1"/>
  <c r="AZ227" i="1"/>
  <c r="BA227" i="1"/>
  <c r="AZ226" i="1"/>
  <c r="BA226" i="1"/>
  <c r="AZ215" i="1"/>
  <c r="BA215" i="1"/>
  <c r="AZ214" i="1"/>
  <c r="BA214" i="1"/>
  <c r="AZ213" i="1"/>
  <c r="BA213" i="1"/>
  <c r="AZ212" i="1"/>
  <c r="BA212" i="1"/>
  <c r="AZ210" i="1"/>
  <c r="BA210" i="1"/>
  <c r="AZ195" i="1"/>
  <c r="BA195" i="1"/>
  <c r="AZ188" i="1"/>
  <c r="BA188" i="1"/>
  <c r="AZ183" i="1"/>
  <c r="BA183" i="1"/>
  <c r="AZ182" i="1"/>
  <c r="BA182" i="1"/>
  <c r="AZ180" i="1"/>
  <c r="BA180" i="1"/>
  <c r="AZ171" i="1"/>
  <c r="BA171" i="1"/>
  <c r="AZ168" i="1"/>
  <c r="BA168" i="1"/>
  <c r="AZ164" i="1"/>
  <c r="BA164" i="1"/>
  <c r="AZ163" i="1"/>
  <c r="BA163" i="1"/>
  <c r="AZ157" i="1"/>
  <c r="BA157" i="1"/>
  <c r="AZ152" i="1"/>
  <c r="BA152" i="1"/>
  <c r="AZ151" i="1"/>
  <c r="BA151" i="1"/>
  <c r="R388" i="1"/>
  <c r="S388" i="1" s="1"/>
  <c r="R374" i="1"/>
  <c r="S374" i="1" s="1"/>
  <c r="R364" i="1"/>
  <c r="S364" i="1" s="1"/>
  <c r="T492" i="1"/>
  <c r="R492" i="1"/>
  <c r="S492" i="1" s="1"/>
  <c r="R447" i="1"/>
  <c r="S447" i="1" s="1"/>
  <c r="R442" i="1"/>
  <c r="S442" i="1" s="1"/>
  <c r="T716" i="1"/>
  <c r="R716" i="1"/>
  <c r="S716" i="1" s="1"/>
  <c r="T713" i="1"/>
  <c r="R713" i="1"/>
  <c r="S713" i="1" s="1"/>
  <c r="T629" i="1"/>
  <c r="AW629" i="1" s="1"/>
  <c r="R834" i="1"/>
  <c r="S834" i="1" s="1"/>
  <c r="T826" i="1"/>
  <c r="R826" i="1"/>
  <c r="S826" i="1" s="1"/>
  <c r="R803" i="1"/>
  <c r="S803" i="1" s="1"/>
  <c r="R797" i="1"/>
  <c r="S797" i="1" s="1"/>
  <c r="R784" i="1"/>
  <c r="S784" i="1" s="1"/>
  <c r="R751" i="1"/>
  <c r="S751" i="1" s="1"/>
  <c r="R733" i="1"/>
  <c r="S733" i="1" s="1"/>
  <c r="R730" i="1"/>
  <c r="S730" i="1" s="1"/>
  <c r="T908" i="1"/>
  <c r="AW908" i="1" s="1"/>
  <c r="T885" i="1"/>
  <c r="AW885" i="1" s="1"/>
  <c r="AW1400" i="1"/>
  <c r="AW1391" i="1"/>
  <c r="AW1033" i="1"/>
  <c r="H30" i="92"/>
  <c r="AW1123" i="1" l="1"/>
  <c r="AW1151" i="1"/>
  <c r="AW1202" i="1"/>
  <c r="AW1215" i="1"/>
  <c r="AW1253" i="1"/>
  <c r="AW1258" i="1"/>
  <c r="AW1272" i="1"/>
  <c r="AW1275" i="1"/>
  <c r="AW1336" i="1"/>
  <c r="AW1341" i="1"/>
  <c r="AW826" i="1"/>
  <c r="AW713" i="1"/>
  <c r="AW716" i="1"/>
  <c r="AW492" i="1"/>
  <c r="AW189" i="1"/>
  <c r="AW255" i="1"/>
  <c r="AW53" i="1"/>
  <c r="F30" i="92"/>
  <c r="F20" i="92"/>
  <c r="G620" i="24" l="1"/>
  <c r="O615" i="1" s="1"/>
  <c r="P615" i="1" s="1"/>
  <c r="M995" i="1"/>
  <c r="M317" i="1"/>
  <c r="F15" i="92"/>
  <c r="H26" i="92"/>
  <c r="H15" i="92"/>
  <c r="M1075" i="1"/>
  <c r="M591" i="1"/>
  <c r="M312" i="1"/>
  <c r="S32" i="109"/>
  <c r="BA2" i="1"/>
  <c r="AZ2" i="1"/>
  <c r="AP2" i="1"/>
  <c r="T2" i="1"/>
  <c r="R2" i="1"/>
  <c r="R54" i="121"/>
  <c r="Q54" i="121"/>
  <c r="P54" i="121"/>
  <c r="O54" i="121"/>
  <c r="N54" i="121"/>
  <c r="L54" i="121"/>
  <c r="K54" i="121"/>
  <c r="J54" i="121"/>
  <c r="I54" i="121"/>
  <c r="H54" i="121"/>
  <c r="G54" i="121"/>
  <c r="F54" i="121"/>
  <c r="E54" i="121"/>
  <c r="R53" i="121"/>
  <c r="O53" i="121"/>
  <c r="M53" i="121"/>
  <c r="L53" i="121"/>
  <c r="K53" i="121"/>
  <c r="I53" i="121"/>
  <c r="G53" i="121"/>
  <c r="F53" i="121"/>
  <c r="E53" i="121"/>
  <c r="R52" i="121"/>
  <c r="Q52" i="121"/>
  <c r="P52" i="121"/>
  <c r="O52" i="121"/>
  <c r="N52" i="121"/>
  <c r="M52" i="121"/>
  <c r="L52" i="121"/>
  <c r="K52" i="121"/>
  <c r="J52" i="121"/>
  <c r="I52" i="121"/>
  <c r="H52" i="121"/>
  <c r="F52" i="121"/>
  <c r="E52" i="121"/>
  <c r="E51" i="121"/>
  <c r="R50" i="121"/>
  <c r="E50" i="121"/>
  <c r="R49" i="121"/>
  <c r="Q49" i="121"/>
  <c r="P49" i="121"/>
  <c r="O49" i="121"/>
  <c r="N49" i="121"/>
  <c r="M49" i="121"/>
  <c r="K49" i="121"/>
  <c r="I49" i="121"/>
  <c r="H49" i="121"/>
  <c r="E49" i="121"/>
  <c r="Q48" i="121"/>
  <c r="N48" i="121"/>
  <c r="M48" i="121"/>
  <c r="K48" i="121"/>
  <c r="J48" i="121"/>
  <c r="I48" i="121"/>
  <c r="H48" i="121"/>
  <c r="F48" i="121"/>
  <c r="E48" i="121"/>
  <c r="N47" i="121"/>
  <c r="E47" i="121"/>
  <c r="P46" i="121"/>
  <c r="M46" i="121"/>
  <c r="I46" i="121"/>
  <c r="E46" i="121"/>
  <c r="R45" i="121"/>
  <c r="Q45" i="121"/>
  <c r="N45" i="121"/>
  <c r="L45" i="121"/>
  <c r="I45" i="121"/>
  <c r="E45" i="121"/>
  <c r="O44" i="121"/>
  <c r="N44" i="121"/>
  <c r="M44" i="121"/>
  <c r="K44" i="121"/>
  <c r="I44" i="121"/>
  <c r="E44" i="121"/>
  <c r="Q43" i="121"/>
  <c r="P43" i="121"/>
  <c r="O43" i="121"/>
  <c r="N43" i="121"/>
  <c r="M43" i="121"/>
  <c r="L43" i="121"/>
  <c r="K43" i="121"/>
  <c r="J43" i="121"/>
  <c r="E43" i="121"/>
  <c r="Q42" i="121"/>
  <c r="O42" i="121"/>
  <c r="N42" i="121"/>
  <c r="M42" i="121"/>
  <c r="L42" i="121"/>
  <c r="K42" i="121"/>
  <c r="E42" i="121"/>
  <c r="O41" i="121"/>
  <c r="M41" i="121"/>
  <c r="K41" i="121"/>
  <c r="J41" i="121"/>
  <c r="E41" i="121"/>
  <c r="R40" i="121"/>
  <c r="N40" i="121"/>
  <c r="M40" i="121"/>
  <c r="J40" i="121"/>
  <c r="E40" i="121"/>
  <c r="Q39" i="121"/>
  <c r="E39" i="121"/>
  <c r="R38" i="121"/>
  <c r="Q38" i="121"/>
  <c r="N38" i="121"/>
  <c r="M38" i="121"/>
  <c r="L38" i="121"/>
  <c r="E38" i="121"/>
  <c r="M37" i="121"/>
  <c r="E37" i="121"/>
  <c r="R36" i="121"/>
  <c r="P36" i="121"/>
  <c r="O36" i="121"/>
  <c r="N36" i="121"/>
  <c r="M36" i="121"/>
  <c r="L36" i="121"/>
  <c r="K36" i="121"/>
  <c r="J36" i="121"/>
  <c r="I36" i="121"/>
  <c r="H36" i="121"/>
  <c r="F36" i="121"/>
  <c r="E36" i="121"/>
  <c r="Q35" i="121"/>
  <c r="P35" i="121"/>
  <c r="M35" i="121"/>
  <c r="L35" i="121"/>
  <c r="K35" i="121"/>
  <c r="J35" i="121"/>
  <c r="H35" i="121"/>
  <c r="E35" i="121"/>
  <c r="R34" i="121"/>
  <c r="L34" i="121"/>
  <c r="E34" i="121"/>
  <c r="N33" i="121"/>
  <c r="M33" i="121"/>
  <c r="J33" i="121"/>
  <c r="F33" i="121"/>
  <c r="E33" i="121"/>
  <c r="R32" i="121"/>
  <c r="N32" i="121"/>
  <c r="M32" i="121"/>
  <c r="K32" i="121"/>
  <c r="J32" i="121"/>
  <c r="E32" i="121"/>
  <c r="O31" i="121"/>
  <c r="M31" i="121"/>
  <c r="J31" i="121"/>
  <c r="E31" i="121"/>
  <c r="Q30" i="121"/>
  <c r="P30" i="121"/>
  <c r="N30" i="121"/>
  <c r="L30" i="121"/>
  <c r="K30" i="121"/>
  <c r="H30" i="121"/>
  <c r="E30" i="121"/>
  <c r="Q29" i="121"/>
  <c r="O29" i="121"/>
  <c r="N29" i="121"/>
  <c r="M29" i="121"/>
  <c r="K29" i="121"/>
  <c r="J29" i="121"/>
  <c r="E29" i="121"/>
  <c r="R28" i="121"/>
  <c r="Q28" i="121"/>
  <c r="N28" i="121"/>
  <c r="M28" i="121"/>
  <c r="L28" i="121"/>
  <c r="K28" i="121"/>
  <c r="J28" i="121"/>
  <c r="H28" i="121"/>
  <c r="E28" i="121"/>
  <c r="Q27" i="121"/>
  <c r="P27" i="121"/>
  <c r="O27" i="121"/>
  <c r="N27" i="121"/>
  <c r="L27" i="121"/>
  <c r="K27" i="121"/>
  <c r="J27" i="121"/>
  <c r="E27" i="121"/>
  <c r="F26" i="121"/>
  <c r="E26" i="121"/>
  <c r="L25" i="121"/>
  <c r="E25" i="121"/>
  <c r="L24" i="121"/>
  <c r="K24" i="121"/>
  <c r="E24" i="121"/>
  <c r="Q23" i="121"/>
  <c r="M23" i="121"/>
  <c r="L23" i="121"/>
  <c r="K23" i="121"/>
  <c r="E23" i="121"/>
  <c r="O22" i="121"/>
  <c r="K22" i="121"/>
  <c r="E22" i="121"/>
  <c r="R21" i="121"/>
  <c r="O21" i="121"/>
  <c r="K21" i="121"/>
  <c r="J21" i="121"/>
  <c r="F21" i="121"/>
  <c r="E21" i="121"/>
  <c r="M20" i="121"/>
  <c r="L20" i="121"/>
  <c r="K20" i="121"/>
  <c r="E20" i="121"/>
  <c r="R19" i="121"/>
  <c r="Q19" i="121"/>
  <c r="O19" i="121"/>
  <c r="N19" i="121"/>
  <c r="M19" i="121"/>
  <c r="L19" i="121"/>
  <c r="K19" i="121"/>
  <c r="I19" i="121"/>
  <c r="H19" i="121"/>
  <c r="F19" i="121"/>
  <c r="E19" i="121"/>
  <c r="N18" i="121"/>
  <c r="M18" i="121"/>
  <c r="L18" i="121"/>
  <c r="K18" i="121"/>
  <c r="G18" i="121"/>
  <c r="E18" i="121"/>
  <c r="K17" i="121"/>
  <c r="R16" i="121"/>
  <c r="Q16" i="121"/>
  <c r="O16" i="121"/>
  <c r="N16" i="121"/>
  <c r="M16" i="121"/>
  <c r="L16" i="121"/>
  <c r="K16" i="121"/>
  <c r="J16" i="121"/>
  <c r="G16" i="121"/>
  <c r="E16" i="121"/>
  <c r="R15" i="121"/>
  <c r="J15" i="121"/>
  <c r="E15" i="121"/>
  <c r="N14" i="121"/>
  <c r="L14" i="121"/>
  <c r="K14" i="121"/>
  <c r="H14" i="121"/>
  <c r="E14" i="121"/>
  <c r="Q13" i="121"/>
  <c r="P13" i="121"/>
  <c r="O13" i="121"/>
  <c r="M13" i="121"/>
  <c r="L13" i="121"/>
  <c r="J13" i="121"/>
  <c r="F13" i="121"/>
  <c r="E13" i="121"/>
  <c r="C12" i="178"/>
  <c r="F53" i="53"/>
  <c r="E53" i="53"/>
  <c r="D53" i="53"/>
  <c r="C53" i="53"/>
  <c r="F52" i="53"/>
  <c r="E52" i="53"/>
  <c r="D52" i="53"/>
  <c r="C52" i="53"/>
  <c r="F51" i="53"/>
  <c r="E51" i="53"/>
  <c r="D51" i="53"/>
  <c r="C51" i="53"/>
  <c r="F50" i="53"/>
  <c r="E50" i="53"/>
  <c r="D50" i="53"/>
  <c r="C50" i="53"/>
  <c r="F49" i="53"/>
  <c r="E49" i="53"/>
  <c r="D49" i="53"/>
  <c r="C49" i="53"/>
  <c r="F48" i="53"/>
  <c r="E48" i="53"/>
  <c r="D48" i="53"/>
  <c r="C48" i="53"/>
  <c r="F47" i="53"/>
  <c r="E47" i="53"/>
  <c r="D47" i="53"/>
  <c r="C47" i="53"/>
  <c r="F46" i="53"/>
  <c r="E46" i="53"/>
  <c r="D46" i="53"/>
  <c r="C46" i="53"/>
  <c r="F45" i="53"/>
  <c r="E45" i="53"/>
  <c r="D45" i="53"/>
  <c r="C45" i="53"/>
  <c r="F44" i="53"/>
  <c r="E44" i="53"/>
  <c r="D44" i="53"/>
  <c r="C44" i="53"/>
  <c r="F43" i="53"/>
  <c r="E43" i="53"/>
  <c r="D43" i="53"/>
  <c r="C43" i="53"/>
  <c r="F42" i="53"/>
  <c r="E42" i="53"/>
  <c r="D42" i="53"/>
  <c r="C42" i="53"/>
  <c r="F41" i="53"/>
  <c r="E41" i="53"/>
  <c r="D41" i="53"/>
  <c r="C41" i="53"/>
  <c r="F40" i="53"/>
  <c r="E40" i="53"/>
  <c r="D40" i="53"/>
  <c r="C40" i="53"/>
  <c r="F39" i="53"/>
  <c r="E39" i="53"/>
  <c r="D39" i="53"/>
  <c r="C39" i="53"/>
  <c r="F38" i="53"/>
  <c r="E38" i="53"/>
  <c r="C38" i="53"/>
  <c r="F37" i="53"/>
  <c r="E37" i="53"/>
  <c r="C37" i="53"/>
  <c r="F36" i="53"/>
  <c r="E36" i="53"/>
  <c r="C36" i="53"/>
  <c r="F35" i="53"/>
  <c r="E35" i="53"/>
  <c r="C35" i="53"/>
  <c r="F34" i="53"/>
  <c r="E34" i="53"/>
  <c r="C34" i="53"/>
  <c r="F33" i="53"/>
  <c r="E33" i="53"/>
  <c r="C33" i="53"/>
  <c r="F32" i="53"/>
  <c r="E32" i="53"/>
  <c r="F31" i="53"/>
  <c r="E31" i="53"/>
  <c r="C31" i="53"/>
  <c r="F30" i="53"/>
  <c r="C30" i="53"/>
  <c r="F29" i="53"/>
  <c r="E29" i="53"/>
  <c r="C29" i="53"/>
  <c r="F28" i="53"/>
  <c r="E28" i="53"/>
  <c r="C28" i="53"/>
  <c r="F27" i="53"/>
  <c r="E27" i="53"/>
  <c r="C27" i="53"/>
  <c r="F26" i="53"/>
  <c r="C26" i="53"/>
  <c r="F25" i="53"/>
  <c r="E25" i="53"/>
  <c r="F24" i="53"/>
  <c r="F23" i="53"/>
  <c r="C23" i="53"/>
  <c r="F22" i="53"/>
  <c r="C22" i="53"/>
  <c r="F21" i="53"/>
  <c r="E21" i="53"/>
  <c r="D21" i="53"/>
  <c r="E20" i="53"/>
  <c r="C20" i="53"/>
  <c r="F19" i="53"/>
  <c r="E19" i="53"/>
  <c r="C19" i="53"/>
  <c r="F18" i="53"/>
  <c r="F17" i="53"/>
  <c r="E17" i="53"/>
  <c r="F16" i="53"/>
  <c r="F15" i="53"/>
  <c r="F14" i="53"/>
  <c r="E14" i="53"/>
  <c r="F13" i="53"/>
  <c r="E13" i="53"/>
  <c r="C13" i="53"/>
  <c r="F12" i="53"/>
  <c r="E12" i="53"/>
  <c r="E55" i="105"/>
  <c r="E54" i="105"/>
  <c r="E53" i="105"/>
  <c r="E52" i="105"/>
  <c r="E51" i="105"/>
  <c r="E50" i="105"/>
  <c r="E49" i="105"/>
  <c r="E48" i="105"/>
  <c r="E47" i="105"/>
  <c r="E46" i="105"/>
  <c r="E45" i="105"/>
  <c r="E44" i="105"/>
  <c r="E43" i="105"/>
  <c r="E42" i="105"/>
  <c r="E41" i="105"/>
  <c r="E40" i="105"/>
  <c r="E39" i="105"/>
  <c r="E38" i="105"/>
  <c r="E37" i="105"/>
  <c r="E36" i="105"/>
  <c r="E35" i="105"/>
  <c r="E34" i="105"/>
  <c r="E33" i="105"/>
  <c r="E32" i="105"/>
  <c r="E31" i="105"/>
  <c r="E30" i="105"/>
  <c r="E29" i="105"/>
  <c r="E28" i="105"/>
  <c r="E27" i="105"/>
  <c r="E26" i="105"/>
  <c r="E25" i="105"/>
  <c r="E24" i="105"/>
  <c r="E23" i="105"/>
  <c r="E22" i="105"/>
  <c r="E21" i="105"/>
  <c r="E20" i="105"/>
  <c r="E19" i="105"/>
  <c r="E18" i="105"/>
  <c r="E17" i="105"/>
  <c r="E16" i="105"/>
  <c r="E15" i="105"/>
  <c r="E14" i="105"/>
  <c r="M677" i="24"/>
  <c r="R677" i="24" s="1"/>
  <c r="M676" i="24"/>
  <c r="R676" i="24" s="1"/>
  <c r="M675" i="24"/>
  <c r="R675" i="24" s="1"/>
  <c r="M674" i="24"/>
  <c r="R674" i="24" s="1"/>
  <c r="M673" i="24"/>
  <c r="R673" i="24" s="1"/>
  <c r="M672" i="24"/>
  <c r="R672" i="24" s="1"/>
  <c r="M671" i="24"/>
  <c r="R671" i="24" s="1"/>
  <c r="M670" i="24"/>
  <c r="R670" i="24" s="1"/>
  <c r="M669" i="24"/>
  <c r="R669" i="24" s="1"/>
  <c r="M668" i="24"/>
  <c r="R668" i="24" s="1"/>
  <c r="M667" i="24"/>
  <c r="R667" i="24" s="1"/>
  <c r="M666" i="24"/>
  <c r="R666" i="24" s="1"/>
  <c r="M665" i="24"/>
  <c r="R665" i="24" s="1"/>
  <c r="N664" i="24"/>
  <c r="M664" i="24"/>
  <c r="R664" i="24" s="1"/>
  <c r="N663" i="24"/>
  <c r="M663" i="24"/>
  <c r="R663" i="24" s="1"/>
  <c r="M662" i="24"/>
  <c r="R662" i="24" s="1"/>
  <c r="N661" i="24"/>
  <c r="M661" i="24"/>
  <c r="R661" i="24" s="1"/>
  <c r="N660" i="24"/>
  <c r="M660" i="24"/>
  <c r="R660" i="24" s="1"/>
  <c r="M659" i="24"/>
  <c r="R659" i="24" s="1"/>
  <c r="N658" i="24"/>
  <c r="M658" i="24"/>
  <c r="R658" i="24" s="1"/>
  <c r="N657" i="24"/>
  <c r="M657" i="24"/>
  <c r="R657" i="24" s="1"/>
  <c r="M656" i="24"/>
  <c r="R656" i="24" s="1"/>
  <c r="N655" i="24"/>
  <c r="M655" i="24"/>
  <c r="R655" i="24" s="1"/>
  <c r="N654" i="24"/>
  <c r="M654" i="24"/>
  <c r="R654" i="24" s="1"/>
  <c r="M653" i="24"/>
  <c r="R653" i="24" s="1"/>
  <c r="N652" i="24"/>
  <c r="M652" i="24"/>
  <c r="R652" i="24" s="1"/>
  <c r="N651" i="24"/>
  <c r="M651" i="24"/>
  <c r="R651" i="24" s="1"/>
  <c r="N650" i="24"/>
  <c r="M650" i="24"/>
  <c r="R650" i="24" s="1"/>
  <c r="N649" i="24"/>
  <c r="M649" i="24"/>
  <c r="R649" i="24" s="1"/>
  <c r="N648" i="24"/>
  <c r="M648" i="24"/>
  <c r="R648" i="24" s="1"/>
  <c r="N647" i="24"/>
  <c r="M647" i="24"/>
  <c r="R647" i="24" s="1"/>
  <c r="N646" i="24"/>
  <c r="M646" i="24"/>
  <c r="R646" i="24" s="1"/>
  <c r="N645" i="24"/>
  <c r="M645" i="24"/>
  <c r="R645" i="24" s="1"/>
  <c r="N644" i="24"/>
  <c r="M644" i="24"/>
  <c r="R644" i="24" s="1"/>
  <c r="N643" i="24"/>
  <c r="M643" i="24"/>
  <c r="R643" i="24" s="1"/>
  <c r="N642" i="24"/>
  <c r="M642" i="24"/>
  <c r="R642" i="24" s="1"/>
  <c r="N641" i="24"/>
  <c r="M641" i="24"/>
  <c r="R641" i="24" s="1"/>
  <c r="N640" i="24"/>
  <c r="M640" i="24"/>
  <c r="R640" i="24" s="1"/>
  <c r="N639" i="24"/>
  <c r="M639" i="24"/>
  <c r="R639" i="24" s="1"/>
  <c r="N638" i="24"/>
  <c r="M638" i="24"/>
  <c r="R638" i="24" s="1"/>
  <c r="N637" i="24"/>
  <c r="M637" i="24"/>
  <c r="R637" i="24" s="1"/>
  <c r="N636" i="24"/>
  <c r="M636" i="24"/>
  <c r="R636" i="24" s="1"/>
  <c r="N635" i="24"/>
  <c r="M635" i="24"/>
  <c r="R635" i="24" s="1"/>
  <c r="N634" i="24"/>
  <c r="M634" i="24"/>
  <c r="R634" i="24" s="1"/>
  <c r="N633" i="24"/>
  <c r="M633" i="24"/>
  <c r="R633" i="24" s="1"/>
  <c r="N632" i="24"/>
  <c r="M632" i="24"/>
  <c r="R632" i="24" s="1"/>
  <c r="N631" i="24"/>
  <c r="M631" i="24"/>
  <c r="R631" i="24" s="1"/>
  <c r="N630" i="24"/>
  <c r="M630" i="24"/>
  <c r="R630" i="24" s="1"/>
  <c r="N629" i="24"/>
  <c r="M629" i="24"/>
  <c r="R629" i="24" s="1"/>
  <c r="N628" i="24"/>
  <c r="M628" i="24"/>
  <c r="R628" i="24" s="1"/>
  <c r="N627" i="24"/>
  <c r="M627" i="24"/>
  <c r="R627" i="24" s="1"/>
  <c r="N626" i="24"/>
  <c r="M626" i="24"/>
  <c r="R626" i="24" s="1"/>
  <c r="N625" i="24"/>
  <c r="M625" i="24"/>
  <c r="R625" i="24" s="1"/>
  <c r="N624" i="24"/>
  <c r="M624" i="24"/>
  <c r="R624" i="24" s="1"/>
  <c r="N623" i="24"/>
  <c r="M623" i="24"/>
  <c r="R623" i="24" s="1"/>
  <c r="N622" i="24"/>
  <c r="M622" i="24"/>
  <c r="R622" i="24" s="1"/>
  <c r="N621" i="24"/>
  <c r="M621" i="24"/>
  <c r="R621" i="24" s="1"/>
  <c r="N620" i="24"/>
  <c r="M620" i="24"/>
  <c r="R620" i="24" s="1"/>
  <c r="N619" i="24"/>
  <c r="M619" i="24"/>
  <c r="R619" i="24" s="1"/>
  <c r="N618" i="24"/>
  <c r="M618" i="24"/>
  <c r="R618" i="24" s="1"/>
  <c r="N617" i="24"/>
  <c r="M617" i="24"/>
  <c r="R617" i="24" s="1"/>
  <c r="N616" i="24"/>
  <c r="M616" i="24"/>
  <c r="R616" i="24" s="1"/>
  <c r="N615" i="24"/>
  <c r="M615" i="24"/>
  <c r="R615" i="24" s="1"/>
  <c r="N614" i="24"/>
  <c r="M614" i="24"/>
  <c r="R614" i="24" s="1"/>
  <c r="N613" i="24"/>
  <c r="M613" i="24"/>
  <c r="R613" i="24" s="1"/>
  <c r="N612" i="24"/>
  <c r="M612" i="24"/>
  <c r="R612" i="24" s="1"/>
  <c r="N611" i="24"/>
  <c r="M611" i="24"/>
  <c r="R611" i="24" s="1"/>
  <c r="N610" i="24"/>
  <c r="M610" i="24"/>
  <c r="R610" i="24" s="1"/>
  <c r="N609" i="24"/>
  <c r="M609" i="24"/>
  <c r="R609" i="24" s="1"/>
  <c r="N608" i="24"/>
  <c r="M608" i="24"/>
  <c r="R608" i="24" s="1"/>
  <c r="N607" i="24"/>
  <c r="M607" i="24"/>
  <c r="R607" i="24" s="1"/>
  <c r="N606" i="24"/>
  <c r="M606" i="24"/>
  <c r="R606" i="24" s="1"/>
  <c r="N605" i="24"/>
  <c r="M605" i="24"/>
  <c r="R605" i="24" s="1"/>
  <c r="N604" i="24"/>
  <c r="M604" i="24"/>
  <c r="R604" i="24" s="1"/>
  <c r="N603" i="24"/>
  <c r="M603" i="24"/>
  <c r="R603" i="24" s="1"/>
  <c r="N602" i="24"/>
  <c r="M602" i="24"/>
  <c r="R602" i="24" s="1"/>
  <c r="N601" i="24"/>
  <c r="M601" i="24"/>
  <c r="R601" i="24" s="1"/>
  <c r="N600" i="24"/>
  <c r="M600" i="24"/>
  <c r="R600" i="24" s="1"/>
  <c r="N599" i="24"/>
  <c r="M599" i="24"/>
  <c r="R599" i="24" s="1"/>
  <c r="N598" i="24"/>
  <c r="M598" i="24"/>
  <c r="R598" i="24" s="1"/>
  <c r="N597" i="24"/>
  <c r="M597" i="24"/>
  <c r="R597" i="24" s="1"/>
  <c r="N596" i="24"/>
  <c r="M596" i="24"/>
  <c r="R596" i="24" s="1"/>
  <c r="N595" i="24"/>
  <c r="M595" i="24"/>
  <c r="R595" i="24" s="1"/>
  <c r="N594" i="24"/>
  <c r="M594" i="24"/>
  <c r="R594" i="24" s="1"/>
  <c r="N593" i="24"/>
  <c r="M593" i="24"/>
  <c r="R593" i="24" s="1"/>
  <c r="N592" i="24"/>
  <c r="M592" i="24"/>
  <c r="R592" i="24" s="1"/>
  <c r="N591" i="24"/>
  <c r="M591" i="24"/>
  <c r="R591" i="24" s="1"/>
  <c r="N590" i="24"/>
  <c r="M590" i="24"/>
  <c r="R590" i="24" s="1"/>
  <c r="N589" i="24"/>
  <c r="M589" i="24"/>
  <c r="R589" i="24" s="1"/>
  <c r="N588" i="24"/>
  <c r="M588" i="24"/>
  <c r="R588" i="24" s="1"/>
  <c r="N587" i="24"/>
  <c r="M587" i="24"/>
  <c r="R587" i="24" s="1"/>
  <c r="N586" i="24"/>
  <c r="M586" i="24"/>
  <c r="R586" i="24" s="1"/>
  <c r="N585" i="24"/>
  <c r="M585" i="24"/>
  <c r="R585" i="24" s="1"/>
  <c r="N584" i="24"/>
  <c r="M584" i="24"/>
  <c r="R584" i="24" s="1"/>
  <c r="N583" i="24"/>
  <c r="M583" i="24"/>
  <c r="R583" i="24" s="1"/>
  <c r="N580" i="24"/>
  <c r="M580" i="24"/>
  <c r="R580" i="24" s="1"/>
  <c r="N579" i="24"/>
  <c r="M579" i="24"/>
  <c r="R579" i="24" s="1"/>
  <c r="N578" i="24"/>
  <c r="M578" i="24"/>
  <c r="R578" i="24" s="1"/>
  <c r="N577" i="24"/>
  <c r="M577" i="24"/>
  <c r="R577" i="24" s="1"/>
  <c r="N576" i="24"/>
  <c r="M576" i="24"/>
  <c r="R576" i="24" s="1"/>
  <c r="N575" i="24"/>
  <c r="M575" i="24"/>
  <c r="R575" i="24" s="1"/>
  <c r="N574" i="24"/>
  <c r="M574" i="24"/>
  <c r="R574" i="24" s="1"/>
  <c r="N573" i="24"/>
  <c r="M573" i="24"/>
  <c r="R573" i="24" s="1"/>
  <c r="N572" i="24"/>
  <c r="M572" i="24"/>
  <c r="R572" i="24" s="1"/>
  <c r="N571" i="24"/>
  <c r="M571" i="24"/>
  <c r="R571" i="24" s="1"/>
  <c r="N570" i="24"/>
  <c r="M570" i="24"/>
  <c r="R570" i="24" s="1"/>
  <c r="N569" i="24"/>
  <c r="M569" i="24"/>
  <c r="R569" i="24" s="1"/>
  <c r="N568" i="24"/>
  <c r="M568" i="24"/>
  <c r="R568" i="24" s="1"/>
  <c r="N567" i="24"/>
  <c r="M567" i="24"/>
  <c r="R567" i="24" s="1"/>
  <c r="N566" i="24"/>
  <c r="M566" i="24"/>
  <c r="R566" i="24" s="1"/>
  <c r="N565" i="24"/>
  <c r="M565" i="24"/>
  <c r="R565" i="24" s="1"/>
  <c r="N564" i="24"/>
  <c r="M564" i="24"/>
  <c r="R564" i="24" s="1"/>
  <c r="N563" i="24"/>
  <c r="M563" i="24"/>
  <c r="R563" i="24" s="1"/>
  <c r="N562" i="24"/>
  <c r="M562" i="24"/>
  <c r="R562" i="24" s="1"/>
  <c r="N561" i="24"/>
  <c r="M561" i="24"/>
  <c r="R561" i="24" s="1"/>
  <c r="N560" i="24"/>
  <c r="M560" i="24"/>
  <c r="R560" i="24" s="1"/>
  <c r="N559" i="24"/>
  <c r="M559" i="24"/>
  <c r="R559" i="24" s="1"/>
  <c r="N558" i="24"/>
  <c r="M558" i="24"/>
  <c r="R558" i="24" s="1"/>
  <c r="N557" i="24"/>
  <c r="M557" i="24"/>
  <c r="R557" i="24" s="1"/>
  <c r="N556" i="24"/>
  <c r="M556" i="24"/>
  <c r="R556" i="24" s="1"/>
  <c r="N555" i="24"/>
  <c r="M555" i="24"/>
  <c r="R555" i="24" s="1"/>
  <c r="N554" i="24"/>
  <c r="M554" i="24"/>
  <c r="R554" i="24" s="1"/>
  <c r="N553" i="24"/>
  <c r="M553" i="24"/>
  <c r="R553" i="24" s="1"/>
  <c r="N552" i="24"/>
  <c r="M552" i="24"/>
  <c r="R552" i="24" s="1"/>
  <c r="N551" i="24"/>
  <c r="M551" i="24"/>
  <c r="R551" i="24" s="1"/>
  <c r="N550" i="24"/>
  <c r="M550" i="24"/>
  <c r="R550" i="24" s="1"/>
  <c r="N549" i="24"/>
  <c r="M549" i="24"/>
  <c r="R549" i="24" s="1"/>
  <c r="N548" i="24"/>
  <c r="M548" i="24"/>
  <c r="R548" i="24" s="1"/>
  <c r="N547" i="24"/>
  <c r="M547" i="24"/>
  <c r="R547" i="24" s="1"/>
  <c r="N546" i="24"/>
  <c r="M546" i="24"/>
  <c r="R546" i="24" s="1"/>
  <c r="N545" i="24"/>
  <c r="M545" i="24"/>
  <c r="R545" i="24" s="1"/>
  <c r="N544" i="24"/>
  <c r="M544" i="24"/>
  <c r="R544" i="24" s="1"/>
  <c r="N543" i="24"/>
  <c r="M543" i="24"/>
  <c r="R543" i="24" s="1"/>
  <c r="N542" i="24"/>
  <c r="M542" i="24"/>
  <c r="R542" i="24" s="1"/>
  <c r="N541" i="24"/>
  <c r="M541" i="24"/>
  <c r="R541" i="24" s="1"/>
  <c r="N540" i="24"/>
  <c r="M540" i="24"/>
  <c r="R540" i="24" s="1"/>
  <c r="N539" i="24"/>
  <c r="M539" i="24"/>
  <c r="R539" i="24" s="1"/>
  <c r="N538" i="24"/>
  <c r="M538" i="24"/>
  <c r="R538" i="24" s="1"/>
  <c r="N537" i="24"/>
  <c r="M537" i="24"/>
  <c r="R537" i="24" s="1"/>
  <c r="N536" i="24"/>
  <c r="M536" i="24"/>
  <c r="R536" i="24" s="1"/>
  <c r="N535" i="24"/>
  <c r="M535" i="24"/>
  <c r="R535" i="24" s="1"/>
  <c r="N534" i="24"/>
  <c r="M534" i="24"/>
  <c r="R534" i="24" s="1"/>
  <c r="N533" i="24"/>
  <c r="M533" i="24"/>
  <c r="R533" i="24" s="1"/>
  <c r="N532" i="24"/>
  <c r="M532" i="24"/>
  <c r="R532" i="24" s="1"/>
  <c r="N531" i="24"/>
  <c r="M531" i="24"/>
  <c r="R531" i="24" s="1"/>
  <c r="N530" i="24"/>
  <c r="M530" i="24"/>
  <c r="R530" i="24" s="1"/>
  <c r="N529" i="24"/>
  <c r="M529" i="24"/>
  <c r="R529" i="24" s="1"/>
  <c r="N528" i="24"/>
  <c r="M528" i="24"/>
  <c r="R528" i="24" s="1"/>
  <c r="N527" i="24"/>
  <c r="M527" i="24"/>
  <c r="R527" i="24" s="1"/>
  <c r="N525" i="24"/>
  <c r="M525" i="24"/>
  <c r="R525" i="24" s="1"/>
  <c r="N524" i="24"/>
  <c r="M524" i="24"/>
  <c r="R524" i="24" s="1"/>
  <c r="N523" i="24"/>
  <c r="M523" i="24"/>
  <c r="R523" i="24" s="1"/>
  <c r="N522" i="24"/>
  <c r="M522" i="24"/>
  <c r="R522" i="24" s="1"/>
  <c r="N521" i="24"/>
  <c r="M521" i="24"/>
  <c r="R521" i="24" s="1"/>
  <c r="N520" i="24"/>
  <c r="M520" i="24"/>
  <c r="R520" i="24" s="1"/>
  <c r="N519" i="24"/>
  <c r="M519" i="24"/>
  <c r="R519" i="24" s="1"/>
  <c r="N518" i="24"/>
  <c r="M518" i="24"/>
  <c r="R518" i="24" s="1"/>
  <c r="N517" i="24"/>
  <c r="M517" i="24"/>
  <c r="R517" i="24" s="1"/>
  <c r="N516" i="24"/>
  <c r="M516" i="24"/>
  <c r="R516" i="24" s="1"/>
  <c r="N515" i="24"/>
  <c r="M515" i="24"/>
  <c r="R515" i="24" s="1"/>
  <c r="N514" i="24"/>
  <c r="M514" i="24"/>
  <c r="R514" i="24" s="1"/>
  <c r="N513" i="24"/>
  <c r="M513" i="24"/>
  <c r="R513" i="24" s="1"/>
  <c r="N512" i="24"/>
  <c r="M512" i="24"/>
  <c r="R512" i="24" s="1"/>
  <c r="N511" i="24"/>
  <c r="M511" i="24"/>
  <c r="R511" i="24" s="1"/>
  <c r="N510" i="24"/>
  <c r="M510" i="24"/>
  <c r="R510" i="24" s="1"/>
  <c r="N509" i="24"/>
  <c r="M509" i="24"/>
  <c r="R509" i="24" s="1"/>
  <c r="N508" i="24"/>
  <c r="M508" i="24"/>
  <c r="R508" i="24" s="1"/>
  <c r="N507" i="24"/>
  <c r="M507" i="24"/>
  <c r="R507" i="24" s="1"/>
  <c r="N506" i="24"/>
  <c r="M506" i="24"/>
  <c r="R506" i="24" s="1"/>
  <c r="N505" i="24"/>
  <c r="M505" i="24"/>
  <c r="R505" i="24" s="1"/>
  <c r="N504" i="24"/>
  <c r="M504" i="24"/>
  <c r="R504" i="24" s="1"/>
  <c r="N503" i="24"/>
  <c r="M503" i="24"/>
  <c r="R503" i="24" s="1"/>
  <c r="N502" i="24"/>
  <c r="M502" i="24"/>
  <c r="R502" i="24" s="1"/>
  <c r="N501" i="24"/>
  <c r="M501" i="24"/>
  <c r="R501" i="24" s="1"/>
  <c r="N500" i="24"/>
  <c r="M500" i="24"/>
  <c r="R500" i="24" s="1"/>
  <c r="N499" i="24"/>
  <c r="M499" i="24"/>
  <c r="R499" i="24" s="1"/>
  <c r="N498" i="24"/>
  <c r="M498" i="24"/>
  <c r="R498" i="24" s="1"/>
  <c r="N497" i="24"/>
  <c r="M497" i="24"/>
  <c r="R497" i="24" s="1"/>
  <c r="N496" i="24"/>
  <c r="M496" i="24"/>
  <c r="R496" i="24" s="1"/>
  <c r="N495" i="24"/>
  <c r="M495" i="24"/>
  <c r="R495" i="24" s="1"/>
  <c r="N494" i="24"/>
  <c r="M494" i="24"/>
  <c r="R494" i="24" s="1"/>
  <c r="N493" i="24"/>
  <c r="M493" i="24"/>
  <c r="R493" i="24" s="1"/>
  <c r="N492" i="24"/>
  <c r="M492" i="24"/>
  <c r="R492" i="24" s="1"/>
  <c r="N491" i="24"/>
  <c r="M491" i="24"/>
  <c r="R491" i="24" s="1"/>
  <c r="N490" i="24"/>
  <c r="M490" i="24"/>
  <c r="R490" i="24" s="1"/>
  <c r="N489" i="24"/>
  <c r="M489" i="24"/>
  <c r="R489" i="24" s="1"/>
  <c r="N488" i="24"/>
  <c r="M488" i="24"/>
  <c r="R488" i="24" s="1"/>
  <c r="N487" i="24"/>
  <c r="M487" i="24"/>
  <c r="R487" i="24" s="1"/>
  <c r="N486" i="24"/>
  <c r="M486" i="24"/>
  <c r="R486" i="24" s="1"/>
  <c r="N485" i="24"/>
  <c r="M485" i="24"/>
  <c r="R485" i="24" s="1"/>
  <c r="N484" i="24"/>
  <c r="M484" i="24"/>
  <c r="R484" i="24" s="1"/>
  <c r="N483" i="24"/>
  <c r="M483" i="24"/>
  <c r="R483" i="24" s="1"/>
  <c r="N482" i="24"/>
  <c r="M482" i="24"/>
  <c r="R482" i="24" s="1"/>
  <c r="N481" i="24"/>
  <c r="M481" i="24"/>
  <c r="R481" i="24" s="1"/>
  <c r="N480" i="24"/>
  <c r="M480" i="24"/>
  <c r="R480" i="24" s="1"/>
  <c r="N479" i="24"/>
  <c r="M479" i="24"/>
  <c r="R479" i="24" s="1"/>
  <c r="N478" i="24"/>
  <c r="M478" i="24"/>
  <c r="R478" i="24" s="1"/>
  <c r="N477" i="24"/>
  <c r="M477" i="24"/>
  <c r="R477" i="24" s="1"/>
  <c r="N476" i="24"/>
  <c r="M476" i="24"/>
  <c r="R476" i="24" s="1"/>
  <c r="N475" i="24"/>
  <c r="M475" i="24"/>
  <c r="R475" i="24" s="1"/>
  <c r="N474" i="24"/>
  <c r="M474" i="24"/>
  <c r="R474" i="24" s="1"/>
  <c r="N473" i="24"/>
  <c r="M473" i="24"/>
  <c r="R473" i="24" s="1"/>
  <c r="N472" i="24"/>
  <c r="M472" i="24"/>
  <c r="R472" i="24" s="1"/>
  <c r="N471" i="24"/>
  <c r="M471" i="24"/>
  <c r="R471" i="24" s="1"/>
  <c r="N470" i="24"/>
  <c r="M470" i="24"/>
  <c r="R470" i="24" s="1"/>
  <c r="N469" i="24"/>
  <c r="M469" i="24"/>
  <c r="R469" i="24" s="1"/>
  <c r="N468" i="24"/>
  <c r="M468" i="24"/>
  <c r="R468" i="24" s="1"/>
  <c r="N467" i="24"/>
  <c r="M467" i="24"/>
  <c r="R467" i="24" s="1"/>
  <c r="N466" i="24"/>
  <c r="M466" i="24"/>
  <c r="R466" i="24" s="1"/>
  <c r="N465" i="24"/>
  <c r="M465" i="24"/>
  <c r="R465" i="24" s="1"/>
  <c r="N464" i="24"/>
  <c r="M464" i="24"/>
  <c r="R464" i="24" s="1"/>
  <c r="N463" i="24"/>
  <c r="M463" i="24"/>
  <c r="R463" i="24" s="1"/>
  <c r="N462" i="24"/>
  <c r="M462" i="24"/>
  <c r="R462" i="24" s="1"/>
  <c r="N461" i="24"/>
  <c r="M461" i="24"/>
  <c r="R461" i="24" s="1"/>
  <c r="N460" i="24"/>
  <c r="M460" i="24"/>
  <c r="R460" i="24" s="1"/>
  <c r="N459" i="24"/>
  <c r="M459" i="24"/>
  <c r="R459" i="24" s="1"/>
  <c r="N458" i="24"/>
  <c r="M458" i="24"/>
  <c r="R458" i="24" s="1"/>
  <c r="N457" i="24"/>
  <c r="M457" i="24"/>
  <c r="R457" i="24" s="1"/>
  <c r="N456" i="24"/>
  <c r="M456" i="24"/>
  <c r="R456" i="24" s="1"/>
  <c r="N455" i="24"/>
  <c r="M455" i="24"/>
  <c r="R455" i="24" s="1"/>
  <c r="N454" i="24"/>
  <c r="M454" i="24"/>
  <c r="R454" i="24" s="1"/>
  <c r="N453" i="24"/>
  <c r="M453" i="24"/>
  <c r="R453" i="24" s="1"/>
  <c r="N452" i="24"/>
  <c r="M452" i="24"/>
  <c r="R452" i="24" s="1"/>
  <c r="N451" i="24"/>
  <c r="M451" i="24"/>
  <c r="R451" i="24" s="1"/>
  <c r="N450" i="24"/>
  <c r="M450" i="24"/>
  <c r="R450" i="24" s="1"/>
  <c r="N449" i="24"/>
  <c r="M449" i="24"/>
  <c r="R449" i="24" s="1"/>
  <c r="N448" i="24"/>
  <c r="M448" i="24"/>
  <c r="R448" i="24" s="1"/>
  <c r="N447" i="24"/>
  <c r="M447" i="24"/>
  <c r="R447" i="24" s="1"/>
  <c r="N446" i="24"/>
  <c r="M446" i="24"/>
  <c r="R446" i="24" s="1"/>
  <c r="N445" i="24"/>
  <c r="M445" i="24"/>
  <c r="R445" i="24" s="1"/>
  <c r="N444" i="24"/>
  <c r="M444" i="24"/>
  <c r="R444" i="24" s="1"/>
  <c r="N443" i="24"/>
  <c r="M443" i="24"/>
  <c r="R443" i="24" s="1"/>
  <c r="N442" i="24"/>
  <c r="M442" i="24"/>
  <c r="R442" i="24" s="1"/>
  <c r="N441" i="24"/>
  <c r="M441" i="24"/>
  <c r="R441" i="24" s="1"/>
  <c r="N440" i="24"/>
  <c r="M440" i="24"/>
  <c r="R440" i="24" s="1"/>
  <c r="N439" i="24"/>
  <c r="M439" i="24"/>
  <c r="R439" i="24" s="1"/>
  <c r="N438" i="24"/>
  <c r="M438" i="24"/>
  <c r="R438" i="24" s="1"/>
  <c r="N437" i="24"/>
  <c r="M437" i="24"/>
  <c r="R437" i="24" s="1"/>
  <c r="N436" i="24"/>
  <c r="M436" i="24"/>
  <c r="R436" i="24" s="1"/>
  <c r="N435" i="24"/>
  <c r="M435" i="24"/>
  <c r="R435" i="24" s="1"/>
  <c r="N434" i="24"/>
  <c r="M434" i="24"/>
  <c r="R434" i="24" s="1"/>
  <c r="N433" i="24"/>
  <c r="M433" i="24"/>
  <c r="R433" i="24" s="1"/>
  <c r="N432" i="24"/>
  <c r="M432" i="24"/>
  <c r="R432" i="24" s="1"/>
  <c r="N431" i="24"/>
  <c r="M431" i="24"/>
  <c r="R431" i="24" s="1"/>
  <c r="N430" i="24"/>
  <c r="M430" i="24"/>
  <c r="R430" i="24" s="1"/>
  <c r="N429" i="24"/>
  <c r="M429" i="24"/>
  <c r="R429" i="24" s="1"/>
  <c r="N428" i="24"/>
  <c r="M428" i="24"/>
  <c r="R428" i="24" s="1"/>
  <c r="N427" i="24"/>
  <c r="M427" i="24"/>
  <c r="R427" i="24" s="1"/>
  <c r="N426" i="24"/>
  <c r="M426" i="24"/>
  <c r="R426" i="24" s="1"/>
  <c r="N424" i="24"/>
  <c r="M424" i="24"/>
  <c r="R424" i="24" s="1"/>
  <c r="N423" i="24"/>
  <c r="M423" i="24"/>
  <c r="R423" i="24" s="1"/>
  <c r="N422" i="24"/>
  <c r="M422" i="24"/>
  <c r="R422" i="24" s="1"/>
  <c r="N421" i="24"/>
  <c r="M421" i="24"/>
  <c r="R421" i="24" s="1"/>
  <c r="N420" i="24"/>
  <c r="M420" i="24"/>
  <c r="R420" i="24" s="1"/>
  <c r="N419" i="24"/>
  <c r="M419" i="24"/>
  <c r="R419" i="24" s="1"/>
  <c r="N418" i="24"/>
  <c r="M418" i="24"/>
  <c r="R418" i="24" s="1"/>
  <c r="N417" i="24"/>
  <c r="M417" i="24"/>
  <c r="R417" i="24" s="1"/>
  <c r="N416" i="24"/>
  <c r="M416" i="24"/>
  <c r="R416" i="24" s="1"/>
  <c r="N415" i="24"/>
  <c r="M415" i="24"/>
  <c r="R415" i="24" s="1"/>
  <c r="N414" i="24"/>
  <c r="M414" i="24"/>
  <c r="R414" i="24" s="1"/>
  <c r="N413" i="24"/>
  <c r="M413" i="24"/>
  <c r="R413" i="24" s="1"/>
  <c r="N412" i="24"/>
  <c r="M412" i="24"/>
  <c r="R412" i="24" s="1"/>
  <c r="N411" i="24"/>
  <c r="M411" i="24"/>
  <c r="R411" i="24" s="1"/>
  <c r="N410" i="24"/>
  <c r="M410" i="24"/>
  <c r="R410" i="24" s="1"/>
  <c r="N409" i="24"/>
  <c r="M409" i="24"/>
  <c r="R409" i="24" s="1"/>
  <c r="N408" i="24"/>
  <c r="M408" i="24"/>
  <c r="R408" i="24" s="1"/>
  <c r="N407" i="24"/>
  <c r="M407" i="24"/>
  <c r="R407" i="24" s="1"/>
  <c r="N406" i="24"/>
  <c r="M406" i="24"/>
  <c r="R406" i="24" s="1"/>
  <c r="N405" i="24"/>
  <c r="M405" i="24"/>
  <c r="R405" i="24" s="1"/>
  <c r="N404" i="24"/>
  <c r="M404" i="24"/>
  <c r="R404" i="24" s="1"/>
  <c r="N403" i="24"/>
  <c r="M403" i="24"/>
  <c r="N401" i="24"/>
  <c r="M401" i="24"/>
  <c r="R401" i="24" s="1"/>
  <c r="N400" i="24"/>
  <c r="M400" i="24"/>
  <c r="R400" i="24" s="1"/>
  <c r="N399" i="24"/>
  <c r="M399" i="24"/>
  <c r="R399" i="24" s="1"/>
  <c r="N398" i="24"/>
  <c r="M398" i="24"/>
  <c r="R398" i="24" s="1"/>
  <c r="N397" i="24"/>
  <c r="M397" i="24"/>
  <c r="R397" i="24" s="1"/>
  <c r="N396" i="24"/>
  <c r="M396" i="24"/>
  <c r="R396" i="24" s="1"/>
  <c r="N395" i="24"/>
  <c r="M395" i="24"/>
  <c r="R395" i="24" s="1"/>
  <c r="N394" i="24"/>
  <c r="M394" i="24"/>
  <c r="R394" i="24" s="1"/>
  <c r="N393" i="24"/>
  <c r="M393" i="24"/>
  <c r="R393" i="24" s="1"/>
  <c r="N392" i="24"/>
  <c r="M392" i="24"/>
  <c r="R392" i="24" s="1"/>
  <c r="N391" i="24"/>
  <c r="M391" i="24"/>
  <c r="R391" i="24" s="1"/>
  <c r="N390" i="24"/>
  <c r="M390" i="24"/>
  <c r="R390" i="24" s="1"/>
  <c r="N389" i="24"/>
  <c r="M389" i="24"/>
  <c r="R389" i="24" s="1"/>
  <c r="N388" i="24"/>
  <c r="M388" i="24"/>
  <c r="R388" i="24" s="1"/>
  <c r="N387" i="24"/>
  <c r="M387" i="24"/>
  <c r="R387" i="24" s="1"/>
  <c r="N386" i="24"/>
  <c r="M386" i="24"/>
  <c r="R386" i="24" s="1"/>
  <c r="N385" i="24"/>
  <c r="M385" i="24"/>
  <c r="N384" i="24"/>
  <c r="M384" i="24"/>
  <c r="R384" i="24" s="1"/>
  <c r="N383" i="24"/>
  <c r="M383" i="24"/>
  <c r="N382" i="24"/>
  <c r="M382" i="24"/>
  <c r="R382" i="24" s="1"/>
  <c r="N381" i="24"/>
  <c r="M381" i="24"/>
  <c r="N380" i="24"/>
  <c r="M380" i="24"/>
  <c r="R380" i="24" s="1"/>
  <c r="N379" i="24"/>
  <c r="M379" i="24"/>
  <c r="R379" i="24" s="1"/>
  <c r="N378" i="24"/>
  <c r="M378" i="24"/>
  <c r="N377" i="24"/>
  <c r="M377" i="24"/>
  <c r="R377" i="24" s="1"/>
  <c r="N376" i="24"/>
  <c r="M376" i="24"/>
  <c r="R376" i="24" s="1"/>
  <c r="N375" i="24"/>
  <c r="M375" i="24"/>
  <c r="N374" i="24"/>
  <c r="M374" i="24"/>
  <c r="R374" i="24" s="1"/>
  <c r="N373" i="24"/>
  <c r="M373" i="24"/>
  <c r="R373" i="24" s="1"/>
  <c r="N372" i="24"/>
  <c r="M372" i="24"/>
  <c r="R372" i="24" s="1"/>
  <c r="N371" i="24"/>
  <c r="M371" i="24"/>
  <c r="R371" i="24" s="1"/>
  <c r="N370" i="24"/>
  <c r="M370" i="24"/>
  <c r="R370" i="24" s="1"/>
  <c r="N369" i="24"/>
  <c r="M369" i="24"/>
  <c r="R369" i="24" s="1"/>
  <c r="N368" i="24"/>
  <c r="M368" i="24"/>
  <c r="R368" i="24" s="1"/>
  <c r="N367" i="24"/>
  <c r="M367" i="24"/>
  <c r="R367" i="24" s="1"/>
  <c r="N366" i="24"/>
  <c r="M366" i="24"/>
  <c r="R366" i="24" s="1"/>
  <c r="N365" i="24"/>
  <c r="M365" i="24"/>
  <c r="N364" i="24"/>
  <c r="M364" i="24"/>
  <c r="R364" i="24" s="1"/>
  <c r="N363" i="24"/>
  <c r="M363" i="24"/>
  <c r="R363" i="24" s="1"/>
  <c r="N362" i="24"/>
  <c r="M362" i="24"/>
  <c r="R362" i="24" s="1"/>
  <c r="N361" i="24"/>
  <c r="M361" i="24"/>
  <c r="R361" i="24" s="1"/>
  <c r="N360" i="24"/>
  <c r="M360" i="24"/>
  <c r="R360" i="24" s="1"/>
  <c r="N359" i="24"/>
  <c r="M359" i="24"/>
  <c r="R359" i="24" s="1"/>
  <c r="N358" i="24"/>
  <c r="M358" i="24"/>
  <c r="N357" i="24"/>
  <c r="M357" i="24"/>
  <c r="R357" i="24" s="1"/>
  <c r="N356" i="24"/>
  <c r="M356" i="24"/>
  <c r="N355" i="24"/>
  <c r="M355" i="24"/>
  <c r="R355" i="24" s="1"/>
  <c r="N354" i="24"/>
  <c r="M354" i="24"/>
  <c r="R354" i="24" s="1"/>
  <c r="N353" i="24"/>
  <c r="M353" i="24"/>
  <c r="R353" i="24" s="1"/>
  <c r="N352" i="24"/>
  <c r="M352" i="24"/>
  <c r="N351" i="24"/>
  <c r="M351" i="24"/>
  <c r="N350" i="24"/>
  <c r="M350" i="24"/>
  <c r="R350" i="24" s="1"/>
  <c r="N349" i="24"/>
  <c r="M349" i="24"/>
  <c r="R349" i="24" s="1"/>
  <c r="N348" i="24"/>
  <c r="M348" i="24"/>
  <c r="R348" i="24" s="1"/>
  <c r="N347" i="24"/>
  <c r="M347" i="24"/>
  <c r="N346" i="24"/>
  <c r="M346" i="24"/>
  <c r="N345" i="24"/>
  <c r="M345" i="24"/>
  <c r="R345" i="24" s="1"/>
  <c r="N344" i="24"/>
  <c r="M344" i="24"/>
  <c r="R344" i="24" s="1"/>
  <c r="N343" i="24"/>
  <c r="M343" i="24"/>
  <c r="R343" i="24" s="1"/>
  <c r="N342" i="24"/>
  <c r="M342" i="24"/>
  <c r="R342" i="24" s="1"/>
  <c r="N341" i="24"/>
  <c r="M341" i="24"/>
  <c r="R341" i="24" s="1"/>
  <c r="N340" i="24"/>
  <c r="M340" i="24"/>
  <c r="R340" i="24" s="1"/>
  <c r="N339" i="24"/>
  <c r="M339" i="24"/>
  <c r="R339" i="24" s="1"/>
  <c r="N338" i="24"/>
  <c r="M338" i="24"/>
  <c r="R338" i="24" s="1"/>
  <c r="N337" i="24"/>
  <c r="M337" i="24"/>
  <c r="N336" i="24"/>
  <c r="M336" i="24"/>
  <c r="R336" i="24" s="1"/>
  <c r="N335" i="24"/>
  <c r="M335" i="24"/>
  <c r="R335" i="24" s="1"/>
  <c r="N334" i="24"/>
  <c r="M334" i="24"/>
  <c r="N333" i="24"/>
  <c r="M333" i="24"/>
  <c r="R333" i="24" s="1"/>
  <c r="N332" i="24"/>
  <c r="M332" i="24"/>
  <c r="R332" i="24" s="1"/>
  <c r="N331" i="24"/>
  <c r="M331" i="24"/>
  <c r="R331" i="24" s="1"/>
  <c r="N330" i="24"/>
  <c r="M330" i="24"/>
  <c r="R330" i="24" s="1"/>
  <c r="N328" i="24"/>
  <c r="M328" i="24"/>
  <c r="R328" i="24" s="1"/>
  <c r="N327" i="24"/>
  <c r="M327" i="24"/>
  <c r="R327" i="24" s="1"/>
  <c r="N326" i="24"/>
  <c r="M326" i="24"/>
  <c r="R326" i="24" s="1"/>
  <c r="N325" i="24"/>
  <c r="M325" i="24"/>
  <c r="R325" i="24" s="1"/>
  <c r="N324" i="24"/>
  <c r="M324" i="24"/>
  <c r="R324" i="24" s="1"/>
  <c r="N323" i="24"/>
  <c r="M323" i="24"/>
  <c r="R323" i="24" s="1"/>
  <c r="N322" i="24"/>
  <c r="M322" i="24"/>
  <c r="R322" i="24" s="1"/>
  <c r="N321" i="24"/>
  <c r="M321" i="24"/>
  <c r="R321" i="24" s="1"/>
  <c r="N320" i="24"/>
  <c r="M320" i="24"/>
  <c r="R320" i="24" s="1"/>
  <c r="N319" i="24"/>
  <c r="M319" i="24"/>
  <c r="R319" i="24" s="1"/>
  <c r="N318" i="24"/>
  <c r="M318" i="24"/>
  <c r="R318" i="24" s="1"/>
  <c r="N317" i="24"/>
  <c r="M317" i="24"/>
  <c r="R317" i="24" s="1"/>
  <c r="N316" i="24"/>
  <c r="M316" i="24"/>
  <c r="R316" i="24" s="1"/>
  <c r="N315" i="24"/>
  <c r="M315" i="24"/>
  <c r="R315" i="24" s="1"/>
  <c r="N314" i="24"/>
  <c r="M314" i="24"/>
  <c r="R314" i="24" s="1"/>
  <c r="N313" i="24"/>
  <c r="M313" i="24"/>
  <c r="R313" i="24" s="1"/>
  <c r="N312" i="24"/>
  <c r="M312" i="24"/>
  <c r="R312" i="24" s="1"/>
  <c r="N311" i="24"/>
  <c r="M311" i="24"/>
  <c r="R311" i="24" s="1"/>
  <c r="N310" i="24"/>
  <c r="M310" i="24"/>
  <c r="R310" i="24" s="1"/>
  <c r="N309" i="24"/>
  <c r="M309" i="24"/>
  <c r="R309" i="24" s="1"/>
  <c r="N308" i="24"/>
  <c r="M308" i="24"/>
  <c r="R308" i="24" s="1"/>
  <c r="N307" i="24"/>
  <c r="M307" i="24"/>
  <c r="R307" i="24" s="1"/>
  <c r="N306" i="24"/>
  <c r="M306" i="24"/>
  <c r="R306" i="24" s="1"/>
  <c r="N305" i="24"/>
  <c r="M305" i="24"/>
  <c r="R305" i="24" s="1"/>
  <c r="N304" i="24"/>
  <c r="M304" i="24"/>
  <c r="R304" i="24" s="1"/>
  <c r="N303" i="24"/>
  <c r="M303" i="24"/>
  <c r="R303" i="24" s="1"/>
  <c r="N302" i="24"/>
  <c r="M302" i="24"/>
  <c r="R302" i="24" s="1"/>
  <c r="N301" i="24"/>
  <c r="M301" i="24"/>
  <c r="R301" i="24" s="1"/>
  <c r="N300" i="24"/>
  <c r="M300" i="24"/>
  <c r="R300" i="24" s="1"/>
  <c r="N299" i="24"/>
  <c r="M299" i="24"/>
  <c r="R299" i="24" s="1"/>
  <c r="N298" i="24"/>
  <c r="M298" i="24"/>
  <c r="R298" i="24" s="1"/>
  <c r="N297" i="24"/>
  <c r="M297" i="24"/>
  <c r="R297" i="24" s="1"/>
  <c r="N296" i="24"/>
  <c r="M296" i="24"/>
  <c r="R296" i="24" s="1"/>
  <c r="N295" i="24"/>
  <c r="M295" i="24"/>
  <c r="R295" i="24" s="1"/>
  <c r="N294" i="24"/>
  <c r="M294" i="24"/>
  <c r="R294" i="24" s="1"/>
  <c r="N293" i="24"/>
  <c r="M293" i="24"/>
  <c r="R293" i="24" s="1"/>
  <c r="N292" i="24"/>
  <c r="M292" i="24"/>
  <c r="R292" i="24" s="1"/>
  <c r="N291" i="24"/>
  <c r="M291" i="24"/>
  <c r="R291" i="24" s="1"/>
  <c r="N290" i="24"/>
  <c r="M290" i="24"/>
  <c r="N289" i="24"/>
  <c r="M289" i="24"/>
  <c r="N288" i="24"/>
  <c r="M288" i="24"/>
  <c r="N287" i="24"/>
  <c r="M287" i="24"/>
  <c r="R287" i="24" s="1"/>
  <c r="N286" i="24"/>
  <c r="M286" i="24"/>
  <c r="R286" i="24" s="1"/>
  <c r="N285" i="24"/>
  <c r="M285" i="24"/>
  <c r="R285" i="24" s="1"/>
  <c r="N284" i="24"/>
  <c r="M284" i="24"/>
  <c r="R284" i="24" s="1"/>
  <c r="N283" i="24"/>
  <c r="M283" i="24"/>
  <c r="R283" i="24" s="1"/>
  <c r="N282" i="24"/>
  <c r="M282" i="24"/>
  <c r="R282" i="24" s="1"/>
  <c r="N281" i="24"/>
  <c r="M281" i="24"/>
  <c r="N280" i="24"/>
  <c r="M280" i="24"/>
  <c r="R280" i="24" s="1"/>
  <c r="N279" i="24"/>
  <c r="M279" i="24"/>
  <c r="N278" i="24"/>
  <c r="M278" i="24"/>
  <c r="R278" i="24" s="1"/>
  <c r="N277" i="24"/>
  <c r="M277" i="24"/>
  <c r="R277" i="24" s="1"/>
  <c r="N276" i="24"/>
  <c r="M276" i="24"/>
  <c r="R276" i="24" s="1"/>
  <c r="N275" i="24"/>
  <c r="M275" i="24"/>
  <c r="R275" i="24" s="1"/>
  <c r="N274" i="24"/>
  <c r="M274" i="24"/>
  <c r="R274" i="24" s="1"/>
  <c r="N272" i="24"/>
  <c r="M272" i="24"/>
  <c r="N271" i="24"/>
  <c r="M271" i="24"/>
  <c r="R271" i="24" s="1"/>
  <c r="N270" i="24"/>
  <c r="M270" i="24"/>
  <c r="N269" i="24"/>
  <c r="M269" i="24"/>
  <c r="R269" i="24" s="1"/>
  <c r="N268" i="24"/>
  <c r="M268" i="24"/>
  <c r="N267" i="24"/>
  <c r="M267" i="24"/>
  <c r="N266" i="24"/>
  <c r="M266" i="24"/>
  <c r="N265" i="24"/>
  <c r="M265" i="24"/>
  <c r="R265" i="24" s="1"/>
  <c r="N264" i="24"/>
  <c r="M264" i="24"/>
  <c r="N263" i="24"/>
  <c r="M263" i="24"/>
  <c r="R263" i="24" s="1"/>
  <c r="N262" i="24"/>
  <c r="M262" i="24"/>
  <c r="R262" i="24" s="1"/>
  <c r="N261" i="24"/>
  <c r="M261" i="24"/>
  <c r="R261" i="24" s="1"/>
  <c r="N260" i="24"/>
  <c r="M260" i="24"/>
  <c r="R260" i="24" s="1"/>
  <c r="N259" i="24"/>
  <c r="M259" i="24"/>
  <c r="N258" i="24"/>
  <c r="M258" i="24"/>
  <c r="R258" i="24" s="1"/>
  <c r="N257" i="24"/>
  <c r="M257" i="24"/>
  <c r="R257" i="24" s="1"/>
  <c r="N256" i="24"/>
  <c r="M256" i="24"/>
  <c r="N255" i="24"/>
  <c r="M255" i="24"/>
  <c r="R255" i="24" s="1"/>
  <c r="N254" i="24"/>
  <c r="M254" i="24"/>
  <c r="R254" i="24" s="1"/>
  <c r="N253" i="24"/>
  <c r="M253" i="24"/>
  <c r="R253" i="24" s="1"/>
  <c r="N252" i="24"/>
  <c r="M252" i="24"/>
  <c r="R252" i="24" s="1"/>
  <c r="N251" i="24"/>
  <c r="M251" i="24"/>
  <c r="R251" i="24" s="1"/>
  <c r="N250" i="24"/>
  <c r="M250" i="24"/>
  <c r="R250" i="24" s="1"/>
  <c r="N249" i="24"/>
  <c r="M249" i="24"/>
  <c r="R249" i="24" s="1"/>
  <c r="N248" i="24"/>
  <c r="M248" i="24"/>
  <c r="N247" i="24"/>
  <c r="M247" i="24"/>
  <c r="N246" i="24"/>
  <c r="M246" i="24"/>
  <c r="N245" i="24"/>
  <c r="M245" i="24"/>
  <c r="R245" i="24" s="1"/>
  <c r="N244" i="24"/>
  <c r="M244" i="24"/>
  <c r="R244" i="24" s="1"/>
  <c r="N243" i="24"/>
  <c r="M243" i="24"/>
  <c r="R243" i="24" s="1"/>
  <c r="N242" i="24"/>
  <c r="M242" i="24"/>
  <c r="N241" i="24"/>
  <c r="M241" i="24"/>
  <c r="N240" i="24"/>
  <c r="M240" i="24"/>
  <c r="R240" i="24" s="1"/>
  <c r="N239" i="24"/>
  <c r="M239" i="24"/>
  <c r="R239" i="24" s="1"/>
  <c r="N238" i="24"/>
  <c r="M238" i="24"/>
  <c r="R238" i="24" s="1"/>
  <c r="N237" i="24"/>
  <c r="M237" i="24"/>
  <c r="R237" i="24" s="1"/>
  <c r="N236" i="24"/>
  <c r="M236" i="24"/>
  <c r="R236" i="24" s="1"/>
  <c r="N235" i="24"/>
  <c r="M235" i="24"/>
  <c r="R235" i="24" s="1"/>
  <c r="N234" i="24"/>
  <c r="M234" i="24"/>
  <c r="R234" i="24" s="1"/>
  <c r="N233" i="24"/>
  <c r="M233" i="24"/>
  <c r="R233" i="24" s="1"/>
  <c r="N232" i="24"/>
  <c r="M232" i="24"/>
  <c r="R232" i="24" s="1"/>
  <c r="N231" i="24"/>
  <c r="M231" i="24"/>
  <c r="R231" i="24" s="1"/>
  <c r="N230" i="24"/>
  <c r="M230" i="24"/>
  <c r="R230" i="24" s="1"/>
  <c r="N229" i="24"/>
  <c r="M229" i="24"/>
  <c r="R229" i="24" s="1"/>
  <c r="N228" i="24"/>
  <c r="M228" i="24"/>
  <c r="R228" i="24" s="1"/>
  <c r="N227" i="24"/>
  <c r="M227" i="24"/>
  <c r="N226" i="24"/>
  <c r="M226" i="24"/>
  <c r="N225" i="24"/>
  <c r="M225" i="24"/>
  <c r="R225" i="24" s="1"/>
  <c r="N224" i="24"/>
  <c r="M224" i="24"/>
  <c r="N223" i="24"/>
  <c r="M223" i="24"/>
  <c r="R223" i="24" s="1"/>
  <c r="N222" i="24"/>
  <c r="M222" i="24"/>
  <c r="R222" i="24" s="1"/>
  <c r="N221" i="24"/>
  <c r="M221" i="24"/>
  <c r="N220" i="24"/>
  <c r="M220" i="24"/>
  <c r="R220" i="24" s="1"/>
  <c r="N219" i="24"/>
  <c r="M219" i="24"/>
  <c r="R219" i="24" s="1"/>
  <c r="N218" i="24"/>
  <c r="M218" i="24"/>
  <c r="R218" i="24" s="1"/>
  <c r="N217" i="24"/>
  <c r="M217" i="24"/>
  <c r="R217" i="24" s="1"/>
  <c r="N216" i="24"/>
  <c r="M216" i="24"/>
  <c r="R216" i="24" s="1"/>
  <c r="N215" i="24"/>
  <c r="M215" i="24"/>
  <c r="R215" i="24" s="1"/>
  <c r="N214" i="24"/>
  <c r="M214" i="24"/>
  <c r="N213" i="24"/>
  <c r="M213" i="24"/>
  <c r="R213" i="24" s="1"/>
  <c r="N212" i="24"/>
  <c r="M212" i="24"/>
  <c r="R212" i="24" s="1"/>
  <c r="N211" i="24"/>
  <c r="M211" i="24"/>
  <c r="R211" i="24" s="1"/>
  <c r="N210" i="24"/>
  <c r="M210" i="24"/>
  <c r="R210" i="24" s="1"/>
  <c r="N209" i="24"/>
  <c r="M209" i="24"/>
  <c r="R209" i="24" s="1"/>
  <c r="N208" i="24"/>
  <c r="M208" i="24"/>
  <c r="R208" i="24" s="1"/>
  <c r="N207" i="24"/>
  <c r="M207" i="24"/>
  <c r="R207" i="24" s="1"/>
  <c r="N206" i="24"/>
  <c r="M206" i="24"/>
  <c r="R206" i="24" s="1"/>
  <c r="N205" i="24"/>
  <c r="M205" i="24"/>
  <c r="R205" i="24" s="1"/>
  <c r="N204" i="24"/>
  <c r="M204" i="24"/>
  <c r="R204" i="24" s="1"/>
  <c r="N203" i="24"/>
  <c r="M203" i="24"/>
  <c r="R203" i="24" s="1"/>
  <c r="N202" i="24"/>
  <c r="M202" i="24"/>
  <c r="R202" i="24" s="1"/>
  <c r="N201" i="24"/>
  <c r="M201" i="24"/>
  <c r="R201" i="24" s="1"/>
  <c r="N200" i="24"/>
  <c r="M200" i="24"/>
  <c r="R200" i="24" s="1"/>
  <c r="N199" i="24"/>
  <c r="M199" i="24"/>
  <c r="R199" i="24" s="1"/>
  <c r="N198" i="24"/>
  <c r="M198" i="24"/>
  <c r="R198" i="24" s="1"/>
  <c r="N197" i="24"/>
  <c r="M197" i="24"/>
  <c r="R197" i="24" s="1"/>
  <c r="N196" i="24"/>
  <c r="M196" i="24"/>
  <c r="R196" i="24" s="1"/>
  <c r="N195" i="24"/>
  <c r="M195" i="24"/>
  <c r="R195" i="24" s="1"/>
  <c r="N194" i="24"/>
  <c r="M194" i="24"/>
  <c r="R194" i="24" s="1"/>
  <c r="N193" i="24"/>
  <c r="M193" i="24"/>
  <c r="R193" i="24" s="1"/>
  <c r="N192" i="24"/>
  <c r="M192" i="24"/>
  <c r="R192" i="24" s="1"/>
  <c r="N191" i="24"/>
  <c r="M191" i="24"/>
  <c r="R191" i="24" s="1"/>
  <c r="N190" i="24"/>
  <c r="M190" i="24"/>
  <c r="R190" i="24" s="1"/>
  <c r="N189" i="24"/>
  <c r="M189" i="24"/>
  <c r="R189" i="24" s="1"/>
  <c r="N188" i="24"/>
  <c r="M188" i="24"/>
  <c r="R188" i="24" s="1"/>
  <c r="N187" i="24"/>
  <c r="M187" i="24"/>
  <c r="R187" i="24" s="1"/>
  <c r="N186" i="24"/>
  <c r="M186" i="24"/>
  <c r="R186" i="24" s="1"/>
  <c r="N185" i="24"/>
  <c r="M185" i="24"/>
  <c r="R185" i="24" s="1"/>
  <c r="N184" i="24"/>
  <c r="M184" i="24"/>
  <c r="R184" i="24" s="1"/>
  <c r="N183" i="24"/>
  <c r="M183" i="24"/>
  <c r="R183" i="24" s="1"/>
  <c r="N182" i="24"/>
  <c r="M182" i="24"/>
  <c r="R182" i="24" s="1"/>
  <c r="N181" i="24"/>
  <c r="M181" i="24"/>
  <c r="R181" i="24" s="1"/>
  <c r="N180" i="24"/>
  <c r="M180" i="24"/>
  <c r="R180" i="24" s="1"/>
  <c r="N179" i="24"/>
  <c r="M179" i="24"/>
  <c r="R179" i="24" s="1"/>
  <c r="N178" i="24"/>
  <c r="M178" i="24"/>
  <c r="R178" i="24" s="1"/>
  <c r="N177" i="24"/>
  <c r="M177" i="24"/>
  <c r="R177" i="24" s="1"/>
  <c r="N176" i="24"/>
  <c r="M176" i="24"/>
  <c r="R176" i="24" s="1"/>
  <c r="N175" i="24"/>
  <c r="M175" i="24"/>
  <c r="R175" i="24" s="1"/>
  <c r="N174" i="24"/>
  <c r="M174" i="24"/>
  <c r="R174" i="24" s="1"/>
  <c r="N173" i="24"/>
  <c r="M173" i="24"/>
  <c r="R173" i="24" s="1"/>
  <c r="N172" i="24"/>
  <c r="M172" i="24"/>
  <c r="R172" i="24" s="1"/>
  <c r="N171" i="24"/>
  <c r="M171" i="24"/>
  <c r="R171" i="24" s="1"/>
  <c r="N170" i="24"/>
  <c r="M170" i="24"/>
  <c r="R170" i="24" s="1"/>
  <c r="N169" i="24"/>
  <c r="M169" i="24"/>
  <c r="R169" i="24" s="1"/>
  <c r="N168" i="24"/>
  <c r="M168" i="24"/>
  <c r="R168" i="24" s="1"/>
  <c r="N167" i="24"/>
  <c r="M167" i="24"/>
  <c r="R167" i="24" s="1"/>
  <c r="N166" i="24"/>
  <c r="M166" i="24"/>
  <c r="R166" i="24" s="1"/>
  <c r="N165" i="24"/>
  <c r="M165" i="24"/>
  <c r="R165" i="24" s="1"/>
  <c r="N164" i="24"/>
  <c r="M164" i="24"/>
  <c r="R164" i="24" s="1"/>
  <c r="N163" i="24"/>
  <c r="M163" i="24"/>
  <c r="R163" i="24" s="1"/>
  <c r="N162" i="24"/>
  <c r="M162" i="24"/>
  <c r="R162" i="24" s="1"/>
  <c r="N161" i="24"/>
  <c r="M161" i="24"/>
  <c r="R161" i="24" s="1"/>
  <c r="N160" i="24"/>
  <c r="M160" i="24"/>
  <c r="R160" i="24" s="1"/>
  <c r="N159" i="24"/>
  <c r="M159" i="24"/>
  <c r="R159" i="24" s="1"/>
  <c r="N158" i="24"/>
  <c r="M158" i="24"/>
  <c r="R158" i="24" s="1"/>
  <c r="N157" i="24"/>
  <c r="M157" i="24"/>
  <c r="R157" i="24" s="1"/>
  <c r="N156" i="24"/>
  <c r="M156" i="24"/>
  <c r="R156" i="24" s="1"/>
  <c r="N155" i="24"/>
  <c r="M155" i="24"/>
  <c r="R155" i="24" s="1"/>
  <c r="N154" i="24"/>
  <c r="M154" i="24"/>
  <c r="R154" i="24" s="1"/>
  <c r="N153" i="24"/>
  <c r="M153" i="24"/>
  <c r="R153" i="24" s="1"/>
  <c r="N152" i="24"/>
  <c r="M152" i="24"/>
  <c r="R152" i="24" s="1"/>
  <c r="N151" i="24"/>
  <c r="M151" i="24"/>
  <c r="R151" i="24" s="1"/>
  <c r="N150" i="24"/>
  <c r="M150" i="24"/>
  <c r="R150" i="24" s="1"/>
  <c r="N149" i="24"/>
  <c r="M149" i="24"/>
  <c r="R149" i="24" s="1"/>
  <c r="N148" i="24"/>
  <c r="M148" i="24"/>
  <c r="R148" i="24" s="1"/>
  <c r="N147" i="24"/>
  <c r="M147" i="24"/>
  <c r="R147" i="24" s="1"/>
  <c r="N146" i="24"/>
  <c r="M146" i="24"/>
  <c r="R146" i="24" s="1"/>
  <c r="N145" i="24"/>
  <c r="M145" i="24"/>
  <c r="R145" i="24" s="1"/>
  <c r="N144" i="24"/>
  <c r="M144" i="24"/>
  <c r="R144" i="24" s="1"/>
  <c r="N143" i="24"/>
  <c r="M143" i="24"/>
  <c r="R143" i="24" s="1"/>
  <c r="N142" i="24"/>
  <c r="M142" i="24"/>
  <c r="R142" i="24" s="1"/>
  <c r="N141" i="24"/>
  <c r="M141" i="24"/>
  <c r="R141" i="24" s="1"/>
  <c r="N140" i="24"/>
  <c r="M140" i="24"/>
  <c r="R140" i="24" s="1"/>
  <c r="N139" i="24"/>
  <c r="M139" i="24"/>
  <c r="R139" i="24" s="1"/>
  <c r="N138" i="24"/>
  <c r="M138" i="24"/>
  <c r="R138" i="24" s="1"/>
  <c r="N137" i="24"/>
  <c r="M137" i="24"/>
  <c r="R137" i="24" s="1"/>
  <c r="N136" i="24"/>
  <c r="M136" i="24"/>
  <c r="R136" i="24" s="1"/>
  <c r="N135" i="24"/>
  <c r="M135" i="24"/>
  <c r="R135" i="24" s="1"/>
  <c r="N134" i="24"/>
  <c r="M134" i="24"/>
  <c r="R134" i="24" s="1"/>
  <c r="N133" i="24"/>
  <c r="M133" i="24"/>
  <c r="R133" i="24" s="1"/>
  <c r="N132" i="24"/>
  <c r="M132" i="24"/>
  <c r="R132" i="24" s="1"/>
  <c r="N131" i="24"/>
  <c r="M131" i="24"/>
  <c r="R131" i="24" s="1"/>
  <c r="N130" i="24"/>
  <c r="M130" i="24"/>
  <c r="R130" i="24" s="1"/>
  <c r="N129" i="24"/>
  <c r="M129" i="24"/>
  <c r="R129" i="24" s="1"/>
  <c r="N128" i="24"/>
  <c r="M128" i="24"/>
  <c r="R128" i="24" s="1"/>
  <c r="N127" i="24"/>
  <c r="M127" i="24"/>
  <c r="R127" i="24" s="1"/>
  <c r="N126" i="24"/>
  <c r="M126" i="24"/>
  <c r="N125" i="24"/>
  <c r="M125" i="24"/>
  <c r="R125" i="24" s="1"/>
  <c r="N124" i="24"/>
  <c r="M124" i="24"/>
  <c r="R124" i="24" s="1"/>
  <c r="N123" i="24"/>
  <c r="M123" i="24"/>
  <c r="R123" i="24" s="1"/>
  <c r="N122" i="24"/>
  <c r="M122" i="24"/>
  <c r="R122" i="24" s="1"/>
  <c r="N121" i="24"/>
  <c r="M121" i="24"/>
  <c r="R121" i="24" s="1"/>
  <c r="N120" i="24"/>
  <c r="M120" i="24"/>
  <c r="R120" i="24" s="1"/>
  <c r="N119" i="24"/>
  <c r="M119" i="24"/>
  <c r="R119" i="24" s="1"/>
  <c r="N118" i="24"/>
  <c r="M118" i="24"/>
  <c r="R118" i="24" s="1"/>
  <c r="N117" i="24"/>
  <c r="M117" i="24"/>
  <c r="R117" i="24" s="1"/>
  <c r="N116" i="24"/>
  <c r="M116" i="24"/>
  <c r="R116" i="24" s="1"/>
  <c r="N115" i="24"/>
  <c r="M115" i="24"/>
  <c r="N114" i="24"/>
  <c r="M114" i="24"/>
  <c r="N113" i="24"/>
  <c r="M113" i="24"/>
  <c r="N112" i="24"/>
  <c r="M112" i="24"/>
  <c r="N111" i="24"/>
  <c r="M111" i="24"/>
  <c r="R111" i="24" s="1"/>
  <c r="N110" i="24"/>
  <c r="M110" i="24"/>
  <c r="R110" i="24" s="1"/>
  <c r="N109" i="24"/>
  <c r="M109" i="24"/>
  <c r="R109" i="24" s="1"/>
  <c r="N108" i="24"/>
  <c r="M108" i="24"/>
  <c r="R108" i="24" s="1"/>
  <c r="N107" i="24"/>
  <c r="M107" i="24"/>
  <c r="R107" i="24" s="1"/>
  <c r="N106" i="24"/>
  <c r="M106" i="24"/>
  <c r="R106" i="24" s="1"/>
  <c r="N105" i="24"/>
  <c r="M105" i="24"/>
  <c r="R105" i="24" s="1"/>
  <c r="N104" i="24"/>
  <c r="M104" i="24"/>
  <c r="R104" i="24" s="1"/>
  <c r="N103" i="24"/>
  <c r="M103" i="24"/>
  <c r="R103" i="24" s="1"/>
  <c r="N102" i="24"/>
  <c r="M102" i="24"/>
  <c r="R102" i="24" s="1"/>
  <c r="N101" i="24"/>
  <c r="M101" i="24"/>
  <c r="R101" i="24" s="1"/>
  <c r="N100" i="24"/>
  <c r="M100" i="24"/>
  <c r="R100" i="24" s="1"/>
  <c r="N99" i="24"/>
  <c r="M99" i="24"/>
  <c r="N98" i="24"/>
  <c r="M98" i="24"/>
  <c r="R98" i="24" s="1"/>
  <c r="N97" i="24"/>
  <c r="M97" i="24"/>
  <c r="R97" i="24" s="1"/>
  <c r="N96" i="24"/>
  <c r="M96" i="24"/>
  <c r="R96" i="24" s="1"/>
  <c r="N95" i="24"/>
  <c r="M95" i="24"/>
  <c r="R95" i="24" s="1"/>
  <c r="N94" i="24"/>
  <c r="M94" i="24"/>
  <c r="R94" i="24" s="1"/>
  <c r="N93" i="24"/>
  <c r="M93" i="24"/>
  <c r="R93" i="24" s="1"/>
  <c r="N92" i="24"/>
  <c r="M92" i="24"/>
  <c r="R92" i="24" s="1"/>
  <c r="N91" i="24"/>
  <c r="M91" i="24"/>
  <c r="R91" i="24" s="1"/>
  <c r="N90" i="24"/>
  <c r="M90" i="24"/>
  <c r="N89" i="24"/>
  <c r="M89" i="24"/>
  <c r="R89" i="24" s="1"/>
  <c r="N88" i="24"/>
  <c r="M88" i="24"/>
  <c r="R88" i="24" s="1"/>
  <c r="N87" i="24"/>
  <c r="M87" i="24"/>
  <c r="R87" i="24" s="1"/>
  <c r="N86" i="24"/>
  <c r="M86" i="24"/>
  <c r="R86" i="24" s="1"/>
  <c r="N85" i="24"/>
  <c r="M85" i="24"/>
  <c r="R85" i="24" s="1"/>
  <c r="N84" i="24"/>
  <c r="M84" i="24"/>
  <c r="R84" i="24" s="1"/>
  <c r="N83" i="24"/>
  <c r="M83" i="24"/>
  <c r="N82" i="24"/>
  <c r="M82" i="24"/>
  <c r="R82" i="24" s="1"/>
  <c r="N81" i="24"/>
  <c r="M81" i="24"/>
  <c r="N80" i="24"/>
  <c r="M80" i="24"/>
  <c r="R80" i="24" s="1"/>
  <c r="N79" i="24"/>
  <c r="M79" i="24"/>
  <c r="R79" i="24" s="1"/>
  <c r="N78" i="24"/>
  <c r="M78" i="24"/>
  <c r="R78" i="24" s="1"/>
  <c r="N77" i="24"/>
  <c r="M77" i="24"/>
  <c r="R77" i="24" s="1"/>
  <c r="N76" i="24"/>
  <c r="M76" i="24"/>
  <c r="N75" i="24"/>
  <c r="M75" i="24"/>
  <c r="R75" i="24" s="1"/>
  <c r="N74" i="24"/>
  <c r="M74" i="24"/>
  <c r="N73" i="24"/>
  <c r="M73" i="24"/>
  <c r="R73" i="24" s="1"/>
  <c r="N72" i="24"/>
  <c r="M72" i="24"/>
  <c r="R72" i="24" s="1"/>
  <c r="N71" i="24"/>
  <c r="M71" i="24"/>
  <c r="R71" i="24" s="1"/>
  <c r="N70" i="24"/>
  <c r="M70" i="24"/>
  <c r="R70" i="24" s="1"/>
  <c r="N69" i="24"/>
  <c r="M69" i="24"/>
  <c r="R69" i="24" s="1"/>
  <c r="N68" i="24"/>
  <c r="M68" i="24"/>
  <c r="R68" i="24" s="1"/>
  <c r="N67" i="24"/>
  <c r="M67" i="24"/>
  <c r="R67" i="24" s="1"/>
  <c r="N66" i="24"/>
  <c r="M66" i="24"/>
  <c r="R66" i="24" s="1"/>
  <c r="N65" i="24"/>
  <c r="M65" i="24"/>
  <c r="R65" i="24" s="1"/>
  <c r="N64" i="24"/>
  <c r="M64" i="24"/>
  <c r="R64" i="24" s="1"/>
  <c r="N63" i="24"/>
  <c r="M63" i="24"/>
  <c r="R63" i="24" s="1"/>
  <c r="N62" i="24"/>
  <c r="M62" i="24"/>
  <c r="R62" i="24" s="1"/>
  <c r="N61" i="24"/>
  <c r="M61" i="24"/>
  <c r="R61" i="24" s="1"/>
  <c r="N60" i="24"/>
  <c r="M60" i="24"/>
  <c r="R60" i="24" s="1"/>
  <c r="N59" i="24"/>
  <c r="M59" i="24"/>
  <c r="R59" i="24" s="1"/>
  <c r="N58" i="24"/>
  <c r="M58" i="24"/>
  <c r="R58" i="24" s="1"/>
  <c r="N57" i="24"/>
  <c r="M57" i="24"/>
  <c r="R57" i="24" s="1"/>
  <c r="N56" i="24"/>
  <c r="M56" i="24"/>
  <c r="R56" i="24" s="1"/>
  <c r="N55" i="24"/>
  <c r="M55" i="24"/>
  <c r="R55" i="24" s="1"/>
  <c r="N54" i="24"/>
  <c r="M54" i="24"/>
  <c r="R54" i="24" s="1"/>
  <c r="N53" i="24"/>
  <c r="M53" i="24"/>
  <c r="R53" i="24" s="1"/>
  <c r="N52" i="24"/>
  <c r="M52" i="24"/>
  <c r="R52" i="24" s="1"/>
  <c r="N51" i="24"/>
  <c r="M51" i="24"/>
  <c r="R51" i="24" s="1"/>
  <c r="N50" i="24"/>
  <c r="M50" i="24"/>
  <c r="R50" i="24" s="1"/>
  <c r="N49" i="24"/>
  <c r="M49" i="24"/>
  <c r="R49" i="24" s="1"/>
  <c r="N48" i="24"/>
  <c r="M48" i="24"/>
  <c r="R48" i="24" s="1"/>
  <c r="N47" i="24"/>
  <c r="M47" i="24"/>
  <c r="R47" i="24" s="1"/>
  <c r="N46" i="24"/>
  <c r="M46" i="24"/>
  <c r="R46" i="24" s="1"/>
  <c r="N45" i="24"/>
  <c r="M45" i="24"/>
  <c r="R45" i="24" s="1"/>
  <c r="N44" i="24"/>
  <c r="M44" i="24"/>
  <c r="R44" i="24" s="1"/>
  <c r="N43" i="24"/>
  <c r="M43" i="24"/>
  <c r="N42" i="24"/>
  <c r="M42" i="24"/>
  <c r="R42" i="24" s="1"/>
  <c r="N41" i="24"/>
  <c r="M41" i="24"/>
  <c r="R41" i="24" s="1"/>
  <c r="N40" i="24"/>
  <c r="M40" i="24"/>
  <c r="R40" i="24" s="1"/>
  <c r="N39" i="24"/>
  <c r="M39" i="24"/>
  <c r="R39" i="24" s="1"/>
  <c r="N38" i="24"/>
  <c r="M38" i="24"/>
  <c r="R38" i="24" s="1"/>
  <c r="N37" i="24"/>
  <c r="M37" i="24"/>
  <c r="R37" i="24" s="1"/>
  <c r="N36" i="24"/>
  <c r="M36" i="24"/>
  <c r="R36" i="24" s="1"/>
  <c r="N35" i="24"/>
  <c r="M35" i="24"/>
  <c r="R35" i="24" s="1"/>
  <c r="N34" i="24"/>
  <c r="M34" i="24"/>
  <c r="R34" i="24" s="1"/>
  <c r="N33" i="24"/>
  <c r="M33" i="24"/>
  <c r="R33" i="24" s="1"/>
  <c r="N32" i="24"/>
  <c r="M32" i="24"/>
  <c r="R32" i="24" s="1"/>
  <c r="N31" i="24"/>
  <c r="M31" i="24"/>
  <c r="R31" i="24" s="1"/>
  <c r="N30" i="24"/>
  <c r="M30" i="24"/>
  <c r="R30" i="24" s="1"/>
  <c r="N29" i="24"/>
  <c r="M29" i="24"/>
  <c r="R29" i="24" s="1"/>
  <c r="N28" i="24"/>
  <c r="M28" i="24"/>
  <c r="R28" i="24" s="1"/>
  <c r="N27" i="24"/>
  <c r="M27" i="24"/>
  <c r="R27" i="24" s="1"/>
  <c r="N26" i="24"/>
  <c r="M26" i="24"/>
  <c r="R26" i="24" s="1"/>
  <c r="N25" i="24"/>
  <c r="M25" i="24"/>
  <c r="R25" i="24" s="1"/>
  <c r="N24" i="24"/>
  <c r="M24" i="24"/>
  <c r="R24" i="24" s="1"/>
  <c r="N23" i="24"/>
  <c r="M23" i="24"/>
  <c r="R23" i="24" s="1"/>
  <c r="N22" i="24"/>
  <c r="M22" i="24"/>
  <c r="R22" i="24" s="1"/>
  <c r="N21" i="24"/>
  <c r="M21" i="24"/>
  <c r="R21" i="24" s="1"/>
  <c r="N20" i="24"/>
  <c r="M20" i="24"/>
  <c r="R20" i="24" s="1"/>
  <c r="N19" i="24"/>
  <c r="M19" i="24"/>
  <c r="R19" i="24" s="1"/>
  <c r="N18" i="24"/>
  <c r="M18" i="24"/>
  <c r="R18" i="24" s="1"/>
  <c r="N17" i="24"/>
  <c r="M17" i="24"/>
  <c r="R17" i="24" s="1"/>
  <c r="N16" i="24"/>
  <c r="M16" i="24"/>
  <c r="R16" i="24" s="1"/>
  <c r="N15" i="24"/>
  <c r="M15" i="24"/>
  <c r="R15" i="24" s="1"/>
  <c r="N14" i="24"/>
  <c r="M14" i="24"/>
  <c r="R14" i="24" s="1"/>
  <c r="N13" i="24"/>
  <c r="M13" i="24"/>
  <c r="R13" i="24" s="1"/>
  <c r="E19" i="48"/>
  <c r="E18" i="48"/>
  <c r="D18" i="48"/>
  <c r="D17" i="48"/>
  <c r="C17" i="48"/>
  <c r="T54" i="109"/>
  <c r="R54" i="109"/>
  <c r="Q54" i="109"/>
  <c r="P54" i="109"/>
  <c r="O54" i="109"/>
  <c r="N54" i="109"/>
  <c r="M54" i="109"/>
  <c r="K54" i="109"/>
  <c r="J54" i="109"/>
  <c r="I54" i="109"/>
  <c r="H54" i="109"/>
  <c r="G54" i="109"/>
  <c r="F54" i="109"/>
  <c r="E54" i="109"/>
  <c r="D54" i="109"/>
  <c r="V53" i="109"/>
  <c r="T53" i="109"/>
  <c r="S53" i="109"/>
  <c r="R53" i="109"/>
  <c r="Q53" i="109"/>
  <c r="N53" i="109"/>
  <c r="L53" i="109"/>
  <c r="K53" i="109"/>
  <c r="J53" i="109"/>
  <c r="H53" i="109"/>
  <c r="F53" i="109"/>
  <c r="E53" i="109"/>
  <c r="D53" i="109"/>
  <c r="V52" i="109"/>
  <c r="T52" i="109"/>
  <c r="S52" i="109"/>
  <c r="Q52" i="109"/>
  <c r="P52" i="109"/>
  <c r="O52" i="109"/>
  <c r="N52" i="109"/>
  <c r="M52" i="109"/>
  <c r="L52" i="109"/>
  <c r="K52" i="109"/>
  <c r="J52" i="109"/>
  <c r="I52" i="109"/>
  <c r="H52" i="109"/>
  <c r="G52" i="109"/>
  <c r="E52" i="109"/>
  <c r="D52" i="109"/>
  <c r="V51" i="109"/>
  <c r="D51" i="109"/>
  <c r="V50" i="109"/>
  <c r="T50" i="109"/>
  <c r="Q50" i="109"/>
  <c r="D50" i="109"/>
  <c r="T49" i="109"/>
  <c r="S49" i="109"/>
  <c r="R49" i="109"/>
  <c r="Q49" i="109"/>
  <c r="P49" i="109"/>
  <c r="O49" i="109"/>
  <c r="N49" i="109"/>
  <c r="M49" i="109"/>
  <c r="L49" i="109"/>
  <c r="J49" i="109"/>
  <c r="H49" i="109"/>
  <c r="G49" i="109"/>
  <c r="D49" i="109"/>
  <c r="V48" i="109"/>
  <c r="T48" i="109"/>
  <c r="S48" i="109"/>
  <c r="R48" i="109"/>
  <c r="P48" i="109"/>
  <c r="M48" i="109"/>
  <c r="L48" i="109"/>
  <c r="J48" i="109"/>
  <c r="I48" i="109"/>
  <c r="H48" i="109"/>
  <c r="G48" i="109"/>
  <c r="E48" i="109"/>
  <c r="D48" i="109"/>
  <c r="V47" i="109"/>
  <c r="S47" i="109"/>
  <c r="R47" i="109"/>
  <c r="M47" i="109"/>
  <c r="D47" i="109"/>
  <c r="O46" i="109"/>
  <c r="L46" i="109"/>
  <c r="H46" i="109"/>
  <c r="D46" i="109"/>
  <c r="T45" i="109"/>
  <c r="R45" i="109"/>
  <c r="Q45" i="109"/>
  <c r="P45" i="109"/>
  <c r="M45" i="109"/>
  <c r="K45" i="109"/>
  <c r="H45" i="109"/>
  <c r="D45" i="109"/>
  <c r="V44" i="109"/>
  <c r="T44" i="109"/>
  <c r="N44" i="109"/>
  <c r="M44" i="109"/>
  <c r="L44" i="109"/>
  <c r="J44" i="109"/>
  <c r="H44" i="109"/>
  <c r="D44" i="109"/>
  <c r="V43" i="109"/>
  <c r="T43" i="109"/>
  <c r="P43" i="109"/>
  <c r="O43" i="109"/>
  <c r="N43" i="109"/>
  <c r="M43" i="109"/>
  <c r="L43" i="109"/>
  <c r="K43" i="109"/>
  <c r="J43" i="109"/>
  <c r="I43" i="109"/>
  <c r="D43" i="109"/>
  <c r="V42" i="109"/>
  <c r="S42" i="109"/>
  <c r="R42" i="109"/>
  <c r="P42" i="109"/>
  <c r="N42" i="109"/>
  <c r="M42" i="109"/>
  <c r="L42" i="109"/>
  <c r="K42" i="109"/>
  <c r="J42" i="109"/>
  <c r="D42" i="109"/>
  <c r="V41" i="109"/>
  <c r="R41" i="109"/>
  <c r="N41" i="109"/>
  <c r="L41" i="109"/>
  <c r="J41" i="109"/>
  <c r="I41" i="109"/>
  <c r="D41" i="109"/>
  <c r="V40" i="109"/>
  <c r="S40" i="109"/>
  <c r="Q40" i="109"/>
  <c r="M40" i="109"/>
  <c r="L40" i="109"/>
  <c r="I40" i="109"/>
  <c r="D40" i="109"/>
  <c r="V39" i="109"/>
  <c r="D39" i="109"/>
  <c r="V38" i="109"/>
  <c r="S38" i="109"/>
  <c r="R38" i="109"/>
  <c r="Q38" i="109"/>
  <c r="P38" i="109"/>
  <c r="M38" i="109"/>
  <c r="L38" i="109"/>
  <c r="K38" i="109"/>
  <c r="D38" i="109"/>
  <c r="R37" i="109"/>
  <c r="L37" i="109"/>
  <c r="D37" i="109"/>
  <c r="T36" i="109"/>
  <c r="S36" i="109"/>
  <c r="R36" i="109"/>
  <c r="Q36" i="109"/>
  <c r="O36" i="109"/>
  <c r="N36" i="109"/>
  <c r="M36" i="109"/>
  <c r="L36" i="109"/>
  <c r="K36" i="109"/>
  <c r="J36" i="109"/>
  <c r="I36" i="109"/>
  <c r="H36" i="109"/>
  <c r="G36" i="109"/>
  <c r="E36" i="109"/>
  <c r="D36" i="109"/>
  <c r="T35" i="109"/>
  <c r="S35" i="109"/>
  <c r="P35" i="109"/>
  <c r="O35" i="109"/>
  <c r="L35" i="109"/>
  <c r="K35" i="109"/>
  <c r="J35" i="109"/>
  <c r="I35" i="109"/>
  <c r="G35" i="109"/>
  <c r="D35" i="109"/>
  <c r="V34" i="109"/>
  <c r="T34" i="109"/>
  <c r="Q34" i="109"/>
  <c r="K34" i="109"/>
  <c r="D34" i="109"/>
  <c r="V33" i="109"/>
  <c r="T33" i="109"/>
  <c r="M33" i="109"/>
  <c r="L33" i="109"/>
  <c r="I33" i="109"/>
  <c r="E33" i="109"/>
  <c r="D33" i="109"/>
  <c r="V32" i="109"/>
  <c r="T32" i="109"/>
  <c r="M32" i="109"/>
  <c r="L32" i="109"/>
  <c r="J32" i="109"/>
  <c r="I32" i="109"/>
  <c r="D32" i="109"/>
  <c r="V31" i="109"/>
  <c r="N31" i="109"/>
  <c r="L31" i="109"/>
  <c r="I31" i="109"/>
  <c r="D31" i="109"/>
  <c r="T30" i="109"/>
  <c r="S30" i="109"/>
  <c r="P30" i="109"/>
  <c r="O30" i="109"/>
  <c r="M30" i="109"/>
  <c r="K30" i="109"/>
  <c r="J30" i="109"/>
  <c r="G30" i="109"/>
  <c r="D30" i="109"/>
  <c r="V29" i="109"/>
  <c r="S29" i="109"/>
  <c r="P29" i="109"/>
  <c r="N29" i="109"/>
  <c r="M29" i="109"/>
  <c r="L29" i="109"/>
  <c r="J29" i="109"/>
  <c r="I29" i="109"/>
  <c r="D29" i="109"/>
  <c r="T28" i="109"/>
  <c r="S28" i="109"/>
  <c r="R28" i="109"/>
  <c r="Q28" i="109"/>
  <c r="P28" i="109"/>
  <c r="M28" i="109"/>
  <c r="L28" i="109"/>
  <c r="K28" i="109"/>
  <c r="J28" i="109"/>
  <c r="I28" i="109"/>
  <c r="G28" i="109"/>
  <c r="D28" i="109"/>
  <c r="V27" i="109"/>
  <c r="T27" i="109"/>
  <c r="R27" i="109"/>
  <c r="P27" i="109"/>
  <c r="O27" i="109"/>
  <c r="N27" i="109"/>
  <c r="M27" i="109"/>
  <c r="K27" i="109"/>
  <c r="J27" i="109"/>
  <c r="I27" i="109"/>
  <c r="D27" i="109"/>
  <c r="E26" i="109"/>
  <c r="D26" i="109"/>
  <c r="V25" i="109"/>
  <c r="S25" i="109"/>
  <c r="R25" i="109"/>
  <c r="K25" i="109"/>
  <c r="D25" i="109"/>
  <c r="V24" i="109"/>
  <c r="K24" i="109"/>
  <c r="J24" i="109"/>
  <c r="D24" i="109"/>
  <c r="R23" i="109"/>
  <c r="L23" i="109"/>
  <c r="K23" i="109"/>
  <c r="D23" i="109"/>
  <c r="T22" i="109"/>
  <c r="N22" i="109"/>
  <c r="J22" i="109"/>
  <c r="D22" i="109"/>
  <c r="V21" i="109"/>
  <c r="Q21" i="109"/>
  <c r="N21" i="109"/>
  <c r="J21" i="109"/>
  <c r="I21" i="109"/>
  <c r="E21" i="109"/>
  <c r="D21" i="109"/>
  <c r="V20" i="109"/>
  <c r="R20" i="109"/>
  <c r="L20" i="109"/>
  <c r="K20" i="109"/>
  <c r="J20" i="109"/>
  <c r="D20" i="109"/>
  <c r="V19" i="109"/>
  <c r="T19" i="109"/>
  <c r="Q19" i="109"/>
  <c r="P19" i="109"/>
  <c r="N19" i="109"/>
  <c r="M19" i="109"/>
  <c r="L19" i="109"/>
  <c r="K19" i="109"/>
  <c r="J19" i="109"/>
  <c r="H19" i="109"/>
  <c r="G19" i="109"/>
  <c r="E19" i="109"/>
  <c r="D19" i="109"/>
  <c r="T18" i="109"/>
  <c r="S18" i="109"/>
  <c r="M18" i="109"/>
  <c r="L18" i="109"/>
  <c r="K18" i="109"/>
  <c r="J18" i="109"/>
  <c r="F18" i="109"/>
  <c r="D18" i="109"/>
  <c r="V17" i="109"/>
  <c r="J17" i="109"/>
  <c r="T16" i="109"/>
  <c r="S16" i="109"/>
  <c r="R16" i="109"/>
  <c r="Q16" i="109"/>
  <c r="P16" i="109"/>
  <c r="N16" i="109"/>
  <c r="M16" i="109"/>
  <c r="L16" i="109"/>
  <c r="K16" i="109"/>
  <c r="J16" i="109"/>
  <c r="I16" i="109"/>
  <c r="F16" i="109"/>
  <c r="D16" i="109"/>
  <c r="V15" i="109"/>
  <c r="S15" i="109"/>
  <c r="Q15" i="109"/>
  <c r="I15" i="109"/>
  <c r="D15" i="109"/>
  <c r="V14" i="109"/>
  <c r="M14" i="109"/>
  <c r="K14" i="109"/>
  <c r="J14" i="109"/>
  <c r="G14" i="109"/>
  <c r="D14" i="109"/>
  <c r="V13" i="109"/>
  <c r="T13" i="109"/>
  <c r="S13" i="109"/>
  <c r="R13" i="109"/>
  <c r="P13" i="109"/>
  <c r="O13" i="109"/>
  <c r="N13" i="109"/>
  <c r="L13" i="109"/>
  <c r="K13" i="109"/>
  <c r="I13" i="109"/>
  <c r="E13" i="109"/>
  <c r="D13" i="109"/>
  <c r="F54" i="174"/>
  <c r="D54" i="174"/>
  <c r="F53" i="174"/>
  <c r="D53" i="174"/>
  <c r="F52" i="174"/>
  <c r="D52" i="174"/>
  <c r="D49" i="174"/>
  <c r="F48" i="174"/>
  <c r="D45" i="174"/>
  <c r="D44" i="174"/>
  <c r="D43" i="174"/>
  <c r="D38" i="174"/>
  <c r="F36" i="174"/>
  <c r="D36" i="174"/>
  <c r="D35" i="174"/>
  <c r="F28" i="174"/>
  <c r="D28" i="174"/>
  <c r="D27" i="174"/>
  <c r="F23" i="174"/>
  <c r="D22" i="174"/>
  <c r="D20" i="174"/>
  <c r="D19" i="174"/>
  <c r="D18" i="174"/>
  <c r="D16" i="174"/>
  <c r="D13" i="174"/>
  <c r="CX48" i="92"/>
  <c r="CW48" i="92"/>
  <c r="CV48" i="92"/>
  <c r="CU48" i="92"/>
  <c r="CS48" i="92"/>
  <c r="CR48" i="92"/>
  <c r="CQ48" i="92"/>
  <c r="CP48" i="92"/>
  <c r="CX47" i="92"/>
  <c r="CW47" i="92"/>
  <c r="CV47" i="92"/>
  <c r="CU47" i="92"/>
  <c r="CS47" i="92"/>
  <c r="CR47" i="92"/>
  <c r="CQ47" i="92"/>
  <c r="CP47" i="92"/>
  <c r="CX46" i="92"/>
  <c r="CW46" i="92"/>
  <c r="CV46" i="92"/>
  <c r="CU46" i="92"/>
  <c r="CS46" i="92"/>
  <c r="CR46" i="92"/>
  <c r="CQ46" i="92"/>
  <c r="CP46" i="92"/>
  <c r="BL48" i="92"/>
  <c r="BK48" i="92"/>
  <c r="BJ48" i="92"/>
  <c r="BI48" i="92"/>
  <c r="BH48" i="92"/>
  <c r="BG48" i="92"/>
  <c r="P106" i="179" s="1"/>
  <c r="BF48" i="92"/>
  <c r="E106" i="179" s="1"/>
  <c r="BD48" i="92"/>
  <c r="AW106" i="179" s="1"/>
  <c r="BC48" i="92"/>
  <c r="BB48" i="92"/>
  <c r="BA48" i="92"/>
  <c r="AZ48" i="92"/>
  <c r="AA106" i="179" s="1"/>
  <c r="AX48" i="92"/>
  <c r="AW48" i="92"/>
  <c r="AV48" i="92"/>
  <c r="AU48" i="92"/>
  <c r="AT48" i="92"/>
  <c r="AS48" i="92"/>
  <c r="O106" i="179" s="1"/>
  <c r="Q106" i="179" s="1"/>
  <c r="AR48" i="92"/>
  <c r="D106" i="179" s="1"/>
  <c r="F106" i="179" s="1"/>
  <c r="AP48" i="92"/>
  <c r="AV106" i="179" s="1"/>
  <c r="AX106" i="179" s="1"/>
  <c r="AO48" i="92"/>
  <c r="AN48" i="92"/>
  <c r="AM48" i="92"/>
  <c r="AL48" i="92"/>
  <c r="Z106" i="179" s="1"/>
  <c r="AB106" i="179" s="1"/>
  <c r="BL47" i="92"/>
  <c r="BK47" i="92"/>
  <c r="BJ47" i="92"/>
  <c r="BI47" i="92"/>
  <c r="BH47" i="92"/>
  <c r="BG47" i="92"/>
  <c r="P105" i="179" s="1"/>
  <c r="BF47" i="92"/>
  <c r="E105" i="179" s="1"/>
  <c r="BD47" i="92"/>
  <c r="AW105" i="179" s="1"/>
  <c r="BC47" i="92"/>
  <c r="BB47" i="92"/>
  <c r="BA47" i="92"/>
  <c r="AZ47" i="92"/>
  <c r="AA105" i="179" s="1"/>
  <c r="AX47" i="92"/>
  <c r="AW47" i="92"/>
  <c r="AV47" i="92"/>
  <c r="AU47" i="92"/>
  <c r="AT47" i="92"/>
  <c r="AS47" i="92"/>
  <c r="O105" i="179" s="1"/>
  <c r="Q105" i="179" s="1"/>
  <c r="AR47" i="92"/>
  <c r="D105" i="179" s="1"/>
  <c r="F105" i="179" s="1"/>
  <c r="AP47" i="92"/>
  <c r="AV105" i="179" s="1"/>
  <c r="AX105" i="179" s="1"/>
  <c r="AO47" i="92"/>
  <c r="AN47" i="92"/>
  <c r="AM47" i="92"/>
  <c r="AL47" i="92"/>
  <c r="Z105" i="179" s="1"/>
  <c r="AB105" i="179" s="1"/>
  <c r="BL46" i="92"/>
  <c r="BK46" i="92"/>
  <c r="BJ46" i="92"/>
  <c r="BI46" i="92"/>
  <c r="BH46" i="92"/>
  <c r="BG46" i="92"/>
  <c r="P104" i="179" s="1"/>
  <c r="BF46" i="92"/>
  <c r="E104" i="179" s="1"/>
  <c r="BD46" i="92"/>
  <c r="AW104" i="179" s="1"/>
  <c r="BC46" i="92"/>
  <c r="BB46" i="92"/>
  <c r="BA46" i="92"/>
  <c r="AZ46" i="92"/>
  <c r="AA104" i="179" s="1"/>
  <c r="AX46" i="92"/>
  <c r="AW46" i="92"/>
  <c r="AV46" i="92"/>
  <c r="AU46" i="92"/>
  <c r="AT46" i="92"/>
  <c r="AS46" i="92"/>
  <c r="O104" i="179" s="1"/>
  <c r="Q104" i="179" s="1"/>
  <c r="AR46" i="92"/>
  <c r="D104" i="179" s="1"/>
  <c r="F104" i="179" s="1"/>
  <c r="AP46" i="92"/>
  <c r="AV104" i="179" s="1"/>
  <c r="AX104" i="179" s="1"/>
  <c r="AO46" i="92"/>
  <c r="AN46" i="92"/>
  <c r="AM46" i="92"/>
  <c r="AL46" i="92"/>
  <c r="Z104" i="179" s="1"/>
  <c r="AB104" i="179" s="1"/>
  <c r="U54" i="111"/>
  <c r="S54" i="111"/>
  <c r="R54" i="111"/>
  <c r="Q54" i="111"/>
  <c r="P54" i="111"/>
  <c r="O54" i="111"/>
  <c r="N54" i="111"/>
  <c r="L54" i="111"/>
  <c r="K54" i="111"/>
  <c r="J54" i="111"/>
  <c r="I54" i="111"/>
  <c r="H54" i="111"/>
  <c r="G54" i="111"/>
  <c r="F54" i="111"/>
  <c r="E54" i="111"/>
  <c r="W53" i="111"/>
  <c r="U53" i="111"/>
  <c r="T53" i="111"/>
  <c r="S53" i="111"/>
  <c r="R53" i="111"/>
  <c r="O53" i="111"/>
  <c r="M53" i="111"/>
  <c r="L53" i="111"/>
  <c r="K53" i="111"/>
  <c r="I53" i="111"/>
  <c r="G53" i="111"/>
  <c r="F53" i="111"/>
  <c r="E53" i="111"/>
  <c r="W52" i="111"/>
  <c r="U52" i="111"/>
  <c r="T52" i="111"/>
  <c r="R52" i="111"/>
  <c r="Q52" i="111"/>
  <c r="P52" i="111"/>
  <c r="O52" i="111"/>
  <c r="N52" i="111"/>
  <c r="M52" i="111"/>
  <c r="L52" i="111"/>
  <c r="K52" i="111"/>
  <c r="J52" i="111"/>
  <c r="I52" i="111"/>
  <c r="H52" i="111"/>
  <c r="F52" i="111"/>
  <c r="E52" i="111"/>
  <c r="W51" i="111"/>
  <c r="E51" i="111"/>
  <c r="W50" i="111"/>
  <c r="U50" i="111"/>
  <c r="R50" i="111"/>
  <c r="E50" i="111"/>
  <c r="U49" i="111"/>
  <c r="T49" i="111"/>
  <c r="S49" i="111"/>
  <c r="R49" i="111"/>
  <c r="Q49" i="111"/>
  <c r="P49" i="111"/>
  <c r="O49" i="111"/>
  <c r="N49" i="111"/>
  <c r="M49" i="111"/>
  <c r="K49" i="111"/>
  <c r="I49" i="111"/>
  <c r="H49" i="111"/>
  <c r="E49" i="111"/>
  <c r="W48" i="111"/>
  <c r="U48" i="111"/>
  <c r="T48" i="111"/>
  <c r="S48" i="111"/>
  <c r="Q48" i="111"/>
  <c r="N48" i="111"/>
  <c r="M48" i="111"/>
  <c r="K48" i="111"/>
  <c r="J48" i="111"/>
  <c r="I48" i="111"/>
  <c r="H48" i="111"/>
  <c r="F48" i="111"/>
  <c r="E48" i="111"/>
  <c r="W47" i="111"/>
  <c r="T47" i="111"/>
  <c r="S47" i="111"/>
  <c r="N47" i="111"/>
  <c r="E47" i="111"/>
  <c r="P46" i="111"/>
  <c r="M46" i="111"/>
  <c r="I46" i="111"/>
  <c r="E46" i="111"/>
  <c r="U45" i="111"/>
  <c r="S45" i="111"/>
  <c r="R45" i="111"/>
  <c r="Q45" i="111"/>
  <c r="N45" i="111"/>
  <c r="L45" i="111"/>
  <c r="I45" i="111"/>
  <c r="E45" i="111"/>
  <c r="W44" i="111"/>
  <c r="U44" i="111"/>
  <c r="O44" i="111"/>
  <c r="N44" i="111"/>
  <c r="M44" i="111"/>
  <c r="K44" i="111"/>
  <c r="I44" i="111"/>
  <c r="E44" i="111"/>
  <c r="W43" i="111"/>
  <c r="U43" i="111"/>
  <c r="Q43" i="111"/>
  <c r="P43" i="111"/>
  <c r="O43" i="111"/>
  <c r="N43" i="111"/>
  <c r="M43" i="111"/>
  <c r="L43" i="111"/>
  <c r="K43" i="111"/>
  <c r="J43" i="111"/>
  <c r="E43" i="111"/>
  <c r="W42" i="111"/>
  <c r="T42" i="111"/>
  <c r="S42" i="111"/>
  <c r="Q42" i="111"/>
  <c r="O42" i="111"/>
  <c r="N42" i="111"/>
  <c r="M42" i="111"/>
  <c r="L42" i="111"/>
  <c r="K42" i="111"/>
  <c r="E42" i="111"/>
  <c r="W41" i="111"/>
  <c r="S41" i="111"/>
  <c r="O41" i="111"/>
  <c r="M41" i="111"/>
  <c r="K41" i="111"/>
  <c r="J41" i="111"/>
  <c r="E41" i="111"/>
  <c r="W40" i="111"/>
  <c r="T40" i="111"/>
  <c r="R40" i="111"/>
  <c r="N40" i="111"/>
  <c r="M40" i="111"/>
  <c r="J40" i="111"/>
  <c r="E40" i="111"/>
  <c r="W39" i="111"/>
  <c r="E39" i="111"/>
  <c r="W38" i="111"/>
  <c r="T38" i="111"/>
  <c r="S38" i="111"/>
  <c r="R38" i="111"/>
  <c r="Q38" i="111"/>
  <c r="N38" i="111"/>
  <c r="M38" i="111"/>
  <c r="L38" i="111"/>
  <c r="E38" i="111"/>
  <c r="S37" i="111"/>
  <c r="M37" i="111"/>
  <c r="E37" i="111"/>
  <c r="U36" i="111"/>
  <c r="T36" i="111"/>
  <c r="S36" i="111"/>
  <c r="R36" i="111"/>
  <c r="P36" i="111"/>
  <c r="O36" i="111"/>
  <c r="N36" i="111"/>
  <c r="M36" i="111"/>
  <c r="L36" i="111"/>
  <c r="K36" i="111"/>
  <c r="J36" i="111"/>
  <c r="I36" i="111"/>
  <c r="H36" i="111"/>
  <c r="F36" i="111"/>
  <c r="E36" i="111"/>
  <c r="U35" i="111"/>
  <c r="T35" i="111"/>
  <c r="Q35" i="111"/>
  <c r="P35" i="111"/>
  <c r="M35" i="111"/>
  <c r="L35" i="111"/>
  <c r="K35" i="111"/>
  <c r="J35" i="111"/>
  <c r="H35" i="111"/>
  <c r="E35" i="111"/>
  <c r="W34" i="111"/>
  <c r="U34" i="111"/>
  <c r="R34" i="111"/>
  <c r="L34" i="111"/>
  <c r="E34" i="111"/>
  <c r="W33" i="111"/>
  <c r="U33" i="111"/>
  <c r="N33" i="111"/>
  <c r="M33" i="111"/>
  <c r="J33" i="111"/>
  <c r="F33" i="111"/>
  <c r="E33" i="111"/>
  <c r="W32" i="111"/>
  <c r="U32" i="111"/>
  <c r="T32" i="111"/>
  <c r="N32" i="111"/>
  <c r="M32" i="111"/>
  <c r="K32" i="111"/>
  <c r="J32" i="111"/>
  <c r="E32" i="111"/>
  <c r="W31" i="111"/>
  <c r="O31" i="111"/>
  <c r="M31" i="111"/>
  <c r="J31" i="111"/>
  <c r="E31" i="111"/>
  <c r="U30" i="111"/>
  <c r="T30" i="111"/>
  <c r="Q30" i="111"/>
  <c r="P30" i="111"/>
  <c r="N30" i="111"/>
  <c r="L30" i="111"/>
  <c r="K30" i="111"/>
  <c r="H30" i="111"/>
  <c r="E30" i="111"/>
  <c r="W29" i="111"/>
  <c r="T29" i="111"/>
  <c r="Q29" i="111"/>
  <c r="O29" i="111"/>
  <c r="N29" i="111"/>
  <c r="M29" i="111"/>
  <c r="K29" i="111"/>
  <c r="J29" i="111"/>
  <c r="E29" i="111"/>
  <c r="U28" i="111"/>
  <c r="T28" i="111"/>
  <c r="S28" i="111"/>
  <c r="R28" i="111"/>
  <c r="Q28" i="111"/>
  <c r="N28" i="111"/>
  <c r="M28" i="111"/>
  <c r="L28" i="111"/>
  <c r="K28" i="111"/>
  <c r="J28" i="111"/>
  <c r="H28" i="111"/>
  <c r="E28" i="111"/>
  <c r="W27" i="111"/>
  <c r="U27" i="111"/>
  <c r="S27" i="111"/>
  <c r="Q27" i="111"/>
  <c r="P27" i="111"/>
  <c r="O27" i="111"/>
  <c r="N27" i="111"/>
  <c r="L27" i="111"/>
  <c r="K27" i="111"/>
  <c r="J27" i="111"/>
  <c r="E27" i="111"/>
  <c r="F26" i="111"/>
  <c r="E26" i="111"/>
  <c r="W25" i="111"/>
  <c r="T25" i="111"/>
  <c r="S25" i="111"/>
  <c r="L25" i="111"/>
  <c r="E25" i="111"/>
  <c r="W24" i="111"/>
  <c r="L24" i="111"/>
  <c r="K24" i="111"/>
  <c r="E24" i="111"/>
  <c r="U23" i="111"/>
  <c r="S23" i="111"/>
  <c r="Q23" i="111"/>
  <c r="M23" i="111"/>
  <c r="L23" i="111"/>
  <c r="K23" i="111"/>
  <c r="E23" i="111"/>
  <c r="U22" i="111"/>
  <c r="O22" i="111"/>
  <c r="K22" i="111"/>
  <c r="E22" i="111"/>
  <c r="W21" i="111"/>
  <c r="R21" i="111"/>
  <c r="O21" i="111"/>
  <c r="K21" i="111"/>
  <c r="J21" i="111"/>
  <c r="F21" i="111"/>
  <c r="E21" i="111"/>
  <c r="W20" i="111"/>
  <c r="S20" i="111"/>
  <c r="M20" i="111"/>
  <c r="L20" i="111"/>
  <c r="K20" i="111"/>
  <c r="E20" i="111"/>
  <c r="W19" i="111"/>
  <c r="U19" i="111"/>
  <c r="R19" i="111"/>
  <c r="Q19" i="111"/>
  <c r="O19" i="111"/>
  <c r="N19" i="111"/>
  <c r="M19" i="111"/>
  <c r="L19" i="111"/>
  <c r="K19" i="111"/>
  <c r="I19" i="111"/>
  <c r="H19" i="111"/>
  <c r="F19" i="111"/>
  <c r="E19" i="111"/>
  <c r="U18" i="111"/>
  <c r="T18" i="111"/>
  <c r="N18" i="111"/>
  <c r="M18" i="111"/>
  <c r="L18" i="111"/>
  <c r="K18" i="111"/>
  <c r="G18" i="111"/>
  <c r="E18" i="111"/>
  <c r="W17" i="111"/>
  <c r="K17" i="111"/>
  <c r="U16" i="111"/>
  <c r="T16" i="111"/>
  <c r="S16" i="111"/>
  <c r="R16" i="111"/>
  <c r="Q16" i="111"/>
  <c r="O16" i="111"/>
  <c r="N16" i="111"/>
  <c r="M16" i="111"/>
  <c r="L16" i="111"/>
  <c r="K16" i="111"/>
  <c r="J16" i="111"/>
  <c r="G16" i="111"/>
  <c r="E16" i="111"/>
  <c r="W15" i="111"/>
  <c r="T15" i="111"/>
  <c r="R15" i="111"/>
  <c r="J15" i="111"/>
  <c r="E15" i="111"/>
  <c r="W14" i="111"/>
  <c r="N14" i="111"/>
  <c r="L14" i="111"/>
  <c r="K14" i="111"/>
  <c r="H14" i="111"/>
  <c r="E14" i="111"/>
  <c r="W13" i="111"/>
  <c r="U13" i="111"/>
  <c r="T13" i="111"/>
  <c r="S13" i="111"/>
  <c r="Q13" i="111"/>
  <c r="P13" i="111"/>
  <c r="O13" i="111"/>
  <c r="M13" i="111"/>
  <c r="L13" i="111"/>
  <c r="J13" i="111"/>
  <c r="F13" i="111"/>
  <c r="E13" i="111"/>
  <c r="F54" i="15"/>
  <c r="D54" i="15"/>
  <c r="F53" i="15"/>
  <c r="D53" i="15"/>
  <c r="F52" i="15"/>
  <c r="D52" i="15"/>
  <c r="D49" i="15"/>
  <c r="F48" i="15"/>
  <c r="D45" i="15"/>
  <c r="D44" i="15"/>
  <c r="D43" i="15"/>
  <c r="D38" i="15"/>
  <c r="F36" i="15"/>
  <c r="D36" i="15"/>
  <c r="D35" i="15"/>
  <c r="F28" i="15"/>
  <c r="D28" i="15"/>
  <c r="D27" i="15"/>
  <c r="F23" i="15"/>
  <c r="D22" i="15"/>
  <c r="D20" i="15"/>
  <c r="D19" i="15"/>
  <c r="D18" i="15"/>
  <c r="D16" i="15"/>
  <c r="D13" i="15"/>
  <c r="S21" i="109"/>
  <c r="G664" i="24"/>
  <c r="O193" i="1" s="1"/>
  <c r="P193" i="1" s="1"/>
  <c r="G662" i="24"/>
  <c r="G655" i="24"/>
  <c r="G647" i="24"/>
  <c r="O860" i="1" s="1"/>
  <c r="P860" i="1" s="1"/>
  <c r="G653" i="24"/>
  <c r="G654" i="24"/>
  <c r="O1000" i="1" s="1"/>
  <c r="P1000" i="1" s="1"/>
  <c r="N41" i="121"/>
  <c r="K41" i="109"/>
  <c r="L41" i="121"/>
  <c r="S19" i="111"/>
  <c r="W18" i="111"/>
  <c r="U38" i="111"/>
  <c r="R33" i="121"/>
  <c r="Q33" i="109"/>
  <c r="R33" i="111"/>
  <c r="D49" i="173"/>
  <c r="P33" i="121"/>
  <c r="P33" i="111"/>
  <c r="G657" i="24"/>
  <c r="G656" i="24"/>
  <c r="O1002" i="1" s="1"/>
  <c r="P1002" i="1" s="1"/>
  <c r="G651" i="24"/>
  <c r="O996" i="1" s="1"/>
  <c r="L674" i="24"/>
  <c r="AQ1927" i="1" s="1"/>
  <c r="O674" i="24"/>
  <c r="P674" i="24"/>
  <c r="Q674" i="24"/>
  <c r="L675" i="24"/>
  <c r="AQ1928" i="1" s="1"/>
  <c r="O675" i="24"/>
  <c r="P675" i="24"/>
  <c r="Q675" i="24"/>
  <c r="L676" i="24"/>
  <c r="AQ1930" i="1" s="1"/>
  <c r="O676" i="24"/>
  <c r="P676" i="24"/>
  <c r="Q676" i="24"/>
  <c r="L677" i="24"/>
  <c r="AQ1931" i="1" s="1"/>
  <c r="O677" i="24"/>
  <c r="P677" i="24"/>
  <c r="Q677" i="24"/>
  <c r="L631" i="24"/>
  <c r="AQ776" i="1" s="1"/>
  <c r="O631" i="24"/>
  <c r="P631" i="24"/>
  <c r="Q631" i="24"/>
  <c r="O632" i="24"/>
  <c r="P632" i="24"/>
  <c r="Q632" i="24"/>
  <c r="L633" i="24"/>
  <c r="O633" i="24"/>
  <c r="P633" i="24"/>
  <c r="Q633" i="24"/>
  <c r="L634" i="24"/>
  <c r="O634" i="24"/>
  <c r="P634" i="24"/>
  <c r="Q634" i="24"/>
  <c r="L635" i="24"/>
  <c r="AQ1896" i="1" s="1"/>
  <c r="O635" i="24"/>
  <c r="P635" i="24"/>
  <c r="Q635" i="24"/>
  <c r="L636" i="24"/>
  <c r="AQ1867" i="1" s="1"/>
  <c r="O636" i="24"/>
  <c r="P636" i="24"/>
  <c r="Q636" i="24"/>
  <c r="L637" i="24"/>
  <c r="AQ1887" i="1" s="1"/>
  <c r="O637" i="24"/>
  <c r="P637" i="24"/>
  <c r="Q637" i="24"/>
  <c r="L638" i="24"/>
  <c r="AQ1939" i="1" s="1"/>
  <c r="O638" i="24"/>
  <c r="P638" i="24"/>
  <c r="Q638" i="24"/>
  <c r="O639" i="24"/>
  <c r="P639" i="24"/>
  <c r="Q639" i="24"/>
  <c r="O640" i="24"/>
  <c r="P640" i="24"/>
  <c r="Q640" i="24"/>
  <c r="L641" i="24"/>
  <c r="AQ1940" i="1" s="1"/>
  <c r="O641" i="24"/>
  <c r="P641" i="24"/>
  <c r="Q641" i="24"/>
  <c r="L642" i="24"/>
  <c r="AQ1941" i="1" s="1"/>
  <c r="O642" i="24"/>
  <c r="P642" i="24"/>
  <c r="Q642" i="24"/>
  <c r="L643" i="24"/>
  <c r="AQ1942" i="1" s="1"/>
  <c r="O643" i="24"/>
  <c r="P643" i="24"/>
  <c r="Q643" i="24"/>
  <c r="L644" i="24"/>
  <c r="AQ1966" i="1" s="1"/>
  <c r="O644" i="24"/>
  <c r="P644" i="24"/>
  <c r="Q644" i="24"/>
  <c r="L645" i="24"/>
  <c r="P645" i="24"/>
  <c r="Q645" i="24"/>
  <c r="L646" i="24"/>
  <c r="AQ859" i="1" s="1"/>
  <c r="O646" i="24"/>
  <c r="P646" i="24"/>
  <c r="Q646" i="24"/>
  <c r="O647" i="24"/>
  <c r="P647" i="24"/>
  <c r="Q647" i="24"/>
  <c r="P648" i="24"/>
  <c r="Q648" i="24"/>
  <c r="O649" i="24"/>
  <c r="P649" i="24"/>
  <c r="Q649" i="24"/>
  <c r="O650" i="24"/>
  <c r="P650" i="24"/>
  <c r="Q650" i="24"/>
  <c r="L651" i="24"/>
  <c r="AQ996" i="1" s="1"/>
  <c r="O651" i="24"/>
  <c r="P651" i="24"/>
  <c r="Q651" i="24"/>
  <c r="L652" i="24"/>
  <c r="AQ997" i="1" s="1"/>
  <c r="O652" i="24"/>
  <c r="P652" i="24"/>
  <c r="Q652" i="24"/>
  <c r="O653" i="24"/>
  <c r="P653" i="24"/>
  <c r="Q653" i="24"/>
  <c r="O654" i="24"/>
  <c r="P654" i="24"/>
  <c r="Q654" i="24"/>
  <c r="O655" i="24"/>
  <c r="P655" i="24"/>
  <c r="Q655" i="24"/>
  <c r="O656" i="24"/>
  <c r="P656" i="24"/>
  <c r="Q656" i="24"/>
  <c r="O657" i="24"/>
  <c r="P657" i="24"/>
  <c r="Q657" i="24"/>
  <c r="L658" i="24"/>
  <c r="AQ1004" i="1" s="1"/>
  <c r="O658" i="24"/>
  <c r="P658" i="24"/>
  <c r="Q658" i="24"/>
  <c r="L659" i="24"/>
  <c r="AQ1006" i="1" s="1"/>
  <c r="P659" i="24"/>
  <c r="Q659" i="24"/>
  <c r="P660" i="24"/>
  <c r="Q660" i="24"/>
  <c r="O661" i="24"/>
  <c r="P661" i="24"/>
  <c r="Q661" i="24"/>
  <c r="L662" i="24"/>
  <c r="O662" i="24"/>
  <c r="P662" i="24"/>
  <c r="Q662" i="24"/>
  <c r="P663" i="24"/>
  <c r="Q663" i="24"/>
  <c r="O664" i="24"/>
  <c r="P664" i="24"/>
  <c r="Q664" i="24"/>
  <c r="P665" i="24"/>
  <c r="Q665" i="24"/>
  <c r="L666" i="24"/>
  <c r="AQ197" i="1" s="1"/>
  <c r="P666" i="24"/>
  <c r="Q666" i="24"/>
  <c r="O667" i="24"/>
  <c r="P667" i="24"/>
  <c r="Q667" i="24"/>
  <c r="L668" i="24"/>
  <c r="AQ374" i="1" s="1"/>
  <c r="O668" i="24"/>
  <c r="P668" i="24"/>
  <c r="Q668" i="24"/>
  <c r="L669" i="24"/>
  <c r="AQ381" i="1" s="1"/>
  <c r="O669" i="24"/>
  <c r="P669" i="24"/>
  <c r="Q669" i="24"/>
  <c r="L670" i="24"/>
  <c r="O670" i="24"/>
  <c r="P670" i="24"/>
  <c r="Q670" i="24"/>
  <c r="O671" i="24"/>
  <c r="P671" i="24"/>
  <c r="Q671" i="24"/>
  <c r="L672" i="24"/>
  <c r="AQ1349" i="1" s="1"/>
  <c r="O672" i="24"/>
  <c r="P672" i="24"/>
  <c r="Q672" i="24"/>
  <c r="L673" i="24"/>
  <c r="AQ1350" i="1" s="1"/>
  <c r="O673" i="24"/>
  <c r="P673" i="24"/>
  <c r="Q673" i="24"/>
  <c r="G648" i="24"/>
  <c r="G660" i="24"/>
  <c r="T50" i="111"/>
  <c r="S50" i="109"/>
  <c r="G645" i="24"/>
  <c r="F643" i="24"/>
  <c r="AJ1942" i="1" s="1"/>
  <c r="F644" i="24"/>
  <c r="AJ1966" i="1" s="1"/>
  <c r="F645" i="24"/>
  <c r="F646" i="24"/>
  <c r="AJ859" i="1" s="1"/>
  <c r="F647" i="24"/>
  <c r="AJ860" i="1" s="1"/>
  <c r="F648" i="24"/>
  <c r="AJ916" i="1" s="1"/>
  <c r="F649" i="24"/>
  <c r="AJ956" i="1" s="1"/>
  <c r="F650" i="24"/>
  <c r="AJ955" i="1" s="1"/>
  <c r="F651" i="24"/>
  <c r="AJ996" i="1" s="1"/>
  <c r="F652" i="24"/>
  <c r="AJ997" i="1" s="1"/>
  <c r="F653" i="24"/>
  <c r="F654" i="24"/>
  <c r="AJ1000" i="1" s="1"/>
  <c r="F655" i="24"/>
  <c r="F656" i="24"/>
  <c r="AJ1002" i="1" s="1"/>
  <c r="F657" i="24"/>
  <c r="F658" i="24"/>
  <c r="AJ1004" i="1" s="1"/>
  <c r="F659" i="24"/>
  <c r="AJ1006" i="1" s="1"/>
  <c r="F660" i="24"/>
  <c r="AJ1010" i="1" s="1"/>
  <c r="F661" i="24"/>
  <c r="F662" i="24"/>
  <c r="F663" i="24"/>
  <c r="AJ192" i="1" s="1"/>
  <c r="F664" i="24"/>
  <c r="AJ193" i="1" s="1"/>
  <c r="F665" i="24"/>
  <c r="AJ196" i="1" s="1"/>
  <c r="F666" i="24"/>
  <c r="AJ197" i="1" s="1"/>
  <c r="F667" i="24"/>
  <c r="AJ198" i="1" s="1"/>
  <c r="F668" i="24"/>
  <c r="AJ374" i="1" s="1"/>
  <c r="F669" i="24"/>
  <c r="AJ381" i="1" s="1"/>
  <c r="F670" i="24"/>
  <c r="F671" i="24"/>
  <c r="F672" i="24"/>
  <c r="AJ1349" i="1" s="1"/>
  <c r="F673" i="24"/>
  <c r="AJ1350" i="1" s="1"/>
  <c r="F674" i="24"/>
  <c r="AJ1927" i="1" s="1"/>
  <c r="F675" i="24"/>
  <c r="AJ1928" i="1" s="1"/>
  <c r="F676" i="24"/>
  <c r="AJ1930" i="1" s="1"/>
  <c r="F677" i="24"/>
  <c r="AJ1931" i="1" s="1"/>
  <c r="U39" i="111"/>
  <c r="F12" i="24"/>
  <c r="F13" i="24"/>
  <c r="F14" i="24"/>
  <c r="F15" i="24"/>
  <c r="AJ1495" i="1" s="1"/>
  <c r="F16" i="24"/>
  <c r="AJ1062" i="1" s="1"/>
  <c r="F17" i="24"/>
  <c r="AJ172" i="1" s="1"/>
  <c r="F18" i="24"/>
  <c r="AJ562" i="1" s="1"/>
  <c r="F19" i="24"/>
  <c r="F20" i="24"/>
  <c r="F21" i="24"/>
  <c r="F22" i="24"/>
  <c r="F23" i="24"/>
  <c r="AJ1063" i="1" s="1"/>
  <c r="F24" i="24"/>
  <c r="AJ23" i="1" s="1"/>
  <c r="F25" i="24"/>
  <c r="AJ164" i="1" s="1"/>
  <c r="F26" i="24"/>
  <c r="F27" i="24"/>
  <c r="AJ864" i="1" s="1"/>
  <c r="F28" i="24"/>
  <c r="F29" i="24"/>
  <c r="F30" i="24"/>
  <c r="F31" i="24"/>
  <c r="F32" i="24"/>
  <c r="F33" i="24"/>
  <c r="F34" i="24"/>
  <c r="F35" i="24"/>
  <c r="F36" i="24"/>
  <c r="AJ1552" i="1" s="1"/>
  <c r="F37" i="24"/>
  <c r="F38" i="24"/>
  <c r="F39" i="24"/>
  <c r="F40" i="24"/>
  <c r="F41" i="24"/>
  <c r="AJ904" i="1" s="1"/>
  <c r="F42" i="24"/>
  <c r="AJ862" i="1" s="1"/>
  <c r="F43" i="24"/>
  <c r="AJ336" i="1" s="1"/>
  <c r="AK336" i="1" s="1"/>
  <c r="F44" i="24"/>
  <c r="AJ861" i="1" s="1"/>
  <c r="F45" i="24"/>
  <c r="F46" i="24"/>
  <c r="AJ863" i="1" s="1"/>
  <c r="F47" i="24"/>
  <c r="F48" i="24"/>
  <c r="AJ1387" i="1" s="1"/>
  <c r="F49" i="24"/>
  <c r="AJ1052" i="1" s="1"/>
  <c r="F50" i="24"/>
  <c r="AJ1480" i="1" s="1"/>
  <c r="F51" i="24"/>
  <c r="F52" i="24"/>
  <c r="F53" i="24"/>
  <c r="F54" i="24"/>
  <c r="F55" i="24"/>
  <c r="F56" i="24"/>
  <c r="AJ1070" i="1" s="1"/>
  <c r="F57" i="24"/>
  <c r="F58" i="24"/>
  <c r="F59" i="24"/>
  <c r="AJ1647" i="1" s="1"/>
  <c r="F60" i="24"/>
  <c r="F61" i="24"/>
  <c r="AJ546" i="1" s="1"/>
  <c r="F62" i="24"/>
  <c r="AJ558" i="1" s="1"/>
  <c r="F63" i="24"/>
  <c r="AJ637" i="1" s="1"/>
  <c r="F64" i="24"/>
  <c r="F65" i="24"/>
  <c r="F66" i="24"/>
  <c r="F67" i="24"/>
  <c r="AJ798" i="1" s="1"/>
  <c r="F68" i="24"/>
  <c r="AJ1605" i="1" s="1"/>
  <c r="F69" i="24"/>
  <c r="F70" i="24"/>
  <c r="F71" i="24"/>
  <c r="AJ307" i="1" s="1"/>
  <c r="F72" i="24"/>
  <c r="F73" i="24"/>
  <c r="AJ1107" i="1" s="1"/>
  <c r="F74" i="24"/>
  <c r="F75" i="24"/>
  <c r="F76" i="24"/>
  <c r="F77" i="24"/>
  <c r="F78" i="24"/>
  <c r="AJ1627" i="1" s="1"/>
  <c r="F79" i="24"/>
  <c r="AJ932" i="1" s="1"/>
  <c r="F80" i="24"/>
  <c r="AJ308" i="1" s="1"/>
  <c r="F81" i="24"/>
  <c r="AJ341" i="1" s="1"/>
  <c r="AK341" i="1" s="1"/>
  <c r="F82" i="24"/>
  <c r="F83" i="24"/>
  <c r="AJ340" i="1" s="1"/>
  <c r="AK340" i="1" s="1"/>
  <c r="F84" i="24"/>
  <c r="F85" i="24"/>
  <c r="AJ1303" i="1" s="1"/>
  <c r="F86" i="24"/>
  <c r="AJ1392" i="1" s="1"/>
  <c r="F87" i="24"/>
  <c r="F88" i="24"/>
  <c r="AJ1255" i="1" s="1"/>
  <c r="F89" i="24"/>
  <c r="F90" i="24"/>
  <c r="F91" i="24"/>
  <c r="AJ1599" i="1" s="1"/>
  <c r="F92" i="24"/>
  <c r="AJ1609" i="1" s="1"/>
  <c r="F93" i="24"/>
  <c r="F94" i="24"/>
  <c r="F95" i="24"/>
  <c r="AJ15" i="1" s="1"/>
  <c r="F96" i="24"/>
  <c r="AJ1602" i="1" s="1"/>
  <c r="F97" i="24"/>
  <c r="AJ1603" i="1" s="1"/>
  <c r="F98" i="24"/>
  <c r="F99" i="24"/>
  <c r="AJ338" i="1" s="1"/>
  <c r="AK338" i="1" s="1"/>
  <c r="F100" i="24"/>
  <c r="AJ1143" i="1" s="1"/>
  <c r="F101" i="24"/>
  <c r="AJ1601" i="1" s="1"/>
  <c r="F102" i="24"/>
  <c r="AJ1606" i="1" s="1"/>
  <c r="F103" i="24"/>
  <c r="F104" i="24"/>
  <c r="F105" i="24"/>
  <c r="F106" i="24"/>
  <c r="AJ1110" i="1" s="1"/>
  <c r="F107" i="24"/>
  <c r="AJ663" i="1" s="1"/>
  <c r="F108" i="24"/>
  <c r="F109" i="24"/>
  <c r="F110" i="24"/>
  <c r="F111" i="24"/>
  <c r="AJ1142" i="1" s="1"/>
  <c r="F112" i="24"/>
  <c r="AJ345" i="1" s="1"/>
  <c r="AK345" i="1" s="1"/>
  <c r="F113" i="24"/>
  <c r="F114" i="24"/>
  <c r="F115" i="24"/>
  <c r="AJ342" i="1" s="1"/>
  <c r="AK342" i="1" s="1"/>
  <c r="F116" i="24"/>
  <c r="AJ895" i="1" s="1"/>
  <c r="F117" i="24"/>
  <c r="AJ896" i="1" s="1"/>
  <c r="F118" i="24"/>
  <c r="F119" i="24"/>
  <c r="F120" i="24"/>
  <c r="AJ577" i="1" s="1"/>
  <c r="F121" i="24"/>
  <c r="AJ578" i="1" s="1"/>
  <c r="F122" i="24"/>
  <c r="F123" i="24"/>
  <c r="F124" i="24"/>
  <c r="F125" i="24"/>
  <c r="F126" i="24"/>
  <c r="AJ343" i="1" s="1"/>
  <c r="AK343" i="1" s="1"/>
  <c r="F127" i="24"/>
  <c r="AJ1395" i="1" s="1"/>
  <c r="F128" i="24"/>
  <c r="F129" i="24"/>
  <c r="F130" i="24"/>
  <c r="F131" i="24"/>
  <c r="AJ8" i="1" s="1"/>
  <c r="F132" i="24"/>
  <c r="F133" i="24"/>
  <c r="F134" i="24"/>
  <c r="AJ10" i="1" s="1"/>
  <c r="F135" i="24"/>
  <c r="AJ1391" i="1" s="1"/>
  <c r="F136" i="24"/>
  <c r="AJ894" i="1" s="1"/>
  <c r="F137" i="24"/>
  <c r="AJ1071" i="1" s="1"/>
  <c r="F138" i="24"/>
  <c r="F139" i="24"/>
  <c r="F140" i="24"/>
  <c r="F141" i="24"/>
  <c r="AJ1660" i="1" s="1"/>
  <c r="F142" i="24"/>
  <c r="AJ1646" i="1" s="1"/>
  <c r="F143" i="24"/>
  <c r="AJ357" i="1" s="1"/>
  <c r="F144" i="24"/>
  <c r="F145" i="24"/>
  <c r="AJ1273" i="1" s="1"/>
  <c r="F146" i="24"/>
  <c r="AJ547" i="1" s="1"/>
  <c r="F147" i="24"/>
  <c r="AJ564" i="1" s="1"/>
  <c r="F148" i="24"/>
  <c r="AJ670" i="1" s="1"/>
  <c r="F149" i="24"/>
  <c r="AJ668" i="1" s="1"/>
  <c r="F150" i="24"/>
  <c r="AJ660" i="1" s="1"/>
  <c r="F151" i="24"/>
  <c r="AJ638" i="1" s="1"/>
  <c r="F152" i="24"/>
  <c r="F153" i="24"/>
  <c r="AJ544" i="1" s="1"/>
  <c r="F154" i="24"/>
  <c r="F155" i="24"/>
  <c r="F156" i="24"/>
  <c r="AJ1201" i="1" s="1"/>
  <c r="F157" i="24"/>
  <c r="F158" i="24"/>
  <c r="F159" i="24"/>
  <c r="F160" i="24"/>
  <c r="AJ1473" i="1" s="1"/>
  <c r="F161" i="24"/>
  <c r="AJ1505" i="1" s="1"/>
  <c r="F162" i="24"/>
  <c r="F163" i="24"/>
  <c r="F164" i="24"/>
  <c r="F165" i="24"/>
  <c r="F166" i="24"/>
  <c r="F167" i="24"/>
  <c r="F168" i="24"/>
  <c r="AJ1610" i="1" s="1"/>
  <c r="F169" i="24"/>
  <c r="F170" i="24"/>
  <c r="AJ258" i="1" s="1"/>
  <c r="F171" i="24"/>
  <c r="F172" i="24"/>
  <c r="F173" i="24"/>
  <c r="F174" i="24"/>
  <c r="F175" i="24"/>
  <c r="F176" i="24"/>
  <c r="AJ255" i="1" s="1"/>
  <c r="F177" i="24"/>
  <c r="F178" i="24"/>
  <c r="F179" i="24"/>
  <c r="F180" i="24"/>
  <c r="F181" i="24"/>
  <c r="AJ1065" i="1" s="1"/>
  <c r="F182" i="24"/>
  <c r="F183" i="24"/>
  <c r="F184" i="24"/>
  <c r="F185" i="24"/>
  <c r="F186" i="24"/>
  <c r="F187" i="24"/>
  <c r="AJ257" i="1" s="1"/>
  <c r="F188" i="24"/>
  <c r="F189" i="24"/>
  <c r="AJ1067" i="1" s="1"/>
  <c r="F190" i="24"/>
  <c r="AJ684" i="1" s="1"/>
  <c r="F191" i="24"/>
  <c r="F192" i="24"/>
  <c r="F193" i="24"/>
  <c r="AJ1147" i="1" s="1"/>
  <c r="F194" i="24"/>
  <c r="AJ302" i="1" s="1"/>
  <c r="F195" i="24"/>
  <c r="AJ1386" i="1" s="1"/>
  <c r="F196" i="24"/>
  <c r="AJ1242" i="1" s="1"/>
  <c r="F197" i="24"/>
  <c r="AJ170" i="1" s="1"/>
  <c r="F198" i="24"/>
  <c r="AJ1053" i="1" s="1"/>
  <c r="F199" i="24"/>
  <c r="F200" i="24"/>
  <c r="F201" i="24"/>
  <c r="AJ1145" i="1" s="1"/>
  <c r="F202" i="24"/>
  <c r="F203" i="24"/>
  <c r="F204" i="24"/>
  <c r="F205" i="24"/>
  <c r="AJ1615" i="1" s="1"/>
  <c r="F206" i="24"/>
  <c r="AJ1611" i="1" s="1"/>
  <c r="F207" i="24"/>
  <c r="F208" i="24"/>
  <c r="F209" i="24"/>
  <c r="F210" i="24"/>
  <c r="F211" i="24"/>
  <c r="F212" i="24"/>
  <c r="F213" i="24"/>
  <c r="F214" i="24"/>
  <c r="F215" i="24"/>
  <c r="AJ253" i="1" s="1"/>
  <c r="F216" i="24"/>
  <c r="AJ1508" i="1" s="1"/>
  <c r="F217" i="24"/>
  <c r="F218" i="24"/>
  <c r="AJ490" i="1" s="1"/>
  <c r="F219" i="24"/>
  <c r="F220" i="24"/>
  <c r="AJ239" i="1" s="1"/>
  <c r="F221" i="24"/>
  <c r="F222" i="24"/>
  <c r="AJ1613" i="1" s="1"/>
  <c r="F223" i="24"/>
  <c r="AJ1258" i="1" s="1"/>
  <c r="F224" i="24"/>
  <c r="F225" i="24"/>
  <c r="F226" i="24"/>
  <c r="F227" i="24"/>
  <c r="F228" i="24"/>
  <c r="AJ1404" i="1" s="1"/>
  <c r="F229" i="24"/>
  <c r="AJ556" i="1" s="1"/>
  <c r="F230" i="24"/>
  <c r="F231" i="24"/>
  <c r="F232" i="24"/>
  <c r="F233" i="24"/>
  <c r="F234" i="24"/>
  <c r="F236" i="24"/>
  <c r="AJ1376" i="1" s="1"/>
  <c r="F237" i="24"/>
  <c r="AJ1253" i="1" s="1"/>
  <c r="F238" i="24"/>
  <c r="AJ1109" i="1" s="1"/>
  <c r="F239" i="24"/>
  <c r="F240" i="24"/>
  <c r="AJ972" i="1" s="1"/>
  <c r="F241" i="24"/>
  <c r="F242" i="24"/>
  <c r="F243" i="24"/>
  <c r="F244" i="24"/>
  <c r="F245" i="24"/>
  <c r="AJ576" i="1" s="1"/>
  <c r="F246" i="24"/>
  <c r="F247" i="24"/>
  <c r="AJ233" i="1" s="1"/>
  <c r="AK233" i="1" s="1"/>
  <c r="F248" i="24"/>
  <c r="AJ240" i="1" s="1"/>
  <c r="AK240" i="1" s="1"/>
  <c r="F249" i="24"/>
  <c r="F250" i="24"/>
  <c r="F251" i="24"/>
  <c r="F252" i="24"/>
  <c r="AJ674" i="1" s="1"/>
  <c r="F253" i="24"/>
  <c r="F254" i="24"/>
  <c r="F255" i="24"/>
  <c r="AJ716" i="1" s="1"/>
  <c r="F256" i="24"/>
  <c r="F257" i="24"/>
  <c r="F258" i="24"/>
  <c r="F259" i="24"/>
  <c r="F260" i="24"/>
  <c r="F261" i="24"/>
  <c r="AJ419" i="1" s="1"/>
  <c r="F262" i="24"/>
  <c r="F263" i="24"/>
  <c r="AJ417" i="1" s="1"/>
  <c r="F264" i="24"/>
  <c r="F265" i="24"/>
  <c r="AJ667" i="1" s="1"/>
  <c r="F266" i="24"/>
  <c r="F267" i="24"/>
  <c r="AJ228" i="1" s="1"/>
  <c r="AK228" i="1" s="1"/>
  <c r="F268" i="24"/>
  <c r="AJ231" i="1" s="1"/>
  <c r="AK231" i="1" s="1"/>
  <c r="F269" i="24"/>
  <c r="F270" i="24"/>
  <c r="F271" i="24"/>
  <c r="F272" i="24"/>
  <c r="AJ1462" i="1" s="1"/>
  <c r="AK1462" i="1" s="1"/>
  <c r="F273" i="24"/>
  <c r="F274" i="24"/>
  <c r="F275" i="24"/>
  <c r="AJ55" i="1" s="1"/>
  <c r="F276" i="24"/>
  <c r="F277" i="24"/>
  <c r="F278" i="24"/>
  <c r="AJ1111" i="1" s="1"/>
  <c r="F279" i="24"/>
  <c r="F280" i="24"/>
  <c r="F281" i="24"/>
  <c r="F282" i="24"/>
  <c r="F283" i="24"/>
  <c r="F284" i="24"/>
  <c r="AJ649" i="1" s="1"/>
  <c r="F285" i="24"/>
  <c r="AJ154" i="1" s="1"/>
  <c r="F286" i="24"/>
  <c r="F287" i="24"/>
  <c r="F288" i="24"/>
  <c r="F289" i="24"/>
  <c r="AJ235" i="1" s="1"/>
  <c r="AK235" i="1" s="1"/>
  <c r="F290" i="24"/>
  <c r="AJ236" i="1" s="1"/>
  <c r="AK236" i="1" s="1"/>
  <c r="F291" i="24"/>
  <c r="AJ718" i="1" s="1"/>
  <c r="F292" i="24"/>
  <c r="AJ650" i="1" s="1"/>
  <c r="F293" i="24"/>
  <c r="F294" i="24"/>
  <c r="AJ635" i="1" s="1"/>
  <c r="F295" i="24"/>
  <c r="AJ584" i="1" s="1"/>
  <c r="F296" i="24"/>
  <c r="AJ1069" i="1" s="1"/>
  <c r="F297" i="24"/>
  <c r="F298" i="24"/>
  <c r="AJ1335" i="1" s="1"/>
  <c r="F299" i="24"/>
  <c r="F300" i="24"/>
  <c r="F301" i="24"/>
  <c r="AJ1557" i="1" s="1"/>
  <c r="F302" i="24"/>
  <c r="F303" i="24"/>
  <c r="F304" i="24"/>
  <c r="F305" i="24"/>
  <c r="F306" i="24"/>
  <c r="AJ554" i="1" s="1"/>
  <c r="F307" i="24"/>
  <c r="AJ632" i="1" s="1"/>
  <c r="F308" i="24"/>
  <c r="F309" i="24"/>
  <c r="F310" i="24"/>
  <c r="AJ1656" i="1" s="1"/>
  <c r="F311" i="24"/>
  <c r="F312" i="24"/>
  <c r="AJ1244" i="1" s="1"/>
  <c r="F313" i="24"/>
  <c r="F314" i="24"/>
  <c r="AJ498" i="1" s="1"/>
  <c r="F315" i="24"/>
  <c r="F316" i="24"/>
  <c r="F317" i="24"/>
  <c r="AJ1276" i="1" s="1"/>
  <c r="F318" i="24"/>
  <c r="AJ1389" i="1" s="1"/>
  <c r="F319" i="24"/>
  <c r="AJ179" i="1" s="1"/>
  <c r="F320" i="24"/>
  <c r="F321" i="24"/>
  <c r="F322" i="24"/>
  <c r="F323" i="24"/>
  <c r="F324" i="24"/>
  <c r="F325" i="24"/>
  <c r="AJ610" i="1" s="1"/>
  <c r="F326" i="24"/>
  <c r="F327" i="24"/>
  <c r="AJ565" i="1" s="1"/>
  <c r="F328" i="24"/>
  <c r="AJ494" i="1" s="1"/>
  <c r="F329" i="24"/>
  <c r="F330" i="24"/>
  <c r="AJ352" i="1" s="1"/>
  <c r="F331" i="24"/>
  <c r="AJ686" i="1" s="1"/>
  <c r="F332" i="24"/>
  <c r="AJ658" i="1" s="1"/>
  <c r="F333" i="24"/>
  <c r="AJ1460" i="1" s="1"/>
  <c r="F334" i="24"/>
  <c r="AJ1465" i="1" s="1"/>
  <c r="AK1465" i="1" s="1"/>
  <c r="F335" i="24"/>
  <c r="AJ1115" i="1" s="1"/>
  <c r="F336" i="24"/>
  <c r="F337" i="24"/>
  <c r="AJ232" i="1" s="1"/>
  <c r="AK232" i="1" s="1"/>
  <c r="F338" i="24"/>
  <c r="AJ1267" i="1" s="1"/>
  <c r="F339" i="24"/>
  <c r="AJ1388" i="1" s="1"/>
  <c r="F340" i="24"/>
  <c r="AJ887" i="1" s="1"/>
  <c r="F341" i="24"/>
  <c r="AJ567" i="1" s="1"/>
  <c r="F342" i="24"/>
  <c r="AJ969" i="1" s="1"/>
  <c r="F343" i="24"/>
  <c r="AJ1390" i="1" s="1"/>
  <c r="F344" i="24"/>
  <c r="AJ540" i="1" s="1"/>
  <c r="F345" i="24"/>
  <c r="AJ971" i="1" s="1"/>
  <c r="F346" i="24"/>
  <c r="AJ238" i="1" s="1"/>
  <c r="AK238" i="1" s="1"/>
  <c r="F347" i="24"/>
  <c r="F348" i="24"/>
  <c r="AJ539" i="1" s="1"/>
  <c r="F349" i="24"/>
  <c r="AJ639" i="1" s="1"/>
  <c r="F350" i="24"/>
  <c r="AJ659" i="1" s="1"/>
  <c r="F351" i="24"/>
  <c r="AJ234" i="1" s="1"/>
  <c r="AK234" i="1" s="1"/>
  <c r="F352" i="24"/>
  <c r="AJ241" i="1" s="1"/>
  <c r="AK241" i="1" s="1"/>
  <c r="F353" i="24"/>
  <c r="AJ688" i="1" s="1"/>
  <c r="F354" i="24"/>
  <c r="AJ967" i="1" s="1"/>
  <c r="F355" i="24"/>
  <c r="AJ537" i="1" s="1"/>
  <c r="F356" i="24"/>
  <c r="AJ242" i="1" s="1"/>
  <c r="AK242" i="1" s="1"/>
  <c r="F357" i="24"/>
  <c r="F358" i="24"/>
  <c r="AJ227" i="1" s="1"/>
  <c r="AK227" i="1" s="1"/>
  <c r="F359" i="24"/>
  <c r="AJ977" i="1" s="1"/>
  <c r="F360" i="24"/>
  <c r="AJ153" i="1" s="1"/>
  <c r="F361" i="24"/>
  <c r="F362" i="24"/>
  <c r="AJ678" i="1" s="1"/>
  <c r="F363" i="24"/>
  <c r="AJ416" i="1" s="1"/>
  <c r="F364" i="24"/>
  <c r="F365" i="24"/>
  <c r="AJ244" i="1" s="1"/>
  <c r="AK244" i="1" s="1"/>
  <c r="F366" i="24"/>
  <c r="AJ679" i="1" s="1"/>
  <c r="F367" i="24"/>
  <c r="F368" i="24"/>
  <c r="AJ54" i="1" s="1"/>
  <c r="F369" i="24"/>
  <c r="AJ680" i="1" s="1"/>
  <c r="F370" i="24"/>
  <c r="AJ1035" i="1" s="1"/>
  <c r="F371" i="24"/>
  <c r="AJ662" i="1" s="1"/>
  <c r="F372" i="24"/>
  <c r="AJ549" i="1" s="1"/>
  <c r="F373" i="24"/>
  <c r="AJ666" i="1" s="1"/>
  <c r="F374" i="24"/>
  <c r="F375" i="24"/>
  <c r="AJ230" i="1" s="1"/>
  <c r="AK230" i="1" s="1"/>
  <c r="F376" i="24"/>
  <c r="F377" i="24"/>
  <c r="AJ53" i="1" s="1"/>
  <c r="F378" i="24"/>
  <c r="AJ237" i="1" s="1"/>
  <c r="AK237" i="1" s="1"/>
  <c r="F379" i="24"/>
  <c r="AJ973" i="1" s="1"/>
  <c r="F380" i="24"/>
  <c r="AJ56" i="1" s="1"/>
  <c r="F381" i="24"/>
  <c r="AJ243" i="1" s="1"/>
  <c r="AK243" i="1" s="1"/>
  <c r="F382" i="24"/>
  <c r="AJ418" i="1" s="1"/>
  <c r="F383" i="24"/>
  <c r="AJ229" i="1" s="1"/>
  <c r="AK229" i="1" s="1"/>
  <c r="F384" i="24"/>
  <c r="F385" i="24"/>
  <c r="F386" i="24"/>
  <c r="AJ901" i="1" s="1"/>
  <c r="F387" i="24"/>
  <c r="AJ569" i="1" s="1"/>
  <c r="F388" i="24"/>
  <c r="AJ750" i="1" s="1"/>
  <c r="F389" i="24"/>
  <c r="F390" i="24"/>
  <c r="AJ1533" i="1" s="1"/>
  <c r="F391" i="24"/>
  <c r="F392" i="24"/>
  <c r="AJ1219" i="1" s="1"/>
  <c r="F393" i="24"/>
  <c r="AJ574" i="1" s="1"/>
  <c r="F394" i="24"/>
  <c r="AJ545" i="1" s="1"/>
  <c r="F395" i="24"/>
  <c r="AJ1612" i="1" s="1"/>
  <c r="F396" i="24"/>
  <c r="AJ1039" i="1" s="1"/>
  <c r="F397" i="24"/>
  <c r="AJ1614" i="1" s="1"/>
  <c r="F398" i="24"/>
  <c r="AJ736" i="1" s="1"/>
  <c r="F399" i="24"/>
  <c r="F400" i="24"/>
  <c r="F401" i="24"/>
  <c r="AJ1175" i="1" s="1"/>
  <c r="F402" i="24"/>
  <c r="F403" i="24"/>
  <c r="F404" i="24"/>
  <c r="AJ1302" i="1" s="1"/>
  <c r="F405" i="24"/>
  <c r="AJ61" i="1" s="1"/>
  <c r="F406" i="24"/>
  <c r="F407" i="24"/>
  <c r="F408" i="24"/>
  <c r="F409" i="24"/>
  <c r="AJ586" i="1" s="1"/>
  <c r="F410" i="24"/>
  <c r="F411" i="24"/>
  <c r="F412" i="24"/>
  <c r="AJ465" i="1" s="1"/>
  <c r="F413" i="24"/>
  <c r="AJ741" i="1" s="1"/>
  <c r="F414" i="24"/>
  <c r="F415" i="24"/>
  <c r="F416" i="24"/>
  <c r="F417" i="24"/>
  <c r="F418" i="24"/>
  <c r="F419" i="24"/>
  <c r="F420" i="24"/>
  <c r="AJ846" i="1" s="1"/>
  <c r="F421" i="24"/>
  <c r="AJ743" i="1" s="1"/>
  <c r="F422" i="24"/>
  <c r="F423" i="24"/>
  <c r="AJ446" i="1" s="1"/>
  <c r="F424" i="24"/>
  <c r="F425" i="24"/>
  <c r="F426" i="24"/>
  <c r="F427" i="24"/>
  <c r="AJ734" i="1" s="1"/>
  <c r="F428" i="24"/>
  <c r="F429" i="24"/>
  <c r="F430" i="24"/>
  <c r="AJ1231" i="1" s="1"/>
  <c r="F431" i="24"/>
  <c r="AJ1229" i="1" s="1"/>
  <c r="F432" i="24"/>
  <c r="AJ1230" i="1" s="1"/>
  <c r="F433" i="24"/>
  <c r="AJ3" i="1" s="1"/>
  <c r="F434" i="24"/>
  <c r="AJ1232" i="1" s="1"/>
  <c r="F435" i="24"/>
  <c r="AJ438" i="1" s="1"/>
  <c r="F436" i="24"/>
  <c r="AJ735" i="1" s="1"/>
  <c r="F437" i="24"/>
  <c r="F438" i="24"/>
  <c r="AJ1019" i="1" s="1"/>
  <c r="F439" i="24"/>
  <c r="F440" i="24"/>
  <c r="AJ1228" i="1" s="1"/>
  <c r="F441" i="24"/>
  <c r="AJ1248" i="1" s="1"/>
  <c r="F442" i="24"/>
  <c r="AJ401" i="1" s="1"/>
  <c r="F443" i="24"/>
  <c r="F444" i="24"/>
  <c r="AJ1221" i="1" s="1"/>
  <c r="F445" i="24"/>
  <c r="F446" i="24"/>
  <c r="AJ1059" i="1" s="1"/>
  <c r="F447" i="24"/>
  <c r="AJ847" i="1" s="1"/>
  <c r="F448" i="24"/>
  <c r="AJ462" i="1" s="1"/>
  <c r="F449" i="24"/>
  <c r="AJ1233" i="1" s="1"/>
  <c r="F450" i="24"/>
  <c r="F451" i="24"/>
  <c r="F452" i="24"/>
  <c r="AJ1176" i="1" s="1"/>
  <c r="F453" i="24"/>
  <c r="AJ219" i="1" s="1"/>
  <c r="F454" i="24"/>
  <c r="AJ1222" i="1" s="1"/>
  <c r="F455" i="24"/>
  <c r="AJ1223" i="1" s="1"/>
  <c r="F456" i="24"/>
  <c r="AJ282" i="1" s="1"/>
  <c r="F457" i="24"/>
  <c r="AJ751" i="1" s="1"/>
  <c r="F458" i="24"/>
  <c r="F459" i="24"/>
  <c r="AJ1174" i="1" s="1"/>
  <c r="F460" i="24"/>
  <c r="F461" i="24"/>
  <c r="F462" i="24"/>
  <c r="AJ218" i="1" s="1"/>
  <c r="F463" i="24"/>
  <c r="AJ35" i="1" s="1"/>
  <c r="F464" i="24"/>
  <c r="F465" i="24"/>
  <c r="AJ730" i="1" s="1"/>
  <c r="F466" i="24"/>
  <c r="AJ676" i="1" s="1"/>
  <c r="F467" i="24"/>
  <c r="F468" i="24"/>
  <c r="F469" i="24"/>
  <c r="F470" i="24"/>
  <c r="AJ281" i="1" s="1"/>
  <c r="F471" i="24"/>
  <c r="AJ62" i="1" s="1"/>
  <c r="F472" i="24"/>
  <c r="F473" i="24"/>
  <c r="AJ555" i="1" s="1"/>
  <c r="F474" i="24"/>
  <c r="AJ552" i="1" s="1"/>
  <c r="F475" i="24"/>
  <c r="AJ1292" i="1" s="1"/>
  <c r="F476" i="24"/>
  <c r="AJ1265" i="1" s="1"/>
  <c r="F477" i="24"/>
  <c r="F478" i="24"/>
  <c r="AJ1409" i="1" s="1"/>
  <c r="F479" i="24"/>
  <c r="AJ898" i="1" s="1"/>
  <c r="F480" i="24"/>
  <c r="F481" i="24"/>
  <c r="F482" i="24"/>
  <c r="F483" i="24"/>
  <c r="AJ469" i="1" s="1"/>
  <c r="F484" i="24"/>
  <c r="F485" i="24"/>
  <c r="F486" i="24"/>
  <c r="F487" i="24"/>
  <c r="F488" i="24"/>
  <c r="F489" i="24"/>
  <c r="F490" i="24"/>
  <c r="F491" i="24"/>
  <c r="F492" i="24"/>
  <c r="AJ1578" i="1" s="1"/>
  <c r="F493" i="24"/>
  <c r="F494" i="24"/>
  <c r="F495" i="24"/>
  <c r="AJ1655" i="1" s="1"/>
  <c r="F496" i="24"/>
  <c r="AJ40" i="1" s="1"/>
  <c r="F497" i="24"/>
  <c r="F498" i="24"/>
  <c r="AJ474" i="1" s="1"/>
  <c r="F499" i="24"/>
  <c r="AJ475" i="1" s="1"/>
  <c r="F500" i="24"/>
  <c r="AJ472" i="1" s="1"/>
  <c r="F501" i="24"/>
  <c r="AJ473" i="1" s="1"/>
  <c r="F502" i="24"/>
  <c r="F503" i="24"/>
  <c r="AJ396" i="1" s="1"/>
  <c r="F504" i="24"/>
  <c r="AJ820" i="1" s="1"/>
  <c r="F505" i="24"/>
  <c r="AJ477" i="1" s="1"/>
  <c r="F506" i="24"/>
  <c r="AJ456" i="1" s="1"/>
  <c r="F507" i="24"/>
  <c r="AJ457" i="1" s="1"/>
  <c r="F508" i="24"/>
  <c r="AJ458" i="1" s="1"/>
  <c r="F509" i="24"/>
  <c r="AJ1150" i="1" s="1"/>
  <c r="F510" i="24"/>
  <c r="F511" i="24"/>
  <c r="F512" i="24"/>
  <c r="F513" i="24"/>
  <c r="AJ1687" i="1" s="1"/>
  <c r="F514" i="24"/>
  <c r="AJ648" i="1" s="1"/>
  <c r="F515" i="24"/>
  <c r="AJ646" i="1" s="1"/>
  <c r="F516" i="24"/>
  <c r="AJ647" i="1" s="1"/>
  <c r="F517" i="24"/>
  <c r="AJ129" i="1" s="1"/>
  <c r="F518" i="24"/>
  <c r="AJ687" i="1" s="1"/>
  <c r="F519" i="24"/>
  <c r="AJ548" i="1" s="1"/>
  <c r="F520" i="24"/>
  <c r="AJ681" i="1" s="1"/>
  <c r="F521" i="24"/>
  <c r="F522" i="24"/>
  <c r="AJ673" i="1" s="1"/>
  <c r="F523" i="24"/>
  <c r="AJ675" i="1" s="1"/>
  <c r="F524" i="24"/>
  <c r="AJ563" i="1" s="1"/>
  <c r="F525" i="24"/>
  <c r="AJ685" i="1" s="1"/>
  <c r="F526" i="24"/>
  <c r="F527" i="24"/>
  <c r="AJ682" i="1" s="1"/>
  <c r="F528" i="24"/>
  <c r="F529" i="24"/>
  <c r="AJ1078" i="1" s="1"/>
  <c r="F530" i="24"/>
  <c r="AJ269" i="1" s="1"/>
  <c r="F531" i="24"/>
  <c r="AJ367" i="1" s="1"/>
  <c r="F532" i="24"/>
  <c r="F533" i="24"/>
  <c r="AJ807" i="1" s="1"/>
  <c r="F534" i="24"/>
  <c r="F535" i="24"/>
  <c r="AJ1208" i="1" s="1"/>
  <c r="F536" i="24"/>
  <c r="AJ1210" i="1" s="1"/>
  <c r="F537" i="24"/>
  <c r="F538" i="24"/>
  <c r="AJ105" i="1" s="1"/>
  <c r="F539" i="24"/>
  <c r="AJ106" i="1" s="1"/>
  <c r="F540" i="24"/>
  <c r="AJ937" i="1" s="1"/>
  <c r="F541" i="24"/>
  <c r="AJ943" i="1" s="1"/>
  <c r="F542" i="24"/>
  <c r="AJ948" i="1" s="1"/>
  <c r="F543" i="24"/>
  <c r="AJ949" i="1" s="1"/>
  <c r="F544" i="24"/>
  <c r="AJ1418" i="1" s="1"/>
  <c r="F545" i="24"/>
  <c r="F546" i="24"/>
  <c r="F547" i="24"/>
  <c r="F548" i="24"/>
  <c r="F549" i="24"/>
  <c r="AJ592" i="1" s="1"/>
  <c r="F550" i="24"/>
  <c r="F551" i="24"/>
  <c r="AJ594" i="1" s="1"/>
  <c r="F552" i="24"/>
  <c r="AJ595" i="1" s="1"/>
  <c r="F553" i="24"/>
  <c r="AJ596" i="1" s="1"/>
  <c r="F554" i="24"/>
  <c r="F555" i="24"/>
  <c r="AJ598" i="1" s="1"/>
  <c r="F556" i="24"/>
  <c r="AJ633" i="1" s="1"/>
  <c r="F557" i="24"/>
  <c r="AJ653" i="1" s="1"/>
  <c r="F558" i="24"/>
  <c r="AJ683" i="1" s="1"/>
  <c r="F559" i="24"/>
  <c r="F560" i="24"/>
  <c r="F561" i="24"/>
  <c r="AJ600" i="1" s="1"/>
  <c r="F562" i="24"/>
  <c r="AJ1420" i="1" s="1"/>
  <c r="F563" i="24"/>
  <c r="AJ1421" i="1" s="1"/>
  <c r="F564" i="24"/>
  <c r="AJ1426" i="1" s="1"/>
  <c r="F565" i="24"/>
  <c r="AJ1427" i="1" s="1"/>
  <c r="F566" i="24"/>
  <c r="AJ1428" i="1" s="1"/>
  <c r="F567" i="24"/>
  <c r="AJ1429" i="1" s="1"/>
  <c r="F568" i="24"/>
  <c r="AJ1316" i="1" s="1"/>
  <c r="F569" i="24"/>
  <c r="F570" i="24"/>
  <c r="F571" i="24"/>
  <c r="F572" i="24"/>
  <c r="AJ1752" i="1" s="1"/>
  <c r="F573" i="24"/>
  <c r="F574" i="24"/>
  <c r="F575" i="24"/>
  <c r="AJ872" i="1" s="1"/>
  <c r="F576" i="24"/>
  <c r="F577" i="24"/>
  <c r="F578" i="24"/>
  <c r="AJ994" i="1" s="1"/>
  <c r="F579" i="24"/>
  <c r="F580" i="24"/>
  <c r="AJ186" i="1" s="1"/>
  <c r="F581" i="24"/>
  <c r="AJ1309" i="1" s="1"/>
  <c r="F582" i="24"/>
  <c r="AJ1312" i="1" s="1"/>
  <c r="F583" i="24"/>
  <c r="F584" i="24"/>
  <c r="AJ497" i="1" s="1"/>
  <c r="F585" i="24"/>
  <c r="AJ601" i="1" s="1"/>
  <c r="F586" i="24"/>
  <c r="AJ604" i="1" s="1"/>
  <c r="F587" i="24"/>
  <c r="AJ607" i="1" s="1"/>
  <c r="F588" i="24"/>
  <c r="F589" i="24"/>
  <c r="AJ692" i="1" s="1"/>
  <c r="F590" i="24"/>
  <c r="F591" i="24"/>
  <c r="F592" i="24"/>
  <c r="AJ808" i="1" s="1"/>
  <c r="F593" i="24"/>
  <c r="AJ809" i="1" s="1"/>
  <c r="F594" i="24"/>
  <c r="AJ695" i="1" s="1"/>
  <c r="F595" i="24"/>
  <c r="AJ693" i="1" s="1"/>
  <c r="F596" i="24"/>
  <c r="F600" i="24"/>
  <c r="AJ1919" i="1" s="1"/>
  <c r="F601" i="24"/>
  <c r="F602" i="24"/>
  <c r="F603" i="24"/>
  <c r="AJ1773" i="1" s="1"/>
  <c r="F604" i="24"/>
  <c r="AJ1765" i="1" s="1"/>
  <c r="F605" i="24"/>
  <c r="F606" i="24"/>
  <c r="AJ1121" i="1" s="1"/>
  <c r="F607" i="24"/>
  <c r="AJ1122" i="1" s="1"/>
  <c r="F608" i="24"/>
  <c r="F609" i="24"/>
  <c r="AJ1908" i="1" s="1"/>
  <c r="F610" i="24"/>
  <c r="F611" i="24"/>
  <c r="AJ500" i="1" s="1"/>
  <c r="F612" i="24"/>
  <c r="AJ502" i="1" s="1"/>
  <c r="F613" i="24"/>
  <c r="AJ748" i="1" s="1"/>
  <c r="F614" i="24"/>
  <c r="F615" i="24"/>
  <c r="F616" i="24"/>
  <c r="AJ612" i="1" s="1"/>
  <c r="F617" i="24"/>
  <c r="AJ697" i="1" s="1"/>
  <c r="F618" i="24"/>
  <c r="AJ698" i="1" s="1"/>
  <c r="F619" i="24"/>
  <c r="F620" i="24"/>
  <c r="AJ615" i="1" s="1"/>
  <c r="F621" i="24"/>
  <c r="AJ616" i="1" s="1"/>
  <c r="F622" i="24"/>
  <c r="AJ618" i="1" s="1"/>
  <c r="F623" i="24"/>
  <c r="AJ620" i="1" s="1"/>
  <c r="F624" i="24"/>
  <c r="AJ621" i="1" s="1"/>
  <c r="F625" i="24"/>
  <c r="AJ625" i="1" s="1"/>
  <c r="F626" i="24"/>
  <c r="AJ628" i="1" s="1"/>
  <c r="F627" i="24"/>
  <c r="AJ627" i="1" s="1"/>
  <c r="F628" i="24"/>
  <c r="F629" i="24"/>
  <c r="AJ626" i="1" s="1"/>
  <c r="F630" i="24"/>
  <c r="AJ622" i="1" s="1"/>
  <c r="F634" i="24"/>
  <c r="F639" i="24"/>
  <c r="AJ1936" i="1" s="1"/>
  <c r="F642" i="24"/>
  <c r="AJ1941" i="1" s="1"/>
  <c r="D13" i="126"/>
  <c r="Q14" i="111"/>
  <c r="P14" i="109"/>
  <c r="Q14" i="121"/>
  <c r="C14" i="41"/>
  <c r="F100" i="168"/>
  <c r="G100" i="168"/>
  <c r="H100" i="168"/>
  <c r="F145" i="168"/>
  <c r="G145" i="168"/>
  <c r="H145" i="168"/>
  <c r="F184" i="168"/>
  <c r="G184" i="168"/>
  <c r="H184" i="168"/>
  <c r="F264" i="168"/>
  <c r="G264" i="168"/>
  <c r="H264" i="168"/>
  <c r="F341" i="168"/>
  <c r="G341" i="168"/>
  <c r="H341" i="168"/>
  <c r="F410" i="168"/>
  <c r="G410" i="168"/>
  <c r="H410" i="168"/>
  <c r="F538" i="168"/>
  <c r="G538" i="168"/>
  <c r="H538" i="168"/>
  <c r="F646" i="168"/>
  <c r="G646" i="168"/>
  <c r="H646" i="168"/>
  <c r="F667" i="168"/>
  <c r="G667" i="168"/>
  <c r="H667" i="168"/>
  <c r="F682" i="168"/>
  <c r="G682" i="168"/>
  <c r="H682" i="168"/>
  <c r="F772" i="168"/>
  <c r="G772" i="168"/>
  <c r="H772" i="168"/>
  <c r="F790" i="168"/>
  <c r="G790" i="168"/>
  <c r="H790" i="168"/>
  <c r="F846" i="168"/>
  <c r="G846" i="168"/>
  <c r="H846" i="168"/>
  <c r="F941" i="168"/>
  <c r="G941" i="168"/>
  <c r="H941" i="168"/>
  <c r="F991" i="168"/>
  <c r="G991" i="168"/>
  <c r="H991" i="168"/>
  <c r="F1071" i="168"/>
  <c r="G1071" i="168"/>
  <c r="H1071" i="168"/>
  <c r="F1082" i="168"/>
  <c r="G1082" i="168"/>
  <c r="H1082" i="168"/>
  <c r="H57" i="168"/>
  <c r="G57" i="168"/>
  <c r="F57" i="168"/>
  <c r="AK104" i="179" l="1"/>
  <c r="AL104" i="179"/>
  <c r="AK105" i="179"/>
  <c r="AL105" i="179"/>
  <c r="AK106" i="179"/>
  <c r="AL106" i="179"/>
  <c r="AK1941" i="1"/>
  <c r="AL1941" i="1"/>
  <c r="AK621" i="1"/>
  <c r="AL621" i="1"/>
  <c r="AJ272" i="1"/>
  <c r="AJ1217" i="1"/>
  <c r="AK1908" i="1"/>
  <c r="AL1908" i="1"/>
  <c r="AK1919" i="1"/>
  <c r="AL1919" i="1"/>
  <c r="AK601" i="1"/>
  <c r="AL601" i="1"/>
  <c r="AJ184" i="1"/>
  <c r="AJ187" i="1"/>
  <c r="AJ329" i="1"/>
  <c r="AJ1009" i="1"/>
  <c r="AJ1081" i="1"/>
  <c r="AJ1124" i="1"/>
  <c r="AJ1125" i="1"/>
  <c r="AJ1279" i="1"/>
  <c r="AK1429" i="1"/>
  <c r="AL1429" i="1"/>
  <c r="AK600" i="1"/>
  <c r="AL600" i="1"/>
  <c r="AK595" i="1"/>
  <c r="AL595" i="1"/>
  <c r="AK949" i="1"/>
  <c r="AL949" i="1"/>
  <c r="AK367" i="1"/>
  <c r="AL367" i="1"/>
  <c r="AK673" i="1"/>
  <c r="AL673" i="1"/>
  <c r="AK1687" i="1"/>
  <c r="AL1687" i="1"/>
  <c r="AK820" i="1"/>
  <c r="AL820" i="1"/>
  <c r="AK474" i="1"/>
  <c r="AL474" i="1"/>
  <c r="AJ1153" i="1"/>
  <c r="AJ1546" i="1"/>
  <c r="AJ1643" i="1"/>
  <c r="AJ1671" i="1"/>
  <c r="AJ1694" i="1"/>
  <c r="AJ1706" i="1"/>
  <c r="AJ1721" i="1"/>
  <c r="AJ1750" i="1"/>
  <c r="AJ1771" i="1"/>
  <c r="AJ1786" i="1"/>
  <c r="AJ1799" i="1"/>
  <c r="AJ1837" i="1"/>
  <c r="AJ1861" i="1"/>
  <c r="AJ1948" i="1"/>
  <c r="AJ90" i="1"/>
  <c r="AJ1182" i="1"/>
  <c r="AK62" i="1"/>
  <c r="AL62" i="1"/>
  <c r="AK730" i="1"/>
  <c r="AL730" i="1"/>
  <c r="AK282" i="1"/>
  <c r="AL282" i="1"/>
  <c r="AK1221" i="1"/>
  <c r="AL1221" i="1"/>
  <c r="AK438" i="1"/>
  <c r="AL438" i="1"/>
  <c r="AJ216" i="1"/>
  <c r="AJ732" i="1"/>
  <c r="AJ1100" i="1"/>
  <c r="AK846" i="1"/>
  <c r="AL846" i="1"/>
  <c r="AK61" i="1"/>
  <c r="AL61" i="1"/>
  <c r="AK1039" i="1"/>
  <c r="AL1039" i="1"/>
  <c r="AK569" i="1"/>
  <c r="AL569" i="1"/>
  <c r="AK680" i="1"/>
  <c r="AL680" i="1"/>
  <c r="AK416" i="1"/>
  <c r="AL416" i="1"/>
  <c r="AJ165" i="1"/>
  <c r="AJ171" i="1"/>
  <c r="AJ175" i="1"/>
  <c r="AJ178" i="1"/>
  <c r="AK969" i="1"/>
  <c r="AL969" i="1"/>
  <c r="AJ1141" i="1"/>
  <c r="AJ1254" i="1"/>
  <c r="AK565" i="1"/>
  <c r="AL565" i="1"/>
  <c r="AJ1675" i="1"/>
  <c r="AJ1683" i="1"/>
  <c r="AJ1747" i="1"/>
  <c r="AJ987" i="1"/>
  <c r="AJ1700" i="1"/>
  <c r="AK554" i="1"/>
  <c r="AL554" i="1"/>
  <c r="AK635" i="1"/>
  <c r="AL635" i="1"/>
  <c r="AJ83" i="1"/>
  <c r="AJ1466" i="1"/>
  <c r="AK1466" i="1" s="1"/>
  <c r="AJ1843" i="1"/>
  <c r="AJ1855" i="1"/>
  <c r="AJ1956" i="1"/>
  <c r="AJ420" i="1"/>
  <c r="AJ1056" i="1"/>
  <c r="AJ80" i="1"/>
  <c r="AJ84" i="1"/>
  <c r="AJ99" i="1"/>
  <c r="AJ126" i="1"/>
  <c r="AJ158" i="1"/>
  <c r="AJ248" i="1"/>
  <c r="AJ251" i="1"/>
  <c r="AJ303" i="1"/>
  <c r="AJ311" i="1"/>
  <c r="AJ346" i="1"/>
  <c r="AK346" i="1" s="1"/>
  <c r="AJ362" i="1"/>
  <c r="AJ364" i="1"/>
  <c r="AJ414" i="1"/>
  <c r="AJ826" i="1"/>
  <c r="AJ889" i="1"/>
  <c r="AJ933" i="1"/>
  <c r="AJ966" i="1"/>
  <c r="AJ1033" i="1"/>
  <c r="AJ1054" i="1"/>
  <c r="AJ1137" i="1"/>
  <c r="AJ1167" i="1"/>
  <c r="AJ1207" i="1"/>
  <c r="AJ1297" i="1"/>
  <c r="AJ1384" i="1"/>
  <c r="AJ1467" i="1"/>
  <c r="AK1467" i="1" s="1"/>
  <c r="AJ1483" i="1"/>
  <c r="AK1483" i="1" s="1"/>
  <c r="AK419" i="1"/>
  <c r="AL419" i="1"/>
  <c r="AJ1394" i="1"/>
  <c r="AJ1401" i="1"/>
  <c r="AJ1670" i="1"/>
  <c r="AJ177" i="1"/>
  <c r="AJ185" i="1"/>
  <c r="AJ189" i="1"/>
  <c r="AJ323" i="1"/>
  <c r="AJ371" i="1"/>
  <c r="AJ388" i="1"/>
  <c r="AJ579" i="1"/>
  <c r="AJ634" i="1"/>
  <c r="AJ906" i="1"/>
  <c r="AJ915" i="1"/>
  <c r="AJ1083" i="1"/>
  <c r="AJ1245" i="1"/>
  <c r="AJ1471" i="1"/>
  <c r="AJ1493" i="1"/>
  <c r="AJ1510" i="1"/>
  <c r="AJ1515" i="1"/>
  <c r="AJ1531" i="1"/>
  <c r="AJ1542" i="1"/>
  <c r="AJ1544" i="1"/>
  <c r="AJ1585" i="1"/>
  <c r="AJ1637" i="1"/>
  <c r="AJ1642" i="1"/>
  <c r="AJ1673" i="1"/>
  <c r="AJ1692" i="1"/>
  <c r="AJ1714" i="1"/>
  <c r="AJ1745" i="1"/>
  <c r="AJ1768" i="1"/>
  <c r="AJ1785" i="1"/>
  <c r="AJ1798" i="1"/>
  <c r="AJ1814" i="1"/>
  <c r="AJ1820" i="1"/>
  <c r="AJ1835" i="1"/>
  <c r="AJ1849" i="1"/>
  <c r="AJ1860" i="1"/>
  <c r="AJ1874" i="1"/>
  <c r="AJ1891" i="1"/>
  <c r="AJ1926" i="1"/>
  <c r="AJ1967" i="1"/>
  <c r="AK972" i="1"/>
  <c r="AL972" i="1"/>
  <c r="AJ944" i="1"/>
  <c r="AJ1478" i="1"/>
  <c r="AJ1560" i="1"/>
  <c r="AJ1575" i="1"/>
  <c r="AJ1621" i="1"/>
  <c r="AJ1651" i="1"/>
  <c r="AJ1678" i="1"/>
  <c r="AJ1685" i="1"/>
  <c r="AJ1695" i="1"/>
  <c r="AJ1708" i="1"/>
  <c r="AJ1715" i="1"/>
  <c r="AJ1725" i="1"/>
  <c r="AJ1742" i="1"/>
  <c r="AJ1767" i="1"/>
  <c r="AJ1476" i="1"/>
  <c r="AK1476" i="1" s="1"/>
  <c r="AJ1577" i="1"/>
  <c r="AJ1684" i="1"/>
  <c r="AK253" i="1"/>
  <c r="AL253" i="1"/>
  <c r="AK1611" i="1"/>
  <c r="AL1611" i="1"/>
  <c r="AK170" i="1"/>
  <c r="AL170" i="1"/>
  <c r="AJ581" i="1"/>
  <c r="AJ582" i="1"/>
  <c r="AJ617" i="1"/>
  <c r="AJ13" i="1"/>
  <c r="AJ19" i="1"/>
  <c r="AJ20" i="1"/>
  <c r="AJ26" i="1"/>
  <c r="AK255" i="1"/>
  <c r="AL255" i="1"/>
  <c r="AK258" i="1"/>
  <c r="AL258" i="1"/>
  <c r="AJ1503" i="1"/>
  <c r="AJ1520" i="1"/>
  <c r="AJ1528" i="1"/>
  <c r="AJ1535" i="1"/>
  <c r="AJ1649" i="1"/>
  <c r="AJ1666" i="1"/>
  <c r="AJ309" i="1"/>
  <c r="AJ1632" i="1"/>
  <c r="AJ589" i="1"/>
  <c r="AJ602" i="1"/>
  <c r="AK668" i="1"/>
  <c r="AL668" i="1"/>
  <c r="AK547" i="1"/>
  <c r="AL547" i="1"/>
  <c r="AJ1658" i="1"/>
  <c r="AJ1664" i="1"/>
  <c r="AJ1733" i="1"/>
  <c r="AK1071" i="1"/>
  <c r="AL1071" i="1"/>
  <c r="AK10" i="1"/>
  <c r="AL10" i="1"/>
  <c r="AK8" i="1"/>
  <c r="AL8" i="1"/>
  <c r="AJ866" i="1"/>
  <c r="AJ1170" i="1"/>
  <c r="AJ1492" i="1"/>
  <c r="AJ1496" i="1"/>
  <c r="AJ1501" i="1"/>
  <c r="AJ1630" i="1"/>
  <c r="AJ1734" i="1"/>
  <c r="AJ1758" i="1"/>
  <c r="AJ1783" i="1"/>
  <c r="AJ1796" i="1"/>
  <c r="AJ1811" i="1"/>
  <c r="AJ1831" i="1"/>
  <c r="AJ1911" i="1"/>
  <c r="AJ1317" i="1"/>
  <c r="AJ1688" i="1"/>
  <c r="AK895" i="1"/>
  <c r="AL895" i="1"/>
  <c r="AJ306" i="1"/>
  <c r="AJ339" i="1"/>
  <c r="AK339" i="1" s="1"/>
  <c r="AJ159" i="1"/>
  <c r="AJ934" i="1"/>
  <c r="AK663" i="1"/>
  <c r="AL663" i="1"/>
  <c r="AJ1604" i="1"/>
  <c r="AJ1754" i="1"/>
  <c r="AJ1904" i="1"/>
  <c r="AJ1943" i="1"/>
  <c r="AK1601" i="1"/>
  <c r="AL1601" i="1"/>
  <c r="AJ263" i="1"/>
  <c r="AJ359" i="1"/>
  <c r="AJ726" i="1"/>
  <c r="AJ1417" i="1"/>
  <c r="AJ1422" i="1"/>
  <c r="AK15" i="1"/>
  <c r="AL15" i="1"/>
  <c r="AK1609" i="1"/>
  <c r="AL1609" i="1"/>
  <c r="AJ377" i="1"/>
  <c r="AJ386" i="1"/>
  <c r="AJ585" i="1"/>
  <c r="AJ832" i="1"/>
  <c r="AK1392" i="1"/>
  <c r="AL1392" i="1"/>
  <c r="AK308" i="1"/>
  <c r="AL308" i="1"/>
  <c r="AJ1378" i="1"/>
  <c r="AK1378" i="1" s="1"/>
  <c r="AJ1424" i="1"/>
  <c r="AK307" i="1"/>
  <c r="AL307" i="1"/>
  <c r="AK1605" i="1"/>
  <c r="AL1605" i="1"/>
  <c r="AJ979" i="1"/>
  <c r="AJ982" i="1"/>
  <c r="AK558" i="1"/>
  <c r="AL558" i="1"/>
  <c r="AK1647" i="1"/>
  <c r="AL1647" i="1"/>
  <c r="AK1070" i="1"/>
  <c r="AL1070" i="1"/>
  <c r="AJ369" i="1"/>
  <c r="AJ797" i="1"/>
  <c r="AK1480" i="1"/>
  <c r="AL1480" i="1"/>
  <c r="AJ1119" i="1"/>
  <c r="AJ1123" i="1"/>
  <c r="AK861" i="1"/>
  <c r="AL861" i="1"/>
  <c r="AK904" i="1"/>
  <c r="AL904" i="1"/>
  <c r="AJ1582" i="1"/>
  <c r="AJ1596" i="1"/>
  <c r="AJ1661" i="1"/>
  <c r="AJ1780" i="1"/>
  <c r="AJ1792" i="1"/>
  <c r="AJ1805" i="1"/>
  <c r="AJ95" i="1"/>
  <c r="AJ950" i="1"/>
  <c r="AJ1703" i="1"/>
  <c r="AJ22" i="1"/>
  <c r="AJ470" i="1"/>
  <c r="AJ1005" i="1"/>
  <c r="AK1063" i="1"/>
  <c r="AL1063" i="1"/>
  <c r="AJ173" i="1"/>
  <c r="AJ1313" i="1"/>
  <c r="AK172" i="1"/>
  <c r="AL172" i="1"/>
  <c r="AJ1628" i="1"/>
  <c r="AJ1906" i="1"/>
  <c r="AJ1968" i="1"/>
  <c r="AK1928" i="1"/>
  <c r="AL1928" i="1"/>
  <c r="AK1349" i="1"/>
  <c r="AL1349" i="1"/>
  <c r="AK381" i="1"/>
  <c r="AL381" i="1"/>
  <c r="AK197" i="1"/>
  <c r="AL197" i="1"/>
  <c r="AK192" i="1"/>
  <c r="AL192" i="1"/>
  <c r="AK1010" i="1"/>
  <c r="AL1010" i="1"/>
  <c r="AJ1003" i="1"/>
  <c r="AJ1014" i="1"/>
  <c r="AK1000" i="1"/>
  <c r="AL1000" i="1"/>
  <c r="AK996" i="1"/>
  <c r="AL996" i="1"/>
  <c r="AK916" i="1"/>
  <c r="AL916" i="1"/>
  <c r="AJ855" i="1"/>
  <c r="AJ856" i="1"/>
  <c r="O645" i="24"/>
  <c r="O856" i="1"/>
  <c r="P856" i="1" s="1"/>
  <c r="R856" i="1" s="1"/>
  <c r="S856" i="1" s="1"/>
  <c r="O855" i="1"/>
  <c r="P855" i="1" s="1"/>
  <c r="O660" i="24"/>
  <c r="O1010" i="1"/>
  <c r="P1010" i="1" s="1"/>
  <c r="AK626" i="1"/>
  <c r="AL626" i="1"/>
  <c r="AK628" i="1"/>
  <c r="AL628" i="1"/>
  <c r="AK697" i="1"/>
  <c r="AL697" i="1"/>
  <c r="AK500" i="1"/>
  <c r="AL500" i="1"/>
  <c r="AJ1804" i="1"/>
  <c r="AJ1844" i="1"/>
  <c r="AJ1910" i="1"/>
  <c r="AJ1957" i="1"/>
  <c r="AJ608" i="1"/>
  <c r="AJ699" i="1"/>
  <c r="AK497" i="1"/>
  <c r="AL497" i="1"/>
  <c r="AK994" i="1"/>
  <c r="AL994" i="1"/>
  <c r="AK1752" i="1"/>
  <c r="AL1752" i="1"/>
  <c r="AK1421" i="1"/>
  <c r="AL1421" i="1"/>
  <c r="AJ599" i="1"/>
  <c r="AJ613" i="1"/>
  <c r="AK594" i="1"/>
  <c r="AL594" i="1"/>
  <c r="AJ689" i="1"/>
  <c r="AJ992" i="1"/>
  <c r="AJ1717" i="1"/>
  <c r="AK106" i="1"/>
  <c r="AL106" i="1"/>
  <c r="AK807" i="1"/>
  <c r="AL807" i="1"/>
  <c r="AK682" i="1"/>
  <c r="AL682" i="1"/>
  <c r="AJ77" i="1"/>
  <c r="AJ568" i="1"/>
  <c r="AJ940" i="1"/>
  <c r="AJ1134" i="1"/>
  <c r="AJ1327" i="1"/>
  <c r="AK646" i="1"/>
  <c r="AL646" i="1"/>
  <c r="AK1150" i="1"/>
  <c r="AL1150" i="1"/>
  <c r="AK396" i="1"/>
  <c r="AL396" i="1"/>
  <c r="AJ102" i="1"/>
  <c r="AJ287" i="1"/>
  <c r="AJ538" i="1"/>
  <c r="AJ1236" i="1"/>
  <c r="AJ320" i="1"/>
  <c r="AJ383" i="1"/>
  <c r="AJ390" i="1"/>
  <c r="AJ936" i="1"/>
  <c r="AJ1576" i="1"/>
  <c r="AJ1778" i="1"/>
  <c r="AJ1898" i="1"/>
  <c r="AK898" i="1"/>
  <c r="AL898" i="1"/>
  <c r="AK555" i="1"/>
  <c r="AL555" i="1"/>
  <c r="AJ31" i="1"/>
  <c r="AJ752" i="1"/>
  <c r="AJ28" i="1"/>
  <c r="AJ1177" i="1"/>
  <c r="AK1176" i="1"/>
  <c r="AL1176" i="1"/>
  <c r="AK1233" i="1"/>
  <c r="AL1233" i="1"/>
  <c r="AJ34" i="1"/>
  <c r="AJ439" i="1"/>
  <c r="AJ636" i="1"/>
  <c r="AJ786" i="1"/>
  <c r="AJ939" i="1"/>
  <c r="AJ1058" i="1"/>
  <c r="AJ1220" i="1"/>
  <c r="AJ1346" i="1"/>
  <c r="AJ76" i="1"/>
  <c r="AJ785" i="1"/>
  <c r="AJ1339" i="1"/>
  <c r="AJ1345" i="1"/>
  <c r="AK1232" i="1"/>
  <c r="AL1232" i="1"/>
  <c r="AJ672" i="1"/>
  <c r="AJ1247" i="1"/>
  <c r="AJ368" i="1"/>
  <c r="AJ733" i="1"/>
  <c r="AJ277" i="1"/>
  <c r="AJ403" i="1"/>
  <c r="AJ443" i="1"/>
  <c r="AJ447" i="1"/>
  <c r="AJ454" i="1"/>
  <c r="AJ583" i="1"/>
  <c r="AJ603" i="1"/>
  <c r="AK1302" i="1"/>
  <c r="AL1302" i="1"/>
  <c r="AK736" i="1"/>
  <c r="AL736" i="1"/>
  <c r="AK1219" i="1"/>
  <c r="AL1219" i="1"/>
  <c r="AK901" i="1"/>
  <c r="AL901" i="1"/>
  <c r="AK53" i="1"/>
  <c r="AL53" i="1"/>
  <c r="AJ304" i="1"/>
  <c r="AJ437" i="1"/>
  <c r="AJ1348" i="1"/>
  <c r="AK977" i="1"/>
  <c r="AL977" i="1"/>
  <c r="AK688" i="1"/>
  <c r="AL688" i="1"/>
  <c r="AK540" i="1"/>
  <c r="AL540" i="1"/>
  <c r="AK1267" i="1"/>
  <c r="AL1267" i="1"/>
  <c r="AK658" i="1"/>
  <c r="AL658" i="1"/>
  <c r="AK1276" i="1"/>
  <c r="AL1276" i="1"/>
  <c r="AK627" i="1"/>
  <c r="AL627" i="1"/>
  <c r="AK698" i="1"/>
  <c r="AL698" i="1"/>
  <c r="AK1121" i="1"/>
  <c r="AL1121" i="1"/>
  <c r="AK695" i="1"/>
  <c r="AL695" i="1"/>
  <c r="AJ691" i="1"/>
  <c r="AJ696" i="1"/>
  <c r="AJ1155" i="1"/>
  <c r="AJ1315" i="1"/>
  <c r="AJ908" i="1"/>
  <c r="AJ1011" i="1"/>
  <c r="AJ1738" i="1"/>
  <c r="AJ1763" i="1"/>
  <c r="AK683" i="1"/>
  <c r="AL683" i="1"/>
  <c r="AK592" i="1"/>
  <c r="AL592" i="1"/>
  <c r="AJ690" i="1"/>
  <c r="AJ993" i="1"/>
  <c r="AJ1718" i="1"/>
  <c r="AJ1833" i="1"/>
  <c r="AJ1886" i="1"/>
  <c r="AJ208" i="1"/>
  <c r="AJ1193" i="1"/>
  <c r="AJ1238" i="1"/>
  <c r="AJ519" i="1"/>
  <c r="AJ669" i="1"/>
  <c r="AK548" i="1"/>
  <c r="AL548" i="1"/>
  <c r="AK457" i="1"/>
  <c r="AL457" i="1"/>
  <c r="AK1578" i="1"/>
  <c r="AL1578" i="1"/>
  <c r="AJ1068" i="1"/>
  <c r="AJ1407" i="1"/>
  <c r="AJ1020" i="1"/>
  <c r="AJ1224" i="1"/>
  <c r="AK1174" i="1"/>
  <c r="AL1174" i="1"/>
  <c r="AK847" i="1"/>
  <c r="AL847" i="1"/>
  <c r="AK1019" i="1"/>
  <c r="AL1019" i="1"/>
  <c r="AK446" i="1"/>
  <c r="AL446" i="1"/>
  <c r="AJ280" i="1"/>
  <c r="AJ284" i="1"/>
  <c r="AJ285" i="1"/>
  <c r="AJ325" i="1"/>
  <c r="AJ968" i="1"/>
  <c r="AK574" i="1"/>
  <c r="AL574" i="1"/>
  <c r="AK549" i="1"/>
  <c r="AL549" i="1"/>
  <c r="AK153" i="1"/>
  <c r="AL153" i="1"/>
  <c r="AK539" i="1"/>
  <c r="AL539" i="1"/>
  <c r="AK1460" i="1"/>
  <c r="AL1460" i="1"/>
  <c r="AJ553" i="1"/>
  <c r="AJ1816" i="1"/>
  <c r="AJ1881" i="1"/>
  <c r="AJ1960" i="1"/>
  <c r="AK1244" i="1"/>
  <c r="AL1244" i="1"/>
  <c r="AJ1561" i="1"/>
  <c r="AJ1841" i="1"/>
  <c r="AJ1851" i="1"/>
  <c r="AJ1864" i="1"/>
  <c r="AJ1876" i="1"/>
  <c r="AK718" i="1"/>
  <c r="AL718" i="1"/>
  <c r="AJ91" i="1"/>
  <c r="AJ162" i="1"/>
  <c r="AJ337" i="1"/>
  <c r="AK337" i="1" s="1"/>
  <c r="AJ661" i="1"/>
  <c r="AJ1140" i="1"/>
  <c r="AJ375" i="1"/>
  <c r="AJ1463" i="1"/>
  <c r="AK1463" i="1" s="1"/>
  <c r="AJ1298" i="1"/>
  <c r="AJ1301" i="1"/>
  <c r="AJ1311" i="1"/>
  <c r="AJ1459" i="1"/>
  <c r="AK1459" i="1" s="1"/>
  <c r="AJ1549" i="1"/>
  <c r="AJ1825" i="1"/>
  <c r="AJ1852" i="1"/>
  <c r="AJ1865" i="1"/>
  <c r="AJ1878" i="1"/>
  <c r="AJ1897" i="1"/>
  <c r="AK674" i="1"/>
  <c r="AL674" i="1"/>
  <c r="AJ1381" i="1"/>
  <c r="AJ1403" i="1"/>
  <c r="AJ1408" i="1"/>
  <c r="AJ264" i="1"/>
  <c r="AJ358" i="1"/>
  <c r="AJ888" i="1"/>
  <c r="AJ1108" i="1"/>
  <c r="AJ1676" i="1"/>
  <c r="AK490" i="1"/>
  <c r="AL490" i="1"/>
  <c r="AJ168" i="1"/>
  <c r="AJ183" i="1"/>
  <c r="AJ16" i="1"/>
  <c r="AJ166" i="1"/>
  <c r="AJ1470" i="1"/>
  <c r="AJ1489" i="1"/>
  <c r="AJ1498" i="1"/>
  <c r="AJ1514" i="1"/>
  <c r="AJ723" i="1"/>
  <c r="AJ724" i="1"/>
  <c r="AJ728" i="1"/>
  <c r="AJ1118" i="1"/>
  <c r="AJ1205" i="1"/>
  <c r="AJ575" i="1"/>
  <c r="AJ1412" i="1"/>
  <c r="AJ1400" i="1"/>
  <c r="AJ1413" i="1"/>
  <c r="AJ543" i="1"/>
  <c r="AJ611" i="1"/>
  <c r="AJ1080" i="1"/>
  <c r="AJ312" i="1"/>
  <c r="AL312" i="1" s="1"/>
  <c r="AJ591" i="1"/>
  <c r="AL591" i="1" s="1"/>
  <c r="AJ1075" i="1"/>
  <c r="AL1075" i="1" s="1"/>
  <c r="AK1505" i="1"/>
  <c r="AL1505" i="1"/>
  <c r="AK357" i="1"/>
  <c r="AL357" i="1"/>
  <c r="AK622" i="1"/>
  <c r="AL622" i="1"/>
  <c r="AK616" i="1"/>
  <c r="AL616" i="1"/>
  <c r="AK502" i="1"/>
  <c r="AL502" i="1"/>
  <c r="AK1773" i="1"/>
  <c r="AL1773" i="1"/>
  <c r="AJ317" i="1"/>
  <c r="AL317" i="1" s="1"/>
  <c r="AJ609" i="1"/>
  <c r="AJ995" i="1"/>
  <c r="AL995" i="1" s="1"/>
  <c r="AK1312" i="1"/>
  <c r="AL1312" i="1"/>
  <c r="AJ1753" i="1"/>
  <c r="AJ1895" i="1"/>
  <c r="AK1426" i="1"/>
  <c r="AL1426" i="1"/>
  <c r="AK598" i="1"/>
  <c r="AL598" i="1"/>
  <c r="AK937" i="1"/>
  <c r="AL937" i="1"/>
  <c r="AJ481" i="1"/>
  <c r="AJ1135" i="1"/>
  <c r="AK685" i="1"/>
  <c r="AL685" i="1"/>
  <c r="AK647" i="1"/>
  <c r="AL647" i="1"/>
  <c r="AJ1415" i="1"/>
  <c r="AJ1965" i="1"/>
  <c r="AK473" i="1"/>
  <c r="AL473" i="1"/>
  <c r="AK1655" i="1"/>
  <c r="AL1655" i="1"/>
  <c r="AK469" i="1"/>
  <c r="AL469" i="1"/>
  <c r="AK552" i="1"/>
  <c r="AL552" i="1"/>
  <c r="AK218" i="1"/>
  <c r="AL218" i="1"/>
  <c r="AK219" i="1"/>
  <c r="AL219" i="1"/>
  <c r="AJ402" i="1"/>
  <c r="AJ784" i="1"/>
  <c r="AJ1340" i="1"/>
  <c r="AJ1343" i="1"/>
  <c r="AK1248" i="1"/>
  <c r="AL1248" i="1"/>
  <c r="AK1230" i="1"/>
  <c r="AL1230" i="1"/>
  <c r="AJ400" i="1"/>
  <c r="AJ788" i="1"/>
  <c r="AJ444" i="1"/>
  <c r="AJ448" i="1"/>
  <c r="AJ587" i="1"/>
  <c r="AJ946" i="1"/>
  <c r="AJ1588" i="1"/>
  <c r="AJ1654" i="1"/>
  <c r="AJ1847" i="1"/>
  <c r="AJ1871" i="1"/>
  <c r="AJ1884" i="1"/>
  <c r="AJ1963" i="1"/>
  <c r="AJ33" i="1"/>
  <c r="AJ220" i="1"/>
  <c r="AJ222" i="1"/>
  <c r="AJ410" i="1"/>
  <c r="AJ471" i="1"/>
  <c r="AJ479" i="1"/>
  <c r="AJ480" i="1"/>
  <c r="AJ823" i="1"/>
  <c r="AJ828" i="1"/>
  <c r="AJ1191" i="1"/>
  <c r="AJ1277" i="1"/>
  <c r="AJ1366" i="1"/>
  <c r="AL1366" i="1" s="1"/>
  <c r="AJ445" i="1"/>
  <c r="AJ1260" i="1"/>
  <c r="AK1533" i="1"/>
  <c r="AL1533" i="1"/>
  <c r="AJ561" i="1"/>
  <c r="AJ1008" i="1"/>
  <c r="AJ1015" i="1"/>
  <c r="AK679" i="1"/>
  <c r="AL679" i="1"/>
  <c r="AK967" i="1"/>
  <c r="AL967" i="1"/>
  <c r="AK971" i="1"/>
  <c r="AL971" i="1"/>
  <c r="AK1388" i="1"/>
  <c r="AL1388" i="1"/>
  <c r="AK352" i="1"/>
  <c r="AL352" i="1"/>
  <c r="AK1389" i="1"/>
  <c r="AL1389" i="1"/>
  <c r="AJ1586" i="1"/>
  <c r="AJ1644" i="1"/>
  <c r="AJ108" i="1"/>
  <c r="AJ1556" i="1"/>
  <c r="AJ1573" i="1"/>
  <c r="AJ1584" i="1"/>
  <c r="AJ1749" i="1"/>
  <c r="AJ1813" i="1"/>
  <c r="AJ1836" i="1"/>
  <c r="AJ1850" i="1"/>
  <c r="AJ1875" i="1"/>
  <c r="AJ1892" i="1"/>
  <c r="AJ89" i="1"/>
  <c r="AJ570" i="1"/>
  <c r="AK154" i="1"/>
  <c r="AL154" i="1"/>
  <c r="AJ256" i="1"/>
  <c r="AJ715" i="1"/>
  <c r="AJ717" i="1"/>
  <c r="AK716" i="1"/>
  <c r="AL716" i="1"/>
  <c r="AJ85" i="1"/>
  <c r="AJ321" i="1"/>
  <c r="AJ873" i="1"/>
  <c r="AJ1464" i="1"/>
  <c r="AK1464" i="1" s="1"/>
  <c r="AJ1524" i="1"/>
  <c r="AJ1787" i="1"/>
  <c r="AK1253" i="1"/>
  <c r="AL1253" i="1"/>
  <c r="AJ265" i="1"/>
  <c r="AJ1377" i="1"/>
  <c r="AK1377" i="1" s="1"/>
  <c r="AJ301" i="1"/>
  <c r="AJ655" i="1"/>
  <c r="AJ871" i="1"/>
  <c r="AJ877" i="1"/>
  <c r="AJ881" i="1"/>
  <c r="AJ974" i="1"/>
  <c r="AJ1456" i="1"/>
  <c r="AK1456" i="1" s="1"/>
  <c r="AJ1889" i="1"/>
  <c r="AJ1537" i="1"/>
  <c r="AJ1774" i="1"/>
  <c r="AK302" i="1"/>
  <c r="AL302" i="1"/>
  <c r="AK1936" i="1"/>
  <c r="AL1936" i="1"/>
  <c r="AK620" i="1"/>
  <c r="AL620" i="1"/>
  <c r="AK615" i="1"/>
  <c r="AL615" i="1"/>
  <c r="AJ1127" i="1"/>
  <c r="AJ1216" i="1"/>
  <c r="AJ1608" i="1"/>
  <c r="AJ1838" i="1"/>
  <c r="AJ1905" i="1"/>
  <c r="AJ1909" i="1"/>
  <c r="AJ1951" i="1"/>
  <c r="AK809" i="1"/>
  <c r="AL809" i="1"/>
  <c r="AK607" i="1"/>
  <c r="AL607" i="1"/>
  <c r="AK1309" i="1"/>
  <c r="AL1309" i="1"/>
  <c r="AK872" i="1"/>
  <c r="AL872" i="1"/>
  <c r="AJ1737" i="1"/>
  <c r="AJ1762" i="1"/>
  <c r="AJ1803" i="1"/>
  <c r="AK1428" i="1"/>
  <c r="AL1428" i="1"/>
  <c r="AK653" i="1"/>
  <c r="AL653" i="1"/>
  <c r="AJ327" i="1"/>
  <c r="AJ597" i="1"/>
  <c r="AJ1722" i="1"/>
  <c r="AJ1823" i="1"/>
  <c r="AJ1947" i="1"/>
  <c r="AK948" i="1"/>
  <c r="AL948" i="1"/>
  <c r="AK1210" i="1"/>
  <c r="AL1210" i="1"/>
  <c r="AK269" i="1"/>
  <c r="AL269" i="1"/>
  <c r="AK563" i="1"/>
  <c r="AL563" i="1"/>
  <c r="AK687" i="1"/>
  <c r="AL687" i="1"/>
  <c r="AJ1416" i="1"/>
  <c r="AJ1913" i="1"/>
  <c r="AK456" i="1"/>
  <c r="AL456" i="1"/>
  <c r="AK472" i="1"/>
  <c r="AL472" i="1"/>
  <c r="AJ94" i="1"/>
  <c r="AJ884" i="1"/>
  <c r="AJ900" i="1"/>
  <c r="AJ998" i="1"/>
  <c r="AJ1545" i="1"/>
  <c r="AJ1720" i="1"/>
  <c r="AJ1946" i="1"/>
  <c r="AJ261" i="1"/>
  <c r="AJ468" i="1"/>
  <c r="AK1265" i="1"/>
  <c r="AL1265" i="1"/>
  <c r="AK281" i="1"/>
  <c r="AL281" i="1"/>
  <c r="AJ731" i="1"/>
  <c r="AJ1022" i="1"/>
  <c r="AJ30" i="1"/>
  <c r="AJ677" i="1"/>
  <c r="AK1223" i="1"/>
  <c r="AL1223" i="1"/>
  <c r="AK1059" i="1"/>
  <c r="AL1059" i="1"/>
  <c r="AK1228" i="1"/>
  <c r="AL1228" i="1"/>
  <c r="AK1229" i="1"/>
  <c r="AL1229" i="1"/>
  <c r="AJ739" i="1"/>
  <c r="AL739" i="1" s="1"/>
  <c r="AJ783" i="1"/>
  <c r="AJ1226" i="1"/>
  <c r="AJ39" i="1"/>
  <c r="AJ45" i="1"/>
  <c r="AJ466" i="1"/>
  <c r="AJ789" i="1"/>
  <c r="AJ1370" i="1"/>
  <c r="AK741" i="1"/>
  <c r="AL741" i="1"/>
  <c r="AJ451" i="1"/>
  <c r="AJ958" i="1"/>
  <c r="AK1175" i="1"/>
  <c r="AL1175" i="1"/>
  <c r="AK1612" i="1"/>
  <c r="AL1612" i="1"/>
  <c r="AJ379" i="1"/>
  <c r="AJ1060" i="1"/>
  <c r="AK56" i="1"/>
  <c r="AL56" i="1"/>
  <c r="AK662" i="1"/>
  <c r="AL662" i="1"/>
  <c r="AK54" i="1"/>
  <c r="AL54" i="1"/>
  <c r="AK678" i="1"/>
  <c r="AL678" i="1"/>
  <c r="AK659" i="1"/>
  <c r="AL659" i="1"/>
  <c r="AJ348" i="1"/>
  <c r="AK348" i="1" s="1"/>
  <c r="AJ366" i="1"/>
  <c r="AJ836" i="1"/>
  <c r="AJ837" i="1"/>
  <c r="AJ857" i="1"/>
  <c r="AJ875" i="1"/>
  <c r="AJ903" i="1"/>
  <c r="AJ914" i="1"/>
  <c r="AJ980" i="1"/>
  <c r="AJ1149" i="1"/>
  <c r="AK567" i="1"/>
  <c r="AL567" i="1"/>
  <c r="AK1115" i="1"/>
  <c r="AL1115" i="1"/>
  <c r="AJ88" i="1"/>
  <c r="AJ97" i="1"/>
  <c r="AJ128" i="1"/>
  <c r="AJ361" i="1"/>
  <c r="AJ365" i="1"/>
  <c r="AJ773" i="1"/>
  <c r="AJ830" i="1"/>
  <c r="AJ1192" i="1"/>
  <c r="AJ1206" i="1"/>
  <c r="AJ1266" i="1"/>
  <c r="AJ212" i="1"/>
  <c r="AJ566" i="1"/>
  <c r="AJ590" i="1"/>
  <c r="AJ619" i="1"/>
  <c r="AJ1689" i="1"/>
  <c r="AJ1761" i="1"/>
  <c r="AJ1888" i="1"/>
  <c r="AJ1964" i="1"/>
  <c r="AK498" i="1"/>
  <c r="AL498" i="1"/>
  <c r="AJ1674" i="1"/>
  <c r="AJ1682" i="1"/>
  <c r="AJ1693" i="1"/>
  <c r="AJ1705" i="1"/>
  <c r="AJ1719" i="1"/>
  <c r="AJ1728" i="1"/>
  <c r="AJ1746" i="1"/>
  <c r="AJ1769" i="1"/>
  <c r="AJ1857" i="1"/>
  <c r="AJ449" i="1"/>
  <c r="AJ588" i="1"/>
  <c r="AJ1587" i="1"/>
  <c r="AJ1653" i="1"/>
  <c r="AJ1726" i="1"/>
  <c r="AJ1846" i="1"/>
  <c r="AJ1870" i="1"/>
  <c r="AJ1883" i="1"/>
  <c r="AJ1962" i="1"/>
  <c r="AJ1558" i="1"/>
  <c r="AJ1669" i="1"/>
  <c r="AJ1724" i="1"/>
  <c r="AJ1741" i="1"/>
  <c r="AJ1766" i="1"/>
  <c r="AJ1789" i="1"/>
  <c r="O999" i="1"/>
  <c r="P999" i="1" s="1"/>
  <c r="O1012" i="1"/>
  <c r="P1012" i="1" s="1"/>
  <c r="O1252" i="1"/>
  <c r="P1252" i="1" s="1"/>
  <c r="R1252" i="1" s="1"/>
  <c r="S1252" i="1" s="1"/>
  <c r="O853" i="1"/>
  <c r="P853" i="1" s="1"/>
  <c r="R853" i="1" s="1"/>
  <c r="S853" i="1" s="1"/>
  <c r="AJ1563" i="1"/>
  <c r="AJ1954" i="1"/>
  <c r="AJ1555" i="1"/>
  <c r="AJ1572" i="1"/>
  <c r="AJ1667" i="1"/>
  <c r="AJ1748" i="1"/>
  <c r="AJ92" i="1"/>
  <c r="AJ93" i="1"/>
  <c r="AJ657" i="1"/>
  <c r="AJ333" i="1"/>
  <c r="AK333" i="1" s="1"/>
  <c r="AJ829" i="1"/>
  <c r="AJ917" i="1"/>
  <c r="AJ941" i="1"/>
  <c r="AK55" i="1"/>
  <c r="AL55" i="1"/>
  <c r="AJ951" i="1"/>
  <c r="AJ1204" i="1"/>
  <c r="AJ72" i="1"/>
  <c r="AJ98" i="1"/>
  <c r="AJ125" i="1"/>
  <c r="AJ157" i="1"/>
  <c r="AJ344" i="1"/>
  <c r="AK344" i="1" s="1"/>
  <c r="AJ415" i="1"/>
  <c r="AJ827" i="1"/>
  <c r="AJ890" i="1"/>
  <c r="AJ935" i="1"/>
  <c r="AJ965" i="1"/>
  <c r="AJ1034" i="1"/>
  <c r="AJ1055" i="1"/>
  <c r="AJ1114" i="1"/>
  <c r="AJ1138" i="1"/>
  <c r="AJ1168" i="1"/>
  <c r="AJ1241" i="1"/>
  <c r="AJ1296" i="1"/>
  <c r="AJ1383" i="1"/>
  <c r="AJ1468" i="1"/>
  <c r="AK1468" i="1" s="1"/>
  <c r="AJ1484" i="1"/>
  <c r="AK1484" i="1" s="1"/>
  <c r="AJ1795" i="1"/>
  <c r="AJ71" i="1"/>
  <c r="AJ161" i="1"/>
  <c r="AJ300" i="1"/>
  <c r="AJ1050" i="1"/>
  <c r="AJ1051" i="1"/>
  <c r="AJ1077" i="1"/>
  <c r="AJ1944" i="1"/>
  <c r="AJ1509" i="1"/>
  <c r="AJ1539" i="1"/>
  <c r="AK1376" i="1"/>
  <c r="AL1376" i="1"/>
  <c r="AJ720" i="1"/>
  <c r="AJ975" i="1"/>
  <c r="AJ1690" i="1"/>
  <c r="AJ334" i="1"/>
  <c r="AK334" i="1" s="1"/>
  <c r="AJ1113" i="1"/>
  <c r="AJ1380" i="1"/>
  <c r="AJ1475" i="1"/>
  <c r="AJ1507" i="1"/>
  <c r="AK239" i="1"/>
  <c r="AL239" i="1"/>
  <c r="AJ1457" i="1"/>
  <c r="AK1457" i="1" s="1"/>
  <c r="AJ1469" i="1"/>
  <c r="AJ1548" i="1"/>
  <c r="AJ117" i="1"/>
  <c r="AJ886" i="1"/>
  <c r="AJ1268" i="1"/>
  <c r="AK1242" i="1"/>
  <c r="AL1242" i="1"/>
  <c r="AK684" i="1"/>
  <c r="AL684" i="1"/>
  <c r="AJ572" i="1"/>
  <c r="AJ573" i="1"/>
  <c r="AJ640" i="1"/>
  <c r="AJ641" i="1"/>
  <c r="AJ318" i="1"/>
  <c r="AJ491" i="1"/>
  <c r="AJ492" i="1"/>
  <c r="AJ496" i="1"/>
  <c r="AJ642" i="1"/>
  <c r="AJ643" i="1"/>
  <c r="AJ644" i="1"/>
  <c r="AJ804" i="1"/>
  <c r="AJ981" i="1"/>
  <c r="AJ984" i="1"/>
  <c r="AJ385" i="1"/>
  <c r="AJ1525" i="1"/>
  <c r="AJ1663" i="1"/>
  <c r="AJ1829" i="1"/>
  <c r="AJ557" i="1"/>
  <c r="AJ623" i="1"/>
  <c r="AK638" i="1"/>
  <c r="AL638" i="1"/>
  <c r="AK1646" i="1"/>
  <c r="AL1646" i="1"/>
  <c r="AJ1595" i="1"/>
  <c r="AJ1701" i="1"/>
  <c r="AJ1794" i="1"/>
  <c r="AJ9" i="1"/>
  <c r="AJ27" i="1"/>
  <c r="AJ376" i="1"/>
  <c r="AJ1209" i="1"/>
  <c r="AJ1622" i="1"/>
  <c r="AJ835" i="1"/>
  <c r="AJ1481" i="1"/>
  <c r="AJ111" i="1"/>
  <c r="AJ1579" i="1"/>
  <c r="AJ1729" i="1"/>
  <c r="AJ1755" i="1"/>
  <c r="AJ1826" i="1"/>
  <c r="AJ1842" i="1"/>
  <c r="AJ1532" i="1"/>
  <c r="AJ1565" i="1"/>
  <c r="AJ1592" i="1"/>
  <c r="AJ1731" i="1"/>
  <c r="AJ1793" i="1"/>
  <c r="AJ1806" i="1"/>
  <c r="AJ1817" i="1"/>
  <c r="AJ1827" i="1"/>
  <c r="AJ1854" i="1"/>
  <c r="AJ1869" i="1"/>
  <c r="AJ1880" i="1"/>
  <c r="AK1143" i="1"/>
  <c r="AL1143" i="1"/>
  <c r="AK1599" i="1"/>
  <c r="AL1599" i="1"/>
  <c r="AK1303" i="1"/>
  <c r="AL1303" i="1"/>
  <c r="AJ1616" i="1"/>
  <c r="AJ1617" i="1"/>
  <c r="AJ1648" i="1"/>
  <c r="AK1107" i="1"/>
  <c r="AL1107" i="1"/>
  <c r="AJ1396" i="1"/>
  <c r="AJ1425" i="1"/>
  <c r="AJ113" i="1"/>
  <c r="AJ799" i="1"/>
  <c r="AJ1559" i="1"/>
  <c r="AJ1574" i="1"/>
  <c r="AJ1677" i="1"/>
  <c r="AJ1707" i="1"/>
  <c r="AJ1727" i="1"/>
  <c r="AJ1776" i="1"/>
  <c r="AJ1822" i="1"/>
  <c r="AJ310" i="1"/>
  <c r="AJ983" i="1"/>
  <c r="AK863" i="1"/>
  <c r="AL863" i="1"/>
  <c r="AJ1668" i="1"/>
  <c r="AJ1743" i="1"/>
  <c r="AJ1859" i="1"/>
  <c r="AJ101" i="1"/>
  <c r="AJ1938" i="1"/>
  <c r="AK164" i="1"/>
  <c r="AL164" i="1"/>
  <c r="AJ387" i="1"/>
  <c r="AJ964" i="1"/>
  <c r="AJ1169" i="1"/>
  <c r="AJ1482" i="1"/>
  <c r="AJ1629" i="1"/>
  <c r="AK1931" i="1"/>
  <c r="AL1931" i="1"/>
  <c r="AK374" i="1"/>
  <c r="AL374" i="1"/>
  <c r="AJ853" i="1"/>
  <c r="AJ1252" i="1"/>
  <c r="O1003" i="1"/>
  <c r="P1003" i="1" s="1"/>
  <c r="O1014" i="1"/>
  <c r="P1014" i="1" s="1"/>
  <c r="AK1069" i="1"/>
  <c r="AL1069" i="1"/>
  <c r="AJ580" i="1"/>
  <c r="AJ910" i="1"/>
  <c r="AK649" i="1"/>
  <c r="AL649" i="1"/>
  <c r="AK1111" i="1"/>
  <c r="AL1111" i="1"/>
  <c r="AK417" i="1"/>
  <c r="AL417" i="1"/>
  <c r="AJ1112" i="1"/>
  <c r="AJ1903" i="1"/>
  <c r="AJ68" i="1"/>
  <c r="AJ70" i="1"/>
  <c r="AK576" i="1"/>
  <c r="AL576" i="1"/>
  <c r="AJ351" i="1"/>
  <c r="AK351" i="1" s="1"/>
  <c r="AJ559" i="1"/>
  <c r="AJ1486" i="1"/>
  <c r="AK1486" i="1" s="1"/>
  <c r="AJ1570" i="1"/>
  <c r="AJ652" i="1"/>
  <c r="AJ976" i="1"/>
  <c r="AK556" i="1"/>
  <c r="AL556" i="1"/>
  <c r="AK1258" i="1"/>
  <c r="AL1258" i="1"/>
  <c r="AJ1491" i="1"/>
  <c r="AJ1639" i="1"/>
  <c r="AJ1662" i="1"/>
  <c r="AJ1490" i="1"/>
  <c r="AJ1499" i="1"/>
  <c r="AJ1516" i="1"/>
  <c r="AJ1522" i="1"/>
  <c r="AJ1775" i="1"/>
  <c r="AK1615" i="1"/>
  <c r="AL1615" i="1"/>
  <c r="AJ869" i="1"/>
  <c r="AJ1203" i="1"/>
  <c r="AK1147" i="1"/>
  <c r="AL1147" i="1"/>
  <c r="AK257" i="1"/>
  <c r="AL257" i="1"/>
  <c r="AK1065" i="1"/>
  <c r="AL1065" i="1"/>
  <c r="AJ1117" i="1"/>
  <c r="AJ1120" i="1"/>
  <c r="AK1473" i="1"/>
  <c r="AL1473" i="1"/>
  <c r="AJ571" i="1"/>
  <c r="AJ606" i="1"/>
  <c r="AJ945" i="1"/>
  <c r="AK670" i="1"/>
  <c r="AL670" i="1"/>
  <c r="AK1273" i="1"/>
  <c r="AL1273" i="1"/>
  <c r="AK894" i="1"/>
  <c r="AL894" i="1"/>
  <c r="AK1395" i="1"/>
  <c r="AL1395" i="1"/>
  <c r="AK578" i="1"/>
  <c r="AL578" i="1"/>
  <c r="AK1110" i="1"/>
  <c r="AL1110" i="1"/>
  <c r="AJ79" i="1"/>
  <c r="AJ380" i="1"/>
  <c r="AJ1240" i="1"/>
  <c r="AK1603" i="1"/>
  <c r="AL1603" i="1"/>
  <c r="AJ17" i="1"/>
  <c r="AJ174" i="1"/>
  <c r="AK1255" i="1"/>
  <c r="AL1255" i="1"/>
  <c r="AK932" i="1"/>
  <c r="AL932" i="1"/>
  <c r="AJ335" i="1"/>
  <c r="AK335" i="1" s="1"/>
  <c r="AJ370" i="1"/>
  <c r="AK798" i="1"/>
  <c r="AL798" i="1"/>
  <c r="AK546" i="1"/>
  <c r="AL546" i="1"/>
  <c r="AJ1517" i="1"/>
  <c r="AJ1527" i="1"/>
  <c r="AJ1529" i="1"/>
  <c r="AJ1536" i="1"/>
  <c r="AJ1541" i="1"/>
  <c r="AJ1543" i="1"/>
  <c r="AJ1554" i="1"/>
  <c r="AJ1571" i="1"/>
  <c r="AJ1583" i="1"/>
  <c r="AJ1650" i="1"/>
  <c r="AJ1672" i="1"/>
  <c r="AJ1681" i="1"/>
  <c r="AJ1691" i="1"/>
  <c r="AJ1704" i="1"/>
  <c r="AJ1713" i="1"/>
  <c r="AJ1751" i="1"/>
  <c r="AJ1772" i="1"/>
  <c r="AJ1819" i="1"/>
  <c r="AJ1834" i="1"/>
  <c r="AJ1848" i="1"/>
  <c r="AJ1858" i="1"/>
  <c r="AJ1873" i="1"/>
  <c r="AJ1890" i="1"/>
  <c r="AK1052" i="1"/>
  <c r="AL1052" i="1"/>
  <c r="AJ1564" i="1"/>
  <c r="AJ1590" i="1"/>
  <c r="AJ1828" i="1"/>
  <c r="AJ1934" i="1"/>
  <c r="AJ1759" i="1"/>
  <c r="AJ1597" i="1"/>
  <c r="AJ1872" i="1"/>
  <c r="AJ1885" i="1"/>
  <c r="AJ876" i="1"/>
  <c r="AJ1497" i="1"/>
  <c r="AJ1502" i="1"/>
  <c r="AJ1631" i="1"/>
  <c r="AJ1711" i="1"/>
  <c r="AJ1782" i="1"/>
  <c r="AJ1810" i="1"/>
  <c r="AJ1818" i="1"/>
  <c r="AJ1830" i="1"/>
  <c r="AJ1899" i="1"/>
  <c r="AJ1920" i="1"/>
  <c r="AK1062" i="1"/>
  <c r="AL1062" i="1"/>
  <c r="AK1927" i="1"/>
  <c r="AL1927" i="1"/>
  <c r="AK196" i="1"/>
  <c r="AL196" i="1"/>
  <c r="AK1006" i="1"/>
  <c r="AL1006" i="1"/>
  <c r="AK1002" i="1"/>
  <c r="AL1002" i="1"/>
  <c r="AJ999" i="1"/>
  <c r="AJ1012" i="1"/>
  <c r="AK955" i="1"/>
  <c r="AL955" i="1"/>
  <c r="AK860" i="1"/>
  <c r="AL860" i="1"/>
  <c r="AK1966" i="1"/>
  <c r="AL1966" i="1"/>
  <c r="O648" i="24"/>
  <c r="O916" i="1"/>
  <c r="AJ1863" i="1"/>
  <c r="AJ1950" i="1"/>
  <c r="AJ624" i="1"/>
  <c r="AJ777" i="1"/>
  <c r="AJ1959" i="1"/>
  <c r="AK625" i="1"/>
  <c r="AL625" i="1"/>
  <c r="AK618" i="1"/>
  <c r="AL618" i="1"/>
  <c r="AJ191" i="1"/>
  <c r="AJ614" i="1"/>
  <c r="AK612" i="1"/>
  <c r="AL612" i="1"/>
  <c r="AK748" i="1"/>
  <c r="AL748" i="1"/>
  <c r="AJ428" i="1"/>
  <c r="AJ429" i="1"/>
  <c r="AK1122" i="1"/>
  <c r="AL1122" i="1"/>
  <c r="AK1765" i="1"/>
  <c r="AL1765" i="1"/>
  <c r="AJ1879" i="1"/>
  <c r="AJ1894" i="1"/>
  <c r="AJ1922" i="1"/>
  <c r="AJ1945" i="1"/>
  <c r="AJ1953" i="1"/>
  <c r="AK693" i="1"/>
  <c r="AL693" i="1"/>
  <c r="AK808" i="1"/>
  <c r="AL808" i="1"/>
  <c r="AK692" i="1"/>
  <c r="AL692" i="1"/>
  <c r="AK604" i="1"/>
  <c r="AL604" i="1"/>
  <c r="AK186" i="1"/>
  <c r="AL186" i="1"/>
  <c r="AJ211" i="1"/>
  <c r="AJ909" i="1"/>
  <c r="AJ103" i="1"/>
  <c r="AJ114" i="1"/>
  <c r="AJ1739" i="1"/>
  <c r="AJ1764" i="1"/>
  <c r="AJ1815" i="1"/>
  <c r="AJ1821" i="1"/>
  <c r="AJ1840" i="1"/>
  <c r="AK1316" i="1"/>
  <c r="AL1316" i="1"/>
  <c r="AK1427" i="1"/>
  <c r="AL1427" i="1"/>
  <c r="AK1420" i="1"/>
  <c r="AL1420" i="1"/>
  <c r="AK633" i="1"/>
  <c r="AL633" i="1"/>
  <c r="AK596" i="1"/>
  <c r="AL596" i="1"/>
  <c r="AJ593" i="1"/>
  <c r="AJ1933" i="1"/>
  <c r="AJ1723" i="1"/>
  <c r="AJ1824" i="1"/>
  <c r="AK1418" i="1"/>
  <c r="AL1418" i="1"/>
  <c r="AK943" i="1"/>
  <c r="AL943" i="1"/>
  <c r="AK105" i="1"/>
  <c r="AL105" i="1"/>
  <c r="AK1208" i="1"/>
  <c r="AL1208" i="1"/>
  <c r="AJ501" i="1"/>
  <c r="AJ503" i="1"/>
  <c r="AK1078" i="1"/>
  <c r="AL1078" i="1"/>
  <c r="AJ527" i="1"/>
  <c r="AJ1102" i="1"/>
  <c r="AJ1104" i="1"/>
  <c r="AL1104" i="1" s="1"/>
  <c r="AK675" i="1"/>
  <c r="AL675" i="1"/>
  <c r="AK681" i="1"/>
  <c r="AL681" i="1"/>
  <c r="AK129" i="1"/>
  <c r="AL129" i="1"/>
  <c r="AK648" i="1"/>
  <c r="AL648" i="1"/>
  <c r="AJ115" i="1"/>
  <c r="AJ324" i="1"/>
  <c r="AJ1411" i="1"/>
  <c r="AK458" i="1"/>
  <c r="AL458" i="1"/>
  <c r="AK477" i="1"/>
  <c r="AL477" i="1"/>
  <c r="AJ393" i="1"/>
  <c r="AJ395" i="1"/>
  <c r="AK475" i="1"/>
  <c r="AL475" i="1"/>
  <c r="AK40" i="1"/>
  <c r="AL40" i="1"/>
  <c r="AJ727" i="1"/>
  <c r="AJ1593" i="1"/>
  <c r="AJ1679" i="1"/>
  <c r="AJ1686" i="1"/>
  <c r="AJ1697" i="1"/>
  <c r="AJ1710" i="1"/>
  <c r="AJ1868" i="1"/>
  <c r="AJ1955" i="1"/>
  <c r="AJ1550" i="1"/>
  <c r="AJ1580" i="1"/>
  <c r="AJ1882" i="1"/>
  <c r="AJ450" i="1"/>
  <c r="AJ467" i="1"/>
  <c r="AK1409" i="1"/>
  <c r="AL1409" i="1"/>
  <c r="AK1292" i="1"/>
  <c r="AL1292" i="1"/>
  <c r="AJ560" i="1"/>
  <c r="AJ605" i="1"/>
  <c r="AJ32" i="1"/>
  <c r="AJ60" i="1"/>
  <c r="AJ1018" i="1"/>
  <c r="AK676" i="1"/>
  <c r="AL676" i="1"/>
  <c r="AK35" i="1"/>
  <c r="AL35" i="1"/>
  <c r="AJ29" i="1"/>
  <c r="AJ753" i="1"/>
  <c r="AK751" i="1"/>
  <c r="AL751" i="1"/>
  <c r="AK1222" i="1"/>
  <c r="AL1222" i="1"/>
  <c r="AJ459" i="1"/>
  <c r="AJ476" i="1"/>
  <c r="AJ1181" i="1"/>
  <c r="AJ1185" i="1"/>
  <c r="AJ1186" i="1"/>
  <c r="AJ1194" i="1"/>
  <c r="AJ1336" i="1"/>
  <c r="AJ1347" i="1"/>
  <c r="AK462" i="1"/>
  <c r="AL462" i="1"/>
  <c r="AJ436" i="1"/>
  <c r="AJ1338" i="1"/>
  <c r="AJ1344" i="1"/>
  <c r="AK401" i="1"/>
  <c r="AL401" i="1"/>
  <c r="AJ435" i="1"/>
  <c r="AJ1337" i="1"/>
  <c r="AJ1342" i="1"/>
  <c r="AK735" i="1"/>
  <c r="AL735" i="1"/>
  <c r="AK3" i="1"/>
  <c r="AL3" i="1"/>
  <c r="AK1231" i="1"/>
  <c r="AL1231" i="1"/>
  <c r="AK734" i="1"/>
  <c r="AL734" i="1"/>
  <c r="AJ217" i="1"/>
  <c r="AJ440" i="1"/>
  <c r="AJ452" i="1"/>
  <c r="AJ453" i="1"/>
  <c r="AJ746" i="1"/>
  <c r="AJ747" i="1"/>
  <c r="AJ1154" i="1"/>
  <c r="AJ1250" i="1"/>
  <c r="AJ1251" i="1"/>
  <c r="AJ1271" i="1"/>
  <c r="AK743" i="1"/>
  <c r="AL743" i="1"/>
  <c r="AJ36" i="1"/>
  <c r="AJ38" i="1"/>
  <c r="AJ44" i="1"/>
  <c r="AJ52" i="1"/>
  <c r="AJ404" i="1"/>
  <c r="AJ405" i="1"/>
  <c r="AJ406" i="1"/>
  <c r="AJ407" i="1"/>
  <c r="AJ408" i="1"/>
  <c r="AJ409" i="1"/>
  <c r="AJ442" i="1"/>
  <c r="AJ455" i="1"/>
  <c r="AJ461" i="1"/>
  <c r="AJ754" i="1"/>
  <c r="AJ758" i="1"/>
  <c r="AJ787" i="1"/>
  <c r="AJ1021" i="1"/>
  <c r="AJ1179" i="1"/>
  <c r="AJ1257" i="1"/>
  <c r="AJ1269" i="1"/>
  <c r="AK465" i="1"/>
  <c r="AL465" i="1"/>
  <c r="AK586" i="1"/>
  <c r="AL586" i="1"/>
  <c r="AJ394" i="1"/>
  <c r="AJ742" i="1"/>
  <c r="AJ744" i="1"/>
  <c r="AJ347" i="1"/>
  <c r="AK347" i="1" s="1"/>
  <c r="AJ1633" i="1"/>
  <c r="AJ12" i="1"/>
  <c r="AJ356" i="1"/>
  <c r="AJ831" i="1"/>
  <c r="AJ1183" i="1"/>
  <c r="AJ1809" i="1"/>
  <c r="AJ1924" i="1"/>
  <c r="AK1614" i="1"/>
  <c r="AL1614" i="1"/>
  <c r="AK545" i="1"/>
  <c r="AL545" i="1"/>
  <c r="AJ74" i="1"/>
  <c r="AJ81" i="1"/>
  <c r="AJ109" i="1"/>
  <c r="AJ149" i="1"/>
  <c r="AJ206" i="1"/>
  <c r="AJ207" i="1"/>
  <c r="AJ326" i="1"/>
  <c r="AJ378" i="1"/>
  <c r="AJ631" i="1"/>
  <c r="AJ852" i="1"/>
  <c r="AJ858" i="1"/>
  <c r="AJ947" i="1"/>
  <c r="AJ963" i="1"/>
  <c r="AJ1092" i="1"/>
  <c r="AJ1133" i="1"/>
  <c r="AJ1152" i="1"/>
  <c r="AJ1239" i="1"/>
  <c r="AJ1328" i="1"/>
  <c r="AJ1712" i="1"/>
  <c r="AJ1716" i="1"/>
  <c r="AK750" i="1"/>
  <c r="AL750" i="1"/>
  <c r="AJ912" i="1"/>
  <c r="AJ1485" i="1"/>
  <c r="AK1485" i="1" s="1"/>
  <c r="AJ1569" i="1"/>
  <c r="AJ1625" i="1"/>
  <c r="AJ1698" i="1"/>
  <c r="AK418" i="1"/>
  <c r="AL418" i="1"/>
  <c r="AK973" i="1"/>
  <c r="AL973" i="1"/>
  <c r="AJ834" i="1"/>
  <c r="AJ1057" i="1"/>
  <c r="AK666" i="1"/>
  <c r="AL666" i="1"/>
  <c r="AK1035" i="1"/>
  <c r="AL1035" i="1"/>
  <c r="AJ73" i="1"/>
  <c r="AJ382" i="1"/>
  <c r="AJ671" i="1"/>
  <c r="AJ645" i="1"/>
  <c r="AJ833" i="1"/>
  <c r="AJ930" i="1"/>
  <c r="AJ1007" i="1"/>
  <c r="AJ714" i="1"/>
  <c r="AJ722" i="1"/>
  <c r="AK537" i="1"/>
  <c r="AL537" i="1"/>
  <c r="AK639" i="1"/>
  <c r="AL639" i="1"/>
  <c r="AK1390" i="1"/>
  <c r="AL1390" i="1"/>
  <c r="AK887" i="1"/>
  <c r="AL887" i="1"/>
  <c r="AK686" i="1"/>
  <c r="AL686" i="1"/>
  <c r="AK494" i="1"/>
  <c r="AL494" i="1"/>
  <c r="AK610" i="1"/>
  <c r="AL610" i="1"/>
  <c r="AJ107" i="1"/>
  <c r="AJ322" i="1"/>
  <c r="AJ654" i="1"/>
  <c r="AJ1853" i="1"/>
  <c r="AK179" i="1"/>
  <c r="AL179" i="1"/>
  <c r="AJ1272" i="1"/>
  <c r="AJ1275" i="1"/>
  <c r="AJ1912" i="1"/>
  <c r="AK1656" i="1"/>
  <c r="AL1656" i="1"/>
  <c r="AK632" i="1"/>
  <c r="AL632" i="1"/>
  <c r="AJ1562" i="1"/>
  <c r="AJ1790" i="1"/>
  <c r="AJ1801" i="1"/>
  <c r="AJ1877" i="1"/>
  <c r="AJ1952" i="1"/>
  <c r="AK1557" i="1"/>
  <c r="AL1557" i="1"/>
  <c r="AK1335" i="1"/>
  <c r="AL1335" i="1"/>
  <c r="AK584" i="1"/>
  <c r="AL584" i="1"/>
  <c r="AK650" i="1"/>
  <c r="AL650" i="1"/>
  <c r="AJ664" i="1"/>
  <c r="AJ665" i="1"/>
  <c r="AJ11" i="1"/>
  <c r="AJ700" i="1"/>
  <c r="AJ1299" i="1"/>
  <c r="AJ86" i="1"/>
  <c r="AJ87" i="1"/>
  <c r="AJ127" i="1"/>
  <c r="AJ551" i="1"/>
  <c r="AJ1184" i="1"/>
  <c r="AJ651" i="1"/>
  <c r="AJ694" i="1"/>
  <c r="AJ800" i="1"/>
  <c r="AJ1040" i="1"/>
  <c r="AJ1521" i="1"/>
  <c r="AJ1538" i="1"/>
  <c r="AJ1770" i="1"/>
  <c r="AJ713" i="1"/>
  <c r="AJ719" i="1"/>
  <c r="AK667" i="1"/>
  <c r="AL667" i="1"/>
  <c r="AJ69" i="1"/>
  <c r="AJ75" i="1"/>
  <c r="AJ1180" i="1"/>
  <c r="AJ14" i="1"/>
  <c r="AJ1458" i="1"/>
  <c r="AK1458" i="1" s="1"/>
  <c r="AJ1461" i="1"/>
  <c r="AK1461" i="1" s="1"/>
  <c r="AJ1523" i="1"/>
  <c r="AJ1696" i="1"/>
  <c r="AJ156" i="1"/>
  <c r="AJ373" i="1"/>
  <c r="AJ169" i="1"/>
  <c r="AJ493" i="1"/>
  <c r="AJ721" i="1"/>
  <c r="AJ1064" i="1"/>
  <c r="AJ1066" i="1"/>
  <c r="AJ1264" i="1"/>
  <c r="AJ1307" i="1"/>
  <c r="AJ1474" i="1"/>
  <c r="AJ1618" i="1"/>
  <c r="AJ1929" i="1"/>
  <c r="AJ82" i="1"/>
  <c r="AJ160" i="1"/>
  <c r="AJ349" i="1"/>
  <c r="AK349" i="1" s="1"/>
  <c r="AJ389" i="1"/>
  <c r="AJ882" i="1"/>
  <c r="AJ942" i="1"/>
  <c r="AJ1072" i="1"/>
  <c r="AJ1139" i="1"/>
  <c r="AJ1385" i="1"/>
  <c r="AJ1393" i="1"/>
  <c r="AJ1567" i="1"/>
  <c r="AJ1581" i="1"/>
  <c r="AJ1594" i="1"/>
  <c r="AJ1623" i="1"/>
  <c r="AJ1635" i="1"/>
  <c r="AJ1732" i="1"/>
  <c r="AJ1757" i="1"/>
  <c r="AJ1781" i="1"/>
  <c r="AJ1807" i="1"/>
  <c r="AK1109" i="1"/>
  <c r="AL1109" i="1"/>
  <c r="AJ931" i="1"/>
  <c r="AJ1373" i="1"/>
  <c r="AJ1374" i="1"/>
  <c r="AJ1379" i="1"/>
  <c r="AJ1402" i="1"/>
  <c r="AJ155" i="1"/>
  <c r="AJ167" i="1"/>
  <c r="AJ372" i="1"/>
  <c r="AJ1310" i="1"/>
  <c r="AJ1866" i="1"/>
  <c r="AK1404" i="1"/>
  <c r="AL1404" i="1"/>
  <c r="AJ116" i="1"/>
  <c r="AJ360" i="1"/>
  <c r="AJ1196" i="1"/>
  <c r="AJ1213" i="1"/>
  <c r="AJ1777" i="1"/>
  <c r="AJ1791" i="1"/>
  <c r="AJ1802" i="1"/>
  <c r="AK1613" i="1"/>
  <c r="AL1613" i="1"/>
  <c r="AJ1197" i="1"/>
  <c r="AJ1214" i="1"/>
  <c r="AK1508" i="1"/>
  <c r="AL1508" i="1"/>
  <c r="AJ18" i="1"/>
  <c r="AJ21" i="1"/>
  <c r="AJ305" i="1"/>
  <c r="AJ806" i="1"/>
  <c r="AJ885" i="1"/>
  <c r="AJ891" i="1"/>
  <c r="AJ893" i="1"/>
  <c r="AJ899" i="1"/>
  <c r="AJ1146" i="1"/>
  <c r="AJ1151" i="1"/>
  <c r="AJ1156" i="1"/>
  <c r="AJ1263" i="1"/>
  <c r="AJ1280" i="1"/>
  <c r="AJ1281" i="1"/>
  <c r="AJ1477" i="1"/>
  <c r="AJ1740" i="1"/>
  <c r="AJ1512" i="1"/>
  <c r="AJ1518" i="1"/>
  <c r="AJ1530" i="1"/>
  <c r="AJ1652" i="1"/>
  <c r="AJ1709" i="1"/>
  <c r="AJ1744" i="1"/>
  <c r="AJ1856" i="1"/>
  <c r="AJ1195" i="1"/>
  <c r="AJ1243" i="1"/>
  <c r="AJ1259" i="1"/>
  <c r="AJ1270" i="1"/>
  <c r="AK1145" i="1"/>
  <c r="AL1145" i="1"/>
  <c r="AK1053" i="1"/>
  <c r="AL1053" i="1"/>
  <c r="AK1386" i="1"/>
  <c r="AL1386" i="1"/>
  <c r="AJ541" i="1"/>
  <c r="AJ542" i="1"/>
  <c r="AK1067" i="1"/>
  <c r="AL1067" i="1"/>
  <c r="AJ252" i="1"/>
  <c r="AJ1116" i="1"/>
  <c r="AJ1126" i="1"/>
  <c r="AJ805" i="1"/>
  <c r="AJ811" i="1"/>
  <c r="AJ870" i="1"/>
  <c r="AJ1061" i="1"/>
  <c r="AJ1399" i="1"/>
  <c r="AJ499" i="1"/>
  <c r="AJ803" i="1"/>
  <c r="AJ1397" i="1"/>
  <c r="AJ1405" i="1"/>
  <c r="AJ176" i="1"/>
  <c r="AJ1961" i="1"/>
  <c r="AJ353" i="1"/>
  <c r="AJ355" i="1"/>
  <c r="AJ363" i="1"/>
  <c r="AJ550" i="1"/>
  <c r="AJ970" i="1"/>
  <c r="AJ1472" i="1"/>
  <c r="AJ1494" i="1"/>
  <c r="AJ1500" i="1"/>
  <c r="AJ1638" i="1"/>
  <c r="AK1610" i="1"/>
  <c r="AL1610" i="1"/>
  <c r="AJ868" i="1"/>
  <c r="AJ1202" i="1"/>
  <c r="AJ1479" i="1"/>
  <c r="AJ1511" i="1"/>
  <c r="AJ180" i="1"/>
  <c r="AJ1082" i="1"/>
  <c r="AJ1636" i="1"/>
  <c r="AJ1640" i="1"/>
  <c r="AJ1506" i="1"/>
  <c r="AJ1800" i="1"/>
  <c r="AJ1918" i="1"/>
  <c r="AK1201" i="1"/>
  <c r="AL1201" i="1"/>
  <c r="AK544" i="1"/>
  <c r="AL544" i="1"/>
  <c r="AK660" i="1"/>
  <c r="AL660" i="1"/>
  <c r="AK564" i="1"/>
  <c r="AL564" i="1"/>
  <c r="AK1660" i="1"/>
  <c r="AL1660" i="1"/>
  <c r="AJ1553" i="1"/>
  <c r="AJ1680" i="1"/>
  <c r="AK1391" i="1"/>
  <c r="AL1391" i="1"/>
  <c r="AJ938" i="1"/>
  <c r="AJ1566" i="1"/>
  <c r="AJ1626" i="1"/>
  <c r="AJ1808" i="1"/>
  <c r="AJ1923" i="1"/>
  <c r="AJ384" i="1"/>
  <c r="AJ411" i="1"/>
  <c r="AJ865" i="1"/>
  <c r="AJ1607" i="1"/>
  <c r="AJ1862" i="1"/>
  <c r="AJ1949" i="1"/>
  <c r="AK577" i="1"/>
  <c r="AL577" i="1"/>
  <c r="AK896" i="1"/>
  <c r="AL896" i="1"/>
  <c r="AJ354" i="1"/>
  <c r="AK354" i="1" s="1"/>
  <c r="AJ1187" i="1"/>
  <c r="AK1142" i="1"/>
  <c r="AL1142" i="1"/>
  <c r="AJ1487" i="1"/>
  <c r="AJ1699" i="1"/>
  <c r="AJ1779" i="1"/>
  <c r="AJ1488" i="1"/>
  <c r="AJ1551" i="1"/>
  <c r="AJ1591" i="1"/>
  <c r="AJ1730" i="1"/>
  <c r="AJ1756" i="1"/>
  <c r="AK1606" i="1"/>
  <c r="AL1606" i="1"/>
  <c r="AK1602" i="1"/>
  <c r="AL1602" i="1"/>
  <c r="AJ1600" i="1"/>
  <c r="AJ1902" i="1"/>
  <c r="AJ350" i="1"/>
  <c r="AK350" i="1" s="1"/>
  <c r="AJ902" i="1"/>
  <c r="AJ913" i="1"/>
  <c r="AJ1568" i="1"/>
  <c r="AJ1624" i="1"/>
  <c r="AJ1634" i="1"/>
  <c r="AJ883" i="1"/>
  <c r="AJ911" i="1"/>
  <c r="AK1627" i="1"/>
  <c r="AL1627" i="1"/>
  <c r="AJ1261" i="1"/>
  <c r="AJ1274" i="1"/>
  <c r="AJ1423" i="1"/>
  <c r="AJ1504" i="1"/>
  <c r="AJ1619" i="1"/>
  <c r="AJ1645" i="1"/>
  <c r="AJ1921" i="1"/>
  <c r="AJ892" i="1"/>
  <c r="AJ1157" i="1"/>
  <c r="AK637" i="1"/>
  <c r="AL637" i="1"/>
  <c r="AJ190" i="1"/>
  <c r="AJ1410" i="1"/>
  <c r="AJ181" i="1"/>
  <c r="AJ1547" i="1"/>
  <c r="AJ1641" i="1"/>
  <c r="AJ1702" i="1"/>
  <c r="AJ1760" i="1"/>
  <c r="AJ1784" i="1"/>
  <c r="AJ1797" i="1"/>
  <c r="AJ1812" i="1"/>
  <c r="AJ1935" i="1"/>
  <c r="AJ1398" i="1"/>
  <c r="AJ1406" i="1"/>
  <c r="AJ1375" i="1"/>
  <c r="AJ1382" i="1"/>
  <c r="AK1387" i="1"/>
  <c r="AL1387" i="1"/>
  <c r="AJ1589" i="1"/>
  <c r="AJ1620" i="1"/>
  <c r="AJ1657" i="1"/>
  <c r="AJ1917" i="1"/>
  <c r="AJ1932" i="1"/>
  <c r="AK862" i="1"/>
  <c r="AL862" i="1"/>
  <c r="AJ104" i="1"/>
  <c r="AJ1659" i="1"/>
  <c r="AK1552" i="1"/>
  <c r="AL1552" i="1"/>
  <c r="AJ78" i="1"/>
  <c r="AJ96" i="1"/>
  <c r="AJ112" i="1"/>
  <c r="AJ194" i="1"/>
  <c r="AJ260" i="1"/>
  <c r="AJ725" i="1"/>
  <c r="AJ874" i="1"/>
  <c r="AJ1788" i="1"/>
  <c r="AK864" i="1"/>
  <c r="AL864" i="1"/>
  <c r="AK23" i="1"/>
  <c r="AL23" i="1"/>
  <c r="AJ100" i="1"/>
  <c r="AJ1513" i="1"/>
  <c r="AJ1519" i="1"/>
  <c r="AJ1526" i="1"/>
  <c r="AJ1534" i="1"/>
  <c r="AJ1540" i="1"/>
  <c r="AK562" i="1"/>
  <c r="AL562" i="1"/>
  <c r="AK1495" i="1"/>
  <c r="AL1495" i="1"/>
  <c r="AJ4" i="1"/>
  <c r="AJ5" i="1"/>
  <c r="AJ6" i="1"/>
  <c r="AJ7" i="1"/>
  <c r="AJ24" i="1"/>
  <c r="AJ25" i="1"/>
  <c r="AJ37" i="1"/>
  <c r="AJ41" i="1"/>
  <c r="AJ42" i="1"/>
  <c r="AJ43" i="1"/>
  <c r="AJ46" i="1"/>
  <c r="AJ47" i="1"/>
  <c r="AJ48" i="1"/>
  <c r="AJ49" i="1"/>
  <c r="AJ50" i="1"/>
  <c r="AJ51" i="1"/>
  <c r="AJ57" i="1"/>
  <c r="AJ58" i="1"/>
  <c r="AJ59" i="1"/>
  <c r="AJ63" i="1"/>
  <c r="AJ64" i="1"/>
  <c r="AJ65" i="1"/>
  <c r="AJ66" i="1"/>
  <c r="AJ67" i="1"/>
  <c r="AJ110" i="1"/>
  <c r="AJ118" i="1"/>
  <c r="AJ119" i="1"/>
  <c r="AJ120" i="1"/>
  <c r="AJ121" i="1"/>
  <c r="AJ122" i="1"/>
  <c r="AJ123" i="1"/>
  <c r="AJ124" i="1"/>
  <c r="AJ130" i="1"/>
  <c r="AJ131" i="1"/>
  <c r="AJ132" i="1"/>
  <c r="AJ133" i="1"/>
  <c r="AJ134" i="1"/>
  <c r="AJ135" i="1"/>
  <c r="AJ136" i="1"/>
  <c r="AJ137" i="1"/>
  <c r="AJ138" i="1"/>
  <c r="AJ139" i="1"/>
  <c r="AJ140" i="1"/>
  <c r="AJ141" i="1"/>
  <c r="AJ142" i="1"/>
  <c r="AJ143" i="1"/>
  <c r="AJ144" i="1"/>
  <c r="AJ145" i="1"/>
  <c r="AJ146" i="1"/>
  <c r="AJ147" i="1"/>
  <c r="AJ148" i="1"/>
  <c r="AJ150" i="1"/>
  <c r="AJ151" i="1"/>
  <c r="AJ152" i="1"/>
  <c r="AJ163" i="1"/>
  <c r="AJ182" i="1"/>
  <c r="AJ188" i="1"/>
  <c r="AJ195" i="1"/>
  <c r="AJ199" i="1"/>
  <c r="AJ200" i="1"/>
  <c r="AJ201" i="1"/>
  <c r="AJ202" i="1"/>
  <c r="AJ203" i="1"/>
  <c r="AJ204" i="1"/>
  <c r="AJ205" i="1"/>
  <c r="AJ209" i="1"/>
  <c r="AJ210" i="1"/>
  <c r="AJ213" i="1"/>
  <c r="AJ214" i="1"/>
  <c r="AJ215" i="1"/>
  <c r="AJ221" i="1"/>
  <c r="AJ223" i="1"/>
  <c r="AJ224" i="1"/>
  <c r="AJ225" i="1"/>
  <c r="AJ226" i="1"/>
  <c r="AJ245" i="1"/>
  <c r="AJ246" i="1"/>
  <c r="AJ247" i="1"/>
  <c r="AJ249" i="1"/>
  <c r="AJ250" i="1"/>
  <c r="AJ254" i="1"/>
  <c r="AJ259" i="1"/>
  <c r="AJ266" i="1"/>
  <c r="AJ267" i="1"/>
  <c r="AJ268" i="1"/>
  <c r="AJ270" i="1"/>
  <c r="AJ271" i="1"/>
  <c r="AJ273" i="1"/>
  <c r="AJ274" i="1"/>
  <c r="AJ275" i="1"/>
  <c r="AJ276" i="1"/>
  <c r="AJ278" i="1"/>
  <c r="AJ279" i="1"/>
  <c r="AJ283" i="1"/>
  <c r="AJ286" i="1"/>
  <c r="AJ288" i="1"/>
  <c r="AJ289" i="1"/>
  <c r="AJ290" i="1"/>
  <c r="AJ291" i="1"/>
  <c r="AJ292" i="1"/>
  <c r="AJ293" i="1"/>
  <c r="AJ294" i="1"/>
  <c r="AJ295" i="1"/>
  <c r="AJ296" i="1"/>
  <c r="AJ297" i="1"/>
  <c r="AJ298" i="1"/>
  <c r="AJ299" i="1"/>
  <c r="AJ313" i="1"/>
  <c r="AJ314" i="1"/>
  <c r="AJ315" i="1"/>
  <c r="AJ316" i="1"/>
  <c r="AJ319" i="1"/>
  <c r="AJ328" i="1"/>
  <c r="AJ330" i="1"/>
  <c r="AJ331" i="1"/>
  <c r="AJ332" i="1"/>
  <c r="AJ391" i="1"/>
  <c r="AJ392" i="1"/>
  <c r="AJ397" i="1"/>
  <c r="AJ398" i="1"/>
  <c r="AJ399" i="1"/>
  <c r="AJ412" i="1"/>
  <c r="AJ413" i="1"/>
  <c r="AJ421" i="1"/>
  <c r="AJ422" i="1"/>
  <c r="AJ423" i="1"/>
  <c r="AJ424" i="1"/>
  <c r="AJ425" i="1"/>
  <c r="AJ426" i="1"/>
  <c r="AJ427" i="1"/>
  <c r="AJ430" i="1"/>
  <c r="AJ431" i="1"/>
  <c r="AJ432" i="1"/>
  <c r="AJ433" i="1"/>
  <c r="AJ434" i="1"/>
  <c r="AJ441" i="1"/>
  <c r="AJ460" i="1"/>
  <c r="AJ463" i="1"/>
  <c r="AJ464" i="1"/>
  <c r="AJ478" i="1"/>
  <c r="AJ482" i="1"/>
  <c r="AJ483" i="1"/>
  <c r="AJ484" i="1"/>
  <c r="AJ485" i="1"/>
  <c r="AJ486" i="1"/>
  <c r="AJ487" i="1"/>
  <c r="AJ488" i="1"/>
  <c r="AJ489" i="1"/>
  <c r="AJ495" i="1"/>
  <c r="AJ504" i="1"/>
  <c r="AJ505" i="1"/>
  <c r="AJ506" i="1"/>
  <c r="AJ507" i="1"/>
  <c r="AJ508" i="1"/>
  <c r="AJ509" i="1"/>
  <c r="AJ510" i="1"/>
  <c r="AJ511" i="1"/>
  <c r="AJ512" i="1"/>
  <c r="AJ513" i="1"/>
  <c r="AJ514" i="1"/>
  <c r="AJ515" i="1"/>
  <c r="AJ516" i="1"/>
  <c r="AJ517" i="1"/>
  <c r="AJ518" i="1"/>
  <c r="AJ520" i="1"/>
  <c r="AJ521" i="1"/>
  <c r="AJ522" i="1"/>
  <c r="AJ523" i="1"/>
  <c r="AJ524" i="1"/>
  <c r="AJ525" i="1"/>
  <c r="AJ526" i="1"/>
  <c r="AJ528" i="1"/>
  <c r="AJ529" i="1"/>
  <c r="AJ530" i="1"/>
  <c r="AJ531" i="1"/>
  <c r="AJ532" i="1"/>
  <c r="AJ533" i="1"/>
  <c r="AJ534" i="1"/>
  <c r="AJ535" i="1"/>
  <c r="AJ536" i="1"/>
  <c r="AJ629" i="1"/>
  <c r="AJ630" i="1"/>
  <c r="AJ701" i="1"/>
  <c r="AJ702" i="1"/>
  <c r="AJ703" i="1"/>
  <c r="AJ704" i="1"/>
  <c r="AJ705" i="1"/>
  <c r="AJ706" i="1"/>
  <c r="AJ707" i="1"/>
  <c r="AJ708" i="1"/>
  <c r="AJ709" i="1"/>
  <c r="AJ710" i="1"/>
  <c r="AJ711" i="1"/>
  <c r="AJ712" i="1"/>
  <c r="AJ729" i="1"/>
  <c r="AJ737" i="1"/>
  <c r="AJ738" i="1"/>
  <c r="AJ740" i="1"/>
  <c r="AJ745" i="1"/>
  <c r="AJ749" i="1"/>
  <c r="AJ755" i="1"/>
  <c r="AJ756" i="1"/>
  <c r="AJ757" i="1"/>
  <c r="AJ759" i="1"/>
  <c r="AJ760" i="1"/>
  <c r="AJ761" i="1"/>
  <c r="AJ762" i="1"/>
  <c r="AJ763" i="1"/>
  <c r="AJ764" i="1"/>
  <c r="AJ765" i="1"/>
  <c r="AJ766" i="1"/>
  <c r="AJ767" i="1"/>
  <c r="AJ768" i="1"/>
  <c r="AJ769" i="1"/>
  <c r="AJ770" i="1"/>
  <c r="AJ771" i="1"/>
  <c r="AJ772" i="1"/>
  <c r="AJ774" i="1"/>
  <c r="AJ775" i="1"/>
  <c r="AJ778" i="1"/>
  <c r="AJ779" i="1"/>
  <c r="AJ780" i="1"/>
  <c r="AJ781" i="1"/>
  <c r="AJ782" i="1"/>
  <c r="AJ790" i="1"/>
  <c r="AJ791" i="1"/>
  <c r="AJ792" i="1"/>
  <c r="AJ793" i="1"/>
  <c r="AJ794" i="1"/>
  <c r="AJ795" i="1"/>
  <c r="AJ796" i="1"/>
  <c r="AJ801" i="1"/>
  <c r="AJ802" i="1"/>
  <c r="AJ810" i="1"/>
  <c r="AJ812" i="1"/>
  <c r="AJ813" i="1"/>
  <c r="AJ814" i="1"/>
  <c r="AJ815" i="1"/>
  <c r="AJ816" i="1"/>
  <c r="AJ817" i="1"/>
  <c r="AJ818" i="1"/>
  <c r="AJ819" i="1"/>
  <c r="AJ821" i="1"/>
  <c r="AJ822" i="1"/>
  <c r="AJ824" i="1"/>
  <c r="AJ825" i="1"/>
  <c r="AJ838" i="1"/>
  <c r="AJ839" i="1"/>
  <c r="AJ840" i="1"/>
  <c r="AJ841" i="1"/>
  <c r="AJ842" i="1"/>
  <c r="AJ843" i="1"/>
  <c r="AJ844" i="1"/>
  <c r="AJ845" i="1"/>
  <c r="AJ848" i="1"/>
  <c r="AJ849" i="1"/>
  <c r="AJ850" i="1"/>
  <c r="AJ851" i="1"/>
  <c r="AJ854" i="1"/>
  <c r="AJ867" i="1"/>
  <c r="AJ878" i="1"/>
  <c r="AJ879" i="1"/>
  <c r="AJ880" i="1"/>
  <c r="AJ897" i="1"/>
  <c r="AJ905" i="1"/>
  <c r="AJ907" i="1"/>
  <c r="AJ918" i="1"/>
  <c r="AJ919" i="1"/>
  <c r="AJ920" i="1"/>
  <c r="AJ921" i="1"/>
  <c r="AJ922" i="1"/>
  <c r="AJ923" i="1"/>
  <c r="AJ924" i="1"/>
  <c r="AJ925" i="1"/>
  <c r="AJ926" i="1"/>
  <c r="AJ927" i="1"/>
  <c r="AJ928" i="1"/>
  <c r="AJ929" i="1"/>
  <c r="AJ952" i="1"/>
  <c r="AJ953" i="1"/>
  <c r="AJ954" i="1"/>
  <c r="AJ957" i="1"/>
  <c r="AJ959" i="1"/>
  <c r="AJ960" i="1"/>
  <c r="AJ961" i="1"/>
  <c r="AJ962" i="1"/>
  <c r="AJ978" i="1"/>
  <c r="AJ985" i="1"/>
  <c r="AJ986" i="1"/>
  <c r="AJ988" i="1"/>
  <c r="AJ989" i="1"/>
  <c r="AJ990" i="1"/>
  <c r="AJ991" i="1"/>
  <c r="AJ1016" i="1"/>
  <c r="AJ1017" i="1"/>
  <c r="AJ1023" i="1"/>
  <c r="AJ1024" i="1"/>
  <c r="AJ1025" i="1"/>
  <c r="AJ1026" i="1"/>
  <c r="AJ1027" i="1"/>
  <c r="AJ1028" i="1"/>
  <c r="AJ1029" i="1"/>
  <c r="AJ1030" i="1"/>
  <c r="AJ1031" i="1"/>
  <c r="AJ1032" i="1"/>
  <c r="AJ1036" i="1"/>
  <c r="AJ1037" i="1"/>
  <c r="AJ1038" i="1"/>
  <c r="AJ1041" i="1"/>
  <c r="AJ1042" i="1"/>
  <c r="AJ1043" i="1"/>
  <c r="AJ1044" i="1"/>
  <c r="AJ1045" i="1"/>
  <c r="AJ1046" i="1"/>
  <c r="AJ1047" i="1"/>
  <c r="AJ1048" i="1"/>
  <c r="AJ1049" i="1"/>
  <c r="AJ1073" i="1"/>
  <c r="AJ1074" i="1"/>
  <c r="AJ1076" i="1"/>
  <c r="AJ1079" i="1"/>
  <c r="AJ1084" i="1"/>
  <c r="AJ1085" i="1"/>
  <c r="AJ1086" i="1"/>
  <c r="AJ1087" i="1"/>
  <c r="AJ1088" i="1"/>
  <c r="AJ1089" i="1"/>
  <c r="AJ1090" i="1"/>
  <c r="AJ1091" i="1"/>
  <c r="AJ1093" i="1"/>
  <c r="AJ1094" i="1"/>
  <c r="AJ1095" i="1"/>
  <c r="AJ1096" i="1"/>
  <c r="AJ1097" i="1"/>
  <c r="AJ1098" i="1"/>
  <c r="AJ1099" i="1"/>
  <c r="AJ1101" i="1"/>
  <c r="AJ1103" i="1"/>
  <c r="AJ1105" i="1"/>
  <c r="AL1105" i="1" s="1"/>
  <c r="AJ1106" i="1"/>
  <c r="AJ1128" i="1"/>
  <c r="AJ1129" i="1"/>
  <c r="AJ1130" i="1"/>
  <c r="AJ1131" i="1"/>
  <c r="AJ1132" i="1"/>
  <c r="AJ1136" i="1"/>
  <c r="AJ1144" i="1"/>
  <c r="AJ1148" i="1"/>
  <c r="AJ1158" i="1"/>
  <c r="AJ1159" i="1"/>
  <c r="AJ1160" i="1"/>
  <c r="AJ1161" i="1"/>
  <c r="AJ1162" i="1"/>
  <c r="AJ1163" i="1"/>
  <c r="AJ1164" i="1"/>
  <c r="AJ1165" i="1"/>
  <c r="AJ1166" i="1"/>
  <c r="AJ1171" i="1"/>
  <c r="AJ1172" i="1"/>
  <c r="AJ1173" i="1"/>
  <c r="AJ1178" i="1"/>
  <c r="AJ1188" i="1"/>
  <c r="AJ1189" i="1"/>
  <c r="AJ1190" i="1"/>
  <c r="AJ1198" i="1"/>
  <c r="AJ1199" i="1"/>
  <c r="AJ1200" i="1"/>
  <c r="AJ1211" i="1"/>
  <c r="AJ1212" i="1"/>
  <c r="AJ1215" i="1"/>
  <c r="AJ1218" i="1"/>
  <c r="AJ1225" i="1"/>
  <c r="AJ1227" i="1"/>
  <c r="AJ1234" i="1"/>
  <c r="AJ1235" i="1"/>
  <c r="AJ1237" i="1"/>
  <c r="AJ1246" i="1"/>
  <c r="AJ1249" i="1"/>
  <c r="AJ1256" i="1"/>
  <c r="AJ1262" i="1"/>
  <c r="AJ1278" i="1"/>
  <c r="AJ1282" i="1"/>
  <c r="AJ1283" i="1"/>
  <c r="AJ1284" i="1"/>
  <c r="AJ1285" i="1"/>
  <c r="AJ1286" i="1"/>
  <c r="AJ1287" i="1"/>
  <c r="AJ1288" i="1"/>
  <c r="AJ1289" i="1"/>
  <c r="AJ1290" i="1"/>
  <c r="AJ1291" i="1"/>
  <c r="AJ1293" i="1"/>
  <c r="AJ1294" i="1"/>
  <c r="AJ1295" i="1"/>
  <c r="AJ1300" i="1"/>
  <c r="AJ1304" i="1"/>
  <c r="AJ1305" i="1"/>
  <c r="AJ1306" i="1"/>
  <c r="AJ1308" i="1"/>
  <c r="AJ1314" i="1"/>
  <c r="AJ1318" i="1"/>
  <c r="AJ1319" i="1"/>
  <c r="AJ1320" i="1"/>
  <c r="AJ1321" i="1"/>
  <c r="AJ1322" i="1"/>
  <c r="AJ1323" i="1"/>
  <c r="AJ1324" i="1"/>
  <c r="AJ1325" i="1"/>
  <c r="AJ1326" i="1"/>
  <c r="AJ1329" i="1"/>
  <c r="AJ1330" i="1"/>
  <c r="AJ1331" i="1"/>
  <c r="AJ1332" i="1"/>
  <c r="AJ1333" i="1"/>
  <c r="AJ1334" i="1"/>
  <c r="AJ1341" i="1"/>
  <c r="AJ1351" i="1"/>
  <c r="AJ1352" i="1"/>
  <c r="AJ1353" i="1"/>
  <c r="AJ1354" i="1"/>
  <c r="AJ1355" i="1"/>
  <c r="AJ1356" i="1"/>
  <c r="AJ1357" i="1"/>
  <c r="AJ1358" i="1"/>
  <c r="AJ1359" i="1"/>
  <c r="AJ1360" i="1"/>
  <c r="AJ1361" i="1"/>
  <c r="AJ1362" i="1"/>
  <c r="AJ1363" i="1"/>
  <c r="AJ1364" i="1"/>
  <c r="AJ1365" i="1"/>
  <c r="AJ1367" i="1"/>
  <c r="AJ1368" i="1"/>
  <c r="AJ1369" i="1"/>
  <c r="AJ1371" i="1"/>
  <c r="AJ1372" i="1"/>
  <c r="AJ1414" i="1"/>
  <c r="AJ1419" i="1"/>
  <c r="AJ1430" i="1"/>
  <c r="AJ1431" i="1"/>
  <c r="AJ1432" i="1"/>
  <c r="AJ1433" i="1"/>
  <c r="AJ1434" i="1"/>
  <c r="AJ1435" i="1"/>
  <c r="AJ1436" i="1"/>
  <c r="AJ1437" i="1"/>
  <c r="AJ1438" i="1"/>
  <c r="AJ1439" i="1"/>
  <c r="AJ1440" i="1"/>
  <c r="AJ1441" i="1"/>
  <c r="AJ1442" i="1"/>
  <c r="AJ1443" i="1"/>
  <c r="AJ1444" i="1"/>
  <c r="AJ1445" i="1"/>
  <c r="AJ1446" i="1"/>
  <c r="AJ1447" i="1"/>
  <c r="AJ1448" i="1"/>
  <c r="AJ1449" i="1"/>
  <c r="AJ1450" i="1"/>
  <c r="AJ1451" i="1"/>
  <c r="AJ1452" i="1"/>
  <c r="AJ1453" i="1"/>
  <c r="AJ1454" i="1"/>
  <c r="AJ1455" i="1"/>
  <c r="AJ1598" i="1"/>
  <c r="AJ1665" i="1"/>
  <c r="AJ1735" i="1"/>
  <c r="AJ1736" i="1"/>
  <c r="AJ1900" i="1"/>
  <c r="AJ1901" i="1"/>
  <c r="AJ1907" i="1"/>
  <c r="AJ1925" i="1"/>
  <c r="AJ1969" i="1"/>
  <c r="AJ1970" i="1"/>
  <c r="AJ1971" i="1"/>
  <c r="AJ1972" i="1"/>
  <c r="AJ1973" i="1"/>
  <c r="AJ1974" i="1"/>
  <c r="AJ1975" i="1"/>
  <c r="AK1975" i="1" s="1"/>
  <c r="AJ1976" i="1"/>
  <c r="AK1976" i="1" s="1"/>
  <c r="AJ1977" i="1"/>
  <c r="AK1977" i="1" s="1"/>
  <c r="AJ1978" i="1"/>
  <c r="AJ1979" i="1"/>
  <c r="AJ1980" i="1"/>
  <c r="AJ1981" i="1"/>
  <c r="AJ1982" i="1"/>
  <c r="AJ1983" i="1"/>
  <c r="AJ1984" i="1"/>
  <c r="AJ1985" i="1"/>
  <c r="AJ1986" i="1"/>
  <c r="AK1986" i="1" s="1"/>
  <c r="AJ1987" i="1"/>
  <c r="AK1987" i="1" s="1"/>
  <c r="AJ1988" i="1"/>
  <c r="AK1988" i="1" s="1"/>
  <c r="AJ1989" i="1"/>
  <c r="AK1989" i="1" s="1"/>
  <c r="AJ1990" i="1"/>
  <c r="AJ1991" i="1"/>
  <c r="AJ1992" i="1"/>
  <c r="AJ1993" i="1"/>
  <c r="AJ1994" i="1"/>
  <c r="AJ1995" i="1"/>
  <c r="AJ1996" i="1"/>
  <c r="AJ1997" i="1"/>
  <c r="AJ1998" i="1"/>
  <c r="AJ1999" i="1"/>
  <c r="AJ2000" i="1"/>
  <c r="AK1930" i="1"/>
  <c r="AL1930" i="1"/>
  <c r="AK1350" i="1"/>
  <c r="AL1350" i="1"/>
  <c r="AK198" i="1"/>
  <c r="AL198" i="1"/>
  <c r="AK193" i="1"/>
  <c r="AL193" i="1"/>
  <c r="AK1004" i="1"/>
  <c r="AL1004" i="1"/>
  <c r="AJ1001" i="1"/>
  <c r="AJ1013" i="1"/>
  <c r="AK997" i="1"/>
  <c r="AL997" i="1"/>
  <c r="AK956" i="1"/>
  <c r="AL956" i="1"/>
  <c r="AK859" i="1"/>
  <c r="AL859" i="1"/>
  <c r="AK1942" i="1"/>
  <c r="AL1942" i="1"/>
  <c r="O1001" i="1"/>
  <c r="P1001" i="1" s="1"/>
  <c r="O1013" i="1"/>
  <c r="P1013" i="1" s="1"/>
  <c r="P312" i="1"/>
  <c r="AK312" i="1"/>
  <c r="P591" i="1"/>
  <c r="AK591" i="1"/>
  <c r="P1075" i="1"/>
  <c r="AK1075" i="1"/>
  <c r="P317" i="1"/>
  <c r="AK317" i="1"/>
  <c r="P995" i="1"/>
  <c r="AK995" i="1"/>
  <c r="AQ853" i="1"/>
  <c r="AQ1252" i="1"/>
  <c r="AQ855" i="1"/>
  <c r="AQ856" i="1"/>
  <c r="AQ1863" i="1"/>
  <c r="AQ1950" i="1"/>
  <c r="AQ1839" i="1"/>
  <c r="AQ1893" i="1"/>
  <c r="R44" i="121"/>
  <c r="Q44" i="109"/>
  <c r="T38" i="109"/>
  <c r="S32" i="111"/>
  <c r="S21" i="111"/>
  <c r="T21" i="111"/>
  <c r="R21" i="109"/>
  <c r="V18" i="109"/>
  <c r="L41" i="111"/>
  <c r="R44" i="111"/>
  <c r="G59" i="131"/>
  <c r="G57" i="131"/>
  <c r="G65" i="131"/>
  <c r="G63" i="131"/>
  <c r="G62" i="131"/>
  <c r="G60" i="131"/>
  <c r="O33" i="109"/>
  <c r="I57" i="168"/>
  <c r="I1082" i="168"/>
  <c r="I1071" i="168"/>
  <c r="I991" i="168"/>
  <c r="I941" i="168"/>
  <c r="I846" i="168"/>
  <c r="I790" i="168"/>
  <c r="I772" i="168"/>
  <c r="I682" i="168"/>
  <c r="I667" i="168"/>
  <c r="I646" i="168"/>
  <c r="I538" i="168"/>
  <c r="I410" i="168"/>
  <c r="I341" i="168"/>
  <c r="I264" i="168"/>
  <c r="I184" i="168"/>
  <c r="I145" i="168"/>
  <c r="I100" i="168"/>
  <c r="F43" i="169"/>
  <c r="F52" i="168"/>
  <c r="G52" i="168"/>
  <c r="H52" i="168"/>
  <c r="F53" i="168"/>
  <c r="G53" i="168"/>
  <c r="H53" i="168"/>
  <c r="F54" i="168"/>
  <c r="G54" i="168"/>
  <c r="H54" i="168"/>
  <c r="F55" i="168"/>
  <c r="G55" i="168"/>
  <c r="H55" i="168"/>
  <c r="F56" i="168"/>
  <c r="G56" i="168"/>
  <c r="H56" i="168"/>
  <c r="F92" i="168"/>
  <c r="G92" i="168"/>
  <c r="H92" i="168"/>
  <c r="F93" i="168"/>
  <c r="G93" i="168"/>
  <c r="H93" i="168"/>
  <c r="F94" i="168"/>
  <c r="G94" i="168"/>
  <c r="H94" i="168"/>
  <c r="F95" i="168"/>
  <c r="G95" i="168"/>
  <c r="H95" i="168"/>
  <c r="F96" i="168"/>
  <c r="G96" i="168"/>
  <c r="H96" i="168"/>
  <c r="F97" i="168"/>
  <c r="G97" i="168"/>
  <c r="H97" i="168"/>
  <c r="F98" i="168"/>
  <c r="G98" i="168"/>
  <c r="H98" i="168"/>
  <c r="F99" i="168"/>
  <c r="G99" i="168"/>
  <c r="H99" i="168"/>
  <c r="F136" i="168"/>
  <c r="G136" i="168"/>
  <c r="H136" i="168"/>
  <c r="F137" i="168"/>
  <c r="G137" i="168"/>
  <c r="H137" i="168"/>
  <c r="F138" i="168"/>
  <c r="G138" i="168"/>
  <c r="H138" i="168"/>
  <c r="F139" i="168"/>
  <c r="G139" i="168"/>
  <c r="H139" i="168"/>
  <c r="F140" i="168"/>
  <c r="G140" i="168"/>
  <c r="H140" i="168"/>
  <c r="F141" i="168"/>
  <c r="G141" i="168"/>
  <c r="H141" i="168"/>
  <c r="F142" i="168"/>
  <c r="G142" i="168"/>
  <c r="H142" i="168"/>
  <c r="F143" i="168"/>
  <c r="G143" i="168"/>
  <c r="H143" i="168"/>
  <c r="F144" i="168"/>
  <c r="G144" i="168"/>
  <c r="H144" i="168"/>
  <c r="F179" i="168"/>
  <c r="G179" i="168"/>
  <c r="H179" i="168"/>
  <c r="F180" i="168"/>
  <c r="G180" i="168"/>
  <c r="H180" i="168"/>
  <c r="F181" i="168"/>
  <c r="G181" i="168"/>
  <c r="H181" i="168"/>
  <c r="F182" i="168"/>
  <c r="G182" i="168"/>
  <c r="H182" i="168"/>
  <c r="F183" i="168"/>
  <c r="G183" i="168"/>
  <c r="H183" i="168"/>
  <c r="F216" i="168"/>
  <c r="G216" i="168"/>
  <c r="H216" i="168"/>
  <c r="F217" i="168"/>
  <c r="G217" i="168"/>
  <c r="H217" i="168"/>
  <c r="F259" i="168"/>
  <c r="G259" i="168"/>
  <c r="H259" i="168"/>
  <c r="F260" i="168"/>
  <c r="G260" i="168"/>
  <c r="H260" i="168"/>
  <c r="F261" i="168"/>
  <c r="G261" i="168"/>
  <c r="H261" i="168"/>
  <c r="F262" i="168"/>
  <c r="G262" i="168"/>
  <c r="H262" i="168"/>
  <c r="F263" i="168"/>
  <c r="G263" i="168"/>
  <c r="H263" i="168"/>
  <c r="F297" i="168"/>
  <c r="G297" i="168"/>
  <c r="H297" i="168"/>
  <c r="F298" i="168"/>
  <c r="G298" i="168"/>
  <c r="H298" i="168"/>
  <c r="F299" i="168"/>
  <c r="G299" i="168"/>
  <c r="H299" i="168"/>
  <c r="F300" i="168"/>
  <c r="G300" i="168"/>
  <c r="H300" i="168"/>
  <c r="F301" i="168"/>
  <c r="G301" i="168"/>
  <c r="H301" i="168"/>
  <c r="F335" i="168"/>
  <c r="G335" i="168"/>
  <c r="H335" i="168"/>
  <c r="F336" i="168"/>
  <c r="G336" i="168"/>
  <c r="H336" i="168"/>
  <c r="F337" i="168"/>
  <c r="G337" i="168"/>
  <c r="H337" i="168"/>
  <c r="F338" i="168"/>
  <c r="G338" i="168"/>
  <c r="H338" i="168"/>
  <c r="F339" i="168"/>
  <c r="G339" i="168"/>
  <c r="H339" i="168"/>
  <c r="F340" i="168"/>
  <c r="G340" i="168"/>
  <c r="H340" i="168"/>
  <c r="F375" i="168"/>
  <c r="G375" i="168"/>
  <c r="H375" i="168"/>
  <c r="F376" i="168"/>
  <c r="G376" i="168"/>
  <c r="H376" i="168"/>
  <c r="F377" i="168"/>
  <c r="G377" i="168"/>
  <c r="H377" i="168"/>
  <c r="F378" i="168"/>
  <c r="G378" i="168"/>
  <c r="H378" i="168"/>
  <c r="F407" i="168"/>
  <c r="G407" i="168"/>
  <c r="H407" i="168"/>
  <c r="F408" i="168"/>
  <c r="G408" i="168"/>
  <c r="H408" i="168"/>
  <c r="F409" i="168"/>
  <c r="G409" i="168"/>
  <c r="H409" i="168"/>
  <c r="F431" i="168"/>
  <c r="G431" i="168"/>
  <c r="H431" i="168"/>
  <c r="F432" i="168"/>
  <c r="G432" i="168"/>
  <c r="H432" i="168"/>
  <c r="F469" i="168"/>
  <c r="G469" i="168"/>
  <c r="H469" i="168"/>
  <c r="F530" i="168"/>
  <c r="G530" i="168"/>
  <c r="H530" i="168"/>
  <c r="F531" i="168"/>
  <c r="G531" i="168"/>
  <c r="H531" i="168"/>
  <c r="F532" i="168"/>
  <c r="G532" i="168"/>
  <c r="H532" i="168"/>
  <c r="F533" i="168"/>
  <c r="G533" i="168"/>
  <c r="H533" i="168"/>
  <c r="F534" i="168"/>
  <c r="G534" i="168"/>
  <c r="H534" i="168"/>
  <c r="F535" i="168"/>
  <c r="G535" i="168"/>
  <c r="H535" i="168"/>
  <c r="F536" i="168"/>
  <c r="G536" i="168"/>
  <c r="H536" i="168"/>
  <c r="F537" i="168"/>
  <c r="G537" i="168"/>
  <c r="H537" i="168"/>
  <c r="F571" i="168"/>
  <c r="G571" i="168"/>
  <c r="H571" i="168"/>
  <c r="F572" i="168"/>
  <c r="G572" i="168"/>
  <c r="H572" i="168"/>
  <c r="F640" i="168"/>
  <c r="G640" i="168"/>
  <c r="H640" i="168"/>
  <c r="F641" i="168"/>
  <c r="G641" i="168"/>
  <c r="H641" i="168"/>
  <c r="F642" i="168"/>
  <c r="G642" i="168"/>
  <c r="H642" i="168"/>
  <c r="F643" i="168"/>
  <c r="G643" i="168"/>
  <c r="H643" i="168"/>
  <c r="F644" i="168"/>
  <c r="G644" i="168"/>
  <c r="H644" i="168"/>
  <c r="F645" i="168"/>
  <c r="G645" i="168"/>
  <c r="H645" i="168"/>
  <c r="F666" i="168"/>
  <c r="G666" i="168"/>
  <c r="H666" i="168"/>
  <c r="F693" i="168"/>
  <c r="G693" i="168"/>
  <c r="H693" i="168"/>
  <c r="F727" i="168"/>
  <c r="G727" i="168"/>
  <c r="H727" i="168"/>
  <c r="F728" i="168"/>
  <c r="G728" i="168"/>
  <c r="H728" i="168"/>
  <c r="F729" i="168"/>
  <c r="G729" i="168"/>
  <c r="H729" i="168"/>
  <c r="F730" i="168"/>
  <c r="G730" i="168"/>
  <c r="H730" i="168"/>
  <c r="F731" i="168"/>
  <c r="G731" i="168"/>
  <c r="H731" i="168"/>
  <c r="F765" i="168"/>
  <c r="G765" i="168"/>
  <c r="H765" i="168"/>
  <c r="F766" i="168"/>
  <c r="G766" i="168"/>
  <c r="H766" i="168"/>
  <c r="F767" i="168"/>
  <c r="G767" i="168"/>
  <c r="H767" i="168"/>
  <c r="F768" i="168"/>
  <c r="G768" i="168"/>
  <c r="H768" i="168"/>
  <c r="F769" i="168"/>
  <c r="G769" i="168"/>
  <c r="H769" i="168"/>
  <c r="F770" i="168"/>
  <c r="G770" i="168"/>
  <c r="H770" i="168"/>
  <c r="F771" i="168"/>
  <c r="G771" i="168"/>
  <c r="H771" i="168"/>
  <c r="F836" i="168"/>
  <c r="G836" i="168"/>
  <c r="H836" i="168"/>
  <c r="F837" i="168"/>
  <c r="G837" i="168"/>
  <c r="H837" i="168"/>
  <c r="F838" i="168"/>
  <c r="G838" i="168"/>
  <c r="H838" i="168"/>
  <c r="F839" i="168"/>
  <c r="G839" i="168"/>
  <c r="H839" i="168"/>
  <c r="F840" i="168"/>
  <c r="G840" i="168"/>
  <c r="H840" i="168"/>
  <c r="F841" i="168"/>
  <c r="G841" i="168"/>
  <c r="H841" i="168"/>
  <c r="F842" i="168"/>
  <c r="G842" i="168"/>
  <c r="H842" i="168"/>
  <c r="F843" i="168"/>
  <c r="G843" i="168"/>
  <c r="H843" i="168"/>
  <c r="F844" i="168"/>
  <c r="G844" i="168"/>
  <c r="H844" i="168"/>
  <c r="F845" i="168"/>
  <c r="G845" i="168"/>
  <c r="H845" i="168"/>
  <c r="F888" i="168"/>
  <c r="G888" i="168"/>
  <c r="H888" i="168"/>
  <c r="F889" i="168"/>
  <c r="G889" i="168"/>
  <c r="H889" i="168"/>
  <c r="F890" i="168"/>
  <c r="G890" i="168"/>
  <c r="H890" i="168"/>
  <c r="F891" i="168"/>
  <c r="G891" i="168"/>
  <c r="H891" i="168"/>
  <c r="F892" i="168"/>
  <c r="G892" i="168"/>
  <c r="H892" i="168"/>
  <c r="F893" i="168"/>
  <c r="G893" i="168"/>
  <c r="H893" i="168"/>
  <c r="F894" i="168"/>
  <c r="G894" i="168"/>
  <c r="H894" i="168"/>
  <c r="F895" i="168"/>
  <c r="G895" i="168"/>
  <c r="H895" i="168"/>
  <c r="F896" i="168"/>
  <c r="G896" i="168"/>
  <c r="H896" i="168"/>
  <c r="F897" i="168"/>
  <c r="G897" i="168"/>
  <c r="H897" i="168"/>
  <c r="F933" i="168"/>
  <c r="G933" i="168"/>
  <c r="H933" i="168"/>
  <c r="F934" i="168"/>
  <c r="G934" i="168"/>
  <c r="H934" i="168"/>
  <c r="F935" i="168"/>
  <c r="G935" i="168"/>
  <c r="H935" i="168"/>
  <c r="F936" i="168"/>
  <c r="G936" i="168"/>
  <c r="H936" i="168"/>
  <c r="F937" i="168"/>
  <c r="G937" i="168"/>
  <c r="H937" i="168"/>
  <c r="F938" i="168"/>
  <c r="G938" i="168"/>
  <c r="H938" i="168"/>
  <c r="F939" i="168"/>
  <c r="G939" i="168"/>
  <c r="H939" i="168"/>
  <c r="F940" i="168"/>
  <c r="G940" i="168"/>
  <c r="H940" i="168"/>
  <c r="F981" i="168"/>
  <c r="G981" i="168"/>
  <c r="H981" i="168"/>
  <c r="F982" i="168"/>
  <c r="G982" i="168"/>
  <c r="H982" i="168"/>
  <c r="F983" i="168"/>
  <c r="G983" i="168"/>
  <c r="H983" i="168"/>
  <c r="F984" i="168"/>
  <c r="G984" i="168"/>
  <c r="H984" i="168"/>
  <c r="F985" i="168"/>
  <c r="G985" i="168"/>
  <c r="H985" i="168"/>
  <c r="F986" i="168"/>
  <c r="G986" i="168"/>
  <c r="H986" i="168"/>
  <c r="F987" i="168"/>
  <c r="G987" i="168"/>
  <c r="H987" i="168"/>
  <c r="F988" i="168"/>
  <c r="G988" i="168"/>
  <c r="H988" i="168"/>
  <c r="F989" i="168"/>
  <c r="G989" i="168"/>
  <c r="H989" i="168"/>
  <c r="F990" i="168"/>
  <c r="G990" i="168"/>
  <c r="H990" i="168"/>
  <c r="F1061" i="168"/>
  <c r="G1061" i="168"/>
  <c r="H1061" i="168"/>
  <c r="F1062" i="168"/>
  <c r="G1062" i="168"/>
  <c r="H1062" i="168"/>
  <c r="F1063" i="168"/>
  <c r="G1063" i="168"/>
  <c r="H1063" i="168"/>
  <c r="F1064" i="168"/>
  <c r="G1064" i="168"/>
  <c r="H1064" i="168"/>
  <c r="F1065" i="168"/>
  <c r="G1065" i="168"/>
  <c r="H1065" i="168"/>
  <c r="F1066" i="168"/>
  <c r="G1066" i="168"/>
  <c r="H1066" i="168"/>
  <c r="F1067" i="168"/>
  <c r="G1067" i="168"/>
  <c r="H1067" i="168"/>
  <c r="F1068" i="168"/>
  <c r="G1068" i="168"/>
  <c r="H1068" i="168"/>
  <c r="F1069" i="168"/>
  <c r="G1069" i="168"/>
  <c r="H1069" i="168"/>
  <c r="F1070" i="168"/>
  <c r="G1070" i="168"/>
  <c r="H1070" i="168"/>
  <c r="F1120" i="168"/>
  <c r="G1120" i="168"/>
  <c r="H1120" i="168"/>
  <c r="F1121" i="168"/>
  <c r="G1121" i="168"/>
  <c r="H1121" i="168"/>
  <c r="F1122" i="168"/>
  <c r="G1122" i="168"/>
  <c r="H1122" i="168"/>
  <c r="F1123" i="168"/>
  <c r="G1123" i="168"/>
  <c r="H1123" i="168"/>
  <c r="F1124" i="168"/>
  <c r="G1124" i="168"/>
  <c r="H1124" i="168"/>
  <c r="F1125" i="168"/>
  <c r="G1125" i="168"/>
  <c r="H1125" i="168"/>
  <c r="F1126" i="168"/>
  <c r="G1126" i="168"/>
  <c r="H1126" i="168"/>
  <c r="F1127" i="168"/>
  <c r="G1127" i="168"/>
  <c r="H1127" i="168"/>
  <c r="F1128" i="168"/>
  <c r="G1128" i="168"/>
  <c r="H1128" i="168"/>
  <c r="F1129" i="168"/>
  <c r="G1129" i="168"/>
  <c r="H1129" i="168"/>
  <c r="H51" i="168"/>
  <c r="G51" i="168"/>
  <c r="F51" i="168"/>
  <c r="J10" i="168"/>
  <c r="F471" i="168"/>
  <c r="G471" i="168"/>
  <c r="H471" i="168"/>
  <c r="F472" i="168"/>
  <c r="G472" i="168"/>
  <c r="H472" i="168"/>
  <c r="F473" i="168"/>
  <c r="G473" i="168"/>
  <c r="H473" i="168"/>
  <c r="F474" i="168"/>
  <c r="G474" i="168"/>
  <c r="H474" i="168"/>
  <c r="F475" i="168"/>
  <c r="G475" i="168"/>
  <c r="H475" i="168"/>
  <c r="F476" i="168"/>
  <c r="G476" i="168"/>
  <c r="H476" i="168"/>
  <c r="F477" i="168"/>
  <c r="G477" i="168"/>
  <c r="H477" i="168"/>
  <c r="F478" i="168"/>
  <c r="G478" i="168"/>
  <c r="H478" i="168"/>
  <c r="F479" i="168"/>
  <c r="G479" i="168"/>
  <c r="H479" i="168"/>
  <c r="F480" i="168"/>
  <c r="G480" i="168"/>
  <c r="H480" i="168"/>
  <c r="F481" i="168"/>
  <c r="G481" i="168"/>
  <c r="H481" i="168"/>
  <c r="F482" i="168"/>
  <c r="G482" i="168"/>
  <c r="H482" i="168"/>
  <c r="F483" i="168"/>
  <c r="G483" i="168"/>
  <c r="H483" i="168"/>
  <c r="F484" i="168"/>
  <c r="G484" i="168"/>
  <c r="H484" i="168"/>
  <c r="F485" i="168"/>
  <c r="G485" i="168"/>
  <c r="H485" i="168"/>
  <c r="F486" i="168"/>
  <c r="G486" i="168"/>
  <c r="H486" i="168"/>
  <c r="F487" i="168"/>
  <c r="G487" i="168"/>
  <c r="H487" i="168"/>
  <c r="F488" i="168"/>
  <c r="G488" i="168"/>
  <c r="H488" i="168"/>
  <c r="F489" i="168"/>
  <c r="G489" i="168"/>
  <c r="H489" i="168"/>
  <c r="F490" i="168"/>
  <c r="G490" i="168"/>
  <c r="H490" i="168"/>
  <c r="F491" i="168"/>
  <c r="G491" i="168"/>
  <c r="H491" i="168"/>
  <c r="F492" i="168"/>
  <c r="G492" i="168"/>
  <c r="H492" i="168"/>
  <c r="F493" i="168"/>
  <c r="G493" i="168"/>
  <c r="H493" i="168"/>
  <c r="F494" i="168"/>
  <c r="G494" i="168"/>
  <c r="H494" i="168"/>
  <c r="F495" i="168"/>
  <c r="G495" i="168"/>
  <c r="H495" i="168"/>
  <c r="F496" i="168"/>
  <c r="G496" i="168"/>
  <c r="H496" i="168"/>
  <c r="F497" i="168"/>
  <c r="G497" i="168"/>
  <c r="H497" i="168"/>
  <c r="F498" i="168"/>
  <c r="G498" i="168"/>
  <c r="H498" i="168"/>
  <c r="H470" i="168"/>
  <c r="G470" i="168"/>
  <c r="F470" i="168"/>
  <c r="H12" i="168"/>
  <c r="G12" i="168"/>
  <c r="F12" i="168"/>
  <c r="AM106" i="179" l="1"/>
  <c r="AM104" i="179"/>
  <c r="AM105" i="179"/>
  <c r="AK1013" i="1"/>
  <c r="AL1013" i="1"/>
  <c r="AK2000" i="1"/>
  <c r="AL2000" i="1"/>
  <c r="AK1997" i="1"/>
  <c r="AL1997" i="1"/>
  <c r="AK1994" i="1"/>
  <c r="AL1994" i="1"/>
  <c r="AK1991" i="1"/>
  <c r="AL1991" i="1"/>
  <c r="AK1985" i="1"/>
  <c r="AL1985" i="1"/>
  <c r="AK1982" i="1"/>
  <c r="AL1982" i="1"/>
  <c r="AK1979" i="1"/>
  <c r="AL1979" i="1"/>
  <c r="AK1973" i="1"/>
  <c r="AL1973" i="1"/>
  <c r="AK1970" i="1"/>
  <c r="AL1970" i="1"/>
  <c r="AK1907" i="1"/>
  <c r="AL1907" i="1"/>
  <c r="AK1736" i="1"/>
  <c r="AL1736" i="1"/>
  <c r="AK1598" i="1"/>
  <c r="AL1598" i="1"/>
  <c r="AK1453" i="1"/>
  <c r="AL1453" i="1"/>
  <c r="AK1450" i="1"/>
  <c r="AL1450" i="1"/>
  <c r="AK1447" i="1"/>
  <c r="AL1447" i="1"/>
  <c r="AK1444" i="1"/>
  <c r="AL1444" i="1"/>
  <c r="AK1441" i="1"/>
  <c r="AL1441" i="1"/>
  <c r="AK1438" i="1"/>
  <c r="AL1438" i="1"/>
  <c r="AK1435" i="1"/>
  <c r="AL1435" i="1"/>
  <c r="AK1432" i="1"/>
  <c r="AL1432" i="1"/>
  <c r="AK1419" i="1"/>
  <c r="AL1419" i="1"/>
  <c r="AK1001" i="1"/>
  <c r="AL1001" i="1"/>
  <c r="AK1999" i="1"/>
  <c r="AL1999" i="1"/>
  <c r="AK1996" i="1"/>
  <c r="AL1996" i="1"/>
  <c r="AK1993" i="1"/>
  <c r="AL1993" i="1"/>
  <c r="AK1990" i="1"/>
  <c r="AL1990" i="1"/>
  <c r="AK1984" i="1"/>
  <c r="AL1984" i="1"/>
  <c r="AK1981" i="1"/>
  <c r="AL1981" i="1"/>
  <c r="AK1978" i="1"/>
  <c r="AL1978" i="1"/>
  <c r="AK1972" i="1"/>
  <c r="AL1972" i="1"/>
  <c r="AK1969" i="1"/>
  <c r="AL1969" i="1"/>
  <c r="AK1901" i="1"/>
  <c r="AL1901" i="1"/>
  <c r="AK1735" i="1"/>
  <c r="AL1735" i="1"/>
  <c r="AK1455" i="1"/>
  <c r="AL1455" i="1"/>
  <c r="AK1452" i="1"/>
  <c r="AL1452" i="1"/>
  <c r="AK1449" i="1"/>
  <c r="AL1449" i="1"/>
  <c r="AK1446" i="1"/>
  <c r="AL1446" i="1"/>
  <c r="AK1443" i="1"/>
  <c r="AL1443" i="1"/>
  <c r="AK1440" i="1"/>
  <c r="AL1440" i="1"/>
  <c r="AK1437" i="1"/>
  <c r="AL1437" i="1"/>
  <c r="AK1434" i="1"/>
  <c r="AL1434" i="1"/>
  <c r="AK1431" i="1"/>
  <c r="AL1431" i="1"/>
  <c r="AK1414" i="1"/>
  <c r="AL1414" i="1"/>
  <c r="AK1998" i="1"/>
  <c r="AL1998" i="1"/>
  <c r="AK1995" i="1"/>
  <c r="AL1995" i="1"/>
  <c r="AK1992" i="1"/>
  <c r="AL1992" i="1"/>
  <c r="AK1983" i="1"/>
  <c r="AL1983" i="1"/>
  <c r="AK1980" i="1"/>
  <c r="AL1980" i="1"/>
  <c r="AK1974" i="1"/>
  <c r="AL1974" i="1"/>
  <c r="AK1971" i="1"/>
  <c r="AL1971" i="1"/>
  <c r="AK1925" i="1"/>
  <c r="AL1925" i="1"/>
  <c r="AK1900" i="1"/>
  <c r="AL1900" i="1"/>
  <c r="AK1665" i="1"/>
  <c r="AL1665" i="1"/>
  <c r="AK1371" i="1"/>
  <c r="AL1371" i="1"/>
  <c r="AK1367" i="1"/>
  <c r="AL1367" i="1"/>
  <c r="AK1363" i="1"/>
  <c r="AL1363" i="1"/>
  <c r="AK1360" i="1"/>
  <c r="AL1360" i="1"/>
  <c r="AK1357" i="1"/>
  <c r="AL1357" i="1"/>
  <c r="AK1354" i="1"/>
  <c r="AL1354" i="1"/>
  <c r="AK1351" i="1"/>
  <c r="AL1351" i="1"/>
  <c r="AK1333" i="1"/>
  <c r="AL1333" i="1"/>
  <c r="AK1330" i="1"/>
  <c r="AL1330" i="1"/>
  <c r="AK1325" i="1"/>
  <c r="AL1325" i="1"/>
  <c r="AK1322" i="1"/>
  <c r="AL1322" i="1"/>
  <c r="AK1319" i="1"/>
  <c r="AL1319" i="1"/>
  <c r="AK1308" i="1"/>
  <c r="AL1308" i="1"/>
  <c r="AK1304" i="1"/>
  <c r="AL1304" i="1"/>
  <c r="AK1294" i="1"/>
  <c r="AL1294" i="1"/>
  <c r="AK1290" i="1"/>
  <c r="AL1290" i="1"/>
  <c r="AK1287" i="1"/>
  <c r="AL1287" i="1"/>
  <c r="AK1284" i="1"/>
  <c r="AL1284" i="1"/>
  <c r="AK1278" i="1"/>
  <c r="AL1278" i="1"/>
  <c r="AK1249" i="1"/>
  <c r="AL1249" i="1"/>
  <c r="AK1235" i="1"/>
  <c r="AL1235" i="1"/>
  <c r="AK1225" i="1"/>
  <c r="AL1225" i="1"/>
  <c r="AK1212" i="1"/>
  <c r="AL1212" i="1"/>
  <c r="AK1199" i="1"/>
  <c r="AL1199" i="1"/>
  <c r="AK1189" i="1"/>
  <c r="AL1189" i="1"/>
  <c r="AK1173" i="1"/>
  <c r="AL1173" i="1"/>
  <c r="AK1166" i="1"/>
  <c r="AL1166" i="1"/>
  <c r="AK1163" i="1"/>
  <c r="AL1163" i="1"/>
  <c r="AK1160" i="1"/>
  <c r="AL1160" i="1"/>
  <c r="AK1148" i="1"/>
  <c r="AL1148" i="1"/>
  <c r="AK1132" i="1"/>
  <c r="AL1132" i="1"/>
  <c r="AK1129" i="1"/>
  <c r="AL1129" i="1"/>
  <c r="AK1099" i="1"/>
  <c r="AL1099" i="1"/>
  <c r="AK1096" i="1"/>
  <c r="AL1096" i="1"/>
  <c r="AK1093" i="1"/>
  <c r="AL1093" i="1"/>
  <c r="AK1089" i="1"/>
  <c r="AL1089" i="1"/>
  <c r="AK1086" i="1"/>
  <c r="AL1086" i="1"/>
  <c r="AK1079" i="1"/>
  <c r="AL1079" i="1"/>
  <c r="AK1073" i="1"/>
  <c r="AL1073" i="1"/>
  <c r="AK1047" i="1"/>
  <c r="AL1047" i="1"/>
  <c r="AK1044" i="1"/>
  <c r="AL1044" i="1"/>
  <c r="AK1041" i="1"/>
  <c r="AL1041" i="1"/>
  <c r="AK1036" i="1"/>
  <c r="AL1036" i="1"/>
  <c r="AK1030" i="1"/>
  <c r="AL1030" i="1"/>
  <c r="AK1027" i="1"/>
  <c r="AL1027" i="1"/>
  <c r="AK1024" i="1"/>
  <c r="AL1024" i="1"/>
  <c r="AK1016" i="1"/>
  <c r="AL1016" i="1"/>
  <c r="AK989" i="1"/>
  <c r="AL989" i="1"/>
  <c r="AK985" i="1"/>
  <c r="AL985" i="1"/>
  <c r="AK961" i="1"/>
  <c r="AL961" i="1"/>
  <c r="AK957" i="1"/>
  <c r="AL957" i="1"/>
  <c r="AK952" i="1"/>
  <c r="AL952" i="1"/>
  <c r="AK927" i="1"/>
  <c r="AL927" i="1"/>
  <c r="AK924" i="1"/>
  <c r="AL924" i="1"/>
  <c r="AK921" i="1"/>
  <c r="AL921" i="1"/>
  <c r="AK918" i="1"/>
  <c r="AL918" i="1"/>
  <c r="AK897" i="1"/>
  <c r="AL897" i="1"/>
  <c r="AK878" i="1"/>
  <c r="AL878" i="1"/>
  <c r="AK851" i="1"/>
  <c r="AL851" i="1"/>
  <c r="AK848" i="1"/>
  <c r="AL848" i="1"/>
  <c r="AK843" i="1"/>
  <c r="AL843" i="1"/>
  <c r="AK840" i="1"/>
  <c r="AL840" i="1"/>
  <c r="AK825" i="1"/>
  <c r="AL825" i="1"/>
  <c r="AK821" i="1"/>
  <c r="AL821" i="1"/>
  <c r="AK817" i="1"/>
  <c r="AL817" i="1"/>
  <c r="AK814" i="1"/>
  <c r="AL814" i="1"/>
  <c r="AK810" i="1"/>
  <c r="AL810" i="1"/>
  <c r="AK796" i="1"/>
  <c r="AL796" i="1"/>
  <c r="AK793" i="1"/>
  <c r="AL793" i="1"/>
  <c r="AK790" i="1"/>
  <c r="AL790" i="1"/>
  <c r="AK780" i="1"/>
  <c r="AL780" i="1"/>
  <c r="AK775" i="1"/>
  <c r="AL775" i="1"/>
  <c r="AK771" i="1"/>
  <c r="AL771" i="1"/>
  <c r="AK768" i="1"/>
  <c r="AL768" i="1"/>
  <c r="AK765" i="1"/>
  <c r="AL765" i="1"/>
  <c r="AK762" i="1"/>
  <c r="AL762" i="1"/>
  <c r="AK759" i="1"/>
  <c r="AL759" i="1"/>
  <c r="AK755" i="1"/>
  <c r="AL755" i="1"/>
  <c r="AK740" i="1"/>
  <c r="AL740" i="1"/>
  <c r="AK729" i="1"/>
  <c r="AL729" i="1"/>
  <c r="AK710" i="1"/>
  <c r="AL710" i="1"/>
  <c r="AK707" i="1"/>
  <c r="AL707" i="1"/>
  <c r="AK704" i="1"/>
  <c r="AL704" i="1"/>
  <c r="AK701" i="1"/>
  <c r="AL701" i="1"/>
  <c r="AK536" i="1"/>
  <c r="AL536" i="1"/>
  <c r="AK533" i="1"/>
  <c r="AL533" i="1"/>
  <c r="AK530" i="1"/>
  <c r="AL530" i="1"/>
  <c r="AK526" i="1"/>
  <c r="AL526" i="1"/>
  <c r="AK523" i="1"/>
  <c r="AL523" i="1"/>
  <c r="AK520" i="1"/>
  <c r="AL520" i="1"/>
  <c r="AK516" i="1"/>
  <c r="AL516" i="1"/>
  <c r="AK513" i="1"/>
  <c r="AL513" i="1"/>
  <c r="AK510" i="1"/>
  <c r="AL510" i="1"/>
  <c r="AK507" i="1"/>
  <c r="AL507" i="1"/>
  <c r="AK504" i="1"/>
  <c r="AL504" i="1"/>
  <c r="AK488" i="1"/>
  <c r="AL488" i="1"/>
  <c r="AK485" i="1"/>
  <c r="AL485" i="1"/>
  <c r="AK482" i="1"/>
  <c r="AL482" i="1"/>
  <c r="AK463" i="1"/>
  <c r="AL463" i="1"/>
  <c r="AK434" i="1"/>
  <c r="AL434" i="1"/>
  <c r="AK431" i="1"/>
  <c r="AL431" i="1"/>
  <c r="AK426" i="1"/>
  <c r="AL426" i="1"/>
  <c r="AK423" i="1"/>
  <c r="AL423" i="1"/>
  <c r="AK413" i="1"/>
  <c r="AL413" i="1"/>
  <c r="AK398" i="1"/>
  <c r="AL398" i="1"/>
  <c r="AK391" i="1"/>
  <c r="AL391" i="1"/>
  <c r="AK330" i="1"/>
  <c r="AL330" i="1"/>
  <c r="AK316" i="1"/>
  <c r="AL316" i="1"/>
  <c r="AK313" i="1"/>
  <c r="AL313" i="1"/>
  <c r="AK297" i="1"/>
  <c r="AL297" i="1"/>
  <c r="AK294" i="1"/>
  <c r="AL294" i="1"/>
  <c r="AK291" i="1"/>
  <c r="AL291" i="1"/>
  <c r="AK288" i="1"/>
  <c r="AL288" i="1"/>
  <c r="AK279" i="1"/>
  <c r="AL279" i="1"/>
  <c r="AK275" i="1"/>
  <c r="AL275" i="1"/>
  <c r="AK271" i="1"/>
  <c r="AL271" i="1"/>
  <c r="AK267" i="1"/>
  <c r="AL267" i="1"/>
  <c r="AK254" i="1"/>
  <c r="AL254" i="1"/>
  <c r="AK247" i="1"/>
  <c r="AL247" i="1"/>
  <c r="AK226" i="1"/>
  <c r="AL226" i="1"/>
  <c r="AK223" i="1"/>
  <c r="AL223" i="1"/>
  <c r="AK214" i="1"/>
  <c r="AL214" i="1"/>
  <c r="AK209" i="1"/>
  <c r="AL209" i="1"/>
  <c r="AK203" i="1"/>
  <c r="AL203" i="1"/>
  <c r="AK200" i="1"/>
  <c r="AL200" i="1"/>
  <c r="AK188" i="1"/>
  <c r="AL188" i="1"/>
  <c r="AK152" i="1"/>
  <c r="AL152" i="1"/>
  <c r="AK148" i="1"/>
  <c r="AL148" i="1"/>
  <c r="AK145" i="1"/>
  <c r="AL145" i="1"/>
  <c r="AK142" i="1"/>
  <c r="AL142" i="1"/>
  <c r="AK139" i="1"/>
  <c r="AL139" i="1"/>
  <c r="AK136" i="1"/>
  <c r="AL136" i="1"/>
  <c r="AK133" i="1"/>
  <c r="AL133" i="1"/>
  <c r="AK130" i="1"/>
  <c r="AL130" i="1"/>
  <c r="AK122" i="1"/>
  <c r="AL122" i="1"/>
  <c r="AK119" i="1"/>
  <c r="AL119" i="1"/>
  <c r="AK67" i="1"/>
  <c r="AL67" i="1"/>
  <c r="AK64" i="1"/>
  <c r="AL64" i="1"/>
  <c r="AK58" i="1"/>
  <c r="AL58" i="1"/>
  <c r="AK50" i="1"/>
  <c r="AL50" i="1"/>
  <c r="AK47" i="1"/>
  <c r="AL47" i="1"/>
  <c r="AK42" i="1"/>
  <c r="AL42" i="1"/>
  <c r="AK25" i="1"/>
  <c r="AL25" i="1"/>
  <c r="AK6" i="1"/>
  <c r="AL6" i="1"/>
  <c r="AK1526" i="1"/>
  <c r="AL1526" i="1"/>
  <c r="AK100" i="1"/>
  <c r="AL100" i="1"/>
  <c r="AK874" i="1"/>
  <c r="AL874" i="1"/>
  <c r="AK194" i="1"/>
  <c r="AL194" i="1"/>
  <c r="AK78" i="1"/>
  <c r="AL78" i="1"/>
  <c r="AK1659" i="1"/>
  <c r="AL1659" i="1"/>
  <c r="AK1657" i="1"/>
  <c r="AL1657" i="1"/>
  <c r="AK1375" i="1"/>
  <c r="AL1375" i="1"/>
  <c r="AK1935" i="1"/>
  <c r="AL1935" i="1"/>
  <c r="AK1784" i="1"/>
  <c r="AL1784" i="1"/>
  <c r="AK1641" i="1"/>
  <c r="AL1641" i="1"/>
  <c r="AK1410" i="1"/>
  <c r="AL1410" i="1"/>
  <c r="AK1921" i="1"/>
  <c r="AL1921" i="1"/>
  <c r="AK1504" i="1"/>
  <c r="AL1504" i="1"/>
  <c r="AK1261" i="1"/>
  <c r="AL1261" i="1"/>
  <c r="AK911" i="1"/>
  <c r="AL911" i="1"/>
  <c r="AK1624" i="1"/>
  <c r="AL1624" i="1"/>
  <c r="AK902" i="1"/>
  <c r="AL902" i="1"/>
  <c r="AK1600" i="1"/>
  <c r="AL1600" i="1"/>
  <c r="AK1730" i="1"/>
  <c r="AL1730" i="1"/>
  <c r="AK1488" i="1"/>
  <c r="AL1488" i="1"/>
  <c r="AK1487" i="1"/>
  <c r="AL1487" i="1"/>
  <c r="AK1187" i="1"/>
  <c r="AL1187" i="1"/>
  <c r="AK1949" i="1"/>
  <c r="AL1949" i="1"/>
  <c r="AK865" i="1"/>
  <c r="AL865" i="1"/>
  <c r="AK1923" i="1"/>
  <c r="AL1923" i="1"/>
  <c r="AK1566" i="1"/>
  <c r="AL1566" i="1"/>
  <c r="AK1506" i="1"/>
  <c r="AL1506" i="1"/>
  <c r="AK1082" i="1"/>
  <c r="AL1082" i="1"/>
  <c r="AK1479" i="1"/>
  <c r="AL1479" i="1"/>
  <c r="AK1500" i="1"/>
  <c r="AL1500" i="1"/>
  <c r="AK970" i="1"/>
  <c r="AL970" i="1"/>
  <c r="AK355" i="1"/>
  <c r="AL355" i="1"/>
  <c r="AK176" i="1"/>
  <c r="AL176" i="1"/>
  <c r="AK803" i="1"/>
  <c r="AL803" i="1"/>
  <c r="AK1061" i="1"/>
  <c r="AL1061" i="1"/>
  <c r="AK805" i="1"/>
  <c r="AL805" i="1"/>
  <c r="AK252" i="1"/>
  <c r="AL252" i="1"/>
  <c r="AK542" i="1"/>
  <c r="AL542" i="1"/>
  <c r="AK1259" i="1"/>
  <c r="AL1259" i="1"/>
  <c r="AK1856" i="1"/>
  <c r="AL1856" i="1"/>
  <c r="AK1652" i="1"/>
  <c r="AL1652" i="1"/>
  <c r="AK1512" i="1"/>
  <c r="AL1512" i="1"/>
  <c r="AK1281" i="1"/>
  <c r="AL1281" i="1"/>
  <c r="AK1156" i="1"/>
  <c r="AL1156" i="1"/>
  <c r="AK899" i="1"/>
  <c r="AL899" i="1"/>
  <c r="AK885" i="1"/>
  <c r="AL885" i="1"/>
  <c r="AK21" i="1"/>
  <c r="AL21" i="1"/>
  <c r="AK1791" i="1"/>
  <c r="AL1791" i="1"/>
  <c r="AK1196" i="1"/>
  <c r="AL1196" i="1"/>
  <c r="AK1310" i="1"/>
  <c r="AL1310" i="1"/>
  <c r="AK155" i="1"/>
  <c r="AL155" i="1"/>
  <c r="AK1374" i="1"/>
  <c r="AL1374" i="1"/>
  <c r="AK1781" i="1"/>
  <c r="AL1781" i="1"/>
  <c r="AK1635" i="1"/>
  <c r="AL1635" i="1"/>
  <c r="AK1581" i="1"/>
  <c r="AL1581" i="1"/>
  <c r="AK1385" i="1"/>
  <c r="AL1385" i="1"/>
  <c r="AK942" i="1"/>
  <c r="AL942" i="1"/>
  <c r="AK1929" i="1"/>
  <c r="AL1929" i="1"/>
  <c r="AK1307" i="1"/>
  <c r="AL1307" i="1"/>
  <c r="AK1064" i="1"/>
  <c r="AL1064" i="1"/>
  <c r="AK169" i="1"/>
  <c r="AL169" i="1"/>
  <c r="AK1696" i="1"/>
  <c r="AL1696" i="1"/>
  <c r="AK75" i="1"/>
  <c r="AL75" i="1"/>
  <c r="AK1770" i="1"/>
  <c r="AL1770" i="1"/>
  <c r="AK1040" i="1"/>
  <c r="AL1040" i="1"/>
  <c r="AK651" i="1"/>
  <c r="AL651" i="1"/>
  <c r="AK127" i="1"/>
  <c r="AL127" i="1"/>
  <c r="AK1299" i="1"/>
  <c r="AL1299" i="1"/>
  <c r="AK665" i="1"/>
  <c r="AL665" i="1"/>
  <c r="AK1801" i="1"/>
  <c r="AL1801" i="1"/>
  <c r="AK1272" i="1"/>
  <c r="AL1272" i="1"/>
  <c r="AK1853" i="1"/>
  <c r="AL1853" i="1"/>
  <c r="AK107" i="1"/>
  <c r="AL107" i="1"/>
  <c r="AK722" i="1"/>
  <c r="AL722" i="1"/>
  <c r="AK930" i="1"/>
  <c r="AL930" i="1"/>
  <c r="AK671" i="1"/>
  <c r="AL671" i="1"/>
  <c r="AK1569" i="1"/>
  <c r="AL1569" i="1"/>
  <c r="AK1712" i="1"/>
  <c r="AL1712" i="1"/>
  <c r="AK1152" i="1"/>
  <c r="AL1152" i="1"/>
  <c r="AK963" i="1"/>
  <c r="AL963" i="1"/>
  <c r="AK852" i="1"/>
  <c r="AL852" i="1"/>
  <c r="AK326" i="1"/>
  <c r="AL326" i="1"/>
  <c r="AK149" i="1"/>
  <c r="AL149" i="1"/>
  <c r="AK74" i="1"/>
  <c r="AL74" i="1"/>
  <c r="AK1809" i="1"/>
  <c r="AL1809" i="1"/>
  <c r="AK356" i="1"/>
  <c r="AL356" i="1"/>
  <c r="AK394" i="1"/>
  <c r="AL394" i="1"/>
  <c r="AK1257" i="1"/>
  <c r="AL1257" i="1"/>
  <c r="AK787" i="1"/>
  <c r="AL787" i="1"/>
  <c r="AK461" i="1"/>
  <c r="AL461" i="1"/>
  <c r="AK409" i="1"/>
  <c r="AL409" i="1"/>
  <c r="AK406" i="1"/>
  <c r="AL406" i="1"/>
  <c r="AK52" i="1"/>
  <c r="AL52" i="1"/>
  <c r="AK36" i="1"/>
  <c r="AL36" i="1"/>
  <c r="AK1271" i="1"/>
  <c r="AL1271" i="1"/>
  <c r="AK1154" i="1"/>
  <c r="AL1154" i="1"/>
  <c r="AK453" i="1"/>
  <c r="AL453" i="1"/>
  <c r="AK217" i="1"/>
  <c r="AL217" i="1"/>
  <c r="AK1342" i="1"/>
  <c r="AL1342" i="1"/>
  <c r="AK1338" i="1"/>
  <c r="AL1338" i="1"/>
  <c r="AK1194" i="1"/>
  <c r="AL1194" i="1"/>
  <c r="AK1181" i="1"/>
  <c r="AL1181" i="1"/>
  <c r="AK32" i="1"/>
  <c r="AL32" i="1"/>
  <c r="AK1882" i="1"/>
  <c r="AL1882" i="1"/>
  <c r="AK1955" i="1"/>
  <c r="AL1955" i="1"/>
  <c r="AK1697" i="1"/>
  <c r="AL1697" i="1"/>
  <c r="AK1369" i="1"/>
  <c r="AL1369" i="1"/>
  <c r="AK1365" i="1"/>
  <c r="AL1365" i="1"/>
  <c r="AK1362" i="1"/>
  <c r="AL1362" i="1"/>
  <c r="AK1359" i="1"/>
  <c r="AL1359" i="1"/>
  <c r="AK1356" i="1"/>
  <c r="AL1356" i="1"/>
  <c r="AK1353" i="1"/>
  <c r="AL1353" i="1"/>
  <c r="AK1341" i="1"/>
  <c r="AL1341" i="1"/>
  <c r="AK1332" i="1"/>
  <c r="AL1332" i="1"/>
  <c r="AK1329" i="1"/>
  <c r="AL1329" i="1"/>
  <c r="AK1324" i="1"/>
  <c r="AL1324" i="1"/>
  <c r="AK1321" i="1"/>
  <c r="AL1321" i="1"/>
  <c r="AK1318" i="1"/>
  <c r="AL1318" i="1"/>
  <c r="AK1306" i="1"/>
  <c r="AL1306" i="1"/>
  <c r="AK1300" i="1"/>
  <c r="AL1300" i="1"/>
  <c r="AK1293" i="1"/>
  <c r="AL1293" i="1"/>
  <c r="AK1289" i="1"/>
  <c r="AL1289" i="1"/>
  <c r="AK1286" i="1"/>
  <c r="AL1286" i="1"/>
  <c r="AK1283" i="1"/>
  <c r="AL1283" i="1"/>
  <c r="AK1262" i="1"/>
  <c r="AL1262" i="1"/>
  <c r="AK1246" i="1"/>
  <c r="AL1246" i="1"/>
  <c r="AK1234" i="1"/>
  <c r="AL1234" i="1"/>
  <c r="AK1218" i="1"/>
  <c r="AL1218" i="1"/>
  <c r="AK1211" i="1"/>
  <c r="AL1211" i="1"/>
  <c r="AK1198" i="1"/>
  <c r="AL1198" i="1"/>
  <c r="AK1188" i="1"/>
  <c r="AL1188" i="1"/>
  <c r="AK1172" i="1"/>
  <c r="AL1172" i="1"/>
  <c r="AK1165" i="1"/>
  <c r="AL1165" i="1"/>
  <c r="AK1162" i="1"/>
  <c r="AL1162" i="1"/>
  <c r="AK1159" i="1"/>
  <c r="AL1159" i="1"/>
  <c r="AK1144" i="1"/>
  <c r="AL1144" i="1"/>
  <c r="AK1131" i="1"/>
  <c r="AL1131" i="1"/>
  <c r="AK1128" i="1"/>
  <c r="AL1128" i="1"/>
  <c r="AK1103" i="1"/>
  <c r="AL1103" i="1"/>
  <c r="AK1098" i="1"/>
  <c r="AL1098" i="1"/>
  <c r="AK1095" i="1"/>
  <c r="AL1095" i="1"/>
  <c r="AK1091" i="1"/>
  <c r="AL1091" i="1"/>
  <c r="AK1088" i="1"/>
  <c r="AL1088" i="1"/>
  <c r="AK1085" i="1"/>
  <c r="AL1085" i="1"/>
  <c r="AK1076" i="1"/>
  <c r="AL1076" i="1"/>
  <c r="AK1049" i="1"/>
  <c r="AL1049" i="1"/>
  <c r="AK1046" i="1"/>
  <c r="AL1046" i="1"/>
  <c r="AK1043" i="1"/>
  <c r="AL1043" i="1"/>
  <c r="AK1038" i="1"/>
  <c r="AL1038" i="1"/>
  <c r="AK1032" i="1"/>
  <c r="AL1032" i="1"/>
  <c r="AK1029" i="1"/>
  <c r="AL1029" i="1"/>
  <c r="AK1026" i="1"/>
  <c r="AL1026" i="1"/>
  <c r="AK1023" i="1"/>
  <c r="AL1023" i="1"/>
  <c r="AK991" i="1"/>
  <c r="AL991" i="1"/>
  <c r="AK988" i="1"/>
  <c r="AL988" i="1"/>
  <c r="AK978" i="1"/>
  <c r="AL978" i="1"/>
  <c r="AK960" i="1"/>
  <c r="AL960" i="1"/>
  <c r="AK954" i="1"/>
  <c r="AL954" i="1"/>
  <c r="AK929" i="1"/>
  <c r="AL929" i="1"/>
  <c r="AK926" i="1"/>
  <c r="AL926" i="1"/>
  <c r="AK923" i="1"/>
  <c r="AL923" i="1"/>
  <c r="AK920" i="1"/>
  <c r="AL920" i="1"/>
  <c r="AK907" i="1"/>
  <c r="AL907" i="1"/>
  <c r="AK880" i="1"/>
  <c r="AL880" i="1"/>
  <c r="AK867" i="1"/>
  <c r="AL867" i="1"/>
  <c r="AK850" i="1"/>
  <c r="AL850" i="1"/>
  <c r="AK845" i="1"/>
  <c r="AL845" i="1"/>
  <c r="AK842" i="1"/>
  <c r="AL842" i="1"/>
  <c r="AK839" i="1"/>
  <c r="AL839" i="1"/>
  <c r="AK824" i="1"/>
  <c r="AL824" i="1"/>
  <c r="AK819" i="1"/>
  <c r="AL819" i="1"/>
  <c r="AK816" i="1"/>
  <c r="AL816" i="1"/>
  <c r="AK813" i="1"/>
  <c r="AL813" i="1"/>
  <c r="AK802" i="1"/>
  <c r="AL802" i="1"/>
  <c r="AK795" i="1"/>
  <c r="AL795" i="1"/>
  <c r="AK792" i="1"/>
  <c r="AL792" i="1"/>
  <c r="AK782" i="1"/>
  <c r="AL782" i="1"/>
  <c r="AK779" i="1"/>
  <c r="AL779" i="1"/>
  <c r="AK774" i="1"/>
  <c r="AL774" i="1"/>
  <c r="AK770" i="1"/>
  <c r="AL770" i="1"/>
  <c r="AK767" i="1"/>
  <c r="AL767" i="1"/>
  <c r="AK764" i="1"/>
  <c r="AL764" i="1"/>
  <c r="AK761" i="1"/>
  <c r="AL761" i="1"/>
  <c r="AK757" i="1"/>
  <c r="AL757" i="1"/>
  <c r="AK749" i="1"/>
  <c r="AL749" i="1"/>
  <c r="AK738" i="1"/>
  <c r="AL738" i="1"/>
  <c r="AK712" i="1"/>
  <c r="AL712" i="1"/>
  <c r="AK709" i="1"/>
  <c r="AL709" i="1"/>
  <c r="AK706" i="1"/>
  <c r="AL706" i="1"/>
  <c r="AK703" i="1"/>
  <c r="AL703" i="1"/>
  <c r="AK630" i="1"/>
  <c r="AL630" i="1"/>
  <c r="AK535" i="1"/>
  <c r="AL535" i="1"/>
  <c r="AK532" i="1"/>
  <c r="AL532" i="1"/>
  <c r="AK529" i="1"/>
  <c r="AL529" i="1"/>
  <c r="AK525" i="1"/>
  <c r="AL525" i="1"/>
  <c r="AK522" i="1"/>
  <c r="AL522" i="1"/>
  <c r="AK518" i="1"/>
  <c r="AL518" i="1"/>
  <c r="AK515" i="1"/>
  <c r="AL515" i="1"/>
  <c r="AK512" i="1"/>
  <c r="AL512" i="1"/>
  <c r="AK509" i="1"/>
  <c r="AL509" i="1"/>
  <c r="AK506" i="1"/>
  <c r="AL506" i="1"/>
  <c r="AK495" i="1"/>
  <c r="AL495" i="1"/>
  <c r="AK487" i="1"/>
  <c r="AL487" i="1"/>
  <c r="AK484" i="1"/>
  <c r="AL484" i="1"/>
  <c r="AK478" i="1"/>
  <c r="AL478" i="1"/>
  <c r="AK460" i="1"/>
  <c r="AL460" i="1"/>
  <c r="AK433" i="1"/>
  <c r="AL433" i="1"/>
  <c r="AK430" i="1"/>
  <c r="AL430" i="1"/>
  <c r="AK425" i="1"/>
  <c r="AL425" i="1"/>
  <c r="AK422" i="1"/>
  <c r="AL422" i="1"/>
  <c r="AK412" i="1"/>
  <c r="AL412" i="1"/>
  <c r="AK397" i="1"/>
  <c r="AL397" i="1"/>
  <c r="AK332" i="1"/>
  <c r="AL332" i="1"/>
  <c r="AK328" i="1"/>
  <c r="AL328" i="1"/>
  <c r="AK315" i="1"/>
  <c r="AL315" i="1"/>
  <c r="AK299" i="1"/>
  <c r="AL299" i="1"/>
  <c r="AK296" i="1"/>
  <c r="AL296" i="1"/>
  <c r="AK293" i="1"/>
  <c r="AL293" i="1"/>
  <c r="AK290" i="1"/>
  <c r="AL290" i="1"/>
  <c r="AK286" i="1"/>
  <c r="AL286" i="1"/>
  <c r="AK278" i="1"/>
  <c r="AL278" i="1"/>
  <c r="AK274" i="1"/>
  <c r="AL274" i="1"/>
  <c r="AK270" i="1"/>
  <c r="AL270" i="1"/>
  <c r="AK266" i="1"/>
  <c r="AL266" i="1"/>
  <c r="AK250" i="1"/>
  <c r="AL250" i="1"/>
  <c r="AK246" i="1"/>
  <c r="AL246" i="1"/>
  <c r="AK225" i="1"/>
  <c r="AL225" i="1"/>
  <c r="AK221" i="1"/>
  <c r="AL221" i="1"/>
  <c r="AK213" i="1"/>
  <c r="AL213" i="1"/>
  <c r="AK205" i="1"/>
  <c r="AL205" i="1"/>
  <c r="AK202" i="1"/>
  <c r="AL202" i="1"/>
  <c r="AK199" i="1"/>
  <c r="AL199" i="1"/>
  <c r="AK182" i="1"/>
  <c r="AL182" i="1"/>
  <c r="AK151" i="1"/>
  <c r="AL151" i="1"/>
  <c r="AK147" i="1"/>
  <c r="AL147" i="1"/>
  <c r="AK144" i="1"/>
  <c r="AL144" i="1"/>
  <c r="AK141" i="1"/>
  <c r="AL141" i="1"/>
  <c r="AK138" i="1"/>
  <c r="AL138" i="1"/>
  <c r="AK135" i="1"/>
  <c r="AL135" i="1"/>
  <c r="AK132" i="1"/>
  <c r="AL132" i="1"/>
  <c r="AK124" i="1"/>
  <c r="AL124" i="1"/>
  <c r="AK121" i="1"/>
  <c r="AL121" i="1"/>
  <c r="AK118" i="1"/>
  <c r="AL118" i="1"/>
  <c r="AK66" i="1"/>
  <c r="AL66" i="1"/>
  <c r="AK63" i="1"/>
  <c r="AL63" i="1"/>
  <c r="AK57" i="1"/>
  <c r="AL57" i="1"/>
  <c r="AK49" i="1"/>
  <c r="AL49" i="1"/>
  <c r="AK46" i="1"/>
  <c r="AL46" i="1"/>
  <c r="AK41" i="1"/>
  <c r="AL41" i="1"/>
  <c r="AK24" i="1"/>
  <c r="AL24" i="1"/>
  <c r="AK5" i="1"/>
  <c r="AL5" i="1"/>
  <c r="AK1540" i="1"/>
  <c r="AL1540" i="1"/>
  <c r="AK1519" i="1"/>
  <c r="AL1519" i="1"/>
  <c r="AK725" i="1"/>
  <c r="AL725" i="1"/>
  <c r="AK112" i="1"/>
  <c r="AL112" i="1"/>
  <c r="AK104" i="1"/>
  <c r="AL104" i="1"/>
  <c r="AK1932" i="1"/>
  <c r="AL1932" i="1"/>
  <c r="AK1620" i="1"/>
  <c r="AL1620" i="1"/>
  <c r="AK1406" i="1"/>
  <c r="AL1406" i="1"/>
  <c r="AK1812" i="1"/>
  <c r="AL1812" i="1"/>
  <c r="AK1760" i="1"/>
  <c r="AL1760" i="1"/>
  <c r="AK1547" i="1"/>
  <c r="AL1547" i="1"/>
  <c r="AK190" i="1"/>
  <c r="AL190" i="1"/>
  <c r="AK1157" i="1"/>
  <c r="AL1157" i="1"/>
  <c r="AK1645" i="1"/>
  <c r="AL1645" i="1"/>
  <c r="AK1423" i="1"/>
  <c r="AL1423" i="1"/>
  <c r="AK883" i="1"/>
  <c r="AL883" i="1"/>
  <c r="AK1568" i="1"/>
  <c r="AL1568" i="1"/>
  <c r="AK1591" i="1"/>
  <c r="AL1591" i="1"/>
  <c r="AK1779" i="1"/>
  <c r="AL1779" i="1"/>
  <c r="AK1862" i="1"/>
  <c r="AL1862" i="1"/>
  <c r="AK411" i="1"/>
  <c r="AL411" i="1"/>
  <c r="AK1808" i="1"/>
  <c r="AL1808" i="1"/>
  <c r="AK938" i="1"/>
  <c r="AL938" i="1"/>
  <c r="AK1680" i="1"/>
  <c r="AL1680" i="1"/>
  <c r="AK1918" i="1"/>
  <c r="AL1918" i="1"/>
  <c r="AK1640" i="1"/>
  <c r="AL1640" i="1"/>
  <c r="AK180" i="1"/>
  <c r="AL180" i="1"/>
  <c r="AK1202" i="1"/>
  <c r="AL1202" i="1"/>
  <c r="AK1494" i="1"/>
  <c r="AL1494" i="1"/>
  <c r="AK550" i="1"/>
  <c r="AL550" i="1"/>
  <c r="AK353" i="1"/>
  <c r="AL353" i="1"/>
  <c r="AK1405" i="1"/>
  <c r="AL1405" i="1"/>
  <c r="AK499" i="1"/>
  <c r="AL499" i="1"/>
  <c r="AK870" i="1"/>
  <c r="AL870" i="1"/>
  <c r="AK1126" i="1"/>
  <c r="AL1126" i="1"/>
  <c r="AK541" i="1"/>
  <c r="AL541" i="1"/>
  <c r="AK1243" i="1"/>
  <c r="AL1243" i="1"/>
  <c r="AK1744" i="1"/>
  <c r="AL1744" i="1"/>
  <c r="AK1530" i="1"/>
  <c r="AL1530" i="1"/>
  <c r="AK1740" i="1"/>
  <c r="AL1740" i="1"/>
  <c r="AK1280" i="1"/>
  <c r="AL1280" i="1"/>
  <c r="AK1151" i="1"/>
  <c r="AL1151" i="1"/>
  <c r="AK893" i="1"/>
  <c r="AL893" i="1"/>
  <c r="AK806" i="1"/>
  <c r="AL806" i="1"/>
  <c r="AK18" i="1"/>
  <c r="AL18" i="1"/>
  <c r="AK1214" i="1"/>
  <c r="AL1214" i="1"/>
  <c r="AK1777" i="1"/>
  <c r="AL1777" i="1"/>
  <c r="AK360" i="1"/>
  <c r="AL360" i="1"/>
  <c r="AK372" i="1"/>
  <c r="AL372" i="1"/>
  <c r="AK1402" i="1"/>
  <c r="AL1402" i="1"/>
  <c r="AK1373" i="1"/>
  <c r="AL1373" i="1"/>
  <c r="AK1757" i="1"/>
  <c r="AL1757" i="1"/>
  <c r="AK1623" i="1"/>
  <c r="AL1623" i="1"/>
  <c r="AK1567" i="1"/>
  <c r="AL1567" i="1"/>
  <c r="AK1139" i="1"/>
  <c r="AL1139" i="1"/>
  <c r="AK882" i="1"/>
  <c r="AL882" i="1"/>
  <c r="AK160" i="1"/>
  <c r="AL160" i="1"/>
  <c r="AK1618" i="1"/>
  <c r="AL1618" i="1"/>
  <c r="AK1264" i="1"/>
  <c r="AL1264" i="1"/>
  <c r="AK721" i="1"/>
  <c r="AL721" i="1"/>
  <c r="AK373" i="1"/>
  <c r="AL373" i="1"/>
  <c r="AK1523" i="1"/>
  <c r="AL1523" i="1"/>
  <c r="AK14" i="1"/>
  <c r="AL14" i="1"/>
  <c r="AK69" i="1"/>
  <c r="AL69" i="1"/>
  <c r="AK719" i="1"/>
  <c r="AL719" i="1"/>
  <c r="AK1538" i="1"/>
  <c r="AL1538" i="1"/>
  <c r="AK800" i="1"/>
  <c r="AL800" i="1"/>
  <c r="AK1184" i="1"/>
  <c r="AL1184" i="1"/>
  <c r="AK87" i="1"/>
  <c r="AL87" i="1"/>
  <c r="AK700" i="1"/>
  <c r="AL700" i="1"/>
  <c r="AK664" i="1"/>
  <c r="AL664" i="1"/>
  <c r="AK1952" i="1"/>
  <c r="AL1952" i="1"/>
  <c r="AK1790" i="1"/>
  <c r="AL1790" i="1"/>
  <c r="AK1912" i="1"/>
  <c r="AL1912" i="1"/>
  <c r="AK654" i="1"/>
  <c r="AL654" i="1"/>
  <c r="AK714" i="1"/>
  <c r="AL714" i="1"/>
  <c r="AK833" i="1"/>
  <c r="AL833" i="1"/>
  <c r="AK382" i="1"/>
  <c r="AL382" i="1"/>
  <c r="AK1057" i="1"/>
  <c r="AL1057" i="1"/>
  <c r="AK1698" i="1"/>
  <c r="AL1698" i="1"/>
  <c r="AK1328" i="1"/>
  <c r="AL1328" i="1"/>
  <c r="AK1133" i="1"/>
  <c r="AL1133" i="1"/>
  <c r="AK947" i="1"/>
  <c r="AL947" i="1"/>
  <c r="AK631" i="1"/>
  <c r="AL631" i="1"/>
  <c r="AK207" i="1"/>
  <c r="AL207" i="1"/>
  <c r="AK109" i="1"/>
  <c r="AL109" i="1"/>
  <c r="AK1183" i="1"/>
  <c r="AL1183" i="1"/>
  <c r="AK12" i="1"/>
  <c r="AL12" i="1"/>
  <c r="AK744" i="1"/>
  <c r="AL744" i="1"/>
  <c r="AK1179" i="1"/>
  <c r="AL1179" i="1"/>
  <c r="AK758" i="1"/>
  <c r="AL758" i="1"/>
  <c r="AK455" i="1"/>
  <c r="AL455" i="1"/>
  <c r="AK408" i="1"/>
  <c r="AL408" i="1"/>
  <c r="AK405" i="1"/>
  <c r="AL405" i="1"/>
  <c r="AK44" i="1"/>
  <c r="AL44" i="1"/>
  <c r="AK1251" i="1"/>
  <c r="AL1251" i="1"/>
  <c r="AK747" i="1"/>
  <c r="AL747" i="1"/>
  <c r="AK452" i="1"/>
  <c r="AL452" i="1"/>
  <c r="AK1337" i="1"/>
  <c r="AL1337" i="1"/>
  <c r="AK436" i="1"/>
  <c r="AL436" i="1"/>
  <c r="AK1347" i="1"/>
  <c r="AL1347" i="1"/>
  <c r="AK1186" i="1"/>
  <c r="AL1186" i="1"/>
  <c r="AK476" i="1"/>
  <c r="AL476" i="1"/>
  <c r="AK753" i="1"/>
  <c r="AL753" i="1"/>
  <c r="AK1018" i="1"/>
  <c r="AL1018" i="1"/>
  <c r="AK605" i="1"/>
  <c r="AL605" i="1"/>
  <c r="AK467" i="1"/>
  <c r="AL467" i="1"/>
  <c r="AK1580" i="1"/>
  <c r="AL1580" i="1"/>
  <c r="AK1868" i="1"/>
  <c r="AL1868" i="1"/>
  <c r="AK1454" i="1"/>
  <c r="AL1454" i="1"/>
  <c r="AK1451" i="1"/>
  <c r="AL1451" i="1"/>
  <c r="AK1448" i="1"/>
  <c r="AL1448" i="1"/>
  <c r="AK1445" i="1"/>
  <c r="AL1445" i="1"/>
  <c r="AK1442" i="1"/>
  <c r="AL1442" i="1"/>
  <c r="AK1439" i="1"/>
  <c r="AL1439" i="1"/>
  <c r="AK1436" i="1"/>
  <c r="AL1436" i="1"/>
  <c r="AK1433" i="1"/>
  <c r="AL1433" i="1"/>
  <c r="AK1430" i="1"/>
  <c r="AL1430" i="1"/>
  <c r="AK1372" i="1"/>
  <c r="AL1372" i="1"/>
  <c r="AK1368" i="1"/>
  <c r="AL1368" i="1"/>
  <c r="AK1364" i="1"/>
  <c r="AL1364" i="1"/>
  <c r="AK1361" i="1"/>
  <c r="AL1361" i="1"/>
  <c r="AK1358" i="1"/>
  <c r="AL1358" i="1"/>
  <c r="AK1355" i="1"/>
  <c r="AL1355" i="1"/>
  <c r="AK1352" i="1"/>
  <c r="AL1352" i="1"/>
  <c r="AK1334" i="1"/>
  <c r="AL1334" i="1"/>
  <c r="AK1331" i="1"/>
  <c r="AL1331" i="1"/>
  <c r="AK1326" i="1"/>
  <c r="AL1326" i="1"/>
  <c r="AK1323" i="1"/>
  <c r="AL1323" i="1"/>
  <c r="AK1320" i="1"/>
  <c r="AL1320" i="1"/>
  <c r="AK1314" i="1"/>
  <c r="AL1314" i="1"/>
  <c r="AK1305" i="1"/>
  <c r="AL1305" i="1"/>
  <c r="AK1295" i="1"/>
  <c r="AL1295" i="1"/>
  <c r="AK1291" i="1"/>
  <c r="AL1291" i="1"/>
  <c r="AK1288" i="1"/>
  <c r="AL1288" i="1"/>
  <c r="AK1285" i="1"/>
  <c r="AL1285" i="1"/>
  <c r="AK1282" i="1"/>
  <c r="AL1282" i="1"/>
  <c r="AK1256" i="1"/>
  <c r="AL1256" i="1"/>
  <c r="AK1237" i="1"/>
  <c r="AL1237" i="1"/>
  <c r="AK1227" i="1"/>
  <c r="AL1227" i="1"/>
  <c r="AK1215" i="1"/>
  <c r="AL1215" i="1"/>
  <c r="AK1200" i="1"/>
  <c r="AL1200" i="1"/>
  <c r="AK1190" i="1"/>
  <c r="AL1190" i="1"/>
  <c r="AK1178" i="1"/>
  <c r="AL1178" i="1"/>
  <c r="AK1171" i="1"/>
  <c r="AL1171" i="1"/>
  <c r="AK1164" i="1"/>
  <c r="AL1164" i="1"/>
  <c r="AK1161" i="1"/>
  <c r="AL1161" i="1"/>
  <c r="AK1158" i="1"/>
  <c r="AL1158" i="1"/>
  <c r="AK1136" i="1"/>
  <c r="AL1136" i="1"/>
  <c r="AK1130" i="1"/>
  <c r="AL1130" i="1"/>
  <c r="AK1106" i="1"/>
  <c r="AL1106" i="1"/>
  <c r="AK1101" i="1"/>
  <c r="AL1101" i="1"/>
  <c r="AK1097" i="1"/>
  <c r="AL1097" i="1"/>
  <c r="AK1094" i="1"/>
  <c r="AL1094" i="1"/>
  <c r="AK1090" i="1"/>
  <c r="AL1090" i="1"/>
  <c r="AK1087" i="1"/>
  <c r="AL1087" i="1"/>
  <c r="AK1084" i="1"/>
  <c r="AL1084" i="1"/>
  <c r="AK1074" i="1"/>
  <c r="AL1074" i="1"/>
  <c r="AK1048" i="1"/>
  <c r="AL1048" i="1"/>
  <c r="AK1045" i="1"/>
  <c r="AL1045" i="1"/>
  <c r="AK1042" i="1"/>
  <c r="AL1042" i="1"/>
  <c r="AK1037" i="1"/>
  <c r="AL1037" i="1"/>
  <c r="AK1031" i="1"/>
  <c r="AL1031" i="1"/>
  <c r="AK1028" i="1"/>
  <c r="AL1028" i="1"/>
  <c r="AK1025" i="1"/>
  <c r="AL1025" i="1"/>
  <c r="AK1017" i="1"/>
  <c r="AL1017" i="1"/>
  <c r="AK990" i="1"/>
  <c r="AL990" i="1"/>
  <c r="AK986" i="1"/>
  <c r="AL986" i="1"/>
  <c r="AK962" i="1"/>
  <c r="AL962" i="1"/>
  <c r="AK959" i="1"/>
  <c r="AL959" i="1"/>
  <c r="AK953" i="1"/>
  <c r="AL953" i="1"/>
  <c r="AK928" i="1"/>
  <c r="AL928" i="1"/>
  <c r="AK925" i="1"/>
  <c r="AL925" i="1"/>
  <c r="AK922" i="1"/>
  <c r="AL922" i="1"/>
  <c r="AK919" i="1"/>
  <c r="AL919" i="1"/>
  <c r="AK905" i="1"/>
  <c r="AL905" i="1"/>
  <c r="AK879" i="1"/>
  <c r="AL879" i="1"/>
  <c r="AK854" i="1"/>
  <c r="AL854" i="1"/>
  <c r="AK849" i="1"/>
  <c r="AL849" i="1"/>
  <c r="AK844" i="1"/>
  <c r="AL844" i="1"/>
  <c r="AK841" i="1"/>
  <c r="AL841" i="1"/>
  <c r="AK838" i="1"/>
  <c r="AL838" i="1"/>
  <c r="AK822" i="1"/>
  <c r="AL822" i="1"/>
  <c r="AK818" i="1"/>
  <c r="AL818" i="1"/>
  <c r="AK815" i="1"/>
  <c r="AL815" i="1"/>
  <c r="AK812" i="1"/>
  <c r="AL812" i="1"/>
  <c r="AK801" i="1"/>
  <c r="AL801" i="1"/>
  <c r="AK794" i="1"/>
  <c r="AL794" i="1"/>
  <c r="AK791" i="1"/>
  <c r="AL791" i="1"/>
  <c r="AK781" i="1"/>
  <c r="AL781" i="1"/>
  <c r="AK778" i="1"/>
  <c r="AL778" i="1"/>
  <c r="AK772" i="1"/>
  <c r="AL772" i="1"/>
  <c r="AK769" i="1"/>
  <c r="AL769" i="1"/>
  <c r="AK766" i="1"/>
  <c r="AL766" i="1"/>
  <c r="AK763" i="1"/>
  <c r="AL763" i="1"/>
  <c r="AK760" i="1"/>
  <c r="AL760" i="1"/>
  <c r="AK756" i="1"/>
  <c r="AL756" i="1"/>
  <c r="AK745" i="1"/>
  <c r="AL745" i="1"/>
  <c r="AK737" i="1"/>
  <c r="AL737" i="1"/>
  <c r="AK711" i="1"/>
  <c r="AL711" i="1"/>
  <c r="AK708" i="1"/>
  <c r="AL708" i="1"/>
  <c r="AK705" i="1"/>
  <c r="AL705" i="1"/>
  <c r="AK702" i="1"/>
  <c r="AL702" i="1"/>
  <c r="AK629" i="1"/>
  <c r="AL629" i="1"/>
  <c r="AK534" i="1"/>
  <c r="AL534" i="1"/>
  <c r="AK531" i="1"/>
  <c r="AL531" i="1"/>
  <c r="AK528" i="1"/>
  <c r="AL528" i="1"/>
  <c r="AK524" i="1"/>
  <c r="AL524" i="1"/>
  <c r="AK521" i="1"/>
  <c r="AL521" i="1"/>
  <c r="AK517" i="1"/>
  <c r="AL517" i="1"/>
  <c r="AK514" i="1"/>
  <c r="AL514" i="1"/>
  <c r="AK511" i="1"/>
  <c r="AL511" i="1"/>
  <c r="AK508" i="1"/>
  <c r="AL508" i="1"/>
  <c r="AK505" i="1"/>
  <c r="AL505" i="1"/>
  <c r="AK489" i="1"/>
  <c r="AL489" i="1"/>
  <c r="AK486" i="1"/>
  <c r="AL486" i="1"/>
  <c r="AK483" i="1"/>
  <c r="AL483" i="1"/>
  <c r="AK464" i="1"/>
  <c r="AL464" i="1"/>
  <c r="AK441" i="1"/>
  <c r="AL441" i="1"/>
  <c r="AK432" i="1"/>
  <c r="AL432" i="1"/>
  <c r="AK427" i="1"/>
  <c r="AL427" i="1"/>
  <c r="AK424" i="1"/>
  <c r="AL424" i="1"/>
  <c r="AK421" i="1"/>
  <c r="AL421" i="1"/>
  <c r="AK399" i="1"/>
  <c r="AL399" i="1"/>
  <c r="AK392" i="1"/>
  <c r="AL392" i="1"/>
  <c r="AK331" i="1"/>
  <c r="AL331" i="1"/>
  <c r="AK319" i="1"/>
  <c r="AL319" i="1"/>
  <c r="AK314" i="1"/>
  <c r="AL314" i="1"/>
  <c r="AK298" i="1"/>
  <c r="AL298" i="1"/>
  <c r="AK295" i="1"/>
  <c r="AL295" i="1"/>
  <c r="AK292" i="1"/>
  <c r="AL292" i="1"/>
  <c r="AK289" i="1"/>
  <c r="AL289" i="1"/>
  <c r="AK283" i="1"/>
  <c r="AL283" i="1"/>
  <c r="AK276" i="1"/>
  <c r="AL276" i="1"/>
  <c r="AK273" i="1"/>
  <c r="AL273" i="1"/>
  <c r="AK268" i="1"/>
  <c r="AL268" i="1"/>
  <c r="AK259" i="1"/>
  <c r="AL259" i="1"/>
  <c r="AK249" i="1"/>
  <c r="AL249" i="1"/>
  <c r="AK245" i="1"/>
  <c r="AL245" i="1"/>
  <c r="AK224" i="1"/>
  <c r="AL224" i="1"/>
  <c r="AK215" i="1"/>
  <c r="AL215" i="1"/>
  <c r="AK210" i="1"/>
  <c r="AL210" i="1"/>
  <c r="AK204" i="1"/>
  <c r="AL204" i="1"/>
  <c r="AK201" i="1"/>
  <c r="AL201" i="1"/>
  <c r="AK195" i="1"/>
  <c r="AL195" i="1"/>
  <c r="AK163" i="1"/>
  <c r="AL163" i="1"/>
  <c r="AK150" i="1"/>
  <c r="AL150" i="1"/>
  <c r="AK146" i="1"/>
  <c r="AL146" i="1"/>
  <c r="AK143" i="1"/>
  <c r="AL143" i="1"/>
  <c r="AK140" i="1"/>
  <c r="AL140" i="1"/>
  <c r="AK137" i="1"/>
  <c r="AL137" i="1"/>
  <c r="AK134" i="1"/>
  <c r="AL134" i="1"/>
  <c r="AK131" i="1"/>
  <c r="AL131" i="1"/>
  <c r="AK123" i="1"/>
  <c r="AL123" i="1"/>
  <c r="AK120" i="1"/>
  <c r="AL120" i="1"/>
  <c r="AK110" i="1"/>
  <c r="AL110" i="1"/>
  <c r="AK65" i="1"/>
  <c r="AL65" i="1"/>
  <c r="AK59" i="1"/>
  <c r="AL59" i="1"/>
  <c r="AK51" i="1"/>
  <c r="AL51" i="1"/>
  <c r="AK48" i="1"/>
  <c r="AL48" i="1"/>
  <c r="AK43" i="1"/>
  <c r="AL43" i="1"/>
  <c r="AK37" i="1"/>
  <c r="AL37" i="1"/>
  <c r="AK7" i="1"/>
  <c r="AL7" i="1"/>
  <c r="AK4" i="1"/>
  <c r="AL4" i="1"/>
  <c r="AK1534" i="1"/>
  <c r="AL1534" i="1"/>
  <c r="AK1513" i="1"/>
  <c r="AL1513" i="1"/>
  <c r="AK1788" i="1"/>
  <c r="AL1788" i="1"/>
  <c r="AK260" i="1"/>
  <c r="AL260" i="1"/>
  <c r="AK96" i="1"/>
  <c r="AL96" i="1"/>
  <c r="AK1917" i="1"/>
  <c r="AL1917" i="1"/>
  <c r="AK1589" i="1"/>
  <c r="AL1589" i="1"/>
  <c r="AK1382" i="1"/>
  <c r="AL1382" i="1"/>
  <c r="AK1398" i="1"/>
  <c r="AL1398" i="1"/>
  <c r="AK1797" i="1"/>
  <c r="AL1797" i="1"/>
  <c r="AK1702" i="1"/>
  <c r="AL1702" i="1"/>
  <c r="AK181" i="1"/>
  <c r="AL181" i="1"/>
  <c r="AK892" i="1"/>
  <c r="AL892" i="1"/>
  <c r="AK1619" i="1"/>
  <c r="AL1619" i="1"/>
  <c r="AK1274" i="1"/>
  <c r="AL1274" i="1"/>
  <c r="AK1634" i="1"/>
  <c r="AL1634" i="1"/>
  <c r="AK913" i="1"/>
  <c r="AL913" i="1"/>
  <c r="AK1902" i="1"/>
  <c r="AL1902" i="1"/>
  <c r="AK1756" i="1"/>
  <c r="AL1756" i="1"/>
  <c r="AK1551" i="1"/>
  <c r="AL1551" i="1"/>
  <c r="AK1699" i="1"/>
  <c r="AL1699" i="1"/>
  <c r="AK1607" i="1"/>
  <c r="AL1607" i="1"/>
  <c r="AK384" i="1"/>
  <c r="AL384" i="1"/>
  <c r="AK1626" i="1"/>
  <c r="AL1626" i="1"/>
  <c r="AK1553" i="1"/>
  <c r="AL1553" i="1"/>
  <c r="AK1800" i="1"/>
  <c r="AL1800" i="1"/>
  <c r="AK1636" i="1"/>
  <c r="AL1636" i="1"/>
  <c r="AK1511" i="1"/>
  <c r="AL1511" i="1"/>
  <c r="AK868" i="1"/>
  <c r="AL868" i="1"/>
  <c r="AK1638" i="1"/>
  <c r="AL1638" i="1"/>
  <c r="AK1472" i="1"/>
  <c r="AL1472" i="1"/>
  <c r="AK363" i="1"/>
  <c r="AL363" i="1"/>
  <c r="AK1961" i="1"/>
  <c r="AL1961" i="1"/>
  <c r="AK1397" i="1"/>
  <c r="AL1397" i="1"/>
  <c r="AK1399" i="1"/>
  <c r="AL1399" i="1"/>
  <c r="AK811" i="1"/>
  <c r="AL811" i="1"/>
  <c r="AK1116" i="1"/>
  <c r="AL1116" i="1"/>
  <c r="AK1270" i="1"/>
  <c r="AL1270" i="1"/>
  <c r="AK1195" i="1"/>
  <c r="AL1195" i="1"/>
  <c r="AK1709" i="1"/>
  <c r="AL1709" i="1"/>
  <c r="AK1518" i="1"/>
  <c r="AL1518" i="1"/>
  <c r="AK1477" i="1"/>
  <c r="AL1477" i="1"/>
  <c r="AK1263" i="1"/>
  <c r="AL1263" i="1"/>
  <c r="AK1146" i="1"/>
  <c r="AL1146" i="1"/>
  <c r="AK891" i="1"/>
  <c r="AL891" i="1"/>
  <c r="AK305" i="1"/>
  <c r="AL305" i="1"/>
  <c r="AK1197" i="1"/>
  <c r="AL1197" i="1"/>
  <c r="AK1802" i="1"/>
  <c r="AL1802" i="1"/>
  <c r="AK1213" i="1"/>
  <c r="AL1213" i="1"/>
  <c r="AK116" i="1"/>
  <c r="AL116" i="1"/>
  <c r="AK1866" i="1"/>
  <c r="AL1866" i="1"/>
  <c r="AK167" i="1"/>
  <c r="AL167" i="1"/>
  <c r="AK1379" i="1"/>
  <c r="AL1379" i="1"/>
  <c r="AK931" i="1"/>
  <c r="AL931" i="1"/>
  <c r="AK1807" i="1"/>
  <c r="AL1807" i="1"/>
  <c r="AK1732" i="1"/>
  <c r="AL1732" i="1"/>
  <c r="AK1594" i="1"/>
  <c r="AL1594" i="1"/>
  <c r="AK1393" i="1"/>
  <c r="AL1393" i="1"/>
  <c r="AK1072" i="1"/>
  <c r="AL1072" i="1"/>
  <c r="AK389" i="1"/>
  <c r="AL389" i="1"/>
  <c r="AK82" i="1"/>
  <c r="AL82" i="1"/>
  <c r="AK1474" i="1"/>
  <c r="AL1474" i="1"/>
  <c r="AK1066" i="1"/>
  <c r="AL1066" i="1"/>
  <c r="AK493" i="1"/>
  <c r="AL493" i="1"/>
  <c r="AK156" i="1"/>
  <c r="AL156" i="1"/>
  <c r="AK1180" i="1"/>
  <c r="AL1180" i="1"/>
  <c r="AK713" i="1"/>
  <c r="AL713" i="1"/>
  <c r="AK1521" i="1"/>
  <c r="AL1521" i="1"/>
  <c r="AK694" i="1"/>
  <c r="AL694" i="1"/>
  <c r="AK551" i="1"/>
  <c r="AL551" i="1"/>
  <c r="AK86" i="1"/>
  <c r="AL86" i="1"/>
  <c r="AK11" i="1"/>
  <c r="AL11" i="1"/>
  <c r="AK1877" i="1"/>
  <c r="AL1877" i="1"/>
  <c r="AK1562" i="1"/>
  <c r="AL1562" i="1"/>
  <c r="AK1275" i="1"/>
  <c r="AL1275" i="1"/>
  <c r="AK322" i="1"/>
  <c r="AL322" i="1"/>
  <c r="AK1007" i="1"/>
  <c r="AL1007" i="1"/>
  <c r="AK645" i="1"/>
  <c r="AL645" i="1"/>
  <c r="AK73" i="1"/>
  <c r="AL73" i="1"/>
  <c r="AK834" i="1"/>
  <c r="AL834" i="1"/>
  <c r="AK1625" i="1"/>
  <c r="AL1625" i="1"/>
  <c r="AK912" i="1"/>
  <c r="AL912" i="1"/>
  <c r="AK1716" i="1"/>
  <c r="AL1716" i="1"/>
  <c r="AK1239" i="1"/>
  <c r="AL1239" i="1"/>
  <c r="AK1092" i="1"/>
  <c r="AL1092" i="1"/>
  <c r="AK858" i="1"/>
  <c r="AL858" i="1"/>
  <c r="AK378" i="1"/>
  <c r="AL378" i="1"/>
  <c r="AK206" i="1"/>
  <c r="AL206" i="1"/>
  <c r="AK81" i="1"/>
  <c r="AL81" i="1"/>
  <c r="AK1924" i="1"/>
  <c r="AL1924" i="1"/>
  <c r="AK831" i="1"/>
  <c r="AL831" i="1"/>
  <c r="AK1633" i="1"/>
  <c r="AL1633" i="1"/>
  <c r="AK742" i="1"/>
  <c r="AL742" i="1"/>
  <c r="AK1269" i="1"/>
  <c r="AL1269" i="1"/>
  <c r="AK1021" i="1"/>
  <c r="AL1021" i="1"/>
  <c r="AK754" i="1"/>
  <c r="AL754" i="1"/>
  <c r="AK442" i="1"/>
  <c r="AL442" i="1"/>
  <c r="AK407" i="1"/>
  <c r="AL407" i="1"/>
  <c r="AK404" i="1"/>
  <c r="AL404" i="1"/>
  <c r="AK38" i="1"/>
  <c r="AL38" i="1"/>
  <c r="AK1593" i="1"/>
  <c r="AL1593" i="1"/>
  <c r="AK395" i="1"/>
  <c r="AL395" i="1"/>
  <c r="AK1411" i="1"/>
  <c r="AL1411" i="1"/>
  <c r="AK1102" i="1"/>
  <c r="AL1102" i="1"/>
  <c r="AK1723" i="1"/>
  <c r="AL1723" i="1"/>
  <c r="AK1815" i="1"/>
  <c r="AL1815" i="1"/>
  <c r="AK114" i="1"/>
  <c r="AL114" i="1"/>
  <c r="AK211" i="1"/>
  <c r="AL211" i="1"/>
  <c r="AK1945" i="1"/>
  <c r="AL1945" i="1"/>
  <c r="AK1879" i="1"/>
  <c r="AL1879" i="1"/>
  <c r="AK428" i="1"/>
  <c r="AL428" i="1"/>
  <c r="AK191" i="1"/>
  <c r="AL191" i="1"/>
  <c r="AK777" i="1"/>
  <c r="AL777" i="1"/>
  <c r="AK1863" i="1"/>
  <c r="AL1863" i="1"/>
  <c r="AK1012" i="1"/>
  <c r="AL1012" i="1"/>
  <c r="AK1920" i="1"/>
  <c r="AL1920" i="1"/>
  <c r="AK1818" i="1"/>
  <c r="AL1818" i="1"/>
  <c r="AK1711" i="1"/>
  <c r="AL1711" i="1"/>
  <c r="AK1497" i="1"/>
  <c r="AL1497" i="1"/>
  <c r="AK1872" i="1"/>
  <c r="AL1872" i="1"/>
  <c r="AK1934" i="1"/>
  <c r="AL1934" i="1"/>
  <c r="AK1564" i="1"/>
  <c r="AL1564" i="1"/>
  <c r="AK1890" i="1"/>
  <c r="AL1890" i="1"/>
  <c r="AK1848" i="1"/>
  <c r="AL1848" i="1"/>
  <c r="AK1772" i="1"/>
  <c r="AL1772" i="1"/>
  <c r="AK1704" i="1"/>
  <c r="AL1704" i="1"/>
  <c r="AK1672" i="1"/>
  <c r="AL1672" i="1"/>
  <c r="AK1571" i="1"/>
  <c r="AL1571" i="1"/>
  <c r="AK1541" i="1"/>
  <c r="AL1541" i="1"/>
  <c r="AK1527" i="1"/>
  <c r="AL1527" i="1"/>
  <c r="AK370" i="1"/>
  <c r="AL370" i="1"/>
  <c r="AK174" i="1"/>
  <c r="AL174" i="1"/>
  <c r="AK79" i="1"/>
  <c r="AL79" i="1"/>
  <c r="AK571" i="1"/>
  <c r="AL571" i="1"/>
  <c r="AK1120" i="1"/>
  <c r="AL1120" i="1"/>
  <c r="AK869" i="1"/>
  <c r="AL869" i="1"/>
  <c r="AK1775" i="1"/>
  <c r="AL1775" i="1"/>
  <c r="AK1499" i="1"/>
  <c r="AL1499" i="1"/>
  <c r="AK1639" i="1"/>
  <c r="AL1639" i="1"/>
  <c r="AK976" i="1"/>
  <c r="AL976" i="1"/>
  <c r="AK68" i="1"/>
  <c r="AL68" i="1"/>
  <c r="AK910" i="1"/>
  <c r="AL910" i="1"/>
  <c r="AK1252" i="1"/>
  <c r="AL1252" i="1"/>
  <c r="AK1629" i="1"/>
  <c r="AL1629" i="1"/>
  <c r="AK964" i="1"/>
  <c r="AL964" i="1"/>
  <c r="AK1859" i="1"/>
  <c r="AL1859" i="1"/>
  <c r="AK310" i="1"/>
  <c r="AL310" i="1"/>
  <c r="AK1727" i="1"/>
  <c r="AL1727" i="1"/>
  <c r="AK1574" i="1"/>
  <c r="AL1574" i="1"/>
  <c r="AK113" i="1"/>
  <c r="AL113" i="1"/>
  <c r="AK1617" i="1"/>
  <c r="AL1617" i="1"/>
  <c r="AK1869" i="1"/>
  <c r="AL1869" i="1"/>
  <c r="AK1817" i="1"/>
  <c r="AL1817" i="1"/>
  <c r="AK1731" i="1"/>
  <c r="AL1731" i="1"/>
  <c r="AK1532" i="1"/>
  <c r="AL1532" i="1"/>
  <c r="AK1755" i="1"/>
  <c r="AL1755" i="1"/>
  <c r="AK111" i="1"/>
  <c r="AL111" i="1"/>
  <c r="AK1622" i="1"/>
  <c r="AL1622" i="1"/>
  <c r="AK27" i="1"/>
  <c r="AL27" i="1"/>
  <c r="AK1701" i="1"/>
  <c r="AL1701" i="1"/>
  <c r="AK623" i="1"/>
  <c r="AL623" i="1"/>
  <c r="AK1663" i="1"/>
  <c r="AL1663" i="1"/>
  <c r="AK984" i="1"/>
  <c r="AL984" i="1"/>
  <c r="AK644" i="1"/>
  <c r="AL644" i="1"/>
  <c r="AK496" i="1"/>
  <c r="AL496" i="1"/>
  <c r="AK318" i="1"/>
  <c r="AL318" i="1"/>
  <c r="AK573" i="1"/>
  <c r="AL573" i="1"/>
  <c r="AK1268" i="1"/>
  <c r="AL1268" i="1"/>
  <c r="AK1548" i="1"/>
  <c r="AL1548" i="1"/>
  <c r="AK1475" i="1"/>
  <c r="AL1475" i="1"/>
  <c r="AK720" i="1"/>
  <c r="AL720" i="1"/>
  <c r="AK1539" i="1"/>
  <c r="AL1539" i="1"/>
  <c r="AK1077" i="1"/>
  <c r="AL1077" i="1"/>
  <c r="AK300" i="1"/>
  <c r="AL300" i="1"/>
  <c r="AK1795" i="1"/>
  <c r="AL1795" i="1"/>
  <c r="AK1383" i="1"/>
  <c r="AL1383" i="1"/>
  <c r="AK1168" i="1"/>
  <c r="AL1168" i="1"/>
  <c r="AK1055" i="1"/>
  <c r="AL1055" i="1"/>
  <c r="AK935" i="1"/>
  <c r="AL935" i="1"/>
  <c r="AK415" i="1"/>
  <c r="AL415" i="1"/>
  <c r="AK125" i="1"/>
  <c r="AL125" i="1"/>
  <c r="AK1204" i="1"/>
  <c r="AL1204" i="1"/>
  <c r="AK829" i="1"/>
  <c r="AL829" i="1"/>
  <c r="AK93" i="1"/>
  <c r="AL93" i="1"/>
  <c r="AK1667" i="1"/>
  <c r="AL1667" i="1"/>
  <c r="AK1954" i="1"/>
  <c r="AL1954" i="1"/>
  <c r="AK1789" i="1"/>
  <c r="AL1789" i="1"/>
  <c r="AK1724" i="1"/>
  <c r="AL1724" i="1"/>
  <c r="AK1962" i="1"/>
  <c r="AL1962" i="1"/>
  <c r="AK1846" i="1"/>
  <c r="AL1846" i="1"/>
  <c r="AK1587" i="1"/>
  <c r="AL1587" i="1"/>
  <c r="AK1857" i="1"/>
  <c r="AL1857" i="1"/>
  <c r="AK1728" i="1"/>
  <c r="AL1728" i="1"/>
  <c r="AK1693" i="1"/>
  <c r="AL1693" i="1"/>
  <c r="AK1888" i="1"/>
  <c r="AL1888" i="1"/>
  <c r="AK619" i="1"/>
  <c r="AL619" i="1"/>
  <c r="AK212" i="1"/>
  <c r="AL212" i="1"/>
  <c r="AK1192" i="1"/>
  <c r="AL1192" i="1"/>
  <c r="AK365" i="1"/>
  <c r="AL365" i="1"/>
  <c r="AK1149" i="1"/>
  <c r="AL1149" i="1"/>
  <c r="AK903" i="1"/>
  <c r="AL903" i="1"/>
  <c r="AK837" i="1"/>
  <c r="AL837" i="1"/>
  <c r="AK379" i="1"/>
  <c r="AL379" i="1"/>
  <c r="AK451" i="1"/>
  <c r="AL451" i="1"/>
  <c r="AK1370" i="1"/>
  <c r="AL1370" i="1"/>
  <c r="AK45" i="1"/>
  <c r="AL45" i="1"/>
  <c r="AK783" i="1"/>
  <c r="AL783" i="1"/>
  <c r="AK1022" i="1"/>
  <c r="AL1022" i="1"/>
  <c r="AK468" i="1"/>
  <c r="AL468" i="1"/>
  <c r="AK1720" i="1"/>
  <c r="AL1720" i="1"/>
  <c r="AK900" i="1"/>
  <c r="AL900" i="1"/>
  <c r="AK1722" i="1"/>
  <c r="AL1722" i="1"/>
  <c r="AK1737" i="1"/>
  <c r="AL1737" i="1"/>
  <c r="AK1951" i="1"/>
  <c r="AL1951" i="1"/>
  <c r="AK1838" i="1"/>
  <c r="AL1838" i="1"/>
  <c r="AK1127" i="1"/>
  <c r="AL1127" i="1"/>
  <c r="AK1774" i="1"/>
  <c r="AL1774" i="1"/>
  <c r="AK877" i="1"/>
  <c r="AL877" i="1"/>
  <c r="AK301" i="1"/>
  <c r="AL301" i="1"/>
  <c r="AK1524" i="1"/>
  <c r="AL1524" i="1"/>
  <c r="AK321" i="1"/>
  <c r="AL321" i="1"/>
  <c r="AK256" i="1"/>
  <c r="AL256" i="1"/>
  <c r="AK570" i="1"/>
  <c r="AL570" i="1"/>
  <c r="AK1875" i="1"/>
  <c r="AL1875" i="1"/>
  <c r="AK1813" i="1"/>
  <c r="AL1813" i="1"/>
  <c r="AK1573" i="1"/>
  <c r="AL1573" i="1"/>
  <c r="AK1644" i="1"/>
  <c r="AL1644" i="1"/>
  <c r="AK1008" i="1"/>
  <c r="AL1008" i="1"/>
  <c r="AK828" i="1"/>
  <c r="AL828" i="1"/>
  <c r="AK479" i="1"/>
  <c r="AL479" i="1"/>
  <c r="AK222" i="1"/>
  <c r="AL222" i="1"/>
  <c r="AK1963" i="1"/>
  <c r="AL1963" i="1"/>
  <c r="AK1847" i="1"/>
  <c r="AL1847" i="1"/>
  <c r="AK946" i="1"/>
  <c r="AL946" i="1"/>
  <c r="AK444" i="1"/>
  <c r="AL444" i="1"/>
  <c r="AK784" i="1"/>
  <c r="AL784" i="1"/>
  <c r="AK1415" i="1"/>
  <c r="AL1415" i="1"/>
  <c r="AK481" i="1"/>
  <c r="AL481" i="1"/>
  <c r="AK609" i="1"/>
  <c r="AL609" i="1"/>
  <c r="AK611" i="1"/>
  <c r="AL611" i="1"/>
  <c r="AK1400" i="1"/>
  <c r="AL1400" i="1"/>
  <c r="AK1205" i="1"/>
  <c r="AL1205" i="1"/>
  <c r="AK724" i="1"/>
  <c r="AL724" i="1"/>
  <c r="AK1498" i="1"/>
  <c r="AL1498" i="1"/>
  <c r="AK166" i="1"/>
  <c r="AL166" i="1"/>
  <c r="AK168" i="1"/>
  <c r="AL168" i="1"/>
  <c r="AK1676" i="1"/>
  <c r="AL1676" i="1"/>
  <c r="AK358" i="1"/>
  <c r="AL358" i="1"/>
  <c r="AK1403" i="1"/>
  <c r="AL1403" i="1"/>
  <c r="AK1865" i="1"/>
  <c r="AL1865" i="1"/>
  <c r="AK1549" i="1"/>
  <c r="AL1549" i="1"/>
  <c r="AK1301" i="1"/>
  <c r="AL1301" i="1"/>
  <c r="AK375" i="1"/>
  <c r="AL375" i="1"/>
  <c r="AK1864" i="1"/>
  <c r="AL1864" i="1"/>
  <c r="AK1561" i="1"/>
  <c r="AL1561" i="1"/>
  <c r="AK1960" i="1"/>
  <c r="AL1960" i="1"/>
  <c r="AK553" i="1"/>
  <c r="AL553" i="1"/>
  <c r="AK325" i="1"/>
  <c r="AL325" i="1"/>
  <c r="AK280" i="1"/>
  <c r="AL280" i="1"/>
  <c r="AK1224" i="1"/>
  <c r="AL1224" i="1"/>
  <c r="AK1068" i="1"/>
  <c r="AL1068" i="1"/>
  <c r="AK1238" i="1"/>
  <c r="AL1238" i="1"/>
  <c r="AK1886" i="1"/>
  <c r="AL1886" i="1"/>
  <c r="AK993" i="1"/>
  <c r="AL993" i="1"/>
  <c r="AK1763" i="1"/>
  <c r="AL1763" i="1"/>
  <c r="AK908" i="1"/>
  <c r="AL908" i="1"/>
  <c r="AK696" i="1"/>
  <c r="AL696" i="1"/>
  <c r="AK304" i="1"/>
  <c r="AL304" i="1"/>
  <c r="AK583" i="1"/>
  <c r="AL583" i="1"/>
  <c r="AK443" i="1"/>
  <c r="AL443" i="1"/>
  <c r="AK733" i="1"/>
  <c r="AL733" i="1"/>
  <c r="AK672" i="1"/>
  <c r="AL672" i="1"/>
  <c r="AK1345" i="1"/>
  <c r="AL1345" i="1"/>
  <c r="AK76" i="1"/>
  <c r="AL76" i="1"/>
  <c r="AK1058" i="1"/>
  <c r="AL1058" i="1"/>
  <c r="AK636" i="1"/>
  <c r="AL636" i="1"/>
  <c r="AK752" i="1"/>
  <c r="AL752" i="1"/>
  <c r="AK1898" i="1"/>
  <c r="AL1898" i="1"/>
  <c r="AK936" i="1"/>
  <c r="AL936" i="1"/>
  <c r="AK320" i="1"/>
  <c r="AL320" i="1"/>
  <c r="AK287" i="1"/>
  <c r="AL287" i="1"/>
  <c r="AK1134" i="1"/>
  <c r="AL1134" i="1"/>
  <c r="AK77" i="1"/>
  <c r="AL77" i="1"/>
  <c r="AK689" i="1"/>
  <c r="AL689" i="1"/>
  <c r="AK613" i="1"/>
  <c r="AL613" i="1"/>
  <c r="AK1957" i="1"/>
  <c r="AL1957" i="1"/>
  <c r="AK1804" i="1"/>
  <c r="AL1804" i="1"/>
  <c r="AK855" i="1"/>
  <c r="AL855" i="1"/>
  <c r="AK1968" i="1"/>
  <c r="AL1968" i="1"/>
  <c r="AK173" i="1"/>
  <c r="AL173" i="1"/>
  <c r="AK1005" i="1"/>
  <c r="AL1005" i="1"/>
  <c r="AK1703" i="1"/>
  <c r="AL1703" i="1"/>
  <c r="AK1805" i="1"/>
  <c r="AL1805" i="1"/>
  <c r="AK1661" i="1"/>
  <c r="AL1661" i="1"/>
  <c r="AK369" i="1"/>
  <c r="AL369" i="1"/>
  <c r="AK386" i="1"/>
  <c r="AL386" i="1"/>
  <c r="AK1422" i="1"/>
  <c r="AL1422" i="1"/>
  <c r="AK359" i="1"/>
  <c r="AL359" i="1"/>
  <c r="AK1754" i="1"/>
  <c r="AL1754" i="1"/>
  <c r="AK1911" i="1"/>
  <c r="AL1911" i="1"/>
  <c r="AK1796" i="1"/>
  <c r="AL1796" i="1"/>
  <c r="AK1734" i="1"/>
  <c r="AL1734" i="1"/>
  <c r="AK1496" i="1"/>
  <c r="AL1496" i="1"/>
  <c r="AK866" i="1"/>
  <c r="AL866" i="1"/>
  <c r="AK1658" i="1"/>
  <c r="AL1658" i="1"/>
  <c r="AK589" i="1"/>
  <c r="AL589" i="1"/>
  <c r="AK1666" i="1"/>
  <c r="AL1666" i="1"/>
  <c r="AK1528" i="1"/>
  <c r="AL1528" i="1"/>
  <c r="AK19" i="1"/>
  <c r="AL19" i="1"/>
  <c r="AK582" i="1"/>
  <c r="AL582" i="1"/>
  <c r="AK1577" i="1"/>
  <c r="AL1577" i="1"/>
  <c r="AK1742" i="1"/>
  <c r="AL1742" i="1"/>
  <c r="AK1708" i="1"/>
  <c r="AL1708" i="1"/>
  <c r="AK1678" i="1"/>
  <c r="AL1678" i="1"/>
  <c r="AK1575" i="1"/>
  <c r="AL1575" i="1"/>
  <c r="AK944" i="1"/>
  <c r="AL944" i="1"/>
  <c r="AK1967" i="1"/>
  <c r="AL1967" i="1"/>
  <c r="AK1874" i="1"/>
  <c r="AL1874" i="1"/>
  <c r="AK1835" i="1"/>
  <c r="AL1835" i="1"/>
  <c r="AK1798" i="1"/>
  <c r="AL1798" i="1"/>
  <c r="AK1745" i="1"/>
  <c r="AL1745" i="1"/>
  <c r="AK1673" i="1"/>
  <c r="AL1673" i="1"/>
  <c r="AK1585" i="1"/>
  <c r="AL1585" i="1"/>
  <c r="AK1531" i="1"/>
  <c r="AL1531" i="1"/>
  <c r="AK1493" i="1"/>
  <c r="AL1493" i="1"/>
  <c r="AK1083" i="1"/>
  <c r="AL1083" i="1"/>
  <c r="AK634" i="1"/>
  <c r="AL634" i="1"/>
  <c r="AK371" i="1"/>
  <c r="AL371" i="1"/>
  <c r="AK185" i="1"/>
  <c r="AL185" i="1"/>
  <c r="AK1401" i="1"/>
  <c r="AL1401" i="1"/>
  <c r="AK1384" i="1"/>
  <c r="AL1384" i="1"/>
  <c r="AK1167" i="1"/>
  <c r="AL1167" i="1"/>
  <c r="AK1033" i="1"/>
  <c r="AL1033" i="1"/>
  <c r="AK889" i="1"/>
  <c r="AL889" i="1"/>
  <c r="AK364" i="1"/>
  <c r="AL364" i="1"/>
  <c r="AK311" i="1"/>
  <c r="AL311" i="1"/>
  <c r="AK248" i="1"/>
  <c r="AL248" i="1"/>
  <c r="AK1056" i="1"/>
  <c r="AL1056" i="1"/>
  <c r="AK1855" i="1"/>
  <c r="AL1855" i="1"/>
  <c r="AK83" i="1"/>
  <c r="AL83" i="1"/>
  <c r="AK987" i="1"/>
  <c r="AL987" i="1"/>
  <c r="AK1675" i="1"/>
  <c r="AL1675" i="1"/>
  <c r="AK1254" i="1"/>
  <c r="AL1254" i="1"/>
  <c r="AK171" i="1"/>
  <c r="AL171" i="1"/>
  <c r="AK732" i="1"/>
  <c r="AL732" i="1"/>
  <c r="AK1182" i="1"/>
  <c r="AL1182" i="1"/>
  <c r="AK1861" i="1"/>
  <c r="AL1861" i="1"/>
  <c r="AK1786" i="1"/>
  <c r="AL1786" i="1"/>
  <c r="AK1721" i="1"/>
  <c r="AL1721" i="1"/>
  <c r="AK1671" i="1"/>
  <c r="AL1671" i="1"/>
  <c r="AK1153" i="1"/>
  <c r="AL1153" i="1"/>
  <c r="AK1124" i="1"/>
  <c r="AL1124" i="1"/>
  <c r="AK329" i="1"/>
  <c r="AL329" i="1"/>
  <c r="AK1217" i="1"/>
  <c r="AL1217" i="1"/>
  <c r="AK1686" i="1"/>
  <c r="AL1686" i="1"/>
  <c r="AK727" i="1"/>
  <c r="AL727" i="1"/>
  <c r="AK393" i="1"/>
  <c r="AL393" i="1"/>
  <c r="AK324" i="1"/>
  <c r="AL324" i="1"/>
  <c r="AK527" i="1"/>
  <c r="AL527" i="1"/>
  <c r="AK503" i="1"/>
  <c r="AL503" i="1"/>
  <c r="AK1933" i="1"/>
  <c r="AL1933" i="1"/>
  <c r="AK1840" i="1"/>
  <c r="AL1840" i="1"/>
  <c r="AK1764" i="1"/>
  <c r="AL1764" i="1"/>
  <c r="AK103" i="1"/>
  <c r="AL103" i="1"/>
  <c r="AK1922" i="1"/>
  <c r="AL1922" i="1"/>
  <c r="AK624" i="1"/>
  <c r="AL624" i="1"/>
  <c r="P916" i="1"/>
  <c r="Q916" i="1"/>
  <c r="AK999" i="1"/>
  <c r="AL999" i="1"/>
  <c r="AK1899" i="1"/>
  <c r="AL1899" i="1"/>
  <c r="AK1810" i="1"/>
  <c r="AL1810" i="1"/>
  <c r="AK1631" i="1"/>
  <c r="AL1631" i="1"/>
  <c r="AK876" i="1"/>
  <c r="AL876" i="1"/>
  <c r="AL1597" i="1"/>
  <c r="AK1597" i="1"/>
  <c r="AK1828" i="1"/>
  <c r="AL1828" i="1"/>
  <c r="AK1873" i="1"/>
  <c r="AL1873" i="1"/>
  <c r="AK1834" i="1"/>
  <c r="AL1834" i="1"/>
  <c r="AK1751" i="1"/>
  <c r="AL1751" i="1"/>
  <c r="AK1691" i="1"/>
  <c r="AL1691" i="1"/>
  <c r="AK1650" i="1"/>
  <c r="AL1650" i="1"/>
  <c r="AK1554" i="1"/>
  <c r="AL1554" i="1"/>
  <c r="AK1536" i="1"/>
  <c r="AL1536" i="1"/>
  <c r="AK1517" i="1"/>
  <c r="AL1517" i="1"/>
  <c r="AK17" i="1"/>
  <c r="AL17" i="1"/>
  <c r="AK1240" i="1"/>
  <c r="AL1240" i="1"/>
  <c r="AK945" i="1"/>
  <c r="AL945" i="1"/>
  <c r="AK1117" i="1"/>
  <c r="AL1117" i="1"/>
  <c r="AK1522" i="1"/>
  <c r="AL1522" i="1"/>
  <c r="AK1490" i="1"/>
  <c r="AL1490" i="1"/>
  <c r="AK1491" i="1"/>
  <c r="AL1491" i="1"/>
  <c r="AK652" i="1"/>
  <c r="AL652" i="1"/>
  <c r="AK559" i="1"/>
  <c r="AL559" i="1"/>
  <c r="AK1903" i="1"/>
  <c r="AL1903" i="1"/>
  <c r="AK580" i="1"/>
  <c r="AL580" i="1"/>
  <c r="AK853" i="1"/>
  <c r="AL853" i="1"/>
  <c r="AK1482" i="1"/>
  <c r="AL1482" i="1"/>
  <c r="AK387" i="1"/>
  <c r="AL387" i="1"/>
  <c r="AK1938" i="1"/>
  <c r="AL1938" i="1"/>
  <c r="AK1743" i="1"/>
  <c r="AL1743" i="1"/>
  <c r="AK1822" i="1"/>
  <c r="AL1822" i="1"/>
  <c r="AK1707" i="1"/>
  <c r="AL1707" i="1"/>
  <c r="AK1559" i="1"/>
  <c r="AL1559" i="1"/>
  <c r="AK1425" i="1"/>
  <c r="AL1425" i="1"/>
  <c r="AK1616" i="1"/>
  <c r="AL1616" i="1"/>
  <c r="AK1854" i="1"/>
  <c r="AL1854" i="1"/>
  <c r="AK1806" i="1"/>
  <c r="AL1806" i="1"/>
  <c r="AK1592" i="1"/>
  <c r="AL1592" i="1"/>
  <c r="AK1842" i="1"/>
  <c r="AL1842" i="1"/>
  <c r="AK1729" i="1"/>
  <c r="AL1729" i="1"/>
  <c r="AK1481" i="1"/>
  <c r="AL1481" i="1"/>
  <c r="AK1209" i="1"/>
  <c r="AL1209" i="1"/>
  <c r="AK9" i="1"/>
  <c r="AL9" i="1"/>
  <c r="AK1595" i="1"/>
  <c r="AL1595" i="1"/>
  <c r="AK557" i="1"/>
  <c r="AL557" i="1"/>
  <c r="AK1525" i="1"/>
  <c r="AL1525" i="1"/>
  <c r="AK981" i="1"/>
  <c r="AL981" i="1"/>
  <c r="AK643" i="1"/>
  <c r="AL643" i="1"/>
  <c r="AK492" i="1"/>
  <c r="AL492" i="1"/>
  <c r="AK641" i="1"/>
  <c r="AL641" i="1"/>
  <c r="AK572" i="1"/>
  <c r="AL572" i="1"/>
  <c r="AK886" i="1"/>
  <c r="AL886" i="1"/>
  <c r="AK1469" i="1"/>
  <c r="AL1469" i="1"/>
  <c r="AK1380" i="1"/>
  <c r="AL1380" i="1"/>
  <c r="AK1690" i="1"/>
  <c r="AL1690" i="1"/>
  <c r="AK1509" i="1"/>
  <c r="AL1509" i="1"/>
  <c r="AK1051" i="1"/>
  <c r="AL1051" i="1"/>
  <c r="AK161" i="1"/>
  <c r="AL161" i="1"/>
  <c r="AK1296" i="1"/>
  <c r="AL1296" i="1"/>
  <c r="AK1138" i="1"/>
  <c r="AL1138" i="1"/>
  <c r="AK1034" i="1"/>
  <c r="AL1034" i="1"/>
  <c r="AK890" i="1"/>
  <c r="AL890" i="1"/>
  <c r="AK98" i="1"/>
  <c r="AL98" i="1"/>
  <c r="AK951" i="1"/>
  <c r="AL951" i="1"/>
  <c r="AK941" i="1"/>
  <c r="AL941" i="1"/>
  <c r="AK92" i="1"/>
  <c r="AL92" i="1"/>
  <c r="AK1572" i="1"/>
  <c r="AL1572" i="1"/>
  <c r="AK1563" i="1"/>
  <c r="AL1563" i="1"/>
  <c r="AK1766" i="1"/>
  <c r="AL1766" i="1"/>
  <c r="AK1669" i="1"/>
  <c r="AL1669" i="1"/>
  <c r="AK1883" i="1"/>
  <c r="AL1883" i="1"/>
  <c r="AK1726" i="1"/>
  <c r="AL1726" i="1"/>
  <c r="AK588" i="1"/>
  <c r="AL588" i="1"/>
  <c r="AK1769" i="1"/>
  <c r="AL1769" i="1"/>
  <c r="AK1719" i="1"/>
  <c r="AL1719" i="1"/>
  <c r="AK1682" i="1"/>
  <c r="AL1682" i="1"/>
  <c r="AK1761" i="1"/>
  <c r="AL1761" i="1"/>
  <c r="AK590" i="1"/>
  <c r="AL590" i="1"/>
  <c r="AK1266" i="1"/>
  <c r="AL1266" i="1"/>
  <c r="AK830" i="1"/>
  <c r="AL830" i="1"/>
  <c r="AK361" i="1"/>
  <c r="AL361" i="1"/>
  <c r="AK88" i="1"/>
  <c r="AL88" i="1"/>
  <c r="AK980" i="1"/>
  <c r="AL980" i="1"/>
  <c r="AK875" i="1"/>
  <c r="AL875" i="1"/>
  <c r="AK836" i="1"/>
  <c r="AL836" i="1"/>
  <c r="AK789" i="1"/>
  <c r="AL789" i="1"/>
  <c r="AK39" i="1"/>
  <c r="AL39" i="1"/>
  <c r="AK677" i="1"/>
  <c r="AL677" i="1"/>
  <c r="AK731" i="1"/>
  <c r="AL731" i="1"/>
  <c r="AK261" i="1"/>
  <c r="AL261" i="1"/>
  <c r="AK1545" i="1"/>
  <c r="AL1545" i="1"/>
  <c r="AK884" i="1"/>
  <c r="AL884" i="1"/>
  <c r="AK1913" i="1"/>
  <c r="AL1913" i="1"/>
  <c r="AK1947" i="1"/>
  <c r="AL1947" i="1"/>
  <c r="AK597" i="1"/>
  <c r="AL597" i="1"/>
  <c r="AK1803" i="1"/>
  <c r="AL1803" i="1"/>
  <c r="AK1909" i="1"/>
  <c r="AL1909" i="1"/>
  <c r="AK1608" i="1"/>
  <c r="AL1608" i="1"/>
  <c r="AK1537" i="1"/>
  <c r="AL1537" i="1"/>
  <c r="AK974" i="1"/>
  <c r="AL974" i="1"/>
  <c r="AK871" i="1"/>
  <c r="AL871" i="1"/>
  <c r="AK85" i="1"/>
  <c r="AL85" i="1"/>
  <c r="AK717" i="1"/>
  <c r="AL717" i="1"/>
  <c r="AK89" i="1"/>
  <c r="AL89" i="1"/>
  <c r="AK1850" i="1"/>
  <c r="AL1850" i="1"/>
  <c r="AK1749" i="1"/>
  <c r="AL1749" i="1"/>
  <c r="AK1556" i="1"/>
  <c r="AL1556" i="1"/>
  <c r="AK1586" i="1"/>
  <c r="AL1586" i="1"/>
  <c r="AK561" i="1"/>
  <c r="AL561" i="1"/>
  <c r="AK1260" i="1"/>
  <c r="AL1260" i="1"/>
  <c r="AK1277" i="1"/>
  <c r="AL1277" i="1"/>
  <c r="AK823" i="1"/>
  <c r="AL823" i="1"/>
  <c r="AK471" i="1"/>
  <c r="AL471" i="1"/>
  <c r="AK220" i="1"/>
  <c r="AL220" i="1"/>
  <c r="AK1884" i="1"/>
  <c r="AL1884" i="1"/>
  <c r="AK1654" i="1"/>
  <c r="AL1654" i="1"/>
  <c r="AK587" i="1"/>
  <c r="AL587" i="1"/>
  <c r="AK788" i="1"/>
  <c r="AL788" i="1"/>
  <c r="AK1343" i="1"/>
  <c r="AL1343" i="1"/>
  <c r="AK402" i="1"/>
  <c r="AL402" i="1"/>
  <c r="AK1895" i="1"/>
  <c r="AL1895" i="1"/>
  <c r="AK543" i="1"/>
  <c r="AL543" i="1"/>
  <c r="AK1412" i="1"/>
  <c r="AL1412" i="1"/>
  <c r="AK1118" i="1"/>
  <c r="AL1118" i="1"/>
  <c r="AK723" i="1"/>
  <c r="AL723" i="1"/>
  <c r="AK1489" i="1"/>
  <c r="AL1489" i="1"/>
  <c r="AK16" i="1"/>
  <c r="AL16" i="1"/>
  <c r="AK1108" i="1"/>
  <c r="AL1108" i="1"/>
  <c r="AK264" i="1"/>
  <c r="AL264" i="1"/>
  <c r="AK1381" i="1"/>
  <c r="AL1381" i="1"/>
  <c r="AK1897" i="1"/>
  <c r="AL1897" i="1"/>
  <c r="AK1852" i="1"/>
  <c r="AL1852" i="1"/>
  <c r="AK1298" i="1"/>
  <c r="AL1298" i="1"/>
  <c r="AK1140" i="1"/>
  <c r="AL1140" i="1"/>
  <c r="AK162" i="1"/>
  <c r="AL162" i="1"/>
  <c r="AK1851" i="1"/>
  <c r="AL1851" i="1"/>
  <c r="AK1881" i="1"/>
  <c r="AL1881" i="1"/>
  <c r="AK285" i="1"/>
  <c r="AL285" i="1"/>
  <c r="AK1020" i="1"/>
  <c r="AL1020" i="1"/>
  <c r="AK669" i="1"/>
  <c r="AL669" i="1"/>
  <c r="AK1193" i="1"/>
  <c r="AL1193" i="1"/>
  <c r="AK1833" i="1"/>
  <c r="AL1833" i="1"/>
  <c r="AK690" i="1"/>
  <c r="AL690" i="1"/>
  <c r="AK1738" i="1"/>
  <c r="AL1738" i="1"/>
  <c r="AK1315" i="1"/>
  <c r="AL1315" i="1"/>
  <c r="AK691" i="1"/>
  <c r="AL691" i="1"/>
  <c r="AK1348" i="1"/>
  <c r="AL1348" i="1"/>
  <c r="AK454" i="1"/>
  <c r="AL454" i="1"/>
  <c r="AK403" i="1"/>
  <c r="AL403" i="1"/>
  <c r="AK368" i="1"/>
  <c r="AL368" i="1"/>
  <c r="AK1339" i="1"/>
  <c r="AL1339" i="1"/>
  <c r="AK1346" i="1"/>
  <c r="AL1346" i="1"/>
  <c r="AK939" i="1"/>
  <c r="AL939" i="1"/>
  <c r="AK439" i="1"/>
  <c r="AL439" i="1"/>
  <c r="AK1177" i="1"/>
  <c r="AL1177" i="1"/>
  <c r="AK31" i="1"/>
  <c r="AL31" i="1"/>
  <c r="AK1778" i="1"/>
  <c r="AL1778" i="1"/>
  <c r="AK390" i="1"/>
  <c r="AL390" i="1"/>
  <c r="AK1236" i="1"/>
  <c r="AL1236" i="1"/>
  <c r="AK102" i="1"/>
  <c r="AL102" i="1"/>
  <c r="AK940" i="1"/>
  <c r="AL940" i="1"/>
  <c r="AK1717" i="1"/>
  <c r="AL1717" i="1"/>
  <c r="AK599" i="1"/>
  <c r="AL599" i="1"/>
  <c r="AK699" i="1"/>
  <c r="AL699" i="1"/>
  <c r="AK1910" i="1"/>
  <c r="AL1910" i="1"/>
  <c r="AK1014" i="1"/>
  <c r="AL1014" i="1"/>
  <c r="AK1906" i="1"/>
  <c r="AL1906" i="1"/>
  <c r="AK470" i="1"/>
  <c r="AL470" i="1"/>
  <c r="AK950" i="1"/>
  <c r="AL950" i="1"/>
  <c r="AK1792" i="1"/>
  <c r="AL1792" i="1"/>
  <c r="AK1596" i="1"/>
  <c r="AL1596" i="1"/>
  <c r="AK1123" i="1"/>
  <c r="AL1123" i="1"/>
  <c r="AK982" i="1"/>
  <c r="AL982" i="1"/>
  <c r="AK1424" i="1"/>
  <c r="AL1424" i="1"/>
  <c r="AK832" i="1"/>
  <c r="AL832" i="1"/>
  <c r="AK377" i="1"/>
  <c r="AL377" i="1"/>
  <c r="AK1417" i="1"/>
  <c r="AL1417" i="1"/>
  <c r="AK263" i="1"/>
  <c r="AL263" i="1"/>
  <c r="AK1943" i="1"/>
  <c r="AL1943" i="1"/>
  <c r="AK1604" i="1"/>
  <c r="AL1604" i="1"/>
  <c r="AK934" i="1"/>
  <c r="AL934" i="1"/>
  <c r="AK306" i="1"/>
  <c r="AL306" i="1"/>
  <c r="AK1688" i="1"/>
  <c r="AL1688" i="1"/>
  <c r="AK1831" i="1"/>
  <c r="AL1831" i="1"/>
  <c r="AK1783" i="1"/>
  <c r="AL1783" i="1"/>
  <c r="AK1630" i="1"/>
  <c r="AL1630" i="1"/>
  <c r="AK1492" i="1"/>
  <c r="AL1492" i="1"/>
  <c r="AK1733" i="1"/>
  <c r="AL1733" i="1"/>
  <c r="AK1632" i="1"/>
  <c r="AL1632" i="1"/>
  <c r="AK1649" i="1"/>
  <c r="AL1649" i="1"/>
  <c r="AK1520" i="1"/>
  <c r="AL1520" i="1"/>
  <c r="AK26" i="1"/>
  <c r="AL26" i="1"/>
  <c r="AK13" i="1"/>
  <c r="AL13" i="1"/>
  <c r="AK581" i="1"/>
  <c r="AL581" i="1"/>
  <c r="AK1725" i="1"/>
  <c r="AL1725" i="1"/>
  <c r="AK1695" i="1"/>
  <c r="AL1695" i="1"/>
  <c r="AK1651" i="1"/>
  <c r="AL1651" i="1"/>
  <c r="AK1560" i="1"/>
  <c r="AL1560" i="1"/>
  <c r="AK1926" i="1"/>
  <c r="AL1926" i="1"/>
  <c r="AK1860" i="1"/>
  <c r="AL1860" i="1"/>
  <c r="AK1820" i="1"/>
  <c r="AL1820" i="1"/>
  <c r="AK1785" i="1"/>
  <c r="AL1785" i="1"/>
  <c r="AK1714" i="1"/>
  <c r="AL1714" i="1"/>
  <c r="AK1642" i="1"/>
  <c r="AL1642" i="1"/>
  <c r="AK1544" i="1"/>
  <c r="AL1544" i="1"/>
  <c r="AK1515" i="1"/>
  <c r="AL1515" i="1"/>
  <c r="AK1471" i="1"/>
  <c r="AL1471" i="1"/>
  <c r="AK915" i="1"/>
  <c r="AL915" i="1"/>
  <c r="AK579" i="1"/>
  <c r="AL579" i="1"/>
  <c r="AK323" i="1"/>
  <c r="AL323" i="1"/>
  <c r="AK177" i="1"/>
  <c r="AL177" i="1"/>
  <c r="AK1394" i="1"/>
  <c r="AL1394" i="1"/>
  <c r="AK1297" i="1"/>
  <c r="AL1297" i="1"/>
  <c r="AK1137" i="1"/>
  <c r="AL1137" i="1"/>
  <c r="AK966" i="1"/>
  <c r="AL966" i="1"/>
  <c r="AK826" i="1"/>
  <c r="AL826" i="1"/>
  <c r="AK362" i="1"/>
  <c r="AL362" i="1"/>
  <c r="AK303" i="1"/>
  <c r="AL303" i="1"/>
  <c r="AK158" i="1"/>
  <c r="AL158" i="1"/>
  <c r="AK84" i="1"/>
  <c r="AL84" i="1"/>
  <c r="AK420" i="1"/>
  <c r="AL420" i="1"/>
  <c r="AK1843" i="1"/>
  <c r="AL1843" i="1"/>
  <c r="AK1747" i="1"/>
  <c r="AL1747" i="1"/>
  <c r="AK1141" i="1"/>
  <c r="AL1141" i="1"/>
  <c r="AK178" i="1"/>
  <c r="AL178" i="1"/>
  <c r="AK165" i="1"/>
  <c r="AL165" i="1"/>
  <c r="AK216" i="1"/>
  <c r="AL216" i="1"/>
  <c r="AK90" i="1"/>
  <c r="AL90" i="1"/>
  <c r="AK1837" i="1"/>
  <c r="AL1837" i="1"/>
  <c r="AK1771" i="1"/>
  <c r="AL1771" i="1"/>
  <c r="AK1706" i="1"/>
  <c r="AL1706" i="1"/>
  <c r="AK1643" i="1"/>
  <c r="AL1643" i="1"/>
  <c r="AK1279" i="1"/>
  <c r="AL1279" i="1"/>
  <c r="AK1081" i="1"/>
  <c r="AL1081" i="1"/>
  <c r="AK187" i="1"/>
  <c r="AL187" i="1"/>
  <c r="AK272" i="1"/>
  <c r="AL272" i="1"/>
  <c r="AK1250" i="1"/>
  <c r="AL1250" i="1"/>
  <c r="AK746" i="1"/>
  <c r="AL746" i="1"/>
  <c r="AK440" i="1"/>
  <c r="AL440" i="1"/>
  <c r="AK435" i="1"/>
  <c r="AL435" i="1"/>
  <c r="AK1344" i="1"/>
  <c r="AL1344" i="1"/>
  <c r="AK1336" i="1"/>
  <c r="AL1336" i="1"/>
  <c r="AK1185" i="1"/>
  <c r="AL1185" i="1"/>
  <c r="AK459" i="1"/>
  <c r="AL459" i="1"/>
  <c r="AK29" i="1"/>
  <c r="AL29" i="1"/>
  <c r="AK60" i="1"/>
  <c r="AL60" i="1"/>
  <c r="AK560" i="1"/>
  <c r="AL560" i="1"/>
  <c r="AK450" i="1"/>
  <c r="AL450" i="1"/>
  <c r="AK1550" i="1"/>
  <c r="AL1550" i="1"/>
  <c r="AK1710" i="1"/>
  <c r="AL1710" i="1"/>
  <c r="AK1679" i="1"/>
  <c r="AL1679" i="1"/>
  <c r="AK115" i="1"/>
  <c r="AL115" i="1"/>
  <c r="AK501" i="1"/>
  <c r="AL501" i="1"/>
  <c r="AK1824" i="1"/>
  <c r="AL1824" i="1"/>
  <c r="AK593" i="1"/>
  <c r="AL593" i="1"/>
  <c r="AK1821" i="1"/>
  <c r="AL1821" i="1"/>
  <c r="AK1739" i="1"/>
  <c r="AL1739" i="1"/>
  <c r="AK909" i="1"/>
  <c r="AL909" i="1"/>
  <c r="AK1953" i="1"/>
  <c r="AL1953" i="1"/>
  <c r="AK1894" i="1"/>
  <c r="AL1894" i="1"/>
  <c r="AK429" i="1"/>
  <c r="AL429" i="1"/>
  <c r="AK614" i="1"/>
  <c r="AL614" i="1"/>
  <c r="AK1959" i="1"/>
  <c r="AL1959" i="1"/>
  <c r="AK1950" i="1"/>
  <c r="AL1950" i="1"/>
  <c r="AK1830" i="1"/>
  <c r="AL1830" i="1"/>
  <c r="AK1782" i="1"/>
  <c r="AL1782" i="1"/>
  <c r="AK1502" i="1"/>
  <c r="AL1502" i="1"/>
  <c r="AK1885" i="1"/>
  <c r="AL1885" i="1"/>
  <c r="AL1759" i="1"/>
  <c r="AK1759" i="1"/>
  <c r="AK1590" i="1"/>
  <c r="AL1590" i="1"/>
  <c r="AK1858" i="1"/>
  <c r="AL1858" i="1"/>
  <c r="AK1819" i="1"/>
  <c r="AL1819" i="1"/>
  <c r="AK1713" i="1"/>
  <c r="AL1713" i="1"/>
  <c r="AK1681" i="1"/>
  <c r="AL1681" i="1"/>
  <c r="AK1583" i="1"/>
  <c r="AL1583" i="1"/>
  <c r="AK1543" i="1"/>
  <c r="AL1543" i="1"/>
  <c r="AK1529" i="1"/>
  <c r="AL1529" i="1"/>
  <c r="AK380" i="1"/>
  <c r="AL380" i="1"/>
  <c r="AK606" i="1"/>
  <c r="AL606" i="1"/>
  <c r="AK1203" i="1"/>
  <c r="AL1203" i="1"/>
  <c r="AK1516" i="1"/>
  <c r="AL1516" i="1"/>
  <c r="AK1662" i="1"/>
  <c r="AL1662" i="1"/>
  <c r="AK1570" i="1"/>
  <c r="AL1570" i="1"/>
  <c r="AK70" i="1"/>
  <c r="AL70" i="1"/>
  <c r="AK1112" i="1"/>
  <c r="AL1112" i="1"/>
  <c r="AK1169" i="1"/>
  <c r="AL1169" i="1"/>
  <c r="AK101" i="1"/>
  <c r="AL101" i="1"/>
  <c r="AK1668" i="1"/>
  <c r="AL1668" i="1"/>
  <c r="AK983" i="1"/>
  <c r="AL983" i="1"/>
  <c r="AK1776" i="1"/>
  <c r="AL1776" i="1"/>
  <c r="AK1677" i="1"/>
  <c r="AL1677" i="1"/>
  <c r="AK799" i="1"/>
  <c r="AL799" i="1"/>
  <c r="AK1396" i="1"/>
  <c r="AL1396" i="1"/>
  <c r="AK1648" i="1"/>
  <c r="AL1648" i="1"/>
  <c r="AK1880" i="1"/>
  <c r="AL1880" i="1"/>
  <c r="AK1827" i="1"/>
  <c r="AL1827" i="1"/>
  <c r="AK1793" i="1"/>
  <c r="AL1793" i="1"/>
  <c r="AK1565" i="1"/>
  <c r="AL1565" i="1"/>
  <c r="AK1826" i="1"/>
  <c r="AL1826" i="1"/>
  <c r="AK1579" i="1"/>
  <c r="AL1579" i="1"/>
  <c r="AK835" i="1"/>
  <c r="AL835" i="1"/>
  <c r="AK376" i="1"/>
  <c r="AL376" i="1"/>
  <c r="AK1794" i="1"/>
  <c r="AL1794" i="1"/>
  <c r="AK1829" i="1"/>
  <c r="AL1829" i="1"/>
  <c r="AK385" i="1"/>
  <c r="AL385" i="1"/>
  <c r="AK804" i="1"/>
  <c r="AL804" i="1"/>
  <c r="AK642" i="1"/>
  <c r="AL642" i="1"/>
  <c r="AK491" i="1"/>
  <c r="AL491" i="1"/>
  <c r="AK640" i="1"/>
  <c r="AL640" i="1"/>
  <c r="AK117" i="1"/>
  <c r="AL117" i="1"/>
  <c r="AK1507" i="1"/>
  <c r="AL1507" i="1"/>
  <c r="AK1113" i="1"/>
  <c r="AL1113" i="1"/>
  <c r="AK975" i="1"/>
  <c r="AL975" i="1"/>
  <c r="AK1944" i="1"/>
  <c r="AL1944" i="1"/>
  <c r="AK1050" i="1"/>
  <c r="AL1050" i="1"/>
  <c r="AK71" i="1"/>
  <c r="AL71" i="1"/>
  <c r="AK1241" i="1"/>
  <c r="AL1241" i="1"/>
  <c r="AK1114" i="1"/>
  <c r="AL1114" i="1"/>
  <c r="AK965" i="1"/>
  <c r="AL965" i="1"/>
  <c r="AK827" i="1"/>
  <c r="AL827" i="1"/>
  <c r="AK157" i="1"/>
  <c r="AL157" i="1"/>
  <c r="AK72" i="1"/>
  <c r="AL72" i="1"/>
  <c r="AK917" i="1"/>
  <c r="AL917" i="1"/>
  <c r="AK657" i="1"/>
  <c r="AL657" i="1"/>
  <c r="AK1748" i="1"/>
  <c r="AL1748" i="1"/>
  <c r="AK1555" i="1"/>
  <c r="AL1555" i="1"/>
  <c r="AK1741" i="1"/>
  <c r="AL1741" i="1"/>
  <c r="AK1558" i="1"/>
  <c r="AL1558" i="1"/>
  <c r="AK1870" i="1"/>
  <c r="AL1870" i="1"/>
  <c r="AK1653" i="1"/>
  <c r="AL1653" i="1"/>
  <c r="AK449" i="1"/>
  <c r="AL449" i="1"/>
  <c r="AK1746" i="1"/>
  <c r="AL1746" i="1"/>
  <c r="AK1705" i="1"/>
  <c r="AL1705" i="1"/>
  <c r="AK1674" i="1"/>
  <c r="AL1674" i="1"/>
  <c r="AK1964" i="1"/>
  <c r="AL1964" i="1"/>
  <c r="AK1689" i="1"/>
  <c r="AL1689" i="1"/>
  <c r="AK566" i="1"/>
  <c r="AL566" i="1"/>
  <c r="AK1206" i="1"/>
  <c r="AL1206" i="1"/>
  <c r="AK773" i="1"/>
  <c r="AL773" i="1"/>
  <c r="AK128" i="1"/>
  <c r="AL128" i="1"/>
  <c r="AK914" i="1"/>
  <c r="AL914" i="1"/>
  <c r="AK857" i="1"/>
  <c r="AL857" i="1"/>
  <c r="AK366" i="1"/>
  <c r="AL366" i="1"/>
  <c r="AK1060" i="1"/>
  <c r="AL1060" i="1"/>
  <c r="AK958" i="1"/>
  <c r="AL958" i="1"/>
  <c r="AK466" i="1"/>
  <c r="AL466" i="1"/>
  <c r="AK1226" i="1"/>
  <c r="AL1226" i="1"/>
  <c r="AK30" i="1"/>
  <c r="AL30" i="1"/>
  <c r="AK1946" i="1"/>
  <c r="AL1946" i="1"/>
  <c r="AK998" i="1"/>
  <c r="AL998" i="1"/>
  <c r="AK94" i="1"/>
  <c r="AL94" i="1"/>
  <c r="AK1416" i="1"/>
  <c r="AL1416" i="1"/>
  <c r="AK1823" i="1"/>
  <c r="AL1823" i="1"/>
  <c r="AK327" i="1"/>
  <c r="AL327" i="1"/>
  <c r="AK1762" i="1"/>
  <c r="AL1762" i="1"/>
  <c r="AK1905" i="1"/>
  <c r="AL1905" i="1"/>
  <c r="AK1216" i="1"/>
  <c r="AL1216" i="1"/>
  <c r="AK1889" i="1"/>
  <c r="AL1889" i="1"/>
  <c r="AK881" i="1"/>
  <c r="AL881" i="1"/>
  <c r="AK655" i="1"/>
  <c r="AL655" i="1"/>
  <c r="AK265" i="1"/>
  <c r="AL265" i="1"/>
  <c r="AK1787" i="1"/>
  <c r="AL1787" i="1"/>
  <c r="AK873" i="1"/>
  <c r="AL873" i="1"/>
  <c r="AK715" i="1"/>
  <c r="AL715" i="1"/>
  <c r="AK1892" i="1"/>
  <c r="AL1892" i="1"/>
  <c r="AK1836" i="1"/>
  <c r="AL1836" i="1"/>
  <c r="AK1584" i="1"/>
  <c r="AL1584" i="1"/>
  <c r="AK108" i="1"/>
  <c r="AL108" i="1"/>
  <c r="AK1015" i="1"/>
  <c r="AL1015" i="1"/>
  <c r="AK445" i="1"/>
  <c r="AL445" i="1"/>
  <c r="AK1191" i="1"/>
  <c r="AL1191" i="1"/>
  <c r="AK480" i="1"/>
  <c r="AL480" i="1"/>
  <c r="AK410" i="1"/>
  <c r="AL410" i="1"/>
  <c r="AK33" i="1"/>
  <c r="AL33" i="1"/>
  <c r="AK1871" i="1"/>
  <c r="AL1871" i="1"/>
  <c r="AK1588" i="1"/>
  <c r="AL1588" i="1"/>
  <c r="AK448" i="1"/>
  <c r="AL448" i="1"/>
  <c r="AK400" i="1"/>
  <c r="AL400" i="1"/>
  <c r="AK1340" i="1"/>
  <c r="AL1340" i="1"/>
  <c r="AK1965" i="1"/>
  <c r="AL1965" i="1"/>
  <c r="AK1135" i="1"/>
  <c r="AL1135" i="1"/>
  <c r="AK1753" i="1"/>
  <c r="AL1753" i="1"/>
  <c r="AK1080" i="1"/>
  <c r="AL1080" i="1"/>
  <c r="AK1413" i="1"/>
  <c r="AL1413" i="1"/>
  <c r="AK575" i="1"/>
  <c r="AL575" i="1"/>
  <c r="AK728" i="1"/>
  <c r="AL728" i="1"/>
  <c r="AK1514" i="1"/>
  <c r="AL1514" i="1"/>
  <c r="AK1470" i="1"/>
  <c r="AL1470" i="1"/>
  <c r="AK183" i="1"/>
  <c r="AL183" i="1"/>
  <c r="AK888" i="1"/>
  <c r="AL888" i="1"/>
  <c r="AK1408" i="1"/>
  <c r="AL1408" i="1"/>
  <c r="AK1878" i="1"/>
  <c r="AL1878" i="1"/>
  <c r="AK1825" i="1"/>
  <c r="AL1825" i="1"/>
  <c r="AK1311" i="1"/>
  <c r="AL1311" i="1"/>
  <c r="AK661" i="1"/>
  <c r="AL661" i="1"/>
  <c r="AK91" i="1"/>
  <c r="AL91" i="1"/>
  <c r="AK1876" i="1"/>
  <c r="AL1876" i="1"/>
  <c r="AK1841" i="1"/>
  <c r="AL1841" i="1"/>
  <c r="AK1816" i="1"/>
  <c r="AL1816" i="1"/>
  <c r="AK968" i="1"/>
  <c r="AL968" i="1"/>
  <c r="AK284" i="1"/>
  <c r="AL284" i="1"/>
  <c r="AK1407" i="1"/>
  <c r="AL1407" i="1"/>
  <c r="AK519" i="1"/>
  <c r="AL519" i="1"/>
  <c r="AK208" i="1"/>
  <c r="AL208" i="1"/>
  <c r="AK1718" i="1"/>
  <c r="AL1718" i="1"/>
  <c r="AK1011" i="1"/>
  <c r="AL1011" i="1"/>
  <c r="AK1155" i="1"/>
  <c r="AL1155" i="1"/>
  <c r="AK437" i="1"/>
  <c r="AL437" i="1"/>
  <c r="AK603" i="1"/>
  <c r="AL603" i="1"/>
  <c r="AK447" i="1"/>
  <c r="AL447" i="1"/>
  <c r="AK277" i="1"/>
  <c r="AL277" i="1"/>
  <c r="AK1247" i="1"/>
  <c r="AL1247" i="1"/>
  <c r="AK785" i="1"/>
  <c r="AL785" i="1"/>
  <c r="AK1220" i="1"/>
  <c r="AL1220" i="1"/>
  <c r="AK786" i="1"/>
  <c r="AL786" i="1"/>
  <c r="AK34" i="1"/>
  <c r="AL34" i="1"/>
  <c r="AK28" i="1"/>
  <c r="AL28" i="1"/>
  <c r="AK1576" i="1"/>
  <c r="AL1576" i="1"/>
  <c r="AK383" i="1"/>
  <c r="AL383" i="1"/>
  <c r="AK538" i="1"/>
  <c r="AL538" i="1"/>
  <c r="AK1327" i="1"/>
  <c r="AL1327" i="1"/>
  <c r="AK568" i="1"/>
  <c r="AL568" i="1"/>
  <c r="AK992" i="1"/>
  <c r="AL992" i="1"/>
  <c r="AK608" i="1"/>
  <c r="AL608" i="1"/>
  <c r="AK1844" i="1"/>
  <c r="AL1844" i="1"/>
  <c r="AK856" i="1"/>
  <c r="AL856" i="1"/>
  <c r="AK1003" i="1"/>
  <c r="AL1003" i="1"/>
  <c r="AK1628" i="1"/>
  <c r="AL1628" i="1"/>
  <c r="AK1313" i="1"/>
  <c r="AL1313" i="1"/>
  <c r="AK22" i="1"/>
  <c r="AL22" i="1"/>
  <c r="AK95" i="1"/>
  <c r="AL95" i="1"/>
  <c r="AK1780" i="1"/>
  <c r="AL1780" i="1"/>
  <c r="AK1582" i="1"/>
  <c r="AL1582" i="1"/>
  <c r="AK1119" i="1"/>
  <c r="AL1119" i="1"/>
  <c r="AK797" i="1"/>
  <c r="AL797" i="1"/>
  <c r="AK979" i="1"/>
  <c r="AL979" i="1"/>
  <c r="AK585" i="1"/>
  <c r="AL585" i="1"/>
  <c r="AK726" i="1"/>
  <c r="AL726" i="1"/>
  <c r="AK1904" i="1"/>
  <c r="AL1904" i="1"/>
  <c r="AK159" i="1"/>
  <c r="AL159" i="1"/>
  <c r="AK1317" i="1"/>
  <c r="AL1317" i="1"/>
  <c r="AK1811" i="1"/>
  <c r="AL1811" i="1"/>
  <c r="AK1758" i="1"/>
  <c r="AL1758" i="1"/>
  <c r="AK1501" i="1"/>
  <c r="AL1501" i="1"/>
  <c r="AK1170" i="1"/>
  <c r="AL1170" i="1"/>
  <c r="AK1664" i="1"/>
  <c r="AL1664" i="1"/>
  <c r="AK602" i="1"/>
  <c r="AL602" i="1"/>
  <c r="AK309" i="1"/>
  <c r="AL309" i="1"/>
  <c r="AK1535" i="1"/>
  <c r="AL1535" i="1"/>
  <c r="AK1503" i="1"/>
  <c r="AL1503" i="1"/>
  <c r="AK20" i="1"/>
  <c r="AL20" i="1"/>
  <c r="AK617" i="1"/>
  <c r="AL617" i="1"/>
  <c r="AK1684" i="1"/>
  <c r="AL1684" i="1"/>
  <c r="AK1767" i="1"/>
  <c r="AL1767" i="1"/>
  <c r="AK1715" i="1"/>
  <c r="AL1715" i="1"/>
  <c r="AK1685" i="1"/>
  <c r="AL1685" i="1"/>
  <c r="AK1621" i="1"/>
  <c r="AL1621" i="1"/>
  <c r="AK1478" i="1"/>
  <c r="AL1478" i="1"/>
  <c r="AK1891" i="1"/>
  <c r="AL1891" i="1"/>
  <c r="AK1849" i="1"/>
  <c r="AL1849" i="1"/>
  <c r="AK1814" i="1"/>
  <c r="AL1814" i="1"/>
  <c r="AK1768" i="1"/>
  <c r="AL1768" i="1"/>
  <c r="AK1692" i="1"/>
  <c r="AL1692" i="1"/>
  <c r="AK1637" i="1"/>
  <c r="AL1637" i="1"/>
  <c r="AK1542" i="1"/>
  <c r="AL1542" i="1"/>
  <c r="AK1510" i="1"/>
  <c r="AL1510" i="1"/>
  <c r="AK1245" i="1"/>
  <c r="AL1245" i="1"/>
  <c r="AK906" i="1"/>
  <c r="AL906" i="1"/>
  <c r="AK388" i="1"/>
  <c r="AL388" i="1"/>
  <c r="AK189" i="1"/>
  <c r="AL189" i="1"/>
  <c r="AK1670" i="1"/>
  <c r="AL1670" i="1"/>
  <c r="AK1207" i="1"/>
  <c r="AL1207" i="1"/>
  <c r="AK1054" i="1"/>
  <c r="AL1054" i="1"/>
  <c r="AK933" i="1"/>
  <c r="AL933" i="1"/>
  <c r="AK414" i="1"/>
  <c r="AL414" i="1"/>
  <c r="AK251" i="1"/>
  <c r="AL251" i="1"/>
  <c r="AK126" i="1"/>
  <c r="AL126" i="1"/>
  <c r="AK80" i="1"/>
  <c r="AL80" i="1"/>
  <c r="AK1956" i="1"/>
  <c r="AL1956" i="1"/>
  <c r="AK1700" i="1"/>
  <c r="AL1700" i="1"/>
  <c r="AK1683" i="1"/>
  <c r="AL1683" i="1"/>
  <c r="AK175" i="1"/>
  <c r="AL175" i="1"/>
  <c r="AK1100" i="1"/>
  <c r="AL1100" i="1"/>
  <c r="AK1948" i="1"/>
  <c r="AL1948" i="1"/>
  <c r="AK1799" i="1"/>
  <c r="AL1799" i="1"/>
  <c r="AK1750" i="1"/>
  <c r="AL1750" i="1"/>
  <c r="AK1694" i="1"/>
  <c r="AL1694" i="1"/>
  <c r="AK1546" i="1"/>
  <c r="AL1546" i="1"/>
  <c r="AK1125" i="1"/>
  <c r="AL1125" i="1"/>
  <c r="AK1009" i="1"/>
  <c r="AL1009" i="1"/>
  <c r="AK184" i="1"/>
  <c r="AL184" i="1"/>
  <c r="AZ1074" i="1"/>
  <c r="BA1074" i="1"/>
  <c r="AZ316" i="1"/>
  <c r="BA316" i="1"/>
  <c r="AZ312" i="1"/>
  <c r="BA312" i="1"/>
  <c r="U25" i="169"/>
  <c r="R19" i="109"/>
  <c r="F19" i="174"/>
  <c r="F19" i="15"/>
  <c r="S41" i="109"/>
  <c r="T41" i="111"/>
  <c r="L25" i="169"/>
  <c r="M25" i="169"/>
  <c r="I139" i="168"/>
  <c r="I99" i="168"/>
  <c r="I95" i="168"/>
  <c r="I93" i="168"/>
  <c r="I56" i="168"/>
  <c r="I54" i="168"/>
  <c r="I52" i="168"/>
  <c r="I136" i="168"/>
  <c r="I98" i="168"/>
  <c r="I96" i="168"/>
  <c r="I94" i="168"/>
  <c r="I92" i="168"/>
  <c r="I55" i="168"/>
  <c r="I53" i="168"/>
  <c r="I771" i="168"/>
  <c r="N25" i="169"/>
  <c r="W25" i="169"/>
  <c r="R25" i="169"/>
  <c r="O25" i="169"/>
  <c r="P25" i="169"/>
  <c r="Q25" i="169"/>
  <c r="S25" i="169"/>
  <c r="T25" i="169" s="1"/>
  <c r="I137" i="168"/>
  <c r="I497" i="168"/>
  <c r="I495" i="168"/>
  <c r="I493" i="168"/>
  <c r="I491" i="168"/>
  <c r="I489" i="168"/>
  <c r="I485" i="168"/>
  <c r="I483" i="168"/>
  <c r="I481" i="168"/>
  <c r="I479" i="168"/>
  <c r="I475" i="168"/>
  <c r="I473" i="168"/>
  <c r="I1129" i="168"/>
  <c r="I1126" i="168"/>
  <c r="I1123" i="168"/>
  <c r="I1120" i="168"/>
  <c r="I1068" i="168"/>
  <c r="I1065" i="168"/>
  <c r="I1062" i="168"/>
  <c r="I989" i="168"/>
  <c r="I986" i="168"/>
  <c r="I983" i="168"/>
  <c r="I940" i="168"/>
  <c r="I937" i="168"/>
  <c r="I934" i="168"/>
  <c r="I896" i="168"/>
  <c r="I893" i="168"/>
  <c r="I890" i="168"/>
  <c r="I845" i="168"/>
  <c r="I842" i="168"/>
  <c r="I839" i="168"/>
  <c r="I836" i="168"/>
  <c r="I1127" i="168"/>
  <c r="I1124" i="168"/>
  <c r="I1121" i="168"/>
  <c r="I1069" i="168"/>
  <c r="I1066" i="168"/>
  <c r="I1063" i="168"/>
  <c r="I990" i="168"/>
  <c r="I987" i="168"/>
  <c r="I984" i="168"/>
  <c r="I981" i="168"/>
  <c r="I938" i="168"/>
  <c r="I935" i="168"/>
  <c r="I897" i="168"/>
  <c r="I894" i="168"/>
  <c r="I891" i="168"/>
  <c r="I888" i="168"/>
  <c r="I843" i="168"/>
  <c r="I840" i="168"/>
  <c r="I837" i="168"/>
  <c r="I140" i="168"/>
  <c r="I97" i="168"/>
  <c r="I51" i="168"/>
  <c r="I1128" i="168"/>
  <c r="I1125" i="168"/>
  <c r="I1122" i="168"/>
  <c r="I1070" i="168"/>
  <c r="I1067" i="168"/>
  <c r="I1064" i="168"/>
  <c r="I1061" i="168"/>
  <c r="I988" i="168"/>
  <c r="I985" i="168"/>
  <c r="I982" i="168"/>
  <c r="I939" i="168"/>
  <c r="I936" i="168"/>
  <c r="I933" i="168"/>
  <c r="I895" i="168"/>
  <c r="I892" i="168"/>
  <c r="I889" i="168"/>
  <c r="I844" i="168"/>
  <c r="I841" i="168"/>
  <c r="I838" i="168"/>
  <c r="I138" i="168"/>
  <c r="I769" i="168"/>
  <c r="I766" i="168"/>
  <c r="I730" i="168"/>
  <c r="I727" i="168"/>
  <c r="I645" i="168"/>
  <c r="I642" i="168"/>
  <c r="I572" i="168"/>
  <c r="I536" i="168"/>
  <c r="I533" i="168"/>
  <c r="I530" i="168"/>
  <c r="I431" i="168"/>
  <c r="I407" i="168"/>
  <c r="I376" i="168"/>
  <c r="I339" i="168"/>
  <c r="I336" i="168"/>
  <c r="I300" i="168"/>
  <c r="I297" i="168"/>
  <c r="I261" i="168"/>
  <c r="I217" i="168"/>
  <c r="I182" i="168"/>
  <c r="I179" i="168"/>
  <c r="I142" i="168"/>
  <c r="I770" i="168"/>
  <c r="I767" i="168"/>
  <c r="I731" i="168"/>
  <c r="I728" i="168"/>
  <c r="I666" i="168"/>
  <c r="I643" i="168"/>
  <c r="I640" i="168"/>
  <c r="I537" i="168"/>
  <c r="I534" i="168"/>
  <c r="I531" i="168"/>
  <c r="I432" i="168"/>
  <c r="I408" i="168"/>
  <c r="I377" i="168"/>
  <c r="I340" i="168"/>
  <c r="I337" i="168"/>
  <c r="I301" i="168"/>
  <c r="I298" i="168"/>
  <c r="I262" i="168"/>
  <c r="I259" i="168"/>
  <c r="I183" i="168"/>
  <c r="I180" i="168"/>
  <c r="I143" i="168"/>
  <c r="I768" i="168"/>
  <c r="I765" i="168"/>
  <c r="I729" i="168"/>
  <c r="I693" i="168"/>
  <c r="I644" i="168"/>
  <c r="I641" i="168"/>
  <c r="I571" i="168"/>
  <c r="I535" i="168"/>
  <c r="I532" i="168"/>
  <c r="I469" i="168"/>
  <c r="I409" i="168"/>
  <c r="I378" i="168"/>
  <c r="I375" i="168"/>
  <c r="I338" i="168"/>
  <c r="I335" i="168"/>
  <c r="I299" i="168"/>
  <c r="I263" i="168"/>
  <c r="I260" i="168"/>
  <c r="I216" i="168"/>
  <c r="I181" i="168"/>
  <c r="I144" i="168"/>
  <c r="I141" i="168"/>
  <c r="I474" i="168"/>
  <c r="I482" i="168"/>
  <c r="I498" i="168"/>
  <c r="I496" i="168"/>
  <c r="I494" i="168"/>
  <c r="I492" i="168"/>
  <c r="I490" i="168"/>
  <c r="I488" i="168"/>
  <c r="I486" i="168"/>
  <c r="I484" i="168"/>
  <c r="I480" i="168"/>
  <c r="I478" i="168"/>
  <c r="I476" i="168"/>
  <c r="I472" i="168"/>
  <c r="I12" i="168"/>
  <c r="I487" i="168"/>
  <c r="I477" i="168"/>
  <c r="I471" i="168"/>
  <c r="I470" i="168"/>
  <c r="Q387" i="24"/>
  <c r="P387" i="24"/>
  <c r="T23" i="109"/>
  <c r="H670" i="24"/>
  <c r="L48" i="111"/>
  <c r="K48" i="109"/>
  <c r="L48" i="121"/>
  <c r="H27" i="128"/>
  <c r="D38" i="173"/>
  <c r="R52" i="109"/>
  <c r="S52" i="111"/>
  <c r="H53" i="174"/>
  <c r="H53" i="15"/>
  <c r="H54" i="15"/>
  <c r="H52" i="15"/>
  <c r="H51" i="15"/>
  <c r="H50" i="15"/>
  <c r="H49" i="15"/>
  <c r="H48" i="15"/>
  <c r="H47" i="15"/>
  <c r="H46" i="15"/>
  <c r="H45" i="15"/>
  <c r="H44" i="15"/>
  <c r="H43" i="15"/>
  <c r="H42" i="15"/>
  <c r="H41" i="15"/>
  <c r="H40" i="15"/>
  <c r="H39" i="15"/>
  <c r="H38" i="15"/>
  <c r="H37" i="15"/>
  <c r="H36" i="15"/>
  <c r="H35" i="15"/>
  <c r="H34" i="15"/>
  <c r="H33" i="15"/>
  <c r="H32" i="15"/>
  <c r="H31" i="15"/>
  <c r="H30" i="15"/>
  <c r="H29" i="15"/>
  <c r="H28" i="15"/>
  <c r="H27" i="15"/>
  <c r="H26" i="15"/>
  <c r="H25" i="15"/>
  <c r="H24" i="15"/>
  <c r="H23" i="15"/>
  <c r="H22" i="15"/>
  <c r="H21" i="15"/>
  <c r="H20" i="15"/>
  <c r="H19" i="15"/>
  <c r="H18" i="15"/>
  <c r="H17" i="15"/>
  <c r="H16" i="15"/>
  <c r="H15" i="15"/>
  <c r="H14" i="15"/>
  <c r="H13" i="15"/>
  <c r="H54" i="174"/>
  <c r="H52" i="174"/>
  <c r="H50" i="174"/>
  <c r="H51" i="174"/>
  <c r="H49" i="174"/>
  <c r="H48" i="174"/>
  <c r="H46" i="174"/>
  <c r="H47" i="174"/>
  <c r="H45" i="174"/>
  <c r="H44" i="174"/>
  <c r="H43" i="174"/>
  <c r="H42" i="174"/>
  <c r="H41" i="174"/>
  <c r="H40" i="174"/>
  <c r="H39" i="174"/>
  <c r="H38" i="174"/>
  <c r="H37" i="174"/>
  <c r="H36" i="174"/>
  <c r="H35" i="174"/>
  <c r="H34" i="174"/>
  <c r="Q39" i="111"/>
  <c r="H33" i="174"/>
  <c r="H32" i="174"/>
  <c r="H31" i="174"/>
  <c r="H30" i="174"/>
  <c r="H29" i="174"/>
  <c r="H28" i="174"/>
  <c r="H27" i="174"/>
  <c r="H26" i="174"/>
  <c r="H25" i="174"/>
  <c r="H24" i="174"/>
  <c r="H23" i="174"/>
  <c r="H22" i="174"/>
  <c r="H21" i="174"/>
  <c r="H20" i="174"/>
  <c r="H19" i="174"/>
  <c r="H18" i="174"/>
  <c r="H17" i="174"/>
  <c r="H16" i="174"/>
  <c r="H15" i="174"/>
  <c r="H14" i="174"/>
  <c r="H13" i="174"/>
  <c r="J38" i="121"/>
  <c r="K38" i="121"/>
  <c r="O38" i="121"/>
  <c r="P38" i="121"/>
  <c r="T43" i="111"/>
  <c r="Q43" i="109"/>
  <c r="R43" i="121"/>
  <c r="U41" i="111"/>
  <c r="E24" i="53"/>
  <c r="S31" i="111"/>
  <c r="J22" i="121"/>
  <c r="I22" i="109"/>
  <c r="J22" i="111"/>
  <c r="M22" i="121"/>
  <c r="T19" i="111"/>
  <c r="D44" i="173"/>
  <c r="S18" i="111"/>
  <c r="R18" i="109"/>
  <c r="G666" i="24"/>
  <c r="G665" i="24"/>
  <c r="G663" i="24"/>
  <c r="G61" i="131"/>
  <c r="G58" i="131"/>
  <c r="G64" i="131"/>
  <c r="G659" i="24"/>
  <c r="O1006" i="1" s="1"/>
  <c r="P1006" i="1" s="1"/>
  <c r="T23" i="111"/>
  <c r="S23" i="109"/>
  <c r="R50" i="109"/>
  <c r="T46" i="111"/>
  <c r="S46" i="109"/>
  <c r="S46" i="111"/>
  <c r="M1105" i="1"/>
  <c r="H1103" i="1"/>
  <c r="T37" i="109"/>
  <c r="S35" i="111"/>
  <c r="R35" i="109"/>
  <c r="S33" i="111"/>
  <c r="R33" i="109"/>
  <c r="H118" i="1"/>
  <c r="T14" i="111"/>
  <c r="S14" i="111"/>
  <c r="R14" i="109"/>
  <c r="U14" i="111"/>
  <c r="T14" i="109"/>
  <c r="O663" i="24" l="1"/>
  <c r="O192" i="1"/>
  <c r="O666" i="24"/>
  <c r="O197" i="1"/>
  <c r="P197" i="1" s="1"/>
  <c r="O665" i="24"/>
  <c r="O196" i="1"/>
  <c r="P196" i="1" s="1"/>
  <c r="AZ915" i="1"/>
  <c r="BA915" i="1"/>
  <c r="R118" i="1"/>
  <c r="S118" i="1" s="1"/>
  <c r="AZ118" i="1"/>
  <c r="BA118" i="1"/>
  <c r="R1103" i="1"/>
  <c r="S1103" i="1" s="1"/>
  <c r="AZ1103" i="1"/>
  <c r="BA1103" i="1"/>
  <c r="P1105" i="1"/>
  <c r="AK1105" i="1"/>
  <c r="D18" i="173"/>
  <c r="Q35" i="109"/>
  <c r="D43" i="173"/>
  <c r="D45" i="173"/>
  <c r="L22" i="109"/>
  <c r="R34" i="109"/>
  <c r="T37" i="111"/>
  <c r="R22" i="109"/>
  <c r="R43" i="111"/>
  <c r="F38" i="121"/>
  <c r="T17" i="111"/>
  <c r="T34" i="111"/>
  <c r="R35" i="111"/>
  <c r="U37" i="111"/>
  <c r="S50" i="111"/>
  <c r="R22" i="121"/>
  <c r="S22" i="111"/>
  <c r="M22" i="111"/>
  <c r="S17" i="109"/>
  <c r="S34" i="111"/>
  <c r="S34" i="109"/>
  <c r="S37" i="109"/>
  <c r="N12" i="24"/>
  <c r="M12" i="24"/>
  <c r="R35" i="121"/>
  <c r="S27" i="109"/>
  <c r="R43" i="109"/>
  <c r="S43" i="111"/>
  <c r="E16" i="53"/>
  <c r="C27" i="178"/>
  <c r="C26" i="117"/>
  <c r="O659" i="24"/>
  <c r="Q22" i="109"/>
  <c r="S22" i="109"/>
  <c r="R15" i="109"/>
  <c r="T33" i="111"/>
  <c r="T46" i="109"/>
  <c r="S14" i="109"/>
  <c r="R40" i="109"/>
  <c r="R46" i="109"/>
  <c r="S19" i="109"/>
  <c r="T31" i="111"/>
  <c r="T31" i="109"/>
  <c r="R31" i="109"/>
  <c r="T41" i="109"/>
  <c r="S43" i="109"/>
  <c r="V25" i="169"/>
  <c r="X25" i="169" s="1"/>
  <c r="Y25" i="169" s="1"/>
  <c r="O387" i="24"/>
  <c r="AZ196" i="1" l="1"/>
  <c r="BA196" i="1"/>
  <c r="P192" i="1"/>
  <c r="Q192" i="1"/>
  <c r="T192" i="1" s="1"/>
  <c r="AW192" i="1" s="1"/>
  <c r="T15" i="109"/>
  <c r="U15" i="111"/>
  <c r="T27" i="111"/>
  <c r="U31" i="111"/>
  <c r="S31" i="109"/>
  <c r="U46" i="111"/>
  <c r="S33" i="109"/>
  <c r="T22" i="111"/>
  <c r="S15" i="111"/>
  <c r="S40" i="111"/>
  <c r="R22" i="111"/>
  <c r="BA192" i="1" l="1"/>
  <c r="AZ192" i="1"/>
  <c r="T45" i="111"/>
  <c r="T17" i="109"/>
  <c r="U17" i="111"/>
  <c r="S45" i="109"/>
  <c r="R17" i="109" l="1"/>
  <c r="S17" i="111"/>
  <c r="H643" i="24"/>
  <c r="H642" i="24"/>
  <c r="H639" i="24"/>
  <c r="P47" i="121"/>
  <c r="D23" i="173"/>
  <c r="H634" i="24"/>
  <c r="P47" i="111"/>
  <c r="O47" i="109"/>
  <c r="T39" i="109"/>
  <c r="U24" i="111"/>
  <c r="D17" i="173" l="1"/>
  <c r="D20" i="173"/>
  <c r="H24" i="121"/>
  <c r="Q47" i="121"/>
  <c r="T24" i="109"/>
  <c r="F24" i="109"/>
  <c r="G24" i="109"/>
  <c r="Q21" i="111"/>
  <c r="S24" i="109"/>
  <c r="T24" i="111"/>
  <c r="R32" i="109"/>
  <c r="R39" i="109"/>
  <c r="S39" i="111"/>
  <c r="T47" i="109"/>
  <c r="T51" i="109"/>
  <c r="U51" i="111"/>
  <c r="R24" i="109"/>
  <c r="S24" i="111"/>
  <c r="Q21" i="121"/>
  <c r="R47" i="121"/>
  <c r="T21" i="109"/>
  <c r="U21" i="111"/>
  <c r="P21" i="109"/>
  <c r="G24" i="111"/>
  <c r="H24" i="111"/>
  <c r="D24" i="174"/>
  <c r="D24" i="15"/>
  <c r="S39" i="109"/>
  <c r="T39" i="111"/>
  <c r="U47" i="111"/>
  <c r="P47" i="109"/>
  <c r="Q47" i="111"/>
  <c r="R51" i="109"/>
  <c r="S51" i="111"/>
  <c r="S51" i="109"/>
  <c r="T51" i="111"/>
  <c r="G24" i="121"/>
  <c r="D28" i="53"/>
  <c r="S23" i="167"/>
  <c r="R23" i="167"/>
  <c r="D25" i="126" s="1"/>
  <c r="U29" i="167"/>
  <c r="D32" i="56" s="1"/>
  <c r="U35" i="167"/>
  <c r="U36" i="167"/>
  <c r="U38" i="167"/>
  <c r="U40" i="167"/>
  <c r="D33" i="56" s="1"/>
  <c r="U41" i="167"/>
  <c r="D36" i="56" s="1"/>
  <c r="U42" i="167"/>
  <c r="D35" i="56" s="1"/>
  <c r="U43" i="167"/>
  <c r="U44" i="167"/>
  <c r="U45" i="167"/>
  <c r="U49" i="167"/>
  <c r="U52" i="167"/>
  <c r="U53" i="167"/>
  <c r="D34" i="56" s="1"/>
  <c r="U54" i="167"/>
  <c r="U20" i="167"/>
  <c r="U27" i="167"/>
  <c r="U28" i="167"/>
  <c r="U16" i="167"/>
  <c r="U18" i="167"/>
  <c r="U19" i="167"/>
  <c r="U13" i="167"/>
  <c r="T51" i="167"/>
  <c r="R51" i="167"/>
  <c r="T50" i="167"/>
  <c r="Q48" i="167"/>
  <c r="U48" i="167" s="1"/>
  <c r="D30" i="56" s="1"/>
  <c r="T23" i="167"/>
  <c r="S17" i="167"/>
  <c r="Q51" i="167"/>
  <c r="D56" i="43"/>
  <c r="D56" i="44"/>
  <c r="E56" i="44" s="1"/>
  <c r="E14" i="140"/>
  <c r="H49" i="175"/>
  <c r="H17" i="175"/>
  <c r="H35" i="175"/>
  <c r="H21" i="175"/>
  <c r="H37" i="175"/>
  <c r="H18" i="175"/>
  <c r="H23" i="175"/>
  <c r="H46" i="175"/>
  <c r="H32" i="175"/>
  <c r="D43" i="105" s="1"/>
  <c r="D14" i="140" s="1"/>
  <c r="H52" i="175"/>
  <c r="D44" i="105" s="1"/>
  <c r="H28" i="175"/>
  <c r="C46" i="175"/>
  <c r="C32" i="175"/>
  <c r="C43" i="105" s="1"/>
  <c r="C52" i="175"/>
  <c r="C44" i="105" s="1"/>
  <c r="C28" i="175"/>
  <c r="C45" i="105" s="1"/>
  <c r="C47" i="175"/>
  <c r="C46" i="105" s="1"/>
  <c r="I29" i="174"/>
  <c r="I29" i="15"/>
  <c r="R29" i="111"/>
  <c r="L29" i="111"/>
  <c r="H29" i="111"/>
  <c r="Q29" i="109"/>
  <c r="R29" i="121"/>
  <c r="L29" i="121"/>
  <c r="P29" i="121"/>
  <c r="H29" i="121"/>
  <c r="F29" i="121"/>
  <c r="C25" i="53"/>
  <c r="P53" i="111"/>
  <c r="Q53" i="111"/>
  <c r="O53" i="109"/>
  <c r="P53" i="109"/>
  <c r="P53" i="121"/>
  <c r="Q53" i="121"/>
  <c r="D40" i="173"/>
  <c r="J49" i="111"/>
  <c r="J49" i="121"/>
  <c r="R48" i="111"/>
  <c r="Q48" i="109"/>
  <c r="R48" i="121"/>
  <c r="G48" i="121"/>
  <c r="S44" i="109"/>
  <c r="S30" i="111"/>
  <c r="R30" i="111"/>
  <c r="R30" i="109"/>
  <c r="R30" i="121"/>
  <c r="D46" i="173"/>
  <c r="M30" i="111"/>
  <c r="L30" i="109"/>
  <c r="M30" i="121"/>
  <c r="J30" i="121"/>
  <c r="I30" i="109"/>
  <c r="J30" i="111"/>
  <c r="P48" i="111" l="1"/>
  <c r="U42" i="111"/>
  <c r="D41" i="173"/>
  <c r="C41" i="173" s="1"/>
  <c r="D28" i="178"/>
  <c r="F29" i="109"/>
  <c r="D31" i="53"/>
  <c r="D48" i="174"/>
  <c r="D48" i="15"/>
  <c r="E29" i="109"/>
  <c r="E29" i="174"/>
  <c r="E29" i="15"/>
  <c r="Q30" i="109"/>
  <c r="F30" i="174"/>
  <c r="F30" i="15"/>
  <c r="F48" i="109"/>
  <c r="G48" i="111"/>
  <c r="P48" i="121"/>
  <c r="T26" i="109"/>
  <c r="U26" i="111"/>
  <c r="C28" i="178"/>
  <c r="C27" i="126"/>
  <c r="C27" i="117"/>
  <c r="D36" i="53"/>
  <c r="D29" i="174"/>
  <c r="D29" i="15"/>
  <c r="C48" i="39" s="1"/>
  <c r="G29" i="109"/>
  <c r="T29" i="109"/>
  <c r="H29" i="109"/>
  <c r="F43" i="105"/>
  <c r="T44" i="111"/>
  <c r="O48" i="109"/>
  <c r="L49" i="121"/>
  <c r="D25" i="53"/>
  <c r="T42" i="109"/>
  <c r="D42" i="174"/>
  <c r="D42" i="15"/>
  <c r="I29" i="121"/>
  <c r="G29" i="121"/>
  <c r="C26" i="178"/>
  <c r="C25" i="126"/>
  <c r="C25" i="117"/>
  <c r="R29" i="109"/>
  <c r="G43" i="105"/>
  <c r="F29" i="111"/>
  <c r="U29" i="111"/>
  <c r="S29" i="111"/>
  <c r="I29" i="111"/>
  <c r="G29" i="111"/>
  <c r="D27" i="117"/>
  <c r="S55" i="167"/>
  <c r="D26" i="126"/>
  <c r="R55" i="167"/>
  <c r="T55" i="167"/>
  <c r="D27" i="126"/>
  <c r="R44" i="109"/>
  <c r="K49" i="109"/>
  <c r="I49" i="109"/>
  <c r="C40" i="173"/>
  <c r="F14" i="140"/>
  <c r="C38" i="173"/>
  <c r="C14" i="140"/>
  <c r="K25" i="169"/>
  <c r="J25" i="169" s="1"/>
  <c r="L49" i="111" l="1"/>
  <c r="S44" i="111"/>
  <c r="K29" i="109"/>
  <c r="F49" i="174"/>
  <c r="F49" i="15"/>
  <c r="E25" i="117"/>
  <c r="G36" i="53"/>
  <c r="C32" i="56"/>
  <c r="C48" i="10"/>
  <c r="C37" i="48"/>
  <c r="S29" i="121"/>
  <c r="C49" i="164" s="1"/>
  <c r="D48" i="39"/>
  <c r="D48" i="10"/>
  <c r="D37" i="48"/>
  <c r="F30" i="121"/>
  <c r="T54" i="111"/>
  <c r="D39" i="173"/>
  <c r="E58" i="131"/>
  <c r="S26" i="111"/>
  <c r="C26" i="126"/>
  <c r="T26" i="111" l="1"/>
  <c r="F58" i="131"/>
  <c r="D58" i="131"/>
  <c r="S26" i="109"/>
  <c r="F30" i="111"/>
  <c r="R26" i="109"/>
  <c r="R55" i="109" s="1"/>
  <c r="D26" i="178"/>
  <c r="D25" i="117"/>
  <c r="D59" i="131"/>
  <c r="D57" i="131"/>
  <c r="F59" i="131"/>
  <c r="F57" i="131"/>
  <c r="E59" i="131"/>
  <c r="E57" i="131"/>
  <c r="H57" i="131"/>
  <c r="H59" i="131"/>
  <c r="H58" i="131"/>
  <c r="E30" i="109"/>
  <c r="C39" i="173"/>
  <c r="S55" i="111"/>
  <c r="S54" i="109"/>
  <c r="E32" i="56"/>
  <c r="F32" i="56"/>
  <c r="O611" i="24"/>
  <c r="P611" i="24"/>
  <c r="Q611" i="24"/>
  <c r="O612" i="24"/>
  <c r="P612" i="24"/>
  <c r="Q612" i="24"/>
  <c r="O613" i="24"/>
  <c r="P613" i="24"/>
  <c r="Q613" i="24"/>
  <c r="O614" i="24"/>
  <c r="P614" i="24"/>
  <c r="Q614" i="24"/>
  <c r="O615" i="24"/>
  <c r="P615" i="24"/>
  <c r="Q615" i="24"/>
  <c r="O616" i="24"/>
  <c r="P616" i="24"/>
  <c r="Q616" i="24"/>
  <c r="O617" i="24"/>
  <c r="P617" i="24"/>
  <c r="Q617" i="24"/>
  <c r="O618" i="24"/>
  <c r="P618" i="24"/>
  <c r="Q618" i="24"/>
  <c r="O619" i="24"/>
  <c r="P619" i="24"/>
  <c r="Q619" i="24"/>
  <c r="P620" i="24"/>
  <c r="Q620" i="24"/>
  <c r="O621" i="24"/>
  <c r="P621" i="24"/>
  <c r="Q621" i="24"/>
  <c r="O622" i="24"/>
  <c r="P622" i="24"/>
  <c r="Q622" i="24"/>
  <c r="O623" i="24"/>
  <c r="P623" i="24"/>
  <c r="Q623" i="24"/>
  <c r="O624" i="24"/>
  <c r="P624" i="24"/>
  <c r="Q624" i="24"/>
  <c r="O625" i="24"/>
  <c r="P625" i="24"/>
  <c r="Q625" i="24"/>
  <c r="O626" i="24"/>
  <c r="P626" i="24"/>
  <c r="Q626" i="24"/>
  <c r="O627" i="24"/>
  <c r="P627" i="24"/>
  <c r="Q627" i="24"/>
  <c r="O628" i="24"/>
  <c r="P628" i="24"/>
  <c r="Q628" i="24"/>
  <c r="O629" i="24"/>
  <c r="P629" i="24"/>
  <c r="Q629" i="24"/>
  <c r="O630" i="24"/>
  <c r="P630" i="24"/>
  <c r="Q630" i="24"/>
  <c r="L613" i="24"/>
  <c r="AQ748" i="1" s="1"/>
  <c r="H629" i="24"/>
  <c r="H628" i="24"/>
  <c r="H626" i="24"/>
  <c r="E64" i="131" l="1"/>
  <c r="E61" i="131"/>
  <c r="F64" i="131"/>
  <c r="D64" i="131"/>
  <c r="F61" i="131"/>
  <c r="D61" i="131"/>
  <c r="D26" i="117"/>
  <c r="D27" i="178"/>
  <c r="T20" i="111"/>
  <c r="S20" i="109"/>
  <c r="E26" i="117"/>
  <c r="E27" i="178"/>
  <c r="D62" i="131"/>
  <c r="D60" i="131"/>
  <c r="F62" i="131"/>
  <c r="F60" i="131"/>
  <c r="E62" i="131"/>
  <c r="E60" i="131"/>
  <c r="H63" i="131"/>
  <c r="H65" i="131"/>
  <c r="H64" i="131"/>
  <c r="H60" i="131"/>
  <c r="H62" i="131"/>
  <c r="H61" i="131"/>
  <c r="D65" i="131"/>
  <c r="D63" i="131"/>
  <c r="F65" i="131"/>
  <c r="F63" i="131"/>
  <c r="E63" i="131"/>
  <c r="E65" i="131"/>
  <c r="T25" i="109"/>
  <c r="L611" i="24"/>
  <c r="AQ500" i="1" s="1"/>
  <c r="O620" i="24"/>
  <c r="L612" i="24"/>
  <c r="AQ502" i="1" s="1"/>
  <c r="L617" i="24"/>
  <c r="AQ697" i="1" s="1"/>
  <c r="L624" i="24"/>
  <c r="AQ621" i="1" s="1"/>
  <c r="L622" i="24"/>
  <c r="AQ618" i="1" s="1"/>
  <c r="L621" i="24"/>
  <c r="AQ616" i="1" s="1"/>
  <c r="L619" i="24"/>
  <c r="AQ191" i="1" l="1"/>
  <c r="AQ614" i="1"/>
  <c r="T20" i="109"/>
  <c r="U25" i="111"/>
  <c r="U20" i="111"/>
  <c r="F27" i="178"/>
  <c r="O610" i="24"/>
  <c r="P610" i="24"/>
  <c r="Q610" i="24"/>
  <c r="J14" i="111"/>
  <c r="I14" i="111"/>
  <c r="R14" i="111"/>
  <c r="H15" i="111"/>
  <c r="L17" i="111"/>
  <c r="M17" i="111"/>
  <c r="H18" i="111"/>
  <c r="I18" i="111"/>
  <c r="J18" i="111"/>
  <c r="J19" i="111"/>
  <c r="P19" i="111"/>
  <c r="P20" i="111"/>
  <c r="N21" i="111"/>
  <c r="W22" i="111"/>
  <c r="N24" i="111"/>
  <c r="K25" i="111"/>
  <c r="G26" i="111"/>
  <c r="W28" i="111"/>
  <c r="O28" i="111"/>
  <c r="P28" i="111"/>
  <c r="M54" i="111"/>
  <c r="W30" i="111"/>
  <c r="I30" i="111"/>
  <c r="O30" i="111"/>
  <c r="P31" i="111"/>
  <c r="Q31" i="111"/>
  <c r="L31" i="111"/>
  <c r="O32" i="111"/>
  <c r="P32" i="111"/>
  <c r="Q32" i="111"/>
  <c r="J34" i="111"/>
  <c r="W35" i="111"/>
  <c r="I35" i="111"/>
  <c r="W36" i="111"/>
  <c r="N37" i="111"/>
  <c r="T55" i="111"/>
  <c r="K37" i="111"/>
  <c r="J38" i="111"/>
  <c r="K38" i="111"/>
  <c r="P38" i="111"/>
  <c r="O39" i="111"/>
  <c r="I39" i="111"/>
  <c r="I40" i="111"/>
  <c r="L40" i="111"/>
  <c r="O40" i="111"/>
  <c r="G40" i="111"/>
  <c r="P42" i="111"/>
  <c r="R42" i="111"/>
  <c r="G43" i="111"/>
  <c r="I43" i="111"/>
  <c r="Q44" i="111"/>
  <c r="G45" i="111"/>
  <c r="O45" i="111"/>
  <c r="Q46" i="111"/>
  <c r="R46" i="111"/>
  <c r="M47" i="111"/>
  <c r="R47" i="111"/>
  <c r="K47" i="111"/>
  <c r="G47" i="111"/>
  <c r="G49" i="111"/>
  <c r="W49" i="111"/>
  <c r="N53" i="111"/>
  <c r="K50" i="111"/>
  <c r="M50" i="111"/>
  <c r="P50" i="111"/>
  <c r="G23" i="111"/>
  <c r="J23" i="111"/>
  <c r="N23" i="111"/>
  <c r="P23" i="111"/>
  <c r="R23" i="111"/>
  <c r="F23" i="111"/>
  <c r="O23" i="111"/>
  <c r="AT2" i="1"/>
  <c r="H24" i="175"/>
  <c r="D15" i="105" s="1"/>
  <c r="H55" i="175"/>
  <c r="D16" i="105" s="1"/>
  <c r="H15" i="175"/>
  <c r="D17" i="105" s="1"/>
  <c r="H51" i="175"/>
  <c r="D18" i="105" s="1"/>
  <c r="H41" i="175"/>
  <c r="D19" i="105" s="1"/>
  <c r="H27" i="175"/>
  <c r="D20" i="105" s="1"/>
  <c r="H19" i="175"/>
  <c r="D21" i="105" s="1"/>
  <c r="H42" i="175"/>
  <c r="D22" i="105" s="1"/>
  <c r="H34" i="175"/>
  <c r="D23" i="105" s="1"/>
  <c r="H43" i="175"/>
  <c r="D24" i="105" s="1"/>
  <c r="H25" i="175"/>
  <c r="D25" i="105" s="1"/>
  <c r="H29" i="175"/>
  <c r="D26" i="105" s="1"/>
  <c r="H26" i="175"/>
  <c r="D27" i="105" s="1"/>
  <c r="H38" i="175"/>
  <c r="D28" i="105" s="1"/>
  <c r="H40" i="175"/>
  <c r="D29" i="105" s="1"/>
  <c r="H36" i="175"/>
  <c r="D30" i="105" s="1"/>
  <c r="H16" i="175"/>
  <c r="D31" i="105" s="1"/>
  <c r="H54" i="175"/>
  <c r="D32" i="105" s="1"/>
  <c r="H39" i="175"/>
  <c r="D33" i="105" s="1"/>
  <c r="H22" i="175"/>
  <c r="D34" i="105" s="1"/>
  <c r="D35" i="105"/>
  <c r="D37" i="105"/>
  <c r="D38" i="105"/>
  <c r="D39" i="105"/>
  <c r="D40" i="105"/>
  <c r="D41" i="105"/>
  <c r="D42" i="105"/>
  <c r="D45" i="105"/>
  <c r="H47" i="175"/>
  <c r="D46" i="105" s="1"/>
  <c r="H20" i="175"/>
  <c r="D47" i="105" s="1"/>
  <c r="H31" i="175"/>
  <c r="D48" i="105" s="1"/>
  <c r="H33" i="175"/>
  <c r="D49" i="105" s="1"/>
  <c r="H48" i="175"/>
  <c r="D50" i="105" s="1"/>
  <c r="H53" i="175"/>
  <c r="D51" i="105" s="1"/>
  <c r="H44" i="175"/>
  <c r="D52" i="105" s="1"/>
  <c r="H30" i="175"/>
  <c r="D53" i="105" s="1"/>
  <c r="H50" i="175"/>
  <c r="D54" i="105" s="1"/>
  <c r="H45" i="175"/>
  <c r="D55" i="105" s="1"/>
  <c r="H14" i="175"/>
  <c r="D14" i="105" s="1"/>
  <c r="U13" i="92"/>
  <c r="U14" i="92"/>
  <c r="U15" i="92"/>
  <c r="U16" i="92"/>
  <c r="U17" i="92"/>
  <c r="U18" i="92"/>
  <c r="U19" i="92"/>
  <c r="U20" i="92"/>
  <c r="U21" i="92"/>
  <c r="U22" i="92"/>
  <c r="U23" i="92"/>
  <c r="U24" i="92"/>
  <c r="U25" i="92"/>
  <c r="U26" i="92"/>
  <c r="U27" i="92"/>
  <c r="U28" i="92"/>
  <c r="U29" i="92"/>
  <c r="U30" i="92"/>
  <c r="U31" i="92"/>
  <c r="U32" i="92"/>
  <c r="U33" i="92"/>
  <c r="U34" i="92"/>
  <c r="U35" i="92"/>
  <c r="U36" i="92"/>
  <c r="U37" i="92"/>
  <c r="U38" i="92"/>
  <c r="U39" i="92"/>
  <c r="U40" i="92"/>
  <c r="U41" i="92"/>
  <c r="U42" i="92"/>
  <c r="U43" i="92"/>
  <c r="U44" i="92"/>
  <c r="U45" i="92"/>
  <c r="U46" i="92"/>
  <c r="U47" i="92"/>
  <c r="U48" i="92"/>
  <c r="U12" i="92"/>
  <c r="O30" i="121"/>
  <c r="C15" i="175"/>
  <c r="C17" i="105" s="1"/>
  <c r="C51" i="175"/>
  <c r="C18" i="105" s="1"/>
  <c r="C41" i="175"/>
  <c r="C19" i="105" s="1"/>
  <c r="C27" i="175"/>
  <c r="C20" i="105" s="1"/>
  <c r="C19" i="175"/>
  <c r="C21" i="105" s="1"/>
  <c r="C42" i="175"/>
  <c r="C22" i="105" s="1"/>
  <c r="C34" i="175"/>
  <c r="C23" i="105" s="1"/>
  <c r="C43" i="175"/>
  <c r="C24" i="105" s="1"/>
  <c r="C25" i="175"/>
  <c r="C25" i="105" s="1"/>
  <c r="C29" i="175"/>
  <c r="C26" i="105" s="1"/>
  <c r="C26" i="175"/>
  <c r="C27" i="105" s="1"/>
  <c r="C38" i="175"/>
  <c r="C28" i="105" s="1"/>
  <c r="C40" i="175"/>
  <c r="C29" i="105" s="1"/>
  <c r="C36" i="175"/>
  <c r="C30" i="105" s="1"/>
  <c r="C16" i="175"/>
  <c r="C31" i="105" s="1"/>
  <c r="C54" i="175"/>
  <c r="C32" i="105" s="1"/>
  <c r="C39" i="175"/>
  <c r="C33" i="105" s="1"/>
  <c r="C22" i="175"/>
  <c r="C34" i="105" s="1"/>
  <c r="C49" i="175"/>
  <c r="C35" i="105" s="1"/>
  <c r="C17" i="175"/>
  <c r="C36" i="105" s="1"/>
  <c r="C35" i="175"/>
  <c r="C37" i="105" s="1"/>
  <c r="C21" i="175"/>
  <c r="C38" i="105" s="1"/>
  <c r="C37" i="175"/>
  <c r="C39" i="105" s="1"/>
  <c r="C18" i="175"/>
  <c r="C40" i="105" s="1"/>
  <c r="C23" i="175"/>
  <c r="C41" i="105" s="1"/>
  <c r="C42" i="105"/>
  <c r="C20" i="175"/>
  <c r="C47" i="105" s="1"/>
  <c r="C31" i="175"/>
  <c r="C48" i="105" s="1"/>
  <c r="C33" i="175"/>
  <c r="C49" i="105" s="1"/>
  <c r="C48" i="175"/>
  <c r="C50" i="105" s="1"/>
  <c r="C53" i="175"/>
  <c r="C51" i="105" s="1"/>
  <c r="C44" i="175"/>
  <c r="C52" i="105" s="1"/>
  <c r="C30" i="175"/>
  <c r="C53" i="105" s="1"/>
  <c r="C50" i="175"/>
  <c r="C54" i="105" s="1"/>
  <c r="C45" i="175"/>
  <c r="C55" i="105" s="1"/>
  <c r="C14" i="175"/>
  <c r="C14" i="105" s="1"/>
  <c r="C24" i="175"/>
  <c r="C15" i="105" s="1"/>
  <c r="C55" i="175"/>
  <c r="C16" i="105" s="1"/>
  <c r="AG36" i="92"/>
  <c r="AG37" i="92"/>
  <c r="AG38" i="92"/>
  <c r="AG39" i="92"/>
  <c r="AG40" i="92"/>
  <c r="AG41" i="92"/>
  <c r="AG42" i="92"/>
  <c r="AG43" i="92"/>
  <c r="AG44" i="92"/>
  <c r="AG45" i="92"/>
  <c r="AG46" i="92"/>
  <c r="AG47" i="92"/>
  <c r="AG48" i="92"/>
  <c r="AG27" i="92"/>
  <c r="AG28" i="92"/>
  <c r="AG29" i="92"/>
  <c r="AG30" i="92"/>
  <c r="AG31" i="92"/>
  <c r="AG32" i="92"/>
  <c r="AG33" i="92"/>
  <c r="AG34" i="92"/>
  <c r="AG35" i="92"/>
  <c r="AG17" i="92"/>
  <c r="AG18" i="92"/>
  <c r="AG19" i="92"/>
  <c r="AG20" i="92"/>
  <c r="AG21" i="92"/>
  <c r="AG22" i="92"/>
  <c r="AG23" i="92"/>
  <c r="AG24" i="92"/>
  <c r="AG25" i="92"/>
  <c r="AG26" i="92"/>
  <c r="AG13" i="92"/>
  <c r="AG14" i="92"/>
  <c r="AG15" i="92"/>
  <c r="AG16" i="92"/>
  <c r="I54" i="174"/>
  <c r="I53" i="174"/>
  <c r="I52" i="174"/>
  <c r="I51" i="174"/>
  <c r="I50" i="174"/>
  <c r="I49" i="174"/>
  <c r="I48" i="174"/>
  <c r="I47" i="174"/>
  <c r="I46" i="174"/>
  <c r="I45" i="174"/>
  <c r="I44" i="174"/>
  <c r="I43" i="174"/>
  <c r="I42" i="174"/>
  <c r="I41" i="174"/>
  <c r="I40" i="174"/>
  <c r="I39" i="174"/>
  <c r="I38" i="174"/>
  <c r="I37" i="174"/>
  <c r="I36" i="174"/>
  <c r="I35" i="174"/>
  <c r="I34" i="174"/>
  <c r="I33" i="174"/>
  <c r="I32" i="174"/>
  <c r="I31" i="174"/>
  <c r="I30" i="174"/>
  <c r="I28" i="174"/>
  <c r="I27" i="174"/>
  <c r="I26" i="174"/>
  <c r="I25" i="174"/>
  <c r="I24" i="174"/>
  <c r="I23" i="174"/>
  <c r="I22" i="174"/>
  <c r="I21" i="174"/>
  <c r="I20" i="174"/>
  <c r="I19" i="174"/>
  <c r="I18" i="174"/>
  <c r="I17" i="174"/>
  <c r="I16" i="174"/>
  <c r="I15" i="174"/>
  <c r="I14" i="174"/>
  <c r="O14" i="111" l="1"/>
  <c r="F38" i="111"/>
  <c r="Q36" i="111"/>
  <c r="F29" i="105"/>
  <c r="I33" i="111"/>
  <c r="I32" i="111"/>
  <c r="G53" i="105"/>
  <c r="F25" i="111"/>
  <c r="CP43" i="92"/>
  <c r="CU13" i="92"/>
  <c r="CW16" i="92"/>
  <c r="CQ36" i="92"/>
  <c r="CU20" i="92"/>
  <c r="CQ23" i="92"/>
  <c r="CQ29" i="92"/>
  <c r="CR31" i="92"/>
  <c r="CP40" i="92"/>
  <c r="CP19" i="92"/>
  <c r="CW38" i="92"/>
  <c r="CP38" i="92"/>
  <c r="CV38" i="92"/>
  <c r="CR38" i="92"/>
  <c r="CX38" i="92"/>
  <c r="CQ38" i="92"/>
  <c r="CS38" i="92"/>
  <c r="CU38" i="92"/>
  <c r="CQ31" i="92"/>
  <c r="CW31" i="92"/>
  <c r="CS31" i="92"/>
  <c r="CP31" i="92"/>
  <c r="CV31" i="92"/>
  <c r="CX31" i="92"/>
  <c r="CU31" i="92"/>
  <c r="CP16" i="92"/>
  <c r="CV16" i="92"/>
  <c r="CR16" i="92"/>
  <c r="CX16" i="92"/>
  <c r="CU16" i="92"/>
  <c r="CQ16" i="92"/>
  <c r="CS16" i="92"/>
  <c r="CX36" i="92"/>
  <c r="CW36" i="92"/>
  <c r="CV36" i="92"/>
  <c r="CU36" i="92"/>
  <c r="CS36" i="92"/>
  <c r="CR36" i="92"/>
  <c r="CP36" i="92"/>
  <c r="CS23" i="92"/>
  <c r="CP23" i="92"/>
  <c r="CV23" i="92"/>
  <c r="CR23" i="92"/>
  <c r="CX23" i="92"/>
  <c r="CU23" i="92"/>
  <c r="CW23" i="92"/>
  <c r="CR24" i="92"/>
  <c r="CQ24" i="92"/>
  <c r="CP24" i="92"/>
  <c r="CX24" i="92"/>
  <c r="CW24" i="92"/>
  <c r="CV24" i="92"/>
  <c r="CU24" i="92"/>
  <c r="CS24" i="92"/>
  <c r="CV18" i="92"/>
  <c r="CQ18" i="92"/>
  <c r="CS26" i="92"/>
  <c r="CX26" i="92"/>
  <c r="CQ32" i="92"/>
  <c r="CW32" i="92"/>
  <c r="CP25" i="92"/>
  <c r="CU25" i="92"/>
  <c r="CX21" i="92"/>
  <c r="CS21" i="92"/>
  <c r="CX27" i="92"/>
  <c r="CS27" i="92"/>
  <c r="CV26" i="92"/>
  <c r="CR26" i="92"/>
  <c r="CU26" i="92"/>
  <c r="CQ26" i="92"/>
  <c r="CW26" i="92"/>
  <c r="CP26" i="92"/>
  <c r="CX22" i="92"/>
  <c r="CW22" i="92"/>
  <c r="CW25" i="92"/>
  <c r="CS25" i="92"/>
  <c r="CV25" i="92"/>
  <c r="CR25" i="92"/>
  <c r="CX25" i="92"/>
  <c r="CQ25" i="92"/>
  <c r="CV13" i="92"/>
  <c r="CS13" i="92"/>
  <c r="CV21" i="92"/>
  <c r="CR21" i="92"/>
  <c r="CU21" i="92"/>
  <c r="CQ21" i="92"/>
  <c r="CW21" i="92"/>
  <c r="CP21" i="92"/>
  <c r="CW20" i="92"/>
  <c r="CV20" i="92"/>
  <c r="CX18" i="92"/>
  <c r="CU18" i="92"/>
  <c r="CW18" i="92"/>
  <c r="CS18" i="92"/>
  <c r="CP18" i="92"/>
  <c r="CR18" i="92"/>
  <c r="CV27" i="92"/>
  <c r="CR27" i="92"/>
  <c r="CU27" i="92"/>
  <c r="CQ27" i="92"/>
  <c r="CW27" i="92"/>
  <c r="CP27" i="92"/>
  <c r="CV22" i="92"/>
  <c r="CU22" i="92"/>
  <c r="CS22" i="92"/>
  <c r="CR22" i="92"/>
  <c r="CQ22" i="92"/>
  <c r="CP22" i="92"/>
  <c r="CS32" i="92"/>
  <c r="CP32" i="92"/>
  <c r="CV32" i="92"/>
  <c r="CR32" i="92"/>
  <c r="CX32" i="92"/>
  <c r="CU32" i="92"/>
  <c r="CR13" i="92"/>
  <c r="CQ13" i="92"/>
  <c r="CP13" i="92"/>
  <c r="CX13" i="92"/>
  <c r="CW13" i="92"/>
  <c r="F14" i="105"/>
  <c r="CS20" i="92"/>
  <c r="CR20" i="92"/>
  <c r="CQ20" i="92"/>
  <c r="CP20" i="92"/>
  <c r="CX20" i="92"/>
  <c r="H23" i="111"/>
  <c r="I47" i="111"/>
  <c r="F34" i="111"/>
  <c r="CV39" i="92"/>
  <c r="CR39" i="92"/>
  <c r="CW40" i="92"/>
  <c r="CS40" i="92"/>
  <c r="CX19" i="92"/>
  <c r="CW19" i="92"/>
  <c r="CV19" i="92"/>
  <c r="CU19" i="92"/>
  <c r="CS19" i="92"/>
  <c r="CR19" i="92"/>
  <c r="CQ19" i="92"/>
  <c r="CW29" i="92"/>
  <c r="CS29" i="92"/>
  <c r="CP29" i="92"/>
  <c r="CV29" i="92"/>
  <c r="CR29" i="92"/>
  <c r="CX29" i="92"/>
  <c r="CU29" i="92"/>
  <c r="CW34" i="92"/>
  <c r="CV34" i="92"/>
  <c r="CU34" i="92"/>
  <c r="CS34" i="92"/>
  <c r="CR34" i="92"/>
  <c r="CQ34" i="92"/>
  <c r="CP34" i="92"/>
  <c r="CX34" i="92"/>
  <c r="CX41" i="92"/>
  <c r="CU41" i="92"/>
  <c r="CQ41" i="92"/>
  <c r="CS30" i="92"/>
  <c r="CP30" i="92"/>
  <c r="CV30" i="92"/>
  <c r="CR30" i="92"/>
  <c r="CX33" i="92"/>
  <c r="CU33" i="92"/>
  <c r="CQ33" i="92"/>
  <c r="CW33" i="92"/>
  <c r="CS33" i="92"/>
  <c r="CP33" i="92"/>
  <c r="CV33" i="92"/>
  <c r="CR33" i="92"/>
  <c r="CX30" i="92"/>
  <c r="CU30" i="92"/>
  <c r="CQ30" i="92"/>
  <c r="CW30" i="92"/>
  <c r="CV12" i="92"/>
  <c r="CR12" i="92"/>
  <c r="CV28" i="92"/>
  <c r="CR28" i="92"/>
  <c r="CX28" i="92"/>
  <c r="CU28" i="92"/>
  <c r="CQ28" i="92"/>
  <c r="CW28" i="92"/>
  <c r="CS28" i="92"/>
  <c r="CP28" i="92"/>
  <c r="G25" i="131"/>
  <c r="G16" i="131"/>
  <c r="CX12" i="92"/>
  <c r="CU12" i="92"/>
  <c r="CQ12" i="92"/>
  <c r="CW12" i="92"/>
  <c r="CS12" i="92"/>
  <c r="CP12" i="92"/>
  <c r="E31" i="131"/>
  <c r="E40" i="131"/>
  <c r="E46" i="131"/>
  <c r="E25" i="131"/>
  <c r="G34" i="131"/>
  <c r="G46" i="131"/>
  <c r="G43" i="131"/>
  <c r="G55" i="131"/>
  <c r="G19" i="131"/>
  <c r="E55" i="131"/>
  <c r="E52" i="131"/>
  <c r="E28" i="131"/>
  <c r="G37" i="131"/>
  <c r="G52" i="131"/>
  <c r="G22" i="131"/>
  <c r="G28" i="131"/>
  <c r="E16" i="131"/>
  <c r="E43" i="131"/>
  <c r="E37" i="131"/>
  <c r="E34" i="131"/>
  <c r="E22" i="131"/>
  <c r="G31" i="131"/>
  <c r="G40" i="131"/>
  <c r="CX35" i="92"/>
  <c r="CW35" i="92"/>
  <c r="CV35" i="92"/>
  <c r="CU35" i="92"/>
  <c r="CS35" i="92"/>
  <c r="CR35" i="92"/>
  <c r="CQ35" i="92"/>
  <c r="CP35" i="92"/>
  <c r="F34" i="131"/>
  <c r="D34" i="131"/>
  <c r="F52" i="131"/>
  <c r="D52" i="131"/>
  <c r="F46" i="131"/>
  <c r="D46" i="131"/>
  <c r="F43" i="131"/>
  <c r="D43" i="131"/>
  <c r="F37" i="131"/>
  <c r="D37" i="131"/>
  <c r="F28" i="131"/>
  <c r="D28" i="131"/>
  <c r="F16" i="131"/>
  <c r="D16" i="131"/>
  <c r="F55" i="131"/>
  <c r="D55" i="131"/>
  <c r="F31" i="131"/>
  <c r="D31" i="131"/>
  <c r="F25" i="131"/>
  <c r="D25" i="131"/>
  <c r="F22" i="131"/>
  <c r="D22" i="131"/>
  <c r="F40" i="131"/>
  <c r="D40" i="131"/>
  <c r="F27" i="105"/>
  <c r="F16" i="105"/>
  <c r="BK23" i="92"/>
  <c r="AZ23" i="92"/>
  <c r="AA83" i="179" s="1"/>
  <c r="AO23" i="92"/>
  <c r="BF23" i="92"/>
  <c r="E83" i="179" s="1"/>
  <c r="AU23" i="92"/>
  <c r="AK83" i="179" s="1"/>
  <c r="BL23" i="92"/>
  <c r="BA23" i="92"/>
  <c r="AP23" i="92"/>
  <c r="AV84" i="179" s="1"/>
  <c r="BG23" i="92"/>
  <c r="P78" i="179" s="1"/>
  <c r="AV23" i="92"/>
  <c r="AL23" i="92"/>
  <c r="Z83" i="179" s="1"/>
  <c r="AB83" i="179" s="1"/>
  <c r="BB23" i="92"/>
  <c r="AR23" i="92"/>
  <c r="D83" i="179" s="1"/>
  <c r="F83" i="179" s="1"/>
  <c r="BH23" i="92"/>
  <c r="AW23" i="92"/>
  <c r="AM23" i="92"/>
  <c r="BJ23" i="92"/>
  <c r="BC23" i="92"/>
  <c r="AS23" i="92"/>
  <c r="O78" i="179" s="1"/>
  <c r="BI23" i="92"/>
  <c r="AL83" i="179" s="1"/>
  <c r="AX23" i="92"/>
  <c r="AN23" i="92"/>
  <c r="BD23" i="92"/>
  <c r="AW84" i="179" s="1"/>
  <c r="AT23" i="92"/>
  <c r="F18" i="105"/>
  <c r="BJ21" i="92"/>
  <c r="BG21" i="92"/>
  <c r="P76" i="179" s="1"/>
  <c r="BC21" i="92"/>
  <c r="AZ21" i="92"/>
  <c r="AA74" i="179" s="1"/>
  <c r="AV21" i="92"/>
  <c r="AS21" i="92"/>
  <c r="O76" i="179" s="1"/>
  <c r="AO21" i="92"/>
  <c r="AL21" i="92"/>
  <c r="Z74" i="179" s="1"/>
  <c r="BL21" i="92"/>
  <c r="BI21" i="92"/>
  <c r="AL67" i="179" s="1"/>
  <c r="BF21" i="92"/>
  <c r="E82" i="179" s="1"/>
  <c r="BB21" i="92"/>
  <c r="AX21" i="92"/>
  <c r="AU21" i="92"/>
  <c r="AK67" i="179" s="1"/>
  <c r="AR21" i="92"/>
  <c r="D82" i="179" s="1"/>
  <c r="AN21" i="92"/>
  <c r="BK21" i="92"/>
  <c r="BH21" i="92"/>
  <c r="BD21" i="92"/>
  <c r="AW75" i="179" s="1"/>
  <c r="BA21" i="92"/>
  <c r="AW21" i="92"/>
  <c r="AT21" i="92"/>
  <c r="AP21" i="92"/>
  <c r="AV75" i="179" s="1"/>
  <c r="AM21" i="92"/>
  <c r="G50" i="105"/>
  <c r="H45" i="111"/>
  <c r="F45" i="111"/>
  <c r="G46" i="105"/>
  <c r="BL29" i="92"/>
  <c r="BI29" i="92"/>
  <c r="BF29" i="92"/>
  <c r="E87" i="179" s="1"/>
  <c r="BB29" i="92"/>
  <c r="AX29" i="92"/>
  <c r="AU29" i="92"/>
  <c r="AR29" i="92"/>
  <c r="D87" i="179" s="1"/>
  <c r="AN29" i="92"/>
  <c r="BK29" i="92"/>
  <c r="BH29" i="92"/>
  <c r="BD29" i="92"/>
  <c r="AW86" i="179" s="1"/>
  <c r="BA29" i="92"/>
  <c r="AW29" i="92"/>
  <c r="AT29" i="92"/>
  <c r="AP29" i="92"/>
  <c r="AV86" i="179" s="1"/>
  <c r="AX86" i="179" s="1"/>
  <c r="AM29" i="92"/>
  <c r="BJ29" i="92"/>
  <c r="BG29" i="92"/>
  <c r="P83" i="179" s="1"/>
  <c r="BC29" i="92"/>
  <c r="AZ29" i="92"/>
  <c r="AA86" i="179" s="1"/>
  <c r="AV29" i="92"/>
  <c r="AS29" i="92"/>
  <c r="O83" i="179" s="1"/>
  <c r="AO29" i="92"/>
  <c r="AL29" i="92"/>
  <c r="Z86" i="179" s="1"/>
  <c r="AB86" i="179" s="1"/>
  <c r="F35" i="105"/>
  <c r="G55" i="105"/>
  <c r="P41" i="111"/>
  <c r="F55" i="105"/>
  <c r="F52" i="105"/>
  <c r="BI26" i="92"/>
  <c r="AL71" i="179" s="1"/>
  <c r="AX26" i="92"/>
  <c r="AN26" i="92"/>
  <c r="BC26" i="92"/>
  <c r="AS26" i="92"/>
  <c r="O69" i="179" s="1"/>
  <c r="BH26" i="92"/>
  <c r="BD26" i="92"/>
  <c r="AW77" i="179" s="1"/>
  <c r="BA26" i="92"/>
  <c r="BF26" i="92"/>
  <c r="E72" i="179" s="1"/>
  <c r="AU26" i="92"/>
  <c r="AK71" i="179" s="1"/>
  <c r="AM71" i="179" s="1"/>
  <c r="BJ26" i="92"/>
  <c r="AZ26" i="92"/>
  <c r="AA76" i="179" s="1"/>
  <c r="AO26" i="92"/>
  <c r="AW26" i="92"/>
  <c r="AT26" i="92"/>
  <c r="AP26" i="92"/>
  <c r="AV77" i="179" s="1"/>
  <c r="AX77" i="179" s="1"/>
  <c r="BL26" i="92"/>
  <c r="BB26" i="92"/>
  <c r="AR26" i="92"/>
  <c r="D72" i="179" s="1"/>
  <c r="F72" i="179" s="1"/>
  <c r="BG26" i="92"/>
  <c r="P69" i="179" s="1"/>
  <c r="AV26" i="92"/>
  <c r="AL26" i="92"/>
  <c r="Z76" i="179" s="1"/>
  <c r="AB76" i="179" s="1"/>
  <c r="AM26" i="92"/>
  <c r="BK26" i="92"/>
  <c r="G33" i="105"/>
  <c r="CX39" i="92"/>
  <c r="CU39" i="92"/>
  <c r="CQ39" i="92"/>
  <c r="CW39" i="92"/>
  <c r="CS39" i="92"/>
  <c r="CP39" i="92"/>
  <c r="BL39" i="92"/>
  <c r="BI39" i="92"/>
  <c r="BF39" i="92"/>
  <c r="E99" i="179" s="1"/>
  <c r="BB39" i="92"/>
  <c r="AX39" i="92"/>
  <c r="AU39" i="92"/>
  <c r="AR39" i="92"/>
  <c r="D99" i="179" s="1"/>
  <c r="AN39" i="92"/>
  <c r="BK39" i="92"/>
  <c r="BH39" i="92"/>
  <c r="BD39" i="92"/>
  <c r="AW93" i="179" s="1"/>
  <c r="BA39" i="92"/>
  <c r="AW39" i="92"/>
  <c r="AT39" i="92"/>
  <c r="AP39" i="92"/>
  <c r="AV93" i="179" s="1"/>
  <c r="AX93" i="179" s="1"/>
  <c r="AM39" i="92"/>
  <c r="BJ39" i="92"/>
  <c r="BG39" i="92"/>
  <c r="P92" i="179" s="1"/>
  <c r="BC39" i="92"/>
  <c r="AZ39" i="92"/>
  <c r="AA93" i="179" s="1"/>
  <c r="AV39" i="92"/>
  <c r="AS39" i="92"/>
  <c r="O92" i="179" s="1"/>
  <c r="AO39" i="92"/>
  <c r="AL39" i="92"/>
  <c r="Z93" i="179" s="1"/>
  <c r="AB93" i="179" s="1"/>
  <c r="G33" i="111"/>
  <c r="F30" i="105"/>
  <c r="G37" i="105"/>
  <c r="BL18" i="92"/>
  <c r="BI18" i="92"/>
  <c r="BF18" i="92"/>
  <c r="E66" i="179" s="1"/>
  <c r="BB18" i="92"/>
  <c r="AX18" i="92"/>
  <c r="AU18" i="92"/>
  <c r="AR18" i="92"/>
  <c r="D66" i="179" s="1"/>
  <c r="AN18" i="92"/>
  <c r="BK18" i="92"/>
  <c r="BH18" i="92"/>
  <c r="BD18" i="92"/>
  <c r="AW83" i="179" s="1"/>
  <c r="BA18" i="92"/>
  <c r="AW18" i="92"/>
  <c r="AT18" i="92"/>
  <c r="AP18" i="92"/>
  <c r="AV83" i="179" s="1"/>
  <c r="AX83" i="179" s="1"/>
  <c r="AM18" i="92"/>
  <c r="BJ18" i="92"/>
  <c r="BG18" i="92"/>
  <c r="P71" i="179" s="1"/>
  <c r="BC18" i="92"/>
  <c r="AZ18" i="92"/>
  <c r="AA82" i="179" s="1"/>
  <c r="AV18" i="92"/>
  <c r="AS18" i="92"/>
  <c r="O71" i="179" s="1"/>
  <c r="AO18" i="92"/>
  <c r="AL18" i="92"/>
  <c r="Z82" i="179" s="1"/>
  <c r="AB82" i="179" s="1"/>
  <c r="BI38" i="92"/>
  <c r="AX38" i="92"/>
  <c r="AN38" i="92"/>
  <c r="BD38" i="92"/>
  <c r="AW92" i="179" s="1"/>
  <c r="AT38" i="92"/>
  <c r="BJ38" i="92"/>
  <c r="AZ38" i="92"/>
  <c r="AA92" i="179" s="1"/>
  <c r="AO38" i="92"/>
  <c r="BF38" i="92"/>
  <c r="E93" i="179" s="1"/>
  <c r="AU38" i="92"/>
  <c r="BK38" i="92"/>
  <c r="BA38" i="92"/>
  <c r="AP38" i="92"/>
  <c r="AV92" i="179" s="1"/>
  <c r="AX92" i="179" s="1"/>
  <c r="BG38" i="92"/>
  <c r="P91" i="179" s="1"/>
  <c r="AV38" i="92"/>
  <c r="AL38" i="92"/>
  <c r="Z92" i="179" s="1"/>
  <c r="AB92" i="179" s="1"/>
  <c r="BL38" i="92"/>
  <c r="BB38" i="92"/>
  <c r="AR38" i="92"/>
  <c r="D93" i="179" s="1"/>
  <c r="BH38" i="92"/>
  <c r="AW38" i="92"/>
  <c r="AM38" i="92"/>
  <c r="BC38" i="92"/>
  <c r="AS38" i="92"/>
  <c r="O91" i="179" s="1"/>
  <c r="Q91" i="179" s="1"/>
  <c r="R54" i="174"/>
  <c r="W54" i="111"/>
  <c r="R54" i="15"/>
  <c r="I28" i="111"/>
  <c r="F48" i="105"/>
  <c r="F53" i="105"/>
  <c r="G26" i="105"/>
  <c r="O26" i="111"/>
  <c r="I26" i="111"/>
  <c r="G45" i="105"/>
  <c r="BL14" i="92"/>
  <c r="BI14" i="92"/>
  <c r="BF14" i="92"/>
  <c r="E71" i="179" s="1"/>
  <c r="BB14" i="92"/>
  <c r="AX14" i="92"/>
  <c r="AU14" i="92"/>
  <c r="AR14" i="92"/>
  <c r="D71" i="179" s="1"/>
  <c r="AN14" i="92"/>
  <c r="BK14" i="92"/>
  <c r="BH14" i="92"/>
  <c r="BD14" i="92"/>
  <c r="AW80" i="179" s="1"/>
  <c r="BA14" i="92"/>
  <c r="AW14" i="92"/>
  <c r="AT14" i="92"/>
  <c r="AP14" i="92"/>
  <c r="AV80" i="179" s="1"/>
  <c r="AM14" i="92"/>
  <c r="BJ14" i="92"/>
  <c r="BG14" i="92"/>
  <c r="P70" i="179" s="1"/>
  <c r="BC14" i="92"/>
  <c r="AZ14" i="92"/>
  <c r="AA79" i="179" s="1"/>
  <c r="AV14" i="92"/>
  <c r="AS14" i="92"/>
  <c r="O70" i="179" s="1"/>
  <c r="AO14" i="92"/>
  <c r="AL14" i="92"/>
  <c r="Z79" i="179" s="1"/>
  <c r="BL28" i="92"/>
  <c r="BI28" i="92"/>
  <c r="BF28" i="92"/>
  <c r="E86" i="179" s="1"/>
  <c r="BB28" i="92"/>
  <c r="AX28" i="92"/>
  <c r="AU28" i="92"/>
  <c r="AR28" i="92"/>
  <c r="D86" i="179" s="1"/>
  <c r="AN28" i="92"/>
  <c r="BK28" i="92"/>
  <c r="BH28" i="92"/>
  <c r="BD28" i="92"/>
  <c r="AW79" i="179" s="1"/>
  <c r="BA28" i="92"/>
  <c r="AW28" i="92"/>
  <c r="AT28" i="92"/>
  <c r="AP28" i="92"/>
  <c r="AV79" i="179" s="1"/>
  <c r="AM28" i="92"/>
  <c r="BJ28" i="92"/>
  <c r="BG28" i="92"/>
  <c r="P82" i="179" s="1"/>
  <c r="BC28" i="92"/>
  <c r="AZ28" i="92"/>
  <c r="AA78" i="179" s="1"/>
  <c r="AV28" i="92"/>
  <c r="AS28" i="92"/>
  <c r="O82" i="179" s="1"/>
  <c r="AO28" i="92"/>
  <c r="AL28" i="92"/>
  <c r="Z78" i="179" s="1"/>
  <c r="F25" i="105"/>
  <c r="G21" i="111"/>
  <c r="J20" i="111"/>
  <c r="BL31" i="92"/>
  <c r="BI31" i="92"/>
  <c r="BF31" i="92"/>
  <c r="E69" i="179" s="1"/>
  <c r="BB31" i="92"/>
  <c r="AX31" i="92"/>
  <c r="AU31" i="92"/>
  <c r="AR31" i="92"/>
  <c r="D69" i="179" s="1"/>
  <c r="AN31" i="92"/>
  <c r="BK31" i="92"/>
  <c r="BH31" i="92"/>
  <c r="BD31" i="92"/>
  <c r="AW73" i="179" s="1"/>
  <c r="BA31" i="92"/>
  <c r="AW31" i="92"/>
  <c r="AT31" i="92"/>
  <c r="AP31" i="92"/>
  <c r="AV73" i="179" s="1"/>
  <c r="AM31" i="92"/>
  <c r="BJ31" i="92"/>
  <c r="BG31" i="92"/>
  <c r="P66" i="179" s="1"/>
  <c r="BC31" i="92"/>
  <c r="AZ31" i="92"/>
  <c r="AA66" i="179" s="1"/>
  <c r="AV31" i="92"/>
  <c r="AS31" i="92"/>
  <c r="O66" i="179" s="1"/>
  <c r="AO31" i="92"/>
  <c r="AL31" i="92"/>
  <c r="Z66" i="179" s="1"/>
  <c r="CX44" i="92"/>
  <c r="CW44" i="92"/>
  <c r="CV44" i="92"/>
  <c r="CU44" i="92"/>
  <c r="CS44" i="92"/>
  <c r="CR44" i="92"/>
  <c r="CQ44" i="92"/>
  <c r="CP44" i="92"/>
  <c r="BL44" i="92"/>
  <c r="BI44" i="92"/>
  <c r="BF44" i="92"/>
  <c r="E102" i="179" s="1"/>
  <c r="BB44" i="92"/>
  <c r="AX44" i="92"/>
  <c r="AU44" i="92"/>
  <c r="AR44" i="92"/>
  <c r="D102" i="179" s="1"/>
  <c r="AN44" i="92"/>
  <c r="BK44" i="92"/>
  <c r="BH44" i="92"/>
  <c r="BD44" i="92"/>
  <c r="AW102" i="179" s="1"/>
  <c r="BA44" i="92"/>
  <c r="AW44" i="92"/>
  <c r="AT44" i="92"/>
  <c r="AP44" i="92"/>
  <c r="AV102" i="179" s="1"/>
  <c r="AX102" i="179" s="1"/>
  <c r="AM44" i="92"/>
  <c r="BJ44" i="92"/>
  <c r="BG44" i="92"/>
  <c r="P102" i="179" s="1"/>
  <c r="BC44" i="92"/>
  <c r="AZ44" i="92"/>
  <c r="AA102" i="179" s="1"/>
  <c r="AV44" i="92"/>
  <c r="AS44" i="92"/>
  <c r="O102" i="179" s="1"/>
  <c r="AO44" i="92"/>
  <c r="AL44" i="92"/>
  <c r="Z102" i="179" s="1"/>
  <c r="AB102" i="179" s="1"/>
  <c r="G38" i="105"/>
  <c r="CV40" i="92"/>
  <c r="CR40" i="92"/>
  <c r="CX40" i="92"/>
  <c r="CU40" i="92"/>
  <c r="CQ40" i="92"/>
  <c r="BL40" i="92"/>
  <c r="BI40" i="92"/>
  <c r="BF40" i="92"/>
  <c r="E100" i="179" s="1"/>
  <c r="BB40" i="92"/>
  <c r="AX40" i="92"/>
  <c r="AU40" i="92"/>
  <c r="AR40" i="92"/>
  <c r="D100" i="179" s="1"/>
  <c r="AN40" i="92"/>
  <c r="BK40" i="92"/>
  <c r="BH40" i="92"/>
  <c r="BD40" i="92"/>
  <c r="AW99" i="179" s="1"/>
  <c r="BA40" i="92"/>
  <c r="AW40" i="92"/>
  <c r="AT40" i="92"/>
  <c r="AP40" i="92"/>
  <c r="AV99" i="179" s="1"/>
  <c r="AX99" i="179" s="1"/>
  <c r="AM40" i="92"/>
  <c r="BJ40" i="92"/>
  <c r="BG40" i="92"/>
  <c r="P93" i="179" s="1"/>
  <c r="BC40" i="92"/>
  <c r="AZ40" i="92"/>
  <c r="AA99" i="179" s="1"/>
  <c r="AV40" i="92"/>
  <c r="AS40" i="92"/>
  <c r="O93" i="179" s="1"/>
  <c r="AO40" i="92"/>
  <c r="AL40" i="92"/>
  <c r="Z99" i="179" s="1"/>
  <c r="AB99" i="179" s="1"/>
  <c r="F47" i="105"/>
  <c r="BC19" i="92"/>
  <c r="AR19" i="92"/>
  <c r="D80" i="179" s="1"/>
  <c r="BI19" i="92"/>
  <c r="AX19" i="92"/>
  <c r="AM19" i="92"/>
  <c r="BD19" i="92"/>
  <c r="AW76" i="179" s="1"/>
  <c r="AS19" i="92"/>
  <c r="O74" i="179" s="1"/>
  <c r="BJ19" i="92"/>
  <c r="AZ19" i="92"/>
  <c r="AA75" i="179" s="1"/>
  <c r="AN19" i="92"/>
  <c r="BF19" i="92"/>
  <c r="E80" i="179" s="1"/>
  <c r="AT19" i="92"/>
  <c r="BK19" i="92"/>
  <c r="BA19" i="92"/>
  <c r="AO19" i="92"/>
  <c r="BG19" i="92"/>
  <c r="P74" i="179" s="1"/>
  <c r="AU19" i="92"/>
  <c r="AK78" i="179" s="1"/>
  <c r="BL19" i="92"/>
  <c r="BB19" i="92"/>
  <c r="AP19" i="92"/>
  <c r="AV76" i="179" s="1"/>
  <c r="BH19" i="92"/>
  <c r="AV19" i="92"/>
  <c r="AL19" i="92"/>
  <c r="Z75" i="179" s="1"/>
  <c r="F40" i="105"/>
  <c r="M14" i="111"/>
  <c r="F31" i="105"/>
  <c r="I23" i="111"/>
  <c r="R23" i="174"/>
  <c r="R23" i="15"/>
  <c r="W23" i="111"/>
  <c r="G16" i="105"/>
  <c r="BL12" i="92"/>
  <c r="BI12" i="92"/>
  <c r="BF12" i="92"/>
  <c r="E65" i="179" s="1"/>
  <c r="BB12" i="92"/>
  <c r="AX12" i="92"/>
  <c r="AU12" i="92"/>
  <c r="AR12" i="92"/>
  <c r="D65" i="179" s="1"/>
  <c r="AN12" i="92"/>
  <c r="BK12" i="92"/>
  <c r="BH12" i="92"/>
  <c r="BD12" i="92"/>
  <c r="AW66" i="179" s="1"/>
  <c r="BA12" i="92"/>
  <c r="AW12" i="92"/>
  <c r="AT12" i="92"/>
  <c r="AP12" i="92"/>
  <c r="AV66" i="179" s="1"/>
  <c r="AM12" i="92"/>
  <c r="BJ12" i="92"/>
  <c r="BG12" i="92"/>
  <c r="P65" i="179" s="1"/>
  <c r="BC12" i="92"/>
  <c r="AZ12" i="92"/>
  <c r="AA68" i="179" s="1"/>
  <c r="AV12" i="92"/>
  <c r="AS12" i="92"/>
  <c r="O65" i="179" s="1"/>
  <c r="AO12" i="92"/>
  <c r="AL12" i="92"/>
  <c r="Z68" i="179" s="1"/>
  <c r="F32" i="105"/>
  <c r="R53" i="174"/>
  <c r="H53" i="111"/>
  <c r="R53" i="15"/>
  <c r="F49" i="111"/>
  <c r="G51" i="105"/>
  <c r="R49" i="15"/>
  <c r="R49" i="174"/>
  <c r="O48" i="111"/>
  <c r="R48" i="174"/>
  <c r="R48" i="15"/>
  <c r="BL24" i="92"/>
  <c r="BI24" i="92"/>
  <c r="BF24" i="92"/>
  <c r="E76" i="179" s="1"/>
  <c r="BB24" i="92"/>
  <c r="AX24" i="92"/>
  <c r="BJ24" i="92"/>
  <c r="BG24" i="92"/>
  <c r="P79" i="179" s="1"/>
  <c r="BC24" i="92"/>
  <c r="AZ24" i="92"/>
  <c r="AA73" i="179" s="1"/>
  <c r="AV24" i="92"/>
  <c r="AS24" i="92"/>
  <c r="O79" i="179" s="1"/>
  <c r="Q79" i="179" s="1"/>
  <c r="AO24" i="92"/>
  <c r="AL24" i="92"/>
  <c r="Z73" i="179" s="1"/>
  <c r="BK24" i="92"/>
  <c r="BA24" i="92"/>
  <c r="AT24" i="92"/>
  <c r="AN24" i="92"/>
  <c r="BH24" i="92"/>
  <c r="AW24" i="92"/>
  <c r="AR24" i="92"/>
  <c r="D76" i="179" s="1"/>
  <c r="AM24" i="92"/>
  <c r="BD24" i="92"/>
  <c r="AW69" i="179" s="1"/>
  <c r="AU24" i="92"/>
  <c r="AK77" i="179" s="1"/>
  <c r="AP24" i="92"/>
  <c r="AV69" i="179" s="1"/>
  <c r="F46" i="111"/>
  <c r="F50" i="105"/>
  <c r="F46" i="105"/>
  <c r="G42" i="105"/>
  <c r="J42" i="111"/>
  <c r="BL16" i="92"/>
  <c r="BI16" i="92"/>
  <c r="BF16" i="92"/>
  <c r="E81" i="179" s="1"/>
  <c r="BB16" i="92"/>
  <c r="AX16" i="92"/>
  <c r="AU16" i="92"/>
  <c r="AR16" i="92"/>
  <c r="D81" i="179" s="1"/>
  <c r="AN16" i="92"/>
  <c r="BK16" i="92"/>
  <c r="BH16" i="92"/>
  <c r="BD16" i="92"/>
  <c r="AW81" i="179" s="1"/>
  <c r="BA16" i="92"/>
  <c r="AW16" i="92"/>
  <c r="AT16" i="92"/>
  <c r="AP16" i="92"/>
  <c r="AV81" i="179" s="1"/>
  <c r="AM16" i="92"/>
  <c r="BJ16" i="92"/>
  <c r="BG16" i="92"/>
  <c r="P72" i="179" s="1"/>
  <c r="BC16" i="92"/>
  <c r="AZ16" i="92"/>
  <c r="AA80" i="179" s="1"/>
  <c r="AV16" i="92"/>
  <c r="AS16" i="92"/>
  <c r="O72" i="179" s="1"/>
  <c r="AO16" i="92"/>
  <c r="AL16" i="92"/>
  <c r="Z80" i="179" s="1"/>
  <c r="AB80" i="179" s="1"/>
  <c r="BJ34" i="92"/>
  <c r="BG34" i="92"/>
  <c r="P87" i="179" s="1"/>
  <c r="BC34" i="92"/>
  <c r="AZ34" i="92"/>
  <c r="AA77" i="179" s="1"/>
  <c r="AV34" i="92"/>
  <c r="AS34" i="92"/>
  <c r="O87" i="179" s="1"/>
  <c r="Q87" i="179" s="1"/>
  <c r="AO34" i="92"/>
  <c r="AL34" i="92"/>
  <c r="Z77" i="179" s="1"/>
  <c r="BL34" i="92"/>
  <c r="BH34" i="92"/>
  <c r="BB34" i="92"/>
  <c r="AW34" i="92"/>
  <c r="AR34" i="92"/>
  <c r="D79" i="179" s="1"/>
  <c r="AM34" i="92"/>
  <c r="BK34" i="92"/>
  <c r="BF34" i="92"/>
  <c r="E79" i="179" s="1"/>
  <c r="BA34" i="92"/>
  <c r="AU34" i="92"/>
  <c r="AK79" i="179" s="1"/>
  <c r="AP34" i="92"/>
  <c r="AV78" i="179" s="1"/>
  <c r="BI34" i="92"/>
  <c r="BD34" i="92"/>
  <c r="AW78" i="179" s="1"/>
  <c r="AX34" i="92"/>
  <c r="AT34" i="92"/>
  <c r="AN34" i="92"/>
  <c r="BJ22" i="92"/>
  <c r="BG22" i="92"/>
  <c r="P77" i="179" s="1"/>
  <c r="BC22" i="92"/>
  <c r="AZ22" i="92"/>
  <c r="AA65" i="179" s="1"/>
  <c r="AV22" i="92"/>
  <c r="AS22" i="92"/>
  <c r="O77" i="179" s="1"/>
  <c r="Q77" i="179" s="1"/>
  <c r="AO22" i="92"/>
  <c r="AL22" i="92"/>
  <c r="Z65" i="179" s="1"/>
  <c r="BL22" i="92"/>
  <c r="BI22" i="92"/>
  <c r="BF22" i="92"/>
  <c r="E68" i="179" s="1"/>
  <c r="BB22" i="92"/>
  <c r="AX22" i="92"/>
  <c r="AU22" i="92"/>
  <c r="AR22" i="92"/>
  <c r="D68" i="179" s="1"/>
  <c r="AN22" i="92"/>
  <c r="BK22" i="92"/>
  <c r="BH22" i="92"/>
  <c r="BD22" i="92"/>
  <c r="AW70" i="179" s="1"/>
  <c r="BA22" i="92"/>
  <c r="AW22" i="92"/>
  <c r="AT22" i="92"/>
  <c r="AP22" i="92"/>
  <c r="AV70" i="179" s="1"/>
  <c r="AM22" i="92"/>
  <c r="G22" i="105"/>
  <c r="F22" i="105"/>
  <c r="I37" i="111"/>
  <c r="F19" i="105"/>
  <c r="R36" i="174"/>
  <c r="G36" i="111"/>
  <c r="R36" i="15"/>
  <c r="F33" i="105"/>
  <c r="O34" i="111"/>
  <c r="G28" i="105"/>
  <c r="G39" i="105"/>
  <c r="O33" i="111"/>
  <c r="F39" i="105"/>
  <c r="R32" i="111"/>
  <c r="G31" i="111"/>
  <c r="G30" i="111"/>
  <c r="R30" i="174"/>
  <c r="R30" i="15"/>
  <c r="F49" i="105"/>
  <c r="BK35" i="92"/>
  <c r="BH35" i="92"/>
  <c r="BD35" i="92"/>
  <c r="AW90" i="179" s="1"/>
  <c r="BA35" i="92"/>
  <c r="AW35" i="92"/>
  <c r="AT35" i="92"/>
  <c r="AP35" i="92"/>
  <c r="AV90" i="179" s="1"/>
  <c r="BJ35" i="92"/>
  <c r="BG35" i="92"/>
  <c r="P88" i="179" s="1"/>
  <c r="BC35" i="92"/>
  <c r="AZ35" i="92"/>
  <c r="AA89" i="179" s="1"/>
  <c r="AV35" i="92"/>
  <c r="AS35" i="92"/>
  <c r="O88" i="179" s="1"/>
  <c r="AO35" i="92"/>
  <c r="AL35" i="92"/>
  <c r="Z89" i="179" s="1"/>
  <c r="BL35" i="92"/>
  <c r="BB35" i="92"/>
  <c r="AR35" i="92"/>
  <c r="D90" i="179" s="1"/>
  <c r="BI35" i="92"/>
  <c r="AX35" i="92"/>
  <c r="AN35" i="92"/>
  <c r="BF35" i="92"/>
  <c r="E90" i="179" s="1"/>
  <c r="AU35" i="92"/>
  <c r="AM35" i="92"/>
  <c r="H27" i="111"/>
  <c r="BL25" i="92"/>
  <c r="BI25" i="92"/>
  <c r="BF25" i="92"/>
  <c r="E84" i="179" s="1"/>
  <c r="BB25" i="92"/>
  <c r="AX25" i="92"/>
  <c r="AU25" i="92"/>
  <c r="AR25" i="92"/>
  <c r="D84" i="179" s="1"/>
  <c r="F84" i="179" s="1"/>
  <c r="AN25" i="92"/>
  <c r="BJ25" i="92"/>
  <c r="BG25" i="92"/>
  <c r="P80" i="179" s="1"/>
  <c r="BC25" i="92"/>
  <c r="AZ25" i="92"/>
  <c r="AA84" i="179" s="1"/>
  <c r="AV25" i="92"/>
  <c r="AS25" i="92"/>
  <c r="O80" i="179" s="1"/>
  <c r="AO25" i="92"/>
  <c r="AL25" i="92"/>
  <c r="Z84" i="179" s="1"/>
  <c r="BD25" i="92"/>
  <c r="AW68" i="179" s="1"/>
  <c r="AT25" i="92"/>
  <c r="BK25" i="92"/>
  <c r="BA25" i="92"/>
  <c r="AP25" i="92"/>
  <c r="AV68" i="179" s="1"/>
  <c r="BH25" i="92"/>
  <c r="AW25" i="92"/>
  <c r="AM25" i="92"/>
  <c r="F26" i="105"/>
  <c r="CW14" i="92"/>
  <c r="CS14" i="92"/>
  <c r="CP14" i="92"/>
  <c r="CV14" i="92"/>
  <c r="CR14" i="92"/>
  <c r="CX14" i="92"/>
  <c r="CU14" i="92"/>
  <c r="CQ14" i="92"/>
  <c r="I25" i="111"/>
  <c r="G25" i="111"/>
  <c r="G20" i="105"/>
  <c r="CX42" i="92"/>
  <c r="CU42" i="92"/>
  <c r="CQ42" i="92"/>
  <c r="CW42" i="92"/>
  <c r="CS42" i="92"/>
  <c r="CP42" i="92"/>
  <c r="BL42" i="92"/>
  <c r="BI42" i="92"/>
  <c r="BF42" i="92"/>
  <c r="E74" i="179" s="1"/>
  <c r="BB42" i="92"/>
  <c r="AX42" i="92"/>
  <c r="AU42" i="92"/>
  <c r="AR42" i="92"/>
  <c r="D74" i="179" s="1"/>
  <c r="F74" i="179" s="1"/>
  <c r="AN42" i="92"/>
  <c r="BK42" i="92"/>
  <c r="BH42" i="92"/>
  <c r="BD42" i="92"/>
  <c r="AW101" i="179" s="1"/>
  <c r="BA42" i="92"/>
  <c r="AW42" i="92"/>
  <c r="AT42" i="92"/>
  <c r="AP42" i="92"/>
  <c r="AV101" i="179" s="1"/>
  <c r="AM42" i="92"/>
  <c r="BJ42" i="92"/>
  <c r="BG42" i="92"/>
  <c r="P100" i="179" s="1"/>
  <c r="BC42" i="92"/>
  <c r="AZ42" i="92"/>
  <c r="AA101" i="179" s="1"/>
  <c r="AV42" i="92"/>
  <c r="AS42" i="92"/>
  <c r="O100" i="179" s="1"/>
  <c r="Q100" i="179" s="1"/>
  <c r="AO42" i="92"/>
  <c r="AL42" i="92"/>
  <c r="Z101" i="179" s="1"/>
  <c r="F15" i="105"/>
  <c r="R20" i="111"/>
  <c r="G41" i="105"/>
  <c r="R19" i="174"/>
  <c r="R19" i="15"/>
  <c r="G19" i="111"/>
  <c r="Q18" i="111"/>
  <c r="G21" i="105"/>
  <c r="I16" i="111"/>
  <c r="CV37" i="92"/>
  <c r="CR37" i="92"/>
  <c r="CX37" i="92"/>
  <c r="CU37" i="92"/>
  <c r="CQ37" i="92"/>
  <c r="CW37" i="92"/>
  <c r="CS37" i="92"/>
  <c r="CP37" i="92"/>
  <c r="BL37" i="92"/>
  <c r="BI37" i="92"/>
  <c r="BK37" i="92"/>
  <c r="BH37" i="92"/>
  <c r="BD37" i="92"/>
  <c r="AW91" i="179" s="1"/>
  <c r="BA37" i="92"/>
  <c r="AW37" i="92"/>
  <c r="AT37" i="92"/>
  <c r="AP37" i="92"/>
  <c r="AV91" i="179" s="1"/>
  <c r="AX91" i="179" s="1"/>
  <c r="AM37" i="92"/>
  <c r="BJ37" i="92"/>
  <c r="BG37" i="92"/>
  <c r="P90" i="179" s="1"/>
  <c r="BC37" i="92"/>
  <c r="AZ37" i="92"/>
  <c r="AA91" i="179" s="1"/>
  <c r="AV37" i="92"/>
  <c r="AS37" i="92"/>
  <c r="O90" i="179" s="1"/>
  <c r="AO37" i="92"/>
  <c r="AL37" i="92"/>
  <c r="Z91" i="179" s="1"/>
  <c r="AB91" i="179" s="1"/>
  <c r="AX37" i="92"/>
  <c r="AN37" i="92"/>
  <c r="BF37" i="92"/>
  <c r="E92" i="179" s="1"/>
  <c r="AU37" i="92"/>
  <c r="BB37" i="92"/>
  <c r="AR37" i="92"/>
  <c r="D92" i="179" s="1"/>
  <c r="F92" i="179" s="1"/>
  <c r="D53" i="131"/>
  <c r="D51" i="131"/>
  <c r="F53" i="131"/>
  <c r="F51" i="131"/>
  <c r="E53" i="131"/>
  <c r="E51" i="131"/>
  <c r="H51" i="131"/>
  <c r="H53" i="131"/>
  <c r="H52" i="131"/>
  <c r="F36" i="105"/>
  <c r="BJ32" i="92"/>
  <c r="BG32" i="92"/>
  <c r="P85" i="179" s="1"/>
  <c r="BC32" i="92"/>
  <c r="AZ32" i="92"/>
  <c r="AA87" i="179" s="1"/>
  <c r="AV32" i="92"/>
  <c r="BK32" i="92"/>
  <c r="BF32" i="92"/>
  <c r="E88" i="179" s="1"/>
  <c r="BA32" i="92"/>
  <c r="AU32" i="92"/>
  <c r="AR32" i="92"/>
  <c r="D88" i="179" s="1"/>
  <c r="F88" i="179" s="1"/>
  <c r="AN32" i="92"/>
  <c r="BI32" i="92"/>
  <c r="AL88" i="179" s="1"/>
  <c r="BD32" i="92"/>
  <c r="AW88" i="179" s="1"/>
  <c r="AX32" i="92"/>
  <c r="AT32" i="92"/>
  <c r="AP32" i="92"/>
  <c r="AV88" i="179" s="1"/>
  <c r="AX88" i="179" s="1"/>
  <c r="AM32" i="92"/>
  <c r="BL32" i="92"/>
  <c r="BH32" i="92"/>
  <c r="BB32" i="92"/>
  <c r="AW32" i="92"/>
  <c r="AS32" i="92"/>
  <c r="O85" i="179" s="1"/>
  <c r="AO32" i="92"/>
  <c r="AL32" i="92"/>
  <c r="Z87" i="179" s="1"/>
  <c r="AB87" i="179" s="1"/>
  <c r="BL13" i="92"/>
  <c r="BI13" i="92"/>
  <c r="BF13" i="92"/>
  <c r="E67" i="179" s="1"/>
  <c r="BB13" i="92"/>
  <c r="AX13" i="92"/>
  <c r="AU13" i="92"/>
  <c r="AR13" i="92"/>
  <c r="D67" i="179" s="1"/>
  <c r="AN13" i="92"/>
  <c r="BK13" i="92"/>
  <c r="BH13" i="92"/>
  <c r="BD13" i="92"/>
  <c r="AW74" i="179" s="1"/>
  <c r="BA13" i="92"/>
  <c r="AW13" i="92"/>
  <c r="AT13" i="92"/>
  <c r="AP13" i="92"/>
  <c r="AV74" i="179" s="1"/>
  <c r="AM13" i="92"/>
  <c r="BJ13" i="92"/>
  <c r="BG13" i="92"/>
  <c r="P67" i="179" s="1"/>
  <c r="BC13" i="92"/>
  <c r="AZ13" i="92"/>
  <c r="AA72" i="179" s="1"/>
  <c r="AV13" i="92"/>
  <c r="AS13" i="92"/>
  <c r="O67" i="179" s="1"/>
  <c r="AO13" i="92"/>
  <c r="AL13" i="92"/>
  <c r="Z72" i="179" s="1"/>
  <c r="J53" i="111"/>
  <c r="F44" i="105"/>
  <c r="H44" i="105" s="1"/>
  <c r="F51" i="105"/>
  <c r="G18" i="105"/>
  <c r="H47" i="111"/>
  <c r="G54" i="105"/>
  <c r="F54" i="105"/>
  <c r="P45" i="111"/>
  <c r="CX43" i="92"/>
  <c r="CW43" i="92"/>
  <c r="CV43" i="92"/>
  <c r="CR43" i="92"/>
  <c r="CU43" i="92"/>
  <c r="CQ43" i="92"/>
  <c r="CS43" i="92"/>
  <c r="BL43" i="92"/>
  <c r="BI43" i="92"/>
  <c r="BF43" i="92"/>
  <c r="E101" i="179" s="1"/>
  <c r="BB43" i="92"/>
  <c r="AX43" i="92"/>
  <c r="AU43" i="92"/>
  <c r="AR43" i="92"/>
  <c r="D101" i="179" s="1"/>
  <c r="AN43" i="92"/>
  <c r="BK43" i="92"/>
  <c r="BH43" i="92"/>
  <c r="BD43" i="92"/>
  <c r="AW71" i="179" s="1"/>
  <c r="BA43" i="92"/>
  <c r="AW43" i="92"/>
  <c r="AT43" i="92"/>
  <c r="AP43" i="92"/>
  <c r="AV71" i="179" s="1"/>
  <c r="AM43" i="92"/>
  <c r="BJ43" i="92"/>
  <c r="BG43" i="92"/>
  <c r="P101" i="179" s="1"/>
  <c r="BC43" i="92"/>
  <c r="AZ43" i="92"/>
  <c r="AA71" i="179" s="1"/>
  <c r="AV43" i="92"/>
  <c r="AS43" i="92"/>
  <c r="O101" i="179" s="1"/>
  <c r="AO43" i="92"/>
  <c r="AL43" i="92"/>
  <c r="Z71" i="179" s="1"/>
  <c r="BK36" i="92"/>
  <c r="BH36" i="92"/>
  <c r="BD36" i="92"/>
  <c r="AW72" i="179" s="1"/>
  <c r="BA36" i="92"/>
  <c r="AW36" i="92"/>
  <c r="AT36" i="92"/>
  <c r="AP36" i="92"/>
  <c r="AV72" i="179" s="1"/>
  <c r="AM36" i="92"/>
  <c r="BJ36" i="92"/>
  <c r="BG36" i="92"/>
  <c r="P89" i="179" s="1"/>
  <c r="BC36" i="92"/>
  <c r="AZ36" i="92"/>
  <c r="AA90" i="179" s="1"/>
  <c r="AV36" i="92"/>
  <c r="AS36" i="92"/>
  <c r="O89" i="179" s="1"/>
  <c r="AO36" i="92"/>
  <c r="AL36" i="92"/>
  <c r="Z90" i="179" s="1"/>
  <c r="BF36" i="92"/>
  <c r="E91" i="179" s="1"/>
  <c r="AU36" i="92"/>
  <c r="BL36" i="92"/>
  <c r="BB36" i="92"/>
  <c r="AR36" i="92"/>
  <c r="D91" i="179" s="1"/>
  <c r="BI36" i="92"/>
  <c r="AX36" i="92"/>
  <c r="AN36" i="92"/>
  <c r="F42" i="105"/>
  <c r="G35" i="105"/>
  <c r="F42" i="111"/>
  <c r="G41" i="111"/>
  <c r="G24" i="105"/>
  <c r="F24" i="105"/>
  <c r="BJ33" i="92"/>
  <c r="BG33" i="92"/>
  <c r="P86" i="179" s="1"/>
  <c r="BC33" i="92"/>
  <c r="AZ33" i="92"/>
  <c r="AA88" i="179" s="1"/>
  <c r="AV33" i="92"/>
  <c r="AS33" i="92"/>
  <c r="O86" i="179" s="1"/>
  <c r="AO33" i="92"/>
  <c r="AL33" i="92"/>
  <c r="Z88" i="179" s="1"/>
  <c r="AB88" i="179" s="1"/>
  <c r="BI33" i="92"/>
  <c r="BD33" i="92"/>
  <c r="AW89" i="179" s="1"/>
  <c r="AX33" i="92"/>
  <c r="AT33" i="92"/>
  <c r="AN33" i="92"/>
  <c r="BL33" i="92"/>
  <c r="BH33" i="92"/>
  <c r="BB33" i="92"/>
  <c r="AW33" i="92"/>
  <c r="AR33" i="92"/>
  <c r="D89" i="179" s="1"/>
  <c r="AM33" i="92"/>
  <c r="BK33" i="92"/>
  <c r="BF33" i="92"/>
  <c r="E89" i="179" s="1"/>
  <c r="BA33" i="92"/>
  <c r="AU33" i="92"/>
  <c r="AK89" i="179" s="1"/>
  <c r="AP33" i="92"/>
  <c r="AV89" i="179" s="1"/>
  <c r="G19" i="105"/>
  <c r="BJ20" i="92"/>
  <c r="BG20" i="92"/>
  <c r="P75" i="179" s="1"/>
  <c r="BC20" i="92"/>
  <c r="AZ20" i="92"/>
  <c r="AA67" i="179" s="1"/>
  <c r="AV20" i="92"/>
  <c r="AS20" i="92"/>
  <c r="O75" i="179" s="1"/>
  <c r="AO20" i="92"/>
  <c r="AL20" i="92"/>
  <c r="Z67" i="179" s="1"/>
  <c r="BL20" i="92"/>
  <c r="BI20" i="92"/>
  <c r="BF20" i="92"/>
  <c r="E75" i="179" s="1"/>
  <c r="BB20" i="92"/>
  <c r="AX20" i="92"/>
  <c r="AU20" i="92"/>
  <c r="AR20" i="92"/>
  <c r="D75" i="179" s="1"/>
  <c r="AN20" i="92"/>
  <c r="BK20" i="92"/>
  <c r="BH20" i="92"/>
  <c r="BD20" i="92"/>
  <c r="AW65" i="179" s="1"/>
  <c r="BA20" i="92"/>
  <c r="AW20" i="92"/>
  <c r="AT20" i="92"/>
  <c r="AP20" i="92"/>
  <c r="AV65" i="179" s="1"/>
  <c r="AM20" i="92"/>
  <c r="CX45" i="92"/>
  <c r="CW45" i="92"/>
  <c r="CV45" i="92"/>
  <c r="CU45" i="92"/>
  <c r="CS45" i="92"/>
  <c r="CR45" i="92"/>
  <c r="CQ45" i="92"/>
  <c r="CP45" i="92"/>
  <c r="BL45" i="92"/>
  <c r="BI45" i="92"/>
  <c r="BF45" i="92"/>
  <c r="E103" i="179" s="1"/>
  <c r="BB45" i="92"/>
  <c r="AX45" i="92"/>
  <c r="AU45" i="92"/>
  <c r="AR45" i="92"/>
  <c r="D103" i="179" s="1"/>
  <c r="BH45" i="92"/>
  <c r="BC45" i="92"/>
  <c r="AW45" i="92"/>
  <c r="AS45" i="92"/>
  <c r="O103" i="179" s="1"/>
  <c r="AN45" i="92"/>
  <c r="BK45" i="92"/>
  <c r="BG45" i="92"/>
  <c r="P103" i="179" s="1"/>
  <c r="BA45" i="92"/>
  <c r="AV45" i="92"/>
  <c r="AP45" i="92"/>
  <c r="AV103" i="179" s="1"/>
  <c r="AM45" i="92"/>
  <c r="BJ45" i="92"/>
  <c r="BD45" i="92"/>
  <c r="AW103" i="179" s="1"/>
  <c r="AZ45" i="92"/>
  <c r="AA103" i="179" s="1"/>
  <c r="AT45" i="92"/>
  <c r="AO45" i="92"/>
  <c r="AL45" i="92"/>
  <c r="Z103" i="179" s="1"/>
  <c r="AB103" i="179" s="1"/>
  <c r="F28" i="105"/>
  <c r="CW41" i="92"/>
  <c r="CS41" i="92"/>
  <c r="CP41" i="92"/>
  <c r="CV41" i="92"/>
  <c r="CR41" i="92"/>
  <c r="BL41" i="92"/>
  <c r="BI41" i="92"/>
  <c r="BF41" i="92"/>
  <c r="E78" i="179" s="1"/>
  <c r="BB41" i="92"/>
  <c r="AX41" i="92"/>
  <c r="AU41" i="92"/>
  <c r="AR41" i="92"/>
  <c r="D78" i="179" s="1"/>
  <c r="AN41" i="92"/>
  <c r="BK41" i="92"/>
  <c r="BH41" i="92"/>
  <c r="BD41" i="92"/>
  <c r="AW100" i="179" s="1"/>
  <c r="BA41" i="92"/>
  <c r="AW41" i="92"/>
  <c r="AT41" i="92"/>
  <c r="AP41" i="92"/>
  <c r="AV100" i="179" s="1"/>
  <c r="AM41" i="92"/>
  <c r="BJ41" i="92"/>
  <c r="BG41" i="92"/>
  <c r="P99" i="179" s="1"/>
  <c r="BC41" i="92"/>
  <c r="AZ41" i="92"/>
  <c r="AA100" i="179" s="1"/>
  <c r="AV41" i="92"/>
  <c r="AS41" i="92"/>
  <c r="O99" i="179" s="1"/>
  <c r="AO41" i="92"/>
  <c r="AL41" i="92"/>
  <c r="Z100" i="179" s="1"/>
  <c r="G30" i="105"/>
  <c r="F32" i="111"/>
  <c r="F37" i="105"/>
  <c r="F23" i="105"/>
  <c r="G28" i="111"/>
  <c r="R28" i="174"/>
  <c r="F28" i="111"/>
  <c r="R28" i="15"/>
  <c r="F27" i="111"/>
  <c r="CX15" i="92"/>
  <c r="CU15" i="92"/>
  <c r="CQ15" i="92"/>
  <c r="CW15" i="92"/>
  <c r="CS15" i="92"/>
  <c r="CP15" i="92"/>
  <c r="CV15" i="92"/>
  <c r="CR15" i="92"/>
  <c r="BL15" i="92"/>
  <c r="BI15" i="92"/>
  <c r="BF15" i="92"/>
  <c r="E70" i="179" s="1"/>
  <c r="BB15" i="92"/>
  <c r="AX15" i="92"/>
  <c r="AU15" i="92"/>
  <c r="AR15" i="92"/>
  <c r="D70" i="179" s="1"/>
  <c r="AN15" i="92"/>
  <c r="BK15" i="92"/>
  <c r="BH15" i="92"/>
  <c r="BD15" i="92"/>
  <c r="AW67" i="179" s="1"/>
  <c r="BA15" i="92"/>
  <c r="AW15" i="92"/>
  <c r="AT15" i="92"/>
  <c r="AP15" i="92"/>
  <c r="AV67" i="179" s="1"/>
  <c r="AX67" i="179" s="1"/>
  <c r="AM15" i="92"/>
  <c r="BJ15" i="92"/>
  <c r="BG15" i="92"/>
  <c r="P68" i="179" s="1"/>
  <c r="BC15" i="92"/>
  <c r="AZ15" i="92"/>
  <c r="AA69" i="179" s="1"/>
  <c r="AV15" i="92"/>
  <c r="AS15" i="92"/>
  <c r="O68" i="179" s="1"/>
  <c r="AO15" i="92"/>
  <c r="AL15" i="92"/>
  <c r="Z69" i="179" s="1"/>
  <c r="AB69" i="179" s="1"/>
  <c r="M25" i="111"/>
  <c r="F45" i="105"/>
  <c r="F20" i="105"/>
  <c r="CV42" i="92"/>
  <c r="CR42" i="92"/>
  <c r="G25" i="105"/>
  <c r="G15" i="105"/>
  <c r="BL30" i="92"/>
  <c r="BI30" i="92"/>
  <c r="BF30" i="92"/>
  <c r="E73" i="179" s="1"/>
  <c r="BB30" i="92"/>
  <c r="AX30" i="92"/>
  <c r="AU30" i="92"/>
  <c r="AR30" i="92"/>
  <c r="D73" i="179" s="1"/>
  <c r="AN30" i="92"/>
  <c r="BK30" i="92"/>
  <c r="BH30" i="92"/>
  <c r="BD30" i="92"/>
  <c r="AW87" i="179" s="1"/>
  <c r="BA30" i="92"/>
  <c r="AW30" i="92"/>
  <c r="AT30" i="92"/>
  <c r="AP30" i="92"/>
  <c r="AV87" i="179" s="1"/>
  <c r="AM30" i="92"/>
  <c r="BJ30" i="92"/>
  <c r="BG30" i="92"/>
  <c r="P84" i="179" s="1"/>
  <c r="BC30" i="92"/>
  <c r="AZ30" i="92"/>
  <c r="AA70" i="179" s="1"/>
  <c r="AV30" i="92"/>
  <c r="AS30" i="92"/>
  <c r="O84" i="179" s="1"/>
  <c r="AO30" i="92"/>
  <c r="AL30" i="92"/>
  <c r="Z70" i="179" s="1"/>
  <c r="F41" i="105"/>
  <c r="F34" i="105"/>
  <c r="F38" i="105"/>
  <c r="R52" i="174"/>
  <c r="G52" i="111"/>
  <c r="R52" i="15"/>
  <c r="P17" i="111"/>
  <c r="F21" i="105"/>
  <c r="G40" i="105"/>
  <c r="F16" i="111"/>
  <c r="BL27" i="92"/>
  <c r="BI27" i="92"/>
  <c r="BF27" i="92"/>
  <c r="E85" i="179" s="1"/>
  <c r="BB27" i="92"/>
  <c r="AX27" i="92"/>
  <c r="AU27" i="92"/>
  <c r="AR27" i="92"/>
  <c r="D85" i="179" s="1"/>
  <c r="F85" i="179" s="1"/>
  <c r="AN27" i="92"/>
  <c r="BK27" i="92"/>
  <c r="BH27" i="92"/>
  <c r="BD27" i="92"/>
  <c r="AW85" i="179" s="1"/>
  <c r="BA27" i="92"/>
  <c r="AW27" i="92"/>
  <c r="AT27" i="92"/>
  <c r="AP27" i="92"/>
  <c r="AV85" i="179" s="1"/>
  <c r="BJ27" i="92"/>
  <c r="BG27" i="92"/>
  <c r="P81" i="179" s="1"/>
  <c r="BC27" i="92"/>
  <c r="AZ27" i="92"/>
  <c r="AA85" i="179" s="1"/>
  <c r="AV27" i="92"/>
  <c r="AS27" i="92"/>
  <c r="O81" i="179" s="1"/>
  <c r="AO27" i="92"/>
  <c r="AL27" i="92"/>
  <c r="Z85" i="179" s="1"/>
  <c r="AM27" i="92"/>
  <c r="P14" i="111"/>
  <c r="G31" i="105"/>
  <c r="F14" i="111"/>
  <c r="G56" i="131"/>
  <c r="G54" i="131"/>
  <c r="G53" i="131"/>
  <c r="G51" i="131"/>
  <c r="G41" i="131"/>
  <c r="G39" i="131"/>
  <c r="G44" i="131"/>
  <c r="G42" i="131"/>
  <c r="G23" i="131"/>
  <c r="G21" i="131"/>
  <c r="G47" i="131"/>
  <c r="G45" i="131"/>
  <c r="G38" i="131"/>
  <c r="G36" i="131"/>
  <c r="G35" i="131"/>
  <c r="G33" i="131"/>
  <c r="G32" i="131"/>
  <c r="G30" i="131"/>
  <c r="G29" i="131"/>
  <c r="G27" i="131"/>
  <c r="G26" i="131"/>
  <c r="G24" i="131"/>
  <c r="G20" i="131"/>
  <c r="G18" i="131"/>
  <c r="G17" i="131"/>
  <c r="G15" i="131"/>
  <c r="F35" i="131"/>
  <c r="E35" i="131"/>
  <c r="D35" i="131"/>
  <c r="F33" i="131"/>
  <c r="E33" i="131"/>
  <c r="D33" i="131"/>
  <c r="H35" i="131"/>
  <c r="H34" i="131"/>
  <c r="H33" i="131"/>
  <c r="F47" i="131"/>
  <c r="E47" i="131"/>
  <c r="D47" i="131"/>
  <c r="F45" i="131"/>
  <c r="E45" i="131"/>
  <c r="D45" i="131"/>
  <c r="H47" i="131"/>
  <c r="H46" i="131"/>
  <c r="H45" i="131"/>
  <c r="F44" i="131"/>
  <c r="E44" i="131"/>
  <c r="D44" i="131"/>
  <c r="F42" i="131"/>
  <c r="E42" i="131"/>
  <c r="D42" i="131"/>
  <c r="H44" i="131"/>
  <c r="H43" i="131"/>
  <c r="H42" i="131"/>
  <c r="F38" i="131"/>
  <c r="E38" i="131"/>
  <c r="D38" i="131"/>
  <c r="F36" i="131"/>
  <c r="E36" i="131"/>
  <c r="D36" i="131"/>
  <c r="H38" i="131"/>
  <c r="H37" i="131"/>
  <c r="H36" i="131"/>
  <c r="F29" i="131"/>
  <c r="E29" i="131"/>
  <c r="D29" i="131"/>
  <c r="F27" i="131"/>
  <c r="E27" i="131"/>
  <c r="D27" i="131"/>
  <c r="H29" i="131"/>
  <c r="H28" i="131"/>
  <c r="H27" i="131"/>
  <c r="F17" i="131"/>
  <c r="E17" i="131"/>
  <c r="D17" i="131"/>
  <c r="F15" i="131"/>
  <c r="E15" i="131"/>
  <c r="D15" i="131"/>
  <c r="H17" i="131"/>
  <c r="H16" i="131"/>
  <c r="H15" i="131"/>
  <c r="F56" i="131"/>
  <c r="E56" i="131"/>
  <c r="D56" i="131"/>
  <c r="F54" i="131"/>
  <c r="E54" i="131"/>
  <c r="D54" i="131"/>
  <c r="H56" i="131"/>
  <c r="H55" i="131"/>
  <c r="H54" i="131"/>
  <c r="F32" i="131"/>
  <c r="E32" i="131"/>
  <c r="D32" i="131"/>
  <c r="F30" i="131"/>
  <c r="E30" i="131"/>
  <c r="D30" i="131"/>
  <c r="H32" i="131"/>
  <c r="H31" i="131"/>
  <c r="H30" i="131"/>
  <c r="F26" i="131"/>
  <c r="E26" i="131"/>
  <c r="D26" i="131"/>
  <c r="F24" i="131"/>
  <c r="E24" i="131"/>
  <c r="D24" i="131"/>
  <c r="H26" i="131"/>
  <c r="H25" i="131"/>
  <c r="H24" i="131"/>
  <c r="F23" i="131"/>
  <c r="E23" i="131"/>
  <c r="D23" i="131"/>
  <c r="F21" i="131"/>
  <c r="E21" i="131"/>
  <c r="D21" i="131"/>
  <c r="H23" i="131"/>
  <c r="H22" i="131"/>
  <c r="H21" i="131"/>
  <c r="F41" i="131"/>
  <c r="E41" i="131"/>
  <c r="D41" i="131"/>
  <c r="F39" i="131"/>
  <c r="E39" i="131"/>
  <c r="D39" i="131"/>
  <c r="H41" i="131"/>
  <c r="H40" i="131"/>
  <c r="H39" i="131"/>
  <c r="H55" i="174"/>
  <c r="D59" i="105"/>
  <c r="D58" i="105"/>
  <c r="C58" i="105"/>
  <c r="C59" i="105"/>
  <c r="I13" i="174"/>
  <c r="I55" i="174" s="1"/>
  <c r="JW13" i="78"/>
  <c r="JW14" i="78"/>
  <c r="JW15" i="78"/>
  <c r="JW16" i="78"/>
  <c r="JW17" i="78"/>
  <c r="JW18" i="78"/>
  <c r="JW19" i="78"/>
  <c r="JW20" i="78"/>
  <c r="JW21" i="78"/>
  <c r="JW22" i="78"/>
  <c r="JW23" i="78"/>
  <c r="JW24" i="78"/>
  <c r="JW25" i="78"/>
  <c r="JW26" i="78"/>
  <c r="JW27" i="78"/>
  <c r="JW28" i="78"/>
  <c r="JW29" i="78"/>
  <c r="JW30" i="78"/>
  <c r="JW31" i="78"/>
  <c r="JW32" i="78"/>
  <c r="JW33" i="78"/>
  <c r="JW34" i="78"/>
  <c r="JW35" i="78"/>
  <c r="JW36" i="78"/>
  <c r="JW37" i="78"/>
  <c r="JW38" i="78"/>
  <c r="JW39" i="78"/>
  <c r="JW40" i="78"/>
  <c r="JW41" i="78"/>
  <c r="JW42" i="78"/>
  <c r="JW43" i="78"/>
  <c r="JW44" i="78"/>
  <c r="JW45" i="78"/>
  <c r="JW46" i="78"/>
  <c r="JW47" i="78"/>
  <c r="JW48" i="78"/>
  <c r="JW49" i="78"/>
  <c r="JW12" i="78"/>
  <c r="IZ13" i="78"/>
  <c r="IZ14" i="78"/>
  <c r="IZ15" i="78"/>
  <c r="IZ16" i="78"/>
  <c r="IZ17" i="78"/>
  <c r="IZ18" i="78"/>
  <c r="IZ19" i="78"/>
  <c r="IZ20" i="78"/>
  <c r="IZ21" i="78"/>
  <c r="IZ22" i="78"/>
  <c r="IZ23" i="78"/>
  <c r="IZ24" i="78"/>
  <c r="IZ25" i="78"/>
  <c r="IZ26" i="78"/>
  <c r="IZ27" i="78"/>
  <c r="IZ28" i="78"/>
  <c r="IZ29" i="78"/>
  <c r="IZ30" i="78"/>
  <c r="IZ31" i="78"/>
  <c r="IZ32" i="78"/>
  <c r="IZ33" i="78"/>
  <c r="IZ34" i="78"/>
  <c r="IZ35" i="78"/>
  <c r="IZ36" i="78"/>
  <c r="IZ37" i="78"/>
  <c r="IZ38" i="78"/>
  <c r="IZ39" i="78"/>
  <c r="IZ40" i="78"/>
  <c r="IZ41" i="78"/>
  <c r="IZ42" i="78"/>
  <c r="IZ43" i="78"/>
  <c r="IZ44" i="78"/>
  <c r="IZ45" i="78"/>
  <c r="IZ46" i="78"/>
  <c r="IZ47" i="78"/>
  <c r="IZ48" i="78"/>
  <c r="IZ49" i="78"/>
  <c r="IZ12" i="78"/>
  <c r="DY13" i="78"/>
  <c r="DY14" i="78"/>
  <c r="DY15" i="78"/>
  <c r="DY16" i="78"/>
  <c r="DY17" i="78"/>
  <c r="DY18" i="78"/>
  <c r="DY19" i="78"/>
  <c r="DY20" i="78"/>
  <c r="DY21" i="78"/>
  <c r="DY22" i="78"/>
  <c r="DY23" i="78"/>
  <c r="DY24" i="78"/>
  <c r="DY25" i="78"/>
  <c r="DY26" i="78"/>
  <c r="DY27" i="78"/>
  <c r="DY28" i="78"/>
  <c r="DY29" i="78"/>
  <c r="DY30" i="78"/>
  <c r="DY31" i="78"/>
  <c r="DY32" i="78"/>
  <c r="DY33" i="78"/>
  <c r="DY34" i="78"/>
  <c r="DY35" i="78"/>
  <c r="DY36" i="78"/>
  <c r="DY37" i="78"/>
  <c r="DY38" i="78"/>
  <c r="DY39" i="78"/>
  <c r="DY40" i="78"/>
  <c r="DY41" i="78"/>
  <c r="DY42" i="78"/>
  <c r="DY43" i="78"/>
  <c r="DY44" i="78"/>
  <c r="DY45" i="78"/>
  <c r="DY46" i="78"/>
  <c r="DY47" i="78"/>
  <c r="DY48" i="78"/>
  <c r="DY49" i="78"/>
  <c r="DY12" i="78"/>
  <c r="DK13" i="78"/>
  <c r="DK14" i="78"/>
  <c r="DK15" i="78"/>
  <c r="DK16" i="78"/>
  <c r="DK17" i="78"/>
  <c r="DK18" i="78"/>
  <c r="DK19" i="78"/>
  <c r="DK20" i="78"/>
  <c r="DK21" i="78"/>
  <c r="DK22" i="78"/>
  <c r="DK23" i="78"/>
  <c r="DK24" i="78"/>
  <c r="DK25" i="78"/>
  <c r="DK26" i="78"/>
  <c r="DK27" i="78"/>
  <c r="DK28" i="78"/>
  <c r="DK29" i="78"/>
  <c r="DK30" i="78"/>
  <c r="DK31" i="78"/>
  <c r="DK32" i="78"/>
  <c r="DK33" i="78"/>
  <c r="DK34" i="78"/>
  <c r="DK35" i="78"/>
  <c r="DK36" i="78"/>
  <c r="DK37" i="78"/>
  <c r="DK38" i="78"/>
  <c r="DK39" i="78"/>
  <c r="DK40" i="78"/>
  <c r="DK41" i="78"/>
  <c r="DK42" i="78"/>
  <c r="DK43" i="78"/>
  <c r="DK44" i="78"/>
  <c r="DK45" i="78"/>
  <c r="DK46" i="78"/>
  <c r="DK47" i="78"/>
  <c r="DK48" i="78"/>
  <c r="DK49" i="78"/>
  <c r="DK12" i="78"/>
  <c r="ME13" i="78"/>
  <c r="AI13" i="92" s="1"/>
  <c r="ME14" i="78"/>
  <c r="AI14" i="92" s="1"/>
  <c r="ME15" i="78"/>
  <c r="AI15" i="92" s="1"/>
  <c r="ME16" i="78"/>
  <c r="AI16" i="92" s="1"/>
  <c r="ME17" i="78"/>
  <c r="AI17" i="92" s="1"/>
  <c r="ME18" i="78"/>
  <c r="AI18" i="92" s="1"/>
  <c r="ME19" i="78"/>
  <c r="AI19" i="92" s="1"/>
  <c r="ME20" i="78"/>
  <c r="AI20" i="92" s="1"/>
  <c r="ME21" i="78"/>
  <c r="AI21" i="92" s="1"/>
  <c r="ME22" i="78"/>
  <c r="AI22" i="92" s="1"/>
  <c r="ME23" i="78"/>
  <c r="AI23" i="92" s="1"/>
  <c r="ME24" i="78"/>
  <c r="AI24" i="92" s="1"/>
  <c r="ME25" i="78"/>
  <c r="AI25" i="92" s="1"/>
  <c r="ME26" i="78"/>
  <c r="AI26" i="92" s="1"/>
  <c r="ME27" i="78"/>
  <c r="AI27" i="92" s="1"/>
  <c r="ME28" i="78"/>
  <c r="AI28" i="92" s="1"/>
  <c r="ME29" i="78"/>
  <c r="AI29" i="92" s="1"/>
  <c r="ME30" i="78"/>
  <c r="AI30" i="92" s="1"/>
  <c r="ME31" i="78"/>
  <c r="AI31" i="92" s="1"/>
  <c r="ME32" i="78"/>
  <c r="AI32" i="92" s="1"/>
  <c r="ME33" i="78"/>
  <c r="AI33" i="92" s="1"/>
  <c r="ME34" i="78"/>
  <c r="AI34" i="92" s="1"/>
  <c r="ME35" i="78"/>
  <c r="AI35" i="92" s="1"/>
  <c r="ME36" i="78"/>
  <c r="AI36" i="92" s="1"/>
  <c r="ME37" i="78"/>
  <c r="AI37" i="92" s="1"/>
  <c r="ME38" i="78"/>
  <c r="AI38" i="92" s="1"/>
  <c r="ME39" i="78"/>
  <c r="AI39" i="92" s="1"/>
  <c r="ME40" i="78"/>
  <c r="AI40" i="92" s="1"/>
  <c r="ME41" i="78"/>
  <c r="ME42" i="78"/>
  <c r="AI41" i="92" s="1"/>
  <c r="ME43" i="78"/>
  <c r="AI42" i="92" s="1"/>
  <c r="ME44" i="78"/>
  <c r="AI43" i="92" s="1"/>
  <c r="ME45" i="78"/>
  <c r="AI44" i="92" s="1"/>
  <c r="ME46" i="78"/>
  <c r="AI45" i="92" s="1"/>
  <c r="ME47" i="78"/>
  <c r="AI46" i="92" s="1"/>
  <c r="ME48" i="78"/>
  <c r="AI47" i="92" s="1"/>
  <c r="ME49" i="78"/>
  <c r="AI48" i="92" s="1"/>
  <c r="ME12" i="78"/>
  <c r="AI12" i="92" s="1"/>
  <c r="OI13" i="78"/>
  <c r="OI14" i="78"/>
  <c r="OI15" i="78"/>
  <c r="OI16" i="78"/>
  <c r="OI17" i="78"/>
  <c r="OI18" i="78"/>
  <c r="OI19" i="78"/>
  <c r="OI20" i="78"/>
  <c r="OI21" i="78"/>
  <c r="OI22" i="78"/>
  <c r="OI23" i="78"/>
  <c r="OI24" i="78"/>
  <c r="OI25" i="78"/>
  <c r="OI26" i="78"/>
  <c r="OI27" i="78"/>
  <c r="OI28" i="78"/>
  <c r="OI29" i="78"/>
  <c r="OI30" i="78"/>
  <c r="OI31" i="78"/>
  <c r="OI32" i="78"/>
  <c r="OI33" i="78"/>
  <c r="OI34" i="78"/>
  <c r="OI35" i="78"/>
  <c r="OI36" i="78"/>
  <c r="OI37" i="78"/>
  <c r="OI38" i="78"/>
  <c r="OI39" i="78"/>
  <c r="OI40" i="78"/>
  <c r="OI41" i="78"/>
  <c r="OI42" i="78"/>
  <c r="OI43" i="78"/>
  <c r="OI44" i="78"/>
  <c r="OI45" i="78"/>
  <c r="OI46" i="78"/>
  <c r="OI47" i="78"/>
  <c r="OI48" i="78"/>
  <c r="OI49" i="78"/>
  <c r="OI12" i="78"/>
  <c r="PB13" i="78"/>
  <c r="PB14" i="78"/>
  <c r="OH14" i="78" s="1"/>
  <c r="PB15" i="78"/>
  <c r="PB16" i="78"/>
  <c r="PB17" i="78"/>
  <c r="OH17" i="78" s="1"/>
  <c r="PB18" i="78"/>
  <c r="PB19" i="78"/>
  <c r="PB20" i="78"/>
  <c r="OH20" i="78" s="1"/>
  <c r="PB21" i="78"/>
  <c r="PB22" i="78"/>
  <c r="PB23" i="78"/>
  <c r="OH23" i="78" s="1"/>
  <c r="PB24" i="78"/>
  <c r="PB25" i="78"/>
  <c r="PB26" i="78"/>
  <c r="OH26" i="78" s="1"/>
  <c r="PB27" i="78"/>
  <c r="PB28" i="78"/>
  <c r="PB29" i="78"/>
  <c r="OH29" i="78" s="1"/>
  <c r="PB30" i="78"/>
  <c r="PB31" i="78"/>
  <c r="PB32" i="78"/>
  <c r="OH32" i="78" s="1"/>
  <c r="PB33" i="78"/>
  <c r="PB34" i="78"/>
  <c r="PB35" i="78"/>
  <c r="OH35" i="78" s="1"/>
  <c r="PB36" i="78"/>
  <c r="PB37" i="78"/>
  <c r="PB38" i="78"/>
  <c r="OH38" i="78" s="1"/>
  <c r="PB39" i="78"/>
  <c r="PB40" i="78"/>
  <c r="PB41" i="78"/>
  <c r="OH41" i="78" s="1"/>
  <c r="PB42" i="78"/>
  <c r="PB43" i="78"/>
  <c r="PB44" i="78"/>
  <c r="OH44" i="78" s="1"/>
  <c r="PB45" i="78"/>
  <c r="PB46" i="78"/>
  <c r="PB47" i="78"/>
  <c r="OH47" i="78" s="1"/>
  <c r="PB48" i="78"/>
  <c r="PB49" i="78"/>
  <c r="PB12" i="78"/>
  <c r="OH12" i="78" s="1"/>
  <c r="NZ13" i="78"/>
  <c r="NZ14" i="78"/>
  <c r="NZ15" i="78"/>
  <c r="NZ16" i="78"/>
  <c r="NZ17" i="78"/>
  <c r="NZ18" i="78"/>
  <c r="NZ19" i="78"/>
  <c r="NZ20" i="78"/>
  <c r="NZ21" i="78"/>
  <c r="NZ22" i="78"/>
  <c r="NZ23" i="78"/>
  <c r="NZ24" i="78"/>
  <c r="NZ25" i="78"/>
  <c r="NZ26" i="78"/>
  <c r="NZ27" i="78"/>
  <c r="NZ28" i="78"/>
  <c r="NZ29" i="78"/>
  <c r="NZ30" i="78"/>
  <c r="NZ31" i="78"/>
  <c r="NZ32" i="78"/>
  <c r="NZ33" i="78"/>
  <c r="NZ34" i="78"/>
  <c r="NZ35" i="78"/>
  <c r="NZ36" i="78"/>
  <c r="NZ37" i="78"/>
  <c r="NZ38" i="78"/>
  <c r="NZ39" i="78"/>
  <c r="NZ40" i="78"/>
  <c r="NZ41" i="78"/>
  <c r="NZ42" i="78"/>
  <c r="NZ43" i="78"/>
  <c r="NZ44" i="78"/>
  <c r="NZ45" i="78"/>
  <c r="NZ46" i="78"/>
  <c r="NZ47" i="78"/>
  <c r="NZ48" i="78"/>
  <c r="NZ49" i="78"/>
  <c r="NZ12" i="78"/>
  <c r="NL13" i="78"/>
  <c r="NL14" i="78"/>
  <c r="NL15" i="78"/>
  <c r="NL16" i="78"/>
  <c r="NL17" i="78"/>
  <c r="NL18" i="78"/>
  <c r="NL19" i="78"/>
  <c r="NL20" i="78"/>
  <c r="NL21" i="78"/>
  <c r="NL22" i="78"/>
  <c r="NL23" i="78"/>
  <c r="NL24" i="78"/>
  <c r="NL25" i="78"/>
  <c r="NL26" i="78"/>
  <c r="NL27" i="78"/>
  <c r="NL28" i="78"/>
  <c r="NL29" i="78"/>
  <c r="NL30" i="78"/>
  <c r="NL31" i="78"/>
  <c r="NL32" i="78"/>
  <c r="NL33" i="78"/>
  <c r="NL34" i="78"/>
  <c r="NL35" i="78"/>
  <c r="NL36" i="78"/>
  <c r="NL37" i="78"/>
  <c r="NL38" i="78"/>
  <c r="NL39" i="78"/>
  <c r="NL40" i="78"/>
  <c r="NL41" i="78"/>
  <c r="NL42" i="78"/>
  <c r="NL43" i="78"/>
  <c r="NL44" i="78"/>
  <c r="NL45" i="78"/>
  <c r="NL46" i="78"/>
  <c r="NL47" i="78"/>
  <c r="NL48" i="78"/>
  <c r="NL49" i="78"/>
  <c r="NL12" i="78"/>
  <c r="AF12" i="92" s="1"/>
  <c r="MX13" i="78"/>
  <c r="MX14" i="78"/>
  <c r="MX15" i="78"/>
  <c r="MX16" i="78"/>
  <c r="MX17" i="78"/>
  <c r="MX18" i="78"/>
  <c r="MX19" i="78"/>
  <c r="MX20" i="78"/>
  <c r="MX21" i="78"/>
  <c r="MX22" i="78"/>
  <c r="MX23" i="78"/>
  <c r="MX24" i="78"/>
  <c r="MX25" i="78"/>
  <c r="MX26" i="78"/>
  <c r="MX27" i="78"/>
  <c r="MX28" i="78"/>
  <c r="MX29" i="78"/>
  <c r="MX30" i="78"/>
  <c r="MX31" i="78"/>
  <c r="MX32" i="78"/>
  <c r="MX33" i="78"/>
  <c r="MX34" i="78"/>
  <c r="MX35" i="78"/>
  <c r="MX36" i="78"/>
  <c r="MX37" i="78"/>
  <c r="MX38" i="78"/>
  <c r="MX39" i="78"/>
  <c r="MX40" i="78"/>
  <c r="MX41" i="78"/>
  <c r="MX42" i="78"/>
  <c r="MX43" i="78"/>
  <c r="MX44" i="78"/>
  <c r="MX45" i="78"/>
  <c r="MX46" i="78"/>
  <c r="MX47" i="78"/>
  <c r="MX48" i="78"/>
  <c r="MX49" i="78"/>
  <c r="MX12" i="78"/>
  <c r="LX13" i="78"/>
  <c r="AH13" i="92" s="1"/>
  <c r="LX14" i="78"/>
  <c r="AH14" i="92" s="1"/>
  <c r="LX15" i="78"/>
  <c r="AH15" i="92" s="1"/>
  <c r="LX16" i="78"/>
  <c r="AH16" i="92" s="1"/>
  <c r="LX17" i="78"/>
  <c r="AH17" i="92" s="1"/>
  <c r="LX18" i="78"/>
  <c r="AH18" i="92" s="1"/>
  <c r="LX19" i="78"/>
  <c r="AH19" i="92" s="1"/>
  <c r="LX20" i="78"/>
  <c r="AH20" i="92" s="1"/>
  <c r="LX21" i="78"/>
  <c r="AH21" i="92" s="1"/>
  <c r="LX22" i="78"/>
  <c r="AH22" i="92" s="1"/>
  <c r="LX23" i="78"/>
  <c r="AH23" i="92" s="1"/>
  <c r="LX24" i="78"/>
  <c r="AH24" i="92" s="1"/>
  <c r="LX25" i="78"/>
  <c r="AH25" i="92" s="1"/>
  <c r="LX26" i="78"/>
  <c r="AH26" i="92" s="1"/>
  <c r="LX27" i="78"/>
  <c r="AH27" i="92" s="1"/>
  <c r="LX28" i="78"/>
  <c r="AH28" i="92" s="1"/>
  <c r="LX29" i="78"/>
  <c r="AH29" i="92" s="1"/>
  <c r="LX30" i="78"/>
  <c r="AH30" i="92" s="1"/>
  <c r="LX31" i="78"/>
  <c r="AH31" i="92" s="1"/>
  <c r="LX32" i="78"/>
  <c r="AH32" i="92" s="1"/>
  <c r="LX33" i="78"/>
  <c r="AH33" i="92" s="1"/>
  <c r="LX34" i="78"/>
  <c r="AH34" i="92" s="1"/>
  <c r="LX35" i="78"/>
  <c r="AH35" i="92" s="1"/>
  <c r="LX36" i="78"/>
  <c r="AH36" i="92" s="1"/>
  <c r="LX37" i="78"/>
  <c r="AH37" i="92" s="1"/>
  <c r="LX38" i="78"/>
  <c r="AH38" i="92" s="1"/>
  <c r="LX39" i="78"/>
  <c r="AH39" i="92" s="1"/>
  <c r="LX40" i="78"/>
  <c r="AH40" i="92" s="1"/>
  <c r="LX41" i="78"/>
  <c r="LX42" i="78"/>
  <c r="AH41" i="92" s="1"/>
  <c r="LX43" i="78"/>
  <c r="AH42" i="92" s="1"/>
  <c r="LX44" i="78"/>
  <c r="AH43" i="92" s="1"/>
  <c r="LX45" i="78"/>
  <c r="AH44" i="92" s="1"/>
  <c r="LX46" i="78"/>
  <c r="AH45" i="92" s="1"/>
  <c r="LX47" i="78"/>
  <c r="AH46" i="92" s="1"/>
  <c r="LX48" i="78"/>
  <c r="AH47" i="92" s="1"/>
  <c r="LX49" i="78"/>
  <c r="AH48" i="92" s="1"/>
  <c r="LX12" i="78"/>
  <c r="AH12" i="92" s="1"/>
  <c r="BX12" i="92" s="1"/>
  <c r="LN12" i="78"/>
  <c r="AG12" i="92" s="1"/>
  <c r="IF13" i="78"/>
  <c r="AD13" i="92" s="1"/>
  <c r="IF14" i="78"/>
  <c r="AD14" i="92" s="1"/>
  <c r="IF15" i="78"/>
  <c r="AD15" i="92" s="1"/>
  <c r="IF16" i="78"/>
  <c r="AD16" i="92" s="1"/>
  <c r="IF17" i="78"/>
  <c r="AD17" i="92" s="1"/>
  <c r="IF18" i="78"/>
  <c r="AD18" i="92" s="1"/>
  <c r="IF19" i="78"/>
  <c r="AD19" i="92" s="1"/>
  <c r="IF20" i="78"/>
  <c r="AD20" i="92" s="1"/>
  <c r="IF21" i="78"/>
  <c r="AD21" i="92" s="1"/>
  <c r="IF22" i="78"/>
  <c r="AD22" i="92" s="1"/>
  <c r="IF23" i="78"/>
  <c r="AD23" i="92" s="1"/>
  <c r="IF24" i="78"/>
  <c r="AD24" i="92" s="1"/>
  <c r="IF25" i="78"/>
  <c r="AD25" i="92" s="1"/>
  <c r="IF26" i="78"/>
  <c r="AD26" i="92" s="1"/>
  <c r="IF27" i="78"/>
  <c r="AD27" i="92" s="1"/>
  <c r="IF28" i="78"/>
  <c r="AD28" i="92" s="1"/>
  <c r="IF29" i="78"/>
  <c r="AD29" i="92" s="1"/>
  <c r="IF30" i="78"/>
  <c r="AD30" i="92" s="1"/>
  <c r="IF31" i="78"/>
  <c r="AD31" i="92" s="1"/>
  <c r="IF32" i="78"/>
  <c r="AD32" i="92" s="1"/>
  <c r="IF33" i="78"/>
  <c r="AD33" i="92" s="1"/>
  <c r="IF34" i="78"/>
  <c r="AD34" i="92" s="1"/>
  <c r="IF35" i="78"/>
  <c r="AD35" i="92" s="1"/>
  <c r="IF36" i="78"/>
  <c r="AD36" i="92" s="1"/>
  <c r="IF37" i="78"/>
  <c r="AD37" i="92" s="1"/>
  <c r="IF38" i="78"/>
  <c r="AD38" i="92" s="1"/>
  <c r="IF39" i="78"/>
  <c r="AD39" i="92" s="1"/>
  <c r="IF40" i="78"/>
  <c r="AD40" i="92" s="1"/>
  <c r="IF41" i="78"/>
  <c r="IF42" i="78"/>
  <c r="AD41" i="92" s="1"/>
  <c r="IF43" i="78"/>
  <c r="AD42" i="92" s="1"/>
  <c r="IF44" i="78"/>
  <c r="AD43" i="92" s="1"/>
  <c r="IF45" i="78"/>
  <c r="AD44" i="92" s="1"/>
  <c r="IF46" i="78"/>
  <c r="AD45" i="92" s="1"/>
  <c r="IF47" i="78"/>
  <c r="AD46" i="92" s="1"/>
  <c r="IF48" i="78"/>
  <c r="AD47" i="92" s="1"/>
  <c r="IF49" i="78"/>
  <c r="AD48" i="92" s="1"/>
  <c r="IF12" i="78"/>
  <c r="AD12" i="92" s="1"/>
  <c r="HY13" i="78"/>
  <c r="HY14" i="78"/>
  <c r="HY15" i="78"/>
  <c r="HY16" i="78"/>
  <c r="HY17" i="78"/>
  <c r="HY18" i="78"/>
  <c r="HY19" i="78"/>
  <c r="HY20" i="78"/>
  <c r="HY21" i="78"/>
  <c r="HY22" i="78"/>
  <c r="HY23" i="78"/>
  <c r="HY24" i="78"/>
  <c r="HY25" i="78"/>
  <c r="HY26" i="78"/>
  <c r="HY27" i="78"/>
  <c r="HY28" i="78"/>
  <c r="HY29" i="78"/>
  <c r="HY30" i="78"/>
  <c r="HY31" i="78"/>
  <c r="HY32" i="78"/>
  <c r="HY33" i="78"/>
  <c r="HY34" i="78"/>
  <c r="HY35" i="78"/>
  <c r="HY36" i="78"/>
  <c r="HY37" i="78"/>
  <c r="HY38" i="78"/>
  <c r="HY39" i="78"/>
  <c r="HY40" i="78"/>
  <c r="HY41" i="78"/>
  <c r="HY42" i="78"/>
  <c r="HY43" i="78"/>
  <c r="HY44" i="78"/>
  <c r="HY45" i="78"/>
  <c r="HY46" i="78"/>
  <c r="HY47" i="78"/>
  <c r="HY48" i="78"/>
  <c r="HY49" i="78"/>
  <c r="HY12" i="78"/>
  <c r="E59" i="64"/>
  <c r="E60" i="64"/>
  <c r="E61" i="64"/>
  <c r="HN21" i="78"/>
  <c r="GX21" i="78"/>
  <c r="GX16" i="78"/>
  <c r="HI16" i="78"/>
  <c r="GV13" i="78"/>
  <c r="AC13" i="92" s="1"/>
  <c r="GV14" i="78"/>
  <c r="AC14" i="92" s="1"/>
  <c r="GV15" i="78"/>
  <c r="AC15" i="92" s="1"/>
  <c r="GV17" i="78"/>
  <c r="AC17" i="92" s="1"/>
  <c r="GV18" i="78"/>
  <c r="GV19" i="78"/>
  <c r="GV20" i="78"/>
  <c r="AC20" i="92" s="1"/>
  <c r="GV22" i="78"/>
  <c r="GV23" i="78"/>
  <c r="AC23" i="92" s="1"/>
  <c r="GV24" i="78"/>
  <c r="AC24" i="92" s="1"/>
  <c r="GV25" i="78"/>
  <c r="GV26" i="78"/>
  <c r="AC26" i="92" s="1"/>
  <c r="GV27" i="78"/>
  <c r="AC27" i="92" s="1"/>
  <c r="GV28" i="78"/>
  <c r="GV29" i="78"/>
  <c r="AC29" i="92" s="1"/>
  <c r="GV30" i="78"/>
  <c r="AC30" i="92" s="1"/>
  <c r="GV31" i="78"/>
  <c r="GV32" i="78"/>
  <c r="AC32" i="92" s="1"/>
  <c r="GV33" i="78"/>
  <c r="AC33" i="92" s="1"/>
  <c r="GV34" i="78"/>
  <c r="GV35" i="78"/>
  <c r="AC35" i="92" s="1"/>
  <c r="GV36" i="78"/>
  <c r="AC36" i="92" s="1"/>
  <c r="GV37" i="78"/>
  <c r="GV38" i="78"/>
  <c r="AC38" i="92" s="1"/>
  <c r="GV39" i="78"/>
  <c r="AC39" i="92" s="1"/>
  <c r="GV40" i="78"/>
  <c r="GV41" i="78"/>
  <c r="GV42" i="78"/>
  <c r="AC41" i="92" s="1"/>
  <c r="GV43" i="78"/>
  <c r="GV44" i="78"/>
  <c r="AC43" i="92" s="1"/>
  <c r="GV45" i="78"/>
  <c r="AC44" i="92" s="1"/>
  <c r="GV46" i="78"/>
  <c r="GV47" i="78"/>
  <c r="AC46" i="92" s="1"/>
  <c r="GV48" i="78"/>
  <c r="AC47" i="92" s="1"/>
  <c r="GV49" i="78"/>
  <c r="GV12" i="78"/>
  <c r="AC12" i="92" s="1"/>
  <c r="FA49" i="78"/>
  <c r="AA48" i="92" s="1"/>
  <c r="FA48" i="78"/>
  <c r="AA47" i="92" s="1"/>
  <c r="FA47" i="78"/>
  <c r="AA46" i="92" s="1"/>
  <c r="FA46" i="78"/>
  <c r="AA45" i="92" s="1"/>
  <c r="FA45" i="78"/>
  <c r="AA44" i="92" s="1"/>
  <c r="FA44" i="78"/>
  <c r="AA43" i="92" s="1"/>
  <c r="FA43" i="78"/>
  <c r="AA42" i="92" s="1"/>
  <c r="FA42" i="78"/>
  <c r="AA41" i="92" s="1"/>
  <c r="FA41" i="78"/>
  <c r="FA40" i="78"/>
  <c r="AA40" i="92" s="1"/>
  <c r="FA39" i="78"/>
  <c r="AA39" i="92" s="1"/>
  <c r="FA38" i="78"/>
  <c r="AA38" i="92" s="1"/>
  <c r="FA37" i="78"/>
  <c r="AA37" i="92" s="1"/>
  <c r="FA36" i="78"/>
  <c r="AA36" i="92" s="1"/>
  <c r="FA35" i="78"/>
  <c r="AA35" i="92" s="1"/>
  <c r="FA34" i="78"/>
  <c r="AA34" i="92" s="1"/>
  <c r="FA33" i="78"/>
  <c r="AA33" i="92" s="1"/>
  <c r="FA32" i="78"/>
  <c r="AA32" i="92" s="1"/>
  <c r="FA31" i="78"/>
  <c r="AA31" i="92" s="1"/>
  <c r="FA30" i="78"/>
  <c r="AA30" i="92" s="1"/>
  <c r="FA29" i="78"/>
  <c r="AA29" i="92" s="1"/>
  <c r="FA28" i="78"/>
  <c r="AA28" i="92" s="1"/>
  <c r="FA27" i="78"/>
  <c r="AA27" i="92" s="1"/>
  <c r="FA26" i="78"/>
  <c r="AA26" i="92" s="1"/>
  <c r="FA25" i="78"/>
  <c r="AA25" i="92" s="1"/>
  <c r="FA24" i="78"/>
  <c r="AA24" i="92" s="1"/>
  <c r="FA23" i="78"/>
  <c r="AA23" i="92" s="1"/>
  <c r="FA22" i="78"/>
  <c r="AA22" i="92" s="1"/>
  <c r="FA21" i="78"/>
  <c r="AA21" i="92" s="1"/>
  <c r="FA20" i="78"/>
  <c r="AA20" i="92" s="1"/>
  <c r="FA19" i="78"/>
  <c r="AA19" i="92" s="1"/>
  <c r="FA18" i="78"/>
  <c r="AA18" i="92" s="1"/>
  <c r="FA17" i="78"/>
  <c r="AA17" i="92" s="1"/>
  <c r="FA16" i="78"/>
  <c r="AA16" i="92" s="1"/>
  <c r="FA15" i="78"/>
  <c r="AA15" i="92" s="1"/>
  <c r="FA14" i="78"/>
  <c r="AA14" i="92" s="1"/>
  <c r="FA13" i="78"/>
  <c r="AA13" i="92" s="1"/>
  <c r="FA12" i="78"/>
  <c r="AA12" i="92" s="1"/>
  <c r="AQ12" i="78"/>
  <c r="AQ22" i="78"/>
  <c r="F90" i="179" l="1"/>
  <c r="AB84" i="179"/>
  <c r="AK90" i="179"/>
  <c r="F76" i="179"/>
  <c r="AB75" i="179"/>
  <c r="AX76" i="179"/>
  <c r="AB85" i="179"/>
  <c r="AL85" i="179"/>
  <c r="AB70" i="179"/>
  <c r="AX87" i="179"/>
  <c r="Q68" i="179"/>
  <c r="F70" i="179"/>
  <c r="AB100" i="179"/>
  <c r="AX100" i="179"/>
  <c r="AK103" i="179"/>
  <c r="AK70" i="179"/>
  <c r="AX89" i="179"/>
  <c r="AK68" i="179"/>
  <c r="AX68" i="179"/>
  <c r="AB77" i="179"/>
  <c r="AB73" i="179"/>
  <c r="AB68" i="179"/>
  <c r="AX66" i="179"/>
  <c r="Q78" i="179"/>
  <c r="AL103" i="179"/>
  <c r="Q89" i="179"/>
  <c r="Q81" i="179"/>
  <c r="AX85" i="179"/>
  <c r="AK85" i="179"/>
  <c r="AM85" i="179" s="1"/>
  <c r="Q84" i="179"/>
  <c r="F73" i="179"/>
  <c r="AL65" i="179"/>
  <c r="Q99" i="179"/>
  <c r="F78" i="179"/>
  <c r="F103" i="179"/>
  <c r="F75" i="179"/>
  <c r="Q75" i="179"/>
  <c r="AL68" i="179"/>
  <c r="AB90" i="179"/>
  <c r="AX72" i="179"/>
  <c r="Q101" i="179"/>
  <c r="F101" i="179"/>
  <c r="Q67" i="179"/>
  <c r="F67" i="179"/>
  <c r="Q85" i="179"/>
  <c r="AL91" i="179"/>
  <c r="AX81" i="179"/>
  <c r="AK81" i="179"/>
  <c r="AL77" i="179"/>
  <c r="AM77" i="179" s="1"/>
  <c r="F80" i="179"/>
  <c r="AK99" i="179"/>
  <c r="AK102" i="179"/>
  <c r="AL69" i="179"/>
  <c r="AL80" i="179"/>
  <c r="AL72" i="179"/>
  <c r="AK73" i="179"/>
  <c r="AK93" i="179"/>
  <c r="AK86" i="179"/>
  <c r="AX84" i="179"/>
  <c r="AM83" i="179"/>
  <c r="AK87" i="179"/>
  <c r="AK100" i="179"/>
  <c r="F89" i="179"/>
  <c r="AL89" i="179"/>
  <c r="Q86" i="179"/>
  <c r="F91" i="179"/>
  <c r="AB71" i="179"/>
  <c r="AX71" i="179"/>
  <c r="AK75" i="179"/>
  <c r="AB72" i="179"/>
  <c r="AX74" i="179"/>
  <c r="AK76" i="179"/>
  <c r="AK88" i="179"/>
  <c r="AM88" i="179" s="1"/>
  <c r="AK91" i="179"/>
  <c r="AM91" i="179" s="1"/>
  <c r="Q90" i="179"/>
  <c r="AB101" i="179"/>
  <c r="AX101" i="179"/>
  <c r="AK101" i="179"/>
  <c r="AK84" i="179"/>
  <c r="AL90" i="179"/>
  <c r="AM90" i="179" s="1"/>
  <c r="Q88" i="179"/>
  <c r="AX90" i="179"/>
  <c r="AK74" i="179"/>
  <c r="E61" i="179"/>
  <c r="AL79" i="179"/>
  <c r="AM79" i="179" s="1"/>
  <c r="AL81" i="179"/>
  <c r="AK66" i="179"/>
  <c r="Q74" i="179"/>
  <c r="AL99" i="179"/>
  <c r="AL102" i="179"/>
  <c r="F69" i="179"/>
  <c r="Q82" i="179"/>
  <c r="F86" i="179"/>
  <c r="Q70" i="179"/>
  <c r="F71" i="179"/>
  <c r="AL73" i="179"/>
  <c r="AL93" i="179"/>
  <c r="AL86" i="179"/>
  <c r="F82" i="179"/>
  <c r="Q76" i="179"/>
  <c r="AL87" i="179"/>
  <c r="AK65" i="179"/>
  <c r="AM65" i="179" s="1"/>
  <c r="AL100" i="179"/>
  <c r="AX103" i="179"/>
  <c r="Q103" i="179"/>
  <c r="AL70" i="179"/>
  <c r="AM70" i="179" s="1"/>
  <c r="AM89" i="179"/>
  <c r="AL75" i="179"/>
  <c r="AL76" i="179"/>
  <c r="AL101" i="179"/>
  <c r="Q80" i="179"/>
  <c r="AL84" i="179"/>
  <c r="AB89" i="179"/>
  <c r="AW61" i="179"/>
  <c r="AL74" i="179"/>
  <c r="AX78" i="179"/>
  <c r="F79" i="179"/>
  <c r="Q72" i="179"/>
  <c r="F81" i="179"/>
  <c r="AX69" i="179"/>
  <c r="AL66" i="179"/>
  <c r="AL78" i="179"/>
  <c r="AM78" i="179" s="1"/>
  <c r="Q93" i="179"/>
  <c r="F100" i="179"/>
  <c r="Q102" i="179"/>
  <c r="F102" i="179"/>
  <c r="AB66" i="179"/>
  <c r="P61" i="179"/>
  <c r="AX73" i="179"/>
  <c r="AK69" i="179"/>
  <c r="AM69" i="179" s="1"/>
  <c r="AB78" i="179"/>
  <c r="AX79" i="179"/>
  <c r="AK80" i="179"/>
  <c r="AM80" i="179" s="1"/>
  <c r="AB79" i="179"/>
  <c r="AX80" i="179"/>
  <c r="AK72" i="179"/>
  <c r="F93" i="179"/>
  <c r="AK92" i="179"/>
  <c r="AL92" i="179"/>
  <c r="Q71" i="179"/>
  <c r="F66" i="179"/>
  <c r="Q92" i="179"/>
  <c r="F99" i="179"/>
  <c r="Q69" i="179"/>
  <c r="Q83" i="179"/>
  <c r="F87" i="179"/>
  <c r="AX75" i="179"/>
  <c r="AM67" i="179"/>
  <c r="AB74" i="179"/>
  <c r="AX65" i="179"/>
  <c r="AB67" i="179"/>
  <c r="AM68" i="179"/>
  <c r="AX70" i="179"/>
  <c r="AV61" i="179"/>
  <c r="F68" i="179"/>
  <c r="D61" i="179"/>
  <c r="AB65" i="179"/>
  <c r="Z61" i="179"/>
  <c r="AA61" i="179"/>
  <c r="Q65" i="179"/>
  <c r="F65" i="179"/>
  <c r="Q66" i="179"/>
  <c r="O61" i="179"/>
  <c r="AC19" i="92"/>
  <c r="GV21" i="78"/>
  <c r="AC21" i="92" s="1"/>
  <c r="AC48" i="92"/>
  <c r="AC45" i="92"/>
  <c r="AC42" i="92"/>
  <c r="AC40" i="92"/>
  <c r="AC37" i="92"/>
  <c r="AC34" i="92"/>
  <c r="AC31" i="92"/>
  <c r="AC28" i="92"/>
  <c r="AC25" i="92"/>
  <c r="AC22" i="92"/>
  <c r="AC18" i="92"/>
  <c r="NK12" i="78"/>
  <c r="AJ12" i="92" s="1"/>
  <c r="GV16" i="78"/>
  <c r="AC16" i="92" s="1"/>
  <c r="OH49" i="78"/>
  <c r="OH46" i="78"/>
  <c r="OH43" i="78"/>
  <c r="OH40" i="78"/>
  <c r="OH37" i="78"/>
  <c r="OH34" i="78"/>
  <c r="OH31" i="78"/>
  <c r="OH28" i="78"/>
  <c r="OH25" i="78"/>
  <c r="OH22" i="78"/>
  <c r="OH19" i="78"/>
  <c r="OH16" i="78"/>
  <c r="OH13" i="78"/>
  <c r="NK41" i="78"/>
  <c r="OH48" i="78"/>
  <c r="OH45" i="78"/>
  <c r="OH42" i="78"/>
  <c r="OH39" i="78"/>
  <c r="OH36" i="78"/>
  <c r="OH33" i="78"/>
  <c r="OH30" i="78"/>
  <c r="OH27" i="78"/>
  <c r="OH24" i="78"/>
  <c r="OH21" i="78"/>
  <c r="OH18" i="78"/>
  <c r="OH15" i="78"/>
  <c r="NK49" i="78"/>
  <c r="AJ48" i="92" s="1"/>
  <c r="AF48" i="92"/>
  <c r="NK48" i="78"/>
  <c r="AJ47" i="92" s="1"/>
  <c r="AF47" i="92"/>
  <c r="NK47" i="78"/>
  <c r="AJ46" i="92" s="1"/>
  <c r="AF46" i="92"/>
  <c r="NK46" i="78"/>
  <c r="AJ45" i="92" s="1"/>
  <c r="AF45" i="92"/>
  <c r="NK45" i="78"/>
  <c r="AJ44" i="92" s="1"/>
  <c r="AF44" i="92"/>
  <c r="NK44" i="78"/>
  <c r="AJ43" i="92" s="1"/>
  <c r="AF43" i="92"/>
  <c r="NK43" i="78"/>
  <c r="AJ42" i="92" s="1"/>
  <c r="AF42" i="92"/>
  <c r="NK42" i="78"/>
  <c r="AJ41" i="92" s="1"/>
  <c r="AF41" i="92"/>
  <c r="NK40" i="78"/>
  <c r="AJ40" i="92" s="1"/>
  <c r="AF40" i="92"/>
  <c r="NK39" i="78"/>
  <c r="AJ39" i="92" s="1"/>
  <c r="AF39" i="92"/>
  <c r="NK38" i="78"/>
  <c r="AJ38" i="92" s="1"/>
  <c r="AF38" i="92"/>
  <c r="NK37" i="78"/>
  <c r="AJ37" i="92" s="1"/>
  <c r="AF37" i="92"/>
  <c r="NK36" i="78"/>
  <c r="AJ36" i="92" s="1"/>
  <c r="AF36" i="92"/>
  <c r="NK35" i="78"/>
  <c r="AJ35" i="92" s="1"/>
  <c r="AF35" i="92"/>
  <c r="NK34" i="78"/>
  <c r="AJ34" i="92" s="1"/>
  <c r="AF34" i="92"/>
  <c r="NK33" i="78"/>
  <c r="AJ33" i="92" s="1"/>
  <c r="AF33" i="92"/>
  <c r="NK32" i="78"/>
  <c r="AJ32" i="92" s="1"/>
  <c r="AF32" i="92"/>
  <c r="NK31" i="78"/>
  <c r="AJ31" i="92" s="1"/>
  <c r="AF31" i="92"/>
  <c r="NK30" i="78"/>
  <c r="AJ30" i="92" s="1"/>
  <c r="AF30" i="92"/>
  <c r="NK29" i="78"/>
  <c r="AJ29" i="92" s="1"/>
  <c r="AF29" i="92"/>
  <c r="NK28" i="78"/>
  <c r="AJ28" i="92" s="1"/>
  <c r="AF28" i="92"/>
  <c r="NK27" i="78"/>
  <c r="AJ27" i="92" s="1"/>
  <c r="AF27" i="92"/>
  <c r="NK26" i="78"/>
  <c r="AJ26" i="92" s="1"/>
  <c r="AF26" i="92"/>
  <c r="NK25" i="78"/>
  <c r="AJ25" i="92" s="1"/>
  <c r="AF25" i="92"/>
  <c r="NK24" i="78"/>
  <c r="AJ24" i="92" s="1"/>
  <c r="AF24" i="92"/>
  <c r="NK23" i="78"/>
  <c r="AJ23" i="92" s="1"/>
  <c r="AF23" i="92"/>
  <c r="NK22" i="78"/>
  <c r="AJ22" i="92" s="1"/>
  <c r="AF22" i="92"/>
  <c r="NK21" i="78"/>
  <c r="AJ21" i="92" s="1"/>
  <c r="AF21" i="92"/>
  <c r="NK20" i="78"/>
  <c r="AJ20" i="92" s="1"/>
  <c r="AF20" i="92"/>
  <c r="NK19" i="78"/>
  <c r="AJ19" i="92" s="1"/>
  <c r="AF19" i="92"/>
  <c r="NK18" i="78"/>
  <c r="AJ18" i="92" s="1"/>
  <c r="AF18" i="92"/>
  <c r="NK17" i="78"/>
  <c r="AJ17" i="92" s="1"/>
  <c r="AF17" i="92"/>
  <c r="NK16" i="78"/>
  <c r="AJ16" i="92" s="1"/>
  <c r="AF16" i="92"/>
  <c r="NK15" i="78"/>
  <c r="AJ15" i="92" s="1"/>
  <c r="AF15" i="92"/>
  <c r="NK14" i="78"/>
  <c r="AJ14" i="92" s="1"/>
  <c r="AF14" i="92"/>
  <c r="NK13" i="78"/>
  <c r="AJ13" i="92" s="1"/>
  <c r="AF13" i="92"/>
  <c r="C13" i="78"/>
  <c r="W13" i="92" s="1"/>
  <c r="C14" i="78"/>
  <c r="W14" i="92" s="1"/>
  <c r="C15" i="78"/>
  <c r="W15" i="92" s="1"/>
  <c r="C16" i="78"/>
  <c r="W16" i="92" s="1"/>
  <c r="C17" i="78"/>
  <c r="W17" i="92" s="1"/>
  <c r="C18" i="78"/>
  <c r="W18" i="92" s="1"/>
  <c r="C19" i="78"/>
  <c r="W19" i="92" s="1"/>
  <c r="C20" i="78"/>
  <c r="W20" i="92" s="1"/>
  <c r="C21" i="78"/>
  <c r="W21" i="92" s="1"/>
  <c r="C22" i="78"/>
  <c r="W22" i="92" s="1"/>
  <c r="C23" i="78"/>
  <c r="W23" i="92" s="1"/>
  <c r="C24" i="78"/>
  <c r="W24" i="92" s="1"/>
  <c r="C25" i="78"/>
  <c r="W25" i="92" s="1"/>
  <c r="C26" i="78"/>
  <c r="W26" i="92" s="1"/>
  <c r="C27" i="78"/>
  <c r="W27" i="92" s="1"/>
  <c r="C28" i="78"/>
  <c r="W28" i="92" s="1"/>
  <c r="C29" i="78"/>
  <c r="W29" i="92" s="1"/>
  <c r="C30" i="78"/>
  <c r="W30" i="92" s="1"/>
  <c r="C31" i="78"/>
  <c r="W31" i="92" s="1"/>
  <c r="C32" i="78"/>
  <c r="W32" i="92" s="1"/>
  <c r="C33" i="78"/>
  <c r="W33" i="92" s="1"/>
  <c r="C34" i="78"/>
  <c r="W34" i="92" s="1"/>
  <c r="C35" i="78"/>
  <c r="W35" i="92" s="1"/>
  <c r="C36" i="78"/>
  <c r="W36" i="92" s="1"/>
  <c r="C37" i="78"/>
  <c r="W37" i="92" s="1"/>
  <c r="C38" i="78"/>
  <c r="W38" i="92" s="1"/>
  <c r="C39" i="78"/>
  <c r="W39" i="92" s="1"/>
  <c r="C40" i="78"/>
  <c r="W40" i="92" s="1"/>
  <c r="C41" i="78"/>
  <c r="C42" i="78"/>
  <c r="W41" i="92" s="1"/>
  <c r="C43" i="78"/>
  <c r="W42" i="92" s="1"/>
  <c r="C44" i="78"/>
  <c r="W43" i="92" s="1"/>
  <c r="C45" i="78"/>
  <c r="W44" i="92" s="1"/>
  <c r="C46" i="78"/>
  <c r="W45" i="92" s="1"/>
  <c r="C47" i="78"/>
  <c r="W46" i="92" s="1"/>
  <c r="C48" i="78"/>
  <c r="W47" i="92" s="1"/>
  <c r="C49" i="78"/>
  <c r="W48" i="92" s="1"/>
  <c r="C12" i="78"/>
  <c r="W12" i="92" s="1"/>
  <c r="AM103" i="179" l="1"/>
  <c r="Q61" i="179"/>
  <c r="AM81" i="179"/>
  <c r="AM87" i="179"/>
  <c r="AM86" i="179"/>
  <c r="AM66" i="179"/>
  <c r="AM76" i="179"/>
  <c r="AM75" i="179"/>
  <c r="F61" i="179"/>
  <c r="AM101" i="179"/>
  <c r="AM102" i="179"/>
  <c r="AL61" i="179"/>
  <c r="AB61" i="179"/>
  <c r="AK61" i="179"/>
  <c r="AM72" i="179"/>
  <c r="AM74" i="179"/>
  <c r="AM93" i="179"/>
  <c r="AM99" i="179"/>
  <c r="AM92" i="179"/>
  <c r="AX61" i="179"/>
  <c r="AM84" i="179"/>
  <c r="AM100" i="179"/>
  <c r="AM73" i="179"/>
  <c r="G47" i="121"/>
  <c r="G49" i="121"/>
  <c r="H53" i="121"/>
  <c r="N53" i="121"/>
  <c r="K50" i="121"/>
  <c r="M50" i="121"/>
  <c r="P50" i="121"/>
  <c r="G23" i="121"/>
  <c r="J23" i="121"/>
  <c r="N23" i="121"/>
  <c r="P23" i="121"/>
  <c r="R23" i="121"/>
  <c r="F23" i="121"/>
  <c r="O23" i="121"/>
  <c r="Q606" i="24"/>
  <c r="Q607" i="24"/>
  <c r="Q608" i="24"/>
  <c r="Q609" i="24"/>
  <c r="P606" i="24"/>
  <c r="P607" i="24"/>
  <c r="P608" i="24"/>
  <c r="P609" i="24"/>
  <c r="E19" i="120"/>
  <c r="E38" i="120"/>
  <c r="E39" i="120"/>
  <c r="E47" i="120"/>
  <c r="E48" i="120"/>
  <c r="E49" i="120"/>
  <c r="E50" i="120"/>
  <c r="E51" i="120"/>
  <c r="E52" i="120"/>
  <c r="E53" i="120"/>
  <c r="E54" i="120"/>
  <c r="E55" i="120"/>
  <c r="C16" i="156"/>
  <c r="C15" i="156"/>
  <c r="AM61" i="179" l="1"/>
  <c r="H23" i="121"/>
  <c r="F51" i="121"/>
  <c r="O48" i="121"/>
  <c r="D15" i="173"/>
  <c r="D19" i="173"/>
  <c r="G50" i="121"/>
  <c r="J53" i="121"/>
  <c r="F49" i="121"/>
  <c r="G51" i="121"/>
  <c r="F50" i="121"/>
  <c r="I23" i="121"/>
  <c r="O609" i="24"/>
  <c r="O608" i="24"/>
  <c r="O607" i="24"/>
  <c r="L607" i="24" s="1"/>
  <c r="AQ1122" i="1" s="1"/>
  <c r="O606" i="24"/>
  <c r="D31" i="38"/>
  <c r="D36" i="38"/>
  <c r="D46" i="38"/>
  <c r="D48" i="38"/>
  <c r="D49" i="38"/>
  <c r="D50" i="38"/>
  <c r="D47" i="38"/>
  <c r="D51" i="38"/>
  <c r="D52" i="38"/>
  <c r="F16" i="39"/>
  <c r="F17" i="39"/>
  <c r="F41" i="39"/>
  <c r="F40" i="39"/>
  <c r="F47" i="39"/>
  <c r="F50" i="39"/>
  <c r="F51" i="39"/>
  <c r="F52" i="39"/>
  <c r="F12" i="39"/>
  <c r="G50" i="169"/>
  <c r="F44" i="169"/>
  <c r="G44" i="169" s="1"/>
  <c r="G43" i="169"/>
  <c r="H1119" i="168"/>
  <c r="G1119" i="168"/>
  <c r="F1119" i="168"/>
  <c r="H1118" i="168"/>
  <c r="G1118" i="168"/>
  <c r="F1118" i="168"/>
  <c r="H1117" i="168"/>
  <c r="G1117" i="168"/>
  <c r="F1117" i="168"/>
  <c r="H1116" i="168"/>
  <c r="G1116" i="168"/>
  <c r="F1116" i="168"/>
  <c r="H1115" i="168"/>
  <c r="G1115" i="168"/>
  <c r="F1115" i="168"/>
  <c r="H1114" i="168"/>
  <c r="G1114" i="168"/>
  <c r="F1114" i="168"/>
  <c r="H1113" i="168"/>
  <c r="G1113" i="168"/>
  <c r="F1113" i="168"/>
  <c r="H1112" i="168"/>
  <c r="G1112" i="168"/>
  <c r="F1112" i="168"/>
  <c r="H1111" i="168"/>
  <c r="G1111" i="168"/>
  <c r="F1111" i="168"/>
  <c r="H1110" i="168"/>
  <c r="G1110" i="168"/>
  <c r="F1110" i="168"/>
  <c r="H1109" i="168"/>
  <c r="G1109" i="168"/>
  <c r="F1109" i="168"/>
  <c r="H1108" i="168"/>
  <c r="G1108" i="168"/>
  <c r="F1108" i="168"/>
  <c r="H1107" i="168"/>
  <c r="G1107" i="168"/>
  <c r="F1107" i="168"/>
  <c r="H1106" i="168"/>
  <c r="G1106" i="168"/>
  <c r="F1106" i="168"/>
  <c r="H1105" i="168"/>
  <c r="G1105" i="168"/>
  <c r="F1105" i="168"/>
  <c r="H1104" i="168"/>
  <c r="G1104" i="168"/>
  <c r="F1104" i="168"/>
  <c r="H1103" i="168"/>
  <c r="G1103" i="168"/>
  <c r="F1103" i="168"/>
  <c r="H1102" i="168"/>
  <c r="G1102" i="168"/>
  <c r="F1102" i="168"/>
  <c r="H1101" i="168"/>
  <c r="G1101" i="168"/>
  <c r="F1101" i="168"/>
  <c r="H1100" i="168"/>
  <c r="G1100" i="168"/>
  <c r="F1100" i="168"/>
  <c r="H1099" i="168"/>
  <c r="G1099" i="168"/>
  <c r="F1099" i="168"/>
  <c r="H1098" i="168"/>
  <c r="G1098" i="168"/>
  <c r="F1098" i="168"/>
  <c r="H1097" i="168"/>
  <c r="G1097" i="168"/>
  <c r="F1097" i="168"/>
  <c r="H1096" i="168"/>
  <c r="G1096" i="168"/>
  <c r="F1096" i="168"/>
  <c r="H1095" i="168"/>
  <c r="G1095" i="168"/>
  <c r="F1095" i="168"/>
  <c r="H1094" i="168"/>
  <c r="G1094" i="168"/>
  <c r="F1094" i="168"/>
  <c r="H1093" i="168"/>
  <c r="G1093" i="168"/>
  <c r="F1093" i="168"/>
  <c r="H1092" i="168"/>
  <c r="G1092" i="168"/>
  <c r="F1092" i="168"/>
  <c r="H1091" i="168"/>
  <c r="G1091" i="168"/>
  <c r="F1091" i="168"/>
  <c r="H1090" i="168"/>
  <c r="G1090" i="168"/>
  <c r="F1090" i="168"/>
  <c r="H1089" i="168"/>
  <c r="G1089" i="168"/>
  <c r="F1089" i="168"/>
  <c r="H1088" i="168"/>
  <c r="G1088" i="168"/>
  <c r="F1088" i="168"/>
  <c r="H1087" i="168"/>
  <c r="G1087" i="168"/>
  <c r="F1087" i="168"/>
  <c r="H1086" i="168"/>
  <c r="G1086" i="168"/>
  <c r="F1086" i="168"/>
  <c r="H1085" i="168"/>
  <c r="G1085" i="168"/>
  <c r="F1085" i="168"/>
  <c r="H1084" i="168"/>
  <c r="G1084" i="168"/>
  <c r="F1084" i="168"/>
  <c r="H1083" i="168"/>
  <c r="G1083" i="168"/>
  <c r="F1083" i="168"/>
  <c r="H1081" i="168"/>
  <c r="G1081" i="168"/>
  <c r="F1081" i="168"/>
  <c r="H1080" i="168"/>
  <c r="G1080" i="168"/>
  <c r="F1080" i="168"/>
  <c r="H1079" i="168"/>
  <c r="G1079" i="168"/>
  <c r="F1079" i="168"/>
  <c r="H1078" i="168"/>
  <c r="G1078" i="168"/>
  <c r="F1078" i="168"/>
  <c r="H1077" i="168"/>
  <c r="G1077" i="168"/>
  <c r="F1077" i="168"/>
  <c r="H1076" i="168"/>
  <c r="G1076" i="168"/>
  <c r="F1076" i="168"/>
  <c r="H1075" i="168"/>
  <c r="G1075" i="168"/>
  <c r="F1075" i="168"/>
  <c r="H1074" i="168"/>
  <c r="G1074" i="168"/>
  <c r="F1074" i="168"/>
  <c r="H1073" i="168"/>
  <c r="G1073" i="168"/>
  <c r="F1073" i="168"/>
  <c r="H1072" i="168"/>
  <c r="G1072" i="168"/>
  <c r="F1072" i="168"/>
  <c r="H1060" i="168"/>
  <c r="G1060" i="168"/>
  <c r="F1060" i="168"/>
  <c r="H1059" i="168"/>
  <c r="G1059" i="168"/>
  <c r="F1059" i="168"/>
  <c r="H1058" i="168"/>
  <c r="G1058" i="168"/>
  <c r="F1058" i="168"/>
  <c r="H1057" i="168"/>
  <c r="G1057" i="168"/>
  <c r="F1057" i="168"/>
  <c r="H1056" i="168"/>
  <c r="G1056" i="168"/>
  <c r="F1056" i="168"/>
  <c r="H1055" i="168"/>
  <c r="G1055" i="168"/>
  <c r="F1055" i="168"/>
  <c r="H1054" i="168"/>
  <c r="G1054" i="168"/>
  <c r="F1054" i="168"/>
  <c r="H1053" i="168"/>
  <c r="G1053" i="168"/>
  <c r="F1053" i="168"/>
  <c r="H1052" i="168"/>
  <c r="G1052" i="168"/>
  <c r="F1052" i="168"/>
  <c r="H1051" i="168"/>
  <c r="G1051" i="168"/>
  <c r="F1051" i="168"/>
  <c r="H1050" i="168"/>
  <c r="G1050" i="168"/>
  <c r="F1050" i="168"/>
  <c r="H1049" i="168"/>
  <c r="G1049" i="168"/>
  <c r="F1049" i="168"/>
  <c r="H1048" i="168"/>
  <c r="G1048" i="168"/>
  <c r="F1048" i="168"/>
  <c r="H1047" i="168"/>
  <c r="G1047" i="168"/>
  <c r="F1047" i="168"/>
  <c r="H1046" i="168"/>
  <c r="G1046" i="168"/>
  <c r="F1046" i="168"/>
  <c r="H1045" i="168"/>
  <c r="G1045" i="168"/>
  <c r="F1045" i="168"/>
  <c r="H1044" i="168"/>
  <c r="G1044" i="168"/>
  <c r="F1044" i="168"/>
  <c r="H1043" i="168"/>
  <c r="G1043" i="168"/>
  <c r="F1043" i="168"/>
  <c r="H1042" i="168"/>
  <c r="G1042" i="168"/>
  <c r="F1042" i="168"/>
  <c r="H1041" i="168"/>
  <c r="G1041" i="168"/>
  <c r="F1041" i="168"/>
  <c r="H1040" i="168"/>
  <c r="G1040" i="168"/>
  <c r="F1040" i="168"/>
  <c r="H1039" i="168"/>
  <c r="G1039" i="168"/>
  <c r="F1039" i="168"/>
  <c r="H1038" i="168"/>
  <c r="G1038" i="168"/>
  <c r="F1038" i="168"/>
  <c r="H1037" i="168"/>
  <c r="G1037" i="168"/>
  <c r="F1037" i="168"/>
  <c r="H1036" i="168"/>
  <c r="G1036" i="168"/>
  <c r="F1036" i="168"/>
  <c r="H1035" i="168"/>
  <c r="G1035" i="168"/>
  <c r="F1035" i="168"/>
  <c r="H1034" i="168"/>
  <c r="G1034" i="168"/>
  <c r="F1034" i="168"/>
  <c r="H1033" i="168"/>
  <c r="G1033" i="168"/>
  <c r="F1033" i="168"/>
  <c r="H1032" i="168"/>
  <c r="G1032" i="168"/>
  <c r="F1032" i="168"/>
  <c r="H1031" i="168"/>
  <c r="G1031" i="168"/>
  <c r="F1031" i="168"/>
  <c r="H1030" i="168"/>
  <c r="G1030" i="168"/>
  <c r="F1030" i="168"/>
  <c r="H1029" i="168"/>
  <c r="G1029" i="168"/>
  <c r="F1029" i="168"/>
  <c r="H1028" i="168"/>
  <c r="G1028" i="168"/>
  <c r="F1028" i="168"/>
  <c r="H1027" i="168"/>
  <c r="G1027" i="168"/>
  <c r="F1027" i="168"/>
  <c r="H1026" i="168"/>
  <c r="G1026" i="168"/>
  <c r="F1026" i="168"/>
  <c r="H1025" i="168"/>
  <c r="G1025" i="168"/>
  <c r="F1025" i="168"/>
  <c r="H1024" i="168"/>
  <c r="G1024" i="168"/>
  <c r="F1024" i="168"/>
  <c r="H1023" i="168"/>
  <c r="G1023" i="168"/>
  <c r="F1023" i="168"/>
  <c r="H1022" i="168"/>
  <c r="G1022" i="168"/>
  <c r="F1022" i="168"/>
  <c r="H1021" i="168"/>
  <c r="G1021" i="168"/>
  <c r="F1021" i="168"/>
  <c r="H1020" i="168"/>
  <c r="G1020" i="168"/>
  <c r="F1020" i="168"/>
  <c r="H1019" i="168"/>
  <c r="G1019" i="168"/>
  <c r="F1019" i="168"/>
  <c r="H1018" i="168"/>
  <c r="G1018" i="168"/>
  <c r="F1018" i="168"/>
  <c r="H1017" i="168"/>
  <c r="G1017" i="168"/>
  <c r="F1017" i="168"/>
  <c r="H1016" i="168"/>
  <c r="G1016" i="168"/>
  <c r="F1016" i="168"/>
  <c r="H1015" i="168"/>
  <c r="G1015" i="168"/>
  <c r="F1015" i="168"/>
  <c r="H1014" i="168"/>
  <c r="G1014" i="168"/>
  <c r="F1014" i="168"/>
  <c r="H1013" i="168"/>
  <c r="G1013" i="168"/>
  <c r="F1013" i="168"/>
  <c r="H1012" i="168"/>
  <c r="G1012" i="168"/>
  <c r="F1012" i="168"/>
  <c r="H1011" i="168"/>
  <c r="G1011" i="168"/>
  <c r="F1011" i="168"/>
  <c r="H1010" i="168"/>
  <c r="G1010" i="168"/>
  <c r="F1010" i="168"/>
  <c r="H1009" i="168"/>
  <c r="G1009" i="168"/>
  <c r="F1009" i="168"/>
  <c r="H1008" i="168"/>
  <c r="G1008" i="168"/>
  <c r="F1008" i="168"/>
  <c r="H1007" i="168"/>
  <c r="G1007" i="168"/>
  <c r="F1007" i="168"/>
  <c r="H1006" i="168"/>
  <c r="G1006" i="168"/>
  <c r="F1006" i="168"/>
  <c r="H1005" i="168"/>
  <c r="G1005" i="168"/>
  <c r="F1005" i="168"/>
  <c r="H1004" i="168"/>
  <c r="G1004" i="168"/>
  <c r="F1004" i="168"/>
  <c r="H1003" i="168"/>
  <c r="G1003" i="168"/>
  <c r="F1003" i="168"/>
  <c r="H1002" i="168"/>
  <c r="G1002" i="168"/>
  <c r="F1002" i="168"/>
  <c r="H1001" i="168"/>
  <c r="G1001" i="168"/>
  <c r="F1001" i="168"/>
  <c r="H1000" i="168"/>
  <c r="G1000" i="168"/>
  <c r="F1000" i="168"/>
  <c r="H999" i="168"/>
  <c r="G999" i="168"/>
  <c r="F999" i="168"/>
  <c r="H998" i="168"/>
  <c r="G998" i="168"/>
  <c r="F998" i="168"/>
  <c r="H997" i="168"/>
  <c r="G997" i="168"/>
  <c r="F997" i="168"/>
  <c r="H996" i="168"/>
  <c r="G996" i="168"/>
  <c r="F996" i="168"/>
  <c r="H995" i="168"/>
  <c r="G995" i="168"/>
  <c r="F995" i="168"/>
  <c r="H994" i="168"/>
  <c r="G994" i="168"/>
  <c r="F994" i="168"/>
  <c r="H993" i="168"/>
  <c r="G993" i="168"/>
  <c r="F993" i="168"/>
  <c r="H992" i="168"/>
  <c r="G992" i="168"/>
  <c r="F992" i="168"/>
  <c r="H980" i="168"/>
  <c r="G980" i="168"/>
  <c r="F980" i="168"/>
  <c r="H979" i="168"/>
  <c r="G979" i="168"/>
  <c r="F979" i="168"/>
  <c r="H978" i="168"/>
  <c r="G978" i="168"/>
  <c r="F978" i="168"/>
  <c r="H977" i="168"/>
  <c r="G977" i="168"/>
  <c r="F977" i="168"/>
  <c r="H976" i="168"/>
  <c r="G976" i="168"/>
  <c r="F976" i="168"/>
  <c r="H975" i="168"/>
  <c r="G975" i="168"/>
  <c r="F975" i="168"/>
  <c r="H974" i="168"/>
  <c r="G974" i="168"/>
  <c r="F974" i="168"/>
  <c r="H973" i="168"/>
  <c r="G973" i="168"/>
  <c r="F973" i="168"/>
  <c r="H972" i="168"/>
  <c r="G972" i="168"/>
  <c r="F972" i="168"/>
  <c r="H971" i="168"/>
  <c r="G971" i="168"/>
  <c r="F971" i="168"/>
  <c r="H970" i="168"/>
  <c r="G970" i="168"/>
  <c r="F970" i="168"/>
  <c r="H969" i="168"/>
  <c r="G969" i="168"/>
  <c r="F969" i="168"/>
  <c r="H968" i="168"/>
  <c r="G968" i="168"/>
  <c r="F968" i="168"/>
  <c r="H967" i="168"/>
  <c r="G967" i="168"/>
  <c r="F967" i="168"/>
  <c r="H966" i="168"/>
  <c r="G966" i="168"/>
  <c r="F966" i="168"/>
  <c r="H965" i="168"/>
  <c r="G965" i="168"/>
  <c r="F965" i="168"/>
  <c r="H964" i="168"/>
  <c r="G964" i="168"/>
  <c r="F964" i="168"/>
  <c r="H963" i="168"/>
  <c r="G963" i="168"/>
  <c r="F963" i="168"/>
  <c r="H962" i="168"/>
  <c r="G962" i="168"/>
  <c r="F962" i="168"/>
  <c r="H961" i="168"/>
  <c r="G961" i="168"/>
  <c r="F961" i="168"/>
  <c r="H960" i="168"/>
  <c r="G960" i="168"/>
  <c r="F960" i="168"/>
  <c r="H959" i="168"/>
  <c r="G959" i="168"/>
  <c r="F959" i="168"/>
  <c r="H958" i="168"/>
  <c r="G958" i="168"/>
  <c r="F958" i="168"/>
  <c r="H957" i="168"/>
  <c r="G957" i="168"/>
  <c r="F957" i="168"/>
  <c r="H956" i="168"/>
  <c r="G956" i="168"/>
  <c r="F956" i="168"/>
  <c r="H955" i="168"/>
  <c r="G955" i="168"/>
  <c r="F955" i="168"/>
  <c r="H954" i="168"/>
  <c r="G954" i="168"/>
  <c r="F954" i="168"/>
  <c r="H953" i="168"/>
  <c r="G953" i="168"/>
  <c r="F953" i="168"/>
  <c r="H952" i="168"/>
  <c r="G952" i="168"/>
  <c r="F952" i="168"/>
  <c r="H951" i="168"/>
  <c r="G951" i="168"/>
  <c r="F951" i="168"/>
  <c r="H950" i="168"/>
  <c r="G950" i="168"/>
  <c r="F950" i="168"/>
  <c r="H949" i="168"/>
  <c r="G949" i="168"/>
  <c r="F949" i="168"/>
  <c r="H948" i="168"/>
  <c r="G948" i="168"/>
  <c r="F948" i="168"/>
  <c r="H947" i="168"/>
  <c r="G947" i="168"/>
  <c r="F947" i="168"/>
  <c r="H946" i="168"/>
  <c r="G946" i="168"/>
  <c r="F946" i="168"/>
  <c r="H945" i="168"/>
  <c r="G945" i="168"/>
  <c r="F945" i="168"/>
  <c r="H944" i="168"/>
  <c r="G944" i="168"/>
  <c r="F944" i="168"/>
  <c r="H943" i="168"/>
  <c r="G943" i="168"/>
  <c r="F943" i="168"/>
  <c r="H942" i="168"/>
  <c r="G942" i="168"/>
  <c r="F942" i="168"/>
  <c r="H932" i="168"/>
  <c r="G932" i="168"/>
  <c r="F932" i="168"/>
  <c r="H931" i="168"/>
  <c r="G931" i="168"/>
  <c r="F931" i="168"/>
  <c r="H930" i="168"/>
  <c r="G930" i="168"/>
  <c r="F930" i="168"/>
  <c r="H929" i="168"/>
  <c r="G929" i="168"/>
  <c r="F929" i="168"/>
  <c r="H928" i="168"/>
  <c r="G928" i="168"/>
  <c r="F928" i="168"/>
  <c r="H927" i="168"/>
  <c r="G927" i="168"/>
  <c r="F927" i="168"/>
  <c r="H926" i="168"/>
  <c r="G926" i="168"/>
  <c r="F926" i="168"/>
  <c r="H925" i="168"/>
  <c r="G925" i="168"/>
  <c r="F925" i="168"/>
  <c r="H924" i="168"/>
  <c r="G924" i="168"/>
  <c r="F924" i="168"/>
  <c r="H923" i="168"/>
  <c r="G923" i="168"/>
  <c r="F923" i="168"/>
  <c r="H922" i="168"/>
  <c r="G922" i="168"/>
  <c r="F922" i="168"/>
  <c r="H921" i="168"/>
  <c r="G921" i="168"/>
  <c r="F921" i="168"/>
  <c r="H920" i="168"/>
  <c r="G920" i="168"/>
  <c r="F920" i="168"/>
  <c r="H919" i="168"/>
  <c r="G919" i="168"/>
  <c r="F919" i="168"/>
  <c r="H918" i="168"/>
  <c r="G918" i="168"/>
  <c r="F918" i="168"/>
  <c r="H917" i="168"/>
  <c r="G917" i="168"/>
  <c r="F917" i="168"/>
  <c r="H916" i="168"/>
  <c r="G916" i="168"/>
  <c r="F916" i="168"/>
  <c r="H915" i="168"/>
  <c r="G915" i="168"/>
  <c r="F915" i="168"/>
  <c r="H914" i="168"/>
  <c r="G914" i="168"/>
  <c r="F914" i="168"/>
  <c r="H913" i="168"/>
  <c r="G913" i="168"/>
  <c r="F913" i="168"/>
  <c r="H912" i="168"/>
  <c r="G912" i="168"/>
  <c r="F912" i="168"/>
  <c r="H911" i="168"/>
  <c r="G911" i="168"/>
  <c r="F911" i="168"/>
  <c r="H910" i="168"/>
  <c r="G910" i="168"/>
  <c r="F910" i="168"/>
  <c r="H909" i="168"/>
  <c r="G909" i="168"/>
  <c r="F909" i="168"/>
  <c r="H908" i="168"/>
  <c r="G908" i="168"/>
  <c r="F908" i="168"/>
  <c r="H907" i="168"/>
  <c r="G907" i="168"/>
  <c r="F907" i="168"/>
  <c r="H906" i="168"/>
  <c r="G906" i="168"/>
  <c r="F906" i="168"/>
  <c r="H905" i="168"/>
  <c r="G905" i="168"/>
  <c r="F905" i="168"/>
  <c r="H904" i="168"/>
  <c r="G904" i="168"/>
  <c r="F904" i="168"/>
  <c r="H903" i="168"/>
  <c r="G903" i="168"/>
  <c r="F903" i="168"/>
  <c r="H902" i="168"/>
  <c r="G902" i="168"/>
  <c r="F902" i="168"/>
  <c r="H901" i="168"/>
  <c r="G901" i="168"/>
  <c r="F901" i="168"/>
  <c r="H900" i="168"/>
  <c r="G900" i="168"/>
  <c r="F900" i="168"/>
  <c r="H899" i="168"/>
  <c r="G899" i="168"/>
  <c r="F899" i="168"/>
  <c r="H898" i="168"/>
  <c r="G898" i="168"/>
  <c r="F898" i="168"/>
  <c r="H887" i="168"/>
  <c r="G887" i="168"/>
  <c r="F887" i="168"/>
  <c r="H886" i="168"/>
  <c r="G886" i="168"/>
  <c r="F886" i="168"/>
  <c r="H885" i="168"/>
  <c r="G885" i="168"/>
  <c r="F885" i="168"/>
  <c r="H884" i="168"/>
  <c r="G884" i="168"/>
  <c r="F884" i="168"/>
  <c r="H883" i="168"/>
  <c r="G883" i="168"/>
  <c r="F883" i="168"/>
  <c r="H882" i="168"/>
  <c r="G882" i="168"/>
  <c r="F882" i="168"/>
  <c r="H881" i="168"/>
  <c r="G881" i="168"/>
  <c r="F881" i="168"/>
  <c r="H880" i="168"/>
  <c r="G880" i="168"/>
  <c r="F880" i="168"/>
  <c r="H879" i="168"/>
  <c r="G879" i="168"/>
  <c r="F879" i="168"/>
  <c r="H878" i="168"/>
  <c r="G878" i="168"/>
  <c r="F878" i="168"/>
  <c r="H877" i="168"/>
  <c r="G877" i="168"/>
  <c r="F877" i="168"/>
  <c r="H876" i="168"/>
  <c r="G876" i="168"/>
  <c r="F876" i="168"/>
  <c r="H875" i="168"/>
  <c r="G875" i="168"/>
  <c r="F875" i="168"/>
  <c r="H874" i="168"/>
  <c r="G874" i="168"/>
  <c r="F874" i="168"/>
  <c r="H873" i="168"/>
  <c r="G873" i="168"/>
  <c r="F873" i="168"/>
  <c r="H872" i="168"/>
  <c r="G872" i="168"/>
  <c r="F872" i="168"/>
  <c r="H871" i="168"/>
  <c r="G871" i="168"/>
  <c r="F871" i="168"/>
  <c r="H870" i="168"/>
  <c r="G870" i="168"/>
  <c r="F870" i="168"/>
  <c r="H869" i="168"/>
  <c r="G869" i="168"/>
  <c r="F869" i="168"/>
  <c r="H868" i="168"/>
  <c r="G868" i="168"/>
  <c r="F868" i="168"/>
  <c r="H867" i="168"/>
  <c r="G867" i="168"/>
  <c r="F867" i="168"/>
  <c r="H866" i="168"/>
  <c r="G866" i="168"/>
  <c r="F866" i="168"/>
  <c r="H865" i="168"/>
  <c r="G865" i="168"/>
  <c r="F865" i="168"/>
  <c r="H864" i="168"/>
  <c r="G864" i="168"/>
  <c r="F864" i="168"/>
  <c r="H863" i="168"/>
  <c r="G863" i="168"/>
  <c r="F863" i="168"/>
  <c r="H862" i="168"/>
  <c r="G862" i="168"/>
  <c r="F862" i="168"/>
  <c r="H861" i="168"/>
  <c r="G861" i="168"/>
  <c r="F861" i="168"/>
  <c r="H860" i="168"/>
  <c r="G860" i="168"/>
  <c r="F860" i="168"/>
  <c r="H859" i="168"/>
  <c r="G859" i="168"/>
  <c r="F859" i="168"/>
  <c r="H858" i="168"/>
  <c r="G858" i="168"/>
  <c r="F858" i="168"/>
  <c r="H857" i="168"/>
  <c r="G857" i="168"/>
  <c r="F857" i="168"/>
  <c r="H856" i="168"/>
  <c r="G856" i="168"/>
  <c r="F856" i="168"/>
  <c r="H855" i="168"/>
  <c r="G855" i="168"/>
  <c r="F855" i="168"/>
  <c r="H854" i="168"/>
  <c r="G854" i="168"/>
  <c r="F854" i="168"/>
  <c r="H853" i="168"/>
  <c r="G853" i="168"/>
  <c r="F853" i="168"/>
  <c r="H852" i="168"/>
  <c r="G852" i="168"/>
  <c r="F852" i="168"/>
  <c r="H851" i="168"/>
  <c r="G851" i="168"/>
  <c r="F851" i="168"/>
  <c r="H850" i="168"/>
  <c r="G850" i="168"/>
  <c r="F850" i="168"/>
  <c r="H849" i="168"/>
  <c r="G849" i="168"/>
  <c r="F849" i="168"/>
  <c r="H848" i="168"/>
  <c r="G848" i="168"/>
  <c r="F848" i="168"/>
  <c r="H847" i="168"/>
  <c r="G847" i="168"/>
  <c r="F847" i="168"/>
  <c r="H835" i="168"/>
  <c r="G835" i="168"/>
  <c r="F835" i="168"/>
  <c r="H834" i="168"/>
  <c r="G834" i="168"/>
  <c r="F834" i="168"/>
  <c r="H833" i="168"/>
  <c r="G833" i="168"/>
  <c r="F833" i="168"/>
  <c r="H832" i="168"/>
  <c r="G832" i="168"/>
  <c r="F832" i="168"/>
  <c r="H831" i="168"/>
  <c r="G831" i="168"/>
  <c r="F831" i="168"/>
  <c r="H830" i="168"/>
  <c r="G830" i="168"/>
  <c r="F830" i="168"/>
  <c r="H829" i="168"/>
  <c r="G829" i="168"/>
  <c r="F829" i="168"/>
  <c r="H828" i="168"/>
  <c r="G828" i="168"/>
  <c r="F828" i="168"/>
  <c r="H827" i="168"/>
  <c r="G827" i="168"/>
  <c r="F827" i="168"/>
  <c r="H826" i="168"/>
  <c r="G826" i="168"/>
  <c r="F826" i="168"/>
  <c r="H825" i="168"/>
  <c r="G825" i="168"/>
  <c r="F825" i="168"/>
  <c r="H824" i="168"/>
  <c r="G824" i="168"/>
  <c r="F824" i="168"/>
  <c r="H823" i="168"/>
  <c r="G823" i="168"/>
  <c r="F823" i="168"/>
  <c r="H822" i="168"/>
  <c r="G822" i="168"/>
  <c r="F822" i="168"/>
  <c r="H821" i="168"/>
  <c r="G821" i="168"/>
  <c r="F821" i="168"/>
  <c r="H820" i="168"/>
  <c r="G820" i="168"/>
  <c r="F820" i="168"/>
  <c r="H819" i="168"/>
  <c r="G819" i="168"/>
  <c r="F819" i="168"/>
  <c r="H818" i="168"/>
  <c r="G818" i="168"/>
  <c r="F818" i="168"/>
  <c r="H817" i="168"/>
  <c r="G817" i="168"/>
  <c r="F817" i="168"/>
  <c r="H816" i="168"/>
  <c r="G816" i="168"/>
  <c r="F816" i="168"/>
  <c r="H815" i="168"/>
  <c r="G815" i="168"/>
  <c r="F815" i="168"/>
  <c r="H814" i="168"/>
  <c r="G814" i="168"/>
  <c r="F814" i="168"/>
  <c r="H813" i="168"/>
  <c r="G813" i="168"/>
  <c r="F813" i="168"/>
  <c r="H812" i="168"/>
  <c r="G812" i="168"/>
  <c r="F812" i="168"/>
  <c r="H811" i="168"/>
  <c r="G811" i="168"/>
  <c r="F811" i="168"/>
  <c r="H810" i="168"/>
  <c r="G810" i="168"/>
  <c r="F810" i="168"/>
  <c r="H809" i="168"/>
  <c r="G809" i="168"/>
  <c r="F809" i="168"/>
  <c r="H808" i="168"/>
  <c r="G808" i="168"/>
  <c r="F808" i="168"/>
  <c r="H807" i="168"/>
  <c r="G807" i="168"/>
  <c r="F807" i="168"/>
  <c r="H806" i="168"/>
  <c r="G806" i="168"/>
  <c r="F806" i="168"/>
  <c r="H805" i="168"/>
  <c r="G805" i="168"/>
  <c r="F805" i="168"/>
  <c r="H804" i="168"/>
  <c r="G804" i="168"/>
  <c r="F804" i="168"/>
  <c r="H803" i="168"/>
  <c r="G803" i="168"/>
  <c r="F803" i="168"/>
  <c r="H802" i="168"/>
  <c r="G802" i="168"/>
  <c r="F802" i="168"/>
  <c r="H801" i="168"/>
  <c r="G801" i="168"/>
  <c r="F801" i="168"/>
  <c r="H800" i="168"/>
  <c r="G800" i="168"/>
  <c r="F800" i="168"/>
  <c r="H799" i="168"/>
  <c r="G799" i="168"/>
  <c r="F799" i="168"/>
  <c r="H798" i="168"/>
  <c r="G798" i="168"/>
  <c r="F798" i="168"/>
  <c r="H797" i="168"/>
  <c r="G797" i="168"/>
  <c r="F797" i="168"/>
  <c r="H796" i="168"/>
  <c r="G796" i="168"/>
  <c r="F796" i="168"/>
  <c r="H795" i="168"/>
  <c r="G795" i="168"/>
  <c r="F795" i="168"/>
  <c r="H794" i="168"/>
  <c r="G794" i="168"/>
  <c r="F794" i="168"/>
  <c r="H793" i="168"/>
  <c r="G793" i="168"/>
  <c r="F793" i="168"/>
  <c r="H792" i="168"/>
  <c r="G792" i="168"/>
  <c r="F792" i="168"/>
  <c r="H791" i="168"/>
  <c r="G791" i="168"/>
  <c r="F791" i="168"/>
  <c r="H789" i="168"/>
  <c r="G789" i="168"/>
  <c r="F789" i="168"/>
  <c r="H788" i="168"/>
  <c r="G788" i="168"/>
  <c r="F788" i="168"/>
  <c r="H787" i="168"/>
  <c r="G787" i="168"/>
  <c r="F787" i="168"/>
  <c r="H786" i="168"/>
  <c r="G786" i="168"/>
  <c r="F786" i="168"/>
  <c r="H785" i="168"/>
  <c r="G785" i="168"/>
  <c r="F785" i="168"/>
  <c r="H784" i="168"/>
  <c r="G784" i="168"/>
  <c r="F784" i="168"/>
  <c r="H783" i="168"/>
  <c r="G783" i="168"/>
  <c r="F783" i="168"/>
  <c r="H782" i="168"/>
  <c r="G782" i="168"/>
  <c r="F782" i="168"/>
  <c r="H781" i="168"/>
  <c r="G781" i="168"/>
  <c r="F781" i="168"/>
  <c r="H780" i="168"/>
  <c r="G780" i="168"/>
  <c r="F780" i="168"/>
  <c r="H779" i="168"/>
  <c r="G779" i="168"/>
  <c r="F779" i="168"/>
  <c r="H778" i="168"/>
  <c r="G778" i="168"/>
  <c r="F778" i="168"/>
  <c r="H777" i="168"/>
  <c r="G777" i="168"/>
  <c r="F777" i="168"/>
  <c r="H776" i="168"/>
  <c r="G776" i="168"/>
  <c r="F776" i="168"/>
  <c r="H775" i="168"/>
  <c r="G775" i="168"/>
  <c r="F775" i="168"/>
  <c r="H774" i="168"/>
  <c r="G774" i="168"/>
  <c r="F774" i="168"/>
  <c r="H773" i="168"/>
  <c r="G773" i="168"/>
  <c r="F773" i="168"/>
  <c r="H764" i="168"/>
  <c r="G764" i="168"/>
  <c r="F764" i="168"/>
  <c r="H763" i="168"/>
  <c r="G763" i="168"/>
  <c r="F763" i="168"/>
  <c r="H762" i="168"/>
  <c r="G762" i="168"/>
  <c r="F762" i="168"/>
  <c r="H761" i="168"/>
  <c r="G761" i="168"/>
  <c r="F761" i="168"/>
  <c r="H760" i="168"/>
  <c r="G760" i="168"/>
  <c r="F760" i="168"/>
  <c r="H759" i="168"/>
  <c r="G759" i="168"/>
  <c r="F759" i="168"/>
  <c r="H758" i="168"/>
  <c r="G758" i="168"/>
  <c r="F758" i="168"/>
  <c r="H757" i="168"/>
  <c r="G757" i="168"/>
  <c r="F757" i="168"/>
  <c r="H756" i="168"/>
  <c r="G756" i="168"/>
  <c r="F756" i="168"/>
  <c r="H755" i="168"/>
  <c r="G755" i="168"/>
  <c r="F755" i="168"/>
  <c r="H754" i="168"/>
  <c r="G754" i="168"/>
  <c r="F754" i="168"/>
  <c r="H753" i="168"/>
  <c r="G753" i="168"/>
  <c r="F753" i="168"/>
  <c r="H752" i="168"/>
  <c r="G752" i="168"/>
  <c r="F752" i="168"/>
  <c r="H751" i="168"/>
  <c r="G751" i="168"/>
  <c r="F751" i="168"/>
  <c r="H750" i="168"/>
  <c r="G750" i="168"/>
  <c r="F750" i="168"/>
  <c r="H749" i="168"/>
  <c r="G749" i="168"/>
  <c r="F749" i="168"/>
  <c r="H748" i="168"/>
  <c r="G748" i="168"/>
  <c r="F748" i="168"/>
  <c r="H747" i="168"/>
  <c r="G747" i="168"/>
  <c r="F747" i="168"/>
  <c r="H746" i="168"/>
  <c r="G746" i="168"/>
  <c r="F746" i="168"/>
  <c r="H745" i="168"/>
  <c r="G745" i="168"/>
  <c r="F745" i="168"/>
  <c r="H744" i="168"/>
  <c r="G744" i="168"/>
  <c r="F744" i="168"/>
  <c r="H743" i="168"/>
  <c r="G743" i="168"/>
  <c r="F743" i="168"/>
  <c r="H742" i="168"/>
  <c r="G742" i="168"/>
  <c r="F742" i="168"/>
  <c r="H741" i="168"/>
  <c r="G741" i="168"/>
  <c r="F741" i="168"/>
  <c r="H740" i="168"/>
  <c r="G740" i="168"/>
  <c r="F740" i="168"/>
  <c r="H739" i="168"/>
  <c r="G739" i="168"/>
  <c r="F739" i="168"/>
  <c r="H738" i="168"/>
  <c r="G738" i="168"/>
  <c r="F738" i="168"/>
  <c r="H737" i="168"/>
  <c r="G737" i="168"/>
  <c r="F737" i="168"/>
  <c r="H736" i="168"/>
  <c r="G736" i="168"/>
  <c r="F736" i="168"/>
  <c r="H735" i="168"/>
  <c r="G735" i="168"/>
  <c r="F735" i="168"/>
  <c r="H734" i="168"/>
  <c r="G734" i="168"/>
  <c r="F734" i="168"/>
  <c r="H733" i="168"/>
  <c r="G733" i="168"/>
  <c r="F733" i="168"/>
  <c r="H732" i="168"/>
  <c r="G732" i="168"/>
  <c r="F732" i="168"/>
  <c r="H726" i="168"/>
  <c r="G726" i="168"/>
  <c r="F726" i="168"/>
  <c r="H725" i="168"/>
  <c r="G725" i="168"/>
  <c r="F725" i="168"/>
  <c r="H724" i="168"/>
  <c r="G724" i="168"/>
  <c r="F724" i="168"/>
  <c r="H723" i="168"/>
  <c r="G723" i="168"/>
  <c r="F723" i="168"/>
  <c r="H722" i="168"/>
  <c r="G722" i="168"/>
  <c r="F722" i="168"/>
  <c r="H721" i="168"/>
  <c r="G721" i="168"/>
  <c r="F721" i="168"/>
  <c r="H720" i="168"/>
  <c r="G720" i="168"/>
  <c r="F720" i="168"/>
  <c r="H719" i="168"/>
  <c r="G719" i="168"/>
  <c r="F719" i="168"/>
  <c r="H718" i="168"/>
  <c r="G718" i="168"/>
  <c r="F718" i="168"/>
  <c r="H717" i="168"/>
  <c r="G717" i="168"/>
  <c r="F717" i="168"/>
  <c r="H716" i="168"/>
  <c r="G716" i="168"/>
  <c r="F716" i="168"/>
  <c r="H715" i="168"/>
  <c r="G715" i="168"/>
  <c r="F715" i="168"/>
  <c r="H714" i="168"/>
  <c r="G714" i="168"/>
  <c r="F714" i="168"/>
  <c r="H713" i="168"/>
  <c r="G713" i="168"/>
  <c r="F713" i="168"/>
  <c r="H712" i="168"/>
  <c r="G712" i="168"/>
  <c r="F712" i="168"/>
  <c r="H711" i="168"/>
  <c r="G711" i="168"/>
  <c r="F711" i="168"/>
  <c r="H710" i="168"/>
  <c r="G710" i="168"/>
  <c r="F710" i="168"/>
  <c r="H709" i="168"/>
  <c r="G709" i="168"/>
  <c r="F709" i="168"/>
  <c r="H708" i="168"/>
  <c r="G708" i="168"/>
  <c r="F708" i="168"/>
  <c r="H707" i="168"/>
  <c r="G707" i="168"/>
  <c r="F707" i="168"/>
  <c r="H706" i="168"/>
  <c r="G706" i="168"/>
  <c r="F706" i="168"/>
  <c r="H705" i="168"/>
  <c r="G705" i="168"/>
  <c r="F705" i="168"/>
  <c r="H704" i="168"/>
  <c r="G704" i="168"/>
  <c r="F704" i="168"/>
  <c r="H703" i="168"/>
  <c r="G703" i="168"/>
  <c r="F703" i="168"/>
  <c r="H702" i="168"/>
  <c r="G702" i="168"/>
  <c r="F702" i="168"/>
  <c r="H701" i="168"/>
  <c r="G701" i="168"/>
  <c r="F701" i="168"/>
  <c r="H700" i="168"/>
  <c r="G700" i="168"/>
  <c r="F700" i="168"/>
  <c r="H699" i="168"/>
  <c r="G699" i="168"/>
  <c r="F699" i="168"/>
  <c r="H698" i="168"/>
  <c r="G698" i="168"/>
  <c r="F698" i="168"/>
  <c r="H697" i="168"/>
  <c r="G697" i="168"/>
  <c r="F697" i="168"/>
  <c r="H696" i="168"/>
  <c r="G696" i="168"/>
  <c r="F696" i="168"/>
  <c r="H695" i="168"/>
  <c r="G695" i="168"/>
  <c r="F695" i="168"/>
  <c r="H694" i="168"/>
  <c r="G694" i="168"/>
  <c r="F694" i="168"/>
  <c r="H692" i="168"/>
  <c r="G692" i="168"/>
  <c r="F692" i="168"/>
  <c r="H691" i="168"/>
  <c r="G691" i="168"/>
  <c r="F691" i="168"/>
  <c r="H690" i="168"/>
  <c r="G690" i="168"/>
  <c r="F690" i="168"/>
  <c r="H689" i="168"/>
  <c r="G689" i="168"/>
  <c r="F689" i="168"/>
  <c r="H688" i="168"/>
  <c r="G688" i="168"/>
  <c r="F688" i="168"/>
  <c r="H687" i="168"/>
  <c r="G687" i="168"/>
  <c r="F687" i="168"/>
  <c r="H686" i="168"/>
  <c r="G686" i="168"/>
  <c r="F686" i="168"/>
  <c r="H685" i="168"/>
  <c r="G685" i="168"/>
  <c r="F685" i="168"/>
  <c r="H684" i="168"/>
  <c r="G684" i="168"/>
  <c r="F684" i="168"/>
  <c r="H683" i="168"/>
  <c r="G683" i="168"/>
  <c r="F683" i="168"/>
  <c r="H681" i="168"/>
  <c r="G681" i="168"/>
  <c r="F681" i="168"/>
  <c r="H680" i="168"/>
  <c r="G680" i="168"/>
  <c r="F680" i="168"/>
  <c r="H679" i="168"/>
  <c r="G679" i="168"/>
  <c r="F679" i="168"/>
  <c r="H678" i="168"/>
  <c r="G678" i="168"/>
  <c r="F678" i="168"/>
  <c r="H677" i="168"/>
  <c r="G677" i="168"/>
  <c r="F677" i="168"/>
  <c r="H676" i="168"/>
  <c r="G676" i="168"/>
  <c r="F676" i="168"/>
  <c r="H675" i="168"/>
  <c r="G675" i="168"/>
  <c r="F675" i="168"/>
  <c r="H674" i="168"/>
  <c r="G674" i="168"/>
  <c r="F674" i="168"/>
  <c r="H673" i="168"/>
  <c r="G673" i="168"/>
  <c r="F673" i="168"/>
  <c r="H672" i="168"/>
  <c r="G672" i="168"/>
  <c r="F672" i="168"/>
  <c r="H671" i="168"/>
  <c r="G671" i="168"/>
  <c r="F671" i="168"/>
  <c r="H670" i="168"/>
  <c r="G670" i="168"/>
  <c r="F670" i="168"/>
  <c r="H669" i="168"/>
  <c r="G669" i="168"/>
  <c r="F669" i="168"/>
  <c r="H668" i="168"/>
  <c r="G668" i="168"/>
  <c r="F668" i="168"/>
  <c r="H665" i="168"/>
  <c r="G665" i="168"/>
  <c r="F665" i="168"/>
  <c r="H664" i="168"/>
  <c r="G664" i="168"/>
  <c r="F664" i="168"/>
  <c r="H663" i="168"/>
  <c r="G663" i="168"/>
  <c r="F663" i="168"/>
  <c r="H662" i="168"/>
  <c r="G662" i="168"/>
  <c r="F662" i="168"/>
  <c r="H661" i="168"/>
  <c r="G661" i="168"/>
  <c r="F661" i="168"/>
  <c r="H660" i="168"/>
  <c r="G660" i="168"/>
  <c r="F660" i="168"/>
  <c r="H659" i="168"/>
  <c r="G659" i="168"/>
  <c r="F659" i="168"/>
  <c r="H658" i="168"/>
  <c r="G658" i="168"/>
  <c r="F658" i="168"/>
  <c r="H657" i="168"/>
  <c r="G657" i="168"/>
  <c r="F657" i="168"/>
  <c r="H656" i="168"/>
  <c r="G656" i="168"/>
  <c r="F656" i="168"/>
  <c r="H655" i="168"/>
  <c r="G655" i="168"/>
  <c r="F655" i="168"/>
  <c r="H654" i="168"/>
  <c r="G654" i="168"/>
  <c r="F654" i="168"/>
  <c r="H653" i="168"/>
  <c r="G653" i="168"/>
  <c r="F653" i="168"/>
  <c r="H652" i="168"/>
  <c r="G652" i="168"/>
  <c r="F652" i="168"/>
  <c r="H651" i="168"/>
  <c r="G651" i="168"/>
  <c r="F651" i="168"/>
  <c r="H650" i="168"/>
  <c r="G650" i="168"/>
  <c r="F650" i="168"/>
  <c r="H649" i="168"/>
  <c r="G649" i="168"/>
  <c r="F649" i="168"/>
  <c r="H648" i="168"/>
  <c r="G648" i="168"/>
  <c r="F648" i="168"/>
  <c r="H647" i="168"/>
  <c r="G647" i="168"/>
  <c r="F647" i="168"/>
  <c r="H639" i="168"/>
  <c r="G639" i="168"/>
  <c r="F639" i="168"/>
  <c r="H638" i="168"/>
  <c r="G638" i="168"/>
  <c r="F638" i="168"/>
  <c r="H637" i="168"/>
  <c r="G637" i="168"/>
  <c r="F637" i="168"/>
  <c r="H636" i="168"/>
  <c r="G636" i="168"/>
  <c r="F636" i="168"/>
  <c r="H635" i="168"/>
  <c r="G635" i="168"/>
  <c r="F635" i="168"/>
  <c r="H634" i="168"/>
  <c r="G634" i="168"/>
  <c r="F634" i="168"/>
  <c r="H633" i="168"/>
  <c r="G633" i="168"/>
  <c r="F633" i="168"/>
  <c r="H632" i="168"/>
  <c r="G632" i="168"/>
  <c r="F632" i="168"/>
  <c r="H631" i="168"/>
  <c r="G631" i="168"/>
  <c r="F631" i="168"/>
  <c r="H630" i="168"/>
  <c r="G630" i="168"/>
  <c r="F630" i="168"/>
  <c r="H629" i="168"/>
  <c r="G629" i="168"/>
  <c r="F629" i="168"/>
  <c r="H628" i="168"/>
  <c r="G628" i="168"/>
  <c r="F628" i="168"/>
  <c r="H627" i="168"/>
  <c r="G627" i="168"/>
  <c r="F627" i="168"/>
  <c r="H626" i="168"/>
  <c r="G626" i="168"/>
  <c r="F626" i="168"/>
  <c r="H625" i="168"/>
  <c r="G625" i="168"/>
  <c r="F625" i="168"/>
  <c r="H624" i="168"/>
  <c r="G624" i="168"/>
  <c r="F624" i="168"/>
  <c r="H623" i="168"/>
  <c r="G623" i="168"/>
  <c r="F623" i="168"/>
  <c r="H622" i="168"/>
  <c r="G622" i="168"/>
  <c r="F622" i="168"/>
  <c r="H621" i="168"/>
  <c r="G621" i="168"/>
  <c r="F621" i="168"/>
  <c r="H620" i="168"/>
  <c r="G620" i="168"/>
  <c r="F620" i="168"/>
  <c r="H619" i="168"/>
  <c r="G619" i="168"/>
  <c r="F619" i="168"/>
  <c r="H618" i="168"/>
  <c r="G618" i="168"/>
  <c r="F618" i="168"/>
  <c r="H617" i="168"/>
  <c r="G617" i="168"/>
  <c r="F617" i="168"/>
  <c r="H616" i="168"/>
  <c r="G616" i="168"/>
  <c r="F616" i="168"/>
  <c r="H615" i="168"/>
  <c r="G615" i="168"/>
  <c r="F615" i="168"/>
  <c r="H614" i="168"/>
  <c r="G614" i="168"/>
  <c r="F614" i="168"/>
  <c r="H613" i="168"/>
  <c r="G613" i="168"/>
  <c r="F613" i="168"/>
  <c r="H612" i="168"/>
  <c r="G612" i="168"/>
  <c r="F612" i="168"/>
  <c r="H611" i="168"/>
  <c r="G611" i="168"/>
  <c r="F611" i="168"/>
  <c r="H610" i="168"/>
  <c r="G610" i="168"/>
  <c r="F610" i="168"/>
  <c r="H609" i="168"/>
  <c r="G609" i="168"/>
  <c r="F609" i="168"/>
  <c r="H608" i="168"/>
  <c r="G608" i="168"/>
  <c r="F608" i="168"/>
  <c r="H607" i="168"/>
  <c r="G607" i="168"/>
  <c r="F607" i="168"/>
  <c r="H606" i="168"/>
  <c r="G606" i="168"/>
  <c r="F606" i="168"/>
  <c r="H605" i="168"/>
  <c r="G605" i="168"/>
  <c r="F605" i="168"/>
  <c r="H604" i="168"/>
  <c r="G604" i="168"/>
  <c r="F604" i="168"/>
  <c r="H603" i="168"/>
  <c r="G603" i="168"/>
  <c r="F603" i="168"/>
  <c r="H602" i="168"/>
  <c r="G602" i="168"/>
  <c r="F602" i="168"/>
  <c r="H601" i="168"/>
  <c r="G601" i="168"/>
  <c r="F601" i="168"/>
  <c r="H600" i="168"/>
  <c r="G600" i="168"/>
  <c r="F600" i="168"/>
  <c r="H599" i="168"/>
  <c r="G599" i="168"/>
  <c r="F599" i="168"/>
  <c r="H598" i="168"/>
  <c r="G598" i="168"/>
  <c r="F598" i="168"/>
  <c r="H597" i="168"/>
  <c r="G597" i="168"/>
  <c r="F597" i="168"/>
  <c r="H596" i="168"/>
  <c r="G596" i="168"/>
  <c r="F596" i="168"/>
  <c r="H595" i="168"/>
  <c r="G595" i="168"/>
  <c r="F595" i="168"/>
  <c r="H594" i="168"/>
  <c r="G594" i="168"/>
  <c r="F594" i="168"/>
  <c r="H593" i="168"/>
  <c r="G593" i="168"/>
  <c r="F593" i="168"/>
  <c r="H592" i="168"/>
  <c r="G592" i="168"/>
  <c r="F592" i="168"/>
  <c r="H591" i="168"/>
  <c r="G591" i="168"/>
  <c r="F591" i="168"/>
  <c r="H590" i="168"/>
  <c r="G590" i="168"/>
  <c r="F590" i="168"/>
  <c r="H589" i="168"/>
  <c r="G589" i="168"/>
  <c r="F589" i="168"/>
  <c r="H588" i="168"/>
  <c r="G588" i="168"/>
  <c r="F588" i="168"/>
  <c r="H587" i="168"/>
  <c r="G587" i="168"/>
  <c r="F587" i="168"/>
  <c r="H586" i="168"/>
  <c r="G586" i="168"/>
  <c r="F586" i="168"/>
  <c r="H585" i="168"/>
  <c r="G585" i="168"/>
  <c r="F585" i="168"/>
  <c r="H584" i="168"/>
  <c r="G584" i="168"/>
  <c r="F584" i="168"/>
  <c r="H583" i="168"/>
  <c r="G583" i="168"/>
  <c r="F583" i="168"/>
  <c r="H582" i="168"/>
  <c r="G582" i="168"/>
  <c r="F582" i="168"/>
  <c r="H581" i="168"/>
  <c r="G581" i="168"/>
  <c r="F581" i="168"/>
  <c r="H580" i="168"/>
  <c r="G580" i="168"/>
  <c r="F580" i="168"/>
  <c r="H579" i="168"/>
  <c r="G579" i="168"/>
  <c r="F579" i="168"/>
  <c r="H578" i="168"/>
  <c r="G578" i="168"/>
  <c r="F578" i="168"/>
  <c r="H577" i="168"/>
  <c r="G577" i="168"/>
  <c r="F577" i="168"/>
  <c r="H576" i="168"/>
  <c r="G576" i="168"/>
  <c r="F576" i="168"/>
  <c r="H575" i="168"/>
  <c r="G575" i="168"/>
  <c r="F575" i="168"/>
  <c r="H574" i="168"/>
  <c r="G574" i="168"/>
  <c r="F574" i="168"/>
  <c r="H573" i="168"/>
  <c r="G573" i="168"/>
  <c r="F573" i="168"/>
  <c r="H570" i="168"/>
  <c r="G570" i="168"/>
  <c r="F570" i="168"/>
  <c r="H569" i="168"/>
  <c r="G569" i="168"/>
  <c r="F569" i="168"/>
  <c r="H568" i="168"/>
  <c r="G568" i="168"/>
  <c r="F568" i="168"/>
  <c r="H567" i="168"/>
  <c r="G567" i="168"/>
  <c r="F567" i="168"/>
  <c r="H566" i="168"/>
  <c r="G566" i="168"/>
  <c r="F566" i="168"/>
  <c r="H565" i="168"/>
  <c r="G565" i="168"/>
  <c r="F565" i="168"/>
  <c r="H564" i="168"/>
  <c r="G564" i="168"/>
  <c r="F564" i="168"/>
  <c r="H563" i="168"/>
  <c r="G563" i="168"/>
  <c r="F563" i="168"/>
  <c r="H562" i="168"/>
  <c r="G562" i="168"/>
  <c r="F562" i="168"/>
  <c r="H561" i="168"/>
  <c r="G561" i="168"/>
  <c r="F561" i="168"/>
  <c r="H560" i="168"/>
  <c r="G560" i="168"/>
  <c r="F560" i="168"/>
  <c r="H559" i="168"/>
  <c r="G559" i="168"/>
  <c r="F559" i="168"/>
  <c r="H558" i="168"/>
  <c r="G558" i="168"/>
  <c r="F558" i="168"/>
  <c r="H557" i="168"/>
  <c r="G557" i="168"/>
  <c r="F557" i="168"/>
  <c r="H556" i="168"/>
  <c r="G556" i="168"/>
  <c r="F556" i="168"/>
  <c r="H555" i="168"/>
  <c r="G555" i="168"/>
  <c r="F555" i="168"/>
  <c r="H554" i="168"/>
  <c r="G554" i="168"/>
  <c r="F554" i="168"/>
  <c r="H553" i="168"/>
  <c r="G553" i="168"/>
  <c r="F553" i="168"/>
  <c r="H552" i="168"/>
  <c r="G552" i="168"/>
  <c r="F552" i="168"/>
  <c r="H551" i="168"/>
  <c r="G551" i="168"/>
  <c r="F551" i="168"/>
  <c r="H550" i="168"/>
  <c r="G550" i="168"/>
  <c r="F550" i="168"/>
  <c r="H549" i="168"/>
  <c r="G549" i="168"/>
  <c r="F549" i="168"/>
  <c r="H548" i="168"/>
  <c r="G548" i="168"/>
  <c r="F548" i="168"/>
  <c r="H547" i="168"/>
  <c r="G547" i="168"/>
  <c r="F547" i="168"/>
  <c r="H546" i="168"/>
  <c r="G546" i="168"/>
  <c r="F546" i="168"/>
  <c r="H545" i="168"/>
  <c r="G545" i="168"/>
  <c r="F545" i="168"/>
  <c r="H544" i="168"/>
  <c r="G544" i="168"/>
  <c r="F544" i="168"/>
  <c r="H543" i="168"/>
  <c r="G543" i="168"/>
  <c r="F543" i="168"/>
  <c r="H542" i="168"/>
  <c r="G542" i="168"/>
  <c r="F542" i="168"/>
  <c r="H541" i="168"/>
  <c r="G541" i="168"/>
  <c r="F541" i="168"/>
  <c r="H540" i="168"/>
  <c r="G540" i="168"/>
  <c r="F540" i="168"/>
  <c r="H539" i="168"/>
  <c r="G539" i="168"/>
  <c r="F539" i="168"/>
  <c r="H529" i="168"/>
  <c r="G529" i="168"/>
  <c r="F529" i="168"/>
  <c r="H528" i="168"/>
  <c r="G528" i="168"/>
  <c r="F528" i="168"/>
  <c r="H527" i="168"/>
  <c r="G527" i="168"/>
  <c r="F527" i="168"/>
  <c r="H526" i="168"/>
  <c r="G526" i="168"/>
  <c r="F526" i="168"/>
  <c r="H525" i="168"/>
  <c r="G525" i="168"/>
  <c r="F525" i="168"/>
  <c r="H524" i="168"/>
  <c r="G524" i="168"/>
  <c r="F524" i="168"/>
  <c r="H523" i="168"/>
  <c r="G523" i="168"/>
  <c r="F523" i="168"/>
  <c r="H522" i="168"/>
  <c r="G522" i="168"/>
  <c r="F522" i="168"/>
  <c r="H521" i="168"/>
  <c r="G521" i="168"/>
  <c r="F521" i="168"/>
  <c r="H520" i="168"/>
  <c r="G520" i="168"/>
  <c r="F520" i="168"/>
  <c r="H519" i="168"/>
  <c r="G519" i="168"/>
  <c r="F519" i="168"/>
  <c r="H518" i="168"/>
  <c r="G518" i="168"/>
  <c r="F518" i="168"/>
  <c r="H517" i="168"/>
  <c r="G517" i="168"/>
  <c r="F517" i="168"/>
  <c r="H516" i="168"/>
  <c r="G516" i="168"/>
  <c r="F516" i="168"/>
  <c r="H515" i="168"/>
  <c r="G515" i="168"/>
  <c r="F515" i="168"/>
  <c r="H514" i="168"/>
  <c r="G514" i="168"/>
  <c r="F514" i="168"/>
  <c r="H513" i="168"/>
  <c r="G513" i="168"/>
  <c r="F513" i="168"/>
  <c r="H512" i="168"/>
  <c r="G512" i="168"/>
  <c r="F512" i="168"/>
  <c r="H511" i="168"/>
  <c r="G511" i="168"/>
  <c r="F511" i="168"/>
  <c r="H510" i="168"/>
  <c r="G510" i="168"/>
  <c r="F510" i="168"/>
  <c r="H509" i="168"/>
  <c r="G509" i="168"/>
  <c r="F509" i="168"/>
  <c r="H508" i="168"/>
  <c r="G508" i="168"/>
  <c r="F508" i="168"/>
  <c r="H507" i="168"/>
  <c r="G507" i="168"/>
  <c r="F507" i="168"/>
  <c r="H506" i="168"/>
  <c r="G506" i="168"/>
  <c r="F506" i="168"/>
  <c r="H505" i="168"/>
  <c r="G505" i="168"/>
  <c r="F505" i="168"/>
  <c r="H504" i="168"/>
  <c r="G504" i="168"/>
  <c r="F504" i="168"/>
  <c r="H503" i="168"/>
  <c r="G503" i="168"/>
  <c r="F503" i="168"/>
  <c r="H502" i="168"/>
  <c r="G502" i="168"/>
  <c r="F502" i="168"/>
  <c r="H501" i="168"/>
  <c r="G501" i="168"/>
  <c r="F501" i="168"/>
  <c r="H500" i="168"/>
  <c r="G500" i="168"/>
  <c r="F500" i="168"/>
  <c r="H499" i="168"/>
  <c r="G499" i="168"/>
  <c r="F499" i="168"/>
  <c r="H468" i="168"/>
  <c r="G468" i="168"/>
  <c r="F468" i="168"/>
  <c r="H467" i="168"/>
  <c r="G467" i="168"/>
  <c r="F467" i="168"/>
  <c r="H466" i="168"/>
  <c r="G466" i="168"/>
  <c r="F466" i="168"/>
  <c r="H465" i="168"/>
  <c r="G465" i="168"/>
  <c r="F465" i="168"/>
  <c r="H464" i="168"/>
  <c r="G464" i="168"/>
  <c r="F464" i="168"/>
  <c r="H463" i="168"/>
  <c r="G463" i="168"/>
  <c r="F463" i="168"/>
  <c r="H462" i="168"/>
  <c r="G462" i="168"/>
  <c r="F462" i="168"/>
  <c r="H461" i="168"/>
  <c r="G461" i="168"/>
  <c r="F461" i="168"/>
  <c r="H460" i="168"/>
  <c r="G460" i="168"/>
  <c r="F460" i="168"/>
  <c r="H459" i="168"/>
  <c r="G459" i="168"/>
  <c r="F459" i="168"/>
  <c r="H458" i="168"/>
  <c r="G458" i="168"/>
  <c r="F458" i="168"/>
  <c r="H457" i="168"/>
  <c r="G457" i="168"/>
  <c r="F457" i="168"/>
  <c r="H456" i="168"/>
  <c r="G456" i="168"/>
  <c r="F456" i="168"/>
  <c r="H455" i="168"/>
  <c r="G455" i="168"/>
  <c r="F455" i="168"/>
  <c r="H454" i="168"/>
  <c r="G454" i="168"/>
  <c r="F454" i="168"/>
  <c r="H453" i="168"/>
  <c r="G453" i="168"/>
  <c r="F453" i="168"/>
  <c r="H452" i="168"/>
  <c r="G452" i="168"/>
  <c r="F452" i="168"/>
  <c r="H451" i="168"/>
  <c r="G451" i="168"/>
  <c r="F451" i="168"/>
  <c r="H450" i="168"/>
  <c r="G450" i="168"/>
  <c r="F450" i="168"/>
  <c r="H449" i="168"/>
  <c r="G449" i="168"/>
  <c r="F449" i="168"/>
  <c r="H448" i="168"/>
  <c r="G448" i="168"/>
  <c r="F448" i="168"/>
  <c r="H447" i="168"/>
  <c r="G447" i="168"/>
  <c r="F447" i="168"/>
  <c r="H446" i="168"/>
  <c r="G446" i="168"/>
  <c r="F446" i="168"/>
  <c r="H445" i="168"/>
  <c r="G445" i="168"/>
  <c r="F445" i="168"/>
  <c r="H444" i="168"/>
  <c r="G444" i="168"/>
  <c r="F444" i="168"/>
  <c r="H443" i="168"/>
  <c r="G443" i="168"/>
  <c r="F443" i="168"/>
  <c r="H442" i="168"/>
  <c r="G442" i="168"/>
  <c r="F442" i="168"/>
  <c r="H441" i="168"/>
  <c r="G441" i="168"/>
  <c r="F441" i="168"/>
  <c r="H440" i="168"/>
  <c r="G440" i="168"/>
  <c r="F440" i="168"/>
  <c r="H439" i="168"/>
  <c r="G439" i="168"/>
  <c r="F439" i="168"/>
  <c r="H438" i="168"/>
  <c r="G438" i="168"/>
  <c r="F438" i="168"/>
  <c r="H437" i="168"/>
  <c r="G437" i="168"/>
  <c r="F437" i="168"/>
  <c r="H436" i="168"/>
  <c r="G436" i="168"/>
  <c r="F436" i="168"/>
  <c r="H435" i="168"/>
  <c r="G435" i="168"/>
  <c r="F435" i="168"/>
  <c r="H434" i="168"/>
  <c r="G434" i="168"/>
  <c r="F434" i="168"/>
  <c r="H433" i="168"/>
  <c r="G433" i="168"/>
  <c r="F433" i="168"/>
  <c r="H430" i="168"/>
  <c r="G430" i="168"/>
  <c r="F430" i="168"/>
  <c r="H429" i="168"/>
  <c r="G429" i="168"/>
  <c r="F429" i="168"/>
  <c r="H428" i="168"/>
  <c r="G428" i="168"/>
  <c r="F428" i="168"/>
  <c r="H427" i="168"/>
  <c r="G427" i="168"/>
  <c r="F427" i="168"/>
  <c r="H426" i="168"/>
  <c r="G426" i="168"/>
  <c r="F426" i="168"/>
  <c r="H425" i="168"/>
  <c r="G425" i="168"/>
  <c r="F425" i="168"/>
  <c r="H424" i="168"/>
  <c r="G424" i="168"/>
  <c r="F424" i="168"/>
  <c r="H423" i="168"/>
  <c r="G423" i="168"/>
  <c r="F423" i="168"/>
  <c r="H422" i="168"/>
  <c r="G422" i="168"/>
  <c r="F422" i="168"/>
  <c r="H421" i="168"/>
  <c r="G421" i="168"/>
  <c r="F421" i="168"/>
  <c r="H420" i="168"/>
  <c r="G420" i="168"/>
  <c r="F420" i="168"/>
  <c r="H419" i="168"/>
  <c r="G419" i="168"/>
  <c r="F419" i="168"/>
  <c r="H418" i="168"/>
  <c r="G418" i="168"/>
  <c r="F418" i="168"/>
  <c r="H417" i="168"/>
  <c r="G417" i="168"/>
  <c r="F417" i="168"/>
  <c r="H416" i="168"/>
  <c r="G416" i="168"/>
  <c r="F416" i="168"/>
  <c r="H415" i="168"/>
  <c r="G415" i="168"/>
  <c r="F415" i="168"/>
  <c r="H414" i="168"/>
  <c r="G414" i="168"/>
  <c r="F414" i="168"/>
  <c r="H413" i="168"/>
  <c r="G413" i="168"/>
  <c r="F413" i="168"/>
  <c r="H412" i="168"/>
  <c r="G412" i="168"/>
  <c r="F412" i="168"/>
  <c r="H411" i="168"/>
  <c r="G411" i="168"/>
  <c r="F411" i="168"/>
  <c r="H406" i="168"/>
  <c r="G406" i="168"/>
  <c r="F406" i="168"/>
  <c r="H405" i="168"/>
  <c r="G405" i="168"/>
  <c r="F405" i="168"/>
  <c r="H404" i="168"/>
  <c r="G404" i="168"/>
  <c r="F404" i="168"/>
  <c r="H403" i="168"/>
  <c r="G403" i="168"/>
  <c r="F403" i="168"/>
  <c r="H402" i="168"/>
  <c r="G402" i="168"/>
  <c r="F402" i="168"/>
  <c r="H401" i="168"/>
  <c r="G401" i="168"/>
  <c r="F401" i="168"/>
  <c r="H400" i="168"/>
  <c r="G400" i="168"/>
  <c r="F400" i="168"/>
  <c r="H399" i="168"/>
  <c r="G399" i="168"/>
  <c r="F399" i="168"/>
  <c r="H398" i="168"/>
  <c r="G398" i="168"/>
  <c r="F398" i="168"/>
  <c r="H397" i="168"/>
  <c r="G397" i="168"/>
  <c r="F397" i="168"/>
  <c r="H396" i="168"/>
  <c r="G396" i="168"/>
  <c r="F396" i="168"/>
  <c r="H395" i="168"/>
  <c r="G395" i="168"/>
  <c r="F395" i="168"/>
  <c r="H394" i="168"/>
  <c r="G394" i="168"/>
  <c r="F394" i="168"/>
  <c r="H393" i="168"/>
  <c r="G393" i="168"/>
  <c r="F393" i="168"/>
  <c r="H392" i="168"/>
  <c r="G392" i="168"/>
  <c r="F392" i="168"/>
  <c r="H391" i="168"/>
  <c r="G391" i="168"/>
  <c r="F391" i="168"/>
  <c r="H390" i="168"/>
  <c r="G390" i="168"/>
  <c r="F390" i="168"/>
  <c r="H389" i="168"/>
  <c r="G389" i="168"/>
  <c r="F389" i="168"/>
  <c r="H388" i="168"/>
  <c r="G388" i="168"/>
  <c r="F388" i="168"/>
  <c r="H387" i="168"/>
  <c r="G387" i="168"/>
  <c r="F387" i="168"/>
  <c r="H386" i="168"/>
  <c r="G386" i="168"/>
  <c r="F386" i="168"/>
  <c r="H385" i="168"/>
  <c r="G385" i="168"/>
  <c r="F385" i="168"/>
  <c r="H384" i="168"/>
  <c r="G384" i="168"/>
  <c r="F384" i="168"/>
  <c r="H383" i="168"/>
  <c r="G383" i="168"/>
  <c r="F383" i="168"/>
  <c r="H382" i="168"/>
  <c r="G382" i="168"/>
  <c r="F382" i="168"/>
  <c r="H381" i="168"/>
  <c r="G381" i="168"/>
  <c r="F381" i="168"/>
  <c r="H380" i="168"/>
  <c r="G380" i="168"/>
  <c r="F380" i="168"/>
  <c r="H379" i="168"/>
  <c r="G379" i="168"/>
  <c r="F379" i="168"/>
  <c r="H374" i="168"/>
  <c r="G374" i="168"/>
  <c r="F374" i="168"/>
  <c r="H373" i="168"/>
  <c r="G373" i="168"/>
  <c r="F373" i="168"/>
  <c r="H372" i="168"/>
  <c r="G372" i="168"/>
  <c r="F372" i="168"/>
  <c r="H371" i="168"/>
  <c r="G371" i="168"/>
  <c r="F371" i="168"/>
  <c r="H370" i="168"/>
  <c r="G370" i="168"/>
  <c r="F370" i="168"/>
  <c r="H369" i="168"/>
  <c r="G369" i="168"/>
  <c r="F369" i="168"/>
  <c r="H368" i="168"/>
  <c r="G368" i="168"/>
  <c r="F368" i="168"/>
  <c r="H367" i="168"/>
  <c r="G367" i="168"/>
  <c r="F367" i="168"/>
  <c r="H366" i="168"/>
  <c r="G366" i="168"/>
  <c r="F366" i="168"/>
  <c r="H365" i="168"/>
  <c r="G365" i="168"/>
  <c r="F365" i="168"/>
  <c r="H364" i="168"/>
  <c r="G364" i="168"/>
  <c r="F364" i="168"/>
  <c r="H363" i="168"/>
  <c r="G363" i="168"/>
  <c r="F363" i="168"/>
  <c r="H362" i="168"/>
  <c r="G362" i="168"/>
  <c r="F362" i="168"/>
  <c r="H361" i="168"/>
  <c r="G361" i="168"/>
  <c r="F361" i="168"/>
  <c r="H360" i="168"/>
  <c r="G360" i="168"/>
  <c r="F360" i="168"/>
  <c r="H359" i="168"/>
  <c r="G359" i="168"/>
  <c r="F359" i="168"/>
  <c r="H358" i="168"/>
  <c r="G358" i="168"/>
  <c r="F358" i="168"/>
  <c r="H357" i="168"/>
  <c r="G357" i="168"/>
  <c r="F357" i="168"/>
  <c r="H356" i="168"/>
  <c r="G356" i="168"/>
  <c r="F356" i="168"/>
  <c r="H355" i="168"/>
  <c r="G355" i="168"/>
  <c r="F355" i="168"/>
  <c r="H354" i="168"/>
  <c r="G354" i="168"/>
  <c r="F354" i="168"/>
  <c r="H353" i="168"/>
  <c r="G353" i="168"/>
  <c r="F353" i="168"/>
  <c r="H352" i="168"/>
  <c r="G352" i="168"/>
  <c r="F352" i="168"/>
  <c r="H351" i="168"/>
  <c r="G351" i="168"/>
  <c r="F351" i="168"/>
  <c r="H350" i="168"/>
  <c r="G350" i="168"/>
  <c r="F350" i="168"/>
  <c r="H349" i="168"/>
  <c r="G349" i="168"/>
  <c r="F349" i="168"/>
  <c r="H348" i="168"/>
  <c r="G348" i="168"/>
  <c r="F348" i="168"/>
  <c r="H347" i="168"/>
  <c r="G347" i="168"/>
  <c r="F347" i="168"/>
  <c r="H346" i="168"/>
  <c r="G346" i="168"/>
  <c r="F346" i="168"/>
  <c r="H345" i="168"/>
  <c r="G345" i="168"/>
  <c r="F345" i="168"/>
  <c r="H344" i="168"/>
  <c r="G344" i="168"/>
  <c r="F344" i="168"/>
  <c r="H343" i="168"/>
  <c r="G343" i="168"/>
  <c r="F343" i="168"/>
  <c r="H342" i="168"/>
  <c r="G342" i="168"/>
  <c r="F342" i="168"/>
  <c r="H334" i="168"/>
  <c r="G334" i="168"/>
  <c r="F334" i="168"/>
  <c r="H333" i="168"/>
  <c r="G333" i="168"/>
  <c r="F333" i="168"/>
  <c r="H332" i="168"/>
  <c r="G332" i="168"/>
  <c r="F332" i="168"/>
  <c r="H331" i="168"/>
  <c r="G331" i="168"/>
  <c r="F331" i="168"/>
  <c r="H330" i="168"/>
  <c r="G330" i="168"/>
  <c r="F330" i="168"/>
  <c r="H329" i="168"/>
  <c r="G329" i="168"/>
  <c r="F329" i="168"/>
  <c r="H328" i="168"/>
  <c r="G328" i="168"/>
  <c r="F328" i="168"/>
  <c r="H327" i="168"/>
  <c r="G327" i="168"/>
  <c r="F327" i="168"/>
  <c r="H326" i="168"/>
  <c r="G326" i="168"/>
  <c r="F326" i="168"/>
  <c r="H325" i="168"/>
  <c r="G325" i="168"/>
  <c r="F325" i="168"/>
  <c r="H324" i="168"/>
  <c r="G324" i="168"/>
  <c r="F324" i="168"/>
  <c r="H323" i="168"/>
  <c r="G323" i="168"/>
  <c r="F323" i="168"/>
  <c r="H322" i="168"/>
  <c r="G322" i="168"/>
  <c r="F322" i="168"/>
  <c r="H321" i="168"/>
  <c r="G321" i="168"/>
  <c r="F321" i="168"/>
  <c r="H320" i="168"/>
  <c r="G320" i="168"/>
  <c r="F320" i="168"/>
  <c r="H319" i="168"/>
  <c r="G319" i="168"/>
  <c r="F319" i="168"/>
  <c r="H318" i="168"/>
  <c r="G318" i="168"/>
  <c r="F318" i="168"/>
  <c r="H317" i="168"/>
  <c r="G317" i="168"/>
  <c r="F317" i="168"/>
  <c r="H316" i="168"/>
  <c r="G316" i="168"/>
  <c r="F316" i="168"/>
  <c r="H315" i="168"/>
  <c r="G315" i="168"/>
  <c r="F315" i="168"/>
  <c r="H314" i="168"/>
  <c r="G314" i="168"/>
  <c r="F314" i="168"/>
  <c r="H313" i="168"/>
  <c r="G313" i="168"/>
  <c r="F313" i="168"/>
  <c r="H312" i="168"/>
  <c r="G312" i="168"/>
  <c r="F312" i="168"/>
  <c r="H311" i="168"/>
  <c r="G311" i="168"/>
  <c r="F311" i="168"/>
  <c r="H310" i="168"/>
  <c r="G310" i="168"/>
  <c r="F310" i="168"/>
  <c r="H309" i="168"/>
  <c r="G309" i="168"/>
  <c r="F309" i="168"/>
  <c r="H308" i="168"/>
  <c r="G308" i="168"/>
  <c r="F308" i="168"/>
  <c r="H307" i="168"/>
  <c r="G307" i="168"/>
  <c r="F307" i="168"/>
  <c r="H306" i="168"/>
  <c r="G306" i="168"/>
  <c r="F306" i="168"/>
  <c r="H305" i="168"/>
  <c r="G305" i="168"/>
  <c r="F305" i="168"/>
  <c r="H304" i="168"/>
  <c r="G304" i="168"/>
  <c r="F304" i="168"/>
  <c r="H303" i="168"/>
  <c r="G303" i="168"/>
  <c r="F303" i="168"/>
  <c r="H302" i="168"/>
  <c r="G302" i="168"/>
  <c r="F302" i="168"/>
  <c r="H296" i="168"/>
  <c r="G296" i="168"/>
  <c r="F296" i="168"/>
  <c r="H295" i="168"/>
  <c r="G295" i="168"/>
  <c r="F295" i="168"/>
  <c r="H294" i="168"/>
  <c r="G294" i="168"/>
  <c r="F294" i="168"/>
  <c r="H293" i="168"/>
  <c r="G293" i="168"/>
  <c r="F293" i="168"/>
  <c r="H292" i="168"/>
  <c r="G292" i="168"/>
  <c r="F292" i="168"/>
  <c r="H291" i="168"/>
  <c r="G291" i="168"/>
  <c r="F291" i="168"/>
  <c r="H290" i="168"/>
  <c r="G290" i="168"/>
  <c r="F290" i="168"/>
  <c r="H289" i="168"/>
  <c r="G289" i="168"/>
  <c r="F289" i="168"/>
  <c r="H288" i="168"/>
  <c r="G288" i="168"/>
  <c r="F288" i="168"/>
  <c r="H287" i="168"/>
  <c r="G287" i="168"/>
  <c r="F287" i="168"/>
  <c r="H286" i="168"/>
  <c r="G286" i="168"/>
  <c r="F286" i="168"/>
  <c r="H285" i="168"/>
  <c r="G285" i="168"/>
  <c r="F285" i="168"/>
  <c r="H284" i="168"/>
  <c r="G284" i="168"/>
  <c r="F284" i="168"/>
  <c r="H283" i="168"/>
  <c r="G283" i="168"/>
  <c r="F283" i="168"/>
  <c r="H282" i="168"/>
  <c r="G282" i="168"/>
  <c r="F282" i="168"/>
  <c r="H281" i="168"/>
  <c r="G281" i="168"/>
  <c r="F281" i="168"/>
  <c r="H280" i="168"/>
  <c r="G280" i="168"/>
  <c r="F280" i="168"/>
  <c r="H279" i="168"/>
  <c r="G279" i="168"/>
  <c r="F279" i="168"/>
  <c r="H278" i="168"/>
  <c r="G278" i="168"/>
  <c r="F278" i="168"/>
  <c r="H277" i="168"/>
  <c r="G277" i="168"/>
  <c r="F277" i="168"/>
  <c r="H276" i="168"/>
  <c r="G276" i="168"/>
  <c r="F276" i="168"/>
  <c r="H275" i="168"/>
  <c r="G275" i="168"/>
  <c r="F275" i="168"/>
  <c r="H274" i="168"/>
  <c r="G274" i="168"/>
  <c r="F274" i="168"/>
  <c r="H273" i="168"/>
  <c r="G273" i="168"/>
  <c r="F273" i="168"/>
  <c r="H272" i="168"/>
  <c r="G272" i="168"/>
  <c r="F272" i="168"/>
  <c r="H271" i="168"/>
  <c r="G271" i="168"/>
  <c r="F271" i="168"/>
  <c r="H270" i="168"/>
  <c r="G270" i="168"/>
  <c r="F270" i="168"/>
  <c r="H269" i="168"/>
  <c r="G269" i="168"/>
  <c r="F269" i="168"/>
  <c r="H268" i="168"/>
  <c r="G268" i="168"/>
  <c r="F268" i="168"/>
  <c r="H267" i="168"/>
  <c r="G267" i="168"/>
  <c r="F267" i="168"/>
  <c r="H266" i="168"/>
  <c r="G266" i="168"/>
  <c r="F266" i="168"/>
  <c r="H265" i="168"/>
  <c r="G265" i="168"/>
  <c r="F265" i="168"/>
  <c r="H258" i="168"/>
  <c r="G258" i="168"/>
  <c r="F258" i="168"/>
  <c r="H257" i="168"/>
  <c r="G257" i="168"/>
  <c r="F257" i="168"/>
  <c r="H256" i="168"/>
  <c r="G256" i="168"/>
  <c r="F256" i="168"/>
  <c r="H255" i="168"/>
  <c r="G255" i="168"/>
  <c r="F255" i="168"/>
  <c r="H254" i="168"/>
  <c r="G254" i="168"/>
  <c r="F254" i="168"/>
  <c r="H253" i="168"/>
  <c r="G253" i="168"/>
  <c r="F253" i="168"/>
  <c r="H252" i="168"/>
  <c r="G252" i="168"/>
  <c r="F252" i="168"/>
  <c r="H251" i="168"/>
  <c r="G251" i="168"/>
  <c r="F251" i="168"/>
  <c r="H250" i="168"/>
  <c r="G250" i="168"/>
  <c r="F250" i="168"/>
  <c r="H249" i="168"/>
  <c r="G249" i="168"/>
  <c r="F249" i="168"/>
  <c r="H248" i="168"/>
  <c r="G248" i="168"/>
  <c r="F248" i="168"/>
  <c r="H247" i="168"/>
  <c r="G247" i="168"/>
  <c r="F247" i="168"/>
  <c r="H246" i="168"/>
  <c r="G246" i="168"/>
  <c r="F246" i="168"/>
  <c r="H245" i="168"/>
  <c r="G245" i="168"/>
  <c r="F245" i="168"/>
  <c r="H244" i="168"/>
  <c r="G244" i="168"/>
  <c r="F244" i="168"/>
  <c r="H243" i="168"/>
  <c r="G243" i="168"/>
  <c r="F243" i="168"/>
  <c r="H242" i="168"/>
  <c r="G242" i="168"/>
  <c r="F242" i="168"/>
  <c r="H241" i="168"/>
  <c r="G241" i="168"/>
  <c r="F241" i="168"/>
  <c r="H240" i="168"/>
  <c r="G240" i="168"/>
  <c r="F240" i="168"/>
  <c r="H239" i="168"/>
  <c r="G239" i="168"/>
  <c r="F239" i="168"/>
  <c r="H238" i="168"/>
  <c r="G238" i="168"/>
  <c r="F238" i="168"/>
  <c r="H237" i="168"/>
  <c r="G237" i="168"/>
  <c r="F237" i="168"/>
  <c r="H236" i="168"/>
  <c r="G236" i="168"/>
  <c r="F236" i="168"/>
  <c r="H235" i="168"/>
  <c r="G235" i="168"/>
  <c r="F235" i="168"/>
  <c r="H234" i="168"/>
  <c r="G234" i="168"/>
  <c r="F234" i="168"/>
  <c r="H233" i="168"/>
  <c r="G233" i="168"/>
  <c r="F233" i="168"/>
  <c r="H232" i="168"/>
  <c r="G232" i="168"/>
  <c r="F232" i="168"/>
  <c r="H231" i="168"/>
  <c r="G231" i="168"/>
  <c r="F231" i="168"/>
  <c r="H230" i="168"/>
  <c r="G230" i="168"/>
  <c r="F230" i="168"/>
  <c r="H229" i="168"/>
  <c r="G229" i="168"/>
  <c r="F229" i="168"/>
  <c r="H228" i="168"/>
  <c r="G228" i="168"/>
  <c r="F228" i="168"/>
  <c r="H227" i="168"/>
  <c r="G227" i="168"/>
  <c r="F227" i="168"/>
  <c r="H226" i="168"/>
  <c r="G226" i="168"/>
  <c r="F226" i="168"/>
  <c r="H225" i="168"/>
  <c r="G225" i="168"/>
  <c r="F225" i="168"/>
  <c r="H224" i="168"/>
  <c r="G224" i="168"/>
  <c r="F224" i="168"/>
  <c r="H223" i="168"/>
  <c r="G223" i="168"/>
  <c r="F223" i="168"/>
  <c r="H222" i="168"/>
  <c r="G222" i="168"/>
  <c r="F222" i="168"/>
  <c r="H221" i="168"/>
  <c r="G221" i="168"/>
  <c r="F221" i="168"/>
  <c r="H220" i="168"/>
  <c r="G220" i="168"/>
  <c r="F220" i="168"/>
  <c r="H219" i="168"/>
  <c r="G219" i="168"/>
  <c r="F219" i="168"/>
  <c r="H218" i="168"/>
  <c r="G218" i="168"/>
  <c r="F218" i="168"/>
  <c r="H215" i="168"/>
  <c r="G215" i="168"/>
  <c r="F215" i="168"/>
  <c r="H214" i="168"/>
  <c r="G214" i="168"/>
  <c r="F214" i="168"/>
  <c r="H213" i="168"/>
  <c r="G213" i="168"/>
  <c r="F213" i="168"/>
  <c r="H212" i="168"/>
  <c r="G212" i="168"/>
  <c r="F212" i="168"/>
  <c r="H211" i="168"/>
  <c r="G211" i="168"/>
  <c r="F211" i="168"/>
  <c r="H210" i="168"/>
  <c r="G210" i="168"/>
  <c r="F210" i="168"/>
  <c r="H209" i="168"/>
  <c r="G209" i="168"/>
  <c r="F209" i="168"/>
  <c r="H208" i="168"/>
  <c r="G208" i="168"/>
  <c r="F208" i="168"/>
  <c r="H207" i="168"/>
  <c r="G207" i="168"/>
  <c r="F207" i="168"/>
  <c r="H206" i="168"/>
  <c r="G206" i="168"/>
  <c r="F206" i="168"/>
  <c r="H205" i="168"/>
  <c r="G205" i="168"/>
  <c r="F205" i="168"/>
  <c r="H204" i="168"/>
  <c r="G204" i="168"/>
  <c r="F204" i="168"/>
  <c r="H203" i="168"/>
  <c r="G203" i="168"/>
  <c r="F203" i="168"/>
  <c r="H202" i="168"/>
  <c r="G202" i="168"/>
  <c r="F202" i="168"/>
  <c r="H201" i="168"/>
  <c r="G201" i="168"/>
  <c r="F201" i="168"/>
  <c r="H200" i="168"/>
  <c r="G200" i="168"/>
  <c r="F200" i="168"/>
  <c r="H199" i="168"/>
  <c r="G199" i="168"/>
  <c r="F199" i="168"/>
  <c r="H198" i="168"/>
  <c r="G198" i="168"/>
  <c r="F198" i="168"/>
  <c r="H197" i="168"/>
  <c r="G197" i="168"/>
  <c r="F197" i="168"/>
  <c r="H196" i="168"/>
  <c r="G196" i="168"/>
  <c r="F196" i="168"/>
  <c r="H195" i="168"/>
  <c r="G195" i="168"/>
  <c r="F195" i="168"/>
  <c r="H194" i="168"/>
  <c r="G194" i="168"/>
  <c r="F194" i="168"/>
  <c r="H193" i="168"/>
  <c r="G193" i="168"/>
  <c r="F193" i="168"/>
  <c r="H192" i="168"/>
  <c r="G192" i="168"/>
  <c r="F192" i="168"/>
  <c r="H191" i="168"/>
  <c r="G191" i="168"/>
  <c r="F191" i="168"/>
  <c r="H190" i="168"/>
  <c r="G190" i="168"/>
  <c r="F190" i="168"/>
  <c r="H189" i="168"/>
  <c r="G189" i="168"/>
  <c r="F189" i="168"/>
  <c r="H188" i="168"/>
  <c r="G188" i="168"/>
  <c r="F188" i="168"/>
  <c r="H187" i="168"/>
  <c r="G187" i="168"/>
  <c r="F187" i="168"/>
  <c r="H186" i="168"/>
  <c r="G186" i="168"/>
  <c r="F186" i="168"/>
  <c r="H185" i="168"/>
  <c r="G185" i="168"/>
  <c r="F185" i="168"/>
  <c r="H178" i="168"/>
  <c r="G178" i="168"/>
  <c r="F178" i="168"/>
  <c r="H177" i="168"/>
  <c r="G177" i="168"/>
  <c r="F177" i="168"/>
  <c r="H176" i="168"/>
  <c r="G176" i="168"/>
  <c r="F176" i="168"/>
  <c r="H175" i="168"/>
  <c r="G175" i="168"/>
  <c r="F175" i="168"/>
  <c r="H174" i="168"/>
  <c r="G174" i="168"/>
  <c r="F174" i="168"/>
  <c r="H173" i="168"/>
  <c r="G173" i="168"/>
  <c r="F173" i="168"/>
  <c r="H172" i="168"/>
  <c r="G172" i="168"/>
  <c r="F172" i="168"/>
  <c r="H171" i="168"/>
  <c r="G171" i="168"/>
  <c r="F171" i="168"/>
  <c r="H170" i="168"/>
  <c r="G170" i="168"/>
  <c r="F170" i="168"/>
  <c r="H169" i="168"/>
  <c r="G169" i="168"/>
  <c r="F169" i="168"/>
  <c r="H168" i="168"/>
  <c r="G168" i="168"/>
  <c r="F168" i="168"/>
  <c r="H167" i="168"/>
  <c r="G167" i="168"/>
  <c r="F167" i="168"/>
  <c r="H166" i="168"/>
  <c r="G166" i="168"/>
  <c r="F166" i="168"/>
  <c r="H165" i="168"/>
  <c r="G165" i="168"/>
  <c r="F165" i="168"/>
  <c r="H164" i="168"/>
  <c r="G164" i="168"/>
  <c r="F164" i="168"/>
  <c r="H163" i="168"/>
  <c r="G163" i="168"/>
  <c r="F163" i="168"/>
  <c r="H162" i="168"/>
  <c r="G162" i="168"/>
  <c r="F162" i="168"/>
  <c r="H161" i="168"/>
  <c r="G161" i="168"/>
  <c r="F161" i="168"/>
  <c r="H160" i="168"/>
  <c r="G160" i="168"/>
  <c r="F160" i="168"/>
  <c r="H159" i="168"/>
  <c r="G159" i="168"/>
  <c r="F159" i="168"/>
  <c r="H158" i="168"/>
  <c r="G158" i="168"/>
  <c r="F158" i="168"/>
  <c r="H157" i="168"/>
  <c r="G157" i="168"/>
  <c r="F157" i="168"/>
  <c r="H156" i="168"/>
  <c r="G156" i="168"/>
  <c r="F156" i="168"/>
  <c r="H155" i="168"/>
  <c r="G155" i="168"/>
  <c r="F155" i="168"/>
  <c r="H154" i="168"/>
  <c r="G154" i="168"/>
  <c r="F154" i="168"/>
  <c r="H153" i="168"/>
  <c r="G153" i="168"/>
  <c r="F153" i="168"/>
  <c r="H152" i="168"/>
  <c r="G152" i="168"/>
  <c r="F152" i="168"/>
  <c r="H151" i="168"/>
  <c r="G151" i="168"/>
  <c r="F151" i="168"/>
  <c r="H150" i="168"/>
  <c r="G150" i="168"/>
  <c r="F150" i="168"/>
  <c r="H149" i="168"/>
  <c r="G149" i="168"/>
  <c r="F149" i="168"/>
  <c r="H148" i="168"/>
  <c r="G148" i="168"/>
  <c r="F148" i="168"/>
  <c r="H147" i="168"/>
  <c r="G147" i="168"/>
  <c r="F147" i="168"/>
  <c r="H146" i="168"/>
  <c r="G146" i="168"/>
  <c r="F146" i="168"/>
  <c r="H135" i="168"/>
  <c r="G135" i="168"/>
  <c r="F135" i="168"/>
  <c r="H134" i="168"/>
  <c r="G134" i="168"/>
  <c r="F134" i="168"/>
  <c r="H133" i="168"/>
  <c r="G133" i="168"/>
  <c r="F133" i="168"/>
  <c r="H132" i="168"/>
  <c r="G132" i="168"/>
  <c r="F132" i="168"/>
  <c r="H131" i="168"/>
  <c r="G131" i="168"/>
  <c r="F131" i="168"/>
  <c r="H130" i="168"/>
  <c r="G130" i="168"/>
  <c r="F130" i="168"/>
  <c r="H129" i="168"/>
  <c r="G129" i="168"/>
  <c r="F129" i="168"/>
  <c r="H128" i="168"/>
  <c r="G128" i="168"/>
  <c r="F128" i="168"/>
  <c r="H127" i="168"/>
  <c r="G127" i="168"/>
  <c r="F127" i="168"/>
  <c r="H126" i="168"/>
  <c r="G126" i="168"/>
  <c r="F126" i="168"/>
  <c r="H125" i="168"/>
  <c r="G125" i="168"/>
  <c r="F125" i="168"/>
  <c r="H124" i="168"/>
  <c r="G124" i="168"/>
  <c r="F124" i="168"/>
  <c r="H123" i="168"/>
  <c r="G123" i="168"/>
  <c r="F123" i="168"/>
  <c r="H122" i="168"/>
  <c r="G122" i="168"/>
  <c r="F122" i="168"/>
  <c r="H121" i="168"/>
  <c r="G121" i="168"/>
  <c r="F121" i="168"/>
  <c r="H120" i="168"/>
  <c r="G120" i="168"/>
  <c r="F120" i="168"/>
  <c r="H119" i="168"/>
  <c r="G119" i="168"/>
  <c r="F119" i="168"/>
  <c r="H118" i="168"/>
  <c r="G118" i="168"/>
  <c r="F118" i="168"/>
  <c r="H117" i="168"/>
  <c r="G117" i="168"/>
  <c r="F117" i="168"/>
  <c r="H116" i="168"/>
  <c r="G116" i="168"/>
  <c r="F116" i="168"/>
  <c r="H115" i="168"/>
  <c r="G115" i="168"/>
  <c r="F115" i="168"/>
  <c r="H114" i="168"/>
  <c r="G114" i="168"/>
  <c r="F114" i="168"/>
  <c r="H113" i="168"/>
  <c r="G113" i="168"/>
  <c r="F113" i="168"/>
  <c r="H112" i="168"/>
  <c r="G112" i="168"/>
  <c r="F112" i="168"/>
  <c r="H111" i="168"/>
  <c r="G111" i="168"/>
  <c r="F111" i="168"/>
  <c r="H110" i="168"/>
  <c r="G110" i="168"/>
  <c r="F110" i="168"/>
  <c r="H109" i="168"/>
  <c r="G109" i="168"/>
  <c r="F109" i="168"/>
  <c r="H108" i="168"/>
  <c r="G108" i="168"/>
  <c r="F108" i="168"/>
  <c r="H107" i="168"/>
  <c r="G107" i="168"/>
  <c r="F107" i="168"/>
  <c r="H106" i="168"/>
  <c r="G106" i="168"/>
  <c r="F106" i="168"/>
  <c r="H105" i="168"/>
  <c r="G105" i="168"/>
  <c r="F105" i="168"/>
  <c r="H104" i="168"/>
  <c r="G104" i="168"/>
  <c r="F104" i="168"/>
  <c r="H103" i="168"/>
  <c r="G103" i="168"/>
  <c r="F103" i="168"/>
  <c r="H102" i="168"/>
  <c r="G102" i="168"/>
  <c r="F102" i="168"/>
  <c r="H101" i="168"/>
  <c r="G101" i="168"/>
  <c r="F101" i="168"/>
  <c r="H91" i="168"/>
  <c r="G91" i="168"/>
  <c r="F91" i="168"/>
  <c r="H90" i="168"/>
  <c r="G90" i="168"/>
  <c r="F90" i="168"/>
  <c r="H89" i="168"/>
  <c r="G89" i="168"/>
  <c r="F89" i="168"/>
  <c r="H88" i="168"/>
  <c r="G88" i="168"/>
  <c r="F88" i="168"/>
  <c r="H87" i="168"/>
  <c r="G87" i="168"/>
  <c r="F87" i="168"/>
  <c r="H86" i="168"/>
  <c r="G86" i="168"/>
  <c r="F86" i="168"/>
  <c r="H85" i="168"/>
  <c r="G85" i="168"/>
  <c r="F85" i="168"/>
  <c r="H84" i="168"/>
  <c r="G84" i="168"/>
  <c r="F84" i="168"/>
  <c r="H83" i="168"/>
  <c r="G83" i="168"/>
  <c r="F83" i="168"/>
  <c r="H82" i="168"/>
  <c r="G82" i="168"/>
  <c r="F82" i="168"/>
  <c r="H81" i="168"/>
  <c r="G81" i="168"/>
  <c r="F81" i="168"/>
  <c r="H80" i="168"/>
  <c r="G80" i="168"/>
  <c r="F80" i="168"/>
  <c r="H79" i="168"/>
  <c r="G79" i="168"/>
  <c r="F79" i="168"/>
  <c r="H78" i="168"/>
  <c r="G78" i="168"/>
  <c r="F78" i="168"/>
  <c r="H77" i="168"/>
  <c r="G77" i="168"/>
  <c r="F77" i="168"/>
  <c r="H76" i="168"/>
  <c r="G76" i="168"/>
  <c r="F76" i="168"/>
  <c r="H75" i="168"/>
  <c r="G75" i="168"/>
  <c r="F75" i="168"/>
  <c r="H74" i="168"/>
  <c r="G74" i="168"/>
  <c r="F74" i="168"/>
  <c r="H73" i="168"/>
  <c r="G73" i="168"/>
  <c r="F73" i="168"/>
  <c r="H72" i="168"/>
  <c r="G72" i="168"/>
  <c r="F72" i="168"/>
  <c r="H71" i="168"/>
  <c r="G71" i="168"/>
  <c r="F71" i="168"/>
  <c r="H70" i="168"/>
  <c r="G70" i="168"/>
  <c r="F70" i="168"/>
  <c r="H69" i="168"/>
  <c r="G69" i="168"/>
  <c r="F69" i="168"/>
  <c r="H68" i="168"/>
  <c r="G68" i="168"/>
  <c r="F68" i="168"/>
  <c r="H67" i="168"/>
  <c r="G67" i="168"/>
  <c r="F67" i="168"/>
  <c r="H66" i="168"/>
  <c r="G66" i="168"/>
  <c r="F66" i="168"/>
  <c r="H65" i="168"/>
  <c r="G65" i="168"/>
  <c r="F65" i="168"/>
  <c r="H64" i="168"/>
  <c r="G64" i="168"/>
  <c r="F64" i="168"/>
  <c r="H63" i="168"/>
  <c r="G63" i="168"/>
  <c r="F63" i="168"/>
  <c r="H62" i="168"/>
  <c r="G62" i="168"/>
  <c r="F62" i="168"/>
  <c r="H61" i="168"/>
  <c r="G61" i="168"/>
  <c r="F61" i="168"/>
  <c r="H60" i="168"/>
  <c r="G60" i="168"/>
  <c r="F60" i="168"/>
  <c r="H59" i="168"/>
  <c r="G59" i="168"/>
  <c r="F59" i="168"/>
  <c r="H58" i="168"/>
  <c r="G58" i="168"/>
  <c r="F58" i="168"/>
  <c r="H50" i="168"/>
  <c r="G50" i="168"/>
  <c r="F50" i="168"/>
  <c r="H49" i="168"/>
  <c r="G49" i="168"/>
  <c r="F49" i="168"/>
  <c r="H48" i="168"/>
  <c r="G48" i="168"/>
  <c r="F48" i="168"/>
  <c r="H47" i="168"/>
  <c r="G47" i="168"/>
  <c r="F47" i="168"/>
  <c r="H46" i="168"/>
  <c r="G46" i="168"/>
  <c r="F46" i="168"/>
  <c r="H45" i="168"/>
  <c r="G45" i="168"/>
  <c r="F45" i="168"/>
  <c r="H44" i="168"/>
  <c r="G44" i="168"/>
  <c r="F44" i="168"/>
  <c r="H43" i="168"/>
  <c r="G43" i="168"/>
  <c r="F43" i="168"/>
  <c r="H42" i="168"/>
  <c r="G42" i="168"/>
  <c r="F42" i="168"/>
  <c r="H41" i="168"/>
  <c r="G41" i="168"/>
  <c r="F41" i="168"/>
  <c r="H40" i="168"/>
  <c r="G40" i="168"/>
  <c r="F40" i="168"/>
  <c r="H39" i="168"/>
  <c r="G39" i="168"/>
  <c r="F39" i="168"/>
  <c r="H38" i="168"/>
  <c r="G38" i="168"/>
  <c r="F38" i="168"/>
  <c r="H37" i="168"/>
  <c r="G37" i="168"/>
  <c r="F37" i="168"/>
  <c r="H36" i="168"/>
  <c r="G36" i="168"/>
  <c r="F36" i="168"/>
  <c r="H35" i="168"/>
  <c r="G35" i="168"/>
  <c r="F35" i="168"/>
  <c r="H34" i="168"/>
  <c r="G34" i="168"/>
  <c r="F34" i="168"/>
  <c r="H33" i="168"/>
  <c r="G33" i="168"/>
  <c r="F33" i="168"/>
  <c r="H32" i="168"/>
  <c r="G32" i="168"/>
  <c r="F32" i="168"/>
  <c r="H31" i="168"/>
  <c r="G31" i="168"/>
  <c r="F31" i="168"/>
  <c r="H30" i="168"/>
  <c r="G30" i="168"/>
  <c r="F30" i="168"/>
  <c r="H29" i="168"/>
  <c r="G29" i="168"/>
  <c r="F29" i="168"/>
  <c r="H28" i="168"/>
  <c r="G28" i="168"/>
  <c r="F28" i="168"/>
  <c r="H27" i="168"/>
  <c r="G27" i="168"/>
  <c r="F27" i="168"/>
  <c r="H26" i="168"/>
  <c r="G26" i="168"/>
  <c r="F26" i="168"/>
  <c r="H25" i="168"/>
  <c r="G25" i="168"/>
  <c r="F25" i="168"/>
  <c r="H24" i="168"/>
  <c r="G24" i="168"/>
  <c r="F24" i="168"/>
  <c r="H23" i="168"/>
  <c r="G23" i="168"/>
  <c r="F23" i="168"/>
  <c r="H22" i="168"/>
  <c r="G22" i="168"/>
  <c r="F22" i="168"/>
  <c r="H21" i="168"/>
  <c r="G21" i="168"/>
  <c r="F21" i="168"/>
  <c r="H20" i="168"/>
  <c r="G20" i="168"/>
  <c r="F20" i="168"/>
  <c r="H19" i="168"/>
  <c r="G19" i="168"/>
  <c r="F19" i="168"/>
  <c r="H18" i="168"/>
  <c r="G18" i="168"/>
  <c r="F18" i="168"/>
  <c r="H17" i="168"/>
  <c r="G17" i="168"/>
  <c r="F17" i="168"/>
  <c r="H16" i="168"/>
  <c r="G16" i="168"/>
  <c r="F16" i="168"/>
  <c r="H15" i="168"/>
  <c r="G15" i="168"/>
  <c r="F15" i="168"/>
  <c r="H14" i="168"/>
  <c r="G14" i="168"/>
  <c r="F14" i="168"/>
  <c r="H13" i="168"/>
  <c r="G13" i="168"/>
  <c r="F13" i="168"/>
  <c r="U24" i="169" l="1"/>
  <c r="U27" i="169"/>
  <c r="U29" i="169"/>
  <c r="U31" i="169"/>
  <c r="U32" i="169"/>
  <c r="U33" i="169"/>
  <c r="U26" i="169"/>
  <c r="U28" i="169"/>
  <c r="U35" i="169"/>
  <c r="U36" i="169"/>
  <c r="C43" i="169"/>
  <c r="V28" i="169"/>
  <c r="W28" i="169" s="1"/>
  <c r="X28" i="169" s="1"/>
  <c r="Y28" i="169" s="1"/>
  <c r="X31" i="169"/>
  <c r="W31" i="169"/>
  <c r="V31" i="169"/>
  <c r="T32" i="169"/>
  <c r="W32" i="169"/>
  <c r="V32" i="169"/>
  <c r="X35" i="169"/>
  <c r="W35" i="169"/>
  <c r="V35" i="169"/>
  <c r="S15" i="169"/>
  <c r="N15" i="169"/>
  <c r="W15" i="169"/>
  <c r="Y15" i="169"/>
  <c r="R15" i="169"/>
  <c r="V15" i="169"/>
  <c r="X15" i="169"/>
  <c r="T15" i="169"/>
  <c r="Q15" i="169"/>
  <c r="P15" i="169"/>
  <c r="O15" i="169"/>
  <c r="L15" i="169"/>
  <c r="M15" i="169"/>
  <c r="U15" i="169"/>
  <c r="T17" i="169"/>
  <c r="Q17" i="169"/>
  <c r="P17" i="169"/>
  <c r="O17" i="169"/>
  <c r="V17" i="169"/>
  <c r="X17" i="169"/>
  <c r="W17" i="169"/>
  <c r="S17" i="169"/>
  <c r="N17" i="169"/>
  <c r="M17" i="169"/>
  <c r="U17" i="169"/>
  <c r="Y17" i="169"/>
  <c r="R17" i="169"/>
  <c r="U20" i="169"/>
  <c r="L20" i="169"/>
  <c r="R20" i="169"/>
  <c r="T20" i="169"/>
  <c r="Q20" i="169"/>
  <c r="P20" i="169"/>
  <c r="O20" i="169"/>
  <c r="N20" i="169"/>
  <c r="V20" i="169"/>
  <c r="X20" i="169"/>
  <c r="Y20" i="169" s="1"/>
  <c r="W20" i="169"/>
  <c r="S20" i="169"/>
  <c r="M20" i="169"/>
  <c r="W27" i="169"/>
  <c r="X27" i="169" s="1"/>
  <c r="Y27" i="169" s="1"/>
  <c r="N27" i="169"/>
  <c r="L27" i="169"/>
  <c r="V27" i="169"/>
  <c r="T27" i="169"/>
  <c r="S27" i="169"/>
  <c r="Q27" i="169"/>
  <c r="P27" i="169"/>
  <c r="O27" i="169"/>
  <c r="M27" i="169"/>
  <c r="R27" i="169"/>
  <c r="R28" i="169"/>
  <c r="N28" i="169"/>
  <c r="M28" i="169"/>
  <c r="L28" i="169"/>
  <c r="O28" i="169"/>
  <c r="T28" i="169"/>
  <c r="S28" i="169"/>
  <c r="Q28" i="169"/>
  <c r="P28" i="169"/>
  <c r="Y31" i="169"/>
  <c r="R31" i="169"/>
  <c r="P31" i="169"/>
  <c r="O31" i="169"/>
  <c r="L31" i="169"/>
  <c r="M31" i="169"/>
  <c r="N31" i="169"/>
  <c r="N32" i="169"/>
  <c r="L32" i="169"/>
  <c r="P32" i="169"/>
  <c r="X32" i="169"/>
  <c r="Y32" i="169" s="1"/>
  <c r="R32" i="169"/>
  <c r="S32" i="169" s="1"/>
  <c r="M32" i="169"/>
  <c r="W33" i="169"/>
  <c r="T33" i="169"/>
  <c r="R33" i="169"/>
  <c r="S33" i="169"/>
  <c r="O33" i="169"/>
  <c r="L33" i="169"/>
  <c r="M33" i="169"/>
  <c r="V33" i="169"/>
  <c r="N33" i="169"/>
  <c r="X33" i="169"/>
  <c r="Y33" i="169" s="1"/>
  <c r="Q33" i="169"/>
  <c r="P33" i="169"/>
  <c r="P35" i="169"/>
  <c r="O35" i="169"/>
  <c r="T35" i="169"/>
  <c r="N35" i="169"/>
  <c r="M35" i="169"/>
  <c r="Q35" i="169"/>
  <c r="L35" i="169"/>
  <c r="Y35" i="169"/>
  <c r="S35" i="169"/>
  <c r="X37" i="169"/>
  <c r="Y37" i="169" s="1"/>
  <c r="U37" i="169"/>
  <c r="S37" i="169"/>
  <c r="V37" i="169"/>
  <c r="P37" i="169"/>
  <c r="O37" i="169"/>
  <c r="L37" i="169"/>
  <c r="M37" i="169"/>
  <c r="W37" i="169"/>
  <c r="R37" i="169"/>
  <c r="T37" i="169"/>
  <c r="N37" i="169"/>
  <c r="Q37" i="169"/>
  <c r="W39" i="169"/>
  <c r="R39" i="169"/>
  <c r="T39" i="169"/>
  <c r="Q39" i="169"/>
  <c r="L39" i="169"/>
  <c r="Y39" i="169"/>
  <c r="S39" i="169"/>
  <c r="V39" i="169"/>
  <c r="X39" i="169"/>
  <c r="U39" i="169"/>
  <c r="P39" i="169"/>
  <c r="O39" i="169"/>
  <c r="M39" i="169"/>
  <c r="N39" i="169"/>
  <c r="P41" i="169"/>
  <c r="O41" i="169"/>
  <c r="X41" i="169"/>
  <c r="W41" i="169"/>
  <c r="U41" i="169"/>
  <c r="R41" i="169"/>
  <c r="T41" i="169"/>
  <c r="N41" i="169"/>
  <c r="M41" i="169"/>
  <c r="Q41" i="169"/>
  <c r="L41" i="169"/>
  <c r="Y41" i="169"/>
  <c r="S41" i="169"/>
  <c r="V41" i="169"/>
  <c r="T42" i="169"/>
  <c r="L42" i="169"/>
  <c r="Y42" i="169"/>
  <c r="S42" i="169"/>
  <c r="X43" i="169"/>
  <c r="Y43" i="169" s="1"/>
  <c r="V43" i="169"/>
  <c r="S43" i="169"/>
  <c r="U43" i="169"/>
  <c r="P43" i="169"/>
  <c r="Q43" i="169"/>
  <c r="R43" i="169"/>
  <c r="N43" i="169"/>
  <c r="M43" i="169"/>
  <c r="L43" i="169"/>
  <c r="W43" i="169"/>
  <c r="T43" i="169"/>
  <c r="O43" i="169"/>
  <c r="O12" i="169"/>
  <c r="Y12" i="169"/>
  <c r="N12" i="169"/>
  <c r="T12" i="169"/>
  <c r="V12" i="169"/>
  <c r="R12" i="169"/>
  <c r="S12" i="169"/>
  <c r="X12" i="169"/>
  <c r="W12" i="169"/>
  <c r="P12" i="169"/>
  <c r="Q12" i="169"/>
  <c r="M12" i="169"/>
  <c r="U12" i="169"/>
  <c r="X13" i="169"/>
  <c r="Y13" i="169"/>
  <c r="R13" i="169"/>
  <c r="U13" i="169"/>
  <c r="W13" i="169"/>
  <c r="T13" i="169"/>
  <c r="Q13" i="169"/>
  <c r="P13" i="169"/>
  <c r="O13" i="169"/>
  <c r="S13" i="169"/>
  <c r="N13" i="169"/>
  <c r="M13" i="169"/>
  <c r="V13" i="169"/>
  <c r="L13" i="169"/>
  <c r="U14" i="169"/>
  <c r="W14" i="169"/>
  <c r="Y14" i="169"/>
  <c r="R14" i="169"/>
  <c r="T14" i="169"/>
  <c r="Q14" i="169"/>
  <c r="P14" i="169"/>
  <c r="O14" i="169"/>
  <c r="V14" i="169"/>
  <c r="M14" i="169"/>
  <c r="X14" i="169"/>
  <c r="S14" i="169"/>
  <c r="N14" i="169"/>
  <c r="S16" i="169"/>
  <c r="N16" i="169"/>
  <c r="M16" i="169"/>
  <c r="V16" i="169"/>
  <c r="W16" i="169" s="1"/>
  <c r="L16" i="169"/>
  <c r="X16" i="169"/>
  <c r="R16" i="169"/>
  <c r="U16" i="169"/>
  <c r="O16" i="169"/>
  <c r="T16" i="169"/>
  <c r="Q16" i="169"/>
  <c r="P16" i="169"/>
  <c r="V18" i="169"/>
  <c r="X18" i="169"/>
  <c r="Y18" i="169" s="1"/>
  <c r="T18" i="169"/>
  <c r="Q18" i="169"/>
  <c r="P18" i="169"/>
  <c r="O18" i="169"/>
  <c r="U18" i="169"/>
  <c r="L18" i="169"/>
  <c r="W18" i="169"/>
  <c r="S18" i="169"/>
  <c r="N18" i="169"/>
  <c r="M18" i="169"/>
  <c r="R18" i="169"/>
  <c r="X19" i="169"/>
  <c r="Y19" i="169"/>
  <c r="R19" i="169"/>
  <c r="U19" i="169"/>
  <c r="T19" i="169"/>
  <c r="Q19" i="169"/>
  <c r="P19" i="169"/>
  <c r="O19" i="169"/>
  <c r="W19" i="169"/>
  <c r="S19" i="169"/>
  <c r="N19" i="169"/>
  <c r="M19" i="169"/>
  <c r="V19" i="169"/>
  <c r="L19" i="169"/>
  <c r="N21" i="169"/>
  <c r="M21" i="169"/>
  <c r="Q21" i="169"/>
  <c r="P21" i="169"/>
  <c r="O21" i="169"/>
  <c r="K21" i="169"/>
  <c r="F21" i="169" s="1"/>
  <c r="V22" i="169"/>
  <c r="W22" i="169"/>
  <c r="N22" i="169"/>
  <c r="M22" i="169"/>
  <c r="L22" i="169"/>
  <c r="X22" i="169"/>
  <c r="Y22" i="169"/>
  <c r="R22" i="169"/>
  <c r="O22" i="169"/>
  <c r="T22" i="169"/>
  <c r="Q22" i="169"/>
  <c r="P22" i="169"/>
  <c r="Q23" i="169"/>
  <c r="P23" i="169"/>
  <c r="O23" i="169"/>
  <c r="V23" i="169"/>
  <c r="R23" i="169"/>
  <c r="W23" i="169"/>
  <c r="X23" i="169" s="1"/>
  <c r="Y23" i="169" s="1"/>
  <c r="N23" i="169"/>
  <c r="M23" i="169"/>
  <c r="S23" i="169"/>
  <c r="L23" i="169"/>
  <c r="S24" i="169"/>
  <c r="Q24" i="169"/>
  <c r="P24" i="169"/>
  <c r="O24" i="169"/>
  <c r="R24" i="169"/>
  <c r="T24" i="169"/>
  <c r="W24" i="169"/>
  <c r="N24" i="169"/>
  <c r="M24" i="169"/>
  <c r="L24" i="169"/>
  <c r="Y26" i="169"/>
  <c r="V26" i="169"/>
  <c r="T26" i="169"/>
  <c r="S26" i="169"/>
  <c r="Q26" i="169"/>
  <c r="P26" i="169"/>
  <c r="O26" i="169"/>
  <c r="R26" i="169"/>
  <c r="M26" i="169"/>
  <c r="X26" i="169"/>
  <c r="W26" i="169"/>
  <c r="N26" i="169"/>
  <c r="L26" i="169"/>
  <c r="T29" i="169"/>
  <c r="S29" i="169"/>
  <c r="Q29" i="169"/>
  <c r="P29" i="169"/>
  <c r="O29" i="169"/>
  <c r="R29" i="169"/>
  <c r="X29" i="169"/>
  <c r="W29" i="169"/>
  <c r="N29" i="169"/>
  <c r="M29" i="169"/>
  <c r="L29" i="169"/>
  <c r="Y29" i="169"/>
  <c r="V29" i="169"/>
  <c r="Q30" i="169"/>
  <c r="P30" i="169"/>
  <c r="O30" i="169"/>
  <c r="L30" i="169"/>
  <c r="W30" i="169"/>
  <c r="X30" i="169" s="1"/>
  <c r="N30" i="169"/>
  <c r="M30" i="169"/>
  <c r="Y30" i="169"/>
  <c r="W34" i="169"/>
  <c r="T34" i="169"/>
  <c r="R34" i="169"/>
  <c r="N34" i="169"/>
  <c r="M34" i="169"/>
  <c r="Q34" i="169"/>
  <c r="L34" i="169"/>
  <c r="O34" i="169"/>
  <c r="X34" i="169"/>
  <c r="Y34" i="169"/>
  <c r="S34" i="169"/>
  <c r="U34" i="169" s="1"/>
  <c r="V34" i="169"/>
  <c r="P34" i="169"/>
  <c r="V36" i="169"/>
  <c r="X36" i="169"/>
  <c r="P36" i="169"/>
  <c r="O36" i="169"/>
  <c r="W36" i="169"/>
  <c r="T36" i="169"/>
  <c r="N36" i="169"/>
  <c r="M36" i="169"/>
  <c r="Q36" i="169"/>
  <c r="Y36" i="169"/>
  <c r="S36" i="169"/>
  <c r="R36" i="169"/>
  <c r="Q38" i="169"/>
  <c r="Y38" i="169"/>
  <c r="S38" i="169"/>
  <c r="V38" i="169"/>
  <c r="M38" i="169"/>
  <c r="P38" i="169"/>
  <c r="O38" i="169"/>
  <c r="N38" i="169"/>
  <c r="X38" i="169"/>
  <c r="W38" i="169"/>
  <c r="U38" i="169"/>
  <c r="R38" i="169"/>
  <c r="T38" i="169"/>
  <c r="R40" i="169"/>
  <c r="T40" i="169"/>
  <c r="N40" i="169"/>
  <c r="M40" i="169"/>
  <c r="Q40" i="169"/>
  <c r="U40" i="169"/>
  <c r="V40" i="169" s="1"/>
  <c r="W40" i="169" s="1"/>
  <c r="X40" i="169" s="1"/>
  <c r="Y40" i="169" s="1"/>
  <c r="S40" i="169"/>
  <c r="L40" i="169"/>
  <c r="P40" i="169"/>
  <c r="O40" i="169"/>
  <c r="I384" i="168"/>
  <c r="I1048" i="168"/>
  <c r="I1050" i="168"/>
  <c r="I1052" i="168"/>
  <c r="I1054" i="168"/>
  <c r="I1056" i="168"/>
  <c r="I1058" i="168"/>
  <c r="I1060" i="168"/>
  <c r="I1073" i="168"/>
  <c r="I1075" i="168"/>
  <c r="I1077" i="168"/>
  <c r="I1079" i="168"/>
  <c r="I1081" i="168"/>
  <c r="I1084" i="168"/>
  <c r="I1086" i="168"/>
  <c r="I1088" i="168"/>
  <c r="I1090" i="168"/>
  <c r="I1092" i="168"/>
  <c r="I1094" i="168"/>
  <c r="I1096" i="168"/>
  <c r="I1098" i="168"/>
  <c r="I1100" i="168"/>
  <c r="I1102" i="168"/>
  <c r="I1104" i="168"/>
  <c r="I1106" i="168"/>
  <c r="I1108" i="168"/>
  <c r="I1110" i="168"/>
  <c r="I1112" i="168"/>
  <c r="I1114" i="168"/>
  <c r="I1116" i="168"/>
  <c r="I1118" i="168"/>
  <c r="I14" i="168"/>
  <c r="I16" i="168"/>
  <c r="I18" i="168"/>
  <c r="I20" i="168"/>
  <c r="I22" i="168"/>
  <c r="I24" i="168"/>
  <c r="I26" i="168"/>
  <c r="I28" i="168"/>
  <c r="I30" i="168"/>
  <c r="I32" i="168"/>
  <c r="I34" i="168"/>
  <c r="I36" i="168"/>
  <c r="I38" i="168"/>
  <c r="I40" i="168"/>
  <c r="I42" i="168"/>
  <c r="I44" i="168"/>
  <c r="I46" i="168"/>
  <c r="I48" i="168"/>
  <c r="I50" i="168"/>
  <c r="I59" i="168"/>
  <c r="I61" i="168"/>
  <c r="I63" i="168"/>
  <c r="I65" i="168"/>
  <c r="I67" i="168"/>
  <c r="I69" i="168"/>
  <c r="I71" i="168"/>
  <c r="I73" i="168"/>
  <c r="I75" i="168"/>
  <c r="I77" i="168"/>
  <c r="I79" i="168"/>
  <c r="I81" i="168"/>
  <c r="I83" i="168"/>
  <c r="I85" i="168"/>
  <c r="I87" i="168"/>
  <c r="I89" i="168"/>
  <c r="I91" i="168"/>
  <c r="I102" i="168"/>
  <c r="I104" i="168"/>
  <c r="I106" i="168"/>
  <c r="I108" i="168"/>
  <c r="I110" i="168"/>
  <c r="I112" i="168"/>
  <c r="I114" i="168"/>
  <c r="I116" i="168"/>
  <c r="I118" i="168"/>
  <c r="I120" i="168"/>
  <c r="I122" i="168"/>
  <c r="I124" i="168"/>
  <c r="I126" i="168"/>
  <c r="I128" i="168"/>
  <c r="I130" i="168"/>
  <c r="I132" i="168"/>
  <c r="I134" i="168"/>
  <c r="I146" i="168"/>
  <c r="I148" i="168"/>
  <c r="I150" i="168"/>
  <c r="I152" i="168"/>
  <c r="I154" i="168"/>
  <c r="I156" i="168"/>
  <c r="I158" i="168"/>
  <c r="I160" i="168"/>
  <c r="I162" i="168"/>
  <c r="I164" i="168"/>
  <c r="I166" i="168"/>
  <c r="I168" i="168"/>
  <c r="I170" i="168"/>
  <c r="I172" i="168"/>
  <c r="I174" i="168"/>
  <c r="I176" i="168"/>
  <c r="I178" i="168"/>
  <c r="I186" i="168"/>
  <c r="I188" i="168"/>
  <c r="I13" i="168"/>
  <c r="I15" i="168"/>
  <c r="I17" i="168"/>
  <c r="I19" i="168"/>
  <c r="I21" i="168"/>
  <c r="I23" i="168"/>
  <c r="I25" i="168"/>
  <c r="I27" i="168"/>
  <c r="I29" i="168"/>
  <c r="I31" i="168"/>
  <c r="I33" i="168"/>
  <c r="I35" i="168"/>
  <c r="I37" i="168"/>
  <c r="I39" i="168"/>
  <c r="I41" i="168"/>
  <c r="I43" i="168"/>
  <c r="I45" i="168"/>
  <c r="I47" i="168"/>
  <c r="I49" i="168"/>
  <c r="I58" i="168"/>
  <c r="I60" i="168"/>
  <c r="I62" i="168"/>
  <c r="I64" i="168"/>
  <c r="I66" i="168"/>
  <c r="I68" i="168"/>
  <c r="I70" i="168"/>
  <c r="I72" i="168"/>
  <c r="I74" i="168"/>
  <c r="I76" i="168"/>
  <c r="I78" i="168"/>
  <c r="I80" i="168"/>
  <c r="I82" i="168"/>
  <c r="I84" i="168"/>
  <c r="I86" i="168"/>
  <c r="I88" i="168"/>
  <c r="I90" i="168"/>
  <c r="I101" i="168"/>
  <c r="I103" i="168"/>
  <c r="I105" i="168"/>
  <c r="I107" i="168"/>
  <c r="I109" i="168"/>
  <c r="I111" i="168"/>
  <c r="I113" i="168"/>
  <c r="I115" i="168"/>
  <c r="I117" i="168"/>
  <c r="I119" i="168"/>
  <c r="I121" i="168"/>
  <c r="I123" i="168"/>
  <c r="I125" i="168"/>
  <c r="I127" i="168"/>
  <c r="I129" i="168"/>
  <c r="I131" i="168"/>
  <c r="I133" i="168"/>
  <c r="I135" i="168"/>
  <c r="I147" i="168"/>
  <c r="I149" i="168"/>
  <c r="I151" i="168"/>
  <c r="I153" i="168"/>
  <c r="I155" i="168"/>
  <c r="I157" i="168"/>
  <c r="I159" i="168"/>
  <c r="I161" i="168"/>
  <c r="I163" i="168"/>
  <c r="I165" i="168"/>
  <c r="I167" i="168"/>
  <c r="I169" i="168"/>
  <c r="I171" i="168"/>
  <c r="I173" i="168"/>
  <c r="I175" i="168"/>
  <c r="I177" i="168"/>
  <c r="I185" i="168"/>
  <c r="I187" i="168"/>
  <c r="I189" i="168"/>
  <c r="I191" i="168"/>
  <c r="I193" i="168"/>
  <c r="I195" i="168"/>
  <c r="I197" i="168"/>
  <c r="I199" i="168"/>
  <c r="I201" i="168"/>
  <c r="I203" i="168"/>
  <c r="I205" i="168"/>
  <c r="I207" i="168"/>
  <c r="I209" i="168"/>
  <c r="I211" i="168"/>
  <c r="I213" i="168"/>
  <c r="I215" i="168"/>
  <c r="I219" i="168"/>
  <c r="I190" i="168"/>
  <c r="I192" i="168"/>
  <c r="I194" i="168"/>
  <c r="I196" i="168"/>
  <c r="I198" i="168"/>
  <c r="I200" i="168"/>
  <c r="I202" i="168"/>
  <c r="I204" i="168"/>
  <c r="I206" i="168"/>
  <c r="I208" i="168"/>
  <c r="I210" i="168"/>
  <c r="I212" i="168"/>
  <c r="I214" i="168"/>
  <c r="I218" i="168"/>
  <c r="I220" i="168"/>
  <c r="I222" i="168"/>
  <c r="I224" i="168"/>
  <c r="I226" i="168"/>
  <c r="I228" i="168"/>
  <c r="I230" i="168"/>
  <c r="I232" i="168"/>
  <c r="I234" i="168"/>
  <c r="I236" i="168"/>
  <c r="I238" i="168"/>
  <c r="I240" i="168"/>
  <c r="I242" i="168"/>
  <c r="I244" i="168"/>
  <c r="I246" i="168"/>
  <c r="I248" i="168"/>
  <c r="I250" i="168"/>
  <c r="I252" i="168"/>
  <c r="I254" i="168"/>
  <c r="I256" i="168"/>
  <c r="I258" i="168"/>
  <c r="I266" i="168"/>
  <c r="I268" i="168"/>
  <c r="I270" i="168"/>
  <c r="I272" i="168"/>
  <c r="I274" i="168"/>
  <c r="I276" i="168"/>
  <c r="I278" i="168"/>
  <c r="I280" i="168"/>
  <c r="I282" i="168"/>
  <c r="I284" i="168"/>
  <c r="I286" i="168"/>
  <c r="I288" i="168"/>
  <c r="I290" i="168"/>
  <c r="I292" i="168"/>
  <c r="I294" i="168"/>
  <c r="I296" i="168"/>
  <c r="I303" i="168"/>
  <c r="I305" i="168"/>
  <c r="I307" i="168"/>
  <c r="I309" i="168"/>
  <c r="I311" i="168"/>
  <c r="I313" i="168"/>
  <c r="I315" i="168"/>
  <c r="I317" i="168"/>
  <c r="I319" i="168"/>
  <c r="I321" i="168"/>
  <c r="I323" i="168"/>
  <c r="I325" i="168"/>
  <c r="I327" i="168"/>
  <c r="I329" i="168"/>
  <c r="I331" i="168"/>
  <c r="I333" i="168"/>
  <c r="I342" i="168"/>
  <c r="I344" i="168"/>
  <c r="I346" i="168"/>
  <c r="I348" i="168"/>
  <c r="I350" i="168"/>
  <c r="I352" i="168"/>
  <c r="I354" i="168"/>
  <c r="I356" i="168"/>
  <c r="I358" i="168"/>
  <c r="I360" i="168"/>
  <c r="I362" i="168"/>
  <c r="I364" i="168"/>
  <c r="I366" i="168"/>
  <c r="I368" i="168"/>
  <c r="I370" i="168"/>
  <c r="I372" i="168"/>
  <c r="I374" i="168"/>
  <c r="I380" i="168"/>
  <c r="I382" i="168"/>
  <c r="I221" i="168"/>
  <c r="I223" i="168"/>
  <c r="I225" i="168"/>
  <c r="I227" i="168"/>
  <c r="I229" i="168"/>
  <c r="I231" i="168"/>
  <c r="I233" i="168"/>
  <c r="I235" i="168"/>
  <c r="I237" i="168"/>
  <c r="I239" i="168"/>
  <c r="I241" i="168"/>
  <c r="I243" i="168"/>
  <c r="I245" i="168"/>
  <c r="I247" i="168"/>
  <c r="I249" i="168"/>
  <c r="I251" i="168"/>
  <c r="I253" i="168"/>
  <c r="I255" i="168"/>
  <c r="I257" i="168"/>
  <c r="I265" i="168"/>
  <c r="I267" i="168"/>
  <c r="I269" i="168"/>
  <c r="I271" i="168"/>
  <c r="I273" i="168"/>
  <c r="I275" i="168"/>
  <c r="I277" i="168"/>
  <c r="I279" i="168"/>
  <c r="I281" i="168"/>
  <c r="I283" i="168"/>
  <c r="I285" i="168"/>
  <c r="I287" i="168"/>
  <c r="I289" i="168"/>
  <c r="I291" i="168"/>
  <c r="I293" i="168"/>
  <c r="I295" i="168"/>
  <c r="I302" i="168"/>
  <c r="I304" i="168"/>
  <c r="I306" i="168"/>
  <c r="I308" i="168"/>
  <c r="I310" i="168"/>
  <c r="I312" i="168"/>
  <c r="I314" i="168"/>
  <c r="I316" i="168"/>
  <c r="I318" i="168"/>
  <c r="I320" i="168"/>
  <c r="I322" i="168"/>
  <c r="I324" i="168"/>
  <c r="I326" i="168"/>
  <c r="I328" i="168"/>
  <c r="I330" i="168"/>
  <c r="I332" i="168"/>
  <c r="I334" i="168"/>
  <c r="I343" i="168"/>
  <c r="I345" i="168"/>
  <c r="I347" i="168"/>
  <c r="I349" i="168"/>
  <c r="I351" i="168"/>
  <c r="I353" i="168"/>
  <c r="I355" i="168"/>
  <c r="I357" i="168"/>
  <c r="I359" i="168"/>
  <c r="I361" i="168"/>
  <c r="I363" i="168"/>
  <c r="I365" i="168"/>
  <c r="I367" i="168"/>
  <c r="I369" i="168"/>
  <c r="I371" i="168"/>
  <c r="I373" i="168"/>
  <c r="I379" i="168"/>
  <c r="I381" i="168"/>
  <c r="I383" i="168"/>
  <c r="I385" i="168"/>
  <c r="I387" i="168"/>
  <c r="I389" i="168"/>
  <c r="I391" i="168"/>
  <c r="I393" i="168"/>
  <c r="I395" i="168"/>
  <c r="I397" i="168"/>
  <c r="I399" i="168"/>
  <c r="I401" i="168"/>
  <c r="I403" i="168"/>
  <c r="I405" i="168"/>
  <c r="I411" i="168"/>
  <c r="I413" i="168"/>
  <c r="I415" i="168"/>
  <c r="I417" i="168"/>
  <c r="I419" i="168"/>
  <c r="I421" i="168"/>
  <c r="I423" i="168"/>
  <c r="I425" i="168"/>
  <c r="I427" i="168"/>
  <c r="I429" i="168"/>
  <c r="I433" i="168"/>
  <c r="I435" i="168"/>
  <c r="I437" i="168"/>
  <c r="I439" i="168"/>
  <c r="I441" i="168"/>
  <c r="I443" i="168"/>
  <c r="I445" i="168"/>
  <c r="I447" i="168"/>
  <c r="I449" i="168"/>
  <c r="I451" i="168"/>
  <c r="I453" i="168"/>
  <c r="I455" i="168"/>
  <c r="I457" i="168"/>
  <c r="I459" i="168"/>
  <c r="I461" i="168"/>
  <c r="I463" i="168"/>
  <c r="I465" i="168"/>
  <c r="I467" i="168"/>
  <c r="I499" i="168"/>
  <c r="I501" i="168"/>
  <c r="I503" i="168"/>
  <c r="I505" i="168"/>
  <c r="I507" i="168"/>
  <c r="I509" i="168"/>
  <c r="I511" i="168"/>
  <c r="I513" i="168"/>
  <c r="I515" i="168"/>
  <c r="I517" i="168"/>
  <c r="I519" i="168"/>
  <c r="I521" i="168"/>
  <c r="I523" i="168"/>
  <c r="I525" i="168"/>
  <c r="I527" i="168"/>
  <c r="I529" i="168"/>
  <c r="I540" i="168"/>
  <c r="I386" i="168"/>
  <c r="I388" i="168"/>
  <c r="I390" i="168"/>
  <c r="I392" i="168"/>
  <c r="I394" i="168"/>
  <c r="I396" i="168"/>
  <c r="I398" i="168"/>
  <c r="I400" i="168"/>
  <c r="I402" i="168"/>
  <c r="I404" i="168"/>
  <c r="I406" i="168"/>
  <c r="I412" i="168"/>
  <c r="I414" i="168"/>
  <c r="I416" i="168"/>
  <c r="I418" i="168"/>
  <c r="I420" i="168"/>
  <c r="I422" i="168"/>
  <c r="I424" i="168"/>
  <c r="I426" i="168"/>
  <c r="I428" i="168"/>
  <c r="I430" i="168"/>
  <c r="I434" i="168"/>
  <c r="I436" i="168"/>
  <c r="I438" i="168"/>
  <c r="I440" i="168"/>
  <c r="I442" i="168"/>
  <c r="I444" i="168"/>
  <c r="I446" i="168"/>
  <c r="I448" i="168"/>
  <c r="I450" i="168"/>
  <c r="I452" i="168"/>
  <c r="I454" i="168"/>
  <c r="I456" i="168"/>
  <c r="I458" i="168"/>
  <c r="I460" i="168"/>
  <c r="I462" i="168"/>
  <c r="I464" i="168"/>
  <c r="I466" i="168"/>
  <c r="I468" i="168"/>
  <c r="I500" i="168"/>
  <c r="I502" i="168"/>
  <c r="I504" i="168"/>
  <c r="I506" i="168"/>
  <c r="I508" i="168"/>
  <c r="I510" i="168"/>
  <c r="I512" i="168"/>
  <c r="I514" i="168"/>
  <c r="I516" i="168"/>
  <c r="I518" i="168"/>
  <c r="I520" i="168"/>
  <c r="I522" i="168"/>
  <c r="I524" i="168"/>
  <c r="I526" i="168"/>
  <c r="I528" i="168"/>
  <c r="I539" i="168"/>
  <c r="I541" i="168"/>
  <c r="I543" i="168"/>
  <c r="I545" i="168"/>
  <c r="I547" i="168"/>
  <c r="I549" i="168"/>
  <c r="I551" i="168"/>
  <c r="I553" i="168"/>
  <c r="I555" i="168"/>
  <c r="I557" i="168"/>
  <c r="I559" i="168"/>
  <c r="I561" i="168"/>
  <c r="I563" i="168"/>
  <c r="I565" i="168"/>
  <c r="I567" i="168"/>
  <c r="I569" i="168"/>
  <c r="I573" i="168"/>
  <c r="I575" i="168"/>
  <c r="I577" i="168"/>
  <c r="I579" i="168"/>
  <c r="I581" i="168"/>
  <c r="I583" i="168"/>
  <c r="I585" i="168"/>
  <c r="I587" i="168"/>
  <c r="I589" i="168"/>
  <c r="I591" i="168"/>
  <c r="I593" i="168"/>
  <c r="I595" i="168"/>
  <c r="I597" i="168"/>
  <c r="I599" i="168"/>
  <c r="I601" i="168"/>
  <c r="I603" i="168"/>
  <c r="I605" i="168"/>
  <c r="I607" i="168"/>
  <c r="I609" i="168"/>
  <c r="I611" i="168"/>
  <c r="I613" i="168"/>
  <c r="I615" i="168"/>
  <c r="I617" i="168"/>
  <c r="I619" i="168"/>
  <c r="I621" i="168"/>
  <c r="I623" i="168"/>
  <c r="I625" i="168"/>
  <c r="I627" i="168"/>
  <c r="I629" i="168"/>
  <c r="I631" i="168"/>
  <c r="I633" i="168"/>
  <c r="I635" i="168"/>
  <c r="I637" i="168"/>
  <c r="I639" i="168"/>
  <c r="I648" i="168"/>
  <c r="I650" i="168"/>
  <c r="I652" i="168"/>
  <c r="I654" i="168"/>
  <c r="I656" i="168"/>
  <c r="I658" i="168"/>
  <c r="I660" i="168"/>
  <c r="I662" i="168"/>
  <c r="I664" i="168"/>
  <c r="I668" i="168"/>
  <c r="I670" i="168"/>
  <c r="I672" i="168"/>
  <c r="I674" i="168"/>
  <c r="I676" i="168"/>
  <c r="I678" i="168"/>
  <c r="I680" i="168"/>
  <c r="I683" i="168"/>
  <c r="I685" i="168"/>
  <c r="I687" i="168"/>
  <c r="I689" i="168"/>
  <c r="I691" i="168"/>
  <c r="I694" i="168"/>
  <c r="I696" i="168"/>
  <c r="I698" i="168"/>
  <c r="I700" i="168"/>
  <c r="I702" i="168"/>
  <c r="I704" i="168"/>
  <c r="I706" i="168"/>
  <c r="I708" i="168"/>
  <c r="I710" i="168"/>
  <c r="I712" i="168"/>
  <c r="I714" i="168"/>
  <c r="I716" i="168"/>
  <c r="I718" i="168"/>
  <c r="I720" i="168"/>
  <c r="I722" i="168"/>
  <c r="I724" i="168"/>
  <c r="I726" i="168"/>
  <c r="I733" i="168"/>
  <c r="I735" i="168"/>
  <c r="I737" i="168"/>
  <c r="I739" i="168"/>
  <c r="I741" i="168"/>
  <c r="I743" i="168"/>
  <c r="I745" i="168"/>
  <c r="I747" i="168"/>
  <c r="I749" i="168"/>
  <c r="I751" i="168"/>
  <c r="I753" i="168"/>
  <c r="I755" i="168"/>
  <c r="I757" i="168"/>
  <c r="I759" i="168"/>
  <c r="I761" i="168"/>
  <c r="I763" i="168"/>
  <c r="I773" i="168"/>
  <c r="I775" i="168"/>
  <c r="I777" i="168"/>
  <c r="I779" i="168"/>
  <c r="I781" i="168"/>
  <c r="I783" i="168"/>
  <c r="I785" i="168"/>
  <c r="I787" i="168"/>
  <c r="I789" i="168"/>
  <c r="I792" i="168"/>
  <c r="I794" i="168"/>
  <c r="I796" i="168"/>
  <c r="I542" i="168"/>
  <c r="I544" i="168"/>
  <c r="I546" i="168"/>
  <c r="I548" i="168"/>
  <c r="I550" i="168"/>
  <c r="I552" i="168"/>
  <c r="I554" i="168"/>
  <c r="I556" i="168"/>
  <c r="I558" i="168"/>
  <c r="I560" i="168"/>
  <c r="I562" i="168"/>
  <c r="I564" i="168"/>
  <c r="I566" i="168"/>
  <c r="I568" i="168"/>
  <c r="I570" i="168"/>
  <c r="I574" i="168"/>
  <c r="I576" i="168"/>
  <c r="I578" i="168"/>
  <c r="I580" i="168"/>
  <c r="I582" i="168"/>
  <c r="I584" i="168"/>
  <c r="I586" i="168"/>
  <c r="I588" i="168"/>
  <c r="I590" i="168"/>
  <c r="I592" i="168"/>
  <c r="I594" i="168"/>
  <c r="I596" i="168"/>
  <c r="I598" i="168"/>
  <c r="I600" i="168"/>
  <c r="I602" i="168"/>
  <c r="I604" i="168"/>
  <c r="I606" i="168"/>
  <c r="I608" i="168"/>
  <c r="I610" i="168"/>
  <c r="I612" i="168"/>
  <c r="I614" i="168"/>
  <c r="I616" i="168"/>
  <c r="I618" i="168"/>
  <c r="I620" i="168"/>
  <c r="I622" i="168"/>
  <c r="I624" i="168"/>
  <c r="I626" i="168"/>
  <c r="I628" i="168"/>
  <c r="I630" i="168"/>
  <c r="I632" i="168"/>
  <c r="I634" i="168"/>
  <c r="I636" i="168"/>
  <c r="I638" i="168"/>
  <c r="I647" i="168"/>
  <c r="I649" i="168"/>
  <c r="I651" i="168"/>
  <c r="I653" i="168"/>
  <c r="I655" i="168"/>
  <c r="I657" i="168"/>
  <c r="I659" i="168"/>
  <c r="I661" i="168"/>
  <c r="I663" i="168"/>
  <c r="I665" i="168"/>
  <c r="I669" i="168"/>
  <c r="I671" i="168"/>
  <c r="I673" i="168"/>
  <c r="I675" i="168"/>
  <c r="I677" i="168"/>
  <c r="I679" i="168"/>
  <c r="I681" i="168"/>
  <c r="I684" i="168"/>
  <c r="I686" i="168"/>
  <c r="I688" i="168"/>
  <c r="I690" i="168"/>
  <c r="I692" i="168"/>
  <c r="I695" i="168"/>
  <c r="I697" i="168"/>
  <c r="I699" i="168"/>
  <c r="I701" i="168"/>
  <c r="I703" i="168"/>
  <c r="I705" i="168"/>
  <c r="I707" i="168"/>
  <c r="I709" i="168"/>
  <c r="I711" i="168"/>
  <c r="I713" i="168"/>
  <c r="I715" i="168"/>
  <c r="I717" i="168"/>
  <c r="I719" i="168"/>
  <c r="I721" i="168"/>
  <c r="I723" i="168"/>
  <c r="I725" i="168"/>
  <c r="I732" i="168"/>
  <c r="I734" i="168"/>
  <c r="I736" i="168"/>
  <c r="I738" i="168"/>
  <c r="I740" i="168"/>
  <c r="I742" i="168"/>
  <c r="I744" i="168"/>
  <c r="I746" i="168"/>
  <c r="I748" i="168"/>
  <c r="I750" i="168"/>
  <c r="I752" i="168"/>
  <c r="I754" i="168"/>
  <c r="I756" i="168"/>
  <c r="I758" i="168"/>
  <c r="I760" i="168"/>
  <c r="I762" i="168"/>
  <c r="I764" i="168"/>
  <c r="I774" i="168"/>
  <c r="I776" i="168"/>
  <c r="I778" i="168"/>
  <c r="I780" i="168"/>
  <c r="I782" i="168"/>
  <c r="I784" i="168"/>
  <c r="I786" i="168"/>
  <c r="I788" i="168"/>
  <c r="I791" i="168"/>
  <c r="I793" i="168"/>
  <c r="I795" i="168"/>
  <c r="I797" i="168"/>
  <c r="I799" i="168"/>
  <c r="I801" i="168"/>
  <c r="I803" i="168"/>
  <c r="I805" i="168"/>
  <c r="I807" i="168"/>
  <c r="I809" i="168"/>
  <c r="I811" i="168"/>
  <c r="I813" i="168"/>
  <c r="I815" i="168"/>
  <c r="I817" i="168"/>
  <c r="I819" i="168"/>
  <c r="I821" i="168"/>
  <c r="I823" i="168"/>
  <c r="I825" i="168"/>
  <c r="I827" i="168"/>
  <c r="I829" i="168"/>
  <c r="I831" i="168"/>
  <c r="I833" i="168"/>
  <c r="I835" i="168"/>
  <c r="I798" i="168"/>
  <c r="I800" i="168"/>
  <c r="I802" i="168"/>
  <c r="I804" i="168"/>
  <c r="I806" i="168"/>
  <c r="I808" i="168"/>
  <c r="I810" i="168"/>
  <c r="I812" i="168"/>
  <c r="I814" i="168"/>
  <c r="I816" i="168"/>
  <c r="I818" i="168"/>
  <c r="I820" i="168"/>
  <c r="I822" i="168"/>
  <c r="I824" i="168"/>
  <c r="I826" i="168"/>
  <c r="I828" i="168"/>
  <c r="I830" i="168"/>
  <c r="I832" i="168"/>
  <c r="I834" i="168"/>
  <c r="I847" i="168"/>
  <c r="I849" i="168"/>
  <c r="I851" i="168"/>
  <c r="I853" i="168"/>
  <c r="I855" i="168"/>
  <c r="I857" i="168"/>
  <c r="I859" i="168"/>
  <c r="I861" i="168"/>
  <c r="I863" i="168"/>
  <c r="I865" i="168"/>
  <c r="I867" i="168"/>
  <c r="I869" i="168"/>
  <c r="I871" i="168"/>
  <c r="I873" i="168"/>
  <c r="I875" i="168"/>
  <c r="I877" i="168"/>
  <c r="I879" i="168"/>
  <c r="I881" i="168"/>
  <c r="I883" i="168"/>
  <c r="I885" i="168"/>
  <c r="I887" i="168"/>
  <c r="I899" i="168"/>
  <c r="I901" i="168"/>
  <c r="I903" i="168"/>
  <c r="I905" i="168"/>
  <c r="I907" i="168"/>
  <c r="I909" i="168"/>
  <c r="I911" i="168"/>
  <c r="I913" i="168"/>
  <c r="I915" i="168"/>
  <c r="I917" i="168"/>
  <c r="I919" i="168"/>
  <c r="I921" i="168"/>
  <c r="I923" i="168"/>
  <c r="I925" i="168"/>
  <c r="I927" i="168"/>
  <c r="I929" i="168"/>
  <c r="I931" i="168"/>
  <c r="I942" i="168"/>
  <c r="I944" i="168"/>
  <c r="I946" i="168"/>
  <c r="I948" i="168"/>
  <c r="I950" i="168"/>
  <c r="I952" i="168"/>
  <c r="I954" i="168"/>
  <c r="I956" i="168"/>
  <c r="I958" i="168"/>
  <c r="I960" i="168"/>
  <c r="I962" i="168"/>
  <c r="I964" i="168"/>
  <c r="I966" i="168"/>
  <c r="I968" i="168"/>
  <c r="I970" i="168"/>
  <c r="I972" i="168"/>
  <c r="I974" i="168"/>
  <c r="I976" i="168"/>
  <c r="I978" i="168"/>
  <c r="I980" i="168"/>
  <c r="I993" i="168"/>
  <c r="I995" i="168"/>
  <c r="I997" i="168"/>
  <c r="I999" i="168"/>
  <c r="I1001" i="168"/>
  <c r="I1003" i="168"/>
  <c r="I1005" i="168"/>
  <c r="I1007" i="168"/>
  <c r="I1009" i="168"/>
  <c r="I1011" i="168"/>
  <c r="I1013" i="168"/>
  <c r="I1015" i="168"/>
  <c r="I1017" i="168"/>
  <c r="I1019" i="168"/>
  <c r="I1021" i="168"/>
  <c r="I1023" i="168"/>
  <c r="I1025" i="168"/>
  <c r="I1027" i="168"/>
  <c r="I1029" i="168"/>
  <c r="I1031" i="168"/>
  <c r="I1033" i="168"/>
  <c r="I1035" i="168"/>
  <c r="I1037" i="168"/>
  <c r="I1039" i="168"/>
  <c r="I1041" i="168"/>
  <c r="I1043" i="168"/>
  <c r="I1045" i="168"/>
  <c r="I1047" i="168"/>
  <c r="I1049" i="168"/>
  <c r="I1051" i="168"/>
  <c r="I1053" i="168"/>
  <c r="I1055" i="168"/>
  <c r="I1057" i="168"/>
  <c r="I1059" i="168"/>
  <c r="I1072" i="168"/>
  <c r="I1074" i="168"/>
  <c r="I1076" i="168"/>
  <c r="I1078" i="168"/>
  <c r="I1080" i="168"/>
  <c r="I1083" i="168"/>
  <c r="I1085" i="168"/>
  <c r="I1087" i="168"/>
  <c r="I1089" i="168"/>
  <c r="I1091" i="168"/>
  <c r="I1093" i="168"/>
  <c r="I1095" i="168"/>
  <c r="I1097" i="168"/>
  <c r="I1099" i="168"/>
  <c r="I1101" i="168"/>
  <c r="I1103" i="168"/>
  <c r="I1105" i="168"/>
  <c r="I1107" i="168"/>
  <c r="I1109" i="168"/>
  <c r="I1111" i="168"/>
  <c r="I1113" i="168"/>
  <c r="I1115" i="168"/>
  <c r="I1117" i="168"/>
  <c r="I1119" i="168"/>
  <c r="I848" i="168"/>
  <c r="I850" i="168"/>
  <c r="I852" i="168"/>
  <c r="I854" i="168"/>
  <c r="I856" i="168"/>
  <c r="I858" i="168"/>
  <c r="I860" i="168"/>
  <c r="I862" i="168"/>
  <c r="I864" i="168"/>
  <c r="I866" i="168"/>
  <c r="I868" i="168"/>
  <c r="I870" i="168"/>
  <c r="I872" i="168"/>
  <c r="I874" i="168"/>
  <c r="I876" i="168"/>
  <c r="I878" i="168"/>
  <c r="I880" i="168"/>
  <c r="I882" i="168"/>
  <c r="I884" i="168"/>
  <c r="I886" i="168"/>
  <c r="I898" i="168"/>
  <c r="I900" i="168"/>
  <c r="I902" i="168"/>
  <c r="I904" i="168"/>
  <c r="I906" i="168"/>
  <c r="I908" i="168"/>
  <c r="I910" i="168"/>
  <c r="I912" i="168"/>
  <c r="I914" i="168"/>
  <c r="I916" i="168"/>
  <c r="I918" i="168"/>
  <c r="I920" i="168"/>
  <c r="I922" i="168"/>
  <c r="I924" i="168"/>
  <c r="I926" i="168"/>
  <c r="I928" i="168"/>
  <c r="I930" i="168"/>
  <c r="I932" i="168"/>
  <c r="I943" i="168"/>
  <c r="I945" i="168"/>
  <c r="I947" i="168"/>
  <c r="I949" i="168"/>
  <c r="I951" i="168"/>
  <c r="I953" i="168"/>
  <c r="I955" i="168"/>
  <c r="I957" i="168"/>
  <c r="I959" i="168"/>
  <c r="I961" i="168"/>
  <c r="I963" i="168"/>
  <c r="I965" i="168"/>
  <c r="I967" i="168"/>
  <c r="I969" i="168"/>
  <c r="I971" i="168"/>
  <c r="I973" i="168"/>
  <c r="I975" i="168"/>
  <c r="I977" i="168"/>
  <c r="I979" i="168"/>
  <c r="I992" i="168"/>
  <c r="I994" i="168"/>
  <c r="I996" i="168"/>
  <c r="I998" i="168"/>
  <c r="I1000" i="168"/>
  <c r="I1002" i="168"/>
  <c r="I1004" i="168"/>
  <c r="I1006" i="168"/>
  <c r="I1008" i="168"/>
  <c r="I1010" i="168"/>
  <c r="I1012" i="168"/>
  <c r="I1014" i="168"/>
  <c r="I1016" i="168"/>
  <c r="I1018" i="168"/>
  <c r="I1020" i="168"/>
  <c r="I1022" i="168"/>
  <c r="I1024" i="168"/>
  <c r="I1026" i="168"/>
  <c r="I1028" i="168"/>
  <c r="I1030" i="168"/>
  <c r="I1032" i="168"/>
  <c r="I1034" i="168"/>
  <c r="I1036" i="168"/>
  <c r="I1038" i="168"/>
  <c r="I1040" i="168"/>
  <c r="I1042" i="168"/>
  <c r="I1044" i="168"/>
  <c r="I1046" i="168"/>
  <c r="J44" i="168" a="1"/>
  <c r="J44" i="168" s="1"/>
  <c r="J45" i="168" a="1"/>
  <c r="J45" i="168" s="1"/>
  <c r="J46" i="168" a="1"/>
  <c r="J46" i="168" s="1"/>
  <c r="J47" i="168" a="1"/>
  <c r="J47" i="168" s="1"/>
  <c r="J50" i="168" a="1"/>
  <c r="J50" i="168" s="1"/>
  <c r="J60" i="168" a="1"/>
  <c r="J60" i="168" s="1"/>
  <c r="J63" i="168" a="1"/>
  <c r="J63" i="168" s="1"/>
  <c r="J66" i="168" a="1"/>
  <c r="J66" i="168" s="1"/>
  <c r="J69" i="168" a="1"/>
  <c r="J69" i="168" s="1"/>
  <c r="J72" i="168" a="1"/>
  <c r="J72" i="168" s="1"/>
  <c r="J75" i="168" a="1"/>
  <c r="J75" i="168" s="1"/>
  <c r="J78" i="168" a="1"/>
  <c r="J78" i="168" s="1"/>
  <c r="J81" i="168" a="1"/>
  <c r="J81" i="168" s="1"/>
  <c r="J84" i="168" a="1"/>
  <c r="J84" i="168" s="1"/>
  <c r="J87" i="168" a="1"/>
  <c r="J87" i="168" s="1"/>
  <c r="J90" i="168" a="1"/>
  <c r="J90" i="168" s="1"/>
  <c r="J102" i="168" a="1"/>
  <c r="J102" i="168" s="1"/>
  <c r="J105" i="168" a="1"/>
  <c r="J105" i="168" s="1"/>
  <c r="J108" i="168" a="1"/>
  <c r="J108" i="168" s="1"/>
  <c r="J111" i="168" a="1"/>
  <c r="J111" i="168" s="1"/>
  <c r="J114" i="168" a="1"/>
  <c r="J114" i="168" s="1"/>
  <c r="J117" i="168" a="1"/>
  <c r="J117" i="168" s="1"/>
  <c r="J120" i="168" a="1"/>
  <c r="J120" i="168" s="1"/>
  <c r="J123" i="168" a="1"/>
  <c r="J123" i="168" s="1"/>
  <c r="J126" i="168" a="1"/>
  <c r="J126" i="168" s="1"/>
  <c r="J129" i="168" a="1"/>
  <c r="J129" i="168" s="1"/>
  <c r="J132" i="168" a="1"/>
  <c r="J132" i="168" s="1"/>
  <c r="J135" i="168" a="1"/>
  <c r="J135" i="168" s="1"/>
  <c r="J148" i="168" a="1"/>
  <c r="J148" i="168" s="1"/>
  <c r="J151" i="168" a="1"/>
  <c r="J151" i="168" s="1"/>
  <c r="J154" i="168" a="1"/>
  <c r="J154" i="168" s="1"/>
  <c r="J157" i="168" a="1"/>
  <c r="J157" i="168" s="1"/>
  <c r="J160" i="168" a="1"/>
  <c r="J160" i="168" s="1"/>
  <c r="J163" i="168" a="1"/>
  <c r="J163" i="168" s="1"/>
  <c r="J166" i="168" a="1"/>
  <c r="J166" i="168" s="1"/>
  <c r="J169" i="168" a="1"/>
  <c r="J169" i="168" s="1"/>
  <c r="J172" i="168" a="1"/>
  <c r="J172" i="168" s="1"/>
  <c r="J175" i="168" a="1"/>
  <c r="J175" i="168" s="1"/>
  <c r="J178" i="168" a="1"/>
  <c r="J178" i="168" s="1"/>
  <c r="J187" i="168" a="1"/>
  <c r="J187" i="168" s="1"/>
  <c r="J190" i="168" a="1"/>
  <c r="J190" i="168" s="1"/>
  <c r="J193" i="168" a="1"/>
  <c r="J193" i="168" s="1"/>
  <c r="J196" i="168" a="1"/>
  <c r="J196" i="168" s="1"/>
  <c r="J199" i="168" a="1"/>
  <c r="J199" i="168" s="1"/>
  <c r="J202" i="168" a="1"/>
  <c r="J202" i="168" s="1"/>
  <c r="J205" i="168" a="1"/>
  <c r="J205" i="168" s="1"/>
  <c r="J208" i="168" a="1"/>
  <c r="J208" i="168" s="1"/>
  <c r="J211" i="168" a="1"/>
  <c r="J211" i="168" s="1"/>
  <c r="J214" i="168" a="1"/>
  <c r="J214" i="168" s="1"/>
  <c r="J219" i="168" a="1"/>
  <c r="J219" i="168" s="1"/>
  <c r="J222" i="168" a="1"/>
  <c r="J222" i="168" s="1"/>
  <c r="J225" i="168" a="1"/>
  <c r="J225" i="168" s="1"/>
  <c r="J228" i="168" a="1"/>
  <c r="J228" i="168" s="1"/>
  <c r="J231" i="168" a="1"/>
  <c r="J231" i="168" s="1"/>
  <c r="J234" i="168" a="1"/>
  <c r="J234" i="168" s="1"/>
  <c r="J237" i="168" a="1"/>
  <c r="J237" i="168" s="1"/>
  <c r="J240" i="168" a="1"/>
  <c r="J240" i="168" s="1"/>
  <c r="J243" i="168" a="1"/>
  <c r="J243" i="168" s="1"/>
  <c r="J246" i="168" a="1"/>
  <c r="J246" i="168" s="1"/>
  <c r="J249" i="168" a="1"/>
  <c r="J249" i="168" s="1"/>
  <c r="J252" i="168" a="1"/>
  <c r="J252" i="168" s="1"/>
  <c r="J255" i="168" a="1"/>
  <c r="J255" i="168" s="1"/>
  <c r="J258" i="168" a="1"/>
  <c r="J258" i="168" s="1"/>
  <c r="J267" i="168" a="1"/>
  <c r="J267" i="168" s="1"/>
  <c r="J270" i="168" a="1"/>
  <c r="J270" i="168" s="1"/>
  <c r="J273" i="168" a="1"/>
  <c r="J273" i="168" s="1"/>
  <c r="J276" i="168" a="1"/>
  <c r="J276" i="168" s="1"/>
  <c r="J279" i="168" a="1"/>
  <c r="J279" i="168" s="1"/>
  <c r="J282" i="168" a="1"/>
  <c r="J282" i="168" s="1"/>
  <c r="J285" i="168" a="1"/>
  <c r="J285" i="168" s="1"/>
  <c r="J288" i="168" a="1"/>
  <c r="J288" i="168" s="1"/>
  <c r="J291" i="168" a="1"/>
  <c r="J291" i="168" s="1"/>
  <c r="J294" i="168" a="1"/>
  <c r="J294" i="168" s="1"/>
  <c r="J302" i="168" a="1"/>
  <c r="J302" i="168" s="1"/>
  <c r="C27" i="120" s="1"/>
  <c r="J305" i="168" a="1"/>
  <c r="J305" i="168" s="1"/>
  <c r="J308" i="168" a="1"/>
  <c r="J308" i="168" s="1"/>
  <c r="J311" i="168" a="1"/>
  <c r="J311" i="168" s="1"/>
  <c r="J314" i="168" a="1"/>
  <c r="J314" i="168" s="1"/>
  <c r="J317" i="168" a="1"/>
  <c r="J317" i="168" s="1"/>
  <c r="J320" i="168" a="1"/>
  <c r="J320" i="168" s="1"/>
  <c r="J323" i="168" a="1"/>
  <c r="J323" i="168" s="1"/>
  <c r="J326" i="168" a="1"/>
  <c r="J326" i="168" s="1"/>
  <c r="J329" i="168" a="1"/>
  <c r="J329" i="168" s="1"/>
  <c r="J332" i="168" a="1"/>
  <c r="J332" i="168" s="1"/>
  <c r="J342" i="168" a="1"/>
  <c r="J342" i="168" s="1"/>
  <c r="C30" i="120" s="1"/>
  <c r="J345" i="168" a="1"/>
  <c r="J345" i="168" s="1"/>
  <c r="J348" i="168" a="1"/>
  <c r="J348" i="168" s="1"/>
  <c r="J351" i="168" a="1"/>
  <c r="J351" i="168" s="1"/>
  <c r="J48" i="168" a="1"/>
  <c r="J48" i="168" s="1"/>
  <c r="J58" i="168" a="1"/>
  <c r="J58" i="168" s="1"/>
  <c r="C26" i="120" s="1"/>
  <c r="J61" i="168" a="1"/>
  <c r="J61" i="168" s="1"/>
  <c r="J64" i="168" a="1"/>
  <c r="J64" i="168" s="1"/>
  <c r="J67" i="168" a="1"/>
  <c r="J67" i="168" s="1"/>
  <c r="J70" i="168" a="1"/>
  <c r="J70" i="168" s="1"/>
  <c r="J73" i="168" a="1"/>
  <c r="J73" i="168" s="1"/>
  <c r="J76" i="168" a="1"/>
  <c r="J76" i="168" s="1"/>
  <c r="J79" i="168" a="1"/>
  <c r="J79" i="168" s="1"/>
  <c r="J82" i="168" a="1"/>
  <c r="J82" i="168" s="1"/>
  <c r="J85" i="168" a="1"/>
  <c r="J85" i="168" s="1"/>
  <c r="J88" i="168" a="1"/>
  <c r="J88" i="168" s="1"/>
  <c r="J91" i="168" a="1"/>
  <c r="J91" i="168" s="1"/>
  <c r="J103" i="168" a="1"/>
  <c r="J103" i="168" s="1"/>
  <c r="J106" i="168" a="1"/>
  <c r="J106" i="168" s="1"/>
  <c r="J109" i="168" a="1"/>
  <c r="J109" i="168" s="1"/>
  <c r="J112" i="168" a="1"/>
  <c r="J112" i="168" s="1"/>
  <c r="J115" i="168" a="1"/>
  <c r="J115" i="168" s="1"/>
  <c r="J118" i="168" a="1"/>
  <c r="J118" i="168" s="1"/>
  <c r="J121" i="168" a="1"/>
  <c r="J121" i="168" s="1"/>
  <c r="J124" i="168" a="1"/>
  <c r="J124" i="168" s="1"/>
  <c r="J127" i="168" a="1"/>
  <c r="J127" i="168" s="1"/>
  <c r="J130" i="168" a="1"/>
  <c r="J130" i="168" s="1"/>
  <c r="J133" i="168" a="1"/>
  <c r="J133" i="168" s="1"/>
  <c r="J146" i="168" a="1"/>
  <c r="J146" i="168" s="1"/>
  <c r="J149" i="168" a="1"/>
  <c r="J149" i="168" s="1"/>
  <c r="J152" i="168" a="1"/>
  <c r="J152" i="168" s="1"/>
  <c r="J155" i="168" a="1"/>
  <c r="J155" i="168" s="1"/>
  <c r="J158" i="168" a="1"/>
  <c r="J158" i="168" s="1"/>
  <c r="J161" i="168" a="1"/>
  <c r="J161" i="168" s="1"/>
  <c r="J164" i="168" a="1"/>
  <c r="J164" i="168" s="1"/>
  <c r="J167" i="168" a="1"/>
  <c r="J167" i="168" s="1"/>
  <c r="J170" i="168" a="1"/>
  <c r="J170" i="168" s="1"/>
  <c r="J173" i="168" a="1"/>
  <c r="J173" i="168" s="1"/>
  <c r="J176" i="168" a="1"/>
  <c r="J176" i="168" s="1"/>
  <c r="J185" i="168" a="1"/>
  <c r="J185" i="168" s="1"/>
  <c r="C42" i="120" s="1"/>
  <c r="J188" i="168" a="1"/>
  <c r="J188" i="168" s="1"/>
  <c r="J191" i="168" a="1"/>
  <c r="J191" i="168" s="1"/>
  <c r="J194" i="168" a="1"/>
  <c r="J194" i="168" s="1"/>
  <c r="J197" i="168" a="1"/>
  <c r="J197" i="168" s="1"/>
  <c r="J200" i="168" a="1"/>
  <c r="J200" i="168" s="1"/>
  <c r="J203" i="168" a="1"/>
  <c r="J203" i="168" s="1"/>
  <c r="J206" i="168" a="1"/>
  <c r="J206" i="168" s="1"/>
  <c r="J209" i="168" a="1"/>
  <c r="J209" i="168" s="1"/>
  <c r="J212" i="168" a="1"/>
  <c r="J212" i="168" s="1"/>
  <c r="J215" i="168" a="1"/>
  <c r="J215" i="168" s="1"/>
  <c r="J220" i="168" a="1"/>
  <c r="J220" i="168" s="1"/>
  <c r="J223" i="168" a="1"/>
  <c r="J223" i="168" s="1"/>
  <c r="J226" i="168" a="1"/>
  <c r="J226" i="168" s="1"/>
  <c r="J229" i="168" a="1"/>
  <c r="J229" i="168" s="1"/>
  <c r="J232" i="168" a="1"/>
  <c r="J232" i="168" s="1"/>
  <c r="J235" i="168" a="1"/>
  <c r="J235" i="168" s="1"/>
  <c r="J238" i="168" a="1"/>
  <c r="J238" i="168" s="1"/>
  <c r="J241" i="168" a="1"/>
  <c r="J241" i="168" s="1"/>
  <c r="J244" i="168" a="1"/>
  <c r="J244" i="168" s="1"/>
  <c r="J247" i="168" a="1"/>
  <c r="J247" i="168" s="1"/>
  <c r="J250" i="168" a="1"/>
  <c r="J250" i="168" s="1"/>
  <c r="J253" i="168" a="1"/>
  <c r="J253" i="168" s="1"/>
  <c r="J256" i="168" a="1"/>
  <c r="J256" i="168" s="1"/>
  <c r="J265" i="168" a="1"/>
  <c r="J265" i="168" s="1"/>
  <c r="C36" i="120" s="1"/>
  <c r="J268" i="168" a="1"/>
  <c r="J268" i="168" s="1"/>
  <c r="J271" i="168" a="1"/>
  <c r="J271" i="168" s="1"/>
  <c r="J274" i="168" a="1"/>
  <c r="J274" i="168" s="1"/>
  <c r="J277" i="168" a="1"/>
  <c r="J277" i="168" s="1"/>
  <c r="J280" i="168" a="1"/>
  <c r="J280" i="168" s="1"/>
  <c r="J283" i="168" a="1"/>
  <c r="J283" i="168" s="1"/>
  <c r="J286" i="168" a="1"/>
  <c r="J286" i="168" s="1"/>
  <c r="J289" i="168" a="1"/>
  <c r="J289" i="168" s="1"/>
  <c r="J292" i="168" a="1"/>
  <c r="J292" i="168" s="1"/>
  <c r="J295" i="168" a="1"/>
  <c r="J295" i="168" s="1"/>
  <c r="J303" i="168" a="1"/>
  <c r="J303" i="168" s="1"/>
  <c r="J306" i="168" a="1"/>
  <c r="J306" i="168" s="1"/>
  <c r="J309" i="168" a="1"/>
  <c r="J309" i="168" s="1"/>
  <c r="J312" i="168" a="1"/>
  <c r="J312" i="168" s="1"/>
  <c r="J315" i="168" a="1"/>
  <c r="J315" i="168" s="1"/>
  <c r="J318" i="168" a="1"/>
  <c r="J318" i="168" s="1"/>
  <c r="J321" i="168" a="1"/>
  <c r="J321" i="168" s="1"/>
  <c r="J324" i="168" a="1"/>
  <c r="J324" i="168" s="1"/>
  <c r="J327" i="168" a="1"/>
  <c r="J327" i="168" s="1"/>
  <c r="J330" i="168" a="1"/>
  <c r="J330" i="168" s="1"/>
  <c r="J333" i="168" a="1"/>
  <c r="J333" i="168" s="1"/>
  <c r="J343" i="168" a="1"/>
  <c r="J343" i="168" s="1"/>
  <c r="J346" i="168" a="1"/>
  <c r="J346" i="168" s="1"/>
  <c r="J349" i="168" a="1"/>
  <c r="J349" i="168" s="1"/>
  <c r="J49" i="168" a="1"/>
  <c r="J49" i="168" s="1"/>
  <c r="J59" i="168" a="1"/>
  <c r="J59" i="168" s="1"/>
  <c r="J62" i="168" a="1"/>
  <c r="J62" i="168" s="1"/>
  <c r="J65" i="168" a="1"/>
  <c r="J65" i="168" s="1"/>
  <c r="J68" i="168" a="1"/>
  <c r="J68" i="168" s="1"/>
  <c r="J71" i="168" a="1"/>
  <c r="J71" i="168" s="1"/>
  <c r="J74" i="168" a="1"/>
  <c r="J74" i="168" s="1"/>
  <c r="J77" i="168" a="1"/>
  <c r="J77" i="168" s="1"/>
  <c r="J80" i="168" a="1"/>
  <c r="J80" i="168" s="1"/>
  <c r="J83" i="168" a="1"/>
  <c r="J83" i="168" s="1"/>
  <c r="J86" i="168" a="1"/>
  <c r="J86" i="168" s="1"/>
  <c r="J89" i="168" a="1"/>
  <c r="J89" i="168" s="1"/>
  <c r="J101" i="168" a="1"/>
  <c r="J101" i="168" s="1"/>
  <c r="J104" i="168" a="1"/>
  <c r="J104" i="168" s="1"/>
  <c r="J107" i="168" a="1"/>
  <c r="J107" i="168" s="1"/>
  <c r="J110" i="168" a="1"/>
  <c r="J110" i="168" s="1"/>
  <c r="J113" i="168" a="1"/>
  <c r="J113" i="168" s="1"/>
  <c r="J116" i="168" a="1"/>
  <c r="J116" i="168" s="1"/>
  <c r="J119" i="168" a="1"/>
  <c r="J119" i="168" s="1"/>
  <c r="J122" i="168" a="1"/>
  <c r="J122" i="168" s="1"/>
  <c r="J125" i="168" a="1"/>
  <c r="J125" i="168" s="1"/>
  <c r="J128" i="168" a="1"/>
  <c r="J128" i="168" s="1"/>
  <c r="J131" i="168" a="1"/>
  <c r="J131" i="168" s="1"/>
  <c r="J134" i="168" a="1"/>
  <c r="J134" i="168" s="1"/>
  <c r="J147" i="168" a="1"/>
  <c r="J147" i="168" s="1"/>
  <c r="J150" i="168" a="1"/>
  <c r="J150" i="168" s="1"/>
  <c r="J153" i="168" a="1"/>
  <c r="J153" i="168" s="1"/>
  <c r="J156" i="168" a="1"/>
  <c r="J156" i="168" s="1"/>
  <c r="J159" i="168" a="1"/>
  <c r="J159" i="168" s="1"/>
  <c r="J162" i="168" a="1"/>
  <c r="J162" i="168" s="1"/>
  <c r="J165" i="168" a="1"/>
  <c r="J165" i="168" s="1"/>
  <c r="J168" i="168" a="1"/>
  <c r="J168" i="168" s="1"/>
  <c r="J171" i="168" a="1"/>
  <c r="J171" i="168" s="1"/>
  <c r="J174" i="168" a="1"/>
  <c r="J174" i="168" s="1"/>
  <c r="J177" i="168" a="1"/>
  <c r="J177" i="168" s="1"/>
  <c r="J186" i="168" a="1"/>
  <c r="J186" i="168" s="1"/>
  <c r="J189" i="168" a="1"/>
  <c r="J189" i="168" s="1"/>
  <c r="J192" i="168" a="1"/>
  <c r="J192" i="168" s="1"/>
  <c r="J195" i="168" a="1"/>
  <c r="J195" i="168" s="1"/>
  <c r="J198" i="168" a="1"/>
  <c r="J198" i="168" s="1"/>
  <c r="J201" i="168" a="1"/>
  <c r="J201" i="168" s="1"/>
  <c r="J204" i="168" a="1"/>
  <c r="J204" i="168" s="1"/>
  <c r="J207" i="168" a="1"/>
  <c r="J207" i="168" s="1"/>
  <c r="J210" i="168" a="1"/>
  <c r="J210" i="168" s="1"/>
  <c r="J213" i="168" a="1"/>
  <c r="J213" i="168" s="1"/>
  <c r="J218" i="168" a="1"/>
  <c r="J218" i="168" s="1"/>
  <c r="J221" i="168" a="1"/>
  <c r="J221" i="168" s="1"/>
  <c r="J224" i="168" a="1"/>
  <c r="J224" i="168" s="1"/>
  <c r="J227" i="168" a="1"/>
  <c r="J227" i="168" s="1"/>
  <c r="J230" i="168" a="1"/>
  <c r="J230" i="168" s="1"/>
  <c r="J233" i="168" a="1"/>
  <c r="J233" i="168" s="1"/>
  <c r="J236" i="168" a="1"/>
  <c r="J236" i="168" s="1"/>
  <c r="J239" i="168" a="1"/>
  <c r="J239" i="168" s="1"/>
  <c r="J242" i="168" a="1"/>
  <c r="J242" i="168" s="1"/>
  <c r="J245" i="168" a="1"/>
  <c r="J245" i="168" s="1"/>
  <c r="J248" i="168" a="1"/>
  <c r="J248" i="168" s="1"/>
  <c r="J251" i="168" a="1"/>
  <c r="J251" i="168" s="1"/>
  <c r="J254" i="168" a="1"/>
  <c r="J254" i="168" s="1"/>
  <c r="J257" i="168" a="1"/>
  <c r="J257" i="168" s="1"/>
  <c r="J266" i="168" a="1"/>
  <c r="J266" i="168" s="1"/>
  <c r="J269" i="168" a="1"/>
  <c r="J269" i="168" s="1"/>
  <c r="J272" i="168" a="1"/>
  <c r="J272" i="168" s="1"/>
  <c r="J275" i="168" a="1"/>
  <c r="J275" i="168" s="1"/>
  <c r="J278" i="168" a="1"/>
  <c r="J278" i="168" s="1"/>
  <c r="J281" i="168" a="1"/>
  <c r="J281" i="168" s="1"/>
  <c r="J284" i="168" a="1"/>
  <c r="J284" i="168" s="1"/>
  <c r="J287" i="168" a="1"/>
  <c r="J287" i="168" s="1"/>
  <c r="J290" i="168" a="1"/>
  <c r="J290" i="168" s="1"/>
  <c r="J293" i="168" a="1"/>
  <c r="J293" i="168" s="1"/>
  <c r="J296" i="168" a="1"/>
  <c r="J296" i="168" s="1"/>
  <c r="J304" i="168" a="1"/>
  <c r="J304" i="168" s="1"/>
  <c r="J307" i="168" a="1"/>
  <c r="J307" i="168" s="1"/>
  <c r="J310" i="168" a="1"/>
  <c r="J310" i="168" s="1"/>
  <c r="J313" i="168" a="1"/>
  <c r="J313" i="168" s="1"/>
  <c r="J316" i="168" a="1"/>
  <c r="J316" i="168" s="1"/>
  <c r="J319" i="168" a="1"/>
  <c r="J319" i="168" s="1"/>
  <c r="J322" i="168" a="1"/>
  <c r="J322" i="168" s="1"/>
  <c r="J325" i="168" a="1"/>
  <c r="J325" i="168" s="1"/>
  <c r="J328" i="168" a="1"/>
  <c r="J328" i="168" s="1"/>
  <c r="J331" i="168" a="1"/>
  <c r="J331" i="168" s="1"/>
  <c r="J334" i="168" a="1"/>
  <c r="J334" i="168" s="1"/>
  <c r="J344" i="168" a="1"/>
  <c r="J344" i="168" s="1"/>
  <c r="J347" i="168" a="1"/>
  <c r="J347" i="168" s="1"/>
  <c r="J350" i="168" a="1"/>
  <c r="J350" i="168" s="1"/>
  <c r="J353" i="168" a="1"/>
  <c r="J353" i="168" s="1"/>
  <c r="J352" i="168" a="1"/>
  <c r="J352" i="168" s="1"/>
  <c r="J356" i="168" a="1"/>
  <c r="J356" i="168" s="1"/>
  <c r="J359" i="168" a="1"/>
  <c r="J359" i="168" s="1"/>
  <c r="J362" i="168" a="1"/>
  <c r="J362" i="168" s="1"/>
  <c r="J365" i="168" a="1"/>
  <c r="J365" i="168" s="1"/>
  <c r="J368" i="168" a="1"/>
  <c r="J368" i="168" s="1"/>
  <c r="J371" i="168" a="1"/>
  <c r="J371" i="168" s="1"/>
  <c r="J374" i="168" a="1"/>
  <c r="J374" i="168" s="1"/>
  <c r="J381" i="168" a="1"/>
  <c r="J381" i="168" s="1"/>
  <c r="J384" i="168" a="1"/>
  <c r="J384" i="168" s="1"/>
  <c r="J387" i="168" a="1"/>
  <c r="J387" i="168" s="1"/>
  <c r="C13" i="120" s="1"/>
  <c r="J390" i="168" a="1"/>
  <c r="J390" i="168" s="1"/>
  <c r="J393" i="168" a="1"/>
  <c r="J393" i="168" s="1"/>
  <c r="J396" i="168" a="1"/>
  <c r="J396" i="168" s="1"/>
  <c r="J399" i="168" a="1"/>
  <c r="J399" i="168" s="1"/>
  <c r="J402" i="168" a="1"/>
  <c r="J402" i="168" s="1"/>
  <c r="J405" i="168" a="1"/>
  <c r="J405" i="168" s="1"/>
  <c r="J412" i="168" a="1"/>
  <c r="J412" i="168" s="1"/>
  <c r="J415" i="168" a="1"/>
  <c r="J415" i="168" s="1"/>
  <c r="J418" i="168" a="1"/>
  <c r="J418" i="168" s="1"/>
  <c r="J421" i="168" a="1"/>
  <c r="J421" i="168" s="1"/>
  <c r="J424" i="168" a="1"/>
  <c r="J424" i="168" s="1"/>
  <c r="J427" i="168" a="1"/>
  <c r="J427" i="168" s="1"/>
  <c r="J430" i="168" a="1"/>
  <c r="J430" i="168" s="1"/>
  <c r="J435" i="168" a="1"/>
  <c r="J435" i="168" s="1"/>
  <c r="J438" i="168" a="1"/>
  <c r="J438" i="168" s="1"/>
  <c r="J441" i="168" a="1"/>
  <c r="J441" i="168" s="1"/>
  <c r="J444" i="168" a="1"/>
  <c r="J444" i="168" s="1"/>
  <c r="J447" i="168" a="1"/>
  <c r="J447" i="168" s="1"/>
  <c r="J450" i="168" a="1"/>
  <c r="J450" i="168" s="1"/>
  <c r="J453" i="168" a="1"/>
  <c r="J453" i="168" s="1"/>
  <c r="J456" i="168" a="1"/>
  <c r="J456" i="168" s="1"/>
  <c r="J459" i="168" a="1"/>
  <c r="J459" i="168" s="1"/>
  <c r="J462" i="168" a="1"/>
  <c r="J462" i="168" s="1"/>
  <c r="J465" i="168" a="1"/>
  <c r="J465" i="168" s="1"/>
  <c r="J468" i="168" a="1"/>
  <c r="J468" i="168" s="1"/>
  <c r="J501" i="168" a="1"/>
  <c r="J501" i="168" s="1"/>
  <c r="J504" i="168" a="1"/>
  <c r="J504" i="168" s="1"/>
  <c r="J507" i="168" a="1"/>
  <c r="J507" i="168" s="1"/>
  <c r="J510" i="168" a="1"/>
  <c r="J510" i="168" s="1"/>
  <c r="J513" i="168" a="1"/>
  <c r="J513" i="168" s="1"/>
  <c r="J516" i="168" a="1"/>
  <c r="J516" i="168" s="1"/>
  <c r="J519" i="168" a="1"/>
  <c r="J519" i="168" s="1"/>
  <c r="J522" i="168" a="1"/>
  <c r="J522" i="168" s="1"/>
  <c r="J525" i="168" a="1"/>
  <c r="J525" i="168" s="1"/>
  <c r="J528" i="168" a="1"/>
  <c r="J528" i="168" s="1"/>
  <c r="J540" i="168" a="1"/>
  <c r="J540" i="168" s="1"/>
  <c r="J543" i="168" a="1"/>
  <c r="J543" i="168" s="1"/>
  <c r="J546" i="168" a="1"/>
  <c r="J546" i="168" s="1"/>
  <c r="J549" i="168" a="1"/>
  <c r="J549" i="168" s="1"/>
  <c r="J552" i="168" a="1"/>
  <c r="J552" i="168" s="1"/>
  <c r="J555" i="168" a="1"/>
  <c r="J555" i="168" s="1"/>
  <c r="J558" i="168" a="1"/>
  <c r="J558" i="168" s="1"/>
  <c r="J561" i="168" a="1"/>
  <c r="J561" i="168" s="1"/>
  <c r="J564" i="168" a="1"/>
  <c r="J564" i="168" s="1"/>
  <c r="J567" i="168" a="1"/>
  <c r="J567" i="168" s="1"/>
  <c r="J570" i="168" a="1"/>
  <c r="J570" i="168" s="1"/>
  <c r="J575" i="168" a="1"/>
  <c r="J575" i="168" s="1"/>
  <c r="J578" i="168" a="1"/>
  <c r="J578" i="168" s="1"/>
  <c r="J581" i="168" a="1"/>
  <c r="J581" i="168" s="1"/>
  <c r="J584" i="168" a="1"/>
  <c r="J584" i="168" s="1"/>
  <c r="J587" i="168" a="1"/>
  <c r="J587" i="168" s="1"/>
  <c r="J590" i="168" a="1"/>
  <c r="J590" i="168" s="1"/>
  <c r="J593" i="168" a="1"/>
  <c r="J593" i="168" s="1"/>
  <c r="J596" i="168" a="1"/>
  <c r="J596" i="168" s="1"/>
  <c r="J599" i="168" a="1"/>
  <c r="J599" i="168" s="1"/>
  <c r="J602" i="168" a="1"/>
  <c r="J602" i="168" s="1"/>
  <c r="J605" i="168" a="1"/>
  <c r="J605" i="168" s="1"/>
  <c r="J608" i="168" a="1"/>
  <c r="J608" i="168" s="1"/>
  <c r="J611" i="168" a="1"/>
  <c r="J611" i="168" s="1"/>
  <c r="J614" i="168" a="1"/>
  <c r="J614" i="168" s="1"/>
  <c r="J617" i="168" a="1"/>
  <c r="J617" i="168" s="1"/>
  <c r="J620" i="168" a="1"/>
  <c r="J620" i="168" s="1"/>
  <c r="J623" i="168" a="1"/>
  <c r="J623" i="168" s="1"/>
  <c r="J626" i="168" a="1"/>
  <c r="J626" i="168" s="1"/>
  <c r="J629" i="168" a="1"/>
  <c r="J629" i="168" s="1"/>
  <c r="J632" i="168" a="1"/>
  <c r="J632" i="168" s="1"/>
  <c r="J635" i="168" a="1"/>
  <c r="J635" i="168" s="1"/>
  <c r="J638" i="168" a="1"/>
  <c r="J638" i="168" s="1"/>
  <c r="J648" i="168" a="1"/>
  <c r="J648" i="168" s="1"/>
  <c r="J651" i="168" a="1"/>
  <c r="J651" i="168" s="1"/>
  <c r="J654" i="168" a="1"/>
  <c r="J654" i="168" s="1"/>
  <c r="J657" i="168" a="1"/>
  <c r="J657" i="168" s="1"/>
  <c r="J660" i="168" a="1"/>
  <c r="J660" i="168" s="1"/>
  <c r="J663" i="168" a="1"/>
  <c r="J663" i="168" s="1"/>
  <c r="J354" i="168" a="1"/>
  <c r="J354" i="168" s="1"/>
  <c r="J357" i="168" a="1"/>
  <c r="J357" i="168" s="1"/>
  <c r="J360" i="168" a="1"/>
  <c r="J360" i="168" s="1"/>
  <c r="J363" i="168" a="1"/>
  <c r="J363" i="168" s="1"/>
  <c r="J366" i="168" a="1"/>
  <c r="J366" i="168" s="1"/>
  <c r="J369" i="168" a="1"/>
  <c r="J369" i="168" s="1"/>
  <c r="J372" i="168" a="1"/>
  <c r="J372" i="168" s="1"/>
  <c r="J379" i="168" a="1"/>
  <c r="J379" i="168" s="1"/>
  <c r="C18" i="120" s="1"/>
  <c r="J382" i="168" a="1"/>
  <c r="J382" i="168" s="1"/>
  <c r="J385" i="168" a="1"/>
  <c r="J385" i="168" s="1"/>
  <c r="J388" i="168" a="1"/>
  <c r="J388" i="168" s="1"/>
  <c r="J391" i="168" a="1"/>
  <c r="J391" i="168" s="1"/>
  <c r="J394" i="168" a="1"/>
  <c r="J394" i="168" s="1"/>
  <c r="J397" i="168" a="1"/>
  <c r="J397" i="168" s="1"/>
  <c r="J400" i="168" a="1"/>
  <c r="J400" i="168" s="1"/>
  <c r="J403" i="168" a="1"/>
  <c r="J403" i="168" s="1"/>
  <c r="J406" i="168" a="1"/>
  <c r="J406" i="168" s="1"/>
  <c r="J413" i="168" a="1"/>
  <c r="J413" i="168" s="1"/>
  <c r="J416" i="168" a="1"/>
  <c r="J416" i="168" s="1"/>
  <c r="J419" i="168" a="1"/>
  <c r="J419" i="168" s="1"/>
  <c r="J422" i="168" a="1"/>
  <c r="J422" i="168" s="1"/>
  <c r="J425" i="168" a="1"/>
  <c r="J425" i="168" s="1"/>
  <c r="J428" i="168" a="1"/>
  <c r="J428" i="168" s="1"/>
  <c r="J433" i="168" a="1"/>
  <c r="J433" i="168" s="1"/>
  <c r="J436" i="168" a="1"/>
  <c r="J436" i="168" s="1"/>
  <c r="J439" i="168" a="1"/>
  <c r="J439" i="168" s="1"/>
  <c r="J442" i="168" a="1"/>
  <c r="J442" i="168" s="1"/>
  <c r="J445" i="168" a="1"/>
  <c r="J445" i="168" s="1"/>
  <c r="J448" i="168" a="1"/>
  <c r="J448" i="168" s="1"/>
  <c r="J451" i="168" a="1"/>
  <c r="J451" i="168" s="1"/>
  <c r="J454" i="168" a="1"/>
  <c r="J454" i="168" s="1"/>
  <c r="J457" i="168" a="1"/>
  <c r="J457" i="168" s="1"/>
  <c r="J460" i="168" a="1"/>
  <c r="J460" i="168" s="1"/>
  <c r="J463" i="168" a="1"/>
  <c r="J463" i="168" s="1"/>
  <c r="J466" i="168" a="1"/>
  <c r="J466" i="168" s="1"/>
  <c r="J499" i="168" a="1"/>
  <c r="J499" i="168" s="1"/>
  <c r="C24" i="120" s="1"/>
  <c r="J502" i="168" a="1"/>
  <c r="J502" i="168" s="1"/>
  <c r="J505" i="168" a="1"/>
  <c r="J505" i="168" s="1"/>
  <c r="J508" i="168" a="1"/>
  <c r="J508" i="168" s="1"/>
  <c r="J511" i="168" a="1"/>
  <c r="J511" i="168" s="1"/>
  <c r="J514" i="168" a="1"/>
  <c r="J514" i="168" s="1"/>
  <c r="J517" i="168" a="1"/>
  <c r="J517" i="168" s="1"/>
  <c r="J520" i="168" a="1"/>
  <c r="J520" i="168" s="1"/>
  <c r="J523" i="168" a="1"/>
  <c r="J523" i="168" s="1"/>
  <c r="J526" i="168" a="1"/>
  <c r="J526" i="168" s="1"/>
  <c r="J529" i="168" a="1"/>
  <c r="J529" i="168" s="1"/>
  <c r="J541" i="168" a="1"/>
  <c r="J541" i="168" s="1"/>
  <c r="J544" i="168" a="1"/>
  <c r="J544" i="168" s="1"/>
  <c r="J547" i="168" a="1"/>
  <c r="J547" i="168" s="1"/>
  <c r="J550" i="168" a="1"/>
  <c r="J550" i="168" s="1"/>
  <c r="J553" i="168" a="1"/>
  <c r="J553" i="168" s="1"/>
  <c r="J556" i="168" a="1"/>
  <c r="J556" i="168" s="1"/>
  <c r="J559" i="168" a="1"/>
  <c r="J559" i="168" s="1"/>
  <c r="J562" i="168" a="1"/>
  <c r="J562" i="168" s="1"/>
  <c r="J565" i="168" a="1"/>
  <c r="J565" i="168" s="1"/>
  <c r="J568" i="168" a="1"/>
  <c r="J568" i="168" s="1"/>
  <c r="J573" i="168" a="1"/>
  <c r="J573" i="168" s="1"/>
  <c r="J576" i="168" a="1"/>
  <c r="J576" i="168" s="1"/>
  <c r="J579" i="168" a="1"/>
  <c r="J579" i="168" s="1"/>
  <c r="J582" i="168" a="1"/>
  <c r="J582" i="168" s="1"/>
  <c r="J585" i="168" a="1"/>
  <c r="J585" i="168" s="1"/>
  <c r="J588" i="168" a="1"/>
  <c r="J588" i="168" s="1"/>
  <c r="J591" i="168" a="1"/>
  <c r="J591" i="168" s="1"/>
  <c r="J594" i="168" a="1"/>
  <c r="J594" i="168" s="1"/>
  <c r="J597" i="168" a="1"/>
  <c r="J597" i="168" s="1"/>
  <c r="J600" i="168" a="1"/>
  <c r="J600" i="168" s="1"/>
  <c r="J603" i="168" a="1"/>
  <c r="J603" i="168" s="1"/>
  <c r="J606" i="168" a="1"/>
  <c r="J606" i="168" s="1"/>
  <c r="C25" i="120" s="1"/>
  <c r="J609" i="168" a="1"/>
  <c r="J609" i="168" s="1"/>
  <c r="J612" i="168" a="1"/>
  <c r="J612" i="168" s="1"/>
  <c r="J615" i="168" a="1"/>
  <c r="J615" i="168" s="1"/>
  <c r="J618" i="168" a="1"/>
  <c r="J618" i="168" s="1"/>
  <c r="J621" i="168" a="1"/>
  <c r="J621" i="168" s="1"/>
  <c r="J624" i="168" a="1"/>
  <c r="J624" i="168" s="1"/>
  <c r="J627" i="168" a="1"/>
  <c r="J627" i="168" s="1"/>
  <c r="J630" i="168" a="1"/>
  <c r="J630" i="168" s="1"/>
  <c r="J633" i="168" a="1"/>
  <c r="J633" i="168" s="1"/>
  <c r="J636" i="168" a="1"/>
  <c r="J636" i="168" s="1"/>
  <c r="J639" i="168" a="1"/>
  <c r="J639" i="168" s="1"/>
  <c r="J649" i="168" a="1"/>
  <c r="J649" i="168" s="1"/>
  <c r="J652" i="168" a="1"/>
  <c r="J652" i="168" s="1"/>
  <c r="J655" i="168" a="1"/>
  <c r="J655" i="168" s="1"/>
  <c r="J658" i="168" a="1"/>
  <c r="J658" i="168" s="1"/>
  <c r="J661" i="168" a="1"/>
  <c r="J661" i="168" s="1"/>
  <c r="J664" i="168" a="1"/>
  <c r="J664" i="168" s="1"/>
  <c r="J355" i="168" a="1"/>
  <c r="J355" i="168" s="1"/>
  <c r="J358" i="168" a="1"/>
  <c r="J358" i="168" s="1"/>
  <c r="J361" i="168" a="1"/>
  <c r="J361" i="168" s="1"/>
  <c r="J364" i="168" a="1"/>
  <c r="J364" i="168" s="1"/>
  <c r="J367" i="168" a="1"/>
  <c r="J367" i="168" s="1"/>
  <c r="J370" i="168" a="1"/>
  <c r="J370" i="168" s="1"/>
  <c r="J373" i="168" a="1"/>
  <c r="J373" i="168" s="1"/>
  <c r="J380" i="168" a="1"/>
  <c r="J380" i="168" s="1"/>
  <c r="J383" i="168" a="1"/>
  <c r="J383" i="168" s="1"/>
  <c r="J386" i="168" a="1"/>
  <c r="J386" i="168" s="1"/>
  <c r="J389" i="168" a="1"/>
  <c r="J389" i="168" s="1"/>
  <c r="J392" i="168" a="1"/>
  <c r="J392" i="168" s="1"/>
  <c r="J395" i="168" a="1"/>
  <c r="J395" i="168" s="1"/>
  <c r="J398" i="168" a="1"/>
  <c r="J398" i="168" s="1"/>
  <c r="J401" i="168" a="1"/>
  <c r="J401" i="168" s="1"/>
  <c r="J404" i="168" a="1"/>
  <c r="J404" i="168" s="1"/>
  <c r="J411" i="168" a="1"/>
  <c r="J411" i="168" s="1"/>
  <c r="J414" i="168" a="1"/>
  <c r="J414" i="168" s="1"/>
  <c r="J417" i="168" a="1"/>
  <c r="J417" i="168" s="1"/>
  <c r="J420" i="168" a="1"/>
  <c r="J420" i="168" s="1"/>
  <c r="J423" i="168" a="1"/>
  <c r="J423" i="168" s="1"/>
  <c r="J426" i="168" a="1"/>
  <c r="J426" i="168" s="1"/>
  <c r="J429" i="168" a="1"/>
  <c r="J429" i="168" s="1"/>
  <c r="J434" i="168" a="1"/>
  <c r="J434" i="168" s="1"/>
  <c r="J437" i="168" a="1"/>
  <c r="J437" i="168" s="1"/>
  <c r="J440" i="168" a="1"/>
  <c r="J440" i="168" s="1"/>
  <c r="J443" i="168" a="1"/>
  <c r="J443" i="168" s="1"/>
  <c r="J446" i="168" a="1"/>
  <c r="J446" i="168" s="1"/>
  <c r="J449" i="168" a="1"/>
  <c r="J449" i="168" s="1"/>
  <c r="J452" i="168" a="1"/>
  <c r="J452" i="168" s="1"/>
  <c r="J455" i="168" a="1"/>
  <c r="J455" i="168" s="1"/>
  <c r="J458" i="168" a="1"/>
  <c r="J458" i="168" s="1"/>
  <c r="J461" i="168" a="1"/>
  <c r="J461" i="168" s="1"/>
  <c r="J464" i="168" a="1"/>
  <c r="J464" i="168" s="1"/>
  <c r="J467" i="168" a="1"/>
  <c r="J467" i="168" s="1"/>
  <c r="J500" i="168" a="1"/>
  <c r="J500" i="168" s="1"/>
  <c r="J503" i="168" a="1"/>
  <c r="J503" i="168" s="1"/>
  <c r="J506" i="168" a="1"/>
  <c r="J506" i="168" s="1"/>
  <c r="J509" i="168" a="1"/>
  <c r="J509" i="168" s="1"/>
  <c r="J512" i="168" a="1"/>
  <c r="J512" i="168" s="1"/>
  <c r="J515" i="168" a="1"/>
  <c r="J515" i="168" s="1"/>
  <c r="J518" i="168" a="1"/>
  <c r="J518" i="168" s="1"/>
  <c r="J521" i="168" a="1"/>
  <c r="J521" i="168" s="1"/>
  <c r="J524" i="168" a="1"/>
  <c r="J524" i="168" s="1"/>
  <c r="J527" i="168" a="1"/>
  <c r="J527" i="168" s="1"/>
  <c r="J539" i="168" a="1"/>
  <c r="J539" i="168" s="1"/>
  <c r="J542" i="168" a="1"/>
  <c r="J542" i="168" s="1"/>
  <c r="J545" i="168" a="1"/>
  <c r="J545" i="168" s="1"/>
  <c r="J548" i="168" a="1"/>
  <c r="J548" i="168" s="1"/>
  <c r="J551" i="168" a="1"/>
  <c r="J551" i="168" s="1"/>
  <c r="J554" i="168" a="1"/>
  <c r="J554" i="168" s="1"/>
  <c r="J557" i="168" a="1"/>
  <c r="J557" i="168" s="1"/>
  <c r="J560" i="168" a="1"/>
  <c r="J560" i="168" s="1"/>
  <c r="J563" i="168" a="1"/>
  <c r="J563" i="168" s="1"/>
  <c r="J566" i="168" a="1"/>
  <c r="J566" i="168" s="1"/>
  <c r="J569" i="168" a="1"/>
  <c r="J569" i="168" s="1"/>
  <c r="J574" i="168" a="1"/>
  <c r="J574" i="168" s="1"/>
  <c r="J577" i="168" a="1"/>
  <c r="J577" i="168" s="1"/>
  <c r="J580" i="168" a="1"/>
  <c r="J580" i="168" s="1"/>
  <c r="J583" i="168" a="1"/>
  <c r="J583" i="168" s="1"/>
  <c r="J586" i="168" a="1"/>
  <c r="J586" i="168" s="1"/>
  <c r="J589" i="168" a="1"/>
  <c r="J589" i="168" s="1"/>
  <c r="J592" i="168" a="1"/>
  <c r="J592" i="168" s="1"/>
  <c r="J595" i="168" a="1"/>
  <c r="J595" i="168" s="1"/>
  <c r="J598" i="168" a="1"/>
  <c r="J598" i="168" s="1"/>
  <c r="J601" i="168" a="1"/>
  <c r="J601" i="168" s="1"/>
  <c r="J604" i="168" a="1"/>
  <c r="J604" i="168" s="1"/>
  <c r="J607" i="168" a="1"/>
  <c r="J607" i="168" s="1"/>
  <c r="J610" i="168" a="1"/>
  <c r="J610" i="168" s="1"/>
  <c r="J613" i="168" a="1"/>
  <c r="J613" i="168" s="1"/>
  <c r="J616" i="168" a="1"/>
  <c r="J616" i="168" s="1"/>
  <c r="J619" i="168" a="1"/>
  <c r="J619" i="168" s="1"/>
  <c r="J622" i="168" a="1"/>
  <c r="J622" i="168" s="1"/>
  <c r="J625" i="168" a="1"/>
  <c r="J625" i="168" s="1"/>
  <c r="J628" i="168" a="1"/>
  <c r="J628" i="168" s="1"/>
  <c r="J631" i="168" a="1"/>
  <c r="J631" i="168" s="1"/>
  <c r="J634" i="168" a="1"/>
  <c r="J634" i="168" s="1"/>
  <c r="J637" i="168" a="1"/>
  <c r="J637" i="168" s="1"/>
  <c r="J647" i="168" a="1"/>
  <c r="J647" i="168" s="1"/>
  <c r="C44" i="120" s="1"/>
  <c r="J650" i="168" a="1"/>
  <c r="J650" i="168" s="1"/>
  <c r="J653" i="168" a="1"/>
  <c r="J653" i="168" s="1"/>
  <c r="J656" i="168" a="1"/>
  <c r="J656" i="168" s="1"/>
  <c r="J659" i="168" a="1"/>
  <c r="J659" i="168" s="1"/>
  <c r="J662" i="168" a="1"/>
  <c r="J662" i="168" s="1"/>
  <c r="J665" i="168" a="1"/>
  <c r="J665" i="168" s="1"/>
  <c r="J1113" i="168" a="1"/>
  <c r="J1113" i="168" s="1"/>
  <c r="J1118" i="168" a="1"/>
  <c r="J1118" i="168" s="1"/>
  <c r="J1112" i="168" a="1"/>
  <c r="J1112" i="168" s="1"/>
  <c r="J1117" i="168" a="1"/>
  <c r="J1117" i="168" s="1"/>
  <c r="J1114" i="168" a="1"/>
  <c r="J1114" i="168" s="1"/>
  <c r="J1111" i="168" a="1"/>
  <c r="J1111" i="168" s="1"/>
  <c r="J1108" i="168" a="1"/>
  <c r="J1108" i="168" s="1"/>
  <c r="J1105" i="168" a="1"/>
  <c r="J1105" i="168" s="1"/>
  <c r="J1102" i="168" a="1"/>
  <c r="J1102" i="168" s="1"/>
  <c r="J1099" i="168" a="1"/>
  <c r="J1099" i="168" s="1"/>
  <c r="J1096" i="168" a="1"/>
  <c r="J1096" i="168" s="1"/>
  <c r="J1093" i="168" a="1"/>
  <c r="J1093" i="168" s="1"/>
  <c r="J1090" i="168" a="1"/>
  <c r="J1090" i="168" s="1"/>
  <c r="J1087" i="168" a="1"/>
  <c r="J1087" i="168" s="1"/>
  <c r="J1084" i="168" a="1"/>
  <c r="J1084" i="168" s="1"/>
  <c r="J1080" i="168" a="1"/>
  <c r="J1080" i="168" s="1"/>
  <c r="J1077" i="168" a="1"/>
  <c r="J1077" i="168" s="1"/>
  <c r="J1074" i="168" a="1"/>
  <c r="J1074" i="168" s="1"/>
  <c r="J1060" i="168" a="1"/>
  <c r="J1060" i="168" s="1"/>
  <c r="J1057" i="168" a="1"/>
  <c r="J1057" i="168" s="1"/>
  <c r="J1054" i="168" a="1"/>
  <c r="J1054" i="168" s="1"/>
  <c r="J1051" i="168" a="1"/>
  <c r="J1051" i="168" s="1"/>
  <c r="J1048" i="168" a="1"/>
  <c r="J1048" i="168" s="1"/>
  <c r="J1045" i="168" a="1"/>
  <c r="J1045" i="168" s="1"/>
  <c r="J1042" i="168" a="1"/>
  <c r="J1042" i="168" s="1"/>
  <c r="J1039" i="168" a="1"/>
  <c r="J1039" i="168" s="1"/>
  <c r="J1036" i="168" a="1"/>
  <c r="J1036" i="168" s="1"/>
  <c r="J1033" i="168" a="1"/>
  <c r="J1033" i="168" s="1"/>
  <c r="J1030" i="168" a="1"/>
  <c r="J1030" i="168" s="1"/>
  <c r="J1027" i="168" a="1"/>
  <c r="J1027" i="168" s="1"/>
  <c r="J1024" i="168" a="1"/>
  <c r="J1024" i="168" s="1"/>
  <c r="J1021" i="168" a="1"/>
  <c r="J1021" i="168" s="1"/>
  <c r="J1018" i="168" a="1"/>
  <c r="J1018" i="168" s="1"/>
  <c r="J1015" i="168" a="1"/>
  <c r="J1015" i="168" s="1"/>
  <c r="J1012" i="168" a="1"/>
  <c r="J1012" i="168" s="1"/>
  <c r="J1009" i="168" a="1"/>
  <c r="J1009" i="168" s="1"/>
  <c r="J1006" i="168" a="1"/>
  <c r="J1006" i="168" s="1"/>
  <c r="J1003" i="168" a="1"/>
  <c r="J1003" i="168" s="1"/>
  <c r="J1000" i="168" a="1"/>
  <c r="J1000" i="168" s="1"/>
  <c r="J997" i="168" a="1"/>
  <c r="J997" i="168" s="1"/>
  <c r="J994" i="168" a="1"/>
  <c r="J994" i="168" s="1"/>
  <c r="J980" i="168" a="1"/>
  <c r="J980" i="168" s="1"/>
  <c r="J977" i="168" a="1"/>
  <c r="J977" i="168" s="1"/>
  <c r="J974" i="168" a="1"/>
  <c r="J974" i="168" s="1"/>
  <c r="J971" i="168" a="1"/>
  <c r="J971" i="168" s="1"/>
  <c r="J968" i="168" a="1"/>
  <c r="J968" i="168" s="1"/>
  <c r="J965" i="168" a="1"/>
  <c r="J965" i="168" s="1"/>
  <c r="J962" i="168" a="1"/>
  <c r="J962" i="168" s="1"/>
  <c r="J959" i="168" a="1"/>
  <c r="J959" i="168" s="1"/>
  <c r="J956" i="168" a="1"/>
  <c r="J956" i="168" s="1"/>
  <c r="J953" i="168" a="1"/>
  <c r="J953" i="168" s="1"/>
  <c r="J950" i="168" a="1"/>
  <c r="J950" i="168" s="1"/>
  <c r="J947" i="168" a="1"/>
  <c r="J947" i="168" s="1"/>
  <c r="J944" i="168" a="1"/>
  <c r="J944" i="168" s="1"/>
  <c r="J932" i="168" a="1"/>
  <c r="J932" i="168" s="1"/>
  <c r="J929" i="168" a="1"/>
  <c r="J929" i="168" s="1"/>
  <c r="J926" i="168" a="1"/>
  <c r="J926" i="168" s="1"/>
  <c r="J923" i="168" a="1"/>
  <c r="J923" i="168" s="1"/>
  <c r="J920" i="168" a="1"/>
  <c r="J920" i="168" s="1"/>
  <c r="J917" i="168" a="1"/>
  <c r="J917" i="168" s="1"/>
  <c r="J914" i="168" a="1"/>
  <c r="J914" i="168" s="1"/>
  <c r="J911" i="168" a="1"/>
  <c r="J911" i="168" s="1"/>
  <c r="J908" i="168" a="1"/>
  <c r="J908" i="168" s="1"/>
  <c r="J905" i="168" a="1"/>
  <c r="J905" i="168" s="1"/>
  <c r="J902" i="168" a="1"/>
  <c r="J902" i="168" s="1"/>
  <c r="J899" i="168" a="1"/>
  <c r="J899" i="168" s="1"/>
  <c r="J886" i="168" a="1"/>
  <c r="J886" i="168" s="1"/>
  <c r="J883" i="168" a="1"/>
  <c r="J883" i="168" s="1"/>
  <c r="J880" i="168" a="1"/>
  <c r="J880" i="168" s="1"/>
  <c r="J877" i="168" a="1"/>
  <c r="J877" i="168" s="1"/>
  <c r="J874" i="168" a="1"/>
  <c r="J874" i="168" s="1"/>
  <c r="J871" i="168" a="1"/>
  <c r="J871" i="168" s="1"/>
  <c r="J868" i="168" a="1"/>
  <c r="J868" i="168" s="1"/>
  <c r="J865" i="168" a="1"/>
  <c r="J865" i="168" s="1"/>
  <c r="J862" i="168" a="1"/>
  <c r="J862" i="168" s="1"/>
  <c r="J859" i="168" a="1"/>
  <c r="J859" i="168" s="1"/>
  <c r="J856" i="168" a="1"/>
  <c r="J856" i="168" s="1"/>
  <c r="J853" i="168" a="1"/>
  <c r="J853" i="168" s="1"/>
  <c r="J850" i="168" a="1"/>
  <c r="J850" i="168" s="1"/>
  <c r="J847" i="168" a="1"/>
  <c r="J847" i="168" s="1"/>
  <c r="C20" i="120" s="1"/>
  <c r="J833" i="168" a="1"/>
  <c r="J833" i="168" s="1"/>
  <c r="J830" i="168" a="1"/>
  <c r="J830" i="168" s="1"/>
  <c r="J827" i="168" a="1"/>
  <c r="J827" i="168" s="1"/>
  <c r="J824" i="168" a="1"/>
  <c r="J824" i="168" s="1"/>
  <c r="J821" i="168" a="1"/>
  <c r="J821" i="168" s="1"/>
  <c r="J818" i="168" a="1"/>
  <c r="J818" i="168" s="1"/>
  <c r="J815" i="168" a="1"/>
  <c r="J815" i="168" s="1"/>
  <c r="J812" i="168" a="1"/>
  <c r="J812" i="168" s="1"/>
  <c r="J809" i="168" a="1"/>
  <c r="J809" i="168" s="1"/>
  <c r="J806" i="168" a="1"/>
  <c r="J806" i="168" s="1"/>
  <c r="J803" i="168" a="1"/>
  <c r="J803" i="168" s="1"/>
  <c r="J800" i="168" a="1"/>
  <c r="J800" i="168" s="1"/>
  <c r="J797" i="168" a="1"/>
  <c r="J797" i="168" s="1"/>
  <c r="J794" i="168" a="1"/>
  <c r="J794" i="168" s="1"/>
  <c r="J791" i="168" a="1"/>
  <c r="J791" i="168" s="1"/>
  <c r="C23" i="120" s="1"/>
  <c r="J787" i="168" a="1"/>
  <c r="J787" i="168" s="1"/>
  <c r="J784" i="168" a="1"/>
  <c r="J784" i="168" s="1"/>
  <c r="J781" i="168" a="1"/>
  <c r="J781" i="168" s="1"/>
  <c r="J778" i="168" a="1"/>
  <c r="J778" i="168" s="1"/>
  <c r="J775" i="168" a="1"/>
  <c r="J775" i="168" s="1"/>
  <c r="J764" i="168" a="1"/>
  <c r="J764" i="168" s="1"/>
  <c r="J761" i="168" a="1"/>
  <c r="J761" i="168" s="1"/>
  <c r="J758" i="168" a="1"/>
  <c r="J758" i="168" s="1"/>
  <c r="J755" i="168" a="1"/>
  <c r="J755" i="168" s="1"/>
  <c r="J752" i="168" a="1"/>
  <c r="J752" i="168" s="1"/>
  <c r="J749" i="168" a="1"/>
  <c r="J749" i="168" s="1"/>
  <c r="J746" i="168" a="1"/>
  <c r="J746" i="168" s="1"/>
  <c r="J743" i="168" a="1"/>
  <c r="J743" i="168" s="1"/>
  <c r="J740" i="168" a="1"/>
  <c r="J740" i="168" s="1"/>
  <c r="J737" i="168" a="1"/>
  <c r="J737" i="168" s="1"/>
  <c r="J734" i="168" a="1"/>
  <c r="J734" i="168" s="1"/>
  <c r="J726" i="168" a="1"/>
  <c r="J726" i="168" s="1"/>
  <c r="J723" i="168" a="1"/>
  <c r="J723" i="168" s="1"/>
  <c r="J720" i="168" a="1"/>
  <c r="J720" i="168" s="1"/>
  <c r="J717" i="168" a="1"/>
  <c r="J717" i="168" s="1"/>
  <c r="J714" i="168" a="1"/>
  <c r="J714" i="168" s="1"/>
  <c r="J711" i="168" a="1"/>
  <c r="J711" i="168" s="1"/>
  <c r="J708" i="168" a="1"/>
  <c r="J708" i="168" s="1"/>
  <c r="J705" i="168" a="1"/>
  <c r="J705" i="168" s="1"/>
  <c r="J702" i="168" a="1"/>
  <c r="J702" i="168" s="1"/>
  <c r="J699" i="168" a="1"/>
  <c r="J699" i="168" s="1"/>
  <c r="J696" i="168" a="1"/>
  <c r="J696" i="168" s="1"/>
  <c r="J692" i="168" a="1"/>
  <c r="J692" i="168" s="1"/>
  <c r="J689" i="168" a="1"/>
  <c r="J689" i="168" s="1"/>
  <c r="J686" i="168" a="1"/>
  <c r="J686" i="168" s="1"/>
  <c r="J683" i="168" a="1"/>
  <c r="J683" i="168" s="1"/>
  <c r="C22" i="120" s="1"/>
  <c r="J679" i="168" a="1"/>
  <c r="J679" i="168" s="1"/>
  <c r="J676" i="168" a="1"/>
  <c r="J676" i="168" s="1"/>
  <c r="J673" i="168" a="1"/>
  <c r="J673" i="168" s="1"/>
  <c r="J670" i="168" a="1"/>
  <c r="J670" i="168" s="1"/>
  <c r="J1116" i="168" a="1"/>
  <c r="J1116" i="168" s="1"/>
  <c r="J1107" i="168" a="1"/>
  <c r="J1107" i="168" s="1"/>
  <c r="J1104" i="168" a="1"/>
  <c r="J1104" i="168" s="1"/>
  <c r="J1101" i="168" a="1"/>
  <c r="J1101" i="168" s="1"/>
  <c r="J1098" i="168" a="1"/>
  <c r="J1098" i="168" s="1"/>
  <c r="J1095" i="168" a="1"/>
  <c r="J1095" i="168" s="1"/>
  <c r="J1092" i="168" a="1"/>
  <c r="J1092" i="168" s="1"/>
  <c r="J1089" i="168" a="1"/>
  <c r="J1089" i="168" s="1"/>
  <c r="J1086" i="168" a="1"/>
  <c r="J1086" i="168" s="1"/>
  <c r="J1083" i="168" a="1"/>
  <c r="J1083" i="168" s="1"/>
  <c r="C15" i="120" s="1"/>
  <c r="J1079" i="168" a="1"/>
  <c r="J1079" i="168" s="1"/>
  <c r="J1076" i="168" a="1"/>
  <c r="J1076" i="168" s="1"/>
  <c r="J1073" i="168" a="1"/>
  <c r="J1073" i="168" s="1"/>
  <c r="J1059" i="168" a="1"/>
  <c r="J1059" i="168" s="1"/>
  <c r="J1056" i="168" a="1"/>
  <c r="J1056" i="168" s="1"/>
  <c r="J1053" i="168" a="1"/>
  <c r="J1053" i="168" s="1"/>
  <c r="J1050" i="168" a="1"/>
  <c r="J1050" i="168" s="1"/>
  <c r="J1047" i="168" a="1"/>
  <c r="J1047" i="168" s="1"/>
  <c r="J1044" i="168" a="1"/>
  <c r="J1044" i="168" s="1"/>
  <c r="J1041" i="168" a="1"/>
  <c r="J1041" i="168" s="1"/>
  <c r="J1038" i="168" a="1"/>
  <c r="J1038" i="168" s="1"/>
  <c r="J1035" i="168" a="1"/>
  <c r="J1035" i="168" s="1"/>
  <c r="J1032" i="168" a="1"/>
  <c r="J1032" i="168" s="1"/>
  <c r="J1029" i="168" a="1"/>
  <c r="J1029" i="168" s="1"/>
  <c r="J1026" i="168" a="1"/>
  <c r="J1026" i="168" s="1"/>
  <c r="J1023" i="168" a="1"/>
  <c r="J1023" i="168" s="1"/>
  <c r="J1020" i="168" a="1"/>
  <c r="J1020" i="168" s="1"/>
  <c r="J1017" i="168" a="1"/>
  <c r="J1017" i="168" s="1"/>
  <c r="J1014" i="168" a="1"/>
  <c r="J1014" i="168" s="1"/>
  <c r="J1011" i="168" a="1"/>
  <c r="J1011" i="168" s="1"/>
  <c r="J1008" i="168" a="1"/>
  <c r="J1008" i="168" s="1"/>
  <c r="J1005" i="168" a="1"/>
  <c r="J1005" i="168" s="1"/>
  <c r="J1002" i="168" a="1"/>
  <c r="J1002" i="168" s="1"/>
  <c r="J999" i="168" a="1"/>
  <c r="J999" i="168" s="1"/>
  <c r="J996" i="168" a="1"/>
  <c r="J996" i="168" s="1"/>
  <c r="J993" i="168" a="1"/>
  <c r="J993" i="168" s="1"/>
  <c r="J979" i="168" a="1"/>
  <c r="J979" i="168" s="1"/>
  <c r="J976" i="168" a="1"/>
  <c r="J976" i="168" s="1"/>
  <c r="J973" i="168" a="1"/>
  <c r="J973" i="168" s="1"/>
  <c r="J970" i="168" a="1"/>
  <c r="J970" i="168" s="1"/>
  <c r="J967" i="168" a="1"/>
  <c r="J967" i="168" s="1"/>
  <c r="J964" i="168" a="1"/>
  <c r="J964" i="168" s="1"/>
  <c r="J961" i="168" a="1"/>
  <c r="J961" i="168" s="1"/>
  <c r="J958" i="168" a="1"/>
  <c r="J958" i="168" s="1"/>
  <c r="J955" i="168" a="1"/>
  <c r="J955" i="168" s="1"/>
  <c r="J952" i="168" a="1"/>
  <c r="J952" i="168" s="1"/>
  <c r="J949" i="168" a="1"/>
  <c r="J949" i="168" s="1"/>
  <c r="J946" i="168" a="1"/>
  <c r="J946" i="168" s="1"/>
  <c r="J943" i="168" a="1"/>
  <c r="J943" i="168" s="1"/>
  <c r="J931" i="168" a="1"/>
  <c r="J931" i="168" s="1"/>
  <c r="J928" i="168" a="1"/>
  <c r="J928" i="168" s="1"/>
  <c r="J925" i="168" a="1"/>
  <c r="J925" i="168" s="1"/>
  <c r="J922" i="168" a="1"/>
  <c r="J922" i="168" s="1"/>
  <c r="J919" i="168" a="1"/>
  <c r="J919" i="168" s="1"/>
  <c r="J916" i="168" a="1"/>
  <c r="J916" i="168" s="1"/>
  <c r="J913" i="168" a="1"/>
  <c r="J913" i="168" s="1"/>
  <c r="J910" i="168" a="1"/>
  <c r="J910" i="168" s="1"/>
  <c r="J907" i="168" a="1"/>
  <c r="J907" i="168" s="1"/>
  <c r="J904" i="168" a="1"/>
  <c r="J904" i="168" s="1"/>
  <c r="J901" i="168" a="1"/>
  <c r="J901" i="168" s="1"/>
  <c r="J898" i="168" a="1"/>
  <c r="J898" i="168" s="1"/>
  <c r="J885" i="168" a="1"/>
  <c r="J885" i="168" s="1"/>
  <c r="J882" i="168" a="1"/>
  <c r="J882" i="168" s="1"/>
  <c r="J879" i="168" a="1"/>
  <c r="J879" i="168" s="1"/>
  <c r="J876" i="168" a="1"/>
  <c r="J876" i="168" s="1"/>
  <c r="J873" i="168" a="1"/>
  <c r="J873" i="168" s="1"/>
  <c r="J870" i="168" a="1"/>
  <c r="J870" i="168" s="1"/>
  <c r="J867" i="168" a="1"/>
  <c r="J867" i="168" s="1"/>
  <c r="J864" i="168" a="1"/>
  <c r="J864" i="168" s="1"/>
  <c r="J861" i="168" a="1"/>
  <c r="J861" i="168" s="1"/>
  <c r="J858" i="168" a="1"/>
  <c r="J858" i="168" s="1"/>
  <c r="J855" i="168" a="1"/>
  <c r="J855" i="168" s="1"/>
  <c r="J852" i="168" a="1"/>
  <c r="J852" i="168" s="1"/>
  <c r="J849" i="168" a="1"/>
  <c r="J849" i="168" s="1"/>
  <c r="J835" i="168" a="1"/>
  <c r="J835" i="168" s="1"/>
  <c r="J832" i="168" a="1"/>
  <c r="J832" i="168" s="1"/>
  <c r="J829" i="168" a="1"/>
  <c r="J829" i="168" s="1"/>
  <c r="J826" i="168" a="1"/>
  <c r="J826" i="168" s="1"/>
  <c r="J823" i="168" a="1"/>
  <c r="J823" i="168" s="1"/>
  <c r="J820" i="168" a="1"/>
  <c r="J820" i="168" s="1"/>
  <c r="J817" i="168" a="1"/>
  <c r="J817" i="168" s="1"/>
  <c r="J814" i="168" a="1"/>
  <c r="J814" i="168" s="1"/>
  <c r="J811" i="168" a="1"/>
  <c r="J811" i="168" s="1"/>
  <c r="J808" i="168" a="1"/>
  <c r="J808" i="168" s="1"/>
  <c r="J805" i="168" a="1"/>
  <c r="J805" i="168" s="1"/>
  <c r="J802" i="168" a="1"/>
  <c r="J802" i="168" s="1"/>
  <c r="J799" i="168" a="1"/>
  <c r="J799" i="168" s="1"/>
  <c r="J796" i="168" a="1"/>
  <c r="J796" i="168" s="1"/>
  <c r="J793" i="168" a="1"/>
  <c r="J793" i="168" s="1"/>
  <c r="J789" i="168" a="1"/>
  <c r="J789" i="168" s="1"/>
  <c r="J786" i="168" a="1"/>
  <c r="J786" i="168" s="1"/>
  <c r="J783" i="168" a="1"/>
  <c r="J783" i="168" s="1"/>
  <c r="J780" i="168" a="1"/>
  <c r="J780" i="168" s="1"/>
  <c r="J777" i="168" a="1"/>
  <c r="J777" i="168" s="1"/>
  <c r="J774" i="168" a="1"/>
  <c r="J774" i="168" s="1"/>
  <c r="J763" i="168" a="1"/>
  <c r="J763" i="168" s="1"/>
  <c r="J760" i="168" a="1"/>
  <c r="J760" i="168" s="1"/>
  <c r="J757" i="168" a="1"/>
  <c r="J757" i="168" s="1"/>
  <c r="J754" i="168" a="1"/>
  <c r="J754" i="168" s="1"/>
  <c r="J751" i="168" a="1"/>
  <c r="J751" i="168" s="1"/>
  <c r="J748" i="168" a="1"/>
  <c r="J748" i="168" s="1"/>
  <c r="J745" i="168" a="1"/>
  <c r="J745" i="168" s="1"/>
  <c r="J742" i="168" a="1"/>
  <c r="J742" i="168" s="1"/>
  <c r="J739" i="168" a="1"/>
  <c r="J739" i="168" s="1"/>
  <c r="J736" i="168" a="1"/>
  <c r="J736" i="168" s="1"/>
  <c r="J733" i="168" a="1"/>
  <c r="J733" i="168" s="1"/>
  <c r="J725" i="168" a="1"/>
  <c r="J725" i="168" s="1"/>
  <c r="J722" i="168" a="1"/>
  <c r="J722" i="168" s="1"/>
  <c r="J719" i="168" a="1"/>
  <c r="J719" i="168" s="1"/>
  <c r="J716" i="168" a="1"/>
  <c r="J716" i="168" s="1"/>
  <c r="J713" i="168" a="1"/>
  <c r="J713" i="168" s="1"/>
  <c r="J710" i="168" a="1"/>
  <c r="J710" i="168" s="1"/>
  <c r="J707" i="168" a="1"/>
  <c r="J707" i="168" s="1"/>
  <c r="J704" i="168" a="1"/>
  <c r="J704" i="168" s="1"/>
  <c r="J701" i="168" a="1"/>
  <c r="J701" i="168" s="1"/>
  <c r="J698" i="168" a="1"/>
  <c r="J698" i="168" s="1"/>
  <c r="J695" i="168" a="1"/>
  <c r="J695" i="168" s="1"/>
  <c r="J691" i="168" a="1"/>
  <c r="J691" i="168" s="1"/>
  <c r="J688" i="168" a="1"/>
  <c r="J688" i="168" s="1"/>
  <c r="J685" i="168" a="1"/>
  <c r="J685" i="168" s="1"/>
  <c r="J681" i="168" a="1"/>
  <c r="J681" i="168" s="1"/>
  <c r="J678" i="168" a="1"/>
  <c r="J678" i="168" s="1"/>
  <c r="J675" i="168" a="1"/>
  <c r="J675" i="168" s="1"/>
  <c r="J672" i="168" a="1"/>
  <c r="J672" i="168" s="1"/>
  <c r="J669" i="168" a="1"/>
  <c r="J669" i="168" s="1"/>
  <c r="J1110" i="168" a="1"/>
  <c r="J1110" i="168" s="1"/>
  <c r="J1115" i="168" a="1"/>
  <c r="J1115" i="168" s="1"/>
  <c r="J1109" i="168" a="1"/>
  <c r="J1109" i="168" s="1"/>
  <c r="J1106" i="168" a="1"/>
  <c r="J1106" i="168" s="1"/>
  <c r="J1103" i="168" a="1"/>
  <c r="J1103" i="168" s="1"/>
  <c r="J1100" i="168" a="1"/>
  <c r="J1100" i="168" s="1"/>
  <c r="J1097" i="168" a="1"/>
  <c r="J1097" i="168" s="1"/>
  <c r="J1094" i="168" a="1"/>
  <c r="J1094" i="168" s="1"/>
  <c r="J1091" i="168" a="1"/>
  <c r="J1091" i="168" s="1"/>
  <c r="J1088" i="168" a="1"/>
  <c r="J1088" i="168" s="1"/>
  <c r="J1085" i="168" a="1"/>
  <c r="J1085" i="168" s="1"/>
  <c r="J1081" i="168" a="1"/>
  <c r="J1081" i="168" s="1"/>
  <c r="J1078" i="168" a="1"/>
  <c r="J1078" i="168" s="1"/>
  <c r="J1075" i="168" a="1"/>
  <c r="J1075" i="168" s="1"/>
  <c r="J1072" i="168" a="1"/>
  <c r="J1072" i="168" s="1"/>
  <c r="C35" i="120" s="1"/>
  <c r="J1058" i="168" a="1"/>
  <c r="J1058" i="168" s="1"/>
  <c r="J1055" i="168" a="1"/>
  <c r="J1055" i="168" s="1"/>
  <c r="J1052" i="168" a="1"/>
  <c r="J1052" i="168" s="1"/>
  <c r="J1049" i="168" a="1"/>
  <c r="J1049" i="168" s="1"/>
  <c r="J1046" i="168" a="1"/>
  <c r="J1046" i="168" s="1"/>
  <c r="J1043" i="168" a="1"/>
  <c r="J1043" i="168" s="1"/>
  <c r="J1040" i="168" a="1"/>
  <c r="J1040" i="168" s="1"/>
  <c r="J1037" i="168" a="1"/>
  <c r="J1037" i="168" s="1"/>
  <c r="J1034" i="168" a="1"/>
  <c r="J1034" i="168" s="1"/>
  <c r="J1031" i="168" a="1"/>
  <c r="J1031" i="168" s="1"/>
  <c r="J1028" i="168" a="1"/>
  <c r="J1028" i="168" s="1"/>
  <c r="J1025" i="168" a="1"/>
  <c r="J1025" i="168" s="1"/>
  <c r="J1022" i="168" a="1"/>
  <c r="J1022" i="168" s="1"/>
  <c r="J1019" i="168" a="1"/>
  <c r="J1019" i="168" s="1"/>
  <c r="J1016" i="168" a="1"/>
  <c r="J1016" i="168" s="1"/>
  <c r="J1013" i="168" a="1"/>
  <c r="J1013" i="168" s="1"/>
  <c r="J1010" i="168" a="1"/>
  <c r="J1010" i="168" s="1"/>
  <c r="J1007" i="168" a="1"/>
  <c r="J1007" i="168" s="1"/>
  <c r="J1004" i="168" a="1"/>
  <c r="J1004" i="168" s="1"/>
  <c r="J1001" i="168" a="1"/>
  <c r="J1001" i="168" s="1"/>
  <c r="J998" i="168" a="1"/>
  <c r="J998" i="168" s="1"/>
  <c r="J995" i="168" a="1"/>
  <c r="J995" i="168" s="1"/>
  <c r="J992" i="168" a="1"/>
  <c r="J992" i="168" s="1"/>
  <c r="J978" i="168" a="1"/>
  <c r="J978" i="168" s="1"/>
  <c r="J975" i="168" a="1"/>
  <c r="J975" i="168" s="1"/>
  <c r="J972" i="168" a="1"/>
  <c r="J972" i="168" s="1"/>
  <c r="J969" i="168" a="1"/>
  <c r="J969" i="168" s="1"/>
  <c r="J966" i="168" a="1"/>
  <c r="J966" i="168" s="1"/>
  <c r="J963" i="168" a="1"/>
  <c r="J963" i="168" s="1"/>
  <c r="J960" i="168" a="1"/>
  <c r="J960" i="168" s="1"/>
  <c r="J957" i="168" a="1"/>
  <c r="J957" i="168" s="1"/>
  <c r="J954" i="168" a="1"/>
  <c r="J954" i="168" s="1"/>
  <c r="J951" i="168" a="1"/>
  <c r="J951" i="168" s="1"/>
  <c r="J948" i="168" a="1"/>
  <c r="J948" i="168" s="1"/>
  <c r="J945" i="168" a="1"/>
  <c r="J945" i="168" s="1"/>
  <c r="J942" i="168" a="1"/>
  <c r="J942" i="168" s="1"/>
  <c r="J930" i="168" a="1"/>
  <c r="J930" i="168" s="1"/>
  <c r="J927" i="168" a="1"/>
  <c r="J927" i="168" s="1"/>
  <c r="J924" i="168" a="1"/>
  <c r="J924" i="168" s="1"/>
  <c r="J921" i="168" a="1"/>
  <c r="J921" i="168" s="1"/>
  <c r="J918" i="168" a="1"/>
  <c r="J918" i="168" s="1"/>
  <c r="J915" i="168" a="1"/>
  <c r="J915" i="168" s="1"/>
  <c r="J912" i="168" a="1"/>
  <c r="J912" i="168" s="1"/>
  <c r="J909" i="168" a="1"/>
  <c r="J909" i="168" s="1"/>
  <c r="J906" i="168" a="1"/>
  <c r="J906" i="168" s="1"/>
  <c r="J903" i="168" a="1"/>
  <c r="J903" i="168" s="1"/>
  <c r="J900" i="168" a="1"/>
  <c r="J900" i="168" s="1"/>
  <c r="J887" i="168" a="1"/>
  <c r="J887" i="168" s="1"/>
  <c r="J884" i="168" a="1"/>
  <c r="J884" i="168" s="1"/>
  <c r="J881" i="168" a="1"/>
  <c r="J881" i="168" s="1"/>
  <c r="J878" i="168" a="1"/>
  <c r="J878" i="168" s="1"/>
  <c r="J875" i="168" a="1"/>
  <c r="J875" i="168" s="1"/>
  <c r="J872" i="168" a="1"/>
  <c r="J872" i="168" s="1"/>
  <c r="J869" i="168" a="1"/>
  <c r="J869" i="168" s="1"/>
  <c r="J866" i="168" a="1"/>
  <c r="J866" i="168" s="1"/>
  <c r="J863" i="168" a="1"/>
  <c r="J863" i="168" s="1"/>
  <c r="J860" i="168" a="1"/>
  <c r="J860" i="168" s="1"/>
  <c r="J857" i="168" a="1"/>
  <c r="J857" i="168" s="1"/>
  <c r="J854" i="168" a="1"/>
  <c r="J854" i="168" s="1"/>
  <c r="J851" i="168" a="1"/>
  <c r="J851" i="168" s="1"/>
  <c r="J848" i="168" a="1"/>
  <c r="J848" i="168" s="1"/>
  <c r="J834" i="168" a="1"/>
  <c r="J834" i="168" s="1"/>
  <c r="J831" i="168" a="1"/>
  <c r="J831" i="168" s="1"/>
  <c r="J828" i="168" a="1"/>
  <c r="J828" i="168" s="1"/>
  <c r="J825" i="168" a="1"/>
  <c r="J825" i="168" s="1"/>
  <c r="J822" i="168" a="1"/>
  <c r="J822" i="168" s="1"/>
  <c r="J819" i="168" a="1"/>
  <c r="J819" i="168" s="1"/>
  <c r="J816" i="168" a="1"/>
  <c r="J816" i="168" s="1"/>
  <c r="J813" i="168" a="1"/>
  <c r="J813" i="168" s="1"/>
  <c r="J810" i="168" a="1"/>
  <c r="J810" i="168" s="1"/>
  <c r="J807" i="168" a="1"/>
  <c r="J807" i="168" s="1"/>
  <c r="J804" i="168" a="1"/>
  <c r="J804" i="168" s="1"/>
  <c r="J801" i="168" a="1"/>
  <c r="J801" i="168" s="1"/>
  <c r="J798" i="168" a="1"/>
  <c r="J798" i="168" s="1"/>
  <c r="J795" i="168" a="1"/>
  <c r="J795" i="168" s="1"/>
  <c r="J792" i="168" a="1"/>
  <c r="J792" i="168" s="1"/>
  <c r="J788" i="168" a="1"/>
  <c r="J788" i="168" s="1"/>
  <c r="J785" i="168" a="1"/>
  <c r="J785" i="168" s="1"/>
  <c r="J782" i="168" a="1"/>
  <c r="J782" i="168" s="1"/>
  <c r="J779" i="168" a="1"/>
  <c r="J779" i="168" s="1"/>
  <c r="J776" i="168" a="1"/>
  <c r="J776" i="168" s="1"/>
  <c r="J773" i="168" a="1"/>
  <c r="J773" i="168" s="1"/>
  <c r="J762" i="168" a="1"/>
  <c r="J762" i="168" s="1"/>
  <c r="J759" i="168" a="1"/>
  <c r="J759" i="168" s="1"/>
  <c r="J756" i="168" a="1"/>
  <c r="J756" i="168" s="1"/>
  <c r="J753" i="168" a="1"/>
  <c r="J753" i="168" s="1"/>
  <c r="J750" i="168" a="1"/>
  <c r="J750" i="168" s="1"/>
  <c r="J747" i="168" a="1"/>
  <c r="J747" i="168" s="1"/>
  <c r="J744" i="168" a="1"/>
  <c r="J744" i="168" s="1"/>
  <c r="J741" i="168" a="1"/>
  <c r="J741" i="168" s="1"/>
  <c r="J738" i="168" a="1"/>
  <c r="J738" i="168" s="1"/>
  <c r="J735" i="168" a="1"/>
  <c r="J735" i="168" s="1"/>
  <c r="J732" i="168" a="1"/>
  <c r="J732" i="168" s="1"/>
  <c r="C12" i="120" s="1"/>
  <c r="E12" i="120" s="1"/>
  <c r="J724" i="168" a="1"/>
  <c r="J724" i="168" s="1"/>
  <c r="J721" i="168" a="1"/>
  <c r="J721" i="168" s="1"/>
  <c r="J718" i="168" a="1"/>
  <c r="J718" i="168" s="1"/>
  <c r="J715" i="168" a="1"/>
  <c r="J715" i="168" s="1"/>
  <c r="J712" i="168" a="1"/>
  <c r="J712" i="168" s="1"/>
  <c r="J709" i="168" a="1"/>
  <c r="J709" i="168" s="1"/>
  <c r="J706" i="168" a="1"/>
  <c r="J706" i="168" s="1"/>
  <c r="J703" i="168" a="1"/>
  <c r="J703" i="168" s="1"/>
  <c r="J700" i="168" a="1"/>
  <c r="J700" i="168" s="1"/>
  <c r="J697" i="168" a="1"/>
  <c r="J697" i="168" s="1"/>
  <c r="J694" i="168" a="1"/>
  <c r="J694" i="168" s="1"/>
  <c r="J690" i="168" a="1"/>
  <c r="J690" i="168" s="1"/>
  <c r="J687" i="168" a="1"/>
  <c r="J687" i="168" s="1"/>
  <c r="J684" i="168" a="1"/>
  <c r="J684" i="168" s="1"/>
  <c r="J680" i="168" a="1"/>
  <c r="J680" i="168" s="1"/>
  <c r="J677" i="168" a="1"/>
  <c r="J677" i="168" s="1"/>
  <c r="J674" i="168" a="1"/>
  <c r="J674" i="168" s="1"/>
  <c r="J671" i="168" a="1"/>
  <c r="J671" i="168" s="1"/>
  <c r="J668" i="168" a="1"/>
  <c r="J668" i="168" s="1"/>
  <c r="J20" i="168" a="1"/>
  <c r="J20" i="168" s="1"/>
  <c r="J21" i="168" a="1"/>
  <c r="J21" i="168" s="1"/>
  <c r="J22" i="168" a="1"/>
  <c r="J22" i="168" s="1"/>
  <c r="J23" i="168" a="1"/>
  <c r="J23" i="168" s="1"/>
  <c r="J26" i="168" a="1"/>
  <c r="J26" i="168" s="1"/>
  <c r="J27" i="168" a="1"/>
  <c r="J27" i="168" s="1"/>
  <c r="J28" i="168" a="1"/>
  <c r="J28" i="168" s="1"/>
  <c r="J29" i="168" a="1"/>
  <c r="J29" i="168" s="1"/>
  <c r="J30" i="168" a="1"/>
  <c r="J30" i="168" s="1"/>
  <c r="J31" i="168" a="1"/>
  <c r="J31" i="168" s="1"/>
  <c r="J32" i="168" a="1"/>
  <c r="J32" i="168" s="1"/>
  <c r="Z12" i="169"/>
  <c r="Z13" i="169"/>
  <c r="Z14" i="169"/>
  <c r="Z15" i="169"/>
  <c r="Z16" i="169"/>
  <c r="Z17" i="169"/>
  <c r="Z18" i="169"/>
  <c r="Z19" i="169"/>
  <c r="Z20" i="169"/>
  <c r="Z21" i="169"/>
  <c r="G21" i="169"/>
  <c r="Z22" i="169"/>
  <c r="Z23" i="169"/>
  <c r="Z24" i="169"/>
  <c r="Z26" i="169"/>
  <c r="Z27" i="169"/>
  <c r="Z28" i="169"/>
  <c r="Z29" i="169"/>
  <c r="Z30" i="169"/>
  <c r="Z31" i="169"/>
  <c r="Z32" i="169"/>
  <c r="Z33" i="169"/>
  <c r="Z34" i="169"/>
  <c r="Z35" i="169"/>
  <c r="Z36" i="169"/>
  <c r="Z37" i="169"/>
  <c r="Z38" i="169"/>
  <c r="Z39" i="169"/>
  <c r="Z40" i="169"/>
  <c r="Z41" i="169"/>
  <c r="Z42" i="169"/>
  <c r="K42" i="169"/>
  <c r="Z43" i="169"/>
  <c r="L606" i="24"/>
  <c r="AQ1121" i="1" s="1"/>
  <c r="Q23" i="109"/>
  <c r="Q596" i="24"/>
  <c r="P596" i="24"/>
  <c r="D48" i="173"/>
  <c r="R42" i="121"/>
  <c r="Q42" i="109"/>
  <c r="J34" i="121"/>
  <c r="R37" i="121"/>
  <c r="N32" i="109"/>
  <c r="O32" i="109"/>
  <c r="P32" i="109"/>
  <c r="D42" i="173"/>
  <c r="F32" i="121"/>
  <c r="O32" i="121"/>
  <c r="P32" i="121"/>
  <c r="Q32" i="121"/>
  <c r="C46" i="120" l="1"/>
  <c r="E46" i="120" s="1"/>
  <c r="E34" i="120"/>
  <c r="C34" i="120"/>
  <c r="E29" i="120"/>
  <c r="C29" i="120"/>
  <c r="C17" i="120"/>
  <c r="E17" i="120" s="1"/>
  <c r="E32" i="120"/>
  <c r="C32" i="120"/>
  <c r="E28" i="120"/>
  <c r="C28" i="120"/>
  <c r="C43" i="120"/>
  <c r="E43" i="120" s="1"/>
  <c r="E16" i="120"/>
  <c r="C16" i="120"/>
  <c r="E40" i="120"/>
  <c r="C40" i="120"/>
  <c r="C37" i="120"/>
  <c r="E37" i="120" s="1"/>
  <c r="E31" i="120"/>
  <c r="C31" i="120"/>
  <c r="E14" i="120"/>
  <c r="C14" i="120"/>
  <c r="C33" i="120"/>
  <c r="E33" i="120" s="1"/>
  <c r="E41" i="120"/>
  <c r="C41" i="120"/>
  <c r="Q18" i="121"/>
  <c r="E32" i="109"/>
  <c r="E32" i="174"/>
  <c r="E32" i="15"/>
  <c r="E30" i="53"/>
  <c r="I34" i="109"/>
  <c r="Y16" i="169"/>
  <c r="C42" i="173"/>
  <c r="V30" i="169"/>
  <c r="U30" i="169"/>
  <c r="T30" i="169"/>
  <c r="S30" i="169"/>
  <c r="R30" i="169"/>
  <c r="U23" i="169"/>
  <c r="T23" i="169"/>
  <c r="X42" i="169"/>
  <c r="W42" i="169"/>
  <c r="V42" i="169"/>
  <c r="U42" i="169"/>
  <c r="J145" i="168" a="1"/>
  <c r="J145" i="168" s="1"/>
  <c r="J772" i="168" a="1"/>
  <c r="J772" i="168" s="1"/>
  <c r="J846" i="168" a="1"/>
  <c r="J846" i="168" s="1"/>
  <c r="J341" i="168" a="1"/>
  <c r="J341" i="168" s="1"/>
  <c r="J646" i="168" a="1"/>
  <c r="J646" i="168" s="1"/>
  <c r="J941" i="168" a="1"/>
  <c r="J941" i="168" s="1"/>
  <c r="J57" i="168" a="1"/>
  <c r="J57" i="168" s="1"/>
  <c r="J264" i="168" a="1"/>
  <c r="J264" i="168" s="1"/>
  <c r="J682" i="168" a="1"/>
  <c r="J682" i="168" s="1"/>
  <c r="J100" i="168" a="1"/>
  <c r="J100" i="168" s="1"/>
  <c r="J538" i="168" a="1"/>
  <c r="J538" i="168" s="1"/>
  <c r="J1071" i="168" a="1"/>
  <c r="J1071" i="168" s="1"/>
  <c r="J184" i="168" a="1"/>
  <c r="J184" i="168" s="1"/>
  <c r="J667" i="168" a="1"/>
  <c r="J667" i="168" s="1"/>
  <c r="J991" i="168" a="1"/>
  <c r="J991" i="168" s="1"/>
  <c r="J410" i="168" a="1"/>
  <c r="J410" i="168" s="1"/>
  <c r="J790" i="168" a="1"/>
  <c r="J790" i="168" s="1"/>
  <c r="J1082" i="168" a="1"/>
  <c r="J1082" i="168" s="1"/>
  <c r="V24" i="169"/>
  <c r="X24" i="169" s="1"/>
  <c r="Y24" i="169" s="1"/>
  <c r="J25" i="168" a="1"/>
  <c r="J25" i="168" s="1"/>
  <c r="J24" i="168" a="1"/>
  <c r="J24" i="168" s="1"/>
  <c r="J136" i="168" a="1"/>
  <c r="J136" i="168" s="1"/>
  <c r="J142" i="168" a="1"/>
  <c r="J142" i="168" s="1"/>
  <c r="J182" i="168" a="1"/>
  <c r="J182" i="168" s="1"/>
  <c r="J261" i="168" a="1"/>
  <c r="J261" i="168" s="1"/>
  <c r="J300" i="168" a="1"/>
  <c r="J300" i="168" s="1"/>
  <c r="J339" i="168" a="1"/>
  <c r="J339" i="168" s="1"/>
  <c r="J407" i="168" a="1"/>
  <c r="J407" i="168" s="1"/>
  <c r="J530" i="168" a="1"/>
  <c r="J530" i="168" s="1"/>
  <c r="J536" i="168" a="1"/>
  <c r="J536" i="168" s="1"/>
  <c r="J642" i="168" a="1"/>
  <c r="J642" i="168" s="1"/>
  <c r="J727" i="168" a="1"/>
  <c r="J727" i="168" s="1"/>
  <c r="J766" i="168" a="1"/>
  <c r="J766" i="168" s="1"/>
  <c r="J836" i="168" a="1"/>
  <c r="J836" i="168" s="1"/>
  <c r="J842" i="168" a="1"/>
  <c r="J842" i="168" s="1"/>
  <c r="J890" i="168" a="1"/>
  <c r="J890" i="168" s="1"/>
  <c r="J896" i="168" a="1"/>
  <c r="J896" i="168" s="1"/>
  <c r="J937" i="168" a="1"/>
  <c r="J937" i="168" s="1"/>
  <c r="J983" i="168" a="1"/>
  <c r="J983" i="168" s="1"/>
  <c r="J989" i="168" a="1"/>
  <c r="J989" i="168" s="1"/>
  <c r="J1065" i="168" a="1"/>
  <c r="J1065" i="168" s="1"/>
  <c r="J1120" i="168" a="1"/>
  <c r="J1120" i="168" s="1"/>
  <c r="J1126" i="168" a="1"/>
  <c r="J1126" i="168" s="1"/>
  <c r="J141" i="168" a="1"/>
  <c r="J141" i="168" s="1"/>
  <c r="J181" i="168" a="1"/>
  <c r="J181" i="168" s="1"/>
  <c r="J216" i="168" a="1"/>
  <c r="J216" i="168" s="1"/>
  <c r="J263" i="168" a="1"/>
  <c r="J263" i="168" s="1"/>
  <c r="J335" i="168" a="1"/>
  <c r="J335" i="168" s="1"/>
  <c r="J375" i="168" a="1"/>
  <c r="J375" i="168" s="1"/>
  <c r="J409" i="168" a="1"/>
  <c r="J409" i="168" s="1"/>
  <c r="J532" i="168" a="1"/>
  <c r="J532" i="168" s="1"/>
  <c r="J571" i="168" a="1"/>
  <c r="J571" i="168" s="1"/>
  <c r="J644" i="168" a="1"/>
  <c r="J644" i="168" s="1"/>
  <c r="J729" i="168" a="1"/>
  <c r="J729" i="168" s="1"/>
  <c r="J768" i="168" a="1"/>
  <c r="J768" i="168" s="1"/>
  <c r="J838" i="168" a="1"/>
  <c r="J838" i="168" s="1"/>
  <c r="J844" i="168" a="1"/>
  <c r="J844" i="168" s="1"/>
  <c r="J892" i="168" a="1"/>
  <c r="J892" i="168" s="1"/>
  <c r="J933" i="168" a="1"/>
  <c r="J933" i="168" s="1"/>
  <c r="J939" i="168" a="1"/>
  <c r="J939" i="168" s="1"/>
  <c r="J985" i="168" a="1"/>
  <c r="J985" i="168" s="1"/>
  <c r="J1061" i="168" a="1"/>
  <c r="J1061" i="168" s="1"/>
  <c r="J1067" i="168" a="1"/>
  <c r="J1067" i="168" s="1"/>
  <c r="J1122" i="168" a="1"/>
  <c r="J1122" i="168" s="1"/>
  <c r="J1128" i="168" a="1"/>
  <c r="J1128" i="168" s="1"/>
  <c r="J138" i="168" a="1"/>
  <c r="J138" i="168" s="1"/>
  <c r="J144" i="168" a="1"/>
  <c r="J144" i="168" s="1"/>
  <c r="J260" i="168" a="1"/>
  <c r="J260" i="168" s="1"/>
  <c r="J299" i="168" a="1"/>
  <c r="J299" i="168" s="1"/>
  <c r="J338" i="168" a="1"/>
  <c r="J338" i="168" s="1"/>
  <c r="J378" i="168" a="1"/>
  <c r="J378" i="168" s="1"/>
  <c r="J469" i="168" a="1"/>
  <c r="J469" i="168" s="1"/>
  <c r="J535" i="168" a="1"/>
  <c r="J535" i="168" s="1"/>
  <c r="J641" i="168" a="1"/>
  <c r="J641" i="168" s="1"/>
  <c r="J693" i="168" a="1"/>
  <c r="J693" i="168" s="1"/>
  <c r="J765" i="168" a="1"/>
  <c r="J765" i="168" s="1"/>
  <c r="J771" i="168" a="1"/>
  <c r="J771" i="168" s="1"/>
  <c r="J841" i="168" a="1"/>
  <c r="J841" i="168" s="1"/>
  <c r="J889" i="168" a="1"/>
  <c r="J889" i="168" s="1"/>
  <c r="J895" i="168" a="1"/>
  <c r="J895" i="168" s="1"/>
  <c r="J936" i="168" a="1"/>
  <c r="J936" i="168" s="1"/>
  <c r="J982" i="168" a="1"/>
  <c r="J982" i="168" s="1"/>
  <c r="J988" i="168" a="1"/>
  <c r="J988" i="168" s="1"/>
  <c r="J1064" i="168" a="1"/>
  <c r="J1064" i="168" s="1"/>
  <c r="J1070" i="168" a="1"/>
  <c r="J1070" i="168" s="1"/>
  <c r="J1125" i="168" a="1"/>
  <c r="J1125" i="168" s="1"/>
  <c r="J1127" i="168" a="1"/>
  <c r="J1127" i="168" s="1"/>
  <c r="J137" i="168" a="1"/>
  <c r="J137" i="168" s="1"/>
  <c r="J180" i="168" a="1"/>
  <c r="J180" i="168" s="1"/>
  <c r="J259" i="168" a="1"/>
  <c r="J259" i="168" s="1"/>
  <c r="J298" i="168" a="1"/>
  <c r="J298" i="168" s="1"/>
  <c r="J337" i="168" a="1"/>
  <c r="J337" i="168" s="1"/>
  <c r="J377" i="168" a="1"/>
  <c r="J377" i="168" s="1"/>
  <c r="J432" i="168" a="1"/>
  <c r="J432" i="168" s="1"/>
  <c r="J534" i="168" a="1"/>
  <c r="J534" i="168" s="1"/>
  <c r="J640" i="168" a="1"/>
  <c r="J640" i="168" s="1"/>
  <c r="J666" i="168" a="1"/>
  <c r="J666" i="168" s="1"/>
  <c r="J731" i="168" a="1"/>
  <c r="J731" i="168" s="1"/>
  <c r="J770" i="168" a="1"/>
  <c r="J770" i="168" s="1"/>
  <c r="J840" i="168" a="1"/>
  <c r="J840" i="168" s="1"/>
  <c r="J888" i="168" a="1"/>
  <c r="J888" i="168" s="1"/>
  <c r="J894" i="168" a="1"/>
  <c r="J894" i="168" s="1"/>
  <c r="J935" i="168" a="1"/>
  <c r="J935" i="168" s="1"/>
  <c r="J981" i="168" a="1"/>
  <c r="J981" i="168" s="1"/>
  <c r="J987" i="168" a="1"/>
  <c r="J987" i="168" s="1"/>
  <c r="J1063" i="168" a="1"/>
  <c r="J1063" i="168" s="1"/>
  <c r="J1069" i="168" a="1"/>
  <c r="J1069" i="168" s="1"/>
  <c r="J1124" i="168" a="1"/>
  <c r="J1124" i="168" s="1"/>
  <c r="J140" i="168" a="1"/>
  <c r="J140" i="168" s="1"/>
  <c r="J143" i="168" a="1"/>
  <c r="J143" i="168" s="1"/>
  <c r="J183" i="168" a="1"/>
  <c r="J183" i="168" s="1"/>
  <c r="J262" i="168" a="1"/>
  <c r="J262" i="168" s="1"/>
  <c r="J301" i="168" a="1"/>
  <c r="J301" i="168" s="1"/>
  <c r="J340" i="168" a="1"/>
  <c r="J340" i="168" s="1"/>
  <c r="J408" i="168" a="1"/>
  <c r="J408" i="168" s="1"/>
  <c r="J531" i="168" a="1"/>
  <c r="J531" i="168" s="1"/>
  <c r="J537" i="168" a="1"/>
  <c r="J537" i="168" s="1"/>
  <c r="J643" i="168" a="1"/>
  <c r="J643" i="168" s="1"/>
  <c r="J728" i="168" a="1"/>
  <c r="J728" i="168" s="1"/>
  <c r="J767" i="168" a="1"/>
  <c r="J767" i="168" s="1"/>
  <c r="J837" i="168" a="1"/>
  <c r="J837" i="168" s="1"/>
  <c r="J843" i="168" a="1"/>
  <c r="J843" i="168" s="1"/>
  <c r="J891" i="168" a="1"/>
  <c r="J891" i="168" s="1"/>
  <c r="J897" i="168" a="1"/>
  <c r="J897" i="168" s="1"/>
  <c r="J938" i="168" a="1"/>
  <c r="J938" i="168" s="1"/>
  <c r="J984" i="168" a="1"/>
  <c r="J984" i="168" s="1"/>
  <c r="J990" i="168" a="1"/>
  <c r="J990" i="168" s="1"/>
  <c r="J1066" i="168" a="1"/>
  <c r="J1066" i="168" s="1"/>
  <c r="J1121" i="168" a="1"/>
  <c r="J1121" i="168" s="1"/>
  <c r="J139" i="168" a="1"/>
  <c r="J139" i="168" s="1"/>
  <c r="J179" i="168" a="1"/>
  <c r="J179" i="168" s="1"/>
  <c r="J217" i="168" a="1"/>
  <c r="J217" i="168" s="1"/>
  <c r="J297" i="168" a="1"/>
  <c r="J297" i="168" s="1"/>
  <c r="J336" i="168" a="1"/>
  <c r="J336" i="168" s="1"/>
  <c r="J376" i="168" a="1"/>
  <c r="J376" i="168" s="1"/>
  <c r="J431" i="168" a="1"/>
  <c r="J431" i="168" s="1"/>
  <c r="J533" i="168" a="1"/>
  <c r="J533" i="168" s="1"/>
  <c r="J572" i="168" a="1"/>
  <c r="J572" i="168" s="1"/>
  <c r="J645" i="168" a="1"/>
  <c r="J645" i="168" s="1"/>
  <c r="J730" i="168" a="1"/>
  <c r="J730" i="168" s="1"/>
  <c r="J769" i="168" a="1"/>
  <c r="J769" i="168" s="1"/>
  <c r="J839" i="168" a="1"/>
  <c r="J839" i="168" s="1"/>
  <c r="J845" i="168" a="1"/>
  <c r="J845" i="168" s="1"/>
  <c r="J893" i="168" a="1"/>
  <c r="J893" i="168" s="1"/>
  <c r="J934" i="168" a="1"/>
  <c r="J934" i="168" s="1"/>
  <c r="J940" i="168" a="1"/>
  <c r="J940" i="168" s="1"/>
  <c r="J986" i="168" a="1"/>
  <c r="J986" i="168" s="1"/>
  <c r="J1062" i="168" a="1"/>
  <c r="J1062" i="168" s="1"/>
  <c r="J1068" i="168" a="1"/>
  <c r="J1068" i="168" s="1"/>
  <c r="J1123" i="168" a="1"/>
  <c r="J1123" i="168" s="1"/>
  <c r="J1129" i="168" a="1"/>
  <c r="J1129" i="168" s="1"/>
  <c r="J99" i="168" a="1"/>
  <c r="J99" i="168" s="1"/>
  <c r="J92" i="168" a="1"/>
  <c r="J92" i="168" s="1"/>
  <c r="J94" i="168" a="1"/>
  <c r="J94" i="168" s="1"/>
  <c r="J55" i="168" a="1"/>
  <c r="J55" i="168" s="1"/>
  <c r="J98" i="168" a="1"/>
  <c r="J98" i="168" s="1"/>
  <c r="J52" i="168" a="1"/>
  <c r="J52" i="168" s="1"/>
  <c r="J96" i="168" a="1"/>
  <c r="J96" i="168" s="1"/>
  <c r="J56" i="168" a="1"/>
  <c r="J56" i="168" s="1"/>
  <c r="J53" i="168" a="1"/>
  <c r="J53" i="168" s="1"/>
  <c r="J95" i="168" a="1"/>
  <c r="J95" i="168" s="1"/>
  <c r="J97" i="168" a="1"/>
  <c r="J97" i="168" s="1"/>
  <c r="J51" i="168" a="1"/>
  <c r="J51" i="168" s="1"/>
  <c r="J93" i="168" a="1"/>
  <c r="J93" i="168" s="1"/>
  <c r="J54" i="168" a="1"/>
  <c r="J54" i="168" s="1"/>
  <c r="E35" i="120"/>
  <c r="E22" i="120"/>
  <c r="E44" i="120"/>
  <c r="E25" i="120"/>
  <c r="E18" i="120"/>
  <c r="E27" i="120"/>
  <c r="E23" i="120"/>
  <c r="E30" i="120"/>
  <c r="E24" i="120"/>
  <c r="E26" i="120"/>
  <c r="E20" i="120"/>
  <c r="E13" i="120"/>
  <c r="E36" i="120"/>
  <c r="E42" i="120"/>
  <c r="J493" i="168" a="1"/>
  <c r="J493" i="168" s="1"/>
  <c r="J19" i="168" a="1"/>
  <c r="J19" i="168" s="1"/>
  <c r="J477" i="168" a="1"/>
  <c r="J477" i="168" s="1"/>
  <c r="J480" i="168" a="1"/>
  <c r="J480" i="168" s="1"/>
  <c r="J476" i="168" a="1"/>
  <c r="J476" i="168" s="1"/>
  <c r="J479" i="168" a="1"/>
  <c r="J479" i="168" s="1"/>
  <c r="J474" i="168" a="1"/>
  <c r="J474" i="168" s="1"/>
  <c r="J471" i="168" a="1"/>
  <c r="J471" i="168" s="1"/>
  <c r="J472" i="168" a="1"/>
  <c r="J472" i="168" s="1"/>
  <c r="J478" i="168" a="1"/>
  <c r="J478" i="168" s="1"/>
  <c r="J475" i="168" a="1"/>
  <c r="J475" i="168" s="1"/>
  <c r="J473" i="168" a="1"/>
  <c r="J473" i="168" s="1"/>
  <c r="J18" i="168" a="1"/>
  <c r="J18" i="168" s="1"/>
  <c r="J483" i="168" a="1"/>
  <c r="J483" i="168" s="1"/>
  <c r="J482" i="168" a="1"/>
  <c r="J482" i="168" s="1"/>
  <c r="J481" i="168" a="1"/>
  <c r="J481" i="168" s="1"/>
  <c r="J13" i="168" a="1"/>
  <c r="J13" i="168" s="1"/>
  <c r="J486" i="168" a="1"/>
  <c r="J486" i="168" s="1"/>
  <c r="J485" i="168" a="1"/>
  <c r="J485" i="168" s="1"/>
  <c r="J484" i="168" a="1"/>
  <c r="J484" i="168" s="1"/>
  <c r="J14" i="168" a="1"/>
  <c r="J14" i="168" s="1"/>
  <c r="J489" i="168" a="1"/>
  <c r="J489" i="168" s="1"/>
  <c r="J488" i="168" a="1"/>
  <c r="J488" i="168" s="1"/>
  <c r="J487" i="168" a="1"/>
  <c r="J487" i="168" s="1"/>
  <c r="J15" i="168" a="1"/>
  <c r="J15" i="168" s="1"/>
  <c r="J470" i="168" a="1"/>
  <c r="J470" i="168" s="1"/>
  <c r="C45" i="120" s="1"/>
  <c r="J491" i="168" a="1"/>
  <c r="J491" i="168" s="1"/>
  <c r="J490" i="168" a="1"/>
  <c r="J490" i="168" s="1"/>
  <c r="J16" i="168" a="1"/>
  <c r="J16" i="168" s="1"/>
  <c r="J494" i="168" a="1"/>
  <c r="J494" i="168" s="1"/>
  <c r="J492" i="168" a="1"/>
  <c r="J492" i="168" s="1"/>
  <c r="J495" i="168" a="1"/>
  <c r="J495" i="168" s="1"/>
  <c r="J17" i="168" a="1"/>
  <c r="J17" i="168" s="1"/>
  <c r="J497" i="168" a="1"/>
  <c r="J497" i="168" s="1"/>
  <c r="J496" i="168" a="1"/>
  <c r="J496" i="168" s="1"/>
  <c r="J498" i="168" a="1"/>
  <c r="J498" i="168" s="1"/>
  <c r="J43" i="168" a="1"/>
  <c r="J43" i="168" s="1"/>
  <c r="J42" i="168" a="1"/>
  <c r="J42" i="168" s="1"/>
  <c r="J41" i="168" a="1"/>
  <c r="J41" i="168" s="1"/>
  <c r="J40" i="168" a="1"/>
  <c r="J40" i="168" s="1"/>
  <c r="J39" i="168" a="1"/>
  <c r="J39" i="168" s="1"/>
  <c r="J38" i="168" a="1"/>
  <c r="J38" i="168" s="1"/>
  <c r="J37" i="168" a="1"/>
  <c r="J37" i="168" s="1"/>
  <c r="J36" i="168" a="1"/>
  <c r="J36" i="168" s="1"/>
  <c r="J33" i="168" a="1"/>
  <c r="J33" i="168" s="1"/>
  <c r="J12" i="168" a="1"/>
  <c r="J12" i="168" s="1"/>
  <c r="J34" i="168" a="1"/>
  <c r="J34" i="168" s="1"/>
  <c r="J35" i="168" a="1"/>
  <c r="J35" i="168" s="1"/>
  <c r="Q42" i="169"/>
  <c r="T31" i="169"/>
  <c r="F15" i="39"/>
  <c r="J42" i="169"/>
  <c r="K39" i="169"/>
  <c r="K37" i="169"/>
  <c r="F37" i="169" s="1"/>
  <c r="Q31" i="169"/>
  <c r="K27" i="169"/>
  <c r="S22" i="169"/>
  <c r="U22" i="169" s="1"/>
  <c r="L14" i="169"/>
  <c r="K14" i="169" s="1"/>
  <c r="J14" i="169" s="1"/>
  <c r="L12" i="169"/>
  <c r="K12" i="169" s="1"/>
  <c r="O42" i="169"/>
  <c r="L36" i="169"/>
  <c r="K36" i="169" s="1"/>
  <c r="K31" i="169"/>
  <c r="J31" i="169" s="1"/>
  <c r="K26" i="169"/>
  <c r="K18" i="169"/>
  <c r="F18" i="169" s="1"/>
  <c r="P42" i="169"/>
  <c r="K40" i="169"/>
  <c r="F40" i="169" s="1"/>
  <c r="K34" i="169"/>
  <c r="F34" i="169" s="1"/>
  <c r="K32" i="169"/>
  <c r="Q32" i="169"/>
  <c r="S31" i="169"/>
  <c r="K30" i="169"/>
  <c r="L17" i="169"/>
  <c r="K17" i="169" s="1"/>
  <c r="J1119" i="168" a="1"/>
  <c r="J1119" i="168" s="1"/>
  <c r="E15" i="120" s="1"/>
  <c r="K41" i="169"/>
  <c r="K35" i="169"/>
  <c r="K33" i="169"/>
  <c r="F33" i="169" s="1"/>
  <c r="K28" i="169"/>
  <c r="F28" i="169" s="1"/>
  <c r="K23" i="169"/>
  <c r="F23" i="169" s="1"/>
  <c r="K19" i="169"/>
  <c r="F19" i="169" s="1"/>
  <c r="K16" i="169"/>
  <c r="J16" i="169" s="1"/>
  <c r="C16" i="169" s="1"/>
  <c r="K13" i="169"/>
  <c r="F13" i="169" s="1"/>
  <c r="L38" i="169"/>
  <c r="K38" i="169" s="1"/>
  <c r="F38" i="169" s="1"/>
  <c r="R35" i="169"/>
  <c r="O32" i="169"/>
  <c r="K29" i="169"/>
  <c r="F29" i="169" s="1"/>
  <c r="K24" i="169"/>
  <c r="K20" i="169"/>
  <c r="F20" i="169" s="1"/>
  <c r="N42" i="169"/>
  <c r="M42" i="169"/>
  <c r="R42" i="169"/>
  <c r="K22" i="169"/>
  <c r="F22" i="169" s="1"/>
  <c r="L21" i="169"/>
  <c r="J21" i="169" s="1"/>
  <c r="R21" i="169"/>
  <c r="S21" i="169" s="1"/>
  <c r="T21" i="169" s="1"/>
  <c r="U21" i="169" s="1"/>
  <c r="V21" i="169" s="1"/>
  <c r="W21" i="169" s="1"/>
  <c r="X21" i="169" s="1"/>
  <c r="Y21" i="169" s="1"/>
  <c r="K15" i="169"/>
  <c r="F15" i="169" s="1"/>
  <c r="O596" i="24"/>
  <c r="P18" i="109"/>
  <c r="H583" i="24"/>
  <c r="M24" i="109"/>
  <c r="P25" i="111"/>
  <c r="G574" i="24"/>
  <c r="D12" i="126"/>
  <c r="P51" i="167"/>
  <c r="O51" i="167"/>
  <c r="L51" i="167"/>
  <c r="D19" i="126" s="1"/>
  <c r="K51" i="167"/>
  <c r="J51" i="167"/>
  <c r="I51" i="167"/>
  <c r="H51" i="167"/>
  <c r="Q50" i="167"/>
  <c r="N50" i="167"/>
  <c r="J50" i="167"/>
  <c r="H50" i="167"/>
  <c r="I47" i="167"/>
  <c r="G47" i="167"/>
  <c r="Q46" i="167"/>
  <c r="H39" i="167"/>
  <c r="O37" i="167"/>
  <c r="K37" i="167"/>
  <c r="H37" i="167"/>
  <c r="O34" i="167"/>
  <c r="K34" i="167"/>
  <c r="H34" i="167"/>
  <c r="O33" i="167"/>
  <c r="H33" i="167"/>
  <c r="I32" i="167"/>
  <c r="H32" i="167"/>
  <c r="K31" i="167"/>
  <c r="I31" i="167"/>
  <c r="G31" i="167"/>
  <c r="Q30" i="167"/>
  <c r="U30" i="167" s="1"/>
  <c r="D27" i="56" s="1"/>
  <c r="Q26" i="167"/>
  <c r="O26" i="167"/>
  <c r="J26" i="167"/>
  <c r="I26" i="167"/>
  <c r="H26" i="167"/>
  <c r="O25" i="167"/>
  <c r="I25" i="167"/>
  <c r="G25" i="167"/>
  <c r="Q24" i="167"/>
  <c r="P23" i="167"/>
  <c r="G23" i="167"/>
  <c r="Q22" i="167"/>
  <c r="H21" i="167"/>
  <c r="G17" i="167"/>
  <c r="Q15" i="167"/>
  <c r="H14" i="167"/>
  <c r="O103" i="1" l="1"/>
  <c r="O114" i="1"/>
  <c r="C21" i="120"/>
  <c r="E21" i="120" s="1"/>
  <c r="C21" i="169"/>
  <c r="P26" i="111"/>
  <c r="N26" i="109"/>
  <c r="G26" i="109"/>
  <c r="Q24" i="109"/>
  <c r="R24" i="111"/>
  <c r="L24" i="109"/>
  <c r="M24" i="111"/>
  <c r="F24" i="111"/>
  <c r="P24" i="109"/>
  <c r="Q24" i="111"/>
  <c r="Q37" i="109"/>
  <c r="R37" i="111"/>
  <c r="I26" i="109"/>
  <c r="J26" i="111"/>
  <c r="J26" i="109"/>
  <c r="E26" i="174"/>
  <c r="E26" i="15"/>
  <c r="O24" i="109"/>
  <c r="P24" i="111"/>
  <c r="I24" i="109"/>
  <c r="J24" i="111"/>
  <c r="E24" i="109"/>
  <c r="E24" i="174"/>
  <c r="E24" i="15"/>
  <c r="H26" i="111"/>
  <c r="K26" i="109"/>
  <c r="L26" i="111"/>
  <c r="O26" i="109"/>
  <c r="L25" i="109"/>
  <c r="N24" i="109"/>
  <c r="O24" i="111"/>
  <c r="V22" i="109"/>
  <c r="E22" i="174"/>
  <c r="E22" i="15"/>
  <c r="M26" i="111"/>
  <c r="L26" i="109"/>
  <c r="K26" i="111"/>
  <c r="W26" i="111"/>
  <c r="V26" i="109"/>
  <c r="M25" i="109"/>
  <c r="N25" i="111"/>
  <c r="C21" i="53"/>
  <c r="E25" i="109"/>
  <c r="D25" i="174"/>
  <c r="D25" i="15"/>
  <c r="P22" i="109"/>
  <c r="Q22" i="111"/>
  <c r="U33" i="167"/>
  <c r="D28" i="56" s="1"/>
  <c r="S55" i="109"/>
  <c r="F26" i="117"/>
  <c r="C42" i="169"/>
  <c r="U25" i="167"/>
  <c r="D18" i="56" s="1"/>
  <c r="U32" i="167"/>
  <c r="D17" i="56" s="1"/>
  <c r="U34" i="167"/>
  <c r="D25" i="56" s="1"/>
  <c r="U47" i="167"/>
  <c r="D23" i="56" s="1"/>
  <c r="C31" i="169"/>
  <c r="F49" i="39" s="1"/>
  <c r="U15" i="167"/>
  <c r="D31" i="56" s="1"/>
  <c r="U22" i="167"/>
  <c r="C14" i="169"/>
  <c r="F33" i="39" s="1"/>
  <c r="F46" i="39"/>
  <c r="J32" i="169"/>
  <c r="F32" i="169"/>
  <c r="G32" i="169" s="1"/>
  <c r="F24" i="169"/>
  <c r="G24" i="169" s="1"/>
  <c r="J35" i="169"/>
  <c r="F35" i="169"/>
  <c r="G35" i="169" s="1"/>
  <c r="F30" i="169"/>
  <c r="G30" i="169" s="1"/>
  <c r="F41" i="169"/>
  <c r="G41" i="169" s="1"/>
  <c r="F39" i="169"/>
  <c r="G39" i="169" s="1"/>
  <c r="J26" i="169"/>
  <c r="F26" i="169"/>
  <c r="G26" i="169" s="1"/>
  <c r="F27" i="169"/>
  <c r="G27" i="169" s="1"/>
  <c r="J36" i="169"/>
  <c r="F36" i="169"/>
  <c r="G36" i="169" s="1"/>
  <c r="F17" i="169"/>
  <c r="G17" i="169" s="1"/>
  <c r="E45" i="120"/>
  <c r="J17" i="169"/>
  <c r="J41" i="169"/>
  <c r="U50" i="167"/>
  <c r="D16" i="56" s="1"/>
  <c r="U51" i="167"/>
  <c r="D12" i="56" s="1"/>
  <c r="U26" i="167"/>
  <c r="D15" i="56" s="1"/>
  <c r="U37" i="167"/>
  <c r="D20" i="56" s="1"/>
  <c r="U31" i="167"/>
  <c r="D19" i="56" s="1"/>
  <c r="U14" i="167"/>
  <c r="D29" i="56" s="1"/>
  <c r="D14" i="126"/>
  <c r="O21" i="167"/>
  <c r="U21" i="167"/>
  <c r="D21" i="56" s="1"/>
  <c r="U24" i="167"/>
  <c r="D26" i="56" s="1"/>
  <c r="U39" i="167"/>
  <c r="D24" i="56" s="1"/>
  <c r="U46" i="167"/>
  <c r="D22" i="56" s="1"/>
  <c r="J30" i="169"/>
  <c r="J27" i="169"/>
  <c r="J39" i="169"/>
  <c r="J12" i="169"/>
  <c r="F12" i="169"/>
  <c r="G12" i="169" s="1"/>
  <c r="G37" i="169"/>
  <c r="J37" i="169"/>
  <c r="L55" i="167"/>
  <c r="G34" i="169"/>
  <c r="J34" i="169"/>
  <c r="D17" i="126"/>
  <c r="G40" i="169"/>
  <c r="J40" i="169"/>
  <c r="J18" i="169"/>
  <c r="G18" i="169"/>
  <c r="D23" i="126"/>
  <c r="G20" i="169"/>
  <c r="J20" i="169"/>
  <c r="J38" i="169"/>
  <c r="G38" i="169"/>
  <c r="G23" i="169"/>
  <c r="C23" i="169" s="1"/>
  <c r="J23" i="169"/>
  <c r="G28" i="169"/>
  <c r="J28" i="169"/>
  <c r="J24" i="169"/>
  <c r="G29" i="169"/>
  <c r="C29" i="169" s="1"/>
  <c r="J29" i="169"/>
  <c r="J13" i="169"/>
  <c r="G13" i="169"/>
  <c r="G33" i="169"/>
  <c r="J33" i="169"/>
  <c r="J55" i="167"/>
  <c r="J19" i="169"/>
  <c r="G19" i="169"/>
  <c r="J15" i="169"/>
  <c r="G15" i="169"/>
  <c r="J22" i="169"/>
  <c r="Q55" i="167"/>
  <c r="D24" i="126"/>
  <c r="P55" i="167"/>
  <c r="H17" i="167"/>
  <c r="H23" i="167"/>
  <c r="G55" i="167"/>
  <c r="Q594" i="24"/>
  <c r="Q595" i="24"/>
  <c r="P594" i="24"/>
  <c r="P595" i="24"/>
  <c r="P39" i="109"/>
  <c r="H40" i="109"/>
  <c r="D31" i="173"/>
  <c r="R18" i="121"/>
  <c r="D30" i="173"/>
  <c r="Q44" i="121"/>
  <c r="Q593" i="24"/>
  <c r="P593" i="24"/>
  <c r="Q591" i="24"/>
  <c r="Q592" i="24"/>
  <c r="P591" i="24"/>
  <c r="P592" i="24"/>
  <c r="L592" i="24"/>
  <c r="AQ808" i="1" s="1"/>
  <c r="L593" i="24"/>
  <c r="AQ809" i="1" s="1"/>
  <c r="G143" i="24"/>
  <c r="O357" i="1" s="1"/>
  <c r="D33" i="173"/>
  <c r="Q26" i="109"/>
  <c r="Q584" i="24"/>
  <c r="Q585" i="24"/>
  <c r="Q586" i="24"/>
  <c r="Q587" i="24"/>
  <c r="Q588" i="24"/>
  <c r="Q589" i="24"/>
  <c r="Q590" i="24"/>
  <c r="P584" i="24"/>
  <c r="P585" i="24"/>
  <c r="P586" i="24"/>
  <c r="P587" i="24"/>
  <c r="P588" i="24"/>
  <c r="P589" i="24"/>
  <c r="P590" i="24"/>
  <c r="L589" i="24"/>
  <c r="AQ692" i="1" s="1"/>
  <c r="G601" i="24"/>
  <c r="H600" i="24"/>
  <c r="L597" i="24"/>
  <c r="AQ1914" i="1" s="1"/>
  <c r="P597" i="24"/>
  <c r="Q597" i="24"/>
  <c r="L598" i="24"/>
  <c r="AQ1915" i="1" s="1"/>
  <c r="P598" i="24"/>
  <c r="Q598" i="24"/>
  <c r="L599" i="24"/>
  <c r="AQ1916" i="1" s="1"/>
  <c r="P599" i="24"/>
  <c r="Q599" i="24"/>
  <c r="O600" i="24"/>
  <c r="P600" i="24"/>
  <c r="Q600" i="24"/>
  <c r="L601" i="24"/>
  <c r="P601" i="24"/>
  <c r="Q601" i="24"/>
  <c r="P602" i="24"/>
  <c r="Q602" i="24"/>
  <c r="P603" i="24"/>
  <c r="Q603" i="24"/>
  <c r="O604" i="24"/>
  <c r="P604" i="24"/>
  <c r="Q604" i="24"/>
  <c r="L605" i="24"/>
  <c r="P605" i="24"/>
  <c r="Q605" i="24"/>
  <c r="R25" i="121"/>
  <c r="G605" i="24"/>
  <c r="O20" i="109"/>
  <c r="P20" i="121"/>
  <c r="Q20" i="121"/>
  <c r="O18" i="121"/>
  <c r="Q583" i="24"/>
  <c r="P583" i="24"/>
  <c r="Q47" i="109"/>
  <c r="F51" i="111"/>
  <c r="H32" i="109"/>
  <c r="N33" i="109"/>
  <c r="C32" i="53"/>
  <c r="H35" i="109"/>
  <c r="V36" i="109"/>
  <c r="J37" i="109"/>
  <c r="I38" i="109"/>
  <c r="O38" i="109"/>
  <c r="N39" i="109"/>
  <c r="L50" i="121"/>
  <c r="O50" i="121"/>
  <c r="H14" i="109"/>
  <c r="E22" i="53"/>
  <c r="G15" i="109"/>
  <c r="L17" i="109"/>
  <c r="O17" i="109"/>
  <c r="G18" i="109"/>
  <c r="H18" i="109"/>
  <c r="I18" i="109"/>
  <c r="I19" i="109"/>
  <c r="D37" i="53"/>
  <c r="M21" i="109"/>
  <c r="L21" i="111"/>
  <c r="D17" i="53"/>
  <c r="N28" i="109"/>
  <c r="H30" i="109"/>
  <c r="O31" i="109"/>
  <c r="D47" i="173"/>
  <c r="D32" i="173"/>
  <c r="D35" i="173"/>
  <c r="D37" i="173"/>
  <c r="R13" i="121"/>
  <c r="J14" i="121"/>
  <c r="I14" i="121"/>
  <c r="R14" i="121"/>
  <c r="H15" i="121"/>
  <c r="N15" i="121"/>
  <c r="F16" i="121"/>
  <c r="P16" i="121"/>
  <c r="L17" i="121"/>
  <c r="M17" i="121"/>
  <c r="P17" i="121"/>
  <c r="H18" i="121"/>
  <c r="I18" i="121"/>
  <c r="J18" i="121"/>
  <c r="J19" i="121"/>
  <c r="N21" i="121"/>
  <c r="G22" i="121"/>
  <c r="H22" i="121"/>
  <c r="F22" i="121"/>
  <c r="I24" i="121"/>
  <c r="J24" i="121"/>
  <c r="M24" i="121"/>
  <c r="N24" i="121"/>
  <c r="O24" i="121"/>
  <c r="P24" i="121"/>
  <c r="Q24" i="121"/>
  <c r="R24" i="121"/>
  <c r="K25" i="121"/>
  <c r="N25" i="121"/>
  <c r="G26" i="121"/>
  <c r="F27" i="121"/>
  <c r="O28" i="121"/>
  <c r="P28" i="121"/>
  <c r="M54" i="121"/>
  <c r="I30" i="121"/>
  <c r="P31" i="121"/>
  <c r="Q31" i="121"/>
  <c r="K31" i="121"/>
  <c r="L31" i="121"/>
  <c r="I40" i="121"/>
  <c r="L40" i="121"/>
  <c r="O40" i="121"/>
  <c r="G40" i="121"/>
  <c r="G41" i="121"/>
  <c r="F42" i="121"/>
  <c r="P42" i="121"/>
  <c r="G42" i="121"/>
  <c r="I42" i="121"/>
  <c r="G43" i="121"/>
  <c r="I43" i="121"/>
  <c r="G44" i="121"/>
  <c r="G45" i="121"/>
  <c r="O45" i="121"/>
  <c r="K45" i="121"/>
  <c r="F46" i="121"/>
  <c r="J46" i="121"/>
  <c r="Q46" i="121"/>
  <c r="R46" i="121"/>
  <c r="H47" i="121"/>
  <c r="M47" i="121"/>
  <c r="K47" i="121"/>
  <c r="L47" i="121"/>
  <c r="O42" i="109"/>
  <c r="F43" i="109"/>
  <c r="H43" i="109"/>
  <c r="D38" i="53"/>
  <c r="N45" i="109"/>
  <c r="Q46" i="109"/>
  <c r="J47" i="109"/>
  <c r="M53" i="109"/>
  <c r="L50" i="109"/>
  <c r="O50" i="109"/>
  <c r="M739" i="1"/>
  <c r="P574" i="24"/>
  <c r="Q574" i="24"/>
  <c r="P575" i="24"/>
  <c r="Q575" i="24"/>
  <c r="O576" i="24"/>
  <c r="P576" i="24"/>
  <c r="Q576" i="24"/>
  <c r="O577" i="24"/>
  <c r="P577" i="24"/>
  <c r="Q577" i="24"/>
  <c r="P578" i="24"/>
  <c r="Q578" i="24"/>
  <c r="P579" i="24"/>
  <c r="Q579" i="24"/>
  <c r="O580" i="24"/>
  <c r="P580" i="24"/>
  <c r="Q580" i="24"/>
  <c r="G578" i="24"/>
  <c r="O994" i="1" s="1"/>
  <c r="P994" i="1" s="1"/>
  <c r="H577" i="24"/>
  <c r="I35" i="121"/>
  <c r="P23" i="109"/>
  <c r="N99" i="1"/>
  <c r="M99" i="1"/>
  <c r="N97" i="1"/>
  <c r="M97" i="1"/>
  <c r="AZ991" i="1" l="1"/>
  <c r="BA991" i="1"/>
  <c r="C19" i="169"/>
  <c r="C15" i="169"/>
  <c r="N670" i="24"/>
  <c r="N667" i="24"/>
  <c r="N671" i="24"/>
  <c r="N668" i="24"/>
  <c r="N665" i="24"/>
  <c r="N662" i="24"/>
  <c r="N659" i="24"/>
  <c r="N656" i="24"/>
  <c r="N653" i="24"/>
  <c r="N669" i="24"/>
  <c r="N666" i="24"/>
  <c r="O1894" i="1"/>
  <c r="O1922" i="1"/>
  <c r="O1945" i="1"/>
  <c r="O1953" i="1"/>
  <c r="O1879" i="1"/>
  <c r="P114" i="1"/>
  <c r="Q114" i="1"/>
  <c r="P103" i="1"/>
  <c r="Q103" i="1"/>
  <c r="AK97" i="1"/>
  <c r="AL97" i="1"/>
  <c r="P99" i="1"/>
  <c r="AK99" i="1"/>
  <c r="Q99" i="1"/>
  <c r="AL99" i="1"/>
  <c r="P739" i="1"/>
  <c r="R739" i="1" s="1"/>
  <c r="S739" i="1" s="1"/>
  <c r="AK739" i="1"/>
  <c r="AQ1879" i="1"/>
  <c r="AQ1894" i="1"/>
  <c r="AQ1922" i="1"/>
  <c r="AQ1945" i="1"/>
  <c r="AQ1953" i="1"/>
  <c r="N672" i="24"/>
  <c r="D25" i="173"/>
  <c r="D14" i="173"/>
  <c r="D34" i="173"/>
  <c r="D27" i="173"/>
  <c r="D16" i="173"/>
  <c r="C40" i="169"/>
  <c r="D28" i="173"/>
  <c r="D26" i="173"/>
  <c r="D22" i="173"/>
  <c r="D13" i="173"/>
  <c r="D24" i="173"/>
  <c r="C38" i="169"/>
  <c r="C18" i="169"/>
  <c r="Q33" i="121"/>
  <c r="Q36" i="121"/>
  <c r="J42" i="121"/>
  <c r="Q37" i="121"/>
  <c r="H27" i="121"/>
  <c r="G52" i="121"/>
  <c r="Q25" i="121"/>
  <c r="P18" i="121"/>
  <c r="N22" i="121"/>
  <c r="H43" i="121"/>
  <c r="O26" i="121"/>
  <c r="P19" i="121"/>
  <c r="E17" i="121"/>
  <c r="I16" i="121"/>
  <c r="H41" i="121"/>
  <c r="F40" i="121"/>
  <c r="I31" i="121"/>
  <c r="H31" i="121"/>
  <c r="P51" i="121"/>
  <c r="E15" i="53"/>
  <c r="J47" i="111"/>
  <c r="N47" i="109"/>
  <c r="H26" i="109"/>
  <c r="P21" i="111"/>
  <c r="O19" i="109"/>
  <c r="P50" i="109"/>
  <c r="Q50" i="111"/>
  <c r="D15" i="53"/>
  <c r="J50" i="109"/>
  <c r="K47" i="109"/>
  <c r="L47" i="111"/>
  <c r="E45" i="109"/>
  <c r="H44" i="111"/>
  <c r="D27" i="53"/>
  <c r="D41" i="174"/>
  <c r="D41" i="15"/>
  <c r="F41" i="109"/>
  <c r="F47" i="121"/>
  <c r="L46" i="121"/>
  <c r="G46" i="121"/>
  <c r="G31" i="121"/>
  <c r="G28" i="121"/>
  <c r="I25" i="121"/>
  <c r="P22" i="121"/>
  <c r="L22" i="121"/>
  <c r="F20" i="121"/>
  <c r="G19" i="121"/>
  <c r="O17" i="121"/>
  <c r="F17" i="121"/>
  <c r="K15" i="121"/>
  <c r="F14" i="121"/>
  <c r="E31" i="109"/>
  <c r="G22" i="109"/>
  <c r="H22" i="111"/>
  <c r="H22" i="109"/>
  <c r="I22" i="111"/>
  <c r="E20" i="109"/>
  <c r="F20" i="111"/>
  <c r="F19" i="109"/>
  <c r="E19" i="174"/>
  <c r="E19" i="15"/>
  <c r="F52" i="109"/>
  <c r="E52" i="174"/>
  <c r="E52" i="15"/>
  <c r="D12" i="178"/>
  <c r="D17" i="109"/>
  <c r="E17" i="174"/>
  <c r="E17" i="15"/>
  <c r="D17" i="174"/>
  <c r="D17" i="15"/>
  <c r="C16" i="53"/>
  <c r="V16" i="109"/>
  <c r="W16" i="111"/>
  <c r="D15" i="174"/>
  <c r="D15" i="15"/>
  <c r="D34" i="53"/>
  <c r="G15" i="111"/>
  <c r="E15" i="109"/>
  <c r="F15" i="111"/>
  <c r="O39" i="109"/>
  <c r="P39" i="111"/>
  <c r="G37" i="109"/>
  <c r="H37" i="111"/>
  <c r="F36" i="109"/>
  <c r="E36" i="174"/>
  <c r="E36" i="15"/>
  <c r="E34" i="109"/>
  <c r="E34" i="174"/>
  <c r="E34" i="15"/>
  <c r="H33" i="111"/>
  <c r="C14" i="53"/>
  <c r="D32" i="174"/>
  <c r="D32" i="15"/>
  <c r="R51" i="121"/>
  <c r="N20" i="121"/>
  <c r="H40" i="111"/>
  <c r="C21" i="178"/>
  <c r="C20" i="117"/>
  <c r="E51" i="109"/>
  <c r="C15" i="53"/>
  <c r="D50" i="15"/>
  <c r="D50" i="174"/>
  <c r="K50" i="109"/>
  <c r="L50" i="111"/>
  <c r="J50" i="111"/>
  <c r="I50" i="109"/>
  <c r="I53" i="109"/>
  <c r="I47" i="109"/>
  <c r="C23" i="126"/>
  <c r="P46" i="109"/>
  <c r="D23" i="53"/>
  <c r="E46" i="109"/>
  <c r="G45" i="109"/>
  <c r="P44" i="111"/>
  <c r="E44" i="109"/>
  <c r="F44" i="111"/>
  <c r="O44" i="109"/>
  <c r="H42" i="109"/>
  <c r="I42" i="111"/>
  <c r="H42" i="111"/>
  <c r="I42" i="109"/>
  <c r="D20" i="53"/>
  <c r="F40" i="109"/>
  <c r="O47" i="121"/>
  <c r="I47" i="121"/>
  <c r="P45" i="121"/>
  <c r="H45" i="121"/>
  <c r="F45" i="121"/>
  <c r="F44" i="121"/>
  <c r="P44" i="121"/>
  <c r="H42" i="121"/>
  <c r="I39" i="121"/>
  <c r="R39" i="121"/>
  <c r="F31" i="121"/>
  <c r="G30" i="121"/>
  <c r="I28" i="121"/>
  <c r="G27" i="121"/>
  <c r="I26" i="121"/>
  <c r="P25" i="121"/>
  <c r="P21" i="121"/>
  <c r="G21" i="121"/>
  <c r="G20" i="121"/>
  <c r="G17" i="121"/>
  <c r="I17" i="121"/>
  <c r="P15" i="121"/>
  <c r="O15" i="121"/>
  <c r="G15" i="121"/>
  <c r="P14" i="121"/>
  <c r="F31" i="111"/>
  <c r="D33" i="53"/>
  <c r="N30" i="109"/>
  <c r="D30" i="174"/>
  <c r="D30" i="15"/>
  <c r="H28" i="109"/>
  <c r="L21" i="109"/>
  <c r="M21" i="111"/>
  <c r="I21" i="111"/>
  <c r="K21" i="109"/>
  <c r="O18" i="109"/>
  <c r="P18" i="111"/>
  <c r="M17" i="109"/>
  <c r="N17" i="111"/>
  <c r="D16" i="53"/>
  <c r="K17" i="109"/>
  <c r="O16" i="109"/>
  <c r="P16" i="111"/>
  <c r="K15" i="109"/>
  <c r="L15" i="111"/>
  <c r="H15" i="109"/>
  <c r="I15" i="111"/>
  <c r="D14" i="174"/>
  <c r="D14" i="15"/>
  <c r="O14" i="109"/>
  <c r="K39" i="109"/>
  <c r="L39" i="111"/>
  <c r="E38" i="109"/>
  <c r="E38" i="174"/>
  <c r="E38" i="15"/>
  <c r="M37" i="109"/>
  <c r="C20" i="126"/>
  <c r="N37" i="109"/>
  <c r="O37" i="111"/>
  <c r="G37" i="111"/>
  <c r="D34" i="174"/>
  <c r="D34" i="15"/>
  <c r="D30" i="53"/>
  <c r="H34" i="109"/>
  <c r="I34" i="111"/>
  <c r="F34" i="109"/>
  <c r="G34" i="111"/>
  <c r="G33" i="109"/>
  <c r="Q32" i="109"/>
  <c r="D14" i="53"/>
  <c r="M20" i="109"/>
  <c r="N20" i="111"/>
  <c r="R20" i="121"/>
  <c r="R26" i="121"/>
  <c r="R26" i="111"/>
  <c r="F44" i="109"/>
  <c r="G44" i="111"/>
  <c r="E44" i="174"/>
  <c r="E44" i="15"/>
  <c r="F42" i="109"/>
  <c r="F42" i="174"/>
  <c r="F42" i="15"/>
  <c r="G42" i="111"/>
  <c r="R42" i="15"/>
  <c r="R42" i="174"/>
  <c r="G42" i="109"/>
  <c r="F20" i="53"/>
  <c r="D40" i="174"/>
  <c r="D40" i="15"/>
  <c r="G25" i="121"/>
  <c r="F24" i="121"/>
  <c r="F18" i="121"/>
  <c r="F15" i="121"/>
  <c r="O14" i="121"/>
  <c r="M14" i="121"/>
  <c r="C24" i="53"/>
  <c r="K31" i="109"/>
  <c r="C17" i="53"/>
  <c r="F26" i="109"/>
  <c r="D26" i="174"/>
  <c r="D26" i="15"/>
  <c r="M22" i="109"/>
  <c r="N22" i="111"/>
  <c r="K22" i="109"/>
  <c r="L22" i="111"/>
  <c r="F22" i="109"/>
  <c r="G22" i="111"/>
  <c r="D29" i="53"/>
  <c r="D21" i="174"/>
  <c r="D21" i="15"/>
  <c r="G21" i="109"/>
  <c r="F21" i="174"/>
  <c r="F21" i="15"/>
  <c r="R21" i="15"/>
  <c r="R21" i="174"/>
  <c r="H21" i="111"/>
  <c r="H21" i="109"/>
  <c r="F18" i="111"/>
  <c r="E18" i="109"/>
  <c r="E18" i="174"/>
  <c r="E18" i="15"/>
  <c r="O17" i="111"/>
  <c r="N17" i="109"/>
  <c r="R16" i="15"/>
  <c r="R16" i="174"/>
  <c r="H16" i="111"/>
  <c r="J15" i="109"/>
  <c r="Q50" i="121"/>
  <c r="N38" i="109"/>
  <c r="O38" i="111"/>
  <c r="G38" i="109"/>
  <c r="H38" i="111"/>
  <c r="E37" i="109"/>
  <c r="F37" i="111"/>
  <c r="V35" i="109"/>
  <c r="G34" i="109"/>
  <c r="H34" i="111"/>
  <c r="K33" i="111"/>
  <c r="D32" i="53"/>
  <c r="J33" i="109"/>
  <c r="C17" i="126"/>
  <c r="J20" i="121"/>
  <c r="Q18" i="109"/>
  <c r="R18" i="111"/>
  <c r="H39" i="109"/>
  <c r="D35" i="53"/>
  <c r="G53" i="109"/>
  <c r="E53" i="174"/>
  <c r="G53" i="174" s="1"/>
  <c r="J53" i="174" s="1"/>
  <c r="E53" i="15"/>
  <c r="E26" i="53"/>
  <c r="F47" i="109"/>
  <c r="D47" i="174"/>
  <c r="D47" i="15"/>
  <c r="N674" i="24"/>
  <c r="N673" i="24"/>
  <c r="G36" i="105"/>
  <c r="D12" i="173"/>
  <c r="N48" i="109"/>
  <c r="E48" i="174"/>
  <c r="E48" i="15"/>
  <c r="O47" i="111"/>
  <c r="C16" i="126"/>
  <c r="D26" i="53"/>
  <c r="E47" i="109"/>
  <c r="F47" i="174"/>
  <c r="F47" i="15"/>
  <c r="F47" i="111"/>
  <c r="R47" i="15"/>
  <c r="R47" i="174"/>
  <c r="H47" i="109"/>
  <c r="D46" i="174"/>
  <c r="D46" i="15"/>
  <c r="V45" i="109"/>
  <c r="W45" i="111"/>
  <c r="F43" i="111"/>
  <c r="E42" i="109"/>
  <c r="E42" i="174"/>
  <c r="E42" i="15"/>
  <c r="F43" i="121"/>
  <c r="F41" i="121"/>
  <c r="P41" i="121"/>
  <c r="F28" i="121"/>
  <c r="I27" i="121"/>
  <c r="F25" i="121"/>
  <c r="M25" i="121"/>
  <c r="M21" i="121"/>
  <c r="L21" i="121"/>
  <c r="O20" i="121"/>
  <c r="R17" i="121"/>
  <c r="N17" i="121"/>
  <c r="H16" i="121"/>
  <c r="M15" i="121"/>
  <c r="L15" i="121"/>
  <c r="I15" i="121"/>
  <c r="G14" i="121"/>
  <c r="D31" i="174"/>
  <c r="D31" i="15"/>
  <c r="E22" i="109"/>
  <c r="F22" i="111"/>
  <c r="O21" i="109"/>
  <c r="F21" i="109"/>
  <c r="E21" i="174"/>
  <c r="E21" i="15"/>
  <c r="I17" i="111"/>
  <c r="E17" i="111"/>
  <c r="H17" i="109"/>
  <c r="G16" i="109"/>
  <c r="K15" i="111"/>
  <c r="F15" i="109"/>
  <c r="E15" i="174"/>
  <c r="E15" i="15"/>
  <c r="Q13" i="109"/>
  <c r="R13" i="111"/>
  <c r="F24" i="128" s="1"/>
  <c r="M39" i="109"/>
  <c r="N39" i="111"/>
  <c r="E18" i="53"/>
  <c r="V37" i="109"/>
  <c r="W37" i="111"/>
  <c r="E35" i="109"/>
  <c r="F35" i="111"/>
  <c r="P34" i="109"/>
  <c r="Q34" i="111"/>
  <c r="D33" i="174"/>
  <c r="D33" i="15"/>
  <c r="H33" i="109"/>
  <c r="Q51" i="109"/>
  <c r="R51" i="111"/>
  <c r="G24" i="128" s="1"/>
  <c r="Q22" i="121"/>
  <c r="R31" i="121"/>
  <c r="P36" i="109"/>
  <c r="N677" i="24"/>
  <c r="N676" i="24"/>
  <c r="N675" i="24"/>
  <c r="N329" i="24"/>
  <c r="M329" i="24"/>
  <c r="R329" i="24" s="1"/>
  <c r="N273" i="24"/>
  <c r="M273" i="24"/>
  <c r="Q15" i="111"/>
  <c r="N425" i="24"/>
  <c r="M425" i="24"/>
  <c r="R425" i="24" s="1"/>
  <c r="C24" i="178"/>
  <c r="C23" i="117"/>
  <c r="E23" i="53"/>
  <c r="D24" i="53"/>
  <c r="E12" i="178"/>
  <c r="F12" i="178" s="1"/>
  <c r="C17" i="178"/>
  <c r="C16" i="117"/>
  <c r="D22" i="53"/>
  <c r="C18" i="178"/>
  <c r="C17" i="117"/>
  <c r="C18" i="53"/>
  <c r="C28" i="169"/>
  <c r="C32" i="169"/>
  <c r="F18" i="39" s="1"/>
  <c r="C26" i="169"/>
  <c r="C35" i="169"/>
  <c r="F39" i="39" s="1"/>
  <c r="C17" i="169"/>
  <c r="H31" i="111"/>
  <c r="P31" i="109"/>
  <c r="O28" i="109"/>
  <c r="F16" i="15"/>
  <c r="V30" i="109"/>
  <c r="L54" i="109"/>
  <c r="I14" i="109"/>
  <c r="G19" i="174"/>
  <c r="J19" i="174" s="1"/>
  <c r="G52" i="174"/>
  <c r="J52" i="174" s="1"/>
  <c r="K40" i="109"/>
  <c r="H37" i="109"/>
  <c r="E35" i="174"/>
  <c r="D39" i="174"/>
  <c r="J38" i="109"/>
  <c r="G36" i="174"/>
  <c r="J36" i="174" s="1"/>
  <c r="P44" i="109"/>
  <c r="C13" i="169"/>
  <c r="F30" i="39" s="1"/>
  <c r="C12" i="169"/>
  <c r="F26" i="39" s="1"/>
  <c r="C20" i="169"/>
  <c r="F31" i="39" s="1"/>
  <c r="C36" i="169"/>
  <c r="F29" i="39" s="1"/>
  <c r="C39" i="169"/>
  <c r="C24" i="169"/>
  <c r="F36" i="39" s="1"/>
  <c r="C41" i="169"/>
  <c r="F27" i="39" s="1"/>
  <c r="C33" i="169"/>
  <c r="F23" i="39" s="1"/>
  <c r="C34" i="169"/>
  <c r="C37" i="169"/>
  <c r="F28" i="39" s="1"/>
  <c r="C27" i="169"/>
  <c r="F22" i="39" s="1"/>
  <c r="C30" i="169"/>
  <c r="F44" i="39" s="1"/>
  <c r="F32" i="39"/>
  <c r="F35" i="39"/>
  <c r="F19" i="39"/>
  <c r="F21" i="39"/>
  <c r="G22" i="169"/>
  <c r="C22" i="169" s="1"/>
  <c r="G25" i="169"/>
  <c r="C25" i="169" s="1"/>
  <c r="F43" i="39"/>
  <c r="N51" i="121"/>
  <c r="N50" i="121"/>
  <c r="J47" i="121"/>
  <c r="H21" i="121"/>
  <c r="F24" i="39"/>
  <c r="F14" i="39"/>
  <c r="F25" i="39"/>
  <c r="F38" i="39"/>
  <c r="F34" i="39"/>
  <c r="F42" i="39"/>
  <c r="F37" i="39"/>
  <c r="F45" i="39"/>
  <c r="F20" i="39"/>
  <c r="O605" i="24"/>
  <c r="O602" i="24"/>
  <c r="Q26" i="121"/>
  <c r="O597" i="24"/>
  <c r="O603" i="24"/>
  <c r="I21" i="121"/>
  <c r="H25" i="121"/>
  <c r="J17" i="121"/>
  <c r="I22" i="121"/>
  <c r="O601" i="24"/>
  <c r="N26" i="121"/>
  <c r="O598" i="24"/>
  <c r="O599" i="24"/>
  <c r="O595" i="24"/>
  <c r="L595" i="24" s="1"/>
  <c r="AQ693" i="1" s="1"/>
  <c r="O594" i="24"/>
  <c r="L594" i="24" s="1"/>
  <c r="AQ695" i="1" s="1"/>
  <c r="I17" i="167"/>
  <c r="D15" i="126"/>
  <c r="H55" i="167"/>
  <c r="I23" i="167"/>
  <c r="G56" i="167"/>
  <c r="O593" i="24"/>
  <c r="O592" i="24"/>
  <c r="O591" i="24"/>
  <c r="O590" i="24"/>
  <c r="O589" i="24"/>
  <c r="O588" i="24"/>
  <c r="O587" i="24"/>
  <c r="O586" i="24"/>
  <c r="O585" i="24"/>
  <c r="O584" i="24"/>
  <c r="O583" i="24"/>
  <c r="F22" i="174"/>
  <c r="L14" i="109"/>
  <c r="H46" i="121"/>
  <c r="H44" i="121"/>
  <c r="Q34" i="121"/>
  <c r="O578" i="24"/>
  <c r="O575" i="24"/>
  <c r="L575" i="24" s="1"/>
  <c r="AQ872" i="1" s="1"/>
  <c r="O579" i="24"/>
  <c r="O574" i="24"/>
  <c r="Q25" i="146"/>
  <c r="Q24" i="146"/>
  <c r="Q16" i="146"/>
  <c r="Q15" i="146"/>
  <c r="Q14" i="146"/>
  <c r="Q13" i="146"/>
  <c r="Q12" i="146"/>
  <c r="AZ111" i="1" l="1"/>
  <c r="BA111" i="1"/>
  <c r="F28" i="109"/>
  <c r="H40" i="121"/>
  <c r="K26" i="121"/>
  <c r="P26" i="121"/>
  <c r="L26" i="121"/>
  <c r="F31" i="109"/>
  <c r="N46" i="121"/>
  <c r="H51" i="121"/>
  <c r="H26" i="121"/>
  <c r="J50" i="121"/>
  <c r="I51" i="121"/>
  <c r="G27" i="109"/>
  <c r="E37" i="174"/>
  <c r="Q41" i="109"/>
  <c r="R41" i="111"/>
  <c r="Q25" i="109"/>
  <c r="R25" i="111"/>
  <c r="H38" i="109"/>
  <c r="I38" i="111"/>
  <c r="N18" i="109"/>
  <c r="O18" i="111"/>
  <c r="G31" i="109"/>
  <c r="H24" i="109"/>
  <c r="I24" i="111"/>
  <c r="F24" i="174"/>
  <c r="F24" i="15"/>
  <c r="R24" i="15"/>
  <c r="R24" i="174"/>
  <c r="P25" i="109"/>
  <c r="Q25" i="111"/>
  <c r="J31" i="109"/>
  <c r="K31" i="111"/>
  <c r="E14" i="109"/>
  <c r="P41" i="109"/>
  <c r="Q41" i="111"/>
  <c r="N15" i="109"/>
  <c r="O15" i="111"/>
  <c r="C24" i="117"/>
  <c r="R27" i="121"/>
  <c r="Q15" i="121"/>
  <c r="O25" i="121"/>
  <c r="E35" i="15"/>
  <c r="D19" i="53"/>
  <c r="F16" i="174"/>
  <c r="R18" i="174"/>
  <c r="H17" i="121"/>
  <c r="Q40" i="121"/>
  <c r="R39" i="111"/>
  <c r="F37" i="109"/>
  <c r="D24" i="178"/>
  <c r="M15" i="111"/>
  <c r="R15" i="174"/>
  <c r="F15" i="174"/>
  <c r="F22" i="15"/>
  <c r="E31" i="174"/>
  <c r="M27" i="121"/>
  <c r="I41" i="121"/>
  <c r="F39" i="109"/>
  <c r="G39" i="111"/>
  <c r="Q31" i="109"/>
  <c r="R31" i="111"/>
  <c r="O15" i="109"/>
  <c r="P15" i="111"/>
  <c r="E43" i="109"/>
  <c r="P37" i="109"/>
  <c r="Q37" i="111"/>
  <c r="J39" i="109"/>
  <c r="K39" i="111"/>
  <c r="J51" i="121"/>
  <c r="K51" i="121"/>
  <c r="Q17" i="109"/>
  <c r="R17" i="111"/>
  <c r="H31" i="109"/>
  <c r="I31" i="111"/>
  <c r="F27" i="109"/>
  <c r="E40" i="109"/>
  <c r="F40" i="111"/>
  <c r="F30" i="109"/>
  <c r="E30" i="174"/>
  <c r="E30" i="15"/>
  <c r="E16" i="109"/>
  <c r="E16" i="174"/>
  <c r="E16" i="15"/>
  <c r="M26" i="109"/>
  <c r="N26" i="111"/>
  <c r="M15" i="109"/>
  <c r="N15" i="111"/>
  <c r="C24" i="126"/>
  <c r="N31" i="121"/>
  <c r="D39" i="15"/>
  <c r="R18" i="15"/>
  <c r="D23" i="117"/>
  <c r="L15" i="109"/>
  <c r="O46" i="121"/>
  <c r="J45" i="121"/>
  <c r="P34" i="111"/>
  <c r="L32" i="111"/>
  <c r="K32" i="109"/>
  <c r="N20" i="109"/>
  <c r="O20" i="111"/>
  <c r="O22" i="109"/>
  <c r="P22" i="111"/>
  <c r="L39" i="109"/>
  <c r="M39" i="111"/>
  <c r="G40" i="109"/>
  <c r="H16" i="109"/>
  <c r="E27" i="109"/>
  <c r="E27" i="174"/>
  <c r="E27" i="15"/>
  <c r="F25" i="109"/>
  <c r="C25" i="178"/>
  <c r="I20" i="121"/>
  <c r="J25" i="121"/>
  <c r="P40" i="121"/>
  <c r="L44" i="121"/>
  <c r="E37" i="15"/>
  <c r="Q51" i="121"/>
  <c r="F18" i="15"/>
  <c r="J44" i="121"/>
  <c r="Q41" i="121"/>
  <c r="P15" i="109"/>
  <c r="Q17" i="121"/>
  <c r="H20" i="121"/>
  <c r="R15" i="15"/>
  <c r="R22" i="174"/>
  <c r="I50" i="121"/>
  <c r="E28" i="109"/>
  <c r="V54" i="109"/>
  <c r="E54" i="174"/>
  <c r="G54" i="174" s="1"/>
  <c r="J54" i="174" s="1"/>
  <c r="E54" i="15"/>
  <c r="F18" i="174"/>
  <c r="G18" i="174" s="1"/>
  <c r="J18" i="174" s="1"/>
  <c r="R41" i="121"/>
  <c r="R55" i="121" s="1"/>
  <c r="K46" i="121"/>
  <c r="F15" i="15"/>
  <c r="R22" i="15"/>
  <c r="E31" i="15"/>
  <c r="K40" i="121"/>
  <c r="G30" i="174"/>
  <c r="J30" i="174" s="1"/>
  <c r="G22" i="174"/>
  <c r="J22" i="174" s="1"/>
  <c r="O25" i="111"/>
  <c r="H1105" i="1"/>
  <c r="R1105" i="1" s="1"/>
  <c r="S1105" i="1" s="1"/>
  <c r="F31" i="15"/>
  <c r="J25" i="111"/>
  <c r="J37" i="111"/>
  <c r="Q39" i="109"/>
  <c r="Q20" i="109"/>
  <c r="V28" i="109"/>
  <c r="D25" i="169"/>
  <c r="D39" i="38" s="1"/>
  <c r="F48" i="39"/>
  <c r="K23" i="167"/>
  <c r="M23" i="167" s="1"/>
  <c r="H56" i="167"/>
  <c r="G48" i="174"/>
  <c r="J48" i="174" s="1"/>
  <c r="G42" i="174"/>
  <c r="J42" i="174" s="1"/>
  <c r="F13" i="39"/>
  <c r="I55" i="167"/>
  <c r="D16" i="126"/>
  <c r="K17" i="167"/>
  <c r="L585" i="24"/>
  <c r="AQ601" i="1" s="1"/>
  <c r="L586" i="24"/>
  <c r="AQ604" i="1" s="1"/>
  <c r="H28" i="146"/>
  <c r="F28" i="146" s="1"/>
  <c r="D13" i="163" s="1"/>
  <c r="H29" i="146"/>
  <c r="F29" i="146" s="1"/>
  <c r="D15" i="163" s="1"/>
  <c r="H30" i="146"/>
  <c r="F30" i="146" s="1"/>
  <c r="D12" i="163" s="1"/>
  <c r="H31" i="146"/>
  <c r="F31" i="146" s="1"/>
  <c r="D14" i="163" s="1"/>
  <c r="G28" i="146"/>
  <c r="D28" i="146" s="1"/>
  <c r="O28" i="146"/>
  <c r="O29" i="146"/>
  <c r="O30" i="146"/>
  <c r="O31" i="146"/>
  <c r="H18" i="146"/>
  <c r="H19" i="146"/>
  <c r="F19" i="146" s="1"/>
  <c r="H20" i="146"/>
  <c r="F20" i="146" s="1"/>
  <c r="H21" i="146"/>
  <c r="F21" i="146" s="1"/>
  <c r="H22" i="146"/>
  <c r="F22" i="146" s="1"/>
  <c r="H24" i="146"/>
  <c r="H25" i="146"/>
  <c r="F25" i="146" s="1"/>
  <c r="H13" i="146"/>
  <c r="H14" i="146"/>
  <c r="H15" i="146"/>
  <c r="H16" i="146"/>
  <c r="H12" i="146"/>
  <c r="G12" i="146"/>
  <c r="D12" i="146" s="1"/>
  <c r="J27" i="146"/>
  <c r="H27" i="146" s="1"/>
  <c r="F27" i="146" s="1"/>
  <c r="D14" i="166" s="1"/>
  <c r="Q26" i="146"/>
  <c r="Q23" i="146"/>
  <c r="Q17" i="146"/>
  <c r="P17" i="146"/>
  <c r="K13" i="150"/>
  <c r="J13" i="150" s="1"/>
  <c r="K14" i="150"/>
  <c r="J14" i="150" s="1"/>
  <c r="K15" i="150"/>
  <c r="J15" i="150" s="1"/>
  <c r="K16" i="150"/>
  <c r="J16" i="150" s="1"/>
  <c r="K17" i="150"/>
  <c r="J17" i="150" s="1"/>
  <c r="K18" i="150"/>
  <c r="J18" i="150" s="1"/>
  <c r="K19" i="150"/>
  <c r="J19" i="150" s="1"/>
  <c r="K12" i="150"/>
  <c r="J12" i="150" s="1"/>
  <c r="F12" i="150"/>
  <c r="D12" i="150" s="1"/>
  <c r="C14" i="156"/>
  <c r="C13" i="156"/>
  <c r="C12" i="156"/>
  <c r="C17" i="156"/>
  <c r="C24" i="156"/>
  <c r="C25" i="156"/>
  <c r="C26" i="156"/>
  <c r="C23" i="156"/>
  <c r="C22" i="156"/>
  <c r="C19" i="156"/>
  <c r="C20" i="156"/>
  <c r="C21" i="156"/>
  <c r="C18" i="156"/>
  <c r="M26" i="146"/>
  <c r="P23" i="146"/>
  <c r="M23" i="146"/>
  <c r="AZ1105" i="1" l="1"/>
  <c r="BA1105" i="1"/>
  <c r="G16" i="174"/>
  <c r="J16" i="174" s="1"/>
  <c r="H891" i="1"/>
  <c r="D24" i="128"/>
  <c r="H24" i="128" s="1"/>
  <c r="N25" i="109"/>
  <c r="E28" i="15"/>
  <c r="K33" i="109"/>
  <c r="L33" i="111"/>
  <c r="E28" i="174"/>
  <c r="N31" i="111"/>
  <c r="I37" i="109"/>
  <c r="E39" i="174"/>
  <c r="E39" i="15"/>
  <c r="F14" i="109"/>
  <c r="F14" i="174"/>
  <c r="F14" i="15"/>
  <c r="R14" i="15"/>
  <c r="G14" i="111"/>
  <c r="R14" i="174"/>
  <c r="F38" i="109"/>
  <c r="F38" i="174"/>
  <c r="G38" i="174" s="1"/>
  <c r="J38" i="174" s="1"/>
  <c r="F38" i="15"/>
  <c r="R38" i="174"/>
  <c r="R38" i="15"/>
  <c r="G38" i="111"/>
  <c r="P40" i="109"/>
  <c r="Q40" i="111"/>
  <c r="Q17" i="111"/>
  <c r="P17" i="109"/>
  <c r="Q27" i="109"/>
  <c r="R27" i="111"/>
  <c r="J46" i="109"/>
  <c r="K46" i="111"/>
  <c r="H20" i="109"/>
  <c r="I20" i="111"/>
  <c r="H32" i="111"/>
  <c r="G32" i="109"/>
  <c r="F32" i="174"/>
  <c r="G32" i="174" s="1"/>
  <c r="J32" i="174" s="1"/>
  <c r="F32" i="15"/>
  <c r="G32" i="111"/>
  <c r="R32" i="174"/>
  <c r="R32" i="15"/>
  <c r="F32" i="109"/>
  <c r="H27" i="109"/>
  <c r="I27" i="111"/>
  <c r="R31" i="15"/>
  <c r="F31" i="174"/>
  <c r="G31" i="174" s="1"/>
  <c r="J31" i="174" s="1"/>
  <c r="M31" i="109"/>
  <c r="P20" i="109"/>
  <c r="Q20" i="111"/>
  <c r="E39" i="109"/>
  <c r="F39" i="15"/>
  <c r="F39" i="174"/>
  <c r="R39" i="15"/>
  <c r="F39" i="111"/>
  <c r="R39" i="174"/>
  <c r="H17" i="111"/>
  <c r="G17" i="109"/>
  <c r="L27" i="109"/>
  <c r="M27" i="111"/>
  <c r="F35" i="109"/>
  <c r="G35" i="111"/>
  <c r="G17" i="111"/>
  <c r="F17" i="109"/>
  <c r="F25" i="174"/>
  <c r="R25" i="15"/>
  <c r="F25" i="15"/>
  <c r="R25" i="174"/>
  <c r="H25" i="111"/>
  <c r="I39" i="109"/>
  <c r="J39" i="111"/>
  <c r="G39" i="109"/>
  <c r="H39" i="111"/>
  <c r="G20" i="109"/>
  <c r="H20" i="111"/>
  <c r="G25" i="109"/>
  <c r="F27" i="174"/>
  <c r="F27" i="15"/>
  <c r="G27" i="111"/>
  <c r="R27" i="15"/>
  <c r="R27" i="174"/>
  <c r="R31" i="174"/>
  <c r="E24" i="117"/>
  <c r="J17" i="111"/>
  <c r="I17" i="109"/>
  <c r="J25" i="109"/>
  <c r="R20" i="15"/>
  <c r="F20" i="174"/>
  <c r="R20" i="174"/>
  <c r="F20" i="109"/>
  <c r="F20" i="15"/>
  <c r="G20" i="111"/>
  <c r="I20" i="109"/>
  <c r="E20" i="174"/>
  <c r="E20" i="15"/>
  <c r="E25" i="178"/>
  <c r="I25" i="109"/>
  <c r="G28" i="174"/>
  <c r="J28" i="174" s="1"/>
  <c r="R55" i="111"/>
  <c r="C24" i="128" s="1"/>
  <c r="N23" i="167"/>
  <c r="K55" i="167"/>
  <c r="K56" i="167" s="1"/>
  <c r="I56" i="167"/>
  <c r="G21" i="174"/>
  <c r="J21" i="174" s="1"/>
  <c r="G15" i="174"/>
  <c r="J15" i="174" s="1"/>
  <c r="J56" i="167"/>
  <c r="G27" i="146"/>
  <c r="D27" i="146" s="1"/>
  <c r="E28" i="146"/>
  <c r="N55" i="167"/>
  <c r="D21" i="126"/>
  <c r="M55" i="167"/>
  <c r="D20" i="126"/>
  <c r="O17" i="167"/>
  <c r="U17" i="167" s="1"/>
  <c r="D14" i="56" s="1"/>
  <c r="D18" i="126"/>
  <c r="L56" i="167"/>
  <c r="O23" i="167"/>
  <c r="G23" i="146"/>
  <c r="H23" i="146"/>
  <c r="F23" i="146" s="1"/>
  <c r="D13" i="166" s="1"/>
  <c r="G26" i="146"/>
  <c r="H26" i="146"/>
  <c r="F26" i="146" s="1"/>
  <c r="D15" i="166" s="1"/>
  <c r="F12" i="146"/>
  <c r="F16" i="146"/>
  <c r="F15" i="146"/>
  <c r="F14" i="146"/>
  <c r="F13" i="146"/>
  <c r="F24" i="146"/>
  <c r="F18" i="146"/>
  <c r="J17" i="146"/>
  <c r="M17" i="146"/>
  <c r="G31" i="146"/>
  <c r="G30" i="146"/>
  <c r="G29" i="146"/>
  <c r="G25" i="146"/>
  <c r="D25" i="146" s="1"/>
  <c r="G24" i="146"/>
  <c r="D24" i="146" s="1"/>
  <c r="G22" i="146"/>
  <c r="D22" i="146" s="1"/>
  <c r="G21" i="146"/>
  <c r="D21" i="146" s="1"/>
  <c r="G20" i="146"/>
  <c r="D20" i="146" s="1"/>
  <c r="G19" i="146"/>
  <c r="D19" i="146" s="1"/>
  <c r="G18" i="146"/>
  <c r="D18" i="146" s="1"/>
  <c r="G16" i="146"/>
  <c r="D16" i="146" s="1"/>
  <c r="G15" i="146"/>
  <c r="D15" i="146" s="1"/>
  <c r="G14" i="146"/>
  <c r="D14" i="146" s="1"/>
  <c r="G13" i="146"/>
  <c r="D13" i="146" s="1"/>
  <c r="P26" i="146"/>
  <c r="G14" i="150"/>
  <c r="F14" i="150" s="1"/>
  <c r="D14" i="150" s="1"/>
  <c r="BY19" i="92"/>
  <c r="G21" i="155"/>
  <c r="E13" i="155"/>
  <c r="G25" i="155" s="1"/>
  <c r="C13" i="155"/>
  <c r="G23" i="155" s="1"/>
  <c r="E12" i="155"/>
  <c r="E26" i="155" s="1"/>
  <c r="D12" i="155"/>
  <c r="E22" i="155" s="1"/>
  <c r="C12" i="155"/>
  <c r="E24" i="155" s="1"/>
  <c r="F25" i="150"/>
  <c r="D25" i="150" s="1"/>
  <c r="F24" i="150"/>
  <c r="D24" i="150" s="1"/>
  <c r="F23" i="150"/>
  <c r="D23" i="150" s="1"/>
  <c r="F22" i="150"/>
  <c r="D22" i="150" s="1"/>
  <c r="F21" i="150"/>
  <c r="D21" i="150" s="1"/>
  <c r="F20" i="150"/>
  <c r="D20" i="150" s="1"/>
  <c r="F18" i="150"/>
  <c r="D18" i="150" s="1"/>
  <c r="F16" i="150"/>
  <c r="D16" i="150" s="1"/>
  <c r="H12" i="153"/>
  <c r="R891" i="1" l="1"/>
  <c r="S891" i="1" s="1"/>
  <c r="T891" i="1" s="1"/>
  <c r="AW891" i="1" s="1"/>
  <c r="AZ891" i="1"/>
  <c r="BA891" i="1"/>
  <c r="G20" i="174"/>
  <c r="J20" i="174" s="1"/>
  <c r="G39" i="174"/>
  <c r="J39" i="174" s="1"/>
  <c r="E24" i="128"/>
  <c r="O55" i="167"/>
  <c r="T56" i="167" s="1"/>
  <c r="U23" i="167"/>
  <c r="D13" i="56" s="1"/>
  <c r="G27" i="174"/>
  <c r="J27" i="174" s="1"/>
  <c r="N56" i="167"/>
  <c r="M56" i="167"/>
  <c r="D22" i="126"/>
  <c r="E29" i="146"/>
  <c r="D29" i="146"/>
  <c r="E30" i="146"/>
  <c r="D30" i="146"/>
  <c r="E31" i="146"/>
  <c r="D31" i="146"/>
  <c r="D26" i="146"/>
  <c r="H15" i="166" s="1"/>
  <c r="D23" i="146"/>
  <c r="H14" i="166" s="1"/>
  <c r="H17" i="146"/>
  <c r="F17" i="146" s="1"/>
  <c r="D12" i="166" s="1"/>
  <c r="G17" i="146"/>
  <c r="D17" i="146" s="1"/>
  <c r="C15" i="153"/>
  <c r="C14" i="153"/>
  <c r="H13" i="153"/>
  <c r="C13" i="153"/>
  <c r="H14" i="153"/>
  <c r="C12" i="153"/>
  <c r="H15" i="153"/>
  <c r="I13" i="163"/>
  <c r="I12" i="163"/>
  <c r="P56" i="167" l="1"/>
  <c r="Q56" i="167"/>
  <c r="S56" i="167"/>
  <c r="O56" i="167"/>
  <c r="R56" i="167"/>
  <c r="U56" i="167"/>
  <c r="H12" i="166"/>
  <c r="H17" i="153"/>
  <c r="C17" i="148"/>
  <c r="C16" i="148"/>
  <c r="C15" i="148"/>
  <c r="C14" i="148"/>
  <c r="C13" i="148"/>
  <c r="C12" i="148"/>
  <c r="O27" i="146"/>
  <c r="H17" i="166"/>
  <c r="O25" i="146"/>
  <c r="O24" i="146"/>
  <c r="O22" i="146"/>
  <c r="O21" i="146"/>
  <c r="O20" i="146"/>
  <c r="O19" i="146"/>
  <c r="O18" i="146"/>
  <c r="O16" i="146"/>
  <c r="O15" i="146"/>
  <c r="O14" i="146"/>
  <c r="O13" i="146"/>
  <c r="O12" i="146"/>
  <c r="E12" i="146" s="1"/>
  <c r="H16" i="141"/>
  <c r="AQ13" i="78"/>
  <c r="AQ14" i="78"/>
  <c r="AQ15" i="78"/>
  <c r="AQ16" i="78"/>
  <c r="AQ17" i="78"/>
  <c r="AQ18" i="78"/>
  <c r="AQ19" i="78"/>
  <c r="AQ20" i="78"/>
  <c r="AQ21" i="78"/>
  <c r="AQ23" i="78"/>
  <c r="AQ24" i="78"/>
  <c r="AQ25" i="78"/>
  <c r="AQ26" i="78"/>
  <c r="AQ27" i="78"/>
  <c r="AQ28" i="78"/>
  <c r="AQ29" i="78"/>
  <c r="AQ30" i="78"/>
  <c r="AQ31" i="78"/>
  <c r="AQ32" i="78"/>
  <c r="AQ33" i="78"/>
  <c r="AQ34" i="78"/>
  <c r="AQ35" i="78"/>
  <c r="AQ36" i="78"/>
  <c r="AQ37" i="78"/>
  <c r="AQ38" i="78"/>
  <c r="AQ39" i="78"/>
  <c r="AQ40" i="78"/>
  <c r="AQ41" i="78"/>
  <c r="AQ42" i="78"/>
  <c r="AQ43" i="78"/>
  <c r="AQ44" i="78"/>
  <c r="AQ45" i="78"/>
  <c r="AQ46" i="78"/>
  <c r="AQ47" i="78"/>
  <c r="AQ48" i="78"/>
  <c r="AQ49" i="78"/>
  <c r="G42" i="140"/>
  <c r="G36" i="140"/>
  <c r="G43" i="140"/>
  <c r="G53" i="140"/>
  <c r="D19" i="140"/>
  <c r="D17" i="140"/>
  <c r="D20" i="140"/>
  <c r="D39" i="140"/>
  <c r="D32" i="140"/>
  <c r="D18" i="140"/>
  <c r="D38" i="140"/>
  <c r="D34" i="140"/>
  <c r="D22" i="140"/>
  <c r="D45" i="140"/>
  <c r="D24" i="140"/>
  <c r="D15" i="140"/>
  <c r="D31" i="140"/>
  <c r="D16" i="140"/>
  <c r="D42" i="140"/>
  <c r="D33" i="140"/>
  <c r="D40" i="140"/>
  <c r="D28" i="140"/>
  <c r="D49" i="140"/>
  <c r="D35" i="140"/>
  <c r="D41" i="140"/>
  <c r="D21" i="140"/>
  <c r="D37" i="140"/>
  <c r="D47" i="140"/>
  <c r="D30" i="140"/>
  <c r="D27" i="140"/>
  <c r="D25" i="140"/>
  <c r="D51" i="140"/>
  <c r="D23" i="140"/>
  <c r="D29" i="140"/>
  <c r="D26" i="140"/>
  <c r="D36" i="140"/>
  <c r="D43" i="140"/>
  <c r="D53" i="140"/>
  <c r="D50" i="140"/>
  <c r="D46" i="140"/>
  <c r="D52" i="140"/>
  <c r="D54" i="140"/>
  <c r="D44" i="140"/>
  <c r="D48" i="140"/>
  <c r="G13" i="140"/>
  <c r="D13" i="140"/>
  <c r="C19" i="140"/>
  <c r="C17" i="140"/>
  <c r="C20" i="140"/>
  <c r="C39" i="140"/>
  <c r="C32" i="140"/>
  <c r="C18" i="140"/>
  <c r="C38" i="140"/>
  <c r="C34" i="140"/>
  <c r="C22" i="140"/>
  <c r="C45" i="140"/>
  <c r="C24" i="140"/>
  <c r="C15" i="140"/>
  <c r="C31" i="140"/>
  <c r="C16" i="140"/>
  <c r="C42" i="140"/>
  <c r="C33" i="140"/>
  <c r="C40" i="140"/>
  <c r="C28" i="140"/>
  <c r="C49" i="140"/>
  <c r="C35" i="140"/>
  <c r="C41" i="140"/>
  <c r="C21" i="140"/>
  <c r="C37" i="140"/>
  <c r="C47" i="140"/>
  <c r="C30" i="140"/>
  <c r="C27" i="140"/>
  <c r="C25" i="140"/>
  <c r="C51" i="140"/>
  <c r="C23" i="140"/>
  <c r="C29" i="140"/>
  <c r="C26" i="140"/>
  <c r="C36" i="140"/>
  <c r="C43" i="140"/>
  <c r="C53" i="140"/>
  <c r="C50" i="140"/>
  <c r="C46" i="140"/>
  <c r="C52" i="140"/>
  <c r="C54" i="140"/>
  <c r="C44" i="140"/>
  <c r="C48" i="140"/>
  <c r="C13" i="140"/>
  <c r="E19" i="140"/>
  <c r="E18" i="140"/>
  <c r="E24" i="140"/>
  <c r="E15" i="140"/>
  <c r="E42" i="140"/>
  <c r="E28" i="140"/>
  <c r="E26" i="140"/>
  <c r="E43" i="140"/>
  <c r="E53" i="140"/>
  <c r="E54" i="140"/>
  <c r="E48" i="140"/>
  <c r="E21" i="139"/>
  <c r="C13" i="136" s="1"/>
  <c r="C16" i="136" s="1"/>
  <c r="D45" i="137"/>
  <c r="D44" i="137"/>
  <c r="D43" i="137"/>
  <c r="C18" i="148" s="1"/>
  <c r="E16" i="135"/>
  <c r="D28" i="126" l="1"/>
  <c r="E51" i="140"/>
  <c r="D58" i="140"/>
  <c r="D59" i="140" s="1"/>
  <c r="C58" i="140"/>
  <c r="C59" i="140" s="1"/>
  <c r="E21" i="140"/>
  <c r="E44" i="140"/>
  <c r="E17" i="140"/>
  <c r="E30" i="140"/>
  <c r="E40" i="140"/>
  <c r="E41" i="140"/>
  <c r="E46" i="140"/>
  <c r="E36" i="140"/>
  <c r="E29" i="140"/>
  <c r="E16" i="140"/>
  <c r="E20" i="140"/>
  <c r="E49" i="140"/>
  <c r="E50" i="140"/>
  <c r="E52" i="140"/>
  <c r="E23" i="140"/>
  <c r="E31" i="140"/>
  <c r="E32" i="140"/>
  <c r="E35" i="140"/>
  <c r="E39" i="140"/>
  <c r="E25" i="140"/>
  <c r="E27" i="140"/>
  <c r="E45" i="140"/>
  <c r="E22" i="140"/>
  <c r="E47" i="140"/>
  <c r="E33" i="140"/>
  <c r="E34" i="140"/>
  <c r="E37" i="140"/>
  <c r="E38" i="140"/>
  <c r="O17" i="146"/>
  <c r="E17" i="146" s="1"/>
  <c r="O23" i="146"/>
  <c r="E23" i="146" s="1"/>
  <c r="C20" i="148"/>
  <c r="E15" i="146"/>
  <c r="E20" i="146"/>
  <c r="E25" i="146"/>
  <c r="I14" i="163"/>
  <c r="I16" i="163"/>
  <c r="E13" i="146"/>
  <c r="E18" i="146"/>
  <c r="O26" i="146"/>
  <c r="E26" i="146" s="1"/>
  <c r="E16" i="146"/>
  <c r="E27" i="146"/>
  <c r="E21" i="146"/>
  <c r="E22" i="146"/>
  <c r="E19" i="146"/>
  <c r="E14" i="146"/>
  <c r="E24" i="146"/>
  <c r="C57" i="140"/>
  <c r="D57" i="140"/>
  <c r="K3" i="58" l="1"/>
  <c r="K4" i="58"/>
  <c r="K5" i="58"/>
  <c r="K6" i="58"/>
  <c r="K7" i="58"/>
  <c r="K2" i="58"/>
  <c r="J2" i="58"/>
  <c r="AY2" i="1"/>
  <c r="E19" i="131" s="1"/>
  <c r="AX2" i="1"/>
  <c r="D19" i="131" l="1"/>
  <c r="E20" i="131"/>
  <c r="D20" i="131"/>
  <c r="E18" i="131"/>
  <c r="D18" i="131"/>
  <c r="C27" i="56"/>
  <c r="C35" i="56"/>
  <c r="G40" i="53"/>
  <c r="G53" i="53"/>
  <c r="G52" i="53"/>
  <c r="G51" i="53"/>
  <c r="G50" i="53"/>
  <c r="G49" i="53"/>
  <c r="G33" i="53"/>
  <c r="G48" i="53"/>
  <c r="G25" i="53"/>
  <c r="G47" i="53"/>
  <c r="G46" i="53"/>
  <c r="G45" i="53"/>
  <c r="G44" i="53"/>
  <c r="G43" i="53"/>
  <c r="G42" i="53"/>
  <c r="G41" i="53"/>
  <c r="G39" i="53"/>
  <c r="G31" i="53" l="1"/>
  <c r="C30" i="56"/>
  <c r="E35" i="56"/>
  <c r="F35" i="56"/>
  <c r="E27" i="56"/>
  <c r="F27" i="56"/>
  <c r="Q568" i="24"/>
  <c r="Q569" i="24"/>
  <c r="Q570" i="24"/>
  <c r="Q571" i="24"/>
  <c r="Q572" i="24"/>
  <c r="Q573" i="24"/>
  <c r="P568" i="24"/>
  <c r="P569" i="24"/>
  <c r="P570" i="24"/>
  <c r="P571" i="24"/>
  <c r="P572" i="24"/>
  <c r="P573" i="24"/>
  <c r="L572" i="24"/>
  <c r="AQ1752" i="1" s="1"/>
  <c r="Q544" i="24"/>
  <c r="Q545" i="24"/>
  <c r="Q546" i="24"/>
  <c r="Q547" i="24"/>
  <c r="Q548" i="24"/>
  <c r="P544" i="24"/>
  <c r="P545" i="24"/>
  <c r="P546" i="24"/>
  <c r="P547" i="24"/>
  <c r="P548" i="24"/>
  <c r="N2" i="58"/>
  <c r="O2" i="58" s="1"/>
  <c r="I23" i="109"/>
  <c r="O23" i="109"/>
  <c r="J23" i="109"/>
  <c r="H1446" i="1"/>
  <c r="H1445" i="1"/>
  <c r="H1443" i="1"/>
  <c r="L32" i="121"/>
  <c r="I32" i="121"/>
  <c r="O33" i="121"/>
  <c r="N35" i="121"/>
  <c r="O35" i="121"/>
  <c r="G36" i="121"/>
  <c r="H37" i="121"/>
  <c r="N37" i="121"/>
  <c r="P37" i="121"/>
  <c r="K37" i="121"/>
  <c r="F39" i="121"/>
  <c r="G39" i="121"/>
  <c r="K39" i="121"/>
  <c r="L39" i="121"/>
  <c r="N39" i="121"/>
  <c r="O39" i="121"/>
  <c r="D21" i="173"/>
  <c r="N13" i="111"/>
  <c r="G37" i="53"/>
  <c r="C33" i="56"/>
  <c r="G38" i="53"/>
  <c r="V49" i="109"/>
  <c r="AW1237" i="1"/>
  <c r="Q517" i="24"/>
  <c r="P517" i="24"/>
  <c r="L517" i="24"/>
  <c r="AQ129" i="1" s="1"/>
  <c r="Q562" i="24"/>
  <c r="Q563" i="24"/>
  <c r="Q564" i="24"/>
  <c r="Q565" i="24"/>
  <c r="Q566" i="24"/>
  <c r="Q567" i="24"/>
  <c r="P562" i="24"/>
  <c r="P563" i="24"/>
  <c r="P564" i="24"/>
  <c r="P565" i="24"/>
  <c r="P566" i="24"/>
  <c r="P567" i="24"/>
  <c r="H558" i="24"/>
  <c r="H555" i="24"/>
  <c r="H57" i="24"/>
  <c r="R1443" i="1" l="1"/>
  <c r="S1443" i="1" s="1"/>
  <c r="AZ1443" i="1"/>
  <c r="BA1443" i="1"/>
  <c r="R1445" i="1"/>
  <c r="S1445" i="1" s="1"/>
  <c r="AZ1445" i="1"/>
  <c r="BA1445" i="1"/>
  <c r="R1446" i="1"/>
  <c r="S1446" i="1" s="1"/>
  <c r="AZ1446" i="1"/>
  <c r="BA1446" i="1"/>
  <c r="M13" i="109"/>
  <c r="P39" i="121"/>
  <c r="I38" i="121"/>
  <c r="J37" i="121"/>
  <c r="P34" i="121"/>
  <c r="M34" i="121"/>
  <c r="I33" i="121"/>
  <c r="H32" i="121"/>
  <c r="H23" i="109"/>
  <c r="G47" i="109"/>
  <c r="E47" i="174"/>
  <c r="E47" i="15"/>
  <c r="G43" i="109"/>
  <c r="E43" i="15"/>
  <c r="E43" i="174"/>
  <c r="D15" i="178"/>
  <c r="D14" i="117"/>
  <c r="H39" i="121"/>
  <c r="G32" i="121"/>
  <c r="E17" i="48"/>
  <c r="C19" i="48"/>
  <c r="E23" i="109"/>
  <c r="D23" i="174"/>
  <c r="D23" i="15"/>
  <c r="C13" i="178"/>
  <c r="C12" i="117"/>
  <c r="C12" i="126"/>
  <c r="C19" i="117"/>
  <c r="C20" i="178"/>
  <c r="C19" i="126"/>
  <c r="P51" i="111"/>
  <c r="O51" i="109"/>
  <c r="I46" i="109"/>
  <c r="J46" i="111"/>
  <c r="J45" i="109"/>
  <c r="K45" i="111"/>
  <c r="K44" i="109"/>
  <c r="L44" i="111"/>
  <c r="J13" i="109"/>
  <c r="K13" i="111"/>
  <c r="H13" i="109"/>
  <c r="I13" i="111"/>
  <c r="G13" i="109"/>
  <c r="H13" i="111"/>
  <c r="F37" i="121"/>
  <c r="K33" i="121"/>
  <c r="I51" i="111"/>
  <c r="D12" i="53"/>
  <c r="E26" i="178"/>
  <c r="N23" i="109"/>
  <c r="C21" i="117"/>
  <c r="C22" i="178"/>
  <c r="C21" i="126"/>
  <c r="G23" i="109"/>
  <c r="C15" i="117"/>
  <c r="C15" i="126"/>
  <c r="C16" i="178"/>
  <c r="P51" i="109"/>
  <c r="Q51" i="111"/>
  <c r="G23" i="128" s="1"/>
  <c r="M51" i="109"/>
  <c r="N51" i="111"/>
  <c r="N51" i="109"/>
  <c r="O51" i="111"/>
  <c r="H50" i="109"/>
  <c r="I50" i="111"/>
  <c r="I45" i="109"/>
  <c r="J45" i="111"/>
  <c r="G44" i="109"/>
  <c r="F13" i="174"/>
  <c r="F13" i="15"/>
  <c r="M39" i="121"/>
  <c r="J39" i="121"/>
  <c r="H38" i="121"/>
  <c r="G38" i="121"/>
  <c r="G37" i="121"/>
  <c r="G35" i="121"/>
  <c r="F34" i="121"/>
  <c r="K34" i="121"/>
  <c r="H34" i="121"/>
  <c r="L33" i="121"/>
  <c r="H33" i="121"/>
  <c r="N13" i="121"/>
  <c r="C12" i="53"/>
  <c r="C18" i="48"/>
  <c r="M23" i="109"/>
  <c r="F23" i="109"/>
  <c r="D13" i="53"/>
  <c r="D51" i="174"/>
  <c r="D51" i="15"/>
  <c r="C13" i="117"/>
  <c r="C14" i="178"/>
  <c r="C13" i="126"/>
  <c r="L47" i="109"/>
  <c r="F45" i="109"/>
  <c r="H43" i="111"/>
  <c r="F43" i="15"/>
  <c r="R43" i="15"/>
  <c r="F43" i="174"/>
  <c r="R43" i="174"/>
  <c r="I37" i="121"/>
  <c r="L37" i="121"/>
  <c r="F35" i="121"/>
  <c r="O34" i="121"/>
  <c r="I34" i="121"/>
  <c r="G34" i="121"/>
  <c r="G33" i="121"/>
  <c r="I13" i="121"/>
  <c r="C14" i="126"/>
  <c r="C15" i="178"/>
  <c r="C14" i="117"/>
  <c r="C23" i="178"/>
  <c r="C22" i="117"/>
  <c r="C22" i="126"/>
  <c r="H51" i="109"/>
  <c r="F26" i="178"/>
  <c r="G47" i="174"/>
  <c r="J47" i="174" s="1"/>
  <c r="F25" i="117"/>
  <c r="E33" i="56"/>
  <c r="F33" i="56"/>
  <c r="E30" i="56"/>
  <c r="F30" i="56"/>
  <c r="F49" i="109"/>
  <c r="H26" i="128"/>
  <c r="E13" i="140"/>
  <c r="E58" i="140" s="1"/>
  <c r="E59" i="140" s="1"/>
  <c r="E58" i="105"/>
  <c r="E38" i="64"/>
  <c r="E20" i="64"/>
  <c r="E22" i="64"/>
  <c r="E31" i="64"/>
  <c r="E37" i="64"/>
  <c r="E56" i="64"/>
  <c r="E46" i="64"/>
  <c r="E42" i="64"/>
  <c r="E36" i="64"/>
  <c r="E34" i="64"/>
  <c r="E23" i="64"/>
  <c r="E27" i="64"/>
  <c r="E44" i="64"/>
  <c r="E30" i="64"/>
  <c r="D30" i="64"/>
  <c r="E58" i="64"/>
  <c r="E54" i="64"/>
  <c r="E33" i="64"/>
  <c r="E21" i="64"/>
  <c r="E48" i="64"/>
  <c r="E45" i="64"/>
  <c r="E39" i="64"/>
  <c r="E25" i="64"/>
  <c r="E26" i="64"/>
  <c r="E41" i="64"/>
  <c r="E29" i="64"/>
  <c r="E28" i="64"/>
  <c r="E24" i="64"/>
  <c r="E57" i="64"/>
  <c r="E55" i="64"/>
  <c r="E35" i="64"/>
  <c r="E47" i="64"/>
  <c r="E40" i="64"/>
  <c r="E43" i="64"/>
  <c r="F23" i="128"/>
  <c r="G27" i="53"/>
  <c r="C36" i="56"/>
  <c r="G50" i="111"/>
  <c r="F28" i="140"/>
  <c r="F26" i="140"/>
  <c r="F51" i="140"/>
  <c r="F48" i="140"/>
  <c r="F42" i="140"/>
  <c r="F53" i="140"/>
  <c r="F43" i="140"/>
  <c r="F54" i="140"/>
  <c r="F15" i="140"/>
  <c r="F18" i="140"/>
  <c r="F24" i="140"/>
  <c r="F19" i="140"/>
  <c r="G20" i="53"/>
  <c r="C29" i="56"/>
  <c r="L546" i="24"/>
  <c r="E16" i="178"/>
  <c r="O548" i="24"/>
  <c r="O547" i="24"/>
  <c r="O546" i="24"/>
  <c r="O573" i="24"/>
  <c r="O545" i="24"/>
  <c r="O572" i="24"/>
  <c r="O571" i="24"/>
  <c r="O568" i="24"/>
  <c r="O544" i="24"/>
  <c r="O570" i="24"/>
  <c r="O569" i="24"/>
  <c r="H1447" i="1"/>
  <c r="K13" i="121"/>
  <c r="H13" i="121"/>
  <c r="O567" i="24"/>
  <c r="L567" i="24" s="1"/>
  <c r="AQ1429" i="1" s="1"/>
  <c r="L566" i="24"/>
  <c r="AQ1428" i="1" s="1"/>
  <c r="O517" i="24"/>
  <c r="L565" i="24"/>
  <c r="AQ1427" i="1" s="1"/>
  <c r="O564" i="24"/>
  <c r="L564" i="24" s="1"/>
  <c r="AQ1426" i="1" s="1"/>
  <c r="O563" i="24"/>
  <c r="O562" i="24"/>
  <c r="G566" i="24"/>
  <c r="O1428" i="1" s="1"/>
  <c r="G565" i="24"/>
  <c r="O1427" i="1" s="1"/>
  <c r="F30" i="64" l="1"/>
  <c r="E16" i="64"/>
  <c r="R1447" i="1"/>
  <c r="S1447" i="1" s="1"/>
  <c r="AZ1447" i="1"/>
  <c r="BA1447" i="1"/>
  <c r="AQ690" i="1"/>
  <c r="AQ993" i="1"/>
  <c r="AQ1718" i="1"/>
  <c r="AQ1833" i="1"/>
  <c r="AQ1886" i="1"/>
  <c r="O25" i="109"/>
  <c r="D23" i="178"/>
  <c r="D22" i="117"/>
  <c r="O50" i="111"/>
  <c r="N50" i="109"/>
  <c r="O40" i="109"/>
  <c r="P40" i="111"/>
  <c r="D16" i="117"/>
  <c r="D17" i="178"/>
  <c r="J40" i="109"/>
  <c r="K40" i="111"/>
  <c r="E50" i="15"/>
  <c r="E50" i="174"/>
  <c r="E49" i="174"/>
  <c r="E49" i="15"/>
  <c r="E49" i="109"/>
  <c r="D12" i="117"/>
  <c r="D13" i="178"/>
  <c r="O45" i="109"/>
  <c r="N46" i="109"/>
  <c r="O46" i="111"/>
  <c r="E41" i="109"/>
  <c r="F41" i="111"/>
  <c r="G46" i="111"/>
  <c r="F50" i="111"/>
  <c r="E50" i="109"/>
  <c r="I41" i="111"/>
  <c r="H41" i="109"/>
  <c r="F46" i="109"/>
  <c r="E46" i="174"/>
  <c r="E46" i="15"/>
  <c r="E15" i="117"/>
  <c r="E45" i="15"/>
  <c r="F50" i="109"/>
  <c r="D20" i="117"/>
  <c r="O41" i="109"/>
  <c r="E41" i="174"/>
  <c r="E41" i="15"/>
  <c r="D21" i="178"/>
  <c r="E45" i="174"/>
  <c r="G43" i="174"/>
  <c r="J43" i="174" s="1"/>
  <c r="G35" i="53"/>
  <c r="C34" i="56"/>
  <c r="G34" i="53"/>
  <c r="C31" i="56"/>
  <c r="AW1128" i="1"/>
  <c r="U23" i="109"/>
  <c r="E67" i="131"/>
  <c r="E68" i="131"/>
  <c r="E69" i="131"/>
  <c r="D67" i="131"/>
  <c r="D68" i="131"/>
  <c r="D69" i="131"/>
  <c r="F27" i="140"/>
  <c r="E57" i="140"/>
  <c r="F38" i="140"/>
  <c r="F50" i="140"/>
  <c r="F21" i="140"/>
  <c r="F16" i="140"/>
  <c r="F30" i="140"/>
  <c r="F47" i="140"/>
  <c r="F25" i="140"/>
  <c r="F32" i="140"/>
  <c r="F36" i="140"/>
  <c r="F22" i="140"/>
  <c r="F37" i="140"/>
  <c r="F44" i="140"/>
  <c r="F52" i="140"/>
  <c r="F40" i="140"/>
  <c r="F33" i="140"/>
  <c r="F34" i="140"/>
  <c r="F46" i="140"/>
  <c r="F31" i="140"/>
  <c r="F23" i="140"/>
  <c r="F41" i="140"/>
  <c r="F17" i="140"/>
  <c r="F45" i="140"/>
  <c r="F35" i="140"/>
  <c r="F29" i="140"/>
  <c r="F49" i="140"/>
  <c r="D23" i="128"/>
  <c r="H23" i="128" s="1"/>
  <c r="C14" i="56"/>
  <c r="C22" i="56"/>
  <c r="C23" i="56"/>
  <c r="C16" i="56"/>
  <c r="G22" i="53"/>
  <c r="G29" i="53"/>
  <c r="C21" i="56"/>
  <c r="G28" i="53"/>
  <c r="C26" i="56"/>
  <c r="G21" i="53"/>
  <c r="C18" i="56"/>
  <c r="C15" i="56"/>
  <c r="G24" i="53"/>
  <c r="C19" i="56"/>
  <c r="G14" i="53"/>
  <c r="C17" i="56"/>
  <c r="G32" i="53"/>
  <c r="C28" i="56"/>
  <c r="G30" i="53"/>
  <c r="C25" i="56"/>
  <c r="G19" i="53"/>
  <c r="C24" i="56"/>
  <c r="Q55" i="121"/>
  <c r="G16" i="53"/>
  <c r="G15" i="53"/>
  <c r="G23" i="53"/>
  <c r="G26" i="53"/>
  <c r="G17" i="53"/>
  <c r="H1448" i="1"/>
  <c r="O565" i="24"/>
  <c r="O566" i="24"/>
  <c r="Q557" i="24"/>
  <c r="Q558" i="24"/>
  <c r="Q559" i="24"/>
  <c r="Q560" i="24"/>
  <c r="Q561" i="24"/>
  <c r="P557" i="24"/>
  <c r="P558" i="24"/>
  <c r="P559" i="24"/>
  <c r="P560" i="24"/>
  <c r="P561" i="24"/>
  <c r="Q556" i="24"/>
  <c r="P556" i="24"/>
  <c r="Q555" i="24"/>
  <c r="P555" i="24"/>
  <c r="Q554" i="24"/>
  <c r="P554" i="24"/>
  <c r="Q553" i="24"/>
  <c r="P553" i="24"/>
  <c r="Q552" i="24"/>
  <c r="P552" i="24"/>
  <c r="Q551" i="24"/>
  <c r="P551" i="24"/>
  <c r="Q550" i="24"/>
  <c r="P550" i="24"/>
  <c r="Q549" i="24"/>
  <c r="P549" i="24"/>
  <c r="H547" i="24"/>
  <c r="Q529" i="24"/>
  <c r="Q530" i="24"/>
  <c r="Q531" i="24"/>
  <c r="Q532" i="24"/>
  <c r="Q533" i="24"/>
  <c r="L534" i="24"/>
  <c r="Q534" i="24"/>
  <c r="Q535" i="24"/>
  <c r="Q536" i="24"/>
  <c r="L537" i="24"/>
  <c r="Q537" i="24"/>
  <c r="Q538" i="24"/>
  <c r="Q539" i="24"/>
  <c r="Q540" i="24"/>
  <c r="Q541" i="24"/>
  <c r="Q542" i="24"/>
  <c r="Q543" i="24"/>
  <c r="Q528" i="24"/>
  <c r="AE48" i="92"/>
  <c r="Z48" i="92"/>
  <c r="Y48" i="92"/>
  <c r="X48" i="92"/>
  <c r="AE47" i="92"/>
  <c r="Z47" i="92"/>
  <c r="Y47" i="92"/>
  <c r="X47" i="92"/>
  <c r="AE46" i="92"/>
  <c r="Z46" i="92"/>
  <c r="Y46" i="92"/>
  <c r="X46" i="92"/>
  <c r="AE45" i="92"/>
  <c r="Z45" i="92"/>
  <c r="Y45" i="92"/>
  <c r="X45" i="92"/>
  <c r="AE44" i="92"/>
  <c r="Z44" i="92"/>
  <c r="Y44" i="92"/>
  <c r="X44" i="92"/>
  <c r="AE43" i="92"/>
  <c r="Z43" i="92"/>
  <c r="Y43" i="92"/>
  <c r="X43" i="92"/>
  <c r="AE42" i="92"/>
  <c r="Z42" i="92"/>
  <c r="Y42" i="92"/>
  <c r="X42" i="92"/>
  <c r="AE41" i="92"/>
  <c r="Z41" i="92"/>
  <c r="Y41" i="92"/>
  <c r="X41" i="92"/>
  <c r="AE40" i="92"/>
  <c r="Z40" i="92"/>
  <c r="Y40" i="92"/>
  <c r="X40" i="92"/>
  <c r="AE39" i="92"/>
  <c r="Z39" i="92"/>
  <c r="Y39" i="92"/>
  <c r="X39" i="92"/>
  <c r="AE38" i="92"/>
  <c r="Z38" i="92"/>
  <c r="Y38" i="92"/>
  <c r="X38" i="92"/>
  <c r="AE37" i="92"/>
  <c r="Z37" i="92"/>
  <c r="Y37" i="92"/>
  <c r="X37" i="92"/>
  <c r="AE36" i="92"/>
  <c r="Z36" i="92"/>
  <c r="Y36" i="92"/>
  <c r="X36" i="92"/>
  <c r="AE35" i="92"/>
  <c r="Z35" i="92"/>
  <c r="Y35" i="92"/>
  <c r="X35" i="92"/>
  <c r="AE34" i="92"/>
  <c r="Z34" i="92"/>
  <c r="Y34" i="92"/>
  <c r="X34" i="92"/>
  <c r="AE33" i="92"/>
  <c r="Z33" i="92"/>
  <c r="Y33" i="92"/>
  <c r="X33" i="92"/>
  <c r="AE32" i="92"/>
  <c r="Z32" i="92"/>
  <c r="Y32" i="92"/>
  <c r="X32" i="92"/>
  <c r="AE31" i="92"/>
  <c r="Z31" i="92"/>
  <c r="Y31" i="92"/>
  <c r="X31" i="92"/>
  <c r="AE30" i="92"/>
  <c r="Z30" i="92"/>
  <c r="Y30" i="92"/>
  <c r="X30" i="92"/>
  <c r="AE29" i="92"/>
  <c r="G19" i="141"/>
  <c r="G16" i="141"/>
  <c r="Z29" i="92"/>
  <c r="Y29" i="92"/>
  <c r="X29" i="92"/>
  <c r="AE28" i="92"/>
  <c r="Z28" i="92"/>
  <c r="Y28" i="92"/>
  <c r="X28" i="92"/>
  <c r="AE27" i="92"/>
  <c r="Z27" i="92"/>
  <c r="Y27" i="92"/>
  <c r="X27" i="92"/>
  <c r="AE26" i="92"/>
  <c r="Z26" i="92"/>
  <c r="Y26" i="92"/>
  <c r="X26" i="92"/>
  <c r="AE25" i="92"/>
  <c r="D19" i="141"/>
  <c r="D16" i="141"/>
  <c r="Z25" i="92"/>
  <c r="Y25" i="92"/>
  <c r="X25" i="92"/>
  <c r="D13" i="141"/>
  <c r="AE24" i="92"/>
  <c r="Z24" i="92"/>
  <c r="Y24" i="92"/>
  <c r="X24" i="92"/>
  <c r="AE23" i="92"/>
  <c r="K18" i="141"/>
  <c r="K15" i="141"/>
  <c r="Z23" i="92"/>
  <c r="Y23" i="92"/>
  <c r="X23" i="92"/>
  <c r="K12" i="141"/>
  <c r="AE22" i="92"/>
  <c r="E19" i="141"/>
  <c r="Z22" i="92"/>
  <c r="Y22" i="92"/>
  <c r="X22" i="92"/>
  <c r="E13" i="141"/>
  <c r="AE21" i="92"/>
  <c r="Z21" i="92"/>
  <c r="Y21" i="92"/>
  <c r="X21" i="92"/>
  <c r="AE20" i="92"/>
  <c r="Z20" i="92"/>
  <c r="Y20" i="92"/>
  <c r="X20" i="92"/>
  <c r="AE19" i="92"/>
  <c r="Z19" i="92"/>
  <c r="Y19" i="92"/>
  <c r="X19" i="92"/>
  <c r="AE18" i="92"/>
  <c r="Z18" i="92"/>
  <c r="Y18" i="92"/>
  <c r="X18" i="92"/>
  <c r="AE17" i="92"/>
  <c r="Z17" i="92"/>
  <c r="Y17" i="92"/>
  <c r="X17" i="92"/>
  <c r="AE16" i="92"/>
  <c r="Z16" i="92"/>
  <c r="Y16" i="92"/>
  <c r="X16" i="92"/>
  <c r="AE15" i="92"/>
  <c r="Z15" i="92"/>
  <c r="Y15" i="92"/>
  <c r="X15" i="92"/>
  <c r="F13" i="141"/>
  <c r="AE14" i="92"/>
  <c r="Z14" i="92"/>
  <c r="Y14" i="92"/>
  <c r="X14" i="92"/>
  <c r="AE13" i="92"/>
  <c r="L18" i="141"/>
  <c r="L15" i="141"/>
  <c r="Z13" i="92"/>
  <c r="Y13" i="92"/>
  <c r="X13" i="92"/>
  <c r="L12" i="141"/>
  <c r="AE12" i="92"/>
  <c r="J18" i="141"/>
  <c r="J15" i="141"/>
  <c r="Z12" i="92"/>
  <c r="Y12" i="92"/>
  <c r="X12" i="92"/>
  <c r="J12" i="141"/>
  <c r="AQ208" i="1" l="1"/>
  <c r="AQ1193" i="1"/>
  <c r="AQ1238" i="1"/>
  <c r="AQ481" i="1"/>
  <c r="AQ1135" i="1"/>
  <c r="R1448" i="1"/>
  <c r="S1448" i="1" s="1"/>
  <c r="AZ1448" i="1"/>
  <c r="BA1448" i="1"/>
  <c r="D18" i="178"/>
  <c r="D17" i="117"/>
  <c r="H46" i="111"/>
  <c r="G46" i="109"/>
  <c r="I44" i="109"/>
  <c r="J44" i="111"/>
  <c r="R44" i="15"/>
  <c r="R44" i="174"/>
  <c r="F44" i="174"/>
  <c r="G44" i="174" s="1"/>
  <c r="J44" i="174" s="1"/>
  <c r="F44" i="15"/>
  <c r="E31" i="56"/>
  <c r="F31" i="56"/>
  <c r="E34" i="56"/>
  <c r="F34" i="56"/>
  <c r="G49" i="174"/>
  <c r="J49" i="174" s="1"/>
  <c r="AW1262" i="1"/>
  <c r="H1449" i="1"/>
  <c r="O549" i="24"/>
  <c r="L549" i="24" s="1"/>
  <c r="AQ592" i="1" s="1"/>
  <c r="O561" i="24"/>
  <c r="O552" i="24"/>
  <c r="L552" i="24" s="1"/>
  <c r="AQ595" i="1" s="1"/>
  <c r="O560" i="24"/>
  <c r="O555" i="24"/>
  <c r="O559" i="24"/>
  <c r="L559" i="24" s="1"/>
  <c r="O550" i="24"/>
  <c r="L550" i="24" s="1"/>
  <c r="O558" i="24"/>
  <c r="O553" i="24"/>
  <c r="O557" i="24"/>
  <c r="L557" i="24" s="1"/>
  <c r="AQ653" i="1" s="1"/>
  <c r="O551" i="24"/>
  <c r="O554" i="24"/>
  <c r="L554" i="24" s="1"/>
  <c r="L551" i="24"/>
  <c r="AQ594" i="1" s="1"/>
  <c r="L561" i="24"/>
  <c r="AQ600" i="1" s="1"/>
  <c r="O556" i="24"/>
  <c r="N7" i="58"/>
  <c r="O7" i="58" s="1"/>
  <c r="Q7" i="58" s="1"/>
  <c r="R7" i="58" s="1"/>
  <c r="J7" i="58"/>
  <c r="N6" i="58"/>
  <c r="J6" i="58"/>
  <c r="N5" i="58"/>
  <c r="O5" i="58" s="1"/>
  <c r="Q5" i="58" s="1"/>
  <c r="R5" i="58" s="1"/>
  <c r="J5" i="58"/>
  <c r="N4" i="58"/>
  <c r="O4" i="58" s="1"/>
  <c r="J4" i="58"/>
  <c r="N3" i="58"/>
  <c r="O3" i="58" s="1"/>
  <c r="J3" i="58"/>
  <c r="S3" i="5"/>
  <c r="Q4" i="58"/>
  <c r="R4" i="58" s="1"/>
  <c r="Q3" i="58"/>
  <c r="R3" i="58" s="1"/>
  <c r="Q2" i="58"/>
  <c r="R2" i="58" s="1"/>
  <c r="R24" i="5"/>
  <c r="R23" i="5"/>
  <c r="S23" i="5" s="1"/>
  <c r="R22" i="5"/>
  <c r="S22" i="5" s="1"/>
  <c r="R21" i="5"/>
  <c r="S21" i="5" s="1"/>
  <c r="R20" i="5"/>
  <c r="S20" i="5" s="1"/>
  <c r="R19" i="5"/>
  <c r="S19" i="5" s="1"/>
  <c r="R18" i="5"/>
  <c r="R17" i="5"/>
  <c r="R16" i="5"/>
  <c r="R15" i="5"/>
  <c r="R14" i="5"/>
  <c r="R13" i="5"/>
  <c r="S13" i="5" s="1"/>
  <c r="R12" i="5"/>
  <c r="R11" i="5"/>
  <c r="R10" i="5"/>
  <c r="S10" i="5" s="1"/>
  <c r="R9" i="5"/>
  <c r="S9" i="5" s="1"/>
  <c r="R8" i="5"/>
  <c r="S8" i="5" s="1"/>
  <c r="R7" i="5"/>
  <c r="S7" i="5" s="1"/>
  <c r="R6" i="5"/>
  <c r="S6" i="5" s="1"/>
  <c r="R5" i="5"/>
  <c r="S5" i="5" s="1"/>
  <c r="R4" i="5"/>
  <c r="S4" i="5" s="1"/>
  <c r="R2" i="5"/>
  <c r="S2" i="5" s="1"/>
  <c r="AQ327" i="1" l="1"/>
  <c r="AQ597" i="1"/>
  <c r="AQ593" i="1"/>
  <c r="AQ1933" i="1"/>
  <c r="R1449" i="1"/>
  <c r="S1449" i="1" s="1"/>
  <c r="AZ1449" i="1"/>
  <c r="BA1449" i="1"/>
  <c r="D18" i="117"/>
  <c r="D19" i="178"/>
  <c r="T40" i="109"/>
  <c r="U40" i="111"/>
  <c r="U55" i="111" s="1"/>
  <c r="E28" i="178"/>
  <c r="E27" i="117"/>
  <c r="F27" i="117" s="1"/>
  <c r="R40" i="15"/>
  <c r="F40" i="174"/>
  <c r="R40" i="174"/>
  <c r="F40" i="15"/>
  <c r="P33" i="109"/>
  <c r="Q33" i="111"/>
  <c r="F33" i="15"/>
  <c r="R33" i="174"/>
  <c r="F33" i="174"/>
  <c r="R33" i="15"/>
  <c r="F33" i="109"/>
  <c r="E33" i="174"/>
  <c r="E33" i="15"/>
  <c r="F28" i="178"/>
  <c r="T55" i="109"/>
  <c r="F55" i="53"/>
  <c r="F22" i="128"/>
  <c r="O6" i="58"/>
  <c r="Q6" i="58" s="1"/>
  <c r="R6" i="58" s="1"/>
  <c r="H892" i="1"/>
  <c r="H896" i="1"/>
  <c r="H895" i="1"/>
  <c r="Q527" i="24"/>
  <c r="L527" i="24"/>
  <c r="AQ682" i="1" s="1"/>
  <c r="V54" i="111"/>
  <c r="V36" i="111"/>
  <c r="AS2" i="1"/>
  <c r="D60" i="105"/>
  <c r="C60" i="105"/>
  <c r="R895" i="1" l="1"/>
  <c r="S895" i="1" s="1"/>
  <c r="T895" i="1" s="1"/>
  <c r="AW895" i="1" s="1"/>
  <c r="AZ895" i="1"/>
  <c r="BA895" i="1"/>
  <c r="AZ896" i="1"/>
  <c r="BA896" i="1"/>
  <c r="AZ892" i="1"/>
  <c r="BA892" i="1"/>
  <c r="D19" i="117"/>
  <c r="D20" i="178"/>
  <c r="E51" i="174"/>
  <c r="E51" i="15"/>
  <c r="R13" i="174"/>
  <c r="R13" i="15"/>
  <c r="G13" i="111"/>
  <c r="G17" i="105"/>
  <c r="C17" i="177"/>
  <c r="D17" i="177"/>
  <c r="E17" i="177"/>
  <c r="G33" i="174"/>
  <c r="J33" i="174" s="1"/>
  <c r="S33" i="174"/>
  <c r="S28" i="174"/>
  <c r="S32" i="174"/>
  <c r="S52" i="174"/>
  <c r="S27" i="174"/>
  <c r="S36" i="174"/>
  <c r="S47" i="174"/>
  <c r="S25" i="174"/>
  <c r="S54" i="174"/>
  <c r="S39" i="174"/>
  <c r="S42" i="174"/>
  <c r="S48" i="174"/>
  <c r="S53" i="174"/>
  <c r="S31" i="174"/>
  <c r="S38" i="174"/>
  <c r="S43" i="174"/>
  <c r="S30" i="174"/>
  <c r="S49" i="174"/>
  <c r="S40" i="174"/>
  <c r="S44" i="174"/>
  <c r="S14" i="174"/>
  <c r="S15" i="174"/>
  <c r="S16" i="174"/>
  <c r="S18" i="174"/>
  <c r="S19" i="174"/>
  <c r="S20" i="174"/>
  <c r="S21" i="174"/>
  <c r="S22" i="174"/>
  <c r="S23" i="174"/>
  <c r="S24" i="174"/>
  <c r="F19" i="128"/>
  <c r="V52" i="111"/>
  <c r="V19" i="111"/>
  <c r="V30" i="111"/>
  <c r="V48" i="111"/>
  <c r="E59" i="105"/>
  <c r="E60" i="105" s="1"/>
  <c r="J34" i="109" l="1"/>
  <c r="K34" i="111"/>
  <c r="L34" i="109"/>
  <c r="M34" i="111"/>
  <c r="F17" i="177"/>
  <c r="V23" i="111"/>
  <c r="V53" i="111"/>
  <c r="V28" i="111"/>
  <c r="S13" i="174"/>
  <c r="F12" i="128"/>
  <c r="F16" i="128"/>
  <c r="G154" i="24"/>
  <c r="L388" i="24"/>
  <c r="AQ750" i="1" s="1"/>
  <c r="L389" i="24"/>
  <c r="L398" i="24"/>
  <c r="AQ736" i="1" s="1"/>
  <c r="L400" i="24"/>
  <c r="L401" i="24"/>
  <c r="AQ1175" i="1" s="1"/>
  <c r="L402" i="24"/>
  <c r="L405" i="24"/>
  <c r="AQ61" i="1" s="1"/>
  <c r="L406" i="24"/>
  <c r="L407" i="24"/>
  <c r="L412" i="24"/>
  <c r="AQ465" i="1" s="1"/>
  <c r="L413" i="24"/>
  <c r="AQ741" i="1" s="1"/>
  <c r="L414" i="24"/>
  <c r="L415" i="24"/>
  <c r="L416" i="24"/>
  <c r="L417" i="24"/>
  <c r="L418" i="24"/>
  <c r="L419" i="24"/>
  <c r="L420" i="24"/>
  <c r="AQ846" i="1" s="1"/>
  <c r="L421" i="24"/>
  <c r="AQ743" i="1" s="1"/>
  <c r="L422" i="24"/>
  <c r="L423" i="24"/>
  <c r="AQ446" i="1" s="1"/>
  <c r="L424" i="24"/>
  <c r="L425" i="24"/>
  <c r="L426" i="24"/>
  <c r="L427" i="24"/>
  <c r="AQ734" i="1" s="1"/>
  <c r="L428" i="24"/>
  <c r="L429" i="24"/>
  <c r="L430" i="24"/>
  <c r="AQ1231" i="1" s="1"/>
  <c r="L431" i="24"/>
  <c r="AQ1229" i="1" s="1"/>
  <c r="L432" i="24"/>
  <c r="AQ1230" i="1" s="1"/>
  <c r="L433" i="24"/>
  <c r="AQ3" i="1" s="1"/>
  <c r="L435" i="24"/>
  <c r="AQ438" i="1" s="1"/>
  <c r="L436" i="24"/>
  <c r="AQ735" i="1" s="1"/>
  <c r="L437" i="24"/>
  <c r="L438" i="24"/>
  <c r="AQ1019" i="1" s="1"/>
  <c r="L439" i="24"/>
  <c r="L440" i="24"/>
  <c r="AQ1228" i="1" s="1"/>
  <c r="L441" i="24"/>
  <c r="AQ1248" i="1" s="1"/>
  <c r="L442" i="24"/>
  <c r="AQ401" i="1" s="1"/>
  <c r="L443" i="24"/>
  <c r="L444" i="24"/>
  <c r="AQ1221" i="1" s="1"/>
  <c r="L445" i="24"/>
  <c r="L446" i="24"/>
  <c r="AQ1059" i="1" s="1"/>
  <c r="L447" i="24"/>
  <c r="AQ847" i="1" s="1"/>
  <c r="L448" i="24"/>
  <c r="AQ462" i="1" s="1"/>
  <c r="L449" i="24"/>
  <c r="AQ1233" i="1" s="1"/>
  <c r="L450" i="24"/>
  <c r="L451" i="24"/>
  <c r="L452" i="24"/>
  <c r="AQ1176" i="1" s="1"/>
  <c r="L453" i="24"/>
  <c r="AQ219" i="1" s="1"/>
  <c r="L454" i="24"/>
  <c r="AQ1222" i="1" s="1"/>
  <c r="L455" i="24"/>
  <c r="AQ1223" i="1" s="1"/>
  <c r="L456" i="24"/>
  <c r="AQ282" i="1" s="1"/>
  <c r="L457" i="24"/>
  <c r="AQ751" i="1" s="1"/>
  <c r="L458" i="24"/>
  <c r="L459" i="24"/>
  <c r="AQ1174" i="1" s="1"/>
  <c r="L460" i="24"/>
  <c r="L461" i="24"/>
  <c r="L462" i="24"/>
  <c r="AQ218" i="1" s="1"/>
  <c r="L463" i="24"/>
  <c r="AQ35" i="1" s="1"/>
  <c r="L464" i="24"/>
  <c r="L465" i="24"/>
  <c r="AQ730" i="1" s="1"/>
  <c r="L466" i="24"/>
  <c r="AQ676" i="1" s="1"/>
  <c r="L467" i="24"/>
  <c r="L468" i="24"/>
  <c r="L469" i="24"/>
  <c r="L470" i="24"/>
  <c r="AQ281" i="1" s="1"/>
  <c r="L471" i="24"/>
  <c r="AQ62" i="1" s="1"/>
  <c r="L475" i="24"/>
  <c r="AQ1292" i="1" s="1"/>
  <c r="L476" i="24"/>
  <c r="AQ1265" i="1" s="1"/>
  <c r="L479" i="24"/>
  <c r="AQ898" i="1" s="1"/>
  <c r="L480" i="24"/>
  <c r="L481" i="24"/>
  <c r="L482" i="24"/>
  <c r="L483" i="24"/>
  <c r="AQ469" i="1" s="1"/>
  <c r="L484" i="24"/>
  <c r="L485" i="24"/>
  <c r="L486" i="24"/>
  <c r="L487" i="24"/>
  <c r="L496" i="24"/>
  <c r="AQ40" i="1" s="1"/>
  <c r="L497" i="24"/>
  <c r="L498" i="24"/>
  <c r="AQ474" i="1" s="1"/>
  <c r="L499" i="24"/>
  <c r="AQ475" i="1" s="1"/>
  <c r="L500" i="24"/>
  <c r="AQ472" i="1" s="1"/>
  <c r="L501" i="24"/>
  <c r="AQ473" i="1" s="1"/>
  <c r="L502" i="24"/>
  <c r="L503" i="24"/>
  <c r="AQ396" i="1" s="1"/>
  <c r="L504" i="24"/>
  <c r="AQ820" i="1" s="1"/>
  <c r="L505" i="24"/>
  <c r="AQ477" i="1" s="1"/>
  <c r="L506" i="24"/>
  <c r="AQ456" i="1" s="1"/>
  <c r="L507" i="24"/>
  <c r="AQ457" i="1" s="1"/>
  <c r="L508" i="24"/>
  <c r="AQ458" i="1" s="1"/>
  <c r="L514" i="24"/>
  <c r="AQ648" i="1" s="1"/>
  <c r="L515" i="24"/>
  <c r="AQ646" i="1" s="1"/>
  <c r="L516" i="24"/>
  <c r="AQ647" i="1" s="1"/>
  <c r="L518" i="24"/>
  <c r="AQ687" i="1" s="1"/>
  <c r="L520" i="24"/>
  <c r="AQ681" i="1" s="1"/>
  <c r="L521" i="24"/>
  <c r="L522" i="24"/>
  <c r="AQ673" i="1" s="1"/>
  <c r="L523" i="24"/>
  <c r="AQ675" i="1" s="1"/>
  <c r="L524" i="24"/>
  <c r="AQ563" i="1" s="1"/>
  <c r="L525" i="24"/>
  <c r="AQ685" i="1" s="1"/>
  <c r="L526" i="24"/>
  <c r="Q13" i="24"/>
  <c r="Q14" i="24"/>
  <c r="Q15" i="24"/>
  <c r="Q16" i="24"/>
  <c r="Q17" i="24"/>
  <c r="Q18" i="24"/>
  <c r="Q19" i="24"/>
  <c r="Q20" i="24"/>
  <c r="Q21" i="24"/>
  <c r="Q22" i="24"/>
  <c r="Q23" i="24"/>
  <c r="Q24" i="24"/>
  <c r="Q25" i="24"/>
  <c r="Q26" i="24"/>
  <c r="Q27" i="24"/>
  <c r="Q28" i="24"/>
  <c r="Q29" i="24"/>
  <c r="Q30" i="24"/>
  <c r="Q31" i="24"/>
  <c r="Q32" i="24"/>
  <c r="Q33" i="24"/>
  <c r="Q34" i="24"/>
  <c r="Q35" i="24"/>
  <c r="Q36" i="24"/>
  <c r="Q37" i="24"/>
  <c r="Q38" i="24"/>
  <c r="Q39" i="24"/>
  <c r="Q40" i="24"/>
  <c r="Q41" i="24"/>
  <c r="Q152" i="24"/>
  <c r="Q153" i="24"/>
  <c r="Q154" i="24"/>
  <c r="Q155" i="24"/>
  <c r="Q156" i="24"/>
  <c r="Q157" i="24"/>
  <c r="Q42" i="24"/>
  <c r="Q43" i="24"/>
  <c r="Q158" i="24"/>
  <c r="Q159" i="24"/>
  <c r="Q160" i="24"/>
  <c r="Q161" i="24"/>
  <c r="Q162" i="24"/>
  <c r="Q163" i="24"/>
  <c r="Q164" i="24"/>
  <c r="Q44" i="24"/>
  <c r="Q165" i="24"/>
  <c r="Q166" i="24"/>
  <c r="Q167" i="24"/>
  <c r="Q45" i="24"/>
  <c r="Q168" i="24"/>
  <c r="Q169" i="24"/>
  <c r="Q170" i="24"/>
  <c r="Q46" i="24"/>
  <c r="Q47" i="24"/>
  <c r="Q171" i="24"/>
  <c r="Q172" i="24"/>
  <c r="Q173" i="24"/>
  <c r="Q174" i="24"/>
  <c r="Q175" i="24"/>
  <c r="Q176" i="24"/>
  <c r="Q177" i="24"/>
  <c r="Q178" i="24"/>
  <c r="Q48" i="24"/>
  <c r="Q49" i="24"/>
  <c r="Q50" i="24"/>
  <c r="Q179" i="24"/>
  <c r="Q180" i="24"/>
  <c r="Q181" i="24"/>
  <c r="Q182" i="24"/>
  <c r="Q51" i="24"/>
  <c r="Q183" i="24"/>
  <c r="Q184" i="24"/>
  <c r="Q185" i="24"/>
  <c r="Q186" i="24"/>
  <c r="Q187" i="24"/>
  <c r="Q52" i="24"/>
  <c r="Q188" i="24"/>
  <c r="Q189" i="24"/>
  <c r="Q190" i="24"/>
  <c r="Q191" i="24"/>
  <c r="Q192" i="24"/>
  <c r="Q53" i="24"/>
  <c r="Q193" i="24"/>
  <c r="Q194" i="24"/>
  <c r="Q195" i="24"/>
  <c r="Q196" i="24"/>
  <c r="Q197" i="24"/>
  <c r="Q198" i="24"/>
  <c r="Q199" i="24"/>
  <c r="Q54" i="24"/>
  <c r="Q200" i="24"/>
  <c r="Q201" i="24"/>
  <c r="Q202" i="24"/>
  <c r="Q203" i="24"/>
  <c r="Q204" i="24"/>
  <c r="Q205" i="24"/>
  <c r="Q206" i="24"/>
  <c r="Q207" i="24"/>
  <c r="Q208" i="24"/>
  <c r="Q209" i="24"/>
  <c r="Q210" i="24"/>
  <c r="Q211" i="24"/>
  <c r="Q212" i="24"/>
  <c r="Q213" i="24"/>
  <c r="Q214" i="24"/>
  <c r="Q215" i="24"/>
  <c r="Q216" i="24"/>
  <c r="Q217" i="24"/>
  <c r="Q55" i="24"/>
  <c r="Q218" i="24"/>
  <c r="Q219" i="24"/>
  <c r="Q220" i="24"/>
  <c r="Q221" i="24"/>
  <c r="Q222" i="24"/>
  <c r="Q223" i="24"/>
  <c r="Q224" i="24"/>
  <c r="Q225" i="24"/>
  <c r="Q226" i="24"/>
  <c r="Q227" i="24"/>
  <c r="Q228" i="24"/>
  <c r="Q229" i="24"/>
  <c r="Q230" i="24"/>
  <c r="Q231" i="24"/>
  <c r="Q232" i="24"/>
  <c r="Q233" i="24"/>
  <c r="Q234" i="24"/>
  <c r="Q235" i="24"/>
  <c r="Q236" i="24"/>
  <c r="Q237" i="24"/>
  <c r="Q238" i="24"/>
  <c r="Q239" i="24"/>
  <c r="Q240" i="24"/>
  <c r="Q241" i="24"/>
  <c r="Q242" i="24"/>
  <c r="Q243" i="24"/>
  <c r="Q244" i="24"/>
  <c r="Q245" i="24"/>
  <c r="Q246" i="24"/>
  <c r="Q247" i="24"/>
  <c r="Q248" i="24"/>
  <c r="Q249" i="24"/>
  <c r="Q250" i="24"/>
  <c r="Q251" i="24"/>
  <c r="Q252" i="24"/>
  <c r="Q253" i="24"/>
  <c r="Q254" i="24"/>
  <c r="Q255" i="24"/>
  <c r="Q256" i="24"/>
  <c r="Q257" i="24"/>
  <c r="Q258" i="24"/>
  <c r="Q259" i="24"/>
  <c r="Q260" i="24"/>
  <c r="Q261" i="24"/>
  <c r="Q262" i="24"/>
  <c r="Q263" i="24"/>
  <c r="Q264" i="24"/>
  <c r="Q265" i="24"/>
  <c r="Q266" i="24"/>
  <c r="Q267" i="24"/>
  <c r="Q268" i="24"/>
  <c r="Q269" i="24"/>
  <c r="Q270" i="24"/>
  <c r="Q271" i="24"/>
  <c r="Q272" i="24"/>
  <c r="Q273" i="24"/>
  <c r="Q274" i="24"/>
  <c r="Q275" i="24"/>
  <c r="Q276" i="24"/>
  <c r="Q277" i="24"/>
  <c r="Q278" i="24"/>
  <c r="Q279" i="24"/>
  <c r="Q280" i="24"/>
  <c r="Q281" i="24"/>
  <c r="Q282" i="24"/>
  <c r="Q283" i="24"/>
  <c r="Q284" i="24"/>
  <c r="Q285" i="24"/>
  <c r="Q286" i="24"/>
  <c r="Q287" i="24"/>
  <c r="Q288" i="24"/>
  <c r="Q289" i="24"/>
  <c r="Q290" i="24"/>
  <c r="Q291" i="24"/>
  <c r="Q292" i="24"/>
  <c r="Q293" i="24"/>
  <c r="Q294" i="24"/>
  <c r="Q295" i="24"/>
  <c r="Q296" i="24"/>
  <c r="Q56" i="24"/>
  <c r="Q297" i="24"/>
  <c r="Q298" i="24"/>
  <c r="Q57" i="24"/>
  <c r="Q299" i="24"/>
  <c r="Q300" i="24"/>
  <c r="Q301" i="24"/>
  <c r="Q302" i="24"/>
  <c r="Q58" i="24"/>
  <c r="Q303" i="24"/>
  <c r="Q304" i="24"/>
  <c r="Q305" i="24"/>
  <c r="Q306" i="24"/>
  <c r="Q307" i="24"/>
  <c r="Q308" i="24"/>
  <c r="Q309" i="24"/>
  <c r="Q59" i="24"/>
  <c r="Q310" i="24"/>
  <c r="Q311" i="24"/>
  <c r="Q312" i="24"/>
  <c r="Q313" i="24"/>
  <c r="Q314" i="24"/>
  <c r="Q315" i="24"/>
  <c r="Q316" i="24"/>
  <c r="Q317" i="24"/>
  <c r="Q318" i="24"/>
  <c r="Q60" i="24"/>
  <c r="Q319" i="24"/>
  <c r="Q320" i="24"/>
  <c r="Q321" i="24"/>
  <c r="Q322" i="24"/>
  <c r="Q323" i="24"/>
  <c r="Q61" i="24"/>
  <c r="Q324" i="24"/>
  <c r="Q325" i="24"/>
  <c r="Q326" i="24"/>
  <c r="Q327" i="24"/>
  <c r="Q328" i="24"/>
  <c r="Q329" i="24"/>
  <c r="Q62" i="24"/>
  <c r="Q63" i="24"/>
  <c r="Q64" i="24"/>
  <c r="Q65" i="24"/>
  <c r="Q66" i="24"/>
  <c r="Q67" i="24"/>
  <c r="Q68" i="24"/>
  <c r="Q69" i="24"/>
  <c r="Q70" i="24"/>
  <c r="Q71" i="24"/>
  <c r="Q72" i="24"/>
  <c r="Q73" i="24"/>
  <c r="Q74" i="24"/>
  <c r="Q75" i="24"/>
  <c r="Q330" i="24"/>
  <c r="Q76" i="24"/>
  <c r="Q77" i="24"/>
  <c r="Q78" i="24"/>
  <c r="Q79" i="24"/>
  <c r="Q331" i="24"/>
  <c r="Q80" i="24"/>
  <c r="Q340" i="24"/>
  <c r="Q341" i="24"/>
  <c r="Q342" i="24"/>
  <c r="Q81" i="24"/>
  <c r="Q82" i="24"/>
  <c r="Q83" i="24"/>
  <c r="Q343" i="24"/>
  <c r="Q84" i="24"/>
  <c r="Q344" i="24"/>
  <c r="Q332" i="24"/>
  <c r="Q85" i="24"/>
  <c r="Q86" i="24"/>
  <c r="Q345" i="24"/>
  <c r="Q346" i="24"/>
  <c r="Q347" i="24"/>
  <c r="Q333" i="24"/>
  <c r="Q348" i="24"/>
  <c r="Q87" i="24"/>
  <c r="Q88" i="24"/>
  <c r="Q89" i="24"/>
  <c r="Q90" i="24"/>
  <c r="Q91" i="24"/>
  <c r="Q92" i="24"/>
  <c r="Q93" i="24"/>
  <c r="Q94" i="24"/>
  <c r="Q95" i="24"/>
  <c r="Q349" i="24"/>
  <c r="Q350" i="24"/>
  <c r="Q351" i="24"/>
  <c r="Q96" i="24"/>
  <c r="Q97" i="24"/>
  <c r="Q98" i="24"/>
  <c r="Q99" i="24"/>
  <c r="Q352" i="24"/>
  <c r="Q100" i="24"/>
  <c r="Q353" i="24"/>
  <c r="Q354" i="24"/>
  <c r="Q355" i="24"/>
  <c r="Q334" i="24"/>
  <c r="Q101" i="24"/>
  <c r="Q356" i="24"/>
  <c r="Q102" i="24"/>
  <c r="Q357" i="24"/>
  <c r="Q103" i="24"/>
  <c r="Q358" i="24"/>
  <c r="Q335" i="24"/>
  <c r="Q104" i="24"/>
  <c r="Q359" i="24"/>
  <c r="Q105" i="24"/>
  <c r="Q360" i="24"/>
  <c r="Q106" i="24"/>
  <c r="Q361" i="24"/>
  <c r="Q362" i="24"/>
  <c r="Q363" i="24"/>
  <c r="Q107" i="24"/>
  <c r="Q108" i="24"/>
  <c r="Q109" i="24"/>
  <c r="Q364" i="24"/>
  <c r="Q110" i="24"/>
  <c r="Q365" i="24"/>
  <c r="Q366" i="24"/>
  <c r="Q367" i="24"/>
  <c r="Q111" i="24"/>
  <c r="Q368" i="24"/>
  <c r="Q369" i="24"/>
  <c r="Q112" i="24"/>
  <c r="Q370" i="24"/>
  <c r="Q113" i="24"/>
  <c r="Q371" i="24"/>
  <c r="Q372" i="24"/>
  <c r="Q373" i="24"/>
  <c r="Q374" i="24"/>
  <c r="Q375" i="24"/>
  <c r="Q376" i="24"/>
  <c r="Q114" i="24"/>
  <c r="Q377" i="24"/>
  <c r="Q336" i="24"/>
  <c r="Q378" i="24"/>
  <c r="Q379" i="24"/>
  <c r="Q380" i="24"/>
  <c r="Q337" i="24"/>
  <c r="Q115" i="24"/>
  <c r="Q381" i="24"/>
  <c r="Q382" i="24"/>
  <c r="Q383" i="24"/>
  <c r="Q384" i="24"/>
  <c r="Q116" i="24"/>
  <c r="Q117" i="24"/>
  <c r="Q385" i="24"/>
  <c r="Q118" i="24"/>
  <c r="Q386" i="24"/>
  <c r="Q338" i="24"/>
  <c r="Q339" i="24"/>
  <c r="Q119" i="24"/>
  <c r="Q120" i="24"/>
  <c r="Q121" i="24"/>
  <c r="Q122" i="24"/>
  <c r="Q123" i="24"/>
  <c r="Q388" i="24"/>
  <c r="Q124" i="24"/>
  <c r="Q389" i="24"/>
  <c r="Q390" i="24"/>
  <c r="Q391" i="24"/>
  <c r="Q392" i="24"/>
  <c r="Q393" i="24"/>
  <c r="Q394" i="24"/>
  <c r="Q395" i="24"/>
  <c r="Q125" i="24"/>
  <c r="Q126" i="24"/>
  <c r="Q127" i="24"/>
  <c r="Q396" i="24"/>
  <c r="Q397" i="24"/>
  <c r="Q398" i="24"/>
  <c r="Q399" i="24"/>
  <c r="Q400" i="24"/>
  <c r="Q128" i="24"/>
  <c r="Q401" i="24"/>
  <c r="Q402" i="24"/>
  <c r="Q129" i="24"/>
  <c r="Q403" i="24"/>
  <c r="Q404" i="24"/>
  <c r="Q405" i="24"/>
  <c r="Q406" i="24"/>
  <c r="Q130" i="24"/>
  <c r="Q131" i="24"/>
  <c r="Q132" i="24"/>
  <c r="Q407" i="24"/>
  <c r="Q133" i="24"/>
  <c r="Q134" i="24"/>
  <c r="Q135" i="24"/>
  <c r="Q408" i="24"/>
  <c r="Q409" i="24"/>
  <c r="Q136" i="24"/>
  <c r="Q410" i="24"/>
  <c r="Q411" i="24"/>
  <c r="Q412" i="24"/>
  <c r="Q413" i="24"/>
  <c r="Q414" i="24"/>
  <c r="Q415" i="24"/>
  <c r="Q416" i="24"/>
  <c r="Q417" i="24"/>
  <c r="Q418" i="24"/>
  <c r="Q419" i="24"/>
  <c r="Q420" i="24"/>
  <c r="Q421" i="24"/>
  <c r="Q422" i="24"/>
  <c r="Q423" i="24"/>
  <c r="Q424" i="24"/>
  <c r="Q425" i="24"/>
  <c r="Q426" i="24"/>
  <c r="Q427" i="24"/>
  <c r="Q428" i="24"/>
  <c r="Q429" i="24"/>
  <c r="Q430" i="24"/>
  <c r="Q431" i="24"/>
  <c r="Q432" i="24"/>
  <c r="Q433" i="24"/>
  <c r="Q434" i="24"/>
  <c r="Q435" i="24"/>
  <c r="Q436" i="24"/>
  <c r="Q437" i="24"/>
  <c r="Q438" i="24"/>
  <c r="Q439" i="24"/>
  <c r="Q440" i="24"/>
  <c r="Q441" i="24"/>
  <c r="Q442" i="24"/>
  <c r="Q443" i="24"/>
  <c r="Q444" i="24"/>
  <c r="Q445" i="24"/>
  <c r="Q446" i="24"/>
  <c r="Q447" i="24"/>
  <c r="Q448" i="24"/>
  <c r="Q449" i="24"/>
  <c r="Q450" i="24"/>
  <c r="Q451" i="24"/>
  <c r="Q452" i="24"/>
  <c r="Q453" i="24"/>
  <c r="Q454" i="24"/>
  <c r="Q455" i="24"/>
  <c r="Q456" i="24"/>
  <c r="Q457" i="24"/>
  <c r="Q458" i="24"/>
  <c r="Q459" i="24"/>
  <c r="Q460" i="24"/>
  <c r="Q461" i="24"/>
  <c r="Q462" i="24"/>
  <c r="Q463" i="24"/>
  <c r="Q464" i="24"/>
  <c r="Q465" i="24"/>
  <c r="Q466" i="24"/>
  <c r="Q467" i="24"/>
  <c r="Q468" i="24"/>
  <c r="Q469" i="24"/>
  <c r="Q470" i="24"/>
  <c r="Q471" i="24"/>
  <c r="Q472" i="24"/>
  <c r="Q473" i="24"/>
  <c r="Q474" i="24"/>
  <c r="Q475" i="24"/>
  <c r="Q476" i="24"/>
  <c r="Q477" i="24"/>
  <c r="Q478" i="24"/>
  <c r="Q137" i="24"/>
  <c r="Q479" i="24"/>
  <c r="Q480" i="24"/>
  <c r="Q481" i="24"/>
  <c r="Q482" i="24"/>
  <c r="Q483" i="24"/>
  <c r="Q484" i="24"/>
  <c r="Q485" i="24"/>
  <c r="Q486" i="24"/>
  <c r="Q487" i="24"/>
  <c r="Q488" i="24"/>
  <c r="Q489" i="24"/>
  <c r="Q490" i="24"/>
  <c r="Q138" i="24"/>
  <c r="Q139" i="24"/>
  <c r="Q491" i="24"/>
  <c r="Q492" i="24"/>
  <c r="Q493" i="24"/>
  <c r="Q494" i="24"/>
  <c r="Q140" i="24"/>
  <c r="Q141" i="24"/>
  <c r="Q142" i="24"/>
  <c r="Q495" i="24"/>
  <c r="Q496" i="24"/>
  <c r="Q497" i="24"/>
  <c r="Q498" i="24"/>
  <c r="Q499" i="24"/>
  <c r="Q500" i="24"/>
  <c r="Q501" i="24"/>
  <c r="Q502" i="24"/>
  <c r="Q143" i="24"/>
  <c r="Q503" i="24"/>
  <c r="Q504" i="24"/>
  <c r="Q505" i="24"/>
  <c r="Q506" i="24"/>
  <c r="Q507" i="24"/>
  <c r="Q508" i="24"/>
  <c r="Q144" i="24"/>
  <c r="Q509" i="24"/>
  <c r="Q145" i="24"/>
  <c r="Q510" i="24"/>
  <c r="Q511" i="24"/>
  <c r="Q512" i="24"/>
  <c r="Q513" i="24"/>
  <c r="Q514" i="24"/>
  <c r="Q515" i="24"/>
  <c r="Q516" i="24"/>
  <c r="Q518" i="24"/>
  <c r="Q146" i="24"/>
  <c r="Q519" i="24"/>
  <c r="Q520" i="24"/>
  <c r="Q147" i="24"/>
  <c r="Q521" i="24"/>
  <c r="Q148" i="24"/>
  <c r="Q522" i="24"/>
  <c r="Q149" i="24"/>
  <c r="Q523" i="24"/>
  <c r="Q150" i="24"/>
  <c r="Q151" i="24"/>
  <c r="Q524" i="24"/>
  <c r="Q525" i="24"/>
  <c r="Q526" i="24"/>
  <c r="Q12" i="24"/>
  <c r="N1989" i="1"/>
  <c r="CL27" i="92"/>
  <c r="CM27" i="92"/>
  <c r="CN27" i="92"/>
  <c r="CL46" i="92"/>
  <c r="CM46" i="92"/>
  <c r="CN46" i="92"/>
  <c r="CL47" i="92"/>
  <c r="CM47" i="92"/>
  <c r="CN47" i="92"/>
  <c r="CL48" i="92"/>
  <c r="CM48" i="92"/>
  <c r="CN48" i="92"/>
  <c r="BX27" i="92"/>
  <c r="BY27" i="92"/>
  <c r="BZ27" i="92"/>
  <c r="BX46" i="92"/>
  <c r="BY46" i="92"/>
  <c r="BZ46" i="92"/>
  <c r="BX47" i="92"/>
  <c r="BY47" i="92"/>
  <c r="BZ47" i="92"/>
  <c r="BX48" i="92"/>
  <c r="BY48" i="92"/>
  <c r="BZ48" i="92"/>
  <c r="AU2" i="1"/>
  <c r="G329" i="24"/>
  <c r="G319" i="24"/>
  <c r="O179" i="1" s="1"/>
  <c r="P179" i="1" s="1"/>
  <c r="G508" i="24"/>
  <c r="O458" i="1" s="1"/>
  <c r="G507" i="24"/>
  <c r="O457" i="1" s="1"/>
  <c r="G312" i="24"/>
  <c r="O1244" i="1" s="1"/>
  <c r="G502" i="24"/>
  <c r="G479" i="24"/>
  <c r="O898" i="1" s="1"/>
  <c r="G201" i="24"/>
  <c r="O1145" i="1" s="1"/>
  <c r="G174" i="24"/>
  <c r="G157" i="24"/>
  <c r="G152" i="24"/>
  <c r="S54" i="121"/>
  <c r="C52" i="164" s="1"/>
  <c r="S36" i="121"/>
  <c r="C53" i="164" s="1"/>
  <c r="L2" i="1"/>
  <c r="U36" i="109"/>
  <c r="V18" i="111"/>
  <c r="M1104" i="1"/>
  <c r="G190" i="24"/>
  <c r="O684" i="1" s="1"/>
  <c r="H184" i="24"/>
  <c r="H306" i="24"/>
  <c r="H307" i="24"/>
  <c r="J410" i="24"/>
  <c r="H410" i="24"/>
  <c r="J409" i="24"/>
  <c r="AN586" i="1" s="1"/>
  <c r="H409" i="24"/>
  <c r="H341" i="24"/>
  <c r="J394" i="24"/>
  <c r="AN545" i="1" s="1"/>
  <c r="H394" i="24"/>
  <c r="H506" i="24"/>
  <c r="H229" i="24"/>
  <c r="H89" i="24"/>
  <c r="G369" i="24"/>
  <c r="O680" i="1" s="1"/>
  <c r="H349" i="24"/>
  <c r="J393" i="24"/>
  <c r="AN574" i="1" s="1"/>
  <c r="H393" i="24"/>
  <c r="H284" i="24"/>
  <c r="H287" i="24"/>
  <c r="H518" i="24"/>
  <c r="H146" i="24"/>
  <c r="H520" i="24"/>
  <c r="H147" i="24"/>
  <c r="H148" i="24"/>
  <c r="H522" i="24"/>
  <c r="H149" i="24"/>
  <c r="H523" i="24"/>
  <c r="H150" i="24"/>
  <c r="H151" i="24"/>
  <c r="H323" i="24"/>
  <c r="H466" i="24"/>
  <c r="H331" i="24"/>
  <c r="H372" i="24"/>
  <c r="H286" i="24"/>
  <c r="H265" i="24"/>
  <c r="H367" i="24"/>
  <c r="P680" i="1" l="1"/>
  <c r="Q680" i="1"/>
  <c r="AN583" i="1"/>
  <c r="AN603" i="1"/>
  <c r="P684" i="1"/>
  <c r="Q684" i="1"/>
  <c r="O623" i="1"/>
  <c r="P623" i="1" s="1"/>
  <c r="O557" i="1"/>
  <c r="O550" i="1"/>
  <c r="O353" i="1"/>
  <c r="O355" i="1"/>
  <c r="O363" i="1"/>
  <c r="P1145" i="1"/>
  <c r="R1145" i="1" s="1"/>
  <c r="S1145" i="1" s="1"/>
  <c r="Q1145" i="1"/>
  <c r="T1145" i="1" s="1"/>
  <c r="P898" i="1"/>
  <c r="Q898" i="1"/>
  <c r="O393" i="1"/>
  <c r="O395" i="1"/>
  <c r="P1244" i="1"/>
  <c r="R1244" i="1" s="1"/>
  <c r="S1244" i="1" s="1"/>
  <c r="Q1244" i="1"/>
  <c r="T1244" i="1" s="1"/>
  <c r="P457" i="1"/>
  <c r="R453" i="1" s="1"/>
  <c r="S453" i="1" s="1"/>
  <c r="Q457" i="1"/>
  <c r="P458" i="1"/>
  <c r="Q458" i="1"/>
  <c r="AZ177" i="1"/>
  <c r="BA177" i="1"/>
  <c r="O1266" i="1"/>
  <c r="O1192" i="1"/>
  <c r="O1206" i="1"/>
  <c r="O773" i="1"/>
  <c r="O830" i="1"/>
  <c r="O361" i="1"/>
  <c r="O365" i="1"/>
  <c r="O88" i="1"/>
  <c r="O97" i="1"/>
  <c r="O128" i="1"/>
  <c r="O945" i="1"/>
  <c r="O606" i="1"/>
  <c r="O571" i="1"/>
  <c r="P1104" i="1"/>
  <c r="R1104" i="1" s="1"/>
  <c r="S1104" i="1" s="1"/>
  <c r="AK1104" i="1"/>
  <c r="Q1989" i="1"/>
  <c r="AL1989" i="1"/>
  <c r="AQ527" i="1"/>
  <c r="AQ1102" i="1"/>
  <c r="AQ1104" i="1"/>
  <c r="AQ77" i="1"/>
  <c r="AQ568" i="1"/>
  <c r="AQ940" i="1"/>
  <c r="AQ1134" i="1"/>
  <c r="AQ1327" i="1"/>
  <c r="AQ393" i="1"/>
  <c r="AQ395" i="1"/>
  <c r="AQ102" i="1"/>
  <c r="AQ287" i="1"/>
  <c r="AQ538" i="1"/>
  <c r="AQ1236" i="1"/>
  <c r="AQ261" i="1"/>
  <c r="AQ468" i="1"/>
  <c r="AQ450" i="1"/>
  <c r="AQ467" i="1"/>
  <c r="AQ90" i="1"/>
  <c r="AQ1182" i="1"/>
  <c r="AQ32" i="1"/>
  <c r="AQ60" i="1"/>
  <c r="AQ1018" i="1"/>
  <c r="AQ1020" i="1"/>
  <c r="AQ1224" i="1"/>
  <c r="AQ31" i="1"/>
  <c r="AQ752" i="1"/>
  <c r="AQ731" i="1"/>
  <c r="AQ1022" i="1"/>
  <c r="AQ28" i="1"/>
  <c r="AQ1177" i="1"/>
  <c r="AQ29" i="1"/>
  <c r="AQ753" i="1"/>
  <c r="AQ30" i="1"/>
  <c r="AQ677" i="1"/>
  <c r="AQ459" i="1"/>
  <c r="AQ476" i="1"/>
  <c r="AQ1181" i="1"/>
  <c r="AQ1185" i="1"/>
  <c r="AQ1186" i="1"/>
  <c r="AQ1194" i="1"/>
  <c r="AQ1336" i="1"/>
  <c r="AQ1347" i="1"/>
  <c r="AQ402" i="1"/>
  <c r="AQ784" i="1"/>
  <c r="AQ1340" i="1"/>
  <c r="AQ1343" i="1"/>
  <c r="AQ436" i="1"/>
  <c r="AQ1338" i="1"/>
  <c r="AQ1344" i="1"/>
  <c r="AQ34" i="1"/>
  <c r="AQ439" i="1"/>
  <c r="AQ636" i="1"/>
  <c r="AQ786" i="1"/>
  <c r="AQ939" i="1"/>
  <c r="AQ1058" i="1"/>
  <c r="AQ1220" i="1"/>
  <c r="AQ1346" i="1"/>
  <c r="AQ435" i="1"/>
  <c r="AQ1337" i="1"/>
  <c r="AQ1342" i="1"/>
  <c r="AQ76" i="1"/>
  <c r="AQ785" i="1"/>
  <c r="AQ1339" i="1"/>
  <c r="AQ1345" i="1"/>
  <c r="AQ216" i="1"/>
  <c r="AQ732" i="1"/>
  <c r="AQ1100" i="1"/>
  <c r="AQ672" i="1"/>
  <c r="AQ1247" i="1"/>
  <c r="AQ400" i="1"/>
  <c r="AQ788" i="1"/>
  <c r="AQ739" i="1"/>
  <c r="AQ783" i="1"/>
  <c r="AQ217" i="1"/>
  <c r="AQ440" i="1"/>
  <c r="AQ452" i="1"/>
  <c r="AQ453" i="1"/>
  <c r="AQ746" i="1"/>
  <c r="AQ747" i="1"/>
  <c r="AQ1154" i="1"/>
  <c r="AQ1250" i="1"/>
  <c r="AQ1251" i="1"/>
  <c r="AQ1271" i="1"/>
  <c r="AQ368" i="1"/>
  <c r="AQ733" i="1"/>
  <c r="AQ39" i="1"/>
  <c r="AQ45" i="1"/>
  <c r="AQ466" i="1"/>
  <c r="AQ789" i="1"/>
  <c r="AQ1370" i="1"/>
  <c r="AQ36" i="1"/>
  <c r="AQ38" i="1"/>
  <c r="AQ44" i="1"/>
  <c r="AQ52" i="1"/>
  <c r="AQ404" i="1"/>
  <c r="AQ405" i="1"/>
  <c r="AQ406" i="1"/>
  <c r="AQ407" i="1"/>
  <c r="AQ408" i="1"/>
  <c r="AQ409" i="1"/>
  <c r="AQ442" i="1"/>
  <c r="AQ455" i="1"/>
  <c r="AQ461" i="1"/>
  <c r="AQ754" i="1"/>
  <c r="AQ758" i="1"/>
  <c r="AQ787" i="1"/>
  <c r="AQ1021" i="1"/>
  <c r="AQ1179" i="1"/>
  <c r="AQ444" i="1"/>
  <c r="AQ448" i="1"/>
  <c r="AQ277" i="1"/>
  <c r="AQ403" i="1"/>
  <c r="AQ443" i="1"/>
  <c r="AQ447" i="1"/>
  <c r="AQ454" i="1"/>
  <c r="AQ1257" i="1"/>
  <c r="AQ1269" i="1"/>
  <c r="AQ280" i="1"/>
  <c r="AQ284" i="1"/>
  <c r="AQ285" i="1"/>
  <c r="AQ451" i="1"/>
  <c r="AQ958" i="1"/>
  <c r="AQ394" i="1"/>
  <c r="AQ742" i="1"/>
  <c r="AQ744" i="1"/>
  <c r="AQ33" i="1"/>
  <c r="AQ220" i="1"/>
  <c r="AQ222" i="1"/>
  <c r="AQ410" i="1"/>
  <c r="AQ471" i="1"/>
  <c r="AQ479" i="1"/>
  <c r="AQ480" i="1"/>
  <c r="AQ823" i="1"/>
  <c r="AQ828" i="1"/>
  <c r="AQ1191" i="1"/>
  <c r="AQ1277" i="1"/>
  <c r="AQ1366" i="1"/>
  <c r="AQ12" i="1"/>
  <c r="AQ356" i="1"/>
  <c r="AQ831" i="1"/>
  <c r="AQ1183" i="1"/>
  <c r="AQ1809" i="1"/>
  <c r="AQ1924" i="1"/>
  <c r="AQ379" i="1"/>
  <c r="AQ1060" i="1"/>
  <c r="G52" i="105"/>
  <c r="N526" i="24"/>
  <c r="M526" i="24"/>
  <c r="R526" i="24" s="1"/>
  <c r="CK48" i="92"/>
  <c r="W61" i="64"/>
  <c r="CK47" i="92"/>
  <c r="W60" i="64"/>
  <c r="CK46" i="92"/>
  <c r="W59" i="64"/>
  <c r="CK27" i="92"/>
  <c r="W40" i="64"/>
  <c r="BW48" i="92"/>
  <c r="V61" i="64"/>
  <c r="X61" i="64" s="1"/>
  <c r="BW47" i="92"/>
  <c r="V60" i="64"/>
  <c r="X60" i="64" s="1"/>
  <c r="BW46" i="92"/>
  <c r="V59" i="64"/>
  <c r="X59" i="64" s="1"/>
  <c r="BW27" i="92"/>
  <c r="V40" i="64"/>
  <c r="X40" i="64" s="1"/>
  <c r="S48" i="121"/>
  <c r="C45" i="164" s="1"/>
  <c r="S19" i="121"/>
  <c r="C50" i="164" s="1"/>
  <c r="S18" i="121"/>
  <c r="C39" i="164" s="1"/>
  <c r="S52" i="121"/>
  <c r="C51" i="164" s="1"/>
  <c r="S30" i="121"/>
  <c r="C46" i="164" s="1"/>
  <c r="E55" i="53"/>
  <c r="U18" i="109"/>
  <c r="F17" i="128"/>
  <c r="F21" i="128"/>
  <c r="G21" i="128"/>
  <c r="G20" i="128"/>
  <c r="U52" i="109"/>
  <c r="U19" i="109"/>
  <c r="U48" i="109"/>
  <c r="H49" i="105"/>
  <c r="H47" i="105"/>
  <c r="H34" i="105"/>
  <c r="H29" i="105"/>
  <c r="CM12" i="92"/>
  <c r="CN12" i="92"/>
  <c r="CL13" i="92"/>
  <c r="CM13" i="92"/>
  <c r="CN13" i="92"/>
  <c r="CL23" i="92"/>
  <c r="CM23" i="92"/>
  <c r="CN23" i="92"/>
  <c r="CL24" i="92"/>
  <c r="CM24" i="92"/>
  <c r="CN24" i="92"/>
  <c r="CL21" i="92"/>
  <c r="CM21" i="92"/>
  <c r="CN21" i="92"/>
  <c r="CL43" i="92"/>
  <c r="CM43" i="92"/>
  <c r="CN43" i="92"/>
  <c r="CL36" i="92"/>
  <c r="CM36" i="92"/>
  <c r="CN36" i="92"/>
  <c r="CL29" i="92"/>
  <c r="CM29" i="92"/>
  <c r="CN29" i="92"/>
  <c r="CL16" i="92"/>
  <c r="CM16" i="92"/>
  <c r="CN16" i="92"/>
  <c r="CL34" i="92"/>
  <c r="CM34" i="92"/>
  <c r="CN34" i="92"/>
  <c r="CL22" i="92"/>
  <c r="CM22" i="92"/>
  <c r="CN22" i="92"/>
  <c r="CL26" i="92"/>
  <c r="CM26" i="92"/>
  <c r="CN26" i="92"/>
  <c r="CL33" i="92"/>
  <c r="CM33" i="92"/>
  <c r="CN33" i="92"/>
  <c r="CL20" i="92"/>
  <c r="CM20" i="92"/>
  <c r="CN20" i="92"/>
  <c r="CL45" i="92"/>
  <c r="CM45" i="92"/>
  <c r="CN45" i="92"/>
  <c r="CL39" i="92"/>
  <c r="CM39" i="92"/>
  <c r="CN39" i="92"/>
  <c r="CL41" i="92"/>
  <c r="CM41" i="92"/>
  <c r="CN41" i="92"/>
  <c r="CL18" i="92"/>
  <c r="CM18" i="92"/>
  <c r="CN18" i="92"/>
  <c r="CL38" i="92"/>
  <c r="CM38" i="92"/>
  <c r="CN38" i="92"/>
  <c r="CL35" i="92"/>
  <c r="CM35" i="92"/>
  <c r="CN35" i="92"/>
  <c r="CL25" i="92"/>
  <c r="CM25" i="92"/>
  <c r="CN25" i="92"/>
  <c r="CL15" i="92"/>
  <c r="CM15" i="92"/>
  <c r="CN15" i="92"/>
  <c r="CL14" i="92"/>
  <c r="CM14" i="92"/>
  <c r="CN14" i="92"/>
  <c r="CL28" i="92"/>
  <c r="CM28" i="92"/>
  <c r="CN28" i="92"/>
  <c r="CL42" i="92"/>
  <c r="CM42" i="92"/>
  <c r="CN42" i="92"/>
  <c r="CL30" i="92"/>
  <c r="CM30" i="92"/>
  <c r="CN30" i="92"/>
  <c r="CL31" i="92"/>
  <c r="CM31" i="92"/>
  <c r="CN31" i="92"/>
  <c r="CL44" i="92"/>
  <c r="CM44" i="92"/>
  <c r="CN44" i="92"/>
  <c r="CL40" i="92"/>
  <c r="CM40" i="92"/>
  <c r="CN40" i="92"/>
  <c r="CL19" i="92"/>
  <c r="CM19" i="92"/>
  <c r="CN19" i="92"/>
  <c r="CL37" i="92"/>
  <c r="CM37" i="92"/>
  <c r="CN37" i="92"/>
  <c r="CL32" i="92"/>
  <c r="CM32" i="92"/>
  <c r="CN32" i="92"/>
  <c r="BY12" i="92"/>
  <c r="BZ12" i="92"/>
  <c r="BX13" i="92"/>
  <c r="BY13" i="92"/>
  <c r="BZ13" i="92"/>
  <c r="BX23" i="92"/>
  <c r="BY23" i="92"/>
  <c r="BZ23" i="92"/>
  <c r="BX24" i="92"/>
  <c r="BY24" i="92"/>
  <c r="BZ24" i="92"/>
  <c r="BX21" i="92"/>
  <c r="BY21" i="92"/>
  <c r="BZ21" i="92"/>
  <c r="BX43" i="92"/>
  <c r="BY43" i="92"/>
  <c r="BZ43" i="92"/>
  <c r="BX36" i="92"/>
  <c r="BY36" i="92"/>
  <c r="BZ36" i="92"/>
  <c r="BX29" i="92"/>
  <c r="BY29" i="92"/>
  <c r="BZ29" i="92"/>
  <c r="BX16" i="92"/>
  <c r="BY16" i="92"/>
  <c r="BZ16" i="92"/>
  <c r="BX34" i="92"/>
  <c r="BY34" i="92"/>
  <c r="BZ34" i="92"/>
  <c r="BX22" i="92"/>
  <c r="BY22" i="92"/>
  <c r="BZ22" i="92"/>
  <c r="BX26" i="92"/>
  <c r="BY26" i="92"/>
  <c r="BZ26" i="92"/>
  <c r="BX33" i="92"/>
  <c r="BY33" i="92"/>
  <c r="BZ33" i="92"/>
  <c r="BX20" i="92"/>
  <c r="BY20" i="92"/>
  <c r="BZ20" i="92"/>
  <c r="BX45" i="92"/>
  <c r="BY45" i="92"/>
  <c r="BZ45" i="92"/>
  <c r="BX39" i="92"/>
  <c r="BY39" i="92"/>
  <c r="BZ39" i="92"/>
  <c r="BX41" i="92"/>
  <c r="BY41" i="92"/>
  <c r="BZ41" i="92"/>
  <c r="BX18" i="92"/>
  <c r="BY18" i="92"/>
  <c r="BZ18" i="92"/>
  <c r="BX38" i="92"/>
  <c r="BY38" i="92"/>
  <c r="BZ38" i="92"/>
  <c r="BX35" i="92"/>
  <c r="BY35" i="92"/>
  <c r="BZ35" i="92"/>
  <c r="BX25" i="92"/>
  <c r="BY25" i="92"/>
  <c r="BZ25" i="92"/>
  <c r="BX15" i="92"/>
  <c r="BY15" i="92"/>
  <c r="BZ15" i="92"/>
  <c r="BX14" i="92"/>
  <c r="BY14" i="92"/>
  <c r="BZ14" i="92"/>
  <c r="BX28" i="92"/>
  <c r="BY28" i="92"/>
  <c r="BZ28" i="92"/>
  <c r="BX42" i="92"/>
  <c r="BY42" i="92"/>
  <c r="BZ42" i="92"/>
  <c r="BX30" i="92"/>
  <c r="BY30" i="92"/>
  <c r="BZ30" i="92"/>
  <c r="BX31" i="92"/>
  <c r="BY31" i="92"/>
  <c r="BZ31" i="92"/>
  <c r="BX44" i="92"/>
  <c r="BY44" i="92"/>
  <c r="BZ44" i="92"/>
  <c r="BX40" i="92"/>
  <c r="BY40" i="92"/>
  <c r="BZ40" i="92"/>
  <c r="BX19" i="92"/>
  <c r="BZ19" i="92"/>
  <c r="BX37" i="92"/>
  <c r="BY37" i="92"/>
  <c r="BZ37" i="92"/>
  <c r="BX32" i="92"/>
  <c r="BY32" i="92"/>
  <c r="BZ32" i="92"/>
  <c r="BQ12" i="92"/>
  <c r="BP12" i="92"/>
  <c r="BO12" i="92"/>
  <c r="BN12" i="92"/>
  <c r="H369" i="24"/>
  <c r="H190" i="24"/>
  <c r="AW2" i="1"/>
  <c r="AW1244" i="1" l="1"/>
  <c r="P97" i="1"/>
  <c r="Q97" i="1"/>
  <c r="AW1145" i="1"/>
  <c r="P571" i="1"/>
  <c r="Q571" i="1"/>
  <c r="P606" i="1"/>
  <c r="Q606" i="1"/>
  <c r="P945" i="1"/>
  <c r="Q945" i="1"/>
  <c r="P128" i="1"/>
  <c r="Q128" i="1"/>
  <c r="P773" i="1"/>
  <c r="R773" i="1" s="1"/>
  <c r="S773" i="1" s="1"/>
  <c r="Q773" i="1"/>
  <c r="T773" i="1" s="1"/>
  <c r="AW773" i="1" s="1"/>
  <c r="P1266" i="1"/>
  <c r="Q1266" i="1"/>
  <c r="T1264" i="1" s="1"/>
  <c r="P395" i="1"/>
  <c r="Q395" i="1"/>
  <c r="P393" i="1"/>
  <c r="Q393" i="1"/>
  <c r="P363" i="1"/>
  <c r="Q363" i="1"/>
  <c r="P355" i="1"/>
  <c r="Q355" i="1"/>
  <c r="P353" i="1"/>
  <c r="Q353" i="1"/>
  <c r="P550" i="1"/>
  <c r="Q550" i="1"/>
  <c r="P557" i="1"/>
  <c r="Q557" i="1"/>
  <c r="M45" i="121"/>
  <c r="C12" i="56"/>
  <c r="BR12" i="92"/>
  <c r="AB21" i="64"/>
  <c r="CK32" i="92"/>
  <c r="W43" i="64"/>
  <c r="CK37" i="92"/>
  <c r="W46" i="64"/>
  <c r="CK19" i="92"/>
  <c r="W33" i="64"/>
  <c r="CK40" i="92"/>
  <c r="W54" i="64"/>
  <c r="CK44" i="92"/>
  <c r="W57" i="64"/>
  <c r="CK31" i="92"/>
  <c r="W24" i="64"/>
  <c r="CK30" i="92"/>
  <c r="W42" i="64"/>
  <c r="CK42" i="92"/>
  <c r="W56" i="64"/>
  <c r="CK28" i="92"/>
  <c r="W35" i="64"/>
  <c r="CK14" i="92"/>
  <c r="W27" i="64"/>
  <c r="CK15" i="92"/>
  <c r="W20" i="64"/>
  <c r="CK25" i="92"/>
  <c r="W39" i="64"/>
  <c r="CK35" i="92"/>
  <c r="W45" i="64"/>
  <c r="CK38" i="92"/>
  <c r="W47" i="64"/>
  <c r="CK18" i="92"/>
  <c r="W28" i="64"/>
  <c r="CK41" i="92"/>
  <c r="W55" i="64"/>
  <c r="CK39" i="92"/>
  <c r="W48" i="64"/>
  <c r="CK45" i="92"/>
  <c r="W58" i="64"/>
  <c r="CK20" i="92"/>
  <c r="W25" i="64"/>
  <c r="CK33" i="92"/>
  <c r="W44" i="64"/>
  <c r="CK26" i="92"/>
  <c r="W26" i="64"/>
  <c r="CK22" i="92"/>
  <c r="W29" i="64"/>
  <c r="CK34" i="92"/>
  <c r="W34" i="64"/>
  <c r="CK16" i="92"/>
  <c r="W36" i="64"/>
  <c r="CK29" i="92"/>
  <c r="W41" i="64"/>
  <c r="CK36" i="92"/>
  <c r="W23" i="64"/>
  <c r="CK43" i="92"/>
  <c r="W30" i="64"/>
  <c r="CK21" i="92"/>
  <c r="W22" i="64"/>
  <c r="CK24" i="92"/>
  <c r="W32" i="64"/>
  <c r="CK23" i="92"/>
  <c r="W38" i="64"/>
  <c r="CK13" i="92"/>
  <c r="W31" i="64"/>
  <c r="CK12" i="92"/>
  <c r="W21" i="64"/>
  <c r="BW32" i="92"/>
  <c r="V43" i="64"/>
  <c r="X43" i="64" s="1"/>
  <c r="BW37" i="92"/>
  <c r="V46" i="64"/>
  <c r="X46" i="64" s="1"/>
  <c r="BW19" i="92"/>
  <c r="V33" i="64"/>
  <c r="X33" i="64" s="1"/>
  <c r="BW40" i="92"/>
  <c r="V54" i="64"/>
  <c r="X54" i="64" s="1"/>
  <c r="BW44" i="92"/>
  <c r="V57" i="64"/>
  <c r="X57" i="64" s="1"/>
  <c r="BW31" i="92"/>
  <c r="V24" i="64"/>
  <c r="X24" i="64" s="1"/>
  <c r="BW30" i="92"/>
  <c r="V42" i="64"/>
  <c r="X42" i="64" s="1"/>
  <c r="BW42" i="92"/>
  <c r="V56" i="64"/>
  <c r="X56" i="64" s="1"/>
  <c r="BW28" i="92"/>
  <c r="V35" i="64"/>
  <c r="X35" i="64" s="1"/>
  <c r="BW14" i="92"/>
  <c r="V27" i="64"/>
  <c r="X27" i="64" s="1"/>
  <c r="BW15" i="92"/>
  <c r="V20" i="64"/>
  <c r="BW25" i="92"/>
  <c r="V39" i="64"/>
  <c r="X39" i="64" s="1"/>
  <c r="BW35" i="92"/>
  <c r="V45" i="64"/>
  <c r="X45" i="64" s="1"/>
  <c r="BW38" i="92"/>
  <c r="V47" i="64"/>
  <c r="X47" i="64" s="1"/>
  <c r="BW18" i="92"/>
  <c r="V28" i="64"/>
  <c r="X28" i="64" s="1"/>
  <c r="BW41" i="92"/>
  <c r="V55" i="64"/>
  <c r="X55" i="64" s="1"/>
  <c r="BW39" i="92"/>
  <c r="V48" i="64"/>
  <c r="X48" i="64" s="1"/>
  <c r="BW45" i="92"/>
  <c r="V58" i="64"/>
  <c r="X58" i="64" s="1"/>
  <c r="BW20" i="92"/>
  <c r="V25" i="64"/>
  <c r="X25" i="64" s="1"/>
  <c r="BW33" i="92"/>
  <c r="V44" i="64"/>
  <c r="X44" i="64" s="1"/>
  <c r="BW26" i="92"/>
  <c r="V26" i="64"/>
  <c r="X26" i="64" s="1"/>
  <c r="BW22" i="92"/>
  <c r="V29" i="64"/>
  <c r="X29" i="64" s="1"/>
  <c r="BW34" i="92"/>
  <c r="V34" i="64"/>
  <c r="X34" i="64" s="1"/>
  <c r="BW16" i="92"/>
  <c r="V36" i="64"/>
  <c r="X36" i="64" s="1"/>
  <c r="BW29" i="92"/>
  <c r="V41" i="64"/>
  <c r="X41" i="64" s="1"/>
  <c r="BW36" i="92"/>
  <c r="V23" i="64"/>
  <c r="BW43" i="92"/>
  <c r="V30" i="64"/>
  <c r="X30" i="64" s="1"/>
  <c r="BW21" i="92"/>
  <c r="V22" i="64"/>
  <c r="X22" i="64" s="1"/>
  <c r="BW24" i="92"/>
  <c r="V32" i="64"/>
  <c r="X32" i="64" s="1"/>
  <c r="BW23" i="92"/>
  <c r="V38" i="64"/>
  <c r="X38" i="64" s="1"/>
  <c r="BW13" i="92"/>
  <c r="V31" i="64"/>
  <c r="X31" i="64" s="1"/>
  <c r="BW12" i="92"/>
  <c r="V21" i="64"/>
  <c r="X21" i="64" s="1"/>
  <c r="U53" i="109"/>
  <c r="U22" i="109"/>
  <c r="U42" i="109"/>
  <c r="U21" i="109"/>
  <c r="V22" i="111"/>
  <c r="V42" i="111"/>
  <c r="V21" i="111"/>
  <c r="F13" i="140"/>
  <c r="N34" i="121"/>
  <c r="S53" i="121"/>
  <c r="C47" i="164" s="1"/>
  <c r="S43" i="121"/>
  <c r="C43" i="164" s="1"/>
  <c r="S16" i="121"/>
  <c r="C37" i="164" s="1"/>
  <c r="S23" i="121"/>
  <c r="S14" i="121"/>
  <c r="C41" i="164" s="1"/>
  <c r="S35" i="121"/>
  <c r="C36" i="164" s="1"/>
  <c r="S42" i="121"/>
  <c r="C42" i="164" s="1"/>
  <c r="S28" i="121"/>
  <c r="C48" i="164" s="1"/>
  <c r="S38" i="121"/>
  <c r="C40" i="164" s="1"/>
  <c r="S32" i="121"/>
  <c r="C44" i="164" s="1"/>
  <c r="S15" i="121"/>
  <c r="C29" i="164" s="1"/>
  <c r="S24" i="121"/>
  <c r="C38" i="164" s="1"/>
  <c r="C55" i="53"/>
  <c r="C41" i="104"/>
  <c r="H42" i="140"/>
  <c r="C35" i="104"/>
  <c r="C29" i="104"/>
  <c r="H36" i="140"/>
  <c r="C52" i="104"/>
  <c r="H53" i="140"/>
  <c r="G22" i="128"/>
  <c r="E55" i="121"/>
  <c r="E55" i="111"/>
  <c r="D55" i="109"/>
  <c r="F55" i="121"/>
  <c r="M39" i="95"/>
  <c r="M25" i="95"/>
  <c r="M44" i="95"/>
  <c r="M14" i="95"/>
  <c r="M35" i="95"/>
  <c r="M43" i="95"/>
  <c r="M18" i="95"/>
  <c r="M31" i="95"/>
  <c r="M24" i="95"/>
  <c r="M38" i="95"/>
  <c r="M21" i="95"/>
  <c r="M42" i="95"/>
  <c r="M12" i="95"/>
  <c r="M32" i="95"/>
  <c r="M41" i="95"/>
  <c r="M19" i="95"/>
  <c r="M22" i="95"/>
  <c r="M26" i="95"/>
  <c r="M13" i="95"/>
  <c r="M33" i="95"/>
  <c r="M20" i="95"/>
  <c r="M37" i="95"/>
  <c r="H27" i="105"/>
  <c r="H14" i="105"/>
  <c r="H13" i="140" s="1"/>
  <c r="H23" i="105"/>
  <c r="H48" i="105"/>
  <c r="BL52" i="92"/>
  <c r="BK52" i="92"/>
  <c r="BJ52" i="92"/>
  <c r="BI52" i="92"/>
  <c r="BL51" i="92"/>
  <c r="BK51" i="92"/>
  <c r="BJ51" i="92"/>
  <c r="BI51" i="92"/>
  <c r="AX52" i="92"/>
  <c r="AW52" i="92"/>
  <c r="AV52" i="92"/>
  <c r="AU52" i="92"/>
  <c r="AU51" i="92"/>
  <c r="AX51" i="92"/>
  <c r="AW51" i="92"/>
  <c r="AV51" i="92"/>
  <c r="G509" i="24"/>
  <c r="O1150" i="1" s="1"/>
  <c r="P1150" i="1" s="1"/>
  <c r="R1150" i="1" s="1"/>
  <c r="S1150" i="1" s="1"/>
  <c r="AR2" i="1"/>
  <c r="F17" i="105" s="1"/>
  <c r="AZ94" i="1" l="1"/>
  <c r="BA94" i="1"/>
  <c r="M41" i="109"/>
  <c r="N41" i="111"/>
  <c r="AZ353" i="1"/>
  <c r="BA353" i="1"/>
  <c r="AZ355" i="1"/>
  <c r="BA355" i="1"/>
  <c r="AZ363" i="1"/>
  <c r="BA363" i="1"/>
  <c r="BA125" i="1"/>
  <c r="AZ125" i="1"/>
  <c r="AZ930" i="1"/>
  <c r="BA930" i="1"/>
  <c r="X23" i="64"/>
  <c r="V16" i="64"/>
  <c r="W16" i="64"/>
  <c r="X16" i="64" s="1"/>
  <c r="X20" i="64"/>
  <c r="L45" i="109"/>
  <c r="M45" i="111"/>
  <c r="R45" i="174"/>
  <c r="F45" i="15"/>
  <c r="R45" i="15"/>
  <c r="F45" i="174"/>
  <c r="G45" i="174" s="1"/>
  <c r="J45" i="174" s="1"/>
  <c r="O29" i="109"/>
  <c r="R29" i="174"/>
  <c r="P29" i="111"/>
  <c r="V29" i="111" s="1"/>
  <c r="R29" i="15"/>
  <c r="F29" i="15"/>
  <c r="E48" i="39" s="1"/>
  <c r="G48" i="39" s="1"/>
  <c r="F29" i="174"/>
  <c r="G29" i="174" s="1"/>
  <c r="J29" i="174" s="1"/>
  <c r="H25" i="109"/>
  <c r="D16" i="178"/>
  <c r="F16" i="178" s="1"/>
  <c r="D15" i="117"/>
  <c r="E25" i="174"/>
  <c r="G25" i="174" s="1"/>
  <c r="J25" i="174" s="1"/>
  <c r="E25" i="15"/>
  <c r="G41" i="109"/>
  <c r="H41" i="111"/>
  <c r="F41" i="174"/>
  <c r="R41" i="174"/>
  <c r="F41" i="15"/>
  <c r="R41" i="15"/>
  <c r="N40" i="109"/>
  <c r="E40" i="174"/>
  <c r="G40" i="174" s="1"/>
  <c r="J40" i="174" s="1"/>
  <c r="E40" i="15"/>
  <c r="U29" i="109"/>
  <c r="F58" i="105"/>
  <c r="F20" i="140"/>
  <c r="U15" i="109"/>
  <c r="V15" i="111"/>
  <c r="C42" i="104"/>
  <c r="H43" i="140"/>
  <c r="C37" i="104"/>
  <c r="C28" i="104"/>
  <c r="C12" i="104"/>
  <c r="C15" i="104"/>
  <c r="M30" i="95"/>
  <c r="M17" i="95"/>
  <c r="M40" i="95"/>
  <c r="M28" i="95"/>
  <c r="M36" i="95"/>
  <c r="M16" i="95"/>
  <c r="L19" i="95"/>
  <c r="K32" i="95"/>
  <c r="G29" i="15" l="1"/>
  <c r="J29" i="15" s="1"/>
  <c r="C42" i="36"/>
  <c r="E37" i="48"/>
  <c r="S29" i="174"/>
  <c r="S45" i="174"/>
  <c r="F59" i="105"/>
  <c r="F60" i="105" s="1"/>
  <c r="E48" i="10"/>
  <c r="S29" i="15"/>
  <c r="D22" i="128"/>
  <c r="H22" i="128" s="1"/>
  <c r="F39" i="140"/>
  <c r="F57" i="140" s="1"/>
  <c r="C49" i="12"/>
  <c r="F48" i="10"/>
  <c r="F37" i="48"/>
  <c r="G41" i="174" l="1"/>
  <c r="J41" i="174" s="1"/>
  <c r="F58" i="140"/>
  <c r="F59" i="140" s="1"/>
  <c r="C39" i="38"/>
  <c r="E39" i="38" s="1"/>
  <c r="C32" i="8"/>
  <c r="C44" i="32"/>
  <c r="G318" i="24"/>
  <c r="O1389" i="1" s="1"/>
  <c r="G338" i="24"/>
  <c r="O1267" i="1" s="1"/>
  <c r="G315" i="24"/>
  <c r="G386" i="24"/>
  <c r="O901" i="1" s="1"/>
  <c r="P901" i="1" l="1"/>
  <c r="R898" i="1" s="1"/>
  <c r="S898" i="1" s="1"/>
  <c r="Q901" i="1"/>
  <c r="T898" i="1" s="1"/>
  <c r="AW898" i="1" s="1"/>
  <c r="O1700" i="1"/>
  <c r="O987" i="1"/>
  <c r="P1267" i="1"/>
  <c r="R1267" i="1" s="1"/>
  <c r="S1267" i="1" s="1"/>
  <c r="Q1267" i="1"/>
  <c r="T1267" i="1" s="1"/>
  <c r="AW1267" i="1" s="1"/>
  <c r="P1389" i="1"/>
  <c r="Q1389" i="1"/>
  <c r="S41" i="174"/>
  <c r="H386" i="24"/>
  <c r="H338" i="24"/>
  <c r="G339" i="24"/>
  <c r="O1388" i="1" s="1"/>
  <c r="P1388" i="1" l="1"/>
  <c r="R1386" i="1" s="1"/>
  <c r="S1386" i="1" s="1"/>
  <c r="Q1388" i="1"/>
  <c r="T1386" i="1" s="1"/>
  <c r="AW1386" i="1" s="1"/>
  <c r="P987" i="1"/>
  <c r="Q987" i="1"/>
  <c r="P1700" i="1"/>
  <c r="Q1700" i="1"/>
  <c r="O37" i="121"/>
  <c r="M1366" i="1"/>
  <c r="AZ987" i="1" l="1"/>
  <c r="BA987" i="1"/>
  <c r="P1366" i="1"/>
  <c r="AK1366" i="1"/>
  <c r="H50" i="121"/>
  <c r="M46" i="109"/>
  <c r="N46" i="111"/>
  <c r="N34" i="111"/>
  <c r="M34" i="109"/>
  <c r="R34" i="174"/>
  <c r="R34" i="15"/>
  <c r="O51" i="121"/>
  <c r="G32" i="105"/>
  <c r="G28" i="140" s="1"/>
  <c r="N402" i="24"/>
  <c r="M402" i="24"/>
  <c r="R402" i="24" s="1"/>
  <c r="H905" i="1"/>
  <c r="H42" i="105"/>
  <c r="H45" i="105"/>
  <c r="G35" i="140"/>
  <c r="G22" i="140"/>
  <c r="G23" i="140"/>
  <c r="G31" i="140"/>
  <c r="F18" i="128"/>
  <c r="V24" i="111"/>
  <c r="S22" i="121"/>
  <c r="C31" i="164" s="1"/>
  <c r="R905" i="1" l="1"/>
  <c r="S905" i="1" s="1"/>
  <c r="T905" i="1" s="1"/>
  <c r="AW905" i="1" s="1"/>
  <c r="AZ905" i="1"/>
  <c r="BA905" i="1"/>
  <c r="H50" i="111"/>
  <c r="G50" i="109"/>
  <c r="G14" i="140"/>
  <c r="H43" i="105"/>
  <c r="H32" i="105"/>
  <c r="C27" i="104" s="1"/>
  <c r="G58" i="105"/>
  <c r="G21" i="140"/>
  <c r="G27" i="140"/>
  <c r="G40" i="140"/>
  <c r="G47" i="140"/>
  <c r="G20" i="140"/>
  <c r="G39" i="140"/>
  <c r="H18" i="105"/>
  <c r="G49" i="140"/>
  <c r="H33" i="105"/>
  <c r="H23" i="140" s="1"/>
  <c r="G50" i="140"/>
  <c r="H50" i="105"/>
  <c r="G37" i="140"/>
  <c r="H37" i="105"/>
  <c r="G33" i="140"/>
  <c r="H30" i="105"/>
  <c r="H31" i="140" s="1"/>
  <c r="G26" i="140"/>
  <c r="H46" i="105"/>
  <c r="G15" i="140"/>
  <c r="H26" i="105"/>
  <c r="G38" i="140"/>
  <c r="H21" i="105"/>
  <c r="G44" i="140"/>
  <c r="H54" i="105"/>
  <c r="G17" i="140"/>
  <c r="H16" i="105"/>
  <c r="G24" i="140"/>
  <c r="H25" i="105"/>
  <c r="G52" i="140"/>
  <c r="H52" i="105"/>
  <c r="G30" i="140"/>
  <c r="H39" i="105"/>
  <c r="G19" i="140"/>
  <c r="H15" i="105"/>
  <c r="G34" i="140"/>
  <c r="H22" i="105"/>
  <c r="G18" i="140"/>
  <c r="H20" i="105"/>
  <c r="G51" i="140"/>
  <c r="G46" i="140"/>
  <c r="H51" i="105"/>
  <c r="G48" i="140"/>
  <c r="H55" i="105"/>
  <c r="G45" i="140"/>
  <c r="H24" i="105"/>
  <c r="H22" i="140" s="1"/>
  <c r="G16" i="140"/>
  <c r="H28" i="105"/>
  <c r="G29" i="140"/>
  <c r="G54" i="140"/>
  <c r="H53" i="105"/>
  <c r="G25" i="140"/>
  <c r="H41" i="105"/>
  <c r="H35" i="140" s="1"/>
  <c r="G32" i="140"/>
  <c r="H19" i="105"/>
  <c r="G41" i="140"/>
  <c r="H35" i="105"/>
  <c r="S47" i="121"/>
  <c r="C19" i="164" s="1"/>
  <c r="U54" i="109"/>
  <c r="V43" i="111"/>
  <c r="V13" i="111"/>
  <c r="S31" i="121"/>
  <c r="C18" i="164" s="1"/>
  <c r="S46" i="121"/>
  <c r="C27" i="164" s="1"/>
  <c r="F14" i="128"/>
  <c r="U28" i="109"/>
  <c r="U30" i="109"/>
  <c r="S21" i="121"/>
  <c r="C24" i="164" s="1"/>
  <c r="H419" i="24"/>
  <c r="H68" i="24"/>
  <c r="D19" i="48" l="1"/>
  <c r="V23" i="109"/>
  <c r="E23" i="174"/>
  <c r="G23" i="174" s="1"/>
  <c r="J23" i="174" s="1"/>
  <c r="E23" i="15"/>
  <c r="N34" i="109"/>
  <c r="U32" i="109"/>
  <c r="V32" i="111"/>
  <c r="H28" i="140"/>
  <c r="C13" i="104"/>
  <c r="H14" i="140"/>
  <c r="C34" i="104"/>
  <c r="H25" i="140"/>
  <c r="C21" i="104"/>
  <c r="H45" i="140"/>
  <c r="C18" i="104"/>
  <c r="H18" i="140"/>
  <c r="C46" i="104"/>
  <c r="H52" i="140"/>
  <c r="H38" i="140"/>
  <c r="C33" i="104"/>
  <c r="C40" i="104"/>
  <c r="C53" i="104"/>
  <c r="H54" i="140"/>
  <c r="C49" i="104"/>
  <c r="H48" i="140"/>
  <c r="C20" i="104"/>
  <c r="H34" i="140"/>
  <c r="C23" i="104"/>
  <c r="H24" i="140"/>
  <c r="H15" i="140"/>
  <c r="C14" i="104"/>
  <c r="H50" i="140"/>
  <c r="C50" i="104"/>
  <c r="C47" i="104"/>
  <c r="H41" i="140"/>
  <c r="C26" i="104"/>
  <c r="H29" i="140"/>
  <c r="H46" i="140"/>
  <c r="C48" i="104"/>
  <c r="C17" i="104"/>
  <c r="H19" i="140"/>
  <c r="H17" i="140"/>
  <c r="C30" i="104"/>
  <c r="H26" i="140"/>
  <c r="C25" i="104"/>
  <c r="H49" i="140"/>
  <c r="C22" i="104"/>
  <c r="G58" i="140"/>
  <c r="G59" i="140" s="1"/>
  <c r="G57" i="140"/>
  <c r="C16" i="104"/>
  <c r="H32" i="140"/>
  <c r="H16" i="140"/>
  <c r="C44" i="104"/>
  <c r="C51" i="104"/>
  <c r="H51" i="140"/>
  <c r="C24" i="104"/>
  <c r="H30" i="140"/>
  <c r="C45" i="104"/>
  <c r="C32" i="104"/>
  <c r="C19" i="104"/>
  <c r="S34" i="121"/>
  <c r="C30" i="164" s="1"/>
  <c r="O55" i="121"/>
  <c r="F20" i="128"/>
  <c r="S44" i="121"/>
  <c r="C23" i="164" s="1"/>
  <c r="AW985" i="1"/>
  <c r="U43" i="109"/>
  <c r="S20" i="121"/>
  <c r="C21" i="164" s="1"/>
  <c r="S40" i="121"/>
  <c r="C15" i="164" s="1"/>
  <c r="V49" i="111"/>
  <c r="S33" i="121"/>
  <c r="C35" i="164" s="1"/>
  <c r="S41" i="121"/>
  <c r="C34" i="164" s="1"/>
  <c r="S17" i="121"/>
  <c r="C22" i="164" s="1"/>
  <c r="S27" i="121"/>
  <c r="C32" i="164" s="1"/>
  <c r="S37" i="121"/>
  <c r="C16" i="164" s="1"/>
  <c r="D21" i="128"/>
  <c r="H21" i="128" s="1"/>
  <c r="U47" i="109"/>
  <c r="V47" i="111"/>
  <c r="V40" i="111"/>
  <c r="V31" i="111"/>
  <c r="F15" i="128"/>
  <c r="U40" i="109"/>
  <c r="H40" i="105"/>
  <c r="H37" i="140" s="1"/>
  <c r="H36" i="105"/>
  <c r="H38" i="105"/>
  <c r="H44" i="140" s="1"/>
  <c r="H31" i="105"/>
  <c r="H33" i="140" s="1"/>
  <c r="V45" i="111" l="1"/>
  <c r="U31" i="109"/>
  <c r="U25" i="109"/>
  <c r="U45" i="109"/>
  <c r="U49" i="109"/>
  <c r="U41" i="109"/>
  <c r="V41" i="111"/>
  <c r="V20" i="111"/>
  <c r="S45" i="121"/>
  <c r="C28" i="164" s="1"/>
  <c r="S39" i="121"/>
  <c r="C26" i="164" s="1"/>
  <c r="S25" i="121"/>
  <c r="C20" i="164" s="1"/>
  <c r="S49" i="121"/>
  <c r="C33" i="164" s="1"/>
  <c r="S50" i="121"/>
  <c r="C17" i="164" s="1"/>
  <c r="C31" i="104"/>
  <c r="H40" i="140"/>
  <c r="C43" i="104"/>
  <c r="H47" i="140"/>
  <c r="C39" i="104"/>
  <c r="H21" i="140"/>
  <c r="C36" i="104"/>
  <c r="H27" i="140"/>
  <c r="E15" i="128"/>
  <c r="V25" i="111"/>
  <c r="U27" i="109"/>
  <c r="V27" i="111"/>
  <c r="U16" i="109"/>
  <c r="V16" i="111"/>
  <c r="U33" i="109"/>
  <c r="V33" i="111"/>
  <c r="V14" i="111"/>
  <c r="U44" i="109"/>
  <c r="V44" i="111"/>
  <c r="U39" i="109"/>
  <c r="U38" i="109"/>
  <c r="U20" i="109"/>
  <c r="H17" i="105"/>
  <c r="H58" i="105" s="1"/>
  <c r="G59" i="105"/>
  <c r="G60" i="105" s="1"/>
  <c r="L37" i="111" l="1"/>
  <c r="AW990" i="1"/>
  <c r="V39" i="111"/>
  <c r="V38" i="111"/>
  <c r="H20" i="140"/>
  <c r="H39" i="140"/>
  <c r="F13" i="128"/>
  <c r="E13" i="128"/>
  <c r="H59" i="105"/>
  <c r="H60" i="105" s="1"/>
  <c r="C38" i="104"/>
  <c r="C55" i="104" s="1"/>
  <c r="AQ1" i="1"/>
  <c r="F28" i="128" l="1"/>
  <c r="H58" i="140"/>
  <c r="H59" i="140" s="1"/>
  <c r="H57" i="140"/>
  <c r="BU27" i="92"/>
  <c r="O37" i="109" l="1"/>
  <c r="P37" i="111"/>
  <c r="R37" i="174"/>
  <c r="F37" i="174"/>
  <c r="F37" i="15"/>
  <c r="D22" i="178"/>
  <c r="D21" i="117"/>
  <c r="N14" i="109"/>
  <c r="BU14" i="92"/>
  <c r="BU19" i="92"/>
  <c r="BU23" i="92"/>
  <c r="BU16" i="92"/>
  <c r="BU13" i="92"/>
  <c r="BU24" i="92"/>
  <c r="BU21" i="92"/>
  <c r="BU22" i="92"/>
  <c r="BU26" i="92"/>
  <c r="BU20" i="92"/>
  <c r="BU18" i="92"/>
  <c r="BU25" i="92"/>
  <c r="BU15" i="92"/>
  <c r="BU28" i="92"/>
  <c r="BU29" i="92"/>
  <c r="BU31" i="92"/>
  <c r="BU37" i="92"/>
  <c r="BU39" i="92"/>
  <c r="BU40" i="92"/>
  <c r="BU44" i="92"/>
  <c r="BU46" i="92"/>
  <c r="BU47" i="92"/>
  <c r="BU48" i="92"/>
  <c r="J21" i="64" l="1"/>
  <c r="H55" i="121"/>
  <c r="V37" i="111"/>
  <c r="BU43" i="92"/>
  <c r="BU36" i="92"/>
  <c r="BU34" i="92"/>
  <c r="BU33" i="92"/>
  <c r="BU45" i="92"/>
  <c r="BU41" i="92"/>
  <c r="BU38" i="92"/>
  <c r="BU35" i="92"/>
  <c r="BU42" i="92"/>
  <c r="BU30" i="92"/>
  <c r="BU32" i="92"/>
  <c r="BU12" i="92"/>
  <c r="D38" i="56"/>
  <c r="G309" i="24"/>
  <c r="H305" i="24"/>
  <c r="H36" i="24"/>
  <c r="H35" i="24"/>
  <c r="H56" i="24"/>
  <c r="H40" i="24"/>
  <c r="H485" i="24"/>
  <c r="H497" i="24"/>
  <c r="H59" i="24"/>
  <c r="H118" i="24"/>
  <c r="H308" i="24"/>
  <c r="H491" i="24"/>
  <c r="H303" i="24"/>
  <c r="H304" i="24"/>
  <c r="H300" i="24"/>
  <c r="H299" i="24"/>
  <c r="H488" i="24"/>
  <c r="H32" i="24"/>
  <c r="J480" i="24"/>
  <c r="H480" i="24"/>
  <c r="H297" i="24"/>
  <c r="R37" i="15"/>
  <c r="CJ48" i="92"/>
  <c r="CE48" i="92"/>
  <c r="CD48" i="92"/>
  <c r="CC48" i="92"/>
  <c r="BV48" i="92"/>
  <c r="BT48" i="92"/>
  <c r="BQ48" i="92"/>
  <c r="BP48" i="92"/>
  <c r="BO48" i="92"/>
  <c r="BN48" i="92"/>
  <c r="CJ47" i="92"/>
  <c r="CE47" i="92"/>
  <c r="CD47" i="92"/>
  <c r="CC47" i="92"/>
  <c r="BV47" i="92"/>
  <c r="BT47" i="92"/>
  <c r="BQ47" i="92"/>
  <c r="BP47" i="92"/>
  <c r="BO47" i="92"/>
  <c r="BN47" i="92"/>
  <c r="CJ46" i="92"/>
  <c r="CE46" i="92"/>
  <c r="CD46" i="92"/>
  <c r="CC46" i="92"/>
  <c r="BV46" i="92"/>
  <c r="BT46" i="92"/>
  <c r="BQ46" i="92"/>
  <c r="BP46" i="92"/>
  <c r="BO46" i="92"/>
  <c r="BN46" i="92"/>
  <c r="CJ27" i="92"/>
  <c r="CH27" i="92"/>
  <c r="CE27" i="92"/>
  <c r="CD27" i="92"/>
  <c r="CC27" i="92"/>
  <c r="BV27" i="92"/>
  <c r="BT27" i="92"/>
  <c r="BQ27" i="92"/>
  <c r="BP27" i="92"/>
  <c r="BO27" i="92"/>
  <c r="BN27" i="92"/>
  <c r="AN90" i="1" l="1"/>
  <c r="AN1182" i="1"/>
  <c r="O1644" i="1"/>
  <c r="P1644" i="1" s="1"/>
  <c r="O1586" i="1"/>
  <c r="D23" i="156"/>
  <c r="Q14" i="109"/>
  <c r="E14" i="174"/>
  <c r="G14" i="174" s="1"/>
  <c r="J14" i="174" s="1"/>
  <c r="E14" i="15"/>
  <c r="M51" i="111"/>
  <c r="L51" i="109"/>
  <c r="E20" i="178"/>
  <c r="F20" i="178" s="1"/>
  <c r="E19" i="117"/>
  <c r="D25" i="178"/>
  <c r="F25" i="178" s="1"/>
  <c r="D24" i="117"/>
  <c r="F24" i="117" s="1"/>
  <c r="Q55" i="109"/>
  <c r="CF27" i="92"/>
  <c r="AC40" i="64"/>
  <c r="CF46" i="92"/>
  <c r="AC59" i="64"/>
  <c r="CF47" i="92"/>
  <c r="AC60" i="64"/>
  <c r="CF48" i="92"/>
  <c r="AC61" i="64"/>
  <c r="BR27" i="92"/>
  <c r="AB40" i="64"/>
  <c r="AD40" i="64" s="1"/>
  <c r="BR46" i="92"/>
  <c r="AB59" i="64"/>
  <c r="BR47" i="92"/>
  <c r="AB60" i="64"/>
  <c r="AD60" i="64" s="1"/>
  <c r="BR48" i="92"/>
  <c r="AB61" i="64"/>
  <c r="AD61" i="64" s="1"/>
  <c r="CB27" i="92"/>
  <c r="Q40" i="64"/>
  <c r="CB46" i="92"/>
  <c r="Q59" i="64"/>
  <c r="CB47" i="92"/>
  <c r="Q60" i="64"/>
  <c r="CB48" i="92"/>
  <c r="Q61" i="64"/>
  <c r="K36" i="64"/>
  <c r="CI27" i="92"/>
  <c r="CH46" i="92"/>
  <c r="K59" i="64"/>
  <c r="CI46" i="92"/>
  <c r="CH47" i="92"/>
  <c r="K60" i="64"/>
  <c r="CI47" i="92"/>
  <c r="CH48" i="92"/>
  <c r="K61" i="64"/>
  <c r="CI48" i="92"/>
  <c r="K20" i="64"/>
  <c r="CI12" i="92"/>
  <c r="E22" i="128"/>
  <c r="I55" i="121"/>
  <c r="P55" i="111"/>
  <c r="C22" i="128" s="1"/>
  <c r="J15" i="95"/>
  <c r="J12" i="95"/>
  <c r="AG52" i="92"/>
  <c r="AG51" i="92"/>
  <c r="AH52" i="92"/>
  <c r="AH51" i="92"/>
  <c r="BX51" i="92" s="1"/>
  <c r="AI52" i="92"/>
  <c r="H309" i="24"/>
  <c r="H385" i="24"/>
  <c r="AQ27" i="92"/>
  <c r="AQ47" i="92"/>
  <c r="BE47" i="92"/>
  <c r="BE48" i="92"/>
  <c r="BE27" i="92"/>
  <c r="AQ46" i="92"/>
  <c r="BE46" i="92"/>
  <c r="AQ48" i="92"/>
  <c r="P1586" i="1" l="1"/>
  <c r="Q1586" i="1"/>
  <c r="AZ1616" i="1"/>
  <c r="BA1616" i="1"/>
  <c r="AD59" i="64"/>
  <c r="L51" i="121"/>
  <c r="L55" i="121" s="1"/>
  <c r="S37" i="174"/>
  <c r="U14" i="109"/>
  <c r="E22" i="156"/>
  <c r="M51" i="121"/>
  <c r="G19" i="128"/>
  <c r="D19" i="128"/>
  <c r="K43" i="95"/>
  <c r="K35" i="95"/>
  <c r="CK52" i="92"/>
  <c r="BW52" i="92"/>
  <c r="K16" i="95"/>
  <c r="N40" i="95"/>
  <c r="K41" i="95"/>
  <c r="N25" i="95"/>
  <c r="K15" i="95"/>
  <c r="K25" i="95"/>
  <c r="L16" i="95"/>
  <c r="K19" i="95"/>
  <c r="CM52" i="92"/>
  <c r="BY52" i="92"/>
  <c r="L30" i="95"/>
  <c r="L41" i="95"/>
  <c r="K26" i="95"/>
  <c r="L22" i="95"/>
  <c r="L27" i="95"/>
  <c r="L14" i="95"/>
  <c r="N26" i="95"/>
  <c r="CL51" i="92"/>
  <c r="K39" i="95"/>
  <c r="K34" i="95"/>
  <c r="K28" i="95"/>
  <c r="K17" i="95"/>
  <c r="K12" i="95"/>
  <c r="K13" i="95"/>
  <c r="K14" i="95"/>
  <c r="L39" i="95"/>
  <c r="L44" i="95"/>
  <c r="L31" i="95"/>
  <c r="L28" i="95"/>
  <c r="L17" i="95"/>
  <c r="L12" i="95"/>
  <c r="K27" i="95"/>
  <c r="L42" i="95"/>
  <c r="L26" i="95"/>
  <c r="K44" i="95"/>
  <c r="CL52" i="92"/>
  <c r="BX52" i="92"/>
  <c r="L43" i="95"/>
  <c r="K24" i="95"/>
  <c r="M15" i="95"/>
  <c r="K36" i="95"/>
  <c r="L13" i="95"/>
  <c r="N42" i="95"/>
  <c r="N15" i="95"/>
  <c r="L24" i="95"/>
  <c r="L18" i="95"/>
  <c r="K22" i="95"/>
  <c r="CK51" i="92"/>
  <c r="BW51" i="92"/>
  <c r="K30" i="95"/>
  <c r="K33" i="95"/>
  <c r="L38" i="95"/>
  <c r="K37" i="95"/>
  <c r="K40" i="95"/>
  <c r="K42" i="95"/>
  <c r="L15" i="95"/>
  <c r="K38" i="95"/>
  <c r="L36" i="95"/>
  <c r="K21" i="95"/>
  <c r="K18" i="95"/>
  <c r="L32" i="95"/>
  <c r="L34" i="95"/>
  <c r="K20" i="95"/>
  <c r="L33" i="95"/>
  <c r="K31" i="95"/>
  <c r="L37" i="95"/>
  <c r="L40" i="95"/>
  <c r="L25" i="95"/>
  <c r="L35" i="95"/>
  <c r="L21" i="95"/>
  <c r="N19" i="95"/>
  <c r="M34" i="95"/>
  <c r="L20" i="95"/>
  <c r="AJ51" i="92"/>
  <c r="AJ52" i="92"/>
  <c r="G476" i="24"/>
  <c r="O1265" i="1" s="1"/>
  <c r="P1265" i="1" s="1"/>
  <c r="R1264" i="1" s="1"/>
  <c r="S1264" i="1" s="1"/>
  <c r="AW1264" i="1" s="1"/>
  <c r="H19" i="128" l="1"/>
  <c r="K29" i="95"/>
  <c r="N14" i="95"/>
  <c r="N20" i="95"/>
  <c r="N17" i="95"/>
  <c r="N41" i="95"/>
  <c r="N13" i="95"/>
  <c r="N22" i="95"/>
  <c r="N24" i="95"/>
  <c r="N12" i="95"/>
  <c r="BZ51" i="92"/>
  <c r="CN51" i="92"/>
  <c r="N36" i="95"/>
  <c r="N39" i="95"/>
  <c r="N28" i="95"/>
  <c r="N32" i="95"/>
  <c r="CN52" i="92"/>
  <c r="BZ52" i="92"/>
  <c r="N33" i="95"/>
  <c r="N44" i="95"/>
  <c r="N43" i="95"/>
  <c r="N16" i="95"/>
  <c r="N31" i="95"/>
  <c r="L29" i="95"/>
  <c r="M23" i="95"/>
  <c r="N27" i="95"/>
  <c r="N37" i="95"/>
  <c r="N34" i="95"/>
  <c r="N35" i="95"/>
  <c r="N18" i="95"/>
  <c r="L23" i="95"/>
  <c r="N38" i="95"/>
  <c r="N21" i="95"/>
  <c r="N30" i="95"/>
  <c r="K23" i="95"/>
  <c r="AI51" i="92"/>
  <c r="D37" i="15" l="1"/>
  <c r="C18" i="126"/>
  <c r="C28" i="126" s="1"/>
  <c r="C18" i="117"/>
  <c r="C28" i="117" s="1"/>
  <c r="D18" i="53"/>
  <c r="C20" i="56" s="1"/>
  <c r="C19" i="178"/>
  <c r="D37" i="174"/>
  <c r="G37" i="174" s="1"/>
  <c r="J37" i="174" s="1"/>
  <c r="K37" i="109"/>
  <c r="U37" i="109" s="1"/>
  <c r="CM51" i="92"/>
  <c r="BY51" i="92"/>
  <c r="N29" i="95"/>
  <c r="M27" i="95"/>
  <c r="N23" i="95"/>
  <c r="K46" i="109" l="1"/>
  <c r="L46" i="111"/>
  <c r="C29" i="178"/>
  <c r="AW1278" i="1"/>
  <c r="D55" i="174"/>
  <c r="D55" i="53"/>
  <c r="G18" i="53"/>
  <c r="M29" i="95"/>
  <c r="U46" i="109" l="1"/>
  <c r="V46" i="111"/>
  <c r="W46" i="111" l="1"/>
  <c r="V46" i="109"/>
  <c r="V55" i="109" s="1"/>
  <c r="F46" i="174"/>
  <c r="G46" i="174" s="1"/>
  <c r="J46" i="174" s="1"/>
  <c r="F46" i="15"/>
  <c r="E18" i="128"/>
  <c r="H292" i="24"/>
  <c r="W55" i="111" l="1"/>
  <c r="K2" i="1"/>
  <c r="G178" i="24"/>
  <c r="O640" i="1" l="1"/>
  <c r="O641" i="1"/>
  <c r="Q2" i="1"/>
  <c r="P2" i="1"/>
  <c r="G46" i="24"/>
  <c r="O863" i="1" s="1"/>
  <c r="G42" i="24"/>
  <c r="O862" i="1" s="1"/>
  <c r="G44" i="24"/>
  <c r="O861" i="1" s="1"/>
  <c r="G27" i="24"/>
  <c r="O864" i="1" s="1"/>
  <c r="AM2" i="1"/>
  <c r="P864" i="1" l="1"/>
  <c r="Q864" i="1"/>
  <c r="P861" i="1"/>
  <c r="Q861" i="1"/>
  <c r="P862" i="1"/>
  <c r="Q862" i="1"/>
  <c r="P863" i="1"/>
  <c r="Q863" i="1"/>
  <c r="P641" i="1"/>
  <c r="Q641" i="1"/>
  <c r="P640" i="1"/>
  <c r="Q640" i="1"/>
  <c r="M26" i="121"/>
  <c r="O2" i="1"/>
  <c r="AZ629" i="1" l="1"/>
  <c r="BA629" i="1"/>
  <c r="AZ630" i="1"/>
  <c r="BA630" i="1"/>
  <c r="AZ861" i="1"/>
  <c r="BA861" i="1"/>
  <c r="J26" i="121"/>
  <c r="M55" i="121"/>
  <c r="N55" i="121"/>
  <c r="AJ2" i="1"/>
  <c r="AL2" i="1" s="1"/>
  <c r="J55" i="121" l="1"/>
  <c r="S26" i="121"/>
  <c r="C14" i="164" s="1"/>
  <c r="K55" i="121"/>
  <c r="AK2" i="1"/>
  <c r="C51" i="36"/>
  <c r="H247" i="24"/>
  <c r="H92" i="24"/>
  <c r="C13" i="164" l="1"/>
  <c r="S52" i="15"/>
  <c r="E29" i="48"/>
  <c r="AC2" i="1" l="1"/>
  <c r="K51" i="111" l="1"/>
  <c r="J51" i="109"/>
  <c r="E17" i="117"/>
  <c r="E18" i="178"/>
  <c r="G51" i="109"/>
  <c r="H51" i="111"/>
  <c r="E14" i="117"/>
  <c r="E15" i="178"/>
  <c r="F51" i="174"/>
  <c r="R51" i="15"/>
  <c r="J33" i="146"/>
  <c r="F51" i="15"/>
  <c r="G51" i="111"/>
  <c r="R51" i="174"/>
  <c r="E13" i="117"/>
  <c r="F51" i="109"/>
  <c r="E14" i="178"/>
  <c r="R46" i="174"/>
  <c r="S46" i="174" s="1"/>
  <c r="R46" i="15"/>
  <c r="E19" i="178"/>
  <c r="F19" i="178" s="1"/>
  <c r="L51" i="111"/>
  <c r="K51" i="109"/>
  <c r="E18" i="117"/>
  <c r="J51" i="111"/>
  <c r="I51" i="109"/>
  <c r="E17" i="178"/>
  <c r="F17" i="178" s="1"/>
  <c r="E16" i="117"/>
  <c r="F18" i="178"/>
  <c r="AB15" i="92"/>
  <c r="W52" i="92"/>
  <c r="I13" i="141" s="1"/>
  <c r="Q13" i="141" s="1"/>
  <c r="AC51" i="92"/>
  <c r="N15" i="141" s="1"/>
  <c r="Q15" i="141" s="1"/>
  <c r="Z52" i="92"/>
  <c r="AD52" i="92"/>
  <c r="I19" i="141" s="1"/>
  <c r="Q19" i="141" s="1"/>
  <c r="AC52" i="92"/>
  <c r="I16" i="141" s="1"/>
  <c r="Q16" i="141" s="1"/>
  <c r="Z51" i="92"/>
  <c r="AA52" i="92"/>
  <c r="W51" i="92"/>
  <c r="Y52" i="92"/>
  <c r="X52" i="92"/>
  <c r="AD51" i="92"/>
  <c r="N18" i="141" s="1"/>
  <c r="Q18" i="141" s="1"/>
  <c r="AE52" i="92"/>
  <c r="Y51" i="92"/>
  <c r="X51" i="92"/>
  <c r="AA51" i="92"/>
  <c r="AB23" i="92"/>
  <c r="AB16" i="92"/>
  <c r="AB18" i="92"/>
  <c r="AB21" i="92"/>
  <c r="AB12" i="92"/>
  <c r="AB44" i="92"/>
  <c r="AB22" i="92"/>
  <c r="AB36" i="92"/>
  <c r="AB45" i="92"/>
  <c r="AB26" i="92"/>
  <c r="AB17" i="92"/>
  <c r="AB38" i="92"/>
  <c r="AB41" i="92"/>
  <c r="AB20" i="92"/>
  <c r="AB31" i="92"/>
  <c r="AB28" i="92"/>
  <c r="AB46" i="92"/>
  <c r="AB24" i="92"/>
  <c r="AB40" i="92"/>
  <c r="AB32" i="92"/>
  <c r="AB25" i="92"/>
  <c r="AB29" i="92"/>
  <c r="AB42" i="92"/>
  <c r="AB30" i="92"/>
  <c r="AB13" i="92"/>
  <c r="AB43" i="92"/>
  <c r="AB48" i="92"/>
  <c r="AB39" i="92"/>
  <c r="AB33" i="92"/>
  <c r="AB47" i="92"/>
  <c r="AB14" i="92"/>
  <c r="AB37" i="92"/>
  <c r="AB27" i="92"/>
  <c r="AB34" i="92"/>
  <c r="AB19" i="92"/>
  <c r="AB35" i="92"/>
  <c r="S2" i="1"/>
  <c r="F13" i="109" l="1"/>
  <c r="U13" i="109" s="1"/>
  <c r="E13" i="174"/>
  <c r="G13" i="174" s="1"/>
  <c r="E13" i="15"/>
  <c r="D14" i="178"/>
  <c r="D13" i="117"/>
  <c r="E14" i="177"/>
  <c r="D14" i="177"/>
  <c r="C14" i="177"/>
  <c r="F15" i="178"/>
  <c r="S51" i="174"/>
  <c r="G51" i="174"/>
  <c r="J51" i="174" s="1"/>
  <c r="BS48" i="92"/>
  <c r="CG48" i="92"/>
  <c r="CG46" i="92"/>
  <c r="BS46" i="92"/>
  <c r="BS27" i="92"/>
  <c r="CG27" i="92"/>
  <c r="BS47" i="92"/>
  <c r="CG47" i="92"/>
  <c r="G12" i="128"/>
  <c r="N12" i="141"/>
  <c r="Q12" i="141" s="1"/>
  <c r="E37" i="95"/>
  <c r="G37" i="95"/>
  <c r="J13" i="95"/>
  <c r="J35" i="95"/>
  <c r="J39" i="95"/>
  <c r="J32" i="95"/>
  <c r="J26" i="95"/>
  <c r="J27" i="95"/>
  <c r="J18" i="95"/>
  <c r="J14" i="95"/>
  <c r="J22" i="95"/>
  <c r="D37" i="95"/>
  <c r="H37" i="95"/>
  <c r="J31" i="95"/>
  <c r="J30" i="95"/>
  <c r="J16" i="95"/>
  <c r="J25" i="95"/>
  <c r="J21" i="95"/>
  <c r="J38" i="95"/>
  <c r="J36" i="95"/>
  <c r="J44" i="95"/>
  <c r="J20" i="95"/>
  <c r="J41" i="95"/>
  <c r="J40" i="95"/>
  <c r="J28" i="95"/>
  <c r="AE51" i="92"/>
  <c r="I37" i="95"/>
  <c r="H27" i="95"/>
  <c r="J37" i="95"/>
  <c r="J42" i="95"/>
  <c r="J33" i="95"/>
  <c r="J17" i="95"/>
  <c r="J43" i="95"/>
  <c r="J34" i="95"/>
  <c r="J19" i="95"/>
  <c r="J24" i="95"/>
  <c r="F16" i="117"/>
  <c r="D15" i="128"/>
  <c r="F15" i="117"/>
  <c r="I55" i="109"/>
  <c r="H55" i="109"/>
  <c r="AW952" i="1"/>
  <c r="AB52" i="92"/>
  <c r="AB51" i="92"/>
  <c r="F14" i="177" l="1"/>
  <c r="D13" i="177"/>
  <c r="E13" i="177"/>
  <c r="F14" i="178"/>
  <c r="C13" i="177"/>
  <c r="D29" i="178"/>
  <c r="J13" i="174"/>
  <c r="O32" i="146"/>
  <c r="O33" i="146"/>
  <c r="F37" i="95"/>
  <c r="I18" i="150"/>
  <c r="I19" i="150"/>
  <c r="I15" i="150"/>
  <c r="I14" i="150"/>
  <c r="I13" i="150"/>
  <c r="I12" i="150"/>
  <c r="I17" i="150"/>
  <c r="I16" i="150"/>
  <c r="G14" i="128"/>
  <c r="D14" i="128"/>
  <c r="G16" i="128"/>
  <c r="D16" i="128"/>
  <c r="G17" i="128"/>
  <c r="D17" i="128"/>
  <c r="G18" i="128"/>
  <c r="D18" i="128"/>
  <c r="I55" i="111"/>
  <c r="C15" i="128" s="1"/>
  <c r="G15" i="128"/>
  <c r="H15" i="128" s="1"/>
  <c r="C37" i="95"/>
  <c r="J55" i="111"/>
  <c r="L55" i="111"/>
  <c r="C18" i="128" s="1"/>
  <c r="M35" i="109" l="1"/>
  <c r="N35" i="111"/>
  <c r="F13" i="177"/>
  <c r="H18" i="128"/>
  <c r="H14" i="128"/>
  <c r="C16" i="128"/>
  <c r="E16" i="128"/>
  <c r="H17" i="128"/>
  <c r="H16" i="128"/>
  <c r="H55" i="15"/>
  <c r="AO2" i="1"/>
  <c r="CU17" i="92" l="1"/>
  <c r="CS17" i="92"/>
  <c r="CR17" i="92"/>
  <c r="CQ17" i="92"/>
  <c r="CP17" i="92"/>
  <c r="F19" i="131"/>
  <c r="F68" i="131" s="1"/>
  <c r="CX17" i="92"/>
  <c r="CW17" i="92"/>
  <c r="CV17" i="92"/>
  <c r="BL17" i="92"/>
  <c r="CN17" i="92" s="1"/>
  <c r="BI17" i="92"/>
  <c r="BF17" i="92"/>
  <c r="E77" i="179" s="1"/>
  <c r="BB17" i="92"/>
  <c r="CD17" i="92" s="1"/>
  <c r="AX17" i="92"/>
  <c r="BZ17" i="92" s="1"/>
  <c r="AU17" i="92"/>
  <c r="AR17" i="92"/>
  <c r="AN17" i="92"/>
  <c r="BP17" i="92" s="1"/>
  <c r="BK17" i="92"/>
  <c r="CM17" i="92" s="1"/>
  <c r="BH17" i="92"/>
  <c r="CJ17" i="92" s="1"/>
  <c r="BD17" i="92"/>
  <c r="AW82" i="179" s="1"/>
  <c r="BA17" i="92"/>
  <c r="CC17" i="92" s="1"/>
  <c r="AW17" i="92"/>
  <c r="BY17" i="92" s="1"/>
  <c r="AT17" i="92"/>
  <c r="BV17" i="92" s="1"/>
  <c r="AP17" i="92"/>
  <c r="AV82" i="179" s="1"/>
  <c r="AM17" i="92"/>
  <c r="BO17" i="92" s="1"/>
  <c r="BJ17" i="92"/>
  <c r="CL17" i="92" s="1"/>
  <c r="BG17" i="92"/>
  <c r="P73" i="179" s="1"/>
  <c r="BC17" i="92"/>
  <c r="CE17" i="92" s="1"/>
  <c r="AZ17" i="92"/>
  <c r="AA81" i="179" s="1"/>
  <c r="AV17" i="92"/>
  <c r="BX17" i="92" s="1"/>
  <c r="AS17" i="92"/>
  <c r="AO17" i="92"/>
  <c r="BQ17" i="92" s="1"/>
  <c r="AL17" i="92"/>
  <c r="F20" i="131"/>
  <c r="F69" i="131" s="1"/>
  <c r="F18" i="131"/>
  <c r="F67" i="131" s="1"/>
  <c r="H20" i="131"/>
  <c r="H69" i="131" s="1"/>
  <c r="H19" i="131"/>
  <c r="H68" i="131" s="1"/>
  <c r="H18" i="131"/>
  <c r="H67" i="131" s="1"/>
  <c r="G67" i="131"/>
  <c r="G68" i="131"/>
  <c r="G69" i="131"/>
  <c r="AW953" i="1"/>
  <c r="BO29" i="92"/>
  <c r="CJ29" i="92"/>
  <c r="BN29" i="92"/>
  <c r="BV29" i="92"/>
  <c r="CH29" i="92"/>
  <c r="BT29" i="92"/>
  <c r="CE29" i="92"/>
  <c r="CD29" i="92"/>
  <c r="CC29" i="92"/>
  <c r="BQ29" i="92"/>
  <c r="BP29" i="92"/>
  <c r="BO37" i="92"/>
  <c r="CJ37" i="92"/>
  <c r="BN37" i="92"/>
  <c r="BV37" i="92"/>
  <c r="CH37" i="92"/>
  <c r="BT37" i="92"/>
  <c r="CE37" i="92"/>
  <c r="BP37" i="92"/>
  <c r="CD37" i="92"/>
  <c r="CC37" i="92"/>
  <c r="BQ37" i="92"/>
  <c r="CD12" i="92"/>
  <c r="CC12" i="92"/>
  <c r="BV12" i="92"/>
  <c r="CJ12" i="92"/>
  <c r="CE12" i="92"/>
  <c r="BO21" i="92"/>
  <c r="CJ21" i="92"/>
  <c r="BN21" i="92"/>
  <c r="BV21" i="92"/>
  <c r="CH21" i="92"/>
  <c r="BT21" i="92"/>
  <c r="CE21" i="92"/>
  <c r="CD21" i="92"/>
  <c r="CC21" i="92"/>
  <c r="BQ21" i="92"/>
  <c r="BP21" i="92"/>
  <c r="BV34" i="92"/>
  <c r="CH34" i="92"/>
  <c r="BT34" i="92"/>
  <c r="CE34" i="92"/>
  <c r="CD34" i="92"/>
  <c r="BQ34" i="92"/>
  <c r="CC34" i="92"/>
  <c r="BP34" i="92"/>
  <c r="CJ34" i="92"/>
  <c r="BO34" i="92"/>
  <c r="BN34" i="92"/>
  <c r="BV14" i="92"/>
  <c r="CH14" i="92"/>
  <c r="BT14" i="92"/>
  <c r="CD14" i="92"/>
  <c r="BQ14" i="92"/>
  <c r="BP14" i="92"/>
  <c r="BO14" i="92"/>
  <c r="CJ14" i="92"/>
  <c r="BN14" i="92"/>
  <c r="CE14" i="92"/>
  <c r="CC14" i="92"/>
  <c r="CD16" i="92"/>
  <c r="BQ16" i="92"/>
  <c r="CC16" i="92"/>
  <c r="BP16" i="92"/>
  <c r="BO16" i="92"/>
  <c r="BV16" i="92"/>
  <c r="CJ16" i="92"/>
  <c r="BN16" i="92"/>
  <c r="CH16" i="92"/>
  <c r="CE16" i="92"/>
  <c r="BT16" i="92"/>
  <c r="BT39" i="92"/>
  <c r="CE39" i="92"/>
  <c r="CD39" i="92"/>
  <c r="BQ39" i="92"/>
  <c r="CC39" i="92"/>
  <c r="BP39" i="92"/>
  <c r="BO39" i="92"/>
  <c r="CJ39" i="92"/>
  <c r="BN39" i="92"/>
  <c r="CH39" i="92"/>
  <c r="BV39" i="92"/>
  <c r="BT42" i="92"/>
  <c r="CE42" i="92"/>
  <c r="CD42" i="92"/>
  <c r="BQ42" i="92"/>
  <c r="CC42" i="92"/>
  <c r="BP42" i="92"/>
  <c r="BO42" i="92"/>
  <c r="CJ42" i="92"/>
  <c r="BN42" i="92"/>
  <c r="CH42" i="92"/>
  <c r="BV42" i="92"/>
  <c r="BT31" i="92"/>
  <c r="CE31" i="92"/>
  <c r="CD31" i="92"/>
  <c r="BQ31" i="92"/>
  <c r="CC31" i="92"/>
  <c r="BP31" i="92"/>
  <c r="Q21" i="64"/>
  <c r="BO31" i="92"/>
  <c r="CJ31" i="92"/>
  <c r="BN31" i="92"/>
  <c r="CH31" i="92"/>
  <c r="BV31" i="92"/>
  <c r="BV22" i="92"/>
  <c r="CH22" i="92"/>
  <c r="BT22" i="92"/>
  <c r="CE22" i="92"/>
  <c r="CD22" i="92"/>
  <c r="BQ22" i="92"/>
  <c r="CC22" i="92"/>
  <c r="BP22" i="92"/>
  <c r="BO22" i="92"/>
  <c r="BN22" i="92"/>
  <c r="CJ22" i="92"/>
  <c r="BV26" i="92"/>
  <c r="CH26" i="92"/>
  <c r="BT26" i="92"/>
  <c r="CE26" i="92"/>
  <c r="CD26" i="92"/>
  <c r="BQ26" i="92"/>
  <c r="CC26" i="92"/>
  <c r="BP26" i="92"/>
  <c r="BN26" i="92"/>
  <c r="CJ26" i="92"/>
  <c r="BO26" i="92"/>
  <c r="BT23" i="92"/>
  <c r="CE23" i="92"/>
  <c r="CD23" i="92"/>
  <c r="BQ23" i="92"/>
  <c r="CC23" i="92"/>
  <c r="BP23" i="92"/>
  <c r="BO23" i="92"/>
  <c r="CJ23" i="92"/>
  <c r="BN23" i="92"/>
  <c r="CH23" i="92"/>
  <c r="BV23" i="92"/>
  <c r="CD43" i="92"/>
  <c r="BQ43" i="92"/>
  <c r="CC43" i="92"/>
  <c r="BP43" i="92"/>
  <c r="Q26" i="64"/>
  <c r="BO43" i="92"/>
  <c r="CJ43" i="92"/>
  <c r="BN43" i="92"/>
  <c r="BV43" i="92"/>
  <c r="CE43" i="92"/>
  <c r="BT43" i="92"/>
  <c r="CD20" i="92"/>
  <c r="BQ20" i="92"/>
  <c r="CC20" i="92"/>
  <c r="BP20" i="92"/>
  <c r="BO20" i="92"/>
  <c r="CJ20" i="92"/>
  <c r="BV20" i="92"/>
  <c r="CH20" i="92"/>
  <c r="CE20" i="92"/>
  <c r="BT20" i="92"/>
  <c r="BN20" i="92"/>
  <c r="BV18" i="92"/>
  <c r="BT18" i="92"/>
  <c r="CD18" i="92"/>
  <c r="BQ18" i="92"/>
  <c r="CC18" i="92"/>
  <c r="BP18" i="92"/>
  <c r="BO18" i="92"/>
  <c r="BN18" i="92"/>
  <c r="CJ18" i="92"/>
  <c r="CE18" i="92"/>
  <c r="BO25" i="92"/>
  <c r="CJ25" i="92"/>
  <c r="BN25" i="92"/>
  <c r="BV25" i="92"/>
  <c r="BT25" i="92"/>
  <c r="CE25" i="92"/>
  <c r="CD25" i="92"/>
  <c r="CC25" i="92"/>
  <c r="BQ25" i="92"/>
  <c r="BP25" i="92"/>
  <c r="CD40" i="92"/>
  <c r="BQ40" i="92"/>
  <c r="CC40" i="92"/>
  <c r="BP40" i="92"/>
  <c r="BO40" i="92"/>
  <c r="CJ40" i="92"/>
  <c r="BN40" i="92"/>
  <c r="BV40" i="92"/>
  <c r="CH40" i="92"/>
  <c r="CE40" i="92"/>
  <c r="BT40" i="92"/>
  <c r="BT19" i="92"/>
  <c r="CE19" i="92"/>
  <c r="CD19" i="92"/>
  <c r="BQ19" i="92"/>
  <c r="BO19" i="92"/>
  <c r="CJ19" i="92"/>
  <c r="BN19" i="92"/>
  <c r="BP19" i="92"/>
  <c r="CH19" i="92"/>
  <c r="CC19" i="92"/>
  <c r="BV19" i="92"/>
  <c r="CD32" i="92"/>
  <c r="BQ32" i="92"/>
  <c r="CC32" i="92"/>
  <c r="BP32" i="92"/>
  <c r="BO32" i="92"/>
  <c r="CJ32" i="92"/>
  <c r="BN32" i="92"/>
  <c r="BV32" i="92"/>
  <c r="CH32" i="92"/>
  <c r="CE32" i="92"/>
  <c r="BT32" i="92"/>
  <c r="BT15" i="92"/>
  <c r="CE15" i="92"/>
  <c r="CD15" i="92"/>
  <c r="BQ15" i="92"/>
  <c r="BO15" i="92"/>
  <c r="BP15" i="92"/>
  <c r="CJ15" i="92"/>
  <c r="BN15" i="92"/>
  <c r="CH15" i="92"/>
  <c r="CC15" i="92"/>
  <c r="BV15" i="92"/>
  <c r="BV30" i="92"/>
  <c r="CH30" i="92"/>
  <c r="BT30" i="92"/>
  <c r="CE30" i="92"/>
  <c r="CD30" i="92"/>
  <c r="BQ30" i="92"/>
  <c r="CC30" i="92"/>
  <c r="BP30" i="92"/>
  <c r="BN30" i="92"/>
  <c r="CJ30" i="92"/>
  <c r="BO30" i="92"/>
  <c r="CD24" i="92"/>
  <c r="BQ24" i="92"/>
  <c r="CC24" i="92"/>
  <c r="BP24" i="92"/>
  <c r="BO24" i="92"/>
  <c r="CJ24" i="92"/>
  <c r="BN24" i="92"/>
  <c r="BV24" i="92"/>
  <c r="CH24" i="92"/>
  <c r="CE24" i="92"/>
  <c r="BT24" i="92"/>
  <c r="BV45" i="92"/>
  <c r="BT45" i="92"/>
  <c r="CE45" i="92"/>
  <c r="CD45" i="92"/>
  <c r="BQ45" i="92"/>
  <c r="CC45" i="92"/>
  <c r="BP45" i="92"/>
  <c r="BO45" i="92"/>
  <c r="BN45" i="92"/>
  <c r="CJ45" i="92"/>
  <c r="CI41" i="92"/>
  <c r="BV41" i="92"/>
  <c r="CH41" i="92"/>
  <c r="BT41" i="92"/>
  <c r="CE41" i="92"/>
  <c r="CD41" i="92"/>
  <c r="BQ41" i="92"/>
  <c r="CC41" i="92"/>
  <c r="BP41" i="92"/>
  <c r="CJ41" i="92"/>
  <c r="BO41" i="92"/>
  <c r="BN41" i="92"/>
  <c r="BT35" i="92"/>
  <c r="CE35" i="92"/>
  <c r="CD35" i="92"/>
  <c r="BQ35" i="92"/>
  <c r="CC35" i="92"/>
  <c r="BP35" i="92"/>
  <c r="BO35" i="92"/>
  <c r="CJ35" i="92"/>
  <c r="BN35" i="92"/>
  <c r="CH35" i="92"/>
  <c r="BV35" i="92"/>
  <c r="BO13" i="92"/>
  <c r="CJ13" i="92"/>
  <c r="BN13" i="92"/>
  <c r="CD13" i="92"/>
  <c r="CC13" i="92"/>
  <c r="BV13" i="92"/>
  <c r="BT13" i="92"/>
  <c r="BQ13" i="92"/>
  <c r="CE13" i="92"/>
  <c r="BP13" i="92"/>
  <c r="CD36" i="92"/>
  <c r="BQ36" i="92"/>
  <c r="CC36" i="92"/>
  <c r="BP36" i="92"/>
  <c r="BO36" i="92"/>
  <c r="CJ36" i="92"/>
  <c r="BN36" i="92"/>
  <c r="BV36" i="92"/>
  <c r="CH36" i="92"/>
  <c r="CE36" i="92"/>
  <c r="BT36" i="92"/>
  <c r="BO33" i="92"/>
  <c r="CJ33" i="92"/>
  <c r="BN33" i="92"/>
  <c r="BV33" i="92"/>
  <c r="CH33" i="92"/>
  <c r="BT33" i="92"/>
  <c r="CE33" i="92"/>
  <c r="CC33" i="92"/>
  <c r="BQ33" i="92"/>
  <c r="BP33" i="92"/>
  <c r="CD33" i="92"/>
  <c r="BV38" i="92"/>
  <c r="BT38" i="92"/>
  <c r="CE38" i="92"/>
  <c r="CD38" i="92"/>
  <c r="BQ38" i="92"/>
  <c r="CC38" i="92"/>
  <c r="BP38" i="92"/>
  <c r="CJ38" i="92"/>
  <c r="Q47" i="64"/>
  <c r="BO38" i="92"/>
  <c r="BN38" i="92"/>
  <c r="Q57" i="64"/>
  <c r="BO44" i="92"/>
  <c r="CJ44" i="92"/>
  <c r="BN44" i="92"/>
  <c r="BV44" i="92"/>
  <c r="BT44" i="92"/>
  <c r="CE44" i="92"/>
  <c r="CD44" i="92"/>
  <c r="CC44" i="92"/>
  <c r="BQ44" i="92"/>
  <c r="BP44" i="92"/>
  <c r="AK82" i="179" l="1"/>
  <c r="AL82" i="179"/>
  <c r="AL60" i="179" s="1"/>
  <c r="AA58" i="179"/>
  <c r="AA60" i="179"/>
  <c r="P60" i="179"/>
  <c r="P58" i="179"/>
  <c r="AX82" i="179"/>
  <c r="AV60" i="179"/>
  <c r="AV58" i="179"/>
  <c r="AW58" i="179"/>
  <c r="AX58" i="179" s="1"/>
  <c r="AW60" i="179"/>
  <c r="AM82" i="179"/>
  <c r="AK60" i="179"/>
  <c r="AK58" i="179"/>
  <c r="E60" i="179"/>
  <c r="E58" i="179"/>
  <c r="AL58" i="179"/>
  <c r="AM58" i="179" s="1"/>
  <c r="BN17" i="92"/>
  <c r="Z81" i="179"/>
  <c r="BU17" i="92"/>
  <c r="O73" i="179"/>
  <c r="BT17" i="92"/>
  <c r="D77" i="179"/>
  <c r="CF44" i="92"/>
  <c r="AC57" i="64"/>
  <c r="CF38" i="92"/>
  <c r="AC47" i="64"/>
  <c r="CF33" i="92"/>
  <c r="AC44" i="64"/>
  <c r="CF36" i="92"/>
  <c r="AC27" i="64"/>
  <c r="CF13" i="92"/>
  <c r="AC29" i="64"/>
  <c r="CF17" i="92"/>
  <c r="AC37" i="64"/>
  <c r="CF35" i="92"/>
  <c r="AC45" i="64"/>
  <c r="CF41" i="92"/>
  <c r="AC55" i="64"/>
  <c r="CF45" i="92"/>
  <c r="AC58" i="64"/>
  <c r="CF24" i="92"/>
  <c r="AC24" i="64"/>
  <c r="CF30" i="92"/>
  <c r="AC42" i="64"/>
  <c r="CF15" i="92"/>
  <c r="AC22" i="64"/>
  <c r="CF32" i="92"/>
  <c r="AC43" i="64"/>
  <c r="CF19" i="92"/>
  <c r="AC31" i="64"/>
  <c r="CF40" i="92"/>
  <c r="AC54" i="64"/>
  <c r="CF25" i="92"/>
  <c r="AC23" i="64"/>
  <c r="CF18" i="92"/>
  <c r="AC38" i="64"/>
  <c r="CF20" i="92"/>
  <c r="AC20" i="64"/>
  <c r="CF43" i="92"/>
  <c r="AC26" i="64"/>
  <c r="CF23" i="92"/>
  <c r="AC39" i="64"/>
  <c r="CF26" i="92"/>
  <c r="AC32" i="64"/>
  <c r="CF22" i="92"/>
  <c r="AC25" i="64"/>
  <c r="CF31" i="92"/>
  <c r="AC28" i="64"/>
  <c r="CF42" i="92"/>
  <c r="AC56" i="64"/>
  <c r="CF39" i="92"/>
  <c r="AC48" i="64"/>
  <c r="CF16" i="92"/>
  <c r="AC36" i="64"/>
  <c r="CF14" i="92"/>
  <c r="AC35" i="64"/>
  <c r="CF34" i="92"/>
  <c r="AC33" i="64"/>
  <c r="CF21" i="92"/>
  <c r="AC30" i="64"/>
  <c r="CF12" i="92"/>
  <c r="AC21" i="64"/>
  <c r="AD21" i="64" s="1"/>
  <c r="CF37" i="92"/>
  <c r="AC46" i="64"/>
  <c r="CF29" i="92"/>
  <c r="AC41" i="64"/>
  <c r="BR44" i="92"/>
  <c r="AB57" i="64"/>
  <c r="AD57" i="64" s="1"/>
  <c r="BR38" i="92"/>
  <c r="AB47" i="64"/>
  <c r="AD47" i="64" s="1"/>
  <c r="BR33" i="92"/>
  <c r="AB44" i="64"/>
  <c r="AD44" i="64" s="1"/>
  <c r="BR36" i="92"/>
  <c r="AB27" i="64"/>
  <c r="AD27" i="64" s="1"/>
  <c r="BR13" i="92"/>
  <c r="AB29" i="64"/>
  <c r="AD29" i="64" s="1"/>
  <c r="BR17" i="92"/>
  <c r="AB37" i="64"/>
  <c r="AD37" i="64" s="1"/>
  <c r="BR35" i="92"/>
  <c r="AB45" i="64"/>
  <c r="AD45" i="64" s="1"/>
  <c r="BR41" i="92"/>
  <c r="AB55" i="64"/>
  <c r="AD55" i="64" s="1"/>
  <c r="BR45" i="92"/>
  <c r="AB58" i="64"/>
  <c r="AD58" i="64" s="1"/>
  <c r="BR24" i="92"/>
  <c r="AB24" i="64"/>
  <c r="AD24" i="64" s="1"/>
  <c r="BR30" i="92"/>
  <c r="AB42" i="64"/>
  <c r="AD42" i="64" s="1"/>
  <c r="BR15" i="92"/>
  <c r="AB22" i="64"/>
  <c r="AD22" i="64" s="1"/>
  <c r="BR32" i="92"/>
  <c r="AB43" i="64"/>
  <c r="AD43" i="64" s="1"/>
  <c r="BR19" i="92"/>
  <c r="AB31" i="64"/>
  <c r="AD31" i="64" s="1"/>
  <c r="BR40" i="92"/>
  <c r="AB54" i="64"/>
  <c r="AD54" i="64" s="1"/>
  <c r="BR25" i="92"/>
  <c r="AB23" i="64"/>
  <c r="AD23" i="64" s="1"/>
  <c r="BR18" i="92"/>
  <c r="AB38" i="64"/>
  <c r="AD38" i="64" s="1"/>
  <c r="BR20" i="92"/>
  <c r="AB20" i="64"/>
  <c r="BR43" i="92"/>
  <c r="AB26" i="64"/>
  <c r="AD26" i="64" s="1"/>
  <c r="BR23" i="92"/>
  <c r="AB39" i="64"/>
  <c r="AD39" i="64" s="1"/>
  <c r="BR26" i="92"/>
  <c r="AB32" i="64"/>
  <c r="AD32" i="64" s="1"/>
  <c r="BR22" i="92"/>
  <c r="AB25" i="64"/>
  <c r="BR31" i="92"/>
  <c r="AB28" i="64"/>
  <c r="AD28" i="64" s="1"/>
  <c r="BR42" i="92"/>
  <c r="AB56" i="64"/>
  <c r="AD56" i="64" s="1"/>
  <c r="BR39" i="92"/>
  <c r="AB48" i="64"/>
  <c r="AD48" i="64" s="1"/>
  <c r="BR16" i="92"/>
  <c r="AB36" i="64"/>
  <c r="AD36" i="64" s="1"/>
  <c r="BR14" i="92"/>
  <c r="AB35" i="64"/>
  <c r="AD35" i="64" s="1"/>
  <c r="BR34" i="92"/>
  <c r="AB33" i="64"/>
  <c r="AD33" i="64" s="1"/>
  <c r="BR21" i="92"/>
  <c r="AB30" i="64"/>
  <c r="AD30" i="64" s="1"/>
  <c r="BR37" i="92"/>
  <c r="AB46" i="64"/>
  <c r="AD46" i="64" s="1"/>
  <c r="BR29" i="92"/>
  <c r="AB41" i="64"/>
  <c r="CK17" i="92"/>
  <c r="W37" i="64"/>
  <c r="BW17" i="92"/>
  <c r="V37" i="64"/>
  <c r="CB33" i="92"/>
  <c r="Q43" i="64"/>
  <c r="CB36" i="92"/>
  <c r="Q45" i="64"/>
  <c r="CB13" i="92"/>
  <c r="Q27" i="64"/>
  <c r="CB17" i="92"/>
  <c r="Q36" i="64"/>
  <c r="CB35" i="92"/>
  <c r="Q44" i="64"/>
  <c r="CB41" i="92"/>
  <c r="Q55" i="64"/>
  <c r="CB45" i="92"/>
  <c r="Q58" i="64"/>
  <c r="CB24" i="92"/>
  <c r="Q28" i="64"/>
  <c r="CB30" i="92"/>
  <c r="Q25" i="64"/>
  <c r="CB15" i="92"/>
  <c r="Q24" i="64"/>
  <c r="CB32" i="92"/>
  <c r="Q42" i="64"/>
  <c r="CB19" i="92"/>
  <c r="Q30" i="64"/>
  <c r="CB40" i="92"/>
  <c r="Q54" i="64"/>
  <c r="CB25" i="92"/>
  <c r="Q39" i="64"/>
  <c r="CB18" i="92"/>
  <c r="Q37" i="64"/>
  <c r="CB20" i="92"/>
  <c r="Q22" i="64"/>
  <c r="CB23" i="92"/>
  <c r="Q38" i="64"/>
  <c r="CB26" i="92"/>
  <c r="Q31" i="64"/>
  <c r="CB42" i="92"/>
  <c r="Q56" i="64"/>
  <c r="CB39" i="92"/>
  <c r="Q48" i="64"/>
  <c r="CB16" i="92"/>
  <c r="Q35" i="64"/>
  <c r="CB14" i="92"/>
  <c r="Q34" i="64"/>
  <c r="CB34" i="92"/>
  <c r="Q32" i="64"/>
  <c r="CB21" i="92"/>
  <c r="Q29" i="64"/>
  <c r="CB12" i="92"/>
  <c r="Q23" i="64"/>
  <c r="CB37" i="92"/>
  <c r="Q46" i="64"/>
  <c r="CB29" i="92"/>
  <c r="Q41" i="64"/>
  <c r="CH17" i="92"/>
  <c r="E32" i="64"/>
  <c r="CH44" i="92"/>
  <c r="K57" i="64"/>
  <c r="CI44" i="92"/>
  <c r="CB44" i="92"/>
  <c r="CB38" i="92"/>
  <c r="CH38" i="92"/>
  <c r="K46" i="64"/>
  <c r="CI38" i="92"/>
  <c r="K41" i="64"/>
  <c r="CI33" i="92"/>
  <c r="K44" i="64"/>
  <c r="CI36" i="92"/>
  <c r="E18" i="156"/>
  <c r="CH13" i="92"/>
  <c r="K22" i="64"/>
  <c r="CI13" i="92"/>
  <c r="K28" i="64"/>
  <c r="CI17" i="92"/>
  <c r="K43" i="64"/>
  <c r="CI35" i="92"/>
  <c r="CH45" i="92"/>
  <c r="K58" i="64"/>
  <c r="CI45" i="92"/>
  <c r="K34" i="64"/>
  <c r="CI24" i="92"/>
  <c r="K39" i="64"/>
  <c r="CI30" i="92"/>
  <c r="K23" i="64"/>
  <c r="CI15" i="92"/>
  <c r="K40" i="64"/>
  <c r="CI32" i="92"/>
  <c r="K29" i="64"/>
  <c r="CI19" i="92"/>
  <c r="K48" i="64"/>
  <c r="CI40" i="92"/>
  <c r="CH25" i="92"/>
  <c r="K35" i="64"/>
  <c r="CI25" i="92"/>
  <c r="CH18" i="92"/>
  <c r="K26" i="64"/>
  <c r="CI18" i="92"/>
  <c r="K30" i="64"/>
  <c r="CI20" i="92"/>
  <c r="CH43" i="92"/>
  <c r="K56" i="64"/>
  <c r="CI43" i="92"/>
  <c r="CB43" i="92"/>
  <c r="K33" i="64"/>
  <c r="CI23" i="92"/>
  <c r="K24" i="64"/>
  <c r="CI26" i="92"/>
  <c r="CB22" i="92"/>
  <c r="K32" i="64"/>
  <c r="CI22" i="92"/>
  <c r="K21" i="64"/>
  <c r="CI31" i="92"/>
  <c r="CB31" i="92"/>
  <c r="K55" i="64"/>
  <c r="CI42" i="92"/>
  <c r="K47" i="64"/>
  <c r="CI39" i="92"/>
  <c r="K27" i="64"/>
  <c r="CI16" i="92"/>
  <c r="K25" i="64"/>
  <c r="CI14" i="92"/>
  <c r="K42" i="64"/>
  <c r="CI34" i="92"/>
  <c r="K31" i="64"/>
  <c r="CI21" i="92"/>
  <c r="CH12" i="92"/>
  <c r="K45" i="64"/>
  <c r="CI37" i="92"/>
  <c r="K38" i="64"/>
  <c r="CI29" i="92"/>
  <c r="D20" i="64"/>
  <c r="BT12" i="92"/>
  <c r="G27" i="95" s="1"/>
  <c r="E19" i="156"/>
  <c r="Q20" i="64"/>
  <c r="Q16" i="64" s="1"/>
  <c r="K54" i="64"/>
  <c r="P61" i="64"/>
  <c r="R61" i="64" s="1"/>
  <c r="D14" i="155"/>
  <c r="AM51" i="92"/>
  <c r="AL51" i="92"/>
  <c r="AP51" i="92"/>
  <c r="AR51" i="92"/>
  <c r="AS51" i="92"/>
  <c r="AN51" i="92"/>
  <c r="AT51" i="92"/>
  <c r="AO51" i="92"/>
  <c r="BD51" i="92"/>
  <c r="AZ51" i="92"/>
  <c r="BC51" i="92"/>
  <c r="BF51" i="92"/>
  <c r="BG51" i="92"/>
  <c r="BH51" i="92"/>
  <c r="BA51" i="92"/>
  <c r="BB51" i="92"/>
  <c r="AQ35" i="92"/>
  <c r="BS35" i="92" s="1"/>
  <c r="BE45" i="92"/>
  <c r="CG45" i="92" s="1"/>
  <c r="AQ24" i="92"/>
  <c r="BS24" i="92" s="1"/>
  <c r="AQ30" i="92"/>
  <c r="BS30" i="92" s="1"/>
  <c r="BE30" i="92"/>
  <c r="CG30" i="92" s="1"/>
  <c r="AQ22" i="92"/>
  <c r="BS22" i="92" s="1"/>
  <c r="AQ14" i="92"/>
  <c r="BS14" i="92" s="1"/>
  <c r="AQ12" i="92"/>
  <c r="BS12" i="92" s="1"/>
  <c r="AQ44" i="92"/>
  <c r="BS44" i="92" s="1"/>
  <c r="BE13" i="92"/>
  <c r="CG13" i="92" s="1"/>
  <c r="AQ41" i="92"/>
  <c r="BS41" i="92" s="1"/>
  <c r="AQ15" i="92"/>
  <c r="BS15" i="92" s="1"/>
  <c r="BE19" i="92"/>
  <c r="CG19" i="92" s="1"/>
  <c r="AQ19" i="92"/>
  <c r="BS19" i="92" s="1"/>
  <c r="AQ21" i="92"/>
  <c r="BS21" i="92" s="1"/>
  <c r="AQ37" i="92"/>
  <c r="BS37" i="92" s="1"/>
  <c r="BE44" i="92"/>
  <c r="CG44" i="92" s="1"/>
  <c r="AQ38" i="92"/>
  <c r="BS38" i="92" s="1"/>
  <c r="AQ33" i="92"/>
  <c r="BS33" i="92" s="1"/>
  <c r="AQ36" i="92"/>
  <c r="BS36" i="92" s="1"/>
  <c r="AQ45" i="92"/>
  <c r="BS45" i="92" s="1"/>
  <c r="BE15" i="92"/>
  <c r="CG15" i="92" s="1"/>
  <c r="BE32" i="92"/>
  <c r="CG32" i="92" s="1"/>
  <c r="BE40" i="92"/>
  <c r="CG40" i="92" s="1"/>
  <c r="AQ18" i="92"/>
  <c r="BS18" i="92" s="1"/>
  <c r="AQ20" i="92"/>
  <c r="BS20" i="92" s="1"/>
  <c r="BE43" i="92"/>
  <c r="CG43" i="92" s="1"/>
  <c r="BE23" i="92"/>
  <c r="CG23" i="92" s="1"/>
  <c r="BE22" i="92"/>
  <c r="CG22" i="92" s="1"/>
  <c r="BE31" i="92"/>
  <c r="CG31" i="92" s="1"/>
  <c r="AQ42" i="92"/>
  <c r="BS42" i="92" s="1"/>
  <c r="BE39" i="92"/>
  <c r="CG39" i="92" s="1"/>
  <c r="BE16" i="92"/>
  <c r="CG16" i="92" s="1"/>
  <c r="AQ17" i="92"/>
  <c r="BS17" i="92" s="1"/>
  <c r="BE35" i="92"/>
  <c r="CG35" i="92" s="1"/>
  <c r="BE41" i="92"/>
  <c r="CG41" i="92" s="1"/>
  <c r="BE24" i="92"/>
  <c r="CG24" i="92" s="1"/>
  <c r="AQ26" i="92"/>
  <c r="BS26" i="92" s="1"/>
  <c r="BE14" i="92"/>
  <c r="CG14" i="92" s="1"/>
  <c r="BE21" i="92"/>
  <c r="CG21" i="92" s="1"/>
  <c r="BE29" i="92"/>
  <c r="CG29" i="92" s="1"/>
  <c r="BE38" i="92"/>
  <c r="CG38" i="92" s="1"/>
  <c r="BE17" i="92"/>
  <c r="CG17" i="92" s="1"/>
  <c r="BE18" i="92"/>
  <c r="CG18" i="92" s="1"/>
  <c r="AQ16" i="92"/>
  <c r="BS16" i="92" s="1"/>
  <c r="BE34" i="92"/>
  <c r="CG34" i="92" s="1"/>
  <c r="BE12" i="92"/>
  <c r="CG12" i="92" s="1"/>
  <c r="AQ29" i="92"/>
  <c r="BS29" i="92" s="1"/>
  <c r="AQ13" i="92"/>
  <c r="BS13" i="92" s="1"/>
  <c r="BE25" i="92"/>
  <c r="CG25" i="92" s="1"/>
  <c r="BE33" i="92"/>
  <c r="CG33" i="92" s="1"/>
  <c r="BE36" i="92"/>
  <c r="CG36" i="92" s="1"/>
  <c r="AQ32" i="92"/>
  <c r="BS32" i="92" s="1"/>
  <c r="AQ40" i="92"/>
  <c r="BS40" i="92" s="1"/>
  <c r="AQ25" i="92"/>
  <c r="BS25" i="92" s="1"/>
  <c r="BE20" i="92"/>
  <c r="CG20" i="92" s="1"/>
  <c r="AQ43" i="92"/>
  <c r="BS43" i="92" s="1"/>
  <c r="AQ23" i="92"/>
  <c r="BS23" i="92" s="1"/>
  <c r="BE26" i="92"/>
  <c r="CG26" i="92" s="1"/>
  <c r="AQ31" i="92"/>
  <c r="BS31" i="92" s="1"/>
  <c r="BE42" i="92"/>
  <c r="CG42" i="92" s="1"/>
  <c r="AQ39" i="92"/>
  <c r="BS39" i="92" s="1"/>
  <c r="AQ34" i="92"/>
  <c r="BS34" i="92" s="1"/>
  <c r="BE37" i="92"/>
  <c r="CG37" i="92" s="1"/>
  <c r="J127" i="24"/>
  <c r="AN1395" i="1" s="1"/>
  <c r="AM60" i="179" l="1"/>
  <c r="AX60" i="179"/>
  <c r="AD41" i="64"/>
  <c r="F77" i="179"/>
  <c r="D58" i="179"/>
  <c r="F58" i="179" s="1"/>
  <c r="D60" i="179"/>
  <c r="F60" i="179" s="1"/>
  <c r="Q73" i="179"/>
  <c r="O58" i="179"/>
  <c r="Q58" i="179" s="1"/>
  <c r="O60" i="179"/>
  <c r="Q60" i="179" s="1"/>
  <c r="AB81" i="179"/>
  <c r="Z58" i="179"/>
  <c r="AB58" i="179" s="1"/>
  <c r="Z60" i="179"/>
  <c r="AB60" i="179" s="1"/>
  <c r="W15" i="64"/>
  <c r="W13" i="64"/>
  <c r="F20" i="64"/>
  <c r="AD25" i="64"/>
  <c r="AB16" i="64"/>
  <c r="AC16" i="64"/>
  <c r="AD20" i="64"/>
  <c r="E13" i="64"/>
  <c r="E15" i="64"/>
  <c r="X37" i="64"/>
  <c r="V15" i="64"/>
  <c r="X15" i="64" s="1"/>
  <c r="V13" i="64"/>
  <c r="K16" i="64"/>
  <c r="L21" i="64"/>
  <c r="E13" i="156"/>
  <c r="N35" i="109"/>
  <c r="U35" i="109" s="1"/>
  <c r="O35" i="111"/>
  <c r="V35" i="111" s="1"/>
  <c r="E21" i="117"/>
  <c r="E22" i="178"/>
  <c r="F22" i="178" s="1"/>
  <c r="F35" i="15"/>
  <c r="F35" i="174"/>
  <c r="G35" i="174" s="1"/>
  <c r="J35" i="174" s="1"/>
  <c r="R35" i="15"/>
  <c r="R35" i="174"/>
  <c r="E26" i="156"/>
  <c r="E25" i="156"/>
  <c r="E24" i="156"/>
  <c r="E20" i="156"/>
  <c r="E21" i="156"/>
  <c r="E16" i="156"/>
  <c r="E23" i="156"/>
  <c r="E17" i="156"/>
  <c r="E14" i="156"/>
  <c r="G21" i="95"/>
  <c r="G32" i="95"/>
  <c r="G28" i="95"/>
  <c r="E12" i="156"/>
  <c r="E15" i="156"/>
  <c r="G12" i="95"/>
  <c r="G16" i="95"/>
  <c r="E18" i="95"/>
  <c r="G41" i="95"/>
  <c r="G14" i="95"/>
  <c r="E19" i="95"/>
  <c r="G34" i="95"/>
  <c r="G25" i="95"/>
  <c r="E27" i="95"/>
  <c r="F27" i="95" s="1"/>
  <c r="E15" i="95"/>
  <c r="G20" i="95"/>
  <c r="E28" i="95"/>
  <c r="E35" i="95"/>
  <c r="G24" i="95"/>
  <c r="G40" i="95"/>
  <c r="G15" i="95"/>
  <c r="E39" i="95"/>
  <c r="G43" i="95"/>
  <c r="G26" i="95"/>
  <c r="G33" i="95"/>
  <c r="E17" i="95"/>
  <c r="E13" i="95"/>
  <c r="E24" i="95"/>
  <c r="G39" i="95"/>
  <c r="G19" i="95"/>
  <c r="E22" i="95"/>
  <c r="G42" i="95"/>
  <c r="E41" i="95"/>
  <c r="E40" i="95"/>
  <c r="E16" i="95"/>
  <c r="G17" i="95"/>
  <c r="E20" i="95"/>
  <c r="E33" i="95"/>
  <c r="G18" i="95"/>
  <c r="G36" i="95"/>
  <c r="E44" i="95"/>
  <c r="E12" i="95"/>
  <c r="G35" i="95"/>
  <c r="E43" i="95"/>
  <c r="E14" i="95"/>
  <c r="E36" i="95"/>
  <c r="G22" i="95"/>
  <c r="E26" i="95"/>
  <c r="E38" i="95"/>
  <c r="E30" i="95"/>
  <c r="E42" i="95"/>
  <c r="E21" i="95"/>
  <c r="G13" i="95"/>
  <c r="G38" i="95"/>
  <c r="G30" i="95"/>
  <c r="E25" i="95"/>
  <c r="E34" i="95"/>
  <c r="E32" i="95"/>
  <c r="G44" i="95"/>
  <c r="I24" i="95"/>
  <c r="D43" i="95"/>
  <c r="H43" i="95"/>
  <c r="D39" i="95"/>
  <c r="H39" i="95"/>
  <c r="H14" i="95"/>
  <c r="D14" i="95"/>
  <c r="I42" i="95"/>
  <c r="D42" i="95"/>
  <c r="H42" i="95"/>
  <c r="D26" i="95"/>
  <c r="H26" i="95"/>
  <c r="I32" i="95"/>
  <c r="I25" i="95"/>
  <c r="H22" i="95"/>
  <c r="D22" i="95"/>
  <c r="C28" i="95"/>
  <c r="BR51" i="92"/>
  <c r="D16" i="95"/>
  <c r="H16" i="95"/>
  <c r="CB51" i="92"/>
  <c r="C40" i="95"/>
  <c r="I39" i="95"/>
  <c r="D36" i="95"/>
  <c r="H36" i="95"/>
  <c r="D27" i="95"/>
  <c r="I27" i="95"/>
  <c r="I12" i="95"/>
  <c r="I16" i="95"/>
  <c r="CF51" i="92"/>
  <c r="BO51" i="92"/>
  <c r="I18" i="95"/>
  <c r="H24" i="95"/>
  <c r="D24" i="95"/>
  <c r="H32" i="95"/>
  <c r="D32" i="95"/>
  <c r="I19" i="95"/>
  <c r="I44" i="95"/>
  <c r="D35" i="95"/>
  <c r="H35" i="95"/>
  <c r="H13" i="95"/>
  <c r="D13" i="95"/>
  <c r="I14" i="95"/>
  <c r="C44" i="95"/>
  <c r="C38" i="95"/>
  <c r="CD51" i="92"/>
  <c r="BQ51" i="92"/>
  <c r="D18" i="95"/>
  <c r="H18" i="95"/>
  <c r="H34" i="95"/>
  <c r="D34" i="95"/>
  <c r="H20" i="95"/>
  <c r="D20" i="95"/>
  <c r="H19" i="95"/>
  <c r="D19" i="95"/>
  <c r="H30" i="95"/>
  <c r="D30" i="95"/>
  <c r="D15" i="95"/>
  <c r="H15" i="95"/>
  <c r="BV51" i="92"/>
  <c r="H41" i="95"/>
  <c r="D41" i="95"/>
  <c r="I28" i="95"/>
  <c r="I30" i="95"/>
  <c r="I35" i="95"/>
  <c r="D28" i="95"/>
  <c r="H28" i="95"/>
  <c r="CJ51" i="92"/>
  <c r="BP51" i="92"/>
  <c r="CE51" i="92"/>
  <c r="D12" i="95"/>
  <c r="H12" i="95"/>
  <c r="CC51" i="92"/>
  <c r="CI51" i="92"/>
  <c r="BU51" i="92"/>
  <c r="I33" i="95"/>
  <c r="H21" i="95"/>
  <c r="D21" i="95"/>
  <c r="D40" i="95"/>
  <c r="H40" i="95"/>
  <c r="I43" i="95"/>
  <c r="I17" i="95"/>
  <c r="I20" i="95"/>
  <c r="I21" i="95"/>
  <c r="I26" i="95"/>
  <c r="I34" i="95"/>
  <c r="I22" i="95"/>
  <c r="I41" i="95"/>
  <c r="H17" i="95"/>
  <c r="D17" i="95"/>
  <c r="I40" i="95"/>
  <c r="D44" i="95"/>
  <c r="H44" i="95"/>
  <c r="I15" i="95"/>
  <c r="BN51" i="92"/>
  <c r="H25" i="95"/>
  <c r="D25" i="95"/>
  <c r="I36" i="95"/>
  <c r="H33" i="95"/>
  <c r="D33" i="95"/>
  <c r="I38" i="95"/>
  <c r="I13" i="95"/>
  <c r="H38" i="95"/>
  <c r="D38" i="95"/>
  <c r="CH51" i="92"/>
  <c r="BT51" i="92"/>
  <c r="AQ51" i="92"/>
  <c r="BE51" i="92"/>
  <c r="J123" i="24"/>
  <c r="J13" i="24"/>
  <c r="J388" i="24"/>
  <c r="AN750" i="1" s="1"/>
  <c r="J124" i="24"/>
  <c r="J389" i="24"/>
  <c r="J14" i="24"/>
  <c r="J392" i="24"/>
  <c r="AN1219" i="1" s="1"/>
  <c r="J15" i="24"/>
  <c r="AN1495" i="1" s="1"/>
  <c r="J16" i="24"/>
  <c r="AN1062" i="1" s="1"/>
  <c r="J125" i="24"/>
  <c r="J126" i="24"/>
  <c r="AN343" i="1" s="1"/>
  <c r="J396" i="24"/>
  <c r="AN1039" i="1" s="1"/>
  <c r="J17" i="24"/>
  <c r="AN172" i="1" s="1"/>
  <c r="J398" i="24"/>
  <c r="AN736" i="1" s="1"/>
  <c r="J399" i="24"/>
  <c r="J18" i="24"/>
  <c r="AN562" i="1" s="1"/>
  <c r="J19" i="24"/>
  <c r="J400" i="24"/>
  <c r="J128" i="24"/>
  <c r="J401" i="24"/>
  <c r="AN1175" i="1" s="1"/>
  <c r="J129" i="24"/>
  <c r="J405" i="24"/>
  <c r="AN61" i="1" s="1"/>
  <c r="J406" i="24"/>
  <c r="J20" i="24"/>
  <c r="J130" i="24"/>
  <c r="J21" i="24"/>
  <c r="J22" i="24"/>
  <c r="J23" i="24"/>
  <c r="AN1063" i="1" s="1"/>
  <c r="J131" i="24"/>
  <c r="AN8" i="1" s="1"/>
  <c r="J132" i="24"/>
  <c r="J407" i="24"/>
  <c r="J133" i="24"/>
  <c r="J134" i="24"/>
  <c r="AN10" i="1" s="1"/>
  <c r="J135" i="24"/>
  <c r="AN1391" i="1" s="1"/>
  <c r="J408" i="24"/>
  <c r="J24" i="24"/>
  <c r="AN23" i="1" s="1"/>
  <c r="J136" i="24"/>
  <c r="AN894" i="1" s="1"/>
  <c r="J25" i="24"/>
  <c r="AN164" i="1" s="1"/>
  <c r="J412" i="24"/>
  <c r="AN465" i="1" s="1"/>
  <c r="J12" i="24"/>
  <c r="H274" i="24"/>
  <c r="H346" i="24"/>
  <c r="H96" i="24"/>
  <c r="H97" i="24"/>
  <c r="H77" i="24"/>
  <c r="H91" i="24"/>
  <c r="H93" i="24"/>
  <c r="H257" i="24"/>
  <c r="H249" i="24"/>
  <c r="H278" i="24"/>
  <c r="H238" i="24"/>
  <c r="H267" i="24"/>
  <c r="H351" i="24"/>
  <c r="H291" i="24"/>
  <c r="H268" i="24"/>
  <c r="H255" i="24"/>
  <c r="H123" i="24"/>
  <c r="H358" i="24"/>
  <c r="H85" i="24"/>
  <c r="H169" i="24"/>
  <c r="H219" i="24"/>
  <c r="H159" i="24"/>
  <c r="H271" i="24"/>
  <c r="H418" i="24"/>
  <c r="H420" i="24"/>
  <c r="H55" i="24"/>
  <c r="H95" i="24"/>
  <c r="H160" i="24"/>
  <c r="H171" i="24"/>
  <c r="H434" i="24"/>
  <c r="H74" i="24"/>
  <c r="H224" i="24"/>
  <c r="H254" i="24"/>
  <c r="H87" i="24"/>
  <c r="H48" i="24"/>
  <c r="H225" i="24"/>
  <c r="H233" i="24"/>
  <c r="H13" i="24"/>
  <c r="H230" i="24"/>
  <c r="H177" i="24"/>
  <c r="H98" i="24"/>
  <c r="H258" i="24"/>
  <c r="H264" i="24"/>
  <c r="H373" i="24"/>
  <c r="H81" i="24"/>
  <c r="H273" i="24"/>
  <c r="H275" i="24"/>
  <c r="H345" i="24"/>
  <c r="H175" i="24"/>
  <c r="H437" i="24"/>
  <c r="H457" i="24"/>
  <c r="H30" i="24"/>
  <c r="H445" i="24"/>
  <c r="H388" i="24"/>
  <c r="H104" i="24"/>
  <c r="H200" i="24"/>
  <c r="H70" i="24"/>
  <c r="H381" i="24"/>
  <c r="H332" i="24"/>
  <c r="H185" i="24"/>
  <c r="H215" i="24"/>
  <c r="H108" i="24"/>
  <c r="H449" i="24"/>
  <c r="H172" i="24"/>
  <c r="H370" i="24"/>
  <c r="H382" i="24"/>
  <c r="H436" i="24"/>
  <c r="H124" i="24"/>
  <c r="H389" i="24"/>
  <c r="H163" i="24"/>
  <c r="H50" i="24"/>
  <c r="H438" i="24"/>
  <c r="H282" i="24"/>
  <c r="H14" i="24"/>
  <c r="H45" i="24"/>
  <c r="H352" i="24"/>
  <c r="H356" i="24"/>
  <c r="H76" i="24"/>
  <c r="H187" i="24"/>
  <c r="H236" i="24"/>
  <c r="H207" i="24"/>
  <c r="H109" i="24"/>
  <c r="H432" i="24"/>
  <c r="H107" i="24"/>
  <c r="H392" i="24"/>
  <c r="H470" i="24"/>
  <c r="H347" i="24"/>
  <c r="H357" i="24"/>
  <c r="H15" i="24"/>
  <c r="H395" i="24"/>
  <c r="H16" i="24"/>
  <c r="H371" i="24"/>
  <c r="H439" i="24"/>
  <c r="H53" i="24"/>
  <c r="H448" i="24"/>
  <c r="H125" i="24"/>
  <c r="H31" i="24"/>
  <c r="H426" i="24"/>
  <c r="H283" i="24"/>
  <c r="H366" i="24"/>
  <c r="H416" i="24"/>
  <c r="H435" i="24"/>
  <c r="H106" i="24"/>
  <c r="H251" i="24"/>
  <c r="H451" i="24"/>
  <c r="H281" i="24"/>
  <c r="H360" i="24"/>
  <c r="H126" i="24"/>
  <c r="H100" i="24"/>
  <c r="H110" i="24"/>
  <c r="H450" i="24"/>
  <c r="H188" i="24"/>
  <c r="H469" i="24"/>
  <c r="H127" i="24"/>
  <c r="H269" i="24"/>
  <c r="H72" i="24"/>
  <c r="H396" i="24"/>
  <c r="H279" i="24"/>
  <c r="H52" i="24"/>
  <c r="H164" i="24"/>
  <c r="H86" i="24"/>
  <c r="H266" i="24"/>
  <c r="H368" i="24"/>
  <c r="H17" i="24"/>
  <c r="H167" i="24"/>
  <c r="H413" i="24"/>
  <c r="H428" i="24"/>
  <c r="H441" i="24"/>
  <c r="H202" i="24"/>
  <c r="H289" i="24"/>
  <c r="H378" i="24"/>
  <c r="H290" i="24"/>
  <c r="H383" i="24"/>
  <c r="H375" i="24"/>
  <c r="H337" i="24"/>
  <c r="H374" i="24"/>
  <c r="H397" i="24"/>
  <c r="H285" i="24"/>
  <c r="H398" i="24"/>
  <c r="H440" i="24"/>
  <c r="H214" i="24"/>
  <c r="H226" i="24"/>
  <c r="H216" i="24"/>
  <c r="H79" i="24"/>
  <c r="H431" i="24"/>
  <c r="H242" i="24"/>
  <c r="H82" i="24"/>
  <c r="H112" i="24"/>
  <c r="H259" i="24"/>
  <c r="H88" i="24"/>
  <c r="H64" i="24"/>
  <c r="H462" i="24"/>
  <c r="H465" i="24"/>
  <c r="H377" i="24"/>
  <c r="H460" i="24"/>
  <c r="H464" i="24"/>
  <c r="H114" i="24"/>
  <c r="H461" i="24"/>
  <c r="H463" i="24"/>
  <c r="H243" i="24"/>
  <c r="H222" i="24"/>
  <c r="H399" i="24"/>
  <c r="H71" i="24"/>
  <c r="H80" i="24"/>
  <c r="H183" i="24"/>
  <c r="H213" i="24"/>
  <c r="H18" i="24"/>
  <c r="H193" i="24"/>
  <c r="H182" i="24"/>
  <c r="H105" i="24"/>
  <c r="H180" i="24"/>
  <c r="H54" i="24"/>
  <c r="H272" i="24"/>
  <c r="H66" i="24"/>
  <c r="H260" i="24"/>
  <c r="H203" i="24"/>
  <c r="H246" i="24"/>
  <c r="H330" i="24"/>
  <c r="H168" i="24"/>
  <c r="H28" i="24"/>
  <c r="H195" i="24"/>
  <c r="H19" i="24"/>
  <c r="H467" i="24"/>
  <c r="H400" i="24"/>
  <c r="H354" i="24"/>
  <c r="H350" i="24"/>
  <c r="H165" i="24"/>
  <c r="H199" i="24"/>
  <c r="H170" i="24"/>
  <c r="H218" i="24"/>
  <c r="H364" i="24"/>
  <c r="H208" i="24"/>
  <c r="H113" i="24"/>
  <c r="H43" i="24"/>
  <c r="H227" i="24"/>
  <c r="H276" i="24"/>
  <c r="H359" i="24"/>
  <c r="H49" i="24"/>
  <c r="H198" i="24"/>
  <c r="H205" i="24"/>
  <c r="H421" i="24"/>
  <c r="H186" i="24"/>
  <c r="H468" i="24"/>
  <c r="H128" i="24"/>
  <c r="H206" i="24"/>
  <c r="H162" i="24"/>
  <c r="H241" i="24"/>
  <c r="H234" i="24"/>
  <c r="H78" i="24"/>
  <c r="H340" i="24"/>
  <c r="H252" i="24"/>
  <c r="H452" i="24"/>
  <c r="H401" i="24"/>
  <c r="H454" i="24"/>
  <c r="H455" i="24"/>
  <c r="H444" i="24"/>
  <c r="H453" i="24"/>
  <c r="H239" i="24"/>
  <c r="H166" i="24"/>
  <c r="H427" i="24"/>
  <c r="H217" i="24"/>
  <c r="H73" i="24"/>
  <c r="H270" i="24"/>
  <c r="H111" i="24"/>
  <c r="H402" i="24"/>
  <c r="H129" i="24"/>
  <c r="H376" i="24"/>
  <c r="H47" i="24"/>
  <c r="H69" i="24"/>
  <c r="H403" i="24"/>
  <c r="H362" i="24"/>
  <c r="H83" i="24"/>
  <c r="H197" i="24"/>
  <c r="H417" i="24"/>
  <c r="H405" i="24"/>
  <c r="H415" i="24"/>
  <c r="H103" i="24"/>
  <c r="H336" i="24"/>
  <c r="H263" i="24"/>
  <c r="H176" i="24"/>
  <c r="H209" i="24"/>
  <c r="H253" i="24"/>
  <c r="H250" i="24"/>
  <c r="H335" i="24"/>
  <c r="H94" i="24"/>
  <c r="H379" i="24"/>
  <c r="H288" i="24"/>
  <c r="H156" i="24"/>
  <c r="H458" i="24"/>
  <c r="H237" i="24"/>
  <c r="H406" i="24"/>
  <c r="H75" i="24"/>
  <c r="H334" i="24"/>
  <c r="H220" i="24"/>
  <c r="H442" i="24"/>
  <c r="H261" i="24"/>
  <c r="H99" i="24"/>
  <c r="H456" i="24"/>
  <c r="H194" i="24"/>
  <c r="H443" i="24"/>
  <c r="H446" i="24"/>
  <c r="H20" i="24"/>
  <c r="H115" i="24"/>
  <c r="H130" i="24"/>
  <c r="H361" i="24"/>
  <c r="H21" i="24"/>
  <c r="H22" i="24"/>
  <c r="H23" i="24"/>
  <c r="H342" i="24"/>
  <c r="H51" i="24"/>
  <c r="H221" i="24"/>
  <c r="H232" i="24"/>
  <c r="H343" i="24"/>
  <c r="H363" i="24"/>
  <c r="H447" i="24"/>
  <c r="H244" i="24"/>
  <c r="H471" i="24"/>
  <c r="H131" i="24"/>
  <c r="H365" i="24"/>
  <c r="H132" i="24"/>
  <c r="H333" i="24"/>
  <c r="H210" i="24"/>
  <c r="H211" i="24"/>
  <c r="H29" i="24"/>
  <c r="H414" i="24"/>
  <c r="H90" i="24"/>
  <c r="H433" i="24"/>
  <c r="H407" i="24"/>
  <c r="H429" i="24"/>
  <c r="H262" i="24"/>
  <c r="H423" i="24"/>
  <c r="H424" i="24"/>
  <c r="H425" i="24"/>
  <c r="H223" i="24"/>
  <c r="H133" i="24"/>
  <c r="H134" i="24"/>
  <c r="H204" i="24"/>
  <c r="H422" i="24"/>
  <c r="H101" i="24"/>
  <c r="H102" i="24"/>
  <c r="H84" i="24"/>
  <c r="H135" i="24"/>
  <c r="H408" i="24"/>
  <c r="H380" i="24"/>
  <c r="H65" i="24"/>
  <c r="H173" i="24"/>
  <c r="H24" i="24"/>
  <c r="H192" i="24"/>
  <c r="H189" i="24"/>
  <c r="H136" i="24"/>
  <c r="H63" i="24"/>
  <c r="H411" i="24"/>
  <c r="H179" i="24"/>
  <c r="H25" i="24"/>
  <c r="H67" i="24"/>
  <c r="AD16" i="64" l="1"/>
  <c r="AN4" i="1"/>
  <c r="AN5" i="1"/>
  <c r="AN6" i="1"/>
  <c r="AN7" i="1"/>
  <c r="AN24" i="1"/>
  <c r="AN25" i="1"/>
  <c r="AN37" i="1"/>
  <c r="AN41" i="1"/>
  <c r="AN42" i="1"/>
  <c r="AN43" i="1"/>
  <c r="AN46" i="1"/>
  <c r="AN47" i="1"/>
  <c r="AN48" i="1"/>
  <c r="AN49" i="1"/>
  <c r="AN50" i="1"/>
  <c r="AN51" i="1"/>
  <c r="AN57" i="1"/>
  <c r="AN58" i="1"/>
  <c r="AN59" i="1"/>
  <c r="AN63" i="1"/>
  <c r="AN64" i="1"/>
  <c r="AN65" i="1"/>
  <c r="AN66" i="1"/>
  <c r="AN67" i="1"/>
  <c r="AN110" i="1"/>
  <c r="AN118" i="1"/>
  <c r="AN119" i="1"/>
  <c r="AN120" i="1"/>
  <c r="AN121" i="1"/>
  <c r="AN122" i="1"/>
  <c r="AN123" i="1"/>
  <c r="AN124" i="1"/>
  <c r="AN130" i="1"/>
  <c r="AN131" i="1"/>
  <c r="AN132" i="1"/>
  <c r="AN133" i="1"/>
  <c r="AN134" i="1"/>
  <c r="AN135" i="1"/>
  <c r="AN136" i="1"/>
  <c r="AN137" i="1"/>
  <c r="AN138" i="1"/>
  <c r="AN139" i="1"/>
  <c r="AN140" i="1"/>
  <c r="AN141" i="1"/>
  <c r="AN142" i="1"/>
  <c r="AN143" i="1"/>
  <c r="AN144" i="1"/>
  <c r="AN145" i="1"/>
  <c r="AN146" i="1"/>
  <c r="AN147" i="1"/>
  <c r="AN148" i="1"/>
  <c r="AN150" i="1"/>
  <c r="AN151" i="1"/>
  <c r="AN152" i="1"/>
  <c r="AN163" i="1"/>
  <c r="AN182" i="1"/>
  <c r="AN188" i="1"/>
  <c r="AN195" i="1"/>
  <c r="AN199" i="1"/>
  <c r="AN200" i="1"/>
  <c r="AN201" i="1"/>
  <c r="AN202" i="1"/>
  <c r="AN203" i="1"/>
  <c r="AN204" i="1"/>
  <c r="AN205" i="1"/>
  <c r="AN209" i="1"/>
  <c r="AN210" i="1"/>
  <c r="AN213" i="1"/>
  <c r="AN214" i="1"/>
  <c r="AN215" i="1"/>
  <c r="AN221" i="1"/>
  <c r="AN223" i="1"/>
  <c r="AN224" i="1"/>
  <c r="AN225" i="1"/>
  <c r="AN226" i="1"/>
  <c r="AN245" i="1"/>
  <c r="AN246" i="1"/>
  <c r="AN247" i="1"/>
  <c r="AN249" i="1"/>
  <c r="AN250" i="1"/>
  <c r="AN254" i="1"/>
  <c r="AN259" i="1"/>
  <c r="AN266" i="1"/>
  <c r="AN267" i="1"/>
  <c r="AN268" i="1"/>
  <c r="AN270" i="1"/>
  <c r="AN271" i="1"/>
  <c r="AN273" i="1"/>
  <c r="AN274" i="1"/>
  <c r="AN275" i="1"/>
  <c r="AN276" i="1"/>
  <c r="AN278" i="1"/>
  <c r="AN279" i="1"/>
  <c r="AN283" i="1"/>
  <c r="AN286" i="1"/>
  <c r="AN288" i="1"/>
  <c r="AN289" i="1"/>
  <c r="AN290" i="1"/>
  <c r="AN291" i="1"/>
  <c r="AN292" i="1"/>
  <c r="AN293" i="1"/>
  <c r="AN294" i="1"/>
  <c r="AN295" i="1"/>
  <c r="AN296" i="1"/>
  <c r="AN297" i="1"/>
  <c r="AN298" i="1"/>
  <c r="AN299" i="1"/>
  <c r="AN313" i="1"/>
  <c r="AN314" i="1"/>
  <c r="AN315" i="1"/>
  <c r="AN316" i="1"/>
  <c r="AN319" i="1"/>
  <c r="AN328" i="1"/>
  <c r="AN330" i="1"/>
  <c r="AN331" i="1"/>
  <c r="AN332" i="1"/>
  <c r="AN391" i="1"/>
  <c r="AN392" i="1"/>
  <c r="AN397" i="1"/>
  <c r="AN398" i="1"/>
  <c r="AN399" i="1"/>
  <c r="AN412" i="1"/>
  <c r="AN413" i="1"/>
  <c r="AN421" i="1"/>
  <c r="AN422" i="1"/>
  <c r="AN423" i="1"/>
  <c r="AN424" i="1"/>
  <c r="AN425" i="1"/>
  <c r="AN426" i="1"/>
  <c r="AN427" i="1"/>
  <c r="AN430" i="1"/>
  <c r="AN431" i="1"/>
  <c r="AN432" i="1"/>
  <c r="AN433" i="1"/>
  <c r="AN434" i="1"/>
  <c r="AN441" i="1"/>
  <c r="AN460" i="1"/>
  <c r="AN463" i="1"/>
  <c r="AN464" i="1"/>
  <c r="AN478" i="1"/>
  <c r="AN482" i="1"/>
  <c r="AN483" i="1"/>
  <c r="AN484" i="1"/>
  <c r="AN485" i="1"/>
  <c r="AN486" i="1"/>
  <c r="AN487" i="1"/>
  <c r="AN488" i="1"/>
  <c r="AN489" i="1"/>
  <c r="AN495" i="1"/>
  <c r="AN504" i="1"/>
  <c r="AN505" i="1"/>
  <c r="AN506" i="1"/>
  <c r="AN507" i="1"/>
  <c r="AN508" i="1"/>
  <c r="AN509" i="1"/>
  <c r="AN510" i="1"/>
  <c r="AN511" i="1"/>
  <c r="AN512" i="1"/>
  <c r="AN513" i="1"/>
  <c r="AN514" i="1"/>
  <c r="AN515" i="1"/>
  <c r="AN516" i="1"/>
  <c r="AN517" i="1"/>
  <c r="AN518" i="1"/>
  <c r="AN520" i="1"/>
  <c r="AN521" i="1"/>
  <c r="AN522" i="1"/>
  <c r="AN523" i="1"/>
  <c r="AN524" i="1"/>
  <c r="AN525" i="1"/>
  <c r="AN526" i="1"/>
  <c r="AN528" i="1"/>
  <c r="AN529" i="1"/>
  <c r="AN530" i="1"/>
  <c r="AN531" i="1"/>
  <c r="AN532" i="1"/>
  <c r="AN533" i="1"/>
  <c r="AN534" i="1"/>
  <c r="AN535" i="1"/>
  <c r="AN536" i="1"/>
  <c r="AN629" i="1"/>
  <c r="AN630" i="1"/>
  <c r="AN701" i="1"/>
  <c r="AN702" i="1"/>
  <c r="AN703" i="1"/>
  <c r="AN704" i="1"/>
  <c r="AN705" i="1"/>
  <c r="AN706" i="1"/>
  <c r="AN707" i="1"/>
  <c r="AN708" i="1"/>
  <c r="AN709" i="1"/>
  <c r="AN710" i="1"/>
  <c r="AN711" i="1"/>
  <c r="AN712" i="1"/>
  <c r="AN729" i="1"/>
  <c r="AN737" i="1"/>
  <c r="AN738" i="1"/>
  <c r="AN740" i="1"/>
  <c r="AN745" i="1"/>
  <c r="AN749" i="1"/>
  <c r="AN755" i="1"/>
  <c r="AN756" i="1"/>
  <c r="AN757" i="1"/>
  <c r="AN759" i="1"/>
  <c r="AN760" i="1"/>
  <c r="AN761" i="1"/>
  <c r="AN762" i="1"/>
  <c r="AN763" i="1"/>
  <c r="AN764" i="1"/>
  <c r="AN765" i="1"/>
  <c r="AN766" i="1"/>
  <c r="AN767" i="1"/>
  <c r="AN768" i="1"/>
  <c r="AN769" i="1"/>
  <c r="AN770" i="1"/>
  <c r="AN771" i="1"/>
  <c r="AN772" i="1"/>
  <c r="AN774" i="1"/>
  <c r="AN775" i="1"/>
  <c r="AN778" i="1"/>
  <c r="AN779" i="1"/>
  <c r="AN780" i="1"/>
  <c r="AN781" i="1"/>
  <c r="AN782" i="1"/>
  <c r="AN790" i="1"/>
  <c r="AN791" i="1"/>
  <c r="AN792" i="1"/>
  <c r="AN793" i="1"/>
  <c r="AN794" i="1"/>
  <c r="AN795" i="1"/>
  <c r="AN796" i="1"/>
  <c r="AN801" i="1"/>
  <c r="AN802" i="1"/>
  <c r="AN810" i="1"/>
  <c r="AN812" i="1"/>
  <c r="AN813" i="1"/>
  <c r="AN814" i="1"/>
  <c r="AN815" i="1"/>
  <c r="AN816" i="1"/>
  <c r="AN817" i="1"/>
  <c r="AN818" i="1"/>
  <c r="AN819" i="1"/>
  <c r="AN821" i="1"/>
  <c r="AN822" i="1"/>
  <c r="AN824" i="1"/>
  <c r="AN825" i="1"/>
  <c r="AN838" i="1"/>
  <c r="AN839" i="1"/>
  <c r="AN840" i="1"/>
  <c r="AN841" i="1"/>
  <c r="AN842" i="1"/>
  <c r="AN843" i="1"/>
  <c r="AN844" i="1"/>
  <c r="AN845" i="1"/>
  <c r="AN848" i="1"/>
  <c r="AN849" i="1"/>
  <c r="AN850" i="1"/>
  <c r="AN851" i="1"/>
  <c r="AN854" i="1"/>
  <c r="AN867" i="1"/>
  <c r="AN878" i="1"/>
  <c r="AN879" i="1"/>
  <c r="AN880" i="1"/>
  <c r="AN897" i="1"/>
  <c r="AN905" i="1"/>
  <c r="AN907" i="1"/>
  <c r="AN918" i="1"/>
  <c r="AN919" i="1"/>
  <c r="AN920" i="1"/>
  <c r="AN921" i="1"/>
  <c r="AN922" i="1"/>
  <c r="AN923" i="1"/>
  <c r="AN924" i="1"/>
  <c r="AN925" i="1"/>
  <c r="AN926" i="1"/>
  <c r="AN927" i="1"/>
  <c r="AN928" i="1"/>
  <c r="AN929" i="1"/>
  <c r="AN952" i="1"/>
  <c r="AN953" i="1"/>
  <c r="AN954" i="1"/>
  <c r="AN957" i="1"/>
  <c r="AN959" i="1"/>
  <c r="AN960" i="1"/>
  <c r="AN961" i="1"/>
  <c r="AN962" i="1"/>
  <c r="AN978" i="1"/>
  <c r="AN985" i="1"/>
  <c r="AN986" i="1"/>
  <c r="AN988" i="1"/>
  <c r="AN989" i="1"/>
  <c r="AN990" i="1"/>
  <c r="AN991" i="1"/>
  <c r="AN1016" i="1"/>
  <c r="AN1017" i="1"/>
  <c r="AN1023" i="1"/>
  <c r="AN1024" i="1"/>
  <c r="AN1025" i="1"/>
  <c r="AN1026" i="1"/>
  <c r="AN1027" i="1"/>
  <c r="AN1028" i="1"/>
  <c r="AN1029" i="1"/>
  <c r="AN1030" i="1"/>
  <c r="AN1031" i="1"/>
  <c r="AN1032" i="1"/>
  <c r="AN1036" i="1"/>
  <c r="AN1037" i="1"/>
  <c r="AN1038" i="1"/>
  <c r="AN1041" i="1"/>
  <c r="AN1042" i="1"/>
  <c r="AN1043" i="1"/>
  <c r="AN1044" i="1"/>
  <c r="AN1045" i="1"/>
  <c r="AN1046" i="1"/>
  <c r="AN1047" i="1"/>
  <c r="AN1048" i="1"/>
  <c r="AN1049" i="1"/>
  <c r="AN1073" i="1"/>
  <c r="AN1074" i="1"/>
  <c r="AN1076" i="1"/>
  <c r="AN1079" i="1"/>
  <c r="AN1084" i="1"/>
  <c r="AN1085" i="1"/>
  <c r="AN1086" i="1"/>
  <c r="AN1087" i="1"/>
  <c r="AN1088" i="1"/>
  <c r="AN1089" i="1"/>
  <c r="AN1090" i="1"/>
  <c r="AN1091" i="1"/>
  <c r="AN1093" i="1"/>
  <c r="AN1094" i="1"/>
  <c r="AN1095" i="1"/>
  <c r="AN1096" i="1"/>
  <c r="AN1097" i="1"/>
  <c r="AN1098" i="1"/>
  <c r="AN1099" i="1"/>
  <c r="AN1101" i="1"/>
  <c r="AN1103" i="1"/>
  <c r="AN1105" i="1"/>
  <c r="AN1106" i="1"/>
  <c r="AN1128" i="1"/>
  <c r="AN1129" i="1"/>
  <c r="AN1130" i="1"/>
  <c r="AN1131" i="1"/>
  <c r="AN1132" i="1"/>
  <c r="AN1136" i="1"/>
  <c r="AN1144" i="1"/>
  <c r="AN1148" i="1"/>
  <c r="AN1158" i="1"/>
  <c r="AN1159" i="1"/>
  <c r="AN1160" i="1"/>
  <c r="AN1161" i="1"/>
  <c r="AN1162" i="1"/>
  <c r="AN1163" i="1"/>
  <c r="AN1164" i="1"/>
  <c r="AN1165" i="1"/>
  <c r="AN1166" i="1"/>
  <c r="AN1171" i="1"/>
  <c r="AN1172" i="1"/>
  <c r="AN1173" i="1"/>
  <c r="AN1178" i="1"/>
  <c r="AN1188" i="1"/>
  <c r="AN1189" i="1"/>
  <c r="AN1190" i="1"/>
  <c r="AN1198" i="1"/>
  <c r="AN1199" i="1"/>
  <c r="AN1200" i="1"/>
  <c r="AN1211" i="1"/>
  <c r="AN1212" i="1"/>
  <c r="AN1215" i="1"/>
  <c r="AN1218" i="1"/>
  <c r="AN1225" i="1"/>
  <c r="AN1227" i="1"/>
  <c r="AN1234" i="1"/>
  <c r="AN1235" i="1"/>
  <c r="AN1237" i="1"/>
  <c r="AN1246" i="1"/>
  <c r="AN1249" i="1"/>
  <c r="AN1256" i="1"/>
  <c r="AN1262" i="1"/>
  <c r="AN1278" i="1"/>
  <c r="AN1282" i="1"/>
  <c r="AN1283" i="1"/>
  <c r="AN1284" i="1"/>
  <c r="AN1285" i="1"/>
  <c r="AN1286" i="1"/>
  <c r="AN1287" i="1"/>
  <c r="AN1288" i="1"/>
  <c r="AN1289" i="1"/>
  <c r="AN1290" i="1"/>
  <c r="AN1291" i="1"/>
  <c r="AN1293" i="1"/>
  <c r="AN1294" i="1"/>
  <c r="AN1295" i="1"/>
  <c r="AN1300" i="1"/>
  <c r="AN1304" i="1"/>
  <c r="AN1305" i="1"/>
  <c r="AN1306" i="1"/>
  <c r="AN1308" i="1"/>
  <c r="AN1314" i="1"/>
  <c r="AN1318" i="1"/>
  <c r="AN1319" i="1"/>
  <c r="AN1320" i="1"/>
  <c r="AN1321" i="1"/>
  <c r="AN1322" i="1"/>
  <c r="AN1323" i="1"/>
  <c r="AN1324" i="1"/>
  <c r="AN1325" i="1"/>
  <c r="AN1326" i="1"/>
  <c r="AN1329" i="1"/>
  <c r="AN1330" i="1"/>
  <c r="AN1331" i="1"/>
  <c r="AN1332" i="1"/>
  <c r="AN1333" i="1"/>
  <c r="AN1334" i="1"/>
  <c r="AN1341" i="1"/>
  <c r="AN1351" i="1"/>
  <c r="AN1352" i="1"/>
  <c r="AN1353" i="1"/>
  <c r="AN1354" i="1"/>
  <c r="AN1355" i="1"/>
  <c r="AN1356" i="1"/>
  <c r="AN1357" i="1"/>
  <c r="AN1358" i="1"/>
  <c r="AN1359" i="1"/>
  <c r="AN1360" i="1"/>
  <c r="AN1361" i="1"/>
  <c r="AN1362" i="1"/>
  <c r="AN1363" i="1"/>
  <c r="AN1364" i="1"/>
  <c r="AN1365" i="1"/>
  <c r="AN1367" i="1"/>
  <c r="AN1368" i="1"/>
  <c r="AN1369" i="1"/>
  <c r="AN1371" i="1"/>
  <c r="AN1372" i="1"/>
  <c r="AN1414" i="1"/>
  <c r="AN141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598" i="1"/>
  <c r="AN1665" i="1"/>
  <c r="AN1735" i="1"/>
  <c r="AN1736" i="1"/>
  <c r="AN1900" i="1"/>
  <c r="AN1901" i="1"/>
  <c r="AN1907" i="1"/>
  <c r="AN1925"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325" i="1"/>
  <c r="AN968" i="1"/>
  <c r="AN9" i="1"/>
  <c r="AN27" i="1"/>
  <c r="AN376" i="1"/>
  <c r="AN451" i="1"/>
  <c r="AN958" i="1"/>
  <c r="AN938" i="1"/>
  <c r="AN1566" i="1"/>
  <c r="AN1626" i="1"/>
  <c r="AN1808" i="1"/>
  <c r="AN1923" i="1"/>
  <c r="AN1759" i="1"/>
  <c r="AN1597" i="1"/>
  <c r="AN1872" i="1"/>
  <c r="AN1885" i="1"/>
  <c r="AN876" i="1"/>
  <c r="AN1497" i="1"/>
  <c r="AN1502" i="1"/>
  <c r="AN1631" i="1"/>
  <c r="AN1711" i="1"/>
  <c r="AN1782" i="1"/>
  <c r="AN1810" i="1"/>
  <c r="AN1818" i="1"/>
  <c r="AN1830" i="1"/>
  <c r="AN1899" i="1"/>
  <c r="AN1920" i="1"/>
  <c r="AN100" i="1"/>
  <c r="AN1513" i="1"/>
  <c r="AN1519" i="1"/>
  <c r="AN1526" i="1"/>
  <c r="AN1534" i="1"/>
  <c r="AN1540" i="1"/>
  <c r="AN1209" i="1"/>
  <c r="AN1622" i="1"/>
  <c r="AN173" i="1"/>
  <c r="AN1313" i="1"/>
  <c r="AN394" i="1"/>
  <c r="AN742" i="1"/>
  <c r="AN744" i="1"/>
  <c r="AN384" i="1"/>
  <c r="AN411" i="1"/>
  <c r="AN865" i="1"/>
  <c r="AN866" i="1"/>
  <c r="AN1170" i="1"/>
  <c r="AN12" i="1"/>
  <c r="AN356" i="1"/>
  <c r="AN831" i="1"/>
  <c r="AN1183" i="1"/>
  <c r="AN1809" i="1"/>
  <c r="AN1924" i="1"/>
  <c r="AN387" i="1"/>
  <c r="AN964" i="1"/>
  <c r="AN1169" i="1"/>
  <c r="AN1482" i="1"/>
  <c r="AN1629" i="1"/>
  <c r="AN445" i="1"/>
  <c r="AN1260" i="1"/>
  <c r="AN1492" i="1"/>
  <c r="AN1496" i="1"/>
  <c r="AN1501" i="1"/>
  <c r="AN1630" i="1"/>
  <c r="AN1734" i="1"/>
  <c r="AN1758" i="1"/>
  <c r="AN1783" i="1"/>
  <c r="AN1796" i="1"/>
  <c r="AN1811" i="1"/>
  <c r="AN1831" i="1"/>
  <c r="AN1911" i="1"/>
  <c r="AN1628" i="1"/>
  <c r="AN1906" i="1"/>
  <c r="AN1968" i="1"/>
  <c r="AN379" i="1"/>
  <c r="AN1060" i="1"/>
  <c r="AN835" i="1"/>
  <c r="AN1481" i="1"/>
  <c r="AN1607" i="1"/>
  <c r="AN1862" i="1"/>
  <c r="AN1949" i="1"/>
  <c r="X13" i="64"/>
  <c r="F41" i="95"/>
  <c r="S35" i="174"/>
  <c r="F12" i="95"/>
  <c r="F21" i="95"/>
  <c r="F28" i="95"/>
  <c r="F16" i="95"/>
  <c r="F14" i="95"/>
  <c r="F18" i="95"/>
  <c r="F25" i="95"/>
  <c r="F19" i="95"/>
  <c r="F20" i="95"/>
  <c r="F34" i="95"/>
  <c r="F26" i="95"/>
  <c r="F15" i="95"/>
  <c r="F40" i="95"/>
  <c r="F35" i="95"/>
  <c r="F43" i="95"/>
  <c r="F24" i="95"/>
  <c r="F22" i="95"/>
  <c r="F13" i="95"/>
  <c r="F39" i="95"/>
  <c r="F38" i="95"/>
  <c r="F44" i="95"/>
  <c r="F17" i="95"/>
  <c r="F30" i="95"/>
  <c r="G29" i="95"/>
  <c r="E29" i="95"/>
  <c r="F42" i="95"/>
  <c r="F36" i="95"/>
  <c r="F33" i="95"/>
  <c r="O55" i="111"/>
  <c r="C21" i="128" s="1"/>
  <c r="E21" i="128"/>
  <c r="AN2" i="1"/>
  <c r="C33" i="95"/>
  <c r="C25" i="95"/>
  <c r="C14" i="95"/>
  <c r="C12" i="95"/>
  <c r="F32" i="95"/>
  <c r="C21" i="95"/>
  <c r="C17" i="95"/>
  <c r="CG51" i="92"/>
  <c r="J29" i="95"/>
  <c r="C15" i="95"/>
  <c r="C27" i="95"/>
  <c r="C32" i="95"/>
  <c r="C36" i="95"/>
  <c r="C22" i="95"/>
  <c r="C13" i="95"/>
  <c r="C42" i="95"/>
  <c r="H29" i="95"/>
  <c r="D29" i="95"/>
  <c r="C41" i="95"/>
  <c r="BS51" i="92"/>
  <c r="C20" i="95"/>
  <c r="C18" i="95"/>
  <c r="C16" i="95"/>
  <c r="C34" i="95"/>
  <c r="C30" i="95"/>
  <c r="C24" i="95"/>
  <c r="C26" i="95"/>
  <c r="C43" i="95"/>
  <c r="C19" i="95"/>
  <c r="C39" i="95"/>
  <c r="I29" i="95"/>
  <c r="C35" i="95"/>
  <c r="G231" i="24"/>
  <c r="G245" i="24"/>
  <c r="O576" i="1" s="1"/>
  <c r="G191" i="24"/>
  <c r="G256" i="24"/>
  <c r="G228" i="24"/>
  <c r="O1404" i="1" s="1"/>
  <c r="P1404" i="1" s="1"/>
  <c r="D57" i="43"/>
  <c r="D57" i="44"/>
  <c r="E57" i="44" s="1"/>
  <c r="I54" i="15"/>
  <c r="C52" i="36"/>
  <c r="D54" i="43"/>
  <c r="D55" i="43"/>
  <c r="D54" i="44"/>
  <c r="E54" i="44" s="1"/>
  <c r="D55" i="44"/>
  <c r="E55" i="44" s="1"/>
  <c r="I52" i="15"/>
  <c r="I53" i="15"/>
  <c r="C48" i="36"/>
  <c r="BA1400" i="1" l="1"/>
  <c r="AZ1400" i="1"/>
  <c r="O1696" i="1"/>
  <c r="P1696" i="1" s="1"/>
  <c r="O1523" i="1"/>
  <c r="O1461" i="1"/>
  <c r="P1461" i="1" s="1"/>
  <c r="O1412" i="1"/>
  <c r="P1412" i="1" s="1"/>
  <c r="R1410" i="1" s="1"/>
  <c r="S1410" i="1" s="1"/>
  <c r="O575" i="1"/>
  <c r="P576" i="1"/>
  <c r="Q576" i="1"/>
  <c r="O1866" i="1"/>
  <c r="O1310" i="1"/>
  <c r="O372" i="1"/>
  <c r="P372" i="1" s="1"/>
  <c r="O155" i="1"/>
  <c r="O167" i="1"/>
  <c r="F29" i="95"/>
  <c r="S53" i="15"/>
  <c r="S54" i="15"/>
  <c r="C29" i="95"/>
  <c r="C29" i="48"/>
  <c r="C34" i="48"/>
  <c r="E34" i="48"/>
  <c r="C36" i="48"/>
  <c r="E36" i="48"/>
  <c r="D33" i="146"/>
  <c r="C51" i="39"/>
  <c r="C51" i="10"/>
  <c r="C47" i="39"/>
  <c r="C46" i="10"/>
  <c r="C52" i="39"/>
  <c r="C53" i="10"/>
  <c r="E47" i="39"/>
  <c r="E46" i="10"/>
  <c r="E52" i="39"/>
  <c r="E53" i="10"/>
  <c r="E51" i="39"/>
  <c r="E51" i="10"/>
  <c r="H277" i="24"/>
  <c r="H353" i="24"/>
  <c r="H256" i="24"/>
  <c r="H459" i="24"/>
  <c r="H240" i="24"/>
  <c r="H248" i="24"/>
  <c r="H344" i="24"/>
  <c r="H280" i="24"/>
  <c r="H158" i="24"/>
  <c r="H191" i="24"/>
  <c r="H430" i="24"/>
  <c r="H178" i="24"/>
  <c r="H348" i="24"/>
  <c r="H228" i="24"/>
  <c r="H355" i="24"/>
  <c r="H245" i="24"/>
  <c r="H231" i="24"/>
  <c r="P155" i="1" l="1"/>
  <c r="R153" i="1" s="1"/>
  <c r="S153" i="1" s="1"/>
  <c r="Q155" i="1"/>
  <c r="T153" i="1" s="1"/>
  <c r="AW153" i="1" s="1"/>
  <c r="AZ369" i="1"/>
  <c r="BA369" i="1"/>
  <c r="P575" i="1"/>
  <c r="Q575" i="1"/>
  <c r="T536" i="1" s="1"/>
  <c r="AW536" i="1" s="1"/>
  <c r="AZ1453" i="1"/>
  <c r="BA1453" i="1"/>
  <c r="P1523" i="1"/>
  <c r="Q1523" i="1"/>
  <c r="AZ1665" i="1"/>
  <c r="BA1665" i="1"/>
  <c r="H33" i="146"/>
  <c r="I15" i="163"/>
  <c r="H13" i="166"/>
  <c r="F33" i="146"/>
  <c r="D53" i="44"/>
  <c r="E53" i="44" s="1"/>
  <c r="D53" i="43"/>
  <c r="AZ535" i="1" l="1"/>
  <c r="BA536" i="1"/>
  <c r="BA534" i="1"/>
  <c r="AZ534" i="1"/>
  <c r="AZ536" i="1"/>
  <c r="BA535" i="1"/>
  <c r="N50" i="111"/>
  <c r="V50" i="111" s="1"/>
  <c r="M50" i="109"/>
  <c r="U50" i="109" s="1"/>
  <c r="R50" i="15"/>
  <c r="F50" i="174"/>
  <c r="F50" i="15"/>
  <c r="R50" i="174"/>
  <c r="J32" i="146"/>
  <c r="H32" i="146" s="1"/>
  <c r="E20" i="117"/>
  <c r="F20" i="117" s="1"/>
  <c r="E21" i="178"/>
  <c r="D16" i="163"/>
  <c r="D17" i="166"/>
  <c r="V51" i="111"/>
  <c r="U51" i="109"/>
  <c r="F14" i="117"/>
  <c r="D29" i="48"/>
  <c r="D34" i="48"/>
  <c r="D51" i="39"/>
  <c r="D51" i="10"/>
  <c r="D47" i="39"/>
  <c r="D46" i="10"/>
  <c r="G52" i="15"/>
  <c r="G53" i="15"/>
  <c r="N1461" i="1"/>
  <c r="N1476" i="1"/>
  <c r="N1483" i="1"/>
  <c r="N1484" i="1"/>
  <c r="N1485" i="1"/>
  <c r="N1486" i="1"/>
  <c r="N1457" i="1"/>
  <c r="N1458" i="1"/>
  <c r="N1459" i="1"/>
  <c r="N1462" i="1"/>
  <c r="N1463" i="1"/>
  <c r="N1464" i="1"/>
  <c r="N1465" i="1"/>
  <c r="N1466" i="1"/>
  <c r="N1467" i="1"/>
  <c r="N1468" i="1"/>
  <c r="N1456" i="1"/>
  <c r="N1378" i="1"/>
  <c r="N1377" i="1"/>
  <c r="N334" i="1"/>
  <c r="N335" i="1"/>
  <c r="N336" i="1"/>
  <c r="N337" i="1"/>
  <c r="N338" i="1"/>
  <c r="N339" i="1"/>
  <c r="N340" i="1"/>
  <c r="N341" i="1"/>
  <c r="N342" i="1"/>
  <c r="N343" i="1"/>
  <c r="N344" i="1"/>
  <c r="N345" i="1"/>
  <c r="N346" i="1"/>
  <c r="N347" i="1"/>
  <c r="N348" i="1"/>
  <c r="N349" i="1"/>
  <c r="N350" i="1"/>
  <c r="N351" i="1"/>
  <c r="N354" i="1"/>
  <c r="N333" i="1"/>
  <c r="N1987" i="1"/>
  <c r="N1988" i="1"/>
  <c r="N1976" i="1"/>
  <c r="N1977" i="1"/>
  <c r="N1986" i="1"/>
  <c r="N1975" i="1"/>
  <c r="N241" i="1"/>
  <c r="N242" i="1"/>
  <c r="N243" i="1"/>
  <c r="N244" i="1"/>
  <c r="N240" i="1"/>
  <c r="N228" i="1"/>
  <c r="N229" i="1"/>
  <c r="N230" i="1"/>
  <c r="N231" i="1"/>
  <c r="N232" i="1"/>
  <c r="N233" i="1"/>
  <c r="N234" i="1"/>
  <c r="N235" i="1"/>
  <c r="N236" i="1"/>
  <c r="N237" i="1"/>
  <c r="N238" i="1"/>
  <c r="N227" i="1"/>
  <c r="Q227" i="1" l="1"/>
  <c r="AL227" i="1"/>
  <c r="Q238" i="1"/>
  <c r="AL238" i="1"/>
  <c r="Q237" i="1"/>
  <c r="AL237" i="1"/>
  <c r="Q236" i="1"/>
  <c r="AL236" i="1"/>
  <c r="Q235" i="1"/>
  <c r="AL235" i="1"/>
  <c r="Q234" i="1"/>
  <c r="AL234" i="1"/>
  <c r="Q233" i="1"/>
  <c r="AL233" i="1"/>
  <c r="Q232" i="1"/>
  <c r="AL232" i="1"/>
  <c r="Q231" i="1"/>
  <c r="AL231" i="1"/>
  <c r="Q230" i="1"/>
  <c r="AL230" i="1"/>
  <c r="Q229" i="1"/>
  <c r="AL229" i="1"/>
  <c r="Q228" i="1"/>
  <c r="AL228" i="1"/>
  <c r="Q240" i="1"/>
  <c r="AL240" i="1"/>
  <c r="Q244" i="1"/>
  <c r="AL244" i="1"/>
  <c r="Q243" i="1"/>
  <c r="AL243" i="1"/>
  <c r="Q242" i="1"/>
  <c r="AL242" i="1"/>
  <c r="Q241" i="1"/>
  <c r="AL241" i="1"/>
  <c r="Q1975" i="1"/>
  <c r="AL1975" i="1"/>
  <c r="Q1986" i="1"/>
  <c r="AL1986" i="1"/>
  <c r="Q1977" i="1"/>
  <c r="AL1977" i="1"/>
  <c r="Q1976" i="1"/>
  <c r="AL1976" i="1"/>
  <c r="Q1988" i="1"/>
  <c r="AL1988" i="1"/>
  <c r="Q1987" i="1"/>
  <c r="AL1987" i="1"/>
  <c r="Q333" i="1"/>
  <c r="AL333" i="1"/>
  <c r="Q354" i="1"/>
  <c r="AL354" i="1"/>
  <c r="Q351" i="1"/>
  <c r="AL351" i="1"/>
  <c r="Q350" i="1"/>
  <c r="AL350" i="1"/>
  <c r="Q349" i="1"/>
  <c r="AL349" i="1"/>
  <c r="Q348" i="1"/>
  <c r="AL348" i="1"/>
  <c r="Q347" i="1"/>
  <c r="AL347" i="1"/>
  <c r="Q346" i="1"/>
  <c r="AL346" i="1"/>
  <c r="Q345" i="1"/>
  <c r="AL345" i="1"/>
  <c r="Q344" i="1"/>
  <c r="AL344" i="1"/>
  <c r="Q343" i="1"/>
  <c r="AL343" i="1"/>
  <c r="Q342" i="1"/>
  <c r="AL342" i="1"/>
  <c r="Q341" i="1"/>
  <c r="AL341" i="1"/>
  <c r="Q340" i="1"/>
  <c r="AL340" i="1"/>
  <c r="Q339" i="1"/>
  <c r="AL339" i="1"/>
  <c r="Q338" i="1"/>
  <c r="AL338" i="1"/>
  <c r="Q337" i="1"/>
  <c r="AL337" i="1"/>
  <c r="Q336" i="1"/>
  <c r="AL336" i="1"/>
  <c r="Q335" i="1"/>
  <c r="AL335" i="1"/>
  <c r="Q334" i="1"/>
  <c r="AL334" i="1"/>
  <c r="Q1377" i="1"/>
  <c r="AL1377" i="1"/>
  <c r="Q1378" i="1"/>
  <c r="T1377" i="1" s="1"/>
  <c r="AL1378" i="1"/>
  <c r="Q1456" i="1"/>
  <c r="AL1456" i="1"/>
  <c r="Q1468" i="1"/>
  <c r="AL1468" i="1"/>
  <c r="Q1467" i="1"/>
  <c r="AL1467" i="1"/>
  <c r="Q1466" i="1"/>
  <c r="AL1466" i="1"/>
  <c r="Q1465" i="1"/>
  <c r="AL1465" i="1"/>
  <c r="Q1464" i="1"/>
  <c r="AL1464" i="1"/>
  <c r="Q1463" i="1"/>
  <c r="AL1463" i="1"/>
  <c r="Q1462" i="1"/>
  <c r="AL1462" i="1"/>
  <c r="Q1459" i="1"/>
  <c r="AL1459" i="1"/>
  <c r="Q1458" i="1"/>
  <c r="AL1458" i="1"/>
  <c r="Q1457" i="1"/>
  <c r="AL1457" i="1"/>
  <c r="Q1486" i="1"/>
  <c r="AL1486" i="1"/>
  <c r="Q1485" i="1"/>
  <c r="AL1485" i="1"/>
  <c r="Q1484" i="1"/>
  <c r="AL1484" i="1"/>
  <c r="Q1483" i="1"/>
  <c r="AL1483" i="1"/>
  <c r="Q1476" i="1"/>
  <c r="AL1476" i="1"/>
  <c r="Q1461" i="1"/>
  <c r="AL1461" i="1"/>
  <c r="R358" i="24"/>
  <c r="R346" i="24"/>
  <c r="R378" i="24"/>
  <c r="R290" i="24"/>
  <c r="R289" i="24"/>
  <c r="R351" i="24"/>
  <c r="R247" i="24"/>
  <c r="R337" i="24"/>
  <c r="R268" i="24"/>
  <c r="R375" i="24"/>
  <c r="R383" i="24"/>
  <c r="R267" i="24"/>
  <c r="R248" i="24"/>
  <c r="R365" i="24"/>
  <c r="R381" i="24"/>
  <c r="R356" i="24"/>
  <c r="R352" i="24"/>
  <c r="R281" i="24"/>
  <c r="R114" i="24"/>
  <c r="R242" i="24"/>
  <c r="R90" i="24"/>
  <c r="R241" i="24"/>
  <c r="R347" i="24"/>
  <c r="R403" i="24"/>
  <c r="R112" i="24"/>
  <c r="R266" i="24"/>
  <c r="R126" i="24"/>
  <c r="R115" i="24"/>
  <c r="R81" i="24"/>
  <c r="R83" i="24"/>
  <c r="R113" i="24"/>
  <c r="R99" i="24"/>
  <c r="R279" i="24"/>
  <c r="R43" i="24"/>
  <c r="R76" i="24"/>
  <c r="R226" i="24"/>
  <c r="R227" i="24"/>
  <c r="R74" i="24"/>
  <c r="AW1377" i="1"/>
  <c r="R221" i="24"/>
  <c r="R288" i="24"/>
  <c r="R334" i="24"/>
  <c r="R246" i="24"/>
  <c r="R270" i="24"/>
  <c r="R272" i="24"/>
  <c r="R264" i="24"/>
  <c r="R259" i="24"/>
  <c r="R214" i="24"/>
  <c r="R385" i="24"/>
  <c r="R224" i="24"/>
  <c r="R256" i="24"/>
  <c r="P26" i="109"/>
  <c r="Q26" i="111"/>
  <c r="Q55" i="111" s="1"/>
  <c r="C23" i="128" s="1"/>
  <c r="R26" i="15"/>
  <c r="F26" i="174"/>
  <c r="G26" i="174" s="1"/>
  <c r="J26" i="174" s="1"/>
  <c r="R26" i="174"/>
  <c r="F26" i="15"/>
  <c r="E23" i="117"/>
  <c r="F23" i="117" s="1"/>
  <c r="E24" i="178"/>
  <c r="F24" i="178" s="1"/>
  <c r="R12" i="24"/>
  <c r="R273" i="24"/>
  <c r="F17" i="111"/>
  <c r="V17" i="111" s="1"/>
  <c r="R17" i="15"/>
  <c r="F17" i="174"/>
  <c r="G17" i="174" s="1"/>
  <c r="R17" i="174"/>
  <c r="E13" i="178"/>
  <c r="E17" i="109"/>
  <c r="U17" i="109" s="1"/>
  <c r="F17" i="15"/>
  <c r="E12" i="117"/>
  <c r="F12" i="117" s="1"/>
  <c r="F21" i="178"/>
  <c r="D32" i="146"/>
  <c r="F32" i="146" s="1"/>
  <c r="D16" i="166" s="1"/>
  <c r="S50" i="174"/>
  <c r="P55" i="109"/>
  <c r="G50" i="174"/>
  <c r="J50" i="174" s="1"/>
  <c r="D13" i="128"/>
  <c r="C12" i="36"/>
  <c r="E13" i="150"/>
  <c r="D20" i="128"/>
  <c r="H20" i="128" s="1"/>
  <c r="G13" i="128"/>
  <c r="M55" i="109"/>
  <c r="G55" i="111"/>
  <c r="C13" i="128" s="1"/>
  <c r="N55" i="111"/>
  <c r="F34" i="48"/>
  <c r="F29" i="48"/>
  <c r="J52" i="15"/>
  <c r="C52" i="32" s="1"/>
  <c r="C51" i="12"/>
  <c r="F51" i="10"/>
  <c r="J53" i="15"/>
  <c r="C49" i="32" s="1"/>
  <c r="C46" i="12"/>
  <c r="F46" i="10"/>
  <c r="G51" i="39"/>
  <c r="G47" i="39"/>
  <c r="J2" i="1"/>
  <c r="G13" i="121" s="1"/>
  <c r="H16" i="166" l="1"/>
  <c r="D16" i="177"/>
  <c r="E16" i="177"/>
  <c r="C16" i="177"/>
  <c r="F13" i="178"/>
  <c r="C12" i="177" s="1"/>
  <c r="E55" i="109"/>
  <c r="S17" i="174"/>
  <c r="F55" i="111"/>
  <c r="C12" i="128" s="1"/>
  <c r="D12" i="128"/>
  <c r="H12" i="128" s="1"/>
  <c r="R55" i="174"/>
  <c r="U26" i="109"/>
  <c r="V26" i="111"/>
  <c r="G28" i="128"/>
  <c r="E23" i="128"/>
  <c r="S26" i="174"/>
  <c r="J17" i="174"/>
  <c r="C52" i="38"/>
  <c r="E52" i="38" s="1"/>
  <c r="E12" i="128"/>
  <c r="C20" i="128"/>
  <c r="E20" i="128"/>
  <c r="E14" i="128"/>
  <c r="H13" i="128"/>
  <c r="S13" i="121"/>
  <c r="C25" i="164" s="1"/>
  <c r="H55" i="111"/>
  <c r="C14" i="128" s="1"/>
  <c r="G55" i="109"/>
  <c r="F22" i="56"/>
  <c r="E22" i="56"/>
  <c r="F20" i="56"/>
  <c r="E20" i="56"/>
  <c r="C50" i="38"/>
  <c r="E50" i="38" s="1"/>
  <c r="C49" i="8"/>
  <c r="C52" i="8"/>
  <c r="F16" i="177" l="1"/>
  <c r="D12" i="177"/>
  <c r="E12" i="177"/>
  <c r="H25" i="128"/>
  <c r="H28" i="128" s="1"/>
  <c r="D28" i="128"/>
  <c r="G55" i="121"/>
  <c r="F36" i="56"/>
  <c r="E36" i="56"/>
  <c r="E41" i="48"/>
  <c r="E42" i="48"/>
  <c r="E43" i="48"/>
  <c r="D41" i="48"/>
  <c r="D42" i="48"/>
  <c r="D43" i="48"/>
  <c r="E40" i="48"/>
  <c r="D40" i="48"/>
  <c r="D15" i="44"/>
  <c r="E15" i="44" s="1"/>
  <c r="D16" i="44"/>
  <c r="E16" i="44" s="1"/>
  <c r="D17" i="44"/>
  <c r="E17" i="44" s="1"/>
  <c r="D18" i="44"/>
  <c r="E18" i="44" s="1"/>
  <c r="D19" i="44"/>
  <c r="E19" i="44" s="1"/>
  <c r="D20" i="44"/>
  <c r="E20" i="44" s="1"/>
  <c r="D21" i="44"/>
  <c r="E21" i="44" s="1"/>
  <c r="D22" i="44"/>
  <c r="E22" i="44" s="1"/>
  <c r="D23" i="44"/>
  <c r="E23" i="44" s="1"/>
  <c r="D24" i="44"/>
  <c r="E24" i="44" s="1"/>
  <c r="D25" i="44"/>
  <c r="E25" i="44" s="1"/>
  <c r="D26" i="44"/>
  <c r="E26" i="44" s="1"/>
  <c r="D27" i="44"/>
  <c r="E27" i="44" s="1"/>
  <c r="D28" i="44"/>
  <c r="E28" i="44" s="1"/>
  <c r="D29" i="44"/>
  <c r="E29" i="44" s="1"/>
  <c r="D30" i="44"/>
  <c r="E30" i="44" s="1"/>
  <c r="D31" i="44"/>
  <c r="E31" i="44" s="1"/>
  <c r="D32" i="44"/>
  <c r="E32" i="44" s="1"/>
  <c r="D33" i="44"/>
  <c r="E33" i="44" s="1"/>
  <c r="D34" i="44"/>
  <c r="E34" i="44" s="1"/>
  <c r="D35" i="44"/>
  <c r="E35" i="44" s="1"/>
  <c r="D36" i="44"/>
  <c r="E36" i="44" s="1"/>
  <c r="D37" i="44"/>
  <c r="E37" i="44" s="1"/>
  <c r="D38" i="44"/>
  <c r="E38" i="44" s="1"/>
  <c r="D39" i="44"/>
  <c r="E39" i="44" s="1"/>
  <c r="D40" i="44"/>
  <c r="E40" i="44" s="1"/>
  <c r="D41" i="44"/>
  <c r="E41" i="44" s="1"/>
  <c r="F56" i="44" s="1"/>
  <c r="D42" i="44"/>
  <c r="E42" i="44" s="1"/>
  <c r="D43" i="44"/>
  <c r="E43" i="44" s="1"/>
  <c r="D44" i="44"/>
  <c r="E44" i="44" s="1"/>
  <c r="D45" i="44"/>
  <c r="E45" i="44" s="1"/>
  <c r="D46" i="44"/>
  <c r="E46" i="44" s="1"/>
  <c r="D47" i="44"/>
  <c r="E47" i="44" s="1"/>
  <c r="D48" i="44"/>
  <c r="E48" i="44" s="1"/>
  <c r="D49" i="44"/>
  <c r="E49" i="44" s="1"/>
  <c r="D50" i="44"/>
  <c r="E50" i="44" s="1"/>
  <c r="D51" i="44"/>
  <c r="E51" i="44" s="1"/>
  <c r="D52" i="44"/>
  <c r="E52" i="44" s="1"/>
  <c r="D14" i="44"/>
  <c r="E14" i="44" s="1"/>
  <c r="D52" i="43"/>
  <c r="D51" i="43"/>
  <c r="D50" i="43"/>
  <c r="D49" i="43"/>
  <c r="D48" i="43"/>
  <c r="D47" i="43"/>
  <c r="D46" i="43"/>
  <c r="D45" i="43"/>
  <c r="D44" i="43"/>
  <c r="D43" i="43"/>
  <c r="D42" i="43"/>
  <c r="D41" i="43"/>
  <c r="D40" i="43"/>
  <c r="D39" i="43"/>
  <c r="D38" i="43"/>
  <c r="D37" i="43"/>
  <c r="D36" i="43"/>
  <c r="D35" i="43"/>
  <c r="D34" i="43"/>
  <c r="D33" i="43"/>
  <c r="D32" i="43"/>
  <c r="D31" i="43"/>
  <c r="D30" i="43"/>
  <c r="D29" i="43"/>
  <c r="D28" i="43"/>
  <c r="D27" i="43"/>
  <c r="D26" i="43"/>
  <c r="D25" i="43"/>
  <c r="D24" i="43"/>
  <c r="D23" i="43"/>
  <c r="D22" i="43"/>
  <c r="D21" i="43"/>
  <c r="D20" i="43"/>
  <c r="D19" i="43"/>
  <c r="D18" i="43"/>
  <c r="D17" i="43"/>
  <c r="D16" i="43"/>
  <c r="D15" i="43"/>
  <c r="D14" i="43"/>
  <c r="F12" i="177" l="1"/>
  <c r="F55" i="44"/>
  <c r="F54" i="44"/>
  <c r="F57" i="44"/>
  <c r="F45" i="44"/>
  <c r="F41" i="44"/>
  <c r="F53" i="44"/>
  <c r="F54" i="39"/>
  <c r="F52" i="44"/>
  <c r="F48" i="44"/>
  <c r="D39" i="48"/>
  <c r="E39" i="48"/>
  <c r="F37" i="44"/>
  <c r="F29" i="44"/>
  <c r="F17" i="44"/>
  <c r="F47" i="44"/>
  <c r="F44" i="44"/>
  <c r="F36" i="44"/>
  <c r="F24" i="44"/>
  <c r="F16" i="44"/>
  <c r="F50" i="44"/>
  <c r="F43" i="44"/>
  <c r="F39" i="44"/>
  <c r="F35" i="44"/>
  <c r="F31" i="44"/>
  <c r="F27" i="44"/>
  <c r="F23" i="44"/>
  <c r="F19" i="44"/>
  <c r="F15" i="44"/>
  <c r="F33" i="44"/>
  <c r="F25" i="44"/>
  <c r="F21" i="44"/>
  <c r="F51" i="44"/>
  <c r="F40" i="44"/>
  <c r="F32" i="44"/>
  <c r="F28" i="44"/>
  <c r="F20" i="44"/>
  <c r="F14" i="44"/>
  <c r="F49" i="44"/>
  <c r="F46" i="44"/>
  <c r="F42" i="44"/>
  <c r="F38" i="44"/>
  <c r="F34" i="44"/>
  <c r="F30" i="44"/>
  <c r="F26" i="44"/>
  <c r="F22" i="44"/>
  <c r="F18" i="44"/>
  <c r="C47" i="36"/>
  <c r="C53" i="36"/>
  <c r="C43" i="36"/>
  <c r="C49" i="36"/>
  <c r="C50" i="36"/>
  <c r="C41" i="41"/>
  <c r="D53" i="41" s="1"/>
  <c r="I14" i="15"/>
  <c r="D12" i="169" s="1"/>
  <c r="D27" i="38" s="1"/>
  <c r="G13" i="137" l="1"/>
  <c r="S19" i="15"/>
  <c r="S28" i="15"/>
  <c r="S30" i="15"/>
  <c r="S36" i="15"/>
  <c r="S48" i="15"/>
  <c r="C25" i="48"/>
  <c r="C26" i="48"/>
  <c r="C32" i="48"/>
  <c r="C33" i="48"/>
  <c r="C35" i="48"/>
  <c r="E33" i="48"/>
  <c r="D30" i="48"/>
  <c r="C46" i="39"/>
  <c r="C50" i="10"/>
  <c r="C50" i="39"/>
  <c r="C49" i="10"/>
  <c r="C37" i="39"/>
  <c r="C33" i="10"/>
  <c r="C40" i="39"/>
  <c r="C30" i="10"/>
  <c r="E36" i="39"/>
  <c r="E47" i="10"/>
  <c r="D16" i="39"/>
  <c r="D16" i="10"/>
  <c r="E35" i="39"/>
  <c r="E44" i="10"/>
  <c r="C41" i="39"/>
  <c r="C34" i="10"/>
  <c r="C36" i="39"/>
  <c r="C47" i="10"/>
  <c r="C45" i="39"/>
  <c r="C42" i="10"/>
  <c r="C39" i="39"/>
  <c r="C37" i="10"/>
  <c r="C42" i="39"/>
  <c r="C40" i="10"/>
  <c r="C30" i="39"/>
  <c r="C32" i="10"/>
  <c r="C35" i="39"/>
  <c r="C44" i="10"/>
  <c r="C21" i="39"/>
  <c r="C28" i="10"/>
  <c r="E49" i="39"/>
  <c r="E52" i="10"/>
  <c r="E46" i="39"/>
  <c r="E50" i="10"/>
  <c r="C33" i="39"/>
  <c r="C38" i="10"/>
  <c r="C44" i="39"/>
  <c r="C43" i="10"/>
  <c r="C27" i="39"/>
  <c r="C36" i="10"/>
  <c r="C19" i="39"/>
  <c r="C26" i="10"/>
  <c r="C28" i="39"/>
  <c r="C29" i="10"/>
  <c r="C43" i="39"/>
  <c r="C39" i="10"/>
  <c r="C49" i="39"/>
  <c r="C52" i="10"/>
  <c r="C32" i="39"/>
  <c r="C45" i="10"/>
  <c r="E27" i="39"/>
  <c r="E36" i="10"/>
  <c r="D15" i="41"/>
  <c r="D45" i="41"/>
  <c r="D37" i="41"/>
  <c r="D29" i="41"/>
  <c r="D52" i="41"/>
  <c r="D21" i="41"/>
  <c r="D14" i="41"/>
  <c r="D46" i="41"/>
  <c r="D38" i="41"/>
  <c r="D30" i="41"/>
  <c r="D22" i="41"/>
  <c r="D49" i="41"/>
  <c r="D42" i="41"/>
  <c r="D34" i="41"/>
  <c r="D26" i="41"/>
  <c r="D18" i="41"/>
  <c r="D48" i="41"/>
  <c r="D41" i="41"/>
  <c r="D33" i="41"/>
  <c r="D25" i="41"/>
  <c r="D17" i="41"/>
  <c r="D51" i="41"/>
  <c r="D47" i="41"/>
  <c r="D44" i="41"/>
  <c r="D40" i="41"/>
  <c r="D36" i="41"/>
  <c r="D32" i="41"/>
  <c r="D28" i="41"/>
  <c r="D24" i="41"/>
  <c r="D20" i="41"/>
  <c r="D16" i="41"/>
  <c r="D50" i="41"/>
  <c r="D43" i="41"/>
  <c r="D39" i="41"/>
  <c r="D35" i="41"/>
  <c r="D31" i="41"/>
  <c r="D27" i="41"/>
  <c r="D23" i="41"/>
  <c r="D19" i="41"/>
  <c r="C41" i="48" l="1"/>
  <c r="F41" i="48" s="1"/>
  <c r="I49" i="15"/>
  <c r="I48" i="15"/>
  <c r="I39" i="15"/>
  <c r="D33" i="169" s="1"/>
  <c r="D21" i="38" s="1"/>
  <c r="I13" i="15"/>
  <c r="I38" i="15"/>
  <c r="I42" i="15"/>
  <c r="I16" i="15"/>
  <c r="D14" i="169" s="1"/>
  <c r="D17" i="38" s="1"/>
  <c r="I50" i="15"/>
  <c r="D43" i="169" s="1"/>
  <c r="D30" i="38" s="1"/>
  <c r="I25" i="15"/>
  <c r="I31" i="15"/>
  <c r="I35" i="15"/>
  <c r="I47" i="15"/>
  <c r="I22" i="15"/>
  <c r="I33" i="15"/>
  <c r="I44" i="15"/>
  <c r="I21" i="15"/>
  <c r="I32" i="15"/>
  <c r="I34" i="15"/>
  <c r="I20" i="15"/>
  <c r="D17" i="169" s="1"/>
  <c r="D15" i="38" s="1"/>
  <c r="I37" i="15"/>
  <c r="I46" i="15"/>
  <c r="I30" i="15"/>
  <c r="I24" i="15"/>
  <c r="I27" i="15"/>
  <c r="I41" i="15"/>
  <c r="I28" i="15"/>
  <c r="D24" i="169" s="1"/>
  <c r="I43" i="15"/>
  <c r="I45" i="15"/>
  <c r="I36" i="15"/>
  <c r="I40" i="15"/>
  <c r="I26" i="15"/>
  <c r="I51" i="15"/>
  <c r="G23" i="137" l="1"/>
  <c r="K12" i="148" s="1"/>
  <c r="D22" i="169"/>
  <c r="D22" i="38" s="1"/>
  <c r="G34" i="137"/>
  <c r="D34" i="169"/>
  <c r="D12" i="38" s="1"/>
  <c r="G31" i="137"/>
  <c r="D31" i="169"/>
  <c r="D40" i="38" s="1"/>
  <c r="G38" i="137"/>
  <c r="D38" i="169"/>
  <c r="D32" i="38" s="1"/>
  <c r="G36" i="137"/>
  <c r="D36" i="169"/>
  <c r="D19" i="38" s="1"/>
  <c r="G25" i="137"/>
  <c r="D26" i="38"/>
  <c r="G35" i="137"/>
  <c r="D35" i="169"/>
  <c r="D35" i="38" s="1"/>
  <c r="G24" i="137"/>
  <c r="D23" i="169"/>
  <c r="D42" i="38" s="1"/>
  <c r="G21" i="137"/>
  <c r="D20" i="169"/>
  <c r="D24" i="38" s="1"/>
  <c r="G26" i="137"/>
  <c r="D26" i="169"/>
  <c r="D41" i="38" s="1"/>
  <c r="G39" i="137"/>
  <c r="K17" i="148" s="1"/>
  <c r="D39" i="169"/>
  <c r="D34" i="38" s="1"/>
  <c r="G32" i="137"/>
  <c r="K13" i="148" s="1"/>
  <c r="D32" i="169"/>
  <c r="D25" i="38" s="1"/>
  <c r="G29" i="137"/>
  <c r="D29" i="169"/>
  <c r="D18" i="38" s="1"/>
  <c r="G19" i="137"/>
  <c r="D18" i="169"/>
  <c r="D20" i="38" s="1"/>
  <c r="G37" i="137"/>
  <c r="D37" i="169"/>
  <c r="D16" i="38" s="1"/>
  <c r="G28" i="137"/>
  <c r="D28" i="169"/>
  <c r="D14" i="38" s="1"/>
  <c r="G20" i="137"/>
  <c r="D19" i="169"/>
  <c r="D13" i="38" s="1"/>
  <c r="G40" i="137"/>
  <c r="D40" i="169"/>
  <c r="D29" i="38" s="1"/>
  <c r="G30" i="137"/>
  <c r="D30" i="169"/>
  <c r="D37" i="38" s="1"/>
  <c r="G27" i="137"/>
  <c r="K14" i="148" s="1"/>
  <c r="D27" i="169"/>
  <c r="D45" i="38" s="1"/>
  <c r="G22" i="137"/>
  <c r="K18" i="148" s="1"/>
  <c r="D21" i="169"/>
  <c r="D44" i="38" s="1"/>
  <c r="D41" i="169"/>
  <c r="D38" i="38" s="1"/>
  <c r="D42" i="169"/>
  <c r="D43" i="38" s="1"/>
  <c r="G18" i="137"/>
  <c r="G41" i="137"/>
  <c r="K16" i="148" s="1"/>
  <c r="G15" i="137"/>
  <c r="G33" i="137"/>
  <c r="C29" i="39"/>
  <c r="C41" i="10"/>
  <c r="C40" i="48"/>
  <c r="F40" i="48" s="1"/>
  <c r="C43" i="48"/>
  <c r="F43" i="48" s="1"/>
  <c r="C42" i="48"/>
  <c r="F42" i="48" s="1"/>
  <c r="S23" i="15"/>
  <c r="F24" i="56" l="1"/>
  <c r="E24" i="56"/>
  <c r="F28" i="56"/>
  <c r="E28" i="56"/>
  <c r="C26" i="39"/>
  <c r="C27" i="10"/>
  <c r="C24" i="39"/>
  <c r="C22" i="10"/>
  <c r="C28" i="36"/>
  <c r="C31" i="36"/>
  <c r="F17" i="48"/>
  <c r="E16" i="48"/>
  <c r="E13" i="10" s="1"/>
  <c r="C16" i="48"/>
  <c r="F18" i="48"/>
  <c r="F39" i="48"/>
  <c r="C39" i="48"/>
  <c r="E57" i="43" l="1"/>
  <c r="M54" i="174" s="1"/>
  <c r="E56" i="43"/>
  <c r="G57" i="44"/>
  <c r="L54" i="174" s="1"/>
  <c r="G56" i="44"/>
  <c r="C46" i="36"/>
  <c r="E19" i="150"/>
  <c r="S13" i="15"/>
  <c r="S42" i="15"/>
  <c r="S22" i="15"/>
  <c r="C31" i="48"/>
  <c r="D26" i="48"/>
  <c r="E25" i="48"/>
  <c r="D23" i="48"/>
  <c r="E32" i="48"/>
  <c r="D33" i="48"/>
  <c r="D32" i="48"/>
  <c r="C13" i="10"/>
  <c r="C13" i="56"/>
  <c r="D27" i="39"/>
  <c r="D36" i="10"/>
  <c r="D13" i="39"/>
  <c r="D15" i="10"/>
  <c r="D40" i="39"/>
  <c r="D30" i="10"/>
  <c r="C18" i="39"/>
  <c r="C19" i="10"/>
  <c r="D39" i="39"/>
  <c r="D37" i="10"/>
  <c r="C25" i="39"/>
  <c r="C21" i="10"/>
  <c r="C23" i="39"/>
  <c r="C20" i="10"/>
  <c r="D37" i="39"/>
  <c r="D33" i="10"/>
  <c r="C20" i="39"/>
  <c r="C23" i="10"/>
  <c r="C38" i="39"/>
  <c r="C35" i="10"/>
  <c r="E37" i="39"/>
  <c r="E33" i="10"/>
  <c r="C13" i="39"/>
  <c r="C15" i="10"/>
  <c r="D15" i="39"/>
  <c r="D14" i="10"/>
  <c r="C34" i="39"/>
  <c r="C31" i="10"/>
  <c r="E41" i="39"/>
  <c r="E34" i="10"/>
  <c r="E40" i="39"/>
  <c r="E30" i="10"/>
  <c r="C31" i="39"/>
  <c r="C25" i="10"/>
  <c r="D50" i="39"/>
  <c r="D49" i="10"/>
  <c r="G22" i="15"/>
  <c r="J20" i="137" s="1"/>
  <c r="K20" i="137" s="1"/>
  <c r="G48" i="15"/>
  <c r="G42" i="15"/>
  <c r="E54" i="43"/>
  <c r="M52" i="174" s="1"/>
  <c r="E55" i="43"/>
  <c r="M53" i="174" s="1"/>
  <c r="E53" i="43"/>
  <c r="M23" i="174" s="1"/>
  <c r="G54" i="44"/>
  <c r="L52" i="174" s="1"/>
  <c r="G55" i="44"/>
  <c r="L53" i="174" s="1"/>
  <c r="G16" i="44"/>
  <c r="L16" i="174" s="1"/>
  <c r="G53" i="44"/>
  <c r="L23" i="174" s="1"/>
  <c r="G48" i="44"/>
  <c r="L48" i="174" s="1"/>
  <c r="G27" i="44"/>
  <c r="L30" i="174" s="1"/>
  <c r="G51" i="44"/>
  <c r="L13" i="174" s="1"/>
  <c r="G37" i="44"/>
  <c r="L44" i="174" s="1"/>
  <c r="G18" i="44"/>
  <c r="L19" i="174" s="1"/>
  <c r="G52" i="44"/>
  <c r="L42" i="174" s="1"/>
  <c r="G21" i="44"/>
  <c r="L22" i="174" s="1"/>
  <c r="G33" i="44"/>
  <c r="L37" i="174" s="1"/>
  <c r="G14" i="44"/>
  <c r="L14" i="174" s="1"/>
  <c r="G36" i="44"/>
  <c r="L43" i="174" s="1"/>
  <c r="G44" i="44"/>
  <c r="L50" i="174" s="1"/>
  <c r="G41" i="44"/>
  <c r="G28" i="44"/>
  <c r="L31" i="174" s="1"/>
  <c r="G17" i="44"/>
  <c r="L18" i="174" s="1"/>
  <c r="G38" i="44"/>
  <c r="L45" i="174" s="1"/>
  <c r="G20" i="44"/>
  <c r="L21" i="174" s="1"/>
  <c r="G50" i="44"/>
  <c r="L38" i="174" s="1"/>
  <c r="G25" i="44"/>
  <c r="L27" i="174" s="1"/>
  <c r="G31" i="44"/>
  <c r="L35" i="174" s="1"/>
  <c r="G40" i="44"/>
  <c r="L47" i="174" s="1"/>
  <c r="G22" i="44"/>
  <c r="L24" i="174" s="1"/>
  <c r="G39" i="44"/>
  <c r="L46" i="174" s="1"/>
  <c r="G15" i="44"/>
  <c r="L15" i="174" s="1"/>
  <c r="G35" i="44"/>
  <c r="L41" i="174" s="1"/>
  <c r="G42" i="44"/>
  <c r="L51" i="174" s="1"/>
  <c r="G24" i="44"/>
  <c r="L26" i="174" s="1"/>
  <c r="G45" i="44"/>
  <c r="L32" i="174" s="1"/>
  <c r="G23" i="44"/>
  <c r="L25" i="174" s="1"/>
  <c r="G49" i="44"/>
  <c r="L39" i="174" s="1"/>
  <c r="G19" i="44"/>
  <c r="L20" i="174" s="1"/>
  <c r="G30" i="44"/>
  <c r="L34" i="174" s="1"/>
  <c r="G26" i="44"/>
  <c r="L28" i="174" s="1"/>
  <c r="G43" i="44"/>
  <c r="L17" i="174" s="1"/>
  <c r="G29" i="44"/>
  <c r="L33" i="174" s="1"/>
  <c r="G46" i="44"/>
  <c r="G34" i="44"/>
  <c r="L40" i="174" s="1"/>
  <c r="G47" i="44"/>
  <c r="L49" i="174" s="1"/>
  <c r="G32" i="44"/>
  <c r="L36" i="174" s="1"/>
  <c r="E27" i="43"/>
  <c r="M30" i="174" s="1"/>
  <c r="E43" i="43"/>
  <c r="M17" i="174" s="1"/>
  <c r="E24" i="43"/>
  <c r="M26" i="174" s="1"/>
  <c r="E40" i="43"/>
  <c r="M47" i="174" s="1"/>
  <c r="E17" i="43"/>
  <c r="M18" i="174" s="1"/>
  <c r="E48" i="43"/>
  <c r="M48" i="174" s="1"/>
  <c r="E15" i="43"/>
  <c r="M15" i="174" s="1"/>
  <c r="E31" i="43"/>
  <c r="M35" i="174" s="1"/>
  <c r="E50" i="43"/>
  <c r="M38" i="174" s="1"/>
  <c r="E28" i="43"/>
  <c r="M31" i="174" s="1"/>
  <c r="E44" i="43"/>
  <c r="M50" i="174" s="1"/>
  <c r="E21" i="43"/>
  <c r="M22" i="174" s="1"/>
  <c r="E37" i="43"/>
  <c r="M44" i="174" s="1"/>
  <c r="E52" i="43"/>
  <c r="M42" i="174" s="1"/>
  <c r="E30" i="43"/>
  <c r="M34" i="174" s="1"/>
  <c r="E46" i="43"/>
  <c r="E19" i="43"/>
  <c r="E35" i="43"/>
  <c r="M41" i="174" s="1"/>
  <c r="E16" i="43"/>
  <c r="M16" i="174" s="1"/>
  <c r="E32" i="43"/>
  <c r="M36" i="174" s="1"/>
  <c r="E47" i="43"/>
  <c r="M49" i="174" s="1"/>
  <c r="E25" i="43"/>
  <c r="M27" i="174" s="1"/>
  <c r="E41" i="43"/>
  <c r="E18" i="43"/>
  <c r="M19" i="174" s="1"/>
  <c r="E34" i="43"/>
  <c r="M40" i="174" s="1"/>
  <c r="E49" i="43"/>
  <c r="M39" i="174" s="1"/>
  <c r="E23" i="43"/>
  <c r="M25" i="174" s="1"/>
  <c r="E39" i="43"/>
  <c r="M46" i="174" s="1"/>
  <c r="E20" i="43"/>
  <c r="M21" i="174" s="1"/>
  <c r="E36" i="43"/>
  <c r="M43" i="174" s="1"/>
  <c r="E51" i="43"/>
  <c r="E29" i="43"/>
  <c r="M33" i="174" s="1"/>
  <c r="E45" i="43"/>
  <c r="M32" i="174" s="1"/>
  <c r="E22" i="43"/>
  <c r="M24" i="174" s="1"/>
  <c r="E38" i="43"/>
  <c r="M45" i="174" s="1"/>
  <c r="E14" i="43"/>
  <c r="M14" i="174" s="1"/>
  <c r="E33" i="43"/>
  <c r="M37" i="174" s="1"/>
  <c r="E26" i="43"/>
  <c r="M28" i="174" s="1"/>
  <c r="E42" i="43"/>
  <c r="M51" i="174" s="1"/>
  <c r="M54" i="15" l="1"/>
  <c r="L54" i="15"/>
  <c r="M13" i="174"/>
  <c r="M13" i="15"/>
  <c r="M20" i="174"/>
  <c r="M20" i="15"/>
  <c r="M29" i="15"/>
  <c r="M29" i="174"/>
  <c r="L29" i="15"/>
  <c r="L29" i="174"/>
  <c r="L55" i="174" s="1"/>
  <c r="I15" i="153"/>
  <c r="D19" i="150"/>
  <c r="F25" i="56"/>
  <c r="E25" i="56"/>
  <c r="F18" i="56"/>
  <c r="E18" i="56"/>
  <c r="F15" i="56"/>
  <c r="E15" i="56"/>
  <c r="F13" i="56"/>
  <c r="E13" i="56"/>
  <c r="F29" i="56"/>
  <c r="E29" i="56"/>
  <c r="F21" i="56"/>
  <c r="E21" i="56"/>
  <c r="F26" i="56"/>
  <c r="E26" i="56"/>
  <c r="M51" i="15"/>
  <c r="M28" i="15"/>
  <c r="M37" i="15"/>
  <c r="M14" i="15"/>
  <c r="M45" i="15"/>
  <c r="M24" i="15"/>
  <c r="M32" i="15"/>
  <c r="M33" i="15"/>
  <c r="M43" i="15"/>
  <c r="M21" i="15"/>
  <c r="M46" i="15"/>
  <c r="M25" i="15"/>
  <c r="M39" i="15"/>
  <c r="M40" i="15"/>
  <c r="M19" i="15"/>
  <c r="M27" i="15"/>
  <c r="M49" i="15"/>
  <c r="M36" i="15"/>
  <c r="M16" i="15"/>
  <c r="M41" i="15"/>
  <c r="M34" i="15"/>
  <c r="M42" i="15"/>
  <c r="M44" i="15"/>
  <c r="M22" i="15"/>
  <c r="M50" i="15"/>
  <c r="M31" i="15"/>
  <c r="M38" i="15"/>
  <c r="M35" i="15"/>
  <c r="M15" i="15"/>
  <c r="M48" i="15"/>
  <c r="M18" i="15"/>
  <c r="M47" i="15"/>
  <c r="M26" i="15"/>
  <c r="M17" i="15"/>
  <c r="M30" i="15"/>
  <c r="L36" i="15"/>
  <c r="L49" i="15"/>
  <c r="L40" i="15"/>
  <c r="L33" i="15"/>
  <c r="L17" i="15"/>
  <c r="L28" i="15"/>
  <c r="L34" i="15"/>
  <c r="L20" i="15"/>
  <c r="L39" i="15"/>
  <c r="L25" i="15"/>
  <c r="L32" i="15"/>
  <c r="L26" i="15"/>
  <c r="L51" i="15"/>
  <c r="L41" i="15"/>
  <c r="L15" i="15"/>
  <c r="L46" i="15"/>
  <c r="L24" i="15"/>
  <c r="L47" i="15"/>
  <c r="L35" i="15"/>
  <c r="L27" i="15"/>
  <c r="L38" i="15"/>
  <c r="L21" i="15"/>
  <c r="L45" i="15"/>
  <c r="L18" i="15"/>
  <c r="L31" i="15"/>
  <c r="L50" i="15"/>
  <c r="L43" i="15"/>
  <c r="L14" i="15"/>
  <c r="L37" i="15"/>
  <c r="L22" i="15"/>
  <c r="L42" i="15"/>
  <c r="L19" i="15"/>
  <c r="L44" i="15"/>
  <c r="L13" i="15"/>
  <c r="L30" i="15"/>
  <c r="L48" i="15"/>
  <c r="L16" i="15"/>
  <c r="L53" i="15"/>
  <c r="L52" i="15"/>
  <c r="M53" i="15"/>
  <c r="M52" i="15"/>
  <c r="F32" i="48"/>
  <c r="F33" i="48"/>
  <c r="G37" i="39"/>
  <c r="J48" i="15"/>
  <c r="C41" i="12"/>
  <c r="F36" i="10"/>
  <c r="C35" i="12"/>
  <c r="F30" i="10"/>
  <c r="C36" i="12"/>
  <c r="F33" i="10"/>
  <c r="J42" i="15"/>
  <c r="J22" i="15"/>
  <c r="G27" i="39"/>
  <c r="G40" i="39"/>
  <c r="M23" i="15"/>
  <c r="E12" i="56"/>
  <c r="L23" i="15"/>
  <c r="M55" i="174" l="1"/>
  <c r="H20" i="137"/>
  <c r="C38" i="38"/>
  <c r="E38" i="38" s="1"/>
  <c r="C47" i="38"/>
  <c r="E47" i="38" s="1"/>
  <c r="D15" i="153"/>
  <c r="M55" i="15"/>
  <c r="L55" i="15"/>
  <c r="C22" i="48"/>
  <c r="C23" i="48"/>
  <c r="D22" i="48"/>
  <c r="F12" i="56"/>
  <c r="C15" i="39"/>
  <c r="C14" i="10"/>
  <c r="D12" i="39"/>
  <c r="D12" i="10"/>
  <c r="C14" i="39"/>
  <c r="C18" i="10"/>
  <c r="C12" i="39"/>
  <c r="C12" i="10"/>
  <c r="D28" i="39"/>
  <c r="D29" i="10"/>
  <c r="C42" i="8"/>
  <c r="C40" i="8"/>
  <c r="C45" i="32"/>
  <c r="C46" i="32"/>
  <c r="E14" i="56"/>
  <c r="F16" i="56" l="1"/>
  <c r="E16" i="56"/>
  <c r="F23" i="56"/>
  <c r="E23" i="56"/>
  <c r="C24" i="48"/>
  <c r="C21" i="48" s="1"/>
  <c r="F14" i="56"/>
  <c r="C17" i="39"/>
  <c r="C17" i="10"/>
  <c r="D24" i="48" l="1"/>
  <c r="D46" i="39"/>
  <c r="D50" i="10"/>
  <c r="D17" i="39"/>
  <c r="D17" i="10"/>
  <c r="G19" i="15"/>
  <c r="J17" i="137" s="1"/>
  <c r="K17" i="137" s="1"/>
  <c r="C30" i="36"/>
  <c r="S33" i="15" l="1"/>
  <c r="C47" i="12"/>
  <c r="F50" i="10"/>
  <c r="E38" i="39"/>
  <c r="E35" i="10"/>
  <c r="G46" i="39"/>
  <c r="D34" i="39" l="1"/>
  <c r="D31" i="10"/>
  <c r="I23" i="15"/>
  <c r="G43" i="137" s="1"/>
  <c r="K15" i="148" s="1"/>
  <c r="K20" i="148" s="1"/>
  <c r="I15" i="15" l="1"/>
  <c r="I17" i="15"/>
  <c r="I18" i="15"/>
  <c r="I19" i="15"/>
  <c r="D16" i="169" s="1"/>
  <c r="D28" i="38" s="1"/>
  <c r="G16" i="137" l="1"/>
  <c r="D15" i="169"/>
  <c r="D23" i="38" s="1"/>
  <c r="G14" i="137"/>
  <c r="D13" i="169"/>
  <c r="D33" i="38" s="1"/>
  <c r="G17" i="137"/>
  <c r="I55" i="15"/>
  <c r="J19" i="15"/>
  <c r="H17" i="137" l="1"/>
  <c r="D43" i="39" l="1"/>
  <c r="D39" i="10"/>
  <c r="C35" i="36"/>
  <c r="C36" i="36"/>
  <c r="C28" i="38"/>
  <c r="E28" i="38" s="1"/>
  <c r="S35" i="15" l="1"/>
  <c r="S18" i="15"/>
  <c r="C15" i="48"/>
  <c r="C30" i="48"/>
  <c r="C28" i="48" s="1"/>
  <c r="E17" i="56"/>
  <c r="D55" i="15"/>
  <c r="C16" i="39"/>
  <c r="C16" i="10"/>
  <c r="D30" i="39"/>
  <c r="D32" i="10"/>
  <c r="D25" i="39"/>
  <c r="D21" i="10"/>
  <c r="E44" i="39"/>
  <c r="E43" i="10"/>
  <c r="E43" i="39"/>
  <c r="G43" i="39" s="1"/>
  <c r="E39" i="10"/>
  <c r="C22" i="39"/>
  <c r="C24" i="10"/>
  <c r="D38" i="39"/>
  <c r="D35" i="10"/>
  <c r="G18" i="15"/>
  <c r="J16" i="137" s="1"/>
  <c r="K16" i="137" s="1"/>
  <c r="G33" i="15"/>
  <c r="J28" i="137" s="1"/>
  <c r="K28" i="137" s="1"/>
  <c r="C40" i="32"/>
  <c r="C47" i="8"/>
  <c r="F19" i="56" l="1"/>
  <c r="E19" i="56"/>
  <c r="E38" i="56" s="1"/>
  <c r="C38" i="56"/>
  <c r="F17" i="56"/>
  <c r="C37" i="12"/>
  <c r="F35" i="10"/>
  <c r="J18" i="15"/>
  <c r="C42" i="12"/>
  <c r="F39" i="10"/>
  <c r="J33" i="15"/>
  <c r="G38" i="39"/>
  <c r="C54" i="39"/>
  <c r="C55" i="10"/>
  <c r="C14" i="48"/>
  <c r="C13" i="38"/>
  <c r="E13" i="38" s="1"/>
  <c r="C14" i="38" l="1"/>
  <c r="E14" i="38" s="1"/>
  <c r="H28" i="137"/>
  <c r="C23" i="38"/>
  <c r="E23" i="38" s="1"/>
  <c r="H16" i="137"/>
  <c r="C26" i="8"/>
  <c r="C22" i="32"/>
  <c r="C12" i="32"/>
  <c r="C12" i="8"/>
  <c r="C13" i="32"/>
  <c r="C13" i="8"/>
  <c r="G13" i="53" l="1"/>
  <c r="G12" i="53" l="1"/>
  <c r="G55" i="53" s="1"/>
  <c r="C14" i="36" l="1"/>
  <c r="E15" i="150"/>
  <c r="S26" i="15"/>
  <c r="E13" i="39"/>
  <c r="G13" i="39" s="1"/>
  <c r="E15" i="10"/>
  <c r="G26" i="15"/>
  <c r="C15" i="135" s="1"/>
  <c r="D15" i="150" l="1"/>
  <c r="I14" i="153"/>
  <c r="J23" i="137"/>
  <c r="K23" i="137" s="1"/>
  <c r="E18" i="135"/>
  <c r="C18" i="36"/>
  <c r="J26" i="15"/>
  <c r="C13" i="12"/>
  <c r="F15" i="10"/>
  <c r="H23" i="137" l="1"/>
  <c r="D13" i="153"/>
  <c r="S21" i="15"/>
  <c r="C29" i="36"/>
  <c r="C22" i="38"/>
  <c r="E22" i="38" s="1"/>
  <c r="C25" i="32"/>
  <c r="C28" i="8"/>
  <c r="E25" i="39"/>
  <c r="G25" i="39" s="1"/>
  <c r="E21" i="10"/>
  <c r="G21" i="15"/>
  <c r="J19" i="137" s="1"/>
  <c r="K19" i="137" s="1"/>
  <c r="S15" i="15" l="1"/>
  <c r="C23" i="12"/>
  <c r="F21" i="10"/>
  <c r="J21" i="15"/>
  <c r="E30" i="39"/>
  <c r="G30" i="39" s="1"/>
  <c r="E32" i="10"/>
  <c r="G15" i="15"/>
  <c r="J14" i="137" s="1"/>
  <c r="K14" i="137" s="1"/>
  <c r="H19" i="137" l="1"/>
  <c r="S51" i="15"/>
  <c r="C27" i="12"/>
  <c r="J15" i="15"/>
  <c r="F32" i="10"/>
  <c r="C20" i="38"/>
  <c r="E20" i="38" s="1"/>
  <c r="C17" i="8"/>
  <c r="C17" i="32"/>
  <c r="H14" i="137" l="1"/>
  <c r="E22" i="48"/>
  <c r="C33" i="38"/>
  <c r="E33" i="38" s="1"/>
  <c r="C33" i="32"/>
  <c r="C36" i="8"/>
  <c r="E12" i="10"/>
  <c r="E12" i="39"/>
  <c r="G51" i="15"/>
  <c r="I12" i="153" l="1"/>
  <c r="D13" i="150"/>
  <c r="F22" i="48"/>
  <c r="J51" i="15"/>
  <c r="C12" i="12"/>
  <c r="F12" i="10"/>
  <c r="G12" i="39"/>
  <c r="D12" i="153" l="1"/>
  <c r="C31" i="38"/>
  <c r="E31" i="38" s="1"/>
  <c r="C32" i="32"/>
  <c r="C23" i="8"/>
  <c r="C45" i="36" l="1"/>
  <c r="S14" i="15" l="1"/>
  <c r="E26" i="39"/>
  <c r="E27" i="10"/>
  <c r="D25" i="48" l="1"/>
  <c r="D21" i="48" s="1"/>
  <c r="D41" i="39"/>
  <c r="G41" i="39" s="1"/>
  <c r="D34" i="10"/>
  <c r="G13" i="15"/>
  <c r="F25" i="48" l="1"/>
  <c r="F34" i="10"/>
  <c r="C40" i="12"/>
  <c r="J13" i="15"/>
  <c r="C48" i="38" l="1"/>
  <c r="E48" i="38" s="1"/>
  <c r="C47" i="32"/>
  <c r="C43" i="8"/>
  <c r="C39" i="36" l="1"/>
  <c r="S49" i="15" l="1"/>
  <c r="E35" i="48"/>
  <c r="E32" i="39"/>
  <c r="E45" i="10"/>
  <c r="C20" i="36" l="1"/>
  <c r="S47" i="15" l="1"/>
  <c r="E22" i="10"/>
  <c r="E24" i="39"/>
  <c r="D14" i="39" l="1"/>
  <c r="D18" i="10"/>
  <c r="D26" i="39" l="1"/>
  <c r="G26" i="39" s="1"/>
  <c r="G14" i="15"/>
  <c r="D27" i="10"/>
  <c r="J13" i="137" l="1"/>
  <c r="F27" i="10"/>
  <c r="C25" i="12"/>
  <c r="J14" i="15"/>
  <c r="C27" i="38" l="1"/>
  <c r="E27" i="38" s="1"/>
  <c r="H13" i="137"/>
  <c r="K13" i="137"/>
  <c r="C29" i="8"/>
  <c r="C26" i="32"/>
  <c r="D18" i="39" l="1"/>
  <c r="D19" i="10"/>
  <c r="D29" i="39" l="1"/>
  <c r="D41" i="10"/>
  <c r="D21" i="39" l="1"/>
  <c r="D28" i="10"/>
  <c r="C19" i="36" l="1"/>
  <c r="S17" i="15" l="1"/>
  <c r="E24" i="48"/>
  <c r="E17" i="39"/>
  <c r="G17" i="39" s="1"/>
  <c r="G17" i="15"/>
  <c r="E17" i="10"/>
  <c r="F24" i="48" l="1"/>
  <c r="F17" i="10"/>
  <c r="J17" i="15"/>
  <c r="C20" i="12"/>
  <c r="C36" i="38" l="1"/>
  <c r="E36" i="38" s="1"/>
  <c r="C35" i="32"/>
  <c r="C27" i="8"/>
  <c r="D26" i="10" l="1"/>
  <c r="D22" i="39"/>
  <c r="D24" i="10"/>
  <c r="D19" i="39"/>
  <c r="C22" i="36" l="1"/>
  <c r="S39" i="15" l="1"/>
  <c r="E31" i="48"/>
  <c r="E20" i="10"/>
  <c r="E23" i="39"/>
  <c r="C34" i="36" l="1"/>
  <c r="S27" i="15" l="1"/>
  <c r="E42" i="39"/>
  <c r="E40" i="10"/>
  <c r="D36" i="48" l="1"/>
  <c r="G54" i="15"/>
  <c r="J54" i="15" s="1"/>
  <c r="C51" i="32" s="1"/>
  <c r="D53" i="10"/>
  <c r="D52" i="39"/>
  <c r="G52" i="39" s="1"/>
  <c r="BO28" i="92"/>
  <c r="AB34" i="64"/>
  <c r="CJ28" i="92"/>
  <c r="CD28" i="92"/>
  <c r="BQ28" i="92"/>
  <c r="BN28" i="92"/>
  <c r="AC34" i="64"/>
  <c r="CC28" i="92"/>
  <c r="BT28" i="92"/>
  <c r="BP28" i="92"/>
  <c r="BV28" i="92"/>
  <c r="CH28" i="92"/>
  <c r="CE28" i="92"/>
  <c r="AD34" i="64" l="1"/>
  <c r="AB13" i="64"/>
  <c r="AB15" i="64"/>
  <c r="AC13" i="64"/>
  <c r="AD13" i="64" s="1"/>
  <c r="AC15" i="64"/>
  <c r="CB28" i="92"/>
  <c r="Q33" i="64"/>
  <c r="Q15" i="64" s="1"/>
  <c r="K37" i="64"/>
  <c r="K15" i="64" s="1"/>
  <c r="CI28" i="92"/>
  <c r="F15" i="155"/>
  <c r="CF28" i="92"/>
  <c r="F14" i="155"/>
  <c r="BR28" i="92"/>
  <c r="K55" i="109"/>
  <c r="E14" i="155"/>
  <c r="P14" i="141"/>
  <c r="O14" i="141" s="1"/>
  <c r="Q14" i="141" s="1"/>
  <c r="R14" i="141" s="1"/>
  <c r="E15" i="155"/>
  <c r="E25" i="155" s="1"/>
  <c r="P17" i="141"/>
  <c r="O17" i="141" s="1"/>
  <c r="Q17" i="141" s="1"/>
  <c r="R17" i="141" s="1"/>
  <c r="C15" i="155"/>
  <c r="E23" i="155" s="1"/>
  <c r="P20" i="141"/>
  <c r="O20" i="141" s="1"/>
  <c r="Q20" i="141" s="1"/>
  <c r="R20" i="141" s="1"/>
  <c r="D15" i="155"/>
  <c r="C14" i="155"/>
  <c r="F18" i="117"/>
  <c r="C52" i="12"/>
  <c r="BD52" i="92"/>
  <c r="BB52" i="92"/>
  <c r="AN52" i="92"/>
  <c r="AP52" i="92"/>
  <c r="AM52" i="92"/>
  <c r="BA52" i="92"/>
  <c r="AZ52" i="92"/>
  <c r="BG52" i="92"/>
  <c r="BF52" i="92"/>
  <c r="F36" i="48"/>
  <c r="F53" i="10"/>
  <c r="AL52" i="92"/>
  <c r="AR52" i="92"/>
  <c r="AS52" i="92"/>
  <c r="AO52" i="92"/>
  <c r="AT52" i="92"/>
  <c r="BC52" i="92"/>
  <c r="BH52" i="92"/>
  <c r="BE28" i="92"/>
  <c r="CG28" i="92" s="1"/>
  <c r="AQ28" i="92"/>
  <c r="BS28" i="92" s="1"/>
  <c r="C51" i="8"/>
  <c r="C51" i="38"/>
  <c r="E51" i="38" s="1"/>
  <c r="AD15" i="64" l="1"/>
  <c r="K13" i="64"/>
  <c r="Q13" i="64"/>
  <c r="D32" i="142"/>
  <c r="D30" i="142"/>
  <c r="F16" i="155"/>
  <c r="D31" i="142"/>
  <c r="E16" i="155"/>
  <c r="F25" i="155"/>
  <c r="G31" i="95"/>
  <c r="E31" i="95"/>
  <c r="E21" i="155"/>
  <c r="F21" i="155"/>
  <c r="D16" i="155"/>
  <c r="F23" i="155"/>
  <c r="C16" i="155"/>
  <c r="CB52" i="92"/>
  <c r="BO52" i="92"/>
  <c r="CE52" i="92"/>
  <c r="BV52" i="92"/>
  <c r="BQ52" i="92"/>
  <c r="CD52" i="92"/>
  <c r="H31" i="95"/>
  <c r="D31" i="95"/>
  <c r="CC52" i="92"/>
  <c r="CJ52" i="92"/>
  <c r="BU52" i="92"/>
  <c r="BT52" i="92"/>
  <c r="CH52" i="92"/>
  <c r="BN52" i="92"/>
  <c r="BR52" i="92"/>
  <c r="BP52" i="92"/>
  <c r="CF52" i="92"/>
  <c r="CI52" i="92"/>
  <c r="I31" i="95"/>
  <c r="AQ52" i="92"/>
  <c r="BE52" i="92"/>
  <c r="D52" i="10"/>
  <c r="G36" i="15"/>
  <c r="D49" i="39"/>
  <c r="G49" i="39" s="1"/>
  <c r="C32" i="36"/>
  <c r="F31" i="95" l="1"/>
  <c r="G23" i="95"/>
  <c r="E23" i="95"/>
  <c r="J36" i="15"/>
  <c r="J31" i="137"/>
  <c r="K31" i="137" s="1"/>
  <c r="S46" i="15"/>
  <c r="C31" i="95"/>
  <c r="CG52" i="92"/>
  <c r="BS52" i="92"/>
  <c r="I23" i="95"/>
  <c r="H23" i="95"/>
  <c r="D23" i="95"/>
  <c r="J23" i="95"/>
  <c r="C48" i="12"/>
  <c r="D31" i="48"/>
  <c r="G35" i="15"/>
  <c r="J30" i="137" s="1"/>
  <c r="K30" i="137" s="1"/>
  <c r="F52" i="10"/>
  <c r="D43" i="10"/>
  <c r="D23" i="39"/>
  <c r="G23" i="39" s="1"/>
  <c r="D20" i="10"/>
  <c r="D44" i="39"/>
  <c r="G44" i="39" s="1"/>
  <c r="G39" i="15"/>
  <c r="D16" i="48"/>
  <c r="C41" i="36"/>
  <c r="C44" i="36"/>
  <c r="C17" i="36"/>
  <c r="C37" i="36"/>
  <c r="C38" i="36"/>
  <c r="E21" i="39"/>
  <c r="G21" i="39" s="1"/>
  <c r="E28" i="10"/>
  <c r="G46" i="15"/>
  <c r="H31" i="137" l="1"/>
  <c r="C40" i="38"/>
  <c r="E40" i="38" s="1"/>
  <c r="C41" i="32"/>
  <c r="C46" i="8"/>
  <c r="F23" i="95"/>
  <c r="J39" i="137"/>
  <c r="K39" i="137" s="1"/>
  <c r="C24" i="12"/>
  <c r="J33" i="137"/>
  <c r="K33" i="137" s="1"/>
  <c r="S45" i="15"/>
  <c r="S41" i="15"/>
  <c r="S37" i="15"/>
  <c r="S43" i="15"/>
  <c r="S38" i="15"/>
  <c r="C23" i="95"/>
  <c r="F43" i="10"/>
  <c r="J35" i="15"/>
  <c r="C44" i="12"/>
  <c r="D35" i="39"/>
  <c r="G35" i="39" s="1"/>
  <c r="G23" i="15"/>
  <c r="G28" i="15"/>
  <c r="D35" i="48"/>
  <c r="D28" i="48" s="1"/>
  <c r="D45" i="39"/>
  <c r="F31" i="48"/>
  <c r="F20" i="10"/>
  <c r="J39" i="15"/>
  <c r="F19" i="48"/>
  <c r="D45" i="10"/>
  <c r="D32" i="39"/>
  <c r="G32" i="39" s="1"/>
  <c r="G49" i="15"/>
  <c r="D47" i="10"/>
  <c r="D42" i="10"/>
  <c r="D36" i="39"/>
  <c r="G36" i="39" s="1"/>
  <c r="E50" i="39"/>
  <c r="G50" i="39" s="1"/>
  <c r="E26" i="48"/>
  <c r="E49" i="10"/>
  <c r="G38" i="15"/>
  <c r="G30" i="15"/>
  <c r="J26" i="137" s="1"/>
  <c r="K26" i="137" s="1"/>
  <c r="D44" i="10"/>
  <c r="C33" i="36"/>
  <c r="E39" i="39"/>
  <c r="G39" i="39" s="1"/>
  <c r="E37" i="10"/>
  <c r="G41" i="15"/>
  <c r="J35" i="137" s="1"/>
  <c r="K35" i="137" s="1"/>
  <c r="F28" i="10"/>
  <c r="J46" i="15"/>
  <c r="C21" i="12"/>
  <c r="E18" i="39"/>
  <c r="G18" i="39" s="1"/>
  <c r="E19" i="10"/>
  <c r="G37" i="15"/>
  <c r="C24" i="36"/>
  <c r="D13" i="10"/>
  <c r="F16" i="48"/>
  <c r="E45" i="39"/>
  <c r="E42" i="10"/>
  <c r="E41" i="10"/>
  <c r="E29" i="39"/>
  <c r="G29" i="39" s="1"/>
  <c r="G43" i="15"/>
  <c r="J36" i="137" s="1"/>
  <c r="K36" i="137" s="1"/>
  <c r="G45" i="15"/>
  <c r="J38" i="137" s="1"/>
  <c r="K38" i="137" s="1"/>
  <c r="E52" i="41" l="1"/>
  <c r="K42" i="174" s="1"/>
  <c r="N42" i="174" s="1"/>
  <c r="O42" i="174" s="1"/>
  <c r="E56" i="41"/>
  <c r="H39" i="137"/>
  <c r="J32" i="137"/>
  <c r="K32" i="137" s="1"/>
  <c r="C18" i="8"/>
  <c r="H33" i="137"/>
  <c r="C38" i="12"/>
  <c r="J25" i="137"/>
  <c r="K25" i="137" s="1"/>
  <c r="C33" i="8"/>
  <c r="H30" i="137"/>
  <c r="S44" i="15"/>
  <c r="S16" i="15"/>
  <c r="C37" i="38"/>
  <c r="E37" i="38" s="1"/>
  <c r="E21" i="41"/>
  <c r="E20" i="41"/>
  <c r="E16" i="41"/>
  <c r="E22" i="41"/>
  <c r="E23" i="41"/>
  <c r="E54" i="41"/>
  <c r="G45" i="39"/>
  <c r="E41" i="41"/>
  <c r="E37" i="41"/>
  <c r="E39" i="41"/>
  <c r="E26" i="41"/>
  <c r="K28" i="174" s="1"/>
  <c r="N28" i="174" s="1"/>
  <c r="E18" i="41"/>
  <c r="E45" i="41"/>
  <c r="K32" i="174" s="1"/>
  <c r="E49" i="41"/>
  <c r="E34" i="41"/>
  <c r="E35" i="41"/>
  <c r="J28" i="15"/>
  <c r="C39" i="32"/>
  <c r="F47" i="10"/>
  <c r="E28" i="41"/>
  <c r="E29" i="41"/>
  <c r="E53" i="41"/>
  <c r="E43" i="41"/>
  <c r="E57" i="41"/>
  <c r="E50" i="41"/>
  <c r="E51" i="41"/>
  <c r="K13" i="15" s="1"/>
  <c r="E30" i="41"/>
  <c r="E17" i="41"/>
  <c r="E24" i="41"/>
  <c r="E55" i="41"/>
  <c r="E14" i="41"/>
  <c r="E19" i="41"/>
  <c r="E36" i="41"/>
  <c r="E32" i="41"/>
  <c r="J23" i="15"/>
  <c r="E46" i="41"/>
  <c r="E31" i="41"/>
  <c r="E15" i="41"/>
  <c r="K15" i="174" s="1"/>
  <c r="N15" i="174" s="1"/>
  <c r="E44" i="41"/>
  <c r="E27" i="41"/>
  <c r="E25" i="41"/>
  <c r="E33" i="41"/>
  <c r="E48" i="41"/>
  <c r="E47" i="41"/>
  <c r="E38" i="41"/>
  <c r="E42" i="41"/>
  <c r="F26" i="48"/>
  <c r="F35" i="48"/>
  <c r="E40" i="41"/>
  <c r="K47" i="174" s="1"/>
  <c r="N47" i="174" s="1"/>
  <c r="C45" i="12"/>
  <c r="F45" i="10"/>
  <c r="J49" i="15"/>
  <c r="C50" i="32" s="1"/>
  <c r="C24" i="32"/>
  <c r="C21" i="38"/>
  <c r="E21" i="38" s="1"/>
  <c r="J38" i="15"/>
  <c r="C50" i="12"/>
  <c r="F49" i="10"/>
  <c r="F44" i="10"/>
  <c r="J30" i="15"/>
  <c r="C31" i="12"/>
  <c r="C43" i="12"/>
  <c r="F42" i="10"/>
  <c r="J45" i="15"/>
  <c r="C21" i="36"/>
  <c r="C34" i="38"/>
  <c r="E34" i="38" s="1"/>
  <c r="C38" i="8"/>
  <c r="C28" i="32"/>
  <c r="F13" i="10"/>
  <c r="C16" i="36"/>
  <c r="C33" i="12"/>
  <c r="F41" i="10"/>
  <c r="J43" i="15"/>
  <c r="E33" i="39"/>
  <c r="E38" i="10"/>
  <c r="E29" i="10"/>
  <c r="G44" i="15"/>
  <c r="J37" i="137" s="1"/>
  <c r="K37" i="137" s="1"/>
  <c r="E28" i="39"/>
  <c r="G28" i="39" s="1"/>
  <c r="C16" i="12"/>
  <c r="F19" i="10"/>
  <c r="J37" i="15"/>
  <c r="C30" i="12"/>
  <c r="F37" i="10"/>
  <c r="J41" i="15"/>
  <c r="K42" i="15" l="1"/>
  <c r="N42" i="15" s="1"/>
  <c r="P42" i="15" s="1"/>
  <c r="E35" i="12" s="1"/>
  <c r="P42" i="174"/>
  <c r="Q42" i="174" s="1"/>
  <c r="K29" i="15"/>
  <c r="N29" i="15" s="1"/>
  <c r="D49" i="12" s="1"/>
  <c r="K29" i="174"/>
  <c r="N29" i="174" s="1"/>
  <c r="O47" i="174"/>
  <c r="P47" i="174"/>
  <c r="Q47" i="174" s="1"/>
  <c r="K51" i="15"/>
  <c r="N51" i="15" s="1"/>
  <c r="O51" i="15" s="1"/>
  <c r="K51" i="174"/>
  <c r="N51" i="174" s="1"/>
  <c r="K45" i="15"/>
  <c r="N45" i="15" s="1"/>
  <c r="O45" i="15" s="1"/>
  <c r="D31" i="32" s="1"/>
  <c r="K45" i="174"/>
  <c r="N45" i="174" s="1"/>
  <c r="K49" i="15"/>
  <c r="N49" i="15" s="1"/>
  <c r="P49" i="15" s="1"/>
  <c r="Q49" i="15" s="1"/>
  <c r="K49" i="174"/>
  <c r="N49" i="174" s="1"/>
  <c r="K48" i="15"/>
  <c r="N48" i="15" s="1"/>
  <c r="P48" i="15" s="1"/>
  <c r="E41" i="12" s="1"/>
  <c r="K48" i="174"/>
  <c r="N48" i="174" s="1"/>
  <c r="K37" i="15"/>
  <c r="N37" i="15" s="1"/>
  <c r="D16" i="12" s="1"/>
  <c r="K37" i="174"/>
  <c r="N37" i="174" s="1"/>
  <c r="K27" i="15"/>
  <c r="N27" i="15" s="1"/>
  <c r="O27" i="15" s="1"/>
  <c r="K27" i="174"/>
  <c r="N27" i="174" s="1"/>
  <c r="K30" i="15"/>
  <c r="N30" i="15" s="1"/>
  <c r="D31" i="12" s="1"/>
  <c r="K30" i="174"/>
  <c r="N30" i="174" s="1"/>
  <c r="K50" i="15"/>
  <c r="N50" i="15" s="1"/>
  <c r="O50" i="15" s="1"/>
  <c r="K50" i="174"/>
  <c r="N50" i="174" s="1"/>
  <c r="O15" i="174"/>
  <c r="P15" i="174"/>
  <c r="Q15" i="174" s="1"/>
  <c r="K35" i="15"/>
  <c r="N35" i="15" s="1"/>
  <c r="P35" i="15" s="1"/>
  <c r="E30" i="137" s="1"/>
  <c r="F30" i="137" s="1"/>
  <c r="K35" i="174"/>
  <c r="N35" i="174" s="1"/>
  <c r="K36" i="15"/>
  <c r="N36" i="15" s="1"/>
  <c r="D48" i="12" s="1"/>
  <c r="K36" i="174"/>
  <c r="N36" i="174" s="1"/>
  <c r="K43" i="15"/>
  <c r="N43" i="15" s="1"/>
  <c r="O43" i="15" s="1"/>
  <c r="K43" i="174"/>
  <c r="N43" i="174" s="1"/>
  <c r="K20" i="15"/>
  <c r="N20" i="15" s="1"/>
  <c r="D28" i="12" s="1"/>
  <c r="K20" i="174"/>
  <c r="N20" i="174" s="1"/>
  <c r="K14" i="15"/>
  <c r="N14" i="15" s="1"/>
  <c r="D25" i="12" s="1"/>
  <c r="K14" i="174"/>
  <c r="N14" i="174" s="1"/>
  <c r="K53" i="15"/>
  <c r="N53" i="15" s="1"/>
  <c r="O53" i="15" s="1"/>
  <c r="D49" i="32" s="1"/>
  <c r="K53" i="174"/>
  <c r="N53" i="174" s="1"/>
  <c r="K26" i="15"/>
  <c r="N26" i="15" s="1"/>
  <c r="D13" i="12" s="1"/>
  <c r="K26" i="174"/>
  <c r="N26" i="174" s="1"/>
  <c r="K18" i="15"/>
  <c r="N18" i="15" s="1"/>
  <c r="P18" i="15" s="1"/>
  <c r="K18" i="174"/>
  <c r="N18" i="174" s="1"/>
  <c r="K34" i="15"/>
  <c r="N34" i="15" s="1"/>
  <c r="D32" i="12" s="1"/>
  <c r="K34" i="174"/>
  <c r="N34" i="174" s="1"/>
  <c r="N13" i="15"/>
  <c r="K13" i="174"/>
  <c r="N13" i="174" s="1"/>
  <c r="K38" i="15"/>
  <c r="N38" i="15" s="1"/>
  <c r="O38" i="15" s="1"/>
  <c r="K38" i="174"/>
  <c r="N38" i="174" s="1"/>
  <c r="K54" i="15"/>
  <c r="N54" i="15" s="1"/>
  <c r="D52" i="12" s="1"/>
  <c r="K54" i="174"/>
  <c r="N54" i="174" s="1"/>
  <c r="K17" i="15"/>
  <c r="N17" i="15" s="1"/>
  <c r="D20" i="12" s="1"/>
  <c r="K17" i="174"/>
  <c r="N17" i="174" s="1"/>
  <c r="K23" i="15"/>
  <c r="N23" i="15" s="1"/>
  <c r="P23" i="15" s="1"/>
  <c r="Q23" i="15" s="1"/>
  <c r="K23" i="174"/>
  <c r="N23" i="174" s="1"/>
  <c r="K33" i="15"/>
  <c r="N33" i="15" s="1"/>
  <c r="D37" i="12" s="1"/>
  <c r="K33" i="174"/>
  <c r="N33" i="174" s="1"/>
  <c r="K31" i="15"/>
  <c r="N31" i="15" s="1"/>
  <c r="O31" i="15" s="1"/>
  <c r="K31" i="174"/>
  <c r="N31" i="174" s="1"/>
  <c r="K41" i="15"/>
  <c r="N41" i="15" s="1"/>
  <c r="D30" i="12" s="1"/>
  <c r="K41" i="174"/>
  <c r="N41" i="174" s="1"/>
  <c r="K40" i="15"/>
  <c r="N40" i="15" s="1"/>
  <c r="O40" i="15" s="1"/>
  <c r="K40" i="174"/>
  <c r="N40" i="174" s="1"/>
  <c r="K39" i="15"/>
  <c r="N39" i="15" s="1"/>
  <c r="O39" i="15" s="1"/>
  <c r="K39" i="174"/>
  <c r="N39" i="174" s="1"/>
  <c r="N32" i="174"/>
  <c r="K19" i="15"/>
  <c r="N19" i="15" s="1"/>
  <c r="P19" i="15" s="1"/>
  <c r="E17" i="137" s="1"/>
  <c r="F17" i="137" s="1"/>
  <c r="K19" i="174"/>
  <c r="N19" i="174" s="1"/>
  <c r="O28" i="174"/>
  <c r="P28" i="174"/>
  <c r="Q28" i="174" s="1"/>
  <c r="K46" i="15"/>
  <c r="N46" i="15" s="1"/>
  <c r="D21" i="12" s="1"/>
  <c r="K46" i="174"/>
  <c r="N46" i="174" s="1"/>
  <c r="K44" i="15"/>
  <c r="N44" i="15" s="1"/>
  <c r="O44" i="15" s="1"/>
  <c r="D16" i="32" s="1"/>
  <c r="K44" i="174"/>
  <c r="N44" i="174" s="1"/>
  <c r="K52" i="15"/>
  <c r="N52" i="15" s="1"/>
  <c r="O52" i="15" s="1"/>
  <c r="D52" i="32" s="1"/>
  <c r="K52" i="174"/>
  <c r="N52" i="174" s="1"/>
  <c r="K25" i="15"/>
  <c r="N25" i="15" s="1"/>
  <c r="O25" i="15" s="1"/>
  <c r="D36" i="32" s="1"/>
  <c r="K25" i="174"/>
  <c r="N25" i="174" s="1"/>
  <c r="K24" i="15"/>
  <c r="N24" i="15" s="1"/>
  <c r="D26" i="12" s="1"/>
  <c r="K24" i="174"/>
  <c r="N24" i="174" s="1"/>
  <c r="K16" i="15"/>
  <c r="N16" i="15" s="1"/>
  <c r="O16" i="15" s="1"/>
  <c r="K16" i="174"/>
  <c r="N16" i="174" s="1"/>
  <c r="K21" i="15"/>
  <c r="N21" i="15" s="1"/>
  <c r="D23" i="12" s="1"/>
  <c r="K21" i="174"/>
  <c r="N21" i="174" s="1"/>
  <c r="K22" i="15"/>
  <c r="N22" i="15" s="1"/>
  <c r="D36" i="12" s="1"/>
  <c r="K22" i="174"/>
  <c r="N22" i="174" s="1"/>
  <c r="H35" i="137"/>
  <c r="H32" i="137"/>
  <c r="H36" i="137"/>
  <c r="H38" i="137"/>
  <c r="C49" i="38"/>
  <c r="E49" i="38" s="1"/>
  <c r="C41" i="38"/>
  <c r="E41" i="38" s="1"/>
  <c r="H26" i="137"/>
  <c r="C37" i="32"/>
  <c r="H25" i="137"/>
  <c r="S40" i="15"/>
  <c r="S24" i="15"/>
  <c r="C26" i="38"/>
  <c r="E26" i="38" s="1"/>
  <c r="C44" i="8"/>
  <c r="K28" i="15"/>
  <c r="N28" i="15" s="1"/>
  <c r="P28" i="15" s="1"/>
  <c r="K15" i="15"/>
  <c r="N15" i="15" s="1"/>
  <c r="K32" i="15"/>
  <c r="N32" i="15" s="1"/>
  <c r="D22" i="10"/>
  <c r="D42" i="39"/>
  <c r="G42" i="39" s="1"/>
  <c r="K47" i="15"/>
  <c r="C43" i="38"/>
  <c r="E43" i="38" s="1"/>
  <c r="C50" i="8"/>
  <c r="G47" i="15"/>
  <c r="J40" i="137" s="1"/>
  <c r="K40" i="137" s="1"/>
  <c r="D24" i="39"/>
  <c r="G24" i="39" s="1"/>
  <c r="G27" i="15"/>
  <c r="J24" i="137" s="1"/>
  <c r="K24" i="137" s="1"/>
  <c r="D40" i="10"/>
  <c r="C48" i="8"/>
  <c r="C48" i="32"/>
  <c r="C45" i="8"/>
  <c r="C42" i="32"/>
  <c r="C23" i="36"/>
  <c r="C32" i="38"/>
  <c r="E32" i="38" s="1"/>
  <c r="C31" i="32"/>
  <c r="C34" i="8"/>
  <c r="C35" i="38"/>
  <c r="E35" i="38" s="1"/>
  <c r="C29" i="32"/>
  <c r="C31" i="8"/>
  <c r="C27" i="36"/>
  <c r="C29" i="12"/>
  <c r="J44" i="15"/>
  <c r="F29" i="10"/>
  <c r="C25" i="38"/>
  <c r="E25" i="38" s="1"/>
  <c r="C20" i="8"/>
  <c r="C18" i="32"/>
  <c r="E31" i="39"/>
  <c r="E25" i="10"/>
  <c r="C19" i="38"/>
  <c r="E19" i="38" s="1"/>
  <c r="C38" i="32"/>
  <c r="C41" i="8"/>
  <c r="C25" i="36"/>
  <c r="E14" i="39"/>
  <c r="G14" i="39" s="1"/>
  <c r="E18" i="10"/>
  <c r="G40" i="15"/>
  <c r="J34" i="137" s="1"/>
  <c r="K34" i="137" s="1"/>
  <c r="C15" i="36"/>
  <c r="D35" i="12" l="1"/>
  <c r="Q42" i="15"/>
  <c r="E46" i="32" s="1"/>
  <c r="D45" i="12"/>
  <c r="O42" i="15"/>
  <c r="D46" i="32" s="1"/>
  <c r="O20" i="15"/>
  <c r="D21" i="32" s="1"/>
  <c r="O37" i="15"/>
  <c r="D18" i="32" s="1"/>
  <c r="O29" i="15"/>
  <c r="D44" i="32" s="1"/>
  <c r="P29" i="15"/>
  <c r="Q29" i="15" s="1"/>
  <c r="E44" i="32" s="1"/>
  <c r="P13" i="15"/>
  <c r="E40" i="12" s="1"/>
  <c r="O13" i="15"/>
  <c r="D47" i="32" s="1"/>
  <c r="P29" i="174"/>
  <c r="Q29" i="174" s="1"/>
  <c r="O29" i="174"/>
  <c r="D46" i="12"/>
  <c r="D12" i="12"/>
  <c r="D42" i="12"/>
  <c r="P14" i="15"/>
  <c r="Q14" i="15" s="1"/>
  <c r="O36" i="15"/>
  <c r="D41" i="32" s="1"/>
  <c r="P53" i="15"/>
  <c r="E46" i="12" s="1"/>
  <c r="P37" i="15"/>
  <c r="D16" i="148" s="1"/>
  <c r="O49" i="15"/>
  <c r="D50" i="32" s="1"/>
  <c r="P36" i="15"/>
  <c r="E48" i="12" s="1"/>
  <c r="P54" i="15"/>
  <c r="E52" i="12" s="1"/>
  <c r="O33" i="15"/>
  <c r="D13" i="32" s="1"/>
  <c r="O34" i="15"/>
  <c r="D14" i="32" s="1"/>
  <c r="D41" i="12"/>
  <c r="D34" i="12"/>
  <c r="P38" i="15"/>
  <c r="Q38" i="15" s="1"/>
  <c r="E48" i="32" s="1"/>
  <c r="O14" i="15"/>
  <c r="D26" i="32" s="1"/>
  <c r="D50" i="12"/>
  <c r="D43" i="12"/>
  <c r="D14" i="12"/>
  <c r="O23" i="15"/>
  <c r="P33" i="15"/>
  <c r="Q33" i="15" s="1"/>
  <c r="P44" i="15"/>
  <c r="E37" i="137" s="1"/>
  <c r="F37" i="137" s="1"/>
  <c r="D44" i="12"/>
  <c r="D15" i="135"/>
  <c r="O41" i="15"/>
  <c r="D29" i="32" s="1"/>
  <c r="P30" i="15"/>
  <c r="Q30" i="15" s="1"/>
  <c r="D40" i="12"/>
  <c r="O26" i="15"/>
  <c r="D25" i="32" s="1"/>
  <c r="P41" i="15"/>
  <c r="Q41" i="15" s="1"/>
  <c r="O35" i="15"/>
  <c r="D39" i="32" s="1"/>
  <c r="O48" i="15"/>
  <c r="D45" i="32" s="1"/>
  <c r="P51" i="15"/>
  <c r="Q51" i="15" s="1"/>
  <c r="E32" i="32" s="1"/>
  <c r="D18" i="12"/>
  <c r="D24" i="12"/>
  <c r="P26" i="15"/>
  <c r="D12" i="148" s="1"/>
  <c r="P39" i="15"/>
  <c r="E33" i="137" s="1"/>
  <c r="F33" i="137" s="1"/>
  <c r="O54" i="15"/>
  <c r="D51" i="32" s="1"/>
  <c r="O46" i="15"/>
  <c r="D28" i="32" s="1"/>
  <c r="D19" i="12"/>
  <c r="D15" i="12"/>
  <c r="O30" i="15"/>
  <c r="D42" i="32" s="1"/>
  <c r="O17" i="15"/>
  <c r="D35" i="32" s="1"/>
  <c r="P17" i="15"/>
  <c r="E20" i="12" s="1"/>
  <c r="P43" i="15"/>
  <c r="E36" i="137" s="1"/>
  <c r="F36" i="137" s="1"/>
  <c r="O18" i="15"/>
  <c r="D22" i="32" s="1"/>
  <c r="D33" i="12"/>
  <c r="P45" i="15"/>
  <c r="Q45" i="15" s="1"/>
  <c r="O22" i="15"/>
  <c r="D12" i="32" s="1"/>
  <c r="P46" i="15"/>
  <c r="D17" i="148" s="1"/>
  <c r="O19" i="15"/>
  <c r="D40" i="32" s="1"/>
  <c r="D29" i="12"/>
  <c r="P22" i="15"/>
  <c r="E36" i="12" s="1"/>
  <c r="D39" i="12"/>
  <c r="O21" i="15"/>
  <c r="D17" i="32" s="1"/>
  <c r="Q19" i="15"/>
  <c r="E40" i="32" s="1"/>
  <c r="D51" i="12"/>
  <c r="P21" i="15"/>
  <c r="Q21" i="15" s="1"/>
  <c r="D47" i="12"/>
  <c r="O24" i="15"/>
  <c r="D19" i="32" s="1"/>
  <c r="P52" i="15"/>
  <c r="E51" i="12" s="1"/>
  <c r="E47" i="12"/>
  <c r="O52" i="174"/>
  <c r="P52" i="174"/>
  <c r="Q52" i="174" s="1"/>
  <c r="K55" i="174"/>
  <c r="O22" i="174"/>
  <c r="P22" i="174"/>
  <c r="Q22" i="174" s="1"/>
  <c r="O21" i="174"/>
  <c r="P21" i="174"/>
  <c r="Q21" i="174" s="1"/>
  <c r="O16" i="174"/>
  <c r="P16" i="174"/>
  <c r="Q16" i="174" s="1"/>
  <c r="O24" i="174"/>
  <c r="P25" i="174"/>
  <c r="Q25" i="174" s="1"/>
  <c r="O25" i="174"/>
  <c r="O44" i="174"/>
  <c r="P44" i="174"/>
  <c r="Q44" i="174" s="1"/>
  <c r="O46" i="174"/>
  <c r="P46" i="174"/>
  <c r="Q46" i="174" s="1"/>
  <c r="O19" i="174"/>
  <c r="P19" i="174"/>
  <c r="Q19" i="174" s="1"/>
  <c r="P32" i="174"/>
  <c r="Q32" i="174" s="1"/>
  <c r="O32" i="174"/>
  <c r="O39" i="174"/>
  <c r="P39" i="174"/>
  <c r="Q39" i="174" s="1"/>
  <c r="O40" i="174"/>
  <c r="P40" i="174"/>
  <c r="Q40" i="174" s="1"/>
  <c r="O41" i="174"/>
  <c r="P41" i="174"/>
  <c r="Q41" i="174" s="1"/>
  <c r="O31" i="174"/>
  <c r="P31" i="174"/>
  <c r="Q31" i="174" s="1"/>
  <c r="O33" i="174"/>
  <c r="P33" i="174"/>
  <c r="Q33" i="174" s="1"/>
  <c r="O23" i="174"/>
  <c r="P23" i="174"/>
  <c r="Q23" i="174" s="1"/>
  <c r="O17" i="174"/>
  <c r="P17" i="174"/>
  <c r="Q17" i="174" s="1"/>
  <c r="O54" i="174"/>
  <c r="P54" i="174"/>
  <c r="Q54" i="174" s="1"/>
  <c r="P38" i="174"/>
  <c r="Q38" i="174" s="1"/>
  <c r="O38" i="174"/>
  <c r="O13" i="174"/>
  <c r="N55" i="174"/>
  <c r="P13" i="174"/>
  <c r="O34" i="174"/>
  <c r="O18" i="174"/>
  <c r="P18" i="174"/>
  <c r="Q18" i="174" s="1"/>
  <c r="O26" i="174"/>
  <c r="P26" i="174"/>
  <c r="Q26" i="174" s="1"/>
  <c r="O53" i="174"/>
  <c r="P53" i="174"/>
  <c r="Q53" i="174" s="1"/>
  <c r="O14" i="174"/>
  <c r="P14" i="174"/>
  <c r="Q14" i="174" s="1"/>
  <c r="O20" i="174"/>
  <c r="P20" i="174"/>
  <c r="Q20" i="174" s="1"/>
  <c r="O43" i="174"/>
  <c r="P43" i="174"/>
  <c r="Q43" i="174" s="1"/>
  <c r="O36" i="174"/>
  <c r="P36" i="174"/>
  <c r="Q36" i="174" s="1"/>
  <c r="O35" i="174"/>
  <c r="P35" i="174"/>
  <c r="Q35" i="174" s="1"/>
  <c r="O50" i="174"/>
  <c r="P50" i="174"/>
  <c r="Q50" i="174" s="1"/>
  <c r="O30" i="174"/>
  <c r="P30" i="174"/>
  <c r="Q30" i="174" s="1"/>
  <c r="O27" i="174"/>
  <c r="P27" i="174"/>
  <c r="Q27" i="174" s="1"/>
  <c r="O37" i="174"/>
  <c r="P37" i="174"/>
  <c r="Q37" i="174" s="1"/>
  <c r="O48" i="174"/>
  <c r="P48" i="174"/>
  <c r="Q48" i="174" s="1"/>
  <c r="O49" i="174"/>
  <c r="P49" i="174"/>
  <c r="Q49" i="174" s="1"/>
  <c r="O45" i="174"/>
  <c r="P45" i="174"/>
  <c r="Q45" i="174" s="1"/>
  <c r="O51" i="174"/>
  <c r="P51" i="174"/>
  <c r="Q51" i="174" s="1"/>
  <c r="H37" i="137"/>
  <c r="D48" i="32"/>
  <c r="D32" i="32"/>
  <c r="D34" i="32"/>
  <c r="E50" i="32"/>
  <c r="D30" i="32"/>
  <c r="D24" i="32"/>
  <c r="D20" i="32"/>
  <c r="D27" i="32"/>
  <c r="D15" i="32"/>
  <c r="D38" i="32"/>
  <c r="C40" i="36"/>
  <c r="E17" i="150"/>
  <c r="Q18" i="15"/>
  <c r="E16" i="137"/>
  <c r="F16" i="137" s="1"/>
  <c r="E38" i="12"/>
  <c r="E25" i="137"/>
  <c r="F25" i="137" s="1"/>
  <c r="S50" i="15"/>
  <c r="S20" i="15"/>
  <c r="S25" i="15"/>
  <c r="S32" i="15"/>
  <c r="S31" i="15"/>
  <c r="Q28" i="15"/>
  <c r="E45" i="12"/>
  <c r="P15" i="15"/>
  <c r="E14" i="137" s="1"/>
  <c r="F14" i="137" s="1"/>
  <c r="O15" i="15"/>
  <c r="D27" i="12"/>
  <c r="D38" i="12"/>
  <c r="O28" i="15"/>
  <c r="D17" i="12"/>
  <c r="O32" i="15"/>
  <c r="E44" i="12"/>
  <c r="Q35" i="15"/>
  <c r="E42" i="12"/>
  <c r="Q48" i="15"/>
  <c r="C22" i="12"/>
  <c r="F22" i="10"/>
  <c r="J47" i="15"/>
  <c r="E23" i="48"/>
  <c r="E21" i="48" s="1"/>
  <c r="E30" i="48"/>
  <c r="E28" i="48" s="1"/>
  <c r="D38" i="10"/>
  <c r="D20" i="39"/>
  <c r="J27" i="15"/>
  <c r="N47" i="15"/>
  <c r="K55" i="15"/>
  <c r="F40" i="10"/>
  <c r="D23" i="10"/>
  <c r="P27" i="15"/>
  <c r="C34" i="12"/>
  <c r="G25" i="15"/>
  <c r="D33" i="39"/>
  <c r="G33" i="39" s="1"/>
  <c r="G16" i="15"/>
  <c r="E16" i="39"/>
  <c r="G16" i="39" s="1"/>
  <c r="E16" i="10"/>
  <c r="G32" i="15"/>
  <c r="E24" i="10"/>
  <c r="E22" i="39"/>
  <c r="G22" i="39" s="1"/>
  <c r="G31" i="15"/>
  <c r="E15" i="39"/>
  <c r="G50" i="15"/>
  <c r="E14" i="10"/>
  <c r="J40" i="15"/>
  <c r="C19" i="12"/>
  <c r="F18" i="10"/>
  <c r="P40" i="15"/>
  <c r="E34" i="137" s="1"/>
  <c r="F34" i="137" s="1"/>
  <c r="E19" i="39"/>
  <c r="G19" i="39" s="1"/>
  <c r="E26" i="10"/>
  <c r="G20" i="15"/>
  <c r="J18" i="137" s="1"/>
  <c r="E20" i="39"/>
  <c r="E23" i="10"/>
  <c r="C16" i="32"/>
  <c r="C16" i="8"/>
  <c r="C16" i="38"/>
  <c r="E16" i="38" s="1"/>
  <c r="E30" i="12" l="1"/>
  <c r="Q13" i="15"/>
  <c r="E47" i="32" s="1"/>
  <c r="E49" i="12"/>
  <c r="Q53" i="15"/>
  <c r="E49" i="32" s="1"/>
  <c r="E28" i="137"/>
  <c r="F28" i="137" s="1"/>
  <c r="E13" i="137"/>
  <c r="F13" i="137" s="1"/>
  <c r="E31" i="137"/>
  <c r="F31" i="137" s="1"/>
  <c r="E25" i="12"/>
  <c r="E35" i="137"/>
  <c r="F35" i="137" s="1"/>
  <c r="E23" i="137"/>
  <c r="F23" i="137" s="1"/>
  <c r="E43" i="12"/>
  <c r="E38" i="137"/>
  <c r="F38" i="137" s="1"/>
  <c r="Q26" i="15"/>
  <c r="I23" i="137" s="1"/>
  <c r="L12" i="148" s="1"/>
  <c r="Q36" i="15"/>
  <c r="E41" i="32" s="1"/>
  <c r="E37" i="12"/>
  <c r="E24" i="12"/>
  <c r="E16" i="12"/>
  <c r="Q44" i="15"/>
  <c r="I37" i="137" s="1"/>
  <c r="Q54" i="15"/>
  <c r="E51" i="32" s="1"/>
  <c r="E32" i="137"/>
  <c r="F32" i="137" s="1"/>
  <c r="E50" i="12"/>
  <c r="Q37" i="15"/>
  <c r="E18" i="32" s="1"/>
  <c r="E23" i="12"/>
  <c r="Q39" i="15"/>
  <c r="I33" i="137" s="1"/>
  <c r="E26" i="137"/>
  <c r="F26" i="137" s="1"/>
  <c r="E29" i="12"/>
  <c r="E31" i="12"/>
  <c r="E13" i="12"/>
  <c r="I17" i="137"/>
  <c r="E12" i="12"/>
  <c r="Q22" i="15"/>
  <c r="I20" i="137" s="1"/>
  <c r="Q17" i="15"/>
  <c r="E35" i="32" s="1"/>
  <c r="Q52" i="15"/>
  <c r="E52" i="32" s="1"/>
  <c r="E20" i="137"/>
  <c r="F20" i="137" s="1"/>
  <c r="S51" i="137" s="1"/>
  <c r="Q43" i="15"/>
  <c r="I36" i="137" s="1"/>
  <c r="E21" i="12"/>
  <c r="E33" i="12"/>
  <c r="E39" i="137"/>
  <c r="F39" i="137" s="1"/>
  <c r="Q46" i="15"/>
  <c r="E28" i="32" s="1"/>
  <c r="E19" i="137"/>
  <c r="F19" i="137" s="1"/>
  <c r="Q13" i="174"/>
  <c r="H34" i="137"/>
  <c r="E45" i="32"/>
  <c r="D43" i="32"/>
  <c r="D37" i="32"/>
  <c r="D33" i="32"/>
  <c r="D17" i="150"/>
  <c r="I13" i="153"/>
  <c r="I17" i="153" s="1"/>
  <c r="J15" i="137"/>
  <c r="K18" i="137"/>
  <c r="J41" i="137"/>
  <c r="K41" i="137" s="1"/>
  <c r="J27" i="137"/>
  <c r="K27" i="137" s="1"/>
  <c r="J22" i="137"/>
  <c r="K22" i="137" s="1"/>
  <c r="E34" i="12"/>
  <c r="E24" i="137"/>
  <c r="F24" i="137" s="1"/>
  <c r="C30" i="32"/>
  <c r="H24" i="137"/>
  <c r="C23" i="32"/>
  <c r="H40" i="137"/>
  <c r="E39" i="32"/>
  <c r="I30" i="137"/>
  <c r="E37" i="32"/>
  <c r="I25" i="137"/>
  <c r="E26" i="32"/>
  <c r="I13" i="137"/>
  <c r="E13" i="32"/>
  <c r="I28" i="137"/>
  <c r="E29" i="32"/>
  <c r="I35" i="137"/>
  <c r="E31" i="32"/>
  <c r="I38" i="137"/>
  <c r="E42" i="32"/>
  <c r="I26" i="137"/>
  <c r="E22" i="32"/>
  <c r="I16" i="137"/>
  <c r="E17" i="32"/>
  <c r="I19" i="137"/>
  <c r="F19" i="117"/>
  <c r="L55" i="109"/>
  <c r="F17" i="117"/>
  <c r="K55" i="111"/>
  <c r="C29" i="38"/>
  <c r="E29" i="38" s="1"/>
  <c r="Q15" i="15"/>
  <c r="E27" i="12"/>
  <c r="G20" i="39"/>
  <c r="C24" i="8"/>
  <c r="C35" i="8"/>
  <c r="C42" i="38"/>
  <c r="E42" i="38" s="1"/>
  <c r="F23" i="48"/>
  <c r="F21" i="48" s="1"/>
  <c r="F30" i="48"/>
  <c r="F28" i="48" s="1"/>
  <c r="P16" i="15"/>
  <c r="C15" i="12"/>
  <c r="O47" i="15"/>
  <c r="D22" i="12"/>
  <c r="N55" i="15"/>
  <c r="P47" i="15"/>
  <c r="E40" i="137" s="1"/>
  <c r="F40" i="137" s="1"/>
  <c r="Q27" i="15"/>
  <c r="P25" i="15"/>
  <c r="D15" i="148" s="1"/>
  <c r="J25" i="15"/>
  <c r="F23" i="10"/>
  <c r="J16" i="15"/>
  <c r="F38" i="10"/>
  <c r="C39" i="12"/>
  <c r="C12" i="38"/>
  <c r="E12" i="38" s="1"/>
  <c r="C15" i="32"/>
  <c r="C15" i="8"/>
  <c r="J50" i="15"/>
  <c r="C14" i="12"/>
  <c r="F14" i="10"/>
  <c r="P50" i="15"/>
  <c r="D13" i="148" s="1"/>
  <c r="J20" i="15"/>
  <c r="C28" i="12"/>
  <c r="F26" i="10"/>
  <c r="P20" i="15"/>
  <c r="E18" i="137" s="1"/>
  <c r="F18" i="137" s="1"/>
  <c r="G15" i="39"/>
  <c r="E19" i="12"/>
  <c r="Q40" i="15"/>
  <c r="F16" i="10"/>
  <c r="J32" i="15"/>
  <c r="C17" i="12"/>
  <c r="P32" i="15"/>
  <c r="J31" i="15"/>
  <c r="F24" i="10"/>
  <c r="C18" i="12"/>
  <c r="P31" i="15"/>
  <c r="D14" i="148" s="1"/>
  <c r="V34" i="111" l="1"/>
  <c r="E16" i="32"/>
  <c r="E25" i="32"/>
  <c r="I31" i="137"/>
  <c r="E24" i="32"/>
  <c r="E12" i="32"/>
  <c r="E38" i="32"/>
  <c r="I32" i="137"/>
  <c r="L13" i="148" s="1"/>
  <c r="I39" i="137"/>
  <c r="L17" i="148" s="1"/>
  <c r="H27" i="137"/>
  <c r="H18" i="137"/>
  <c r="H41" i="137"/>
  <c r="D54" i="12"/>
  <c r="D14" i="153"/>
  <c r="D20" i="148"/>
  <c r="K15" i="137"/>
  <c r="E27" i="137"/>
  <c r="F27" i="137" s="1"/>
  <c r="E15" i="32"/>
  <c r="I34" i="137"/>
  <c r="E41" i="137"/>
  <c r="F41" i="137" s="1"/>
  <c r="C17" i="38"/>
  <c r="E17" i="38" s="1"/>
  <c r="H15" i="137"/>
  <c r="C36" i="32"/>
  <c r="H22" i="137"/>
  <c r="Q25" i="15"/>
  <c r="E22" i="137"/>
  <c r="F22" i="137" s="1"/>
  <c r="E30" i="32"/>
  <c r="I24" i="137"/>
  <c r="E39" i="12"/>
  <c r="E15" i="137"/>
  <c r="E33" i="32"/>
  <c r="I14" i="137"/>
  <c r="C17" i="128"/>
  <c r="E17" i="128"/>
  <c r="M55" i="111"/>
  <c r="J55" i="109"/>
  <c r="Q16" i="15"/>
  <c r="C14" i="98"/>
  <c r="E22" i="12"/>
  <c r="Q47" i="15"/>
  <c r="D23" i="32"/>
  <c r="C39" i="8"/>
  <c r="C44" i="38"/>
  <c r="E44" i="38" s="1"/>
  <c r="E15" i="12"/>
  <c r="C20" i="32"/>
  <c r="C25" i="8"/>
  <c r="E17" i="12"/>
  <c r="Q32" i="15"/>
  <c r="C46" i="38"/>
  <c r="E46" i="38" s="1"/>
  <c r="C43" i="32"/>
  <c r="C30" i="8"/>
  <c r="E28" i="12"/>
  <c r="Q20" i="15"/>
  <c r="E18" i="12"/>
  <c r="Q31" i="15"/>
  <c r="Q50" i="15"/>
  <c r="E14" i="12"/>
  <c r="C45" i="38"/>
  <c r="E45" i="38" s="1"/>
  <c r="C37" i="8"/>
  <c r="C34" i="32"/>
  <c r="C15" i="38"/>
  <c r="E15" i="38" s="1"/>
  <c r="C21" i="32"/>
  <c r="C22" i="8"/>
  <c r="C27" i="32"/>
  <c r="C30" i="38"/>
  <c r="E30" i="38" s="1"/>
  <c r="C21" i="8"/>
  <c r="V55" i="111" l="1"/>
  <c r="E43" i="32"/>
  <c r="F15" i="137"/>
  <c r="E27" i="32"/>
  <c r="I41" i="137"/>
  <c r="L16" i="148" s="1"/>
  <c r="E34" i="32"/>
  <c r="I27" i="137"/>
  <c r="L14" i="148" s="1"/>
  <c r="E21" i="32"/>
  <c r="I18" i="137"/>
  <c r="E23" i="32"/>
  <c r="I40" i="137"/>
  <c r="E20" i="32"/>
  <c r="I15" i="137"/>
  <c r="E36" i="32"/>
  <c r="I22" i="137"/>
  <c r="L18" i="148" s="1"/>
  <c r="C19" i="128"/>
  <c r="C28" i="128" s="1"/>
  <c r="E19" i="128"/>
  <c r="E28" i="128" s="1"/>
  <c r="H907" i="1"/>
  <c r="R55" i="15"/>
  <c r="R907" i="1" l="1"/>
  <c r="S907" i="1" s="1"/>
  <c r="T907" i="1" s="1"/>
  <c r="AW907" i="1" s="1"/>
  <c r="AZ907" i="1"/>
  <c r="BA907" i="1"/>
  <c r="O34" i="109"/>
  <c r="E22" i="117"/>
  <c r="E28" i="117" s="1"/>
  <c r="E23" i="178"/>
  <c r="F34" i="174"/>
  <c r="G34" i="174" s="1"/>
  <c r="F34" i="15"/>
  <c r="F23" i="178" l="1"/>
  <c r="C15" i="177" s="1"/>
  <c r="E29" i="178"/>
  <c r="F55" i="174"/>
  <c r="S34" i="174"/>
  <c r="S55" i="174" s="1"/>
  <c r="O55" i="109"/>
  <c r="J34" i="174"/>
  <c r="P34" i="174"/>
  <c r="Q34" i="174" s="1"/>
  <c r="F22" i="117"/>
  <c r="C26" i="36"/>
  <c r="F21" i="117"/>
  <c r="U34" i="109"/>
  <c r="F29" i="178" l="1"/>
  <c r="D15" i="177"/>
  <c r="E15" i="177"/>
  <c r="G24" i="174"/>
  <c r="D28" i="117"/>
  <c r="U24" i="109"/>
  <c r="N55" i="109"/>
  <c r="S34" i="15"/>
  <c r="E15" i="48"/>
  <c r="E14" i="48" s="1"/>
  <c r="C13" i="36" s="1"/>
  <c r="C55" i="36" s="1"/>
  <c r="E31" i="10"/>
  <c r="E55" i="10" s="1"/>
  <c r="E34" i="39"/>
  <c r="F55" i="15"/>
  <c r="G34" i="15"/>
  <c r="J29" i="137" s="1"/>
  <c r="K29" i="137" s="1"/>
  <c r="D31" i="39"/>
  <c r="D54" i="39" s="1"/>
  <c r="F15" i="177" l="1"/>
  <c r="E55" i="174"/>
  <c r="J24" i="174"/>
  <c r="G55" i="174"/>
  <c r="P24" i="174"/>
  <c r="F13" i="117"/>
  <c r="F28" i="117" s="1"/>
  <c r="F55" i="109"/>
  <c r="U55" i="109" s="1"/>
  <c r="F30" i="178" s="1"/>
  <c r="F31" i="178" s="1"/>
  <c r="P34" i="15"/>
  <c r="E29" i="137" s="1"/>
  <c r="F29" i="137" s="1"/>
  <c r="C32" i="12"/>
  <c r="F31" i="10"/>
  <c r="J34" i="15"/>
  <c r="E54" i="39"/>
  <c r="G34" i="39"/>
  <c r="S55" i="15"/>
  <c r="D25" i="10"/>
  <c r="D55" i="10" s="1"/>
  <c r="E55" i="15"/>
  <c r="D15" i="48"/>
  <c r="D14" i="48" s="1"/>
  <c r="G24" i="15"/>
  <c r="G31" i="39"/>
  <c r="F29" i="117" l="1"/>
  <c r="F30" i="117" s="1"/>
  <c r="Q24" i="174"/>
  <c r="P55" i="174"/>
  <c r="H29" i="137"/>
  <c r="D18" i="148"/>
  <c r="F25" i="10"/>
  <c r="F55" i="10" s="1"/>
  <c r="J21" i="137"/>
  <c r="G54" i="39"/>
  <c r="C18" i="38"/>
  <c r="E18" i="38" s="1"/>
  <c r="C14" i="8"/>
  <c r="C14" i="32"/>
  <c r="Q34" i="15"/>
  <c r="E32" i="12"/>
  <c r="C26" i="12"/>
  <c r="C54" i="12" s="1"/>
  <c r="J24" i="15"/>
  <c r="F15" i="48"/>
  <c r="F14" i="48" s="1"/>
  <c r="G55" i="15"/>
  <c r="P24" i="15"/>
  <c r="K21" i="137" l="1"/>
  <c r="E43" i="137"/>
  <c r="J43" i="137"/>
  <c r="Q24" i="15"/>
  <c r="E21" i="137"/>
  <c r="C19" i="8"/>
  <c r="H21" i="137"/>
  <c r="E14" i="32"/>
  <c r="I29" i="137"/>
  <c r="C24" i="38"/>
  <c r="E24" i="38" s="1"/>
  <c r="E26" i="12"/>
  <c r="E54" i="12" s="1"/>
  <c r="P55" i="15"/>
  <c r="C19" i="32"/>
  <c r="C12" i="98"/>
  <c r="C13" i="98"/>
  <c r="I21" i="137" l="1"/>
  <c r="E19" i="32"/>
  <c r="I43" i="137"/>
  <c r="H43" i="137"/>
  <c r="L15" i="148" s="1"/>
  <c r="L20" i="148" s="1"/>
  <c r="K43" i="137"/>
  <c r="F21" i="137"/>
  <c r="E45" i="137"/>
  <c r="E44" i="137"/>
  <c r="F43" i="137"/>
  <c r="C14" i="136"/>
  <c r="C15" i="98"/>
  <c r="F45" i="137" l="1"/>
  <c r="F44" i="137"/>
  <c r="P13" i="24"/>
  <c r="P16" i="24"/>
  <c r="P19" i="24"/>
  <c r="P22" i="24"/>
  <c r="P25" i="24"/>
  <c r="P28" i="24"/>
  <c r="P18" i="24"/>
  <c r="P20" i="24"/>
  <c r="P27" i="24"/>
  <c r="P29" i="24"/>
  <c r="P32" i="24"/>
  <c r="P35" i="24"/>
  <c r="P38" i="24"/>
  <c r="P41" i="24"/>
  <c r="P154" i="24"/>
  <c r="P157" i="24"/>
  <c r="P158" i="24"/>
  <c r="P161" i="24"/>
  <c r="P164" i="24"/>
  <c r="P166" i="24"/>
  <c r="P168" i="24"/>
  <c r="P46" i="24"/>
  <c r="P172" i="24"/>
  <c r="P175" i="24"/>
  <c r="P178" i="24"/>
  <c r="P50" i="24"/>
  <c r="P181" i="24"/>
  <c r="P183" i="24"/>
  <c r="P186" i="24"/>
  <c r="P188" i="24"/>
  <c r="P191" i="24"/>
  <c r="P193" i="24"/>
  <c r="P196" i="24"/>
  <c r="P199" i="24"/>
  <c r="P201" i="24"/>
  <c r="P204" i="24"/>
  <c r="P207" i="24"/>
  <c r="P210" i="24"/>
  <c r="P213" i="24"/>
  <c r="P216" i="24"/>
  <c r="P218" i="24"/>
  <c r="P221" i="24"/>
  <c r="P224" i="24"/>
  <c r="P227" i="24"/>
  <c r="P230" i="24"/>
  <c r="P233" i="24"/>
  <c r="P236" i="24"/>
  <c r="P239" i="24"/>
  <c r="P242" i="24"/>
  <c r="P245" i="24"/>
  <c r="P248" i="24"/>
  <c r="P251" i="24"/>
  <c r="P254" i="24"/>
  <c r="P257" i="24"/>
  <c r="P260" i="24"/>
  <c r="P263" i="24"/>
  <c r="P266" i="24"/>
  <c r="P269" i="24"/>
  <c r="P272" i="24"/>
  <c r="P275" i="24"/>
  <c r="P278" i="24"/>
  <c r="P281" i="24"/>
  <c r="P284" i="24"/>
  <c r="P287" i="24"/>
  <c r="P290" i="24"/>
  <c r="P293" i="24"/>
  <c r="P296" i="24"/>
  <c r="P298" i="24"/>
  <c r="P300" i="24"/>
  <c r="P58" i="24"/>
  <c r="P305" i="24"/>
  <c r="P15" i="24"/>
  <c r="P17" i="24"/>
  <c r="P24" i="24"/>
  <c r="P26" i="24"/>
  <c r="P31" i="24"/>
  <c r="P34" i="24"/>
  <c r="P37" i="24"/>
  <c r="P40" i="24"/>
  <c r="P153" i="24"/>
  <c r="P156" i="24"/>
  <c r="P43" i="24"/>
  <c r="P160" i="24"/>
  <c r="P163" i="24"/>
  <c r="P165" i="24"/>
  <c r="P45" i="24"/>
  <c r="P170" i="24"/>
  <c r="P171" i="24"/>
  <c r="P174" i="24"/>
  <c r="P177" i="24"/>
  <c r="P49" i="24"/>
  <c r="P180" i="24"/>
  <c r="P51" i="24"/>
  <c r="P185" i="24"/>
  <c r="P52" i="24"/>
  <c r="P190" i="24"/>
  <c r="P53" i="24"/>
  <c r="P195" i="24"/>
  <c r="P198" i="24"/>
  <c r="P200" i="24"/>
  <c r="P203" i="24"/>
  <c r="P206" i="24"/>
  <c r="P209" i="24"/>
  <c r="P212" i="24"/>
  <c r="P215" i="24"/>
  <c r="P55" i="24"/>
  <c r="P220" i="24"/>
  <c r="P223" i="24"/>
  <c r="P226" i="24"/>
  <c r="P229" i="24"/>
  <c r="P232" i="24"/>
  <c r="P235" i="24"/>
  <c r="P238" i="24"/>
  <c r="P241" i="24"/>
  <c r="P244" i="24"/>
  <c r="P247" i="24"/>
  <c r="P250" i="24"/>
  <c r="P253" i="24"/>
  <c r="P256" i="24"/>
  <c r="P259" i="24"/>
  <c r="P262" i="24"/>
  <c r="P265" i="24"/>
  <c r="P268" i="24"/>
  <c r="P271" i="24"/>
  <c r="P274" i="24"/>
  <c r="P277" i="24"/>
  <c r="P280" i="24"/>
  <c r="P283" i="24"/>
  <c r="P286" i="24"/>
  <c r="P289" i="24"/>
  <c r="P292" i="24"/>
  <c r="P295" i="24"/>
  <c r="P297" i="24"/>
  <c r="P299" i="24"/>
  <c r="P14" i="24"/>
  <c r="P21" i="24"/>
  <c r="P23" i="24"/>
  <c r="P30" i="24"/>
  <c r="P33" i="24"/>
  <c r="P36" i="24"/>
  <c r="P39" i="24"/>
  <c r="P152" i="24"/>
  <c r="P155" i="24"/>
  <c r="P42" i="24"/>
  <c r="P159" i="24"/>
  <c r="P162" i="24"/>
  <c r="P44" i="24"/>
  <c r="P167" i="24"/>
  <c r="P169" i="24"/>
  <c r="P47" i="24"/>
  <c r="P173" i="24"/>
  <c r="P176" i="24"/>
  <c r="P48" i="24"/>
  <c r="P179" i="24"/>
  <c r="P182" i="24"/>
  <c r="P184" i="24"/>
  <c r="P187" i="24"/>
  <c r="P189" i="24"/>
  <c r="P192" i="24"/>
  <c r="P194" i="24"/>
  <c r="P197" i="24"/>
  <c r="P54" i="24"/>
  <c r="P202" i="24"/>
  <c r="P205" i="24"/>
  <c r="P208" i="24"/>
  <c r="P211" i="24"/>
  <c r="P214" i="24"/>
  <c r="P217" i="24"/>
  <c r="P219" i="24"/>
  <c r="P222" i="24"/>
  <c r="P225" i="24"/>
  <c r="P228" i="24"/>
  <c r="P231" i="24"/>
  <c r="P234" i="24"/>
  <c r="P237" i="24"/>
  <c r="P240" i="24"/>
  <c r="P243" i="24"/>
  <c r="P246" i="24"/>
  <c r="P249" i="24"/>
  <c r="P252" i="24"/>
  <c r="P255" i="24"/>
  <c r="P258" i="24"/>
  <c r="P261" i="24"/>
  <c r="P264" i="24"/>
  <c r="P267" i="24"/>
  <c r="P270" i="24"/>
  <c r="P273" i="24"/>
  <c r="P276" i="24"/>
  <c r="P279" i="24"/>
  <c r="P282" i="24"/>
  <c r="P285" i="24"/>
  <c r="P288" i="24"/>
  <c r="P291" i="24"/>
  <c r="P294" i="24"/>
  <c r="P56" i="24"/>
  <c r="P57" i="24"/>
  <c r="P301" i="24"/>
  <c r="P303" i="24"/>
  <c r="P306" i="24"/>
  <c r="P309" i="24"/>
  <c r="P311" i="24"/>
  <c r="P314" i="24"/>
  <c r="P317" i="24"/>
  <c r="P319" i="24"/>
  <c r="P322" i="24"/>
  <c r="P324" i="24"/>
  <c r="P327" i="24"/>
  <c r="P62" i="24"/>
  <c r="P65" i="24"/>
  <c r="P68" i="24"/>
  <c r="P71" i="24"/>
  <c r="P74" i="24"/>
  <c r="P76" i="24"/>
  <c r="P79" i="24"/>
  <c r="P340" i="24"/>
  <c r="P81" i="24"/>
  <c r="P343" i="24"/>
  <c r="P332" i="24"/>
  <c r="P345" i="24"/>
  <c r="P333" i="24"/>
  <c r="P88" i="24"/>
  <c r="P91" i="24"/>
  <c r="P94" i="24"/>
  <c r="P350" i="24"/>
  <c r="P97" i="24"/>
  <c r="P352" i="24"/>
  <c r="P354" i="24"/>
  <c r="P101" i="24"/>
  <c r="P357" i="24"/>
  <c r="P335" i="24"/>
  <c r="P105" i="24"/>
  <c r="P361" i="24"/>
  <c r="P107" i="24"/>
  <c r="P364" i="24"/>
  <c r="P366" i="24"/>
  <c r="P368" i="24"/>
  <c r="P370" i="24"/>
  <c r="P372" i="24"/>
  <c r="P375" i="24"/>
  <c r="P377" i="24"/>
  <c r="P379" i="24"/>
  <c r="P115" i="24"/>
  <c r="P383" i="24"/>
  <c r="P117" i="24"/>
  <c r="P386" i="24"/>
  <c r="P119" i="24"/>
  <c r="P388" i="24"/>
  <c r="P390" i="24"/>
  <c r="P393" i="24"/>
  <c r="P125" i="24"/>
  <c r="P396" i="24"/>
  <c r="P399" i="24"/>
  <c r="P401" i="24"/>
  <c r="P403" i="24"/>
  <c r="P406" i="24"/>
  <c r="P132" i="24"/>
  <c r="P134" i="24"/>
  <c r="P409" i="24"/>
  <c r="P411" i="24"/>
  <c r="P414" i="24"/>
  <c r="P417" i="24"/>
  <c r="P420" i="24"/>
  <c r="P423" i="24"/>
  <c r="P426" i="24"/>
  <c r="P429" i="24"/>
  <c r="P432" i="24"/>
  <c r="P435" i="24"/>
  <c r="P438" i="24"/>
  <c r="P441" i="24"/>
  <c r="P444" i="24"/>
  <c r="P447" i="24"/>
  <c r="P450" i="24"/>
  <c r="P453" i="24"/>
  <c r="P456" i="24"/>
  <c r="P459" i="24"/>
  <c r="P462" i="24"/>
  <c r="P465" i="24"/>
  <c r="P302" i="24"/>
  <c r="P310" i="24"/>
  <c r="P312" i="24"/>
  <c r="P60" i="24"/>
  <c r="P320" i="24"/>
  <c r="P326" i="24"/>
  <c r="P328" i="24"/>
  <c r="P67" i="24"/>
  <c r="P69" i="24"/>
  <c r="P330" i="24"/>
  <c r="P77" i="24"/>
  <c r="P342" i="24"/>
  <c r="P82" i="24"/>
  <c r="P86" i="24"/>
  <c r="P346" i="24"/>
  <c r="P90" i="24"/>
  <c r="P92" i="24"/>
  <c r="P96" i="24"/>
  <c r="P98" i="24"/>
  <c r="P334" i="24"/>
  <c r="P356" i="24"/>
  <c r="P359" i="24"/>
  <c r="P360" i="24"/>
  <c r="P109" i="24"/>
  <c r="P110" i="24"/>
  <c r="P112" i="24"/>
  <c r="P113" i="24"/>
  <c r="P114" i="24"/>
  <c r="P336" i="24"/>
  <c r="P382" i="24"/>
  <c r="P384" i="24"/>
  <c r="P339" i="24"/>
  <c r="P120" i="24"/>
  <c r="P389" i="24"/>
  <c r="P391" i="24"/>
  <c r="P127" i="24"/>
  <c r="P397" i="24"/>
  <c r="P129" i="24"/>
  <c r="P404" i="24"/>
  <c r="P133" i="24"/>
  <c r="P135" i="24"/>
  <c r="P413" i="24"/>
  <c r="P415" i="24"/>
  <c r="P422" i="24"/>
  <c r="P424" i="24"/>
  <c r="P431" i="24"/>
  <c r="P433" i="24"/>
  <c r="P440" i="24"/>
  <c r="P442" i="24"/>
  <c r="P449" i="24"/>
  <c r="P451" i="24"/>
  <c r="P458" i="24"/>
  <c r="P460" i="24"/>
  <c r="P467" i="24"/>
  <c r="P470" i="24"/>
  <c r="P473" i="24"/>
  <c r="P476" i="24"/>
  <c r="P137" i="24"/>
  <c r="P481" i="24"/>
  <c r="P484" i="24"/>
  <c r="P487" i="24"/>
  <c r="P490" i="24"/>
  <c r="P491" i="24"/>
  <c r="P494" i="24"/>
  <c r="P142" i="24"/>
  <c r="P497" i="24"/>
  <c r="P500" i="24"/>
  <c r="P143" i="24"/>
  <c r="P505" i="24"/>
  <c r="P508" i="24"/>
  <c r="P145" i="24"/>
  <c r="P512" i="24"/>
  <c r="P515" i="24"/>
  <c r="P146" i="24"/>
  <c r="P147" i="24"/>
  <c r="P522" i="24"/>
  <c r="P150" i="24"/>
  <c r="P525" i="24"/>
  <c r="P304" i="24"/>
  <c r="P308" i="24"/>
  <c r="P59" i="24"/>
  <c r="P316" i="24"/>
  <c r="P318" i="24"/>
  <c r="P61" i="24"/>
  <c r="P325" i="24"/>
  <c r="P64" i="24"/>
  <c r="P66" i="24"/>
  <c r="P73" i="24"/>
  <c r="P75" i="24"/>
  <c r="P80" i="24"/>
  <c r="P341" i="24"/>
  <c r="P344" i="24"/>
  <c r="P85" i="24"/>
  <c r="P87" i="24"/>
  <c r="P89" i="24"/>
  <c r="P349" i="24"/>
  <c r="P351" i="24"/>
  <c r="P353" i="24"/>
  <c r="P355" i="24"/>
  <c r="P358" i="24"/>
  <c r="P104" i="24"/>
  <c r="P363" i="24"/>
  <c r="P108" i="24"/>
  <c r="P111" i="24"/>
  <c r="P369" i="24"/>
  <c r="P374" i="24"/>
  <c r="P376" i="24"/>
  <c r="P337" i="24"/>
  <c r="P381" i="24"/>
  <c r="P118" i="24"/>
  <c r="P338" i="24"/>
  <c r="P123" i="24"/>
  <c r="P124" i="24"/>
  <c r="P395" i="24"/>
  <c r="P126" i="24"/>
  <c r="P128" i="24"/>
  <c r="P402" i="24"/>
  <c r="P131" i="24"/>
  <c r="P407" i="24"/>
  <c r="P410" i="24"/>
  <c r="P412" i="24"/>
  <c r="P419" i="24"/>
  <c r="P421" i="24"/>
  <c r="P428" i="24"/>
  <c r="P430" i="24"/>
  <c r="P437" i="24"/>
  <c r="P439" i="24"/>
  <c r="P446" i="24"/>
  <c r="P448" i="24"/>
  <c r="P455" i="24"/>
  <c r="P457" i="24"/>
  <c r="P464" i="24"/>
  <c r="P466" i="24"/>
  <c r="P469" i="24"/>
  <c r="P472" i="24"/>
  <c r="P475" i="24"/>
  <c r="P478" i="24"/>
  <c r="P480" i="24"/>
  <c r="P483" i="24"/>
  <c r="P486" i="24"/>
  <c r="P489" i="24"/>
  <c r="P139" i="24"/>
  <c r="P493" i="24"/>
  <c r="P141" i="24"/>
  <c r="P496" i="24"/>
  <c r="P499" i="24"/>
  <c r="P502" i="24"/>
  <c r="P504" i="24"/>
  <c r="P507" i="24"/>
  <c r="P509" i="24"/>
  <c r="P511" i="24"/>
  <c r="P514" i="24"/>
  <c r="P518" i="24"/>
  <c r="P520" i="24"/>
  <c r="P148" i="24"/>
  <c r="P523" i="24"/>
  <c r="P524" i="24"/>
  <c r="P307" i="24"/>
  <c r="P313" i="24"/>
  <c r="P315" i="24"/>
  <c r="P321" i="24"/>
  <c r="P323" i="24"/>
  <c r="P329" i="24"/>
  <c r="P63" i="24"/>
  <c r="P70" i="24"/>
  <c r="P72" i="24"/>
  <c r="P78" i="24"/>
  <c r="P331" i="24"/>
  <c r="P83" i="24"/>
  <c r="P84" i="24"/>
  <c r="P347" i="24"/>
  <c r="P348" i="24"/>
  <c r="P93" i="24"/>
  <c r="P95" i="24"/>
  <c r="P99" i="24"/>
  <c r="P100" i="24"/>
  <c r="P102" i="24"/>
  <c r="P103" i="24"/>
  <c r="P106" i="24"/>
  <c r="P362" i="24"/>
  <c r="P365" i="24"/>
  <c r="P367" i="24"/>
  <c r="P371" i="24"/>
  <c r="P373" i="24"/>
  <c r="P378" i="24"/>
  <c r="P380" i="24"/>
  <c r="P116" i="24"/>
  <c r="P385" i="24"/>
  <c r="P121" i="24"/>
  <c r="P122" i="24"/>
  <c r="P392" i="24"/>
  <c r="P394" i="24"/>
  <c r="P398" i="24"/>
  <c r="P400" i="24"/>
  <c r="P405" i="24"/>
  <c r="P130" i="24"/>
  <c r="P408" i="24"/>
  <c r="P136" i="24"/>
  <c r="P416" i="24"/>
  <c r="P418" i="24"/>
  <c r="P425" i="24"/>
  <c r="P427" i="24"/>
  <c r="P434" i="24"/>
  <c r="P436" i="24"/>
  <c r="P443" i="24"/>
  <c r="P445" i="24"/>
  <c r="P452" i="24"/>
  <c r="P454" i="24"/>
  <c r="P461" i="24"/>
  <c r="P463" i="24"/>
  <c r="P468" i="24"/>
  <c r="P471" i="24"/>
  <c r="P474" i="24"/>
  <c r="P477" i="24"/>
  <c r="P479" i="24"/>
  <c r="P482" i="24"/>
  <c r="P485" i="24"/>
  <c r="P488" i="24"/>
  <c r="P138" i="24"/>
  <c r="P492" i="24"/>
  <c r="P140" i="24"/>
  <c r="P495" i="24"/>
  <c r="P498" i="24"/>
  <c r="P501" i="24"/>
  <c r="P503" i="24"/>
  <c r="P506" i="24"/>
  <c r="P144" i="24"/>
  <c r="P510" i="24"/>
  <c r="P513" i="24"/>
  <c r="P516" i="24"/>
  <c r="P519" i="24"/>
  <c r="P521" i="24"/>
  <c r="P149" i="24"/>
  <c r="P151" i="24"/>
  <c r="P526" i="24"/>
  <c r="P12" i="24"/>
  <c r="P528" i="24"/>
  <c r="P542" i="24"/>
  <c r="P539" i="24"/>
  <c r="P536" i="24"/>
  <c r="P533" i="24"/>
  <c r="P530" i="24"/>
  <c r="P537" i="24"/>
  <c r="P531" i="24"/>
  <c r="P527" i="24"/>
  <c r="P543" i="24"/>
  <c r="P540" i="24"/>
  <c r="P534" i="24"/>
  <c r="P541" i="24"/>
  <c r="P538" i="24"/>
  <c r="P535" i="24"/>
  <c r="P532" i="24"/>
  <c r="P529" i="24"/>
  <c r="S51" i="121" l="1"/>
  <c r="P55" i="121"/>
  <c r="O267" i="24"/>
  <c r="O262" i="24"/>
  <c r="O340" i="24"/>
  <c r="O361" i="24"/>
  <c r="O291" i="24"/>
  <c r="O27" i="24"/>
  <c r="O47" i="24"/>
  <c r="L16" i="24"/>
  <c r="AQ1062" i="1" s="1"/>
  <c r="O469" i="24"/>
  <c r="O461" i="24"/>
  <c r="O484" i="24"/>
  <c r="O451" i="24"/>
  <c r="O443" i="24"/>
  <c r="O435" i="24"/>
  <c r="O417" i="24"/>
  <c r="O503" i="24"/>
  <c r="O400" i="24"/>
  <c r="O428" i="24"/>
  <c r="O156" i="24"/>
  <c r="O352" i="24"/>
  <c r="O472" i="24"/>
  <c r="O176" i="24"/>
  <c r="O540" i="24"/>
  <c r="O492" i="24"/>
  <c r="L492" i="24" s="1"/>
  <c r="AQ1578" i="1" s="1"/>
  <c r="L69" i="24"/>
  <c r="O126" i="24"/>
  <c r="L122" i="24"/>
  <c r="O393" i="24"/>
  <c r="L393" i="24" s="1"/>
  <c r="AQ574" i="1" s="1"/>
  <c r="O510" i="24"/>
  <c r="L510" i="24" s="1"/>
  <c r="O36" i="24"/>
  <c r="O144" i="24"/>
  <c r="O107" i="24"/>
  <c r="O114" i="24"/>
  <c r="O201" i="24"/>
  <c r="O410" i="24"/>
  <c r="L410" i="24" s="1"/>
  <c r="O96" i="24"/>
  <c r="O125" i="24"/>
  <c r="O508" i="24"/>
  <c r="O525" i="24"/>
  <c r="O468" i="24"/>
  <c r="O460" i="24"/>
  <c r="O518" i="24"/>
  <c r="O483" i="24"/>
  <c r="O450" i="24"/>
  <c r="O442" i="24"/>
  <c r="O424" i="24"/>
  <c r="O416" i="24"/>
  <c r="O501" i="24"/>
  <c r="O389" i="24"/>
  <c r="O427" i="24"/>
  <c r="O362" i="24"/>
  <c r="O537" i="24"/>
  <c r="L531" i="24"/>
  <c r="AQ367" i="1" s="1"/>
  <c r="O212" i="24"/>
  <c r="O327" i="24"/>
  <c r="O271" i="24"/>
  <c r="O170" i="24"/>
  <c r="O244" i="24"/>
  <c r="O242" i="24"/>
  <c r="O381" i="24"/>
  <c r="O166" i="24"/>
  <c r="O198" i="24"/>
  <c r="O331" i="24"/>
  <c r="O273" i="24"/>
  <c r="O232" i="24"/>
  <c r="O231" i="24"/>
  <c r="O315" i="24"/>
  <c r="O18" i="24"/>
  <c r="L18" i="24" s="1"/>
  <c r="AQ562" i="1" s="1"/>
  <c r="L95" i="24"/>
  <c r="AQ15" i="1" s="1"/>
  <c r="L15" i="24"/>
  <c r="AQ1495" i="1" s="1"/>
  <c r="O23" i="24"/>
  <c r="O83" i="24"/>
  <c r="O190" i="24"/>
  <c r="O403" i="24"/>
  <c r="O150" i="24"/>
  <c r="L150" i="24" s="1"/>
  <c r="AQ660" i="1" s="1"/>
  <c r="O79" i="24"/>
  <c r="O109" i="24"/>
  <c r="O40" i="24"/>
  <c r="O67" i="24"/>
  <c r="O78" i="24"/>
  <c r="O479" i="24"/>
  <c r="O132" i="24"/>
  <c r="L132" i="24" s="1"/>
  <c r="O53" i="24"/>
  <c r="O133" i="24"/>
  <c r="O319" i="24"/>
  <c r="O425" i="24"/>
  <c r="O524" i="24"/>
  <c r="O467" i="24"/>
  <c r="O459" i="24"/>
  <c r="O516" i="24"/>
  <c r="O482" i="24"/>
  <c r="O449" i="24"/>
  <c r="O441" i="24"/>
  <c r="O423" i="24"/>
  <c r="O415" i="24"/>
  <c r="O500" i="24"/>
  <c r="O388" i="24"/>
  <c r="O426" i="24"/>
  <c r="O349" i="24"/>
  <c r="O193" i="24"/>
  <c r="O275" i="24"/>
  <c r="O172" i="24"/>
  <c r="O293" i="24"/>
  <c r="O512" i="24"/>
  <c r="L512" i="24" s="1"/>
  <c r="L101" i="24"/>
  <c r="AQ1601" i="1" s="1"/>
  <c r="O59" i="24"/>
  <c r="O507" i="24"/>
  <c r="O513" i="24"/>
  <c r="L513" i="24" s="1"/>
  <c r="AQ1687" i="1" s="1"/>
  <c r="O20" i="24"/>
  <c r="O29" i="24"/>
  <c r="O152" i="24"/>
  <c r="O523" i="24"/>
  <c r="O466" i="24"/>
  <c r="O458" i="24"/>
  <c r="O515" i="24"/>
  <c r="O481" i="24"/>
  <c r="O448" i="24"/>
  <c r="O440" i="24"/>
  <c r="O422" i="24"/>
  <c r="O414" i="24"/>
  <c r="O499" i="24"/>
  <c r="O433" i="24"/>
  <c r="O407" i="24"/>
  <c r="O522" i="24"/>
  <c r="O465" i="24"/>
  <c r="O457" i="24"/>
  <c r="O514" i="24"/>
  <c r="O480" i="24"/>
  <c r="O447" i="24"/>
  <c r="O439" i="24"/>
  <c r="O421" i="24"/>
  <c r="O413" i="24"/>
  <c r="O498" i="24"/>
  <c r="O432" i="24"/>
  <c r="O406" i="24"/>
  <c r="O324" i="24"/>
  <c r="O530" i="24"/>
  <c r="L530" i="24" s="1"/>
  <c r="AQ269" i="1" s="1"/>
  <c r="O121" i="24"/>
  <c r="O377" i="24"/>
  <c r="O185" i="24"/>
  <c r="O165" i="24"/>
  <c r="O533" i="24"/>
  <c r="O322" i="24"/>
  <c r="O337" i="24"/>
  <c r="O158" i="24"/>
  <c r="O343" i="24"/>
  <c r="O196" i="24"/>
  <c r="O260" i="24"/>
  <c r="O159" i="24"/>
  <c r="O246" i="24"/>
  <c r="O366" i="24"/>
  <c r="O386" i="24"/>
  <c r="O66" i="24"/>
  <c r="O395" i="24"/>
  <c r="O409" i="24"/>
  <c r="L409" i="24" s="1"/>
  <c r="AQ586" i="1" s="1"/>
  <c r="O103" i="24"/>
  <c r="L529" i="24"/>
  <c r="AQ1078" i="1" s="1"/>
  <c r="O535" i="24"/>
  <c r="O374" i="24"/>
  <c r="O287" i="24"/>
  <c r="O253" i="24"/>
  <c r="O380" i="24"/>
  <c r="O297" i="24"/>
  <c r="O219" i="24"/>
  <c r="O300" i="24"/>
  <c r="O391" i="24"/>
  <c r="O120" i="24"/>
  <c r="O360" i="24"/>
  <c r="O265" i="24"/>
  <c r="O200" i="24"/>
  <c r="O195" i="24"/>
  <c r="O372" i="24"/>
  <c r="O236" i="24"/>
  <c r="O368" i="24"/>
  <c r="O509" i="24"/>
  <c r="L35" i="24"/>
  <c r="L143" i="24"/>
  <c r="AQ357" i="1" s="1"/>
  <c r="L56" i="24"/>
  <c r="AQ1070" i="1" s="1"/>
  <c r="O94" i="24"/>
  <c r="O65" i="24"/>
  <c r="O399" i="24"/>
  <c r="L399" i="24" s="1"/>
  <c r="O473" i="24"/>
  <c r="L473" i="24" s="1"/>
  <c r="AQ555" i="1" s="1"/>
  <c r="L21" i="24"/>
  <c r="O127" i="24"/>
  <c r="O45" i="24"/>
  <c r="O81" i="24"/>
  <c r="O57" i="24"/>
  <c r="O142" i="24"/>
  <c r="O63" i="24"/>
  <c r="O58" i="24"/>
  <c r="O49" i="24"/>
  <c r="O369" i="24"/>
  <c r="O526" i="24"/>
  <c r="O263" i="24"/>
  <c r="O175" i="24"/>
  <c r="O385" i="24"/>
  <c r="O521" i="24"/>
  <c r="O464" i="24"/>
  <c r="O456" i="24"/>
  <c r="O487" i="24"/>
  <c r="O475" i="24"/>
  <c r="O446" i="24"/>
  <c r="O438" i="24"/>
  <c r="O420" i="24"/>
  <c r="O412" i="24"/>
  <c r="O506" i="24"/>
  <c r="O497" i="24"/>
  <c r="O431" i="24"/>
  <c r="O405" i="24"/>
  <c r="O402" i="24"/>
  <c r="L532" i="24"/>
  <c r="L536" i="24"/>
  <c r="AQ1210" i="1" s="1"/>
  <c r="O249" i="24"/>
  <c r="O307" i="24"/>
  <c r="O310" i="24"/>
  <c r="O325" i="24"/>
  <c r="O221" i="24"/>
  <c r="O336" i="24"/>
  <c r="O285" i="24"/>
  <c r="O371" i="24"/>
  <c r="O257" i="24"/>
  <c r="O528" i="24"/>
  <c r="O476" i="24"/>
  <c r="O392" i="24"/>
  <c r="L392" i="24" s="1"/>
  <c r="AQ1219" i="1" s="1"/>
  <c r="L92" i="24"/>
  <c r="AQ1609" i="1" s="1"/>
  <c r="L14" i="24"/>
  <c r="L80" i="24"/>
  <c r="AQ308" i="1" s="1"/>
  <c r="O138" i="24"/>
  <c r="O115" i="24"/>
  <c r="O411" i="24"/>
  <c r="O478" i="24"/>
  <c r="L478" i="24" s="1"/>
  <c r="AQ1409" i="1" s="1"/>
  <c r="L68" i="24"/>
  <c r="AQ1605" i="1" s="1"/>
  <c r="O151" i="24"/>
  <c r="O64" i="24"/>
  <c r="O110" i="24"/>
  <c r="O93" i="24"/>
  <c r="O75" i="24"/>
  <c r="O534" i="24"/>
  <c r="O539" i="24"/>
  <c r="L539" i="24" s="1"/>
  <c r="AQ106" i="1" s="1"/>
  <c r="O378" i="24"/>
  <c r="O266" i="24"/>
  <c r="O350" i="24"/>
  <c r="O224" i="24"/>
  <c r="O61" i="24"/>
  <c r="O270" i="24"/>
  <c r="O247" i="24"/>
  <c r="O188" i="24"/>
  <c r="O276" i="24"/>
  <c r="O314" i="24"/>
  <c r="O261" i="24"/>
  <c r="O347" i="24"/>
  <c r="O206" i="24"/>
  <c r="O228" i="24"/>
  <c r="O408" i="24"/>
  <c r="L408" i="24" s="1"/>
  <c r="L116" i="24"/>
  <c r="AQ895" i="1" s="1"/>
  <c r="L82" i="24"/>
  <c r="O54" i="24"/>
  <c r="O86" i="24"/>
  <c r="O489" i="24"/>
  <c r="O490" i="24"/>
  <c r="L100" i="24"/>
  <c r="AQ1143" i="1" s="1"/>
  <c r="O22" i="24"/>
  <c r="O88" i="24"/>
  <c r="O141" i="24"/>
  <c r="L141" i="24" s="1"/>
  <c r="AQ1660" i="1" s="1"/>
  <c r="O137" i="24"/>
  <c r="O106" i="24"/>
  <c r="O13" i="24"/>
  <c r="O48" i="24"/>
  <c r="O129" i="24"/>
  <c r="O97" i="24"/>
  <c r="O520" i="24"/>
  <c r="O471" i="24"/>
  <c r="O463" i="24"/>
  <c r="O455" i="24"/>
  <c r="O486" i="24"/>
  <c r="O453" i="24"/>
  <c r="O445" i="24"/>
  <c r="O437" i="24"/>
  <c r="O419" i="24"/>
  <c r="O398" i="24"/>
  <c r="O505" i="24"/>
  <c r="O496" i="24"/>
  <c r="O430" i="24"/>
  <c r="O194" i="24"/>
  <c r="O167" i="24"/>
  <c r="O356" i="24"/>
  <c r="O272" i="24"/>
  <c r="O318" i="24"/>
  <c r="O220" i="24"/>
  <c r="O317" i="24"/>
  <c r="O326" i="24"/>
  <c r="O161" i="24"/>
  <c r="L71" i="24"/>
  <c r="AQ307" i="1" s="1"/>
  <c r="O32" i="24"/>
  <c r="L73" i="24"/>
  <c r="AQ1107" i="1" s="1"/>
  <c r="O396" i="24"/>
  <c r="L396" i="24" s="1"/>
  <c r="AQ1039" i="1" s="1"/>
  <c r="O77" i="24"/>
  <c r="O130" i="24"/>
  <c r="O108" i="24"/>
  <c r="O157" i="24"/>
  <c r="O527" i="24"/>
  <c r="O373" i="24"/>
  <c r="O282" i="24"/>
  <c r="O330" i="24"/>
  <c r="O370" i="24"/>
  <c r="O302" i="24"/>
  <c r="L17" i="24"/>
  <c r="AQ172" i="1" s="1"/>
  <c r="L39" i="24"/>
  <c r="O52" i="24"/>
  <c r="L131" i="24"/>
  <c r="AQ8" i="1" s="1"/>
  <c r="O19" i="24"/>
  <c r="O50" i="24"/>
  <c r="O26" i="24"/>
  <c r="O84" i="24"/>
  <c r="O174" i="24"/>
  <c r="O434" i="24"/>
  <c r="O542" i="24"/>
  <c r="O248" i="24"/>
  <c r="O284" i="24"/>
  <c r="O186" i="24"/>
  <c r="O281" i="24"/>
  <c r="O203" i="24"/>
  <c r="O342" i="24"/>
  <c r="O348" i="24"/>
  <c r="O365" i="24"/>
  <c r="O353" i="24"/>
  <c r="O255" i="24"/>
  <c r="O279" i="24"/>
  <c r="O311" i="24"/>
  <c r="O223" i="24"/>
  <c r="O191" i="24"/>
  <c r="O477" i="24"/>
  <c r="L477" i="24" s="1"/>
  <c r="L140" i="24"/>
  <c r="L28" i="24"/>
  <c r="L136" i="24"/>
  <c r="AQ894" i="1" s="1"/>
  <c r="O74" i="24"/>
  <c r="O312" i="24"/>
  <c r="O495" i="24"/>
  <c r="L495" i="24" s="1"/>
  <c r="AQ1655" i="1" s="1"/>
  <c r="O493" i="24"/>
  <c r="L124" i="24"/>
  <c r="O90" i="24"/>
  <c r="O112" i="24"/>
  <c r="O62" i="24"/>
  <c r="O105" i="24"/>
  <c r="O113" i="24"/>
  <c r="O502" i="24"/>
  <c r="O470" i="24"/>
  <c r="O462" i="24"/>
  <c r="O454" i="24"/>
  <c r="O485" i="24"/>
  <c r="O452" i="24"/>
  <c r="O444" i="24"/>
  <c r="O436" i="24"/>
  <c r="O418" i="24"/>
  <c r="O504" i="24"/>
  <c r="O401" i="24"/>
  <c r="O429" i="24"/>
  <c r="O241" i="24"/>
  <c r="O208" i="24"/>
  <c r="L19" i="24"/>
  <c r="L58" i="24"/>
  <c r="L129" i="24"/>
  <c r="L20" i="24"/>
  <c r="L78" i="24"/>
  <c r="AQ1627" i="1" s="1"/>
  <c r="L142" i="24"/>
  <c r="AQ1646" i="1" s="1"/>
  <c r="L36" i="24"/>
  <c r="AQ1552" i="1" s="1"/>
  <c r="L81" i="24"/>
  <c r="AQ341" i="1" s="1"/>
  <c r="L107" i="24"/>
  <c r="AQ663" i="1" s="1"/>
  <c r="L108" i="24"/>
  <c r="O532" i="24"/>
  <c r="L59" i="24"/>
  <c r="AQ1647" i="1" s="1"/>
  <c r="L52" i="24"/>
  <c r="L151" i="24"/>
  <c r="AQ638" i="1" s="1"/>
  <c r="L88" i="24"/>
  <c r="AQ1255" i="1" s="1"/>
  <c r="L54" i="24"/>
  <c r="L126" i="24"/>
  <c r="AQ343" i="1" s="1"/>
  <c r="L127" i="24"/>
  <c r="AQ1395" i="1" s="1"/>
  <c r="L90" i="24"/>
  <c r="L109" i="24"/>
  <c r="L144" i="24"/>
  <c r="L50" i="24"/>
  <c r="AQ1480" i="1" s="1"/>
  <c r="L105" i="24"/>
  <c r="L130" i="24"/>
  <c r="L97" i="24"/>
  <c r="AQ1603" i="1" s="1"/>
  <c r="L23" i="24"/>
  <c r="AQ1063" i="1" s="1"/>
  <c r="L103" i="24"/>
  <c r="L22" i="24"/>
  <c r="L45" i="24"/>
  <c r="L112" i="24"/>
  <c r="AQ345" i="1" s="1"/>
  <c r="L29" i="24"/>
  <c r="L26" i="24"/>
  <c r="L125" i="24"/>
  <c r="L133" i="24"/>
  <c r="O35" i="24"/>
  <c r="O95" i="24"/>
  <c r="O71" i="24"/>
  <c r="O119" i="24"/>
  <c r="L119" i="24" s="1"/>
  <c r="O143" i="24"/>
  <c r="O14" i="24"/>
  <c r="O82" i="24"/>
  <c r="O28" i="24"/>
  <c r="O69" i="24"/>
  <c r="O101" i="24"/>
  <c r="O15" i="24"/>
  <c r="O39" i="24"/>
  <c r="O56" i="24"/>
  <c r="O80" i="24"/>
  <c r="O104" i="24"/>
  <c r="O136" i="24"/>
  <c r="O16" i="24"/>
  <c r="O73" i="24"/>
  <c r="O131" i="24"/>
  <c r="O68" i="24"/>
  <c r="O140" i="24"/>
  <c r="L138" i="24"/>
  <c r="L86" i="24"/>
  <c r="AQ1392" i="1" s="1"/>
  <c r="O148" i="24"/>
  <c r="L148" i="24" s="1"/>
  <c r="AQ670" i="1" s="1"/>
  <c r="L57" i="24"/>
  <c r="L137" i="24"/>
  <c r="AQ1071" i="1" s="1"/>
  <c r="L75" i="24"/>
  <c r="L113" i="24"/>
  <c r="L13" i="24"/>
  <c r="L63" i="24"/>
  <c r="AQ637" i="1" s="1"/>
  <c r="L48" i="24"/>
  <c r="AQ1387" i="1" s="1"/>
  <c r="L96" i="24"/>
  <c r="AQ1602" i="1" s="1"/>
  <c r="O44" i="24"/>
  <c r="O491" i="24"/>
  <c r="O85" i="24"/>
  <c r="L85" i="24"/>
  <c r="AQ1303" i="1" s="1"/>
  <c r="O123" i="24"/>
  <c r="L123" i="24"/>
  <c r="O149" i="24"/>
  <c r="L149" i="24" s="1"/>
  <c r="AQ668" i="1" s="1"/>
  <c r="O529" i="24"/>
  <c r="L41" i="24"/>
  <c r="AQ904" i="1" s="1"/>
  <c r="O41" i="24"/>
  <c r="O17" i="24"/>
  <c r="O116" i="24"/>
  <c r="O21" i="24"/>
  <c r="O124" i="24"/>
  <c r="O474" i="24"/>
  <c r="L474" i="24" s="1"/>
  <c r="AQ552" i="1" s="1"/>
  <c r="O135" i="24"/>
  <c r="L135" i="24"/>
  <c r="AQ1391" i="1" s="1"/>
  <c r="O43" i="24"/>
  <c r="L43" i="24"/>
  <c r="AQ336" i="1" s="1"/>
  <c r="O146" i="24"/>
  <c r="L146" i="24"/>
  <c r="AQ547" i="1" s="1"/>
  <c r="O42" i="24"/>
  <c r="O92" i="24"/>
  <c r="L94" i="24"/>
  <c r="L74" i="24"/>
  <c r="L83" i="24"/>
  <c r="AQ340" i="1" s="1"/>
  <c r="L115" i="24"/>
  <c r="AQ342" i="1" s="1"/>
  <c r="O12" i="24"/>
  <c r="O100" i="24"/>
  <c r="O55" i="24"/>
  <c r="L62" i="24"/>
  <c r="AQ558" i="1" s="1"/>
  <c r="L67" i="24"/>
  <c r="AQ798" i="1" s="1"/>
  <c r="L114" i="24"/>
  <c r="L84" i="24"/>
  <c r="L106" i="24"/>
  <c r="AQ1110" i="1" s="1"/>
  <c r="O394" i="24"/>
  <c r="L394" i="24" s="1"/>
  <c r="AQ545" i="1" s="1"/>
  <c r="O87" i="24"/>
  <c r="L87" i="24"/>
  <c r="O31" i="24"/>
  <c r="L31" i="24"/>
  <c r="O60" i="24"/>
  <c r="L434" i="24"/>
  <c r="AQ1232" i="1" s="1"/>
  <c r="O536" i="24"/>
  <c r="O303" i="24"/>
  <c r="O379" i="24"/>
  <c r="O306" i="24"/>
  <c r="O207" i="24"/>
  <c r="O283" i="24"/>
  <c r="L535" i="24"/>
  <c r="AQ1208" i="1" s="1"/>
  <c r="O543" i="24"/>
  <c r="O199" i="24"/>
  <c r="O204" i="24"/>
  <c r="O294" i="24"/>
  <c r="O333" i="24"/>
  <c r="O173" i="24"/>
  <c r="O323" i="24"/>
  <c r="O268" i="24"/>
  <c r="O240" i="24"/>
  <c r="O182" i="24"/>
  <c r="O357" i="24"/>
  <c r="O344" i="24"/>
  <c r="O187" i="24"/>
  <c r="O184" i="24"/>
  <c r="O217" i="24"/>
  <c r="O153" i="24"/>
  <c r="O259" i="24"/>
  <c r="O289" i="24"/>
  <c r="O292" i="24"/>
  <c r="O254" i="24"/>
  <c r="O359" i="24"/>
  <c r="O298" i="24"/>
  <c r="O164" i="24"/>
  <c r="O214" i="24"/>
  <c r="O304" i="24"/>
  <c r="O335" i="24"/>
  <c r="O213" i="24"/>
  <c r="O163" i="24"/>
  <c r="O286" i="24"/>
  <c r="O328" i="24"/>
  <c r="O229" i="24"/>
  <c r="O169" i="24"/>
  <c r="O179" i="24"/>
  <c r="O363" i="24"/>
  <c r="O177" i="24"/>
  <c r="O202" i="24"/>
  <c r="O404" i="24"/>
  <c r="O277" i="24"/>
  <c r="O308" i="24"/>
  <c r="O89" i="24"/>
  <c r="O334" i="24"/>
  <c r="O209" i="24"/>
  <c r="O243" i="24"/>
  <c r="O237" i="24"/>
  <c r="O278" i="24"/>
  <c r="O155" i="24"/>
  <c r="O290" i="24"/>
  <c r="O341" i="24"/>
  <c r="O320" i="24"/>
  <c r="O351" i="24"/>
  <c r="O345" i="24"/>
  <c r="O162" i="24"/>
  <c r="O384" i="24"/>
  <c r="O205" i="24"/>
  <c r="O178" i="24"/>
  <c r="O210" i="24"/>
  <c r="O295" i="24"/>
  <c r="O181" i="24"/>
  <c r="O227" i="24"/>
  <c r="O280" i="24"/>
  <c r="O355" i="24"/>
  <c r="O233" i="24"/>
  <c r="O288" i="24"/>
  <c r="O376" i="24"/>
  <c r="O299" i="24"/>
  <c r="O354" i="24"/>
  <c r="O252" i="24"/>
  <c r="O154" i="24"/>
  <c r="O375" i="24"/>
  <c r="O339" i="24"/>
  <c r="O34" i="24"/>
  <c r="L34" i="24" s="1"/>
  <c r="O98" i="24"/>
  <c r="O531" i="24"/>
  <c r="O180" i="24"/>
  <c r="O313" i="24"/>
  <c r="O160" i="24"/>
  <c r="O519" i="24"/>
  <c r="O192" i="24"/>
  <c r="O264" i="24"/>
  <c r="O238" i="24"/>
  <c r="O321" i="24"/>
  <c r="O305" i="24"/>
  <c r="O316" i="24"/>
  <c r="O346" i="24"/>
  <c r="O269" i="24"/>
  <c r="O250" i="24"/>
  <c r="O367" i="24"/>
  <c r="O226" i="24"/>
  <c r="O183" i="24"/>
  <c r="O197" i="24"/>
  <c r="O222" i="24"/>
  <c r="O364" i="24"/>
  <c r="O225" i="24"/>
  <c r="O239" i="24"/>
  <c r="O211" i="24"/>
  <c r="O171" i="24"/>
  <c r="O251" i="24"/>
  <c r="O258" i="24"/>
  <c r="O235" i="24"/>
  <c r="O382" i="24"/>
  <c r="O230" i="24"/>
  <c r="O168" i="24"/>
  <c r="O383" i="24"/>
  <c r="O274" i="24"/>
  <c r="O216" i="24"/>
  <c r="O538" i="24"/>
  <c r="O256" i="24"/>
  <c r="O494" i="24"/>
  <c r="L494" i="24" s="1"/>
  <c r="O33" i="24"/>
  <c r="L33" i="24" s="1"/>
  <c r="O117" i="24"/>
  <c r="O147" i="24"/>
  <c r="L147" i="24"/>
  <c r="AQ564" i="1" s="1"/>
  <c r="O189" i="24"/>
  <c r="O301" i="24"/>
  <c r="O358" i="24"/>
  <c r="O234" i="24"/>
  <c r="O245" i="24"/>
  <c r="O46" i="24"/>
  <c r="O309" i="24"/>
  <c r="O122" i="24"/>
  <c r="L102" i="24"/>
  <c r="AQ1606" i="1" s="1"/>
  <c r="O102" i="24"/>
  <c r="L134" i="24"/>
  <c r="AQ10" i="1" s="1"/>
  <c r="O134" i="24"/>
  <c r="O397" i="24"/>
  <c r="O488" i="24"/>
  <c r="O76" i="24"/>
  <c r="O128" i="24"/>
  <c r="L128" i="24"/>
  <c r="O91" i="24"/>
  <c r="L91" i="24"/>
  <c r="AQ1599" i="1" s="1"/>
  <c r="O30" i="24"/>
  <c r="L30" i="24"/>
  <c r="O296" i="24"/>
  <c r="O332" i="24"/>
  <c r="O215" i="24"/>
  <c r="O218" i="24"/>
  <c r="O541" i="24"/>
  <c r="O338" i="24"/>
  <c r="O145" i="24"/>
  <c r="O24" i="24"/>
  <c r="L24" i="24"/>
  <c r="AQ23" i="1" s="1"/>
  <c r="O38" i="24"/>
  <c r="L38" i="24"/>
  <c r="AQ1597" i="1" s="1"/>
  <c r="O25" i="24"/>
  <c r="L25" i="24"/>
  <c r="AQ164" i="1" s="1"/>
  <c r="O51" i="24"/>
  <c r="L51" i="24"/>
  <c r="O99" i="24"/>
  <c r="L99" i="24"/>
  <c r="AQ338" i="1" s="1"/>
  <c r="O37" i="24"/>
  <c r="L37" i="24"/>
  <c r="L139" i="24"/>
  <c r="O139" i="24"/>
  <c r="O329" i="24"/>
  <c r="O390" i="24"/>
  <c r="O511" i="24"/>
  <c r="L511" i="24" s="1"/>
  <c r="O111" i="24"/>
  <c r="L111" i="24"/>
  <c r="AQ1142" i="1" s="1"/>
  <c r="O72" i="24"/>
  <c r="L72" i="24"/>
  <c r="O70" i="24"/>
  <c r="O118" i="24"/>
  <c r="AQ1759" i="1" l="1"/>
  <c r="AQ1423" i="1"/>
  <c r="AQ1504" i="1"/>
  <c r="AQ115" i="1"/>
  <c r="AQ324" i="1"/>
  <c r="AQ1411" i="1"/>
  <c r="AQ1595" i="1"/>
  <c r="AQ1701" i="1"/>
  <c r="AQ1794" i="1"/>
  <c r="AQ1564" i="1"/>
  <c r="AQ1590" i="1"/>
  <c r="AQ1828" i="1"/>
  <c r="AQ1934" i="1"/>
  <c r="AQ1375" i="1"/>
  <c r="AQ1382" i="1"/>
  <c r="AQ1582" i="1"/>
  <c r="AQ1596" i="1"/>
  <c r="AQ1661" i="1"/>
  <c r="AQ866" i="1"/>
  <c r="AQ1170" i="1"/>
  <c r="AQ78" i="1"/>
  <c r="AQ96" i="1"/>
  <c r="AQ112" i="1"/>
  <c r="AQ194" i="1"/>
  <c r="AQ260" i="1"/>
  <c r="AQ725" i="1"/>
  <c r="AQ874" i="1"/>
  <c r="AQ1788" i="1"/>
  <c r="AQ101" i="1"/>
  <c r="AQ1938" i="1"/>
  <c r="AQ883" i="1"/>
  <c r="AQ911" i="1"/>
  <c r="AQ354" i="1"/>
  <c r="AQ1187" i="1"/>
  <c r="AQ1378" i="1"/>
  <c r="AQ1424" i="1"/>
  <c r="AQ17" i="1"/>
  <c r="AQ174" i="1"/>
  <c r="AQ1607" i="1"/>
  <c r="AQ1862" i="1"/>
  <c r="AQ1949" i="1"/>
  <c r="AQ306" i="1"/>
  <c r="AQ339" i="1"/>
  <c r="AQ1261" i="1"/>
  <c r="AQ1274" i="1"/>
  <c r="AQ181" i="1"/>
  <c r="AQ1547" i="1"/>
  <c r="AQ1641" i="1"/>
  <c r="AQ1702" i="1"/>
  <c r="AQ1760" i="1"/>
  <c r="AQ1784" i="1"/>
  <c r="AQ1797" i="1"/>
  <c r="AQ1812" i="1"/>
  <c r="AQ1935" i="1"/>
  <c r="AQ1553" i="1"/>
  <c r="AQ1680" i="1"/>
  <c r="AQ1317" i="1"/>
  <c r="AQ1688" i="1"/>
  <c r="AQ9" i="1"/>
  <c r="AQ27" i="1"/>
  <c r="AQ376" i="1"/>
  <c r="AQ1492" i="1"/>
  <c r="AQ1496" i="1"/>
  <c r="AQ1501" i="1"/>
  <c r="AQ1630" i="1"/>
  <c r="AQ1734" i="1"/>
  <c r="AQ1758" i="1"/>
  <c r="AQ1783" i="1"/>
  <c r="AQ1796" i="1"/>
  <c r="AQ1811" i="1"/>
  <c r="AQ1831" i="1"/>
  <c r="AQ1911" i="1"/>
  <c r="AQ22" i="1"/>
  <c r="AQ470" i="1"/>
  <c r="AQ1005" i="1"/>
  <c r="AQ1589" i="1"/>
  <c r="AQ1620" i="1"/>
  <c r="AQ1657" i="1"/>
  <c r="AQ1917" i="1"/>
  <c r="AQ1932" i="1"/>
  <c r="AQ1872" i="1"/>
  <c r="AQ1885" i="1"/>
  <c r="AQ876" i="1"/>
  <c r="AQ1497" i="1"/>
  <c r="AQ1502" i="1"/>
  <c r="AQ1631" i="1"/>
  <c r="AQ1711" i="1"/>
  <c r="AQ1782" i="1"/>
  <c r="AQ1810" i="1"/>
  <c r="AQ1818" i="1"/>
  <c r="AQ1830" i="1"/>
  <c r="AQ1899" i="1"/>
  <c r="AQ1920" i="1"/>
  <c r="AQ79" i="1"/>
  <c r="AQ380" i="1"/>
  <c r="AQ1240" i="1"/>
  <c r="AQ1209" i="1"/>
  <c r="AQ1622" i="1"/>
  <c r="AQ1488" i="1"/>
  <c r="AQ1551" i="1"/>
  <c r="AQ1591" i="1"/>
  <c r="AQ1730" i="1"/>
  <c r="AQ1756" i="1"/>
  <c r="AQ1532" i="1"/>
  <c r="AQ1565" i="1"/>
  <c r="AQ1592" i="1"/>
  <c r="AQ1731" i="1"/>
  <c r="AQ1793" i="1"/>
  <c r="AQ1806" i="1"/>
  <c r="AQ1817" i="1"/>
  <c r="AQ1827" i="1"/>
  <c r="AQ1854" i="1"/>
  <c r="AQ1869" i="1"/>
  <c r="AQ1880" i="1"/>
  <c r="AQ350" i="1"/>
  <c r="AQ902" i="1"/>
  <c r="AQ913" i="1"/>
  <c r="AQ1568" i="1"/>
  <c r="AQ1624" i="1"/>
  <c r="AQ1634" i="1"/>
  <c r="AQ1398" i="1"/>
  <c r="AQ1406" i="1"/>
  <c r="AQ310" i="1"/>
  <c r="AQ983" i="1"/>
  <c r="AQ1487" i="1"/>
  <c r="AQ1699" i="1"/>
  <c r="AQ1779" i="1"/>
  <c r="AQ173" i="1"/>
  <c r="AQ1313" i="1"/>
  <c r="AQ384" i="1"/>
  <c r="AQ411" i="1"/>
  <c r="AQ865" i="1"/>
  <c r="AQ1559" i="1"/>
  <c r="AQ1574" i="1"/>
  <c r="AQ1677" i="1"/>
  <c r="AQ1707" i="1"/>
  <c r="AQ1727" i="1"/>
  <c r="AQ1776" i="1"/>
  <c r="AQ1822" i="1"/>
  <c r="AQ387" i="1"/>
  <c r="AQ964" i="1"/>
  <c r="AQ1169" i="1"/>
  <c r="AQ1482" i="1"/>
  <c r="AQ1629" i="1"/>
  <c r="AQ835" i="1"/>
  <c r="AQ1481" i="1"/>
  <c r="AQ1658" i="1"/>
  <c r="AQ1664" i="1"/>
  <c r="AQ1733" i="1"/>
  <c r="AQ1068" i="1"/>
  <c r="AQ1407" i="1"/>
  <c r="AQ104" i="1"/>
  <c r="AQ1659" i="1"/>
  <c r="AQ1616" i="1"/>
  <c r="AQ1617" i="1"/>
  <c r="AQ1648" i="1"/>
  <c r="AQ325" i="1"/>
  <c r="AQ968" i="1"/>
  <c r="AQ1628" i="1"/>
  <c r="AQ1906" i="1"/>
  <c r="AQ1968" i="1"/>
  <c r="AQ501" i="1"/>
  <c r="AQ503" i="1"/>
  <c r="AQ100" i="1"/>
  <c r="AQ1513" i="1"/>
  <c r="AQ1519" i="1"/>
  <c r="AQ1526" i="1"/>
  <c r="AQ1534" i="1"/>
  <c r="AQ1540" i="1"/>
  <c r="AQ445" i="1"/>
  <c r="AQ1260" i="1"/>
  <c r="AQ1780" i="1"/>
  <c r="AQ1792" i="1"/>
  <c r="AQ1805" i="1"/>
  <c r="AQ1416" i="1"/>
  <c r="AQ1913" i="1"/>
  <c r="AQ938" i="1"/>
  <c r="AQ1566" i="1"/>
  <c r="AQ1626" i="1"/>
  <c r="AQ1808" i="1"/>
  <c r="AQ1923" i="1"/>
  <c r="AQ583" i="1"/>
  <c r="AQ603" i="1"/>
  <c r="AQ1415" i="1"/>
  <c r="AQ1965" i="1"/>
  <c r="AQ1619" i="1"/>
  <c r="AQ1645" i="1"/>
  <c r="AQ1921" i="1"/>
  <c r="L66" i="24"/>
  <c r="L509" i="24"/>
  <c r="AQ1150" i="1" s="1"/>
  <c r="L27" i="24"/>
  <c r="AQ864" i="1" s="1"/>
  <c r="L46" i="24"/>
  <c r="AQ863" i="1" s="1"/>
  <c r="L42" i="24"/>
  <c r="AQ862" i="1" s="1"/>
  <c r="L44" i="24"/>
  <c r="AQ861" i="1" s="1"/>
  <c r="L671" i="24"/>
  <c r="L667" i="24"/>
  <c r="AQ198" i="1" s="1"/>
  <c r="L665" i="24"/>
  <c r="AQ196" i="1" s="1"/>
  <c r="L664" i="24"/>
  <c r="AQ193" i="1" s="1"/>
  <c r="L663" i="24"/>
  <c r="AQ192" i="1" s="1"/>
  <c r="L661" i="24"/>
  <c r="L660" i="24"/>
  <c r="AQ1010" i="1" s="1"/>
  <c r="L657" i="24"/>
  <c r="L656" i="24"/>
  <c r="AQ1002" i="1" s="1"/>
  <c r="L655" i="24"/>
  <c r="L654" i="24"/>
  <c r="AQ1000" i="1" s="1"/>
  <c r="L653" i="24"/>
  <c r="L650" i="24"/>
  <c r="AQ955" i="1" s="1"/>
  <c r="L649" i="24"/>
  <c r="AQ956" i="1" s="1"/>
  <c r="L648" i="24"/>
  <c r="AQ916" i="1" s="1"/>
  <c r="L647" i="24"/>
  <c r="AQ860" i="1" s="1"/>
  <c r="L640" i="24"/>
  <c r="AQ1937" i="1" s="1"/>
  <c r="L639" i="24"/>
  <c r="AQ1936" i="1" s="1"/>
  <c r="L632" i="24"/>
  <c r="L387" i="24"/>
  <c r="AQ569" i="1" s="1"/>
  <c r="L117" i="24"/>
  <c r="L65" i="24"/>
  <c r="L60" i="24"/>
  <c r="L568" i="24"/>
  <c r="AQ1316" i="1" s="1"/>
  <c r="L618" i="24"/>
  <c r="AQ698" i="1" s="1"/>
  <c r="L628" i="24"/>
  <c r="L627" i="24"/>
  <c r="AQ627" i="1" s="1"/>
  <c r="L620" i="24"/>
  <c r="AQ615" i="1" s="1"/>
  <c r="L625" i="24"/>
  <c r="AQ625" i="1" s="1"/>
  <c r="L629" i="24"/>
  <c r="AQ626" i="1" s="1"/>
  <c r="L623" i="24"/>
  <c r="AQ620" i="1" s="1"/>
  <c r="L616" i="24"/>
  <c r="AQ612" i="1" s="1"/>
  <c r="L626" i="24"/>
  <c r="AQ628" i="1" s="1"/>
  <c r="L630" i="24"/>
  <c r="AQ622" i="1" s="1"/>
  <c r="L614" i="24"/>
  <c r="L615" i="24"/>
  <c r="L610" i="24"/>
  <c r="L145" i="24"/>
  <c r="AQ1273" i="1" s="1"/>
  <c r="L49" i="24"/>
  <c r="AQ1052" i="1" s="1"/>
  <c r="L608" i="24"/>
  <c r="L609" i="24"/>
  <c r="AQ1908" i="1" s="1"/>
  <c r="C12" i="164"/>
  <c r="C55" i="164" s="1"/>
  <c r="L596" i="24"/>
  <c r="L591" i="24"/>
  <c r="L588" i="24"/>
  <c r="L404" i="24"/>
  <c r="AQ1302" i="1" s="1"/>
  <c r="L584" i="24"/>
  <c r="AQ497" i="1" s="1"/>
  <c r="L587" i="24"/>
  <c r="AQ607" i="1" s="1"/>
  <c r="L590" i="24"/>
  <c r="L604" i="24"/>
  <c r="AQ1765" i="1" s="1"/>
  <c r="L603" i="24"/>
  <c r="AQ1773" i="1" s="1"/>
  <c r="L602" i="24"/>
  <c r="L600" i="24"/>
  <c r="AQ1919" i="1" s="1"/>
  <c r="L76" i="24"/>
  <c r="L53" i="24"/>
  <c r="L12" i="24"/>
  <c r="L583" i="24"/>
  <c r="L580" i="24"/>
  <c r="AQ186" i="1" s="1"/>
  <c r="L578" i="24"/>
  <c r="AQ994" i="1" s="1"/>
  <c r="L577" i="24"/>
  <c r="L574" i="24"/>
  <c r="L579" i="24"/>
  <c r="L576" i="24"/>
  <c r="L64" i="24"/>
  <c r="S55" i="121"/>
  <c r="L533" i="24"/>
  <c r="AQ807" i="1" s="1"/>
  <c r="L70" i="24"/>
  <c r="L390" i="24"/>
  <c r="AQ1533" i="1" s="1"/>
  <c r="L397" i="24"/>
  <c r="AQ1614" i="1" s="1"/>
  <c r="L571" i="24"/>
  <c r="L202" i="24"/>
  <c r="L488" i="24"/>
  <c r="L403" i="24"/>
  <c r="L493" i="24"/>
  <c r="L491" i="24"/>
  <c r="L395" i="24"/>
  <c r="AQ1612" i="1" s="1"/>
  <c r="L411" i="24"/>
  <c r="L490" i="24"/>
  <c r="L489" i="24"/>
  <c r="L569" i="24"/>
  <c r="L570" i="24"/>
  <c r="L573" i="24"/>
  <c r="L543" i="24"/>
  <c r="AQ949" i="1" s="1"/>
  <c r="L542" i="24"/>
  <c r="AQ948" i="1" s="1"/>
  <c r="L545" i="24"/>
  <c r="L547" i="24"/>
  <c r="L548" i="24"/>
  <c r="L544" i="24"/>
  <c r="AQ1418" i="1" s="1"/>
  <c r="L55" i="24"/>
  <c r="L40" i="24"/>
  <c r="L562" i="24"/>
  <c r="AQ1420" i="1" s="1"/>
  <c r="L563" i="24"/>
  <c r="AQ1421" i="1" s="1"/>
  <c r="L560" i="24"/>
  <c r="L553" i="24"/>
  <c r="AQ596" i="1" s="1"/>
  <c r="L556" i="24"/>
  <c r="AQ633" i="1" s="1"/>
  <c r="L555" i="24"/>
  <c r="AQ598" i="1" s="1"/>
  <c r="L558" i="24"/>
  <c r="AQ683" i="1" s="1"/>
  <c r="L77" i="24"/>
  <c r="L312" i="24"/>
  <c r="AQ1244" i="1" s="1"/>
  <c r="L104" i="24"/>
  <c r="L329" i="24"/>
  <c r="L93" i="24"/>
  <c r="L159" i="24"/>
  <c r="L540" i="24"/>
  <c r="AQ937" i="1" s="1"/>
  <c r="L332" i="24"/>
  <c r="AQ658" i="1" s="1"/>
  <c r="L245" i="24"/>
  <c r="AQ576" i="1" s="1"/>
  <c r="L309" i="24"/>
  <c r="L301" i="24"/>
  <c r="AQ1557" i="1" s="1"/>
  <c r="L216" i="24"/>
  <c r="AQ1508" i="1" s="1"/>
  <c r="L168" i="24"/>
  <c r="AQ1610" i="1" s="1"/>
  <c r="L171" i="24"/>
  <c r="L367" i="24"/>
  <c r="L346" i="24"/>
  <c r="AQ238" i="1" s="1"/>
  <c r="L321" i="24"/>
  <c r="L192" i="24"/>
  <c r="L313" i="24"/>
  <c r="L299" i="24"/>
  <c r="L227" i="24"/>
  <c r="L210" i="24"/>
  <c r="L237" i="24"/>
  <c r="AQ1253" i="1" s="1"/>
  <c r="L379" i="24"/>
  <c r="AQ973" i="1" s="1"/>
  <c r="L207" i="24"/>
  <c r="L338" i="24"/>
  <c r="AQ1267" i="1" s="1"/>
  <c r="L218" i="24"/>
  <c r="AQ490" i="1" s="1"/>
  <c r="L296" i="24"/>
  <c r="AQ1069" i="1" s="1"/>
  <c r="L234" i="24"/>
  <c r="L189" i="24"/>
  <c r="AQ1067" i="1" s="1"/>
  <c r="L256" i="24"/>
  <c r="L274" i="24"/>
  <c r="L183" i="24"/>
  <c r="L250" i="24"/>
  <c r="L316" i="24"/>
  <c r="L238" i="24"/>
  <c r="AQ1109" i="1" s="1"/>
  <c r="L180" i="24"/>
  <c r="L98" i="24"/>
  <c r="L252" i="24"/>
  <c r="AQ674" i="1" s="1"/>
  <c r="L376" i="24"/>
  <c r="L162" i="24"/>
  <c r="L243" i="24"/>
  <c r="L169" i="24"/>
  <c r="L254" i="24"/>
  <c r="L184" i="24"/>
  <c r="L333" i="24"/>
  <c r="AQ1460" i="1" s="1"/>
  <c r="L199" i="24"/>
  <c r="L541" i="24"/>
  <c r="AQ943" i="1" s="1"/>
  <c r="L215" i="24"/>
  <c r="AQ253" i="1" s="1"/>
  <c r="L32" i="24"/>
  <c r="L358" i="24"/>
  <c r="AQ227" i="1" s="1"/>
  <c r="L383" i="24"/>
  <c r="AQ229" i="1" s="1"/>
  <c r="L382" i="24"/>
  <c r="AQ418" i="1" s="1"/>
  <c r="L251" i="24"/>
  <c r="L239" i="24"/>
  <c r="L222" i="24"/>
  <c r="AQ1613" i="1" s="1"/>
  <c r="L269" i="24"/>
  <c r="L305" i="24"/>
  <c r="L375" i="24"/>
  <c r="AQ230" i="1" s="1"/>
  <c r="L354" i="24"/>
  <c r="AQ967" i="1" s="1"/>
  <c r="L288" i="24"/>
  <c r="L280" i="24"/>
  <c r="L278" i="24"/>
  <c r="AQ1111" i="1" s="1"/>
  <c r="L163" i="24"/>
  <c r="L304" i="24"/>
  <c r="L294" i="24"/>
  <c r="AQ635" i="1" s="1"/>
  <c r="L158" i="24"/>
  <c r="L157" i="24"/>
  <c r="L317" i="24"/>
  <c r="AQ1276" i="1" s="1"/>
  <c r="L350" i="24"/>
  <c r="AQ659" i="1" s="1"/>
  <c r="L196" i="24"/>
  <c r="AQ1242" i="1" s="1"/>
  <c r="L198" i="24"/>
  <c r="AQ1053" i="1" s="1"/>
  <c r="L175" i="24"/>
  <c r="L370" i="24"/>
  <c r="AQ1035" i="1" s="1"/>
  <c r="L385" i="24"/>
  <c r="L228" i="24"/>
  <c r="AQ1404" i="1" s="1"/>
  <c r="L355" i="24"/>
  <c r="AQ537" i="1" s="1"/>
  <c r="L295" i="24"/>
  <c r="AQ584" i="1" s="1"/>
  <c r="L201" i="24"/>
  <c r="AQ1145" i="1" s="1"/>
  <c r="L205" i="24"/>
  <c r="AQ1615" i="1" s="1"/>
  <c r="L351" i="24"/>
  <c r="AQ234" i="1" s="1"/>
  <c r="L341" i="24"/>
  <c r="AQ567" i="1" s="1"/>
  <c r="L155" i="24"/>
  <c r="L209" i="24"/>
  <c r="L89" i="24"/>
  <c r="L277" i="24"/>
  <c r="L363" i="24"/>
  <c r="AQ416" i="1" s="1"/>
  <c r="L179" i="24"/>
  <c r="L371" i="24"/>
  <c r="AQ662" i="1" s="1"/>
  <c r="L286" i="24"/>
  <c r="L348" i="24"/>
  <c r="AQ539" i="1" s="1"/>
  <c r="L219" i="24"/>
  <c r="L298" i="24"/>
  <c r="AQ1335" i="1" s="1"/>
  <c r="L359" i="24"/>
  <c r="AQ977" i="1" s="1"/>
  <c r="L287" i="24"/>
  <c r="L259" i="24"/>
  <c r="L217" i="24"/>
  <c r="L187" i="24"/>
  <c r="AQ257" i="1" s="1"/>
  <c r="L357" i="24"/>
  <c r="L240" i="24"/>
  <c r="AQ972" i="1" s="1"/>
  <c r="L323" i="24"/>
  <c r="L204" i="24"/>
  <c r="L208" i="24"/>
  <c r="L528" i="24"/>
  <c r="L246" i="24"/>
  <c r="L343" i="24"/>
  <c r="AQ1390" i="1" s="1"/>
  <c r="L197" i="24"/>
  <c r="AQ170" i="1" s="1"/>
  <c r="L160" i="24"/>
  <c r="AQ1473" i="1" s="1"/>
  <c r="L322" i="24"/>
  <c r="L362" i="24"/>
  <c r="AQ678" i="1" s="1"/>
  <c r="L300" i="24"/>
  <c r="L326" i="24"/>
  <c r="L319" i="24"/>
  <c r="AQ179" i="1" s="1"/>
  <c r="L369" i="24"/>
  <c r="AQ680" i="1" s="1"/>
  <c r="L231" i="24"/>
  <c r="L223" i="24"/>
  <c r="AQ1258" i="1" s="1"/>
  <c r="L172" i="24"/>
  <c r="L353" i="24"/>
  <c r="AQ688" i="1" s="1"/>
  <c r="L275" i="24"/>
  <c r="AQ55" i="1" s="1"/>
  <c r="L185" i="24"/>
  <c r="L203" i="24"/>
  <c r="L377" i="24"/>
  <c r="AQ53" i="1" s="1"/>
  <c r="L293" i="24"/>
  <c r="L261" i="24"/>
  <c r="AQ419" i="1" s="1"/>
  <c r="L195" i="24"/>
  <c r="AQ1386" i="1" s="1"/>
  <c r="L176" i="24"/>
  <c r="AQ255" i="1" s="1"/>
  <c r="L472" i="24"/>
  <c r="L166" i="24"/>
  <c r="L356" i="24"/>
  <c r="AQ242" i="1" s="1"/>
  <c r="L349" i="24"/>
  <c r="AQ639" i="1" s="1"/>
  <c r="L324" i="24"/>
  <c r="L248" i="24"/>
  <c r="AQ240" i="1" s="1"/>
  <c r="L61" i="24"/>
  <c r="AQ546" i="1" s="1"/>
  <c r="L315" i="24"/>
  <c r="L161" i="24"/>
  <c r="AQ1505" i="1" s="1"/>
  <c r="L121" i="24"/>
  <c r="AQ578" i="1" s="1"/>
  <c r="L272" i="24"/>
  <c r="AQ1462" i="1" s="1"/>
  <c r="L200" i="24"/>
  <c r="L391" i="24"/>
  <c r="L282" i="24"/>
  <c r="L212" i="24"/>
  <c r="L262" i="24"/>
  <c r="L281" i="24"/>
  <c r="L342" i="24"/>
  <c r="AQ969" i="1" s="1"/>
  <c r="L368" i="24"/>
  <c r="AQ54" i="1" s="1"/>
  <c r="L253" i="24"/>
  <c r="L297" i="24"/>
  <c r="L381" i="24"/>
  <c r="AQ243" i="1" s="1"/>
  <c r="L270" i="24"/>
  <c r="L285" i="24"/>
  <c r="AQ154" i="1" s="1"/>
  <c r="L265" i="24"/>
  <c r="AQ667" i="1" s="1"/>
  <c r="L291" i="24"/>
  <c r="AQ718" i="1" s="1"/>
  <c r="L273" i="24"/>
  <c r="L236" i="24"/>
  <c r="AQ1376" i="1" s="1"/>
  <c r="L190" i="24"/>
  <c r="AQ684" i="1" s="1"/>
  <c r="L152" i="24"/>
  <c r="L276" i="24"/>
  <c r="L328" i="24"/>
  <c r="AQ494" i="1" s="1"/>
  <c r="L336" i="24"/>
  <c r="L335" i="24"/>
  <c r="AQ1115" i="1" s="1"/>
  <c r="L325" i="24"/>
  <c r="AQ610" i="1" s="1"/>
  <c r="L164" i="24"/>
  <c r="L263" i="24"/>
  <c r="AQ417" i="1" s="1"/>
  <c r="L289" i="24"/>
  <c r="AQ235" i="1" s="1"/>
  <c r="L153" i="24"/>
  <c r="AQ544" i="1" s="1"/>
  <c r="L344" i="24"/>
  <c r="AQ540" i="1" s="1"/>
  <c r="L182" i="24"/>
  <c r="L268" i="24"/>
  <c r="AQ231" i="1" s="1"/>
  <c r="L173" i="24"/>
  <c r="L194" i="24"/>
  <c r="AQ302" i="1" s="1"/>
  <c r="L283" i="24"/>
  <c r="L306" i="24"/>
  <c r="AQ554" i="1" s="1"/>
  <c r="L303" i="24"/>
  <c r="L260" i="24"/>
  <c r="L337" i="24"/>
  <c r="AQ232" i="1" s="1"/>
  <c r="L118" i="24"/>
  <c r="L538" i="24"/>
  <c r="AQ105" i="1" s="1"/>
  <c r="L211" i="24"/>
  <c r="L380" i="24"/>
  <c r="AQ56" i="1" s="1"/>
  <c r="L519" i="24"/>
  <c r="AQ548" i="1" s="1"/>
  <c r="L244" i="24"/>
  <c r="L165" i="24"/>
  <c r="L271" i="24"/>
  <c r="L310" i="24"/>
  <c r="AQ1656" i="1" s="1"/>
  <c r="L221" i="24"/>
  <c r="L193" i="24"/>
  <c r="AQ1147" i="1" s="1"/>
  <c r="L361" i="24"/>
  <c r="L255" i="24"/>
  <c r="AQ716" i="1" s="1"/>
  <c r="L330" i="24"/>
  <c r="AQ352" i="1" s="1"/>
  <c r="L372" i="24"/>
  <c r="AQ549" i="1" s="1"/>
  <c r="L206" i="24"/>
  <c r="AQ1611" i="1" s="1"/>
  <c r="L339" i="24"/>
  <c r="AQ1388" i="1" s="1"/>
  <c r="L154" i="24"/>
  <c r="L233" i="24"/>
  <c r="L181" i="24"/>
  <c r="AQ1065" i="1" s="1"/>
  <c r="L178" i="24"/>
  <c r="L384" i="24"/>
  <c r="L345" i="24"/>
  <c r="AQ971" i="1" s="1"/>
  <c r="L320" i="24"/>
  <c r="L290" i="24"/>
  <c r="AQ236" i="1" s="1"/>
  <c r="L334" i="24"/>
  <c r="AQ1465" i="1" s="1"/>
  <c r="L308" i="24"/>
  <c r="L79" i="24"/>
  <c r="AQ932" i="1" s="1"/>
  <c r="L177" i="24"/>
  <c r="L311" i="24"/>
  <c r="L279" i="24"/>
  <c r="L229" i="24"/>
  <c r="L247" i="24"/>
  <c r="AQ233" i="1" s="1"/>
  <c r="L213" i="24"/>
  <c r="L214" i="24"/>
  <c r="L307" i="24"/>
  <c r="AQ632" i="1" s="1"/>
  <c r="L266" i="24"/>
  <c r="L292" i="24"/>
  <c r="AQ650" i="1" s="1"/>
  <c r="L235" i="24"/>
  <c r="L225" i="24"/>
  <c r="L327" i="24"/>
  <c r="AQ565" i="1" s="1"/>
  <c r="L366" i="24"/>
  <c r="AQ679" i="1" s="1"/>
  <c r="L386" i="24"/>
  <c r="AQ901" i="1" s="1"/>
  <c r="L156" i="24"/>
  <c r="AQ1201" i="1" s="1"/>
  <c r="L110" i="24"/>
  <c r="L347" i="24"/>
  <c r="L230" i="24"/>
  <c r="L258" i="24"/>
  <c r="L364" i="24"/>
  <c r="L226" i="24"/>
  <c r="L264" i="24"/>
  <c r="L284" i="24"/>
  <c r="AQ649" i="1" s="1"/>
  <c r="L373" i="24"/>
  <c r="AQ666" i="1" s="1"/>
  <c r="L318" i="24"/>
  <c r="AQ1389" i="1" s="1"/>
  <c r="L120" i="24"/>
  <c r="AQ577" i="1" s="1"/>
  <c r="L242" i="24"/>
  <c r="L170" i="24"/>
  <c r="AQ258" i="1" s="1"/>
  <c r="L220" i="24"/>
  <c r="AQ239" i="1" s="1"/>
  <c r="L249" i="24"/>
  <c r="L167" i="24"/>
  <c r="L232" i="24"/>
  <c r="L378" i="24"/>
  <c r="AQ237" i="1" s="1"/>
  <c r="L340" i="24"/>
  <c r="AQ887" i="1" s="1"/>
  <c r="L241" i="24"/>
  <c r="L352" i="24"/>
  <c r="AQ241" i="1" s="1"/>
  <c r="L365" i="24"/>
  <c r="AQ244" i="1" s="1"/>
  <c r="L188" i="24"/>
  <c r="L331" i="24"/>
  <c r="AQ686" i="1" s="1"/>
  <c r="L314" i="24"/>
  <c r="AQ498" i="1" s="1"/>
  <c r="L302" i="24"/>
  <c r="L191" i="24"/>
  <c r="L267" i="24"/>
  <c r="AQ228" i="1" s="1"/>
  <c r="L47" i="24"/>
  <c r="L257" i="24"/>
  <c r="L360" i="24"/>
  <c r="AQ153" i="1" s="1"/>
  <c r="L224" i="24"/>
  <c r="L186" i="24"/>
  <c r="L374" i="24"/>
  <c r="L174" i="24"/>
  <c r="AQ353" i="1" l="1"/>
  <c r="AQ355" i="1"/>
  <c r="AQ363" i="1"/>
  <c r="AQ550" i="1"/>
  <c r="AQ304" i="1"/>
  <c r="AQ437" i="1"/>
  <c r="AQ1348" i="1"/>
  <c r="AQ252" i="1"/>
  <c r="AQ1116" i="1"/>
  <c r="AQ1126" i="1"/>
  <c r="AQ1476" i="1"/>
  <c r="AQ1577" i="1"/>
  <c r="AQ1684" i="1"/>
  <c r="AQ1112" i="1"/>
  <c r="AQ1903" i="1"/>
  <c r="AQ1119" i="1"/>
  <c r="AQ1123" i="1"/>
  <c r="AQ575" i="1"/>
  <c r="AQ1412" i="1"/>
  <c r="AQ1558" i="1"/>
  <c r="AQ1669" i="1"/>
  <c r="AQ1724" i="1"/>
  <c r="AQ1741" i="1"/>
  <c r="AQ1766" i="1"/>
  <c r="AQ1789" i="1"/>
  <c r="AQ581" i="1"/>
  <c r="AQ582" i="1"/>
  <c r="AQ617" i="1"/>
  <c r="AQ82" i="1"/>
  <c r="AQ160" i="1"/>
  <c r="AQ349" i="1"/>
  <c r="AQ389" i="1"/>
  <c r="AQ882" i="1"/>
  <c r="AQ942" i="1"/>
  <c r="AQ1072" i="1"/>
  <c r="AQ1139" i="1"/>
  <c r="AQ1385" i="1"/>
  <c r="AQ1393" i="1"/>
  <c r="AQ1567" i="1"/>
  <c r="AQ1581" i="1"/>
  <c r="AQ1594" i="1"/>
  <c r="AQ1623" i="1"/>
  <c r="AQ1635" i="1"/>
  <c r="AQ1732" i="1"/>
  <c r="AQ1757" i="1"/>
  <c r="AQ1781" i="1"/>
  <c r="AQ1807" i="1"/>
  <c r="AQ720" i="1"/>
  <c r="AQ975" i="1"/>
  <c r="AQ1690" i="1"/>
  <c r="AQ1503" i="1"/>
  <c r="AQ1520" i="1"/>
  <c r="AQ1528" i="1"/>
  <c r="AQ1535" i="1"/>
  <c r="AQ1649" i="1"/>
  <c r="AQ1666" i="1"/>
  <c r="AQ177" i="1"/>
  <c r="AQ185" i="1"/>
  <c r="AQ189" i="1"/>
  <c r="AQ323" i="1"/>
  <c r="AQ371" i="1"/>
  <c r="AQ388" i="1"/>
  <c r="AQ579" i="1"/>
  <c r="AQ634" i="1"/>
  <c r="AQ906" i="1"/>
  <c r="AQ915" i="1"/>
  <c r="AQ1083" i="1"/>
  <c r="AQ1245" i="1"/>
  <c r="AQ1471" i="1"/>
  <c r="AQ1493" i="1"/>
  <c r="AQ1510" i="1"/>
  <c r="AQ1515" i="1"/>
  <c r="AQ1531" i="1"/>
  <c r="AQ1542" i="1"/>
  <c r="AQ1544" i="1"/>
  <c r="AQ1585" i="1"/>
  <c r="AQ1637" i="1"/>
  <c r="AQ1642" i="1"/>
  <c r="AQ1673" i="1"/>
  <c r="AQ1692" i="1"/>
  <c r="AQ1714" i="1"/>
  <c r="AQ1745" i="1"/>
  <c r="AQ1768" i="1"/>
  <c r="AQ1785" i="1"/>
  <c r="AQ1798" i="1"/>
  <c r="AQ1814" i="1"/>
  <c r="AQ1820" i="1"/>
  <c r="AQ1835" i="1"/>
  <c r="AQ1849" i="1"/>
  <c r="AQ1860" i="1"/>
  <c r="AQ1874" i="1"/>
  <c r="AQ1891" i="1"/>
  <c r="AQ1926" i="1"/>
  <c r="AQ1967" i="1"/>
  <c r="AQ351" i="1"/>
  <c r="AQ559" i="1"/>
  <c r="AQ1486" i="1"/>
  <c r="AQ1570" i="1"/>
  <c r="AQ1298" i="1"/>
  <c r="AQ1301" i="1"/>
  <c r="AQ1311" i="1"/>
  <c r="AQ1459" i="1"/>
  <c r="AQ1549" i="1"/>
  <c r="AQ1825" i="1"/>
  <c r="AQ1852" i="1"/>
  <c r="AQ1865" i="1"/>
  <c r="AQ1878" i="1"/>
  <c r="AQ1897" i="1"/>
  <c r="AQ334" i="1"/>
  <c r="AQ1113" i="1"/>
  <c r="AQ1380" i="1"/>
  <c r="AQ1475" i="1"/>
  <c r="AQ1507" i="1"/>
  <c r="AQ645" i="1"/>
  <c r="AQ833" i="1"/>
  <c r="AQ930" i="1"/>
  <c r="AQ1007" i="1"/>
  <c r="AQ1394" i="1"/>
  <c r="AQ1401" i="1"/>
  <c r="AQ1670" i="1"/>
  <c r="AQ944" i="1"/>
  <c r="AQ1478" i="1"/>
  <c r="AQ1560" i="1"/>
  <c r="AQ1575" i="1"/>
  <c r="AQ1621" i="1"/>
  <c r="AQ1651" i="1"/>
  <c r="AQ1678" i="1"/>
  <c r="AQ1685" i="1"/>
  <c r="AQ1695" i="1"/>
  <c r="AQ1708" i="1"/>
  <c r="AQ1715" i="1"/>
  <c r="AQ1725" i="1"/>
  <c r="AQ1742" i="1"/>
  <c r="AQ1767" i="1"/>
  <c r="AQ348" i="1"/>
  <c r="AQ366" i="1"/>
  <c r="AQ836" i="1"/>
  <c r="AQ837" i="1"/>
  <c r="AQ857" i="1"/>
  <c r="AQ875" i="1"/>
  <c r="AQ903" i="1"/>
  <c r="AQ914" i="1"/>
  <c r="AQ980" i="1"/>
  <c r="AQ1149" i="1"/>
  <c r="AQ159" i="1"/>
  <c r="AQ934" i="1"/>
  <c r="AQ116" i="1"/>
  <c r="AQ360" i="1"/>
  <c r="AQ1196" i="1"/>
  <c r="AQ1213" i="1"/>
  <c r="AQ1777" i="1"/>
  <c r="AQ1791" i="1"/>
  <c r="AQ1802" i="1"/>
  <c r="AQ262" i="1"/>
  <c r="AQ656" i="1"/>
  <c r="AQ72" i="1"/>
  <c r="AQ98" i="1"/>
  <c r="AQ125" i="1"/>
  <c r="AQ157" i="1"/>
  <c r="AQ344" i="1"/>
  <c r="AQ415" i="1"/>
  <c r="AQ827" i="1"/>
  <c r="AQ890" i="1"/>
  <c r="AQ935" i="1"/>
  <c r="AQ965" i="1"/>
  <c r="AQ1034" i="1"/>
  <c r="AQ1055" i="1"/>
  <c r="AQ1114" i="1"/>
  <c r="AQ1138" i="1"/>
  <c r="AQ1168" i="1"/>
  <c r="AQ1241" i="1"/>
  <c r="AQ1296" i="1"/>
  <c r="AQ1383" i="1"/>
  <c r="AQ1468" i="1"/>
  <c r="AQ1484" i="1"/>
  <c r="AQ1795" i="1"/>
  <c r="AQ1457" i="1"/>
  <c r="AQ1469" i="1"/>
  <c r="AQ1548" i="1"/>
  <c r="AQ18" i="1"/>
  <c r="AQ21" i="1"/>
  <c r="AQ305" i="1"/>
  <c r="AQ806" i="1"/>
  <c r="AQ885" i="1"/>
  <c r="AQ891" i="1"/>
  <c r="AQ893" i="1"/>
  <c r="AQ899" i="1"/>
  <c r="AQ1146" i="1"/>
  <c r="AQ1151" i="1"/>
  <c r="AQ1156" i="1"/>
  <c r="AQ1263" i="1"/>
  <c r="AQ1280" i="1"/>
  <c r="AQ1281" i="1"/>
  <c r="AQ1477" i="1"/>
  <c r="AQ1740" i="1"/>
  <c r="AQ556" i="1"/>
  <c r="AQ91" i="1"/>
  <c r="AQ162" i="1"/>
  <c r="AQ337" i="1"/>
  <c r="AQ661" i="1"/>
  <c r="AQ1140" i="1"/>
  <c r="AQ1674" i="1"/>
  <c r="AQ1682" i="1"/>
  <c r="AQ1693" i="1"/>
  <c r="AQ1705" i="1"/>
  <c r="AQ1719" i="1"/>
  <c r="AQ1728" i="1"/>
  <c r="AQ1746" i="1"/>
  <c r="AQ1769" i="1"/>
  <c r="AQ1857" i="1"/>
  <c r="AQ176" i="1"/>
  <c r="AQ1961" i="1"/>
  <c r="AQ449" i="1"/>
  <c r="AQ588" i="1"/>
  <c r="AQ1587" i="1"/>
  <c r="AQ1653" i="1"/>
  <c r="AQ1726" i="1"/>
  <c r="AQ1846" i="1"/>
  <c r="AQ1870" i="1"/>
  <c r="AQ1883" i="1"/>
  <c r="AQ1962" i="1"/>
  <c r="AQ1689" i="1"/>
  <c r="AQ1761" i="1"/>
  <c r="AQ1888" i="1"/>
  <c r="AQ1964" i="1"/>
  <c r="AQ561" i="1"/>
  <c r="AQ1008" i="1"/>
  <c r="AQ1015" i="1"/>
  <c r="AQ640" i="1"/>
  <c r="AQ641" i="1"/>
  <c r="AQ264" i="1"/>
  <c r="AQ358" i="1"/>
  <c r="AQ888" i="1"/>
  <c r="AQ1108" i="1"/>
  <c r="AQ1676" i="1"/>
  <c r="AQ571" i="1"/>
  <c r="AQ606" i="1"/>
  <c r="AQ945" i="1"/>
  <c r="AQ714" i="1"/>
  <c r="AQ722" i="1"/>
  <c r="AQ301" i="1"/>
  <c r="AQ655" i="1"/>
  <c r="AQ871" i="1"/>
  <c r="AQ877" i="1"/>
  <c r="AQ881" i="1"/>
  <c r="AQ974" i="1"/>
  <c r="AQ1456" i="1"/>
  <c r="AQ1889" i="1"/>
  <c r="AQ713" i="1"/>
  <c r="AQ719" i="1"/>
  <c r="AQ868" i="1"/>
  <c r="AQ1202" i="1"/>
  <c r="AQ1479" i="1"/>
  <c r="AQ1511" i="1"/>
  <c r="AQ1474" i="1"/>
  <c r="AQ1618" i="1"/>
  <c r="AQ1929" i="1"/>
  <c r="AQ1490" i="1"/>
  <c r="AQ1499" i="1"/>
  <c r="AQ1516" i="1"/>
  <c r="AQ1522" i="1"/>
  <c r="AQ1775" i="1"/>
  <c r="AQ111" i="1"/>
  <c r="AQ1579" i="1"/>
  <c r="AQ1729" i="1"/>
  <c r="AQ1755" i="1"/>
  <c r="AQ1826" i="1"/>
  <c r="AQ1842" i="1"/>
  <c r="AQ71" i="1"/>
  <c r="AQ161" i="1"/>
  <c r="AQ300" i="1"/>
  <c r="AQ1050" i="1"/>
  <c r="AQ1051" i="1"/>
  <c r="AQ1077" i="1"/>
  <c r="AQ1944" i="1"/>
  <c r="AQ1561" i="1"/>
  <c r="AQ1841" i="1"/>
  <c r="AQ1851" i="1"/>
  <c r="AQ1864" i="1"/>
  <c r="AQ1876" i="1"/>
  <c r="AQ11" i="1"/>
  <c r="AQ700" i="1"/>
  <c r="AQ1299" i="1"/>
  <c r="AQ312" i="1"/>
  <c r="AQ591" i="1"/>
  <c r="AQ1075" i="1"/>
  <c r="AQ1400" i="1"/>
  <c r="AQ1413" i="1"/>
  <c r="AQ309" i="1"/>
  <c r="AQ1632" i="1"/>
  <c r="AQ1141" i="1"/>
  <c r="AQ1254" i="1"/>
  <c r="AQ256" i="1"/>
  <c r="AQ715" i="1"/>
  <c r="AQ717" i="1"/>
  <c r="AQ80" i="1"/>
  <c r="AQ84" i="1"/>
  <c r="AQ99" i="1"/>
  <c r="AQ126" i="1"/>
  <c r="AQ158" i="1"/>
  <c r="AQ248" i="1"/>
  <c r="AQ251" i="1"/>
  <c r="AQ303" i="1"/>
  <c r="AQ311" i="1"/>
  <c r="AQ346" i="1"/>
  <c r="AQ362" i="1"/>
  <c r="AQ364" i="1"/>
  <c r="AQ414" i="1"/>
  <c r="AQ826" i="1"/>
  <c r="AQ889" i="1"/>
  <c r="AQ933" i="1"/>
  <c r="AQ966" i="1"/>
  <c r="AQ1033" i="1"/>
  <c r="AQ1054" i="1"/>
  <c r="AQ1137" i="1"/>
  <c r="AQ1167" i="1"/>
  <c r="AQ1207" i="1"/>
  <c r="AQ1297" i="1"/>
  <c r="AQ1384" i="1"/>
  <c r="AQ1467" i="1"/>
  <c r="AQ1483" i="1"/>
  <c r="AQ375" i="1"/>
  <c r="AQ1463" i="1"/>
  <c r="AQ89" i="1"/>
  <c r="AQ570" i="1"/>
  <c r="AQ156" i="1"/>
  <c r="AQ373" i="1"/>
  <c r="AQ333" i="1"/>
  <c r="AQ829" i="1"/>
  <c r="AQ917" i="1"/>
  <c r="AQ941" i="1"/>
  <c r="AQ69" i="1"/>
  <c r="AQ75" i="1"/>
  <c r="AQ1180" i="1"/>
  <c r="AQ1537" i="1"/>
  <c r="AQ1774" i="1"/>
  <c r="AQ420" i="1"/>
  <c r="AQ1056" i="1"/>
  <c r="AQ74" i="1"/>
  <c r="AQ81" i="1"/>
  <c r="AQ109" i="1"/>
  <c r="AQ149" i="1"/>
  <c r="AQ206" i="1"/>
  <c r="AQ207" i="1"/>
  <c r="AQ326" i="1"/>
  <c r="AQ378" i="1"/>
  <c r="AQ631" i="1"/>
  <c r="AQ852" i="1"/>
  <c r="AQ858" i="1"/>
  <c r="AQ947" i="1"/>
  <c r="AQ963" i="1"/>
  <c r="AQ1092" i="1"/>
  <c r="AQ1133" i="1"/>
  <c r="AQ1152" i="1"/>
  <c r="AQ1239" i="1"/>
  <c r="AQ1328" i="1"/>
  <c r="AQ1712" i="1"/>
  <c r="AQ1716" i="1"/>
  <c r="AQ723" i="1"/>
  <c r="AQ724" i="1"/>
  <c r="AQ728" i="1"/>
  <c r="AQ1118" i="1"/>
  <c r="AQ1205" i="1"/>
  <c r="AQ987" i="1"/>
  <c r="AQ1700" i="1"/>
  <c r="AQ553" i="1"/>
  <c r="AQ1816" i="1"/>
  <c r="AQ1881" i="1"/>
  <c r="AQ1960" i="1"/>
  <c r="AQ642" i="1"/>
  <c r="AQ643" i="1"/>
  <c r="AQ644" i="1"/>
  <c r="AQ804" i="1"/>
  <c r="AQ981" i="1"/>
  <c r="AQ984" i="1"/>
  <c r="AQ560" i="1"/>
  <c r="AQ605" i="1"/>
  <c r="AQ580" i="1"/>
  <c r="AQ910" i="1"/>
  <c r="AQ16" i="1"/>
  <c r="AQ166" i="1"/>
  <c r="AQ1470" i="1"/>
  <c r="AQ1489" i="1"/>
  <c r="AQ1498" i="1"/>
  <c r="AQ1514" i="1"/>
  <c r="AQ13" i="1"/>
  <c r="AQ19" i="1"/>
  <c r="AQ20" i="1"/>
  <c r="AQ26" i="1"/>
  <c r="AQ318" i="1"/>
  <c r="AQ491" i="1"/>
  <c r="AQ492" i="1"/>
  <c r="AQ496" i="1"/>
  <c r="AQ155" i="1"/>
  <c r="AQ167" i="1"/>
  <c r="AQ372" i="1"/>
  <c r="AQ1310" i="1"/>
  <c r="AQ1866" i="1"/>
  <c r="AQ212" i="1"/>
  <c r="AQ566" i="1"/>
  <c r="AQ108" i="1"/>
  <c r="AQ1556" i="1"/>
  <c r="AQ1573" i="1"/>
  <c r="AQ1584" i="1"/>
  <c r="AQ1749" i="1"/>
  <c r="AQ1813" i="1"/>
  <c r="AQ1836" i="1"/>
  <c r="AQ1850" i="1"/>
  <c r="AQ1875" i="1"/>
  <c r="AQ1892" i="1"/>
  <c r="AQ107" i="1"/>
  <c r="AQ322" i="1"/>
  <c r="AQ654" i="1"/>
  <c r="AQ1853" i="1"/>
  <c r="AQ85" i="1"/>
  <c r="AQ321" i="1"/>
  <c r="AQ873" i="1"/>
  <c r="AQ1464" i="1"/>
  <c r="AQ1524" i="1"/>
  <c r="AQ1787" i="1"/>
  <c r="AQ519" i="1"/>
  <c r="AQ669" i="1"/>
  <c r="AQ117" i="1"/>
  <c r="AQ886" i="1"/>
  <c r="AQ1268" i="1"/>
  <c r="AQ1259" i="1"/>
  <c r="AQ1270" i="1"/>
  <c r="AQ590" i="1"/>
  <c r="AQ619" i="1"/>
  <c r="AQ165" i="1"/>
  <c r="AQ171" i="1"/>
  <c r="AQ175" i="1"/>
  <c r="AQ178" i="1"/>
  <c r="AQ1491" i="1"/>
  <c r="AQ1639" i="1"/>
  <c r="AQ1662" i="1"/>
  <c r="AQ14" i="1"/>
  <c r="AQ1458" i="1"/>
  <c r="AQ92" i="1"/>
  <c r="AQ93" i="1"/>
  <c r="AQ657" i="1"/>
  <c r="AQ1197" i="1"/>
  <c r="AQ1214" i="1"/>
  <c r="AQ664" i="1"/>
  <c r="AQ665" i="1"/>
  <c r="AQ543" i="1"/>
  <c r="AQ611" i="1"/>
  <c r="AQ1080" i="1"/>
  <c r="AQ651" i="1"/>
  <c r="AQ694" i="1"/>
  <c r="AQ377" i="1"/>
  <c r="AQ386" i="1"/>
  <c r="AQ585" i="1"/>
  <c r="AQ832" i="1"/>
  <c r="AQ168" i="1"/>
  <c r="AQ183" i="1"/>
  <c r="AQ589" i="1"/>
  <c r="AQ602" i="1"/>
  <c r="AQ912" i="1"/>
  <c r="AQ1485" i="1"/>
  <c r="AQ1569" i="1"/>
  <c r="AQ1625" i="1"/>
  <c r="AQ1698" i="1"/>
  <c r="AQ557" i="1"/>
  <c r="AQ623" i="1"/>
  <c r="AQ1562" i="1"/>
  <c r="AQ1790" i="1"/>
  <c r="AQ1801" i="1"/>
  <c r="AQ1877" i="1"/>
  <c r="AQ1952" i="1"/>
  <c r="AQ385" i="1"/>
  <c r="AQ1525" i="1"/>
  <c r="AQ1663" i="1"/>
  <c r="AQ1829" i="1"/>
  <c r="AQ86" i="1"/>
  <c r="AQ87" i="1"/>
  <c r="AQ127" i="1"/>
  <c r="AQ551" i="1"/>
  <c r="AQ1184" i="1"/>
  <c r="AQ83" i="1"/>
  <c r="AQ1466" i="1"/>
  <c r="AQ1843" i="1"/>
  <c r="AQ1855" i="1"/>
  <c r="AQ1956" i="1"/>
  <c r="AQ1563" i="1"/>
  <c r="AQ1954" i="1"/>
  <c r="AQ951" i="1"/>
  <c r="AQ1204" i="1"/>
  <c r="AQ652" i="1"/>
  <c r="AQ976" i="1"/>
  <c r="AQ68" i="1"/>
  <c r="AQ70" i="1"/>
  <c r="AQ95" i="1"/>
  <c r="AQ950" i="1"/>
  <c r="AQ1703" i="1"/>
  <c r="AQ869" i="1"/>
  <c r="AQ1203" i="1"/>
  <c r="AQ572" i="1"/>
  <c r="AQ573" i="1"/>
  <c r="AQ1509" i="1"/>
  <c r="AQ1539" i="1"/>
  <c r="AQ1117" i="1"/>
  <c r="AQ1120" i="1"/>
  <c r="AQ1381" i="1"/>
  <c r="AQ1403" i="1"/>
  <c r="AQ1408" i="1"/>
  <c r="AQ180" i="1"/>
  <c r="AQ1082" i="1"/>
  <c r="AQ1636" i="1"/>
  <c r="AQ1640" i="1"/>
  <c r="AQ834" i="1"/>
  <c r="AQ1057" i="1"/>
  <c r="AQ263" i="1"/>
  <c r="AQ359" i="1"/>
  <c r="AQ726" i="1"/>
  <c r="AQ1417" i="1"/>
  <c r="AQ1422" i="1"/>
  <c r="AQ499" i="1"/>
  <c r="AQ803" i="1"/>
  <c r="AQ1397" i="1"/>
  <c r="AQ1405" i="1"/>
  <c r="AQ1272" i="1"/>
  <c r="AQ1275" i="1"/>
  <c r="AQ1912" i="1"/>
  <c r="AQ169" i="1"/>
  <c r="AQ493" i="1"/>
  <c r="AQ721" i="1"/>
  <c r="AQ1064" i="1"/>
  <c r="AQ1066" i="1"/>
  <c r="AQ1264" i="1"/>
  <c r="AQ1307" i="1"/>
  <c r="AQ805" i="1"/>
  <c r="AQ811" i="1"/>
  <c r="AQ870" i="1"/>
  <c r="AQ1061" i="1"/>
  <c r="AQ1399" i="1"/>
  <c r="AQ800" i="1"/>
  <c r="AQ1040" i="1"/>
  <c r="AQ1521" i="1"/>
  <c r="AQ1538" i="1"/>
  <c r="AQ1770" i="1"/>
  <c r="AQ1461" i="1"/>
  <c r="AQ1523" i="1"/>
  <c r="AQ1696" i="1"/>
  <c r="AQ931" i="1"/>
  <c r="AQ1373" i="1"/>
  <c r="AQ1374" i="1"/>
  <c r="AQ1379" i="1"/>
  <c r="AQ1402" i="1"/>
  <c r="AQ1195" i="1"/>
  <c r="AQ1243" i="1"/>
  <c r="AQ1512" i="1"/>
  <c r="AQ1518" i="1"/>
  <c r="AQ1530" i="1"/>
  <c r="AQ1652" i="1"/>
  <c r="AQ1709" i="1"/>
  <c r="AQ1744" i="1"/>
  <c r="AQ1856" i="1"/>
  <c r="AQ265" i="1"/>
  <c r="AQ1377" i="1"/>
  <c r="AQ1555" i="1"/>
  <c r="AQ1572" i="1"/>
  <c r="AQ1667" i="1"/>
  <c r="AQ1748" i="1"/>
  <c r="AQ541" i="1"/>
  <c r="AQ542" i="1"/>
  <c r="AQ1675" i="1"/>
  <c r="AQ1683" i="1"/>
  <c r="AQ1747" i="1"/>
  <c r="AQ73" i="1"/>
  <c r="AQ382" i="1"/>
  <c r="AQ671" i="1"/>
  <c r="AQ970" i="1"/>
  <c r="AQ1472" i="1"/>
  <c r="AQ1494" i="1"/>
  <c r="AQ1500" i="1"/>
  <c r="AQ1638" i="1"/>
  <c r="AQ1586" i="1"/>
  <c r="AQ1644" i="1"/>
  <c r="AQ1506" i="1"/>
  <c r="AQ1800" i="1"/>
  <c r="AQ1918" i="1"/>
  <c r="AQ1600" i="1"/>
  <c r="AQ1902" i="1"/>
  <c r="AQ88" i="1"/>
  <c r="AQ97" i="1"/>
  <c r="AQ128" i="1"/>
  <c r="AQ361" i="1"/>
  <c r="AQ365" i="1"/>
  <c r="AQ773" i="1"/>
  <c r="AQ830" i="1"/>
  <c r="AQ1192" i="1"/>
  <c r="AQ1206" i="1"/>
  <c r="AQ1266" i="1"/>
  <c r="AQ1604" i="1"/>
  <c r="AQ1754" i="1"/>
  <c r="AQ1904" i="1"/>
  <c r="AQ1943" i="1"/>
  <c r="AQ599" i="1"/>
  <c r="AQ613" i="1"/>
  <c r="AQ1668" i="1"/>
  <c r="AQ1743" i="1"/>
  <c r="AQ1859" i="1"/>
  <c r="AQ1517" i="1"/>
  <c r="AQ1527" i="1"/>
  <c r="AQ1529" i="1"/>
  <c r="AQ1536" i="1"/>
  <c r="AQ1541" i="1"/>
  <c r="AQ1543" i="1"/>
  <c r="AQ1554" i="1"/>
  <c r="AQ1571" i="1"/>
  <c r="AQ1583" i="1"/>
  <c r="AQ1650" i="1"/>
  <c r="AQ1672" i="1"/>
  <c r="AQ1681" i="1"/>
  <c r="AQ1691" i="1"/>
  <c r="AQ1704" i="1"/>
  <c r="AQ1713" i="1"/>
  <c r="AQ1751" i="1"/>
  <c r="AQ1772" i="1"/>
  <c r="AQ1819" i="1"/>
  <c r="AQ1834" i="1"/>
  <c r="AQ1848" i="1"/>
  <c r="AQ1858" i="1"/>
  <c r="AQ1873" i="1"/>
  <c r="AQ1890" i="1"/>
  <c r="AQ1722" i="1"/>
  <c r="AQ1823" i="1"/>
  <c r="AQ1947" i="1"/>
  <c r="AQ1723" i="1"/>
  <c r="AQ1824" i="1"/>
  <c r="AQ689" i="1"/>
  <c r="AQ992" i="1"/>
  <c r="AQ1717" i="1"/>
  <c r="AQ1753" i="1"/>
  <c r="AQ1895" i="1"/>
  <c r="AQ1738" i="1"/>
  <c r="AQ1763" i="1"/>
  <c r="AQ1737" i="1"/>
  <c r="AQ1762" i="1"/>
  <c r="AQ1803" i="1"/>
  <c r="AQ1153" i="1"/>
  <c r="AQ1546" i="1"/>
  <c r="AQ1643" i="1"/>
  <c r="AQ1671" i="1"/>
  <c r="AQ1694" i="1"/>
  <c r="AQ1706" i="1"/>
  <c r="AQ1721" i="1"/>
  <c r="AQ1750" i="1"/>
  <c r="AQ1771" i="1"/>
  <c r="AQ1786" i="1"/>
  <c r="AQ1799" i="1"/>
  <c r="AQ1837" i="1"/>
  <c r="AQ1861" i="1"/>
  <c r="AQ1948" i="1"/>
  <c r="AQ1550" i="1"/>
  <c r="AQ1580" i="1"/>
  <c r="AQ1882" i="1"/>
  <c r="AQ587" i="1"/>
  <c r="AQ946" i="1"/>
  <c r="AQ1588" i="1"/>
  <c r="AQ1654" i="1"/>
  <c r="AQ1847" i="1"/>
  <c r="AQ1871" i="1"/>
  <c r="AQ1884" i="1"/>
  <c r="AQ1963" i="1"/>
  <c r="AQ320" i="1"/>
  <c r="AQ383" i="1"/>
  <c r="AQ390" i="1"/>
  <c r="AQ936" i="1"/>
  <c r="AQ1576" i="1"/>
  <c r="AQ1778" i="1"/>
  <c r="AQ1898" i="1"/>
  <c r="AQ727" i="1"/>
  <c r="AQ1593" i="1"/>
  <c r="AQ1679" i="1"/>
  <c r="AQ1686" i="1"/>
  <c r="AQ1697" i="1"/>
  <c r="AQ1710" i="1"/>
  <c r="AQ1868" i="1"/>
  <c r="AQ1955" i="1"/>
  <c r="AQ347" i="1"/>
  <c r="AQ1633" i="1"/>
  <c r="AQ94" i="1"/>
  <c r="AQ884" i="1"/>
  <c r="AQ900" i="1"/>
  <c r="AQ998" i="1"/>
  <c r="AQ1545" i="1"/>
  <c r="AQ1720" i="1"/>
  <c r="AQ1946" i="1"/>
  <c r="AQ1739" i="1"/>
  <c r="AQ1764" i="1"/>
  <c r="AQ1815" i="1"/>
  <c r="AQ1821" i="1"/>
  <c r="AQ1840" i="1"/>
  <c r="AQ1396" i="1"/>
  <c r="AQ1425" i="1"/>
  <c r="AQ113" i="1"/>
  <c r="AQ799" i="1"/>
  <c r="AQ908" i="1"/>
  <c r="AQ1011" i="1"/>
  <c r="AQ184" i="1"/>
  <c r="AQ187" i="1"/>
  <c r="AQ329" i="1"/>
  <c r="AQ1009" i="1"/>
  <c r="AQ1081" i="1"/>
  <c r="AQ1124" i="1"/>
  <c r="AQ1125" i="1"/>
  <c r="AQ1279" i="1"/>
  <c r="AQ103" i="1"/>
  <c r="AQ114" i="1"/>
  <c r="AQ211" i="1"/>
  <c r="AQ909" i="1"/>
  <c r="AQ4" i="1"/>
  <c r="AQ5" i="1"/>
  <c r="AQ6" i="1"/>
  <c r="AQ7" i="1"/>
  <c r="AQ24" i="1"/>
  <c r="AQ25" i="1"/>
  <c r="AQ37" i="1"/>
  <c r="AQ41" i="1"/>
  <c r="AQ42" i="1"/>
  <c r="AQ43" i="1"/>
  <c r="AQ46" i="1"/>
  <c r="AQ47" i="1"/>
  <c r="AQ48" i="1"/>
  <c r="AQ49" i="1"/>
  <c r="AQ50" i="1"/>
  <c r="AQ51" i="1"/>
  <c r="AQ57" i="1"/>
  <c r="AQ58" i="1"/>
  <c r="AQ59" i="1"/>
  <c r="AQ63" i="1"/>
  <c r="AQ64" i="1"/>
  <c r="AQ65" i="1"/>
  <c r="AQ66" i="1"/>
  <c r="AQ67" i="1"/>
  <c r="AQ110" i="1"/>
  <c r="AQ118" i="1"/>
  <c r="AQ119" i="1"/>
  <c r="AQ120" i="1"/>
  <c r="AQ121" i="1"/>
  <c r="AQ122" i="1"/>
  <c r="AQ123" i="1"/>
  <c r="AQ124" i="1"/>
  <c r="AQ130" i="1"/>
  <c r="AQ131" i="1"/>
  <c r="AQ132" i="1"/>
  <c r="AQ133" i="1"/>
  <c r="AQ134" i="1"/>
  <c r="AQ135" i="1"/>
  <c r="AQ136" i="1"/>
  <c r="AQ137" i="1"/>
  <c r="AQ138" i="1"/>
  <c r="AQ139" i="1"/>
  <c r="AQ140" i="1"/>
  <c r="AQ141" i="1"/>
  <c r="AQ142" i="1"/>
  <c r="AQ143" i="1"/>
  <c r="AQ144" i="1"/>
  <c r="AQ145" i="1"/>
  <c r="AQ146" i="1"/>
  <c r="AQ147" i="1"/>
  <c r="AQ148" i="1"/>
  <c r="AQ150" i="1"/>
  <c r="AQ151" i="1"/>
  <c r="AQ152" i="1"/>
  <c r="AQ163" i="1"/>
  <c r="AQ182" i="1"/>
  <c r="AQ188" i="1"/>
  <c r="AQ195" i="1"/>
  <c r="AQ199" i="1"/>
  <c r="AQ200" i="1"/>
  <c r="AQ201" i="1"/>
  <c r="AQ202" i="1"/>
  <c r="AQ203" i="1"/>
  <c r="AQ204" i="1"/>
  <c r="AQ205" i="1"/>
  <c r="AQ209" i="1"/>
  <c r="AQ210" i="1"/>
  <c r="AQ213" i="1"/>
  <c r="AQ214" i="1"/>
  <c r="AQ215" i="1"/>
  <c r="AQ221" i="1"/>
  <c r="AQ223" i="1"/>
  <c r="AQ224" i="1"/>
  <c r="AQ225" i="1"/>
  <c r="AQ226" i="1"/>
  <c r="AQ245" i="1"/>
  <c r="AQ246" i="1"/>
  <c r="AQ247" i="1"/>
  <c r="AQ249" i="1"/>
  <c r="AQ250" i="1"/>
  <c r="AQ254" i="1"/>
  <c r="AQ259" i="1"/>
  <c r="AQ266" i="1"/>
  <c r="AQ267" i="1"/>
  <c r="AQ268" i="1"/>
  <c r="AQ270" i="1"/>
  <c r="AQ271" i="1"/>
  <c r="AQ273" i="1"/>
  <c r="AQ274" i="1"/>
  <c r="AQ275" i="1"/>
  <c r="AQ276" i="1"/>
  <c r="AQ278" i="1"/>
  <c r="AQ279" i="1"/>
  <c r="AQ283" i="1"/>
  <c r="AQ286" i="1"/>
  <c r="AQ288" i="1"/>
  <c r="AQ289" i="1"/>
  <c r="AQ290" i="1"/>
  <c r="AQ291" i="1"/>
  <c r="AQ292" i="1"/>
  <c r="AQ293" i="1"/>
  <c r="AQ294" i="1"/>
  <c r="AQ295" i="1"/>
  <c r="AQ296" i="1"/>
  <c r="AQ297" i="1"/>
  <c r="AQ298" i="1"/>
  <c r="AQ299" i="1"/>
  <c r="AQ313" i="1"/>
  <c r="AQ314" i="1"/>
  <c r="AQ315" i="1"/>
  <c r="AQ316" i="1"/>
  <c r="AQ319" i="1"/>
  <c r="AQ328" i="1"/>
  <c r="AQ330" i="1"/>
  <c r="AQ331" i="1"/>
  <c r="AQ332" i="1"/>
  <c r="AQ391" i="1"/>
  <c r="AQ392" i="1"/>
  <c r="AQ397" i="1"/>
  <c r="AQ398" i="1"/>
  <c r="AQ399" i="1"/>
  <c r="AQ412" i="1"/>
  <c r="AQ413" i="1"/>
  <c r="AQ421" i="1"/>
  <c r="AQ422" i="1"/>
  <c r="AQ423" i="1"/>
  <c r="AQ424" i="1"/>
  <c r="AQ425" i="1"/>
  <c r="AQ426" i="1"/>
  <c r="AQ427" i="1"/>
  <c r="AQ430" i="1"/>
  <c r="AQ431" i="1"/>
  <c r="AQ432" i="1"/>
  <c r="AQ433" i="1"/>
  <c r="AQ434" i="1"/>
  <c r="AQ441" i="1"/>
  <c r="AQ460" i="1"/>
  <c r="AQ463" i="1"/>
  <c r="AQ464" i="1"/>
  <c r="AQ478" i="1"/>
  <c r="AQ482" i="1"/>
  <c r="AQ483" i="1"/>
  <c r="AQ484" i="1"/>
  <c r="AQ485" i="1"/>
  <c r="AQ486" i="1"/>
  <c r="AQ487" i="1"/>
  <c r="AQ488" i="1"/>
  <c r="AQ489" i="1"/>
  <c r="AQ495" i="1"/>
  <c r="AQ504" i="1"/>
  <c r="AQ505" i="1"/>
  <c r="AQ506" i="1"/>
  <c r="AQ507" i="1"/>
  <c r="AQ508" i="1"/>
  <c r="AQ509" i="1"/>
  <c r="AQ510" i="1"/>
  <c r="AQ511" i="1"/>
  <c r="AQ512" i="1"/>
  <c r="AQ513" i="1"/>
  <c r="AQ514" i="1"/>
  <c r="AQ515" i="1"/>
  <c r="AQ516" i="1"/>
  <c r="AQ517" i="1"/>
  <c r="AQ518" i="1"/>
  <c r="AQ520" i="1"/>
  <c r="AQ521" i="1"/>
  <c r="AQ522" i="1"/>
  <c r="AQ523" i="1"/>
  <c r="AQ524" i="1"/>
  <c r="AQ525" i="1"/>
  <c r="AQ526" i="1"/>
  <c r="AQ528" i="1"/>
  <c r="AQ529" i="1"/>
  <c r="AQ530" i="1"/>
  <c r="AQ531" i="1"/>
  <c r="AQ532" i="1"/>
  <c r="AQ533" i="1"/>
  <c r="AQ534" i="1"/>
  <c r="AQ535" i="1"/>
  <c r="AQ536" i="1"/>
  <c r="AQ629" i="1"/>
  <c r="AQ630" i="1"/>
  <c r="AQ701" i="1"/>
  <c r="AQ702" i="1"/>
  <c r="AQ703" i="1"/>
  <c r="AQ704" i="1"/>
  <c r="AQ705" i="1"/>
  <c r="AQ706" i="1"/>
  <c r="AQ707" i="1"/>
  <c r="AQ708" i="1"/>
  <c r="AQ709" i="1"/>
  <c r="AQ710" i="1"/>
  <c r="AQ711" i="1"/>
  <c r="AQ712" i="1"/>
  <c r="AQ729" i="1"/>
  <c r="AQ737" i="1"/>
  <c r="AQ738" i="1"/>
  <c r="AQ740" i="1"/>
  <c r="AQ745" i="1"/>
  <c r="AQ749" i="1"/>
  <c r="AQ755" i="1"/>
  <c r="AQ756" i="1"/>
  <c r="AQ757" i="1"/>
  <c r="AQ759" i="1"/>
  <c r="AQ760" i="1"/>
  <c r="AQ761" i="1"/>
  <c r="AQ762" i="1"/>
  <c r="AQ763" i="1"/>
  <c r="AQ764" i="1"/>
  <c r="AQ765" i="1"/>
  <c r="AQ766" i="1"/>
  <c r="AQ767" i="1"/>
  <c r="AQ768" i="1"/>
  <c r="AQ769" i="1"/>
  <c r="AQ770" i="1"/>
  <c r="AQ771" i="1"/>
  <c r="AQ772" i="1"/>
  <c r="AQ774" i="1"/>
  <c r="AQ775" i="1"/>
  <c r="AQ778" i="1"/>
  <c r="AQ779" i="1"/>
  <c r="AQ780" i="1"/>
  <c r="AQ781" i="1"/>
  <c r="AQ782" i="1"/>
  <c r="AQ790" i="1"/>
  <c r="AQ791" i="1"/>
  <c r="AQ792" i="1"/>
  <c r="AQ793" i="1"/>
  <c r="AQ794" i="1"/>
  <c r="AQ795" i="1"/>
  <c r="AQ796" i="1"/>
  <c r="AQ801" i="1"/>
  <c r="AQ802" i="1"/>
  <c r="AQ810" i="1"/>
  <c r="AQ812" i="1"/>
  <c r="AQ813" i="1"/>
  <c r="AQ814" i="1"/>
  <c r="AQ815" i="1"/>
  <c r="AQ816" i="1"/>
  <c r="AQ817" i="1"/>
  <c r="AQ818" i="1"/>
  <c r="AQ819" i="1"/>
  <c r="AQ821" i="1"/>
  <c r="AQ822" i="1"/>
  <c r="AQ824" i="1"/>
  <c r="AQ825" i="1"/>
  <c r="AQ838" i="1"/>
  <c r="AQ839" i="1"/>
  <c r="AQ840" i="1"/>
  <c r="AQ841" i="1"/>
  <c r="AQ842" i="1"/>
  <c r="AQ843" i="1"/>
  <c r="AQ844" i="1"/>
  <c r="AQ845" i="1"/>
  <c r="AQ848" i="1"/>
  <c r="AQ849" i="1"/>
  <c r="AQ850" i="1"/>
  <c r="AQ851" i="1"/>
  <c r="AQ854" i="1"/>
  <c r="AQ867" i="1"/>
  <c r="AQ878" i="1"/>
  <c r="AQ879" i="1"/>
  <c r="AQ880" i="1"/>
  <c r="AQ897" i="1"/>
  <c r="AQ905" i="1"/>
  <c r="AQ907" i="1"/>
  <c r="AQ918" i="1"/>
  <c r="AQ919" i="1"/>
  <c r="AQ920" i="1"/>
  <c r="AQ921" i="1"/>
  <c r="AQ922" i="1"/>
  <c r="AQ923" i="1"/>
  <c r="AQ924" i="1"/>
  <c r="AQ925" i="1"/>
  <c r="AQ926" i="1"/>
  <c r="AQ927" i="1"/>
  <c r="AQ928" i="1"/>
  <c r="AQ929" i="1"/>
  <c r="AQ952" i="1"/>
  <c r="AQ953" i="1"/>
  <c r="AQ954" i="1"/>
  <c r="AQ957" i="1"/>
  <c r="AQ959" i="1"/>
  <c r="AQ960" i="1"/>
  <c r="AQ961" i="1"/>
  <c r="AQ962" i="1"/>
  <c r="AQ978" i="1"/>
  <c r="AQ985" i="1"/>
  <c r="AQ986" i="1"/>
  <c r="AQ988" i="1"/>
  <c r="AQ989" i="1"/>
  <c r="AQ990" i="1"/>
  <c r="AQ991" i="1"/>
  <c r="AQ1016" i="1"/>
  <c r="AQ1017" i="1"/>
  <c r="AQ1023" i="1"/>
  <c r="AQ1024" i="1"/>
  <c r="AQ1025" i="1"/>
  <c r="AQ1026" i="1"/>
  <c r="AQ1027" i="1"/>
  <c r="AQ1028" i="1"/>
  <c r="AQ1029" i="1"/>
  <c r="AQ1030" i="1"/>
  <c r="AQ1031" i="1"/>
  <c r="AQ1032" i="1"/>
  <c r="AQ1036" i="1"/>
  <c r="AQ1037" i="1"/>
  <c r="AQ1038" i="1"/>
  <c r="AQ1041" i="1"/>
  <c r="AQ1042" i="1"/>
  <c r="AQ1043" i="1"/>
  <c r="AQ1044" i="1"/>
  <c r="AQ1045" i="1"/>
  <c r="AQ1046" i="1"/>
  <c r="AQ1047" i="1"/>
  <c r="AQ1048" i="1"/>
  <c r="AQ1049" i="1"/>
  <c r="AQ1073" i="1"/>
  <c r="AQ1074" i="1"/>
  <c r="AQ1076" i="1"/>
  <c r="AQ1079" i="1"/>
  <c r="AQ1084" i="1"/>
  <c r="AQ1085" i="1"/>
  <c r="AQ1086" i="1"/>
  <c r="AQ1087" i="1"/>
  <c r="AQ1088" i="1"/>
  <c r="AQ1089" i="1"/>
  <c r="AQ1090" i="1"/>
  <c r="AQ1091" i="1"/>
  <c r="AQ1093" i="1"/>
  <c r="AQ1094" i="1"/>
  <c r="AQ1095" i="1"/>
  <c r="AQ1096" i="1"/>
  <c r="AQ1097" i="1"/>
  <c r="AQ1098" i="1"/>
  <c r="AQ1099" i="1"/>
  <c r="AQ1101" i="1"/>
  <c r="AQ1103" i="1"/>
  <c r="AQ1105" i="1"/>
  <c r="AQ1106" i="1"/>
  <c r="AQ1128" i="1"/>
  <c r="AQ1129" i="1"/>
  <c r="AQ1130" i="1"/>
  <c r="AQ1131" i="1"/>
  <c r="AQ1132" i="1"/>
  <c r="AQ1136" i="1"/>
  <c r="AQ1144" i="1"/>
  <c r="AQ1148" i="1"/>
  <c r="AQ1158" i="1"/>
  <c r="AQ1159" i="1"/>
  <c r="AQ1160" i="1"/>
  <c r="AQ1161" i="1"/>
  <c r="AQ1162" i="1"/>
  <c r="AQ1163" i="1"/>
  <c r="AQ1164" i="1"/>
  <c r="AQ1165" i="1"/>
  <c r="AQ1166" i="1"/>
  <c r="AQ1171" i="1"/>
  <c r="AQ1172" i="1"/>
  <c r="AQ1173" i="1"/>
  <c r="AQ1178" i="1"/>
  <c r="AQ1188" i="1"/>
  <c r="AQ1189" i="1"/>
  <c r="AQ1190" i="1"/>
  <c r="AQ1198" i="1"/>
  <c r="AQ1199" i="1"/>
  <c r="AQ1200" i="1"/>
  <c r="AQ1211" i="1"/>
  <c r="AQ1212" i="1"/>
  <c r="AQ1215" i="1"/>
  <c r="AQ1218" i="1"/>
  <c r="AQ1225" i="1"/>
  <c r="AQ1226" i="1"/>
  <c r="AQ1227" i="1"/>
  <c r="AQ1234" i="1"/>
  <c r="AQ1235" i="1"/>
  <c r="AQ1237" i="1"/>
  <c r="AQ1246" i="1"/>
  <c r="AQ1249" i="1"/>
  <c r="AQ1256" i="1"/>
  <c r="AQ1262" i="1"/>
  <c r="AQ1278" i="1"/>
  <c r="AQ1282" i="1"/>
  <c r="AQ1283" i="1"/>
  <c r="AQ1284" i="1"/>
  <c r="AQ1285" i="1"/>
  <c r="AQ1286" i="1"/>
  <c r="AQ1287" i="1"/>
  <c r="AQ1288" i="1"/>
  <c r="AQ1289" i="1"/>
  <c r="AQ1290" i="1"/>
  <c r="AQ1291" i="1"/>
  <c r="AQ1293" i="1"/>
  <c r="AQ1294" i="1"/>
  <c r="AQ1295" i="1"/>
  <c r="AQ1300" i="1"/>
  <c r="AQ1304" i="1"/>
  <c r="AQ1305" i="1"/>
  <c r="AQ1306" i="1"/>
  <c r="AQ1308" i="1"/>
  <c r="AQ1314" i="1"/>
  <c r="AQ1318" i="1"/>
  <c r="AQ1319" i="1"/>
  <c r="AQ1320" i="1"/>
  <c r="AQ1321" i="1"/>
  <c r="AQ1322" i="1"/>
  <c r="AQ1323" i="1"/>
  <c r="AQ1324" i="1"/>
  <c r="AQ1325" i="1"/>
  <c r="AQ1326" i="1"/>
  <c r="AQ1329" i="1"/>
  <c r="AQ1330" i="1"/>
  <c r="AQ1331" i="1"/>
  <c r="AQ1332" i="1"/>
  <c r="AQ1333" i="1"/>
  <c r="AQ1334" i="1"/>
  <c r="AQ1341" i="1"/>
  <c r="AQ1351" i="1"/>
  <c r="AQ1352" i="1"/>
  <c r="AQ1353" i="1"/>
  <c r="AQ1354" i="1"/>
  <c r="AQ1355" i="1"/>
  <c r="AQ1356" i="1"/>
  <c r="AQ1357" i="1"/>
  <c r="AQ1358" i="1"/>
  <c r="AQ1359" i="1"/>
  <c r="AQ1360" i="1"/>
  <c r="AQ1361" i="1"/>
  <c r="AQ1362" i="1"/>
  <c r="AQ1363" i="1"/>
  <c r="AQ1364" i="1"/>
  <c r="AQ1365" i="1"/>
  <c r="AQ1367" i="1"/>
  <c r="AQ1368" i="1"/>
  <c r="AQ1369" i="1"/>
  <c r="AQ1371" i="1"/>
  <c r="AQ1372" i="1"/>
  <c r="AQ1414" i="1"/>
  <c r="AQ1419" i="1"/>
  <c r="AQ1430" i="1"/>
  <c r="AQ1431" i="1"/>
  <c r="AQ1432" i="1"/>
  <c r="AQ1433" i="1"/>
  <c r="AQ1434" i="1"/>
  <c r="AQ1435" i="1"/>
  <c r="AQ1436" i="1"/>
  <c r="AQ1437" i="1"/>
  <c r="AQ1438" i="1"/>
  <c r="AQ1439" i="1"/>
  <c r="AQ1440" i="1"/>
  <c r="AQ1441" i="1"/>
  <c r="AQ1442" i="1"/>
  <c r="AQ1443" i="1"/>
  <c r="AQ1444" i="1"/>
  <c r="AQ1445" i="1"/>
  <c r="AQ1446" i="1"/>
  <c r="AQ1447" i="1"/>
  <c r="AQ1448" i="1"/>
  <c r="AQ1449" i="1"/>
  <c r="AQ1450" i="1"/>
  <c r="AQ1451" i="1"/>
  <c r="AQ1452" i="1"/>
  <c r="AQ1453" i="1"/>
  <c r="AQ1454" i="1"/>
  <c r="AQ1455" i="1"/>
  <c r="AQ1598" i="1"/>
  <c r="AQ1665" i="1"/>
  <c r="AQ1735" i="1"/>
  <c r="AQ1736" i="1"/>
  <c r="AQ1900" i="1"/>
  <c r="AQ1901" i="1"/>
  <c r="AQ1907" i="1"/>
  <c r="AQ1925" i="1"/>
  <c r="AQ1969" i="1"/>
  <c r="AQ1970" i="1"/>
  <c r="AQ1971" i="1"/>
  <c r="AQ1972" i="1"/>
  <c r="AQ1973" i="1"/>
  <c r="AQ1974" i="1"/>
  <c r="AQ1975" i="1"/>
  <c r="AQ1976" i="1"/>
  <c r="AQ1977" i="1"/>
  <c r="AQ1978" i="1"/>
  <c r="AQ1979" i="1"/>
  <c r="AQ1980" i="1"/>
  <c r="AQ1981" i="1"/>
  <c r="AQ1982" i="1"/>
  <c r="AQ1983" i="1"/>
  <c r="AQ1984" i="1"/>
  <c r="AQ1985" i="1"/>
  <c r="AQ1986" i="1"/>
  <c r="AQ1987" i="1"/>
  <c r="AQ1988" i="1"/>
  <c r="AQ1989" i="1"/>
  <c r="AQ1990" i="1"/>
  <c r="AQ1991" i="1"/>
  <c r="AQ1992" i="1"/>
  <c r="AQ1993" i="1"/>
  <c r="AQ1994" i="1"/>
  <c r="AQ1995" i="1"/>
  <c r="AQ1996" i="1"/>
  <c r="AQ1997" i="1"/>
  <c r="AQ1998" i="1"/>
  <c r="AQ1999" i="1"/>
  <c r="AQ2000" i="1"/>
  <c r="AQ369" i="1"/>
  <c r="AQ797" i="1"/>
  <c r="AQ335" i="1"/>
  <c r="AQ370" i="1"/>
  <c r="AQ1804" i="1"/>
  <c r="AQ1844" i="1"/>
  <c r="AQ1910" i="1"/>
  <c r="AQ1957" i="1"/>
  <c r="AQ608" i="1"/>
  <c r="AQ699" i="1"/>
  <c r="AQ691" i="1"/>
  <c r="AQ696" i="1"/>
  <c r="AQ1155" i="1"/>
  <c r="AQ1315" i="1"/>
  <c r="AQ317" i="1"/>
  <c r="AQ609" i="1"/>
  <c r="AQ995" i="1"/>
  <c r="AQ1608" i="1"/>
  <c r="AQ1838" i="1"/>
  <c r="AQ1905" i="1"/>
  <c r="AQ1909" i="1"/>
  <c r="AQ1951" i="1"/>
  <c r="AQ428" i="1"/>
  <c r="AQ429" i="1"/>
  <c r="AQ272" i="1"/>
  <c r="AQ1217" i="1"/>
  <c r="AQ1127" i="1"/>
  <c r="AQ1216" i="1"/>
  <c r="AQ624" i="1"/>
  <c r="AQ777" i="1"/>
  <c r="AQ1959" i="1"/>
  <c r="AQ190" i="1"/>
  <c r="AQ1410" i="1"/>
  <c r="AQ979" i="1"/>
  <c r="AQ982" i="1"/>
  <c r="AQ896" i="1"/>
  <c r="AQ1832" i="1"/>
  <c r="AQ1845" i="1"/>
  <c r="AQ1958" i="1"/>
  <c r="AQ999" i="1"/>
  <c r="AQ1012" i="1"/>
  <c r="AQ1001" i="1"/>
  <c r="AQ1013" i="1"/>
  <c r="AQ1003" i="1"/>
  <c r="AQ1014" i="1"/>
  <c r="AQ892" i="1"/>
  <c r="AQ1157" i="1"/>
  <c r="AQ2" i="1"/>
  <c r="P46" i="64" l="1"/>
  <c r="R46" i="64" s="1"/>
  <c r="D25" i="64"/>
  <c r="F25" i="64" s="1"/>
  <c r="D22" i="64"/>
  <c r="F22" i="64" s="1"/>
  <c r="D26" i="64"/>
  <c r="F26" i="64" s="1"/>
  <c r="D27" i="64"/>
  <c r="F27" i="64" s="1"/>
  <c r="J20" i="64"/>
  <c r="J23" i="64"/>
  <c r="L23" i="64" s="1"/>
  <c r="J22" i="64"/>
  <c r="L22" i="64" s="1"/>
  <c r="J24" i="64"/>
  <c r="L24" i="64" s="1"/>
  <c r="P60" i="64"/>
  <c r="R60" i="64" s="1"/>
  <c r="P59" i="64"/>
  <c r="R59" i="64" s="1"/>
  <c r="F23" i="156"/>
  <c r="L20" i="64" l="1"/>
  <c r="E29" i="173"/>
  <c r="C29" i="173" s="1"/>
  <c r="D26" i="156"/>
  <c r="F26" i="156" s="1"/>
  <c r="D24" i="156"/>
  <c r="F24" i="156" s="1"/>
  <c r="D25" i="156"/>
  <c r="F25" i="156" s="1"/>
  <c r="D22" i="156"/>
  <c r="F22" i="156" s="1"/>
  <c r="P45" i="64"/>
  <c r="R45" i="64" s="1"/>
  <c r="P58" i="64"/>
  <c r="P21" i="64"/>
  <c r="R21" i="64" s="1"/>
  <c r="P22" i="64"/>
  <c r="R22" i="64" l="1"/>
  <c r="E43" i="173"/>
  <c r="C43" i="173" s="1"/>
  <c r="R58" i="64"/>
  <c r="E13" i="173"/>
  <c r="C13" i="173" s="1"/>
  <c r="E14" i="173"/>
  <c r="C14" i="173" s="1"/>
  <c r="E30" i="173"/>
  <c r="C30" i="173" s="1"/>
  <c r="J61" i="64"/>
  <c r="P23" i="64"/>
  <c r="R23" i="64" s="1"/>
  <c r="P44" i="64"/>
  <c r="R44" i="64" s="1"/>
  <c r="P47" i="64"/>
  <c r="R47" i="64" s="1"/>
  <c r="D37" i="64"/>
  <c r="F37" i="64" s="1"/>
  <c r="J60" i="64" l="1"/>
  <c r="L61" i="64"/>
  <c r="E15" i="173"/>
  <c r="C15" i="173" s="1"/>
  <c r="E46" i="173"/>
  <c r="C46" i="173" s="1"/>
  <c r="E36" i="173"/>
  <c r="C36" i="173" s="1"/>
  <c r="D36" i="64"/>
  <c r="D61" i="64"/>
  <c r="F61" i="64" s="1"/>
  <c r="P57" i="64"/>
  <c r="R57" i="64" s="1"/>
  <c r="P37" i="64"/>
  <c r="R37" i="64" s="1"/>
  <c r="P39" i="64"/>
  <c r="R39" i="64" s="1"/>
  <c r="D17" i="156" l="1"/>
  <c r="F17" i="156" s="1"/>
  <c r="F36" i="64"/>
  <c r="J59" i="64"/>
  <c r="L60" i="64"/>
  <c r="E33" i="173"/>
  <c r="C33" i="173" s="1"/>
  <c r="E37" i="173"/>
  <c r="C37" i="173" s="1"/>
  <c r="E44" i="173"/>
  <c r="C44" i="173" s="1"/>
  <c r="D60" i="64"/>
  <c r="F60" i="64" s="1"/>
  <c r="D34" i="64"/>
  <c r="F34" i="64" s="1"/>
  <c r="P55" i="64"/>
  <c r="R55" i="64" s="1"/>
  <c r="P32" i="64"/>
  <c r="R32" i="64" s="1"/>
  <c r="J58" i="64" l="1"/>
  <c r="L59" i="64"/>
  <c r="E24" i="173"/>
  <c r="E26" i="173"/>
  <c r="C26" i="173" s="1"/>
  <c r="D28" i="64"/>
  <c r="F28" i="64" s="1"/>
  <c r="D59" i="64"/>
  <c r="F59" i="64" s="1"/>
  <c r="P43" i="64"/>
  <c r="R43" i="64" s="1"/>
  <c r="P56" i="64"/>
  <c r="R56" i="64" s="1"/>
  <c r="J57" i="64" l="1"/>
  <c r="L58" i="64"/>
  <c r="E27" i="173"/>
  <c r="C27" i="173" s="1"/>
  <c r="E49" i="173"/>
  <c r="C49" i="173" s="1"/>
  <c r="D58" i="64"/>
  <c r="F58" i="64" s="1"/>
  <c r="D33" i="64"/>
  <c r="F33" i="64" s="1"/>
  <c r="P27" i="64"/>
  <c r="R27" i="64" s="1"/>
  <c r="P42" i="64"/>
  <c r="R42" i="64" s="1"/>
  <c r="J56" i="64" l="1"/>
  <c r="L57" i="64"/>
  <c r="E19" i="173"/>
  <c r="C19" i="173" s="1"/>
  <c r="E32" i="173"/>
  <c r="C32" i="173" s="1"/>
  <c r="D23" i="64"/>
  <c r="D57" i="64"/>
  <c r="F57" i="64" s="1"/>
  <c r="D15" i="156"/>
  <c r="F15" i="156" s="1"/>
  <c r="P25" i="64"/>
  <c r="R25" i="64" s="1"/>
  <c r="P38" i="64"/>
  <c r="R38" i="64" s="1"/>
  <c r="F23" i="64" l="1"/>
  <c r="J55" i="64"/>
  <c r="L56" i="64"/>
  <c r="E50" i="173"/>
  <c r="C50" i="173" s="1"/>
  <c r="E17" i="173"/>
  <c r="C17" i="173" s="1"/>
  <c r="D56" i="64"/>
  <c r="F56" i="64" s="1"/>
  <c r="P34" i="64"/>
  <c r="R34" i="64" s="1"/>
  <c r="P36" i="64"/>
  <c r="R36" i="64" s="1"/>
  <c r="J54" i="64" l="1"/>
  <c r="L55" i="64"/>
  <c r="E47" i="173"/>
  <c r="C47" i="173" s="1"/>
  <c r="E35" i="173"/>
  <c r="C35" i="173" s="1"/>
  <c r="D32" i="64"/>
  <c r="F32" i="64" s="1"/>
  <c r="P41" i="64"/>
  <c r="R41" i="64" s="1"/>
  <c r="P26" i="64"/>
  <c r="R26" i="64" s="1"/>
  <c r="J48" i="64" l="1"/>
  <c r="L54" i="64"/>
  <c r="E18" i="173"/>
  <c r="C18" i="173" s="1"/>
  <c r="E45" i="173"/>
  <c r="C45" i="173" s="1"/>
  <c r="D29" i="64"/>
  <c r="F29" i="64" s="1"/>
  <c r="D14" i="156"/>
  <c r="F14" i="156" s="1"/>
  <c r="P20" i="64"/>
  <c r="P35" i="64"/>
  <c r="R35" i="64" s="1"/>
  <c r="R20" i="64" l="1"/>
  <c r="J47" i="64"/>
  <c r="L48" i="64"/>
  <c r="E48" i="173"/>
  <c r="C48" i="173" s="1"/>
  <c r="D55" i="64"/>
  <c r="F55" i="64" s="1"/>
  <c r="E12" i="173"/>
  <c r="C12" i="173" s="1"/>
  <c r="D12" i="156"/>
  <c r="F12" i="156" s="1"/>
  <c r="P33" i="64"/>
  <c r="J46" i="64" l="1"/>
  <c r="L47" i="64"/>
  <c r="E25" i="173"/>
  <c r="C25" i="173" s="1"/>
  <c r="R33" i="64"/>
  <c r="D54" i="64"/>
  <c r="F54" i="64" s="1"/>
  <c r="C24" i="173"/>
  <c r="P40" i="64"/>
  <c r="R40" i="64" s="1"/>
  <c r="J45" i="64" l="1"/>
  <c r="L46" i="64"/>
  <c r="E34" i="173"/>
  <c r="C34" i="173" s="1"/>
  <c r="D48" i="64"/>
  <c r="F48" i="64" s="1"/>
  <c r="P28" i="64"/>
  <c r="R28" i="64" s="1"/>
  <c r="J44" i="64" l="1"/>
  <c r="L45" i="64"/>
  <c r="E20" i="173"/>
  <c r="C20" i="173" s="1"/>
  <c r="D47" i="64"/>
  <c r="F47" i="64" s="1"/>
  <c r="P29" i="64"/>
  <c r="R29" i="64" s="1"/>
  <c r="J43" i="64" l="1"/>
  <c r="L44" i="64"/>
  <c r="E21" i="173"/>
  <c r="C21" i="173" s="1"/>
  <c r="D46" i="64"/>
  <c r="F46" i="64" s="1"/>
  <c r="P30" i="64"/>
  <c r="R30" i="64" s="1"/>
  <c r="J42" i="64" l="1"/>
  <c r="L43" i="64"/>
  <c r="E22" i="173"/>
  <c r="C22" i="173" s="1"/>
  <c r="D35" i="64"/>
  <c r="F35" i="64" s="1"/>
  <c r="P48" i="64"/>
  <c r="R48" i="64" l="1"/>
  <c r="J41" i="64"/>
  <c r="L42" i="64"/>
  <c r="E28" i="173"/>
  <c r="C28" i="173" s="1"/>
  <c r="D45" i="64"/>
  <c r="F45" i="64" s="1"/>
  <c r="P31" i="64"/>
  <c r="R31" i="64" s="1"/>
  <c r="J40" i="64" l="1"/>
  <c r="L41" i="64"/>
  <c r="E23" i="173"/>
  <c r="C23" i="173" s="1"/>
  <c r="D44" i="64"/>
  <c r="F44" i="64" s="1"/>
  <c r="P54" i="64"/>
  <c r="R54" i="64" l="1"/>
  <c r="P16" i="64"/>
  <c r="R16" i="64" s="1"/>
  <c r="J39" i="64"/>
  <c r="L40" i="64"/>
  <c r="E31" i="173"/>
  <c r="C31" i="173" s="1"/>
  <c r="D43" i="64"/>
  <c r="F43" i="64" s="1"/>
  <c r="P24" i="64"/>
  <c r="R24" i="64" l="1"/>
  <c r="P15" i="64"/>
  <c r="R15" i="64" s="1"/>
  <c r="J38" i="64"/>
  <c r="L39" i="64"/>
  <c r="P13" i="64"/>
  <c r="R13" i="64" s="1"/>
  <c r="E16" i="173"/>
  <c r="C16" i="173" s="1"/>
  <c r="D13" i="156"/>
  <c r="F13" i="156" s="1"/>
  <c r="D24" i="64"/>
  <c r="E30" i="142"/>
  <c r="D16" i="156"/>
  <c r="F16" i="156" s="1"/>
  <c r="F24" i="64" l="1"/>
  <c r="J37" i="64"/>
  <c r="L38" i="64"/>
  <c r="D42" i="64"/>
  <c r="F42" i="64" s="1"/>
  <c r="J36" i="64" l="1"/>
  <c r="L37" i="64"/>
  <c r="D41" i="64"/>
  <c r="F41" i="64" s="1"/>
  <c r="J35" i="64" l="1"/>
  <c r="L36" i="64"/>
  <c r="D40" i="64"/>
  <c r="F40" i="64" s="1"/>
  <c r="J34" i="64" l="1"/>
  <c r="L35" i="64"/>
  <c r="D39" i="64"/>
  <c r="D20" i="156" l="1"/>
  <c r="F20" i="156" s="1"/>
  <c r="F39" i="64"/>
  <c r="J33" i="64"/>
  <c r="L34" i="64"/>
  <c r="D31" i="64"/>
  <c r="F31" i="64" s="1"/>
  <c r="J32" i="64" l="1"/>
  <c r="L33" i="64"/>
  <c r="D38" i="64"/>
  <c r="D19" i="156" l="1"/>
  <c r="F19" i="156" s="1"/>
  <c r="F38" i="64"/>
  <c r="D16" i="64"/>
  <c r="F16" i="64" s="1"/>
  <c r="J31" i="64"/>
  <c r="L32" i="64"/>
  <c r="J16" i="64"/>
  <c r="L16" i="64" s="1"/>
  <c r="D21" i="64"/>
  <c r="F21" i="64" l="1"/>
  <c r="D15" i="64"/>
  <c r="F15" i="64" s="1"/>
  <c r="J30" i="64"/>
  <c r="L31" i="64"/>
  <c r="D13" i="64"/>
  <c r="F13" i="64" s="1"/>
  <c r="D21" i="156"/>
  <c r="F21" i="156" s="1"/>
  <c r="D18" i="156"/>
  <c r="F18" i="156" s="1"/>
  <c r="E31" i="142"/>
  <c r="J29" i="64" l="1"/>
  <c r="L30" i="64"/>
  <c r="J26" i="64" l="1"/>
  <c r="L29" i="64"/>
  <c r="J28" i="64" l="1"/>
  <c r="L26" i="64"/>
  <c r="J27" i="64" l="1"/>
  <c r="L28" i="64"/>
  <c r="J25" i="64" l="1"/>
  <c r="L27" i="64"/>
  <c r="L25" i="64" l="1"/>
  <c r="J15" i="64"/>
  <c r="L15" i="64" s="1"/>
  <c r="E32" i="142"/>
  <c r="J13" i="64"/>
  <c r="L13"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 Kharitonov</author>
  </authors>
  <commentList>
    <comment ref="E74" authorId="0" shapeId="0" xr:uid="{00000000-0006-0000-3500-000001000000}">
      <text>
        <r>
          <rPr>
            <b/>
            <sz val="9"/>
            <color indexed="81"/>
            <rFont val="Tahoma"/>
            <family val="2"/>
          </rPr>
          <t>Ivan Kharitonov:</t>
        </r>
        <r>
          <rPr>
            <sz val="9"/>
            <color indexed="81"/>
            <rFont val="Tahoma"/>
            <family val="2"/>
          </rPr>
          <t xml:space="preserve">
GNP for 1980 from CIA estimations https://www.cia.gov/readingroom/docs/DOC_0000498181.pdf</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<sst xmlns="http://schemas.openxmlformats.org/spreadsheetml/2006/main" count="63824" uniqueCount="6933">
  <si>
    <t>Ukraine Support Tracker — 12th release (covering January 24, 2022 to May 31, 2023)</t>
  </si>
  <si>
    <t>Kiel Working Paper No. 2218</t>
  </si>
  <si>
    <t xml:space="preserve"> – Feedback and comments on our paper and database are highly appreciated –</t>
  </si>
  <si>
    <t>E-mail to ukrainetracker@ifw-kiel.de or use our online feedback form at</t>
  </si>
  <si>
    <t>www.ifw-kiel.de/feedback-ust</t>
  </si>
  <si>
    <r>
      <rPr>
        <b/>
        <sz val="12"/>
        <color theme="1"/>
        <rFont val="Times New Roman"/>
        <family val="1"/>
      </rPr>
      <t xml:space="preserve">1. </t>
    </r>
    <r>
      <rPr>
        <b/>
        <u/>
        <sz val="12"/>
        <color theme="1"/>
        <rFont val="Times New Roman"/>
        <family val="1"/>
      </rPr>
      <t>Citation</t>
    </r>
  </si>
  <si>
    <r>
      <rPr>
        <sz val="12"/>
        <color rgb="FF000000"/>
        <rFont val="Times New Roman"/>
      </rPr>
      <t xml:space="preserve">When using the data, please cite it as follows: Christoph Trebesch, Arianna Antezza, Katelyn Bushnell, Andre Frank, Pascal Frank, Lukas Franz, Ivan Kharitonov, Bharath Kumar, Ekaterina Rebinskaya, Christopher Schade, Stefan Schramm &amp; Leon Weiser (2023). "The Ukraine Support Tracker: Which countries help Ukraine and how?" </t>
    </r>
    <r>
      <rPr>
        <i/>
        <sz val="12"/>
        <color rgb="FF000000"/>
        <rFont val="Times New Roman"/>
      </rPr>
      <t>Kiel Working Paper</t>
    </r>
    <r>
      <rPr>
        <sz val="12"/>
        <color rgb="FF000000"/>
        <rFont val="Times New Roman"/>
      </rPr>
      <t>, No. 2218, 1-75.</t>
    </r>
  </si>
  <si>
    <r>
      <t xml:space="preserve">2. </t>
    </r>
    <r>
      <rPr>
        <b/>
        <u/>
        <sz val="12"/>
        <color theme="1"/>
        <rFont val="Times New Roman"/>
        <family val="1"/>
      </rPr>
      <t>Scope of the data set</t>
    </r>
  </si>
  <si>
    <t>Our database lists and quantifies military, financial and humanitarian aid transferred by governments to Ukraine after the end of diplomatic relations between Russia and Ukraine on January 24, 2022. We focus on commitments from Western governments, namely by G7 and European Union member countries. We quantify government-to-government commitments, and provide preliminary (non-exhaustive) data on non-bilateral aid. To value in-kind support like military equipment or weapons, we use market prices and consider upper bounds to avoid underestimating the true extent of bilateral assistance.</t>
  </si>
  <si>
    <r>
      <t>Country sample</t>
    </r>
    <r>
      <rPr>
        <b/>
        <sz val="12"/>
        <rFont val="Times New Roman"/>
        <family val="1"/>
      </rPr>
      <t>:</t>
    </r>
  </si>
  <si>
    <t>We focus on bilateral donors. The largest group are the 27 EU member countries. Besides, we include the (remaining) G7 countries plus Australia, China, Iceland, India, New Zealand, Norway, South Korea, Switzerland, Taiwan, and Turkey. Moreover, we include assistance provided by the EU in the core database under EU (Commission and Council), European Peace Facility, European Investment Bank.</t>
  </si>
  <si>
    <r>
      <t>Forms of assistance</t>
    </r>
    <r>
      <rPr>
        <b/>
        <sz val="12"/>
        <rFont val="Times New Roman"/>
        <family val="1"/>
      </rPr>
      <t>:</t>
    </r>
  </si>
  <si>
    <t>Military assistance includes all types of weapons and military equipment alongside items donated to the Ukrainian army as well as financial assistance tied for military purposes. Humanitarian aid refers to assistance supporting the civilian population (mainly food, medicines, and other relief items). Financial assistance includes grants, loans, guarantees and swap-lines.</t>
  </si>
  <si>
    <r>
      <t>Commitments vs. disbursements</t>
    </r>
    <r>
      <rPr>
        <b/>
        <sz val="12"/>
        <rFont val="Times New Roman"/>
        <family val="1"/>
      </rPr>
      <t>:</t>
    </r>
  </si>
  <si>
    <t xml:space="preserve">We primarily report commitments. However, whenever information on deliveries or disbursements is available, we report these values including a respective source. </t>
  </si>
  <si>
    <r>
      <t>Valuing in-kind donations</t>
    </r>
    <r>
      <rPr>
        <b/>
        <sz val="12"/>
        <color rgb="FF000000"/>
        <rFont val="Times New Roman"/>
        <family val="1"/>
      </rPr>
      <t>:</t>
    </r>
  </si>
  <si>
    <t>We generally use upper bounds for prices to avoid underestimating the true scale of assistance. Please refer to the corresponding paper for price sources and further explanations.</t>
  </si>
  <si>
    <r>
      <t xml:space="preserve">3. </t>
    </r>
    <r>
      <rPr>
        <b/>
        <u/>
        <sz val="12"/>
        <rFont val="Times New Roman"/>
        <family val="1"/>
      </rPr>
      <t>Contents</t>
    </r>
  </si>
  <si>
    <t>The dataset is segmented into different colored sheets. The contained information is as follows:</t>
  </si>
  <si>
    <t>Gray sheets</t>
  </si>
  <si>
    <t>ReadMe and Updates / Corrections.</t>
  </si>
  <si>
    <t>Green sheets</t>
  </si>
  <si>
    <t>Contains dataset for bilateral aid as well as pages with aggregate information on country and group donor level.</t>
  </si>
  <si>
    <t>Blue sheets</t>
  </si>
  <si>
    <t xml:space="preserve">Contains figures and the respective data of which they are comprised. </t>
  </si>
  <si>
    <t>Orange sheets</t>
  </si>
  <si>
    <t>Contains auxiliary information used for calculations like European aid shares, prices, or stored information for various purposes.</t>
  </si>
  <si>
    <t>Updates and Corrections</t>
  </si>
  <si>
    <r>
      <rPr>
        <sz val="12"/>
        <color rgb="FF000000"/>
        <rFont val="Times New Roman"/>
      </rPr>
      <t xml:space="preserve">This sheet lists updates and major corrections of our dataset in reverse chronological order. We welcome all type of suggestions but most appreciate feedback on:
- specific or missed commitments or deliveries
- additional sources or explanations on commitments or deliveries
- reliable prices of items, such as weapon systems but or possible improvements to make our Tracker better
Feedback can be submitted to us via e-mail to </t>
    </r>
    <r>
      <rPr>
        <u/>
        <sz val="12"/>
        <color rgb="FF000000"/>
        <rFont val="Times New Roman"/>
      </rPr>
      <t>ukrainetracker@ifw-kiel.de or</t>
    </r>
    <r>
      <rPr>
        <sz val="12"/>
        <color rgb="FF000000"/>
        <rFont val="Times New Roman"/>
      </rPr>
      <t xml:space="preserve"> by using our online feedback option (</t>
    </r>
    <r>
      <rPr>
        <u/>
        <sz val="12"/>
        <color rgb="FF000000"/>
        <rFont val="Times New Roman"/>
      </rPr>
      <t>www.ifw-kiel.de/feedback-ust</t>
    </r>
    <r>
      <rPr>
        <sz val="12"/>
        <color rgb="FF000000"/>
        <rFont val="Times New Roman"/>
      </rPr>
      <t>).</t>
    </r>
  </si>
  <si>
    <t>Release 12 (until May 31, 2023)</t>
  </si>
  <si>
    <t>Major new commitments</t>
  </si>
  <si>
    <r>
      <rPr>
        <u/>
        <sz val="12"/>
        <color rgb="FF000000"/>
        <rFont val="Times New Roman"/>
      </rPr>
      <t xml:space="preserve">Austria </t>
    </r>
    <r>
      <rPr>
        <sz val="12"/>
        <color rgb="FF000000"/>
        <rFont val="Times New Roman"/>
      </rPr>
      <t>committed around €100 million for humanitarian aid. This increases Austria's financial aid by 15%.</t>
    </r>
  </si>
  <si>
    <r>
      <rPr>
        <u/>
        <sz val="12"/>
        <color rgb="FF000000"/>
        <rFont val="Times New Roman"/>
      </rPr>
      <t xml:space="preserve">Canada </t>
    </r>
    <r>
      <rPr>
        <sz val="12"/>
        <color rgb="FF000000"/>
        <rFont val="Times New Roman"/>
      </rPr>
      <t>committed a €1.6 billion loan increasing its financial aid by 91%.</t>
    </r>
  </si>
  <si>
    <r>
      <rPr>
        <sz val="12"/>
        <color rgb="FF000000"/>
        <rFont val="Times New Roman"/>
      </rPr>
      <t xml:space="preserve">The </t>
    </r>
    <r>
      <rPr>
        <u/>
        <sz val="12"/>
        <color rgb="FF000000"/>
        <rFont val="Times New Roman"/>
      </rPr>
      <t>Czech Republic</t>
    </r>
    <r>
      <rPr>
        <sz val="12"/>
        <color rgb="FF000000"/>
        <rFont val="Times New Roman"/>
      </rPr>
      <t xml:space="preserve"> commits a new military aid package worth €29 million as well as 2 2K12 KUB SAM systems, worth €46 million. Czech military aid in total does not substantially increase due to corrections reported below.</t>
    </r>
  </si>
  <si>
    <r>
      <rPr>
        <u/>
        <sz val="12"/>
        <color rgb="FF000000"/>
        <rFont val="Times New Roman"/>
      </rPr>
      <t xml:space="preserve">Denmark </t>
    </r>
    <r>
      <rPr>
        <sz val="12"/>
        <color rgb="FF000000"/>
        <rFont val="Times New Roman"/>
      </rPr>
      <t xml:space="preserve">pledges the Ukraine Fund, a multi-year support program that intends to support Ukraine until 2028 with military and humanitarian aid worth DKK21.9 billion (approximately €3 billion). </t>
    </r>
  </si>
  <si>
    <r>
      <rPr>
        <sz val="12"/>
        <color rgb="FF000000"/>
        <rFont val="Times New Roman"/>
      </rPr>
      <t xml:space="preserve">Military aid worth approximately €1 billion will be provided in 2023 (+175%). Equally, </t>
    </r>
    <r>
      <rPr>
        <u/>
        <sz val="12"/>
        <color rgb="FF000000"/>
        <rFont val="Times New Roman"/>
      </rPr>
      <t xml:space="preserve">Denmark </t>
    </r>
    <r>
      <rPr>
        <sz val="12"/>
        <color rgb="FF000000"/>
        <rFont val="Times New Roman"/>
      </rPr>
      <t>will provide Ukraine with humanitarian aid worth €134 million in 2023.</t>
    </r>
  </si>
  <si>
    <r>
      <t xml:space="preserve">The </t>
    </r>
    <r>
      <rPr>
        <u/>
        <sz val="12"/>
        <color rgb="FF000000"/>
        <rFont val="Times New Roman"/>
      </rPr>
      <t>EU</t>
    </r>
    <r>
      <rPr>
        <sz val="12"/>
        <color rgb="FF000000"/>
        <rFont val="Times New Roman"/>
        <family val="1"/>
      </rPr>
      <t xml:space="preserve"> </t>
    </r>
    <r>
      <rPr>
        <sz val="12"/>
        <color rgb="FF000000"/>
        <rFont val="Times New Roman"/>
      </rPr>
      <t xml:space="preserve">announced new contributions under the </t>
    </r>
    <r>
      <rPr>
        <u/>
        <sz val="12"/>
        <color rgb="FF000000"/>
        <rFont val="Times New Roman"/>
        <family val="1"/>
      </rPr>
      <t>European Peace Facility (EPF)</t>
    </r>
    <r>
      <rPr>
        <sz val="12"/>
        <color rgb="FF000000"/>
        <rFont val="Times New Roman"/>
      </rPr>
      <t>, increasing its military aid by 55% with an additional €2 billion.</t>
    </r>
  </si>
  <si>
    <r>
      <t>Finland</t>
    </r>
    <r>
      <rPr>
        <sz val="12"/>
        <color rgb="FF000000"/>
        <rFont val="Times New Roman"/>
        <family val="1"/>
      </rPr>
      <t xml:space="preserve"> pledges additional military support worth a total of €348 million in 3 military packages. This increases the Finnish military commitments by 46%. </t>
    </r>
  </si>
  <si>
    <t> </t>
  </si>
  <si>
    <r>
      <rPr>
        <u/>
        <sz val="12"/>
        <color rgb="FF000000"/>
        <rFont val="Times New Roman"/>
      </rPr>
      <t>Germany</t>
    </r>
    <r>
      <rPr>
        <sz val="12"/>
        <color rgb="FF000000"/>
        <rFont val="Times New Roman"/>
      </rPr>
      <t xml:space="preserve"> increases the amount made available for the "Ertüchtigungsinitiative" to finance Ukrainian weapon purchases to €5.12 billion in 2023. German military aid increases by 76% to €7.5 billion.</t>
    </r>
  </si>
  <si>
    <r>
      <rPr>
        <sz val="12"/>
        <color rgb="FF000000"/>
        <rFont val="Times New Roman"/>
      </rPr>
      <t xml:space="preserve">Financed through the "Ertüchtigungsinitiative", </t>
    </r>
    <r>
      <rPr>
        <u/>
        <sz val="12"/>
        <color rgb="FF000000"/>
        <rFont val="Times New Roman"/>
      </rPr>
      <t>Germany</t>
    </r>
    <r>
      <rPr>
        <sz val="12"/>
        <color rgb="FF000000"/>
        <rFont val="Times New Roman"/>
      </rPr>
      <t xml:space="preserve"> commits additional weapons, including 37 Leopard-1A5 battle tanks (a collaboration between Germany, Denmark and the Netherlands over 110 Leopard 1A5), 10 additional BIBER bridge-laying tanks, 4 additional Iris-T SLM air defence systems, 12 Iris-T SLS air defence batteries, 20 additional MARDER infantry fighting vehicles, 15 additional Gepard rapid-fire armored vehicles, 10 unmanned surface vessels and 66 Armored personal carriers.</t>
    </r>
  </si>
  <si>
    <r>
      <rPr>
        <u/>
        <sz val="12"/>
        <color rgb="FF000000"/>
        <rFont val="Times New Roman"/>
      </rPr>
      <t>Germany</t>
    </r>
    <r>
      <rPr>
        <sz val="12"/>
        <color rgb="FF000000"/>
        <rFont val="Times New Roman"/>
      </rPr>
      <t xml:space="preserve"> pledges two addtitional humanitarian aid packages worth €25 million and €111 million. Total German humanitarian aid increases by 8% to €1.88 billion.</t>
    </r>
  </si>
  <si>
    <r>
      <rPr>
        <u/>
        <sz val="12"/>
        <color rgb="FF000000"/>
        <rFont val="Times New Roman"/>
      </rPr>
      <t>Italy</t>
    </r>
    <r>
      <rPr>
        <sz val="12"/>
        <color rgb="FF000000"/>
        <rFont val="Times New Roman"/>
      </rPr>
      <t xml:space="preserve"> pledges an additional financial package worth €100 million. This increases the Italian financial aid by +32%.</t>
    </r>
  </si>
  <si>
    <r>
      <rPr>
        <u/>
        <sz val="12"/>
        <color rgb="FF000000"/>
        <rFont val="Times New Roman"/>
      </rPr>
      <t>Italy</t>
    </r>
    <r>
      <rPr>
        <sz val="12"/>
        <color rgb="FF000000"/>
        <rFont val="Times New Roman"/>
      </rPr>
      <t xml:space="preserve"> pledges an additional humanitarian package worth €170 million. This increases the Italian humanitarian aid by +330%.</t>
    </r>
  </si>
  <si>
    <r>
      <rPr>
        <u/>
        <sz val="12"/>
        <color rgb="FF000000"/>
        <rFont val="Times New Roman"/>
      </rPr>
      <t>Japan</t>
    </r>
    <r>
      <rPr>
        <sz val="12"/>
        <color rgb="FF000000"/>
        <rFont val="Times New Roman"/>
      </rPr>
      <t xml:space="preserve"> pledges humanitarian aid in form of additional grants worth €435 million. This increases the Japanese humanitarian aid by 76%. </t>
    </r>
  </si>
  <si>
    <r>
      <rPr>
        <u/>
        <sz val="12"/>
        <color rgb="FF000000"/>
        <rFont val="Times New Roman"/>
      </rPr>
      <t xml:space="preserve">Latvia </t>
    </r>
    <r>
      <rPr>
        <sz val="12"/>
        <color rgb="FF000000"/>
        <rFont val="Times New Roman"/>
      </rPr>
      <t>committed a €5 million loan. This translates to a 33% increase in Latvian financial aid.</t>
    </r>
  </si>
  <si>
    <r>
      <rPr>
        <u/>
        <sz val="12"/>
        <color rgb="FF000000"/>
        <rFont val="Times New Roman"/>
      </rPr>
      <t xml:space="preserve">Lithuania </t>
    </r>
    <r>
      <rPr>
        <sz val="12"/>
        <color rgb="FF000000"/>
        <rFont val="Times New Roman"/>
      </rPr>
      <t>committed a €10 million grant. A 50% increase in Lithuania's financial aid.</t>
    </r>
  </si>
  <si>
    <r>
      <rPr>
        <u/>
        <sz val="12"/>
        <color rgb="FF000000"/>
        <rFont val="Times New Roman"/>
      </rPr>
      <t xml:space="preserve">Lithuania </t>
    </r>
    <r>
      <rPr>
        <sz val="12"/>
        <color rgb="FF000000"/>
        <rFont val="Times New Roman"/>
      </rPr>
      <t>announced two additional military aid packages worth in total €86 million (+21%).</t>
    </r>
  </si>
  <si>
    <r>
      <rPr>
        <u/>
        <sz val="12"/>
        <color rgb="FF000000"/>
        <rFont val="Times New Roman"/>
      </rPr>
      <t>New Zealand</t>
    </r>
    <r>
      <rPr>
        <sz val="12"/>
        <color rgb="FF000000"/>
        <rFont val="Times New Roman"/>
      </rPr>
      <t xml:space="preserve"> pledges new humanitarian aid worth €2 million. This increases New Zealand's humanitarian aid by 45%. </t>
    </r>
  </si>
  <si>
    <r>
      <rPr>
        <u/>
        <sz val="12"/>
        <color rgb="FF000000"/>
        <rFont val="Times New Roman"/>
      </rPr>
      <t>Poland</t>
    </r>
    <r>
      <rPr>
        <sz val="12"/>
        <color rgb="FF000000"/>
        <rFont val="Times New Roman"/>
        <family val="1"/>
      </rPr>
      <t xml:space="preserve"> </t>
    </r>
    <r>
      <rPr>
        <sz val="12"/>
        <color rgb="FF000000"/>
        <rFont val="Times New Roman"/>
      </rPr>
      <t xml:space="preserve">pledges two new additional military aid packages worth a total of €581 million. This commitment also includes 14 MiG-29 fighter jets. This increases Polish military aid by 24%. </t>
    </r>
  </si>
  <si>
    <r>
      <rPr>
        <u/>
        <sz val="12"/>
        <color rgb="FF000000"/>
        <rFont val="Times New Roman"/>
      </rPr>
      <t>Romania</t>
    </r>
    <r>
      <rPr>
        <sz val="12"/>
        <color rgb="FF000000"/>
        <rFont val="Times New Roman"/>
      </rPr>
      <t xml:space="preserve"> pledges an additional humanitarian package worth €115 million. This increases the Romanian humanitarian aid by 1500%.</t>
    </r>
  </si>
  <si>
    <r>
      <rPr>
        <u/>
        <sz val="12"/>
        <color rgb="FF000000"/>
        <rFont val="Times New Roman"/>
      </rPr>
      <t>Slovakia</t>
    </r>
    <r>
      <rPr>
        <sz val="12"/>
        <color rgb="FF000000"/>
        <rFont val="Times New Roman"/>
      </rPr>
      <t xml:space="preserve"> commits 13 MiG-29 jets and is, together with Poland, the first country to commit combat aircraft. The package also inlcudes 2 2K12 KUB SAM systems and is worth €191 million. Slovakian military aid in total increases by 214% to €668 million.</t>
    </r>
  </si>
  <si>
    <r>
      <rPr>
        <u/>
        <sz val="12"/>
        <color rgb="FF000000"/>
        <rFont val="Times New Roman"/>
      </rPr>
      <t>South Korea</t>
    </r>
    <r>
      <rPr>
        <sz val="12"/>
        <color rgb="FF000000"/>
        <rFont val="Times New Roman"/>
      </rPr>
      <t xml:space="preserve"> pledges financial aid for the first time since the war started. This includes a €121 million grant and more than €7 billion in concessional loans over the next years, starting with €278 million in 2023.</t>
    </r>
  </si>
  <si>
    <r>
      <rPr>
        <u/>
        <sz val="12"/>
        <color rgb="FF000000"/>
        <rFont val="Times New Roman"/>
      </rPr>
      <t xml:space="preserve">Spain </t>
    </r>
    <r>
      <rPr>
        <sz val="12"/>
        <color rgb="FF000000"/>
        <rFont val="Times New Roman"/>
      </rPr>
      <t>committed a €100 million guarantee. Thus increasing Spain's financial aid by 28%.</t>
    </r>
  </si>
  <si>
    <r>
      <t>Sweden</t>
    </r>
    <r>
      <rPr>
        <sz val="12"/>
        <color rgb="FF000000"/>
        <rFont val="Times New Roman"/>
        <family val="1"/>
      </rPr>
      <t xml:space="preserve"> pledges an additional military aid budget for Ukraine for 2023 which totals almost SEK 6.5 billion (~€560 million). This budget will cover preexisting pledges from January like Archer and Leopard-2 heavy weapons. </t>
    </r>
  </si>
  <si>
    <r>
      <rPr>
        <sz val="12"/>
        <color rgb="FF000000"/>
        <rFont val="Times New Roman"/>
      </rPr>
      <t xml:space="preserve">The net increase of </t>
    </r>
    <r>
      <rPr>
        <u/>
        <sz val="12"/>
        <color rgb="FF000000"/>
        <rFont val="Times New Roman"/>
      </rPr>
      <t xml:space="preserve">Swedish </t>
    </r>
    <r>
      <rPr>
        <sz val="12"/>
        <color rgb="FF000000"/>
        <rFont val="Times New Roman"/>
      </rPr>
      <t>military aid through this pledge is €270 million (+22%).</t>
    </r>
  </si>
  <si>
    <r>
      <rPr>
        <sz val="12"/>
        <color rgb="FF000000"/>
        <rFont val="Times New Roman"/>
      </rPr>
      <t xml:space="preserve">The </t>
    </r>
    <r>
      <rPr>
        <u/>
        <sz val="12"/>
        <color rgb="FF000000"/>
        <rFont val="Times New Roman"/>
      </rPr>
      <t>United Kingdom</t>
    </r>
    <r>
      <rPr>
        <sz val="12"/>
        <color rgb="FF000000"/>
        <rFont val="Times New Roman"/>
      </rPr>
      <t xml:space="preserve"> committed a €920 million (+31%) guarantee.</t>
    </r>
  </si>
  <si>
    <t>Major corrections</t>
  </si>
  <si>
    <r>
      <rPr>
        <u/>
        <sz val="12"/>
        <color rgb="FF000000"/>
        <rFont val="Times New Roman"/>
      </rPr>
      <t>BEH4</t>
    </r>
    <r>
      <rPr>
        <sz val="12"/>
        <color rgb="FF000000"/>
        <rFont val="Times New Roman"/>
      </rPr>
      <t xml:space="preserve">: Due to new information, </t>
    </r>
    <r>
      <rPr>
        <u/>
        <sz val="12"/>
        <color rgb="FF000000"/>
        <rFont val="Times New Roman"/>
      </rPr>
      <t xml:space="preserve">Belgian </t>
    </r>
    <r>
      <rPr>
        <sz val="12"/>
        <color rgb="FF000000"/>
        <rFont val="Times New Roman"/>
      </rPr>
      <t>humanitarian aid in 2022 was decreased to €60 million instead of €90 million (33% decrease).</t>
    </r>
  </si>
  <si>
    <r>
      <rPr>
        <u/>
        <sz val="12"/>
        <color rgb="FF000000"/>
        <rFont val="Times New Roman"/>
      </rPr>
      <t>CHH4:</t>
    </r>
    <r>
      <rPr>
        <sz val="12"/>
        <color rgb="FF000000"/>
        <rFont val="Times New Roman"/>
      </rPr>
      <t xml:space="preserve"> Due to new information, </t>
    </r>
    <r>
      <rPr>
        <u/>
        <sz val="12"/>
        <color rgb="FF000000"/>
        <rFont val="Times New Roman"/>
      </rPr>
      <t xml:space="preserve">Switzerland </t>
    </r>
    <r>
      <rPr>
        <sz val="12"/>
        <color rgb="FF000000"/>
        <rFont val="Times New Roman"/>
      </rPr>
      <t>committed additional €46 million humanitarian assistance through the Swiss international cooperation programme in Ukraine. Total Swiss humanitarian aid increases by 19% to €352 million.</t>
    </r>
  </si>
  <si>
    <r>
      <rPr>
        <u/>
        <sz val="12"/>
        <color rgb="FF000000"/>
        <rFont val="Times New Roman"/>
      </rPr>
      <t>CHF3:</t>
    </r>
    <r>
      <rPr>
        <sz val="12"/>
        <color rgb="FF000000"/>
        <rFont val="Times New Roman"/>
      </rPr>
      <t xml:space="preserve"> </t>
    </r>
    <r>
      <rPr>
        <u/>
        <sz val="12"/>
        <color rgb="FF000000"/>
        <rFont val="Times New Roman"/>
      </rPr>
      <t xml:space="preserve">Switzerland </t>
    </r>
    <r>
      <rPr>
        <sz val="12"/>
        <color rgb="FF000000"/>
        <rFont val="Times New Roman"/>
      </rPr>
      <t>planned to provide guarantuees for Ukrainian refugees in Switzerland. Since this money does not go to Ukraine, CHF3 is deleted. Swiss financial aid decreases by 34% to €38 million.</t>
    </r>
  </si>
  <si>
    <r>
      <rPr>
        <u/>
        <sz val="12"/>
        <color rgb="FF000000"/>
        <rFont val="Times New Roman"/>
      </rPr>
      <t>CZM17, CZM23:</t>
    </r>
    <r>
      <rPr>
        <sz val="12"/>
        <color rgb="FF000000"/>
        <rFont val="Times New Roman"/>
      </rPr>
      <t xml:space="preserve"> Due to a benchmark calculation error we delete CZM17 which accounted for €76 million. A new benchmark calculation in CZM23 shows that our values ​​are in line with those indicated by the </t>
    </r>
    <r>
      <rPr>
        <u/>
        <sz val="12"/>
        <color rgb="FF000000"/>
        <rFont val="Times New Roman"/>
      </rPr>
      <t xml:space="preserve">Czech </t>
    </r>
    <r>
      <rPr>
        <sz val="12"/>
        <color rgb="FF000000"/>
        <rFont val="Times New Roman"/>
      </rPr>
      <t>government. Czech military aid in total does not substantially decrease due to new commitments reported above.</t>
    </r>
  </si>
  <si>
    <r>
      <rPr>
        <u/>
        <sz val="12"/>
        <color rgb="FF000000"/>
        <rFont val="Times New Roman"/>
      </rPr>
      <t>EEH2:</t>
    </r>
    <r>
      <rPr>
        <sz val="12"/>
        <color rgb="FF000000"/>
        <rFont val="Times New Roman"/>
      </rPr>
      <t xml:space="preserve"> Due to new information, </t>
    </r>
    <r>
      <rPr>
        <u/>
        <sz val="12"/>
        <color rgb="FF000000"/>
        <rFont val="Times New Roman"/>
      </rPr>
      <t>Estonia</t>
    </r>
    <r>
      <rPr>
        <sz val="12"/>
        <color rgb="FF000000"/>
        <rFont val="Times New Roman"/>
      </rPr>
      <t>'s allocation for reconstruction in Ukraine totals €6 million, instead of the previously belived €2.9 million. This increases Estonia's humanitarian aid by €3.1 million (+48%).</t>
    </r>
  </si>
  <si>
    <r>
      <rPr>
        <u/>
        <sz val="12"/>
        <color rgb="FF000000"/>
        <rFont val="Times New Roman"/>
      </rPr>
      <t>EEM9</t>
    </r>
    <r>
      <rPr>
        <sz val="12"/>
        <color rgb="FF000000"/>
        <rFont val="Times New Roman"/>
      </rPr>
      <t xml:space="preserve">: Due to a coding error, this entry was not counted for the </t>
    </r>
    <r>
      <rPr>
        <u/>
        <sz val="12"/>
        <color rgb="FF000000"/>
        <rFont val="Times New Roman"/>
      </rPr>
      <t xml:space="preserve">Estonian </t>
    </r>
    <r>
      <rPr>
        <sz val="12"/>
        <color rgb="FF000000"/>
        <rFont val="Times New Roman"/>
      </rPr>
      <t>military aid. We corrected the mistake, which increases Estonian aid pledges by €130 million.</t>
    </r>
  </si>
  <si>
    <r>
      <rPr>
        <u/>
        <sz val="12"/>
        <color rgb="FF000000"/>
        <rFont val="Times New Roman"/>
      </rPr>
      <t>EUF3</t>
    </r>
    <r>
      <rPr>
        <sz val="12"/>
        <color rgb="FF000000"/>
        <rFont val="Times New Roman"/>
      </rPr>
      <t>: Due to passing the one year mark since its announcement, the undisbursed portions of the Macro-Financial Assistance from the up to €9 billion package from early 2022 has been corrected for since these can no longer be disbursed and no longer constitute a commitment to Ukraine.</t>
    </r>
  </si>
  <si>
    <t>Since, in total, €7.2 billion were disbursed in 2022, this decreases the EUs financial commitment by €3 billion (-9.9%).</t>
  </si>
  <si>
    <r>
      <rPr>
        <u/>
        <sz val="12"/>
        <color rgb="FF000000"/>
        <rFont val="Times New Roman"/>
      </rPr>
      <t>EUF3:</t>
    </r>
    <r>
      <rPr>
        <sz val="12"/>
        <color rgb="FF000000"/>
        <rFont val="Times New Roman"/>
      </rPr>
      <t xml:space="preserve"> Due to new information, the size of additional Macro-Financial Assistance recorded in our dataset decreased from €9 billion to €6 billion. </t>
    </r>
  </si>
  <si>
    <r>
      <rPr>
        <u/>
        <sz val="12"/>
        <color rgb="FF000000"/>
        <rFont val="Times New Roman"/>
      </rPr>
      <t>HRH7</t>
    </r>
    <r>
      <rPr>
        <sz val="12"/>
        <color rgb="FF000000"/>
        <rFont val="Times New Roman"/>
      </rPr>
      <t xml:space="preserve">: Due to new information, the total amount of </t>
    </r>
    <r>
      <rPr>
        <u/>
        <sz val="12"/>
        <color rgb="FF000000"/>
        <rFont val="Times New Roman"/>
      </rPr>
      <t xml:space="preserve">Croatian </t>
    </r>
    <r>
      <rPr>
        <sz val="12"/>
        <color rgb="FF000000"/>
        <rFont val="Times New Roman"/>
      </rPr>
      <t>humanitarian aid increased from €7.4 million to €37.2 million, an increase of 400%.</t>
    </r>
  </si>
  <si>
    <r>
      <rPr>
        <u/>
        <sz val="12"/>
        <color rgb="FF000000"/>
        <rFont val="Times New Roman"/>
      </rPr>
      <t>HRM6</t>
    </r>
    <r>
      <rPr>
        <sz val="12"/>
        <color rgb="FF000000"/>
        <rFont val="Times New Roman"/>
      </rPr>
      <t xml:space="preserve">: Due to new information, the total amount of </t>
    </r>
    <r>
      <rPr>
        <u/>
        <sz val="12"/>
        <color rgb="FF000000"/>
        <rFont val="Times New Roman"/>
      </rPr>
      <t xml:space="preserve">Croatian </t>
    </r>
    <r>
      <rPr>
        <sz val="12"/>
        <color rgb="FF000000"/>
        <rFont val="Times New Roman"/>
      </rPr>
      <t>military aid increased from €123 million to €153 million, an increase of 24%.</t>
    </r>
  </si>
  <si>
    <r>
      <rPr>
        <u/>
        <sz val="12"/>
        <color rgb="FF000000"/>
        <rFont val="Times New Roman"/>
      </rPr>
      <t>IEH7:</t>
    </r>
    <r>
      <rPr>
        <sz val="12"/>
        <color rgb="FF000000"/>
        <rFont val="Times New Roman"/>
      </rPr>
      <t xml:space="preserve"> </t>
    </r>
    <r>
      <rPr>
        <u/>
        <sz val="12"/>
        <color rgb="FF000000"/>
        <rFont val="Times New Roman"/>
      </rPr>
      <t xml:space="preserve">Ireland </t>
    </r>
    <r>
      <rPr>
        <sz val="12"/>
        <color rgb="FF000000"/>
        <rFont val="Times New Roman"/>
      </rPr>
      <t>received €53 million from the REACT-EU fund to support Ukrainian refugees in Ireland. Since this money does neither come from Ireland nor go to Ukraine, we delete IEH7.</t>
    </r>
  </si>
  <si>
    <r>
      <rPr>
        <u/>
        <sz val="12"/>
        <color rgb="FF000000"/>
        <rFont val="Times New Roman"/>
      </rPr>
      <t>IEH9:</t>
    </r>
    <r>
      <rPr>
        <sz val="12"/>
        <color rgb="FF000000"/>
        <rFont val="Times New Roman"/>
      </rPr>
      <t xml:space="preserve"> </t>
    </r>
    <r>
      <rPr>
        <u/>
        <sz val="12"/>
        <color rgb="FF000000"/>
        <rFont val="Times New Roman"/>
      </rPr>
      <t xml:space="preserve">Ireland </t>
    </r>
    <r>
      <rPr>
        <sz val="12"/>
        <color rgb="FF000000"/>
        <rFont val="Times New Roman"/>
      </rPr>
      <t>announced to provide €75 million in the 2023 budget to address humanitarian and other needs in Ukraine, neighbouring countries and the global response to the crisis. This includes maximum €32 million of direct support to Ukraine. Therefore, IEH9 is decreased from €75 million to €32 million. The total value of Irish humanitarian commitments decreases by 57% to €62 million.</t>
    </r>
  </si>
  <si>
    <r>
      <rPr>
        <u/>
        <sz val="12"/>
        <color rgb="FF000000"/>
        <rFont val="Times New Roman"/>
      </rPr>
      <t>PTH3</t>
    </r>
    <r>
      <rPr>
        <sz val="12"/>
        <color rgb="FF000000"/>
        <rFont val="Times New Roman"/>
      </rPr>
      <t xml:space="preserve">: Due to a new evaluation, we decrease the amount of LED lights </t>
    </r>
    <r>
      <rPr>
        <u/>
        <sz val="12"/>
        <color rgb="FF000000"/>
        <rFont val="Times New Roman"/>
      </rPr>
      <t xml:space="preserve">Portugal </t>
    </r>
    <r>
      <rPr>
        <sz val="12"/>
        <color rgb="FF000000"/>
        <rFont val="Times New Roman"/>
      </rPr>
      <t xml:space="preserve">has committed to Ukraine from 50 million to an undisclosed amount as the sources state the Portugese government is only considering supplying them. </t>
    </r>
  </si>
  <si>
    <r>
      <rPr>
        <sz val="12"/>
        <color rgb="FF000000"/>
        <rFont val="Times New Roman"/>
      </rPr>
      <t xml:space="preserve">This decreases the </t>
    </r>
    <r>
      <rPr>
        <u/>
        <sz val="12"/>
        <color rgb="FF000000"/>
        <rFont val="Times New Roman"/>
      </rPr>
      <t xml:space="preserve">Portugese </t>
    </r>
    <r>
      <rPr>
        <sz val="12"/>
        <color rgb="FF000000"/>
        <rFont val="Times New Roman"/>
      </rPr>
      <t>humanitarian aid by €162 million (-99%).</t>
    </r>
  </si>
  <si>
    <r>
      <t>SEF5</t>
    </r>
    <r>
      <rPr>
        <sz val="12"/>
        <color rgb="FF000000"/>
        <rFont val="Times New Roman"/>
        <family val="1"/>
      </rPr>
      <t xml:space="preserve">: Due to new information from the </t>
    </r>
    <r>
      <rPr>
        <u/>
        <sz val="12"/>
        <color rgb="FF000000"/>
        <rFont val="Times New Roman"/>
        <family val="1"/>
      </rPr>
      <t>Swedish</t>
    </r>
    <r>
      <rPr>
        <sz val="12"/>
        <color rgb="FF000000"/>
        <rFont val="Times New Roman"/>
        <family val="1"/>
      </rPr>
      <t xml:space="preserve"> Government, is it now clear that Sweden committed additional SEK 600 million (~€57 million) in December 2022 as financial aid trough the World Bank.</t>
    </r>
  </si>
  <si>
    <t>Major deliveries</t>
  </si>
  <si>
    <r>
      <rPr>
        <u/>
        <sz val="12"/>
        <color rgb="FF000000"/>
        <rFont val="Times New Roman"/>
      </rPr>
      <t xml:space="preserve">Canada </t>
    </r>
    <r>
      <rPr>
        <sz val="12"/>
        <color rgb="FF000000"/>
        <rFont val="Times New Roman"/>
      </rPr>
      <t xml:space="preserve">delivers 8 Leopard-2A4 tanks </t>
    </r>
  </si>
  <si>
    <r>
      <rPr>
        <u/>
        <sz val="12"/>
        <color rgb="FF000000"/>
        <rFont val="Times New Roman"/>
      </rPr>
      <t>Croatia</t>
    </r>
    <r>
      <rPr>
        <sz val="12"/>
        <color rgb="FF000000"/>
        <rFont val="Times New Roman"/>
      </rPr>
      <t xml:space="preserve"> delivered 9 Mi-8 helicopters. </t>
    </r>
  </si>
  <si>
    <r>
      <rPr>
        <u/>
        <sz val="12"/>
        <color rgb="FF000000"/>
        <rFont val="Times New Roman"/>
      </rPr>
      <t>Estonia</t>
    </r>
    <r>
      <rPr>
        <sz val="12"/>
        <color rgb="FF000000"/>
        <rFont val="Times New Roman"/>
      </rPr>
      <t xml:space="preserve">, </t>
    </r>
    <r>
      <rPr>
        <u/>
        <sz val="12"/>
        <color rgb="FF000000"/>
        <rFont val="Times New Roman"/>
      </rPr>
      <t>Norway</t>
    </r>
    <r>
      <rPr>
        <sz val="12"/>
        <color rgb="FF000000"/>
        <rFont val="Times New Roman"/>
      </rPr>
      <t xml:space="preserve">, and the </t>
    </r>
    <r>
      <rPr>
        <u/>
        <sz val="12"/>
        <color rgb="FF000000"/>
        <rFont val="Times New Roman"/>
      </rPr>
      <t>Netherlands</t>
    </r>
    <r>
      <rPr>
        <sz val="12"/>
        <color rgb="FF000000"/>
        <rFont val="Times New Roman"/>
      </rPr>
      <t xml:space="preserve"> donated a military field hospital as a collaborative effort. </t>
    </r>
  </si>
  <si>
    <r>
      <rPr>
        <u/>
        <sz val="12"/>
        <color rgb="FF000000"/>
        <rFont val="Times New Roman"/>
      </rPr>
      <t>Germany</t>
    </r>
    <r>
      <rPr>
        <sz val="12"/>
        <color rgb="FF000000"/>
        <rFont val="Times New Roman"/>
      </rPr>
      <t xml:space="preserve"> delivers 1 Iris-T SLM air defence system, 2 Gepard rapid-fire armored vehicles, 40 MARDER infantry fighting vehicles, 1 Patriot air defense battery and 18 Leopard-2A6 battle tanks.</t>
    </r>
  </si>
  <si>
    <r>
      <rPr>
        <u/>
        <sz val="12"/>
        <color rgb="FF000000"/>
        <rFont val="Times New Roman"/>
      </rPr>
      <t>Italy</t>
    </r>
    <r>
      <rPr>
        <sz val="12"/>
        <color rgb="FF000000"/>
        <rFont val="Times New Roman"/>
      </rPr>
      <t xml:space="preserve"> delivered 30 M109 howitzers. </t>
    </r>
  </si>
  <si>
    <r>
      <rPr>
        <u/>
        <sz val="12"/>
        <color rgb="FF000000"/>
        <rFont val="Times New Roman"/>
      </rPr>
      <t>Italy</t>
    </r>
    <r>
      <rPr>
        <sz val="12"/>
        <color rgb="FF000000"/>
        <rFont val="Times New Roman"/>
      </rPr>
      <t xml:space="preserve"> and </t>
    </r>
    <r>
      <rPr>
        <u/>
        <sz val="12"/>
        <color rgb="FF000000"/>
        <rFont val="Times New Roman"/>
      </rPr>
      <t>France</t>
    </r>
    <r>
      <rPr>
        <sz val="12"/>
        <color rgb="FF000000"/>
        <rFont val="Times New Roman"/>
      </rPr>
      <t xml:space="preserve"> delivered 1 SAMP-T anti-air missile defense system. </t>
    </r>
  </si>
  <si>
    <r>
      <rPr>
        <u/>
        <sz val="12"/>
        <color rgb="FF000000"/>
        <rFont val="Times New Roman"/>
      </rPr>
      <t>Portugal</t>
    </r>
    <r>
      <rPr>
        <sz val="12"/>
        <color rgb="FF000000"/>
        <rFont val="Times New Roman"/>
      </rPr>
      <t xml:space="preserve"> delivers 3 Leopard-2A6 tanks. </t>
    </r>
  </si>
  <si>
    <r>
      <rPr>
        <u/>
        <sz val="12"/>
        <color rgb="FF000000"/>
        <rFont val="Times New Roman"/>
      </rPr>
      <t>Slovakia</t>
    </r>
    <r>
      <rPr>
        <sz val="12"/>
        <color rgb="FF000000"/>
        <rFont val="Times New Roman"/>
      </rPr>
      <t xml:space="preserve"> delivers the 13 MiG-29 jets and 2 2K12 KUB SAM systems committed above.</t>
    </r>
  </si>
  <si>
    <t>General Dataset improvements</t>
  </si>
  <si>
    <r>
      <rPr>
        <sz val="12"/>
        <color rgb="FF000000"/>
        <rFont val="Times New Roman"/>
      </rPr>
      <t xml:space="preserve">We added </t>
    </r>
    <r>
      <rPr>
        <u/>
        <sz val="12"/>
        <color rgb="FF000000"/>
        <rFont val="Times New Roman"/>
      </rPr>
      <t>Iceland</t>
    </r>
    <r>
      <rPr>
        <sz val="12"/>
        <color rgb="FF000000"/>
        <rFont val="Times New Roman"/>
      </rPr>
      <t xml:space="preserve"> to the dataset. The country is a non-EU NATO member and provides highly transparent data on its governmental website. Iceland committed € 9.1 million in military, € 11 million in humanitarian and € 9.4 million in financial aid, summing up to € 29.6 million in total aid. This equals 0.13% of Iceland's GDP.</t>
    </r>
  </si>
  <si>
    <t>Release 11 (until February 24, 2023)</t>
  </si>
  <si>
    <r>
      <rPr>
        <u/>
        <sz val="12"/>
        <color rgb="FF000000"/>
        <rFont val="Times New Roman"/>
      </rPr>
      <t>CAF3</t>
    </r>
    <r>
      <rPr>
        <sz val="12"/>
        <color rgb="FF000000"/>
        <rFont val="Times New Roman"/>
      </rPr>
      <t xml:space="preserve">, </t>
    </r>
    <r>
      <rPr>
        <u/>
        <sz val="12"/>
        <color rgb="FF000000"/>
        <rFont val="Times New Roman"/>
      </rPr>
      <t>CAF4</t>
    </r>
    <r>
      <rPr>
        <sz val="12"/>
        <color rgb="FF000000"/>
        <rFont val="Times New Roman"/>
      </rPr>
      <t xml:space="preserve">: Due to new information, the amount of financial aid provided by </t>
    </r>
    <r>
      <rPr>
        <u/>
        <sz val="12"/>
        <color rgb="FF000000"/>
        <rFont val="Times New Roman"/>
      </rPr>
      <t xml:space="preserve">Canada </t>
    </r>
    <r>
      <rPr>
        <sz val="12"/>
        <color rgb="FF000000"/>
        <rFont val="Times New Roman"/>
      </rPr>
      <t>was decreased by CA$450 million (approximately €300 million).</t>
    </r>
  </si>
  <si>
    <r>
      <rPr>
        <u/>
        <sz val="12"/>
        <color rgb="FF000000"/>
        <rFont val="Times New Roman"/>
      </rPr>
      <t>CZM14</t>
    </r>
    <r>
      <rPr>
        <sz val="12"/>
        <color rgb="FF000000"/>
        <rFont val="Times New Roman"/>
      </rPr>
      <t xml:space="preserve">: Due to a coding error, the share of stock howitzers comitted and delivered by the </t>
    </r>
    <r>
      <rPr>
        <u/>
        <sz val="12"/>
        <color rgb="FF000000"/>
        <rFont val="Times New Roman"/>
      </rPr>
      <t>Czech Republic</t>
    </r>
    <r>
      <rPr>
        <sz val="12"/>
        <color rgb="FF000000"/>
        <rFont val="Times New Roman"/>
      </rPr>
      <t xml:space="preserve"> was incorrectly calculated. We corrected this mistake. This correction does not impact the sum of Czech aid commitments to Ukraine. </t>
    </r>
  </si>
  <si>
    <r>
      <rPr>
        <u/>
        <sz val="12"/>
        <color rgb="FF000000"/>
        <rFont val="Times New Roman"/>
      </rPr>
      <t>DEM1</t>
    </r>
    <r>
      <rPr>
        <sz val="12"/>
        <color rgb="FF000000"/>
        <rFont val="Times New Roman"/>
      </rPr>
      <t xml:space="preserve">, </t>
    </r>
    <r>
      <rPr>
        <u/>
        <sz val="12"/>
        <color rgb="FF000000"/>
        <rFont val="Times New Roman"/>
      </rPr>
      <t>DEM2</t>
    </r>
    <r>
      <rPr>
        <sz val="12"/>
        <color rgb="FF000000"/>
        <rFont val="Times New Roman"/>
      </rPr>
      <t xml:space="preserve">: We have restructured the </t>
    </r>
    <r>
      <rPr>
        <u/>
        <sz val="12"/>
        <color rgb="FF000000"/>
        <rFont val="Times New Roman"/>
      </rPr>
      <t xml:space="preserve">German </t>
    </r>
    <r>
      <rPr>
        <sz val="12"/>
        <color rgb="FF000000"/>
        <rFont val="Times New Roman"/>
      </rPr>
      <t>military aid from previously 6 entries into 2 entries. DEM1 now lists all the military aid committed via Ertüchtigungshilfe, DEM2 all military aid committed from Bundeswehr stocks.</t>
    </r>
  </si>
  <si>
    <t>Through this rework the entries are easier to understand, and allow to easier track the committed and delivered items from each package. The change does not impact the sum of German military commitments or their commitment date for aid over time analysis purposes.</t>
  </si>
  <si>
    <r>
      <rPr>
        <u/>
        <sz val="12"/>
        <color rgb="FF000000"/>
        <rFont val="Times New Roman"/>
      </rPr>
      <t>DEM2</t>
    </r>
    <r>
      <rPr>
        <sz val="12"/>
        <color rgb="FF000000"/>
        <rFont val="Times New Roman"/>
      </rPr>
      <t xml:space="preserve">: Until February 24, 2023, </t>
    </r>
    <r>
      <rPr>
        <u/>
        <sz val="12"/>
        <color rgb="FF000000"/>
        <rFont val="Times New Roman"/>
      </rPr>
      <t xml:space="preserve">Germany </t>
    </r>
    <r>
      <rPr>
        <sz val="12"/>
        <color rgb="FF000000"/>
        <rFont val="Times New Roman"/>
      </rPr>
      <t>committed 18 Leopard-2A6 tanks instead of 14. This increases the German Main Battle Tank commitments by 4 units, but does not increase the monetary value of German commitments to Ukraine.</t>
    </r>
  </si>
  <si>
    <r>
      <rPr>
        <u/>
        <sz val="12"/>
        <color rgb="FF000000"/>
        <rFont val="Times New Roman"/>
        <family val="1"/>
      </rPr>
      <t>FIM10</t>
    </r>
    <r>
      <rPr>
        <sz val="12"/>
        <color rgb="FF000000"/>
        <rFont val="Times New Roman"/>
      </rPr>
      <t xml:space="preserve">: The committed military item got incorrectly displayed as a Leopard 2 Main Battle Tank. This was corrected to Leopard-2R, a mine clearing tank, as stated in the sources for this donation. </t>
    </r>
  </si>
  <si>
    <r>
      <rPr>
        <sz val="12"/>
        <color rgb="FF000000"/>
        <rFont val="Times New Roman"/>
      </rPr>
      <t xml:space="preserve">This does not impact the sum of </t>
    </r>
    <r>
      <rPr>
        <u/>
        <sz val="12"/>
        <color rgb="FF000000"/>
        <rFont val="Times New Roman"/>
      </rPr>
      <t xml:space="preserve">Finnish </t>
    </r>
    <r>
      <rPr>
        <sz val="12"/>
        <color rgb="FF000000"/>
        <rFont val="Times New Roman"/>
      </rPr>
      <t>commitments, but reduces the amount of pledged Finnish Main Battle Tanks by 3 to 0.  (not yet corrected, price needed, correct item designation is Leopard-2R)</t>
    </r>
  </si>
  <si>
    <r>
      <rPr>
        <u/>
        <sz val="12"/>
        <color rgb="FF000000"/>
        <rFont val="Times New Roman"/>
      </rPr>
      <t>FRM1</t>
    </r>
    <r>
      <rPr>
        <sz val="12"/>
        <color rgb="FF000000"/>
        <rFont val="Times New Roman"/>
      </rPr>
      <t xml:space="preserve">, </t>
    </r>
    <r>
      <rPr>
        <u/>
        <sz val="12"/>
        <color rgb="FF000000"/>
        <rFont val="Times New Roman"/>
      </rPr>
      <t>FRM2</t>
    </r>
    <r>
      <rPr>
        <sz val="12"/>
        <color rgb="FF000000"/>
        <rFont val="Times New Roman"/>
      </rPr>
      <t xml:space="preserve">: Due to new information, the 12 CEASAR howitzers previously thought to have been an additional </t>
    </r>
    <r>
      <rPr>
        <u/>
        <sz val="12"/>
        <color rgb="FF000000"/>
        <rFont val="Times New Roman"/>
      </rPr>
      <t xml:space="preserve">French </t>
    </r>
    <r>
      <rPr>
        <sz val="12"/>
        <color rgb="FF000000"/>
        <rFont val="Times New Roman"/>
      </rPr>
      <t>commitment (FRM2), are now part of the €100 million package (FRM1). Both have been announced in April, and sources from late April indicate that previously classified additional material was in fact just a delivery of the announcement from early April. This decreases the French military commitment by €70 million.</t>
    </r>
  </si>
  <si>
    <r>
      <rPr>
        <u/>
        <sz val="12"/>
        <color rgb="FF000000"/>
        <rFont val="Times New Roman"/>
      </rPr>
      <t>FRM4</t>
    </r>
    <r>
      <rPr>
        <sz val="12"/>
        <color rgb="FF000000"/>
        <rFont val="Times New Roman"/>
      </rPr>
      <t xml:space="preserve">, </t>
    </r>
    <r>
      <rPr>
        <u/>
        <sz val="12"/>
        <color rgb="FF000000"/>
        <rFont val="Times New Roman"/>
      </rPr>
      <t>FRM6</t>
    </r>
    <r>
      <rPr>
        <sz val="12"/>
        <color rgb="FF000000"/>
        <rFont val="Times New Roman"/>
      </rPr>
      <t xml:space="preserve">: Due to new information, the aid package worth €100 million, announced at the Prague Summit, is now known to be part of the €200 million special defense fund that </t>
    </r>
    <r>
      <rPr>
        <u/>
        <sz val="12"/>
        <color rgb="FF000000"/>
        <rFont val="Times New Roman"/>
      </rPr>
      <t xml:space="preserve">France </t>
    </r>
    <r>
      <rPr>
        <sz val="12"/>
        <color rgb="FF000000"/>
        <rFont val="Times New Roman"/>
      </rPr>
      <t xml:space="preserve">has set up for Ukraine. This decreases the French military commitment by €100 million. </t>
    </r>
  </si>
  <si>
    <r>
      <rPr>
        <u/>
        <sz val="12"/>
        <color rgb="FF000000"/>
        <rFont val="Times New Roman"/>
      </rPr>
      <t>FRM8</t>
    </r>
    <r>
      <rPr>
        <sz val="12"/>
        <color rgb="FF000000"/>
        <rFont val="Times New Roman"/>
      </rPr>
      <t xml:space="preserve">: According to new information, the Groundmaster 200 radar (or GM 200 radar), which was previously thought to be a seperate commitment, has been financed by the €200 million </t>
    </r>
    <r>
      <rPr>
        <u/>
        <sz val="12"/>
        <color rgb="FF000000"/>
        <rFont val="Times New Roman"/>
      </rPr>
      <t xml:space="preserve">French </t>
    </r>
    <r>
      <rPr>
        <sz val="12"/>
        <color rgb="FF000000"/>
        <rFont val="Times New Roman"/>
      </rPr>
      <t xml:space="preserve">special defense fund. We therefore correct this entry to be no additional commitment, but part of the special defense fund entry (donation ID FRM4). This decreases the French military aid by €20 million. </t>
    </r>
  </si>
  <si>
    <r>
      <rPr>
        <u/>
        <sz val="12"/>
        <color rgb="FF000000"/>
        <rFont val="Times New Roman"/>
      </rPr>
      <t>FRM7</t>
    </r>
    <r>
      <rPr>
        <sz val="12"/>
        <color rgb="FF000000"/>
        <rFont val="Times New Roman"/>
      </rPr>
      <t xml:space="preserve">: Due to new information, the </t>
    </r>
    <r>
      <rPr>
        <u/>
        <sz val="12"/>
        <color rgb="FF000000"/>
        <rFont val="Times New Roman"/>
      </rPr>
      <t xml:space="preserve">French </t>
    </r>
    <r>
      <rPr>
        <sz val="12"/>
        <color rgb="FF000000"/>
        <rFont val="Times New Roman"/>
      </rPr>
      <t xml:space="preserve">contribution to the jointly with Italy procured SAMP/T air defense system has been added to the French military contribution. According to sources, France will provide the missiles for the system. Since the actual number of missiles provided is unknown, this does not change the French military aid to Ukraine. </t>
    </r>
  </si>
  <si>
    <r>
      <rPr>
        <u/>
        <sz val="12"/>
        <color rgb="FF000000"/>
        <rFont val="Times New Roman"/>
      </rPr>
      <t>IEH9</t>
    </r>
    <r>
      <rPr>
        <sz val="12"/>
        <color rgb="FF000000"/>
        <rFont val="Times New Roman"/>
      </rPr>
      <t xml:space="preserve">: Due to newly released information, it is now clear that €75 million in the </t>
    </r>
    <r>
      <rPr>
        <u/>
        <sz val="12"/>
        <color rgb="FF000000"/>
        <rFont val="Times New Roman"/>
      </rPr>
      <t xml:space="preserve">Irish </t>
    </r>
    <r>
      <rPr>
        <sz val="12"/>
        <color rgb="FF000000"/>
        <rFont val="Times New Roman"/>
      </rPr>
      <t>government budget for 2023 is earmarked for humanitarian aid for Ukraine. This increases the Irish aid by €75 million (+83%)</t>
    </r>
  </si>
  <si>
    <r>
      <rPr>
        <u/>
        <sz val="12"/>
        <color rgb="FF000000"/>
        <rFont val="Times New Roman"/>
      </rPr>
      <t>UKM11</t>
    </r>
    <r>
      <rPr>
        <sz val="12"/>
        <color rgb="FF000000"/>
        <rFont val="Times New Roman"/>
      </rPr>
      <t xml:space="preserve">: Due to new information, the 2 Sandown class mine hunters previosuly thought to be an additional commitment, were in fact part of an agreement between the </t>
    </r>
    <r>
      <rPr>
        <u/>
        <sz val="12"/>
        <color rgb="FF000000"/>
        <rFont val="Times New Roman"/>
      </rPr>
      <t>United Kingdom</t>
    </r>
    <r>
      <rPr>
        <sz val="12"/>
        <color rgb="FF000000"/>
        <rFont val="Times New Roman"/>
      </rPr>
      <t xml:space="preserve"> and Ukraine from 2021 and are therefore no longer included. This reduces UK military aid by €161 million.</t>
    </r>
  </si>
  <si>
    <r>
      <rPr>
        <u/>
        <sz val="12"/>
        <color rgb="FF000000"/>
        <rFont val="Times New Roman"/>
      </rPr>
      <t>Figure 17</t>
    </r>
    <r>
      <rPr>
        <sz val="12"/>
        <color rgb="FF000000"/>
        <rFont val="Times New Roman"/>
      </rPr>
      <t>: Due to a coding error, country stocks of older Leopard models, like Leopard-1A5, were double counted. We corrected this mistake. This changes does not impact the value of aid commitments or deliveries in our dataset.</t>
    </r>
  </si>
  <si>
    <r>
      <rPr>
        <u/>
        <sz val="12"/>
        <color rgb="FF000000"/>
        <rFont val="Times New Roman"/>
      </rPr>
      <t>Announcement Date</t>
    </r>
    <r>
      <rPr>
        <sz val="12"/>
        <color rgb="FF000000"/>
        <rFont val="Times New Roman"/>
      </rPr>
      <t>: We corrected multiple entries that did not follow the general date convention. All date cells with exact date entries will now be displayed according to the User's regional settings. Cells with no exact dates or time spans will follow the American convention MM/DD/YYYY or MM/YYYY</t>
    </r>
  </si>
  <si>
    <r>
      <rPr>
        <sz val="12"/>
        <color rgb="FF000000"/>
        <rFont val="Times New Roman"/>
      </rPr>
      <t xml:space="preserve">We added a new sheet </t>
    </r>
    <r>
      <rPr>
        <u/>
        <sz val="12"/>
        <color rgb="FF000000"/>
        <rFont val="Times New Roman"/>
      </rPr>
      <t>Country Summary ($)</t>
    </r>
    <r>
      <rPr>
        <sz val="12"/>
        <color rgb="FF000000"/>
        <rFont val="Times New Roman"/>
      </rPr>
      <t xml:space="preserve">. It displays all the information from the usual Country Summary sheet, but in US$, using the exchange rate from our dataset. </t>
    </r>
  </si>
  <si>
    <r>
      <rPr>
        <u/>
        <sz val="12"/>
        <color rgb="FF000000"/>
        <rFont val="Times New Roman"/>
      </rPr>
      <t>Data Transparency Index</t>
    </r>
    <r>
      <rPr>
        <sz val="12"/>
        <color rgb="FF000000"/>
        <rFont val="Times New Roman"/>
      </rPr>
      <t xml:space="preserve">: We improved "Subindex 1 Designated Website" that checks whether a country has a designated website that gives information over all contributions of a country. Through the improvement, countries that provide all information on one page still get the full transparency value. Now, countries that provide information on their humanitarian, military, or financial commitments on one page respectively get 0.33 points per page. </t>
    </r>
  </si>
  <si>
    <t xml:space="preserve">Furthermore, we have made "Subindex 2 Total Value of Commitments" more precise. It now takes into account the time between the latest announced commitment of a country and the most recent given total value. </t>
  </si>
  <si>
    <r>
      <rPr>
        <sz val="12"/>
        <color rgb="FF000000"/>
        <rFont val="Times New Roman"/>
      </rPr>
      <t xml:space="preserve">We added a separate section in the </t>
    </r>
    <r>
      <rPr>
        <u/>
        <sz val="12"/>
        <color rgb="FF000000"/>
        <rFont val="Times New Roman"/>
      </rPr>
      <t>Share, Heavy Weapons to Ukraine</t>
    </r>
    <r>
      <rPr>
        <sz val="12"/>
        <color rgb="FF000000"/>
        <rFont val="Times New Roman"/>
      </rPr>
      <t xml:space="preserve"> sheet that shows the corrections we added to stocks in cases like purchasing weapons to Ukraine. </t>
    </r>
  </si>
  <si>
    <r>
      <rPr>
        <sz val="12"/>
        <color rgb="FF000000"/>
        <rFont val="Times New Roman"/>
      </rPr>
      <t xml:space="preserve">We have added a new sheet </t>
    </r>
    <r>
      <rPr>
        <u/>
        <sz val="12"/>
        <color rgb="FF000000"/>
        <rFont val="Times New Roman"/>
      </rPr>
      <t>Designated Websites, total sums</t>
    </r>
    <r>
      <rPr>
        <sz val="12"/>
        <color rgb="FF000000"/>
        <rFont val="Times New Roman"/>
      </rPr>
      <t xml:space="preserve"> which lists links to all known official national designated overview websites on aid to Ukraine. It also lists links to official country pages that provide a total sum of aid commitments to Ukraine. </t>
    </r>
  </si>
  <si>
    <t>Release 10 (until February 24, 2023)</t>
  </si>
  <si>
    <r>
      <rPr>
        <u/>
        <sz val="12"/>
        <color rgb="FF000000"/>
        <rFont val="Times New Roman"/>
      </rPr>
      <t xml:space="preserve">Belgium </t>
    </r>
    <r>
      <rPr>
        <sz val="12"/>
        <color rgb="FF000000"/>
        <rFont val="Times New Roman"/>
      </rPr>
      <t>commits an additional military aid package worth €94 million, which increased the total military contribution by 64% to €241 million.</t>
    </r>
  </si>
  <si>
    <r>
      <rPr>
        <u/>
        <sz val="12"/>
        <color rgb="FF000000"/>
        <rFont val="Times New Roman"/>
      </rPr>
      <t xml:space="preserve">Denmark </t>
    </r>
    <r>
      <rPr>
        <sz val="12"/>
        <color rgb="FF000000"/>
        <rFont val="Times New Roman"/>
      </rPr>
      <t>commits 19 CEASAR howitzers, and an unknown number of Leopard-1A5 tanks in military aid to Ukraine, increasing the Danish military aid by €245 million (+60%).</t>
    </r>
  </si>
  <si>
    <r>
      <rPr>
        <u/>
        <sz val="12"/>
        <color rgb="FF000000"/>
        <rFont val="Times New Roman"/>
      </rPr>
      <t xml:space="preserve">Finland </t>
    </r>
    <r>
      <rPr>
        <sz val="12"/>
        <color rgb="FF000000"/>
        <rFont val="Times New Roman"/>
      </rPr>
      <t>discloses the value of their 12th military aid package as €400 million and commits their 13th military aid package worth €160 million. This increases Finnish military aid to €770 million (+266%)</t>
    </r>
  </si>
  <si>
    <r>
      <rPr>
        <u/>
        <sz val="12"/>
        <color rgb="FF000000"/>
        <rFont val="Times New Roman"/>
      </rPr>
      <t xml:space="preserve">Sweden </t>
    </r>
    <r>
      <rPr>
        <sz val="12"/>
        <color rgb="FF000000"/>
        <rFont val="Times New Roman"/>
      </rPr>
      <t>commits an additional military aid packages worth €594 million, increasing the Swedish military contribution by 110% to €1.13 billion.</t>
    </r>
  </si>
  <si>
    <r>
      <rPr>
        <u/>
        <sz val="12"/>
        <color rgb="FF000000"/>
        <rFont val="Times New Roman"/>
      </rPr>
      <t xml:space="preserve">Japan </t>
    </r>
    <r>
      <rPr>
        <sz val="12"/>
        <color rgb="FF000000"/>
        <rFont val="Times New Roman"/>
      </rPr>
      <t>commits additional financial aid worth €5.1 billion, increasing the Japanese total support to €6.29 billion (+428%)</t>
    </r>
  </si>
  <si>
    <r>
      <rPr>
        <u/>
        <sz val="12"/>
        <color rgb="FF000000"/>
        <rFont val="Times New Roman"/>
      </rPr>
      <t xml:space="preserve">Lithuania </t>
    </r>
    <r>
      <rPr>
        <sz val="12"/>
        <color rgb="FF000000"/>
        <rFont val="Times New Roman"/>
      </rPr>
      <t>commits two additional military aid packages worth €165 million, increasing the Lithuanian military contribution by 59% to €445 million.</t>
    </r>
  </si>
  <si>
    <r>
      <rPr>
        <u/>
        <sz val="12"/>
        <color rgb="FF000000"/>
        <rFont val="Times New Roman"/>
      </rPr>
      <t xml:space="preserve">Switzerland </t>
    </r>
    <r>
      <rPr>
        <sz val="12"/>
        <color rgb="FF000000"/>
        <rFont val="Times New Roman"/>
      </rPr>
      <t>commits additional €115 million in humanitarian aid, increasing the Swiss humanitarian pledges to €300 million (+62%)</t>
    </r>
  </si>
  <si>
    <r>
      <rPr>
        <u/>
        <sz val="12"/>
        <color rgb="FF000000"/>
        <rFont val="Times New Roman"/>
      </rPr>
      <t xml:space="preserve">Spain </t>
    </r>
    <r>
      <rPr>
        <sz val="12"/>
        <color rgb="FF000000"/>
        <rFont val="Times New Roman"/>
      </rPr>
      <t>commits two additional military aid packages worth €72 million, increasing the Spanish military contribution by 30% to €312 million (after major new corrections are applied).</t>
    </r>
  </si>
  <si>
    <r>
      <rPr>
        <sz val="12"/>
        <color rgb="FF000000"/>
        <rFont val="Times New Roman"/>
      </rPr>
      <t xml:space="preserve">The </t>
    </r>
    <r>
      <rPr>
        <u/>
        <sz val="12"/>
        <color rgb="FF000000"/>
        <rFont val="Times New Roman"/>
      </rPr>
      <t xml:space="preserve">Netherlands </t>
    </r>
    <r>
      <rPr>
        <sz val="12"/>
        <color rgb="FF000000"/>
        <rFont val="Times New Roman"/>
      </rPr>
      <t xml:space="preserve">commit an additional military aid package with Patriot air-defense system estimated to be worth €825 million, which increased the total military contribution by 96% to €1.68 billion. </t>
    </r>
  </si>
  <si>
    <r>
      <rPr>
        <sz val="12"/>
        <color rgb="FF000000"/>
        <rFont val="Times New Roman"/>
      </rPr>
      <t xml:space="preserve">The </t>
    </r>
    <r>
      <rPr>
        <u/>
        <sz val="12"/>
        <color rgb="FF000000"/>
        <rFont val="Times New Roman"/>
      </rPr>
      <t xml:space="preserve">Netherlands </t>
    </r>
    <r>
      <rPr>
        <sz val="12"/>
        <color rgb="FF000000"/>
        <rFont val="Times New Roman"/>
      </rPr>
      <t>also pledges to provide Ukraine in 2023 with the same amount of aid as in 2022. We take this announcement as credible, which increases the Dutch bilateral aid by €2.5 billion (+174%)</t>
    </r>
  </si>
  <si>
    <r>
      <rPr>
        <u/>
        <sz val="12"/>
        <color rgb="FF000000"/>
        <rFont val="Times New Roman"/>
      </rPr>
      <t>Norway</t>
    </r>
    <r>
      <rPr>
        <sz val="12"/>
        <color rgb="FF000000"/>
        <rFont val="Times New Roman"/>
      </rPr>
      <t xml:space="preserve"> commits additional €1.45 billion in military and financial aid (+138%). The package is part of an aid programme that will provide Ukraine with aid worth €1.45 billion per year for 5 years, split between military and financial aid. </t>
    </r>
  </si>
  <si>
    <r>
      <rPr>
        <sz val="12"/>
        <color rgb="FF000000"/>
        <rFont val="Times New Roman"/>
      </rPr>
      <t xml:space="preserve">The </t>
    </r>
    <r>
      <rPr>
        <u/>
        <sz val="12"/>
        <color rgb="FF000000"/>
        <rFont val="Times New Roman"/>
      </rPr>
      <t xml:space="preserve">EU </t>
    </r>
    <r>
      <rPr>
        <sz val="12"/>
        <color rgb="FF000000"/>
        <rFont val="Times New Roman"/>
      </rPr>
      <t>announces another EPF tranche increasing its military contribution by 16%, bringing it to €3.6 billion.</t>
    </r>
  </si>
  <si>
    <r>
      <rPr>
        <u/>
        <sz val="12"/>
        <color rgb="FF000000"/>
        <rFont val="Times New Roman"/>
      </rPr>
      <t xml:space="preserve">Germany </t>
    </r>
    <r>
      <rPr>
        <sz val="12"/>
        <color rgb="FF000000"/>
        <rFont val="Times New Roman"/>
      </rPr>
      <t xml:space="preserve">commits an additional €1 billion in military aid, increasing German military commitments to €3.57 billion (+39%) </t>
    </r>
  </si>
  <si>
    <r>
      <rPr>
        <u/>
        <sz val="12"/>
        <color rgb="FF000000"/>
        <rFont val="Times New Roman"/>
      </rPr>
      <t>Portugal</t>
    </r>
    <r>
      <rPr>
        <sz val="12"/>
        <color rgb="FF000000"/>
        <rFont val="Times New Roman"/>
      </rPr>
      <t xml:space="preserve"> commits additional military aid including 14 M113 vehicles and 4 Leopard 2 tanks. This increases the Portugese military aid by €31.9 million (+84%)</t>
    </r>
  </si>
  <si>
    <r>
      <rPr>
        <sz val="12"/>
        <color rgb="FF000000"/>
        <rFont val="Times New Roman"/>
      </rPr>
      <t xml:space="preserve">The </t>
    </r>
    <r>
      <rPr>
        <u/>
        <sz val="12"/>
        <color rgb="FF000000"/>
        <rFont val="Times New Roman"/>
      </rPr>
      <t>United Kingdom</t>
    </r>
    <r>
      <rPr>
        <sz val="12"/>
        <color rgb="FF000000"/>
        <rFont val="Times New Roman"/>
      </rPr>
      <t xml:space="preserve"> pledges to provide Ukraine in 2023 with military aid in the same height as total aid in 2022. We take this announcement as credible, which increases the British military aid by €2.6 billion (+65%)</t>
    </r>
  </si>
  <si>
    <r>
      <rPr>
        <u/>
        <sz val="12"/>
        <color rgb="FF000000"/>
        <rFont val="Times New Roman"/>
      </rPr>
      <t>NOH5</t>
    </r>
    <r>
      <rPr>
        <sz val="12"/>
        <color rgb="FF000000"/>
        <rFont val="Times New Roman"/>
      </rPr>
      <t xml:space="preserve">: Due to Norway releasing new information about total aid planned to be provided in 2023, we delete this entry as it is now included in the new entries covering 2023 Norwegian Support. </t>
    </r>
  </si>
  <si>
    <r>
      <rPr>
        <u/>
        <sz val="12"/>
        <color rgb="FF000000"/>
        <rFont val="Times New Roman"/>
      </rPr>
      <t>DEM3</t>
    </r>
    <r>
      <rPr>
        <sz val="12"/>
        <color rgb="FF000000"/>
        <rFont val="Times New Roman"/>
      </rPr>
      <t>: Due to new, credible information that 18 howitzers were committed mid-December, we attribute an additional €216 million in military aid to Germany (+5%)</t>
    </r>
  </si>
  <si>
    <r>
      <rPr>
        <u/>
        <sz val="12"/>
        <color rgb="FF000000"/>
        <rFont val="Times New Roman"/>
      </rPr>
      <t>CAF7, CAH7</t>
    </r>
    <r>
      <rPr>
        <sz val="12"/>
        <color rgb="FF000000"/>
        <rFont val="Times New Roman"/>
      </rPr>
      <t>: One financial aid package was counted twice due to a mistake in the previous release. We corrected for this mistake. This decreases the Canadian financial aid by 17%, bringing it to €2 billion.</t>
    </r>
  </si>
  <si>
    <r>
      <rPr>
        <u/>
        <sz val="12"/>
        <color rgb="FF000000"/>
        <rFont val="Times New Roman"/>
      </rPr>
      <t>ESM6</t>
    </r>
    <r>
      <rPr>
        <sz val="12"/>
        <color rgb="FF000000"/>
        <rFont val="Times New Roman"/>
      </rPr>
      <t xml:space="preserve">: Due to the new information about the licensed value of military goods exported to Ukraine in the first half of 2022, Spanish military aid is increased by €159 million (192%). </t>
    </r>
  </si>
  <si>
    <r>
      <rPr>
        <u/>
        <sz val="12"/>
        <color rgb="FF000000"/>
        <rFont val="Times New Roman"/>
      </rPr>
      <t>UKH3</t>
    </r>
    <r>
      <rPr>
        <sz val="12"/>
        <color rgb="FF000000"/>
        <rFont val="Times New Roman"/>
      </rPr>
      <t xml:space="preserve">: the total amount provided in the package was revised and decreased from £230 million to £100 million, decreasing the British humanitarian aid by 36%. </t>
    </r>
  </si>
  <si>
    <r>
      <rPr>
        <u/>
        <sz val="12"/>
        <color rgb="FF000000"/>
        <rFont val="Times New Roman"/>
      </rPr>
      <t>HRM2</t>
    </r>
    <r>
      <rPr>
        <sz val="12"/>
        <color rgb="FF000000"/>
        <rFont val="Times New Roman"/>
      </rPr>
      <t>: Due to newly disclosed information, the quantity of committed Mi-8 helicopters is now known. This increases the Croatian military aid by €59 million (49%)</t>
    </r>
  </si>
  <si>
    <r>
      <rPr>
        <u/>
        <sz val="12"/>
        <color rgb="FF000000"/>
        <rFont val="Times New Roman"/>
        <family val="1"/>
      </rPr>
      <t>PLM1</t>
    </r>
    <r>
      <rPr>
        <sz val="12"/>
        <color rgb="FF000000"/>
        <rFont val="Times New Roman"/>
      </rPr>
      <t xml:space="preserve">: Due to new credible information from the end of January, the amount of Polish committed PT-91 tanks is reduced by 50 units. </t>
    </r>
  </si>
  <si>
    <r>
      <rPr>
        <u/>
        <sz val="12"/>
        <color rgb="FF000000"/>
        <rFont val="Times New Roman"/>
        <family val="1"/>
      </rPr>
      <t>CZM20, NLM7, USM7</t>
    </r>
    <r>
      <rPr>
        <sz val="12"/>
        <color rgb="FF000000"/>
        <rFont val="Times New Roman"/>
        <family val="1"/>
      </rPr>
      <t>: It was reveiled in new credible information that the 90 T-72 tanks refurbished by the Netherlands and the US have been bought from Czech industry stocks, and are therefore not a Czeck contribution to Ukraine.</t>
    </r>
  </si>
  <si>
    <t xml:space="preserve">We therefore remove the amount of 90 T-72 tanks from the Czech entry, and add 45 overhauled T-72 tanks each to the Dutch and US military aid. </t>
  </si>
  <si>
    <t>This decreases Czech military aid by €45 million. It has no effect on the US aid to Ukraine, since the refurbishment costs are already included in a drawdown entry. Dutch aid to Ukraine equally remains the same as the refurbishment costs were part of a larger budget.</t>
  </si>
  <si>
    <t>Due to new information from the OECD and increased refugee numbers, refugee costs are no longer based solely on the OECD Migration Report (2022). We still rely on OECD cost estimates but scale them up using UNHCR refugee numbers.</t>
  </si>
  <si>
    <t>Release 9 (until January 15, 2023)</t>
  </si>
  <si>
    <r>
      <rPr>
        <u/>
        <sz val="12"/>
        <color rgb="FF000000"/>
        <rFont val="Times New Roman"/>
        <family val="1"/>
      </rPr>
      <t>Denmark</t>
    </r>
    <r>
      <rPr>
        <sz val="12"/>
        <color rgb="FF000000"/>
        <rFont val="Times New Roman"/>
        <family val="1"/>
      </rPr>
      <t xml:space="preserve"> commits additional €53 million in military aid (10% increase) and €26 million in humanitarian and reconstruction aid (+36%).</t>
    </r>
  </si>
  <si>
    <r>
      <rPr>
        <u/>
        <sz val="12"/>
        <color rgb="FF000000"/>
        <rFont val="Times New Roman"/>
        <family val="1"/>
      </rPr>
      <t>Finland</t>
    </r>
    <r>
      <rPr>
        <sz val="12"/>
        <color rgb="FF000000"/>
        <rFont val="Times New Roman"/>
        <family val="1"/>
      </rPr>
      <t xml:space="preserve"> has annouced and delivered its eleventh military aid package, increasing the Finnish military aid by €28.8 million (+16%).</t>
    </r>
  </si>
  <si>
    <r>
      <rPr>
        <u/>
        <sz val="12"/>
        <color rgb="FF000000"/>
        <rFont val="Times New Roman"/>
        <family val="1"/>
      </rPr>
      <t>France</t>
    </r>
    <r>
      <rPr>
        <sz val="12"/>
        <color rgb="FF000000"/>
        <rFont val="Times New Roman"/>
        <family val="1"/>
      </rPr>
      <t xml:space="preserve"> commits an additional €165.9 million in humanitarian aid, increasing the humanitarian support to €320 million (+107%)   </t>
    </r>
  </si>
  <si>
    <r>
      <rPr>
        <u/>
        <sz val="12"/>
        <color rgb="FF000000"/>
        <rFont val="Times New Roman"/>
        <family val="1"/>
      </rPr>
      <t>France</t>
    </r>
    <r>
      <rPr>
        <sz val="12"/>
        <color rgb="FF000000"/>
        <rFont val="Times New Roman"/>
        <family val="1"/>
      </rPr>
      <t xml:space="preserve"> commits an additional €199.4 million in financial aid, increasing the financial support to €700 million (+40%)</t>
    </r>
  </si>
  <si>
    <r>
      <rPr>
        <u/>
        <sz val="12"/>
        <color rgb="FF000000"/>
        <rFont val="Times New Roman"/>
        <family val="1"/>
      </rPr>
      <t>France</t>
    </r>
    <r>
      <rPr>
        <sz val="12"/>
        <color rgb="FF000000"/>
        <rFont val="Times New Roman"/>
        <family val="1"/>
      </rPr>
      <t xml:space="preserve"> commits an additional €200 million in military aid, increasing the military support to €660 million (+43%)</t>
    </r>
  </si>
  <si>
    <r>
      <rPr>
        <u/>
        <sz val="12"/>
        <color rgb="FF000000"/>
        <rFont val="Times New Roman"/>
        <family val="1"/>
      </rPr>
      <t>Italy</t>
    </r>
    <r>
      <rPr>
        <sz val="12"/>
        <color rgb="FF000000"/>
        <rFont val="Times New Roman"/>
        <family val="1"/>
      </rPr>
      <t xml:space="preserve"> commits new military aid worth €341.7 million through provision of a SEMP/T air defense system, increasing the military support to €660 million (+107%)</t>
    </r>
  </si>
  <si>
    <r>
      <rPr>
        <u/>
        <sz val="12"/>
        <color rgb="FF000000"/>
        <rFont val="Times New Roman"/>
        <family val="1"/>
      </rPr>
      <t>Japan</t>
    </r>
    <r>
      <rPr>
        <sz val="12"/>
        <color rgb="FF000000"/>
        <rFont val="Times New Roman"/>
        <family val="1"/>
      </rPr>
      <t xml:space="preserve"> commits an additional €472 million in humanitarian aid, increasing the humanitarian support to €478 million (+7586%)</t>
    </r>
  </si>
  <si>
    <r>
      <rPr>
        <u/>
        <sz val="12"/>
        <color rgb="FF000000"/>
        <rFont val="Times New Roman"/>
      </rPr>
      <t>South Korea</t>
    </r>
    <r>
      <rPr>
        <sz val="12"/>
        <color rgb="FF000000"/>
        <rFont val="Times New Roman"/>
      </rPr>
      <t xml:space="preserve"> announced additional humanitarian aid worth €8.7 million, bringing the total humanitarian aid to €95 million (+10%).</t>
    </r>
  </si>
  <si>
    <r>
      <t>The</t>
    </r>
    <r>
      <rPr>
        <u/>
        <sz val="12"/>
        <color rgb="FF000000"/>
        <rFont val="Times New Roman"/>
        <family val="1"/>
      </rPr>
      <t xml:space="preserve"> United Kingdom</t>
    </r>
    <r>
      <rPr>
        <sz val="12"/>
        <color rgb="FF000000"/>
        <rFont val="Times New Roman"/>
        <family val="1"/>
      </rPr>
      <t xml:space="preserve"> commits an additional €820 million in military aid (+20%)</t>
    </r>
  </si>
  <si>
    <r>
      <t>The</t>
    </r>
    <r>
      <rPr>
        <u/>
        <sz val="12"/>
        <color rgb="FF000000"/>
        <rFont val="Times New Roman"/>
        <family val="1"/>
      </rPr>
      <t xml:space="preserve"> United Kingdom</t>
    </r>
    <r>
      <rPr>
        <sz val="12"/>
        <color rgb="FF000000"/>
        <rFont val="Times New Roman"/>
        <family val="1"/>
      </rPr>
      <t xml:space="preserve"> commits an additional €476 million in financial aid (+19%)</t>
    </r>
  </si>
  <si>
    <r>
      <t xml:space="preserve">The </t>
    </r>
    <r>
      <rPr>
        <u/>
        <sz val="12"/>
        <color rgb="FF000000"/>
        <rFont val="Times New Roman"/>
        <family val="1"/>
      </rPr>
      <t>United States</t>
    </r>
    <r>
      <rPr>
        <sz val="12"/>
        <color rgb="FF000000"/>
        <rFont val="Times New Roman"/>
        <family val="1"/>
      </rPr>
      <t xml:space="preserve"> commits an additional €21.9 billion in military aid (+98%)</t>
    </r>
  </si>
  <si>
    <r>
      <t xml:space="preserve">The </t>
    </r>
    <r>
      <rPr>
        <u/>
        <sz val="12"/>
        <color rgb="FF000000"/>
        <rFont val="Times New Roman"/>
        <family val="1"/>
      </rPr>
      <t>United States</t>
    </r>
    <r>
      <rPr>
        <sz val="12"/>
        <color rgb="FF000000"/>
        <rFont val="Times New Roman"/>
        <family val="1"/>
      </rPr>
      <t xml:space="preserve"> commits an additional €12.3 billion in financial aid (+96%)</t>
    </r>
  </si>
  <si>
    <r>
      <t>The</t>
    </r>
    <r>
      <rPr>
        <u/>
        <sz val="12"/>
        <color rgb="FF000000"/>
        <rFont val="Times New Roman"/>
        <family val="1"/>
      </rPr>
      <t xml:space="preserve"> United States</t>
    </r>
    <r>
      <rPr>
        <sz val="12"/>
        <color rgb="FF000000"/>
        <rFont val="Times New Roman"/>
        <family val="1"/>
      </rPr>
      <t xml:space="preserve"> commits an additional €2.47 billion in humanitarian aid (+197%) </t>
    </r>
  </si>
  <si>
    <r>
      <rPr>
        <u/>
        <sz val="12"/>
        <color rgb="FF000000"/>
        <rFont val="Times New Roman"/>
        <family val="1"/>
      </rPr>
      <t>JPF4</t>
    </r>
    <r>
      <rPr>
        <sz val="12"/>
        <color rgb="FF000000"/>
        <rFont val="Times New Roman"/>
        <family val="1"/>
      </rPr>
      <t xml:space="preserve">: Due to new credible information and correcting a mistake on our part, the Japanese financial as well as humanitarian aid was reevaluated to €1.05 billion. </t>
    </r>
  </si>
  <si>
    <r>
      <rPr>
        <u/>
        <sz val="12"/>
        <color rgb="FF000000"/>
        <rFont val="Times New Roman"/>
        <family val="1"/>
      </rPr>
      <t>NLM5, NLM8</t>
    </r>
    <r>
      <rPr>
        <sz val="12"/>
        <color rgb="FF000000"/>
        <rFont val="Times New Roman"/>
        <family val="1"/>
      </rPr>
      <t>: Due to new official information, Dutch military aid got reevaluated and thereby increased by €520 million (+179%)</t>
    </r>
  </si>
  <si>
    <r>
      <rPr>
        <u/>
        <sz val="12"/>
        <color rgb="FF000000"/>
        <rFont val="Times New Roman"/>
        <family val="1"/>
      </rPr>
      <t>BEH4, BEM5</t>
    </r>
    <r>
      <rPr>
        <sz val="12"/>
        <color rgb="FF000000"/>
        <rFont val="Times New Roman"/>
        <family val="1"/>
      </rPr>
      <t xml:space="preserve">: Due to new official information Belgian humanitarian and military aid was revised, bringing humanitarian aid to €50 million (48% decrease) and military to €145 million (50% increase). </t>
    </r>
  </si>
  <si>
    <t>The Belgian total aid did not change substantially, from €213 million to €214 million.</t>
  </si>
  <si>
    <r>
      <rPr>
        <u/>
        <sz val="12"/>
        <color theme="1"/>
        <rFont val="Times New Roman"/>
        <family val="1"/>
      </rPr>
      <t>FRF1</t>
    </r>
    <r>
      <rPr>
        <sz val="12"/>
        <color theme="1"/>
        <rFont val="Times New Roman"/>
        <family val="1"/>
      </rPr>
      <t xml:space="preserve">: Due to new credible information from a French overview on bilateral aid to Ukraine, we include €200 million from a €1.2 billion guarantee France announced for Ukraine. This increases French financial aid by 40%.
</t>
    </r>
  </si>
  <si>
    <t>€1 billion of the contribution is not considered as aid to Ukraine since that part are loan guarantees for French firms, whereas the €200 million are guarantees from which the Ukrainian government can get loans from the French treasury.</t>
  </si>
  <si>
    <r>
      <rPr>
        <u/>
        <sz val="12"/>
        <color rgb="FF000000"/>
        <rFont val="Times New Roman"/>
        <family val="1"/>
      </rPr>
      <t>PLM1, PLM2</t>
    </r>
    <r>
      <rPr>
        <sz val="12"/>
        <color rgb="FF000000"/>
        <rFont val="Times New Roman"/>
        <family val="1"/>
      </rPr>
      <t>: Polish military aid increased due to the inclusion of additional 36 AHS Krab Howitzers and 60 PT-91 Twardy tanks (+37%).</t>
    </r>
  </si>
  <si>
    <r>
      <rPr>
        <u/>
        <sz val="12"/>
        <color rgb="FF000000"/>
        <rFont val="Times New Roman"/>
        <family val="1"/>
      </rPr>
      <t>LTH3</t>
    </r>
    <r>
      <rPr>
        <sz val="12"/>
        <color rgb="FF000000"/>
        <rFont val="Times New Roman"/>
        <family val="1"/>
      </rPr>
      <t>: Lithuanian humanitarian aid increased due to the inclusion of additional projects (+130%)</t>
    </r>
  </si>
  <si>
    <r>
      <rPr>
        <u/>
        <sz val="12"/>
        <color rgb="FF000000"/>
        <rFont val="Times New Roman"/>
        <family val="1"/>
      </rPr>
      <t>EEM1</t>
    </r>
    <r>
      <rPr>
        <sz val="12"/>
        <color rgb="FF000000"/>
        <rFont val="Times New Roman"/>
        <family val="1"/>
      </rPr>
      <t>: Change in Estonian military aid commitment from €61.88 million to €31.88 million due to coding error in EEM1. This decreases the Estonian military aid by €30 million (-9%)</t>
    </r>
  </si>
  <si>
    <r>
      <rPr>
        <u/>
        <sz val="12"/>
        <color rgb="FF000000"/>
        <rFont val="Times New Roman"/>
        <family val="1"/>
      </rPr>
      <t>France</t>
    </r>
    <r>
      <rPr>
        <sz val="12"/>
        <color rgb="FF000000"/>
        <rFont val="Times New Roman"/>
        <family val="1"/>
      </rPr>
      <t xml:space="preserve"> delivers 2 Croale air defence systems and 2 LMU MLRS.</t>
    </r>
  </si>
  <si>
    <r>
      <rPr>
        <u/>
        <sz val="12"/>
        <color rgb="FF000000"/>
        <rFont val="Times New Roman"/>
        <family val="1"/>
      </rPr>
      <t>Slovakia</t>
    </r>
    <r>
      <rPr>
        <sz val="12"/>
        <color rgb="FF000000"/>
        <rFont val="Times New Roman"/>
        <family val="1"/>
      </rPr>
      <t xml:space="preserve"> delivers 30 BVP-1 infantry fighting vehicles.  </t>
    </r>
  </si>
  <si>
    <t>Release 8 (until November 20, 2022)</t>
  </si>
  <si>
    <r>
      <t xml:space="preserve">The </t>
    </r>
    <r>
      <rPr>
        <u/>
        <sz val="12"/>
        <color rgb="FF000000"/>
        <rFont val="Times New Roman"/>
        <family val="1"/>
      </rPr>
      <t>European Commission and Council</t>
    </r>
    <r>
      <rPr>
        <sz val="12"/>
        <color rgb="FF000000"/>
        <rFont val="Times New Roman"/>
        <family val="1"/>
      </rPr>
      <t xml:space="preserve"> commits additional €18 billion of financial aid to Ukraine. The package is an extension of the previous Macro-Financial Assistance (MFA) and increases the EU financial contributions to €30.32 billion (+146%).</t>
    </r>
  </si>
  <si>
    <r>
      <rPr>
        <u/>
        <sz val="12"/>
        <color rgb="FF000000"/>
        <rFont val="Times New Roman"/>
        <family val="1"/>
      </rPr>
      <t>Germany</t>
    </r>
    <r>
      <rPr>
        <sz val="12"/>
        <color rgb="FF000000"/>
        <rFont val="Times New Roman"/>
        <family val="1"/>
      </rPr>
      <t xml:space="preserve"> pledges new in-kind military aid. Germany's military assistance now amounts to a total of €2.35 billion (increase by 96%).</t>
    </r>
  </si>
  <si>
    <r>
      <t xml:space="preserve">The </t>
    </r>
    <r>
      <rPr>
        <u/>
        <sz val="12"/>
        <color rgb="FF000000"/>
        <rFont val="Times New Roman"/>
        <family val="1"/>
      </rPr>
      <t>German government</t>
    </r>
    <r>
      <rPr>
        <sz val="12"/>
        <color rgb="FF000000"/>
        <rFont val="Times New Roman"/>
        <family val="1"/>
      </rPr>
      <t xml:space="preserve"> also committed humanitarian aid of €1 billion for protection against cyber attacks and investigation of war crimes (increase of humanitarian commitment by 100%).</t>
    </r>
  </si>
  <si>
    <r>
      <rPr>
        <u/>
        <sz val="12"/>
        <color rgb="FF000000"/>
        <rFont val="Times New Roman"/>
        <family val="1"/>
      </rPr>
      <t>Taiwan</t>
    </r>
    <r>
      <rPr>
        <sz val="12"/>
        <color rgb="FF000000"/>
        <rFont val="Times New Roman"/>
        <family val="1"/>
      </rPr>
      <t xml:space="preserve"> pledges new humanitarian aid for reconstruction worth €56.6 million (increase of total commitments by 450%).</t>
    </r>
  </si>
  <si>
    <r>
      <rPr>
        <u/>
        <sz val="12"/>
        <color rgb="FF000000"/>
        <rFont val="Times New Roman"/>
        <family val="1"/>
      </rPr>
      <t>Switzerland</t>
    </r>
    <r>
      <rPr>
        <sz val="12"/>
        <color rgb="FF000000"/>
        <rFont val="Times New Roman"/>
        <family val="1"/>
      </rPr>
      <t xml:space="preserve"> pledges new humanitarian aid specially intended as winter aid worth €103.8 million (increasing total commitments by 100%).</t>
    </r>
  </si>
  <si>
    <r>
      <rPr>
        <u/>
        <sz val="12"/>
        <color rgb="FF000000"/>
        <rFont val="Times New Roman"/>
        <family val="1"/>
      </rPr>
      <t>Finland</t>
    </r>
    <r>
      <rPr>
        <sz val="12"/>
        <color rgb="FF000000"/>
        <rFont val="Times New Roman"/>
        <family val="1"/>
      </rPr>
      <t xml:space="preserve"> commits its 10th military aid package, worth €55.6 million in additional military aid. This brings Finland’s military aid commitment to around €150 million (increase by around 60%).</t>
    </r>
  </si>
  <si>
    <r>
      <rPr>
        <u/>
        <sz val="12"/>
        <color rgb="FF000000"/>
        <rFont val="Times New Roman"/>
        <family val="1"/>
      </rPr>
      <t>Sweden</t>
    </r>
    <r>
      <rPr>
        <sz val="12"/>
        <color rgb="FF000000"/>
        <rFont val="Times New Roman"/>
        <family val="1"/>
      </rPr>
      <t xml:space="preserve"> commits roughly €280 million in military aid and €70 million in humanitarian and financial aid (3 billion SEK military, 720 million SEK) in November. This increases Swedish aid commitments by almost 70%.</t>
    </r>
  </si>
  <si>
    <r>
      <rPr>
        <u/>
        <sz val="12"/>
        <color rgb="FF000000"/>
        <rFont val="Times New Roman"/>
        <family val="1"/>
      </rPr>
      <t>Norway</t>
    </r>
    <r>
      <rPr>
        <sz val="12"/>
        <color rgb="FF000000"/>
        <rFont val="Times New Roman"/>
        <family val="1"/>
      </rPr>
      <t xml:space="preserve"> pledges additional funding of €146 million for a UK-led weapons procurement program. Norway further announced a military budget intended for Ukraine. This increases the Norwegian military aid to €538 million (increase by 72%).</t>
    </r>
  </si>
  <si>
    <r>
      <t xml:space="preserve">The </t>
    </r>
    <r>
      <rPr>
        <u/>
        <sz val="12"/>
        <color rgb="FF000000"/>
        <rFont val="Times New Roman"/>
        <family val="1"/>
      </rPr>
      <t>Netherlands</t>
    </r>
    <r>
      <rPr>
        <sz val="12"/>
        <color rgb="FF000000"/>
        <rFont val="Times New Roman"/>
        <family val="1"/>
      </rPr>
      <t xml:space="preserve"> and the </t>
    </r>
    <r>
      <rPr>
        <u/>
        <sz val="12"/>
        <color rgb="FF000000"/>
        <rFont val="Times New Roman"/>
        <family val="1"/>
      </rPr>
      <t>United States</t>
    </r>
    <r>
      <rPr>
        <sz val="12"/>
        <color rgb="FF000000"/>
        <rFont val="Times New Roman"/>
        <family val="1"/>
      </rPr>
      <t xml:space="preserve"> split the refurbishment costs for 90 Czech T-72 tanks. The total amount of the joint project is US$90 million.   									</t>
    </r>
  </si>
  <si>
    <r>
      <rPr>
        <u/>
        <sz val="12"/>
        <color rgb="FF000000"/>
        <rFont val="Times New Roman"/>
        <family val="1"/>
      </rPr>
      <t>Portugal</t>
    </r>
    <r>
      <rPr>
        <sz val="12"/>
        <color rgb="FF000000"/>
        <rFont val="Times New Roman"/>
        <family val="1"/>
      </rPr>
      <t xml:space="preserve"> commits six Soviet-made helicopters for humanitarian purposes, with an estimated value of €35 million (increase of humanitarian commitment by 3000%).   </t>
    </r>
  </si>
  <si>
    <r>
      <rPr>
        <u/>
        <sz val="12"/>
        <color rgb="FF000000"/>
        <rFont val="Times New Roman"/>
        <family val="1"/>
      </rPr>
      <t>Czech Republic</t>
    </r>
    <r>
      <rPr>
        <sz val="12"/>
        <color rgb="FF000000"/>
        <rFont val="Times New Roman"/>
        <family val="1"/>
      </rPr>
      <t>: Due to new information released on October 28, the amount of delivered T-72 tanks is disclosed as 40 instead of the previous 12. This also increases the commitment from 20 to 40 T-72 tanks. In total, this increases the Czech military commitment by €32 million (+10 %) and the Czech deliveries by €45 million (+20 %).</t>
    </r>
  </si>
  <si>
    <r>
      <rPr>
        <u/>
        <sz val="12"/>
        <color rgb="FF000000"/>
        <rFont val="Times New Roman"/>
        <family val="1"/>
      </rPr>
      <t>Estonia</t>
    </r>
    <r>
      <rPr>
        <sz val="12"/>
        <color rgb="FF000000"/>
        <rFont val="Times New Roman"/>
        <family val="1"/>
      </rPr>
      <t xml:space="preserve"> commits a new military aid package worth €62 million (increase of military aid committment by 130%).   </t>
    </r>
  </si>
  <si>
    <r>
      <t xml:space="preserve">The </t>
    </r>
    <r>
      <rPr>
        <u/>
        <sz val="12"/>
        <color rgb="FF000000"/>
        <rFont val="Times New Roman"/>
        <family val="1"/>
      </rPr>
      <t>European Union</t>
    </r>
    <r>
      <rPr>
        <sz val="12"/>
        <color rgb="FF000000"/>
        <rFont val="Times New Roman"/>
        <family val="1"/>
      </rPr>
      <t xml:space="preserve"> commits €150 million in humanitarian aid targeted at assistance during the upcoming winter.</t>
    </r>
  </si>
  <si>
    <r>
      <rPr>
        <u/>
        <sz val="12"/>
        <color rgb="FF000000"/>
        <rFont val="Times New Roman"/>
        <family val="1"/>
      </rPr>
      <t>France</t>
    </r>
    <r>
      <rPr>
        <sz val="12"/>
        <color rgb="FF000000"/>
        <rFont val="Times New Roman"/>
        <family val="1"/>
      </rPr>
      <t xml:space="preserve"> establishes a fund worth €100 million which will enable Ukraine to procure weapons and other military equipment directly from French companies. </t>
    </r>
  </si>
  <si>
    <r>
      <t xml:space="preserve">The </t>
    </r>
    <r>
      <rPr>
        <u/>
        <sz val="12"/>
        <color rgb="FF000000"/>
        <rFont val="Times New Roman"/>
        <family val="1"/>
      </rPr>
      <t>French government</t>
    </r>
    <r>
      <rPr>
        <sz val="12"/>
        <color rgb="FF000000"/>
        <rFont val="Times New Roman"/>
        <family val="1"/>
      </rPr>
      <t xml:space="preserve"> also committed additional six CAESAR howitzers, worth around €90 million.  </t>
    </r>
  </si>
  <si>
    <r>
      <rPr>
        <u/>
        <sz val="12"/>
        <color rgb="FF000000"/>
        <rFont val="Times New Roman"/>
        <family val="1"/>
      </rPr>
      <t>Denmark</t>
    </r>
    <r>
      <rPr>
        <sz val="12"/>
        <color rgb="FF000000"/>
        <rFont val="Times New Roman"/>
        <family val="1"/>
      </rPr>
      <t xml:space="preserve">: According to new information, Denmark approved the delivery of the missing items of package DKM1 (including M113 APCs, mines, mortars, and further items) in April. This increases Denmark's in-kind military deliveries by €71.2 million. </t>
    </r>
  </si>
  <si>
    <r>
      <rPr>
        <u/>
        <sz val="12"/>
        <color rgb="FF000000"/>
        <rFont val="Times New Roman"/>
        <family val="1"/>
      </rPr>
      <t>Greece</t>
    </r>
    <r>
      <rPr>
        <sz val="12"/>
        <color rgb="FF000000"/>
        <rFont val="Times New Roman"/>
        <family val="1"/>
      </rPr>
      <t>: According to new information, Greece delivers 40 BMP-1 infantry fighting vehicles worth €22.7 million. These are part of the 'Ringtausch' weapon exchange agreement with Germany.</t>
    </r>
  </si>
  <si>
    <t>United States: Following the change from FY2022 to FY2023 at the end of September and the release of new information, open budget positions from FY2022 no longer constitute a commitment to Ukraine as these budgets can no longer be accessed. We corrected for these no-longer-usable positions, leading to a decrease in military aid for the U.S. of $3.4 billion.</t>
  </si>
  <si>
    <r>
      <rPr>
        <u/>
        <sz val="12"/>
        <color theme="1"/>
        <rFont val="Times New Roman"/>
        <family val="1"/>
      </rPr>
      <t>USM7</t>
    </r>
    <r>
      <rPr>
        <sz val="12"/>
        <color theme="1"/>
        <rFont val="Times New Roman"/>
        <family val="1"/>
      </rPr>
      <t>: We changed this commitment from military to financial aid to more accurately capture its purpose (i.e., financial aid for security assistance). The entry is henceforth under ID USF6.</t>
    </r>
  </si>
  <si>
    <r>
      <rPr>
        <u/>
        <sz val="12"/>
        <color theme="1"/>
        <rFont val="Times New Roman"/>
        <family val="1"/>
      </rPr>
      <t>USM3, USM8</t>
    </r>
    <r>
      <rPr>
        <sz val="12"/>
        <color theme="1"/>
        <rFont val="Times New Roman"/>
        <family val="1"/>
      </rPr>
      <t>: We change these entries from military to humanitarian aid to more accurately capture their purpose (i.e., investigation of war crimes, civilian assistance). The entries are henceforth under IDs USH7, USH8, respectively.</t>
    </r>
  </si>
  <si>
    <r>
      <rPr>
        <u/>
        <sz val="12"/>
        <color theme="1"/>
        <rFont val="Times New Roman"/>
        <family val="1"/>
      </rPr>
      <t>ITF2, ITF3</t>
    </r>
    <r>
      <rPr>
        <sz val="12"/>
        <color theme="1"/>
        <rFont val="Times New Roman"/>
        <family val="1"/>
      </rPr>
      <t>: Even though the loans were announced with different conditions, the two entries now appear to refer to the same €200 million loan. This leads to a decrease in financial commitment for Italy over €200 million.</t>
    </r>
  </si>
  <si>
    <r>
      <rPr>
        <u/>
        <sz val="12"/>
        <color rgb="FF000000"/>
        <rFont val="Times New Roman"/>
        <family val="1"/>
      </rPr>
      <t>DKF2</t>
    </r>
    <r>
      <rPr>
        <sz val="12"/>
        <color rgb="FF000000"/>
        <rFont val="Times New Roman"/>
        <family val="1"/>
      </rPr>
      <t>: Changed from US$30 million to €37.5 million as official sources stated this value. This increases Danish financial contribution to €57.5 million (increase by 15%).</t>
    </r>
  </si>
  <si>
    <r>
      <rPr>
        <u/>
        <sz val="12"/>
        <color rgb="FF000000"/>
        <rFont val="Times New Roman"/>
        <family val="1"/>
      </rPr>
      <t>DKM3</t>
    </r>
    <r>
      <rPr>
        <sz val="12"/>
        <color rgb="FF000000"/>
        <rFont val="Times New Roman"/>
        <family val="1"/>
      </rPr>
      <t>: Due to a coding inconsistency, the commitment was not counted as in-kind military aid for Denmark. This was corrected, leading to an increase in Danish military aid of €110 million (increase by 36 %).</t>
    </r>
  </si>
  <si>
    <r>
      <rPr>
        <u/>
        <sz val="12"/>
        <color rgb="FF000000"/>
        <rFont val="Times New Roman"/>
        <family val="1"/>
      </rPr>
      <t>DKM4</t>
    </r>
    <r>
      <rPr>
        <sz val="12"/>
        <color rgb="FF000000"/>
        <rFont val="Times New Roman"/>
        <family val="1"/>
      </rPr>
      <t xml:space="preserve">: Following new information regarding the joint financing of Zuzana-2 howitzers, this commitment was included in ID DKM3 as the howitzers are financed from that budget. </t>
    </r>
  </si>
  <si>
    <t xml:space="preserve">             Accordingly, the Danish military support until October 2022 amounted to DKK 3.8 billion or €510 million. DKM4 now captures the difference to our previous record, leading to an increase by €130.4 million in Danish military aid (+34%).</t>
  </si>
  <si>
    <r>
      <rPr>
        <u/>
        <sz val="12"/>
        <color rgb="FF000000"/>
        <rFont val="Times New Roman"/>
        <family val="1"/>
      </rPr>
      <t>CZM14</t>
    </r>
    <r>
      <rPr>
        <sz val="12"/>
        <color rgb="FF000000"/>
        <rFont val="Times New Roman"/>
        <family val="1"/>
      </rPr>
      <t>: Following new information from October 28 the amount of delivered T-72 tanks is disclosed as 40 instead of the previous 12. This also increases the commitment from 20 to 40 T-72 tanks. In total, this increases the Czech military commitment by €32 million (+10 %) and the Czech deliveries by €45 million (+20 %). </t>
    </r>
  </si>
  <si>
    <r>
      <rPr>
        <u/>
        <sz val="12"/>
        <color rgb="FF000000"/>
        <rFont val="Times New Roman"/>
        <family val="1"/>
      </rPr>
      <t>FIM3-FIM5</t>
    </r>
    <r>
      <rPr>
        <sz val="12"/>
        <color rgb="FF000000"/>
        <rFont val="Times New Roman"/>
        <family val="1"/>
      </rPr>
      <t>: Following the release of new information, the entire value of Finnish military commitments until the end of September could now be determined, which changed previously unknown values. Accordingly, Finland's military commitment increased from €30 million to €90 million (increase by 200 %).</t>
    </r>
  </si>
  <si>
    <r>
      <rPr>
        <u/>
        <sz val="12"/>
        <color rgb="FF000000"/>
        <rFont val="Times New Roman"/>
        <family val="1"/>
      </rPr>
      <t>BEM1</t>
    </r>
    <r>
      <rPr>
        <sz val="12"/>
        <color rgb="FF000000"/>
        <rFont val="Times New Roman"/>
        <family val="1"/>
      </rPr>
      <t>: Due to a coding inconsistency, the value of deliveries of this entry were calculated with our price estimates. This was corrected, increasing Belgian deliveries by €54.3 million, in turn increasing the Belgian in-kind military delivery rate to 100%. </t>
    </r>
  </si>
  <si>
    <r>
      <rPr>
        <u/>
        <sz val="12"/>
        <color rgb="FF000000"/>
        <rFont val="Times New Roman"/>
        <family val="1"/>
      </rPr>
      <t>FIM1</t>
    </r>
    <r>
      <rPr>
        <sz val="12"/>
        <color rgb="FF000000"/>
        <rFont val="Times New Roman"/>
        <family val="1"/>
      </rPr>
      <t>: Due to a coding inconsistency, the value of deliveries of this entry were calculated with our price estimates. This was corrected. The entire package has been delivered, increasing the Finnish in-kind military deliveries by €18 million.</t>
    </r>
  </si>
  <si>
    <r>
      <rPr>
        <u/>
        <sz val="12"/>
        <color rgb="FF000000"/>
        <rFont val="Times New Roman"/>
        <family val="1"/>
      </rPr>
      <t>FRH4</t>
    </r>
    <r>
      <rPr>
        <sz val="12"/>
        <color rgb="FF000000"/>
        <rFont val="Times New Roman"/>
        <family val="1"/>
      </rPr>
      <t xml:space="preserve">, </t>
    </r>
    <r>
      <rPr>
        <u/>
        <sz val="12"/>
        <color rgb="FF000000"/>
        <rFont val="Times New Roman"/>
        <family val="1"/>
      </rPr>
      <t>FRH6</t>
    </r>
    <r>
      <rPr>
        <sz val="12"/>
        <color rgb="FF000000"/>
        <rFont val="Times New Roman"/>
        <family val="1"/>
      </rPr>
      <t xml:space="preserve">: Following the release of new information, the humanitarian aid France provided for Ukrainian emergency services in the spring is estimated to be worth €18 million (increase in humanitarian aid by 15%).  </t>
    </r>
  </si>
  <si>
    <r>
      <rPr>
        <u/>
        <sz val="12"/>
        <color rgb="FF000000"/>
        <rFont val="Times New Roman"/>
        <family val="1"/>
      </rPr>
      <t>ITM6</t>
    </r>
    <r>
      <rPr>
        <sz val="12"/>
        <color rgb="FF000000"/>
        <rFont val="Times New Roman"/>
        <family val="1"/>
      </rPr>
      <t>: Following new information about Italy's military support under the previous government, the five aid packages for which the details have been undisclosed are estimated to be worth €169 million in commitments (€163 million in deliveries).</t>
    </r>
  </si>
  <si>
    <r>
      <rPr>
        <u/>
        <sz val="12"/>
        <color rgb="FF000000"/>
        <rFont val="Times New Roman"/>
        <family val="1"/>
      </rPr>
      <t>DEM1</t>
    </r>
    <r>
      <rPr>
        <sz val="12"/>
        <color rgb="FF000000"/>
        <rFont val="Times New Roman"/>
        <family val="1"/>
      </rPr>
      <t>: Due to contradicting official information, we now evaluate the entire German military contribution with our own price data. This may lead to an overestimation, but is consistent with our approach to estimate upper bounds to not underestimate the true extent of assistance to Ukraine.</t>
    </r>
  </si>
  <si>
    <t>Release 7 (until October 3, 2022)</t>
  </si>
  <si>
    <r>
      <rPr>
        <u/>
        <sz val="12"/>
        <color theme="1"/>
        <rFont val="Times New Roman"/>
        <family val="1"/>
      </rPr>
      <t>United Kingdom</t>
    </r>
    <r>
      <rPr>
        <sz val="12"/>
        <color theme="1"/>
        <rFont val="Times New Roman"/>
        <family val="1"/>
      </rPr>
      <t xml:space="preserve"> increases its total commitments by €140 million (+2 %)</t>
    </r>
  </si>
  <si>
    <r>
      <rPr>
        <u/>
        <sz val="12"/>
        <color theme="1"/>
        <rFont val="Times New Roman"/>
        <family val="1"/>
      </rPr>
      <t>Norway</t>
    </r>
    <r>
      <rPr>
        <sz val="12"/>
        <color theme="1"/>
        <rFont val="Times New Roman"/>
        <family val="1"/>
      </rPr>
      <t xml:space="preserve"> committed additional €110 million in military aid (+52 %)</t>
    </r>
  </si>
  <si>
    <r>
      <rPr>
        <u/>
        <sz val="12"/>
        <color rgb="FF000000"/>
        <rFont val="Times New Roman"/>
        <family val="1"/>
      </rPr>
      <t xml:space="preserve">Netherlands, Czech Republic </t>
    </r>
    <r>
      <rPr>
        <sz val="12"/>
        <color rgb="FF000000"/>
        <rFont val="Times New Roman"/>
        <family val="1"/>
      </rPr>
      <t>and</t>
    </r>
    <r>
      <rPr>
        <u/>
        <sz val="12"/>
        <color rgb="FF000000"/>
        <rFont val="Times New Roman"/>
        <family val="1"/>
      </rPr>
      <t xml:space="preserve"> Latvia</t>
    </r>
    <r>
      <rPr>
        <sz val="12"/>
        <color rgb="FF000000"/>
        <rFont val="Times New Roman"/>
        <family val="1"/>
      </rPr>
      <t xml:space="preserve"> all increase their total commitments by €50 million (+ 10 %, +15 %, + 16 %)</t>
    </r>
  </si>
  <si>
    <r>
      <rPr>
        <u/>
        <sz val="12"/>
        <color theme="1"/>
        <rFont val="Times New Roman"/>
        <family val="1"/>
      </rPr>
      <t>Slovenia</t>
    </r>
    <r>
      <rPr>
        <sz val="12"/>
        <color theme="1"/>
        <rFont val="Times New Roman"/>
        <family val="1"/>
      </rPr>
      <t xml:space="preserve"> increases its total commitment by €20 million (+66 %)</t>
    </r>
  </si>
  <si>
    <r>
      <t xml:space="preserve">The </t>
    </r>
    <r>
      <rPr>
        <u/>
        <sz val="12"/>
        <color theme="1"/>
        <rFont val="Times New Roman"/>
        <family val="1"/>
      </rPr>
      <t>United States</t>
    </r>
    <r>
      <rPr>
        <sz val="12"/>
        <color theme="1"/>
        <rFont val="Times New Roman"/>
        <family val="1"/>
      </rPr>
      <t xml:space="preserve"> committed USD 7.157 billion in military assistance: </t>
    </r>
  </si>
  <si>
    <t>$3.7 billion in Presidential Drawdown Authority for FY23</t>
  </si>
  <si>
    <t>$3 billion under Ukraine Security Assistance Initiative</t>
  </si>
  <si>
    <t xml:space="preserve">$457.5 million in Protection for Civilian Security Assistance </t>
  </si>
  <si>
    <r>
      <t xml:space="preserve">The </t>
    </r>
    <r>
      <rPr>
        <u/>
        <sz val="12"/>
        <color theme="1"/>
        <rFont val="Times New Roman"/>
        <family val="1"/>
      </rPr>
      <t>United States</t>
    </r>
    <r>
      <rPr>
        <sz val="12"/>
        <color theme="1"/>
        <rFont val="Times New Roman"/>
        <family val="1"/>
      </rPr>
      <t xml:space="preserve"> committed  USD 4.5 billion in financial assistance: </t>
    </r>
  </si>
  <si>
    <t>$4.5 billion in Economic Support Fund</t>
  </si>
  <si>
    <t>Major new deliveries/disbursements</t>
  </si>
  <si>
    <r>
      <rPr>
        <u/>
        <sz val="12"/>
        <color theme="1"/>
        <rFont val="Times New Roman"/>
        <family val="1"/>
      </rPr>
      <t>Germany</t>
    </r>
    <r>
      <rPr>
        <sz val="12"/>
        <color theme="1"/>
        <rFont val="Times New Roman"/>
        <family val="1"/>
      </rPr>
      <t xml:space="preserve"> delivers additional €133 million in in-kind military aid, increasing its delivery share by 10 percentage points. </t>
    </r>
  </si>
  <si>
    <r>
      <rPr>
        <u/>
        <sz val="12"/>
        <color theme="1"/>
        <rFont val="Times New Roman"/>
        <family val="1"/>
      </rPr>
      <t>US</t>
    </r>
    <r>
      <rPr>
        <sz val="12"/>
        <color theme="1"/>
        <rFont val="Times New Roman"/>
        <family val="1"/>
      </rPr>
      <t xml:space="preserve"> increases its disbursed budget support by €4.571 billion (+116 %).</t>
    </r>
  </si>
  <si>
    <r>
      <rPr>
        <u/>
        <sz val="12"/>
        <color theme="1"/>
        <rFont val="Times New Roman"/>
        <family val="1"/>
      </rPr>
      <t>Italy</t>
    </r>
    <r>
      <rPr>
        <sz val="12"/>
        <color theme="1"/>
        <rFont val="Times New Roman"/>
        <family val="1"/>
      </rPr>
      <t xml:space="preserve"> increases its disbursed budget support by €207 million (+168 %).</t>
    </r>
  </si>
  <si>
    <r>
      <rPr>
        <u/>
        <sz val="12"/>
        <color theme="1"/>
        <rFont val="Times New Roman"/>
        <family val="1"/>
      </rPr>
      <t>Germany</t>
    </r>
    <r>
      <rPr>
        <sz val="12"/>
        <color theme="1"/>
        <rFont val="Times New Roman"/>
        <family val="1"/>
      </rPr>
      <t xml:space="preserve"> increases its disbursed budget support by €150 million (+15 %).</t>
    </r>
  </si>
  <si>
    <r>
      <rPr>
        <u/>
        <sz val="12"/>
        <color theme="1"/>
        <rFont val="Times New Roman"/>
        <family val="1"/>
      </rPr>
      <t>USM1</t>
    </r>
    <r>
      <rPr>
        <sz val="12"/>
        <color theme="1"/>
        <rFont val="Times New Roman"/>
        <family val="1"/>
      </rPr>
      <t xml:space="preserve">, </t>
    </r>
    <r>
      <rPr>
        <u/>
        <sz val="12"/>
        <color theme="1"/>
        <rFont val="Times New Roman"/>
        <family val="1"/>
      </rPr>
      <t>USM5</t>
    </r>
    <r>
      <rPr>
        <sz val="12"/>
        <color theme="1"/>
        <rFont val="Times New Roman"/>
        <family val="1"/>
      </rPr>
      <t>: After further investigation the second presidential drawdown (USM5) was uncovered to be an extension of the first drawdown, announced in March 2022 (USM1).</t>
    </r>
  </si>
  <si>
    <t xml:space="preserve">          This eliminates double counting of €3.3 billion for the US. All the presidential drawdown announcements for FY22 are mentioned only under USM1.</t>
  </si>
  <si>
    <t xml:space="preserve">          The Congress gave the US President authority to draw down upto the value of  $11 bn for FY22 (which ended on 30 Sep 2022). We only consider  $10.8 billion as $200 million was announced in Dec 2021, which is outside our time frame.</t>
  </si>
  <si>
    <t xml:space="preserve">          Of the  $10.8 billion, the US had utilised drawdowns worth $9.025 billion (reflected in R803) during the period Jan - Oct 2022. The remaining $1.775 billion cannot be accessed anymore as the US has entered a new fiscal year FY2023 starting Oct 1, 2022.</t>
  </si>
  <si>
    <t>Release 6 (until August 3, 2022)</t>
  </si>
  <si>
    <r>
      <rPr>
        <u/>
        <sz val="12"/>
        <color theme="1"/>
        <rFont val="Times New Roman"/>
        <family val="1"/>
      </rPr>
      <t>Canada</t>
    </r>
    <r>
      <rPr>
        <sz val="12"/>
        <color theme="1"/>
        <rFont val="Times New Roman"/>
        <family val="1"/>
      </rPr>
      <t xml:space="preserve"> committed CA$450 (€342) million in financial assistance on July 29, rising from 6th to 5th place in the ranking of total aid.</t>
    </r>
  </si>
  <si>
    <r>
      <rPr>
        <u/>
        <sz val="12"/>
        <color theme="1"/>
        <rFont val="Times New Roman"/>
        <family val="1"/>
      </rPr>
      <t>Norway</t>
    </r>
    <r>
      <rPr>
        <sz val="12"/>
        <color theme="1"/>
        <rFont val="Times New Roman"/>
        <family val="1"/>
      </rPr>
      <t xml:space="preserve"> committed €1 billion in financial assistance on July 1, rising from 9th to 8th place in the ranking of total aid. </t>
    </r>
  </si>
  <si>
    <r>
      <rPr>
        <u/>
        <sz val="12"/>
        <color theme="1"/>
        <rFont val="Times New Roman"/>
        <family val="1"/>
      </rPr>
      <t>Lithuania</t>
    </r>
    <r>
      <rPr>
        <sz val="12"/>
        <color theme="1"/>
        <rFont val="Times New Roman"/>
        <family val="1"/>
      </rPr>
      <t xml:space="preserve"> committed almost €4 million in military assistance, rising from 6th to 5th in the ranking of total aid in percent of GDP (0.13% increase).</t>
    </r>
  </si>
  <si>
    <r>
      <t xml:space="preserve">The </t>
    </r>
    <r>
      <rPr>
        <u/>
        <sz val="12"/>
        <color theme="1"/>
        <rFont val="Times New Roman"/>
        <family val="1"/>
      </rPr>
      <t>United States</t>
    </r>
    <r>
      <rPr>
        <sz val="12"/>
        <color theme="1"/>
        <rFont val="Times New Roman"/>
        <family val="1"/>
      </rPr>
      <t xml:space="preserve"> disbursed €2.987 billion in budgetary support, rising from 3d to 1st place in the ranking of disbursed budgetary support. </t>
    </r>
  </si>
  <si>
    <r>
      <t xml:space="preserve">The </t>
    </r>
    <r>
      <rPr>
        <u/>
        <sz val="12"/>
        <color theme="1"/>
        <rFont val="Times New Roman"/>
        <family val="1"/>
      </rPr>
      <t>European Union</t>
    </r>
    <r>
      <rPr>
        <sz val="12"/>
        <color theme="1"/>
        <rFont val="Times New Roman"/>
        <family val="1"/>
      </rPr>
      <t xml:space="preserve"> disbursed €1.09 billion in budgetary support, moving from 1st to 2nd place in the ranking of disbursed budgetary support. </t>
    </r>
  </si>
  <si>
    <r>
      <rPr>
        <u/>
        <sz val="12"/>
        <color theme="1"/>
        <rFont val="Times New Roman"/>
        <family val="1"/>
      </rPr>
      <t>Germany</t>
    </r>
    <r>
      <rPr>
        <sz val="12"/>
        <color theme="1"/>
        <rFont val="Times New Roman"/>
        <family val="1"/>
      </rPr>
      <t xml:space="preserve"> disbursed €995 million in budgetary support, moving from 6th to 3d place in the ranking of disbursed budgetary support. </t>
    </r>
  </si>
  <si>
    <r>
      <t xml:space="preserve">The </t>
    </r>
    <r>
      <rPr>
        <u/>
        <sz val="12"/>
        <color theme="1"/>
        <rFont val="Times New Roman"/>
        <family val="1"/>
      </rPr>
      <t>United Kingdom</t>
    </r>
    <r>
      <rPr>
        <sz val="12"/>
        <color theme="1"/>
        <rFont val="Times New Roman"/>
        <family val="1"/>
      </rPr>
      <t xml:space="preserve"> disbursed €447 million in budgetary support, rising from 7th to 5th place in the ranking of disbursed budgetary support. </t>
    </r>
  </si>
  <si>
    <t>Major disclosures</t>
  </si>
  <si>
    <r>
      <t xml:space="preserve">The </t>
    </r>
    <r>
      <rPr>
        <u/>
        <sz val="12"/>
        <color theme="1"/>
        <rFont val="Times New Roman"/>
        <family val="1"/>
      </rPr>
      <t>Netherlands</t>
    </r>
    <r>
      <rPr>
        <sz val="12"/>
        <color theme="1"/>
        <rFont val="Times New Roman"/>
        <family val="1"/>
      </rPr>
      <t xml:space="preserve"> committed €200 million in financial assistance on May 6, rising from 21st to 13th place in the ranking of total aid. This information was disclosed during the Ukraine Recovery Conference taking place in Lugano </t>
    </r>
  </si>
  <si>
    <t xml:space="preserve">on July 4. </t>
  </si>
  <si>
    <r>
      <rPr>
        <u/>
        <sz val="12"/>
        <color theme="1"/>
        <rFont val="Times New Roman"/>
        <family val="1"/>
      </rPr>
      <t>Spain</t>
    </r>
    <r>
      <rPr>
        <sz val="12"/>
        <color theme="1"/>
        <rFont val="Times New Roman"/>
        <family val="1"/>
      </rPr>
      <t xml:space="preserve"> committed €200 million in financial assistance on June 7, thus rising from 24th to 14th place in the ranking of total aid. This information was disclosed during the Ukraine Recovery Conference taking place in Lugano</t>
    </r>
  </si>
  <si>
    <r>
      <rPr>
        <u/>
        <sz val="12"/>
        <color theme="1"/>
        <rFont val="Times New Roman"/>
        <family val="1"/>
      </rPr>
      <t>DEM1</t>
    </r>
    <r>
      <rPr>
        <sz val="12"/>
        <color theme="1"/>
        <rFont val="Times New Roman"/>
        <family val="1"/>
      </rPr>
      <t xml:space="preserve">: The list of weapons and equipment provided by </t>
    </r>
    <r>
      <rPr>
        <u/>
        <sz val="12"/>
        <color theme="1"/>
        <rFont val="Times New Roman"/>
        <family val="1"/>
      </rPr>
      <t>German</t>
    </r>
    <r>
      <rPr>
        <sz val="12"/>
        <color theme="1"/>
        <rFont val="Times New Roman"/>
        <family val="1"/>
      </rPr>
      <t xml:space="preserve"> official sources on July 1 (amounting to €245 million) is now included in the €1.2 military package announced by Scholz on April 15. </t>
    </r>
  </si>
  <si>
    <r>
      <rPr>
        <u/>
        <sz val="12"/>
        <color theme="1"/>
        <rFont val="Times New Roman"/>
        <family val="1"/>
      </rPr>
      <t>FRH2</t>
    </r>
    <r>
      <rPr>
        <sz val="12"/>
        <color theme="1"/>
        <rFont val="Times New Roman"/>
        <family val="1"/>
      </rPr>
      <t xml:space="preserve">: The 1€ billion financial guarantee provided by </t>
    </r>
    <r>
      <rPr>
        <u/>
        <sz val="12"/>
        <color theme="1"/>
        <rFont val="Times New Roman"/>
        <family val="1"/>
      </rPr>
      <t>France</t>
    </r>
    <r>
      <rPr>
        <sz val="12"/>
        <color theme="1"/>
        <rFont val="Times New Roman"/>
        <family val="1"/>
      </rPr>
      <t xml:space="preserve"> on February 8 is not included anymore due to a lack of sources on the money's allocation.</t>
    </r>
  </si>
  <si>
    <t xml:space="preserve">The price estimates have been updated through more precise and careful calculations. </t>
  </si>
  <si>
    <t>Release 5 (until July 1, 2022)</t>
  </si>
  <si>
    <r>
      <t xml:space="preserve">The </t>
    </r>
    <r>
      <rPr>
        <u/>
        <sz val="12"/>
        <color theme="1"/>
        <rFont val="Times New Roman"/>
        <family val="1"/>
      </rPr>
      <t>United Kingdom</t>
    </r>
    <r>
      <rPr>
        <sz val="12"/>
        <color theme="1"/>
        <rFont val="Times New Roman"/>
        <family val="1"/>
      </rPr>
      <t xml:space="preserve"> committed £1.2 (€1.55) billion in military assistance on June 30. Despite the United Kingdom remanining in 3d place in the ranking of total aid, this new commitment shifts its</t>
    </r>
  </si>
  <si>
    <t xml:space="preserve">position in the ranking of total aid in percent of GDP, bringing the United Kingdom from 6th to 5th place (0.05% increase). </t>
  </si>
  <si>
    <r>
      <t xml:space="preserve">The </t>
    </r>
    <r>
      <rPr>
        <u/>
        <sz val="12"/>
        <color theme="1"/>
        <rFont val="Times New Roman"/>
        <family val="1"/>
      </rPr>
      <t>European Union</t>
    </r>
    <r>
      <rPr>
        <sz val="12"/>
        <color theme="1"/>
        <rFont val="Times New Roman"/>
        <family val="1"/>
      </rPr>
      <t xml:space="preserve"> committed €205 million in humanitarian assistance, thus remaining in 2nd place in the ranking of total aid. </t>
    </r>
  </si>
  <si>
    <r>
      <rPr>
        <u/>
        <sz val="12"/>
        <color theme="1"/>
        <rFont val="Times New Roman"/>
        <family val="1"/>
      </rPr>
      <t>Poland</t>
    </r>
    <r>
      <rPr>
        <sz val="12"/>
        <color theme="1"/>
        <rFont val="Times New Roman"/>
        <family val="1"/>
      </rPr>
      <t xml:space="preserve"> committed €100 million in military assistance, thus remaining in 5th place in the ranking of total aid. </t>
    </r>
  </si>
  <si>
    <r>
      <rPr>
        <u/>
        <sz val="12"/>
        <color theme="1"/>
        <rFont val="Times New Roman"/>
        <family val="1"/>
      </rPr>
      <t>Canada</t>
    </r>
    <r>
      <rPr>
        <sz val="12"/>
        <color theme="1"/>
        <rFont val="Times New Roman"/>
        <family val="1"/>
      </rPr>
      <t xml:space="preserve"> committed C$200 million (€148 million) in financial assistance through loans, thus remaining in 6th place in the ranking. </t>
    </r>
  </si>
  <si>
    <r>
      <rPr>
        <u/>
        <sz val="12"/>
        <color theme="1"/>
        <rFont val="Times New Roman"/>
        <family val="1"/>
      </rPr>
      <t>Slovakia</t>
    </r>
    <r>
      <rPr>
        <sz val="12"/>
        <color theme="1"/>
        <rFont val="Times New Roman"/>
        <family val="1"/>
      </rPr>
      <t xml:space="preserve"> committed €50 million in military assistance (weapons), thus moving from 12th to 7th place in the ranking of total aid in percent of GDP (0.05% increase). </t>
    </r>
  </si>
  <si>
    <r>
      <rPr>
        <u/>
        <sz val="12"/>
        <color rgb="FF000000"/>
        <rFont val="Times New Roman"/>
        <family val="1"/>
      </rPr>
      <t>Canada</t>
    </r>
    <r>
      <rPr>
        <sz val="12"/>
        <color rgb="FF000000"/>
        <rFont val="Times New Roman"/>
        <family val="1"/>
      </rPr>
      <t xml:space="preserve"> delivered €295 million of its in-kind military assistance, thus remaining 4t in the ranking of delivered in-kind military assistance. </t>
    </r>
  </si>
  <si>
    <r>
      <rPr>
        <u/>
        <sz val="12"/>
        <color rgb="FF000000"/>
        <rFont val="Times New Roman"/>
        <family val="1"/>
      </rPr>
      <t>Denmark</t>
    </r>
    <r>
      <rPr>
        <sz val="12"/>
        <color rgb="FF000000"/>
        <rFont val="Times New Roman"/>
        <family val="1"/>
      </rPr>
      <t xml:space="preserve"> delivered €107 million of its in-kind military assistance, thus moving from 16th to 10th in the ranking of delivered in-kind military assistance. </t>
    </r>
  </si>
  <si>
    <r>
      <rPr>
        <u/>
        <sz val="12"/>
        <color rgb="FF000000"/>
        <rFont val="Times New Roman"/>
        <family val="1"/>
      </rPr>
      <t>Poland</t>
    </r>
    <r>
      <rPr>
        <sz val="12"/>
        <color rgb="FF000000"/>
        <rFont val="Times New Roman"/>
        <family val="1"/>
      </rPr>
      <t xml:space="preserve"> delivered €100 million of its in-kind military assistance, thus remaining 2nd in the ranking of delivered in-kind military assistance. </t>
    </r>
  </si>
  <si>
    <r>
      <rPr>
        <u/>
        <sz val="12"/>
        <color rgb="FF000000"/>
        <rFont val="Times New Roman"/>
        <family val="1"/>
      </rPr>
      <t>Canada</t>
    </r>
    <r>
      <rPr>
        <sz val="12"/>
        <color rgb="FF000000"/>
        <rFont val="Times New Roman"/>
        <family val="1"/>
      </rPr>
      <t xml:space="preserve"> disbursed €175 million in budgetary support, thus moving from 3d to 2nd place in the ranking of disbursed budgetary support. </t>
    </r>
  </si>
  <si>
    <r>
      <rPr>
        <u/>
        <sz val="12"/>
        <color rgb="FF000000"/>
        <rFont val="Times New Roman"/>
        <family val="1"/>
      </rPr>
      <t>Japan</t>
    </r>
    <r>
      <rPr>
        <sz val="12"/>
        <color rgb="FF000000"/>
        <rFont val="Times New Roman"/>
        <family val="1"/>
      </rPr>
      <t xml:space="preserve"> disbursed €452 million in budegtary support, thus moving from 8th to 4th in the ranking of disbursed budgetary support. </t>
    </r>
  </si>
  <si>
    <r>
      <t xml:space="preserve">On July 1, </t>
    </r>
    <r>
      <rPr>
        <u/>
        <sz val="12"/>
        <color rgb="FF000000"/>
        <rFont val="Times New Roman"/>
        <family val="1"/>
      </rPr>
      <t>Germany</t>
    </r>
    <r>
      <rPr>
        <sz val="12"/>
        <color rgb="FF000000"/>
        <rFont val="Times New Roman"/>
        <family val="1"/>
      </rPr>
      <t xml:space="preserve"> published a list of committed and delivered military items to Ukraine. This list contained items specified in our previous release, along with new </t>
    </r>
  </si>
  <si>
    <t xml:space="preserve">equipment amounting to €80 million. The additional military equipment does not change the position of Germany in the ranking of total aid (4th place). </t>
  </si>
  <si>
    <t xml:space="preserve">No major corrections in this release. </t>
  </si>
  <si>
    <t>Release 4 (until June 7, 2022)</t>
  </si>
  <si>
    <r>
      <t xml:space="preserve">The </t>
    </r>
    <r>
      <rPr>
        <u/>
        <sz val="12"/>
        <color theme="1"/>
        <rFont val="Times New Roman"/>
        <family val="1"/>
      </rPr>
      <t>European Union</t>
    </r>
    <r>
      <rPr>
        <sz val="12"/>
        <color theme="1"/>
        <rFont val="Times New Roman"/>
        <family val="1"/>
      </rPr>
      <t xml:space="preserve"> committed an additional amount of €9.5 billion, rising from 3rd to 2nd in the ranking of total aid:</t>
    </r>
  </si>
  <si>
    <t>€9 billion in financial assistance through the Macro-Financial Assistance facility</t>
  </si>
  <si>
    <t>€500 million in military assistance through the European Peace Facility</t>
  </si>
  <si>
    <r>
      <rPr>
        <u/>
        <sz val="12"/>
        <color theme="1"/>
        <rFont val="Times New Roman"/>
        <family val="1"/>
      </rPr>
      <t>Germany</t>
    </r>
    <r>
      <rPr>
        <sz val="12"/>
        <color theme="1"/>
        <rFont val="Times New Roman"/>
        <family val="1"/>
      </rPr>
      <t xml:space="preserve"> committed €1 billion in financial assistance, thus moving from 5th to 4th in the ranking of total aid.</t>
    </r>
  </si>
  <si>
    <r>
      <rPr>
        <u/>
        <sz val="12"/>
        <color theme="1"/>
        <rFont val="Times New Roman"/>
        <family val="1"/>
      </rPr>
      <t>Japan</t>
    </r>
    <r>
      <rPr>
        <sz val="12"/>
        <color theme="1"/>
        <rFont val="Times New Roman"/>
        <family val="1"/>
      </rPr>
      <t xml:space="preserve"> committed $300 (€278) million in financial assistance, thus moving from 11th to 8th in the ranking of total aid.</t>
    </r>
  </si>
  <si>
    <r>
      <rPr>
        <u/>
        <sz val="12"/>
        <color theme="1"/>
        <rFont val="Times New Roman"/>
        <family val="1"/>
      </rPr>
      <t>Lithuania</t>
    </r>
    <r>
      <rPr>
        <sz val="12"/>
        <color theme="1"/>
        <rFont val="Times New Roman"/>
        <family val="1"/>
      </rPr>
      <t xml:space="preserve"> committed €15.5 million in military assistance, thus moving from 5th to 4th in the ranking of total aid in percent of GDP (0.11% increase).</t>
    </r>
  </si>
  <si>
    <r>
      <t xml:space="preserve">The </t>
    </r>
    <r>
      <rPr>
        <u/>
        <sz val="12"/>
        <color theme="1"/>
        <rFont val="Times New Roman"/>
        <family val="1"/>
      </rPr>
      <t>Czech Republic</t>
    </r>
    <r>
      <rPr>
        <sz val="12"/>
        <color theme="1"/>
        <rFont val="Times New Roman"/>
        <family val="1"/>
      </rPr>
      <t xml:space="preserve"> committed €175.27 million in new assistance (€107.30 million in military and €67.97 million in humanitarian), thus moving from from 12th to 7th in the ranking of total aid in</t>
    </r>
  </si>
  <si>
    <t>percent of GDP (0.08% increase).</t>
  </si>
  <si>
    <r>
      <rPr>
        <u/>
        <sz val="12"/>
        <color theme="1"/>
        <rFont val="Times New Roman"/>
        <family val="1"/>
      </rPr>
      <t>Norway</t>
    </r>
    <r>
      <rPr>
        <sz val="12"/>
        <color theme="1"/>
        <rFont val="Times New Roman"/>
        <family val="1"/>
      </rPr>
      <t xml:space="preserve"> committed €160.2 million in new assistance (€155.3 million in military and €4.9 million in financial), thus moving from from 9th to 8th in the ranking of total aid in percent of GDP (0.06% increase).</t>
    </r>
  </si>
  <si>
    <r>
      <rPr>
        <u/>
        <sz val="12"/>
        <color theme="1"/>
        <rFont val="Times New Roman"/>
        <family val="1"/>
      </rPr>
      <t>Greece</t>
    </r>
    <r>
      <rPr>
        <sz val="12"/>
        <color theme="1"/>
        <rFont val="Times New Roman"/>
        <family val="1"/>
      </rPr>
      <t xml:space="preserve"> committed €231.58 million in military assistance, thus moving from from 29th to 10th in the ranking of total aid in percent of GDP (0.13% increase).</t>
    </r>
  </si>
  <si>
    <r>
      <rPr>
        <u/>
        <sz val="12"/>
        <color theme="1"/>
        <rFont val="Times New Roman"/>
        <family val="1"/>
      </rPr>
      <t>Portugal</t>
    </r>
    <r>
      <rPr>
        <sz val="12"/>
        <color theme="1"/>
        <rFont val="Times New Roman"/>
        <family val="1"/>
      </rPr>
      <t xml:space="preserve"> committed €250 million in financial assistance, thus moving from from 35th to 11th in the ranking of total aid in percent of GDP (0.12% increase).</t>
    </r>
  </si>
  <si>
    <t xml:space="preserve">No major disclosure of previously committed aid. </t>
  </si>
  <si>
    <t xml:space="preserve">Figure 5, "Military aid": We counted for the US a total of €13.93 billion of military aid commitments that were tied to some specific weapon and equipment delivery. </t>
  </si>
  <si>
    <t>However, this included also $11 billion of presidential drawdowns that are so far only used for a commitment of $700 million specifically tied to weapon deliveries.</t>
  </si>
  <si>
    <t>Hence, we correct this and disentangle the 11 billion USD accordingly as $700 million tied to weapon and equipment deliveries and the remaining part as financial aid</t>
  </si>
  <si>
    <t>with military purpose.</t>
  </si>
  <si>
    <t>Release 3 (until May 10, 2022)</t>
  </si>
  <si>
    <r>
      <t xml:space="preserve">The </t>
    </r>
    <r>
      <rPr>
        <u/>
        <sz val="12"/>
        <color theme="1"/>
        <rFont val="Times New Roman"/>
        <family val="1"/>
      </rPr>
      <t>United States</t>
    </r>
    <r>
      <rPr>
        <sz val="12"/>
        <color theme="1"/>
        <rFont val="Times New Roman"/>
        <family val="1"/>
      </rPr>
      <t xml:space="preserve"> committed and additional amount of €19.99 billion in military assistance on May 10:</t>
    </r>
  </si>
  <si>
    <t>€10.4 billion in Presidential Drawdowns</t>
  </si>
  <si>
    <t>€5.7 billion for the Ukraine Security Assistance Initiative</t>
  </si>
  <si>
    <t>€3.8 billion for the Foreign Military Financing Program</t>
  </si>
  <si>
    <t>€95 million for non-proliferation, anti-terrorism, demining and related programs</t>
  </si>
  <si>
    <r>
      <t xml:space="preserve">The </t>
    </r>
    <r>
      <rPr>
        <u/>
        <sz val="12"/>
        <color theme="1"/>
        <rFont val="Times New Roman"/>
        <family val="1"/>
      </rPr>
      <t>United States</t>
    </r>
    <r>
      <rPr>
        <sz val="12"/>
        <color theme="1"/>
        <rFont val="Times New Roman"/>
        <family val="1"/>
      </rPr>
      <t xml:space="preserve"> committed €8.06 billion in financial assistance on May 10:</t>
    </r>
  </si>
  <si>
    <t>€7.6 billion for the Economic Support Fund</t>
  </si>
  <si>
    <t>€474 million through the European Bank for Reconstruction and Development</t>
  </si>
  <si>
    <r>
      <t xml:space="preserve">The </t>
    </r>
    <r>
      <rPr>
        <u/>
        <sz val="12"/>
        <color theme="1"/>
        <rFont val="Times New Roman"/>
        <family val="1"/>
      </rPr>
      <t>United States</t>
    </r>
    <r>
      <rPr>
        <sz val="12"/>
        <color theme="1"/>
        <rFont val="Times New Roman"/>
        <family val="1"/>
      </rPr>
      <t xml:space="preserve"> committed €4.26 billion in humanitarian assistance on May 10:</t>
    </r>
  </si>
  <si>
    <t>€4.12 billion for emergency food assistance</t>
  </si>
  <si>
    <t>€1.9 million and modern and regulatory support</t>
  </si>
  <si>
    <t>€142 million for the Global Agriculture and Food Security Program</t>
  </si>
  <si>
    <r>
      <t xml:space="preserve">The </t>
    </r>
    <r>
      <rPr>
        <u/>
        <sz val="12"/>
        <color theme="1"/>
        <rFont val="Times New Roman"/>
        <family val="1"/>
      </rPr>
      <t>United Kingdom</t>
    </r>
    <r>
      <rPr>
        <sz val="12"/>
        <color theme="1"/>
        <rFont val="Times New Roman"/>
        <family val="1"/>
      </rPr>
      <t xml:space="preserve"> committed €1.55 billion in military assistance at the beginning of May.</t>
    </r>
  </si>
  <si>
    <r>
      <rPr>
        <u/>
        <sz val="12"/>
        <color theme="1"/>
        <rFont val="Times New Roman"/>
        <family val="1"/>
      </rPr>
      <t>Lithuania</t>
    </r>
    <r>
      <rPr>
        <sz val="12"/>
        <color theme="1"/>
        <rFont val="Times New Roman"/>
        <family val="1"/>
      </rPr>
      <t xml:space="preserve"> committed €27 million in new assistance (€20 million in military, €5 million in humanitarian and €2 million in financial), raising from 6th to 5th in the ranking of total aid in percent of GDP (0.02% increase).</t>
    </r>
  </si>
  <si>
    <r>
      <rPr>
        <u/>
        <sz val="12"/>
        <color theme="1"/>
        <rFont val="Times New Roman"/>
        <family val="1"/>
      </rPr>
      <t>Hungary</t>
    </r>
    <r>
      <rPr>
        <sz val="12"/>
        <color theme="1"/>
        <rFont val="Times New Roman"/>
        <family val="1"/>
      </rPr>
      <t xml:space="preserve"> committed €119.01 million in humanitarian assistance, raising from 26th to 10th in the ranking of total aid in percent of GDP (0.08% increase).</t>
    </r>
  </si>
  <si>
    <r>
      <rPr>
        <u/>
        <sz val="12"/>
        <color theme="1"/>
        <rFont val="Times New Roman"/>
        <family val="1"/>
      </rPr>
      <t>Estonia</t>
    </r>
    <r>
      <rPr>
        <sz val="12"/>
        <color theme="1"/>
        <rFont val="Times New Roman"/>
        <family val="1"/>
      </rPr>
      <t xml:space="preserve"> committed €234.59 in new assistance (€230 million in military and €4.59 million in humanitarian), with a 0.1% increase in ist total aid in percent of GDP.</t>
    </r>
  </si>
  <si>
    <r>
      <t xml:space="preserve">We discovered through an article published by Delano on April 25 that the €250 million financial assistance reported for </t>
    </r>
    <r>
      <rPr>
        <u/>
        <sz val="12"/>
        <color theme="1"/>
        <rFont val="Times New Roman"/>
        <family val="1"/>
      </rPr>
      <t>Luxembourg</t>
    </r>
    <r>
      <rPr>
        <sz val="12"/>
        <color theme="1"/>
        <rFont val="Times New Roman"/>
        <family val="1"/>
      </rPr>
      <t xml:space="preserve"> in the previous data release</t>
    </r>
  </si>
  <si>
    <t>is a contribution to a collective EU aid package. In this current release we decided to drop it in order to avoid double-counting.</t>
  </si>
  <si>
    <r>
      <rPr>
        <u/>
        <sz val="12"/>
        <color theme="1"/>
        <rFont val="Times New Roman"/>
        <family val="1"/>
      </rPr>
      <t>UKF5</t>
    </r>
    <r>
      <rPr>
        <sz val="12"/>
        <color theme="1"/>
        <rFont val="Times New Roman"/>
        <family val="1"/>
      </rPr>
      <t xml:space="preserve">: We added the financial aid provided by the </t>
    </r>
    <r>
      <rPr>
        <u/>
        <sz val="12"/>
        <color theme="1"/>
        <rFont val="Times New Roman"/>
        <family val="1"/>
      </rPr>
      <t>United Kingdom</t>
    </r>
    <r>
      <rPr>
        <sz val="12"/>
        <color theme="1"/>
        <rFont val="Times New Roman"/>
        <family val="1"/>
      </rPr>
      <t xml:space="preserve"> on April 22 and amounting to £1.05 billion (£730 million in guarantees and £320 in grants). </t>
    </r>
  </si>
  <si>
    <r>
      <rPr>
        <u/>
        <sz val="12"/>
        <color theme="1"/>
        <rFont val="Times New Roman"/>
        <family val="1"/>
      </rPr>
      <t>UKH2</t>
    </r>
    <r>
      <rPr>
        <sz val="12"/>
        <color theme="1"/>
        <rFont val="Times New Roman"/>
        <family val="1"/>
      </rPr>
      <t xml:space="preserve">: We revise downwards the humanitarian aid provided by the </t>
    </r>
    <r>
      <rPr>
        <u/>
        <sz val="12"/>
        <color theme="1"/>
        <rFont val="Times New Roman"/>
        <family val="1"/>
      </rPr>
      <t>United Kingdom</t>
    </r>
    <r>
      <rPr>
        <sz val="12"/>
        <color theme="1"/>
        <rFont val="Times New Roman"/>
        <family val="1"/>
      </rPr>
      <t xml:space="preserve"> dropping £100 million dedictaed to a 3-year development package.</t>
    </r>
  </si>
  <si>
    <r>
      <t xml:space="preserve">We no longer double count the EPF contribution as additional aid, namely the €400 million, €1.2 million, €33 million and €10 million reported by </t>
    </r>
    <r>
      <rPr>
        <u/>
        <sz val="12"/>
        <color theme="1"/>
        <rFont val="Times New Roman"/>
        <family val="1"/>
      </rPr>
      <t>Germany</t>
    </r>
    <r>
      <rPr>
        <sz val="12"/>
        <color theme="1"/>
        <rFont val="Times New Roman"/>
        <family val="1"/>
      </rPr>
      <t xml:space="preserve">, </t>
    </r>
    <r>
      <rPr>
        <u/>
        <sz val="12"/>
        <color theme="1"/>
        <rFont val="Times New Roman"/>
        <family val="1"/>
      </rPr>
      <t>Latvia</t>
    </r>
    <r>
      <rPr>
        <sz val="12"/>
        <color theme="1"/>
        <rFont val="Times New Roman"/>
        <family val="1"/>
      </rPr>
      <t xml:space="preserve">, </t>
    </r>
    <r>
      <rPr>
        <u/>
        <sz val="12"/>
        <color theme="1"/>
        <rFont val="Times New Roman"/>
        <family val="1"/>
      </rPr>
      <t>Ireland</t>
    </r>
    <r>
      <rPr>
        <sz val="12"/>
        <color theme="1"/>
        <rFont val="Times New Roman"/>
        <family val="1"/>
      </rPr>
      <t xml:space="preserve"> and </t>
    </r>
    <r>
      <rPr>
        <u/>
        <sz val="12"/>
        <color theme="1"/>
        <rFont val="Times New Roman"/>
        <family val="1"/>
      </rPr>
      <t>Portugal</t>
    </r>
    <r>
      <rPr>
        <sz val="12"/>
        <color theme="1"/>
        <rFont val="Times New Roman"/>
        <family val="1"/>
      </rPr>
      <t xml:space="preserve"> to</t>
    </r>
  </si>
  <si>
    <t xml:space="preserve">the European Peace Facility. The EPF is of courses counted when listing contribution provided by the European Union (Commission and Council). </t>
  </si>
  <si>
    <r>
      <rPr>
        <u/>
        <sz val="12"/>
        <color theme="1"/>
        <rFont val="Times New Roman"/>
        <family val="1"/>
      </rPr>
      <t>FRH2</t>
    </r>
    <r>
      <rPr>
        <sz val="12"/>
        <color theme="1"/>
        <rFont val="Times New Roman"/>
        <family val="1"/>
      </rPr>
      <t xml:space="preserve">: In May, Macron reiterated </t>
    </r>
    <r>
      <rPr>
        <u/>
        <sz val="12"/>
        <color theme="1"/>
        <rFont val="Times New Roman"/>
        <family val="1"/>
      </rPr>
      <t>France's</t>
    </r>
    <r>
      <rPr>
        <sz val="12"/>
        <color theme="1"/>
        <rFont val="Times New Roman"/>
        <family val="1"/>
      </rPr>
      <t xml:space="preserve"> €1.2 billion of financial aid committed to Ukraine in February. These commitments were barely reported on earlier, but are now added: </t>
    </r>
  </si>
  <si>
    <t>€200 million loan on February 8</t>
  </si>
  <si>
    <t>€1 billion guarantee on February 8</t>
  </si>
  <si>
    <t>Release 2 (until April 23, 2022)</t>
  </si>
  <si>
    <r>
      <t xml:space="preserve">The </t>
    </r>
    <r>
      <rPr>
        <u/>
        <sz val="12"/>
        <rFont val="Times New Roman"/>
        <family val="1"/>
      </rPr>
      <t>United States</t>
    </r>
    <r>
      <rPr>
        <sz val="12"/>
        <rFont val="Times New Roman"/>
        <family val="1"/>
      </rPr>
      <t xml:space="preserve"> committed an additional amount of $2 billion in financial assistance, increasing their financial aid by €1.81 billion. The total amount consists of the following packages: $1 billion loan on February 14, $500 million grant on March 30, $500 million grant on April 21.</t>
    </r>
  </si>
  <si>
    <r>
      <t xml:space="preserve">The </t>
    </r>
    <r>
      <rPr>
        <u/>
        <sz val="12"/>
        <rFont val="Times New Roman"/>
        <family val="1"/>
      </rPr>
      <t>United States</t>
    </r>
    <r>
      <rPr>
        <sz val="12"/>
        <rFont val="Times New Roman"/>
        <family val="1"/>
      </rPr>
      <t xml:space="preserve"> committed in April an additional amount of €1.2 billion in humanitarian assistance.</t>
    </r>
  </si>
  <si>
    <r>
      <rPr>
        <u/>
        <sz val="12"/>
        <color theme="1"/>
        <rFont val="Times New Roman"/>
        <family val="1"/>
      </rPr>
      <t>Canada</t>
    </r>
    <r>
      <rPr>
        <sz val="12"/>
        <color theme="1"/>
        <rFont val="Times New Roman"/>
        <family val="1"/>
      </rPr>
      <t xml:space="preserve"> extended its financial assistance of €1.1 billion:</t>
    </r>
  </si>
  <si>
    <t>€367 loan on February 14</t>
  </si>
  <si>
    <t>€735 loan on April 8</t>
  </si>
  <si>
    <r>
      <rPr>
        <u/>
        <sz val="12"/>
        <color theme="1"/>
        <rFont val="Times New Roman"/>
        <family val="1"/>
      </rPr>
      <t>Canada</t>
    </r>
    <r>
      <rPr>
        <sz val="12"/>
        <color theme="1"/>
        <rFont val="Times New Roman"/>
        <family val="1"/>
      </rPr>
      <t xml:space="preserve"> extended its military assistance of approximately €617 million:</t>
    </r>
  </si>
  <si>
    <t>€250 million on January 26</t>
  </si>
  <si>
    <t>€367 million on April 24</t>
  </si>
  <si>
    <r>
      <t xml:space="preserve">The financial assistance offered by the </t>
    </r>
    <r>
      <rPr>
        <u/>
        <sz val="12"/>
        <color theme="1"/>
        <rFont val="Times New Roman"/>
        <family val="1"/>
      </rPr>
      <t>United Kindgom</t>
    </r>
    <r>
      <rPr>
        <sz val="12"/>
        <color theme="1"/>
        <rFont val="Times New Roman"/>
        <family val="1"/>
      </rPr>
      <t xml:space="preserve"> increased of almost €800 million:</t>
    </r>
  </si>
  <si>
    <t xml:space="preserve">€105 million grant on February 1 </t>
  </si>
  <si>
    <t>€598 million loan on February 23</t>
  </si>
  <si>
    <t>€91 million through the World Bank</t>
  </si>
  <si>
    <r>
      <rPr>
        <u/>
        <sz val="12"/>
        <color theme="1"/>
        <rFont val="Times New Roman"/>
        <family val="1"/>
      </rPr>
      <t>Germany</t>
    </r>
    <r>
      <rPr>
        <sz val="12"/>
        <color theme="1"/>
        <rFont val="Times New Roman"/>
        <family val="1"/>
      </rPr>
      <t xml:space="preserve"> announced on April 14 an increase of €1.2 billion in its military assistance.</t>
    </r>
  </si>
  <si>
    <t>No new major new disclosed information.</t>
  </si>
  <si>
    <r>
      <rPr>
        <u/>
        <sz val="12"/>
        <color theme="1"/>
        <rFont val="Times New Roman"/>
        <family val="1"/>
      </rPr>
      <t>USM1</t>
    </r>
    <r>
      <rPr>
        <sz val="12"/>
        <color theme="1"/>
        <rFont val="Times New Roman"/>
        <family val="1"/>
      </rPr>
      <t xml:space="preserve">: The military aid provided by the </t>
    </r>
    <r>
      <rPr>
        <u/>
        <sz val="12"/>
        <color theme="1"/>
        <rFont val="Times New Roman"/>
        <family val="1"/>
      </rPr>
      <t>United States</t>
    </r>
    <r>
      <rPr>
        <sz val="12"/>
        <color theme="1"/>
        <rFont val="Times New Roman"/>
        <family val="1"/>
      </rPr>
      <t xml:space="preserve"> was revised downwards by €181 million, due to the fact that $200 million out of the $3.5 billion allowed in presidential drawdowns had already been used in December 2021.</t>
    </r>
  </si>
  <si>
    <r>
      <rPr>
        <u/>
        <sz val="12"/>
        <color theme="1"/>
        <rFont val="Times New Roman"/>
        <family val="1"/>
      </rPr>
      <t>LUF1</t>
    </r>
    <r>
      <rPr>
        <sz val="12"/>
        <color theme="1"/>
        <rFont val="Times New Roman"/>
        <family val="1"/>
      </rPr>
      <t xml:space="preserve">: We added the financial assistance committed by </t>
    </r>
    <r>
      <rPr>
        <u/>
        <sz val="12"/>
        <color theme="1"/>
        <rFont val="Times New Roman"/>
        <family val="1"/>
      </rPr>
      <t>Luxembourg</t>
    </r>
    <r>
      <rPr>
        <sz val="12"/>
        <color theme="1"/>
        <rFont val="Times New Roman"/>
        <family val="1"/>
      </rPr>
      <t xml:space="preserve"> on March 8, amounting to €250 million and increasing aid in percentage of GDP of  approximately 0.37%.</t>
    </r>
  </si>
  <si>
    <r>
      <rPr>
        <u/>
        <sz val="12"/>
        <color theme="1"/>
        <rFont val="Times New Roman"/>
        <family val="1"/>
      </rPr>
      <t>PLM1</t>
    </r>
    <r>
      <rPr>
        <sz val="12"/>
        <color theme="1"/>
        <rFont val="Times New Roman"/>
        <family val="1"/>
      </rPr>
      <t xml:space="preserve">: The Prime Minister of </t>
    </r>
    <r>
      <rPr>
        <u/>
        <sz val="12"/>
        <color theme="1"/>
        <rFont val="Times New Roman"/>
        <family val="1"/>
      </rPr>
      <t>Poland</t>
    </r>
    <r>
      <rPr>
        <sz val="12"/>
        <color theme="1"/>
        <rFont val="Times New Roman"/>
        <family val="1"/>
      </rPr>
      <t xml:space="preserve"> announced on April 23 that the overall Polish military assistance amounted to €1.6 billion. Because of this new piece of information the military assistance from Poland increased by €1.49 billion.</t>
    </r>
  </si>
  <si>
    <r>
      <rPr>
        <u/>
        <sz val="12"/>
        <color theme="1"/>
        <rFont val="Times New Roman"/>
        <family val="1"/>
      </rPr>
      <t>LVM1</t>
    </r>
    <r>
      <rPr>
        <sz val="12"/>
        <color theme="1"/>
        <rFont val="Times New Roman"/>
        <family val="1"/>
      </rPr>
      <t xml:space="preserve">: Due to the disclosure made on April 6 by the Minister of Foreign Affairs about </t>
    </r>
    <r>
      <rPr>
        <u/>
        <sz val="12"/>
        <color theme="1"/>
        <rFont val="Times New Roman"/>
        <family val="1"/>
      </rPr>
      <t>Latvia</t>
    </r>
    <r>
      <rPr>
        <sz val="12"/>
        <color theme="1"/>
        <rFont val="Times New Roman"/>
        <family val="1"/>
      </rPr>
      <t>'s military assistance, Latvia's aid increased by €218 million.</t>
    </r>
  </si>
  <si>
    <t xml:space="preserve">In Figure 9 the GDP (USD) was used to calculate the Percentage of GDP values. This was adjusted to be calculated with the GDP (EUR). </t>
  </si>
  <si>
    <t xml:space="preserve">In Figure 4 the GDP (USD) was used to calculate the Percentage of GDP values for the EU Aid ('Figure 4' Column D). This was resolved to now be calculated with the GDP (EUR) Values. </t>
  </si>
  <si>
    <t>Since the EPF is already included in the EU (Commission and Council) contributions, we excluded it from the Sum of EU Aid ('Aggregate Aid' Column P) calculation.</t>
  </si>
  <si>
    <t xml:space="preserve">Previously, this resulted in a double counting of the EPF shares for EU countries in Figure 4 and Figure A1, this double counting issue was resolved. </t>
  </si>
  <si>
    <t>ID</t>
  </si>
  <si>
    <t>Countries</t>
  </si>
  <si>
    <t>Announcement Date</t>
  </si>
  <si>
    <t>Type of Aid General</t>
  </si>
  <si>
    <t>Type of Aid Specific</t>
  </si>
  <si>
    <t>Explanation</t>
  </si>
  <si>
    <t>Original Currency</t>
  </si>
  <si>
    <t>Monetary Value as Given by Source</t>
  </si>
  <si>
    <t>Items</t>
  </si>
  <si>
    <t>Type of Item</t>
  </si>
  <si>
    <t>Sub-type of item</t>
  </si>
  <si>
    <t>Soviet Origin (1)</t>
  </si>
  <si>
    <t>No. of Units</t>
  </si>
  <si>
    <t>No. of Units Delivered (in-kind military aid)</t>
  </si>
  <si>
    <t>Unit Price in USD</t>
  </si>
  <si>
    <t>Value Committed (own estimate, in USD)</t>
  </si>
  <si>
    <t>Value Delivered (own estimate, in USD)</t>
  </si>
  <si>
    <t xml:space="preserve">Total </t>
  </si>
  <si>
    <t>Converted Value in EUR</t>
  </si>
  <si>
    <t>Total monetary value delivered in EUR</t>
  </si>
  <si>
    <t>Official Source</t>
  </si>
  <si>
    <t>Source of Aid 1</t>
  </si>
  <si>
    <t>Source of Aid 2</t>
  </si>
  <si>
    <t>Source of Aid 3</t>
  </si>
  <si>
    <t>Source of Aid 4</t>
  </si>
  <si>
    <t>Bilateral loan/grant made through IMF or WB?</t>
  </si>
  <si>
    <t>Updated/newly added entry</t>
  </si>
  <si>
    <t>Source for Delivery</t>
  </si>
  <si>
    <t>Working/debug &gt;&gt;&gt;</t>
  </si>
  <si>
    <t>Total_value_dummy (1 is first row in the package)</t>
  </si>
  <si>
    <t>value_source_commitments</t>
  </si>
  <si>
    <t>value_source_deliveries</t>
  </si>
  <si>
    <t>MonthCoding2</t>
  </si>
  <si>
    <t>Month3</t>
  </si>
  <si>
    <t>BeforeWar4</t>
  </si>
  <si>
    <t>Ukraine Asked for it dummy (=1)</t>
  </si>
  <si>
    <t>Heavy_but_undisclosed_commitments</t>
  </si>
  <si>
    <t>Heavy_but_undisclosed_deliveries</t>
  </si>
  <si>
    <t>Ammunition_dummy(=1)</t>
  </si>
  <si>
    <t>Source of item</t>
  </si>
  <si>
    <t>Items (short version)</t>
  </si>
  <si>
    <t>Official Source Yes/No Dummy</t>
  </si>
  <si>
    <t>in-kind dummy</t>
  </si>
  <si>
    <t>dummy_month_check (1=error)</t>
  </si>
  <si>
    <t>explanation dummy (1=error)</t>
  </si>
  <si>
    <t>formula_dummy (1=error)</t>
  </si>
  <si>
    <t>deliveries_more_than_committements (1 = yes)</t>
  </si>
  <si>
    <t>non EU NATO member</t>
  </si>
  <si>
    <t>EU</t>
  </si>
  <si>
    <t>benchmark_check (% of total value)</t>
  </si>
  <si>
    <t>% difference from the value by the source</t>
  </si>
  <si>
    <t>AUH1</t>
  </si>
  <si>
    <t>Australia</t>
  </si>
  <si>
    <t>Humanitarian</t>
  </si>
  <si>
    <t>Assistance</t>
  </si>
  <si>
    <t>Australia has committed immediate humanitarian assistance of an initial 35 million AUD to help meeting the urgent needs of the Ukrainian people. This assistance will deliver lifesaving services and supplies, including the provision of shelter, food, medical care and water.</t>
  </si>
  <si>
    <t>AUD</t>
  </si>
  <si>
    <t>.</t>
  </si>
  <si>
    <t>Yes</t>
  </si>
  <si>
    <t>https://pmtranscripts.pmc.gov.au/release/transcript-43831</t>
  </si>
  <si>
    <t>https://admin.globalcitizen.org/en/content/australia-aid-ukraine/?edit</t>
  </si>
  <si>
    <t>Value is given by the source</t>
  </si>
  <si>
    <t>Value is not given at all</t>
  </si>
  <si>
    <t>AUH2</t>
  </si>
  <si>
    <t>Equipment</t>
  </si>
  <si>
    <t xml:space="preserve">A shipment of 70,000 tons of thermal coal has been provided. Source of Aid 4 lists the value as 32.6 million AUD. We convert the AUD price to USD for a price value per ton of coal estimation. </t>
  </si>
  <si>
    <t>ton of coal</t>
  </si>
  <si>
    <t>undisclosed</t>
  </si>
  <si>
    <t xml:space="preserve">https://www.minister.industry.gov.au/ministers/pitt/media-releases/whitehaven-assist-ukraine-request-provide-energy-security </t>
  </si>
  <si>
    <t xml:space="preserve">https://www.kmu.gov.ua/en/news/70-000-tonn-vugillya-nadast-ukrayini-avstraliya-german-galushchenko </t>
  </si>
  <si>
    <t xml:space="preserve">https://www.abc.net.au/news/rural/2022-03-22/cost-sending-70000-tonnes-of-coal-to-ukraine/100929070 </t>
  </si>
  <si>
    <t>https://www.dfat.gov.au/crisis-hub/invasion-ukraine-russia</t>
  </si>
  <si>
    <t>AUH3</t>
  </si>
  <si>
    <t xml:space="preserve">The Australian Government announced 30 million AUD to Ukraine in emergency humanitarian aid. This aid package is intended to provide emergency help for women, children, elderly and disabled. From the entire package, AUD 10 million are devoted to the World Food Program, which we do not consider. We equally do not consider AUD 8 million to the UN Population fund. Hence, we report the donation value as AUD 12 million. Source of Aid 3 mentions AUD 65 million in humanitarian aid. Since we do not count AUD 18 million in this packet, we arrive at a total of AUD 47 million in humanitarian aid that Australia has provided. </t>
  </si>
  <si>
    <t>https://pmtranscripts.pmc.gov.au/release/transcript-43868</t>
  </si>
  <si>
    <t>https://www.peterdutton.com.au/joint-media-release-australia-to-provide-additional-support-to-ukraine/</t>
  </si>
  <si>
    <t>https://www.globalcitizen.org/en/content/australia-ukraine-aid-follow-up/</t>
  </si>
  <si>
    <t>AUH4</t>
  </si>
  <si>
    <t xml:space="preserve">AUD 27 million in additional humanitarian aid that will be provided over the next 5 years. Source of Aid 2 mentions AUD 213 million total additional help, of which AUD 186 million are military aid. We assume the remaining part of AUD 27 million is humintarian aid. </t>
  </si>
  <si>
    <t>https://www.minister.defence.gov.au/media-releases/2022-10-27/additional-support-ukraine</t>
  </si>
  <si>
    <t>https://www.theguardian.com/australia-news/2022/oct/25/defence-spending-october-budget-2022-ukraine-veterans-pacific-aid-increase-albanese-labor-australia-federal-government</t>
  </si>
  <si>
    <t>AUM1</t>
  </si>
  <si>
    <t>Military</t>
  </si>
  <si>
    <t>Weapons and equipment</t>
  </si>
  <si>
    <t>Australia has announced around 70 million AUD in lethal military assistance to support the defence of Ukraine, including missiles and weapons. They also provide a range of non-lethal military equipment and medical supplies in response to a specific request from the Ukrainian Government. No further information about the composition of the equipment was disclosed.</t>
  </si>
  <si>
    <t>https://www.theguardian.com/australia-news/2022/feb/27/labor-warns-china-it-should-not-take-comfort-from-russian-invasion-of-ukraine</t>
  </si>
  <si>
    <t>AUM2</t>
  </si>
  <si>
    <t>Additional 21 million AUD support package of defensive military assistance for the Ukrainian Armed Forces. No further information was disclosed.</t>
  </si>
  <si>
    <t>https://www.foreignminister.gov.au/minister/marise-payne/media-release/additional-support-ukraine</t>
  </si>
  <si>
    <t xml:space="preserve">https://pmtranscripts.pmc.gov.au/release/transcript-43868 </t>
  </si>
  <si>
    <t>AUM3</t>
  </si>
  <si>
    <t>Military Equipment</t>
  </si>
  <si>
    <t>This 25 million AUD package of additional defensive military assistance will include tactical decoys, unmanned aerial and unmanned ground systems, rations, and medical supplies.</t>
  </si>
  <si>
    <t>tactical decoy</t>
  </si>
  <si>
    <t>https://pmtranscripts.pmc.gov.au/release/transcript-43925</t>
  </si>
  <si>
    <t>https://www.easternriverinachronicle.com.au/story/7680638/australia-sends-25m-for-ukraine-military/?cs=7</t>
  </si>
  <si>
    <t>https://www.abc.net.au/news/2022-03-31/more-military-aid-defence-weapons-ukraine-zelenskyy/100955544</t>
  </si>
  <si>
    <t>unmanned aerial system</t>
  </si>
  <si>
    <t>unmanned ground system</t>
  </si>
  <si>
    <t>field ration</t>
  </si>
  <si>
    <t>medical supplies</t>
  </si>
  <si>
    <t>AUM4</t>
  </si>
  <si>
    <t>On April 8, the prime minister announced that Australia sends additional 20 Bushmaster Protected Mobility Vehicles to Ukraine. It is mentioned that these vehicles increase the total commitment of military assistance from 116 million AUD (the sum of AUM1 - AUM3) to 165 million AUD. Hence, we can deduce that the 20 Bushmasters have a value of 49 million AUD (165 million - 116 million).</t>
  </si>
  <si>
    <t>Bushmaster Protected Mobility Vehicles</t>
  </si>
  <si>
    <t>https://pmtranscripts.pmc.gov.au/release/transcript-43947</t>
  </si>
  <si>
    <t>https://www.minister.defence.gov.au/statements/2022-04-08/australia-gift-20-bushmasters-government-ukraine</t>
  </si>
  <si>
    <t>https://news.defence.gov.au/international/working-together-ukraine</t>
  </si>
  <si>
    <t>AUM5</t>
  </si>
  <si>
    <t>Australia announced (in addition to the 20 Bushmaster protected mobility vehicles reported in AUM4) another aid package that includes anti-armour weapons and ammunition. Since the amount of items sent is not entirely disclosed, we report the monetary value as given by the donor.</t>
  </si>
  <si>
    <t>light anti-armor weapon</t>
  </si>
  <si>
    <t>https://pmtranscripts.pmc.gov.au/release/transcript-43950</t>
  </si>
  <si>
    <t>https://www.wsj.com/livecoverage/russia-ukraine-latest-news-2022-04-27/card/australia-to-provide-ukraine-with-heavy-artillery-5L5Zamjyc0YMpRRITrcw</t>
  </si>
  <si>
    <t>https://www.armyrecognition.com/defense_news_may_2022_global_security_army_industry/australia_announces_delivery_of_14_m113_tracked_apcs_and_20_bushmaster_armored_vehicles_to_ukraine.html</t>
  </si>
  <si>
    <t>ammunition for light anti-armor weapon</t>
  </si>
  <si>
    <t>AUM6</t>
  </si>
  <si>
    <t>The Australian Government is gifting six M777 155mm lightweight towed howitzers and howitzer ammunition to the Government of Ukraine. Since entire support package is valued at AUD 26.7 million. Source of Aid 1 mentions a total military contribution until April 27 of AUD 225 million. Donation IDs AUM1 to AUM6 report AUD 218.2 million. This is due to Australia providing military aid to Ukraine through the NATO partners, with an undisclosed amount. The difference of AUD 6.8 million between Source of Aid 1 and our data collection until this point is due to this aid through NATO partners, with an undislosed amount (most likely AUD 6.8 million).</t>
  </si>
  <si>
    <t>M777 howitzer</t>
  </si>
  <si>
    <t>https://www.abc.net.au/news/2022-02-27/australia-send-weapons-nato-ukraine-war-russia/100865712</t>
  </si>
  <si>
    <t>round of ammunition for M777 howitzer</t>
  </si>
  <si>
    <t>AUM7</t>
  </si>
  <si>
    <t>The Australian Government is providing further support with the gifting of 14 M113 Armored Personnel Carriers (APCs) and a further 20 Bushmaster Protected Mobility Vehicles (PMVs) to the Government of Ukraine. According to Source of Aid 1, the APCs are worth AUD 12 million in total, the PMVs AUD 48.9 million in total. According to Source of Aid 3, this brings the total military contribution of Australia to AUD 285 million. This coincides with the total value recorded here (AUD 279.1 million) as we do not consider AUD 6.8 million dontated to a NATO trust fund as military aid to Ukraine. Source of Aid 3 also mentions that only 4 of the announced 14 M113 have been delivered. However since Source of Delivery states the delivery of the entire package, we assume upper bounds and consider the entire package as being delivered.</t>
  </si>
  <si>
    <t>M113 armored personnel carrier</t>
  </si>
  <si>
    <t>https://www.peterdutton.com.au/australia-to-provide-Armored-personnel-carriers-and-more-bushmasters-to-ukraine/</t>
  </si>
  <si>
    <t>https://war.ukraine.ua/news/19207/</t>
  </si>
  <si>
    <t>https://bulgarianmilitary.com/2022/06/20/ukraine-gets-australian-m113as4-with-12-7mm-browning-m2hb-qcb-355hp/</t>
  </si>
  <si>
    <t>AUM8</t>
  </si>
  <si>
    <t>The Australian Government announced AUD 99.5 million in military assistance, including 14 Armored personnel carriers, 20 Bushmaster protected mobility vehicles and other military equipment supplied by Australia’s defence industry, and a contribution to NATO’s Ukraine Comprehensive Assistance Package Trust Fund. This brings Australia’s total military assistance to Ukraine to approximately AUD 388 million. According to Source of Aid 2, the contribution towards the NATO Trust Fund is reported as AUD 20 million, which we do not consider as military aid to Ukraine and hence reduce from the overall package. Source of Aid 2 also mentions that demining equipment will be provided to Ukraine as part of this package.</t>
  </si>
  <si>
    <t>https://www.pm.gov.au/media/visit-kyiv-and-further-australian-support-ukraine</t>
  </si>
  <si>
    <t>https://www.minister.defence.gov.au/minister/rmarles/media-releases/australia-increases-support-ukraine#:~:text=The%20Australian%20Government%20will%20provide,more%20Bushmaster%20Protected%20Mobility%20Vehicles.</t>
  </si>
  <si>
    <t>Value is calculated with prices</t>
  </si>
  <si>
    <t>Demining Equipment</t>
  </si>
  <si>
    <t>Other military equipment</t>
  </si>
  <si>
    <t>AUM9</t>
  </si>
  <si>
    <t>The government also announced A$8.7 million (US$6 million) to assist Ukraine’s Border Guard Service to upgrade border management equipment, improve cyber security and enhance border operations in the field.</t>
  </si>
  <si>
    <t>AUM10</t>
  </si>
  <si>
    <t>The Australian government announced additional AUD 186 million in military support over the next 5 years. The aid includes additional Bushmaster vehicles, mentioned in Source of Aid A. Source of Aid 2 mentions AUD 213 million total new aid pledges. We assume the difference between 213 and 186 million AUD is humanitarian aid, reported in AUH4.</t>
  </si>
  <si>
    <t>Weapons</t>
  </si>
  <si>
    <t>The Australian government announced to provide additional 30 Bushmaster protected mobility vehicles to Ukraine (bringing the total number to 90 at the time).</t>
  </si>
  <si>
    <t>https://www.armyrecognition.com/defense_news_october_2022_global_security_army_industry/australia_to_supply_ukraine_with_30_additional_bushmaster_4x4_armored_vehicles.html</t>
  </si>
  <si>
    <t>https://www.globaldefensecorp.com/2022/10/27/australia-to-send-30-additional-bushmaster-vehicles-to-ukraine-train-ukrainian-soldiers-in-uk/</t>
  </si>
  <si>
    <t>https://www.thedefensepost.com/2022/10/28/australia-bushmaster-ukraine/</t>
  </si>
  <si>
    <t>AUM11</t>
  </si>
  <si>
    <t xml:space="preserve">The Australian government announced to provide additional Uncrewed Aerial Systems to Ukraine. Source of Aid 2 and 3 speak of a total package worth of AUD 33 million. Since no further information on the number of items is disclosed, we take this value as donation value. </t>
  </si>
  <si>
    <t>https://www.minister.defence.gov.au/media-releases/2023-02-24/australia-stands-ukraine-additional-military-support-and-sanctions</t>
  </si>
  <si>
    <t>https://www.abc.net.au/news/2023-02-23/australia-pledges-drones-ukraine-war-first-anniversary/102016614</t>
  </si>
  <si>
    <t>https://mil.in.ua/en/news/australia-provides-ukraine-with-uavs-worth-33-million/</t>
  </si>
  <si>
    <t>ATH1</t>
  </si>
  <si>
    <t>Austria</t>
  </si>
  <si>
    <t>The Austrian Government has sent two shipments of medical supplies. The first included 5 power generators, 700 sleeping bags and 28 water containers (with a capacity of 1,000 liters each). The second shipment included 50,000 liters of hand disinfectant, 9,000 liters of surface disinfectant, 50,000 security glasses, 50,000 mouth and nose masks and 20,000 pairs of gloves. Austria has bought the material for its own storage due to the COVID-19 pandemic, but decided to send it to Ukraine after the start of the war.</t>
  </si>
  <si>
    <t>USD</t>
  </si>
  <si>
    <t>Not given</t>
  </si>
  <si>
    <t>liter of hand disinfectant</t>
  </si>
  <si>
    <t>https://bmi.gv.at/news.aspx?id=44786F67485A5049462F493D#:~:text=Mit%20der%20bereits%20zweiten%20Hilfslieferung,Plastikhandschuhen%2C%20Schutzbrillen%20und%20Desinfektionsmittel%20entsandt.</t>
  </si>
  <si>
    <t>https://www.vienna.at/oesterreich-schickt-medizinische-hilfsgueter-in-die-ukraine/7304494</t>
  </si>
  <si>
    <t>liter of disinfectant</t>
  </si>
  <si>
    <t>https://www.vienna.at/oesterreich-schickt-medizinische-hilfsgueter-in-die-ukraine/7304495</t>
  </si>
  <si>
    <t>safety glasses</t>
  </si>
  <si>
    <t>https://www.vienna.at/oesterreich-schickt-medizinische-hilfsgueter-in-die-ukraine/7304496</t>
  </si>
  <si>
    <t>medical protective mask</t>
  </si>
  <si>
    <t>https://www.vienna.at/oesterreich-schickt-medizinische-hilfsgueter-in-die-ukraine/7304497</t>
  </si>
  <si>
    <t>gloves</t>
  </si>
  <si>
    <t>https://www.vienna.at/oesterreich-schickt-medizinische-hilfsgueter-in-die-ukraine/7304498</t>
  </si>
  <si>
    <t>power generator</t>
  </si>
  <si>
    <t>https://www.vienna.at/oesterreich-schickt-medizinische-hilfsgueter-in-die-ukraine/7304499</t>
  </si>
  <si>
    <t>sleeping bag</t>
  </si>
  <si>
    <t>https://www.vienna.at/oesterreich-schickt-medizinische-hilfsgueter-in-die-ukraine/7304500</t>
  </si>
  <si>
    <t>liter of water</t>
  </si>
  <si>
    <t>https://www.vienna.at/oesterreich-schickt-medizinische-hilfsgueter-in-die-ukraine/7304501</t>
  </si>
  <si>
    <t>ATH2</t>
  </si>
  <si>
    <t>Austria has sent 20 ambulances to Ukraine, following a commitment from the Chancellor. Note that "Source of Aid 1" also lists 16 other ambulances, provided by the city of Vienna, which gives a total of 36 ambulances provided by Austria.</t>
  </si>
  <si>
    <t>ambulance H</t>
  </si>
  <si>
    <t>https://www.bundeskanzleramt.gv.at/bundeskanzleramt/nachrichten-der-bundesregierung/2022/06/bundeskanzler-nehammer-wir-helfen-dort-wo-es-uns-als-neutrales-oesterreich-moeglich-ist.html</t>
  </si>
  <si>
    <t>https://www.krone.at/2724936</t>
  </si>
  <si>
    <t>ATH3</t>
  </si>
  <si>
    <t>Grant</t>
  </si>
  <si>
    <t>The minister of foreign affairs announced to provide additional 41.9 million EUR in financial assistance for humanitarian projects. Note that this is tied to an equal amount that has been donated by the general public (another 41.9 million EUR). As outlined by "Source of Aid 2", at least 15 million EUR of this announced sum is devoted to projects for women and children. Furthermore, it is reported that 5 million EUR are devoted to refugees in Moldova. Hence, we substract these 5 million EUR and count 36.9 million EUR as direct aid to Ukraine. We do not report the 17 million EUR donated to international organizations (see "Source of Aid 2") and we do report the financial assistance amounting to 10 million EUR (see "Source of Aid 2") in ATF1.</t>
  </si>
  <si>
    <t>EUR</t>
  </si>
  <si>
    <t>https://www.youtube.com/watch?v=NdYiLiivIgs</t>
  </si>
  <si>
    <t>https://www.euractiv.com/section/politics/short_news/austria-more-than-doubles-financial-support-for-ukraine-with-citizen-donations/</t>
  </si>
  <si>
    <t>https://medinlive.at/gesellschaft/oesterreich-unterstuetzt-ukraine-mit-ueber-80-millionen-euro</t>
  </si>
  <si>
    <t>https://www.ukrinform.net/rubric-society/3474985-austria-allocates-another-42m-in-humanitarian-aid-to-ukraine.html</t>
  </si>
  <si>
    <t>ATH4</t>
  </si>
  <si>
    <t>Austrian Association of Municipalities (Österreichischer Gemeindebund) provides the aid. Since this organisation uni#tes almost all municipalities of Austria (2.084 of 2.095), we consider this organisation to be governmental and thus, this package is bilateral aid. The number and type of vehicle are specified in Source of Aid 2.</t>
  </si>
  <si>
    <t>https://www.facebook.com/ukremb.at/posts/2254397241403945</t>
  </si>
  <si>
    <t>https://gemeindebund.at/gemeinden-blaulichtorganisationen-und-unternehmen-helfen-der-ukraine/</t>
  </si>
  <si>
    <t>Fire-vehicle</t>
  </si>
  <si>
    <t>Garbage truck</t>
  </si>
  <si>
    <t>ATH5</t>
  </si>
  <si>
    <t>Guarantee</t>
  </si>
  <si>
    <t>Construction and equipment of the National Children's Specialized Hospital "Okhmatdyt" and a modern university clinic in Kyiv, as well as the creation of the National Rehabilitation Center in Lviv. The estimated cost of these projects will be over EUR 500 million," said First Vice Prime Minister of Ukraine - Minister of Economy Yulia Svyrydenko. "Export credit agencies" should finance it with loans, and the Austrian government provides a guarantee for it. A press release from the Austrian embassy to Lithuanian stated that the project was worth 600 EUR million (Source of aid 3).</t>
  </si>
  <si>
    <t>https://www.kmu.gov.ua/news/ukraina-i-avstriia-domovylys-pro-ekonomichnu-spivpratsiu-u-rozvytku-proektiv</t>
  </si>
  <si>
    <t>https://odessa-journal.com/ukraine-and-austria-agreed-on-economic-cooperation-in-the-development-of-projects/</t>
  </si>
  <si>
    <t>https://www.bmeia.gv.at/en/austrian-embassy-to-lithuania/news/detail/article/austria-stands-with-ukraine-as-long-as-it-takes/#:~:text=Austria%20has%20taken%20in%20more,a%20just%20and%20lasting%20peace</t>
  </si>
  <si>
    <t>ATH6</t>
  </si>
  <si>
    <t>In November 2022 Austrian Embassy in the US created a webpage listing all aid provided to Ukraine (Source of Aid 1). Among other things listed, there is a monetary value of all in-kind humanitarian assistance (6 million EUR). This information was rarely available so far, so we only managed to capture the first big package (see ATH1). So, to cover the rest, we subtract the value of the previous package(ATH1) and report it in this entry.</t>
  </si>
  <si>
    <t>http://web.archive.org/web/20221220221320/https://www.austria.org/ukraine</t>
  </si>
  <si>
    <t>ATH7</t>
  </si>
  <si>
    <t>Assistance and equipment</t>
  </si>
  <si>
    <t>In November 2022 Austrian Embassy in the US created a webpage listing all aid provided to Ukraine (Source of Aid 1). Among other things listed, the list provides information regarding the monetary value of winterisation aid for Ukraine. We assume this aid was provided recently to the date of the publication since the demand for such a type of aid only occurred after a massive missile strike in October 2022.</t>
  </si>
  <si>
    <t>ATH8</t>
  </si>
  <si>
    <t xml:space="preserve">In November 2022 Austrian Embassy in the US created a webpage listing all aid provided to Ukraine (Source of Aid 1). Among other things listed, the list includes information regarding emergency vehicles provided to Ukraine. Since some emergency vehicles were reported in ATH2 and ATH4, we report the rest of them here. </t>
  </si>
  <si>
    <t>ATH9</t>
  </si>
  <si>
    <t xml:space="preserve">The official press release of the Ministry of Foreign Affairs of Austria reports that the total humanitarian aid provided to Ukraine and bordering countries is 87 million EUR (Source of aid 1). Still, it is not specified which part goes directly to Ukraine, and we only report bilateral aid to Ukraine. However, according to the Austrian Press Agency (APA) (Source of aid 2 makes reference to it), Austrian in-kind aid consisted of 96 tracks, of which 85 went directly to Ukraine. Therefore, since aid mostly went to Ukraine, we report the total amount of not to underestimate the aid to Ukraine. Since so far we reported less then 87 million EUR we report the rest here.
</t>
  </si>
  <si>
    <t>https://www.bmeia.gv.at/ministerium/presse/aktuelles/2022/12/aussenminister-schallenberg-empfaengt-seinen-litauischen-amtskollegen-landsbergis/</t>
  </si>
  <si>
    <t>https://thestoriest.com/world/228255.html</t>
  </si>
  <si>
    <t>ATH10</t>
  </si>
  <si>
    <t>Austria to transfer EUR 5 million to Ukraine Energy Support Fund.</t>
  </si>
  <si>
    <t>https://www.kmu.gov.ua/en/news/avstriia-pererakhuie-5-mln-ievro-u-fond-enerhetychnoi-pidtrymky-ukrainy</t>
  </si>
  <si>
    <t>https://szru.gov.ua/en/news-media/publications/february-2-2023-ukraine-and-the-world---against-russias-aggression-sanctions-in-action</t>
  </si>
  <si>
    <t>ATH11</t>
  </si>
  <si>
    <t>Source if Aid 1 mentioned that Austria is to provide 10 EUR million to Ukraine Energy Support Fund. Later official website of the fund mentioned that the contribution provided by Austria was 10 EUR million (Source of aid 2). ATH10 reported only 5 EUR million. We report the rest here.</t>
  </si>
  <si>
    <t>https://www.bundeskanzleramt.gv.at/dam/jcr:523fec33-5d5d-4ded-a4e9-1058c58aefe9/46_16_mrv.pdf</t>
  </si>
  <si>
    <t>http://web.archive.org/web/20230510062542/https://www.energy-community.org/Ukraine/Fund.html</t>
  </si>
  <si>
    <t>ATH12</t>
  </si>
  <si>
    <t>On the 1st of February 2023, Wiener Zeitung reported that according to the president of Austria, Alexander Van der Bellen, Austria provided 118 EUR million of humanitarian support to Ukraine. (Source of aid 2). An official press release published later by the Austrian embassy to Lithuanian indicated that the total amount of aid slightly increased to 124 EUR million. Since the previous data from our dataset (except for ATH5, which is counted separately) combined indicate smaller amount of aid, we report the difference here</t>
  </si>
  <si>
    <t>https://www.wienerzeitung.at/nachrichten/politik/europa/2177136-Van-der-Bellen-Ich-finde-es-wichtig-dass-wir-sichtbar-die-Ukraine-unterstuetzen.html</t>
  </si>
  <si>
    <t>https://www.vienna.at/ukraine-krieg-bislang-124-mio-euro-unterstuetzung-von-oesterreich/7885546</t>
  </si>
  <si>
    <t>ATH13</t>
  </si>
  <si>
    <t xml:space="preserve">Austria will provide 77.5 EUR million in humanitarian assistance and 20 EUR million in food aid, according to Austrian Foreign Minister Alexander Schallenberg (Source of aid 1). </t>
  </si>
  <si>
    <t>https://www.bmeia.gv.at/en/the-ministry/press/news/2023/03/eu-member-states-send-a-clear-signal-to-ukrainian-partners-during-foreign-affairs-council/</t>
  </si>
  <si>
    <t>https://www.bmeia.gv.at/ministerium/presse/aktuelles/2023/03/eu-mitgliedsstaaten-setzen-beim-rat-fuer-auswaertige-angelegenheiten-klares-signal-gegenueber-ukrainischen-partnern/</t>
  </si>
  <si>
    <t>Austria finances demining equipment for Ukraine worth 2 EUR million.</t>
  </si>
  <si>
    <t>https://www.bmeia.gv.at/ministerium/presse/aktuelles/2023/05/oesterreich-finanziert-entminungsgeraet-fuer-die-ukraine-im-wert-von-2-millionen-euro/</t>
  </si>
  <si>
    <t>ATH14</t>
  </si>
  <si>
    <t>Four ambulances were sent to Uzhgorod by the federal state of Burgenland of the Republic of Austria. Since it's not a federal budget we report it separately from ATH13</t>
  </si>
  <si>
    <t>https://pmg.ua/life/115101-avstriya-peredala-ukraini-4-shvydki-ikh-vzhe-dopravyly-v-uzhgorod</t>
  </si>
  <si>
    <t>https://www.burgenland.at/news-detail/humanitaere-hilfe-fuer-die-ukraine-burgenland-uebergibt-vier-einsatzfahrzeuge/</t>
  </si>
  <si>
    <t>ATM1</t>
  </si>
  <si>
    <t>On March 13, Austria announced that it has sent a package consisting of protective helmets, ballistic vests and bandages to Ukraine. The government besides announced to send 200,000 liters of diesel. On May 5, the Ministry of Defence reported the total amounts that were sent in March ("Source of Aid 2") and puts a value of 35 EUR on each helmet. "Source of Aid 2" also mentions that Austria still behaves neutrally, which results in the provision of only non-lethal equipment as reporter here and abstention on the European Peace Facility (EPF) decision.</t>
  </si>
  <si>
    <t>liter of diesel M</t>
  </si>
  <si>
    <t>https://www.bmi.gv.at/news.aspx?id=69543149763057644C4C633D</t>
  </si>
  <si>
    <t>https://www.wienerzeitung.at/nachrichten/politik/oesterreich/2146418-Oesterreich-schickte-Ukraine-Armeeausruestung.html</t>
  </si>
  <si>
    <t>https://www.weekend.at/chronik/200000-liter-diesel-aus-oesterreich-fuer-ukraine</t>
  </si>
  <si>
    <t>helmet Austria</t>
  </si>
  <si>
    <t>ballistic vest Austria</t>
  </si>
  <si>
    <t>wound bandage</t>
  </si>
  <si>
    <t>ATF1</t>
  </si>
  <si>
    <t>Financial</t>
  </si>
  <si>
    <t>Austria contributed with 10 million EUR to the multi-donor trust fund (MDTF) set up by the World Bank.</t>
  </si>
  <si>
    <t>https://www.worldbank.org/en/news/press-release/2022/03/14/world-bank-announces-additional-200-million-in-financing-for-ukraine</t>
  </si>
  <si>
    <t>https://www.nbcnews.com/news/world/live-blog/ukraine-lb-march-15-2022-n1291880/ncrd1291879#blogHeader</t>
  </si>
  <si>
    <t>https://interfax.com/newsroom/top-stories/78858/</t>
  </si>
  <si>
    <t>ATF2</t>
  </si>
  <si>
    <t>Austria donates 20 million euros to the Ukraine Recovery Trust Fund (URTF).</t>
  </si>
  <si>
    <t>https://www.bmf.gv.at/presse/pressemeldungen/2022/dezember/weitere-20-millionen-euro-ukraine-hilfe.html</t>
  </si>
  <si>
    <t>https://www.worldbank.org/en/programs/urtf/partners</t>
  </si>
  <si>
    <t>ATF3</t>
  </si>
  <si>
    <t>As part of the COP27, the world climate conference in the Egyptian seaside resort of Sharm el-Sheik, Austrian Finance Minister Magnus Brunner announced a further 10 EUR million in support for the European Bank for Reconstruction and Development (EBRD) (Source of aid 2.) In March, it was officially on the EBRD page (Source of aid 1), and therefore we include it in our dataset.</t>
  </si>
  <si>
    <t>https://www.ebrd.com/what-we-do/war-on-ukraine/donor-support.html</t>
  </si>
  <si>
    <t>https://www.oe24.at/welt/ukraine-krieg/oesterreich-sagt-weitere-zehn-millionen-euro-fuer-die-ukraine-zu/535583618</t>
  </si>
  <si>
    <t>BEH1</t>
  </si>
  <si>
    <t>Belgium</t>
  </si>
  <si>
    <t xml:space="preserve">Belgium announced to send medical ressources amounting to 3.4 million EUR. The aid falls within the framework of the EU Civil Protection Mechanism (EUCPM). The package includes on top of the items listed to the right also anaesthetics, muscle relaxants and painkillers. </t>
  </si>
  <si>
    <t>https://diplomatie.belgium.be/en/policy/policy-areas/highlighted/civilian-aid-ukraine-overview</t>
  </si>
  <si>
    <t>https://www.aa.com.tr/en/russia-ukraine-war/belgium-tried-to-donate-nearly-expired-drugs-to-ukraine-report/2591304</t>
  </si>
  <si>
    <t>https://www.brusselstimes.com/208911/belgium-to-send-e3-4-million-medical-supplies-to-ukraine</t>
  </si>
  <si>
    <t>respiratory assistance device</t>
  </si>
  <si>
    <t>syringe</t>
  </si>
  <si>
    <t>BEH2</t>
  </si>
  <si>
    <t xml:space="preserve">Emergency shelter material adapted to cold climate conditions, such as tents, blankets and sanitary kits. The aid falls within the framework of the EU Civil Protection Mechanism (EUCPM). </t>
  </si>
  <si>
    <t>https://diplomatie.belgium.be/en/belgium-sends-emergency-shelter-material-ukraine-b-fast</t>
  </si>
  <si>
    <t>https://reliefweb.int/report/ukraine/belgium-sends-emergency-shelter-material-ukraine-b-fast</t>
  </si>
  <si>
    <t>BEH3</t>
  </si>
  <si>
    <t xml:space="preserve">On April 9, during the event "Stand Up for Ukraine", the Belgian Prime Minister announced that Belgium had set up a fund of 800 million EUR to support Ukraine and Ukrainian refugees. Since only 83 million EUR will be sent to Ukraine (see "Sorce of Aid 2"), we previously reported this amount. On January 2023, the Belgian foreign ministry's official press release stated that 77 million EUR were spent on civilian assistance in 2022 (Source of aid 3). Thus, we assume that the initial 83 million EUR was a reserved budget for aid to Ukraine, and the Belgian government spent 77 million EUR from this value. Moreover, among the 77 million EUR listed, 10 million EUR were spent to help export grain and 6.4 million EUR to different human rights protection organizations, which we do not count. Therefore, in 2022 total humanitarian aid provided by Belgium to Ukraine is 60.6 million EUR. </t>
  </si>
  <si>
    <t>https://diplomatie.belgium.be/en/policy/policy-areas/highlighted/civilian-aid-ukraine-overview#:~:text=So%20far%2C%20Belgium%20has%20allocated,and%20the%20battle%20against%20impunity</t>
  </si>
  <si>
    <t>https://twitter.com/i/status/1512804572728897539</t>
  </si>
  <si>
    <t>https://www.globalcitizen.org/en/content/stand-up-for-ukraine-impact-report/</t>
  </si>
  <si>
    <t>BEH4</t>
  </si>
  <si>
    <t xml:space="preserve">The Belgian Government approved the shipment of medical equipment, basic supplies and medicines. which will be carried by 11 trucks. The total cost of the aid amounts to 800000 EUR. </t>
  </si>
  <si>
    <t>https://www.brusselstimes.com/255904/belgium-to-send-new-huge-aid-shipment-to-ukraine</t>
  </si>
  <si>
    <t>BEH5</t>
  </si>
  <si>
    <t xml:space="preserve">Belgium will send 3,000 tons of salt to Ukraine to deice public roads in the current winter conditions. This aid shipment represents a total value of 600 EUR million, including transport costs. </t>
  </si>
  <si>
    <t>https://diplomatie.belgium.be/en/belgium-sends-another-batch-humanitarian-material-ukraine-b-fast</t>
  </si>
  <si>
    <t>https://www.brusselstimes.com/355375/belgium-sends-more-humanitarian-aid-to-ukraine-via-b-fast</t>
  </si>
  <si>
    <t>BEH6</t>
  </si>
  <si>
    <t>The Federal Government approved a new package of support measures for Ukraine worth 92 EUR million on Friday, Prime Minister Alexander De Croo’s office announced. Humanitarian aid worth 24 EUR million will be allocated out of 92 EUR million.</t>
  </si>
  <si>
    <t>https://www.brusselstimes.com/501768/belgian-government-approves-new-ukraine-aid-worth-e92-million</t>
  </si>
  <si>
    <t>https://diplomatie.belgium.be/en/news/new-belgian-aid-package-approved-ukraine</t>
  </si>
  <si>
    <t>BEM1</t>
  </si>
  <si>
    <t>Both lethal and non-lethal military aid estimated to be worth around €76 million (Source of Aid 1). This is part of total aid until April 22. Donation ID BEM2 presents a seperate package due to credible official information, that the €76 million do not contain the packages from March 22 and April 11. The Belgium government disclosed further details on the content of the packages in January 2023 (Source of aid 1).</t>
  </si>
  <si>
    <t>FNC-type automatic rifle</t>
  </si>
  <si>
    <t>https://www.premier.be/sites/default/files/articles/BE%20support%20militaire.pdf</t>
  </si>
  <si>
    <t>https://mil.in.ua/en/news/belgium-made-a-decision-to-hand-over-artillery-to-ukraine-the-media/</t>
  </si>
  <si>
    <t>https://twitter.com/alexanderdecroo/status/1497542000228417537</t>
  </si>
  <si>
    <t>ton of fuel</t>
  </si>
  <si>
    <t>https://twitter.com/alexanderdecroo/status/1497914776063594502</t>
  </si>
  <si>
    <t>M72 rocket launcher</t>
  </si>
  <si>
    <t>helmet</t>
  </si>
  <si>
    <t>binoculars</t>
  </si>
  <si>
    <t>generator</t>
  </si>
  <si>
    <t>BEM2</t>
  </si>
  <si>
    <t>Lethal and non-lethal weapons amounting to 11 million EUR that were announced March 22 and April 4. This is not part of total aid until April 22 that is estimated by the Prime Minister to be 76 million EUR ("Source of Aid 2"). The package contains field beds, generators, heating systems, light weapons and ammunition, as well as ballistitc protection and night vision systems. The Belgium government disclosed further details on the content of the packages in January 2023 (Source of aid 1).</t>
  </si>
  <si>
    <t>bed</t>
  </si>
  <si>
    <t>https://www.lesoir.be/437698/article/2022-04-22/guerre-en-ukraine-la-belgique-sapprete-livrer-de-nouveaux-missiles-antichars</t>
  </si>
  <si>
    <t>mobile heating system</t>
  </si>
  <si>
    <t>ammunition</t>
  </si>
  <si>
    <t>rifle</t>
  </si>
  <si>
    <t>Ballistic vest</t>
  </si>
  <si>
    <t>night vision device</t>
  </si>
  <si>
    <t>BEM3</t>
  </si>
  <si>
    <t>The Belgium government disclosed further details on the content of the packages delivered to Ukraine for the first year of war in January 2023 (Source of aid 1). Here, we report military aid omitted from other packages with official announcements.</t>
  </si>
  <si>
    <t>Round of small arms ammunitions, grenade launchers and mortar rounds</t>
  </si>
  <si>
    <t>BEM4</t>
  </si>
  <si>
    <t>machine gun</t>
  </si>
  <si>
    <t>First aid kit</t>
  </si>
  <si>
    <t>BEM5</t>
  </si>
  <si>
    <t>8 million EUR in support to the Ukrainian armed forces through NATO Comprehensive Assistance Package (CAP) Trust Fund, which provides non-lethal support  to Ukraine.</t>
  </si>
  <si>
    <t>https://lahbib.belgium.be/en/belgium-provide-8-million-eur-non-lethal-support-ukrainian-armed-forces</t>
  </si>
  <si>
    <t>https://twitter.com/hadjalahbib/status/1562721777649799170?ref_src=twsrc%5Etfw%7Ctwcamp%5Etweetembed%7Ctwterm%5E1562721777649799170%7Ctwgr%5E69cb6a35c6fc5375ee1777ba5e3491bf84fd300f%7Ctwcon%5Es1_&amp;ref_url=https%3A%2F%2Fbabel.ua%2Fen%2Fnews%2F83487-belgium-allocated-8-million-for-non-lethal-aid-to-ukraine</t>
  </si>
  <si>
    <t>https://www.euractiv.com/section/politics/short_news/belgium-to-provide-e8-million-for-non-lethal-aid-to-ukraines-armed-forces/</t>
  </si>
  <si>
    <t>https://www.brusselstimes.com/278107/belgium-provides-e8-million-for-non-lethal-help-to-ukraine</t>
  </si>
  <si>
    <t>winter clothing (general)</t>
  </si>
  <si>
    <t>Night-vision goggles</t>
  </si>
  <si>
    <t>Medicines</t>
  </si>
  <si>
    <t>BEM6</t>
  </si>
  <si>
    <t>hand grenade</t>
  </si>
  <si>
    <t>round of ammunition for fire arms</t>
  </si>
  <si>
    <t>BEM7</t>
  </si>
  <si>
    <t xml:space="preserve">Belgium will send heavy machine guns, ammunition, and other equipment from Belgian arms manufacturer FN Herstal. It will also send non-lethal equipment for the winter, helmets, spare provisions and night vision equipment. In addition, ambulances and medical evacuation trucks are also expected to be delivered in early 2023. The Belgium government disclosed further details on the content of the package in January 2023 (Source of aid 4). Since the content of the packages reported in October 2022 corresponds to the current entry, we assume the size of the initial 12 EUR million package was extended later. It brings the total size of the package to 25 EUR million.  </t>
  </si>
  <si>
    <t>120mm mortar system</t>
  </si>
  <si>
    <t>https://www.brusselstimes.com/290771/belgium-to-give-e12-million-in-military-aid-to-ukraine</t>
  </si>
  <si>
    <t>https://www.lecho.be/dossiers/conflit-ukraine-russie/ludivine-dedonder-la-belgique-va-octroyer-une-nouvelle-aide-militaire-a-l-ukraine/10414118.html</t>
  </si>
  <si>
    <t>https://en.interfax.com.ua/news/general/859303.html</t>
  </si>
  <si>
    <t>large-caliber machine guns</t>
  </si>
  <si>
    <t>Ammunition</t>
  </si>
  <si>
    <t>spare part and equipment</t>
  </si>
  <si>
    <t>surveillance equipment</t>
  </si>
  <si>
    <t>ambulance</t>
  </si>
  <si>
    <t>Volvo N10 Heavy Utility Truck</t>
  </si>
  <si>
    <t>BEM8</t>
  </si>
  <si>
    <t>Explosive ordnance disposal equipment</t>
  </si>
  <si>
    <t>BEM9</t>
  </si>
  <si>
    <t>According to the Defense Minister of Belgium, Ludivine Dedonder, Belgium will send ten underwater drones and two mobile laboratories to Ukraine (Source of Aid 1). Source of Aid 2 specifies the exact models of each item. The Belgium government disclosed further details on the content of the package in January 2023 (Source of aid 3). Since the content of the packages reported in November 2022 corresponds to the current entry, we assume these are the same packages and therefore report a total price of approximately 7 EUR million.</t>
  </si>
  <si>
    <t>Remotely Operated Vehicle R7</t>
  </si>
  <si>
    <t>https://www.lesoir.be/479361/article/2022-11-25/la-belgique-va-envoyer-des-laboratoires-mobiles-et-des-drones-sous-marins</t>
  </si>
  <si>
    <t>https://www.armyrecognition.com/defense_news_december_2022_global_security_army_industry/discover_new_defense_equipment_that_belgium_offers_to_ukraine_as_part_of_international_support.html</t>
  </si>
  <si>
    <t>IVECO Daily mobile laboratory</t>
  </si>
  <si>
    <t>anti-tank mine</t>
  </si>
  <si>
    <t>105mm artillery round</t>
  </si>
  <si>
    <t>BEM10</t>
  </si>
  <si>
    <t>BEM11</t>
  </si>
  <si>
    <t>grenade launchers and small arms</t>
  </si>
  <si>
    <t>Lince Armored car</t>
  </si>
  <si>
    <t>Air Defence Missile</t>
  </si>
  <si>
    <t>Anti-tank missile and anti-tank rocket</t>
  </si>
  <si>
    <t>BEM12</t>
  </si>
  <si>
    <t>Belgium sends 240 army trucks to Ukraine (they include Volvo Cargo, Volvo Shelter, Volvo Fassi, and Volvo Manumat)</t>
  </si>
  <si>
    <t>Military trucks</t>
  </si>
  <si>
    <t>https://www.standaard.be/cnt/dmf20230315_97454890</t>
  </si>
  <si>
    <t>https://www.brusselstimes.com/411153/belgian-to-send-240-military-trucks-to-ukraine</t>
  </si>
  <si>
    <t>BEM13</t>
  </si>
  <si>
    <t>The Federal Government approved a new package of support measures for Ukraine worth 92 EUR million on Friday, Prime Minister Alexander De Croo’s office announced. Source of Aid 1 says that half the amount is earmarked for further military aid, including delivering unspecified armored vehicles, weapons, and ammunition. Still, it does not mention where the other 14 EUR million will go since it only mentions 8 EUR million for financial aid and 24 EUR million for humanitarian aid. Therefore, we assume that 14 EUR million are also dedicated to military aid.</t>
  </si>
  <si>
    <t>https://www.premier.be/en/new-support-package-ukraine</t>
  </si>
  <si>
    <t>https://www.belganewsagency.eu/federal-government-approves-92-million-euros-extra-aid-for-ukraine</t>
  </si>
  <si>
    <t>BEF1</t>
  </si>
  <si>
    <t>According to the official WB list, the Netherlands comitted to a guarantee of PEACE MDTF, which was not listed in the previous donations (Source of aid 1). The project consisted of four tranches so far, and Belgium was not listed among the donors for any of them. Still, in the official PDF for the third tranche, Belgium is listed as a donor for the first or second tranche (Source of aid 2). The document for the first tranche does not list Belgium among donors (Source of aid 3). Therefore, we assign this donation to a second tranche that took place in August 2022.</t>
  </si>
  <si>
    <t>https://www.worldbank.org/en/country/ukraine/brief/world-bank-emergency-financing-package-for-ukraine</t>
  </si>
  <si>
    <t>https://documents1.worldbank.org/curated/en/099600012082223136/pdf/BOSIB020931bfc0170838c06fee5586d81f.pdf</t>
  </si>
  <si>
    <t>https://documents1.worldbank.org/curated/en/099045006272211923/pdf/P17934404806560d0af0503654b216c99f.pdf</t>
  </si>
  <si>
    <t>BEF2</t>
  </si>
  <si>
    <t>Belgium allocated 4.96 EUR million to the IMF's Administered Account for Ukraine.</t>
  </si>
  <si>
    <t>https://twitter.com/KGeorgieva/status/1590600147368656896</t>
  </si>
  <si>
    <t>https://www.ukrinform.net/rubric-economy/3611495-belgium-transfers-almost-5m-to-imfs-account-for-ukraine.html</t>
  </si>
  <si>
    <t>BEF3</t>
  </si>
  <si>
    <t>The Federal Government approved a new package of support measures for Ukraine worth 92 EUR million on Friday, Prime Minister Alexander De Croo’s office announced. Out of it, 8 EUR million will go to the reconstruction of Ukraine through funds set up by the European Investment Bank and the World Bank.</t>
  </si>
  <si>
    <t>BGH1</t>
  </si>
  <si>
    <t>Bulgaria</t>
  </si>
  <si>
    <t xml:space="preserve">Equipment and logistic assistance. The assistance falls within the framework of the EU Civil Protection Mechanism (EUCPM). No further information regarding the shipment has been disclosed. </t>
  </si>
  <si>
    <t>No</t>
  </si>
  <si>
    <t>https://sofiaglobe.com/2022/02/27/bulgaria-to-provide-humanitarian-military-logistical-aid-to-ukraine/?msclkid=2fb3d8c7b05511ec86aca56bb6424b21</t>
  </si>
  <si>
    <t>https://www.slobodenpecat.mk/en/bugarija-kje-isprati-humanitarna-i-voeno-logistichka-pomosh-na-ukraina/</t>
  </si>
  <si>
    <t>BGH2</t>
  </si>
  <si>
    <t>The Bulgarian government announced to provide Ukraine humanitarian assistance worth 706,000 EUR.</t>
  </si>
  <si>
    <t>https://www.kmu.gov.ua/en/news/denis-shmigal-ukrayina-vdyachna-bolgariyi-shcho-spilno-z-mizhnarodnoyu-spilnotoyu-bere-uchast-u-pidtrimci-nashoyi-krayini</t>
  </si>
  <si>
    <t>https://www.ukrinform.net/rubric-ato/3470180-bulgaria-to-give-ukraine-humanitarian-aid-worth-over-eur-700000-shmyhal.html</t>
  </si>
  <si>
    <t>https://interfax.com/newsroom/top-stories/78780/</t>
  </si>
  <si>
    <t>BGH3</t>
  </si>
  <si>
    <t>Humanitarian aid in the form of medicines, clothing, and food. "Source of Aid 1" mentions that Bulgaria approved the repairment of Ukranian military equipment in Bulgarian firms. The latter is reported in BGM1.</t>
  </si>
  <si>
    <t>https://www.dw.com/bg/%D0%BF%D0%B0%D1%80%D0%BB%D0%B0%D0%BC%D0%B5%D0%BD%D1%82%D1%8A%D1%82-%D1%80%D0%B5%D1%88%D0%B8-%D0%B1%D1%8A%D0%BB%D0%B3%D0%B0%D1%80%D0%B8%D1%8F-%D1%89%D0%B5-%D0%BE%D0%BA%D0%B0%D0%B6%D0%B5-%D0%B2%D0%BE%D0%B5%D0%BD%D0%BD%D0%BE-%D1%82%D0%B5%D1%85%D0%BD%D0%B8%D1%87%D0%B5%D1%81%D0%BA%D0%B0-%D0%BF%D0%BE%D0%BC%D0%BE%D1%89-%D0%BD%D0%B0-%D1%83%D0%BA%D1%80%D0%B0%D0%B9%D0%BD%D0%B0/a-61683857</t>
  </si>
  <si>
    <t>https://bntnews.bg/news/kakva-tochno-pomosht-shte-predostavi-balgariya-na-ukraina-1193662news.html</t>
  </si>
  <si>
    <t>BGM1</t>
  </si>
  <si>
    <t xml:space="preserve">According to the Bulgarian Ministry of Defense (Source of Aid 1, news article from 20.12.2022), Bulgaria has provided 448 million BGN in military humanitarian aid since the beginning of Russia's armed agression. </t>
  </si>
  <si>
    <t>BGN</t>
  </si>
  <si>
    <t>https://www.mod.bg/bg/news.php?&amp;fn_page=2</t>
  </si>
  <si>
    <t>https://www.investor.bg/a/527-svyat/366246-balgariya-e-otpusnala-na-ukrayna-pomosht-za-448-mln-lv-ot-nachaloto-na-voynata</t>
  </si>
  <si>
    <t>https://sofiaglobe.com/2022/12/20/mod-bulgaria-has-given-close-to-half-a-billion-leva-humanitarian-aid-to-ukraine/</t>
  </si>
  <si>
    <t>https://www.euractiv.com/section/politics/short_news/bulgaria-sends-helmets-to-ukrain%D0%B5/</t>
  </si>
  <si>
    <t>ballistic vest</t>
  </si>
  <si>
    <t>https://www.mod.bg/bg/news.php?&amp;fn_page=3</t>
  </si>
  <si>
    <t>until 12/20/2022</t>
  </si>
  <si>
    <t>https://www.mod.bg/bg/news.php?&amp;fn_page=4</t>
  </si>
  <si>
    <t>https://www.mod.bg/bg/news.php?&amp;fn_page=5</t>
  </si>
  <si>
    <t>winter boot</t>
  </si>
  <si>
    <t>https://www.mod.bg/bg/news.php?&amp;fn_page=6</t>
  </si>
  <si>
    <t>BGM2</t>
  </si>
  <si>
    <t xml:space="preserve">The Bulgarian government approved that Bulgaria will help Ukraine repair military hardware. The cost of the donation was not given by the source. </t>
  </si>
  <si>
    <t>https://www.reuters.com/world/europe/bulgaria-approves-repairs-ukrainian-military-equipment-not-military-aid-2022-05-04/</t>
  </si>
  <si>
    <t>https://balkaninsight.com/2022/06/07/we-have-done-enough-bulgaria-rejects-ukraines-plea-for-heavy-weapons/</t>
  </si>
  <si>
    <t>https://balkaninsight.com/2022/05/04/bulgaria-to-repair-ukraines-military-equipment-despite-internal-tensions/</t>
  </si>
  <si>
    <t>BGM3</t>
  </si>
  <si>
    <t xml:space="preserve">Bulgaria announces its first military aid to Ukraine since the Russian invasion, mainly light weaponry and ammuntion. Futher details of the package are not disclosed. According to Source of Aid 4, the value of this package is 20 million BGN. </t>
  </si>
  <si>
    <t>https://www.reuters.com/world/europe/bulgaria-send-its-first-military-aid-ukraine-2022-12-09/</t>
  </si>
  <si>
    <t>https://apnews.com/article/politics-bulgaria-moscow-rumen-radev-ukraine-government-125de4ab26d01dfd89421ffbf9c7b8d2</t>
  </si>
  <si>
    <t>https://abcnews.go.com/International/wireStory/bulgarian-parliament-approves-military-aid-ukraine-94859655</t>
  </si>
  <si>
    <t>https://www.dnevnik.bg/politika/2022/12/16/4429086_bulgariia_shte_izprati_voenna_pomosht_za_ukraina_za_20/</t>
  </si>
  <si>
    <t>CAF1</t>
  </si>
  <si>
    <t>Canada</t>
  </si>
  <si>
    <t>Loan</t>
  </si>
  <si>
    <t>In addition to the 120 million USD loan announced on January 21 (not reported in our dataset since it predates our data collection frame) Canada announced a 500 million CAD loan. This loan was announced on February 14, but was signed on April 14, as mentioned by "Source of Aid 2". It was provided through the Bretton Woods and Related Agreements Act (BWRAA).</t>
  </si>
  <si>
    <t>CAD</t>
  </si>
  <si>
    <t>https://www.canada.ca/en/department-finance/news/2022/02/canada-pledges-additional-support-for-ukraine.html</t>
  </si>
  <si>
    <t>https://twitter.com/ua_minfin/status/1514313544795361280?ref_src=twsrc%5Etfw%7Ctwcamp%5Etweetembed%7Ctwterm%5E1514313544795361280%7Ctwgr%5E%7Ctwcon%5Es1_&amp;ref_url=https%3A%2F%2Fwww.republicworld.com%2Fworld-news%2Frussia-ukraine-crisis%2Fcanada-to-provide-ukraine-with-398-dollars-million-concessional-loan-amid-russian-invasion-articleshow.html</t>
  </si>
  <si>
    <t>CAF2</t>
  </si>
  <si>
    <t>Canada will offer 1 billion CAD of new loan resources through the newly established account of the International Monetary Found. In this specific case, the IMF works as a mediator: donors can provide loans or grants in either reserve currencies or special drawing rights. Refer to CAM8 for the 500 million CAD mentioned in "Source of Aid 1". "Source of Aid 3" lists the previously granted loans of 620 million CAD, discussed in CAF1. "Source of Aid 4" clarifies that this aid was disbursed on June 17 and it specifies the conditions: the loan maturity is 10 years and the interest rate p.a. is 1.69%.</t>
  </si>
  <si>
    <t>https://www.reuters.com/article/canada-budget-ukraine-aid-idCAKCN2LZ2CL</t>
  </si>
  <si>
    <t>https://www.bnnbloomberg.ca/imf-creates-new-account-to-help-ukraine-as-canada-pledges-funds-1.1749951</t>
  </si>
  <si>
    <t>https://www.theglobeandmail.com/canada/article-federal-budget-2022-ukraine-russia-1-billion-loan/#:~:text=The%20federal%20government%20is%20proposing%20to%20assist%20Ukraine%E2%80%99s,loan%20through%20a%20new%20Canada-led%20international%20financial%20program.</t>
  </si>
  <si>
    <t>https://www.kmu.gov.ua/en/news/minfin-ukrayina-otrimala-1-mlrd-kanadskih-dolariv-vid-kanadi</t>
  </si>
  <si>
    <t>CAF3</t>
  </si>
  <si>
    <t>Canada announced to provide an additional loan of 250 million CAD to support Ukraine. The Minister of Finance that it will be provided through the IMF's Administered Account. Notice that "Source of Aid 1" mentions a total amount of financial aid amounting to 1.87 billion CAD, of which CAF1 to CAF3 covers 1.75 billion CAD (500 million CAD + 1 billion CAD + 250 million CAD). The remaining 120 million CAD (1.87 billion CAD - 1.75 billion CAD) is reflected by a loan announced on Jan 21, so prior to the starting date for our dataset, Jan 24. Ukrainian government confirmed its disbursement later in July 2022 (Source of aid 3). Source of aid 4 confirmed that it was not a new loan in July by stating that in total financial aid thought, IMF amounted to 1.45 CAD billion.</t>
  </si>
  <si>
    <t>https://www.canada.ca/en/department-finance/news/2022/05/canada-provides-additional-financial-support-to-ukraine.html</t>
  </si>
  <si>
    <t>https://english.news.cn/northamerica/20220521/316cc7dea3444c36b011aa19617629ac/c.html</t>
  </si>
  <si>
    <t>https://www.mof.gov.ua/uk/news/minfin_ukraina_otrimaie_vid_kanadi_dodatkovikh_450_mln_kanadskikh_dolariv-3544</t>
  </si>
  <si>
    <t>https://www.international.gc.ca/world-monde/issues_development-enjeux_developpement/response_conflict-reponse_conflits/crisis-crises/ukraine-dev.aspx?lang=eng</t>
  </si>
  <si>
    <t>CAF4</t>
  </si>
  <si>
    <t>Prime Minister Trudeau announced the provision of a 200 million CAD loan through the IMF to Ukraine. Furthermore, "Source of Aid 1" mentions additional humanitarian assistance that is reported in CAH5, CAH6, CAH7. Moreover, "Source of Aid 1" re-iterates the pledge of Canada at the Stand Up for Ukraine Event that is covered in CAH3. Ukrainian government confirmed its disbursement later in July 2022 (Source of aid 3). Source of aid 4 confirmed that it was not a new loan in July by stating that in total financial aid thought, IMF amounted to 1.45 CAD billion.</t>
  </si>
  <si>
    <t>https://pm.gc.ca/en/news/backgrounders/2022/06/28/additional-canadian-support-ukraine-announced-2022-g7-summit#:~:text=Canada%20will%20provide%20%24200%20million,administrative%20burden%20on%20Ukrainian%20officials.</t>
  </si>
  <si>
    <t>https://www.ctvnews.ca/politics/canada-pledges-more-aid-and-loans-to-ukraine-as-g7-targets-russian-oil-1.5965947</t>
  </si>
  <si>
    <t>CAF5</t>
  </si>
  <si>
    <t>Justin Trudeau, Canadian Prime Minister, announced the allocation of funding for two Ukraine projects through the Peace and Stabilization Operations Program (PSOPs), totalling 3.85 CAD million.</t>
  </si>
  <si>
    <t>https://pm.gc.ca/en/news/news-releases/2022/08/23/prime-minister-announces-additional-support-ukraine</t>
  </si>
  <si>
    <t>https://mil.in.ua/en/news/canada-will-allocate-3-million-to-ukraine-to-strengthen-the-defense-sector/</t>
  </si>
  <si>
    <t>CAF6</t>
  </si>
  <si>
    <t xml:space="preserve">Canada signed an agreement to enable, together with others, a €300 million EBRD loan to NAK (Naftogaz). In doing so, Canada will provide a €36.5 million guarantee to help compensate for the loss of natural gas production due to Russia’s invasion of Ukraine. </t>
  </si>
  <si>
    <t xml:space="preserve">https://www.ebrd.com/news/2022/canada-and-ebrd-join-forces-to-support-ukraines-naftogaz-.html#:~:text=Canada%2C%20a%20founding%20member%20of,to%20Russia's%20invasion%20of%20Ukraine. </t>
  </si>
  <si>
    <t>http://web.archive.org/web/20230328045625/https://www.international.gc.ca/world-monde/issues_development-enjeux_developpement/response_conflict-reponse_conflits/crisis-crises/ukraine-dev.aspx?lang=eng</t>
  </si>
  <si>
    <t>CAF7</t>
  </si>
  <si>
    <t>The Government of Canada will issue Ukraine Sovereignty Bonds, which will help the government continue operations, including providing essential services to Ukrainians, like pensions, and purchasing fuel before winter. Later Canadian government specified that it is going to be 5-year 500 CAD million bond (Source of aid 2).</t>
  </si>
  <si>
    <t xml:space="preserve">https://pm.gc.ca/en/news/news-releases/2022/10/28/prime-minister-announces-new-measures-support-ukraine </t>
  </si>
  <si>
    <t>https://www.canada.ca/en/department-finance/programs/financial-sector-policy/ukraine-sovereignty-bond.html</t>
  </si>
  <si>
    <t>CAF8</t>
  </si>
  <si>
    <t>According to the official WB list, Canada comitted to a guarantee of Ukraine Relief, Recovery, Reconstruction and Reform Trust Fund (URTF) (Source of aid 1) . The project's official press release states that it started in December 2022, but the value was not assigned to each donor at the time (Source of aid 2).</t>
  </si>
  <si>
    <t>https://www.worldbank.org/en/news/press-release/2022/12/16/new-multi-donor-trust-fund-established-to-channel-donor-support-to-ukraine</t>
  </si>
  <si>
    <t>CAF9</t>
  </si>
  <si>
    <t>Prime Minister Trudeau also announced Canada had disbursed a 2.4 CAD billion loan to the Government of Ukraine to support essential services, such as pension payments, purchasing fuel, and restoring damaged energy infrastructure. Source of aid 2 later specified that Canada provided 4.35 CAD in loan resources through the new Administered Account for Ukraine at the International Monetary Fund. Therefore, we assume this loan was also provided via these instruments since this was Canada's only financial aid increase.</t>
  </si>
  <si>
    <t>https://www.pm.gc.ca/en/news/news-releases/2023/04/11/prime-minister-trudeau-announces-more-support-ukraine</t>
  </si>
  <si>
    <t>http://web.archive.org/web/20230610181331/https://www.international.gc.ca/world-monde/issues_development-enjeux_developpement/response_conflict-reponse_conflits/crisis-crises/ukraine-dev.aspx?lang=eng</t>
  </si>
  <si>
    <t>CAH1</t>
  </si>
  <si>
    <t>The intention of the donation was to fund development and humanitarian assistance. The 340 million CAD mentioned in "Source of Aid 1" are reported in CAM1.</t>
  </si>
  <si>
    <t>https://www.canada.ca/en/department-national-defence/news/2022/01/canada-extends-and-expands-military-and-other-support-for-the-security-of-ukraine.html</t>
  </si>
  <si>
    <t>https://www.business-standard.com/article/international/canada-to-provide-up-to-c-50-million-in-development-aid-to-ukraine-trudeau-122012700083_1.html</t>
  </si>
  <si>
    <t>CAH2</t>
  </si>
  <si>
    <t>Equipment and assistance</t>
  </si>
  <si>
    <t>Emergency health services (including trauma care), protection, support to displaced people, and essential life-saving services such as shelter, water, sanitation, and food. The aid is directed to those affected by the conflict in Ukraine and neighboring countries. We do not consider aid directed to international organisations that are not explicitly active in Ukraine.</t>
  </si>
  <si>
    <t>https://www.canada.ca/en/global-affairs/news/2022/03/canada-announces-100-million-humanitarian-assistance-to-ukraine.html</t>
  </si>
  <si>
    <t>https://www.canada.ca/en/global-affairs/news/2022/03/canadas-humanitarian-assistance-for-ukraine.html</t>
  </si>
  <si>
    <t>CAH3</t>
  </si>
  <si>
    <t>In occasion of the "Stand up for Ukraine" campaign, which was held in Warsaw on April 9 and organised in cooperation with Canada and the European Commission, the Prime Minister of Canada announced that Canadian humanitarian assistance will be increased with additional 100 million CAD.</t>
  </si>
  <si>
    <t>https://pm.gc.ca/en/news/news-releases/2022/04/09/prime-minister-co-convenes-stand-ukraine-pledging-event</t>
  </si>
  <si>
    <t>CAH4</t>
  </si>
  <si>
    <t>To support dairy farmers in Ukraine, Canada announced to provide 2 million CAD without providing further information. Notice that we do not include the committed amount of 9 million CAD in "Source of Aid 1 &amp; 2" as this is devoted to UN organizations.</t>
  </si>
  <si>
    <t>https://www.canada.ca/en/global-affairs/news/2022/05/g7-development-ministers-conclude-successful-meeting-and-issue-statement-on-ukraine.html</t>
  </si>
  <si>
    <t>https://www.ukrinform.net/rubric-ato/3488287-canada-to-provide-cad-9m-in-humanitarian-aid-to-ukraine.html</t>
  </si>
  <si>
    <t>CAH5</t>
  </si>
  <si>
    <t>Canada announced to provide additional humanitarian assistance in the volume of 75 million CAD. Even though this money is provided not directly to Ukraine but rather to several partner organizations, we consider it as the government explicitly states that the total budget is devoted to "humanitarian operations inside Ukraine". Note that the loan discussed in the sources is covered in CAF4 and other humanitarian packages are reported in CAH3, CAH6 and CAH7.</t>
  </si>
  <si>
    <t>CAH6</t>
  </si>
  <si>
    <t>Canada announced to provide 52 million CAD to help Ukraine by providing storage capacities for grain. Thereby, 50 million CAD is devoted to storage and 2 million CAD for complementary equipment. Note that the loan discussed in the sources is covered in CAF4 and other humanitarian packages are reported in CAH3, CAH5 and CAH7.</t>
  </si>
  <si>
    <t>https://ukraine.un.org/en/193141-ukraine-fao-canada-join-forces-address-grain-storage-deficit</t>
  </si>
  <si>
    <t>CAH7</t>
  </si>
  <si>
    <t>Canada announced to provide 9.7 million CAD to support Ukrainian institutions regarding human rights violations, especially sexual and gender-based violence. The funding is also devoted to support Ukrainian police and judicial institutions. Note that the loan discussed in the sources is covered in CAF4 and other humanitarian packages are reported in CAH3, CAH5 and CAH6.</t>
  </si>
  <si>
    <t>CAH8</t>
  </si>
  <si>
    <t xml:space="preserve">Canada provides 52 CAD million to provide storage opportunities for 2.4 million tons of grain. </t>
  </si>
  <si>
    <t>https://minagro.gov.ua/news/kanada-nadaye-40-miljoniv-dolariv-ssha-dlya-zabezpechennya-24-miljona-tonn-shovishch?fbclid=IwAR0tOKhcjlcnwj5Wvpqe3fr0kwd_90iCZAxzUMMeqqvk45emy4e0lakzOQ0</t>
  </si>
  <si>
    <t>CAH9</t>
  </si>
  <si>
    <t>Canada is providing CAD 10 million for the purchase and delivery of power generators to Ukraine</t>
  </si>
  <si>
    <t>https://twitter.com/HarjitSajjan/status/1596191692184776709?cxt=HHwWisDT4eL456YsAAAA</t>
  </si>
  <si>
    <t>https://english.nv.ua/nation/7-million-pledged-by-canada-for-generator-purchases-in-ukraine-news-50286809.html</t>
  </si>
  <si>
    <t>CAH10</t>
  </si>
  <si>
    <t>During the Paris Aid Conference, Canada announced to provide Ukraine $115 million from Russian and Belarusian tariff revenues to repair Kyiv’s power grid.</t>
  </si>
  <si>
    <t>https://www.canada.ca/en/department-finance/news/2022/12/canada-provides-ukraine-115-million-from-russian-and-belarusian-tariff-revenues-to-repair-kyivs-power-grid.html</t>
  </si>
  <si>
    <t>https://www.theglobeandmail.com/politics/article-canada-to-fund-repairs-to-kyivs-power-grid-with-revenue-from-russian/</t>
  </si>
  <si>
    <t>CAM1</t>
  </si>
  <si>
    <t xml:space="preserve">Aid for military assistance and for the extension and expansion of Operation UNIFIER, the Canadian Armed Forces’ military training and capacity-building mission in Ukraine. The 50 million CAD mentioned in "Source of Aid 1" are reported in CAH1. </t>
  </si>
  <si>
    <t>https://www.netnewsledger.com/2022/01/26/government-of-canada-announces-340-million-for-ukraine/</t>
  </si>
  <si>
    <t>https://www.cmfmag.ca/canadian-government-sends-lethal-weapons-to-ukraine/</t>
  </si>
  <si>
    <t>CAM2</t>
  </si>
  <si>
    <t xml:space="preserve">Undisclosed number of lethal weapons and assorted support items (machine guns, pistols, carbines, 1.5 million rounds of ammunition, sniper rifles, and various related items) for a total value of 7 million USD, which is directed to the Armed Force of Ukraine. </t>
  </si>
  <si>
    <t>https://www.canada.ca/en/department-national-defence/news/2022/02/canada-commits-lethal-weapons-and-ammunition-in-support-of-ukraine.html</t>
  </si>
  <si>
    <t>https://www.overtdefense.com/2022/02/15/canada-to-provide-small-arms-to-ukraine/</t>
  </si>
  <si>
    <t>https://english.almayadeen.net/news/politics/canada-sends-lethal-weapons-to-ukraine</t>
  </si>
  <si>
    <t>CAM3</t>
  </si>
  <si>
    <t>Both lethal and non-lethal military equipment such as protective gear, meal packs, weapons and ammunition. The source mentions 25 million USD in non-lethal weapons, reported in CAM4, military equipment of an unknwon value reported in CAM5, and 1 million USD reported in CAM6.</t>
  </si>
  <si>
    <t>fragmentation vest</t>
  </si>
  <si>
    <t>https://www.canada.ca/en/department-national-defence/news/2022/03/defence-minister-anand-announces-additional-military-support-to-ukraine.html?msclkid=50865665ab9011ecbb2d77d3ecd6e3a6</t>
  </si>
  <si>
    <t>https://militaryleak.com/2022/03/06/canada-to-supply-4500-m72-and-100-carl-gustaf-anti-tank-weapons-to-ukraine/</t>
  </si>
  <si>
    <t>https://tfiglobalnews.com/2022/03/21/canada-wanted-to-supply-weapons-to-ukraine-turns-out-it-didnt-have-any/</t>
  </si>
  <si>
    <t>individual meal pack</t>
  </si>
  <si>
    <t>Carl Gustav M2 recoilless rifle</t>
  </si>
  <si>
    <t>round of 84 mm ammunition</t>
  </si>
  <si>
    <t>CAM4</t>
  </si>
  <si>
    <t>Non-lethal items such as helmets, body armor, gas masks, and night vision gear.</t>
  </si>
  <si>
    <t>https://www.canada.ca/en/global-affairs/news/2022/02/canada-sending-additional-25m-military-aid-to-support-ukraine.html</t>
  </si>
  <si>
    <t>https://www.cbc.ca/news/politics/canada-ukraine-artillery-1.6426132</t>
  </si>
  <si>
    <t>gas mask</t>
  </si>
  <si>
    <t>CAM5</t>
  </si>
  <si>
    <t>Lethal items, such as M72 rocket launchers and hand grenades. "Source of Aid 1" lists 25 million USD in non-lethal weapons, reported in CAM4, 1 million USD for satellite imaging reported in CAM6 and lethal and non-lethal equipment reported in CAM3.</t>
  </si>
  <si>
    <t>https://www.canada.ca/en/department-national-defence/news/2022/03/defence-minister-anand-announces-additional-military-support-to-ukraine.html</t>
  </si>
  <si>
    <t>CAM6</t>
  </si>
  <si>
    <t>Grant amounting to 1 million CAD, which can be used for the purchase of commercial satellite high resolution and modern imagery. "Source of Aid 1" lists a shipment of 4500 M72 rocket launchers as well as 7500 hand grenades, these are included in aid package CAM5, 25 million CAD in non-lethal weapons, reported in CAM4 and lethal and non-lethal equipment reported in CAM3.</t>
  </si>
  <si>
    <t>https://www.ctvnews.ca/politics/a-lot-more-people-are-going-to-die-canada-sending-more-lethal-weapons-to-ukraine-1.5804357</t>
  </si>
  <si>
    <t>CAM7</t>
  </si>
  <si>
    <t>Lethal weapons and non-lethal specialized equipment for military purposes, including Canadian-made cameras for surveillance drones. No further information regarding the shipment has been disclosed. The amount of 10 million USD previously shipped weaponry is included in "Source of Aid 1" in transaction CAM3.</t>
  </si>
  <si>
    <t>Lethal weapons</t>
  </si>
  <si>
    <t>https://www.ctvnews.ca/politics/ukraine-can-t-negotiate-with-gun-to-head-says-joly-as-trudeau-presses-allies-1.5811832</t>
  </si>
  <si>
    <t>https://www.txtreport.com/news/2022-03-10-canada-will-provide-%24-50-million-in-military-assistance-to-ukraine.S1BRwmvb5.html</t>
  </si>
  <si>
    <t>https://www.youtube.com/watch?v=EKzlhntZigE&amp;t=888s</t>
  </si>
  <si>
    <t>drone camera</t>
  </si>
  <si>
    <t>CAM8</t>
  </si>
  <si>
    <t>M777 Howitzers (four Howitzers according to "Source of Aid 2") and Carl Gustaf anti-armour ammunitions were delivered.</t>
  </si>
  <si>
    <t>https://www.canada.ca/en/department-national-defence/news/2022/04/canada-announces-artillery-and-other-additional-military-aid-for-ukraine.html</t>
  </si>
  <si>
    <t>https://www.cbc.ca/news/politics/ukraine-m777-howitzer-russia-heavy-artillery-1.6427762</t>
  </si>
  <si>
    <t xml:space="preserve">https://www.canada.ca/en/department-national-defence/news/2022/04/canada-announces-artillery-and-other-additional-military-aid-for-ukraine.html 
</t>
  </si>
  <si>
    <t>CAM9</t>
  </si>
  <si>
    <t xml:space="preserve">500 million CAD for military assistance in lethal and non-lethal weapons were dedicated to Ukraine in the Canadian budget for the fiscal year 2022-2023 ("Source of Aid 1"). On April 26, up to eight armored vehicles were financed with these means. ("Source of Aid 2"). On May 23, the Defense Minister announced a purchase of 20,000 rounds (worth: 98 million CAD) of artillery ammunition as part of this budget line ("Source of Aid 2"). </t>
  </si>
  <si>
    <t>Roshel Senator 4x4 armored personnel carrier</t>
  </si>
  <si>
    <t>https://globalnews.ca/news/8788360/ukraine-war-canada-Armored-vehicles/</t>
  </si>
  <si>
    <t>https://mil.in.ua/en/news/canada-is-set-to-hand-over-eight-armored-vehicles-to-ukraine/</t>
  </si>
  <si>
    <t>https://mil.in.ua/en/news/ukraine-received-senator-apc-armored-vehicles/</t>
  </si>
  <si>
    <t>round of ammunition for 155mm howitzer</t>
  </si>
  <si>
    <t>https://www.cbc.ca/news/politics/anand-biggest-military-donation-ukraine-1.6463915</t>
  </si>
  <si>
    <t>https://www.ukrinform.net/rubric-ato/3491327-canada-to-give-ukraine-over-20000-155-mm-shells.html</t>
  </si>
  <si>
    <t>https://torontosun.com/news/national/canada-shipping-20000-rounds-of-artillery-ammunition-to-ukraine</t>
  </si>
  <si>
    <t>replacement barrels for M777 howitzer</t>
  </si>
  <si>
    <t>https://www.business-standard.com/article/international/canada-to-provide-further-military-aid-for-ukraine-says-defence-minister-122061600137_1.html</t>
  </si>
  <si>
    <t>CAM10</t>
  </si>
  <si>
    <t>During a visit in Ukraine, the Canadian Prime Minister announced additional military assistance worth 50 million CAD. He states that this package comes on top of what Canada has provided so far, referring to the budget increase (CAM9), previous loans (CAF1, CAF2) and humanitarian assistance (CAH1-CAH3). Note that there is a gap between the 200 million CAD we count and the 245 million CAD, the Prime Minister mentions in "Source of Aid 1". This is because the remaining part has been devoted to international organization, which we do not count (see CAH2, "Source of Aid 2" for a list of the aid we do not count). Finally, "Source of Aid 1" also mentions two additional packages we do not count since they are allotted to international organizations (25 million CAD to the World Food Programme and 10 million CAD to support human rights).</t>
  </si>
  <si>
    <t>https://pm.gc.ca/en/news/news-releases/2022/05/08/prime-minister-visits-kyiv-ukraine</t>
  </si>
  <si>
    <t>https://www.reuters.com/world/europe/canadas-trudeau-announces-new-weapons-ukraine-visit-kyiv-2022-05-08/</t>
  </si>
  <si>
    <t>https://www.france24.com/en/live-news/20220601-arms-for-ukraine-who-has-sent-what</t>
  </si>
  <si>
    <t>high-resoultion satellity imagery</t>
  </si>
  <si>
    <t>small arm and ammunition</t>
  </si>
  <si>
    <t>CAM11</t>
  </si>
  <si>
    <t xml:space="preserve">The Source of Delivery indicates that armored vehicles were already delivered in Europe in October. Thus we assume that, at this point whole package is delivered.
</t>
  </si>
  <si>
    <t>https://www.cbc.ca/news/politics/nato-arms-canada-1.6506611</t>
  </si>
  <si>
    <t>https://twitter.com/KyivIndependent/status/1542585476414070786?ref_src=twsrc%5Etfw%7Ctwcamp%5Etweetembed%7Ctwterm%5E1542585476414070786%7Ctwgr%5E%7Ctwcon%5Es1_&amp;ref_url=https%3A%2F%2Fwww.republicworld.com%2Fworld-news%2Frussia-ukraine-crisis%2Fcanadas-pm-pledges-to-deliver-dozens-of-brand-new-Armored-personnel-carriers-to-ukraine-articleshow.html</t>
  </si>
  <si>
    <t>https://twitter.com/JustinTrudeau/status/1586090019496022016</t>
  </si>
  <si>
    <t>Armored Combat Support Vehicles (ACSV)</t>
  </si>
  <si>
    <t>CAM12</t>
  </si>
  <si>
    <t>Defence Minister Anita Anand announced that Canada will provide over $47 million in new military aid that will assist the Armed Forces of Ukraine as they fight for Ukraine’s sovereignty and security.</t>
  </si>
  <si>
    <t>155mm artillery round</t>
  </si>
  <si>
    <t>https://www.canada.ca/en/department-national-defence/campaigns/canadian-military-support-to-ukraine.html</t>
  </si>
  <si>
    <t>https://ukranews.com/en/news/887638-canada-will-provide-new-package-of-assistance-to-ukraine-for-usd-47-million</t>
  </si>
  <si>
    <t>winter clothing (Canada)</t>
  </si>
  <si>
    <t>CAM13</t>
  </si>
  <si>
    <t>At the G20 Summit in Bali, Indonesia, Canadian Prime Minister Justin Trudeau announced that Canada will provide $500 million in additional military assistance for Ukraine to assist the Armed Forces of Ukraine in defending their country against Russia’s brutal and unjustifiable invasion. Later the content of the package was revealed (Source of aid 2).</t>
  </si>
  <si>
    <t>National Advanced Surface-to-Air Missile System (NASAMS)</t>
  </si>
  <si>
    <t>https://pm.gc.ca/en/news/news-releases/2022/11/14/prime-minister-announces-additional-military-assistance-ukraine-and</t>
  </si>
  <si>
    <t>https://www.canada.ca/en/department-national-defence/news/2023/01/defence-minister-anita-anand-announces-air-defence-system-donation-to-ukraine.html</t>
  </si>
  <si>
    <t>munitions for NASAMS</t>
  </si>
  <si>
    <t>CAM14</t>
  </si>
  <si>
    <t>Canada will use 5 CAD million of the said funds to provide the Armed Forces with modern satellite imagery, 18 CAD million for high-resolution cameras for unmanned aerial vehicles, and the remaining 10 CAD million for winter gear, including portable heaters, blankets, and sleeping bags.</t>
  </si>
  <si>
    <t>https://juliedzerowicz.libparl.ca/wp-content/uploads/sites/86/2021/01/Facts-and-Figures_November18.pdf</t>
  </si>
  <si>
    <t>CAM15</t>
  </si>
  <si>
    <t xml:space="preserve">Canadian official military aid page says that on January 18, 200 more Roshel APC were pledged amounting to 92 CAD million. </t>
  </si>
  <si>
    <t>https://www.army-technology.com/news/canada-200-senator-ukraine/</t>
  </si>
  <si>
    <t>CAM16</t>
  </si>
  <si>
    <t xml:space="preserve">Canadian official military aid page says that on January 27, 4 Leopards 2a4 were already delivered. </t>
  </si>
  <si>
    <t>Leopard-2A4</t>
  </si>
  <si>
    <t>https://www.reuters.com/world/americas/canada-send-four-leopard-2-tanks-ukraine-2023-01-26/</t>
  </si>
  <si>
    <t>CAM17</t>
  </si>
  <si>
    <t xml:space="preserve">Canadian official military aid page says that on February 24, the new military package was pledged consisted of artillery rounds, ARV, and more Leopards 2a4. </t>
  </si>
  <si>
    <t>https://pm.gc.ca/en/news/news-releases/2023/02/24/supporting-ukraine-long-it-takes</t>
  </si>
  <si>
    <t>BPz-3 Büffel ARV</t>
  </si>
  <si>
    <t>https://twitter.com/AnitaAnandMP/status/1646888145852538881?ref_src=twsrc%5Etfw%7Ctwcamp%5Etweetembed%7Ctwterm%5E1646888145852538881%7Ctwgr%5Edca336de433944b6a41333b9e5a95e4fe7eb2d42%7Ctwcon%5Es1_&amp;ref_url=https%3A%2F%2Fwww.thedefensepost.com%2F2023%2F04%2F17%2Fcanada-battle-tanks-ukraine%2F</t>
  </si>
  <si>
    <t>CAM18</t>
  </si>
  <si>
    <t>Minister of Foreign Affairs, Mélanie Joly, announced more than $32 million in support of security and stabilization in the country. This includes contributions to demining and accountability efforts, as well as countering chemical, biological, radiological, and nuclear threats that jeopardize the safety of the entire region.</t>
  </si>
  <si>
    <t>CAM19</t>
  </si>
  <si>
    <t>At the meeting with the Ukraine Defense Contact Group in March, Canadian Defence Minister Anita Anand announced that Canada will donate approximately 8,000 rounds of 155mm ammunition, as well as 12 air defense missiles sourced from the Canadian Armed Forces (CAF) inventory, to sustain the air defense systems currently deployed in Ukraine. Canada will also donate more than 1,800 rounds of 105mm tank training ammunition. The value of the package was not specified. Source of Aid 2 identified that Air Defence Missiles are AIM-120 Advanced Medium-Range Air-to-Air Missiles (AMRAAMs). The same source specified that they were delivered. Therefore, we assume that the whole package was delivered since the missiles were delivered.</t>
  </si>
  <si>
    <t>https://www.canada.ca/en/department-national-defence/news/2023/03/defence-minister-anita-anand-announces-additional-military-donations-to-ukraine-at-ukraine-defense-contact-group-meeting.html</t>
  </si>
  <si>
    <t>https://www.canada.ca/en/department-national-defence/campaigns/canadian-military-support-to-ukraine.html#toc0</t>
  </si>
  <si>
    <t>AMRAAM rockets (for NASAMS)</t>
  </si>
  <si>
    <t>Leopard-1 ammunition</t>
  </si>
  <si>
    <t>CAM20</t>
  </si>
  <si>
    <t>On April 11, 2023, Canada announced it would donate additional small arms and ammunition to Ukraine, sourced from Colt Canada, valued at approximately 59 CAD million. This package includes 21,000 5.56mm assault rifles, 38 7.62mm machine guns, over 2.4 million rounds of ammunition to support these weapons, and small arms already in use by the Armed Forces of Ukraine. Accessories and spares for these small arms are also included in this package.</t>
  </si>
  <si>
    <t>Colt Canada C7</t>
  </si>
  <si>
    <t>https://www.canada.ca/en/department-national-defence/news/2023/04/defence-minister-anita-anand-announces-approximately-39-million-military-aid-package-for-ukraine.html</t>
  </si>
  <si>
    <t>https://www.canada.ca/en/department-national-defence/news/2023/05/defence-minister-anita-anand-announces-military-aid-for-ukraine-at-the-twelfth-meeting-of-the-ukraine-defense-contact-group.html</t>
  </si>
  <si>
    <t xml:space="preserve">C6 7.62-mm Medium Machine Gun </t>
  </si>
  <si>
    <t>CAM21</t>
  </si>
  <si>
    <t>At the meeting with the Ukraine Defense Contact Group on April 21, 2023, Canadian Defence Minister Anita Anand announced that Canada will donate 34.6 CAD million to the North Atlantic Treaty Organization (NATO) Ukraine Comprehensive Assistance Package (CAP) Trust Fund.</t>
  </si>
  <si>
    <t>CAM22</t>
  </si>
  <si>
    <t>At the meeting with the Ukraine Defense Contact Group on April 21, 2023, Canadian Defence Minister Anita Anand announced that Canada will donate approximately 2.5 CAD million for 40 .50 caliber sniper rifles and ammunition from PGW Defence Technologies Inc. based in Winnipeg, which includes spare parts and accessories, and 2 CAD million worth of new radio sets (16 in total) from L3 Harris to accompany the Leopard 2 tank donations.</t>
  </si>
  <si>
    <t>C15A2 .50 Calibre Long Range Sniper Weapon</t>
  </si>
  <si>
    <t>Portable radio (Canada)</t>
  </si>
  <si>
    <t>CAM23</t>
  </si>
  <si>
    <t>At the meeting with the Ukraine Defense Contact Group on May 25, 2023, Canadian Defence Minister Anita Anand announced a new military aid package. It includes 43 AIM-9 missiles to Ukraine from the CAF inventory.</t>
  </si>
  <si>
    <t>AIM-9 missile</t>
  </si>
  <si>
    <t>CNH1</t>
  </si>
  <si>
    <t>China</t>
  </si>
  <si>
    <t>Donation in terms of daily necessities of the Chinese Red Cross to Ukraine.</t>
  </si>
  <si>
    <t>CNY</t>
  </si>
  <si>
    <t>https://www.reuters.com/world/china-provide-5-mln-yuan-worth-humanitarian-assistance-ukraine-2022-03-09/</t>
  </si>
  <si>
    <t>https://www.usnews.com/news/world/articles/2022-03-21/china-says-it-will-offer-10-million-yuan-more-of-humanitarian-aid-to-ukraine</t>
  </si>
  <si>
    <t>CNH2</t>
  </si>
  <si>
    <t>Donation in terms of daily necessities of the Chinese Red Cross to Ukraine. The "5 million CNY" of "Source of Aid 1" refer to CNH1.</t>
  </si>
  <si>
    <t>https://www.reuters.com/world/china/china-says-it-will-offer-10-mln-yuan-more-humanitarian-aid-ukraine-2022-03-21/</t>
  </si>
  <si>
    <t>CNH3</t>
  </si>
  <si>
    <t>China will donate 200,000 euros to the Ukrainian nuclear safety and security technical assistance project through the International Atomic Energy Agency.</t>
  </si>
  <si>
    <t>http://chicago.china-consulate.gov.cn/fyrth/202303/t20230308_11037694.htm</t>
  </si>
  <si>
    <t>http://bh.china-embassy.gov.cn/fyrth/202303/t20230308_11037694.htm</t>
  </si>
  <si>
    <t>HRH1</t>
  </si>
  <si>
    <t>Croatia</t>
  </si>
  <si>
    <t>Goods and equipment that will be provided from the available stockpiles of the Ministry of the Interior, the Ministry of Economy and Sustainable Development, the Ministry of Health, the Ministry of Foreign and European Affairs, and the Croatian Fire Service.</t>
  </si>
  <si>
    <t>HRK</t>
  </si>
  <si>
    <t>https://vlada.gov.hr/news/croatia-sending-emergency-aid-to-ukraine/33960</t>
  </si>
  <si>
    <t>https://hr.n1info.com/english/news/croatia-sends-emergency-aid-worth-e1-2m-to-ukraine-in-wake-of-russias-invasion/</t>
  </si>
  <si>
    <t>https://ba.n1info.com/english/news/croatia-sends-emergency-aid-worth-e1-2m-to-ukraine-in-wake-of-russias-invasion/</t>
  </si>
  <si>
    <t>HRH2</t>
  </si>
  <si>
    <t>Humanitarian aid worth of 1,516,800 HRK.</t>
  </si>
  <si>
    <t>https://mup.gov.hr/UserDocsImages/2022/4/112_8.pdf</t>
  </si>
  <si>
    <t>https://civilna-zastita.gov.hr/vijesti/dostavljena-zurna-humanitarna-pomoc-ukrajini-u-organizaciji-ravnateljstva-civilne-zastite/5634</t>
  </si>
  <si>
    <t>HRH3</t>
  </si>
  <si>
    <t xml:space="preserve">Croatia pledged an additional 5 million EUR contribution during the International Donors' Conference on May 5, 2022 (see 1:06:00 in "Source of Aid 1"). </t>
  </si>
  <si>
    <t>https://www.youtube.com/watch?v=vzENx6dTpqY</t>
  </si>
  <si>
    <t>https://hr.n1info.com/svijet/ek-daje-200-mil-eura-za-ukrajince-plenkovic-hrvatska-ce-pomagati-iz-principa/</t>
  </si>
  <si>
    <t>https://www.24sata.hr/news/solidarnost-hrvatska-donirala-5-mil-eura-za-pomoc-ukrajini-833624</t>
  </si>
  <si>
    <t>HRH4</t>
  </si>
  <si>
    <t>16.4 tonnes of aid worth HRK 247311 (EUR 33000) were sent by the Vukovar-Srijem county with the help of cities and municipalities. The aid consists mainly of food, baby food, water and cosmetics.</t>
  </si>
  <si>
    <t>https://www.total-croatia-news.com/politics/63404-vukovar-srijem-county-sends-humanitarian-aid-to-ukraine</t>
  </si>
  <si>
    <t>https://www.vecernji.hr/vijesti/vukovarsko-srijemska-zupanija-uputila-pomoc-ukrajini-znamo-sto-znaci-biti-u-potrebi-1592483</t>
  </si>
  <si>
    <t>HRH6</t>
  </si>
  <si>
    <t>Croatia will contribute EUR 1 million to the United Nations Children's Fund (UNICEF) for the urgent needs of restoring the energy infrastructure of Ukraine, i.e. for the purchase of 50 generators for schools and hospitals in Ukraine.</t>
  </si>
  <si>
    <t>https://mvep.gov.hr/press/sjednica-vlade-milijun-eura-za-50-generatora-u-skolama-i-bolnicama-u-ukrajini/253184</t>
  </si>
  <si>
    <t>https://www.ukrinform.ua/rubric-uarazom/3660606-horvatia-vidilila-1-miljon-na-zakupivlu-generatoriv-dla-ukrainskih-skil-i-likaren.html</t>
  </si>
  <si>
    <t xml:space="preserve">Source of Aid 1 says that the Embassy of Ukraine in Croatia has already delivered  56 generators and 59 transformers to Ukraine and that currently, another 170 transformers are being prepared for shipment. Source of Aid 2, from December 14, 2022, says that the Embassy of Ukraine in Croatia reported that Croatia will hand over 230 transformers of various capacities to Ukraine, and 50 generators provided by the country have already been delivered to different regions of Ukraine. Since we do not have any of these generators and transformers in a previous entry, we place them in HRH6. </t>
  </si>
  <si>
    <t>https://frontnews.eu/en/news/details/48264</t>
  </si>
  <si>
    <t>transformer</t>
  </si>
  <si>
    <t>https://frontnews.eu/en/news/details/48265</t>
  </si>
  <si>
    <t>HRH7</t>
  </si>
  <si>
    <t xml:space="preserve">Croatian Minister of Foreign and European Affairs states that Croatia has sent a total of 190 million EUR to Ukraine. He says that Croatia has given all forms of aid, "not only humanitarian, not only political and diplomatic, but also military" (Source of Aid 1). Therefore, we use this value to benchmark our values. To date, we have recorded 130,457,970 EUR of Croatian aid. The amount of aid we have not yet accounted for is 59,542,030 EUR. Finding no information about the this aid has been split between the aid types, we split it equally. We attribute 29,771,015 to humanitarian aid (entry HRH7) and to military aid (HRM6).   </t>
  </si>
  <si>
    <t>https://vlada.gov.hr/vijesti/grlic-radman-hrvatska-izdasno-i-konzistentno-pomaze-ukrajini/38083</t>
  </si>
  <si>
    <t>https://mvep.gov.hr/press-22794/croatia-continues-to-provide-consistent-and-ample-support-to-ukraine/253745</t>
  </si>
  <si>
    <t>HRM1</t>
  </si>
  <si>
    <t xml:space="preserve">Protective military equipment and infantry weapons. No further information regarding the shipment has been disclosed.  </t>
  </si>
  <si>
    <t>https://vlada.gov.hr/news/croatia-had-sided-with-freedom-and-democracy-and-with-the-ukrainian-people-which-is-the-only-right-way/34979</t>
  </si>
  <si>
    <t>https://www.total-croatia-news.com/politics/60689-support-measures-for-ukraine</t>
  </si>
  <si>
    <t>https://www.jutarnji.hr/vijesti/hrvatska/donesen-paket-mjera-za-ukrajinu-hrvatska-salje-opremu-i-naoruzanje-u-vrijednosti-124-milijuna-kuna-15163892</t>
  </si>
  <si>
    <t>https://www.euractiv.com/section/politics/short_news/croatia-to-send-weapons-to-ukraine-provide-health-care-to-refugees/</t>
  </si>
  <si>
    <t>https://twitter.com/visegrad24/status/1503313508980637696</t>
  </si>
  <si>
    <t>HRM2</t>
  </si>
  <si>
    <t>On November 16, 2022, Croatian newspaper Jutarnji List reports that according to the Ministry of Defense, sending Mi-8 helicopters is a reasonable and rational decisison (Sources of Aid 1 and 2). On February 25, 2023, the same newspaper reports that preparations to send them have begun (Sources of Aid 3 and 4)</t>
  </si>
  <si>
    <t>Mi-8</t>
  </si>
  <si>
    <t>https://www.jutarnji.hr/vijesti/hrvatska/ukrajini-saljemo-14-rabljenih-ruskih-helikoptera-zauzvrat-dobivamo-americke-black-hawkove-15275768</t>
  </si>
  <si>
    <t>https://english.nv.ua/nation/repair-of-power-infrastructure-may-take-up-to-two-weeks-ukraine-president-zelensky-50284597.html</t>
  </si>
  <si>
    <t>https://www.jutarnji.hr/vijesti/hrvatska/pocela-specijalna-operacija-slanja-14-nasih-helikoptera-ukrajini-s-njih-vec-skidaju-oznake-15309682</t>
  </si>
  <si>
    <t>https://english.nv.ua/nation/croatia-preparing-mi-8-helicopters-for-sending-via-poland-to-ukraine-news-50306906.html</t>
  </si>
  <si>
    <t>https://en.kyiv24.news/news/croatia-transferred-mi-8-helicopters-to-ukraine</t>
  </si>
  <si>
    <t>HRM3</t>
  </si>
  <si>
    <t>Croatia plans to allocate 3 million EUR for the purchase of demining machines for Ukraine's needs</t>
  </si>
  <si>
    <t>mobile and protected mine clearing system</t>
  </si>
  <si>
    <t>https://www.kmu.gov.ua/news/khorvatiia-planuie-spriamuvaty-maizhe-3-mln-ievro-na-prydbannia-dlia-ukrainy-rozminuvalnykh-mashyn</t>
  </si>
  <si>
    <t>https://www.facebook.com/mvs.gov.ua/posts/pfbid02LXuUQLc6ZaXcYPVEMcmZXjCKNVq9N94fPzdcbuYSHhfSJfcE8tj931VXECuesHkCl</t>
  </si>
  <si>
    <t>https://mil.in.ua/en/news/croatia-plans-to-provide-ukraine-with-e3-million-for-demining/</t>
  </si>
  <si>
    <t>HRM4</t>
  </si>
  <si>
    <t xml:space="preserve">According to Source of Aid 1, the government aid to Ukraine has been in total €160 million, of which 77% (€123 million) is estimated to be military aid (Source of Aid 2). We use this figure, €123 million, to benchmark and subtract the values of HRM1, HRM2, HRM3 to arrive at €44,562,710 </t>
  </si>
  <si>
    <t>https://poljoprivreda.gov.hr/vijesti/sjednica-vlade-donesen-strateski-plan-zpp-za-2023-2027-vrijedan-3-8-milijardi-eura/5992 </t>
  </si>
  <si>
    <t>https://n1info.hr/english/news/croatia-so-far-approved-aid-in-amount-of-e160-mn-to-ukraine/</t>
  </si>
  <si>
    <t>HRM5</t>
  </si>
  <si>
    <t xml:space="preserve">Croatian Ministry of Foreign and European Affairs says that Croatia will donate €500,000 to NATO's Comprehensive Aid Package to Ukraine. </t>
  </si>
  <si>
    <t>https://mvep.gov.hr/press-22794/gov-t-bill-on-development-cooperation-and-humanitarian-aid-comprehensive-aid-package-for-ukraine-stolac-school-reconstruction/253731</t>
  </si>
  <si>
    <t>https://www.ukrinform.net/rubric-polytics/3691796-croatia-to-allocate-eur-500000-in-aid-to-ukraine.html</t>
  </si>
  <si>
    <t>https://euromaidanpress.com/2023/04/05/croatia-to-send-over-usd-540000-in-aid-to-ukraine/</t>
  </si>
  <si>
    <t>HRM6</t>
  </si>
  <si>
    <t>CYH1</t>
  </si>
  <si>
    <t>Cyprus</t>
  </si>
  <si>
    <t xml:space="preserve">Cyprus has dispatched two shipments of humanitarian aid to Ukraine. The first one was sent on March 8, 2022, and includes a total of 150 tons of humanitarian aid, including 80 tons of food supplies (infant milk and food, flour, long life food), shelter equipment (sleeping bags, tents, blankets, biological toilets), 13 tons of medical supplies and medicines, 5000 pairs of shoes, 22500 liters of bottled water, electricity generator, personal hygiene kits and other civil protection and first aid equipment. The second one, instead, was sent on the 6.04.2022. No information regarding the second shipment has been disclosed. The total value of the two shipments is equal to 2 million EUR. </t>
  </si>
  <si>
    <t>ton of food</t>
  </si>
  <si>
    <t>https://mfa.gov.cy/press-releases/2022/03/09/cyprus-humanitarian-aid-to-ukraine/</t>
  </si>
  <si>
    <t>https://cyprus-mail.com/2022/04/06/aid-for-ukraine-now-tops-e2-million/</t>
  </si>
  <si>
    <t>ton of medical equipment</t>
  </si>
  <si>
    <t>liter of bottled water</t>
  </si>
  <si>
    <t>pair of shoes</t>
  </si>
  <si>
    <t>Power generator</t>
  </si>
  <si>
    <t>CYH2</t>
  </si>
  <si>
    <t>On June 3, it was reported that a third tranche of humanitarian aid (the first two tranches are covered in CYH1) is ready to be sent to Ukraine. According to "Source of Aid 1", this has a value of 500,000 EUR and "includes mainly medical equipment such as respirators, defibrillators and first aid supplies".</t>
  </si>
  <si>
    <t>https://in-cyprus.philenews.com/news/local/cyprus-third-humanitarian-aid-package-to-war-torn-ukraine-ready-to-be-shipped-photos/</t>
  </si>
  <si>
    <t>https://cyprus-mail.com/2022/06/03/third-humanitarian-aid-shipment-heading-to-ukraine/</t>
  </si>
  <si>
    <t>CYH3</t>
  </si>
  <si>
    <t xml:space="preserve">On December 13, at the Ukraine Solidarity Conference in Paris, Cyprus foreign minister announces that Cyprus will provide further humanitarian aid to Ukraine. On 28 December, Cyprus provides details of this announcement: it will provide a 300,000 EUR grant to purchase electricity generators for Ukraine, which will go through Poland.   </t>
  </si>
  <si>
    <t>https://mfa.gov.cy/el/press-releases/2022/12/30/press-statement-poland-ua-generators/</t>
  </si>
  <si>
    <t>https://www.cna.org.cy/en/article/4342298/cyprus-and-poland-sign-agreement-to-provide-further-humanitarian-aid-to-ukraine</t>
  </si>
  <si>
    <t>https://cyprus-mail.com/2022/12/14/cyprus-sends-largest-aid-package-in-its-history-to-ukraine/</t>
  </si>
  <si>
    <t>CYH4</t>
  </si>
  <si>
    <t xml:space="preserve">Cyprus Ministry of Foreign Affairs announces that the amount of humanitarian aid from Cyprus to Ukraine now exceeds 3,000,000 EUR. We take this as the official benchmark as of January 13. We subtract previous humanitarian assistance (CYH1 - 3), for a total amount of  undisclosed humanitarian aid is equal to 200,000 EUR.   </t>
  </si>
  <si>
    <t>https://www.ant1live.com/politiki/532556_symfonia-kyproy-polonias-gia-parohi-anthropistikis-boitheias-pros-tin-oykrania</t>
  </si>
  <si>
    <t>CYH5</t>
  </si>
  <si>
    <t>Cypriot Defense Minister says that Cyprus will offer Ukraine technical training for landmine detection and clearing, as part of its humanitarian assistance.</t>
  </si>
  <si>
    <t>https://www.reuters.com/world/europe/cyprus-offer-technical-aid-ukraine-mines-clearance-minister-2023-04-07/</t>
  </si>
  <si>
    <t>https://www.ukrinform.net/rubric-ato/3692865-cyprus-to-offer-ukraine-technical-assistance-in-demining.html</t>
  </si>
  <si>
    <t>https://cyprus-mail.com/2023/04/07/cyprus-to-provide-training-in-demining-to-ukraine-with-video/</t>
  </si>
  <si>
    <t>CYM1</t>
  </si>
  <si>
    <t xml:space="preserve">Cyprus signs the European Defense Agency "Collaborative Procurement of Ammunition" plan to provide 155mm artillery ammunition for Ukraine. Through this initiative, Cyprus will provide indirect military assistance. </t>
  </si>
  <si>
    <t>https://defence-industry.eu/eda-brings-together-18-countries-for-common-procurement-of-ammunition/</t>
  </si>
  <si>
    <t>https://knews.kathimerini.com.cy/en/news/cyprus-chips-in-as-eu-seeks-quick-ammo-for-ukraine</t>
  </si>
  <si>
    <t>CZM1</t>
  </si>
  <si>
    <t>Czech Republic</t>
  </si>
  <si>
    <t>152mm artillery ammunition for different howitzers and self-propelled guns for a total of 36.6 million CZK.</t>
  </si>
  <si>
    <t>CZK</t>
  </si>
  <si>
    <t>https://www.czdefence.com/article/czech-republic-donates-artillery-ammunition-worth-czk-366-million-to-ukraine</t>
  </si>
  <si>
    <t>https://czechdaily.cz/the-czech-republic-is-sending-thousands-of-artillery-shells-to-ukraine/</t>
  </si>
  <si>
    <t>CZM2</t>
  </si>
  <si>
    <t>Weapons and ammunitions of various types, including pistols, machine guns, submachine guns and sniper rifles.</t>
  </si>
  <si>
    <t>9mm pistol vz. 82</t>
  </si>
  <si>
    <t>https://www.vlada.cz/cz/media-centrum/aktualne/vlada-schvalila-dalsi-dar-v-podobe-vojenskeho-materialu-ukrajine-194585/</t>
  </si>
  <si>
    <t>https://mocr.army.cz/informacni-servis/zpravodajstvi/vlada-schvalila-dalsi-dar-v-podobe-vojenskeho-materialu-ukrajine-233798/</t>
  </si>
  <si>
    <t>7.62 mm assault rifle vz. 58</t>
  </si>
  <si>
    <t>hub NB 7.62-43</t>
  </si>
  <si>
    <t>hub NB 7.62-SV 43</t>
  </si>
  <si>
    <t>7.65mm submachine gun vz. 61 Scorpio</t>
  </si>
  <si>
    <t>hub NB 7.65-Browning</t>
  </si>
  <si>
    <t>7.62 mm universal machine gun vz.59</t>
  </si>
  <si>
    <t>7.62 mm sniper rifle Dragunov</t>
  </si>
  <si>
    <t>hub NB 7,62-59 (TŽ, OKRAJ.)</t>
  </si>
  <si>
    <t>hub NB 7,62-SV 59 (TŽ-SV)</t>
  </si>
  <si>
    <t>hub NB 7,62-PZ 59 (PZ EDGE)</t>
  </si>
  <si>
    <t>12.7mm sniper rifle Falcon</t>
  </si>
  <si>
    <t>CZM3</t>
  </si>
  <si>
    <t>Lethal and non-lethal items, worth 400 million CZK. "Source of Aid 3" speaks of 188 million CZK, reported in CZM2.</t>
  </si>
  <si>
    <t>shoulder fired MANPAD</t>
  </si>
  <si>
    <t>https://www.vlada.cz/cz/media-centrum/aktualne/vlada-petra-fialy-schvalila-dalsi-vojenskou-pomoc-bojujici-ukrajine-194603/</t>
  </si>
  <si>
    <t>https://www.praguemorning.cz/czech-governmenet-approves-czk-400-million-in-military-aid-for-ukraine/</t>
  </si>
  <si>
    <t>https://www.politico.com/news/2022/03/22/ukraine-weapons-military-aid-00019104</t>
  </si>
  <si>
    <t>https://www.rferl.org/a/czech-republic-poland-new-military-aid-ukraine/31873938.html</t>
  </si>
  <si>
    <t>FN Minimi</t>
  </si>
  <si>
    <t>CZ 805 BREN</t>
  </si>
  <si>
    <t>CZ Scorpion Evo 3</t>
  </si>
  <si>
    <t>bullet</t>
  </si>
  <si>
    <t>tactical gloves</t>
  </si>
  <si>
    <t>CZM4</t>
  </si>
  <si>
    <t xml:space="preserve">Weapons, ammunitions and equipment, worth 17 million crowns. The delivery was made by Czech arm manufactures, but it has been scrutinized and negotiated with the Czech Government. </t>
  </si>
  <si>
    <t>https://www.vlada.cz/cz/media-centrum/aktualne/vlada-schvalila-dalsi-materialni-pomoc-pro-ukrajinu-a-opatreni-na-pomoc-se-zvladnutim-migracni-krize-194727/</t>
  </si>
  <si>
    <t>https://english.radio.cz/czech-republic-sending-more-arms-ukraine-8743811</t>
  </si>
  <si>
    <t>CZM5</t>
  </si>
  <si>
    <t>According to a government spokesman's statement, the Czech Government plans to deliver further military aid worth 31.5 million USD to Ukraine (see "Source of Aid 3"). "Source of Aid 2" cites 750 million CZK of total military assistance, delivered to Ukraine before this aid package. This sum is reported in transactions CZM1-CZM4, CZM6, and in CZM8-CZM10.</t>
  </si>
  <si>
    <t>https://www.reuters.com/article/ukraine-crisis-czech-arms-idUSL2N2VG078</t>
  </si>
  <si>
    <t>https://english.radio.cz/czech-republic-send-more-arms-ukraine-8745032</t>
  </si>
  <si>
    <t>https://edition.cnn.com/europe/live-news/ukraine-russia-putin-news-03-13-22/h_025dcb1758c374a11f208c39d687f1b0</t>
  </si>
  <si>
    <t>CZM6</t>
  </si>
  <si>
    <t>Military material. No further Information has been disclosed. "Source of Aid 1" lists additional donations reported in CZH1-CZH4, CZM1-CZM4, and in CZM8-CZM12.</t>
  </si>
  <si>
    <t>https://www.vlada.cz/cz/media-centrum/aktualne/informace-v-souvislosti-s-invazi-ruska-na-ukrajinu-194507/</t>
  </si>
  <si>
    <t>https://www.novinky.cz/clanek/zahranicni-evropa-souhrn-deni-na-ukrajine-ve-stredu-40389910</t>
  </si>
  <si>
    <t>CZM7</t>
  </si>
  <si>
    <t>22 ballistic vests (protective gear). "Source of Aid 1" lists additional donations reported in CZH1-CZH4, CZM1-CZM4, CZM6 and in CZM8-CZM12.</t>
  </si>
  <si>
    <t>CZM8</t>
  </si>
  <si>
    <t>unspecified</t>
  </si>
  <si>
    <t>Equipment, ballistic protection, opticsal and other small material to Ukraine for a total of 53.26 million crowns. "Source of Aid 1" lists additional donations reported in CZH1-CZH4, CZM1-CZM4, CZM6, CZM7 and in CZM9-CZM12.</t>
  </si>
  <si>
    <t>CZM9</t>
  </si>
  <si>
    <t>until 3/10/2022</t>
  </si>
  <si>
    <t>Fuel and petrol for the Ukraine Armed Forces. "Source of Aid 2" lists additional donations reported in CZH1-CZH4, in CZM1-CZM4, CZM6-CZM8, and CZM10-CZM12.</t>
  </si>
  <si>
    <t>https://www.vlada.cz/cz/media-centrum/aktualne/vlada-kvuli-migracni-krizi-vyhlasila-od-patku-nouzovy-stav--schvalila-i-dalsi-pomoc-pro-ukrajinu-a-navrh-na-zvyseni-vydaju-na-obranu-194695/</t>
  </si>
  <si>
    <t>CZM11</t>
  </si>
  <si>
    <t>Provision of defense material, with no reference to lethal items in the source. 52 ballist vests are included in the shipment. Moreover, "Source of Aid 1" lists additional donations reported in CZH1-CZH4, CZM1-CZM4, CZM6-CZM10.</t>
  </si>
  <si>
    <t>CZM12</t>
  </si>
  <si>
    <t>According to unofficial sources, Czech Republic has been sending tanks since the beginning of the conflict. On April 5, photos of 5 T72 and 5 BVP-1 infantry fighting vehicles leaving to Ukraine from Czech Republic have started circulating in social networks. Thanks to new information on the weapons swap between Germany and Czech Republic (see Source of Aid 3), we know that Czech Republic has sent at least 20 T-72 tanks and will probably receive 14 Leopard 2 A4 models and one rescue tank based on Leopard, from Germany. According to Source of Aid 1 and the delivery source, Czechia has sent 89 tanks to Ukraine. We therefore take this number as committed as well as delivered.</t>
  </si>
  <si>
    <t>Modified T-72 tank (T-72A/T-72M1/M1R)</t>
  </si>
  <si>
    <t>https://www.vlada.cz/en/media-centrum/tiskove-zpravy/czechia-sends-hundreds-of-heavy-military-systems-worth-tens-of-billions-to-ukraine-during-the-first-year-of-russian-invasion-203252/</t>
  </si>
  <si>
    <t>https://www.reuters.com/world/europe/czech-republic-sends-tanks-ukraine-czech-tv-reports-2022-04-05/</t>
  </si>
  <si>
    <t>https://www.forbes.com/sites/sebastienroblin/2022/10/28/czech-super-t-72m4-tanks-seen-headed-towards-ukraine/?sh=679ee5423ce7</t>
  </si>
  <si>
    <t>https://www.wsj.com/articles/ukraine-quietly-receives-tanks-from-czech-republic-to-support-war-effort-11649160666</t>
  </si>
  <si>
    <t>BVP-1 infantry fighting vehicle</t>
  </si>
  <si>
    <t>CZM13</t>
  </si>
  <si>
    <t>Lethal and non-lethal items."Source of Aid 2" lists additional sources reported in CZH1-CZH4, CZM1-CZM4, CZM6- CZM10, CZM12 and CZM14.</t>
  </si>
  <si>
    <t>CZM14</t>
  </si>
  <si>
    <t>unclear, 04/22</t>
  </si>
  <si>
    <t xml:space="preserve">Shipment of RM-70 Multiple Rocket Launchers and Dana Howitzers. This shipment comes in addition of the T72 tanks, 152 mm field guns and BMP1 reported in CZM14 and CZM13. According to Source of Aid 2 and the delivery source, 38 howitzers and 33 multiple rocket launchers have been delivered. The source also mentions that 60,000 rockets have been sent, which we assume were missiles sent with the MLRS, so we include it in this package. </t>
  </si>
  <si>
    <t>RM-70 multiple rocket launcher</t>
  </si>
  <si>
    <t>https://mezha.media/en/2022/04/15/new-weapon-deliveries-from-the-czech-republic-dana-self-propelled-artillery-and-rm-70-multiple-rocket-launcher/</t>
  </si>
  <si>
    <t>Missile for Czech-made RM-70 multiple rocket launcher</t>
  </si>
  <si>
    <t>Dana Howitzer</t>
  </si>
  <si>
    <t>CZM15</t>
  </si>
  <si>
    <t xml:space="preserve">Attack helicopters. According to "Source of Aid 1", Czech Republic will most likely send the Mi-24 helicopters, since they are Soviet in origin and thus require little-to-no training. According to "Source of Aid 3" Czech Republic has sent four attack helicpoters. </t>
  </si>
  <si>
    <t>Mi-24 attack helicopter</t>
  </si>
  <si>
    <t>https://en.defence-ua.com/industries/czechia_sends_ukraine_mi_24_attack_helicopters-3051.html</t>
  </si>
  <si>
    <t>https://www.flightglobal.com/helicopters/czech-republic-sending-attack-helicopters-to-ukraine/148770.article</t>
  </si>
  <si>
    <t>CZM16</t>
  </si>
  <si>
    <t>The Czech Ministry of Defense declared that the Czech Republic will send in between 26 and 30 million USD  in additional in-kind military aid to Ukraine. The 150 million USD mentioned in "Source of Aid 1" are covered in CZM1-CZM15. We do not consider the CZM16 being part of the 150 million USD mentioned in "Source of Aid 1", since it is only a commitment, whereas the source explicitly refers to the monetary value of the deliveries. No detail regarding the items was revealed.</t>
  </si>
  <si>
    <t>https://www.anews.com.tr/world/2022/05/29/czech-republic-to-deliver-more-military-supplies-to-ukraine</t>
  </si>
  <si>
    <t>https://mocr.army.cz/informacni-servis/zpravodajstvi/jednani-ministryne-s-ceskymi-zbrojari--ocenuji-podporu-exportu-i-ceskych-zakazek-239387/</t>
  </si>
  <si>
    <t>CZM18</t>
  </si>
  <si>
    <t xml:space="preserve">Czech Republic approved a new batch of military aid to Ukraine with equipment, weapons, and ammunition. The package includes heavy equipment, short-barreled and long-barreled weapons, as well as ammunition, but further details of the deal are not being disclosed in the Czech Republic for security reasons. According to Source of Aid 2, the value of the package is 400 million CZK. According Source of Aid 3 and delivery source, the following items have been sent to Ukraine in 2022. This entry includes the items that have previously been missing from the dataset. </t>
  </si>
  <si>
    <t>https://english.nv.ua/nation/czech-republic-prepares-new-military-aid-package-for-ukraine-50278050.html</t>
  </si>
  <si>
    <t>https://mil.in.ua/en/news/czech-republic-to-transfer-heavy-equipment-and-weapons-to-ukraine/</t>
  </si>
  <si>
    <t>meter of bridges in parts</t>
  </si>
  <si>
    <t>Strela man portable air defense system</t>
  </si>
  <si>
    <t>Artillery ammunition</t>
  </si>
  <si>
    <t>Anti-tank weapon</t>
  </si>
  <si>
    <t>Missile (including NLAWs and Javelin anti-tank weapons)</t>
  </si>
  <si>
    <t>CZM19</t>
  </si>
  <si>
    <t>Military equipment</t>
  </si>
  <si>
    <t xml:space="preserve">The Czech Republic has prepared a new military package for Ukraine, with equipment and supplies. There are no other details of the aid package. </t>
  </si>
  <si>
    <t>https://twitter.com/jana_cernochova/status/1582703322825252869?t=Fqppd0hXrrOuX8K3FFtgSg&amp;s=19</t>
  </si>
  <si>
    <t>https://mil.in.ua/en/news/the-czech-republic-announces-further-military-support-for-ukraine/</t>
  </si>
  <si>
    <t>CZM20</t>
  </si>
  <si>
    <t>US and Netherlands partner to refurbish 90 Czech T-72 tanks to be sent to Ukraine. The refurbishment project costs a total of 90 million USD, which means it costs 1 million USD per tank. Source of Aid 4 states that these tanks are not from the Czech army, but from industry stocks. This means the Czech Republic does not provide direkt bilateral aid to Ukraine in this package, which is why we do not count any value for it here. We still list this entry to allow cross-referencing with the Dutch and US entries.</t>
  </si>
  <si>
    <t>https://media.defense.gov/2022/Nov/04/2003108893/-1/-1/0/USAI-7-CZE-TANKS-US-NLD-CZE-PRESS-STATEMENT.PDF</t>
  </si>
  <si>
    <t>https://www.thedrive.com/the-war-zone/ukraine-to-get-90-t-72b-tanks-from-czech-republic</t>
  </si>
  <si>
    <t>https://www.defensenews.com/pentagon/2022/11/04/us-netherlands-go-dutch-to-refurbish-czech-tanks-for-ukraine/</t>
  </si>
  <si>
    <t>https://www.irozhlas.cz/zpravy-svet/usa-nizozemsko-ukrajina-tanky-t-72b_2211041839_nov</t>
  </si>
  <si>
    <t>CZM21</t>
  </si>
  <si>
    <t xml:space="preserve">Assistance </t>
  </si>
  <si>
    <t>The Czech government plans to provide training to up to 4000 Ukrainian troops. The training will cost 975 million crowns.</t>
  </si>
  <si>
    <t>https://www.reuters.com/world/europe/czechs-plan-train-4000-ukrainian-troops-2022-11-16/</t>
  </si>
  <si>
    <t>https://www.expats.cz/czech-news/article/ukrainian-soldiers-start-official-training-on-czech-territory</t>
  </si>
  <si>
    <t>CZM22</t>
  </si>
  <si>
    <t xml:space="preserve">The Czech Republic is preparing to transfer an unknown number of TREVA-30, a new recovery and excavation vehicle. Source of Aid 2 speaks of a batch of 90 T-72 tanks, these are listed in donation ID CZM22. According to Source of Aid 4 and the delivery source, Czech Republic has donated 226 combat and armored vehicles. Since we have 5 such vehicles recorded in CZM14, we assume that the remaining vehicles belong to this entry, so 221. </t>
  </si>
  <si>
    <t>TREVA-30 recovery vehicle</t>
  </si>
  <si>
    <t>https://twitter.com/P_Fiala/status/1612488494252757006</t>
  </si>
  <si>
    <t>https://ukranews.com/en/news/907501-czech-republic-preparing-new-batch-of-tanks-for-ukraine-prime-minister-fiala-signed-one-of-them</t>
  </si>
  <si>
    <t>https://twitter.com/Ukrainene/status/1612563073126076416</t>
  </si>
  <si>
    <t>CZM23</t>
  </si>
  <si>
    <t>The Czech government stated that the country has supplied material and training worth roughly 10 billion CZK, as of 23 February. We compare this value to the sum of the values from CZM1-22 using exchange rate 1 USD = 22.32 CZK for USD entries, which is 11,822,576,346 CZK. Since this comes relatively close to the "roughly 10 billion CZK" indicated by the government and we want do avoid underestimation, we keep our values to this date.</t>
  </si>
  <si>
    <t>https://www.pravda.com.ua/eng/news/2023/04/2/7396122/</t>
  </si>
  <si>
    <t>CZM24</t>
  </si>
  <si>
    <t>According to source 1 and 2, Czech Republic will supply Ukraine with military equipment currently in storage and "not needed" for the Czech defense, worth up to CZK 700 million.</t>
  </si>
  <si>
    <t>https://www.pravda.com.ua/eng/news/2023/04/5/7396598/</t>
  </si>
  <si>
    <t>https://kyivindependent.com/czechia-to-send-30-million-worth-of-military-aid-to-ukraine/</t>
  </si>
  <si>
    <t>https://www.ceskenoviny.cz/zpravy/cernochova-naplanovana-vojenska-pomoc-ukrajine-je-za-600-az-700-milionu-kc/2348405?ref=kyivindependent.com</t>
  </si>
  <si>
    <t>https://www.seznamzpravy.cz/clanek/domaci-politika-cernochova-naplanovana-vojenska-pomoc-ukrajine-dosahne-600-az-700-milionu-228992</t>
  </si>
  <si>
    <t>CZM25</t>
  </si>
  <si>
    <t>According to source of aid 1, the Czech Republic provided Ukraine with two 2K12 Kub air defense systems, including a relatively large quantity of ammunition for them. Source of aid 2 contains the original interview.</t>
  </si>
  <si>
    <t>2K12 KUB</t>
  </si>
  <si>
    <t>https://bnr.bg/en/post/101821892/the-czech-republic-provides-ukraine-with-two-soviet-era-2k12-kub-air-defense-systems</t>
  </si>
  <si>
    <t>https://www.irozhlas.cz/zpravy-domov/petr-pavel-ukrajina-protiletadlove-systemy-kub_2305101415_pj</t>
  </si>
  <si>
    <t>https://www.pravda.com.ua/eng/news/2023/05/10/7401581/</t>
  </si>
  <si>
    <t>https://mil.in.ua/en/news/czechia-to-transfer-kub-sam-to-ukraine/</t>
  </si>
  <si>
    <t>CZH1</t>
  </si>
  <si>
    <t>Release of 300 million CZK for humanitarian assistance. These funds will be used for the immediate needs of the civilian population of Ukraine, especially medical supplies and medical capacities, and for needs related to forced displacement (i.e. emergency accommodation, provision of drinking water, food, other basic material needs and health care). "Source of Aid 1" lists additional sources reported in CZH1-CZH4 and in CZM6-CZM11.</t>
  </si>
  <si>
    <t>https://czechdaily.cz/the-government-will-send-to-ukraine-czk-300-million-in-aid/</t>
  </si>
  <si>
    <t>https://www.vlada.cz/cz/media-centrum/aktualne/bezpecnostni-rada-statu-se-zabyvala-aktualni-bezpecnostni-situaci-po-napadeni-nezavisle-ukrajiny-vojsky-ruske-federace-194513/</t>
  </si>
  <si>
    <t>CZH2</t>
  </si>
  <si>
    <t xml:space="preserve">Medical supplies. "Source of Aid 1" mentions additional 10 million in tied cash assistance. This is reported in CZH2. </t>
  </si>
  <si>
    <t>https://www.expats.cz/czech-news/article/czech-republic-to-donate-100-million-crowns-of-medical-supplies-to-ukraine?msclkid=70d47c46ab9e11eca12fbfc7dff1390d</t>
  </si>
  <si>
    <t>CZH3</t>
  </si>
  <si>
    <t>Tied cash assistance of 10 million CZK for the purchase of medical supplies. "Source of Aid 1" mentions additional 108 million CZK being contributed through in-kind donations. This is reported in CZH1.</t>
  </si>
  <si>
    <t>CZH4</t>
  </si>
  <si>
    <t>Assistance and Equipment</t>
  </si>
  <si>
    <t xml:space="preserve">Assistance to the International Committee of Red Cross in Ukraine. Since the package is directed to the Red Cross in Ukraine and, thus, constitutes a direct flow into Ukraine, we included it in the dataset. "Source of Aid 1" lists additional sources reported in CZH1-CZH3, CZM1-CZM4 and in CZM6-CZM11. 
</t>
  </si>
  <si>
    <t>CZH5</t>
  </si>
  <si>
    <t>The aid package consists of 6 fire engines. "Source of Aid 1" lists additional donations reported in CZH1-CZH4, CZM6-CZM9 and CZM11-CZM12.</t>
  </si>
  <si>
    <t>fire-engine</t>
  </si>
  <si>
    <t>CZH6</t>
  </si>
  <si>
    <t>Humanitarian donation in form of durable food for internally displaced people. This is in addition to the remaining packages mentioned by the source and reported in our dataset: the 36.6 million CZK in CZM1, 188 million CZK in CZM2, 400 million CZK in CZM3, 24 million CZK in CZM6, 10 million CZK in CZH2, 300 million CZK in CZH3, 25 million CZK in CZH4, 30 million CZK in CZM9, 53.26 million CZK in CZM8, 4.5 million CZK in CZM10, 857,000 CZK in CZM12 and 133 million CZK in CZM14. The remainder of the aid reported in the source is not directed to Ukraine and, hence, is not reported in our dataset.</t>
  </si>
  <si>
    <t>CZH7</t>
  </si>
  <si>
    <t>Humanitarian aid (01:33:00 of "Source of Aid 1"). No further information has been disclosed.</t>
  </si>
  <si>
    <t>CZH8</t>
  </si>
  <si>
    <t xml:space="preserve">Donation of two temporary bridges for civilian transport. </t>
  </si>
  <si>
    <t>temporary bridge</t>
  </si>
  <si>
    <t>https://mil.in.ua/en/news/ukraine-has-received-two-temporary-bridges-for-civilian-transport-from-the-czech-republic/</t>
  </si>
  <si>
    <t>https://www.facebook.com/MinInfra.UA/posts/pfbid02bGQE1mPEedRvG9J7XqtSXznjDxwyJAKCTkWNVt5HSqzB132qJErWycxThrVfUKfvl</t>
  </si>
  <si>
    <t>https://www.ukrinform.net/rubric-ato/3674257-ukraine-gets-new-batch-of-bridges-from-czech-republic.html</t>
  </si>
  <si>
    <t>https://menafn.com/1105631486/Ukraine-Gets-New-Batch-Of-Bridges-From-Czech-Republic</t>
  </si>
  <si>
    <t>CZH9</t>
  </si>
  <si>
    <t>The shipment amounts to 100 million CZK and includes medical equipment, firefighting equipment and workwear. Among all, it also includes 3.64 million disposable gloves and around 500,000 single-use protective suits.</t>
  </si>
  <si>
    <t>disposable glove</t>
  </si>
  <si>
    <t>https://english.radio.cz/czech-republic-sends-further-humanitarian-aid-ukraine-8752601</t>
  </si>
  <si>
    <t>single-use protective suit</t>
  </si>
  <si>
    <t>CZH10</t>
  </si>
  <si>
    <t>At the Solidarity with Ukraine conference in Paris, Czech Prime Minister Petro Fiala said the country will provide 8.5 million EUR in financial assistance and equipment to help Ukraine get through the cold winter. Breakdown of the aid: 5 million EUR for electricity and heat during the blackout; 2.5 million EUR for indestructable centers; 1 million EUR for doctors. There is also provision for pontoon crossings and bridge technology.</t>
  </si>
  <si>
    <t>https://www.praguemorning.cz/czech-republic-to-allocate-8-5-mln-euros-in-aid-to-ukraine-to-pass-through-winter/</t>
  </si>
  <si>
    <t>https://twitter.com/Flash_news_ua/status/1602670622412529664</t>
  </si>
  <si>
    <t>CZH11</t>
  </si>
  <si>
    <t xml:space="preserve">Ministry for Communities, Territories and Infrastructure Development of Ukraine reports that Czech Republic donated 10 bridges to Ukraine in 2022. Subtracting the 2 temporary bridges in CZH6, this entry records 8 bridges. The ministry also says that Czech Republic sent 14 batches of metal structures for bridges, but since we cannot tell how many structures make one bridge, we consider the committed number as undisclosed. </t>
  </si>
  <si>
    <t>CZH12</t>
  </si>
  <si>
    <t>until 2/28/2023</t>
  </si>
  <si>
    <t>Since the first day of Russian invasion, the Ministry of Foreign Affairs has provided 420 million CZK in humanitarian aid to Ukraine. From this, we exclude 70 million CZK that is for Ukrainian refugees in Moldova, and 101.5 million CZK to account for medical supplies already quantified (donation ID CZH2), and 113.1 million CZK for direct financial and material support (accounted for in donation ID CZH8). Since we cannot say for certain which ministries were responsible for previous entries of humanitarian aid, we count the rest of the package here to stick to our upper bound. The minstry has provided: 70 million CZK for temporary housing, 68 million CZK for propane butane heaters.</t>
  </si>
  <si>
    <t>https://www.mzv.cz/duesseldorf/de/wirtschaft_und_handel/humanitarian_aid_from_the_ministry_of.html</t>
  </si>
  <si>
    <t>https://www.mzv.cz/jnp/en/issues_and_press/humanitarian_aid_from_the_ministry_of.html</t>
  </si>
  <si>
    <t>https://www.kurzy.cz/tema/7934096.html</t>
  </si>
  <si>
    <t>CZH13</t>
  </si>
  <si>
    <t xml:space="preserve">According to source of aid 1, seven ambulances from the Medical Rescue Service equipped with humanitarian aid have been sent to hospitals in the Transcarpathian region of Ukraine. The total value of material aid is approximately 3.25 million crowns. </t>
  </si>
  <si>
    <t>https://www.mzv.cz/dresden/cz/zpravy_a_udalosti/predani_humanitarni_pomoci_sanitek_leku.html</t>
  </si>
  <si>
    <t xml:space="preserve">https://www.mzv.cz/dresden/cz/zpravy_a_udalosti/predani_humanitarni_pomoci_sanitek_leku.html </t>
  </si>
  <si>
    <t>CZH14</t>
  </si>
  <si>
    <t>According to Source of Aid 1, the government of the Czech Republic decided to allocate almost €1 million for the training of 20-25 Ukrainian civil aviation pilots in the country.</t>
  </si>
  <si>
    <t>https://mil.in.ua/en/news/czech-republic-allocated-funds-for-ukrainian-pilots-training/</t>
  </si>
  <si>
    <t>https://babel.ua/en/news/93229-the-czech-republic-allocates-almost-one-million-euros-for-ukrainian-pilots-they-will-be-trained-in-civil-aviation#:~:text=The%20Czech%20government%20will%20allocate,year%20from%202023%20to%202025.</t>
  </si>
  <si>
    <t>DKH1</t>
  </si>
  <si>
    <t>Denmark</t>
  </si>
  <si>
    <t>not specified, 03/22</t>
  </si>
  <si>
    <t>Cars, generators and more. The operation is coordinated by the Danish Emergency Management Facility. Note that the total sum of 668 million DKK reported in "Source of Aid 1" can be divided into 8 million DKK, 20 million DKK (DKH2), 10 million DKK (DKH3), 50 million DKK (DKH4), 50 million DKK (DKH5) and 140 million DKK (DKH6). Additionally, the package consisting of 150 million DKK directed to the World Bank corresponds to the Danish share of 20 million EUR reported in DKF1. We do not consider the remaining packages cited in the source, since they all represent flows going to international organizations: 105 million DKK to UN organizations (UNHCR, OCHA, UNICEF), 115 million DKK to Danish and International organizations and 20 million DKK to the International Red Cross. We consider this aid package to have been pledged entirely in March for Analysis of aid over time purposes.</t>
  </si>
  <si>
    <t>DKK</t>
  </si>
  <si>
    <t>https://um.dk/danida/lande-og-regioner/ukraine</t>
  </si>
  <si>
    <t>https://um.dk/en/foreign-policy/danish-support-for-ukraine</t>
  </si>
  <si>
    <t>DKH2</t>
  </si>
  <si>
    <t>Infrastructure</t>
  </si>
  <si>
    <t>Construction of a civilian mobile hospital. The operation is coordinated by the Danish Emergency Management Facility. For the further amounts reported in "Source of Aid 1", see explanation in DKH1. We consider this aid package to have been pledged entirely in March for Analysis of aid over time purposes.</t>
  </si>
  <si>
    <t>DKH3</t>
  </si>
  <si>
    <t>Fund of 10 million DKK to finance Danish civil society organizations working in Ukraine. The aid focuses on protection, food and emergency shelter. For an explanation about additional amounts reported in "Source of Aid 1", refer to DKH1. We consider this aid package to have been pledged entirely in March for Analysis of aid over time purposes.</t>
  </si>
  <si>
    <t>DKH4</t>
  </si>
  <si>
    <t xml:space="preserve">Drugs and medical equipment for Ukraine and neighboring countries, aimed at assisting Ukrainian refugees. For an explanation about additional amounts reported in "Source of Aid 1", refer to DKH1. Source of Aid 2 reports this as Health related donations. </t>
  </si>
  <si>
    <t>DKH5</t>
  </si>
  <si>
    <t>Drugs, as a response to a request made by Ukraine through the EU's Crisis Response Team (HERA). For an explanation about additional amounts reported in "Source of Aid 1", refer to DKH1. Source of Aid 2 reports these as Health related donations.</t>
  </si>
  <si>
    <t>https://sum.dk/nyheder/2022/marts/danmark-donerer-medicin-og-medicinsk-udstyr-til-ukraine</t>
  </si>
  <si>
    <t>DKH6</t>
  </si>
  <si>
    <t>not specified, 05/22</t>
  </si>
  <si>
    <t>Additional 155 million DKK for humanitarian efforts in Ukraine. Since no further information was disclosed, we cannot determine whether the amount will be devoted directly to Ukraine or to international organizations. To avoid underestimating the true extent of assistance, we include this amount in our data.</t>
  </si>
  <si>
    <t>https://um.dk/en/danida/countries-and-regions/ukraine#:~:text=Denmarks%20has%20allocated%20another%20DKK,war%20crimes%20committed%20in%20Ukraine.</t>
  </si>
  <si>
    <t>DKH7</t>
  </si>
  <si>
    <t>not specified, 8/2022</t>
  </si>
  <si>
    <t>Reconstruction</t>
  </si>
  <si>
    <t xml:space="preserve">In August 2022, the Danish Ministry of the Interior reported a reconstruction commitment for the city of  Mykolaiv (Source of Aid 1). Initially, this commitment was over 13.4 million EUR, but increased in November 2022 to 16 million EUR (Source of Aid 2). This donation will report the entire reconstruction effort. </t>
  </si>
  <si>
    <t>https://tyrkiet.um.dk/en/news/independence-day-of-ukraine-six-months-since-the-russia-invasion</t>
  </si>
  <si>
    <t>DKH8</t>
  </si>
  <si>
    <t>not specified, 10/2022</t>
  </si>
  <si>
    <t xml:space="preserve">The Danish humanitarian contribution is stated to amount to EUR 85.4 million in November 2022. Since our dataset covers only EUR 67.2 million at this point, we add the difference (EUR 18.2 million) as an unspecified humanitarian contribution. </t>
  </si>
  <si>
    <t>DKH9</t>
  </si>
  <si>
    <t>not specified, 12/2022</t>
  </si>
  <si>
    <t>According to Source of Aid 1, Denmark committed additional EUR 25.6 million for a second support package for acute reconstruction and critical energy infrastructure.</t>
  </si>
  <si>
    <t>DKH10</t>
  </si>
  <si>
    <t>Ukraine Fund commitment: Denmark pledges the Ukraine Fund, a multi-year commitment that intends to provide Ukraine with military and humanitarian goods and services worth a total of 21.9 billion DKK. Source of Aid 1 and Source of Aid 2 state that in 2023 the fund will provide humanitarian aid worth 1.2 billion DKK from which 1 billion DKK will go to Ukraine, in 2024 10.4 billion DKK are planned, and from 2025 to 2028 1 billion DKK per year. This entry acts as an overview entry. All yearly portions of this fund are listed from DKH11 onwards.</t>
  </si>
  <si>
    <t>https://en.kriseinformation.dk/war/denmarks-response/donations</t>
  </si>
  <si>
    <t>https://www.fmn.dk/da/nyheder/2023/regeringen-prasenterer-udspil-til-historisk-forsvarsforlig/</t>
  </si>
  <si>
    <t>DKH11</t>
  </si>
  <si>
    <t>2023 Ukraine Fund commitment: Source of Aid 1 and Source of Aid 2 state that in 2023 the Ukraine fund will provide humanitarian aid worth 1.2 billion DKK from which 1 billion DKK will go to Ukraine, and 0.2 billion DKK will go to the greater Eastern European Region, including Ukraine (Source of Aid 3). Since we cannot distinguish between what goes to Ukraine and what does not, we take the entire 1.2 billion DKK as commitment.</t>
  </si>
  <si>
    <t>https://fm.dk/media/26849/faktaark_-civil-stoette-til-ukraine-og-oevrige-oestlige-naboskabslande-i-2023.pdf</t>
  </si>
  <si>
    <t>DKM1</t>
  </si>
  <si>
    <t>On April 21, the Prime Minister announced to provide additional military aid for 600 million DKK. She declared that this would bring the total military assistance to Ukraine to 1 billion DKK. This implies that Denmark has previously provided military assistance worth 400 million DKK (see "Source of Aid 1"). This prior assistance includes at least the announcement to send anti-tank missiles, anti-aircraft systems, drones as well as protective vests and hygiene kits (see "Source of Aid 2", "Source of Aid 3"). "Source of Aid 4" reports that as part of the 600 million DKK, Denmark sent armored personnel carriers, anti-tank mines and mortars as well as mortar shells. According to Source of Aid 2, Denmark has approved the delivery of the remaining M113 APCs and misc. other in-kind military goods from this package. We therefore consider this package as being entirely delivered.</t>
  </si>
  <si>
    <t>https://www.reuters.com/world/europe/spains-pm-sanchez-denmarks-pm-frederiksen-visit-kyiv-2022-04-21/</t>
  </si>
  <si>
    <t>https://www.armyrecognition.com/defense_news_april_2022_global_security_army_industry/denmark_approves_delivery_of_m113_tracked_armored_vehicles_and_ammunition_to_ukraine.html</t>
  </si>
  <si>
    <t>https://en.kriseinformation.dk/denmarks-reactions/denmarks-contributions</t>
  </si>
  <si>
    <t>https://twitter.com/kyivindependent/status/1520462556338569216?lang=en</t>
  </si>
  <si>
    <t>https://www.youtube.com/watch?v=S4G4kaNLqbk</t>
  </si>
  <si>
    <t>Stinger anti-aircraft system</t>
  </si>
  <si>
    <t>https://www.globaldefensecorp.com/2022/03/04/denmark-delivered-2700-anti-tank-rockets-and-300-stinger-missiles-to-ukraine/</t>
  </si>
  <si>
    <t>Skywatch drone</t>
  </si>
  <si>
    <t>https://militaryleak.com/2022/05/01/denmark-to-send-m113-armored-personnel-carriers-and-weapons-to-ukraine/</t>
  </si>
  <si>
    <t>hygiene kit</t>
  </si>
  <si>
    <t>mine</t>
  </si>
  <si>
    <t>M10 mortar</t>
  </si>
  <si>
    <t>M10 mortar shell</t>
  </si>
  <si>
    <t>DKM2</t>
  </si>
  <si>
    <t>until 5/31/2022</t>
  </si>
  <si>
    <t>Denmark pledged to deliver one Harpoon coastal defense missile system, together with an undisclosed number of missiles and other equipment such as ballistic vests. As the Defence Minister of Denmark stated in an interview on May 31, the total military aid has by then reached 2 billion DKK (see "Source of Aid 1"). So accounting for the reported 1 billion DKK in DKM1, we only report 1 billion DKK in this entry in order to avoid double counting. We report this new shipment of Harpoon coastal defence systems and missiles as having been pledged in May as the announcement was done in that month. This is done only for Analysis of aid over time purposes.</t>
  </si>
  <si>
    <t>Harpoon coastal defense missile system</t>
  </si>
  <si>
    <t>https://cphpost.dk/?p=134195</t>
  </si>
  <si>
    <t>https://www.reuters.com/article/us-ukraine-crisis-harpoon-idUKKCN2N91YC</t>
  </si>
  <si>
    <t>https://www.euractiv.com/section/politics/short_news/denmark-to-send-harpoon-launchers-missiles-to-ukraine/</t>
  </si>
  <si>
    <t>https://mil.in.ua/en/news/harpoon-what-is-known-about-danish-coastal-missile-systems/</t>
  </si>
  <si>
    <t>https://www.reuters.com/world/europe/ukraine-receives-harpoon-missiles-howitzers-says-defence-minister-2022-05-28/</t>
  </si>
  <si>
    <t>Harpoon coastal defense missile</t>
  </si>
  <si>
    <t>DKM3</t>
  </si>
  <si>
    <t>Weapons, equipment and assistance</t>
  </si>
  <si>
    <t xml:space="preserve">During the international donors conference in Copenhagen, the Danish government committed a new package of approximately DKK 820 million for financing weapons and training for Ukraine. Previously, the Danish government informed that it would allocate DKK 100 million to train Ukrainian solders (Source of aid 2), indicating that it will be included in the aid package during the conference. Thus, we consider the costs of the training program to be included in DKK 820 million package. Additionally, the Danish contribution to joint financing of Zuzana-2 howitzers is done with means from this package. The joint project is set between Denmark, Germany and Norway. </t>
  </si>
  <si>
    <t>Zusana-2 howitzer</t>
  </si>
  <si>
    <t>https://www.regeringen.dk/nyheder/2022/ny-massiv-donationspakke-til-ukraine/</t>
  </si>
  <si>
    <t>https://www.fmn.dk/en/news/2022/130-danish-soldiers-will-train-ukrainian-colleagues/</t>
  </si>
  <si>
    <t>https://twitter.com/DanishMFA/status/1557711944626438145</t>
  </si>
  <si>
    <t>DKM4</t>
  </si>
  <si>
    <t>unclear, 09/2022</t>
  </si>
  <si>
    <t xml:space="preserve">On October 2, Denmark released new information that their official military commitment to Ukraine now amounts to DKK 3.8 billion, or EUR 510 million. We therefore attribute the difference between our military commitment numbers until that point (DKK 2.820 billion) and the official numbers until November 20 (Release 8), DKK 3.8 billion, which amounts to DKK 973 million, or EUR 130.8 million, in this package. </t>
  </si>
  <si>
    <t>DKM5</t>
  </si>
  <si>
    <t xml:space="preserve">On December 21, a new announcement by the Danish Defence Minister states that DKK 300 million (EUR 42.8 million) are given as further military aid to Ukraine. The money will be donated via the UK-led International Fund for Ukraine used to provide military equipment and other support to Ukraine's armed forces. This is in accordance to the Danish aid overview page (Source of Aid 2), which displays the Danish military contribution as EUR 565 million in December.  </t>
  </si>
  <si>
    <t>https://www.reuters.com/world/europe/denmark-donates-43-mln-military-aid-ukraine-2022-12-21/#:~:text=COPENHAGEN%2C%20Dec%2021%20(Reuters),Defence%20Ministry%20said%20on%20Wednesday.</t>
  </si>
  <si>
    <t>DKM6</t>
  </si>
  <si>
    <t xml:space="preserve">The official Danish information on the sum of military aid committed to Ukraine states in December 2022 that the Danish contribution amounts to EUR 565 million. In this entry, we report the difference to our current value (EUR 550 million) and the stated value, which amounts to EUR 10 million, which is reported in this entry. </t>
  </si>
  <si>
    <t>DKM7</t>
  </si>
  <si>
    <t xml:space="preserve">2023 Ukraine Fund commitment: Denmark pledges the Ukraine Fund, a multi-year commitment that intends to provide Ukraine with military and humanitarian goods and services worth a total of 21.9 billion DKK. Source of Aid 1 and Source of Aid 2 states that in 2023 the fund will provide military aid worth 7.5 billion DKK, in 2024 10.4 billion DKK are planned, and from 2025 to 2028 1 billion DKK per year. This entry covers the entire sum planned for 2023, and all military aid commitments in 2023 are listed under this donation ID. This also includes donations from January 2023, which have been pledged before the fund was created, but are equally subsumed under its total value 2023. </t>
  </si>
  <si>
    <t>https://um.dk/udenrigspolitik/dansk-stoette-til-ukraine</t>
  </si>
  <si>
    <t>Denmark enters a cooperation with Germany and the Netherlands to provide Ukraine with Leopard-1A5 main battle tanks. Accoring to the Danish official source, the exact number of tanks Denmark will provide is not yet known. The tanks are supposed to be purchased from German industry stocks. Source of Aid 2 cites a journalist that states a value of €130 million for this entire package. The package will not only include the tanks, but also different services like training, ammunition, and logistics. Adding €130 million to our value for the Danish military aid until now coincides with the official Danish total value given by their website. The official German source (Source of Aid 4) reports 110 Leopard-1A5 that are part of this cooperation. This commitment is covered by the 2023 Ukraine Fund pledge.</t>
  </si>
  <si>
    <t>Leopard-1A5</t>
  </si>
  <si>
    <t>https://www.fmn.dk/da/nyheder/2023/danmark-indgar-samarbejde-om-leopard-1-kampvogne-til-ukraine/</t>
  </si>
  <si>
    <t>https://www.ndr.de/nachrichten/schleswig-holstein/Der-Weg-der-Leopard-Panzer-Ueber-Flensburg-in-die-Ukraine,leopard828.html</t>
  </si>
  <si>
    <t>https://www.defensie.nl/actueel/nieuws/2023/02/07/nederland-koopt-leopard-1-tanks-voor-oekraine</t>
  </si>
  <si>
    <t>https://www.bundesregierung.de/breg-en/news/military-support-ukraine-2054992</t>
  </si>
  <si>
    <t>DMK7</t>
  </si>
  <si>
    <t>Denmark pledged 19 CEASAR howitzers to Ukraine. Source of Aid 1 is the official overview page of Denmark, which as of March 2023 shows a total of €659 million contribution. This coincides with the value of the howitzers, as 19 units are estimated to be worth around 114 million EUR. Source of Aid 1 does not report the 19 howitzers, but Source of Aid 2 and 3 do. We evaluate the items with our price estimates. This commitment is covered by the 2023 Ukraine Fund pledge.</t>
  </si>
  <si>
    <t>CAESAR artillery howitzer</t>
  </si>
  <si>
    <t>https://www.reuters.com/world/europe/denmark-send-artillery-ukraine-delaying-own-build-up-2023-01-19/</t>
  </si>
  <si>
    <t>https://www.eurointegration.com.ua/eng/news/2023/02/13/7156045/#:~:text=Ukraine%E2%80%99s%20Defence%20Ministry%20has%20reported%20that%20Denmark%20has,%E2%80%8B%E2%80%8BCAESARs%20it%20had%20ordered%20from%20the%20French%20manufacturer.</t>
  </si>
  <si>
    <t>According to Source of Aid 1, Denmark provides Ukraine with a number of weapons and ammunition in its 9th military aid package. The pledge also includes DKK 100 million provided through NATO (reported below). The package is worth DKK 1 billion, which falls under the 2023 Ukraine Fund framework. We account for DKK 900 mil. here, subtracting the contrubution through NATO.</t>
  </si>
  <si>
    <t>https://www.fmn.dk/da/nyheder/2023/ukraine-fond-finansierer-stor-ny-donationspakke/</t>
  </si>
  <si>
    <t>rounds of small arms ammunition</t>
  </si>
  <si>
    <t>Machine gun</t>
  </si>
  <si>
    <t>Wire-guided detection robots for land and sea mine detection</t>
  </si>
  <si>
    <t>Hangar tent</t>
  </si>
  <si>
    <t>Together with Denmark, the Netherlands is to purchase 14 Leopard 2 A4 tanks for Ukraine. We assume they are to be provided equally.</t>
  </si>
  <si>
    <t>https://english.defensie.nl/latest/news/2023/04/20/netherlands-to-purchase-leopard-2-tanks-for-ukraine</t>
  </si>
  <si>
    <t xml:space="preserve">As part of the 2023 Ukraine Fund commitment, Denmark pledges a new military aid package worth 1.7 billion DKK. This is part of the 7.5 billion DKK commitment in late May of 2023. Source of aid 1 lists various included goods, as well as a €50 million donation to NATO support for Ukraine with non-lethal material. Since no exact quantities are known and no heavy weapons are included, we refrain from listing all items here. </t>
  </si>
  <si>
    <t>https://via.ritzau.dk/pressemeddelelse/danmark-sender-storste-donationspakke-til-ukraine-til-dato?publisherId=2012662&amp;releaseId=13679219&amp;lang=da</t>
  </si>
  <si>
    <t>DKF1</t>
  </si>
  <si>
    <t>Denmark has contributed 20 million EUR to the Multi donor trust fund, established by the World Bank to facilitate financial support to Ukraine. The latter is part of the Emergency Financing Package established by the World Bank and amounting to 723 million USD. Other countries have contributed to Emergency Financing Package: the Netherlands with 89 million USD, Sweden with 50 million USD, the United Kingdom with 100 million USD, Latvia, Lithuania and Iceland with 12 million USD (together), Austria with 10 million EUR as well and Japan with 100 million USD.</t>
  </si>
  <si>
    <t>https://www.worldbank.org/en/news/press-release/2022/03/07/world-bank-mobilizes-an-emergency-financing-package-of-over-700-million-for-ukraine</t>
  </si>
  <si>
    <t>https://um.dk/en/danida/countries-and-regions/ukraine#:~:text=World%20Bank%3A%20DKK%20150%20million%20(approx.&amp;text=DKK%20150%20million%20(EUR%2020.2,billion)%20to%20the%20Ukrainian%20government.</t>
  </si>
  <si>
    <t>DKF2</t>
  </si>
  <si>
    <t>Loan guarantee by Denmark (37.5 million EUR) for Public Expenditures for Administrative Capacity Endurance in Ukraine (PEACE) Project through the World Bank. The project's goal is to support continued government capacity.</t>
  </si>
  <si>
    <t>https://www.worldbank.org/en/news/press-release/2022/09/30/world-bank-mobilizes-additional-530-million-in-support-to-ukraine</t>
  </si>
  <si>
    <t>Denmark provides a guarantee of DKK 280 million to Ukraine's hard-hit economy | Foreign ministry (ritzau.dk)</t>
  </si>
  <si>
    <t>EEM1</t>
  </si>
  <si>
    <t>Estonia</t>
  </si>
  <si>
    <t>until 6/7/2022</t>
  </si>
  <si>
    <t>The military assistance from Estonia to Ukraine has been estimated at around 240 million EUR (see "Source of Aid 5"). In comparison to the previous update of our dataset (May 10, 2022) this is an increase of 20 million EUR.  The shipment includes: missiles for anti-tank weapon system Javelin; Javelin launchers; ammunition; medical equipment; personal equipment; 25,000 field rations announced on 25 February; an undisclosed number of D-30 howitzers, originally put forward on December 30, 2021, but stalled due to required approval from their previous owner - Germany (approved on February 26) and Finland (approved on February 27). This list should only be considered as indicative, since most of the information regarding the assistance has remained undisclosed. We consider this aid package to have been committed entirely in May 2022. This is done only for Analysis of Aid over time purposes and does not change the interpretation or evaluation of the aid in any other way.</t>
  </si>
  <si>
    <t>food ration M</t>
  </si>
  <si>
    <t xml:space="preserve">https://vm.ee/en/humanitarian-aid-ukraine#:~:text=Estonian%20people%2C%20government%20and%20private,aid%20to%20Ukraine%20in%20total &amp;text=Govermental%20aid%20means%20means%20assistance,state%20budget%20through%20state%20agencies </t>
  </si>
  <si>
    <t>https://kaitseministeerium.ee/en/news/estonia-donated-missiles-anti-tank-weapon-system-javelin-ukraine</t>
  </si>
  <si>
    <t>https://news.err.ee/1608589426/estonia-s-military-aid-to-ukraine-totals-230-million</t>
  </si>
  <si>
    <t>https://news.err.ee/1608555886/estonia-s-220-million-military-aid-to-ukraine-substantially-diversified</t>
  </si>
  <si>
    <t>https://www.ukrinform.net/rubric-polytics/3501933-estonia-has-provided-240m-in-military-aid-to-ukraine-korniyenko.html</t>
  </si>
  <si>
    <t>Javelin anti-tank missile</t>
  </si>
  <si>
    <t>D-30 Howitzer</t>
  </si>
  <si>
    <t>minesweeper</t>
  </si>
  <si>
    <t>single-use anti-tank granade launcher</t>
  </si>
  <si>
    <t>recoiless anti-tank gun</t>
  </si>
  <si>
    <t>automatic fire arm</t>
  </si>
  <si>
    <t>small-calibre ammunition</t>
  </si>
  <si>
    <t>fuse</t>
  </si>
  <si>
    <t>lifejacket</t>
  </si>
  <si>
    <t>radio transmitter</t>
  </si>
  <si>
    <t>drone</t>
  </si>
  <si>
    <t>thermal imagery system</t>
  </si>
  <si>
    <t>laser rangefinder</t>
  </si>
  <si>
    <t>Mamba 4x4 Armored vehicle</t>
  </si>
  <si>
    <t>https://www.armyrecognition.com/ukraine_-_russia_conflict_war_2022/mamba_mk_2_4x4_armored_vehicles_formerly_from_estonian_army_now_used_by_ukrainian_soldiers.html?jampmain</t>
  </si>
  <si>
    <t>https://en.defence-ua.com/weapon_and_tech/ukrainian_defense_forces_will_get_several_alvis_apc_from_estonia-2973.html</t>
  </si>
  <si>
    <t>EEM2</t>
  </si>
  <si>
    <t>Estonia, in cooperation with Germany, built and delivered a field hospital to Ukraine. Germany contributed to the cooperation project by donating 5.3 million euros, for the purchase of a field hospital. Estonian Defence Forces will organise a 13-day training course for Ukrainian military medical instructors.</t>
  </si>
  <si>
    <t>Field hospital</t>
  </si>
  <si>
    <t>https://kyiv.mfa.ee/en/2022/02/estonia-and-germany-to-donate-military-field-hospital-to-ukraine/</t>
  </si>
  <si>
    <t>https://twitter.com/mod_estonia/status/1507641039745605634?lang=en</t>
  </si>
  <si>
    <t>EEM3</t>
  </si>
  <si>
    <t xml:space="preserve">Liters of fuel. See bottom of "Source of Aid 2". The rest of the aid mentioned in the source is reported under the id EEM1. </t>
  </si>
  <si>
    <t>liter of fuel M</t>
  </si>
  <si>
    <t>https://www.kaitseinvesteeringud.ee/en/estonian-military-aid-to-ukraine-has-been-substantially-diversified/</t>
  </si>
  <si>
    <t>https://news.err.ee/1608793648/estonia-s-total-military-aid-to-ukraine-to-date-approaching-300-million</t>
  </si>
  <si>
    <t>EEM4</t>
  </si>
  <si>
    <t>Estonia, in cooperation with Germany, built and delivered a second field hospital to Ukraine. Germany contributed to the cooperation project by donating 7.7 million euros, for the purchase of a field hospital. In addition, the non-profit organisation Slava Ukraini granted EUR 120,000 from the donations made to it for the purchase of medical equipment for the field hospital. Hence, we take the overall value of this donation be EUR 7.82 million. Source of aid 2 mentions that medical supplies will also be sent. We assume that the medical supplies were delivered along with the field hospital.</t>
  </si>
  <si>
    <t>https://kaitseministeerium.ee/en/news/estonia-increase-defence-aid-ukraine</t>
  </si>
  <si>
    <t>https://www.thedefensepost.com/2022/08/19/estonia-aid-weapons-ukraine/</t>
  </si>
  <si>
    <t>https://twitter.com/oleksiireznikov/status/1569670474841427971</t>
  </si>
  <si>
    <t>https://mil.in.ua/en/news/estonia-handed-over-the-second-modern-mobile-hospital-to-the-ukrainian-army/</t>
  </si>
  <si>
    <t>EEM5</t>
  </si>
  <si>
    <t>On Aug 18, Estonia announced additional defence aid to Ukraine, which includes additional lethal aid such as mortars and anti-tank weaponry. Source of Aid 3 states that the total amount of military aid Estonia has provided is 255 million EUR, as of 7 October. Subtracting EEM1 and EEM2 from this value (EEM3-4, the cooperation with Germany, is not included) leaves 10 million EUR, which we attribute to EEM5</t>
  </si>
  <si>
    <t>mortar (Estonia)</t>
  </si>
  <si>
    <t>https://www.kyivpost.com/russias-war/estonia-to-boost-military-assistance-for-ukraine.html</t>
  </si>
  <si>
    <t>https://kaitseministeerium.ee/en/news/estonia-sending-ukraine-ammunition-and-equipment</t>
  </si>
  <si>
    <t>anti-tank weapon</t>
  </si>
  <si>
    <t>EEM6</t>
  </si>
  <si>
    <t>Estonian Minister of Defense submits the next military aid package to the government. The package will include artillery ammunition, anti-tank ammunition, winter uniforms, and Armored vests. According to Source of Aid 2, the value of Estonia's military aid to Ukraine is €300 million, as of 18 November. We subtract the value of EEM1-5 (268,120,000 EUR) from this total and estimate 31,880,000 EUR for EEM6.</t>
  </si>
  <si>
    <t>https://news.err.ee/1608742171/estonia-sends-more-ammunition-protective-equipment-to-ukraine</t>
  </si>
  <si>
    <t>https://www.republicworld.com/world-news/russia-ukraine-crisis/estonia-confirms-relief-package-to-aid-war-torn-ukraine-articleshow.html</t>
  </si>
  <si>
    <t>EEM7</t>
  </si>
  <si>
    <t>Estonia is donating a third field hospital, in cooperation with Norway (contributing 4.3 million EUR)  and Netherlands (contributing 3.5 million EUR), who are supporting the project with 7,800,000 EUR. Estonia will also help with the training of the Ukrainian medical forces.</t>
  </si>
  <si>
    <t>https://kaitseministeerium.ee/et/uudised/eesti-annetab-koostoos-hollandi-ja-norraga-ukrainale-kolmanda-valihaigla</t>
  </si>
  <si>
    <t>https://kaitseministeerium.ee/en/news/joint-statement-ministry-defence-republic-estonia-ministry-defence-kingdom-norway-and-ministry</t>
  </si>
  <si>
    <t>https://kaitseministeerium.ee/et/uudised/eesti-saadab-ukrainale-taas-sojavarustust</t>
  </si>
  <si>
    <t>https://www.kaitseinvesteeringud.ee/en/field-hospital-donated-in-cooperation-between-estonia-norway-and-the-netherlands-arrived-in-ukraine/</t>
  </si>
  <si>
    <t>EEM8</t>
  </si>
  <si>
    <t xml:space="preserve">Estonia will send another military aid package to Ukraine. This time it mainly includes "drones, personal protective equipment, and winter uniforms". The total monetary value of this package or quantities of items are undisclosed.  </t>
  </si>
  <si>
    <t>https://news.err.ee/1608829969/estonia-sends-more-military-equipment-to-ukraine</t>
  </si>
  <si>
    <t>https://kyivindependent.com/news-feed/estonia-to-send-ukraine-new-military-aid-package</t>
  </si>
  <si>
    <t>https://english.nv.ua/nation/estonia-approves-new-military-aid-package-for-ukraine-news-50292956.html</t>
  </si>
  <si>
    <t>weapon cleaning kit</t>
  </si>
  <si>
    <t>Ventilator</t>
  </si>
  <si>
    <t>EEM9</t>
  </si>
  <si>
    <t xml:space="preserve">As part of the Tallinn Pledge, Estonia pledges dozens of 155 mm FH-70 and 122 mm D-30 howitzers, thousands of 155 mm artillery shells, hundreds of M2 Carl-Gustaf anti-tank grenade launchers with ammunition and means of support for artillery units. This package brings Estonian military support to over 1% of GDP. </t>
  </si>
  <si>
    <t>FH70 155mm howitzer</t>
  </si>
  <si>
    <t>https://www.gov.uk/government/news/joint-statement-the-tallinn-pledge?utm_source=miragenews&amp;utm_medium=miragenews&amp;utm_campaign=news</t>
  </si>
  <si>
    <t>https://www.facebook.com/GeneralStaff.ua/posts/pfbid0b8jsrAE3g5NdUCCGae2f8TP7nFcb6Zp6uq4Q89akx5RkW6EnREQrxGLAugd4qCiWl</t>
  </si>
  <si>
    <t>https://valitsus.ee/en/news/estonias-military-support-ukraine-will-increase-more-1-gdp</t>
  </si>
  <si>
    <t>https://english.nv.ua/nation/estonia-donates-all-of-its-155mm-howitzers-and-other-weapons-to-ukraine-50299305.html</t>
  </si>
  <si>
    <t>D-30 howitzer</t>
  </si>
  <si>
    <t>Round of 84 mm ammunition</t>
  </si>
  <si>
    <t>EEM10</t>
  </si>
  <si>
    <t>Defense Minister Hanno Pevkur announces a new military aid package for Ukraine, which consists in weapons and equipment for the special operations forces. The package includes assault rifles (Estonia's standard assault rifle is R20 Rahe), pistols, unmanned aerial vehicles, thermal imaging cameras, generators and battery chargers, as well as clothing.</t>
  </si>
  <si>
    <t>R20 Rahe assault rifle</t>
  </si>
  <si>
    <t>https://kaitseministeerium.ee/et/uudised/kaitseminister-pevkur-andis-kiievis-ukraina-kolleegile-ule-sumboolsed-esemed-uuest</t>
  </si>
  <si>
    <t>https://twitter.com/MoD_Estonia/status/1629927711668838400?cxt=HHwWgICx-can1Z4tAAAA</t>
  </si>
  <si>
    <t>https://mil.in.ua/en/news/estonia-provides-ukraine-with-new-military-aid-package/</t>
  </si>
  <si>
    <t>https://babel.ua/en/news/90987-estonia-handed-over-another-military-aid-to-ukraine</t>
  </si>
  <si>
    <t>Pistol</t>
  </si>
  <si>
    <t>Unmanned aerial system</t>
  </si>
  <si>
    <t>Thermal imaging camera</t>
  </si>
  <si>
    <t>Clothes</t>
  </si>
  <si>
    <t>EEM11</t>
  </si>
  <si>
    <t xml:space="preserve">Estonia will send another package of military assistance to Ukraine, this time consisting of sniper weapons and speacial forces equipment. Source of Aid 3 reports that the Sako TRG-42 sniper rifle currently in service with the Estonian army. </t>
  </si>
  <si>
    <t>Rifle</t>
  </si>
  <si>
    <t>https://kaitseministeerium.ee/en/news/estonia-send-sniper-weapons-and-special-equipment-ukraine</t>
  </si>
  <si>
    <t>https://twitter.com/HPevkur/status/1636347925935562753</t>
  </si>
  <si>
    <t>https://www.armyrecognition.com/defense_news_march_2023_global_security_army_industry/estonia_to_send_more_sako_sniper_rifles_and_special_forces_equipment_to_ukraine.html</t>
  </si>
  <si>
    <t>Sako TRG-42 sniper rifle</t>
  </si>
  <si>
    <t>Binoculars</t>
  </si>
  <si>
    <t>Protective gear and equipment (including first aid)</t>
  </si>
  <si>
    <t>Coastal and riverine patrol boat</t>
  </si>
  <si>
    <t>Medical equipment</t>
  </si>
  <si>
    <t>EEM12</t>
  </si>
  <si>
    <t xml:space="preserve">Estonia contributes 155mm ammunition as part of the European Union agreement to send 1 million rounds to Ukraine. Estonia also donates night vision equipment and light weaponry ammunition.   </t>
  </si>
  <si>
    <t>https://kaitseministeerium.ee/en/news/estonia-sending-ukraine-urgently-needed-ammunition</t>
  </si>
  <si>
    <t>https://mil.in.ua/uk/news/estoniya-nadsylaye-ukrayini-artylerijski-boyeprypasy/</t>
  </si>
  <si>
    <t>https://www.rferl.org/a/ukraine-estonia-military-aid/32372658.html</t>
  </si>
  <si>
    <t>Night vision device</t>
  </si>
  <si>
    <t>EEH1</t>
  </si>
  <si>
    <t>until 5/31/2023</t>
  </si>
  <si>
    <t>The Estonian Ministry of Foreign Affairs states that Estonian public sector has given humanitarian aid worth €4.1 million to Ukraine via international organisations (UNHCR, OCHA, ICRC), Estonian civil society organisations and the Estonian Red Cross, as well as in material assistance.</t>
  </si>
  <si>
    <t>https://vm.ee/en/estonias-aid-ukraine</t>
  </si>
  <si>
    <t>EEH2</t>
  </si>
  <si>
    <t xml:space="preserve">The Prime Minister Kallas has pledged 2.9 million EUR in aid for reconstruction in Ukraine. Source of Aid 2 video starts at 2:22:57. </t>
  </si>
  <si>
    <t>https://twitter.com/kajakallas/status/1522215001934557186</t>
  </si>
  <si>
    <t>https://www.youtube.com/watch?v=A1nTsblXabc</t>
  </si>
  <si>
    <t>On June 16, Estonia donated five buses to the Vyshneve City Community to evacuate people from high-risk areas. This is assumed to be part of 2.9 million reconstruction pledge made by Estonia on 5 May 2022.</t>
  </si>
  <si>
    <t>IVECO Irisbus Crossway</t>
  </si>
  <si>
    <t>https://www.vm.ee/en/news/estonia-donates-12-buses-zhytomyr-oblast-ukraine-help-restore-transport-links</t>
  </si>
  <si>
    <t>https://rubryka.com/en/2022/06/17/buses-estonia-vyshneve/</t>
  </si>
  <si>
    <t>On Aug 2, Estonian FM visited Zhytomyr in Ukraine and laid the cornerstone for a new new kindergarten school. This is assumed to be part of 2.9 million reconstruction pledge made by Estonia on 5 May 2022.</t>
  </si>
  <si>
    <t>school</t>
  </si>
  <si>
    <t>https://twitter.com/UrmasReinsalu/status/1554520335587938304?ref_src=twsrc%5Etfw%7Ctwcamp%5Etweetembed%7Ctwterm%5E1554520335587938304%7Ctwgr%5Ee825fdb7ad984a8d5ed6d86b7eff30b88c845343%7Ctwcon%5Es1_&amp;ref_url=https%3A%2F%2Fnews.err.ee%2F1608674068%2Festonian-fm-visits-ukraine-lays-new-kindergarten-cornerstone-in-zhytomyr</t>
  </si>
  <si>
    <t>https://news.err.ee/1608674068/estonian-fm-visits-ukraine-lays-new-kindergarten-cornerstone-in-zhytomyr</t>
  </si>
  <si>
    <t>On Sep 24, the Estonian government donated 12 Iveco Irisbus Crossway buses to the Zhytomyr Oblast in Ukraine to help them restore their transport services. These buses previously operated transport lines in Estonia. 3 of the 12 buses set off for Zhytomyr on Sep 24 while the remainder departed in the week after. This is assumed to be part of 2.9 million reconstruction pledge made by Estonia on 5 May 2022.</t>
  </si>
  <si>
    <t>https://news.err.ee/1608727414/estonia-sends-12-buses-to-ukraine-s-zhytomyr-region</t>
  </si>
  <si>
    <t>https://balticguide.ee/en/estonia-donates-12-buses-to-ukraine-to-help-restore-transport-links-in-the-country/</t>
  </si>
  <si>
    <t>Estonia will provide asssistance in constructing a new bridge in Zhytomyr region in Ukraine. This is assumed to be part of 2.9 million reconstruction pledge made by Estonia on 5 May 2022.</t>
  </si>
  <si>
    <t>construction of a bridge</t>
  </si>
  <si>
    <t>https://twitter.com/OlekKorn/status/1574691048378765312?ref_src=twsrc%5Etfw%7Ctwcamp%5Etweetembed%7Ctwterm%5E1574764099644301314%7Ctwgr%5E32aa61244c5816ffc71c7af61a0a966f6f6a69a4%7Ctwcon%5Es3_&amp;ref_url=https%3A%2F%2Fnews.err.ee%2F1608731662%2Feconomic-minister-estonia-can-set-an-example-for-rebuilding-ukraine</t>
  </si>
  <si>
    <t>https://news.err.ee/1608731662/economic-minister-estonia-can-set-an-example-for-rebuilding-ukraine</t>
  </si>
  <si>
    <t>EEH3</t>
  </si>
  <si>
    <t xml:space="preserve">According to Estonia Ministry of Foreign Affairs (dated 5/31/2023), Estonia has contributed €6 million to development cooperation and reconstruction in Ukraine. We already have accounted for €2.9 million in EEH2, so we report the difference here, €3.1 million. </t>
  </si>
  <si>
    <t>FIH1</t>
  </si>
  <si>
    <t>Finland</t>
  </si>
  <si>
    <t>Finland provided 4 million EUR in additional support. Of this total amount, "Source of Aid 1" allows a more detailed differentiation. We do not count 1.5 million EUR that are devoted to strenghten human rights via the Council of Europe Action Programme and OSCE projects as well as further 0.5 million that are devoted to international organizations. Nevertheless, we count the remaining sum of 2 million EUR, as 1 million EUR is channelled to the Red Cross operating in Ukraine and the other 1 million EUR is for humanitarian aid.</t>
  </si>
  <si>
    <t>https://um.fi/press-releases/-/asset_publisher/ued5t2wDmr1C/content/suomi-myontaa-4-miljoonaa-euroa-lisatukea-ukrainalle-kehitysyhteistyon-ja-humanitaarisen-avun-kautta/35732</t>
  </si>
  <si>
    <t>FIH2</t>
  </si>
  <si>
    <t>until 6/2023</t>
  </si>
  <si>
    <t>The Finnish Ministry of the Interior has provided a long list of humanitarian goods to Ukraine (Source of Aid 1). Source of Aid 2 states that until the end of May 2023 the total value of these goods amounts to €8 million.</t>
  </si>
  <si>
    <t>https://intermin.fi/en/ukraine/civilian-assistance-to-ukraine</t>
  </si>
  <si>
    <t>https://um.fi/finland-s-support-to-ukraine</t>
  </si>
  <si>
    <t>field kitchen</t>
  </si>
  <si>
    <t>shower tent</t>
  </si>
  <si>
    <t>general purpose tent</t>
  </si>
  <si>
    <t>unclear, 10/2022</t>
  </si>
  <si>
    <t>protective gear and equipment (including first aid)</t>
  </si>
  <si>
    <t>FIH3</t>
  </si>
  <si>
    <t>The official press release of the Finnish ministry of foreign affairs informs that Finland will provide 8 EUR million to Ukraine for humanitarian assistance through the Ukraine Humanitarian Fund. We do not count the other sums mentioned in the article as they are not going directly to Ukraine. Furthermore, the €15 million going to the PEACE fund are counted as financial aid.</t>
  </si>
  <si>
    <t xml:space="preserve">https://um.fi/press-releases/-/asset_publisher/ued5t2wDmr1C/content/suomelta-humanitaarista-apua-valiaikaisia-asuntoja-seka-julkisen-hallinnon-tukea-ukrainaan/35732 </t>
  </si>
  <si>
    <t>FIH4</t>
  </si>
  <si>
    <t xml:space="preserve">According to Source of Aid 1, Finland supports a fund that aims to reconstruct Ukraine through the new Green Recovery Program with EUR 5 million. </t>
  </si>
  <si>
    <t>https://um.fi/current-affairs/-/asset_publisher/gc654PySnjTX/content/suomi-tukee-sodan-tuhojen-korjaamista-ja-vihreaa-jalleenrakennusta-ukrainassa</t>
  </si>
  <si>
    <t>FIM1</t>
  </si>
  <si>
    <t>According to "Source of Aid 2", the Ministry of Defense stated that the total value of military support that Finland sent to Ukraine until May 4 amounts to 29.3 million EUR. We document four announcements from the Ministry of Defense until this date. This sum includes two packages from February 27 and 28 (where information on the content of the shipment was provided). The two further announcements, from March 24 and April 19, include no further information regarding the content or value of the shipment. Note that "Source of Aid 3" from the package announced on February 27 also lists aid from Sweden (5,000 anti-tank weapons, 5,000 helmets, 5,000 body armors and 135,000 field rations), reported in SEM1, and a package of 500 million EUR from the European Union, reported in EUM1. According to the Source of Delivery, Finland delivered military aid worth 160 million EUR, which includes donation IDs FIM1, FIM3, FIM4, FIM7.</t>
  </si>
  <si>
    <t>https://www.defmin.fi/en/topical/press_releases_and_news/finland_sends_additional_aid_to_ukraine.12482.news#c7898b3c</t>
  </si>
  <si>
    <t>https://suomenkuvalehti.fi/paajutut/viela-vuoden-alussa-aseapu-ukrainalle-oli-tabu-sitten-lannen-mitta-tayttyi-kaannamme-maat-ja-taivaat-venajan-lyomiseksi/?shared=1219900-dfafb371-500</t>
  </si>
  <si>
    <t>https://www.helsinkitimes.fi/finland/finland-news/domestic/21086-finland-commits-military-protective-equipment-to-ukraine.html</t>
  </si>
  <si>
    <t>https://yle.fi/news/3-12335944</t>
  </si>
  <si>
    <t>stretcher</t>
  </si>
  <si>
    <t>RK 62</t>
  </si>
  <si>
    <t>https://valtioneuvosto.fi/en/-/finland-to-send-arms-assistance-to-ukraine#:~:text=On%20the%20proposal%20of%20the%20Government%2C%20the%20President,combat%20ration%20packages%20to%20Ukraine%20as%20material%20aid.?msclkid=43fcac85ab7811ecb0558f7b82e56a26</t>
  </si>
  <si>
    <t>https://edition.cnn.com/europe/live-news/ukraine-russia-news-02-28-22/h_a60e1971e20b82d25ce7ce24657afcbb</t>
  </si>
  <si>
    <t>https://www.tasnimnews.com/en/news/2022/05/06/2706116/finland-to-send-more-defense-aid-to-ukraine</t>
  </si>
  <si>
    <t>cartridge for RK 62</t>
  </si>
  <si>
    <t>single-shot anti-tank weapon</t>
  </si>
  <si>
    <t>combat ration package</t>
  </si>
  <si>
    <t>FIM2</t>
  </si>
  <si>
    <t>On May 5, Finland announced to send additional military material to Ukraine. This was stated during the High-Level International Donor's Conference for Ukraine on May 5 ("Source of Aid 1": 1:07:00 minute) as well as by a press release on the same day (see "Source of Aid 2"). Finland did not disclose any further information. "Source of Aid 3" also mentions a military aid package from the UK (see UKM8). Note that we do not include the announced additional 70 million EUR in humanitarian aid as it is subject to parliaments approval.</t>
  </si>
  <si>
    <t>https://www.defmin.fi/en/topical/press_releases_and_news/finland_sends_more_defence_materiel_assistance_to_ukraine.12692.news#40d3246d</t>
  </si>
  <si>
    <t>https://www.army-technology.com/news/finland-sends-additional-defence-aid-ukraine/</t>
  </si>
  <si>
    <t>FIM3</t>
  </si>
  <si>
    <t>The government stated that it has made the decision to send further defence materiel to Ukraine. However, the government explicitly mentions that it will not provide further information on the shipment. Source of Aid 3 states that between October and February, Finland has provided military aid worth 92.3 million EUR. If we subtract the 29.3 million EUR in donation FIM1 and the 8.25 million EUR reported in FIM4, we arrive at a value of 54.75 million EUR. Since we would need to split his up between FIM3 and FIM2, we decide to report this value entirely in this donation ID. According to the Source of Delivery, Finland delivered military aid worth 160 million EUR, which includes donation IDs FIM1, FIM3, FIM4, FIM7.</t>
  </si>
  <si>
    <t>https://www.defmin.fi/en/topical/press_releases_and_news/finland_sends_more_defence_materiel_assistance_to_ukraine.12834.news#40d3246d</t>
  </si>
  <si>
    <t>https://yle.fi/news/3-12487455</t>
  </si>
  <si>
    <t>.https://www.ukrinform.net/rubric-ato/3585945-finland-preparing-new-military-aid-package-for-ukraine.html</t>
  </si>
  <si>
    <t>https://www.defmin.fi/ajankohtaista/tiedotteet_ja_uutiset/suomi_toimittaa_lisaa_puolustustarvikeapua_ukrainaan.13184.news#35b98872</t>
  </si>
  <si>
    <t>FIM4</t>
  </si>
  <si>
    <t>According to an official press release, Finland will deliver more defence aid to Ukraine (Source of aid 1). As with previous military packages, the official source does not provide any information regarding the content and monetary value committed. Even though, Source of aid 2 specifies the monetary value of this aid, which is 8.3 EUR million. Source of aid 3 gives the monetary value of this aid as 8.2 EUR million. Therefore, we report the average between the two values, which gives this package a value of 8.25 million EUR. According to the Source of Delivery, Finland delivered military aid worth 160 million EUR, which includes donation IDs FIM1, FIM3, FIM4, FIM7.</t>
  </si>
  <si>
    <t>https://www.defmin.fi/en/topical/press_releases_and_news/finland_to_deliver_more_defence_materiel_assistance_to_ukraine.13055.news#f9cb427e</t>
  </si>
  <si>
    <t>https://www.reuters.com/article/idUSO9N2XQ01K</t>
  </si>
  <si>
    <t>https://kyivindependent.com/news-feed/finland-prepares-8th-batch-of-military-aid-for-ukraine</t>
  </si>
  <si>
    <t>FIM6</t>
  </si>
  <si>
    <t>According to Source of Aid 1, Finland has decided on a supplementary budget from with EUR30 million are intended for Ukraine. It is unclear, whether Ukraine will receive weapons as direct support or receive the aid through funds.</t>
  </si>
  <si>
    <t>https://valtioneuvosto.fi/-/10616/hallitus-antoi-eduskunnalle-lisatalousarvioesityksen-2</t>
  </si>
  <si>
    <t>FIM7</t>
  </si>
  <si>
    <t>According to Source of Aid 1, Finland will deliver the tenth package of military aid to Ukraine. Exact delivery details or information about the composition of the package remained undisclosed due to security concerns. Only the package value, amounting to EUR 55.6 million, is known. It is said to bring Finlands military contribution to EUR 160.4 million, which roughly coincides with our numbers. According to the Source of Delivery, Finland delivered military aid worth 160 million EUR, which includes donation IDs FIM1, FIM3, FIM4, FIM7.</t>
  </si>
  <si>
    <t>https://www.defmin.fi/ajankohtaista/tiedotteet_ja_uutiset/tiedotearkisto/tiedotteet_2022/suomi_toimittaa_lisaa_puolustustarvikeapua_ukrainaan.13184.news#12c4eb49</t>
  </si>
  <si>
    <t>https://mil.in.ua/en/news/finland-commits-the-largest-military-aid-package-in-the-amount-of-e55-6-million/</t>
  </si>
  <si>
    <t>https://yle.fi/a/3-12678466</t>
  </si>
  <si>
    <t>FIM8</t>
  </si>
  <si>
    <t xml:space="preserve">According to Source of Aid 1, Finland will deliver the eleventh package of military aid to Ukraine. The exact composition is unclear, but the value is stated to amount to EUR 28.8 million. </t>
  </si>
  <si>
    <t>https://www.defmin.fi/ajankohtaista/tiedotteet_ja_uutiset/tiedotearkisto/tiedotteet_2022/suomi_jatkaa_ukrainan_tukemista.13289.news#3010ecd4</t>
  </si>
  <si>
    <t>https://www.euractiv.com/section/politics/news/finland-sends-11th-military-aid-package-to-ukraine/</t>
  </si>
  <si>
    <t>FIM9</t>
  </si>
  <si>
    <t>According to Source of Aid 1, Finland pledged the 12th package of military aid. The total value is disclosed as €400 million. No further information about composition or value is known.</t>
  </si>
  <si>
    <t>https://www.defmin.fi/en/topical/press_releases_and_news/finland_to_deliver_more_defence_materiel_to_ukraine.13357.news#4f3f9e74</t>
  </si>
  <si>
    <t>https://kyivindependent.com/news-feed/finland-to-send-new-military-aid-package-to-ukraine</t>
  </si>
  <si>
    <t>FIM10</t>
  </si>
  <si>
    <t>According to Source of Aid 1, Finland pledged the 13th package of military aid to Ukraine. The package is said to be worth €160 million and contain 3 Leopard-2R, a Finnish modification of the Leopard-2A4 build to clear mine fields.</t>
  </si>
  <si>
    <t>Leopard-2R</t>
  </si>
  <si>
    <t>https://www.defmin.fi/en/topical/press_releases_and_news/finlands_latest_defence_materiel_package_to_ukraine_includes_three_leopard_2_mine_clearing_tanks.13423.news#4f3f9e74</t>
  </si>
  <si>
    <t>https://www.reuters.com/world/europe/finland-send-three-leopard-tanks-ukraine-2023-02-23/</t>
  </si>
  <si>
    <t>FIM11</t>
  </si>
  <si>
    <t>According to Source of Aid 1, Finland pledged the 14th package of military aid. According to the official source, the package is worth €161 million and contains 3 additional Leopard-2 mine clearing tanks as well as other heavy weapons and ammunition. No further information is known.</t>
  </si>
  <si>
    <t>https://www.defmin.fi/en/topical/press_releases_and_news/finland_donates_defence_materiel_assistance_to_ukraine_including_more_of_mine-clearing_leopard_2_tanks.13477.news#5b2a0fc6</t>
  </si>
  <si>
    <t>FIM12</t>
  </si>
  <si>
    <t>According to Source of Aid 1, Finland pledged the 15th package of military aid. According to the official source, the package is worth €78 million and contains defence material as well as support for the EUMAM training mission. No further information is known.</t>
  </si>
  <si>
    <t>https://www.defmin.fi/en/topical/press_releases_and_news/finland_continues_to_support_ukraine.13553.news#5b2a0fc6</t>
  </si>
  <si>
    <t>FIM13</t>
  </si>
  <si>
    <t>According to Source of Aid 1, Finland pledged the 16th package of military aid. According to the official source, the package is worth €109 million and contains Anti-Air weapons and munitions.</t>
  </si>
  <si>
    <t>https://www.defmin.fi/en/topical/press_releases_and_news/finland_to_send_another_package_of_defence_materiel_to_ukraine.13645.news#5b2a0fc6</t>
  </si>
  <si>
    <t>FIF1</t>
  </si>
  <si>
    <t xml:space="preserve">As announced by the Finnish finance minister ("Source of Aid 1"), Finland committed to donating the earnings from the sale of seized bitcoins. "Source of Aid 2" specifies that the Finnish government held 1981 bitcoins (~€75 million at rates in April 2022). "Source of Aid 3" specifies that only 1890 Bitcoins (~€70 million at rates in April 2022) are to be donated. Still, according to the official press release of Finnish customs("Source of aid 4") they sold the abovementioned 1889.1 bitcoins only during summer and gained about €46.5 million due to a change in Bitcoin price. Thus, we report €46.5 million </t>
  </si>
  <si>
    <t>https://twitter.com/AnnikaSaarikko/status/1519361293823746049?s=20&amp;t=bCGlZWqdKQAC7geTzWxcRw</t>
  </si>
  <si>
    <t>https://www.euronews.com/next/2022/04/28/finland-to-sell-confiscated-bitcoin-worth-75-million-to-support-ukraine-s-war-effort</t>
  </si>
  <si>
    <t>https://www.businesstoday.in/crypto/story/finland-set-to-donate-over-eu70-million-worth-of-crypto-to-war-torn-ukraine-331795-2022-04-29#:~:text=Finland%27s%20government%20has%20promised%20to,to%20the%20war%2Dtorn%20country.&amp;text=Cryptocurrencies%20have%20come%20to%20aid,for%20over%202%20months%20now.</t>
  </si>
  <si>
    <t>https://tulli.fi/en/-/finnish-customs-sold-its-legally-forfeited-cryptocurrencies</t>
  </si>
  <si>
    <t>FIF2</t>
  </si>
  <si>
    <t xml:space="preserve">The official press release of the Finnish ministry of foreign affairs informs that Finland will provide 15 EUR million to Ukraine through the PEACE fund. </t>
  </si>
  <si>
    <t>https://um.fi/press-releases/-/asset_publisher/ued5t2wDmr1C/content/suomelta-humanitaarista-apua-valiaikaisia-asuntoja-seka-julkisen-hallinnon-tukea-ukrainaan/35732</t>
  </si>
  <si>
    <t>FIF3</t>
  </si>
  <si>
    <t xml:space="preserve">The official press release of the Finnish ministry of foreign affairs informs that Finland will provide additional 14 EUR million to Ukraine through the PEACE fund. </t>
  </si>
  <si>
    <t>https://um.fi/current-affairs/-/asset_publisher/gc654PySnjTX/content/suomi-vastaa-ukrainan-tukipyyntoihin/35732</t>
  </si>
  <si>
    <t>FRH1</t>
  </si>
  <si>
    <t>France</t>
  </si>
  <si>
    <t>France has provided almost 100 million EUR in humanitarian assistance to Ukraine. The assistance also includes the shipment of emergency aid. The first tranche of material aid was sent on the February 28 and consisted of four trucks carrying an initial shipment of 33 tons of emergency aid with items such as blankets, tents and medical supplies (500 family tents, 2,300 blankets, 1,000 hygiene kits, 2,000 floor mats and 300 sleeping bags). A second shipment was sent on March 1, consisting of eight tons of medical supplies, including a mobile clinic with medicines and hospital equipment capable of treating up to 500 war-wounded. The assistance falls within the framework of the EU Civil Protection Mechanism (EUCPM).</t>
  </si>
  <si>
    <t>family tent</t>
  </si>
  <si>
    <t>https://www.diplomatie.gouv.fr/en/country-files/ukraine/news/article/ukraine-france-mobilizes-to-deliver-emergency-medical-aid-to-victims-of-the</t>
  </si>
  <si>
    <t>https://www.lefigaro.fr/flash-actu/la-france-a-envoye-33-tonnes-d-aide-humanitaire-pour-l-ukraine-20220228</t>
  </si>
  <si>
    <t>https://www.reuters.com/world/europe/france-offer-100-mln-euros-humanitarian-aid-ukraine-2022-03-01/</t>
  </si>
  <si>
    <t>blanket</t>
  </si>
  <si>
    <t>floor mat</t>
  </si>
  <si>
    <t>FRH2</t>
  </si>
  <si>
    <t>A total amount of 1.6 million EUR has been donated by French local governments. The funding process has been coordinated by the Local Government External Action Fund (FAECO). "Source of Aid 1" also lists earlier shipments of humanitarian assistance reported in FRH1.</t>
  </si>
  <si>
    <t>https://www.diplomatie.gouv.fr/en/country-files/ukraine/news/article/ukraine-france-steps-up-humanitarian-relief-efforts-for-ukraine-10-mar-2022</t>
  </si>
  <si>
    <t>FRH3</t>
  </si>
  <si>
    <t xml:space="preserve">Ambulances, medical supplies and fire engines. The assistance falls within the framework of the EU Civil Protection Mechanism (EUCPM). 
</t>
  </si>
  <si>
    <t>https://ec.europa.eu/echo/news-stories/news/ukraine-eu-delivers-additional-assistance-rescue-vehicles-and-emergency-equipment-2022-03-25_de</t>
  </si>
  <si>
    <t>https://www.arout.net/france-sends-dozens-of-fire-engines-and-ambulances-to-ukraine-to-support-the-war-against-russia/</t>
  </si>
  <si>
    <t>rescue vehicle</t>
  </si>
  <si>
    <t>Lorry</t>
  </si>
  <si>
    <t>ton of health and emergency equipment</t>
  </si>
  <si>
    <t>FRH4</t>
  </si>
  <si>
    <t xml:space="preserve">Equipment </t>
  </si>
  <si>
    <t>Second convoy of relief vehicles and supplies for Ukraine's emergency services, organized by the Ministries for Europe and Foreign Affairs and the Interior</t>
  </si>
  <si>
    <t>https://www.interieur.gouv.fr/actualites/dossiers/situation-en-ukraine/solidarite-nationale-envers-lukraine-second-convoi-de</t>
  </si>
  <si>
    <t>https://ue.delegfrance.org/IMG/pdf/4_5989977243172998264_1_.pdf?11377/582461c3399e431c79f060e139f084c1fa490550</t>
  </si>
  <si>
    <t>Rescue vehicle</t>
  </si>
  <si>
    <t>https://ue.delegfrance.org/IMG/pdf/4_5989977243172998264_1_.pdf?11377/582461c3399e431c79f060e139f084c1fa490551</t>
  </si>
  <si>
    <t>truck</t>
  </si>
  <si>
    <t>https://ue.delegfrance.org/IMG/pdf/4_5989977243172998264_1_.pdf?11377/582461c3399e431c79f060e139f084c1fa490552</t>
  </si>
  <si>
    <t>rescue and clearing equipment</t>
  </si>
  <si>
    <t>https://ue.delegfrance.org/IMG/pdf/4_5989977243172998264_1_.pdf?11377/582461c3399e431c79f060e139f084c1fa490553</t>
  </si>
  <si>
    <t>Ton of fire-fighting equipment</t>
  </si>
  <si>
    <t>https://ue.delegfrance.org/IMG/pdf/4_5989977243172998264_1_.pdf?11377/582461c3399e431c79f060e139f084c1fa490554</t>
  </si>
  <si>
    <t>FRH5</t>
  </si>
  <si>
    <t>At the Ukranian government's request, the Ministry for Europe and Foreign Affairs Crisis and Support Center delivered 28 tons of medical equipment. The shipment is directed to Ukraine and is coordinated by the EU Civil Protection Mechanism. The 28 tons include oxygen generators allowing to treat up to 500 patients, 50 sets of respiratory equipment and 4.5 tons of medicines.</t>
  </si>
  <si>
    <t>https://www.diplomatie.gouv.fr/en/country-files/ukraine/news/article/ukraine-special-delivery-of-emergency-medical-aid-by-france-joint-communique</t>
  </si>
  <si>
    <t>https://www.techopital.com/la-france-envoie-28-tonnes-de-materiel-medical-en-ukraine-NS_6281.html</t>
  </si>
  <si>
    <t>https://www.lefigaro.fr/international/direct-guerre-en-ukraine-situation-critique-a-marioupol-20220421</t>
  </si>
  <si>
    <t>FRH6</t>
  </si>
  <si>
    <t>Third convoy of relief vehicles and supplies for Ukraine's emergency services, organized by the Ministries for Europe and Foreign Affairs and the Interior</t>
  </si>
  <si>
    <t>Ton of medical equipment</t>
  </si>
  <si>
    <t>https://www.defense.gouv.fr/terre/actualites/uiisc-1-3e-convoi-solidarite-lukraine</t>
  </si>
  <si>
    <t>https://ue.delegfrance.org/IMG/pdf/4_5989977243172998264_1_.pdf?11377/582461c3399e431c79f060e139f084c1fa490555</t>
  </si>
  <si>
    <t>vehicle equipped with a mobile radiology device</t>
  </si>
  <si>
    <t>https://ue.delegfrance.org/IMG/pdf/4_5989977243172998264_1_.pdf?11377/582461c3399e431c79f060e139f084c1fa490556</t>
  </si>
  <si>
    <t>km of fire hose</t>
  </si>
  <si>
    <t>https://ue.delegfrance.org/IMG/pdf/4_5989977243172998264_1_.pdf?11377/582461c3399e431c79f060e139f084c1fa490557</t>
  </si>
  <si>
    <t>liter of foam concentrate (against hydrocarbon fires)</t>
  </si>
  <si>
    <t>https://ue.delegfrance.org/IMG/pdf/4_5989977243172998264_1_.pdf?11377/582461c3399e431c79f060e139f084c1fa490558</t>
  </si>
  <si>
    <t>food ration H</t>
  </si>
  <si>
    <t>https://ue.delegfrance.org/IMG/pdf/4_5989977243172998264_1_.pdf?11377/582461c3399e431c79f060e139f084c1fa490559</t>
  </si>
  <si>
    <t>FRH7</t>
  </si>
  <si>
    <t>Evacuation and provision of medical care for seven Ukrainian war wounded.</t>
  </si>
  <si>
    <t>https://www.diplomatie.gouv.fr/en/country-files/ukraine/news/article/ukraine-france-mobilised-to-support-ukraine-through-medical-care-for-war</t>
  </si>
  <si>
    <t>https://ue.delegfrance.org/IMG/pdf/4_5989977243172998264_1_.pdf?11377/582461c3399e431c79f060e139f084c1fa490560</t>
  </si>
  <si>
    <t>FRH8</t>
  </si>
  <si>
    <t>In-kind donation of 12 ambulances.</t>
  </si>
  <si>
    <t>https://twitter.com/MinColonna/status/1531344296191868928</t>
  </si>
  <si>
    <t>https://ue.delegfrance.org/IMG/pdf/4_5989977243172998264_1_.pdf?11377/582461c3399e431c79f060e139f084c1fa490561</t>
  </si>
  <si>
    <t>FRH9</t>
  </si>
  <si>
    <t>Donation of 31 tons of field crop seeds. The shipment includes several different types of seeds: beet, carrot, cabbage, cauliflower, chives, cucumber, zucchini and tomato, among others – enough to plant 23,475 acres of farmland and vegetable gardens and harvest up to 260,000 tons of food. We do not consider the private donation of 600 Tons of potato plants by the French Federation of Seed Potato Growers (mentioned in "Source of Aid 1"). The aid is not quantifiable in monetary terms.</t>
  </si>
  <si>
    <t>Field crop seed (per Ton)</t>
  </si>
  <si>
    <t>https://www.diplomatie.gouv.fr/en/country-files/ukraine/news/article/ukraine-exceptional-assistance-from-france-to-bolster-food-security-for-the</t>
  </si>
  <si>
    <t>https://ue.delegfrance.org/IMG/pdf/4_5989977243172998264_1_.pdf?11377/582461c3399e431c79f060e139f084c1fa490562</t>
  </si>
  <si>
    <t>FRH10</t>
  </si>
  <si>
    <t>Evacuation and provision of medical care for six Ukrainian war wounded. The aid is not quantifiable in monetary terms.</t>
  </si>
  <si>
    <t>https://ue.delegfrance.org/IMG/pdf/4_5989977243172998264_1_.pdf?11377/582461c3399e431c79f060e139f084c1fa490563</t>
  </si>
  <si>
    <t>FRH11</t>
  </si>
  <si>
    <t>This delivery includes a mobile health post with medical equipment and medicines, enabling the treatment of 250 patients, as well as medical devices used for anaesthesia and resuscitation, amongst others. The aid is not quantifiable in monetary terms.</t>
  </si>
  <si>
    <t>https://www.diplomatie.gouv.fr/en/country-files/ukraine/news/article/ukraine-exceptional-delivery-of-emergency-medical-assistance-by-france-28-jun</t>
  </si>
  <si>
    <t>https://ue.delegfrance.org/IMG/pdf/4_5989977243172998264_1_.pdf?11377/582461c3399e431c79f060e139f084c1fa490564</t>
  </si>
  <si>
    <t>FRH12</t>
  </si>
  <si>
    <t>On 14 July 2022, the French Ministry for Europe and Foreign Affairs’ Crisis and Support Centre provided the Ukrainian Prosecutor-General’s Office with a new mobile laboratory devoted to rapid DNA analysis and expertise. According to Aource of Aid 3, two systems hve been delivered by May 9, 2023</t>
  </si>
  <si>
    <t>mobile DNA-analysis laboratory</t>
  </si>
  <si>
    <t>https://www.diplomatie.gouv.fr/en/country-files/ukraine/news/article/france-donates-a-mobile-dna-analysis-laboratory-to-ukraine-joint-press-release</t>
  </si>
  <si>
    <t>https://ue.delegfrance.org/IMG/pdf/4_5989977243172998264_1_.pdf?11377/582461c3399e431c79f060e139f084c1fa490565</t>
  </si>
  <si>
    <t xml:space="preserve">https://ua.ambafrance.org/Franciiya-peredala-Ukrayinii-drugu-LAB-DNA-uniikal-ne-u-sviitii-obladnannya </t>
  </si>
  <si>
    <t>FRH13</t>
  </si>
  <si>
    <t>France sent a humanitarian ship with more than 1,000 tonnes on board on 28 Sep 2022. This includes materials set to help with the reconstruction of cities and towns , as well as medical equipment. According to Source of Aid 1, the operation was announced by French President on 24 Aug 2022. According to Source of Aid 2, the  total value is 8 million EUR, but according to Source of Aid 4, the total value is 10 million EUR. Therefore, we take the average 9 million EUR.</t>
  </si>
  <si>
    <t>https://www.diplomatie.gouv.fr/en/country-files/ukraine/news/article/ukraine-catherine-colonna-to-attend-the-launch-of-solidarity-operation-un</t>
  </si>
  <si>
    <t>https://ua.ambafrance.org/Dostavka-1000-t-francuz-koyi-gumaniitarnoyi-dopomogi-ukrayins-kim-adresatam-v</t>
  </si>
  <si>
    <t>https://www.connexionfrance.com/article/French-news/Humanitarian-ship-for-Ukraine-leaves-French-port-with-8m-of-aid</t>
  </si>
  <si>
    <t>https://www.euronews.com/2022/09/29/cargo-ship-with-1000-tonnes-of-ukraine-aid-sets-sail-from-marseille</t>
  </si>
  <si>
    <t>modular / prefabricated bridge</t>
  </si>
  <si>
    <t>building materials</t>
  </si>
  <si>
    <t>tarpaulins</t>
  </si>
  <si>
    <t>medical evacuation truck</t>
  </si>
  <si>
    <t>ton of emergency and resuscitation drugs</t>
  </si>
  <si>
    <t>Semi-rigid inflatable boat</t>
  </si>
  <si>
    <t>FRH14</t>
  </si>
  <si>
    <t xml:space="preserve">France increases civilian aid to Ukraine, in which the country will repair and improve the electricity and water supply infrastructure 'considerably damaged by the Russian attacks'. According to "Source of Aid 2", 100 power generators had been delivered in November, which we attribute to this humanitarian package. </t>
  </si>
  <si>
    <t>https://www.reuters.com/world/europe/russia-pounds-ukraine-civil-infrastructure-powers-meet-provide-aid-2022-12-13/</t>
  </si>
  <si>
    <t>https://www.euractiv.com/section/all/short_news/france-announces-increased-military-aid-to-ukraine/</t>
  </si>
  <si>
    <t>FRH15</t>
  </si>
  <si>
    <t>At the Ukriane Solidarity conference in Paris, France pledges 63 electric generators worth 48.5 million EUR. (Source of Aid 3)</t>
  </si>
  <si>
    <t>https://www.elysee.fr/emmanuel-macron/2022/12/13/solidaires-du-peuple-ukrainien</t>
  </si>
  <si>
    <t>https://ue.delegfrance.org/bilan-de-l-aide-apportee-par-la</t>
  </si>
  <si>
    <t>https://edition.cnn.com/europe/live-news/russia-ukraine-war-news-12-13-22/h_f789fb6727fdf749c8a193449f27be5a</t>
  </si>
  <si>
    <t>At the Ukriane Solidarity conference in Paris, France pledges humanitarian aid worth 48.5 million EUR (Source of Aid 3). This includes 63 generators and 5 million light bulbs (Source of Aid 2).</t>
  </si>
  <si>
    <t>LED light</t>
  </si>
  <si>
    <t xml:space="preserve">https://ua.ambafrance.org/Ofiiciijne-vruchennya-sviitlodiiodnih-lampi-peredanih-Franciiieyu-Ukrayinii </t>
  </si>
  <si>
    <t>FRH16</t>
  </si>
  <si>
    <t>According to Source of Aid 1, France pledged additional humanitarian aid in the domain of energy and electricity worth €76.5 million at the Ukriane Solidarity conference in Paris.</t>
  </si>
  <si>
    <t>FRH17</t>
  </si>
  <si>
    <t>On 13 December French president Macron announces that France has committed 200 million EUR of humanitarian aid in 2022 (excluding the most recent aid committed at the Ukraine Solidarity conference, 76.5 million EUR, see entry FRH16). We use this as a benchmark and subtract all of the preceding aid (FRH1 - 15), which equals 40.9 million EUR as the amount of undisclosed aid.</t>
  </si>
  <si>
    <t>https://twitter.com/EmmanuelMacron/status/1602661511700389888?ref_src=twsrc%5Etfw%7Ctwcamp%5Etweetembed%7Ctwterm%5E1602661511700389888%7Ctwgr%5E339bcba22bc63bfdb282e6d9427211ad1ddf282a%7Ctwcon%5Es1_&amp;ref_url=https%3A%2F%2Fwww.elysee.fr%2Femmanuel-macron%2F2022%2F12%2F13%2Fsolidaires-du-peuple-ukrainien</t>
  </si>
  <si>
    <t>FRH18</t>
  </si>
  <si>
    <t>According to Source of Aid 1, France gave Ukraine's State Emergency Service a new batch of civil security equipment, the fifth since the beginning of the Russian invasion. Its total value is around two million euros.</t>
  </si>
  <si>
    <t xml:space="preserve">https://ua.ambafrance.org/La-France-donne-a-l-Ukraine-un-cinquieme-lot-de-securite-civile </t>
  </si>
  <si>
    <t>FRF1</t>
  </si>
  <si>
    <t xml:space="preserve">A 200 million EUR portion of a 1.2 billion EUR funding program for joint French-Ukrainian projects is in the form of direct loans to Ukraine from the French Treasury (on the condition that Ukraine uses French companies for reconstruction projects) </t>
  </si>
  <si>
    <t>https://www.kmu.gov.ua/en/news/vbachaiemo-velyki-perspektyvy-u-zaluchenni-frantsuzkoho-biznesu-do-rannoi-vidbudovy-ukrainy-iuliia-svyrydenko-na-zustrichi-z-medef</t>
  </si>
  <si>
    <t>https://ua.interfax.com.ua/news/economic/796996.html</t>
  </si>
  <si>
    <t>https://www.president.gov.ua/news/franciya-nadast-ukrayini-12-mlrd-yevro-programnogo-finansuva-72769</t>
  </si>
  <si>
    <t>https://www.ukrinform.net/rubric-economy/3400470-france-to-provide-eur-12b-in-program-funding-for-ukraines-development-presidents-office.html</t>
  </si>
  <si>
    <t>FRF2</t>
  </si>
  <si>
    <t>Loan announced on February 25 and granted on March 28. According to press releases, the loan has a 15-year maturity (see “Source of Aid 3"). The mentioned equipment in "Source of Aid 2" refers to FRM1. "Source of Aid 4" specifies that the loan is made by the French Development Agency</t>
  </si>
  <si>
    <t>https://www.diplomatie.gouv.fr/en/country-files/ukraine/news/article/ukraine-conversation-between-jean-yves-le-drian-and-his-ukrainian-counterpart</t>
  </si>
  <si>
    <t>https://www.aa.com.tr/en/europe/france-to-offer-300m-worth-of-aid-military-equipment-to-ukraine/2515343</t>
  </si>
  <si>
    <t>https://www.reuters.com/article/ukraine-crisis-france-loan-idUSL5N2VX4PT</t>
  </si>
  <si>
    <t>https://uk.ambafrance.org/France-grants-EUR300-million-loan-to-Ukraine</t>
  </si>
  <si>
    <t>FRF3</t>
  </si>
  <si>
    <t>French Development Agency gives Ukraine a loan on preferential terms worth 100 million EUR. The funds are directed to the general fund of the State Budget to finance priority expenditures, in particular social and humanitarian. The loan was dispursed on 13 December.</t>
  </si>
  <si>
    <t>http://www.mof.gov.ua/uk/news/ukraine_received_eur_100_million_loan_from_france-3760</t>
  </si>
  <si>
    <t>https://www.kmu.gov.ua/en/news/ukraina-otrymala-100-mln-ievro-vid-frantsii</t>
  </si>
  <si>
    <t>https://en.kyiv.media/news/ukraine-received-a-eur100m-loan-from-france</t>
  </si>
  <si>
    <t>https://ukranews.com/en/news/901542-ukraine-receives-eur-100-million-of-preferential-loan-from-france</t>
  </si>
  <si>
    <t>FRF4</t>
  </si>
  <si>
    <t xml:space="preserve">France provides 99.5 million EUR in guarantees to support loans via the European Bank for Reconstruction and Development. One guarantee is worth 49.4 million EUR and will go towards JSC Ukrzaliznytsia (Ukrainian Railways). The second guarantee is worth 50 million EUR and will go towards the Ukrainian state-owned gas company Naftogaz. </t>
  </si>
  <si>
    <t>https://interfax.com/newsroom/top-stories/86161/</t>
  </si>
  <si>
    <t>FRF5</t>
  </si>
  <si>
    <t>FRM1</t>
  </si>
  <si>
    <t>until 4/13/2022</t>
  </si>
  <si>
    <t>According to a tweet of the French Minister of Defence on April 13, France has sent a total amount of 100 million EUR in military assistance to Ukraine since the beginning of the conflict. Later on, ahead of the second round of presidential elections in France, President Macron disclosed the content of the shipment: a few dozen MILAN and up to ten CAESARS artillery howitzers (see "Source of Aid 3"). As the report of the aid was done in April and no earlier announcement can be verified, we report this aid as having been pledged in April 2022 for Analysis of Aid over time purposes. The Prime Minister of France announced the shipment of military material, additional to the already sent weapons.</t>
  </si>
  <si>
    <t>Milan</t>
  </si>
  <si>
    <t>https://twitter.com/florence_parly/status/1514275166158790666</t>
  </si>
  <si>
    <t>https://www.lesechos.fr/monde/enjeux-internationaux/la-france-renforce-son-soutien-militaire-a-lukraine-1389929</t>
  </si>
  <si>
    <t>https://www.aa.com.tr/en/europe/france-to-deliver-caesar-artillery-guns-shells-to-ukraine/2570644</t>
  </si>
  <si>
    <t>https://meta-defense.fr/en/2022/04/22/france-will-deliver-caesar-mobile-artillery-systems-to-ukraine/</t>
  </si>
  <si>
    <t>https://www.lemonde.fr/en/international/article/2022/04/24/france-is-delivering-caesar-cannons-and-milan-anti-tank-missiles-to-kiev_5981417_4.html</t>
  </si>
  <si>
    <t>https://de.ambafrance.org/Bilan-de-l-aide-apportee-par-la-France-a-l-Ukraine-fevrier-2023</t>
  </si>
  <si>
    <t>https://www.strategypage.com/htmw/htart/articles/20220502.aspx</t>
  </si>
  <si>
    <t>FRM2</t>
  </si>
  <si>
    <t>Pledge of six additional CAESAR howitzers and an undisclosed number of Armored vehicles to Ukraine. Accoring to Source of Aid 2, thousands of CEASAR howitzer shells have been supplied to Ukraine as well. Since those are matching the Artillery committed, we assume they have been committed in this package as well. On the 19th of November, French Defense Minister Sébastien Lecornu specified that France sent 60 VAB APC, so we assume they were delivered in this package (Source of aid 3).</t>
  </si>
  <si>
    <t>https://twitter.com/EmmanuelMacron/status/1542480626560942080</t>
  </si>
  <si>
    <t>https://www.lemonde.fr/en/international/article/2022/10/11/what-weapons-is-france-sending-to-ukraine_5999916_4.html</t>
  </si>
  <si>
    <t>https://www.lejdd.fr/International/sebastien-lecornu-ministre-des-armees-nous-navons-pas-a-rougir-de-notre-aide-a-lukraine-4148779</t>
  </si>
  <si>
    <t>https://www.lefigaro.fr/international/guerre-en-ukraine-sebastien-lecornu-en-visite-a-kiev-20221228</t>
  </si>
  <si>
    <t>Round of ammunition for 155mm howitzer</t>
  </si>
  <si>
    <t>VAB Armored Personnel Carrier</t>
  </si>
  <si>
    <t>FRM3</t>
  </si>
  <si>
    <t>On the 6th of October, after the Prague summit, President Macron announced that France has been creating a new fund worth 100 million EUR for Ukraine to directly buy weapons and other materials it needs from French companies. Later, the French Ministry of Defense announced that France has increased the special fund to 200 million EUR. According to Source of Aid 1, 12 Caesar howitzers are contributed as part of this fund.</t>
  </si>
  <si>
    <t>https://www.defense.gouv.fr/sites/default/files/ministere-armees/13.01.23%20Entretien%20de%20S%C3%A9bastien%20Lecornu%2C%20ministre%20des%20Arm%C3%A9es%2C%20avec%20Oleksii%20Reznikov.pdf</t>
  </si>
  <si>
    <t>https://www.reuters.com/world/europe/france-send-12-additional-caesar-howitzers-ukraine-2023-01-31/</t>
  </si>
  <si>
    <t>https://www.lemonde.fr/en/international/article/2023/01/31/france-commits-to-sending-more-caesar-self-propelled-howitzers-to-ukraine_6013871_4.html</t>
  </si>
  <si>
    <t>Weapons and Equipment</t>
  </si>
  <si>
    <t>French and Ukrainian defense ministers signed a contract at the Thalis company site for delivery of a complete short-range air defence system, including a Ground Master 200 radar. The radar is financed by the €200 million special defense fund (FRM3)</t>
  </si>
  <si>
    <t>Ground Master 200</t>
  </si>
  <si>
    <t>https://apnews.com/article/russia-ukraine-government-business-e38d0631cc5abadcf3a214366de679e2</t>
  </si>
  <si>
    <t>https://www.thedefensepost.com/2023/01/31/france-caesar-howitzers-ukraine/</t>
  </si>
  <si>
    <t>FRM4</t>
  </si>
  <si>
    <t xml:space="preserve">President Macron announced that France could send Caeser howitzers as a part of new military aid package (Source of aid 1). On 12th of October, during an interview with France 2 television channel, he said that France will deliver radars, air-defence systems with ammunition, and 6 Caesar howitzers (Source of aid 2). Later in an interview with Le Parisien (Source of aid 3), French Defense Minister Sébastien Lecornu placed it more precisely and said that France is sending Crotale anti-aircraft systems. He also specified that this is a separate aid package from 100 EUR million from the previous entry (FRM6). On the 19th of November, French Defense Minister Sébastien Lecornu specified that France is sending two Crotale anti-aircraft systems and two LRU MLRS, which are a varian of M270 (Source of aid 4). </t>
  </si>
  <si>
    <t>Cortale air-defense system</t>
  </si>
  <si>
    <t>https://www.lemonde.fr/en/international/article/2022/10/12/macron-promises-air-defense-systems-for-ukraine-calls-for-putin-to-discuss-peace_6000130_4.html</t>
  </si>
  <si>
    <t>https://www.leparisien.fr/politique/sebastien-lecornu-nous-allons-former-jusqua-2000-soldats-ukrainiens-en-france-15-10-2022-SBLM6EKPOFELNHN3GHGA7IAESY.php</t>
  </si>
  <si>
    <t>M270 weapon system</t>
  </si>
  <si>
    <t>https://report.az/en/other-countries/france-to-provide-ukraine-with-arms-worth-200m-euros/</t>
  </si>
  <si>
    <t>FRM5</t>
  </si>
  <si>
    <t xml:space="preserve">According to Source of aid 1 (Zelenskyy Twitter Account), France intends to supply Ukraine with Bastion APCs. No further reliable information regarding the number is known. </t>
  </si>
  <si>
    <t>Bastion APC</t>
  </si>
  <si>
    <t>https://twitter.com/ZelenskyyUa/status/1610685985767002124</t>
  </si>
  <si>
    <t>FRM6</t>
  </si>
  <si>
    <t xml:space="preserve">France promises to supply French-made AMX-10 RC light tanks to Ukraine, which marks the first time a Western country has provided tanks to Ukraine. Number of tanks is undisclosed.  </t>
  </si>
  <si>
    <t>AMX-10 RC</t>
  </si>
  <si>
    <t>https://www.france24.com/en/live-news/20230104-macron-promises-first-western-tanks-for-ukraine</t>
  </si>
  <si>
    <t>https://www.euractiv.com/section/politics/news/france-increases-military-aid-to-ukraine-with-more-tanks/</t>
  </si>
  <si>
    <t>https://www.washingtonexaminer.com/policy/defense-national-security/france-tanks-ukraine-contrast-biden-germany</t>
  </si>
  <si>
    <t>FRM7</t>
  </si>
  <si>
    <t>According to French sources, France has committed, together with Italy, one SAMP/T air defense system. From official sources, no further information is available. Source of aid 3 states that Italy is providing the missiles launcher battery, while France provides the interceptor missiles. It is unclear how many missiles France will provide.</t>
  </si>
  <si>
    <t>SAMP/T anti-air missile</t>
  </si>
  <si>
    <t>https://www.reuters.com/world/europe/france-italy-ready-deliver-sampt-anti-missile-system-ukraine-2023-02-03/</t>
  </si>
  <si>
    <t>https://defbrief.com/2023/02/01/ukraine-getting-gm200-radars-from-france-as-talks-on-samp-t-air-defense-system-continue/</t>
  </si>
  <si>
    <t>,</t>
  </si>
  <si>
    <t>FRM8</t>
  </si>
  <si>
    <t xml:space="preserve">According to source of aid 1, France will send to Ukraine dozens of Armored vehicles and light tanks, including additional AMX-10RCs fighting vehicles, without giving specific numbers. </t>
  </si>
  <si>
    <t xml:space="preserve">https://www.reuters.com/world/europe/france-send-dozens-Armored-vehicles-light-tanks-ukraine-2023-05-14/ </t>
  </si>
  <si>
    <t>https://www.pravda.com.ua/eng/news/2023/05/15/7402179/</t>
  </si>
  <si>
    <t>https://www.lesechos.fr/monde/europe/la-france-va-envoyer-des-blindes-et-des-chars-legers-a-lukraine-1943338</t>
  </si>
  <si>
    <t>https://www.president.gov.ua/en/news/spilna-deklaraciya-ukrayini-ta-francuzkoyi-respubliki-82897</t>
  </si>
  <si>
    <t>DEH1</t>
  </si>
  <si>
    <t>Germany</t>
  </si>
  <si>
    <t>until 5/6/2022</t>
  </si>
  <si>
    <t>According to the official website of the German Ministry for Economic Development and Cooperation, Germany's humanitarian aid to Ukraine amounts to 185 million EUR. Here, we also include previous humanitarian aid coordinated by the Ministry for Development and Cooperation and the 38.5 million EUR approved on March 7 (see "Source of aid 2"). As the sum of 185 million EUR of humanitarian aid was reached in May 2022, we also report this sum entirely for May for Analysis of Aid over time purposes. The provision of aid was also confirmed later in official publications of the German government (Source of aid 3, and Source of aid 4 which shows the most recent issue).</t>
  </si>
  <si>
    <t>https://www.bmz.de/de/laender/ukraine</t>
  </si>
  <si>
    <t>https://www.deutschland.de/en/news/ticker-solidarity-with-ukraine</t>
  </si>
  <si>
    <t>https://www.bundesregierung.de/resource/blob/975226/2155792/c3dbab706421f63d3d612091e7ecad4c/2022-12-27-unterstuetzung-ukraine-breg-data.pdf?download=1%20Guten</t>
  </si>
  <si>
    <t>https://www.bundesregierung.de/resource/blob/974430/2167632/19a9c5cad6f80e4f4d151372316fdcfd/2023-02-24-deutsche-bilaterale-unterstuetzungsleistungen-fuer-die-ukraine-data.pdf?download=1</t>
  </si>
  <si>
    <t>DEH2</t>
  </si>
  <si>
    <t>until 12/21/2022</t>
  </si>
  <si>
    <t xml:space="preserve">At the end of 2022, Germany published an official list of aid provided to Ukraine. Later in February 2023, this list was updated. Most donations listed in the document were attributed and incorporated in the dataset. Still, some could not be attributed to specific entries and therefore reported together here. In total, 622 EUR million out of around 1.7 EUR billion is to be reported together. Still, we assume that part of this value was comitted during Stand Up for Ukraine event and donor's conference in Warshau in April and May 2022. Therefore, we subtract 495 EUR million from this entry and attribute it to DEH3 for overtime analysis. </t>
  </si>
  <si>
    <t>DEH3</t>
  </si>
  <si>
    <t xml:space="preserve">During the "Stand Up for Ukraine" donor's conference on April 9, Chancellor Olaf Scholz announced that the German government will send 425 million EUR in humanitarian aid to Ukraine and neighboring countries (Source of aid 1). According to an E-Mail received by the Ministry of Economic Development and Cooperation, 55 million EUR out of the announced 425 million EUR are part of 185 million EUR pledged by the German Ministry of Economic Development and Cooperation (see DEH1) and therefore are not included in this entry (425-55=370). Later in May, Germany pledged another 125 EUR million for humanitarian aid (Source of aid 2). Finally, when Germany published an official list of aid provided (Source of aid 3), no positions could be clearly attributed to both those donations. Since we also could not attribute around 600 EUR million from this official list, we assume that part of this aid was comitted during those events for over-time analysis. </t>
  </si>
  <si>
    <t>https://www.bundesregierung.de/breg-de/themen/krieg-in-der-ukraine/humanitaere-hilfe-ukraine-2016634</t>
  </si>
  <si>
    <t>https://www.bundesregierung.de/breg-de/aktuelles/ukraine-donors-conference-2037428</t>
  </si>
  <si>
    <t>DEH4</t>
  </si>
  <si>
    <t xml:space="preserve">The current entry represents the donations of medical supplies through the EU Civil Protection Mechanism. The first provision of medical supplies was announced during the "Stand Up for the Ukraine" donor's conference by Chancellor Olaf Scholz (Source of aid 1). The information about the provision of the second part was revealed in August 2022(Source of aid 2) and confirmed later in February 2023 on the official web page of the German Federal Ministry of Health (Source of aid 3) and the official publication listing all German aid to Ukraine (Source of aid 4).
</t>
  </si>
  <si>
    <t>https://www.br.de/nachrichten/deutschland-welt/waffen-geld-hilfsgueter-so-unterstuetzt-deutschland-die-ukraine,TFRkfye</t>
  </si>
  <si>
    <t>https://www.bundesgesundheitsministerium.de/unterstuetzungsleistungen-fuer-die-ukraine.html#collapse-control-6324</t>
  </si>
  <si>
    <t>DEH5</t>
  </si>
  <si>
    <t xml:space="preserve">Humanitarian aid from the German Federal Ministry for Economic Cooperation and Development. During the Ukraine Recovery Conference 2022 in Lugano, which took place in July, Germany announced 426 million EUR in humanitarian aid. On December 27th, Germany released a list of total aid to Ukraine provided in 2022. According to this list, the Federal Ministry of Economic Cooperation and Development committed 406 million EUR. Source of aid 2 reports that 51 EUR million was disbursed through the WB, and we, therefore, report it separately (DEH6). Later it was specified (Source of aid 1) that this aid is provided for various different measurements, including 200 EUR million for internally displaced people, announced in September (Source of aid 3). It was reported in the DEH7 entry of our dataset, which is currently being replaced. We split the entry since one part is financial aid with humanitarian purposes (233 EUR million). </t>
  </si>
  <si>
    <t>https://www.worldbank.org/en/country/ukraine/brief/world-bank-emergency-financing-package-for-ukraine#:~:text=Since%20February%202022%2C%20the%20World,(March%209%2C%202023).</t>
  </si>
  <si>
    <t>https://www.reuters.com/world/europe/germany-pledges-199-mln-aid-displaced-people-ukraine-minister-2022-09-03/</t>
  </si>
  <si>
    <t>DEH6</t>
  </si>
  <si>
    <t>Humanitarian aid from the German Federal Ministry for Economic Cooperation and Development. During the Ukraine Recovery Conference 2022 in Lugano, which took place in July, Germany announced 426 million EUR in humanitarian aid. On December 27th, Germany released a list of total aid to Ukraine provided in 2022. According to this list, the Federal Ministry of Economic Cooperation and Development committed 406 million EUR.  Source of aid 2 reports that 51 EUR million was disbursed through the WB, and we, therefore, report it separately, which we report in the current entry.</t>
  </si>
  <si>
    <t>DEH7</t>
  </si>
  <si>
    <t>Humanitarian aid from the German Federal Ministry of Health. According to the recent publication of the list of German aid to Ukraine (Source of aid 1), the German Federal Ministry of Health spent 2.3 EUR million for the telemedical project of the Charité and the Robert Koch Institute (RKI). It was comitted in August 2022 (Source of aid 2).</t>
  </si>
  <si>
    <t>DEH8</t>
  </si>
  <si>
    <t xml:space="preserve">Humanitarian aid from the German Federal Ministry of Food and Agriculture. According to the recent publication of the list of German aid to Ukraine (Source of aid 1), the German German Federal Ministry of Food and Agriculture will spend 2.7 EUR million for the construction of a veterinary and phytosanitary laboratory in the Ukrainian Danube port of Izmail to speed up the clearance of goods - as well as procurement of mobile grain storage units for the whole of Ukraine. It was comitted in September 2022 (Source of aid 2).
</t>
  </si>
  <si>
    <t>https://odesa.consumer.gov.ua/uk/1448-onovlena-veterinarna-laboratoriya-v-izmajili-dopomozhe-priskoriti-eksport-ukrajinskoji-produktsiji</t>
  </si>
  <si>
    <t>DEH9</t>
  </si>
  <si>
    <t xml:space="preserve">One-time payments to approximately 10,000 Holocaust survivors in Ukraine. 12 EUR million through the Jewish Claims Conference (as part of annual follow-up negotiations). </t>
  </si>
  <si>
    <t>https://www.jpost.com/diaspora/article-717214</t>
  </si>
  <si>
    <t>DEH10</t>
  </si>
  <si>
    <t>Humanitarian aid from the German Federal Ministry of Health. According to the recent publication of the list of German aid to Ukraine (Source of aid 1), the German Federal Ministry of Health spent 0.8 EUR million to establish hybrid simulation centers for the education and training of health professionals in Ukraine at up to three Ukrainian clinics. It was comitted in October 2022 (Source of aid 2).</t>
  </si>
  <si>
    <t>DEH11</t>
  </si>
  <si>
    <t>The official list of aid provided by Germany to Ukraine lists 1.148 EUR million aid from the Federal Ministry for Digital and Transport (Source of aid 1). According to Source of Aid 2, the German government has given an extra 1 billion euros ($1.03 billion) from its 2023 budget to support Ukraine, with money allocated to defending against Russian cyberattacks and collecting evidence of war crimes. However, we report the value of the official and continuously updated list since the discrepancy is too high. We do take the announcement date of Source of Aid 2 though.</t>
  </si>
  <si>
    <t>https://www.reuters.com/world/europe/germany-allocates-extra-1-bln-euros-ukraine-cyber-defence-documenting-war-crimes-2022-11-11/</t>
  </si>
  <si>
    <t>DEH12</t>
  </si>
  <si>
    <t>According to the Federal Ministry of Economics statements, it is providing 40 million euros for upgrading the Ukrainian power grid.</t>
  </si>
  <si>
    <t>https://background.tagesspiegel.de/energie-klima/haelfte-des-ukrainischen-stromsystems-lahmgelegt</t>
  </si>
  <si>
    <t>https://www.bmwk.de/Redaktion/DE/Downloads/U/unterstuetzung-ukraine.pdf?__blob=publicationFile&amp;v=10</t>
  </si>
  <si>
    <t>DEH13</t>
  </si>
  <si>
    <t xml:space="preserve">Transfer of customs administration's decommissioned official vehicles (DKfz): a planned total of 100 vehicles in several tranches to the Ukrainian customs administration; estimated total proceeds from disposal - 600,000 €. </t>
  </si>
  <si>
    <t>vehicle (trucks, minibuses, all-terrain vehicles)</t>
  </si>
  <si>
    <t>DEH14</t>
  </si>
  <si>
    <t>Humanitarian aid from the German Federal Ministry of Food and Agriculture. According to the recent publication of the list of German aid to Ukraine (Source of aid 1), the German German Federal Ministry of Food and Agriculture will spend 5 EUR million for supply of veterinary medicines and vaccines to Ukraine through FAO Rapid Response Plan. It was comitted in November 2022 (Source of aid 2).</t>
  </si>
  <si>
    <t>https://www.bmel.de/SharedDocs/Pressemitteilungen/DE/2022/162-tiergesundheit-ukraine.html</t>
  </si>
  <si>
    <t>DEH15</t>
  </si>
  <si>
    <t>At the "Solidarity with Ukraine" conference in Paris, Germany pledges another 50 million EUR in humanitarian winter aid to Ukraine.</t>
  </si>
  <si>
    <t>https://twitter.com/GermanyDiplo/status/1602648786886598662?s=20&amp;t=p24pfJZTEUQw2bq9Nf96bQ</t>
  </si>
  <si>
    <t>https://www.washingtonexaminer.com/policy/defense-national-security/ukraine-billion-winter</t>
  </si>
  <si>
    <t>DEH16</t>
  </si>
  <si>
    <t>The German Federal Foreign Office has announced a contribution of EUR 30 million for emergency energy equipment and support to the Ukraine Energy Support Fund. Later, the official list of German aid to Ukraine revealed that additional 100 EUR million is to be provided to the Ukraine Energy Support Fund by the Ministry for Economic Affairs and Climate Action (Source of aid 3,4). Despite the fact that this information was clearly reported only in the February issue of this list (Source of aid 3), we consider it to be announced in December (see Source of aid 1) due to the fact that the amount of money dedicated to this project entirely corresponds to a decrease in funds for "Green reconstruction financing for Ukraine" (Finanzierung des grünen Wiederaufbaus für die Ukraine).</t>
  </si>
  <si>
    <t>https://www.energy-community.org/news/Energy-Community-News/2022/12/14.html</t>
  </si>
  <si>
    <t>DEH17</t>
  </si>
  <si>
    <t xml:space="preserve">Humanitarian aid from the German Federal Ministry of Food and Agriculture in 2023. According to the recent publication of the list of German aid to Ukraine (Source of aid 1), the German German Federal Ministry of Food and Agriculture will spend 2.1 EUR million for an increase in bilateral cooperation projects (BKP Agriculture and BKP Forestry) in 2023. </t>
  </si>
  <si>
    <t>DEH18</t>
  </si>
  <si>
    <t xml:space="preserve">Humanitarian aid from the German Federal Ministry for Economic Cooperation and Development in 2023. According to the recent publication of the list of German aid to Ukraine (Source of aid 1), the German Federal Ministry for Economic Cooperation and Development will spend 52 EUR million for support, in particular for Ukrainian cities and municipalities, electricity and medical supplies, announced by Development Minister Schulze during her visit to Odesa in January 2023 (Source of aid 2). </t>
  </si>
  <si>
    <t>https://www.bmz.de/de/aktuelles/aktuelle-meldungen/entwicklungsministerin-schulze-in-odessa-137294</t>
  </si>
  <si>
    <t>https://www.bmz.de/resource/blob/108952/entwicklungspolitische-unterstuetzung-der-ukraine.pdf</t>
  </si>
  <si>
    <t>DEH19</t>
  </si>
  <si>
    <t xml:space="preserve">Humanitarian aid from the German Federal Ministry of Food and Agriculture in 2023. According to the recent publication of the list of German aid to Ukraine (Source of aid 1), the German German Federal Ministry of Food and Agriculture will spend 9 EUR million for financing generators to supply electricity to farms and support small farmers in areas particularly affected by the war. </t>
  </si>
  <si>
    <t>https://www.bmel.de/SharedDocs/Pressemitteilungen/DE/2023/022-krieg-ukraine.html</t>
  </si>
  <si>
    <t>DEH20</t>
  </si>
  <si>
    <t xml:space="preserve">According to the recent publication of the list of German aid to Ukraine (Source of aid 1), the German Federal Ministry for Economic Affairs and Climate Action of Germany (Bundesministerium für Wirtschaft und Klimaschutz) is to spend 55 EUR million for "green reconstruction financing for Ukraine"(Finanzierung des grünen Wiederaufbaus für die Ukraine). Source of aid 2 confirms it and specifies that this package is planned and, therefore, can be treated as the first announcement.  </t>
  </si>
  <si>
    <t>DEH21</t>
  </si>
  <si>
    <t>Humanitarian aid from the German Federal Foreign Office in 2023. According to the recent publication of the list of German aid to Ukraine (Source of aid 1), the German Federal Foreign Office spend 48 EUR million for humanitarian aid for people in need in Ukraine and for Ukrainian refugees in neighboring countries through NGOs and international organizations, including Winter Aid in 2023. The value for 2022 is reported in DEH3. We also assume that part of this aid was already spent on the Starlink terminals in January 2023.</t>
  </si>
  <si>
    <t>Starlink terminal</t>
  </si>
  <si>
    <t>https://www.auswaertiges-amt.de/de/service/laender/ukraine-node/baerbock-in-charkiw/2572792</t>
  </si>
  <si>
    <t>DEH22</t>
  </si>
  <si>
    <t>According to Source of Aid 2, Minister for Economic Cooperation and Development Schulze announced a second aid package in 2023 during the launch of the "Plattform Wiederaufbau". It includes support of partnerships between German and Ukrainian municipalities and hospitals.</t>
  </si>
  <si>
    <t>https://www.bundesregierung.de/resource/blob/975226/2189778/cdb664abe95e6fa74802882bd66ef771/2023-05-14-liste-ukr-unterstuetzung-data.pdf?download=1</t>
  </si>
  <si>
    <t>https://www.bmz.de/de/aktuelles/aktuelle-meldungen/neue-plattform-wiederaufbau-in-der-ukraine-150728</t>
  </si>
  <si>
    <t>DEH23</t>
  </si>
  <si>
    <t>According to Source of Aid 2, State Secretary for Economic Cooperation and Development Flasbarth announced a third aid package in 2023 during his visit in Kyiv. It includes a housing program for internally displaced persons, reconstruction/repair of basic infrastructure, vocational training and EU approximation in trade and energy efficiency.</t>
  </si>
  <si>
    <t>https://www.bmz.de/de/aktuelles/aktuelle-meldungen/ukraine-erhaelt-weitere-unterstuetzung-beim-wiederaufbau-152732</t>
  </si>
  <si>
    <t>DEH24</t>
  </si>
  <si>
    <t>until 4/24/2023</t>
  </si>
  <si>
    <t>According to Source of Aid 1 (page 1) and Source of Aid 2 (page 1), humanitarian aid committed by the Federal Ministry for Economic and Climate Affairs decreased by € 1.5 million between 2/24/2023 and 4/24/2023. The decrease comes mainly from the fact that the donation campaign of German industry in the form of technical goods was taken off the list.</t>
  </si>
  <si>
    <t>DEH25</t>
  </si>
  <si>
    <t>until 4/24/2024</t>
  </si>
  <si>
    <t>According to Source of Aid 1 (page 4) and Source of Aid 2 (page 4), humanitarian aid committed by the Federal Foreign Office increased by € 56.13 million between 2/24/2023 and 4/24/2023. Out of this, € 40 million go to the NATO CAP TF for Ukraine (listed in DEM8), the rest (€ 16.13 million) is listed as humanitarian here. It includes changes in expenditure items to date and the secondment of German experts via ZIF to institutions in Ukraine (€ 4.19 million).</t>
  </si>
  <si>
    <t>DEH26</t>
  </si>
  <si>
    <t>until 4/24/2025</t>
  </si>
  <si>
    <t>According to Source of Aid 1 (page 13) and Source of Aid 2 (page 13), humanitarian aid committed by the Federal Ministry for Digital and Transport increased by € 4.752 million between 2/24/2023 and 4/24/2023. The increase comes from an increased payment by Germany of Ukraine's EUROCONTROL membership contributions for the years 2022 and 2023.</t>
  </si>
  <si>
    <t>DEM1</t>
  </si>
  <si>
    <t>until 2/24/2023</t>
  </si>
  <si>
    <t>DEM1 records German military commitments that are financed by the so-called "Ertüchtigungshilfe." The Ukrainian government can buy weapons up to this amount from the German arms industry. According to "Source of Aid 1" section 7, this fund amounts to a total of €3.53 billion in total (€1.65 billion in 2022, €1.88 billion in 2023). "Source of Aid 2" provides the specific items and quantities in this category. Since the first portion of this aid was announced in June of 2022, we assign this entry the commitment month of June. The second portion of this aid was announced in January 2023, which is why we assign it this month for analysis of aid over time purposes.</t>
  </si>
  <si>
    <t>https://web.archive.org/web/20230324102438/https://www.bundesregierung.de/resource/blob/974430/2167632/19a9c5cad6f80e4f4d151372316fdcfd/2023-02-24-deutsche-bilaterale-unterstuetzungsleistungen-fuer-die-ukraine-data.pdf?download=1</t>
  </si>
  <si>
    <t xml:space="preserve">https://www.bundesregierung.de/resource/blob/975226/2189778/cdb664abe95e6fa74802882bd66ef771/2023-05-14-liste-ukr-unterstuetzung-data.pdf?download=1 </t>
  </si>
  <si>
    <t xml:space="preserve">https://web.archive.org/web/20230605032700/https://www.bundesregierung.de/breg-de/themen/krieg-in-der-ukraine/deutschland-hilft-der-ukraine-2160274 </t>
  </si>
  <si>
    <t>https://www.bundesregierung.de/breg-en/news/military-support-ukraine-2054993</t>
  </si>
  <si>
    <t>https://www.bundesregierung.de/breg-en/news/military-support-ukraine-2055137</t>
  </si>
  <si>
    <t xml:space="preserve">DEM1 records German military commitments that are financed by the so-called "Ertüchtigungshilfe." The Ukrainian government can buy weapons up to this amount from the German arms industry. According to "Source of Aid 3" section 7, €5.12 billion are provided for 2023. We substract the €1.88 billion which were already committed in January 2023, therefore using €3.24 billion for this entry. As commitment month, we use the date of "Source of Aid 2", April 2024. "Source of Aid 3" provides the specific items and quantities in this category. </t>
  </si>
  <si>
    <t xml:space="preserve">https://www.bundesregierung.de/breg-en/news/military-support-ukraine-2054992 </t>
  </si>
  <si>
    <t>DEM1 records German military commitments that are financed by the so-called "Ertüchtigungshilfe." The Ukrainian government can buy weapons up to this amount from the German arms industry. According to "Source of Aid 1" section 7, this fund amounts to a total of €6.75 billion in total (€1.63 billion in 2022, €5.12 billion in 2023). "Source of Aid 2" provides the specific items and quantities in this category.</t>
  </si>
  <si>
    <t>AdBlue (in tons)</t>
  </si>
  <si>
    <t>anti-drone cannon</t>
  </si>
  <si>
    <t>anti-drone sensors</t>
  </si>
  <si>
    <t>Bergepanzer 2</t>
  </si>
  <si>
    <t>BIBER bridge-laying tank</t>
  </si>
  <si>
    <t>border protection vehicle</t>
  </si>
  <si>
    <t>communications electronic scanner/jammer system</t>
  </si>
  <si>
    <t>counter battery radar system COBRA</t>
  </si>
  <si>
    <t>Diesel and gasoline</t>
  </si>
  <si>
    <t>electronic anti-drone device</t>
  </si>
  <si>
    <t>field glasses</t>
  </si>
  <si>
    <t>field hospital</t>
  </si>
  <si>
    <t>first aid kit</t>
  </si>
  <si>
    <t>frequency range extensions for anti-drone devices</t>
  </si>
  <si>
    <t>heavy and medium bridge system</t>
  </si>
  <si>
    <t>heavy duty trailer truck</t>
  </si>
  <si>
    <t>high frequency unit with equipment</t>
  </si>
  <si>
    <t>HMMWV</t>
  </si>
  <si>
    <t>Iris-T SLM air defence system</t>
  </si>
  <si>
    <t>Iris-T SLM missile</t>
  </si>
  <si>
    <t>laser target designator</t>
  </si>
  <si>
    <t xml:space="preserve">Forklift </t>
  </si>
  <si>
    <t>M113's refitting (collab with Danemark)</t>
  </si>
  <si>
    <t>medical gauzes</t>
  </si>
  <si>
    <t>MiG-29 spare parts</t>
  </si>
  <si>
    <t>mine clearing tank</t>
  </si>
  <si>
    <t>mobile ground surveillance radar</t>
  </si>
  <si>
    <t>mobile, remote controlled and protected mine clearing system</t>
  </si>
  <si>
    <t>pick-up</t>
  </si>
  <si>
    <t>proctected vehicle</t>
  </si>
  <si>
    <t>radio jammer</t>
  </si>
  <si>
    <t>reconnaissance drone</t>
  </si>
  <si>
    <t>RGW 90 Matador man-portable anti-tank weapon</t>
  </si>
  <si>
    <t>rocket launcher 70mm on pick-up trucks</t>
  </si>
  <si>
    <t>rocket for 70mm rocket launchers</t>
  </si>
  <si>
    <t>40mm ammunition</t>
  </si>
  <si>
    <t>Gepard rapid-fire armored vehicle</t>
  </si>
  <si>
    <t>semi-trailer</t>
  </si>
  <si>
    <t>M1070 Oshkosh tank transporter tractor</t>
  </si>
  <si>
    <t>thermal imaging camera</t>
  </si>
  <si>
    <t>tractor</t>
  </si>
  <si>
    <t>trailer</t>
  </si>
  <si>
    <t>truck tractor train</t>
  </si>
  <si>
    <t>unmanned surface vessel</t>
  </si>
  <si>
    <t xml:space="preserve">tracked and remote controlled infantry vehicles for support tasks </t>
  </si>
  <si>
    <t>drone detection system</t>
  </si>
  <si>
    <t>Mi-24 spare parts</t>
  </si>
  <si>
    <t xml:space="preserve">Gepard ammunition </t>
  </si>
  <si>
    <t>RCH-155 self propelled howitzer</t>
  </si>
  <si>
    <t>hangar tent</t>
  </si>
  <si>
    <t>load handling truck 8x6</t>
  </si>
  <si>
    <t xml:space="preserve">infantry fighting vehicle MARDER </t>
  </si>
  <si>
    <t>infantry fighting vehicle MARDER munition</t>
  </si>
  <si>
    <t>air surveillance radar</t>
  </si>
  <si>
    <t>mobile antenna mast system</t>
  </si>
  <si>
    <t>Laser target designator</t>
  </si>
  <si>
    <t>Pick-up</t>
  </si>
  <si>
    <t>Zetro truck</t>
  </si>
  <si>
    <t>roll off container</t>
  </si>
  <si>
    <t>Pionierpanzer Dachs</t>
  </si>
  <si>
    <t>until 3/11/2023</t>
  </si>
  <si>
    <t>Pistol SFP9</t>
  </si>
  <si>
    <t>Iris-T SLS air defence system</t>
  </si>
  <si>
    <t>Iris-T SLS missile</t>
  </si>
  <si>
    <t>Bridge for BIBER bridge-laying tank</t>
  </si>
  <si>
    <t>Ground surveillance radar</t>
  </si>
  <si>
    <t>Satcom surveillance system</t>
  </si>
  <si>
    <t>Portable light system</t>
  </si>
  <si>
    <t>https://www.bundesregierung.de/breg-en/news/military-support-ukraine-2055017</t>
  </si>
  <si>
    <t>Tank truck</t>
  </si>
  <si>
    <t>https://www.bundesregierung.de/breg-en/news/military-support-ukraine-2055056</t>
  </si>
  <si>
    <t>MG5 machine gun</t>
  </si>
  <si>
    <t>GMG grenade launcher</t>
  </si>
  <si>
    <t>Bandvagn 206 tracked all-terrain vehicles</t>
  </si>
  <si>
    <t>BATT UMG</t>
  </si>
  <si>
    <t xml:space="preserve">https://www.pravda.com.ua/eng/news/2023/06/2/7405035/ </t>
  </si>
  <si>
    <t xml:space="preserve">https://www.bild.de/politik/ausland/politik-ausland/ukraine-krieg-deutschland-liefert-der-ukraine-66-panzerfahrzeuge-84158658.bild.html </t>
  </si>
  <si>
    <t>DEM2</t>
  </si>
  <si>
    <t xml:space="preserve">DEM2 records German in-kind military commitments from the Bundeswehr stocks up until 5/31/2023. According to "Source of Aid 1" section 7, this amounts to 600 million EUR. "Source of Aid 2" provides the specific items and quantities in this category. </t>
  </si>
  <si>
    <t>https://www.bundesregierung.de/breg-en/news/military-support-ukraine-2055135</t>
  </si>
  <si>
    <t>load-handling truck 8x8</t>
  </si>
  <si>
    <t>wool blanket</t>
  </si>
  <si>
    <t>MRAP vehicle DINGO</t>
  </si>
  <si>
    <t>Ammunition for MARS II</t>
  </si>
  <si>
    <t>spare parts for heavy machine gun M2</t>
  </si>
  <si>
    <t>MG3 for Armored recovery vehicle</t>
  </si>
  <si>
    <t>Mars II</t>
  </si>
  <si>
    <t>Panzerhaubitze 2000</t>
  </si>
  <si>
    <t>military tent</t>
  </si>
  <si>
    <t>winter jacket</t>
  </si>
  <si>
    <t>winter trouser</t>
  </si>
  <si>
    <t>winter hat</t>
  </si>
  <si>
    <t>pre-packaged military meals ready</t>
  </si>
  <si>
    <t>GEPARD training ammunition round</t>
  </si>
  <si>
    <t>Gepard ammunition round</t>
  </si>
  <si>
    <t>Panzerfaust 3</t>
  </si>
  <si>
    <t>Panzerfaust 3 firing device</t>
  </si>
  <si>
    <t>STRELA man portable air defense system</t>
  </si>
  <si>
    <t>Bunker buster missile (Bunkerfaust)</t>
  </si>
  <si>
    <t>MG3</t>
  </si>
  <si>
    <t>Spare barrels and breechblocks for MG3</t>
  </si>
  <si>
    <t>explosive charge</t>
  </si>
  <si>
    <t>detonating cord</t>
  </si>
  <si>
    <t>detonator</t>
  </si>
  <si>
    <t>auto-injector device</t>
  </si>
  <si>
    <t>combat helmet</t>
  </si>
  <si>
    <t>palette military clothing</t>
  </si>
  <si>
    <t>palette material for explosive ordnance disposal</t>
  </si>
  <si>
    <t>hospital bed</t>
  </si>
  <si>
    <t>palette medical material</t>
  </si>
  <si>
    <t>surgical light</t>
  </si>
  <si>
    <t>protective clothing</t>
  </si>
  <si>
    <t>surgical mask</t>
  </si>
  <si>
    <t>radio frequency system</t>
  </si>
  <si>
    <t>field telephone</t>
  </si>
  <si>
    <t>cable reels and carrying straps</t>
  </si>
  <si>
    <t>medical material</t>
  </si>
  <si>
    <t>mobile decontamination vehicle</t>
  </si>
  <si>
    <t>load handling trucks 15t</t>
  </si>
  <si>
    <t>mobile reconnaissance system on vehicles</t>
  </si>
  <si>
    <t>vehicle decontamination system</t>
  </si>
  <si>
    <t>man-portable anti-tank weapon</t>
  </si>
  <si>
    <t>decontamination material</t>
  </si>
  <si>
    <t>fridge for medical material</t>
  </si>
  <si>
    <t>Patriot air defense battery</t>
  </si>
  <si>
    <t>Patriot air defense munition</t>
  </si>
  <si>
    <t>Leopard-2A6</t>
  </si>
  <si>
    <t>Leopard-2A6 ammunition</t>
  </si>
  <si>
    <t>Bergepanzer 3</t>
  </si>
  <si>
    <t>GEPARD ammunition round</t>
  </si>
  <si>
    <t>winter camouflage net</t>
  </si>
  <si>
    <t xml:space="preserve">https://www.tagesschau.de/ausland/europa/ukraine-leopard-kampfpanzer-101.html </t>
  </si>
  <si>
    <t>until 3/25/2023</t>
  </si>
  <si>
    <t>spare parts for tanks and Armored vehicles</t>
  </si>
  <si>
    <t>until 3/31/2023</t>
  </si>
  <si>
    <t>Tourniquet</t>
  </si>
  <si>
    <t>Field ration</t>
  </si>
  <si>
    <t>DEM3</t>
  </si>
  <si>
    <t xml:space="preserve">Weapons </t>
  </si>
  <si>
    <t xml:space="preserve">Denmark, Norway and Germany jointly finance a Slovak donation of 16 ZUZANA-2 self-propelled howitzers. Total cost is 92 million EUR. The three countries split the cost equally, so this equals approximately 30.6 million EUR per country. We also assign each country 5 howitzers since it is impossible to divide 16 equally. Since Germany lists the howitzers in its military aid overview (basis for Donation ID DEM1) we do not report any additional commitment for Germany here. </t>
  </si>
  <si>
    <t>https://www.regjeringen.no/en/aktuelt/statement-by-the-norwegian-german-slovakian-and-danish-ministers-of-defence/id2930329/</t>
  </si>
  <si>
    <t>https://www.tagesschau.de/inland/bericht-aus-berlin-lambrecht-haubitzen-101.html</t>
  </si>
  <si>
    <t>https://www.army-technology.com/news/germany-norway-denmark-zuzana2-ukraine/</t>
  </si>
  <si>
    <t>https://www.thedefensepost.com/2022/10/03/germany-denmark-norway-howitzers-ukraine/</t>
  </si>
  <si>
    <t>DEM6</t>
  </si>
  <si>
    <t>Military aid from the German Federal Ministry of Defense. General support approx. € 50 million (including official assistance, transport of wounded, and training).</t>
  </si>
  <si>
    <t>DEM7</t>
  </si>
  <si>
    <t>Military aid from the German Federal Foreign Office. First package for strengthening the Ukrainian Armed Forces and Security Forces, including vehicles, fuel, and in-kind donations - 36 EUR million</t>
  </si>
  <si>
    <t>DEM8</t>
  </si>
  <si>
    <t xml:space="preserve">Military aid from the German Federal Foreign Office. Second package for support in the area of humanitarian demining through NGOs, including hazard awareness, mine, and ordnance clearance, mapping of exposures, and Support to UKR civil protection through training and equipment - 26.3 EUR million.  </t>
  </si>
  <si>
    <t>https://www.swr.de/swraktuell/baden-wuerttemberg/tuebingen/ausbildung-ukrainer-minenrauemer-100.html</t>
  </si>
  <si>
    <t>DEM9</t>
  </si>
  <si>
    <t>According to Source of Aid 1 (page 4) and Source of Aid 2 (page 4), humanitarian aid committed by the Federal Foreign Office increased by € 56.13 million between 2/24/2023 and 4/24/2023. Out of this, € 40 million go to the NATO CAP TF for Ukraine, the rest (€ 16.13 million) is listed as humanitarian aid in DEH25.</t>
  </si>
  <si>
    <t>DEF1</t>
  </si>
  <si>
    <t>The German government provides small and medium-sized Ukrainian enterprises with credit financing in the total amount of 150 million euros.</t>
  </si>
  <si>
    <t>https://www.bmwk.de/Redaktion/DE/Pressemitteilungen/2022/03/20220323-ukr-bundesregierung-fordert-kredite-an-kleine-und-mittelgrosse-unternehmen-in-der-ukraine.html</t>
  </si>
  <si>
    <t>https://www.mof.gov.ua/uk/news/ukraina_otrimaie_vid_kfw_150_mln_ievro_dlia_finansuvannia_sotsialnikh_vidatkiv-3453</t>
  </si>
  <si>
    <t>DEF2</t>
  </si>
  <si>
    <t>Additional loan to the already existing 150 million reported in DEF1. The financial assistance is in addition to the humanitarian assistance worth 125 million EUR reported in DEH3 and the intended 140 million EUR in development aid (which we do not include since it refers an intention and not a commitment).</t>
  </si>
  <si>
    <t>https://interfax.com.ua/news/general/829945.html</t>
  </si>
  <si>
    <t>https://www.mof.gov.ua/uk/news/ukraina_otrimala_vid_kreditnoi_ustanovi_dlia_vidbudovi_kfw_150_mln_ievro_dlia_finansuvannia_sotsialnikh_vidatkiv-3470</t>
  </si>
  <si>
    <t>DEF3</t>
  </si>
  <si>
    <t>Contribution of 1 billion EUR in grants, announced by the German Minister of Defence during the G7 conference on May 19, 2022. We do not report the 150 million EUR loan reported in "Source of Aid 2", since it is the last tranche of a credit line authorized in 2015. Based on Source of aid 3, we assume it was provided through IMF.</t>
  </si>
  <si>
    <t>https://www.bloomberg.com/news/articles/2022-05-19/germany-to-contribute-1-billion-euros-of-grants-to-ukraine</t>
  </si>
  <si>
    <t>https://www.sueddeutsche.de/politik/g7-deutschland-gibt-ukraine-rund-eine-milliarde-euro-dpa.urn-newsml-dpa-com-20090101-220519-99-355600</t>
  </si>
  <si>
    <t>ELH1</t>
  </si>
  <si>
    <t>Greece</t>
  </si>
  <si>
    <t>Medical supplies. No further information on the shipment has been disclosed.</t>
  </si>
  <si>
    <t>https://www.mod.mil.gr/en/deputy-defence-minister-nikolaos-chardalias-accompanies-a-humanitarian-aid-cargo/#:~:text=humanitarian%20aid%20with-,medical%2C%20pharmaceutical%20and%20first%20aid%20material,-.%20The%20humanitarian%20aid</t>
  </si>
  <si>
    <t> https://greekcitytimes.com/2022/02/28/greece-send-military-medical-ukraine/</t>
  </si>
  <si>
    <t>ELH2</t>
  </si>
  <si>
    <t>The Prime Minister announced that Greece would be ready to rebuild the maternity hospital in Mariupol.</t>
  </si>
  <si>
    <t>https://twitter.com/PrimeministerGR/status/1504800257447706626?ref_src=twsrc%5Etfw%7Ctwcamp%5Etweetembed%7Ctwterm%5E1504800257447706626%7Ctwgr%5E%7Ctwcon%5Es1_&amp;ref_url=https%3A%2F%2Fwww.keeptalkinggreece.com%2F2022%2F03%2F18%2Fgreece-rebuild-maternity-hospital-mariupol%2F</t>
  </si>
  <si>
    <t>https://www.keeptalkinggreece.com/2022/03/18/greece-rebuild-maternity-hospital-mariupol/</t>
  </si>
  <si>
    <t>ELH3</t>
  </si>
  <si>
    <t xml:space="preserve">A humanitarian aid package. No further information on the shipment has been disclosed. Source of Aid 1 reports the date of this package, but no further information. </t>
  </si>
  <si>
    <t>https://hellenicaid.mfa.gr/en/humanitarian-aid-missions-to-ukraine-through-the-european-civil-protection-mechanism/</t>
  </si>
  <si>
    <t>https://cyprus-digest.com/nikos-dendias-arrives-in-odessa-as-head-of-a-humanitarian-mission/</t>
  </si>
  <si>
    <t>ELH4</t>
  </si>
  <si>
    <t>The package includes food, hygienic and pharmaceutical products of unknown amounts. "Source of Aid 1" refers directly to ELH2 (another package from the government as of April 3). Note that the source also mentions additional packages from the Hellenic Red Cross. We do not consider these shipments from the Hellenic Red Cross since they consist of private donations.</t>
  </si>
  <si>
    <t>https://www.mfa.gr/en/current-affairs/statements-speeches/delivery-of-greek-humanitarian-aid-to-the-ukrainian-people-including-diaspora-greeks-in-odessa-11042022-and-departure-of-the-4th-humanitarian-mission-of-the-hellenic-red-cross-to-ukraine-odessa-12042022.html</t>
  </si>
  <si>
    <t>https://greekreporter.com/2022/04/13/humanitarian-aid-ukraine-greece/</t>
  </si>
  <si>
    <t>ELM1</t>
  </si>
  <si>
    <t>until 3/15/2022</t>
  </si>
  <si>
    <t>Lethal weapons, in particular assault rifles and anti-tank missiles. "Source of Aid 1" also reports Greece's contribution to NATO, which is not included in our dataset because it is not a direct contribution to Ukraine.</t>
  </si>
  <si>
    <t>AK-47-type assault rifle</t>
  </si>
  <si>
    <t>https://www.ekathimerini.com/news/1179620/greek-role-within-nato-is-upgraded/</t>
  </si>
  <si>
    <t>https://twitter.com/visegrad24/status/1504145180647170060?cxt=HHwWmIC58dGE5t8pAAAA</t>
  </si>
  <si>
    <t>https://tass.com/world/1439267?utm_source=google.com&amp;utm_medium=organic&amp;utm_campaign=google.com&amp;utm_referrer=google.com</t>
  </si>
  <si>
    <t>Soviet-made RPG-18 anti-tank missile launcher</t>
  </si>
  <si>
    <t>https://www.thenationalherald.com/russias-ukraine-invasion-sees-greece-taking-bigger-nato-role/#:~:text=Greece%20sent%20Ukraine%20military%20equipment%20compatible%20with%20that,rocket%20launchers%2C%20aligning%20itself%20with%20NATO%E2%80%99s%20indirect%20assistance.?msclkid=6dac7726ab8911ec980d9386f90d3180</t>
  </si>
  <si>
    <t>missile for Czech-made RM-70 multiple rocket launcher</t>
  </si>
  <si>
    <t>ELM2</t>
  </si>
  <si>
    <t xml:space="preserve">U.S. minister Austin announced during a meeting of the Ukraine Contact Group (a meeting discussing the delivery of weapons and equipment to Ukraine) that Greece would provide more weapons to Ukraine, without giving more information ("Source of Aid 1"). In the next couple of days, media reports ("Sources of Aid 2 &amp; 3") specified the total package of new weapons and Source of Aid 2 clarifies on top of that, that these packages have already been sent to Ukraine. </t>
  </si>
  <si>
    <t>73mm missile</t>
  </si>
  <si>
    <t>https://www.euractiv.com/section/politics/short_news/greece-sends-more-weapons-to-ukraine-angering-the-opposition/</t>
  </si>
  <si>
    <t>https://www.armyrecognition.com/defense_news_june_2022_global_security_army_industry/greece_to_donate_bmp-1p_tracked_armored_ifvs_to_ukraine_in_exchange_for_german_marder_1a3/1a5_ifvs.html</t>
  </si>
  <si>
    <t>https://twitter.com/visegrad24/status/1533567105110507521</t>
  </si>
  <si>
    <t>7.62mm cartridge</t>
  </si>
  <si>
    <t>Stinger missile</t>
  </si>
  <si>
    <t>ELM3</t>
  </si>
  <si>
    <t xml:space="preserve">Transfer of 40 BMP-1 IFVs from Greece to Ukraine and replacement with 40 MARDER IFVs from Germany. Despite reports, the earlier announced 122 BMP-1s have not been committed and delivered due to Germanys interference which is why the number of committed BMP-1 from Greece remains at 40 from this donation. </t>
  </si>
  <si>
    <t>BMP-1</t>
  </si>
  <si>
    <t>https://www.mod.mil.gr/en/transfer-of-40-bmp-1-ifvs-from-greece-to-ukraine/</t>
  </si>
  <si>
    <t>https://neoskosmos.com/en/2022/09/19/news/greece/greek-tanks-on-route-to-ukraine/</t>
  </si>
  <si>
    <t>https://www.facebook.com/UkraineMFA/videos/667551908260597/?extid=NS-UNK-UNK-UNK-IOS_GK0T-GK1C</t>
  </si>
  <si>
    <t>ELM4</t>
  </si>
  <si>
    <t>At the the Conference of the Contact Group for Defense in Ukraine, Greek Minister of National Defense, Mr. Nikolaos Panagiotopoulos, outlined the security assistance his country has provided to Ukraine, including ammunition and 20 BMP-1 IFVs</t>
  </si>
  <si>
    <t>https://www.mod.mil.gr/symmetochi-yetha-nikolaoy-panagiotopoyloy-sti-synantisi-ukraine-defence-contact-group/</t>
  </si>
  <si>
    <t>https://greekcitytimes.com/2023/02/15/greece-Armored-vehicles-ukraine/</t>
  </si>
  <si>
    <t>https://english.nv.ua/nation/greece-hands-over-armored-vehicles-and-ammunition-to-ukraine-news-50304298.html</t>
  </si>
  <si>
    <t>https://menafn.com/1105574890/Greece-Hands-Over-Ammunition-20-Ifvs-To-Ukraine</t>
  </si>
  <si>
    <t>ELM5</t>
  </si>
  <si>
    <t xml:space="preserve">At a meeting between the Ukrainian and Greek Ministers of Defense, Greece promised more artillery and small arms ammunition as well as additional BMP-1 infantry fighting vehicles. The country also provides access to Greek medical facilities for wounded military personnel and training for tank operators and special forces units. </t>
  </si>
  <si>
    <t>https://www.mod.mil.gr/en/defence-minister-nikolaos-panagiotopoulos-meets-with-the-minister-of-defence/</t>
  </si>
  <si>
    <t>https://apnews.com/article/greece-ukraine-russia-arms-reznikov-b8255c6473e7f01cced6202af2c073da</t>
  </si>
  <si>
    <t>https://greekreporter.com/2023/04/06/greece-military-support-ukraine/</t>
  </si>
  <si>
    <t>https://www.armyrecognition.com/defense_news_april_2023_global_security_army_industry/greece_to_supply_ukraine_with_more_bmp-1_ifvs_and_artillery_ammunition.html</t>
  </si>
  <si>
    <t>Small arms and ammunition</t>
  </si>
  <si>
    <t>Training</t>
  </si>
  <si>
    <t>HUH1</t>
  </si>
  <si>
    <t>Hungary</t>
  </si>
  <si>
    <t>First necessity equipment, gasoline, and diesel. The 1 million EUR directed to the Ecumenical Humanitarian Organization and reported by "Source of Aid 1" is not included in the dataset because it is not a sovereign to sovereign flow. Aid to refugees is not considered either since it is not directed to Ukraine.</t>
  </si>
  <si>
    <t>liter of diesel H</t>
  </si>
  <si>
    <t>https://telex.hu/kulfold/2022/02/27/magyarorszag-100-ezer-liter-uzemanyagot-adomanyozott-karpataljanak</t>
  </si>
  <si>
    <t>https://www.karpatinfo.net/2022/2/27/szijjarto-magyarorszag-szerepet-vallal-humanitarius-katasztrofa-enyhiteseben-200055995</t>
  </si>
  <si>
    <t>liter of fuel H</t>
  </si>
  <si>
    <t>HUH2</t>
  </si>
  <si>
    <t>Medical supplies listed in the middle of "Source of Aid 1" (and in "Source of Aid 2"). "Source of Aid 1" and "Source of Aid 2" list also the aid package reported in HUH3.</t>
  </si>
  <si>
    <t>ventilator</t>
  </si>
  <si>
    <t>https://abouthungary.hu/news-in-brief/hungary-to-make-another-shipment-of-humanitarian-aid-to-ukraine?msclkid=ca53d542ab8b11ec95fbf81dabb45ae9</t>
  </si>
  <si>
    <t>https://dailynewshungary.com/hungary-to-send-shipment-of-medical-equipment-to-ukraine/</t>
  </si>
  <si>
    <t>patient monitor</t>
  </si>
  <si>
    <t>central monitor</t>
  </si>
  <si>
    <t>infusion pump and blood bag</t>
  </si>
  <si>
    <t>HUH3</t>
  </si>
  <si>
    <t>The aid consists of clamps, scissors, instrument trays, infusion sets, bandages, surgical gloves and medicines. "Source of Aid 1" and "Source of Aid 2" list also the aid package reported in HUH2.</t>
  </si>
  <si>
    <t>https://bbj.hu/politics/foreign-affairs/ukraine-crisis/ukraine-crisis-hungary-to-send-additional-medical-supplies-to-ukraine</t>
  </si>
  <si>
    <t>HUH4</t>
  </si>
  <si>
    <t>Humanitarian assistance to the municipality of Berehove (Beregszász), comprising 66 million HUF to help in maintaining the water supply.</t>
  </si>
  <si>
    <t>HUF</t>
  </si>
  <si>
    <t>https://abouthungary.hu/news-in-brief/government-donates-huf-66-million-to-help-berehove-water-supply</t>
  </si>
  <si>
    <t>https://hirado.hu/2022/03/22/pp_mini/szijjarto-peter-segitjuk-beregszasz-vizellatasanak-biztositasat</t>
  </si>
  <si>
    <t>https://hungarytoday.hu/szijjarto-beregszasz-water-supply/</t>
  </si>
  <si>
    <t>HUH5</t>
  </si>
  <si>
    <t>until 4/20/2022</t>
  </si>
  <si>
    <t xml:space="preserve">Hungary has so far sent 1,300 tons of humanitarian aid (a major part is mentioned in HUH2). But here, the source mentions for the first time a specific amount. We apply as an estimate our price for "ton of necessity items", since the package includes food, medicine, medical equipment and clothes. We then substract the previously calculated sum of HUH1 (since we could quantify this package) so that the remaining sum captures all of the so far unreported humanitarian packages. Moreover, "Source of Aid 1" mentions the package of 100,000 liter fuel ("HUH1") delivered since the war began. </t>
  </si>
  <si>
    <t>ton of necessity items</t>
  </si>
  <si>
    <t>https://abouthungary.hu/news-in-brief/state-secretary-hungary-has-helped-hundreds-of-thousands-of-refugees</t>
  </si>
  <si>
    <t>https://dailynewshungary.com/hungary-can-be-of-far-greater-help-if-it-remains-an-island-of-peace-together-with-transcarpathia-says-official/</t>
  </si>
  <si>
    <t>HUH6</t>
  </si>
  <si>
    <t>The Department of Human Resources offered a truckload of medicines worth 210 million HUF (Source of Aid 1). Moreover, five trucks arrived in Ukraine, with 60 tons of durable food and toiletrie worth 52 million HUF (Source of Aid 2). In total, the aid therefore amounts to 262 million HUF.</t>
  </si>
  <si>
    <t>https://abouthungary.hu/news-in-brief/hungarian-government-sends-huf-210-million-of-medical-aid-to-ukraine</t>
  </si>
  <si>
    <t>https://life.karpat.in.ua/?p=101279&amp;lang=hu</t>
  </si>
  <si>
    <t>https://hungarytoday.hu/govt-sends-medical-aid-worth-huf-210-million-to-ukraine/</t>
  </si>
  <si>
    <t>HUH7</t>
  </si>
  <si>
    <t>Construction of a hospital and a school in Kyiv or any other Ukrainian city, and delivery of mobile houses to host internally displaced people in Ukraine, scholarhsips for Ukrainian students, treatment of wounded Ukrainians in Hungarian hospitals. All the aid amount to 37 million EUR and since we cannot disentangle the direct aid to Ukraine from the one offered to refugees (e.g the scholarships), we include here the entire sum. The assistance was announced at the International Donors' Conference on May 5, 2022 (see 1:36:50 in "Source of Aid 1").</t>
  </si>
  <si>
    <t>hospital</t>
  </si>
  <si>
    <t>https://abouthungary.hu/news-in-brief/fm-hungary-offers-ukraine-aid-worth-37-million-euros</t>
  </si>
  <si>
    <t>https://hungarytoday.hu/hungary-offers-eur-37-m-in-aid-to-ukraine/</t>
  </si>
  <si>
    <t>mobile house</t>
  </si>
  <si>
    <t>HUH8</t>
  </si>
  <si>
    <t xml:space="preserve">Hungary provides 382 million HUF to help with the renovation of a kindergarten in Ukraine    </t>
  </si>
  <si>
    <t>https://hirado.hu/kulfold/cikk/2022/11/10/felujitott-ovodat-adott-at-magyar-levente-karpataljan</t>
  </si>
  <si>
    <t>https://hungarytoday.hu/hungary-extends-humanitarian-aid-for-ukraine-to-education/</t>
  </si>
  <si>
    <t>HUH9</t>
  </si>
  <si>
    <t xml:space="preserve">At the Ukraine Solidarity Conference in Paris on 13 December, Hungary announces a new humanitarian assistance package that funds projects related to energy, water and health infrastrutcture networks. </t>
  </si>
  <si>
    <t>https://kormany.hu/hirek/sztaray-peter-allamtitkar-reszvetele-az-ukrajna-szolidaritasi-nemzetkozi-konferencian</t>
  </si>
  <si>
    <t>INH1</t>
  </si>
  <si>
    <t>India</t>
  </si>
  <si>
    <t>until 5/7/2022</t>
  </si>
  <si>
    <t xml:space="preserve">Until May 7, 2022, India has provided 187 tons of medical and relief items to hospitals in Ukraine. Source of Aid 3 reports 230 tons of medical equipment. However, this includes private donations which we do not consider. Equally, the 7 tons of humanitarian aid mentioned in Source of Aid 4 are part of the 187 tons and will therefore not be reported seperately. </t>
  </si>
  <si>
    <t>https://moz.gov.ua/article/news/ukraina-otrimala-gumanitarnij-vantazh-vid-posolstva-indii</t>
  </si>
  <si>
    <t>https://www.ukrinform.net/rubric-society/3477447-india-donates-total-of-187-tonnes-of-humanitarian-aid-to-ukrainian-hospitals.html</t>
  </si>
  <si>
    <t>https://www.thehindu.com/news/national/ukraine-expects-india-to-participate-actively-in-post-war-construction/article65491977.ece</t>
  </si>
  <si>
    <t>https://www.hindustantimes.com/india-news/india-provides-7-725-kg-of-humanitarian-aid-to-ukraine-101651854620406.html</t>
  </si>
  <si>
    <t>INH2</t>
  </si>
  <si>
    <t>According to source of aid 1, India sent its 12th consignment of humanitarian aid to Ukraine on 12 Sep 2022. Source of aid 2 mentions that the consignment contains 7,725 kilograms of humanitarian aid comprising essential medicines and medical equipment. 7,725 kg translates into 7.725 tonnes</t>
  </si>
  <si>
    <t>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t>
  </si>
  <si>
    <t>https://www.livemint.com/news/world/india-sends-7-725-kilograms-of-humanitarian-aid-to-ukraine-amid-war-read-here-11662994122487.html</t>
  </si>
  <si>
    <t>https://timesofindia.indiatimes.com/india/india-hands-over-12th-consignment-of-humanitarian-aid-to-ukraine/articleshow/94157783.cms</t>
  </si>
  <si>
    <t>https://theprint.in/world/india-sends-7725-kilograms-of-humanitarian-aid-to-ukraine/1125936/</t>
  </si>
  <si>
    <t>INH3</t>
  </si>
  <si>
    <t>According to source of aid 3, India will send school buses to Ukraine following Zelenskyy's letter seeking help.</t>
  </si>
  <si>
    <t>school bus</t>
  </si>
  <si>
    <t>https://www.wionews.com/india-news/india-to-send-school-buses-to-ukraine-as-part-of-additional-humanitarian-aid-582114</t>
  </si>
  <si>
    <t>https://www.aljazeera.com/news/2023/4/12/india-says-ukraine-seeking-medical-war-recovery-assistance</t>
  </si>
  <si>
    <t>https://news.abplive.com/news/world/india-to-send-school-buses-among-other-humanitarian-help-to-ukraine-as-zelenskyy-writes-to-modi-amid-descruction-due-to-russian-attacks-russia-ukraine-war-foreign-secretary-meenakshi-lekhi-sanjay-verma-1595015</t>
  </si>
  <si>
    <t>IEH1</t>
  </si>
  <si>
    <t>Ireland</t>
  </si>
  <si>
    <t>According to Source of Aid 2, the government announced the dispatchment of humanitarian assistance worth 10 million EUR without providing further information regarding the shipment. According to sopurce of aid 2, this package was finally worth € 20 million. € 1 million has been earmarked for UNHCR’s response to refugees in Poland and Moldova respectively. Therefore, we add € 19 million aid for Ukraine.</t>
  </si>
  <si>
    <t>https://www.oireachtas.ie/en/debates/question/2023-01-31/102/</t>
  </si>
  <si>
    <t>https://www.irishtimes.com/news/ireland/irish-news/irish-government-provides-10-million-in-humanitarian-support-for-ukraine-1.4810982#:~:text=The%20Irish%20government%20is%20to%20provide%20%E2%82%AC10%20million,to%20coordinate%20a%20response%20to%20the%20Russian%20invasion.</t>
  </si>
  <si>
    <t>IEH2</t>
  </si>
  <si>
    <t>4,000 blood bags. The aid package falls within the framework of the EU Civil Protection Mechanism (EUCPM). "Source of Aid 1" and "Source of Aid 2" list also the aid package reported in IEH3. "Source of Aid 2" reports a total of 20 million EUR for all aid allocated to people in Ukraine and to refugees who have fled to neighboring countries. We don't directly report this value because it is partially allocated to countries other than Ukraine, and partially covered in IEH1.</t>
  </si>
  <si>
    <t>blood bag</t>
  </si>
  <si>
    <t>https://www.gov.ie/en/press-release/b80b7-government-ministers-announce-irish-support-for-ukrainian-health-service/?msclkid=07ab0901b05a11ec8239ca04bfcdbb9d</t>
  </si>
  <si>
    <t>https://www.irishtimes.com/news/health/thousands-of-blood-bags-and-protective-suits-among-irish-aid-sent-to-ukraine-1.4824403</t>
  </si>
  <si>
    <t>IEH3</t>
  </si>
  <si>
    <t>Medical supplies. The assistance falls within the framework of the EU Civil Protection Mechanism (EUCPM). "Source of Aid 1" and "Source of Aid 2" list also the aid package reported in IEH2. "Source of Aid 2" reports a total of 20 million EUR for all aid allocated to people in Ukraine and to refugees who have fled to neighboring countries. We don't directly report this value because it is partially allocated to countries other than Ukraine, and partially covered in IEH1.</t>
  </si>
  <si>
    <t>bio protection suit</t>
  </si>
  <si>
    <t>IEH4</t>
  </si>
  <si>
    <t>until 3/26/2022</t>
  </si>
  <si>
    <t xml:space="preserve">"Source of Aid 1" mentions that beside medical consumables and personal protective equipment (listed in IEH5, IEH6), the government has sent 9 ambulances. </t>
  </si>
  <si>
    <t>https://www.gov.ie/en/press-release/2e59c-update-on-medical-humanitarian-support-to-ukraine/</t>
  </si>
  <si>
    <t>IEH5</t>
  </si>
  <si>
    <t>In total, four shipments were sent to Ukraine from March 26, to April 1. "Source of Aid 1" mentions that the these shipments include over 3,600 items comprising critical care devices including life support, diagnostic, therapeutic and infant care together with a range of consumable devices. However, due to the unknown amount, we cannot further quantify this aid package.</t>
  </si>
  <si>
    <t>IEH6</t>
  </si>
  <si>
    <t>In addition to the shipments mentioned in IEH4, another delivery of 18 pallets of pharmaceutical items was sent to Ukraine.</t>
  </si>
  <si>
    <t>IEH8</t>
  </si>
  <si>
    <t>Grant provided by the Ministry of Foreign Affairs to an Irish charity in order to open a center providing psychological support and sexual health care in Ukraine.</t>
  </si>
  <si>
    <t>https://www.irishmirror.ie/news/irish-news/politics/goal-opens-new-support-offices-27021322</t>
  </si>
  <si>
    <t>IEH9</t>
  </si>
  <si>
    <t xml:space="preserve">Ireland has sent 10 additional ambulances, thus bringing the total value of medical assistance to EUR 4.3 million. Since part of this assistance has already been quantified and defined in IEH2, IEH3, IEH4, IEH5 and IEH6, we substract the quantified amounts from the total EUR 4.3 million mentioned in the source. Thus, the monetary value equals to EUR 2.197 million. Moreover, Ireland has contributed EUR 20 million through UN agencies and the Red Cross in our dataset. </t>
  </si>
  <si>
    <t>https://www.gov.ie/en/press-release/e6e61-ireland-donates-ambulances-and-other-life-saving-equipment-to-ukraine/#:~:text=%E2%80%9CIreland%20is%20sending%20another%20significant,the%20wider%20coordinated%20EU%20effort.</t>
  </si>
  <si>
    <t xml:space="preserve">https://www.independent.ie/irish-news/news/10-hse-ambulances-sent-to-ukraine-to-help-in-humanitarian-effort-41789730.html </t>
  </si>
  <si>
    <t>IEH10</t>
  </si>
  <si>
    <t>The Irish legislation included €75 million to address humanitarian and other needs in Ukraine, neighbouring countries and the global response to the crisis. This will include €32 million in direct support to Ukraine and its neighbours. Unless we do not know the exact amount provided for Ukraine, we use € 32 million for bilateral aid.</t>
  </si>
  <si>
    <t>https://www.gov.ie/en/press-release/20cc2-minister-mcgrath-to-legislate-for-irelands-contributions-to-key-funding-programmes-for-ukraine/#:~:text=The%20estimated%20total%20value%20of,global%20response%20to%20the%20crisis.</t>
  </si>
  <si>
    <t>https://www.rte.ie/news/budget-2023/2022/0927/1325790-budget-2023-ukraine/</t>
  </si>
  <si>
    <t>IEH11</t>
  </si>
  <si>
    <t>According to Source of Aid 1, total in-kind assistance from the Health Service including hospital supplies, ambulances, blood bags, bio-protection suits and medical protection masks sums up to € 9.4 million. Since IEH9 accounted for € 4.3 million, we add the difference of € 5.1 million.</t>
  </si>
  <si>
    <t>https://www.oireachtas.ie/en/debates/question/2023-03-21/122/</t>
  </si>
  <si>
    <t>IEM1</t>
  </si>
  <si>
    <t>According to Source of Aid 1, Ireland provides training to members of the Ukrainian Armed Forces as part of the European Union Military Assistance Mission in support of Ukraine (EUMAM Ukraine). The Government approved the participation of up to 30 Defence Forces’ personnel and costs are estimated at €2.45m+€1.4m=€3.85m.</t>
  </si>
  <si>
    <t>https://www.oireachtas.ie/en/debates/question/2023-03-23/42/</t>
  </si>
  <si>
    <t>https://www.irishtimes.com/ireland/2023/03/14/defence-forces-training-for-ukraine-military-to-be-sporadic-and-short-term/</t>
  </si>
  <si>
    <t>https://greekcitytimes.com/2023/05/11/irish-military-ukrainian-cyprus/</t>
  </si>
  <si>
    <t>IEF1</t>
  </si>
  <si>
    <t>Ireland has provided €25 million in funding for the Ukrainian Government as budget support. On 9 November 2022, the Government approved the provision by the Department of Foreign Affairs of €30 million in 2022 to provide institutional support for the stability of the governments of Ukraine (€25 million) and Moldova (€5 million) to mitigate the impact of Russia’s war on Ukraine.</t>
  </si>
  <si>
    <t>https://www.dfa.ie/news-and-media/press-releases/press-release-archive/2022/december/minister-coveney-announces-additional-funding-for-ukraine-and-moldova.php</t>
  </si>
  <si>
    <t>ISH1</t>
  </si>
  <si>
    <t>Iceland</t>
  </si>
  <si>
    <t>According to Source of Aid 1, Iceland announced 145 ISK million in humanitarian aid for Ukraine, evenly divided between the International Red Cross (ICRC), the United Nations Coordination Office for Humanitarian Affairs (OCHA) and the United Nations High Commissioner for Refugees (UNHCR).</t>
  </si>
  <si>
    <t>ISK</t>
  </si>
  <si>
    <t>https://web.archive.org/web/20230127053143/https://www.government.is/topics/foreign-affairs/war-in-ukraine/</t>
  </si>
  <si>
    <t>ISH2</t>
  </si>
  <si>
    <t>According to Source of Aid 1, Iceland announced additional humanitarian aid contributions totalling 145 million ISK. The donation is divided between three partners of the Icelandic government: the Icelandic Red Cross - 45 million, the United Nations Population Fund (UNFPA) – 50 million, and the United Nations Children's Fund (UNICEF) – 50 million. We do not the contribution to the Icelandic Red Cross. Therefore, this package includes 100 million ISK.</t>
  </si>
  <si>
    <t xml:space="preserve">https://web.archive.org/web/20230127053143/https://www.government.is/topics/foreign-affairs/war-in-ukraine/ </t>
  </si>
  <si>
    <t>ISH3</t>
  </si>
  <si>
    <t>According to Source of Aid 1, the Prime Minister announced 150 million ISK in additional contributions to humanitarian operations. Of these contributions, a 50 million ISK donation had previously been announced to the United Nations High Commissioner for Refugees (UNHCR) in response to infrastructure pressures in Moldova due to the arrival of refugees from Ukraine. Therefore, we only account for 100 million ISK but use 150 million ISK to calculate the differences being added in further packages.</t>
  </si>
  <si>
    <t>ISH4</t>
  </si>
  <si>
    <t>According to Source of Aid 1, the Prime Minister announced a near doubling of Iceland's support for Ukraine with an additional contribution of 425 million ISK at the High-Level International Donors’ Conference for Ukraine which took place in Warsaw 5 May. The donation is divided into 295 million ISK in new humanitarian contributions (ISH4) and an additional 130 million ISK to the World Bank's plan for economic emergency assistance to Ukraine (ISF2).</t>
  </si>
  <si>
    <t>ISH5</t>
  </si>
  <si>
    <t>According to Source of Aid 1, Iceland grants EUR 1.5 million to the benefit of Ukrainian energy companies and its citizens exposed to the impact of the Russian war. According to Source of Aid 2, this contribution to the Ukraine Energy Support Fund amounts to 215 million ISK.</t>
  </si>
  <si>
    <t>https://www.energy-community.org/news/Energy-Community-News/2023/02/03a.html</t>
  </si>
  <si>
    <t>https://web.archive.org/web/20230321123738/https://www.government.is/topics/foreign-affairs/war-in-ukraine/</t>
  </si>
  <si>
    <t>ISH6</t>
  </si>
  <si>
    <t>until 3/21/2023</t>
  </si>
  <si>
    <t>According to Source of Aid 1, Iceland provided food items and support for prosthetics equipment and training for those injured in the war, equivalent to 60 million ISK.</t>
  </si>
  <si>
    <t>ISH7</t>
  </si>
  <si>
    <t>According to Source of Aid 1, Iceland has provided around 1.38 bn ISK through UN Agencies (OCHA, UNHCR, UNICEF, UNFPA and WFP) and the ICRC. We substract 735 m ISK pledged before and reach 645 m ISK for this package.</t>
  </si>
  <si>
    <t>https://www.government.is/topics/foreign-affairs/war-in-ukraine/</t>
  </si>
  <si>
    <t>ISH8</t>
  </si>
  <si>
    <t>According to Source of Aid 1, Iceland contributed 315 million ISK to the Ukraine Energy Support Fund. We substract 215 m ISK pledged before and reach 100 m ISK for this package.</t>
  </si>
  <si>
    <t>ISM1</t>
  </si>
  <si>
    <t>According to Source of Aid 1, Iceland  has made a EUR 200,000 contribution to NATO’s Trust Fund for Ukraine Professional Development Programme.</t>
  </si>
  <si>
    <t>https://web.archive.org/web/20220516160332/https://www.government.is/topics/foreign-affairs/war-in-ukraine/#panel-17938480-c488-11ec-8148-005056bcf582-9</t>
  </si>
  <si>
    <t>https://www.icelandreview.com/politics/iceland-donates-isk-130-million-in-emergency-aid-to-ukraine/</t>
  </si>
  <si>
    <t>ISM2</t>
  </si>
  <si>
    <t>According to Source of Aid 1, Iceland leads a demining training mission for the Ukraine military with the Nordic countries and Lithuania in Lithuania.</t>
  </si>
  <si>
    <t>https://grapevine.is/news/2022/08/15/iceland-to-lead-demining-training-for-ukraine/</t>
  </si>
  <si>
    <t xml:space="preserve">https://kariuomene.lt/en/start-of-a-new-project-lithuanian-and-nordic-instructors-to-provide-explosive-ordnance-clearance-mentoring-to-ukrainian-military/25201 </t>
  </si>
  <si>
    <t xml:space="preserve">https://www.pravda.com.ua/eng/news/2023/03/21/7394481/ </t>
  </si>
  <si>
    <t>ISM3</t>
  </si>
  <si>
    <t>According to Source of Aid 2, Iceland transferred about 12,000 pieces of winter clothing to the Armed Forces of Ukraine.</t>
  </si>
  <si>
    <t>https://www.weareukraine.info/iceland-transfers-about-12000-pieces-of-winter-clothing-to-ukrainian-army/</t>
  </si>
  <si>
    <t xml:space="preserve">https://www.ukrinform.net/rubric-ato/3638575-iceland-transfers-about-12000-pieces-of-winter-clothing-to-ukrainian-armed-forces.html </t>
  </si>
  <si>
    <t xml:space="preserve">https://mil.in.ua/en/news/iceland-and-lithuania-are-providing-warm-clothes-for-the-ukrainian-military/  </t>
  </si>
  <si>
    <t xml:space="preserve">https://www.weareukraine.info/iceland-transfers-about-12000-pieces-of-winter-clothing-to-ukrainian-army/ </t>
  </si>
  <si>
    <t>ISM4</t>
  </si>
  <si>
    <t xml:space="preserve">According to Source of Aid 1, Iceland supports Urkaine with ISK 521.9 million through the NATO Comprehensive Assistance Package. </t>
  </si>
  <si>
    <t>https://web.archive.org/web/20230321123738/https://www.government.is/topics/foreign-affairs/war-in-ukraine/#panel-17938480-c488-11ec-8148-005056bcf582-1</t>
  </si>
  <si>
    <t>ISM5</t>
  </si>
  <si>
    <t>According to Source of Aid 1, Iceland supports Urkaine with ISK 527.9 million through the UK-led International Fund for Ukraine.</t>
  </si>
  <si>
    <t>ISM6</t>
  </si>
  <si>
    <t>According to Source of Aid 1, Iceland will purchase and donate a fully equipped mobile field hospital to Ukraine. According to Source of Aid 2, the hospital's value is USD 1 milllion.</t>
  </si>
  <si>
    <t>field hospital (Iceland)</t>
  </si>
  <si>
    <t>https://www.icenews.is/2023/05/16/iceland-donates-mobile-emergency-hospital-to-ukraine/</t>
  </si>
  <si>
    <t xml:space="preserve">https://www.icelandreview.com/news/iceland-donates-field-hospital-to-ukraine/ </t>
  </si>
  <si>
    <t xml:space="preserve">https://www.pravda.com.ua/eng/news/2023/05/15/7402329/ </t>
  </si>
  <si>
    <t>ISM7</t>
  </si>
  <si>
    <t xml:space="preserve">According to Source of Aid 1, Iceland has financed and delivered 10 fuel trucks for the Ukrainian military.
</t>
  </si>
  <si>
    <t xml:space="preserve">https://www.government.is/topics/foreign-affairs/war-in-ukraine/ </t>
  </si>
  <si>
    <t>https://www.stjornarradid.is/efst-a-baugi/frettir/stok-frett/2023/05/23/Studningur-vid-eldsneytisflutninga-ukrainska-hersins/</t>
  </si>
  <si>
    <t xml:space="preserve">https://web.archive.org/web/20230321123738/https://www.government.is/topics/foreign-affairs/war-in-ukraine/#panel-17938480-c488-11ec-8148-005056bcf582-1 </t>
  </si>
  <si>
    <t>ISF1</t>
  </si>
  <si>
    <t>According to Source of Aid 1, Iceland has decided to send ISK 130 million in emergency financial assistance to Ukraine via the World Bank.</t>
  </si>
  <si>
    <t>https://www.icelandreview.com/politics/iceland-donates-isk-130-million-in-emergency-aid-to-ukraine/#:~:text=The%20Icelandic%20government%20has%20decided,Ukraine%20via%20the%20World%20Bank.</t>
  </si>
  <si>
    <t>:</t>
  </si>
  <si>
    <t>ISF2</t>
  </si>
  <si>
    <t>According to Source of Aid 1, Iceland's Prime Minister announced an additional 130 million ISK to the World Bank's plan for economic emergency assistance to Ukraine at the High-Level International Donors’ Conference for Ukraine which took place in Warsaw 5 May.</t>
  </si>
  <si>
    <t>ISF3</t>
  </si>
  <si>
    <t>According to Source of Aid 1, Iceland has provided economic support of 715 m ISK  to Ukraine through the World Bank’s Multi-Donor Trust Funds for Ukraine. We substract the 260 m ISK pledged before and reach 455 m ISK for this package.</t>
  </si>
  <si>
    <t>ISF4</t>
  </si>
  <si>
    <t>According to Source of Aid 1, Iceland has provided economic support of 1,415bn ISK to Ukraine through the World Bank’s Multi-Donor Trust Funds for Ukraine. We substract the 715 m ISK pledged before and reach 700 m ISK for this package.</t>
  </si>
  <si>
    <t>ITH1</t>
  </si>
  <si>
    <t>Italy</t>
  </si>
  <si>
    <t xml:space="preserve">Grant with humanitarian purposes to the International Red Cross activities in Ukraine. According to "Source of Aid 1", Italy has supported the Ukrainian defence with substantial military support (ITM1-ITM3), granted 110 million EUR (ITF1), committed to a loan of 200 million EUR (ITF2), donated 1 million EUR to ICRC operations in Ukraine (ITH1), shipped health/sanitary goods via the EU Civil Protection Mechanism (ITH2), sent medical equipment via Poland and Rumania to Ukraine (ITH3), donated 45 fire-vehicles (ITH4), additionally contributed with 25 million EUR in response to the humanitarian appeals lanunched by the United Nations system and the International Red Cross (ITH5). We do not iclude aids to international organisations or aids to Ukrainian refugees outside Ukraine. </t>
  </si>
  <si>
    <t>https://www.esteri.it/en/politica-estera-e-cooperazione-allo-sviluppo/aree_geografiche/europa/litalia-a-sostegno-dellucraina/</t>
  </si>
  <si>
    <t>ITH2</t>
  </si>
  <si>
    <t xml:space="preserve">Food and first-necessity items. The aid package falls within the framework of the EU Civil Protection Mechanism (EUCPM). This mechanism organizes logistics for donations and covers some of the transportation cost. No further information regarding the shipment has been disclosed. </t>
  </si>
  <si>
    <t>https://www.esteri.it/it/sala_stampa/archivionotizie/comunicati/2022/03/fornitura-di-beni-umanitari-in-favore-della-popolazione-ucraina/</t>
  </si>
  <si>
    <t>ITH3</t>
  </si>
  <si>
    <t xml:space="preserve">Italian Civil Protection sent materials via Poland (200 tents for a total of 1000 people; 1000 camp beds; 1000 sleeping bags), medicines and medical equipment via Romania (23 ambulances, as well as 3 field kitchens). According to "Source of Aid 1", Italy has supported the Ukrainian defence with substantial military support (ITM1-ITM3), granted 110 million EUR (ITF1), committed to a loan of 200 million EUR (ITF2), donated 1 million EUR to ICRC operations in Ukraine (ITH1), shipped health/sanitary goods via the EU Civil Protection Mechanism (ITH2), sent medical equipment via Poland and Rumania to Ukraine (ITH3), donated 45 fire-vehicles (ITH4), additionally contributed with 25 million EUR in response to the humanitarian appeals lanunched by the United Nations system and the International Red Cross (ITH5). We do not iclude aids to international organisations or aids to Ukrainian refugees outside Ukraine. </t>
  </si>
  <si>
    <t>ITH4</t>
  </si>
  <si>
    <t xml:space="preserve">The Italian Corpo Nazionale dei Vigili del Fuoco donated 45 vehicles to their Ukrainian counterpart. The shipment, coordinated by the Italian Civil Protection, left by train towards Slovakia. According to "Source of Aid 1", Italy has supported the Ukrainian defence with substantial military support (ITM1-ITM3), granted 110 million EUR (ITF1), committed to a loan of 200 million EUR (ITF2), donated 1 million EUR to ICRC operations in Ukraine (ITH1), shipped health/sanitary goods via the EU Civil Protection Mechanism (ITH2), sent medical equipment via Poland and Rumania to Ukraine (ITH3), donated 45 fire-vehicles (ITH4), additionally contributed with 25 million EUR in response to the humanitarian appeals lanunched by the United Nations system and the International Red Cross (ITH5). We do not iclude aids to international organisations or aids to Ukrainian refugees outside Ukraine. </t>
  </si>
  <si>
    <t>fire-vehicle</t>
  </si>
  <si>
    <t>https://www.padovaoggi.it/cronaca/vigili-fuoco-mezzi-ucraina-padova-14-aprile-2022.html</t>
  </si>
  <si>
    <t>ITH5</t>
  </si>
  <si>
    <t>Donation amounting to 4 million EUR for the International Red Cross in Ukraine, 6 million for UNICEF in Ukraine and 6 million to the OCHA's "Ukraine Humanitarian Fund". All of these international organizations are active in Ukraine. We do not count donations made to international organisations that are not explicitly active in Ukraine.</t>
  </si>
  <si>
    <t>https://www.esteri.it/en/sala_stampa/archivionotizie/comunicati/2022/04/sereni-presiede-tavolo-di-coordinamento-della-societa-civile-sulla-crisi-ucraina/</t>
  </si>
  <si>
    <t>https://www.onuitalia.com/2022/04/20/ucraina-sereni-da-italia-26-milioni-di-aiuti-umanitari/</t>
  </si>
  <si>
    <t>ITH6</t>
  </si>
  <si>
    <t>At the Solidarity with Ukraine conference in Paris, Italy's Minister of Foreign Affairs allocates an additional 10 million EUR in aid. On December 27, Zelenskyy thanks Italy for this aid (Sources of Aid 2 and 3)</t>
  </si>
  <si>
    <t>https://www.eurointegration.com.ua/eng/news/2022/12/27/7153213/</t>
  </si>
  <si>
    <t>https://twitter.com/ZelenskyyUa/status/1607762593682161667?cxt=HHwWhoCw-fDj9c8sAAAA</t>
  </si>
  <si>
    <t>https://t.me/V_Zelenskiy_official/4544</t>
  </si>
  <si>
    <t>ITH7</t>
  </si>
  <si>
    <t xml:space="preserve">Italy will provide over 50 tons of electrical material for the reconstruction of the power grid destroyed by Russian attacks. This will guarantee power for around three million people. </t>
  </si>
  <si>
    <t>https://www.ukrinform.net/rubric-ato/3650513-italy-ready-to-send-more-weapons-to-ukraine-foreign-minister.html</t>
  </si>
  <si>
    <t>https://www.ansa.it/english/news/general_news/2023/01/11/italy-set-to-send-aid-for-ukraine-power-emergency_dc0fd37c-3162-4596-a62e-cc3680424566.html</t>
  </si>
  <si>
    <t>ITH8</t>
  </si>
  <si>
    <t>At the 'Conference on the Reconstruction of Ukraine' in Italy, the Italian Cooperation provides further grants and soft loan funds for humanitarian and resilance/fast recovery projects. The assistance is worth 160 million EUR. An Italian Cooperation office in Kyiv is also established.</t>
  </si>
  <si>
    <t>https://www.esteri.it/en/sala_stampa/archivionotizie/comunicati/2023/04/comunicato-congiunto-italia-ucraina-in-occasione-della-conferenza-sulla-ricostruzione-dellucraina-roma-26-aprile-2023/</t>
  </si>
  <si>
    <t>https://www.italianpost.news/ukraine-what-are-the-agreements-for-reconstruction/</t>
  </si>
  <si>
    <t>ITH9</t>
  </si>
  <si>
    <t>At the 'Conference on the Reconstruction of Ukraine' in Italy, the Italian Cooperation agreed to contribute 10 million EUR to the EBRD in support of Ukraine’s fast energy recovery and security for the support of the Ukrainian company Ukrenergo.</t>
  </si>
  <si>
    <t>ITM1</t>
  </si>
  <si>
    <t>Since February 2022, Italy has sent an undisclosed number of lethal and non-lethal weapons to Ukraine, worth a total of 150 million EUR according to a statement of the Italian Ministry of Defense. Also, "Source of Aid 3" reports that 50 million EUR are accountable to the equipment material, while the remainder is related to major and minor weapons. The Italian government has not disclosed the full list, but, thanks to a leak published by “Il Fatto Quotidiano”, Italy has sent an undisclosed number of Stinger launchers, millions of rounds of ammunition caliber 12.7, thousands of mortar bombs, Browning machine guns, thousands of helmets, Milan launchers and thousands of food rations. "Source of Aid 1" reports also aid for refugees, which we don't report in our dataset because it is not a flow directed to Ukraine. "Source of Aid 2" lists also the aid package reported in ITF1 (110 million EUR).</t>
  </si>
  <si>
    <t>https://www.repubblica.it/politica/2022/03/01/news/armi_ucraina_di_governo_oggi_camere-339750246/</t>
  </si>
  <si>
    <t>https://www.startmag.it/innovazione/armi-italia-ucraina/</t>
  </si>
  <si>
    <t>https://www.termometropolitico.it/1600183_guerra-russia-ucraina-litalia-invia-armi-e-mezzi-i-dettagli-delloperazione.html</t>
  </si>
  <si>
    <t>https://www.repubblica.it/esteri/2022/04/28/news/guerra_russia_ucraina_armi_italiane-347273567/</t>
  </si>
  <si>
    <t>ITM2</t>
  </si>
  <si>
    <t>Italy approved a second tranche of military aid for Ukraine. The Minister of Defence declared that the second tranche of aid "will be of the same nature as the first one", in terms of items sent (see ITM1). However, no further details were announced.</t>
  </si>
  <si>
    <t>https://www.gazzettaufficiale.it/eli/id/2022/04/27/22A02651/sg</t>
  </si>
  <si>
    <t>https://www.ilmessaggero.it/politica/armi_ucraina_italia_guerini_conte_draghi_costo_cosa_succede_governo_ultime_notizie-6652159.html</t>
  </si>
  <si>
    <t>ITM3</t>
  </si>
  <si>
    <t xml:space="preserve">Italy approved a third tranche (see ITM1 and ITM2) of military aid to Ukraine, which entails 155 mm FH70 howitzers, Lince Armored vehicles and M130 tracks for troop transport, but does not include tanks or drones (see "Source of Aid 3") . According to "Source of Aid 2", on May 9 it became publicly know by John Kirby that besides Belgium (BEM4) and the Netherlands (NLM4), Italy would be sending either M-109 or 155mm howitzers PzH 2000, however the exact amount remains unclear. "Source of Aid 3" clarifies that Italy will deliver 155 mm FH70 towed howitzers (amount undisclosed). </t>
  </si>
  <si>
    <t>https://www.gazzettaufficiale.it/atto/serie_generale/caricaDettaglioAtto/originario?atto.dataPubblicazioneGazzetta=2022-05-13&amp;atto.codiceRedazionale=22A02976&amp;elenco30giorni=false</t>
  </si>
  <si>
    <t>https://mil.in.ua/en/news/the-netherlands-italy-and-belgium-have-agreed-to-transfer-the-additional-155-mm-caliber-acs-to-ukraine/</t>
  </si>
  <si>
    <t>https://www.fanpage.it/politica/armi-allucraina-arriva-il-terzo-decreto-del-governo-lelenco-e-secretato-come-i-precedenti/</t>
  </si>
  <si>
    <t>https://www.ilmessaggero.it/mondo/armi_italia_ucraina_inviate_quali_sono_guerra_russia_ultime_notizie-6743279.html</t>
  </si>
  <si>
    <t>https://geopolitiki.com/italian-fh70-howitzers-ukraine-against-russians/</t>
  </si>
  <si>
    <t>M130 tracks for troop transport</t>
  </si>
  <si>
    <t>105mm light field gun ammunition</t>
  </si>
  <si>
    <t>ITM4</t>
  </si>
  <si>
    <t xml:space="preserve">Italy approved its fourth tranche (see ITM1, ITM2. ITM3) of military aid to Ukraine. As for the other four shipments, the type of weapons committed and the monetary value of the donation is still kept secret. </t>
  </si>
  <si>
    <t>https://twitter.com/oleksiireznikov/status/1553647959501414401?s=20&amp;t=sxJyy3lEqeaMPa3O1ayEDw</t>
  </si>
  <si>
    <t>https://www.ilfattoquotidiano.it/2022/07/27/armi-allucraina-ok-del-copasir-al-quarto-decreto-sullinvio-aderente-alle-indicazioni-del-parlamento-la-lista-e-sempre-segreta/6744667/</t>
  </si>
  <si>
    <t>ITM5</t>
  </si>
  <si>
    <t xml:space="preserve">Italy approved a fifth tranche (see ITM1, ITM2, ITM3, ITM4) of military aid to Ukraine As for the other four shipments, the type of weapons committed and the monetary value of the donation is still kept secret. </t>
  </si>
  <si>
    <t>https://twitter.com/oleksiireznikov/status/1582092949898559489?t=tUK1m-OV9LtPjNqNYksM6A&amp;s=19</t>
  </si>
  <si>
    <t>https://www.ukrinform.net/rubric-ato/3604150-italy-provides-ukraine-with-two-m270-systems-six-pzh-2000-about-30-selfpropelled-howitzers-media.html</t>
  </si>
  <si>
    <t>https://mil.in.ua/en/news/italy-provided-ukraine-with-the-fifth-military-assistance-package/</t>
  </si>
  <si>
    <t>ITM6</t>
  </si>
  <si>
    <t xml:space="preserve">In October 2022, La Republica revealed the last decree of the previous Italian Government regarding the supply of Ukraine with heavy weapons.
</t>
  </si>
  <si>
    <t>https://www.reuters.com/world/europe/italy-open-supplying-air-defence-systems-ukraine-official-2022-11-08/</t>
  </si>
  <si>
    <t>https://euromaidanpress.com/2022/10/30/italy-allegedly-supplied-many-heavy-weapons-to-ukraine-but-didnt-disclose-it-earlier-la-repubblica/</t>
  </si>
  <si>
    <t>https://euromaidanpress.com/2022/11/05/italy-set-to-approve-sixth-military-aid-package-for-ukraine-italian-defense-minister/</t>
  </si>
  <si>
    <t>https://www.armyrecognition.com/defense_news_june_2022_global_security_army_industry/italy_delivers_to_ukraine_five_pzh_2000_155mm_self-propelled_howitzers.html</t>
  </si>
  <si>
    <t>M109 A3GM 155mm howitzer</t>
  </si>
  <si>
    <t>https://www.repubblica.it/esteri/2023/04/16/news/cosi_litalia_potenzia_lartiglieria_ucraina-396394860/?ref=RHLF-BG-I396398159-P1-S1-T1</t>
  </si>
  <si>
    <t>ITM7</t>
  </si>
  <si>
    <t>Italian government decides to provide Ukraine with a SAMP/T anti-air missile defense system. This missile defense system is an Italian-French partnership. The French Ambassador to Ukraine says that Italy will give one system (Source of Aid 3).</t>
  </si>
  <si>
    <t>SAMP/T anti-air missile defense system</t>
  </si>
  <si>
    <t>https://english.nv.ua/nation/italy-to-transfer-samp-t-air-defense-battery-to-ukraine-news-50297426.html</t>
  </si>
  <si>
    <t>https://www.assemblee-nationale.fr/dyn/16/comptes-rendus/cion_def/l16cion_def2223020_compte-rendu</t>
  </si>
  <si>
    <t>https://www.thedefensepost.com/2023/01/24/italy-air-defense-system-ukraine/</t>
  </si>
  <si>
    <t>https://decode39.com/6722/italian-made-anti-air-system-boosts-ukraines-air-shield/</t>
  </si>
  <si>
    <t>ITM8</t>
  </si>
  <si>
    <t xml:space="preserve">Italy approved a sixth tranche (see ITM1, ITM2, ITM3, ITM4, ITM5) of military aid to Ukraine As for the other five shipments, the type of weapons committed and the monetary value of the donation is still kept secret. Source of Aid 4 says that Spada and Skyguard air defense systems are included in this package.  </t>
  </si>
  <si>
    <t>Spada anti-air missile defense system</t>
  </si>
  <si>
    <t>https://www.ansa.it/english/news/politics/2023/02/15/we-stand-by-ukraine-says-tajani-after-berlusconi-row_825d93ee-66b4-49ae-a495-17318a9798a2.html</t>
  </si>
  <si>
    <t>https://global.espreso.tv/italy-approves-sixth-military-aid-package-to-ukraine</t>
  </si>
  <si>
    <t>https://www.txtreport.com/news/2023-02-15-italy-approved-the-6th-military-aid-package-to-ukraine.Sknjhz9Ts.html</t>
  </si>
  <si>
    <t>https://kyivindependent.com/news-feed/italy-to-send-ukraine-two-other-air-defense-systems-in-addition-to-mamba</t>
  </si>
  <si>
    <t>Skyguard anti-air missile defense system</t>
  </si>
  <si>
    <t>ITM9</t>
  </si>
  <si>
    <t xml:space="preserve">Italy provides training to 20 Ukrainian servicemen for working with the SAMP-T anti-missile system donated by France and Italy. </t>
  </si>
  <si>
    <t>https://www.ansa.it/english/news/general_news/2023/03/19/group-of-ukrainian-soldiers-trained-in-italy_d0f5b34d-e898-4977-a4c2-731f181bb7ff.html</t>
  </si>
  <si>
    <t>https://www.eurointegration.com.ua/news/2023/03/20/7158276/</t>
  </si>
  <si>
    <t>ITM10</t>
  </si>
  <si>
    <t xml:space="preserve">According to La Republica, some unknown sources speak of up to 60 M109 howitzers being delivered or soon to be delivered to Ukraine. 30 of these howitzers are recorded in ITM6 and the other 30 in this entry, in accordance with the upper bound rule. </t>
  </si>
  <si>
    <t>https://english.nv.ua/nation/italy-sends-at-least-30-m109l-self-propelled-howitzers-to-ukraine-media-reports-50318304.html</t>
  </si>
  <si>
    <t>ITM11</t>
  </si>
  <si>
    <t xml:space="preserve">Italy approved a seventh tranche (see ITM1, ITM2, ITM3, ITM4, ITM5, ITM8) of military aid to Ukraine As for the other six shipments, the type of weapons committed and the monetary value of the donation is still kept secret. Sources of Aid 3 and 4 note that there is speculation that this package likely includes an additional SAMP/T air defense system, but this is not conclusive. </t>
  </si>
  <si>
    <t>https://www.repubblica.it/politica/2023/05/30/news/crosetto_copasir_pacchetto_armi_ucraina_difesa_anti_aerea-402531497/?ref=RHLF-BG-I402501892-P2-S2-T1</t>
  </si>
  <si>
    <t>https://decode39.com/6891/italy-readies-weapons-package-ukraine/</t>
  </si>
  <si>
    <t>https://english.nv.ua/nation/italy-prepares-new-military-aid-package-for-ukraine-likely-including-samp-t-air-defense-50328350.html</t>
  </si>
  <si>
    <t>https://www.eurointegration.com.ua/news/2023/05/30/7162700/</t>
  </si>
  <si>
    <t>ITF1</t>
  </si>
  <si>
    <t>Grant worth 110 million EUR.</t>
  </si>
  <si>
    <t>https://www.ansa.it/sito/notizie/topnews/2022/02/27/di-maio-da-italia-110-milioni-di-euro-al-governo-di-kiev_946fac9e-f0a8-492e-9b12-7b64fefc6bac.html</t>
  </si>
  <si>
    <t>https://ua.interfax.com.ua/news/general/804360.html</t>
  </si>
  <si>
    <t>ITF2</t>
  </si>
  <si>
    <t>200 million EUR loan for a 15-year period, with the grace period of 7.5 years, and applies a 0 % interest rate.</t>
  </si>
  <si>
    <t>https://www.kmu.gov.ua/en/news/minfin-ukraina-otrymala-200-mln-ievro-vid-italii</t>
  </si>
  <si>
    <t>https://www.facebook.com/minfin.gov.ua/posts/pfbid02cVpY1dj5CsrGvTKBM8LwSGcM69f5wVhAL8SoHbcW8eeo6hsRt6Ya2rDF5XyUibdvl</t>
  </si>
  <si>
    <t>https://www.eurointegration.com.ua/news/2022/08/5/7144532/</t>
  </si>
  <si>
    <t>ITF3</t>
  </si>
  <si>
    <t xml:space="preserve">At the 'Conference on the Reconstruction of Ukraine' in Italy, the Italian Ministry of Economy and Finance will contribute to the EIB "EU for Ukraine" fund with a guarantee worth 100 million EUR.  </t>
  </si>
  <si>
    <t>https://www.eib.org/en/press/all/2023-157-eib-approves-eu-for-ukraine-initiative-to-finance-ukraine-recovery-and-reconstruction-and-backs-transport-energy-and-business-investment-around-the-world</t>
  </si>
  <si>
    <t>JPH1</t>
  </si>
  <si>
    <t>Japan</t>
  </si>
  <si>
    <t>Decided on in February 27, disbursed On March 11, the Government of Japan decided to extend 100 million US dollars in emergency humanitarian assistance to assist the people of Ukraine who are facing hardship in Ukraine and neighboring countries. $59.3 million are allocated directly to Ukraine, which is the amount we report here.</t>
  </si>
  <si>
    <t>https://japan.kantei.go.jp/ongoingtopics/pdf/jp_stands_with_ukraine_eng.pdf</t>
  </si>
  <si>
    <t>https://japan.kantei.go.jp/ongoingtopics/_00002.html</t>
  </si>
  <si>
    <t>JPH2</t>
  </si>
  <si>
    <t>Decided on March 24, disbursed on April 5, the Government of Japan decided to provide additional 100 million US dollars in emergency humanitarian assistance to assist the people of Ukraine who are facing hardship in Ukraine and neighboring countries. $53.87 will go directly to Ukraine, which is the amount we report here.</t>
  </si>
  <si>
    <t>JPH3</t>
  </si>
  <si>
    <t>Japan provided a grant for medical equipment to Ukraine. It belongs to the "Economic and Social Development Programme". Note that "Source of Aid 1" also includes the signment of a loan of 100 million USD, which belongs to the total volume that was committed earlier (see JPF1).</t>
  </si>
  <si>
    <t>https://www.kmu.gov.ua/en/news/ukrayina-otrimaye-vid-yaponiyi-kredit-u-rozmiri-100-mln-dol-ssha-ta-grant-23-mln-dol-ssha</t>
  </si>
  <si>
    <t>https://ukranews.com/en/news/853495-japan-decides-to-allocate-usd-100-million-loan-and-usd-2-3-million-grant-to-ukraine</t>
  </si>
  <si>
    <t>JPH4</t>
  </si>
  <si>
    <t>Government of Japan decided to extend an Emergency Grant Aid of about 1.66 million US dollars, considering further increase of needs for humanitarian assistance to assist the people of Ukraine.</t>
  </si>
  <si>
    <t>https://www.mofa.go.jp/press/release/press3e_000396.html#:~:text=Emergency%20Grant%20Aid%20for%20the%20transportation%20of%20relief%20products%20for%20Ukraine,-May%2027%2C%202022&amp;text=On%20May%2027%2C%20the%20Government,assist%20the%20people%20of%20Ukraine.</t>
  </si>
  <si>
    <t>JPH5</t>
  </si>
  <si>
    <t>The Japanese Ministry of Defense will provide new civilian vehicles (vans) to the Ukrainian government. They will also hand over additional small drones as stated in Source of Aid 1, quantified in Donation ID JPM3.</t>
  </si>
  <si>
    <t>civilian van</t>
  </si>
  <si>
    <t>https://www.mod.go.jp/j/press/news/2022/08/04a.html</t>
  </si>
  <si>
    <t>https://www.kyivpost.com/russias-war/japan-to-provide-vans-drones-to-ukraine.html</t>
  </si>
  <si>
    <t>https://mil.in.ua/en/news/the-ministry-of-defense-of-japan-will-hand-over-vans-and-drones-to-ukraine/</t>
  </si>
  <si>
    <t>JPH6</t>
  </si>
  <si>
    <t xml:space="preserve">According to Source of Aid 1 which is an official document by the Japanese government, Japan has provided Ukraine with generators and winterization support worth USD 2.57 million through international organisations. </t>
  </si>
  <si>
    <t>https://babel.ua/en/news/87339-japan-will-transfer-generators-and-solar-batteries-to-ukraine-on-a-grant-basis</t>
  </si>
  <si>
    <t>JPH7</t>
  </si>
  <si>
    <t>Government of Japan decided to allocate approximately 500 million USD of Supplementary Budget in humanitarian assistance to Ukraine and its neighbouring countries and recovery and reconstruction of Ukraine. Only $495.37 million are intended directly for Ukraine, which is the amount we report here.</t>
  </si>
  <si>
    <t>https://interfax.com.ua/news/general/881342.html</t>
  </si>
  <si>
    <t>https://babel.ua/en/news/88860-japan-plans-to-provide-ukraine-with-an-additional-500-million-in-aid</t>
  </si>
  <si>
    <t>JPH8</t>
  </si>
  <si>
    <t>Since January 20, 237 generators from the Government of Japan through JICA have been arriving in Ukraine. Source of aid 2 states that the provided generators and solar lanterns are worth $2.57 million. We report this value here, since we do not have a price estimate for power generators, and to not underestimate the true value of Japanese support.</t>
  </si>
  <si>
    <t>https://www.mofa.go.jp/press/release/press1e_000358.html</t>
  </si>
  <si>
    <t>JPH9</t>
  </si>
  <si>
    <t>According to Source of Aid 1, the Government of Japan has decided to provide the "Programme for Emergency Recovery Phase 2” amounting to $400 million. This cooperation will provide the Government of Ukraine, which has been suffering from Russia’s aggression, with equipment necessary for mine action and debris clerance, which are prerequisites for recovery and reconstruction, livelihood reconstruction including the provision of basic infrastructure, recovery of agriculture as a key industry and strengthening democracy and governance. This will thereby contribute to the rapid recovery and reconstruction of Ukraine.</t>
  </si>
  <si>
    <t>https://www.mofa.go.jp/press/release/press1e_000403.html</t>
  </si>
  <si>
    <t>https://tass.com/world/1592633</t>
  </si>
  <si>
    <t>JPH10</t>
  </si>
  <si>
    <t>According to Source of Aid 1, The Government of Japan has decided to grant support to Critical Energy Infrastructure Restoration and Immediate Provision of Energy Equipment in Ukraine through a grant worth $70 million. This project will support restoration of energy infrastructures damaged by Russian attacks, and thereby will contribute to recovering and enhancing power supply to Combined Heat and Power Plants (CHPs) which provide Ukrainian people with electricity, heat and water through the United Nations.</t>
  </si>
  <si>
    <t>JPM1</t>
  </si>
  <si>
    <t xml:space="preserve">Military basic supplies such as bulletproof vests, helmets, power generators and food. According to "Source of Aid 1", this was enacted officially on March 8. Source of Aid 4 lists 110000 provided food rations, out of which 100000 are intended for Ukraine. </t>
  </si>
  <si>
    <t>https://www.mofa.go.jp/press/release/press4e_003098.html</t>
  </si>
  <si>
    <t>https://www.wsj.com/livecoverage/russia-ukraine-latest-news-2022-03-04/card/japan-will-send-the-ukrainian-military-basic-supplies-VOtpnPjTX2ooK8dqQ8o8?msclkid=8d9aa20aaf4811eca75cd52c21f47675</t>
  </si>
  <si>
    <t>https://cxtvnews.com/military/2022/03/07/japan-decides-to-send-military-supplies-to-ukraine/</t>
  </si>
  <si>
    <t>https://www.ukrinform.net/rubric-ato/3424220-japan-sends-military-protective-equipment-to-ukraine.html</t>
  </si>
  <si>
    <t>https://www.wfp.org/news/japan-provides-us28-million-humanitarian-food-assistance-ukraine</t>
  </si>
  <si>
    <t>JPM2</t>
  </si>
  <si>
    <t xml:space="preserve">Japan announced the dispatchment of protective masks, clothing against chemical weapons and camera-equipped drones. Source of Aid 2 mentions the number of 30 drones. </t>
  </si>
  <si>
    <t>protective mask with filter</t>
  </si>
  <si>
    <t>https://english.kyodonews.net/news/2022/04/00e4cd64dc1c-japan-to-offer-protective-masks-clothing-drones-to-ukraine.html</t>
  </si>
  <si>
    <t>https://www.asahi.com/ajw/articles/14608909</t>
  </si>
  <si>
    <t>chemical, biological, radiological, nuclear protective equipment</t>
  </si>
  <si>
    <t>https://www.nippon.com/en/news/kd927892413712449536/</t>
  </si>
  <si>
    <t>JPM3</t>
  </si>
  <si>
    <t xml:space="preserve">The Japanese Ministry of Defense will provide small drones to the Ukrainian government. Source of Aid 4 mentions "at least a dozen", which is why we use 12 as the minimal number of committed drones. They will also hand over additional new civilian vehicles (vans), quantified in donation JPH3. </t>
  </si>
  <si>
    <t>JPM4</t>
  </si>
  <si>
    <t>Japan contributed US$30 million (3.24 billion yen) to the CAP Trust Fund of the North Atlantic Treaty Organization (NATO) to support Ukraine suffering from the aggression by Russia.</t>
  </si>
  <si>
    <t>https://www.mofa.go.jp/press/release/press4e_003247.html</t>
  </si>
  <si>
    <t>JPF1</t>
  </si>
  <si>
    <t>Loan of at least 100 million USD to Ukraine. As stated by "Source of Aid 2", the loan is provided in cooperation with the World Bank. "Source of Aid 1" lists also the aid packages reported in JPH1 and JPM1. Moreover, "Source of Aid 1" reports a total value of aid amounting to 1.87 billion USD, however from 2014 on. We do not report this value in our dataset, because it considers aid prior to January 24, 2022.</t>
  </si>
  <si>
    <t xml:space="preserve">https://www.reuters.com/markets/europe/japan-offers-ukraine-100-mln-loans-show-support-2022-02-15/ </t>
  </si>
  <si>
    <t>JPF2</t>
  </si>
  <si>
    <t>Prime Minister Kishida announced to increase the previous granted loan (JPF1) to a total of 300 million USD. Hence, we consider here the increase of 200 million USD.</t>
  </si>
  <si>
    <t>https://www.reuters.com/world/europe/japan-trebles-loans-ukraine-300-mln-pm-kishida-other-leaders-2022-04-19/</t>
  </si>
  <si>
    <t>https://www.ukrinform.net/rubric-ato/3462246-japan-to-extend-300-million-in-loans-to-ukraine.html</t>
  </si>
  <si>
    <t>https://www.fxempire.com/news/article/japan-trebles-loans-to-ukraine-to-300-million-pm-kishida-to-other-leaders-972430</t>
  </si>
  <si>
    <t>JPF3</t>
  </si>
  <si>
    <t>Prime Minister Kishida announced to double the financial aid to Ukraine to 600 million USD (previous amount was also 300 million USD, see JPF1 and JPF2). The additional 300 million USD in loans ("Source of Aid 2" specifies that it will be a loan) are provided via the World Bank.</t>
  </si>
  <si>
    <t>https://japantoday.com/category/politics/japan-to-double-ukraine-aid-to-600-million</t>
  </si>
  <si>
    <t>https://www3.nhk.or.jp/nhkworld/en/news/20220519_02/</t>
  </si>
  <si>
    <t>https://www.business-standard.com/article/international/japan-will-double-financial-aid-for-ukraine-to-600-million-pm-kishida-122051900737_1.html</t>
  </si>
  <si>
    <t>JPF4</t>
  </si>
  <si>
    <t>The Government of Japan decided to extend Emergency Grant Aid of approximately 550,000 US dollars as support for winterization assistance in Ukraine.</t>
  </si>
  <si>
    <t>https://www.mofa.go.jp/press/release/press1e_000377.html</t>
  </si>
  <si>
    <t>JPF5</t>
  </si>
  <si>
    <t xml:space="preserve">The Japanese prime minister announced additional financial aid worth $5.5 billion. Source of aid 2 states that $5 billion will be provided through the World Bank. To keep track of donations through World Bank, we report this value of $5 billion here, and the remaining $500 million in the entry JPF6. </t>
  </si>
  <si>
    <t>https://japan.kantei.go.jp/101_kishida/actions/202302/_00027.html</t>
  </si>
  <si>
    <t>https://apnews.com/article/russia-ukraine-zelenskyy-politics-fumio-kishida-japan-01ab6a723ea6bab7f9d69416c1c5929a</t>
  </si>
  <si>
    <t>https://www.asahi.com/ajw/articles/14845741</t>
  </si>
  <si>
    <t>JPF6</t>
  </si>
  <si>
    <t xml:space="preserve">The Government of Japan has announced a grant contribution of $471 million to the World Bank’s Ukraine Relief, Recovery, Reconstruction and Reform Trust Fund (URTF) in support of ongoing relief efforts in Ukraine. This contribution is part of a $5.5 billion pledge Japan made in February to help restore destroyed infrastructure and help the people of Ukraine rebuild their lives. </t>
  </si>
  <si>
    <t>https://www.worldbank.org/en/news/press-release/2023/04/21/japan-contributes-us-471-million-to-the-world-bank-in-support-of-ukraine-relief-efforts</t>
  </si>
  <si>
    <t>https://reliefweb.int/report/ukraine/japan-contributes-471-million-world-bank-support-ukraine-relief-efforts-enuk</t>
  </si>
  <si>
    <t>LVH1</t>
  </si>
  <si>
    <t>Latvia</t>
  </si>
  <si>
    <t>Broad aid package covering various areas, ranging from support to Ukrainian media to support for international organizations working in Ukraine. Since we cannot disentangle the part of the aid dispatched to Ukrainian media from the part of the aid dispatched to international organizations, we apply our upper bound rule and report the entire package of 1.2 million EUR. We do not consider the 1.2 million sent through the European Peace Facility, since this is categorized as EU military aid. Source of Aid 4 later specified that part of this package went to NGOs or third-party countries, so it could not be considered bilateral aid.</t>
  </si>
  <si>
    <t>https://www.mfa.gov.lv/en/article/latvian-foreign-ministry-channel-eur-24000000-towards-assistance-ukraine</t>
  </si>
  <si>
    <t>https://eng.lsm.lv/article/society/defense/30-truckloads-of-equipment-heading-from-latvia-to-ukraine.a445455/</t>
  </si>
  <si>
    <t xml:space="preserve">https://eng.lsm.lv/article/society/society/latvia-has-sent-14-loads-of-donations-to-ukraine.a448977/ </t>
  </si>
  <si>
    <t>E-Mail from the Foreign Ministry of the Republic of Latvia</t>
  </si>
  <si>
    <t>LVH2</t>
  </si>
  <si>
    <t>The Cabinet decided to donate two ambulances (according to the Cabinet, worth 83,693.93 EUR each) and 200 stretchers to the Borispil hospital (worth 29.88 EUR each). The aid package falls within the framework of the EU Civil Protection Mechanism (EUCPM).</t>
  </si>
  <si>
    <t>ambulance Latvia</t>
  </si>
  <si>
    <t xml:space="preserve">https://tapportals.mk.gov.lv/legal_acts/4cc2e5ed-8d7f-4052-8aaa-9a3a1d472b7d </t>
  </si>
  <si>
    <t>https://baltics.news/2022/03/29/latvia-will-donate-two-ambulances-and-200-stretchers-to-ukraine/</t>
  </si>
  <si>
    <t>stretcher Latvia</t>
  </si>
  <si>
    <t>LVH3</t>
  </si>
  <si>
    <t xml:space="preserve">Latvia will hand over to the Transplantation Coordination Center of Ukraine the consumables and equipment needed to ensure the operation of the blood centers. The total value of these projects is approximately 30 thousand EUR (Source of aid 2). </t>
  </si>
  <si>
    <t>https://www.vm.gov.lv/lv/jaunums/ziedos-aprikojumu-ukrainas-asins-centriem</t>
  </si>
  <si>
    <t>LVH4</t>
  </si>
  <si>
    <t>Lithuanian State Fire and Rescue Service (VUGD) is to transfer material and technical means to Ukraine. Source of aid 2 revealed the total value of this aid.</t>
  </si>
  <si>
    <t>https://lvportals.lv/dienaskartiba/341367-valsts-ugunsdzesibas-un-glabsanas-dienests-atbalstot-ukrainu-nodod-dalu-no-materialtehniskas-bazes-2022</t>
  </si>
  <si>
    <t>LVH5</t>
  </si>
  <si>
    <t xml:space="preserve">On the 1st of July, the Foreign Ministry published a list of the projects that received the grant for their realization (Source of aid 1). Among those projects, a certain about is dedicated to direct aid to Ukraine. The total value of these projects is approximately 356 thousand EUR (Source of aid 2). </t>
  </si>
  <si>
    <t>https://www.mfa.gov.lv/en/article/foreign-ministry-awards-grants-development-cooperation-projects-2022-2023</t>
  </si>
  <si>
    <t>https://www.mk.gov.lv/en/latvia-supports-ukraine</t>
  </si>
  <si>
    <t>LVH6</t>
  </si>
  <si>
    <t>Latvia donated medicines and medical devices to Ukraine in the amount of 1.4 million euros.</t>
  </si>
  <si>
    <t>https://www.vm.gov.lv/lv/jaunums/latvija-ziedos-ukrainai-zales-un-medicinas-ierices-14-miljonu-eiro-apmera</t>
  </si>
  <si>
    <t>LVH7</t>
  </si>
  <si>
    <t>The Latvian Cabinet of Ministers allocated almost 560 thousand euros from the state budget to purchase generators for Ukraine's needs.</t>
  </si>
  <si>
    <t>https://rus.delfi.lv/news/daily/latvia/latviya-vydelit-550-tysyach-evro-na-pokupku-generatorov-dlya-ukrainskih-mass-media.d?id=55050546</t>
  </si>
  <si>
    <t>https://myc.news/en/politika/latviya_vydelit_56__tysyach_evro_na_pokupku_generatorov_dlya_ukrainskih_smi</t>
  </si>
  <si>
    <t>LVH8</t>
  </si>
  <si>
    <t>Riga City Council has decided to donate another 10 Mercedes-Benz brand buses (Source of aid 1). Source of Aid 2 indicates that those buses are to be filled with humanitarian aid provided by private donors, which we do not count. Later it was reported that 11 buses were sent (Source of aid 3).</t>
  </si>
  <si>
    <t>public transport bus</t>
  </si>
  <si>
    <t>https://eng.lsm.lv/article/society/society/fill-ten-buses-with-donations-to-ukraine.a488954/</t>
  </si>
  <si>
    <t>https://www.ziedot.lv/realizetie-projekti/10-autobusi-kijivai-4437</t>
  </si>
  <si>
    <t>https://www.ukrinform.net/rubric-society/3468504-latvia-sends-11-buses-with-humanitarian-aid-to-ukraine.html</t>
  </si>
  <si>
    <t>LVH9</t>
  </si>
  <si>
    <t xml:space="preserve">The official webpage listing the donations for the first time posted information regarding EUR 184 000 support of the Ministry of Foreign Affairs to victims of hostilities, in cooperation with the Businesses for Peace, ensuring the reconstruction of houses in Chernihiv oblast.
</t>
  </si>
  <si>
    <t>http://web.archive.org/web/20230326143532/https://www.mk.gov.lv/en/latvia-supports-ukraine</t>
  </si>
  <si>
    <t>LVH10</t>
  </si>
  <si>
    <t>Latvia sends cars seized from drunk drivers to help Kyiv. The first eight cars had a combined value of about 18,500 EUR. (Source of aid 1)</t>
  </si>
  <si>
    <t>passenger car</t>
  </si>
  <si>
    <t>https://www.bbc.com/news/world-europe-64903201</t>
  </si>
  <si>
    <t>https://www.reuters.com/world/europe/latvia-donates-drunk-drivers-cars-ukraines-war-effort-2023-03-09/</t>
  </si>
  <si>
    <t>LVH11</t>
  </si>
  <si>
    <t>Latvian State Police will send to the Ukrainian structures - the Ukrainian National Police, the Ministry of Defense of Ukraine, and the Task Force of the National Guard of Ukraine - 50 vehicles, two drones, three generators, one mobile power plant, and 567 uniforms of old design, free of charge over the next few weeks.</t>
  </si>
  <si>
    <t>https://www.iem.gov.lv/en/article/state-police-will-provide-ukraine-its-largest-technical-support-date-sending-50-vehicles-and-other-equipment?utm_source=https%3A%2F%2Fwww.google.com%2F</t>
  </si>
  <si>
    <t>https://nra.lv/latvija/411200-latvija-plano-nodot-ukrainai-50-automasinas-un-ekipejumu.htm</t>
  </si>
  <si>
    <t>mobile power plant</t>
  </si>
  <si>
    <t>police uniform</t>
  </si>
  <si>
    <t>LVM1</t>
  </si>
  <si>
    <t>until 4/6/2022</t>
  </si>
  <si>
    <t>"Source of Aid 1", an email from the Ministry of Defense, quantifies the military aid to Ukraine to 220 million EUR and mentions the listed items. Among them are also Stinger anti-aircraft missile system ("Source of Aid 4" specifies the commitment of them). This is in line with a statement of Latvia's Minister of Foreign Affairs from April 6 (more than 200 million euros in support of the Ukraine, "Source of Aid 2") and includes LVM1. Considering the value Latvia provides via the European Peace Facility and which we therefore count as EU aid (1.2 million EUR, see "Source of Aid 3" - here we list also LVH1), we quantify 218.8 million EUR. As the aid was provided until April 2022 and no earlier announcement can be verified, we report this package entirely for the month of April for Analysis of Aid over time purposes.</t>
  </si>
  <si>
    <t>armament (Latvia)</t>
  </si>
  <si>
    <t>https://www.mod.gov.lv/en/news/latvia-delivers-stinger-anti-aircraft-missile-system-ukraine</t>
  </si>
  <si>
    <t>E-Mail from the Ministry of Defence of the Republic of Latvia</t>
  </si>
  <si>
    <t>https://twitter.com/edgarsrinkevics/status/1511694357560180745?ref_src=twsrc%5Etfw%7Ctwcamp%5Etweetembed%7Ctwterm%5E1511694357560180745%7Ctwgr%5E%7Ctwcon%5Es1_&amp;ref_url=https%3A%2F%2Fwww.redditmedia.com%2Fmediaembed%2Ftxqhaq%3Fresponsive%3Dtrueis_nightmode%3Dfalse</t>
  </si>
  <si>
    <t>Stinger anti-aircraft system (Latvia)</t>
  </si>
  <si>
    <t>unmanned system (Latvia)</t>
  </si>
  <si>
    <t>Helicopter and spare parts (Latvia)</t>
  </si>
  <si>
    <t>MRE</t>
  </si>
  <si>
    <t>LVM2</t>
  </si>
  <si>
    <t>until 7/7/2022</t>
  </si>
  <si>
    <t>During the interview with Ukrinform, the president of Latvia Egils Levits said that so far, Latvia has provided 250 million euros to Ukraine for military assistance(Source of Aid 1). Since in LVM1 we reported 218.8 million euros, we calculate that Latvia donated another 30 million euros. (we don't count 1.2 million euros dedicated to the European peace facility). He also specified that this help is already provided, so we consider it to be delivered. As the interview was conducted in July, we also consider this aid package to have been committed and delivered entirely in July for Analysis of Aid over time purposes.</t>
  </si>
  <si>
    <t>https://www.ukrinform.ua/rubric-world/3523885-egils-levits-prezident-latvii.html</t>
  </si>
  <si>
    <t>LVM3</t>
  </si>
  <si>
    <t>According to the press release of the Latvian Ministry of Defense, Latvia has delivered Mi-17 and Mi-2 helicopters to the Ukrainian army.</t>
  </si>
  <si>
    <t>Mi-17</t>
  </si>
  <si>
    <t>https://www.mod.gov.lv/lv/zinas/latvija-ukrainas-armijai-piegadajusi-helikopterus-mi-17-un-mi-2</t>
  </si>
  <si>
    <t>https://twitter.com/Pabriks/status/1559196940167962624?s=20&amp;t=8mX0LWVPGMqpt7LQ8N__qA</t>
  </si>
  <si>
    <t>Mi-2</t>
  </si>
  <si>
    <t>LVM4</t>
  </si>
  <si>
    <t>According to Oleg Reznikov, the Ukraine Minister of Defense, Latvia has delivered six more M109 howitzers to the Ukrainian army.</t>
  </si>
  <si>
    <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t>
  </si>
  <si>
    <t>https://www.mod.gov.lv/lv/zinas/latvija-piegada-ukrainai-sesas-pasgajejhaubices-m109a5oe</t>
  </si>
  <si>
    <t>LVM5</t>
  </si>
  <si>
    <t>During the meeting between Ukrainian and Latvian ministers of defense, Latvia pledged to provide another package of military aid, which includes Stinger air defense missiles, helicopters, machine guns, and drones. The amount and type are undisclosed so far. (Source of aid 1). Later in February, during the meeting with journalists, the Latvian minister of defense disclosed that the total amount of military aid provided by Latvia with this package included is approximately 370 EUR million (Source of aid 2). Therefore, we report the total value of this package as a difference between 370 EUR million and the value of previously recorded military aid. Moreover, she also specified quantities of the items in the packages. The same was confirmed by British public sources (Source of aid 3). Official source later also confirmed it (Source of aid 4).</t>
  </si>
  <si>
    <t>https://www.mod.gov.lv/lv/zinas/i-murniece-kijiva-tiekas-ar-ukrainas-aizsardzibas-ministru</t>
  </si>
  <si>
    <t>https://eng.lsm.lv/article/society/defense/murniece-latvia-has-sent-1-of-gdp-in-military-aid-to-ukraine.a492541/#:~:text=Latvian%20military%20aid%20to%20Ukraine,National%20Alliance)%20said%20January%2023.</t>
  </si>
  <si>
    <t>https://www.gov.uk/government/news/joint-statement-the-tallinn-pledge</t>
  </si>
  <si>
    <t>helicopter</t>
  </si>
  <si>
    <t>spare parts</t>
  </si>
  <si>
    <t>LVM6</t>
  </si>
  <si>
    <t xml:space="preserve">Latvia to supply air defense systems to Ukraine, all the Stinger air defense systems that are still in their stocks to Ukraine. The quantity is still unknown. </t>
  </si>
  <si>
    <t>https://www.mod.gov.lv/lv/zinas/latvija-ramsteinas-sanaksme-izzino-papildu-militaro-atbalstu-ukrainai</t>
  </si>
  <si>
    <t>LVF1</t>
  </si>
  <si>
    <t>Latvia has contributed 5 million EUR to the Multi Donor Trust Fund set up by the World Bank to facility financial support to the Ukraine. The latter is part of the Emergency Financing Package established by the World Bank and amounting to 723 million USD. Other countries have contributed to Emergency Financing Package: the Netherlands with 89 million USD, Sweden with 50 million USD, the United Kingdom with 100 million USD, Denmark with 22 million USD, Latvia + Lithuania + Iceland with 12 million USD and Japan with 100 million USD.</t>
  </si>
  <si>
    <t>https://eng.lsm.lv/article/economy/economy/latvia-directs-additional-five-million-euros-to-ukraine.a446989/#:~:text=The%20Latvian%20government%20has%20directed,of%20military%20aggression%20by%20Russia.</t>
  </si>
  <si>
    <t>https://www.fm.gov.lv/lv/jaunums/latvija-palidzibai-ukrainai-pieskir-vel-piecus-miljonus-eiro-0?utm_source=https%3A%2F%2Feng.lsm.lv%2F</t>
  </si>
  <si>
    <t>LVF2</t>
  </si>
  <si>
    <t>During the High-Level International Donor's Conference for Ukraine on May 5, 2022, Latvia announced to double its contribution by 10 million EUR (see "Source of Aid 1" at 1:39:20). "Source of Aid 2" clarifies  that this represents a loan guarantee as contribution to the IBRD PEACE project.</t>
  </si>
  <si>
    <t>https://www.vestnesis.lv/op/2022/118.11</t>
  </si>
  <si>
    <t>LVF3</t>
  </si>
  <si>
    <t>The Latvian government approved an additional 10 EUR million in aid through World Bank instruments.  8 EUR million grant to the Crisis Support program of the World Bank and two million euros grant to URTF.</t>
  </si>
  <si>
    <t>https://www.fm.gov.lv/lv/jaunums/ukrainas-atbalstam-novirzis-10-miljonus-eiro</t>
  </si>
  <si>
    <t>https://bnn-news.com/latvian-government-provides-10-million-euros-to-support-ukraine-244627</t>
  </si>
  <si>
    <t>LTM1</t>
  </si>
  <si>
    <t>Lithuania</t>
  </si>
  <si>
    <t>until 3/16/2022</t>
  </si>
  <si>
    <t>Military aid worth a total of 29 million EUR. According to "Source of Aid 1", the Prime Minister indicated that this has included overall Stinger anti-aircraft systems, and other important military equipment like ammunition. However, no further information regarding the amounts and type of item supplied has been released.</t>
  </si>
  <si>
    <t>https://www.delfi.lt/en/politics/kasciunas-lithuania-provides-ukraine-with-military-aid-worth-eur-29-mln.d?id=89718941</t>
  </si>
  <si>
    <t>https://www.lrt.lt/naujienos/lietuvoje/2/1645808/kasciunas-lietuva-yra-suteikusi-ukrainai-karines-paramos-uz-29-mln-euru</t>
  </si>
  <si>
    <t>https://www.teletrader.com/lithuania-to-give-ukraine-10m-in-military-aid/news/details/57547008?internal=1&amp;ts=1654245351379</t>
  </si>
  <si>
    <t>LTM2</t>
  </si>
  <si>
    <t>The Lithuanian President announced the provision of at least 10 million EUR in additional military aid to Ukraine, including night vision devices and anti-drone weapons.</t>
  </si>
  <si>
    <t>https://www.lrt.lt/en/news-in-english/19/1652048/lithuania-to-provide-eur10m-in-military-aid-to-ukraine</t>
  </si>
  <si>
    <t>https://www.teletrader.com/lithuania-to-give-ukraine-10m-in-military-aid/news/details/57547008?internal=1&amp;ts=1650527739811</t>
  </si>
  <si>
    <t>anti-drone weapon</t>
  </si>
  <si>
    <t>LTM3</t>
  </si>
  <si>
    <t>The Lithuanian defense minister states that among the weapons sent, there are heavy mortars. Even though the minister did not disclose a specific number, it was reported that the overall cost for this military assistance is worth "tens of millions" EUR. However, as the minister stated on April 26 that the total military aid Lithuania had provided until that date is worth 100 million ("Source of Aid 3"), we can subtract from this value the values for LTM1 (29 million EUR) and LTM2 (10 million EUR) and can apply a value fof 61 million EUR to correctly reflect the total military aid provided by Lithuania. "Source of aid 4" specifies that Lithuania sent 120mm mortars.</t>
  </si>
  <si>
    <t>https://news.az/news/lithuania-supplies-another-batch-of-weapons-to-ukraine</t>
  </si>
  <si>
    <t>https://www.txtreport.com/news/2022-04-21-lithuania-has-provided-ukraine-with-large-mortars.Sk8DYtC45.html</t>
  </si>
  <si>
    <t>https://www.armyrecognition.com/defense_news_may_2022_global_security_army_industry/lithuania_prepares_a_shipment_of_20_m113_tracked_apcs_to_ukraine.html</t>
  </si>
  <si>
    <t>https://twitter.com/a_anusauskas/status/1546202214003269635</t>
  </si>
  <si>
    <t>LTM4</t>
  </si>
  <si>
    <t>Lithuania announced to provide military equipment, worth about 15.5 million EUR. "Source of Aid 4" mentions that this package would bring the total value of Lithuania's military aid to 115 million EUR, which corresponds to the sum of LTM1 - LTM4.</t>
  </si>
  <si>
    <t>https://interfax.com/newsroom/top-stories/79528/</t>
  </si>
  <si>
    <t>https://www.lrt.lt/en/news-in-english/19/1702086/lithuania-to-hand-over-eur15-5-million-worth-of-Armored-vehicles-trucks-suvs-to-ukraine</t>
  </si>
  <si>
    <t>https://twitter.com/Lithuanian_MoD/status/1529371608766468097?ref_src=twsrc%5Etfw%7Ctwcamp%5Etweetembed%7Ctwterm%5E1529371608766468097%7Ctwgr%5E%7Ctwcon%5Es1_&amp;ref_url=https%3A%2F%2Fwww.republicworld.com%2Fworld-news%2Frussia-ukraine-crisis%2Frussia-ukraine-war-lithuania-to-send-Armored-personnel-carriers-in-military-aid-to-kyiv-articleshow.html</t>
  </si>
  <si>
    <t>https://www.lrt.lt/en/news-in-english/19/1702318/lithuania-among-top-15-of-ukraine-s-military-donors-mp</t>
  </si>
  <si>
    <t>https://twitter.com/UAWeapons/status/1530575142115495937</t>
  </si>
  <si>
    <t>off-road vehicle for demining operations</t>
  </si>
  <si>
    <t>LTM5</t>
  </si>
  <si>
    <t>Arvydas Anušauskas, Lithuanian defence minister, says in July 2022 that they provided 123 million EUR of military aid to this point. Still, "Source of Aid 2" states that Bayraktar drones listed in "Source of aid 1" and thus included in 123 million EUR of military aid were covered by private donations. Considering that Luthiania previously provided 115 million EUR, we calculate this package to be worth 8 million EUR with private donations and 2 million EUR without. Thus, we report 2 million EUR. Arvydas Anušauskas also specifies which weapons were sent so far, so we consider this package to contain only those weapons that have not been specifically indicated in previous ones.</t>
  </si>
  <si>
    <t>https://www.reuters.com/world/europe/lithuania-transfer-crowdfunded-bayraktar-drone-ukraine-wednesday-2022-07-06/</t>
  </si>
  <si>
    <t>LTM6</t>
  </si>
  <si>
    <t>Arvydas Anušauskas, Lithuanian defence minister, committed additional M113 and M577 military vehicles to be delivered "in the nearest future". We estimate the total monetary value using more recent reports (see LTM8). Source of delivery indicates the amount of M113 found in LTM4, LTM6 and LTM7.</t>
  </si>
  <si>
    <t>https://twitter.com/a_anusauskas/status/1549776944295809028</t>
  </si>
  <si>
    <t>https://defence-blog.com/lithuania-to-send-more-armored-vehicles-to-ukraine/</t>
  </si>
  <si>
    <t>https://twitter.com/a_anusauskas/status/1574471610807062542?cxt=HHwWnMC88dHl0tkrAAAA</t>
  </si>
  <si>
    <t>M577 Command Post Carrier</t>
  </si>
  <si>
    <t xml:space="preserve">https://twitter.com/a_anusauskas/status/1549776944295809028 </t>
  </si>
  <si>
    <t xml:space="preserve">https://defence-blog.com/lithuania-to-send-more-armored-vehicles-to-ukraine/ </t>
  </si>
  <si>
    <t>LTM7</t>
  </si>
  <si>
    <t>According to the correspondent of ukrinform, Lithuanian president Gitanas Nauseda announced a new package of military aid, which includes military ammunition and 10 Armored vehicles (Source of Aid 1). President did not reveal which Armored vehicles are to be sent to Ukraine but based on previous commitments and stocks of the Lithuanian army; we assume it goes about M113. The exact type of ammunition, however, remains unknown.</t>
  </si>
  <si>
    <t>https://www.ukrinform.net/rubric-ato/3538884-lithuanian-president-announces-new-package-of-military-aid-to-ukraine.html</t>
  </si>
  <si>
    <t>https://www.lrt.lt/en/news-in-english/19/1742916/lithuania-to-send-Armored-personnel-carriers-ammunition-to-ukraine</t>
  </si>
  <si>
    <t>military ammunition</t>
  </si>
  <si>
    <t>LTM8</t>
  </si>
  <si>
    <t>According to Arvydas Anušauskas, the Lithuanian Minister of Defense, Lithuania has delivered an unspecified amount of M50 105 mm howitzers and M101 105 mm howitzers. He also mentioned that with this package, the total aid provided by Lithuania reaches 200 EUR million. Thus, we can redistribute approximately 50 EUR million between this package (LTM8) and LTM6 since these are only two packages for which we don't have any information regarding the number of weapons sent and the monetary value provided by the source. As before, we do not include 8 EUR million from private donations.</t>
  </si>
  <si>
    <t>M50 105mm howitzer</t>
  </si>
  <si>
    <t>https://www.facebook.com/arvydas.anusauskas/posts/pfbid0NXcMbwFUD4xXGgSJXGo4GpNMp54C1HMYD4taLbMP8jK4N2mh2Z2Emv1xGJqzMJvol</t>
  </si>
  <si>
    <t>https://twitter.com/Lithuanian_MoD/status/1567446474312540160?ref_src=twsrc%5Etfw%7Ctwcamp%5Etweetembed%7Ctwterm%5E1567446474312540160%7Ctwgr%5E4672a6b5ec4c4f6cf0f7166371f51fb78182c17f%7Ctwcon%5Es1_&amp;ref_url=https%3A%2F%2Fwww.eurointegration.com.ua%2Fnews%2F2022%2F09%2F7%2F7146332%2F</t>
  </si>
  <si>
    <t>M101 105mm howitzer</t>
  </si>
  <si>
    <t>https://www.facebook.com/UkraineMFA/videos/440959088009136/</t>
  </si>
  <si>
    <t xml:space="preserve">https://fakty.com.ua/en/ukraine/20220926-lytva-postavyla-ukrayini-50-btr-m113-glava-minoborony/ </t>
  </si>
  <si>
    <t>LTM9</t>
  </si>
  <si>
    <t>Lithuania is to train Ukranian soldiers in the UK and in Lithuania</t>
  </si>
  <si>
    <t>https://twitter.com/a_anusauskas/status/1579816453611847680</t>
  </si>
  <si>
    <t>LTM10</t>
  </si>
  <si>
    <t>Lithuania is to provide additional military aid to Ukraine, according to Arvydas Anušauskas, the Lithuanian defence minister. The amount of M113 and Armored Toyotas is specified in Source of Aid 2 and 3. Source of aid 4 specified the amount and the price of winter clothing.</t>
  </si>
  <si>
    <t>winter clothing (Lithuania)</t>
  </si>
  <si>
    <t>https://twitter.com/a_anusauskas/status/1580272120306995201</t>
  </si>
  <si>
    <t>https://twitter.com/a_anusauskas/status/1585514603366305794</t>
  </si>
  <si>
    <t>https://twitter.com/a_anusauskas/status/1592084804501401604</t>
  </si>
  <si>
    <t>https://twitter.com/a_anusauskas/status/1575131983499362304</t>
  </si>
  <si>
    <t>Armored toyota Land Cruiser 200</t>
  </si>
  <si>
    <t>Thermal imagery system</t>
  </si>
  <si>
    <t>LTM11</t>
  </si>
  <si>
    <t xml:space="preserve">Lithuania is repairing PzH2000, 6 of which already have been repaired and 14 more are expected to be repaired. </t>
  </si>
  <si>
    <t>Panzerhaubitze 2000 (repair)</t>
  </si>
  <si>
    <t>https://twitter.com/a_anusauskas/status/1586273232511848449</t>
  </si>
  <si>
    <t>https://twitter.com/a_anusauskas/status/1596199415714566144</t>
  </si>
  <si>
    <t>https://twitter.com/a_anusauskas/status/1598967997879955457</t>
  </si>
  <si>
    <t>LTM12</t>
  </si>
  <si>
    <t>According to the Lithuanian minister of defense, on 21 November 2022, the total military aid amounted to over 232 million EUR. Since we have approximately 200 million EUR, we report here the rest.</t>
  </si>
  <si>
    <t>https://twitter.com/a_anusauskas/status/1594701256463110144</t>
  </si>
  <si>
    <t>LTM13</t>
  </si>
  <si>
    <t>According to the Lithuanian minister of defense Lithuania sends undisclosed amount of 155mm ammunition for the Ukrainian artillery.</t>
  </si>
  <si>
    <t>https://twitter.com/a_anusauskas/status/1601586263811031040</t>
  </si>
  <si>
    <t>LTM14</t>
  </si>
  <si>
    <t>According to the Lithuanian minister of defense, on 10 December 2022, the total military aid amounted to 280 million EUR. Since we have approximately 230 million EUR, we report here the rest. Source of aid 2 reports this information earlier.</t>
  </si>
  <si>
    <t>LTM15</t>
  </si>
  <si>
    <t xml:space="preserve">According to the Lithuanian minister of defense, Lithuania sends a new military package worth 125 EUR million. Other sources, however, indicate that 85 EUR million out of 125 EUR million are replacement values for weapons sent to Ukraine, which we report here. The other 40 EUR million are allocated for arms procurement, which we report in LTM16 (Source of aid 2,3).  </t>
  </si>
  <si>
    <t>Bofors L70 anti-aircraft gun</t>
  </si>
  <si>
    <t>https://twitter.com/a_anusauskas/status/1616083097296211969?cxt=HHwWgsDU3ffAve0sAAAA</t>
  </si>
  <si>
    <t>https://twitter.com/a_anusauskas/status/1624309588769087488?cxt=HHwWgIC9veG92ootAAAA</t>
  </si>
  <si>
    <t>LTM16</t>
  </si>
  <si>
    <t>According to the Lithuanian minister of defense, Lithuania is to send 40 EUR million for procurements supporting the Ukrainian military. It was part of a 125 EUR million package; another part is reported in LTM15 (Source of aid 2,3).</t>
  </si>
  <si>
    <t>Anti-drone weapon</t>
  </si>
  <si>
    <t>https://twitter.com/a_anusauskas/status/1617576539377500160?cxt=HHwWgIDQqdrS5PIsAAAA</t>
  </si>
  <si>
    <t>Optics</t>
  </si>
  <si>
    <t>LTM17</t>
  </si>
  <si>
    <t>According to the Lithuanian minister of defense, Lithuania is to send a new military package, which includes 155 mm ammunition, vehicles, and military rations. According to him, this will bring total military aid to Ukraine to 450 EUR million. Therefore, we report the difference here. Later in April, he also specified that the Lithuanian army "delivered six more Land Rover off-road vehicles and military food rations to Ukraine." (Source of aid 3). Since Land-Rovers are mentioned alongside military rations, we assume that this are the vehicle that were mentioned in this package. Since the initial comitted value is unknown, we report at least six mentioned in Source of Aid 3. Source of aid 4 specifies that the Lithuanian army uses Land Rover Defender 110XD.</t>
  </si>
  <si>
    <t>https://twitter.com/a_anusauskas/status/1636260141539422210?cxt=HHwWhMCzib77lLUtAAAA</t>
  </si>
  <si>
    <t>https://lb.ua/society/2023/03/16/549063_litva_novomu_paketi_dopomogi.html</t>
  </si>
  <si>
    <t>https://twitter.com/a_anusauskas/status/1652204325228216320?cxt=HHwWgIC82Y_F5-0tAAAA</t>
  </si>
  <si>
    <t>https://kariuomene.lt/kas-mes-esame/naujienos/vilniuje-lankysis-jungtines-karalystes-kariuomenes-vadas/17044</t>
  </si>
  <si>
    <t>Land Rover Defender</t>
  </si>
  <si>
    <t>Food ration M</t>
  </si>
  <si>
    <t>LTM18</t>
  </si>
  <si>
    <t>According to the Lithuanian minister of defense, the value of the new Lithuanian military support package for Ukraine will reach about 41 EUR million. It will consist of sent equipment, new acquisitions, and contributions to international funds.</t>
  </si>
  <si>
    <t>https://twitter.com/a_anusauskas/status/1643630840654561289?cxt=HHwWkoC88dHirM8tAAAA</t>
  </si>
  <si>
    <t>https://kyivindependent.com/lithuania-to-send-44-million-worth-of-military-aid-to-ukraine/</t>
  </si>
  <si>
    <t>LTH1</t>
  </si>
  <si>
    <t>Equipment and Assistance</t>
  </si>
  <si>
    <t xml:space="preserve">Shipment of first necessity items and equipment. The donations fall within the framework of the EU Civil Protection Mechanism (EUCPM). No further information regarding the shipment has been disclosed. </t>
  </si>
  <si>
    <t>https://lrv.lt/en/news/lithuania-allocates-1-8-mln-euro-worth-aid-to-ukraine?msclkid=2f9d4bd4b05c11ecbef1f3a571834d09</t>
  </si>
  <si>
    <t>https://www.krusnis.lt/en/ministry-of-the-interior/lithuania-allocates-18-mln-euro-worth-aid-to-ukraine</t>
  </si>
  <si>
    <t>https://www.einnews.com/pr_news/563940974/lithuania-allocates-1-8-mln-euro-worth-aid-to-ukraine</t>
  </si>
  <si>
    <t>LTH2</t>
  </si>
  <si>
    <t>The Lithuanian government approved a medical aid package to Ukraine worth 4 million EUR. According to "Source of Aid 1", it includes "medication, face masks, surgical kits, bandages, surgery gowns, various kits to stop bleeding and treat bone fractures, as well as burn wounds". Particular amounts remain undisclosed.</t>
  </si>
  <si>
    <t>https://kariuomene.lt/data/public/uploads/2022/03/lmd_2022_nr.3_kovas_internetui.pdf</t>
  </si>
  <si>
    <t>https://www.lrt.lt/en/news-in-english/19/1628536/lithuania-to-send-eur4-million-medical-military-assistance-to-ukraine</t>
  </si>
  <si>
    <t>LTH3</t>
  </si>
  <si>
    <t>until 4/9/2022</t>
  </si>
  <si>
    <t>According to "Source of Aid 1", Lithuania expressed that it sent in-kind humanitarian and financial assistance worth 40 million EUR. Since no further information is provided, we include the total sum to avoid underestimating the true support. However, we take into account LTH1 and LTH2, and substract it from the mentioned aggregate sum (40-4-1.8=34.2).</t>
  </si>
  <si>
    <t>https://russianstudiesromania.eu/2022/05/25/ukraine-aid-tracker-economic-military-and-humanitarian/</t>
  </si>
  <si>
    <t>LTH4</t>
  </si>
  <si>
    <t>During the High-Level International Donor's Conference for Ukraine on May 5, 2022, Lithuania announced to provide additional 2 million EUR to support internally displaced people in Ukraine (01:44:52 in "Source of Aid 1").</t>
  </si>
  <si>
    <t>LTH5</t>
  </si>
  <si>
    <t>Lithuanian government approves 10 million euros in aid for Ukraine's rebuilding needs</t>
  </si>
  <si>
    <t>https://lrv.lt/en/news/government-approves-10-million-euros-in-aid-for-ukraines-rebuilding-needs</t>
  </si>
  <si>
    <t>https://www.euractiv.com/section/politics/short_news/lithuanian-government-approves-e10-million-package-to-help-rebuild-ukraine/</t>
  </si>
  <si>
    <t>LTH6</t>
  </si>
  <si>
    <t>Lithuania provides €5m to help Ukraine rebuild energy infrastructure. Source of aid 3 specifies the details.</t>
  </si>
  <si>
    <t>https://www.lrt.lt/en/news-in-english/19/1824281/lithuania-provides-eur5m-to-help-ukraine-rebuild-energy-infrastructure</t>
  </si>
  <si>
    <t>https://www.delfi.lt/en/politics/lithuania-provides-eur-5-mln-to-help-ukraine-rebuild-energy-infrastructure.d?id=91786261</t>
  </si>
  <si>
    <t>LTH7</t>
  </si>
  <si>
    <t>Lithuania provides additional 4 million EUR to help Ukraine rebuild energy infrastructure.</t>
  </si>
  <si>
    <t>https://twitter.com/a_anusauskas/status/1597973635004010496</t>
  </si>
  <si>
    <t>https://interfax.com/newsroom/top-stories/85594/</t>
  </si>
  <si>
    <t>LTF1</t>
  </si>
  <si>
    <t>Together with Iceland and Latvia, Lithuania has contributed 12 million EUR to the Multi Donor Trust Fund set up by the World Bank to facilitate financial support to the Ukraine. Latvia contributed 5 million EUR through this vehicle (LVF1). We attribute another 5 million EUR to Lithuania (see "Source of Aid 2"). The contribution is part of the Emergency Financing Package established by the World Bank thats amounts to 723 million USD in total. Other countries have contributed to this Emergency Financing Package: the Netherlands with 89 million USD, Sweden with 50 million USD, the United Kingdom with 100 million USD, Denmark with 22 million USD, Latvia + Lithuania + Iceland with 12 million USD and Japan with 100 million USD.</t>
  </si>
  <si>
    <t>https://mof.gov.ua/en/news/ukraines_state_budget_financing_since_the_beginning_of_the_full-scale_war-3435</t>
  </si>
  <si>
    <t>LTF2</t>
  </si>
  <si>
    <t>According to the official WB list, the Lithuania comitted to a guarantee of PEACE IPF, which was not listed in the previous donations. The project's official documents state that it started in June 2022, but the value was not assigned to each donor at the time.</t>
  </si>
  <si>
    <t>LTF3</t>
  </si>
  <si>
    <t>Lithuania allocates 5 million EUR through the World Bank URTF for urgent reconstruction works in Ukraine.</t>
  </si>
  <si>
    <t>https://finmin.lrv.lt/lt/naujienos/lietuva-per-pasaulio-banka-skiria-5-mln-euru-skubiems-ukrainos-atstatymo-darbams</t>
  </si>
  <si>
    <t>LTF4</t>
  </si>
  <si>
    <t>Lithuania commits to provide EUR 10 million through the World Bank (WB) Facility to finance Ukraine’s reconstruction process and to strengthen Moldova’s resilience. Since we do not know which part goes to Ukraine, we report the total value of the package following our upper-bound approach.</t>
  </si>
  <si>
    <t>https://finmin.lrv.lt/en/news/lithuania-through-the-world-bank-will-provide-eur-10-million-to-ukraine-and-moldova</t>
  </si>
  <si>
    <t>LUM1</t>
  </si>
  <si>
    <t>Luxembourg</t>
  </si>
  <si>
    <t>Following "Source of Aid 1", Luxembourg's defense minister stated on April 25 that the country has provided 50 million EUR in military and financial support to Ukraine until this date. As the government does not provide a detailed breakdown of the total amount (see "Source of Aid 1"), we report the total as military support. Here, we list the two announcements that belong to this 50 million EUR package. First, on February 28 it was announced that Luxembourg would send lethal weapons and equipment. We do not include the military equipment provided to NATO since this is not a direct flow into Ukraine (i.e. not a sovereign-to-sovereign flow). For the same reson, we do not include Luxembourg's contribution to the European funding of 250 million EUR, which refers probably to the EU Civil Protection Mechanism (see "Source of Aid 2" and "Source of Aid 3" of the package from February 28). Second, the minister of defense stated on March 28 that Luxembourg sent more than what is listed above, including protective vests and gas masks. Source of aid 4, published at the end of 2022, specifies what was delivered, and even though we cannot track when each particular item was delivered, we assume that all of them, except GRAD missiles, were committed in the biggest package.</t>
  </si>
  <si>
    <t>https://delano.lu/article/luxembourg-gives-50m-in-milita</t>
  </si>
  <si>
    <t>https://gouvernement.lu/en/actualites/toutes_actualites/communiques/2022/02-fevrier/28-bausch-ukraine.html</t>
  </si>
  <si>
    <t>https://delano.lu/article/zelenskyy-thanks-luxembourg-fo</t>
  </si>
  <si>
    <t>https://twitter.com/Defense_lu/status/1598610977364115462?t=6bU22e0y0z-S3WKot0R3BA&amp;s=19</t>
  </si>
  <si>
    <t>https://delano.lu/article/luxembourg-delivering-substant</t>
  </si>
  <si>
    <t>NLAW anti-tank weapon</t>
  </si>
  <si>
    <t>Jeep Wrangler 4x4</t>
  </si>
  <si>
    <t>Soviet-made RPG-7 anti-tank missile launcher</t>
  </si>
  <si>
    <t>Tactical secure communications system</t>
  </si>
  <si>
    <t>Primoco UAV One 150</t>
  </si>
  <si>
    <t>Armored high mobility multipurpose wheeled vehicle</t>
  </si>
  <si>
    <t>3D scanner</t>
  </si>
  <si>
    <t>light poles set</t>
  </si>
  <si>
    <t>LUM2</t>
  </si>
  <si>
    <t>Luxembourg bought 200 rounds of ammunition for BM-21 Grad from an undisclosed EU country to give Ukraine, Luxembourg Defence Minister François Bausch says. Source of aid 1 specifies that more GRAD missles were bought in 2022, and therefore we increase the number here.</t>
  </si>
  <si>
    <t>GRAD multiple rocket launcher rocket</t>
  </si>
  <si>
    <t>https://www.luxtimes.lu/en/luxembourg/luxembourg-bought-soviet-era-weapons-for-ukraine-62cfbed9de135b9236a64dd4</t>
  </si>
  <si>
    <t>https://www.dw.com/en/ukraine-updates-zelenskyy-hints-he-is-open-to-talks-with-russia/a-63679013</t>
  </si>
  <si>
    <t>LUM3</t>
  </si>
  <si>
    <t>until 10/4/2022</t>
  </si>
  <si>
    <t xml:space="preserve">During the Warsaw Security Forum, François Bausch, Luxembourgish Minister of Defense, said that so far, his country has provided 72 million lethal and non-lethal equipment. We use this number to update the estimates of the aid provided after the last packages, LUM1 and LUM2.    </t>
  </si>
  <si>
    <t>https://gouvernement.lu/en/actualites/toutes_actualites/communiques/2022/10-octobre/04-bausch-warsaw-security-forum.html</t>
  </si>
  <si>
    <t>LUM4</t>
  </si>
  <si>
    <t>until 12/2/2022</t>
  </si>
  <si>
    <t>The Ministry of defense published new information regarding the amount of aid provided until 2 December, which is 75 million EUR. Since we have less, we report the difference here.</t>
  </si>
  <si>
    <t>https://mil.in.ua/en/news/luxembourg-unveils-the-list-of-aid-to-ukraine/</t>
  </si>
  <si>
    <t>LUM5</t>
  </si>
  <si>
    <t>Luxembourg has provided 3.4 EUR million in non-lethal assistance to Ukraine as part of NATO's Comprehensive Assistance Package (CAP Ukraine).</t>
  </si>
  <si>
    <t>https://gouvernement.lu/en/gouvernement/francois-bausch/actualites.gouvernement%2Ben%2Bactualites%2Btoutes_actualites%2Bcommuniques%2B2023%2B02-fevrier%2B15-bausch-reunion-ministres-otan.html</t>
  </si>
  <si>
    <t>LUM6</t>
  </si>
  <si>
    <t>Luxembourg secures military contracts worth €13.2 million for 2023, says defense minister. Later in March, Source of Aid 3 reported that Luxembourg bought 14 armored ambulances for the Ukrainian (Mercedes and Pinzgauer 6x6 armored ambulances). Approximating the price of the vehicles, it is very close to the value reported in this entry. Since no further information for what those contracts were secured, we assume these armored ambulances were purchased with this 13.2 EUR million. We also assume they were equally divided since the specific quantity of each vehicle was not given.</t>
  </si>
  <si>
    <t>Pinzgauer 6x6 armored ambulance</t>
  </si>
  <si>
    <t>https://twitter.com/Francois_Bausch/status/1625574908645281792?cxt=HHwWgMC4mYnxmY8tAAAA</t>
  </si>
  <si>
    <t>https://www.luxtimes.lu/en/luxembourg/luxembourg-to-provide-ukraine-more-military-aid-63eca7e8de135b9236d89779</t>
  </si>
  <si>
    <t>https://www.luxtimes.lu/luxembourg/luxembourg-sends-14-Armored-ambulances-to-ukraine/1356098.html</t>
  </si>
  <si>
    <t>Mercedes 6x6 armored ambulance</t>
  </si>
  <si>
    <t>LUH1</t>
  </si>
  <si>
    <t>until 5/5/2022</t>
  </si>
  <si>
    <t>According to the statement of the Prime Minister as of May 5 (see 2:17:20 in "Source of Aid 1"), Luxembourg had until that date contributed 3 million EUR in humanitarian aid to Ukraine. Being part of it, we report for Luxembourg a delivery containing medical and technical equipment as of February 28 ("Source of Aid 2"). This assistance falls within the framework of the EU Civil Protection Mechanism (EUCPM). No further information regarding the shipment has been disclosed.</t>
  </si>
  <si>
    <t>https://gouvernement.lu/en/actualites/toutes_actualites/communiques/2022/02-fevrier/28-bofferding-ucpm.html</t>
  </si>
  <si>
    <t>https://dia.dp.gov.ua/en/luxembourg-will-be-with-ukraine-as-long-as-the-russian-war-continues/#:~:text=Since%20the%20beginning%20of%20the,for%20child%20protection%20and%20demining</t>
  </si>
  <si>
    <t>LUH2</t>
  </si>
  <si>
    <t xml:space="preserve">"Source of Aid 1" indicates that Luxembourg sent material contributions, namely 50 tons of fire-fighting equipment and medical supplies and medicines. Note that we do not count the mentioned assistance of 2.8 million in "Source of Aid 1", because this is devoted to multilateral organizations. The Prime Minister reiterated this aid within his statement, as of May 5 ("Source of Aid 2", 2:17:20). </t>
  </si>
  <si>
    <t>ton of fire-fighting equipment</t>
  </si>
  <si>
    <t>https://today.rtl.lu/news/luxembourg/a/1881929.html</t>
  </si>
  <si>
    <t>LUH3</t>
  </si>
  <si>
    <t>Luxembourg increased its humanitarian efforts with 1 million EUR "with a focus on children's safety" (see 2:17:40 in "Source of Aid 1").</t>
  </si>
  <si>
    <t>LUH4</t>
  </si>
  <si>
    <t>The Ministry of Culture of Luxembourg allocated 1.3 million (approximately 32000 EUR) hryvnias to support Ukrainian artists.</t>
  </si>
  <si>
    <t>https://mkip.gov.ua/news/8816.html</t>
  </si>
  <si>
    <t>MTH1</t>
  </si>
  <si>
    <t>Malta</t>
  </si>
  <si>
    <t xml:space="preserve">Six large containers with medicines and medical equipment with a value of 1.15 million EUR, delivered through a coordinated national effort between the Ministry for Foreign and European Affairs and the Ministry for Home Affairs, National Security and Law Enforcement. Efforts are being coordinated by the Civil Protection Department. </t>
  </si>
  <si>
    <t>https://foreignandeu.gov.mt/en/Government/Press%20Releases/Pages/The-Government-of-Malta-is-committed-to-providing-official-aid-to-address-the-humanitarian-needs-of-the-people-of-Ukraine.aspx</t>
  </si>
  <si>
    <t>https://www.independent.com.mt/articles/2022-02-25/local-news/Malta-to-send-humanitarian-aid-to-Ukrainian-people-6736240942</t>
  </si>
  <si>
    <t>MTH2</t>
  </si>
  <si>
    <t>until 12/14/2022</t>
  </si>
  <si>
    <t xml:space="preserve">At the international conference on the Resiliance of Ukrainian people in Paris, Malta Foreign Minister says that Malta has provided Ukraine with 1.7 million EUR in emergency aid since March, mostly involving medical equipment and medicine. We take this amount to do a benchmark and subtract the previous value of humanitarian aid (MTH1) to get 550,000 EUR. </t>
  </si>
  <si>
    <t>https://timesofmalta.com/articles/view/maltas-gives-ukraine-17-million-emergency-assistance.1001419</t>
  </si>
  <si>
    <t>https://www.maltatoday.com.mt/news/national/120300/ian_borg_malta_has_given_ukraine_17_million_in_emergency_aid_since_march</t>
  </si>
  <si>
    <t>MTH3</t>
  </si>
  <si>
    <t xml:space="preserve">The Prime Minister states that Malta will donate 20 industrial generators and medical equipment to Ukraine via the European Mechanism for Civil Protection. The aid is worth 370,000 EUR. </t>
  </si>
  <si>
    <t>https://timesofmalta.com/articles/view/malta-send-20-generators-medical-equipment-ukraine.1008690</t>
  </si>
  <si>
    <t>https://www.independent.com.mt/articles/2023-01-22/local-news/Malta-to-donate-20-industrial-generators-medical-equipment-to-Ukraine-6736249053</t>
  </si>
  <si>
    <t>https://tvmnews.mt/en/news/malta-to-send-more-generators-and-medical-equipment-to-ukraine/</t>
  </si>
  <si>
    <t>NLM1</t>
  </si>
  <si>
    <t>Netherlands</t>
  </si>
  <si>
    <t>Military equipment, equipment for protection (such as helmets, vests, detectors and radar systems) and lethal weapons such as rifles and ammunitions. "Source of Aid 3" mentions that the Minister of Foreign Affairs quantifies this package to about 7.4 million EUR. This delivery is part of the total military aid by the Netherlands until March 31, amounting to 50 million EUR ("Source of Aid 1").</t>
  </si>
  <si>
    <t>https://english.defensie.nl/latest/news/2022/04/06/a-look-at-the-defence-news-28-march---3-april</t>
  </si>
  <si>
    <t>https://www.government.nl/topics/russia-and-ukraine/news/2022/02/18/the-netherlands-intends-to-supply-military-goods-to-ukraine</t>
  </si>
  <si>
    <t>https://www.volkskrant.nl/nieuws-achtergrond/nederland-levert-militaire-goederen-en-wapens-aan-oekraine-ter-waarde-van-7-4-miljoen-euro~be2a2004/?referrer=https%3A%2F%2Fen.wikipedia.org%2F</t>
  </si>
  <si>
    <t>https://www.news18.com/news/world/ukraine-asks-for-military-aid-from-world-netherlands-us-among-25-countries-to-provide-support-4814291.html</t>
  </si>
  <si>
    <t>metal detector</t>
  </si>
  <si>
    <t>wire-guided detection robots for land and sea mine detection</t>
  </si>
  <si>
    <t>SQUIRE Ground Surveillance Radar</t>
  </si>
  <si>
    <t>Hughes AN/TPQ-36 Firefinder weapon locating system</t>
  </si>
  <si>
    <t>Barrett M82 sniper rifle</t>
  </si>
  <si>
    <t>Accuracy International sniper rifle(AX308 and AX 338)</t>
  </si>
  <si>
    <t>round of ammunition for sniper rifles</t>
  </si>
  <si>
    <t xml:space="preserve">Lethal weapons. This delivery is part of the total military aid by the Netherlands until March 31, amounting to 50 million EUR ("Source of Aid 1"). We don't include the Dutch contribution to NATO, since it's not a direct flow to Ukraine and not a sovereign-to-sovereign donation. </t>
  </si>
  <si>
    <t>https://www.defensie.nl/actueel/nieuws/2022/02/26/ook-antitankwapens-van-nederland-naar-oekraine</t>
  </si>
  <si>
    <t>https://www.rijksoverheid.nl/documenten/kamerstukken/2022/02/27/kamerbrief-update-afgifte-vergunning-voor-de-export-van-militaire-goederen-aan-oekraine</t>
  </si>
  <si>
    <t>https://www.aljazeera.com/news/2022/2/26/germany-approves-delivery-of-rpgs-from-netherlands-to-ukraine</t>
  </si>
  <si>
    <t>missile for Panzerfaust 3</t>
  </si>
  <si>
    <t>On March 16, the Defence Minister announced that the Netherlands are going to provide additional weapons ("Source of Aid 2"). However, no further information was given. This delivery is part of the total military aid by the Netherlands until March 31, amounting to 50 million EUR ("Source of Aid 1").</t>
  </si>
  <si>
    <t>https://www.reuters.com/world/europe/dutch-others-will-continue-deliver-weapons-ukraine-dutch-minister-2022-03-16/</t>
  </si>
  <si>
    <t>The Netherlands announced to send, in addition to howitzers (see "NLM2") to send armored vehicles ("Source of Aid 2"). "Source of Aid 3" specifies that it is about YPR-765 infantry vehicles. And as we can track the delivery of them until June 7, they are part of the total military aid provided until June 9, amounting to 130.4 million EUR.</t>
  </si>
  <si>
    <t>YPR-765 infantry vehicle</t>
  </si>
  <si>
    <t>https://twitter.com/MinPres/status/1516393082148773892</t>
  </si>
  <si>
    <t>https://www.defensie.nl/onderwerpen/oostflank-navo-gebied/militaire-steun-aan-oekraine</t>
  </si>
  <si>
    <t>until 6/9/2022</t>
  </si>
  <si>
    <t>It was reported that the Netherlands have provided Ukraine with an undisclosed amount of drones. Moreover, as clarified by "Source of Aid 2", this has not included armed drones.</t>
  </si>
  <si>
    <t>https://nos.nl/artikel/2432074-nederland-levert-ook-drones-aan-oekraine-per-ongeluk-bekend-geworden</t>
  </si>
  <si>
    <t>https://defence-blog.com/dutch-ypr-765-infantry-vehicles-arrived-in-ukraine/</t>
  </si>
  <si>
    <t>NLM2</t>
  </si>
  <si>
    <t>"Source of Aid 1" states that the Netherlands planned to send heavy weapons on April 19, without specifying further information. On April 20, Bloomberg reported that the Netherlands is sending some of its Panzerhaubitze 2000 long-range armored howitzers to Ukraine. "Source of Aid 2" (as of April 25) indicates the shipment of five 155mm Howitzers. Moreover, the Netherlands is going to send armored fighting vehicles (undisclosed amount). Source of Aid 3 published in 2023 specified quantities of some weapons previously undisclosed. It did not provide any information regarding the timing of delivery. We, therefore, assume everything was comitted\delivered proportionally. For example, in the case of YPR-765, the Netherlands announced its delivery twice. Thus, we attribute 98 IFV to one delivery and 98 to another.</t>
  </si>
  <si>
    <t>https://www.forbes.com/sites/sebastienroblin/2022/04/21/the-dutch-are-sending-huge-german-armored-howitzers-to-ukraine/?sh=6c70196f9380</t>
  </si>
  <si>
    <t>http://web.archive.org/web/20230413215328/https://www.defensie.nl/onderwerpen/oostflank-navo-gebied/militaire-steun-aan-oekraine</t>
  </si>
  <si>
    <t>https://twitter.com/oleksiireznikov/status/1539234531764486149</t>
  </si>
  <si>
    <t>NLM3</t>
  </si>
  <si>
    <t>As reported by the British Minister of Defence, the Netherlands announced to support Ukraine with anti-ship rockets, namely Harpoon missiles. No further information regarding the amount was disclosed.</t>
  </si>
  <si>
    <t>https://nltimes.nl/2022/06/16/netherlands-give-ukraine-anti-ship-rockets</t>
  </si>
  <si>
    <t>https://www.defencetalk.com/uk-to-deliver-rocket-launchers-to-ukraine-soon-defence-secretary-78981/</t>
  </si>
  <si>
    <t>NLM4</t>
  </si>
  <si>
    <t>In a common statement together with the German Minister, the Dutch Minister of Defence announced to provide together with Germany in total six additional Panzerhaubitze 2000, three by each of the both countries.</t>
  </si>
  <si>
    <t>https://www.reuters.com/world/europe/germany-netherlands-supply-six-more-howitzers-kyiv-2022-06-28/</t>
  </si>
  <si>
    <t>https://www.dw.com/en/germany-netherlands-promise-additional-howitzers-to-ukraine/a-62294789</t>
  </si>
  <si>
    <t>https://www.defensie.nl/onderwerpen/oostflank-navo-gebied/wat-doet-nederland</t>
  </si>
  <si>
    <t>NLM5</t>
  </si>
  <si>
    <t>until 09/08/2022</t>
  </si>
  <si>
    <t>According to the letter to the Parliament issued on November 16, the Netherlands provided 526 million EUR of military aid until August 9 (Source of aid 1). Other official source issued later confirm it (Source of aid 2 and 3). Since our dataset only records 160 million EUR committed until this date, we report the rest of it here.</t>
  </si>
  <si>
    <t>https://www.tweedekamer.nl/downloads/document?id=2022D47819</t>
  </si>
  <si>
    <t>http://web.archive.org/web/20221210213619/https://www.defensie.nl/onderwerpen/oostflank-navo-gebied/militaire-steun-aan-oekraine</t>
  </si>
  <si>
    <t>NLM6</t>
  </si>
  <si>
    <t>Minister for Foreign Trade and Development Cooperation Liesje Schreinemacher and Minister of Defence Kajsa Ollongren pledged a new aid package for Ukraine during their joint visit to Kyiv on 22 August. 10 EUR million will be provided to clear landmines and other explosive remnants of war, which is listed as military assistance. Other commitments were dedicated to financial purposes (see NLF3).</t>
  </si>
  <si>
    <t>https://www.government.nl/latest/news/2022/08/22/extra-dutch-support-for-ukrainian-war-effort-and-reconstruction</t>
  </si>
  <si>
    <t>https://www.euractiv.com/section/politics/short_news/dutch-to-send-extra-war-efforts-to-ukraine/</t>
  </si>
  <si>
    <t>NLM7</t>
  </si>
  <si>
    <t>Weapons and Assistance</t>
  </si>
  <si>
    <t xml:space="preserve">The Netherlands is supplying heavy military equipment to Ukraine. The total value of the support package is € 120 million, of which € 45 million is designated for providing T-72 tanks. The first batch of tanks is expected to be delivered to Ukraine as early as next month. According to Source of aid 2 the government will not provide any further information about the content of this package. Source of Aid 3 states that the T-72 tanks come from Czech industry stocks, which is why we attribute 45 T-72 units, and not just the overhaul, to the Netherlands as bilateral aid, since the Netherlands bought the tanks from the Czech Republic, refurbished them, and donated them to Ukraine.
</t>
  </si>
  <si>
    <t>overhauled T-72</t>
  </si>
  <si>
    <t>https://www.defensie.nl/actueel/nieuws/2022/11/04/nederlands-militair-steunpakket-voor-oekraine</t>
  </si>
  <si>
    <t>https://www.rtlnieuws.nl/nieuws/politiek/artikel/5344701/kabinet-120-miljoen-extra-militaire-steun-voor-oekraine</t>
  </si>
  <si>
    <t>https://mocr.army.cz/informacni-servis/zpravodajstvi/cr-chce-na-ukrajinu-posilat-vic-modernizovanych-tanku-t-72-243353/</t>
  </si>
  <si>
    <t>NLM8</t>
  </si>
  <si>
    <t>Funding for Weapon Acquisition Program</t>
  </si>
  <si>
    <t>The Netherlands is to contribute €100 million to the newly created International Fund for Ukraine (IFU) to finance military materiel for Ukraine. Besides the Netherlands, the other fund participants are its initiator the United Kingdom, Denmark and Norway.</t>
  </si>
  <si>
    <t>NLM9</t>
  </si>
  <si>
    <t>The Netherlands is to allocate 20 EUR million to Ukraine through the NATO Ukraine Comprehensive Assistance Package (UCAP). This was announced by the Deputy Prime Minister of the Netherlands, Wopke Hoekstra. Later it was specified that the Netherlands increased its donation to Ukraine Comprehensive Assistance Package (UCAP) by 5 EUR million (Source of aid 3).</t>
  </si>
  <si>
    <t>https://twitter.com/NATOpress/status/1592113284790235136</t>
  </si>
  <si>
    <t>https://mil.in.ua/en/news/the-netherlands-to-allocate-e-20-million-to-ukraine-through-the-nato-trust-fund/</t>
  </si>
  <si>
    <t>http://web.archive.org/web/20230306052236/https://www.defensie.nl/onderwerpen/oostflank-navo-gebied/militaire-steun-aan-oekraine</t>
  </si>
  <si>
    <t>NLM10</t>
  </si>
  <si>
    <t>According to the letter to the official website, the Netherlands provided 697 million EUR of military aid until December 16 (Source of aid 1). This does not include the 120 million package that includes T-72 mentioned in NLM7. Since our dataset only records 536 million EUR committed until this date, we report the rest here. Please note we report this value without 3.5 million EUR from NLH7. Since the Ministry of defense reported this project, we assume that it is included in "de goederen die geleverd zijn" or "goods that have been delivered" from Source of aid 1. Source of aid 2 specified that total military aid from the Netherlands is 987 million EUR. Since we do not count 25 million to the NATO fund and 100 million to International Fund for Ukraine, it increases the current package by 40.5 million EUR.</t>
  </si>
  <si>
    <t>https://www.defensie.nl/actueel/nieuws/2022/12/16/waarde-van-militaire-steun-aan-oekraine-nadert-1-miljard</t>
  </si>
  <si>
    <t>NLM11</t>
  </si>
  <si>
    <t xml:space="preserve">The Dutch Cabinet approved the proposal by ministers Liesje Schreinemacher (Foreign Trade and Development Cooperation), Wopke Hoekstra (Foreign Affairs), Kajsa Ollongren (Defence), and Sigrid Kaag (Finance) to earmark €2.5 billion for support to Ukraine in 2023 (Source of aid 1,2). This amount excludes the liquidity support going through the EU and the support for the reception of Ukrainians in the Netherlands (Source of aid 2). Since we do not know which part goes to which type of aid, we assume that it will follow the pattern of Dutch assistance in 2022, and therefore, 60% go to military aid, 25% go to financial aid, and 15% go to humanitarian. </t>
  </si>
  <si>
    <t>https://www.government.nl/latest/news/2022/12/23/netherlands-support-ukraine-2023-news</t>
  </si>
  <si>
    <t>https://www.tweedekamer.nl/kamerstukken/brieven_regering/detail?id=2022D56571&amp;did=2022D56571</t>
  </si>
  <si>
    <t xml:space="preserve">The Netherlands supplies Ukraine with a Patriot air defense weapon system and 100 commercially purchased vehicles with anti-aircraft guns in the Czech Republic. According to the Czech New Agency (CTK), which was cited by other media (Source of aid 2), the Netherlands is going to finance the production of 100 Toyota all-terrain vehicles equipped with machine guns. According to the same source, similar anti-aircraft vehicles were prepared for Ukraine before via crowdfunding. During this campaign, organizers collected 90 million crowns for 15 air defense systems called "Viktor". According to the official website of this campaign, the goal for 15 vehicles is 3.8 USD million (Source of aid 3).  </t>
  </si>
  <si>
    <t>https://www.defensie.nl/onderwerpen/oostflank-navo-gebied/nieuws/2023/01/20/details-bekend-over-nederlandse-levering-patriot-luchtverdediging-aan-oekraine</t>
  </si>
  <si>
    <t>https://www.pravda.com.ua/eng/news/2023/02/16/7389716/</t>
  </si>
  <si>
    <t>https://www.weaponstoukraine.com/kampane/viktor-mobile-air-defense-for-ukraine</t>
  </si>
  <si>
    <t>Toyota off-road vehicle with paired KPVT machine gun</t>
  </si>
  <si>
    <t xml:space="preserve">The Netherlands, together with Denmark and Germany, is supplying at least 100 Leopard 1A5 main battle tanks to Ukraine. According to an official statement, the Netherlands is to buy these tanks. The official German source (Source of Aid 2) reports 110 Leopard-1A5 that are part of this cooperation. </t>
  </si>
  <si>
    <t>https://www.defensie.nl/onderwerpen/oostflank-navo-gebied/nieuws/2023/02/07/nederland-koopt-leopard-1-tanks-voor-oekraine</t>
  </si>
  <si>
    <t xml:space="preserve">In April 2023, the Netherlands created a page listing all the equipment comitted to Ukraine. We report here everything that was not included in previous donations. In this entry, we use the page posted on April 5. Please note that we do not include 2 mine hunters of the Alkmaar class, since they are to be delivered in 2025.
</t>
  </si>
  <si>
    <t>Fennek reconnaissance vehicles</t>
  </si>
  <si>
    <t>https://english.defensie.nl/latest/news/2023/03/14/ollongren-promises-minehunters-for-ukraine-during-visit-to-bombed-port-cities</t>
  </si>
  <si>
    <t>In April 2023, the Netherlands created a page listing all the equipment comitted to Ukraine. We report here everything that was not included in previous donations. In this entry, we use the page posted on April 5.</t>
  </si>
  <si>
    <t>BvS 10</t>
  </si>
  <si>
    <t>Bailey bridges</t>
  </si>
  <si>
    <t>M3 pontoon systems</t>
  </si>
  <si>
    <t>vehicles (4-ton trucks, Amarok vehicles and ambulances )</t>
  </si>
  <si>
    <t>Scanjack 3500 Mine Clearing System</t>
  </si>
  <si>
    <t>Bozena 5 Mine Clearing System</t>
  </si>
  <si>
    <t>mine detector</t>
  </si>
  <si>
    <t xml:space="preserve">In April 2023, the Netherlands created a page listing all the equipment comitted to Ukraine. We report here everything that was not included in previous donations. In this entry, we use the page posted on April 5. </t>
  </si>
  <si>
    <t>field hospital (NL, ES, NW)</t>
  </si>
  <si>
    <t>The Netherlands is contributing 260 EUR million to a joint purchase of ammunition for Ukraine, Minister Kajsa Ollongren said. Source of aid 2 says that the first is a 130 EUR million contribution to the European Defence Agency (EDA), while another 130 EUR million will go to the German initiative for the joint purchase of equipment.</t>
  </si>
  <si>
    <t>ammunition procurement (NL)</t>
  </si>
  <si>
    <t>https://www.defensie.nl/actueel/nieuws/2023/05/23/eu-raad-defensieministers-munitie-voor-oekraine-opschaling-productie-en-nieuwe-defensieprojecten</t>
  </si>
  <si>
    <t>In April 2023, the Netherlands created a page listing all the equipment comitted to Ukraine. We report here everything that was not included in previous donations. In this entry, we use the page posted on May 30 (according to the metadata).</t>
  </si>
  <si>
    <t>NLH1</t>
  </si>
  <si>
    <t>Emergency assistance worth 15 million EUR. "Source of Aid 1" and "Source of Aid 2" list also other aid packages directed to or offered by international organizations and, thus, not reported in our main dataset. We don't report the 20 million EUR given to the United Nations, the aid provided by the Dutch Relief Alliance (DRA) amounting to  2.5 million EUR, the 1 million EUR provided to the United Nation's Office of the High Commissioner for Human Rights (OHCHR), the 1 million EUR fund established for the defense of human rights, the aid provided by the UN Central Emergency Fund nor by the World Health Organization's Contingency Fund for Emergencies (CFE).</t>
  </si>
  <si>
    <t>https://www.government.nl/topics/russia-and-ukraine/dutch-aid-for-ukraine#:~:text=Humanitarian%20aid%20for%20Ukraine%20The%20Netherlands%20is%20supporting,available%20for%20victims%20of%20the%20war%20in%20Ukraine.?msclkid=75995df0b05d11eca834a0801d91bf9b</t>
  </si>
  <si>
    <t>https://www.vindobona.org/article/attack-on-ukraine-austria-extends-aid-from-foreign-disaster-fund-to-a-total-of-17-5-million-euros</t>
  </si>
  <si>
    <t>NLH2</t>
  </si>
  <si>
    <t>Support of the work of the Red Cross in Ukraine and in neighboring countries where refugees are fleeing to. Since it is not possible to differentiate the sum dispatched to Ukraine from the sum dispatched to the neighboring countries, we include the total sum of 1.5 million EUR (following our upper value rule). "Source of Aid 1" lists also other aid packages directed to or offered by international organizations and, thus, not reported in our main dataset (for further information, refer to the explanation of NLH1).</t>
  </si>
  <si>
    <t>NLH3</t>
  </si>
  <si>
    <t>Medical supplies and equipment. Source of Aid 2 also mentions donations from the private sector, which are not included in our dataset, since they are no a sovereign-to-sovereign flow.</t>
  </si>
  <si>
    <t>https://www.rijksoverheid.nl/onderwerpen/russische-inval-in-oekraine/nieuws/2022/03/02/nederland-levert-medicijnen-en-medische-hulpgoederen-aan-oekraine</t>
  </si>
  <si>
    <t>http://web.archive.org/web/20220419070007/https://netherlandsnewslive.com/the-netherlands-supplies-medicines-and-medical-supplies-to-ukraine/373516/</t>
  </si>
  <si>
    <t>coat</t>
  </si>
  <si>
    <t>mouth mask</t>
  </si>
  <si>
    <t>NLH4</t>
  </si>
  <si>
    <t>Prime Minister Rutte stated that the Netherlands is going to provide 5 million EUR of fuel (no quantity specified, see NLH5) and furthermore, 17 ambulances (see 2:15:30, "Source of Aid 1").</t>
  </si>
  <si>
    <t>NLH5</t>
  </si>
  <si>
    <t>Prime Minister Rutte stated that the Netherlands is going to provide 5 million EUR of fuel (no quantity specified) and furthermore, 17 ambulances (see NLH4) (see 2:15:30, "Source of Aid 1").</t>
  </si>
  <si>
    <t>NLH6</t>
  </si>
  <si>
    <t>The Netherlands announced a new contribution of 70 million euros for winterization activities. The Ukrainian authorities can use these funds directly to repair rooftops, power lines and water sources. And to buy gas to get their citizens through the cold winter. Source of aid 2 specifies that this amount will be increased by 110 million euros, making it 180 million euros in total. The letter to the Parliament specifies how this package was disbursed (Source of aid 3). Thus, EUR 90 million was disbursed through the World Bank, EUR 72 million through the European Bank for Reconstruction and Development (EBRD), and EUR 18 million through the Ministry of Economic Affairs and Climate budget.</t>
  </si>
  <si>
    <t>https://twitter.com/LSchreinemacher/status/1580222344538169346?ref_src=twsrc%5Etfw%7Ctwcamp%5Etweetembed%7Ctwterm%5E1580222344538169346%7Ctwgr%5Eda5480de56b54594938272c57ded09082863f933%7Ctwcon%5Es1_&amp;ref_url=https%3A%2F%2Fwww.eurointegration.com.ua%2Fnews%2F2022%2F10%2F13%2F7148653%2F</t>
  </si>
  <si>
    <t>https://twitter.com/LSchreinemacher/status/1591089465719926784</t>
  </si>
  <si>
    <t>https://www.tweedekamer.nl/kamerstukken/brieven_regering/detail?id=2022Z24701&amp;did=2022D53048</t>
  </si>
  <si>
    <t>NLH7</t>
  </si>
  <si>
    <t>Together with Estonia and Norway, the Netherlands is donating a field hospital to Ukraine.</t>
  </si>
  <si>
    <t>https://www.defensie.nl/onderwerpen/oostflank-navo-gebied/nieuws/2022/12/01/nederland-doneert-met-noorwegen-en-estland-veldhospitaal-aan-oekraine</t>
  </si>
  <si>
    <t>NLH8</t>
  </si>
  <si>
    <t>The first support package for Ukraine in 2023 comes from 2.5 million reserved for Ukraine in 2023. 180 EUR million is earmarked for humanitarian aid, agriculture, and rehabilitation work. Of this amount, 20 EUR million will go to humanitarian aid,  10 EUR million to mental health care and psychosocial support, and 10 EUR million to demining agricultural land, among other things. Minister Schreinemacher is also making 40 EUR million available for the purchase of seed and equipment for Ukrainian agriculture. In addition, 100 EUR million will go to the rehabilitation of hospitals and health care, energy supply, housing, and infrastructure. The support package is being implemented in collaboration with the UN, World Bank, development bank EBRD, and NGOs.</t>
  </si>
  <si>
    <t>https://www.rijksoverheid.nl/onderwerpen/russische-inval-in-oekraine/nieuws/2023/04/03/eerste-steunpakket-voor-oekraine-in-2023-274-miljoen-euro-voor-strijd-en-herstel</t>
  </si>
  <si>
    <t>https://www.rijksoverheid.nl/onderwerpen/russische-inval-in-oekraine/nederlandse-hulp-voor-oekraine</t>
  </si>
  <si>
    <t>NLF1</t>
  </si>
  <si>
    <t>The Netherlands have contributed 80 million EUR to the "FREE Ukraine Support Package". The latter is part of the Emergency Financing Package established by the World Bank and amounting to 723 million USD. Other countries have contributed to Emergency Financing Package: Sweden with 50 million USD, United Kingdom with 100 million USD, Denmark with 22 million USD, Latvia + Lithuania + Iceland with 12 million USD and Japan with 100 million USD.</t>
  </si>
  <si>
    <t>NLF2</t>
  </si>
  <si>
    <t>According to the official WB list, the Netherlands comitted to a guarantee of PEACE IPF, which was not listed in the previous donations. The project's official documents state that it started in June 2022, but the value was not assigned to each donor at the time.</t>
  </si>
  <si>
    <t>NLF3</t>
  </si>
  <si>
    <t>According to Ukrinform correspondent, during the Ukraine Recovery Conference in Lugano, a representative of the Dutch government stated the Kingdom of the Netherlands had allocated a EUR 200 million loan for Ukraine, which will be used through the International Monetary Fund (IMF) on the day-to-day needs of Ukraine’s public sector, including the payment of salaries. Official source confirmed it later (Source of aid 2).</t>
  </si>
  <si>
    <t>https://www.kyivpost.com/world/netherlands-allocates-eur-200m-loan-for-ukraine.html</t>
  </si>
  <si>
    <t>https://www.government.nl/topics/russia-and-ukraine/dutch-aid-for-ukraine</t>
  </si>
  <si>
    <t>NLF4</t>
  </si>
  <si>
    <t xml:space="preserve">Minister for Foreign Trade and Development Cooperation Liesje Schreinemacher and Minister of Defence Kajsa Ollongren made pledged a new aid package for Ukraine during their joint visit to Kyiv on 22 August. 65 EUR million will go for aid and investment in Ukraine. Moreover, 1 EUR million will support initial design plans for rebuilding three cities: Kherson, Odesa and Mykolaiv, and another 2.5 EUR million will go to the European Bank for Reconstruction and Development (EBRD) to share knowledge with bodies such as the National Bank of Ukraine concerning macroeconomic reforms, good governance and the rule of law. An additional 10 EUR million will be provided to clear landmines and other explosive remnants of war, which is listed as military assistance (See NLM5).   </t>
  </si>
  <si>
    <t>NLF5</t>
  </si>
  <si>
    <t>During the EBRD Annual Meeting and Business Forum 2023, the Netherlands made 40 EUR million in grants available to support the Bank’s operations in Ukraine.</t>
  </si>
  <si>
    <t>https://www.ebrd.com/news/2023/ebrd-and-the-netherlands-cooperate-to-support-ukraine-.html</t>
  </si>
  <si>
    <t>NZM1</t>
  </si>
  <si>
    <t>New Zealand</t>
  </si>
  <si>
    <t>The aid consists of protective equipment (body armor plates, helmets, and camouflage vests) announced in tandem with NZM2.</t>
  </si>
  <si>
    <t>NZD</t>
  </si>
  <si>
    <t>https://www.beehive.govt.nz/release/nz-provide-non-lethal-military-assistance-ukraine</t>
  </si>
  <si>
    <t>https://www.reuters.com/world/new-zealand-provide-ukraine-with-non-lethal-military-assistance-2022-03-21/</t>
  </si>
  <si>
    <t>https://www.rnz.co.nz/news/national/464762/first-shipment-of-nz-defence-equipment-arrives-to-aid-ukraine</t>
  </si>
  <si>
    <t>camouflage vest</t>
  </si>
  <si>
    <t>NZM2</t>
  </si>
  <si>
    <t>The total sum is attributed to a NATO Trust Fund and TAIT Communications that provides non-lethal military aid to Ukraine as well as a direct transfer to the Ukrainian army. Since the share going directly to the Ukrainian army remains undisclosed, we consider the total sum in our data. The share was announced in December 2022 to be NZD 10.6 million for the NATO Trust fund as well as funding for  TAIT Communications for non-lethal military equipment.</t>
  </si>
  <si>
    <t>https://www.mfat.govt.nz/en/countries-and-regions/europe/ukraine/russian-invasion-of-ukraine/</t>
  </si>
  <si>
    <t>NZM4</t>
  </si>
  <si>
    <t>Support commercial satellite access for the Ukrainian Defence Intelligence.</t>
  </si>
  <si>
    <t>https://www.defensenews.com/global/asia-pacific/2022/04/13/new-zealand-bolsters-support-for-ukraine/</t>
  </si>
  <si>
    <t>https://www.aa.com.tr/en/russia-ukraine-war/new-zealand-announces-13m-additional-aid-for-ukraine/2560551</t>
  </si>
  <si>
    <t>NZM5</t>
  </si>
  <si>
    <t xml:space="preserve">New Zealand contributes financially to a weapons and ammunition procurement fund. The fund is set up by the United Kingdom, but is used as a means to transfer in-kind military donation to Ukraine. Since it is similar to other cases like the EU Civil protection mechanism or the World Bank funds (Donation ID WBF1, WBF2), we include this contribution. </t>
  </si>
  <si>
    <t>NZM6</t>
  </si>
  <si>
    <t>New Zealand provides approximately 40 gun sights to Ukraine, along with a small quantity of ammunition for training purposes. The gun sights and ammunition are connected to weapons training, that Ukrainian Soldiers receive in the UK, for the L119 105mm light field guns. Source of Aid 1 states that 30 men will be deployed to the United Kingdom to aid in the training of Ukrainian Soldiers for using the L119 Light Field gun.</t>
  </si>
  <si>
    <t>gun sight for L119 Light Field gun</t>
  </si>
  <si>
    <t>https://www.beehive.govt.nz/release/nz-provide-additional-deployment-support-ukraine</t>
  </si>
  <si>
    <t>https://www.stuff.co.nz/national/300597643/new-zealand-soldiers-excited-to-assist-ukraine-with-light-gun-training</t>
  </si>
  <si>
    <t>NZM7</t>
  </si>
  <si>
    <t xml:space="preserve">New Zealand announced to provide NZD 4.5 million to the NATO trust fund to ensure the procurement of non-lethal military aid. Source of Aid 1 mentions that this package comes on top of an earlier commitment to the same NATO trust fund over NZD 4.21 million, which is reported in donation ID NZM2. </t>
  </si>
  <si>
    <t>https://www.beehive.govt.nz/release/further-aotearoa-new-zealand-support-ukraine</t>
  </si>
  <si>
    <t>https://www.mfat.govt.nz/en/countries-and-regions/europe/ukraine/russian-invasion-of-ukraine/#:~:text=Funding%20and%20equipment,aid%20kits%20to%20support%20Ukraine.&amp;text=%244.1%20million%20to%20support%20commercial,for%20the%20Ukrainian%20Defence%20Intelligence.</t>
  </si>
  <si>
    <t>NZM8</t>
  </si>
  <si>
    <t>New Zealand announced to train Ukrainian solders to use 105-millimetre howitzers provided by the UK</t>
  </si>
  <si>
    <t>https://www.nytimes.com/2022/07/27/us/politics/ukraine-weapons-center.html</t>
  </si>
  <si>
    <t>NZM9</t>
  </si>
  <si>
    <t>Training and Equipment</t>
  </si>
  <si>
    <t xml:space="preserve">According to Source of Aid 1, New Zealand has committed more personnel for training in the UK and Europe. Additionally, NZD 1.85 million will be provided through a NATO trust fund to provide nonlethal military aid to Ukraine. </t>
  </si>
  <si>
    <t>https://www.beehive.govt.nz/release/assistance-ukraine-extended-and-enhanced</t>
  </si>
  <si>
    <t>NZH1</t>
  </si>
  <si>
    <t>The funding will support health facilities on the ground and provide basic needs like food and hygiene items.</t>
  </si>
  <si>
    <t>https://www.rnz.co.nz/news/world/462443/new-zealand-pledges-2m-for-ukraine-aid</t>
  </si>
  <si>
    <t>https://www.dw.com/en/new-zealand-announces-new-measures-to-support-ukraine/a-61127549</t>
  </si>
  <si>
    <t>NZH2</t>
  </si>
  <si>
    <t xml:space="preserve">The funding of NZD 2 million will support to the United Nations’ Ukraine Humanitarian Fund. The fund works with a range of UN agencies and NGOs to meet the most urgent unmet humanitarian needs through the provision of healthcare, food aid, clean water, shelter and other humanitarian assistance for millions of people inside Ukraine. Source of Aid 1 mentions NZD 8 million in humanitarian aid. Of these, we only count NZD 4 million in total (NZH1, NZH2), as NZD 2 million will be given to an NGO in New Zealand and NDZ 2 million will be given to the UN Refugee Agency, both times not directly benefitting Ukraine. </t>
  </si>
  <si>
    <t>NZH3</t>
  </si>
  <si>
    <t>New Zealand will provide an additional $3 million through the International Committee of the Red Cross (ICRC) to support Ukrainians with basic humanitarian needs as part of our continuing support for Ukraine.</t>
  </si>
  <si>
    <t>https://www.beehive.govt.nz/release/further-humanitarian-support-ukraine-winter-hardships</t>
  </si>
  <si>
    <t>NZH4</t>
  </si>
  <si>
    <t>According to Source of Aid 1, New Zealand contributes additional NZD 2 mil. to the Ukraine Humanitarian Fund to support the provision of healthcare, food assistance, clean water, shelter and other assistance.</t>
  </si>
  <si>
    <t>https://www.beehive.govt.nz/release/increase-nz-support-ukraine#:~:text=%E2%80%9COver%20the%20past%20year%20New,and%20entities%2C%20and%20trade%20measures.</t>
  </si>
  <si>
    <t>https://thewest.com.au/news/world/nz-offers-humanitarian-refugee-support-to-ukraine-c-10535635 </t>
  </si>
  <si>
    <t>https://www.aa.com.tr/en/asia-pacific/new-zealand-increases-support-for-ukraine-extends-defense-forces-deployment-for-1-year/2887867 </t>
  </si>
  <si>
    <t>https://twitter.com/ZelenskyyUa/status/1653841144579538945?cxt=HHwWgoC2mcbwz_MtAAAA </t>
  </si>
  <si>
    <t>NZH5</t>
  </si>
  <si>
    <t>According to Source of Aid 1, New Zealand contributes NZD 1.5 million to the UN High Commissioner for Refugees, providing humanitarian support to Ukrainian refugees.</t>
  </si>
  <si>
    <t>NOM1</t>
  </si>
  <si>
    <t>Norway</t>
  </si>
  <si>
    <t>According to Source of Aid 1, Norway donated in-kind military equipment worth 990 mil. NOK to Ukraine in 2022. Therefore, we summarize all in-kind deliveries made before the anouncement of NOM3 in this package. Since the vast majority of this package has been delivered, we assume the complete package to have been delivered. Since the majority of this package has been announced until August 2022, for aid over time analysis purposes we set this entire donation to August.</t>
  </si>
  <si>
    <t>NOK</t>
  </si>
  <si>
    <t xml:space="preserve">https://www.regjeringen.no/en/topics/foreign-affairs/humanitarian-efforts/neighbour_support/id2908141/?expand=factbox2963912 </t>
  </si>
  <si>
    <t>According to Source of Aid 1, Norway donated in-kind military equipment worth 990 mil. NOK to Ukraine in 2022. Therefore, we summarize all in-kind deliveries made before the anouncement of NOM3 in this package. Since the vast majority of this package has been delivered, we assume the complete package to have been delivered.</t>
  </si>
  <si>
    <t>https://www.regjeringen.no/en/aktuelt/norway-to-provide-weapons-to-ukraine/id2902587/</t>
  </si>
  <si>
    <t>https://www.regjeringen.no/en/aktuelt/ukrainefund/id2909840/</t>
  </si>
  <si>
    <t>https://www.regjeringen.no/en/aktuelt/air-defense-system-to-ukraine/id2908807/</t>
  </si>
  <si>
    <t>https://www.aa.com.tr/en/russia-ukraine-war/norway-sends-roughly-100-anti-aircraft-missiles-to-ukraine/2568447</t>
  </si>
  <si>
    <t>https://www.regjeringen.no/en/aktuelt/norway-provides-additional-weapons-to-ukraine/id2906254/</t>
  </si>
  <si>
    <t>Mistral Air Defence Launcher</t>
  </si>
  <si>
    <t>https://www.regjeringen.no/en/topics/foreign-affairs/humanitarian-efforts/neighbour_support/id2908141/</t>
  </si>
  <si>
    <t>https://www.army-technology.com/projects/mistral-missile/</t>
  </si>
  <si>
    <t>Mistral Air Defence Missile</t>
  </si>
  <si>
    <t>https://techartica.com/this-is-the-first-view-of-the-mistral-antiaircraft-system-in-ukraine-it-shows-how-civilian-cars-are-used-at-war-front/</t>
  </si>
  <si>
    <t>until 4/27/2022</t>
  </si>
  <si>
    <t>https://www.regjeringen.no/en/aktuelt/norway-to-increase-support-to-ukraine-and-provide-military-equipment/id2902406/</t>
  </si>
  <si>
    <t>https://www-forsvaret-no.translate.goog/aktuelt-og-presse/aktuelt/sender-militaerutstyr-og-vapen-til-ukraina?_x_tr_sl=auto&amp;_x_tr_tl=auto&amp;_x_tr_hl=de</t>
  </si>
  <si>
    <t>sleeping mat</t>
  </si>
  <si>
    <t>https://www.regjeringen.no/en/aktuelt/norge-og-storbritannia-gir-langtrekkende-rakettartilleri-til-ukraina/id2921395/</t>
  </si>
  <si>
    <t>https://www.ukrinform.net/rubric-ato/3502204-norway-donates-22-m109-howitzers-to-ukraine.html</t>
  </si>
  <si>
    <t xml:space="preserve">https://www.regjeringen.no/en/aktuelt/norge-og-storbritannia-gir-langtrekkende-rakettartilleri-til-ukraina/id2921395/  </t>
  </si>
  <si>
    <t>https://www-regjeringen-no.translate.goog/no/aktuelt/norge-har-donert-artilleriskyts-til-ukraina/id2917760/?_x_tr_sl=auto&amp;_x_tr_tl=auto&amp;_x_tr_hl=de</t>
  </si>
  <si>
    <t>equipment for M109 artillery gun</t>
  </si>
  <si>
    <t>spare parts for M109 artillery gun</t>
  </si>
  <si>
    <t>until 6/7/2023</t>
  </si>
  <si>
    <t>M270 weapon system (Norway)</t>
  </si>
  <si>
    <t>IVECO LAV 3</t>
  </si>
  <si>
    <t>https://www.regjeringen.no/no/aktuelt/norge-donerer-pansrede-patruljekjoretoy-til-ukraina/id2923198/</t>
  </si>
  <si>
    <t> https://www.ukrinform.net/rubric-ato/3540240-norway-donates-14-iveco-lav-iii-armored-vehicles-to-ukraine.html</t>
  </si>
  <si>
    <t>Black Hornet drone</t>
  </si>
  <si>
    <t>https://www-regjeringen-no.translate.goog/en/aktuelt/droner/id2924942/?_x_tr_sl=auto&amp;_x_tr_tl=uk&amp;_x_tr_hl=uk&amp;_x_tr_pto=op</t>
  </si>
  <si>
    <t>Hellfire missiles</t>
  </si>
  <si>
    <t>https://www.regjeringen.no/en/aktuelt/donerer-hellfire-missiler-og-nattoptikk-til-ukraina/id2926713/</t>
  </si>
  <si>
    <t>Hellfire missiles launching pad</t>
  </si>
  <si>
    <t>Hellfire missiles guidance unit</t>
  </si>
  <si>
    <t>NOM2</t>
  </si>
  <si>
    <t xml:space="preserve">Norway contributes to a weapon and ammunition procurement fund to coordinate acquisition of military equipment for Ukraine. The fund is led by the United Kingdom and coordinates the purchase and transport of defence equipment for Ukraine. The same fund is also mentioned in donation ID NZM5. As this aid was announced in April we consider it to have been pledged entirely in April. </t>
  </si>
  <si>
    <t>NOM3</t>
  </si>
  <si>
    <t xml:space="preserve">Norway pledged a grant of additional NOK 3 billion to support numerous international weapon funds and programs to provide Ukraine with weapons and equipment. Source of Aid 1 mentions NOK 3 billion. </t>
  </si>
  <si>
    <t>https://www.regjeringen.no/en/aktuelt/regjeringen-vil-gi-3-milliarder-kroner-i-militar-stotte-til-ukraina/id2929594/</t>
  </si>
  <si>
    <t>Denmark, Norway and Germany jointly finance a Slovak donation of 16 ZUZANA-2 self-propelled howitzers. Total cost is 92 million EUR. The three countries split the cost equally, so this equals approximately 30.6 million EUR per country. We also assign each country 5 howitzers since it is impossible to divide 16 equally.</t>
  </si>
  <si>
    <t xml:space="preserve">Norway supports the EU Military Assistance Mission for Ukraine with approximately NOK 150 million. The mission coordinates and finances training of Ukrainian soldiers in European Countries. </t>
  </si>
  <si>
    <t>https://www.regjeringen.no/en/aktuelt/eumam/id2948545/</t>
  </si>
  <si>
    <t>Norway has announced to purchase M72 anti-tank weapons and M141 rocket launchers for 280 million kroner and donate them to Ukraine.</t>
  </si>
  <si>
    <t>https://www.regjeringen.no/en/topics/foreign-affairs/humanitarian-efforts/neighbour_support/id2908141/?expand=factbox2947779</t>
  </si>
  <si>
    <t>M141 rocket launcher</t>
  </si>
  <si>
    <t>NOM4</t>
  </si>
  <si>
    <t>2023 Nansen Support Program Military package: Norway has announced the Nansen Support Program for Ukraine. The program will span support over 5 years (2023-2027) and include civilian (=financial) and military aid. The program will provide aid worth NOK 75 billion. For 2023, NOK 7.5 billion in military aid has been announced, and NOK 7.5 billion in civilian aid. We will report the 7.5 billion here, with all subsequent military aid packages from Norway that fall under this support program in 2023 under this donation ID NOM15.</t>
  </si>
  <si>
    <t>https://www.regjeringen.no/en/aktuelt/broad-political-agreement-on-multi-year-support-programme-for-ukraine/id2963374/</t>
  </si>
  <si>
    <t>https://www.regjeringen.no/en/topics/foreign-affairs/humanitarian-efforts/neighbour_support/id2908141/?expand=factbox2963912</t>
  </si>
  <si>
    <t>Norway will donate 8 tanks and up to 4 special purpose tanks to Ukraine. They are also earmarking funds to ammunition and spare parts, says Minister of Defence Bjørn Arild Gram. This donation falls under the framework of the Nansen Support Program for 2023. Source of Aid 2 mentions the special purpose tanks being bridge laying tanks, which is why we report BIBER units, a common variant of bridge laying tank based on the Leopard-2 chassis.</t>
  </si>
  <si>
    <t>https://www.regjeringen.no/en/aktuelt/brusselnyhet/id2963053/</t>
  </si>
  <si>
    <t>https://www.reuters.com/article/ukraine-crisis-norway-idUSKBN2UO0W6</t>
  </si>
  <si>
    <t>Nansen Support Program package: Norway has pledged 2 NASAM systems in cooperation with the US. The systems fall under the Nansen Support Program framework.</t>
  </si>
  <si>
    <t>https://www.regjeringen.no/en/aktuelt/nettsak-miw/id2966031/</t>
  </si>
  <si>
    <t>Nansen Support Program package: Norway has pledged 8000 155mm artillery shells from the Norwegian army stocks. This falls under the Nansen Support Program framework.</t>
  </si>
  <si>
    <t>https://www.regjeringen.no/en/aktuelt/ammo-sak-til-mandag-3-april/id2970220/</t>
  </si>
  <si>
    <t>Nansen Support Program package: Norway has announced to provide training for Ukrainians in F-16 fighter jets. No monetary value or further information is known. This falls under the Nansen Support Program framework.</t>
  </si>
  <si>
    <t>https://www.regjeringen.no/en/aktuelt/norge-stotter-trening-og-opplaring-av-ukrainsk-personell-pa-jagerfly/id2978378/</t>
  </si>
  <si>
    <t>NOM5</t>
  </si>
  <si>
    <t xml:space="preserve">2024-2027 Nansen Support Program Military package: Norway has announced the Nansen Support Program for Ukraine. The program will span support over 5 years (2023-2027) and include civilian (=financial) and military aid. The program will provide aid worth NOK 75 billion. For 2023, NOK 7.5 billion in military aid has been announced, and NOK 7.5 billion in humanitarian aid. The remaining parts of the funding will be reported once their exact composition is announced each year. Since the Norwegian State Budget is subject to the principle of annual budgeting, we do not report the entire commitment immediately, as the budget and its splits between military and humanitarian aid are subject to change. </t>
  </si>
  <si>
    <t>NOH1</t>
  </si>
  <si>
    <t>Following "Source of Aid 1", Norway has provided 265 million NOK in aid through the EU Civil Protection Mechanism to Ukraine. Note that "Source of Aid 1" also lists another package of 100 million NOK (NOH2) and the budget support reported in NOF1. We consider this package to have been pledged entirely in April for Analysis of Aid over time purposes.</t>
  </si>
  <si>
    <t xml:space="preserve">https://www.regjeringen.no/en/topics/foreign-affairs/humanitarian-efforts/neighbour_support/id2908141/ </t>
  </si>
  <si>
    <t>https://twitter.com/norwayeu/with_replies</t>
  </si>
  <si>
    <t>NOH2</t>
  </si>
  <si>
    <t>Following "Source of Aid 1", Norway has provided additional NOK 100 million in medical supplies and material assistance to Ukraine through the EU Civil Protection Mechanism. The information what material assistance includes, is undisclosed. We consider this package to have been pledged entirely in April for Analysis of Aid over Time purposes.</t>
  </si>
  <si>
    <t>NOH3</t>
  </si>
  <si>
    <t xml:space="preserve">Norway offered to treat 550 wounded Ukrainian soldiers in Norway. Source of Aid 1 mentions the arrival of the first ones in Norway. This aid falls under the framework of the EU Civil protection mechanism. Since there is no monetary value of the donation given by the donor and this type of aid is difficult to quantify, we will leave the monetary value cells empty. </t>
  </si>
  <si>
    <t>https://www.regjeringen.no/en/aktuelt/first-wounded-soldiers-from-ukraine-arrive/id2918391/</t>
  </si>
  <si>
    <t>NOH4</t>
  </si>
  <si>
    <t>until 6/2022</t>
  </si>
  <si>
    <t>According to Source of Aid 2, Norway has provided aid worth NOK 310 million to Ukraine through the international Red Cross and Red Cresent Societies. In line with our upper bound approach, we report this value here. Source of Aid 2 reports this value in June 2022, which is also why we report it for this month for the sake of aid over time purposes.</t>
  </si>
  <si>
    <t>https://www.etterretningen.no/2022/06/10/norwegian-support-to-ukraine-and-neighbouring-countries/</t>
  </si>
  <si>
    <t>NOH5</t>
  </si>
  <si>
    <t>until 11/2022</t>
  </si>
  <si>
    <t>According to their official website, Norway has allocated additional funding of NOK 1.26 billion for humanitarian aid in 2022 through the UN framework. Source of Aid 2 states NOK160 million are intended for refugees outside of Ukraine, which is why we correct for this amount. For the purpose of analyzing aid over time, we treat this entry as if it was committed in July.</t>
  </si>
  <si>
    <t>NOH6</t>
  </si>
  <si>
    <t>Norway is allocating NOK 40 million to the UN as seed support for 3,000 smallholder farmers in conflict-affected areas in Ukraine. This will help to ensure access to food for many people,’ said Minister of Foreign Affairs Anniken Huitfeldt. The money is taken from the Nansen Support Program in NOF5.</t>
  </si>
  <si>
    <t>https://www.regjeringen.no/en/aktuelt/seed_support/id2959864/</t>
  </si>
  <si>
    <t>NOH7</t>
  </si>
  <si>
    <t>The Norwegian government has now sent 11 power generators from the Norwegian Civil Defence to Ukraine. No total value of the package is known.</t>
  </si>
  <si>
    <t>https://www.regjeringen.no/en/aktuelt/the-norwegian-government-sends-generators-to-ukraine/id2963933/</t>
  </si>
  <si>
    <t>NOH8</t>
  </si>
  <si>
    <t>According to Source of Aid 1, Norway transfers 400 mil. NOK to the UN Humanitarian Reponse Plan for Ukraine to address humanitarian needs and the needs of internally displaced refugees. The money is taken from the Nansen Support Program in NOF5.</t>
  </si>
  <si>
    <t>https://www.regjeringen.no/en/aktuelt/increases_support/id2964279/</t>
  </si>
  <si>
    <t>NOF1</t>
  </si>
  <si>
    <t>until 5/11/2022</t>
  </si>
  <si>
    <t>The money will be transfered to Ukraine through the Emergency Aid package by the World Bank and is intended to support key government services and pay sallaries in the public sector. Source of Aid 1, 2 state the commitment of initial NOK 200 million, while Source of Aid 3 states an additional commitment of NOK 100 million to the same cause, also via the World Bank Fund. We consider this aid to have been pledged entirely in May for Analysis of Aid over time purposes.</t>
  </si>
  <si>
    <t>https://norwaytoday.info/news/norway-is-giving-200-million-kroner-to-ukrainian-teachers-and-government-employees/</t>
  </si>
  <si>
    <t>https://www.regjeringen.no/en/aktuelt/additional-nok-100-million/id2911879/</t>
  </si>
  <si>
    <t>NOF2</t>
  </si>
  <si>
    <t>Norway decided to allocate NOK 50 million in funding to the European Bank for Reconstruction and Development (EBRD) to help ensure that essential agricultural inputs reach farmers in time.</t>
  </si>
  <si>
    <t>https://www.regjeringen.no/en/aktuelt/norwegian-support-for-farmers/id2911804/</t>
  </si>
  <si>
    <t>https://wataha.no/en/2022/05/07/Norwegian-support-for-farmers-in-Ukraine/</t>
  </si>
  <si>
    <t>NOF3</t>
  </si>
  <si>
    <t>The Norwegian Minister of Finance Trygve Slagsvold Vedum has signed an agreement to provide funding of NOK 2 billion to enable Ukraine to purchase natural gas during the coming winter. The funding will be provided through the EBRD.</t>
  </si>
  <si>
    <t>https://www.regjeringen.no/en/aktuelt/agreement_gas/id2947818/</t>
  </si>
  <si>
    <t>https://reliefweb.int/report/ukraine/norway-increase-support-humanitarian-efforts-and-government-administration-ukraine</t>
  </si>
  <si>
    <t>NOF4</t>
  </si>
  <si>
    <t>NOK 1 billion has been allocated to help the Ukrainian government administration to maintain critical services such as hospitals, schools and other public services. This support is being channelled through the World Bank.</t>
  </si>
  <si>
    <t>NOF5</t>
  </si>
  <si>
    <t xml:space="preserve">2023 Nansen Support Program Civilian package: Norway has announced the Nansen Support Program for Ukraine. The program will span support over 5 years (2023-2027) and include civilian and military aid. The program will provide aid worth NOK 75 billion. For 2023, NOK 7.5 billion in military aid has been announced, and NOK 7.5 billion in civilian aid. 440 mil. NOK out of this civilian aid have been used for NOH6 and NOH8. The remaining 7.06 NOK are for now listed under this donation ID NOF5. </t>
  </si>
  <si>
    <t>https://www.unocha.org/story/un-and-partners-appeal-us56-billion-help-millions-affected-ukraine-war</t>
  </si>
  <si>
    <t>NOF6</t>
  </si>
  <si>
    <t>PLH1</t>
  </si>
  <si>
    <t>Poland</t>
  </si>
  <si>
    <t>120 wagons with 1,500 tons of food. We do not count the aid given to refugees displaced in Poland or in neighbouring countries.</t>
  </si>
  <si>
    <t>https://twitter.com/PremierRP_en/status/1510971075936542726</t>
  </si>
  <si>
    <t>https://tvn24.pl/polska/ukraina-pomoc-humanitarna-z-polski-dotarla-na-ukraine-5660490</t>
  </si>
  <si>
    <t>https://polskatimes.pl/polska-przekazala-ukraincom-pomoc-humanitarna-o-wartosci-300-milionow-zlotych/ar/c1-16217063</t>
  </si>
  <si>
    <t>PLH2</t>
  </si>
  <si>
    <t>Food and medical equipment (02:06:00 of "Source of Aid 1") pledged during the International Donors' Conference on May 5, 2022.</t>
  </si>
  <si>
    <t>PLH3</t>
  </si>
  <si>
    <t>According to the Ukrainian Minister of digital transformation, 5,000 Starlink terminals were sent from the Polish government.</t>
  </si>
  <si>
    <t>https://www.facebook.com/watch/?v=830836764592255</t>
  </si>
  <si>
    <t>PLH4</t>
  </si>
  <si>
    <t>until 04/10/2022</t>
  </si>
  <si>
    <t>According to information provided on the official website of the Ukranian Government, Poland provided US$177 million of humanitarian aid to Ukraine, which is higher than the US$115 million recorded in our dataset. Thus, we report the remaining US$62 million here.</t>
  </si>
  <si>
    <t>https://www.kmu.gov.ua/en/news/yuliia-svyrydenko-polskyi-uriad-hotovyi-stymuliuvaty-biznes-investuvaty-v-ukrainu-i-dokladaie-do-tsoho-maksymum-zusyl</t>
  </si>
  <si>
    <t>PLH5</t>
  </si>
  <si>
    <t>According to the Ukrainian Minister of digital transformation, an additional 1,570 Starlink terminals were sent from the Polish government.</t>
  </si>
  <si>
    <t>https://t.me/zedigital/2613</t>
  </si>
  <si>
    <t>PLH6</t>
  </si>
  <si>
    <t>until 12/31/2022</t>
  </si>
  <si>
    <t>The value of the aid transferred by the Government Strategic Reserve Agency to Ukraine so far is about PLN 1.5 billion. - RARS Chairman Michal Kuczmierowski informed. According to Source of aid 2, among this aid, at least at the beginning of 2022, was food, shelter, medical products, and cleaning products, so we subtract all similar types of aid we reported before and report the rest here. For the purpose of calculation, we convert the value in EUR to subtract previous values and report it as EUR, even though it was initially reported in PLN.</t>
  </si>
  <si>
    <t>https://polskieradio24.pl/42/273/artykul/3124757,15-mld-zl-na-pomoc-dla-walczacej-ukrainy-dzialania-rzadowej-agencji-rezerw-strategicznych</t>
  </si>
  <si>
    <t>https://www.statista.com/statistics/1306947/poland-value-of-material-humanitarian-aid-transferred-by-rars-to-ukraine/</t>
  </si>
  <si>
    <t>PLM1</t>
  </si>
  <si>
    <t>37 trucks with humanitarian aid, weapons and military equipment. No further information has been disclosed, hence, we cannot further quantify this package.</t>
  </si>
  <si>
    <t>https://twitter.com/michaldworczyk/status/1494357415915048962?s=21&amp;t=L7Uw2JWRBlkceKl-kFEvSQ</t>
  </si>
  <si>
    <t>PLM2</t>
  </si>
  <si>
    <t>On June 27 (see "Source of Aid 4"), Michał Dworczyk, the head of the Chancellery of the Prime Minister, said in a interview by Radio Plus that Poland has sent a total amount of 1,8 billion EUR in military aid to Ukraine. Source of Aid 1 lists the first batch of the Polish military aid in April, which is why we consider the entire commitment for the month April for analysis of aid over time purposes.</t>
  </si>
  <si>
    <t>Piorun man-portable air-defense system</t>
  </si>
  <si>
    <t xml:space="preserve">https://www.wsj.com/livecoverage/russia-ukraine-latest-news-2022-04-29/card/poland-has-sent-more-than-200-tanks-to-ukraine-Krwar3DCPzHJJk4UMVh4#:~:text=Poland%20has%20sent%20at%20least,escalating%20fight%20for%20its%20east </t>
  </si>
  <si>
    <t>https://www.rp.pl/biznes/art35754421-polska-bron-dla-ukrainy-pierwsze-transporty-dotarly-kolejne-w-drodze</t>
  </si>
  <si>
    <t>https://cxtvnews.com/military/2022/02/26/polish-military-aid-equipment-has-arrived-in-ukraine/</t>
  </si>
  <si>
    <t>https://300gospodarka.pl/news/dworczyk-wartosc-polskiej-pomocy-militarnej-dla-ukrainy-to-juz-18-mld-euro</t>
  </si>
  <si>
    <t>https://rmx.news/poland/polish-army-to-order-additional-piorun-anti-air-missiles-after-the-weapon-outperforms-on-ukrainian-battlefield/</t>
  </si>
  <si>
    <t>until 6/27/2022</t>
  </si>
  <si>
    <t>https://kyivindependent.com/uncategorized/poland-has-provided-ukraine-with-weapons-worth-1-6-billion/</t>
  </si>
  <si>
    <t>60 mm LMP-2017 mortar</t>
  </si>
  <si>
    <t>FlyEye drone</t>
  </si>
  <si>
    <t>https://radar.rp.pl/przemysl-obronny/art35751811-pioruny-drony-i-amunicja-polskie-uzbrojenie-w-drodze-na-ukraine</t>
  </si>
  <si>
    <t>5.56 mm, 23 mm firearms for the ZU-23-2 cannon</t>
  </si>
  <si>
    <t>152 mm, 125 mm and 122 mm artillery ammunition</t>
  </si>
  <si>
    <t>round of ammunition for 60 mm LMP 2017 mortar</t>
  </si>
  <si>
    <t>https://www.wsj.com/livecoverage/russia-ukraine-latest-news-2022-04-29/card/poland-has-sent-more-than-200-tanks-to-ukraine-Krwar3DCPzHJJk4UMVh4</t>
  </si>
  <si>
    <t>AHS Krab self-propelled howitzer</t>
  </si>
  <si>
    <t>https://polskieradio24.pl/5/1222/Artykul/2968446,Polskie-armatohaubice-KRAB-trafily-do-ukrainskiej-armii?utm_source=polskieradio.pl&amp;utm_medium=mozaika&amp;utm_campaign=mozaika</t>
  </si>
  <si>
    <t>https://mil.in.ua/en/news/zelensky-poland-delivered-a-batch-of-ahs-krab-self-propelled-howitzers-to-ukraine/</t>
  </si>
  <si>
    <t>https://www.youtube.com/watch?v=NegBx708FvQ&amp;ab_channel=UkrainianMilitaryYouTube</t>
  </si>
  <si>
    <t>https://www.armyrecognition.com/defense_news_may_2022_global_security_army_industry/poland_delivers_to_ukraine_18_krab_155mm_self-propelled_howitzers.html</t>
  </si>
  <si>
    <t>According to source of aid 1, Poland has provided Ukraine with 40 BWP-1 IFVs. Source of aid 2 and 3 confirm the delivery of BWP-1 to Ukriane.</t>
  </si>
  <si>
    <t>https://gagadget.com/en/149656-poland-transferred-40-bmp-1-combat-vehicles-to-ukraine/</t>
  </si>
  <si>
    <t>https://www.polskieradio.pl/398/9724/Artykul/2948128,</t>
  </si>
  <si>
    <t>https://defence24.com/industry/polish-weapons-defending-ukraine-analysis</t>
  </si>
  <si>
    <t>PLM3</t>
  </si>
  <si>
    <t xml:space="preserve">On July 25, Andrii Yermak, the head of the Office of the President of Ukraine, confirmed the delivery of an unknown amount of РТ-91 Twardy main battle tanks to Ukraine (Source of aid 1). In September 2022, during an interview with Spiegel, Polish Prime Minister Mateusz Morawiecki stated that Poland donated 300 tanks in total (Source of aid 2). Since Poland previously donated 240 T-72 tanks and yet an unknown amount of PT-91 Twardy, we assume, based on this statement, that the amount of PT-91 donated is 60. Later in February, Polish Prime Minister stated the different amount of tanks donated, which was "250 tanks... or even more than that" (Source of aid 3). Since there is no other official source, we have to rely on the most recent information, which is 250 total tanks provided in total. We also assume that "even more" could not refer to a critical amount and thus stick to 250. Therefore, we decrease the amount of PT-91 to 10 (250-240). </t>
  </si>
  <si>
    <t>PT-91 Twardy</t>
  </si>
  <si>
    <t>https://t.me/ermaka2022/990</t>
  </si>
  <si>
    <t>https://www.spiegel.de/international/poland-s-prime-minister-on-ukraine-war-and-energy-crisis-a-aabb65a3-e0ba-4ba8-9f0c-1c967874e8b5</t>
  </si>
  <si>
    <t>https://www.lemonde.fr/en/europe/article/2023/01/27/poland-belgium-offer-additional-military-aid-to-ukraine_6013346_143.html</t>
  </si>
  <si>
    <t>PLM4</t>
  </si>
  <si>
    <t xml:space="preserve">During the press conference after the Ramstein-6 meeting Minister of Defense of Ukraine Oleksiy Reznikov revealed that in total, Poland donated three divisions of Krab howitzers to Ukraine, which is 54 howitzers in total. Since 18 were delivered in June, we report the rest here (Source of aid 1, 9m10s). Please note that in the same statement, he mentioned the contract for another 54 howitzers separately, so it is clear that 54 howitzers were donated to an additional 54 purchased.
</t>
  </si>
  <si>
    <t>https://www.youtube.com/watch?v=iw2OnEkr_Do&amp;ab_channel=%D0%A4%D0%B0%D0%BA%D1%82%D0%B8ICTV</t>
  </si>
  <si>
    <t>PLM5</t>
  </si>
  <si>
    <t>The new Polish package consists of S-60 anti-aircraft guns with 70,000 pieces of ammunition.</t>
  </si>
  <si>
    <t>Automatic anti-aircraft gun S-60</t>
  </si>
  <si>
    <t>https://twitter.com/ZelenskyyUa/status/1618903893085388800</t>
  </si>
  <si>
    <t>https://www.reuters.com/world/europe/poland-send-60-modernised-tanks-ukraine-addition-leopards-2023-01-27/</t>
  </si>
  <si>
    <t>https://www.reuters.com/world/europe/polish-leopard-tanks-are-already-ukraine-defence-minister-says-2023-02-24/#:~:text=WARSAW%2C%20Feb%2024%20(Reuters),Europe%20stand%20by%20your%20side.</t>
  </si>
  <si>
    <t>Automatic anti-aircraft gun S-60 ammunition</t>
  </si>
  <si>
    <t>PLM6</t>
  </si>
  <si>
    <t>Poland pledged 60 modern tanks and 14 Leopard 2, which was stated by the Polish prime minister and the president of Ukraine (Source of aid 1 and 2). Of 60 tanks, 30 are PT-91, and 30 others are unknown. We assume that 30 other tanks are modernized T-72 since Poland has no other tanks in its stocks, and no other tanks have recently arrived in its possession. Later, the Leopard 2 tank model was also specified. As stated by the Source of aid 3 it is Leopard-2A4.</t>
  </si>
  <si>
    <t>https://www.reuters.com/world/europe/poland-says-it-will-send-10-more-leopard-2-tanks-ukraine-this-week-2023-03-07/</t>
  </si>
  <si>
    <t>PLM7</t>
  </si>
  <si>
    <t xml:space="preserve">Poland will hand over four MiG-29 fighters to Ukraine. The rest will be prepared and handed over later, announced President Andrzej Duda (Source of aid 1). Later in May, the Permanent Representation of Poland to the EU twitted that Poland delivered 14 MiG-29 fighters (Source of aid 2). </t>
  </si>
  <si>
    <t>MiG-29</t>
  </si>
  <si>
    <t>https://www.prezydent.pl/aktualnosci/wydarzenia/prezydent-w-najblizszych-dniach-cztery-migi-29-dla-ukrainy,65935</t>
  </si>
  <si>
    <t>https://twitter.com/PLPermRepEU/status/1656562945936044032</t>
  </si>
  <si>
    <t>PLM8</t>
  </si>
  <si>
    <t xml:space="preserve">The official office of the Prime Minister of Poland (Kancelarii Prezesa Rady Ministrów) twitted that total military aid provided by Poland to Ukraine reached 3 EUR billion. Since it's higher than we recorded up to this date, we report the difference here. </t>
  </si>
  <si>
    <t>https://twitter.com/PremierRP/status/1661357460781662215?s=20</t>
  </si>
  <si>
    <t>PLF1</t>
  </si>
  <si>
    <t>Swap-line</t>
  </si>
  <si>
    <t>The Polish central bank extended a currency swap line of 1 billion USD to the Ukrainian Central Bank, allowing it to draw dollar funds. This is akin to a standing credit line, i.e. a loan (see corresponsing paper for further explanations). Originally, the swap line was denominated in Zloty (4 billion Polish Zloty, which according to the euronews article in "Source of Aid 3" is equal to 1 billion USD).</t>
  </si>
  <si>
    <t>https://www.nbp.pl/homen.aspx?f=/en/aktualnosci/2022/24.02-2.html</t>
  </si>
  <si>
    <t xml:space="preserve">https://www.centralbanking.com/central-banks/financial-stability/7933406/poland-offers-ukraine-swap-line-as-nbu-suspends-forex-transactions </t>
  </si>
  <si>
    <t xml:space="preserve">https://www.euronews.com/next/2022/03/21/ukraine-crisis-poland-cenbank </t>
  </si>
  <si>
    <t>PLF2</t>
  </si>
  <si>
    <t>30 million PLN donated by the BGK Polish Development Bank.</t>
  </si>
  <si>
    <t>PLN</t>
  </si>
  <si>
    <t>https://www.bgk.pl/aktualnosc/bgk-polish-development-bank-has-donated-pln-30-million-to-help-ukraine/</t>
  </si>
  <si>
    <t>https://www.eapb.eu/media-corner/news/599:bgk-polish-development-bank-has-donated-pln-30-million-to-help-ukraine.html</t>
  </si>
  <si>
    <t>PTH1</t>
  </si>
  <si>
    <t>Portugal</t>
  </si>
  <si>
    <t>Portugal has sent a medical aid package, comprising 204,000 units of medicines, including antibiotics, pain medicines, hydration serums, syringes and needles, among other products. This aid package belongs to the EU Civil Protection Mechanism.</t>
  </si>
  <si>
    <t>https://www.sulinformacao.pt/en/2022/03/ucrania-portugal-envia-medicamentos-material-medico-e-equipamento-de-emergencia-humanitaria/</t>
  </si>
  <si>
    <t>https://www.theportugalnews.com/news/2022-03-04/portugal-sends-ukraine-100000-of-medical-supplies/65610</t>
  </si>
  <si>
    <t>PTH2</t>
  </si>
  <si>
    <t>Humanitarian assistance to Ukraine (along with 1 million EUR given to the UN, which we do not consider in our dataset as it is not a direct contribution to Ukraine).</t>
  </si>
  <si>
    <t>https://www.portugal.gov.pt/pt/gc23/comunicacao/noticia?i=portugal-doa-21-milhoes-de-euros-a-ucrania</t>
  </si>
  <si>
    <t>PTH3</t>
  </si>
  <si>
    <t xml:space="preserve">At the "Solidarity with Ukraine" conference, Portuguese Foreign Minister announces that Portugal will try to supply generators, mobile heating systems and LED lights to Ukraine. Since we can only confirm the 1650 mobile heating systems, we leave the rest of the items undisclosed, as the sources are very opaque. </t>
  </si>
  <si>
    <t>https://www.lusa.pt/article/39993895/portugal-ukraine-aid-to-include-generators-haters-led-bulbs</t>
  </si>
  <si>
    <t>https://www.euractiv.com/section/politics/news/portugal-helps-ukraine-keep-heat-and-lights-on/</t>
  </si>
  <si>
    <t>PTH4</t>
  </si>
  <si>
    <t>The Post of Portugal donated 50,000 euros from the sale of a solidarity stamp for the reconstruction of Borodyanka Center, the rehabilitation center of the Ministry of Veterans Affairs of Ukraine in the Kyiv region</t>
  </si>
  <si>
    <t>https://mva.gov.ua/ua/news/poshta-portugaliyi-peredala-50-tisyach-yevro-z-prodazhu-marki-solidarnosti-na-vidbudovu-borodyanka-centru</t>
  </si>
  <si>
    <t>PTM1</t>
  </si>
  <si>
    <t>The Portuguese government announced to provide military equipment consisting of ballistic vests, helmets, night vision goggles, grenades, and ammunition of different calibres, complete portable radios, analogue repeaters and G3 automatic rifles.</t>
  </si>
  <si>
    <t>https://www.portugal.gov.pt/en/gc22/communication/announcement?i=assistance-to-ukraine</t>
  </si>
  <si>
    <t>https://mobile.twitter.com/AAhronheim/status/1498004573528772608</t>
  </si>
  <si>
    <t>https://www.theportugalnews.com/news/2022-04-07/portugal-to-send-more-military-material-to-ukraine/66259</t>
  </si>
  <si>
    <t>rifle + MG round</t>
  </si>
  <si>
    <t>portable radio</t>
  </si>
  <si>
    <t>G3 automatic rifle</t>
  </si>
  <si>
    <t>PTM2</t>
  </si>
  <si>
    <t>The Portuguese defence minister announced that the government would send another 99 tons of military and medical support to Ukraine, without providing any further information on the shipment.</t>
  </si>
  <si>
    <t>https://twitter.com/defesa_pt/status/1513633729666818052</t>
  </si>
  <si>
    <t>https://www.theportugalnews.com/news/2022-04-12/portugal-sending-over-99-tonnes-of-medical-and-military-materials/66356</t>
  </si>
  <si>
    <t>https://www.macaubusiness.com/portugal-country-to-send-further-99-t-medical-military-equipment-to-ukraine/</t>
  </si>
  <si>
    <t>PTM3</t>
  </si>
  <si>
    <t>Portugal has ordered 4 armored vehicles to support Ukraine.</t>
  </si>
  <si>
    <t>Iveco M 40.12 WM/P 4x4 armored vehicle</t>
  </si>
  <si>
    <t>https://europe-cities.com/2022/04/30/us-pressuring-portugal-to-cede-armored-vehicles-to-ukraine/</t>
  </si>
  <si>
    <t>https://www.armyrecognition.com/defense_news_may_2022_global_security_army_industry/us_pushing_portugal_to_cede_some_m113_apcs_to_ukraine.html</t>
  </si>
  <si>
    <t>https://web.archive.org/web/20230524183203/https:/www.defesa.gov.pt/pt/comunicacao/documentos/Lists/PDEFINTER_DocumentoLookupList/apoio_militar_Portugal_Ucrania_20230503.pdf</t>
  </si>
  <si>
    <t>PTM4</t>
  </si>
  <si>
    <t>15 units of M113 armored personnel carriers (APC), 5 units of 155-mm howitzers, communications equipment and other small arms. According to the official governmental list (Source of Aid 3), only 14 M113 APCs have been committed and delivered in this first APC package.</t>
  </si>
  <si>
    <t>https://mil.in.ua/en/news/portugal-is-preparing-to-hand-over-m113-armored-personnel-carriers-to-ukraine-media/</t>
  </si>
  <si>
    <t>https://en.defence-ua.com/weapon_and_tech/portugal_to_send_howitzers_and_apcs_to_ukraine-2846.html</t>
  </si>
  <si>
    <t>15 units of M113 armored personnel carriers, 5 units of 155-mm howitzers, communications equipment and other small arms.</t>
  </si>
  <si>
    <t>M114 155mm Howitzer</t>
  </si>
  <si>
    <t>PTM5</t>
  </si>
  <si>
    <t>160 tons of aid, including military equipment, medical and humanitarian support.</t>
  </si>
  <si>
    <t>https://babel.ua/en/news/78825-portugal-will-hand-over-another-160-tons-of-military-aid-to-ukraine</t>
  </si>
  <si>
    <t>https://frontnews.eu/en/news/details/30810</t>
  </si>
  <si>
    <t>https://www.euractiv.com/section/politics/short_news/portugal-to-send-another-160-tonnes-of-military-aid-to-ukraine/</t>
  </si>
  <si>
    <t>PTM6</t>
  </si>
  <si>
    <t>until 08/31/2023</t>
  </si>
  <si>
    <t>The Portugese ministry of defense published a list with all weapons committed and delivered to Ukraine (Source of Aid 1). According to this list, Portugal delivered 6 drones until the end of the second trimester in 2022, which is 08/31/2023.</t>
  </si>
  <si>
    <t>Drone</t>
  </si>
  <si>
    <t>PTM7</t>
  </si>
  <si>
    <t>Portugal will hand over to Ukraine six Soviet-made Kamov helicopters, which were deprived of their operating license due to anti-Russian sanctions</t>
  </si>
  <si>
    <t>K-32 helicopter</t>
  </si>
  <si>
    <t>https://odessa-journal.com/portugal-will-send-russian-made-helicopters-to-ukraine/</t>
  </si>
  <si>
    <t>https://www.noticiasaominuto.com/pais/2091999/portugal-envia-para-ucrania-helicopteros-kamov-sem-licenca-para-operar-ca</t>
  </si>
  <si>
    <t>PTM8</t>
  </si>
  <si>
    <t>At the meeting of the Contact Group of Defense of Ukraine held in Ramstein, the Portuguese Minister of Defense, Helena Carreiras announced that Portugal will send a second set of 14 armored vehicles of M113 armored personnel carriers, eight large-capacity generators for power generation, more more 120mm ammunition and two tons of medical and sanitary equipment. Deliveries are shown in the official governmental list (Source of Aid 4)</t>
  </si>
  <si>
    <t>https://www.defesa.gov.pt/pt/comunicacao/comunicados/Lists/PDEFINTER_DocumentoList/20230120_comunicado_MDN_Apoio_militar_a_Ucrania.pdf</t>
  </si>
  <si>
    <t>https://www.portugal.gov.pt/pt/gc23/comunicacao/comunicado?i=portugal-vai-enviar-mais-apoio-militar-a-ucrania</t>
  </si>
  <si>
    <t>https://www.publico.pt/2023/01/20/mundo/noticia/zelensky-portugal-disponivel-enviar-tanques-2035760#89685</t>
  </si>
  <si>
    <t>120mm mortar round</t>
  </si>
  <si>
    <t>PTM9</t>
  </si>
  <si>
    <t xml:space="preserve">Portuguese Prime Minister António Costa claimed that Portugal will provide the Ukrainian Armed Forces with Leopard 2 main battle tanks. Source of Aid 4 specifies this number of tanks as three and the type as Leopard 2A6. </t>
  </si>
  <si>
    <t>https://www.portugal.gov.pt/en/gc23/communication/news-item?i=portugal-will-provide-ukraine-with-combat-vehicles</t>
  </si>
  <si>
    <t>https://www.dn.pt/politica/costa-portugal-vai-enviar-tanques-leopard-2-para-a-ucrania--15779047.html</t>
  </si>
  <si>
    <t>https://observador.pt/2023/02/28/ucrania-tanques-leopard-elevam-apoio-de-portugal-para-712-toneladas/</t>
  </si>
  <si>
    <t>https://twitter.com/defesa_pt/status/1640416494235406338?s=20</t>
  </si>
  <si>
    <t>PTM10</t>
  </si>
  <si>
    <t>According to Source of Aid 1, Portugal will send five armored rescue and medical vehicles to Ukraine. The vehicle delivery will consist of three M113 and two M577 armored personal carriers.</t>
  </si>
  <si>
    <t>https://kyivindependent.com/portugal-to-send-5-military-vehicles-to-ukraine/#:~:text=Portugal%20will%20send%20five%20armored,two%20M577%20armored%20personal%20carriers</t>
  </si>
  <si>
    <t>https://mil.in.ua/en/news/portugal-to-transfer-five-armored-vehicles-to-the-ukrainian-armed-forces/</t>
  </si>
  <si>
    <t>https://bnn.network/breaking-news/war/spain-and-portugal-to-provide-military-aid-to-ukraine-amid-ongoing-conflict/</t>
  </si>
  <si>
    <t>M577 command post carrier</t>
  </si>
  <si>
    <t>PTM11</t>
  </si>
  <si>
    <t>Portugal joins the aviation coalition by beginning to train Ukrainian pilots and technicians on Western-type combat aircraft.</t>
  </si>
  <si>
    <t>https://www.kmu.gov.ua/en/news/dmytro-kuleba-portuhaliia-pryiednalasia-do-aviatsiinoi-koalitsii-hotova-trenuvaty-ukrainskykh-pilotiv-i-mekhanikiv</t>
  </si>
  <si>
    <t>https://twitter.com/DmytroKuleba/status/1659630660514922510?s=20</t>
  </si>
  <si>
    <t>https://www.pravda.com.ua/eng/news/2023/05/19/7403027/</t>
  </si>
  <si>
    <t>PTF1</t>
  </si>
  <si>
    <t>Portugal committed a 250 million EUR grant, which will have a 100 million EUR disbursement in the year 2022 and three subsequential disbursements of 50 million EUR each in the next three years (Source 2). The commitment is aimed at giving budgetary support and will be mainly provided through the IMF. On February 24, 2023, it was announced that none of this financial aid will be paid after all (Source 3). On April 28, 2023, it was annouced by unofficial sources that Portugal promised aid of € 350 milion to Ukraine (Source 4). The 350 million euros reflect the support that was approved, both for the year 2022 and for the year 2023. Since this new information comes from unofficial sources and we do not know if the 350 nillion EUR only include financial or total aid, we still count the potential commitment of €250 million here, until we have further official information.</t>
  </si>
  <si>
    <t>https://www.kmu.gov.ua/en/news/portugaliya-nadast-ukrayini-do-250-mln-yevro-finansovoyi-pidtrimki-denis-shmigal</t>
  </si>
  <si>
    <t>https://www.portugal.gov.pt/pt/gc23/comunicacao/noticia?i=portugal-concede-apoio-financeiro-de-250-milhoes-a-ucrania</t>
  </si>
  <si>
    <t>https://eco.sapo.pt/2023/02/24/ajuda-financeira-a-ucrania-de-250-milhoes-de-euros-ja-nao-sera-paga/</t>
  </si>
  <si>
    <t>https://www.rtp.pt/madeira/politica/portugal-promete-ajuda-de-350-milhoes-a-ucrania_116460</t>
  </si>
  <si>
    <t>KOH1</t>
  </si>
  <si>
    <t>South Korea</t>
  </si>
  <si>
    <t>The aid package consists of humanitarian in-kind donations. There exists no list of specific items included in this package, while the total value of the package was indicated by the donor.</t>
  </si>
  <si>
    <t>https://reliefweb.int/report/ukraine/korea-provide-humanitarian-assistance-people-ukraine</t>
  </si>
  <si>
    <t>https://www.reuters.com/world/europe/ukraines-zelenskiy-says-tens-thousands-killed-mariupol-seeks-military-aid-skorea-2022-04-11/</t>
  </si>
  <si>
    <t>http://www.koreaherald.com/view.php?ud=20220228000968</t>
  </si>
  <si>
    <t>KOH2</t>
  </si>
  <si>
    <t>The aid package consists of additional in-kind humanitarian aid. There exists no list of specific items included in this package, while the total value of the package was indicated by the donor.</t>
  </si>
  <si>
    <t>https://www.usnews.com/news/world/articles/2022-04-11/ukraines-zelenskiy-says-tens-of-thousands-killed-in-mariupol-seeks-military-aid-from-s-korea</t>
  </si>
  <si>
    <t>https://twitter.com/KyivIndependent/status/1516621305608552451?ref_src=twsrc%5Etfw</t>
  </si>
  <si>
    <t>KOH3</t>
  </si>
  <si>
    <t>South Korea has decided to provide assistance worth approximately US$1.2 million to Ukraine through the International Atomic Energy Agency (IAEA) to support the safe and secure operation of Ukraine’s nuclear power plants under the threat of military conflict</t>
  </si>
  <si>
    <t>https://www.mofa.go.kr/eng/brd/m_5676/view.do?seq=322053</t>
  </si>
  <si>
    <t>https://www.koreatimes.co.kr/www/nation/2022/06/113_330680.html</t>
  </si>
  <si>
    <t>KOH4</t>
  </si>
  <si>
    <t>According to the official statement of the Korean Ministry of Foreign Affairs, the Korean government has decided to provide an additional US$50 million in humanitarian assistance.</t>
  </si>
  <si>
    <t>https://www.mofa.go.kr/eng/brd/m_5676/view.do?seq=322061&amp;page=1</t>
  </si>
  <si>
    <t>KOH5</t>
  </si>
  <si>
    <t xml:space="preserve">According to Source of Aid 1, South Korea has committed and delivered 100 tons of humanitarian aid to Ukraine. Furthermore, the source states that South Korea will provide humanitarian aid worth a total of USD 100 million by the end of 2022. As our dataset currently lists humanitarian aid worth USD 91.2 million in total for South Korea, we attribute the remaining USD 8.8 million to this package. </t>
  </si>
  <si>
    <t>https://www.koreaherald.com/view.php?ud=20221209000551</t>
  </si>
  <si>
    <t>https://en.yna.co.kr/view/AEN20221209008700325</t>
  </si>
  <si>
    <t>KOH6</t>
  </si>
  <si>
    <t>According to Source of Aid 1, South Korea  pledges $130 million in additional assistance for the Ukrainian people suffering from the war and plans to continue possible assistance through this, focusing mainly on humanitarian assistance including demining, financial assistance for Ukraine, aid in the construction of infrastructure such as the restoration of power grid, and support for reconstruction through grant ODA projects.</t>
  </si>
  <si>
    <t xml:space="preserve">https://mofa.go.kr/eng/brd/m_5676/view.do?seq=322155&amp;page=2 </t>
  </si>
  <si>
    <t xml:space="preserve">https://www.koreatimes.co.kr/www/nation/2023/02/120_346069.html </t>
  </si>
  <si>
    <t xml:space="preserve">https://en.yna.co.kr/view/AEN20230224008100325 </t>
  </si>
  <si>
    <t>KOM1</t>
  </si>
  <si>
    <t>South Korea has announced to support Ukraine with 1 billion KRW (800,000 USD) of non-lethal military equipment, such as bulletproof helmets and medical kit. There exists no list of specific items included in this package, while the total value of the package was indicated by the donor.</t>
  </si>
  <si>
    <t>https://www.france24.com/en/live-news/20220411-zelensky-says-he-believes-tens-of-thousands-killed-in-mariupol</t>
  </si>
  <si>
    <t>https://english.alarabiya.net/News/world/2022/04/11/Zelenskyy-believes-tens-of-thousands-killed-in-Ukraine-s-Mariupol</t>
  </si>
  <si>
    <t>https://consent.yahoo.com/v2/collectConsent?sessionId=3_cc-session_a65137b7-2008-4f6a-9d84-5817bf1a558b</t>
  </si>
  <si>
    <t>KOM2</t>
  </si>
  <si>
    <t>The aid package includes items including bulletproof vests, helmets, medical supplies and meals, ready-to-eat (MREs). There exists no list of specific items included in this package, while the total value of the package was indicated by the donor.</t>
  </si>
  <si>
    <t>https://mil.in.ua/en/news/south-korea-will-be-providing-ukraine-with-additional-aid-worth-1-6-million/</t>
  </si>
  <si>
    <t>https://en.yna.co.kr/view/AEN20220413000800325</t>
  </si>
  <si>
    <t>medical equipment</t>
  </si>
  <si>
    <t>KOM3</t>
  </si>
  <si>
    <t xml:space="preserve">South Korea announced to provide further non-lethal military protection equipment. The shipment consists of equipment needed for chemical, biological, radiological protection. Since no further information about the exact item list has been disclosed, we report the value of donation as given by donor only. </t>
  </si>
  <si>
    <t>https://see.news/south-korea-to-send-non-lethal-aid-to-ukraine/</t>
  </si>
  <si>
    <t>https://www.tellerreport.com/news/2022-05-26-south-korea-to-provide-ukraine-with-chemical-defense-equipment-worth-1-5-billion-won.HJuNwyTvc.html</t>
  </si>
  <si>
    <t>https://en.yna.co.kr/view/AEN20220526005300325</t>
  </si>
  <si>
    <t>KOF1</t>
  </si>
  <si>
    <t>According to Source of Aid 1, South Korea signed an agreement with Ukraine to provide a $130 million financial aid package, which will consist of donations and aid loans. Since we don not know the exact grant/loan proportion we assume that the whole amount is provided in grants to avoid under-estimation.</t>
  </si>
  <si>
    <t>https://www.reuters.com/world/south-korea-signs-130-mln-aid-package-with-ukrainian-minister-2023-05-17/</t>
  </si>
  <si>
    <t>https://babel.ua/en/news/93939-south-korea-allocates-130-million-in-financial-aid-to-ukraine</t>
  </si>
  <si>
    <t>https://www.foxnews.com/world/south-korea-sigsn-130m-financial-package-ukraine</t>
  </si>
  <si>
    <t>https://www.slobodenpecat.mk/en/finansiska-pomosh-od-130-milioni-dolari-za-ukraina-od-juzhna-koreja/</t>
  </si>
  <si>
    <t>KOF2</t>
  </si>
  <si>
    <t>According to Source of Aid 3, Ukraine and South Korea signed a preliminary agreement on securing a concessional loan of $8 billion from the Economic Development Cooperation Fund (EDCF). According to Source of Aid 1, up to $300 million of this may appear in 2023. According to Source of Aid 2, this is in addition to KOF1.</t>
  </si>
  <si>
    <t>https://me.gov.ua/News/Detail?lang=uk-UA&amp;id=d2b569f7-786e-4801-8cb9-25a0748d62c9&amp;title=UkrainaZaluchitDo-8-MlrdVidKoreiZaNadzvichainoPilgovimiUmovami</t>
  </si>
  <si>
    <t>https://mind.ua/en/news/20257448-ukraine-and-south-korea-sign-preliminary-agreement-on-securing-a-concessional-loan-of-8-billion-fro</t>
  </si>
  <si>
    <t>https://english.moef.go.kr/pc/selectTbPressCenterDtl.do?boardCd=N0001&amp;seq=5545</t>
  </si>
  <si>
    <t>ROH1</t>
  </si>
  <si>
    <t>Romania</t>
  </si>
  <si>
    <t xml:space="preserve">Medical equipment, including packs of analgesics, anti-inflammatory medicines, antibiotics, and hand disinfectants. The donation falls within the framework of the EU Civil Protection Mechanism (EUCPM). No further information regarding the shipment has been disclosed. </t>
  </si>
  <si>
    <t>pack of analgesics</t>
  </si>
  <si>
    <t>https://ec.europa.eu/commission/presscorner/detail/en/ip_22_1222</t>
  </si>
  <si>
    <t>https://www.romania-insider.com/ro-ukraine-eu-civil-protection-feb-2022</t>
  </si>
  <si>
    <t>pack of anti-inflammatory</t>
  </si>
  <si>
    <t>pack of antibiotics</t>
  </si>
  <si>
    <t>ROH2</t>
  </si>
  <si>
    <t>Equipment and medicines</t>
  </si>
  <si>
    <t xml:space="preserve">Subsistence material worth 5 million EUR. We don't include in our dataset the 30 tons of humanitarian assistance provided through private donations, since it doesn't represent aid coming directly from the Romanian government. </t>
  </si>
  <si>
    <t>RON</t>
  </si>
  <si>
    <t>https://gov.ro/en/news/medical-equipment-and-medicines-donated-by-romania-in-support-of-ukraine&amp;page=13</t>
  </si>
  <si>
    <t>ROH3</t>
  </si>
  <si>
    <t>The government of Romania announced to donate 11 fully-equipped ambulances.</t>
  </si>
  <si>
    <t>https://www.romania-insider.com/romania-donates-ambulances-ukraine-2022</t>
  </si>
  <si>
    <t>https://www.digi24.ro/stiri/actualitate/romania-a-donat-11-ambulante-serviciilor-de-urgenta-din-ucraina-1909681</t>
  </si>
  <si>
    <t>ROH4</t>
  </si>
  <si>
    <t>1,900 tons of fuel worth 3.2 million EUR and announced on May 5, 2022, at the International Donors' Conference (see 1:22:40 in "Source of Aid 1").</t>
  </si>
  <si>
    <t>https://www-puterea-ro.translate.goog/romania-ofera-ucrainei-o-noua-contributie-de-asistenta-umanitara/?_x_tr_sl=ro&amp;_x_tr_tl=en&amp;_x_tr_hl=en&amp;_x_tr_pto=sc</t>
  </si>
  <si>
    <t>ROH5</t>
  </si>
  <si>
    <t>Source of Aid 1 says that Romania has given Ukraine staple goods and food worth 5 million LEI the day before the source release.</t>
  </si>
  <si>
    <t>Food ration H</t>
  </si>
  <si>
    <t>ROH6</t>
  </si>
  <si>
    <t>Romania sends medicines, medical supplies, sanitary equipment, emergency kits and staple goods for patients in Ukraine, severely affected by military aggression.</t>
  </si>
  <si>
    <t>Medical supplies</t>
  </si>
  <si>
    <t>ROH7</t>
  </si>
  <si>
    <t>The Romanian government approves humanitarian to Ukraine consisting of food items worth 562 million lei, which will support the population severely affected by the military conflict.</t>
  </si>
  <si>
    <t>https://gov.ro/fr/nouvelles/point-de-presse-a-l-issue-de-la-reunion-du-gouvernement-tenu-par-le-ministre-des-investissements-et-des-projets-europeens-marcel-bolo-et-le-porte-parole-du-gouvernement-dan-carbunaru&amp;page=1</t>
  </si>
  <si>
    <t>https://www.stiripesurse.ro/romania-grants-ron-562-m-worth-humanitarian-aid-in-foodtsuffs-to-ukraine_2845050.html</t>
  </si>
  <si>
    <t>https://www.romania-insider.com/romania-food-supplies-ukraine-march-2023</t>
  </si>
  <si>
    <t>ROM1</t>
  </si>
  <si>
    <t>Tranche of military equipment worth 3 million EUR, consisting of fuels, bulletproof vests, helmets, ammunition and military equipment, food, water and medicines. We don't include in our dataset the aid directed to Ukrainian refugees in Romania, listed in "Source of Aid 1", "Source of Aid 2" and "Source of Aid 3".</t>
  </si>
  <si>
    <t>https://gov.ro/ro/stiri/declaratii-de-presa-sustinute-de-purtatorul-de-cuvant-al-guvernului-dan-carbunaru-privind-masurile-luate-de-executiv-in-cadrul-edintei-task-force-pentru-gestionarea-situatiei-generate-de-agresiunea-militara-rusa-din-ucraina&amp;page=2</t>
  </si>
  <si>
    <t xml:space="preserve">https://www.romania-insider.com/ro-aid-ukraine-sanctions-feb-28-2022 </t>
  </si>
  <si>
    <t xml:space="preserve">https://www.reuters.com/world/europe/romania-send-fuel-ammunition-ukraine-2022-02-27/ </t>
  </si>
  <si>
    <t>https://twitter.com/TheEconomist/status/1506413311272886276</t>
  </si>
  <si>
    <t>ROM2</t>
  </si>
  <si>
    <t>Undisclosed amount of weapons will be sent in the future.</t>
  </si>
  <si>
    <t>https://ua.interfax.com.ua/news/general/825450.html</t>
  </si>
  <si>
    <t>https://ukranews.com/en/news/850937-romania-will-transfer-lethal-weapons-from-its-own-reserves-to-ukraine-media</t>
  </si>
  <si>
    <t>ROM3</t>
  </si>
  <si>
    <t>Romanian Foreign Minister announced at a NATO meeting of foreign ministers that Romania contributes $830,000 to the NATO-Ukraine Comprehensive Assistance Package Trust Fund.</t>
  </si>
  <si>
    <t>https://www.mae.ro/en/node/61580</t>
  </si>
  <si>
    <t>https://newsmaker.md/rus/novosti/rumyniya-vydelit-750-tys-na-razvitiye-oboronnogo-potentsiala-moldovy/</t>
  </si>
  <si>
    <t>https://www.ukrinform.net/rubric-polytics/3691736-romania-to-allocate-800-000-to-ukraine-through-nato-mechanisms.html</t>
  </si>
  <si>
    <t>https://www.eurointegration.com.ua/news/2023/04/4/7159201/</t>
  </si>
  <si>
    <t>SKH1</t>
  </si>
  <si>
    <t>Slovakia</t>
  </si>
  <si>
    <t>5 million EUR for the development of regions in Ukraine and for internally displaced Ukranians. In our dataset, we do not include the 530 million EUR mentioned in "Source of Aid 1" , since they are dedicated to refugees and to countries supporting Ukraine.</t>
  </si>
  <si>
    <t>https://twitter.com/eduardheger/status/1512777474828079109</t>
  </si>
  <si>
    <t>SKH2</t>
  </si>
  <si>
    <t>Material assistance</t>
  </si>
  <si>
    <t>Slovakia provides a new "winter package" for Ukraine. This includes petrol/electric generators, winter gear, transformers, material for heat generation, and food supplies.</t>
  </si>
  <si>
    <t>https://www.ukrainianworldcongress.org/slovakia-approves-a-new-package-of-military-aid-to-ukraine/</t>
  </si>
  <si>
    <t>https://spectator.sme.sk/c/23092666/slovaka-will-provide-winter-package-for-ukraine.html</t>
  </si>
  <si>
    <t>https://kyivindependent.com/news-feed/slovakia-considers-producing-ammunition-for-ukraine</t>
  </si>
  <si>
    <t>SKM1</t>
  </si>
  <si>
    <t>Military items, including five demining sets.</t>
  </si>
  <si>
    <t>demining set</t>
  </si>
  <si>
    <t>https://twitter.com/eduardheger/status/1495764246780645377</t>
  </si>
  <si>
    <t>https://spectator.sme.sk/c/22842829/slovakia-will-send-mine-clearance-systems-and-healthcare-material-to-ukraine.html</t>
  </si>
  <si>
    <t>SKM2</t>
  </si>
  <si>
    <t>Military equipment worth 4.5 million EUR (see "Source of Aid 2"). It contains 486 anti-tank missiles and anti-tank rockets, along with 100 air defense launchers (see "Source of Aid1" or "Source of Aid 3").</t>
  </si>
  <si>
    <t>anti-tank missile and anti-tank rocket</t>
  </si>
  <si>
    <t>https://twitter.com/eduardheger/status/1498055152045015046</t>
  </si>
  <si>
    <t>https://spectator.sme.sk/c/22850259/slovakia-will-send-more-military-aid-to-ukraine.html</t>
  </si>
  <si>
    <t>https://www.aa.com.tr/en/russia-ukraine-crisis/slovakia-to-send-more-military-supplies-to-ukraine-premier-says/2518136</t>
  </si>
  <si>
    <t>https://www.reuters.com/world/europe/slovakia-says-it-delivered-air-defence-anti-tank-rockets-ukraine-2022-02-28/</t>
  </si>
  <si>
    <t>air defense launcher</t>
  </si>
  <si>
    <t>SKM3</t>
  </si>
  <si>
    <t>Unknown number of liters of fuel and rounds of ammunitions, for a total value of 11 million EUR.</t>
  </si>
  <si>
    <t>https://twitter.com/eduardheger/status/1497624801497821188</t>
  </si>
  <si>
    <t>SKM4</t>
  </si>
  <si>
    <t xml:space="preserve">Lethal weapons and military equipment worth 32.2 million EUR. </t>
  </si>
  <si>
    <t>https://twitter.com/eduardheger/status/1499479828218658819</t>
  </si>
  <si>
    <t>https://www.reuters.com/article/ukraine-crisis-slovakia-defence-idUSL2N2V626W</t>
  </si>
  <si>
    <t>SKM5</t>
  </si>
  <si>
    <t xml:space="preserve">Help in Armored vehicle servicing. Source of Aid 2 specifies that the Slovak company Konštrukta Defence will repair Ukrainian military equipment without providing further details on weapon types and quantities, while Source of Aid 3 speaks of "dozens of BRDM-2 armored reconnaissance vehicles." Source of Aid 2 additionally says that every repair is paid by the Ukrainians. </t>
  </si>
  <si>
    <t>https://www.defensenews.com/global/europe/2022/04/11/slovakia-could-sell-howitzers-to-ukraine-and-repair-its-tanks-vehicles/</t>
  </si>
  <si>
    <t>https://www.euractiv.com/section/politics/short_news/slovak-company-to-repair-ukrainian-military-vehicles/</t>
  </si>
  <si>
    <t>https://www.thedefensepost.com/2022/05/03/slovakia-repair-ukrainian-equipment/</t>
  </si>
  <si>
    <t>SKM6</t>
  </si>
  <si>
    <t>S-300 air defence system. According to the Slovak Minister of Defense, the monetary value of the military aid amounts to 68 million EUR (see "Source of Aid 3").</t>
  </si>
  <si>
    <t>S-300 air defence system</t>
  </si>
  <si>
    <t>https://twitter.com/eduardheger/status/1512386024399376389</t>
  </si>
  <si>
    <t>https://abcnews.go.com/Politics/us-sends-patriot-battery-slovakia-ukraine-300-anti/story?id=83965999</t>
  </si>
  <si>
    <t>https://spectator.sme.sk/c/22895899/slovakia-donates-military-equipment-to-ukraine.html</t>
  </si>
  <si>
    <t>https://www.nytimes.com/2022/04/14/world/europe/ukraine-russia-nato-s300.html</t>
  </si>
  <si>
    <t>SKM7</t>
  </si>
  <si>
    <t>Donation of four Mi-17 and one Mi-2 helicopters and "thousands" of multiple rocket launchers. Since "Source of Aid 2" mentions the shipment of "thousands" of rocket launchers, we approximate the number to 2000 units.</t>
  </si>
  <si>
    <t>https://www.usnews.com/news/world/articles/2022-06-16/slovaks-give-mi-helicopters-grad-rockets-to-ukraine#:~:text=June%2016%2C%202022%2C%20at%202%3A26%20a.m.&amp;text=(Reuters)%20%2D%20Slovakia%20has%20donated,defence%20minister%20said%20on%20Thursday.</t>
  </si>
  <si>
    <t>https://kyivindependent.com/news-feed/slovakia-supplies-5-helicopters-ammunition-for-grad-multiple-rocket-launchers</t>
  </si>
  <si>
    <t>https://twitter.com/JaroNad/status/1537194189066223616?ref_src=twsrc%5Etfw%7Ctwcamp%5Etweetembed%7Ctwterm%5E1537194189066223616%7Ctwgr%5E%7Ctwcon%5Es1_&amp;ref_url=https%3A%2F%2Fgagadget.com%2Fen%2F138212-slovakia-handed-over-to-ukraine-mi-17-and-mi-2-helicopters-as-well-as-ammunition-for-the-grad-mlrs%2F</t>
  </si>
  <si>
    <t>SKM8</t>
  </si>
  <si>
    <t>As part of defense agreement with Germany, Slovakia will hand over 30 BVP-1 infantry fighting vehicles to Ukraine and will instead receive 15 Leopard-2A4 tanks from Germany.</t>
  </si>
  <si>
    <t>https://www.reuters.com/world/europe/slovakia-donate-30-infantry-fighting-vehicles-ukraine-minister-2022-08-23/</t>
  </si>
  <si>
    <t>https://www.facebook.com/mosr.sk/videos/5722932787787796</t>
  </si>
  <si>
    <t>https://www.defensenews.com/global/europe/2022/08/23/germany-slovakia-sign-tank-swap-deal-to-arm-ukraine/</t>
  </si>
  <si>
    <t>https://www.mosr.sk/52244-en/bvp-1-pre-ukrajinu-su-odovzdane-leopardy-pre-nasu-obranu-pridu-uz-coskoro/</t>
  </si>
  <si>
    <t>SKM9</t>
  </si>
  <si>
    <t xml:space="preserve">Slovak government approved a new package of military aid to Ukraine. This package is worth 9 million EUR. </t>
  </si>
  <si>
    <t>https://www.eurointegration.com.ua/news/2022/12/8/7152129/</t>
  </si>
  <si>
    <t>Bozena mine clearing vehicle</t>
  </si>
  <si>
    <t>Small-to-large caliber nonstandard ammunition</t>
  </si>
  <si>
    <t>fighter jet ammunition</t>
  </si>
  <si>
    <t>SKM10</t>
  </si>
  <si>
    <t xml:space="preserve">As part of the Tallinn Pledge, Slovakia will continue to train Ukrainian soldiers and expand the training as required by Ukraine. </t>
  </si>
  <si>
    <t>SKM11</t>
  </si>
  <si>
    <t>According to Source of Aid 1, Slovakia will send air defence systems and anti-tank missiles. The aid is worth around €4.5 million.</t>
  </si>
  <si>
    <t>https://www.czdefence.com/article/slovakia-to-provide-ukraine-with-additional-military-material-worth-almost-eur45-million</t>
  </si>
  <si>
    <t>SKM12</t>
  </si>
  <si>
    <t>According to source of aid 1, Slovakia will send 13 MiG-29 fighters and part of the Kub system to Ukraine as well as corresponding spare parts and ammunition for these systems. According to source of aid 4, Slovakia committed 2 KUB systems. Since we do not want to underestimate Slovakia's commitments, we assume that the country committed 2 Kub systems.</t>
  </si>
  <si>
    <t>https://www.vlada.gov.sk/vlada-slovensko-posle-na-ukrajinu-stihacky-mig-29-a-cast-systemu-kub/?csrt=18338730485644198304</t>
  </si>
  <si>
    <t xml:space="preserve">https://www.pbs.org/newshour/world/slovakia-joins-poland-in-agreeing-to-give-fighter-jets-to-ukraine </t>
  </si>
  <si>
    <t xml:space="preserve">https://www.lemonde.fr/en/international/article/2023/03/17/after-poland-slovakia-to-give-ukraine-soviet-era-mig-29-jets_6019765_4.html </t>
  </si>
  <si>
    <t xml:space="preserve">https://www.forces.net/technology/weapons-and-kit/kub-slovakian-anti-aircraft-missile-system-looking-safeguard-ukraine </t>
  </si>
  <si>
    <t xml:space="preserve">https://www.eurointegration.com.ua/eng/news/2023/04/17/7159957/ </t>
  </si>
  <si>
    <t xml:space="preserve">https://www.tyzden.sk/svet/95018/minister-nad-na-ukrajine-system-protivzdusnej-obrany-kub-zo-sr-je-uz-tu/ </t>
  </si>
  <si>
    <t>SKM13</t>
  </si>
  <si>
    <t>Acccording to Source of Aid 2, the Slovak government provided weapons worth €668 million to Ukraine, until 4/17/2023. The commitments in our dataset add up to €406.11 million to this date. Therefore, we add the difference of €261.89 million.</t>
  </si>
  <si>
    <t>https://www.mzv.sk/aktualne/situacia-na-ukrajine</t>
  </si>
  <si>
    <t>https://www.mzv.sk/documents/10182/16962371/230307-Slovenska-pomoc-Ukrajine.pdf/fe148d62-2d1d-f61f-d35f-763e0b9f1d82</t>
  </si>
  <si>
    <t>SIH1</t>
  </si>
  <si>
    <t>Slovenia</t>
  </si>
  <si>
    <t xml:space="preserve">Material assistance worth 163,000 EUR, consisting mostly of medical equipment. The aid package falls within the framework of the EU Civil Protection Mechanism (EUCPM). Our dataset does not include the 1.1 million EUR aid package dispatched to the International Committee of the Red Cross (ICRC - 100,000 EUR), to the United Nations Office for the Coordination of Humanitarian Affairs (UN OCHA - 400,000 EUR), to the United Nations High Commissioner for Refugees (UNHCR - 400,000 EUR) and to Caritas Internationalis (200,000 EUR), since it is not a direct donation to Ukraine. </t>
  </si>
  <si>
    <t>diesel-powered generator</t>
  </si>
  <si>
    <t>https://www.gov.si/en/news/2022-02-26-humanitarian-contribution-of-the-republic-of-slovenia-to-the-people-of-ukraine/</t>
  </si>
  <si>
    <t xml:space="preserve">https://www.gov.si/en/news/2022-03-01-minister-logar-announces-eur-1-1-million-in-humanitarian-aid-for-ukraine/ </t>
  </si>
  <si>
    <t xml:space="preserve">https://www.gov.si/en/news/2022-03-07-eu-development-ministers-on-emergency-humanitarian-aid-to-ukraine/ </t>
  </si>
  <si>
    <t>pair of rubber boots</t>
  </si>
  <si>
    <t>pair of latex gloves</t>
  </si>
  <si>
    <t>pair of nitrile gloves</t>
  </si>
  <si>
    <t>SIH2</t>
  </si>
  <si>
    <t xml:space="preserve">Humanitarian contribution of 100.000 EUR to the International Committee of the Red Cross in Ukraine. </t>
  </si>
  <si>
    <t>https://sloveniatimes.com/slovenia-sending-eur-100000-aid-to-ukraine/</t>
  </si>
  <si>
    <t>SIH3</t>
  </si>
  <si>
    <t>40 tons of first-necessity items (38 according to "Source of Aid 2"), such as toiletries, first aid kits, food and firefighter equipment. No further information regarding the shipment has been disclosed. Our dataset does not report the aid delivered by the Slovenian Caritas, mentioned in "Source of Aid 1", since it is not a flow coming directly from the Slovenian government.</t>
  </si>
  <si>
    <t>https://www.rtvslo.si/radio-si/news/slovenia-sending-more-aid-to-ukraine/616960</t>
  </si>
  <si>
    <t xml:space="preserve">https://english.sta.si/3017990/tonnes-of-aid-for-ukraine-dispatched-this-week </t>
  </si>
  <si>
    <t>SIH4</t>
  </si>
  <si>
    <t>1.64 million EUR in assistance to Ukraine and neighboring countries. No further information about this flow has been disclosed. Since we cannot disentangle the assistance directed to Ukraine from the one directed to neighboring countries, we apply our "upper bound rule" and include this value in our dataset to avoid underestimating the true extent of assistance to Ukraine. Moreover, the 40 tons of necessity mentioned in SIH1 are likely part of the 1.64 million EUR. We don't substract the 40 tons  from 1.64 million EUR because we don't have any monetary value for SIH1.</t>
  </si>
  <si>
    <t>https://www.gov.si/en/news/2022-04-06-eu-directors-general-for-development-cooperation-on-coordination-of-assistance-for-ukraine/</t>
  </si>
  <si>
    <t>https://twitter.com/MZZRS/status/1511723242939105281</t>
  </si>
  <si>
    <t>SIH5</t>
  </si>
  <si>
    <t>Material assistance including IP phones, computers, petrol generators, antennas, and cables.</t>
  </si>
  <si>
    <t>IP phone</t>
  </si>
  <si>
    <t>https://english.sta.si/3031756/slovenia-to-send-additional-material-aid-to-ukraine</t>
  </si>
  <si>
    <t>https://www.rtvslo.si/radio-si/news/slovenia-promises-aid-to-ukraine/625786</t>
  </si>
  <si>
    <t>https://babel.ua/en/news/78193-slovenia-will-provide-180-000-in-financial-assistance-to-ukraine</t>
  </si>
  <si>
    <t>laptop</t>
  </si>
  <si>
    <t>desktop</t>
  </si>
  <si>
    <t>petrol generator</t>
  </si>
  <si>
    <t>antenna</t>
  </si>
  <si>
    <t>cable</t>
  </si>
  <si>
    <t>SIH6</t>
  </si>
  <si>
    <t>Slovenia Ministry of Foreign Affairs allocated 133,939 EUR for the construction of a habilitation home for 90 children and young people who have disabilities and are affected by the war</t>
  </si>
  <si>
    <t>https://www.gov.si/en/news/2022-11-25-ministry-of-foreign-affairs-to-provide-funds-to-complete-the-reconstruction-of-a-rehabilitation-home-in-ukraine/</t>
  </si>
  <si>
    <t>SIH7</t>
  </si>
  <si>
    <t>Slovenia Ministry of Foreign Affairs gives 100,000 EUR in humanitarian assistance to help people survive the harsh winter.</t>
  </si>
  <si>
    <t>https://www.gov.si/en/news/2022-12-05-slovenia-allocates-additional-funds-for-humanitarian-aid-to-ukrainian-families-ahead-of-winter/</t>
  </si>
  <si>
    <t>SIH8</t>
  </si>
  <si>
    <t>Slovenia Ministry of Foreign Affairs has donated 580,000 EUR to provide three ambulances. Two are vehicle type b and are worth 210,000 EUR. These two have been delivered to Ukraine. The third is vehicle type c and is worth 370,000 EUR</t>
  </si>
  <si>
    <t>https://www.gov.si/en/news/2022-12-30-minister-fajon-hands-over-two-ambulances-for-ukraine/</t>
  </si>
  <si>
    <t>https://sloveniatimes.com/new-slovenian-donations-to-ukraine/</t>
  </si>
  <si>
    <t>https://sloveniatimes.com/slovenia-stands-firm-by-ukraine/#:~:text=Slovenia%20has%20also%20pledged%20%E2%82%AC,countries%20in%20Africa%20and%20Asia</t>
  </si>
  <si>
    <t>SIH9</t>
  </si>
  <si>
    <t>According the Slovenia Ministry of Foreign Affairs, Slovenia has provided 4.3 million EUR in humanitarian aid since the beginning of Russian agression, as of December 30, 2022. We use this value as a benchmark and subtract from it all previous humanitarian package values in our dataset (SIH1-8). The missing humanitarian aid is worth approximately 1.4 million EUR.</t>
  </si>
  <si>
    <t>SIH10</t>
  </si>
  <si>
    <t>Slovenia ships its fourth shipment of energy equipment to Ukraine. Nine Slovenian companies united around the call of the Ministry of Infrastructure of Slovenia and prepared a total of 88 transformers of various capacities, 3 generators, isolators, voltage switches and other energy equipment.</t>
  </si>
  <si>
    <t>https://slovenia.mfa.gov.ua/news/29-grudnya-posol-ukrayini-taran-ta-ministr-infrastrukturi-sloveniyi-bkumer-vzyali-uchast-u-ceremoniyi-vidpravki-vzhe-4go-vantazhu-z-energetichnim-obladnannyam-dlya-ukrayini</t>
  </si>
  <si>
    <t>https://www.ukrinform.net/rubric-economy/3643370-slovenia-sends-fourth-shipment-of-energy-equipment-to-ukraine.html</t>
  </si>
  <si>
    <t>SIM1</t>
  </si>
  <si>
    <t>until 6/14/2022</t>
  </si>
  <si>
    <t>Undisclosed number of rifles, ammunitions and helmets. The EU contribution of 450 million EUR + 50 million EUR, cited by "Source of Aid 1", is reported in EUM1. The military assistance worth 163,000 EUR and mentioned in "Source of Aid 2" is reported in SIH1. According to the Slovak minister of Foreign Affairs, Slovenia's military assistance to Ukraine amounts to 7 million EUR. We report the amount under the column "Monetary Value as Given by Source" and list all items found in "Item". According to the Slovak minister of Foreign Affairs (see "Source of Aid 4"), Slovenia has also donated a total of 3,2 million EUR in humanitarian aid to Ukraine. This is in line with our narrative, since we count a total of 2,083 million EUR (SIH1-SIH5)  and discard the 1,1 million EUR promised to international organisations that are not explicitly active in Ukraine (2,083+ 1,1= 3,2)</t>
  </si>
  <si>
    <t>https://n1info.si/novice/svet/slovenija-ukrajini-ze-poslala-puske-streliva-in-celade/</t>
  </si>
  <si>
    <t>https://www.euractiv.com/section/politics/short_news/slovenia-sends-military-aid-including-weapons-to-ukraine/</t>
  </si>
  <si>
    <t>https://www.total-slovenia-news.com/politics/10138-slovenia-moves-from-military-to-humanitarian-aid-for-ukraine</t>
  </si>
  <si>
    <t>SIM2</t>
  </si>
  <si>
    <t>As per Source of Aid 1, Slovenian Defense Minister confirmed that Slovenia has sent 35 infantry fighting vehicles to Ukriane. Source of Aid 2 mentions that the infantry vehicles delivered by Slovenia are of type M80A.</t>
  </si>
  <si>
    <t>M80A infantry fighting vehicle</t>
  </si>
  <si>
    <t>https://www.rtvslo.si/slovenija/sarec-zaveze-natu-ostajajo-zmanjsevanja-sredstev-za-obrambo-ne-bo/631221</t>
  </si>
  <si>
    <t>https://mil.in.ua/en/news/slovenia-handed-over-35-m80a-infantry-fighting-vehicles-to-ukraine/</t>
  </si>
  <si>
    <t>SIM3</t>
  </si>
  <si>
    <t>Ukrainian Minister of Foreign Affairs, Dmytro Kuleba, announced that Slovenia intends to transfer civilian mine-clearing equipment to Ukraine which will be used to help clear mines from formerly occupied territories in Ukraine as part of the European Union’s Civil Protection Mechanism. Slovenia has also promised to rebuild the Kharkiv Institute of Prosthetics, which had been destroyed during the war, and to assist in rebuilding the public transportation services in the city of Kharkiv</t>
  </si>
  <si>
    <t>https://mobile.twitter.com/EU_Commission/status/1551598152041603072</t>
  </si>
  <si>
    <t>https://www.kyivpost.com/russias-war/slovenia-to-provide-mine-sweeping-equipment-to-ukraine.html</t>
  </si>
  <si>
    <t>https://twitter.com/DmytroKuleba/status/1552292097566380033?ref_src=twsrc%5Etfw</t>
  </si>
  <si>
    <t>SIM4</t>
  </si>
  <si>
    <t>As part of defense agreement with Germany, Slovenia will hand over 28 modified M-55S Soviet-era tanks to Ukraine and will instead receive 40 military transport vehicles, including 35 heavy hook loaders and five water tankers from Germany.</t>
  </si>
  <si>
    <t>M-55S tank</t>
  </si>
  <si>
    <t>https://www.gov.si/en/news/2022-09-19-prime-minister-robert-golob-in-a-telephone-conversation-with-german-chancellor-olaf-scholz-about-current-european-affairs/</t>
  </si>
  <si>
    <t>https://www.ukrinform.net/rubric-ato/3575496-ukraine-to-get-28-m55s-tanks-from-slovenia.html</t>
  </si>
  <si>
    <t>https://www.gov.si/en/news/2022-11-28-in-kiev-minister-sarec-expresses-slovenias-support-and-solidarity-to-ukraine/</t>
  </si>
  <si>
    <t>SIM5</t>
  </si>
  <si>
    <t>Slovenian Defense Minister Marjan Šarec will sign an agreement with the European Defence Agency (EDA) on joining the project of joint purchases of artillery ammunition for Ukraine.</t>
  </si>
  <si>
    <t>https://www.rtvslo.si/slovenija/slovenija-bo-sodelovala-pri-skupnem-narocanju-streliva-za-ukrajino/665584</t>
  </si>
  <si>
    <t>https://www.pravda.com.ua/eng/news/2023/04/20/7398782/</t>
  </si>
  <si>
    <t>ESH1</t>
  </si>
  <si>
    <t>Spain</t>
  </si>
  <si>
    <t>Protective equipment and medical supplies</t>
  </si>
  <si>
    <t>Spain's Ministry of Foreign Affairs sent 20 tons of personal protective equipment and medical supplies worth 150,000 EUR (masks; gloves; medical protection suits; helmets; flak jackets; NBC protection waistcoats). The assistance falls within the framework of the EU Civil Protection Mechanism (EUCPM). This mechanism organizes logistics for donations and covers some of the transportation cost. Thus, we do not include the 10,000 EUR spent in transport, cited by "Source of Aid 1", since this expense is covered by the EU Civil Protection Mechanism.</t>
  </si>
  <si>
    <t>https://www.lamoncloa.gob.es/lang/en/gobierno/news/Paginas/2022/20220226_humanitarian-aid.aspx</t>
  </si>
  <si>
    <t xml:space="preserve">https://www.lamoncloa.gob.es/lang/en/gobierno/news/Paginas/2022/20220227_aid-to-ukraine.aspx </t>
  </si>
  <si>
    <t>https://twitter.com/desdelamoncloa/status/1497563071761453057</t>
  </si>
  <si>
    <t>ESH2</t>
  </si>
  <si>
    <t xml:space="preserve">5,500 hospital beds, 1,184 of which are pediatrics. This is in addition to the 20 tonnes of personal protective equipment sent on February 26, 2022 (ESH1). </t>
  </si>
  <si>
    <t>https://twitter.com/sanidadgob/status/1503783624969265161</t>
  </si>
  <si>
    <t>https://www.sanidad.gob.es/en/gabinete/notasPrensa.do?id=5684</t>
  </si>
  <si>
    <t>hospital pediatric bed</t>
  </si>
  <si>
    <t>ESH3</t>
  </si>
  <si>
    <t>23 million EUR directed to Ukraine, which are part of a 31 million EUR humanitarian package allocated by the Ministry of Foreign Affairs, European Union and Cooperation. Of the 31 million EUR, 23 million EUR will go to Ukraine and 8 million EUR will go to the neighboring countries (20 tonnes of medication to Poland and 30 tonnes to Moldova). We do not include the 8 million EUR in our dataset, since this is not a flow directed to Ukraine. Moreover, Spain allocated 25 million EUR to various international organizations and 3 million EUR to Spanish NGOs. These flows are not included either, since they don't represent sovereign-to-sovereign flows directed to Ukraine.</t>
  </si>
  <si>
    <t>https://www.exteriores.gob.es/Embajadas/washington/en/Comunicacion/Noticias/Paginas/Articulos/20220317_NEWS01.aspx</t>
  </si>
  <si>
    <t>https://www.exteriores.gob.es/Embajadas/washington/en/Comunicacion/Noticias/Paginas/Articulos/20220324_NEWS01.aspx#:~:text=Last%20week%2C%20the%20Government%20approved,Directive%20within%20the%20EU%20framework.</t>
  </si>
  <si>
    <t>ESH4</t>
  </si>
  <si>
    <t>until 4/8/2022</t>
  </si>
  <si>
    <t>"Source of Aid 1" mentions that before Spain announced to send 50 tons to Ukraine (ESH5), the country provided a total of 19 tons in humanitarian aid, worth about 1,161,542 EUR. Among them are, according to the "Sources of Aid 2 &amp; 3", 11 tons of medical material given by Autonomous Communities (a first-level political and administrative division which guarantees limited autonomy to the regions constituting Spain).</t>
  </si>
  <si>
    <t>https://www.lamoncloa.gob.es/lang/en/gobierno/news/Paginas/2022/20220411_health-shipment.aspx</t>
  </si>
  <si>
    <t>https://twitter.com/Defensagob/status/1512424894881017857</t>
  </si>
  <si>
    <t>https://www.defensa.gob.es/gabinete/notasPrensa/2022/04/DGC-220408-visita-centro-militar-farmacia.html</t>
  </si>
  <si>
    <t>ESH5</t>
  </si>
  <si>
    <t xml:space="preserve">50 tons of medical material given by the Autonomous Communities (a first-level political and administrative division which guarantees limited autonomy to the regions constituting Spain, see "Source of Aid 2"). The material was delivered by the Armed Forces. This is in addition to the 11 tons of medical material sent previously (ESH4). </t>
  </si>
  <si>
    <t>ESH6</t>
  </si>
  <si>
    <t>Spain is to supply the city of Kherson with 32 buses. This is humanitarian aid within the Civil Protection Mechanism of the European Union.</t>
  </si>
  <si>
    <t>https://mtu.gov.ua/news/34240.html</t>
  </si>
  <si>
    <t>Ministry for Communities, Territories and Infrastructure Development: Spain donates 32 buses for Kherson region | Cabinet of Ministers of Ukraine (kmu.gov.ua)</t>
  </si>
  <si>
    <t>Madrid presented Kherson with more than 30 buses | Ukrainska Pravda</t>
  </si>
  <si>
    <t>ESM1</t>
  </si>
  <si>
    <t>Lethal weapons, including 1,370 anti-tank grenade launchers, 700,000 rifles and an undisclosed number of machine-gun rounds and light machine guns.</t>
  </si>
  <si>
    <t>SB-40 LAG</t>
  </si>
  <si>
    <t>https://www.reuters.com/world/europe/spain-send-grenade-launchers-machine-guns-ukraine-minister-says-2022-03-02/</t>
  </si>
  <si>
    <t xml:space="preserve">https://www.aa.com.tr/en/europe/spain-to-send-weapons-to-ukrainian-forces/2520902 </t>
  </si>
  <si>
    <t>https://euroweeklynews.com/2022/03/05/spanish-grenade-launchers-sent-to-ukraine/</t>
  </si>
  <si>
    <t>rifle + MG Round</t>
  </si>
  <si>
    <t>light machine gun</t>
  </si>
  <si>
    <t>ESM2</t>
  </si>
  <si>
    <t>Spain has declared that new weapons will be shipped. Our dataset reports the 1 billion EUR cited in "Source of Aid 2" as it represents the aid devoted by the European Peace Facility so far (EUM1 and EUM2).</t>
  </si>
  <si>
    <t>https://www.thelocal.es/20220311/spain-to-send-more-weapons-to-ukraine/</t>
  </si>
  <si>
    <t>https://www.barrons.com/news/spain-to-send-more-weapons-to-ukraine-01647003007</t>
  </si>
  <si>
    <t>ESM3</t>
  </si>
  <si>
    <t>An RG-31 ambulance of the Armed Forces, delivered to help evacuate the wounded from the most affected regions.</t>
  </si>
  <si>
    <t>RG-31 ambulance</t>
  </si>
  <si>
    <t>https://twitter.com/Defensagob/status/1508877933242372096</t>
  </si>
  <si>
    <t>https://pledgetimes.com/spain-sends-an-armored-ambulance-and-more-weapons-to-ukraine/</t>
  </si>
  <si>
    <t>ESM4</t>
  </si>
  <si>
    <t>New batch of military aid consisting of 200 tons of military material. This was announced by the prime minister without specifying the aid in more detail. However, "Source of Aid 2" discloses that the package includes 200 tons of ammunition, 20 armored vehicles and 30 military trucks. Prime Minister Sanchez specifies that this package would more than double what Spain had delivered until that date. "Source of Aid 4" admits this by quantifying the aid up to the date to 170 tons. The source specifies that the entries ESH1 and ESM1 belong to this amount.</t>
  </si>
  <si>
    <t>ton of rifle + MG round</t>
  </si>
  <si>
    <t>https://www.lamoncloa.gob.es/lang/en/presidente/news/paginas/2022/20220421_visit-to-ukraine.aspx</t>
  </si>
  <si>
    <t>https://armyrecognition.com/ukraine_-_russia_invasion_conflict_war/full_list_of_us_european_weapons_and_military_equipment_delivered_to_ukraine.html</t>
  </si>
  <si>
    <t>https://www.ukrinform.net/rubric-defense/3463928-spain-sends-new-military-aid-batch-to-ukraine.html</t>
  </si>
  <si>
    <t>https://westobserver.com/news/europe/40-spanish-made-military-trucks-and-off-road-vehicles-for-ukraine-travel-in-the-ysabel/</t>
  </si>
  <si>
    <t>https://www.thelocal.es/20220421/spain-sends-200-tonnes-of-military-material-to-ukraine-pm/</t>
  </si>
  <si>
    <t>VAMTAC 4x4 armored vehicle</t>
  </si>
  <si>
    <t>lorry</t>
  </si>
  <si>
    <t>ESM5</t>
  </si>
  <si>
    <t>According to media reports, Spain plans to provide Ukraine with a undisclosed amount of Aspide anti-aircraft missiles as well as with Leopard-2A4 tanks. According to "Source of Aid 2", the preparations to deliver the Aspide missiles are already in an advanced stage. On the other hand, the delivery of Leopard-2A4 tanks is subject to at least two factors, according to "Source of Aid 3". First of all the approval from the German government since Spain bought them from Germany in 1995. And secondly, the tanks need a complete overhaul. Even though "Source of Aid 2" speaks about 40 tanks that could be delivered, another media report as of June 8 ("Source of Aid 4") clarifies that Spain would send only up to ten Leopard-2A4 tanks. Based on later reports, Spain decied to not to send Leopards(see ESM6 for detailes).</t>
  </si>
  <si>
    <t>Shorad Aspide anti-aircraft missile</t>
  </si>
  <si>
    <t>https://www.reuters.com/world/europe/spain-deliver-anti-aircraft-missiles-tanks-ukraine-el-pais-2022-06-05/</t>
  </si>
  <si>
    <t>https://elpais.com/espana/2022-06-05/espana-dispuesta-a-entregar-a-ucrania-misiles-antiaereos-y-carros-de-combate-leopard.html</t>
  </si>
  <si>
    <t>https://www.faz.net/aktuell/politik/inland/spanien-erwaegt-lieferung-deutscher-kampfpanzer-an-die-ukraine-18084152.html</t>
  </si>
  <si>
    <t>https://www.faz.net/aktuell/politik/waffen-fuer-die-ukraine-norwegen-liefert-haubitzen-18089553.html</t>
  </si>
  <si>
    <t>ESM6</t>
  </si>
  <si>
    <t>until 06/31/2022</t>
  </si>
  <si>
    <t>According to the report on Spanish Exports of Defense Materials, Other Materials and Dual-Use Products and Technologies prepared by the Ministry of Industry, Commerce and Tourism, in the first half of 2022, it was exported to Ukraine material worth another 209.7 million euros. Since many items were not disclosed during this period, we report the difference in this entry.</t>
  </si>
  <si>
    <t>https://comercio.gob.es/ImportacionExportacion/Informes_Estadisticas/Material%20Defansa%20Doble%20Uso/2022/XMDDU2022I.pdf</t>
  </si>
  <si>
    <t>ESM7</t>
  </si>
  <si>
    <t>According to the Spanish newspaper Infodefensa ("Source of aid 1"), the Spanish defence ministry and army decided to donate 10 Leopards and 20 M113 to Ukraine. Still, later in August, Spanish Defence Minister Margarita Robles reported that Spain could not send its mothballed Leopard-2A4 tanks to Ukraine as they are "in an absolutely deplorable state (Source of Aid 2), so we don't include leopards in the dataset. We also deleted Leopards from ESM5, since these are the same Leopards. In January 2023, Spanish media revealed that this package will soon be prepared for delivery (Source of delivery).</t>
  </si>
  <si>
    <t>https://www.infodefensa.com/texto-diario/mostrar/3822103/defensa-da-luz-verde-donacion-10-carros-combate-leopard-2a4-20-m113-ucrania</t>
  </si>
  <si>
    <t>https://www.reuters.com/world/europe/spain-says-its-mothballed-german-made-tanks-no-fit-state-send-ukraine-2022-08-02/</t>
  </si>
  <si>
    <t>https://www.infodefensa.com/texto-diario/mostrar/4154019/espana-envia-primeros-20-blindados-m113-ucrania-puesta-punto</t>
  </si>
  <si>
    <t>ESM8</t>
  </si>
  <si>
    <t>Spain’s Ministry of Defense has announced that it will transfer additional military assistance, and the first package is already being prepared. At the same time, the content was described without specifying the concrete models of different weapons, only the broad typing. Source of aid 3 later specified the amount of winter clothing delivered to Ukraine.</t>
  </si>
  <si>
    <t>https://www.defensa.gob.es/gabinete/notasPrensa/2022/10/DGC-221006-envio-ucrania.html</t>
  </si>
  <si>
    <t>https://edition.cnn.com/europe/live-news/russia-ukraine-war-news-08-25-22/index.html</t>
  </si>
  <si>
    <t>https://www.defensa.gob.es/gabinete/notasPrensa/2022/11/DGC-221110-sesion-ucrania.html</t>
  </si>
  <si>
    <t>https://www.aa.com.tr/en/europe/spain-announces-increase-in-military-aid-to-ukraine/2668809</t>
  </si>
  <si>
    <t>https://www.defensa.gob.es/gabinete/notasPrensa/2022/08/DGC-220831-envio-armamento-ucrania.html</t>
  </si>
  <si>
    <t>ton of diesel (Spain)</t>
  </si>
  <si>
    <t>ESM9</t>
  </si>
  <si>
    <t>Spain’s Ministry of Defense has announced that it will transfer additional military assistance. Source of aid 2 specified some details about the content of the package.</t>
  </si>
  <si>
    <t>Anibal light vehicle</t>
  </si>
  <si>
    <t>https://www.infodefensa.com/texto-diario/mostrar/3916727/defensa-envia-polonia-10-vehiculos-ligeros-ucrania-prepara-entrega-otros-12-pesados</t>
  </si>
  <si>
    <t>ESM10</t>
  </si>
  <si>
    <t>During the NATO briefing, Jens Stoltenberg, General Secretary of NATO, said that Spain will send four HAWK anti-aircraft systems to Ukraine. Later on, During the joint press conference with the Minister of Foreign Affairs, European Union and Cooperation of Spain Jose Manuel Albarez Bueno in Kyiv confirmed it and also revealed that Spain is going to send Aspide batteries and missiles to Ukraine (Source of aid 2). Source of Aid 3 states that Spain has delivered one Aspide battery system.</t>
  </si>
  <si>
    <t>MIM-23 HAWK</t>
  </si>
  <si>
    <t>https://www.youtube.com/watch?v=D59VdvNdPwo&amp;t=2s&amp;ab_channel=NATONews</t>
  </si>
  <si>
    <t>https://www.facebook.com/UkraineMFA/videos/804435197447603/?extid=CL-UNK-UNK-UNK-AN_GK0T-GK1C</t>
  </si>
  <si>
    <t>https://mil.in.ua/en/news/what-spain-hands-over-to-ukraine-aspide-sam-battalion-hawk-air-defense-systems-anti-tank-systems-guns-and-projectiles/</t>
  </si>
  <si>
    <t>https://twitter.com/oleksiireznikov/status/1589571269363904512?cxt=HHwWgMDR-bippY8sAAAA</t>
  </si>
  <si>
    <t>Aspide battery</t>
  </si>
  <si>
    <t>ESM11</t>
  </si>
  <si>
    <t>According to Spanish defence minister Margarita Robles, Spain is to send additional heavy weapon support to Ukraine. She also revealed the content of the following delivery package but only specified the amount of MIM-23 HAWK anti-aircraft systems. Source of aid 2 specified the amount of 105mm howitzers.</t>
  </si>
  <si>
    <t>https://www.infodefensa.com/texto-diario/mostrar/4066952/espana-enviara-hawk-generadores-bateria-105-ucrania</t>
  </si>
  <si>
    <t>https://www.reuters.com/world/europe/spain-send-two-more-hawk-air-defence-systems-ukraine-2022-11-10/</t>
  </si>
  <si>
    <t>https://twitter.com/oleksiireznikov/status/1598696930720116736?cxt=HHwWgMCjseyY268sAAAA</t>
  </si>
  <si>
    <t xml:space="preserve">OTO Melara Mod 56 Towed Howitzer 105/14 </t>
  </si>
  <si>
    <t>https://mil.in.ua/en/news/ukrainian-armed-forces-use-oto-melara-mod-56-105mm-howitzer-in-donbas/</t>
  </si>
  <si>
    <t>ESM12</t>
  </si>
  <si>
    <t>According to an official statement made by Pedro Sánchez, Prime Minister of Spain, on WEF in January 2023, Spain provided military support worth more than 300 EUR million in 2022. We recorded a similar amount before this date, so we leave this entry witha value of 0 for benchmarking reasons.</t>
  </si>
  <si>
    <t>https://www.weforum.org/agenda/2023/01/davos-2023-special-address-by-pedro-sanchez-prime-minister-of-spain/</t>
  </si>
  <si>
    <t>ESM13</t>
  </si>
  <si>
    <t>According to the Spanish newspaper El Pais, based on the statement of the Spanish Minister of the Presidency, Félix Bolaños, Spain is to join other countries in sending tanks to Ukraine (Source of aid 1). Later in February, the Spanish Minister of Defense, Margarita Robles, confirmed it and specified that 6 Leopard-2A4 tanks are to be delivered to Ukraine. The monetary value of the package is undisclosed. On 23 February, Spanish Prime Minister Pedro Sánchez announced Spain would send 10 Leopard 2 tanks to Ukraine (Source of aid 3). Source of Aid 4 confirmed that Spain prepared tanks for shipment and sent them to Ukraine but only mentioned six tanks. The Source of Delivery indicates that Spain is to deliver the last four tanks out of 10, meaning that they are delivered entirely.</t>
  </si>
  <si>
    <t>https://elpais.com/espana/2023-01-25/espana-se-suma-al-plan-europeo-para-entregar-tanques-leopard-a-ucrania.html</t>
  </si>
  <si>
    <t>https://elpais.com/espana/2023-02-22/robles-confirma-en-el-congreso-que-espana-entregara-seis-tanques-leopard-a-ucrania.html</t>
  </si>
  <si>
    <t>https://elpais.com/internacional/2023-02-23/guerra-ucrania-rusia-ultimas-noticias-en-directo.html</t>
  </si>
  <si>
    <t>https://www.elmundo.es/espana/2023/04/19/643fc0e2e4d4d89e718b457e.html</t>
  </si>
  <si>
    <t>https://www.defensa.gob.es/gabinete/notasPrensa/2023/05/DGC-230525-reunion-ramstein.html</t>
  </si>
  <si>
    <t>ESM14</t>
  </si>
  <si>
    <t xml:space="preserve">Spain will send 20 M113 armored personnel carriers to Ukraine on Feb. 6, Defense Minister Margarita Robles announced on Feb. 1, as reported by Spanish media outlet Europa Press (Source of aid 1). </t>
  </si>
  <si>
    <t>https://www.europapress.es/nacional/noticia-espana-enviara-ucrania-20-vehiculos-blindados-transporte-personal-20230201164934.html?utm_campaign=smartclip_social&amp;utm_medium=Social&amp;utm_source=Twitter</t>
  </si>
  <si>
    <t>https://kyivindependent.com/spain-to-send-20-m-113-armored-personnel-carriers-to-ukraine/</t>
  </si>
  <si>
    <t>ESM15</t>
  </si>
  <si>
    <t>The Minister of Defense of Spain, Margarita Robles, announced a new military aid package to Ukraine at the Ukraine Defense Contact Group meeting. During the conference, Robles, in particular, announced a new batch of M113 tracked armored personnel carriers. The Minister did not disclose the quantity so far.</t>
  </si>
  <si>
    <t>https://mil.in.ua/en/news/spain-announces-a-new-delivery-of-m113-to-ukraine/</t>
  </si>
  <si>
    <t>ESF1</t>
  </si>
  <si>
    <t>During the international Ukraine Recovery Conference in Lugano, Secretary of State of the Foreign Ministry for International Cooperation Pilar Cancela Rodríguez said that Spain might allocate EUR 250 million to Ukraine (Source of Aid 1). Source of Aid 2 specifies that 100 million euros from this package will be issued for the multi-donor fund of the World Bank, which provides direct financial support to the budget of Ukraine. Anouther parts of this package are reported in ESF2 (guarantee trougth EBRD) and ESF3 (World Bank's Peace Multi-Donor Trust Fund, intended to provide direct budget support to Ukraine).</t>
  </si>
  <si>
    <t>https://www.aecid.es/ES/Paginas/Sala%20de%20Prensa/Noticias/2022/2022_07/07_seci_lugano.aspx</t>
  </si>
  <si>
    <t>https://ua.interfax.com.ua/news/general/844172.html</t>
  </si>
  <si>
    <t>https://thediplomatinspain.com/en/2022/07/spain-announces-250-million-euros-for-agriculture-and-renewables-in-ukraine/</t>
  </si>
  <si>
    <t>ESF2</t>
  </si>
  <si>
    <t>During the international Ukraine Recovery Conference in Lugano, Secretary of State of the Foreign Ministry for International Cooperation Pilar Cancela Rodríguez said that Spain might allocate EUR 250 million to Ukraine (Source of Aid 1). Source of Aid 2 specifies that 100 million euros from this package will be issued as guarantee for the European Bank for Reconstruction and Development (EBRD). Anouther parts of this package are reported in ESF1 (budget support trougth World Bank) and ESF3 (World Bank's Peace Multi-Donor Trust Fund, intended to provide direct budget support to Ukraine)..</t>
  </si>
  <si>
    <t>ESF3</t>
  </si>
  <si>
    <t>During the international Ukraine Recovery Conference in Lugano, Secretary of State of the Foreign Ministry for International Cooperation Pilar Cancela Rodríguez said that Spain might allocate EUR 250 million to Ukraine (Source of Aid 1). Source of Aid 2 specifies that 50 million euros from this package will go to food security and cities. Anouther parts of this package are reported in  ESF1 (budget support trougth World Bank) and ESF2 (guarantee trougth EBRD).</t>
  </si>
  <si>
    <t>ESF4</t>
  </si>
  <si>
    <t>Spain gives the World Bank a €100 million guarantee to repair health infrastructures in Ukraine</t>
  </si>
  <si>
    <t>https://www.lamoncloa.gob.es/lang/en/gobierno/news/paginas/2022/20221221_aid-to-ukraine.aspx</t>
  </si>
  <si>
    <t>https://www.exteriores.gob.es/Embajadas/washington/en/Comunicacion/Noticias/Paginas/Articulos/Spain-guarantees-the-first-aid-package-from-the-World-Bank-to-Ukraine-with-100-million-euros.aspx#:~:text=This%20contribution%20joins%20Spain's%20guarantees,Ukraine%20in%20highly%20concessional%20loans.</t>
  </si>
  <si>
    <t>ESF5</t>
  </si>
  <si>
    <t>The Spanish Ministry for the Ecological Transition and the Demographic Challenge made a contribution of EUR 4.5 million to the Ukraine Energy Support Fund.</t>
  </si>
  <si>
    <t>https://www.energy-community.org/news/Energy-Community-News/2023/01/11.html</t>
  </si>
  <si>
    <t>ESF6</t>
  </si>
  <si>
    <t>Spain provides 100 EUR million in guarantees via European Bank for Reconstruction and Development (EBRD) to help Ukrainian towns and protect food security.</t>
  </si>
  <si>
    <t>https://www.lamoncloa.gob.es/lang/en/gobierno/news/Paginas/2023/20230413_aid-to-ukrainian-towns.aspx</t>
  </si>
  <si>
    <t>https://www.ebrd.com/news/2023/ebrd-and-spain-join-forces-to-support-ukraines-food-security-and-municipal-sector.html</t>
  </si>
  <si>
    <t>SEH1</t>
  </si>
  <si>
    <t>Sweden</t>
  </si>
  <si>
    <t>Sweden decided to provide equipment that is necessary to repair Ukraine's energy grid. However, as no further information is provided, an in-kind valuation of this aid is not possible.</t>
  </si>
  <si>
    <t>https://government.se/press-releases/2022/04/sweden-supporting-ukraine-with-equipment-to-secure-the-countrys-energy-supply/</t>
  </si>
  <si>
    <t>SEH2</t>
  </si>
  <si>
    <t>until 5/4/2022</t>
  </si>
  <si>
    <t>Following "Source of Aid 1", the official and continously updated Swedish aid overview page, Sweden has provided direct humanitarian aid to Ukraine worth 570 million SEK until May 4, 2022. Of this amount,we document 500 million EUR and 20 million EUR to support the International Committee of the Red Cross (ICRC) in Ukraine (both as of February 27). Furthermore, Sweden announced to assist Ukraine with equipment to secure the country's energy supply (April 22). We do not include the contribution of Sweden to UN organizations, including the Central Emergency Response Fund (CERF) and to the Red Cross Movement’s Disaster Relief Emergency Fund (DREF) (as listed in "Source of Aid 1"), since those international organisations are not explicitly active in Ukraine.</t>
  </si>
  <si>
    <t>SEK</t>
  </si>
  <si>
    <t>https://www.government.se/government-policy/russias-invasion-of-ukraine/?page=3</t>
  </si>
  <si>
    <t>https://government.se/press-releases/2022/05/sweden-and-poland-co-host-international-donors-conference-to-support-ukrainian-people/</t>
  </si>
  <si>
    <t>SEH3</t>
  </si>
  <si>
    <t>During the High-Level International Donor's Conference for Ukraine on May 5, 2022, Sweden announced to provide additional 230 million SEK, according to "Source of Aid 1", for humanitarian organisations active in Ukraine.</t>
  </si>
  <si>
    <t>https://en.interfax.com.ua/news/general/829822.html</t>
  </si>
  <si>
    <t>https://www.news.az/news/sweden-pledges-additional-23-million-for-humanitarian-actions-in-ukraine</t>
  </si>
  <si>
    <t>SEH4</t>
  </si>
  <si>
    <t>As a part of the total package comprising 1 billion SEK, Sweden also announced to provide 100 million SEK for humanitarian purposes. According to "Source of Aid 1" this money is provided through the EU Civil Protection Mechanism on the one hand and to the UN on the other hand. As we cannot disentangle these two parts, we report the total sum. Note that SEM4 provides an overview of the remaining part of the package, comprising 900 million SEK.</t>
  </si>
  <si>
    <t>https://www.government.se/press-releases/2022/06/additional-amending-budget-with-further-support-to-ukraine/</t>
  </si>
  <si>
    <t>SEH5</t>
  </si>
  <si>
    <t>The Swedish Government has decided to donate more than 500 000 doses of the Pfizer/BioNTech COVID-19 vaccine to Ukraine.</t>
  </si>
  <si>
    <t>Pfizer vaccine dose</t>
  </si>
  <si>
    <t>https://www.reuters.com/article/health-coronavirus-sweden-ukraine-idINO9N2YI01F</t>
  </si>
  <si>
    <t>SEH6</t>
  </si>
  <si>
    <t>According to Source of Aid 1, the Swedish govenment committed additional humanitarian aid of SEK 720 million for this Winter aid package for various purposes. Source of aid 1 also mentions SEK 3 billion humanitarian aid that is covered in Donation ID SEM9. Not all of the humanitarian aid is intended for Ukraine. We only count SEK 170 million as bilateral aid to Ukraine (Nordic Environment Finance Corporation’s Ukraine Green Recovery Programme SEK 110 million, Ukrainian Red Cross SEK 50 million, Mine clearance through the Danish Refugee Council SEK 10 million) since the rest of the package does not benefit Ukraine directly. SEF4 covers the SEK 140 million through the World Bank.</t>
  </si>
  <si>
    <t>https://www.government.se/articles/2022/11/government-to-send-record-support-package-to-ukraine/</t>
  </si>
  <si>
    <t>SEH7</t>
  </si>
  <si>
    <t>This support aims to improve nuclear safety and electricity supply in Ukraine by funding the work of the International Atomic Energy Agency (IAEA). The support amounts to a total of SEK 20 million in 2023.</t>
  </si>
  <si>
    <t>https://www.government.se/press-releases/2023/01/government-contributes-to-improved-nuclear-safety-in-ukraine/</t>
  </si>
  <si>
    <t>https://www.government.se/government-policy/russias-invasion-of-ukraine/?page=2</t>
  </si>
  <si>
    <t>SEH8</t>
  </si>
  <si>
    <t xml:space="preserve">According to Source of Aid 1, Sweden has committed €11 million in humanitarian aid to Ukraine in support to women and girls in Ukraine. </t>
  </si>
  <si>
    <t>https://www.government.se/press-releases/2023/03/sweden-provides-almost-eur-11-million-in-support-to-women-and-girls-in-ukraine-and-moldova/</t>
  </si>
  <si>
    <t>https://www.government.se/contentassets/b5ee5a7272ba4b60870f91587d555f86/faktablad_sverigesstod_ukraina_eng.pdf</t>
  </si>
  <si>
    <t>SEM1</t>
  </si>
  <si>
    <t>5,000 anti-tank weapons, 5,000 helmets, 5,000 body shields and 135,000 field rations of a value of 400 million SEK. "Source of Aid 1" also lists the 500 million SEK assistance to the Ukranian army reported in SEM2, and the 500 million SEK humanitarian assistance reported in SEH3.</t>
  </si>
  <si>
    <t xml:space="preserve">https://www.reuters.com/world/europe/sweden-send-military-aid-ukraine-pm-andersson-2022-02-27/ </t>
  </si>
  <si>
    <t>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t>
  </si>
  <si>
    <t>https://www.reuters.com/world/europe/sweden-provide-ukraine-with-5000-more-anti-tank-weapons-tt-news-agency-2022-03-23/</t>
  </si>
  <si>
    <t>AT4 anti-tank weapon</t>
  </si>
  <si>
    <t>SEM2</t>
  </si>
  <si>
    <t>Financial grant directed to the Armed Forces of Ukraine. "Source of Aid 1" also lists the aid package reported in SEM1 (military equipment worth 400 million SEK).</t>
  </si>
  <si>
    <t>https://ua.interfax.com.ua/news/general/807284.html</t>
  </si>
  <si>
    <t>SEM4</t>
  </si>
  <si>
    <t>"Source of Aid 1" lists several military in-kind donations as part of the total amount of 1 billion SEK that the government announced. Notice that this is divided into the following entries: 100 million SEK reflect humanitarian aid (see SEH3), 578 million SEK and 60 million SEK represent grants with military purpose (SEM5 and SEM6) and the remaining 262 million SEK out of the total package is allocated for Weapons and Equipment.</t>
  </si>
  <si>
    <t>http://web.archive.org/web/20221018175112/https://www.government.se/press-releases/2022/06/additional-amending-budget-with-further-support-to-ukraine/</t>
  </si>
  <si>
    <t>https://twitter.com/AnnLinde/status/1532316643254226945?ref_src=twsrc%5Etfw%7Ctwcamp%5Etweetembed%7Ctwterm%5E1532316643254226945%7Ctwgr%5E%7Ctwcon%5Es1_&amp;ref_url=https%3A%2F%2Fmezha.media%2Fen%2F2022%2F06%2F03%2Frbs-17-swedish-short-range-anti-ship-missile%2F</t>
  </si>
  <si>
    <t>https://www.reuters.com/world/europe/sweden-supply-more-military-aid-including-anti-ship-missiles-ukraine-2022-06-02/</t>
  </si>
  <si>
    <t>RBS 17 anti-ship missile system</t>
  </si>
  <si>
    <t>https://twitter.com/Archer83Able/status/1583117121579802624</t>
  </si>
  <si>
    <t>AG 90 anti-materiel sniper rifle</t>
  </si>
  <si>
    <t>SEM5</t>
  </si>
  <si>
    <t>As part of the total package of 1 billion SEK ("Source of Aid 1"), Sweden announced to provide additional 578 million SEK as grant directed to the Armed Forces of Ukraine, with reference to an earlier grant of 500 million SEK (see "SEM2"). See also SEH4, SEM4, SEM6 for the other parts of the total 1 billion SEK package.</t>
  </si>
  <si>
    <t>SEM6</t>
  </si>
  <si>
    <t>As part of the total package of 1 billion SEK ("Source of Aid 1"), Sweden also announced to provide 60 million SEK as contribution to a NATO fund that aims to equip the Ukrainian Armed Forces ("Source of Aid 1"). See also SEH4, SEM4, SEM5 for the other parts of the total 1 billion SEK package.</t>
  </si>
  <si>
    <t>SEM7</t>
  </si>
  <si>
    <t>Financial grant directed to the Armed Forces of Ukraine.</t>
  </si>
  <si>
    <t>https://bank.gov.ua/en/news/all/uryad-shvetsiyi-pererahuvav-5777-mln-shvedskih-kron-na-dopomogu-zbroynim-silam-ukrayini?fbclid=IwAR2GXaFc3IMIbZSXOY8F7GKajhqkPjM9F5GjMl1cFhI_X1DeYZjIVLKXbdg</t>
  </si>
  <si>
    <t>https://ukranews.com/en/news/868451-swedish-government-transferred-sek-577-7-million-to-help-afu</t>
  </si>
  <si>
    <t>SEM8</t>
  </si>
  <si>
    <t xml:space="preserve">During the meeting of Swedish Prime Minister Magdalena Andersson and Ukrainian Minister for Foreign Affairs Dmytro Kuleba, Magdalena Andersson informed that Sweden pledged 500 SEK million for military assistance and 500 SEK million for civilian assistance (see SEF3 ). Source of Aid 4 specifies that Sweden delivers ammunition for howitzers, and since it was done right after this meeting, we assume that it is included in the 500 SEK million package. Moreover, since Sweden only has 155mm of howitzers in its stocks, we consider it to deliver 155mm of howitzer ammunition. </t>
  </si>
  <si>
    <t>https://www.government.se/press-releases/2022/08/prime-minister-magdalena-andersson-to-receive-ukrainian-minister-for-foreign-affairs-dmytro-kuleba/</t>
  </si>
  <si>
    <t>https://edition.cnn.com/europe/live-news/russia-ukraine-war-news-08-29-22/h_21f066995f2c6fe12ab6605c48c1b9d1</t>
  </si>
  <si>
    <t>https://www.reuters.com/world/europe/swedish-pm-sets-out-further-military-aid-package-ukraine-2022-08-29/</t>
  </si>
  <si>
    <t>https://twitter.com/oleksiireznikov/status/1565001295177687045</t>
  </si>
  <si>
    <t>SEM9</t>
  </si>
  <si>
    <t xml:space="preserve">According to Source of Aid 1, the Swedish govenment committed additional military aid of SEK 3 billion for this Winter aid package. Source of aid 1 also mentions SEK 720 million humanitarian aid that is covered in Donation ID SEH6. The composition of the military aid package is unknown. </t>
  </si>
  <si>
    <t xml:space="preserve">https://www.reuters.com/world/europe/sweden-promises-287-mln-military-aid-package-ukraine-including-air-defence-2022-11-16/ </t>
  </si>
  <si>
    <t>SEM10</t>
  </si>
  <si>
    <t>Sweden provides Ukraine with military goods worth 4.3 billion SEK. The package includes multiple items and heavy weapons. We list the remaining items without exact designations under Small arm and ammunition.</t>
  </si>
  <si>
    <t>CV90 combat vehicle</t>
  </si>
  <si>
    <t>https://www.government.se/articles/2023/01/heavy-advanced-weapons-to-ukraine/</t>
  </si>
  <si>
    <t>https://www.government.se/speeches/2023/02/opening-speech-by-the-minister-for-defence-pal-jonson-at-the-conference-on-security-and-defence-within-the-framework-of-swedens-presidency-of-the-eu/</t>
  </si>
  <si>
    <t>https://www.government.se/government-policy/russias-invasion-of-ukraine/?page=4</t>
  </si>
  <si>
    <t>Robot 57 (NLAW)</t>
  </si>
  <si>
    <t>https://www.government.se/government-policy/russias-invasion-of-ukraine/?page=5</t>
  </si>
  <si>
    <t>https://www.government.se/government-policy/russias-invasion-of-ukraine/?page=6</t>
  </si>
  <si>
    <t>SEM11</t>
  </si>
  <si>
    <t xml:space="preserve">The Government of Sweden has adopted an additional amending budget of SEK 6.2 billion through which eight Archer artillery units, of which two are maintenance units, will be donated to Ukraine. The budget also includes previously announced Leopard 2 battle tanks, and parts and ammunition for the HAWK anti-aircraft system. Additionally, Sweden intends to cover transportation, protection, and training costs worth a total of SEK 524.5 million. We therefore report the value of this package including the Leopard-2 tanks, the 8 Archer systems (previously undisclosed number) and ammunition for the HAWK system as SEK 6.7245 billion. </t>
  </si>
  <si>
    <t>https://www.government.se/articles/2023/05/sweden-and-uk-cooperating-on-increased-military-support-to-ukraine/</t>
  </si>
  <si>
    <t>https://www.government.se/press-releases/2023/02/heavy-advanced-weapons-to-ukraine-in-new-support-package/</t>
  </si>
  <si>
    <t>https://www.government.se/press-releases/2023/01/sweden-and-finland-cooperate-on-additional-support-package-for-ukraine/</t>
  </si>
  <si>
    <t>Archer self-propelled artillery system</t>
  </si>
  <si>
    <t>https://kyivindependent.com/news-feed/sweden-pledges-to-provide-ukraine-with-archer-artillery-systems</t>
  </si>
  <si>
    <t>missiles for HAWK air defense system</t>
  </si>
  <si>
    <t>SEF1</t>
  </si>
  <si>
    <t>Sweden has contributed 50 million USD to the "FREE Ukraine Support Package". The latter is part of the Emergency Financing Package established by the World Bank and amounting to 723 million USD. Other countries have contributed to Emergency Financing Package: the Netherlands with 89 million USD, United Kingdom with 100 million USD, Denmark with 22 million USD, Latvia + Lithuania + Iceland with 12 million USD and Japan with 100 million USD.</t>
  </si>
  <si>
    <t>SEF2</t>
  </si>
  <si>
    <t xml:space="preserve">Loan guarantee in excess of 44 million EUR provided through the World Bank. </t>
  </si>
  <si>
    <t>https://twitter.com/SweMFA/status/1517445238142521346</t>
  </si>
  <si>
    <t>SEF3</t>
  </si>
  <si>
    <t>During the meeting of Swedish Prime Minister Magdalena Andersson and Ukrainian Minister for Foreign Affairs Dmytro Kuleba, Magdalena Andersson informed that Sweden pledged 500 SEK million for military assistance(see SEM8) and 500 SEK million for civilian assistance.</t>
  </si>
  <si>
    <t>SEF4</t>
  </si>
  <si>
    <t xml:space="preserve">Accoring to Source of aid 1, Sweden has pledged a grant over SEK 140 million to Ukraine through the World Bank. Source of Aid 1 mentions additional military and humanitarian aid, covered in Donation Ids SEM9 and SEH6. </t>
  </si>
  <si>
    <t>World Bank Financing Support Mobilization to Ukraine</t>
  </si>
  <si>
    <t>SEF5</t>
  </si>
  <si>
    <t>According to Source of Aid 1, Sweden is increasing its support to Ukraine by SEK 600 million through a new mechanism under the World Bank. It aims to maintain access to energy, heating and health care, and to support agriculture and the education system.</t>
  </si>
  <si>
    <t>https://www.government.se/press-releases/2022/12/additional-sek-600-million-in-support-to-ukraine/</t>
  </si>
  <si>
    <t>https://www.government.se/press-releases/2023/05/world-bank-to-establish-crisis-facility-for-ukraine-and-other-countries-affected-by-the-war/</t>
  </si>
  <si>
    <t>SEF6</t>
  </si>
  <si>
    <t>SEK 300 million in energy support will go to the Ukraine Energy Support Fund, established by European Commissioner for Energy Kadri Simson in April 2022. The Fund complements other efforts to support Ukraine’s energy sector, by providing capital to energy companies that are unable to obtain the financial resources needed to purchase their most necessary procurements. Source of Aid 1 mentions another 220 million EUR, which go to different partner organizations, but not neccessarily directly to Ukraine. We therefore do not report this amount.</t>
  </si>
  <si>
    <t>https://www.government.se/press-releases/2023/02/government-allocating-additional-sek-520-million-in-support-to-ukraine/</t>
  </si>
  <si>
    <t>https://www.energy-community.org/Ukraine/Fund.html</t>
  </si>
  <si>
    <t>CHH1</t>
  </si>
  <si>
    <t>Switzerland</t>
  </si>
  <si>
    <t>Switzerland provided a Nachtragskredit worth a total of 60 million CHF of direct in-kind humanitarian aid as well as financial aid to various humanitarian institutions in Ukraine and international organizations benefiting the people of Ukraine. There is no extensive list as to what amount went to which organization, other than the information that 60 million CHF are devoted directly to Ukraine (Reported in Source of Aid 4: three quarters of their total CHF 80 million budget; the remaining 20 million CHF are going to countries dealing with Ukrainian refugees including Poland and Moldova, which we do not include here as we measure direct support to Ukraine). To avoid underestimating the true extent of support to Ukraine, we include the entire amount of CHF 60 million as humanitarian aid. According to source of aid 2, the Nachtragskredit I amounts to CHF 71 million. Since we do not know if this is the amount comitted or disbursed nor if it is the amount provided for Ukraine or Ukraine and its neighboring countries we keep the CHF 60 million confirmed by sources of aid 1 and 4.</t>
  </si>
  <si>
    <t>CHF</t>
  </si>
  <si>
    <t xml:space="preserve">https://www.eda.admin.ch/eda/en/fdfa/fdfa/aktuell/news.html/content/eda/en/meta/news/2022/3/11/87561 </t>
  </si>
  <si>
    <t>https://www.eda.admin.ch/eda/en/fdfa/fdfa/aktuell/dossiers/krieg-gegen-ukraine.html</t>
  </si>
  <si>
    <t>https://www.admin.ch/gov/en/start/documentation/media-releases.msg-id-87418.html</t>
  </si>
  <si>
    <t>https://www.swissinfo.ch/eng/switzerland-approves-chf80-million-in-emergency-aid-for-ukraine/47423096?utm_campaign=teaser-in-article&amp;utm_source=swissinfoch&amp;utm_content=o&amp;utm_medium=display</t>
  </si>
  <si>
    <t>CHH2</t>
  </si>
  <si>
    <t>According to Source of Aid 1, Switzerland has provided just under CHF 100 million in funding to support Ukraine until August 10, 2022. Since, CHH1 is valued at 60 million CHF (60 million CHF for Ukraine, 20 million CHF for neighboring countries), the value of CHH2 is estimated to be 20 million CHF. On the goverment's desginated website (Source of Aid 2), it says that medical material worth 21.3 million CHF has been delivered from the Swiss Federal Department of Defence, Civil Protection and Sport since the beginning of the war. We assume that this corresponds to this entry and therefore use the value of 21.3 million CHF.</t>
  </si>
  <si>
    <t>https://www.admin.ch/gov/en/start/documentation/media-releases.msg-id-89923.html</t>
  </si>
  <si>
    <t>https://www.eda.admin.ch/eda/en/fdfa/fdfa/aktuell/dossiers/krieg-gegen-ukraine.html#</t>
  </si>
  <si>
    <t>https://reliefweb.int/report/ukraine/war-ukraine-switzerland-delivers-additional-100-tonnes-humanitarian-supplies</t>
  </si>
  <si>
    <t>CHH3</t>
  </si>
  <si>
    <t xml:space="preserve">According to Source of Aid 1, Switzerland will give 100 million CHF as Nachtragungskredit II Winterhilfe for projects to support the urgend rehabilitation of energy infrastructure and alleviate the precarious humanitarian situation. The aid is also intended to mitigate the impact of the cold season in Ukraine. According to Source of aid 3, the budget was passed in December 2022. </t>
  </si>
  <si>
    <t>https://www.admin.ch/gov/en/start/documentation/media-releases.msg-id-91098.html</t>
  </si>
  <si>
    <t>https://www.swissinfo.ch/eng/politics/swiss-to-send-chf100-million-in-aid-to-help-ukraine-get-through-winter/48025666#:~:text=The%20Swiss%20government%20has%20promised,infrastructure%20damaged%20by%20the%20war.</t>
  </si>
  <si>
    <t>https://www.eda.admin.ch/content/dam/eda/de/documents/aktuell/news/2022/20221215-ukraine-engagement-schweiz-themen_de.pdf</t>
  </si>
  <si>
    <t xml:space="preserve">https://www.eda.admin.ch/eda/en/fdfa/fdfa/aktuell/dossiers/krieg-gegen-ukraine.html </t>
  </si>
  <si>
    <t>CHH4</t>
  </si>
  <si>
    <t>According to Source of Aid 1, Switzerland has doubled the budget of the Swiss international cooperation programme in Ukraine to CHF 50 million/year in 2022 and 2023. According to source of aid 3, the previous budget of the project accounted for CHF 27 million yearly. Therefore, assume that 50-27=23 million CHF have been added for 2022 and 2023, adding up to CHF 46 million.</t>
  </si>
  <si>
    <t>https://www.eda.admin.ch/content/dam/eda/en/documents/aktuell/news/2022/20221215-ukraine-engagement-schweiz-finanzielle-unterstuetzung_en.pdf</t>
  </si>
  <si>
    <t>https://www.eda.admin.ch/eda/de/home/das-eda/aktuell/newsuebersicht/2022/02/ukraine.html</t>
  </si>
  <si>
    <t>https://www.eda.admin.ch/dam/countries/countries-content/ukraine/en/cooperation-programme-leaflet-2020-23_EN.pdf</t>
  </si>
  <si>
    <t>CHH5</t>
  </si>
  <si>
    <t>According to Source of Aid 1, Switzerland has provided CHF 1.5 million for projects in the field of peace and human rights, with a focus on accountability and the protection of civilians. According to Source of Aid 3, this support is carried out through the "Abteilung Frieden und Menschenrechte" of the Federal Department of Foreign Affairs.</t>
  </si>
  <si>
    <t>https://web.archive.org/web/20230401080117/https://www.eda.admin.ch/eda/en/fdfa/fdfa/aktuell/dossiers/krieg-gegen-ukraine.html</t>
  </si>
  <si>
    <t>CHH6</t>
  </si>
  <si>
    <t xml:space="preserve">According to Source of Aid 1, Switzerland intents to earmark 114 million CHF in humanitarian aid to Ukraine for multiple projects. Source of Aid 1 also mentions a total sum of 140 million CHF, but only 114 million CHF will go to Ukraine. </t>
  </si>
  <si>
    <t>https://www.reuters.com/world/europe/swiss-prepare-new-140-million-franc-aid-package-ukraine-moldova-2023-02-22/</t>
  </si>
  <si>
    <t>https://www.pravda.com.ua/eng/news/2023/03/2/7391769/</t>
  </si>
  <si>
    <t>https://www.eda.admin.ch/eda/de/home/das-eda/aktuell/news.html/content/eda/de/meta/news/2023/2/22/93261.html</t>
  </si>
  <si>
    <t>CHF1</t>
  </si>
  <si>
    <t>According to Source of Aid 1, Switzerland has provided CHF 23 million in budget support to Ukraine. Since the financial aid was undisclosed before and the source got released in December 2022, we quantify this donation as having been announced in December.</t>
  </si>
  <si>
    <t>CHF2</t>
  </si>
  <si>
    <t xml:space="preserve">According to Source of Aid 1, Switzerland has provided CHF 15 million as grant to the HORIZON fond in Ukraine that supports Tech Start ups. </t>
  </si>
  <si>
    <t>TRM1</t>
  </si>
  <si>
    <t>Turkey</t>
  </si>
  <si>
    <t>On February 3, 2022, the President of Turkey and the Prime Minister of Ukraine signed an agreement on the co-production of Bakar Bayraktar TB2 armed drones​ in Ukrainian territory. Financial details remained undisclosed.</t>
  </si>
  <si>
    <t>https://nordicmonitor.com/2022/03/turkey-deployed-personnel-to-operate-armed-drones-in-targeting-russian-military/</t>
  </si>
  <si>
    <t>https://www.defensenews.com/global/europe/2022/02/04/turkey-and-ukraine-to-coproduce-tb2-drones/</t>
  </si>
  <si>
    <t>TRM2</t>
  </si>
  <si>
    <t>According to source of aid 1, Turkey has delivered 50 used mine-resistant, ambush-protected vehicles to the Ukraine. The delivery of the Kirpi vehicles was the result of a government agreement. According to source of aid 3, 150 more Kirpi vehicles are expected to be delivered, adding up to 200 vehicles committed.</t>
  </si>
  <si>
    <t>BMC Kirpi</t>
  </si>
  <si>
    <t>https://www.defensenews.com/land/2022/08/22/turkey-sends-50-mine-resistant-vehicles-to-ukraine-with-more-expected/</t>
  </si>
  <si>
    <t>https://mil.in.ua/en/news/turkey-delivered-50-kirpi-armored-vehicles-to-ukraine-with-more-expected-defense-news/</t>
  </si>
  <si>
    <t>https://kyivindependent.com/ukraine-receives-50-turkish-kirpi-armored-vehicles/</t>
  </si>
  <si>
    <t xml:space="preserve">https://web.archive.org/web/20220809122305/https://www.ukrinform.net/rubric-ato/3546708-armed-forces-receive-first-batch-of-50-kirpi-armored-vehicles-from-turkey.html </t>
  </si>
  <si>
    <t>TRH1</t>
  </si>
  <si>
    <t>Turkey has reportedly provided a Humanitarian Aid convoy to Ukraine, carrying 1.536 food packages, 240 family tents, 1.680 blankets, 200 beds and 18 general purpose tents.</t>
  </si>
  <si>
    <t>https://twitter.com/AFADTurkey/status/1497633720068714497</t>
  </si>
  <si>
    <t>https://www.afad.gov.tr/turkiyeden-ukrayna-halkina-yardim-eli</t>
  </si>
  <si>
    <t>TRH2</t>
  </si>
  <si>
    <t>Turkey has sent 43 trucks of humanitarian aid and a mobile food truck for the people of Ukraine. Detailed information on the items sent is listed in Source of Aid 2. We subtract the items already sent in TRH1.</t>
  </si>
  <si>
    <t>https://twitter.com/AFADTurkey/status/1503080333205700608</t>
  </si>
  <si>
    <t>disaster and emergency bag</t>
  </si>
  <si>
    <t>pillow sheet set</t>
  </si>
  <si>
    <t>TRH3</t>
  </si>
  <si>
    <t>between 3/20/2022 and 7/1/2022</t>
  </si>
  <si>
    <t>Since March 20, the mobile food truck of the AFAD Türkyie (Ministry of Interior Disaster and Emergency Management Authority)  has been distributing hot meals in various Ukrainian cities, such as Borodyianka and Lviv. The value of the aid is not quantifiable.</t>
  </si>
  <si>
    <t>https://twitter.com/AFADTurkiye/status/1537845513671917570?s=20&amp;t=s9akAL75RoX8Zs9Cn_sKtQ</t>
  </si>
  <si>
    <t>TRH4</t>
  </si>
  <si>
    <t>According to source of aid 1, the number of trucks of humanitarian aid Tukey has sent increased to 98, plus the mobile food truck. Given the lack of more specific information, the monetary value of the shipment cannot be calculated.</t>
  </si>
  <si>
    <t>https://twitter.com/AFADBaskanlik/status/1537814591496921089</t>
  </si>
  <si>
    <t>TWH1</t>
  </si>
  <si>
    <t>Taiwan</t>
  </si>
  <si>
    <t>Donation worth 8 million USD directed to humanitarian assistance.</t>
  </si>
  <si>
    <t>https://taiwantoday.tw/news.php?unit=2&amp;post=218088</t>
  </si>
  <si>
    <t>https://focustaiwan.tw/politics/202204220023</t>
  </si>
  <si>
    <t>TWH2</t>
  </si>
  <si>
    <t xml:space="preserve">Donation worth 2 million USD directed to Kharkiv. </t>
  </si>
  <si>
    <t>https://en.mofa.gov.tw/News_Content.aspx?n=1328&amp;sms=273&amp;s=97920</t>
  </si>
  <si>
    <t>https://ubn.news/fr/cinq-villes-ukrainiennes-vont-beneficier-dun-don-de-6-millions-de-dollars-de-taiwan/</t>
  </si>
  <si>
    <t>https://focustaiwan.tw/politics/202206030014</t>
  </si>
  <si>
    <t>TWH3</t>
  </si>
  <si>
    <t>Donation worth 500000 USD, directed to humanitarian assistance in Chernihiv.</t>
  </si>
  <si>
    <t>TWH4</t>
  </si>
  <si>
    <t>Donation worth 500000 USD, directed to humanitarian assistance in Mykolaiev.</t>
  </si>
  <si>
    <t>TWH5</t>
  </si>
  <si>
    <t>Donation worth 500000 USD, directed to humanitarian assistance in Sumy.</t>
  </si>
  <si>
    <t>TWH6</t>
  </si>
  <si>
    <t>Donation worth 500000 USD, directed to humanitarian assistance in Zaporizhzhia.</t>
  </si>
  <si>
    <t>TWH7</t>
  </si>
  <si>
    <t>Donation worth 500000 USD, directed to humanitarian assistance in Bucha. According to "Source of Aid 1", Taiwan has donated a total amount of 13,2 million USD (besides the 500000 USD newly committed to Bucha). Since we discard the 1,2 million USD donated to the Orthodox church for the reconstruction of churches in Ukraine, we only count 12 million USD (see TWH1 -TWH8).</t>
  </si>
  <si>
    <t>https://taiwantoday.tw/news.php?unit=2&amp;post=220870</t>
  </si>
  <si>
    <t>https://focustaiwan.tw/politics/202206200021</t>
  </si>
  <si>
    <t>TWH8</t>
  </si>
  <si>
    <t>Foreign Minister Jaushieh Joseph Wu announced a US$56 million donation on behalf of the government and people of Taiwan. The donation will be used to support Ukraine to rebuild schools, hospitals and fundamental infrastructure. According to Source of Aid 3, this amount is equivalent to Taiwan's humanitarian budget in 2023. We assume that following humanitarian entries until the end of 2023 are part of this budget.</t>
  </si>
  <si>
    <t>https://www.taiwan.gov.tw/news.php#:~:text=Foreign%20Minister%20Jaushieh%20Joseph%20Wu%20announced%20a%20US%2456%20million,26.</t>
  </si>
  <si>
    <t>https://taiwantoday.tw/news.php?unit=2&amp;post=227225&amp;unitname=Politics-Top-News&amp;postname=MOFA-Minister-Wu-unveils-US%2456-million-donation-to-rebuild-Ukraine</t>
  </si>
  <si>
    <t>https://www.mofa.gov.tw/News_Content.aspx?n=95&amp;sms=73&amp;s=99713</t>
  </si>
  <si>
    <t>According to source of aid 1, Foreign Minister Jaushieh Joseph Wu signed a memorandum of understanding to assist the Ukrainian capital of Kyiv in purchasing power generation equipment. The Ministry of Foreign Affairs will donate US$1 million for Kyiv to procure emergency power generation equipment, including diesel and gasoline generators.</t>
  </si>
  <si>
    <t>https://en.mofa.gov.tw/News_Content.aspx?n=1328&amp;s=99250</t>
  </si>
  <si>
    <t>https://focustaiwan.tw/politics/202212080008</t>
  </si>
  <si>
    <t xml:space="preserve">https://www.taipeitimes.com/News/taiwan/archives/2023/01/04/2003791966 </t>
  </si>
  <si>
    <t>According to source of aid 1, Minister of Foreign Affairs Jaushieh Joseph Wu signed memorandums of understanding to assist Kharkiv, Mykolaiv, and Kherson with US$2 million for the purchase of power generation and heating equipment.</t>
  </si>
  <si>
    <t>https://en.mofa.gov.tw/News_Content.aspx?n=1328&amp;s=99436</t>
  </si>
  <si>
    <t>https://taiwantoday.tw/news.php?unit=2&amp;post=231162</t>
  </si>
  <si>
    <t xml:space="preserve">https://focustaiwan.tw/politics/202301040019 </t>
  </si>
  <si>
    <t>UKH1</t>
  </si>
  <si>
    <t>United Kingdom</t>
  </si>
  <si>
    <t>Humanitarian assistance via equipment and grants.</t>
  </si>
  <si>
    <t>GBP</t>
  </si>
  <si>
    <t>https://www.gov.uk/government/news/pm-announces-further-humanitarian-aid-to-ukraine</t>
  </si>
  <si>
    <t>UKH2</t>
  </si>
  <si>
    <t>Humanitarian assistance via equipment and grants. Out of the 80 million GBP reported in "Source of Aid 1" we do not count 40 million GBP, since they have been allocated to international organisations which are not explicitly active in Ukraine (see "Source of Aid 3"). The 120 million GBP reported in "Source of Aid 1" are made out of the 80 million GBP (out of which we don't count the 40 million GBP to international organisations) reported in "Source of Aid 1", and of the the 40 million GBP in UKH1.</t>
  </si>
  <si>
    <t>https://reliefweb.int/report/ukraine/uk-pledges-another-80-million-aid-help-ukraine-deal-humanitarian-crisis</t>
  </si>
  <si>
    <t>https://www.gov.uk/government/news/uk-sets-out-new-multi-million-dollar-economic-package-of-support-for-ukraine</t>
  </si>
  <si>
    <t>https://www.gov.uk/government/news/uk-provides-further-humanitarian-aid-focused-on-most-vulnerable-in-ukraine</t>
  </si>
  <si>
    <t>UKH3</t>
  </si>
  <si>
    <t xml:space="preserve">Humanitarian assistance via equipment and grants. </t>
  </si>
  <si>
    <t>https://www.gov.uk/government/news/uk-largest-bilateral-humanitarian-donor-to-ukraine-as-uk-canada-and-the-netherlands-launch-new-ukraine-solidarity-alliance</t>
  </si>
  <si>
    <t>UKH4</t>
  </si>
  <si>
    <t>UK government to donate generators to provide vital power for Ukraine. Source of aid 1 reports the initial number of generators. Source of aid 2 reports an increase in this amount. Source of aid 3 specifis the monetary value of this package.</t>
  </si>
  <si>
    <t>https://www.gov.uk/government/news/uk-government-to-donate-generators-to-provide-vital-power-for-ukraine</t>
  </si>
  <si>
    <t>https://www.gov.uk/government/news/hundreds-more-mobile-generators-to-provide-vital-power-for-ukraine</t>
  </si>
  <si>
    <t>https://www.gov.uk/government/news/uk-funding-to-help-repair-ukraines-damaged-energy-systems-and-get-power-back-to-ukrainian-people</t>
  </si>
  <si>
    <t>UKH5</t>
  </si>
  <si>
    <t xml:space="preserve">10 million GBP civil society fund launched by the government, directed to organizations in Ukraine supporting civilians, including victims of conflict-related sexual violence. </t>
  </si>
  <si>
    <t>https://www.gov.uk/government/speeches/poland-foreign-secretarys-statement-to-warsaw-press-conference</t>
  </si>
  <si>
    <t>https://www.gov.uk/government/news/uk-government-and-nobel-prize-winner-launch-global-code-to-tackle-conflict-related-sexual-violence</t>
  </si>
  <si>
    <t>UKH6</t>
  </si>
  <si>
    <t>10 GBP million in materials and equipment to Ukraine Railways to repair rail infrastructure and help get grain out of the country by rail</t>
  </si>
  <si>
    <t>https://www.gov.uk/government/news/pm-to-tell-g7-leaders-we-must-end-putins-stranglehold-on-food-prices</t>
  </si>
  <si>
    <t>https://www.republicworld.com/world-news/russia-ukraine-crisis/uk-to-contribute-up-to-10-pounds-million-to-repair-ukrainian-railways-to-help-export-grains-articleshow.html</t>
  </si>
  <si>
    <t>UKH7</t>
  </si>
  <si>
    <t>£5 million support fund for providing safety and security equipment to Ukraine's civil nuclear sector</t>
  </si>
  <si>
    <t>https://www.gov.uk/government/news/uk-provides-increased-support-for-ukraines-energy-sector</t>
  </si>
  <si>
    <t>https://www.leaderscouncil.co.uk/news/kwarteng-announces-5-million-support-fund-to-bolster-energy-security-in-ukraine</t>
  </si>
  <si>
    <t>UKH8</t>
  </si>
  <si>
    <t>The State Emergency Service of Ukraine received 9 firetrucks from the Government of Great Britain and Northern Ireland took place in Lviv on Thursday, October 27</t>
  </si>
  <si>
    <t>https://www.facebook.com/LVIVDSNS/posts/pfbid0Kh4LzoSej4TroK3tNk9nUGzRfwB9sFeaRPgWP94cdzQsv1ChVf42NgPiSmZBK6wMl</t>
  </si>
  <si>
    <t>https://viraltab.news/uk-gives-ukraine-batch-of-nine-firefighter-vehicles-and-equipment/</t>
  </si>
  <si>
    <t>UKH9</t>
  </si>
  <si>
    <t>£10 million to the Ukraine Energy Support Fund</t>
  </si>
  <si>
    <t>https://www.gov.uk/government/publications/ukraine-energy-equipment-appeal-to-industry/appeal-to-industry-ukraine-energy-equipment-html</t>
  </si>
  <si>
    <t>https://kyivindependent.com/uk-to-transfer-first-5-8-million-tranche-of-aid-to-support-ukraines-energy-system/</t>
  </si>
  <si>
    <t>UKH10</t>
  </si>
  <si>
    <t>The UK has announced up to 10 GBP million in funding to support a new UK-Polish partnership which will provide shelter and power for Ukrainians displaced by Russian attacks.</t>
  </si>
  <si>
    <t xml:space="preserve">https://www.gov.uk/government/news/uk-poland-partnership-to-provide-homes-and-power-to-ukraine </t>
  </si>
  <si>
    <t>https://reliefweb.int/report/ukraine/joint-statement-uk-poland-humanitarian-shelter-project</t>
  </si>
  <si>
    <t>UKM1</t>
  </si>
  <si>
    <t>Anti-tank weaponry. The 88 million GBP are included in UKF1. "Source of Aid 1" does not specify the exact amount of anti-tank weaponry committed. However, "Source of Aid 2" mentions that on January 17 the defence secretary announced the intention of supplying 2,000 new light anti-tank weapons (NLAWs), along with small arms and ammunitions. We assume that the anti-tank weaponry committed towards the end of January consists of the 2,000 NLAW first mentioned on January 17.</t>
  </si>
  <si>
    <t>https://www.gov.uk/government/speeches/pm-statement-at-ukraine-press-conference-1-february-2022</t>
  </si>
  <si>
    <t>https://www.gov.uk/government/speeches/defence-secretary-statement-to-the-house-of-commons-on-ukraine-9-march-2022</t>
  </si>
  <si>
    <t>https://www.bbc.com/news/world-europe-61482305</t>
  </si>
  <si>
    <t>UKM2</t>
  </si>
  <si>
    <t>Lethal weapons.</t>
  </si>
  <si>
    <t>https://ukdefencejournal.org.uk/britain-sending-anti-aircraft-and-javelin-missiles-to-ukraine/</t>
  </si>
  <si>
    <t>UKM3</t>
  </si>
  <si>
    <t>Undisclosed number of Starstreak anti-aircraft missile systems. "Source of Aid 2" mentions also the 3,615 anti-tank systems reported in UKM1 and the Javelin weapons reported in UKM4.</t>
  </si>
  <si>
    <t>Starstreak anti-aircraft missile system</t>
  </si>
  <si>
    <t>https://www.reuters.com/world/europe/britain-exploring-donating-anti-air-missiles-ukraine-defence-minister-2022-03-09/</t>
  </si>
  <si>
    <t>https://www.thedefensepost.com/2022/03/10/uk-starstreak-missiles-ukraine/</t>
  </si>
  <si>
    <t>https://eurasiantimes.com/from-britain-with-love-uks-new-game-changing-missiles-to-ukraine-has-potential-to-turn-tables-on-belligerent-russia/</t>
  </si>
  <si>
    <t>UKM4</t>
  </si>
  <si>
    <t>Lethal weapons. "Source of Aid 1" states that the 4.1 million GBP and 25 million GBP reported in UKF1 are part of the package delivering the 6,000 defensive missiles. Thus, the source talks about providing 6,000 missiles along with "30 million pounds to support the BBC's coverage in the region and pay Ukrainian soldiers and pilots". "Source of Aid 2" also mentions the contribution to BBC and to the Ukrainian Armed Force reported in UKF1.</t>
  </si>
  <si>
    <t>defensive missile</t>
  </si>
  <si>
    <t>https://www.reuters.com/world/europe/uk-provide-6000-missiles-ukraine-new-support-2022-03-23/</t>
  </si>
  <si>
    <t>https://www.telegraph.co.uk/world-news/2022/03/24/ukraine-morning-briefing-five-developments-britain-agrees-send/</t>
  </si>
  <si>
    <t>UKM5</t>
  </si>
  <si>
    <t>Anti-tank missiles and an undisclosed number of anti-aircraft Starstreak Missiles, additional to the aid specified in UKM1, UKM2 and UKM3 (see "we are more than doubling our support with a further 6,000 missiles [...] and we are now equipping our Ukrainian friends with anti-aircraft Starstreak missiles", "Source of Aid 1"). "Source of Aid 1" mentions also the 2 million GBP in food which are part of UKH1. "Source of Aid 1" talks also about 220 million GBP in humanitarian aid, which we do not report because this flow is directed to international organizations including the UN Refugee Agency (UNHCR - 25 million GBP), the UN Office for Coordination of Humanitarian Affairs (OCHA - 20 million GBP), and the International Federation of Red Cross and Red Crescent Societies (10 million GBP). "Source of Aid 2" lists as well the 4.1 million GBP supporting the BBC World Service and the 25 million GBP directed to the Ukrainian Military, reported in UKF4. The 4 million items of medical equipment are reported in UKH1. Finally, the 1 million GBP mentioned at the end of "Source of Aid 2" is directed to the court of Hague and, hence, is not included in our dataset.</t>
  </si>
  <si>
    <t>missile (including NLAWs and Javelin anti-tank weapons)</t>
  </si>
  <si>
    <t>https://www.gov.uk/government/speeches/ukraine-foreign-secretary-statement-to-parliament-28-march-2022</t>
  </si>
  <si>
    <t>https://www.gov.uk/government/news/pm-announces-major-new-military-support-package-for-ukraine-24-march-2022</t>
  </si>
  <si>
    <t>https://www.forces.net/technology/weapons-and-kit/latest-military-aid-being-sent-ukraine-west</t>
  </si>
  <si>
    <t>anti-aircraft Starstreak missile</t>
  </si>
  <si>
    <t>UKM6</t>
  </si>
  <si>
    <t xml:space="preserve">100 million GBP package of weapons and equipment. This package comes in addition to the so far committed 350 million GBP military assistance (identifiers UKM1 - UKM4) and 400 million GBP humanitarian assistance (identifiers UKH1 - UKH4). We do not include in our dataset the 1.5 billion GBP collected through the first Donor Conference, since this sum represents assistance provided by the international community and not only by the UK itself. According to "Source of delivery", "more than 200" Javelins have been sent. In order to quantify the value, we report 201 delivered Javelins. </t>
  </si>
  <si>
    <t>https://www.gov.uk/government/news/uk-to-bolster-defensive-aid-to-ukraine-with-new-100m-package</t>
  </si>
  <si>
    <t>https://www.gov.uk/government/speeches/pm-opening-remarks-at-press-conference-with-german-chancellor-olaf-scholz-8-april-2022</t>
  </si>
  <si>
    <t>https://www.gov.uk/government/news/prime-minister-pledges-uks-unwavering-support-to-ukraine-on-visit-to-kyiv-9-april-2022</t>
  </si>
  <si>
    <t>https://www.gov.uk/government/news/uk-to-send-scores-of-artillery-guns-and-hundreds-of-drones-to-ukraine</t>
  </si>
  <si>
    <t>loitering munition</t>
  </si>
  <si>
    <t>UKM7</t>
  </si>
  <si>
    <t>UK pledged to deliver Armored vehicles and new anti-ship missile systems, in addition to the 100 million GBP offered on April 8 (UKM6). The 500 million GBP through the World Bank is reported in UKF2. However, we could not find any information on the destination and nature of the previously disbursed 394 million GBP. Hence, we do not include them. Source of aid 3 provides information regarding the Armored vehicles that are going to be sent. These are 80 Protected Patrol Vehicles, 35 Spartan Reconnaissance vehicles, and an unknown amount of Samaritan ambulances. Still, since a total of 120 vehicles were to be provided, approximately 5 Samaritan ambulances were committed. It is also unclear whether the new anti-ship missile systems refer to entire systems or just new harpoon anti-ship missiles since some sources provide conflicting information.</t>
  </si>
  <si>
    <t>Mastiff 6x6, Wolfhound and Husky Armored vehicle</t>
  </si>
  <si>
    <t>https://edition.cnn.com/2022/04/09/europe/ukraine-uk-boris-johnson-intl-gbr/index.html</t>
  </si>
  <si>
    <t>anti-ship missile system</t>
  </si>
  <si>
    <t>FV104 Samaritan Armored ambulance</t>
  </si>
  <si>
    <t>https://www.forces.net/ukraine/uk/what-Armored-vehicles-are-uk-sending-ukraine</t>
  </si>
  <si>
    <t>FV103 Spartan</t>
  </si>
  <si>
    <t>UKM8</t>
  </si>
  <si>
    <t>Shipment of a small undisclosed amount of Stromer Armored vehicles. "Source of aid 2" reveals the number of vehicles.</t>
  </si>
  <si>
    <t>Stormer Armored vehicle with Starstreak anti-air missile launchers</t>
  </si>
  <si>
    <t>https://www.reuters.com/business/aerospace-defense/britain-send-stormer-Armored-vehicles-ukraine-2022-04-25/</t>
  </si>
  <si>
    <t>UKM9</t>
  </si>
  <si>
    <t xml:space="preserve">Military aid amounting to 1.3 billion GBP in total, which includes, among other equipment, the 300 million GBP worth military kit announced on May 5. This comes on top of the previous commitments worth 1.5 billion GBP ("Source of Aid 1"), which include the humanitarian aid reported in our dataset, assistance directed to international organizations not explicitly active inside Ukraine and thus not included, and the loan of 730 million GBP committed through the World Bank (see UKF5). We reported 2000 units of delivered devices, since the "Source of delivery" reports "thousands" of units sent. We also reported "200" units of Brimstone-1 missile as sent, since "Source of delivery" reports "hundreds".  Besides the weapons, the Prime Minister has offered to launch a major training operation for Ukrainian forces, with the potential to train up to 10,000 soldiers every 120 days. </t>
  </si>
  <si>
    <t>weapon locating radar system</t>
  </si>
  <si>
    <t>https://www.gov.uk/government/news/defence-secretary-meets-us-counterpart-to-discuss-support-for-ukraine</t>
  </si>
  <si>
    <t>https://inews.co.uk/news/brimstone-missile-what-uk-plans-long-range-weapons-ukraine-how-work-explained-1607595</t>
  </si>
  <si>
    <t xml:space="preserve">https://www.bbc.com/news/world-europe-61482305 </t>
  </si>
  <si>
    <t>heavy transport drone</t>
  </si>
  <si>
    <t>artillery round</t>
  </si>
  <si>
    <t>GPS jamming equipment</t>
  </si>
  <si>
    <t>Brimstone-1 missile</t>
  </si>
  <si>
    <t>https://www.gov.uk/government/news/uk-to-gift-multiple-launch-rocket-systems-to-ukraine</t>
  </si>
  <si>
    <t>https://www.defense.gov/News/Releases/Release/Article/3064556/joint-statement-by-the-united-states-department-of-defense-the-ministry-of-defe/</t>
  </si>
  <si>
    <t>https://www.gov.uk/government/news/uk-to-give-more-multiple-launch-rocket-systems-and-guided-missiles-to-ukraine</t>
  </si>
  <si>
    <t>M31A1 munition</t>
  </si>
  <si>
    <t>until 6/17/2022</t>
  </si>
  <si>
    <t>https://www.gov.uk/government/news/uk-to-offer-major-training-programme-for-ukrainian-forces-as-prime-minister-hails-their-victorious-determination</t>
  </si>
  <si>
    <t>https://gagadget.com/en/138343-the-uk-bought-and-repaired-more-than-20-m109-self-propelled-guns-now-they-are-being-sent-to-ukraine/</t>
  </si>
  <si>
    <t>https://breakingdefense.com/2022/11/uk-delays-defense-spending-increase-raising-fears-3-gdp-target-will-be-axed/</t>
  </si>
  <si>
    <t>UKM10</t>
  </si>
  <si>
    <t>Additional pledge of 1 billion GBP in military support to Ukraine, announced on the final day of the NATO Summit. The money comes from "underspends" plus £95 million from the Welsh and Scottish governments' budgets. "Source of aid 2" reveals what this donation was dedicated for. The number of L119 105mm howitzers was corrected using the recent infromation from the UK official statistics (Source of aid 3).</t>
  </si>
  <si>
    <t>L119 105mm howitzer</t>
  </si>
  <si>
    <t xml:space="preserve">https://www.bbc.com/news/uk-61990479 </t>
  </si>
  <si>
    <t>https://www.bbc.com/news/uk-61990479</t>
  </si>
  <si>
    <t>Lockheed Martin Desert Hawk</t>
  </si>
  <si>
    <t>During the international donor's conference in Copenhagen, British Defence Secretary Ben Wallace announced that 250 GBR million out of 1 GBR billion would go to the IFU, a flexible low-bureaucracy fund, which will be used to provide military equipment and other support to the Armed Forces of Ukraine (AFU). Other sources specify that this part of the package will include multiple-launch rocket systems and precision-guided M31A1 missiles. Since Britain had committed M270 MLRs before, we assume they also did so this time.</t>
  </si>
  <si>
    <t>https://www.gov.uk/government/news/uk-and-allies-agree-expanded-international-fund-for-ukraine-support</t>
  </si>
  <si>
    <t xml:space="preserve">https://www.reuters.com/world/europe/denmark-will-contribute-additional-110-mln-euros-ukraine-pm-2022-08-11/ </t>
  </si>
  <si>
    <t>https://www.bbc.com/ukrainian/live/62300872?ns_mchannel=social&amp;ns_source=twitter&amp;ns_campaign=bbc_live&amp;ns_linkname=62f3fd302ea3472fbde8330b%26%D0%91%D1%80%D0%B8%D1%82%D0%B0%D0%BD%D1%96%D1%8F%20%D0%BD%D0%B0%D0%B4%D1%81%D0%B8%D0%BB%D0%B0%D1%94%20%D0%BD%D0%BE%D0%B2%D1%96%20%D1%81%D0%B8%D1%81%D1%82%D0%B5%D0%BC%D0%B8%20%D0%B7%D0%B0%D0%BB%D0%BF%D0%BE%D0%B2%D0%BE%D0%B3%D0%BE%20%D0%B2%D0%BE%D0%B3%D0%BD%D1%8E%20%D0%B4%D0%BB%D1%8F%20%D0%A3%D0%BA%D1%80%D0%B0%D1%97%D0%BD%D0%B8%262022-08-10T18%3A59%3A13.398Z&amp;ns_fee=0&amp;pinned_post_locator=urn:asset:cea8dcb7-dd1a-4a71-b0a4-54ce84646b98&amp;pinned_post_asset_id=62f3fd302ea3472fbde8330b&amp;pinned_post_type=share</t>
  </si>
  <si>
    <t>https://twitter.com/oleksiireznikov/status/1557992937006448640?ref_src=twsrc%5Etfw%7Ctwcamp%5Etweetembed%7Ctwterm%5E1557992937006448640%7Ctwgr%5E16758fa5587714e685f2d4c6e1ff01d7fa7e3e2e%7Ctwcon%5Es1_&amp;ref_url=https%3A%2F%2Fwww.slovoidilo.ua%2F2022%2F08%2F12%2Fnovyna%2Fbezpeka%2Fukrayinu-prybuly-novi-rszv-m270-brytaniyi</t>
  </si>
  <si>
    <t xml:space="preserve">https://www.gov.uk/government/news/uk-and-allies-agree-expanded-international-fund-for-ukraine-support </t>
  </si>
  <si>
    <t>Prime Minister Boris Johnson announced during his visit to Kyiv a 54 GBR million disbursement of a 1 GBR billion package. This package consists of 850 hand-launched Black Hornet micro-drones and 1150 unspecified loitering munitions.</t>
  </si>
  <si>
    <t>https://www.gov.uk/government/news/prime-minister-tells-ukraine-they-will-win-as-he-marks-independence-day-24-august-2022</t>
  </si>
  <si>
    <t>https://edition.cnn.com/europe/live-news/russia-ukraine-war-news-08-24-22/h_0001b50a7944fe59550a2b1042729b16</t>
  </si>
  <si>
    <t>Loitering munition</t>
  </si>
  <si>
    <t>Six autonomous minehunting vehicles will be sent to the country to help detect Russian mines in the waters off its coast.</t>
  </si>
  <si>
    <t>Unspecified undersea minehunter drones</t>
  </si>
  <si>
    <t>UKM11</t>
  </si>
  <si>
    <t>The United Kingdom announced another military aid package. In the official press release, they do not state that it's part of the previous 1 GBP billion package and is referred to as a separate package, so we consider it a new one. Among other items, the UK donated 18 unspecified howitzers, which could be either 155mm or 105mm. Still, due to the fact that the UK purchased around 50 105mm howitzers in June to send to Ukraine and has sent so far only 36, we assume that these are the remaining 105mm howitzers.</t>
  </si>
  <si>
    <t>https://www.gov.uk/government/news/uk-to-give-air-defence-missiles-to-help-ukraine-defend-against-rockets</t>
  </si>
  <si>
    <t>https://ukdefencejournal.org.uk/britain-to-donate-more-air-defence-missiles-to-ukraine/</t>
  </si>
  <si>
    <t>https://www.asdnews.com/news/defense/2022/10/17/uk-give-air-defence-missiles-help-ukraine-defend-against-rockets#:~:text=The%20UK%20will%20also%20give,Army%20ahead%20of%20the%20winter.</t>
  </si>
  <si>
    <t xml:space="preserve">https://www.gov.uk/government/news/uk-to-give-air-defence-missiles-to-help-ukraine-defend-against-rockets </t>
  </si>
  <si>
    <t>https://www.armyrecognition.com/defense_news_july_2022_global_security_army_industry/uk_delivers_to_ukraine_20_m109_155mm_howitzers_and_36_l119_105mm_guns.html</t>
  </si>
  <si>
    <t>UKM12</t>
  </si>
  <si>
    <t>The UK will give £10 million to NATO’s Comprehensive Assistance Package for Ukraine. The funding will help to provide urgent non-lethal assistance to Ukraine, such as winter clothes, shelters, generators, fuel trucks and ambulances for the Ukrainian Army ahead of the winter.</t>
  </si>
  <si>
    <t>UKM13</t>
  </si>
  <si>
    <t>The UK is to provide 1,000 more surface to air missiles to Ukraine.</t>
  </si>
  <si>
    <t>surface to air missile</t>
  </si>
  <si>
    <t>https://www.gov.uk/government/news/uk-to-provide-1000-more-surface-to-air-missiles-to-ukraine</t>
  </si>
  <si>
    <t>https://www.army-technology.com/news/uk-1000-more-surface-to-air-missiles-ukraine/</t>
  </si>
  <si>
    <t>UKM14</t>
  </si>
  <si>
    <t xml:space="preserve">The £50 million package of defence aid comprises 125 anti-aircraft guns and technology to counter deadly Iranian-supplied drones, including dozens of radars and anti-drone electronic warfare capability. </t>
  </si>
  <si>
    <t>anti-aircraft gun</t>
  </si>
  <si>
    <t>https://www.gov.uk/government/news/pm-announces-new-air-defence-for-ukraine-on-first-visit-to-kyiv</t>
  </si>
  <si>
    <t>https://www.pravda.com.ua/eng/news/2022/11/19/7377084/</t>
  </si>
  <si>
    <t>UKM15</t>
  </si>
  <si>
    <t>The UK is to give 10,000 artillery rounds and 3 Sea King helicopters to Ukraine. The amount of helicopters is specified by Source of aid 2.</t>
  </si>
  <si>
    <t>https://www.gov.uk/government/news/uk-to-give-artillery-rounds-and-helicopters-to-help-defend-ukraine</t>
  </si>
  <si>
    <t>https://commonslibrary.parliament.uk/research-briefings/cbp-9477/</t>
  </si>
  <si>
    <t>https://researchbriefings.files.parliament.uk/documents/CBP-9477/CBP-9477.pdf</t>
  </si>
  <si>
    <t>WS-61 Sea King helicopter</t>
  </si>
  <si>
    <t>UKM16</t>
  </si>
  <si>
    <t xml:space="preserve">In September 2022 UK Prime Minister Liz Truss announced that the UK will meet or exceed the amount of military aid spent on Ukraine in 2022 in 2023 (Source of aid 1). We did not count it as a commitment due to a lack of information. Later in December, it was confirmed by the new Prime Minister Rishi Sunak (Source of aid 2). In 2023, UK official sources keep referring to it (Source of aid 3,4). Therefore, even though no aid packages are attached to it, we still count it as a commitment. However, we assign the data of the first military aid package in 2023 as a date for this commitment.   </t>
  </si>
  <si>
    <t>https://www.gov.uk/government/news/uk-will-match-record-ukraine-support-in-2023</t>
  </si>
  <si>
    <t>https://www.barrons.com/news/sunak-says-uk-will-maintain-military-aid-to-ukraine-in-2023-01671466508</t>
  </si>
  <si>
    <t>https://www.gov.uk/government/speeches/ukraine-foreign-secretary-opens-general-debate-february-2023</t>
  </si>
  <si>
    <t>https://www.gov.uk/government/news/uk-and-sweden-strengthen-defence-relationship-as-ministers-sign-agreement-on-self-propelled-guns</t>
  </si>
  <si>
    <t>Challenger 2</t>
  </si>
  <si>
    <t>https://www.gov.uk/government/news/pm-accelerates-ukraine-support-ahead-of-anniversary-of-putins-war</t>
  </si>
  <si>
    <t>https://www.gov.uk/government/speeches/defence-secretary-oral-statement-on-war-in-ukraine--2</t>
  </si>
  <si>
    <t>https://twitter.com/oleksiireznikov/status/1640595102119735297?ref_src=twsrc%5Etfw%7Ctwcamp%5Etweetembed%7Ctwterm%5E1640595102119735297%7Ctwgr%5E0bfe8468b7df53adc2eb86c9c6129c22ec2084cb%7Ctwcon%5Es1_&amp;ref_url=https%3A%2F%2Fwww.forces.net%2Ftechnology%2Fland-vehicles%2Fbritish-challenger-2-tanks-arrive-ukraine-and-will-soon-begin-combat</t>
  </si>
  <si>
    <t>AS-90 howitzer</t>
  </si>
  <si>
    <t>Guided Multiple Launch Rocket System round</t>
  </si>
  <si>
    <t>Armored vehicle (UK)</t>
  </si>
  <si>
    <t>manoeuvre support package (UK)</t>
  </si>
  <si>
    <t>uncrewed aerial systems (UK)</t>
  </si>
  <si>
    <t>spare parts for tanks and Armored vehicles (UK)</t>
  </si>
  <si>
    <t>UKF1</t>
  </si>
  <si>
    <t>88 million GBP to support good governance and energy independence in Ukraine.</t>
  </si>
  <si>
    <t>https://www.wired-gov.net/wg/news.nsf/articles/ukukraine+joint+leaders+statement+1+february+2022+03022022124300?open</t>
  </si>
  <si>
    <t>UKF2</t>
  </si>
  <si>
    <t>500 million GBP in loans to support Ukraine in response of Russia's aggression. We do not report in our dataset the 3.5 billion GBP committed prior to January 24, 2022.</t>
  </si>
  <si>
    <t>https://www.bbc.com/news/uk-60488633</t>
  </si>
  <si>
    <t>UKF3</t>
  </si>
  <si>
    <t>The United Kingdom has contributed 74 million GBP to the Multi donor trust fund set up by the World Bank to facilitate financial support to Ukraine. This fund is part of the emergency financing package established by the World Bank (worth a total of 723 million USD). Other countries have contributed to this emergency financing package: the Netherlands with 89 million USD, Sweden with 50 million USD, Denmark with 22 million USD, Latvia + Lithuania + Iceland with 12 million USD and Japan with 100 million USD. We report the 730 million GBP in financial guarantees through the World Bank in UKF5 and the 320 million GBP in UKF6 (both were mentioned in "Source of Aid 2").</t>
  </si>
  <si>
    <t>https://www.gov.uk/government/publications/world-bank-spring-meetings-2022-uk-governors-statement/world-bank-spring-meetings-2022-uk-governors-statement</t>
  </si>
  <si>
    <t>UKF4</t>
  </si>
  <si>
    <t>4.1 million GBP supporting the BBC World Service and 25 million GBP financial support for the Ukrainian Military. "Source of Aid 1" mentions as well that the United Kingdom has provided so far over 4,000 anti-tank weapons, this number is included in UKM1, UKM2 and UKM3. The 4 million items of medical equipment are reported in UKH1. Finally, the 1 million GBP mentioned at the end of "Source of Aid 1" is directed to the court of Hague and, hence, is not included in our dataset. "Source of Aid 2" mentions as well the 6,000 missiles reported in UKM4.</t>
  </si>
  <si>
    <t>https://www.wsj.com/livecoverage/russia-ukraine-latest-news-2022-03-24/card/u-k-to-send-extra-missiles-to-ukraine-prime-minister-says-wVycdL1VQIo91y4wGFxo</t>
  </si>
  <si>
    <t>UKF5</t>
  </si>
  <si>
    <t>World Bank lending through loan guarantees.</t>
  </si>
  <si>
    <t>UKF6</t>
  </si>
  <si>
    <t xml:space="preserve">Grant aid amounting to a total of 394 million GBP and including also the contribution of 74 million GBP to the Multi Donor Trust Fund of the Word Bank (mentioned in UKF3). Here, we subtract the 74 million USD and only report the remaining amount. We report the 730 million GBP in loan guarantees through the World Bank in UKF5. </t>
  </si>
  <si>
    <t>UKF7</t>
  </si>
  <si>
    <t xml:space="preserve">Committment of the UK from the London-based European Bank of Reconstruction and Development. It remains unclear, whether the commitment will be disbursed in form of grants or loans. The 950 million USD in loan guarantees mentioned in "Source of Aid 1" are reported in UKF5. </t>
  </si>
  <si>
    <t>https://www.gov.uk/government/news/chancellor-sets-out-further-economic-support-for-ukraine-at-g7-meeting-in-bonn</t>
  </si>
  <si>
    <t>https://www.reuters.com/world/uk/uk-backs-more-funding-ukraine-power-urges-g7-implement-tax-deal-2022-05-19/</t>
  </si>
  <si>
    <t>UKF8</t>
  </si>
  <si>
    <t>Loan guarantee by the United Kingdom  ($500 million) for Public Expenditures for Administrative Capacity Endurance in Ukraine (PEACE) Project. The project's goal is to support continued government capacity.</t>
  </si>
  <si>
    <t>https://www.kmu.gov.ua/en/news/ukraina-otrymaie-vid-svitovoho-banku-dodatkove-finansuvannia-na-5299-mln-dol-ssha-dlia-nahalnykh-potreb</t>
  </si>
  <si>
    <t>https://projects.worldbank.org/en/projects-operations/project-detail/P179875</t>
  </si>
  <si>
    <t>UKF9</t>
  </si>
  <si>
    <t>Great Britain provided a loan of $500 million to Ukraine through a World Bank Public Expenditures for Administrative Capacity Endurance in Ukraine (PEACE) Project. This is the 4th tranch. The third was reported in UKF8 and DKF2.</t>
  </si>
  <si>
    <t>https://mof.gov.ua/uk/news/ukraine_will_receive_usd_500_million_from_the_uk_through_the_world_bank_project-3781</t>
  </si>
  <si>
    <t>https://projects.worldbank.org/en/projects-operations/project-detail/P180453</t>
  </si>
  <si>
    <t>https://mof.gov.ua/uk/news/ukraina_otrimala_vid_velikobritanii_drugu_chastinu_dodatkovogo_finansuvannia_na_203_mln_dol_ssha_cherez_proekt_svitovogo_banku-3846</t>
  </si>
  <si>
    <t>UKF10</t>
  </si>
  <si>
    <t>Great Britain provided a loan of $500 million to Ukraine through the World Bank. We assume it is part of the World Bank Public Expenditures for Administrative Capacity Endurance in Ukraine (PEACE) Project, and, therefore, its 5th tranche.</t>
  </si>
  <si>
    <t>https://hansard.parliament.uk/commons/2023-03-15/debates/23031553000005/NewLoanGuaranteesSupportToUkraine</t>
  </si>
  <si>
    <t>https://www.gov.uk/government/news/uk-bolsters-support-for-ukraine-and-low-income-countries</t>
  </si>
  <si>
    <t>UKF11</t>
  </si>
  <si>
    <t>Great Britain provides another loan guarantee worth $500 million to Ukraine through the World Bank. Source of Aid 1 states that the total amount of lending in 2023 has been $1 billion, which includes this donation as well as UKF10. The announcement date is taken from Source of Aid 2 (Reuters Article).</t>
  </si>
  <si>
    <t>https://www.gov.uk/government/news/uk-bolsters-support-for-ukraine-and-low-income-countries#:~:text=In%20total%2C%20the%20UK%20has,in%20military%20support%20for%202023.</t>
  </si>
  <si>
    <t>https://www.reuters.com/world/uk/uk-confirms-further-500-mln-loan-guarantees-ukraine-2023-04-12/</t>
  </si>
  <si>
    <t>USH1</t>
  </si>
  <si>
    <t>United States</t>
  </si>
  <si>
    <t>The aid, almost equally funded by the Department of State (26 million USD) and the U.S. Agency for International Development (28 million USD) amounts to 54 million USD. No further information regarding the involved international organizations has been disclosed.</t>
  </si>
  <si>
    <t>https://www.state.gov/the-united-states-announces-additional-humanitarian-assistance-for-the-people-of-ukraine/</t>
  </si>
  <si>
    <t>https://www.usaid.gov/news-information/press-releases/mar-10-2022-united-states-announces-additional-humanitarian-assistance?msclkid=fc0f8e8dae8611ecaad8dc70eab615cc</t>
  </si>
  <si>
    <t>USH2</t>
  </si>
  <si>
    <t>$30 million to support integrating Ukraine’s electric grid with the European Network of Transmission System Operators for Electricity. This aid is part of the Ukraine Supplemental Appropriations Act 2022 that appropriates budgets for financial, humanitarian and military aid to Ukraine. Source of Aid 1 lists the congress bill.</t>
  </si>
  <si>
    <t>https://appropriations.house.gov/sites/democrats.appropriations.house.gov/files/Ukraine%20Supplemental%20Summary.pdf</t>
  </si>
  <si>
    <t>https://www.nytimes.com/interactive/2022/03/18/upshot/ukraine-aid-details.html</t>
  </si>
  <si>
    <t>USH3</t>
  </si>
  <si>
    <t>In March and May 2022, the US announced the provision of humanitarian aid to Ukraine through USAID and directly with the state budget. (Source of aid 1 and 2). Later this year, congressional research service (Source of aid 3) and USAID documents (Source of aid 4) revealed that only approximately 1.2 billion USD were disbursed in FY2022. Thus, since the fiscal year is over, we report disbursements here using Source of aid 4 to indicate the dynamic over time. Therefore a total of 1.2 billion USD is reported in  USH3, USH5-USH9. Please note that we report assistance to the energy sector of Ukraine separately in USH2 and USH4 since a different department of the US government provided it.</t>
  </si>
  <si>
    <t>https://appropriations.house.gov/sites/democrats.appropriations.house.gov/files/Additional%20Ukraine%20Suplemental%20Appropriations%20Act%20Summary.pdf</t>
  </si>
  <si>
    <t>https://crsreports.congress.gov/product/pdf/IN/IN11882</t>
  </si>
  <si>
    <t>https://www.usaid.gov/sites/default/files/2022-05/2022-03-31_USG_Ukraine_Complex_Emergency_Fact_Sheet_9.pdf</t>
  </si>
  <si>
    <t>USH4</t>
  </si>
  <si>
    <t>$2 million for technical and regulatory support to Ukraine’s nuclear regulatory agency. This aid is part of the Ukraine Additional Supplemental Appropriations Act 2022 that appropriates budgets for financial, humanitarian and military aid to Ukraine. Source of Aid 1 lists the congress bill.</t>
  </si>
  <si>
    <t>https://www.cbsnews.com/news/ukraine-aid-bill-house-vote-39-8-billion/</t>
  </si>
  <si>
    <t>USH5</t>
  </si>
  <si>
    <t>https://www.usaid.gov/sites/default/files/2022-12/2022-05-27_USG_Ukraine_Complex_Emergency_Fact_Sheet_17.pdf</t>
  </si>
  <si>
    <t>USH6</t>
  </si>
  <si>
    <t>https://www.usaid.gov/sites/default/files/2022-12/2022-06-24_USG_Ukraine_Complex_Emergency_Fact_Sheet_21.pdf</t>
  </si>
  <si>
    <t>USH7</t>
  </si>
  <si>
    <t>https://www.usaid.gov/sites/default/files/2022-12/2022-07-27_USG_Ukraine_Complex_Emergency_Fact_Sheet_24.pdf</t>
  </si>
  <si>
    <t>USH8</t>
  </si>
  <si>
    <t>https://www.usaid.gov/sites/default/files/2022-12/2022-08-29_USG_Ukraine_Complex_Emergency_Fact_Sheet_27.pdf</t>
  </si>
  <si>
    <t>USH9</t>
  </si>
  <si>
    <t xml:space="preserve">https://crsreports.congress.gov/product/pdf/IN/IN11882 </t>
  </si>
  <si>
    <t>https://www.usaid.gov/sites/default/files/2022-12/2022-09-30_USG_Ukraine_Complex_Emergency_Fact_Sheet_29.pdf</t>
  </si>
  <si>
    <t>USH10</t>
  </si>
  <si>
    <t xml:space="preserve">35 million USD to prepare for and respond to potential nuclear and radiological incidents in Ukraine. </t>
  </si>
  <si>
    <t>https://appropriations.house.gov/sites/democrats.appropriations.house.gov/files/Summary%20Continuing%20Appropriations%20and%20Ukraine%20Supplemental%20Appropriations%20Act%202023.pdf</t>
  </si>
  <si>
    <t>https://www.defensenews.com/congress/2022/09/30/congress-passes-ukraine-nuclear-security-funding/</t>
  </si>
  <si>
    <t>USH11</t>
  </si>
  <si>
    <t xml:space="preserve">126.3 million USD to prepare for and respond to potential nuclear and radiological incidents in Ukraine. </t>
  </si>
  <si>
    <t>https://appropriations.house.gov/sites/democrats.appropriations.house.gov/files/Ukraine%20Supplemental%20Summary%20FY23.pdf</t>
  </si>
  <si>
    <t>https://www.urdupoint.com/en/business/us-draft-budget-provides-126mln-for-response-1612875.html</t>
  </si>
  <si>
    <t>USH12</t>
  </si>
  <si>
    <t>$2.47 billion to address the dire humanitarian needs of Ukraine, refugees from Ukraine, and other vulnerable populations and communities. This aid is part of the Ukraine Supplemental Appropriations Act 2023 that appropriates budgets for financial, humanitarian and military aid to Ukraine. Source of Aid 1 lists the congress bill.</t>
  </si>
  <si>
    <t>https://interfax.com/newsroom/top-stories/86439/</t>
  </si>
  <si>
    <t>USM1</t>
  </si>
  <si>
    <t>In-kind military aid approved through Presidential Drawdown Authority for the Fiscal Year 2022 amounting to a total of $9.025 billion in appropriations. Source of Aid 1 lists the Ukraine Supplemental Appropriations Act, Source of Aid 2 the Additional Ukraine Supplemental Appropriations Act, Source of Aid 3 lists the Congressional Research Service giving exact information over obligated appropriations. We assume the entire provided equipment as being delivered as the Fiscal Year 2022 ended on September 30 and further Drawdowns have been appropriated and obligated already.</t>
  </si>
  <si>
    <t>https://crsreports.congress.gov/product/pdf/IF/IF12040</t>
  </si>
  <si>
    <t xml:space="preserve">4th presidential drawdown amounting to USD 350 million for the provision of various military weapons. </t>
  </si>
  <si>
    <t>https://www.defense.gov/News/Releases/Release/Article/3007664/fact-sheet-on-us-security-assistance-for-ukraine-roll-up-as-of-april-21-2022/</t>
  </si>
  <si>
    <t>https://crsreports.congress.gov/product/pdf/IF/IF12041</t>
  </si>
  <si>
    <t xml:space="preserve">5th presidential drawdown amounting to USD 200 million for the provision of various military weapons. </t>
  </si>
  <si>
    <t>https://crsreports.congress.gov/product/pdf/IF/IF12042</t>
  </si>
  <si>
    <t xml:space="preserve">6th presidential drawdown amounting to USD 800 million for the provision of various military weapons. </t>
  </si>
  <si>
    <t>https://crsreports.congress.gov/product/pdf/IF/IF12043</t>
  </si>
  <si>
    <t xml:space="preserve">5th presidential drawdown amounting to USD 800 million for the provision of various military weapons. </t>
  </si>
  <si>
    <t>Javelin</t>
  </si>
  <si>
    <t>https://crsreports.congress.gov/product/pdf/IF/IF12044</t>
  </si>
  <si>
    <t>https://crsreports.congress.gov/product/pdf/IF/IF12045</t>
  </si>
  <si>
    <t>https://crsreports.congress.gov/product/pdf/IF/IF12046</t>
  </si>
  <si>
    <t>Tactical unmanned aerial system</t>
  </si>
  <si>
    <t>https://crsreports.congress.gov/product/pdf/IF/IF12047</t>
  </si>
  <si>
    <t>grenade launcher (M320 or M203)</t>
  </si>
  <si>
    <t>https://crsreports.congress.gov/product/pdf/IF/IF12048</t>
  </si>
  <si>
    <t>M4 Carbine rifle</t>
  </si>
  <si>
    <t>https://crsreports.congress.gov/product/pdf/IF/IF12049</t>
  </si>
  <si>
    <t>pistol</t>
  </si>
  <si>
    <t>https://crsreports.congress.gov/product/pdf/IF/IF12050</t>
  </si>
  <si>
    <t>https://crsreports.congress.gov/product/pdf/IF/IF12051</t>
  </si>
  <si>
    <t>shotgun</t>
  </si>
  <si>
    <t>https://crsreports.congress.gov/product/pdf/IF/IF12052</t>
  </si>
  <si>
    <t>round of small arms ammunitions, grenade launchers and mortar rounds</t>
  </si>
  <si>
    <t>https://crsreports.congress.gov/product/pdf/IF/IF12053</t>
  </si>
  <si>
    <t>https://crsreports.congress.gov/product/pdf/IF/IF12054</t>
  </si>
  <si>
    <t>https://crsreports.congress.gov/product/pdf/IF/IF12055</t>
  </si>
  <si>
    <t xml:space="preserve">7th presidential drawdown amounting to USD 100 million for the provision of various military weapons. </t>
  </si>
  <si>
    <t>https://crsreports.congress.gov/product/pdf/IF/IF12056</t>
  </si>
  <si>
    <t xml:space="preserve">8th presidential drawdown amounting to USD 800 million for the provision of various military weapons. </t>
  </si>
  <si>
    <t>https://crsreports.congress.gov/product/pdf/IF/IF12057</t>
  </si>
  <si>
    <t>https://crsreports.congress.gov/product/pdf/IF/IF12058</t>
  </si>
  <si>
    <t>https://crsreports.congress.gov/product/pdf/IF/IF12059</t>
  </si>
  <si>
    <t>AN/MPQ-64 Sentinel air surveillance radar</t>
  </si>
  <si>
    <t>https://crsreports.congress.gov/product/pdf/IF/IF12060</t>
  </si>
  <si>
    <t>Switchblade 600 UAS</t>
  </si>
  <si>
    <t>https://crsreports.congress.gov/product/pdf/IF/IF12061</t>
  </si>
  <si>
    <t>https://crsreports.congress.gov/product/pdf/IF/IF12062</t>
  </si>
  <si>
    <t>anti-armor system</t>
  </si>
  <si>
    <t>https://crsreports.congress.gov/product/pdf/IF/IF12063</t>
  </si>
  <si>
    <t>https://crsreports.congress.gov/product/pdf/IF/IF12064</t>
  </si>
  <si>
    <t>armored high mobility multipurpose wheeled vehicle</t>
  </si>
  <si>
    <t>https://crsreports.congress.gov/product/pdf/IF/IF12065</t>
  </si>
  <si>
    <t>https://crsreports.congress.gov/product/pdf/IF/IF12066</t>
  </si>
  <si>
    <t>unmanned coastal defense vessel</t>
  </si>
  <si>
    <t>https://crsreports.congress.gov/product/pdf/IF/IF12067</t>
  </si>
  <si>
    <t>https://crsreports.congress.gov/product/pdf/IF/IF12068</t>
  </si>
  <si>
    <t>https://crsreports.congress.gov/product/pdf/IF/IF12069</t>
  </si>
  <si>
    <t>https://crsreports.congress.gov/product/pdf/IF/IF12070</t>
  </si>
  <si>
    <t>https://crsreports.congress.gov/product/pdf/IF/IF12071</t>
  </si>
  <si>
    <t>optics</t>
  </si>
  <si>
    <t>https://crsreports.congress.gov/product/pdf/IF/IF12072</t>
  </si>
  <si>
    <t>https://crsreports.congress.gov/product/pdf/IF/IF12073</t>
  </si>
  <si>
    <t>C-4 explosives and demolition equipment for obstacle clearing</t>
  </si>
  <si>
    <t>https://crsreports.congress.gov/product/pdf/IF/IF12074</t>
  </si>
  <si>
    <t>M18A1 Claymore anti-personnel munitions</t>
  </si>
  <si>
    <t>https://crsreports.congress.gov/product/pdf/IF/IF12075</t>
  </si>
  <si>
    <t>https://crsreports.congress.gov/product/pdf/IF/IF12076</t>
  </si>
  <si>
    <t>Tactical vehicle to tow 155mm howitzer</t>
  </si>
  <si>
    <t>https://crsreports.congress.gov/product/pdf/IF/IF12077</t>
  </si>
  <si>
    <t>Phoenix Ghost tactical unmanned aerial system</t>
  </si>
  <si>
    <t>https://crsreports.congress.gov/product/pdf/IF/IF12078</t>
  </si>
  <si>
    <t>field equipment</t>
  </si>
  <si>
    <t>https://crsreports.congress.gov/product/pdf/IF/IF12079</t>
  </si>
  <si>
    <t xml:space="preserve">9th presidential drawdown amounting to USD 150 million for the provision of various military weapons. </t>
  </si>
  <si>
    <t>https://www.whitehouse.gov/briefing-room/statements-releases/2022/05/06/statement-by-president-joe-biden-on-additional-security-assistance-to-ukraine/</t>
  </si>
  <si>
    <t>https://crsreports.congress.gov/product/pdf/IF/IF12080</t>
  </si>
  <si>
    <t>https://crsreports.congress.gov/product/pdf/IF/IF12081</t>
  </si>
  <si>
    <t>Electronic jamming equipment</t>
  </si>
  <si>
    <t>https://crsreports.congress.gov/product/pdf/IF/IF12082</t>
  </si>
  <si>
    <t>https://crsreports.congress.gov/product/pdf/IF/IF12083</t>
  </si>
  <si>
    <t>https://crsreports.congress.gov/product/pdf/IF/IF12084</t>
  </si>
  <si>
    <t xml:space="preserve">10th presidential drawdown amounting to USD 100 million for the provision of various military weapons. </t>
  </si>
  <si>
    <t>https://www.defense.gov/News/News-Stories/Article/Article/3038121/additional-100-million-in-howitzers-tactical-vehicles-radars-headed-to-ukraine/source/additional-100-million-in-howitzers-tactical-vehicles-radars-headed-to-ukraine/</t>
  </si>
  <si>
    <t>https://crsreports.congress.gov/product/pdf/IF/IF12085</t>
  </si>
  <si>
    <t>https://crsreports.congress.gov/product/pdf/IF/IF12086</t>
  </si>
  <si>
    <t>https://crsreports.congress.gov/product/pdf/IF/IF12087</t>
  </si>
  <si>
    <t>https://crsreports.congress.gov/product/pdf/IF/IF12088</t>
  </si>
  <si>
    <t>https://crsreports.congress.gov/product/pdf/IF/IF12089</t>
  </si>
  <si>
    <t xml:space="preserve">11th presidential drawdown amounting to USD 700 million for the provision of various military weapons. </t>
  </si>
  <si>
    <t>HIMARS 142 multiple rocket launcher</t>
  </si>
  <si>
    <t>https://time.com/6244479/himars-rockets-ukraine-russia/</t>
  </si>
  <si>
    <t>https://crsreports.congress.gov/product/pdf/IF/IF12090</t>
  </si>
  <si>
    <t>https://crsreports.congress.gov/product/pdf/IF/IF12091</t>
  </si>
  <si>
    <t>artillery radar</t>
  </si>
  <si>
    <t>https://crsreports.congress.gov/product/pdf/IF/IF12092</t>
  </si>
  <si>
    <t>air-surveillance radar US</t>
  </si>
  <si>
    <t>https://crsreports.congress.gov/product/pdf/IF/IF12093</t>
  </si>
  <si>
    <t>https://crsreports.congress.gov/product/pdf/IF/IF12094</t>
  </si>
  <si>
    <t>Javelin command launch unit</t>
  </si>
  <si>
    <t>https://crsreports.congress.gov/product/pdf/IF/IF12095</t>
  </si>
  <si>
    <t>anti-armor weapon</t>
  </si>
  <si>
    <t>https://crsreports.congress.gov/product/pdf/IF/IF12096</t>
  </si>
  <si>
    <t>https://crsreports.congress.gov/product/pdf/IF/IF12097</t>
  </si>
  <si>
    <t>https://crsreports.congress.gov/product/pdf/IF/IF12098</t>
  </si>
  <si>
    <t>tactical vehicle</t>
  </si>
  <si>
    <t>https://crsreports.congress.gov/product/pdf/IF/IF12099</t>
  </si>
  <si>
    <t>https://crsreports.congress.gov/product/pdf/IF/IF12100</t>
  </si>
  <si>
    <t xml:space="preserve">12th presidential drawdown amounting to USD 350 million for the provision of various military weapons. </t>
  </si>
  <si>
    <t>https://www.defense.gov/News/Releases/Release/Article/3066864/fact-sheet-on-us-security-assistance-to-ukraine/</t>
  </si>
  <si>
    <t>https://crsreports.congress.gov/product/pdf/IF/IF12101</t>
  </si>
  <si>
    <t>https://crsreports.congress.gov/product/pdf/IF/IF12102</t>
  </si>
  <si>
    <t>https://crsreports.congress.gov/product/pdf/IF/IF12103</t>
  </si>
  <si>
    <t>ammunition for HIMARS</t>
  </si>
  <si>
    <t>https://crsreports.congress.gov/product/pdf/IF/IF12104</t>
  </si>
  <si>
    <t>Tactical vehicle</t>
  </si>
  <si>
    <t>https://crsreports.congress.gov/product/pdf/IF/IF12105</t>
  </si>
  <si>
    <t>https://crsreports.congress.gov/product/pdf/IF/IF12106</t>
  </si>
  <si>
    <t xml:space="preserve">13th presidential drawdown amounting to USD 450 million for the provision of various military weapons. </t>
  </si>
  <si>
    <t>https://www.defense.gov/News/News-Stories/Article/Article/3072692/president-authorizes-another-450-million-drawdown-to-support-ukraine/</t>
  </si>
  <si>
    <t>https://crsreports.congress.gov/product/pdf/IF/IF12107</t>
  </si>
  <si>
    <t>https://crsreports.congress.gov/product/pdf/IF/IF12108</t>
  </si>
  <si>
    <t>https://crsreports.congress.gov/product/pdf/IF/IF12109</t>
  </si>
  <si>
    <t>https://crsreports.congress.gov/product/pdf/IF/IF12110</t>
  </si>
  <si>
    <t>https://crsreports.congress.gov/product/pdf/IF/IF12111</t>
  </si>
  <si>
    <t>coastal and riverine patrol boat</t>
  </si>
  <si>
    <t>https://crsreports.congress.gov/product/pdf/IF/IF12112</t>
  </si>
  <si>
    <t>https://crsreports.congress.gov/product/pdf/IF/IF12113</t>
  </si>
  <si>
    <t xml:space="preserve">14th presidential drawdown amounting to USD 50 million for the provision of various military weapons. </t>
  </si>
  <si>
    <t>https://www.defense.gov/News/Releases/Release/Article/3081993/820-million-in-additional-security-assistance-for-ukraine/</t>
  </si>
  <si>
    <t>https://crsreports.congress.gov/product/pdf/IF/IF12114</t>
  </si>
  <si>
    <t xml:space="preserve">15th presidential drawdown amounting to USD 400 million for the provision of various military weapons. </t>
  </si>
  <si>
    <t>https://www.state.gov/400-million-in-new-u-s-military-assistance-for-ukraine/#:~:text=The%20Ukrainian%20people%20continue%20to,as%20long%20as%20it%20takes.</t>
  </si>
  <si>
    <t>https://crsreports.congress.gov/product/pdf/IF/IF12115</t>
  </si>
  <si>
    <t>https://crsreports.congress.gov/product/pdf/IF/IF12116</t>
  </si>
  <si>
    <t>https://crsreports.congress.gov/product/pdf/IF/IF12117</t>
  </si>
  <si>
    <t>https://crsreports.congress.gov/product/pdf/IF/IF12118</t>
  </si>
  <si>
    <t>demolition munition</t>
  </si>
  <si>
    <t>https://crsreports.congress.gov/product/pdf/IF/IF12119</t>
  </si>
  <si>
    <t>counter battery systems</t>
  </si>
  <si>
    <t>https://crsreports.congress.gov/product/pdf/IF/IF12120</t>
  </si>
  <si>
    <t>https://crsreports.congress.gov/product/pdf/IF/IF12121</t>
  </si>
  <si>
    <t xml:space="preserve">16th presidential drawdown amounting to USD 175 million for the provision of various military weapons. </t>
  </si>
  <si>
    <t>https://www.defense.gov/News/Releases/Release/Article/3102984/270-million-in-additional-security-assistance-for-ukraine/</t>
  </si>
  <si>
    <t>https://crsreports.congress.gov/product/pdf/IF/IF12122</t>
  </si>
  <si>
    <t>https://crsreports.congress.gov/product/pdf/IF/IF12123</t>
  </si>
  <si>
    <t>Unspecified Command Post Carrier</t>
  </si>
  <si>
    <t>https://crsreports.congress.gov/product/pdf/IF/IF12124</t>
  </si>
  <si>
    <t>https://crsreports.congress.gov/product/pdf/IF/IF12125</t>
  </si>
  <si>
    <t>https://crsreports.congress.gov/product/pdf/IF/IF12126</t>
  </si>
  <si>
    <t>https://crsreports.congress.gov/product/pdf/IF/IF12127</t>
  </si>
  <si>
    <t xml:space="preserve">17th presidential drawdown amounting to USD 550 million for the provision of various military weapons. </t>
  </si>
  <si>
    <t>https://www.state.gov/biden-harris-administration-announces-550-million-in-new-u-s-military-assistance-for-ukraine/</t>
  </si>
  <si>
    <t>https://crsreports.congress.gov/product/pdf/IF/IF12128</t>
  </si>
  <si>
    <t>https://crsreports.congress.gov/product/pdf/IF/IF12129</t>
  </si>
  <si>
    <t xml:space="preserve">18th presidential drawdown amounting to USD 1000 million for the provision of various military weapons. </t>
  </si>
  <si>
    <t xml:space="preserve">https://www.defense.gov/News/Releases/Release/Article/3120059/1-billion-in-additional-security-assistance-for-ukraine/ </t>
  </si>
  <si>
    <t>https://crsreports.congress.gov/product/pdf/IF/IF12130</t>
  </si>
  <si>
    <t>https://crsreports.congress.gov/product/pdf/IF/IF12131</t>
  </si>
  <si>
    <t>https://crsreports.congress.gov/product/pdf/IF/IF12132</t>
  </si>
  <si>
    <t>https://crsreports.congress.gov/product/pdf/IF/IF12133</t>
  </si>
  <si>
    <t>https://crsreports.congress.gov/product/pdf/IF/IF12134</t>
  </si>
  <si>
    <t>https://crsreports.congress.gov/product/pdf/IF/IF12135</t>
  </si>
  <si>
    <t>https://crsreports.congress.gov/product/pdf/IF/IF12136</t>
  </si>
  <si>
    <t>armored medical treatment vehicle</t>
  </si>
  <si>
    <t>https://crsreports.congress.gov/product/pdf/IF/IF12137</t>
  </si>
  <si>
    <t>https://crsreports.congress.gov/product/pdf/IF/IF12138</t>
  </si>
  <si>
    <t>C-4 explosives, demolition munitions, and demolition equipment</t>
  </si>
  <si>
    <t>https://crsreports.congress.gov/product/pdf/IF/IF12139</t>
  </si>
  <si>
    <t>Medical supplies and other equipment</t>
  </si>
  <si>
    <t>https://crsreports.congress.gov/product/pdf/IF/IF12140</t>
  </si>
  <si>
    <t xml:space="preserve">19th presidential drawdown amounting to USD 775 million for the provision of various military weapons. </t>
  </si>
  <si>
    <t>https://www.defense.gov/News/Releases/Release/Article/3134457/775-million-in-additional-security-assistance-for-ukraine/</t>
  </si>
  <si>
    <t>https://crsreports.congress.gov/product/pdf/IF/IF12141</t>
  </si>
  <si>
    <t>105mm howitzer</t>
  </si>
  <si>
    <t>https://crsreports.congress.gov/product/pdf/IF/IF12142</t>
  </si>
  <si>
    <t>https://crsreports.congress.gov/product/pdf/IF/IF12143</t>
  </si>
  <si>
    <t>Scan Eagle Unmanned Aerial Systems</t>
  </si>
  <si>
    <t>https://crsreports.congress.gov/product/pdf/IF/IF12144</t>
  </si>
  <si>
    <t>MaxxPro Mine Resistant Ambush Protected Vehicles</t>
  </si>
  <si>
    <t>https://crsreports.congress.gov/product/pdf/IF/IF12145</t>
  </si>
  <si>
    <t>High-speed Anti-radiation missiles</t>
  </si>
  <si>
    <t>https://crsreports.congress.gov/product/pdf/IF/IF12146</t>
  </si>
  <si>
    <t>https://crsreports.congress.gov/product/pdf/IF/IF12147</t>
  </si>
  <si>
    <t>Tube-Launched, optically-Tracked, Wire-Guided (TOW) missiles</t>
  </si>
  <si>
    <t>https://crsreports.congress.gov/product/pdf/IF/IF12148</t>
  </si>
  <si>
    <t>Javelin anti-armor systems</t>
  </si>
  <si>
    <t>https://crsreports.congress.gov/product/pdf/IF/IF12149</t>
  </si>
  <si>
    <t>anti-armor rounds</t>
  </si>
  <si>
    <t>https://crsreports.congress.gov/product/pdf/IF/IF12150</t>
  </si>
  <si>
    <t>Mine clearing equipment</t>
  </si>
  <si>
    <t>https://crsreports.congress.gov/product/pdf/IF/IF12151</t>
  </si>
  <si>
    <t>Demolition munition</t>
  </si>
  <si>
    <t>https://crsreports.congress.gov/product/pdf/IF/IF12152</t>
  </si>
  <si>
    <t>https://crsreports.congress.gov/product/pdf/IF/IF12153</t>
  </si>
  <si>
    <t>https://crsreports.congress.gov/product/pdf/IF/IF12154</t>
  </si>
  <si>
    <t>https://crsreports.congress.gov/product/pdf/IF/IF12155</t>
  </si>
  <si>
    <t xml:space="preserve">https://www.defense.gov/News/Releases/Release/Article/3134457/775-million-in-additional-security-assistance-for-ukraine/ </t>
  </si>
  <si>
    <t>https://crsreports.congress.gov/product/pdf/IF/IF12156</t>
  </si>
  <si>
    <t>Laser rangefinder</t>
  </si>
  <si>
    <t>https://crsreports.congress.gov/product/pdf/IF/IF12157</t>
  </si>
  <si>
    <t xml:space="preserve">20th presidential drawdown amounting to USD 675 million for the provision of various military weapons. </t>
  </si>
  <si>
    <t>https://www.defense.gov/News/Releases/Release/Article/3152071/675-million-in-additional-security-assistance-for-ukraine/</t>
  </si>
  <si>
    <t>https://crsreports.congress.gov/product/pdf/IF/IF12158</t>
  </si>
  <si>
    <t>https://crsreports.congress.gov/product/pdf/IF/IF12159</t>
  </si>
  <si>
    <t>https://crsreports.congress.gov/product/pdf/IF/IF12160</t>
  </si>
  <si>
    <t>https://crsreports.congress.gov/product/pdf/IF/IF12161</t>
  </si>
  <si>
    <t>Armored High Mobility Multipurpose Wheeled Vehicle</t>
  </si>
  <si>
    <t>https://crsreports.congress.gov/product/pdf/IF/IF12162</t>
  </si>
  <si>
    <t>https://crsreports.congress.gov/product/pdf/IF/IF12163</t>
  </si>
  <si>
    <t>https://crsreports.congress.gov/product/pdf/IF/IF12164</t>
  </si>
  <si>
    <t>155mm rounds of Remote Anti-Armor Mine (RAAM) Systems</t>
  </si>
  <si>
    <t>https://crsreports.congress.gov/product/pdf/IF/IF12165</t>
  </si>
  <si>
    <t>https://crsreports.congress.gov/product/pdf/IF/IF12166</t>
  </si>
  <si>
    <t>https://crsreports.congress.gov/product/pdf/IF/IF12167</t>
  </si>
  <si>
    <t>https://crsreports.congress.gov/product/pdf/IF/IF12168</t>
  </si>
  <si>
    <t>Other field equipment</t>
  </si>
  <si>
    <t>https://crsreports.congress.gov/product/pdf/IF/IF12169</t>
  </si>
  <si>
    <t xml:space="preserve">21st presidential drawdown amounting to USD 600 million for the provision of various military weapons. </t>
  </si>
  <si>
    <t>https://www.defense.gov/News/Releases/Release/Article/3160503/600-million-in-additional-security-assistance-for-ukraine/</t>
  </si>
  <si>
    <t>https://crsreports.congress.gov/product/pdf/IF/IF12170</t>
  </si>
  <si>
    <t>https://crsreports.congress.gov/product/pdf/IF/IF12171</t>
  </si>
  <si>
    <t>https://crsreports.congress.gov/product/pdf/IF/IF12172</t>
  </si>
  <si>
    <t>counter artillery radar</t>
  </si>
  <si>
    <t>https://crsreports.congress.gov/product/pdf/IF/IF12173</t>
  </si>
  <si>
    <t>https://crsreports.congress.gov/product/pdf/IF/IF12174</t>
  </si>
  <si>
    <t>https://crsreports.congress.gov/product/pdf/IF/IF12175</t>
  </si>
  <si>
    <t>Counter-Unmanned Aerial System</t>
  </si>
  <si>
    <t>https://crsreports.congress.gov/product/pdf/IF/IF12176</t>
  </si>
  <si>
    <t>https://crsreports.congress.gov/product/pdf/IF/IF12177</t>
  </si>
  <si>
    <t>https://crsreports.congress.gov/product/pdf/IF/IF12178</t>
  </si>
  <si>
    <t>https://crsreports.congress.gov/product/pdf/IF/IF12179</t>
  </si>
  <si>
    <t>https://crsreports.congress.gov/product/pdf/IF/IF12180</t>
  </si>
  <si>
    <t>https://crsreports.congress.gov/product/pdf/IF/IF12181</t>
  </si>
  <si>
    <t>Cold weather gear</t>
  </si>
  <si>
    <t>https://crsreports.congress.gov/product/pdf/IF/IF12182</t>
  </si>
  <si>
    <t>https://crsreports.congress.gov/product/pdf/IF/IF12183</t>
  </si>
  <si>
    <t>Spare parts</t>
  </si>
  <si>
    <t>USM2</t>
  </si>
  <si>
    <t>Budget for the Foreign Military Financing (FMF) program that provides funding to foreign military. This is part of the Ukraine Supplemental Appopriations Act 2022 (Source of Aid 1) and the Additional Ukraine Supplemental Appropriations Act 2022 (Source of Aid 2). Source of Aid 3 shows the obligations after September 30, 2022, as $1.547 billion, which is the total amount of obligations through this vehicle.</t>
  </si>
  <si>
    <t xml:space="preserve">322 million USD to the Foreign Military Financing Program of the US, which will provide grants or financial loans to Ukraine or NATO allies for the purchase of weapons and defense equipment made in US. Source of Aid 1 and Source of Aid 2 list the Supplemental Acts, Source of Aid 3 gives insights on the obligations of the appropriated budgets. </t>
  </si>
  <si>
    <t>152 mm round for 2A36 Giatsint</t>
  </si>
  <si>
    <t>152 mm round for D-20 cannon</t>
  </si>
  <si>
    <t>VOG-17 automatic grenade launcher AGS-17</t>
  </si>
  <si>
    <t>https://crsreports.congress.gov/product/pdf/IF/IF12184</t>
  </si>
  <si>
    <t>122 mm mortar round (non-NATO)</t>
  </si>
  <si>
    <t>https://crsreports.congress.gov/product/pdf/IF/IF12185</t>
  </si>
  <si>
    <t>122 mm round for 2S1 Gvozdika</t>
  </si>
  <si>
    <t>https://crsreports.congress.gov/product/pdf/IF/IF12186</t>
  </si>
  <si>
    <t>BM-21 GRAD Rocket</t>
  </si>
  <si>
    <t>https://crsreports.congress.gov/product/pdf/IF/IF12187</t>
  </si>
  <si>
    <t>300 mm round/rocket for MLRS "Smerch"</t>
  </si>
  <si>
    <t>https://crsreports.congress.gov/product/pdf/IF/IF12188</t>
  </si>
  <si>
    <t>VOG-25 grenade for under barrel grenade launcher GP-25</t>
  </si>
  <si>
    <t>https://crsreports.congress.gov/product/pdf/IF/IF12189</t>
  </si>
  <si>
    <t>82mm mortar round</t>
  </si>
  <si>
    <t>https://crsreports.congress.gov/product/pdf/IF/IF12190</t>
  </si>
  <si>
    <t>120mm tank ammunition</t>
  </si>
  <si>
    <t>https://crsreports.congress.gov/product/pdf/IF/IF12191</t>
  </si>
  <si>
    <t>152 mm round for 2A65 Msta</t>
  </si>
  <si>
    <t>https://crsreports.congress.gov/product/pdf/IF/IF12192</t>
  </si>
  <si>
    <t xml:space="preserve">1225 million USD to the Foreign Military Financing Program of the US, which will provide grants or financial loans to Ukraine or NATO allies for the purchase of weapons and defense equipment made in US. Source of Aid 1 and Source of Aid 2 list the Supplemental Acts, Source of Aid 3 gives insights on the obligations of the appropriated budgets. </t>
  </si>
  <si>
    <t>Mark VI Patrol boat</t>
  </si>
  <si>
    <t>https://crsreports.congress.gov/product/pdf/IF/IF12193</t>
  </si>
  <si>
    <t>MSI Seahawk A2 gun system</t>
  </si>
  <si>
    <t>https://crsreports.congress.gov/product/pdf/IF/IF12194</t>
  </si>
  <si>
    <t>Electro-Optics-Infrared Radar (FLIR)</t>
  </si>
  <si>
    <t>https://crsreports.congress.gov/product/pdf/IF/IF12195</t>
  </si>
  <si>
    <t>Long Range Acoustic Device (LRAD) 5km loudspeaker system</t>
  </si>
  <si>
    <t>https://crsreports.congress.gov/product/pdf/IF/IF12196</t>
  </si>
  <si>
    <t>Identification Friend and Foe system</t>
  </si>
  <si>
    <t>https://crsreports.congress.gov/product/pdf/IF/IF12197</t>
  </si>
  <si>
    <t>MK44 cannon</t>
  </si>
  <si>
    <t>https://crsreports.congress.gov/product/pdf/IF/IF12198</t>
  </si>
  <si>
    <t>USM3</t>
  </si>
  <si>
    <t>Aid through the Ukraine Security Assitance Initiative (USAI). Source of Aid 1 reports the Ukraine Supplemental Appropriations Act 2022, Source of Aid 2 the Additional Ukraine Supplemental Appropriations Act 2022, on which this aid is based. Source of Aid 3 reports budget obligations of $6.3 billion through this initiative, which is the amount we report here.</t>
  </si>
  <si>
    <t>laser-guided rocket system</t>
  </si>
  <si>
    <t xml:space="preserve">Tranche of aid of 300 million USD, financed through the budget for the USAI (Ukraine Security Assistance Initiative), which provides military support, logistic and equipment to Ukraine. </t>
  </si>
  <si>
    <t>https://www.defense.gov/News/Releases/Release/Article/2987119/defense-department-announces-300-million-in-additional-assistance-for-ukraine/#:~:text=Through%20USAI%2C%20DoD%20will%20provide,repel%20Russia's%20war%20of%20choice</t>
  </si>
  <si>
    <t>Puma unmanned aerial system</t>
  </si>
  <si>
    <t>counter-unmanned aerial system</t>
  </si>
  <si>
    <t>small-to-large caliber nonstandard ammunition</t>
  </si>
  <si>
    <t>non-standard machine gun</t>
  </si>
  <si>
    <t>commercial satellite imagery service</t>
  </si>
  <si>
    <t xml:space="preserve">Tranche of aid of 650 million USD, financed through the budget for the USAI (Ukraine Security Assistance Initiative), which provides military support, logistic and equipment to Ukraine. </t>
  </si>
  <si>
    <t>https://eurasiantimes.com/harpoon-horror-us-confirms-russian-vessel-that-was-sunk-by-ukraine/</t>
  </si>
  <si>
    <t xml:space="preserve">Tranche of aid of 770 million USD, financed through the budget for the USAI (Ukraine Security Assistance Initiative), which provides military support, logistic and equipment to Ukraine. </t>
  </si>
  <si>
    <t>https://www.mil.gov.ua/en/news/2022/11/15/russia-is-told-about-peace-it-responds-with-missiles-address-by-the-president-of-ukraine/</t>
  </si>
  <si>
    <t xml:space="preserve">Tranche of aid of 95 million USD, financed through the budget for the USAI (Ukraine Security Assistance Initiative), which provides military support, logistic and equipment to Ukraine. </t>
  </si>
  <si>
    <t xml:space="preserve">Tranche of aid of 2980 million USD, financed through the budget for the USAI (Ukraine Security Assistance Initiative), which provides military support, logistic and equipment to Ukraine. </t>
  </si>
  <si>
    <t>https://www.defense.gov/News/Releases/Release/Article/3138105/nearly-3-billion-in-additional-security-assistance-for-ukraine/</t>
  </si>
  <si>
    <t>Puma Unmanned Aerial System</t>
  </si>
  <si>
    <t>support equipment for Scan Eagle UAS systems</t>
  </si>
  <si>
    <t>VAMPIRE Counter-Unmanned Aerial System</t>
  </si>
  <si>
    <t>Laser-guided rocket system</t>
  </si>
  <si>
    <t xml:space="preserve">Tranche of aid of 1100 million USD, financed through the budget for the USAI (Ukraine Security Assistance Initiative), which provides military support, logistic and equipment to Ukraine. </t>
  </si>
  <si>
    <t>https://www.defense.gov/News/Releases/Release/Article/3173378/11-billion-in-additional-security-assistance-for-ukraine/</t>
  </si>
  <si>
    <t>Tactical Vehicle</t>
  </si>
  <si>
    <t>radars for Unmanned Aerial System</t>
  </si>
  <si>
    <t>multi-mission radar</t>
  </si>
  <si>
    <t>Tactical secure communications systems, surveillance systems, and optics</t>
  </si>
  <si>
    <t>Body armor</t>
  </si>
  <si>
    <t xml:space="preserve">Tranche of aid of 400 million USD, financed through the budget for the USAI (Ukraine Security Assistance Initiative), which provides military support, logistic and equipment to Ukraine. </t>
  </si>
  <si>
    <t>https://www.defense.gov/News/Releases/Release/Article/3210297/400-million-in-additional-security-assistance-for-ukraine/</t>
  </si>
  <si>
    <t>USM7</t>
  </si>
  <si>
    <t xml:space="preserve">Military Assistance authorizing the President to direct the drawdown of up to $3.7 billion worth of defense articles from U.S. stocks and defense services to provide additional essential support to Ukraine’s armed forces. The aid is part of a bigger package, the Ukraine Supplemental Appropriations Act 2023 (Source of Aid 1) and the Additional Ukraine Supplemental Appropriations Act 2023 (Source of Aid 2),  In sum, this brings the drawdown Authority for FY2023 to $18.2 billion. </t>
  </si>
  <si>
    <t xml:space="preserve">22nd presidential drawdown amounting to USD 625 million for the provision of various military weapons. </t>
  </si>
  <si>
    <t>https://ua.usembassy.gov/625-million-in-additional-u-s-military-assistance-for-ukraine/#:~:text=OCTOBER%204%2C%202022&amp;text=Pursuant%20to%20a%20delegation%20of,U.S.%20Department%20of%20Defense%20inventories.</t>
  </si>
  <si>
    <t>155mm howitzer</t>
  </si>
  <si>
    <t xml:space="preserve">23rd presidential drawdown amounting to USD 725 million for the provision of various military weapons. </t>
  </si>
  <si>
    <t>https://www.defense.gov/News/Releases/Release/Article/3189571/725-million-in-additional-security-assistance-for-ukraine/</t>
  </si>
  <si>
    <t>precision-guided 155mm artillery round</t>
  </si>
  <si>
    <t>rounds of Remote Anti-Armor Mine (RAAM) Systems</t>
  </si>
  <si>
    <t xml:space="preserve">24th presidential drawdown amounting to USD 275 million for the provision of various military weapons. </t>
  </si>
  <si>
    <t>https://www.defense.gov/News/Releases/Release/Article/3203509/275-million-in-additional-presidential-drawdown-security-assistance-for-ukraine/</t>
  </si>
  <si>
    <t>satellite communications antenna</t>
  </si>
  <si>
    <t xml:space="preserve">25th presidential drawdown amounting to USD 400 million for the provision of various military weapons. </t>
  </si>
  <si>
    <t>https://www.defense.gov/News/Releases/Release/Article/3216287/400-million-in-additional-assistance-for-ukraine/</t>
  </si>
  <si>
    <t>Avenger air defense system</t>
  </si>
  <si>
    <t>https://abcnews.go.com/International/us-avenger-important-boost-ukrainian-air-defense-top/story?id=99405568</t>
  </si>
  <si>
    <t>25th presidential drawdown amounting to USD 400 million for the provision of various military weapons. Source of Aid 4 states that this package also includes the financing of old T-72 tanks that are bought together with the Netherlands from Czech industry stocks. Since the US and the Netherlands split the costs 50:50, we attribute 45 tanks to each country.</t>
  </si>
  <si>
    <t xml:space="preserve">26th presidential drawdown amounting to USD 400 million for the provision of various military weapons. </t>
  </si>
  <si>
    <t>https://www.defense.gov/News/Releases/Release/Article/3227217/400-million-in-additional-assistance-for-ukraine/</t>
  </si>
  <si>
    <t xml:space="preserve">27th presidential drawdown amounting to USD 275 million for the provision of various military weapons. </t>
  </si>
  <si>
    <t>https://www.reuters.com/world/biden-authorizes-new-275-mln-military-aid-ukraine-white-house-2022-12-09/</t>
  </si>
  <si>
    <t xml:space="preserve">28th presidential drawdown amounting to USD 1 billion for the provision of various military weapons. </t>
  </si>
  <si>
    <t>https://www.defense.gov/News/Releases/Release/Article/3252782/185-billion-in-additional-security-assistance-for-ukraine/#:~:text=The%20Presidential%20Drawdown%20is%20the,has%20authorized%20since%20August%202021.</t>
  </si>
  <si>
    <t>https://edition.cnn.com/2023/05/16/politics/patriot-missile-damage-ukraine/index.html</t>
  </si>
  <si>
    <t>82mm mortar system</t>
  </si>
  <si>
    <t>60mm mortar system</t>
  </si>
  <si>
    <t>USM8</t>
  </si>
  <si>
    <t>Military Assistance increasing the Presidential authority to direct the drawdown of up to $14.5 billion worth of defense articles from U.S. stocks and defense services to provide additional essential support to Ukraine’s armed forces. The aid is part of a bigger package, the Ukraine Supplemental Appropriations Act 2023 (Source of Aid 1) authorizing drawdowns of up to $3.7 billion, and the Additional Ukraine Supplemental Appropriations Act 2023 (Source of Aid 2), authorizing drawdowns of up to $14.5 billion. Since the USAA 2023 set the authority to $3.7 billion and the UASAA 2023 increases it to $14.5, we report the difference of $10.8 billion here. We report every subsequent drawdown after December 23 under this donation ID.</t>
  </si>
  <si>
    <t>29th presidential drawdown amounting to USD 2.85 billion for the provision of various military items.</t>
  </si>
  <si>
    <t>https://www.defense.gov/News/Releases/Release/Article/3261263/more-than-3-billion-in-additional-security-assistance-for-ukraine/</t>
  </si>
  <si>
    <t>Bradley infantry fighting vehicle</t>
  </si>
  <si>
    <t>TOW anti-tank missile</t>
  </si>
  <si>
    <t>25mm ammunition</t>
  </si>
  <si>
    <t>M113 Armored Personnel Carrier</t>
  </si>
  <si>
    <t>https://defence-blog.com/paladin-self-propelled-howitzers-arrive-in-ukraine/</t>
  </si>
  <si>
    <t>Rim-7 missile</t>
  </si>
  <si>
    <t>Zuni aircraft rocket</t>
  </si>
  <si>
    <t>30th presidential drawdown amounting to USD 2.5 billion for the provision of various military items.</t>
  </si>
  <si>
    <t>https://www.defense.gov/News/Releases/Release/Article/3272866/biden-administration-announces-additional-security-assistance-for-ukraine/</t>
  </si>
  <si>
    <t>Stryker Armored Personnel Carriers</t>
  </si>
  <si>
    <t>https://www.forbes.com/sites/davidaxe/2023/04/08/ukraines-stryker-fighting-vehicles-could-be-in-big-trouble-when-they-collide-with-russian-defenses/</t>
  </si>
  <si>
    <t>Ammunition for HIMARS</t>
  </si>
  <si>
    <t>ammunition support vehicle</t>
  </si>
  <si>
    <t>claymore anti-personnel munitions</t>
  </si>
  <si>
    <t>Field equipment</t>
  </si>
  <si>
    <t>31th presidential drawdown amounting to USD 425 million for the provision of various military items.</t>
  </si>
  <si>
    <t>https://www.defense.gov/News/Releases/Release/Article/3287992/biden-administration-announces-additional-security-assistance-for-ukraine/</t>
  </si>
  <si>
    <t>cold weather gear</t>
  </si>
  <si>
    <t>Helmet</t>
  </si>
  <si>
    <t>32th presidential drawdown amounting to USD 460 million for the provision of various military items.</t>
  </si>
  <si>
    <t>https://www.defense.gov/News/Releases/Release/Article/3302787/biden-administration-announces-additional-security-assistance-for-ukraine/</t>
  </si>
  <si>
    <t>Air-surveillance radar US</t>
  </si>
  <si>
    <t>tactical vehicle to recover equipment</t>
  </si>
  <si>
    <t>33th presidential drawdown amounting to USD 400 million for the provision of various military items.</t>
  </si>
  <si>
    <t>https://www.defense.gov/News/News-Stories/Article/Article/3318508/us-sends-ukraine-400-million-in-military-equipment/</t>
  </si>
  <si>
    <t>https://www.state.gov/u-s-security-cooperation-with-ukraine/#:~:text=All%20the%20FY2022%20USAI%20funds,%2475%20million%20in%20lethal%20assistance.</t>
  </si>
  <si>
    <t>34th presidential drawdown amounting to USD 350 million for the provision of various military items.</t>
  </si>
  <si>
    <t>https://www.defense.gov/News/Releases/Release/Article/3334472/dod-announces-additional-security-assistance-for-ukraine/</t>
  </si>
  <si>
    <t>M978 heavy fuel tanker</t>
  </si>
  <si>
    <t>35th presidential drawdown amounting to USD 500 million for the provision of various military items.</t>
  </si>
  <si>
    <t>https://www.defense.gov/News/Releases/Release/Article/3350958/biden-administration-announces-additional-security-assistance-for-ukraine/</t>
  </si>
  <si>
    <t>105mm tank ammunition</t>
  </si>
  <si>
    <t>36th presidential drawdown amounting to USD 325 million for the provision of various military items.</t>
  </si>
  <si>
    <t>https://www.defense.gov/News/Releases/Release/Article/3367924/biden-administration-announces-additional-security-assistance-for-ukraine/</t>
  </si>
  <si>
    <t>37th presidential drawdown amounting to USD 300 million for the provision of various military items.</t>
  </si>
  <si>
    <t>https://www.defense.gov/News/Releases/Release/Article/3383288/biden-administration-announces-additional-security-assistance-for-ukraine/</t>
  </si>
  <si>
    <t>60mm mortar round</t>
  </si>
  <si>
    <t>Hydra-70 aircraft rocket</t>
  </si>
  <si>
    <t>38th presidential drawdown amounting to USD 375 million for the provision of various military items.</t>
  </si>
  <si>
    <t>https://www.defense.gov/News/Releases/Release/Article/3402206/biden-administration-announces-additional-security-assistance-for-ukraine/</t>
  </si>
  <si>
    <t>Precision-guided rocket</t>
  </si>
  <si>
    <t>39th presidential drawdown amounting to USD 300 million for the provision of various military items.</t>
  </si>
  <si>
    <t>https://www.defense.gov/News/Releases/Release/Article/3411804/biden-administration-announces-additional-security-assistance-for-ukraine/</t>
  </si>
  <si>
    <t>AIM-7 missile for air defense</t>
  </si>
  <si>
    <t>munitions for unmanned aerial systems</t>
  </si>
  <si>
    <t>USM9</t>
  </si>
  <si>
    <t xml:space="preserve">USD 3 billion under Ukraine Security Assistance Initiative (USAI) to provide assistance, including training, equipment, weapons, logistics support, supplies and services, salaries and stipends, sustainment, and intelligence support to the military and national security forces of Ukraine. The aid is part of a bigger package, the Ukraine Supplemental Appropriations Pack 2023 and the Additional Ukraine Supplemental Act 2023. In total, $12 billion are appropriated for the USAI Initiative for the Fiscal Year 2023. </t>
  </si>
  <si>
    <t>USM10</t>
  </si>
  <si>
    <t>USD 9 billion under Ukraine Security Assistance Initiative (USAI) to provide assistance, including training, equipment, weapons, logistics support, supplies and services, salaries and stipends, sustainment, and intelligence support to the military and national security forces of Ukraine. The aid is part of a bigger package, the Ukraine Supplemental Appropriations Pack 2023 and the Additional Ukraine Supplemental Act 2023. In total, $12 billion are appropriated for the USAI Initiative for the Fiscal Year 2023. We report subsequent usages of the budget under this donation ID.</t>
  </si>
  <si>
    <t xml:space="preserve">Tranche of aid amounting to USD 850 million financed through the USAI framework. </t>
  </si>
  <si>
    <t>BM-21 GRAD rocket</t>
  </si>
  <si>
    <t>Tranche of aid amounting to USD 400 million financed through the USAI framework.</t>
  </si>
  <si>
    <t>https://www.defense.gov/News/Releases/Release/Article/3277443/biden-administration-announces-additional-security-assistance-for-ukraine/</t>
  </si>
  <si>
    <t>M1A2 Abrams</t>
  </si>
  <si>
    <t xml:space="preserve">Tranche of aid amounting to USD 1.750 billion financed through the USAI framework. </t>
  </si>
  <si>
    <t>Equipment to integrate Western air defense launchers, missiles, and radars with Ukraine’s air defense systems</t>
  </si>
  <si>
    <t>Equipment to sustain Ukraine’s existing air defense capabilities</t>
  </si>
  <si>
    <t>Air defense generator</t>
  </si>
  <si>
    <t>Counter-unmanned aerial system</t>
  </si>
  <si>
    <t>counter-mortar radar</t>
  </si>
  <si>
    <t xml:space="preserve">Tranche of aid amounting to USD 2 billion financed through the USAI framework. </t>
  </si>
  <si>
    <t>https://www.defense.gov/News/Releases/Release/Article/3308633/biden-administration-announces-additional-security-assistance-for-ukraine/</t>
  </si>
  <si>
    <t>Munition for laser guided rocket systems</t>
  </si>
  <si>
    <t>CyberLux K8 UAS</t>
  </si>
  <si>
    <t>Altius-600 UAS</t>
  </si>
  <si>
    <t>Jump 20 UAS</t>
  </si>
  <si>
    <t>mine clearing equipment</t>
  </si>
  <si>
    <t xml:space="preserve">Tranche of aid amounting to USD 2.1 billion financed through the USAI framework. </t>
  </si>
  <si>
    <t>Counter-unmanned aerial system 30mm gun truck</t>
  </si>
  <si>
    <t>mobile c-UAS laser-guided rocket system</t>
  </si>
  <si>
    <t>30mm round</t>
  </si>
  <si>
    <t>23mm round</t>
  </si>
  <si>
    <t>130mm artillery round</t>
  </si>
  <si>
    <t>122mm artillery round</t>
  </si>
  <si>
    <t>precision-guided rocket</t>
  </si>
  <si>
    <t>Anti-armor rounds</t>
  </si>
  <si>
    <t xml:space="preserve">Tranche of aid amounting to USD 1.2 billion financed through the USAI framework. </t>
  </si>
  <si>
    <t>https://www.defense.gov/News/Releases/Release/Article/3388890/biden-administration-announces-additional-security-assistance-for-ukraine/</t>
  </si>
  <si>
    <t>ammunition for counter-unmanned aerial system</t>
  </si>
  <si>
    <t>USM11</t>
  </si>
  <si>
    <t>Budget appropriations worth 3.183 billion USD for the FMF program in the Fiscal Year 2023</t>
  </si>
  <si>
    <t>USF1</t>
  </si>
  <si>
    <t>According to the congressional research service (Source of aid 2), 1 billion USD was disbursed as financial assistance for the Economic Support Fund for Ukraine from the Ukraine supplemental appropriations act 2022 (Source of aid 1). Therefore, we report it here.</t>
  </si>
  <si>
    <t>https://crsreports.congress.gov/product/pdf/IF/IF12305</t>
  </si>
  <si>
    <t>USF2</t>
  </si>
  <si>
    <t>$7.5 billion for the Economic Support Fund to respond to emergent needs in Ukraine, provide needed budget support to assist with Ukraine’s continuity of government, and counter human trafficking. Original amount of $8.776 billion. Does not include $760 million to prevent and respond to global food insecurity. This aid is part of the Ukraine Additional Supplemental Appropriations Act 2022 that appropriates budgets for financial, humanitarian and military aid to Ukraine. Source of Aid 1 lists the congress bill. Source of Aid 2 states that only $7.5 billion of the appropriated amount has been disbursed until January 2023, which means the remaining amount is no longer disburseable due to the change in fiscal year, which is why we report $7.5 billion here.</t>
  </si>
  <si>
    <t>USF3</t>
  </si>
  <si>
    <t>$4.5 billion for the Economic Support Fund for additional budget support to maintain the operations of Ukraine’s national government, including to enable the government to maintain macroeconomic stability and provide essential citizen services, which are necessary for Ukraine’s effort to repel Russia’s invasion. Includes oversight requirements, including third-party monitoring of such support. It was disbursed in November 2022 (Source of aid 2)</t>
  </si>
  <si>
    <t>https://www.usaid.gov/news-information/press-releases/nov-22-2022-united-states-contributes-45-billion-support-government-ukraine</t>
  </si>
  <si>
    <t>USF4</t>
  </si>
  <si>
    <t>$13.37 billion in vital economic and budgetary support for the Government of Ukraine, including support for Ukraine’s energy security and other critical infrastructure needs and for assistance to other countries impacted by the situation in Ukraine. This aid is part of the Additional Ukraine Supplemental Appropriations Act 2023 that appropriates budgets for financial, humanitarian and military aid to Ukraine. Source of Aid 1 lists the congress bill. Source of aid 2 confirmed that 9.9 billion was already disbursed.</t>
  </si>
  <si>
    <t>EUH1</t>
  </si>
  <si>
    <t>EU (Commission and Council)</t>
  </si>
  <si>
    <t>Undisclosed</t>
  </si>
  <si>
    <t xml:space="preserve">The EU Civil Protection Mechanism is an instrument aiming to improve the prevention, preparedness, and response to disasters. Since the EU Civil Protection Mechanism is not a direct contribution to Ukraine, meaning that it doesn't provide the resources constituting the aid, we do not report it in "Bilateral Aid". This choice was made despite the fact that the EU Civil Protection Mechanism was established by the European Commission. </t>
  </si>
  <si>
    <t>https://ec.europa.eu/info/strategy/priorities-2019-2024/stronger-europe-world/eu-solidarity-ukraine/eu-assistance-ukraine_en#eu-civil-protection-mechanism</t>
  </si>
  <si>
    <t>https://civil-protection-humanitarian-aid.ec.europa.eu/where/europe/ukraine_en</t>
  </si>
  <si>
    <t>https://www.consilium.europa.eu/en/policies/civil-protection/</t>
  </si>
  <si>
    <t>EUH2</t>
  </si>
  <si>
    <t xml:space="preserve">The entire announced support package for Ukraine and its neighboring countries is 500 million EUR, according to "Source of Aid 1". Since this sum is for refugees outside of Ukraine as well, we need to disentangle it into the disclosed sums and purposes to attribute the correct amount. "Source of Aid 2" mentions that over 93 million EUR have been made available so far for humanitarian aid. From these 93 million EUR, the Commission states that 85 million EUR will be given to Ukraine directly as Humanitarian Aid to help provide food, water, shelter and other basic needs to the people affected by the war, while 8 million EUR were devoted to Moldova (which we dont count since it not direct bilateral aid to Ukraine). Moreover, "Source of Aid 2" mentions that 330 million EUR are contributed via an Emergency Support Program for the people in Ukraine. It helps dealing with physical and psychological trauma and provides goods for basic needs as well as access to healthcare and education. Hence, we can disentangle the total sum of 500 million EUR for Ukraine and neighboring countries such that we attribute 415 million EUR out of the 500 million EUR total package (330 million + 85 million EUR) for Ukraine. The 8 million EUR for Moldova are not counted. </t>
  </si>
  <si>
    <t>https://ec.europa.eu/commission/presscorner/detail/en/speech_22_1483</t>
  </si>
  <si>
    <t>https://ec.europa.eu/info/strategy/priorities-2019-2024/stronger-europe-world/eu-solidarity-ukraine/eu-assistance-ukraine_en</t>
  </si>
  <si>
    <t>EUH3</t>
  </si>
  <si>
    <t>As a partner of the "Stand Up for the Ukraine" Event, the EU announced the provision of additional 1 billion EUR on April 9, 2022. According to "Source of Aid 1", only 600 million EUR out of the 1 billion EUR are devoted to Ukraine. "Source of Aid 2" admits the total amount of 1 billion EUR, pledged by the EU Commission.</t>
  </si>
  <si>
    <t>https://ec.europa.eu/commission/presscorner/detail/en/IP_22_2382</t>
  </si>
  <si>
    <t>EUH4</t>
  </si>
  <si>
    <t>The EU pledged an additional 200 million EUR for internally displaced people during the International Donor's Conference on May 5, 2022 (see "Source of Aid 1", 37:00).</t>
  </si>
  <si>
    <t>https://euneighbourseast.eu/news-and-stories/latest-news/ukraine-eu-announces-new-aid-worth-e200-million-for-displaced-people/#:~:text=Ukraine%3A%20EU%20announces%20new%20aid%20worth%20%E2%82%AC200%20million,Donors%E2%80%99%20Conference%20convened%20jointly%20by%20Poland%20and%20Sweden.?msclkid=2ab08ff4cf8811ec87c245022077fc10</t>
  </si>
  <si>
    <t>EUH5</t>
  </si>
  <si>
    <t xml:space="preserve">The EU allocated an additional 205 million EUR in humanitarian assistance for Ukraine, according to commissioner for Crisis Management, Janez Lenarčič </t>
  </si>
  <si>
    <t>https://ec.europa.eu/commission/presscorner/detail/en/speech_22_2807</t>
  </si>
  <si>
    <t>EUH6</t>
  </si>
  <si>
    <t>European Commission will provide an additional 175 EUR million in humanitarian assistance to support those most in need in Ukraine and Moldova. 150 EUR million will go directly to Ukraine.</t>
  </si>
  <si>
    <t>https://ec.europa.eu/commission/presscorner/detail/es/ip_22_6263</t>
  </si>
  <si>
    <t>https://www.welcomeurope.com/en/eu-launches-winter-shelter-programme-in-ukrain-humanitarian-aid-raised-by-e175-million/</t>
  </si>
  <si>
    <t>EUH7</t>
  </si>
  <si>
    <t>EU Commission pledged to mobilize around €30 million to purchase up to 30 million energy-saving lightbulbs for Ukraine.</t>
  </si>
  <si>
    <t>https://ec.europa.eu/commission/presscorner/detail/en/ip_22_7320</t>
  </si>
  <si>
    <t>https://www.pubaffairsbruxelles.eu/eu-institution-news/standing-with-the-ukrainian-people-eu-delivers-further-energy-support-for-the-winter/</t>
  </si>
  <si>
    <t>EUH8</t>
  </si>
  <si>
    <t>Up to €10 million for the design of a modern childcare strategy</t>
  </si>
  <si>
    <t>https://twitter.com/vonderleyen/status/1621220820579229696?cxt=HHwWgIC9keXv3f8sAAAA</t>
  </si>
  <si>
    <t>https://neighbourhood-enlargement.ec.europa.eu/news/statement-president-von-der-leyen-joint-press-conference-ukrainian-president-zelenskyy-2023-02-02_en</t>
  </si>
  <si>
    <t>EUH9</t>
  </si>
  <si>
    <t>The President of the European Commission, Ursula von der Leyen, announced, on Thursday, 2 February 2023, during a meeting in Kyiv with the Ukrainian President, Volodymyr Zelensky, a new EU support of €450 million for 2023. Of these funds, €145 million will be humanitarian aid, and €305 million will come under bilateral cooperation to support the rapid recovery of Ukraine’s infrastructure, strengthen Ukraine’s resilience, and to support its reform process. Here we report 145 EUR nillion humanitarian aid.</t>
  </si>
  <si>
    <t xml:space="preserve">https://ec.europa.eu/commission/presscorner/detail/en/ip_23_461 </t>
  </si>
  <si>
    <t>https://agenceurope.eu/en/bulletin/article/13113/1</t>
  </si>
  <si>
    <t>EUH10</t>
  </si>
  <si>
    <t>The President of the European Commission, Ursula von der Leyen, announced, on Thursday, 2 February 2023, during a meeting in Kyiv with the Ukrainian President, Volodymyr Zelensky, a new EU support of €450 million for 2023. Of these funds, €145 million will be humanitarian aid, and €305 million will come under bilateral cooperation to support the rapid recovery of Ukraine’s infrastructure, strengthen Ukraine’s resilience, and to support its reform process. Here we report 305 EUR million recovery aid.</t>
  </si>
  <si>
    <t>EUH11</t>
  </si>
  <si>
    <t>In the margins of the EU-Ukraine Summit taking place in Kyiv on Friday, High Representative/Vice-President (HR/VP) Josep Borrell announced an additional program of up to 25 EUR million to support Ukraine’s de-mining of the liberated territories temporarily occupied by Russian armed forces. Source of Aid 2 specified that it was not part of previous packages.</t>
  </si>
  <si>
    <t xml:space="preserve">https://www.eeas.europa.eu/eeas/ukraine-eu-supports-de-mining-liberated-areas-additional-%E2%82%AC25-million-programme_en </t>
  </si>
  <si>
    <t>https://agenceurope.eu/en/bulletin/article/13114/2</t>
  </si>
  <si>
    <t>EUH12</t>
  </si>
  <si>
    <t>The EU is also allocating a further 55 EUR million in humanitarian funding to Ukraine on top of the €145 million already provided earlier this year (EUH9).</t>
  </si>
  <si>
    <t xml:space="preserve">https://civil-protection-humanitarian-aid.ec.europa.eu/news-stories/news/ukraine-joins-eu-civil-protection-mechanism-2023-04-20_en?s=09 </t>
  </si>
  <si>
    <t>https://www.pravda.com.ua/eng/news/2023/04/20/7398771/</t>
  </si>
  <si>
    <t>EUF1</t>
  </si>
  <si>
    <t>A new emergency Macro-Financial Assistance amounting to 1.2 billion EUR was adopted by the Commission on February 1, 2022 (to be disbursed in two equal tranches á 600 million EUR). We don't report the aid provided by the MFA in the context of the Covid-19 pandemic, nor MFA I, MFA II, MFA III or MFA IV, because they are unrelated to Russia's aggression and are prior to January 24, 2022.</t>
  </si>
  <si>
    <t>https://ec.europa.eu/info/business-economy-euro/economic-and-fiscal-policy-coordination/international-economic-relations/enlargement-and-neighbouring-countries/neighbouring-countries-eu/neighbourhood-countries/ukraine_en</t>
  </si>
  <si>
    <t>https://economy-finance.ec.europa.eu/system/files/2022-04/ukraine_mou_emergency_mfa_signed.pdf</t>
  </si>
  <si>
    <t>EUF2</t>
  </si>
  <si>
    <t>In addition to its Macro-Financial Assistance, the EU offered a grant to support the budget of Ukraine, "to help state and resilience building" ("Source of Aid 1").</t>
  </si>
  <si>
    <t>https://ec.europa.eu/info/strategy/priorities-2019-2024/stronger-europe-world/eu-solidarity-ukraine/eu-assistance-ukraine_en?msclkid=23e9b3c1d14011ecaaeca792ec66a4ed</t>
  </si>
  <si>
    <t>https://euneighbourseast.eu/news-and-stories/latest-news/ukraine-eu-announces-e120-million-grant-to-support-societal-and-state-resilience/#:~:text=Ukraine%3A%20EU%20announces%20%E2%82%AC120%20million%20grant%20to%20support,preparedness%20and%20management%20at%20central%20and%20local%20levels.?msclkid=23e8a2ecd14011ec870c8ad62e34da3e</t>
  </si>
  <si>
    <t>EUF3</t>
  </si>
  <si>
    <t xml:space="preserve">In light of urgent financial needs of the Ukrainian government, the Commission announced to grant Ukraine additional Macro-Financial Assistance, worth up to 9 billion EUR in 2022, guaranteed by the Union budget. Furthermore, it is stated that the Member States "should" make additional guarantees. "Source of Aid 2" refers to additional 0.6 billion EUR, which reflects one tranche of the entry EUF1. According to Source of Aid 3, the EU disbursed a total of €6 billion from this MFA instrument, for a total of 7.2 billion (EUF1, EUF3) of disbursed MFA in 2022. We therefore report only the disbursed amount here, since the source says the Final tranche was disbursed in December of 2022. </t>
  </si>
  <si>
    <t>https://ec.europa.eu/commission/presscorner/detail/en/ip_22_3121</t>
  </si>
  <si>
    <t>https://economy-finance.ec.europa.eu/international-economic-relations/candidate-and-neighbouring-countries/neighbouring-countries-eu/neighbourhood-countries/ukraine_en#press-releases</t>
  </si>
  <si>
    <t>EUF4</t>
  </si>
  <si>
    <t>A new financial aid package of up to 18 billion EUR consisting of loans. It is intended for paying wages and pensions and maintain essential public services running, such as hospitals, schools, and housing for relocated people. It will also allow Ukraine to ensure macroeconomic stability, and restore critical infrastructure destroyed by Russia in its war of aggression, such as energy infrastructure, water systems, transport networks, roads and bridges. Building on previous Macro-Financial Assistance packages, this Macro-Financial Assistance+ (MFA+) instrument offers high flexibility and very favourable terms for Ukraine, catering to the country's current situation and ensuring swift action to support the Ukrainian people.
The funds will be provided through highly concessional loans, to be repaid in the course of maximum 35 years, starting in 2033.</t>
  </si>
  <si>
    <t>https://ec.europa.eu/commission/presscorner/detail/en/ip_22_6699</t>
  </si>
  <si>
    <t>https://www.europeansources.info/record/proposal-for-a-regulation-establishing-an-instrument-for-providing-support-to-ukraine-for-2023-macro-financial-assistance/</t>
  </si>
  <si>
    <t>EUM1</t>
  </si>
  <si>
    <t>European Peace Facility</t>
  </si>
  <si>
    <t>The European Peace Facility (EPF) is an off-budget instrument to fund emergency assistance measures. It has a regulated annual budget. In view of the Russia-Ukraine war, the EU commission decided to increase the budget of this mechanism by 450 Million EUR for military equipment designed to deliver lethal force and 50 Million EUR to finance supply such as fuel and protective equipment. Under the EPF, member countries can be reimbursed for both lethal and non-lethal military equipment they have sent to Ukraine since the beginning of this year. There exists neither an extensive list on what was sent to Ukraine by the countries that were reimbursed by this facility, nor any information whether the entire 500 Million EUR have been claimed.</t>
  </si>
  <si>
    <t>https://www.europarl.europa.eu/RegData/etudes/ATAG/2022/729301/EPRS_ATA(2022)729301_EN.pdf</t>
  </si>
  <si>
    <t>https://www.consilium.europa.eu/en/press/press-releases/2022/10/17/ukraine-council-agrees-on-further-support-under-the-european-peace-facility/</t>
  </si>
  <si>
    <t>EUM2</t>
  </si>
  <si>
    <t>The European Peace Facility (EPF) is an off-budget instrument to fund emergency assistance measures. It has a regulated annual budget. On March 23, the EU commission decided  to further increase the budget of this mechanism by 450 Million EUR for military equipment designed to deliver lethal force and 50 Million EUR to finance supply such as fuel and protective equipment. Under the EPF, member countries can be reimbursed for both lethal and non-lethal military equipment they have sent to Ukraine since the beginning of this year. There exists neither an extensive list on what was sent to Ukraine by the countries that were reimbursed by this facility, nor any information whether the entire 500 Million EUR have been claimed.</t>
  </si>
  <si>
    <t>EUM3</t>
  </si>
  <si>
    <t>The EU increased the total resources of the European Peace Facility to 1.5 billion EUR with a third tranche worth 500 million EUR.</t>
  </si>
  <si>
    <t>https://twitter.com/vonderleyen/status/1512525016910471170</t>
  </si>
  <si>
    <t>https://www.consilium.europa.eu/de/press/press-releases/2022/04/13/eu-support-to-ukraine-council-agrees-on-third-tranche-of-support-under-the-european-peace-facility-for-total-1-5-billion/</t>
  </si>
  <si>
    <t>https://tvpworld.com/59620451/eu-allocates-additional-eur-500-million-to-aid-ukraine#:~:text=The%20European%20Union%20agreed%20on%20the%20third%20tranche,of%20military%20equipment%20to%20the%20Ukrainian%20Armed%20Forces.</t>
  </si>
  <si>
    <t>EUM4</t>
  </si>
  <si>
    <t>The EU increased the total resources of the European Peace Facility to 2 billion EUR with a fourth tranche worth 500 million EUR.</t>
  </si>
  <si>
    <t>https://www.consilium.europa.eu/en/press/press-releases/2022/05/24/eu-support-to-ukraine-council-agrees-on-further-increase-of-support-under-the-european-peace-facility/</t>
  </si>
  <si>
    <t>https://euneighbourseast.eu/news-and-stories/latest-news/council-adopts-e500-million-eu-support-to-ukraine-under-european-peace-facility/</t>
  </si>
  <si>
    <t>EUM5</t>
  </si>
  <si>
    <t>The EU increased the total resources of the European Peace Facility to 2.5 billion EUR with a fifth tranche worth 500 million EUR.</t>
  </si>
  <si>
    <t>https://www.consilium.europa.eu/en/press/press-releases/2022/07/22/european-peace-facility-eu-support-to-ukraine-increased-to-2-5-billion/</t>
  </si>
  <si>
    <t>https://www.ukrinform.net/rubric-economy/3534770-eu-announces-allocation-of-another-eur-500m-in-military-aid-to-ukraine.html</t>
  </si>
  <si>
    <t>EUM6</t>
  </si>
  <si>
    <t xml:space="preserve">The EU increased the total resources of the European Peace Facility to 3.1 billion EUR with a six tranche worth 500 million EUR and with contributions from three member states who chose to abstain from the provision of lethal equipment (which we assume is worth 100 million EUR). </t>
  </si>
  <si>
    <t>https://www.consilium.europa.eu/en/policies/european-peace-facility/timeline-european-peace-facility/</t>
  </si>
  <si>
    <t>EUM7</t>
  </si>
  <si>
    <t xml:space="preserve">The EU increased the total resources of the European Peace Facility to 3.6 billion EUR with a 7th tranche worth 500 million EUR and with contributions from three member states who chose to abstain from the provision of lethal equipment (which we assume is worth 100 million EUR). </t>
  </si>
  <si>
    <t>https://www.consilium.europa.eu/en/meetings/fac/2023/01/23/</t>
  </si>
  <si>
    <t>EUM8</t>
  </si>
  <si>
    <t>The Council today adopted an assistance measure worth €1 billion under the European Peace Facility (EPF) to support the Ukrainian Armed Forces. This measure will allow the EU to reimburse member states for ammunition donated to Ukraine from existing stocks or from the reprioritization of existing orders during the period 9 February to 31 May 2023.</t>
  </si>
  <si>
    <t>https://www.consilium.europa.eu/en/press/press-releases/2023/04/13/ammunition-for-ukraine-council-agrees-1-billion-support-under-the-european-peace-facility/</t>
  </si>
  <si>
    <t>https://eu-solidarity-ukraine.ec.europa.eu/eu-assistance-ukraine_en</t>
  </si>
  <si>
    <t>EUM9</t>
  </si>
  <si>
    <t>The Council adopted an assistance measure worth €1 billion under the European Peace Facility (EPF). The assistance measure will finance the provision to the Ukrainian Armed Forces of 155-mm-calibre artillery rounds and, if requested, missiles which will be jointly procured by EU member states from the European defence industry. Together with the previous packages of military support, the assistance measure adopted today brings the total EU contribution for Ukraine to support the delivery of military equipment under the EPF to €5.6 billion.</t>
  </si>
  <si>
    <t>https://www.consilium.europa.eu/en/press/press-releases/2023/05/05/eu-joint-procurement-of-ammunition-and-missiles-for-ukraine-council-agrees-1-billion-support-under-the-european-peace-facility/</t>
  </si>
  <si>
    <t>EIF1</t>
  </si>
  <si>
    <t>European Investment Bank</t>
  </si>
  <si>
    <t>The EIB, provided with an external lending mandate, has prepared an emergency solidarity package for Ukraine of 2 billion EUR, including the provision of 668 million EUR in immediate liquidity assistance to the Ukrainian authorities and 1.3 billion EUR of commitments made for infrastructure projects. "Source of Aid 3" speaks of initial €700 million liquidity assistance, from which we only include €668 million since this amount went to Ukraine directly. Source of Aid 3 also speaks of a €4 billion pledge during the "Stand up for Ukraine" event in April. This however is not included since the aid does not go to Ukraine.</t>
  </si>
  <si>
    <t>https://www.eib.org/en/press/all/2022-124-first-payments-under-eib-ukraine-solidarity-urgent-response-reach-ukraine-as-part-of-european-union-immediate-support-to-the-country</t>
  </si>
  <si>
    <t>https://www.eib.org/en/press/news/joint-statement-of-heads-of-international-financial-institutions-with-programs-in-ukraine-and-neighboring-countries</t>
  </si>
  <si>
    <t>https://www.eib.org/en/projects/regions/eastern-neighbours/ukraine/eib-solidarity.htm?sortColumn=StartDate&amp;sortDir=desc&amp;pageNumber=0&amp;itemPerPage=10&amp;pageable=true&amp;language=EN&amp;defaultLanguage=EN&amp;tags=ukraine-solidarity&amp;ortags=true</t>
  </si>
  <si>
    <t>EIF2</t>
  </si>
  <si>
    <t>As part of the EIB Group support to Ukraine, the EIB Institute gives humanitarian assistance of 2.5 million EUR to help the people affected by the war in Ukraine. The financing comes on top of the 668 million EUR provided as part of the package reported in EIF1.</t>
  </si>
  <si>
    <t>https://www.eib.org/en/press/news/donation-ukraine</t>
  </si>
  <si>
    <t>https://payspacemagazine.com/banks/eib-institute-to-donate-e2-5-million-to-help-the-people-affected-by-the-war-in-ukraine/</t>
  </si>
  <si>
    <t>Country summary</t>
  </si>
  <si>
    <t xml:space="preserve">This sheet summarizes bilateral donations listed in the main dataset in € billion between January 24, 2022 and May 31, 2023. </t>
  </si>
  <si>
    <t>Country</t>
  </si>
  <si>
    <t>EU member</t>
  </si>
  <si>
    <t>Financial commitments</t>
  </si>
  <si>
    <t>Humanitarian commitments</t>
  </si>
  <si>
    <t>Military commitments</t>
  </si>
  <si>
    <t>Total bilateral commitments</t>
  </si>
  <si>
    <t>GDP (2021)</t>
  </si>
  <si>
    <t>GDP (EUR)</t>
  </si>
  <si>
    <t>Share in EU commitments</t>
  </si>
  <si>
    <t>Share in EPF commitments</t>
  </si>
  <si>
    <t>Share in EIB commitments</t>
  </si>
  <si>
    <t>Share in total EU commitments</t>
  </si>
  <si>
    <t>Total bilateral and EU assistance</t>
  </si>
  <si>
    <t>Specific weapons and equipment</t>
  </si>
  <si>
    <t>Financial commitments with military purpose</t>
  </si>
  <si>
    <t>€ billion</t>
  </si>
  <si>
    <t>US$ billion</t>
  </si>
  <si>
    <t>% GDP</t>
  </si>
  <si>
    <t>Total</t>
  </si>
  <si>
    <t xml:space="preserve">This sheet summarizes bilateral donations listed in the main dataset in $ billion between January 24, 2022 and May 31, 2023. </t>
  </si>
  <si>
    <t>$ billion</t>
  </si>
  <si>
    <t>Commitments by donor group</t>
  </si>
  <si>
    <t xml:space="preserve">This section shows the total commitments (financial, humanitarian, and military) over different donor groups, namely EU members and institutions, Anglosaxon countries, and other donor countries, in € billion between January 24, 2022 and May 31, 2023. </t>
  </si>
  <si>
    <t>Country (group)</t>
  </si>
  <si>
    <t>EU members and institutions</t>
  </si>
  <si>
    <t>EU members</t>
  </si>
  <si>
    <t>EU institutions</t>
  </si>
  <si>
    <t>Anglosaxon countries</t>
  </si>
  <si>
    <t>Other donor countries</t>
  </si>
  <si>
    <t>Non bilateral donors</t>
  </si>
  <si>
    <t>IMF</t>
  </si>
  <si>
    <t>European Bank for Reconstruction and Development</t>
  </si>
  <si>
    <t>United Nations</t>
  </si>
  <si>
    <t>World Bank Group</t>
  </si>
  <si>
    <t xml:space="preserve">Data transparency index </t>
  </si>
  <si>
    <t xml:space="preserve">This figure shows the data quality and transparency ranking for all donors. Higher index values indicate higher levels of data transparency (5 = best, 0 = least transparent). For a detailed description of the index, please see our Working Paper as well as the sheet "Data Transparency Index" in our dataset. </t>
  </si>
  <si>
    <t>Total index score</t>
  </si>
  <si>
    <t xml:space="preserve">Figure 1. Data transparency index </t>
  </si>
  <si>
    <t>Average</t>
  </si>
  <si>
    <t xml:space="preserve">Individual refugees from Ukraine recorded across Europe as of May 31, 2023 </t>
  </si>
  <si>
    <t xml:space="preserve">Note: This figure shows the most recent number of individual Ukrainian refugees by country (left panel) and the corresponding population share in welcoming countries (right panel) on May 31, 2023. We use data from UNHCR (2023). </t>
  </si>
  <si>
    <t>Number of Refugees (May 31, 2023)</t>
  </si>
  <si>
    <t>Population in 2020</t>
  </si>
  <si>
    <t>% of population</t>
  </si>
  <si>
    <t>Figure 2. Refugees from Ukraine recorded across Europe as of May 31, 2023 (left in absolute numbers, right in percent)</t>
  </si>
  <si>
    <t>Moldova</t>
  </si>
  <si>
    <t>Montenegro</t>
  </si>
  <si>
    <t>Belarus</t>
  </si>
  <si>
    <t>Aid commitments to Ukraine across donor groups (billion Euros)</t>
  </si>
  <si>
    <t xml:space="preserve">Note: This figure shows total bilateral aid commitments to Ukraine in billion Euros across different donor groups between January 24, 2022 and May 31, 2023. Other donor countries include the Anglo-Saxon countries (except the US), as well as China, Japan, South Korea, Taiwan, Turkey, Norway, Iceland, Switzerland, and India. </t>
  </si>
  <si>
    <t>Donor(s)</t>
  </si>
  <si>
    <t>Total aid (billion Euros)</t>
  </si>
  <si>
    <t>Figure 3. Aid commitments to Ukraine across donor groups (billion Euros)</t>
  </si>
  <si>
    <t>other donor countries</t>
  </si>
  <si>
    <t>Total bilateral commitments (billion Euros)</t>
  </si>
  <si>
    <t>This figure shows total bilateral aid commitments to Ukraine across donors in billion Euros between January 24, 2022 to May 31, 2023. Each bar shows the type of assistance, i.e., financial (blue), humanitarian (green), and military (red) aid. Cost estimates for hosting refugees are added in Figure 7.</t>
  </si>
  <si>
    <t xml:space="preserve">Figure 4. Total bilateral commitments - by type of assistance (billion Euros) </t>
  </si>
  <si>
    <t>EU Institutions</t>
  </si>
  <si>
    <t xml:space="preserve">Bilateral commitments in percent of donor country GDP </t>
  </si>
  <si>
    <t xml:space="preserve">This figure shows total bilateral aid commitments to Ukraine in percent of donor country GDP between January 24, 2022 to May 31, 2023. GDP data for 2021 is from the World Bank.   </t>
  </si>
  <si>
    <t xml:space="preserve">Figure 5. Bilateral commitments in percent of donor country GDP </t>
  </si>
  <si>
    <t>Reassigning EU-level aid to individual EU countries - totals in billion Euros</t>
  </si>
  <si>
    <t xml:space="preserve">Note: This figure (on aid in billion Euros) builds on the main Figure 4 but assigns EU-level commitments to each EU country using their respective EU shares. We no longer show the donor bar for “EU Institutions” as in Figure 4 and instead allot EU commitments across EU countries as follows: EU commitments are assigned based on each member country’s relative contribution to the EU budget. EIB commitments are assigned using each country’s weight in the EIB’s capital subscription. </t>
  </si>
  <si>
    <t>Share in EU commitments (including MFA, EPF, EIB)</t>
  </si>
  <si>
    <t xml:space="preserve">Figure 6. Reassigning EU-level aid to individual EU countries - totals (billion Euros) </t>
  </si>
  <si>
    <t xml:space="preserve">Total bilateral commitments plus refugee costs (billion Euros) </t>
  </si>
  <si>
    <t>This figure (on bilateral aid in billion Euros) complements the main Figure 4 by adding the estimated costs of hosting Ukranian refugees. These costs are based on estimates provided by the OECD Migration Outlook 2022 and scaled up using UNHCR refugee data. For further information, see the "Refugee Cost Calculation" sheet.</t>
  </si>
  <si>
    <t>Refugee cost estimation</t>
  </si>
  <si>
    <t xml:space="preserve">Figure 7. Total bilateral commitments plus refugee costs (billion Euros) </t>
  </si>
  <si>
    <t>Total bilateral commitments plus refugee costs (percent of GDP)</t>
  </si>
  <si>
    <t xml:space="preserve">This figure complements Figure 5 (aid in % of donor GDP) by adding the estimated costs of hosting Ukranian refugees. These costs are based on estimates provided by the OECD Migration Outlook 2022 and scaled up using UNHCR refugee data. For further information, see the "Refugee Cost Calculation" sheet. GDP data for 2021 is from the World Bank. </t>
  </si>
  <si>
    <t>Figure 8. Total bilateral commitments plus refugee costs (percent of GDP)</t>
  </si>
  <si>
    <t>Financial bilateral commitments – top 20 donors (billion Euros)</t>
  </si>
  <si>
    <t xml:space="preserve">This figure shows financial aid commitments to Ukraine across the top 20 donors in billion Euros between January 24, 2022 and May 31, 2023. Financial aid includes loans, grants, guarantees, and central bank swap lines. </t>
  </si>
  <si>
    <t>Central bank swap line</t>
  </si>
  <si>
    <t>Total Commitments</t>
  </si>
  <si>
    <t>Figure 9. Financial bilateral commitments – top 20 donors (billion Euros)</t>
  </si>
  <si>
    <t xml:space="preserve">Foreign budgetary support: commitments vs. disbursements (billion Euros)  </t>
  </si>
  <si>
    <t xml:space="preserve">This figure shows a ranking of financial donors, measured by the volume of external grants, loans, and guarantees given for budgetary support to the government of Ukraine (in billion Euros). Light blue bars indicate commitments (from our dataset), while the darker blue bars show disbursements (using data from the Ministry of Finance of Ukraine). </t>
  </si>
  <si>
    <t>Commitments (loans, grants, and guarantees)</t>
  </si>
  <si>
    <t>Disbursements</t>
  </si>
  <si>
    <t>To be disbursed</t>
  </si>
  <si>
    <t>Disbursed share</t>
  </si>
  <si>
    <t xml:space="preserve">Figure 10. Foreign budgetary support: commitments vs. disbursements (billion Euros)  </t>
  </si>
  <si>
    <t>EU Institutions (MFA and EIB)</t>
  </si>
  <si>
    <t>Dynamics of support: total commitments by month, February 2022 - May 2023 (billion Euros)</t>
  </si>
  <si>
    <t xml:space="preserve">This figure shows total bilateral aid commitments to Ukraine in € billion with traceable commitment months over time between February 1, 2022 and May 31, 2023. Each bar shows the type of assistance, i.e., financial, humanitarian, and military aid. Military aid includes financial assistance tied to military purposes. </t>
  </si>
  <si>
    <t>Month</t>
  </si>
  <si>
    <t>Financial aid committed (€ billion)</t>
  </si>
  <si>
    <t>Humanitarian aid committed (€ billion)</t>
  </si>
  <si>
    <t>Military aid committed (€ billion)</t>
  </si>
  <si>
    <t>Total aid committed (€ billion)</t>
  </si>
  <si>
    <t>Figure 11. Dynamics of support: total commitments by month, February 2022 - May 2023 (billion Euros)</t>
  </si>
  <si>
    <t>February</t>
  </si>
  <si>
    <t>March</t>
  </si>
  <si>
    <t>April</t>
  </si>
  <si>
    <t>May</t>
  </si>
  <si>
    <t>June</t>
  </si>
  <si>
    <t>July</t>
  </si>
  <si>
    <t>August</t>
  </si>
  <si>
    <t>September</t>
  </si>
  <si>
    <t>October</t>
  </si>
  <si>
    <t>November</t>
  </si>
  <si>
    <t>December</t>
  </si>
  <si>
    <t>January (2023)</t>
  </si>
  <si>
    <t>February (2023)</t>
  </si>
  <si>
    <t>March (2023)</t>
  </si>
  <si>
    <t>April (2023)</t>
  </si>
  <si>
    <t>May (2023)</t>
  </si>
  <si>
    <t>Assistance with tracable commitment month</t>
  </si>
  <si>
    <t>Total aid quantified between February 2022 and May 2023</t>
  </si>
  <si>
    <t>Assistance without tracable commitment month</t>
  </si>
  <si>
    <t>Dynamics of support: budget support by month, February 2022 - May 2023 (billion Euros)</t>
  </si>
  <si>
    <t xml:space="preserve">This figure shows the budget support commitments to Ukraine by month and in billion Euros. Information on disbursements is from the Ukrainian Ministry of Finance. </t>
  </si>
  <si>
    <t xml:space="preserve"> </t>
  </si>
  <si>
    <t>Figure 12. Dynamics of support: budget support by month, February 2022 - May 2023 (billion Euros)</t>
  </si>
  <si>
    <t xml:space="preserve">Military bilateral commitments (billion Euros)  </t>
  </si>
  <si>
    <t>This figure shows military bilateral aid commitments to Ukraine across the top 20 donors in billion Euros between January 24, 2022 and May 31, 2023. Military aid includes financial assistance tied to military purposes.</t>
  </si>
  <si>
    <t xml:space="preserve">Figure 13. Military bilateral commitments - Top 20 donors (billion Euros)  </t>
  </si>
  <si>
    <t>EU Total</t>
  </si>
  <si>
    <t xml:space="preserve">Heavy weapon commitments (billion Euros)  </t>
  </si>
  <si>
    <t>This figure shows heavy weapon commitments to Ukraine across the top 20 donors in billion Euros between January 24, 2022 and May 31, 2023. Does not include ammunition of any kind, smaller arms or equipment, and large amounts of US funds committed for future weapons purchases. The commitment values are calculated based on our own value and price estimates for heavy weaponry. Our main numbers, including those shown in Figure 13, rely largely on government information.</t>
  </si>
  <si>
    <t>Heavy weapon commitments</t>
  </si>
  <si>
    <t xml:space="preserve">Figure 14. Heavy weapon commitments - Top 20 donors (billion Euros)  </t>
  </si>
  <si>
    <t>Ukrainian weapon stocks and weapon support vs. pre-war Russian stocks</t>
  </si>
  <si>
    <t>This figure shows the number of items of Ukrainian pre-war stocks and in-kind military aid commitments to Ukraine between January 24, 2022 and May 31, 2023 (from our dataset) in comparison to pre-war Russian and Ukrainian weapon stocks (from the IISS dataset). Heavy weapons are separated in three categories: tanks, howitzers (155mm/152mm), and MLRS. Pre-war stocks of the Russian army are taken from the IISS Military Balance (2022) study. Darker shades indicate the number of delivered weapons; lighter shades indicate weapons committed but not yet delivered.</t>
  </si>
  <si>
    <t>Item</t>
  </si>
  <si>
    <t>Howitzer(155mm)</t>
  </si>
  <si>
    <t>MLRS</t>
  </si>
  <si>
    <t xml:space="preserve">Tanks </t>
  </si>
  <si>
    <t>IFVs</t>
  </si>
  <si>
    <t>Source</t>
  </si>
  <si>
    <t>Figure 15. Ukrainian weapon stocks and weapon support vs. pre-war Russian stocks</t>
  </si>
  <si>
    <t>Russian pre-war stock (2021)</t>
  </si>
  <si>
    <t>IISS Military Balance 2022</t>
  </si>
  <si>
    <t>Ukrainian pre-war stock (2021)</t>
  </si>
  <si>
    <t>Committed</t>
  </si>
  <si>
    <t>Ukraine Support Tracker</t>
  </si>
  <si>
    <t>Delivered</t>
  </si>
  <si>
    <t>To be delivered</t>
  </si>
  <si>
    <t>Type</t>
  </si>
  <si>
    <t>Ukraine Needs</t>
  </si>
  <si>
    <t>To be Delivered</t>
  </si>
  <si>
    <t>Ukrainian stock (pre-war)</t>
  </si>
  <si>
    <t xml:space="preserve">MLRS </t>
  </si>
  <si>
    <t>Ukraine (pre-war stocks 
and foreign commitments)</t>
  </si>
  <si>
    <t>Russia (pre-war stocks)</t>
  </si>
  <si>
    <t xml:space="preserve">HOWITZERS (155/152mm) </t>
  </si>
  <si>
    <t xml:space="preserve">TANKS </t>
  </si>
  <si>
    <t>Aggregate heavy weapons: NATO stocks vs. units sent to Ukraine</t>
  </si>
  <si>
    <t>This figure shows weapon stock estimates of tanks, howitzers, and MLRS compared with donations to Ukraine between January 24, 2022 and May 31, 2023. The data on stock is taken from IISS Military Balance (2022) and considers only weapons ready to use.</t>
  </si>
  <si>
    <t>Others (EU)</t>
  </si>
  <si>
    <t>Others (NATO)</t>
  </si>
  <si>
    <t>To be delivered to Ukraine</t>
  </si>
  <si>
    <t>Delivered to Ukraine</t>
  </si>
  <si>
    <t>% Committed</t>
  </si>
  <si>
    <t>Figure 16. Aggregate heavy weapons: NATO stocks vs. units sent to Ukrain</t>
  </si>
  <si>
    <t>TANKS</t>
  </si>
  <si>
    <t>NATO (excl. EU)</t>
  </si>
  <si>
    <t>To Ukraine</t>
  </si>
  <si>
    <t>HOWITZERS                   (155/152mm)</t>
  </si>
  <si>
    <t>Country Code</t>
  </si>
  <si>
    <t>GR</t>
  </si>
  <si>
    <t>PL</t>
  </si>
  <si>
    <t>DE</t>
  </si>
  <si>
    <t>RO</t>
  </si>
  <si>
    <t>IT</t>
  </si>
  <si>
    <t>OTR</t>
  </si>
  <si>
    <t>US</t>
  </si>
  <si>
    <t>TUR</t>
  </si>
  <si>
    <t>UK</t>
  </si>
  <si>
    <t>NW</t>
  </si>
  <si>
    <t xml:space="preserve">Country ranking on heavy weapons - share of own stocks committed to Ukraine </t>
  </si>
  <si>
    <t>This figure shows the average share of heavy weapon stocks committed to Ukraine between January 24, 2022 and May 31, 2023, as percent of country stocks. The average is computed across three main categories of heavy weapons, meaning the average commitment to stock shares of (i) tanks, (ii) howitzers (155, 152 mm), and (iii) multiple rocket launchers (MRLS). Data on stocks is taken from IISS Military Balance (2022) estimates. Only weapons that are ready to be used are considered. There is no differentiation between weapon age, quality, or cost.</t>
  </si>
  <si>
    <t>Average total with Armored Vehicles</t>
  </si>
  <si>
    <t>Average total with IFW</t>
  </si>
  <si>
    <t>Average total (delivered)</t>
  </si>
  <si>
    <t>Average total (to be delivered)</t>
  </si>
  <si>
    <t>Average total (committed)</t>
  </si>
  <si>
    <t>Tanks</t>
  </si>
  <si>
    <t>155mm/152mm howitzers</t>
  </si>
  <si>
    <t>MRLS</t>
  </si>
  <si>
    <t>Anti-aircraft surface-to-air missile (SAM) System (long-range)</t>
  </si>
  <si>
    <t>Anti-aircraft surface-to-air missile (SAM) System (medium-range)</t>
  </si>
  <si>
    <t>Anti-aircraft surface-to-air missile (SAM) system (short-range)</t>
  </si>
  <si>
    <t>Anti-aircraft surface-to-air missile (SAM) System (point-defense)</t>
  </si>
  <si>
    <t xml:space="preserve">Figure 17. Country ranking on heavy weapons - share of own stocks committed to Ukraine </t>
  </si>
  <si>
    <t>Average EU</t>
  </si>
  <si>
    <t>Average non-EU-NATO</t>
  </si>
  <si>
    <t>Weapon support in major conflicts: WW2, Spanish Civil War and Ukraine 2022/23</t>
  </si>
  <si>
    <t>This figure compares the number of weapons sent by foreign powers during WW2 and during the Spanish Civil War (green bars) to the number of weapons committed to Ukraine thus far (blue bars). Historical data on weapon support for the US Lend-Lease program of WW2 comes from the US Department of State (1945) and US Department of War (1946). For the Spanish Civil War we use data from Alpert (2013) and Rybalkin (2000). Weapon support to Ukraine is from our database.</t>
  </si>
  <si>
    <t>Military conflict</t>
  </si>
  <si>
    <t>Weapon type</t>
  </si>
  <si>
    <t>Figure 18. Weapon support in major conflicts: WW2, Spanish Civil War and Ukraine</t>
  </si>
  <si>
    <t>WW2 lend-lease US total donations</t>
  </si>
  <si>
    <t>Combat Aircraft</t>
  </si>
  <si>
    <t>Mortars</t>
  </si>
  <si>
    <t>Artillery</t>
  </si>
  <si>
    <t>US to Great Britain
(1941-45)</t>
  </si>
  <si>
    <t>US to USSR
 (1941-45)</t>
  </si>
  <si>
    <t>Spain (1936-39) Nationalists</t>
  </si>
  <si>
    <t>Spain (1936-39) Republicans</t>
  </si>
  <si>
    <t>Total supply to Ukraine</t>
  </si>
  <si>
    <t>Armored vehicles</t>
  </si>
  <si>
    <t>Foreign support during WW2 vs. aid to Ukraine</t>
  </si>
  <si>
    <t>This figure compares the scale of foreign military support by the US and the UK during the Second World War (green bars, Lend-Lease program) to their military support to Ukraine between Feburary 24, 2022 and May 31, 2023 (blue bars). We report total aid divided by the number of years during which aid was provided (WW2: 1941 to 1945). The sources on Lend-Lease support and GDP are reported in the corresponding Working Paper. US and UK military aid to Ukraine is from our database.</t>
  </si>
  <si>
    <t>Military support</t>
  </si>
  <si>
    <t>Military aid (% of donor GDP)</t>
  </si>
  <si>
    <t>Military aid (billion Euros)</t>
  </si>
  <si>
    <t>US support to UK (1941-45)</t>
  </si>
  <si>
    <t>Lend-Lease to U.K. (1941-45), total</t>
  </si>
  <si>
    <t>US support to USSR (1941-45)</t>
  </si>
  <si>
    <t>Lend-Lease to USSR (1941-45), total</t>
  </si>
  <si>
    <t>US military aid to Ukraine</t>
  </si>
  <si>
    <t>US to Ukraine (military aid)</t>
  </si>
  <si>
    <t>British support to USSR (1941-45)</t>
  </si>
  <si>
    <t>British Lend-Lease to USSR (1941-45)</t>
  </si>
  <si>
    <t>US support to France (1941-45)</t>
  </si>
  <si>
    <t>Lend-Lease to France (1944-45), total</t>
  </si>
  <si>
    <t>British military aid to Ukraine</t>
  </si>
  <si>
    <t>UK to Ukraine (military aid)</t>
  </si>
  <si>
    <t>Figure 19. Foreign support during WW2 vs. aid to Ukraine</t>
  </si>
  <si>
    <t>Appendix III. Annual US and UK military aid during Second World War vs. Ukraine aid (billion Euros)</t>
  </si>
  <si>
    <t>US military expenditures in major wars vs. aid to Ukraine</t>
  </si>
  <si>
    <t>This figure compares average annual US military expenditures in US wars to total US military aid to Ukraine between February 24, 2022 and May 31, 2023 (both computed in % of US GDP at the time). Estimates on US military spending are from the US Congressional Research Service (Daggett 2010). US GDP Data is from the U.S. Bureau of Economic Analysis (2017) and IMF-WEO (2017). US military aid to Ukraine is from our database.</t>
  </si>
  <si>
    <t>US in Korea (average mil. exp. 1950-53)</t>
  </si>
  <si>
    <t>US in Korean War  (mil. exp. 1950-53)</t>
  </si>
  <si>
    <t>US in Vietnam (average mil. exp. 1965-75)</t>
  </si>
  <si>
    <t>US in Vietnam (mil. exp. 1965-75)</t>
  </si>
  <si>
    <t>US in Iraq (average mil. exp. 2003-2010)</t>
  </si>
  <si>
    <t>US in Iraq War (mil. exp. 2003-2010)</t>
  </si>
  <si>
    <t>US in Afghanistan (average mil. exp. 2001-10)</t>
  </si>
  <si>
    <t>US in Afghanistan (mil. exp. 2001-10)</t>
  </si>
  <si>
    <t>US to Ukraine (total military aid)</t>
  </si>
  <si>
    <t>Figure 20. US military expenditures in major wars vs. aid to Ukraine</t>
  </si>
  <si>
    <t>Appendix III. Annual US military expenditures in major wars vs. aid to Ukraine (billion Euros)</t>
  </si>
  <si>
    <t>Gulf War 1990/91 vs. aid to Ukraine, expenditures in percent of donor GDP</t>
  </si>
  <si>
    <t>This figure compares the military expenditure of the US, Japan, Germany and South Korea in the Persian Gulf War with bilateral aid to Ukraine. Panel A provides information on the total amounts in billion Euros, adjusted for inflation. Panel B displays the costs and commitments in percent of GDP. See the corresponding Working Paper for details and sources.</t>
  </si>
  <si>
    <t>Gulf War (1990/91)</t>
  </si>
  <si>
    <t>Aid to Ukraine (% of donor GDP)</t>
  </si>
  <si>
    <t>Aid to Ukraine (billion Euros)</t>
  </si>
  <si>
    <t>Figure 21. Gulf War 1990/91 vs. aid to Ukraine, expenditures in percent of donor GDP</t>
  </si>
  <si>
    <t>Appendix III. Gulf War 1990/91 vs. aid to Ukraine, expenditures in billion Euros</t>
  </si>
  <si>
    <t>Europe’s response to major crises – commitments in billion Euros</t>
  </si>
  <si>
    <t>This figure compares the EU country’s total commitments to for Ukraine between January 24, 2022 and May 31, 2023 to the commitments announced during the Eurozone crisis (bailout funds for Greece, Ireland, Portugal and Spain 2020-12) as well as to the EU Commission’s NGEU pandemic recovery fund announced in July 2020. See the corresponding Working Paper for details and sources.</t>
  </si>
  <si>
    <t>Commitments</t>
  </si>
  <si>
    <t>Total support (€ billion)</t>
  </si>
  <si>
    <t>Figure 22. Europe’s response to major crises – commitments in billion Euros</t>
  </si>
  <si>
    <t>EU pandemic recover fund
 (Next Generation EU)</t>
  </si>
  <si>
    <t>Eurozone bailouts (2010-2012)</t>
  </si>
  <si>
    <t>EU support to Ukraine</t>
  </si>
  <si>
    <t>Total without bilateral aid</t>
  </si>
  <si>
    <t>Fiscal commitments for energy subsidies vs. aid commitments for Ukraine</t>
  </si>
  <si>
    <t>This figure compares the amount of aid to Ukraine to the size of domestic spending programs of Germany, the UK, Italy, France, Netherlands, Spain, and an average across all EU member countries. The data on energy subsidy program commitments is taken from Bruegel (2022). Commitments to Ukraine cover January 24, 2022 and May 31, 2023 and include the shares of a country’s commitments through the EU. GDP data for 2021 is taken form the World Bank. Note that we sum up all commitments, including for payments that may lie several years in the future.</t>
  </si>
  <si>
    <t>Fiscal commitments for energy subsidies</t>
  </si>
  <si>
    <t>Aid for Ukraine (incl. EU share)</t>
  </si>
  <si>
    <t>Aid for Ukraine (incl. EU shares)</t>
  </si>
  <si>
    <t>EU average</t>
  </si>
  <si>
    <t>Figure 23 Panel A. Fiscal commitments for energy subsidies vs. aid for Ukraine (billion Euros)</t>
  </si>
  <si>
    <t>Figure 23 Panel B. Fiscal commitments for energy subsidies vs. aid for Ukraine (percent of GDP)</t>
  </si>
  <si>
    <t>Germany’s domestic spending promises in 2022 vs promises to Ukraine (billion Euros, commitments, no disbursements)</t>
  </si>
  <si>
    <t>This figure compares the commitments to domestic spending packages announced since the start of the Russia-Ukraine war (February 2022) with Germany’s total support for Ukraine, both in billion Euros (light blue bars represent EU shares). See the corresponding Working Paper for data sources.</t>
  </si>
  <si>
    <t>Total bilateral aid</t>
  </si>
  <si>
    <t>EU aid shares</t>
  </si>
  <si>
    <t>Cost</t>
  </si>
  <si>
    <t>Energy subsidies for
households and firms ("Doppelwumms")</t>
  </si>
  <si>
    <t xml:space="preserve">Special military fund
 ("Sondervermögen Bundeswehr") </t>
  </si>
  <si>
    <t>Rescue of Uniper 
(incl. EU shares)</t>
  </si>
  <si>
    <t xml:space="preserve">German aid to Ukraine </t>
  </si>
  <si>
    <t>Transport Subsidies
 ("Tankrabatt" &amp; "9€ Ticket")</t>
  </si>
  <si>
    <t>Composition of the transparency index of Ukraine support</t>
  </si>
  <si>
    <r>
      <rPr>
        <sz val="11"/>
        <color rgb="FF000000"/>
        <rFont val="Times New Roman"/>
      </rPr>
      <t xml:space="preserve">The total index score is calculated as the sum of five subcomponents:
</t>
    </r>
    <r>
      <rPr>
        <b/>
        <sz val="11"/>
        <color rgb="FF000000"/>
        <rFont val="Times New Roman"/>
      </rPr>
      <t>1. Designated website (1 = Yes)</t>
    </r>
    <r>
      <rPr>
        <sz val="11"/>
        <color rgb="FF000000"/>
        <rFont val="Times New Roman"/>
      </rPr>
      <t xml:space="preserve">. Is there a comprehensive official website on government aid to Ukraine? (1 = Yes, 0 = No)
</t>
    </r>
    <r>
      <rPr>
        <b/>
        <sz val="11"/>
        <color rgb="FF000000"/>
        <rFont val="Times New Roman"/>
      </rPr>
      <t xml:space="preserve">2. Total value of commitments given (1 = Yes). </t>
    </r>
    <r>
      <rPr>
        <sz val="11"/>
        <color rgb="FF000000"/>
        <rFont val="Times New Roman"/>
      </rPr>
      <t xml:space="preserve">Is the total sum of Ukraine support provided by the government (1 = Yes, with regular updates 0 = No, or only very irregularly)
</t>
    </r>
    <r>
      <rPr>
        <b/>
        <sz val="11"/>
        <color rgb="FF000000"/>
        <rFont val="Times New Roman"/>
      </rPr>
      <t>3. Monetary value of individual items given by source (share).</t>
    </r>
    <r>
      <rPr>
        <sz val="11"/>
        <color rgb="FF000000"/>
        <rFont val="Times New Roman"/>
      </rPr>
      <t xml:space="preserve"> Share of committed individual items in our database for which we have a monetary value provided by a source. (Shares computed for each country)
</t>
    </r>
    <r>
      <rPr>
        <b/>
        <sz val="11"/>
        <color rgb="FF000000"/>
        <rFont val="Times New Roman"/>
      </rPr>
      <t>4. Government information on individual items (share).</t>
    </r>
    <r>
      <rPr>
        <sz val="11"/>
        <color rgb="FF000000"/>
        <rFont val="Times New Roman"/>
      </rPr>
      <t xml:space="preserve"> Share of committed individual items in our database for which we have an official source. (Shares computed for each country)
</t>
    </r>
    <r>
      <rPr>
        <b/>
        <sz val="11"/>
        <color rgb="FF000000"/>
        <rFont val="Times New Roman"/>
      </rPr>
      <t>5. Number of military items known (share).</t>
    </r>
    <r>
      <rPr>
        <sz val="11"/>
        <color rgb="FF000000"/>
        <rFont val="Times New Roman"/>
      </rPr>
      <t xml:space="preserve"> Share of committed and disclosed in-kind military items for which we have the exact number of units or weapons committed. (Shares computed for each country). For countries with no military in-kind commitment we set the value of "Subindex 5: Number of military items known" to 1. </t>
    </r>
  </si>
  <si>
    <t>Subindex 1</t>
  </si>
  <si>
    <t>Subindex 2</t>
  </si>
  <si>
    <t>Subindex 3</t>
  </si>
  <si>
    <t>Subindex 4</t>
  </si>
  <si>
    <t>Subindex 5</t>
  </si>
  <si>
    <t>Figure A1. Composition of the transparency index of Ukraine support</t>
  </si>
  <si>
    <t>Designated website (1=Yes)</t>
  </si>
  <si>
    <t>Total value of commitments given (1=Yes)</t>
  </si>
  <si>
    <t>Monetary value of individual items given by source (share)</t>
  </si>
  <si>
    <t>Government information on individual items (share)</t>
  </si>
  <si>
    <t>Numbers of military items known (share)</t>
  </si>
  <si>
    <t>How many countries fulfill the measure?</t>
  </si>
  <si>
    <t>As share (41 total donors)</t>
  </si>
  <si>
    <t>Reassigning EU-level aid to individual EU countries (percent of GDP)</t>
  </si>
  <si>
    <t xml:space="preserve">This figure shows total bilateral aid commitments to Ukraine including EU aid shares across donors as percentage of GDP between January 24, 2022 and May 31, 2023. </t>
  </si>
  <si>
    <t>Share of EU commitments (includes Commission and Council, EPF and EIB)</t>
  </si>
  <si>
    <t>Total (bilateral and EU) assistance</t>
  </si>
  <si>
    <t>Figure A2. Reassigning EU-level aid to individual EU countries (percent of GDP)</t>
  </si>
  <si>
    <t>Total military in-kind assistance, February 2022 - May 2023 (billion Euros)</t>
  </si>
  <si>
    <t xml:space="preserve">This figure shows the total value of in-kind aid commitments to Ukraine in billion Euros with traceable commitment months over time between February 1, 2022 and May 31, 2023. </t>
  </si>
  <si>
    <t>Total commitments</t>
  </si>
  <si>
    <t>Commitments by non-EU NATO countries</t>
  </si>
  <si>
    <t>Commitments by EU countries</t>
  </si>
  <si>
    <t>Commitments by other countries</t>
  </si>
  <si>
    <t>Commitments by the US</t>
  </si>
  <si>
    <t>Commitments by other non-EU NATO countries</t>
  </si>
  <si>
    <t>Figure A3. Total military in-kind assistance, February 2022 - May 2023 (billion Euros)</t>
  </si>
  <si>
    <t>Heavy weapons in-kind committed assistance (number of items)</t>
  </si>
  <si>
    <t>This figure shows the total number of heavy weapon commitments to Ukraine with traceable commitment months over time between February 1, 2022 and May 31, 2023.</t>
  </si>
  <si>
    <t>Figure A4. Heavy weapons in-kind committed assistance (number of items)</t>
  </si>
  <si>
    <t>Howitzers</t>
  </si>
  <si>
    <t>January</t>
  </si>
  <si>
    <t>Figure A5. Military commitments and deliveries - by weapon category (number of items)</t>
  </si>
  <si>
    <t>This figure shows total items of in-kind military aid committed and delivered to Ukraine between January 24, 2022 and May 31, 2023 in four categories: MLRS, howitzers (155mm/152mm), tanks, and armored vehicles.</t>
  </si>
  <si>
    <t>Weapon category</t>
  </si>
  <si>
    <t>Comitted unites</t>
  </si>
  <si>
    <t>Delivered units</t>
  </si>
  <si>
    <t>Howitzers (155mm)</t>
  </si>
  <si>
    <t>Commitments of Main Battle Tanks in 2022 and 2023</t>
  </si>
  <si>
    <t>This figure shows total items of main battle tanks committed to Ukraine in 2022 and 2023.</t>
  </si>
  <si>
    <t>Figure A6. Commitments of Main Battle Tanks in 2022 and 2023</t>
  </si>
  <si>
    <t>Tank commitments in 2022</t>
  </si>
  <si>
    <t>Tank commitments in 2023</t>
  </si>
  <si>
    <t>Total tank commitments</t>
  </si>
  <si>
    <t>Increasing Trend towards military aid: Relative share of commitments by month, quarterly data from January 2022 - May 2023 (in percent)</t>
  </si>
  <si>
    <t>This figure shows the relative aid composition of new financial and military bilateral aid commitments to Ukraine and the respective shift towards military aid as quarterly shares. The figure only takes financial and military aid into account. Adding the share of humanitarian bilateral aid adds to a total of 100% bilateral aid share displayed in the figure.</t>
  </si>
  <si>
    <t>Military aid (share)</t>
  </si>
  <si>
    <t>Financial aid (share)</t>
  </si>
  <si>
    <t>Humanitarian aid (share)</t>
  </si>
  <si>
    <t>Total aid (share)</t>
  </si>
  <si>
    <t>Figure A7. Increasing trends towards military aid, quarterly data, January 2022 - May 2023, in percent</t>
  </si>
  <si>
    <t>January - March</t>
  </si>
  <si>
    <t>April - June</t>
  </si>
  <si>
    <t>July - September</t>
  </si>
  <si>
    <t>October - December</t>
  </si>
  <si>
    <t>January - March (2023)</t>
  </si>
  <si>
    <t>April - May (2023)</t>
  </si>
  <si>
    <t>Heavy Weapon Delivery Ranking, Commitments and Deliveries, 5 different Weapon Types (scroll to right)</t>
  </si>
  <si>
    <t>This figure panel shows a ranking of heavy weapon commitments and deliveries across donors in number of units, as well as their delivery rate in percent. Heavy weapons include tanks, howitzers (155mm/152mm), MLRS, anti-aircraft surface-to-air missile system, and infantry fighting vehicles. The tables below the respective figures show the underlying data, and includes a comparison between Eastern and Western countries.</t>
  </si>
  <si>
    <t>Figure A8a. Howitzer (152/ 155mm) commitments and deliveries, January 2022 - May 2023, number of units</t>
  </si>
  <si>
    <t>Figure A8a. MLRS commitments and deliveries, January 2022 - May 2023, number of units</t>
  </si>
  <si>
    <t>Figure A8a. Tank commitments and deliveries, January 2022 - May 2023, number of units</t>
  </si>
  <si>
    <t>Figure A8a. Anti-air missile systems commitments and deliveries, January 2022 - May 2023, number of units</t>
  </si>
  <si>
    <t>Figure A8a. Infantry fighting vehicles commitments and deliveries, January 2022 - May 2023, number of units</t>
  </si>
  <si>
    <t>Howitzer (155/ 152mm)</t>
  </si>
  <si>
    <t>Anti-aircraft surface-to-air missile system</t>
  </si>
  <si>
    <t>Infantry fighting vehicle (IFV)</t>
  </si>
  <si>
    <t>Delivery rate</t>
  </si>
  <si>
    <t>Western countries</t>
  </si>
  <si>
    <t>Eastern countries</t>
  </si>
  <si>
    <t>Western country</t>
  </si>
  <si>
    <t>Western Country</t>
  </si>
  <si>
    <t>Committed howitzers (155/ 152mm)</t>
  </si>
  <si>
    <t>Delivered howitzers (155/ 152mm)</t>
  </si>
  <si>
    <t>Committed MLRS</t>
  </si>
  <si>
    <t>Delivered MLRS</t>
  </si>
  <si>
    <t>Committed tanks</t>
  </si>
  <si>
    <t>Delivered tanks</t>
  </si>
  <si>
    <t>Committed Anti-aircraft missile systems</t>
  </si>
  <si>
    <t>Delivered Anti-aircraft missile systems</t>
  </si>
  <si>
    <t>Committed IFVs</t>
  </si>
  <si>
    <t>Delivered IFVs</t>
  </si>
  <si>
    <t>Albania</t>
  </si>
  <si>
    <t>Macedonia, North (not included)</t>
  </si>
  <si>
    <t>Bosnia-Herzegovina</t>
  </si>
  <si>
    <t>Transparency Index of Ukraine Support</t>
  </si>
  <si>
    <r>
      <rPr>
        <sz val="11.2"/>
        <color rgb="FF000000"/>
        <rFont val="Times New Roman"/>
      </rPr>
      <t xml:space="preserve">The total index score is calculated as the sum of five subcomponents:
</t>
    </r>
    <r>
      <rPr>
        <b/>
        <sz val="11.2"/>
        <color rgb="FF000000"/>
        <rFont val="Times New Roman"/>
      </rPr>
      <t>1. Designated website (1 = Yes)</t>
    </r>
    <r>
      <rPr>
        <sz val="11.2"/>
        <color rgb="FF000000"/>
        <rFont val="Times New Roman"/>
      </rPr>
      <t xml:space="preserve">. Is there a comprehensive official website on government aid to Ukraine? (1 = Yes, 0 = No)
</t>
    </r>
    <r>
      <rPr>
        <b/>
        <sz val="11.2"/>
        <color rgb="FF000000"/>
        <rFont val="Times New Roman"/>
      </rPr>
      <t>2. Total value of commitments given (1 = Yes).</t>
    </r>
    <r>
      <rPr>
        <sz val="11.2"/>
        <color rgb="FF000000"/>
        <rFont val="Times New Roman"/>
      </rPr>
      <t xml:space="preserve"> Is the total sum of Ukraine support provided by the government (1 = Yes, with regular updates 0 = No, or only very irregularly)
</t>
    </r>
    <r>
      <rPr>
        <b/>
        <sz val="11.2"/>
        <color rgb="FF000000"/>
        <rFont val="Times New Roman"/>
      </rPr>
      <t>3. Monetary value of individual items given by source (share).</t>
    </r>
    <r>
      <rPr>
        <sz val="11.2"/>
        <color rgb="FF000000"/>
        <rFont val="Times New Roman"/>
      </rPr>
      <t xml:space="preserve"> Share of committed individual items in our database for which we have a monetary value provided by a source. (Shares computed for each country)
</t>
    </r>
    <r>
      <rPr>
        <b/>
        <sz val="11.2"/>
        <color rgb="FF000000"/>
        <rFont val="Times New Roman"/>
      </rPr>
      <t>4. Government information on individual items (share).</t>
    </r>
    <r>
      <rPr>
        <sz val="11.2"/>
        <color rgb="FF000000"/>
        <rFont val="Times New Roman"/>
      </rPr>
      <t xml:space="preserve"> Share of committed individual items in our database for which we have an official source. (Shares computed for each country)
</t>
    </r>
    <r>
      <rPr>
        <b/>
        <sz val="11.2"/>
        <color rgb="FF000000"/>
        <rFont val="Times New Roman"/>
      </rPr>
      <t>5. Number of military items known (share).</t>
    </r>
    <r>
      <rPr>
        <sz val="11.2"/>
        <color rgb="FF000000"/>
        <rFont val="Times New Roman"/>
      </rPr>
      <t xml:space="preserve"> Share of committed and disclosed in-kind military items for which we have the exact number of units or weapons committed. (Shares computed for each country). For countries with no military in-kind commitment we set the value of "Subindex 5: Number of military items known" to 1. </t>
    </r>
  </si>
  <si>
    <t>Designated Website (1=Yes)</t>
  </si>
  <si>
    <t>Is there a comprehensive official website on government aid to Ukraine? (1 = Yes, 0 = No)</t>
  </si>
  <si>
    <t>Is the total sum of Ukraine support provided by the government (1 = Yes, with regular updates 0 = No, or only very irregularly)</t>
  </si>
  <si>
    <r>
      <t>Share of committed individual items in our database for which we have a monetary value provided by a</t>
    </r>
    <r>
      <rPr>
        <i/>
        <sz val="12"/>
        <color rgb="FF000000"/>
        <rFont val="Times New Roman"/>
        <family val="1"/>
      </rPr>
      <t xml:space="preserve"> </t>
    </r>
    <r>
      <rPr>
        <sz val="12"/>
        <color rgb="FF000000"/>
        <rFont val="Times New Roman"/>
        <family val="1"/>
      </rPr>
      <t>source (shares computed by country)</t>
    </r>
  </si>
  <si>
    <r>
      <t xml:space="preserve">Share of committed individual items in our database for which we have an </t>
    </r>
    <r>
      <rPr>
        <i/>
        <sz val="12"/>
        <color rgb="FF000000"/>
        <rFont val="Times New Roman"/>
        <family val="1"/>
      </rPr>
      <t>official</t>
    </r>
    <r>
      <rPr>
        <sz val="12"/>
        <color rgb="FF000000"/>
        <rFont val="Times New Roman"/>
        <family val="1"/>
      </rPr>
      <t xml:space="preserve"> source (shares computed by country)</t>
    </r>
  </si>
  <si>
    <t xml:space="preserve">Share of committed and disclosed in-kind military items for which we have the exact number of units or weapons committed (shares computed by country) </t>
  </si>
  <si>
    <t>5 = best, 0 = worst</t>
  </si>
  <si>
    <t>Supplementary information for Transparency Index of Ukraine Support, Subindex 1 and 2</t>
  </si>
  <si>
    <t>This sheet gives detailed information on subindex 1 and 2 of the Ukraine Support Transparency index. For Subindex 1 ("Is there a comprehensive official website on government aid to Ukraine? (1 = Yes, 0 = No)") we include links to the pages and the points each country achieves in the measure. For subindex 2 ("Is the total sum of Ukraine support provided by the government (1 = Yes, with regular updates 0 = No, or only very irregularly)") we include additional links to the total values.</t>
  </si>
  <si>
    <t>Points in Transparency Index, Subindex 1</t>
  </si>
  <si>
    <t>Links to centralized Website</t>
  </si>
  <si>
    <t>Points in Transparency Index, Subindex 2</t>
  </si>
  <si>
    <t>All information</t>
  </si>
  <si>
    <t>Military aid Information</t>
  </si>
  <si>
    <t>Humanitarian aid information</t>
  </si>
  <si>
    <t>Financial aid information</t>
  </si>
  <si>
    <t>Total sum given (1=yes, 0=no)</t>
  </si>
  <si>
    <t>Links</t>
  </si>
  <si>
    <t>Swiss page</t>
  </si>
  <si>
    <t>Swiss total value page</t>
  </si>
  <si>
    <t>Austrian humanitarian page</t>
  </si>
  <si>
    <t>Belgian total value page</t>
  </si>
  <si>
    <t>Canadian military page</t>
  </si>
  <si>
    <t>Danish page</t>
  </si>
  <si>
    <t>Danish total value page</t>
  </si>
  <si>
    <t>Estonian page</t>
  </si>
  <si>
    <t>Estonian total value page</t>
  </si>
  <si>
    <t>EU page</t>
  </si>
  <si>
    <t>EU total value page</t>
  </si>
  <si>
    <t>Finnish military page</t>
  </si>
  <si>
    <t>Finnish humanitarian page</t>
  </si>
  <si>
    <t>Finnish total value page</t>
  </si>
  <si>
    <t>French page</t>
  </si>
  <si>
    <t>German page</t>
  </si>
  <si>
    <t>German total value page (PDF containing sum)</t>
  </si>
  <si>
    <t>Icelandic page</t>
  </si>
  <si>
    <t>Icelandic total value page</t>
  </si>
  <si>
    <t>Italian humanitarian page</t>
  </si>
  <si>
    <t>Italian financial page</t>
  </si>
  <si>
    <t>Japanese page</t>
  </si>
  <si>
    <t>Latvian page</t>
  </si>
  <si>
    <t>Luxembourgian total value page</t>
  </si>
  <si>
    <t>Dutch page</t>
  </si>
  <si>
    <t>Dutch total value page</t>
  </si>
  <si>
    <t>NZ page</t>
  </si>
  <si>
    <t>NZ total value page</t>
  </si>
  <si>
    <t>Norwegian page</t>
  </si>
  <si>
    <t>Norwegian total value page</t>
  </si>
  <si>
    <t>Portuguese military page</t>
  </si>
  <si>
    <t>Slovak humanitarian page (PDF)</t>
  </si>
  <si>
    <t>Slovak total value page (PDF)</t>
  </si>
  <si>
    <t>Swedish page</t>
  </si>
  <si>
    <t>Swedish total value page</t>
  </si>
  <si>
    <t>UK military page</t>
  </si>
  <si>
    <t>UK humanitarian page</t>
  </si>
  <si>
    <t>US military page</t>
  </si>
  <si>
    <t>EU Budget Contributions by Member Country in 2020</t>
  </si>
  <si>
    <t>This worksheet shows the EU aid shares calculation used to attribute EU member countries their share of EU Commission and Council aid. Shares are based on official EU financing statutes.</t>
  </si>
  <si>
    <t xml:space="preserve">Source: </t>
  </si>
  <si>
    <t xml:space="preserve">https://ec.europa.eu/info/sites/default/files/about_the_european_commission/eu_budget/2021-06-09_spending_and_revenue.xlsx </t>
  </si>
  <si>
    <t>Contribution to EU budget (€ million)</t>
  </si>
  <si>
    <t>Country Share on total EU budget</t>
  </si>
  <si>
    <t>Share of EU aid (€ billion)</t>
  </si>
  <si>
    <t>27 Countries Total</t>
  </si>
  <si>
    <t>Breakdown of the EIB's Capital as of 1 March 2020</t>
  </si>
  <si>
    <t xml:space="preserve">This worksheet shows the EU aid shares calculation used to attribute EU member countries their share of European Investment Bank (EIB) aid. Shares are based on official EIB financing statutes, which are based on capital subscription. </t>
  </si>
  <si>
    <t>Source:</t>
  </si>
  <si>
    <t>https://www.eib.org/en/about/governance-and-structure/shareholders/index.htm</t>
  </si>
  <si>
    <t>Subscribed capital (€)</t>
  </si>
  <si>
    <t>Country capital share</t>
  </si>
  <si>
    <t>Share of EIB aid (€ billion)</t>
  </si>
  <si>
    <t>27 Countries total</t>
  </si>
  <si>
    <t>Breakdown of the EPF Contributions</t>
  </si>
  <si>
    <t xml:space="preserve">This worksheet shows the EU aid shares calculation used to attribute EU member countries their share of European Peace Facility (EPF) aid. Shares are based on official EPF financing statutes, which are based on GNI. GNI data is taken from the World Bank.  </t>
  </si>
  <si>
    <t>https://eur-lex.europa.eu/legal-content/EN/TXT/HTML/?uri=CELEX:32021D0509&amp;from=EN#d1e1170-14-1  (Preamble, (19))</t>
  </si>
  <si>
    <t>GNI in current USD</t>
  </si>
  <si>
    <t>GNI in current EUR</t>
  </si>
  <si>
    <t>GNI (€ billion)</t>
  </si>
  <si>
    <t>Share of GNI</t>
  </si>
  <si>
    <t>Share of EPF Aid (€ billion)</t>
  </si>
  <si>
    <t>Donor</t>
  </si>
  <si>
    <t>Contributing Country</t>
  </si>
  <si>
    <t>Country contribution</t>
  </si>
  <si>
    <t>Currency of Country Contribution</t>
  </si>
  <si>
    <t>Items (in kind aid)</t>
  </si>
  <si>
    <t>Source of Unit Price</t>
  </si>
  <si>
    <t>Notes on Unit Price</t>
  </si>
  <si>
    <t>Value (own estimate)</t>
  </si>
  <si>
    <t>EBF1</t>
  </si>
  <si>
    <t>Funding to support the continuation of key government services.</t>
  </si>
  <si>
    <t>The aid consists of 2 billion EUR to support resilience and livelihoods in Ukraine and affected countries. Since we could not disentagle the aid directed to Ukraine from the aid directed to neighboring countries, we assumed upper bounds and included the package in its entirety. "Source of Aid 3" speaks of 1 billion EUR support intented to Ukraine this year, announced on April 27, 2022. This, however, is part of the initial 2 billion EUR package reported here.</t>
  </si>
  <si>
    <t>https://www.ebrd.com/news/2022/ebrd-unveils-2-billion-resilience-package-in-response-to-the-war-on-ukraine-.html</t>
  </si>
  <si>
    <t>https://www.worldbank.org/en/news/statement/2022/03/17/joint-statement-of-heads-of-international-financial-institutions-with-programs-in-ukraine-and-neighboring-countries</t>
  </si>
  <si>
    <t>https://www.ebrd.com/news/2022/ebrd-enhances-trade-finance-for-ukraine-.html</t>
  </si>
  <si>
    <t>EBF2</t>
  </si>
  <si>
    <t>Source of Aid 1 states that the European Bank for Reconstruction and Development will commit up to €3 billion over 2022-2023 to help Ukraine’s businesses and economy keep functioning. Since this includes the 2 billion EUR announced in March, we report the missing part of 1 billion EUR in this entry.</t>
  </si>
  <si>
    <t>https://www.ebrd.com/news/2022/ebrd-commits-up-to-3-billion-to-ukraine.html#:~:text=The%20European%20Bank%20for%20Reconstruction,businesses%20and%20economy%20keep%20functioning.</t>
  </si>
  <si>
    <t>IMF1</t>
  </si>
  <si>
    <t>Emergency assistance disbursed under the Rapid Financing Instrument (RFI) to help meet urgent financing needs including to mitigate the economic impact of the war.</t>
  </si>
  <si>
    <t>https://www.imf.org/en/News/Articles/2022/03/17/pr2280-joint-statement-heads-ifis-programs-ukraine-neighboring-countries</t>
  </si>
  <si>
    <t>https://www.imf.org/en/About/FAQ/russia-ukraine#Q1%20What%20resources%20is%20the%20IMF%20making%20available%20to%20help%20Ukraine?</t>
  </si>
  <si>
    <t>IMF2</t>
  </si>
  <si>
    <t>Multi-donor administered account for direct financial. assistance</t>
  </si>
  <si>
    <t>The IMF set up a multi-donor administered account that allows to donate money into, which then will be transferred to Ukraine as direct financial assistance. The account is not restricted to countries and also allows international organisations or NGOs to donate into it to ensure that the money gets transferred to Ukraine safe. On April 8, 2022, Canada has proposed 1 billion CAD in their annual government budget to be donated to this vehicle.</t>
  </si>
  <si>
    <t>https://www.imf.org/en/News/Articles/2022/04/08/pr22111-imf-executive-board-approves-establishment-of-a-multi-donor-administered-account-for-ukraine</t>
  </si>
  <si>
    <t>https://www.bloomberg.com/news/articles/2022-04-08/imf-creates-new-account-to-help-ukraine-as-canada-pledges-funds</t>
  </si>
  <si>
    <t>https://english.nv.ua/nation/canada-to-send-1-billion-canadian-dollars-to-ukraine-50232696.html</t>
  </si>
  <si>
    <t>IMF3</t>
  </si>
  <si>
    <t xml:space="preserve">IMF Executive Board Approves US$ 1.3 Billion in Emergency Financing Support to Ukraine
</t>
  </si>
  <si>
    <t>https://www.imf.org/en/News/Articles/2022/10/07/pr22343-imf-approves-emergency-financing-support-to-ukraine</t>
  </si>
  <si>
    <t>UNF1</t>
  </si>
  <si>
    <t>Fund</t>
  </si>
  <si>
    <t>The UN provides money through the Central Emergency Response Fund (CERF) for Humanitarian Assistance. "Source of Aid 1" cites the 20 million USD provided by the CERF and cited in UNF2.</t>
  </si>
  <si>
    <t>https://reliefweb.int/report/ukraine/ukraine-flash-appeal-march-may-2022-enukru</t>
  </si>
  <si>
    <t>UNF2</t>
  </si>
  <si>
    <t xml:space="preserve">The assistance consists of a grant for the Central Emergency Response Fund (CERF), additional to the 20 million EUR allocated by the CERF on February 24, 2022, and reported in UNF1. </t>
  </si>
  <si>
    <t>UNF3</t>
  </si>
  <si>
    <t>The aid is provided by the UN through the Ukraine Humanitarian Fund (UHF). "Source of Aid 1" lists also the aid provided by the CERF and reported in UNF2 and UNF3.</t>
  </si>
  <si>
    <t>https://www.unocha.org/ukraine/about-uhf</t>
  </si>
  <si>
    <t>WBF1</t>
  </si>
  <si>
    <t>Loan + Guarantees</t>
  </si>
  <si>
    <t>The budget support package for Ukraine consists of a supplemental loan of 350 million USD by the IBRD, a branch of the World Bank Group, and guarantees in the amount of 139 million USD by the Netherlands (89 million USD) and Sweden (50 million USD). Thus, we report a contribution of 489 million USD. "Source of Aid 1" reports the aid packages described in WBF1, WBF2 and WBF3, thus giving a total amount of 723 million USD. "Source of Aid 2" reports the aid packages described in WBF1, WBF2, WBF3 and WBF4, thus amouting to a total of 925 million USD.</t>
  </si>
  <si>
    <t>International Bank for Reconstruction and Development (IBRD)</t>
  </si>
  <si>
    <t>WBF2</t>
  </si>
  <si>
    <t>Grants and pledges for Multi Donor Trust Fund</t>
  </si>
  <si>
    <t>In addition to the budget support described in WBF1, the World Bank has offered a grant financing amounting to 134 million USD in a Multi Donor Trust Fund. The grant is made by different countries' pledges: UK has pledged for 100 million USD, Denmark has pledged for 20 million EUR (22 million USD, accordin to "Source of Aid 1"), Latvia, Lithuania and Iceland combined have pledged for 12 million USD. "Source of Aid 1" reports the aid packages described in WBF1, WBF2 and WBF3, thus amounting to a total of 723 million USD.</t>
  </si>
  <si>
    <t>Latvia, Lithuania, Iceland</t>
  </si>
  <si>
    <t>WBF3</t>
  </si>
  <si>
    <t>Linked Parallel Financing</t>
  </si>
  <si>
    <t>In addition to the aid included in WBF1 and WBF2, the World Bank has delivered a parallel financing of 100 million USD. The financing comes from Japan and is reported here, as well as in the bilateral country sheet, because it is part of the aid package provided by the World Bank. "Source of Aid 1" reports the aid packages reported in WBF1, WBF2 and WBF3, thus amounting to a total of 723 million USD.</t>
  </si>
  <si>
    <t>WBF4</t>
  </si>
  <si>
    <t>Financing</t>
  </si>
  <si>
    <t>The World Bank provides nearly $200 million in additional and reprogrammed financing to bolster Ukraine’s social services for vulnerable people. This comes on top of the 723 million USD reported in WBF1, WF2 and WBF3. We leave out the multi donor trust fund (MDTF) amounting to 145 million USD, as we consider only the aid delivered directly by the World Bank. The aid reported in WBF1, WBF2, WF3 and WBF4 is part of the 3 billion USD support promised to Ukraine by the World Bank.</t>
  </si>
  <si>
    <t>WBF5</t>
  </si>
  <si>
    <t>The aid package was announced by the President of the World Bank on April 12, 2022, and is intended to help support key services of the Ukrainian government, like wages for hospital workers, pensions for elderly people and social programmes for vulnerable people. The funding consists of $1 billion through the International Development Association arm of the World Bank Group and $472 million guaranteed by the International Bank for Reconstruction and Development, a division of the World Bank Group. On June 7, the package was announced to have been approved by the board of directors (Source of Aid 3).</t>
  </si>
  <si>
    <t>https://www.reuters.com/business/world-bank-says-it-is-preparing-15-billion-aid-package-ukraine-2022-04-12/</t>
  </si>
  <si>
    <t>https://www.theguardian.com/world/2022/apr/12/world-bank-approves-770m-ukraine-services-funds-russia</t>
  </si>
  <si>
    <t>https://www.worldbank.org/en/news/press-release/2022/06/07/-world-bank-announces-additional-1-49-billion-financing-support-for-ukraine</t>
  </si>
  <si>
    <t>WBF6</t>
  </si>
  <si>
    <t>On Aug 8, the World Bank Group announced USD 4.5 billion in additional financing mobilized for Ukraine under the Public Expenditures for Administrative Capacity Endurance in Ukraine (PEACE) Project, which aims to help the Government of Ukraine meet urgent needs created by the ongoing war. The financing package is comprised of a $4.5 billion grant provided by the United States.</t>
  </si>
  <si>
    <t>https://www.worldbank.org/en/news/press-release/2022/08/08/world-bank-mobilizes-4-5-billion-in-additional-financing-for-vital-support-to-ukraine</t>
  </si>
  <si>
    <t>WBF7</t>
  </si>
  <si>
    <t>The IBRD financing is supported by timely loan guarantees by the United Kingdom ($500 million) and the Kingdom of Denmark ($30 million) and was mobilized under the Public Expenditures for Administrative Capacity Endurance in Ukraine (PEACE) Project, which supports continued government capacity, including the provision of core public services such as health, education, and social protection</t>
  </si>
  <si>
    <t>No. of Units delivered (in-kind military aid)</t>
  </si>
  <si>
    <t>Value committed (own estimate, in USD)</t>
  </si>
  <si>
    <t>Value delivered (own estimate, in USD)</t>
  </si>
  <si>
    <t>CZMC1</t>
  </si>
  <si>
    <t>29/06/2022</t>
  </si>
  <si>
    <t>A Czech company will hand over 3 Bivoj drones to Ukraine. Soldiers have already been trained. Financing of the shipment is unclear.</t>
  </si>
  <si>
    <t>Bivoj drone</t>
  </si>
  <si>
    <t>https://babel.ua/en/news/80749-the-czech-company-will-hand-over-three-modern-bivoj-reconnaissance-drones-to-ukraine</t>
  </si>
  <si>
    <t>https://mil.in.ua/en/news/the-czech-company-will-hand-over-two-reconnaissance-bivoj-uavs-to-ukraine/</t>
  </si>
  <si>
    <t>DEMC1</t>
  </si>
  <si>
    <t>Germany agreed on the sale of 100 Panzerhaubitze 2000, that will be produced by the company "Krauss- Maffei Wegmann" for Ukraine.</t>
  </si>
  <si>
    <t>https://mil.in.ua/en/news/germany-agreed-to-sell-100-panzerhaubitze-2000-to-ukraine/</t>
  </si>
  <si>
    <t>PLMC1</t>
  </si>
  <si>
    <t xml:space="preserve">Commercial contract amounting to 700 million USD, for the purchase of 60 howitzers. </t>
  </si>
  <si>
    <t>https://www.defensenews.com/global/europe/2022/06/08/ukraine-to-buy-polish-howitzers-as-long-war-looms-with-russia/</t>
  </si>
  <si>
    <t>SKMC1</t>
  </si>
  <si>
    <t>Purchase of eight Zusana-2 howitzers under commercial contract</t>
  </si>
  <si>
    <t>not given</t>
  </si>
  <si>
    <t>https://english.nv.ua/nation/slovakia-to-send-8-howitzers-to-ukraine-military-news-50247162.html#:~:text=Ukraine%20and%20the%20Slovak%20Republic,on%20Twitter%20on%20June%202.</t>
  </si>
  <si>
    <t>TRMC1</t>
  </si>
  <si>
    <t xml:space="preserve">The company Baykar Defense has donated three Bayraktar TB2 to Ukraine. </t>
  </si>
  <si>
    <t>Bayraktar TB2 Drone</t>
  </si>
  <si>
    <t>https://www.reuters.com/world/turkeys-baykar-donate-three-uavs-ukraine-after-crowdfunding-campaign-2022-06-27/</t>
  </si>
  <si>
    <t>https://asia.nikkei.com/Politics/Ukraine-war/With-drone-gift-to-Ukraine-Turkey-s-Baykar-wins-fans-and-clients</t>
  </si>
  <si>
    <t>TRMC2</t>
  </si>
  <si>
    <t xml:space="preserve">The company Baykar Defense has sent a total of 50 units of Bayraktar TB2 to Ukraine since the start of the invasion on February 2022. </t>
  </si>
  <si>
    <t>https://www.middleeasteye.net/news/russia-ukraine-war-tb2-bayraktar-drones-fifty-received</t>
  </si>
  <si>
    <t>Price List for Weapons and Items</t>
  </si>
  <si>
    <t>This worksheet contains item information, such as type of item, price, source of price and a respective explanation. For the categorization of heavy weapons we follow SIPRI and the UN definitions. They define heavy weapons as larger machines that can be used in immediate combat and integrate various military needs (movement, firepower, etc.) into one system.</t>
  </si>
  <si>
    <t xml:space="preserve">Type of Item </t>
  </si>
  <si>
    <t>Sub-type of Item</t>
  </si>
  <si>
    <t>Currency</t>
  </si>
  <si>
    <t>Source Category</t>
  </si>
  <si>
    <t>Notes</t>
  </si>
  <si>
    <t>Relative importance(2=very imporant, 1=important, 0=less important)</t>
  </si>
  <si>
    <t>Count</t>
  </si>
  <si>
    <t>Undisclosed Amount</t>
  </si>
  <si>
    <t>Monetary Value Total</t>
  </si>
  <si>
    <t>in main dataset (1 if yes, 0 if no)</t>
  </si>
  <si>
    <t>in commercial aid (1 if yes, 0 it no)</t>
  </si>
  <si>
    <t>Deliveries higher than comm</t>
  </si>
  <si>
    <t>Armament</t>
  </si>
  <si>
    <t>Light armaments &amp; infantry</t>
  </si>
  <si>
    <t>Since the price depends heavily on the type of armament, no reliable source can be found.</t>
  </si>
  <si>
    <t>Equipment for M109 artillery gun</t>
  </si>
  <si>
    <t>Ammunition for heavy weapon</t>
  </si>
  <si>
    <t>155mm howitzer ammunition</t>
  </si>
  <si>
    <t>High-resoultion satellity imagery</t>
  </si>
  <si>
    <t>Heavy weapon</t>
  </si>
  <si>
    <t>overhaul/repair</t>
  </si>
  <si>
    <t>Small arm and ammunition</t>
  </si>
  <si>
    <t>Ammunition for light infantry</t>
  </si>
  <si>
    <t>Small Arms and Light Weapons (SALW) ammunition</t>
  </si>
  <si>
    <t>Spare part and equipment</t>
  </si>
  <si>
    <t>Spare parts for M109 artillery gun</t>
  </si>
  <si>
    <t>Small Arms and Light Weapons (SALW)</t>
  </si>
  <si>
    <t>Aviation and drones</t>
  </si>
  <si>
    <t>Calculated according with the E-Mail from the Ministry of Defence of the Republic of Latvia, since 24% of 220 million EUR went on helicopters and spare parts</t>
  </si>
  <si>
    <t>Mastiff 6x6</t>
  </si>
  <si>
    <t>Protected Patrol Vehicle (PPV)</t>
  </si>
  <si>
    <t>https://armstrade.sipri.org/armstrade/page/trade_register.php</t>
  </si>
  <si>
    <t>Contracts</t>
  </si>
  <si>
    <t>Average unit cost based on different contracts from SIPRI database and the source and adjusted to 2021$</t>
  </si>
  <si>
    <t>Tank</t>
  </si>
  <si>
    <t>Main Battle Tank (MBT)</t>
  </si>
  <si>
    <t>https://www.reuters.com/article/ozatp-ethiopia-tanks-ukraine-20110610-idAFJOE7590IR20110610</t>
  </si>
  <si>
    <t>Media reports (incl. social media)</t>
  </si>
  <si>
    <t xml:space="preserve">We report the retail market price of the T72 tank as proxy. In 2011, Ethopia signed a deal for 200 T-72 Tanks for 100 million USD, bringing the Unit price to 500000 UST in 2011. We convert this price to 2021 values to account for inflation. </t>
  </si>
  <si>
    <t>Military media (incl. websites)</t>
  </si>
  <si>
    <t xml:space="preserve">Source reports a contract over 30 million Estonian Kroons (roughly 2 million USD) for 12 units (2 reconnaissanse, 10 combat). We divide 2 million USD by 12 for an approximate Unit price of 170000 USD. </t>
  </si>
  <si>
    <t>Field glass</t>
  </si>
  <si>
    <t>https://www.amazon.com/-/de/dp/B07SMXN8PR/ref=zg_bs_3413661_2/139-2167500-7694641?pd_rd_i=B09VBX2J8P&amp;th=1</t>
  </si>
  <si>
    <t>Online marketplaces and stores</t>
  </si>
  <si>
    <t>Average retail price is given with 11.99 USD</t>
  </si>
  <si>
    <t>Source for the M240: https://en.wikipedia.org/wiki/M240_machine_gun and Source for the M249: https://en.wikipedia.org/wiki/M249_light_machine_gun</t>
  </si>
  <si>
    <t>Miscellaneous</t>
  </si>
  <si>
    <t>The most common types of machine guns are M249 and M240. The average price over both M249 and M240 Machine gun is 5,300 per piece. The range is between 4,000 (M249) and 6,600 (M240)USD.</t>
  </si>
  <si>
    <t>Explosive</t>
  </si>
  <si>
    <t>https://en.wikipedia.org/wiki/Claymore_mine</t>
  </si>
  <si>
    <t>Price for a M19A1 Claymore mine as of 1993 is 119 USD. This corresponds to 223.15 USD in 2021 (according to https://www.in2013dollars.com/us/inflation/1993?amount=1#:~:text=Value%20of%20%241%20from%201993,cumulative%20price%20increase%20of%20102.28%25.).</t>
  </si>
  <si>
    <t>https://foreignpolicy.com/2009/12/31/observation-of-the-day-on-brewing-coffee-with-c4/</t>
  </si>
  <si>
    <t>Source lists a price of 90 USD per Block (Unit) of C-4.</t>
  </si>
  <si>
    <t>155mm Howitzer</t>
  </si>
  <si>
    <t>M777 155 mm Lightweight Towed Howitzer | Military-Today.com</t>
  </si>
  <si>
    <t xml:space="preserve">We use the price of M777 howitzer which is used by USA. Source lists a unit price of 5170000 USD. </t>
  </si>
  <si>
    <t>Portable defence system</t>
  </si>
  <si>
    <t>MANPADS</t>
  </si>
  <si>
    <t>Calculated according with the E-Mail from the Ministry of Defence of the Republic of Latvia, since 56% of 220 million EUR went on Stingers</t>
  </si>
  <si>
    <t>Minesweeper</t>
  </si>
  <si>
    <t>Mine Vessels</t>
  </si>
  <si>
    <t xml:space="preserve">https://stocktonhistoricalmaritimemuseum.org/about/uss-lucid/stats/ </t>
  </si>
  <si>
    <t>The source provides the information that a minesweeper cost 9 million USD in 1955. This corresponds to 86.94 million USD today (see https://www.in2013dollars.com/us/inflation/1955?endYear=2020&amp;amount=1).</t>
  </si>
  <si>
    <t>Calculated according with the E-Mail from the Ministry of Defence of the Republic of Latvia, since 13% of 220 million EUR went on armament</t>
  </si>
  <si>
    <t>https://www.airuniversity.af.edu/Portals/10/ASPJ/journals/Chronicles/ucav.pdf</t>
  </si>
  <si>
    <t xml:space="preserve">According to the source, the most popular version of an Unmanned Combat Aerial Vehicle costs 15 million USD at the most. We report 15 million USD to stay consistent with our Upper bound rule. </t>
  </si>
  <si>
    <t>Calculated according with the E-Mail from the Ministry of Defence of the Republic of Latvia, since 5% of 220 million EUR went on unmanned systems</t>
  </si>
  <si>
    <t>Anti-ship missile system</t>
  </si>
  <si>
    <t>Anti-Ship system</t>
  </si>
  <si>
    <t xml:space="preserve">https://www.thedrive.com/the-war-zone/32277/here-is-what-each-of-the-pentagons-air-launched-missiles-and-bombs-actually-cost </t>
  </si>
  <si>
    <t>According to the source, this is the unit cost for a AGM-158C LRASM (Long Range Anti Ship Missile).</t>
  </si>
  <si>
    <t>Anti-aircraft surface-to-air missile (SAM) system (point-defense)</t>
  </si>
  <si>
    <t xml:space="preserve">https://www.army-technology.com/projects/mistral-missile/ </t>
  </si>
  <si>
    <t>Price deducted from a contract Estonia made in 2007 for €60 million (USD 65 million) for 25 Launchers.</t>
  </si>
  <si>
    <t>Patrol and coastal combatants</t>
  </si>
  <si>
    <t>https://www.dsca.mil/sites/default/files/mas/jordan_15-02.pdf</t>
  </si>
  <si>
    <t>Government information</t>
  </si>
  <si>
    <t>The US sent 35 coastal patrol boats to Jordan, worth 80 million USD. This allows an approximation for the unit cost. We also convert this value to $2021.</t>
  </si>
  <si>
    <t xml:space="preserve">Average unit cost based on different contracts from SIPRI database and adjusted to 2021 value. </t>
  </si>
  <si>
    <t>missile</t>
  </si>
  <si>
    <t>https://www.defense.gov/News/Contracts/Contract/Article/2185990/</t>
  </si>
  <si>
    <t>The source lists a unit cost of one Harpoon Block II missile of 1,406,812 USD.</t>
  </si>
  <si>
    <t>http://www.military-today.com/artillery/fh_70.htm#:~:text=According%20to%20Forecast%20International%2C%20the,in%202002%20was%20US%24594%2C000.</t>
  </si>
  <si>
    <t>According to the source, the price of one unit in 2002 was 594,000 USD, which corresponds to 895,040 USD in 2021 using deflator for national defence  (according to https://apps.bea.gov/iTable/iTable.cfm?reqid=19&amp;step=3&amp;isuri=1&amp;1921=survey&amp;1903=13#reqid=19&amp;step=3&amp;isuri=1&amp;1921=survey&amp;1903=13)</t>
  </si>
  <si>
    <t>298mm MLRS ammunition</t>
  </si>
  <si>
    <t>https://www.dsca.mil/press-media/major-arms-sales/finland-guided-multiple-launch-rocket-system-gmlrs-m31a1-unitary-and</t>
  </si>
  <si>
    <t>The source provides information about a contract with a volume of 150 million USD. This includes the purchase of 90 M31A1 missiles and 150 M30A1 missiles, but also training services as well as engineering and further technical support. To approach the cost of an M31A1 missile, we divide the total amount by the number of missiles (assuming that they roughly cost the same), leading to a cost of 625,000 USD per missile.</t>
  </si>
  <si>
    <t>227mm MLRS ammunition</t>
  </si>
  <si>
    <t>https://gagadget.com/en/war/145017-ukrainian-military-launch-of-one-himars-missile-costs-150000-and-a-full-launch-costs-1000000/</t>
  </si>
  <si>
    <t xml:space="preserve">Source lists a price of 150000 USD per missile for the HIMARS  (High mobility artillery rocket) system. </t>
  </si>
  <si>
    <t>https://www.asafm.army.mil/Portals/72/Documents/BudgetMaterial/2021/Base%20Budget/Procurement/MSLS_FY_2021_PB_Missile_Procurement_Army.pdf</t>
  </si>
  <si>
    <t>As a proxy we take the Javelin command launch unit, with Price deducted from the 2021 annual Pentagon Budget. Page 66, Javelin Lightweight Command Launch Unit (CLU), FY 2021 Total. Total cost: $190,325,000, Units: 773</t>
  </si>
  <si>
    <t>Ammunition for Heavy Weapon</t>
  </si>
  <si>
    <t>Missile</t>
  </si>
  <si>
    <t>https://en.wikipedia.org/wiki/AIM-120_AMRAAM</t>
  </si>
  <si>
    <t xml:space="preserve">AIM-120 AMRAAM missiles cost US$1,090,000 in 2019. </t>
  </si>
  <si>
    <t>https://en.wikipedia.org/wiki/AGM-88_HARM</t>
  </si>
  <si>
    <t>Source lists a price in  the range of USD 284,000 and USD 870,000. We take the average price of this range, which is USD 557,000.</t>
  </si>
  <si>
    <t>VAMPIRE Counter-unmanned aerial system</t>
  </si>
  <si>
    <t xml:space="preserve">According to the source, the most popular version of a UCAV costs 15 million USD at the most. We report 15 million USD to stay consistent with our Upper bound rule. </t>
  </si>
  <si>
    <t>Surface-to-air missile (SAM)</t>
  </si>
  <si>
    <t>Average unit costs based on different contracts from SIPRI database and the source and adjusted to $2021</t>
  </si>
  <si>
    <t>military equipment</t>
  </si>
  <si>
    <t>Radar or imagery systems</t>
  </si>
  <si>
    <t>We use the price of ARTHUR artillery radar, a variant that was developed simultaneously with COBRA, as a proxy. Average unit costs based on different contracts from SIPRI database and the source and adjusted to $2021</t>
  </si>
  <si>
    <t>Anti-aircraft system ammunition</t>
  </si>
  <si>
    <t>Ammunition for Mars II</t>
  </si>
  <si>
    <t>127mm MLRS ammunition</t>
  </si>
  <si>
    <t>The Mars II System uses M30 and M31 guided rockets as Ammunition. We report the price of a source that provides information about a contract with a volume of 150 million USD. This includes the purchase of 90 M31A1 missiles and 150 M30A1 missiles, but also training services as well as engineering and further technical support. To approach the cost of an M31A1 missile, we divide the total amount by the number of missiles (assuming that they roughly cost the same), leading to a cost of 625,000 USD per missile.</t>
  </si>
  <si>
    <t>Armored Utility Vehicle (AUV)</t>
  </si>
  <si>
    <t>https://www.armyrecognition.com/defense_news_january_2021_global_security_army_industry/first_iveco_lmv_2_nec_armored_vehicles_enter_service_with_italian_army.html</t>
  </si>
  <si>
    <t xml:space="preserve">Since the Lince ("Lynx") is the italian designation of an armored scout car and the predecessor of the Iveco LMV, we report the Iveco LMV (Iveco M 40.12) price here. </t>
  </si>
  <si>
    <t>http://www.army-guide.com/eng/product1033.html</t>
  </si>
  <si>
    <t>The source provides the average unit costs based on a number of different contracts.</t>
  </si>
  <si>
    <t>Armored Personnel Carrier (APC)</t>
  </si>
  <si>
    <t>http://www.army-guide.com/eng/product3249.html</t>
  </si>
  <si>
    <t>Average unit costs based on five different contracts (Lithunia has been omitted as they bought M577 second hand from Germany).</t>
  </si>
  <si>
    <t>https://www.globalsecurity.org/military/world/taiwan/cm21-variants.htm</t>
  </si>
  <si>
    <t xml:space="preserve">According to Source Italian M130 is a variant of M113, so we report price of M113 from the dataset, which is based on Military media and amounts to 300000 USD per Unit. </t>
  </si>
  <si>
    <t>300mm MLRS ammunition</t>
  </si>
  <si>
    <t>The source provides information about a contract over M31A1 ammunition, a 298mm guided rocket, which we use as a proxy for the 300mm guided rocket, with a volume of 150 million USD. This includes the purchase of 90 M31A1 missiles and 150 M30A1 missiles, but also training services as well as engineering and further technical support. To approach the cost of an M31A1 missile, we divide the total amount by the number of missiles (assuming that they roughly cost the same), leading to a cost of 625,000 USD per missile.</t>
  </si>
  <si>
    <t>https://mezha.media/en/2022/04/02/together-with-switchblades-drones-the-u-s-will-provide-ukraine-with-the-rq-20-puma-unmanned-aerial-vehicles/#:~:text=The%20cost%20of%20one%20RQ,NATO%20countries%20and%20their%20partners.</t>
  </si>
  <si>
    <t>Unit cost of one RQ-20 Puma system.</t>
  </si>
  <si>
    <t>Air-to-surface missile (ASM)</t>
  </si>
  <si>
    <t>https://publications.parliament.uk/pa/cm201011/cmhansrd/cm110517/text/110517w0001.htm#11051744000014</t>
  </si>
  <si>
    <t xml:space="preserve">Source lists a unit price of 175000 GBP, which we convert to 2021 values of 220000 USD per piece. </t>
  </si>
  <si>
    <t>Mortar</t>
  </si>
  <si>
    <t>https://man.fas.org/dod-101/sys/land/m224.htm</t>
  </si>
  <si>
    <t>Source reports a price for the M224 60 mm Lightweight Company Mortar System, which is also 60mm Mortar, so we use it as proxy.</t>
  </si>
  <si>
    <t>https://www.thedrive.com/the-war-zone/ukraine-to-get-guided-rockets-but-not-ones-able-to-reach-far-into-russia</t>
  </si>
  <si>
    <t>Source lists the unit price as 168000 USD per piece, deducted from a Budget of 770 million USD for 4596 rockets.</t>
  </si>
  <si>
    <t>https://www.defensenews.com/land/2016/12/21/poland-awards-220m-short-range-air-defense-deal/#:~:text=WARSAW%2C%20Poland%20%E2%80%94%20The%20Polish%20Ministry,systems%20for%20the%20country%27s%20military.</t>
  </si>
  <si>
    <t>The source says that 220 million USD correspons to the cost of 1300 Piorun missiles and 420 missile launchers (so air-defense systems). To disentangle the sum and to deduct the price for a Piorun air-defense system, we use as approximation for the MANPAD Piorun missile, another MANPAD missile, namely Stinger which amounts to 119000 USD. Hence, 1300*119000 is 154,7 million USD so that 65.3 million USD remains (220-154,7) leading to unit costs of 155,476 USD.</t>
  </si>
  <si>
    <t>Anti-aircraft Starstreak missile</t>
  </si>
  <si>
    <t>Ammunition for portable defence system</t>
  </si>
  <si>
    <t>MANPADS ammunition</t>
  </si>
  <si>
    <t xml:space="preserve">Based on a contract over 96 missiles for 13 million EUR, giving a unit price of 135000 USD in 2003, amounting to 194000 USD in 2021. </t>
  </si>
  <si>
    <t>https://www.globalsecurity.org/military/world/europe/aspide.htm</t>
  </si>
  <si>
    <t>The source mentions that the target price for an Italian Aspide Mk1/Mk2 missile is 100000 USD. We use this as price estimator.</t>
  </si>
  <si>
    <t>122mm howitzer</t>
  </si>
  <si>
    <t>125 mm HE ammunition for T-72</t>
  </si>
  <si>
    <t>125 mm tank ammunition</t>
  </si>
  <si>
    <t>https://books.google.de/books?id=QYrfAAAAMAAJ&amp;pg=RA1-SA1-PA44&amp;lpg=RA1-SA1-PA44&amp;dq=price+125mm+HE+round&amp;source=bl&amp;ots=fdolBJFyKm&amp;sig=ACfU3U01l_fXbBfPdno46XHbd5W7HMx4Hg&amp;hl=en&amp;sa=X&amp;ved=2ahUKEwibv-ulyrz5AhWVVfEDHQQSC4IQ6AF6BAgbEAM#v=onepage&amp;q&amp;f=false</t>
  </si>
  <si>
    <t xml:space="preserve">Source reports a base price of 40000 USD for 125mm rounds for the T-55 and T-62 tanks (page II-27). Book is from 1995, so we assume the price is. We convert the price to $2021, which is 71,120.78 USD (according to https://www.in2013dollars.com/us/inflation/1995?endYear=2021&amp;amount=40000) </t>
  </si>
  <si>
    <t>Non-standard machine gun</t>
  </si>
  <si>
    <t>Source for the M240: Source for the M240: https://en.wikipedia.org/wiki/M240_machine_gun and Source for the M249: https://en.wikipedia.org/wiki/M249_light_machine_gun</t>
  </si>
  <si>
    <t>Assume that a non-standard machine gun is similar to a standard one. The most common types of machine guns are M249 and M240. The average price over both M249 and M240 Machine gun is 5,300 per piece. The range is between 4,000 (M249) and 6,600 (M240)USD.</t>
  </si>
  <si>
    <t>https://www.jeep.com/wrangler.html</t>
  </si>
  <si>
    <t>Manufacturer price</t>
  </si>
  <si>
    <t xml:space="preserve">Source lists a starting price of 31195 USD for a basic unit. We add a mark up of around 3000 USD to account for costumization. </t>
  </si>
  <si>
    <t>Mortar ammunition</t>
  </si>
  <si>
    <t>https://www.todayonline.com/singapore/us-approves-s926-million-sale-precision-guided-mortar-rounds-singapore</t>
  </si>
  <si>
    <t xml:space="preserve">Source reports a contract over 2000 120mm guided mortar rounds, as are used by the M10 mortar, between the US and Singapoore for 66 million USD. This brings the unit cost to 33000 USD per round. </t>
  </si>
  <si>
    <t>Automatic fire arm</t>
  </si>
  <si>
    <t>Assume that automatic firearm is the same as a machine gun. The most common types of machine guns are M249 and M240. The average price over both M249 and M240 Machine gun is 5,300 per piece. The range is between 4,000 (M249) and 6,600 (M240)USD.</t>
  </si>
  <si>
    <t>Light Anti-armor Weapon (LAW)</t>
  </si>
  <si>
    <t>https://www.defense.gov/News/Contracts/Contract/Article/1561988/</t>
  </si>
  <si>
    <t xml:space="preserve">Contract between US DoD and BAE Systems for 10,185 Advanced Precision Kill Weapon Systems II worth $224,331,310. Unit price is approximately 22,000 USD. </t>
  </si>
  <si>
    <t>Recoiless anti-tank gun</t>
  </si>
  <si>
    <t>Recoilless rifle (RR/RCL)</t>
  </si>
  <si>
    <t>https://www.strategypage.com/htmw/htweap/20141105.aspx</t>
  </si>
  <si>
    <t>Unit cost of a Carl-Gustaf Recoiless launcher.</t>
  </si>
  <si>
    <t>Warmate drone</t>
  </si>
  <si>
    <t>https://tvpworld.com/37474331/polish-army-to-receive-100-drones-in-2018</t>
  </si>
  <si>
    <t>Unit cost for a Warmate drone.</t>
  </si>
  <si>
    <t>Anti-materiel rifle</t>
  </si>
  <si>
    <t>https://weaponsystems.net/system/475-Barrett+M82</t>
  </si>
  <si>
    <t>The source provides the price for a Barrett M82, which is equivalent to the AG90 rifle used in Sweden (AG90 being the Swedish designation for the M82 Barrett). The source quantifies the price to be 9,800 USD in 2007, which is equivlanent to 12,807.38 USD in 2021 (according to https://www.in2013dollars.com/us/inflation/2007?endYear=2021&amp;amount=9800)</t>
  </si>
  <si>
    <t>Heavy transport drone</t>
  </si>
  <si>
    <t>https://www.jouav.com/blog/heavy-lift-drone.html</t>
  </si>
  <si>
    <t>The prices range from 48,000 USD to 80,000 USD. Hence, we apply the average of 64,000 USD.</t>
  </si>
  <si>
    <t>Anti-drone</t>
  </si>
  <si>
    <t>https://www.rferl.org/a/ukraine-anti-drone-gun-russia-war/31912255.html</t>
  </si>
  <si>
    <t>Source says Ukrainian company produces anti-drone rifles which are priced at 12,000 USD</t>
  </si>
  <si>
    <t>Light machine gun</t>
  </si>
  <si>
    <t>https://getnightride.com/blogs/nightride-blog/best-thermal-imaging-camera-value</t>
  </si>
  <si>
    <t>The source mentions a rough estimate that most thermal imaging systems would cost thousands of dollars, and some even up to 5,000 USD. Hence, we use as price estimate this mentioned upper bound.</t>
  </si>
  <si>
    <t>152mm howitzer ammunition</t>
  </si>
  <si>
    <t xml:space="preserve">We report the cost of a round of ammunition of a 155mm howtitzer, given through  the source (98 million CAD for 20000 rounds, equals 3800 USD per round of 155mm shell), as a proxy for 152mm howitzer rounds. </t>
  </si>
  <si>
    <t>Round of ammunition for M777 howitzer</t>
  </si>
  <si>
    <t>https://www.canada.ca/en/department-national-defence/news/2022/05/defence-minister-anita-anand-announces-additional-military-aid-for-ukraine.html</t>
  </si>
  <si>
    <t>The M777 howitzer is a 155mm howitzer. We report the cost of a round of ammunition of a 155mm howtitzer, which is 4900 CAD (98 million CAD for 20,000 shells), so 3,800 USD per shell</t>
  </si>
  <si>
    <t>Ammunition for light anti-armor weapon</t>
  </si>
  <si>
    <t>Light Anti-armor Weapon (LAW) ammunition</t>
  </si>
  <si>
    <t>https://books.google.de/books?id=yLwfAAAAMAAJ&amp;pg=PA1058&amp;lpg=PA1058&amp;dq=66mm+rocket+cost&amp;source=bl&amp;ots=6R5N48jaub&amp;sig=ACfU3U0WpoNaDz-vvRYJb9J-bD1_tUAxXQ&amp;hl=en&amp;sa=X&amp;ved=2ahUKEwiRzq7f0c_4AhWPRPEDHTv_CPEQ6AF6BAgNEAM#v=onepage&amp;q=66mm%20rocket%20cost&amp;f=false</t>
  </si>
  <si>
    <t>A typical light anti-armor weapon is the M72 LAW. This weapon is reloaded with a M72 HEAT rocket, 66mm. The source informs about a US government request to the Congress in 1973 asking for 2,500 new 66mm rocket launchers with a total cost of 1.5 million USD. Hence, one rocket can be quantified with 600 USD in 1973. This corresponds to 3661.76 USD in 2021 (according to https://www.in2013dollars.com/us/inflation/1973?endYear=2021&amp;amount=600)</t>
  </si>
  <si>
    <t>122mm howitzer ammunition</t>
  </si>
  <si>
    <t>https://nationalpost.com/news/canada/canadian-army-restricts-use-of-artillery-rounds-after-cracks-found-in-high-tech-shells-costing-150000-each#:~:text=Regular%20artillery%20shells%20are%20estimated,up%20to%2040%20kilometres%20away.</t>
  </si>
  <si>
    <t>Source lists the price of Ordinary high-explosive artillery rounds at 2000 USD, which we use as a proxy.</t>
  </si>
  <si>
    <t>howitzer ammunition</t>
  </si>
  <si>
    <t xml:space="preserve">Source lists the price of Ordinary high-explosive artillery rounds at 2000 USD. </t>
  </si>
  <si>
    <t>Single-use anti-tank granade launcher</t>
  </si>
  <si>
    <t>http://www.military-today.com/firearms/m72_law.htm#:~:text=The%20M72%20LAW%20is%20still,200%2C%20depending%20on%20the%20model.</t>
  </si>
  <si>
    <t xml:space="preserve">Main used single shot anti-tank weapon is the M72 LAW. Source lists a range between 750 and 2200 USD for a new unit of M72 LAW. We take the average. </t>
  </si>
  <si>
    <t>https://truegunvalue.com/rifle/heckler-koch/g3/price-historical-value-645</t>
  </si>
  <si>
    <t>The price reflects an average price for a used HECKLER KOCH G3 of 2462.43 USD.</t>
  </si>
  <si>
    <t>https://twitter.com/armorybazaar/status/1076159928287473665</t>
  </si>
  <si>
    <t xml:space="preserve">A twitter source reports a private sale in Syria of the AGS-17 for 1100 USD. </t>
  </si>
  <si>
    <t>https://web.archive.org/web/20110723004716/http://www.airtronic.net/documents/Delivery_Order.pdf</t>
  </si>
  <si>
    <t xml:space="preserve">Since no price is available and the GP-25 is a Russian designation of a similar underbarrel grenade launcher, the American M203, we report the price of the M203 as proxy. </t>
  </si>
  <si>
    <t>https://www.militarytimes.com/off-duty/gearscout/2012/04/21/u-s-army-places-order-for-24000-m4a1-carbines-with-remington/</t>
  </si>
  <si>
    <t>The most used Rifle in the U.S. Army is the M4 Carbine. We therefore took this model's unit price, which was $673.10 in 2012. This corresponds to approximately 800 USD in 2021 (according to https://www.in2013dollars.com/us/inflation/2012?endYear=2021&amp;amount=673.10)</t>
  </si>
  <si>
    <t>122mm MLRS ammunition</t>
  </si>
  <si>
    <t>https://www.jpost.com/opinion/op-ed-contributors/bankrupting-terrorism-one-interception-at-a-time</t>
  </si>
  <si>
    <t>Source lists the price of one GRAD rocket at 1000 USD.</t>
  </si>
  <si>
    <t>https://dronelife.com/2016/08/17/xtreem-affordable-hd-video-drones/#:~:text=Fly%20Eye%20%E2%80%93%20%24149.99&amp;text=Trim%2Fstabilization%20adjustment.,-Camera%20%E2%80%93%20Wi%2DFi</t>
  </si>
  <si>
    <t xml:space="preserve">Source lists a new price for the FlyEye drone of 149.99 USD, we approx. to 150 USD per Unit. </t>
  </si>
  <si>
    <t>Detonating cord</t>
  </si>
  <si>
    <t>https://sprengtechnik.de/zerstoerung-von-festplatten-durch-sprengung/#:~:text=Der%20Einsatz%20von%20Linearladungen%20%28Sprengschnur%29%20stellt%20hier%20eine,Kosten%20von%2018%20Cent%20f%C3%BCr%20jeden%20vernichteten%20Datentr%C3%A4ger.</t>
  </si>
  <si>
    <t>100 meter 12-g/m-detonating cord costs 90 EUR, hence 99.18 USD.</t>
  </si>
  <si>
    <t>We are using the same price as C-4 explosives as listed above.</t>
  </si>
  <si>
    <t>Gas mask</t>
  </si>
  <si>
    <t>https://www.ebay.com/b/Military-Gas-Mask/158440/bn_55190958</t>
  </si>
  <si>
    <t>The source provides two prices for a new gas mask (bestselling): 49 USD and 75 USD. We apply the average of 62 USD.</t>
  </si>
  <si>
    <t>Portable radio</t>
  </si>
  <si>
    <t>https://www.amazon.com/Radios-Portable-Audio-Video/b?ie=UTF8&amp;node=172681</t>
  </si>
  <si>
    <t>The prices vary from 20 USD up to 60 USD (one exemption up to 500 USD). So we report the median of 40 USD.</t>
  </si>
  <si>
    <t>Lifejacket</t>
  </si>
  <si>
    <t>https://www.amazon.de/-/en/gp/bestsellers/sports/243115011</t>
  </si>
  <si>
    <t>Taking an average over available retail prices in bestseller list</t>
  </si>
  <si>
    <t>Mine</t>
  </si>
  <si>
    <t>https://landminefree.org/facts-about-landmines/#:~:text=It%20is%20estimated%20that%20there,them%20is%20%24300%20to%20%241000.</t>
  </si>
  <si>
    <t>According to the Source, a mine costs between $3 and $30, so we take the average of $16.5.</t>
  </si>
  <si>
    <t>Liter of fuel M</t>
  </si>
  <si>
    <t>https://www.globalpetrolprices.com/gasoline_prices/</t>
  </si>
  <si>
    <t>Usage of global average current fuel price. (31 October 2022)</t>
  </si>
  <si>
    <t>Small-calibre ammunition</t>
  </si>
  <si>
    <t xml:space="preserve">https://www.frankonia.de/p/sellier-bellot/9-mm-luger-vollmantel-8-0g-124grs/65187 </t>
  </si>
  <si>
    <t>Price for a standard 9mm small-calibre ammunition is 20,9 EUR for 50 bullets. Hence, 0.418 EUR for one bullet.</t>
  </si>
  <si>
    <t>We use the price of M101 105mm howitzer as a proxy as no price is available for M50 105mm howitzer light field guns or similarly designated weapons. Average unit costs of M101 105mm based on different contracts from SIPRI database and the source and adjusted to $2021</t>
  </si>
  <si>
    <t>https://www.elindependiente.com/espana/2022/03/03/estas-son-las-armas-que-mandara-espana-a-la-resistencia-ucraniana-en-el-primer-envio/#:~:text=La%20Junta%20de%20Contrataci%C3%B3n%20del,unitario%20de%202.099%2C35%20euros.</t>
  </si>
  <si>
    <t xml:space="preserve">The source lists a price in 2022 of 2099 USD per Unit of anti-tank grenede launcher </t>
  </si>
  <si>
    <t>https://www.asafm.army.mil/Portals/72/Documents/BudgetMaterial/2023/Base%20Budget/Procurement/MSLS_ARMY.pdf</t>
  </si>
  <si>
    <t xml:space="preserve">Price deducted from the US Department of Defense 2023 Budget Estimates. </t>
  </si>
  <si>
    <t>https://en.wikipedia.org/wiki/Advanced_Precision_Kill_Weapon_System</t>
  </si>
  <si>
    <t>Source lists a price of 22000 USD per launcher.</t>
  </si>
  <si>
    <t>ammunition for heavy weapon</t>
  </si>
  <si>
    <t>https://www.economist.com/science-and-technology/2012/09/29/rockets-galore</t>
  </si>
  <si>
    <t>Source lists a price of 2799 USD per Hydra rocket, a type of precision guided 70mm rocket.</t>
  </si>
  <si>
    <t>unkown anti-aircraft battery (Spain)</t>
  </si>
  <si>
    <t xml:space="preserve">We have no information regarding the type of this missile, but to appoximate it's price we assume it was HAWK, since Spain also sent them later.  Average unit costs based on different contracts from SIPRI database and the source and adjusted to $2021  </t>
  </si>
  <si>
    <t>Chemical, biological, radiological, nuclear protective equipment</t>
  </si>
  <si>
    <t>Fuse</t>
  </si>
  <si>
    <t>Tactical decoy</t>
  </si>
  <si>
    <t>Unknown drone</t>
  </si>
  <si>
    <t>Unmanned ground system</t>
  </si>
  <si>
    <t>Weapon locating radar system</t>
  </si>
  <si>
    <t>Military ammunition</t>
  </si>
  <si>
    <t>https://uklandpower.com/2018/01/11/a-guide-to-modern-mortar-systems/</t>
  </si>
  <si>
    <t xml:space="preserve">Since the source did not specify the exact model, we take the general price for 120mm mortar, which was 370000 EUR in 2018, according to the source. We convert it to current dollars and then to $2021. </t>
  </si>
  <si>
    <t>unkown radar (France)</t>
  </si>
  <si>
    <t>Since the type of item is undisclosed we cannot estimate it's price</t>
  </si>
  <si>
    <t>We take the price for the spada 2000 air defense battery. Average unit cost based on different contracts from the SIPRI database and the source and adjusted to 2021$</t>
  </si>
  <si>
    <t>2B11 or M/41D 120mm heavy mortar</t>
  </si>
  <si>
    <t xml:space="preserve">Since the source did not specify the exact model, we take the two most popular used by the Lithuanian army. Still, the prices for these mortars are unavailable, so we take the general price for 120mm mortar, which was 370000 EUR in 2018, according to the source. We convert it to current dollars and then to $2021. </t>
  </si>
  <si>
    <t>non combat military vehicle</t>
  </si>
  <si>
    <t>https://www.marketwatch.com/story/new-army-trucks-may-cost-350000-each-gao-2011-10-27</t>
  </si>
  <si>
    <t>We take the price of an Army truck as approximation. Source reports a price of 350000 USD for new Army Trucks, which we take as proxy for Military Trucks</t>
  </si>
  <si>
    <t>https://www.classic.com/m/toyota/pickup-hilux/year-1990/</t>
  </si>
  <si>
    <t xml:space="preserve">According to the German embassy in Ukraine (https://twitter.com/GermanyinUA/status/1547876518327554054), there are a lot of different pickups among those delivered to Ukraine. Among all the cars, one can definitely identify the 1990 Toyota Pickup / Hilux and Mitsubishi L200. We base our estimates on the average price of those two cars, which is 15000 USD for Toyota and 35000 USD for Mitsubishi (https://suchen.mobile.de/auto/mitsubishi-l200.html). </t>
  </si>
  <si>
    <t>https://www.truckscout24.de/sattelzugmaschinen/neu</t>
  </si>
  <si>
    <t xml:space="preserve">Source lists prices for 6 different "Sattelschlepper". We report the average to arrive at 120000 USD per piece. </t>
  </si>
  <si>
    <t>Anti-aircraft surface-to-air missile (SAM) system (long-range)</t>
  </si>
  <si>
    <t>Anti-aircraft surface-to-air missile (SAM) system (medium-range)</t>
  </si>
  <si>
    <t xml:space="preserve">https://www.wiwo.de/politik/deutschland/140-millionen-euro-teures-luftabwehrsystem-ukraine-erwartet-im-oktober-erste-iris-t-lieferung/28393480.html. https://mil.in.ua/en/news/iris-t-slm-medium-range-air-defense-system-germany-released-an-updated-list-of-weapons-for-ukraine/ </t>
  </si>
  <si>
    <t xml:space="preserve">Source 1 reports a unit price from the Russo-Ukrainian war of 140 million EUR per piece. </t>
  </si>
  <si>
    <t>Hunt-class mine countermeasures vessel</t>
  </si>
  <si>
    <t>Unit cost based on a contract for a Spanish Sandown class frigate, which is the Spanish designation for the British Hunt-class frigate. Contract in 2001 for 117 million USD for 2 Units, which brings the average unit price in 2021 to 87 million USD</t>
  </si>
  <si>
    <t>https://sofrep.com/news/an-introduction-to-the-an-mpq-64-sentinel-aerial-surveillance-radar-ukraine-is-getting-from-the-us/</t>
  </si>
  <si>
    <t>The US did not disclosed the type of air-surveillance radar that they have sent in USM5, therefore, assuming that this is a AN/MPQ-64 Sentinel air surveillance radar, we set the same price.</t>
  </si>
  <si>
    <t>The source reports the estimated unit cost of 70 million USD.</t>
  </si>
  <si>
    <t>Artillery radar</t>
  </si>
  <si>
    <t>Germany committed COBRA artillery radar. Still, we could not find a robust source for this type of radar price. Thus, we use the cost of ARTHUR artillery radar developed simultaneously by Norway and Sweden. Average unit costs based on different contracts from SIPRI database and the source and adjusted to $2021.</t>
  </si>
  <si>
    <t>https://www.deagel.com/Artillery%20Systems/NASAMS/a000380</t>
  </si>
  <si>
    <t>Source 1 reports a price of USD 50 Million.</t>
  </si>
  <si>
    <t>https://www.navalnews.com/naval-news/2021/01/u-s-navy-will-not-replace-the-patrol-coastals-with-a-new-boat-of-similar-size-and-type/#:~:text=A%20Patrol%20Coastal%20boat%20has,cost%20around%20%2415%20million%20each.</t>
  </si>
  <si>
    <t>Source 1 reports a price of 20 million USD in 1990. We convert it to $2021.</t>
  </si>
  <si>
    <t>Anti-ship missle system</t>
  </si>
  <si>
    <t>https://www.dsca.mil/press-media/major-arms-sales/egypt-harpoon-block-ii-anti-ship-cruise-missiles</t>
  </si>
  <si>
    <t>The source provides information about a contract between the US and Egypt for 20 Harpoon missiles, 4 Command Launcher Control Systems (representing the accompanying system) and further posts like logistic support with a total volume of 145 million USD. Since we have a price for the missiles (1,406,612 USD per missile), we can calculate the value for the 20 missiles and hence, derive by substracting it from the total value of 145 million USD an upper bound price for the Harpoon missile system, amounting to 29,215,940 USD per system. We also convert it to $2021.</t>
  </si>
  <si>
    <t>Combat aircraft</t>
  </si>
  <si>
    <t>https://www.outlookindia.com/website/story/india-news-iafs-mi-17v5-all-about-helicopter-that-crashed-carrying-india-first-cds-bipin-rawat/404303</t>
  </si>
  <si>
    <t xml:space="preserve">Source reports a price for the Mi-17 helicopter. </t>
  </si>
  <si>
    <t>Average unit cost based on a contract signed in July 2022, between Ukraine and a private german company (Krauss-Maffei Wegmann), over 100 Pzh2000 for a total of 1.7 billion EUR (1.717 billion USD), and on different contracts from SIPRI database adjusted to $2021</t>
  </si>
  <si>
    <t>227mm MLRS</t>
  </si>
  <si>
    <t>Average unit costs based on four different contracts from SIPRI database and the source adjusted to $2021</t>
  </si>
  <si>
    <t xml:space="preserve">Source lists a unit price of 1.5 million USD. </t>
  </si>
  <si>
    <t>https://www.defensenews.com/land/2016/12/15/poland-orders-howitzers-in-1-1b-artillery-deal/</t>
  </si>
  <si>
    <t>According to the source, the Polish government bought 96 AHS Krab self propelled howitzers for 1,1 billion USD from a local manufacturer. We divided the total price by the number of items to compute the price per unit. We also convert it to $2021.</t>
  </si>
  <si>
    <t>Mi-24 (deagel.com)</t>
  </si>
  <si>
    <t xml:space="preserve">Source reports a price for the Mi-24 helicopter. </t>
  </si>
  <si>
    <t>https://www.deagel.com/Tactical%20Vehicles/ANTPQ-36/a000601</t>
  </si>
  <si>
    <t xml:space="preserve">We find the price for an enhanced AN/TPQ-53 system as it was reported that the US ordered 180 items to a total price of 1.6 billion USD, which allows to calculate the unit cost. </t>
  </si>
  <si>
    <t>Average unit costs based on  different contracts from SIPRI database and the source adjusted to $2021</t>
  </si>
  <si>
    <t xml:space="preserve">https://www.crz.gov.sk/3819680/ </t>
  </si>
  <si>
    <t>Official government contract listing a purchase of 25 howitzers for roughly 172 million EUR. We convert the price to dollars and then adjust it to a constant $2021.</t>
  </si>
  <si>
    <t>Source lists a donation value of 5.3 million EUR to construct a field hospital. We therefore list the 5.3 million EUR as unit price. We convert it to USD.</t>
  </si>
  <si>
    <t xml:space="preserve">Average Unit cost based on 3 contracts listed in the SIPRI arms trade database. </t>
  </si>
  <si>
    <t>122mm MLRS</t>
  </si>
  <si>
    <t>We use the price of the closest variant with the available price. In this case, it is a Chinese Type-90BM 122mm MLRS. Average unit costs of Type-90BM are based on different contracts from the SIPRI database and adjusted to $2021.</t>
  </si>
  <si>
    <t>https://www.tpsgc-pwgsc.gc.ca/app-acq/amd-dp/vbsc-acsv-eng.html</t>
  </si>
  <si>
    <t>Based on the contract for 360 ACSV issued by the Canadian government</t>
  </si>
  <si>
    <t>127mm MLRS</t>
  </si>
  <si>
    <t>As a proxy for the price of the Mars II, we report the average price of the closest variants, the M270 Multiple Rocket Launcher and HIMARS.</t>
  </si>
  <si>
    <t>Vehicle Launched Bridge (VLB)</t>
  </si>
  <si>
    <t>Average unit costs based on four different contracts for analogues(M-60 and M-48 AVLB) from SIPRI database and the source adjusted to $2021</t>
  </si>
  <si>
    <t>Price given by source as Average Unit Cost</t>
  </si>
  <si>
    <t>We estimate the price based on the contract between Netherlands and Finland to buy stored second-hand M270. The price is taken form the SIPRI database and adjusted to $2021.</t>
  </si>
  <si>
    <t>We use the price of 105mm LG1 MK-2 howitzers as a proxy as no price is available for M119 105mm light field guns or similarly designated weapons. Average unit costs of 105mm LG1 MK-2 based on different contracts from SIPRI database and the source and adjusted to $2021</t>
  </si>
  <si>
    <t>Average unit costs based on different contracts from SIPRI database and the source and adjusted to $2021.</t>
  </si>
  <si>
    <t xml:space="preserve">https://www.peterdutton.com.au/australia-to-provide-Armored-personnel-carriers-and-more-bushmasters-to-ukraine/ </t>
  </si>
  <si>
    <t xml:space="preserve">We report the Unit price of a Bushmaster protected mobility vehicle. According to the Australian Source, 20 Bushmaster Protected Mobility Vehicles amounts to 48 million AUD, brining the unit price to 1.65 million USD. </t>
  </si>
  <si>
    <t xml:space="preserve">According to the Australian Source, 20 Bushmaster Protected Mobility Vehicles amounts to 48 million AUD, brining the unit price to 1.65 million USD. </t>
  </si>
  <si>
    <t>We used the average unit price of modified T-72 tanks (T-72A/T-72M1/M1R) to estimate this item since, according to the IISS Military Balance study (2022), both Poland and the Czech Republic had those models in abundance. The source of unit cost is different contracts, mainly from the SIPRI database. We report unit costs in 2021$ using a correspondent national defence deflator for years when contracts were established.</t>
  </si>
  <si>
    <t>152mm howitzer</t>
  </si>
  <si>
    <t>https://military-today.com/artillery/dana.htm</t>
  </si>
  <si>
    <t xml:space="preserve">The source lists a unit price from a contract from 2020 of 1.55 million USD. </t>
  </si>
  <si>
    <t>Self-propelled anti-aircraft weapon</t>
  </si>
  <si>
    <t>https://www.globalsecurity.org/military/world/europe/gepard.htm</t>
  </si>
  <si>
    <t>The source states 37 Gepard Units being sold by Germany to Brazil in 2013 for a total of 37 million EUR. This indicates a EUR value of 1 million EUR per Gepard, translating to roughly 1.05 million USD. We also convert it to $2021.</t>
  </si>
  <si>
    <t>https://www.augsburger-allgemeine.de/politik/bewaffnete-drohnen-bundeswehr-deutschland-heron-tp-flugkoerper-id62284321.html#:~:text=Bewaffnete%20Drohnen%20f%C3%BCr%20Bundeswehr%3A%20Heron,Munition%20%22Special%20Payload%22%20zu.</t>
  </si>
  <si>
    <t>We report the price of a reconnaisance drone. Price per unit given by total price/ amount (152,61 million/140). Value is converted in USD.</t>
  </si>
  <si>
    <t>Price per unit given by total price/ amount (152,61 million/140). Value is converted in USD.</t>
  </si>
  <si>
    <t>Armored Recovery Vehicle (ARV)</t>
  </si>
  <si>
    <t>Since we cannot find a price for the M114, we approximate it by taking the average cost of the closest analogues, which are FH70 and M198, for this we use SIPRI database.</t>
  </si>
  <si>
    <t>https://survivalfreedom.com/how-much-do-military-drones-cost-a-detailed-look/</t>
  </si>
  <si>
    <t xml:space="preserve">Source reports a price range between 700000 USD and 1 Million USD for less technical advanced drones. Since Skywatch drones are observation devices and have no payload or other weaponry, we take the average between the two values given, to arrive at 850000 USD per Skywatch Drone. </t>
  </si>
  <si>
    <t>Replacement barrels for M777 howitzer</t>
  </si>
  <si>
    <t xml:space="preserve">https://www.canada.ca/en/department-national-defence/news/2022/06/minister-anand-announces-further-military-aid-for-ukraine.html </t>
  </si>
  <si>
    <t>Source lists 9 replacement barrels being worth 10 million AUD, we convert the unit price based on the average conversion rate over the last month (May 9 until June 9, 2022)</t>
  </si>
  <si>
    <t>Price deducted from different contracts taken from the SIPRI database</t>
  </si>
  <si>
    <t>Transport aircraft</t>
  </si>
  <si>
    <t>https://www.globalplanesearch.com/europe/helicopters/mil/mi_2.htm</t>
  </si>
  <si>
    <t xml:space="preserve">The source reports prices between 70000 USD, 80000 USD and 1.8 million USD. We therefore report the average price. </t>
  </si>
  <si>
    <t>Average unit costs based on four different contracts from SIPRI database and the source adjusted to $2021.</t>
  </si>
  <si>
    <t>It is reported that the unit cost for an Iveco LMV 2 is to be estimated to be 500,000 EUR. We use this as a proxy for the Iveco M 40.12 WM/P 4x4. We convert it to dollars.</t>
  </si>
  <si>
    <t>Howitzer</t>
  </si>
  <si>
    <t>unknown howitzer</t>
  </si>
  <si>
    <t>https://www.military-today.com/artillery/m777.htm</t>
  </si>
  <si>
    <t xml:space="preserve">We use the M777 155mm howitzer as a proxy, as it is the primary towed artillery of the US armed forces. The source states a unit cost of 5.17 million USD. </t>
  </si>
  <si>
    <t xml:space="preserve">Source lists a unit price of 5.17 million USD. </t>
  </si>
  <si>
    <t>https://www.newdelhitimes.com/portuguese-army-acquires-vamtac/</t>
  </si>
  <si>
    <t>According to the source, 139 VAMTACs cost 60.8 million EUR, hence one VAMTAC cost 437,410 EUR, or converted in USD: 461,730</t>
  </si>
  <si>
    <t>https://www.defensenews.com/global/2017/10/02/taiwan-acquires-orbital-atk-cannons-for-local-vehicle-program/</t>
  </si>
  <si>
    <t xml:space="preserve">The source lists a taiwan contract fro 285 cannons for a total of 112 million USD, bringing the unit cost to 390000 USD. </t>
  </si>
  <si>
    <t>https://www.seaforces.org/wpnsys/SURFACE/DS30M-30mm-gun-UK.htm</t>
  </si>
  <si>
    <t xml:space="preserve">The source states the similarity between the MSI DSI 30 mm gun system and the MK44 30mm Bushmaster II cannon. We therefore report the price of the MK44 cannon here as a proxy, since no other price was available. </t>
  </si>
  <si>
    <t>Demining set</t>
  </si>
  <si>
    <t xml:space="preserve">According to SKM1, Slovakia has pledged 1,7 million EUR in the shipment of 5 demining sets and medical equipment. Since we could not find the price of the demining sets, we assumed that the sets costs 1,7 million EUR and divided them by 5. Also, we then converted in USD (2.06.2022, 18,33). </t>
  </si>
  <si>
    <t>New Army trucks may cost $350,000 each: GAO - MarketWatch</t>
  </si>
  <si>
    <t>Source reports a price of 350000 USD for new Army Trucks, which we take as proxy for Military Trucks</t>
  </si>
  <si>
    <t>https://www.businessinsider.com/armored-car-inkas-sentry-civilian-bulletproof-suv-military-price-2020-9</t>
  </si>
  <si>
    <t>Since Roshel does not provide detailed information regarding its individually designed and produced armored vehicles we relied on the price for an INKA Sentry Civilian, which is normally used by SWAT units from the police. INKA is also a Canadian-based armored vehicle company such as Roshel. We are using this price as an estimator for the Roshel Senator APC.</t>
  </si>
  <si>
    <t>Since these are "Tactical Vehicles to tow weapons" use the price for an Army Truck. Source reports a price of 350000 USD for new Army Trucks</t>
  </si>
  <si>
    <t xml:space="preserve">Source reports a price of 350000 USD for new Army Trucks, which we use as a proxy for Towing Vehicles. </t>
  </si>
  <si>
    <t>We report the unit price of an M577 Command post carrier as a proxy. Average unit costs based on five different contracts (Lithunia has been omitted as they bought M577 second hand from Germany).</t>
  </si>
  <si>
    <t>http://www.military-today.com/apc/m113a3.htm#:~:text=The%20unit%20cost%20of%20a,to%20A3%20costs%20%24160%20000.</t>
  </si>
  <si>
    <t>Unit cost of a new M113A3.</t>
  </si>
  <si>
    <t>Price extracted from the 2021 Pentagon Budget for a Launcher plus a missile.</t>
  </si>
  <si>
    <t>http://www.army-guide.com/eng/product4461.html</t>
  </si>
  <si>
    <t xml:space="preserve">Source lists one contract from 2006 and 2007 over 20 BVP-1 amounting to 5 million USD. This brings the unit cost to 250000 USD. </t>
  </si>
  <si>
    <t xml:space="preserve">Price deducted from the 2021 annual Pentagon Budget. </t>
  </si>
  <si>
    <t xml:space="preserve">Since the source reports a donation of up to 580 Phoenix Ghost unmanned aerial systems , amounting to 95 million USD, we compute the average cost per unit by diving the overall price by 580. </t>
  </si>
  <si>
    <t>Air defense launcher</t>
  </si>
  <si>
    <t xml:space="preserve">MANPADS </t>
  </si>
  <si>
    <t>https://en.wikipedia.org/wiki/FIM-92_Stinger</t>
  </si>
  <si>
    <t xml:space="preserve">We report the price for an FIM-92 Stinger, a popular type of MANPAD, as an approximation. </t>
  </si>
  <si>
    <t>Shoulder fired MANPAD</t>
  </si>
  <si>
    <t>We report the price of a FIM-92 Stinger, as it is a popular type of MANPAD.</t>
  </si>
  <si>
    <t xml:space="preserve">The source lists a price from 2020 just for the launcher. </t>
  </si>
  <si>
    <t>https://www.rferl.org/a/explainer-lrad-sound-cannon/24927845.html</t>
  </si>
  <si>
    <t xml:space="preserve">Source lists a price range between 5000 and 190000 USD. We take the average between those values. </t>
  </si>
  <si>
    <t>Ton of rifle + MG round</t>
  </si>
  <si>
    <t>https://www.luckygunner.com/rifle/5.56x45-ammo</t>
  </si>
  <si>
    <t xml:space="preserve">We estimate 100 rounds of MG ammunition per kg, which brings the total number of bullets per tonne to 100000. Using an average price of 0.85 USD per round from source 1, we arrive at a value estimate of 85000 USD per tonne of ammo. </t>
  </si>
  <si>
    <t>Anti-armor system</t>
  </si>
  <si>
    <t>https://www.thedefensepost.com/2022/05/03/lockheed-ramp-up-javelin-production/</t>
  </si>
  <si>
    <t>According to Source 1 the price for a Javelin, the most used Anti armor weapon system in this conflict, is reported to be 78000 USD per missile, extracted from the 2021 Pentagon budget.</t>
  </si>
  <si>
    <t xml:space="preserve">As approximation, we apply the unit cost of one Javeline missile, extracted from the 2021 Pentagon Budget. </t>
  </si>
  <si>
    <t>Source lists a price of 78000 USD for a Javelin missile, extracted from the 2021 Pentagon budget.</t>
  </si>
  <si>
    <t xml:space="preserve">Source lists a price of 78000 USD for a Javelin missile, extracted from the 2021 Pentagon budget, which we use as a proxy for missiles here. </t>
  </si>
  <si>
    <t xml:space="preserve">https://www.thetimes.co.uk/article/15m-army-drones-grounded-by-rain-rnbfsnq23 </t>
  </si>
  <si>
    <t>According to the official website of the British army (https://www.army.mod.uk/equipment/artillery-and-air-defence/) Desert hawk is the primary drone used right now, so we assume it was sent to Ukraine. Based on the information provided by the financial times, the UK Ministry of Defence spent £11.8m buying 221 Desert Hawks. Using the yearly average exchange rate for 2017 by the Bank of England and deflators from BAE, we calculate the price at $2021.</t>
  </si>
  <si>
    <t>https://www.thesoldiersproject.org/how-much-does-a-military-humvee-cost/</t>
  </si>
  <si>
    <t>The source lists the 2020 price for military humvees as 254717 USD</t>
  </si>
  <si>
    <t>https://www.army.mil/article/193339/army_to_rapidly_procure_reusable_shoulder_fired_weapon_system</t>
  </si>
  <si>
    <t xml:space="preserve">To approximate the price of the M2 Carl Gustaf rifle, we take the price of newer version, which is M3E1, since the price for M2 is unavailable. According to the Source, the US army bought 1111 M4 rifles for 40 million USD in 2017, which means that each rifle cost 36,000 USD in 2017. This corresponds to 39,796.53 USD in 2021. (according to https://www.in2013dollars.com/us/inflation/2017?endYear=2021&amp;amount=36000)  </t>
  </si>
  <si>
    <t>https://www.axios.com/2022/05/28/us-awards-replenish-stinger-stock-ukraine</t>
  </si>
  <si>
    <t>Contract between US Army and Raytheon Technologies a to produce 1300 Stinger anti-aircraft missiles for 624 million USD. This amounts to 480,000 USD per missile</t>
  </si>
  <si>
    <t>https://www.jpost.com/international/article-699010</t>
  </si>
  <si>
    <t>The price for an NLAW, a popular type of anti-tank weapon. Source reports that each single-shot NLAW unit is over 40,000 USD</t>
  </si>
  <si>
    <t>Source reports that each single-shot NLAW unit is over 40,000 USD</t>
  </si>
  <si>
    <t>https://en.wikipedia.org/wiki/9K32_Strela-2</t>
  </si>
  <si>
    <t>https://www.theguardian.com/world/2022/mar/23/uk-doubles-number-of-missiles-sent-to-ukraine-ahead-of-nato-summit</t>
  </si>
  <si>
    <t>Deducted price by dividing the total amount given by donor (GBP 120 million) by the number of units donated (6000) (Donation ID UKM4, UKF1).</t>
  </si>
  <si>
    <t>Grenade launcher</t>
  </si>
  <si>
    <t>https://www.strategypage.com/htmw/htweap/articles/20110330.aspx</t>
  </si>
  <si>
    <t>We use the price of a variant of this SB-40 LAG, which is Mk 19. Source records the price of Mk19 as 20,000 USD</t>
  </si>
  <si>
    <t>https://www.militaryfactory.com/smallarms/detail.php?smallarms_id=18</t>
  </si>
  <si>
    <t xml:space="preserve">Standard price for M224 60mm mortar is 10,658 USD. We use M224 as a proxy   </t>
  </si>
  <si>
    <t>https://www.militarytimes.com/off-duty/gearscout/2022/05/12/panzerfaust-3-the-cold-war-weapon-wrecking-russian-tanks-in-ukraine/</t>
  </si>
  <si>
    <t xml:space="preserve">Source lists a price for the IT-600 version Panzerfaust 3 "Bunkerfaust" with 11108 USD per unit. </t>
  </si>
  <si>
    <t>https://www.defensie.nl/onderwerpen/materieel/bewapening/accuracy-antipersoneel-snipergeweer-7.62mm , https://www.guncritic.com/product/accuracy-international-ax308/ , https://www.guncritic.com/product/accuracy-international-ax338/</t>
  </si>
  <si>
    <t>According to the official defence ministry website Netherlands uses AX308 and AX338 rifles, so we average over the retail price for both AX308 (5699.99 USD) and AX338 (11,049.15 USD) to arrive at the item price of 8374.57 USD</t>
  </si>
  <si>
    <t>https://www.kyivpost.com/ukraine-politics/u-s-donates-2500-night-vision-devices-ukraines-armed-forces-video.html</t>
  </si>
  <si>
    <t xml:space="preserve">Media reports 2500 devices being donated for a total sum of 5,800,000 USD. This brings the unit price to 2320 USD. </t>
  </si>
  <si>
    <t>https://www.defenceweb.co.za/land/land-land/morocco-to-receive-laser-rangefinders/</t>
  </si>
  <si>
    <t>Source reports the price of 172 laser rangefinders as 8,841,488 USD, which equals 51,404 USD per unit</t>
  </si>
  <si>
    <t>https://engineerine.com/switchblade-will-turn-the-tide-in-ukraine/</t>
  </si>
  <si>
    <t xml:space="preserve">The Price is listed as 6000 USD in our source for Switchblade 300 Drones, one of the most commonly used types of drones in this conflict. </t>
  </si>
  <si>
    <t>https://www.dw.com/en/ukraine-warns-russia-is-trying-to-split-country-in-two-as-it-happened/a-61271087</t>
  </si>
  <si>
    <t>Ukraine bought 5,100 Matadors from the manufacturer for $27.4 million, so we calculate the price of one unit using this information.</t>
  </si>
  <si>
    <t>https://www.rockislandauction.com/detail/1039/2976/czech-uk-vz-59-semiautomatic-rifle</t>
  </si>
  <si>
    <t>The website reports a realized price of 5175 USD which we prefer against the estimated price range that is also reported.</t>
  </si>
  <si>
    <t>https://nationalinterest.org/blog/buzz/czech-military-adopt-new-small-arms-including-fn-minimi-machine-guns-198826</t>
  </si>
  <si>
    <t xml:space="preserve">Source says that Czech government will buy 949 FN Herstal Minimi machine guns for 50 million USD. This leads to 52,687 USD per unit. </t>
  </si>
  <si>
    <t>The source states Canada has given Ukraine over 20000 units worth 98 million CAD, which is 4900 CAD per unit. We convert this to USD to arrive at the unit cost of approximately 3800 USD per round of 155mm NATO shells</t>
  </si>
  <si>
    <t>https://www.thefirearmblog.com/blog/2013/01/08/the-fn-fnc-affordable-select-fire-5-56/#:~:text=Anyways%2C%20you%20can%20buy%20a,on%20a%20great%20little%20rifle</t>
  </si>
  <si>
    <t>The source lists a unit price of 3000 USD for a semi automatic FNC</t>
  </si>
  <si>
    <t>https://www.ncbi.nlm.nih.gov/pmc/articles/PMC7305019/</t>
  </si>
  <si>
    <t xml:space="preserve">Source lists a range between 2000 USD and 37,000 USD for a new incandescent light system. We take the average. </t>
  </si>
  <si>
    <t>Recoilless rifle (RR/RCL) ammunition</t>
  </si>
  <si>
    <t>Source gives a range between 500 USD and 3000 USD for 84mm anti-tank rounds. We take the average, which is 1750 USD</t>
  </si>
  <si>
    <t>Anti-armor weapon</t>
  </si>
  <si>
    <t>https://inetres.com/gp/military/infantry/antiarmor/AT4.html#:~:text=The%20AT4-CS%20will%20continue%20to%20be%20the%20U.S.,Classification%20Date%3A%203rd%20Quarter%20FY04.%20Unit%20cost%3A%20%242%2C700</t>
  </si>
  <si>
    <t>We assume the US sent the same anti-armour weapon as before. The price for a M136 AT4-CS Anti-armor Weapon is 2700 USD in 2004. This corresponds to approximately 3873.05 USD in 2021 (according to https://www.in2013dollars.com/us/inflation/2004?endYear=2021&amp;amount=2700)</t>
  </si>
  <si>
    <t>https://en.wikipedia.org/wiki/RPG-7</t>
  </si>
  <si>
    <t>Unit cost for a related RPG-7 85 mm missile serves as an estimation.</t>
  </si>
  <si>
    <t>Grenade launcher (M320 or M203)</t>
  </si>
  <si>
    <t>Under-barrel grenade launcher</t>
  </si>
  <si>
    <t>https://www.thefirearmblog.com/blog/2008/12/05/40mm-m320-grenade-launcher-will-be-replace-m203-next-year/ ; https://web.archive.org/web/20110723004716/http://www.airtronic.net/documents/Delivery_Order.pdf</t>
  </si>
  <si>
    <t>Since we cannot determine which grenade launcher they sent, we take the average price of the two most commonly used in the US army. Average price of M320 is 3500 USD and average price of M203 is 1082 USD. The average of these is 2291 USD</t>
  </si>
  <si>
    <t>As the item comprises several different artillery ammunitions, we use "the regular artillery shell" cost (see the Source of Unit Price) of about 2,000 USD as estimation.</t>
  </si>
  <si>
    <t>Artillery round</t>
  </si>
  <si>
    <t>Howitzer ammunition</t>
  </si>
  <si>
    <t>Light anti-armor weapon</t>
  </si>
  <si>
    <t xml:space="preserve">Source lists a range between 750 and 2200 USD for a new unit of M72 LAW (light anti-armor weapon). We take the average. </t>
  </si>
  <si>
    <t xml:space="preserve">Source lists a range between 750 and 2200 USD for a new unit of M72 LAW. We take the average. </t>
  </si>
  <si>
    <t>Single-shot anti-tank weapon</t>
  </si>
  <si>
    <t>Ton of fuel</t>
  </si>
  <si>
    <t>https://www.globalpetrolprices.com/gasoline_prices/ ; https://aviationbenefits.org/environmental-efficiency/climate-action/sustainable-aviation-fuel/conversions-for-saf/</t>
  </si>
  <si>
    <t>On October 31st 2022, the average price of 1 liter of fuel was 1.29 USD around the world. One ton of fuel corresponds to 1,250 liters. Hence, 1 ton of fuel has an average price of 1,612.5 USD.</t>
  </si>
  <si>
    <t>https://en.wikipedia.org/wiki/RK_62#Export_(Military/LE)</t>
  </si>
  <si>
    <t>As the source shows, the Finish main used Rifle is RK 62, an upgraded AK47. AK47 costs around 1,250 USD, so we estimated the value of the RK 62 to 1,500 USD</t>
  </si>
  <si>
    <t>https://man.fas.org/dod-101/sys/land/at4.htm</t>
  </si>
  <si>
    <t xml:space="preserve">Source reports a unit replacement cost of 1480 USD per M136 AT4 anti tank weapon. </t>
  </si>
  <si>
    <t>Combat helmet</t>
  </si>
  <si>
    <t>https://www.armytimes.com/news/your-army/2019/04/16/heres-the-new-helmet-that-socom-operators-will-take-into-battle/</t>
  </si>
  <si>
    <t>Standard price for individual modern combat helmet without optional accessories</t>
  </si>
  <si>
    <t>https://www.waffenschumacher.com/wp-content/uploads/2017/10/VISIER_CSA_Czech-Small-Arms-Sa-vz.58-11-2013.pdf</t>
  </si>
  <si>
    <t>This report lists five different prices in Euro, depending on the model, so that we take the average (1163 EUR) and report the converted value in USD.</t>
  </si>
  <si>
    <t>https://www.guncritic.com/product/cz-vz-61-scorpion-32acp-blue/</t>
  </si>
  <si>
    <t>The website reports this price for a new weapon,  705 USD MSRP</t>
  </si>
  <si>
    <t>https://truegunvalue.com/pistol/sig-p228/price-historical-value/new/2</t>
  </si>
  <si>
    <t xml:space="preserve">The average retail price for a SIG P228 is 1071.64 USD. </t>
  </si>
  <si>
    <t>https://truegunvalue.com/rifle/ak-47/price-historical-value</t>
  </si>
  <si>
    <t>According to the source, an AK 47 rifle is currently worth an average price of approximately 850 USD new</t>
  </si>
  <si>
    <t>https://www.221btactical.com/blogs/news/how-much-does-a-bulletproof-vest-cost</t>
  </si>
  <si>
    <t>400 to 600 USD for an external (overrt) soft body armor vest. Hence, the average price is 500 USD.</t>
  </si>
  <si>
    <t>105mm field gun ammunition</t>
  </si>
  <si>
    <t>https://taskandpurpose.com/news/ac-130-gunship-105mm-cannon/</t>
  </si>
  <si>
    <t xml:space="preserve">The Source lists a price of 400 USD per high explosive (HE) round of 105mm guns, which we use here as a proxy. </t>
  </si>
  <si>
    <t>Ballistic vest Austria</t>
  </si>
  <si>
    <t>http://army-warehouse.com/10-servicecard-artikel/226-osterr-bundesheer-splitter-schutzweste-kampfweste-obh.html?msclkid=6fe95c5ecf7111ecbc7bf25f9bd8a5b5</t>
  </si>
  <si>
    <t>The source gives the price for an Austrian ballistic vest to 300 EUR, which is 316.68 USD.</t>
  </si>
  <si>
    <t>Source lists the price of one GRAD rocket at 1000 USD. Czech RM-70 uses 122mm GRAD rockets (see https://www.armyrecognition.com/czech_army_artillery_vehicle_weapon_systems_uk/rm-70_m1972_122mm_mlrs_multiple_launch_rocket_system_technical_data_sheet_specifications_pictures.html)</t>
  </si>
  <si>
    <t>Anti-aircraft guns ammunition</t>
  </si>
  <si>
    <t>https://books.google.de/books?id=8J43AAAAIAAJ&amp;pg=PA4558&amp;lpg=PA4558&amp;dq=oerlikon+35+mm+ammunition+cost&amp;source=bl&amp;ots=AckNN2-QzT&amp;sig=ACfU3U3R0hGRH6Ksb8A4zR7RyTB_hML2MA&amp;hl=en&amp;sa=X&amp;ved=2ahUKEwjhucjeza35AhXvMuwKHbDKC1YQ6AF6BAg_EAM#v=onepage&amp;q=oerlikon%2035%20mm%20ammunition%20cost&amp;f=false</t>
  </si>
  <si>
    <t>Since GEPARD has Oerlikon 35 mm cannons, we report ammunition prices for this cannon type. The price of 35 mm round costed $53 in 1975. This corresponds to $266.94 in 2021 (according to https://www.in2013dollars.com/us/inflation/1975?endYear=2021&amp;amount=53)</t>
  </si>
  <si>
    <t>https://survivalfreedom.com/how-much-does-ammo-cost-detailed-price-analysis/</t>
  </si>
  <si>
    <t xml:space="preserve">Since no price is available for 23x152mm rounds or caliber 23 in general, we use the price for caliber 30mm, a more modern variant of anti-air ammunition, which the source reports a cost of around 100 USD. </t>
  </si>
  <si>
    <t>Hand grenade</t>
  </si>
  <si>
    <t>https://en.wikipedia.org/wiki/M67_grenade</t>
  </si>
  <si>
    <t>Average cost in 2021 is 45 USD.</t>
  </si>
  <si>
    <t>https://www.amazon.de/First-Boxes-Contents-according-13157/dp/B09JZKG84C/ref=sr_1_1_sspa?adgrpid=83827895404&amp;gclid=Cj0KCQjwntCVBhDdARIsAMEwACk2bt6E62FjoUVnx4hAM8fNlU9uHMkdNXGNk_yIBwENVDc98WeI9vkaAl0OEALw_wcB&amp;hvadid=394830971024&amp;hvdev=c&amp;hvlocphy=9061132&amp;hvnetw=g&amp;hvqmt=b&amp;hvrand=15040397051256604446&amp;hvtargid=kwd-14883146&amp;hydadcr=4261_1714685&amp;keywords=verbandskasten&amp;qid=1655989411&amp;sr=8-1-spons&amp;psc=1&amp;spLa=ZW5jcnlwdGVkUXVhbGlmaWVyPUFaVkYyNjI0RE1FT1QmZW5jcnlwdGVkSWQ9QTA0MTU0ODcxVkk2RjdJUTRWWVNJJmVuY3J5cHRlZEFkSWQ9QTA0NzgxOTQyMFYwMUw3R1M0QjBTJndpZGdldE5hbWU9c3BfYXRmJmFjdGlvbj1jbGlja1JlZGlyZWN0JmRvTm90TG9nQ2xpY2s9dHJ1ZQ==</t>
  </si>
  <si>
    <t>The price of 2 first aid boxes is 75.63 USD, hence the price is 37.82 per unit</t>
  </si>
  <si>
    <t>https://www.bw-online-shop.com/outdoor/outdoorkueche/verpflegung/epa-einmannpackung-typ-2.html</t>
  </si>
  <si>
    <t>According to the Bundeswehr, they use the "Einmannpackung" (Epa) as a standard good. The price is, according to the bundeswehr shop, 20 EUR for different types of this Epa. This corresponds to 22 USD.</t>
  </si>
  <si>
    <t>Combat ration package</t>
  </si>
  <si>
    <t>Individual meal pack</t>
  </si>
  <si>
    <t>Detonator</t>
  </si>
  <si>
    <t>Outdoor Zündstein Fire Steel - Feuerstarter Anzünder Feuerstein Bundeswehr | eBay</t>
  </si>
  <si>
    <t xml:space="preserve">Item is representative of Bundeswehr lighers. Price is originally in EUR (8.99 EUR). Since we convert only the total sum in USD in the end, we report this single price, by converting. </t>
  </si>
  <si>
    <t xml:space="preserve">Price over multiple different ammunition types. </t>
  </si>
  <si>
    <t>The price is an average over the various rounds of ammuntion sent, including small arms rounds, grenades and mortar rounds (Donation ID USM1)</t>
  </si>
  <si>
    <t>Hub NB 7,62-59 (TŽ, OKRAJ.)</t>
  </si>
  <si>
    <t>https://www.ammograb.com/762x51mm-nato/</t>
  </si>
  <si>
    <t>The price for 20 rounds of 7.62x51mm NATO ammunition which is used for the UK vz. 59 machine gun, is 19 USD. Hence, one round costs 0.95 USD.</t>
  </si>
  <si>
    <t>Hub NB 7,62-SV 59 (TŽ-SV)</t>
  </si>
  <si>
    <t>https://www.ammunitiondepot.com/304-762x39mm</t>
  </si>
  <si>
    <t>A variety of prices, ranging from 0.45 USD per round up to 0.71 USD per round, so we take the median of 0.58 USD per round as approximation.</t>
  </si>
  <si>
    <t>https://www.army.mil/article/194221/new_40_mm_grenades_to_enhance_training_readiness#:~:text=The%20tactical%20rounds%20cost%20%2450,which%20will%20cost%20around%20%247.</t>
  </si>
  <si>
    <t xml:space="preserve">Tactical 40mm rounds cost $50 or $60. We take the average. </t>
  </si>
  <si>
    <t>https://web.archive.org/web/20150518063830/http://defense-update.com/products/d/dingo-kmw.htm</t>
  </si>
  <si>
    <t xml:space="preserve">Source reports a prices of USD 500000. </t>
  </si>
  <si>
    <t>https://www.truckpaper.com/listings/trucks/for-sale/list/manufacturer/oshkosh/model/m1070</t>
  </si>
  <si>
    <t xml:space="preserve">Source reports 8 different prices for the M1070, we take the average to arrive at a unit price of 94550 USD. </t>
  </si>
  <si>
    <t>Price deducted from the 2021 annual Pentagon Budget. Page 43, Gross/Weapon System Unit Cost, FY 2021 Total</t>
  </si>
  <si>
    <t xml:space="preserve">Media reports 2500 devices being donated for 5800000 USD total. This brings the unit cost to 2320 USD. </t>
  </si>
  <si>
    <t>http://www.military-today.com/apc/kirpi.htm</t>
  </si>
  <si>
    <t>Contract</t>
  </si>
  <si>
    <t>Based on a contract between 2008 and 2018 valued at USD 157 million for 468 Kirpis. This brings the unit cost to USD 335,470</t>
  </si>
  <si>
    <t>105mm</t>
  </si>
  <si>
    <t>Aviation and Drones</t>
  </si>
  <si>
    <t>https://en.wikipedia.org/wiki/Boeing_Insitu_ScanEagle</t>
  </si>
  <si>
    <t>ScanEagle system costs US$3.2 million in 2006</t>
  </si>
  <si>
    <t>Heavy Weapon</t>
  </si>
  <si>
    <t>http://www.army-guide.com/eng/product4033.html</t>
  </si>
  <si>
    <t>Based on a contract between 2017 and 2019 valued at USD 440 million for 1085 Vehicles. This brings the unit cost to USD 405,530</t>
  </si>
  <si>
    <t>Tube-Launched, Optically-Tracked, Wire-Guided (TOW) missiles</t>
  </si>
  <si>
    <t xml:space="preserve">Price extracted from the 2021 Pentagon Budget for TOW 2 missile. Page 77, Gross/Weapon System Unit Cost, FY 2021  
</t>
  </si>
  <si>
    <t xml:space="preserve">Price extracted from the 2021 Pentagon Budget for a Launcher plus a missile. Page 65, Gross/Weapon System Unit Cost, FY 2021 Total  </t>
  </si>
  <si>
    <t>Assumed to be a Javelin missile as the donation included Javelins. Source lists a price of 78000 USD for a Javelin missile, extracted from the 2021 Pentagon budget.</t>
  </si>
  <si>
    <t>Germany plans to supply Ukraine with COBRA counter-battery radars - Militarnyi</t>
  </si>
  <si>
    <t>Price of a German manufactured artillery radar (COBRA). We converted the price in USD dollar first</t>
  </si>
  <si>
    <t>https://www.airforce-technology.com/news/czech-republic-to-buy-iron-dome-from-israel/#:~:text=The%20Czech%20Republic%20yesterday%20signed,a%20cost%20of%20%24125m.&amp;text=The%20%24125m%20contract%20covers%20eight%20multi%2Dmission%20radars.</t>
  </si>
  <si>
    <t>Based on a contract between Czech Republic and Israel valued at USD 125 million for 8 MMR. This brings per unit cost to USD 15,625,000. Since the exact type of MMR is not given, we use ELM-2084 'Iron Dome' Multi-Mission Radars as proxy.</t>
  </si>
  <si>
    <t>https://en.wikipedia.org/wiki/M982_Excalibur</t>
  </si>
  <si>
    <t>We use the price of M982 Excalibur which is a 155 mm extended-range guided artillery shell developed by the US</t>
  </si>
  <si>
    <t>https://www.rtvslo.si/news-in-english/the-ministry-of-defense-s-auction-of-old-m-55s-results-in-a-single-sale/453024</t>
  </si>
  <si>
    <t xml:space="preserve">The source reports an auction price of 820000 EUR that the Slovenian Ministry of Defence agreed upon in 2018. Since the tank is a heavily upgraded version of a soviet T-55 tank and the upgrades reportedly having been very expensive, we report this price instead of a unit price with singular upgrade costs added. </t>
  </si>
  <si>
    <t>unrefurbished T-72 (US, NL, CZ)</t>
  </si>
  <si>
    <t>See explanation of CZM21 in MAIN DATA</t>
  </si>
  <si>
    <t>We take a price of a Cortale NG. Average unit costs based on different contracts from SIPRI database and the source and adjusted to $2021</t>
  </si>
  <si>
    <t>Main battle tank (MBT)</t>
  </si>
  <si>
    <t xml:space="preserve">According to official statements of the US and Netherlands total price to overhaul 90 T-72 tanks provided by the Czech republic is 90 USD million, meaning that on average, the overhaul of each unit costs 1 USD million. </t>
  </si>
  <si>
    <t>We take a price of a Chinese variant of Model 56 produced by NORINCO. Average unit costs based on different contracts from SIPRI database and the source and adjusted to $2021</t>
  </si>
  <si>
    <t>https://www.theguardian.com/world/2022/nov/03/a-joke-that-went-out-of-control-crowdfunding-weapons-for-ukraines-war</t>
  </si>
  <si>
    <t xml:space="preserve">In November 2022 50 Spartans were purchased for 5.5 USD million </t>
  </si>
  <si>
    <t>The source report the price for canadian winter military uniform, we convert it to current USD. We convert it to USD using the average exchange rate for 2022 (until 25 November).</t>
  </si>
  <si>
    <t>http://www.cgri.gr/435833_69-0/MITOS2.HTM</t>
  </si>
  <si>
    <t>Source mentions price between 1200 and 1400 USD per piece, we average at 1300.</t>
  </si>
  <si>
    <t>We use prices for a US naval drone boat. The US sent 35 coastal patrol boats to Jordan, worth 80 million USD. This allows an approximation for the unit cost. We also convert this value to $2021.</t>
  </si>
  <si>
    <t>https://www.military.africa/2022/10/nigerian-army-acquires-medium-girder-bridge-from-uk-to-boost-logistics/</t>
  </si>
  <si>
    <t>Source lists a contract between Nigeria and the UK for 2.268 million USD for 1 unit of a medium bridge system.</t>
  </si>
  <si>
    <t>https://www.gao.gov/assets/psad-76-153.pdf</t>
  </si>
  <si>
    <t>Source lists a price of 297900 USD in 1979 for Armored engineering vehicle, which translated to 2020 prices amounts to 1240159 USD per piece.</t>
  </si>
  <si>
    <t>As a proxy we use the price for a MaxxPro mine clearing vehicle. Based on a contract between 2017 and 2019 valued at USD 440 million for 1085 Vehicles. This brings the unit cost to USD 405,530</t>
  </si>
  <si>
    <t xml:space="preserve"> Average unit costs based on different contracts from SIPRI database and the source and adjusted to $2021</t>
  </si>
  <si>
    <t>We take the average price of winter uniforms pledged by Canada and Lithuania from our dataset</t>
  </si>
  <si>
    <t>https://tanks-encyclopedia.com/modern/south_africa/mamba_apc#:~:text=The%20Mamba%204%C3%974,had%20developed%20at%20the%20time.</t>
  </si>
  <si>
    <t>The source mentions the price of a Mamba 4x4 of 94462 USD in 2020, transferred from a corresponding value in 1993.</t>
  </si>
  <si>
    <t>Man-portable Anti-tank weapon</t>
  </si>
  <si>
    <t>Shotgun</t>
  </si>
  <si>
    <t>https://truegunvalue.com/shotgun/mossberg/500/price-historical-value-1217 | https://truegunvalue.com/shotgun/benelli-m4/price-historical-value</t>
  </si>
  <si>
    <t>The average retail price over all used Shotguns by the U.S. Military (Mossberg approximately 500 USD; Benelli M4 approximately 1,800 USD) is 1,100 USD.</t>
  </si>
  <si>
    <t>Round of ammunition for 60 mm LMP 2017 mortar</t>
  </si>
  <si>
    <t>60mm Mortar Ammunition And Fuzes (inetres.com)</t>
  </si>
  <si>
    <t>See under M722 WP of the source</t>
  </si>
  <si>
    <t>Rifle + MG Round</t>
  </si>
  <si>
    <t xml:space="preserve">The Spanish Army uses almost exlusively 5.56 mm rounds for Rifles and MGs. The price for 20 rounds of 5.56 mm rounds is 17 USD. Hence, one round costs 0.85 USD. </t>
  </si>
  <si>
    <t>Hub NB 7.65-Browning</t>
  </si>
  <si>
    <t>https://classic.ammoseek.com/ammo/32acp</t>
  </si>
  <si>
    <t xml:space="preserve">Source reports single cartridge price of 0.50 USD. </t>
  </si>
  <si>
    <t>https://www.armormax.com/blog/how-much-does-a-bulletproof-car-cost/#:~:text=Buying%20an%20armored%20car%20is,while%20others%20need%20special%20work.</t>
  </si>
  <si>
    <t>Price range for armored vehicle is reported from 30,000 to 90,000 USD, therefore we take the average price.</t>
  </si>
  <si>
    <t>We take the price of Spartan as a proxy, since it is a variant</t>
  </si>
  <si>
    <t>Off-road vehicle for demining operations</t>
  </si>
  <si>
    <t xml:space="preserve">https://www.caranddriver.com/jeep/wrangler </t>
  </si>
  <si>
    <t>As a proxy, we use the price of a 2023 Jeep Wrangler 4x4.</t>
  </si>
  <si>
    <t>https://a5250379796602ad.en.made-in-china.com/product/oSpQOGHuhFYR/China-Portable-Ground-Surveillance-Radar-for-Border-Surveillance.html</t>
  </si>
  <si>
    <t>The source quantifies typical costs of a portable ground surveillance radar to 20,000 to 30,000 USD. Hence, we use the average of 25,000 USD as estimate.</t>
  </si>
  <si>
    <t>https://bid.mod-sales.com/past-auctions/witham10068/lot-details/6d39eb58-c1df-41ce-8aa4-a9430101ac64</t>
  </si>
  <si>
    <t xml:space="preserve">Source 1 resports an Alvis Stormer Tracked Armored Recon Vehicle being auctioned off from the UK Ministry of Defence for 13700 GBP, roughly 16000 USD. </t>
  </si>
  <si>
    <t>Anti-drone sensors</t>
  </si>
  <si>
    <t>https://www.made-in-china.com/products-search/hot-china-products/Uav_Drone_Jammer.html</t>
  </si>
  <si>
    <t xml:space="preserve">Source says that the price range for each Uav drone jammer is between 1589 USD and 20,000 USD. We take the average, which is 10,794.50 USD </t>
  </si>
  <si>
    <t>The source quantifies the price of a Barrett M82 to be 9,800 USD in 2007, which is equivlanent to 12,807.38 USD in 2021 (according to https://www.in2013dollars.com/us/inflation/2007?endYear=2021&amp;amount=9800)</t>
  </si>
  <si>
    <t>http://www.zvi.cz/en/products/sniper-rifle-falcon.html</t>
  </si>
  <si>
    <t>Price for a OVP Falcon 12.7mm Russian sniper rifle (Anti-Material Rifle)</t>
  </si>
  <si>
    <t>Anti-drone cannon</t>
  </si>
  <si>
    <t>http://www.military-today.com/firearms/mg3.htm</t>
  </si>
  <si>
    <t>Source lists a price for a new MG3 of around 3000 USD.</t>
  </si>
  <si>
    <t>https://truegunvalue.com/rifle/dragunov/price-historical-value</t>
  </si>
  <si>
    <t xml:space="preserve">The website reports the value of a new Dragunov rifle as 3832.65 USD. </t>
  </si>
  <si>
    <t>https://truegunvalue.com/pistol/805-bren/price-historical-value</t>
  </si>
  <si>
    <t>The price reflects an average price for a new 805 BREN pistol is 1818.28 USD.</t>
  </si>
  <si>
    <t>Fridge for medical material</t>
  </si>
  <si>
    <t>https://www.praxisdienst.de/Einrichtung/Ablegen+und+lagern/Medikamentenkuehlschraenke/Liebherr+MKUv+1610+Medikamentenkuehlschrank+mit+Fachboeden.html?speed=1&amp;gclid=Cj0KCQjwntCVBhDdARIsAMEwACmOKJaqbtWlmkE3PwceLhHIP9m3qGdulBKn1kImSy42c3gxKcXCRD4aAhIXEALw_wcB</t>
  </si>
  <si>
    <t xml:space="preserve">Source values a medicine refrigerator with shelves to be 1486.91 USD. </t>
  </si>
  <si>
    <t>Metal detector</t>
  </si>
  <si>
    <t>https://www.howmuchisit.org/metal-detector-cost/</t>
  </si>
  <si>
    <t>According to the source, an advanced metal detector costs between 900 USD and 1,500 USD. We use the average of 1,200 USD.</t>
  </si>
  <si>
    <t>https://www.blautanken.de/adblue-1000-liter-ibc-container-oem/?gclid=Cj0KCQjwntCVBhDdARIsAMEwACk5CvzjsjtbIjYyd1fpO0rAogqNfK3hzDAmmqo_rS87d6nKm3Th7ZsaAhrLEALw_wcB</t>
  </si>
  <si>
    <t>1000 liter = 1335 EUR (assume that 1000 liter = 1 ton). Value converted in USD.</t>
  </si>
  <si>
    <t>https://truegunvalue.com/pistol/cz-evo-3/price-historical-value</t>
  </si>
  <si>
    <t>Source lists average price of a new CZ EVO 3 as 992.40 EUR</t>
  </si>
  <si>
    <t>Drone camera</t>
  </si>
  <si>
    <t>https://www.dronerush.com/drone-price-how-much-do-drones-cost-21540/</t>
  </si>
  <si>
    <t>We report the minimum price for commercial-level camera drones, which start at 2000 USD</t>
  </si>
  <si>
    <t>https://truegunvalue.com/pistol/cz-82/price-historical-value</t>
  </si>
  <si>
    <t>The source reports the average price for a CZ 82 pistol.</t>
  </si>
  <si>
    <t>Missile for Panzerfaust 3</t>
  </si>
  <si>
    <t>https://military-history.fandom.com/wiki/Panzerfaust_3</t>
  </si>
  <si>
    <t>Average price for HE ammuntion for a Panzerfaust 3.</t>
  </si>
  <si>
    <t>Fragmentation vest</t>
  </si>
  <si>
    <t>https://www.sparks-military.com/en/body-armor/154-m-69-fragmentation-vest-flak-jacket.html</t>
  </si>
  <si>
    <t>Price of a M-69 standard fragmentation vest.</t>
  </si>
  <si>
    <t xml:space="preserve">https://www.wikiwand.com/en/RPG-22 </t>
  </si>
  <si>
    <t xml:space="preserve">Price range from 150 to 220 GBP for an advanced model, which is 185 GBP on average. We convert this to USD. </t>
  </si>
  <si>
    <t>https://www.indiamart.com/proddetail/radio-frequency-system-8336728762.html</t>
  </si>
  <si>
    <t>Initial price of 10.000 INR is converted in USD according to our Currency Converter Sheet.</t>
  </si>
  <si>
    <t>Stretcher</t>
  </si>
  <si>
    <t>https://www.militarysurplus.eu/product-eng-43337-Medical-Stretcher-Romanian-Army-Litter-Military-Surplus.html</t>
  </si>
  <si>
    <t>Source lists a price of 51 EUR for a Romanian army medical stretcher. We convert this to USD.</t>
  </si>
  <si>
    <t>Military tent</t>
  </si>
  <si>
    <t xml:space="preserve">https://www.ebay.com/itm/252996466305?hash=item3ae7c3b681:g:DGIAAOSwDrNZU34G </t>
  </si>
  <si>
    <t>Source lists a price of 70 USD for a Standard Two Man Military Tactical Double Shelter</t>
  </si>
  <si>
    <t>Tactical gloves</t>
  </si>
  <si>
    <t>10 Best Tactical Gloves For 2022 (Military-Grade Gear) (operationmilitarykids.org)</t>
  </si>
  <si>
    <t>We report the price of the Tactical's Hard Times 2 glove.</t>
  </si>
  <si>
    <t>Field telephone</t>
  </si>
  <si>
    <t>https://www.alibaba.com/product-detail/Dust-and-Water-Proof-Military-Radio_62087839225.html?spm=a2700.7724857.normal_offer.d_title.6a042a44heUWWl</t>
  </si>
  <si>
    <t>Source reports 69 USD per phone, designed and manufactured according to US Military Specifications</t>
  </si>
  <si>
    <t>https://www.amazon.com/s?k=military+binoculars&amp;crid=3T1LN1ST9UR4L&amp;sprefix=military+binoculars%2Caps%2C161&amp;ref=nb_sb_noss_1</t>
  </si>
  <si>
    <t>Average retail price for military binoculars is $45 per piece</t>
  </si>
  <si>
    <t>Helmet Austria</t>
  </si>
  <si>
    <t>The Ministry of Defence says that the value of one helmet is 35 EUR, hence 36.95 USD.</t>
  </si>
  <si>
    <t>https://www.varusteleka.com/en/product/field-phone-cable-100-m-300-surplus/70446</t>
  </si>
  <si>
    <t xml:space="preserve"> Price reported in EUR (34.99 EUR). Since we convert only the total sum in USD in the end, we report this single price, by converting.</t>
  </si>
  <si>
    <t>Camouflage vest</t>
  </si>
  <si>
    <t>https://www.armynavyshop.com/SRCH.html</t>
  </si>
  <si>
    <t>Approximate Retail price over all available camouflage Ranger or Hunter vests</t>
  </si>
  <si>
    <t>Explosive charge</t>
  </si>
  <si>
    <t>https://www.globalsecurity.org/military/systems/munitions/m112-c4.htm</t>
  </si>
  <si>
    <t>Price for a M-112 C4 Demolition Block, "standard plastic explosive block in the US and several of its allies."</t>
  </si>
  <si>
    <t>Field glasses</t>
  </si>
  <si>
    <t>We have chosen the price of the "best seller" article in Amazon.</t>
  </si>
  <si>
    <t>Auto-injector device</t>
  </si>
  <si>
    <t>https://www.docmorris.de/fastjekt-300-g-autoinjektor-injlsgim/09738902</t>
  </si>
  <si>
    <t>Since we convert the total sum from USD to EUR in the main dataset, we report this single price  by converting it  (Conversion on the 1.07.2022)</t>
  </si>
  <si>
    <t>Hygiene kit</t>
  </si>
  <si>
    <t>https://www.amazon.com/-/de/dp/B08FXVMBX2/ref=sr_1_7?keywords=hygiene+kit&amp;qid=1654184235&amp;sr=8-7</t>
  </si>
  <si>
    <t>Standard hygiene kit, 48 kits costs $120, hence 1 kit costs $2.50</t>
  </si>
  <si>
    <t>Hub NB 7.62-SV 43</t>
  </si>
  <si>
    <t>https://www.theakforum.net/threads/for-sale-sv43-czech-incendiary-tracer-rounds-7-62x39.325660/</t>
  </si>
  <si>
    <t xml:space="preserve">Source reports a price of 650 USD for 400 units, bringing the Unit price to 1.625 USD. </t>
  </si>
  <si>
    <t>Protective mask with filter</t>
  </si>
  <si>
    <t>https://www.amazon.com/s?k=kn95+face+masks&amp;sprefix=k%2Caps%2C169&amp;ref=nb_sb_ss_pltr-ranker-10hours_1_1</t>
  </si>
  <si>
    <t>Average over retail prices available. Proxy KN95 masks for protective mask with filter</t>
  </si>
  <si>
    <t>Liter of diesel M</t>
  </si>
  <si>
    <t>https://www.globalpetrolprices.com/diesel_prices/</t>
  </si>
  <si>
    <t>Usage of global average current diesel price. (31 October 2022)</t>
  </si>
  <si>
    <t>Hub NB 7,62-PZ 59 (PZ EDGE)</t>
  </si>
  <si>
    <t>Round of ammunition for sniper rifles</t>
  </si>
  <si>
    <t>As the 7.62x51mm NATO caliber is one of the most popular calibers of sniper rifles (see https://en.wikipedia.org/wiki/Sniper_rifle), we apply the approximate price for one round of this caliber here.</t>
  </si>
  <si>
    <t>Wound bandage</t>
  </si>
  <si>
    <t>https://www.amazon.com/Band-Aid-First-Adhesive-Bandages-Large/dp/B000GCPW8C/ref=sr_1_7?crid=1PZ72906ULX4A&amp;keywords=wound+bandage&amp;qid=1667515401&amp;qu=eyJxc2MiOiI1Ljc2IiwicXNhIjoiNS4yNyIsInFzcCI6IjUuMTAifQ%3D%3D&amp;sprefix=wound+bandag%2Caps%2C155&amp;sr=8-7</t>
  </si>
  <si>
    <t xml:space="preserve">A package of 10 sterile wound bandages cost $3.78, so one bandage costs 0.38 USD. </t>
  </si>
  <si>
    <t>Bullet</t>
  </si>
  <si>
    <t>https://www.frankonia.de/p/sellier-bellot/9-mm-luger-vollmantel-8-0g-124grs/65187</t>
  </si>
  <si>
    <t>Price for a standard 9mm handgun ammunition is 20,9 EUR for 50 bullets. Hence, 0.418 EUR for one bullet.</t>
  </si>
  <si>
    <t>Cartridge for RK 62</t>
  </si>
  <si>
    <t>https://www.bulkammo.com/rifle/bulk-7.62x39mm-ammo</t>
  </si>
  <si>
    <t>RK 62 uses 7.62×39mm, 1,000 rounds cost around 400 USD</t>
  </si>
  <si>
    <t>Hub NB 7.62-43</t>
  </si>
  <si>
    <t xml:space="preserve">We report the single unit price of a 7.62x39 cartridge (0.30 USD) with a small mark up of 0.10 USD. </t>
  </si>
  <si>
    <t>https://www.sip.net/2022-new-forklift-price-how-much-you-can-expect-to-pay/</t>
  </si>
  <si>
    <t>Source reports a price for a new Forklift between 20000 and 45000 USD. We report the average of 32500 USD per piece.</t>
  </si>
  <si>
    <t>Blood bag</t>
  </si>
  <si>
    <t>Since the price depends heavily on the type of blood and the donor country, no reliable source can be found.</t>
  </si>
  <si>
    <t>Counter battery systems</t>
  </si>
  <si>
    <t>We use the price of ARTHUR artillery radar as a proxy. Average unit costs based on different contracts from SIPRI database and the source and adjusted to $2021</t>
  </si>
  <si>
    <t>https://comptroller.defense.gov/Portals/45/Documents/defbudget/fy2021/fy2021_p1.pdf</t>
  </si>
  <si>
    <t xml:space="preserve">Since these generators are sent from BW stocks, we assume these are tactical military generators. We take the price from the US budget document. </t>
  </si>
  <si>
    <t>Diesel-powered generator</t>
  </si>
  <si>
    <t>Due to a lack of information, it is impossible to estimate this price. Please note that the absence of price will not significantly affect the results due to the number of items committed and their potential value.</t>
  </si>
  <si>
    <t>https://www.militaryaerospace.com/sensors/article/14196524/electrooptical-targeting-attack-helicopters</t>
  </si>
  <si>
    <t>Lockheed Martin contract worth $49.7 million to build 19 multi-sensor elecro-optical and infrared (EO/IR) fire control systems for AH-1Z Viper attack helicopters. The each system is worth an average of 2,615,789.47 USD.</t>
  </si>
  <si>
    <t>Gun sight for L119 Light Field gun</t>
  </si>
  <si>
    <t xml:space="preserve">The range of prices for gun sights is too high. If assumed that the gun sight is for the 105mm light field gun, there is no available price. </t>
  </si>
  <si>
    <t>https://www.defensenews.com/global/asia-pacific/2018/09/24/south-korean-military-to-upgrade-friend-or-foe-id-capability/</t>
  </si>
  <si>
    <t>Deal worth 2.2 billion USD to upgrade 2000 pieces of equipment related to South Korean weapons systems from the decades-old Mode-4 to the latest Mode-5, the new NATO standard. Average price of one IFF system upgrade per piece of equipment is 1.1 million USD. However the possible item range is too large, so we retract the price to avoid misestimation.</t>
  </si>
  <si>
    <t>Infusion pump and blood bag</t>
  </si>
  <si>
    <t>Since the type of Lorry is unknown and prices depend heavily on the type, there is no estimation</t>
  </si>
  <si>
    <t>Pack of anti-inflammatory</t>
  </si>
  <si>
    <t>https://www.forbes.com/advisor/home-improvement/generator-cost-guide/</t>
  </si>
  <si>
    <t xml:space="preserve">The price of a generator can vary substantially, ranging from 245 USD to up to 18'000 USD. No value could be assigned, since we no further information regarding the type of item has been disclosed. </t>
  </si>
  <si>
    <t>Radio transmitter</t>
  </si>
  <si>
    <t>https://arstechnica.com/information-technology/2018/03/the-armys-costly-quest-for-the-perfect-radio-continues/</t>
  </si>
  <si>
    <t>US Army contract with Thales and Harris worth 3.9 billion USD to deliver 193,276 Rifleman radios. This leads to an average price of 20,178.40 USD. However the possible item range is too large, so we retract the price to avoid misestimation.</t>
  </si>
  <si>
    <t>Since the system mostly consists of the missile and the RBS missile is a variant of a hellfire missile, we use the price for hellfire as a proxy. Price deducted from the 2021 annual Pentagon Budget. Page 43, Gross/Weapon System Unit Cost, FY 2021 Total</t>
  </si>
  <si>
    <t>Respiratory assistance device</t>
  </si>
  <si>
    <t>School</t>
  </si>
  <si>
    <t>Trailer</t>
  </si>
  <si>
    <t>https://truckandtrailerleads.com/military-lowboy-trailer-a-comprehensive-guide-to-buying-and-using-a-truck-with-a-lowboy-trailer/</t>
  </si>
  <si>
    <t xml:space="preserve">Source states that the price range for new military lowboy trailers can range from $10,000 to over $50,000. In accordance with the upper bound rule, we take the price of 50,000 USD. </t>
  </si>
  <si>
    <t>Mobile DNA-analysis laboratory</t>
  </si>
  <si>
    <t>Hospital</t>
  </si>
  <si>
    <t>https://www.freshbooks.com/hub/estimates/how-much-does-it-cost-to-build-a-hospital#:~:text=The%20average%20construction%20costs%20for,built%20in%20a%20larger%20city.</t>
  </si>
  <si>
    <t xml:space="preserve">Since the cost is estimated to be between 60 and 190 million USD, we took the average price equal to 125 million USD. </t>
  </si>
  <si>
    <t>Temporary bridge</t>
  </si>
  <si>
    <t>https://www.newcivilengineer.com/latest/hammersmith-bridge-tfl-took-six-months-to-provide-info-on-temporary-crossing-09-09-2020/</t>
  </si>
  <si>
    <t>Estimated cost of a temporary bridge in the UK (27 million GBP), converted to USD on June 1 using: https://sdw.ecb.europa.eu/curConverter.do?sourceAmount=27.0&amp;sourceCurrency=GBP&amp;targetCurrency=USD&amp;inputDate=01-06-2022&amp;submitConvert.x=39&amp;submitConvert.y=5</t>
  </si>
  <si>
    <t xml:space="preserve">https://es.wikipedia.org/wiki/RG-31_Nyala </t>
  </si>
  <si>
    <t xml:space="preserve">Source provides a unit price of 644000 USD. </t>
  </si>
  <si>
    <t>Fire-engine</t>
  </si>
  <si>
    <t>https://firefighterinsider.com/fire-truck-engine-apparatus-cost/</t>
  </si>
  <si>
    <t>Can cost between 250,000 and 550,000 USD, average is 400,000 USD</t>
  </si>
  <si>
    <t>We took the same unit cost as for a fire-engine since they are often the same.</t>
  </si>
  <si>
    <t>Ambulance H</t>
  </si>
  <si>
    <t>https://www.worldsdailynews.com/how-much-does-an-ambulance-vehicle-cost/</t>
  </si>
  <si>
    <t xml:space="preserve">An ambulance can cost between 35000 USD and 600000 USD, average is 317,500 USD. </t>
  </si>
  <si>
    <t>Ambulance Latvia</t>
  </si>
  <si>
    <t>According to the official source, the price for one ambulance from Latvia is 83693.93 EUR.</t>
  </si>
  <si>
    <t>Mobile house</t>
  </si>
  <si>
    <t>https://realestate.usnews.com/real-estate/articles/how-much-does-it-cost-to-buy-a-mobile-home#:~:text=Single%2DWide%20or%20Single%2DSection%20Home,-As%20the%20smaller&amp;text=The%20Census%20Bureau%20reports%20that,was%20%2476%2C400%20in%20November%202021.</t>
  </si>
  <si>
    <t>The average price of a new single-wide manufactured home is given with 76,400 USD according to the source.</t>
  </si>
  <si>
    <t>https://hcpresources.medtronic.com/blog/high-acuity-ventilator-cost-guide</t>
  </si>
  <si>
    <t>The price can range from 5,000 USD to 50,000 USD. Hence, the mean price is 27,500 USD.</t>
  </si>
  <si>
    <t>Ton of health and emergency equipment</t>
  </si>
  <si>
    <t>https://www.aerzte-ohne-grenzen.de/sites/default/files/mediathek/entity/document/1998-01-bosnia-report-donation-practices.pdf</t>
  </si>
  <si>
    <t>Source 1, Annex 5B Value Estimation cites WHO, IDA, ICRC, World Vision estimates as comparison. Approximate average per ton of drugs and medical supplies donations is 10,000 USD</t>
  </si>
  <si>
    <t>Ton of necessity items</t>
  </si>
  <si>
    <t>Source for food: https://www.ers.usda.gov/publications/pub-details/?pubid=43836 and source for medical supplies: https://economictimes.indiatimes.com/news/politics-and-nation/india-provided-15-tonnes-of-medical-supplies-worth-rs-2-11-crore-to-coronavirus-hit-china-government/articleshow/74693578.cms?from=mdr</t>
  </si>
  <si>
    <t xml:space="preserve">Assume that 'necessity items' consists in food and medical supplies. Source 1 says 133 billion pounds of food is worth 161.6 billion USD, which equals 2430.08 USD per ton. Source 2 says 15 tons of medical equipment is worth 21,100,000 Indian rupees, which equals 17,264.62 USD per ton. We take the average of these two values, which is approximately 10,000 USD. </t>
  </si>
  <si>
    <t>Field kitchen</t>
  </si>
  <si>
    <t>https://colemans.com/u-s-g-i-modular-field-kitchen</t>
  </si>
  <si>
    <t>Price of a US GI MODULAR FIELD KITCHEN from a US military surpus supplier</t>
  </si>
  <si>
    <t>Patient monitor</t>
  </si>
  <si>
    <t xml:space="preserve">https://www.medicalpriceonline.com/medical-equipment/patient-monitor/ </t>
  </si>
  <si>
    <t>Source lists the average cost of Patient Monitor medical devices as currently 4173 USD</t>
  </si>
  <si>
    <t>Hospital bed</t>
  </si>
  <si>
    <t>https://www.excel-medical.com/why-are-hospital-beds-so-expensive/</t>
  </si>
  <si>
    <t>Source lists a range between 4500 USD and 7500 USD for a standard hospital bed frame. We take the average of 6000 USD</t>
  </si>
  <si>
    <t>Ton of food</t>
  </si>
  <si>
    <t xml:space="preserve">https://www.ers.usda.gov/publications/pub-details/?pubid=43836 </t>
  </si>
  <si>
    <t>Source says that the estimated waste of 133 billion pounds of food was worth $161.6 billion, based on retail prices. This equals approximately $1.21 per pound, or $2430 per ton (2000 pounds in a ton).</t>
  </si>
  <si>
    <t>Petrol generator</t>
  </si>
  <si>
    <t>https://www.forbes.com/home-improvement/electrical/generator-cost-guide/</t>
  </si>
  <si>
    <t>Typical retail prices for a gas-powered generator range between 500 USD and 2500 USD. We take the median value of 1500 USD as approximation.</t>
  </si>
  <si>
    <t>Laptop</t>
  </si>
  <si>
    <t>https://leaguefeed.net/how-much-should-you-spend-on-laptop/#:~:text=The%20Average%20Cost%20of%20a%20Laptop,-Let%27s%20leave%20the&amp;text=For%20example%2C%20on%20average%2C%20the,Ultrabooks%20that%20satisfy%20your%20needs.</t>
  </si>
  <si>
    <t>The average selling price of a laptop is given within 600 and 750 USD, hence the average here would be 675 USD.</t>
  </si>
  <si>
    <t>Desktop</t>
  </si>
  <si>
    <t>https://www.statista.com/statistics/722992/worldwide-personal-computers-average-selling-price/#:~:text=The%20average%20selling%20price%20of,U.S.%20dollars%20in%20constant%20currency.</t>
  </si>
  <si>
    <t>The average selling price of a desktop PC was 632 USD in 2019.</t>
  </si>
  <si>
    <t>Ton of coal</t>
  </si>
  <si>
    <t>Source gives USD price of 329 for one ton of coal leaving Newcastle Australia</t>
  </si>
  <si>
    <t>Antenna</t>
  </si>
  <si>
    <t>https://www.angi.com/articles/how-much-does-tv-antenna-installation-cost.htm</t>
  </si>
  <si>
    <t>According to the source, the average cost to purchase and install a TV antenna is 310 USD.</t>
  </si>
  <si>
    <t>Floor mat</t>
  </si>
  <si>
    <t>https://www.mymat.de/preise-und-formate-fussmatten</t>
  </si>
  <si>
    <t xml:space="preserve">The source lists average prices in EUR for twelve floor mats of different sizes. The average price is 187.57 EUR. We convert this to USD. </t>
  </si>
  <si>
    <t>Central monitor</t>
  </si>
  <si>
    <t>https://www.gadgetreview.com/computer-monitor-cost#:~:text=How%20much%20does%20a%20monitor,price%20is%20around%20%24200%20%2D%20%24300.</t>
  </si>
  <si>
    <t>The average price of a computer monitor is given with 200 to 300 USD, hence we apply an estimate of 250 USD.</t>
  </si>
  <si>
    <t>Bed</t>
  </si>
  <si>
    <t xml:space="preserve">https://www.amazon.de/Betten-Schlafzimmer-Wohnen-Lifestyle/b?ie=UTF8&amp;node=343465011 </t>
  </si>
  <si>
    <t>Average retail price over available models</t>
  </si>
  <si>
    <t>Coat</t>
  </si>
  <si>
    <t>https://www.newsy.com/stories/how-much-money-should-you-actually-be-investing-in-a-winter-coat/</t>
  </si>
  <si>
    <t>Average price for winter coat is between 100 USD and 300 USD, so the average is 200 USD.</t>
  </si>
  <si>
    <t>Family tent</t>
  </si>
  <si>
    <t>10 Best Family Tents (2022 Update) Buyer’s Guide – Best Survival</t>
  </si>
  <si>
    <t>Source reports 200 USD for a fine family tent</t>
  </si>
  <si>
    <t>https://www.vabusinesssystems.com/how-much-does-a-voip-phone-system-cost</t>
  </si>
  <si>
    <t>According to the source, the typical cost for a VoIP phone ranges between 100 and 200 USD, so we take the average of 150 USD.</t>
  </si>
  <si>
    <t>Hospital pediatric bed</t>
  </si>
  <si>
    <t xml:space="preserve">https://www.alibaba.com/product-detail/Medical-Children-Clinic-Bed-Manual-Children_62180451022.html?spm=a2700.7724857.normal_offer.d_title.30c23ac4FuVEM5 </t>
  </si>
  <si>
    <t xml:space="preserve">Source gives a range of prices from 100 USD to 500 USD. We take the average.  </t>
  </si>
  <si>
    <t>Shower tent</t>
  </si>
  <si>
    <t>https://www.amazon.com/camping-shower-tent-Sports-Outdoors/s?k=camping+shower+tent&amp;rh=n%3A3375251</t>
  </si>
  <si>
    <t>Prices range from 40 USD to 150 USD, so we take the average of 95 USD.</t>
  </si>
  <si>
    <t>Sleeping bag</t>
  </si>
  <si>
    <t xml:space="preserve">https://priceonomics.com/sleeping-bag-price-guide/ </t>
  </si>
  <si>
    <t>We report the price of a 3-season sleeping bag</t>
  </si>
  <si>
    <t>Pair of rubber boots</t>
  </si>
  <si>
    <t>https://www.amazon.com/Rubber-Boots/s?k=Rubber+Boots</t>
  </si>
  <si>
    <t>The source provides a variety of prices, ranging from 20 USD up to 150 USD. We take the median value of round about 50 USD.</t>
  </si>
  <si>
    <t>Blanket</t>
  </si>
  <si>
    <t>https://thecostguys.com/home/average-cost-of-a-weighted-blanket</t>
  </si>
  <si>
    <t>Average retail price of a five pound weighted blanket.</t>
  </si>
  <si>
    <t>Sleeping mat</t>
  </si>
  <si>
    <t xml:space="preserve">https://www.amazon.de/s?k=Sleeping+mat&amp;crid=AP6F6KPMMYLL&amp;sprefix=sleeping+mat%2Caps%2C112&amp;ref=nb_sb_noss_1 </t>
  </si>
  <si>
    <t xml:space="preserve">Approximate average over retail prices available. </t>
  </si>
  <si>
    <t>Stretcher Latvia</t>
  </si>
  <si>
    <t>According to the official source (Informatīvais ziņojums...), the price for 200 stretchers from Latvia is 29.88 EUR. We convert this to USD.</t>
  </si>
  <si>
    <t>https://www.extension.iastate.edu/agdm/crops/pdf/a1-20.pdf</t>
  </si>
  <si>
    <t xml:space="preserve">We consider corn as a proxy for field crops. According to the source (page 2), the price of 1000 kernels is $3.56, so 0.00356 per kernel. According to (https://www.measuringknowhow.com/how-many-bushels-of-corn-are-in-a-ton/) there are 10,564,400 kernels in a ton, hence each ton costs 37,609.26 USD </t>
  </si>
  <si>
    <t>Cable</t>
  </si>
  <si>
    <t>https://www.amazon.de/-/en/Viablue-X-25-SILVER-POWER-CABLE/dp/B07ZYQWPZ9</t>
  </si>
  <si>
    <t>Price for one meter of a Viablue X-25 silver power cable.</t>
  </si>
  <si>
    <t>General purpose tent</t>
  </si>
  <si>
    <t>https://www.usmilitarytents.com/Military-Tents.aspx</t>
  </si>
  <si>
    <t xml:space="preserve">General range of prices for general purpose military tents is $600 to $6000. Approximate average retail price is 3000 USD. </t>
  </si>
  <si>
    <t>Pack of antibiotics</t>
  </si>
  <si>
    <t>https://www.drugs.com/price-guide/azithromycin-dose-pack</t>
  </si>
  <si>
    <t>Given price for a dose pack of oral tablets of Azithromycin.</t>
  </si>
  <si>
    <t>Pair of shoes</t>
  </si>
  <si>
    <t xml:space="preserve">https://www.alibaba.com/showroom/basics-shoes-online.html  </t>
  </si>
  <si>
    <t>Approx. 20 USD/pair of basic shoes</t>
  </si>
  <si>
    <t>Pair of latex gloves</t>
  </si>
  <si>
    <t>https://www.amazon.com/Disposable-Latex-Gloves-Powder-gloves/dp/B000XRY2FE</t>
  </si>
  <si>
    <t>The retail price for a 100 unit pack of latex gloves is 16 USD, so the price per pair is 0.32 USD</t>
  </si>
  <si>
    <t>Pair of nitrile gloves</t>
  </si>
  <si>
    <t>https://www.amazon.com/s?k=surgical+gloves&amp;crid=339VHKCNRBO5O&amp;sprefix=surgical+glove%2Caps%2C200&amp;ref=nb_sb_noss_1</t>
  </si>
  <si>
    <t>Average retail price for a single glove is around 0.13 per piece, hence 0.26 per pair</t>
  </si>
  <si>
    <t>Single-use protective suit</t>
  </si>
  <si>
    <t>https://www.amazon.com/dp/B0B1GXZXPX/ref=sspa_dk_detail_0?psc=1&amp;pd_rd_i=B0B1GXZXPX&amp;pd_rd_w=8Luot&amp;content-id=amzn1.sym.46bad5f6-1f0a-4167-9a8b-c8a82fa48a54&amp;pf_rd_p=46bad5f6-1f0a-4167-9a8b-c8a82fa48a54&amp;pf_rd_r=KPTZZRY2RHA3S7A9N81M&amp;pd_rd_wg=0rtva&amp;pd_rd_r=2e01c8ed-97c3-43c5-85ac-23e35fef55bb&amp;s=hi&amp;sp_csd=d2lkZ2V0TmFtZT1zcF9kZXRhaWw</t>
  </si>
  <si>
    <t>Bestseller according to amazon.com</t>
  </si>
  <si>
    <t>Bio protection suit</t>
  </si>
  <si>
    <t>https://www.amazon.com/s?k=bio+protective+suit&amp;__mk_de_DE=%C3%85M%C3%85%C5%BD%C3%95%C3%91&amp;crid=2MJA43R80NRVA&amp;sprefix=bio+protective+suit%2Caps%2C215&amp;ref=nb_sb_noss_1</t>
  </si>
  <si>
    <t>The average retail price is 10.00 USD.</t>
  </si>
  <si>
    <t>Safety glasses</t>
  </si>
  <si>
    <t>https://www.amazon.com/Best-Sellers-Medical-Safety-Goggles/zgbs/industrial/11312320011</t>
  </si>
  <si>
    <t>10,00 USD is the average price for medical safety glasses on Amazon.com</t>
  </si>
  <si>
    <t>Pack of analgesics</t>
  </si>
  <si>
    <t>https://www.amazon.de/-/en/Paracetamol-ratiopharm-500-Tablets-Pack-20/dp/B00DIW2WMQ</t>
  </si>
  <si>
    <t>Price for a package of a typical analgesics, paracetamol.</t>
  </si>
  <si>
    <t>Liter of disinfectant</t>
  </si>
  <si>
    <t>https://www.amazon.de/disinfectant-spray/s?k=disinfectant+spray</t>
  </si>
  <si>
    <t>The average retail price for commonly used surface disinfectants, per liter</t>
  </si>
  <si>
    <t>Liter of hand disinfectant</t>
  </si>
  <si>
    <t xml:space="preserve">https://www.amazon.de/-/en/ADLER-Disinfectant-Litres-according-Formula/dp/B088FXV6XT?th=1 </t>
  </si>
  <si>
    <t>Disinfectant, according to WHO Formula. 10 liter bottle costs $62.31, hence 1 liter costs $6.231</t>
  </si>
  <si>
    <t>Liter of bottled water</t>
  </si>
  <si>
    <t>https://www.amazon.de/s?k=liter+of+water&amp;crid=FSFX4B7W5MIB&amp;sprefix=liter+of+wate%2Caps%2C76&amp;ref=nb_sb_noss_2</t>
  </si>
  <si>
    <t>Approximate average retail price is $1.50 per liter</t>
  </si>
  <si>
    <t>Liter of water</t>
  </si>
  <si>
    <t>In this case, we used the price of bottled water, since we could not find anything regarding water in containers (refer to identifier ATH1). Approximate average retail price is $1.50 per liter</t>
  </si>
  <si>
    <t>Liter of fuel H</t>
  </si>
  <si>
    <t>Usage of global average current fuel price. (31 October, 2022)</t>
  </si>
  <si>
    <t>Liter of diesel H</t>
  </si>
  <si>
    <t>Surgical mask</t>
  </si>
  <si>
    <t>https://www.amazon.com/s?k=surgical+mask&amp;crid=1ROTDHJDQISW0&amp;sprefix=surgical+mas%2Caps%2C175&amp;ref=nb_sb_noss_2</t>
  </si>
  <si>
    <t>The average retail price is around 0.24 USD per piece.</t>
  </si>
  <si>
    <t>Medical protective mask</t>
  </si>
  <si>
    <t>Mouth mask</t>
  </si>
  <si>
    <t>Average retail prices is around 0.24 USD per piece</t>
  </si>
  <si>
    <t>Gloves</t>
  </si>
  <si>
    <t>Average retail price is around 0.13 USD per piece.</t>
  </si>
  <si>
    <t>Disposable glove</t>
  </si>
  <si>
    <t>Average retail price is around 0.13 per piece</t>
  </si>
  <si>
    <t>Syringe</t>
  </si>
  <si>
    <t>https://www.paho.org/sites/default/files/RF-SyringePrices-2016-2017-e.pdf</t>
  </si>
  <si>
    <t>The source gives a price range for syringes in between 0.02 USD and 0.07 USD. We take the median of 0.045 USD as price estimator.</t>
  </si>
  <si>
    <t>https://comptroller.defense.gov/Portals/45/Documents/defbudget/fy2009/budget_justification/pdfs/02_Procurement/Vol_2_SOCOM_CBDP/SOCOM%20PDW%20PB09.pdf</t>
  </si>
  <si>
    <t>We use the price acquired from the US budget documents for FY 2009. It lists the price of 72 AN/PEQ-1C Laser Designators for 6 USD million. We, therefore, calculate the price of a singe item and convert it to 2021$.</t>
  </si>
  <si>
    <t>Unspecified type of equipment</t>
  </si>
  <si>
    <t>The price cannot be determined from the information given. Please note that the absence of price will not significantly affect the results due to the number of items committed and their potential value.</t>
  </si>
  <si>
    <t>https://www.fiercepharma.com/pharma/pfizer-eyes-higher-covid-19-vaccine-prices-after-pandemic-exec-analyst</t>
  </si>
  <si>
    <t>The source reports that recent price of Pfizer vaccine dose is 19.50</t>
  </si>
  <si>
    <t>The source reports that Spain sent 1000 tons of diesel to Ukraine and that Spain approximated it to be 2.5 EUR million.</t>
  </si>
  <si>
    <t>Winter Clothing (Lithuania)</t>
  </si>
  <si>
    <t>Based on the information from the Lithuanian Minister of Defense, 25000 winter suits are worth around 2 EUR million. It makes 80 EUR per unit. We also convert it to USD using the average exchange rate for 2022 (until 25 November)</t>
  </si>
  <si>
    <t>ton of firefighting equipment</t>
  </si>
  <si>
    <t>ton of medicine</t>
  </si>
  <si>
    <t xml:space="preserve">Source 1, Annex 5B Value Estimation cites WHO, PSF, ICRC, World Vision estimates as comparision for tons of medical equipment which we take as a proxy for tons of medicine. We take the average of these four estimates. </t>
  </si>
  <si>
    <t>water treatment unit</t>
  </si>
  <si>
    <t>https://www.best-osmosis-systems.com/water-filtration-system-cost/</t>
  </si>
  <si>
    <t>Online marketplace and stores</t>
  </si>
  <si>
    <t>Price range for a reverse osmosis system is between 150 USD and 500 USD. We take the average</t>
  </si>
  <si>
    <t>respirator</t>
  </si>
  <si>
    <t xml:space="preserve">According to the source, the typical price for a 120mm towed smoothbore mortar system is around 370,000 EUR. We convert this to USD with the Exchange Rate we use in Release 9 (1.05), which equals 388,500 USD. </t>
  </si>
  <si>
    <t>https://www.asafm.army.mil/Portals/72/Documents/BudgetMaterial/2023/Base%20Budget/Procurement/OPA_BA3_4_Other_Support_Equipment.pdf</t>
  </si>
  <si>
    <t>Source lists a price of 109.89 USD per round of 120mm HE mortar round from the 2023 Pentagon Ammo procurement budget plan.</t>
  </si>
  <si>
    <t xml:space="preserve">Source provides information on six contracts for the sale of M577 vehicles, the type of vehicle that is commonly used as an amored medical treatment vehicle. We take the average value of these contracts. </t>
  </si>
  <si>
    <t>https://ammopricesnow.com/556-nato/</t>
  </si>
  <si>
    <t xml:space="preserve">We take 5.56 NATO rounds as a proxy for small arms ammunition, as it is the most common round used by the US Army. The source provides an average price over time of 0.47 USD. </t>
  </si>
  <si>
    <t>150mm artillery round</t>
  </si>
  <si>
    <t>https://bigtruckrental.com/rear-loader-garbage-truck-rental-service/how-much-does-a-new-rear-loader-garbage-truck-cost/</t>
  </si>
  <si>
    <t xml:space="preserve">According to the source, a new Garbage Truck will cost between 200000 and 400000 USD. We take the average to arrive at 300000 USD per new unit. </t>
  </si>
  <si>
    <t>https://www.frazerbilt.com/blog-ambulance-cost/</t>
  </si>
  <si>
    <t xml:space="preserve">An ambulance can cost between 120,000 and 325,000 USD, average is close to 220,000 USD. </t>
  </si>
  <si>
    <t>https://www.amazon.com/GUARD-SHIELD-Medium-Purpose-Waterproof/dp/B0974LGBDM/ref=sxin_15_pa_sp_search_thematic_sspa?content-id=amzn1.sym.b5b80b36-fed9-4412-8be2-fe5bba09d25a%3Aamzn1.sym.b5b80b36-fed9-4412-8be2-fe5bba09d25a&amp;crid=1Y6ZMUK89WH8A&amp;cv_ct_cx=tarpaulin&amp;keywords=tarpaulin&amp;pd_rd_i=B0974LGBDM&amp;pd_rd_r=4ee90763-05e6-409c-bb1c-9075d3062221&amp;pd_rd_w=85ApN&amp;pd_rd_wg=UtiJn&amp;pf_rd_p=b5b80b36-fed9-4412-8be2-fe5bba09d25a&amp;pf_rd_r=3QEFJPT5JX03S1GD04F7&amp;qid=1667485169&amp;qu=eyJxc2MiOiI1LjM2IiwicXNhIjoiNS40NyIsInFzcCI6IjQuOTcifQ%3D%3D&amp;sprefix=tarpaulin%2Caps%2C198&amp;sr=1-1-a73d1c8c-2fd2-4f19-aa41-2df022bcb241-spons&amp;th=1</t>
  </si>
  <si>
    <t>Average retail price is about 25 USD</t>
  </si>
  <si>
    <t>https://autoline.info/-/buses/IVECO/Crossway--c65tm2616m1238</t>
  </si>
  <si>
    <t>According to the source, an used Iveco bus Euro-6 version) can cost between 13900 and 134900 EUR, depending on the condition of the bus. We take the average to arrive at 74400 EUR per new unit. We also convert it to USD using the average exchange rate for 2022 (until 25 November)</t>
  </si>
  <si>
    <t>Since the item price can vary very much and it is not used for any calculations, we do not set any price here.</t>
  </si>
  <si>
    <t xml:space="preserve">We use a price of an ambulance as a proxy. An ambulance can cost between 35000 USD and 600000 USD, average is 317,500 USD. </t>
  </si>
  <si>
    <t>https://www.amazon.de/Bauschlauch-Feuerwehrschlauch-C-Storz-Schlauch-Industrieschlauch/dp/B07VS3J1FD/ref=asc_df_B07VS3J1FD/?tag=googshopde-21&amp;linkCode=df0&amp;hvadid=427668035407&amp;hvpos=&amp;hvnetw=g&amp;hvrand=1020688947190500949&amp;hvpone=&amp;hvptwo=&amp;hvqmt=&amp;hvdev=c&amp;hvdvcmdl=&amp;hvlocint=&amp;hvlocphy=1004113&amp;hvtargid=pla-1106289525352&amp;psc=1&amp;th=1&amp;psc=1&amp;tag=&amp;ref=&amp;adgrpid=99764524455&amp;hvpone=&amp;hvptwo=&amp;hvadid=427668035407&amp;hvpos=&amp;hvnetw=g&amp;hvrand=1020688947190500949&amp;hvqmt=&amp;hvdev=c&amp;hvdvcmdl=&amp;hvlocint=&amp;hvlocphy=1004113&amp;hvtargid=pla-1106289525352</t>
  </si>
  <si>
    <t>The price of 20m is approx. 25 EUR, so the price of 1km is 1250 EUR, which we then convert to USD using the average exchange rate for 2022 (until 25 November)</t>
  </si>
  <si>
    <t>https://www.ltt-versand.de/licht/spezialeffektgeraete/zubehoer-fuer-spezialeffekte/fluide/8540/eurolite-foam-konzentrat-5l?gclid=CjwKCAiApvebBhAvEiwAe7mHSJfGcV_-VQ6pAf5Cn7KZF-l9eRLIAy5NPA0_p3Rrtqdch1Lg5jjLghoCu1UQAvD_BwE</t>
  </si>
  <si>
    <t>The reported litre price is 9 EUR. We convert it to USD using the average exchange rate for 2022 (until 25 November)</t>
  </si>
  <si>
    <t>non combat military helicopter</t>
  </si>
  <si>
    <t>https://aerocorner.com/aircraft/kamov-ka-32a/</t>
  </si>
  <si>
    <t>Source lists the price between 5.2 and 6.5 USD million.</t>
  </si>
  <si>
    <t>Item designation too vague to deduct price.</t>
  </si>
  <si>
    <t>humanitarian</t>
  </si>
  <si>
    <t>Due to the lack of information, we use the price of anti-drone cannon from our price list as a proxy.</t>
  </si>
  <si>
    <t>https://www.cnet.com/home/energy-and-utilities/ready-to-pull-out-your-space-heater-heres-how-much-itll-cost-you/</t>
  </si>
  <si>
    <t xml:space="preserve">Source lists the price between 20 and 300 USD for a space heater. In accordance with the upper-bound rule, we take the price of 300 USD </t>
  </si>
  <si>
    <t>https://www.amazon.de/Celox-Haemostatische-Mullwindel-Z-Falz-52/dp/B07RWLK5VK/ref=asc_df_B07RWLK5VK/?tag=googshopde-21&amp;linkCode=df0&amp;hvadid=427748981932&amp;hvpos=&amp;hvnetw=g&amp;hvrand=10208160552108135736&amp;hvpone=&amp;hvptwo=&amp;hvqmt=&amp;hvdev=c&amp;hvdvcmdl=&amp;hvlocint=&amp;hvlocphy=9043596&amp;hvtargid=pla-815670292745&amp;psc=1&amp;th=1&amp;psc=1&amp;tag=&amp;ref=&amp;adgrpid=106322596704&amp;hvpone=&amp;hvptwo=&amp;hvadid=427748981932&amp;hvpos=&amp;hvnetw=g&amp;hvrand=10208160552108135736&amp;hvqmt=&amp;hvdev=c&amp;hvdvcmdl=&amp;hvlocint=&amp;hvlocphy=9043596&amp;hvtargid=pla-815670292745</t>
  </si>
  <si>
    <t xml:space="preserve">Price for a military grade medical gauze. </t>
  </si>
  <si>
    <t>https://www.ojp.gov/pdffiles1/nij/189725.pdf</t>
  </si>
  <si>
    <t xml:space="preserve">The German Army uses the Kärcher Decocontain 3000, a mobile decontamination vehicle. The source lists the unit cost as 600000 USD. </t>
  </si>
  <si>
    <t>https://www.washingtonpost.com/politics/2022/04/08/us-quietly-paying-millions-send-starlink-terminals-ukraine-contrary-spacexs-claims/</t>
  </si>
  <si>
    <t xml:space="preserve">Based on the type of terminals USAID recently sent to Ukraine, we assume Poland also committed and delivered them. The price for each terminal is 1500 USD. </t>
  </si>
  <si>
    <t xml:space="preserve">Even thought, Germany sent HEP-70 to Ukraine, we cannot estimate it's price due to lack of information. Still, the German Army also uses the Kärcher Decocontain 3000, a mobile decontamination vehicle. The source lists the unit cost as 600000 USD. </t>
  </si>
  <si>
    <t>See the note</t>
  </si>
  <si>
    <t xml:space="preserve">Since these vehicles are donated from the stocks of the Federal Armed Forces of Germany, we assume they've sent moderate models, which are: VW Transporter T5 (minibus), Iveco Eurocargo ML 140E (truck), and MAN KAT1 (all-terrain vehicle). For each category, we try to estimate a price of a second-hand vehicle. The cost of VW Transporter T5 and MAN KAT1 is taken from one retail store (https://suchen.mobile.de/) and averages around 25000 EUR and 35000 EUR, respectively. The cost of Iveco Eurocargo ML 140E is taken from the different retail stores (https://www.alle-lkw.de/lkw/iveco/eurocargo-140e?sortby=price) and averaged around 35000 EUR. We also assume that all vehicles are equally distributed, so the average price per item is about 31.666 EUR, which is about 31500 current USD.    </t>
  </si>
  <si>
    <t>http://www.military-today.com/firearms/m141_bdm.htm</t>
  </si>
  <si>
    <t xml:space="preserve">According to the source, in 2012 one unit cost 17867.83 USD. </t>
  </si>
  <si>
    <t xml:space="preserve">Military equipment </t>
  </si>
  <si>
    <t>Wheeled Assault Gun (ASLT)</t>
  </si>
  <si>
    <t>Source lists a contract over 2 SEMP/T for a total of 651 million EUR, bringing the unit price to 341,77 million USD.</t>
  </si>
  <si>
    <t>https://ledask.com/led-light-cost/</t>
  </si>
  <si>
    <t xml:space="preserve">According to the source, the average cost of a LED light bulb is 3.50 USD. </t>
  </si>
  <si>
    <t xml:space="preserve">Fighter jet ammunition </t>
  </si>
  <si>
    <t>https://www.deeptrekker.com/shop/products/revolution-x-rov</t>
  </si>
  <si>
    <t>Since we could not find the price of the original ROV R7, we reported the price of the Canadian variant with similar functions.</t>
  </si>
  <si>
    <t>It is impossible to estimate the price of this item due to the lack of information.</t>
  </si>
  <si>
    <t>https://www.autoevolution.com/news/primoco-lands-7-million-order-for-its-one-150-unmanned-aerial-vehicle-203800.html</t>
  </si>
  <si>
    <t xml:space="preserve">We take the price for a contract conducted in November 2022. </t>
  </si>
  <si>
    <t xml:space="preserve"> . </t>
  </si>
  <si>
    <t>Light poles set</t>
  </si>
  <si>
    <t>It is impossible to estimate the item and, therefor, the price due to the lack of information.</t>
  </si>
  <si>
    <t>https://www.csis.org/analysis/patriot-ukraine-what-does-it-mean</t>
  </si>
  <si>
    <t>CSIS suggests that the price of one patriot battery is about 400 million USD without missiles.</t>
  </si>
  <si>
    <t>https://mezha.media/en/2022/11/24/mim-104-patriot-air-defense-poland/</t>
  </si>
  <si>
    <t>Source states a price of 3 million USD for one missile.</t>
  </si>
  <si>
    <t>https://www.globalsecurity.org/military/systems/ground/m252-specs.htm</t>
  </si>
  <si>
    <t>Source lists a replacement cost of 24717 USD for a british 81mm mortar system which we use as a proxy.</t>
  </si>
  <si>
    <t>https://www.welt.de/politik/ausland/article241106455/Waffenhilfe-Deutschland-liefert-weitere-Geschuetze-an-die-Ukraine.html?cid=socialmedia.twitter.shared.web&amp;wtrid=socialmedia.socialflow....socialflow_twitter</t>
  </si>
  <si>
    <t xml:space="preserve">Souce lists a contract between Germany and Ukraine from 2022 for 18 units for a total price of 216 million EUR, bringing the unit cost to 12 million EUR. Due to exchange rate parity in September 2022 we take the EUR value as USD value. </t>
  </si>
  <si>
    <t>https://www.armyandoutdoors.com/products/swiss-army-wool-blanket?_pos=1&amp;_sid=827b90bd2&amp;_ss=r</t>
  </si>
  <si>
    <t xml:space="preserve">Source reports a price of 85 USD for a Swiss Army wool blanket, which we take as representative of military wool blankets </t>
  </si>
  <si>
    <t>armored engineer vehicle</t>
  </si>
  <si>
    <t>https://www.focus.de/politik/macht-rheinmetall-ordentlich-kasse-bericht-ukraine-soll-fuer-marder-panzer-70-prozent-aufpreis-zahlen_id_98142080.html</t>
  </si>
  <si>
    <t>Source reports a contract value between Germany and Ukraine over 100 Marder for a total of 153 million EUR, bringing the unit price to 1.53 million USD.</t>
  </si>
  <si>
    <t>We could not find a robust source for this item, so we took the average price of its two close variants, Pzh2000 and Krab howitzer, as a proxy.</t>
  </si>
  <si>
    <t>unspecified Armored vehicle</t>
  </si>
  <si>
    <t>Based on the information from the package and converted to US dollars.</t>
  </si>
  <si>
    <t>https://en.wikipedia.org/wiki/Archer_Artillery_System</t>
  </si>
  <si>
    <t>Source reports a unit price of 4 million USD.</t>
  </si>
  <si>
    <t>https://en.wikipedia.org/wiki/BGM-71_TOW</t>
  </si>
  <si>
    <t>Source reports a unit cost of 8500 GBP in 2021, which we translate to 9000 USD in 2022.</t>
  </si>
  <si>
    <t>http://www.inetres.com/gp/military/cv/weapon/M242.html</t>
  </si>
  <si>
    <t xml:space="preserve">As a proxy, we use the 25mm M919 Armor-Piercing, Fin-Stabilized Discarding Sabot with Tracer (APFSDS-T) round, which is one of the basic rounds the US uses with 25mm guns. One round was was worth 98 USD in 2004. Converted to 2021$ it is worth 141.58 USD.  </t>
  </si>
  <si>
    <t>https://en.wikipedia.org/wiki/RIM-7_Sea_Sparrow</t>
  </si>
  <si>
    <t>Source lists a unit cost of 165900 USD.</t>
  </si>
  <si>
    <t>https://airandspace.si.edu/collection-objects/zuni-missile/nasm_A19660160000#:~:text=The%20Zuni%20was%20very%20inexpensive,1966%20by%20the%20U.S.%20Navy.</t>
  </si>
  <si>
    <t>Source reports a unit cost of 400 USD.</t>
  </si>
  <si>
    <t>https://www.truck1.eu/trucks/box-trucks/volvo-n10-ex-army-a3882736.html</t>
  </si>
  <si>
    <t>Source reports a unit cost of 21500 EUR. Another source (https://www.truck1.sg/trucks/volvo-n10-280-6x4-box-a2549375.html) reports lower price, so we take an average. We also convert it to USD.</t>
  </si>
  <si>
    <t>https://www.ibiblio.org/hyperwar/USN/Admin-Hist/075-Ordnance/075-Ord6R.html</t>
  </si>
  <si>
    <t>Due to a lack of information (even the study dedicated to the book did not reveal the price, see Gander 2013), we use the price of a new single L70 Bosfor gun from US arms procurement documents from 1945. We convert it to 2021 dollars.</t>
  </si>
  <si>
    <t xml:space="preserve">We take the price from the crowdfunding project that collected 3.8 USD million for the manufucturing of 15 similar vehicles. </t>
  </si>
  <si>
    <t>https://www.pressebox.de/pressemitteilung/rheinmetall-ag/Rheinmetall-erhaelt-bedeutenden-Auftrag-aus-Kanada/boxid/472090</t>
  </si>
  <si>
    <t xml:space="preserve">According to the source Canada placed an order for unkown amount of BzP3 in 2011. IISS (2019,2020,2021,2022) report that Canada possesses 12 of them. Therefore, we assume that in 2011 Canada ordered this amount of ARV and therefore calculated an average unit cost based on that. We also convert it to $2021. </t>
  </si>
  <si>
    <t>https://www.aa.com.tr/en/europe/slovakia-signs-deal-to-purchase-152-armored-combat-vehicles/2762233</t>
  </si>
  <si>
    <t>Media reports (incl. Social media)</t>
  </si>
  <si>
    <t>Article mentions Slovak contract over 152 units with a total value of 1.37 billion USD.</t>
  </si>
  <si>
    <t>Average over multiple contracts of the RB-57</t>
  </si>
  <si>
    <t>Mi-17V5</t>
  </si>
  <si>
    <t>Source reports a price for the Mi-17 helicopter. Mi-17V5 is a variant of the Mi-17 (http://www.military-today.com/helicopters/mi_17.htm)</t>
  </si>
  <si>
    <t>https://www.airforce-technology.com/news/newsuae-orders-gm200-anti-aircraft-radar-systems-from-thales/</t>
  </si>
  <si>
    <t xml:space="preserve">Source reports the sale of 17 GM200 for 300 million EUR in 2013. This corresponds to €325,294,295.2 in 2021, which is equal to 341,559,009.96 USD (using a 1.05 exchange rate). Thus, the price of one system is 20,091,706.47 USD. </t>
  </si>
  <si>
    <t>https://outbacktravelaustralia.com.au/buyers-guide-heavy-duty/mercedes-benz-zetros/</t>
  </si>
  <si>
    <t>Source reports that a 6x6 2733 Zetro truck costs 240,000 AUD. This corresponds to 160,890.50 USD (3/20/2023)</t>
  </si>
  <si>
    <t>Source reports multiple contracts, with the average unit price coming to 10 million USD.</t>
  </si>
  <si>
    <t>https://www.asafm.army.mil/Portals/72/Documents/BudgetMaterial/2023/Base%20Budget/Procurement/AMMO_ARMY.pdf</t>
  </si>
  <si>
    <t>The source reports a unit price of 20,001.25 USD per complete round of 120mm tank APFSDS-T shell for the 2023 procurement plan of the US Army. The caliber is the same as the Leopard-2A6 uses for its primary armament. The shell type is a variant of a standard Armor piercing round.</t>
  </si>
  <si>
    <t>https://www.safeandsanitaryhomes.org/roll-off-dumpster-cost/</t>
  </si>
  <si>
    <t xml:space="preserve">Source reports that a 40-yard roll-off container can cost up to 8000 USD or more. </t>
  </si>
  <si>
    <t>Source reports multiple contracts, with the average unit price coming to 41.5 million USD.</t>
  </si>
  <si>
    <t>Source reports multiple contracts, with the average unit price coming to 4.15 million USD.</t>
  </si>
  <si>
    <t>Aster-30 anti-aircraft missile</t>
  </si>
  <si>
    <t>https://www.lopinion.fr/international/ukraine-la-france-et-litalie-passe-une-commande-geante-de-missiles-sol-air</t>
  </si>
  <si>
    <t>Source reports that 700 Aster-30 anti-aircraft missiles costs 2 billion EUR. Converted into USD, using 1.08 exchange rate, this is 2.16 billion USD for 700, or 3.01 billion USD for 1 missile.</t>
  </si>
  <si>
    <t>https://pdf.directindustry.com/pdf/jenoptik-i-defense-civil-systems/power-supply-solutions-power-generation-systems-air-defense/65823-774066-_5.html</t>
  </si>
  <si>
    <t>According to the source generator for the PATRIOT air defense system consists of two 150kw generators. Since the US is to send PATRIOTs to Ukraine, we report the price of two 150kw here.</t>
  </si>
  <si>
    <t xml:space="preserve">We use the Lightweight Counter Mortar Radar price from the US army procurement documents for FY2021. </t>
  </si>
  <si>
    <t xml:space="preserve">We use the PRECISION STRIKE MISSILE (PRSM) price from the US army procurement documents for FY2021. </t>
  </si>
  <si>
    <t>We assume the recovery vehicle is M-88A2 HERCULES. Average unit cost based on different contracts from SIPRI database and the source and adjusted to 2021$</t>
  </si>
  <si>
    <t>We assume the ammunition support vehicle is M-992 FAASV. Average unit cost based on different contracts from SIPRI database and the source and adjusted to 2021$</t>
  </si>
  <si>
    <t>generator (150kw)</t>
  </si>
  <si>
    <t>https://minagro.gov.ua/en/napryamki/state-support/information-about-needs-diesel-generators-agro-industrial-complex-ukraine</t>
  </si>
  <si>
    <t>Based on the estimations on needs for power generators and their costs made by Ukrainian Ministry of Afgarian policy and food.</t>
  </si>
  <si>
    <t>The source reports a unit price of 20,001.25 USD per complete round of 120mm tank APFSDS-T shell for the 2023 procurement plan of the US Army. The shell type is a variant of a standard Armor piercing round.</t>
  </si>
  <si>
    <t>https://www.defensenews.com/global/europe/2022/04/05/poland-signs-475-billion-abrams-tank-deal-as-russias-war-speeds-procurements/</t>
  </si>
  <si>
    <t>The source reports a contract between Poland and the US over 250 units for a total of USD 4.75 billion in 2022. This amounts to a unit cost of 19 million USD.</t>
  </si>
  <si>
    <t>Since the Leopard-2R, a Finnish variant of the Leopard-2A4 build to clear mine fields, is based on the Leopard-2A4 and no specific price is available due to the special regional modification, we take the price of the Leopard-2A4 as proxy. Average unit cost based on different contracts from SIPRI database and the source and adjusted to 2021$</t>
  </si>
  <si>
    <t xml:space="preserve">Price from one contract over $30 million over 36 units from 2018, which amounts to a unit cost of $833,000. </t>
  </si>
  <si>
    <t>https://www.thedefensepost.com/2023/02/02/france-italy-aster-missiles/</t>
  </si>
  <si>
    <t xml:space="preserve">Source lists a contract over 700 units for a total of $2 billion, which brings the unit cost to approx. $2.857 billion. </t>
  </si>
  <si>
    <t>School bus</t>
  </si>
  <si>
    <t>https://www.gregorypoole.com/school-bus-costs/</t>
  </si>
  <si>
    <t>Source reports price range from USD 90,000 to 290,000. We use the arithmetic mean.</t>
  </si>
  <si>
    <t>https://bangladeshdefence.blogspot.com/2010/11/missile-price-list.html</t>
  </si>
  <si>
    <t>Price lists for missiles. Since the prices are very high for missile prices, we assume that the price is for the whole KUB system.</t>
  </si>
  <si>
    <t>https://www.frankonia.de/p/heckler-koch/pistole-sfp9-sf/185332</t>
  </si>
  <si>
    <t>The online store lists a prive of EUR 893.99. Given an exchange rate of 1.08 USD/EUR, we assume that the price is USD 963.06.</t>
  </si>
  <si>
    <t>https://www.redcross.org/store/american-red-cross-tactical-tourniquet-by-tactical-medical-solutions/SOFTT-W-RC.html#:~:text=The%20American%20Red%20Cross%20SOF,use%20tourniquet%20for%20all%20environments.&amp;text=50%20%2D%20100%20units%20%2D%20%2428.99%20ea,%2D%201%2C000%20units%20%2D%20%2426.99%20ea.</t>
  </si>
  <si>
    <t>The online store of the Amercian Red Cross lists a prive of USD 30.99.</t>
  </si>
  <si>
    <t>Source 1 reports a unit price from the Russo-Ukrainian war of 140 million EUR per piece for Iris-T SLM. We use this as a proxy for Iris-T SLS.</t>
  </si>
  <si>
    <t>Ground Surveillance Radar</t>
  </si>
  <si>
    <t>https://www.made-in-china.com/products-search/hot-china-products/Ground_Surveillance_Radar.html</t>
  </si>
  <si>
    <t>The source quantifies typical costs of a portable ground surveillance radar to 40,000 to 60,000 USD. Hence, we use the average of 50,000 USD as estimate.</t>
  </si>
  <si>
    <t>https://en.wikipedia.org/wiki/Heckler_%26_Koch_MG5</t>
  </si>
  <si>
    <t>The source reports German purchases of MG5s. We calculate the weighted average per MG5 which is EUR 15,832.93. We use an exchange rate of 1.07 USD/EUR and get the price USD 16,941.24.</t>
  </si>
  <si>
    <t xml:space="preserve">https://gagadget.com/en/136574-the-armored-group-has-received-a-23200000-order-to-supply-batt-umg-armored-vehicles-to-the-military-of-an-unnamed-eastern/#:~:text=By%20information%20Military%2C%20most%20likely,to%20be%20delivered%20in%20July. </t>
  </si>
  <si>
    <t>Contract worth $23,200,000 for 100 vehicles.</t>
  </si>
  <si>
    <t xml:space="preserve">https://mortarinvestments.eu/de/catalog/item/bv-206-hagglunds </t>
  </si>
  <si>
    <t>The source reports a price of EUR 20,000.  We use an exchange rate of 1.07 USD/EUR and get the price USD 21,400.</t>
  </si>
  <si>
    <t>Source reports a price of 350000 USD for new army trucks, which we take as proxy for tank trucks.</t>
  </si>
  <si>
    <t>We use the price of a variant of SB-40 LAG, which is Mk 19, as a proxy.</t>
  </si>
  <si>
    <t>https://de.ileq.shop/peli-094900-0000-110e-9490-remote-area-lighting-system-black.html</t>
  </si>
  <si>
    <t>The source reports a price of EUR 1,390.57.  We use an exchange rate of 1.07 USD/EUR and get the price USD 1,487.91.</t>
  </si>
  <si>
    <t>https://military-history.fandom.com/wiki/Heavy_Expanded_Mobility_Tactical_Truck#:~:text=The%20cost%20of%20a%20%27plain,technology%20demonstrator%20with%20hybrid%20powerplant.</t>
  </si>
  <si>
    <t>Source lists a price of 135000 USD depending on the version.</t>
  </si>
  <si>
    <t>Source lists a unit price for a 105mm T PDS-T round of 2344.20 USD per round in the procurement plans for 2023.</t>
  </si>
  <si>
    <t>Munitions for unmanned aerial systems</t>
  </si>
  <si>
    <t>Drone Ammunition</t>
  </si>
  <si>
    <t>Aircraft missile ammunition</t>
  </si>
  <si>
    <t>Source lists a price between 1093 and 890 USD per complete round of unguided Hydra 70 missile. We take an approximate average of 1000 USD per piece.</t>
  </si>
  <si>
    <t>https://en.wikipedia.org/wiki/AIM-7_Sparrow</t>
  </si>
  <si>
    <t>Source lists a unit price of 125000 USD.</t>
  </si>
  <si>
    <t>anti-armor ammunition</t>
  </si>
  <si>
    <t>Source lists a price of 87.32 USD per round.</t>
  </si>
  <si>
    <t>We use the Gepard as a proxy for this weapon. The source states 37 Gepard Units being sold by Germany to Brazil in 2013 for a total of 37 million EUR. This indicates a EUR value of 1 million EUR per Gepard, translating to roughly 1.05 million USD. We also convert it to $2021.</t>
  </si>
  <si>
    <t>Source lists a contract for a Advanced Precision Kill Weapon System, a precourser of the C-UAS weapon.</t>
  </si>
  <si>
    <t>Aircraft ammunition</t>
  </si>
  <si>
    <t>130mm howitzer ammunition</t>
  </si>
  <si>
    <t>We use as a proxy the price and source of a 155mm artillery round. The source states Canada has given Ukraine over 20000 units worth 98 million CAD, which is 4900 CAD per unit. We convert this to USD to arrive at the unit cost of approximately 3800 USD per round of 155mm NATO shells</t>
  </si>
  <si>
    <t>Drone ammunition</t>
  </si>
  <si>
    <t>The price is reported in the official publication.</t>
  </si>
  <si>
    <t>http://web.archive.org/web/20230208141207/https://minagro.gov.ua/en/napryamki/state-support/information-about-needs-diesel-generators-agro-industrial-complex-ukraine</t>
  </si>
  <si>
    <t>We take the price of 9kW generator provided by Ukrainian Ministry Of Agrarian Policy And Food.</t>
  </si>
  <si>
    <t>https://www.polizeibedarf-dagdas.de/alle-kategorien/polizeibekleidung/polizei-einsatzkombis-overalls/12285/etzel-polizei-einsatzoverall?c=1543</t>
  </si>
  <si>
    <t xml:space="preserve">We take the price of German police uniforms from an online retail store as a proxy. </t>
  </si>
  <si>
    <t>http://web.archive.org/web/20210106193535mp_/https://www.theparking.eu/used-cars/land-rover-wolf.html</t>
  </si>
  <si>
    <t>We use the price of a second-hand vehicle tanking from the online aggregator. We also use an archived website version to keep the composition of the offers stable.</t>
  </si>
  <si>
    <t>We take the price of the Pinzgauer 6x6 armored ambulance as a proxy since the price for Mercedes is unavailable. Average unit cost based on different contracts from SIPRI database and the source and adjusted to 2021$</t>
  </si>
  <si>
    <t>Armored Reconnaissance</t>
  </si>
  <si>
    <t>https://weaponsystems.net/system/404-Fennek</t>
  </si>
  <si>
    <t>Since the version is unknown, we report the most neutral price for Fennek available.</t>
  </si>
  <si>
    <t>http://web.archive.org/web/20220401000000*/https://www.bridgesforsale.co.uk/node/59</t>
  </si>
  <si>
    <t xml:space="preserve">We take the price of the bridge on sale in 2022 in GBP and convert it to USD. </t>
  </si>
  <si>
    <t>https://militaryleak.com/2021/01/28/hanwha-defense-awarded-454-million-to-supply-m3-amphibious-rig-to-republic-of-korea-army/</t>
  </si>
  <si>
    <t>Average unit price is based on the contract for production of 110 M3 vehicles for South Korea.</t>
  </si>
  <si>
    <t>https://www.autoscout24.de/auto/vw/vw-amarok/</t>
  </si>
  <si>
    <t>Since we do not know the amount of each vehicle provided, we assume they were provided equally. We, therefore, take the price for military trucks and ambulances form our price list, the price for Amarok from the source, and calculate an average.</t>
  </si>
  <si>
    <t>http://scanjack.com/en/?page_id=297#:~:text=At%20present%20we%20can%20sell,control%20%E2%82%AC%20100k%20is%20added.</t>
  </si>
  <si>
    <t>We take the price of the base version with any additional features.</t>
  </si>
  <si>
    <t>Since the price is unavailable, we take the price of the closest variant, Scanjack 3500</t>
  </si>
  <si>
    <t xml:space="preserve">https://kyiv.mfa.ee/en/2023/03/field-hospital-donated-in-cooperation-between-estonia-norway-and-the-netherlands-arrived-in-ukraine/ </t>
  </si>
  <si>
    <t>Source confirms donation of the hospital, but no price due to non marketability.</t>
  </si>
  <si>
    <t>Funding, training, services</t>
  </si>
  <si>
    <t>Funding</t>
  </si>
  <si>
    <t>Source confirms donation of funding. Value of item is variable.</t>
  </si>
  <si>
    <t>Average unit cost based on different contracts from SIPRI database and the source and adjusted to 2021$. Please note that we take the contracts for MiG-29, excluding S and SMT versions.</t>
  </si>
  <si>
    <t>https://www.man.eu/topused/de/de/fahrzeugsuche/vehicledetail.html?id=17199851</t>
  </si>
  <si>
    <t>We take the price for MAN LION'S CITY A21 CNG E6 as a proxy.</t>
  </si>
  <si>
    <t>http://web.archive.org/web/20200217161123/http://www.nordicmarksman.com:80/Colt-Canada-SA20-C7A2-LE-20-Barrel-556-NATO-ORIGINAL.html</t>
  </si>
  <si>
    <t>We take the retail price from Canadian weapon shop and convert it to dollars.</t>
  </si>
  <si>
    <t>http://jgmjgm516.blogspot.com/2017/08/just-couple-of-questions-about-those.html</t>
  </si>
  <si>
    <t>We take the average price of the equivalent US weapon, the M240, which is between 6600 US dollars and 9200 US dollars.</t>
  </si>
  <si>
    <t>https://www.secnav.navy.mil/fmc/fmb/Documents/21pres/WPN_Book.pdf</t>
  </si>
  <si>
    <t>We use the US ammunition procurement documents and take the most recent price for AIM-9 Block II (p. 109).</t>
  </si>
  <si>
    <t>https://defence.az/en/news/152185/estonian-defence-forces-to-receive-18,000-lmt-defense-r20-rahe-assault-rifles-in-2021</t>
  </si>
  <si>
    <t xml:space="preserve">Source lists a 2021 contract for 18,340 R20 Rahe assault rifles worth €75 million, which brings the per unit cost to €4089.42, or $4416.57 (using exchange rate of 1.08) </t>
  </si>
  <si>
    <t>https://www.eurooptic.com/sako-trg-42-rifles.aspx</t>
  </si>
  <si>
    <t xml:space="preserve">Most common price for one unit is $6500 </t>
  </si>
  <si>
    <t>BM-21 GRAD</t>
  </si>
  <si>
    <t>Valuk infantry vehicle</t>
  </si>
  <si>
    <t>https://www.deagel.com/Armies/Valuk%206x6/a000608</t>
  </si>
  <si>
    <t>Source lists a 2003 contract for the Slovenian Ministry of Defense to buy 36 Valuk IFVs for 34.5 million EUR. This equals $1.45 million in 2021 USD.</t>
  </si>
  <si>
    <t>https://www.canadiansafetysupplies.com/2-Person-72-Hour-Emergency-Survival-Kit-p/pr668.htm</t>
  </si>
  <si>
    <t>We take the retail price from Canadian safety supplies shop and convert it to USD.</t>
  </si>
  <si>
    <t>https://www.lodgingsupply.com/product/emergency-bed-in-a-bag-linen-kit/</t>
  </si>
  <si>
    <t>We take the retail price from LodgingSupply online marketplace.</t>
  </si>
  <si>
    <t>https://eng.obozrevatel.com/section-war/news-cyberlux-k8-altius-600-and-jump-20-what-kind-of-combat-drones-are-in-the-new-us-aid-package-for-ukraine-06-03-2023.html</t>
  </si>
  <si>
    <t xml:space="preserve">Source lists a price of 11000 USD per piece. </t>
  </si>
  <si>
    <t>https://www.culturalistpress.com/altius-600/</t>
  </si>
  <si>
    <t>Source lists a price of around 100000 USD per unit.</t>
  </si>
  <si>
    <t>https://www.defensenews.com/land/2022/08/19/army-taps-aerovironments-jump-20-to-replace-shadow-uas/</t>
  </si>
  <si>
    <t xml:space="preserve">Source lists a contract value of 8 million USD for one system, which is comprised of 6 drones and some ground parts. </t>
  </si>
  <si>
    <t>Exchange Rates</t>
  </si>
  <si>
    <t xml:space="preserve">This worksheet lists the exchange rates used to convert values into EUR. We use the average exchange rates provided by the European Central Bank for the corresponding period of each release. For Release 12, this corresponds to May 1 to May 31. 
Notes: The latest available exchange rate for TWD from the ECB was listed on October 30, 2020. We use the latest reported HRK exchange rate on December 31, 2022, as Croatia changed its currency to EUR on January 1, 2023. </t>
  </si>
  <si>
    <t>1 EUR</t>
  </si>
  <si>
    <t>TWD</t>
  </si>
  <si>
    <t>Refugees recorded</t>
  </si>
  <si>
    <t>This sheet shows the recorded refugees as reported by the UNHCR since February 24, 2022. When an official estimate is not available, the numbers correspond to the sum of registrations for Temporary Protection or similar national protection scheme and the number of asylum applications lodged by refugees from Ukraine.</t>
  </si>
  <si>
    <t>ISO3</t>
  </si>
  <si>
    <t>Data Date</t>
  </si>
  <si>
    <t>Individuals</t>
  </si>
  <si>
    <t>Week Number</t>
  </si>
  <si>
    <t>Year</t>
  </si>
  <si>
    <t>Week indicator over the year</t>
  </si>
  <si>
    <t>Refugee Numbers for Release 12</t>
  </si>
  <si>
    <t>AUT</t>
  </si>
  <si>
    <t>BEL</t>
  </si>
  <si>
    <t>BGR</t>
  </si>
  <si>
    <t>HRV</t>
  </si>
  <si>
    <t>CYP</t>
  </si>
  <si>
    <t>CZE</t>
  </si>
  <si>
    <t>DNK</t>
  </si>
  <si>
    <t>EST</t>
  </si>
  <si>
    <t>FIN</t>
  </si>
  <si>
    <t>FRA</t>
  </si>
  <si>
    <t>DEU</t>
  </si>
  <si>
    <t>GRC</t>
  </si>
  <si>
    <t>HUN</t>
  </si>
  <si>
    <t>ISL</t>
  </si>
  <si>
    <t>IRL</t>
  </si>
  <si>
    <t>ITA</t>
  </si>
  <si>
    <t>LVA</t>
  </si>
  <si>
    <t>LTU</t>
  </si>
  <si>
    <t>LUX</t>
  </si>
  <si>
    <t>MLT</t>
  </si>
  <si>
    <t>NLD</t>
  </si>
  <si>
    <t>NOR</t>
  </si>
  <si>
    <t>POL</t>
  </si>
  <si>
    <t>PRT</t>
  </si>
  <si>
    <t>ROU</t>
  </si>
  <si>
    <t>SVK</t>
  </si>
  <si>
    <t>SVN</t>
  </si>
  <si>
    <t>ESP</t>
  </si>
  <si>
    <t>SWE</t>
  </si>
  <si>
    <t>CHE</t>
  </si>
  <si>
    <t>GBR</t>
  </si>
  <si>
    <t>USA</t>
  </si>
  <si>
    <t>CHN</t>
  </si>
  <si>
    <t>IND</t>
  </si>
  <si>
    <t>KOR</t>
  </si>
  <si>
    <t>NZE</t>
  </si>
  <si>
    <t>TWN</t>
  </si>
  <si>
    <t>AUS</t>
  </si>
  <si>
    <t>JAP</t>
  </si>
  <si>
    <t>Refugee Cost Calculations</t>
  </si>
  <si>
    <t>This sheet provides information on the cost estimation for countries hosting Ukrainian refugees since the start of the war. Data for recorded refugees is taken from the UNHCR (see Sheet "Refugees Recorded") with initial cost estimates by the OECD International Migration Outlook 2022. The OECD report from October covers OECD country costs for the year 2022, assuming fixed refugee numbers since April. These estimates are scaled up using monthly average refugee numbers by the UNHCR. For months without any reported refugee numbers (marked gray), we use linear interpolation. For non-OECD countries, we use countries which are closest in per-capita GDP (for Bulgaria and Turkey, we use Romania; for Cyprus, we use Portugal, for Malta, we use Spain and for Iceland, we use Denmark).</t>
  </si>
  <si>
    <t>Refugee Cost Estimates in billion €</t>
  </si>
  <si>
    <t>Refugee Cost Estimates in percent of GDP</t>
  </si>
  <si>
    <t>Refugee Cost (OECD) in €</t>
  </si>
  <si>
    <t>Refugee Cost per refugee</t>
  </si>
  <si>
    <t>Refugee Cost per refugee per month</t>
  </si>
  <si>
    <t>ISO</t>
  </si>
  <si>
    <t>Missing Data:</t>
  </si>
  <si>
    <t>Dynamics of support: total commitments by month, January 2022 - May 2023 (billion Euros)</t>
  </si>
  <si>
    <t xml:space="preserve">This figure shows total bilateral aid commitments to Ukraine in € billion with traceable commitment months over time between January 24, 2022 and May 31, 2023. Each bar shows the type of assistance, i.e., financial, humanitarian, and military aid. Military aid includes financial assistance tied to military purposes. </t>
  </si>
  <si>
    <t>Bilateral Aid Commitments per Month</t>
  </si>
  <si>
    <t>This sheet provides information on the development over time of total bilateral commitments in € billion to Ukraine with traceable commitment months. Commitments with unknown commitment month are listed seperately. Commitments from the European Peace Facility (EPF) and the European Investment Bank (EIB) are added manually to the EU Commission and Council position for the respective commitment months.</t>
  </si>
  <si>
    <t>Total tracked commitments over time</t>
  </si>
  <si>
    <t>Total untracked commitments over time</t>
  </si>
  <si>
    <t>Military Heavy Weapon Commitments per Month (€ billion)</t>
  </si>
  <si>
    <t xml:space="preserve">This sheet provides information on the development over time of heavy weapons commitments in € billion to Ukraine with traceable commitment months. Commitments with unknown commitment month are listed seperately. </t>
  </si>
  <si>
    <t>SUM</t>
  </si>
  <si>
    <t>Heavy Weapon Commitments and Deliveries by Category (number of units)</t>
  </si>
  <si>
    <t>This worksheet lists heavy weapon commitments and deliveries across donors. Heavy weapons include tanks, howitzers (155mm/152mm), MLRS, anti-aircraft surface-to-air missile system, and infantry fighting vehicles.</t>
  </si>
  <si>
    <t>Heavy Weapons Stocks</t>
  </si>
  <si>
    <t>This worksheet displays stocks of different donors. We take the number of stocks from the IISS Military balance (2022) which considers only weapons ready to use.</t>
  </si>
  <si>
    <t>Leopard-2A4M</t>
  </si>
  <si>
    <t>Leopard 2A5</t>
  </si>
  <si>
    <t>Leopard 2A6</t>
  </si>
  <si>
    <t>Leopard 2A6M</t>
  </si>
  <si>
    <t>Leopard 2A7V</t>
  </si>
  <si>
    <t>Leopard-1A5A4/5</t>
  </si>
  <si>
    <t>Leopard-1A5A4</t>
  </si>
  <si>
    <t>Leopard-1A5A3</t>
  </si>
  <si>
    <t>Leopard-1A5C2</t>
  </si>
  <si>
    <t>Leopard 2PL</t>
  </si>
  <si>
    <t>Leopard 2E</t>
  </si>
  <si>
    <t>PT-91</t>
  </si>
  <si>
    <t>M48A5</t>
  </si>
  <si>
    <t>M48A3</t>
  </si>
  <si>
    <t>M60A3</t>
  </si>
  <si>
    <t>C1 Ariete</t>
  </si>
  <si>
    <t>modified T-72(incl. variants)</t>
  </si>
  <si>
    <t>T-55</t>
  </si>
  <si>
    <t>T-80U</t>
  </si>
  <si>
    <t>AMX-30B2</t>
  </si>
  <si>
    <t>T-72</t>
  </si>
  <si>
    <t>T-72M4CZ</t>
  </si>
  <si>
    <t>Leclerc</t>
  </si>
  <si>
    <t>TR-85</t>
  </si>
  <si>
    <t>TR-85 M1</t>
  </si>
  <si>
    <t>M-84</t>
  </si>
  <si>
    <t>T-72MS</t>
  </si>
  <si>
    <t>M60A1</t>
  </si>
  <si>
    <t>M60TM Firat</t>
  </si>
  <si>
    <t xml:space="preserve">Challenger 2 </t>
  </si>
  <si>
    <t>M1A1 Abrams</t>
  </si>
  <si>
    <t>M1A1 SA Abrams</t>
  </si>
  <si>
    <t>M1A2 SEPv2 Abrams</t>
  </si>
  <si>
    <t>M1A2 SEPv3 Abrams</t>
  </si>
  <si>
    <t>M1A1/ A2 Abrams</t>
  </si>
  <si>
    <t>K1/K1E1</t>
  </si>
  <si>
    <t>K1A1/K1A2</t>
  </si>
  <si>
    <t>K2</t>
  </si>
  <si>
    <t xml:space="preserve">BvS10 </t>
  </si>
  <si>
    <t>Bv-206S</t>
  </si>
  <si>
    <t>VBMR Griffon</t>
  </si>
  <si>
    <t>VAB</t>
  </si>
  <si>
    <t>VAB VOA (OP)</t>
  </si>
  <si>
    <t>Pandur</t>
  </si>
  <si>
    <t>Pandur EVO</t>
  </si>
  <si>
    <t>Pandur 6×6 (Valuk)</t>
  </si>
  <si>
    <t>Piranha III</t>
  </si>
  <si>
    <t>Piranha IIIH</t>
  </si>
  <si>
    <t>Piranha III-C</t>
  </si>
  <si>
    <t>Piranha III-PC</t>
  </si>
  <si>
    <t>Piranha V</t>
  </si>
  <si>
    <t>M113A2</t>
  </si>
  <si>
    <t>MT-LB</t>
  </si>
  <si>
    <t>BTR-80</t>
  </si>
  <si>
    <t>BTR-60</t>
  </si>
  <si>
    <t>BTR-50</t>
  </si>
  <si>
    <t>OT M-60</t>
  </si>
  <si>
    <t>BOV-VP</t>
  </si>
  <si>
    <t>Patria AMV</t>
  </si>
  <si>
    <t>Patria 6×6</t>
  </si>
  <si>
    <t>Patria 8×8 (Svarun)</t>
  </si>
  <si>
    <t>M113</t>
  </si>
  <si>
    <t>XA-180</t>
  </si>
  <si>
    <t>XA-186 Sisu/XA-200 Sisu/XA-203</t>
  </si>
  <si>
    <t>XA-188</t>
  </si>
  <si>
    <t>XA-202</t>
  </si>
  <si>
    <t>XA-203</t>
  </si>
  <si>
    <t>XA-360</t>
  </si>
  <si>
    <t>MT-Lbu</t>
  </si>
  <si>
    <t>MT-LBV</t>
  </si>
  <si>
    <t>Boxer</t>
  </si>
  <si>
    <t>TPz-1 Fuchs</t>
  </si>
  <si>
    <t>M577</t>
  </si>
  <si>
    <t>Leonidas Mk1/2</t>
  </si>
  <si>
    <t>Puma 6×6</t>
  </si>
  <si>
    <t>JLTV</t>
  </si>
  <si>
    <t>BvS-10</t>
  </si>
  <si>
    <t>WDSz</t>
  </si>
  <si>
    <t>Rosomak</t>
  </si>
  <si>
    <t>AWD RAK</t>
  </si>
  <si>
    <t>V-150 Commando</t>
  </si>
  <si>
    <t>V-200 Chaimite</t>
  </si>
  <si>
    <t>Pandur II</t>
  </si>
  <si>
    <t>MLVM</t>
  </si>
  <si>
    <t>B33 TAB Zimbru</t>
  </si>
  <si>
    <t>TAB-71</t>
  </si>
  <si>
    <t>TAB-77</t>
  </si>
  <si>
    <t>Lazar-3 APC</t>
  </si>
  <si>
    <t>OT-90</t>
  </si>
  <si>
    <t>OT-64</t>
  </si>
  <si>
    <t>Tatrapan (6×6)</t>
  </si>
  <si>
    <t>BMR-600/BMR-600M1</t>
  </si>
  <si>
    <t>Pbv 302</t>
  </si>
  <si>
    <t>ACV AAPC</t>
  </si>
  <si>
    <t>FV430 Bulldog</t>
  </si>
  <si>
    <t>LAV Bison</t>
  </si>
  <si>
    <t>AMPV</t>
  </si>
  <si>
    <t>M1126 Stryker ICV</t>
  </si>
  <si>
    <t>M1130 Stryker CV (CP)</t>
  </si>
  <si>
    <t>M1131 Stryker FSV (OP)</t>
  </si>
  <si>
    <t>M1133 Stryker MEV (Amb)</t>
  </si>
  <si>
    <t>M1251A1 Stryker FSV (OP)</t>
  </si>
  <si>
    <t>M1254A1 Stryker MEV (Amb)</t>
  </si>
  <si>
    <t>M1255A1 Stryker CV (CP)</t>
  </si>
  <si>
    <t>M1256A1 Stryker ICV</t>
  </si>
  <si>
    <t>LAV variants</t>
  </si>
  <si>
    <t>KIFV</t>
  </si>
  <si>
    <t>K806/K808</t>
  </si>
  <si>
    <t>Maxxpro</t>
  </si>
  <si>
    <t>RG-32M</t>
  </si>
  <si>
    <t>RG-33 HAGA</t>
  </si>
  <si>
    <t>Cougar 6×6 JERRV</t>
  </si>
  <si>
    <t>RG-31</t>
  </si>
  <si>
    <t>Edjer Yalcin 4×4</t>
  </si>
  <si>
    <t>Kirpi</t>
  </si>
  <si>
    <t>Kirpi-II</t>
  </si>
  <si>
    <t>Vuran</t>
  </si>
  <si>
    <t>Mastiff (6×6)</t>
  </si>
  <si>
    <t>Titus</t>
  </si>
  <si>
    <t>Aravis</t>
  </si>
  <si>
    <t>VTMM Orso</t>
  </si>
  <si>
    <t>IVECO LMV</t>
  </si>
  <si>
    <t>IVECO LMV2</t>
  </si>
  <si>
    <t>Cobra</t>
  </si>
  <si>
    <t>Cobra II</t>
  </si>
  <si>
    <t>Foxhound</t>
  </si>
  <si>
    <t>Spartan Mk2</t>
  </si>
  <si>
    <t>Panther CLV</t>
  </si>
  <si>
    <t>Ridgback</t>
  </si>
  <si>
    <t>Bushmaster IMV</t>
  </si>
  <si>
    <t>Dingo 2</t>
  </si>
  <si>
    <t>M1117 ASV</t>
  </si>
  <si>
    <t>Plasan SandCat</t>
  </si>
  <si>
    <t>M-ATV</t>
  </si>
  <si>
    <t>BOV M16 Milos</t>
  </si>
  <si>
    <t>Eagle IV</t>
  </si>
  <si>
    <t>Eagle V</t>
  </si>
  <si>
    <t>Eagle IV/V</t>
  </si>
  <si>
    <t>SISU GTP</t>
  </si>
  <si>
    <t>Wiesel 1 Mk20</t>
  </si>
  <si>
    <t>Cougar</t>
  </si>
  <si>
    <t>Fennek</t>
  </si>
  <si>
    <t>TABC-79</t>
  </si>
  <si>
    <t>Hawkei</t>
  </si>
  <si>
    <t>TAPV</t>
  </si>
  <si>
    <t>M1200 Armored Knight (OP)</t>
  </si>
  <si>
    <t>ACV AIFV</t>
  </si>
  <si>
    <t>BMP-23</t>
  </si>
  <si>
    <t>M-80</t>
  </si>
  <si>
    <t>M80AB1</t>
  </si>
  <si>
    <t>BMP-3</t>
  </si>
  <si>
    <t>BMP-2</t>
  </si>
  <si>
    <t>Pandur II MK 30mm</t>
  </si>
  <si>
    <t>VCC-80 Dardo</t>
  </si>
  <si>
    <t xml:space="preserve">VBM 8×8 Freccia </t>
  </si>
  <si>
    <t>CV9035 MkIII</t>
  </si>
  <si>
    <t xml:space="preserve">CV9035EE </t>
  </si>
  <si>
    <t>CV9030FIN</t>
  </si>
  <si>
    <t>CV9035NL</t>
  </si>
  <si>
    <t>CV9030N</t>
  </si>
  <si>
    <t>VBCI VCI</t>
  </si>
  <si>
    <t>VBCI VPC (CP)</t>
  </si>
  <si>
    <t>Marder 1A3/A4</t>
  </si>
  <si>
    <t>Marder 1A5</t>
  </si>
  <si>
    <t>Puma</t>
  </si>
  <si>
    <t>BTR-80A/AM</t>
  </si>
  <si>
    <t>Rosomak IFV</t>
  </si>
  <si>
    <t>MLI-84</t>
  </si>
  <si>
    <t>MLI-84M</t>
  </si>
  <si>
    <t>Piranha V IFV</t>
  </si>
  <si>
    <t>Lazar-3 IFV</t>
  </si>
  <si>
    <t>BVP-M</t>
  </si>
  <si>
    <t>Pizarro</t>
  </si>
  <si>
    <t>Pizarro (CP)</t>
  </si>
  <si>
    <t>CV9040</t>
  </si>
  <si>
    <t>Epbv 90 (OP)</t>
  </si>
  <si>
    <t>FV510 Warrior</t>
  </si>
  <si>
    <t>FV511 Warrior (CP)</t>
  </si>
  <si>
    <t>FV514 Warrior (OP)</t>
  </si>
  <si>
    <t>FV515 Warrior (CP)</t>
  </si>
  <si>
    <t>Ulan</t>
  </si>
  <si>
    <t>Piranha III-C DF30</t>
  </si>
  <si>
    <t>Boxer (Vilkas)</t>
  </si>
  <si>
    <t>ASLAV-25</t>
  </si>
  <si>
    <t>LAV 6.0</t>
  </si>
  <si>
    <t>LAV-25</t>
  </si>
  <si>
    <t>M2A2/A3 Bradley;</t>
  </si>
  <si>
    <t>M7A3/SA BFIST (OP)</t>
  </si>
  <si>
    <t>M1296 Stryker Dragoon</t>
  </si>
  <si>
    <t>M2 Bradley</t>
  </si>
  <si>
    <t>K21</t>
  </si>
  <si>
    <t>M109A5ÖE</t>
  </si>
  <si>
    <t>M109</t>
  </si>
  <si>
    <t>M114</t>
  </si>
  <si>
    <t>PzH 2000</t>
  </si>
  <si>
    <t>NORA B-52</t>
  </si>
  <si>
    <t>Mk F3</t>
  </si>
  <si>
    <t>Zuzana</t>
  </si>
  <si>
    <t>TR-F-1(towed)</t>
  </si>
  <si>
    <t>CAESAR 8×8</t>
  </si>
  <si>
    <t>K 83/GH-52 (K 98)</t>
  </si>
  <si>
    <t>AU-F-1</t>
  </si>
  <si>
    <t>FH-70</t>
  </si>
  <si>
    <t>K9 Thunder</t>
  </si>
  <si>
    <t>Krab</t>
  </si>
  <si>
    <t>M-2000 Zuzana</t>
  </si>
  <si>
    <t>M-2000 Zuzana 2</t>
  </si>
  <si>
    <t>TN-90</t>
  </si>
  <si>
    <t>SBT 155/52 SIAC</t>
  </si>
  <si>
    <t>Archer</t>
  </si>
  <si>
    <t>M44T1</t>
  </si>
  <si>
    <t>M52T</t>
  </si>
  <si>
    <t>T-155 Firtina</t>
  </si>
  <si>
    <t>T-155 Firtina II</t>
  </si>
  <si>
    <t>M114 (A1/A2)</t>
  </si>
  <si>
    <t>Panter</t>
  </si>
  <si>
    <t>AS90</t>
  </si>
  <si>
    <t>M777</t>
  </si>
  <si>
    <t>KH-179</t>
  </si>
  <si>
    <t>M-84 NORA-A</t>
  </si>
  <si>
    <t>M-77 Dana(152mm)</t>
  </si>
  <si>
    <t>D-20</t>
  </si>
  <si>
    <t>M-1981</t>
  </si>
  <si>
    <t>M-1985</t>
  </si>
  <si>
    <t>M-77 Dana</t>
  </si>
  <si>
    <t>M270</t>
  </si>
  <si>
    <t>M270B1</t>
  </si>
  <si>
    <t>RM-70</t>
  </si>
  <si>
    <t>RM-70/85 MODULAR</t>
  </si>
  <si>
    <t>Unknown MLRS</t>
  </si>
  <si>
    <t>WR-40</t>
  </si>
  <si>
    <t>M142 HIMARS</t>
  </si>
  <si>
    <t>MRL APR-40</t>
  </si>
  <si>
    <t>LAROM</t>
  </si>
  <si>
    <t>M-63 Plamen</t>
  </si>
  <si>
    <t>M-77 Organj</t>
  </si>
  <si>
    <t>M-87 Orkan</t>
  </si>
  <si>
    <t>TR-300 Kasirga (WS-1)</t>
  </si>
  <si>
    <t>T-122</t>
  </si>
  <si>
    <t>M91 Vulkan</t>
  </si>
  <si>
    <t>BM-21 Grad</t>
  </si>
  <si>
    <t>APRA-40</t>
  </si>
  <si>
    <t>K136 Kooryong</t>
  </si>
  <si>
    <t>K239 Cheonmu</t>
  </si>
  <si>
    <t>Aircraft(FTR not FGA)</t>
  </si>
  <si>
    <t>Eurofighter Typhoon</t>
  </si>
  <si>
    <t>F-16AM Fighting Falcon</t>
  </si>
  <si>
    <t>F-16BM Fighting Falcon</t>
  </si>
  <si>
    <t>F-16BM and F-16AM Fighting Falcon</t>
  </si>
  <si>
    <t>MiG-29 Fulcrum</t>
  </si>
  <si>
    <t>MiG-29UB Fulcrum</t>
  </si>
  <si>
    <t>MiG-29SE Fulcrum C</t>
  </si>
  <si>
    <t>MiG-29AS Fulcrum</t>
  </si>
  <si>
    <t>MiG-29UBS Fulcrum</t>
  </si>
  <si>
    <t>MiG-21bis</t>
  </si>
  <si>
    <t>MiG-21UMD</t>
  </si>
  <si>
    <t>F-5B Freedom Fighter</t>
  </si>
  <si>
    <t>NF-5A Freedom Fighter</t>
  </si>
  <si>
    <t>NF-5B Freedom Fighter</t>
  </si>
  <si>
    <t>Mirage 2000-5</t>
  </si>
  <si>
    <t>Mirage 2000C</t>
  </si>
  <si>
    <t>Mirage 2000B</t>
  </si>
  <si>
    <t>F-15C Eagle</t>
  </si>
  <si>
    <t>F-15D Eagle</t>
  </si>
  <si>
    <t>F-22A Raptor</t>
  </si>
  <si>
    <t>F-5E Tiger II</t>
  </si>
  <si>
    <t>F-5F Tiger II</t>
  </si>
  <si>
    <t>FGA</t>
  </si>
  <si>
    <t xml:space="preserve"> JAS 39C/D Gripen (FGA)</t>
  </si>
  <si>
    <t>F-4E Phantom</t>
  </si>
  <si>
    <t>F-16 (C and B) Fighting Falcon</t>
  </si>
  <si>
    <t>F-16A Fighting Falcon</t>
  </si>
  <si>
    <t>F-16B Fighting Falcon</t>
  </si>
  <si>
    <t>F-35A Lightning II</t>
  </si>
  <si>
    <t>F-35B Lightning II</t>
  </si>
  <si>
    <t>F-35C Lightning II</t>
  </si>
  <si>
    <t>Typhoon FGR4</t>
  </si>
  <si>
    <t>Typhoon T3</t>
  </si>
  <si>
    <t>MiG-21bis Fishbed</t>
  </si>
  <si>
    <t>MiG-21UM Mongol</t>
  </si>
  <si>
    <t>MiG-21 Lancer B</t>
  </si>
  <si>
    <t>MiG-21 Lancer C</t>
  </si>
  <si>
    <t>Gripen C</t>
  </si>
  <si>
    <t>Gripen D</t>
  </si>
  <si>
    <t>F/A-18A Hornet</t>
  </si>
  <si>
    <t>F/A-18B Hornet</t>
  </si>
  <si>
    <t>F/A-18C Hornet</t>
  </si>
  <si>
    <t>F/A-18D Hornet</t>
  </si>
  <si>
    <t>F/A-18F Super Hornet</t>
  </si>
  <si>
    <t>F/A-18E Super Hornet</t>
  </si>
  <si>
    <t>Rafale M F3-R</t>
  </si>
  <si>
    <t>Rafale B;</t>
  </si>
  <si>
    <t>Rafale C</t>
  </si>
  <si>
    <t>Mirage 2000D</t>
  </si>
  <si>
    <t>AMX Ghibli</t>
  </si>
  <si>
    <t>AMX-T Ghibli</t>
  </si>
  <si>
    <t>Su-22M4 Fitter</t>
  </si>
  <si>
    <t>Su-22UM3K Fitter</t>
  </si>
  <si>
    <t>J-22 Orao 1</t>
  </si>
  <si>
    <t>EF-18A MLU</t>
  </si>
  <si>
    <t>EF-18B MLU</t>
  </si>
  <si>
    <t>AV-8B Harrier II</t>
  </si>
  <si>
    <t>TAV-8B Harrier</t>
  </si>
  <si>
    <t>F-15E Strike Eagle</t>
  </si>
  <si>
    <t>F-15EX Eagle II</t>
  </si>
  <si>
    <t>F-16C Fighting Falcon</t>
  </si>
  <si>
    <t>F-16D Fighting Falcon</t>
  </si>
  <si>
    <t>F-15K Eagle</t>
  </si>
  <si>
    <t>FA-50 Fighting Eagle</t>
  </si>
  <si>
    <t>Air defence</t>
  </si>
  <si>
    <t>Long-range</t>
  </si>
  <si>
    <t>S-200</t>
  </si>
  <si>
    <t>SAMP/T</t>
  </si>
  <si>
    <t>S-300PMU</t>
  </si>
  <si>
    <t>M902 Patriot PAC-3</t>
  </si>
  <si>
    <t>M901 Patriot PAC-2</t>
  </si>
  <si>
    <t>M903 Patriot PAC-3 MSE</t>
  </si>
  <si>
    <t>MIM-14 Nike Hercules</t>
  </si>
  <si>
    <t>S-400</t>
  </si>
  <si>
    <t>MIM-104E/F Patriot</t>
  </si>
  <si>
    <t>Medium-range</t>
  </si>
  <si>
    <t>9K37M1 Buk M1-2</t>
  </si>
  <si>
    <t>MIM-23B</t>
  </si>
  <si>
    <t>IRIS-T</t>
  </si>
  <si>
    <t>S-75M3 Volkhov</t>
  </si>
  <si>
    <t>MIM-23 Hawk PIP III</t>
  </si>
  <si>
    <t>Chunggung (KM-SAM)</t>
  </si>
  <si>
    <t>Short-range</t>
  </si>
  <si>
    <t>2K12 Kub</t>
  </si>
  <si>
    <t>S-125 Newa SC</t>
  </si>
  <si>
    <t>Aspide</t>
  </si>
  <si>
    <t>9K331 Tor-M1</t>
  </si>
  <si>
    <t>Crotale NG (ITO 90)</t>
  </si>
  <si>
    <t>NASAMS (unknown vers)</t>
  </si>
  <si>
    <t>NASAMS II FIN (ITO 12)</t>
  </si>
  <si>
    <t>NASAMS III</t>
  </si>
  <si>
    <t>NASAMS II</t>
  </si>
  <si>
    <t>96K6 Pantsir-S1</t>
  </si>
  <si>
    <t>Skyguard/Aspide</t>
  </si>
  <si>
    <t>RBS-23 BAMSE</t>
  </si>
  <si>
    <t>HISAR-A/A+</t>
  </si>
  <si>
    <t>HISAR-O</t>
  </si>
  <si>
    <t>Land Ceptor</t>
  </si>
  <si>
    <t>Iron Dome</t>
  </si>
  <si>
    <t>SPADA</t>
  </si>
  <si>
    <t>RIM-7M Sparrow with Skygaurd</t>
  </si>
  <si>
    <t>Point-defence (MANPATS)</t>
  </si>
  <si>
    <t>9K34 Strela-3</t>
  </si>
  <si>
    <t>9K310 Igla-1</t>
  </si>
  <si>
    <t>9K35 Strela-10M3</t>
  </si>
  <si>
    <t>9K31M Strela-1M</t>
  </si>
  <si>
    <t>9K35M Strela-10M</t>
  </si>
  <si>
    <t>9K32 Strela</t>
  </si>
  <si>
    <t>9K338 Igla-S</t>
  </si>
  <si>
    <t>RBS-70</t>
  </si>
  <si>
    <t>FIM-92 Stinger</t>
  </si>
  <si>
    <t>GROM</t>
  </si>
  <si>
    <t>Piorun</t>
  </si>
  <si>
    <t>Chiron</t>
  </si>
  <si>
    <t>Point-defence (non-MANPATS)</t>
  </si>
  <si>
    <t>Point-defence (self-propelled-system)</t>
  </si>
  <si>
    <t>9K33 Osa</t>
  </si>
  <si>
    <t>ZSU-23-4MP Biala</t>
  </si>
  <si>
    <t>Poprad</t>
  </si>
  <si>
    <t>M48A2 Chaparral</t>
  </si>
  <si>
    <t>M48A3 Chaparral</t>
  </si>
  <si>
    <t>CA-95</t>
  </si>
  <si>
    <t>Altigan PMADS</t>
  </si>
  <si>
    <t>Zipkin PMADS</t>
  </si>
  <si>
    <t>FV4333 Stormer with Starstreak</t>
  </si>
  <si>
    <t>Fennek with FIM-92</t>
  </si>
  <si>
    <t>M-SHORAD</t>
  </si>
  <si>
    <t>M1097 Avenger</t>
  </si>
  <si>
    <t>Chun Ma</t>
  </si>
  <si>
    <t>Point-defence (stationary-system)</t>
  </si>
  <si>
    <t>ASRAD Ozelot (with FIM-92 Stinger)</t>
  </si>
  <si>
    <t>ZUR-23-2KG Jodek-G</t>
  </si>
  <si>
    <t>Pilica</t>
  </si>
  <si>
    <t>Rapier FSC</t>
  </si>
  <si>
    <t>Starstreak (LML)</t>
  </si>
  <si>
    <t>Mistral</t>
  </si>
  <si>
    <t>RIM-7M with Skygaurd</t>
  </si>
  <si>
    <t>Air defence(guns)</t>
  </si>
  <si>
    <t>Towed air defence guns</t>
  </si>
  <si>
    <t>GDF-005</t>
  </si>
  <si>
    <t>GDF-007</t>
  </si>
  <si>
    <t>L/60</t>
  </si>
  <si>
    <t>L/70</t>
  </si>
  <si>
    <t>L/60/L/70</t>
  </si>
  <si>
    <t>ZU-23-2</t>
  </si>
  <si>
    <t>S-60</t>
  </si>
  <si>
    <t>BOV-3 SP</t>
  </si>
  <si>
    <t>M-55</t>
  </si>
  <si>
    <t>GDF-003 (with Skyguard)</t>
  </si>
  <si>
    <t>C-RAM Mantis</t>
  </si>
  <si>
    <t>Rh 202</t>
  </si>
  <si>
    <t>Artemis-30</t>
  </si>
  <si>
    <t>ZPU-2</t>
  </si>
  <si>
    <t>GDF-003</t>
  </si>
  <si>
    <t>Phalanx (LPWS)</t>
  </si>
  <si>
    <t>M167 Vulcan</t>
  </si>
  <si>
    <t xml:space="preserve"> GAI-D01/Rh-202</t>
  </si>
  <si>
    <t>SP air defence guns</t>
  </si>
  <si>
    <t>Leopard 2 ITK Marksman</t>
  </si>
  <si>
    <t>Gepard</t>
  </si>
  <si>
    <t>Pasars-16</t>
  </si>
  <si>
    <t>KIFV Vulcan SPAAG</t>
  </si>
  <si>
    <t>K30 Biho</t>
  </si>
  <si>
    <t>ZSU-23-4</t>
  </si>
  <si>
    <t>Korkut</t>
  </si>
  <si>
    <t>Lvkv 90</t>
  </si>
  <si>
    <t>unknown</t>
  </si>
  <si>
    <t>"some"</t>
  </si>
  <si>
    <t xml:space="preserve">unkown </t>
  </si>
  <si>
    <t>some</t>
  </si>
  <si>
    <t>Serbia</t>
  </si>
  <si>
    <t>Heavy Weapons, Share of Commitments and Deliveries</t>
  </si>
  <si>
    <t xml:space="preserve">This worksheet displays the share of delivered and committed heavy weapons among the stocks across different donors. We take the number of stocks from the IISS Military balance (2022) and consider only weapons ready to use. Percentage values are shown as decimals after zero. </t>
  </si>
  <si>
    <t>NATO (not EU)</t>
  </si>
  <si>
    <t>Acquired for Ukraine\Older stocks &gt;&gt;&gt;</t>
  </si>
  <si>
    <t>155mm/152mm</t>
  </si>
  <si>
    <t>Source 1</t>
  </si>
  <si>
    <t>Source 2</t>
  </si>
  <si>
    <t>Source 3</t>
  </si>
  <si>
    <t>Stocks &gt;&gt;&gt;</t>
  </si>
  <si>
    <t>Defence budget (2021) (bn)</t>
  </si>
  <si>
    <t>Combat aircraft (FTR/FGA)</t>
  </si>
  <si>
    <t>Committed&gt;&gt;&gt;</t>
  </si>
  <si>
    <t>Combat aircraft (FTR)</t>
  </si>
  <si>
    <t>Delivered&gt;&gt;&gt;</t>
  </si>
  <si>
    <t>% Comitted&gt;&gt;&gt;</t>
  </si>
  <si>
    <t>% Delivered&gt;&gt;&gt;</t>
  </si>
  <si>
    <t>anti-aircraft ( committed after October 2022)</t>
  </si>
  <si>
    <t>anti-aircraft (delivered after October 2022)</t>
  </si>
  <si>
    <t xml:space="preserve">Tanks: Joint purchase NL, US; Anti-aircraft surface-to-air missile (SAM) system (medium-range): To estimate the US capacity to send MIM-23 HAWK, we use the last available figure until it was completely phased out in 1999, which is data for 1995. We do not use SIPRI to account for arms transfers since the US had much more MIM-23 HAWK (for example, in 1980), which could have been stored and transferred later)  </t>
  </si>
  <si>
    <t>IISS Military Balance (1980, 1996)</t>
  </si>
  <si>
    <t>Howitzers: UK purchased howitzers from a Belgian arms company to send them to Ukraine (Source 1). Later UK government specified the quantity, which was 28 (Source 2).</t>
  </si>
  <si>
    <t>https://www.army-technology.com/news/uk-acquires-m109-howitzers-ukrainian/</t>
  </si>
  <si>
    <t>Tanks: 110 Leopard-1A5 together with DK and NL are to be purchased from the industry and financed by the so-called "Ertüchtigungshilfe." (Source 1); IFV: 60 Marder IFV are to be purchased from the industry and financed by the so-called "Ertüchtigungshilfe." (Source 1); Howitzers: 16 Zusana howitzers were ordered for Ukraine by Germany, Norway, and Denmark. Since we did not know which part goes to which country, we divided it equally, 18 RCH howitzers were ordered for construction (Source 1). Self-propelled anti-aircraft weapon: Germany had 135 Gepards in stocks ready-to-use until 2009, according to IISS Military Balance 2009, 2010 (Source 3). According to SIPRI Arms and Transfer database (Source 2), Germany then agreed to sell 34 Gepards to Brazil in 2013 and 15 in 2020 to Qatar. Therefore, Germany's capacity to send Gepards was at least 86 units. Anti-aircraft surface-to-air missile (SAM) system (medium-range): Since Germany has no IRIS-T SLM in stock, to estimate Germany's capacity for delivery IRIS-T, we are considering a recent contract with Egypt to deliver 7 IRIS-T SLM in 2021 (Source 2); Anti-aircraft surface-to-air missile (SAM) system (short-range): Since Germany has no IRIS-T SLS in stock and it never shipped more than 6 SLS so far, we simply assign 12 promised IRIS-T SLS to its stock (Source 1).</t>
  </si>
  <si>
    <t>https://www.bundesregierung.de/breg-de/themen/krieg-in-der-ukraine/lieferungen-ukraine-2054514</t>
  </si>
  <si>
    <t>SIPRI</t>
  </si>
  <si>
    <t>IISS Military Balance (2009, 2010)</t>
  </si>
  <si>
    <t>Howitzers:  According to Source 3, Italy had 124 M109 in stock until 2019. (Source 1)</t>
  </si>
  <si>
    <t>IISS Military Balance (2019, 2020)</t>
  </si>
  <si>
    <t>Anti-aircraft surface-to-air missile (SAM) system (short-range): 1 NASAMS was purchased from the US</t>
  </si>
  <si>
    <t>Tanks: 45 T-72 tanks, Joint purchase NL, US (Source 1); 7 Leopard-2A4 tanks joint purchase with Denmark (Source 2); 110 Leopard-1A5 together with DK and DE are to be purchased from the German industry; IFV: According to Source 3, the Netherlands had 248 YPR-765 in stock before replacing it with another IFV in 2010. The SIPRI database did not record any arms transfer, so we assume the Netherlands had at least the same available stored.</t>
  </si>
  <si>
    <t>IISS Military Balance (2010, 2011)</t>
  </si>
  <si>
    <t>Howitzers: 16 Zusana howitzers were ordered for Ukraine by Germany, Norway, and Denmark. Since we do not know which part goes to which country, we divide it equally (Source 1). MLRS: Sinec Norway sended old m270 it did not have it in stocks. According to Source 2, Norway had 12 M270 in store, and SIPRI arms transfer register (Sourece 3) does not have any information on the transfer of these MLRS.</t>
  </si>
  <si>
    <t>https://www.nrk.no/dokumentar/feilinvesteringer-for-milliarder-1.12603537</t>
  </si>
  <si>
    <t>Tanks: 7 Leopard-2A4 tanks joint purchase with Denmark (Source 2); 110 Leopard-1A5 together with DE and NL are to be purchased from the German industry; Howitzers: 16 Zusana howitzers were ordered for Ukraine by Germany, Norway, and Denmark. Since we do not know which part goes to which country, we divide it equally (Source 1); Denmark also pledged 19 Caesar howitzers to Ukraine. Those howitzers were to be included in Danish stock later (Source 3).</t>
  </si>
  <si>
    <t>MLRS: To estimate the capability of the Czech Republic to send RM-70 to Ukraine, we used values for the last year (2011) when the Czech Republic had them in stock while using them, which is 59 units. Source 1 indicates that the Czech Republic stopped using RM-70 in 2010, and Source 2 provides the value used in 2010. We do not estimate the potential value of RM-70 left in the Czech Republic because the initial amount of RM-70 stored after the dissolution of Czechoslovakia is unknown; Anti-aircraft surface-to-air missile (SAM) system (short-range): We could not find the amount of 2K12 KUB in stock to estimate the capability of CZ to send them (the last available figures are for Czechoslovakia). Therefore we at least assign two units they donated to their stock.</t>
  </si>
  <si>
    <t>https://www.novinky.cz/clanek/domaci-raketomety-si-naposledy-vystrelily-po-40-letech-sluzby-konci-65931</t>
  </si>
  <si>
    <t>IISS Military Balance (2011)</t>
  </si>
  <si>
    <t>Anti-aircraft surface-to-air missile (SAM) system (long-range): According to Source 1, Czechoslovakia received one S-300 from the Soviet Union in 1990. Source 2 confirms that it was a single unit before sending it to Ukraine; Anti-aircraft surface-to-air missile (SAM) system (short-range): We could not find the amount of 2K12 KUB in stock to estimate the capability of SL to send them (the last available figures are for Czechoslovakia). Therefore we at least assign two units they donated to their stock.</t>
  </si>
  <si>
    <t>https://www.forbes.com/sites/davidaxe/2022/04/08/ukraine-is-losing-several-s-300-anti-air-launchers-per-week-but-it-still-has-hundreds-left/?sh=7684b0e93ba8</t>
  </si>
  <si>
    <t xml:space="preserve">IFV: Until 2001, Slovenia had 52 M-80 in stock ready-to-use (Source 1). After that, the number decreased to 26 (Source 1), and then decommissioned entirely (Source 2). Since Slovenia donated more than 26 M-80, it means more M-80 were kept in store. Therefore, we consider estimating their capacity to send IFW with values from 2001. MBT: We added the number of T-55S Slovenia had in stock until 2010 (Source 3). </t>
  </si>
  <si>
    <t>IISS Military Balance (2003)</t>
  </si>
  <si>
    <t>IISS Military Balance (2009)</t>
  </si>
  <si>
    <t>IISS Military Balance (2010)</t>
  </si>
  <si>
    <t>Military in-kind Commitments per Month (€ billion)</t>
  </si>
  <si>
    <t xml:space="preserve">This sheet provides information on the development over time of in-kind military aid commitments in € billion to Ukraine with traceable commitment months. Commitments with unknown commitment month are listed seperately. </t>
  </si>
  <si>
    <t>This sheet provides information on the development over time of budget aid disbursements in € billion to Ukraine. Information on disbursement is disclosed by Ukrainian Ministry of Finance. We use the regularly updated data by the Ukrainian Ministry of Finance in to define budget disbursements for each country that has committed budget support in the form of loans and grants.</t>
  </si>
  <si>
    <t>Total by country</t>
  </si>
  <si>
    <t>No budget support</t>
  </si>
  <si>
    <t>Total per month</t>
  </si>
  <si>
    <t>Cummulative total</t>
  </si>
  <si>
    <t>Sources</t>
  </si>
  <si>
    <t>https://twitter.com/ua_minfin/status/1516770779148562445</t>
  </si>
  <si>
    <t>https://twitter.com/ua_minfin/status/1529763431074742272/photo/1</t>
  </si>
  <si>
    <t>https://twitter.com/ua_minfin/status/1542175021791076356/photo/1</t>
  </si>
  <si>
    <t>https://twitter.com/ua_minfin/status/1547135837472948225</t>
  </si>
  <si>
    <t>https://twitter.com/ua_minfin/status/1564896888792432642</t>
  </si>
  <si>
    <t>https://twitter.com/ua_minfin/status/1572555418253283335/photo/1</t>
  </si>
  <si>
    <t>https://twitter.com/ua_minfin/status/1583026695300591616</t>
  </si>
  <si>
    <t>https://twitter.com/ua_minfin/status/1596083557331501063/photo/1</t>
  </si>
  <si>
    <t>https://twitter.com/ua_minfin/status/1608009923681460225/photo/1</t>
  </si>
  <si>
    <t>https://twitter.com/ua_minfin/status/1618631697146478592/photo/1</t>
  </si>
  <si>
    <t>https://twitter.com/ua_minfin/status/1630940777000869888/photo/1</t>
  </si>
  <si>
    <t>https://twitter.com/ua_minfin/status/1641079154622726146</t>
  </si>
  <si>
    <t>https://twitter.com/ua_minfin/status/1651200764851765248</t>
  </si>
  <si>
    <t>https://twitter.com/ua_minfin/status/1664219834475839490/photo/1</t>
  </si>
  <si>
    <t>Fiscal Commitments to Energy Subsidies</t>
  </si>
  <si>
    <t>This sheet provides information on the fiscal commitments to energy subsidies by countries included in the Bruegel report starting from February 2022.</t>
  </si>
  <si>
    <t>Energy Subsidies</t>
  </si>
  <si>
    <t>Ukraine Support (incl. EU Share)</t>
  </si>
  <si>
    <t>Energy subsidies</t>
  </si>
  <si>
    <t>Ukraine Support</t>
  </si>
  <si>
    <t>Ukraine Support (no EU Share)</t>
  </si>
  <si>
    <t>% Energy Subsidies</t>
  </si>
  <si>
    <t>% of GDP</t>
  </si>
  <si>
    <t>Total EU (incl. EU Institutions)</t>
  </si>
  <si>
    <t>Average (EU Members)</t>
  </si>
  <si>
    <t>Median (EU Members)</t>
  </si>
  <si>
    <t>Bailout Funds</t>
  </si>
  <si>
    <t>This sheet shows the bailout funds committed by EU institutions and bilateral loans by member countries towards Greece, Ireland, Portugal and Spain that were announced between 2010 and 2012. Instruments by the European Union include the Greek Loan Facility (GLF), the European Financial Stability Facility (EFSF), the European Financial Stabilisation Mechanism (EFSM) and the European Stability Mechanism (ESM)</t>
  </si>
  <si>
    <t>Instrument</t>
  </si>
  <si>
    <t>Total Ammount Committed</t>
  </si>
  <si>
    <t>GLF</t>
  </si>
  <si>
    <t>https://www.consilium.europa.eu/en/policies/financial-assistance-eurozone-members/greece-programme/</t>
  </si>
  <si>
    <t>EFSF</t>
  </si>
  <si>
    <t>https://www.consilium.europa.eu/en/infographics/financial-assistance-to-greece-2010-2018/</t>
  </si>
  <si>
    <t>https://eur-lex.europa.eu/EN/legal-content/summary/financial-assistance-to-ireland.html</t>
  </si>
  <si>
    <t>EFSM</t>
  </si>
  <si>
    <t>Bilateral (UK, Sweden, Denmark)</t>
  </si>
  <si>
    <t>https://www.esm.europa.eu/press-releases/eu-and-efsf-funding-plans-provide-financial-assistance-portugal-and-ireland</t>
  </si>
  <si>
    <t>ESM</t>
  </si>
  <si>
    <t>https://www.esm.europa.eu/sites/default/files/migration_files/spanish_exit.pdf</t>
  </si>
  <si>
    <t xml:space="preserve">Historical Comparison </t>
  </si>
  <si>
    <t>This sheet contains data for military aid and expenditures, as well as historical GDP for historical comparison. For each value, we provide the source. For details on sources, see the corresponding Working Paper.</t>
  </si>
  <si>
    <t>Name of conflict</t>
  </si>
  <si>
    <t>Donor country name</t>
  </si>
  <si>
    <t>€2022 billion annual data</t>
  </si>
  <si>
    <t>% of GDP (real)</t>
  </si>
  <si>
    <t>% of GDP (nominal)</t>
  </si>
  <si>
    <t>$2022 billion annual data</t>
  </si>
  <si>
    <t>Current dollars annual data</t>
  </si>
  <si>
    <t>Constant dollars total data</t>
  </si>
  <si>
    <t>Current dollars total data</t>
  </si>
  <si>
    <t>Year of currency (nominal)</t>
  </si>
  <si>
    <t>Number of months</t>
  </si>
  <si>
    <t>Donor GDP (real, $2022)</t>
  </si>
  <si>
    <t>Donor GDP (real, $2011)</t>
  </si>
  <si>
    <t>Donor GDP (nominal)</t>
  </si>
  <si>
    <t>Year (Real GDP)</t>
  </si>
  <si>
    <t>Real GDP data source</t>
  </si>
  <si>
    <t>Nominal GDP data source</t>
  </si>
  <si>
    <t>Conflict</t>
  </si>
  <si>
    <t>WWII US lend-lease to U.K. 1941</t>
  </si>
  <si>
    <t>21th Report to Congress</t>
  </si>
  <si>
    <t>Allen (1946)</t>
  </si>
  <si>
    <t>Maddison Project (2020)</t>
  </si>
  <si>
    <t>WWII</t>
  </si>
  <si>
    <t>WWII US lend-lease to U.K. 1942</t>
  </si>
  <si>
    <t>WWII US lend-lease to U.K. 1943</t>
  </si>
  <si>
    <t>WWII US lend-lease to U.K. 1944</t>
  </si>
  <si>
    <t>WWII US lend-lease to U.K. 1945</t>
  </si>
  <si>
    <t>WWII US lend-lease to USSR 1941</t>
  </si>
  <si>
    <t>WWII US lend-lease to USSR 1942</t>
  </si>
  <si>
    <t>WWII US lend-lease to USSR 1943</t>
  </si>
  <si>
    <t>WWII US lend-lease to USSR 1944</t>
  </si>
  <si>
    <t>WWII US lend-lease to USSR 1945</t>
  </si>
  <si>
    <t>WWII US lend-lease to France 1944</t>
  </si>
  <si>
    <t>WWII US lend-lease to France 1945</t>
  </si>
  <si>
    <t>1944-45</t>
  </si>
  <si>
    <t>1941-45</t>
  </si>
  <si>
    <t>UK Parliament (1946)</t>
  </si>
  <si>
    <t>Schofield (1967)</t>
  </si>
  <si>
    <t>1965-1975</t>
  </si>
  <si>
    <t>Daggett (2010)</t>
  </si>
  <si>
    <t>Vietnam War</t>
  </si>
  <si>
    <t>2001-2010</t>
  </si>
  <si>
    <t>US in Afghanistan</t>
  </si>
  <si>
    <t>1950-1953</t>
  </si>
  <si>
    <t>Korean War</t>
  </si>
  <si>
    <t>2003-2010</t>
  </si>
  <si>
    <t>UK to Ukraine Military in-kind Aid</t>
  </si>
  <si>
    <t>UST</t>
  </si>
  <si>
    <t>US to Ukraine Military in-kind Aid</t>
  </si>
  <si>
    <t>Source of USD to Pound in 1945:</t>
  </si>
  <si>
    <t>https://www.measuringworth.com/datasets/exchangepound/result.php</t>
  </si>
  <si>
    <t>BEA's Deflator for GDP and National Defense</t>
  </si>
  <si>
    <t>This sheet contains price indexes for GDP and National defense that we use to adjust historical numbers for inflation.</t>
  </si>
  <si>
    <t>BEA's Table 1.1.4. Price Indexes for Gross Domestic Product</t>
  </si>
  <si>
    <t>National defense</t>
  </si>
  <si>
    <t>GDP</t>
  </si>
  <si>
    <t>Gulf War</t>
  </si>
  <si>
    <t xml:space="preserve">This sheet contains data for military aid and expenditures during the Gulf War, as well as historical GDP for historical comparison. For each value, we provide the source. </t>
  </si>
  <si>
    <t>Purpose</t>
  </si>
  <si>
    <t>Total in €</t>
  </si>
  <si>
    <t>Military aid to Ukraine in €</t>
  </si>
  <si>
    <t>2022 USD</t>
  </si>
  <si>
    <t>1991 USD</t>
  </si>
  <si>
    <t>1991 local currency</t>
  </si>
  <si>
    <t>GDP (2021) in €</t>
  </si>
  <si>
    <t>GDP (1991) in €</t>
  </si>
  <si>
    <t>GDP (1991) in 2022 USD</t>
  </si>
  <si>
    <t>GDP (1991) in Current USD</t>
  </si>
  <si>
    <t>US Assistance:</t>
  </si>
  <si>
    <t>by Germany</t>
  </si>
  <si>
    <t>by Japan</t>
  </si>
  <si>
    <t>by UAE</t>
  </si>
  <si>
    <t>by Kuwait</t>
  </si>
  <si>
    <t>by South-Korea</t>
  </si>
  <si>
    <t>by Saudi Arabia</t>
  </si>
  <si>
    <t>by Others</t>
  </si>
  <si>
    <t>year</t>
  </si>
  <si>
    <t>Some explanation</t>
  </si>
  <si>
    <t>GDP Source</t>
  </si>
  <si>
    <t>We use data from the DOD Final Report to Congress (1992). Conduct of the Persian Gulf War, providing detailed information on costs and assistance by other countries in USD</t>
  </si>
  <si>
    <t>https://www.globalsecurity.org/military/library/report/1992/cpgw.pdf</t>
  </si>
  <si>
    <t>World Bank</t>
  </si>
  <si>
    <t>Ukraine Aid</t>
  </si>
  <si>
    <t>We use data from the German Ambassy of Kuwait. Conversion from Deutsche Mark to 1990 USD is done by taking the average exchange rate provided by the FED.</t>
  </si>
  <si>
    <t>https://web.archive.org/web/20141208203539/http:/www.kuwait.diplo.de/Vertretung/kuwait/de/03/Bilaterale__Beziehungen/seite__Befreiung__Kuwait.html</t>
  </si>
  <si>
    <t xml:space="preserve">We use data from the Japanese Ministry of Foreign Affairs, providing detailed sum on all the packages they appropriated. We exclude packages that go towards neighboring countries of Kuwait (including a large $2 billion package towards Egypt, Turkey and Jordan, which were facing serious economic difficulties from September 1990). We do not convert from Yen to 1990 USD is done by taking the average exchange rate provided by the FED, but instead rely on the USD amounts provided by the Ministry of Foreign Affairs. This is done because there was some debate on exchange rates between Japan and the US when it came to certain payments (some fluctuations making Japanese committments lower). </t>
  </si>
  <si>
    <t>https://www.mofa.go.jp/policy/other/bluebook/1991/1991-2-2.htm#:~:text=On%20September%2021%2C%20Japan%20contributed,in%20transportation%20and%20medical%20services</t>
  </si>
  <si>
    <t>Gulf War Assistance to US</t>
  </si>
  <si>
    <t>No official source. Use the commitment amount to the US from the DOD report to Congress.</t>
  </si>
  <si>
    <t>United Arab Emirates</t>
  </si>
  <si>
    <t>Kuwait</t>
  </si>
  <si>
    <t>Saudi Arabia</t>
  </si>
  <si>
    <t>Others</t>
  </si>
  <si>
    <t>U.S. Summary of Acts</t>
  </si>
  <si>
    <t>This sheet provides additional information on the U.S. aid to Ukraine and displays a detailed documentation of each Appropriation Act until February 24, 2023 with explanations on what we count towards our main result and what not.</t>
  </si>
  <si>
    <t>Ukraine Supplemental Appropriations Act 2022, March 2022.</t>
  </si>
  <si>
    <t>What we count</t>
  </si>
  <si>
    <t>Amount (in billion USD)</t>
  </si>
  <si>
    <t>Reasoning</t>
  </si>
  <si>
    <t>Department of Agriculture, Foreign Agricultural Service</t>
  </si>
  <si>
    <t>Goes to Food for Peace, a part of USAID, which provides food to people in Ukraine.</t>
  </si>
  <si>
    <t>Department of Energy</t>
  </si>
  <si>
    <t>Support of Ukraine's energy grid.</t>
  </si>
  <si>
    <t>Department of State</t>
  </si>
  <si>
    <t>Intended for Migration outflows from Ukraine, therefore helps people in Ukraine.</t>
  </si>
  <si>
    <t>Does not go directly to Ukraine, but is funding for the AEECA program, which provides help for Europe, Eurasia and Central Asia region. In line with our upper bound approach, we count the entire appropriation until further information is disclosed.</t>
  </si>
  <si>
    <t>FMF program, non distinguishable what goes to Ukraine and what to neighboring countries.</t>
  </si>
  <si>
    <t xml:space="preserve">Economic support fund for Ukraine and neighboring region. </t>
  </si>
  <si>
    <t>For International Narcotics Control and Law Enforcement for Ukraine.</t>
  </si>
  <si>
    <t>U.S. Agency for International Development (USAID)</t>
  </si>
  <si>
    <t>International Disaster Assistance for Ukraine and the region. Indistinguishable what goes to Ukraine and what does not, therefore we count the entire amount for Ukraine.</t>
  </si>
  <si>
    <t>Increased Authorities</t>
  </si>
  <si>
    <t>Actual amount of Presidential authority to drawdown defense articles. In our dataset, for the Fiscal Year 2022 we count only $9.025 billion in drawdowns, as $1.775 billion in drawdown authority has not been used. Please see our Dataset/ Working paper Section 2.7 for a complete breakdown.</t>
  </si>
  <si>
    <t>Sum (in billion USD)</t>
  </si>
  <si>
    <t>What we do not count</t>
  </si>
  <si>
    <t>Department of Commerce, Bureau of Industry and Security</t>
  </si>
  <si>
    <t>Not going to Ukraine, but to support economic and trade-based analysis, enforcement, and coordination with partners on Russian and American vulnerabilities.</t>
  </si>
  <si>
    <t>Department of Justice (DOJ)</t>
  </si>
  <si>
    <t>Consists of 3 smaller positions, all not intended for Ukraine, but for US actors and institutions (DOJ Ukraine Task Force, United States Attorneys, National Security Division, FBI).</t>
  </si>
  <si>
    <t>Department of Defense</t>
  </si>
  <si>
    <t>Not for Ukraine, but for European Command operations mission support, the deployment of personnel to the region, and intelligence support.</t>
  </si>
  <si>
    <t>Department of the Treasury</t>
  </si>
  <si>
    <t>Multiple smaller positions not intended for Ukraine, but for the Office of Terrorism, Departmental Offices, and the Financial Crimes Enforcement Network.</t>
  </si>
  <si>
    <t>Diplomatic program to maintain American Citizen services outside of Ukraine, and increase State Department capacity to target assets of oligarchs.</t>
  </si>
  <si>
    <t>Not going to Ukraine, but to Transition Initiatives to provide support for public messaging etc.</t>
  </si>
  <si>
    <t>Not going to Ukraine, since it is for Operating Expenses to support operations that have had to move from Ukraine.</t>
  </si>
  <si>
    <t>U.S. Agency for Global Media (USAGM)</t>
  </si>
  <si>
    <t>Not going to Ukraine, but funding to combat disinformation and maintain communication links to Ukraine.</t>
  </si>
  <si>
    <t>Department of State Inspector General</t>
  </si>
  <si>
    <t>Funding for Department to oversee emergency funds.</t>
  </si>
  <si>
    <t>USAID Inspector General</t>
  </si>
  <si>
    <t>Funding for USAID Inspector General to oversee emergency funds.</t>
  </si>
  <si>
    <t>Double position, check Increased Authorities. Gives no indication of what the Presidential Drawdown authority actually is.</t>
  </si>
  <si>
    <t>Additional Ukraine Supplemental Appropriations Act 2022, May 2022.</t>
  </si>
  <si>
    <t>Ukraine Security Assistance Initiative</t>
  </si>
  <si>
    <t>USAI program</t>
  </si>
  <si>
    <t>Nuclear Regulatory Commission</t>
  </si>
  <si>
    <t>To Ukraine's nuclear regulatory agency.</t>
  </si>
  <si>
    <t>For refugee outflows from Ukraine.</t>
  </si>
  <si>
    <t>FMF program</t>
  </si>
  <si>
    <t>Economic support fund for Ukraine. Includes $0.76 billion to respond to global food insecurity, which we do not count here.</t>
  </si>
  <si>
    <t>Funding for International Narcotics control and Law Enforcement for Ukraine</t>
  </si>
  <si>
    <t>Funding for nonproliferation, anti-terrorism, demining and related programs.</t>
  </si>
  <si>
    <t xml:space="preserve">Funding for International Disaster Assistance in Ukraine and surrounding area. </t>
  </si>
  <si>
    <t>Multilateral Assistance</t>
  </si>
  <si>
    <t xml:space="preserve">Funding for economic and agriculatural programs in Ukraine and other affected countries. </t>
  </si>
  <si>
    <r>
      <t>Increases</t>
    </r>
    <r>
      <rPr>
        <sz val="11"/>
        <color rgb="FF000000"/>
        <rFont val="Times New Roman"/>
      </rPr>
      <t xml:space="preserve"> the Presidential Drawdown authority from previous $3 billion (USAA 2022) to $11 billion. In our dataset, for the Fiscal Year 2022 we count only $9.025 billion in drawdowns, as $1.775 billion in drawdown authority has not been used and $200 million predated the war. Please see our Dataset/ Working paper Section 2.7 for a complete breakdown.</t>
    </r>
  </si>
  <si>
    <t>Department of Justice (DOJ):</t>
  </si>
  <si>
    <t>Not going to Ukraine, but to the DOJ General Administration to help cover costs.</t>
  </si>
  <si>
    <t>Replenishment of US stocks</t>
  </si>
  <si>
    <t>Double position. Check Increased Authority on page 3 of the act and in the section above. The drawdown authority in this legislation gets increased to $11 billion from previously $3 billion. The Replenishment of US stocks position does not give a proper indication of the Presidential Drawdown Authority.</t>
  </si>
  <si>
    <t>European Command Operations</t>
  </si>
  <si>
    <t>Not going to Ukraine, but to European Command operations and mission support for US troops in the region.</t>
  </si>
  <si>
    <t>Defense Production Act</t>
  </si>
  <si>
    <t>Not going to Ukraine, but intended to mitigate industrial base constraints for faster missile production and expanded domestic capacity of strategic and critical minerals.</t>
  </si>
  <si>
    <t>Munitions and Exportability funds</t>
  </si>
  <si>
    <t>Not going to Ukraine, but to procure critical munitions to increase DoD stocks.</t>
  </si>
  <si>
    <t>Administration for Children and Families</t>
  </si>
  <si>
    <t>Not going to Ukraine, but consists of funding to provide refugees arriving from Ukraine with different services.</t>
  </si>
  <si>
    <t>Centers for Disease Control and Prevention</t>
  </si>
  <si>
    <t>Not going to Ukraine, but provides refugees arriving from Ukraine medical support and other health related services.</t>
  </si>
  <si>
    <t>Not going to Ukraine, but intended to prevent and respond to global food insecurity.</t>
  </si>
  <si>
    <t>Diplomatic programs for diplomatic support. Does not benefit Ukraine directly.</t>
  </si>
  <si>
    <t>Funding for a capital investment fund, and therefore not going to Ukraine.</t>
  </si>
  <si>
    <t xml:space="preserve">Funding for Embassy security and construction, does not benefit Ukraine directly. </t>
  </si>
  <si>
    <t>Funding for operation expenses for operations which had to flee Ukraine.</t>
  </si>
  <si>
    <t>Oversight</t>
  </si>
  <si>
    <t>$4 million for the Department of the State Inspector general, $1 million for the USAID Inspector general, to oversee funds.</t>
  </si>
  <si>
    <t>General Provisions</t>
  </si>
  <si>
    <t>Not going to Ukraine: $20 million to reimburse the Bill Emerson Humanitarian Trust, $52 million for the US Department of Treasury and their special agents.</t>
  </si>
  <si>
    <t>Continuing Appropriations and Ukraine Supplemental Appropriations Act 2023, September 2022.</t>
  </si>
  <si>
    <t>USAI</t>
  </si>
  <si>
    <t>National Nuclear Security Administration, Defense Nuclear Nonproliferation</t>
  </si>
  <si>
    <t>Funding to prepare for and respond to potential nuclear and radiological incidents in Ukraine.</t>
  </si>
  <si>
    <t>Continuity of Government</t>
  </si>
  <si>
    <t>Funding for Economic Support fund providing budget support to Ukraine.</t>
  </si>
  <si>
    <t>Military Assistance</t>
  </si>
  <si>
    <t>Authorizes the President to direct the drawdown of up to $3.7 billion worth of defense articles from U.S. stocks.</t>
  </si>
  <si>
    <t>Funding to replenish US stocks. Gives no indication of actual Presidential Drawdown Authority and would therefore result in double counting, if counted as aid to Ukraine.</t>
  </si>
  <si>
    <t>European Command operations</t>
  </si>
  <si>
    <t>Funding for US mission support, intelligence support, special duty pay for troops deployed to the region.</t>
  </si>
  <si>
    <t>Funding for the Inspector General to oversee funds.</t>
  </si>
  <si>
    <t>Additional Ukraine Supplemental Appropriations Act 2023, December 2022</t>
  </si>
  <si>
    <t>Humanitarian Assistance</t>
  </si>
  <si>
    <t xml:space="preserve">For humanitarian needs of Ukraine, refugees from Ukraine, and other vulnerable populations and communities. </t>
  </si>
  <si>
    <t>Economic Assistance</t>
  </si>
  <si>
    <t>For vital economic and budgetary support for the Government of Ukraine.</t>
  </si>
  <si>
    <t>Security Assistance</t>
  </si>
  <si>
    <r>
      <t>Increases</t>
    </r>
    <r>
      <rPr>
        <sz val="11"/>
        <color rgb="FF000000"/>
        <rFont val="Times New Roman"/>
        <family val="1"/>
      </rPr>
      <t xml:space="preserve"> the President’s authority to transfer defense equipment to Ukraine to $14.5 billion (from $3.7 billion enacted in USAA 2023). In our dataset, this is reflected as a total Presidential Drawdown Authority for the Fiscal Year 2023.</t>
    </r>
  </si>
  <si>
    <t>Food for Peace</t>
  </si>
  <si>
    <t>No further information given, contrary to the same position in USAA 2022.</t>
  </si>
  <si>
    <t>McGovern-Dole Food for Education and Child Nutrition Program</t>
  </si>
  <si>
    <t>Not going to Ukraine, but funding for for the McGovern-Dole Food for Education and Child Nutrition Program.</t>
  </si>
  <si>
    <t>Does not give any indication on the actual Presidential Drawdown Authority. We count the authority above and in our dataset, but counting both entries would result in double counting.</t>
  </si>
  <si>
    <t>European Command operations and related activities</t>
  </si>
  <si>
    <t>Not going to Ukraine, but is funding for US for mission support, intelligence support, pay, equipment, and related activities.</t>
  </si>
  <si>
    <t>Funding for the Inspector General to oversee activities.</t>
  </si>
  <si>
    <t>Department of Energy, Office of Nuclear Energy</t>
  </si>
  <si>
    <t>Does not go to Ukraine, but is funding for research in the US.</t>
  </si>
  <si>
    <t>National Security Council</t>
  </si>
  <si>
    <t>Does not go to Ukraine, but funds the White House.</t>
  </si>
  <si>
    <t>Department of Health and Human Services, Administration for Children and Families</t>
  </si>
  <si>
    <t>Funding for Ukrainian arrivals and refugees, and does therefore not go to Ukraine.</t>
  </si>
  <si>
    <t>Government Accountability Office</t>
  </si>
  <si>
    <t>Funding for oversight of amounts provided in this and prior Acts to respond to the situation in Ukraine.</t>
  </si>
  <si>
    <t>State Department and USAID Operations</t>
  </si>
  <si>
    <t xml:space="preserve">General funding for the State Department and USAID to oversee operations in Ukraine. </t>
  </si>
  <si>
    <t>Summing up:</t>
  </si>
  <si>
    <t>US bilateral aid NOT appropriated for Ukraine</t>
  </si>
  <si>
    <t>All US bilataral aid appropriated (=bookmarked) for Ukraine</t>
  </si>
  <si>
    <t>In a further step we correct the amount we count as aid for Ukraine ($95.19 billion USD) for double counting.</t>
  </si>
  <si>
    <t>Correction for Drawdowns</t>
  </si>
  <si>
    <t xml:space="preserve">The Additional 2022 and 2023 acts provide increases in the Presidential Drawdown Authority. The acts list the total amounts of $11 and $14.5, not the increases. </t>
  </si>
  <si>
    <t>We therefore must correct for the baseline values introduced in the USAA 2022 and USAA 2022 by subtracting them since they are already in the Authority position in the AUSAA 2022 and 2023.</t>
  </si>
  <si>
    <t>Furthermore, we correct for $260 million in Presidential Drawdowns that occured in August and December 2021, as these do not fall in the timeframe of our dataset.</t>
  </si>
  <si>
    <t>Furthermore, we correct for unused budgets. Since funds from the acts can usually only be used in their respective fiscal year, we correct for not obligated positions, i.e. funds, that have not been used and are therefore lost.</t>
  </si>
  <si>
    <t>Correction for unused budgets in FY2022</t>
  </si>
  <si>
    <t xml:space="preserve">The information of non-obligated ("unused") budgets is provided by the Congressional Research Service for military and humanitarian aid, and double checked with information on humanitarian aid by the USAID. </t>
  </si>
  <si>
    <t>Unused military budgets are: $1.775 billion in Presidential Drawdown Authority for the Fiscal Year 2022, $3.103 billion from the FMF budget for the FY2022.</t>
  </si>
  <si>
    <t>Department of State, U.S. Agency for International Development (USAID)</t>
  </si>
  <si>
    <t xml:space="preserve">Unused humanitarian budgets are: $7.1 billion over the entire humanitarian aid appropriated by the Department of State and USAID. </t>
  </si>
  <si>
    <t>Through these corrections, we arrive at the actual aid commitments to Ukraine:</t>
  </si>
  <si>
    <t>Actual US aid commitments to Ukraine</t>
  </si>
  <si>
    <r>
      <t xml:space="preserve">This sum in billion USD represents the </t>
    </r>
    <r>
      <rPr>
        <u/>
        <sz val="11"/>
        <color rgb="FF000000"/>
        <rFont val="Times New Roman"/>
        <family val="1"/>
      </rPr>
      <t>actual</t>
    </r>
    <r>
      <rPr>
        <sz val="11"/>
        <color rgb="FF000000"/>
        <rFont val="Times New Roman"/>
        <family val="1"/>
      </rPr>
      <t xml:space="preserve"> aid commitments to Ukraine from the US, between January 24, 2022 and January 15, 2023.</t>
    </r>
  </si>
  <si>
    <t>Explaining the difference to the Ukraine Support Tracker dataset</t>
  </si>
  <si>
    <t xml:space="preserve">The Ukraine Support Tracker dataset reports $76.84 billion (€73.18 billion) in total bilateral US aid to Ukraine. This means we overvalue US support by $590 million. </t>
  </si>
  <si>
    <t>This comes from the unused humanitarian aid positions, as it is not entirely clear, which exact positions from the 2022 acts have specifically not been used or only have been used partially.</t>
  </si>
  <si>
    <t>To account for this uncertainty, and to not underestimate the true value of bilateral US support to Ukraine, this positive difference will remain in the dataset, as it is in line with our upper bound approach.</t>
  </si>
  <si>
    <t>Benchmarking our results</t>
  </si>
  <si>
    <t>In a next step, we compare the aid commitments we count as bilateral US aid to Ukraine with the official numbers from the US Congress.</t>
  </si>
  <si>
    <r>
      <t xml:space="preserve">According to the House Committee on Appropriations, the US has provided Ukraine with </t>
    </r>
    <r>
      <rPr>
        <b/>
        <sz val="11"/>
        <color rgb="FF000000"/>
        <rFont val="Times New Roman"/>
      </rPr>
      <t>$113 billion</t>
    </r>
    <r>
      <rPr>
        <sz val="11"/>
        <color rgb="FF000000"/>
        <rFont val="Times New Roman"/>
      </rPr>
      <t xml:space="preserve"> in bilateral aid in 2022.</t>
    </r>
  </si>
  <si>
    <t>The number is a sum over the amounts stated in the respective act summaries on top:  March ($13 billion), May ($40 billion), September ($14 billion), and December ($45 billion). For the sources, please see the respective act sheets.</t>
  </si>
  <si>
    <t xml:space="preserve">There is no further specification on how the amounts stated in the sources are calculated. </t>
  </si>
  <si>
    <t>As an example:</t>
  </si>
  <si>
    <t>The December 2022 act is stated to "provide $45 billion in emergency funding to support the Ukrainian people"</t>
  </si>
  <si>
    <t xml:space="preserve">Adding all positions in the December 2022 act, even the ones we do not count as bilateral aid, amounts to over $61 billion. </t>
  </si>
  <si>
    <t>This makes it impossible for us to benchmark our own evaluation of US bilateral support to Ukraine against the numbers the House Commitee of Appropriations provides.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</si>
</sst>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00_);_(* \(#,##0.00\);_(* &quot;-&quot;??_);_(@_)"/>
    <numFmt numFmtId="165" formatCode="0.000000"/>
    <numFmt numFmtId="166" formatCode="0.0000"/>
    <numFmt numFmtId="167" formatCode="0.00000"/>
    <numFmt numFmtId="168" formatCode="#,##0.00\ _€"/>
    <numFmt numFmtId="169" formatCode="#,##0\ _€"/>
    <numFmt numFmtId="170" formatCode="0.0"/>
    <numFmt numFmtId="171" formatCode="#,##0_ ;\-#,##0\ "/>
    <numFmt numFmtId="172" formatCode="0.0000000"/>
    <numFmt numFmtId="173" formatCode="0.000"/>
    <numFmt numFmtId="174" formatCode="_(* #,##0_);_(* \(#,##0\);_(* &quot;-&quot;??_);_(@_)"/>
    <numFmt numFmtId="175" formatCode="#,##0.0"/>
    <numFmt numFmtId="176" formatCode="mmmm"/>
    <numFmt numFmtId="177" formatCode="0.0000%"/>
    <numFmt numFmtId="178" formatCode="_-* #,##0.0000000_-;\-* #,##0.0000000_-;_-* &quot;-&quot;??_-;_-@_-"/>
    <numFmt numFmtId="179" formatCode="_(* #,##0.0000000_);_(* \(#,##0.0000000\);_(* &quot;-&quot;??_);_(@_)"/>
    <numFmt numFmtId="180" formatCode="_-* #,##0.0000_-;\-* #,##0.0000_-;_-* &quot;-&quot;??_-;_-@_-"/>
    <numFmt numFmtId="181" formatCode="_-* #,##0.000_-;\-* #,##0.000_-;_-* &quot;-&quot;??_-;_-@_-"/>
    <numFmt numFmtId="182" formatCode="_-* #,##0.00000_-;\-* #,##0.00000_-;_-* &quot;-&quot;??_-;_-@_-"/>
    <numFmt numFmtId="183" formatCode="0.00000000000"/>
    <numFmt numFmtId="184" formatCode="_(* #,##0.0000_);_(* \(#,##0.0000\);_(* &quot;-&quot;??_);_(@_)"/>
    <numFmt numFmtId="185" formatCode="0.0000000000"/>
    <numFmt numFmtId="186" formatCode="dd/mmm/yyyy"/>
  </numFmts>
  <fonts count="114">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sz val="8"/>
      <name val="Calibri"/>
      <family val="2"/>
      <scheme val="minor"/>
    </font>
    <font>
      <sz val="10"/>
      <name val="Arial"/>
      <family val="2"/>
    </font>
    <font>
      <sz val="11"/>
      <color theme="1"/>
      <name val="Calibri"/>
      <family val="2"/>
      <scheme val="minor"/>
    </font>
    <font>
      <sz val="12"/>
      <color theme="1"/>
      <name val="Times New Roman"/>
      <family val="1"/>
    </font>
    <font>
      <sz val="11"/>
      <color rgb="FF000000"/>
      <name val="Times New Roman"/>
      <family val="1"/>
    </font>
    <font>
      <sz val="11"/>
      <color theme="1"/>
      <name val="Times New Roman"/>
      <family val="1"/>
    </font>
    <font>
      <sz val="9"/>
      <color indexed="81"/>
      <name val="Tahoma"/>
      <family val="2"/>
    </font>
    <font>
      <b/>
      <sz val="9"/>
      <color indexed="81"/>
      <name val="Tahoma"/>
      <family val="2"/>
    </font>
    <font>
      <u/>
      <sz val="11"/>
      <color theme="10"/>
      <name val="Calibri"/>
      <family val="2"/>
      <scheme val="minor"/>
    </font>
    <font>
      <sz val="12"/>
      <color rgb="FF000000"/>
      <name val="Times New Roman"/>
      <family val="1"/>
    </font>
    <font>
      <i/>
      <sz val="12"/>
      <name val="Times New Roman"/>
      <family val="1"/>
    </font>
    <font>
      <i/>
      <sz val="12"/>
      <color rgb="FF000000"/>
      <name val="Times New Roman"/>
      <family val="1"/>
    </font>
    <font>
      <b/>
      <u/>
      <sz val="12"/>
      <color theme="1"/>
      <name val="Times New Roman"/>
      <family val="1"/>
    </font>
    <font>
      <b/>
      <sz val="12"/>
      <color theme="1"/>
      <name val="Times New Roman"/>
      <family val="1"/>
    </font>
    <font>
      <b/>
      <sz val="12"/>
      <name val="Times New Roman"/>
      <family val="1"/>
    </font>
    <font>
      <i/>
      <sz val="12"/>
      <color theme="1"/>
      <name val="Times New Roman"/>
      <family val="1"/>
    </font>
    <font>
      <sz val="12"/>
      <color rgb="FFFF0000"/>
      <name val="Times New Roman"/>
      <family val="1"/>
    </font>
    <font>
      <b/>
      <sz val="12"/>
      <color rgb="FF000000"/>
      <name val="Times New Roman"/>
      <family val="1"/>
    </font>
    <font>
      <u/>
      <sz val="12"/>
      <color theme="10"/>
      <name val="Times New Roman"/>
      <family val="1"/>
    </font>
    <font>
      <sz val="12"/>
      <name val="Times New Roman"/>
      <family val="1"/>
    </font>
    <font>
      <sz val="12"/>
      <color rgb="FF333333"/>
      <name val="Times New Roman"/>
      <family val="1"/>
    </font>
    <font>
      <u/>
      <sz val="12"/>
      <color rgb="FF000000"/>
      <name val="Times New Roman"/>
      <family val="1"/>
    </font>
    <font>
      <b/>
      <sz val="22"/>
      <color theme="1"/>
      <name val="Times New Roman"/>
      <family val="1"/>
    </font>
    <font>
      <b/>
      <sz val="16"/>
      <color theme="1"/>
      <name val="Times New Roman"/>
      <family val="1"/>
    </font>
    <font>
      <b/>
      <sz val="12"/>
      <color rgb="FF202122"/>
      <name val="Times New Roman"/>
      <family val="1"/>
    </font>
    <font>
      <sz val="12"/>
      <color rgb="FF202122"/>
      <name val="Times New Roman"/>
      <family val="1"/>
    </font>
    <font>
      <sz val="12"/>
      <color theme="2" tint="-0.249977111117893"/>
      <name val="Times New Roman"/>
      <family val="1"/>
    </font>
    <font>
      <b/>
      <sz val="16"/>
      <name val="Times New Roman"/>
      <family val="1"/>
    </font>
    <font>
      <sz val="12"/>
      <color theme="1"/>
      <name val="Calibri"/>
      <family val="2"/>
      <scheme val="minor"/>
    </font>
    <font>
      <sz val="12"/>
      <color theme="3"/>
      <name val="Times New Roman"/>
      <family val="1"/>
    </font>
    <font>
      <u/>
      <sz val="12"/>
      <color rgb="FF0070C0"/>
      <name val="Times New Roman"/>
      <family val="1"/>
    </font>
    <font>
      <u/>
      <sz val="11"/>
      <color rgb="FF0070C0"/>
      <name val="Times New Roman"/>
      <family val="1"/>
    </font>
    <font>
      <b/>
      <i/>
      <sz val="12"/>
      <name val="Times New Roman"/>
      <family val="1"/>
    </font>
    <font>
      <b/>
      <u/>
      <sz val="12"/>
      <name val="Times New Roman"/>
      <family val="1"/>
    </font>
    <font>
      <b/>
      <u/>
      <sz val="12"/>
      <color rgb="FF000000"/>
      <name val="Times New Roman"/>
      <family val="1"/>
    </font>
    <font>
      <sz val="12"/>
      <color rgb="FF444444"/>
      <name val="Times New Roman"/>
      <family val="1"/>
    </font>
    <font>
      <sz val="12"/>
      <color rgb="FF0070C0"/>
      <name val="Times New Roman"/>
      <family val="1"/>
    </font>
    <font>
      <sz val="12"/>
      <color rgb="FF0070C0"/>
      <name val="Times New Roman"/>
      <family val="1"/>
    </font>
    <font>
      <sz val="12"/>
      <color rgb="FFFFFFFF"/>
      <name val="Times New Roman"/>
      <family val="1"/>
    </font>
    <font>
      <sz val="10"/>
      <color rgb="FF000000"/>
      <name val="Times New Roman"/>
      <family val="1"/>
    </font>
    <font>
      <b/>
      <sz val="10"/>
      <color rgb="FF000000"/>
      <name val="Times New Roman"/>
      <family val="1"/>
    </font>
    <font>
      <u/>
      <sz val="10"/>
      <color theme="10"/>
      <name val="Times New Roman"/>
      <family val="1"/>
    </font>
    <font>
      <b/>
      <sz val="16"/>
      <color rgb="FF000000"/>
      <name val="Times New Roman"/>
      <family val="1"/>
    </font>
    <font>
      <sz val="11.2"/>
      <color theme="1"/>
      <name val="Times New Roman"/>
      <family val="1"/>
    </font>
    <font>
      <b/>
      <sz val="12"/>
      <color rgb="FF4F4F4F"/>
      <name val="Times New Roman"/>
      <family val="1"/>
    </font>
    <font>
      <sz val="11"/>
      <color rgb="FF000000"/>
      <name val="Times New Roman"/>
    </font>
    <font>
      <b/>
      <sz val="11"/>
      <color rgb="FF000000"/>
      <name val="Times New Roman"/>
    </font>
    <font>
      <sz val="12"/>
      <color rgb="FF242424"/>
      <name val="Times New Roman"/>
      <family val="1"/>
      <charset val="1"/>
    </font>
    <font>
      <u/>
      <sz val="12"/>
      <color theme="10"/>
      <name val="Times New Roman"/>
    </font>
    <font>
      <b/>
      <sz val="11"/>
      <color theme="1"/>
      <name val="Times New Roman"/>
      <family val="1"/>
    </font>
    <font>
      <u/>
      <sz val="12"/>
      <color theme="1"/>
      <name val="Times New Roman"/>
      <family val="1"/>
    </font>
    <font>
      <u/>
      <sz val="12"/>
      <name val="Times New Roman"/>
      <family val="1"/>
    </font>
    <font>
      <b/>
      <sz val="14"/>
      <name val="Times New Roman"/>
      <family val="1"/>
    </font>
    <font>
      <sz val="12"/>
      <color rgb="FF000000"/>
      <name val="Times New Roman"/>
    </font>
    <font>
      <u/>
      <sz val="12"/>
      <color rgb="FF000000"/>
      <name val="Times New Roman"/>
    </font>
    <font>
      <i/>
      <sz val="12"/>
      <color rgb="FF000000"/>
      <name val="Times New Roman"/>
    </font>
    <font>
      <sz val="11"/>
      <color rgb="FF444444"/>
      <name val="Calibri"/>
      <family val="2"/>
      <charset val="1"/>
    </font>
    <font>
      <sz val="10"/>
      <color theme="1"/>
      <name val="Arial"/>
      <family val="2"/>
    </font>
    <font>
      <sz val="12"/>
      <color theme="1"/>
      <name val="Times New Roman"/>
    </font>
    <font>
      <sz val="12"/>
      <color rgb="FFFFFFFF"/>
      <name val="Calibri"/>
      <family val="2"/>
      <scheme val="minor"/>
    </font>
    <font>
      <sz val="12"/>
      <color theme="1"/>
      <name val="Arial"/>
      <family val="2"/>
    </font>
    <font>
      <sz val="11.2"/>
      <color rgb="FF000000"/>
      <name val="Times New Roman"/>
    </font>
    <font>
      <b/>
      <sz val="11.2"/>
      <color rgb="FF000000"/>
      <name val="Times New Roman"/>
    </font>
    <font>
      <b/>
      <sz val="12"/>
      <color rgb="FF000000"/>
      <name val="Times New Roman"/>
    </font>
    <font>
      <b/>
      <sz val="12"/>
      <color theme="1"/>
      <name val="Times New Roman"/>
    </font>
    <font>
      <u/>
      <sz val="12"/>
      <color rgb="FF0070C0"/>
      <name val="Times New Roman"/>
    </font>
    <font>
      <sz val="12"/>
      <color rgb="FF0070C0"/>
      <name val="Times New Roman"/>
    </font>
    <font>
      <sz val="12"/>
      <color theme="10"/>
      <name val="Times New Roman"/>
    </font>
    <font>
      <sz val="12"/>
      <name val="Times New Roman"/>
    </font>
    <font>
      <sz val="12"/>
      <color rgb="FF0563C1"/>
      <name val="Times New Roman"/>
    </font>
    <font>
      <b/>
      <u/>
      <sz val="11"/>
      <color rgb="FF000000"/>
      <name val="Times New Roman"/>
      <family val="1"/>
    </font>
    <font>
      <u/>
      <sz val="11"/>
      <color rgb="FF0563C1"/>
      <name val="Times New Roman"/>
      <family val="1"/>
    </font>
    <font>
      <b/>
      <sz val="11"/>
      <color rgb="FF000000"/>
      <name val="Times New Roman"/>
      <family val="1"/>
    </font>
    <font>
      <i/>
      <sz val="11"/>
      <color rgb="FF000000"/>
      <name val="Times New Roman"/>
      <family val="1"/>
    </font>
    <font>
      <b/>
      <i/>
      <u/>
      <sz val="11"/>
      <color rgb="FF000000"/>
      <name val="Times New Roman"/>
      <family val="1"/>
    </font>
    <font>
      <b/>
      <i/>
      <sz val="11"/>
      <color rgb="FF000000"/>
      <name val="Times New Roman"/>
      <family val="1"/>
    </font>
    <font>
      <b/>
      <u val="double"/>
      <sz val="14"/>
      <color rgb="FF000000"/>
      <name val="Times New Roman"/>
      <family val="1"/>
    </font>
    <font>
      <u/>
      <sz val="11"/>
      <color rgb="FF000000"/>
      <name val="Times New Roman"/>
      <family val="1"/>
    </font>
    <font>
      <b/>
      <i/>
      <u/>
      <sz val="11"/>
      <color rgb="FF000000"/>
      <name val="Times New Roman"/>
    </font>
    <font>
      <b/>
      <sz val="16"/>
      <color theme="1"/>
      <name val="Times New Roman"/>
    </font>
    <font>
      <sz val="11"/>
      <color theme="1"/>
      <name val="Times New Roman"/>
    </font>
    <font>
      <sz val="11.2"/>
      <color theme="1"/>
      <name val="Times New Roman"/>
    </font>
    <font>
      <b/>
      <sz val="12"/>
      <name val="Times New Roman"/>
    </font>
    <font>
      <sz val="11"/>
      <name val="Calibri"/>
      <family val="2"/>
      <charset val="1"/>
    </font>
    <font>
      <sz val="16"/>
      <color theme="1"/>
      <name val="Times New Roman"/>
      <family val="1"/>
    </font>
    <font>
      <sz val="12"/>
      <color theme="0"/>
      <name val="Times New Roman"/>
      <family val="1"/>
    </font>
  </fonts>
  <fills count="1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rgb="FF000000"/>
      </patternFill>
    </fill>
    <fill>
      <patternFill patternType="solid">
        <fgColor theme="2"/>
        <bgColor indexed="64"/>
      </patternFill>
    </fill>
    <fill>
      <patternFill patternType="solid">
        <fgColor rgb="FFE7E6E6"/>
        <bgColor indexed="64"/>
      </patternFill>
    </fill>
    <fill>
      <patternFill patternType="solid">
        <fgColor rgb="FFF2F2F2"/>
        <bgColor indexed="64"/>
      </patternFill>
    </fill>
    <fill>
      <patternFill patternType="solid">
        <fgColor theme="7" tint="0.79998168889431442"/>
        <bgColor indexed="64"/>
      </patternFill>
    </fill>
    <fill>
      <patternFill patternType="solid">
        <fgColor theme="0" tint="-4.9989318521683403E-2"/>
        <bgColor theme="9"/>
      </patternFill>
    </fill>
    <fill>
      <patternFill patternType="solid">
        <fgColor theme="0"/>
        <bgColor theme="9" tint="0.79998168889431442"/>
      </patternFill>
    </fill>
    <fill>
      <patternFill patternType="solid">
        <fgColor rgb="FFF2F2F2"/>
        <bgColor rgb="FF000000"/>
      </patternFill>
    </fill>
  </fills>
  <borders count="66">
    <border>
      <left/>
      <right/>
      <top/>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rgb="FFD0CECE"/>
      </left>
      <right style="thin">
        <color rgb="FFD0CECE"/>
      </right>
      <top style="thin">
        <color rgb="FFD0CECE"/>
      </top>
      <bottom style="thin">
        <color rgb="FFD0CECE"/>
      </bottom>
      <diagonal/>
    </border>
    <border>
      <left/>
      <right/>
      <top/>
      <bottom style="thin">
        <color rgb="FF000000"/>
      </bottom>
      <diagonal/>
    </border>
    <border>
      <left/>
      <right/>
      <top/>
      <bottom style="thin">
        <color indexed="64"/>
      </bottom>
      <diagonal/>
    </border>
    <border>
      <left/>
      <right style="thin">
        <color rgb="FFD0CECE"/>
      </right>
      <top style="thin">
        <color rgb="FFD0CECE"/>
      </top>
      <bottom style="thin">
        <color rgb="FFD0CECE"/>
      </bottom>
      <diagonal/>
    </border>
    <border>
      <left/>
      <right style="thin">
        <color theme="2" tint="-9.9948118533890809E-2"/>
      </right>
      <top style="thin">
        <color theme="2" tint="-9.9948118533890809E-2"/>
      </top>
      <bottom/>
      <diagonal/>
    </border>
    <border>
      <left/>
      <right style="thin">
        <color theme="2" tint="-9.9948118533890809E-2"/>
      </right>
      <top/>
      <bottom/>
      <diagonal/>
    </border>
    <border>
      <left/>
      <right/>
      <top style="thin">
        <color indexed="64"/>
      </top>
      <bottom style="thin">
        <color indexed="64"/>
      </bottom>
      <diagonal/>
    </border>
    <border>
      <left/>
      <right/>
      <top style="thin">
        <color indexed="64"/>
      </top>
      <bottom style="thin">
        <color rgb="FF000000"/>
      </bottom>
      <diagonal/>
    </border>
    <border>
      <left/>
      <right/>
      <top style="thin">
        <color indexed="64"/>
      </top>
      <bottom/>
      <diagonal/>
    </border>
    <border>
      <left style="thin">
        <color rgb="FFD0CECE"/>
      </left>
      <right style="thin">
        <color rgb="FFD0CECE"/>
      </right>
      <top style="thin">
        <color rgb="FFD0CECE"/>
      </top>
      <bottom/>
      <diagonal/>
    </border>
    <border>
      <left style="thin">
        <color rgb="FFD0CECE"/>
      </left>
      <right style="thin">
        <color rgb="FFD0CECE"/>
      </right>
      <top/>
      <bottom/>
      <diagonal/>
    </border>
    <border>
      <left style="thin">
        <color rgb="FFD0CECE"/>
      </left>
      <right style="thin">
        <color rgb="FFD0CECE"/>
      </right>
      <top/>
      <bottom style="thin">
        <color rgb="FFD0CECE"/>
      </bottom>
      <diagonal/>
    </border>
    <border>
      <left style="thin">
        <color theme="2" tint="-9.9948118533890809E-2"/>
      </left>
      <right/>
      <top style="thin">
        <color theme="2" tint="-9.9948118533890809E-2"/>
      </top>
      <bottom/>
      <diagonal/>
    </border>
    <border>
      <left/>
      <right/>
      <top/>
      <bottom style="thin">
        <color rgb="FFD0CECE"/>
      </bottom>
      <diagonal/>
    </border>
    <border>
      <left/>
      <right/>
      <top style="thin">
        <color rgb="FF000000"/>
      </top>
      <bottom style="thin">
        <color rgb="FF000000"/>
      </bottom>
      <diagonal/>
    </border>
    <border>
      <left/>
      <right/>
      <top style="thin">
        <color rgb="FF000000"/>
      </top>
      <bottom/>
      <diagonal/>
    </border>
    <border>
      <left/>
      <right style="thin">
        <color theme="2" tint="-9.9948118533890809E-2"/>
      </right>
      <top style="thin">
        <color theme="2" tint="-9.9948118533890809E-2"/>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right/>
      <top style="thin">
        <color theme="2" tint="-9.9948118533890809E-2"/>
      </top>
      <bottom/>
      <diagonal/>
    </border>
    <border>
      <left style="thin">
        <color theme="2" tint="-9.9948118533890809E-2"/>
      </left>
      <right/>
      <top style="thin">
        <color rgb="FFD0CECE"/>
      </top>
      <bottom/>
      <diagonal/>
    </border>
    <border>
      <left style="thin">
        <color theme="2" tint="-9.9948118533890809E-2"/>
      </left>
      <right style="thin">
        <color theme="2" tint="-9.9948118533890809E-2"/>
      </right>
      <top/>
      <bottom/>
      <diagonal/>
    </border>
    <border>
      <left style="thin">
        <color theme="2" tint="-9.9948118533890809E-2"/>
      </left>
      <right/>
      <top/>
      <bottom/>
      <diagonal/>
    </border>
    <border>
      <left style="thin">
        <color theme="2" tint="-9.9948118533890809E-2"/>
      </left>
      <right style="thin">
        <color theme="2" tint="-9.9948118533890809E-2"/>
      </right>
      <top/>
      <bottom style="thin">
        <color rgb="FFD0CECE"/>
      </bottom>
      <diagonal/>
    </border>
    <border>
      <left/>
      <right/>
      <top style="thin">
        <color rgb="FF000000"/>
      </top>
      <bottom style="thin">
        <color indexed="64"/>
      </bottom>
      <diagonal/>
    </border>
    <border>
      <left/>
      <right style="double">
        <color indexed="64"/>
      </right>
      <top/>
      <bottom/>
      <diagonal/>
    </border>
    <border>
      <left style="medium">
        <color indexed="64"/>
      </left>
      <right style="medium">
        <color indexed="64"/>
      </right>
      <top/>
      <bottom/>
      <diagonal/>
    </border>
    <border>
      <left style="thin">
        <color theme="0"/>
      </left>
      <right style="thin">
        <color theme="0"/>
      </right>
      <top style="thin">
        <color theme="0"/>
      </top>
      <bottom style="thin">
        <color theme="0"/>
      </bottom>
      <diagonal/>
    </border>
    <border>
      <left style="thin">
        <color theme="0"/>
      </left>
      <right/>
      <top style="thin">
        <color theme="1"/>
      </top>
      <bottom/>
      <diagonal/>
    </border>
    <border>
      <left style="thin">
        <color theme="0"/>
      </left>
      <right/>
      <top/>
      <bottom style="thin">
        <color theme="1"/>
      </bottom>
      <diagonal/>
    </border>
    <border>
      <left/>
      <right/>
      <top/>
      <bottom style="thin">
        <color theme="1"/>
      </bottom>
      <diagonal/>
    </border>
    <border>
      <left style="thin">
        <color theme="0"/>
      </left>
      <right style="thin">
        <color theme="0"/>
      </right>
      <top/>
      <bottom style="thin">
        <color theme="0"/>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thin">
        <color theme="2" tint="-9.9948118533890809E-2"/>
      </right>
      <top/>
      <bottom style="thin">
        <color theme="2" tint="-9.9948118533890809E-2"/>
      </bottom>
      <diagonal/>
    </border>
    <border>
      <left style="thin">
        <color theme="0"/>
      </left>
      <right style="thin">
        <color theme="0"/>
      </right>
      <top style="thin">
        <color theme="0"/>
      </top>
      <bottom style="medium">
        <color rgb="FF000000"/>
      </bottom>
      <diagonal/>
    </border>
    <border>
      <left style="thin">
        <color theme="0"/>
      </left>
      <right/>
      <top style="thin">
        <color theme="0"/>
      </top>
      <bottom style="medium">
        <color rgb="FF000000"/>
      </bottom>
      <diagonal/>
    </border>
    <border>
      <left/>
      <right style="thin">
        <color theme="0"/>
      </right>
      <top style="thin">
        <color theme="0"/>
      </top>
      <bottom style="thin">
        <color theme="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style="double">
        <color rgb="FF000000"/>
      </right>
      <top/>
      <bottom/>
      <diagonal/>
    </border>
    <border>
      <left style="double">
        <color rgb="FF000000"/>
      </left>
      <right style="double">
        <color rgb="FF000000"/>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thin">
        <color theme="0"/>
      </left>
      <right style="thin">
        <color theme="0"/>
      </right>
      <top style="thin">
        <color theme="0"/>
      </top>
      <bottom/>
      <diagonal/>
    </border>
    <border>
      <left style="thin">
        <color theme="0"/>
      </left>
      <right style="thin">
        <color theme="0"/>
      </right>
      <top/>
      <bottom/>
      <diagonal/>
    </border>
    <border>
      <left/>
      <right style="thin">
        <color theme="0"/>
      </right>
      <top/>
      <bottom style="thin">
        <color rgb="FF000000"/>
      </bottom>
      <diagonal/>
    </border>
    <border>
      <left/>
      <right style="thin">
        <color theme="0"/>
      </right>
      <top style="thin">
        <color rgb="FF000000"/>
      </top>
      <bottom/>
      <diagonal/>
    </border>
    <border>
      <left style="thin">
        <color theme="0"/>
      </left>
      <right/>
      <top/>
      <bottom/>
      <diagonal/>
    </border>
    <border>
      <left/>
      <right style="thin">
        <color theme="0"/>
      </right>
      <top style="thin">
        <color theme="0"/>
      </top>
      <bottom/>
      <diagonal/>
    </border>
    <border>
      <left/>
      <right style="thin">
        <color theme="0"/>
      </right>
      <top style="thin">
        <color indexed="64"/>
      </top>
      <bottom/>
      <diagonal/>
    </border>
    <border>
      <left/>
      <right style="thin">
        <color theme="0"/>
      </right>
      <top/>
      <bottom style="thin">
        <color indexed="64"/>
      </bottom>
      <diagonal/>
    </border>
    <border>
      <left style="thin">
        <color theme="0"/>
      </left>
      <right style="thin">
        <color theme="0"/>
      </right>
      <top style="thin">
        <color theme="0"/>
      </top>
      <bottom style="medium">
        <color indexed="64"/>
      </bottom>
      <diagonal/>
    </border>
    <border>
      <left style="thin">
        <color theme="0"/>
      </left>
      <right style="thin">
        <color theme="0"/>
      </right>
      <top style="thin">
        <color indexed="64"/>
      </top>
      <bottom/>
      <diagonal/>
    </border>
    <border>
      <left style="thin">
        <color theme="0"/>
      </left>
      <right style="thin">
        <color theme="0"/>
      </right>
      <top/>
      <bottom style="thin">
        <color indexed="64"/>
      </bottom>
      <diagonal/>
    </border>
    <border>
      <left/>
      <right style="thin">
        <color theme="0"/>
      </right>
      <top/>
      <bottom style="thin">
        <color theme="0"/>
      </bottom>
      <diagonal/>
    </border>
    <border>
      <left/>
      <right style="thin">
        <color theme="0"/>
      </right>
      <top/>
      <bottom/>
      <diagonal/>
    </border>
    <border>
      <left/>
      <right/>
      <top/>
      <bottom style="medium">
        <color indexed="64"/>
      </bottom>
      <diagonal/>
    </border>
  </borders>
  <cellStyleXfs count="63">
    <xf numFmtId="0" fontId="0" fillId="0" borderId="0"/>
    <xf numFmtId="0" fontId="29" fillId="0" borderId="0"/>
    <xf numFmtId="0" fontId="30" fillId="0" borderId="0"/>
    <xf numFmtId="0" fontId="29" fillId="0" borderId="0"/>
    <xf numFmtId="0" fontId="26" fillId="0" borderId="0"/>
    <xf numFmtId="0" fontId="25" fillId="0" borderId="0"/>
    <xf numFmtId="0" fontId="24" fillId="0" borderId="0"/>
    <xf numFmtId="0" fontId="36" fillId="0" borderId="0" applyNumberFormat="0" applyFill="0" applyBorder="0" applyAlignment="0" applyProtection="0"/>
    <xf numFmtId="0" fontId="24" fillId="0" borderId="0"/>
    <xf numFmtId="0" fontId="23" fillId="0" borderId="0"/>
    <xf numFmtId="164" fontId="23" fillId="0" borderId="0" applyFont="0" applyFill="0" applyBorder="0" applyAlignment="0" applyProtection="0"/>
    <xf numFmtId="164" fontId="56" fillId="0" borderId="0" applyFont="0" applyFill="0" applyBorder="0" applyAlignment="0" applyProtection="0"/>
    <xf numFmtId="0" fontId="22" fillId="0" borderId="0"/>
    <xf numFmtId="0" fontId="21" fillId="0" borderId="0"/>
    <xf numFmtId="9" fontId="56" fillId="0" borderId="0" applyFont="0" applyFill="0" applyBorder="0" applyAlignment="0" applyProtection="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67" fillId="0" borderId="0"/>
    <xf numFmtId="0" fontId="69" fillId="0" borderId="0" applyNumberFormat="0" applyFill="0" applyBorder="0" applyAlignment="0" applyProtection="0"/>
    <xf numFmtId="0" fontId="11" fillId="0" borderId="0"/>
    <xf numFmtId="0" fontId="10" fillId="0" borderId="0"/>
    <xf numFmtId="0" fontId="10" fillId="0" borderId="0"/>
    <xf numFmtId="0" fontId="9" fillId="0" borderId="0"/>
    <xf numFmtId="0" fontId="9" fillId="0" borderId="0"/>
    <xf numFmtId="9" fontId="9" fillId="0" borderId="0" applyFont="0" applyFill="0" applyBorder="0" applyAlignment="0" applyProtection="0"/>
    <xf numFmtId="164" fontId="9" fillId="0" borderId="0" applyFont="0" applyFill="0" applyBorder="0" applyAlignment="0" applyProtection="0"/>
    <xf numFmtId="0" fontId="8" fillId="0" borderId="0"/>
    <xf numFmtId="0" fontId="7" fillId="0" borderId="0"/>
    <xf numFmtId="0" fontId="7" fillId="0" borderId="0"/>
    <xf numFmtId="164" fontId="7" fillId="0" borderId="0" applyFont="0" applyFill="0" applyBorder="0" applyAlignment="0" applyProtection="0"/>
    <xf numFmtId="0" fontId="7" fillId="0" borderId="0"/>
    <xf numFmtId="0" fontId="6" fillId="0" borderId="0"/>
    <xf numFmtId="9" fontId="6" fillId="0" borderId="0" applyFont="0" applyFill="0" applyBorder="0" applyAlignment="0" applyProtection="0"/>
    <xf numFmtId="0" fontId="5" fillId="0" borderId="0"/>
    <xf numFmtId="0" fontId="5" fillId="0" borderId="0"/>
    <xf numFmtId="0" fontId="4" fillId="0" borderId="0"/>
    <xf numFmtId="164" fontId="4" fillId="0" borderId="0" applyFont="0" applyFill="0" applyBorder="0" applyAlignment="0" applyProtection="0"/>
    <xf numFmtId="0" fontId="85"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1" fillId="0" borderId="0"/>
    <xf numFmtId="0" fontId="27" fillId="0" borderId="0" applyNumberFormat="0" applyFill="0" applyBorder="0" applyAlignment="0" applyProtection="0"/>
    <xf numFmtId="0" fontId="27" fillId="0" borderId="0" applyNumberFormat="0" applyFill="0" applyBorder="0" applyAlignment="0" applyProtection="0"/>
  </cellStyleXfs>
  <cellXfs count="1517">
    <xf numFmtId="0" fontId="0" fillId="0" borderId="0" xfId="0"/>
    <xf numFmtId="0" fontId="32" fillId="0" borderId="0" xfId="0" applyFont="1"/>
    <xf numFmtId="0" fontId="31" fillId="2" borderId="0" xfId="0" applyFont="1" applyFill="1"/>
    <xf numFmtId="0" fontId="31" fillId="0" borderId="0" xfId="0" applyFont="1" applyAlignment="1">
      <alignment vertical="center"/>
    </xf>
    <xf numFmtId="0" fontId="31" fillId="0" borderId="0" xfId="0" applyFont="1" applyAlignment="1">
      <alignment horizontal="center" vertical="center" wrapText="1"/>
    </xf>
    <xf numFmtId="0" fontId="37" fillId="0" borderId="0" xfId="0" applyFont="1" applyAlignment="1">
      <alignment vertical="center"/>
    </xf>
    <xf numFmtId="0" fontId="40" fillId="0" borderId="0" xfId="0" applyFont="1" applyAlignment="1">
      <alignment vertical="center"/>
    </xf>
    <xf numFmtId="0" fontId="42" fillId="4" borderId="0" xfId="0" applyFont="1" applyFill="1" applyAlignment="1">
      <alignment vertical="center" wrapText="1"/>
    </xf>
    <xf numFmtId="0" fontId="38" fillId="0" borderId="0" xfId="0" applyFont="1" applyAlignment="1">
      <alignment vertical="center"/>
    </xf>
    <xf numFmtId="0" fontId="31" fillId="5" borderId="0" xfId="0" applyFont="1" applyFill="1" applyAlignment="1">
      <alignment vertical="center"/>
    </xf>
    <xf numFmtId="0" fontId="44" fillId="5" borderId="0" xfId="0" applyFont="1" applyFill="1" applyAlignment="1">
      <alignment vertical="center"/>
    </xf>
    <xf numFmtId="0" fontId="31" fillId="2" borderId="0" xfId="0" applyFont="1" applyFill="1" applyAlignment="1">
      <alignment vertical="center"/>
    </xf>
    <xf numFmtId="0" fontId="41" fillId="5" borderId="0" xfId="0" applyFont="1" applyFill="1" applyAlignment="1">
      <alignment vertical="center"/>
    </xf>
    <xf numFmtId="0" fontId="31" fillId="0" borderId="0" xfId="0" applyFont="1"/>
    <xf numFmtId="3" fontId="31" fillId="0" borderId="0" xfId="0" applyNumberFormat="1" applyFont="1" applyAlignment="1">
      <alignment horizontal="left" vertical="center"/>
    </xf>
    <xf numFmtId="0" fontId="37" fillId="0" borderId="0" xfId="0" applyFont="1" applyAlignment="1">
      <alignment horizontal="center" vertical="center"/>
    </xf>
    <xf numFmtId="14" fontId="37" fillId="0" borderId="0" xfId="0" applyNumberFormat="1" applyFont="1" applyAlignment="1">
      <alignment horizontal="left" vertical="center"/>
    </xf>
    <xf numFmtId="0" fontId="37" fillId="0" borderId="0" xfId="0" applyFont="1" applyAlignment="1">
      <alignment horizontal="left" vertical="center"/>
    </xf>
    <xf numFmtId="0" fontId="31" fillId="0" borderId="1" xfId="0" applyFont="1" applyBorder="1" applyAlignment="1">
      <alignment horizontal="left" vertical="center"/>
    </xf>
    <xf numFmtId="0" fontId="37" fillId="0" borderId="0" xfId="0" applyFont="1"/>
    <xf numFmtId="0" fontId="31" fillId="0" borderId="0" xfId="0" applyFont="1" applyAlignment="1">
      <alignment horizontal="left"/>
    </xf>
    <xf numFmtId="0" fontId="41" fillId="2" borderId="0" xfId="0" applyFont="1" applyFill="1"/>
    <xf numFmtId="0" fontId="42" fillId="2" borderId="0" xfId="1" applyFont="1" applyFill="1"/>
    <xf numFmtId="0" fontId="47" fillId="2" borderId="0" xfId="1" applyFont="1" applyFill="1" applyAlignment="1">
      <alignment horizontal="left"/>
    </xf>
    <xf numFmtId="0" fontId="47" fillId="2" borderId="0" xfId="1" applyFont="1" applyFill="1"/>
    <xf numFmtId="1" fontId="31" fillId="2" borderId="0" xfId="0" applyNumberFormat="1" applyFont="1" applyFill="1"/>
    <xf numFmtId="0" fontId="42" fillId="2" borderId="6" xfId="1" applyFont="1" applyFill="1" applyBorder="1"/>
    <xf numFmtId="165" fontId="47" fillId="2" borderId="0" xfId="1" applyNumberFormat="1" applyFont="1" applyFill="1"/>
    <xf numFmtId="3" fontId="37" fillId="2" borderId="0" xfId="0" applyNumberFormat="1" applyFont="1" applyFill="1" applyAlignment="1">
      <alignment horizontal="center" vertical="center"/>
    </xf>
    <xf numFmtId="1" fontId="31" fillId="2" borderId="4" xfId="0" applyNumberFormat="1" applyFont="1" applyFill="1" applyBorder="1"/>
    <xf numFmtId="0" fontId="37" fillId="4" borderId="0" xfId="0" applyFont="1" applyFill="1"/>
    <xf numFmtId="0" fontId="31" fillId="3" borderId="0" xfId="0" applyFont="1" applyFill="1"/>
    <xf numFmtId="0" fontId="37" fillId="3" borderId="0" xfId="0" applyFont="1" applyFill="1"/>
    <xf numFmtId="0" fontId="31" fillId="3" borderId="5" xfId="0" applyFont="1" applyFill="1" applyBorder="1"/>
    <xf numFmtId="0" fontId="41" fillId="0" borderId="0" xfId="0" applyFont="1"/>
    <xf numFmtId="0" fontId="31" fillId="2" borderId="0" xfId="4" applyFont="1" applyFill="1"/>
    <xf numFmtId="0" fontId="31" fillId="0" borderId="0" xfId="4" applyFont="1"/>
    <xf numFmtId="0" fontId="47" fillId="0" borderId="0" xfId="1" applyFont="1"/>
    <xf numFmtId="0" fontId="31" fillId="2" borderId="5" xfId="4" applyFont="1" applyFill="1" applyBorder="1"/>
    <xf numFmtId="0" fontId="31" fillId="3" borderId="0" xfId="2" applyFont="1" applyFill="1"/>
    <xf numFmtId="0" fontId="31" fillId="2" borderId="0" xfId="2" applyFont="1" applyFill="1"/>
    <xf numFmtId="0" fontId="41" fillId="2" borderId="0" xfId="2" applyFont="1" applyFill="1"/>
    <xf numFmtId="0" fontId="41" fillId="0" borderId="0" xfId="2" applyFont="1"/>
    <xf numFmtId="0" fontId="31" fillId="0" borderId="0" xfId="2" applyFont="1"/>
    <xf numFmtId="0" fontId="47" fillId="3" borderId="0" xfId="1" applyFont="1" applyFill="1"/>
    <xf numFmtId="0" fontId="38" fillId="0" borderId="0" xfId="0" applyFont="1" applyAlignment="1">
      <alignment vertical="center" wrapText="1"/>
    </xf>
    <xf numFmtId="0" fontId="31" fillId="2" borderId="5" xfId="2" applyFont="1" applyFill="1" applyBorder="1"/>
    <xf numFmtId="0" fontId="45" fillId="4" borderId="0" xfId="0" applyFont="1" applyFill="1"/>
    <xf numFmtId="0" fontId="47" fillId="4" borderId="0" xfId="0" applyFont="1" applyFill="1"/>
    <xf numFmtId="2" fontId="31" fillId="2" borderId="0" xfId="2" applyNumberFormat="1" applyFont="1" applyFill="1"/>
    <xf numFmtId="0" fontId="31" fillId="2" borderId="0" xfId="2" applyFont="1" applyFill="1" applyAlignment="1">
      <alignment vertical="top" wrapText="1"/>
    </xf>
    <xf numFmtId="2" fontId="31" fillId="2" borderId="5" xfId="2" applyNumberFormat="1" applyFont="1" applyFill="1" applyBorder="1"/>
    <xf numFmtId="2" fontId="31" fillId="2" borderId="0" xfId="2" applyNumberFormat="1" applyFont="1" applyFill="1" applyAlignment="1">
      <alignment horizontal="right"/>
    </xf>
    <xf numFmtId="2" fontId="31" fillId="2" borderId="5" xfId="2" applyNumberFormat="1" applyFont="1" applyFill="1" applyBorder="1" applyAlignment="1">
      <alignment horizontal="right"/>
    </xf>
    <xf numFmtId="0" fontId="31" fillId="3" borderId="0" xfId="4" applyFont="1" applyFill="1"/>
    <xf numFmtId="0" fontId="47" fillId="4" borderId="19" xfId="0" applyFont="1" applyFill="1" applyBorder="1"/>
    <xf numFmtId="0" fontId="38" fillId="0" borderId="0" xfId="0" applyFont="1" applyAlignment="1">
      <alignment vertical="top" wrapText="1"/>
    </xf>
    <xf numFmtId="0" fontId="31" fillId="3" borderId="0" xfId="4" applyFont="1" applyFill="1" applyAlignment="1">
      <alignment vertical="top" wrapText="1"/>
    </xf>
    <xf numFmtId="0" fontId="31" fillId="0" borderId="0" xfId="0" applyFont="1" applyAlignment="1">
      <alignment wrapText="1"/>
    </xf>
    <xf numFmtId="0" fontId="33" fillId="2" borderId="0" xfId="0" applyFont="1" applyFill="1" applyAlignment="1">
      <alignment vertical="center"/>
    </xf>
    <xf numFmtId="0" fontId="46" fillId="0" borderId="0" xfId="61" applyFont="1" applyFill="1" applyBorder="1"/>
    <xf numFmtId="0" fontId="42" fillId="4" borderId="0" xfId="0" applyFont="1" applyFill="1" applyAlignment="1">
      <alignment wrapText="1"/>
    </xf>
    <xf numFmtId="2" fontId="37" fillId="0" borderId="0" xfId="0" applyNumberFormat="1" applyFont="1"/>
    <xf numFmtId="0" fontId="47" fillId="4" borderId="0" xfId="0" applyFont="1" applyFill="1" applyAlignment="1">
      <alignment vertical="top" wrapText="1"/>
    </xf>
    <xf numFmtId="0" fontId="37" fillId="4" borderId="4" xfId="0" applyFont="1" applyFill="1" applyBorder="1"/>
    <xf numFmtId="0" fontId="42" fillId="2" borderId="10" xfId="1" applyFont="1" applyFill="1" applyBorder="1"/>
    <xf numFmtId="0" fontId="53" fillId="0" borderId="0" xfId="0" applyFont="1"/>
    <xf numFmtId="0" fontId="47" fillId="0" borderId="0" xfId="0" applyFont="1" applyAlignment="1">
      <alignment vertical="center" wrapText="1"/>
    </xf>
    <xf numFmtId="0" fontId="37" fillId="5" borderId="0" xfId="0" applyFont="1" applyFill="1"/>
    <xf numFmtId="0" fontId="48" fillId="0" borderId="0" xfId="0" applyFont="1"/>
    <xf numFmtId="3" fontId="37" fillId="0" borderId="0" xfId="0" applyNumberFormat="1" applyFont="1"/>
    <xf numFmtId="0" fontId="37" fillId="2" borderId="0" xfId="0" applyFont="1" applyFill="1"/>
    <xf numFmtId="3" fontId="31" fillId="0" borderId="0" xfId="0" applyNumberFormat="1" applyFont="1"/>
    <xf numFmtId="3" fontId="31" fillId="0" borderId="0" xfId="4" applyNumberFormat="1" applyFont="1"/>
    <xf numFmtId="2" fontId="31" fillId="2" borderId="0" xfId="4" applyNumberFormat="1" applyFont="1" applyFill="1"/>
    <xf numFmtId="0" fontId="31" fillId="2" borderId="0" xfId="4" applyFont="1" applyFill="1" applyAlignment="1">
      <alignment vertical="top" wrapText="1"/>
    </xf>
    <xf numFmtId="0" fontId="47" fillId="2" borderId="0" xfId="0" applyFont="1" applyFill="1" applyAlignment="1">
      <alignment vertical="top" wrapText="1"/>
    </xf>
    <xf numFmtId="2" fontId="31" fillId="2" borderId="5" xfId="4" applyNumberFormat="1" applyFont="1" applyFill="1" applyBorder="1"/>
    <xf numFmtId="2" fontId="31" fillId="2" borderId="0" xfId="4" applyNumberFormat="1" applyFont="1" applyFill="1" applyAlignment="1">
      <alignment vertical="top" wrapText="1"/>
    </xf>
    <xf numFmtId="2" fontId="52" fillId="2" borderId="0" xfId="0" applyNumberFormat="1" applyFont="1" applyFill="1"/>
    <xf numFmtId="2" fontId="37" fillId="5" borderId="0" xfId="0" applyNumberFormat="1" applyFont="1" applyFill="1"/>
    <xf numFmtId="2" fontId="37" fillId="2" borderId="0" xfId="0" applyNumberFormat="1" applyFont="1" applyFill="1"/>
    <xf numFmtId="0" fontId="37" fillId="2" borderId="0" xfId="2" applyFont="1" applyFill="1" applyAlignment="1">
      <alignment horizontal="left"/>
    </xf>
    <xf numFmtId="0" fontId="54" fillId="2" borderId="0" xfId="2" applyFont="1" applyFill="1"/>
    <xf numFmtId="0" fontId="45" fillId="2" borderId="0" xfId="2" applyFont="1" applyFill="1" applyAlignment="1">
      <alignment horizontal="left"/>
    </xf>
    <xf numFmtId="0" fontId="54" fillId="2" borderId="0" xfId="2" applyFont="1" applyFill="1" applyAlignment="1">
      <alignment horizontal="left"/>
    </xf>
    <xf numFmtId="0" fontId="37" fillId="0" borderId="0" xfId="2" applyFont="1" applyAlignment="1">
      <alignment horizontal="left"/>
    </xf>
    <xf numFmtId="0" fontId="45" fillId="0" borderId="0" xfId="2" applyFont="1" applyAlignment="1">
      <alignment horizontal="left" vertical="center" wrapText="1"/>
    </xf>
    <xf numFmtId="0" fontId="45" fillId="0" borderId="0" xfId="2" applyFont="1" applyAlignment="1">
      <alignment horizontal="left"/>
    </xf>
    <xf numFmtId="38" fontId="37" fillId="0" borderId="0" xfId="2" applyNumberFormat="1" applyFont="1" applyAlignment="1">
      <alignment horizontal="left" vertical="center" wrapText="1"/>
    </xf>
    <xf numFmtId="167" fontId="37" fillId="0" borderId="0" xfId="2" applyNumberFormat="1" applyFont="1" applyAlignment="1">
      <alignment horizontal="left"/>
    </xf>
    <xf numFmtId="167" fontId="37" fillId="2" borderId="0" xfId="2" applyNumberFormat="1" applyFont="1" applyFill="1" applyAlignment="1">
      <alignment horizontal="left"/>
    </xf>
    <xf numFmtId="166" fontId="37" fillId="2" borderId="0" xfId="2" applyNumberFormat="1" applyFont="1" applyFill="1" applyAlignment="1">
      <alignment horizontal="left"/>
    </xf>
    <xf numFmtId="38" fontId="45" fillId="0" borderId="0" xfId="2" applyNumberFormat="1" applyFont="1" applyAlignment="1">
      <alignment horizontal="left" vertical="center" wrapText="1"/>
    </xf>
    <xf numFmtId="167" fontId="45" fillId="0" borderId="0" xfId="2" applyNumberFormat="1" applyFont="1" applyAlignment="1">
      <alignment horizontal="left"/>
    </xf>
    <xf numFmtId="167" fontId="31" fillId="0" borderId="0" xfId="0" applyNumberFormat="1" applyFont="1"/>
    <xf numFmtId="167" fontId="47" fillId="2" borderId="0" xfId="1" applyNumberFormat="1" applyFont="1" applyFill="1"/>
    <xf numFmtId="0" fontId="42" fillId="2" borderId="0" xfId="2" applyFont="1" applyFill="1" applyAlignment="1">
      <alignment wrapText="1"/>
    </xf>
    <xf numFmtId="167" fontId="45" fillId="2" borderId="0" xfId="2" applyNumberFormat="1" applyFont="1" applyFill="1" applyAlignment="1">
      <alignment horizontal="left"/>
    </xf>
    <xf numFmtId="0" fontId="47" fillId="2" borderId="0" xfId="1" applyFont="1" applyFill="1" applyAlignment="1">
      <alignment vertical="center"/>
    </xf>
    <xf numFmtId="169" fontId="47" fillId="2" borderId="0" xfId="1" applyNumberFormat="1" applyFont="1" applyFill="1" applyAlignment="1">
      <alignment horizontal="left"/>
    </xf>
    <xf numFmtId="169" fontId="46" fillId="2" borderId="0" xfId="61" applyNumberFormat="1" applyFont="1" applyFill="1" applyAlignment="1">
      <alignment horizontal="left"/>
    </xf>
    <xf numFmtId="169" fontId="31" fillId="0" borderId="0" xfId="0" applyNumberFormat="1" applyFont="1" applyAlignment="1">
      <alignment horizontal="left"/>
    </xf>
    <xf numFmtId="169" fontId="37" fillId="2" borderId="0" xfId="2" applyNumberFormat="1" applyFont="1" applyFill="1" applyAlignment="1">
      <alignment horizontal="left"/>
    </xf>
    <xf numFmtId="169" fontId="45" fillId="2" borderId="0" xfId="2" applyNumberFormat="1" applyFont="1" applyFill="1" applyAlignment="1">
      <alignment horizontal="left"/>
    </xf>
    <xf numFmtId="0" fontId="47" fillId="2" borderId="0" xfId="2" applyFont="1" applyFill="1" applyAlignment="1">
      <alignment horizontal="left" wrapText="1"/>
    </xf>
    <xf numFmtId="0" fontId="46" fillId="2" borderId="0" xfId="61" applyFont="1" applyFill="1" applyAlignment="1">
      <alignment horizontal="left"/>
    </xf>
    <xf numFmtId="166" fontId="47" fillId="2" borderId="0" xfId="1" applyNumberFormat="1" applyFont="1" applyFill="1"/>
    <xf numFmtId="0" fontId="47" fillId="2" borderId="0" xfId="1" applyFont="1" applyFill="1" applyAlignment="1">
      <alignment wrapText="1"/>
    </xf>
    <xf numFmtId="167" fontId="37" fillId="0" borderId="0" xfId="0" applyNumberFormat="1" applyFont="1"/>
    <xf numFmtId="168" fontId="31" fillId="0" borderId="0" xfId="0" applyNumberFormat="1" applyFont="1" applyAlignment="1">
      <alignment horizontal="right"/>
    </xf>
    <xf numFmtId="170" fontId="37" fillId="0" borderId="0" xfId="0" applyNumberFormat="1" applyFont="1" applyAlignment="1">
      <alignment horizontal="left" vertical="center"/>
    </xf>
    <xf numFmtId="2" fontId="37" fillId="4" borderId="0" xfId="0" applyNumberFormat="1" applyFont="1" applyFill="1"/>
    <xf numFmtId="2" fontId="31" fillId="0" borderId="0" xfId="0" applyNumberFormat="1" applyFont="1"/>
    <xf numFmtId="0" fontId="33" fillId="2" borderId="0" xfId="9" applyFont="1" applyFill="1"/>
    <xf numFmtId="0" fontId="51" fillId="0" borderId="0" xfId="0" applyFont="1"/>
    <xf numFmtId="0" fontId="41" fillId="2" borderId="0" xfId="0" applyFont="1" applyFill="1" applyAlignment="1">
      <alignment vertical="center"/>
    </xf>
    <xf numFmtId="2" fontId="47" fillId="0" borderId="0" xfId="0" applyNumberFormat="1" applyFont="1"/>
    <xf numFmtId="2" fontId="47" fillId="4" borderId="0" xfId="0" applyNumberFormat="1" applyFont="1" applyFill="1"/>
    <xf numFmtId="1" fontId="37" fillId="0" borderId="0" xfId="0" applyNumberFormat="1" applyFont="1"/>
    <xf numFmtId="2" fontId="31" fillId="0" borderId="0" xfId="0" quotePrefix="1" applyNumberFormat="1" applyFont="1"/>
    <xf numFmtId="2" fontId="31" fillId="3" borderId="0" xfId="4" applyNumberFormat="1" applyFont="1" applyFill="1"/>
    <xf numFmtId="2" fontId="31" fillId="2" borderId="6" xfId="4" applyNumberFormat="1" applyFont="1" applyFill="1" applyBorder="1"/>
    <xf numFmtId="0" fontId="38" fillId="2" borderId="0" xfId="1" applyFont="1" applyFill="1" applyAlignment="1">
      <alignment horizontal="left"/>
    </xf>
    <xf numFmtId="2" fontId="42" fillId="2" borderId="6" xfId="1" applyNumberFormat="1" applyFont="1" applyFill="1" applyBorder="1" applyAlignment="1">
      <alignment horizontal="right"/>
    </xf>
    <xf numFmtId="2" fontId="42" fillId="2" borderId="0" xfId="1" applyNumberFormat="1" applyFont="1" applyFill="1" applyAlignment="1">
      <alignment horizontal="right"/>
    </xf>
    <xf numFmtId="2" fontId="42" fillId="2" borderId="0" xfId="3" applyNumberFormat="1" applyFont="1" applyFill="1" applyAlignment="1">
      <alignment horizontal="right"/>
    </xf>
    <xf numFmtId="2" fontId="47" fillId="2" borderId="0" xfId="1" applyNumberFormat="1" applyFont="1" applyFill="1" applyAlignment="1">
      <alignment horizontal="right"/>
    </xf>
    <xf numFmtId="2" fontId="31" fillId="2" borderId="0" xfId="0" applyNumberFormat="1" applyFont="1" applyFill="1" applyAlignment="1">
      <alignment horizontal="right"/>
    </xf>
    <xf numFmtId="0" fontId="31" fillId="2" borderId="0" xfId="0" applyFont="1" applyFill="1" applyAlignment="1">
      <alignment vertical="top" wrapText="1"/>
    </xf>
    <xf numFmtId="0" fontId="31" fillId="2" borderId="6" xfId="0" applyFont="1" applyFill="1" applyBorder="1"/>
    <xf numFmtId="1" fontId="31" fillId="2" borderId="6" xfId="0" applyNumberFormat="1" applyFont="1" applyFill="1" applyBorder="1"/>
    <xf numFmtId="0" fontId="31" fillId="2" borderId="12" xfId="0" applyFont="1" applyFill="1" applyBorder="1"/>
    <xf numFmtId="1" fontId="31" fillId="2" borderId="12" xfId="0" applyNumberFormat="1" applyFont="1" applyFill="1" applyBorder="1"/>
    <xf numFmtId="2" fontId="37" fillId="0" borderId="0" xfId="61" applyNumberFormat="1" applyFont="1" applyFill="1" applyBorder="1" applyAlignment="1"/>
    <xf numFmtId="2" fontId="37" fillId="4" borderId="0" xfId="61" applyNumberFormat="1" applyFont="1" applyFill="1" applyBorder="1" applyAlignment="1"/>
    <xf numFmtId="2" fontId="37" fillId="0" borderId="0" xfId="61" applyNumberFormat="1" applyFont="1" applyFill="1"/>
    <xf numFmtId="2" fontId="37" fillId="0" borderId="5" xfId="61" applyNumberFormat="1" applyFont="1" applyBorder="1"/>
    <xf numFmtId="2" fontId="47" fillId="2" borderId="0" xfId="1" applyNumberFormat="1" applyFont="1" applyFill="1"/>
    <xf numFmtId="2" fontId="42" fillId="2" borderId="0" xfId="1" applyNumberFormat="1" applyFont="1" applyFill="1" applyAlignment="1">
      <alignment horizontal="center" vertical="top" wrapText="1"/>
    </xf>
    <xf numFmtId="2" fontId="47" fillId="3" borderId="0" xfId="1" applyNumberFormat="1" applyFont="1" applyFill="1" applyAlignment="1">
      <alignment horizontal="right"/>
    </xf>
    <xf numFmtId="2" fontId="42" fillId="3" borderId="0" xfId="1" applyNumberFormat="1" applyFont="1" applyFill="1" applyAlignment="1">
      <alignment horizontal="right"/>
    </xf>
    <xf numFmtId="0" fontId="37" fillId="0" borderId="0" xfId="61" applyFont="1" applyFill="1" applyBorder="1" applyAlignment="1">
      <alignment horizontal="left" vertical="top"/>
    </xf>
    <xf numFmtId="2" fontId="42" fillId="0" borderId="6" xfId="1" applyNumberFormat="1" applyFont="1" applyBorder="1" applyAlignment="1">
      <alignment horizontal="right"/>
    </xf>
    <xf numFmtId="2" fontId="42" fillId="0" borderId="0" xfId="1" applyNumberFormat="1" applyFont="1" applyAlignment="1">
      <alignment horizontal="right"/>
    </xf>
    <xf numFmtId="173" fontId="31" fillId="0" borderId="0" xfId="2" applyNumberFormat="1" applyFont="1"/>
    <xf numFmtId="173" fontId="31" fillId="3" borderId="0" xfId="2" applyNumberFormat="1" applyFont="1" applyFill="1"/>
    <xf numFmtId="173" fontId="45" fillId="4" borderId="0" xfId="0" applyNumberFormat="1" applyFont="1" applyFill="1"/>
    <xf numFmtId="173" fontId="37" fillId="4" borderId="0" xfId="0" applyNumberFormat="1" applyFont="1" applyFill="1"/>
    <xf numFmtId="0" fontId="42" fillId="4" borderId="6" xfId="0" applyFont="1" applyFill="1" applyBorder="1"/>
    <xf numFmtId="2" fontId="42" fillId="2" borderId="5" xfId="1" applyNumberFormat="1" applyFont="1" applyFill="1" applyBorder="1" applyAlignment="1">
      <alignment horizontal="right"/>
    </xf>
    <xf numFmtId="2" fontId="42" fillId="2" borderId="5" xfId="1" applyNumberFormat="1" applyFont="1" applyFill="1" applyBorder="1"/>
    <xf numFmtId="0" fontId="47" fillId="0" borderId="0" xfId="0" applyFont="1" applyAlignment="1">
      <alignment horizontal="left" vertical="top"/>
    </xf>
    <xf numFmtId="0" fontId="37" fillId="0" borderId="1" xfId="0" applyFont="1" applyBorder="1" applyAlignment="1">
      <alignment horizontal="left" vertical="top"/>
    </xf>
    <xf numFmtId="0" fontId="47" fillId="0" borderId="1" xfId="0" applyFont="1" applyBorder="1" applyAlignment="1">
      <alignment horizontal="left" vertical="top"/>
    </xf>
    <xf numFmtId="0" fontId="47" fillId="0" borderId="0" xfId="0" applyFont="1"/>
    <xf numFmtId="0" fontId="47" fillId="0" borderId="1" xfId="0" applyFont="1" applyBorder="1" applyAlignment="1">
      <alignment vertical="top"/>
    </xf>
    <xf numFmtId="0" fontId="47" fillId="0" borderId="4" xfId="0" applyFont="1" applyBorder="1" applyAlignment="1">
      <alignment horizontal="left" vertical="top"/>
    </xf>
    <xf numFmtId="0" fontId="31" fillId="2" borderId="0" xfId="15" applyFont="1" applyFill="1"/>
    <xf numFmtId="0" fontId="31" fillId="0" borderId="0" xfId="15" applyFont="1"/>
    <xf numFmtId="0" fontId="50" fillId="0" borderId="0" xfId="15" applyFont="1"/>
    <xf numFmtId="0" fontId="41" fillId="2" borderId="0" xfId="15" applyFont="1" applyFill="1"/>
    <xf numFmtId="0" fontId="57" fillId="2" borderId="0" xfId="15" applyFont="1" applyFill="1"/>
    <xf numFmtId="0" fontId="42" fillId="0" borderId="0" xfId="15" applyFont="1"/>
    <xf numFmtId="0" fontId="51" fillId="2" borderId="0" xfId="15" applyFont="1" applyFill="1"/>
    <xf numFmtId="0" fontId="51" fillId="0" borderId="0" xfId="2" applyFont="1"/>
    <xf numFmtId="0" fontId="31" fillId="2" borderId="0" xfId="17" applyFont="1" applyFill="1"/>
    <xf numFmtId="2" fontId="31" fillId="2" borderId="0" xfId="17" applyNumberFormat="1" applyFont="1" applyFill="1"/>
    <xf numFmtId="0" fontId="41" fillId="2" borderId="0" xfId="17" applyFont="1" applyFill="1"/>
    <xf numFmtId="2" fontId="47" fillId="0" borderId="0" xfId="1" applyNumberFormat="1" applyFont="1" applyAlignment="1">
      <alignment vertical="top" wrapText="1"/>
    </xf>
    <xf numFmtId="0" fontId="31" fillId="0" borderId="0" xfId="0" applyFont="1" applyAlignment="1">
      <alignment horizontal="right"/>
    </xf>
    <xf numFmtId="2" fontId="31" fillId="0" borderId="0" xfId="0" applyNumberFormat="1" applyFont="1" applyAlignment="1">
      <alignment horizontal="right"/>
    </xf>
    <xf numFmtId="14" fontId="37" fillId="0" borderId="0" xfId="0" applyNumberFormat="1" applyFont="1" applyAlignment="1">
      <alignment horizontal="right" vertical="center"/>
    </xf>
    <xf numFmtId="0" fontId="37" fillId="0" borderId="0" xfId="0" applyFont="1" applyAlignment="1">
      <alignment horizontal="left" vertical="top"/>
    </xf>
    <xf numFmtId="3" fontId="37" fillId="0" borderId="0" xfId="0" applyNumberFormat="1" applyFont="1" applyAlignment="1">
      <alignment horizontal="right" vertical="center"/>
    </xf>
    <xf numFmtId="3" fontId="37" fillId="0" borderId="0" xfId="0" applyNumberFormat="1" applyFont="1" applyAlignment="1">
      <alignment horizontal="center" vertical="center"/>
    </xf>
    <xf numFmtId="1" fontId="32" fillId="0" borderId="0" xfId="0" quotePrefix="1" applyNumberFormat="1" applyFont="1" applyAlignment="1">
      <alignment horizontal="right" vertical="center"/>
    </xf>
    <xf numFmtId="0" fontId="31" fillId="0" borderId="0" xfId="0" applyFont="1" applyAlignment="1">
      <alignment horizontal="center" vertical="center"/>
    </xf>
    <xf numFmtId="1" fontId="31" fillId="0" borderId="0" xfId="0" applyNumberFormat="1" applyFont="1" applyAlignment="1">
      <alignment horizontal="center" vertical="center"/>
    </xf>
    <xf numFmtId="0" fontId="31" fillId="0" borderId="0" xfId="0" applyFont="1" applyAlignment="1">
      <alignment horizontal="left" vertical="center"/>
    </xf>
    <xf numFmtId="1" fontId="37" fillId="0" borderId="0" xfId="0" applyNumberFormat="1" applyFont="1" applyAlignment="1">
      <alignment horizontal="center" vertical="center"/>
    </xf>
    <xf numFmtId="3" fontId="37" fillId="0" borderId="0" xfId="0" applyNumberFormat="1" applyFont="1" applyAlignment="1">
      <alignment horizontal="left" vertical="center"/>
    </xf>
    <xf numFmtId="0" fontId="37" fillId="0" borderId="0" xfId="0" applyFont="1" applyAlignment="1">
      <alignment horizontal="left"/>
    </xf>
    <xf numFmtId="0" fontId="47" fillId="0" borderId="0" xfId="0" applyFont="1" applyAlignment="1">
      <alignment vertical="top"/>
    </xf>
    <xf numFmtId="0" fontId="37" fillId="0" borderId="0" xfId="0" applyFont="1" applyAlignment="1">
      <alignment horizontal="right" vertical="center"/>
    </xf>
    <xf numFmtId="4" fontId="37" fillId="0" borderId="0" xfId="0" applyNumberFormat="1" applyFont="1" applyAlignment="1">
      <alignment horizontal="left" vertical="center"/>
    </xf>
    <xf numFmtId="0" fontId="37" fillId="0" borderId="20" xfId="0" applyFont="1" applyBorder="1" applyAlignment="1">
      <alignment horizontal="left" vertical="center"/>
    </xf>
    <xf numFmtId="0" fontId="37" fillId="0" borderId="9" xfId="0" applyFont="1" applyBorder="1" applyAlignment="1">
      <alignment horizontal="center" vertical="center"/>
    </xf>
    <xf numFmtId="3" fontId="37" fillId="0" borderId="20" xfId="0" applyNumberFormat="1" applyFont="1" applyBorder="1" applyAlignment="1">
      <alignment horizontal="left" vertical="center"/>
    </xf>
    <xf numFmtId="0" fontId="47" fillId="0" borderId="4" xfId="0" applyFont="1" applyBorder="1"/>
    <xf numFmtId="14" fontId="37" fillId="0" borderId="0" xfId="0" applyNumberFormat="1" applyFont="1" applyAlignment="1">
      <alignment vertical="center"/>
    </xf>
    <xf numFmtId="14" fontId="37" fillId="0" borderId="0" xfId="0" applyNumberFormat="1" applyFont="1" applyAlignment="1">
      <alignment horizontal="center" vertical="center"/>
    </xf>
    <xf numFmtId="3" fontId="31" fillId="0" borderId="0" xfId="0" applyNumberFormat="1" applyFont="1" applyAlignment="1">
      <alignment horizontal="left" vertical="top"/>
    </xf>
    <xf numFmtId="14" fontId="37" fillId="0" borderId="0" xfId="0" applyNumberFormat="1" applyFont="1"/>
    <xf numFmtId="0" fontId="37" fillId="0" borderId="0" xfId="0" applyFont="1" applyAlignment="1">
      <alignment horizontal="center"/>
    </xf>
    <xf numFmtId="3" fontId="37" fillId="0" borderId="0" xfId="0" applyNumberFormat="1" applyFont="1" applyAlignment="1">
      <alignment horizontal="right"/>
    </xf>
    <xf numFmtId="0" fontId="32" fillId="0" borderId="0" xfId="0" applyFont="1" applyAlignment="1">
      <alignment horizontal="left"/>
    </xf>
    <xf numFmtId="0" fontId="45" fillId="0" borderId="2" xfId="0" applyFont="1" applyBorder="1" applyAlignment="1">
      <alignment horizontal="center" vertical="center"/>
    </xf>
    <xf numFmtId="14" fontId="45" fillId="0" borderId="2" xfId="0" applyNumberFormat="1" applyFont="1" applyBorder="1" applyAlignment="1">
      <alignment horizontal="center" vertical="center"/>
    </xf>
    <xf numFmtId="3" fontId="45" fillId="0" borderId="2" xfId="0" applyNumberFormat="1" applyFont="1" applyBorder="1" applyAlignment="1">
      <alignment horizontal="right" vertical="center"/>
    </xf>
    <xf numFmtId="0" fontId="45" fillId="0" borderId="8" xfId="0" applyFont="1" applyBorder="1" applyAlignment="1">
      <alignment horizontal="center" vertical="center"/>
    </xf>
    <xf numFmtId="170" fontId="45" fillId="0" borderId="2" xfId="0" applyNumberFormat="1" applyFont="1" applyBorder="1" applyAlignment="1">
      <alignment horizontal="center" vertical="center"/>
    </xf>
    <xf numFmtId="170" fontId="45" fillId="0" borderId="0" xfId="0" applyNumberFormat="1" applyFont="1" applyAlignment="1">
      <alignment horizontal="center"/>
    </xf>
    <xf numFmtId="3" fontId="45" fillId="0" borderId="2" xfId="0" applyNumberFormat="1" applyFont="1" applyBorder="1" applyAlignment="1">
      <alignment horizontal="center" vertical="center"/>
    </xf>
    <xf numFmtId="1" fontId="45" fillId="0" borderId="2" xfId="0" applyNumberFormat="1" applyFont="1" applyBorder="1" applyAlignment="1">
      <alignment horizontal="center" vertical="center"/>
    </xf>
    <xf numFmtId="1" fontId="45" fillId="0" borderId="16" xfId="0" applyNumberFormat="1" applyFont="1" applyBorder="1" applyAlignment="1">
      <alignment horizontal="center" vertical="center"/>
    </xf>
    <xf numFmtId="3" fontId="45" fillId="0" borderId="0" xfId="0" applyNumberFormat="1" applyFont="1" applyAlignment="1">
      <alignment horizontal="center" vertical="center"/>
    </xf>
    <xf numFmtId="3" fontId="45" fillId="0" borderId="8" xfId="0" applyNumberFormat="1" applyFont="1" applyBorder="1" applyAlignment="1">
      <alignment horizontal="center" vertical="center"/>
    </xf>
    <xf numFmtId="0" fontId="41" fillId="0" borderId="2" xfId="0" applyFont="1" applyBorder="1" applyAlignment="1">
      <alignment horizontal="center" vertical="center"/>
    </xf>
    <xf numFmtId="0" fontId="41" fillId="0" borderId="16" xfId="0" applyFont="1" applyBorder="1" applyAlignment="1">
      <alignment horizontal="center" vertical="center"/>
    </xf>
    <xf numFmtId="1" fontId="41" fillId="0" borderId="2" xfId="0" applyNumberFormat="1" applyFont="1" applyBorder="1" applyAlignment="1">
      <alignment horizontal="center" vertical="center"/>
    </xf>
    <xf numFmtId="3" fontId="31" fillId="0" borderId="0" xfId="0" applyNumberFormat="1" applyFont="1" applyAlignment="1">
      <alignment horizontal="center" vertical="center"/>
    </xf>
    <xf numFmtId="0" fontId="37" fillId="0" borderId="7" xfId="0" applyFont="1" applyBorder="1" applyAlignment="1">
      <alignment horizontal="left" vertical="center"/>
    </xf>
    <xf numFmtId="3" fontId="37" fillId="0" borderId="0" xfId="0" applyNumberFormat="1" applyFont="1" applyAlignment="1">
      <alignment horizontal="left" vertical="top"/>
    </xf>
    <xf numFmtId="0" fontId="37" fillId="0" borderId="20" xfId="0" applyFont="1" applyBorder="1" applyAlignment="1">
      <alignment horizontal="left" vertical="top"/>
    </xf>
    <xf numFmtId="0" fontId="37" fillId="0" borderId="22" xfId="0" applyFont="1" applyBorder="1" applyAlignment="1">
      <alignment vertical="center"/>
    </xf>
    <xf numFmtId="0" fontId="37" fillId="0" borderId="2" xfId="0" applyFont="1" applyBorder="1" applyAlignment="1">
      <alignment vertical="center"/>
    </xf>
    <xf numFmtId="14" fontId="37" fillId="0" borderId="2" xfId="0" applyNumberFormat="1" applyFont="1" applyBorder="1" applyAlignment="1">
      <alignment horizontal="right" vertical="center"/>
    </xf>
    <xf numFmtId="0" fontId="37" fillId="0" borderId="2" xfId="0" applyFont="1" applyBorder="1" applyAlignment="1">
      <alignment horizontal="left" vertical="top"/>
    </xf>
    <xf numFmtId="0" fontId="37" fillId="0" borderId="2" xfId="0" applyFont="1" applyBorder="1" applyAlignment="1">
      <alignment horizontal="center" vertical="center"/>
    </xf>
    <xf numFmtId="3" fontId="37" fillId="0" borderId="2" xfId="0" applyNumberFormat="1" applyFont="1" applyBorder="1" applyAlignment="1">
      <alignment horizontal="right" vertical="center"/>
    </xf>
    <xf numFmtId="4" fontId="37" fillId="0" borderId="1" xfId="0" applyNumberFormat="1" applyFont="1" applyBorder="1" applyAlignment="1">
      <alignment horizontal="right" vertical="center"/>
    </xf>
    <xf numFmtId="0" fontId="31" fillId="0" borderId="24" xfId="0" applyFont="1" applyBorder="1" applyAlignment="1">
      <alignment horizontal="center" vertical="center"/>
    </xf>
    <xf numFmtId="0" fontId="31" fillId="0" borderId="21" xfId="0" applyFont="1" applyBorder="1" applyAlignment="1">
      <alignment horizontal="left" vertical="center"/>
    </xf>
    <xf numFmtId="0" fontId="37" fillId="0" borderId="24" xfId="0" applyFont="1" applyBorder="1" applyAlignment="1">
      <alignment vertical="center"/>
    </xf>
    <xf numFmtId="14" fontId="37" fillId="0" borderId="24" xfId="0" applyNumberFormat="1" applyFont="1" applyBorder="1" applyAlignment="1">
      <alignment horizontal="right" vertical="center"/>
    </xf>
    <xf numFmtId="0" fontId="37" fillId="0" borderId="24" xfId="0" applyFont="1" applyBorder="1" applyAlignment="1">
      <alignment horizontal="left" vertical="top"/>
    </xf>
    <xf numFmtId="0" fontId="37" fillId="0" borderId="24" xfId="0" applyFont="1" applyBorder="1" applyAlignment="1">
      <alignment horizontal="center" vertical="center"/>
    </xf>
    <xf numFmtId="3" fontId="37" fillId="0" borderId="24" xfId="0" applyNumberFormat="1" applyFont="1" applyBorder="1" applyAlignment="1">
      <alignment horizontal="right" vertical="center"/>
    </xf>
    <xf numFmtId="0" fontId="37" fillId="0" borderId="25" xfId="0" applyFont="1" applyBorder="1" applyAlignment="1">
      <alignment vertical="top"/>
    </xf>
    <xf numFmtId="1" fontId="31" fillId="0" borderId="24" xfId="0" applyNumberFormat="1" applyFont="1" applyBorder="1" applyAlignment="1">
      <alignment horizontal="center" vertical="center"/>
    </xf>
    <xf numFmtId="0" fontId="37" fillId="0" borderId="3" xfId="0" applyFont="1" applyBorder="1" applyAlignment="1">
      <alignment vertical="center"/>
    </xf>
    <xf numFmtId="14" fontId="37" fillId="0" borderId="3" xfId="0" applyNumberFormat="1" applyFont="1" applyBorder="1" applyAlignment="1">
      <alignment horizontal="right" vertical="center"/>
    </xf>
    <xf numFmtId="0" fontId="37" fillId="0" borderId="3" xfId="0" applyFont="1" applyBorder="1" applyAlignment="1">
      <alignment horizontal="left" vertical="top"/>
    </xf>
    <xf numFmtId="0" fontId="37" fillId="0" borderId="3" xfId="0" applyFont="1" applyBorder="1" applyAlignment="1">
      <alignment horizontal="center" vertical="center"/>
    </xf>
    <xf numFmtId="3" fontId="37" fillId="0" borderId="3" xfId="0" applyNumberFormat="1" applyFont="1" applyBorder="1" applyAlignment="1">
      <alignment horizontal="right" vertical="center"/>
    </xf>
    <xf numFmtId="0" fontId="37" fillId="0" borderId="0" xfId="0" applyFont="1" applyAlignment="1">
      <alignment vertical="top" wrapText="1"/>
    </xf>
    <xf numFmtId="0" fontId="31" fillId="0" borderId="0" xfId="0" applyFont="1" applyAlignment="1">
      <alignment horizontal="left" vertical="top" wrapText="1"/>
    </xf>
    <xf numFmtId="3" fontId="31" fillId="0" borderId="0" xfId="0" applyNumberFormat="1" applyFont="1" applyAlignment="1">
      <alignment horizontal="left" vertical="top" wrapText="1"/>
    </xf>
    <xf numFmtId="2" fontId="31" fillId="0" borderId="0" xfId="0" applyNumberFormat="1" applyFont="1" applyAlignment="1">
      <alignment horizontal="center"/>
    </xf>
    <xf numFmtId="0" fontId="41" fillId="7" borderId="10" xfId="17" applyFont="1" applyFill="1" applyBorder="1" applyAlignment="1">
      <alignment horizontal="left" vertical="center"/>
    </xf>
    <xf numFmtId="2" fontId="31" fillId="0" borderId="5" xfId="0" applyNumberFormat="1" applyFont="1" applyBorder="1" applyAlignment="1">
      <alignment horizontal="center"/>
    </xf>
    <xf numFmtId="4" fontId="31" fillId="0" borderId="0" xfId="0" applyNumberFormat="1" applyFont="1" applyAlignment="1">
      <alignment horizontal="left" vertical="center"/>
    </xf>
    <xf numFmtId="0" fontId="31" fillId="0" borderId="0" xfId="0" applyFont="1" applyAlignment="1">
      <alignment vertical="center" wrapText="1"/>
    </xf>
    <xf numFmtId="0" fontId="31" fillId="0" borderId="0" xfId="0" applyFont="1" applyAlignment="1">
      <alignment horizontal="left" vertical="center" wrapText="1"/>
    </xf>
    <xf numFmtId="170" fontId="31" fillId="0" borderId="0" xfId="0" applyNumberFormat="1" applyFont="1" applyAlignment="1">
      <alignment horizontal="left" vertical="center"/>
    </xf>
    <xf numFmtId="4" fontId="31" fillId="0" borderId="0" xfId="0" applyNumberFormat="1" applyFont="1" applyAlignment="1">
      <alignment horizontal="left" vertical="center" wrapText="1"/>
    </xf>
    <xf numFmtId="0" fontId="42" fillId="0" borderId="10" xfId="1" applyFont="1" applyBorder="1"/>
    <xf numFmtId="2" fontId="41" fillId="2" borderId="10" xfId="17" applyNumberFormat="1" applyFont="1" applyFill="1" applyBorder="1"/>
    <xf numFmtId="2" fontId="41" fillId="2" borderId="0" xfId="17" applyNumberFormat="1" applyFont="1" applyFill="1"/>
    <xf numFmtId="2" fontId="41" fillId="2" borderId="6" xfId="17" applyNumberFormat="1" applyFont="1" applyFill="1" applyBorder="1"/>
    <xf numFmtId="2" fontId="42" fillId="7" borderId="12" xfId="1" applyNumberFormat="1" applyFont="1" applyFill="1" applyBorder="1" applyAlignment="1">
      <alignment horizontal="center" vertical="top" wrapText="1"/>
    </xf>
    <xf numFmtId="2" fontId="47" fillId="7" borderId="6" xfId="1" applyNumberFormat="1" applyFont="1" applyFill="1" applyBorder="1" applyAlignment="1">
      <alignment horizontal="center" vertical="top" wrapText="1"/>
    </xf>
    <xf numFmtId="2" fontId="47" fillId="2" borderId="0" xfId="3" applyNumberFormat="1" applyFont="1" applyFill="1" applyAlignment="1">
      <alignment horizontal="right"/>
    </xf>
    <xf numFmtId="2" fontId="31" fillId="2" borderId="0" xfId="15" applyNumberFormat="1" applyFont="1" applyFill="1"/>
    <xf numFmtId="2" fontId="41" fillId="2" borderId="10" xfId="15" applyNumberFormat="1" applyFont="1" applyFill="1" applyBorder="1"/>
    <xf numFmtId="0" fontId="47" fillId="0" borderId="0" xfId="1" applyFont="1" applyAlignment="1">
      <alignment vertical="top" wrapText="1"/>
    </xf>
    <xf numFmtId="2" fontId="41" fillId="3" borderId="10" xfId="2" applyNumberFormat="1" applyFont="1" applyFill="1" applyBorder="1"/>
    <xf numFmtId="0" fontId="47" fillId="2" borderId="6" xfId="1" applyFont="1" applyFill="1" applyBorder="1"/>
    <xf numFmtId="3" fontId="37" fillId="0" borderId="0" xfId="0" applyNumberFormat="1" applyFont="1" applyAlignment="1">
      <alignment horizontal="left" vertical="top" wrapText="1"/>
    </xf>
    <xf numFmtId="2" fontId="31" fillId="3" borderId="0" xfId="2" applyNumberFormat="1" applyFont="1" applyFill="1"/>
    <xf numFmtId="2" fontId="31" fillId="2" borderId="0" xfId="0" applyNumberFormat="1" applyFont="1" applyFill="1"/>
    <xf numFmtId="2" fontId="31" fillId="2" borderId="6" xfId="0" applyNumberFormat="1" applyFont="1" applyFill="1" applyBorder="1"/>
    <xf numFmtId="2" fontId="31" fillId="2" borderId="5" xfId="0" applyNumberFormat="1" applyFont="1" applyFill="1" applyBorder="1"/>
    <xf numFmtId="2" fontId="47" fillId="2" borderId="0" xfId="3" applyNumberFormat="1" applyFont="1" applyFill="1"/>
    <xf numFmtId="2" fontId="47" fillId="2" borderId="6" xfId="3" applyNumberFormat="1" applyFont="1" applyFill="1" applyBorder="1"/>
    <xf numFmtId="2" fontId="47" fillId="0" borderId="0" xfId="1" applyNumberFormat="1" applyFont="1"/>
    <xf numFmtId="2" fontId="47" fillId="2" borderId="6" xfId="1" applyNumberFormat="1" applyFont="1" applyFill="1" applyBorder="1"/>
    <xf numFmtId="0" fontId="31" fillId="2" borderId="0" xfId="0" applyFont="1" applyFill="1" applyAlignment="1">
      <alignment horizontal="left"/>
    </xf>
    <xf numFmtId="2" fontId="42" fillId="7" borderId="12" xfId="1" applyNumberFormat="1" applyFont="1" applyFill="1" applyBorder="1" applyAlignment="1">
      <alignment horizontal="center" vertical="center" wrapText="1"/>
    </xf>
    <xf numFmtId="0" fontId="42" fillId="7" borderId="12" xfId="1" applyFont="1" applyFill="1" applyBorder="1" applyAlignment="1">
      <alignment horizontal="center" vertical="center" wrapText="1"/>
    </xf>
    <xf numFmtId="0" fontId="42" fillId="7" borderId="0" xfId="1" applyFont="1" applyFill="1" applyAlignment="1">
      <alignment vertical="center"/>
    </xf>
    <xf numFmtId="2" fontId="42" fillId="7" borderId="0" xfId="1" applyNumberFormat="1" applyFont="1" applyFill="1" applyAlignment="1">
      <alignment horizontal="center" vertical="center" wrapText="1"/>
    </xf>
    <xf numFmtId="0" fontId="42" fillId="7" borderId="0" xfId="1" applyFont="1" applyFill="1" applyAlignment="1">
      <alignment horizontal="center" vertical="center" wrapText="1"/>
    </xf>
    <xf numFmtId="0" fontId="42" fillId="7" borderId="6" xfId="1" applyFont="1" applyFill="1" applyBorder="1" applyAlignment="1">
      <alignment vertical="center"/>
    </xf>
    <xf numFmtId="0" fontId="47" fillId="7" borderId="6" xfId="1" applyFont="1" applyFill="1" applyBorder="1" applyAlignment="1">
      <alignment horizontal="center" vertical="top"/>
    </xf>
    <xf numFmtId="2" fontId="31" fillId="2" borderId="0" xfId="0" applyNumberFormat="1" applyFont="1" applyFill="1" applyAlignment="1">
      <alignment horizontal="center"/>
    </xf>
    <xf numFmtId="2" fontId="47" fillId="2" borderId="0" xfId="1" applyNumberFormat="1" applyFont="1" applyFill="1" applyAlignment="1">
      <alignment horizontal="center"/>
    </xf>
    <xf numFmtId="0" fontId="47" fillId="2" borderId="5" xfId="1" applyFont="1" applyFill="1" applyBorder="1"/>
    <xf numFmtId="1" fontId="37" fillId="0" borderId="5" xfId="0" applyNumberFormat="1" applyFont="1" applyBorder="1" applyAlignment="1">
      <alignment horizontal="center" vertical="center"/>
    </xf>
    <xf numFmtId="2" fontId="31" fillId="2" borderId="5" xfId="0" applyNumberFormat="1" applyFont="1" applyFill="1" applyBorder="1" applyAlignment="1">
      <alignment horizontal="center"/>
    </xf>
    <xf numFmtId="2" fontId="47" fillId="2" borderId="5" xfId="1" applyNumberFormat="1" applyFont="1" applyFill="1" applyBorder="1" applyAlignment="1">
      <alignment horizontal="center"/>
    </xf>
    <xf numFmtId="0" fontId="60" fillId="2" borderId="18" xfId="1" applyFont="1" applyFill="1" applyBorder="1"/>
    <xf numFmtId="2" fontId="60" fillId="2" borderId="18" xfId="1" applyNumberFormat="1" applyFont="1" applyFill="1" applyBorder="1" applyAlignment="1">
      <alignment horizontal="center"/>
    </xf>
    <xf numFmtId="1" fontId="43" fillId="2" borderId="0" xfId="0" applyNumberFormat="1" applyFont="1" applyFill="1"/>
    <xf numFmtId="1" fontId="43" fillId="2" borderId="0" xfId="0" applyNumberFormat="1" applyFont="1" applyFill="1" applyAlignment="1">
      <alignment horizontal="center"/>
    </xf>
    <xf numFmtId="2" fontId="38" fillId="2" borderId="6" xfId="1" applyNumberFormat="1" applyFont="1" applyFill="1" applyBorder="1" applyAlignment="1">
      <alignment horizontal="center"/>
    </xf>
    <xf numFmtId="0" fontId="37" fillId="0" borderId="0" xfId="0" applyFont="1" applyAlignment="1">
      <alignment horizontal="center" vertical="center" wrapText="1"/>
    </xf>
    <xf numFmtId="0" fontId="45" fillId="0" borderId="0" xfId="0" applyFont="1" applyAlignment="1">
      <alignment vertical="center"/>
    </xf>
    <xf numFmtId="0" fontId="47" fillId="0" borderId="0" xfId="0" applyFont="1" applyAlignment="1">
      <alignment wrapText="1"/>
    </xf>
    <xf numFmtId="0" fontId="61" fillId="0" borderId="0" xfId="0" applyFont="1"/>
    <xf numFmtId="0" fontId="62" fillId="0" borderId="0" xfId="0" applyFont="1"/>
    <xf numFmtId="0" fontId="45" fillId="0" borderId="0" xfId="0" applyFont="1"/>
    <xf numFmtId="0" fontId="47" fillId="6" borderId="0" xfId="1" applyFont="1" applyFill="1"/>
    <xf numFmtId="0" fontId="47" fillId="8" borderId="0" xfId="1" applyFont="1" applyFill="1"/>
    <xf numFmtId="0" fontId="47" fillId="9" borderId="0" xfId="1" applyFont="1" applyFill="1"/>
    <xf numFmtId="0" fontId="47" fillId="10" borderId="0" xfId="1" applyFont="1" applyFill="1"/>
    <xf numFmtId="0" fontId="47" fillId="2" borderId="0" xfId="1" applyFont="1" applyFill="1" applyAlignment="1">
      <alignment horizontal="center"/>
    </xf>
    <xf numFmtId="169" fontId="31" fillId="2" borderId="0" xfId="1" applyNumberFormat="1" applyFont="1" applyFill="1"/>
    <xf numFmtId="169" fontId="47" fillId="2" borderId="0" xfId="1" applyNumberFormat="1" applyFont="1" applyFill="1"/>
    <xf numFmtId="172" fontId="31" fillId="0" borderId="0" xfId="0" applyNumberFormat="1" applyFont="1"/>
    <xf numFmtId="167" fontId="47" fillId="0" borderId="0" xfId="1" applyNumberFormat="1" applyFont="1"/>
    <xf numFmtId="166" fontId="31" fillId="0" borderId="0" xfId="0" applyNumberFormat="1" applyFont="1"/>
    <xf numFmtId="169" fontId="31" fillId="2" borderId="0" xfId="1" applyNumberFormat="1" applyFont="1" applyFill="1" applyAlignment="1">
      <alignment horizontal="center"/>
    </xf>
    <xf numFmtId="169" fontId="47" fillId="2" borderId="0" xfId="1" applyNumberFormat="1" applyFont="1" applyFill="1" applyAlignment="1">
      <alignment horizontal="center"/>
    </xf>
    <xf numFmtId="165" fontId="47" fillId="2" borderId="0" xfId="1" applyNumberFormat="1" applyFont="1" applyFill="1" applyAlignment="1">
      <alignment horizontal="center"/>
    </xf>
    <xf numFmtId="172" fontId="31" fillId="0" borderId="0" xfId="0" applyNumberFormat="1" applyFont="1" applyAlignment="1">
      <alignment horizontal="center"/>
    </xf>
    <xf numFmtId="0" fontId="47" fillId="0" borderId="0" xfId="1" applyFont="1" applyAlignment="1">
      <alignment horizontal="center"/>
    </xf>
    <xf numFmtId="167" fontId="47" fillId="0" borderId="0" xfId="1" applyNumberFormat="1" applyFont="1" applyAlignment="1">
      <alignment horizontal="center"/>
    </xf>
    <xf numFmtId="166" fontId="41" fillId="2" borderId="0" xfId="0" applyNumberFormat="1" applyFont="1" applyFill="1" applyAlignment="1">
      <alignment horizontal="center"/>
    </xf>
    <xf numFmtId="0" fontId="42" fillId="2" borderId="0" xfId="1" applyFont="1" applyFill="1" applyAlignment="1">
      <alignment horizontal="center" vertical="center"/>
    </xf>
    <xf numFmtId="2" fontId="42" fillId="7" borderId="12" xfId="1" applyNumberFormat="1" applyFont="1" applyFill="1" applyBorder="1" applyAlignment="1">
      <alignment horizontal="center" vertical="center"/>
    </xf>
    <xf numFmtId="169" fontId="41" fillId="7" borderId="12" xfId="1" applyNumberFormat="1" applyFont="1" applyFill="1" applyBorder="1" applyAlignment="1">
      <alignment horizontal="center" vertical="center"/>
    </xf>
    <xf numFmtId="169" fontId="42" fillId="7" borderId="12" xfId="1" applyNumberFormat="1" applyFont="1" applyFill="1" applyBorder="1" applyAlignment="1">
      <alignment horizontal="center" vertical="center"/>
    </xf>
    <xf numFmtId="165" fontId="42" fillId="7" borderId="12" xfId="1" applyNumberFormat="1" applyFont="1" applyFill="1" applyBorder="1" applyAlignment="1">
      <alignment horizontal="center" vertical="center"/>
    </xf>
    <xf numFmtId="172" fontId="42" fillId="7" borderId="12" xfId="1" applyNumberFormat="1" applyFont="1" applyFill="1" applyBorder="1" applyAlignment="1">
      <alignment horizontal="center" vertical="center"/>
    </xf>
    <xf numFmtId="0" fontId="42" fillId="7" borderId="12" xfId="0" applyFont="1" applyFill="1" applyBorder="1" applyAlignment="1">
      <alignment horizontal="center" vertical="center"/>
    </xf>
    <xf numFmtId="2" fontId="42" fillId="7" borderId="6" xfId="1" applyNumberFormat="1" applyFont="1" applyFill="1" applyBorder="1" applyAlignment="1">
      <alignment horizontal="center" vertical="center"/>
    </xf>
    <xf numFmtId="169" fontId="41" fillId="7" borderId="6" xfId="1" applyNumberFormat="1" applyFont="1" applyFill="1" applyBorder="1" applyAlignment="1">
      <alignment horizontal="center" vertical="center"/>
    </xf>
    <xf numFmtId="169" fontId="42" fillId="7" borderId="6" xfId="1" applyNumberFormat="1" applyFont="1" applyFill="1" applyBorder="1" applyAlignment="1">
      <alignment horizontal="center" vertical="center"/>
    </xf>
    <xf numFmtId="165" fontId="42" fillId="7" borderId="6" xfId="1" applyNumberFormat="1" applyFont="1" applyFill="1" applyBorder="1" applyAlignment="1">
      <alignment horizontal="center" vertical="center"/>
    </xf>
    <xf numFmtId="172" fontId="42" fillId="7" borderId="6" xfId="1" applyNumberFormat="1" applyFont="1" applyFill="1" applyBorder="1" applyAlignment="1">
      <alignment horizontal="center" vertical="center"/>
    </xf>
    <xf numFmtId="167" fontId="42" fillId="7" borderId="6" xfId="1" applyNumberFormat="1" applyFont="1" applyFill="1" applyBorder="1" applyAlignment="1">
      <alignment horizontal="center" vertical="center"/>
    </xf>
    <xf numFmtId="0" fontId="42" fillId="7" borderId="6" xfId="0" applyFont="1" applyFill="1" applyBorder="1" applyAlignment="1">
      <alignment horizontal="center" vertical="center"/>
    </xf>
    <xf numFmtId="169" fontId="31" fillId="2" borderId="0" xfId="0" applyNumberFormat="1" applyFont="1" applyFill="1"/>
    <xf numFmtId="2" fontId="47" fillId="2" borderId="28" xfId="1" applyNumberFormat="1" applyFont="1" applyFill="1" applyBorder="1"/>
    <xf numFmtId="2" fontId="47" fillId="0" borderId="28" xfId="1" applyNumberFormat="1" applyFont="1" applyBorder="1"/>
    <xf numFmtId="169" fontId="37" fillId="2" borderId="0" xfId="0" applyNumberFormat="1" applyFont="1" applyFill="1"/>
    <xf numFmtId="0" fontId="47" fillId="2" borderId="6" xfId="1" applyFont="1" applyFill="1" applyBorder="1" applyAlignment="1">
      <alignment horizontal="center"/>
    </xf>
    <xf numFmtId="169" fontId="47" fillId="2" borderId="6" xfId="1" applyNumberFormat="1" applyFont="1" applyFill="1" applyBorder="1"/>
    <xf numFmtId="2" fontId="47" fillId="2" borderId="6" xfId="1" applyNumberFormat="1" applyFont="1" applyFill="1" applyBorder="1" applyAlignment="1">
      <alignment horizontal="right"/>
    </xf>
    <xf numFmtId="2" fontId="47" fillId="0" borderId="6" xfId="1" applyNumberFormat="1" applyFont="1" applyBorder="1"/>
    <xf numFmtId="0" fontId="42" fillId="2" borderId="10" xfId="1" applyFont="1" applyFill="1" applyBorder="1" applyAlignment="1">
      <alignment horizontal="center"/>
    </xf>
    <xf numFmtId="2" fontId="42" fillId="2" borderId="10" xfId="1" applyNumberFormat="1" applyFont="1" applyFill="1" applyBorder="1"/>
    <xf numFmtId="3" fontId="42" fillId="2" borderId="10" xfId="1" applyNumberFormat="1" applyFont="1" applyFill="1" applyBorder="1"/>
    <xf numFmtId="0" fontId="31" fillId="2" borderId="0" xfId="0" applyFont="1" applyFill="1" applyAlignment="1">
      <alignment horizontal="center"/>
    </xf>
    <xf numFmtId="164" fontId="47" fillId="2" borderId="0" xfId="11" applyFont="1" applyFill="1"/>
    <xf numFmtId="166" fontId="31" fillId="2" borderId="0" xfId="0" applyNumberFormat="1" applyFont="1" applyFill="1"/>
    <xf numFmtId="0" fontId="47" fillId="2" borderId="0" xfId="1" applyFont="1" applyFill="1" applyAlignment="1">
      <alignment horizontal="center" wrapText="1"/>
    </xf>
    <xf numFmtId="0" fontId="42" fillId="2" borderId="0" xfId="1" applyFont="1" applyFill="1" applyAlignment="1">
      <alignment horizontal="center"/>
    </xf>
    <xf numFmtId="166" fontId="37" fillId="2" borderId="0" xfId="0" applyNumberFormat="1" applyFont="1" applyFill="1" applyAlignment="1">
      <alignment horizontal="center" vertical="center"/>
    </xf>
    <xf numFmtId="166" fontId="31" fillId="2" borderId="4" xfId="0" applyNumberFormat="1" applyFont="1" applyFill="1" applyBorder="1"/>
    <xf numFmtId="2" fontId="31" fillId="2" borderId="0" xfId="1" applyNumberFormat="1" applyFont="1" applyFill="1" applyAlignment="1">
      <alignment horizontal="right"/>
    </xf>
    <xf numFmtId="0" fontId="47" fillId="2" borderId="0" xfId="1" applyFont="1" applyFill="1" applyAlignment="1">
      <alignment horizontal="right"/>
    </xf>
    <xf numFmtId="0" fontId="47" fillId="2" borderId="0" xfId="1" applyFont="1" applyFill="1" applyAlignment="1">
      <alignment horizontal="center" vertical="center"/>
    </xf>
    <xf numFmtId="0" fontId="42" fillId="2" borderId="0" xfId="18" applyFont="1" applyFill="1" applyAlignment="1">
      <alignment horizontal="left" wrapText="1"/>
    </xf>
    <xf numFmtId="2" fontId="60" fillId="2" borderId="0" xfId="1" applyNumberFormat="1" applyFont="1" applyFill="1" applyAlignment="1">
      <alignment horizontal="right"/>
    </xf>
    <xf numFmtId="1" fontId="47" fillId="2" borderId="0" xfId="1" applyNumberFormat="1" applyFont="1" applyFill="1"/>
    <xf numFmtId="1" fontId="31" fillId="2" borderId="0" xfId="0" applyNumberFormat="1" applyFont="1" applyFill="1" applyAlignment="1">
      <alignment horizontal="right"/>
    </xf>
    <xf numFmtId="1" fontId="31" fillId="0" borderId="30" xfId="0" applyNumberFormat="1" applyFont="1" applyBorder="1"/>
    <xf numFmtId="1" fontId="31" fillId="0" borderId="34" xfId="0" applyNumberFormat="1" applyFont="1" applyBorder="1"/>
    <xf numFmtId="173" fontId="41" fillId="7" borderId="11" xfId="2" applyNumberFormat="1" applyFont="1" applyFill="1" applyBorder="1" applyAlignment="1">
      <alignment horizontal="center" vertical="center"/>
    </xf>
    <xf numFmtId="169" fontId="37" fillId="0" borderId="0" xfId="2" applyNumberFormat="1" applyFont="1" applyAlignment="1">
      <alignment wrapText="1"/>
    </xf>
    <xf numFmtId="169" fontId="37" fillId="0" borderId="0" xfId="2" applyNumberFormat="1" applyFont="1"/>
    <xf numFmtId="2" fontId="37" fillId="2" borderId="0" xfId="2" applyNumberFormat="1" applyFont="1" applyFill="1"/>
    <xf numFmtId="2" fontId="47" fillId="2" borderId="0" xfId="2" applyNumberFormat="1" applyFont="1" applyFill="1" applyAlignment="1">
      <alignment wrapText="1"/>
    </xf>
    <xf numFmtId="2" fontId="42" fillId="2" borderId="0" xfId="2" applyNumberFormat="1" applyFont="1" applyFill="1" applyAlignment="1">
      <alignment wrapText="1"/>
    </xf>
    <xf numFmtId="169" fontId="45" fillId="0" borderId="0" xfId="2" applyNumberFormat="1" applyFont="1"/>
    <xf numFmtId="2" fontId="45" fillId="2" borderId="0" xfId="2" applyNumberFormat="1" applyFont="1" applyFill="1"/>
    <xf numFmtId="169" fontId="31" fillId="0" borderId="0" xfId="0" applyNumberFormat="1" applyFont="1"/>
    <xf numFmtId="0" fontId="42" fillId="2" borderId="0" xfId="20" applyFont="1" applyFill="1" applyAlignment="1">
      <alignment wrapText="1"/>
    </xf>
    <xf numFmtId="0" fontId="31" fillId="3" borderId="0" xfId="2" applyFont="1" applyFill="1" applyAlignment="1">
      <alignment horizontal="center" vertical="center"/>
    </xf>
    <xf numFmtId="0" fontId="41" fillId="7" borderId="10" xfId="15" applyFont="1" applyFill="1" applyBorder="1" applyAlignment="1">
      <alignment vertical="center"/>
    </xf>
    <xf numFmtId="0" fontId="41" fillId="7" borderId="10" xfId="15" applyFont="1" applyFill="1" applyBorder="1" applyAlignment="1">
      <alignment horizontal="right" vertical="center"/>
    </xf>
    <xf numFmtId="0" fontId="55" fillId="0" borderId="0" xfId="15" applyFont="1"/>
    <xf numFmtId="0" fontId="51" fillId="0" borderId="0" xfId="2" applyFont="1" applyAlignment="1">
      <alignment horizontal="left"/>
    </xf>
    <xf numFmtId="0" fontId="51" fillId="2" borderId="0" xfId="17" applyFont="1" applyFill="1" applyAlignment="1">
      <alignment vertical="center"/>
    </xf>
    <xf numFmtId="0" fontId="41" fillId="7" borderId="11" xfId="2" applyFont="1" applyFill="1" applyBorder="1" applyAlignment="1">
      <alignment vertical="center"/>
    </xf>
    <xf numFmtId="0" fontId="41" fillId="7" borderId="10" xfId="0" applyFont="1" applyFill="1" applyBorder="1" applyAlignment="1">
      <alignment vertical="center"/>
    </xf>
    <xf numFmtId="0" fontId="51" fillId="3" borderId="0" xfId="2" applyFont="1" applyFill="1"/>
    <xf numFmtId="2" fontId="42" fillId="0" borderId="10" xfId="1" applyNumberFormat="1" applyFont="1" applyBorder="1"/>
    <xf numFmtId="0" fontId="31" fillId="2" borderId="0" xfId="0" applyFont="1" applyFill="1" applyAlignment="1">
      <alignment horizontal="left" vertical="center"/>
    </xf>
    <xf numFmtId="0" fontId="31" fillId="2" borderId="0" xfId="17" applyFont="1" applyFill="1" applyAlignment="1">
      <alignment horizontal="left"/>
    </xf>
    <xf numFmtId="0" fontId="51" fillId="2" borderId="0" xfId="17" applyFont="1" applyFill="1" applyAlignment="1">
      <alignment horizontal="left" vertical="center"/>
    </xf>
    <xf numFmtId="0" fontId="31" fillId="2" borderId="0" xfId="17" applyFont="1" applyFill="1" applyAlignment="1">
      <alignment horizontal="left" vertical="center"/>
    </xf>
    <xf numFmtId="0" fontId="31" fillId="0" borderId="0" xfId="17" applyFont="1" applyAlignment="1">
      <alignment horizontal="left" vertical="center"/>
    </xf>
    <xf numFmtId="0" fontId="51" fillId="0" borderId="0" xfId="0" applyFont="1" applyAlignment="1">
      <alignment horizontal="left" vertical="center"/>
    </xf>
    <xf numFmtId="0" fontId="41" fillId="0" borderId="10" xfId="0" applyFont="1" applyBorder="1"/>
    <xf numFmtId="2" fontId="41" fillId="0" borderId="10" xfId="0" applyNumberFormat="1" applyFont="1" applyBorder="1"/>
    <xf numFmtId="0" fontId="47" fillId="4" borderId="6" xfId="0" applyFont="1" applyFill="1" applyBorder="1"/>
    <xf numFmtId="2" fontId="47" fillId="0" borderId="6" xfId="0" applyNumberFormat="1" applyFont="1" applyBorder="1"/>
    <xf numFmtId="1" fontId="37" fillId="0" borderId="6" xfId="0" applyNumberFormat="1" applyFont="1" applyBorder="1"/>
    <xf numFmtId="2" fontId="41" fillId="0" borderId="10" xfId="0" applyNumberFormat="1" applyFont="1" applyBorder="1" applyAlignment="1">
      <alignment horizontal="right"/>
    </xf>
    <xf numFmtId="0" fontId="45" fillId="5" borderId="10" xfId="0" applyFont="1" applyFill="1" applyBorder="1"/>
    <xf numFmtId="2" fontId="45" fillId="0" borderId="10" xfId="0" applyNumberFormat="1" applyFont="1" applyBorder="1"/>
    <xf numFmtId="2" fontId="41" fillId="3" borderId="10" xfId="4" applyNumberFormat="1" applyFont="1" applyFill="1" applyBorder="1"/>
    <xf numFmtId="0" fontId="41" fillId="2" borderId="27" xfId="2" applyFont="1" applyFill="1" applyBorder="1"/>
    <xf numFmtId="0" fontId="41" fillId="3" borderId="27" xfId="4" applyFont="1" applyFill="1" applyBorder="1"/>
    <xf numFmtId="2" fontId="41" fillId="3" borderId="27" xfId="4" applyNumberFormat="1" applyFont="1" applyFill="1" applyBorder="1"/>
    <xf numFmtId="2" fontId="31" fillId="3" borderId="6" xfId="2" applyNumberFormat="1" applyFont="1" applyFill="1" applyBorder="1"/>
    <xf numFmtId="0" fontId="51" fillId="0" borderId="0" xfId="0" applyFont="1" applyAlignment="1">
      <alignment vertical="center"/>
    </xf>
    <xf numFmtId="0" fontId="51" fillId="0" borderId="0" xfId="2" applyFont="1" applyAlignment="1">
      <alignment horizontal="left" vertical="center"/>
    </xf>
    <xf numFmtId="0" fontId="47" fillId="2" borderId="0" xfId="1" applyFont="1" applyFill="1" applyAlignment="1">
      <alignment vertical="center" wrapText="1"/>
    </xf>
    <xf numFmtId="0" fontId="31" fillId="2" borderId="0" xfId="9" applyFont="1" applyFill="1" applyAlignment="1">
      <alignment vertical="center" wrapText="1"/>
    </xf>
    <xf numFmtId="0" fontId="41" fillId="2" borderId="6" xfId="17" applyFont="1" applyFill="1" applyBorder="1" applyAlignment="1">
      <alignment horizontal="left"/>
    </xf>
    <xf numFmtId="2" fontId="47" fillId="4" borderId="5" xfId="0" applyNumberFormat="1" applyFont="1" applyFill="1" applyBorder="1"/>
    <xf numFmtId="0" fontId="42" fillId="7" borderId="10" xfId="1" applyFont="1" applyFill="1" applyBorder="1" applyAlignment="1">
      <alignment horizontal="left" vertical="center"/>
    </xf>
    <xf numFmtId="0" fontId="42" fillId="7" borderId="10" xfId="1" applyFont="1" applyFill="1" applyBorder="1" applyAlignment="1">
      <alignment horizontal="right" vertical="center"/>
    </xf>
    <xf numFmtId="0" fontId="42" fillId="2" borderId="0" xfId="18" applyFont="1" applyFill="1" applyAlignment="1">
      <alignment wrapText="1"/>
    </xf>
    <xf numFmtId="0" fontId="42" fillId="2" borderId="18" xfId="1" applyFont="1" applyFill="1" applyBorder="1"/>
    <xf numFmtId="2" fontId="42" fillId="2" borderId="18" xfId="1" applyNumberFormat="1" applyFont="1" applyFill="1" applyBorder="1" applyAlignment="1">
      <alignment horizontal="right"/>
    </xf>
    <xf numFmtId="0" fontId="31" fillId="2" borderId="0" xfId="21" applyFont="1" applyFill="1"/>
    <xf numFmtId="0" fontId="31" fillId="2" borderId="0" xfId="22" applyFont="1" applyFill="1"/>
    <xf numFmtId="0" fontId="55" fillId="0" borderId="0" xfId="22" applyFont="1"/>
    <xf numFmtId="0" fontId="57" fillId="2" borderId="0" xfId="22" applyFont="1" applyFill="1"/>
    <xf numFmtId="0" fontId="42" fillId="0" borderId="0" xfId="22" applyFont="1"/>
    <xf numFmtId="0" fontId="51" fillId="2" borderId="0" xfId="22" applyFont="1" applyFill="1"/>
    <xf numFmtId="0" fontId="31" fillId="0" borderId="0" xfId="22" applyFont="1"/>
    <xf numFmtId="0" fontId="51" fillId="0" borderId="0" xfId="22" applyFont="1"/>
    <xf numFmtId="0" fontId="31" fillId="2" borderId="0" xfId="12" applyFont="1" applyFill="1"/>
    <xf numFmtId="0" fontId="31" fillId="2" borderId="29" xfId="0" applyFont="1" applyFill="1" applyBorder="1" applyAlignment="1">
      <alignment horizontal="center"/>
    </xf>
    <xf numFmtId="2" fontId="31" fillId="2" borderId="0" xfId="12" applyNumberFormat="1" applyFont="1" applyFill="1"/>
    <xf numFmtId="0" fontId="31" fillId="2" borderId="12" xfId="12" applyFont="1" applyFill="1" applyBorder="1"/>
    <xf numFmtId="0" fontId="31" fillId="2" borderId="35" xfId="0" applyFont="1" applyFill="1" applyBorder="1" applyAlignment="1">
      <alignment horizontal="center"/>
    </xf>
    <xf numFmtId="2" fontId="31" fillId="2" borderId="12" xfId="12" applyNumberFormat="1" applyFont="1" applyFill="1" applyBorder="1"/>
    <xf numFmtId="0" fontId="31" fillId="2" borderId="6" xfId="12" applyFont="1" applyFill="1" applyBorder="1"/>
    <xf numFmtId="0" fontId="31" fillId="2" borderId="36" xfId="0" applyFont="1" applyFill="1" applyBorder="1" applyAlignment="1">
      <alignment horizontal="center"/>
    </xf>
    <xf numFmtId="2" fontId="31" fillId="2" borderId="6" xfId="12" applyNumberFormat="1" applyFont="1" applyFill="1" applyBorder="1"/>
    <xf numFmtId="170" fontId="45" fillId="7" borderId="6" xfId="0" applyNumberFormat="1" applyFont="1" applyFill="1" applyBorder="1" applyAlignment="1">
      <alignment horizontal="left" vertical="center"/>
    </xf>
    <xf numFmtId="0" fontId="39" fillId="4" borderId="0" xfId="0" applyFont="1" applyFill="1"/>
    <xf numFmtId="2" fontId="31" fillId="2" borderId="12" xfId="0" applyNumberFormat="1" applyFont="1" applyFill="1" applyBorder="1"/>
    <xf numFmtId="0" fontId="51" fillId="2" borderId="0" xfId="12" applyFont="1" applyFill="1"/>
    <xf numFmtId="0" fontId="31" fillId="3" borderId="0" xfId="13" applyFont="1" applyFill="1" applyAlignment="1">
      <alignment horizontal="right"/>
    </xf>
    <xf numFmtId="0" fontId="31" fillId="3" borderId="5" xfId="13" applyFont="1" applyFill="1" applyBorder="1" applyAlignment="1">
      <alignment horizontal="right"/>
    </xf>
    <xf numFmtId="0" fontId="31" fillId="3" borderId="0" xfId="0" applyFont="1" applyFill="1" applyAlignment="1">
      <alignment horizontal="right"/>
    </xf>
    <xf numFmtId="0" fontId="31" fillId="3" borderId="5" xfId="0" applyFont="1" applyFill="1" applyBorder="1" applyAlignment="1">
      <alignment horizontal="right"/>
    </xf>
    <xf numFmtId="0" fontId="31" fillId="3" borderId="0" xfId="13" applyFont="1" applyFill="1" applyAlignment="1">
      <alignment horizontal="left"/>
    </xf>
    <xf numFmtId="0" fontId="51" fillId="3" borderId="0" xfId="13" applyFont="1" applyFill="1" applyAlignment="1">
      <alignment horizontal="left"/>
    </xf>
    <xf numFmtId="0" fontId="47" fillId="0" borderId="0" xfId="1" applyFont="1" applyAlignment="1">
      <alignment horizontal="right"/>
    </xf>
    <xf numFmtId="2" fontId="57" fillId="2" borderId="0" xfId="15" applyNumberFormat="1" applyFont="1" applyFill="1"/>
    <xf numFmtId="2" fontId="31" fillId="0" borderId="0" xfId="2" applyNumberFormat="1" applyFont="1"/>
    <xf numFmtId="2" fontId="41" fillId="2" borderId="0" xfId="0" applyNumberFormat="1" applyFont="1" applyFill="1" applyAlignment="1">
      <alignment horizontal="center"/>
    </xf>
    <xf numFmtId="0" fontId="41" fillId="7" borderId="10" xfId="17" applyFont="1" applyFill="1" applyBorder="1" applyAlignment="1">
      <alignment horizontal="right" vertical="center"/>
    </xf>
    <xf numFmtId="0" fontId="42" fillId="0" borderId="10" xfId="1" applyFont="1" applyBorder="1" applyAlignment="1">
      <alignment horizontal="left"/>
    </xf>
    <xf numFmtId="173" fontId="41" fillId="7" borderId="11" xfId="2" applyNumberFormat="1" applyFont="1" applyFill="1" applyBorder="1" applyAlignment="1">
      <alignment horizontal="right" vertical="center"/>
    </xf>
    <xf numFmtId="0" fontId="41" fillId="7" borderId="11" xfId="2" applyFont="1" applyFill="1" applyBorder="1" applyAlignment="1">
      <alignment horizontal="right" vertical="center"/>
    </xf>
    <xf numFmtId="0" fontId="41" fillId="7" borderId="11" xfId="2" applyFont="1" applyFill="1" applyBorder="1" applyAlignment="1">
      <alignment horizontal="left" vertical="center"/>
    </xf>
    <xf numFmtId="2" fontId="41" fillId="7" borderId="10" xfId="0" applyNumberFormat="1" applyFont="1" applyFill="1" applyBorder="1" applyAlignment="1">
      <alignment horizontal="right" vertical="center"/>
    </xf>
    <xf numFmtId="2" fontId="37" fillId="0" borderId="0" xfId="61" applyNumberFormat="1" applyFont="1" applyBorder="1"/>
    <xf numFmtId="14" fontId="45" fillId="0" borderId="2" xfId="0" applyNumberFormat="1" applyFont="1" applyBorder="1" applyAlignment="1">
      <alignment horizontal="right" vertical="center"/>
    </xf>
    <xf numFmtId="1" fontId="45" fillId="0" borderId="2" xfId="0" applyNumberFormat="1" applyFont="1" applyBorder="1" applyAlignment="1">
      <alignment horizontal="right" vertical="center"/>
    </xf>
    <xf numFmtId="0" fontId="37" fillId="0" borderId="20" xfId="0" applyFont="1" applyBorder="1" applyAlignment="1">
      <alignment horizontal="center" vertical="center"/>
    </xf>
    <xf numFmtId="170" fontId="37" fillId="0" borderId="0" xfId="0" applyNumberFormat="1" applyFont="1" applyAlignment="1">
      <alignment horizontal="center" vertical="center"/>
    </xf>
    <xf numFmtId="2" fontId="42" fillId="2" borderId="10" xfId="1" applyNumberFormat="1" applyFont="1" applyFill="1" applyBorder="1" applyAlignment="1">
      <alignment horizontal="center"/>
    </xf>
    <xf numFmtId="0" fontId="51" fillId="2" borderId="0" xfId="17" applyFont="1" applyFill="1"/>
    <xf numFmtId="169" fontId="37" fillId="0" borderId="0" xfId="2" applyNumberFormat="1" applyFont="1" applyAlignment="1">
      <alignment horizontal="right" wrapText="1"/>
    </xf>
    <xf numFmtId="169" fontId="37" fillId="3" borderId="0" xfId="2" applyNumberFormat="1" applyFont="1" applyFill="1" applyAlignment="1">
      <alignment horizontal="right" wrapText="1"/>
    </xf>
    <xf numFmtId="169" fontId="45" fillId="0" borderId="0" xfId="2" applyNumberFormat="1" applyFont="1" applyAlignment="1">
      <alignment horizontal="right" wrapText="1"/>
    </xf>
    <xf numFmtId="0" fontId="37" fillId="0" borderId="0" xfId="2" applyFont="1" applyAlignment="1">
      <alignment horizontal="right"/>
    </xf>
    <xf numFmtId="0" fontId="37" fillId="2" borderId="0" xfId="2" applyFont="1" applyFill="1" applyAlignment="1">
      <alignment horizontal="right"/>
    </xf>
    <xf numFmtId="2" fontId="37" fillId="0" borderId="0" xfId="2" applyNumberFormat="1" applyFont="1" applyAlignment="1">
      <alignment horizontal="right"/>
    </xf>
    <xf numFmtId="2" fontId="45" fillId="0" borderId="0" xfId="2" applyNumberFormat="1" applyFont="1" applyAlignment="1">
      <alignment horizontal="right"/>
    </xf>
    <xf numFmtId="2" fontId="37" fillId="2" borderId="0" xfId="2" applyNumberFormat="1" applyFont="1" applyFill="1" applyAlignment="1">
      <alignment horizontal="right"/>
    </xf>
    <xf numFmtId="174" fontId="37" fillId="0" borderId="0" xfId="2" applyNumberFormat="1" applyFont="1" applyAlignment="1">
      <alignment horizontal="right"/>
    </xf>
    <xf numFmtId="174" fontId="45" fillId="0" borderId="0" xfId="2" applyNumberFormat="1" applyFont="1" applyAlignment="1">
      <alignment horizontal="right"/>
    </xf>
    <xf numFmtId="0" fontId="31" fillId="3" borderId="5" xfId="13" applyFont="1" applyFill="1" applyBorder="1" applyAlignment="1">
      <alignment horizontal="left"/>
    </xf>
    <xf numFmtId="1" fontId="31" fillId="0" borderId="40" xfId="0" applyNumberFormat="1" applyFont="1" applyBorder="1"/>
    <xf numFmtId="0" fontId="38" fillId="2" borderId="6" xfId="1" applyFont="1" applyFill="1" applyBorder="1" applyAlignment="1">
      <alignment horizontal="left"/>
    </xf>
    <xf numFmtId="0" fontId="37" fillId="7" borderId="6" xfId="1" applyFont="1" applyFill="1" applyBorder="1" applyAlignment="1">
      <alignment horizontal="center" vertical="top" wrapText="1"/>
    </xf>
    <xf numFmtId="2" fontId="37" fillId="7" borderId="6" xfId="1" applyNumberFormat="1" applyFont="1" applyFill="1" applyBorder="1" applyAlignment="1">
      <alignment horizontal="center" vertical="top" wrapText="1"/>
    </xf>
    <xf numFmtId="0" fontId="31" fillId="7" borderId="6" xfId="1" applyFont="1" applyFill="1" applyBorder="1" applyAlignment="1">
      <alignment horizontal="center" vertical="top" wrapText="1"/>
    </xf>
    <xf numFmtId="0" fontId="31" fillId="0" borderId="0" xfId="0" applyFont="1" applyAlignment="1">
      <alignment horizontal="center"/>
    </xf>
    <xf numFmtId="2" fontId="31" fillId="2" borderId="0" xfId="1" applyNumberFormat="1" applyFont="1" applyFill="1" applyAlignment="1">
      <alignment horizontal="center"/>
    </xf>
    <xf numFmtId="2" fontId="41" fillId="7" borderId="11" xfId="2" applyNumberFormat="1" applyFont="1" applyFill="1" applyBorder="1" applyAlignment="1">
      <alignment horizontal="right" vertical="center"/>
    </xf>
    <xf numFmtId="0" fontId="55" fillId="2" borderId="0" xfId="1" applyFont="1" applyFill="1" applyAlignment="1">
      <alignment vertical="center"/>
    </xf>
    <xf numFmtId="0" fontId="31" fillId="2" borderId="0" xfId="4" applyFont="1" applyFill="1" applyAlignment="1">
      <alignment vertical="center"/>
    </xf>
    <xf numFmtId="0" fontId="55" fillId="0" borderId="0" xfId="15" applyFont="1" applyAlignment="1">
      <alignment vertical="center"/>
    </xf>
    <xf numFmtId="0" fontId="57" fillId="2" borderId="0" xfId="15" applyFont="1" applyFill="1" applyAlignment="1">
      <alignment vertical="center"/>
    </xf>
    <xf numFmtId="173" fontId="31" fillId="0" borderId="0" xfId="2" applyNumberFormat="1" applyFont="1" applyAlignment="1">
      <alignment vertical="center"/>
    </xf>
    <xf numFmtId="0" fontId="31" fillId="0" borderId="0" xfId="2" applyFont="1" applyAlignment="1">
      <alignment vertical="center"/>
    </xf>
    <xf numFmtId="0" fontId="51" fillId="2" borderId="0" xfId="4" applyFont="1" applyFill="1" applyAlignment="1">
      <alignment vertical="center"/>
    </xf>
    <xf numFmtId="2" fontId="31" fillId="0" borderId="0" xfId="2" applyNumberFormat="1" applyFont="1" applyAlignment="1">
      <alignment vertical="center"/>
    </xf>
    <xf numFmtId="0" fontId="51" fillId="3" borderId="0" xfId="2" applyFont="1" applyFill="1" applyAlignment="1">
      <alignment vertical="center"/>
    </xf>
    <xf numFmtId="0" fontId="31" fillId="3" borderId="0" xfId="2" applyFont="1" applyFill="1" applyAlignment="1">
      <alignment vertical="center"/>
    </xf>
    <xf numFmtId="0" fontId="51" fillId="2" borderId="0" xfId="15" applyFont="1" applyFill="1" applyAlignment="1">
      <alignment vertical="center"/>
    </xf>
    <xf numFmtId="0" fontId="51" fillId="2" borderId="0" xfId="2" applyFont="1" applyFill="1" applyAlignment="1">
      <alignment vertical="center"/>
    </xf>
    <xf numFmtId="0" fontId="31" fillId="3" borderId="0" xfId="4" applyFont="1" applyFill="1" applyAlignment="1">
      <alignment vertical="center"/>
    </xf>
    <xf numFmtId="0" fontId="31" fillId="2" borderId="0" xfId="2" applyFont="1" applyFill="1" applyAlignment="1">
      <alignment vertical="center"/>
    </xf>
    <xf numFmtId="0" fontId="37" fillId="0" borderId="0" xfId="2" applyFont="1" applyAlignment="1">
      <alignment horizontal="left" vertical="center"/>
    </xf>
    <xf numFmtId="0" fontId="37" fillId="2" borderId="0" xfId="2" applyFont="1" applyFill="1" applyAlignment="1">
      <alignment horizontal="left" vertical="center"/>
    </xf>
    <xf numFmtId="167" fontId="37" fillId="0" borderId="0" xfId="2" applyNumberFormat="1" applyFont="1" applyAlignment="1">
      <alignment horizontal="left" vertical="center"/>
    </xf>
    <xf numFmtId="167" fontId="37" fillId="2" borderId="0" xfId="2" applyNumberFormat="1" applyFont="1" applyFill="1" applyAlignment="1">
      <alignment horizontal="left" vertical="center"/>
    </xf>
    <xf numFmtId="166" fontId="37" fillId="2" borderId="0" xfId="2" applyNumberFormat="1" applyFont="1" applyFill="1" applyAlignment="1">
      <alignment horizontal="left" vertical="center"/>
    </xf>
    <xf numFmtId="0" fontId="54" fillId="2" borderId="0" xfId="2" applyFont="1" applyFill="1" applyAlignment="1">
      <alignment vertical="center"/>
    </xf>
    <xf numFmtId="0" fontId="51" fillId="2" borderId="0" xfId="0" applyFont="1" applyFill="1" applyAlignment="1">
      <alignment vertical="center"/>
    </xf>
    <xf numFmtId="0" fontId="37" fillId="0" borderId="0" xfId="7" applyFont="1" applyFill="1" applyBorder="1" applyAlignment="1">
      <alignment vertical="top"/>
    </xf>
    <xf numFmtId="0" fontId="45" fillId="0" borderId="2" xfId="0" applyFont="1" applyBorder="1" applyAlignment="1">
      <alignment horizontal="left" vertical="center"/>
    </xf>
    <xf numFmtId="0" fontId="58" fillId="0" borderId="24" xfId="0" applyFont="1" applyBorder="1" applyAlignment="1">
      <alignment horizontal="left" vertical="center"/>
    </xf>
    <xf numFmtId="0" fontId="46" fillId="0" borderId="0" xfId="7" applyFont="1" applyFill="1" applyBorder="1" applyAlignment="1">
      <alignment vertical="top"/>
    </xf>
    <xf numFmtId="0" fontId="46" fillId="0" borderId="14" xfId="7" applyFont="1" applyFill="1" applyBorder="1" applyAlignment="1">
      <alignment vertical="top"/>
    </xf>
    <xf numFmtId="0" fontId="32" fillId="0" borderId="14" xfId="7" applyFont="1" applyFill="1" applyBorder="1" applyAlignment="1">
      <alignment vertical="top"/>
    </xf>
    <xf numFmtId="0" fontId="37" fillId="0" borderId="14" xfId="7" applyFont="1" applyFill="1" applyBorder="1" applyAlignment="1">
      <alignment vertical="top"/>
    </xf>
    <xf numFmtId="0" fontId="37" fillId="0" borderId="9" xfId="7" applyFont="1" applyFill="1" applyBorder="1" applyAlignment="1">
      <alignment vertical="top"/>
    </xf>
    <xf numFmtId="0" fontId="32" fillId="0" borderId="0" xfId="7" applyFont="1" applyFill="1" applyBorder="1" applyAlignment="1">
      <alignment vertical="top"/>
    </xf>
    <xf numFmtId="0" fontId="32" fillId="0" borderId="9" xfId="7" applyFont="1" applyFill="1" applyBorder="1" applyAlignment="1">
      <alignment vertical="top"/>
    </xf>
    <xf numFmtId="0" fontId="37" fillId="0" borderId="25" xfId="0" applyFont="1" applyBorder="1" applyAlignment="1">
      <alignment horizontal="center" vertical="top"/>
    </xf>
    <xf numFmtId="38" fontId="37" fillId="0" borderId="0" xfId="2" applyNumberFormat="1" applyFont="1" applyAlignment="1">
      <alignment horizontal="right" vertical="center" wrapText="1"/>
    </xf>
    <xf numFmtId="38" fontId="45" fillId="0" borderId="0" xfId="2" applyNumberFormat="1" applyFont="1" applyAlignment="1">
      <alignment horizontal="right" vertical="center" wrapText="1"/>
    </xf>
    <xf numFmtId="2" fontId="45" fillId="2" borderId="0" xfId="2" applyNumberFormat="1" applyFont="1" applyFill="1" applyAlignment="1">
      <alignment horizontal="right"/>
    </xf>
    <xf numFmtId="1" fontId="45" fillId="0" borderId="16" xfId="0" applyNumberFormat="1" applyFont="1" applyBorder="1" applyAlignment="1">
      <alignment horizontal="right" vertical="center"/>
    </xf>
    <xf numFmtId="3" fontId="45" fillId="0" borderId="0" xfId="0" applyNumberFormat="1" applyFont="1" applyAlignment="1">
      <alignment horizontal="right" vertical="center"/>
    </xf>
    <xf numFmtId="3" fontId="45" fillId="0" borderId="8" xfId="0" applyNumberFormat="1" applyFont="1" applyBorder="1" applyAlignment="1">
      <alignment horizontal="right" vertical="center"/>
    </xf>
    <xf numFmtId="0" fontId="31" fillId="2" borderId="0" xfId="26" applyFont="1" applyFill="1"/>
    <xf numFmtId="0" fontId="31" fillId="2" borderId="0" xfId="27" applyFont="1" applyFill="1"/>
    <xf numFmtId="0" fontId="55" fillId="0" borderId="0" xfId="27" applyFont="1"/>
    <xf numFmtId="0" fontId="57" fillId="2" borderId="0" xfId="27" applyFont="1" applyFill="1"/>
    <xf numFmtId="0" fontId="42" fillId="0" borderId="0" xfId="27" applyFont="1"/>
    <xf numFmtId="0" fontId="51" fillId="2" borderId="0" xfId="27" applyFont="1" applyFill="1"/>
    <xf numFmtId="0" fontId="41" fillId="7" borderId="10" xfId="27" applyFont="1" applyFill="1" applyBorder="1" applyAlignment="1">
      <alignment horizontal="left" vertical="center"/>
    </xf>
    <xf numFmtId="0" fontId="41" fillId="7" borderId="10" xfId="27" applyFont="1" applyFill="1" applyBorder="1" applyAlignment="1">
      <alignment horizontal="right" vertical="center"/>
    </xf>
    <xf numFmtId="0" fontId="31" fillId="2" borderId="0" xfId="27" applyFont="1" applyFill="1" applyAlignment="1">
      <alignment horizontal="left"/>
    </xf>
    <xf numFmtId="0" fontId="51" fillId="2" borderId="0" xfId="27" applyFont="1" applyFill="1" applyAlignment="1">
      <alignment horizontal="left" vertical="center"/>
    </xf>
    <xf numFmtId="0" fontId="31" fillId="2" borderId="0" xfId="27" applyFont="1" applyFill="1" applyAlignment="1">
      <alignment horizontal="left" vertical="center"/>
    </xf>
    <xf numFmtId="0" fontId="31" fillId="0" borderId="0" xfId="27" applyFont="1" applyAlignment="1">
      <alignment horizontal="left" vertical="center"/>
    </xf>
    <xf numFmtId="2" fontId="31" fillId="2" borderId="0" xfId="27" applyNumberFormat="1" applyFont="1" applyFill="1"/>
    <xf numFmtId="0" fontId="31" fillId="0" borderId="0" xfId="27" applyFont="1"/>
    <xf numFmtId="0" fontId="41" fillId="2" borderId="0" xfId="27" applyFont="1" applyFill="1"/>
    <xf numFmtId="2" fontId="41" fillId="2" borderId="10" xfId="27" applyNumberFormat="1" applyFont="1" applyFill="1" applyBorder="1"/>
    <xf numFmtId="2" fontId="41" fillId="2" borderId="0" xfId="27" applyNumberFormat="1" applyFont="1" applyFill="1"/>
    <xf numFmtId="0" fontId="51" fillId="2" borderId="0" xfId="27" applyFont="1" applyFill="1" applyAlignment="1">
      <alignment vertical="center"/>
    </xf>
    <xf numFmtId="0" fontId="51" fillId="0" borderId="0" xfId="27" applyFont="1"/>
    <xf numFmtId="0" fontId="31" fillId="2" borderId="0" xfId="30" applyFont="1" applyFill="1"/>
    <xf numFmtId="0" fontId="31" fillId="2" borderId="0" xfId="31" applyFont="1" applyFill="1"/>
    <xf numFmtId="0" fontId="55" fillId="0" borderId="0" xfId="31" applyFont="1"/>
    <xf numFmtId="0" fontId="57" fillId="2" borderId="0" xfId="31" applyFont="1" applyFill="1"/>
    <xf numFmtId="0" fontId="42" fillId="0" borderId="0" xfId="31" applyFont="1"/>
    <xf numFmtId="0" fontId="31" fillId="0" borderId="0" xfId="31" applyFont="1"/>
    <xf numFmtId="0" fontId="51" fillId="0" borderId="0" xfId="31" applyFont="1"/>
    <xf numFmtId="0" fontId="51" fillId="2" borderId="0" xfId="31" applyFont="1" applyFill="1" applyAlignment="1">
      <alignment vertical="center"/>
    </xf>
    <xf numFmtId="0" fontId="31" fillId="2" borderId="0" xfId="31" applyFont="1" applyFill="1" applyAlignment="1">
      <alignment vertical="center"/>
    </xf>
    <xf numFmtId="0" fontId="31" fillId="0" borderId="0" xfId="31" applyFont="1" applyAlignment="1">
      <alignment vertical="center"/>
    </xf>
    <xf numFmtId="0" fontId="41" fillId="2" borderId="0" xfId="31" applyFont="1" applyFill="1"/>
    <xf numFmtId="1" fontId="31" fillId="2" borderId="0" xfId="31" applyNumberFormat="1" applyFont="1" applyFill="1"/>
    <xf numFmtId="0" fontId="31" fillId="2" borderId="0" xfId="9" applyFont="1" applyFill="1" applyAlignment="1">
      <alignment horizontal="left" vertical="center" wrapText="1"/>
    </xf>
    <xf numFmtId="0" fontId="47" fillId="2" borderId="0" xfId="1" applyFont="1" applyFill="1" applyAlignment="1">
      <alignment vertical="top" wrapText="1"/>
    </xf>
    <xf numFmtId="0" fontId="41" fillId="7" borderId="10" xfId="31" applyFont="1" applyFill="1" applyBorder="1" applyAlignment="1">
      <alignment horizontal="right" vertical="center"/>
    </xf>
    <xf numFmtId="0" fontId="55" fillId="0" borderId="0" xfId="27" applyFont="1" applyAlignment="1">
      <alignment horizontal="left"/>
    </xf>
    <xf numFmtId="0" fontId="42" fillId="0" borderId="0" xfId="27" applyFont="1" applyAlignment="1">
      <alignment horizontal="left"/>
    </xf>
    <xf numFmtId="0" fontId="41" fillId="2" borderId="0" xfId="27" applyFont="1" applyFill="1" applyAlignment="1">
      <alignment horizontal="left"/>
    </xf>
    <xf numFmtId="0" fontId="31" fillId="2" borderId="0" xfId="31" applyFont="1" applyFill="1" applyAlignment="1">
      <alignment horizontal="left"/>
    </xf>
    <xf numFmtId="0" fontId="55" fillId="0" borderId="0" xfId="31" applyFont="1" applyAlignment="1">
      <alignment horizontal="left"/>
    </xf>
    <xf numFmtId="0" fontId="42" fillId="0" borderId="0" xfId="31" applyFont="1" applyAlignment="1">
      <alignment horizontal="left"/>
    </xf>
    <xf numFmtId="0" fontId="41" fillId="7" borderId="10" xfId="31" applyFont="1" applyFill="1" applyBorder="1" applyAlignment="1">
      <alignment horizontal="left" vertical="center"/>
    </xf>
    <xf numFmtId="0" fontId="31" fillId="2" borderId="0" xfId="31" applyFont="1" applyFill="1" applyAlignment="1">
      <alignment horizontal="right"/>
    </xf>
    <xf numFmtId="0" fontId="55" fillId="0" borderId="0" xfId="31" applyFont="1" applyAlignment="1">
      <alignment horizontal="right"/>
    </xf>
    <xf numFmtId="0" fontId="42" fillId="0" borderId="0" xfId="31" applyFont="1" applyAlignment="1">
      <alignment horizontal="right"/>
    </xf>
    <xf numFmtId="0" fontId="31" fillId="2" borderId="0" xfId="27" applyFont="1" applyFill="1" applyAlignment="1">
      <alignment horizontal="right"/>
    </xf>
    <xf numFmtId="0" fontId="51" fillId="2" borderId="0" xfId="27" applyFont="1" applyFill="1" applyAlignment="1">
      <alignment horizontal="right"/>
    </xf>
    <xf numFmtId="2" fontId="31" fillId="2" borderId="0" xfId="27" applyNumberFormat="1" applyFont="1" applyFill="1" applyAlignment="1">
      <alignment horizontal="right"/>
    </xf>
    <xf numFmtId="2" fontId="41" fillId="2" borderId="10" xfId="27" applyNumberFormat="1" applyFont="1" applyFill="1" applyBorder="1" applyAlignment="1">
      <alignment horizontal="right"/>
    </xf>
    <xf numFmtId="2" fontId="41" fillId="2" borderId="0" xfId="27" applyNumberFormat="1" applyFont="1" applyFill="1" applyAlignment="1">
      <alignment horizontal="right"/>
    </xf>
    <xf numFmtId="0" fontId="31" fillId="2" borderId="0" xfId="27" applyFont="1" applyFill="1" applyAlignment="1">
      <alignment vertical="center"/>
    </xf>
    <xf numFmtId="0" fontId="55" fillId="0" borderId="0" xfId="27" applyFont="1" applyAlignment="1">
      <alignment vertical="center"/>
    </xf>
    <xf numFmtId="0" fontId="57" fillId="2" borderId="0" xfId="27" applyFont="1" applyFill="1" applyAlignment="1">
      <alignment horizontal="right" vertical="center"/>
    </xf>
    <xf numFmtId="0" fontId="57" fillId="2" borderId="0" xfId="27" applyFont="1" applyFill="1" applyAlignment="1">
      <alignment vertical="center"/>
    </xf>
    <xf numFmtId="2" fontId="47" fillId="2" borderId="0" xfId="1" applyNumberFormat="1" applyFont="1" applyFill="1" applyAlignment="1">
      <alignment vertical="top"/>
    </xf>
    <xf numFmtId="0" fontId="41" fillId="7" borderId="6" xfId="12" applyFont="1" applyFill="1" applyBorder="1" applyAlignment="1">
      <alignment vertical="center"/>
    </xf>
    <xf numFmtId="0" fontId="41" fillId="7" borderId="6" xfId="0" applyFont="1" applyFill="1" applyBorder="1" applyAlignment="1">
      <alignment horizontal="right" vertical="center"/>
    </xf>
    <xf numFmtId="0" fontId="41" fillId="7" borderId="36" xfId="0" applyFont="1" applyFill="1" applyBorder="1" applyAlignment="1">
      <alignment horizontal="center" vertical="center"/>
    </xf>
    <xf numFmtId="2" fontId="41" fillId="7" borderId="6" xfId="12" applyNumberFormat="1" applyFont="1" applyFill="1" applyBorder="1" applyAlignment="1">
      <alignment vertical="center"/>
    </xf>
    <xf numFmtId="0" fontId="41" fillId="7" borderId="6" xfId="0" applyFont="1" applyFill="1" applyBorder="1" applyAlignment="1">
      <alignment vertical="center"/>
    </xf>
    <xf numFmtId="176" fontId="47" fillId="0" borderId="0" xfId="1" applyNumberFormat="1" applyFont="1" applyAlignment="1">
      <alignment horizontal="left"/>
    </xf>
    <xf numFmtId="0" fontId="41" fillId="2" borderId="10" xfId="0" applyFont="1" applyFill="1" applyBorder="1" applyAlignment="1">
      <alignment horizontal="left"/>
    </xf>
    <xf numFmtId="0" fontId="41" fillId="2" borderId="10" xfId="0" applyFont="1" applyFill="1" applyBorder="1" applyAlignment="1">
      <alignment horizontal="center"/>
    </xf>
    <xf numFmtId="9" fontId="31" fillId="2" borderId="0" xfId="14" applyFont="1" applyFill="1" applyBorder="1"/>
    <xf numFmtId="0" fontId="31" fillId="2" borderId="6" xfId="0" applyFont="1" applyFill="1" applyBorder="1" applyAlignment="1">
      <alignment horizontal="left"/>
    </xf>
    <xf numFmtId="0" fontId="66" fillId="2" borderId="0" xfId="0" applyFont="1" applyFill="1"/>
    <xf numFmtId="0" fontId="41" fillId="13" borderId="18" xfId="13" applyFont="1" applyFill="1" applyBorder="1" applyAlignment="1">
      <alignment horizontal="left" vertical="center"/>
    </xf>
    <xf numFmtId="0" fontId="41" fillId="13" borderId="18" xfId="0" applyFont="1" applyFill="1" applyBorder="1" applyAlignment="1">
      <alignment horizontal="left" vertical="center"/>
    </xf>
    <xf numFmtId="0" fontId="31" fillId="2" borderId="0" xfId="0" applyFont="1" applyFill="1" applyAlignment="1">
      <alignment horizontal="right"/>
    </xf>
    <xf numFmtId="0" fontId="31" fillId="2" borderId="6" xfId="0" applyFont="1" applyFill="1" applyBorder="1" applyAlignment="1">
      <alignment horizontal="right"/>
    </xf>
    <xf numFmtId="9" fontId="31" fillId="2" borderId="6" xfId="14" applyFont="1" applyFill="1" applyBorder="1" applyAlignment="1">
      <alignment horizontal="right"/>
    </xf>
    <xf numFmtId="1" fontId="31" fillId="2" borderId="6" xfId="0" applyNumberFormat="1" applyFont="1" applyFill="1" applyBorder="1" applyAlignment="1">
      <alignment horizontal="right"/>
    </xf>
    <xf numFmtId="0" fontId="41" fillId="2" borderId="10" xfId="0" applyFont="1" applyFill="1" applyBorder="1" applyAlignment="1">
      <alignment horizontal="right"/>
    </xf>
    <xf numFmtId="0" fontId="31" fillId="2" borderId="10" xfId="0" applyFont="1" applyFill="1" applyBorder="1" applyAlignment="1">
      <alignment horizontal="right"/>
    </xf>
    <xf numFmtId="0" fontId="47" fillId="0" borderId="5" xfId="1" applyFont="1" applyBorder="1" applyAlignment="1">
      <alignment horizontal="right"/>
    </xf>
    <xf numFmtId="1" fontId="31" fillId="2" borderId="5" xfId="31" applyNumberFormat="1" applyFont="1" applyFill="1" applyBorder="1"/>
    <xf numFmtId="169" fontId="37" fillId="0" borderId="0" xfId="0" applyNumberFormat="1" applyFont="1" applyAlignment="1">
      <alignment horizontal="right"/>
    </xf>
    <xf numFmtId="0" fontId="31" fillId="2" borderId="0" xfId="15" applyFont="1" applyFill="1" applyAlignment="1">
      <alignment vertical="top" wrapText="1"/>
    </xf>
    <xf numFmtId="173" fontId="31" fillId="3" borderId="0" xfId="2" applyNumberFormat="1" applyFont="1" applyFill="1" applyAlignment="1">
      <alignment horizontal="right"/>
    </xf>
    <xf numFmtId="0" fontId="31" fillId="3" borderId="0" xfId="2" applyFont="1" applyFill="1" applyAlignment="1">
      <alignment horizontal="right" vertical="center"/>
    </xf>
    <xf numFmtId="0" fontId="33" fillId="2" borderId="0" xfId="9" applyFont="1" applyFill="1" applyAlignment="1">
      <alignment horizontal="right"/>
    </xf>
    <xf numFmtId="0" fontId="67" fillId="0" borderId="0" xfId="32" applyAlignment="1">
      <alignment horizontal="left" vertical="top"/>
    </xf>
    <xf numFmtId="0" fontId="68" fillId="0" borderId="0" xfId="32" applyFont="1" applyAlignment="1">
      <alignment horizontal="left" vertical="top"/>
    </xf>
    <xf numFmtId="2" fontId="67" fillId="0" borderId="0" xfId="32" applyNumberFormat="1" applyAlignment="1">
      <alignment horizontal="right" vertical="top"/>
    </xf>
    <xf numFmtId="177" fontId="67" fillId="0" borderId="0" xfId="32" applyNumberFormat="1" applyAlignment="1">
      <alignment horizontal="left" vertical="top"/>
    </xf>
    <xf numFmtId="0" fontId="69" fillId="0" borderId="0" xfId="33" applyAlignment="1">
      <alignment vertical="top"/>
    </xf>
    <xf numFmtId="0" fontId="69" fillId="0" borderId="0" xfId="33" applyAlignment="1">
      <alignment horizontal="left" vertical="top"/>
    </xf>
    <xf numFmtId="0" fontId="67" fillId="0" borderId="0" xfId="32" applyAlignment="1">
      <alignment vertical="top"/>
    </xf>
    <xf numFmtId="0" fontId="69" fillId="0" borderId="0" xfId="33" applyAlignment="1">
      <alignment vertical="center"/>
    </xf>
    <xf numFmtId="2" fontId="67" fillId="0" borderId="0" xfId="32" applyNumberFormat="1" applyAlignment="1">
      <alignment horizontal="left" vertical="top"/>
    </xf>
    <xf numFmtId="2" fontId="67" fillId="0" borderId="0" xfId="32" applyNumberFormat="1" applyAlignment="1">
      <alignment vertical="top"/>
    </xf>
    <xf numFmtId="10" fontId="67" fillId="0" borderId="0" xfId="32" applyNumberFormat="1"/>
    <xf numFmtId="0" fontId="67" fillId="0" borderId="0" xfId="32" applyAlignment="1">
      <alignment horizontal="right" vertical="center"/>
    </xf>
    <xf numFmtId="0" fontId="67" fillId="0" borderId="0" xfId="32" applyAlignment="1">
      <alignment horizontal="left" vertical="center"/>
    </xf>
    <xf numFmtId="1" fontId="67" fillId="0" borderId="0" xfId="32" applyNumberFormat="1" applyAlignment="1">
      <alignment horizontal="left" vertical="top"/>
    </xf>
    <xf numFmtId="10" fontId="67" fillId="0" borderId="0" xfId="32" applyNumberFormat="1" applyAlignment="1">
      <alignment horizontal="left" vertical="top"/>
    </xf>
    <xf numFmtId="14" fontId="67" fillId="0" borderId="0" xfId="32" applyNumberFormat="1" applyAlignment="1">
      <alignment horizontal="right" vertical="top"/>
    </xf>
    <xf numFmtId="0" fontId="11" fillId="0" borderId="0" xfId="34"/>
    <xf numFmtId="0" fontId="36" fillId="0" borderId="0" xfId="7"/>
    <xf numFmtId="0" fontId="27" fillId="0" borderId="0" xfId="61"/>
    <xf numFmtId="0" fontId="68" fillId="0" borderId="0" xfId="32" applyFont="1" applyAlignment="1">
      <alignment horizontal="left" vertical="center"/>
    </xf>
    <xf numFmtId="0" fontId="37" fillId="0" borderId="0" xfId="32" applyFont="1" applyAlignment="1">
      <alignment horizontal="left" vertical="top"/>
    </xf>
    <xf numFmtId="0" fontId="37" fillId="0" borderId="0" xfId="32" applyFont="1"/>
    <xf numFmtId="2" fontId="37" fillId="0" borderId="0" xfId="32" applyNumberFormat="1" applyFont="1" applyAlignment="1">
      <alignment horizontal="right" vertical="top"/>
    </xf>
    <xf numFmtId="0" fontId="70" fillId="0" borderId="0" xfId="32" applyFont="1" applyAlignment="1">
      <alignment horizontal="left" vertical="center"/>
    </xf>
    <xf numFmtId="0" fontId="37" fillId="0" borderId="0" xfId="32" applyFont="1" applyAlignment="1">
      <alignment horizontal="left" vertical="center"/>
    </xf>
    <xf numFmtId="2" fontId="37" fillId="0" borderId="0" xfId="32" applyNumberFormat="1" applyFont="1" applyAlignment="1">
      <alignment horizontal="right"/>
    </xf>
    <xf numFmtId="10" fontId="37" fillId="0" borderId="0" xfId="32" applyNumberFormat="1" applyFont="1" applyAlignment="1">
      <alignment horizontal="right"/>
    </xf>
    <xf numFmtId="0" fontId="46" fillId="0" borderId="0" xfId="33" applyFont="1" applyAlignment="1">
      <alignment horizontal="left" vertical="top"/>
    </xf>
    <xf numFmtId="0" fontId="68" fillId="0" borderId="0" xfId="32" applyFont="1" applyAlignment="1">
      <alignment vertical="center"/>
    </xf>
    <xf numFmtId="1" fontId="37" fillId="0" borderId="0" xfId="32" applyNumberFormat="1" applyFont="1"/>
    <xf numFmtId="2" fontId="37" fillId="0" borderId="0" xfId="32" applyNumberFormat="1" applyFont="1"/>
    <xf numFmtId="10" fontId="37" fillId="0" borderId="0" xfId="32" applyNumberFormat="1" applyFont="1"/>
    <xf numFmtId="14" fontId="37" fillId="0" borderId="0" xfId="32" applyNumberFormat="1" applyFont="1" applyAlignment="1">
      <alignment horizontal="right" vertical="center"/>
    </xf>
    <xf numFmtId="0" fontId="37" fillId="0" borderId="0" xfId="32" applyFont="1" applyAlignment="1">
      <alignment horizontal="right" vertical="center"/>
    </xf>
    <xf numFmtId="2" fontId="45" fillId="13" borderId="18" xfId="32" applyNumberFormat="1" applyFont="1" applyFill="1" applyBorder="1" applyAlignment="1">
      <alignment horizontal="right" vertical="center"/>
    </xf>
    <xf numFmtId="0" fontId="45" fillId="13" borderId="18" xfId="32" applyFont="1" applyFill="1" applyBorder="1" applyAlignment="1">
      <alignment horizontal="left" vertical="center"/>
    </xf>
    <xf numFmtId="177" fontId="67" fillId="0" borderId="0" xfId="32" applyNumberFormat="1" applyAlignment="1">
      <alignment horizontal="left" vertical="center"/>
    </xf>
    <xf numFmtId="177" fontId="45" fillId="13" borderId="18" xfId="32" applyNumberFormat="1" applyFont="1" applyFill="1" applyBorder="1" applyAlignment="1">
      <alignment horizontal="right" vertical="center"/>
    </xf>
    <xf numFmtId="2" fontId="67" fillId="0" borderId="0" xfId="32" applyNumberFormat="1" applyAlignment="1">
      <alignment horizontal="left" vertical="center"/>
    </xf>
    <xf numFmtId="0" fontId="45" fillId="13" borderId="18" xfId="32" applyFont="1" applyFill="1" applyBorder="1" applyAlignment="1">
      <alignment horizontal="right" vertical="center"/>
    </xf>
    <xf numFmtId="2" fontId="45" fillId="13" borderId="19" xfId="32" applyNumberFormat="1" applyFont="1" applyFill="1" applyBorder="1" applyAlignment="1">
      <alignment horizontal="center" vertical="center"/>
    </xf>
    <xf numFmtId="0" fontId="45" fillId="13" borderId="19" xfId="32" applyFont="1" applyFill="1" applyBorder="1" applyAlignment="1">
      <alignment horizontal="center" vertical="center"/>
    </xf>
    <xf numFmtId="10" fontId="45" fillId="13" borderId="19" xfId="32" applyNumberFormat="1" applyFont="1" applyFill="1" applyBorder="1" applyAlignment="1">
      <alignment horizontal="center" vertical="center"/>
    </xf>
    <xf numFmtId="0" fontId="45" fillId="13" borderId="5" xfId="32" applyFont="1" applyFill="1" applyBorder="1" applyAlignment="1">
      <alignment horizontal="center" vertical="center"/>
    </xf>
    <xf numFmtId="10" fontId="45" fillId="13" borderId="5" xfId="32" applyNumberFormat="1" applyFont="1" applyFill="1" applyBorder="1" applyAlignment="1">
      <alignment horizontal="center" vertical="center"/>
    </xf>
    <xf numFmtId="0" fontId="37" fillId="0" borderId="18" xfId="32" applyFont="1" applyBorder="1" applyAlignment="1">
      <alignment horizontal="left" vertical="top"/>
    </xf>
    <xf numFmtId="1" fontId="37" fillId="0" borderId="18" xfId="32" applyNumberFormat="1" applyFont="1" applyBorder="1"/>
    <xf numFmtId="2" fontId="37" fillId="0" borderId="18" xfId="32" applyNumberFormat="1" applyFont="1" applyBorder="1"/>
    <xf numFmtId="10" fontId="37" fillId="0" borderId="18" xfId="32" applyNumberFormat="1" applyFont="1" applyBorder="1" applyAlignment="1">
      <alignment horizontal="right"/>
    </xf>
    <xf numFmtId="10" fontId="37" fillId="0" borderId="18" xfId="32" applyNumberFormat="1" applyFont="1" applyBorder="1"/>
    <xf numFmtId="14" fontId="45" fillId="13" borderId="18" xfId="32" applyNumberFormat="1" applyFont="1" applyFill="1" applyBorder="1" applyAlignment="1">
      <alignment horizontal="right" vertical="center"/>
    </xf>
    <xf numFmtId="0" fontId="37" fillId="0" borderId="5" xfId="32" applyFont="1" applyBorder="1" applyAlignment="1">
      <alignment horizontal="left" vertical="top"/>
    </xf>
    <xf numFmtId="2" fontId="37" fillId="0" borderId="5" xfId="32" applyNumberFormat="1" applyFont="1" applyBorder="1" applyAlignment="1">
      <alignment horizontal="right"/>
    </xf>
    <xf numFmtId="10" fontId="37" fillId="0" borderId="5" xfId="32" applyNumberFormat="1" applyFont="1" applyBorder="1" applyAlignment="1">
      <alignment horizontal="right"/>
    </xf>
    <xf numFmtId="10" fontId="37" fillId="0" borderId="5" xfId="32" applyNumberFormat="1" applyFont="1" applyBorder="1"/>
    <xf numFmtId="14" fontId="37" fillId="0" borderId="18" xfId="32" applyNumberFormat="1" applyFont="1" applyBorder="1" applyAlignment="1">
      <alignment horizontal="right" vertical="center"/>
    </xf>
    <xf numFmtId="0" fontId="37" fillId="0" borderId="18" xfId="32" applyFont="1" applyBorder="1" applyAlignment="1">
      <alignment horizontal="right" vertical="center"/>
    </xf>
    <xf numFmtId="0" fontId="37" fillId="0" borderId="18" xfId="32" applyFont="1" applyBorder="1"/>
    <xf numFmtId="1" fontId="37" fillId="0" borderId="5" xfId="32" applyNumberFormat="1" applyFont="1" applyBorder="1"/>
    <xf numFmtId="2" fontId="37" fillId="0" borderId="5" xfId="32" applyNumberFormat="1" applyFont="1" applyBorder="1"/>
    <xf numFmtId="0" fontId="37" fillId="0" borderId="5" xfId="32" applyFont="1" applyBorder="1"/>
    <xf numFmtId="2" fontId="37" fillId="0" borderId="5" xfId="32" applyNumberFormat="1" applyFont="1" applyBorder="1" applyAlignment="1">
      <alignment horizontal="right" vertical="top"/>
    </xf>
    <xf numFmtId="2" fontId="37" fillId="0" borderId="18" xfId="32" applyNumberFormat="1" applyFont="1" applyBorder="1" applyAlignment="1">
      <alignment horizontal="right" vertical="top"/>
    </xf>
    <xf numFmtId="0" fontId="37" fillId="0" borderId="18" xfId="32" applyFont="1" applyBorder="1" applyAlignment="1">
      <alignment horizontal="left" vertical="center"/>
    </xf>
    <xf numFmtId="0" fontId="37" fillId="0" borderId="5" xfId="32" applyFont="1" applyBorder="1" applyAlignment="1">
      <alignment horizontal="left" vertical="center"/>
    </xf>
    <xf numFmtId="14" fontId="37" fillId="0" borderId="5" xfId="32" applyNumberFormat="1" applyFont="1" applyBorder="1" applyAlignment="1">
      <alignment horizontal="right" vertical="center"/>
    </xf>
    <xf numFmtId="0" fontId="37" fillId="0" borderId="5" xfId="32" applyFont="1" applyBorder="1" applyAlignment="1">
      <alignment horizontal="right" vertical="center"/>
    </xf>
    <xf numFmtId="0" fontId="45" fillId="3" borderId="0" xfId="32" applyFont="1" applyFill="1" applyAlignment="1">
      <alignment horizontal="left" vertical="center"/>
    </xf>
    <xf numFmtId="2" fontId="42" fillId="2" borderId="10" xfId="1" applyNumberFormat="1" applyFont="1" applyFill="1" applyBorder="1" applyAlignment="1">
      <alignment horizontal="right"/>
    </xf>
    <xf numFmtId="0" fontId="51" fillId="0" borderId="0" xfId="2" applyFont="1" applyAlignment="1">
      <alignment vertical="center"/>
    </xf>
    <xf numFmtId="0" fontId="41" fillId="2" borderId="10" xfId="35" applyFont="1" applyFill="1" applyBorder="1" applyAlignment="1">
      <alignment horizontal="right"/>
    </xf>
    <xf numFmtId="0" fontId="51" fillId="2" borderId="0" xfId="35" applyFont="1" applyFill="1" applyAlignment="1">
      <alignment vertical="center"/>
    </xf>
    <xf numFmtId="0" fontId="41" fillId="7" borderId="11" xfId="35" applyFont="1" applyFill="1" applyBorder="1" applyAlignment="1">
      <alignment horizontal="right" vertical="center"/>
    </xf>
    <xf numFmtId="173" fontId="41" fillId="7" borderId="11" xfId="35" applyNumberFormat="1" applyFont="1" applyFill="1" applyBorder="1" applyAlignment="1">
      <alignment horizontal="right" vertical="center"/>
    </xf>
    <xf numFmtId="173" fontId="41" fillId="7" borderId="11" xfId="35" applyNumberFormat="1" applyFont="1" applyFill="1" applyBorder="1" applyAlignment="1">
      <alignment horizontal="center" vertical="center"/>
    </xf>
    <xf numFmtId="0" fontId="41" fillId="7" borderId="11" xfId="35" applyFont="1" applyFill="1" applyBorder="1" applyAlignment="1">
      <alignment horizontal="left" vertical="center"/>
    </xf>
    <xf numFmtId="0" fontId="33" fillId="2" borderId="0" xfId="36" applyFont="1" applyFill="1"/>
    <xf numFmtId="0" fontId="31" fillId="3" borderId="0" xfId="35" applyFont="1" applyFill="1" applyAlignment="1">
      <alignment vertical="center"/>
    </xf>
    <xf numFmtId="0" fontId="51" fillId="3" borderId="0" xfId="35" applyFont="1" applyFill="1" applyAlignment="1">
      <alignment vertical="center"/>
    </xf>
    <xf numFmtId="0" fontId="31" fillId="2" borderId="0" xfId="35" applyFont="1" applyFill="1"/>
    <xf numFmtId="0" fontId="31" fillId="3" borderId="0" xfId="35" applyFont="1" applyFill="1"/>
    <xf numFmtId="173" fontId="31" fillId="3" borderId="0" xfId="35" applyNumberFormat="1" applyFont="1" applyFill="1"/>
    <xf numFmtId="0" fontId="31" fillId="2" borderId="0" xfId="37" applyFont="1" applyFill="1"/>
    <xf numFmtId="0" fontId="31" fillId="2" borderId="0" xfId="38" applyFont="1" applyFill="1"/>
    <xf numFmtId="3" fontId="31" fillId="2" borderId="0" xfId="38" applyNumberFormat="1" applyFont="1" applyFill="1"/>
    <xf numFmtId="0" fontId="31" fillId="2" borderId="6" xfId="38" applyFont="1" applyFill="1" applyBorder="1"/>
    <xf numFmtId="0" fontId="37" fillId="2" borderId="0" xfId="37" applyFont="1" applyFill="1" applyAlignment="1">
      <alignment horizontal="left" vertical="center" readingOrder="1"/>
    </xf>
    <xf numFmtId="0" fontId="41" fillId="12" borderId="10" xfId="38" applyFont="1" applyFill="1" applyBorder="1" applyAlignment="1">
      <alignment horizontal="left" vertical="center"/>
    </xf>
    <xf numFmtId="0" fontId="41" fillId="12" borderId="10" xfId="38" applyFont="1" applyFill="1" applyBorder="1" applyAlignment="1">
      <alignment horizontal="right" vertical="center"/>
    </xf>
    <xf numFmtId="164" fontId="31" fillId="2" borderId="0" xfId="40" applyFont="1" applyFill="1"/>
    <xf numFmtId="164" fontId="41" fillId="12" borderId="10" xfId="40" applyFont="1" applyFill="1" applyBorder="1" applyAlignment="1">
      <alignment horizontal="right" vertical="center"/>
    </xf>
    <xf numFmtId="43" fontId="31" fillId="2" borderId="0" xfId="38" applyNumberFormat="1" applyFont="1" applyFill="1" applyAlignment="1">
      <alignment horizontal="right"/>
    </xf>
    <xf numFmtId="2" fontId="31" fillId="2" borderId="0" xfId="38" applyNumberFormat="1" applyFont="1" applyFill="1" applyAlignment="1">
      <alignment horizontal="right"/>
    </xf>
    <xf numFmtId="164" fontId="31" fillId="2" borderId="0" xfId="40" applyFont="1" applyFill="1" applyAlignment="1">
      <alignment horizontal="right"/>
    </xf>
    <xf numFmtId="0" fontId="31" fillId="2" borderId="0" xfId="38" applyFont="1" applyFill="1" applyAlignment="1">
      <alignment horizontal="right"/>
    </xf>
    <xf numFmtId="164" fontId="31" fillId="2" borderId="0" xfId="38" applyNumberFormat="1" applyFont="1" applyFill="1" applyAlignment="1">
      <alignment horizontal="right"/>
    </xf>
    <xf numFmtId="1" fontId="31" fillId="2" borderId="0" xfId="38" applyNumberFormat="1" applyFont="1" applyFill="1" applyAlignment="1">
      <alignment horizontal="right"/>
    </xf>
    <xf numFmtId="2" fontId="31" fillId="2" borderId="0" xfId="38" applyNumberFormat="1" applyFont="1" applyFill="1"/>
    <xf numFmtId="178" fontId="31" fillId="2" borderId="0" xfId="38" applyNumberFormat="1" applyFont="1" applyFill="1"/>
    <xf numFmtId="179" fontId="31" fillId="2" borderId="0" xfId="38" applyNumberFormat="1" applyFont="1" applyFill="1"/>
    <xf numFmtId="43" fontId="31" fillId="2" borderId="0" xfId="38" applyNumberFormat="1" applyFont="1" applyFill="1"/>
    <xf numFmtId="164" fontId="31" fillId="2" borderId="0" xfId="38" applyNumberFormat="1" applyFont="1" applyFill="1"/>
    <xf numFmtId="180" fontId="31" fillId="2" borderId="0" xfId="38" applyNumberFormat="1" applyFont="1" applyFill="1"/>
    <xf numFmtId="181" fontId="31" fillId="2" borderId="0" xfId="38" applyNumberFormat="1" applyFont="1" applyFill="1"/>
    <xf numFmtId="182" fontId="31" fillId="2" borderId="0" xfId="38" applyNumberFormat="1" applyFont="1" applyFill="1"/>
    <xf numFmtId="183" fontId="31" fillId="2" borderId="0" xfId="38" applyNumberFormat="1" applyFont="1" applyFill="1"/>
    <xf numFmtId="10" fontId="31" fillId="2" borderId="0" xfId="39" applyNumberFormat="1" applyFont="1" applyFill="1"/>
    <xf numFmtId="173" fontId="31" fillId="2" borderId="0" xfId="38" applyNumberFormat="1" applyFont="1" applyFill="1"/>
    <xf numFmtId="184" fontId="31" fillId="2" borderId="0" xfId="40" applyNumberFormat="1" applyFont="1" applyFill="1"/>
    <xf numFmtId="185" fontId="31" fillId="2" borderId="0" xfId="38" applyNumberFormat="1" applyFont="1" applyFill="1"/>
    <xf numFmtId="0" fontId="72" fillId="2" borderId="0" xfId="38" applyFont="1" applyFill="1"/>
    <xf numFmtId="0" fontId="51" fillId="2" borderId="0" xfId="38" applyFont="1" applyFill="1"/>
    <xf numFmtId="0" fontId="41" fillId="12" borderId="10" xfId="38" applyFont="1" applyFill="1" applyBorder="1" applyAlignment="1">
      <alignment vertical="center"/>
    </xf>
    <xf numFmtId="0" fontId="31" fillId="2" borderId="0" xfId="38" applyFont="1" applyFill="1" applyAlignment="1">
      <alignment horizontal="left"/>
    </xf>
    <xf numFmtId="0" fontId="31" fillId="2" borderId="6" xfId="38" applyFont="1" applyFill="1" applyBorder="1" applyAlignment="1">
      <alignment horizontal="left"/>
    </xf>
    <xf numFmtId="0" fontId="31" fillId="2" borderId="0" xfId="37" applyFont="1" applyFill="1" applyAlignment="1">
      <alignment horizontal="right"/>
    </xf>
    <xf numFmtId="0" fontId="31" fillId="2" borderId="0" xfId="37" applyFont="1" applyFill="1" applyAlignment="1">
      <alignment horizontal="left"/>
    </xf>
    <xf numFmtId="0" fontId="41" fillId="14" borderId="10" xfId="37" applyFont="1" applyFill="1" applyBorder="1" applyAlignment="1">
      <alignment horizontal="left" vertical="center"/>
    </xf>
    <xf numFmtId="0" fontId="41" fillId="14" borderId="10" xfId="37" applyFont="1" applyFill="1" applyBorder="1" applyAlignment="1">
      <alignment horizontal="right" vertical="center"/>
    </xf>
    <xf numFmtId="0" fontId="31" fillId="2" borderId="0" xfId="38" applyFont="1" applyFill="1" applyAlignment="1">
      <alignment vertical="center"/>
    </xf>
    <xf numFmtId="0" fontId="31" fillId="3" borderId="0" xfId="38" applyFont="1" applyFill="1"/>
    <xf numFmtId="0" fontId="47" fillId="0" borderId="19" xfId="1" applyFont="1" applyBorder="1" applyAlignment="1">
      <alignment horizontal="right"/>
    </xf>
    <xf numFmtId="1" fontId="31" fillId="2" borderId="19" xfId="31" applyNumberFormat="1" applyFont="1" applyFill="1" applyBorder="1"/>
    <xf numFmtId="2" fontId="37" fillId="0" borderId="6" xfId="32" applyNumberFormat="1" applyFont="1" applyBorder="1" applyAlignment="1">
      <alignment horizontal="right" vertical="top"/>
    </xf>
    <xf numFmtId="2" fontId="55" fillId="0" borderId="0" xfId="15" applyNumberFormat="1" applyFont="1" applyAlignment="1">
      <alignment vertical="center"/>
    </xf>
    <xf numFmtId="2" fontId="42" fillId="0" borderId="0" xfId="15" applyNumberFormat="1" applyFont="1"/>
    <xf numFmtId="2" fontId="31" fillId="2" borderId="0" xfId="9" applyNumberFormat="1" applyFont="1" applyFill="1" applyAlignment="1">
      <alignment vertical="center" wrapText="1"/>
    </xf>
    <xf numFmtId="2" fontId="41" fillId="7" borderId="10" xfId="17" applyNumberFormat="1" applyFont="1" applyFill="1" applyBorder="1" applyAlignment="1">
      <alignment horizontal="right" vertical="center"/>
    </xf>
    <xf numFmtId="0" fontId="70" fillId="0" borderId="0" xfId="32" applyFont="1" applyAlignment="1">
      <alignment vertical="center"/>
    </xf>
    <xf numFmtId="2" fontId="37" fillId="0" borderId="6" xfId="32" applyNumberFormat="1" applyFont="1" applyBorder="1" applyAlignment="1">
      <alignment horizontal="right"/>
    </xf>
    <xf numFmtId="0" fontId="67" fillId="0" borderId="11" xfId="32" applyBorder="1" applyAlignment="1">
      <alignment horizontal="left" vertical="top"/>
    </xf>
    <xf numFmtId="2" fontId="67" fillId="0" borderId="11" xfId="32" applyNumberFormat="1" applyBorder="1" applyAlignment="1">
      <alignment horizontal="left" vertical="top"/>
    </xf>
    <xf numFmtId="0" fontId="33" fillId="0" borderId="0" xfId="41" applyFont="1"/>
    <xf numFmtId="0" fontId="51" fillId="0" borderId="0" xfId="41" applyFont="1"/>
    <xf numFmtId="0" fontId="41" fillId="12" borderId="10" xfId="41" applyFont="1" applyFill="1" applyBorder="1" applyAlignment="1">
      <alignment horizontal="left" vertical="center"/>
    </xf>
    <xf numFmtId="0" fontId="41" fillId="12" borderId="10" xfId="41" applyFont="1" applyFill="1" applyBorder="1" applyAlignment="1">
      <alignment horizontal="right" vertical="center"/>
    </xf>
    <xf numFmtId="0" fontId="77" fillId="12" borderId="10" xfId="41" applyFont="1" applyFill="1" applyBorder="1" applyAlignment="1">
      <alignment horizontal="left" vertical="center"/>
    </xf>
    <xf numFmtId="0" fontId="33" fillId="0" borderId="0" xfId="41" applyFont="1" applyAlignment="1">
      <alignment horizontal="right" vertical="center"/>
    </xf>
    <xf numFmtId="0" fontId="31" fillId="0" borderId="0" xfId="41" applyFont="1" applyAlignment="1">
      <alignment horizontal="left" vertical="center"/>
    </xf>
    <xf numFmtId="2" fontId="31" fillId="0" borderId="0" xfId="41" applyNumberFormat="1" applyFont="1" applyAlignment="1">
      <alignment vertical="center"/>
    </xf>
    <xf numFmtId="0" fontId="31" fillId="0" borderId="0" xfId="41" applyFont="1"/>
    <xf numFmtId="2" fontId="33" fillId="0" borderId="0" xfId="41" applyNumberFormat="1" applyFont="1" applyAlignment="1">
      <alignment horizontal="left" vertical="top" wrapText="1"/>
    </xf>
    <xf numFmtId="0" fontId="46" fillId="0" borderId="0" xfId="61" applyFont="1"/>
    <xf numFmtId="2" fontId="33" fillId="0" borderId="0" xfId="41" applyNumberFormat="1" applyFont="1" applyAlignment="1">
      <alignment vertical="top" wrapText="1"/>
    </xf>
    <xf numFmtId="0" fontId="31" fillId="0" borderId="0" xfId="41" applyFont="1" applyAlignment="1">
      <alignment vertical="center"/>
    </xf>
    <xf numFmtId="2" fontId="33" fillId="0" borderId="0" xfId="41" applyNumberFormat="1" applyFont="1"/>
    <xf numFmtId="0" fontId="33" fillId="0" borderId="0" xfId="41" applyFont="1" applyAlignment="1">
      <alignment vertical="top" wrapText="1"/>
    </xf>
    <xf numFmtId="0" fontId="31" fillId="2" borderId="0" xfId="42" applyFont="1" applyFill="1" applyAlignment="1">
      <alignment vertical="center"/>
    </xf>
    <xf numFmtId="0" fontId="51" fillId="2" borderId="0" xfId="42" applyFont="1" applyFill="1" applyAlignment="1">
      <alignment vertical="center"/>
    </xf>
    <xf numFmtId="0" fontId="31" fillId="2" borderId="0" xfId="42" applyFont="1" applyFill="1"/>
    <xf numFmtId="0" fontId="51" fillId="2" borderId="0" xfId="42" applyFont="1" applyFill="1"/>
    <xf numFmtId="0" fontId="33" fillId="2" borderId="0" xfId="43" applyFont="1" applyFill="1"/>
    <xf numFmtId="0" fontId="41" fillId="7" borderId="10" xfId="43" applyFont="1" applyFill="1" applyBorder="1" applyAlignment="1">
      <alignment vertical="center"/>
    </xf>
    <xf numFmtId="0" fontId="41" fillId="7" borderId="10" xfId="43" applyFont="1" applyFill="1" applyBorder="1" applyAlignment="1">
      <alignment horizontal="right" vertical="center"/>
    </xf>
    <xf numFmtId="0" fontId="51" fillId="2" borderId="0" xfId="43" applyFont="1" applyFill="1" applyAlignment="1">
      <alignment horizontal="left" vertical="center"/>
    </xf>
    <xf numFmtId="0" fontId="31" fillId="2" borderId="0" xfId="43" applyFont="1" applyFill="1"/>
    <xf numFmtId="3" fontId="31" fillId="2" borderId="0" xfId="43" applyNumberFormat="1" applyFont="1" applyFill="1" applyAlignment="1">
      <alignment horizontal="right"/>
    </xf>
    <xf numFmtId="0" fontId="31" fillId="2" borderId="0" xfId="43" applyFont="1" applyFill="1" applyAlignment="1">
      <alignment horizontal="right"/>
    </xf>
    <xf numFmtId="0" fontId="31" fillId="2" borderId="6" xfId="43" applyFont="1" applyFill="1" applyBorder="1"/>
    <xf numFmtId="3" fontId="31" fillId="2" borderId="6" xfId="43" applyNumberFormat="1" applyFont="1" applyFill="1" applyBorder="1" applyAlignment="1">
      <alignment horizontal="right"/>
    </xf>
    <xf numFmtId="0" fontId="31" fillId="2" borderId="6" xfId="43" applyFont="1" applyFill="1" applyBorder="1" applyAlignment="1">
      <alignment horizontal="right"/>
    </xf>
    <xf numFmtId="3" fontId="33" fillId="2" borderId="0" xfId="43" applyNumberFormat="1" applyFont="1" applyFill="1"/>
    <xf numFmtId="1" fontId="31" fillId="2" borderId="0" xfId="43" applyNumberFormat="1" applyFont="1" applyFill="1" applyAlignment="1">
      <alignment horizontal="right"/>
    </xf>
    <xf numFmtId="3" fontId="31" fillId="2" borderId="6" xfId="43" applyNumberFormat="1" applyFont="1" applyFill="1" applyBorder="1"/>
    <xf numFmtId="1" fontId="31" fillId="2" borderId="5" xfId="43" applyNumberFormat="1" applyFont="1" applyFill="1" applyBorder="1" applyAlignment="1">
      <alignment horizontal="right"/>
    </xf>
    <xf numFmtId="1" fontId="33" fillId="2" borderId="0" xfId="43" applyNumberFormat="1" applyFont="1" applyFill="1"/>
    <xf numFmtId="0" fontId="41" fillId="2" borderId="0" xfId="43" applyFont="1" applyFill="1"/>
    <xf numFmtId="3" fontId="31" fillId="2" borderId="0" xfId="44" applyNumberFormat="1" applyFont="1" applyFill="1" applyBorder="1" applyAlignment="1">
      <alignment horizontal="right"/>
    </xf>
    <xf numFmtId="171" fontId="31" fillId="2" borderId="0" xfId="44" applyNumberFormat="1" applyFont="1" applyFill="1" applyBorder="1"/>
    <xf numFmtId="0" fontId="33" fillId="2" borderId="0" xfId="43" applyFont="1" applyFill="1" applyAlignment="1">
      <alignment vertical="top" wrapText="1"/>
    </xf>
    <xf numFmtId="0" fontId="31" fillId="3" borderId="0" xfId="42" applyFont="1" applyFill="1"/>
    <xf numFmtId="173" fontId="31" fillId="3" borderId="0" xfId="42" applyNumberFormat="1" applyFont="1" applyFill="1"/>
    <xf numFmtId="0" fontId="51" fillId="3" borderId="0" xfId="42" applyFont="1" applyFill="1" applyAlignment="1">
      <alignment vertical="center"/>
    </xf>
    <xf numFmtId="0" fontId="31" fillId="3" borderId="0" xfId="42" applyFont="1" applyFill="1" applyAlignment="1">
      <alignment vertical="center"/>
    </xf>
    <xf numFmtId="0" fontId="41" fillId="7" borderId="11" xfId="42" applyFont="1" applyFill="1" applyBorder="1" applyAlignment="1">
      <alignment horizontal="left" vertical="center"/>
    </xf>
    <xf numFmtId="173" fontId="41" fillId="7" borderId="11" xfId="42" applyNumberFormat="1" applyFont="1" applyFill="1" applyBorder="1" applyAlignment="1">
      <alignment horizontal="left" vertical="center"/>
    </xf>
    <xf numFmtId="0" fontId="41" fillId="7" borderId="11" xfId="42" applyFont="1" applyFill="1" applyBorder="1" applyAlignment="1">
      <alignment horizontal="right" vertical="center"/>
    </xf>
    <xf numFmtId="0" fontId="31" fillId="2" borderId="0" xfId="45" applyFont="1" applyFill="1"/>
    <xf numFmtId="0" fontId="41" fillId="12" borderId="10" xfId="45" applyFont="1" applyFill="1" applyBorder="1" applyAlignment="1">
      <alignment horizontal="left" vertical="center"/>
    </xf>
    <xf numFmtId="0" fontId="41" fillId="12" borderId="10" xfId="45" applyFont="1" applyFill="1" applyBorder="1" applyAlignment="1">
      <alignment horizontal="right" vertical="center"/>
    </xf>
    <xf numFmtId="2" fontId="31" fillId="2" borderId="0" xfId="45" applyNumberFormat="1" applyFont="1" applyFill="1"/>
    <xf numFmtId="0" fontId="31" fillId="3" borderId="0" xfId="45" applyFont="1" applyFill="1"/>
    <xf numFmtId="0" fontId="31" fillId="2" borderId="6" xfId="45" applyFont="1" applyFill="1" applyBorder="1"/>
    <xf numFmtId="2" fontId="31" fillId="2" borderId="6" xfId="45" applyNumberFormat="1" applyFont="1" applyFill="1" applyBorder="1"/>
    <xf numFmtId="0" fontId="31" fillId="2" borderId="0" xfId="43" applyFont="1" applyFill="1" applyAlignment="1">
      <alignment horizontal="left" vertical="top" wrapText="1"/>
    </xf>
    <xf numFmtId="0" fontId="31" fillId="2" borderId="0" xfId="46" applyFont="1" applyFill="1"/>
    <xf numFmtId="0" fontId="41" fillId="12" borderId="10" xfId="46" applyFont="1" applyFill="1" applyBorder="1" applyAlignment="1">
      <alignment horizontal="left" vertical="center"/>
    </xf>
    <xf numFmtId="0" fontId="41" fillId="12" borderId="10" xfId="46" applyFont="1" applyFill="1" applyBorder="1" applyAlignment="1">
      <alignment horizontal="right" vertical="center"/>
    </xf>
    <xf numFmtId="2" fontId="31" fillId="2" borderId="0" xfId="46" applyNumberFormat="1" applyFont="1" applyFill="1"/>
    <xf numFmtId="0" fontId="31" fillId="2" borderId="6" xfId="46" applyFont="1" applyFill="1" applyBorder="1"/>
    <xf numFmtId="0" fontId="31" fillId="2" borderId="0" xfId="46" applyFont="1" applyFill="1" applyAlignment="1">
      <alignment vertical="top" wrapText="1"/>
    </xf>
    <xf numFmtId="2" fontId="31" fillId="2" borderId="0" xfId="47" applyNumberFormat="1" applyFont="1" applyFill="1"/>
    <xf numFmtId="2" fontId="31" fillId="2" borderId="6" xfId="47" applyNumberFormat="1" applyFont="1" applyFill="1" applyBorder="1"/>
    <xf numFmtId="0" fontId="37" fillId="0" borderId="5" xfId="32" applyFont="1" applyBorder="1" applyAlignment="1">
      <alignment horizontal="left" vertical="top" wrapText="1"/>
    </xf>
    <xf numFmtId="2" fontId="70" fillId="0" borderId="0" xfId="32" applyNumberFormat="1" applyFont="1" applyAlignment="1">
      <alignment horizontal="right" vertical="center"/>
    </xf>
    <xf numFmtId="2" fontId="37" fillId="0" borderId="5" xfId="32" applyNumberFormat="1" applyFont="1" applyBorder="1" applyAlignment="1">
      <alignment horizontal="right" vertical="top" wrapText="1"/>
    </xf>
    <xf numFmtId="2" fontId="37" fillId="0" borderId="0" xfId="32" applyNumberFormat="1" applyFont="1" applyAlignment="1">
      <alignment horizontal="right" vertical="center"/>
    </xf>
    <xf numFmtId="0" fontId="43" fillId="2" borderId="12" xfId="37" applyFont="1" applyFill="1" applyBorder="1" applyAlignment="1">
      <alignment vertical="center" wrapText="1"/>
    </xf>
    <xf numFmtId="0" fontId="31" fillId="2" borderId="12" xfId="38" applyFont="1" applyFill="1" applyBorder="1" applyAlignment="1">
      <alignment horizontal="left"/>
    </xf>
    <xf numFmtId="0" fontId="31" fillId="2" borderId="12" xfId="37" applyFont="1" applyFill="1" applyBorder="1"/>
    <xf numFmtId="0" fontId="37" fillId="0" borderId="6" xfId="32" applyFont="1" applyBorder="1" applyAlignment="1">
      <alignment horizontal="left" vertical="top"/>
    </xf>
    <xf numFmtId="2" fontId="41" fillId="2" borderId="27" xfId="2" applyNumberFormat="1" applyFont="1" applyFill="1" applyBorder="1"/>
    <xf numFmtId="164" fontId="31" fillId="2" borderId="5" xfId="40" applyFont="1" applyFill="1" applyBorder="1" applyAlignment="1">
      <alignment horizontal="right"/>
    </xf>
    <xf numFmtId="0" fontId="31" fillId="3" borderId="5" xfId="38" applyFont="1" applyFill="1" applyBorder="1"/>
    <xf numFmtId="0" fontId="31" fillId="2" borderId="5" xfId="38" applyFont="1" applyFill="1" applyBorder="1"/>
    <xf numFmtId="43" fontId="31" fillId="2" borderId="5" xfId="38" applyNumberFormat="1" applyFont="1" applyFill="1" applyBorder="1" applyAlignment="1">
      <alignment horizontal="right"/>
    </xf>
    <xf numFmtId="2" fontId="31" fillId="2" borderId="5" xfId="38" applyNumberFormat="1" applyFont="1" applyFill="1" applyBorder="1" applyAlignment="1">
      <alignment horizontal="right"/>
    </xf>
    <xf numFmtId="0" fontId="31" fillId="2" borderId="5" xfId="38" applyFont="1" applyFill="1" applyBorder="1" applyAlignment="1">
      <alignment horizontal="right"/>
    </xf>
    <xf numFmtId="164" fontId="31" fillId="2" borderId="5" xfId="11" applyFont="1" applyFill="1" applyBorder="1" applyAlignment="1">
      <alignment horizontal="right"/>
    </xf>
    <xf numFmtId="1" fontId="31" fillId="0" borderId="41" xfId="0" applyNumberFormat="1" applyFont="1" applyBorder="1"/>
    <xf numFmtId="0" fontId="31" fillId="3" borderId="6" xfId="45" applyFont="1" applyFill="1" applyBorder="1"/>
    <xf numFmtId="0" fontId="37" fillId="0" borderId="0" xfId="32" applyFont="1" applyAlignment="1">
      <alignment vertical="top" wrapText="1"/>
    </xf>
    <xf numFmtId="0" fontId="67" fillId="0" borderId="0" xfId="32" applyAlignment="1">
      <alignment horizontal="left" vertical="top" wrapText="1"/>
    </xf>
    <xf numFmtId="0" fontId="31" fillId="2" borderId="0" xfId="48" applyFont="1" applyFill="1"/>
    <xf numFmtId="2" fontId="31" fillId="2" borderId="0" xfId="48" applyNumberFormat="1" applyFont="1" applyFill="1"/>
    <xf numFmtId="0" fontId="55" fillId="0" borderId="0" xfId="48" applyFont="1"/>
    <xf numFmtId="0" fontId="57" fillId="2" borderId="0" xfId="48" applyFont="1" applyFill="1"/>
    <xf numFmtId="2" fontId="57" fillId="2" borderId="0" xfId="48" applyNumberFormat="1" applyFont="1" applyFill="1"/>
    <xf numFmtId="0" fontId="42" fillId="0" borderId="0" xfId="48" applyFont="1"/>
    <xf numFmtId="0" fontId="51" fillId="2" borderId="0" xfId="48" applyFont="1" applyFill="1"/>
    <xf numFmtId="173" fontId="57" fillId="2" borderId="0" xfId="48" applyNumberFormat="1" applyFont="1" applyFill="1"/>
    <xf numFmtId="0" fontId="31" fillId="0" borderId="0" xfId="48" applyFont="1"/>
    <xf numFmtId="2" fontId="47" fillId="2" borderId="0" xfId="49" applyNumberFormat="1" applyFont="1" applyFill="1" applyAlignment="1">
      <alignment horizontal="center" wrapText="1"/>
    </xf>
    <xf numFmtId="2" fontId="41" fillId="2" borderId="10" xfId="0" applyNumberFormat="1" applyFont="1" applyFill="1" applyBorder="1" applyAlignment="1">
      <alignment horizontal="center"/>
    </xf>
    <xf numFmtId="166" fontId="31" fillId="2" borderId="10" xfId="0" applyNumberFormat="1" applyFont="1" applyFill="1" applyBorder="1"/>
    <xf numFmtId="0" fontId="27" fillId="0" borderId="10" xfId="61" applyBorder="1"/>
    <xf numFmtId="0" fontId="27" fillId="4" borderId="10" xfId="61" applyFill="1" applyBorder="1"/>
    <xf numFmtId="2" fontId="27" fillId="0" borderId="10" xfId="61" applyNumberFormat="1" applyBorder="1"/>
    <xf numFmtId="0" fontId="27" fillId="0" borderId="10" xfId="61" applyBorder="1" applyAlignment="1">
      <alignment wrapText="1"/>
    </xf>
    <xf numFmtId="0" fontId="31" fillId="0" borderId="6" xfId="2" applyFont="1" applyBorder="1"/>
    <xf numFmtId="2" fontId="84" fillId="0" borderId="0" xfId="0" quotePrefix="1" applyNumberFormat="1" applyFont="1"/>
    <xf numFmtId="0" fontId="51" fillId="0" borderId="0" xfId="50" applyFont="1"/>
    <xf numFmtId="0" fontId="33" fillId="0" borderId="0" xfId="50" applyFont="1"/>
    <xf numFmtId="174" fontId="0" fillId="0" borderId="0" xfId="51" applyNumberFormat="1" applyFont="1"/>
    <xf numFmtId="0" fontId="51" fillId="0" borderId="0" xfId="52" applyFont="1"/>
    <xf numFmtId="0" fontId="31" fillId="0" borderId="0" xfId="52" applyFont="1"/>
    <xf numFmtId="0" fontId="41" fillId="7" borderId="12" xfId="52" applyFont="1" applyFill="1" applyBorder="1"/>
    <xf numFmtId="0" fontId="31" fillId="7" borderId="12" xfId="52" applyFont="1" applyFill="1" applyBorder="1"/>
    <xf numFmtId="0" fontId="41" fillId="7" borderId="6" xfId="52" applyFont="1" applyFill="1" applyBorder="1"/>
    <xf numFmtId="0" fontId="31" fillId="7" borderId="6" xfId="52" applyFont="1" applyFill="1" applyBorder="1"/>
    <xf numFmtId="0" fontId="41" fillId="7" borderId="10" xfId="52" applyFont="1" applyFill="1" applyBorder="1" applyAlignment="1">
      <alignment vertical="center"/>
    </xf>
    <xf numFmtId="0" fontId="41" fillId="7" borderId="10" xfId="52" applyFont="1" applyFill="1" applyBorder="1" applyAlignment="1">
      <alignment horizontal="right" vertical="center"/>
    </xf>
    <xf numFmtId="0" fontId="41" fillId="2" borderId="0" xfId="52" applyFont="1" applyFill="1" applyAlignment="1">
      <alignment horizontal="right" vertical="center"/>
    </xf>
    <xf numFmtId="0" fontId="41" fillId="7" borderId="10" xfId="52" applyFont="1" applyFill="1" applyBorder="1" applyAlignment="1">
      <alignment horizontal="left" vertical="center"/>
    </xf>
    <xf numFmtId="4" fontId="31" fillId="0" borderId="0" xfId="52" applyNumberFormat="1" applyFont="1"/>
    <xf numFmtId="3" fontId="31" fillId="0" borderId="0" xfId="52" applyNumberFormat="1" applyFont="1" applyAlignment="1">
      <alignment horizontal="right"/>
    </xf>
    <xf numFmtId="0" fontId="31" fillId="0" borderId="0" xfId="52" applyFont="1" applyAlignment="1">
      <alignment horizontal="right"/>
    </xf>
    <xf numFmtId="0" fontId="31" fillId="2" borderId="0" xfId="52" applyFont="1" applyFill="1"/>
    <xf numFmtId="3" fontId="31" fillId="6" borderId="0" xfId="52" applyNumberFormat="1" applyFont="1" applyFill="1"/>
    <xf numFmtId="3" fontId="31" fillId="2" borderId="0" xfId="52" applyNumberFormat="1" applyFont="1" applyFill="1"/>
    <xf numFmtId="0" fontId="31" fillId="2" borderId="0" xfId="52" quotePrefix="1" applyFont="1" applyFill="1"/>
    <xf numFmtId="0" fontId="41" fillId="0" borderId="10" xfId="52" applyFont="1" applyBorder="1"/>
    <xf numFmtId="0" fontId="31" fillId="0" borderId="10" xfId="52" applyFont="1" applyBorder="1"/>
    <xf numFmtId="172" fontId="31" fillId="3" borderId="0" xfId="2" applyNumberFormat="1" applyFont="1" applyFill="1"/>
    <xf numFmtId="172" fontId="33" fillId="2" borderId="0" xfId="9" applyNumberFormat="1" applyFont="1" applyFill="1"/>
    <xf numFmtId="172" fontId="47" fillId="2" borderId="0" xfId="1" applyNumberFormat="1" applyFont="1" applyFill="1"/>
    <xf numFmtId="172" fontId="41" fillId="0" borderId="0" xfId="0" applyNumberFormat="1" applyFont="1"/>
    <xf numFmtId="172" fontId="37" fillId="0" borderId="0" xfId="2" applyNumberFormat="1" applyFont="1" applyAlignment="1">
      <alignment horizontal="left"/>
    </xf>
    <xf numFmtId="172" fontId="41" fillId="7" borderId="11" xfId="2" applyNumberFormat="1" applyFont="1" applyFill="1" applyBorder="1" applyAlignment="1">
      <alignment horizontal="right" vertical="center"/>
    </xf>
    <xf numFmtId="172" fontId="37" fillId="0" borderId="0" xfId="2" applyNumberFormat="1" applyFont="1" applyAlignment="1">
      <alignment horizontal="right"/>
    </xf>
    <xf numFmtId="172" fontId="45" fillId="0" borderId="0" xfId="2" applyNumberFormat="1" applyFont="1" applyAlignment="1">
      <alignment horizontal="right"/>
    </xf>
    <xf numFmtId="172" fontId="31" fillId="0" borderId="0" xfId="0" applyNumberFormat="1" applyFont="1" applyAlignment="1">
      <alignment horizontal="right"/>
    </xf>
    <xf numFmtId="1" fontId="31" fillId="2" borderId="5" xfId="31" applyNumberFormat="1" applyFont="1" applyFill="1" applyBorder="1" applyAlignment="1">
      <alignment horizontal="right"/>
    </xf>
    <xf numFmtId="3" fontId="48" fillId="0" borderId="0" xfId="11" applyNumberFormat="1" applyFont="1" applyAlignment="1">
      <alignment horizontal="right"/>
    </xf>
    <xf numFmtId="3" fontId="31" fillId="0" borderId="0" xfId="11" applyNumberFormat="1" applyFont="1" applyAlignment="1">
      <alignment horizontal="right"/>
    </xf>
    <xf numFmtId="2" fontId="31" fillId="2" borderId="0" xfId="47" applyNumberFormat="1" applyFont="1" applyFill="1" applyBorder="1"/>
    <xf numFmtId="1" fontId="47" fillId="2" borderId="0" xfId="1" applyNumberFormat="1" applyFont="1" applyFill="1" applyAlignment="1">
      <alignment vertical="center" wrapText="1"/>
    </xf>
    <xf numFmtId="0" fontId="47" fillId="0" borderId="6" xfId="1" applyFont="1" applyBorder="1" applyAlignment="1">
      <alignment horizontal="right"/>
    </xf>
    <xf numFmtId="1" fontId="31" fillId="2" borderId="6" xfId="31" applyNumberFormat="1" applyFont="1" applyFill="1" applyBorder="1"/>
    <xf numFmtId="0" fontId="41" fillId="7" borderId="0" xfId="31" applyFont="1" applyFill="1" applyAlignment="1">
      <alignment horizontal="left" vertical="center"/>
    </xf>
    <xf numFmtId="0" fontId="41" fillId="7" borderId="0" xfId="31" applyFont="1" applyFill="1" applyAlignment="1">
      <alignment horizontal="right" vertical="center"/>
    </xf>
    <xf numFmtId="0" fontId="41" fillId="7" borderId="6" xfId="31" applyFont="1" applyFill="1" applyBorder="1" applyAlignment="1">
      <alignment horizontal="left" vertical="center"/>
    </xf>
    <xf numFmtId="0" fontId="42" fillId="12" borderId="12" xfId="1" applyFont="1" applyFill="1" applyBorder="1" applyAlignment="1">
      <alignment vertical="center"/>
    </xf>
    <xf numFmtId="176" fontId="47" fillId="12" borderId="0" xfId="1" applyNumberFormat="1" applyFont="1" applyFill="1" applyAlignment="1">
      <alignment horizontal="left" vertical="center"/>
    </xf>
    <xf numFmtId="0" fontId="31" fillId="12" borderId="0" xfId="31" applyFont="1" applyFill="1"/>
    <xf numFmtId="0" fontId="47" fillId="12" borderId="6" xfId="1" applyFont="1" applyFill="1" applyBorder="1" applyAlignment="1">
      <alignment horizontal="left" vertical="center"/>
    </xf>
    <xf numFmtId="0" fontId="42" fillId="12" borderId="6" xfId="1" applyFont="1" applyFill="1" applyBorder="1" applyAlignment="1">
      <alignment vertical="center"/>
    </xf>
    <xf numFmtId="0" fontId="31" fillId="7" borderId="6" xfId="31" applyFont="1" applyFill="1" applyBorder="1" applyAlignment="1">
      <alignment vertical="center"/>
    </xf>
    <xf numFmtId="176" fontId="47" fillId="7" borderId="0" xfId="1" applyNumberFormat="1" applyFont="1" applyFill="1" applyAlignment="1">
      <alignment horizontal="left" vertical="center"/>
    </xf>
    <xf numFmtId="2" fontId="42" fillId="2" borderId="18" xfId="1" applyNumberFormat="1" applyFont="1" applyFill="1" applyBorder="1"/>
    <xf numFmtId="1" fontId="31" fillId="2" borderId="0" xfId="38" applyNumberFormat="1" applyFont="1" applyFill="1"/>
    <xf numFmtId="186" fontId="31" fillId="17" borderId="0" xfId="50" applyNumberFormat="1" applyFont="1" applyFill="1"/>
    <xf numFmtId="0" fontId="31" fillId="0" borderId="0" xfId="50" applyFont="1"/>
    <xf numFmtId="0" fontId="0" fillId="0" borderId="0" xfId="50" applyFont="1"/>
    <xf numFmtId="186" fontId="31" fillId="2" borderId="0" xfId="50" applyNumberFormat="1" applyFont="1" applyFill="1"/>
    <xf numFmtId="0" fontId="86" fillId="0" borderId="0" xfId="50" applyFont="1"/>
    <xf numFmtId="186" fontId="0" fillId="0" borderId="0" xfId="50" applyNumberFormat="1" applyFont="1"/>
    <xf numFmtId="0" fontId="76" fillId="0" borderId="5" xfId="61" applyFont="1" applyBorder="1" applyAlignment="1">
      <alignment horizontal="left" vertical="top"/>
    </xf>
    <xf numFmtId="186" fontId="31" fillId="0" borderId="0" xfId="50" applyNumberFormat="1" applyFont="1"/>
    <xf numFmtId="174" fontId="31" fillId="0" borderId="0" xfId="51" applyNumberFormat="1" applyFont="1"/>
    <xf numFmtId="14" fontId="87" fillId="0" borderId="0" xfId="50" applyNumberFormat="1" applyFont="1"/>
    <xf numFmtId="0" fontId="42" fillId="16" borderId="10" xfId="50" applyFont="1" applyFill="1" applyBorder="1" applyAlignment="1">
      <alignment vertical="center"/>
    </xf>
    <xf numFmtId="0" fontId="42" fillId="16" borderId="10" xfId="50" applyFont="1" applyFill="1" applyBorder="1" applyAlignment="1">
      <alignment horizontal="right" vertical="center"/>
    </xf>
    <xf numFmtId="186" fontId="42" fillId="16" borderId="10" xfId="50" applyNumberFormat="1" applyFont="1" applyFill="1" applyBorder="1" applyAlignment="1">
      <alignment horizontal="right" vertical="center"/>
    </xf>
    <xf numFmtId="174" fontId="42" fillId="16" borderId="10" xfId="51" applyNumberFormat="1" applyFont="1" applyFill="1" applyBorder="1" applyAlignment="1">
      <alignment horizontal="right" vertical="center"/>
    </xf>
    <xf numFmtId="0" fontId="42" fillId="7" borderId="10" xfId="50" applyFont="1" applyFill="1" applyBorder="1" applyAlignment="1">
      <alignment horizontal="right" vertical="center"/>
    </xf>
    <xf numFmtId="0" fontId="88" fillId="0" borderId="0" xfId="52" applyFont="1"/>
    <xf numFmtId="37" fontId="86" fillId="0" borderId="0" xfId="50" applyNumberFormat="1" applyFont="1"/>
    <xf numFmtId="0" fontId="31" fillId="2" borderId="0" xfId="46" applyFont="1" applyFill="1" applyAlignment="1">
      <alignment horizontal="left" vertical="center"/>
    </xf>
    <xf numFmtId="0" fontId="31" fillId="2" borderId="0" xfId="46" applyFont="1" applyFill="1" applyAlignment="1">
      <alignment horizontal="left" vertical="center" wrapText="1"/>
    </xf>
    <xf numFmtId="2" fontId="31" fillId="2" borderId="0" xfId="46" applyNumberFormat="1" applyFont="1" applyFill="1" applyAlignment="1">
      <alignment horizontal="left" vertical="center"/>
    </xf>
    <xf numFmtId="2" fontId="31" fillId="2" borderId="0" xfId="46" applyNumberFormat="1" applyFont="1" applyFill="1" applyAlignment="1">
      <alignment horizontal="right" vertical="center"/>
    </xf>
    <xf numFmtId="2" fontId="31" fillId="2" borderId="6" xfId="46" applyNumberFormat="1" applyFont="1" applyFill="1" applyBorder="1" applyAlignment="1">
      <alignment horizontal="right" vertical="center"/>
    </xf>
    <xf numFmtId="4" fontId="58" fillId="2" borderId="0" xfId="61" applyNumberFormat="1" applyFont="1" applyFill="1" applyBorder="1" applyAlignment="1">
      <alignment horizontal="left" vertical="top"/>
    </xf>
    <xf numFmtId="0" fontId="58" fillId="2" borderId="0" xfId="61" applyFont="1" applyFill="1" applyBorder="1" applyAlignment="1">
      <alignment horizontal="left" vertical="top"/>
    </xf>
    <xf numFmtId="4" fontId="58" fillId="2" borderId="0" xfId="61" applyNumberFormat="1" applyFont="1" applyFill="1" applyBorder="1" applyAlignment="1">
      <alignment horizontal="left" vertical="top" wrapText="1"/>
    </xf>
    <xf numFmtId="4" fontId="59" fillId="2" borderId="0" xfId="7" applyNumberFormat="1" applyFont="1" applyFill="1" applyBorder="1" applyAlignment="1">
      <alignment horizontal="left" vertical="top"/>
    </xf>
    <xf numFmtId="0" fontId="58" fillId="2" borderId="0" xfId="7" applyFont="1" applyFill="1" applyBorder="1" applyAlignment="1">
      <alignment horizontal="left" vertical="top"/>
    </xf>
    <xf numFmtId="0" fontId="58" fillId="2" borderId="0" xfId="61" applyFont="1" applyFill="1" applyBorder="1"/>
    <xf numFmtId="0" fontId="58" fillId="2" borderId="0" xfId="61" applyFont="1" applyFill="1" applyBorder="1" applyAlignment="1"/>
    <xf numFmtId="175" fontId="37" fillId="2" borderId="0" xfId="11" applyNumberFormat="1" applyFont="1" applyFill="1" applyBorder="1" applyAlignment="1">
      <alignment horizontal="right" vertical="top"/>
    </xf>
    <xf numFmtId="0" fontId="46" fillId="2" borderId="0" xfId="61" applyFont="1" applyFill="1" applyBorder="1" applyAlignment="1"/>
    <xf numFmtId="0" fontId="76" fillId="2" borderId="0" xfId="61" applyFont="1" applyFill="1" applyBorder="1" applyAlignment="1"/>
    <xf numFmtId="4" fontId="76" fillId="2" borderId="0" xfId="61" applyNumberFormat="1" applyFont="1" applyFill="1" applyBorder="1" applyAlignment="1">
      <alignment horizontal="left" vertical="top"/>
    </xf>
    <xf numFmtId="4" fontId="27" fillId="2" borderId="0" xfId="61" applyNumberFormat="1" applyFill="1" applyBorder="1" applyAlignment="1">
      <alignment horizontal="left" vertical="top"/>
    </xf>
    <xf numFmtId="0" fontId="76" fillId="2" borderId="0" xfId="61" applyFont="1" applyFill="1" applyBorder="1" applyAlignment="1">
      <alignment horizontal="left" vertical="top"/>
    </xf>
    <xf numFmtId="170" fontId="37" fillId="2" borderId="0" xfId="0" applyNumberFormat="1" applyFont="1" applyFill="1" applyAlignment="1">
      <alignment horizontal="left" vertical="center"/>
    </xf>
    <xf numFmtId="170" fontId="37" fillId="2" borderId="0" xfId="0" applyNumberFormat="1" applyFont="1" applyFill="1" applyAlignment="1">
      <alignment horizontal="left"/>
    </xf>
    <xf numFmtId="0" fontId="37" fillId="2" borderId="0" xfId="0" applyFont="1" applyFill="1" applyAlignment="1">
      <alignment horizontal="center" vertical="center"/>
    </xf>
    <xf numFmtId="0" fontId="37" fillId="2" borderId="0" xfId="0" applyFont="1" applyFill="1" applyAlignment="1">
      <alignment horizontal="left" vertical="top"/>
    </xf>
    <xf numFmtId="175" fontId="37" fillId="2" borderId="0" xfId="0" applyNumberFormat="1" applyFont="1" applyFill="1" applyAlignment="1">
      <alignment horizontal="right"/>
    </xf>
    <xf numFmtId="0" fontId="37" fillId="2" borderId="0" xfId="0" applyFont="1" applyFill="1" applyAlignment="1">
      <alignment horizontal="center"/>
    </xf>
    <xf numFmtId="0" fontId="64" fillId="2" borderId="0" xfId="0" applyFont="1" applyFill="1" applyAlignment="1">
      <alignment horizontal="right"/>
    </xf>
    <xf numFmtId="0" fontId="37" fillId="2" borderId="0" xfId="0" applyFont="1" applyFill="1" applyAlignment="1">
      <alignment horizontal="right"/>
    </xf>
    <xf numFmtId="0" fontId="51" fillId="2" borderId="0" xfId="2" applyFont="1" applyFill="1"/>
    <xf numFmtId="0" fontId="45" fillId="2" borderId="0" xfId="0" applyFont="1" applyFill="1" applyAlignment="1">
      <alignment horizontal="center"/>
    </xf>
    <xf numFmtId="4" fontId="37" fillId="2" borderId="0" xfId="0" applyNumberFormat="1" applyFont="1" applyFill="1" applyAlignment="1">
      <alignment horizontal="center" vertical="center"/>
    </xf>
    <xf numFmtId="1" fontId="37" fillId="2" borderId="0" xfId="0" applyNumberFormat="1" applyFont="1" applyFill="1"/>
    <xf numFmtId="164" fontId="37" fillId="2" borderId="0" xfId="0" applyNumberFormat="1" applyFont="1" applyFill="1" applyAlignment="1">
      <alignment horizontal="right"/>
    </xf>
    <xf numFmtId="2" fontId="37" fillId="2" borderId="0" xfId="0" applyNumberFormat="1" applyFont="1" applyFill="1" applyAlignment="1">
      <alignment horizontal="left" vertical="top"/>
    </xf>
    <xf numFmtId="0" fontId="37" fillId="2" borderId="0" xfId="0" applyFont="1" applyFill="1" applyAlignment="1">
      <alignment vertical="top"/>
    </xf>
    <xf numFmtId="4" fontId="37" fillId="2" borderId="0" xfId="0" applyNumberFormat="1" applyFont="1" applyFill="1" applyAlignment="1">
      <alignment horizontal="left" vertical="top"/>
    </xf>
    <xf numFmtId="3" fontId="37" fillId="2" borderId="0" xfId="0" applyNumberFormat="1" applyFont="1" applyFill="1" applyAlignment="1">
      <alignment horizontal="left" vertical="top"/>
    </xf>
    <xf numFmtId="0" fontId="37" fillId="2" borderId="0" xfId="0" applyFont="1" applyFill="1" applyAlignment="1">
      <alignment horizontal="left" vertical="center"/>
    </xf>
    <xf numFmtId="0" fontId="37" fillId="2" borderId="0" xfId="0" applyFont="1" applyFill="1" applyAlignment="1">
      <alignment horizontal="left"/>
    </xf>
    <xf numFmtId="0" fontId="32" fillId="2" borderId="0" xfId="0" applyFont="1" applyFill="1" applyAlignment="1">
      <alignment horizontal="left" vertical="top"/>
    </xf>
    <xf numFmtId="170" fontId="37" fillId="2" borderId="0" xfId="0" applyNumberFormat="1" applyFont="1" applyFill="1" applyAlignment="1">
      <alignment horizontal="center"/>
    </xf>
    <xf numFmtId="0" fontId="37" fillId="2" borderId="0" xfId="0" applyFont="1" applyFill="1" applyAlignment="1">
      <alignment vertical="center"/>
    </xf>
    <xf numFmtId="170" fontId="37" fillId="2" borderId="0" xfId="0" applyNumberFormat="1" applyFont="1" applyFill="1" applyAlignment="1">
      <alignment horizontal="left" wrapText="1"/>
    </xf>
    <xf numFmtId="0" fontId="32" fillId="2" borderId="0" xfId="0" applyFont="1" applyFill="1" applyAlignment="1">
      <alignment vertical="top"/>
    </xf>
    <xf numFmtId="4" fontId="58" fillId="2" borderId="0" xfId="7" applyNumberFormat="1" applyFont="1" applyFill="1" applyBorder="1" applyAlignment="1">
      <alignment horizontal="left" vertical="top"/>
    </xf>
    <xf numFmtId="0" fontId="58" fillId="2" borderId="0" xfId="61" applyFont="1" applyFill="1" applyBorder="1" applyAlignment="1">
      <alignment horizontal="left" vertical="top" wrapText="1"/>
    </xf>
    <xf numFmtId="4" fontId="46" fillId="2" borderId="0" xfId="61" applyNumberFormat="1" applyFont="1" applyFill="1" applyBorder="1" applyAlignment="1">
      <alignment horizontal="left" vertical="top"/>
    </xf>
    <xf numFmtId="0" fontId="37" fillId="2" borderId="0" xfId="61" applyFont="1" applyFill="1" applyBorder="1" applyAlignment="1">
      <alignment horizontal="left" vertical="top"/>
    </xf>
    <xf numFmtId="3" fontId="58" fillId="2" borderId="0" xfId="61" applyNumberFormat="1" applyFont="1" applyFill="1" applyBorder="1" applyAlignment="1">
      <alignment horizontal="left" vertical="top"/>
    </xf>
    <xf numFmtId="0" fontId="64" fillId="2" borderId="0" xfId="0" applyFont="1" applyFill="1" applyAlignment="1">
      <alignment horizontal="left" vertical="top"/>
    </xf>
    <xf numFmtId="0" fontId="32" fillId="2" borderId="0" xfId="0" applyFont="1" applyFill="1" applyAlignment="1">
      <alignment horizontal="left"/>
    </xf>
    <xf numFmtId="4" fontId="64" fillId="2" borderId="0" xfId="0" applyNumberFormat="1" applyFont="1" applyFill="1" applyAlignment="1">
      <alignment horizontal="left" vertical="top"/>
    </xf>
    <xf numFmtId="175" fontId="37" fillId="2" borderId="0" xfId="0" applyNumberFormat="1" applyFont="1" applyFill="1"/>
    <xf numFmtId="0" fontId="63" fillId="2" borderId="0" xfId="0" applyFont="1" applyFill="1"/>
    <xf numFmtId="170" fontId="37" fillId="2" borderId="0" xfId="0" applyNumberFormat="1" applyFont="1" applyFill="1"/>
    <xf numFmtId="0" fontId="46" fillId="2" borderId="0" xfId="61" applyFont="1" applyFill="1" applyBorder="1" applyAlignment="1">
      <alignment horizontal="left" vertical="top"/>
    </xf>
    <xf numFmtId="0" fontId="32" fillId="2" borderId="0" xfId="0" applyFont="1" applyFill="1"/>
    <xf numFmtId="4" fontId="37" fillId="2" borderId="0" xfId="61" applyNumberFormat="1" applyFont="1" applyFill="1" applyBorder="1" applyAlignment="1">
      <alignment horizontal="left" vertical="top"/>
    </xf>
    <xf numFmtId="0" fontId="46" fillId="2" borderId="0" xfId="61" applyFont="1" applyFill="1" applyBorder="1"/>
    <xf numFmtId="0" fontId="58" fillId="2" borderId="0" xfId="61" applyFont="1" applyFill="1" applyBorder="1" applyAlignment="1">
      <alignment wrapText="1"/>
    </xf>
    <xf numFmtId="0" fontId="37" fillId="2" borderId="0" xfId="0" applyFont="1" applyFill="1" applyAlignment="1">
      <alignment wrapText="1"/>
    </xf>
    <xf numFmtId="0" fontId="47" fillId="2" borderId="0" xfId="0" applyFont="1" applyFill="1" applyAlignment="1">
      <alignment horizontal="left" vertical="top"/>
    </xf>
    <xf numFmtId="0" fontId="76" fillId="2" borderId="0" xfId="61" applyFont="1" applyFill="1" applyBorder="1"/>
    <xf numFmtId="4" fontId="37" fillId="2" borderId="0" xfId="0" applyNumberFormat="1" applyFont="1" applyFill="1"/>
    <xf numFmtId="0" fontId="76" fillId="2" borderId="0" xfId="61" applyFont="1" applyFill="1" applyBorder="1" applyAlignment="1">
      <alignment wrapText="1"/>
    </xf>
    <xf numFmtId="0" fontId="64" fillId="2" borderId="0" xfId="0" applyFont="1" applyFill="1"/>
    <xf numFmtId="0" fontId="27" fillId="2" borderId="0" xfId="61" applyFill="1" applyBorder="1"/>
    <xf numFmtId="4" fontId="65" fillId="2" borderId="0" xfId="0" applyNumberFormat="1" applyFont="1" applyFill="1" applyAlignment="1">
      <alignment horizontal="left" vertical="top"/>
    </xf>
    <xf numFmtId="0" fontId="31" fillId="2" borderId="0" xfId="60" applyFont="1" applyFill="1"/>
    <xf numFmtId="0" fontId="31" fillId="3" borderId="0" xfId="60" applyFont="1" applyFill="1"/>
    <xf numFmtId="1" fontId="31" fillId="3" borderId="0" xfId="60" applyNumberFormat="1" applyFont="1" applyFill="1"/>
    <xf numFmtId="0" fontId="31" fillId="2" borderId="0" xfId="60" applyFont="1" applyFill="1" applyAlignment="1">
      <alignment vertical="center"/>
    </xf>
    <xf numFmtId="0" fontId="51" fillId="0" borderId="0" xfId="60" applyFont="1" applyAlignment="1">
      <alignment horizontal="left" vertical="center"/>
    </xf>
    <xf numFmtId="1" fontId="31" fillId="0" borderId="0" xfId="60" applyNumberFormat="1" applyFont="1" applyAlignment="1">
      <alignment vertical="center"/>
    </xf>
    <xf numFmtId="0" fontId="31" fillId="0" borderId="0" xfId="60" applyFont="1" applyAlignment="1">
      <alignment vertical="center"/>
    </xf>
    <xf numFmtId="0" fontId="51" fillId="0" borderId="0" xfId="60" applyFont="1" applyAlignment="1">
      <alignment horizontal="left"/>
    </xf>
    <xf numFmtId="1" fontId="31" fillId="0" borderId="0" xfId="60" applyNumberFormat="1" applyFont="1"/>
    <xf numFmtId="0" fontId="31" fillId="0" borderId="0" xfId="60" applyFont="1"/>
    <xf numFmtId="0" fontId="51" fillId="0" borderId="0" xfId="60" applyFont="1"/>
    <xf numFmtId="1" fontId="31" fillId="2" borderId="0" xfId="60" applyNumberFormat="1" applyFont="1" applyFill="1"/>
    <xf numFmtId="0" fontId="41" fillId="7" borderId="11" xfId="60" applyFont="1" applyFill="1" applyBorder="1" applyAlignment="1">
      <alignment vertical="center"/>
    </xf>
    <xf numFmtId="1" fontId="41" fillId="7" borderId="11" xfId="60" applyNumberFormat="1" applyFont="1" applyFill="1" applyBorder="1" applyAlignment="1">
      <alignment horizontal="right" vertical="center"/>
    </xf>
    <xf numFmtId="0" fontId="41" fillId="2" borderId="0" xfId="60" applyFont="1" applyFill="1"/>
    <xf numFmtId="0" fontId="31" fillId="2" borderId="0" xfId="60" applyFont="1" applyFill="1" applyAlignment="1">
      <alignment vertical="top" wrapText="1"/>
    </xf>
    <xf numFmtId="1" fontId="31" fillId="2" borderId="6" xfId="60" applyNumberFormat="1" applyFont="1" applyFill="1" applyBorder="1"/>
    <xf numFmtId="1" fontId="31" fillId="2" borderId="0" xfId="60" applyNumberFormat="1" applyFont="1" applyFill="1" applyAlignment="1">
      <alignment horizontal="right"/>
    </xf>
    <xf numFmtId="0" fontId="76" fillId="0" borderId="0" xfId="61" applyFont="1" applyFill="1" applyAlignment="1">
      <alignment horizontal="left" vertical="center"/>
    </xf>
    <xf numFmtId="2" fontId="31" fillId="0" borderId="6" xfId="0" applyNumberFormat="1" applyFont="1" applyBorder="1" applyAlignment="1">
      <alignment horizontal="right"/>
    </xf>
    <xf numFmtId="0" fontId="76" fillId="0" borderId="0" xfId="61" applyFont="1" applyFill="1"/>
    <xf numFmtId="0" fontId="27" fillId="0" borderId="24" xfId="61" applyBorder="1" applyAlignment="1">
      <alignment horizontal="left" vertical="center"/>
    </xf>
    <xf numFmtId="0" fontId="27" fillId="2" borderId="0" xfId="61" applyFill="1" applyAlignment="1"/>
    <xf numFmtId="0" fontId="27" fillId="2" borderId="0" xfId="61" applyFill="1" applyAlignment="1">
      <alignment horizontal="left"/>
    </xf>
    <xf numFmtId="0" fontId="27" fillId="2" borderId="0" xfId="61" applyFill="1" applyAlignment="1">
      <alignment horizontal="right"/>
    </xf>
    <xf numFmtId="0" fontId="93" fillId="0" borderId="0" xfId="61" applyFont="1" applyFill="1" applyBorder="1" applyAlignment="1">
      <alignment horizontal="left" vertical="top"/>
    </xf>
    <xf numFmtId="0" fontId="93" fillId="0" borderId="0" xfId="61" applyFont="1" applyFill="1" applyAlignment="1">
      <alignment horizontal="left" vertical="top"/>
    </xf>
    <xf numFmtId="0" fontId="76" fillId="0" borderId="0" xfId="61" applyFont="1" applyFill="1" applyBorder="1" applyAlignment="1">
      <alignment horizontal="left" vertical="top"/>
    </xf>
    <xf numFmtId="0" fontId="93" fillId="0" borderId="0" xfId="61" applyFont="1" applyFill="1" applyBorder="1" applyAlignment="1">
      <alignment vertical="top"/>
    </xf>
    <xf numFmtId="3" fontId="93" fillId="0" borderId="0" xfId="61" applyNumberFormat="1" applyFont="1" applyFill="1" applyBorder="1" applyAlignment="1">
      <alignment horizontal="left" vertical="center"/>
    </xf>
    <xf numFmtId="0" fontId="76" fillId="0" borderId="0" xfId="61" applyFont="1" applyFill="1" applyAlignment="1">
      <alignment vertical="top"/>
    </xf>
    <xf numFmtId="0" fontId="93" fillId="0" borderId="0" xfId="61" applyFont="1" applyFill="1" applyBorder="1" applyAlignment="1">
      <alignment horizontal="left" vertical="center"/>
    </xf>
    <xf numFmtId="0" fontId="81" fillId="0" borderId="0" xfId="61" applyFont="1" applyFill="1" applyBorder="1" applyAlignment="1">
      <alignment horizontal="center" vertical="center"/>
    </xf>
    <xf numFmtId="0" fontId="93" fillId="0" borderId="0" xfId="61" applyFont="1" applyFill="1" applyBorder="1" applyAlignment="1"/>
    <xf numFmtId="0" fontId="76" fillId="0" borderId="0" xfId="61" applyFont="1" applyFill="1" applyAlignment="1">
      <alignment horizontal="left" vertical="top"/>
    </xf>
    <xf numFmtId="0" fontId="81" fillId="0" borderId="0" xfId="61" applyFont="1" applyFill="1" applyAlignment="1">
      <alignment horizontal="left" vertical="top"/>
    </xf>
    <xf numFmtId="0" fontId="76" fillId="0" borderId="0" xfId="61" applyFont="1" applyFill="1" applyBorder="1" applyAlignment="1">
      <alignment horizontal="left" vertical="center"/>
    </xf>
    <xf numFmtId="0" fontId="76" fillId="0" borderId="0" xfId="61" applyFont="1" applyFill="1" applyBorder="1" applyAlignment="1"/>
    <xf numFmtId="1" fontId="81" fillId="0" borderId="0" xfId="61" applyNumberFormat="1" applyFont="1" applyFill="1" applyBorder="1" applyAlignment="1">
      <alignment horizontal="right" vertical="center"/>
    </xf>
    <xf numFmtId="1" fontId="81" fillId="0" borderId="0" xfId="0" applyNumberFormat="1" applyFont="1" applyAlignment="1">
      <alignment horizontal="center" vertical="center"/>
    </xf>
    <xf numFmtId="0" fontId="81" fillId="0" borderId="0" xfId="61" applyFont="1" applyFill="1" applyBorder="1" applyAlignment="1">
      <alignment horizontal="left" vertical="top"/>
    </xf>
    <xf numFmtId="0" fontId="76" fillId="0" borderId="0" xfId="61" applyFont="1" applyFill="1" applyBorder="1" applyAlignment="1">
      <alignment vertical="top"/>
    </xf>
    <xf numFmtId="0" fontId="94" fillId="0" borderId="0" xfId="61" applyFont="1" applyFill="1" applyBorder="1" applyAlignment="1">
      <alignment horizontal="left" vertical="top"/>
    </xf>
    <xf numFmtId="0" fontId="95" fillId="0" borderId="0" xfId="61" applyFont="1" applyFill="1" applyAlignment="1">
      <alignment horizontal="left" vertical="top"/>
    </xf>
    <xf numFmtId="0" fontId="81" fillId="0" borderId="0" xfId="61" applyFont="1" applyFill="1" applyBorder="1" applyAlignment="1"/>
    <xf numFmtId="0" fontId="93" fillId="0" borderId="0" xfId="61" applyFont="1" applyFill="1" applyAlignment="1">
      <alignment horizontal="left" vertical="center"/>
    </xf>
    <xf numFmtId="3" fontId="93" fillId="0" borderId="0" xfId="61" applyNumberFormat="1" applyFont="1" applyFill="1" applyBorder="1" applyAlignment="1">
      <alignment vertical="top"/>
    </xf>
    <xf numFmtId="3" fontId="93" fillId="0" borderId="0" xfId="61" applyNumberFormat="1" applyFont="1" applyFill="1" applyBorder="1" applyAlignment="1">
      <alignment horizontal="left" vertical="top"/>
    </xf>
    <xf numFmtId="3" fontId="76" fillId="0" borderId="0" xfId="61" applyNumberFormat="1" applyFont="1" applyFill="1" applyAlignment="1">
      <alignment horizontal="left" vertical="top"/>
    </xf>
    <xf numFmtId="3" fontId="81" fillId="0" borderId="0" xfId="61" applyNumberFormat="1" applyFont="1" applyFill="1" applyBorder="1" applyAlignment="1">
      <alignment horizontal="left" vertical="center"/>
    </xf>
    <xf numFmtId="0" fontId="93" fillId="0" borderId="0" xfId="7" applyFont="1" applyFill="1" applyAlignment="1">
      <alignment vertical="center"/>
    </xf>
    <xf numFmtId="0" fontId="93" fillId="0" borderId="0" xfId="61" applyFont="1" applyFill="1" applyAlignment="1">
      <alignment vertical="center"/>
    </xf>
    <xf numFmtId="3" fontId="93" fillId="0" borderId="0" xfId="61" applyNumberFormat="1" applyFont="1" applyFill="1" applyAlignment="1">
      <alignment horizontal="left" vertical="top"/>
    </xf>
    <xf numFmtId="3" fontId="81" fillId="0" borderId="0" xfId="7" applyNumberFormat="1" applyFont="1" applyFill="1" applyBorder="1" applyAlignment="1">
      <alignment horizontal="left" vertical="center"/>
    </xf>
    <xf numFmtId="0" fontId="81" fillId="0" borderId="0" xfId="61" applyFont="1" applyFill="1" applyBorder="1" applyAlignment="1">
      <alignment horizontal="left" vertical="center"/>
    </xf>
    <xf numFmtId="0" fontId="81" fillId="0" borderId="0" xfId="61" applyFont="1" applyFill="1" applyBorder="1" applyAlignment="1">
      <alignment vertical="top"/>
    </xf>
    <xf numFmtId="0" fontId="76" fillId="0" borderId="0" xfId="7" applyFont="1" applyFill="1" applyBorder="1" applyAlignment="1">
      <alignment horizontal="left" vertical="top"/>
    </xf>
    <xf numFmtId="0" fontId="76" fillId="0" borderId="0" xfId="7" applyFont="1" applyFill="1" applyAlignment="1">
      <alignment horizontal="left" vertical="top"/>
    </xf>
    <xf numFmtId="14" fontId="93" fillId="0" borderId="0" xfId="61" applyNumberFormat="1" applyFont="1" applyFill="1" applyBorder="1" applyAlignment="1">
      <alignment vertical="top"/>
    </xf>
    <xf numFmtId="14" fontId="76" fillId="0" borderId="0" xfId="61" applyNumberFormat="1" applyFont="1" applyFill="1" applyAlignment="1">
      <alignment vertical="top"/>
    </xf>
    <xf numFmtId="0" fontId="76" fillId="0" borderId="0" xfId="7" applyFont="1" applyFill="1" applyBorder="1" applyAlignment="1">
      <alignment vertical="top"/>
    </xf>
    <xf numFmtId="0" fontId="93" fillId="0" borderId="0" xfId="7" applyFont="1" applyFill="1" applyBorder="1" applyAlignment="1">
      <alignment vertical="top"/>
    </xf>
    <xf numFmtId="0" fontId="76" fillId="0" borderId="0" xfId="7" applyFont="1" applyFill="1" applyBorder="1" applyAlignment="1">
      <alignment horizontal="left" vertical="center"/>
    </xf>
    <xf numFmtId="0" fontId="76" fillId="0" borderId="0" xfId="7" applyFont="1" applyFill="1" applyAlignment="1">
      <alignment vertical="top"/>
    </xf>
    <xf numFmtId="0" fontId="93" fillId="0" borderId="0" xfId="7" applyFont="1" applyFill="1" applyBorder="1" applyAlignment="1">
      <alignment horizontal="left" vertical="top"/>
    </xf>
    <xf numFmtId="0" fontId="93" fillId="0" borderId="0" xfId="7" applyFont="1" applyFill="1"/>
    <xf numFmtId="0" fontId="76" fillId="0" borderId="0" xfId="7" applyFont="1" applyFill="1" applyAlignment="1">
      <alignment horizontal="left" vertical="center"/>
    </xf>
    <xf numFmtId="0" fontId="81" fillId="0" borderId="0" xfId="7" applyFont="1" applyFill="1" applyBorder="1" applyAlignment="1">
      <alignment horizontal="center" vertical="center"/>
    </xf>
    <xf numFmtId="3" fontId="76" fillId="0" borderId="0" xfId="7" applyNumberFormat="1" applyFont="1" applyFill="1" applyAlignment="1">
      <alignment horizontal="left" vertical="center"/>
    </xf>
    <xf numFmtId="4" fontId="93" fillId="0" borderId="0" xfId="61" applyNumberFormat="1" applyFont="1" applyFill="1" applyAlignment="1">
      <alignment horizontal="left" vertical="top"/>
    </xf>
    <xf numFmtId="3" fontId="93" fillId="0" borderId="0" xfId="61" applyNumberFormat="1" applyFont="1" applyFill="1" applyAlignment="1">
      <alignment horizontal="left" vertical="center"/>
    </xf>
    <xf numFmtId="0" fontId="93" fillId="0" borderId="0" xfId="61" applyFont="1" applyFill="1"/>
    <xf numFmtId="0" fontId="93" fillId="0" borderId="0" xfId="7" applyFont="1" applyFill="1" applyAlignment="1">
      <alignment horizontal="left" vertical="top"/>
    </xf>
    <xf numFmtId="0" fontId="81" fillId="0" borderId="0" xfId="7" applyFont="1" applyFill="1"/>
    <xf numFmtId="0" fontId="76" fillId="0" borderId="0" xfId="7" applyFont="1" applyFill="1"/>
    <xf numFmtId="3" fontId="93" fillId="0" borderId="0" xfId="7" applyNumberFormat="1" applyFont="1" applyFill="1" applyAlignment="1">
      <alignment horizontal="left" vertical="center"/>
    </xf>
    <xf numFmtId="0" fontId="81" fillId="0" borderId="0" xfId="7" applyFont="1" applyFill="1" applyBorder="1" applyAlignment="1">
      <alignment horizontal="left" vertical="center"/>
    </xf>
    <xf numFmtId="0" fontId="81" fillId="0" borderId="0" xfId="7" applyFont="1" applyFill="1" applyBorder="1" applyAlignment="1">
      <alignment horizontal="left" vertical="top"/>
    </xf>
    <xf numFmtId="0" fontId="81" fillId="0" borderId="0" xfId="7" applyFont="1" applyFill="1" applyAlignment="1">
      <alignment horizontal="left" vertical="top"/>
    </xf>
    <xf numFmtId="3" fontId="76" fillId="0" borderId="0" xfId="61" applyNumberFormat="1" applyFont="1" applyFill="1" applyBorder="1" applyAlignment="1">
      <alignment horizontal="left" vertical="top"/>
    </xf>
    <xf numFmtId="3" fontId="76" fillId="0" borderId="0" xfId="61" applyNumberFormat="1" applyFont="1" applyFill="1" applyAlignment="1">
      <alignment horizontal="left" vertical="center"/>
    </xf>
    <xf numFmtId="3" fontId="81" fillId="0" borderId="0" xfId="61" applyNumberFormat="1" applyFont="1" applyFill="1" applyAlignment="1">
      <alignment horizontal="left" vertical="top"/>
    </xf>
    <xf numFmtId="3" fontId="81" fillId="0" borderId="0" xfId="61" applyNumberFormat="1" applyFont="1" applyFill="1" applyAlignment="1">
      <alignment horizontal="left" vertical="center"/>
    </xf>
    <xf numFmtId="0" fontId="93" fillId="0" borderId="0" xfId="61" applyFont="1" applyFill="1" applyAlignment="1">
      <alignment vertical="top"/>
    </xf>
    <xf numFmtId="0" fontId="93" fillId="0" borderId="0" xfId="7" applyFont="1" applyFill="1" applyAlignment="1">
      <alignment vertical="top"/>
    </xf>
    <xf numFmtId="0" fontId="81" fillId="0" borderId="0" xfId="7" applyFont="1" applyFill="1" applyBorder="1" applyAlignment="1">
      <alignment vertical="top"/>
    </xf>
    <xf numFmtId="0" fontId="93" fillId="0" borderId="0" xfId="7" applyFont="1" applyFill="1" applyBorder="1" applyAlignment="1">
      <alignment horizontal="left" vertical="center"/>
    </xf>
    <xf numFmtId="3" fontId="93" fillId="0" borderId="0" xfId="7" applyNumberFormat="1" applyFont="1" applyFill="1" applyBorder="1" applyAlignment="1">
      <alignment vertical="top"/>
    </xf>
    <xf numFmtId="0" fontId="81" fillId="0" borderId="0" xfId="61" applyFont="1" applyFill="1" applyAlignment="1">
      <alignment vertical="top"/>
    </xf>
    <xf numFmtId="3" fontId="76" fillId="0" borderId="0" xfId="61" applyNumberFormat="1" applyFont="1" applyFill="1" applyBorder="1" applyAlignment="1">
      <alignment horizontal="left" vertical="center"/>
    </xf>
    <xf numFmtId="0" fontId="81" fillId="0" borderId="0" xfId="61" applyFont="1" applyFill="1" applyAlignment="1">
      <alignment horizontal="left" vertical="center"/>
    </xf>
    <xf numFmtId="0" fontId="76" fillId="0" borderId="0" xfId="7" applyFont="1" applyFill="1" applyBorder="1" applyAlignment="1"/>
    <xf numFmtId="0" fontId="81" fillId="0" borderId="0" xfId="7" applyFont="1" applyFill="1" applyBorder="1" applyAlignment="1"/>
    <xf numFmtId="0" fontId="93" fillId="0" borderId="0" xfId="61" applyFont="1" applyFill="1" applyBorder="1" applyAlignment="1">
      <alignment horizontal="left" vertical="center" wrapText="1"/>
    </xf>
    <xf numFmtId="3" fontId="93" fillId="0" borderId="0" xfId="61" applyNumberFormat="1" applyFont="1" applyFill="1" applyAlignment="1">
      <alignment vertical="top"/>
    </xf>
    <xf numFmtId="3" fontId="76" fillId="0" borderId="0" xfId="61" applyNumberFormat="1" applyFont="1" applyFill="1" applyAlignment="1">
      <alignment vertical="top"/>
    </xf>
    <xf numFmtId="0" fontId="76" fillId="0" borderId="22" xfId="61" applyFont="1" applyFill="1" applyBorder="1" applyAlignment="1">
      <alignment vertical="top"/>
    </xf>
    <xf numFmtId="0" fontId="76" fillId="0" borderId="13" xfId="61" applyFont="1" applyFill="1" applyBorder="1" applyAlignment="1">
      <alignment vertical="top"/>
    </xf>
    <xf numFmtId="0" fontId="76" fillId="0" borderId="8" xfId="61" applyFont="1" applyFill="1" applyBorder="1" applyAlignment="1">
      <alignment vertical="top"/>
    </xf>
    <xf numFmtId="0" fontId="93" fillId="0" borderId="22" xfId="7" applyFont="1" applyFill="1" applyBorder="1" applyAlignment="1">
      <alignment vertical="top"/>
    </xf>
    <xf numFmtId="0" fontId="93" fillId="0" borderId="17" xfId="7" applyFont="1" applyFill="1" applyBorder="1" applyAlignment="1">
      <alignment vertical="top"/>
    </xf>
    <xf numFmtId="0" fontId="81" fillId="0" borderId="0" xfId="61" applyFont="1" applyFill="1"/>
    <xf numFmtId="0" fontId="81" fillId="0" borderId="0" xfId="0" applyFont="1" applyAlignment="1">
      <alignment horizontal="left" indent="1"/>
    </xf>
    <xf numFmtId="0" fontId="37" fillId="0" borderId="0" xfId="0" applyFont="1" applyAlignment="1">
      <alignment horizontal="left" indent="1"/>
    </xf>
    <xf numFmtId="0" fontId="82" fillId="0" borderId="0" xfId="0" applyFont="1" applyAlignment="1">
      <alignment horizontal="left" indent="1"/>
    </xf>
    <xf numFmtId="0" fontId="70" fillId="0" borderId="0" xfId="0" applyFont="1"/>
    <xf numFmtId="0" fontId="98" fillId="0" borderId="0" xfId="0" applyFont="1"/>
    <xf numFmtId="0" fontId="99" fillId="0" borderId="0" xfId="0" applyFont="1"/>
    <xf numFmtId="0" fontId="100" fillId="18" borderId="18" xfId="0" applyFont="1" applyFill="1" applyBorder="1"/>
    <xf numFmtId="0" fontId="32" fillId="18" borderId="18" xfId="0" applyFont="1" applyFill="1" applyBorder="1"/>
    <xf numFmtId="0" fontId="101" fillId="0" borderId="0" xfId="0" applyFont="1"/>
    <xf numFmtId="0" fontId="100" fillId="0" borderId="18" xfId="0" applyFont="1" applyBorder="1"/>
    <xf numFmtId="0" fontId="32" fillId="0" borderId="18" xfId="0" applyFont="1" applyBorder="1"/>
    <xf numFmtId="0" fontId="100" fillId="0" borderId="0" xfId="0" applyFont="1"/>
    <xf numFmtId="0" fontId="74" fillId="0" borderId="0" xfId="0" applyFont="1"/>
    <xf numFmtId="0" fontId="73" fillId="0" borderId="0" xfId="0" applyFont="1"/>
    <xf numFmtId="0" fontId="102" fillId="18" borderId="18" xfId="0" applyFont="1" applyFill="1" applyBorder="1"/>
    <xf numFmtId="0" fontId="100" fillId="4" borderId="0" xfId="0" applyFont="1" applyFill="1"/>
    <xf numFmtId="0" fontId="32" fillId="4" borderId="0" xfId="0" applyFont="1" applyFill="1"/>
    <xf numFmtId="0" fontId="103" fillId="0" borderId="0" xfId="0" applyFont="1"/>
    <xf numFmtId="0" fontId="100" fillId="0" borderId="19" xfId="0" applyFont="1" applyBorder="1"/>
    <xf numFmtId="0" fontId="101" fillId="0" borderId="19" xfId="0" applyFont="1" applyBorder="1"/>
    <xf numFmtId="0" fontId="101" fillId="0" borderId="5" xfId="0" applyFont="1" applyBorder="1"/>
    <xf numFmtId="0" fontId="101" fillId="0" borderId="5" xfId="0" applyFont="1" applyBorder="1" applyAlignment="1">
      <alignment wrapText="1"/>
    </xf>
    <xf numFmtId="0" fontId="101" fillId="0" borderId="0" xfId="0" applyFont="1" applyAlignment="1">
      <alignment wrapText="1"/>
    </xf>
    <xf numFmtId="0" fontId="104" fillId="0" borderId="0" xfId="0" applyFont="1"/>
    <xf numFmtId="0" fontId="106" fillId="0" borderId="43" xfId="0" applyFont="1" applyBorder="1"/>
    <xf numFmtId="0" fontId="32" fillId="0" borderId="44" xfId="0" applyFont="1" applyBorder="1"/>
    <xf numFmtId="0" fontId="32" fillId="0" borderId="45" xfId="0" applyFont="1" applyBorder="1"/>
    <xf numFmtId="0" fontId="32" fillId="0" borderId="46" xfId="0" applyFont="1" applyBorder="1"/>
    <xf numFmtId="0" fontId="32" fillId="0" borderId="47" xfId="0" applyFont="1" applyBorder="1"/>
    <xf numFmtId="0" fontId="32" fillId="0" borderId="48" xfId="0" applyFont="1" applyBorder="1"/>
    <xf numFmtId="0" fontId="32" fillId="0" borderId="49" xfId="0" applyFont="1" applyBorder="1"/>
    <xf numFmtId="0" fontId="102" fillId="0" borderId="43" xfId="0" applyFont="1" applyBorder="1"/>
    <xf numFmtId="0" fontId="73" fillId="0" borderId="46" xfId="0" applyFont="1" applyBorder="1"/>
    <xf numFmtId="0" fontId="74" fillId="0" borderId="46" xfId="0" applyFont="1" applyBorder="1"/>
    <xf numFmtId="0" fontId="70" fillId="0" borderId="0" xfId="0" applyFont="1" applyAlignment="1">
      <alignment horizontal="left"/>
    </xf>
    <xf numFmtId="0" fontId="27" fillId="0" borderId="0" xfId="61" applyFill="1" applyBorder="1" applyAlignment="1">
      <alignment horizontal="left"/>
    </xf>
    <xf numFmtId="0" fontId="100" fillId="18" borderId="18" xfId="0" applyFont="1" applyFill="1" applyBorder="1" applyAlignment="1">
      <alignment horizontal="left"/>
    </xf>
    <xf numFmtId="0" fontId="100" fillId="0" borderId="18" xfId="0" applyFont="1" applyBorder="1" applyAlignment="1">
      <alignment horizontal="left"/>
    </xf>
    <xf numFmtId="0" fontId="100" fillId="0" borderId="0" xfId="0" applyFont="1" applyAlignment="1">
      <alignment horizontal="left"/>
    </xf>
    <xf numFmtId="0" fontId="100" fillId="4" borderId="0" xfId="0" applyFont="1" applyFill="1" applyAlignment="1">
      <alignment horizontal="left"/>
    </xf>
    <xf numFmtId="0" fontId="32" fillId="4" borderId="0" xfId="0" applyFont="1" applyFill="1" applyAlignment="1">
      <alignment horizontal="left"/>
    </xf>
    <xf numFmtId="0" fontId="103" fillId="0" borderId="0" xfId="0" applyFont="1" applyAlignment="1">
      <alignment horizontal="left"/>
    </xf>
    <xf numFmtId="0" fontId="32" fillId="0" borderId="19" xfId="0" applyFont="1" applyBorder="1" applyAlignment="1">
      <alignment horizontal="left"/>
    </xf>
    <xf numFmtId="0" fontId="32" fillId="0" borderId="5" xfId="0" applyFont="1" applyBorder="1" applyAlignment="1">
      <alignment horizontal="left"/>
    </xf>
    <xf numFmtId="0" fontId="104" fillId="0" borderId="0" xfId="0" applyFont="1" applyAlignment="1">
      <alignment horizontal="left"/>
    </xf>
    <xf numFmtId="0" fontId="32" fillId="0" borderId="44" xfId="0" applyFont="1" applyBorder="1" applyAlignment="1">
      <alignment horizontal="left"/>
    </xf>
    <xf numFmtId="0" fontId="73" fillId="0" borderId="0" xfId="0" applyFont="1" applyAlignment="1">
      <alignment horizontal="left"/>
    </xf>
    <xf numFmtId="0" fontId="33" fillId="0" borderId="0" xfId="41" applyFont="1" applyAlignment="1">
      <alignment horizontal="left"/>
    </xf>
    <xf numFmtId="0" fontId="106" fillId="0" borderId="44" xfId="0" applyFont="1" applyBorder="1" applyAlignment="1">
      <alignment horizontal="left"/>
    </xf>
    <xf numFmtId="0" fontId="32" fillId="0" borderId="50" xfId="0" applyFont="1" applyBorder="1" applyAlignment="1">
      <alignment horizontal="left"/>
    </xf>
    <xf numFmtId="0" fontId="32" fillId="0" borderId="50" xfId="0" applyFont="1" applyBorder="1"/>
    <xf numFmtId="0" fontId="32" fillId="0" borderId="51" xfId="0" applyFont="1" applyBorder="1"/>
    <xf numFmtId="2" fontId="86" fillId="0" borderId="0" xfId="0" applyNumberFormat="1" applyFont="1" applyAlignment="1">
      <alignment horizontal="center"/>
    </xf>
    <xf numFmtId="2" fontId="86" fillId="0" borderId="5" xfId="0" applyNumberFormat="1" applyFont="1" applyBorder="1" applyAlignment="1">
      <alignment horizontal="center"/>
    </xf>
    <xf numFmtId="0" fontId="86" fillId="3" borderId="0" xfId="2" applyFont="1" applyFill="1"/>
    <xf numFmtId="173" fontId="86" fillId="3" borderId="0" xfId="2" applyNumberFormat="1" applyFont="1" applyFill="1"/>
    <xf numFmtId="0" fontId="86" fillId="3" borderId="0" xfId="2" applyFont="1" applyFill="1" applyAlignment="1">
      <alignment horizontal="center"/>
    </xf>
    <xf numFmtId="0" fontId="86" fillId="2" borderId="0" xfId="4" applyFont="1" applyFill="1" applyAlignment="1">
      <alignment horizontal="center"/>
    </xf>
    <xf numFmtId="0" fontId="86" fillId="2" borderId="0" xfId="4" applyFont="1" applyFill="1"/>
    <xf numFmtId="0" fontId="107" fillId="3" borderId="0" xfId="2" applyFont="1" applyFill="1"/>
    <xf numFmtId="0" fontId="108" fillId="2" borderId="0" xfId="9" applyFont="1" applyFill="1"/>
    <xf numFmtId="0" fontId="108" fillId="2" borderId="0" xfId="9" applyFont="1" applyFill="1" applyAlignment="1">
      <alignment horizontal="center"/>
    </xf>
    <xf numFmtId="0" fontId="96" fillId="2" borderId="0" xfId="1" applyFont="1" applyFill="1"/>
    <xf numFmtId="2" fontId="86" fillId="2" borderId="0" xfId="1" applyNumberFormat="1" applyFont="1" applyFill="1" applyAlignment="1">
      <alignment horizontal="right"/>
    </xf>
    <xf numFmtId="2" fontId="86" fillId="0" borderId="0" xfId="0" applyNumberFormat="1" applyFont="1"/>
    <xf numFmtId="0" fontId="96" fillId="2" borderId="0" xfId="1" applyFont="1" applyFill="1" applyAlignment="1">
      <alignment horizontal="right"/>
    </xf>
    <xf numFmtId="2" fontId="96" fillId="2" borderId="0" xfId="1" applyNumberFormat="1" applyFont="1" applyFill="1" applyAlignment="1">
      <alignment horizontal="right"/>
    </xf>
    <xf numFmtId="0" fontId="86" fillId="0" borderId="0" xfId="0" applyFont="1" applyAlignment="1">
      <alignment horizontal="center"/>
    </xf>
    <xf numFmtId="0" fontId="110" fillId="7" borderId="12" xfId="1" applyFont="1" applyFill="1" applyBorder="1" applyAlignment="1">
      <alignment horizontal="left" vertical="center"/>
    </xf>
    <xf numFmtId="2" fontId="110" fillId="7" borderId="19" xfId="1" applyNumberFormat="1" applyFont="1" applyFill="1" applyBorder="1" applyAlignment="1">
      <alignment horizontal="center" vertical="center" wrapText="1"/>
    </xf>
    <xf numFmtId="0" fontId="110" fillId="7" borderId="12" xfId="1" applyFont="1" applyFill="1" applyBorder="1" applyAlignment="1">
      <alignment horizontal="center" vertical="center" wrapText="1"/>
    </xf>
    <xf numFmtId="2" fontId="110" fillId="7" borderId="12" xfId="1" applyNumberFormat="1" applyFont="1" applyFill="1" applyBorder="1" applyAlignment="1">
      <alignment horizontal="center" vertical="center" wrapText="1"/>
    </xf>
    <xf numFmtId="0" fontId="110" fillId="2" borderId="0" xfId="1" applyFont="1" applyFill="1" applyAlignment="1">
      <alignment horizontal="center" vertical="center"/>
    </xf>
    <xf numFmtId="0" fontId="110" fillId="7" borderId="0" xfId="1" applyFont="1" applyFill="1" applyAlignment="1">
      <alignment vertical="center"/>
    </xf>
    <xf numFmtId="2" fontId="110" fillId="7" borderId="0" xfId="1" applyNumberFormat="1" applyFont="1" applyFill="1" applyAlignment="1">
      <alignment horizontal="center" vertical="center" wrapText="1"/>
    </xf>
    <xf numFmtId="0" fontId="110" fillId="7" borderId="0" xfId="1" applyFont="1" applyFill="1" applyAlignment="1">
      <alignment horizontal="center" vertical="center" wrapText="1"/>
    </xf>
    <xf numFmtId="0" fontId="110" fillId="7" borderId="0" xfId="1" applyFont="1" applyFill="1" applyAlignment="1">
      <alignment horizontal="center" vertical="center"/>
    </xf>
    <xf numFmtId="0" fontId="110" fillId="7" borderId="6" xfId="1" applyFont="1" applyFill="1" applyBorder="1" applyAlignment="1">
      <alignment vertical="center"/>
    </xf>
    <xf numFmtId="2" fontId="96" fillId="7" borderId="6" xfId="1" applyNumberFormat="1" applyFont="1" applyFill="1" applyBorder="1" applyAlignment="1">
      <alignment horizontal="center" vertical="top" wrapText="1"/>
    </xf>
    <xf numFmtId="0" fontId="81" fillId="7" borderId="6" xfId="1" applyFont="1" applyFill="1" applyBorder="1" applyAlignment="1">
      <alignment horizontal="center" vertical="top" wrapText="1"/>
    </xf>
    <xf numFmtId="2" fontId="81" fillId="7" borderId="6" xfId="1" applyNumberFormat="1" applyFont="1" applyFill="1" applyBorder="1" applyAlignment="1">
      <alignment horizontal="center" vertical="top" wrapText="1"/>
    </xf>
    <xf numFmtId="0" fontId="86" fillId="7" borderId="6" xfId="1" applyFont="1" applyFill="1" applyBorder="1" applyAlignment="1">
      <alignment horizontal="center" vertical="top" wrapText="1"/>
    </xf>
    <xf numFmtId="0" fontId="96" fillId="2" borderId="0" xfId="1" applyFont="1" applyFill="1" applyAlignment="1">
      <alignment horizontal="center" vertical="center"/>
    </xf>
    <xf numFmtId="0" fontId="86" fillId="2" borderId="0" xfId="0" applyFont="1" applyFill="1"/>
    <xf numFmtId="2" fontId="86" fillId="2" borderId="0" xfId="0" applyNumberFormat="1" applyFont="1" applyFill="1" applyAlignment="1">
      <alignment horizontal="center"/>
    </xf>
    <xf numFmtId="1" fontId="76" fillId="2" borderId="0" xfId="61" applyNumberFormat="1" applyFont="1" applyFill="1" applyAlignment="1">
      <alignment horizontal="center"/>
    </xf>
    <xf numFmtId="2" fontId="76" fillId="0" borderId="0" xfId="61" applyNumberFormat="1" applyFont="1" applyAlignment="1">
      <alignment horizontal="center"/>
    </xf>
    <xf numFmtId="0" fontId="110" fillId="2" borderId="0" xfId="18" applyFont="1" applyFill="1" applyAlignment="1">
      <alignment horizontal="left" wrapText="1"/>
    </xf>
    <xf numFmtId="2" fontId="76" fillId="2" borderId="0" xfId="61" applyNumberFormat="1" applyFont="1" applyFill="1" applyAlignment="1">
      <alignment horizontal="center"/>
    </xf>
    <xf numFmtId="1" fontId="76" fillId="0" borderId="0" xfId="61" applyNumberFormat="1" applyFont="1" applyAlignment="1">
      <alignment horizontal="center" vertical="center"/>
    </xf>
    <xf numFmtId="0" fontId="76" fillId="0" borderId="0" xfId="61" applyFont="1" applyAlignment="1">
      <alignment horizontal="center" vertical="center"/>
    </xf>
    <xf numFmtId="0" fontId="96" fillId="0" borderId="0" xfId="1" applyFont="1"/>
    <xf numFmtId="2" fontId="76" fillId="0" borderId="0" xfId="61" applyNumberFormat="1" applyFont="1" applyFill="1" applyAlignment="1">
      <alignment horizontal="center"/>
    </xf>
    <xf numFmtId="0" fontId="86" fillId="0" borderId="0" xfId="0" applyFont="1"/>
    <xf numFmtId="1" fontId="76" fillId="0" borderId="0" xfId="61" applyNumberFormat="1" applyFont="1" applyFill="1" applyAlignment="1">
      <alignment horizontal="center" vertical="center"/>
    </xf>
    <xf numFmtId="0" fontId="96" fillId="2" borderId="5" xfId="1" applyFont="1" applyFill="1" applyBorder="1"/>
    <xf numFmtId="0" fontId="27" fillId="0" borderId="0" xfId="61" applyFill="1"/>
    <xf numFmtId="0" fontId="41" fillId="0" borderId="0" xfId="0" applyFont="1" applyAlignment="1">
      <alignment horizontal="left"/>
    </xf>
    <xf numFmtId="0" fontId="37" fillId="0" borderId="0" xfId="4" applyFont="1"/>
    <xf numFmtId="0" fontId="62" fillId="0" borderId="0" xfId="0" applyFont="1" applyAlignment="1">
      <alignment horizontal="left" indent="1"/>
    </xf>
    <xf numFmtId="0" fontId="45" fillId="0" borderId="0" xfId="0" applyFont="1" applyAlignment="1">
      <alignment horizontal="left" indent="1"/>
    </xf>
    <xf numFmtId="0" fontId="31" fillId="0" borderId="0" xfId="0" applyFont="1" applyAlignment="1">
      <alignment horizontal="left" indent="1"/>
    </xf>
    <xf numFmtId="0" fontId="37" fillId="0" borderId="0" xfId="0" applyFont="1" applyAlignment="1">
      <alignment horizontal="left" vertical="center" indent="1"/>
    </xf>
    <xf numFmtId="0" fontId="37" fillId="0" borderId="0" xfId="0" applyFont="1" applyAlignment="1">
      <alignment horizontal="left" wrapText="1" indent="1"/>
    </xf>
    <xf numFmtId="0" fontId="37" fillId="0" borderId="0" xfId="0" applyFont="1" applyAlignment="1">
      <alignment horizontal="left" wrapText="1"/>
    </xf>
    <xf numFmtId="0" fontId="62" fillId="0" borderId="0" xfId="0" applyFont="1" applyAlignment="1">
      <alignment horizontal="left"/>
    </xf>
    <xf numFmtId="0" fontId="47" fillId="0" borderId="0" xfId="0" applyFont="1" applyAlignment="1">
      <alignment horizontal="left" indent="1"/>
    </xf>
    <xf numFmtId="0" fontId="40" fillId="0" borderId="0" xfId="0" applyFont="1" applyAlignment="1">
      <alignment horizontal="left"/>
    </xf>
    <xf numFmtId="0" fontId="78" fillId="0" borderId="0" xfId="0" applyFont="1" applyAlignment="1">
      <alignment horizontal="left" indent="1"/>
    </xf>
    <xf numFmtId="0" fontId="40" fillId="0" borderId="0" xfId="0" applyFont="1"/>
    <xf numFmtId="0" fontId="78" fillId="0" borderId="0" xfId="0" applyFont="1"/>
    <xf numFmtId="0" fontId="63" fillId="0" borderId="0" xfId="0" applyFont="1"/>
    <xf numFmtId="0" fontId="42" fillId="0" borderId="0" xfId="0" applyFont="1"/>
    <xf numFmtId="0" fontId="45" fillId="2" borderId="10" xfId="0" applyFont="1" applyFill="1" applyBorder="1" applyAlignment="1">
      <alignment horizontal="left" vertical="center"/>
    </xf>
    <xf numFmtId="170" fontId="45" fillId="2" borderId="10" xfId="0" applyNumberFormat="1" applyFont="1" applyFill="1" applyBorder="1" applyAlignment="1">
      <alignment horizontal="left" vertical="center"/>
    </xf>
    <xf numFmtId="0" fontId="45" fillId="2" borderId="10" xfId="0" applyFont="1" applyFill="1" applyBorder="1" applyAlignment="1">
      <alignment horizontal="center" vertical="center"/>
    </xf>
    <xf numFmtId="175" fontId="45" fillId="2" borderId="10" xfId="11" applyNumberFormat="1" applyFont="1" applyFill="1" applyBorder="1" applyAlignment="1">
      <alignment horizontal="center" vertical="center"/>
    </xf>
    <xf numFmtId="4" fontId="45" fillId="2" borderId="10" xfId="0" applyNumberFormat="1" applyFont="1" applyFill="1" applyBorder="1" applyAlignment="1">
      <alignment horizontal="center" vertical="center"/>
    </xf>
    <xf numFmtId="0" fontId="45" fillId="2" borderId="10" xfId="0" applyFont="1" applyFill="1" applyBorder="1" applyAlignment="1">
      <alignment horizontal="right" vertical="center"/>
    </xf>
    <xf numFmtId="0" fontId="78" fillId="0" borderId="0" xfId="4" applyFont="1"/>
    <xf numFmtId="2" fontId="95" fillId="2" borderId="0" xfId="61" applyNumberFormat="1" applyFont="1" applyFill="1" applyAlignment="1">
      <alignment horizontal="center"/>
    </xf>
    <xf numFmtId="0" fontId="45" fillId="7" borderId="18" xfId="0" applyFont="1" applyFill="1" applyBorder="1" applyAlignment="1">
      <alignment horizontal="left" vertical="center"/>
    </xf>
    <xf numFmtId="0" fontId="45" fillId="7" borderId="18" xfId="0" applyFont="1" applyFill="1" applyBorder="1" applyAlignment="1">
      <alignment horizontal="left"/>
    </xf>
    <xf numFmtId="0" fontId="37" fillId="7" borderId="18" xfId="0" applyFont="1" applyFill="1" applyBorder="1"/>
    <xf numFmtId="0" fontId="45" fillId="7" borderId="18" xfId="0" applyFont="1" applyFill="1" applyBorder="1" applyAlignment="1">
      <alignment vertical="center"/>
    </xf>
    <xf numFmtId="0" fontId="41" fillId="7" borderId="18" xfId="0" applyFont="1" applyFill="1" applyBorder="1" applyAlignment="1">
      <alignment horizontal="left"/>
    </xf>
    <xf numFmtId="0" fontId="31" fillId="7" borderId="18" xfId="0" applyFont="1" applyFill="1" applyBorder="1"/>
    <xf numFmtId="0" fontId="41" fillId="7" borderId="18" xfId="0" applyFont="1" applyFill="1" applyBorder="1" applyAlignment="1">
      <alignment vertical="center"/>
    </xf>
    <xf numFmtId="0" fontId="40" fillId="7" borderId="18" xfId="0" applyFont="1" applyFill="1" applyBorder="1" applyAlignment="1">
      <alignment horizontal="left"/>
    </xf>
    <xf numFmtId="1" fontId="31" fillId="2" borderId="0" xfId="31" applyNumberFormat="1" applyFont="1" applyFill="1" applyAlignment="1">
      <alignment horizontal="right"/>
    </xf>
    <xf numFmtId="2" fontId="42" fillId="2" borderId="18" xfId="1" applyNumberFormat="1" applyFont="1" applyFill="1" applyBorder="1" applyAlignment="1">
      <alignment horizontal="center"/>
    </xf>
    <xf numFmtId="1" fontId="95" fillId="0" borderId="0" xfId="61" applyNumberFormat="1" applyFont="1" applyAlignment="1">
      <alignment horizontal="center" vertical="center"/>
    </xf>
    <xf numFmtId="0" fontId="81" fillId="0" borderId="0" xfId="0" applyFont="1" applyAlignment="1">
      <alignment horizontal="left" vertical="center"/>
    </xf>
    <xf numFmtId="14" fontId="81" fillId="0" borderId="0" xfId="0" applyNumberFormat="1" applyFont="1" applyAlignment="1">
      <alignment horizontal="right" vertical="center"/>
    </xf>
    <xf numFmtId="0" fontId="81" fillId="0" borderId="0" xfId="0" applyFont="1" applyAlignment="1">
      <alignment vertical="center"/>
    </xf>
    <xf numFmtId="0" fontId="81" fillId="0" borderId="0" xfId="0" applyFont="1" applyAlignment="1">
      <alignment vertical="top"/>
    </xf>
    <xf numFmtId="0" fontId="81" fillId="0" borderId="0" xfId="0" applyFont="1" applyAlignment="1">
      <alignment horizontal="center" vertical="center"/>
    </xf>
    <xf numFmtId="3" fontId="81" fillId="0" borderId="0" xfId="0" applyNumberFormat="1" applyFont="1" applyAlignment="1">
      <alignment horizontal="right" vertical="center"/>
    </xf>
    <xf numFmtId="170" fontId="81" fillId="0" borderId="0" xfId="0" applyNumberFormat="1" applyFont="1" applyAlignment="1">
      <alignment horizontal="left" vertical="center"/>
    </xf>
    <xf numFmtId="3" fontId="81" fillId="0" borderId="0" xfId="0" applyNumberFormat="1" applyFont="1" applyAlignment="1">
      <alignment horizontal="center" vertical="center"/>
    </xf>
    <xf numFmtId="1" fontId="81" fillId="0" borderId="0" xfId="0" applyNumberFormat="1" applyFont="1" applyAlignment="1">
      <alignment horizontal="right" vertical="center"/>
    </xf>
    <xf numFmtId="1" fontId="81" fillId="0" borderId="0" xfId="0" quotePrefix="1" applyNumberFormat="1" applyFont="1" applyAlignment="1">
      <alignment horizontal="right" vertical="center"/>
    </xf>
    <xf numFmtId="0" fontId="81" fillId="0" borderId="0" xfId="0" applyFont="1" applyAlignment="1">
      <alignment horizontal="left" vertical="top"/>
    </xf>
    <xf numFmtId="0" fontId="81" fillId="0" borderId="0" xfId="0" applyFont="1" applyAlignment="1">
      <alignment horizontal="center"/>
    </xf>
    <xf numFmtId="3" fontId="86" fillId="0" borderId="38" xfId="0" applyNumberFormat="1" applyFont="1" applyBorder="1" applyAlignment="1">
      <alignment horizontal="center" vertical="center"/>
    </xf>
    <xf numFmtId="1" fontId="86" fillId="0" borderId="0" xfId="0" applyNumberFormat="1" applyFont="1" applyAlignment="1">
      <alignment horizontal="center" vertical="center"/>
    </xf>
    <xf numFmtId="0" fontId="86" fillId="0" borderId="0" xfId="0" applyFont="1" applyAlignment="1">
      <alignment horizontal="center" vertical="center"/>
    </xf>
    <xf numFmtId="0" fontId="86" fillId="0" borderId="0" xfId="0" applyFont="1" applyAlignment="1">
      <alignment horizontal="center" vertical="top"/>
    </xf>
    <xf numFmtId="0" fontId="86" fillId="0" borderId="0" xfId="0" applyFont="1" applyAlignment="1">
      <alignment horizontal="left" vertical="center"/>
    </xf>
    <xf numFmtId="3" fontId="86" fillId="0" borderId="0" xfId="0" applyNumberFormat="1" applyFont="1" applyAlignment="1">
      <alignment horizontal="center" vertical="center"/>
    </xf>
    <xf numFmtId="2" fontId="86" fillId="2" borderId="5" xfId="0" applyNumberFormat="1" applyFont="1" applyFill="1" applyBorder="1" applyAlignment="1">
      <alignment horizontal="center"/>
    </xf>
    <xf numFmtId="1" fontId="81" fillId="0" borderId="5" xfId="0" applyNumberFormat="1" applyFont="1" applyBorder="1" applyAlignment="1">
      <alignment horizontal="center" vertical="center"/>
    </xf>
    <xf numFmtId="2" fontId="76" fillId="2" borderId="5" xfId="61" applyNumberFormat="1" applyFont="1" applyFill="1" applyBorder="1" applyAlignment="1">
      <alignment horizontal="center"/>
    </xf>
    <xf numFmtId="3" fontId="81" fillId="0" borderId="0" xfId="0" applyNumberFormat="1" applyFont="1" applyAlignment="1">
      <alignment horizontal="left" vertical="center"/>
    </xf>
    <xf numFmtId="167" fontId="27" fillId="2" borderId="0" xfId="61" applyNumberFormat="1" applyFill="1" applyAlignment="1"/>
    <xf numFmtId="1" fontId="31" fillId="0" borderId="42" xfId="0" applyNumberFormat="1" applyFont="1" applyBorder="1"/>
    <xf numFmtId="2" fontId="37" fillId="0" borderId="5" xfId="0" applyNumberFormat="1" applyFont="1" applyBorder="1"/>
    <xf numFmtId="4" fontId="27" fillId="2" borderId="0" xfId="61" applyNumberFormat="1" applyFill="1" applyAlignment="1">
      <alignment horizontal="left" vertical="top"/>
    </xf>
    <xf numFmtId="2" fontId="63" fillId="0" borderId="0" xfId="0" applyNumberFormat="1" applyFont="1" applyAlignment="1">
      <alignment horizontal="center"/>
    </xf>
    <xf numFmtId="167" fontId="47" fillId="2" borderId="0" xfId="2" applyNumberFormat="1" applyFont="1" applyFill="1" applyAlignment="1">
      <alignment wrapText="1"/>
    </xf>
    <xf numFmtId="0" fontId="81" fillId="0" borderId="0" xfId="0" applyFont="1"/>
    <xf numFmtId="14" fontId="81" fillId="0" borderId="0" xfId="0" applyNumberFormat="1" applyFont="1"/>
    <xf numFmtId="3" fontId="81" fillId="0" borderId="0" xfId="0" applyNumberFormat="1" applyFont="1"/>
    <xf numFmtId="0" fontId="81" fillId="0" borderId="0" xfId="0" applyFont="1" applyAlignment="1">
      <alignment horizontal="right"/>
    </xf>
    <xf numFmtId="3" fontId="94" fillId="0" borderId="0" xfId="0" applyNumberFormat="1" applyFont="1" applyAlignment="1">
      <alignment horizontal="left" vertical="center"/>
    </xf>
    <xf numFmtId="0" fontId="31" fillId="0" borderId="0" xfId="17" applyFont="1" applyAlignment="1">
      <alignment horizontal="left"/>
    </xf>
    <xf numFmtId="0" fontId="112" fillId="0" borderId="0" xfId="17" applyFont="1" applyAlignment="1">
      <alignment horizontal="left" vertical="center"/>
    </xf>
    <xf numFmtId="0" fontId="113" fillId="0" borderId="0" xfId="0" applyFont="1" applyAlignment="1">
      <alignment horizontal="left" vertical="center"/>
    </xf>
    <xf numFmtId="0" fontId="41" fillId="7" borderId="18" xfId="17" applyFont="1" applyFill="1" applyBorder="1" applyAlignment="1">
      <alignment horizontal="right" vertical="center"/>
    </xf>
    <xf numFmtId="2" fontId="31" fillId="2" borderId="18" xfId="17" applyNumberFormat="1" applyFont="1" applyFill="1" applyBorder="1"/>
    <xf numFmtId="0" fontId="49" fillId="0" borderId="0" xfId="0" applyFont="1" applyAlignment="1">
      <alignment horizontal="left" indent="1"/>
    </xf>
    <xf numFmtId="0" fontId="94" fillId="0" borderId="0" xfId="0" applyFont="1" applyAlignment="1">
      <alignment horizontal="left" vertical="top"/>
    </xf>
    <xf numFmtId="14" fontId="81" fillId="0" borderId="0" xfId="0" applyNumberFormat="1" applyFont="1" applyAlignment="1">
      <alignment horizontal="right"/>
    </xf>
    <xf numFmtId="3" fontId="81" fillId="0" borderId="0" xfId="0" applyNumberFormat="1" applyFont="1" applyAlignment="1">
      <alignment horizontal="right"/>
    </xf>
    <xf numFmtId="0" fontId="94" fillId="0" borderId="0" xfId="0" applyFont="1" applyAlignment="1">
      <alignment horizontal="left" vertical="center"/>
    </xf>
    <xf numFmtId="0" fontId="94" fillId="0" borderId="0" xfId="0" applyFont="1"/>
    <xf numFmtId="3" fontId="31" fillId="2" borderId="0" xfId="0" applyNumberFormat="1" applyFont="1" applyFill="1"/>
    <xf numFmtId="4" fontId="27" fillId="2" borderId="0" xfId="61" applyNumberFormat="1" applyFill="1" applyBorder="1" applyAlignment="1">
      <alignment horizontal="left" vertical="top" wrapText="1"/>
    </xf>
    <xf numFmtId="0" fontId="111" fillId="2" borderId="0" xfId="0" applyFont="1" applyFill="1"/>
    <xf numFmtId="0" fontId="27" fillId="2" borderId="0" xfId="61" applyFill="1"/>
    <xf numFmtId="0" fontId="0" fillId="2" borderId="0" xfId="0" applyFill="1"/>
    <xf numFmtId="0" fontId="81" fillId="2" borderId="0" xfId="0" applyFont="1" applyFill="1"/>
    <xf numFmtId="4" fontId="81" fillId="2" borderId="0" xfId="0" applyNumberFormat="1" applyFont="1" applyFill="1" applyAlignment="1">
      <alignment horizontal="left" vertical="center"/>
    </xf>
    <xf numFmtId="43" fontId="0" fillId="2" borderId="0" xfId="0" applyNumberFormat="1" applyFill="1"/>
    <xf numFmtId="0" fontId="81" fillId="2" borderId="0" xfId="0" applyFont="1" applyFill="1" applyAlignment="1">
      <alignment horizontal="left"/>
    </xf>
    <xf numFmtId="0" fontId="81" fillId="2" borderId="0" xfId="0" applyFont="1" applyFill="1" applyAlignment="1">
      <alignment horizontal="left" vertical="center"/>
    </xf>
    <xf numFmtId="0" fontId="76" fillId="2" borderId="0" xfId="7" applyFont="1" applyFill="1"/>
    <xf numFmtId="49" fontId="37" fillId="2" borderId="0" xfId="0" applyNumberFormat="1" applyFont="1" applyFill="1" applyAlignment="1">
      <alignment horizontal="left" vertical="top"/>
    </xf>
    <xf numFmtId="0" fontId="76" fillId="2" borderId="0" xfId="61" applyFont="1" applyFill="1"/>
    <xf numFmtId="175" fontId="37" fillId="2" borderId="0" xfId="11" applyNumberFormat="1" applyFont="1" applyFill="1" applyAlignment="1">
      <alignment horizontal="right" vertical="top"/>
    </xf>
    <xf numFmtId="0" fontId="49" fillId="0" borderId="0" xfId="0" applyFont="1" applyAlignment="1">
      <alignment horizontal="left" vertical="center" indent="1"/>
    </xf>
    <xf numFmtId="0" fontId="81" fillId="0" borderId="1" xfId="0" applyFont="1" applyBorder="1" applyAlignment="1">
      <alignment horizontal="left" vertical="top"/>
    </xf>
    <xf numFmtId="3" fontId="27" fillId="0" borderId="0" xfId="61" applyNumberFormat="1" applyFill="1" applyBorder="1" applyAlignment="1">
      <alignment horizontal="left" vertical="center"/>
    </xf>
    <xf numFmtId="1" fontId="81" fillId="0" borderId="0" xfId="0" applyNumberFormat="1" applyFont="1" applyAlignment="1">
      <alignment horizontal="right"/>
    </xf>
    <xf numFmtId="0" fontId="91" fillId="0" borderId="2" xfId="0" applyFont="1" applyBorder="1" applyAlignment="1">
      <alignment horizontal="center" vertical="center"/>
    </xf>
    <xf numFmtId="0" fontId="91" fillId="0" borderId="2" xfId="0" applyFont="1" applyBorder="1" applyAlignment="1">
      <alignment horizontal="left" vertical="center"/>
    </xf>
    <xf numFmtId="14" fontId="91" fillId="0" borderId="2" xfId="0" applyNumberFormat="1" applyFont="1" applyBorder="1" applyAlignment="1">
      <alignment horizontal="right" vertical="center"/>
    </xf>
    <xf numFmtId="0" fontId="91" fillId="0" borderId="2" xfId="0" applyFont="1" applyBorder="1" applyAlignment="1">
      <alignment vertical="center"/>
    </xf>
    <xf numFmtId="3" fontId="91" fillId="0" borderId="2" xfId="0" applyNumberFormat="1" applyFont="1" applyBorder="1" applyAlignment="1">
      <alignment horizontal="right" vertical="center"/>
    </xf>
    <xf numFmtId="0" fontId="91" fillId="0" borderId="8" xfId="0" applyFont="1" applyBorder="1" applyAlignment="1">
      <alignment horizontal="center" vertical="center"/>
    </xf>
    <xf numFmtId="170" fontId="91" fillId="0" borderId="2" xfId="0" applyNumberFormat="1" applyFont="1" applyBorder="1" applyAlignment="1">
      <alignment horizontal="left" vertical="center"/>
    </xf>
    <xf numFmtId="170" fontId="91" fillId="0" borderId="0" xfId="0" applyNumberFormat="1" applyFont="1" applyAlignment="1">
      <alignment horizontal="left"/>
    </xf>
    <xf numFmtId="3" fontId="91" fillId="0" borderId="2" xfId="0" applyNumberFormat="1" applyFont="1" applyBorder="1" applyAlignment="1">
      <alignment horizontal="center" vertical="center"/>
    </xf>
    <xf numFmtId="1" fontId="91" fillId="0" borderId="2" xfId="0" applyNumberFormat="1" applyFont="1" applyBorder="1" applyAlignment="1">
      <alignment horizontal="right" vertical="center"/>
    </xf>
    <xf numFmtId="1" fontId="91" fillId="0" borderId="16" xfId="0" applyNumberFormat="1" applyFont="1" applyBorder="1" applyAlignment="1">
      <alignment horizontal="right" vertical="center"/>
    </xf>
    <xf numFmtId="3" fontId="91" fillId="0" borderId="0" xfId="0" applyNumberFormat="1" applyFont="1" applyAlignment="1">
      <alignment horizontal="right" vertical="center"/>
    </xf>
    <xf numFmtId="3" fontId="91" fillId="0" borderId="8" xfId="0" applyNumberFormat="1" applyFont="1" applyBorder="1" applyAlignment="1">
      <alignment horizontal="right" vertical="center"/>
    </xf>
    <xf numFmtId="0" fontId="92" fillId="0" borderId="2" xfId="0" applyFont="1" applyBorder="1" applyAlignment="1">
      <alignment horizontal="center" vertical="center"/>
    </xf>
    <xf numFmtId="0" fontId="92" fillId="0" borderId="16" xfId="0" applyFont="1" applyBorder="1" applyAlignment="1">
      <alignment horizontal="center" vertical="center"/>
    </xf>
    <xf numFmtId="0" fontId="92" fillId="0" borderId="37" xfId="0" applyFont="1" applyBorder="1" applyAlignment="1">
      <alignment horizontal="center" vertical="center"/>
    </xf>
    <xf numFmtId="1" fontId="92" fillId="0" borderId="8" xfId="0" applyNumberFormat="1" applyFont="1" applyBorder="1" applyAlignment="1">
      <alignment horizontal="center" vertical="center"/>
    </xf>
    <xf numFmtId="1" fontId="92" fillId="0" borderId="2" xfId="0" applyNumberFormat="1" applyFont="1" applyBorder="1" applyAlignment="1">
      <alignment horizontal="center" vertical="center"/>
    </xf>
    <xf numFmtId="0" fontId="92" fillId="0" borderId="2" xfId="0" applyFont="1" applyBorder="1" applyAlignment="1">
      <alignment vertical="center"/>
    </xf>
    <xf numFmtId="0" fontId="93" fillId="0" borderId="0" xfId="0" applyFont="1" applyAlignment="1">
      <alignment vertical="top"/>
    </xf>
    <xf numFmtId="0" fontId="93" fillId="0" borderId="0" xfId="0" applyFont="1"/>
    <xf numFmtId="0" fontId="81" fillId="0" borderId="0" xfId="0" applyFont="1" applyAlignment="1">
      <alignment vertical="top" wrapText="1"/>
    </xf>
    <xf numFmtId="0" fontId="86" fillId="0" borderId="0" xfId="0" applyFont="1" applyAlignment="1">
      <alignment vertical="center"/>
    </xf>
    <xf numFmtId="3" fontId="81" fillId="0" borderId="0" xfId="0" applyNumberFormat="1" applyFont="1" applyAlignment="1">
      <alignment vertical="top"/>
    </xf>
    <xf numFmtId="0" fontId="81" fillId="0" borderId="0" xfId="0" applyFont="1" applyAlignment="1">
      <alignment horizontal="left"/>
    </xf>
    <xf numFmtId="3" fontId="81" fillId="0" borderId="20" xfId="0" applyNumberFormat="1" applyFont="1" applyBorder="1" applyAlignment="1">
      <alignment horizontal="left" vertical="center"/>
    </xf>
    <xf numFmtId="0" fontId="81" fillId="0" borderId="20" xfId="0" applyFont="1" applyBorder="1" applyAlignment="1">
      <alignment horizontal="left" vertical="center"/>
    </xf>
    <xf numFmtId="0" fontId="81" fillId="0" borderId="7" xfId="0" applyFont="1" applyBorder="1" applyAlignment="1">
      <alignment horizontal="left" vertical="center"/>
    </xf>
    <xf numFmtId="0" fontId="96" fillId="0" borderId="1" xfId="0" applyFont="1" applyBorder="1" applyAlignment="1">
      <alignment horizontal="left" vertical="top"/>
    </xf>
    <xf numFmtId="3" fontId="81" fillId="0" borderId="0" xfId="7" applyNumberFormat="1" applyFont="1" applyFill="1" applyAlignment="1">
      <alignment horizontal="left" vertical="center"/>
    </xf>
    <xf numFmtId="14" fontId="81" fillId="0" borderId="0" xfId="0" applyNumberFormat="1" applyFont="1" applyAlignment="1">
      <alignment vertical="center"/>
    </xf>
    <xf numFmtId="14" fontId="81" fillId="0" borderId="0" xfId="0" applyNumberFormat="1" applyFont="1" applyAlignment="1">
      <alignment horizontal="center" vertical="center"/>
    </xf>
    <xf numFmtId="14" fontId="81" fillId="0" borderId="0" xfId="0" applyNumberFormat="1" applyFont="1" applyAlignment="1">
      <alignment vertical="top"/>
    </xf>
    <xf numFmtId="0" fontId="81" fillId="0" borderId="0" xfId="0" applyFont="1" applyAlignment="1">
      <alignment horizontal="right" vertical="center"/>
    </xf>
    <xf numFmtId="0" fontId="81" fillId="0" borderId="0" xfId="7" applyFont="1" applyFill="1" applyAlignment="1">
      <alignment vertical="top"/>
    </xf>
    <xf numFmtId="3" fontId="81" fillId="0" borderId="0" xfId="0" applyNumberFormat="1" applyFont="1" applyAlignment="1">
      <alignment horizontal="left" vertical="top"/>
    </xf>
    <xf numFmtId="0" fontId="96" fillId="0" borderId="1" xfId="0" applyFont="1" applyBorder="1" applyAlignment="1">
      <alignment vertical="top"/>
    </xf>
    <xf numFmtId="0" fontId="97" fillId="0" borderId="0" xfId="0" applyFont="1"/>
    <xf numFmtId="0" fontId="96" fillId="0" borderId="0" xfId="0" applyFont="1" applyAlignment="1">
      <alignment vertical="top"/>
    </xf>
    <xf numFmtId="0" fontId="81" fillId="0" borderId="20" xfId="0" applyFont="1" applyBorder="1" applyAlignment="1">
      <alignment horizontal="left" vertical="top"/>
    </xf>
    <xf numFmtId="1" fontId="81" fillId="0" borderId="0" xfId="0" applyNumberFormat="1" applyFont="1"/>
    <xf numFmtId="0" fontId="96" fillId="0" borderId="0" xfId="0" applyFont="1" applyAlignment="1">
      <alignment horizontal="left" vertical="top"/>
    </xf>
    <xf numFmtId="0" fontId="93" fillId="0" borderId="0" xfId="0" applyFont="1" applyAlignment="1">
      <alignment horizontal="left" vertical="top"/>
    </xf>
    <xf numFmtId="0" fontId="81" fillId="0" borderId="0" xfId="7" applyFont="1" applyFill="1" applyAlignment="1">
      <alignment horizontal="left" vertical="center"/>
    </xf>
    <xf numFmtId="0" fontId="96" fillId="0" borderId="4" xfId="0" applyFont="1" applyBorder="1" applyAlignment="1">
      <alignment horizontal="left" vertical="top"/>
    </xf>
    <xf numFmtId="0" fontId="81" fillId="0" borderId="9" xfId="0" applyFont="1" applyBorder="1" applyAlignment="1">
      <alignment horizontal="center" vertical="center"/>
    </xf>
    <xf numFmtId="0" fontId="81" fillId="0" borderId="0" xfId="61" applyFont="1" applyFill="1" applyAlignment="1">
      <alignment vertical="top" wrapText="1"/>
    </xf>
    <xf numFmtId="4" fontId="81" fillId="0" borderId="0" xfId="0" applyNumberFormat="1" applyFont="1" applyAlignment="1">
      <alignment horizontal="left" vertical="center"/>
    </xf>
    <xf numFmtId="14" fontId="81" fillId="0" borderId="0" xfId="0" applyNumberFormat="1" applyFont="1" applyAlignment="1">
      <alignment horizontal="left" vertical="center"/>
    </xf>
    <xf numFmtId="0" fontId="93" fillId="0" borderId="0" xfId="0" applyFont="1" applyAlignment="1">
      <alignment horizontal="left" vertical="center"/>
    </xf>
    <xf numFmtId="0" fontId="81" fillId="0" borderId="1" xfId="0" applyFont="1" applyBorder="1" applyAlignment="1">
      <alignment horizontal="left"/>
    </xf>
    <xf numFmtId="4" fontId="81" fillId="0" borderId="0" xfId="0" applyNumberFormat="1" applyFont="1" applyAlignment="1">
      <alignment horizontal="center" vertical="center"/>
    </xf>
    <xf numFmtId="0" fontId="94" fillId="0" borderId="0" xfId="0" applyFont="1" applyAlignment="1">
      <alignment vertical="top"/>
    </xf>
    <xf numFmtId="49" fontId="81" fillId="0" borderId="0" xfId="0" applyNumberFormat="1" applyFont="1" applyAlignment="1">
      <alignment horizontal="left" vertical="top"/>
    </xf>
    <xf numFmtId="0" fontId="81" fillId="0" borderId="15" xfId="0" applyFont="1" applyBorder="1" applyAlignment="1">
      <alignment horizontal="left" vertical="top"/>
    </xf>
    <xf numFmtId="3" fontId="81" fillId="0" borderId="1" xfId="0" applyNumberFormat="1" applyFont="1" applyBorder="1" applyAlignment="1">
      <alignment horizontal="left" vertical="top"/>
    </xf>
    <xf numFmtId="0" fontId="81" fillId="0" borderId="0" xfId="0" applyFont="1" applyAlignment="1">
      <alignment wrapText="1"/>
    </xf>
    <xf numFmtId="0" fontId="81" fillId="0" borderId="0" xfId="61" applyFont="1" applyFill="1" applyBorder="1" applyAlignment="1">
      <alignment horizontal="left" vertical="center" wrapText="1"/>
    </xf>
    <xf numFmtId="0" fontId="93" fillId="0" borderId="0" xfId="7" applyFont="1" applyFill="1" applyBorder="1" applyAlignment="1"/>
    <xf numFmtId="0" fontId="76" fillId="0" borderId="0" xfId="61" applyFont="1" applyFill="1" applyBorder="1" applyAlignment="1">
      <alignment horizontal="left" vertical="top" wrapText="1"/>
    </xf>
    <xf numFmtId="1" fontId="81" fillId="0" borderId="22" xfId="0" applyNumberFormat="1" applyFont="1" applyBorder="1" applyAlignment="1">
      <alignment horizontal="center" vertical="center"/>
    </xf>
    <xf numFmtId="0" fontId="81" fillId="0" borderId="22" xfId="0" applyFont="1" applyBorder="1" applyAlignment="1">
      <alignment vertical="center"/>
    </xf>
    <xf numFmtId="0" fontId="81" fillId="0" borderId="2" xfId="0" applyFont="1" applyBorder="1" applyAlignment="1">
      <alignment vertical="center"/>
    </xf>
    <xf numFmtId="14" fontId="81" fillId="0" borderId="2" xfId="0" applyNumberFormat="1" applyFont="1" applyBorder="1" applyAlignment="1">
      <alignment horizontal="right" vertical="center"/>
    </xf>
    <xf numFmtId="0" fontId="81" fillId="0" borderId="2" xfId="0" applyFont="1" applyBorder="1" applyAlignment="1">
      <alignment vertical="top"/>
    </xf>
    <xf numFmtId="0" fontId="81" fillId="0" borderId="2" xfId="0" applyFont="1" applyBorder="1" applyAlignment="1">
      <alignment horizontal="center" vertical="center"/>
    </xf>
    <xf numFmtId="3" fontId="81" fillId="0" borderId="2" xfId="0" applyNumberFormat="1" applyFont="1" applyBorder="1" applyAlignment="1">
      <alignment horizontal="right" vertical="center"/>
    </xf>
    <xf numFmtId="1" fontId="81" fillId="0" borderId="1" xfId="0" applyNumberFormat="1" applyFont="1" applyBorder="1" applyAlignment="1">
      <alignment horizontal="right" vertical="center"/>
    </xf>
    <xf numFmtId="0" fontId="81" fillId="0" borderId="23" xfId="0" applyFont="1" applyBorder="1" applyAlignment="1">
      <alignment vertical="top"/>
    </xf>
    <xf numFmtId="0" fontId="81" fillId="0" borderId="21" xfId="0" applyFont="1" applyBorder="1" applyAlignment="1">
      <alignment horizontal="left" vertical="center"/>
    </xf>
    <xf numFmtId="1" fontId="86" fillId="0" borderId="8" xfId="0" applyNumberFormat="1" applyFont="1" applyBorder="1" applyAlignment="1">
      <alignment horizontal="center" vertical="center"/>
    </xf>
    <xf numFmtId="1" fontId="86" fillId="0" borderId="2" xfId="0" applyNumberFormat="1" applyFont="1" applyBorder="1" applyAlignment="1">
      <alignment horizontal="center" vertical="center"/>
    </xf>
    <xf numFmtId="0" fontId="86" fillId="0" borderId="1" xfId="0" applyFont="1" applyBorder="1" applyAlignment="1">
      <alignment horizontal="left" vertical="center"/>
    </xf>
    <xf numFmtId="14" fontId="81" fillId="0" borderId="24" xfId="0" applyNumberFormat="1" applyFont="1" applyBorder="1" applyAlignment="1">
      <alignment horizontal="right" vertical="center"/>
    </xf>
    <xf numFmtId="0" fontId="81" fillId="0" borderId="24" xfId="0" applyFont="1" applyBorder="1" applyAlignment="1">
      <alignment vertical="center"/>
    </xf>
    <xf numFmtId="0" fontId="81" fillId="0" borderId="24" xfId="0" applyFont="1" applyBorder="1" applyAlignment="1">
      <alignment horizontal="center" vertical="center"/>
    </xf>
    <xf numFmtId="3" fontId="81" fillId="0" borderId="24" xfId="0" applyNumberFormat="1" applyFont="1" applyBorder="1" applyAlignment="1">
      <alignment horizontal="right" vertical="center"/>
    </xf>
    <xf numFmtId="1" fontId="86" fillId="0" borderId="9" xfId="0" applyNumberFormat="1" applyFont="1" applyBorder="1" applyAlignment="1">
      <alignment horizontal="center" vertical="center"/>
    </xf>
    <xf numFmtId="1" fontId="86" fillId="0" borderId="24" xfId="0" applyNumberFormat="1" applyFont="1" applyBorder="1" applyAlignment="1">
      <alignment horizontal="center" vertical="center"/>
    </xf>
    <xf numFmtId="0" fontId="81" fillId="0" borderId="3" xfId="0" applyFont="1" applyBorder="1" applyAlignment="1">
      <alignment vertical="center"/>
    </xf>
    <xf numFmtId="14" fontId="81" fillId="0" borderId="3" xfId="0" applyNumberFormat="1" applyFont="1" applyBorder="1" applyAlignment="1">
      <alignment horizontal="right" vertical="center"/>
    </xf>
    <xf numFmtId="0" fontId="81" fillId="0" borderId="3" xfId="0" applyFont="1" applyBorder="1" applyAlignment="1">
      <alignment horizontal="center" vertical="center"/>
    </xf>
    <xf numFmtId="3" fontId="81" fillId="0" borderId="3" xfId="0" applyNumberFormat="1" applyFont="1" applyBorder="1" applyAlignment="1">
      <alignment horizontal="right" vertical="center"/>
    </xf>
    <xf numFmtId="0" fontId="81" fillId="0" borderId="26" xfId="0" applyFont="1" applyBorder="1" applyAlignment="1">
      <alignment horizontal="center" vertical="center"/>
    </xf>
    <xf numFmtId="1" fontId="86" fillId="0" borderId="39" xfId="0" applyNumberFormat="1" applyFont="1" applyBorder="1" applyAlignment="1">
      <alignment horizontal="center" vertical="center"/>
    </xf>
    <xf numFmtId="1" fontId="86" fillId="0" borderId="3" xfId="0" applyNumberFormat="1" applyFont="1" applyBorder="1" applyAlignment="1">
      <alignment horizontal="center" vertical="center"/>
    </xf>
    <xf numFmtId="0" fontId="96" fillId="0" borderId="0" xfId="0" applyFont="1"/>
    <xf numFmtId="0" fontId="86" fillId="0" borderId="0" xfId="0" applyFont="1" applyAlignment="1">
      <alignment horizontal="left" vertical="top"/>
    </xf>
    <xf numFmtId="0" fontId="27" fillId="0" borderId="0" xfId="61" applyFill="1" applyBorder="1" applyAlignment="1">
      <alignment horizontal="left" vertical="center"/>
    </xf>
    <xf numFmtId="0" fontId="67" fillId="0" borderId="0" xfId="32"/>
    <xf numFmtId="0" fontId="32" fillId="0" borderId="19" xfId="0" applyFont="1" applyBorder="1"/>
    <xf numFmtId="0" fontId="32" fillId="0" borderId="5" xfId="0" applyFont="1" applyBorder="1"/>
    <xf numFmtId="1" fontId="31" fillId="2" borderId="0" xfId="12" applyNumberFormat="1" applyFont="1" applyFill="1"/>
    <xf numFmtId="0" fontId="76" fillId="0" borderId="0" xfId="61" applyFont="1"/>
    <xf numFmtId="0" fontId="51" fillId="2" borderId="0" xfId="60" applyFont="1" applyFill="1" applyAlignment="1">
      <alignment vertical="center"/>
    </xf>
    <xf numFmtId="0" fontId="31" fillId="2" borderId="6" xfId="60" applyFont="1" applyFill="1" applyBorder="1"/>
    <xf numFmtId="0" fontId="47" fillId="0" borderId="5" xfId="1" applyFont="1" applyBorder="1"/>
    <xf numFmtId="3" fontId="37" fillId="0" borderId="5" xfId="0" applyNumberFormat="1" applyFont="1" applyBorder="1"/>
    <xf numFmtId="169" fontId="37" fillId="0" borderId="5" xfId="0" applyNumberFormat="1" applyFont="1" applyBorder="1" applyAlignment="1">
      <alignment horizontal="right"/>
    </xf>
    <xf numFmtId="0" fontId="37" fillId="0" borderId="0" xfId="0" applyFont="1" applyAlignment="1">
      <alignment horizontal="left" vertical="top" wrapText="1"/>
    </xf>
    <xf numFmtId="0" fontId="37" fillId="0" borderId="0" xfId="0" applyFont="1" applyAlignment="1">
      <alignment wrapText="1"/>
    </xf>
    <xf numFmtId="0" fontId="38" fillId="0" borderId="0" xfId="0" applyFont="1" applyAlignment="1">
      <alignment horizontal="center" vertical="center" wrapText="1"/>
    </xf>
    <xf numFmtId="0" fontId="51" fillId="0" borderId="0" xfId="0" applyFont="1" applyAlignment="1">
      <alignment horizontal="left"/>
    </xf>
    <xf numFmtId="0" fontId="81" fillId="0" borderId="0" xfId="0" applyFont="1" applyAlignment="1">
      <alignment horizontal="left" vertical="top" wrapText="1"/>
    </xf>
    <xf numFmtId="0" fontId="31" fillId="0" borderId="0" xfId="0" applyFont="1" applyAlignment="1">
      <alignment horizontal="left" vertical="top"/>
    </xf>
    <xf numFmtId="0" fontId="42" fillId="7" borderId="12" xfId="1" applyFont="1" applyFill="1" applyBorder="1" applyAlignment="1">
      <alignment horizontal="left" vertical="center"/>
    </xf>
    <xf numFmtId="0" fontId="42" fillId="7" borderId="12" xfId="1" applyFont="1" applyFill="1" applyBorder="1" applyAlignment="1">
      <alignment horizontal="center" vertical="center"/>
    </xf>
    <xf numFmtId="0" fontId="42" fillId="7" borderId="6" xfId="1" applyFont="1" applyFill="1" applyBorder="1" applyAlignment="1">
      <alignment horizontal="center" vertical="center"/>
    </xf>
    <xf numFmtId="0" fontId="37" fillId="2" borderId="0" xfId="1" applyFont="1" applyFill="1" applyAlignment="1">
      <alignment horizontal="left" vertical="top" wrapText="1"/>
    </xf>
    <xf numFmtId="0" fontId="47" fillId="2" borderId="0" xfId="1" applyFont="1" applyFill="1" applyAlignment="1">
      <alignment horizontal="left" vertical="top" wrapText="1"/>
    </xf>
    <xf numFmtId="0" fontId="37" fillId="0" borderId="0" xfId="32" applyFont="1" applyAlignment="1">
      <alignment horizontal="left" vertical="top" wrapText="1"/>
    </xf>
    <xf numFmtId="176" fontId="47" fillId="0" borderId="0" xfId="1" applyNumberFormat="1" applyFont="1" applyAlignment="1">
      <alignment horizontal="left" vertical="center"/>
    </xf>
    <xf numFmtId="0" fontId="42" fillId="7" borderId="0" xfId="1" applyFont="1" applyFill="1" applyAlignment="1">
      <alignment horizontal="center" vertical="center"/>
    </xf>
    <xf numFmtId="0" fontId="31" fillId="2" borderId="0" xfId="0" applyFont="1" applyFill="1" applyAlignment="1">
      <alignment horizontal="center" vertical="center"/>
    </xf>
    <xf numFmtId="0" fontId="37" fillId="2" borderId="0" xfId="0" applyFont="1" applyFill="1" applyAlignment="1">
      <alignment horizontal="left" vertical="top" wrapText="1"/>
    </xf>
    <xf numFmtId="0" fontId="41" fillId="7" borderId="12" xfId="0" applyFont="1" applyFill="1" applyBorder="1" applyAlignment="1">
      <alignment horizontal="center" vertical="center"/>
    </xf>
    <xf numFmtId="0" fontId="41" fillId="7" borderId="6" xfId="0" applyFont="1" applyFill="1" applyBorder="1" applyAlignment="1">
      <alignment horizontal="center" vertical="center"/>
    </xf>
    <xf numFmtId="0" fontId="31" fillId="2" borderId="0" xfId="38" applyFont="1" applyFill="1" applyAlignment="1">
      <alignment horizontal="left" vertical="top" wrapText="1"/>
    </xf>
    <xf numFmtId="0" fontId="76" fillId="0" borderId="0" xfId="61" applyFont="1" applyAlignment="1">
      <alignment horizontal="left" vertical="center"/>
    </xf>
    <xf numFmtId="3" fontId="27" fillId="0" borderId="0" xfId="61" applyNumberFormat="1" applyFill="1" applyAlignment="1">
      <alignment horizontal="left" vertical="center"/>
    </xf>
    <xf numFmtId="1" fontId="31" fillId="3" borderId="0" xfId="2" applyNumberFormat="1" applyFont="1" applyFill="1"/>
    <xf numFmtId="1" fontId="33" fillId="2" borderId="0" xfId="9" applyNumberFormat="1" applyFont="1" applyFill="1"/>
    <xf numFmtId="1" fontId="41" fillId="7" borderId="5" xfId="0" applyNumberFormat="1" applyFont="1" applyFill="1" applyBorder="1" applyAlignment="1">
      <alignment horizontal="center" indent="19"/>
    </xf>
    <xf numFmtId="1" fontId="31" fillId="0" borderId="34" xfId="0" applyNumberFormat="1" applyFont="1" applyBorder="1" applyAlignment="1">
      <alignment horizontal="right"/>
    </xf>
    <xf numFmtId="1" fontId="41" fillId="7" borderId="54" xfId="0" applyNumberFormat="1" applyFont="1" applyFill="1" applyBorder="1" applyAlignment="1">
      <alignment horizontal="center" indent="24"/>
    </xf>
    <xf numFmtId="1" fontId="31" fillId="2" borderId="0" xfId="4" applyNumberFormat="1" applyFont="1" applyFill="1"/>
    <xf numFmtId="1" fontId="31" fillId="2" borderId="53" xfId="0" applyNumberFormat="1" applyFont="1" applyFill="1" applyBorder="1"/>
    <xf numFmtId="1" fontId="31" fillId="2" borderId="30" xfId="0" applyNumberFormat="1" applyFont="1" applyFill="1" applyBorder="1"/>
    <xf numFmtId="1" fontId="31" fillId="2" borderId="52" xfId="0" applyNumberFormat="1" applyFont="1" applyFill="1" applyBorder="1"/>
    <xf numFmtId="1" fontId="31" fillId="2" borderId="56" xfId="0" applyNumberFormat="1" applyFont="1" applyFill="1" applyBorder="1"/>
    <xf numFmtId="1" fontId="31" fillId="2" borderId="34" xfId="0" applyNumberFormat="1" applyFont="1" applyFill="1" applyBorder="1"/>
    <xf numFmtId="1" fontId="31" fillId="2" borderId="0" xfId="0" applyNumberFormat="1" applyFont="1" applyFill="1" applyAlignment="1">
      <alignment horizontal="center"/>
    </xf>
    <xf numFmtId="1" fontId="41" fillId="0" borderId="42" xfId="0" applyNumberFormat="1" applyFont="1" applyBorder="1"/>
    <xf numFmtId="1" fontId="41" fillId="0" borderId="30" xfId="0" applyNumberFormat="1" applyFont="1" applyBorder="1"/>
    <xf numFmtId="1" fontId="31" fillId="2" borderId="63" xfId="0" applyNumberFormat="1" applyFont="1" applyFill="1" applyBorder="1"/>
    <xf numFmtId="1" fontId="31" fillId="2" borderId="64" xfId="0" applyNumberFormat="1" applyFont="1" applyFill="1" applyBorder="1"/>
    <xf numFmtId="1" fontId="31" fillId="0" borderId="60" xfId="0" applyNumberFormat="1" applyFont="1" applyBorder="1" applyAlignment="1">
      <alignment horizontal="right"/>
    </xf>
    <xf numFmtId="1" fontId="31" fillId="2" borderId="53" xfId="0" applyNumberFormat="1" applyFont="1" applyFill="1" applyBorder="1" applyAlignment="1">
      <alignment horizontal="center"/>
    </xf>
    <xf numFmtId="1" fontId="31" fillId="2" borderId="34" xfId="0" applyNumberFormat="1" applyFont="1" applyFill="1" applyBorder="1" applyAlignment="1">
      <alignment horizontal="center"/>
    </xf>
    <xf numFmtId="1" fontId="31" fillId="2" borderId="60" xfId="0" applyNumberFormat="1" applyFont="1" applyFill="1" applyBorder="1" applyAlignment="1">
      <alignment horizontal="center"/>
    </xf>
    <xf numFmtId="1" fontId="31" fillId="2" borderId="30" xfId="0" applyNumberFormat="1" applyFont="1" applyFill="1" applyBorder="1" applyAlignment="1">
      <alignment horizontal="center"/>
    </xf>
    <xf numFmtId="1" fontId="41" fillId="7" borderId="54" xfId="0" applyNumberFormat="1" applyFont="1" applyFill="1" applyBorder="1" applyAlignment="1">
      <alignment horizontal="center"/>
    </xf>
    <xf numFmtId="1" fontId="41" fillId="2" borderId="65" xfId="0" applyNumberFormat="1" applyFont="1" applyFill="1" applyBorder="1" applyAlignment="1">
      <alignment horizontal="center"/>
    </xf>
    <xf numFmtId="1" fontId="31" fillId="2" borderId="0" xfId="4" applyNumberFormat="1" applyFont="1" applyFill="1" applyAlignment="1">
      <alignment horizontal="center"/>
    </xf>
    <xf numFmtId="1" fontId="31" fillId="2" borderId="0" xfId="2" applyNumberFormat="1" applyFont="1" applyFill="1" applyAlignment="1">
      <alignment horizontal="center"/>
    </xf>
    <xf numFmtId="1" fontId="51" fillId="3" borderId="0" xfId="2" applyNumberFormat="1" applyFont="1" applyFill="1"/>
    <xf numFmtId="1" fontId="33" fillId="2" borderId="0" xfId="9" applyNumberFormat="1" applyFont="1" applyFill="1" applyAlignment="1">
      <alignment horizontal="center"/>
    </xf>
    <xf numFmtId="1" fontId="31" fillId="2" borderId="0" xfId="9" applyNumberFormat="1" applyFont="1" applyFill="1" applyAlignment="1">
      <alignment horizontal="left" vertical="top" wrapText="1"/>
    </xf>
    <xf numFmtId="1" fontId="31" fillId="2" borderId="65" xfId="9" applyNumberFormat="1" applyFont="1" applyFill="1" applyBorder="1" applyAlignment="1">
      <alignment horizontal="left" vertical="top" wrapText="1"/>
    </xf>
    <xf numFmtId="1" fontId="41" fillId="2" borderId="65" xfId="2" applyNumberFormat="1" applyFont="1" applyFill="1" applyBorder="1" applyAlignment="1">
      <alignment horizontal="right"/>
    </xf>
    <xf numFmtId="1" fontId="33" fillId="2" borderId="65" xfId="9" applyNumberFormat="1" applyFont="1" applyFill="1" applyBorder="1"/>
    <xf numFmtId="1" fontId="41" fillId="2" borderId="0" xfId="0" applyNumberFormat="1" applyFont="1" applyFill="1"/>
    <xf numFmtId="1" fontId="41" fillId="7" borderId="33" xfId="2" applyNumberFormat="1" applyFont="1" applyFill="1" applyBorder="1" applyAlignment="1">
      <alignment horizontal="right"/>
    </xf>
    <xf numFmtId="1" fontId="31" fillId="0" borderId="60" xfId="0" applyNumberFormat="1" applyFont="1" applyBorder="1"/>
    <xf numFmtId="1" fontId="37" fillId="0" borderId="30" xfId="0" applyNumberFormat="1" applyFont="1" applyBorder="1"/>
    <xf numFmtId="1" fontId="31" fillId="2" borderId="0" xfId="9" applyNumberFormat="1" applyFont="1" applyFill="1" applyAlignment="1">
      <alignment vertical="top" wrapText="1"/>
    </xf>
    <xf numFmtId="1" fontId="31" fillId="2" borderId="0" xfId="2" applyNumberFormat="1" applyFont="1" applyFill="1"/>
    <xf numFmtId="1" fontId="41" fillId="2" borderId="30" xfId="0" applyNumberFormat="1" applyFont="1" applyFill="1" applyBorder="1"/>
    <xf numFmtId="1" fontId="41" fillId="2" borderId="53" xfId="0" applyNumberFormat="1" applyFont="1" applyFill="1" applyBorder="1"/>
    <xf numFmtId="1" fontId="41" fillId="2" borderId="42" xfId="0" applyNumberFormat="1" applyFont="1" applyFill="1" applyBorder="1"/>
    <xf numFmtId="1" fontId="41" fillId="2" borderId="64" xfId="0" applyNumberFormat="1" applyFont="1" applyFill="1" applyBorder="1"/>
    <xf numFmtId="1" fontId="31" fillId="2" borderId="42" xfId="0" applyNumberFormat="1" applyFont="1" applyFill="1" applyBorder="1"/>
    <xf numFmtId="1" fontId="31" fillId="2" borderId="57" xfId="0" applyNumberFormat="1" applyFont="1" applyFill="1" applyBorder="1"/>
    <xf numFmtId="1" fontId="33" fillId="2" borderId="65" xfId="9" applyNumberFormat="1" applyFont="1" applyFill="1" applyBorder="1" applyAlignment="1">
      <alignment horizontal="center"/>
    </xf>
    <xf numFmtId="1" fontId="51" fillId="2" borderId="0" xfId="9" applyNumberFormat="1" applyFont="1" applyFill="1" applyAlignment="1">
      <alignment vertical="center"/>
    </xf>
    <xf numFmtId="1" fontId="51" fillId="2" borderId="0" xfId="9" applyNumberFormat="1" applyFont="1" applyFill="1" applyAlignment="1">
      <alignment vertical="center" wrapText="1"/>
    </xf>
    <xf numFmtId="1" fontId="41" fillId="7" borderId="5" xfId="0" applyNumberFormat="1" applyFont="1" applyFill="1" applyBorder="1" applyAlignment="1">
      <alignment horizontal="center"/>
    </xf>
    <xf numFmtId="1" fontId="41" fillId="7" borderId="32" xfId="0" applyNumberFormat="1" applyFont="1" applyFill="1" applyBorder="1" applyAlignment="1">
      <alignment horizontal="center" vertical="center"/>
    </xf>
    <xf numFmtId="1" fontId="41" fillId="7" borderId="31" xfId="0" applyNumberFormat="1" applyFont="1" applyFill="1" applyBorder="1" applyAlignment="1">
      <alignment vertical="center"/>
    </xf>
    <xf numFmtId="1" fontId="41" fillId="7" borderId="32" xfId="0" applyNumberFormat="1" applyFont="1" applyFill="1" applyBorder="1" applyAlignment="1">
      <alignment vertical="center"/>
    </xf>
    <xf numFmtId="1" fontId="41" fillId="7" borderId="19" xfId="0" applyNumberFormat="1" applyFont="1" applyFill="1" applyBorder="1" applyAlignment="1">
      <alignment vertical="center"/>
    </xf>
    <xf numFmtId="1" fontId="41" fillId="7" borderId="55" xfId="0" applyNumberFormat="1" applyFont="1" applyFill="1" applyBorder="1" applyAlignment="1">
      <alignment vertical="center"/>
    </xf>
    <xf numFmtId="1" fontId="41" fillId="7" borderId="33" xfId="2" applyNumberFormat="1" applyFont="1" applyFill="1" applyBorder="1" applyAlignment="1">
      <alignment horizontal="left"/>
    </xf>
    <xf numFmtId="0" fontId="46" fillId="0" borderId="0" xfId="62" applyFont="1" applyFill="1" applyBorder="1" applyAlignment="1"/>
    <xf numFmtId="0" fontId="37" fillId="0" borderId="0" xfId="0" applyFont="1" applyAlignment="1">
      <alignment horizontal="left" vertical="top" wrapText="1"/>
    </xf>
    <xf numFmtId="0" fontId="37" fillId="0" borderId="0" xfId="0" applyFont="1" applyAlignment="1">
      <alignment wrapText="1"/>
    </xf>
    <xf numFmtId="0" fontId="80" fillId="15" borderId="0" xfId="0" applyFont="1" applyFill="1" applyAlignment="1">
      <alignment horizontal="center" vertical="center" wrapText="1"/>
    </xf>
    <xf numFmtId="0" fontId="38" fillId="0" borderId="0" xfId="0" applyFont="1" applyAlignment="1">
      <alignment horizontal="center" vertical="center" wrapText="1"/>
    </xf>
    <xf numFmtId="0" fontId="39" fillId="0" borderId="0" xfId="0" applyFont="1" applyAlignment="1">
      <alignment horizontal="center" vertical="center" wrapText="1"/>
    </xf>
    <xf numFmtId="0" fontId="47" fillId="0" borderId="0" xfId="0" applyFont="1" applyAlignment="1">
      <alignment horizontal="left" vertical="top" wrapText="1"/>
    </xf>
    <xf numFmtId="0" fontId="81" fillId="11" borderId="0" xfId="0" applyFont="1" applyFill="1" applyAlignment="1">
      <alignment horizontal="left" vertical="top" wrapText="1"/>
    </xf>
    <xf numFmtId="0" fontId="37" fillId="11" borderId="0" xfId="0" applyFont="1" applyFill="1" applyAlignment="1">
      <alignment horizontal="left" vertical="top" wrapText="1"/>
    </xf>
    <xf numFmtId="0" fontId="76" fillId="0" borderId="0" xfId="61" applyFont="1" applyAlignment="1">
      <alignment horizontal="center" vertical="center" wrapText="1"/>
    </xf>
    <xf numFmtId="0" fontId="61" fillId="0" borderId="0" xfId="0" applyFont="1" applyAlignment="1">
      <alignment horizontal="left" vertical="top" wrapText="1"/>
    </xf>
    <xf numFmtId="0" fontId="51" fillId="0" borderId="0" xfId="0" applyFont="1" applyAlignment="1">
      <alignment horizontal="left"/>
    </xf>
    <xf numFmtId="0" fontId="81" fillId="0" borderId="0" xfId="0" applyFont="1" applyAlignment="1">
      <alignment horizontal="left" vertical="top" wrapText="1"/>
    </xf>
    <xf numFmtId="0" fontId="31" fillId="0" borderId="0" xfId="0" applyFont="1" applyAlignment="1">
      <alignment horizontal="left" vertical="top"/>
    </xf>
    <xf numFmtId="0" fontId="42" fillId="7" borderId="12" xfId="1" applyFont="1" applyFill="1" applyBorder="1" applyAlignment="1">
      <alignment horizontal="left" vertical="center"/>
    </xf>
    <xf numFmtId="0" fontId="42" fillId="7" borderId="6" xfId="1" applyFont="1" applyFill="1" applyBorder="1" applyAlignment="1">
      <alignment horizontal="left" vertical="center"/>
    </xf>
    <xf numFmtId="0" fontId="42" fillId="7" borderId="12" xfId="1" applyFont="1" applyFill="1" applyBorder="1" applyAlignment="1">
      <alignment horizontal="center" vertical="center"/>
    </xf>
    <xf numFmtId="0" fontId="42" fillId="7" borderId="6" xfId="1" applyFont="1" applyFill="1" applyBorder="1" applyAlignment="1">
      <alignment horizontal="center" vertical="center"/>
    </xf>
    <xf numFmtId="0" fontId="37" fillId="2" borderId="0" xfId="1" applyFont="1" applyFill="1" applyAlignment="1">
      <alignment horizontal="left" vertical="top" wrapText="1"/>
    </xf>
    <xf numFmtId="0" fontId="47" fillId="2" borderId="0" xfId="1" applyFont="1" applyFill="1" applyAlignment="1">
      <alignment horizontal="left" vertical="top" wrapText="1"/>
    </xf>
    <xf numFmtId="0" fontId="42" fillId="7" borderId="12" xfId="1" applyFont="1" applyFill="1" applyBorder="1" applyAlignment="1">
      <alignment horizontal="left" vertical="center" wrapText="1"/>
    </xf>
    <xf numFmtId="0" fontId="42" fillId="7" borderId="6" xfId="1" applyFont="1" applyFill="1" applyBorder="1" applyAlignment="1">
      <alignment horizontal="left" vertical="center" wrapText="1"/>
    </xf>
    <xf numFmtId="0" fontId="31" fillId="2" borderId="0" xfId="9" applyFont="1" applyFill="1" applyAlignment="1">
      <alignment horizontal="left" vertical="top" wrapText="1"/>
    </xf>
    <xf numFmtId="0" fontId="37" fillId="2" borderId="0" xfId="9" applyFont="1" applyFill="1" applyAlignment="1">
      <alignment horizontal="left" vertical="top" wrapText="1"/>
    </xf>
    <xf numFmtId="0" fontId="31" fillId="2" borderId="0" xfId="15" applyFont="1" applyFill="1" applyAlignment="1">
      <alignment horizontal="left" vertical="top" wrapText="1"/>
    </xf>
    <xf numFmtId="0" fontId="47" fillId="0" borderId="0" xfId="1" applyFont="1" applyAlignment="1">
      <alignment horizontal="left" vertical="top" wrapText="1"/>
    </xf>
    <xf numFmtId="0" fontId="31" fillId="3" borderId="0" xfId="2" applyFont="1" applyFill="1" applyAlignment="1">
      <alignment horizontal="left" vertical="top" wrapText="1"/>
    </xf>
    <xf numFmtId="0" fontId="47" fillId="0" borderId="0" xfId="0" applyFont="1" applyAlignment="1">
      <alignment horizontal="left" vertical="center" wrapText="1"/>
    </xf>
    <xf numFmtId="0" fontId="75" fillId="2" borderId="0" xfId="1" applyFont="1" applyFill="1" applyAlignment="1">
      <alignment horizontal="left" vertical="top" wrapText="1"/>
    </xf>
    <xf numFmtId="0" fontId="37" fillId="2" borderId="0" xfId="43" applyFont="1" applyFill="1" applyAlignment="1">
      <alignment horizontal="left" vertical="top" wrapText="1"/>
    </xf>
    <xf numFmtId="0" fontId="43" fillId="2" borderId="12" xfId="0" applyFont="1" applyFill="1" applyBorder="1" applyAlignment="1">
      <alignment horizontal="left" vertical="center"/>
    </xf>
    <xf numFmtId="0" fontId="43" fillId="2" borderId="0" xfId="0" applyFont="1" applyFill="1" applyAlignment="1">
      <alignment horizontal="left" vertical="center"/>
    </xf>
    <xf numFmtId="0" fontId="43" fillId="2" borderId="6" xfId="0" applyFont="1" applyFill="1" applyBorder="1" applyAlignment="1">
      <alignment horizontal="left" vertical="center"/>
    </xf>
    <xf numFmtId="0" fontId="43" fillId="2" borderId="12" xfId="0" applyFont="1" applyFill="1" applyBorder="1" applyAlignment="1">
      <alignment horizontal="left" vertical="center" wrapText="1"/>
    </xf>
    <xf numFmtId="0" fontId="43" fillId="2" borderId="0" xfId="0" applyFont="1" applyFill="1" applyAlignment="1">
      <alignment horizontal="left" vertical="center" wrapText="1"/>
    </xf>
    <xf numFmtId="0" fontId="43" fillId="2" borderId="6" xfId="0" applyFont="1" applyFill="1" applyBorder="1" applyAlignment="1">
      <alignment horizontal="left" vertical="center" wrapText="1"/>
    </xf>
    <xf numFmtId="0" fontId="37" fillId="2" borderId="0" xfId="36" applyFont="1" applyFill="1" applyAlignment="1">
      <alignment horizontal="left" vertical="top" wrapText="1"/>
    </xf>
    <xf numFmtId="0" fontId="43" fillId="2" borderId="0" xfId="37" applyFont="1" applyFill="1" applyAlignment="1">
      <alignment horizontal="center" vertical="center" wrapText="1"/>
    </xf>
    <xf numFmtId="0" fontId="31" fillId="2" borderId="0" xfId="37" applyFont="1" applyFill="1" applyAlignment="1">
      <alignment horizontal="left" vertical="top" wrapText="1"/>
    </xf>
    <xf numFmtId="0" fontId="31" fillId="2" borderId="0" xfId="46" applyFont="1" applyFill="1" applyAlignment="1">
      <alignment horizontal="left" vertical="top" wrapText="1"/>
    </xf>
    <xf numFmtId="0" fontId="31" fillId="2" borderId="0" xfId="45" applyFont="1" applyFill="1" applyAlignment="1">
      <alignment horizontal="left" vertical="top" wrapText="1"/>
    </xf>
    <xf numFmtId="0" fontId="37" fillId="0" borderId="0" xfId="32" applyFont="1" applyAlignment="1">
      <alignment horizontal="left" vertical="top" wrapText="1"/>
    </xf>
    <xf numFmtId="0" fontId="73" fillId="2" borderId="0" xfId="9" applyFont="1" applyFill="1" applyAlignment="1">
      <alignment horizontal="left" vertical="top" wrapText="1"/>
    </xf>
    <xf numFmtId="0" fontId="38" fillId="0" borderId="0" xfId="0" applyFont="1" applyAlignment="1">
      <alignment horizontal="left" vertical="top" wrapText="1"/>
    </xf>
    <xf numFmtId="0" fontId="37" fillId="2" borderId="0" xfId="1" applyFont="1" applyFill="1" applyAlignment="1">
      <alignment vertical="top" wrapText="1"/>
    </xf>
    <xf numFmtId="0" fontId="31" fillId="2" borderId="19" xfId="31" applyFont="1" applyFill="1" applyBorder="1" applyAlignment="1">
      <alignment horizontal="left" vertical="center"/>
    </xf>
    <xf numFmtId="0" fontId="31" fillId="2" borderId="0" xfId="31" applyFont="1" applyFill="1" applyAlignment="1">
      <alignment horizontal="left" vertical="center"/>
    </xf>
    <xf numFmtId="0" fontId="31" fillId="2" borderId="5" xfId="31" applyFont="1" applyFill="1" applyBorder="1" applyAlignment="1">
      <alignment horizontal="left" vertical="center"/>
    </xf>
    <xf numFmtId="176" fontId="47" fillId="0" borderId="0" xfId="1" applyNumberFormat="1" applyFont="1" applyAlignment="1">
      <alignment horizontal="left" vertical="center"/>
    </xf>
    <xf numFmtId="176" fontId="47" fillId="0" borderId="6" xfId="1" applyNumberFormat="1" applyFont="1" applyBorder="1" applyAlignment="1">
      <alignment horizontal="left" vertical="center"/>
    </xf>
    <xf numFmtId="0" fontId="42" fillId="7" borderId="0" xfId="1" applyFont="1" applyFill="1" applyAlignment="1">
      <alignment horizontal="center" vertical="center"/>
    </xf>
    <xf numFmtId="176" fontId="47" fillId="0" borderId="5" xfId="1" applyNumberFormat="1" applyFont="1" applyBorder="1" applyAlignment="1">
      <alignment horizontal="left" vertical="center"/>
    </xf>
    <xf numFmtId="0" fontId="41" fillId="7" borderId="0" xfId="31" applyFont="1" applyFill="1" applyAlignment="1">
      <alignment horizontal="center" vertical="center"/>
    </xf>
    <xf numFmtId="0" fontId="31" fillId="2" borderId="0" xfId="0" applyFont="1" applyFill="1" applyAlignment="1">
      <alignment horizontal="center" vertical="center"/>
    </xf>
    <xf numFmtId="0" fontId="43" fillId="2" borderId="19" xfId="43" applyFont="1" applyFill="1" applyBorder="1" applyAlignment="1">
      <alignment horizontal="center" vertical="center"/>
    </xf>
    <xf numFmtId="0" fontId="43" fillId="2" borderId="0" xfId="43" applyFont="1" applyFill="1" applyAlignment="1">
      <alignment horizontal="center" vertical="center"/>
    </xf>
    <xf numFmtId="0" fontId="43" fillId="2" borderId="6" xfId="43" applyFont="1" applyFill="1" applyBorder="1" applyAlignment="1">
      <alignment horizontal="center" vertical="center"/>
    </xf>
    <xf numFmtId="0" fontId="43" fillId="2" borderId="12" xfId="43" applyFont="1" applyFill="1" applyBorder="1" applyAlignment="1">
      <alignment horizontal="center" vertical="center"/>
    </xf>
    <xf numFmtId="0" fontId="43" fillId="2" borderId="12" xfId="0" applyFont="1" applyFill="1" applyBorder="1" applyAlignment="1">
      <alignment horizontal="center" vertical="center"/>
    </xf>
    <xf numFmtId="0" fontId="43" fillId="2" borderId="0" xfId="0" applyFont="1" applyFill="1" applyAlignment="1">
      <alignment horizontal="center" vertical="center"/>
    </xf>
    <xf numFmtId="0" fontId="43" fillId="2" borderId="6" xfId="0" applyFont="1" applyFill="1" applyBorder="1" applyAlignment="1">
      <alignment horizontal="center" vertical="center"/>
    </xf>
    <xf numFmtId="1" fontId="41" fillId="7" borderId="61" xfId="0" applyNumberFormat="1" applyFont="1" applyFill="1" applyBorder="1" applyAlignment="1">
      <alignment horizontal="center" vertical="center"/>
    </xf>
    <xf numFmtId="1" fontId="41" fillId="7" borderId="62" xfId="0" applyNumberFormat="1" applyFont="1" applyFill="1" applyBorder="1" applyAlignment="1">
      <alignment horizontal="center" vertical="center"/>
    </xf>
    <xf numFmtId="1" fontId="41" fillId="7" borderId="31" xfId="0" applyNumberFormat="1" applyFont="1" applyFill="1" applyBorder="1" applyAlignment="1">
      <alignment horizontal="center" vertical="center"/>
    </xf>
    <xf numFmtId="1" fontId="41" fillId="7" borderId="32" xfId="0" applyNumberFormat="1" applyFont="1" applyFill="1" applyBorder="1" applyAlignment="1">
      <alignment horizontal="center" vertical="center"/>
    </xf>
    <xf numFmtId="1" fontId="41" fillId="7" borderId="58" xfId="0" applyNumberFormat="1" applyFont="1" applyFill="1" applyBorder="1" applyAlignment="1">
      <alignment horizontal="center" vertical="center"/>
    </xf>
    <xf numFmtId="1" fontId="41" fillId="7" borderId="59" xfId="0" applyNumberFormat="1" applyFont="1" applyFill="1" applyBorder="1" applyAlignment="1">
      <alignment horizontal="center" vertical="center"/>
    </xf>
    <xf numFmtId="1" fontId="31" fillId="2" borderId="0" xfId="9" applyNumberFormat="1" applyFont="1" applyFill="1" applyAlignment="1">
      <alignment horizontal="left" vertical="top" wrapText="1"/>
    </xf>
    <xf numFmtId="1" fontId="41" fillId="2" borderId="0" xfId="0" applyNumberFormat="1" applyFont="1" applyFill="1" applyAlignment="1">
      <alignment horizontal="center" vertical="center"/>
    </xf>
    <xf numFmtId="1" fontId="41" fillId="7" borderId="19" xfId="0" applyNumberFormat="1" applyFont="1" applyFill="1" applyBorder="1" applyAlignment="1">
      <alignment horizontal="center" vertical="center"/>
    </xf>
    <xf numFmtId="1" fontId="41" fillId="7" borderId="55" xfId="0" applyNumberFormat="1" applyFont="1" applyFill="1" applyBorder="1" applyAlignment="1">
      <alignment horizontal="center" vertical="center"/>
    </xf>
    <xf numFmtId="0" fontId="89" fillId="2" borderId="0" xfId="9" applyFont="1" applyFill="1" applyAlignment="1">
      <alignment horizontal="left" vertical="top" wrapText="1"/>
    </xf>
    <xf numFmtId="0" fontId="71" fillId="2" borderId="0" xfId="9" applyFont="1" applyFill="1" applyAlignment="1">
      <alignment horizontal="left" vertical="top" wrapText="1"/>
    </xf>
    <xf numFmtId="0" fontId="89" fillId="0" borderId="0" xfId="9" applyFont="1" applyAlignment="1">
      <alignment horizontal="left" vertical="top" wrapText="1"/>
    </xf>
    <xf numFmtId="0" fontId="109" fillId="0" borderId="0" xfId="9" applyFont="1" applyAlignment="1">
      <alignment horizontal="left" vertical="top" wrapText="1"/>
    </xf>
    <xf numFmtId="0" fontId="37" fillId="2" borderId="0" xfId="0" applyFont="1" applyFill="1" applyAlignment="1">
      <alignment horizontal="left" vertical="top" wrapText="1"/>
    </xf>
    <xf numFmtId="0" fontId="31" fillId="0" borderId="0" xfId="50" applyFont="1" applyAlignment="1">
      <alignment horizontal="left" vertical="top" wrapText="1"/>
    </xf>
    <xf numFmtId="0" fontId="31" fillId="0" borderId="0" xfId="52" applyFont="1" applyAlignment="1">
      <alignment horizontal="left" vertical="top" wrapText="1"/>
    </xf>
    <xf numFmtId="0" fontId="41" fillId="7" borderId="12" xfId="0" applyFont="1" applyFill="1" applyBorder="1" applyAlignment="1">
      <alignment horizontal="center" vertical="center"/>
    </xf>
    <xf numFmtId="0" fontId="41" fillId="7" borderId="6" xfId="0" applyFont="1" applyFill="1" applyBorder="1" applyAlignment="1">
      <alignment horizontal="center" vertical="center"/>
    </xf>
    <xf numFmtId="0" fontId="41" fillId="7" borderId="19" xfId="0" applyFont="1" applyFill="1" applyBorder="1" applyAlignment="1">
      <alignment horizontal="center" vertical="center"/>
    </xf>
    <xf numFmtId="0" fontId="41" fillId="7" borderId="5" xfId="0" applyFont="1" applyFill="1" applyBorder="1" applyAlignment="1">
      <alignment horizontal="center" vertical="center"/>
    </xf>
    <xf numFmtId="0" fontId="42" fillId="14" borderId="19" xfId="1" applyFont="1" applyFill="1" applyBorder="1" applyAlignment="1">
      <alignment horizontal="center" vertical="center"/>
    </xf>
    <xf numFmtId="0" fontId="42" fillId="14" borderId="5" xfId="1" applyFont="1" applyFill="1" applyBorder="1" applyAlignment="1">
      <alignment horizontal="center" vertical="center"/>
    </xf>
    <xf numFmtId="0" fontId="31" fillId="3" borderId="0" xfId="13" applyFont="1" applyFill="1" applyAlignment="1">
      <alignment horizontal="left" vertical="top" wrapText="1"/>
    </xf>
    <xf numFmtId="0" fontId="31" fillId="2" borderId="0" xfId="12" applyFont="1" applyFill="1" applyAlignment="1">
      <alignment horizontal="left" vertical="top" wrapText="1"/>
    </xf>
    <xf numFmtId="0" fontId="45" fillId="13" borderId="19" xfId="32" applyFont="1" applyFill="1" applyBorder="1" applyAlignment="1">
      <alignment horizontal="left" vertical="center"/>
    </xf>
    <xf numFmtId="0" fontId="45" fillId="13" borderId="5" xfId="32" applyFont="1" applyFill="1" applyBorder="1" applyAlignment="1">
      <alignment horizontal="left" vertical="center"/>
    </xf>
    <xf numFmtId="1" fontId="45" fillId="13" borderId="19" xfId="32" applyNumberFormat="1" applyFont="1" applyFill="1" applyBorder="1" applyAlignment="1">
      <alignment horizontal="center" vertical="center"/>
    </xf>
    <xf numFmtId="1" fontId="45" fillId="13" borderId="5" xfId="32" applyNumberFormat="1" applyFont="1" applyFill="1" applyBorder="1" applyAlignment="1">
      <alignment horizontal="center" vertical="center"/>
    </xf>
    <xf numFmtId="0" fontId="31" fillId="2" borderId="0" xfId="38" applyFont="1" applyFill="1" applyAlignment="1">
      <alignment horizontal="left" vertical="top" wrapText="1"/>
    </xf>
    <xf numFmtId="0" fontId="33" fillId="0" borderId="0" xfId="41" applyFont="1" applyAlignment="1">
      <alignment horizontal="left" vertical="top" wrapText="1"/>
    </xf>
    <xf numFmtId="0" fontId="32" fillId="0" borderId="0" xfId="0" applyFont="1" applyAlignment="1">
      <alignment horizontal="left" vertical="top" wrapText="1"/>
    </xf>
    <xf numFmtId="0" fontId="100" fillId="0" borderId="19" xfId="0" applyFont="1" applyBorder="1" applyAlignment="1">
      <alignment wrapText="1"/>
    </xf>
    <xf numFmtId="0" fontId="100" fillId="0" borderId="0" xfId="0" applyFont="1" applyAlignment="1">
      <alignment wrapText="1"/>
    </xf>
    <xf numFmtId="0" fontId="103" fillId="0" borderId="19" xfId="0" applyFont="1" applyBorder="1" applyAlignment="1">
      <alignment wrapText="1"/>
    </xf>
    <xf numFmtId="0" fontId="103" fillId="0" borderId="5" xfId="0" applyFont="1" applyBorder="1" applyAlignment="1">
      <alignment wrapText="1"/>
    </xf>
    <xf numFmtId="0" fontId="103" fillId="0" borderId="19" xfId="0" applyFont="1" applyBorder="1" applyAlignment="1">
      <alignment horizontal="left"/>
    </xf>
    <xf numFmtId="0" fontId="103" fillId="0" borderId="5" xfId="0" applyFont="1" applyBorder="1" applyAlignment="1">
      <alignment horizontal="left"/>
    </xf>
    <xf numFmtId="0" fontId="67" fillId="0" borderId="0" xfId="32" applyAlignment="1"/>
    <xf numFmtId="0" fontId="32" fillId="0" borderId="19" xfId="0" applyFont="1" applyBorder="1" applyAlignment="1"/>
    <xf numFmtId="0" fontId="32" fillId="0" borderId="5" xfId="0" applyFont="1" applyBorder="1" applyAlignment="1"/>
  </cellXfs>
  <cellStyles count="63">
    <cellStyle name="Comma 2" xfId="10" xr:uid="{00000000-0005-0000-0000-000000000000}"/>
    <cellStyle name="Comma 2 2" xfId="44" xr:uid="{00000000-0005-0000-0000-000001000000}"/>
    <cellStyle name="Comma 3" xfId="40" xr:uid="{00000000-0005-0000-0000-000002000000}"/>
    <cellStyle name="Hyperlink" xfId="61" xr:uid="{00000000-0005-0000-0000-000003000000}"/>
    <cellStyle name="Hyperlink 2" xfId="7" xr:uid="{00000000-0005-0000-0000-000004000000}"/>
    <cellStyle name="Komma" xfId="11" builtinId="3"/>
    <cellStyle name="Komma 3" xfId="51" xr:uid="{060015CD-9C1D-439B-AE20-0096BF03F816}"/>
    <cellStyle name="Link" xfId="62" builtinId="8"/>
    <cellStyle name="Link 2" xfId="33" xr:uid="{00000000-0005-0000-0000-000006000000}"/>
    <cellStyle name="Normal 2" xfId="2" xr:uid="{00000000-0005-0000-0000-000007000000}"/>
    <cellStyle name="Normal 2 2" xfId="4" xr:uid="{00000000-0005-0000-0000-000008000000}"/>
    <cellStyle name="Normal 2 2 2" xfId="15" xr:uid="{00000000-0005-0000-0000-000009000000}"/>
    <cellStyle name="Normal 2 2 2 2" xfId="17" xr:uid="{00000000-0005-0000-0000-00000A000000}"/>
    <cellStyle name="Normal 2 2 2 2 2" xfId="22" xr:uid="{00000000-0005-0000-0000-00000B000000}"/>
    <cellStyle name="Normal 2 2 2 2 3" xfId="25" xr:uid="{00000000-0005-0000-0000-00000C000000}"/>
    <cellStyle name="Normal 2 2 2 2 3 2" xfId="31" xr:uid="{00000000-0005-0000-0000-00000D000000}"/>
    <cellStyle name="Normal 2 2 2 2 4" xfId="27" xr:uid="{00000000-0005-0000-0000-00000E000000}"/>
    <cellStyle name="Normal 2 2 2 2 4 2" xfId="48" xr:uid="{FA156266-0D8E-4222-9F3C-B000CB0B9B1D}"/>
    <cellStyle name="Normal 2 2 2 2 5" xfId="58" xr:uid="{B77265ED-5FBE-45F5-8DEC-821561BBA777}"/>
    <cellStyle name="Normal 2 2 3" xfId="16" xr:uid="{00000000-0005-0000-0000-00000F000000}"/>
    <cellStyle name="Normal 2 2 3 2" xfId="35" xr:uid="{00000000-0005-0000-0000-000010000000}"/>
    <cellStyle name="Normal 2 2 4" xfId="21" xr:uid="{00000000-0005-0000-0000-000011000000}"/>
    <cellStyle name="Normal 2 2 5" xfId="24" xr:uid="{00000000-0005-0000-0000-000012000000}"/>
    <cellStyle name="Normal 2 2 5 2" xfId="30" xr:uid="{00000000-0005-0000-0000-000013000000}"/>
    <cellStyle name="Normal 2 2 6" xfId="26" xr:uid="{00000000-0005-0000-0000-000014000000}"/>
    <cellStyle name="Normal 2 2 7" xfId="42" xr:uid="{00000000-0005-0000-0000-000015000000}"/>
    <cellStyle name="Normal 2 2 8" xfId="53" xr:uid="{3690F353-6E51-449D-9DAD-3C08F6560ECB}"/>
    <cellStyle name="Normal 2 2 8 2" xfId="60" xr:uid="{1E80CF64-BD6D-4549-B8F5-B6D10A90D3BB}"/>
    <cellStyle name="Normal 2 2 9" xfId="56" xr:uid="{AE4AF91E-53A8-4AB3-8124-4CC329EDA1C0}"/>
    <cellStyle name="Normal 2 3" xfId="8" xr:uid="{00000000-0005-0000-0000-000016000000}"/>
    <cellStyle name="Normal 2 4" xfId="18" xr:uid="{00000000-0005-0000-0000-000017000000}"/>
    <cellStyle name="Normal 2 4 2" xfId="59" xr:uid="{417043BF-EE40-4579-AFFF-D3D32520C393}"/>
    <cellStyle name="Normal 2 5" xfId="19" xr:uid="{00000000-0005-0000-0000-000018000000}"/>
    <cellStyle name="Normal 2 6" xfId="20" xr:uid="{00000000-0005-0000-0000-000019000000}"/>
    <cellStyle name="Normal 2 6 2" xfId="23" xr:uid="{00000000-0005-0000-0000-00001A000000}"/>
    <cellStyle name="Normal 2 6 3" xfId="29" xr:uid="{00000000-0005-0000-0000-00001B000000}"/>
    <cellStyle name="Normal 2 6 3 2" xfId="49" xr:uid="{87EBE95B-7658-4CDF-AC05-4E04A8F0D189}"/>
    <cellStyle name="Normal 2 7" xfId="55" xr:uid="{A2FFE6DC-2670-4C6E-B3B3-86DEBBFE08A1}"/>
    <cellStyle name="Normal 3" xfId="5" xr:uid="{00000000-0005-0000-0000-00001C000000}"/>
    <cellStyle name="Normal 3 2" xfId="34" xr:uid="{00000000-0005-0000-0000-00001D000000}"/>
    <cellStyle name="Normal 4" xfId="6" xr:uid="{00000000-0005-0000-0000-00001E000000}"/>
    <cellStyle name="Normal 5" xfId="9" xr:uid="{00000000-0005-0000-0000-00001F000000}"/>
    <cellStyle name="Normal 5 2" xfId="28" xr:uid="{00000000-0005-0000-0000-000020000000}"/>
    <cellStyle name="Normal 5 3" xfId="36" xr:uid="{00000000-0005-0000-0000-000021000000}"/>
    <cellStyle name="Normal 5 4" xfId="38" xr:uid="{00000000-0005-0000-0000-000022000000}"/>
    <cellStyle name="Normal 5 4 2" xfId="45" xr:uid="{00000000-0005-0000-0000-000023000000}"/>
    <cellStyle name="Normal 5 4 3" xfId="46" xr:uid="{00000000-0005-0000-0000-000024000000}"/>
    <cellStyle name="Normal 5 5" xfId="43" xr:uid="{00000000-0005-0000-0000-000025000000}"/>
    <cellStyle name="Normal 5 6" xfId="54" xr:uid="{4585DE6A-9B98-49F8-905D-9E4F2FF76ED8}"/>
    <cellStyle name="Normal 5 7" xfId="57" xr:uid="{660B0970-7402-40E9-8D64-6B2C4EB8C833}"/>
    <cellStyle name="Normal 6" xfId="12" xr:uid="{00000000-0005-0000-0000-000026000000}"/>
    <cellStyle name="Normal 7" xfId="13" xr:uid="{00000000-0005-0000-0000-000027000000}"/>
    <cellStyle name="Normal 8" xfId="37" xr:uid="{00000000-0005-0000-0000-000028000000}"/>
    <cellStyle name="Percent 2" xfId="39" xr:uid="{00000000-0005-0000-0000-000029000000}"/>
    <cellStyle name="Percent 2 2" xfId="47" xr:uid="{00000000-0005-0000-0000-00002A000000}"/>
    <cellStyle name="Prozent" xfId="14" builtinId="5"/>
    <cellStyle name="Standard" xfId="0" builtinId="0"/>
    <cellStyle name="Standard 2" xfId="32" xr:uid="{00000000-0005-0000-0000-00002D000000}"/>
    <cellStyle name="Standard 2 2" xfId="1" xr:uid="{00000000-0005-0000-0000-00002E000000}"/>
    <cellStyle name="Standard 2 2 2" xfId="3" xr:uid="{00000000-0005-0000-0000-00002F000000}"/>
    <cellStyle name="Standard 3" xfId="41" xr:uid="{00000000-0005-0000-0000-000030000000}"/>
    <cellStyle name="Standard 3 2" xfId="50" xr:uid="{25E8079E-156C-4FAC-BD96-E8C5D09C8AC1}"/>
    <cellStyle name="Standard 4" xfId="52" xr:uid="{EEAAC915-FBB3-461F-A726-E68E08A78DEA}"/>
  </cellStyles>
  <dxfs count="0"/>
  <tableStyles count="0" defaultTableStyle="TableStyleMedium2" defaultPivotStyle="PivotStyleLight16"/>
  <colors>
    <mruColors>
      <color rgb="FFA9D18E"/>
      <color rgb="FF2E75B6"/>
      <color rgb="FFE2F0D9"/>
      <color rgb="FFC5E0B4"/>
      <color rgb="FF70AD47"/>
      <color rgb="FF5C8A6A"/>
      <color rgb="FFD9E1F2"/>
      <color rgb="FFB4C6E7"/>
      <color rgb="FFF8CBAD"/>
      <color rgb="FFF4B9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eetMetadata" Target="metadata.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46.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683899740822461"/>
          <c:y val="1.4074479166666667E-2"/>
          <c:w val="0.69257013419428215"/>
          <c:h val="0.94124085444144956"/>
        </c:manualLayout>
      </c:layout>
      <c:barChart>
        <c:barDir val="bar"/>
        <c:grouping val="stacked"/>
        <c:varyColors val="0"/>
        <c:ser>
          <c:idx val="5"/>
          <c:order val="5"/>
          <c:tx>
            <c:strRef>
              <c:f>'Fig 1. Transparency Index'!$C$11</c:f>
              <c:strCache>
                <c:ptCount val="1"/>
                <c:pt idx="0">
                  <c:v>Total index score</c:v>
                </c:pt>
              </c:strCache>
              <c:extLst xmlns:c15="http://schemas.microsoft.com/office/drawing/2012/chart"/>
            </c:strRef>
          </c:tx>
          <c:spPr>
            <a:solidFill>
              <a:srgbClr val="A9D08E"/>
            </a:solidFill>
            <a:ln>
              <a:solidFill>
                <a:schemeClr val="tx1"/>
              </a:solidFill>
            </a:ln>
            <a:effectLst/>
          </c:spPr>
          <c:invertIfNegative val="0"/>
          <c:cat>
            <c:strRef>
              <c:f>'Fig 1. Transparency Index'!$B$12:$B$53</c:f>
              <c:strCache>
                <c:ptCount val="42"/>
                <c:pt idx="0">
                  <c:v>Switzerland</c:v>
                </c:pt>
                <c:pt idx="1">
                  <c:v>Iceland</c:v>
                </c:pt>
                <c:pt idx="2">
                  <c:v>Germany</c:v>
                </c:pt>
                <c:pt idx="3">
                  <c:v>EU (Commission and Council)</c:v>
                </c:pt>
                <c:pt idx="4">
                  <c:v>Netherlands</c:v>
                </c:pt>
                <c:pt idx="5">
                  <c:v>Denmark</c:v>
                </c:pt>
                <c:pt idx="6">
                  <c:v>Finland</c:v>
                </c:pt>
                <c:pt idx="7">
                  <c:v>Sweden</c:v>
                </c:pt>
                <c:pt idx="8">
                  <c:v>New Zealand</c:v>
                </c:pt>
                <c:pt idx="9">
                  <c:v>Norway</c:v>
                </c:pt>
                <c:pt idx="10">
                  <c:v>Luxembourg</c:v>
                </c:pt>
                <c:pt idx="11">
                  <c:v>Estonia</c:v>
                </c:pt>
                <c:pt idx="12">
                  <c:v>Latvia</c:v>
                </c:pt>
                <c:pt idx="13">
                  <c:v>Slovakia</c:v>
                </c:pt>
                <c:pt idx="14">
                  <c:v>France</c:v>
                </c:pt>
                <c:pt idx="15">
                  <c:v>United Kingdom</c:v>
                </c:pt>
                <c:pt idx="16">
                  <c:v>Taiwan</c:v>
                </c:pt>
                <c:pt idx="17">
                  <c:v>China</c:v>
                </c:pt>
                <c:pt idx="18">
                  <c:v>United States</c:v>
                </c:pt>
                <c:pt idx="19">
                  <c:v>Austria</c:v>
                </c:pt>
                <c:pt idx="20">
                  <c:v>Japan</c:v>
                </c:pt>
                <c:pt idx="21">
                  <c:v>Canada</c:v>
                </c:pt>
                <c:pt idx="22">
                  <c:v>Czech Republic</c:v>
                </c:pt>
                <c:pt idx="23">
                  <c:v>Cyprus</c:v>
                </c:pt>
                <c:pt idx="24">
                  <c:v>Bulgaria</c:v>
                </c:pt>
                <c:pt idx="25">
                  <c:v>Ireland</c:v>
                </c:pt>
                <c:pt idx="26">
                  <c:v>Australia</c:v>
                </c:pt>
                <c:pt idx="27">
                  <c:v>Belgium</c:v>
                </c:pt>
                <c:pt idx="28">
                  <c:v>Italy</c:v>
                </c:pt>
                <c:pt idx="29">
                  <c:v>Malta</c:v>
                </c:pt>
                <c:pt idx="30">
                  <c:v>Hungary</c:v>
                </c:pt>
                <c:pt idx="31">
                  <c:v>Croatia</c:v>
                </c:pt>
                <c:pt idx="32">
                  <c:v>Lithuania</c:v>
                </c:pt>
                <c:pt idx="33">
                  <c:v>Spain</c:v>
                </c:pt>
                <c:pt idx="34">
                  <c:v>Poland</c:v>
                </c:pt>
                <c:pt idx="35">
                  <c:v>South Korea</c:v>
                </c:pt>
                <c:pt idx="36">
                  <c:v>Turkey</c:v>
                </c:pt>
                <c:pt idx="37">
                  <c:v>Portugal</c:v>
                </c:pt>
                <c:pt idx="38">
                  <c:v>Slovenia</c:v>
                </c:pt>
                <c:pt idx="39">
                  <c:v>Romania</c:v>
                </c:pt>
                <c:pt idx="40">
                  <c:v>India</c:v>
                </c:pt>
                <c:pt idx="41">
                  <c:v>Greece</c:v>
                </c:pt>
              </c:strCache>
              <c:extLst xmlns:c15="http://schemas.microsoft.com/office/drawing/2012/chart"/>
            </c:strRef>
          </c:cat>
          <c:val>
            <c:numRef>
              <c:f>'Fig 1. Transparency Index'!$C$12:$C$53</c:f>
              <c:numCache>
                <c:formatCode>0.00</c:formatCode>
                <c:ptCount val="42"/>
                <c:pt idx="0">
                  <c:v>5</c:v>
                </c:pt>
                <c:pt idx="1">
                  <c:v>4.8947368421052637</c:v>
                </c:pt>
                <c:pt idx="2">
                  <c:v>4.8892395982783361</c:v>
                </c:pt>
                <c:pt idx="3">
                  <c:v>4.875</c:v>
                </c:pt>
                <c:pt idx="4">
                  <c:v>4.7009803921568629</c:v>
                </c:pt>
                <c:pt idx="5">
                  <c:v>4.6319648093841641</c:v>
                </c:pt>
                <c:pt idx="6">
                  <c:v>4.6396396396396398</c:v>
                </c:pt>
                <c:pt idx="7">
                  <c:v>4.5555555555555554</c:v>
                </c:pt>
                <c:pt idx="8">
                  <c:v>4.4196428571428577</c:v>
                </c:pt>
                <c:pt idx="9">
                  <c:v>4.1782531194295904</c:v>
                </c:pt>
                <c:pt idx="10">
                  <c:v>3.935483870967742</c:v>
                </c:pt>
                <c:pt idx="11">
                  <c:v>3.8782493368700264</c:v>
                </c:pt>
                <c:pt idx="12">
                  <c:v>3.344771241830065</c:v>
                </c:pt>
                <c:pt idx="13">
                  <c:v>3.2910135841170325</c:v>
                </c:pt>
                <c:pt idx="14">
                  <c:v>3.1066252587991721</c:v>
                </c:pt>
                <c:pt idx="15">
                  <c:v>3.0141700404858298</c:v>
                </c:pt>
                <c:pt idx="16">
                  <c:v>3</c:v>
                </c:pt>
                <c:pt idx="17">
                  <c:v>3</c:v>
                </c:pt>
                <c:pt idx="18">
                  <c:v>2.8188265635074146</c:v>
                </c:pt>
                <c:pt idx="19">
                  <c:v>2.8020833333333335</c:v>
                </c:pt>
                <c:pt idx="20">
                  <c:v>2.8249336870026527</c:v>
                </c:pt>
                <c:pt idx="21">
                  <c:v>2.7341417910447765</c:v>
                </c:pt>
                <c:pt idx="22">
                  <c:v>2.6231884057971016</c:v>
                </c:pt>
                <c:pt idx="23">
                  <c:v>2.6</c:v>
                </c:pt>
                <c:pt idx="24">
                  <c:v>2.5</c:v>
                </c:pt>
                <c:pt idx="25">
                  <c:v>2.5</c:v>
                </c:pt>
                <c:pt idx="26">
                  <c:v>2.437728937728938</c:v>
                </c:pt>
                <c:pt idx="27">
                  <c:v>2.3760278304870335</c:v>
                </c:pt>
                <c:pt idx="28">
                  <c:v>2.3431372549019605</c:v>
                </c:pt>
                <c:pt idx="29">
                  <c:v>2.25</c:v>
                </c:pt>
                <c:pt idx="30">
                  <c:v>2.125</c:v>
                </c:pt>
                <c:pt idx="31">
                  <c:v>2</c:v>
                </c:pt>
                <c:pt idx="32">
                  <c:v>1.9945978391356542</c:v>
                </c:pt>
                <c:pt idx="33">
                  <c:v>1.9942528735632186</c:v>
                </c:pt>
                <c:pt idx="34">
                  <c:v>1.9438990182328189</c:v>
                </c:pt>
                <c:pt idx="35">
                  <c:v>1.9047619047619047</c:v>
                </c:pt>
                <c:pt idx="36">
                  <c:v>1.8947368421052633</c:v>
                </c:pt>
                <c:pt idx="37">
                  <c:v>1.9178981937602628</c:v>
                </c:pt>
                <c:pt idx="38">
                  <c:v>1.7037037037037037</c:v>
                </c:pt>
                <c:pt idx="39">
                  <c:v>1.75</c:v>
                </c:pt>
                <c:pt idx="40">
                  <c:v>1.6666666666666665</c:v>
                </c:pt>
                <c:pt idx="41">
                  <c:v>1.0833333333333333</c:v>
                </c:pt>
              </c:numCache>
              <c:extLst xmlns:c15="http://schemas.microsoft.com/office/drawing/2012/chart"/>
            </c:numRef>
          </c:val>
          <c:extLst xmlns:c15="http://schemas.microsoft.com/office/drawing/2012/chart">
            <c:ext xmlns:c16="http://schemas.microsoft.com/office/drawing/2014/chart" uri="{C3380CC4-5D6E-409C-BE32-E72D297353CC}">
              <c16:uniqueId val="{00000005-D3AB-4670-9B81-3D2A9CC91224}"/>
            </c:ext>
          </c:extLst>
        </c:ser>
        <c:dLbls>
          <c:showLegendKey val="0"/>
          <c:showVal val="0"/>
          <c:showCatName val="0"/>
          <c:showSerName val="0"/>
          <c:showPercent val="0"/>
          <c:showBubbleSize val="0"/>
        </c:dLbls>
        <c:gapWidth val="141"/>
        <c:overlap val="100"/>
        <c:axId val="450490767"/>
        <c:axId val="450486607"/>
        <c:extLst>
          <c:ext xmlns:c15="http://schemas.microsoft.com/office/drawing/2012/chart" uri="{02D57815-91ED-43cb-92C2-25804820EDAC}">
            <c15:filteredBarSeries>
              <c15:ser>
                <c:idx val="0"/>
                <c:order val="0"/>
                <c:tx>
                  <c:v>Subindex 1: Designated Website</c:v>
                </c:tx>
                <c:spPr>
                  <a:solidFill>
                    <a:schemeClr val="accent2"/>
                  </a:solidFill>
                  <a:ln>
                    <a:solidFill>
                      <a:srgbClr val="000000"/>
                    </a:solidFill>
                    <a:prstDash val="solid"/>
                  </a:ln>
                  <a:effectLst/>
                </c:spPr>
                <c:invertIfNegative val="0"/>
                <c:cat>
                  <c:strRef>
                    <c:extLst>
                      <c:ext uri="{02D57815-91ED-43cb-92C2-25804820EDAC}">
                        <c15:formulaRef>
                          <c15:sqref>'Fig 1. Transparency Index'!$B$12:$B$53</c15:sqref>
                        </c15:formulaRef>
                      </c:ext>
                    </c:extLst>
                    <c:strCache>
                      <c:ptCount val="42"/>
                      <c:pt idx="0">
                        <c:v>Switzerland</c:v>
                      </c:pt>
                      <c:pt idx="1">
                        <c:v>Iceland</c:v>
                      </c:pt>
                      <c:pt idx="2">
                        <c:v>Germany</c:v>
                      </c:pt>
                      <c:pt idx="3">
                        <c:v>EU (Commission and Council)</c:v>
                      </c:pt>
                      <c:pt idx="4">
                        <c:v>Netherlands</c:v>
                      </c:pt>
                      <c:pt idx="5">
                        <c:v>Denmark</c:v>
                      </c:pt>
                      <c:pt idx="6">
                        <c:v>Finland</c:v>
                      </c:pt>
                      <c:pt idx="7">
                        <c:v>Sweden</c:v>
                      </c:pt>
                      <c:pt idx="8">
                        <c:v>New Zealand</c:v>
                      </c:pt>
                      <c:pt idx="9">
                        <c:v>Norway</c:v>
                      </c:pt>
                      <c:pt idx="10">
                        <c:v>Luxembourg</c:v>
                      </c:pt>
                      <c:pt idx="11">
                        <c:v>Estonia</c:v>
                      </c:pt>
                      <c:pt idx="12">
                        <c:v>Latvia</c:v>
                      </c:pt>
                      <c:pt idx="13">
                        <c:v>Slovakia</c:v>
                      </c:pt>
                      <c:pt idx="14">
                        <c:v>France</c:v>
                      </c:pt>
                      <c:pt idx="15">
                        <c:v>United Kingdom</c:v>
                      </c:pt>
                      <c:pt idx="16">
                        <c:v>Taiwan</c:v>
                      </c:pt>
                      <c:pt idx="17">
                        <c:v>China</c:v>
                      </c:pt>
                      <c:pt idx="18">
                        <c:v>United States</c:v>
                      </c:pt>
                      <c:pt idx="19">
                        <c:v>Austria</c:v>
                      </c:pt>
                      <c:pt idx="20">
                        <c:v>Japan</c:v>
                      </c:pt>
                      <c:pt idx="21">
                        <c:v>Canada</c:v>
                      </c:pt>
                      <c:pt idx="22">
                        <c:v>Czech Republic</c:v>
                      </c:pt>
                      <c:pt idx="23">
                        <c:v>Cyprus</c:v>
                      </c:pt>
                      <c:pt idx="24">
                        <c:v>Bulgaria</c:v>
                      </c:pt>
                      <c:pt idx="25">
                        <c:v>Ireland</c:v>
                      </c:pt>
                      <c:pt idx="26">
                        <c:v>Australia</c:v>
                      </c:pt>
                      <c:pt idx="27">
                        <c:v>Belgium</c:v>
                      </c:pt>
                      <c:pt idx="28">
                        <c:v>Italy</c:v>
                      </c:pt>
                      <c:pt idx="29">
                        <c:v>Malta</c:v>
                      </c:pt>
                      <c:pt idx="30">
                        <c:v>Hungary</c:v>
                      </c:pt>
                      <c:pt idx="31">
                        <c:v>Croatia</c:v>
                      </c:pt>
                      <c:pt idx="32">
                        <c:v>Lithuania</c:v>
                      </c:pt>
                      <c:pt idx="33">
                        <c:v>Spain</c:v>
                      </c:pt>
                      <c:pt idx="34">
                        <c:v>Poland</c:v>
                      </c:pt>
                      <c:pt idx="35">
                        <c:v>South Korea</c:v>
                      </c:pt>
                      <c:pt idx="36">
                        <c:v>Turkey</c:v>
                      </c:pt>
                      <c:pt idx="37">
                        <c:v>Portugal</c:v>
                      </c:pt>
                      <c:pt idx="38">
                        <c:v>Slovenia</c:v>
                      </c:pt>
                      <c:pt idx="39">
                        <c:v>Romania</c:v>
                      </c:pt>
                      <c:pt idx="40">
                        <c:v>India</c:v>
                      </c:pt>
                      <c:pt idx="41">
                        <c:v>Greece</c:v>
                      </c:pt>
                    </c:strCache>
                  </c:strRef>
                </c:cat>
                <c:val>
                  <c:numRef>
                    <c:extLst>
                      <c:ext uri="{02D57815-91ED-43cb-92C2-25804820EDAC}">
                        <c15:formulaRef>
                          <c15:sqref>'Data Transparency Index'!$C$14:$C$55</c15:sqref>
                        </c15:formulaRef>
                      </c:ext>
                    </c:extLst>
                    <c:numCache>
                      <c:formatCode>0.00</c:formatCode>
                      <c:ptCount val="42"/>
                      <c:pt idx="0">
                        <c:v>1</c:v>
                      </c:pt>
                      <c:pt idx="1">
                        <c:v>1</c:v>
                      </c:pt>
                      <c:pt idx="2">
                        <c:v>0.33333333333333337</c:v>
                      </c:pt>
                      <c:pt idx="3">
                        <c:v>0</c:v>
                      </c:pt>
                      <c:pt idx="4">
                        <c:v>1</c:v>
                      </c:pt>
                      <c:pt idx="5">
                        <c:v>1</c:v>
                      </c:pt>
                      <c:pt idx="6">
                        <c:v>0.66666666666666674</c:v>
                      </c:pt>
                      <c:pt idx="7">
                        <c:v>0.33333333333333337</c:v>
                      </c:pt>
                      <c:pt idx="8">
                        <c:v>1</c:v>
                      </c:pt>
                      <c:pt idx="9">
                        <c:v>0</c:v>
                      </c:pt>
                      <c:pt idx="10">
                        <c:v>1</c:v>
                      </c:pt>
                      <c:pt idx="11">
                        <c:v>1</c:v>
                      </c:pt>
                      <c:pt idx="12">
                        <c:v>1</c:v>
                      </c:pt>
                      <c:pt idx="13">
                        <c:v>1</c:v>
                      </c:pt>
                      <c:pt idx="14">
                        <c:v>0</c:v>
                      </c:pt>
                      <c:pt idx="15">
                        <c:v>0</c:v>
                      </c:pt>
                      <c:pt idx="16">
                        <c:v>1</c:v>
                      </c:pt>
                      <c:pt idx="17">
                        <c:v>0.33333333333333337</c:v>
                      </c:pt>
                      <c:pt idx="18">
                        <c:v>0.66666666666666674</c:v>
                      </c:pt>
                      <c:pt idx="19">
                        <c:v>0</c:v>
                      </c:pt>
                      <c:pt idx="20">
                        <c:v>0</c:v>
                      </c:pt>
                      <c:pt idx="21">
                        <c:v>0</c:v>
                      </c:pt>
                      <c:pt idx="22">
                        <c:v>0</c:v>
                      </c:pt>
                      <c:pt idx="23">
                        <c:v>0.66666666666666674</c:v>
                      </c:pt>
                      <c:pt idx="24">
                        <c:v>0</c:v>
                      </c:pt>
                      <c:pt idx="25">
                        <c:v>1</c:v>
                      </c:pt>
                      <c:pt idx="26">
                        <c:v>0</c:v>
                      </c:pt>
                      <c:pt idx="27">
                        <c:v>0</c:v>
                      </c:pt>
                      <c:pt idx="28">
                        <c:v>0</c:v>
                      </c:pt>
                      <c:pt idx="29">
                        <c:v>1</c:v>
                      </c:pt>
                      <c:pt idx="30">
                        <c:v>0</c:v>
                      </c:pt>
                      <c:pt idx="31">
                        <c:v>1</c:v>
                      </c:pt>
                      <c:pt idx="32">
                        <c:v>0.33333333333333337</c:v>
                      </c:pt>
                      <c:pt idx="33">
                        <c:v>0</c:v>
                      </c:pt>
                      <c:pt idx="34">
                        <c:v>0</c:v>
                      </c:pt>
                      <c:pt idx="35">
                        <c:v>0</c:v>
                      </c:pt>
                      <c:pt idx="36">
                        <c:v>0</c:v>
                      </c:pt>
                      <c:pt idx="37">
                        <c:v>0</c:v>
                      </c:pt>
                      <c:pt idx="38">
                        <c:v>0</c:v>
                      </c:pt>
                      <c:pt idx="39">
                        <c:v>0</c:v>
                      </c:pt>
                      <c:pt idx="40">
                        <c:v>0</c:v>
                      </c:pt>
                      <c:pt idx="41">
                        <c:v>0.33333333333333337</c:v>
                      </c:pt>
                    </c:numCache>
                  </c:numRef>
                </c:val>
                <c:extLst>
                  <c:ext xmlns:c16="http://schemas.microsoft.com/office/drawing/2014/chart" uri="{C3380CC4-5D6E-409C-BE32-E72D297353CC}">
                    <c16:uniqueId val="{00000000-D3AB-4670-9B81-3D2A9CC91224}"/>
                  </c:ext>
                </c:extLst>
              </c15:ser>
            </c15:filteredBarSeries>
            <c15:filteredBarSeries>
              <c15:ser>
                <c:idx val="1"/>
                <c:order val="1"/>
                <c:tx>
                  <c:v>Subindex 2: Total value of commitments given</c:v>
                </c:tx>
                <c:spPr>
                  <a:solidFill>
                    <a:schemeClr val="accent4"/>
                  </a:solidFill>
                  <a:ln>
                    <a:solidFill>
                      <a:srgbClr val="000000"/>
                    </a:solidFill>
                    <a:prstDash val="solid"/>
                  </a:ln>
                  <a:effectLst/>
                </c:spPr>
                <c:invertIfNegative val="0"/>
                <c:cat>
                  <c:strRef>
                    <c:extLst xmlns:c15="http://schemas.microsoft.com/office/drawing/2012/chart">
                      <c:ext xmlns:c15="http://schemas.microsoft.com/office/drawing/2012/chart" uri="{02D57815-91ED-43cb-92C2-25804820EDAC}">
                        <c15:formulaRef>
                          <c15:sqref>'Fig 1. Transparency Index'!$B$12:$B$53</c15:sqref>
                        </c15:formulaRef>
                      </c:ext>
                    </c:extLst>
                    <c:strCache>
                      <c:ptCount val="42"/>
                      <c:pt idx="0">
                        <c:v>Switzerland</c:v>
                      </c:pt>
                      <c:pt idx="1">
                        <c:v>Iceland</c:v>
                      </c:pt>
                      <c:pt idx="2">
                        <c:v>Germany</c:v>
                      </c:pt>
                      <c:pt idx="3">
                        <c:v>EU (Commission and Council)</c:v>
                      </c:pt>
                      <c:pt idx="4">
                        <c:v>Netherlands</c:v>
                      </c:pt>
                      <c:pt idx="5">
                        <c:v>Denmark</c:v>
                      </c:pt>
                      <c:pt idx="6">
                        <c:v>Finland</c:v>
                      </c:pt>
                      <c:pt idx="7">
                        <c:v>Sweden</c:v>
                      </c:pt>
                      <c:pt idx="8">
                        <c:v>New Zealand</c:v>
                      </c:pt>
                      <c:pt idx="9">
                        <c:v>Norway</c:v>
                      </c:pt>
                      <c:pt idx="10">
                        <c:v>Luxembourg</c:v>
                      </c:pt>
                      <c:pt idx="11">
                        <c:v>Estonia</c:v>
                      </c:pt>
                      <c:pt idx="12">
                        <c:v>Latvia</c:v>
                      </c:pt>
                      <c:pt idx="13">
                        <c:v>Slovakia</c:v>
                      </c:pt>
                      <c:pt idx="14">
                        <c:v>France</c:v>
                      </c:pt>
                      <c:pt idx="15">
                        <c:v>United Kingdom</c:v>
                      </c:pt>
                      <c:pt idx="16">
                        <c:v>Taiwan</c:v>
                      </c:pt>
                      <c:pt idx="17">
                        <c:v>China</c:v>
                      </c:pt>
                      <c:pt idx="18">
                        <c:v>United States</c:v>
                      </c:pt>
                      <c:pt idx="19">
                        <c:v>Austria</c:v>
                      </c:pt>
                      <c:pt idx="20">
                        <c:v>Japan</c:v>
                      </c:pt>
                      <c:pt idx="21">
                        <c:v>Canada</c:v>
                      </c:pt>
                      <c:pt idx="22">
                        <c:v>Czech Republic</c:v>
                      </c:pt>
                      <c:pt idx="23">
                        <c:v>Cyprus</c:v>
                      </c:pt>
                      <c:pt idx="24">
                        <c:v>Bulgaria</c:v>
                      </c:pt>
                      <c:pt idx="25">
                        <c:v>Ireland</c:v>
                      </c:pt>
                      <c:pt idx="26">
                        <c:v>Australia</c:v>
                      </c:pt>
                      <c:pt idx="27">
                        <c:v>Belgium</c:v>
                      </c:pt>
                      <c:pt idx="28">
                        <c:v>Italy</c:v>
                      </c:pt>
                      <c:pt idx="29">
                        <c:v>Malta</c:v>
                      </c:pt>
                      <c:pt idx="30">
                        <c:v>Hungary</c:v>
                      </c:pt>
                      <c:pt idx="31">
                        <c:v>Croatia</c:v>
                      </c:pt>
                      <c:pt idx="32">
                        <c:v>Lithuania</c:v>
                      </c:pt>
                      <c:pt idx="33">
                        <c:v>Spain</c:v>
                      </c:pt>
                      <c:pt idx="34">
                        <c:v>Poland</c:v>
                      </c:pt>
                      <c:pt idx="35">
                        <c:v>South Korea</c:v>
                      </c:pt>
                      <c:pt idx="36">
                        <c:v>Turkey</c:v>
                      </c:pt>
                      <c:pt idx="37">
                        <c:v>Portugal</c:v>
                      </c:pt>
                      <c:pt idx="38">
                        <c:v>Slovenia</c:v>
                      </c:pt>
                      <c:pt idx="39">
                        <c:v>Romania</c:v>
                      </c:pt>
                      <c:pt idx="40">
                        <c:v>India</c:v>
                      </c:pt>
                      <c:pt idx="41">
                        <c:v>Greece</c:v>
                      </c:pt>
                    </c:strCache>
                  </c:strRef>
                </c:cat>
                <c:val>
                  <c:numRef>
                    <c:extLst xmlns:c15="http://schemas.microsoft.com/office/drawing/2012/chart">
                      <c:ext xmlns:c15="http://schemas.microsoft.com/office/drawing/2012/chart" uri="{02D57815-91ED-43cb-92C2-25804820EDAC}">
                        <c15:formulaRef>
                          <c15:sqref>'Data Transparency Index'!$D$14:$D$55</c15:sqref>
                        </c15:formulaRef>
                      </c:ext>
                    </c:extLst>
                    <c:numCache>
                      <c:formatCode>0</c:formatCode>
                      <c:ptCount val="42"/>
                      <c:pt idx="0">
                        <c:v>1</c:v>
                      </c:pt>
                      <c:pt idx="1">
                        <c:v>1</c:v>
                      </c:pt>
                      <c:pt idx="2">
                        <c:v>0</c:v>
                      </c:pt>
                      <c:pt idx="3">
                        <c:v>0</c:v>
                      </c:pt>
                      <c:pt idx="4">
                        <c:v>1</c:v>
                      </c:pt>
                      <c:pt idx="5">
                        <c:v>1</c:v>
                      </c:pt>
                      <c:pt idx="6">
                        <c:v>1</c:v>
                      </c:pt>
                      <c:pt idx="7">
                        <c:v>0</c:v>
                      </c:pt>
                      <c:pt idx="8">
                        <c:v>1</c:v>
                      </c:pt>
                      <c:pt idx="9">
                        <c:v>0</c:v>
                      </c:pt>
                      <c:pt idx="10">
                        <c:v>1</c:v>
                      </c:pt>
                      <c:pt idx="11">
                        <c:v>1</c:v>
                      </c:pt>
                      <c:pt idx="12">
                        <c:v>1</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1</c:v>
                      </c:pt>
                      <c:pt idx="30">
                        <c:v>0</c:v>
                      </c:pt>
                      <c:pt idx="31">
                        <c:v>0</c:v>
                      </c:pt>
                      <c:pt idx="32">
                        <c:v>1</c:v>
                      </c:pt>
                      <c:pt idx="33">
                        <c:v>0</c:v>
                      </c:pt>
                      <c:pt idx="34">
                        <c:v>0</c:v>
                      </c:pt>
                      <c:pt idx="35">
                        <c:v>0</c:v>
                      </c:pt>
                      <c:pt idx="36">
                        <c:v>0</c:v>
                      </c:pt>
                      <c:pt idx="37">
                        <c:v>0</c:v>
                      </c:pt>
                      <c:pt idx="38">
                        <c:v>0</c:v>
                      </c:pt>
                      <c:pt idx="39">
                        <c:v>0</c:v>
                      </c:pt>
                      <c:pt idx="40">
                        <c:v>0</c:v>
                      </c:pt>
                      <c:pt idx="41">
                        <c:v>0</c:v>
                      </c:pt>
                    </c:numCache>
                  </c:numRef>
                </c:val>
                <c:extLst xmlns:c15="http://schemas.microsoft.com/office/drawing/2012/chart">
                  <c:ext xmlns:c16="http://schemas.microsoft.com/office/drawing/2014/chart" uri="{C3380CC4-5D6E-409C-BE32-E72D297353CC}">
                    <c16:uniqueId val="{00000001-D3AB-4670-9B81-3D2A9CC91224}"/>
                  </c:ext>
                </c:extLst>
              </c15:ser>
            </c15:filteredBarSeries>
            <c15:filteredBarSeries>
              <c15:ser>
                <c:idx val="2"/>
                <c:order val="2"/>
                <c:tx>
                  <c:v>Subindex 3: Monetary value of individual items given by source (share)</c:v>
                </c:tx>
                <c:spPr>
                  <a:solidFill>
                    <a:schemeClr val="accent6"/>
                  </a:solidFill>
                  <a:ln>
                    <a:solidFill>
                      <a:srgbClr val="000000"/>
                    </a:solidFill>
                    <a:prstDash val="solid"/>
                  </a:ln>
                  <a:effectLst/>
                </c:spPr>
                <c:invertIfNegative val="0"/>
                <c:cat>
                  <c:strRef>
                    <c:extLst xmlns:c15="http://schemas.microsoft.com/office/drawing/2012/chart">
                      <c:ext xmlns:c15="http://schemas.microsoft.com/office/drawing/2012/chart" uri="{02D57815-91ED-43cb-92C2-25804820EDAC}">
                        <c15:formulaRef>
                          <c15:sqref>'Fig 1. Transparency Index'!$B$12:$B$53</c15:sqref>
                        </c15:formulaRef>
                      </c:ext>
                    </c:extLst>
                    <c:strCache>
                      <c:ptCount val="42"/>
                      <c:pt idx="0">
                        <c:v>Switzerland</c:v>
                      </c:pt>
                      <c:pt idx="1">
                        <c:v>Iceland</c:v>
                      </c:pt>
                      <c:pt idx="2">
                        <c:v>Germany</c:v>
                      </c:pt>
                      <c:pt idx="3">
                        <c:v>EU (Commission and Council)</c:v>
                      </c:pt>
                      <c:pt idx="4">
                        <c:v>Netherlands</c:v>
                      </c:pt>
                      <c:pt idx="5">
                        <c:v>Denmark</c:v>
                      </c:pt>
                      <c:pt idx="6">
                        <c:v>Finland</c:v>
                      </c:pt>
                      <c:pt idx="7">
                        <c:v>Sweden</c:v>
                      </c:pt>
                      <c:pt idx="8">
                        <c:v>New Zealand</c:v>
                      </c:pt>
                      <c:pt idx="9">
                        <c:v>Norway</c:v>
                      </c:pt>
                      <c:pt idx="10">
                        <c:v>Luxembourg</c:v>
                      </c:pt>
                      <c:pt idx="11">
                        <c:v>Estonia</c:v>
                      </c:pt>
                      <c:pt idx="12">
                        <c:v>Latvia</c:v>
                      </c:pt>
                      <c:pt idx="13">
                        <c:v>Slovakia</c:v>
                      </c:pt>
                      <c:pt idx="14">
                        <c:v>France</c:v>
                      </c:pt>
                      <c:pt idx="15">
                        <c:v>United Kingdom</c:v>
                      </c:pt>
                      <c:pt idx="16">
                        <c:v>Taiwan</c:v>
                      </c:pt>
                      <c:pt idx="17">
                        <c:v>China</c:v>
                      </c:pt>
                      <c:pt idx="18">
                        <c:v>United States</c:v>
                      </c:pt>
                      <c:pt idx="19">
                        <c:v>Austria</c:v>
                      </c:pt>
                      <c:pt idx="20">
                        <c:v>Japan</c:v>
                      </c:pt>
                      <c:pt idx="21">
                        <c:v>Canada</c:v>
                      </c:pt>
                      <c:pt idx="22">
                        <c:v>Czech Republic</c:v>
                      </c:pt>
                      <c:pt idx="23">
                        <c:v>Cyprus</c:v>
                      </c:pt>
                      <c:pt idx="24">
                        <c:v>Bulgaria</c:v>
                      </c:pt>
                      <c:pt idx="25">
                        <c:v>Ireland</c:v>
                      </c:pt>
                      <c:pt idx="26">
                        <c:v>Australia</c:v>
                      </c:pt>
                      <c:pt idx="27">
                        <c:v>Belgium</c:v>
                      </c:pt>
                      <c:pt idx="28">
                        <c:v>Italy</c:v>
                      </c:pt>
                      <c:pt idx="29">
                        <c:v>Malta</c:v>
                      </c:pt>
                      <c:pt idx="30">
                        <c:v>Hungary</c:v>
                      </c:pt>
                      <c:pt idx="31">
                        <c:v>Croatia</c:v>
                      </c:pt>
                      <c:pt idx="32">
                        <c:v>Lithuania</c:v>
                      </c:pt>
                      <c:pt idx="33">
                        <c:v>Spain</c:v>
                      </c:pt>
                      <c:pt idx="34">
                        <c:v>Poland</c:v>
                      </c:pt>
                      <c:pt idx="35">
                        <c:v>South Korea</c:v>
                      </c:pt>
                      <c:pt idx="36">
                        <c:v>Turkey</c:v>
                      </c:pt>
                      <c:pt idx="37">
                        <c:v>Portugal</c:v>
                      </c:pt>
                      <c:pt idx="38">
                        <c:v>Slovenia</c:v>
                      </c:pt>
                      <c:pt idx="39">
                        <c:v>Romania</c:v>
                      </c:pt>
                      <c:pt idx="40">
                        <c:v>India</c:v>
                      </c:pt>
                      <c:pt idx="41">
                        <c:v>Greece</c:v>
                      </c:pt>
                    </c:strCache>
                  </c:strRef>
                </c:cat>
                <c:val>
                  <c:numRef>
                    <c:extLst xmlns:c15="http://schemas.microsoft.com/office/drawing/2012/chart">
                      <c:ext xmlns:c15="http://schemas.microsoft.com/office/drawing/2012/chart" uri="{02D57815-91ED-43cb-92C2-25804820EDAC}">
                        <c15:formulaRef>
                          <c15:sqref>'Data Transparency Index'!$E$14:$E$55</c15:sqref>
                        </c15:formulaRef>
                      </c:ext>
                    </c:extLst>
                    <c:numCache>
                      <c:formatCode>0.00</c:formatCode>
                      <c:ptCount val="42"/>
                      <c:pt idx="0">
                        <c:v>1</c:v>
                      </c:pt>
                      <c:pt idx="1">
                        <c:v>0.95454545454545459</c:v>
                      </c:pt>
                      <c:pt idx="2">
                        <c:v>1</c:v>
                      </c:pt>
                      <c:pt idx="3">
                        <c:v>0.96153846153846156</c:v>
                      </c:pt>
                      <c:pt idx="4">
                        <c:v>0.94444444444444442</c:v>
                      </c:pt>
                      <c:pt idx="5">
                        <c:v>0.88235294117647056</c:v>
                      </c:pt>
                      <c:pt idx="6">
                        <c:v>0.97297297297297303</c:v>
                      </c:pt>
                      <c:pt idx="7">
                        <c:v>0.73134328358208955</c:v>
                      </c:pt>
                      <c:pt idx="8">
                        <c:v>0.625</c:v>
                      </c:pt>
                      <c:pt idx="9">
                        <c:v>0.5</c:v>
                      </c:pt>
                      <c:pt idx="10">
                        <c:v>0.45098039215686275</c:v>
                      </c:pt>
                      <c:pt idx="11">
                        <c:v>0.72307692307692306</c:v>
                      </c:pt>
                      <c:pt idx="12">
                        <c:v>1</c:v>
                      </c:pt>
                      <c:pt idx="13">
                        <c:v>0.9375</c:v>
                      </c:pt>
                      <c:pt idx="14">
                        <c:v>0.77551020408163263</c:v>
                      </c:pt>
                      <c:pt idx="15">
                        <c:v>1</c:v>
                      </c:pt>
                      <c:pt idx="16">
                        <c:v>0.58620689655172409</c:v>
                      </c:pt>
                      <c:pt idx="17">
                        <c:v>0.46875</c:v>
                      </c:pt>
                      <c:pt idx="18">
                        <c:v>0.62820512820512819</c:v>
                      </c:pt>
                      <c:pt idx="19">
                        <c:v>0.93548387096774188</c:v>
                      </c:pt>
                      <c:pt idx="20">
                        <c:v>0.8</c:v>
                      </c:pt>
                      <c:pt idx="21">
                        <c:v>1</c:v>
                      </c:pt>
                      <c:pt idx="22">
                        <c:v>0.9838709677419355</c:v>
                      </c:pt>
                      <c:pt idx="23">
                        <c:v>0.26470588235294118</c:v>
                      </c:pt>
                      <c:pt idx="24">
                        <c:v>0.7857142857142857</c:v>
                      </c:pt>
                      <c:pt idx="25">
                        <c:v>0.69444444444444442</c:v>
                      </c:pt>
                      <c:pt idx="26">
                        <c:v>0.7</c:v>
                      </c:pt>
                      <c:pt idx="27">
                        <c:v>0.77777777777777779</c:v>
                      </c:pt>
                      <c:pt idx="28">
                        <c:v>0.375</c:v>
                      </c:pt>
                      <c:pt idx="29">
                        <c:v>0.89473684210526316</c:v>
                      </c:pt>
                      <c:pt idx="30">
                        <c:v>1</c:v>
                      </c:pt>
                      <c:pt idx="31">
                        <c:v>0.46376811594202899</c:v>
                      </c:pt>
                      <c:pt idx="32">
                        <c:v>0.68965517241379315</c:v>
                      </c:pt>
                      <c:pt idx="33">
                        <c:v>1</c:v>
                      </c:pt>
                      <c:pt idx="34">
                        <c:v>0.375</c:v>
                      </c:pt>
                      <c:pt idx="35">
                        <c:v>0</c:v>
                      </c:pt>
                      <c:pt idx="36">
                        <c:v>0.7407407407407407</c:v>
                      </c:pt>
                      <c:pt idx="37">
                        <c:v>0</c:v>
                      </c:pt>
                      <c:pt idx="38">
                        <c:v>0.54838709677419351</c:v>
                      </c:pt>
                      <c:pt idx="39">
                        <c:v>0</c:v>
                      </c:pt>
                      <c:pt idx="40">
                        <c:v>0.26190476190476192</c:v>
                      </c:pt>
                      <c:pt idx="41">
                        <c:v>0.13793103448275862</c:v>
                      </c:pt>
                    </c:numCache>
                  </c:numRef>
                </c:val>
                <c:extLst xmlns:c15="http://schemas.microsoft.com/office/drawing/2012/chart">
                  <c:ext xmlns:c16="http://schemas.microsoft.com/office/drawing/2014/chart" uri="{C3380CC4-5D6E-409C-BE32-E72D297353CC}">
                    <c16:uniqueId val="{00000002-D3AB-4670-9B81-3D2A9CC9122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'[1]Figure 1'!#REF!</c15:sqref>
                        </c15:formulaRef>
                      </c:ext>
                    </c:extLst>
                    <c:strCache>
                      <c:ptCount val="1"/>
                      <c:pt idx="0">
                        <c:v>#BEZUG!</c:v>
                      </c:pt>
                    </c:strCache>
                  </c:strRef>
                </c:tx>
                <c:spPr>
                  <a:solidFill>
                    <a:schemeClr val="accent2">
                      <a:lumMod val="60000"/>
                    </a:schemeClr>
                  </a:solidFill>
                  <a:ln>
                    <a:solidFill>
                      <a:srgbClr val="000000"/>
                    </a:solidFill>
                    <a:prstDash val="solid"/>
                  </a:ln>
                  <a:effectLst/>
                </c:spPr>
                <c:invertIfNegative val="0"/>
                <c:cat>
                  <c:strRef>
                    <c:extLst xmlns:c15="http://schemas.microsoft.com/office/drawing/2012/chart">
                      <c:ext xmlns:c15="http://schemas.microsoft.com/office/drawing/2012/chart" uri="{02D57815-91ED-43cb-92C2-25804820EDAC}">
                        <c15:formulaRef>
                          <c15:sqref>'Fig 1. Transparency Index'!$B$12:$B$53</c15:sqref>
                        </c15:formulaRef>
                      </c:ext>
                    </c:extLst>
                    <c:strCache>
                      <c:ptCount val="42"/>
                      <c:pt idx="0">
                        <c:v>Switzerland</c:v>
                      </c:pt>
                      <c:pt idx="1">
                        <c:v>Iceland</c:v>
                      </c:pt>
                      <c:pt idx="2">
                        <c:v>Germany</c:v>
                      </c:pt>
                      <c:pt idx="3">
                        <c:v>EU (Commission and Council)</c:v>
                      </c:pt>
                      <c:pt idx="4">
                        <c:v>Netherlands</c:v>
                      </c:pt>
                      <c:pt idx="5">
                        <c:v>Denmark</c:v>
                      </c:pt>
                      <c:pt idx="6">
                        <c:v>Finland</c:v>
                      </c:pt>
                      <c:pt idx="7">
                        <c:v>Sweden</c:v>
                      </c:pt>
                      <c:pt idx="8">
                        <c:v>New Zealand</c:v>
                      </c:pt>
                      <c:pt idx="9">
                        <c:v>Norway</c:v>
                      </c:pt>
                      <c:pt idx="10">
                        <c:v>Luxembourg</c:v>
                      </c:pt>
                      <c:pt idx="11">
                        <c:v>Estonia</c:v>
                      </c:pt>
                      <c:pt idx="12">
                        <c:v>Latvia</c:v>
                      </c:pt>
                      <c:pt idx="13">
                        <c:v>Slovakia</c:v>
                      </c:pt>
                      <c:pt idx="14">
                        <c:v>France</c:v>
                      </c:pt>
                      <c:pt idx="15">
                        <c:v>United Kingdom</c:v>
                      </c:pt>
                      <c:pt idx="16">
                        <c:v>Taiwan</c:v>
                      </c:pt>
                      <c:pt idx="17">
                        <c:v>China</c:v>
                      </c:pt>
                      <c:pt idx="18">
                        <c:v>United States</c:v>
                      </c:pt>
                      <c:pt idx="19">
                        <c:v>Austria</c:v>
                      </c:pt>
                      <c:pt idx="20">
                        <c:v>Japan</c:v>
                      </c:pt>
                      <c:pt idx="21">
                        <c:v>Canada</c:v>
                      </c:pt>
                      <c:pt idx="22">
                        <c:v>Czech Republic</c:v>
                      </c:pt>
                      <c:pt idx="23">
                        <c:v>Cyprus</c:v>
                      </c:pt>
                      <c:pt idx="24">
                        <c:v>Bulgaria</c:v>
                      </c:pt>
                      <c:pt idx="25">
                        <c:v>Ireland</c:v>
                      </c:pt>
                      <c:pt idx="26">
                        <c:v>Australia</c:v>
                      </c:pt>
                      <c:pt idx="27">
                        <c:v>Belgium</c:v>
                      </c:pt>
                      <c:pt idx="28">
                        <c:v>Italy</c:v>
                      </c:pt>
                      <c:pt idx="29">
                        <c:v>Malta</c:v>
                      </c:pt>
                      <c:pt idx="30">
                        <c:v>Hungary</c:v>
                      </c:pt>
                      <c:pt idx="31">
                        <c:v>Croatia</c:v>
                      </c:pt>
                      <c:pt idx="32">
                        <c:v>Lithuania</c:v>
                      </c:pt>
                      <c:pt idx="33">
                        <c:v>Spain</c:v>
                      </c:pt>
                      <c:pt idx="34">
                        <c:v>Poland</c:v>
                      </c:pt>
                      <c:pt idx="35">
                        <c:v>South Korea</c:v>
                      </c:pt>
                      <c:pt idx="36">
                        <c:v>Turkey</c:v>
                      </c:pt>
                      <c:pt idx="37">
                        <c:v>Portugal</c:v>
                      </c:pt>
                      <c:pt idx="38">
                        <c:v>Slovenia</c:v>
                      </c:pt>
                      <c:pt idx="39">
                        <c:v>Romania</c:v>
                      </c:pt>
                      <c:pt idx="40">
                        <c:v>India</c:v>
                      </c:pt>
                      <c:pt idx="41">
                        <c:v>Greece</c:v>
                      </c:pt>
                    </c:strCache>
                  </c:strRef>
                </c:cat>
                <c:val>
                  <c:numRef>
                    <c:extLst xmlns:c15="http://schemas.microsoft.com/office/drawing/2012/chart">
                      <c:ext xmlns:c15="http://schemas.microsoft.com/office/drawing/2012/chart" uri="{02D57815-91ED-43cb-92C2-25804820EDAC}">
                        <c15:formulaRef>
                          <c15:sqref>'Data Transparency Index'!$F$14:$F$55</c15:sqref>
                        </c15:formulaRef>
                      </c:ext>
                    </c:extLst>
                    <c:numCache>
                      <c:formatCode>0.00</c:formatCode>
                      <c:ptCount val="42"/>
                      <c:pt idx="0">
                        <c:v>1</c:v>
                      </c:pt>
                      <c:pt idx="1">
                        <c:v>1</c:v>
                      </c:pt>
                      <c:pt idx="2">
                        <c:v>1</c:v>
                      </c:pt>
                      <c:pt idx="3">
                        <c:v>1</c:v>
                      </c:pt>
                      <c:pt idx="4">
                        <c:v>1</c:v>
                      </c:pt>
                      <c:pt idx="5">
                        <c:v>0.98529411764705888</c:v>
                      </c:pt>
                      <c:pt idx="6">
                        <c:v>1</c:v>
                      </c:pt>
                      <c:pt idx="7">
                        <c:v>0.94029850746268662</c:v>
                      </c:pt>
                      <c:pt idx="8">
                        <c:v>0.9375</c:v>
                      </c:pt>
                      <c:pt idx="9">
                        <c:v>1</c:v>
                      </c:pt>
                      <c:pt idx="10">
                        <c:v>1</c:v>
                      </c:pt>
                      <c:pt idx="11">
                        <c:v>1</c:v>
                      </c:pt>
                      <c:pt idx="12">
                        <c:v>0.99512195121951219</c:v>
                      </c:pt>
                      <c:pt idx="13">
                        <c:v>0.9375</c:v>
                      </c:pt>
                      <c:pt idx="14">
                        <c:v>0.83673469387755106</c:v>
                      </c:pt>
                      <c:pt idx="15">
                        <c:v>0.25</c:v>
                      </c:pt>
                      <c:pt idx="16">
                        <c:v>0.93103448275862066</c:v>
                      </c:pt>
                      <c:pt idx="17">
                        <c:v>1</c:v>
                      </c:pt>
                      <c:pt idx="18">
                        <c:v>1</c:v>
                      </c:pt>
                      <c:pt idx="19">
                        <c:v>1</c:v>
                      </c:pt>
                      <c:pt idx="20">
                        <c:v>0.8</c:v>
                      </c:pt>
                      <c:pt idx="21">
                        <c:v>0.5714285714285714</c:v>
                      </c:pt>
                      <c:pt idx="22">
                        <c:v>1</c:v>
                      </c:pt>
                      <c:pt idx="23">
                        <c:v>0.76470588235294112</c:v>
                      </c:pt>
                      <c:pt idx="24">
                        <c:v>0.7142857142857143</c:v>
                      </c:pt>
                      <c:pt idx="25">
                        <c:v>0.94444444444444442</c:v>
                      </c:pt>
                      <c:pt idx="26">
                        <c:v>0.8</c:v>
                      </c:pt>
                      <c:pt idx="27">
                        <c:v>0.88888888888888884</c:v>
                      </c:pt>
                      <c:pt idx="28">
                        <c:v>0.875</c:v>
                      </c:pt>
                      <c:pt idx="29">
                        <c:v>1</c:v>
                      </c:pt>
                      <c:pt idx="30">
                        <c:v>1</c:v>
                      </c:pt>
                      <c:pt idx="31">
                        <c:v>1</c:v>
                      </c:pt>
                      <c:pt idx="32">
                        <c:v>0.58620689655172409</c:v>
                      </c:pt>
                      <c:pt idx="33">
                        <c:v>1</c:v>
                      </c:pt>
                      <c:pt idx="34">
                        <c:v>0.75</c:v>
                      </c:pt>
                      <c:pt idx="35">
                        <c:v>0.66666666666666663</c:v>
                      </c:pt>
                      <c:pt idx="36">
                        <c:v>0.62962962962962965</c:v>
                      </c:pt>
                      <c:pt idx="37">
                        <c:v>0.89473684210526316</c:v>
                      </c:pt>
                      <c:pt idx="38">
                        <c:v>0.61290322580645162</c:v>
                      </c:pt>
                      <c:pt idx="39">
                        <c:v>0.33333333333333331</c:v>
                      </c:pt>
                      <c:pt idx="40">
                        <c:v>0.90476190476190477</c:v>
                      </c:pt>
                      <c:pt idx="41">
                        <c:v>0.82758620689655171</c:v>
                      </c:pt>
                    </c:numCache>
                  </c:numRef>
                </c:val>
                <c:extLst xmlns:c15="http://schemas.microsoft.com/office/drawing/2012/chart">
                  <c:ext xmlns:c16="http://schemas.microsoft.com/office/drawing/2014/chart" uri="{C3380CC4-5D6E-409C-BE32-E72D297353CC}">
                    <c16:uniqueId val="{00000003-D3AB-4670-9B81-3D2A9CC91224}"/>
                  </c:ext>
                </c:extLst>
              </c15:ser>
            </c15:filteredBarSeries>
            <c15:filteredBarSeries>
              <c15:ser>
                <c:idx val="4"/>
                <c:order val="4"/>
                <c:tx>
                  <c:v>Subindex 5: Number of military items known</c:v>
                </c:tx>
                <c:spPr>
                  <a:solidFill>
                    <a:schemeClr val="accent4">
                      <a:lumMod val="60000"/>
                    </a:schemeClr>
                  </a:solidFill>
                  <a:ln>
                    <a:solidFill>
                      <a:srgbClr val="000000"/>
                    </a:solidFill>
                    <a:prstDash val="solid"/>
                  </a:ln>
                  <a:effectLst/>
                </c:spPr>
                <c:invertIfNegative val="0"/>
                <c:cat>
                  <c:strRef>
                    <c:extLst xmlns:c15="http://schemas.microsoft.com/office/drawing/2012/chart">
                      <c:ext xmlns:c15="http://schemas.microsoft.com/office/drawing/2012/chart" uri="{02D57815-91ED-43cb-92C2-25804820EDAC}">
                        <c15:formulaRef>
                          <c15:sqref>'Fig 1. Transparency Index'!$B$12:$B$53</c15:sqref>
                        </c15:formulaRef>
                      </c:ext>
                    </c:extLst>
                    <c:strCache>
                      <c:ptCount val="42"/>
                      <c:pt idx="0">
                        <c:v>Switzerland</c:v>
                      </c:pt>
                      <c:pt idx="1">
                        <c:v>Iceland</c:v>
                      </c:pt>
                      <c:pt idx="2">
                        <c:v>Germany</c:v>
                      </c:pt>
                      <c:pt idx="3">
                        <c:v>EU (Commission and Council)</c:v>
                      </c:pt>
                      <c:pt idx="4">
                        <c:v>Netherlands</c:v>
                      </c:pt>
                      <c:pt idx="5">
                        <c:v>Denmark</c:v>
                      </c:pt>
                      <c:pt idx="6">
                        <c:v>Finland</c:v>
                      </c:pt>
                      <c:pt idx="7">
                        <c:v>Sweden</c:v>
                      </c:pt>
                      <c:pt idx="8">
                        <c:v>New Zealand</c:v>
                      </c:pt>
                      <c:pt idx="9">
                        <c:v>Norway</c:v>
                      </c:pt>
                      <c:pt idx="10">
                        <c:v>Luxembourg</c:v>
                      </c:pt>
                      <c:pt idx="11">
                        <c:v>Estonia</c:v>
                      </c:pt>
                      <c:pt idx="12">
                        <c:v>Latvia</c:v>
                      </c:pt>
                      <c:pt idx="13">
                        <c:v>Slovakia</c:v>
                      </c:pt>
                      <c:pt idx="14">
                        <c:v>France</c:v>
                      </c:pt>
                      <c:pt idx="15">
                        <c:v>United Kingdom</c:v>
                      </c:pt>
                      <c:pt idx="16">
                        <c:v>Taiwan</c:v>
                      </c:pt>
                      <c:pt idx="17">
                        <c:v>China</c:v>
                      </c:pt>
                      <c:pt idx="18">
                        <c:v>United States</c:v>
                      </c:pt>
                      <c:pt idx="19">
                        <c:v>Austria</c:v>
                      </c:pt>
                      <c:pt idx="20">
                        <c:v>Japan</c:v>
                      </c:pt>
                      <c:pt idx="21">
                        <c:v>Canada</c:v>
                      </c:pt>
                      <c:pt idx="22">
                        <c:v>Czech Republic</c:v>
                      </c:pt>
                      <c:pt idx="23">
                        <c:v>Cyprus</c:v>
                      </c:pt>
                      <c:pt idx="24">
                        <c:v>Bulgaria</c:v>
                      </c:pt>
                      <c:pt idx="25">
                        <c:v>Ireland</c:v>
                      </c:pt>
                      <c:pt idx="26">
                        <c:v>Australia</c:v>
                      </c:pt>
                      <c:pt idx="27">
                        <c:v>Belgium</c:v>
                      </c:pt>
                      <c:pt idx="28">
                        <c:v>Italy</c:v>
                      </c:pt>
                      <c:pt idx="29">
                        <c:v>Malta</c:v>
                      </c:pt>
                      <c:pt idx="30">
                        <c:v>Hungary</c:v>
                      </c:pt>
                      <c:pt idx="31">
                        <c:v>Croatia</c:v>
                      </c:pt>
                      <c:pt idx="32">
                        <c:v>Lithuania</c:v>
                      </c:pt>
                      <c:pt idx="33">
                        <c:v>Spain</c:v>
                      </c:pt>
                      <c:pt idx="34">
                        <c:v>Poland</c:v>
                      </c:pt>
                      <c:pt idx="35">
                        <c:v>South Korea</c:v>
                      </c:pt>
                      <c:pt idx="36">
                        <c:v>Turkey</c:v>
                      </c:pt>
                      <c:pt idx="37">
                        <c:v>Portugal</c:v>
                      </c:pt>
                      <c:pt idx="38">
                        <c:v>Slovenia</c:v>
                      </c:pt>
                      <c:pt idx="39">
                        <c:v>Romania</c:v>
                      </c:pt>
                      <c:pt idx="40">
                        <c:v>India</c:v>
                      </c:pt>
                      <c:pt idx="41">
                        <c:v>Greece</c:v>
                      </c:pt>
                    </c:strCache>
                  </c:strRef>
                </c:cat>
                <c:val>
                  <c:numRef>
                    <c:extLst xmlns:c15="http://schemas.microsoft.com/office/drawing/2012/chart">
                      <c:ext xmlns:c15="http://schemas.microsoft.com/office/drawing/2012/chart" uri="{02D57815-91ED-43cb-92C2-25804820EDAC}">
                        <c15:formulaRef>
                          <c15:sqref>'Data Transparency Index'!$G$14:$G$55</c15:sqref>
                        </c15:formulaRef>
                      </c:ext>
                    </c:extLst>
                    <c:numCache>
                      <c:formatCode>0.00</c:formatCode>
                      <c:ptCount val="42"/>
                      <c:pt idx="0">
                        <c:v>1</c:v>
                      </c:pt>
                      <c:pt idx="1">
                        <c:v>0.67741935483870974</c:v>
                      </c:pt>
                      <c:pt idx="2">
                        <c:v>0.48549323017408119</c:v>
                      </c:pt>
                      <c:pt idx="3">
                        <c:v>0.47619047619047616</c:v>
                      </c:pt>
                      <c:pt idx="4">
                        <c:v>0.61111111111111116</c:v>
                      </c:pt>
                      <c:pt idx="5">
                        <c:v>0.83333333333333337</c:v>
                      </c:pt>
                      <c:pt idx="6">
                        <c:v>1</c:v>
                      </c:pt>
                      <c:pt idx="7">
                        <c:v>0.72916666666666674</c:v>
                      </c:pt>
                      <c:pt idx="8">
                        <c:v>0.85714285714285721</c:v>
                      </c:pt>
                      <c:pt idx="9">
                        <c:v>1</c:v>
                      </c:pt>
                      <c:pt idx="10">
                        <c:v>0.72727272727272729</c:v>
                      </c:pt>
                      <c:pt idx="11">
                        <c:v>0.15517241379310343</c:v>
                      </c:pt>
                      <c:pt idx="12">
                        <c:v>0.89411764705882357</c:v>
                      </c:pt>
                      <c:pt idx="13">
                        <c:v>1</c:v>
                      </c:pt>
                      <c:pt idx="14">
                        <c:v>0.38235294117647056</c:v>
                      </c:pt>
                      <c:pt idx="15">
                        <c:v>1</c:v>
                      </c:pt>
                      <c:pt idx="16">
                        <c:v>0.30769230769230771</c:v>
                      </c:pt>
                      <c:pt idx="17">
                        <c:v>1</c:v>
                      </c:pt>
                      <c:pt idx="18">
                        <c:v>0.7192982456140351</c:v>
                      </c:pt>
                      <c:pt idx="19">
                        <c:v>1</c:v>
                      </c:pt>
                      <c:pt idx="20">
                        <c:v>1</c:v>
                      </c:pt>
                      <c:pt idx="21">
                        <c:v>0.33333333333333337</c:v>
                      </c:pt>
                      <c:pt idx="22">
                        <c:v>0.39215686274509809</c:v>
                      </c:pt>
                      <c:pt idx="23">
                        <c:v>0.64705882352941169</c:v>
                      </c:pt>
                      <c:pt idx="24">
                        <c:v>0.5</c:v>
                      </c:pt>
                      <c:pt idx="25">
                        <c:v>0.70588235294117641</c:v>
                      </c:pt>
                      <c:pt idx="26">
                        <c:v>1</c:v>
                      </c:pt>
                      <c:pt idx="27">
                        <c:v>0.95652173913043481</c:v>
                      </c:pt>
                      <c:pt idx="28">
                        <c:v>0.5</c:v>
                      </c:pt>
                      <c:pt idx="29">
                        <c:v>1</c:v>
                      </c:pt>
                      <c:pt idx="30">
                        <c:v>1</c:v>
                      </c:pt>
                      <c:pt idx="31">
                        <c:v>0.64285714285714279</c:v>
                      </c:pt>
                      <c:pt idx="32">
                        <c:v>0.68181818181818188</c:v>
                      </c:pt>
                      <c:pt idx="33">
                        <c:v>1</c:v>
                      </c:pt>
                      <c:pt idx="34">
                        <c:v>1</c:v>
                      </c:pt>
                      <c:pt idx="35">
                        <c:v>1</c:v>
                      </c:pt>
                      <c:pt idx="36">
                        <c:v>0.33333333333333337</c:v>
                      </c:pt>
                      <c:pt idx="37">
                        <c:v>1</c:v>
                      </c:pt>
                      <c:pt idx="38">
                        <c:v>0.78260869565217395</c:v>
                      </c:pt>
                      <c:pt idx="39">
                        <c:v>0.75</c:v>
                      </c:pt>
                      <c:pt idx="40">
                        <c:v>0.82758620689655171</c:v>
                      </c:pt>
                      <c:pt idx="41">
                        <c:v>0.61904761904761907</c:v>
                      </c:pt>
                    </c:numCache>
                  </c:numRef>
                </c:val>
                <c:extLst xmlns:c15="http://schemas.microsoft.com/office/drawing/2012/chart">
                  <c:ext xmlns:c16="http://schemas.microsoft.com/office/drawing/2014/chart" uri="{C3380CC4-5D6E-409C-BE32-E72D297353CC}">
                    <c16:uniqueId val="{00000004-D3AB-4670-9B81-3D2A9CC91224}"/>
                  </c:ext>
                </c:extLst>
              </c15:ser>
            </c15:filteredBarSeries>
          </c:ext>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inorUnit val="0.5"/>
      </c:valAx>
      <c:spPr>
        <a:noFill/>
        <a:ln>
          <a:noFill/>
        </a:ln>
        <a:effectLst/>
      </c:spPr>
    </c:plotArea>
    <c:legend>
      <c:legendPos val="r"/>
      <c:layout>
        <c:manualLayout>
          <c:xMode val="edge"/>
          <c:yMode val="edge"/>
          <c:x val="0.71472868803438006"/>
          <c:y val="0.48059907550618675"/>
          <c:w val="0.22639390880703103"/>
          <c:h val="7.1980104049493815E-2"/>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096806939830204E-2"/>
          <c:y val="2.1296064197572406E-2"/>
          <c:w val="0.94061664820967128"/>
          <c:h val="0.80628492443196731"/>
        </c:manualLayout>
      </c:layout>
      <c:barChart>
        <c:barDir val="col"/>
        <c:grouping val="stacked"/>
        <c:varyColors val="0"/>
        <c:ser>
          <c:idx val="4"/>
          <c:order val="0"/>
          <c:tx>
            <c:strRef>
              <c:f>'Fig 11. Aid over Time'!$C$11</c:f>
              <c:strCache>
                <c:ptCount val="1"/>
                <c:pt idx="0">
                  <c:v>Financial aid committed (€ billion)</c:v>
                </c:pt>
              </c:strCache>
            </c:strRef>
          </c:tx>
          <c:spPr>
            <a:solidFill>
              <a:schemeClr val="accent1"/>
            </a:solidFill>
            <a:ln>
              <a:solidFill>
                <a:srgbClr val="000000"/>
              </a:solidFill>
              <a:prstDash val="solid"/>
            </a:ln>
            <a:effectLst/>
          </c:spPr>
          <c:invertIfNegative val="0"/>
          <c:cat>
            <c:strRef>
              <c:f>'Fig 11. Aid over Time'!$B$12:$B$27</c:f>
              <c:strCache>
                <c:ptCount val="16"/>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pt idx="13">
                  <c:v>March (2023)</c:v>
                </c:pt>
                <c:pt idx="14">
                  <c:v>April (2023)</c:v>
                </c:pt>
                <c:pt idx="15">
                  <c:v>May (2023)</c:v>
                </c:pt>
              </c:strCache>
            </c:strRef>
          </c:cat>
          <c:val>
            <c:numRef>
              <c:f>'Fig 11. Aid over Time'!$C$12:$C$27</c:f>
              <c:numCache>
                <c:formatCode>0.00</c:formatCode>
                <c:ptCount val="16"/>
                <c:pt idx="0">
                  <c:v>3.7461210909318057</c:v>
                </c:pt>
                <c:pt idx="1">
                  <c:v>3.4557197510382403</c:v>
                </c:pt>
                <c:pt idx="2">
                  <c:v>2.282606613701359</c:v>
                </c:pt>
                <c:pt idx="3">
                  <c:v>14.833953030910974</c:v>
                </c:pt>
                <c:pt idx="4">
                  <c:v>0.16549763098615825</c:v>
                </c:pt>
                <c:pt idx="5">
                  <c:v>0.44969999999999999</c:v>
                </c:pt>
                <c:pt idx="6">
                  <c:v>0.31819789995512338</c:v>
                </c:pt>
                <c:pt idx="7">
                  <c:v>4.6531624953993376</c:v>
                </c:pt>
                <c:pt idx="8">
                  <c:v>0.63262620333989794</c:v>
                </c:pt>
                <c:pt idx="9">
                  <c:v>18.157273429553989</c:v>
                </c:pt>
                <c:pt idx="10">
                  <c:v>13.775211028870753</c:v>
                </c:pt>
                <c:pt idx="11">
                  <c:v>4.4999999999999997E-3</c:v>
                </c:pt>
                <c:pt idx="12">
                  <c:v>5.2028902080931445</c:v>
                </c:pt>
                <c:pt idx="13">
                  <c:v>0.47709010811639418</c:v>
                </c:pt>
                <c:pt idx="14">
                  <c:v>2.7475468386723239</c:v>
                </c:pt>
                <c:pt idx="15">
                  <c:v>0.40830906472197448</c:v>
                </c:pt>
              </c:numCache>
            </c:numRef>
          </c:val>
          <c:extLst xmlns:c15="http://schemas.microsoft.com/office/drawing/2012/chart">
            <c:ext xmlns:c16="http://schemas.microsoft.com/office/drawing/2014/chart" uri="{C3380CC4-5D6E-409C-BE32-E72D297353CC}">
              <c16:uniqueId val="{00000004-DF1F-42ED-A10A-F1B308177E80}"/>
            </c:ext>
          </c:extLst>
        </c:ser>
        <c:ser>
          <c:idx val="5"/>
          <c:order val="1"/>
          <c:tx>
            <c:strRef>
              <c:f>'Fig 11. Aid over Time'!$D$11</c:f>
              <c:strCache>
                <c:ptCount val="1"/>
                <c:pt idx="0">
                  <c:v>Humanitarian aid committed (€ billion)</c:v>
                </c:pt>
              </c:strCache>
            </c:strRef>
          </c:tx>
          <c:spPr>
            <a:solidFill>
              <a:srgbClr val="70AD47"/>
            </a:solidFill>
            <a:ln>
              <a:solidFill>
                <a:srgbClr val="000000"/>
              </a:solidFill>
              <a:prstDash val="solid"/>
            </a:ln>
            <a:effectLst/>
          </c:spPr>
          <c:invertIfNegative val="0"/>
          <c:cat>
            <c:strRef>
              <c:f>'Fig 11. Aid over Time'!$B$12:$B$27</c:f>
              <c:strCache>
                <c:ptCount val="16"/>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pt idx="13">
                  <c:v>March (2023)</c:v>
                </c:pt>
                <c:pt idx="14">
                  <c:v>April (2023)</c:v>
                </c:pt>
                <c:pt idx="15">
                  <c:v>May (2023)</c:v>
                </c:pt>
              </c:strCache>
            </c:strRef>
          </c:cat>
          <c:val>
            <c:numRef>
              <c:f>'Fig 11. Aid over Time'!$D$12:$D$27</c:f>
              <c:numCache>
                <c:formatCode>0.00</c:formatCode>
                <c:ptCount val="16"/>
                <c:pt idx="0">
                  <c:v>0.2063351678746933</c:v>
                </c:pt>
                <c:pt idx="1">
                  <c:v>1.2069601774141903</c:v>
                </c:pt>
                <c:pt idx="2">
                  <c:v>1.3982216207924825</c:v>
                </c:pt>
                <c:pt idx="3">
                  <c:v>1.1922341683069444</c:v>
                </c:pt>
                <c:pt idx="4">
                  <c:v>0.684534666329913</c:v>
                </c:pt>
                <c:pt idx="5">
                  <c:v>0.87692280109599785</c:v>
                </c:pt>
                <c:pt idx="6">
                  <c:v>8.7916681203332125E-2</c:v>
                </c:pt>
                <c:pt idx="7">
                  <c:v>0.74271723186648575</c:v>
                </c:pt>
                <c:pt idx="8">
                  <c:v>0.42035769946565443</c:v>
                </c:pt>
                <c:pt idx="9">
                  <c:v>0.40502395956479198</c:v>
                </c:pt>
                <c:pt idx="10">
                  <c:v>3.8008646686282979</c:v>
                </c:pt>
                <c:pt idx="11">
                  <c:v>6.4743928283651192E-2</c:v>
                </c:pt>
                <c:pt idx="12">
                  <c:v>1.181240719388762</c:v>
                </c:pt>
                <c:pt idx="13">
                  <c:v>0.68578862759653192</c:v>
                </c:pt>
                <c:pt idx="14">
                  <c:v>0.39183420200266339</c:v>
                </c:pt>
                <c:pt idx="15">
                  <c:v>0.2130595898484241</c:v>
                </c:pt>
              </c:numCache>
            </c:numRef>
          </c:val>
          <c:extLst>
            <c:ext xmlns:c16="http://schemas.microsoft.com/office/drawing/2014/chart" uri="{C3380CC4-5D6E-409C-BE32-E72D297353CC}">
              <c16:uniqueId val="{00000005-DF1F-42ED-A10A-F1B308177E80}"/>
            </c:ext>
          </c:extLst>
        </c:ser>
        <c:ser>
          <c:idx val="6"/>
          <c:order val="2"/>
          <c:tx>
            <c:strRef>
              <c:f>'Fig 11. Aid over Time'!$E$11</c:f>
              <c:strCache>
                <c:ptCount val="1"/>
                <c:pt idx="0">
                  <c:v>Military aid committed (€ billion)</c:v>
                </c:pt>
              </c:strCache>
            </c:strRef>
          </c:tx>
          <c:spPr>
            <a:solidFill>
              <a:srgbClr val="C00000"/>
            </a:solidFill>
            <a:ln>
              <a:solidFill>
                <a:srgbClr val="000000"/>
              </a:solidFill>
              <a:prstDash val="solid"/>
            </a:ln>
            <a:effectLst/>
          </c:spPr>
          <c:invertIfNegative val="0"/>
          <c:cat>
            <c:strRef>
              <c:f>'Fig 11. Aid over Time'!$B$12:$B$27</c:f>
              <c:strCache>
                <c:ptCount val="16"/>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pt idx="13">
                  <c:v>March (2023)</c:v>
                </c:pt>
                <c:pt idx="14">
                  <c:v>April (2023)</c:v>
                </c:pt>
                <c:pt idx="15">
                  <c:v>May (2023)</c:v>
                </c:pt>
              </c:strCache>
            </c:strRef>
          </c:cat>
          <c:val>
            <c:numRef>
              <c:f>'Fig 11. Aid over Time'!$E$12:$E$27</c:f>
              <c:numCache>
                <c:formatCode>0.00</c:formatCode>
                <c:ptCount val="16"/>
                <c:pt idx="0">
                  <c:v>1.113243086216948</c:v>
                </c:pt>
                <c:pt idx="1">
                  <c:v>9.7481265940351882</c:v>
                </c:pt>
                <c:pt idx="2">
                  <c:v>11.39221766410215</c:v>
                </c:pt>
                <c:pt idx="3">
                  <c:v>2.6779986122087518</c:v>
                </c:pt>
                <c:pt idx="4">
                  <c:v>3.8340576114965792</c:v>
                </c:pt>
                <c:pt idx="5">
                  <c:v>0.72209168253676292</c:v>
                </c:pt>
                <c:pt idx="6">
                  <c:v>0.77679538472841569</c:v>
                </c:pt>
                <c:pt idx="7">
                  <c:v>6.6700058112946117</c:v>
                </c:pt>
                <c:pt idx="8">
                  <c:v>1.6337914517488383</c:v>
                </c:pt>
                <c:pt idx="9">
                  <c:v>1.2057871785529384</c:v>
                </c:pt>
                <c:pt idx="10">
                  <c:v>23.437003598379327</c:v>
                </c:pt>
                <c:pt idx="11">
                  <c:v>6.8790172033181456</c:v>
                </c:pt>
                <c:pt idx="12">
                  <c:v>0.98444490744554258</c:v>
                </c:pt>
                <c:pt idx="13">
                  <c:v>0.71305085307912297</c:v>
                </c:pt>
                <c:pt idx="14">
                  <c:v>4.8413606831623746</c:v>
                </c:pt>
                <c:pt idx="15">
                  <c:v>3.2557517393703876</c:v>
                </c:pt>
              </c:numCache>
            </c:numRef>
          </c:val>
          <c:extLst>
            <c:ext xmlns:c16="http://schemas.microsoft.com/office/drawing/2014/chart" uri="{C3380CC4-5D6E-409C-BE32-E72D297353CC}">
              <c16:uniqueId val="{00000006-DF1F-42ED-A10A-F1B308177E80}"/>
            </c:ext>
          </c:extLst>
        </c:ser>
        <c:dLbls>
          <c:showLegendKey val="0"/>
          <c:showVal val="0"/>
          <c:showCatName val="0"/>
          <c:showSerName val="0"/>
          <c:showPercent val="0"/>
          <c:showBubbleSize val="0"/>
        </c:dLbls>
        <c:gapWidth val="152"/>
        <c:overlap val="100"/>
        <c:axId val="450490767"/>
        <c:axId val="450486607"/>
        <c:extLst/>
      </c:barChart>
      <c:catAx>
        <c:axId val="45049076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1"/>
      </c:catAx>
      <c:valAx>
        <c:axId val="45048660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autoZero"/>
        <c:crossBetween val="between"/>
        <c:majorUnit val="5"/>
      </c:valAx>
      <c:spPr>
        <a:noFill/>
        <a:ln>
          <a:noFill/>
        </a:ln>
        <a:effectLst/>
      </c:spPr>
    </c:plotArea>
    <c:legend>
      <c:legendPos val="t"/>
      <c:layout>
        <c:manualLayout>
          <c:xMode val="edge"/>
          <c:yMode val="edge"/>
          <c:x val="6.2130266000764198E-2"/>
          <c:y val="0.11913119890850649"/>
          <c:w val="0.31317612445488041"/>
          <c:h val="0.27624033713819468"/>
        </c:manualLayout>
      </c:layout>
      <c:overlay val="1"/>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964537037037035E-2"/>
          <c:y val="2.3803600126414605E-4"/>
          <c:w val="0.9390965740740741"/>
          <c:h val="0.91344901164828285"/>
        </c:manualLayout>
      </c:layout>
      <c:barChart>
        <c:barDir val="col"/>
        <c:grouping val="clustered"/>
        <c:varyColors val="0"/>
        <c:ser>
          <c:idx val="4"/>
          <c:order val="0"/>
          <c:tx>
            <c:strRef>
              <c:f>'Fig 12. Budget supp. over time'!$C$11</c:f>
              <c:strCache>
                <c:ptCount val="1"/>
                <c:pt idx="0">
                  <c:v>Commitments (loans, grants, and guarantees)</c:v>
                </c:pt>
              </c:strCache>
            </c:strRef>
          </c:tx>
          <c:spPr>
            <a:solidFill>
              <a:schemeClr val="accent1">
                <a:lumMod val="75000"/>
              </a:schemeClr>
            </a:solidFill>
            <a:ln>
              <a:solidFill>
                <a:srgbClr val="000000"/>
              </a:solidFill>
              <a:prstDash val="solid"/>
            </a:ln>
            <a:effectLst/>
          </c:spPr>
          <c:invertIfNegative val="0"/>
          <c:cat>
            <c:strRef>
              <c:f>'Fig 12. Budget supp. over time'!$B$12:$B$27</c:f>
              <c:strCache>
                <c:ptCount val="16"/>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pt idx="13">
                  <c:v>March (2023)</c:v>
                </c:pt>
                <c:pt idx="14">
                  <c:v>April (2023)</c:v>
                </c:pt>
                <c:pt idx="15">
                  <c:v>May (2023)</c:v>
                </c:pt>
              </c:strCache>
            </c:strRef>
          </c:cat>
          <c:val>
            <c:numRef>
              <c:f>'Fig 12. Budget supp. over time'!$C$12:$C$27</c:f>
              <c:numCache>
                <c:formatCode>0.00</c:formatCode>
                <c:ptCount val="16"/>
                <c:pt idx="0">
                  <c:v>2.8710651259733311</c:v>
                </c:pt>
                <c:pt idx="1">
                  <c:v>3.4561435696438765</c:v>
                </c:pt>
                <c:pt idx="2">
                  <c:v>2.3059676736939978</c:v>
                </c:pt>
                <c:pt idx="3">
                  <c:v>14.872853030910976</c:v>
                </c:pt>
                <c:pt idx="4">
                  <c:v>0.22575228477091491</c:v>
                </c:pt>
                <c:pt idx="5">
                  <c:v>0.80111997281797498</c:v>
                </c:pt>
                <c:pt idx="6">
                  <c:v>0.31819789995512332</c:v>
                </c:pt>
                <c:pt idx="7">
                  <c:v>5.5088515774755322</c:v>
                </c:pt>
                <c:pt idx="8">
                  <c:v>0.81262620333989799</c:v>
                </c:pt>
                <c:pt idx="9">
                  <c:v>18.208762400142227</c:v>
                </c:pt>
                <c:pt idx="10">
                  <c:v>13.908511566761408</c:v>
                </c:pt>
                <c:pt idx="11">
                  <c:v>9.4999999999999998E-3</c:v>
                </c:pt>
                <c:pt idx="12">
                  <c:v>5.2028902080931445</c:v>
                </c:pt>
                <c:pt idx="13">
                  <c:v>0.90955238268393179</c:v>
                </c:pt>
                <c:pt idx="14">
                  <c:v>2.7522988386723237</c:v>
                </c:pt>
                <c:pt idx="15">
                  <c:v>0.40830906472197448</c:v>
                </c:pt>
              </c:numCache>
            </c:numRef>
          </c:val>
          <c:extLst xmlns:c15="http://schemas.microsoft.com/office/drawing/2012/chart">
            <c:ext xmlns:c16="http://schemas.microsoft.com/office/drawing/2014/chart" uri="{C3380CC4-5D6E-409C-BE32-E72D297353CC}">
              <c16:uniqueId val="{00000000-0D43-4817-83E1-2F37121EA36E}"/>
            </c:ext>
          </c:extLst>
        </c:ser>
        <c:ser>
          <c:idx val="5"/>
          <c:order val="1"/>
          <c:tx>
            <c:strRef>
              <c:f>'Fig 12. Budget supp. over time'!$D$11</c:f>
              <c:strCache>
                <c:ptCount val="1"/>
                <c:pt idx="0">
                  <c:v>Disbursements</c:v>
                </c:pt>
              </c:strCache>
            </c:strRef>
          </c:tx>
          <c:spPr>
            <a:solidFill>
              <a:schemeClr val="accent1">
                <a:lumMod val="40000"/>
                <a:lumOff val="60000"/>
              </a:schemeClr>
            </a:solidFill>
            <a:ln>
              <a:solidFill>
                <a:srgbClr val="000000"/>
              </a:solidFill>
              <a:prstDash val="solid"/>
            </a:ln>
            <a:effectLst/>
          </c:spPr>
          <c:invertIfNegative val="0"/>
          <c:cat>
            <c:strRef>
              <c:f>'Fig 12. Budget supp. over time'!$B$12:$B$27</c:f>
              <c:strCache>
                <c:ptCount val="16"/>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pt idx="13">
                  <c:v>March (2023)</c:v>
                </c:pt>
                <c:pt idx="14">
                  <c:v>April (2023)</c:v>
                </c:pt>
                <c:pt idx="15">
                  <c:v>May (2023)</c:v>
                </c:pt>
              </c:strCache>
            </c:strRef>
          </c:cat>
          <c:val>
            <c:numRef>
              <c:f>'Fig 12. Budget supp. over time'!$D$12:$D$27</c:f>
              <c:numCache>
                <c:formatCode>0.00</c:formatCode>
                <c:ptCount val="16"/>
                <c:pt idx="0">
                  <c:v>0</c:v>
                </c:pt>
                <c:pt idx="1">
                  <c:v>0</c:v>
                </c:pt>
                <c:pt idx="2">
                  <c:v>2.0564961354435036</c:v>
                </c:pt>
                <c:pt idx="3">
                  <c:v>2.0881838950523162</c:v>
                </c:pt>
                <c:pt idx="4">
                  <c:v>1.357195436142804</c:v>
                </c:pt>
                <c:pt idx="5">
                  <c:v>4.1387559808612444</c:v>
                </c:pt>
                <c:pt idx="6">
                  <c:v>4.2335296282664707</c:v>
                </c:pt>
                <c:pt idx="7">
                  <c:v>1.3801987486198013</c:v>
                </c:pt>
                <c:pt idx="8">
                  <c:v>2.2258005152741998</c:v>
                </c:pt>
                <c:pt idx="9">
                  <c:v>2.77972027972028</c:v>
                </c:pt>
                <c:pt idx="10">
                  <c:v>4.6356275303643741</c:v>
                </c:pt>
                <c:pt idx="11">
                  <c:v>3.9059624585940376</c:v>
                </c:pt>
                <c:pt idx="12">
                  <c:v>1.7521520794994478</c:v>
                </c:pt>
                <c:pt idx="13">
                  <c:v>2.6306588148693413</c:v>
                </c:pt>
                <c:pt idx="14">
                  <c:v>3.1348914243651089</c:v>
                </c:pt>
                <c:pt idx="15">
                  <c:v>3.7946264262053737</c:v>
                </c:pt>
              </c:numCache>
            </c:numRef>
          </c:val>
          <c:extLst>
            <c:ext xmlns:c16="http://schemas.microsoft.com/office/drawing/2014/chart" uri="{C3380CC4-5D6E-409C-BE32-E72D297353CC}">
              <c16:uniqueId val="{00000001-0D43-4817-83E1-2F37121EA36E}"/>
            </c:ext>
          </c:extLst>
        </c:ser>
        <c:dLbls>
          <c:showLegendKey val="0"/>
          <c:showVal val="0"/>
          <c:showCatName val="0"/>
          <c:showSerName val="0"/>
          <c:showPercent val="0"/>
          <c:showBubbleSize val="0"/>
        </c:dLbls>
        <c:gapWidth val="150"/>
        <c:axId val="450490767"/>
        <c:axId val="450486607"/>
        <c:extLst/>
      </c:barChart>
      <c:catAx>
        <c:axId val="45049076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1"/>
      </c:catAx>
      <c:valAx>
        <c:axId val="45048660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autoZero"/>
        <c:crossBetween val="between"/>
        <c:majorUnit val="5"/>
      </c:valAx>
      <c:spPr>
        <a:noFill/>
        <a:ln>
          <a:noFill/>
        </a:ln>
        <a:effectLst/>
      </c:spPr>
    </c:plotArea>
    <c:legend>
      <c:legendPos val="tr"/>
      <c:layout>
        <c:manualLayout>
          <c:xMode val="edge"/>
          <c:yMode val="edge"/>
          <c:x val="6.4998589338223875E-2"/>
          <c:y val="6.8054265226476576E-2"/>
          <c:w val="0.47779374729979623"/>
          <c:h val="0.13312885667252342"/>
        </c:manualLayout>
      </c:layout>
      <c:overlay val="1"/>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54823044686635"/>
          <c:y val="1.4074447230952877E-2"/>
          <c:w val="0.82472750125184413"/>
          <c:h val="0.94124085444144956"/>
        </c:manualLayout>
      </c:layout>
      <c:barChart>
        <c:barDir val="bar"/>
        <c:grouping val="stacked"/>
        <c:varyColors val="0"/>
        <c:ser>
          <c:idx val="0"/>
          <c:order val="0"/>
          <c:tx>
            <c:strRef>
              <c:f>'Fig 13. Military Aid'!$C$11</c:f>
              <c:strCache>
                <c:ptCount val="1"/>
                <c:pt idx="0">
                  <c:v>Military commitments</c:v>
                </c:pt>
              </c:strCache>
            </c:strRef>
          </c:tx>
          <c:spPr>
            <a:solidFill>
              <a:schemeClr val="accent2"/>
            </a:solidFill>
            <a:ln>
              <a:solidFill>
                <a:srgbClr val="000000"/>
              </a:solidFill>
              <a:prstDash val="solid"/>
            </a:ln>
            <a:effectLst/>
          </c:spPr>
          <c:invertIfNegative val="0"/>
          <c:cat>
            <c:strRef>
              <c:f>'Fig 13. Military Aid'!$B$12:$B$32</c:f>
              <c:strCache>
                <c:ptCount val="21"/>
                <c:pt idx="0">
                  <c:v>United States</c:v>
                </c:pt>
                <c:pt idx="1">
                  <c:v>EU Total</c:v>
                </c:pt>
                <c:pt idx="2">
                  <c:v>Germany</c:v>
                </c:pt>
                <c:pt idx="3">
                  <c:v>United Kingdom</c:v>
                </c:pt>
                <c:pt idx="4">
                  <c:v>Poland</c:v>
                </c:pt>
                <c:pt idx="5">
                  <c:v>Netherlands</c:v>
                </c:pt>
                <c:pt idx="6">
                  <c:v>Denmark</c:v>
                </c:pt>
                <c:pt idx="7">
                  <c:v>Canada</c:v>
                </c:pt>
                <c:pt idx="8">
                  <c:v>Sweden</c:v>
                </c:pt>
                <c:pt idx="9">
                  <c:v>Finland</c:v>
                </c:pt>
                <c:pt idx="10">
                  <c:v>Norway</c:v>
                </c:pt>
                <c:pt idx="11">
                  <c:v>Italy</c:v>
                </c:pt>
                <c:pt idx="12">
                  <c:v>Slovakia</c:v>
                </c:pt>
                <c:pt idx="13">
                  <c:v>Czech Republic</c:v>
                </c:pt>
                <c:pt idx="14">
                  <c:v>Lithuania</c:v>
                </c:pt>
                <c:pt idx="15">
                  <c:v>France</c:v>
                </c:pt>
                <c:pt idx="16">
                  <c:v>Estonia</c:v>
                </c:pt>
                <c:pt idx="17">
                  <c:v>Belgium</c:v>
                </c:pt>
                <c:pt idx="18">
                  <c:v>Latvia</c:v>
                </c:pt>
                <c:pt idx="19">
                  <c:v>Australia</c:v>
                </c:pt>
                <c:pt idx="20">
                  <c:v>Spain</c:v>
                </c:pt>
              </c:strCache>
            </c:strRef>
          </c:cat>
          <c:val>
            <c:numRef>
              <c:f>'Fig 13. Military Aid'!$C$12:$C$32</c:f>
              <c:numCache>
                <c:formatCode>0.00</c:formatCode>
                <c:ptCount val="21"/>
                <c:pt idx="0">
                  <c:v>42.836768494663232</c:v>
                </c:pt>
                <c:pt idx="1">
                  <c:v>27.957381273246185</c:v>
                </c:pt>
                <c:pt idx="2">
                  <c:v>7.5023</c:v>
                </c:pt>
                <c:pt idx="3">
                  <c:v>6.5786757252947297</c:v>
                </c:pt>
                <c:pt idx="4">
                  <c:v>3</c:v>
                </c:pt>
                <c:pt idx="5">
                  <c:v>2.4834999999999998</c:v>
                </c:pt>
                <c:pt idx="6">
                  <c:v>1.5690784453245619</c:v>
                </c:pt>
                <c:pt idx="7">
                  <c:v>1.4998221822208855</c:v>
                </c:pt>
                <c:pt idx="8">
                  <c:v>1.4866003500532117</c:v>
                </c:pt>
                <c:pt idx="9">
                  <c:v>1.1147</c:v>
                </c:pt>
                <c:pt idx="10">
                  <c:v>1.0133810619619874</c:v>
                </c:pt>
                <c:pt idx="11">
                  <c:v>0.71296199986253783</c:v>
                </c:pt>
                <c:pt idx="12">
                  <c:v>0.66799999980934854</c:v>
                </c:pt>
                <c:pt idx="13">
                  <c:v>0.56546297988460215</c:v>
                </c:pt>
                <c:pt idx="14">
                  <c:v>0.49099999999999999</c:v>
                </c:pt>
                <c:pt idx="15">
                  <c:v>0.44573671433132461</c:v>
                </c:pt>
                <c:pt idx="16">
                  <c:v>0.42129430000000001</c:v>
                </c:pt>
                <c:pt idx="17">
                  <c:v>0.38505152839999995</c:v>
                </c:pt>
                <c:pt idx="18">
                  <c:v>0.37</c:v>
                </c:pt>
                <c:pt idx="19">
                  <c:v>0.35868102288021536</c:v>
                </c:pt>
                <c:pt idx="20">
                  <c:v>0.3283765566618333</c:v>
                </c:pt>
              </c:numCache>
            </c:numRef>
          </c:val>
          <c:extLst>
            <c:ext xmlns:c16="http://schemas.microsoft.com/office/drawing/2014/chart" uri="{C3380CC4-5D6E-409C-BE32-E72D297353CC}">
              <c16:uniqueId val="{00000001-6BDE-4AC9-9143-833479749912}"/>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32570100612423447"/>
          <c:y val="0.3962431102362205"/>
          <c:w val="0.49870614323935158"/>
          <c:h val="0.15932228783902014"/>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54823044686635"/>
          <c:y val="1.4074447230952877E-2"/>
          <c:w val="0.82472750125184413"/>
          <c:h val="0.94124085444144956"/>
        </c:manualLayout>
      </c:layout>
      <c:barChart>
        <c:barDir val="bar"/>
        <c:grouping val="stacked"/>
        <c:varyColors val="0"/>
        <c:ser>
          <c:idx val="0"/>
          <c:order val="0"/>
          <c:tx>
            <c:strRef>
              <c:f>'Fig 14. Heavy Weapon Ranking'!$C$11</c:f>
              <c:strCache>
                <c:ptCount val="1"/>
                <c:pt idx="0">
                  <c:v>Heavy weapon commitments</c:v>
                </c:pt>
              </c:strCache>
            </c:strRef>
          </c:tx>
          <c:spPr>
            <a:pattFill prst="trellis">
              <a:fgClr>
                <a:schemeClr val="accent2"/>
              </a:fgClr>
              <a:bgClr>
                <a:schemeClr val="bg1"/>
              </a:bgClr>
            </a:pattFill>
            <a:ln>
              <a:solidFill>
                <a:schemeClr val="tx1"/>
              </a:solidFill>
            </a:ln>
            <a:effectLst/>
          </c:spPr>
          <c:invertIfNegative val="0"/>
          <c:cat>
            <c:strRef>
              <c:f>'Fig 14. Heavy Weapon Ranking'!$B$12:$B$31</c:f>
              <c:strCache>
                <c:ptCount val="20"/>
                <c:pt idx="0">
                  <c:v>United States</c:v>
                </c:pt>
                <c:pt idx="1">
                  <c:v>EU Total</c:v>
                </c:pt>
                <c:pt idx="2">
                  <c:v>Germany</c:v>
                </c:pt>
                <c:pt idx="3">
                  <c:v>Poland</c:v>
                </c:pt>
                <c:pt idx="4">
                  <c:v>Netherlands</c:v>
                </c:pt>
                <c:pt idx="5">
                  <c:v>United Kingdom</c:v>
                </c:pt>
                <c:pt idx="6">
                  <c:v>Italy</c:v>
                </c:pt>
                <c:pt idx="7">
                  <c:v>Sweden</c:v>
                </c:pt>
                <c:pt idx="8">
                  <c:v>France</c:v>
                </c:pt>
                <c:pt idx="9">
                  <c:v>Czech Republic</c:v>
                </c:pt>
                <c:pt idx="10">
                  <c:v>Canada</c:v>
                </c:pt>
                <c:pt idx="11">
                  <c:v>Slovakia</c:v>
                </c:pt>
                <c:pt idx="12">
                  <c:v>Denmark</c:v>
                </c:pt>
                <c:pt idx="13">
                  <c:v>Australia</c:v>
                </c:pt>
                <c:pt idx="14">
                  <c:v>Norway</c:v>
                </c:pt>
                <c:pt idx="15">
                  <c:v>Spain</c:v>
                </c:pt>
                <c:pt idx="16">
                  <c:v>Slovenia</c:v>
                </c:pt>
                <c:pt idx="17">
                  <c:v>Belgium</c:v>
                </c:pt>
                <c:pt idx="18">
                  <c:v>Lithuania</c:v>
                </c:pt>
                <c:pt idx="19">
                  <c:v>Estonia</c:v>
                </c:pt>
              </c:strCache>
            </c:strRef>
          </c:cat>
          <c:val>
            <c:numRef>
              <c:f>'Fig 14. Heavy Weapon Ranking'!$C$12:$C$31</c:f>
              <c:numCache>
                <c:formatCode>0.00</c:formatCode>
                <c:ptCount val="20"/>
                <c:pt idx="0">
                  <c:v>8.5836593288596177</c:v>
                </c:pt>
                <c:pt idx="1">
                  <c:v>6.1351838549453461</c:v>
                </c:pt>
                <c:pt idx="2">
                  <c:v>1.764403298827127</c:v>
                </c:pt>
                <c:pt idx="3">
                  <c:v>1.2079251250430754</c:v>
                </c:pt>
                <c:pt idx="4">
                  <c:v>0.96236744709975075</c:v>
                </c:pt>
                <c:pt idx="5">
                  <c:v>0.80505817094466425</c:v>
                </c:pt>
                <c:pt idx="6">
                  <c:v>0.47011260639092167</c:v>
                </c:pt>
                <c:pt idx="7">
                  <c:v>0.34340402097902095</c:v>
                </c:pt>
                <c:pt idx="8">
                  <c:v>0.2858692544031724</c:v>
                </c:pt>
                <c:pt idx="9">
                  <c:v>0.28135966863444895</c:v>
                </c:pt>
                <c:pt idx="10">
                  <c:v>0.2958678329676086</c:v>
                </c:pt>
                <c:pt idx="11">
                  <c:v>0.27596050334008099</c:v>
                </c:pt>
                <c:pt idx="12">
                  <c:v>0.21947391661003776</c:v>
                </c:pt>
                <c:pt idx="13">
                  <c:v>0.1729112992270887</c:v>
                </c:pt>
                <c:pt idx="14">
                  <c:v>0.16154115158264709</c:v>
                </c:pt>
                <c:pt idx="15">
                  <c:v>0.10722157521087662</c:v>
                </c:pt>
                <c:pt idx="16">
                  <c:v>4.7784303507545089E-2</c:v>
                </c:pt>
                <c:pt idx="17">
                  <c:v>3.9241810820758186E-2</c:v>
                </c:pt>
                <c:pt idx="18">
                  <c:v>2.433156637833888E-2</c:v>
                </c:pt>
                <c:pt idx="19">
                  <c:v>2.2151535737946263E-2</c:v>
                </c:pt>
              </c:numCache>
            </c:numRef>
          </c:val>
          <c:extLst>
            <c:ext xmlns:c16="http://schemas.microsoft.com/office/drawing/2014/chart" uri="{C3380CC4-5D6E-409C-BE32-E72D297353CC}">
              <c16:uniqueId val="{00000000-72CE-4462-8CB7-4CA72B5EB063}"/>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53662985557872644"/>
          <c:y val="0.4365675"/>
          <c:w val="0.33053737524077154"/>
          <c:h val="7.7476111111111107E-2"/>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45913487314761"/>
          <c:y val="6.7795148941645761E-3"/>
          <c:w val="0.74761500353857047"/>
          <c:h val="0.86755362542623693"/>
        </c:manualLayout>
      </c:layout>
      <c:barChart>
        <c:barDir val="bar"/>
        <c:grouping val="stacked"/>
        <c:varyColors val="0"/>
        <c:ser>
          <c:idx val="0"/>
          <c:order val="0"/>
          <c:tx>
            <c:strRef>
              <c:f>'[3]Figure military aid gap'!#REF!</c:f>
              <c:strCache>
                <c:ptCount val="1"/>
                <c:pt idx="0">
                  <c:v>#BEZUG!</c:v>
                </c:pt>
              </c:strCache>
            </c:strRef>
          </c:tx>
          <c:spPr>
            <a:solidFill>
              <a:schemeClr val="accent1"/>
            </a:solidFill>
            <a:ln>
              <a:noFill/>
            </a:ln>
            <a:effectLst/>
          </c:spPr>
          <c:invertIfNegative val="0"/>
          <c:dLbls>
            <c:delete val="1"/>
          </c:dLbls>
          <c:cat>
            <c:strRef>
              <c:f>'Fig 15. Weapon Stocks UKR RU'!$B$21:$C$26</c:f>
              <c:strCache>
                <c:ptCount val="12"/>
                <c:pt idx="0">
                  <c:v>MLRS </c:v>
                </c:pt>
                <c:pt idx="2">
                  <c:v>HOWITZERS (155/152mm) </c:v>
                </c:pt>
                <c:pt idx="4">
                  <c:v>TANKS </c:v>
                </c:pt>
                <c:pt idx="6">
                  <c:v>Ukraine (pre-war stocks 
and foreign commitments)</c:v>
                </c:pt>
                <c:pt idx="7">
                  <c:v>Russia (pre-war stocks)</c:v>
                </c:pt>
                <c:pt idx="8">
                  <c:v>Ukraine (pre-war stocks 
and foreign commitments)</c:v>
                </c:pt>
                <c:pt idx="9">
                  <c:v>Russia (pre-war stocks)</c:v>
                </c:pt>
                <c:pt idx="10">
                  <c:v>Ukraine (pre-war stocks 
and foreign commitments)</c:v>
                </c:pt>
                <c:pt idx="11">
                  <c:v>Russia (pre-war stocks)</c:v>
                </c:pt>
              </c:strCache>
            </c:strRef>
          </c:cat>
          <c:val>
            <c:numRef>
              <c:f>'[3]Figure military aid gap'!#REF!</c:f>
              <c:numCache>
                <c:formatCode>General</c:formatCode>
                <c:ptCount val="1"/>
                <c:pt idx="0">
                  <c:v>1</c:v>
                </c:pt>
              </c:numCache>
            </c:numRef>
          </c:val>
          <c:extLst>
            <c:ext xmlns:c16="http://schemas.microsoft.com/office/drawing/2014/chart" uri="{C3380CC4-5D6E-409C-BE32-E72D297353CC}">
              <c16:uniqueId val="{00000000-B327-4DF2-A823-0936A8A3E829}"/>
            </c:ext>
          </c:extLst>
        </c:ser>
        <c:ser>
          <c:idx val="1"/>
          <c:order val="1"/>
          <c:tx>
            <c:strRef>
              <c:f>'Fig 15. Weapon Stocks UKR RU'!$D$20</c:f>
              <c:strCache>
                <c:ptCount val="1"/>
                <c:pt idx="0">
                  <c:v>Ukraine Needs</c:v>
                </c:pt>
              </c:strCache>
            </c:strRef>
          </c:tx>
          <c:spPr>
            <a:solidFill>
              <a:schemeClr val="accent2"/>
            </a:solidFill>
            <a:ln>
              <a:noFill/>
            </a:ln>
            <a:effectLst/>
          </c:spPr>
          <c:invertIfNegative val="0"/>
          <c:dLbls>
            <c:delete val="1"/>
          </c:dLbls>
          <c:cat>
            <c:strRef>
              <c:f>'Fig 15. Weapon Stocks UKR RU'!$B$21:$C$26</c:f>
              <c:strCache>
                <c:ptCount val="12"/>
                <c:pt idx="0">
                  <c:v>MLRS </c:v>
                </c:pt>
                <c:pt idx="2">
                  <c:v>HOWITZERS (155/152mm) </c:v>
                </c:pt>
                <c:pt idx="4">
                  <c:v>TANKS </c:v>
                </c:pt>
                <c:pt idx="6">
                  <c:v>Ukraine (pre-war stocks 
and foreign commitments)</c:v>
                </c:pt>
                <c:pt idx="7">
                  <c:v>Russia (pre-war stocks)</c:v>
                </c:pt>
                <c:pt idx="8">
                  <c:v>Ukraine (pre-war stocks 
and foreign commitments)</c:v>
                </c:pt>
                <c:pt idx="9">
                  <c:v>Russia (pre-war stocks)</c:v>
                </c:pt>
                <c:pt idx="10">
                  <c:v>Ukraine (pre-war stocks 
and foreign commitments)</c:v>
                </c:pt>
                <c:pt idx="11">
                  <c:v>Russia (pre-war stocks)</c:v>
                </c:pt>
              </c:strCache>
            </c:strRef>
          </c:cat>
          <c:val>
            <c:numRef>
              <c:f>'Fig 15. Weapon Stocks UKR RU'!$D$21:$D$26</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B327-4DF2-A823-0936A8A3E829}"/>
            </c:ext>
          </c:extLst>
        </c:ser>
        <c:ser>
          <c:idx val="5"/>
          <c:order val="2"/>
          <c:tx>
            <c:strRef>
              <c:f>'Fig 15. Weapon Stocks UKR RU'!$G$20</c:f>
              <c:strCache>
                <c:ptCount val="1"/>
                <c:pt idx="0">
                  <c:v>Ukrainian stock (pre-war)</c:v>
                </c:pt>
              </c:strCache>
            </c:strRef>
          </c:tx>
          <c:spPr>
            <a:solidFill>
              <a:schemeClr val="accent3">
                <a:lumMod val="75000"/>
              </a:schemeClr>
            </a:solidFill>
            <a:ln>
              <a:solidFill>
                <a:sysClr val="windowText" lastClr="000000"/>
              </a:solidFill>
            </a:ln>
            <a:effectLst/>
          </c:spPr>
          <c:invertIfNegative val="0"/>
          <c:dPt>
            <c:idx val="0"/>
            <c:invertIfNegative val="0"/>
            <c:bubble3D val="0"/>
            <c:extLst>
              <c:ext xmlns:c16="http://schemas.microsoft.com/office/drawing/2014/chart" uri="{C3380CC4-5D6E-409C-BE32-E72D297353CC}">
                <c16:uniqueId val="{00000003-B327-4DF2-A823-0936A8A3E829}"/>
              </c:ext>
            </c:extLst>
          </c:dPt>
          <c:dPt>
            <c:idx val="2"/>
            <c:invertIfNegative val="0"/>
            <c:bubble3D val="0"/>
            <c:extLst>
              <c:ext xmlns:c16="http://schemas.microsoft.com/office/drawing/2014/chart" uri="{C3380CC4-5D6E-409C-BE32-E72D297353CC}">
                <c16:uniqueId val="{00000005-B327-4DF2-A823-0936A8A3E829}"/>
              </c:ext>
            </c:extLst>
          </c:dPt>
          <c:dPt>
            <c:idx val="4"/>
            <c:invertIfNegative val="0"/>
            <c:bubble3D val="0"/>
            <c:extLst>
              <c:ext xmlns:c16="http://schemas.microsoft.com/office/drawing/2014/chart" uri="{C3380CC4-5D6E-409C-BE32-E72D297353CC}">
                <c16:uniqueId val="{00000007-B327-4DF2-A823-0936A8A3E829}"/>
              </c:ext>
            </c:extLst>
          </c:dPt>
          <c:dLbls>
            <c:delete val="1"/>
          </c:dLbls>
          <c:cat>
            <c:strRef>
              <c:f>'Fig 15. Weapon Stocks UKR RU'!$B$21:$C$26</c:f>
              <c:strCache>
                <c:ptCount val="12"/>
                <c:pt idx="0">
                  <c:v>MLRS </c:v>
                </c:pt>
                <c:pt idx="2">
                  <c:v>HOWITZERS (155/152mm) </c:v>
                </c:pt>
                <c:pt idx="4">
                  <c:v>TANKS </c:v>
                </c:pt>
                <c:pt idx="6">
                  <c:v>Ukraine (pre-war stocks 
and foreign commitments)</c:v>
                </c:pt>
                <c:pt idx="7">
                  <c:v>Russia (pre-war stocks)</c:v>
                </c:pt>
                <c:pt idx="8">
                  <c:v>Ukraine (pre-war stocks 
and foreign commitments)</c:v>
                </c:pt>
                <c:pt idx="9">
                  <c:v>Russia (pre-war stocks)</c:v>
                </c:pt>
                <c:pt idx="10">
                  <c:v>Ukraine (pre-war stocks 
and foreign commitments)</c:v>
                </c:pt>
                <c:pt idx="11">
                  <c:v>Russia (pre-war stocks)</c:v>
                </c:pt>
              </c:strCache>
            </c:strRef>
          </c:cat>
          <c:val>
            <c:numRef>
              <c:f>'Fig 15. Weapon Stocks UKR RU'!$G$21:$G$26</c:f>
              <c:numCache>
                <c:formatCode>#,##0</c:formatCode>
                <c:ptCount val="6"/>
                <c:pt idx="0">
                  <c:v>354</c:v>
                </c:pt>
                <c:pt idx="1">
                  <c:v>0</c:v>
                </c:pt>
                <c:pt idx="2">
                  <c:v>773</c:v>
                </c:pt>
                <c:pt idx="3">
                  <c:v>0</c:v>
                </c:pt>
                <c:pt idx="4">
                  <c:v>987</c:v>
                </c:pt>
                <c:pt idx="5">
                  <c:v>0</c:v>
                </c:pt>
              </c:numCache>
            </c:numRef>
          </c:val>
          <c:extLst>
            <c:ext xmlns:c16="http://schemas.microsoft.com/office/drawing/2014/chart" uri="{C3380CC4-5D6E-409C-BE32-E72D297353CC}">
              <c16:uniqueId val="{0000000A-B327-4DF2-A823-0936A8A3E829}"/>
            </c:ext>
          </c:extLst>
        </c:ser>
        <c:ser>
          <c:idx val="2"/>
          <c:order val="3"/>
          <c:tx>
            <c:strRef>
              <c:f>'Fig 15. Weapon Stocks UKR RU'!$E$20</c:f>
              <c:strCache>
                <c:ptCount val="1"/>
                <c:pt idx="0">
                  <c:v>Delivered</c:v>
                </c:pt>
              </c:strCache>
            </c:strRef>
          </c:tx>
          <c:spPr>
            <a:solidFill>
              <a:srgbClr val="A50021"/>
            </a:solidFill>
            <a:ln>
              <a:solidFill>
                <a:schemeClr val="tx1"/>
              </a:solidFill>
            </a:ln>
            <a:effectLst/>
          </c:spPr>
          <c:invertIfNegative val="0"/>
          <c:dPt>
            <c:idx val="0"/>
            <c:invertIfNegative val="0"/>
            <c:bubble3D val="0"/>
            <c:spPr>
              <a:solidFill>
                <a:schemeClr val="accent4">
                  <a:lumMod val="75000"/>
                </a:schemeClr>
              </a:solidFill>
              <a:ln>
                <a:solidFill>
                  <a:sysClr val="windowText" lastClr="000000"/>
                </a:solidFill>
              </a:ln>
              <a:effectLst/>
            </c:spPr>
            <c:extLst>
              <c:ext xmlns:c16="http://schemas.microsoft.com/office/drawing/2014/chart" uri="{C3380CC4-5D6E-409C-BE32-E72D297353CC}">
                <c16:uniqueId val="{0000000C-B327-4DF2-A823-0936A8A3E829}"/>
              </c:ext>
            </c:extLst>
          </c:dPt>
          <c:dPt>
            <c:idx val="1"/>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E-B327-4DF2-A823-0936A8A3E829}"/>
              </c:ext>
            </c:extLst>
          </c:dPt>
          <c:dPt>
            <c:idx val="2"/>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0-B327-4DF2-A823-0936A8A3E829}"/>
              </c:ext>
            </c:extLst>
          </c:dPt>
          <c:dPt>
            <c:idx val="3"/>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2-B327-4DF2-A823-0936A8A3E829}"/>
              </c:ext>
            </c:extLst>
          </c:dPt>
          <c:dPt>
            <c:idx val="4"/>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14-B327-4DF2-A823-0936A8A3E829}"/>
              </c:ext>
            </c:extLst>
          </c:dPt>
          <c:dPt>
            <c:idx val="5"/>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16-B327-4DF2-A823-0936A8A3E829}"/>
              </c:ext>
            </c:extLst>
          </c:dPt>
          <c:dLbls>
            <c:dLbl>
              <c:idx val="0"/>
              <c:layout>
                <c:manualLayout>
                  <c:x val="0.10015523914858493"/>
                  <c:y val="-2.6113166467936166E-2"/>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8AF22093-9CD0-4021-BB64-B080A5864365}"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a:t>
                    </a:fld>
                    <a:r>
                      <a:rPr lang="en-US" sz="1800"/>
                      <a:t>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B327-4DF2-A823-0936A8A3E829}"/>
                </c:ext>
              </c:extLst>
            </c:dLbl>
            <c:dLbl>
              <c:idx val="1"/>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E-B327-4DF2-A823-0936A8A3E829}"/>
                </c:ext>
              </c:extLst>
            </c:dLbl>
            <c:dLbl>
              <c:idx val="2"/>
              <c:layout>
                <c:manualLayout>
                  <c:x val="0.15532553165954793"/>
                  <c:y val="-9.47359365275844E-3"/>
                </c:manualLayout>
              </c:layout>
              <c:tx>
                <c:rich>
                  <a:bodyPr rot="0" spcFirstLastPara="1" vertOverflow="ellipsis" vert="horz" wrap="square" lIns="38100" tIns="19050" rIns="38100" bIns="19050" anchor="ctr" anchorCtr="1">
                    <a:no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C485DAC0-FF3A-4812-8A7B-30494FDE0261}"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a:t>
                    </a:fld>
                    <a:r>
                      <a:rPr lang="en-US" sz="1800" baseline="0"/>
                      <a:t>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0.17913794785587794"/>
                      <c:h val="4.433875134898306E-2"/>
                    </c:manualLayout>
                  </c15:layout>
                  <c15:dlblFieldTable/>
                  <c15:showDataLabelsRange val="0"/>
                </c:ext>
                <c:ext xmlns:c16="http://schemas.microsoft.com/office/drawing/2014/chart" uri="{C3380CC4-5D6E-409C-BE32-E72D297353CC}">
                  <c16:uniqueId val="{00000010-B327-4DF2-A823-0936A8A3E829}"/>
                </c:ext>
              </c:extLst>
            </c:dLbl>
            <c:dLbl>
              <c:idx val="3"/>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12-B327-4DF2-A823-0936A8A3E829}"/>
                </c:ext>
              </c:extLst>
            </c:dLbl>
            <c:dLbl>
              <c:idx val="4"/>
              <c:layout>
                <c:manualLayout>
                  <c:x val="0.1663128867460423"/>
                  <c:y val="-1.0634861199395962E-2"/>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A47FA1D6-E8A5-409D-BEF5-52836AB158E9}"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a:t>
                    </a:fld>
                    <a:r>
                      <a:rPr lang="en-US" sz="1800"/>
                      <a:t>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B327-4DF2-A823-0936A8A3E829}"/>
                </c:ext>
              </c:extLst>
            </c:dLbl>
            <c:dLbl>
              <c:idx val="5"/>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16-B327-4DF2-A823-0936A8A3E829}"/>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15. Weapon Stocks UKR RU'!$B$21:$C$26</c:f>
              <c:strCache>
                <c:ptCount val="12"/>
                <c:pt idx="0">
                  <c:v>MLRS </c:v>
                </c:pt>
                <c:pt idx="2">
                  <c:v>HOWITZERS (155/152mm) </c:v>
                </c:pt>
                <c:pt idx="4">
                  <c:v>TANKS </c:v>
                </c:pt>
                <c:pt idx="6">
                  <c:v>Ukraine (pre-war stocks 
and foreign commitments)</c:v>
                </c:pt>
                <c:pt idx="7">
                  <c:v>Russia (pre-war stocks)</c:v>
                </c:pt>
                <c:pt idx="8">
                  <c:v>Ukraine (pre-war stocks 
and foreign commitments)</c:v>
                </c:pt>
                <c:pt idx="9">
                  <c:v>Russia (pre-war stocks)</c:v>
                </c:pt>
                <c:pt idx="10">
                  <c:v>Ukraine (pre-war stocks 
and foreign commitments)</c:v>
                </c:pt>
                <c:pt idx="11">
                  <c:v>Russia (pre-war stocks)</c:v>
                </c:pt>
              </c:strCache>
            </c:strRef>
          </c:cat>
          <c:val>
            <c:numRef>
              <c:f>'Fig 15. Weapon Stocks UKR RU'!$E$21:$E$26</c:f>
              <c:numCache>
                <c:formatCode>#,##0</c:formatCode>
                <c:ptCount val="6"/>
                <c:pt idx="0">
                  <c:v>66</c:v>
                </c:pt>
                <c:pt idx="1">
                  <c:v>1056</c:v>
                </c:pt>
                <c:pt idx="2">
                  <c:v>379</c:v>
                </c:pt>
                <c:pt idx="3">
                  <c:v>2304</c:v>
                </c:pt>
                <c:pt idx="4">
                  <c:v>471</c:v>
                </c:pt>
                <c:pt idx="5">
                  <c:v>3417</c:v>
                </c:pt>
              </c:numCache>
            </c:numRef>
          </c:val>
          <c:extLst>
            <c:ext xmlns:c16="http://schemas.microsoft.com/office/drawing/2014/chart" uri="{C3380CC4-5D6E-409C-BE32-E72D297353CC}">
              <c16:uniqueId val="{0000001B-B327-4DF2-A823-0936A8A3E829}"/>
            </c:ext>
          </c:extLst>
        </c:ser>
        <c:ser>
          <c:idx val="3"/>
          <c:order val="4"/>
          <c:tx>
            <c:strRef>
              <c:f>'[3]Figure military aid gap'!#REF!</c:f>
              <c:strCache>
                <c:ptCount val="1"/>
                <c:pt idx="0">
                  <c:v>#BEZUG!</c:v>
                </c:pt>
              </c:strCache>
            </c:strRef>
          </c:tx>
          <c:spPr>
            <a:solidFill>
              <a:schemeClr val="accent4"/>
            </a:solidFill>
            <a:ln>
              <a:noFill/>
            </a:ln>
            <a:effectLst/>
          </c:spPr>
          <c:invertIfNegative val="0"/>
          <c:dLbls>
            <c:delete val="1"/>
          </c:dLbls>
          <c:cat>
            <c:strRef>
              <c:f>'Fig 15. Weapon Stocks UKR RU'!$B$21:$C$26</c:f>
              <c:strCache>
                <c:ptCount val="12"/>
                <c:pt idx="0">
                  <c:v>MLRS </c:v>
                </c:pt>
                <c:pt idx="2">
                  <c:v>HOWITZERS (155/152mm) </c:v>
                </c:pt>
                <c:pt idx="4">
                  <c:v>TANKS </c:v>
                </c:pt>
                <c:pt idx="6">
                  <c:v>Ukraine (pre-war stocks 
and foreign commitments)</c:v>
                </c:pt>
                <c:pt idx="7">
                  <c:v>Russia (pre-war stocks)</c:v>
                </c:pt>
                <c:pt idx="8">
                  <c:v>Ukraine (pre-war stocks 
and foreign commitments)</c:v>
                </c:pt>
                <c:pt idx="9">
                  <c:v>Russia (pre-war stocks)</c:v>
                </c:pt>
                <c:pt idx="10">
                  <c:v>Ukraine (pre-war stocks 
and foreign commitments)</c:v>
                </c:pt>
                <c:pt idx="11">
                  <c:v>Russia (pre-war stocks)</c:v>
                </c:pt>
              </c:strCache>
            </c:strRef>
          </c:cat>
          <c:val>
            <c:numRef>
              <c:f>'[3]Figure military aid gap'!#REF!</c:f>
              <c:numCache>
                <c:formatCode>General</c:formatCode>
                <c:ptCount val="1"/>
                <c:pt idx="0">
                  <c:v>1</c:v>
                </c:pt>
              </c:numCache>
            </c:numRef>
          </c:val>
          <c:extLst>
            <c:ext xmlns:c16="http://schemas.microsoft.com/office/drawing/2014/chart" uri="{C3380CC4-5D6E-409C-BE32-E72D297353CC}">
              <c16:uniqueId val="{0000001C-B327-4DF2-A823-0936A8A3E829}"/>
            </c:ext>
          </c:extLst>
        </c:ser>
        <c:ser>
          <c:idx val="4"/>
          <c:order val="5"/>
          <c:tx>
            <c:strRef>
              <c:f>'Fig 15. Weapon Stocks UKR RU'!$F$20</c:f>
              <c:strCache>
                <c:ptCount val="1"/>
                <c:pt idx="0">
                  <c:v>To be Delivered</c:v>
                </c:pt>
              </c:strCache>
            </c:strRef>
          </c:tx>
          <c:spPr>
            <a:solidFill>
              <a:schemeClr val="accent4">
                <a:lumMod val="60000"/>
                <a:lumOff val="40000"/>
              </a:schemeClr>
            </a:solidFill>
            <a:ln>
              <a:solidFill>
                <a:sysClr val="windowText" lastClr="000000"/>
              </a:solidFill>
            </a:ln>
            <a:effectLst/>
          </c:spPr>
          <c:invertIfNegative val="0"/>
          <c:dPt>
            <c:idx val="2"/>
            <c:invertIfNegative val="0"/>
            <c:bubble3D val="0"/>
            <c:spPr>
              <a:solidFill>
                <a:schemeClr val="accent2">
                  <a:lumMod val="60000"/>
                  <a:lumOff val="40000"/>
                </a:schemeClr>
              </a:solidFill>
              <a:ln>
                <a:solidFill>
                  <a:sysClr val="windowText" lastClr="000000"/>
                </a:solidFill>
              </a:ln>
              <a:effectLst/>
            </c:spPr>
            <c:extLst>
              <c:ext xmlns:c16="http://schemas.microsoft.com/office/drawing/2014/chart" uri="{C3380CC4-5D6E-409C-BE32-E72D297353CC}">
                <c16:uniqueId val="{0000001E-B327-4DF2-A823-0936A8A3E829}"/>
              </c:ext>
            </c:extLst>
          </c:dPt>
          <c:dPt>
            <c:idx val="4"/>
            <c:invertIfNegative val="0"/>
            <c:bubble3D val="0"/>
            <c:spPr>
              <a:solidFill>
                <a:schemeClr val="accent5">
                  <a:lumMod val="60000"/>
                  <a:lumOff val="40000"/>
                </a:schemeClr>
              </a:solidFill>
              <a:ln>
                <a:solidFill>
                  <a:sysClr val="windowText" lastClr="000000"/>
                </a:solidFill>
              </a:ln>
              <a:effectLst/>
            </c:spPr>
            <c:extLst>
              <c:ext xmlns:c16="http://schemas.microsoft.com/office/drawing/2014/chart" uri="{C3380CC4-5D6E-409C-BE32-E72D297353CC}">
                <c16:uniqueId val="{00000022-B327-4DF2-A823-0936A8A3E829}"/>
              </c:ext>
            </c:extLst>
          </c:dPt>
          <c:dLbls>
            <c:dLbl>
              <c:idx val="0"/>
              <c:layout>
                <c:manualLayout>
                  <c:x val="9.3326270729131897E-2"/>
                  <c:y val="5.4586077720249976E-3"/>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B70E7E38-CFD1-46E7-A7BF-906913A05262}"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a:t>
                    </a:fld>
                    <a:r>
                      <a:rPr lang="en-US" sz="1800"/>
                      <a:t> to</a:t>
                    </a:r>
                    <a:r>
                      <a:rPr lang="en-US" sz="1800" baseline="0"/>
                      <a:t> be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B327-4DF2-A823-0936A8A3E829}"/>
                </c:ext>
              </c:extLst>
            </c:dLbl>
            <c:dLbl>
              <c:idx val="2"/>
              <c:layout>
                <c:manualLayout>
                  <c:x val="0.14262576582516873"/>
                  <c:y val="2.5641367033062069E-2"/>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3D3C3175-461E-42B7-B8CE-E447B98D9BBD}"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a:t>
                    </a:fld>
                    <a:r>
                      <a:rPr lang="en-US" sz="1800"/>
                      <a:t> to be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E-B327-4DF2-A823-0936A8A3E829}"/>
                </c:ext>
              </c:extLst>
            </c:dLbl>
            <c:dLbl>
              <c:idx val="4"/>
              <c:layout>
                <c:manualLayout>
                  <c:x val="0.11329323742559219"/>
                  <c:y val="2.5744827612321605E-2"/>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641F5540-61D3-499A-9F6F-FD089FCFB2BB}"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a:t>
                    </a:fld>
                    <a:r>
                      <a:rPr lang="en-US" sz="1800"/>
                      <a:t> to be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2-B327-4DF2-A823-0936A8A3E829}"/>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 15. Weapon Stocks UKR RU'!$B$21:$C$26</c:f>
              <c:strCache>
                <c:ptCount val="12"/>
                <c:pt idx="0">
                  <c:v>MLRS </c:v>
                </c:pt>
                <c:pt idx="2">
                  <c:v>HOWITZERS (155/152mm) </c:v>
                </c:pt>
                <c:pt idx="4">
                  <c:v>TANKS </c:v>
                </c:pt>
                <c:pt idx="6">
                  <c:v>Ukraine (pre-war stocks 
and foreign commitments)</c:v>
                </c:pt>
                <c:pt idx="7">
                  <c:v>Russia (pre-war stocks)</c:v>
                </c:pt>
                <c:pt idx="8">
                  <c:v>Ukraine (pre-war stocks 
and foreign commitments)</c:v>
                </c:pt>
                <c:pt idx="9">
                  <c:v>Russia (pre-war stocks)</c:v>
                </c:pt>
                <c:pt idx="10">
                  <c:v>Ukraine (pre-war stocks 
and foreign commitments)</c:v>
                </c:pt>
                <c:pt idx="11">
                  <c:v>Russia (pre-war stocks)</c:v>
                </c:pt>
              </c:strCache>
            </c:strRef>
          </c:cat>
          <c:val>
            <c:numRef>
              <c:f>'Fig 15. Weapon Stocks UKR RU'!$F$21:$F$26</c:f>
              <c:numCache>
                <c:formatCode>#,##0</c:formatCode>
                <c:ptCount val="6"/>
                <c:pt idx="0">
                  <c:v>23</c:v>
                </c:pt>
                <c:pt idx="1">
                  <c:v>0</c:v>
                </c:pt>
                <c:pt idx="2">
                  <c:v>177</c:v>
                </c:pt>
                <c:pt idx="3">
                  <c:v>0</c:v>
                </c:pt>
                <c:pt idx="4">
                  <c:v>286.33333333333326</c:v>
                </c:pt>
                <c:pt idx="5">
                  <c:v>0</c:v>
                </c:pt>
              </c:numCache>
            </c:numRef>
          </c:val>
          <c:extLst>
            <c:ext xmlns:c16="http://schemas.microsoft.com/office/drawing/2014/chart" uri="{C3380CC4-5D6E-409C-BE32-E72D297353CC}">
              <c16:uniqueId val="{00000023-B327-4DF2-A823-0936A8A3E829}"/>
            </c:ext>
          </c:extLst>
        </c:ser>
        <c:dLbls>
          <c:dLblPos val="ctr"/>
          <c:showLegendKey val="0"/>
          <c:showVal val="1"/>
          <c:showCatName val="0"/>
          <c:showSerName val="0"/>
          <c:showPercent val="0"/>
          <c:showBubbleSize val="0"/>
        </c:dLbls>
        <c:gapWidth val="60"/>
        <c:overlap val="100"/>
        <c:axId val="214395776"/>
        <c:axId val="214398272"/>
      </c:barChart>
      <c:catAx>
        <c:axId val="214395776"/>
        <c:scaling>
          <c:orientation val="minMax"/>
        </c:scaling>
        <c:delete val="0"/>
        <c:axPos val="l"/>
        <c:numFmt formatCode="General" sourceLinked="1"/>
        <c:majorTickMark val="none"/>
        <c:minorTickMark val="none"/>
        <c:tickLblPos val="nextTo"/>
        <c:spPr>
          <a:noFill/>
          <a:ln w="12700" cap="sq" cmpd="sng" algn="ctr">
            <a:solidFill>
              <a:schemeClr val="tx1"/>
            </a:solidFill>
            <a:round/>
            <a:headEnd type="none"/>
          </a:ln>
          <a:effectLst/>
        </c:spPr>
        <c:txPr>
          <a:bodyPr rot="-6000000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14398272"/>
        <c:crosses val="autoZero"/>
        <c:auto val="1"/>
        <c:lblAlgn val="ctr"/>
        <c:lblOffset val="100"/>
        <c:noMultiLvlLbl val="0"/>
      </c:catAx>
      <c:valAx>
        <c:axId val="214398272"/>
        <c:scaling>
          <c:orientation val="minMax"/>
          <c:max val="4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2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2000" baseline="0"/>
                  <a:t>number of items</a:t>
                </a:r>
                <a:endParaRPr lang="en-GB" sz="2000"/>
              </a:p>
            </c:rich>
          </c:tx>
          <c:layout>
            <c:manualLayout>
              <c:xMode val="edge"/>
              <c:yMode val="edge"/>
              <c:x val="0.78390548995429066"/>
              <c:y val="0.8183244025208245"/>
            </c:manualLayout>
          </c:layout>
          <c:overlay val="0"/>
          <c:spPr>
            <a:solidFill>
              <a:schemeClr val="bg1"/>
            </a:solidFill>
            <a:ln>
              <a:noFill/>
            </a:ln>
            <a:effectLst/>
          </c:spPr>
        </c:title>
        <c:numFmt formatCode="#,##0" sourceLinked="0"/>
        <c:majorTickMark val="none"/>
        <c:minorTickMark val="none"/>
        <c:tickLblPos val="nextTo"/>
        <c:spPr>
          <a:noFill/>
          <a:ln w="12700">
            <a:solidFill>
              <a:schemeClr val="dk1"/>
            </a:solid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143957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4550381763470286"/>
          <c:y val="6.7125898120854829E-2"/>
          <c:w val="0.71855607419583578"/>
          <c:h val="0.87303664006198278"/>
        </c:manualLayout>
      </c:layout>
      <c:barChart>
        <c:barDir val="bar"/>
        <c:grouping val="stacked"/>
        <c:varyColors val="0"/>
        <c:ser>
          <c:idx val="8"/>
          <c:order val="0"/>
          <c:tx>
            <c:strRef>
              <c:f>'Fig 16. NATO Stocks'!$I$11</c:f>
              <c:strCache>
                <c:ptCount val="1"/>
                <c:pt idx="0">
                  <c:v>Others (EU)</c:v>
                </c:pt>
              </c:strCache>
            </c:strRef>
          </c:tx>
          <c:spPr>
            <a:solidFill>
              <a:schemeClr val="accent2">
                <a:lumMod val="20000"/>
                <a:lumOff val="80000"/>
              </a:schemeClr>
            </a:solidFill>
            <a:ln>
              <a:solidFill>
                <a:schemeClr val="tx1"/>
              </a:solidFill>
            </a:ln>
            <a:effectLst/>
          </c:spPr>
          <c:invertIfNegative val="0"/>
          <c:dLbls>
            <c:dLbl>
              <c:idx val="1"/>
              <c:layout>
                <c:manualLayout>
                  <c:x val="0.29340959147945522"/>
                  <c:y val="-2.2285353535353536E-4"/>
                </c:manualLayout>
              </c:layout>
              <c:tx>
                <c:rich>
                  <a:bodyPr/>
                  <a:lstStyle/>
                  <a:p>
                    <a:fld id="{6D78501F-2FFB-409D-8628-989BD953E4F9}" type="CELLREF">
                      <a:rPr lang="en-US"/>
                      <a:pPr/>
                      <a:t>[]</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{6D78501F-2FFB-409D-8628-989BD953E4F9}</c15:txfldGUID>
                      <c15:f>'Fig 16. NATO Stocks'!$Q$13</c15:f>
                      <c15:dlblFieldTableCache>
                        <c:ptCount val="1"/>
                        <c:pt idx="0">
                          <c:v>4641</c:v>
                        </c:pt>
                      </c15:dlblFieldTableCache>
                    </c15:dlblFTEntry>
                  </c15:dlblFieldTable>
                  <c15:showDataLabelsRange val="0"/>
                </c:ext>
                <c:ext xmlns:c16="http://schemas.microsoft.com/office/drawing/2014/chart" uri="{C3380CC4-5D6E-409C-BE32-E72D297353CC}">
                  <c16:uniqueId val="{00000000-DD3B-4594-9ACF-C158048B557E}"/>
                </c:ext>
              </c:extLst>
            </c:dLbl>
            <c:dLbl>
              <c:idx val="2"/>
              <c:delete val="1"/>
              <c:extLst>
                <c:ext xmlns:c15="http://schemas.microsoft.com/office/drawing/2012/chart" uri="{CE6537A1-D6FC-4f65-9D91-7224C49458BB}"/>
                <c:ext xmlns:c16="http://schemas.microsoft.com/office/drawing/2014/chart" uri="{C3380CC4-5D6E-409C-BE32-E72D297353CC}">
                  <c16:uniqueId val="{00000001-DD3B-4594-9ACF-C158048B557E}"/>
                </c:ext>
              </c:extLst>
            </c:dLbl>
            <c:dLbl>
              <c:idx val="4"/>
              <c:layout>
                <c:manualLayout>
                  <c:x val="0.17997183103307846"/>
                  <c:y val="-2.2844503032968641E-3"/>
                </c:manualLayout>
              </c:layout>
              <c:tx>
                <c:rich>
                  <a:bodyPr/>
                  <a:lstStyle/>
                  <a:p>
                    <a:fld id="{AE9064B9-D7DE-4652-B88C-A978175DAF92}" type="CELLREF">
                      <a:rPr lang="en-US"/>
                      <a:pPr/>
                      <a:t>[]</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{AE9064B9-D7DE-4652-B88C-A978175DAF92}</c15:txfldGUID>
                      <c15:f>'Fig 16. NATO Stocks'!$Q$16</c15:f>
                      <c15:dlblFieldTableCache>
                        <c:ptCount val="1"/>
                        <c:pt idx="0">
                          <c:v>2657</c:v>
                        </c:pt>
                      </c15:dlblFieldTableCache>
                    </c15:dlblFTEntry>
                  </c15:dlblFieldTable>
                  <c15:showDataLabelsRange val="0"/>
                </c:ext>
                <c:ext xmlns:c16="http://schemas.microsoft.com/office/drawing/2014/chart" uri="{C3380CC4-5D6E-409C-BE32-E72D297353CC}">
                  <c16:uniqueId val="{00000002-DD3B-4594-9ACF-C158048B557E}"/>
                </c:ext>
              </c:extLst>
            </c:dLbl>
            <c:dLbl>
              <c:idx val="5"/>
              <c:layout>
                <c:manualLayout>
                  <c:x val="0.12494535231432716"/>
                  <c:y val="4.383470644568007E-3"/>
                </c:manualLayout>
              </c:layout>
              <c:tx>
                <c:rich>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a:t>197 delivered, 50 to be</a:t>
                    </a:r>
                    <a:r>
                      <a:rPr lang="en-US" sz="1400" baseline="0"/>
                      <a:t> delivered</a:t>
                    </a:r>
                    <a:br>
                      <a:rPr lang="en-US" sz="1400"/>
                    </a:br>
                    <a:r>
                      <a:rPr lang="en-US" sz="1400" b="0" i="0" u="none" strike="noStrike" kern="1200" baseline="0">
                        <a:solidFill>
                          <a:sysClr val="windowText" lastClr="000000"/>
                        </a:solidFill>
                        <a:latin typeface="Times New Roman" panose="02020603050405020304" pitchFamily="18" charset="0"/>
                        <a:cs typeface="Times New Roman" panose="02020603050405020304" pitchFamily="18" charset="0"/>
                      </a:rPr>
                      <a:t>(4% of NATO + EU stocks)</a:t>
                    </a:r>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2086787222096752"/>
                      <c:h val="0.10091979680013198"/>
                    </c:manualLayout>
                  </c15:layout>
                  <c15:showDataLabelsRange val="0"/>
                </c:ext>
                <c:ext xmlns:c16="http://schemas.microsoft.com/office/drawing/2014/chart" uri="{C3380CC4-5D6E-409C-BE32-E72D297353CC}">
                  <c16:uniqueId val="{00000003-DD3B-4594-9ACF-C158048B557E}"/>
                </c:ext>
              </c:extLst>
            </c:dLbl>
            <c:dLbl>
              <c:idx val="7"/>
              <c:layout>
                <c:manualLayout>
                  <c:x val="0.13897105091776873"/>
                  <c:y val="-0.10348364898989899"/>
                </c:manualLayout>
              </c:layout>
              <c:tx>
                <c:rich>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fld id="{C5F4FB82-0DB1-4132-AE92-19CC1774861A}" type="CELLREF">
                      <a:rPr lang="en-US" sz="1400"/>
                      <a:pPr>
                        <a:defRPr sz="1400"/>
                      </a:pPr>
                      <a:t>[]</a:t>
                    </a:fld>
                    <a:r>
                      <a:rPr lang="en-US" sz="1400"/>
                      <a:t> delivered,</a:t>
                    </a:r>
                    <a:r>
                      <a:rPr lang="en-US" sz="1400" baseline="0"/>
                      <a:t> </a:t>
                    </a:r>
                    <a:fld id="{761BC125-D16A-421A-AEFF-19A63FC59010}" type="CELLREF">
                      <a:rPr lang="en-US" sz="1400" baseline="0"/>
                      <a:pPr>
                        <a:defRPr sz="1400"/>
                      </a:pPr>
                      <a:t>[]</a:t>
                    </a:fld>
                    <a:r>
                      <a:rPr lang="en-US" sz="1400" baseline="0"/>
                      <a:t> to be delivered</a:t>
                    </a:r>
                    <a:br>
                      <a:rPr lang="en-US" sz="1400"/>
                    </a:br>
                    <a:r>
                      <a:rPr lang="en-US" sz="1400" b="0" i="0" u="none" strike="noStrike" kern="1200" baseline="0">
                        <a:solidFill>
                          <a:sysClr val="windowText" lastClr="000000"/>
                        </a:solidFill>
                        <a:latin typeface="Times New Roman" panose="02020603050405020304" pitchFamily="18" charset="0"/>
                        <a:cs typeface="Times New Roman" panose="02020603050405020304" pitchFamily="18" charset="0"/>
                      </a:rPr>
                      <a:t>(</a:t>
                    </a:r>
                    <a:fld id="{8F3E64C5-CA88-46FC-AC05-67E6D6565B6D}" type="CELLREF">
                      <a:rPr lang="en-US" sz="1400" b="0" i="0" u="none" strike="noStrike" kern="1200" baseline="0">
                        <a:solidFill>
                          <a:sysClr val="windowText" lastClr="000000"/>
                        </a:solidFill>
                        <a:latin typeface="Times New Roman" panose="02020603050405020304" pitchFamily="18" charset="0"/>
                        <a:cs typeface="Times New Roman" panose="02020603050405020304" pitchFamily="18" charset="0"/>
                      </a:rPr>
                      <a:pPr>
                        <a:defRPr sz="1400"/>
                      </a:pPr>
                      <a:t>[]</a:t>
                    </a:fld>
                    <a:r>
                      <a:rPr lang="en-US" sz="1400" b="0" i="0" u="none" strike="noStrike" kern="1200" baseline="0">
                        <a:solidFill>
                          <a:sysClr val="windowText" lastClr="000000"/>
                        </a:solidFill>
                        <a:latin typeface="Times New Roman" panose="02020603050405020304" pitchFamily="18" charset="0"/>
                        <a:cs typeface="Times New Roman" panose="02020603050405020304" pitchFamily="18" charset="0"/>
                      </a:rPr>
                      <a:t> of NATO + EU stocks)</a:t>
                    </a:r>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26523877255522799"/>
                      <c:h val="9.8916035353535339E-2"/>
                    </c:manualLayout>
                  </c15:layout>
                  <c15:dlblFieldTable>
                    <c15:dlblFTEntry>
                      <c15:txfldGUID>{C5F4FB82-0DB1-4132-AE92-19CC1774861A}</c15:txfldGUID>
                      <c15:f>'Fig 16. NATO Stocks'!$P$20</c15:f>
                      <c15:dlblFieldTableCache>
                        <c:ptCount val="1"/>
                        <c:pt idx="0">
                          <c:v>66</c:v>
                        </c:pt>
                      </c15:dlblFieldTableCache>
                    </c15:dlblFTEntry>
                    <c15:dlblFTEntry>
                      <c15:txfldGUID>{761BC125-D16A-421A-AEFF-19A63FC59010}</c15:txfldGUID>
                      <c15:f>'Fig 16. NATO Stocks'!$O$20</c15:f>
                      <c15:dlblFieldTableCache>
                        <c:ptCount val="1"/>
                        <c:pt idx="0">
                          <c:v>23</c:v>
                        </c:pt>
                      </c15:dlblFieldTableCache>
                    </c15:dlblFTEntry>
                    <c15:dlblFTEntry>
                      <c15:txfldGUID>{8F3E64C5-CA88-46FC-AC05-67E6D6565B6D}</c15:txfldGUID>
                      <c15:f>'Fig 16. NATO Stocks'!$R$20</c15:f>
                      <c15:dlblFieldTableCache>
                        <c:ptCount val="1"/>
                        <c:pt idx="0">
                          <c:v>5%</c:v>
                        </c:pt>
                      </c15:dlblFieldTableCache>
                    </c15:dlblFTEntry>
                  </c15:dlblFieldTable>
                  <c15:showDataLabelsRange val="0"/>
                </c:ext>
                <c:ext xmlns:c16="http://schemas.microsoft.com/office/drawing/2014/chart" uri="{C3380CC4-5D6E-409C-BE32-E72D297353CC}">
                  <c16:uniqueId val="{00000004-DD3B-4594-9ACF-C158048B557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Stocks'!$I$12:$I$19</c:f>
              <c:numCache>
                <c:formatCode>0</c:formatCode>
                <c:ptCount val="8"/>
                <c:pt idx="1">
                  <c:v>2240.3333333333335</c:v>
                </c:pt>
                <c:pt idx="4">
                  <c:v>1276.666666666667</c:v>
                </c:pt>
                <c:pt idx="7" formatCode="General">
                  <c:v>312</c:v>
                </c:pt>
              </c:numCache>
            </c:numRef>
          </c:val>
          <c:extLst>
            <c:ext xmlns:c16="http://schemas.microsoft.com/office/drawing/2014/chart" uri="{C3380CC4-5D6E-409C-BE32-E72D297353CC}">
              <c16:uniqueId val="{00000005-DD3B-4594-9ACF-C158048B557E}"/>
            </c:ext>
          </c:extLst>
        </c:ser>
        <c:ser>
          <c:idx val="4"/>
          <c:order val="1"/>
          <c:tx>
            <c:strRef>
              <c:f>'Fig 16. NATO Stocks'!$H$11</c:f>
              <c:strCache>
                <c:ptCount val="1"/>
                <c:pt idx="0">
                  <c:v>Italy</c:v>
                </c:pt>
              </c:strCache>
            </c:strRef>
          </c:tx>
          <c:spPr>
            <a:solidFill>
              <a:schemeClr val="accent2">
                <a:shade val="71000"/>
              </a:schemeClr>
            </a:solidFill>
            <a:ln>
              <a:solidFill>
                <a:sysClr val="windowText" lastClr="000000"/>
              </a:solidFill>
            </a:ln>
            <a:effectLst/>
          </c:spPr>
          <c:invertIfNegative val="0"/>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Stocks'!$H$12:$H$20</c:f>
              <c:numCache>
                <c:formatCode>General</c:formatCode>
                <c:ptCount val="9"/>
                <c:pt idx="4">
                  <c:v>357</c:v>
                </c:pt>
              </c:numCache>
            </c:numRef>
          </c:val>
          <c:extLst>
            <c:ext xmlns:c16="http://schemas.microsoft.com/office/drawing/2014/chart" uri="{C3380CC4-5D6E-409C-BE32-E72D297353CC}">
              <c16:uniqueId val="{00000006-DD3B-4594-9ACF-C158048B557E}"/>
            </c:ext>
          </c:extLst>
        </c:ser>
        <c:ser>
          <c:idx val="2"/>
          <c:order val="2"/>
          <c:tx>
            <c:strRef>
              <c:f>'Fig 16. NATO Stocks'!$G$11</c:f>
              <c:strCache>
                <c:ptCount val="1"/>
                <c:pt idx="0">
                  <c:v>Romania</c:v>
                </c:pt>
              </c:strCache>
            </c:strRef>
          </c:tx>
          <c:spPr>
            <a:solidFill>
              <a:schemeClr val="accent2">
                <a:shade val="54000"/>
              </a:schemeClr>
            </a:solidFill>
            <a:ln>
              <a:noFill/>
            </a:ln>
            <a:effectLst/>
          </c:spPr>
          <c:invertIfNegative val="0"/>
          <c:dPt>
            <c:idx val="4"/>
            <c:invertIfNegative val="0"/>
            <c:bubble3D val="0"/>
            <c:spPr>
              <a:solidFill>
                <a:schemeClr val="accent2">
                  <a:shade val="54000"/>
                </a:schemeClr>
              </a:solidFill>
              <a:ln>
                <a:solidFill>
                  <a:sysClr val="windowText" lastClr="000000"/>
                </a:solidFill>
              </a:ln>
              <a:effectLst/>
            </c:spPr>
            <c:extLst>
              <c:ext xmlns:c16="http://schemas.microsoft.com/office/drawing/2014/chart" uri="{C3380CC4-5D6E-409C-BE32-E72D297353CC}">
                <c16:uniqueId val="{00000008-DD3B-4594-9ACF-C158048B557E}"/>
              </c:ext>
            </c:extLst>
          </c:dPt>
          <c:dPt>
            <c:idx val="7"/>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A-DD3B-4594-9ACF-C158048B557E}"/>
              </c:ext>
            </c:extLst>
          </c:dPt>
          <c:dLbls>
            <c:dLbl>
              <c:idx val="4"/>
              <c:tx>
                <c:rich>
                  <a:bodyPr/>
                  <a:lstStyle/>
                  <a:p>
                    <a:fld id="{A8ECBEE9-18D6-43D0-9287-7F2807D4E308}" type="CELLREF">
                      <a:rPr lang="en-US" sz="1000">
                        <a:solidFill>
                          <a:schemeClr val="bg1"/>
                        </a:solidFill>
                      </a:rPr>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{A8ECBEE9-18D6-43D0-9287-7F2807D4E308}</c15:txfldGUID>
                      <c15:f>'Fig 16. NATO Stocks'!$G$21</c15:f>
                      <c15:dlblFieldTableCache>
                        <c:ptCount val="1"/>
                        <c:pt idx="0">
                          <c:v>RO</c:v>
                        </c:pt>
                      </c15:dlblFieldTableCache>
                    </c15:dlblFTEntry>
                  </c15:dlblFieldTable>
                  <c15:showDataLabelsRange val="0"/>
                </c:ext>
                <c:ext xmlns:c16="http://schemas.microsoft.com/office/drawing/2014/chart" uri="{C3380CC4-5D6E-409C-BE32-E72D297353CC}">
                  <c16:uniqueId val="{00000008-DD3B-4594-9ACF-C158048B557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Stocks'!$G$12:$G$20</c:f>
              <c:numCache>
                <c:formatCode>General</c:formatCode>
                <c:ptCount val="9"/>
                <c:pt idx="4">
                  <c:v>351</c:v>
                </c:pt>
                <c:pt idx="7">
                  <c:v>188</c:v>
                </c:pt>
              </c:numCache>
            </c:numRef>
          </c:val>
          <c:extLst>
            <c:ext xmlns:c16="http://schemas.microsoft.com/office/drawing/2014/chart" uri="{C3380CC4-5D6E-409C-BE32-E72D297353CC}">
              <c16:uniqueId val="{0000000B-DD3B-4594-9ACF-C158048B557E}"/>
            </c:ext>
          </c:extLst>
        </c:ser>
        <c:ser>
          <c:idx val="1"/>
          <c:order val="3"/>
          <c:tx>
            <c:strRef>
              <c:f>'Fig 16. NATO Stocks'!$F$11</c:f>
              <c:strCache>
                <c:ptCount val="1"/>
                <c:pt idx="0">
                  <c:v>Germany</c:v>
                </c:pt>
              </c:strCache>
            </c:strRef>
          </c:tx>
          <c:spPr>
            <a:solidFill>
              <a:schemeClr val="accent2">
                <a:shade val="46000"/>
              </a:schemeClr>
            </a:solidFill>
            <a:ln>
              <a:solidFill>
                <a:schemeClr val="tx1"/>
              </a:solidFill>
            </a:ln>
            <a:effectLst/>
          </c:spPr>
          <c:invertIfNegative val="0"/>
          <c:dLbls>
            <c:dLbl>
              <c:idx val="1"/>
              <c:tx>
                <c:rich>
                  <a:bodyPr/>
                  <a:lstStyle/>
                  <a:p>
                    <a:fld id="{75094B65-876E-402E-B461-C0B3F7C1F466}" type="CELLREF">
                      <a:rPr lang="en-US">
                        <a:solidFill>
                          <a:schemeClr val="bg1"/>
                        </a:solidFill>
                      </a:rPr>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{75094B65-876E-402E-B461-C0B3F7C1F466}</c15:txfldGUID>
                      <c15:f>'Fig 16. NATO Stocks'!$F$21</c15:f>
                      <c15:dlblFieldTableCache>
                        <c:ptCount val="1"/>
                        <c:pt idx="0">
                          <c:v>DE</c:v>
                        </c:pt>
                      </c15:dlblFieldTableCache>
                    </c15:dlblFTEntry>
                  </c15:dlblFieldTable>
                  <c15:showDataLabelsRange val="0"/>
                </c:ext>
                <c:ext xmlns:c16="http://schemas.microsoft.com/office/drawing/2014/chart" uri="{C3380CC4-5D6E-409C-BE32-E72D297353CC}">
                  <c16:uniqueId val="{0000000C-DD3B-4594-9ACF-C158048B557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Stocks'!$F$12:$F$20</c:f>
              <c:numCache>
                <c:formatCode>0</c:formatCode>
                <c:ptCount val="9"/>
                <c:pt idx="1">
                  <c:v>375.66666666666669</c:v>
                </c:pt>
              </c:numCache>
            </c:numRef>
          </c:val>
          <c:extLst>
            <c:ext xmlns:c16="http://schemas.microsoft.com/office/drawing/2014/chart" uri="{C3380CC4-5D6E-409C-BE32-E72D297353CC}">
              <c16:uniqueId val="{0000000D-DD3B-4594-9ACF-C158048B557E}"/>
            </c:ext>
          </c:extLst>
        </c:ser>
        <c:ser>
          <c:idx val="3"/>
          <c:order val="4"/>
          <c:tx>
            <c:strRef>
              <c:f>'Fig 16. NATO Stocks'!$E$11</c:f>
              <c:strCache>
                <c:ptCount val="1"/>
                <c:pt idx="0">
                  <c:v>Poland</c:v>
                </c:pt>
              </c:strCache>
            </c:strRef>
          </c:tx>
          <c:spPr>
            <a:solidFill>
              <a:schemeClr val="accent2">
                <a:lumMod val="75000"/>
              </a:schemeClr>
            </a:solidFill>
            <a:ln>
              <a:solidFill>
                <a:schemeClr val="tx1"/>
              </a:solidFill>
            </a:ln>
            <a:effectLst/>
          </c:spPr>
          <c:invertIfNegative val="0"/>
          <c:dLbls>
            <c:dLbl>
              <c:idx val="1"/>
              <c:tx>
                <c:rich>
                  <a:bodyPr/>
                  <a:lstStyle/>
                  <a:p>
                    <a:fld id="{0D5323CA-3CC5-457F-973D-8F60CB2BDECB}" type="CELLREF">
                      <a:rPr lang="en-US" sz="1200">
                        <a:solidFill>
                          <a:schemeClr val="bg1"/>
                        </a:solidFill>
                      </a:rPr>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{0D5323CA-3CC5-457F-973D-8F60CB2BDECB}</c15:txfldGUID>
                      <c15:f>'Fig 16. NATO Stocks'!$E$21</c15:f>
                      <c15:dlblFieldTableCache>
                        <c:ptCount val="1"/>
                        <c:pt idx="0">
                          <c:v>PL</c:v>
                        </c:pt>
                      </c15:dlblFieldTableCache>
                    </c15:dlblFTEntry>
                  </c15:dlblFieldTable>
                  <c15:showDataLabelsRange val="0"/>
                </c:ext>
                <c:ext xmlns:c16="http://schemas.microsoft.com/office/drawing/2014/chart" uri="{C3380CC4-5D6E-409C-BE32-E72D297353CC}">
                  <c16:uniqueId val="{0000000E-DD3B-4594-9ACF-C158048B557E}"/>
                </c:ext>
              </c:extLst>
            </c:dLbl>
            <c:dLbl>
              <c:idx val="7"/>
              <c:layout>
                <c:manualLayout>
                  <c:x val="6.1489317069142013E-2"/>
                  <c:y val="-3.2313073595540928E-3"/>
                </c:manualLayout>
              </c:layout>
              <c:tx>
                <c:rich>
                  <a:bodyPr/>
                  <a:lstStyle/>
                  <a:p>
                    <a:fld id="{8C6EF808-7D4E-427C-8739-5B1736057ED4}" type="CELLREF">
                      <a:rPr lang="en-US"/>
                      <a:pPr/>
                      <a:t>[]</a:t>
                    </a:fld>
                    <a:r>
                      <a:rPr lang="en-US"/>
                      <a:t> in stock</a:t>
                    </a:r>
                  </a:p>
                </c:rich>
              </c:tx>
              <c:showLegendKey val="0"/>
              <c:showVal val="1"/>
              <c:showCatName val="0"/>
              <c:showSerName val="0"/>
              <c:showPercent val="0"/>
              <c:showBubbleSize val="0"/>
              <c:extLst>
                <c:ext xmlns:c15="http://schemas.microsoft.com/office/drawing/2012/chart" uri="{CE6537A1-D6FC-4f65-9D91-7224C49458BB}">
                  <c15:dlblFieldTable>
                    <c15:dlblFTEntry>
                      <c15:txfldGUID>{8C6EF808-7D4E-427C-8739-5B1736057ED4}</c15:txfldGUID>
                      <c15:f>'Fig 16. NATO Stocks'!$Q$19</c15:f>
                      <c15:dlblFieldTableCache>
                        <c:ptCount val="1"/>
                        <c:pt idx="0">
                          <c:v>824</c:v>
                        </c:pt>
                      </c15:dlblFieldTableCache>
                    </c15:dlblFTEntry>
                  </c15:dlblFieldTable>
                  <c15:showDataLabelsRange val="0"/>
                </c:ext>
                <c:ext xmlns:c16="http://schemas.microsoft.com/office/drawing/2014/chart" uri="{C3380CC4-5D6E-409C-BE32-E72D297353CC}">
                  <c16:uniqueId val="{0000000F-DD3B-4594-9ACF-C158048B557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Stocks'!$E$12:$E$20</c:f>
              <c:numCache>
                <c:formatCode>General</c:formatCode>
                <c:ptCount val="9"/>
                <c:pt idx="1">
                  <c:v>797</c:v>
                </c:pt>
                <c:pt idx="7">
                  <c:v>179</c:v>
                </c:pt>
              </c:numCache>
            </c:numRef>
          </c:val>
          <c:extLst>
            <c:ext xmlns:c16="http://schemas.microsoft.com/office/drawing/2014/chart" uri="{C3380CC4-5D6E-409C-BE32-E72D297353CC}">
              <c16:uniqueId val="{00000010-DD3B-4594-9ACF-C158048B557E}"/>
            </c:ext>
          </c:extLst>
        </c:ser>
        <c:ser>
          <c:idx val="0"/>
          <c:order val="5"/>
          <c:tx>
            <c:strRef>
              <c:f>'Fig 16. NATO Stocks'!$D$11</c:f>
              <c:strCache>
                <c:ptCount val="1"/>
                <c:pt idx="0">
                  <c:v>Greece</c:v>
                </c:pt>
              </c:strCache>
            </c:strRef>
          </c:tx>
          <c:spPr>
            <a:solidFill>
              <a:schemeClr val="accent2">
                <a:shade val="38000"/>
              </a:schemeClr>
            </a:solidFill>
            <a:ln>
              <a:solidFill>
                <a:schemeClr val="tx1"/>
              </a:solidFill>
            </a:ln>
            <a:effectLst/>
          </c:spPr>
          <c:invertIfNegative val="0"/>
          <c:dLbls>
            <c:dLbl>
              <c:idx val="1"/>
              <c:tx>
                <c:rich>
                  <a:bodyPr/>
                  <a:lstStyle/>
                  <a:p>
                    <a:fld id="{27B196E0-A6A5-4F1A-9956-BC2CE36A4ABC}" type="CELLREF">
                      <a:rPr lang="en-US">
                        <a:solidFill>
                          <a:schemeClr val="bg1"/>
                        </a:solidFill>
                      </a:rPr>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{27B196E0-A6A5-4F1A-9956-BC2CE36A4ABC}</c15:txfldGUID>
                      <c15:f>'Fig 16. NATO Stocks'!$D$21</c15:f>
                      <c15:dlblFieldTableCache>
                        <c:ptCount val="1"/>
                        <c:pt idx="0">
                          <c:v>GR</c:v>
                        </c:pt>
                      </c15:dlblFieldTableCache>
                    </c15:dlblFTEntry>
                  </c15:dlblFieldTable>
                  <c15:showDataLabelsRange val="0"/>
                </c:ext>
                <c:ext xmlns:c16="http://schemas.microsoft.com/office/drawing/2014/chart" uri="{C3380CC4-5D6E-409C-BE32-E72D297353CC}">
                  <c16:uniqueId val="{00000011-DD3B-4594-9ACF-C158048B557E}"/>
                </c:ext>
              </c:extLst>
            </c:dLbl>
            <c:dLbl>
              <c:idx val="4"/>
              <c:tx>
                <c:rich>
                  <a:bodyPr/>
                  <a:lstStyle/>
                  <a:p>
                    <a:fld id="{390E6E91-5FC4-4034-8141-77A66FC23AA6}" type="CELLREF">
                      <a:rPr lang="en-US" sz="1000">
                        <a:solidFill>
                          <a:schemeClr val="bg1"/>
                        </a:solidFill>
                      </a:rPr>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{390E6E91-5FC4-4034-8141-77A66FC23AA6}</c15:txfldGUID>
                      <c15:f>'Fig 16. NATO Stocks'!$D$21</c15:f>
                      <c15:dlblFieldTableCache>
                        <c:ptCount val="1"/>
                        <c:pt idx="0">
                          <c:v>GR</c:v>
                        </c:pt>
                      </c15:dlblFieldTableCache>
                    </c15:dlblFTEntry>
                  </c15:dlblFieldTable>
                  <c15:showDataLabelsRange val="0"/>
                </c:ext>
                <c:ext xmlns:c16="http://schemas.microsoft.com/office/drawing/2014/chart" uri="{C3380CC4-5D6E-409C-BE32-E72D297353CC}">
                  <c16:uniqueId val="{00000012-DD3B-4594-9ACF-C158048B557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Stocks'!$D$12:$D$20</c:f>
              <c:numCache>
                <c:formatCode>General</c:formatCode>
                <c:ptCount val="9"/>
                <c:pt idx="1">
                  <c:v>1228</c:v>
                </c:pt>
                <c:pt idx="4">
                  <c:v>672</c:v>
                </c:pt>
                <c:pt idx="7">
                  <c:v>145</c:v>
                </c:pt>
              </c:numCache>
            </c:numRef>
          </c:val>
          <c:extLst>
            <c:ext xmlns:c16="http://schemas.microsoft.com/office/drawing/2014/chart" uri="{C3380CC4-5D6E-409C-BE32-E72D297353CC}">
              <c16:uniqueId val="{00000013-DD3B-4594-9ACF-C158048B557E}"/>
            </c:ext>
          </c:extLst>
        </c:ser>
        <c:ser>
          <c:idx val="13"/>
          <c:order val="6"/>
          <c:tx>
            <c:strRef>
              <c:f>'Fig 16. NATO Stocks'!$N$11</c:f>
              <c:strCache>
                <c:ptCount val="1"/>
                <c:pt idx="0">
                  <c:v>Others (NATO)</c:v>
                </c:pt>
              </c:strCache>
            </c:strRef>
          </c:tx>
          <c:spPr>
            <a:solidFill>
              <a:schemeClr val="accent1">
                <a:lumMod val="20000"/>
                <a:lumOff val="80000"/>
              </a:schemeClr>
            </a:solidFill>
            <a:ln>
              <a:solidFill>
                <a:sysClr val="windowText" lastClr="000000"/>
              </a:solidFill>
            </a:ln>
            <a:effectLst/>
          </c:spPr>
          <c:invertIfNegative val="0"/>
          <c:dLbls>
            <c:dLbl>
              <c:idx val="0"/>
              <c:layout>
                <c:manualLayout>
                  <c:x val="0.67436890879922728"/>
                  <c:y val="6.172756440828655E-7"/>
                </c:manualLayout>
              </c:layout>
              <c:tx>
                <c:rich>
                  <a:bodyPr/>
                  <a:lstStyle/>
                  <a:p>
                    <a:fld id="{BEE4D986-EF9B-4FD2-91FD-698BD7DA9049}" type="CELLREF">
                      <a:rPr lang="en-US"/>
                      <a:pPr/>
                      <a:t>[]</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{BEE4D986-EF9B-4FD2-91FD-698BD7DA9049}</c15:txfldGUID>
                      <c15:f>'Fig 16. NATO Stocks'!$Q$12</c15:f>
                      <c15:dlblFieldTableCache>
                        <c:ptCount val="1"/>
                        <c:pt idx="0">
                          <c:v>10931</c:v>
                        </c:pt>
                      </c15:dlblFieldTableCache>
                    </c15:dlblFTEntry>
                  </c15:dlblFieldTable>
                  <c15:showDataLabelsRange val="0"/>
                </c:ext>
                <c:ext xmlns:c16="http://schemas.microsoft.com/office/drawing/2014/chart" uri="{C3380CC4-5D6E-409C-BE32-E72D297353CC}">
                  <c16:uniqueId val="{00000014-DD3B-4594-9ACF-C158048B557E}"/>
                </c:ext>
              </c:extLst>
            </c:dLbl>
            <c:dLbl>
              <c:idx val="2"/>
              <c:layout>
                <c:manualLayout>
                  <c:x val="0.10918456608291952"/>
                  <c:y val="-4.2691325649410047E-3"/>
                </c:manualLayout>
              </c:layout>
              <c:tx>
                <c:rich>
                  <a:bodyPr/>
                  <a:lstStyle/>
                  <a:p>
                    <a:r>
                      <a:rPr lang="en-US" sz="1400"/>
                      <a:t>252 delivered, 36 to</a:t>
                    </a:r>
                    <a:r>
                      <a:rPr lang="en-US" sz="1400" baseline="0"/>
                      <a:t> be delivered</a:t>
                    </a:r>
                    <a:r>
                      <a:rPr lang="en-US" sz="1400"/>
                      <a:t> </a:t>
                    </a:r>
                    <a:br>
                      <a:rPr lang="en-US" sz="1400"/>
                    </a:br>
                    <a:r>
                      <a:rPr lang="en-US" sz="1400"/>
                      <a:t>(2% of NATO</a:t>
                    </a:r>
                    <a:r>
                      <a:rPr lang="en-US" sz="1400" baseline="0"/>
                      <a:t> + EU stocks)</a:t>
                    </a:r>
                    <a:r>
                      <a:rPr lang="en-US" sz="1400"/>
                      <a:t> </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DD3B-4594-9ACF-C158048B557E}"/>
                </c:ext>
              </c:extLst>
            </c:dLbl>
            <c:dLbl>
              <c:idx val="3"/>
              <c:layout>
                <c:manualLayout>
                  <c:x val="0.2673907016243966"/>
                  <c:y val="2.1737373737373738E-3"/>
                </c:manualLayout>
              </c:layout>
              <c:tx>
                <c:rich>
                  <a:bodyPr/>
                  <a:lstStyle/>
                  <a:p>
                    <a:fld id="{07D88DE0-7D87-40E8-9B3F-F03453F12689}" type="CELLREF">
                      <a:rPr lang="en-US"/>
                      <a:pPr/>
                      <a:t>[]</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{07D88DE0-7D87-40E8-9B3F-F03453F12689}</c15:txfldGUID>
                      <c15:f>'Fig 16. NATO Stocks'!$Q$15</c15:f>
                      <c15:dlblFieldTableCache>
                        <c:ptCount val="1"/>
                        <c:pt idx="0">
                          <c:v>4130</c:v>
                        </c:pt>
                      </c15:dlblFieldTableCache>
                    </c15:dlblFTEntry>
                  </c15:dlblFieldTable>
                  <c15:showDataLabelsRange val="0"/>
                </c:ext>
                <c:ext xmlns:c16="http://schemas.microsoft.com/office/drawing/2014/chart" uri="{C3380CC4-5D6E-409C-BE32-E72D297353CC}">
                  <c16:uniqueId val="{00000016-DD3B-4594-9ACF-C158048B557E}"/>
                </c:ext>
              </c:extLst>
            </c:dLbl>
            <c:dLbl>
              <c:idx val="5"/>
              <c:delete val="1"/>
              <c:extLst>
                <c:ext xmlns:c15="http://schemas.microsoft.com/office/drawing/2012/chart" uri="{CE6537A1-D6FC-4f65-9D91-7224C49458BB}"/>
                <c:ext xmlns:c16="http://schemas.microsoft.com/office/drawing/2014/chart" uri="{C3380CC4-5D6E-409C-BE32-E72D297353CC}">
                  <c16:uniqueId val="{00000017-DD3B-4594-9ACF-C158048B557E}"/>
                </c:ext>
              </c:extLst>
            </c:dLbl>
            <c:dLbl>
              <c:idx val="6"/>
              <c:layout>
                <c:manualLayout>
                  <c:x val="9.378319331571866E-2"/>
                  <c:y val="5.3091368821745704E-7"/>
                </c:manualLayout>
              </c:layout>
              <c:tx>
                <c:rich>
                  <a:bodyPr/>
                  <a:lstStyle/>
                  <a:p>
                    <a:fld id="{35396E6C-912C-4235-825F-61657D5EC189}" type="CELLREF">
                      <a:rPr lang="en-US"/>
                      <a:pPr/>
                      <a:t>[]</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{35396E6C-912C-4235-825F-61657D5EC189}</c15:txfldGUID>
                      <c15:f>'Fig 16. NATO Stocks'!$Q$18</c15:f>
                      <c15:dlblFieldTableCache>
                        <c:ptCount val="1"/>
                        <c:pt idx="0">
                          <c:v>828</c:v>
                        </c:pt>
                      </c15:dlblFieldTableCache>
                    </c15:dlblFTEntry>
                  </c15:dlblFieldTable>
                  <c15:showDataLabelsRange val="0"/>
                </c:ext>
                <c:ext xmlns:c16="http://schemas.microsoft.com/office/drawing/2014/chart" uri="{C3380CC4-5D6E-409C-BE32-E72D297353CC}">
                  <c16:uniqueId val="{00000018-DD3B-4594-9ACF-C158048B557E}"/>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Stocks'!$N$12:$N$20</c:f>
              <c:numCache>
                <c:formatCode>General</c:formatCode>
                <c:ptCount val="9"/>
                <c:pt idx="0">
                  <c:v>186</c:v>
                </c:pt>
                <c:pt idx="3" formatCode="0">
                  <c:v>90.33333333333303</c:v>
                </c:pt>
                <c:pt idx="6">
                  <c:v>12</c:v>
                </c:pt>
              </c:numCache>
            </c:numRef>
          </c:val>
          <c:extLst>
            <c:ext xmlns:c16="http://schemas.microsoft.com/office/drawing/2014/chart" uri="{C3380CC4-5D6E-409C-BE32-E72D297353CC}">
              <c16:uniqueId val="{00000019-DD3B-4594-9ACF-C158048B557E}"/>
            </c:ext>
          </c:extLst>
        </c:ser>
        <c:ser>
          <c:idx val="12"/>
          <c:order val="7"/>
          <c:tx>
            <c:strRef>
              <c:f>'Fig 16. NATO Stocks'!$M$11</c:f>
              <c:strCache>
                <c:ptCount val="1"/>
                <c:pt idx="0">
                  <c:v>Norway</c:v>
                </c:pt>
              </c:strCache>
            </c:strRef>
          </c:tx>
          <c:spPr>
            <a:solidFill>
              <a:schemeClr val="accent1">
                <a:lumMod val="20000"/>
                <a:lumOff val="80000"/>
              </a:schemeClr>
            </a:solidFill>
            <a:ln>
              <a:solidFill>
                <a:schemeClr val="tx1"/>
              </a:solidFill>
            </a:ln>
            <a:effectLst/>
          </c:spPr>
          <c:invertIfNegative val="0"/>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Stocks'!$M$12:$M$20</c:f>
              <c:numCache>
                <c:formatCode>General</c:formatCode>
                <c:ptCount val="9"/>
              </c:numCache>
            </c:numRef>
          </c:val>
          <c:extLst>
            <c:ext xmlns:c16="http://schemas.microsoft.com/office/drawing/2014/chart" uri="{C3380CC4-5D6E-409C-BE32-E72D297353CC}">
              <c16:uniqueId val="{0000001A-DD3B-4594-9ACF-C158048B557E}"/>
            </c:ext>
          </c:extLst>
        </c:ser>
        <c:ser>
          <c:idx val="11"/>
          <c:order val="8"/>
          <c:tx>
            <c:strRef>
              <c:f>'Fig 16. NATO Stocks'!$L$11</c:f>
              <c:strCache>
                <c:ptCount val="1"/>
                <c:pt idx="0">
                  <c:v>United Kingdom</c:v>
                </c:pt>
              </c:strCache>
            </c:strRef>
          </c:tx>
          <c:spPr>
            <a:solidFill>
              <a:schemeClr val="accent1">
                <a:lumMod val="60000"/>
                <a:lumOff val="40000"/>
              </a:schemeClr>
            </a:solidFill>
            <a:ln>
              <a:solidFill>
                <a:schemeClr val="tx1"/>
              </a:solidFill>
            </a:ln>
            <a:effectLst/>
          </c:spPr>
          <c:invertIfNegative val="0"/>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Stocks'!$L$12:$L$20</c:f>
              <c:numCache>
                <c:formatCode>General</c:formatCode>
                <c:ptCount val="9"/>
                <c:pt idx="0">
                  <c:v>227</c:v>
                </c:pt>
                <c:pt idx="3">
                  <c:v>117</c:v>
                </c:pt>
                <c:pt idx="6">
                  <c:v>35</c:v>
                </c:pt>
              </c:numCache>
            </c:numRef>
          </c:val>
          <c:extLst>
            <c:ext xmlns:c16="http://schemas.microsoft.com/office/drawing/2014/chart" uri="{C3380CC4-5D6E-409C-BE32-E72D297353CC}">
              <c16:uniqueId val="{0000001B-DD3B-4594-9ACF-C158048B557E}"/>
            </c:ext>
          </c:extLst>
        </c:ser>
        <c:ser>
          <c:idx val="10"/>
          <c:order val="9"/>
          <c:tx>
            <c:strRef>
              <c:f>'Fig 16. NATO Stocks'!$K$11</c:f>
              <c:strCache>
                <c:ptCount val="1"/>
                <c:pt idx="0">
                  <c:v>Turkey</c:v>
                </c:pt>
              </c:strCache>
            </c:strRef>
          </c:tx>
          <c:spPr>
            <a:solidFill>
              <a:schemeClr val="accent1">
                <a:lumMod val="75000"/>
              </a:schemeClr>
            </a:solidFill>
            <a:ln w="9525">
              <a:solidFill>
                <a:schemeClr val="tx1"/>
              </a:solidFill>
            </a:ln>
            <a:effectLst/>
          </c:spPr>
          <c:invertIfNegative val="0"/>
          <c:dLbls>
            <c:dLbl>
              <c:idx val="0"/>
              <c:tx>
                <c:rich>
                  <a:bodyPr/>
                  <a:lstStyle/>
                  <a:p>
                    <a:fld id="{841FA7C6-6CFD-492F-A87C-6460CAE11EDA}" type="CELLREF">
                      <a:rPr lang="en-US"/>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{841FA7C6-6CFD-492F-A87C-6460CAE11EDA}</c15:txfldGUID>
                      <c15:f>'Fig 16. NATO Stocks'!$K$21</c15:f>
                      <c15:dlblFieldTableCache>
                        <c:ptCount val="1"/>
                        <c:pt idx="0">
                          <c:v>TUR</c:v>
                        </c:pt>
                      </c15:dlblFieldTableCache>
                    </c15:dlblFTEntry>
                  </c15:dlblFieldTable>
                  <c15:showDataLabelsRange val="0"/>
                </c:ext>
                <c:ext xmlns:c16="http://schemas.microsoft.com/office/drawing/2014/chart" uri="{C3380CC4-5D6E-409C-BE32-E72D297353CC}">
                  <c16:uniqueId val="{0000001C-DD3B-4594-9ACF-C158048B557E}"/>
                </c:ext>
              </c:extLst>
            </c:dLbl>
            <c:dLbl>
              <c:idx val="2"/>
              <c:delete val="1"/>
              <c:extLst>
                <c:ext xmlns:c15="http://schemas.microsoft.com/office/drawing/2012/chart" uri="{CE6537A1-D6FC-4f65-9D91-7224C49458BB}"/>
                <c:ext xmlns:c16="http://schemas.microsoft.com/office/drawing/2014/chart" uri="{C3380CC4-5D6E-409C-BE32-E72D297353CC}">
                  <c16:uniqueId val="{0000001D-DD3B-4594-9ACF-C158048B557E}"/>
                </c:ext>
              </c:extLst>
            </c:dLbl>
            <c:dLbl>
              <c:idx val="3"/>
              <c:tx>
                <c:rich>
                  <a:bodyPr/>
                  <a:lstStyle/>
                  <a:p>
                    <a:fld id="{2B69E580-46CE-49CC-8F5C-E3606F7061CF}" type="CELLREF">
                      <a:rPr lang="en-US"/>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{2B69E580-46CE-49CC-8F5C-E3606F7061CF}</c15:txfldGUID>
                      <c15:f>'Fig 16. NATO Stocks'!$K$21</c15:f>
                      <c15:dlblFieldTableCache>
                        <c:ptCount val="1"/>
                        <c:pt idx="0">
                          <c:v>TUR</c:v>
                        </c:pt>
                      </c15:dlblFieldTableCache>
                    </c15:dlblFTEntry>
                  </c15:dlblFieldTable>
                  <c15:showDataLabelsRange val="0"/>
                </c:ext>
                <c:ext xmlns:c16="http://schemas.microsoft.com/office/drawing/2014/chart" uri="{C3380CC4-5D6E-409C-BE32-E72D297353CC}">
                  <c16:uniqueId val="{0000001E-DD3B-4594-9ACF-C158048B557E}"/>
                </c:ext>
              </c:extLst>
            </c:dLbl>
            <c:dLbl>
              <c:idx val="6"/>
              <c:delete val="1"/>
              <c:extLst>
                <c:ext xmlns:c15="http://schemas.microsoft.com/office/drawing/2012/chart" uri="{CE6537A1-D6FC-4f65-9D91-7224C49458BB}"/>
                <c:ext xmlns:c16="http://schemas.microsoft.com/office/drawing/2014/chart" uri="{C3380CC4-5D6E-409C-BE32-E72D297353CC}">
                  <c16:uniqueId val="{0000001F-DD3B-4594-9ACF-C158048B557E}"/>
                </c:ext>
              </c:extLst>
            </c:dLbl>
            <c:dLbl>
              <c:idx val="8"/>
              <c:delete val="1"/>
              <c:extLst>
                <c:ext xmlns:c15="http://schemas.microsoft.com/office/drawing/2012/chart" uri="{CE6537A1-D6FC-4f65-9D91-7224C49458BB}"/>
                <c:ext xmlns:c16="http://schemas.microsoft.com/office/drawing/2014/chart" uri="{C3380CC4-5D6E-409C-BE32-E72D297353CC}">
                  <c16:uniqueId val="{00000020-DD3B-4594-9ACF-C158048B557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Stocks'!$K$12:$K$20</c:f>
              <c:numCache>
                <c:formatCode>General</c:formatCode>
                <c:ptCount val="9"/>
                <c:pt idx="0">
                  <c:v>4378</c:v>
                </c:pt>
                <c:pt idx="3">
                  <c:v>1385</c:v>
                </c:pt>
                <c:pt idx="6">
                  <c:v>146</c:v>
                </c:pt>
              </c:numCache>
            </c:numRef>
          </c:val>
          <c:extLst>
            <c:ext xmlns:c16="http://schemas.microsoft.com/office/drawing/2014/chart" uri="{C3380CC4-5D6E-409C-BE32-E72D297353CC}">
              <c16:uniqueId val="{00000021-DD3B-4594-9ACF-C158048B557E}"/>
            </c:ext>
          </c:extLst>
        </c:ser>
        <c:ser>
          <c:idx val="9"/>
          <c:order val="10"/>
          <c:tx>
            <c:strRef>
              <c:f>'Fig 16. NATO Stocks'!$J$11</c:f>
              <c:strCache>
                <c:ptCount val="1"/>
                <c:pt idx="0">
                  <c:v>United States</c:v>
                </c:pt>
              </c:strCache>
            </c:strRef>
          </c:tx>
          <c:spPr>
            <a:solidFill>
              <a:schemeClr val="accent1">
                <a:lumMod val="50000"/>
              </a:schemeClr>
            </a:solidFill>
            <a:ln>
              <a:solidFill>
                <a:schemeClr val="tx1"/>
              </a:solidFill>
            </a:ln>
            <a:effectLst/>
          </c:spPr>
          <c:invertIfNegative val="0"/>
          <c:dLbls>
            <c:dLbl>
              <c:idx val="0"/>
              <c:tx>
                <c:rich>
                  <a:bodyPr/>
                  <a:lstStyle/>
                  <a:p>
                    <a:fld id="{87EA653D-E90C-43C8-BF1B-C459DBEFC21D}" type="CELLREF">
                      <a:rPr lang="en-US"/>
                      <a:pPr/>
                      <a:t>[]</a:t>
                    </a:fld>
                    <a:endParaRPr/>
                  </a:p>
                </c:rich>
              </c:tx>
              <c:showLegendKey val="0"/>
              <c:showVal val="0"/>
              <c:showCatName val="0"/>
              <c:showSerName val="1"/>
              <c:showPercent val="0"/>
              <c:showBubbleSize val="0"/>
              <c:extLst>
                <c:ext xmlns:c15="http://schemas.microsoft.com/office/drawing/2012/chart" uri="{CE6537A1-D6FC-4f65-9D91-7224C49458BB}">
                  <c15:dlblFieldTable>
                    <c15:dlblFTEntry>
                      <c15:txfldGUID>{87EA653D-E90C-43C8-BF1B-C459DBEFC21D}</c15:txfldGUID>
                      <c15:f>'Fig 16. NATO Stocks'!$J$21</c15:f>
                      <c15:dlblFieldTableCache>
                        <c:ptCount val="1"/>
                        <c:pt idx="0">
                          <c:v>US</c:v>
                        </c:pt>
                      </c15:dlblFieldTableCache>
                    </c15:dlblFTEntry>
                  </c15:dlblFieldTable>
                  <c15:showDataLabelsRange val="0"/>
                </c:ext>
                <c:ext xmlns:c16="http://schemas.microsoft.com/office/drawing/2014/chart" uri="{C3380CC4-5D6E-409C-BE32-E72D297353CC}">
                  <c16:uniqueId val="{00000022-DD3B-4594-9ACF-C158048B557E}"/>
                </c:ext>
              </c:extLst>
            </c:dLbl>
            <c:dLbl>
              <c:idx val="2"/>
              <c:delete val="1"/>
              <c:extLst>
                <c:ext xmlns:c15="http://schemas.microsoft.com/office/drawing/2012/chart" uri="{CE6537A1-D6FC-4f65-9D91-7224C49458BB}"/>
                <c:ext xmlns:c16="http://schemas.microsoft.com/office/drawing/2014/chart" uri="{C3380CC4-5D6E-409C-BE32-E72D297353CC}">
                  <c16:uniqueId val="{00000023-DD3B-4594-9ACF-C158048B557E}"/>
                </c:ext>
              </c:extLst>
            </c:dLbl>
            <c:dLbl>
              <c:idx val="3"/>
              <c:tx>
                <c:rich>
                  <a:bodyPr/>
                  <a:lstStyle/>
                  <a:p>
                    <a:fld id="{2F6135A3-5966-43E2-A5F5-F1B136BE8D6F}" type="CELLREF">
                      <a:rPr lang="en-US"/>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{2F6135A3-5966-43E2-A5F5-F1B136BE8D6F}</c15:txfldGUID>
                      <c15:f>'Fig 16. NATO Stocks'!$J$21</c15:f>
                      <c15:dlblFieldTableCache>
                        <c:ptCount val="1"/>
                        <c:pt idx="0">
                          <c:v>US</c:v>
                        </c:pt>
                      </c15:dlblFieldTableCache>
                    </c15:dlblFTEntry>
                  </c15:dlblFieldTable>
                  <c15:showDataLabelsRange val="0"/>
                </c:ext>
                <c:ext xmlns:c16="http://schemas.microsoft.com/office/drawing/2014/chart" uri="{C3380CC4-5D6E-409C-BE32-E72D297353CC}">
                  <c16:uniqueId val="{00000024-DD3B-4594-9ACF-C158048B557E}"/>
                </c:ext>
              </c:extLst>
            </c:dLbl>
            <c:dLbl>
              <c:idx val="5"/>
              <c:delete val="1"/>
              <c:extLst>
                <c:ext xmlns:c15="http://schemas.microsoft.com/office/drawing/2012/chart" uri="{CE6537A1-D6FC-4f65-9D91-7224C49458BB}"/>
                <c:ext xmlns:c16="http://schemas.microsoft.com/office/drawing/2014/chart" uri="{C3380CC4-5D6E-409C-BE32-E72D297353CC}">
                  <c16:uniqueId val="{00000025-DD3B-4594-9ACF-C158048B557E}"/>
                </c:ext>
              </c:extLst>
            </c:dLbl>
            <c:dLbl>
              <c:idx val="6"/>
              <c:tx>
                <c:rich>
                  <a:bodyPr/>
                  <a:lstStyle/>
                  <a:p>
                    <a:fld id="{64229069-88EF-4D55-96CD-268D3ACBE5B6}" type="CELLREF">
                      <a:rPr lang="en-US"/>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{64229069-88EF-4D55-96CD-268D3ACBE5B6}</c15:txfldGUID>
                      <c15:f>'Fig 16. NATO Stocks'!$J$21</c15:f>
                      <c15:dlblFieldTableCache>
                        <c:ptCount val="1"/>
                        <c:pt idx="0">
                          <c:v>US</c:v>
                        </c:pt>
                      </c15:dlblFieldTableCache>
                    </c15:dlblFTEntry>
                  </c15:dlblFieldTable>
                  <c15:showDataLabelsRange val="0"/>
                </c:ext>
                <c:ext xmlns:c16="http://schemas.microsoft.com/office/drawing/2014/chart" uri="{C3380CC4-5D6E-409C-BE32-E72D297353CC}">
                  <c16:uniqueId val="{00000026-DD3B-4594-9ACF-C158048B557E}"/>
                </c:ext>
              </c:extLst>
            </c:dLbl>
            <c:dLbl>
              <c:idx val="8"/>
              <c:delete val="1"/>
              <c:extLst>
                <c:ext xmlns:c15="http://schemas.microsoft.com/office/drawing/2012/chart" uri="{CE6537A1-D6FC-4f65-9D91-7224C49458BB}"/>
                <c:ext xmlns:c16="http://schemas.microsoft.com/office/drawing/2014/chart" uri="{C3380CC4-5D6E-409C-BE32-E72D297353CC}">
                  <c16:uniqueId val="{00000027-DD3B-4594-9ACF-C158048B557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Stocks'!$J$12:$J$20</c:f>
              <c:numCache>
                <c:formatCode>General</c:formatCode>
                <c:ptCount val="9"/>
                <c:pt idx="0">
                  <c:v>6140</c:v>
                </c:pt>
                <c:pt idx="3">
                  <c:v>2538</c:v>
                </c:pt>
                <c:pt idx="6">
                  <c:v>635</c:v>
                </c:pt>
              </c:numCache>
            </c:numRef>
          </c:val>
          <c:extLst>
            <c:ext xmlns:c16="http://schemas.microsoft.com/office/drawing/2014/chart" uri="{C3380CC4-5D6E-409C-BE32-E72D297353CC}">
              <c16:uniqueId val="{00000028-DD3B-4594-9ACF-C158048B557E}"/>
            </c:ext>
          </c:extLst>
        </c:ser>
        <c:ser>
          <c:idx val="14"/>
          <c:order val="11"/>
          <c:tx>
            <c:strRef>
              <c:f>'Fig 16. NATO Stocks'!$O$11</c:f>
              <c:strCache>
                <c:ptCount val="1"/>
                <c:pt idx="0">
                  <c:v>To be delivered to Ukraine</c:v>
                </c:pt>
              </c:strCache>
            </c:strRef>
          </c:tx>
          <c:spPr>
            <a:solidFill>
              <a:schemeClr val="accent2">
                <a:tint val="47000"/>
              </a:schemeClr>
            </a:solidFill>
            <a:ln>
              <a:solidFill>
                <a:sysClr val="windowText" lastClr="000000"/>
              </a:solid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29-DD3B-4594-9ACF-C158048B557E}"/>
                </c:ext>
              </c:extLst>
            </c:dLbl>
            <c:dLbl>
              <c:idx val="5"/>
              <c:delete val="1"/>
              <c:extLst>
                <c:ext xmlns:c15="http://schemas.microsoft.com/office/drawing/2012/chart" uri="{CE6537A1-D6FC-4f65-9D91-7224C49458BB}"/>
                <c:ext xmlns:c16="http://schemas.microsoft.com/office/drawing/2014/chart" uri="{C3380CC4-5D6E-409C-BE32-E72D297353CC}">
                  <c16:uniqueId val="{0000002A-DD3B-4594-9ACF-C158048B557E}"/>
                </c:ext>
              </c:extLst>
            </c:dLbl>
            <c:dLbl>
              <c:idx val="8"/>
              <c:delete val="1"/>
              <c:extLst>
                <c:ext xmlns:c15="http://schemas.microsoft.com/office/drawing/2012/chart" uri="{CE6537A1-D6FC-4f65-9D91-7224C49458BB}"/>
                <c:ext xmlns:c16="http://schemas.microsoft.com/office/drawing/2014/chart" uri="{C3380CC4-5D6E-409C-BE32-E72D297353CC}">
                  <c16:uniqueId val="{0000002B-DD3B-4594-9ACF-C158048B557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Stocks'!$O$12:$O$20</c:f>
              <c:numCache>
                <c:formatCode>General</c:formatCode>
                <c:ptCount val="9"/>
                <c:pt idx="2" formatCode="0">
                  <c:v>286.33333333333326</c:v>
                </c:pt>
                <c:pt idx="5">
                  <c:v>177</c:v>
                </c:pt>
                <c:pt idx="8" formatCode="0">
                  <c:v>23</c:v>
                </c:pt>
              </c:numCache>
            </c:numRef>
          </c:val>
          <c:extLst>
            <c:ext xmlns:c16="http://schemas.microsoft.com/office/drawing/2014/chart" uri="{C3380CC4-5D6E-409C-BE32-E72D297353CC}">
              <c16:uniqueId val="{0000002C-DD3B-4594-9ACF-C158048B557E}"/>
            </c:ext>
          </c:extLst>
        </c:ser>
        <c:ser>
          <c:idx val="15"/>
          <c:order val="12"/>
          <c:tx>
            <c:strRef>
              <c:f>'Fig 16. NATO Stocks'!$P$11</c:f>
              <c:strCache>
                <c:ptCount val="1"/>
                <c:pt idx="0">
                  <c:v>Delivered to Ukraine</c:v>
                </c:pt>
              </c:strCache>
            </c:strRef>
          </c:tx>
          <c:spPr>
            <a:solidFill>
              <a:schemeClr val="accent2">
                <a:lumMod val="75000"/>
              </a:schemeClr>
            </a:solidFill>
            <a:ln>
              <a:solidFill>
                <a:sysClr val="windowText" lastClr="000000"/>
              </a:solidFill>
            </a:ln>
            <a:effectLst/>
          </c:spPr>
          <c:invertIfNegative val="0"/>
          <c:dLbls>
            <c:dLbl>
              <c:idx val="2"/>
              <c:layout>
                <c:manualLayout>
                  <c:x val="0.1433907365982974"/>
                  <c:y val="4.1203282828282534E-3"/>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fld id="{3FE7CE45-FF30-451C-869A-707736D04D85}" type="VALUE">
                      <a:rPr lang="en-US" sz="1400"/>
                      <a:pPr>
                        <a:defRPr/>
                      </a:pPr>
                      <a:t>[]</a:t>
                    </a:fld>
                    <a:r>
                      <a:rPr lang="en-US" sz="1400"/>
                      <a:t> delivered, </a:t>
                    </a:r>
                    <a:fld id="{B3BF6411-7C5C-4F8B-9A83-768E06D92E25}" type="CELLREF">
                      <a:rPr lang="en-US" sz="1400"/>
                      <a:pPr>
                        <a:defRPr/>
                      </a:pPr>
                      <a:t>[]</a:t>
                    </a:fld>
                    <a:r>
                      <a:rPr lang="en-US" sz="1400"/>
                      <a:t> to be delivered </a:t>
                    </a:r>
                    <a:br>
                      <a:rPr lang="en-US" sz="1400"/>
                    </a:br>
                    <a:r>
                      <a:rPr lang="en-US" sz="1400"/>
                      <a:t>(</a:t>
                    </a:r>
                    <a:fld id="{7F1F5D44-8B84-4A84-872B-5092672D9E79}" type="CELLREF">
                      <a:rPr lang="en-US" sz="1400"/>
                      <a:pPr>
                        <a:defRPr/>
                      </a:pPr>
                      <a:t>[]</a:t>
                    </a:fld>
                    <a:r>
                      <a:rPr lang="en-US" sz="1400"/>
                      <a:t> of NATO + EU stocks)</a:t>
                    </a: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6305421998188688"/>
                      <c:h val="8.8632954545454543E-2"/>
                    </c:manualLayout>
                  </c15:layout>
                  <c15:dlblFieldTable>
                    <c15:dlblFTEntry>
                      <c15:txfldGUID>{B3BF6411-7C5C-4F8B-9A83-768E06D92E25}</c15:txfldGUID>
                      <c15:f>'Fig 16. NATO Stocks'!$O$14</c15:f>
                      <c15:dlblFieldTableCache>
                        <c:ptCount val="1"/>
                        <c:pt idx="0">
                          <c:v>286</c:v>
                        </c:pt>
                      </c15:dlblFieldTableCache>
                    </c15:dlblFTEntry>
                    <c15:dlblFTEntry>
                      <c15:txfldGUID>{7F1F5D44-8B84-4A84-872B-5092672D9E79}</c15:txfldGUID>
                      <c15:f>'Fig 16. NATO Stocks'!$R$14</c15:f>
                      <c15:dlblFieldTableCache>
                        <c:ptCount val="1"/>
                        <c:pt idx="0">
                          <c:v>5%</c:v>
                        </c:pt>
                      </c15:dlblFieldTableCache>
                    </c15:dlblFTEntry>
                  </c15:dlblFieldTable>
                  <c15:showDataLabelsRange val="0"/>
                </c:ext>
                <c:ext xmlns:c16="http://schemas.microsoft.com/office/drawing/2014/chart" uri="{C3380CC4-5D6E-409C-BE32-E72D297353CC}">
                  <c16:uniqueId val="{0000002D-DD3B-4594-9ACF-C158048B557E}"/>
                </c:ext>
              </c:extLst>
            </c:dLbl>
            <c:dLbl>
              <c:idx val="5"/>
              <c:layout>
                <c:manualLayout>
                  <c:x val="0.14514450849118363"/>
                  <c:y val="1.8809974747474748E-3"/>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fld id="{D1344743-15B7-4805-A03F-0678DB0B11F2}" type="VALUE">
                      <a:rPr lang="en-US" sz="1400"/>
                      <a:pPr>
                        <a:defRPr/>
                      </a:pPr>
                      <a:t>[]</a:t>
                    </a:fld>
                    <a:r>
                      <a:rPr lang="en-US" sz="1400"/>
                      <a:t> delivered, </a:t>
                    </a:r>
                    <a:fld id="{067D363F-8748-4995-9297-4FFF3962C7E1}" type="CELLREF">
                      <a:rPr lang="en-US" sz="1400"/>
                      <a:pPr>
                        <a:defRPr/>
                      </a:pPr>
                      <a:t>[]</a:t>
                    </a:fld>
                    <a:r>
                      <a:rPr lang="en-US" sz="1400"/>
                      <a:t> to be delivered </a:t>
                    </a:r>
                    <a:br>
                      <a:rPr lang="en-US" sz="1400"/>
                    </a:br>
                    <a:r>
                      <a:rPr lang="en-US" sz="1400"/>
                      <a:t>(</a:t>
                    </a:r>
                    <a:fld id="{7B3B20FE-AED0-4387-992D-9CCD652867D5}" type="CELLREF">
                      <a:rPr lang="en-US" sz="1400"/>
                      <a:pPr>
                        <a:defRPr/>
                      </a:pPr>
                      <a:t>[]</a:t>
                    </a:fld>
                    <a:r>
                      <a:rPr lang="en-US" sz="1400" baseline="0"/>
                      <a:t> </a:t>
                    </a:r>
                    <a:r>
                      <a:rPr lang="en-US" sz="1400"/>
                      <a:t>of NATO +</a:t>
                    </a:r>
                    <a:r>
                      <a:rPr lang="en-US" sz="1400" baseline="0"/>
                      <a:t> EU stocks)</a:t>
                    </a: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5100639120724594"/>
                      <c:h val="7.0678505553675081E-2"/>
                    </c:manualLayout>
                  </c15:layout>
                  <c15:dlblFieldTable>
                    <c15:dlblFTEntry>
                      <c15:txfldGUID>{067D363F-8748-4995-9297-4FFF3962C7E1}</c15:txfldGUID>
                      <c15:f>'Fig 16. NATO Stocks'!$O$17</c15:f>
                      <c15:dlblFieldTableCache>
                        <c:ptCount val="1"/>
                        <c:pt idx="0">
                          <c:v>177</c:v>
                        </c:pt>
                      </c15:dlblFieldTableCache>
                    </c15:dlblFTEntry>
                    <c15:dlblFTEntry>
                      <c15:txfldGUID>{7B3B20FE-AED0-4387-992D-9CCD652867D5}</c15:txfldGUID>
                      <c15:f>'Fig 16. NATO Stocks'!$R$17</c15:f>
                      <c15:dlblFieldTableCache>
                        <c:ptCount val="1"/>
                        <c:pt idx="0">
                          <c:v>8%</c:v>
                        </c:pt>
                      </c15:dlblFieldTableCache>
                    </c15:dlblFTEntry>
                  </c15:dlblFieldTable>
                  <c15:showDataLabelsRange val="0"/>
                </c:ext>
                <c:ext xmlns:c16="http://schemas.microsoft.com/office/drawing/2014/chart" uri="{C3380CC4-5D6E-409C-BE32-E72D297353CC}">
                  <c16:uniqueId val="{0000002E-DD3B-4594-9ACF-C158048B557E}"/>
                </c:ext>
              </c:extLst>
            </c:dLbl>
            <c:dLbl>
              <c:idx val="8"/>
              <c:delete val="1"/>
              <c:extLst>
                <c:ext xmlns:c15="http://schemas.microsoft.com/office/drawing/2012/chart" uri="{CE6537A1-D6FC-4f65-9D91-7224C49458BB}"/>
                <c:ext xmlns:c16="http://schemas.microsoft.com/office/drawing/2014/chart" uri="{C3380CC4-5D6E-409C-BE32-E72D297353CC}">
                  <c16:uniqueId val="{0000002F-DD3B-4594-9ACF-C158048B557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Stocks'!$P$12:$P$20</c:f>
              <c:numCache>
                <c:formatCode>General</c:formatCode>
                <c:ptCount val="9"/>
                <c:pt idx="2">
                  <c:v>471</c:v>
                </c:pt>
                <c:pt idx="5">
                  <c:v>379</c:v>
                </c:pt>
                <c:pt idx="8" formatCode="0">
                  <c:v>66</c:v>
                </c:pt>
              </c:numCache>
            </c:numRef>
          </c:val>
          <c:extLst>
            <c:ext xmlns:c16="http://schemas.microsoft.com/office/drawing/2014/chart" uri="{C3380CC4-5D6E-409C-BE32-E72D297353CC}">
              <c16:uniqueId val="{00000030-DD3B-4594-9ACF-C158048B557E}"/>
            </c:ext>
          </c:extLst>
        </c:ser>
        <c:dLbls>
          <c:showLegendKey val="0"/>
          <c:showVal val="0"/>
          <c:showCatName val="0"/>
          <c:showSerName val="0"/>
          <c:showPercent val="0"/>
          <c:showBubbleSize val="0"/>
        </c:dLbls>
        <c:gapWidth val="65"/>
        <c:overlap val="100"/>
        <c:axId val="768358160"/>
        <c:axId val="768358576"/>
      </c:barChart>
      <c:catAx>
        <c:axId val="768358160"/>
        <c:scaling>
          <c:orientation val="maxMin"/>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8358576"/>
        <c:crosses val="autoZero"/>
        <c:auto val="1"/>
        <c:lblAlgn val="ctr"/>
        <c:lblOffset val="100"/>
        <c:noMultiLvlLbl val="0"/>
      </c:catAx>
      <c:valAx>
        <c:axId val="768358576"/>
        <c:scaling>
          <c:orientation val="minMax"/>
          <c:max val="140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8358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1104421082520614"/>
          <c:y val="1.840427946981275E-2"/>
          <c:w val="0.74902866398057544"/>
          <c:h val="0.91556218468286177"/>
        </c:manualLayout>
      </c:layout>
      <c:barChart>
        <c:barDir val="bar"/>
        <c:grouping val="stacked"/>
        <c:varyColors val="0"/>
        <c:ser>
          <c:idx val="0"/>
          <c:order val="0"/>
          <c:tx>
            <c:strRef>
              <c:f>'Fig 17. Share of stocks pledged'!$E$11</c:f>
              <c:strCache>
                <c:ptCount val="1"/>
                <c:pt idx="0">
                  <c:v>Average total (delivered)</c:v>
                </c:pt>
              </c:strCache>
            </c:strRef>
          </c:tx>
          <c:spPr>
            <a:solidFill>
              <a:srgbClr val="C65911"/>
            </a:solidFill>
            <a:ln>
              <a:solidFill>
                <a:schemeClr val="tx1"/>
              </a:solidFill>
            </a:ln>
            <a:effectLst/>
          </c:spPr>
          <c:invertIfNegative val="0"/>
          <c:dPt>
            <c:idx val="11"/>
            <c:invertIfNegative val="0"/>
            <c:bubble3D val="0"/>
            <c:spPr>
              <a:solidFill>
                <a:schemeClr val="accent1">
                  <a:lumMod val="75000"/>
                </a:schemeClr>
              </a:solidFill>
              <a:ln>
                <a:solidFill>
                  <a:schemeClr val="tx1"/>
                </a:solidFill>
              </a:ln>
              <a:effectLst/>
            </c:spPr>
            <c:extLst>
              <c:ext xmlns:c16="http://schemas.microsoft.com/office/drawing/2014/chart" uri="{C3380CC4-5D6E-409C-BE32-E72D297353CC}">
                <c16:uniqueId val="{00000001-0924-4C72-A049-A8B49EDB3558}"/>
              </c:ext>
            </c:extLst>
          </c:dPt>
          <c:dLbls>
            <c:dLbl>
              <c:idx val="0"/>
              <c:layout>
                <c:manualLayout>
                  <c:x val="0.37348440359377155"/>
                  <c:y val="-8.6164889879876916E-2"/>
                </c:manualLayout>
              </c:layout>
              <c:tx>
                <c:rich>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600">
                        <a:solidFill>
                          <a:schemeClr val="bg1"/>
                        </a:solidFill>
                      </a:rPr>
                      <a:t>Delivered</a:t>
                    </a:r>
                  </a:p>
                </c:rich>
              </c:tx>
              <c:spPr>
                <a:solidFill>
                  <a:schemeClr val="accent2">
                    <a:lumMod val="75000"/>
                  </a:schemeClr>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569-4549-AE69-F77C889FDF7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 17. Share of stocks pledged'!$B$12:$B$29</c:f>
              <c:strCache>
                <c:ptCount val="18"/>
                <c:pt idx="0">
                  <c:v>Czech Republic</c:v>
                </c:pt>
                <c:pt idx="1">
                  <c:v>Netherlands</c:v>
                </c:pt>
                <c:pt idx="2">
                  <c:v>Denmark</c:v>
                </c:pt>
                <c:pt idx="3">
                  <c:v>Norway</c:v>
                </c:pt>
                <c:pt idx="4">
                  <c:v>Estonia</c:v>
                </c:pt>
                <c:pt idx="5">
                  <c:v>United Kingdom</c:v>
                </c:pt>
                <c:pt idx="6">
                  <c:v>Poland</c:v>
                </c:pt>
                <c:pt idx="7">
                  <c:v>Germany</c:v>
                </c:pt>
                <c:pt idx="8">
                  <c:v>France</c:v>
                </c:pt>
                <c:pt idx="9">
                  <c:v>Slovenia</c:v>
                </c:pt>
                <c:pt idx="10">
                  <c:v>Sweden</c:v>
                </c:pt>
                <c:pt idx="11">
                  <c:v>Average EU</c:v>
                </c:pt>
                <c:pt idx="12">
                  <c:v>Italy</c:v>
                </c:pt>
                <c:pt idx="13">
                  <c:v>Portugal</c:v>
                </c:pt>
                <c:pt idx="14">
                  <c:v>Canada</c:v>
                </c:pt>
                <c:pt idx="15">
                  <c:v>United States</c:v>
                </c:pt>
                <c:pt idx="16">
                  <c:v>Latvia</c:v>
                </c:pt>
                <c:pt idx="17">
                  <c:v>Average non-EU-NATO</c:v>
                </c:pt>
              </c:strCache>
            </c:strRef>
          </c:cat>
          <c:val>
            <c:numRef>
              <c:f>'Fig 17. Share of stocks pledged'!$E$12:$E$27</c:f>
              <c:numCache>
                <c:formatCode>0.00</c:formatCode>
                <c:ptCount val="16"/>
                <c:pt idx="0">
                  <c:v>0.58302721955948311</c:v>
                </c:pt>
                <c:pt idx="1">
                  <c:v>0.11716791979949875</c:v>
                </c:pt>
                <c:pt idx="2">
                  <c:v>0.16101694915254239</c:v>
                </c:pt>
                <c:pt idx="3">
                  <c:v>0.22083333333333333</c:v>
                </c:pt>
                <c:pt idx="4">
                  <c:v>0</c:v>
                </c:pt>
                <c:pt idx="5">
                  <c:v>0.12890151128036589</c:v>
                </c:pt>
                <c:pt idx="6">
                  <c:v>0.20877470843532098</c:v>
                </c:pt>
                <c:pt idx="7">
                  <c:v>8.8954576048175471E-2</c:v>
                </c:pt>
                <c:pt idx="8">
                  <c:v>0.1012820512820513</c:v>
                </c:pt>
                <c:pt idx="9">
                  <c:v>0.12280701754385964</c:v>
                </c:pt>
                <c:pt idx="10">
                  <c:v>0</c:v>
                </c:pt>
                <c:pt idx="11">
                  <c:v>7.1317099390105887E-2</c:v>
                </c:pt>
                <c:pt idx="12">
                  <c:v>3.3613445378151259E-2</c:v>
                </c:pt>
                <c:pt idx="13">
                  <c:v>2.7027027027027029E-2</c:v>
                </c:pt>
                <c:pt idx="14">
                  <c:v>5.5936533548473853E-2</c:v>
                </c:pt>
                <c:pt idx="15">
                  <c:v>2.8051494126336295E-2</c:v>
                </c:pt>
              </c:numCache>
            </c:numRef>
          </c:val>
          <c:extLst>
            <c:ext xmlns:c16="http://schemas.microsoft.com/office/drawing/2014/chart" uri="{C3380CC4-5D6E-409C-BE32-E72D297353CC}">
              <c16:uniqueId val="{00000006-6780-42D7-A7B7-F96A15CFDA54}"/>
            </c:ext>
          </c:extLst>
        </c:ser>
        <c:ser>
          <c:idx val="1"/>
          <c:order val="1"/>
          <c:tx>
            <c:strRef>
              <c:f>'Fig 17. Share of stocks pledged'!$F$11</c:f>
              <c:strCache>
                <c:ptCount val="1"/>
                <c:pt idx="0">
                  <c:v>Average total (to be delivered)</c:v>
                </c:pt>
              </c:strCache>
            </c:strRef>
          </c:tx>
          <c:spPr>
            <a:solidFill>
              <a:srgbClr val="FCE4D6"/>
            </a:solidFill>
            <a:ln>
              <a:solidFill>
                <a:srgbClr val="000000"/>
              </a:solidFill>
              <a:prstDash val="solid"/>
            </a:ln>
            <a:effectLst/>
          </c:spPr>
          <c:invertIfNegative val="0"/>
          <c:dPt>
            <c:idx val="11"/>
            <c:invertIfNegative val="0"/>
            <c:bubble3D val="0"/>
            <c:spPr>
              <a:solidFill>
                <a:schemeClr val="accent1">
                  <a:lumMod val="20000"/>
                  <a:lumOff val="80000"/>
                </a:schemeClr>
              </a:solidFill>
              <a:ln>
                <a:solidFill>
                  <a:srgbClr val="000000"/>
                </a:solidFill>
                <a:prstDash val="solid"/>
              </a:ln>
              <a:effectLst/>
            </c:spPr>
            <c:extLst>
              <c:ext xmlns:c16="http://schemas.microsoft.com/office/drawing/2014/chart" uri="{C3380CC4-5D6E-409C-BE32-E72D297353CC}">
                <c16:uniqueId val="{00000003-0924-4C72-A049-A8B49EDB3558}"/>
              </c:ext>
            </c:extLst>
          </c:dPt>
          <c:dLbls>
            <c:dLbl>
              <c:idx val="0"/>
              <c:layout>
                <c:manualLayout>
                  <c:x val="-0.11443010155839337"/>
                  <c:y val="-0.1822809262234365"/>
                </c:manualLayout>
              </c:layout>
              <c:tx>
                <c:rich>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To be delivered</a:t>
                    </a:r>
                  </a:p>
                </c:rich>
              </c:tx>
              <c:spPr>
                <a:solidFill>
                  <a:schemeClr val="accent2">
                    <a:lumMod val="20000"/>
                    <a:lumOff val="80000"/>
                  </a:schemeClr>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569-4549-AE69-F77C889FDF7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 17. Share of stocks pledged'!$B$12:$B$29</c:f>
              <c:strCache>
                <c:ptCount val="18"/>
                <c:pt idx="0">
                  <c:v>Czech Republic</c:v>
                </c:pt>
                <c:pt idx="1">
                  <c:v>Netherlands</c:v>
                </c:pt>
                <c:pt idx="2">
                  <c:v>Denmark</c:v>
                </c:pt>
                <c:pt idx="3">
                  <c:v>Norway</c:v>
                </c:pt>
                <c:pt idx="4">
                  <c:v>Estonia</c:v>
                </c:pt>
                <c:pt idx="5">
                  <c:v>United Kingdom</c:v>
                </c:pt>
                <c:pt idx="6">
                  <c:v>Poland</c:v>
                </c:pt>
                <c:pt idx="7">
                  <c:v>Germany</c:v>
                </c:pt>
                <c:pt idx="8">
                  <c:v>France</c:v>
                </c:pt>
                <c:pt idx="9">
                  <c:v>Slovenia</c:v>
                </c:pt>
                <c:pt idx="10">
                  <c:v>Sweden</c:v>
                </c:pt>
                <c:pt idx="11">
                  <c:v>Average EU</c:v>
                </c:pt>
                <c:pt idx="12">
                  <c:v>Italy</c:v>
                </c:pt>
                <c:pt idx="13">
                  <c:v>Portugal</c:v>
                </c:pt>
                <c:pt idx="14">
                  <c:v>Canada</c:v>
                </c:pt>
                <c:pt idx="15">
                  <c:v>United States</c:v>
                </c:pt>
                <c:pt idx="16">
                  <c:v>Latvia</c:v>
                </c:pt>
                <c:pt idx="17">
                  <c:v>Average non-EU-NATO</c:v>
                </c:pt>
              </c:strCache>
            </c:strRef>
          </c:cat>
          <c:val>
            <c:numRef>
              <c:f>'Fig 17. Share of stocks pledged'!$F$12:$F$27</c:f>
              <c:numCache>
                <c:formatCode>0.00</c:formatCode>
                <c:ptCount val="16"/>
                <c:pt idx="0">
                  <c:v>0</c:v>
                </c:pt>
                <c:pt idx="1">
                  <c:v>0.26378446115288218</c:v>
                </c:pt>
                <c:pt idx="2">
                  <c:v>0.21123069321819082</c:v>
                </c:pt>
                <c:pt idx="3">
                  <c:v>8.4615384615384592E-2</c:v>
                </c:pt>
                <c:pt idx="4">
                  <c:v>0.26666666666666666</c:v>
                </c:pt>
                <c:pt idx="5">
                  <c:v>0.11404151404151408</c:v>
                </c:pt>
                <c:pt idx="6">
                  <c:v>2.509410288582184E-2</c:v>
                </c:pt>
                <c:pt idx="7">
                  <c:v>8.6718129364407676E-2</c:v>
                </c:pt>
                <c:pt idx="8">
                  <c:v>3.3333333333333312E-2</c:v>
                </c:pt>
                <c:pt idx="9">
                  <c:v>0</c:v>
                </c:pt>
                <c:pt idx="10">
                  <c:v>0.10396825396825397</c:v>
                </c:pt>
                <c:pt idx="11">
                  <c:v>3.017909881501718E-2</c:v>
                </c:pt>
                <c:pt idx="12">
                  <c:v>5.8314234784823039E-2</c:v>
                </c:pt>
                <c:pt idx="13">
                  <c:v>3.4722222222222231E-2</c:v>
                </c:pt>
                <c:pt idx="14">
                  <c:v>0</c:v>
                </c:pt>
                <c:pt idx="15">
                  <c:v>1.7035884212773893E-2</c:v>
                </c:pt>
              </c:numCache>
            </c:numRef>
          </c:val>
          <c:extLst>
            <c:ext xmlns:c16="http://schemas.microsoft.com/office/drawing/2014/chart" uri="{C3380CC4-5D6E-409C-BE32-E72D297353CC}">
              <c16:uniqueId val="{00000008-6780-42D7-A7B7-F96A15CFDA54}"/>
            </c:ext>
          </c:extLst>
        </c:ser>
        <c:dLbls>
          <c:showLegendKey val="0"/>
          <c:showVal val="0"/>
          <c:showCatName val="0"/>
          <c:showSerName val="0"/>
          <c:showPercent val="0"/>
          <c:showBubbleSize val="0"/>
        </c:dLbls>
        <c:gapWidth val="182"/>
        <c:overlap val="100"/>
        <c:axId val="1908086544"/>
        <c:axId val="1924747856"/>
        <c:extLst/>
      </c:barChart>
      <c:catAx>
        <c:axId val="1908086544"/>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24747856"/>
        <c:crosses val="autoZero"/>
        <c:auto val="1"/>
        <c:lblAlgn val="ctr"/>
        <c:lblOffset val="100"/>
        <c:noMultiLvlLbl val="0"/>
      </c:catAx>
      <c:valAx>
        <c:axId val="1924747856"/>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de-DE" sz="1800" b="0" i="0" baseline="0">
                    <a:effectLst/>
                  </a:rPr>
                  <a:t>Share of stocks donated to Ukraine</a:t>
                </a:r>
                <a:endParaRPr lang="en-US">
                  <a:effectLst/>
                </a:endParaRPr>
              </a:p>
            </c:rich>
          </c:tx>
          <c:layout>
            <c:manualLayout>
              <c:xMode val="edge"/>
              <c:yMode val="edge"/>
              <c:x val="0.66104304411216996"/>
              <c:y val="0.89291158805439852"/>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ln>
                  <a:noFill/>
                </a:ln>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08086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4371348116696889"/>
          <c:y val="1.8390168701031329E-2"/>
          <c:w val="0.73445096179446223"/>
          <c:h val="0.92632244807501674"/>
        </c:manualLayout>
      </c:layout>
      <c:barChart>
        <c:barDir val="bar"/>
        <c:grouping val="stacked"/>
        <c:varyColors val="0"/>
        <c:ser>
          <c:idx val="0"/>
          <c:order val="0"/>
          <c:tx>
            <c:strRef>
              <c:f>'Fig 18. Comparison WW2 (weap.)'!$D$11</c:f>
              <c:strCache>
                <c:ptCount val="1"/>
                <c:pt idx="0">
                  <c:v>Delivered</c:v>
                </c:pt>
              </c:strCache>
            </c:strRef>
          </c:tx>
          <c:spPr>
            <a:pattFill prst="pct70">
              <a:fgClr>
                <a:srgbClr val="5C8A6A"/>
              </a:fgClr>
              <a:bgClr>
                <a:schemeClr val="bg1"/>
              </a:bgClr>
            </a:pattFill>
            <a:ln>
              <a:solidFill>
                <a:schemeClr val="tx1"/>
              </a:solidFill>
            </a:ln>
            <a:effectLst/>
          </c:spPr>
          <c:invertIfNegative val="0"/>
          <c:dPt>
            <c:idx val="0"/>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5-9387-429E-88DD-291E3D78A13B}"/>
              </c:ext>
            </c:extLst>
          </c:dPt>
          <c:dPt>
            <c:idx val="1"/>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6-9387-429E-88DD-291E3D78A13B}"/>
              </c:ext>
            </c:extLst>
          </c:dPt>
          <c:dPt>
            <c:idx val="2"/>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7-9387-429E-88DD-291E3D78A13B}"/>
              </c:ext>
            </c:extLst>
          </c:dPt>
          <c:dPt>
            <c:idx val="3"/>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8-9387-429E-88DD-291E3D78A13B}"/>
              </c:ext>
            </c:extLst>
          </c:dPt>
          <c:dPt>
            <c:idx val="4"/>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9-9387-429E-88DD-291E3D78A13B}"/>
              </c:ext>
            </c:extLst>
          </c:dPt>
          <c:dPt>
            <c:idx val="5"/>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A-9387-429E-88DD-291E3D78A13B}"/>
              </c:ext>
            </c:extLst>
          </c:dPt>
          <c:dPt>
            <c:idx val="6"/>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B-9387-429E-88DD-291E3D78A13B}"/>
              </c:ext>
            </c:extLst>
          </c:dPt>
          <c:dPt>
            <c:idx val="7"/>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C-9387-429E-88DD-291E3D78A13B}"/>
              </c:ext>
            </c:extLst>
          </c:dPt>
          <c:dPt>
            <c:idx val="8"/>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09-4ED5-44CE-8313-5A264BDC2DE1}"/>
              </c:ext>
            </c:extLst>
          </c:dPt>
          <c:dPt>
            <c:idx val="9"/>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0B-4ED5-44CE-8313-5A264BDC2DE1}"/>
              </c:ext>
            </c:extLst>
          </c:dPt>
          <c:dPt>
            <c:idx val="10"/>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0D-4ED5-44CE-8313-5A264BDC2DE1}"/>
              </c:ext>
            </c:extLst>
          </c:dPt>
          <c:dPt>
            <c:idx val="11"/>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D-9387-429E-88DD-291E3D78A13B}"/>
              </c:ext>
            </c:extLst>
          </c:dPt>
          <c:dPt>
            <c:idx val="12"/>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E-9387-429E-88DD-291E3D78A13B}"/>
              </c:ext>
            </c:extLst>
          </c:dPt>
          <c:dPt>
            <c:idx val="13"/>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F-9387-429E-88DD-291E3D78A13B}"/>
              </c:ext>
            </c:extLst>
          </c:dPt>
          <c:dPt>
            <c:idx val="14"/>
            <c:invertIfNegative val="0"/>
            <c:bubble3D val="0"/>
            <c:spPr>
              <a:solidFill>
                <a:schemeClr val="tx2"/>
              </a:solidFill>
              <a:ln>
                <a:solidFill>
                  <a:schemeClr val="tx1"/>
                </a:solidFill>
              </a:ln>
              <a:effectLst/>
            </c:spPr>
            <c:extLst>
              <c:ext xmlns:c16="http://schemas.microsoft.com/office/drawing/2014/chart" uri="{C3380CC4-5D6E-409C-BE32-E72D297353CC}">
                <c16:uniqueId val="{00000020-9387-429E-88DD-291E3D78A13B}"/>
              </c:ext>
            </c:extLst>
          </c:dPt>
          <c:dPt>
            <c:idx val="15"/>
            <c:invertIfNegative val="0"/>
            <c:bubble3D val="0"/>
            <c:spPr>
              <a:solidFill>
                <a:schemeClr val="accent1">
                  <a:lumMod val="50000"/>
                </a:schemeClr>
              </a:solidFill>
              <a:ln>
                <a:solidFill>
                  <a:schemeClr val="tx1"/>
                </a:solidFill>
              </a:ln>
              <a:effectLst/>
            </c:spPr>
            <c:extLst>
              <c:ext xmlns:c16="http://schemas.microsoft.com/office/drawing/2014/chart" uri="{C3380CC4-5D6E-409C-BE32-E72D297353CC}">
                <c16:uniqueId val="{00000021-9387-429E-88DD-291E3D78A13B}"/>
              </c:ext>
            </c:extLst>
          </c:dPt>
          <c:dPt>
            <c:idx val="16"/>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22-9387-429E-88DD-291E3D78A13B}"/>
              </c:ext>
            </c:extLst>
          </c:dPt>
          <c:cat>
            <c:multiLvlStrRef>
              <c:f>'Fig 18. Comparison WW2 (weap.)'!$B$16:$C$38</c:f>
              <c:multiLvlStrCache>
                <c:ptCount val="17"/>
                <c:lvl>
                  <c:pt idx="0">
                    <c:v>Tanks</c:v>
                  </c:pt>
                  <c:pt idx="1">
                    <c:v>Combat Aircraft</c:v>
                  </c:pt>
                  <c:pt idx="2">
                    <c:v>Artillery</c:v>
                  </c:pt>
                  <c:pt idx="3">
                    <c:v>Mortars</c:v>
                  </c:pt>
                  <c:pt idx="4">
                    <c:v>Combat Aircraft</c:v>
                  </c:pt>
                  <c:pt idx="5">
                    <c:v>Tanks</c:v>
                  </c:pt>
                  <c:pt idx="6">
                    <c:v>Mortars</c:v>
                  </c:pt>
                  <c:pt idx="7">
                    <c:v>Artillery</c:v>
                  </c:pt>
                  <c:pt idx="8">
                    <c:v>Artillery</c:v>
                  </c:pt>
                  <c:pt idx="9">
                    <c:v>Combat Aircraft</c:v>
                  </c:pt>
                  <c:pt idx="10">
                    <c:v>Tanks </c:v>
                  </c:pt>
                  <c:pt idx="11">
                    <c:v>Artillery</c:v>
                  </c:pt>
                  <c:pt idx="12">
                    <c:v>Combat Aircraft</c:v>
                  </c:pt>
                  <c:pt idx="13">
                    <c:v>Tanks </c:v>
                  </c:pt>
                  <c:pt idx="14">
                    <c:v>Tanks </c:v>
                  </c:pt>
                  <c:pt idx="15">
                    <c:v>Howitzer(155mm)</c:v>
                  </c:pt>
                  <c:pt idx="16">
                    <c:v>MLRS</c:v>
                  </c:pt>
                </c:lvl>
                <c:lvl>
                  <c:pt idx="0">
                    <c:v>US to Great Britain
(1941-45)</c:v>
                  </c:pt>
                  <c:pt idx="4">
                    <c:v>US to USSR
 (1941-45)</c:v>
                  </c:pt>
                  <c:pt idx="8">
                    <c:v>Spain (1936-39) Nationalists</c:v>
                  </c:pt>
                  <c:pt idx="11">
                    <c:v>Spain (1936-39) Republicans</c:v>
                  </c:pt>
                  <c:pt idx="14">
                    <c:v>Total supply to Ukraine</c:v>
                  </c:pt>
                </c:lvl>
              </c:multiLvlStrCache>
            </c:multiLvlStrRef>
          </c:cat>
          <c:val>
            <c:numRef>
              <c:f>'Fig 18. Comparison WW2 (weap.)'!$D$16:$D$32</c:f>
              <c:numCache>
                <c:formatCode>General</c:formatCode>
                <c:ptCount val="17"/>
                <c:pt idx="0">
                  <c:v>27751</c:v>
                </c:pt>
                <c:pt idx="1">
                  <c:v>16076</c:v>
                </c:pt>
                <c:pt idx="2">
                  <c:v>4356</c:v>
                </c:pt>
                <c:pt idx="3">
                  <c:v>1162</c:v>
                </c:pt>
                <c:pt idx="4">
                  <c:v>10627</c:v>
                </c:pt>
                <c:pt idx="5">
                  <c:v>7172</c:v>
                </c:pt>
                <c:pt idx="6">
                  <c:v>2540</c:v>
                </c:pt>
                <c:pt idx="7">
                  <c:v>961</c:v>
                </c:pt>
                <c:pt idx="8">
                  <c:v>2639</c:v>
                </c:pt>
                <c:pt idx="9">
                  <c:v>1376</c:v>
                </c:pt>
                <c:pt idx="10">
                  <c:v>234</c:v>
                </c:pt>
                <c:pt idx="11">
                  <c:v>1886</c:v>
                </c:pt>
                <c:pt idx="12">
                  <c:v>648</c:v>
                </c:pt>
                <c:pt idx="13">
                  <c:v>347</c:v>
                </c:pt>
                <c:pt idx="14" formatCode="0">
                  <c:v>471</c:v>
                </c:pt>
                <c:pt idx="15" formatCode="0">
                  <c:v>379</c:v>
                </c:pt>
                <c:pt idx="16" formatCode="0">
                  <c:v>66</c:v>
                </c:pt>
              </c:numCache>
            </c:numRef>
          </c:val>
          <c:extLst>
            <c:ext xmlns:c16="http://schemas.microsoft.com/office/drawing/2014/chart" uri="{C3380CC4-5D6E-409C-BE32-E72D297353CC}">
              <c16:uniqueId val="{00000016-4ED5-44CE-8313-5A264BDC2DE1}"/>
            </c:ext>
          </c:extLst>
        </c:ser>
        <c:ser>
          <c:idx val="1"/>
          <c:order val="1"/>
          <c:tx>
            <c:strRef>
              <c:f>'Fig 18. Comparison WW2 (weap.)'!$E$11</c:f>
              <c:strCache>
                <c:ptCount val="1"/>
                <c:pt idx="0">
                  <c:v>To be delivered</c:v>
                </c:pt>
              </c:strCache>
            </c:strRef>
          </c:tx>
          <c:spPr>
            <a:solidFill>
              <a:srgbClr val="2E75B6"/>
            </a:solidFill>
            <a:ln>
              <a:solidFill>
                <a:schemeClr val="tx1"/>
              </a:solidFill>
            </a:ln>
            <a:effectLst/>
          </c:spPr>
          <c:invertIfNegative val="0"/>
          <c:dPt>
            <c:idx val="8"/>
            <c:invertIfNegative val="0"/>
            <c:bubble3D val="0"/>
            <c:spPr>
              <a:solidFill>
                <a:srgbClr val="2E75B6"/>
              </a:solidFill>
              <a:ln>
                <a:solidFill>
                  <a:schemeClr val="tx1"/>
                </a:solidFill>
              </a:ln>
              <a:effectLst/>
            </c:spPr>
            <c:extLst>
              <c:ext xmlns:c16="http://schemas.microsoft.com/office/drawing/2014/chart" uri="{C3380CC4-5D6E-409C-BE32-E72D297353CC}">
                <c16:uniqueId val="{00000002-4ED5-44CE-8313-5A264BDC2DE1}"/>
              </c:ext>
            </c:extLst>
          </c:dPt>
          <c:dPt>
            <c:idx val="9"/>
            <c:invertIfNegative val="0"/>
            <c:bubble3D val="0"/>
            <c:spPr>
              <a:solidFill>
                <a:srgbClr val="2E75B6"/>
              </a:solidFill>
              <a:ln>
                <a:solidFill>
                  <a:schemeClr val="tx1"/>
                </a:solidFill>
              </a:ln>
              <a:effectLst/>
            </c:spPr>
            <c:extLst>
              <c:ext xmlns:c16="http://schemas.microsoft.com/office/drawing/2014/chart" uri="{C3380CC4-5D6E-409C-BE32-E72D297353CC}">
                <c16:uniqueId val="{00000004-4ED5-44CE-8313-5A264BDC2DE1}"/>
              </c:ext>
            </c:extLst>
          </c:dPt>
          <c:dPt>
            <c:idx val="10"/>
            <c:invertIfNegative val="0"/>
            <c:bubble3D val="0"/>
            <c:spPr>
              <a:solidFill>
                <a:srgbClr val="2E75B6"/>
              </a:solidFill>
              <a:ln>
                <a:solidFill>
                  <a:schemeClr val="tx1"/>
                </a:solidFill>
              </a:ln>
              <a:effectLst/>
            </c:spPr>
            <c:extLst>
              <c:ext xmlns:c16="http://schemas.microsoft.com/office/drawing/2014/chart" uri="{C3380CC4-5D6E-409C-BE32-E72D297353CC}">
                <c16:uniqueId val="{00000006-4ED5-44CE-8313-5A264BDC2DE1}"/>
              </c:ext>
            </c:extLst>
          </c:dPt>
          <c:cat>
            <c:multiLvlStrRef>
              <c:f>'Fig 18. Comparison WW2 (weap.)'!$B$12:$C$38</c:f>
              <c:multiLvlStrCache>
                <c:ptCount val="21"/>
                <c:lvl>
                  <c:pt idx="0">
                    <c:v>Tanks</c:v>
                  </c:pt>
                  <c:pt idx="1">
                    <c:v>Combat Aircraft</c:v>
                  </c:pt>
                  <c:pt idx="2">
                    <c:v>Mortars</c:v>
                  </c:pt>
                  <c:pt idx="3">
                    <c:v>Artillery</c:v>
                  </c:pt>
                  <c:pt idx="4">
                    <c:v>Tanks</c:v>
                  </c:pt>
                  <c:pt idx="5">
                    <c:v>Combat Aircraft</c:v>
                  </c:pt>
                  <c:pt idx="6">
                    <c:v>Artillery</c:v>
                  </c:pt>
                  <c:pt idx="7">
                    <c:v>Mortars</c:v>
                  </c:pt>
                  <c:pt idx="8">
                    <c:v>Combat Aircraft</c:v>
                  </c:pt>
                  <c:pt idx="9">
                    <c:v>Tanks</c:v>
                  </c:pt>
                  <c:pt idx="10">
                    <c:v>Mortars</c:v>
                  </c:pt>
                  <c:pt idx="11">
                    <c:v>Artillery</c:v>
                  </c:pt>
                  <c:pt idx="12">
                    <c:v>Artillery</c:v>
                  </c:pt>
                  <c:pt idx="13">
                    <c:v>Combat Aircraft</c:v>
                  </c:pt>
                  <c:pt idx="14">
                    <c:v>Tanks </c:v>
                  </c:pt>
                  <c:pt idx="15">
                    <c:v>Artillery</c:v>
                  </c:pt>
                  <c:pt idx="16">
                    <c:v>Combat Aircraft</c:v>
                  </c:pt>
                  <c:pt idx="17">
                    <c:v>Tanks </c:v>
                  </c:pt>
                  <c:pt idx="18">
                    <c:v>Tanks </c:v>
                  </c:pt>
                  <c:pt idx="19">
                    <c:v>Howitzer(155mm)</c:v>
                  </c:pt>
                  <c:pt idx="20">
                    <c:v>MLRS</c:v>
                  </c:pt>
                </c:lvl>
                <c:lvl>
                  <c:pt idx="0">
                    <c:v>WW2 lend-lease US total donations</c:v>
                  </c:pt>
                  <c:pt idx="4">
                    <c:v>US to Great Britain
(1941-45)</c:v>
                  </c:pt>
                  <c:pt idx="8">
                    <c:v>US to USSR
 (1941-45)</c:v>
                  </c:pt>
                  <c:pt idx="12">
                    <c:v>Spain (1936-39) Nationalists</c:v>
                  </c:pt>
                  <c:pt idx="15">
                    <c:v>Spain (1936-39) Republicans</c:v>
                  </c:pt>
                  <c:pt idx="18">
                    <c:v>Total supply to Ukraine</c:v>
                  </c:pt>
                </c:lvl>
              </c:multiLvlStrCache>
            </c:multiLvlStrRef>
          </c:cat>
          <c:val>
            <c:numRef>
              <c:f>'Fig 18. Comparison WW2 (weap.)'!$E$16:$E$32</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formatCode="0">
                  <c:v>286.33333333333326</c:v>
                </c:pt>
                <c:pt idx="15" formatCode="0">
                  <c:v>177</c:v>
                </c:pt>
                <c:pt idx="16" formatCode="0">
                  <c:v>23</c:v>
                </c:pt>
              </c:numCache>
            </c:numRef>
          </c:val>
          <c:extLst>
            <c:ext xmlns:c16="http://schemas.microsoft.com/office/drawing/2014/chart" uri="{C3380CC4-5D6E-409C-BE32-E72D297353CC}">
              <c16:uniqueId val="{00000007-4ED5-44CE-8313-5A264BDC2DE1}"/>
            </c:ext>
          </c:extLst>
        </c:ser>
        <c:dLbls>
          <c:showLegendKey val="0"/>
          <c:showVal val="0"/>
          <c:showCatName val="0"/>
          <c:showSerName val="0"/>
          <c:showPercent val="0"/>
          <c:showBubbleSize val="0"/>
        </c:dLbls>
        <c:gapWidth val="150"/>
        <c:overlap val="100"/>
        <c:axId val="1645473968"/>
        <c:axId val="1645476880"/>
        <c:extLst/>
      </c:barChart>
      <c:catAx>
        <c:axId val="1645473968"/>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645476880"/>
        <c:crosses val="autoZero"/>
        <c:auto val="0"/>
        <c:lblAlgn val="ctr"/>
        <c:lblOffset val="100"/>
        <c:noMultiLvlLbl val="0"/>
      </c:catAx>
      <c:valAx>
        <c:axId val="16454768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645473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5994095346313842"/>
          <c:y val="4.4646544178817339E-2"/>
          <c:w val="0.61957788913955025"/>
          <c:h val="0.85483299683486758"/>
        </c:manualLayout>
      </c:layout>
      <c:barChart>
        <c:barDir val="bar"/>
        <c:grouping val="stacked"/>
        <c:varyColors val="0"/>
        <c:ser>
          <c:idx val="1"/>
          <c:order val="0"/>
          <c:tx>
            <c:strRef>
              <c:f>'Fig 19. Comparison WW2 % GDP'!$H$11</c:f>
              <c:strCache>
                <c:ptCount val="1"/>
                <c:pt idx="0">
                  <c:v>Military aid (billion Euros)</c:v>
                </c:pt>
              </c:strCache>
            </c:strRef>
          </c:tx>
          <c:spPr>
            <a:pattFill prst="pct70">
              <a:fgClr>
                <a:srgbClr val="5C8A6A"/>
              </a:fgClr>
              <a:bgClr>
                <a:schemeClr val="bg1"/>
              </a:bgClr>
            </a:pattFill>
            <a:ln>
              <a:solidFill>
                <a:sysClr val="windowText" lastClr="000000"/>
              </a:solidFill>
            </a:ln>
            <a:effectLst/>
          </c:spPr>
          <c:invertIfNegative val="0"/>
          <c:dPt>
            <c:idx val="1"/>
            <c:invertIfNegative val="0"/>
            <c:bubble3D val="0"/>
            <c:spPr>
              <a:solidFill>
                <a:schemeClr val="accent1">
                  <a:lumMod val="75000"/>
                </a:schemeClr>
              </a:solidFill>
              <a:ln>
                <a:solidFill>
                  <a:sysClr val="windowText" lastClr="000000"/>
                </a:solidFill>
              </a:ln>
              <a:effectLst/>
            </c:spPr>
            <c:extLst>
              <c:ext xmlns:c16="http://schemas.microsoft.com/office/drawing/2014/chart" uri="{C3380CC4-5D6E-409C-BE32-E72D297353CC}">
                <c16:uniqueId val="{00000001-CA05-4162-89F7-33EFF3B98142}"/>
              </c:ext>
            </c:extLst>
          </c:dPt>
          <c:dPt>
            <c:idx val="4"/>
            <c:invertIfNegative val="0"/>
            <c:bubble3D val="0"/>
            <c:spPr>
              <a:solidFill>
                <a:schemeClr val="accent1">
                  <a:lumMod val="75000"/>
                </a:schemeClr>
              </a:solidFill>
              <a:ln>
                <a:solidFill>
                  <a:sysClr val="windowText" lastClr="000000"/>
                </a:solidFill>
              </a:ln>
              <a:effectLst/>
            </c:spPr>
            <c:extLst>
              <c:ext xmlns:c16="http://schemas.microsoft.com/office/drawing/2014/chart" uri="{C3380CC4-5D6E-409C-BE32-E72D297353CC}">
                <c16:uniqueId val="{00000003-CA05-4162-89F7-33EFF3B98142}"/>
              </c:ext>
            </c:extLst>
          </c:dPt>
          <c:cat>
            <c:strRef>
              <c:f>'Fig 19. Comparison WW2 % GDP'!$F$12:$F$17</c:f>
              <c:strCache>
                <c:ptCount val="6"/>
                <c:pt idx="0">
                  <c:v>US support to UK (1941-45)</c:v>
                </c:pt>
                <c:pt idx="1">
                  <c:v>US military aid to Ukraine</c:v>
                </c:pt>
                <c:pt idx="2">
                  <c:v>US support to USSR (1941-45)</c:v>
                </c:pt>
                <c:pt idx="3">
                  <c:v>US support to France (1941-45)</c:v>
                </c:pt>
                <c:pt idx="4">
                  <c:v>British military aid to Ukraine</c:v>
                </c:pt>
                <c:pt idx="5">
                  <c:v>British support to USSR (1941-45)</c:v>
                </c:pt>
              </c:strCache>
            </c:strRef>
          </c:cat>
          <c:val>
            <c:numRef>
              <c:f>'Fig 19. Comparison WW2 % GDP'!$H$12:$H$17</c:f>
              <c:numCache>
                <c:formatCode>0.00</c:formatCode>
                <c:ptCount val="6"/>
                <c:pt idx="0">
                  <c:v>67.949377875955378</c:v>
                </c:pt>
                <c:pt idx="1">
                  <c:v>42.836768494663232</c:v>
                </c:pt>
                <c:pt idx="2">
                  <c:v>30.183449087018438</c:v>
                </c:pt>
                <c:pt idx="3">
                  <c:v>9.0948805967706825</c:v>
                </c:pt>
                <c:pt idx="4">
                  <c:v>6.5786757252947297</c:v>
                </c:pt>
                <c:pt idx="5">
                  <c:v>3.5112375205970729</c:v>
                </c:pt>
              </c:numCache>
            </c:numRef>
          </c:val>
          <c:extLst>
            <c:ext xmlns:c16="http://schemas.microsoft.com/office/drawing/2014/chart" uri="{C3380CC4-5D6E-409C-BE32-E72D297353CC}">
              <c16:uniqueId val="{00000004-CA05-4162-89F7-33EFF3B98142}"/>
            </c:ext>
          </c:extLst>
        </c:ser>
        <c:dLbls>
          <c:showLegendKey val="0"/>
          <c:showVal val="0"/>
          <c:showCatName val="0"/>
          <c:showSerName val="0"/>
          <c:showPercent val="0"/>
          <c:showBubbleSize val="0"/>
        </c:dLbls>
        <c:gapWidth val="100"/>
        <c:overlap val="100"/>
        <c:axId val="295516991"/>
        <c:axId val="295508671"/>
        <c:extLst/>
      </c:barChart>
      <c:catAx>
        <c:axId val="2955169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08671"/>
        <c:crosses val="autoZero"/>
        <c:auto val="1"/>
        <c:lblAlgn val="ctr"/>
        <c:lblOffset val="100"/>
        <c:noMultiLvlLbl val="0"/>
      </c:catAx>
      <c:valAx>
        <c:axId val="295508671"/>
        <c:scaling>
          <c:orientation val="minMax"/>
          <c:max val="8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1800" b="0" i="0" u="none" strike="noStrike" baseline="0">
                    <a:effectLst/>
                  </a:rPr>
                  <a:t>yearly average support</a:t>
                </a:r>
                <a:br>
                  <a:rPr lang="en-GB" sz="1800" b="0" i="0" u="none" strike="noStrike" baseline="0">
                    <a:effectLst/>
                  </a:rPr>
                </a:br>
                <a:r>
                  <a:rPr lang="en-GB" sz="1800" b="0" i="0" u="none" strike="noStrike" baseline="0">
                    <a:effectLst/>
                  </a:rPr>
                  <a:t> in </a:t>
                </a:r>
                <a:r>
                  <a:rPr lang="en-GB" sz="1800"/>
                  <a:t>billion 2022 Euros</a:t>
                </a:r>
                <a:r>
                  <a:rPr lang="en-GB" sz="1800" baseline="0"/>
                  <a:t> (inflation adjusted)</a:t>
                </a:r>
                <a:endParaRPr lang="en-GB" sz="1800"/>
              </a:p>
            </c:rich>
          </c:tx>
          <c:layout>
            <c:manualLayout>
              <c:xMode val="edge"/>
              <c:yMode val="edge"/>
              <c:x val="0.54330256846667346"/>
              <c:y val="0.73504267676767676"/>
            </c:manualLayout>
          </c:layout>
          <c:overlay val="0"/>
          <c:spPr>
            <a:solidFill>
              <a:sysClr val="window" lastClr="FFFFFF"/>
            </a:solidFill>
            <a:ln>
              <a:noFill/>
            </a:ln>
            <a:effectLst/>
          </c:spPr>
          <c:txPr>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169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4818613261302012"/>
          <c:y val="2.1195358947737331E-2"/>
          <c:w val="0.63827280924604779"/>
          <c:h val="0.86689409974316733"/>
        </c:manualLayout>
      </c:layout>
      <c:barChart>
        <c:barDir val="bar"/>
        <c:grouping val="stacked"/>
        <c:varyColors val="0"/>
        <c:ser>
          <c:idx val="2"/>
          <c:order val="0"/>
          <c:tx>
            <c:strRef>
              <c:f>'Fig 19. Comparison WW2 % GDP'!$D$11</c:f>
              <c:strCache>
                <c:ptCount val="1"/>
                <c:pt idx="0">
                  <c:v>Military aid (% of donor GDP)</c:v>
                </c:pt>
              </c:strCache>
            </c:strRef>
          </c:tx>
          <c:spPr>
            <a:pattFill prst="pct70">
              <a:fgClr>
                <a:srgbClr val="5C8A6A"/>
              </a:fgClr>
              <a:bgClr>
                <a:schemeClr val="bg1"/>
              </a:bgClr>
            </a:pattFill>
            <a:ln>
              <a:solidFill>
                <a:sysClr val="windowText" lastClr="000000"/>
              </a:solidFill>
            </a:ln>
            <a:effectLst/>
          </c:spPr>
          <c:invertIfNegative val="0"/>
          <c:dPt>
            <c:idx val="4"/>
            <c:invertIfNegative val="0"/>
            <c:bubble3D val="0"/>
            <c:spPr>
              <a:solidFill>
                <a:schemeClr val="accent1">
                  <a:lumMod val="75000"/>
                </a:schemeClr>
              </a:solidFill>
              <a:ln>
                <a:solidFill>
                  <a:sysClr val="windowText" lastClr="000000"/>
                </a:solidFill>
              </a:ln>
              <a:effectLst/>
            </c:spPr>
            <c:extLst>
              <c:ext xmlns:c16="http://schemas.microsoft.com/office/drawing/2014/chart" uri="{C3380CC4-5D6E-409C-BE32-E72D297353CC}">
                <c16:uniqueId val="{00000001-A574-437B-8E1E-ACE6A679A219}"/>
              </c:ext>
            </c:extLst>
          </c:dPt>
          <c:dPt>
            <c:idx val="5"/>
            <c:invertIfNegative val="0"/>
            <c:bubble3D val="0"/>
            <c:spPr>
              <a:solidFill>
                <a:schemeClr val="accent1">
                  <a:lumMod val="75000"/>
                </a:schemeClr>
              </a:solidFill>
              <a:ln>
                <a:solidFill>
                  <a:sysClr val="windowText" lastClr="000000"/>
                </a:solidFill>
              </a:ln>
              <a:effectLst/>
            </c:spPr>
            <c:extLst>
              <c:ext xmlns:c16="http://schemas.microsoft.com/office/drawing/2014/chart" uri="{C3380CC4-5D6E-409C-BE32-E72D297353CC}">
                <c16:uniqueId val="{00000003-A574-437B-8E1E-ACE6A679A219}"/>
              </c:ext>
            </c:extLst>
          </c:dPt>
          <c:cat>
            <c:strRef>
              <c:f>'Fig 19. Comparison WW2 % GDP'!$B$12:$B$17</c:f>
              <c:strCache>
                <c:ptCount val="6"/>
                <c:pt idx="0">
                  <c:v>US support to UK (1941-45)</c:v>
                </c:pt>
                <c:pt idx="1">
                  <c:v>US support to USSR (1941-45)</c:v>
                </c:pt>
                <c:pt idx="2">
                  <c:v>British support to USSR (1941-45)</c:v>
                </c:pt>
                <c:pt idx="3">
                  <c:v>US support to France (1941-45)</c:v>
                </c:pt>
                <c:pt idx="4">
                  <c:v>British military aid to Ukraine</c:v>
                </c:pt>
                <c:pt idx="5">
                  <c:v>US military aid to Ukraine</c:v>
                </c:pt>
              </c:strCache>
            </c:strRef>
          </c:cat>
          <c:val>
            <c:numRef>
              <c:f>'Fig 19. Comparison WW2 % GDP'!$D$12:$D$17</c:f>
              <c:numCache>
                <c:formatCode>0.00</c:formatCode>
                <c:ptCount val="6"/>
                <c:pt idx="0">
                  <c:v>3.1566041513497249</c:v>
                </c:pt>
                <c:pt idx="1">
                  <c:v>1.4021791467181386</c:v>
                </c:pt>
                <c:pt idx="2">
                  <c:v>0.82428412049088873</c:v>
                </c:pt>
                <c:pt idx="3">
                  <c:v>0.35508309874754701</c:v>
                </c:pt>
                <c:pt idx="4">
                  <c:v>0.21008885619560747</c:v>
                </c:pt>
                <c:pt idx="5">
                  <c:v>0.18372987553881837</c:v>
                </c:pt>
              </c:numCache>
            </c:numRef>
          </c:val>
          <c:extLst xmlns:c15="http://schemas.microsoft.com/office/drawing/2012/chart">
            <c:ext xmlns:c16="http://schemas.microsoft.com/office/drawing/2014/chart" uri="{C3380CC4-5D6E-409C-BE32-E72D297353CC}">
              <c16:uniqueId val="{00000004-A574-437B-8E1E-ACE6A679A219}"/>
            </c:ext>
          </c:extLst>
        </c:ser>
        <c:dLbls>
          <c:showLegendKey val="0"/>
          <c:showVal val="0"/>
          <c:showCatName val="0"/>
          <c:showSerName val="0"/>
          <c:showPercent val="0"/>
          <c:showBubbleSize val="0"/>
        </c:dLbls>
        <c:gapWidth val="100"/>
        <c:overlap val="100"/>
        <c:axId val="295516991"/>
        <c:axId val="295508671"/>
        <c:extLst/>
      </c:barChart>
      <c:catAx>
        <c:axId val="2955169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08671"/>
        <c:crosses val="autoZero"/>
        <c:auto val="1"/>
        <c:lblAlgn val="ctr"/>
        <c:lblOffset val="100"/>
        <c:noMultiLvlLbl val="0"/>
      </c:catAx>
      <c:valAx>
        <c:axId val="295508671"/>
        <c:scaling>
          <c:orientation val="minMax"/>
          <c:max val="3.5"/>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1800"/>
                  <a:t>yearly</a:t>
                </a:r>
                <a:r>
                  <a:rPr lang="en-GB" sz="1800" baseline="0"/>
                  <a:t> average support in % of donor GDP</a:t>
                </a:r>
                <a:endParaRPr lang="en-GB" sz="1800"/>
              </a:p>
            </c:rich>
          </c:tx>
          <c:layout>
            <c:manualLayout>
              <c:xMode val="edge"/>
              <c:yMode val="edge"/>
              <c:x val="0.54795565325254547"/>
              <c:y val="0.77694605691668628"/>
            </c:manualLayout>
          </c:layout>
          <c:overlay val="0"/>
          <c:spPr>
            <a:solidFill>
              <a:sysClr val="window" lastClr="FFFFFF"/>
            </a:solidFill>
            <a:ln>
              <a:noFill/>
            </a:ln>
            <a:effectLst/>
          </c:spPr>
          <c:txPr>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16991"/>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653400708648207"/>
          <c:y val="0"/>
          <c:w val="0.66569339497161062"/>
          <c:h val="0.91344901164828285"/>
        </c:manualLayout>
      </c:layout>
      <c:barChart>
        <c:barDir val="bar"/>
        <c:grouping val="stacked"/>
        <c:varyColors val="0"/>
        <c:ser>
          <c:idx val="0"/>
          <c:order val="0"/>
          <c:tx>
            <c:strRef>
              <c:f>'Fig 3. Country Groups'!$C$11</c:f>
              <c:strCache>
                <c:ptCount val="1"/>
                <c:pt idx="0">
                  <c:v>Total aid (billion Euros)</c:v>
                </c:pt>
              </c:strCache>
            </c:strRef>
          </c:tx>
          <c:spPr>
            <a:solidFill>
              <a:schemeClr val="accent1">
                <a:lumMod val="75000"/>
              </a:schemeClr>
            </a:solidFill>
            <a:ln>
              <a:solidFill>
                <a:srgbClr val="000000"/>
              </a:solidFill>
              <a:prstDash val="solid"/>
            </a:ln>
            <a:effectLst/>
          </c:spPr>
          <c:invertIfNegative val="0"/>
          <c:cat>
            <c:strRef>
              <c:f>'Fig 3. Country Groups'!$B$12:$B$14</c:f>
              <c:strCache>
                <c:ptCount val="3"/>
                <c:pt idx="0">
                  <c:v>United States</c:v>
                </c:pt>
                <c:pt idx="1">
                  <c:v>EU members and institutions</c:v>
                </c:pt>
                <c:pt idx="2">
                  <c:v>other donor countries</c:v>
                </c:pt>
              </c:strCache>
            </c:strRef>
          </c:cat>
          <c:val>
            <c:numRef>
              <c:f>'Fig 3. Country Groups'!$C$12:$C$14</c:f>
              <c:numCache>
                <c:formatCode>0.00</c:formatCode>
                <c:ptCount val="3"/>
                <c:pt idx="0">
                  <c:v>70.698858108207588</c:v>
                </c:pt>
                <c:pt idx="1">
                  <c:v>68.394980163837076</c:v>
                </c:pt>
                <c:pt idx="2">
                  <c:v>26.32410923076753</c:v>
                </c:pt>
              </c:numCache>
            </c:numRef>
          </c:val>
          <c:extLst xmlns:c15="http://schemas.microsoft.com/office/drawing/2012/chart">
            <c:ext xmlns:c16="http://schemas.microsoft.com/office/drawing/2014/chart" uri="{C3380CC4-5D6E-409C-BE32-E72D297353CC}">
              <c16:uniqueId val="{00000006-E4D0-42F5-9EFF-85D449D03968}"/>
            </c:ext>
          </c:extLst>
        </c:ser>
        <c:dLbls>
          <c:showLegendKey val="0"/>
          <c:showVal val="0"/>
          <c:showCatName val="0"/>
          <c:showSerName val="0"/>
          <c:showPercent val="0"/>
          <c:showBubbleSize val="0"/>
        </c:dLbls>
        <c:gapWidth val="10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80"/>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10"/>
      </c:valAx>
      <c:spPr>
        <a:noFill/>
        <a:ln>
          <a:noFill/>
        </a:ln>
        <a:effectLst/>
      </c:spPr>
    </c:plotArea>
    <c:legend>
      <c:legendPos val="r"/>
      <c:layout>
        <c:manualLayout>
          <c:xMode val="edge"/>
          <c:yMode val="edge"/>
          <c:x val="0.54091151194425824"/>
          <c:y val="0.62330682813764959"/>
          <c:w val="0.30269535594042174"/>
          <c:h val="9.6294775467412205E-2"/>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9074542178404542"/>
          <c:y val="4.4646544178817339E-2"/>
          <c:w val="0.58702286423833328"/>
          <c:h val="0.85483299683486758"/>
        </c:manualLayout>
      </c:layout>
      <c:barChart>
        <c:barDir val="bar"/>
        <c:grouping val="stacked"/>
        <c:varyColors val="0"/>
        <c:ser>
          <c:idx val="2"/>
          <c:order val="0"/>
          <c:tx>
            <c:strRef>
              <c:f>'Fig 20. Comp. with US wars'!$I$11</c:f>
              <c:strCache>
                <c:ptCount val="1"/>
                <c:pt idx="0">
                  <c:v>Military aid (billion Euros)</c:v>
                </c:pt>
              </c:strCache>
            </c:strRef>
          </c:tx>
          <c:spPr>
            <a:pattFill prst="pct70">
              <a:fgClr>
                <a:srgbClr val="5C8A6A"/>
              </a:fgClr>
              <a:bgClr>
                <a:schemeClr val="bg1"/>
              </a:bgClr>
            </a:pattFill>
            <a:ln>
              <a:solidFill>
                <a:sysClr val="windowText" lastClr="000000"/>
              </a:solidFill>
            </a:ln>
            <a:effectLst/>
          </c:spPr>
          <c:invertIfNegative val="0"/>
          <c:dPt>
            <c:idx val="3"/>
            <c:invertIfNegative val="0"/>
            <c:bubble3D val="0"/>
            <c:spPr>
              <a:solidFill>
                <a:schemeClr val="accent1">
                  <a:lumMod val="75000"/>
                </a:schemeClr>
              </a:solidFill>
              <a:ln>
                <a:solidFill>
                  <a:sysClr val="windowText" lastClr="000000"/>
                </a:solidFill>
              </a:ln>
              <a:effectLst/>
            </c:spPr>
            <c:extLst>
              <c:ext xmlns:c16="http://schemas.microsoft.com/office/drawing/2014/chart" uri="{C3380CC4-5D6E-409C-BE32-E72D297353CC}">
                <c16:uniqueId val="{00000002-0B31-4E88-ABBD-F008CDEF4909}"/>
              </c:ext>
            </c:extLst>
          </c:dPt>
          <c:dPt>
            <c:idx val="4"/>
            <c:invertIfNegative val="0"/>
            <c:bubble3D val="0"/>
            <c:spPr>
              <a:pattFill prst="pct70">
                <a:fgClr>
                  <a:srgbClr val="5C8A6A"/>
                </a:fgClr>
                <a:bgClr>
                  <a:schemeClr val="bg1"/>
                </a:bgClr>
              </a:pattFill>
              <a:ln>
                <a:solidFill>
                  <a:sysClr val="windowText" lastClr="000000"/>
                </a:solidFill>
              </a:ln>
              <a:effectLst/>
            </c:spPr>
            <c:extLst>
              <c:ext xmlns:c16="http://schemas.microsoft.com/office/drawing/2014/chart" uri="{C3380CC4-5D6E-409C-BE32-E72D297353CC}">
                <c16:uniqueId val="{00000001-E588-4023-A4D9-F37D40B50CD9}"/>
              </c:ext>
            </c:extLst>
          </c:dPt>
          <c:cat>
            <c:strRef>
              <c:f>'Fig 20. Comp. with US wars'!$G$12:$G$16</c:f>
              <c:strCache>
                <c:ptCount val="5"/>
                <c:pt idx="0">
                  <c:v>US in Korea (average mil. exp. 1950-53)</c:v>
                </c:pt>
                <c:pt idx="1">
                  <c:v>US in Iraq (average mil. exp. 2003-2010)</c:v>
                </c:pt>
                <c:pt idx="2">
                  <c:v>US in Vietnam (average mil. exp. 1965-75)</c:v>
                </c:pt>
                <c:pt idx="3">
                  <c:v>US to Ukraine (total military aid)</c:v>
                </c:pt>
                <c:pt idx="4">
                  <c:v>US in Afghanistan (average mil. exp. 2001-10)</c:v>
                </c:pt>
              </c:strCache>
            </c:strRef>
          </c:cat>
          <c:val>
            <c:numRef>
              <c:f>'Fig 20. Comp. with US wars'!$I$12:$I$16</c:f>
              <c:numCache>
                <c:formatCode>0.00</c:formatCode>
                <c:ptCount val="5"/>
                <c:pt idx="0">
                  <c:v>127.19151878898714</c:v>
                </c:pt>
                <c:pt idx="1">
                  <c:v>115.1048723101934</c:v>
                </c:pt>
                <c:pt idx="2">
                  <c:v>83.615206419623306</c:v>
                </c:pt>
                <c:pt idx="3">
                  <c:v>42.836768494663232</c:v>
                </c:pt>
                <c:pt idx="4">
                  <c:v>39.96083764546308</c:v>
                </c:pt>
              </c:numCache>
            </c:numRef>
          </c:val>
          <c:extLst>
            <c:ext xmlns:c16="http://schemas.microsoft.com/office/drawing/2014/chart" uri="{C3380CC4-5D6E-409C-BE32-E72D297353CC}">
              <c16:uniqueId val="{0000000A-DF0F-496B-B56E-6E04411630D0}"/>
            </c:ext>
          </c:extLst>
        </c:ser>
        <c:dLbls>
          <c:showLegendKey val="0"/>
          <c:showVal val="0"/>
          <c:showCatName val="0"/>
          <c:showSerName val="0"/>
          <c:showPercent val="0"/>
          <c:showBubbleSize val="0"/>
        </c:dLbls>
        <c:gapWidth val="120"/>
        <c:overlap val="100"/>
        <c:axId val="295516991"/>
        <c:axId val="295508671"/>
        <c:extLst/>
      </c:barChart>
      <c:catAx>
        <c:axId val="2955169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08671"/>
        <c:crosses val="autoZero"/>
        <c:auto val="1"/>
        <c:lblAlgn val="ctr"/>
        <c:lblOffset val="100"/>
        <c:noMultiLvlLbl val="0"/>
      </c:catAx>
      <c:valAx>
        <c:axId val="29550867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1800" b="0" i="0" baseline="0">
                    <a:effectLst/>
                  </a:rPr>
                  <a:t>yearly average costs</a:t>
                </a:r>
                <a:br>
                  <a:rPr lang="en-GB" sz="1800" b="0" i="0" baseline="0">
                    <a:effectLst/>
                  </a:rPr>
                </a:br>
                <a:r>
                  <a:rPr lang="en-GB" sz="1800" b="0" i="0" baseline="0">
                    <a:effectLst/>
                  </a:rPr>
                  <a:t> in billion 2022 Euros (inflation adjusted)</a:t>
                </a:r>
                <a:endParaRPr lang="de-DE">
                  <a:effectLst/>
                </a:endParaRPr>
              </a:p>
            </c:rich>
          </c:tx>
          <c:layout>
            <c:manualLayout>
              <c:xMode val="edge"/>
              <c:yMode val="edge"/>
              <c:x val="0.59078572284385433"/>
              <c:y val="0.70496138888888893"/>
            </c:manualLayout>
          </c:layout>
          <c:overlay val="0"/>
          <c:spPr>
            <a:solidFill>
              <a:sysClr val="window" lastClr="FFFFFF"/>
            </a:solidFill>
            <a:ln>
              <a:noFill/>
            </a:ln>
            <a:effectLst/>
          </c:spPr>
          <c:txPr>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169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44846367103185614"/>
          <c:y val="4.4646544178817339E-2"/>
          <c:w val="0.52885576792785616"/>
          <c:h val="0.85483299683486758"/>
        </c:manualLayout>
      </c:layout>
      <c:barChart>
        <c:barDir val="bar"/>
        <c:grouping val="stacked"/>
        <c:varyColors val="0"/>
        <c:ser>
          <c:idx val="2"/>
          <c:order val="0"/>
          <c:tx>
            <c:strRef>
              <c:f>'Fig 20. Comp. with US wars'!$D$11</c:f>
              <c:strCache>
                <c:ptCount val="1"/>
                <c:pt idx="0">
                  <c:v>Military aid (% of donor GDP)</c:v>
                </c:pt>
              </c:strCache>
            </c:strRef>
          </c:tx>
          <c:spPr>
            <a:pattFill prst="pct70">
              <a:fgClr>
                <a:srgbClr val="5C8A6A"/>
              </a:fgClr>
              <a:bgClr>
                <a:schemeClr val="bg1"/>
              </a:bgClr>
            </a:pattFill>
            <a:ln>
              <a:solidFill>
                <a:schemeClr val="tx1"/>
              </a:solidFill>
            </a:ln>
            <a:effectLst/>
          </c:spPr>
          <c:invertIfNegative val="0"/>
          <c:dPt>
            <c:idx val="3"/>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0D-97E8-47C9-BAD3-F52AC5D59602}"/>
              </c:ext>
            </c:extLst>
          </c:dPt>
          <c:dPt>
            <c:idx val="4"/>
            <c:invertIfNegative val="0"/>
            <c:bubble3D val="0"/>
            <c:spPr>
              <a:solidFill>
                <a:schemeClr val="accent1">
                  <a:lumMod val="75000"/>
                </a:schemeClr>
              </a:solidFill>
              <a:ln>
                <a:solidFill>
                  <a:schemeClr val="tx1"/>
                </a:solidFill>
              </a:ln>
              <a:effectLst/>
            </c:spPr>
            <c:extLst>
              <c:ext xmlns:c16="http://schemas.microsoft.com/office/drawing/2014/chart" uri="{C3380CC4-5D6E-409C-BE32-E72D297353CC}">
                <c16:uniqueId val="{0000000D-EE61-4F2D-8C33-C53D8049E816}"/>
              </c:ext>
            </c:extLst>
          </c:dPt>
          <c:cat>
            <c:strRef>
              <c:f>'Fig 20. Comp. with US wars'!$B$12:$B$16</c:f>
              <c:strCache>
                <c:ptCount val="5"/>
                <c:pt idx="0">
                  <c:v>US in Korea (average mil. exp. 1950-53)</c:v>
                </c:pt>
                <c:pt idx="1">
                  <c:v>US in Vietnam (average mil. exp. 1965-75)</c:v>
                </c:pt>
                <c:pt idx="2">
                  <c:v>US in Iraq (average mil. exp. 2003-2010)</c:v>
                </c:pt>
                <c:pt idx="3">
                  <c:v>US in Afghanistan (average mil. exp. 2001-10)</c:v>
                </c:pt>
                <c:pt idx="4">
                  <c:v>US to Ukraine (total military aid)</c:v>
                </c:pt>
              </c:strCache>
            </c:strRef>
          </c:cat>
          <c:val>
            <c:numRef>
              <c:f>'Fig 20. Comp. with US wars'!$D$12:$D$16</c:f>
              <c:numCache>
                <c:formatCode>0.00</c:formatCode>
                <c:ptCount val="5"/>
                <c:pt idx="0">
                  <c:v>2.7702269854736219</c:v>
                </c:pt>
                <c:pt idx="1">
                  <c:v>0.95649177707132027</c:v>
                </c:pt>
                <c:pt idx="2">
                  <c:v>0.66802009510332705</c:v>
                </c:pt>
                <c:pt idx="3">
                  <c:v>0.24557769851390659</c:v>
                </c:pt>
                <c:pt idx="4">
                  <c:v>0.18372987553881837</c:v>
                </c:pt>
              </c:numCache>
            </c:numRef>
          </c:val>
          <c:extLst>
            <c:ext xmlns:c16="http://schemas.microsoft.com/office/drawing/2014/chart" uri="{C3380CC4-5D6E-409C-BE32-E72D297353CC}">
              <c16:uniqueId val="{0000000C-97E8-47C9-BAD3-F52AC5D59602}"/>
            </c:ext>
          </c:extLst>
        </c:ser>
        <c:dLbls>
          <c:showLegendKey val="0"/>
          <c:showVal val="0"/>
          <c:showCatName val="0"/>
          <c:showSerName val="0"/>
          <c:showPercent val="0"/>
          <c:showBubbleSize val="0"/>
        </c:dLbls>
        <c:gapWidth val="120"/>
        <c:overlap val="100"/>
        <c:axId val="295516991"/>
        <c:axId val="295508671"/>
        <c:extLst/>
      </c:barChart>
      <c:catAx>
        <c:axId val="2955169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08671"/>
        <c:crosses val="autoZero"/>
        <c:auto val="1"/>
        <c:lblAlgn val="ctr"/>
        <c:lblOffset val="100"/>
        <c:noMultiLvlLbl val="0"/>
      </c:catAx>
      <c:valAx>
        <c:axId val="29550867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GB" sz="1800" b="0" i="0" u="none" strike="noStrike" kern="1200" baseline="0">
                    <a:solidFill>
                      <a:sysClr val="windowText" lastClr="000000"/>
                    </a:solidFill>
                    <a:effectLst/>
                    <a:latin typeface="Times New Roman" panose="02020603050405020304" pitchFamily="18" charset="0"/>
                    <a:ea typeface="+mn-ea"/>
                    <a:cs typeface="Times New Roman" panose="02020603050405020304" pitchFamily="18" charset="0"/>
                  </a:rPr>
                  <a:t>annual average costs</a:t>
                </a:r>
                <a:br>
                  <a:rPr lang="en-GB" sz="1800" b="0" i="0" u="none" strike="noStrike" kern="1200" baseline="0">
                    <a:solidFill>
                      <a:sysClr val="windowText" lastClr="000000"/>
                    </a:solidFill>
                    <a:effectLst/>
                    <a:latin typeface="Times New Roman" panose="02020603050405020304" pitchFamily="18" charset="0"/>
                    <a:ea typeface="+mn-ea"/>
                    <a:cs typeface="Times New Roman" panose="02020603050405020304" pitchFamily="18" charset="0"/>
                  </a:rPr>
                </a:br>
                <a:r>
                  <a:rPr lang="en-GB" sz="1800" b="0" i="0" u="none" strike="noStrike" kern="1200" baseline="0">
                    <a:solidFill>
                      <a:sysClr val="windowText" lastClr="000000"/>
                    </a:solidFill>
                    <a:effectLst/>
                    <a:latin typeface="Times New Roman" panose="02020603050405020304" pitchFamily="18" charset="0"/>
                    <a:ea typeface="+mn-ea"/>
                    <a:cs typeface="Times New Roman" panose="02020603050405020304" pitchFamily="18" charset="0"/>
                  </a:rPr>
                  <a:t>in % of US GDP</a:t>
                </a:r>
                <a:br>
                  <a:rPr lang="en-GB" sz="1800" b="0" i="0" baseline="0">
                    <a:effectLst/>
                  </a:rPr>
                </a:br>
                <a:endParaRPr lang="en-GB" sz="2000">
                  <a:effectLst/>
                </a:endParaRPr>
              </a:p>
            </c:rich>
          </c:tx>
          <c:layout>
            <c:manualLayout>
              <c:xMode val="edge"/>
              <c:yMode val="edge"/>
              <c:x val="0.72774710758330352"/>
              <c:y val="0.69383601021956365"/>
            </c:manualLayout>
          </c:layout>
          <c:overlay val="0"/>
          <c:spPr>
            <a:solidFill>
              <a:sysClr val="window" lastClr="FFFFFF"/>
            </a:solid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169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75283015349036"/>
          <c:y val="3.5742000365782517E-3"/>
          <c:w val="0.80193009940506166"/>
          <c:h val="0.93323783110852687"/>
        </c:manualLayout>
      </c:layout>
      <c:barChart>
        <c:barDir val="bar"/>
        <c:grouping val="clustered"/>
        <c:varyColors val="0"/>
        <c:ser>
          <c:idx val="2"/>
          <c:order val="0"/>
          <c:tx>
            <c:strRef>
              <c:f>'Fig 21. Comparison Gulf War'!$H$11</c:f>
              <c:strCache>
                <c:ptCount val="1"/>
                <c:pt idx="0">
                  <c:v>Gulf War (1990/91)</c:v>
                </c:pt>
              </c:strCache>
            </c:strRef>
          </c:tx>
          <c:spPr>
            <a:pattFill prst="pct70">
              <a:fgClr>
                <a:srgbClr val="5C8A6A"/>
              </a:fgClr>
              <a:bgClr>
                <a:schemeClr val="bg1"/>
              </a:bgClr>
            </a:pattFill>
            <a:ln w="12700">
              <a:solidFill>
                <a:sysClr val="windowText" lastClr="000000"/>
              </a:solidFill>
            </a:ln>
            <a:effectLst/>
          </c:spPr>
          <c:invertIfNegative val="0"/>
          <c:cat>
            <c:strRef>
              <c:f>'Fig 21. Comparison Gulf War'!$G$12:$G$15</c:f>
              <c:strCache>
                <c:ptCount val="4"/>
                <c:pt idx="0">
                  <c:v>United States</c:v>
                </c:pt>
                <c:pt idx="1">
                  <c:v>Japan</c:v>
                </c:pt>
                <c:pt idx="2">
                  <c:v>Germany</c:v>
                </c:pt>
                <c:pt idx="3">
                  <c:v>South Korea</c:v>
                </c:pt>
              </c:strCache>
            </c:strRef>
          </c:cat>
          <c:val>
            <c:numRef>
              <c:f>'Fig 21. Comparison Gulf War'!$H$12:$H$15</c:f>
              <c:numCache>
                <c:formatCode>0.00</c:formatCode>
                <c:ptCount val="4"/>
                <c:pt idx="0">
                  <c:v>114.41413183198536</c:v>
                </c:pt>
                <c:pt idx="1">
                  <c:v>21.588633727641827</c:v>
                </c:pt>
                <c:pt idx="2">
                  <c:v>19.112368786708835</c:v>
                </c:pt>
                <c:pt idx="3">
                  <c:v>0.66585273443204596</c:v>
                </c:pt>
              </c:numCache>
            </c:numRef>
          </c:val>
          <c:extLst>
            <c:ext xmlns:c16="http://schemas.microsoft.com/office/drawing/2014/chart" uri="{C3380CC4-5D6E-409C-BE32-E72D297353CC}">
              <c16:uniqueId val="{00000000-7E41-49D4-935E-E2ABF5F996E3}"/>
            </c:ext>
          </c:extLst>
        </c:ser>
        <c:ser>
          <c:idx val="1"/>
          <c:order val="1"/>
          <c:tx>
            <c:strRef>
              <c:f>'Fig 21. Comparison Gulf War'!$I$11</c:f>
              <c:strCache>
                <c:ptCount val="1"/>
                <c:pt idx="0">
                  <c:v>Aid to Ukraine (billion Euros)</c:v>
                </c:pt>
              </c:strCache>
            </c:strRef>
          </c:tx>
          <c:spPr>
            <a:solidFill>
              <a:srgbClr val="305496"/>
            </a:solidFill>
            <a:ln w="12700">
              <a:solidFill>
                <a:sysClr val="windowText" lastClr="000000"/>
              </a:solidFill>
            </a:ln>
            <a:effectLst/>
          </c:spPr>
          <c:invertIfNegative val="0"/>
          <c:cat>
            <c:strRef>
              <c:f>'Fig 21. Comparison Gulf War'!$G$12:$G$15</c:f>
              <c:strCache>
                <c:ptCount val="4"/>
                <c:pt idx="0">
                  <c:v>United States</c:v>
                </c:pt>
                <c:pt idx="1">
                  <c:v>Japan</c:v>
                </c:pt>
                <c:pt idx="2">
                  <c:v>Germany</c:v>
                </c:pt>
                <c:pt idx="3">
                  <c:v>South Korea</c:v>
                </c:pt>
              </c:strCache>
            </c:strRef>
          </c:cat>
          <c:val>
            <c:numRef>
              <c:f>'Fig 21. Comparison Gulf War'!$I$12:$I$15</c:f>
              <c:numCache>
                <c:formatCode>0.00</c:formatCode>
                <c:ptCount val="4"/>
                <c:pt idx="0">
                  <c:v>70.698858108207588</c:v>
                </c:pt>
                <c:pt idx="1">
                  <c:v>6.6172638663967609</c:v>
                </c:pt>
                <c:pt idx="2">
                  <c:v>10.68140605</c:v>
                </c:pt>
                <c:pt idx="3">
                  <c:v>0.61058152373941843</c:v>
                </c:pt>
              </c:numCache>
            </c:numRef>
          </c:val>
          <c:extLst>
            <c:ext xmlns:c16="http://schemas.microsoft.com/office/drawing/2014/chart" uri="{C3380CC4-5D6E-409C-BE32-E72D297353CC}">
              <c16:uniqueId val="{00000001-7E41-49D4-935E-E2ABF5F996E3}"/>
            </c:ext>
          </c:extLst>
        </c:ser>
        <c:dLbls>
          <c:showLegendKey val="0"/>
          <c:showVal val="0"/>
          <c:showCatName val="0"/>
          <c:showSerName val="0"/>
          <c:showPercent val="0"/>
          <c:showBubbleSize val="0"/>
        </c:dLbls>
        <c:gapWidth val="125"/>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578718498142697"/>
          <c:y val="0.43088799755466423"/>
          <c:w val="0.4234499178349137"/>
          <c:h val="0.24413669337317195"/>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23389959379734"/>
          <c:y val="3.5742000365782517E-3"/>
          <c:w val="0.80613354134800508"/>
          <c:h val="0.93323783110852687"/>
        </c:manualLayout>
      </c:layout>
      <c:barChart>
        <c:barDir val="bar"/>
        <c:grouping val="clustered"/>
        <c:varyColors val="0"/>
        <c:ser>
          <c:idx val="0"/>
          <c:order val="0"/>
          <c:tx>
            <c:strRef>
              <c:f>'Fig 21. Comparison Gulf War'!$C$11</c:f>
              <c:strCache>
                <c:ptCount val="1"/>
                <c:pt idx="0">
                  <c:v>Gulf War (1990/91)</c:v>
                </c:pt>
              </c:strCache>
            </c:strRef>
          </c:tx>
          <c:spPr>
            <a:pattFill prst="pct70">
              <a:fgClr>
                <a:srgbClr val="5C8A6A"/>
              </a:fgClr>
              <a:bgClr>
                <a:schemeClr val="bg1"/>
              </a:bgClr>
            </a:pattFill>
            <a:ln w="12700">
              <a:solidFill>
                <a:sysClr val="windowText" lastClr="000000"/>
              </a:solidFill>
            </a:ln>
            <a:effectLst/>
          </c:spPr>
          <c:invertIfNegative val="0"/>
          <c:cat>
            <c:strRef>
              <c:f>'Fig 21. Comparison Gulf War'!$B$12:$B$15</c:f>
              <c:strCache>
                <c:ptCount val="4"/>
                <c:pt idx="0">
                  <c:v>United States</c:v>
                </c:pt>
                <c:pt idx="1">
                  <c:v>Germany</c:v>
                </c:pt>
                <c:pt idx="2">
                  <c:v>Japan</c:v>
                </c:pt>
                <c:pt idx="3">
                  <c:v>South Korea</c:v>
                </c:pt>
              </c:strCache>
            </c:strRef>
          </c:cat>
          <c:val>
            <c:numRef>
              <c:f>'Fig 21. Comparison Gulf War'!$C$12:$C$15</c:f>
              <c:numCache>
                <c:formatCode>0.00</c:formatCode>
                <c:ptCount val="4"/>
                <c:pt idx="0">
                  <c:v>0.99056060696357617</c:v>
                </c:pt>
                <c:pt idx="1">
                  <c:v>0.54521540145099512</c:v>
                </c:pt>
                <c:pt idx="2">
                  <c:v>0.32111191636080633</c:v>
                </c:pt>
                <c:pt idx="3">
                  <c:v>0.10736475956270405</c:v>
                </c:pt>
              </c:numCache>
            </c:numRef>
          </c:val>
          <c:extLst>
            <c:ext xmlns:c16="http://schemas.microsoft.com/office/drawing/2014/chart" uri="{C3380CC4-5D6E-409C-BE32-E72D297353CC}">
              <c16:uniqueId val="{00000000-3CF6-430F-8934-230559EC154F}"/>
            </c:ext>
          </c:extLst>
        </c:ser>
        <c:ser>
          <c:idx val="3"/>
          <c:order val="1"/>
          <c:tx>
            <c:strRef>
              <c:f>'Fig 21. Comparison Gulf War'!$D$11</c:f>
              <c:strCache>
                <c:ptCount val="1"/>
                <c:pt idx="0">
                  <c:v>Aid to Ukraine (% of donor GDP)</c:v>
                </c:pt>
              </c:strCache>
            </c:strRef>
          </c:tx>
          <c:spPr>
            <a:solidFill>
              <a:srgbClr val="305496"/>
            </a:solidFill>
            <a:ln w="12700">
              <a:solidFill>
                <a:sysClr val="windowText" lastClr="000000"/>
              </a:solidFill>
            </a:ln>
            <a:effectLst/>
          </c:spPr>
          <c:invertIfNegative val="0"/>
          <c:cat>
            <c:strRef>
              <c:f>'Fig 21. Comparison Gulf War'!$B$12:$B$15</c:f>
              <c:strCache>
                <c:ptCount val="4"/>
                <c:pt idx="0">
                  <c:v>United States</c:v>
                </c:pt>
                <c:pt idx="1">
                  <c:v>Germany</c:v>
                </c:pt>
                <c:pt idx="2">
                  <c:v>Japan</c:v>
                </c:pt>
                <c:pt idx="3">
                  <c:v>South Korea</c:v>
                </c:pt>
              </c:strCache>
            </c:strRef>
          </c:cat>
          <c:val>
            <c:numRef>
              <c:f>'Fig 21. Comparison Gulf War'!$D$12:$D$15</c:f>
              <c:numCache>
                <c:formatCode>0.00</c:formatCode>
                <c:ptCount val="4"/>
                <c:pt idx="0">
                  <c:v>0.3295528779935728</c:v>
                </c:pt>
                <c:pt idx="1">
                  <c:v>0.27250538647727673</c:v>
                </c:pt>
                <c:pt idx="2">
                  <c:v>0.14555394181194639</c:v>
                </c:pt>
                <c:pt idx="3">
                  <c:v>3.6642527324201112E-2</c:v>
                </c:pt>
              </c:numCache>
            </c:numRef>
          </c:val>
          <c:extLst>
            <c:ext xmlns:c16="http://schemas.microsoft.com/office/drawing/2014/chart" uri="{C3380CC4-5D6E-409C-BE32-E72D297353CC}">
              <c16:uniqueId val="{00000001-3CF6-430F-8934-230559EC154F}"/>
            </c:ext>
          </c:extLst>
        </c:ser>
        <c:dLbls>
          <c:showLegendKey val="0"/>
          <c:showVal val="0"/>
          <c:showCatName val="0"/>
          <c:showSerName val="0"/>
          <c:showPercent val="0"/>
          <c:showBubbleSize val="0"/>
        </c:dLbls>
        <c:gapWidth val="125"/>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ysClr val="windowText" lastClr="000000"/>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0.2"/>
      </c:valAx>
      <c:spPr>
        <a:noFill/>
        <a:ln>
          <a:noFill/>
        </a:ln>
        <a:effectLst/>
      </c:spPr>
    </c:plotArea>
    <c:legend>
      <c:legendPos val="r"/>
      <c:layout>
        <c:manualLayout>
          <c:xMode val="edge"/>
          <c:yMode val="edge"/>
          <c:x val="0.573185717463775"/>
          <c:y val="0.41849845968245764"/>
          <c:w val="0.3100891039956184"/>
          <c:h val="0.20386673560395527"/>
        </c:manualLayout>
      </c:layout>
      <c:overlay val="0"/>
      <c:spPr>
        <a:solidFill>
          <a:srgbClr val="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853952037185372"/>
          <c:y val="0"/>
          <c:w val="0.74413269118711411"/>
          <c:h val="0.91344901164828285"/>
        </c:manualLayout>
      </c:layout>
      <c:barChart>
        <c:barDir val="bar"/>
        <c:grouping val="stacked"/>
        <c:varyColors val="0"/>
        <c:ser>
          <c:idx val="0"/>
          <c:order val="0"/>
          <c:tx>
            <c:strRef>
              <c:f>'Fig 22. Comp. European Crises'!$C$11</c:f>
              <c:strCache>
                <c:ptCount val="1"/>
                <c:pt idx="0">
                  <c:v>Total support (€ billion)</c:v>
                </c:pt>
              </c:strCache>
            </c:strRef>
          </c:tx>
          <c:spPr>
            <a:solidFill>
              <a:srgbClr val="FFC000">
                <a:lumMod val="60000"/>
                <a:lumOff val="40000"/>
              </a:srgbClr>
            </a:solidFill>
            <a:ln>
              <a:solidFill>
                <a:sysClr val="windowText" lastClr="000000"/>
              </a:solidFill>
              <a:prstDash val="solid"/>
            </a:ln>
            <a:effectLst/>
          </c:spPr>
          <c:invertIfNegative val="0"/>
          <c:dPt>
            <c:idx val="0"/>
            <c:invertIfNegative val="0"/>
            <c:bubble3D val="0"/>
            <c:spPr>
              <a:solidFill>
                <a:srgbClr val="FFC000">
                  <a:lumMod val="60000"/>
                  <a:lumOff val="40000"/>
                </a:srgbClr>
              </a:solidFill>
              <a:ln>
                <a:solidFill>
                  <a:sysClr val="windowText" lastClr="000000"/>
                </a:solidFill>
                <a:prstDash val="solid"/>
              </a:ln>
              <a:effectLst/>
            </c:spPr>
            <c:extLst>
              <c:ext xmlns:c16="http://schemas.microsoft.com/office/drawing/2014/chart" uri="{C3380CC4-5D6E-409C-BE32-E72D297353CC}">
                <c16:uniqueId val="{00000004-BA81-4A8C-9E65-287A866F22DF}"/>
              </c:ext>
            </c:extLst>
          </c:dPt>
          <c:dPt>
            <c:idx val="1"/>
            <c:invertIfNegative val="0"/>
            <c:bubble3D val="0"/>
            <c:spPr>
              <a:solidFill>
                <a:srgbClr val="FFC000">
                  <a:lumMod val="60000"/>
                  <a:lumOff val="40000"/>
                </a:srgbClr>
              </a:solidFill>
              <a:ln>
                <a:solidFill>
                  <a:sysClr val="windowText" lastClr="000000"/>
                </a:solidFill>
                <a:prstDash val="solid"/>
              </a:ln>
              <a:effectLst/>
            </c:spPr>
            <c:extLst>
              <c:ext xmlns:c16="http://schemas.microsoft.com/office/drawing/2014/chart" uri="{C3380CC4-5D6E-409C-BE32-E72D297353CC}">
                <c16:uniqueId val="{00000005-BA81-4A8C-9E65-287A866F22DF}"/>
              </c:ext>
            </c:extLst>
          </c:dPt>
          <c:dPt>
            <c:idx val="2"/>
            <c:invertIfNegative val="0"/>
            <c:bubble3D val="0"/>
            <c:spPr>
              <a:solidFill>
                <a:srgbClr val="4472C4">
                  <a:lumMod val="75000"/>
                </a:srgbClr>
              </a:solidFill>
              <a:ln>
                <a:solidFill>
                  <a:sysClr val="windowText" lastClr="000000"/>
                </a:solidFill>
                <a:prstDash val="solid"/>
              </a:ln>
              <a:effectLst/>
            </c:spPr>
            <c:extLst>
              <c:ext xmlns:c16="http://schemas.microsoft.com/office/drawing/2014/chart" uri="{C3380CC4-5D6E-409C-BE32-E72D297353CC}">
                <c16:uniqueId val="{00000001-A054-41ED-BA3C-560F80F295BD}"/>
              </c:ext>
            </c:extLst>
          </c:dPt>
          <c:dPt>
            <c:idx val="4"/>
            <c:invertIfNegative val="0"/>
            <c:bubble3D val="0"/>
            <c:spPr>
              <a:solidFill>
                <a:srgbClr val="FFC000">
                  <a:lumMod val="60000"/>
                  <a:lumOff val="40000"/>
                </a:srgbClr>
              </a:solidFill>
              <a:ln>
                <a:solidFill>
                  <a:sysClr val="windowText" lastClr="000000"/>
                </a:solidFill>
                <a:prstDash val="solid"/>
              </a:ln>
              <a:effectLst/>
            </c:spPr>
            <c:extLst>
              <c:ext xmlns:c16="http://schemas.microsoft.com/office/drawing/2014/chart" uri="{C3380CC4-5D6E-409C-BE32-E72D297353CC}">
                <c16:uniqueId val="{00000003-A054-41ED-BA3C-560F80F295BD}"/>
              </c:ext>
            </c:extLst>
          </c:dPt>
          <c:cat>
            <c:strRef>
              <c:f>'Fig 22. Comp. European Crises'!$B$12:$B$14</c:f>
              <c:strCache>
                <c:ptCount val="3"/>
                <c:pt idx="0">
                  <c:v>EU pandemic recover fund
 (Next Generation EU)</c:v>
                </c:pt>
                <c:pt idx="1">
                  <c:v>Eurozone bailouts (2010-2012)</c:v>
                </c:pt>
                <c:pt idx="2">
                  <c:v>EU support to Ukraine</c:v>
                </c:pt>
              </c:strCache>
            </c:strRef>
          </c:cat>
          <c:val>
            <c:numRef>
              <c:f>'Fig 22. Comp. European Crises'!$C$12:$C$14</c:f>
              <c:numCache>
                <c:formatCode>0.00</c:formatCode>
                <c:ptCount val="3"/>
                <c:pt idx="0">
                  <c:v>806.9</c:v>
                </c:pt>
                <c:pt idx="1">
                  <c:v>394.6</c:v>
                </c:pt>
                <c:pt idx="2">
                  <c:v>68.352480163837072</c:v>
                </c:pt>
              </c:numCache>
            </c:numRef>
          </c:val>
          <c:extLst xmlns:c15="http://schemas.microsoft.com/office/drawing/2012/chart">
            <c:ext xmlns:c16="http://schemas.microsoft.com/office/drawing/2014/chart" uri="{C3380CC4-5D6E-409C-BE32-E72D297353CC}">
              <c16:uniqueId val="{00000004-A054-41ED-BA3C-560F80F295BD}"/>
            </c:ext>
          </c:extLst>
        </c:ser>
        <c:dLbls>
          <c:showLegendKey val="0"/>
          <c:showVal val="0"/>
          <c:showCatName val="0"/>
          <c:showSerName val="0"/>
          <c:showPercent val="0"/>
          <c:showBubbleSize val="0"/>
        </c:dLbls>
        <c:gapWidth val="14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900"/>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1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1647055203728"/>
          <c:y val="1.2458761997815967E-2"/>
          <c:w val="0.85017037960086794"/>
          <c:h val="0.95575349157997591"/>
        </c:manualLayout>
      </c:layout>
      <c:barChart>
        <c:barDir val="bar"/>
        <c:grouping val="clustered"/>
        <c:varyColors val="0"/>
        <c:ser>
          <c:idx val="0"/>
          <c:order val="0"/>
          <c:tx>
            <c:strRef>
              <c:f>'Fig 23. Domestic Priorities'!$C$11</c:f>
              <c:strCache>
                <c:ptCount val="1"/>
                <c:pt idx="0">
                  <c:v>Fiscal commitments for energy subsidies</c:v>
                </c:pt>
              </c:strCache>
            </c:strRef>
          </c:tx>
          <c:spPr>
            <a:solidFill>
              <a:schemeClr val="accent4">
                <a:lumMod val="60000"/>
                <a:lumOff val="40000"/>
              </a:schemeClr>
            </a:solidFill>
            <a:ln>
              <a:solidFill>
                <a:schemeClr val="tx1"/>
              </a:solidFill>
            </a:ln>
            <a:effectLst/>
          </c:spPr>
          <c:invertIfNegative val="0"/>
          <c:cat>
            <c:strRef>
              <c:f>'Fig 23. Domestic Priorities'!$B$12:$B$18</c:f>
              <c:strCache>
                <c:ptCount val="7"/>
                <c:pt idx="0">
                  <c:v>Germany</c:v>
                </c:pt>
                <c:pt idx="1">
                  <c:v>United Kingdom</c:v>
                </c:pt>
                <c:pt idx="2">
                  <c:v>Italy</c:v>
                </c:pt>
                <c:pt idx="3">
                  <c:v>France</c:v>
                </c:pt>
                <c:pt idx="4">
                  <c:v>Netherlands</c:v>
                </c:pt>
                <c:pt idx="5">
                  <c:v>Spain</c:v>
                </c:pt>
                <c:pt idx="6">
                  <c:v>EU average</c:v>
                </c:pt>
              </c:strCache>
            </c:strRef>
          </c:cat>
          <c:val>
            <c:numRef>
              <c:f>'Fig 23. Domestic Priorities'!$C$12:$C$18</c:f>
              <c:numCache>
                <c:formatCode>0.00</c:formatCode>
                <c:ptCount val="7"/>
                <c:pt idx="0">
                  <c:v>264.2</c:v>
                </c:pt>
                <c:pt idx="1">
                  <c:v>96.65</c:v>
                </c:pt>
                <c:pt idx="2">
                  <c:v>83.44</c:v>
                </c:pt>
                <c:pt idx="3">
                  <c:v>49.43</c:v>
                </c:pt>
                <c:pt idx="4">
                  <c:v>43.85</c:v>
                </c:pt>
                <c:pt idx="5">
                  <c:v>35.799999999999997</c:v>
                </c:pt>
                <c:pt idx="6">
                  <c:v>21.106661962962956</c:v>
                </c:pt>
              </c:numCache>
            </c:numRef>
          </c:val>
          <c:extLst>
            <c:ext xmlns:c16="http://schemas.microsoft.com/office/drawing/2014/chart" uri="{C3380CC4-5D6E-409C-BE32-E72D297353CC}">
              <c16:uniqueId val="{00000000-21F6-4A63-A842-8F2F145B2FF5}"/>
            </c:ext>
          </c:extLst>
        </c:ser>
        <c:ser>
          <c:idx val="1"/>
          <c:order val="1"/>
          <c:tx>
            <c:strRef>
              <c:f>'Fig 23. Domestic Priorities'!$D$11</c:f>
              <c:strCache>
                <c:ptCount val="1"/>
                <c:pt idx="0">
                  <c:v>Aid for Ukraine (incl. EU share)</c:v>
                </c:pt>
              </c:strCache>
            </c:strRef>
          </c:tx>
          <c:spPr>
            <a:solidFill>
              <a:schemeClr val="accent1">
                <a:lumMod val="75000"/>
              </a:schemeClr>
            </a:solidFill>
            <a:ln>
              <a:solidFill>
                <a:schemeClr val="tx1"/>
              </a:solidFill>
            </a:ln>
            <a:effectLst/>
          </c:spPr>
          <c:invertIfNegative val="0"/>
          <c:cat>
            <c:strRef>
              <c:f>'Fig 23. Domestic Priorities'!$B$12:$B$18</c:f>
              <c:strCache>
                <c:ptCount val="7"/>
                <c:pt idx="0">
                  <c:v>Germany</c:v>
                </c:pt>
                <c:pt idx="1">
                  <c:v>United Kingdom</c:v>
                </c:pt>
                <c:pt idx="2">
                  <c:v>Italy</c:v>
                </c:pt>
                <c:pt idx="3">
                  <c:v>France</c:v>
                </c:pt>
                <c:pt idx="4">
                  <c:v>Netherlands</c:v>
                </c:pt>
                <c:pt idx="5">
                  <c:v>Spain</c:v>
                </c:pt>
                <c:pt idx="6">
                  <c:v>EU average</c:v>
                </c:pt>
              </c:strCache>
            </c:strRef>
          </c:cat>
          <c:val>
            <c:numRef>
              <c:f>'Fig 23. Domestic Priorities'!$D$12:$D$18</c:f>
              <c:numCache>
                <c:formatCode>0.00</c:formatCode>
                <c:ptCount val="7"/>
                <c:pt idx="0">
                  <c:v>18.01197115919447</c:v>
                </c:pt>
                <c:pt idx="1">
                  <c:v>10.735148612169851</c:v>
                </c:pt>
                <c:pt idx="2">
                  <c:v>5.7761019416531836</c:v>
                </c:pt>
                <c:pt idx="3">
                  <c:v>7.461431852038908</c:v>
                </c:pt>
                <c:pt idx="4">
                  <c:v>6.6607531353210323</c:v>
                </c:pt>
                <c:pt idx="5">
                  <c:v>4.7937834044636434</c:v>
                </c:pt>
                <c:pt idx="6">
                  <c:v>2.5308325986606319</c:v>
                </c:pt>
              </c:numCache>
            </c:numRef>
          </c:val>
          <c:extLst>
            <c:ext xmlns:c16="http://schemas.microsoft.com/office/drawing/2014/chart" uri="{C3380CC4-5D6E-409C-BE32-E72D297353CC}">
              <c16:uniqueId val="{00000001-21F6-4A63-A842-8F2F145B2FF5}"/>
            </c:ext>
          </c:extLst>
        </c:ser>
        <c:dLbls>
          <c:showLegendKey val="0"/>
          <c:showVal val="0"/>
          <c:showCatName val="0"/>
          <c:showSerName val="0"/>
          <c:showPercent val="0"/>
          <c:showBubbleSize val="0"/>
        </c:dLbls>
        <c:gapWidth val="75"/>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3677603241208052"/>
          <c:y val="0.43888284797733618"/>
          <c:w val="0.45623495977687495"/>
          <c:h val="0.28137467320261433"/>
        </c:manualLayout>
      </c:layout>
      <c:overlay val="0"/>
      <c:spPr>
        <a:solidFill>
          <a:srgbClr val="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3521673080302"/>
          <c:y val="1.2458761997815967E-2"/>
          <c:w val="0.85864484388981788"/>
          <c:h val="0.95575349157997591"/>
        </c:manualLayout>
      </c:layout>
      <c:barChart>
        <c:barDir val="bar"/>
        <c:grouping val="clustered"/>
        <c:varyColors val="0"/>
        <c:ser>
          <c:idx val="2"/>
          <c:order val="2"/>
          <c:tx>
            <c:strRef>
              <c:f>'Fig 23. Domestic Priorities'!$K$11</c:f>
              <c:strCache>
                <c:ptCount val="1"/>
                <c:pt idx="0">
                  <c:v>Fiscal commitments for energy subsidies</c:v>
                </c:pt>
              </c:strCache>
            </c:strRef>
          </c:tx>
          <c:spPr>
            <a:solidFill>
              <a:schemeClr val="accent4">
                <a:lumMod val="60000"/>
                <a:lumOff val="40000"/>
              </a:schemeClr>
            </a:solidFill>
            <a:ln>
              <a:solidFill>
                <a:schemeClr val="tx1"/>
              </a:solidFill>
            </a:ln>
            <a:effectLst/>
          </c:spPr>
          <c:invertIfNegative val="0"/>
          <c:cat>
            <c:strRef>
              <c:f>'Fig 23. Domestic Priorities'!$J$12:$J$18</c:f>
              <c:strCache>
                <c:ptCount val="7"/>
                <c:pt idx="0">
                  <c:v>Germany</c:v>
                </c:pt>
                <c:pt idx="1">
                  <c:v>Netherlands</c:v>
                </c:pt>
                <c:pt idx="2">
                  <c:v>Italy</c:v>
                </c:pt>
                <c:pt idx="3">
                  <c:v>EU average</c:v>
                </c:pt>
                <c:pt idx="4">
                  <c:v>United Kingdom</c:v>
                </c:pt>
                <c:pt idx="5">
                  <c:v>Spain</c:v>
                </c:pt>
                <c:pt idx="6">
                  <c:v>France</c:v>
                </c:pt>
              </c:strCache>
            </c:strRef>
          </c:cat>
          <c:val>
            <c:numRef>
              <c:f>'Fig 23. Domestic Priorities'!$K$12:$K$18</c:f>
              <c:numCache>
                <c:formatCode>0.00</c:formatCode>
                <c:ptCount val="7"/>
                <c:pt idx="0">
                  <c:v>6.7403039234985833</c:v>
                </c:pt>
                <c:pt idx="1">
                  <c:v>4.7051717827525232</c:v>
                </c:pt>
                <c:pt idx="2">
                  <c:v>4.3024372394514847</c:v>
                </c:pt>
                <c:pt idx="3">
                  <c:v>3.6055790721622709</c:v>
                </c:pt>
                <c:pt idx="4">
                  <c:v>3.3544090797225201</c:v>
                </c:pt>
                <c:pt idx="5">
                  <c:v>2.7257928112571377</c:v>
                </c:pt>
                <c:pt idx="6">
                  <c:v>1.8161834953485678</c:v>
                </c:pt>
              </c:numCache>
            </c:numRef>
          </c:val>
          <c:extLst xmlns:c15="http://schemas.microsoft.com/office/drawing/2012/chart">
            <c:ext xmlns:c16="http://schemas.microsoft.com/office/drawing/2014/chart" uri="{C3380CC4-5D6E-409C-BE32-E72D297353CC}">
              <c16:uniqueId val="{00000000-4F13-421F-9422-522727FF35C5}"/>
            </c:ext>
          </c:extLst>
        </c:ser>
        <c:ser>
          <c:idx val="3"/>
          <c:order val="3"/>
          <c:tx>
            <c:strRef>
              <c:f>'Fig 23. Domestic Priorities'!$L$11</c:f>
              <c:strCache>
                <c:ptCount val="1"/>
                <c:pt idx="0">
                  <c:v>Aid for Ukraine (incl. EU shares)</c:v>
                </c:pt>
              </c:strCache>
            </c:strRef>
          </c:tx>
          <c:spPr>
            <a:solidFill>
              <a:schemeClr val="accent1">
                <a:lumMod val="75000"/>
              </a:schemeClr>
            </a:solidFill>
            <a:ln>
              <a:solidFill>
                <a:schemeClr val="tx1"/>
              </a:solidFill>
            </a:ln>
            <a:effectLst/>
          </c:spPr>
          <c:invertIfNegative val="0"/>
          <c:cat>
            <c:strRef>
              <c:f>'Fig 23. Domestic Priorities'!$J$12:$J$18</c:f>
              <c:strCache>
                <c:ptCount val="7"/>
                <c:pt idx="0">
                  <c:v>Germany</c:v>
                </c:pt>
                <c:pt idx="1">
                  <c:v>Netherlands</c:v>
                </c:pt>
                <c:pt idx="2">
                  <c:v>Italy</c:v>
                </c:pt>
                <c:pt idx="3">
                  <c:v>EU average</c:v>
                </c:pt>
                <c:pt idx="4">
                  <c:v>United Kingdom</c:v>
                </c:pt>
                <c:pt idx="5">
                  <c:v>Spain</c:v>
                </c:pt>
                <c:pt idx="6">
                  <c:v>France</c:v>
                </c:pt>
              </c:strCache>
            </c:strRef>
          </c:cat>
          <c:val>
            <c:numRef>
              <c:f>'Fig 23. Domestic Priorities'!$L$12:$L$18</c:f>
              <c:numCache>
                <c:formatCode>0.00</c:formatCode>
                <c:ptCount val="7"/>
                <c:pt idx="0">
                  <c:v>0.45952369369516211</c:v>
                </c:pt>
                <c:pt idx="1">
                  <c:v>0.71470895562583625</c:v>
                </c:pt>
                <c:pt idx="2">
                  <c:v>0.29783456486860843</c:v>
                </c:pt>
                <c:pt idx="3">
                  <c:v>0.43246003883544376</c:v>
                </c:pt>
                <c:pt idx="4">
                  <c:v>0.37258230705466278</c:v>
                </c:pt>
                <c:pt idx="5">
                  <c:v>0.36499609895560808</c:v>
                </c:pt>
                <c:pt idx="6">
                  <c:v>0.27415191950922846</c:v>
                </c:pt>
              </c:numCache>
            </c:numRef>
          </c:val>
          <c:extLst>
            <c:ext xmlns:c16="http://schemas.microsoft.com/office/drawing/2014/chart" uri="{C3380CC4-5D6E-409C-BE32-E72D297353CC}">
              <c16:uniqueId val="{00000001-4F13-421F-9422-522727FF35C5}"/>
            </c:ext>
          </c:extLst>
        </c:ser>
        <c:dLbls>
          <c:showLegendKey val="0"/>
          <c:showVal val="0"/>
          <c:showCatName val="0"/>
          <c:showSerName val="0"/>
          <c:showPercent val="0"/>
          <c:showBubbleSize val="0"/>
        </c:dLbls>
        <c:gapWidth val="75"/>
        <c:axId val="450490767"/>
        <c:axId val="450486607"/>
        <c:extLst>
          <c:ext xmlns:c15="http://schemas.microsoft.com/office/drawing/2012/chart" uri="{02D57815-91ED-43cb-92C2-25804820EDAC}">
            <c15:filteredBarSeries>
              <c15:ser>
                <c:idx val="0"/>
                <c:order val="0"/>
                <c:tx>
                  <c:strRef>
                    <c:extLst>
                      <c:ext uri="{02D57815-91ED-43cb-92C2-25804820EDAC}">
                        <c15:formulaRef>
                          <c15:sqref>'[4]Figure 21. Aid vs'!#REF!</c15:sqref>
                        </c15:formulaRef>
                      </c:ext>
                    </c:extLst>
                    <c:strCache>
                      <c:ptCount val="1"/>
                      <c:pt idx="0">
                        <c:v>#BEZUG!</c:v>
                      </c:pt>
                    </c:strCache>
                  </c:strRef>
                </c:tx>
                <c:spPr>
                  <a:solidFill>
                    <a:srgbClr val="0070C0"/>
                  </a:solidFill>
                  <a:ln>
                    <a:solidFill>
                      <a:schemeClr val="tx1"/>
                    </a:solidFill>
                  </a:ln>
                  <a:effectLst/>
                </c:spPr>
                <c:invertIfNegative val="0"/>
                <c:cat>
                  <c:strRef>
                    <c:extLst>
                      <c:ext uri="{02D57815-91ED-43cb-92C2-25804820EDAC}">
                        <c15:formulaRef>
                          <c15:sqref>'Fig 23. Domestic Priorities'!$J$12:$J$18</c15:sqref>
                        </c15:formulaRef>
                      </c:ext>
                    </c:extLst>
                    <c:strCache>
                      <c:ptCount val="7"/>
                      <c:pt idx="0">
                        <c:v>Germany</c:v>
                      </c:pt>
                      <c:pt idx="1">
                        <c:v>Netherlands</c:v>
                      </c:pt>
                      <c:pt idx="2">
                        <c:v>Italy</c:v>
                      </c:pt>
                      <c:pt idx="3">
                        <c:v>EU average</c:v>
                      </c:pt>
                      <c:pt idx="4">
                        <c:v>United Kingdom</c:v>
                      </c:pt>
                      <c:pt idx="5">
                        <c:v>Spain</c:v>
                      </c:pt>
                      <c:pt idx="6">
                        <c:v>France</c:v>
                      </c:pt>
                    </c:strCache>
                  </c:strRef>
                </c:cat>
                <c:val>
                  <c:numRef>
                    <c:extLst>
                      <c:ext uri="{02D57815-91ED-43cb-92C2-25804820EDAC}">
                        <c15:formulaRef>
                          <c15:sqref>'[4]Figure 21. Aid vs'!#REF!</c15:sqref>
                        </c15:formulaRef>
                      </c:ext>
                    </c:extLst>
                    <c:numCache>
                      <c:formatCode>0.00</c:formatCode>
                      <c:ptCount val="1"/>
                      <c:pt idx="0">
                        <c:v>1</c:v>
                      </c:pt>
                    </c:numCache>
                  </c:numRef>
                </c:val>
                <c:extLst>
                  <c:ext xmlns:c16="http://schemas.microsoft.com/office/drawing/2014/chart" uri="{C3380CC4-5D6E-409C-BE32-E72D297353CC}">
                    <c16:uniqueId val="{00000002-4F13-421F-9422-522727FF35C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'[4]Figure 21. Aid vs'!#REF!</c15:sqref>
                        </c15:formulaRef>
                      </c:ext>
                    </c:extLst>
                    <c:strCache>
                      <c:ptCount val="1"/>
                      <c:pt idx="0">
                        <c:v>#BEZUG!</c:v>
                      </c:pt>
                    </c:strCache>
                  </c:strRef>
                </c:tx>
                <c:spPr>
                  <a:solidFill>
                    <a:srgbClr val="92D050"/>
                  </a:solid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'Fig 23. Domestic Priorities'!$J$12:$J$18</c15:sqref>
                        </c15:formulaRef>
                      </c:ext>
                    </c:extLst>
                    <c:strCache>
                      <c:ptCount val="7"/>
                      <c:pt idx="0">
                        <c:v>Germany</c:v>
                      </c:pt>
                      <c:pt idx="1">
                        <c:v>Netherlands</c:v>
                      </c:pt>
                      <c:pt idx="2">
                        <c:v>Italy</c:v>
                      </c:pt>
                      <c:pt idx="3">
                        <c:v>EU average</c:v>
                      </c:pt>
                      <c:pt idx="4">
                        <c:v>United Kingdom</c:v>
                      </c:pt>
                      <c:pt idx="5">
                        <c:v>Spain</c:v>
                      </c:pt>
                      <c:pt idx="6">
                        <c:v>France</c:v>
                      </c:pt>
                    </c:strCache>
                  </c:strRef>
                </c:cat>
                <c:val>
                  <c:numRef>
                    <c:extLst xmlns:c15="http://schemas.microsoft.com/office/drawing/2012/chart">
                      <c:ext xmlns:c15="http://schemas.microsoft.com/office/drawing/2012/chart" uri="{02D57815-91ED-43cb-92C2-25804820EDAC}">
                        <c15:formulaRef>
                          <c15:sqref>'[4]Figure 21. Aid vs'!#REF!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4F13-421F-9422-522727FF35C5}"/>
                  </c:ext>
                </c:extLst>
              </c15:ser>
            </c15:filteredBarSeries>
          </c:ext>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8"/>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2"/>
        <c:minorUnit val="0.5"/>
      </c:valAx>
      <c:spPr>
        <a:noFill/>
        <a:ln>
          <a:noFill/>
        </a:ln>
        <a:effectLst/>
      </c:spPr>
    </c:plotArea>
    <c:legend>
      <c:legendPos val="r"/>
      <c:layout>
        <c:manualLayout>
          <c:xMode val="edge"/>
          <c:yMode val="edge"/>
          <c:x val="0.64749090909090912"/>
          <c:y val="0.40839555547855988"/>
          <c:w val="0.30685782828282826"/>
          <c:h val="0.27956074074074078"/>
        </c:manualLayout>
      </c:layout>
      <c:overlay val="0"/>
      <c:spPr>
        <a:solidFill>
          <a:srgbClr val="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7424789860128246"/>
          <c:y val="3.684472387671367E-2"/>
          <c:w val="0.70861075118774708"/>
          <c:h val="0.85483299683486758"/>
        </c:manualLayout>
      </c:layout>
      <c:barChart>
        <c:barDir val="bar"/>
        <c:grouping val="stacked"/>
        <c:varyColors val="0"/>
        <c:ser>
          <c:idx val="1"/>
          <c:order val="0"/>
          <c:tx>
            <c:strRef>
              <c:f>'Fig 24. Priorities Germany'!$C$11</c:f>
              <c:strCache>
                <c:ptCount val="1"/>
                <c:pt idx="0">
                  <c:v>Total bilateral aid</c:v>
                </c:pt>
              </c:strCache>
            </c:strRef>
          </c:tx>
          <c:spPr>
            <a:solidFill>
              <a:schemeClr val="accent5"/>
            </a:solidFill>
            <a:ln>
              <a:solidFill>
                <a:srgbClr val="000000"/>
              </a:solidFill>
              <a:prstDash val="solid"/>
            </a:ln>
            <a:effectLst/>
          </c:spPr>
          <c:invertIfNegative val="0"/>
          <c:dPt>
            <c:idx val="0"/>
            <c:invertIfNegative val="0"/>
            <c:bubble3D val="0"/>
            <c:spPr>
              <a:solidFill>
                <a:schemeClr val="accent2">
                  <a:lumMod val="75000"/>
                </a:schemeClr>
              </a:solidFill>
              <a:ln>
                <a:solidFill>
                  <a:srgbClr val="000000"/>
                </a:solidFill>
                <a:prstDash val="solid"/>
              </a:ln>
              <a:effectLst/>
            </c:spPr>
            <c:extLst>
              <c:ext xmlns:c16="http://schemas.microsoft.com/office/drawing/2014/chart" uri="{C3380CC4-5D6E-409C-BE32-E72D297353CC}">
                <c16:uniqueId val="{00000001-FA53-4A2E-B5BD-5A21D28C41D9}"/>
              </c:ext>
            </c:extLst>
          </c:dPt>
          <c:dPt>
            <c:idx val="1"/>
            <c:invertIfNegative val="0"/>
            <c:bubble3D val="0"/>
            <c:spPr>
              <a:solidFill>
                <a:schemeClr val="accent2">
                  <a:lumMod val="75000"/>
                </a:schemeClr>
              </a:solidFill>
              <a:ln>
                <a:solidFill>
                  <a:srgbClr val="000000"/>
                </a:solidFill>
                <a:prstDash val="solid"/>
              </a:ln>
              <a:effectLst/>
            </c:spPr>
            <c:extLst>
              <c:ext xmlns:c16="http://schemas.microsoft.com/office/drawing/2014/chart" uri="{C3380CC4-5D6E-409C-BE32-E72D297353CC}">
                <c16:uniqueId val="{00000003-FA53-4A2E-B5BD-5A21D28C41D9}"/>
              </c:ext>
            </c:extLst>
          </c:dPt>
          <c:dPt>
            <c:idx val="2"/>
            <c:invertIfNegative val="0"/>
            <c:bubble3D val="0"/>
            <c:spPr>
              <a:solidFill>
                <a:schemeClr val="accent2">
                  <a:lumMod val="75000"/>
                </a:schemeClr>
              </a:solidFill>
              <a:ln>
                <a:solidFill>
                  <a:srgbClr val="000000"/>
                </a:solidFill>
                <a:prstDash val="solid"/>
              </a:ln>
              <a:effectLst/>
            </c:spPr>
            <c:extLst>
              <c:ext xmlns:c16="http://schemas.microsoft.com/office/drawing/2014/chart" uri="{C3380CC4-5D6E-409C-BE32-E72D297353CC}">
                <c16:uniqueId val="{00000005-FA53-4A2E-B5BD-5A21D28C41D9}"/>
              </c:ext>
            </c:extLst>
          </c:dPt>
          <c:dPt>
            <c:idx val="3"/>
            <c:invertIfNegative val="0"/>
            <c:bubble3D val="0"/>
            <c:spPr>
              <a:solidFill>
                <a:schemeClr val="accent1">
                  <a:lumMod val="50000"/>
                </a:schemeClr>
              </a:solidFill>
              <a:ln>
                <a:solidFill>
                  <a:srgbClr val="000000"/>
                </a:solidFill>
                <a:prstDash val="solid"/>
              </a:ln>
              <a:effectLst/>
            </c:spPr>
            <c:extLst>
              <c:ext xmlns:c16="http://schemas.microsoft.com/office/drawing/2014/chart" uri="{C3380CC4-5D6E-409C-BE32-E72D297353CC}">
                <c16:uniqueId val="{00000007-FA53-4A2E-B5BD-5A21D28C41D9}"/>
              </c:ext>
            </c:extLst>
          </c:dPt>
          <c:dPt>
            <c:idx val="4"/>
            <c:invertIfNegative val="0"/>
            <c:bubble3D val="0"/>
            <c:spPr>
              <a:solidFill>
                <a:schemeClr val="accent2">
                  <a:lumMod val="75000"/>
                </a:schemeClr>
              </a:solidFill>
              <a:ln>
                <a:solidFill>
                  <a:srgbClr val="000000"/>
                </a:solidFill>
                <a:prstDash val="solid"/>
              </a:ln>
              <a:effectLst/>
            </c:spPr>
            <c:extLst>
              <c:ext xmlns:c16="http://schemas.microsoft.com/office/drawing/2014/chart" uri="{C3380CC4-5D6E-409C-BE32-E72D297353CC}">
                <c16:uniqueId val="{00000009-FA53-4A2E-B5BD-5A21D28C41D9}"/>
              </c:ext>
            </c:extLst>
          </c:dPt>
          <c:cat>
            <c:strRef>
              <c:f>'Fig 24. Priorities Germany'!$B$12:$B$16</c:f>
              <c:strCache>
                <c:ptCount val="5"/>
                <c:pt idx="0">
                  <c:v>Energy subsidies for
households and firms ("Doppelwumms")</c:v>
                </c:pt>
                <c:pt idx="1">
                  <c:v>Special military fund
 ("Sondervermögen Bundeswehr") </c:v>
                </c:pt>
                <c:pt idx="2">
                  <c:v>Rescue of Uniper 
(incl. EU shares)</c:v>
                </c:pt>
                <c:pt idx="3">
                  <c:v>German aid to Ukraine </c:v>
                </c:pt>
                <c:pt idx="4">
                  <c:v>Transport Subsidies
 ("Tankrabatt" &amp; "9€ Ticket")</c:v>
                </c:pt>
              </c:strCache>
            </c:strRef>
          </c:cat>
          <c:val>
            <c:numRef>
              <c:f>'Fig 24. Priorities Germany'!$C$12:$C$16</c:f>
              <c:numCache>
                <c:formatCode>0.00</c:formatCode>
                <c:ptCount val="5"/>
                <c:pt idx="3">
                  <c:v>10.68140605</c:v>
                </c:pt>
              </c:numCache>
            </c:numRef>
          </c:val>
          <c:extLst>
            <c:ext xmlns:c16="http://schemas.microsoft.com/office/drawing/2014/chart" uri="{C3380CC4-5D6E-409C-BE32-E72D297353CC}">
              <c16:uniqueId val="{00000000-1066-4AFA-ABED-A7936EA25580}"/>
            </c:ext>
          </c:extLst>
        </c:ser>
        <c:ser>
          <c:idx val="0"/>
          <c:order val="1"/>
          <c:tx>
            <c:strRef>
              <c:f>'Fig 24. Priorities Germany'!$D$11</c:f>
              <c:strCache>
                <c:ptCount val="1"/>
                <c:pt idx="0">
                  <c:v>EU aid shares</c:v>
                </c:pt>
              </c:strCache>
            </c:strRef>
          </c:tx>
          <c:spPr>
            <a:solidFill>
              <a:schemeClr val="accent1">
                <a:lumMod val="75000"/>
              </a:schemeClr>
            </a:solidFill>
            <a:ln>
              <a:solidFill>
                <a:schemeClr val="tx1"/>
              </a:solidFill>
            </a:ln>
            <a:effectLst/>
          </c:spPr>
          <c:invertIfNegative val="0"/>
          <c:cat>
            <c:strRef>
              <c:f>'Fig 24. Priorities Germany'!$B$12:$B$16</c:f>
              <c:strCache>
                <c:ptCount val="5"/>
                <c:pt idx="0">
                  <c:v>Energy subsidies for
households and firms ("Doppelwumms")</c:v>
                </c:pt>
                <c:pt idx="1">
                  <c:v>Special military fund
 ("Sondervermögen Bundeswehr") </c:v>
                </c:pt>
                <c:pt idx="2">
                  <c:v>Rescue of Uniper 
(incl. EU shares)</c:v>
                </c:pt>
                <c:pt idx="3">
                  <c:v>German aid to Ukraine </c:v>
                </c:pt>
                <c:pt idx="4">
                  <c:v>Transport Subsidies
 ("Tankrabatt" &amp; "9€ Ticket")</c:v>
                </c:pt>
              </c:strCache>
            </c:strRef>
          </c:cat>
          <c:val>
            <c:numRef>
              <c:f>'Fig 24. Priorities Germany'!$D$12:$D$16</c:f>
              <c:numCache>
                <c:formatCode>0.00</c:formatCode>
                <c:ptCount val="5"/>
                <c:pt idx="3">
                  <c:v>7.3305651091944712</c:v>
                </c:pt>
              </c:numCache>
            </c:numRef>
          </c:val>
          <c:extLst>
            <c:ext xmlns:c16="http://schemas.microsoft.com/office/drawing/2014/chart" uri="{C3380CC4-5D6E-409C-BE32-E72D297353CC}">
              <c16:uniqueId val="{0000000B-1066-4AFA-ABED-A7936EA25580}"/>
            </c:ext>
          </c:extLst>
        </c:ser>
        <c:ser>
          <c:idx val="2"/>
          <c:order val="2"/>
          <c:tx>
            <c:strRef>
              <c:f>'Fig 24. Priorities Germany'!$E$11</c:f>
              <c:strCache>
                <c:ptCount val="1"/>
                <c:pt idx="0">
                  <c:v>Cost</c:v>
                </c:pt>
              </c:strCache>
            </c:strRef>
          </c:tx>
          <c:spPr>
            <a:solidFill>
              <a:schemeClr val="accent4">
                <a:lumMod val="60000"/>
                <a:lumOff val="40000"/>
              </a:schemeClr>
            </a:solidFill>
            <a:ln>
              <a:solidFill>
                <a:schemeClr val="tx1"/>
              </a:solidFill>
            </a:ln>
            <a:effectLst/>
          </c:spPr>
          <c:invertIfNegative val="0"/>
          <c:cat>
            <c:strRef>
              <c:f>'Fig 24. Priorities Germany'!$B$12:$B$16</c:f>
              <c:strCache>
                <c:ptCount val="5"/>
                <c:pt idx="0">
                  <c:v>Energy subsidies for
households and firms ("Doppelwumms")</c:v>
                </c:pt>
                <c:pt idx="1">
                  <c:v>Special military fund
 ("Sondervermögen Bundeswehr") </c:v>
                </c:pt>
                <c:pt idx="2">
                  <c:v>Rescue of Uniper 
(incl. EU shares)</c:v>
                </c:pt>
                <c:pt idx="3">
                  <c:v>German aid to Ukraine </c:v>
                </c:pt>
                <c:pt idx="4">
                  <c:v>Transport Subsidies
 ("Tankrabatt" &amp; "9€ Ticket")</c:v>
                </c:pt>
              </c:strCache>
            </c:strRef>
          </c:cat>
          <c:val>
            <c:numRef>
              <c:f>'Fig 24. Priorities Germany'!$E$12:$E$16</c:f>
              <c:numCache>
                <c:formatCode>0.00</c:formatCode>
                <c:ptCount val="5"/>
                <c:pt idx="0">
                  <c:v>200</c:v>
                </c:pt>
                <c:pt idx="1">
                  <c:v>100</c:v>
                </c:pt>
                <c:pt idx="2">
                  <c:v>34.5</c:v>
                </c:pt>
                <c:pt idx="4">
                  <c:v>5.65</c:v>
                </c:pt>
              </c:numCache>
            </c:numRef>
          </c:val>
          <c:extLst>
            <c:ext xmlns:c16="http://schemas.microsoft.com/office/drawing/2014/chart" uri="{C3380CC4-5D6E-409C-BE32-E72D297353CC}">
              <c16:uniqueId val="{0000000C-1066-4AFA-ABED-A7936EA25580}"/>
            </c:ext>
          </c:extLst>
        </c:ser>
        <c:dLbls>
          <c:showLegendKey val="0"/>
          <c:showVal val="0"/>
          <c:showCatName val="0"/>
          <c:showSerName val="0"/>
          <c:showPercent val="0"/>
          <c:showBubbleSize val="0"/>
        </c:dLbls>
        <c:gapWidth val="100"/>
        <c:overlap val="100"/>
        <c:axId val="295516991"/>
        <c:axId val="295508671"/>
        <c:extLst/>
      </c:barChart>
      <c:catAx>
        <c:axId val="2955169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08671"/>
        <c:crosses val="autoZero"/>
        <c:auto val="1"/>
        <c:lblAlgn val="ctr"/>
        <c:lblOffset val="100"/>
        <c:noMultiLvlLbl val="0"/>
      </c:catAx>
      <c:valAx>
        <c:axId val="295508671"/>
        <c:scaling>
          <c:orientation val="minMax"/>
          <c:max val="20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2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2000"/>
                  <a:t>billion Euros</a:t>
                </a:r>
              </a:p>
            </c:rich>
          </c:tx>
          <c:layout>
            <c:manualLayout>
              <c:xMode val="edge"/>
              <c:yMode val="edge"/>
              <c:x val="0.80257770382239424"/>
              <c:y val="0.80295226112893858"/>
            </c:manualLayout>
          </c:layout>
          <c:overlay val="0"/>
          <c:spPr>
            <a:solidFill>
              <a:sysClr val="window" lastClr="FFFFFF"/>
            </a:solidFill>
            <a:ln>
              <a:noFill/>
            </a:ln>
            <a:effectLst/>
          </c:spPr>
          <c:txPr>
            <a:bodyPr rot="0" spcFirstLastPara="1" vertOverflow="ellipsis" vert="horz" wrap="square" anchor="ctr" anchorCtr="1"/>
            <a:lstStyle/>
            <a:p>
              <a:pPr>
                <a:defRPr sz="2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16991"/>
        <c:crosses val="autoZero"/>
        <c:crossBetween val="between"/>
        <c:majorUnit val="5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66771112680632"/>
          <c:y val="1.4074447230952877E-2"/>
          <c:w val="0.70775871273191548"/>
          <c:h val="0.94124085444144956"/>
        </c:manualLayout>
      </c:layout>
      <c:barChart>
        <c:barDir val="bar"/>
        <c:grouping val="stacked"/>
        <c:varyColors val="0"/>
        <c:ser>
          <c:idx val="5"/>
          <c:order val="0"/>
          <c:tx>
            <c:strRef>
              <c:f>'Figure A1. Transparency Index'!$C$12</c:f>
              <c:strCache>
                <c:ptCount val="1"/>
                <c:pt idx="0">
                  <c:v>Designated website (1=Yes)</c:v>
                </c:pt>
              </c:strCache>
            </c:strRef>
          </c:tx>
          <c:spPr>
            <a:solidFill>
              <a:schemeClr val="accent6">
                <a:lumMod val="75000"/>
              </a:schemeClr>
            </a:solidFill>
            <a:ln>
              <a:solidFill>
                <a:schemeClr val="tx1"/>
              </a:solidFill>
            </a:ln>
            <a:effectLst/>
          </c:spPr>
          <c:invertIfNegative val="0"/>
          <c:cat>
            <c:strRef>
              <c:f>'Figure A1. Transparency Index'!$B$13:$B$54</c:f>
              <c:strCache>
                <c:ptCount val="42"/>
                <c:pt idx="0">
                  <c:v>Switzerland</c:v>
                </c:pt>
                <c:pt idx="1">
                  <c:v>Iceland</c:v>
                </c:pt>
                <c:pt idx="2">
                  <c:v>Germany</c:v>
                </c:pt>
                <c:pt idx="3">
                  <c:v>EU (Commission and Council)</c:v>
                </c:pt>
                <c:pt idx="4">
                  <c:v>Netherlands</c:v>
                </c:pt>
                <c:pt idx="5">
                  <c:v>Finland</c:v>
                </c:pt>
                <c:pt idx="6">
                  <c:v>Denmark</c:v>
                </c:pt>
                <c:pt idx="7">
                  <c:v>Sweden</c:v>
                </c:pt>
                <c:pt idx="8">
                  <c:v>New Zealand</c:v>
                </c:pt>
                <c:pt idx="9">
                  <c:v>Norway</c:v>
                </c:pt>
                <c:pt idx="10">
                  <c:v>Luxembourg</c:v>
                </c:pt>
                <c:pt idx="11">
                  <c:v>Estonia</c:v>
                </c:pt>
                <c:pt idx="12">
                  <c:v>Latvia</c:v>
                </c:pt>
                <c:pt idx="13">
                  <c:v>Slovakia</c:v>
                </c:pt>
                <c:pt idx="14">
                  <c:v>France</c:v>
                </c:pt>
                <c:pt idx="15">
                  <c:v>United Kingdom</c:v>
                </c:pt>
                <c:pt idx="16">
                  <c:v>China</c:v>
                </c:pt>
                <c:pt idx="17">
                  <c:v>Taiwan</c:v>
                </c:pt>
                <c:pt idx="18">
                  <c:v>Japan</c:v>
                </c:pt>
                <c:pt idx="19">
                  <c:v>United States</c:v>
                </c:pt>
                <c:pt idx="20">
                  <c:v>Austria</c:v>
                </c:pt>
                <c:pt idx="21">
                  <c:v>Canada</c:v>
                </c:pt>
                <c:pt idx="22">
                  <c:v>Czech Republic</c:v>
                </c:pt>
                <c:pt idx="23">
                  <c:v>Cyprus</c:v>
                </c:pt>
                <c:pt idx="24">
                  <c:v>Bulgaria</c:v>
                </c:pt>
                <c:pt idx="25">
                  <c:v>Ireland</c:v>
                </c:pt>
                <c:pt idx="26">
                  <c:v>Australia</c:v>
                </c:pt>
                <c:pt idx="27">
                  <c:v>Belgium</c:v>
                </c:pt>
                <c:pt idx="28">
                  <c:v>Italy</c:v>
                </c:pt>
                <c:pt idx="29">
                  <c:v>Malta</c:v>
                </c:pt>
                <c:pt idx="30">
                  <c:v>Hungary</c:v>
                </c:pt>
                <c:pt idx="31">
                  <c:v>Croatia</c:v>
                </c:pt>
                <c:pt idx="32">
                  <c:v>Lithuania</c:v>
                </c:pt>
                <c:pt idx="33">
                  <c:v>Spain</c:v>
                </c:pt>
                <c:pt idx="34">
                  <c:v>Poland</c:v>
                </c:pt>
                <c:pt idx="35">
                  <c:v>Portugal</c:v>
                </c:pt>
                <c:pt idx="36">
                  <c:v>South Korea</c:v>
                </c:pt>
                <c:pt idx="37">
                  <c:v>Turkey</c:v>
                </c:pt>
                <c:pt idx="38">
                  <c:v>Romania</c:v>
                </c:pt>
                <c:pt idx="39">
                  <c:v>Slovenia</c:v>
                </c:pt>
                <c:pt idx="40">
                  <c:v>India</c:v>
                </c:pt>
                <c:pt idx="41">
                  <c:v>Greece</c:v>
                </c:pt>
              </c:strCache>
            </c:strRef>
          </c:cat>
          <c:val>
            <c:numRef>
              <c:f>'Figure A1. Transparency Index'!$C$13:$C$54</c:f>
              <c:numCache>
                <c:formatCode>0.00</c:formatCode>
                <c:ptCount val="42"/>
                <c:pt idx="0">
                  <c:v>1</c:v>
                </c:pt>
                <c:pt idx="1">
                  <c:v>1</c:v>
                </c:pt>
                <c:pt idx="2">
                  <c:v>1</c:v>
                </c:pt>
                <c:pt idx="3">
                  <c:v>1</c:v>
                </c:pt>
                <c:pt idx="4">
                  <c:v>1</c:v>
                </c:pt>
                <c:pt idx="5">
                  <c:v>0.66666666666666674</c:v>
                </c:pt>
                <c:pt idx="6">
                  <c:v>1</c:v>
                </c:pt>
                <c:pt idx="7">
                  <c:v>1</c:v>
                </c:pt>
                <c:pt idx="8">
                  <c:v>1</c:v>
                </c:pt>
                <c:pt idx="9">
                  <c:v>1</c:v>
                </c:pt>
                <c:pt idx="10">
                  <c:v>0</c:v>
                </c:pt>
                <c:pt idx="11">
                  <c:v>1</c:v>
                </c:pt>
                <c:pt idx="12">
                  <c:v>1</c:v>
                </c:pt>
                <c:pt idx="13">
                  <c:v>0.33333333333333337</c:v>
                </c:pt>
                <c:pt idx="14">
                  <c:v>1</c:v>
                </c:pt>
                <c:pt idx="15">
                  <c:v>0.66666666666666674</c:v>
                </c:pt>
                <c:pt idx="16">
                  <c:v>0</c:v>
                </c:pt>
                <c:pt idx="17">
                  <c:v>0</c:v>
                </c:pt>
                <c:pt idx="18">
                  <c:v>1</c:v>
                </c:pt>
                <c:pt idx="19">
                  <c:v>0.33333333333333337</c:v>
                </c:pt>
                <c:pt idx="20">
                  <c:v>0.33333333333333337</c:v>
                </c:pt>
                <c:pt idx="21">
                  <c:v>0.33333333333333337</c:v>
                </c:pt>
                <c:pt idx="22">
                  <c:v>0</c:v>
                </c:pt>
                <c:pt idx="23">
                  <c:v>0</c:v>
                </c:pt>
                <c:pt idx="24">
                  <c:v>0</c:v>
                </c:pt>
                <c:pt idx="25">
                  <c:v>0</c:v>
                </c:pt>
                <c:pt idx="26">
                  <c:v>0</c:v>
                </c:pt>
                <c:pt idx="27">
                  <c:v>0</c:v>
                </c:pt>
                <c:pt idx="28">
                  <c:v>0.66666666666666674</c:v>
                </c:pt>
                <c:pt idx="29">
                  <c:v>0</c:v>
                </c:pt>
                <c:pt idx="30">
                  <c:v>0</c:v>
                </c:pt>
                <c:pt idx="31">
                  <c:v>0</c:v>
                </c:pt>
                <c:pt idx="32">
                  <c:v>0</c:v>
                </c:pt>
                <c:pt idx="33">
                  <c:v>0</c:v>
                </c:pt>
                <c:pt idx="34">
                  <c:v>0</c:v>
                </c:pt>
                <c:pt idx="35">
                  <c:v>0.33333333333333337</c:v>
                </c:pt>
                <c:pt idx="36">
                  <c:v>0</c:v>
                </c:pt>
                <c:pt idx="37">
                  <c:v>0</c:v>
                </c:pt>
                <c:pt idx="38">
                  <c:v>0</c:v>
                </c:pt>
                <c:pt idx="39">
                  <c:v>0</c:v>
                </c:pt>
                <c:pt idx="40">
                  <c:v>0</c:v>
                </c:pt>
                <c:pt idx="41">
                  <c:v>0</c:v>
                </c:pt>
              </c:numCache>
            </c:numRef>
          </c:val>
          <c:extLst>
            <c:ext xmlns:c16="http://schemas.microsoft.com/office/drawing/2014/chart" uri="{C3380CC4-5D6E-409C-BE32-E72D297353CC}">
              <c16:uniqueId val="{00000000-7D43-47E4-B1EA-190E4960BA9E}"/>
            </c:ext>
          </c:extLst>
        </c:ser>
        <c:ser>
          <c:idx val="0"/>
          <c:order val="1"/>
          <c:tx>
            <c:strRef>
              <c:f>'Figure A1. Transparency Index'!$D$12</c:f>
              <c:strCache>
                <c:ptCount val="1"/>
                <c:pt idx="0">
                  <c:v>Total value of commitments given (1=Yes)</c:v>
                </c:pt>
              </c:strCache>
            </c:strRef>
          </c:tx>
          <c:spPr>
            <a:solidFill>
              <a:srgbClr val="70AD47"/>
            </a:solidFill>
            <a:ln>
              <a:solidFill>
                <a:schemeClr val="tx1"/>
              </a:solidFill>
            </a:ln>
            <a:effectLst/>
          </c:spPr>
          <c:invertIfNegative val="0"/>
          <c:cat>
            <c:strRef>
              <c:f>'Figure A1. Transparency Index'!$B$13:$B$54</c:f>
              <c:strCache>
                <c:ptCount val="42"/>
                <c:pt idx="0">
                  <c:v>Switzerland</c:v>
                </c:pt>
                <c:pt idx="1">
                  <c:v>Iceland</c:v>
                </c:pt>
                <c:pt idx="2">
                  <c:v>Germany</c:v>
                </c:pt>
                <c:pt idx="3">
                  <c:v>EU (Commission and Council)</c:v>
                </c:pt>
                <c:pt idx="4">
                  <c:v>Netherlands</c:v>
                </c:pt>
                <c:pt idx="5">
                  <c:v>Finland</c:v>
                </c:pt>
                <c:pt idx="6">
                  <c:v>Denmark</c:v>
                </c:pt>
                <c:pt idx="7">
                  <c:v>Sweden</c:v>
                </c:pt>
                <c:pt idx="8">
                  <c:v>New Zealand</c:v>
                </c:pt>
                <c:pt idx="9">
                  <c:v>Norway</c:v>
                </c:pt>
                <c:pt idx="10">
                  <c:v>Luxembourg</c:v>
                </c:pt>
                <c:pt idx="11">
                  <c:v>Estonia</c:v>
                </c:pt>
                <c:pt idx="12">
                  <c:v>Latvia</c:v>
                </c:pt>
                <c:pt idx="13">
                  <c:v>Slovakia</c:v>
                </c:pt>
                <c:pt idx="14">
                  <c:v>France</c:v>
                </c:pt>
                <c:pt idx="15">
                  <c:v>United Kingdom</c:v>
                </c:pt>
                <c:pt idx="16">
                  <c:v>China</c:v>
                </c:pt>
                <c:pt idx="17">
                  <c:v>Taiwan</c:v>
                </c:pt>
                <c:pt idx="18">
                  <c:v>Japan</c:v>
                </c:pt>
                <c:pt idx="19">
                  <c:v>United States</c:v>
                </c:pt>
                <c:pt idx="20">
                  <c:v>Austria</c:v>
                </c:pt>
                <c:pt idx="21">
                  <c:v>Canada</c:v>
                </c:pt>
                <c:pt idx="22">
                  <c:v>Czech Republic</c:v>
                </c:pt>
                <c:pt idx="23">
                  <c:v>Cyprus</c:v>
                </c:pt>
                <c:pt idx="24">
                  <c:v>Bulgaria</c:v>
                </c:pt>
                <c:pt idx="25">
                  <c:v>Ireland</c:v>
                </c:pt>
                <c:pt idx="26">
                  <c:v>Australia</c:v>
                </c:pt>
                <c:pt idx="27">
                  <c:v>Belgium</c:v>
                </c:pt>
                <c:pt idx="28">
                  <c:v>Italy</c:v>
                </c:pt>
                <c:pt idx="29">
                  <c:v>Malta</c:v>
                </c:pt>
                <c:pt idx="30">
                  <c:v>Hungary</c:v>
                </c:pt>
                <c:pt idx="31">
                  <c:v>Croatia</c:v>
                </c:pt>
                <c:pt idx="32">
                  <c:v>Lithuania</c:v>
                </c:pt>
                <c:pt idx="33">
                  <c:v>Spain</c:v>
                </c:pt>
                <c:pt idx="34">
                  <c:v>Poland</c:v>
                </c:pt>
                <c:pt idx="35">
                  <c:v>Portugal</c:v>
                </c:pt>
                <c:pt idx="36">
                  <c:v>South Korea</c:v>
                </c:pt>
                <c:pt idx="37">
                  <c:v>Turkey</c:v>
                </c:pt>
                <c:pt idx="38">
                  <c:v>Romania</c:v>
                </c:pt>
                <c:pt idx="39">
                  <c:v>Slovenia</c:v>
                </c:pt>
                <c:pt idx="40">
                  <c:v>India</c:v>
                </c:pt>
                <c:pt idx="41">
                  <c:v>Greece</c:v>
                </c:pt>
              </c:strCache>
            </c:strRef>
          </c:cat>
          <c:val>
            <c:numRef>
              <c:f>'Figure A1. Transparency Index'!$D$13:$D$54</c:f>
              <c:numCache>
                <c:formatCode>0</c:formatCode>
                <c:ptCount val="42"/>
                <c:pt idx="0">
                  <c:v>1</c:v>
                </c:pt>
                <c:pt idx="1">
                  <c:v>1</c:v>
                </c:pt>
                <c:pt idx="2">
                  <c:v>1</c:v>
                </c:pt>
                <c:pt idx="3">
                  <c:v>1</c:v>
                </c:pt>
                <c:pt idx="4">
                  <c:v>1</c:v>
                </c:pt>
                <c:pt idx="5">
                  <c:v>1</c:v>
                </c:pt>
                <c:pt idx="6">
                  <c:v>1</c:v>
                </c:pt>
                <c:pt idx="7">
                  <c:v>1</c:v>
                </c:pt>
                <c:pt idx="8">
                  <c:v>1</c:v>
                </c:pt>
                <c:pt idx="9">
                  <c:v>1</c:v>
                </c:pt>
                <c:pt idx="10">
                  <c:v>1</c:v>
                </c:pt>
                <c:pt idx="11">
                  <c:v>1</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1-7D43-47E4-B1EA-190E4960BA9E}"/>
            </c:ext>
          </c:extLst>
        </c:ser>
        <c:ser>
          <c:idx val="2"/>
          <c:order val="2"/>
          <c:tx>
            <c:strRef>
              <c:f>'Figure A1. Transparency Index'!$E$12</c:f>
              <c:strCache>
                <c:ptCount val="1"/>
                <c:pt idx="0">
                  <c:v>Monetary value of individual items given by source (share)</c:v>
                </c:pt>
              </c:strCache>
            </c:strRef>
          </c:tx>
          <c:spPr>
            <a:solidFill>
              <a:srgbClr val="A9D18E"/>
            </a:solidFill>
            <a:ln>
              <a:solidFill>
                <a:schemeClr val="tx1"/>
              </a:solidFill>
            </a:ln>
            <a:effectLst/>
          </c:spPr>
          <c:invertIfNegative val="0"/>
          <c:cat>
            <c:strRef>
              <c:f>'Figure A1. Transparency Index'!$B$13:$B$54</c:f>
              <c:strCache>
                <c:ptCount val="42"/>
                <c:pt idx="0">
                  <c:v>Switzerland</c:v>
                </c:pt>
                <c:pt idx="1">
                  <c:v>Iceland</c:v>
                </c:pt>
                <c:pt idx="2">
                  <c:v>Germany</c:v>
                </c:pt>
                <c:pt idx="3">
                  <c:v>EU (Commission and Council)</c:v>
                </c:pt>
                <c:pt idx="4">
                  <c:v>Netherlands</c:v>
                </c:pt>
                <c:pt idx="5">
                  <c:v>Finland</c:v>
                </c:pt>
                <c:pt idx="6">
                  <c:v>Denmark</c:v>
                </c:pt>
                <c:pt idx="7">
                  <c:v>Sweden</c:v>
                </c:pt>
                <c:pt idx="8">
                  <c:v>New Zealand</c:v>
                </c:pt>
                <c:pt idx="9">
                  <c:v>Norway</c:v>
                </c:pt>
                <c:pt idx="10">
                  <c:v>Luxembourg</c:v>
                </c:pt>
                <c:pt idx="11">
                  <c:v>Estonia</c:v>
                </c:pt>
                <c:pt idx="12">
                  <c:v>Latvia</c:v>
                </c:pt>
                <c:pt idx="13">
                  <c:v>Slovakia</c:v>
                </c:pt>
                <c:pt idx="14">
                  <c:v>France</c:v>
                </c:pt>
                <c:pt idx="15">
                  <c:v>United Kingdom</c:v>
                </c:pt>
                <c:pt idx="16">
                  <c:v>China</c:v>
                </c:pt>
                <c:pt idx="17">
                  <c:v>Taiwan</c:v>
                </c:pt>
                <c:pt idx="18">
                  <c:v>Japan</c:v>
                </c:pt>
                <c:pt idx="19">
                  <c:v>United States</c:v>
                </c:pt>
                <c:pt idx="20">
                  <c:v>Austria</c:v>
                </c:pt>
                <c:pt idx="21">
                  <c:v>Canada</c:v>
                </c:pt>
                <c:pt idx="22">
                  <c:v>Czech Republic</c:v>
                </c:pt>
                <c:pt idx="23">
                  <c:v>Cyprus</c:v>
                </c:pt>
                <c:pt idx="24">
                  <c:v>Bulgaria</c:v>
                </c:pt>
                <c:pt idx="25">
                  <c:v>Ireland</c:v>
                </c:pt>
                <c:pt idx="26">
                  <c:v>Australia</c:v>
                </c:pt>
                <c:pt idx="27">
                  <c:v>Belgium</c:v>
                </c:pt>
                <c:pt idx="28">
                  <c:v>Italy</c:v>
                </c:pt>
                <c:pt idx="29">
                  <c:v>Malta</c:v>
                </c:pt>
                <c:pt idx="30">
                  <c:v>Hungary</c:v>
                </c:pt>
                <c:pt idx="31">
                  <c:v>Croatia</c:v>
                </c:pt>
                <c:pt idx="32">
                  <c:v>Lithuania</c:v>
                </c:pt>
                <c:pt idx="33">
                  <c:v>Spain</c:v>
                </c:pt>
                <c:pt idx="34">
                  <c:v>Poland</c:v>
                </c:pt>
                <c:pt idx="35">
                  <c:v>Portugal</c:v>
                </c:pt>
                <c:pt idx="36">
                  <c:v>South Korea</c:v>
                </c:pt>
                <c:pt idx="37">
                  <c:v>Turkey</c:v>
                </c:pt>
                <c:pt idx="38">
                  <c:v>Romania</c:v>
                </c:pt>
                <c:pt idx="39">
                  <c:v>Slovenia</c:v>
                </c:pt>
                <c:pt idx="40">
                  <c:v>India</c:v>
                </c:pt>
                <c:pt idx="41">
                  <c:v>Greece</c:v>
                </c:pt>
              </c:strCache>
            </c:strRef>
          </c:cat>
          <c:val>
            <c:numRef>
              <c:f>'Figure A1. Transparency Index'!$E$13:$E$54</c:f>
              <c:numCache>
                <c:formatCode>0.00</c:formatCode>
                <c:ptCount val="42"/>
                <c:pt idx="0">
                  <c:v>1</c:v>
                </c:pt>
                <c:pt idx="1">
                  <c:v>0.89473684210526316</c:v>
                </c:pt>
                <c:pt idx="2">
                  <c:v>1</c:v>
                </c:pt>
                <c:pt idx="3">
                  <c:v>0.9375</c:v>
                </c:pt>
                <c:pt idx="4">
                  <c:v>0.88235294117647056</c:v>
                </c:pt>
                <c:pt idx="5">
                  <c:v>0.97297297297297303</c:v>
                </c:pt>
                <c:pt idx="6">
                  <c:v>0.95454545454545459</c:v>
                </c:pt>
                <c:pt idx="7">
                  <c:v>0.94444444444444442</c:v>
                </c:pt>
                <c:pt idx="8">
                  <c:v>0.625</c:v>
                </c:pt>
                <c:pt idx="9">
                  <c:v>0.45098039215686275</c:v>
                </c:pt>
                <c:pt idx="10">
                  <c:v>0.93548387096774188</c:v>
                </c:pt>
                <c:pt idx="11">
                  <c:v>0.72307692307692306</c:v>
                </c:pt>
                <c:pt idx="12">
                  <c:v>0.69444444444444442</c:v>
                </c:pt>
                <c:pt idx="13">
                  <c:v>0.68965517241379315</c:v>
                </c:pt>
                <c:pt idx="14">
                  <c:v>0.46376811594202899</c:v>
                </c:pt>
                <c:pt idx="15">
                  <c:v>0.62820512820512819</c:v>
                </c:pt>
                <c:pt idx="16">
                  <c:v>1</c:v>
                </c:pt>
                <c:pt idx="17">
                  <c:v>1</c:v>
                </c:pt>
                <c:pt idx="18">
                  <c:v>0.58620689655172409</c:v>
                </c:pt>
                <c:pt idx="19">
                  <c:v>1</c:v>
                </c:pt>
                <c:pt idx="20">
                  <c:v>0.46875</c:v>
                </c:pt>
                <c:pt idx="21">
                  <c:v>0.73134328358208955</c:v>
                </c:pt>
                <c:pt idx="22">
                  <c:v>0.77777777777777779</c:v>
                </c:pt>
                <c:pt idx="23">
                  <c:v>0.8</c:v>
                </c:pt>
                <c:pt idx="24">
                  <c:v>0.7</c:v>
                </c:pt>
                <c:pt idx="25">
                  <c:v>0.5</c:v>
                </c:pt>
                <c:pt idx="26">
                  <c:v>0.96153846153846156</c:v>
                </c:pt>
                <c:pt idx="27">
                  <c:v>0.9838709677419355</c:v>
                </c:pt>
                <c:pt idx="28">
                  <c:v>0.26470588235294118</c:v>
                </c:pt>
                <c:pt idx="29">
                  <c:v>1</c:v>
                </c:pt>
                <c:pt idx="30">
                  <c:v>0.375</c:v>
                </c:pt>
                <c:pt idx="31">
                  <c:v>0.7857142857142857</c:v>
                </c:pt>
                <c:pt idx="32">
                  <c:v>0.77551020408163263</c:v>
                </c:pt>
                <c:pt idx="33">
                  <c:v>0.26190476190476192</c:v>
                </c:pt>
                <c:pt idx="34">
                  <c:v>0.54838709677419351</c:v>
                </c:pt>
                <c:pt idx="35">
                  <c:v>0.13793103448275862</c:v>
                </c:pt>
                <c:pt idx="36">
                  <c:v>1</c:v>
                </c:pt>
                <c:pt idx="37">
                  <c:v>0</c:v>
                </c:pt>
                <c:pt idx="38">
                  <c:v>0.375</c:v>
                </c:pt>
                <c:pt idx="39">
                  <c:v>0.7407407407407407</c:v>
                </c:pt>
                <c:pt idx="40">
                  <c:v>0</c:v>
                </c:pt>
                <c:pt idx="41">
                  <c:v>0</c:v>
                </c:pt>
              </c:numCache>
            </c:numRef>
          </c:val>
          <c:extLst>
            <c:ext xmlns:c16="http://schemas.microsoft.com/office/drawing/2014/chart" uri="{C3380CC4-5D6E-409C-BE32-E72D297353CC}">
              <c16:uniqueId val="{00000002-7D43-47E4-B1EA-190E4960BA9E}"/>
            </c:ext>
          </c:extLst>
        </c:ser>
        <c:ser>
          <c:idx val="3"/>
          <c:order val="3"/>
          <c:tx>
            <c:strRef>
              <c:f>'Figure A1. Transparency Index'!$F$12</c:f>
              <c:strCache>
                <c:ptCount val="1"/>
                <c:pt idx="0">
                  <c:v>Government information on individual items (share)</c:v>
                </c:pt>
              </c:strCache>
            </c:strRef>
          </c:tx>
          <c:spPr>
            <a:solidFill>
              <a:srgbClr val="C5E0B4"/>
            </a:solidFill>
            <a:ln>
              <a:solidFill>
                <a:schemeClr val="tx1"/>
              </a:solidFill>
            </a:ln>
            <a:effectLst/>
          </c:spPr>
          <c:invertIfNegative val="0"/>
          <c:cat>
            <c:strRef>
              <c:f>'Figure A1. Transparency Index'!$B$13:$B$54</c:f>
              <c:strCache>
                <c:ptCount val="42"/>
                <c:pt idx="0">
                  <c:v>Switzerland</c:v>
                </c:pt>
                <c:pt idx="1">
                  <c:v>Iceland</c:v>
                </c:pt>
                <c:pt idx="2">
                  <c:v>Germany</c:v>
                </c:pt>
                <c:pt idx="3">
                  <c:v>EU (Commission and Council)</c:v>
                </c:pt>
                <c:pt idx="4">
                  <c:v>Netherlands</c:v>
                </c:pt>
                <c:pt idx="5">
                  <c:v>Finland</c:v>
                </c:pt>
                <c:pt idx="6">
                  <c:v>Denmark</c:v>
                </c:pt>
                <c:pt idx="7">
                  <c:v>Sweden</c:v>
                </c:pt>
                <c:pt idx="8">
                  <c:v>New Zealand</c:v>
                </c:pt>
                <c:pt idx="9">
                  <c:v>Norway</c:v>
                </c:pt>
                <c:pt idx="10">
                  <c:v>Luxembourg</c:v>
                </c:pt>
                <c:pt idx="11">
                  <c:v>Estonia</c:v>
                </c:pt>
                <c:pt idx="12">
                  <c:v>Latvia</c:v>
                </c:pt>
                <c:pt idx="13">
                  <c:v>Slovakia</c:v>
                </c:pt>
                <c:pt idx="14">
                  <c:v>France</c:v>
                </c:pt>
                <c:pt idx="15">
                  <c:v>United Kingdom</c:v>
                </c:pt>
                <c:pt idx="16">
                  <c:v>China</c:v>
                </c:pt>
                <c:pt idx="17">
                  <c:v>Taiwan</c:v>
                </c:pt>
                <c:pt idx="18">
                  <c:v>Japan</c:v>
                </c:pt>
                <c:pt idx="19">
                  <c:v>United States</c:v>
                </c:pt>
                <c:pt idx="20">
                  <c:v>Austria</c:v>
                </c:pt>
                <c:pt idx="21">
                  <c:v>Canada</c:v>
                </c:pt>
                <c:pt idx="22">
                  <c:v>Czech Republic</c:v>
                </c:pt>
                <c:pt idx="23">
                  <c:v>Cyprus</c:v>
                </c:pt>
                <c:pt idx="24">
                  <c:v>Bulgaria</c:v>
                </c:pt>
                <c:pt idx="25">
                  <c:v>Ireland</c:v>
                </c:pt>
                <c:pt idx="26">
                  <c:v>Australia</c:v>
                </c:pt>
                <c:pt idx="27">
                  <c:v>Belgium</c:v>
                </c:pt>
                <c:pt idx="28">
                  <c:v>Italy</c:v>
                </c:pt>
                <c:pt idx="29">
                  <c:v>Malta</c:v>
                </c:pt>
                <c:pt idx="30">
                  <c:v>Hungary</c:v>
                </c:pt>
                <c:pt idx="31">
                  <c:v>Croatia</c:v>
                </c:pt>
                <c:pt idx="32">
                  <c:v>Lithuania</c:v>
                </c:pt>
                <c:pt idx="33">
                  <c:v>Spain</c:v>
                </c:pt>
                <c:pt idx="34">
                  <c:v>Poland</c:v>
                </c:pt>
                <c:pt idx="35">
                  <c:v>Portugal</c:v>
                </c:pt>
                <c:pt idx="36">
                  <c:v>South Korea</c:v>
                </c:pt>
                <c:pt idx="37">
                  <c:v>Turkey</c:v>
                </c:pt>
                <c:pt idx="38">
                  <c:v>Romania</c:v>
                </c:pt>
                <c:pt idx="39">
                  <c:v>Slovenia</c:v>
                </c:pt>
                <c:pt idx="40">
                  <c:v>India</c:v>
                </c:pt>
                <c:pt idx="41">
                  <c:v>Greece</c:v>
                </c:pt>
              </c:strCache>
            </c:strRef>
          </c:cat>
          <c:val>
            <c:numRef>
              <c:f>'Figure A1. Transparency Index'!$F$13:$F$54</c:f>
              <c:numCache>
                <c:formatCode>0.00</c:formatCode>
                <c:ptCount val="42"/>
                <c:pt idx="0">
                  <c:v>1</c:v>
                </c:pt>
                <c:pt idx="1">
                  <c:v>1</c:v>
                </c:pt>
                <c:pt idx="2">
                  <c:v>0.99512195121951219</c:v>
                </c:pt>
                <c:pt idx="3">
                  <c:v>0.9375</c:v>
                </c:pt>
                <c:pt idx="4">
                  <c:v>0.98529411764705888</c:v>
                </c:pt>
                <c:pt idx="5">
                  <c:v>1</c:v>
                </c:pt>
                <c:pt idx="6">
                  <c:v>1</c:v>
                </c:pt>
                <c:pt idx="7">
                  <c:v>1</c:v>
                </c:pt>
                <c:pt idx="8">
                  <c:v>0.9375</c:v>
                </c:pt>
                <c:pt idx="9">
                  <c:v>1</c:v>
                </c:pt>
                <c:pt idx="10">
                  <c:v>1</c:v>
                </c:pt>
                <c:pt idx="11">
                  <c:v>1</c:v>
                </c:pt>
                <c:pt idx="12">
                  <c:v>0.94444444444444442</c:v>
                </c:pt>
                <c:pt idx="13">
                  <c:v>0.58620689655172409</c:v>
                </c:pt>
                <c:pt idx="14">
                  <c:v>1</c:v>
                </c:pt>
                <c:pt idx="15">
                  <c:v>1</c:v>
                </c:pt>
                <c:pt idx="16">
                  <c:v>1</c:v>
                </c:pt>
                <c:pt idx="17">
                  <c:v>1</c:v>
                </c:pt>
                <c:pt idx="18">
                  <c:v>0.93103448275862066</c:v>
                </c:pt>
                <c:pt idx="19">
                  <c:v>1</c:v>
                </c:pt>
                <c:pt idx="20">
                  <c:v>1</c:v>
                </c:pt>
                <c:pt idx="21">
                  <c:v>0.94029850746268662</c:v>
                </c:pt>
                <c:pt idx="22">
                  <c:v>0.88888888888888884</c:v>
                </c:pt>
                <c:pt idx="23">
                  <c:v>0.8</c:v>
                </c:pt>
                <c:pt idx="24">
                  <c:v>0.8</c:v>
                </c:pt>
                <c:pt idx="25">
                  <c:v>1</c:v>
                </c:pt>
                <c:pt idx="26">
                  <c:v>1</c:v>
                </c:pt>
                <c:pt idx="27">
                  <c:v>1</c:v>
                </c:pt>
                <c:pt idx="28">
                  <c:v>0.76470588235294112</c:v>
                </c:pt>
                <c:pt idx="29">
                  <c:v>0.25</c:v>
                </c:pt>
                <c:pt idx="30">
                  <c:v>0.75</c:v>
                </c:pt>
                <c:pt idx="31">
                  <c:v>0.7142857142857143</c:v>
                </c:pt>
                <c:pt idx="32">
                  <c:v>0.83673469387755106</c:v>
                </c:pt>
                <c:pt idx="33">
                  <c:v>0.90476190476190477</c:v>
                </c:pt>
                <c:pt idx="34">
                  <c:v>0.61290322580645162</c:v>
                </c:pt>
                <c:pt idx="35">
                  <c:v>0.82758620689655171</c:v>
                </c:pt>
                <c:pt idx="36">
                  <c:v>0.5714285714285714</c:v>
                </c:pt>
                <c:pt idx="37">
                  <c:v>0.89473684210526316</c:v>
                </c:pt>
                <c:pt idx="38">
                  <c:v>0.875</c:v>
                </c:pt>
                <c:pt idx="39">
                  <c:v>0.62962962962962965</c:v>
                </c:pt>
                <c:pt idx="40">
                  <c:v>0.66666666666666663</c:v>
                </c:pt>
                <c:pt idx="41">
                  <c:v>0.33333333333333331</c:v>
                </c:pt>
              </c:numCache>
            </c:numRef>
          </c:val>
          <c:extLst>
            <c:ext xmlns:c16="http://schemas.microsoft.com/office/drawing/2014/chart" uri="{C3380CC4-5D6E-409C-BE32-E72D297353CC}">
              <c16:uniqueId val="{00000003-7D43-47E4-B1EA-190E4960BA9E}"/>
            </c:ext>
          </c:extLst>
        </c:ser>
        <c:ser>
          <c:idx val="4"/>
          <c:order val="4"/>
          <c:tx>
            <c:strRef>
              <c:f>'Figure A1. Transparency Index'!$G$12</c:f>
              <c:strCache>
                <c:ptCount val="1"/>
                <c:pt idx="0">
                  <c:v>Numbers of military items known (share)</c:v>
                </c:pt>
              </c:strCache>
            </c:strRef>
          </c:tx>
          <c:spPr>
            <a:solidFill>
              <a:srgbClr val="E2F0D9"/>
            </a:solidFill>
            <a:ln>
              <a:solidFill>
                <a:schemeClr val="tx1"/>
              </a:solidFill>
            </a:ln>
            <a:effectLst/>
          </c:spPr>
          <c:invertIfNegative val="0"/>
          <c:cat>
            <c:strRef>
              <c:f>'Figure A1. Transparency Index'!$B$13:$B$54</c:f>
              <c:strCache>
                <c:ptCount val="42"/>
                <c:pt idx="0">
                  <c:v>Switzerland</c:v>
                </c:pt>
                <c:pt idx="1">
                  <c:v>Iceland</c:v>
                </c:pt>
                <c:pt idx="2">
                  <c:v>Germany</c:v>
                </c:pt>
                <c:pt idx="3">
                  <c:v>EU (Commission and Council)</c:v>
                </c:pt>
                <c:pt idx="4">
                  <c:v>Netherlands</c:v>
                </c:pt>
                <c:pt idx="5">
                  <c:v>Finland</c:v>
                </c:pt>
                <c:pt idx="6">
                  <c:v>Denmark</c:v>
                </c:pt>
                <c:pt idx="7">
                  <c:v>Sweden</c:v>
                </c:pt>
                <c:pt idx="8">
                  <c:v>New Zealand</c:v>
                </c:pt>
                <c:pt idx="9">
                  <c:v>Norway</c:v>
                </c:pt>
                <c:pt idx="10">
                  <c:v>Luxembourg</c:v>
                </c:pt>
                <c:pt idx="11">
                  <c:v>Estonia</c:v>
                </c:pt>
                <c:pt idx="12">
                  <c:v>Latvia</c:v>
                </c:pt>
                <c:pt idx="13">
                  <c:v>Slovakia</c:v>
                </c:pt>
                <c:pt idx="14">
                  <c:v>France</c:v>
                </c:pt>
                <c:pt idx="15">
                  <c:v>United Kingdom</c:v>
                </c:pt>
                <c:pt idx="16">
                  <c:v>China</c:v>
                </c:pt>
                <c:pt idx="17">
                  <c:v>Taiwan</c:v>
                </c:pt>
                <c:pt idx="18">
                  <c:v>Japan</c:v>
                </c:pt>
                <c:pt idx="19">
                  <c:v>United States</c:v>
                </c:pt>
                <c:pt idx="20">
                  <c:v>Austria</c:v>
                </c:pt>
                <c:pt idx="21">
                  <c:v>Canada</c:v>
                </c:pt>
                <c:pt idx="22">
                  <c:v>Czech Republic</c:v>
                </c:pt>
                <c:pt idx="23">
                  <c:v>Cyprus</c:v>
                </c:pt>
                <c:pt idx="24">
                  <c:v>Bulgaria</c:v>
                </c:pt>
                <c:pt idx="25">
                  <c:v>Ireland</c:v>
                </c:pt>
                <c:pt idx="26">
                  <c:v>Australia</c:v>
                </c:pt>
                <c:pt idx="27">
                  <c:v>Belgium</c:v>
                </c:pt>
                <c:pt idx="28">
                  <c:v>Italy</c:v>
                </c:pt>
                <c:pt idx="29">
                  <c:v>Malta</c:v>
                </c:pt>
                <c:pt idx="30">
                  <c:v>Hungary</c:v>
                </c:pt>
                <c:pt idx="31">
                  <c:v>Croatia</c:v>
                </c:pt>
                <c:pt idx="32">
                  <c:v>Lithuania</c:v>
                </c:pt>
                <c:pt idx="33">
                  <c:v>Spain</c:v>
                </c:pt>
                <c:pt idx="34">
                  <c:v>Poland</c:v>
                </c:pt>
                <c:pt idx="35">
                  <c:v>Portugal</c:v>
                </c:pt>
                <c:pt idx="36">
                  <c:v>South Korea</c:v>
                </c:pt>
                <c:pt idx="37">
                  <c:v>Turkey</c:v>
                </c:pt>
                <c:pt idx="38">
                  <c:v>Romania</c:v>
                </c:pt>
                <c:pt idx="39">
                  <c:v>Slovenia</c:v>
                </c:pt>
                <c:pt idx="40">
                  <c:v>India</c:v>
                </c:pt>
                <c:pt idx="41">
                  <c:v>Greece</c:v>
                </c:pt>
              </c:strCache>
            </c:strRef>
          </c:cat>
          <c:val>
            <c:numRef>
              <c:f>'Figure A1. Transparency Index'!$G$13:$G$54</c:f>
              <c:numCache>
                <c:formatCode>0.00</c:formatCode>
                <c:ptCount val="42"/>
                <c:pt idx="0">
                  <c:v>1</c:v>
                </c:pt>
                <c:pt idx="1">
                  <c:v>1</c:v>
                </c:pt>
                <c:pt idx="2">
                  <c:v>0.89411764705882357</c:v>
                </c:pt>
                <c:pt idx="3">
                  <c:v>1</c:v>
                </c:pt>
                <c:pt idx="4">
                  <c:v>0.83333333333333337</c:v>
                </c:pt>
                <c:pt idx="5">
                  <c:v>1</c:v>
                </c:pt>
                <c:pt idx="6">
                  <c:v>0.67741935483870974</c:v>
                </c:pt>
                <c:pt idx="7">
                  <c:v>0.61111111111111116</c:v>
                </c:pt>
                <c:pt idx="8">
                  <c:v>0.85714285714285721</c:v>
                </c:pt>
                <c:pt idx="9">
                  <c:v>0.72727272727272729</c:v>
                </c:pt>
                <c:pt idx="10">
                  <c:v>1</c:v>
                </c:pt>
                <c:pt idx="11">
                  <c:v>0.15517241379310343</c:v>
                </c:pt>
                <c:pt idx="12">
                  <c:v>0.70588235294117641</c:v>
                </c:pt>
                <c:pt idx="13">
                  <c:v>0.68181818181818188</c:v>
                </c:pt>
                <c:pt idx="14">
                  <c:v>0.64285714285714279</c:v>
                </c:pt>
                <c:pt idx="15">
                  <c:v>0.7192982456140351</c:v>
                </c:pt>
                <c:pt idx="16">
                  <c:v>1</c:v>
                </c:pt>
                <c:pt idx="17">
                  <c:v>1</c:v>
                </c:pt>
                <c:pt idx="18">
                  <c:v>0.30769230769230771</c:v>
                </c:pt>
                <c:pt idx="19">
                  <c:v>0.48549323017408119</c:v>
                </c:pt>
                <c:pt idx="20">
                  <c:v>1</c:v>
                </c:pt>
                <c:pt idx="21">
                  <c:v>0.72916666666666674</c:v>
                </c:pt>
                <c:pt idx="22">
                  <c:v>0.95652173913043481</c:v>
                </c:pt>
                <c:pt idx="23">
                  <c:v>1</c:v>
                </c:pt>
                <c:pt idx="24">
                  <c:v>1</c:v>
                </c:pt>
                <c:pt idx="25">
                  <c:v>1</c:v>
                </c:pt>
                <c:pt idx="26">
                  <c:v>0.47619047619047616</c:v>
                </c:pt>
                <c:pt idx="27">
                  <c:v>0.39215686274509809</c:v>
                </c:pt>
                <c:pt idx="28">
                  <c:v>0.64705882352941169</c:v>
                </c:pt>
                <c:pt idx="29">
                  <c:v>1</c:v>
                </c:pt>
                <c:pt idx="30">
                  <c:v>1</c:v>
                </c:pt>
                <c:pt idx="31">
                  <c:v>0.5</c:v>
                </c:pt>
                <c:pt idx="32">
                  <c:v>0.38235294117647056</c:v>
                </c:pt>
                <c:pt idx="33">
                  <c:v>0.82758620689655171</c:v>
                </c:pt>
                <c:pt idx="34">
                  <c:v>0.78260869565217395</c:v>
                </c:pt>
                <c:pt idx="35">
                  <c:v>0.61904761904761907</c:v>
                </c:pt>
                <c:pt idx="36">
                  <c:v>0.33333333333333337</c:v>
                </c:pt>
                <c:pt idx="37">
                  <c:v>1</c:v>
                </c:pt>
                <c:pt idx="38">
                  <c:v>0.5</c:v>
                </c:pt>
                <c:pt idx="39">
                  <c:v>0.33333333333333337</c:v>
                </c:pt>
                <c:pt idx="40">
                  <c:v>1</c:v>
                </c:pt>
                <c:pt idx="41">
                  <c:v>0.75</c:v>
                </c:pt>
              </c:numCache>
            </c:numRef>
          </c:val>
          <c:extLst>
            <c:ext xmlns:c16="http://schemas.microsoft.com/office/drawing/2014/chart" uri="{C3380CC4-5D6E-409C-BE32-E72D297353CC}">
              <c16:uniqueId val="{00000004-7D43-47E4-B1EA-190E4960BA9E}"/>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1"/>
        <c:minorUnit val="0.5"/>
      </c:valAx>
      <c:spPr>
        <a:noFill/>
        <a:ln>
          <a:noFill/>
        </a:ln>
        <a:effectLst/>
      </c:spPr>
    </c:plotArea>
    <c:legend>
      <c:legendPos val="r"/>
      <c:layout>
        <c:manualLayout>
          <c:xMode val="edge"/>
          <c:yMode val="edge"/>
          <c:x val="0.69832291857907058"/>
          <c:y val="0.5989423000446622"/>
          <c:w val="0.29028949152572953"/>
          <c:h val="0.31144157096913"/>
        </c:manualLayout>
      </c:layout>
      <c:overlay val="0"/>
      <c:spPr>
        <a:solidFill>
          <a:srgbClr val="FFFFFF"/>
        </a:solid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567436993400062"/>
          <c:y val="1.0674297941238312E-2"/>
          <c:w val="0.821398012502082"/>
          <c:h val="0.94825241232928181"/>
        </c:manualLayout>
      </c:layout>
      <c:barChart>
        <c:barDir val="bar"/>
        <c:grouping val="stacked"/>
        <c:varyColors val="0"/>
        <c:ser>
          <c:idx val="0"/>
          <c:order val="0"/>
          <c:tx>
            <c:strRef>
              <c:f>'Figure A2.  Ranking % GDP + EU'!$C$11</c:f>
              <c:strCache>
                <c:ptCount val="1"/>
                <c:pt idx="0">
                  <c:v>Total bilateral commitments</c:v>
                </c:pt>
              </c:strCache>
            </c:strRef>
          </c:tx>
          <c:spPr>
            <a:solidFill>
              <a:schemeClr val="accent5">
                <a:lumMod val="75000"/>
              </a:schemeClr>
            </a:solidFill>
            <a:ln>
              <a:solidFill>
                <a:srgbClr val="000000"/>
              </a:solidFill>
              <a:prstDash val="solid"/>
            </a:ln>
            <a:effectLst/>
          </c:spPr>
          <c:invertIfNegative val="0"/>
          <c:cat>
            <c:strRef>
              <c:f>'Figure A2.  Ranking % GDP + EU'!$B$12:$B$52</c:f>
              <c:strCache>
                <c:ptCount val="41"/>
                <c:pt idx="0">
                  <c:v>Estonia</c:v>
                </c:pt>
                <c:pt idx="1">
                  <c:v>Latvia</c:v>
                </c:pt>
                <c:pt idx="2">
                  <c:v>Lithuania</c:v>
                </c:pt>
                <c:pt idx="3">
                  <c:v>Poland</c:v>
                </c:pt>
                <c:pt idx="4">
                  <c:v>Slovakia</c:v>
                </c:pt>
                <c:pt idx="5">
                  <c:v>Denmark</c:v>
                </c:pt>
                <c:pt idx="6">
                  <c:v>Netherlands</c:v>
                </c:pt>
                <c:pt idx="7">
                  <c:v>Finland</c:v>
                </c:pt>
                <c:pt idx="8">
                  <c:v>Bulgaria</c:v>
                </c:pt>
                <c:pt idx="9">
                  <c:v>Czech Republic</c:v>
                </c:pt>
                <c:pt idx="10">
                  <c:v>Croatia</c:v>
                </c:pt>
                <c:pt idx="11">
                  <c:v>Sweden</c:v>
                </c:pt>
                <c:pt idx="12">
                  <c:v>Norway</c:v>
                </c:pt>
                <c:pt idx="13">
                  <c:v>Germany</c:v>
                </c:pt>
                <c:pt idx="14">
                  <c:v>Austria</c:v>
                </c:pt>
                <c:pt idx="15">
                  <c:v>United Kingdom</c:v>
                </c:pt>
                <c:pt idx="16">
                  <c:v>Spain</c:v>
                </c:pt>
                <c:pt idx="17">
                  <c:v>Portugal</c:v>
                </c:pt>
                <c:pt idx="18">
                  <c:v>Greece</c:v>
                </c:pt>
                <c:pt idx="19">
                  <c:v>Slovenia</c:v>
                </c:pt>
                <c:pt idx="20">
                  <c:v>United States</c:v>
                </c:pt>
                <c:pt idx="21">
                  <c:v>Belgium</c:v>
                </c:pt>
                <c:pt idx="22">
                  <c:v>Italy</c:v>
                </c:pt>
                <c:pt idx="23">
                  <c:v>Canada</c:v>
                </c:pt>
                <c:pt idx="24">
                  <c:v>France</c:v>
                </c:pt>
                <c:pt idx="25">
                  <c:v>Hungary</c:v>
                </c:pt>
                <c:pt idx="26">
                  <c:v>Romania</c:v>
                </c:pt>
                <c:pt idx="27">
                  <c:v>Luxembourg</c:v>
                </c:pt>
                <c:pt idx="28">
                  <c:v>Cyprus</c:v>
                </c:pt>
                <c:pt idx="29">
                  <c:v>Malta</c:v>
                </c:pt>
                <c:pt idx="30">
                  <c:v>Ireland</c:v>
                </c:pt>
                <c:pt idx="31">
                  <c:v>Japan</c:v>
                </c:pt>
                <c:pt idx="32">
                  <c:v>Iceland</c:v>
                </c:pt>
                <c:pt idx="33">
                  <c:v>Switzerland</c:v>
                </c:pt>
                <c:pt idx="34">
                  <c:v>South Korea</c:v>
                </c:pt>
                <c:pt idx="35">
                  <c:v>Australia</c:v>
                </c:pt>
                <c:pt idx="36">
                  <c:v>New Zealand</c:v>
                </c:pt>
                <c:pt idx="37">
                  <c:v>Taiwan</c:v>
                </c:pt>
                <c:pt idx="38">
                  <c:v>Turkey</c:v>
                </c:pt>
                <c:pt idx="39">
                  <c:v>India</c:v>
                </c:pt>
                <c:pt idx="40">
                  <c:v>China</c:v>
                </c:pt>
              </c:strCache>
            </c:strRef>
          </c:cat>
          <c:val>
            <c:numRef>
              <c:f>'Figure A2.  Ranking % GDP + EU'!$C$12:$C$52</c:f>
              <c:numCache>
                <c:formatCode>0.00</c:formatCode>
                <c:ptCount val="41"/>
                <c:pt idx="0">
                  <c:v>1.2606201250160036</c:v>
                </c:pt>
                <c:pt idx="1">
                  <c:v>1.0912278632551458</c:v>
                </c:pt>
                <c:pt idx="2">
                  <c:v>0.95193792981649195</c:v>
                </c:pt>
                <c:pt idx="3">
                  <c:v>0.68246360725370525</c:v>
                </c:pt>
                <c:pt idx="4">
                  <c:v>0.63140985475637346</c:v>
                </c:pt>
                <c:pt idx="5">
                  <c:v>0.5148332270620376</c:v>
                </c:pt>
                <c:pt idx="6">
                  <c:v>0.43598129254435675</c:v>
                </c:pt>
                <c:pt idx="7">
                  <c:v>0.44349055053897235</c:v>
                </c:pt>
                <c:pt idx="8">
                  <c:v>0.31029885204797214</c:v>
                </c:pt>
                <c:pt idx="9">
                  <c:v>0.36084559731036259</c:v>
                </c:pt>
                <c:pt idx="10">
                  <c:v>0.29945870655314943</c:v>
                </c:pt>
                <c:pt idx="11">
                  <c:v>0.31251679022643342</c:v>
                </c:pt>
                <c:pt idx="12">
                  <c:v>0.47094720935177292</c:v>
                </c:pt>
                <c:pt idx="13">
                  <c:v>0.27250538647727673</c:v>
                </c:pt>
                <c:pt idx="14">
                  <c:v>0.19591954131756775</c:v>
                </c:pt>
                <c:pt idx="15">
                  <c:v>0.37258230705466278</c:v>
                </c:pt>
                <c:pt idx="16">
                  <c:v>6.361716780432565E-2</c:v>
                </c:pt>
                <c:pt idx="17">
                  <c:v>0.14018307955675754</c:v>
                </c:pt>
                <c:pt idx="18">
                  <c:v>9.4505790632724782E-2</c:v>
                </c:pt>
                <c:pt idx="19">
                  <c:v>0.10758351857801417</c:v>
                </c:pt>
                <c:pt idx="20">
                  <c:v>0.3295528779935728</c:v>
                </c:pt>
                <c:pt idx="21">
                  <c:v>8.9771779635338056E-2</c:v>
                </c:pt>
                <c:pt idx="22">
                  <c:v>6.9317275513089985E-2</c:v>
                </c:pt>
                <c:pt idx="23">
                  <c:v>0.28800474692007605</c:v>
                </c:pt>
                <c:pt idx="24">
                  <c:v>5.3695641016007399E-2</c:v>
                </c:pt>
                <c:pt idx="25">
                  <c:v>2.8154793100345764E-2</c:v>
                </c:pt>
                <c:pt idx="26">
                  <c:v>4.8172137544917719E-2</c:v>
                </c:pt>
                <c:pt idx="27">
                  <c:v>0.12155002130843041</c:v>
                </c:pt>
                <c:pt idx="28">
                  <c:v>1.147710223619349E-2</c:v>
                </c:pt>
                <c:pt idx="29">
                  <c:v>1.2955944350977111E-2</c:v>
                </c:pt>
                <c:pt idx="30">
                  <c:v>1.9488029726067776E-2</c:v>
                </c:pt>
                <c:pt idx="31">
                  <c:v>0.14555394181194639</c:v>
                </c:pt>
                <c:pt idx="32">
                  <c:v>0.12558869496454383</c:v>
                </c:pt>
                <c:pt idx="33">
                  <c:v>5.3010273516371956E-2</c:v>
                </c:pt>
                <c:pt idx="34">
                  <c:v>3.6642527324201112E-2</c:v>
                </c:pt>
                <c:pt idx="35">
                  <c:v>2.9670869414501082E-2</c:v>
                </c:pt>
                <c:pt idx="36">
                  <c:v>1.0959428014457219E-2</c:v>
                </c:pt>
                <c:pt idx="37">
                  <c:v>8.8387096774193569E-3</c:v>
                </c:pt>
                <c:pt idx="38">
                  <c:v>8.8037343819696631E-3</c:v>
                </c:pt>
                <c:pt idx="39">
                  <c:v>6.1305702393715236E-5</c:v>
                </c:pt>
                <c:pt idx="40">
                  <c:v>1.3329312542224588E-5</c:v>
                </c:pt>
              </c:numCache>
            </c:numRef>
          </c:val>
          <c:extLst>
            <c:ext xmlns:c16="http://schemas.microsoft.com/office/drawing/2014/chart" uri="{C3380CC4-5D6E-409C-BE32-E72D297353CC}">
              <c16:uniqueId val="{00000001-D943-4AE8-8D06-4F0FEAED122E}"/>
            </c:ext>
          </c:extLst>
        </c:ser>
        <c:ser>
          <c:idx val="1"/>
          <c:order val="1"/>
          <c:tx>
            <c:strRef>
              <c:f>'Figure A2.  Ranking % GDP + EU'!$D$11</c:f>
              <c:strCache>
                <c:ptCount val="1"/>
                <c:pt idx="0">
                  <c:v>Share of EU commitments (includes Commission and Council, EPF and EIB)</c:v>
                </c:pt>
              </c:strCache>
            </c:strRef>
          </c:tx>
          <c:spPr>
            <a:solidFill>
              <a:schemeClr val="accent2"/>
            </a:solidFill>
            <a:ln>
              <a:solidFill>
                <a:srgbClr val="000000"/>
              </a:solidFill>
              <a:prstDash val="solid"/>
            </a:ln>
            <a:effectLst/>
          </c:spPr>
          <c:invertIfNegative val="0"/>
          <c:cat>
            <c:strRef>
              <c:f>'Figure A2.  Ranking % GDP + EU'!$B$12:$B$52</c:f>
              <c:strCache>
                <c:ptCount val="41"/>
                <c:pt idx="0">
                  <c:v>Estonia</c:v>
                </c:pt>
                <c:pt idx="1">
                  <c:v>Latvia</c:v>
                </c:pt>
                <c:pt idx="2">
                  <c:v>Lithuania</c:v>
                </c:pt>
                <c:pt idx="3">
                  <c:v>Poland</c:v>
                </c:pt>
                <c:pt idx="4">
                  <c:v>Slovakia</c:v>
                </c:pt>
                <c:pt idx="5">
                  <c:v>Denmark</c:v>
                </c:pt>
                <c:pt idx="6">
                  <c:v>Netherlands</c:v>
                </c:pt>
                <c:pt idx="7">
                  <c:v>Finland</c:v>
                </c:pt>
                <c:pt idx="8">
                  <c:v>Bulgaria</c:v>
                </c:pt>
                <c:pt idx="9">
                  <c:v>Czech Republic</c:v>
                </c:pt>
                <c:pt idx="10">
                  <c:v>Croatia</c:v>
                </c:pt>
                <c:pt idx="11">
                  <c:v>Sweden</c:v>
                </c:pt>
                <c:pt idx="12">
                  <c:v>Norway</c:v>
                </c:pt>
                <c:pt idx="13">
                  <c:v>Germany</c:v>
                </c:pt>
                <c:pt idx="14">
                  <c:v>Austria</c:v>
                </c:pt>
                <c:pt idx="15">
                  <c:v>United Kingdom</c:v>
                </c:pt>
                <c:pt idx="16">
                  <c:v>Spain</c:v>
                </c:pt>
                <c:pt idx="17">
                  <c:v>Portugal</c:v>
                </c:pt>
                <c:pt idx="18">
                  <c:v>Greece</c:v>
                </c:pt>
                <c:pt idx="19">
                  <c:v>Slovenia</c:v>
                </c:pt>
                <c:pt idx="20">
                  <c:v>United States</c:v>
                </c:pt>
                <c:pt idx="21">
                  <c:v>Belgium</c:v>
                </c:pt>
                <c:pt idx="22">
                  <c:v>Italy</c:v>
                </c:pt>
                <c:pt idx="23">
                  <c:v>Canada</c:v>
                </c:pt>
                <c:pt idx="24">
                  <c:v>France</c:v>
                </c:pt>
                <c:pt idx="25">
                  <c:v>Hungary</c:v>
                </c:pt>
                <c:pt idx="26">
                  <c:v>Romania</c:v>
                </c:pt>
                <c:pt idx="27">
                  <c:v>Luxembourg</c:v>
                </c:pt>
                <c:pt idx="28">
                  <c:v>Cyprus</c:v>
                </c:pt>
                <c:pt idx="29">
                  <c:v>Malta</c:v>
                </c:pt>
                <c:pt idx="30">
                  <c:v>Ireland</c:v>
                </c:pt>
                <c:pt idx="31">
                  <c:v>Japan</c:v>
                </c:pt>
                <c:pt idx="32">
                  <c:v>Iceland</c:v>
                </c:pt>
                <c:pt idx="33">
                  <c:v>Switzerland</c:v>
                </c:pt>
                <c:pt idx="34">
                  <c:v>South Korea</c:v>
                </c:pt>
                <c:pt idx="35">
                  <c:v>Australia</c:v>
                </c:pt>
                <c:pt idx="36">
                  <c:v>New Zealand</c:v>
                </c:pt>
                <c:pt idx="37">
                  <c:v>Taiwan</c:v>
                </c:pt>
                <c:pt idx="38">
                  <c:v>Turkey</c:v>
                </c:pt>
                <c:pt idx="39">
                  <c:v>India</c:v>
                </c:pt>
                <c:pt idx="40">
                  <c:v>China</c:v>
                </c:pt>
              </c:strCache>
            </c:strRef>
          </c:cat>
          <c:val>
            <c:numRef>
              <c:f>'Figure A2.  Ranking % GDP + EU'!$D$12:$D$52</c:f>
              <c:numCache>
                <c:formatCode>0.00</c:formatCode>
                <c:ptCount val="41"/>
                <c:pt idx="0">
                  <c:v>0.19750963825623741</c:v>
                </c:pt>
                <c:pt idx="1">
                  <c:v>0.19240734384252206</c:v>
                </c:pt>
                <c:pt idx="2">
                  <c:v>0.1851457461005466</c:v>
                </c:pt>
                <c:pt idx="3">
                  <c:v>0.23205003670751612</c:v>
                </c:pt>
                <c:pt idx="4">
                  <c:v>0.27864262379898613</c:v>
                </c:pt>
                <c:pt idx="5">
                  <c:v>0.24123918628666205</c:v>
                </c:pt>
                <c:pt idx="6">
                  <c:v>0.27872766308147956</c:v>
                </c:pt>
                <c:pt idx="7">
                  <c:v>0.21849964178859727</c:v>
                </c:pt>
                <c:pt idx="8">
                  <c:v>0.25962120455887494</c:v>
                </c:pt>
                <c:pt idx="9">
                  <c:v>0.19555811510032065</c:v>
                </c:pt>
                <c:pt idx="10">
                  <c:v>0.22863257285543021</c:v>
                </c:pt>
                <c:pt idx="11">
                  <c:v>0.20348701181201814</c:v>
                </c:pt>
                <c:pt idx="12">
                  <c:v>0</c:v>
                </c:pt>
                <c:pt idx="13">
                  <c:v>0.1870183072178854</c:v>
                </c:pt>
                <c:pt idx="14">
                  <c:v>0.22937694233578862</c:v>
                </c:pt>
                <c:pt idx="15">
                  <c:v>0</c:v>
                </c:pt>
                <c:pt idx="16">
                  <c:v>0.30137893115128239</c:v>
                </c:pt>
                <c:pt idx="17">
                  <c:v>0.21324372976072598</c:v>
                </c:pt>
                <c:pt idx="18">
                  <c:v>0.24934938857269318</c:v>
                </c:pt>
                <c:pt idx="19">
                  <c:v>0.21804232013701128</c:v>
                </c:pt>
                <c:pt idx="20">
                  <c:v>0</c:v>
                </c:pt>
                <c:pt idx="21">
                  <c:v>0.22973754057404133</c:v>
                </c:pt>
                <c:pt idx="22">
                  <c:v>0.2285172893555184</c:v>
                </c:pt>
                <c:pt idx="23">
                  <c:v>0</c:v>
                </c:pt>
                <c:pt idx="24">
                  <c:v>0.22045627849322105</c:v>
                </c:pt>
                <c:pt idx="25">
                  <c:v>0.23803518098778118</c:v>
                </c:pt>
                <c:pt idx="26">
                  <c:v>0.21312055151732068</c:v>
                </c:pt>
                <c:pt idx="27">
                  <c:v>0.13878573881650988</c:v>
                </c:pt>
                <c:pt idx="28">
                  <c:v>0.20768470302563258</c:v>
                </c:pt>
                <c:pt idx="29">
                  <c:v>0.1798166449941182</c:v>
                </c:pt>
                <c:pt idx="30">
                  <c:v>0.14800019901350597</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3-D943-4AE8-8D06-4F0FEAED122E}"/>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8788277777777778"/>
          <c:y val="0.40434166666666665"/>
          <c:w val="0.35219129629629625"/>
          <c:h val="0.1549364583333333"/>
        </c:manualLayout>
      </c:layout>
      <c:overlay val="1"/>
      <c:spPr>
        <a:solidFill>
          <a:sysClr val="window" lastClr="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75776083460296"/>
          <c:y val="1.2458761997815967E-2"/>
          <c:w val="0.83620091743863123"/>
          <c:h val="0.95575349157997591"/>
        </c:manualLayout>
      </c:layout>
      <c:barChart>
        <c:barDir val="bar"/>
        <c:grouping val="stacked"/>
        <c:varyColors val="0"/>
        <c:ser>
          <c:idx val="0"/>
          <c:order val="0"/>
          <c:tx>
            <c:strRef>
              <c:f>'Fig 4. Ranking (€)'!$C$11</c:f>
              <c:strCache>
                <c:ptCount val="1"/>
                <c:pt idx="0">
                  <c:v>Financial</c:v>
                </c:pt>
              </c:strCache>
            </c:strRef>
          </c:tx>
          <c:spPr>
            <a:solidFill>
              <a:srgbClr val="0070C0"/>
            </a:solidFill>
            <a:ln>
              <a:solidFill>
                <a:schemeClr val="tx1"/>
              </a:solidFill>
            </a:ln>
            <a:effectLst/>
          </c:spPr>
          <c:invertIfNegative val="0"/>
          <c:cat>
            <c:strRef>
              <c:f>'Fig 4. Ranking (€)'!$B$12:$B$53</c:f>
              <c:strCache>
                <c:ptCount val="42"/>
                <c:pt idx="0">
                  <c:v>United States</c:v>
                </c:pt>
                <c:pt idx="1">
                  <c:v>EU Institutions</c:v>
                </c:pt>
                <c:pt idx="2">
                  <c:v>United Kingdom</c:v>
                </c:pt>
                <c:pt idx="3">
                  <c:v>Germany</c:v>
                </c:pt>
                <c:pt idx="4">
                  <c:v>Japan</c:v>
                </c:pt>
                <c:pt idx="5">
                  <c:v>Canada</c:v>
                </c:pt>
                <c:pt idx="6">
                  <c:v>Poland</c:v>
                </c:pt>
                <c:pt idx="7">
                  <c:v>Netherlands</c:v>
                </c:pt>
                <c:pt idx="8">
                  <c:v>Norway</c:v>
                </c:pt>
                <c:pt idx="9">
                  <c:v>Denmark</c:v>
                </c:pt>
                <c:pt idx="10">
                  <c:v>Sweden</c:v>
                </c:pt>
                <c:pt idx="11">
                  <c:v>France</c:v>
                </c:pt>
                <c:pt idx="12">
                  <c:v>Italy</c:v>
                </c:pt>
                <c:pt idx="13">
                  <c:v>Finland</c:v>
                </c:pt>
                <c:pt idx="14">
                  <c:v>Czech Republic</c:v>
                </c:pt>
                <c:pt idx="15">
                  <c:v>Austria</c:v>
                </c:pt>
                <c:pt idx="16">
                  <c:v>Spain</c:v>
                </c:pt>
                <c:pt idx="17">
                  <c:v>Slovakia</c:v>
                </c:pt>
                <c:pt idx="18">
                  <c:v>South Korea</c:v>
                </c:pt>
                <c:pt idx="19">
                  <c:v>Lithuania</c:v>
                </c:pt>
                <c:pt idx="20">
                  <c:v>Belgium</c:v>
                </c:pt>
                <c:pt idx="21">
                  <c:v>Estonia</c:v>
                </c:pt>
                <c:pt idx="22">
                  <c:v>Australia</c:v>
                </c:pt>
                <c:pt idx="23">
                  <c:v>Latvia</c:v>
                </c:pt>
                <c:pt idx="24">
                  <c:v>Switzerland</c:v>
                </c:pt>
                <c:pt idx="25">
                  <c:v>Portugal</c:v>
                </c:pt>
                <c:pt idx="26">
                  <c:v>Bulgaria</c:v>
                </c:pt>
                <c:pt idx="27">
                  <c:v>Croatia</c:v>
                </c:pt>
                <c:pt idx="28">
                  <c:v>Greece</c:v>
                </c:pt>
                <c:pt idx="29">
                  <c:v>Romania</c:v>
                </c:pt>
                <c:pt idx="30">
                  <c:v>Slovenia</c:v>
                </c:pt>
                <c:pt idx="31">
                  <c:v>Luxembourg</c:v>
                </c:pt>
                <c:pt idx="32">
                  <c:v>Ireland</c:v>
                </c:pt>
                <c:pt idx="33">
                  <c:v>Turkey</c:v>
                </c:pt>
                <c:pt idx="34">
                  <c:v>Taiwan</c:v>
                </c:pt>
                <c:pt idx="35">
                  <c:v>Hungary</c:v>
                </c:pt>
                <c:pt idx="36">
                  <c:v>Iceland</c:v>
                </c:pt>
                <c:pt idx="37">
                  <c:v>New Zealand</c:v>
                </c:pt>
                <c:pt idx="38">
                  <c:v>Cyprus</c:v>
                </c:pt>
                <c:pt idx="39">
                  <c:v>China</c:v>
                </c:pt>
                <c:pt idx="40">
                  <c:v>Malta</c:v>
                </c:pt>
                <c:pt idx="41">
                  <c:v>India</c:v>
                </c:pt>
              </c:strCache>
            </c:strRef>
          </c:cat>
          <c:val>
            <c:numRef>
              <c:f>'Fig 4. Ranking (€)'!$C$12:$C$53</c:f>
              <c:numCache>
                <c:formatCode>0.00</c:formatCode>
                <c:ptCount val="42"/>
                <c:pt idx="0">
                  <c:v>24.263894000736109</c:v>
                </c:pt>
                <c:pt idx="1">
                  <c:v>27.322500000000002</c:v>
                </c:pt>
                <c:pt idx="2">
                  <c:v>3.8866162922313756</c:v>
                </c:pt>
                <c:pt idx="3">
                  <c:v>1.3</c:v>
                </c:pt>
                <c:pt idx="4">
                  <c:v>5.5866304747883699</c:v>
                </c:pt>
                <c:pt idx="5">
                  <c:v>3.4181925057648148</c:v>
                </c:pt>
                <c:pt idx="6">
                  <c:v>0.92674858941155414</c:v>
                </c:pt>
                <c:pt idx="7">
                  <c:v>0.99282278248067724</c:v>
                </c:pt>
                <c:pt idx="8">
                  <c:v>0.88724111480439782</c:v>
                </c:pt>
                <c:pt idx="9">
                  <c:v>5.7500000000000002E-2</c:v>
                </c:pt>
                <c:pt idx="10">
                  <c:v>0.19906842957504756</c:v>
                </c:pt>
                <c:pt idx="11">
                  <c:v>0.69940000000000002</c:v>
                </c:pt>
                <c:pt idx="12">
                  <c:v>0.41</c:v>
                </c:pt>
                <c:pt idx="13">
                  <c:v>7.5499999999999998E-2</c:v>
                </c:pt>
                <c:pt idx="14">
                  <c:v>0</c:v>
                </c:pt>
                <c:pt idx="15">
                  <c:v>0.04</c:v>
                </c:pt>
                <c:pt idx="16">
                  <c:v>0.45419999999999999</c:v>
                </c:pt>
                <c:pt idx="17">
                  <c:v>0</c:v>
                </c:pt>
                <c:pt idx="18">
                  <c:v>0.39565697460434307</c:v>
                </c:pt>
                <c:pt idx="19">
                  <c:v>0.03</c:v>
                </c:pt>
                <c:pt idx="20">
                  <c:v>1.6060000000000001E-2</c:v>
                </c:pt>
                <c:pt idx="21">
                  <c:v>0</c:v>
                </c:pt>
                <c:pt idx="22">
                  <c:v>0</c:v>
                </c:pt>
                <c:pt idx="23">
                  <c:v>2.5000000000000001E-2</c:v>
                </c:pt>
                <c:pt idx="24">
                  <c:v>3.8970362014152396E-2</c:v>
                </c:pt>
                <c:pt idx="25">
                  <c:v>0.25</c:v>
                </c:pt>
                <c:pt idx="26">
                  <c:v>0</c:v>
                </c:pt>
                <c:pt idx="27">
                  <c:v>0</c:v>
                </c:pt>
                <c:pt idx="28">
                  <c:v>0</c:v>
                </c:pt>
                <c:pt idx="29">
                  <c:v>0</c:v>
                </c:pt>
                <c:pt idx="30">
                  <c:v>0</c:v>
                </c:pt>
                <c:pt idx="31">
                  <c:v>0</c:v>
                </c:pt>
                <c:pt idx="32">
                  <c:v>2.5000000000000001E-2</c:v>
                </c:pt>
                <c:pt idx="33">
                  <c:v>0</c:v>
                </c:pt>
                <c:pt idx="34">
                  <c:v>0</c:v>
                </c:pt>
                <c:pt idx="35">
                  <c:v>0</c:v>
                </c:pt>
                <c:pt idx="36">
                  <c:v>9.4038678806406591E-3</c:v>
                </c:pt>
                <c:pt idx="37">
                  <c:v>0</c:v>
                </c:pt>
                <c:pt idx="38">
                  <c:v>0</c:v>
                </c:pt>
                <c:pt idx="39">
                  <c:v>0</c:v>
                </c:pt>
                <c:pt idx="40">
                  <c:v>0</c:v>
                </c:pt>
                <c:pt idx="41">
                  <c:v>0</c:v>
                </c:pt>
              </c:numCache>
            </c:numRef>
          </c:val>
          <c:extLst>
            <c:ext xmlns:c16="http://schemas.microsoft.com/office/drawing/2014/chart" uri="{C3380CC4-5D6E-409C-BE32-E72D297353CC}">
              <c16:uniqueId val="{00000001-567E-4641-BA75-DBEB8C073A6A}"/>
            </c:ext>
          </c:extLst>
        </c:ser>
        <c:ser>
          <c:idx val="1"/>
          <c:order val="1"/>
          <c:tx>
            <c:strRef>
              <c:f>'Fig 4. Ranking (€)'!$D$11</c:f>
              <c:strCache>
                <c:ptCount val="1"/>
                <c:pt idx="0">
                  <c:v>Humanitarian</c:v>
                </c:pt>
              </c:strCache>
            </c:strRef>
          </c:tx>
          <c:spPr>
            <a:solidFill>
              <a:srgbClr val="92D050"/>
            </a:solidFill>
            <a:ln>
              <a:solidFill>
                <a:schemeClr val="tx1"/>
              </a:solidFill>
            </a:ln>
            <a:effectLst/>
          </c:spPr>
          <c:invertIfNegative val="0"/>
          <c:cat>
            <c:strRef>
              <c:f>'Fig 4. Ranking (€)'!$B$12:$B$53</c:f>
              <c:strCache>
                <c:ptCount val="42"/>
                <c:pt idx="0">
                  <c:v>United States</c:v>
                </c:pt>
                <c:pt idx="1">
                  <c:v>EU Institutions</c:v>
                </c:pt>
                <c:pt idx="2">
                  <c:v>United Kingdom</c:v>
                </c:pt>
                <c:pt idx="3">
                  <c:v>Germany</c:v>
                </c:pt>
                <c:pt idx="4">
                  <c:v>Japan</c:v>
                </c:pt>
                <c:pt idx="5">
                  <c:v>Canada</c:v>
                </c:pt>
                <c:pt idx="6">
                  <c:v>Poland</c:v>
                </c:pt>
                <c:pt idx="7">
                  <c:v>Netherlands</c:v>
                </c:pt>
                <c:pt idx="8">
                  <c:v>Norway</c:v>
                </c:pt>
                <c:pt idx="9">
                  <c:v>Denmark</c:v>
                </c:pt>
                <c:pt idx="10">
                  <c:v>Sweden</c:v>
                </c:pt>
                <c:pt idx="11">
                  <c:v>France</c:v>
                </c:pt>
                <c:pt idx="12">
                  <c:v>Italy</c:v>
                </c:pt>
                <c:pt idx="13">
                  <c:v>Finland</c:v>
                </c:pt>
                <c:pt idx="14">
                  <c:v>Czech Republic</c:v>
                </c:pt>
                <c:pt idx="15">
                  <c:v>Austria</c:v>
                </c:pt>
                <c:pt idx="16">
                  <c:v>Spain</c:v>
                </c:pt>
                <c:pt idx="17">
                  <c:v>Slovakia</c:v>
                </c:pt>
                <c:pt idx="18">
                  <c:v>South Korea</c:v>
                </c:pt>
                <c:pt idx="19">
                  <c:v>Lithuania</c:v>
                </c:pt>
                <c:pt idx="20">
                  <c:v>Belgium</c:v>
                </c:pt>
                <c:pt idx="21">
                  <c:v>Estonia</c:v>
                </c:pt>
                <c:pt idx="22">
                  <c:v>Australia</c:v>
                </c:pt>
                <c:pt idx="23">
                  <c:v>Latvia</c:v>
                </c:pt>
                <c:pt idx="24">
                  <c:v>Switzerland</c:v>
                </c:pt>
                <c:pt idx="25">
                  <c:v>Portugal</c:v>
                </c:pt>
                <c:pt idx="26">
                  <c:v>Bulgaria</c:v>
                </c:pt>
                <c:pt idx="27">
                  <c:v>Croatia</c:v>
                </c:pt>
                <c:pt idx="28">
                  <c:v>Greece</c:v>
                </c:pt>
                <c:pt idx="29">
                  <c:v>Romania</c:v>
                </c:pt>
                <c:pt idx="30">
                  <c:v>Slovenia</c:v>
                </c:pt>
                <c:pt idx="31">
                  <c:v>Luxembourg</c:v>
                </c:pt>
                <c:pt idx="32">
                  <c:v>Ireland</c:v>
                </c:pt>
                <c:pt idx="33">
                  <c:v>Turkey</c:v>
                </c:pt>
                <c:pt idx="34">
                  <c:v>Taiwan</c:v>
                </c:pt>
                <c:pt idx="35">
                  <c:v>Hungary</c:v>
                </c:pt>
                <c:pt idx="36">
                  <c:v>Iceland</c:v>
                </c:pt>
                <c:pt idx="37">
                  <c:v>New Zealand</c:v>
                </c:pt>
                <c:pt idx="38">
                  <c:v>Cyprus</c:v>
                </c:pt>
                <c:pt idx="39">
                  <c:v>China</c:v>
                </c:pt>
                <c:pt idx="40">
                  <c:v>Malta</c:v>
                </c:pt>
                <c:pt idx="41">
                  <c:v>India</c:v>
                </c:pt>
              </c:strCache>
            </c:strRef>
          </c:cat>
          <c:val>
            <c:numRef>
              <c:f>'Fig 4. Ranking (€)'!$D$12:$D$53</c:f>
              <c:numCache>
                <c:formatCode>0.00</c:formatCode>
                <c:ptCount val="42"/>
                <c:pt idx="0">
                  <c:v>3.5981956128082446</c:v>
                </c:pt>
                <c:pt idx="1">
                  <c:v>2.14</c:v>
                </c:pt>
                <c:pt idx="2">
                  <c:v>0.26985659464374639</c:v>
                </c:pt>
                <c:pt idx="3">
                  <c:v>1.8791060500000001</c:v>
                </c:pt>
                <c:pt idx="4">
                  <c:v>1.0007732517482517</c:v>
                </c:pt>
                <c:pt idx="5">
                  <c:v>0.3511268468713829</c:v>
                </c:pt>
                <c:pt idx="6">
                  <c:v>0.33987242236276521</c:v>
                </c:pt>
                <c:pt idx="7">
                  <c:v>0.58681891792418106</c:v>
                </c:pt>
                <c:pt idx="8">
                  <c:v>0.1888046003579647</c:v>
                </c:pt>
                <c:pt idx="9">
                  <c:v>0.26024304222326644</c:v>
                </c:pt>
                <c:pt idx="10">
                  <c:v>0.14222605672350075</c:v>
                </c:pt>
                <c:pt idx="11">
                  <c:v>0.3162660251048951</c:v>
                </c:pt>
                <c:pt idx="12">
                  <c:v>0.2213535931174089</c:v>
                </c:pt>
                <c:pt idx="13">
                  <c:v>2.3E-2</c:v>
                </c:pt>
                <c:pt idx="14">
                  <c:v>0.37011219482272112</c:v>
                </c:pt>
                <c:pt idx="15">
                  <c:v>0.82266856780677222</c:v>
                </c:pt>
                <c:pt idx="16">
                  <c:v>5.2958190509385356E-2</c:v>
                </c:pt>
                <c:pt idx="17">
                  <c:v>8.9999999999999993E-3</c:v>
                </c:pt>
                <c:pt idx="18">
                  <c:v>0.21163047478836949</c:v>
                </c:pt>
                <c:pt idx="19">
                  <c:v>6.0999999999999999E-2</c:v>
                </c:pt>
                <c:pt idx="20">
                  <c:v>8.9630000000000001E-2</c:v>
                </c:pt>
                <c:pt idx="21">
                  <c:v>1.01E-2</c:v>
                </c:pt>
                <c:pt idx="22">
                  <c:v>6.5214731432766418E-2</c:v>
                </c:pt>
                <c:pt idx="23">
                  <c:v>5.158735482E-3</c:v>
                </c:pt>
                <c:pt idx="24">
                  <c:v>0.35155368680135374</c:v>
                </c:pt>
                <c:pt idx="25">
                  <c:v>1.7054655870445343E-3</c:v>
                </c:pt>
                <c:pt idx="26">
                  <c:v>7.0600000000000003E-4</c:v>
                </c:pt>
                <c:pt idx="27">
                  <c:v>3.7212078660477453E-2</c:v>
                </c:pt>
                <c:pt idx="28">
                  <c:v>0</c:v>
                </c:pt>
                <c:pt idx="29">
                  <c:v>0.12215739044124546</c:v>
                </c:pt>
                <c:pt idx="30">
                  <c:v>4.7347009996319472E-3</c:v>
                </c:pt>
                <c:pt idx="31">
                  <c:v>4.032E-3</c:v>
                </c:pt>
                <c:pt idx="32">
                  <c:v>6.1557853882959139E-2</c:v>
                </c:pt>
                <c:pt idx="33">
                  <c:v>4.6114114832535892E-3</c:v>
                </c:pt>
                <c:pt idx="34">
                  <c:v>6.3029076186970928E-2</c:v>
                </c:pt>
                <c:pt idx="35">
                  <c:v>4.7109803475361152E-2</c:v>
                </c:pt>
                <c:pt idx="36">
                  <c:v>1.1032099421811657E-2</c:v>
                </c:pt>
                <c:pt idx="37">
                  <c:v>6.0065213660545728E-3</c:v>
                </c:pt>
                <c:pt idx="38">
                  <c:v>3.0000000000000001E-3</c:v>
                </c:pt>
                <c:pt idx="39">
                  <c:v>2.1750355506399113E-3</c:v>
                </c:pt>
                <c:pt idx="40">
                  <c:v>2.0699999999999998E-3</c:v>
                </c:pt>
                <c:pt idx="41">
                  <c:v>1.7917280088332722E-3</c:v>
                </c:pt>
              </c:numCache>
            </c:numRef>
          </c:val>
          <c:extLst>
            <c:ext xmlns:c16="http://schemas.microsoft.com/office/drawing/2014/chart" uri="{C3380CC4-5D6E-409C-BE32-E72D297353CC}">
              <c16:uniqueId val="{00000003-567E-4641-BA75-DBEB8C073A6A}"/>
            </c:ext>
          </c:extLst>
        </c:ser>
        <c:ser>
          <c:idx val="2"/>
          <c:order val="2"/>
          <c:tx>
            <c:strRef>
              <c:f>'Fig 4. Ranking (€)'!$E$11</c:f>
              <c:strCache>
                <c:ptCount val="1"/>
                <c:pt idx="0">
                  <c:v>Military</c:v>
                </c:pt>
              </c:strCache>
            </c:strRef>
          </c:tx>
          <c:spPr>
            <a:solidFill>
              <a:srgbClr val="C00000"/>
            </a:solidFill>
            <a:ln>
              <a:solidFill>
                <a:schemeClr val="tx1"/>
              </a:solidFill>
            </a:ln>
            <a:effectLst/>
          </c:spPr>
          <c:invertIfNegative val="0"/>
          <c:cat>
            <c:strRef>
              <c:f>'Fig 4. Ranking (€)'!$B$12:$B$53</c:f>
              <c:strCache>
                <c:ptCount val="42"/>
                <c:pt idx="0">
                  <c:v>United States</c:v>
                </c:pt>
                <c:pt idx="1">
                  <c:v>EU Institutions</c:v>
                </c:pt>
                <c:pt idx="2">
                  <c:v>United Kingdom</c:v>
                </c:pt>
                <c:pt idx="3">
                  <c:v>Germany</c:v>
                </c:pt>
                <c:pt idx="4">
                  <c:v>Japan</c:v>
                </c:pt>
                <c:pt idx="5">
                  <c:v>Canada</c:v>
                </c:pt>
                <c:pt idx="6">
                  <c:v>Poland</c:v>
                </c:pt>
                <c:pt idx="7">
                  <c:v>Netherlands</c:v>
                </c:pt>
                <c:pt idx="8">
                  <c:v>Norway</c:v>
                </c:pt>
                <c:pt idx="9">
                  <c:v>Denmark</c:v>
                </c:pt>
                <c:pt idx="10">
                  <c:v>Sweden</c:v>
                </c:pt>
                <c:pt idx="11">
                  <c:v>France</c:v>
                </c:pt>
                <c:pt idx="12">
                  <c:v>Italy</c:v>
                </c:pt>
                <c:pt idx="13">
                  <c:v>Finland</c:v>
                </c:pt>
                <c:pt idx="14">
                  <c:v>Czech Republic</c:v>
                </c:pt>
                <c:pt idx="15">
                  <c:v>Austria</c:v>
                </c:pt>
                <c:pt idx="16">
                  <c:v>Spain</c:v>
                </c:pt>
                <c:pt idx="17">
                  <c:v>Slovakia</c:v>
                </c:pt>
                <c:pt idx="18">
                  <c:v>South Korea</c:v>
                </c:pt>
                <c:pt idx="19">
                  <c:v>Lithuania</c:v>
                </c:pt>
                <c:pt idx="20">
                  <c:v>Belgium</c:v>
                </c:pt>
                <c:pt idx="21">
                  <c:v>Estonia</c:v>
                </c:pt>
                <c:pt idx="22">
                  <c:v>Australia</c:v>
                </c:pt>
                <c:pt idx="23">
                  <c:v>Latvia</c:v>
                </c:pt>
                <c:pt idx="24">
                  <c:v>Switzerland</c:v>
                </c:pt>
                <c:pt idx="25">
                  <c:v>Portugal</c:v>
                </c:pt>
                <c:pt idx="26">
                  <c:v>Bulgaria</c:v>
                </c:pt>
                <c:pt idx="27">
                  <c:v>Croatia</c:v>
                </c:pt>
                <c:pt idx="28">
                  <c:v>Greece</c:v>
                </c:pt>
                <c:pt idx="29">
                  <c:v>Romania</c:v>
                </c:pt>
                <c:pt idx="30">
                  <c:v>Slovenia</c:v>
                </c:pt>
                <c:pt idx="31">
                  <c:v>Luxembourg</c:v>
                </c:pt>
                <c:pt idx="32">
                  <c:v>Ireland</c:v>
                </c:pt>
                <c:pt idx="33">
                  <c:v>Turkey</c:v>
                </c:pt>
                <c:pt idx="34">
                  <c:v>Taiwan</c:v>
                </c:pt>
                <c:pt idx="35">
                  <c:v>Hungary</c:v>
                </c:pt>
                <c:pt idx="36">
                  <c:v>Iceland</c:v>
                </c:pt>
                <c:pt idx="37">
                  <c:v>New Zealand</c:v>
                </c:pt>
                <c:pt idx="38">
                  <c:v>Cyprus</c:v>
                </c:pt>
                <c:pt idx="39">
                  <c:v>China</c:v>
                </c:pt>
                <c:pt idx="40">
                  <c:v>Malta</c:v>
                </c:pt>
                <c:pt idx="41">
                  <c:v>India</c:v>
                </c:pt>
              </c:strCache>
            </c:strRef>
          </c:cat>
          <c:val>
            <c:numRef>
              <c:f>'Fig 4. Ranking (€)'!$E$12:$E$53</c:f>
              <c:numCache>
                <c:formatCode>0.00</c:formatCode>
                <c:ptCount val="42"/>
                <c:pt idx="0">
                  <c:v>42.836768494663232</c:v>
                </c:pt>
                <c:pt idx="1">
                  <c:v>5.6</c:v>
                </c:pt>
                <c:pt idx="2">
                  <c:v>6.5786757252947297</c:v>
                </c:pt>
                <c:pt idx="3">
                  <c:v>7.5023</c:v>
                </c:pt>
                <c:pt idx="4">
                  <c:v>2.9860139860139859E-2</c:v>
                </c:pt>
                <c:pt idx="5">
                  <c:v>1.4998221822208855</c:v>
                </c:pt>
                <c:pt idx="6">
                  <c:v>3</c:v>
                </c:pt>
                <c:pt idx="7">
                  <c:v>2.4834999999999998</c:v>
                </c:pt>
                <c:pt idx="8">
                  <c:v>1.0133810619619874</c:v>
                </c:pt>
                <c:pt idx="9">
                  <c:v>1.5690784453245619</c:v>
                </c:pt>
                <c:pt idx="10">
                  <c:v>1.4866003500532117</c:v>
                </c:pt>
                <c:pt idx="11">
                  <c:v>0.44573671433132461</c:v>
                </c:pt>
                <c:pt idx="12">
                  <c:v>0.71296199986253783</c:v>
                </c:pt>
                <c:pt idx="13">
                  <c:v>1.1147</c:v>
                </c:pt>
                <c:pt idx="14">
                  <c:v>0.56546297988460215</c:v>
                </c:pt>
                <c:pt idx="15">
                  <c:v>3.3008594497607653E-3</c:v>
                </c:pt>
                <c:pt idx="16">
                  <c:v>0.3283765566618333</c:v>
                </c:pt>
                <c:pt idx="17">
                  <c:v>0.66799999980934854</c:v>
                </c:pt>
                <c:pt idx="18">
                  <c:v>3.2940743467059263E-3</c:v>
                </c:pt>
                <c:pt idx="19">
                  <c:v>0.49099999999999999</c:v>
                </c:pt>
                <c:pt idx="20">
                  <c:v>0.38505152839999995</c:v>
                </c:pt>
                <c:pt idx="21">
                  <c:v>0.42129430000000001</c:v>
                </c:pt>
                <c:pt idx="22">
                  <c:v>0.35868102288021536</c:v>
                </c:pt>
                <c:pt idx="23">
                  <c:v>0.37</c:v>
                </c:pt>
                <c:pt idx="24">
                  <c:v>0</c:v>
                </c:pt>
                <c:pt idx="25">
                  <c:v>7.5487033291490521E-2</c:v>
                </c:pt>
                <c:pt idx="26">
                  <c:v>0.23928827078433376</c:v>
                </c:pt>
                <c:pt idx="27">
                  <c:v>0.15278792179361764</c:v>
                </c:pt>
                <c:pt idx="28">
                  <c:v>0.18684970463746781</c:v>
                </c:pt>
                <c:pt idx="29">
                  <c:v>3.7637099742362898E-3</c:v>
                </c:pt>
                <c:pt idx="30">
                  <c:v>5.6390898987854259E-2</c:v>
                </c:pt>
                <c:pt idx="31">
                  <c:v>9.1600000000000001E-2</c:v>
                </c:pt>
                <c:pt idx="32">
                  <c:v>3.8500000000000001E-3</c:v>
                </c:pt>
                <c:pt idx="33">
                  <c:v>6.1735369893264627E-2</c:v>
                </c:pt>
                <c:pt idx="34">
                  <c:v>0</c:v>
                </c:pt>
                <c:pt idx="35">
                  <c:v>0</c:v>
                </c:pt>
                <c:pt idx="36">
                  <c:v>9.1497376714291794E-3</c:v>
                </c:pt>
                <c:pt idx="37">
                  <c:v>1.9192265888679141E-2</c:v>
                </c:pt>
                <c:pt idx="38">
                  <c:v>0</c:v>
                </c:pt>
                <c:pt idx="39">
                  <c:v>0</c:v>
                </c:pt>
                <c:pt idx="40">
                  <c:v>0</c:v>
                </c:pt>
                <c:pt idx="41">
                  <c:v>0</c:v>
                </c:pt>
              </c:numCache>
            </c:numRef>
          </c:val>
          <c:extLst>
            <c:ext xmlns:c16="http://schemas.microsoft.com/office/drawing/2014/chart" uri="{C3380CC4-5D6E-409C-BE32-E72D297353CC}">
              <c16:uniqueId val="{00000005-567E-4641-BA75-DBEB8C073A6A}"/>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3896749119725659"/>
          <c:y val="0.21136960900133561"/>
          <c:w val="0.22441000045299089"/>
          <c:h val="0.14485265239849607"/>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677049407020098E-2"/>
          <c:y val="2.3803600126414605E-4"/>
          <c:w val="0.90667021187345387"/>
          <c:h val="0.91344901164828285"/>
        </c:manualLayout>
      </c:layout>
      <c:barChart>
        <c:barDir val="col"/>
        <c:grouping val="stacked"/>
        <c:varyColors val="0"/>
        <c:ser>
          <c:idx val="5"/>
          <c:order val="2"/>
          <c:tx>
            <c:strRef>
              <c:f>'Figure A3. In-kind over Time'!$E$11</c:f>
              <c:strCache>
                <c:ptCount val="1"/>
                <c:pt idx="0">
                  <c:v>Commitments by EU countries</c:v>
                </c:pt>
              </c:strCache>
            </c:strRef>
          </c:tx>
          <c:spPr>
            <a:solidFill>
              <a:schemeClr val="accent2">
                <a:lumMod val="75000"/>
              </a:schemeClr>
            </a:solidFill>
            <a:ln>
              <a:solidFill>
                <a:schemeClr val="tx1"/>
              </a:solidFill>
            </a:ln>
            <a:effectLst/>
          </c:spPr>
          <c:invertIfNegative val="0"/>
          <c:cat>
            <c:strRef>
              <c:f>'Figure A3. In-kind over Time'!$B$12:$B$27</c:f>
              <c:strCache>
                <c:ptCount val="16"/>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pt idx="13">
                  <c:v>March (2023)</c:v>
                </c:pt>
                <c:pt idx="14">
                  <c:v>April (2023)</c:v>
                </c:pt>
                <c:pt idx="15">
                  <c:v>May (2023)</c:v>
                </c:pt>
              </c:strCache>
            </c:strRef>
          </c:cat>
          <c:val>
            <c:numRef>
              <c:f>'Figure A3. In-kind over Time'!$E$12:$E$27</c:f>
              <c:numCache>
                <c:formatCode>0.00</c:formatCode>
                <c:ptCount val="16"/>
                <c:pt idx="0">
                  <c:v>0.4589030765346061</c:v>
                </c:pt>
                <c:pt idx="1">
                  <c:v>0.16261184955694225</c:v>
                </c:pt>
                <c:pt idx="2">
                  <c:v>3.0340366401416943</c:v>
                </c:pt>
                <c:pt idx="3">
                  <c:v>0.61195781330229659</c:v>
                </c:pt>
                <c:pt idx="4">
                  <c:v>2.4704832515010895</c:v>
                </c:pt>
                <c:pt idx="5">
                  <c:v>0.11732304011262422</c:v>
                </c:pt>
                <c:pt idx="6">
                  <c:v>0.59431636821007272</c:v>
                </c:pt>
                <c:pt idx="7">
                  <c:v>0.24942898538330396</c:v>
                </c:pt>
                <c:pt idx="8">
                  <c:v>0.55592976481088607</c:v>
                </c:pt>
                <c:pt idx="9">
                  <c:v>0.56054840794030358</c:v>
                </c:pt>
                <c:pt idx="10">
                  <c:v>2.2389443234437341</c:v>
                </c:pt>
                <c:pt idx="11">
                  <c:v>3.6660442943123557</c:v>
                </c:pt>
                <c:pt idx="12">
                  <c:v>0.26912135059624587</c:v>
                </c:pt>
                <c:pt idx="13">
                  <c:v>0.63462385465587046</c:v>
                </c:pt>
                <c:pt idx="14">
                  <c:v>3.7440321949961994</c:v>
                </c:pt>
                <c:pt idx="15">
                  <c:v>2.2411206377427817</c:v>
                </c:pt>
              </c:numCache>
            </c:numRef>
          </c:val>
          <c:extLst>
            <c:ext xmlns:c16="http://schemas.microsoft.com/office/drawing/2014/chart" uri="{C3380CC4-5D6E-409C-BE32-E72D297353CC}">
              <c16:uniqueId val="{00000002-9136-415A-8E19-522995DA30EC}"/>
            </c:ext>
          </c:extLst>
        </c:ser>
        <c:ser>
          <c:idx val="4"/>
          <c:order val="3"/>
          <c:tx>
            <c:strRef>
              <c:f>'Figure A3. In-kind over Time'!$F$11</c:f>
              <c:strCache>
                <c:ptCount val="1"/>
                <c:pt idx="0">
                  <c:v>Commitments by other countries</c:v>
                </c:pt>
              </c:strCache>
            </c:strRef>
          </c:tx>
          <c:spPr>
            <a:solidFill>
              <a:schemeClr val="accent6">
                <a:lumMod val="40000"/>
                <a:lumOff val="60000"/>
              </a:schemeClr>
            </a:solidFill>
            <a:ln>
              <a:solidFill>
                <a:schemeClr val="tx1"/>
              </a:solidFill>
            </a:ln>
            <a:effectLst/>
          </c:spPr>
          <c:invertIfNegative val="0"/>
          <c:cat>
            <c:strRef>
              <c:f>'Figure A3. In-kind over Time'!$B$12:$B$27</c:f>
              <c:strCache>
                <c:ptCount val="16"/>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pt idx="13">
                  <c:v>March (2023)</c:v>
                </c:pt>
                <c:pt idx="14">
                  <c:v>April (2023)</c:v>
                </c:pt>
                <c:pt idx="15">
                  <c:v>May (2023)</c:v>
                </c:pt>
              </c:strCache>
            </c:strRef>
          </c:cat>
          <c:val>
            <c:numRef>
              <c:f>'Figure A3. In-kind over Time'!$F$12:$F$27</c:f>
              <c:numCache>
                <c:formatCode>0.00</c:formatCode>
                <c:ptCount val="16"/>
                <c:pt idx="0">
                  <c:v>0</c:v>
                </c:pt>
                <c:pt idx="1">
                  <c:v>7.6586019558542731E-2</c:v>
                </c:pt>
                <c:pt idx="2">
                  <c:v>6.6506180821782571E-2</c:v>
                </c:pt>
                <c:pt idx="3">
                  <c:v>3.8342577589584745E-2</c:v>
                </c:pt>
                <c:pt idx="4">
                  <c:v>0</c:v>
                </c:pt>
                <c:pt idx="5">
                  <c:v>4.8635751865899912E-2</c:v>
                </c:pt>
                <c:pt idx="6">
                  <c:v>6.6249539933750469E-5</c:v>
                </c:pt>
                <c:pt idx="7">
                  <c:v>0</c:v>
                </c:pt>
                <c:pt idx="8">
                  <c:v>0.11378930625229414</c:v>
                </c:pt>
                <c:pt idx="9">
                  <c:v>1.0582918597334249E-3</c:v>
                </c:pt>
                <c:pt idx="10">
                  <c:v>0</c:v>
                </c:pt>
                <c:pt idx="11">
                  <c:v>0</c:v>
                </c:pt>
                <c:pt idx="12">
                  <c:v>2.0188425302826378E-2</c:v>
                </c:pt>
                <c:pt idx="13">
                  <c:v>2.7603974972396025E-2</c:v>
                </c:pt>
                <c:pt idx="14">
                  <c:v>2.7603974972396025E-2</c:v>
                </c:pt>
                <c:pt idx="15">
                  <c:v>0</c:v>
                </c:pt>
              </c:numCache>
            </c:numRef>
          </c:val>
          <c:extLst>
            <c:ext xmlns:c16="http://schemas.microsoft.com/office/drawing/2014/chart" uri="{C3380CC4-5D6E-409C-BE32-E72D297353CC}">
              <c16:uniqueId val="{00000003-9136-415A-8E19-522995DA30EC}"/>
            </c:ext>
          </c:extLst>
        </c:ser>
        <c:ser>
          <c:idx val="1"/>
          <c:order val="4"/>
          <c:tx>
            <c:strRef>
              <c:f>'Figure A3. In-kind over Time'!$G$11</c:f>
              <c:strCache>
                <c:ptCount val="1"/>
                <c:pt idx="0">
                  <c:v>Commitments by the US</c:v>
                </c:pt>
              </c:strCache>
            </c:strRef>
          </c:tx>
          <c:spPr>
            <a:solidFill>
              <a:schemeClr val="accent1">
                <a:lumMod val="75000"/>
              </a:schemeClr>
            </a:solidFill>
            <a:ln>
              <a:solidFill>
                <a:schemeClr val="tx1"/>
              </a:solidFill>
            </a:ln>
            <a:effectLst/>
          </c:spPr>
          <c:invertIfNegative val="0"/>
          <c:cat>
            <c:strRef>
              <c:f>'Figure A3. In-kind over Time'!$B$12:$B$27</c:f>
              <c:strCache>
                <c:ptCount val="16"/>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pt idx="13">
                  <c:v>March (2023)</c:v>
                </c:pt>
                <c:pt idx="14">
                  <c:v>April (2023)</c:v>
                </c:pt>
                <c:pt idx="15">
                  <c:v>May (2023)</c:v>
                </c:pt>
              </c:strCache>
            </c:strRef>
          </c:cat>
          <c:val>
            <c:numRef>
              <c:f>'Figure A3. In-kind over Time'!$G$12:$G$27</c:f>
              <c:numCache>
                <c:formatCode>0.00</c:formatCode>
                <c:ptCount val="16"/>
                <c:pt idx="0">
                  <c:v>0</c:v>
                </c:pt>
                <c:pt idx="1">
                  <c:v>8.3041958041958051</c:v>
                </c:pt>
                <c:pt idx="2">
                  <c:v>7.22027972027972</c:v>
                </c:pt>
                <c:pt idx="3">
                  <c:v>0</c:v>
                </c:pt>
                <c:pt idx="4">
                  <c:v>0</c:v>
                </c:pt>
                <c:pt idx="5">
                  <c:v>0</c:v>
                </c:pt>
                <c:pt idx="6">
                  <c:v>0</c:v>
                </c:pt>
                <c:pt idx="7">
                  <c:v>6.1648877438351128</c:v>
                </c:pt>
                <c:pt idx="8">
                  <c:v>0</c:v>
                </c:pt>
                <c:pt idx="9">
                  <c:v>0</c:v>
                </c:pt>
                <c:pt idx="10">
                  <c:v>21.147405226352593</c:v>
                </c:pt>
                <c:pt idx="11">
                  <c:v>0</c:v>
                </c:pt>
                <c:pt idx="12">
                  <c:v>0</c:v>
                </c:pt>
                <c:pt idx="13">
                  <c:v>0</c:v>
                </c:pt>
                <c:pt idx="14">
                  <c:v>0</c:v>
                </c:pt>
                <c:pt idx="15">
                  <c:v>0</c:v>
                </c:pt>
              </c:numCache>
            </c:numRef>
          </c:val>
          <c:extLst xmlns:c15="http://schemas.microsoft.com/office/drawing/2012/chart">
            <c:ext xmlns:c16="http://schemas.microsoft.com/office/drawing/2014/chart" uri="{C3380CC4-5D6E-409C-BE32-E72D297353CC}">
              <c16:uniqueId val="{00000004-9136-415A-8E19-522995DA30EC}"/>
            </c:ext>
          </c:extLst>
        </c:ser>
        <c:ser>
          <c:idx val="0"/>
          <c:order val="5"/>
          <c:tx>
            <c:strRef>
              <c:f>'Figure A3. In-kind over Time'!$H$11</c:f>
              <c:strCache>
                <c:ptCount val="1"/>
                <c:pt idx="0">
                  <c:v>Commitments by other non-EU NATO countries</c:v>
                </c:pt>
              </c:strCache>
            </c:strRef>
          </c:tx>
          <c:spPr>
            <a:solidFill>
              <a:schemeClr val="accent1">
                <a:lumMod val="60000"/>
                <a:lumOff val="40000"/>
              </a:schemeClr>
            </a:solidFill>
            <a:ln>
              <a:solidFill>
                <a:schemeClr val="tx1"/>
              </a:solidFill>
            </a:ln>
            <a:effectLst/>
          </c:spPr>
          <c:invertIfNegative val="0"/>
          <c:cat>
            <c:strRef>
              <c:f>'Figure A3. In-kind over Time'!$B$12:$B$27</c:f>
              <c:strCache>
                <c:ptCount val="16"/>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pt idx="13">
                  <c:v>March (2023)</c:v>
                </c:pt>
                <c:pt idx="14">
                  <c:v>April (2023)</c:v>
                </c:pt>
                <c:pt idx="15">
                  <c:v>May (2023)</c:v>
                </c:pt>
              </c:strCache>
            </c:strRef>
          </c:cat>
          <c:val>
            <c:numRef>
              <c:f>'Figure A3. In-kind over Time'!$H$12:$H$27</c:f>
              <c:numCache>
                <c:formatCode>0.00</c:formatCode>
                <c:ptCount val="16"/>
                <c:pt idx="0">
                  <c:v>0.11036347556094898</c:v>
                </c:pt>
                <c:pt idx="1">
                  <c:v>0.69866919439245301</c:v>
                </c:pt>
                <c:pt idx="2">
                  <c:v>0.53281287284446677</c:v>
                </c:pt>
                <c:pt idx="3">
                  <c:v>1.5276982213168702</c:v>
                </c:pt>
                <c:pt idx="4">
                  <c:v>1.3048860790139969</c:v>
                </c:pt>
                <c:pt idx="5">
                  <c:v>0</c:v>
                </c:pt>
                <c:pt idx="6">
                  <c:v>0.14611276697840908</c:v>
                </c:pt>
                <c:pt idx="7">
                  <c:v>0</c:v>
                </c:pt>
                <c:pt idx="8">
                  <c:v>0.33407238068565837</c:v>
                </c:pt>
                <c:pt idx="9">
                  <c:v>0.45001090669816202</c:v>
                </c:pt>
                <c:pt idx="10">
                  <c:v>6.5404858299444868E-4</c:v>
                </c:pt>
                <c:pt idx="11">
                  <c:v>2.7129729090057899</c:v>
                </c:pt>
                <c:pt idx="12">
                  <c:v>0.69128513154647031</c:v>
                </c:pt>
                <c:pt idx="13">
                  <c:v>5.0323023450856652E-2</c:v>
                </c:pt>
                <c:pt idx="14">
                  <c:v>6.6793763191938457E-2</c:v>
                </c:pt>
                <c:pt idx="15">
                  <c:v>1.4631101627605499E-2</c:v>
                </c:pt>
              </c:numCache>
            </c:numRef>
          </c:val>
          <c:extLst xmlns:c15="http://schemas.microsoft.com/office/drawing/2012/chart">
            <c:ext xmlns:c16="http://schemas.microsoft.com/office/drawing/2014/chart" uri="{C3380CC4-5D6E-409C-BE32-E72D297353CC}">
              <c16:uniqueId val="{00000005-9136-415A-8E19-522995DA30EC}"/>
            </c:ext>
          </c:extLst>
        </c:ser>
        <c:dLbls>
          <c:showLegendKey val="0"/>
          <c:showVal val="0"/>
          <c:showCatName val="0"/>
          <c:showSerName val="0"/>
          <c:showPercent val="0"/>
          <c:showBubbleSize val="0"/>
        </c:dLbls>
        <c:gapWidth val="150"/>
        <c:overlap val="100"/>
        <c:axId val="450490767"/>
        <c:axId val="450486607"/>
        <c:extLst>
          <c:ext xmlns:c15="http://schemas.microsoft.com/office/drawing/2012/chart" uri="{02D57815-91ED-43cb-92C2-25804820EDAC}">
            <c15:filteredBarSeries>
              <c15:ser>
                <c:idx val="3"/>
                <c:order val="0"/>
                <c:tx>
                  <c:strRef>
                    <c:extLst>
                      <c:ext uri="{02D57815-91ED-43cb-92C2-25804820EDAC}">
                        <c15:formulaRef>
                          <c15:sqref>'Figure A3. In-kind over Time'!$C$11</c15:sqref>
                        </c15:formulaRef>
                      </c:ext>
                    </c:extLst>
                    <c:strCache>
                      <c:ptCount val="1"/>
                      <c:pt idx="0">
                        <c:v>Total commitments</c:v>
                      </c:pt>
                    </c:strCache>
                  </c:strRef>
                </c:tx>
                <c:spPr>
                  <a:solidFill>
                    <a:schemeClr val="accent2">
                      <a:lumMod val="60000"/>
                    </a:schemeClr>
                  </a:solidFill>
                  <a:ln>
                    <a:solidFill>
                      <a:srgbClr val="18488B"/>
                    </a:solidFill>
                  </a:ln>
                  <a:effectLst/>
                </c:spPr>
                <c:invertIfNegative val="0"/>
                <c:cat>
                  <c:strRef>
                    <c:extLst>
                      <c:ext uri="{02D57815-91ED-43cb-92C2-25804820EDAC}">
                        <c15:formulaRef>
                          <c15:sqref>'Figure A3. In-kind over Time'!$B$12:$B$27</c15:sqref>
                        </c15:formulaRef>
                      </c:ext>
                    </c:extLst>
                    <c:strCache>
                      <c:ptCount val="16"/>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pt idx="13">
                        <c:v>March (2023)</c:v>
                      </c:pt>
                      <c:pt idx="14">
                        <c:v>April (2023)</c:v>
                      </c:pt>
                      <c:pt idx="15">
                        <c:v>May (2023)</c:v>
                      </c:pt>
                    </c:strCache>
                  </c:strRef>
                </c:cat>
                <c:val>
                  <c:numRef>
                    <c:extLst>
                      <c:ext uri="{02D57815-91ED-43cb-92C2-25804820EDAC}">
                        <c15:formulaRef>
                          <c15:sqref>'Figure A3. In-kind over Time'!$C$12:$C$27</c15:sqref>
                        </c15:formulaRef>
                      </c:ext>
                    </c:extLst>
                    <c:numCache>
                      <c:formatCode>0.00</c:formatCode>
                      <c:ptCount val="16"/>
                      <c:pt idx="0">
                        <c:v>0.5692665520955551</c:v>
                      </c:pt>
                      <c:pt idx="1">
                        <c:v>9.2420628677037424</c:v>
                      </c:pt>
                      <c:pt idx="2">
                        <c:v>10.853635414087664</c:v>
                      </c:pt>
                      <c:pt idx="3">
                        <c:v>2.1779986122087514</c:v>
                      </c:pt>
                      <c:pt idx="4">
                        <c:v>3.7753693305150859</c:v>
                      </c:pt>
                      <c:pt idx="5">
                        <c:v>0.16595879197852414</c:v>
                      </c:pt>
                      <c:pt idx="6">
                        <c:v>0.7404953847284157</c:v>
                      </c:pt>
                      <c:pt idx="7">
                        <c:v>6.4143167292184167</c:v>
                      </c:pt>
                      <c:pt idx="8">
                        <c:v>1.0037914517488387</c:v>
                      </c:pt>
                      <c:pt idx="9">
                        <c:v>1.011617606498199</c:v>
                      </c:pt>
                      <c:pt idx="10">
                        <c:v>23.387003598379323</c:v>
                      </c:pt>
                      <c:pt idx="11">
                        <c:v>6.3790172033181456</c:v>
                      </c:pt>
                      <c:pt idx="12">
                        <c:v>0.98059490744554256</c:v>
                      </c:pt>
                      <c:pt idx="13">
                        <c:v>0.71255085307912314</c:v>
                      </c:pt>
                      <c:pt idx="14">
                        <c:v>3.8108259581881381</c:v>
                      </c:pt>
                      <c:pt idx="15">
                        <c:v>2.2557517393703872</c:v>
                      </c:pt>
                    </c:numCache>
                  </c:numRef>
                </c:val>
                <c:extLst>
                  <c:ext xmlns:c16="http://schemas.microsoft.com/office/drawing/2014/chart" uri="{C3380CC4-5D6E-409C-BE32-E72D297353CC}">
                    <c16:uniqueId val="{00000000-9136-415A-8E19-522995DA30EC}"/>
                  </c:ext>
                </c:extLst>
              </c15:ser>
            </c15:filteredBarSeries>
            <c15:filteredBarSeries>
              <c15:ser>
                <c:idx val="2"/>
                <c:order val="1"/>
                <c:tx>
                  <c:strRef>
                    <c:extLst xmlns:c15="http://schemas.microsoft.com/office/drawing/2012/chart">
                      <c:ext xmlns:c15="http://schemas.microsoft.com/office/drawing/2012/chart" uri="{02D57815-91ED-43cb-92C2-25804820EDAC}">
                        <c15:formulaRef>
                          <c15:sqref>'Figure A3. In-kind over Time'!$D$11</c15:sqref>
                        </c15:formulaRef>
                      </c:ext>
                    </c:extLst>
                    <c:strCache>
                      <c:ptCount val="1"/>
                      <c:pt idx="0">
                        <c:v>Commitments by non-EU NATO countries</c:v>
                      </c:pt>
                    </c:strCache>
                  </c:strRef>
                </c:tx>
                <c:spPr>
                  <a:solidFill>
                    <a:schemeClr val="accent1">
                      <a:lumMod val="75000"/>
                    </a:schemeClr>
                  </a:solid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'Figure A3. In-kind over Time'!$B$12:$B$27</c15:sqref>
                        </c15:formulaRef>
                      </c:ext>
                    </c:extLst>
                    <c:strCache>
                      <c:ptCount val="16"/>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pt idx="13">
                        <c:v>March (2023)</c:v>
                      </c:pt>
                      <c:pt idx="14">
                        <c:v>April (2023)</c:v>
                      </c:pt>
                      <c:pt idx="15">
                        <c:v>May (2023)</c:v>
                      </c:pt>
                    </c:strCache>
                  </c:strRef>
                </c:cat>
                <c:val>
                  <c:numRef>
                    <c:extLst xmlns:c15="http://schemas.microsoft.com/office/drawing/2012/chart">
                      <c:ext xmlns:c15="http://schemas.microsoft.com/office/drawing/2012/chart" uri="{02D57815-91ED-43cb-92C2-25804820EDAC}">
                        <c15:formulaRef>
                          <c15:sqref>'Figure A3. In-kind over Time'!$D$12:$D$27</c15:sqref>
                        </c15:formulaRef>
                      </c:ext>
                    </c:extLst>
                    <c:numCache>
                      <c:formatCode>0.00</c:formatCode>
                      <c:ptCount val="16"/>
                      <c:pt idx="0">
                        <c:v>0.11036347556094898</c:v>
                      </c:pt>
                      <c:pt idx="1">
                        <c:v>9.0028649985882581</c:v>
                      </c:pt>
                      <c:pt idx="2">
                        <c:v>7.7530925931241867</c:v>
                      </c:pt>
                      <c:pt idx="3">
                        <c:v>1.5276982213168702</c:v>
                      </c:pt>
                      <c:pt idx="4">
                        <c:v>1.3048860790139969</c:v>
                      </c:pt>
                      <c:pt idx="5">
                        <c:v>0</c:v>
                      </c:pt>
                      <c:pt idx="6">
                        <c:v>0.14611276697840908</c:v>
                      </c:pt>
                      <c:pt idx="7">
                        <c:v>6.1648877438351128</c:v>
                      </c:pt>
                      <c:pt idx="8">
                        <c:v>0.33407238068565837</c:v>
                      </c:pt>
                      <c:pt idx="9">
                        <c:v>0.45001090669816202</c:v>
                      </c:pt>
                      <c:pt idx="10">
                        <c:v>21.148059274935587</c:v>
                      </c:pt>
                      <c:pt idx="11">
                        <c:v>2.7129729090057899</c:v>
                      </c:pt>
                      <c:pt idx="12">
                        <c:v>0.69128513154647031</c:v>
                      </c:pt>
                      <c:pt idx="13">
                        <c:v>5.0323023450856652E-2</c:v>
                      </c:pt>
                      <c:pt idx="14">
                        <c:v>6.6793763191938457E-2</c:v>
                      </c:pt>
                      <c:pt idx="15">
                        <c:v>1.4631101627605499E-2</c:v>
                      </c:pt>
                    </c:numCache>
                  </c:numRef>
                </c:val>
                <c:extLst xmlns:c15="http://schemas.microsoft.com/office/drawing/2012/chart">
                  <c:ext xmlns:c16="http://schemas.microsoft.com/office/drawing/2014/chart" uri="{C3380CC4-5D6E-409C-BE32-E72D297353CC}">
                    <c16:uniqueId val="{00000001-9136-415A-8E19-522995DA30EC}"/>
                  </c:ext>
                </c:extLst>
              </c15:ser>
            </c15:filteredBarSeries>
          </c:ext>
        </c:extLst>
      </c:barChart>
      <c:catAx>
        <c:axId val="45049076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autoZero"/>
        <c:crossBetween val="between"/>
      </c:valAx>
      <c:spPr>
        <a:noFill/>
        <a:ln>
          <a:noFill/>
        </a:ln>
        <a:effectLst/>
      </c:spPr>
    </c:plotArea>
    <c:legend>
      <c:legendPos val="r"/>
      <c:layout>
        <c:manualLayout>
          <c:xMode val="edge"/>
          <c:yMode val="edge"/>
          <c:x val="0.25105852047818911"/>
          <c:y val="3.2446435735878638E-2"/>
          <c:w val="0.47269607940644082"/>
          <c:h val="0.29103309243453646"/>
        </c:manualLayout>
      </c:layout>
      <c:overlay val="0"/>
      <c:spPr>
        <a:solidFill>
          <a:schemeClr val="bg1"/>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818568084490336E-2"/>
          <c:y val="3.300121527777778E-2"/>
          <c:w val="0.93266980324330973"/>
          <c:h val="0.75493854166666663"/>
        </c:manualLayout>
      </c:layout>
      <c:barChart>
        <c:barDir val="col"/>
        <c:grouping val="stacked"/>
        <c:varyColors val="0"/>
        <c:ser>
          <c:idx val="0"/>
          <c:order val="0"/>
          <c:tx>
            <c:strRef>
              <c:f>'Figure A4. Heavy Weap over time'!$D$11</c:f>
              <c:strCache>
                <c:ptCount val="1"/>
                <c:pt idx="0">
                  <c:v>Commitments by EU countries</c:v>
                </c:pt>
              </c:strCache>
            </c:strRef>
          </c:tx>
          <c:spPr>
            <a:solidFill>
              <a:schemeClr val="accent1"/>
            </a:solidFill>
            <a:ln>
              <a:solidFill>
                <a:schemeClr val="tx1"/>
              </a:solidFill>
            </a:ln>
            <a:effectLst/>
          </c:spPr>
          <c:invertIfNegative val="0"/>
          <c:dPt>
            <c:idx val="9"/>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1-FD28-4FD8-A843-B581BAC8640C}"/>
              </c:ext>
            </c:extLst>
          </c:dPt>
          <c:dPt>
            <c:idx val="10"/>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3-E6FF-410F-BFF6-3807D41619A9}"/>
              </c:ext>
            </c:extLst>
          </c:dPt>
          <c:dPt>
            <c:idx val="11"/>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5-FD28-4FD8-A843-B581BAC8640C}"/>
              </c:ext>
            </c:extLst>
          </c:dPt>
          <c:dPt>
            <c:idx val="13"/>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7-E6FF-410F-BFF6-3807D41619A9}"/>
              </c:ext>
            </c:extLst>
          </c:dPt>
          <c:dPt>
            <c:idx val="15"/>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3C-E6FF-410F-BFF6-3807D41619A9}"/>
              </c:ext>
            </c:extLst>
          </c:dPt>
          <c:dPt>
            <c:idx val="16"/>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9-E6FF-410F-BFF6-3807D41619A9}"/>
              </c:ext>
            </c:extLst>
          </c:dPt>
          <c:dPt>
            <c:idx val="18"/>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D-FD28-4FD8-A843-B581BAC8640C}"/>
              </c:ext>
            </c:extLst>
          </c:dPt>
          <c:dPt>
            <c:idx val="19"/>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D-E6FF-410F-BFF6-3807D41619A9}"/>
              </c:ext>
            </c:extLst>
          </c:dPt>
          <c:dPt>
            <c:idx val="20"/>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11-FD28-4FD8-A843-B581BAC8640C}"/>
              </c:ext>
            </c:extLst>
          </c:dPt>
          <c:dPt>
            <c:idx val="22"/>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1-E6FF-410F-BFF6-3807D41619A9}"/>
              </c:ext>
            </c:extLst>
          </c:dPt>
          <c:dPt>
            <c:idx val="24"/>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3-E6FF-410F-BFF6-3807D41619A9}"/>
              </c:ext>
            </c:extLst>
          </c:dPt>
          <c:dPt>
            <c:idx val="25"/>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5-E6FF-410F-BFF6-3807D41619A9}"/>
              </c:ext>
            </c:extLst>
          </c:dPt>
          <c:dPt>
            <c:idx val="26"/>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19-FD28-4FD8-A843-B581BAC8640C}"/>
              </c:ext>
            </c:extLst>
          </c:dPt>
          <c:dPt>
            <c:idx val="27"/>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9-E6FF-410F-BFF6-3807D41619A9}"/>
              </c:ext>
            </c:extLst>
          </c:dPt>
          <c:dPt>
            <c:idx val="28"/>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B-E6FF-410F-BFF6-3807D41619A9}"/>
              </c:ext>
            </c:extLst>
          </c:dPt>
          <c:dPt>
            <c:idx val="30"/>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F-FD28-4FD8-A843-B581BAC8640C}"/>
              </c:ext>
            </c:extLst>
          </c:dPt>
          <c:dPt>
            <c:idx val="31"/>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F-E6FF-410F-BFF6-3807D41619A9}"/>
              </c:ext>
            </c:extLst>
          </c:dPt>
          <c:dPt>
            <c:idx val="32"/>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23-FD28-4FD8-A843-B581BAC8640C}"/>
              </c:ext>
            </c:extLst>
          </c:dPt>
          <c:dPt>
            <c:idx val="34"/>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25-FD28-4FD8-A843-B581BAC8640C}"/>
              </c:ext>
            </c:extLst>
          </c:dPt>
          <c:dPt>
            <c:idx val="40"/>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27-FD28-4FD8-A843-B581BAC8640C}"/>
              </c:ext>
            </c:extLst>
          </c:dPt>
          <c:dPt>
            <c:idx val="41"/>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39-E475-44E2-B674-6FF5E5DB3FD7}"/>
              </c:ext>
            </c:extLst>
          </c:dPt>
          <c:dPt>
            <c:idx val="44"/>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3B-E475-44E2-B674-6FF5E5DB3FD7}"/>
              </c:ext>
            </c:extLst>
          </c:dPt>
          <c:dPt>
            <c:idx val="49"/>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44-5525-477C-BD69-96F7773BFD48}"/>
              </c:ext>
            </c:extLst>
          </c:dPt>
          <c:dPt>
            <c:idx val="50"/>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45-5525-477C-BD69-96F7773BFD48}"/>
              </c:ext>
            </c:extLst>
          </c:dPt>
          <c:cat>
            <c:multiLvlStrRef>
              <c:f>'Figure A4. Heavy Weap over time'!$B$12:$C$65</c:f>
              <c:multiLvlStrCache>
                <c:ptCount val="54"/>
                <c:lvl>
                  <c:pt idx="1">
                    <c:v>2022</c:v>
                  </c:pt>
                  <c:pt idx="3">
                    <c:v>MLRS</c:v>
                  </c:pt>
                  <c:pt idx="4">
                    <c:v>Howitzers</c:v>
                  </c:pt>
                  <c:pt idx="5">
                    <c:v>Tanks</c:v>
                  </c:pt>
                  <c:pt idx="6">
                    <c:v>MLRS</c:v>
                  </c:pt>
                  <c:pt idx="7">
                    <c:v>Howitzers</c:v>
                  </c:pt>
                  <c:pt idx="8">
                    <c:v>Tanks</c:v>
                  </c:pt>
                  <c:pt idx="9">
                    <c:v>MLRS</c:v>
                  </c:pt>
                  <c:pt idx="10">
                    <c:v>Howitzers</c:v>
                  </c:pt>
                  <c:pt idx="11">
                    <c:v>Tanks</c:v>
                  </c:pt>
                  <c:pt idx="12">
                    <c:v>MLRS</c:v>
                  </c:pt>
                  <c:pt idx="13">
                    <c:v>Howitzers</c:v>
                  </c:pt>
                  <c:pt idx="14">
                    <c:v>Tanks</c:v>
                  </c:pt>
                  <c:pt idx="15">
                    <c:v>MLRS</c:v>
                  </c:pt>
                  <c:pt idx="16">
                    <c:v>Howitzers</c:v>
                  </c:pt>
                  <c:pt idx="17">
                    <c:v>Tanks</c:v>
                  </c:pt>
                  <c:pt idx="18">
                    <c:v>MLRS</c:v>
                  </c:pt>
                  <c:pt idx="19">
                    <c:v>Howitzers</c:v>
                  </c:pt>
                  <c:pt idx="20">
                    <c:v>Tanks</c:v>
                  </c:pt>
                  <c:pt idx="21">
                    <c:v>MLRS</c:v>
                  </c:pt>
                  <c:pt idx="22">
                    <c:v>Howitzers</c:v>
                  </c:pt>
                  <c:pt idx="23">
                    <c:v>Tanks</c:v>
                  </c:pt>
                  <c:pt idx="24">
                    <c:v>MLRS</c:v>
                  </c:pt>
                  <c:pt idx="25">
                    <c:v>Howitzers</c:v>
                  </c:pt>
                  <c:pt idx="26">
                    <c:v>Tanks</c:v>
                  </c:pt>
                  <c:pt idx="27">
                    <c:v>MLRS</c:v>
                  </c:pt>
                  <c:pt idx="28">
                    <c:v>Howitzers</c:v>
                  </c:pt>
                  <c:pt idx="29">
                    <c:v>Tanks</c:v>
                  </c:pt>
                  <c:pt idx="30">
                    <c:v>MLRS</c:v>
                  </c:pt>
                  <c:pt idx="31">
                    <c:v>Howitzers</c:v>
                  </c:pt>
                  <c:pt idx="32">
                    <c:v>Tanks</c:v>
                  </c:pt>
                  <c:pt idx="33">
                    <c:v>MLRS</c:v>
                  </c:pt>
                  <c:pt idx="34">
                    <c:v>Howitzers</c:v>
                  </c:pt>
                  <c:pt idx="35">
                    <c:v>Tanks</c:v>
                  </c:pt>
                  <c:pt idx="37">
                    <c:v>2023</c:v>
                  </c:pt>
                  <c:pt idx="39">
                    <c:v>MLRS</c:v>
                  </c:pt>
                  <c:pt idx="40">
                    <c:v>Howitzers</c:v>
                  </c:pt>
                  <c:pt idx="41">
                    <c:v>Tanks</c:v>
                  </c:pt>
                  <c:pt idx="42">
                    <c:v>MLRS</c:v>
                  </c:pt>
                  <c:pt idx="43">
                    <c:v>Howitzers</c:v>
                  </c:pt>
                  <c:pt idx="44">
                    <c:v>Tanks</c:v>
                  </c:pt>
                  <c:pt idx="45">
                    <c:v>MLRS</c:v>
                  </c:pt>
                  <c:pt idx="46">
                    <c:v>Howitzers</c:v>
                  </c:pt>
                  <c:pt idx="47">
                    <c:v>Tanks</c:v>
                  </c:pt>
                  <c:pt idx="48">
                    <c:v>MLRS</c:v>
                  </c:pt>
                  <c:pt idx="49">
                    <c:v>Howitzers</c:v>
                  </c:pt>
                  <c:pt idx="50">
                    <c:v>Tanks</c:v>
                  </c:pt>
                  <c:pt idx="51">
                    <c:v>MLRS</c:v>
                  </c:pt>
                  <c:pt idx="52">
                    <c:v>Howitzers</c:v>
                  </c:pt>
                  <c:pt idx="53">
                    <c:v>Tanks</c:v>
                  </c:pt>
                </c:lvl>
                <c:lvl>
                  <c:pt idx="0">
                    <c:v> </c:v>
                  </c:pt>
                  <c:pt idx="3">
                    <c:v>February</c:v>
                  </c:pt>
                  <c:pt idx="6">
                    <c:v>March</c:v>
                  </c:pt>
                  <c:pt idx="9">
                    <c:v>April</c:v>
                  </c:pt>
                  <c:pt idx="12">
                    <c:v>May</c:v>
                  </c:pt>
                  <c:pt idx="15">
                    <c:v>June</c:v>
                  </c:pt>
                  <c:pt idx="18">
                    <c:v>July</c:v>
                  </c:pt>
                  <c:pt idx="21">
                    <c:v>August</c:v>
                  </c:pt>
                  <c:pt idx="24">
                    <c:v>September</c:v>
                  </c:pt>
                  <c:pt idx="27">
                    <c:v>October</c:v>
                  </c:pt>
                  <c:pt idx="30">
                    <c:v>November</c:v>
                  </c:pt>
                  <c:pt idx="33">
                    <c:v>December</c:v>
                  </c:pt>
                  <c:pt idx="36">
                    <c:v> </c:v>
                  </c:pt>
                  <c:pt idx="39">
                    <c:v>January</c:v>
                  </c:pt>
                  <c:pt idx="42">
                    <c:v>February</c:v>
                  </c:pt>
                  <c:pt idx="45">
                    <c:v>March</c:v>
                  </c:pt>
                  <c:pt idx="48">
                    <c:v>April</c:v>
                  </c:pt>
                  <c:pt idx="51">
                    <c:v>May</c:v>
                  </c:pt>
                </c:lvl>
              </c:multiLvlStrCache>
            </c:multiLvlStrRef>
          </c:cat>
          <c:val>
            <c:numRef>
              <c:f>'Figure A4. Heavy Weap over time'!$D$12:$D$65</c:f>
              <c:numCache>
                <c:formatCode>General</c:formatCode>
                <c:ptCount val="54"/>
                <c:pt idx="3" formatCode="0">
                  <c:v>0</c:v>
                </c:pt>
                <c:pt idx="4" formatCode="0">
                  <c:v>0</c:v>
                </c:pt>
                <c:pt idx="5" formatCode="0">
                  <c:v>0</c:v>
                </c:pt>
                <c:pt idx="6" formatCode="0">
                  <c:v>0</c:v>
                </c:pt>
                <c:pt idx="7" formatCode="0">
                  <c:v>0</c:v>
                </c:pt>
                <c:pt idx="8" formatCode="0">
                  <c:v>0</c:v>
                </c:pt>
                <c:pt idx="9" formatCode="0">
                  <c:v>33</c:v>
                </c:pt>
                <c:pt idx="10" formatCode="0">
                  <c:v>80</c:v>
                </c:pt>
                <c:pt idx="11" formatCode="0">
                  <c:v>329</c:v>
                </c:pt>
                <c:pt idx="12" formatCode="0">
                  <c:v>0</c:v>
                </c:pt>
                <c:pt idx="13" formatCode="0">
                  <c:v>5</c:v>
                </c:pt>
                <c:pt idx="14" formatCode="0">
                  <c:v>0</c:v>
                </c:pt>
                <c:pt idx="15" formatCode="0">
                  <c:v>3</c:v>
                </c:pt>
                <c:pt idx="16" formatCode="0">
                  <c:v>9</c:v>
                </c:pt>
                <c:pt idx="17" formatCode="0">
                  <c:v>0</c:v>
                </c:pt>
                <c:pt idx="18" formatCode="0">
                  <c:v>0</c:v>
                </c:pt>
                <c:pt idx="19" formatCode="0">
                  <c:v>3</c:v>
                </c:pt>
                <c:pt idx="20" formatCode="0">
                  <c:v>10</c:v>
                </c:pt>
                <c:pt idx="21" formatCode="0">
                  <c:v>0</c:v>
                </c:pt>
                <c:pt idx="22" formatCode="0">
                  <c:v>11.333333333333332</c:v>
                </c:pt>
                <c:pt idx="23" formatCode="0">
                  <c:v>0</c:v>
                </c:pt>
                <c:pt idx="24" formatCode="0">
                  <c:v>2</c:v>
                </c:pt>
                <c:pt idx="25" formatCode="0">
                  <c:v>4</c:v>
                </c:pt>
                <c:pt idx="26" formatCode="0">
                  <c:v>28</c:v>
                </c:pt>
                <c:pt idx="27" formatCode="0">
                  <c:v>2</c:v>
                </c:pt>
                <c:pt idx="28" formatCode="0">
                  <c:v>41.333333333333329</c:v>
                </c:pt>
                <c:pt idx="29" formatCode="0">
                  <c:v>0</c:v>
                </c:pt>
                <c:pt idx="30" formatCode="0">
                  <c:v>2</c:v>
                </c:pt>
                <c:pt idx="31" formatCode="0">
                  <c:v>0</c:v>
                </c:pt>
                <c:pt idx="32" formatCode="0">
                  <c:v>45</c:v>
                </c:pt>
                <c:pt idx="33" formatCode="0">
                  <c:v>0</c:v>
                </c:pt>
                <c:pt idx="34" formatCode="0">
                  <c:v>66</c:v>
                </c:pt>
                <c:pt idx="35" formatCode="0">
                  <c:v>0</c:v>
                </c:pt>
                <c:pt idx="39" formatCode="0">
                  <c:v>0</c:v>
                </c:pt>
                <c:pt idx="40" formatCode="0">
                  <c:v>51</c:v>
                </c:pt>
                <c:pt idx="41" formatCode="0">
                  <c:v>134.66666666666666</c:v>
                </c:pt>
                <c:pt idx="42" formatCode="0">
                  <c:v>0</c:v>
                </c:pt>
                <c:pt idx="43" formatCode="0">
                  <c:v>0</c:v>
                </c:pt>
                <c:pt idx="44" formatCode="0">
                  <c:v>90.666666666666657</c:v>
                </c:pt>
                <c:pt idx="45" formatCode="0">
                  <c:v>0</c:v>
                </c:pt>
                <c:pt idx="46" formatCode="0">
                  <c:v>0</c:v>
                </c:pt>
                <c:pt idx="47" formatCode="0">
                  <c:v>0</c:v>
                </c:pt>
                <c:pt idx="48" formatCode="0">
                  <c:v>0</c:v>
                </c:pt>
                <c:pt idx="49" formatCode="0">
                  <c:v>30</c:v>
                </c:pt>
                <c:pt idx="50" formatCode="0">
                  <c:v>14</c:v>
                </c:pt>
                <c:pt idx="51" formatCode="0">
                  <c:v>0</c:v>
                </c:pt>
                <c:pt idx="52" formatCode="0">
                  <c:v>0</c:v>
                </c:pt>
                <c:pt idx="53" formatCode="0">
                  <c:v>0</c:v>
                </c:pt>
              </c:numCache>
            </c:numRef>
          </c:val>
          <c:extLst>
            <c:ext xmlns:c16="http://schemas.microsoft.com/office/drawing/2014/chart" uri="{C3380CC4-5D6E-409C-BE32-E72D297353CC}">
              <c16:uniqueId val="{00000024-E6FF-410F-BFF6-3807D41619A9}"/>
            </c:ext>
          </c:extLst>
        </c:ser>
        <c:ser>
          <c:idx val="1"/>
          <c:order val="1"/>
          <c:tx>
            <c:strRef>
              <c:f>'Figure A4. Heavy Weap over time'!$E$11</c:f>
              <c:strCache>
                <c:ptCount val="1"/>
                <c:pt idx="0">
                  <c:v>Commitments by non-EU NATO countries</c:v>
                </c:pt>
              </c:strCache>
            </c:strRef>
          </c:tx>
          <c:spPr>
            <a:solidFill>
              <a:schemeClr val="accent2"/>
            </a:solidFill>
            <a:ln>
              <a:solidFill>
                <a:schemeClr val="tx1"/>
              </a:solidFill>
            </a:ln>
            <a:effectLst/>
          </c:spPr>
          <c:invertIfNegative val="0"/>
          <c:dPt>
            <c:idx val="10"/>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6-E6FF-410F-BFF6-3807D41619A9}"/>
              </c:ext>
            </c:extLst>
          </c:dPt>
          <c:dPt>
            <c:idx val="13"/>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8-E6FF-410F-BFF6-3807D41619A9}"/>
              </c:ext>
            </c:extLst>
          </c:dPt>
          <c:dPt>
            <c:idx val="15"/>
            <c:invertIfNegative val="0"/>
            <c:bubble3D val="0"/>
            <c:spPr>
              <a:solidFill>
                <a:schemeClr val="accent4">
                  <a:lumMod val="60000"/>
                  <a:lumOff val="40000"/>
                </a:schemeClr>
              </a:solidFill>
              <a:ln>
                <a:solidFill>
                  <a:schemeClr val="tx1"/>
                </a:solidFill>
              </a:ln>
              <a:effectLst/>
            </c:spPr>
            <c:extLst>
              <c:ext xmlns:c16="http://schemas.microsoft.com/office/drawing/2014/chart" uri="{C3380CC4-5D6E-409C-BE32-E72D297353CC}">
                <c16:uniqueId val="{0000002A-E6FF-410F-BFF6-3807D41619A9}"/>
              </c:ext>
            </c:extLst>
          </c:dPt>
          <c:dPt>
            <c:idx val="16"/>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33-FD28-4FD8-A843-B581BAC8640C}"/>
              </c:ext>
            </c:extLst>
          </c:dPt>
          <c:dPt>
            <c:idx val="18"/>
            <c:invertIfNegative val="0"/>
            <c:bubble3D val="0"/>
            <c:spPr>
              <a:solidFill>
                <a:schemeClr val="accent4">
                  <a:lumMod val="60000"/>
                  <a:lumOff val="40000"/>
                </a:schemeClr>
              </a:solidFill>
              <a:ln>
                <a:solidFill>
                  <a:schemeClr val="tx1"/>
                </a:solidFill>
              </a:ln>
              <a:effectLst/>
            </c:spPr>
            <c:extLst>
              <c:ext xmlns:c16="http://schemas.microsoft.com/office/drawing/2014/chart" uri="{C3380CC4-5D6E-409C-BE32-E72D297353CC}">
                <c16:uniqueId val="{0000002E-E6FF-410F-BFF6-3807D41619A9}"/>
              </c:ext>
            </c:extLst>
          </c:dPt>
          <c:dPt>
            <c:idx val="21"/>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30-E6FF-410F-BFF6-3807D41619A9}"/>
              </c:ext>
            </c:extLst>
          </c:dPt>
          <c:dPt>
            <c:idx val="24"/>
            <c:invertIfNegative val="0"/>
            <c:bubble3D val="0"/>
            <c:spPr>
              <a:solidFill>
                <a:schemeClr val="accent4">
                  <a:lumMod val="60000"/>
                  <a:lumOff val="40000"/>
                </a:schemeClr>
              </a:solidFill>
              <a:ln>
                <a:solidFill>
                  <a:schemeClr val="tx1"/>
                </a:solidFill>
              </a:ln>
              <a:effectLst/>
            </c:spPr>
            <c:extLst>
              <c:ext xmlns:c16="http://schemas.microsoft.com/office/drawing/2014/chart" uri="{C3380CC4-5D6E-409C-BE32-E72D297353CC}">
                <c16:uniqueId val="{00000032-E6FF-410F-BFF6-3807D41619A9}"/>
              </c:ext>
            </c:extLst>
          </c:dPt>
          <c:dPt>
            <c:idx val="27"/>
            <c:invertIfNegative val="0"/>
            <c:bubble3D val="0"/>
            <c:spPr>
              <a:solidFill>
                <a:schemeClr val="accent4">
                  <a:lumMod val="60000"/>
                  <a:lumOff val="40000"/>
                </a:schemeClr>
              </a:solidFill>
              <a:ln>
                <a:solidFill>
                  <a:schemeClr val="tx1"/>
                </a:solidFill>
              </a:ln>
              <a:effectLst/>
            </c:spPr>
            <c:extLst>
              <c:ext xmlns:c16="http://schemas.microsoft.com/office/drawing/2014/chart" uri="{C3380CC4-5D6E-409C-BE32-E72D297353CC}">
                <c16:uniqueId val="{0000003B-FD28-4FD8-A843-B581BAC8640C}"/>
              </c:ext>
            </c:extLst>
          </c:dPt>
          <c:dPt>
            <c:idx val="28"/>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3D-FD28-4FD8-A843-B581BAC8640C}"/>
              </c:ext>
            </c:extLst>
          </c:dPt>
          <c:dPt>
            <c:idx val="32"/>
            <c:invertIfNegative val="0"/>
            <c:bubble3D val="0"/>
            <c:spPr>
              <a:solidFill>
                <a:schemeClr val="accent6">
                  <a:lumMod val="40000"/>
                  <a:lumOff val="60000"/>
                </a:schemeClr>
              </a:solidFill>
              <a:ln>
                <a:solidFill>
                  <a:schemeClr val="tx1"/>
                </a:solidFill>
              </a:ln>
              <a:effectLst/>
            </c:spPr>
            <c:extLst>
              <c:ext xmlns:c16="http://schemas.microsoft.com/office/drawing/2014/chart" uri="{C3380CC4-5D6E-409C-BE32-E72D297353CC}">
                <c16:uniqueId val="{00000042-5525-477C-BD69-96F7773BFD48}"/>
              </c:ext>
            </c:extLst>
          </c:dPt>
          <c:dPt>
            <c:idx val="40"/>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43-5525-477C-BD69-96F7773BFD48}"/>
              </c:ext>
            </c:extLst>
          </c:dPt>
          <c:dPt>
            <c:idx val="41"/>
            <c:invertIfNegative val="0"/>
            <c:bubble3D val="0"/>
            <c:spPr>
              <a:solidFill>
                <a:schemeClr val="accent6">
                  <a:lumMod val="40000"/>
                  <a:lumOff val="60000"/>
                </a:schemeClr>
              </a:solidFill>
              <a:ln>
                <a:solidFill>
                  <a:schemeClr val="tx1"/>
                </a:solidFill>
              </a:ln>
              <a:effectLst/>
            </c:spPr>
            <c:extLst>
              <c:ext xmlns:c16="http://schemas.microsoft.com/office/drawing/2014/chart" uri="{C3380CC4-5D6E-409C-BE32-E72D297353CC}">
                <c16:uniqueId val="{0000003A-E475-44E2-B674-6FF5E5DB3FD7}"/>
              </c:ext>
            </c:extLst>
          </c:dPt>
          <c:dPt>
            <c:idx val="44"/>
            <c:invertIfNegative val="0"/>
            <c:bubble3D val="0"/>
            <c:spPr>
              <a:solidFill>
                <a:schemeClr val="accent6">
                  <a:lumMod val="40000"/>
                  <a:lumOff val="60000"/>
                </a:schemeClr>
              </a:solidFill>
              <a:ln>
                <a:solidFill>
                  <a:schemeClr val="tx1"/>
                </a:solidFill>
              </a:ln>
              <a:effectLst/>
            </c:spPr>
            <c:extLst>
              <c:ext xmlns:c16="http://schemas.microsoft.com/office/drawing/2014/chart" uri="{C3380CC4-5D6E-409C-BE32-E72D297353CC}">
                <c16:uniqueId val="{0000003C-E475-44E2-B674-6FF5E5DB3FD7}"/>
              </c:ext>
            </c:extLst>
          </c:dPt>
          <c:cat>
            <c:multiLvlStrRef>
              <c:f>'Figure A4. Heavy Weap over time'!$B$12:$C$65</c:f>
              <c:multiLvlStrCache>
                <c:ptCount val="54"/>
                <c:lvl>
                  <c:pt idx="1">
                    <c:v>2022</c:v>
                  </c:pt>
                  <c:pt idx="3">
                    <c:v>MLRS</c:v>
                  </c:pt>
                  <c:pt idx="4">
                    <c:v>Howitzers</c:v>
                  </c:pt>
                  <c:pt idx="5">
                    <c:v>Tanks</c:v>
                  </c:pt>
                  <c:pt idx="6">
                    <c:v>MLRS</c:v>
                  </c:pt>
                  <c:pt idx="7">
                    <c:v>Howitzers</c:v>
                  </c:pt>
                  <c:pt idx="8">
                    <c:v>Tanks</c:v>
                  </c:pt>
                  <c:pt idx="9">
                    <c:v>MLRS</c:v>
                  </c:pt>
                  <c:pt idx="10">
                    <c:v>Howitzers</c:v>
                  </c:pt>
                  <c:pt idx="11">
                    <c:v>Tanks</c:v>
                  </c:pt>
                  <c:pt idx="12">
                    <c:v>MLRS</c:v>
                  </c:pt>
                  <c:pt idx="13">
                    <c:v>Howitzers</c:v>
                  </c:pt>
                  <c:pt idx="14">
                    <c:v>Tanks</c:v>
                  </c:pt>
                  <c:pt idx="15">
                    <c:v>MLRS</c:v>
                  </c:pt>
                  <c:pt idx="16">
                    <c:v>Howitzers</c:v>
                  </c:pt>
                  <c:pt idx="17">
                    <c:v>Tanks</c:v>
                  </c:pt>
                  <c:pt idx="18">
                    <c:v>MLRS</c:v>
                  </c:pt>
                  <c:pt idx="19">
                    <c:v>Howitzers</c:v>
                  </c:pt>
                  <c:pt idx="20">
                    <c:v>Tanks</c:v>
                  </c:pt>
                  <c:pt idx="21">
                    <c:v>MLRS</c:v>
                  </c:pt>
                  <c:pt idx="22">
                    <c:v>Howitzers</c:v>
                  </c:pt>
                  <c:pt idx="23">
                    <c:v>Tanks</c:v>
                  </c:pt>
                  <c:pt idx="24">
                    <c:v>MLRS</c:v>
                  </c:pt>
                  <c:pt idx="25">
                    <c:v>Howitzers</c:v>
                  </c:pt>
                  <c:pt idx="26">
                    <c:v>Tanks</c:v>
                  </c:pt>
                  <c:pt idx="27">
                    <c:v>MLRS</c:v>
                  </c:pt>
                  <c:pt idx="28">
                    <c:v>Howitzers</c:v>
                  </c:pt>
                  <c:pt idx="29">
                    <c:v>Tanks</c:v>
                  </c:pt>
                  <c:pt idx="30">
                    <c:v>MLRS</c:v>
                  </c:pt>
                  <c:pt idx="31">
                    <c:v>Howitzers</c:v>
                  </c:pt>
                  <c:pt idx="32">
                    <c:v>Tanks</c:v>
                  </c:pt>
                  <c:pt idx="33">
                    <c:v>MLRS</c:v>
                  </c:pt>
                  <c:pt idx="34">
                    <c:v>Howitzers</c:v>
                  </c:pt>
                  <c:pt idx="35">
                    <c:v>Tanks</c:v>
                  </c:pt>
                  <c:pt idx="37">
                    <c:v>2023</c:v>
                  </c:pt>
                  <c:pt idx="39">
                    <c:v>MLRS</c:v>
                  </c:pt>
                  <c:pt idx="40">
                    <c:v>Howitzers</c:v>
                  </c:pt>
                  <c:pt idx="41">
                    <c:v>Tanks</c:v>
                  </c:pt>
                  <c:pt idx="42">
                    <c:v>MLRS</c:v>
                  </c:pt>
                  <c:pt idx="43">
                    <c:v>Howitzers</c:v>
                  </c:pt>
                  <c:pt idx="44">
                    <c:v>Tanks</c:v>
                  </c:pt>
                  <c:pt idx="45">
                    <c:v>MLRS</c:v>
                  </c:pt>
                  <c:pt idx="46">
                    <c:v>Howitzers</c:v>
                  </c:pt>
                  <c:pt idx="47">
                    <c:v>Tanks</c:v>
                  </c:pt>
                  <c:pt idx="48">
                    <c:v>MLRS</c:v>
                  </c:pt>
                  <c:pt idx="49">
                    <c:v>Howitzers</c:v>
                  </c:pt>
                  <c:pt idx="50">
                    <c:v>Tanks</c:v>
                  </c:pt>
                  <c:pt idx="51">
                    <c:v>MLRS</c:v>
                  </c:pt>
                  <c:pt idx="52">
                    <c:v>Howitzers</c:v>
                  </c:pt>
                  <c:pt idx="53">
                    <c:v>Tanks</c:v>
                  </c:pt>
                </c:lvl>
                <c:lvl>
                  <c:pt idx="0">
                    <c:v> </c:v>
                  </c:pt>
                  <c:pt idx="3">
                    <c:v>February</c:v>
                  </c:pt>
                  <c:pt idx="6">
                    <c:v>March</c:v>
                  </c:pt>
                  <c:pt idx="9">
                    <c:v>April</c:v>
                  </c:pt>
                  <c:pt idx="12">
                    <c:v>May</c:v>
                  </c:pt>
                  <c:pt idx="15">
                    <c:v>June</c:v>
                  </c:pt>
                  <c:pt idx="18">
                    <c:v>July</c:v>
                  </c:pt>
                  <c:pt idx="21">
                    <c:v>August</c:v>
                  </c:pt>
                  <c:pt idx="24">
                    <c:v>September</c:v>
                  </c:pt>
                  <c:pt idx="27">
                    <c:v>October</c:v>
                  </c:pt>
                  <c:pt idx="30">
                    <c:v>November</c:v>
                  </c:pt>
                  <c:pt idx="33">
                    <c:v>December</c:v>
                  </c:pt>
                  <c:pt idx="36">
                    <c:v> </c:v>
                  </c:pt>
                  <c:pt idx="39">
                    <c:v>January</c:v>
                  </c:pt>
                  <c:pt idx="42">
                    <c:v>February</c:v>
                  </c:pt>
                  <c:pt idx="45">
                    <c:v>March</c:v>
                  </c:pt>
                  <c:pt idx="48">
                    <c:v>April</c:v>
                  </c:pt>
                  <c:pt idx="51">
                    <c:v>May</c:v>
                  </c:pt>
                </c:lvl>
              </c:multiLvlStrCache>
            </c:multiLvlStrRef>
          </c:cat>
          <c:val>
            <c:numRef>
              <c:f>'Figure A4. Heavy Weap over time'!$E$12:$E$65</c:f>
              <c:numCache>
                <c:formatCode>General</c:formatCode>
                <c:ptCount val="54"/>
                <c:pt idx="3" formatCode="0">
                  <c:v>0</c:v>
                </c:pt>
                <c:pt idx="4" formatCode="0">
                  <c:v>0</c:v>
                </c:pt>
                <c:pt idx="5" formatCode="0">
                  <c:v>0</c:v>
                </c:pt>
                <c:pt idx="6" formatCode="0">
                  <c:v>0</c:v>
                </c:pt>
                <c:pt idx="7" formatCode="0">
                  <c:v>0</c:v>
                </c:pt>
                <c:pt idx="8" formatCode="0">
                  <c:v>0</c:v>
                </c:pt>
                <c:pt idx="9" formatCode="0">
                  <c:v>0</c:v>
                </c:pt>
                <c:pt idx="10" formatCode="0">
                  <c:v>94</c:v>
                </c:pt>
                <c:pt idx="11" formatCode="0">
                  <c:v>0</c:v>
                </c:pt>
                <c:pt idx="12" formatCode="0">
                  <c:v>0</c:v>
                </c:pt>
                <c:pt idx="13" formatCode="0">
                  <c:v>18</c:v>
                </c:pt>
                <c:pt idx="14" formatCode="0">
                  <c:v>0</c:v>
                </c:pt>
                <c:pt idx="15" formatCode="0">
                  <c:v>14</c:v>
                </c:pt>
                <c:pt idx="16" formatCode="0">
                  <c:v>68</c:v>
                </c:pt>
                <c:pt idx="17" formatCode="0">
                  <c:v>0</c:v>
                </c:pt>
                <c:pt idx="18" formatCode="0">
                  <c:v>8</c:v>
                </c:pt>
                <c:pt idx="19" formatCode="0">
                  <c:v>0</c:v>
                </c:pt>
                <c:pt idx="20" formatCode="0">
                  <c:v>0</c:v>
                </c:pt>
                <c:pt idx="21" formatCode="0">
                  <c:v>3</c:v>
                </c:pt>
                <c:pt idx="22" formatCode="0">
                  <c:v>0</c:v>
                </c:pt>
                <c:pt idx="23" formatCode="0">
                  <c:v>0</c:v>
                </c:pt>
                <c:pt idx="24" formatCode="0">
                  <c:v>18</c:v>
                </c:pt>
                <c:pt idx="25" formatCode="0">
                  <c:v>0</c:v>
                </c:pt>
                <c:pt idx="26" formatCode="0">
                  <c:v>0</c:v>
                </c:pt>
                <c:pt idx="27" formatCode="0">
                  <c:v>4</c:v>
                </c:pt>
                <c:pt idx="28" formatCode="0">
                  <c:v>21.333333333333332</c:v>
                </c:pt>
                <c:pt idx="29" formatCode="0">
                  <c:v>0</c:v>
                </c:pt>
                <c:pt idx="30" formatCode="0">
                  <c:v>0</c:v>
                </c:pt>
                <c:pt idx="31" formatCode="0">
                  <c:v>0</c:v>
                </c:pt>
                <c:pt idx="32" formatCode="0">
                  <c:v>45</c:v>
                </c:pt>
                <c:pt idx="33" formatCode="0">
                  <c:v>0</c:v>
                </c:pt>
                <c:pt idx="34" formatCode="0">
                  <c:v>0</c:v>
                </c:pt>
                <c:pt idx="35" formatCode="0">
                  <c:v>0</c:v>
                </c:pt>
                <c:pt idx="39" formatCode="0">
                  <c:v>0</c:v>
                </c:pt>
                <c:pt idx="40" formatCode="0">
                  <c:v>48</c:v>
                </c:pt>
                <c:pt idx="41" formatCode="0">
                  <c:v>49</c:v>
                </c:pt>
                <c:pt idx="42" formatCode="0">
                  <c:v>0</c:v>
                </c:pt>
                <c:pt idx="43" formatCode="0">
                  <c:v>0</c:v>
                </c:pt>
                <c:pt idx="44" formatCode="0">
                  <c:v>12</c:v>
                </c:pt>
                <c:pt idx="45" formatCode="0">
                  <c:v>0</c:v>
                </c:pt>
                <c:pt idx="46" formatCode="0">
                  <c:v>0</c:v>
                </c:pt>
                <c:pt idx="47" formatCode="0">
                  <c:v>0</c:v>
                </c:pt>
                <c:pt idx="48" formatCode="0">
                  <c:v>0</c:v>
                </c:pt>
                <c:pt idx="49" formatCode="0">
                  <c:v>0</c:v>
                </c:pt>
                <c:pt idx="50" formatCode="0">
                  <c:v>0</c:v>
                </c:pt>
                <c:pt idx="51" formatCode="0">
                  <c:v>0</c:v>
                </c:pt>
                <c:pt idx="52" formatCode="0">
                  <c:v>0</c:v>
                </c:pt>
                <c:pt idx="53" formatCode="0">
                  <c:v>0</c:v>
                </c:pt>
              </c:numCache>
            </c:numRef>
          </c:val>
          <c:extLst>
            <c:ext xmlns:c16="http://schemas.microsoft.com/office/drawing/2014/chart" uri="{C3380CC4-5D6E-409C-BE32-E72D297353CC}">
              <c16:uniqueId val="{0000003B-E6FF-410F-BFF6-3807D41619A9}"/>
            </c:ext>
          </c:extLst>
        </c:ser>
        <c:dLbls>
          <c:showLegendKey val="0"/>
          <c:showVal val="0"/>
          <c:showCatName val="0"/>
          <c:showSerName val="0"/>
          <c:showPercent val="0"/>
          <c:showBubbleSize val="0"/>
        </c:dLbls>
        <c:gapWidth val="54"/>
        <c:overlap val="100"/>
        <c:axId val="124051647"/>
        <c:axId val="124056223"/>
      </c:barChart>
      <c:catAx>
        <c:axId val="124051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24056223"/>
        <c:crosses val="autoZero"/>
        <c:auto val="1"/>
        <c:lblAlgn val="ctr"/>
        <c:lblOffset val="100"/>
        <c:tickLblSkip val="1"/>
        <c:tickMarkSkip val="1"/>
        <c:noMultiLvlLbl val="0"/>
      </c:catAx>
      <c:valAx>
        <c:axId val="1240562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24051647"/>
        <c:crossesAt val="1"/>
        <c:crossBetween val="between"/>
      </c:valAx>
      <c:spPr>
        <a:noFill/>
        <a:ln>
          <a:noFill/>
        </a:ln>
        <a:effectLst/>
      </c:spPr>
    </c:plotArea>
    <c:legend>
      <c:legendPos val="r"/>
      <c:legendEntry>
        <c:idx val="0"/>
        <c:delete val="1"/>
      </c:legendEntry>
      <c:legendEntry>
        <c:idx val="1"/>
        <c:delete val="1"/>
      </c:legendEntry>
      <c:layout>
        <c:manualLayout>
          <c:xMode val="edge"/>
          <c:yMode val="edge"/>
          <c:x val="0.57864953703703714"/>
          <c:y val="5.8505403668391798E-2"/>
          <c:w val="0.24281361729306436"/>
          <c:h val="0.57345760526251366"/>
        </c:manualLayout>
      </c:layout>
      <c:overlay val="0"/>
      <c:spPr>
        <a:solidFill>
          <a:sysClr val="window" lastClr="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38458251868861"/>
          <c:y val="3.1941248680511895E-2"/>
          <c:w val="0.77759305555555558"/>
          <c:h val="0.90079642808453064"/>
        </c:manualLayout>
      </c:layout>
      <c:barChart>
        <c:barDir val="bar"/>
        <c:grouping val="stacked"/>
        <c:varyColors val="0"/>
        <c:ser>
          <c:idx val="0"/>
          <c:order val="0"/>
          <c:tx>
            <c:strRef>
              <c:f>'Figure A5. Weapon Delivery'!$E$11</c:f>
              <c:strCache>
                <c:ptCount val="1"/>
                <c:pt idx="0">
                  <c:v>Delivered units</c:v>
                </c:pt>
              </c:strCache>
            </c:strRef>
          </c:tx>
          <c:spPr>
            <a:solidFill>
              <a:schemeClr val="accent1"/>
            </a:solidFill>
            <a:ln>
              <a:solidFill>
                <a:schemeClr val="tx1"/>
              </a:solidFill>
            </a:ln>
            <a:effectLst/>
          </c:spPr>
          <c:invertIfNegative val="0"/>
          <c:dPt>
            <c:idx val="0"/>
            <c:invertIfNegative val="0"/>
            <c:bubble3D val="0"/>
            <c:spPr>
              <a:solidFill>
                <a:srgbClr val="2E75B6"/>
              </a:solidFill>
              <a:ln>
                <a:solidFill>
                  <a:schemeClr val="tx1"/>
                </a:solidFill>
              </a:ln>
              <a:effectLst/>
            </c:spPr>
            <c:extLst>
              <c:ext xmlns:c16="http://schemas.microsoft.com/office/drawing/2014/chart" uri="{C3380CC4-5D6E-409C-BE32-E72D297353CC}">
                <c16:uniqueId val="{00000001-3EBC-4BA3-9567-54E446A8065B}"/>
              </c:ext>
            </c:extLst>
          </c:dPt>
          <c:dPt>
            <c:idx val="1"/>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03-3EBC-4BA3-9567-54E446A8065B}"/>
              </c:ext>
            </c:extLst>
          </c:dPt>
          <c:dPt>
            <c:idx val="3"/>
            <c:invertIfNegative val="0"/>
            <c:bubble3D val="0"/>
            <c:spPr>
              <a:solidFill>
                <a:srgbClr val="2E75B6"/>
              </a:solidFill>
              <a:ln>
                <a:solidFill>
                  <a:sysClr val="windowText" lastClr="000000"/>
                </a:solidFill>
              </a:ln>
              <a:effectLst/>
            </c:spPr>
            <c:extLst>
              <c:ext xmlns:c16="http://schemas.microsoft.com/office/drawing/2014/chart" uri="{C3380CC4-5D6E-409C-BE32-E72D297353CC}">
                <c16:uniqueId val="{0000002C-2878-46FA-B2F8-79889C8DC508}"/>
              </c:ext>
            </c:extLst>
          </c:dPt>
          <c:dPt>
            <c:idx val="4"/>
            <c:invertIfNegative val="0"/>
            <c:bubble3D val="0"/>
            <c:spPr>
              <a:solidFill>
                <a:srgbClr val="2E75B6"/>
              </a:solidFill>
              <a:ln>
                <a:solidFill>
                  <a:schemeClr val="tx1"/>
                </a:solidFill>
              </a:ln>
              <a:effectLst/>
            </c:spPr>
            <c:extLst>
              <c:ext xmlns:c16="http://schemas.microsoft.com/office/drawing/2014/chart" uri="{C3380CC4-5D6E-409C-BE32-E72D297353CC}">
                <c16:uniqueId val="{0000002D-2878-46FA-B2F8-79889C8DC508}"/>
              </c:ext>
            </c:extLst>
          </c:dPt>
          <c:dPt>
            <c:idx val="5"/>
            <c:invertIfNegative val="0"/>
            <c:bubble3D val="0"/>
            <c:spPr>
              <a:solidFill>
                <a:srgbClr val="C55A11"/>
              </a:solidFill>
              <a:ln>
                <a:solidFill>
                  <a:schemeClr val="tx1"/>
                </a:solidFill>
              </a:ln>
              <a:effectLst/>
            </c:spPr>
            <c:extLst>
              <c:ext xmlns:c16="http://schemas.microsoft.com/office/drawing/2014/chart" uri="{C3380CC4-5D6E-409C-BE32-E72D297353CC}">
                <c16:uniqueId val="{0000000B-3EBC-4BA3-9567-54E446A8065B}"/>
              </c:ext>
            </c:extLst>
          </c:dPt>
          <c:dPt>
            <c:idx val="6"/>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D-3EBC-4BA3-9567-54E446A8065B}"/>
              </c:ext>
            </c:extLst>
          </c:dPt>
          <c:dPt>
            <c:idx val="7"/>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B-5C86-4B0A-916E-B9536B87AF48}"/>
              </c:ext>
            </c:extLst>
          </c:dPt>
          <c:dPt>
            <c:idx val="8"/>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D-5C86-4B0A-916E-B9536B87AF48}"/>
              </c:ext>
            </c:extLst>
          </c:dPt>
          <c:dPt>
            <c:idx val="9"/>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F-3EBC-4BA3-9567-54E446A8065B}"/>
              </c:ext>
            </c:extLst>
          </c:dPt>
          <c:dPt>
            <c:idx val="10"/>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1-3EBC-4BA3-9567-54E446A8065B}"/>
              </c:ext>
            </c:extLst>
          </c:dPt>
          <c:dPt>
            <c:idx val="11"/>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3-3EBC-4BA3-9567-54E446A8065B}"/>
              </c:ext>
            </c:extLst>
          </c:dPt>
          <c:dPt>
            <c:idx val="12"/>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5-3EBC-4BA3-9567-54E446A8065B}"/>
              </c:ext>
            </c:extLst>
          </c:dPt>
          <c:dPt>
            <c:idx val="13"/>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7-3EBC-4BA3-9567-54E446A8065B}"/>
              </c:ext>
            </c:extLst>
          </c:dPt>
          <c:dPt>
            <c:idx val="14"/>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7-A516-4297-AC0B-32AD6C8AC253}"/>
              </c:ext>
            </c:extLst>
          </c:dPt>
          <c:cat>
            <c:multiLvlStrRef>
              <c:f>'Figure A5. Weapon Delivery'!$B$12:$C$26</c:f>
              <c:multiLvlStrCache>
                <c:ptCount val="15"/>
                <c:lvl>
                  <c:pt idx="0">
                    <c:v>Poland</c:v>
                  </c:pt>
                  <c:pt idx="1">
                    <c:v>Czech Republic</c:v>
                  </c:pt>
                  <c:pt idx="2">
                    <c:v>Netherlands</c:v>
                  </c:pt>
                  <c:pt idx="3">
                    <c:v>United States</c:v>
                  </c:pt>
                  <c:pt idx="4">
                    <c:v>Germany</c:v>
                  </c:pt>
                  <c:pt idx="5">
                    <c:v>United States</c:v>
                  </c:pt>
                  <c:pt idx="6">
                    <c:v>Italy</c:v>
                  </c:pt>
                  <c:pt idx="7">
                    <c:v>United Kingdom</c:v>
                  </c:pt>
                  <c:pt idx="8">
                    <c:v>Poland</c:v>
                  </c:pt>
                  <c:pt idx="9">
                    <c:v>Czech Republic</c:v>
                  </c:pt>
                  <c:pt idx="10">
                    <c:v>United States</c:v>
                  </c:pt>
                  <c:pt idx="11">
                    <c:v>Czech Republic</c:v>
                  </c:pt>
                  <c:pt idx="12">
                    <c:v>United Kingdom</c:v>
                  </c:pt>
                  <c:pt idx="13">
                    <c:v>Germany</c:v>
                  </c:pt>
                  <c:pt idx="14">
                    <c:v>Norway</c:v>
                  </c:pt>
                </c:lvl>
                <c:lvl>
                  <c:pt idx="0">
                    <c:v>Tanks </c:v>
                  </c:pt>
                  <c:pt idx="5">
                    <c:v>Howitzers (155mm)</c:v>
                  </c:pt>
                  <c:pt idx="10">
                    <c:v>MLRS</c:v>
                  </c:pt>
                </c:lvl>
              </c:multiLvlStrCache>
            </c:multiLvlStrRef>
          </c:cat>
          <c:val>
            <c:numRef>
              <c:f>'Figure A5. Weapon Delivery'!$E$12:$E$26</c:f>
              <c:numCache>
                <c:formatCode>General</c:formatCode>
                <c:ptCount val="15"/>
                <c:pt idx="0">
                  <c:v>264</c:v>
                </c:pt>
                <c:pt idx="1">
                  <c:v>89</c:v>
                </c:pt>
                <c:pt idx="2">
                  <c:v>18.5</c:v>
                </c:pt>
                <c:pt idx="3">
                  <c:v>18.5</c:v>
                </c:pt>
                <c:pt idx="4">
                  <c:v>18</c:v>
                </c:pt>
                <c:pt idx="5">
                  <c:v>126</c:v>
                </c:pt>
                <c:pt idx="6">
                  <c:v>36</c:v>
                </c:pt>
                <c:pt idx="7">
                  <c:v>28</c:v>
                </c:pt>
                <c:pt idx="8">
                  <c:v>54</c:v>
                </c:pt>
                <c:pt idx="9">
                  <c:v>38</c:v>
                </c:pt>
                <c:pt idx="10">
                  <c:v>20</c:v>
                </c:pt>
                <c:pt idx="11">
                  <c:v>33</c:v>
                </c:pt>
                <c:pt idx="12">
                  <c:v>3</c:v>
                </c:pt>
                <c:pt idx="13">
                  <c:v>5</c:v>
                </c:pt>
                <c:pt idx="14">
                  <c:v>3</c:v>
                </c:pt>
              </c:numCache>
            </c:numRef>
          </c:val>
          <c:extLst>
            <c:ext xmlns:c16="http://schemas.microsoft.com/office/drawing/2014/chart" uri="{C3380CC4-5D6E-409C-BE32-E72D297353CC}">
              <c16:uniqueId val="{00000022-3EBC-4BA3-9567-54E446A8065B}"/>
            </c:ext>
          </c:extLst>
        </c:ser>
        <c:ser>
          <c:idx val="1"/>
          <c:order val="1"/>
          <c:tx>
            <c:strRef>
              <c:f>'Figure A5. Weapon Delivery'!$F$11</c:f>
              <c:strCache>
                <c:ptCount val="1"/>
                <c:pt idx="0">
                  <c:v>To be delivered</c:v>
                </c:pt>
              </c:strCache>
            </c:strRef>
          </c:tx>
          <c:spPr>
            <a:solidFill>
              <a:schemeClr val="accent4">
                <a:lumMod val="40000"/>
                <a:lumOff val="60000"/>
              </a:schemeClr>
            </a:solidFill>
            <a:ln>
              <a:solidFill>
                <a:schemeClr val="tx1"/>
              </a:solidFill>
            </a:ln>
            <a:effectLst/>
          </c:spPr>
          <c:invertIfNegative val="0"/>
          <c:dPt>
            <c:idx val="0"/>
            <c:invertIfNegative val="0"/>
            <c:bubble3D val="0"/>
            <c:spPr>
              <a:solidFill>
                <a:schemeClr val="accent5">
                  <a:lumMod val="60000"/>
                  <a:lumOff val="40000"/>
                </a:schemeClr>
              </a:solidFill>
              <a:ln>
                <a:solidFill>
                  <a:schemeClr val="tx1"/>
                </a:solidFill>
              </a:ln>
              <a:effectLst/>
            </c:spPr>
            <c:extLst>
              <c:ext xmlns:c16="http://schemas.microsoft.com/office/drawing/2014/chart" uri="{C3380CC4-5D6E-409C-BE32-E72D297353CC}">
                <c16:uniqueId val="{00000026-D115-4D56-A28B-0AB16C470BEE}"/>
              </c:ext>
            </c:extLst>
          </c:dPt>
          <c:dPt>
            <c:idx val="1"/>
            <c:invertIfNegative val="0"/>
            <c:bubble3D val="0"/>
            <c:spPr>
              <a:solidFill>
                <a:schemeClr val="accent5">
                  <a:lumMod val="60000"/>
                  <a:lumOff val="40000"/>
                </a:schemeClr>
              </a:solidFill>
              <a:ln>
                <a:solidFill>
                  <a:schemeClr val="tx1"/>
                </a:solidFill>
              </a:ln>
              <a:effectLst/>
            </c:spPr>
            <c:extLst>
              <c:ext xmlns:c16="http://schemas.microsoft.com/office/drawing/2014/chart" uri="{C3380CC4-5D6E-409C-BE32-E72D297353CC}">
                <c16:uniqueId val="{00000026-3EBC-4BA3-9567-54E446A8065B}"/>
              </c:ext>
            </c:extLst>
          </c:dPt>
          <c:dPt>
            <c:idx val="2"/>
            <c:invertIfNegative val="0"/>
            <c:bubble3D val="0"/>
            <c:spPr>
              <a:solidFill>
                <a:schemeClr val="accent5">
                  <a:lumMod val="60000"/>
                  <a:lumOff val="40000"/>
                </a:schemeClr>
              </a:solidFill>
              <a:ln>
                <a:solidFill>
                  <a:sysClr val="windowText" lastClr="000000"/>
                </a:solidFill>
              </a:ln>
              <a:effectLst/>
            </c:spPr>
            <c:extLst>
              <c:ext xmlns:c16="http://schemas.microsoft.com/office/drawing/2014/chart" uri="{C3380CC4-5D6E-409C-BE32-E72D297353CC}">
                <c16:uniqueId val="{0000002A-574E-40E9-8ACD-076377207BC4}"/>
              </c:ext>
            </c:extLst>
          </c:dPt>
          <c:dPt>
            <c:idx val="3"/>
            <c:invertIfNegative val="0"/>
            <c:bubble3D val="0"/>
            <c:spPr>
              <a:solidFill>
                <a:schemeClr val="accent5">
                  <a:lumMod val="60000"/>
                  <a:lumOff val="40000"/>
                </a:schemeClr>
              </a:solidFill>
              <a:ln>
                <a:solidFill>
                  <a:schemeClr val="tx1"/>
                </a:solidFill>
              </a:ln>
              <a:effectLst/>
            </c:spPr>
            <c:extLst>
              <c:ext xmlns:c16="http://schemas.microsoft.com/office/drawing/2014/chart" uri="{C3380CC4-5D6E-409C-BE32-E72D297353CC}">
                <c16:uniqueId val="{0000002A-3EBC-4BA3-9567-54E446A8065B}"/>
              </c:ext>
            </c:extLst>
          </c:dPt>
          <c:dPt>
            <c:idx val="4"/>
            <c:invertIfNegative val="0"/>
            <c:bubble3D val="0"/>
            <c:spPr>
              <a:solidFill>
                <a:schemeClr val="accent5">
                  <a:lumMod val="60000"/>
                  <a:lumOff val="40000"/>
                </a:schemeClr>
              </a:solidFill>
              <a:ln>
                <a:solidFill>
                  <a:schemeClr val="tx1"/>
                </a:solidFill>
              </a:ln>
              <a:effectLst/>
            </c:spPr>
            <c:extLst>
              <c:ext xmlns:c16="http://schemas.microsoft.com/office/drawing/2014/chart" uri="{C3380CC4-5D6E-409C-BE32-E72D297353CC}">
                <c16:uniqueId val="{00000027-D115-4D56-A28B-0AB16C470BEE}"/>
              </c:ext>
            </c:extLst>
          </c:dPt>
          <c:dPt>
            <c:idx val="5"/>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1F-5C86-4B0A-916E-B9536B87AF48}"/>
              </c:ext>
            </c:extLst>
          </c:dPt>
          <c:dPt>
            <c:idx val="6"/>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E-3EBC-4BA3-9567-54E446A8065B}"/>
              </c:ext>
            </c:extLst>
          </c:dPt>
          <c:dPt>
            <c:idx val="7"/>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3-5C86-4B0A-916E-B9536B87AF48}"/>
              </c:ext>
            </c:extLst>
          </c:dPt>
          <c:dPt>
            <c:idx val="8"/>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30-3EBC-4BA3-9567-54E446A8065B}"/>
              </c:ext>
            </c:extLst>
          </c:dPt>
          <c:dPt>
            <c:idx val="9"/>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5-A516-4297-AC0B-32AD6C8AC253}"/>
              </c:ext>
            </c:extLst>
          </c:dPt>
          <c:cat>
            <c:multiLvlStrRef>
              <c:f>'Figure A5. Weapon Delivery'!$B$12:$C$26</c:f>
              <c:multiLvlStrCache>
                <c:ptCount val="15"/>
                <c:lvl>
                  <c:pt idx="0">
                    <c:v>Poland</c:v>
                  </c:pt>
                  <c:pt idx="1">
                    <c:v>Czech Republic</c:v>
                  </c:pt>
                  <c:pt idx="2">
                    <c:v>Netherlands</c:v>
                  </c:pt>
                  <c:pt idx="3">
                    <c:v>United States</c:v>
                  </c:pt>
                  <c:pt idx="4">
                    <c:v>Germany</c:v>
                  </c:pt>
                  <c:pt idx="5">
                    <c:v>United States</c:v>
                  </c:pt>
                  <c:pt idx="6">
                    <c:v>Italy</c:v>
                  </c:pt>
                  <c:pt idx="7">
                    <c:v>United Kingdom</c:v>
                  </c:pt>
                  <c:pt idx="8">
                    <c:v>Poland</c:v>
                  </c:pt>
                  <c:pt idx="9">
                    <c:v>Czech Republic</c:v>
                  </c:pt>
                  <c:pt idx="10">
                    <c:v>United States</c:v>
                  </c:pt>
                  <c:pt idx="11">
                    <c:v>Czech Republic</c:v>
                  </c:pt>
                  <c:pt idx="12">
                    <c:v>United Kingdom</c:v>
                  </c:pt>
                  <c:pt idx="13">
                    <c:v>Germany</c:v>
                  </c:pt>
                  <c:pt idx="14">
                    <c:v>Norway</c:v>
                  </c:pt>
                </c:lvl>
                <c:lvl>
                  <c:pt idx="0">
                    <c:v>Tanks </c:v>
                  </c:pt>
                  <c:pt idx="5">
                    <c:v>Howitzers (155mm)</c:v>
                  </c:pt>
                  <c:pt idx="10">
                    <c:v>MLRS</c:v>
                  </c:pt>
                </c:lvl>
              </c:multiLvlStrCache>
            </c:multiLvlStrRef>
          </c:cat>
          <c:val>
            <c:numRef>
              <c:f>'Figure A5. Weapon Delivery'!$F$12:$F$26</c:f>
              <c:numCache>
                <c:formatCode>0</c:formatCode>
                <c:ptCount val="15"/>
                <c:pt idx="0">
                  <c:v>60</c:v>
                </c:pt>
                <c:pt idx="1">
                  <c:v>0</c:v>
                </c:pt>
                <c:pt idx="2">
                  <c:v>70.166666666666657</c:v>
                </c:pt>
                <c:pt idx="3">
                  <c:v>57.5</c:v>
                </c:pt>
                <c:pt idx="4">
                  <c:v>37</c:v>
                </c:pt>
                <c:pt idx="5">
                  <c:v>34</c:v>
                </c:pt>
                <c:pt idx="6">
                  <c:v>30</c:v>
                </c:pt>
                <c:pt idx="7">
                  <c:v>30</c:v>
                </c:pt>
                <c:pt idx="8">
                  <c:v>0</c:v>
                </c:pt>
                <c:pt idx="9">
                  <c:v>0</c:v>
                </c:pt>
                <c:pt idx="10">
                  <c:v>18</c:v>
                </c:pt>
                <c:pt idx="11">
                  <c:v>0</c:v>
                </c:pt>
                <c:pt idx="12">
                  <c:v>3</c:v>
                </c:pt>
                <c:pt idx="13">
                  <c:v>0</c:v>
                </c:pt>
                <c:pt idx="14">
                  <c:v>0</c:v>
                </c:pt>
              </c:numCache>
            </c:numRef>
          </c:val>
          <c:extLst>
            <c:ext xmlns:c16="http://schemas.microsoft.com/office/drawing/2014/chart" uri="{C3380CC4-5D6E-409C-BE32-E72D297353CC}">
              <c16:uniqueId val="{0000003B-3EBC-4BA3-9567-54E446A8065B}"/>
            </c:ext>
          </c:extLst>
        </c:ser>
        <c:dLbls>
          <c:showLegendKey val="0"/>
          <c:showVal val="0"/>
          <c:showCatName val="0"/>
          <c:showSerName val="0"/>
          <c:showPercent val="0"/>
          <c:showBubbleSize val="0"/>
        </c:dLbls>
        <c:gapWidth val="110"/>
        <c:overlap val="100"/>
        <c:axId val="825191296"/>
        <c:axId val="825182560"/>
        <c:extLst/>
      </c:barChart>
      <c:catAx>
        <c:axId val="825191296"/>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25182560"/>
        <c:crosses val="autoZero"/>
        <c:auto val="1"/>
        <c:lblAlgn val="ctr"/>
        <c:lblOffset val="100"/>
        <c:noMultiLvlLbl val="0"/>
      </c:catAx>
      <c:valAx>
        <c:axId val="825182560"/>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2519129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38458251868861"/>
          <c:y val="3.1941248680511895E-2"/>
          <c:w val="0.77759305555555558"/>
          <c:h val="0.90079642808453064"/>
        </c:manualLayout>
      </c:layout>
      <c:barChart>
        <c:barDir val="bar"/>
        <c:grouping val="stacked"/>
        <c:varyColors val="0"/>
        <c:ser>
          <c:idx val="0"/>
          <c:order val="0"/>
          <c:tx>
            <c:strRef>
              <c:f>'Figure A5. Weapon Delivery'!$E$11</c:f>
              <c:strCache>
                <c:ptCount val="1"/>
                <c:pt idx="0">
                  <c:v>Delivered units</c:v>
                </c:pt>
              </c:strCache>
            </c:strRef>
          </c:tx>
          <c:spPr>
            <a:solidFill>
              <a:schemeClr val="accent1"/>
            </a:solidFill>
            <a:ln>
              <a:solidFill>
                <a:schemeClr val="tx1"/>
              </a:solidFill>
            </a:ln>
            <a:effectLst/>
          </c:spPr>
          <c:invertIfNegative val="0"/>
          <c:dPt>
            <c:idx val="0"/>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1-C51F-4251-BAC3-9AD9C84DBB67}"/>
              </c:ext>
            </c:extLst>
          </c:dPt>
          <c:dPt>
            <c:idx val="1"/>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3-C51F-4251-BAC3-9AD9C84DBB67}"/>
              </c:ext>
            </c:extLst>
          </c:dPt>
          <c:dPt>
            <c:idx val="2"/>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5-C51F-4251-BAC3-9AD9C84DBB67}"/>
              </c:ext>
            </c:extLst>
          </c:dPt>
          <c:dPt>
            <c:idx val="3"/>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7-C51F-4251-BAC3-9AD9C84DBB67}"/>
              </c:ext>
            </c:extLst>
          </c:dPt>
          <c:dPt>
            <c:idx val="4"/>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9-C51F-4251-BAC3-9AD9C84DBB67}"/>
              </c:ext>
            </c:extLst>
          </c:dPt>
          <c:cat>
            <c:multiLvlStrRef>
              <c:f>'Figure A5. Weapon Delivery'!$B$22:$C$26</c:f>
              <c:multiLvlStrCache>
                <c:ptCount val="5"/>
                <c:lvl>
                  <c:pt idx="0">
                    <c:v>United States</c:v>
                  </c:pt>
                  <c:pt idx="1">
                    <c:v>Czech Republic</c:v>
                  </c:pt>
                  <c:pt idx="2">
                    <c:v>United Kingdom</c:v>
                  </c:pt>
                  <c:pt idx="3">
                    <c:v>Germany</c:v>
                  </c:pt>
                  <c:pt idx="4">
                    <c:v>Norway</c:v>
                  </c:pt>
                </c:lvl>
                <c:lvl>
                  <c:pt idx="0">
                    <c:v>MLRS</c:v>
                  </c:pt>
                </c:lvl>
              </c:multiLvlStrCache>
            </c:multiLvlStrRef>
          </c:cat>
          <c:val>
            <c:numRef>
              <c:f>'Figure A5. Weapon Delivery'!$E$22:$E$26</c:f>
              <c:numCache>
                <c:formatCode>General</c:formatCode>
                <c:ptCount val="5"/>
                <c:pt idx="0">
                  <c:v>20</c:v>
                </c:pt>
                <c:pt idx="1">
                  <c:v>33</c:v>
                </c:pt>
                <c:pt idx="2">
                  <c:v>3</c:v>
                </c:pt>
                <c:pt idx="3">
                  <c:v>5</c:v>
                </c:pt>
                <c:pt idx="4">
                  <c:v>3</c:v>
                </c:pt>
              </c:numCache>
            </c:numRef>
          </c:val>
          <c:extLst>
            <c:ext xmlns:c16="http://schemas.microsoft.com/office/drawing/2014/chart" uri="{C3380CC4-5D6E-409C-BE32-E72D297353CC}">
              <c16:uniqueId val="{0000000A-C51F-4251-BAC3-9AD9C84DBB67}"/>
            </c:ext>
          </c:extLst>
        </c:ser>
        <c:ser>
          <c:idx val="1"/>
          <c:order val="1"/>
          <c:tx>
            <c:strRef>
              <c:f>'Figure A5. Weapon Delivery'!$F$11</c:f>
              <c:strCache>
                <c:ptCount val="1"/>
                <c:pt idx="0">
                  <c:v>To be delivered</c:v>
                </c:pt>
              </c:strCache>
            </c:strRef>
          </c:tx>
          <c:spPr>
            <a:solidFill>
              <a:schemeClr val="accent4">
                <a:lumMod val="40000"/>
                <a:lumOff val="60000"/>
              </a:schemeClr>
            </a:solidFill>
            <a:ln>
              <a:solidFill>
                <a:schemeClr val="tx1"/>
              </a:solidFill>
            </a:ln>
            <a:effectLst/>
          </c:spPr>
          <c:invertIfNegative val="0"/>
          <c:cat>
            <c:multiLvlStrRef>
              <c:f>'Figure A5. Weapon Delivery'!$B$22:$C$26</c:f>
              <c:multiLvlStrCache>
                <c:ptCount val="5"/>
                <c:lvl>
                  <c:pt idx="0">
                    <c:v>United States</c:v>
                  </c:pt>
                  <c:pt idx="1">
                    <c:v>Czech Republic</c:v>
                  </c:pt>
                  <c:pt idx="2">
                    <c:v>United Kingdom</c:v>
                  </c:pt>
                  <c:pt idx="3">
                    <c:v>Germany</c:v>
                  </c:pt>
                  <c:pt idx="4">
                    <c:v>Norway</c:v>
                  </c:pt>
                </c:lvl>
                <c:lvl>
                  <c:pt idx="0">
                    <c:v>MLRS</c:v>
                  </c:pt>
                </c:lvl>
              </c:multiLvlStrCache>
            </c:multiLvlStrRef>
          </c:cat>
          <c:val>
            <c:numRef>
              <c:f>'Figure A5. Weapon Delivery'!$F$22:$F$26</c:f>
              <c:numCache>
                <c:formatCode>0</c:formatCode>
                <c:ptCount val="5"/>
                <c:pt idx="0">
                  <c:v>18</c:v>
                </c:pt>
                <c:pt idx="1">
                  <c:v>0</c:v>
                </c:pt>
                <c:pt idx="2">
                  <c:v>3</c:v>
                </c:pt>
                <c:pt idx="3">
                  <c:v>0</c:v>
                </c:pt>
                <c:pt idx="4">
                  <c:v>0</c:v>
                </c:pt>
              </c:numCache>
            </c:numRef>
          </c:val>
          <c:extLst>
            <c:ext xmlns:c16="http://schemas.microsoft.com/office/drawing/2014/chart" uri="{C3380CC4-5D6E-409C-BE32-E72D297353CC}">
              <c16:uniqueId val="{0000000B-C51F-4251-BAC3-9AD9C84DBB67}"/>
            </c:ext>
          </c:extLst>
        </c:ser>
        <c:dLbls>
          <c:showLegendKey val="0"/>
          <c:showVal val="0"/>
          <c:showCatName val="0"/>
          <c:showSerName val="0"/>
          <c:showPercent val="0"/>
          <c:showBubbleSize val="0"/>
        </c:dLbls>
        <c:gapWidth val="110"/>
        <c:overlap val="100"/>
        <c:axId val="825191296"/>
        <c:axId val="825182560"/>
        <c:extLst/>
      </c:barChart>
      <c:catAx>
        <c:axId val="825191296"/>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25182560"/>
        <c:crosses val="autoZero"/>
        <c:auto val="1"/>
        <c:lblAlgn val="ctr"/>
        <c:lblOffset val="100"/>
        <c:noMultiLvlLbl val="0"/>
      </c:catAx>
      <c:valAx>
        <c:axId val="825182560"/>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2519129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567436993400062"/>
          <c:y val="1.0674297941238312E-2"/>
          <c:w val="0.821398012502082"/>
          <c:h val="0.94825241232928181"/>
        </c:manualLayout>
      </c:layout>
      <c:barChart>
        <c:barDir val="bar"/>
        <c:grouping val="stacked"/>
        <c:varyColors val="0"/>
        <c:ser>
          <c:idx val="0"/>
          <c:order val="0"/>
          <c:tx>
            <c:strRef>
              <c:f>'Figure A6. Tank Unit Ranking'!$C$11</c:f>
              <c:strCache>
                <c:ptCount val="1"/>
                <c:pt idx="0">
                  <c:v>Tank commitments in 2022</c:v>
                </c:pt>
              </c:strCache>
            </c:strRef>
          </c:tx>
          <c:spPr>
            <a:solidFill>
              <a:schemeClr val="accent5">
                <a:lumMod val="75000"/>
              </a:schemeClr>
            </a:solidFill>
            <a:ln>
              <a:solidFill>
                <a:srgbClr val="000000"/>
              </a:solidFill>
              <a:prstDash val="solid"/>
            </a:ln>
            <a:effectLst/>
          </c:spPr>
          <c:invertIfNegative val="0"/>
          <c:cat>
            <c:strRef>
              <c:f>'Figure A6. Tank Unit Ranking'!$B$12:$B$24</c:f>
              <c:strCache>
                <c:ptCount val="13"/>
                <c:pt idx="0">
                  <c:v>Poland</c:v>
                </c:pt>
                <c:pt idx="1">
                  <c:v>Czech Republic</c:v>
                </c:pt>
                <c:pt idx="2">
                  <c:v>Netherlands</c:v>
                </c:pt>
                <c:pt idx="3">
                  <c:v>United States</c:v>
                </c:pt>
                <c:pt idx="4">
                  <c:v>Germany</c:v>
                </c:pt>
                <c:pt idx="5">
                  <c:v>Denmark</c:v>
                </c:pt>
                <c:pt idx="6">
                  <c:v>Slovenia</c:v>
                </c:pt>
                <c:pt idx="7">
                  <c:v>United Kingdom</c:v>
                </c:pt>
                <c:pt idx="8">
                  <c:v>Sweden</c:v>
                </c:pt>
                <c:pt idx="9">
                  <c:v>Spain</c:v>
                </c:pt>
                <c:pt idx="10">
                  <c:v>Canada</c:v>
                </c:pt>
                <c:pt idx="11">
                  <c:v>Norway</c:v>
                </c:pt>
                <c:pt idx="12">
                  <c:v>Portugal</c:v>
                </c:pt>
              </c:strCache>
            </c:strRef>
          </c:cat>
          <c:val>
            <c:numRef>
              <c:f>'Figure A6. Tank Unit Ranking'!$C$12:$C$24</c:f>
              <c:numCache>
                <c:formatCode>0</c:formatCode>
                <c:ptCount val="13"/>
                <c:pt idx="0">
                  <c:v>250</c:v>
                </c:pt>
                <c:pt idx="1">
                  <c:v>89</c:v>
                </c:pt>
                <c:pt idx="2">
                  <c:v>44.999999999999993</c:v>
                </c:pt>
                <c:pt idx="3">
                  <c:v>45</c:v>
                </c:pt>
                <c:pt idx="4">
                  <c:v>0</c:v>
                </c:pt>
                <c:pt idx="5">
                  <c:v>0</c:v>
                </c:pt>
                <c:pt idx="6">
                  <c:v>28</c:v>
                </c:pt>
                <c:pt idx="7">
                  <c:v>0</c:v>
                </c:pt>
                <c:pt idx="8">
                  <c:v>0</c:v>
                </c:pt>
                <c:pt idx="9">
                  <c:v>0</c:v>
                </c:pt>
                <c:pt idx="10">
                  <c:v>0</c:v>
                </c:pt>
                <c:pt idx="11">
                  <c:v>0</c:v>
                </c:pt>
                <c:pt idx="12">
                  <c:v>0</c:v>
                </c:pt>
              </c:numCache>
            </c:numRef>
          </c:val>
          <c:extLst>
            <c:ext xmlns:c16="http://schemas.microsoft.com/office/drawing/2014/chart" uri="{C3380CC4-5D6E-409C-BE32-E72D297353CC}">
              <c16:uniqueId val="{00000000-5A27-467B-8667-5D890186E062}"/>
            </c:ext>
          </c:extLst>
        </c:ser>
        <c:ser>
          <c:idx val="1"/>
          <c:order val="1"/>
          <c:tx>
            <c:strRef>
              <c:f>'Figure A6. Tank Unit Ranking'!$D$11</c:f>
              <c:strCache>
                <c:ptCount val="1"/>
                <c:pt idx="0">
                  <c:v>Tank commitments in 2023</c:v>
                </c:pt>
              </c:strCache>
            </c:strRef>
          </c:tx>
          <c:spPr>
            <a:solidFill>
              <a:schemeClr val="accent2"/>
            </a:solidFill>
            <a:ln>
              <a:solidFill>
                <a:srgbClr val="000000"/>
              </a:solidFill>
              <a:prstDash val="solid"/>
            </a:ln>
            <a:effectLst/>
          </c:spPr>
          <c:invertIfNegative val="0"/>
          <c:cat>
            <c:strRef>
              <c:f>'Figure A6. Tank Unit Ranking'!$B$12:$B$24</c:f>
              <c:strCache>
                <c:ptCount val="13"/>
                <c:pt idx="0">
                  <c:v>Poland</c:v>
                </c:pt>
                <c:pt idx="1">
                  <c:v>Czech Republic</c:v>
                </c:pt>
                <c:pt idx="2">
                  <c:v>Netherlands</c:v>
                </c:pt>
                <c:pt idx="3">
                  <c:v>United States</c:v>
                </c:pt>
                <c:pt idx="4">
                  <c:v>Germany</c:v>
                </c:pt>
                <c:pt idx="5">
                  <c:v>Denmark</c:v>
                </c:pt>
                <c:pt idx="6">
                  <c:v>Slovenia</c:v>
                </c:pt>
                <c:pt idx="7">
                  <c:v>United Kingdom</c:v>
                </c:pt>
                <c:pt idx="8">
                  <c:v>Sweden</c:v>
                </c:pt>
                <c:pt idx="9">
                  <c:v>Spain</c:v>
                </c:pt>
                <c:pt idx="10">
                  <c:v>Canada</c:v>
                </c:pt>
                <c:pt idx="11">
                  <c:v>Norway</c:v>
                </c:pt>
                <c:pt idx="12">
                  <c:v>Portugal</c:v>
                </c:pt>
              </c:strCache>
            </c:strRef>
          </c:cat>
          <c:val>
            <c:numRef>
              <c:f>'Figure A6. Tank Unit Ranking'!$D$12:$D$24</c:f>
              <c:numCache>
                <c:formatCode>0</c:formatCode>
                <c:ptCount val="13"/>
                <c:pt idx="0">
                  <c:v>74</c:v>
                </c:pt>
                <c:pt idx="1">
                  <c:v>0</c:v>
                </c:pt>
                <c:pt idx="2">
                  <c:v>43.666666666666664</c:v>
                </c:pt>
                <c:pt idx="3">
                  <c:v>31</c:v>
                </c:pt>
                <c:pt idx="4">
                  <c:v>55</c:v>
                </c:pt>
                <c:pt idx="5">
                  <c:v>43.666666666666664</c:v>
                </c:pt>
                <c:pt idx="6">
                  <c:v>0</c:v>
                </c:pt>
                <c:pt idx="7">
                  <c:v>14</c:v>
                </c:pt>
                <c:pt idx="8">
                  <c:v>10</c:v>
                </c:pt>
                <c:pt idx="9">
                  <c:v>10</c:v>
                </c:pt>
                <c:pt idx="10">
                  <c:v>8</c:v>
                </c:pt>
                <c:pt idx="11">
                  <c:v>8</c:v>
                </c:pt>
                <c:pt idx="12">
                  <c:v>3</c:v>
                </c:pt>
              </c:numCache>
            </c:numRef>
          </c:val>
          <c:extLst>
            <c:ext xmlns:c16="http://schemas.microsoft.com/office/drawing/2014/chart" uri="{C3380CC4-5D6E-409C-BE32-E72D297353CC}">
              <c16:uniqueId val="{00000001-5A27-467B-8667-5D890186E062}"/>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59841907132456196"/>
          <c:y val="0.38600396200538434"/>
          <c:w val="0.35219129629629625"/>
          <c:h val="0.13601106712299507"/>
        </c:manualLayout>
      </c:layout>
      <c:overlay val="1"/>
      <c:spPr>
        <a:solidFill>
          <a:sysClr val="window" lastClr="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096806939830204E-2"/>
          <c:y val="2.1296064197572406E-2"/>
          <c:w val="0.94061664820967128"/>
          <c:h val="0.70969206430861054"/>
        </c:manualLayout>
      </c:layout>
      <c:lineChart>
        <c:grouping val="standard"/>
        <c:varyColors val="0"/>
        <c:ser>
          <c:idx val="6"/>
          <c:order val="0"/>
          <c:tx>
            <c:strRef>
              <c:f>'Figure A7. Milit. vs Financial'!$C$11</c:f>
              <c:strCache>
                <c:ptCount val="1"/>
                <c:pt idx="0">
                  <c:v>Military aid (share)</c:v>
                </c:pt>
              </c:strCache>
            </c:strRef>
          </c:tx>
          <c:spPr>
            <a:ln w="28575" cap="rnd">
              <a:solidFill>
                <a:srgbClr val="C00000"/>
              </a:solidFill>
              <a:prstDash val="solid"/>
              <a:round/>
            </a:ln>
            <a:effectLst/>
          </c:spPr>
          <c:marker>
            <c:symbol val="none"/>
          </c:marker>
          <c:cat>
            <c:strRef>
              <c:f>'Figure A7. Milit. vs Financial'!$B$12:$B$17</c:f>
              <c:strCache>
                <c:ptCount val="6"/>
                <c:pt idx="0">
                  <c:v>January - March</c:v>
                </c:pt>
                <c:pt idx="1">
                  <c:v>April - June</c:v>
                </c:pt>
                <c:pt idx="2">
                  <c:v>July - September</c:v>
                </c:pt>
                <c:pt idx="3">
                  <c:v>October - December</c:v>
                </c:pt>
                <c:pt idx="4">
                  <c:v>January - March (2023)</c:v>
                </c:pt>
                <c:pt idx="5">
                  <c:v>April - May (2023)</c:v>
                </c:pt>
              </c:strCache>
            </c:strRef>
          </c:cat>
          <c:val>
            <c:numRef>
              <c:f>'Figure A7. Milit. vs Financial'!$C$12:$C$17</c:f>
              <c:numCache>
                <c:formatCode>0.00</c:formatCode>
                <c:ptCount val="6"/>
                <c:pt idx="0">
                  <c:v>56.189041707142039</c:v>
                </c:pt>
                <c:pt idx="1">
                  <c:v>46.551374560772715</c:v>
                </c:pt>
                <c:pt idx="2">
                  <c:v>53.400147376436117</c:v>
                </c:pt>
                <c:pt idx="3">
                  <c:v>41.401347755097113</c:v>
                </c:pt>
                <c:pt idx="4">
                  <c:v>52.965087432971018</c:v>
                </c:pt>
                <c:pt idx="5">
                  <c:v>68.284757759098895</c:v>
                </c:pt>
              </c:numCache>
            </c:numRef>
          </c:val>
          <c:smooth val="0"/>
          <c:extLst>
            <c:ext xmlns:c16="http://schemas.microsoft.com/office/drawing/2014/chart" uri="{C3380CC4-5D6E-409C-BE32-E72D297353CC}">
              <c16:uniqueId val="{00000002-C5CD-492F-A8A2-49C32472B2CF}"/>
            </c:ext>
          </c:extLst>
        </c:ser>
        <c:ser>
          <c:idx val="4"/>
          <c:order val="1"/>
          <c:tx>
            <c:strRef>
              <c:f>'Figure A7. Milit. vs Financial'!$D$11</c:f>
              <c:strCache>
                <c:ptCount val="1"/>
                <c:pt idx="0">
                  <c:v>Financial aid (share)</c:v>
                </c:pt>
              </c:strCache>
            </c:strRef>
          </c:tx>
          <c:spPr>
            <a:ln w="28575" cap="rnd">
              <a:solidFill>
                <a:srgbClr val="4472C4"/>
              </a:solidFill>
              <a:prstDash val="solid"/>
              <a:round/>
            </a:ln>
            <a:effectLst/>
          </c:spPr>
          <c:marker>
            <c:symbol val="none"/>
          </c:marker>
          <c:cat>
            <c:strRef>
              <c:f>'Figure A7. Milit. vs Financial'!$B$12:$B$17</c:f>
              <c:strCache>
                <c:ptCount val="6"/>
                <c:pt idx="0">
                  <c:v>January - March</c:v>
                </c:pt>
                <c:pt idx="1">
                  <c:v>April - June</c:v>
                </c:pt>
                <c:pt idx="2">
                  <c:v>July - September</c:v>
                </c:pt>
                <c:pt idx="3">
                  <c:v>October - December</c:v>
                </c:pt>
                <c:pt idx="4">
                  <c:v>January - March (2023)</c:v>
                </c:pt>
                <c:pt idx="5">
                  <c:v>April - May (2023)</c:v>
                </c:pt>
              </c:strCache>
            </c:strRef>
          </c:cat>
          <c:val>
            <c:numRef>
              <c:f>'Figure A7. Milit. vs Financial'!$D$12:$D$17</c:f>
              <c:numCache>
                <c:formatCode>0.00</c:formatCode>
                <c:ptCount val="6"/>
                <c:pt idx="0">
                  <c:v>36.479707027688818</c:v>
                </c:pt>
                <c:pt idx="1">
                  <c:v>44.933602248174196</c:v>
                </c:pt>
                <c:pt idx="2">
                  <c:v>35.437534602550294</c:v>
                </c:pt>
                <c:pt idx="3">
                  <c:v>51.309544729120972</c:v>
                </c:pt>
                <c:pt idx="4">
                  <c:v>35.105059390493693</c:v>
                </c:pt>
                <c:pt idx="5">
                  <c:v>26.614037775517861</c:v>
                </c:pt>
              </c:numCache>
            </c:numRef>
          </c:val>
          <c:smooth val="0"/>
          <c:extLst xmlns:c15="http://schemas.microsoft.com/office/drawing/2012/chart">
            <c:ext xmlns:c16="http://schemas.microsoft.com/office/drawing/2014/chart" uri="{C3380CC4-5D6E-409C-BE32-E72D297353CC}">
              <c16:uniqueId val="{00000000-C5CD-492F-A8A2-49C32472B2CF}"/>
            </c:ext>
          </c:extLst>
        </c:ser>
        <c:dLbls>
          <c:showLegendKey val="0"/>
          <c:showVal val="0"/>
          <c:showCatName val="0"/>
          <c:showSerName val="0"/>
          <c:showPercent val="0"/>
          <c:showBubbleSize val="0"/>
        </c:dLbls>
        <c:smooth val="0"/>
        <c:axId val="450490767"/>
        <c:axId val="450486607"/>
        <c:extLst>
          <c:ext xmlns:c15="http://schemas.microsoft.com/office/drawing/2012/chart" uri="{02D57815-91ED-43cb-92C2-25804820EDAC}">
            <c15:filteredLineSeries>
              <c15:ser>
                <c:idx val="5"/>
                <c:order val="2"/>
                <c:tx>
                  <c:strRef>
                    <c:extLst>
                      <c:ext uri="{02D57815-91ED-43cb-92C2-25804820EDAC}">
                        <c15:formulaRef>
                          <c15:sqref>'Figure A7. Milit. vs Financial'!$E$11</c15:sqref>
                        </c15:formulaRef>
                      </c:ext>
                    </c:extLst>
                    <c:strCache>
                      <c:ptCount val="1"/>
                      <c:pt idx="0">
                        <c:v>Humanitarian aid (share)</c:v>
                      </c:pt>
                    </c:strCache>
                  </c:strRef>
                </c:tx>
                <c:spPr>
                  <a:ln w="28575" cap="rnd">
                    <a:solidFill>
                      <a:srgbClr val="70AD47"/>
                    </a:solidFill>
                    <a:prstDash val="solid"/>
                    <a:round/>
                  </a:ln>
                  <a:effectLst/>
                </c:spPr>
                <c:marker>
                  <c:symbol val="none"/>
                </c:marker>
                <c:cat>
                  <c:strRef>
                    <c:extLst>
                      <c:ext uri="{02D57815-91ED-43cb-92C2-25804820EDAC}">
                        <c15:formulaRef>
                          <c15:sqref>'Figure A7. Milit. vs Financial'!$B$12:$B$17</c15:sqref>
                        </c15:formulaRef>
                      </c:ext>
                    </c:extLst>
                    <c:strCache>
                      <c:ptCount val="6"/>
                      <c:pt idx="0">
                        <c:v>January - March</c:v>
                      </c:pt>
                      <c:pt idx="1">
                        <c:v>April - June</c:v>
                      </c:pt>
                      <c:pt idx="2">
                        <c:v>July - September</c:v>
                      </c:pt>
                      <c:pt idx="3">
                        <c:v>October - December</c:v>
                      </c:pt>
                      <c:pt idx="4">
                        <c:v>January - March (2023)</c:v>
                      </c:pt>
                      <c:pt idx="5">
                        <c:v>April - May (2023)</c:v>
                      </c:pt>
                    </c:strCache>
                  </c:strRef>
                </c:cat>
                <c:val>
                  <c:numRef>
                    <c:extLst>
                      <c:ext uri="{02D57815-91ED-43cb-92C2-25804820EDAC}">
                        <c15:formulaRef>
                          <c15:sqref>'Figure A7. Milit. vs Financial'!$E$12:$E$17</c15:sqref>
                        </c15:formulaRef>
                      </c:ext>
                    </c:extLst>
                    <c:numCache>
                      <c:formatCode>0.00</c:formatCode>
                      <c:ptCount val="6"/>
                      <c:pt idx="0">
                        <c:v>7.331251265169147</c:v>
                      </c:pt>
                      <c:pt idx="1">
                        <c:v>8.5150231910530838</c:v>
                      </c:pt>
                      <c:pt idx="2">
                        <c:v>11.162318021013592</c:v>
                      </c:pt>
                      <c:pt idx="3">
                        <c:v>7.2891075157819039</c:v>
                      </c:pt>
                      <c:pt idx="4">
                        <c:v>11.929853176535314</c:v>
                      </c:pt>
                      <c:pt idx="5">
                        <c:v>5.1012044653832485</c:v>
                      </c:pt>
                    </c:numCache>
                  </c:numRef>
                </c:val>
                <c:smooth val="0"/>
                <c:extLst>
                  <c:ext xmlns:c16="http://schemas.microsoft.com/office/drawing/2014/chart" uri="{C3380CC4-5D6E-409C-BE32-E72D297353CC}">
                    <c16:uniqueId val="{00000001-C5CD-492F-A8A2-49C32472B2CF}"/>
                  </c:ext>
                </c:extLst>
              </c15:ser>
            </c15:filteredLineSeries>
          </c:ext>
        </c:extLst>
      </c:lineChart>
      <c:catAx>
        <c:axId val="45049076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1"/>
      </c:catAx>
      <c:valAx>
        <c:axId val="450486607"/>
        <c:scaling>
          <c:orientation val="minMax"/>
          <c:max val="80"/>
          <c:min val="2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autoZero"/>
        <c:crossBetween val="between"/>
        <c:majorUnit val="20"/>
      </c:valAx>
      <c:spPr>
        <a:noFill/>
        <a:ln>
          <a:noFill/>
        </a:ln>
        <a:effectLst/>
      </c:spPr>
    </c:plotArea>
    <c:legend>
      <c:legendPos val="t"/>
      <c:layout>
        <c:manualLayout>
          <c:xMode val="edge"/>
          <c:yMode val="edge"/>
          <c:x val="0.56673717720768779"/>
          <c:y val="8.1657559454551859E-2"/>
          <c:w val="0.21461340840532367"/>
          <c:h val="0.13137742992787985"/>
        </c:manualLayout>
      </c:layout>
      <c:overlay val="1"/>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41084691586948"/>
          <c:y val="3.5522348981542693E-4"/>
          <c:w val="0.83046786539459749"/>
          <c:h val="0.93323783110852687"/>
        </c:manualLayout>
      </c:layout>
      <c:barChart>
        <c:barDir val="bar"/>
        <c:grouping val="clustered"/>
        <c:varyColors val="0"/>
        <c:ser>
          <c:idx val="0"/>
          <c:order val="0"/>
          <c:tx>
            <c:strRef>
              <c:f>'Figure A8. Weapon Deliv Ranking'!$D$63:$D$64</c:f>
              <c:strCache>
                <c:ptCount val="2"/>
                <c:pt idx="1">
                  <c:v>Committed howitzers (155/ 152mm)</c:v>
                </c:pt>
              </c:strCache>
            </c:strRef>
          </c:tx>
          <c:spPr>
            <a:solidFill>
              <a:schemeClr val="accent2">
                <a:lumMod val="75000"/>
              </a:schemeClr>
            </a:solidFill>
            <a:ln>
              <a:solidFill>
                <a:sysClr val="windowText" lastClr="000000"/>
              </a:solidFill>
            </a:ln>
            <a:effectLst/>
          </c:spPr>
          <c:invertIfNegative val="0"/>
          <c:cat>
            <c:strRef>
              <c:f>'Figure A8. Weapon Deliv Ranking'!$C$65:$C$80</c:f>
              <c:strCache>
                <c:ptCount val="16"/>
                <c:pt idx="0">
                  <c:v>United States</c:v>
                </c:pt>
                <c:pt idx="1">
                  <c:v>Italy</c:v>
                </c:pt>
                <c:pt idx="2">
                  <c:v>United Kingdom</c:v>
                </c:pt>
                <c:pt idx="3">
                  <c:v>Poland</c:v>
                </c:pt>
                <c:pt idx="4">
                  <c:v>Czech Republic</c:v>
                </c:pt>
                <c:pt idx="5">
                  <c:v>Germany</c:v>
                </c:pt>
                <c:pt idx="6">
                  <c:v>France</c:v>
                </c:pt>
                <c:pt idx="7">
                  <c:v>Norway</c:v>
                </c:pt>
                <c:pt idx="8">
                  <c:v>Denmark</c:v>
                </c:pt>
                <c:pt idx="9">
                  <c:v>Estonia</c:v>
                </c:pt>
                <c:pt idx="10">
                  <c:v>Netherlands</c:v>
                </c:pt>
                <c:pt idx="11">
                  <c:v>Sweden</c:v>
                </c:pt>
                <c:pt idx="12">
                  <c:v>Australia</c:v>
                </c:pt>
                <c:pt idx="13">
                  <c:v>Latvia</c:v>
                </c:pt>
                <c:pt idx="14">
                  <c:v>Portugal</c:v>
                </c:pt>
                <c:pt idx="15">
                  <c:v>Canada</c:v>
                </c:pt>
              </c:strCache>
            </c:strRef>
          </c:cat>
          <c:val>
            <c:numRef>
              <c:f>'Figure A8. Weapon Deliv Ranking'!$D$65:$D$80</c:f>
              <c:numCache>
                <c:formatCode>0</c:formatCode>
                <c:ptCount val="16"/>
                <c:pt idx="0">
                  <c:v>160</c:v>
                </c:pt>
                <c:pt idx="1">
                  <c:v>66</c:v>
                </c:pt>
                <c:pt idx="2">
                  <c:v>58</c:v>
                </c:pt>
                <c:pt idx="3">
                  <c:v>54</c:v>
                </c:pt>
                <c:pt idx="4">
                  <c:v>38</c:v>
                </c:pt>
                <c:pt idx="5">
                  <c:v>37.333333333333329</c:v>
                </c:pt>
                <c:pt idx="6">
                  <c:v>30</c:v>
                </c:pt>
                <c:pt idx="7">
                  <c:v>27.333333333333332</c:v>
                </c:pt>
                <c:pt idx="8">
                  <c:v>24.333333333333332</c:v>
                </c:pt>
                <c:pt idx="9">
                  <c:v>24</c:v>
                </c:pt>
                <c:pt idx="10">
                  <c:v>8</c:v>
                </c:pt>
                <c:pt idx="11">
                  <c:v>8</c:v>
                </c:pt>
                <c:pt idx="12">
                  <c:v>6</c:v>
                </c:pt>
                <c:pt idx="13">
                  <c:v>6</c:v>
                </c:pt>
                <c:pt idx="14">
                  <c:v>5</c:v>
                </c:pt>
                <c:pt idx="15">
                  <c:v>4</c:v>
                </c:pt>
              </c:numCache>
            </c:numRef>
          </c:val>
          <c:extLst>
            <c:ext xmlns:c16="http://schemas.microsoft.com/office/drawing/2014/chart" uri="{C3380CC4-5D6E-409C-BE32-E72D297353CC}">
              <c16:uniqueId val="{00000000-0403-45BF-9C8C-65CC841E7B07}"/>
            </c:ext>
          </c:extLst>
        </c:ser>
        <c:ser>
          <c:idx val="1"/>
          <c:order val="1"/>
          <c:tx>
            <c:strRef>
              <c:f>'Figure A8. Weapon Deliv Ranking'!$E$63:$E$64</c:f>
              <c:strCache>
                <c:ptCount val="2"/>
                <c:pt idx="1">
                  <c:v>Delivered howitzers (155/ 152mm)</c:v>
                </c:pt>
              </c:strCache>
            </c:strRef>
          </c:tx>
          <c:spPr>
            <a:solidFill>
              <a:schemeClr val="accent2">
                <a:lumMod val="60000"/>
                <a:lumOff val="40000"/>
              </a:schemeClr>
            </a:solidFill>
            <a:ln>
              <a:solidFill>
                <a:sysClr val="windowText" lastClr="000000"/>
              </a:solidFill>
            </a:ln>
            <a:effectLst/>
          </c:spPr>
          <c:invertIfNegative val="0"/>
          <c:cat>
            <c:strRef>
              <c:f>'Figure A8. Weapon Deliv Ranking'!$C$65:$C$80</c:f>
              <c:strCache>
                <c:ptCount val="16"/>
                <c:pt idx="0">
                  <c:v>United States</c:v>
                </c:pt>
                <c:pt idx="1">
                  <c:v>Italy</c:v>
                </c:pt>
                <c:pt idx="2">
                  <c:v>United Kingdom</c:v>
                </c:pt>
                <c:pt idx="3">
                  <c:v>Poland</c:v>
                </c:pt>
                <c:pt idx="4">
                  <c:v>Czech Republic</c:v>
                </c:pt>
                <c:pt idx="5">
                  <c:v>Germany</c:v>
                </c:pt>
                <c:pt idx="6">
                  <c:v>France</c:v>
                </c:pt>
                <c:pt idx="7">
                  <c:v>Norway</c:v>
                </c:pt>
                <c:pt idx="8">
                  <c:v>Denmark</c:v>
                </c:pt>
                <c:pt idx="9">
                  <c:v>Estonia</c:v>
                </c:pt>
                <c:pt idx="10">
                  <c:v>Netherlands</c:v>
                </c:pt>
                <c:pt idx="11">
                  <c:v>Sweden</c:v>
                </c:pt>
                <c:pt idx="12">
                  <c:v>Australia</c:v>
                </c:pt>
                <c:pt idx="13">
                  <c:v>Latvia</c:v>
                </c:pt>
                <c:pt idx="14">
                  <c:v>Portugal</c:v>
                </c:pt>
                <c:pt idx="15">
                  <c:v>Canada</c:v>
                </c:pt>
              </c:strCache>
            </c:strRef>
          </c:cat>
          <c:val>
            <c:numRef>
              <c:f>'Figure A8. Weapon Deliv Ranking'!$E$65:$E$80</c:f>
              <c:numCache>
                <c:formatCode>0</c:formatCode>
                <c:ptCount val="16"/>
                <c:pt idx="0">
                  <c:v>126</c:v>
                </c:pt>
                <c:pt idx="1">
                  <c:v>36</c:v>
                </c:pt>
                <c:pt idx="2">
                  <c:v>28</c:v>
                </c:pt>
                <c:pt idx="3">
                  <c:v>54</c:v>
                </c:pt>
                <c:pt idx="4">
                  <c:v>38</c:v>
                </c:pt>
                <c:pt idx="5">
                  <c:v>14</c:v>
                </c:pt>
                <c:pt idx="6">
                  <c:v>18</c:v>
                </c:pt>
                <c:pt idx="7">
                  <c:v>22</c:v>
                </c:pt>
                <c:pt idx="8">
                  <c:v>19</c:v>
                </c:pt>
                <c:pt idx="9">
                  <c:v>0</c:v>
                </c:pt>
                <c:pt idx="10">
                  <c:v>8</c:v>
                </c:pt>
                <c:pt idx="11">
                  <c:v>0</c:v>
                </c:pt>
                <c:pt idx="12">
                  <c:v>6</c:v>
                </c:pt>
                <c:pt idx="13">
                  <c:v>6</c:v>
                </c:pt>
                <c:pt idx="14">
                  <c:v>0</c:v>
                </c:pt>
                <c:pt idx="15">
                  <c:v>4</c:v>
                </c:pt>
              </c:numCache>
            </c:numRef>
          </c:val>
          <c:extLst>
            <c:ext xmlns:c16="http://schemas.microsoft.com/office/drawing/2014/chart" uri="{C3380CC4-5D6E-409C-BE32-E72D297353CC}">
              <c16:uniqueId val="{00000001-0403-45BF-9C8C-65CC841E7B07}"/>
            </c:ext>
          </c:extLst>
        </c:ser>
        <c:dLbls>
          <c:showLegendKey val="0"/>
          <c:showVal val="0"/>
          <c:showCatName val="0"/>
          <c:showSerName val="0"/>
          <c:showPercent val="0"/>
          <c:showBubbleSize val="0"/>
        </c:dLbls>
        <c:gapWidth val="70"/>
        <c:axId val="450490767"/>
        <c:axId val="450486607"/>
        <c:extLst>
          <c:ext xmlns:c15="http://schemas.microsoft.com/office/drawing/2012/chart" uri="{02D57815-91ED-43cb-92C2-25804820EDAC}">
            <c15:filteredBarSeries>
              <c15:ser>
                <c:idx val="2"/>
                <c:order val="2"/>
                <c:tx>
                  <c:strRef>
                    <c:extLst>
                      <c:ext uri="{02D57815-91ED-43cb-92C2-25804820EDAC}">
                        <c15:formulaRef>
                          <c15:sqref>'Figure A8. Weapon Deliv Ranking'!$F$63:$F$64</c15:sqref>
                        </c15:formulaRef>
                      </c:ext>
                    </c:extLst>
                    <c:strCache>
                      <c:ptCount val="2"/>
                      <c:pt idx="1">
                        <c:v>Delivery rate</c:v>
                      </c:pt>
                    </c:strCache>
                  </c:strRef>
                </c:tx>
                <c:spPr>
                  <a:solidFill>
                    <a:schemeClr val="accent6"/>
                  </a:solidFill>
                  <a:ln>
                    <a:noFill/>
                  </a:ln>
                  <a:effectLst/>
                </c:spPr>
                <c:invertIfNegative val="0"/>
                <c:cat>
                  <c:strRef>
                    <c:extLst>
                      <c:ext uri="{02D57815-91ED-43cb-92C2-25804820EDAC}">
                        <c15:formulaRef>
                          <c15:sqref>'Figure A8. Weapon Deliv Ranking'!$C$65:$C$80</c15:sqref>
                        </c15:formulaRef>
                      </c:ext>
                    </c:extLst>
                    <c:strCache>
                      <c:ptCount val="16"/>
                      <c:pt idx="0">
                        <c:v>United States</c:v>
                      </c:pt>
                      <c:pt idx="1">
                        <c:v>Italy</c:v>
                      </c:pt>
                      <c:pt idx="2">
                        <c:v>United Kingdom</c:v>
                      </c:pt>
                      <c:pt idx="3">
                        <c:v>Poland</c:v>
                      </c:pt>
                      <c:pt idx="4">
                        <c:v>Czech Republic</c:v>
                      </c:pt>
                      <c:pt idx="5">
                        <c:v>Germany</c:v>
                      </c:pt>
                      <c:pt idx="6">
                        <c:v>France</c:v>
                      </c:pt>
                      <c:pt idx="7">
                        <c:v>Norway</c:v>
                      </c:pt>
                      <c:pt idx="8">
                        <c:v>Denmark</c:v>
                      </c:pt>
                      <c:pt idx="9">
                        <c:v>Estonia</c:v>
                      </c:pt>
                      <c:pt idx="10">
                        <c:v>Netherlands</c:v>
                      </c:pt>
                      <c:pt idx="11">
                        <c:v>Sweden</c:v>
                      </c:pt>
                      <c:pt idx="12">
                        <c:v>Australia</c:v>
                      </c:pt>
                      <c:pt idx="13">
                        <c:v>Latvia</c:v>
                      </c:pt>
                      <c:pt idx="14">
                        <c:v>Portugal</c:v>
                      </c:pt>
                      <c:pt idx="15">
                        <c:v>Canada</c:v>
                      </c:pt>
                    </c:strCache>
                  </c:strRef>
                </c:cat>
                <c:val>
                  <c:numRef>
                    <c:extLst>
                      <c:ext uri="{02D57815-91ED-43cb-92C2-25804820EDAC}">
                        <c15:formulaRef>
                          <c15:sqref>'Figure A8. Weapon Deliv Ranking'!$F$65:$F$80</c15:sqref>
                        </c15:formulaRef>
                      </c:ext>
                    </c:extLst>
                    <c:numCache>
                      <c:formatCode>0</c:formatCode>
                      <c:ptCount val="16"/>
                      <c:pt idx="0">
                        <c:v>78.75</c:v>
                      </c:pt>
                      <c:pt idx="1">
                        <c:v>54.54545454545454</c:v>
                      </c:pt>
                      <c:pt idx="2">
                        <c:v>48.275862068965516</c:v>
                      </c:pt>
                      <c:pt idx="3">
                        <c:v>100</c:v>
                      </c:pt>
                      <c:pt idx="4">
                        <c:v>100</c:v>
                      </c:pt>
                      <c:pt idx="5">
                        <c:v>37.500000000000007</c:v>
                      </c:pt>
                      <c:pt idx="6">
                        <c:v>60</c:v>
                      </c:pt>
                      <c:pt idx="7">
                        <c:v>80.487804878048792</c:v>
                      </c:pt>
                      <c:pt idx="8">
                        <c:v>78.082191780821915</c:v>
                      </c:pt>
                      <c:pt idx="9">
                        <c:v>0</c:v>
                      </c:pt>
                      <c:pt idx="10">
                        <c:v>100</c:v>
                      </c:pt>
                      <c:pt idx="11">
                        <c:v>0</c:v>
                      </c:pt>
                      <c:pt idx="12">
                        <c:v>100</c:v>
                      </c:pt>
                      <c:pt idx="13">
                        <c:v>100</c:v>
                      </c:pt>
                      <c:pt idx="14">
                        <c:v>0</c:v>
                      </c:pt>
                      <c:pt idx="15">
                        <c:v>100</c:v>
                      </c:pt>
                    </c:numCache>
                  </c:numRef>
                </c:val>
                <c:extLst>
                  <c:ext xmlns:c16="http://schemas.microsoft.com/office/drawing/2014/chart" uri="{C3380CC4-5D6E-409C-BE32-E72D297353CC}">
                    <c16:uniqueId val="{00000009-0403-45BF-9C8C-65CC841E7B07}"/>
                  </c:ext>
                </c:extLst>
              </c15:ser>
            </c15:filteredBarSeries>
          </c:ext>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53699765723553794"/>
          <c:y val="0.34288108052663352"/>
          <c:w val="0.40406779212068666"/>
          <c:h val="0.15260710268982988"/>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04774878451063"/>
          <c:y val="3.5742000365782517E-3"/>
          <c:w val="0.80413240379553386"/>
          <c:h val="0.93323783110852687"/>
        </c:manualLayout>
      </c:layout>
      <c:barChart>
        <c:barDir val="bar"/>
        <c:grouping val="clustered"/>
        <c:varyColors val="0"/>
        <c:ser>
          <c:idx val="0"/>
          <c:order val="0"/>
          <c:tx>
            <c:strRef>
              <c:f>'Figure A8. Weapon Deliv Ranking'!$O$63:$O$64</c:f>
              <c:strCache>
                <c:ptCount val="2"/>
                <c:pt idx="1">
                  <c:v>Committed MLRS</c:v>
                </c:pt>
              </c:strCache>
            </c:strRef>
          </c:tx>
          <c:spPr>
            <a:solidFill>
              <a:schemeClr val="accent4">
                <a:lumMod val="75000"/>
              </a:schemeClr>
            </a:solidFill>
            <a:ln>
              <a:solidFill>
                <a:sysClr val="windowText" lastClr="000000"/>
              </a:solidFill>
            </a:ln>
            <a:effectLst/>
          </c:spPr>
          <c:invertIfNegative val="0"/>
          <c:cat>
            <c:strRef>
              <c:f>'Figure A8. Weapon Deliv Ranking'!$N$65:$N$71</c:f>
              <c:strCache>
                <c:ptCount val="7"/>
                <c:pt idx="0">
                  <c:v>United States</c:v>
                </c:pt>
                <c:pt idx="1">
                  <c:v>Czech Republic</c:v>
                </c:pt>
                <c:pt idx="2">
                  <c:v>United Kingdom</c:v>
                </c:pt>
                <c:pt idx="3">
                  <c:v>Germany</c:v>
                </c:pt>
                <c:pt idx="4">
                  <c:v>Norway</c:v>
                </c:pt>
                <c:pt idx="5">
                  <c:v>France</c:v>
                </c:pt>
                <c:pt idx="6">
                  <c:v>Italy</c:v>
                </c:pt>
              </c:strCache>
            </c:strRef>
          </c:cat>
          <c:val>
            <c:numRef>
              <c:f>'Figure A8. Weapon Deliv Ranking'!$O$65:$O$71</c:f>
              <c:numCache>
                <c:formatCode>0</c:formatCode>
                <c:ptCount val="7"/>
                <c:pt idx="0">
                  <c:v>38</c:v>
                </c:pt>
                <c:pt idx="1">
                  <c:v>33</c:v>
                </c:pt>
                <c:pt idx="2">
                  <c:v>6</c:v>
                </c:pt>
                <c:pt idx="3">
                  <c:v>5</c:v>
                </c:pt>
                <c:pt idx="4">
                  <c:v>3</c:v>
                </c:pt>
                <c:pt idx="5">
                  <c:v>2</c:v>
                </c:pt>
                <c:pt idx="6">
                  <c:v>2</c:v>
                </c:pt>
              </c:numCache>
            </c:numRef>
          </c:val>
          <c:extLst>
            <c:ext xmlns:c16="http://schemas.microsoft.com/office/drawing/2014/chart" uri="{C3380CC4-5D6E-409C-BE32-E72D297353CC}">
              <c16:uniqueId val="{00000000-565D-4241-98FD-DB06D7CED1E7}"/>
            </c:ext>
          </c:extLst>
        </c:ser>
        <c:ser>
          <c:idx val="1"/>
          <c:order val="1"/>
          <c:tx>
            <c:strRef>
              <c:f>'Figure A8. Weapon Deliv Ranking'!$P$63:$P$64</c:f>
              <c:strCache>
                <c:ptCount val="2"/>
                <c:pt idx="1">
                  <c:v>Delivered MLRS</c:v>
                </c:pt>
              </c:strCache>
            </c:strRef>
          </c:tx>
          <c:spPr>
            <a:solidFill>
              <a:schemeClr val="accent4">
                <a:lumMod val="40000"/>
                <a:lumOff val="60000"/>
              </a:schemeClr>
            </a:solidFill>
            <a:ln>
              <a:solidFill>
                <a:sysClr val="windowText" lastClr="000000"/>
              </a:solidFill>
            </a:ln>
            <a:effectLst/>
          </c:spPr>
          <c:invertIfNegative val="0"/>
          <c:cat>
            <c:strRef>
              <c:f>'Figure A8. Weapon Deliv Ranking'!$N$65:$N$71</c:f>
              <c:strCache>
                <c:ptCount val="7"/>
                <c:pt idx="0">
                  <c:v>United States</c:v>
                </c:pt>
                <c:pt idx="1">
                  <c:v>Czech Republic</c:v>
                </c:pt>
                <c:pt idx="2">
                  <c:v>United Kingdom</c:v>
                </c:pt>
                <c:pt idx="3">
                  <c:v>Germany</c:v>
                </c:pt>
                <c:pt idx="4">
                  <c:v>Norway</c:v>
                </c:pt>
                <c:pt idx="5">
                  <c:v>France</c:v>
                </c:pt>
                <c:pt idx="6">
                  <c:v>Italy</c:v>
                </c:pt>
              </c:strCache>
            </c:strRef>
          </c:cat>
          <c:val>
            <c:numRef>
              <c:f>'Figure A8. Weapon Deliv Ranking'!$P$65:$P$71</c:f>
              <c:numCache>
                <c:formatCode>0</c:formatCode>
                <c:ptCount val="7"/>
                <c:pt idx="0">
                  <c:v>20</c:v>
                </c:pt>
                <c:pt idx="1">
                  <c:v>33</c:v>
                </c:pt>
                <c:pt idx="2">
                  <c:v>3</c:v>
                </c:pt>
                <c:pt idx="3">
                  <c:v>5</c:v>
                </c:pt>
                <c:pt idx="4">
                  <c:v>3</c:v>
                </c:pt>
                <c:pt idx="5">
                  <c:v>2</c:v>
                </c:pt>
                <c:pt idx="6">
                  <c:v>0</c:v>
                </c:pt>
              </c:numCache>
            </c:numRef>
          </c:val>
          <c:extLst>
            <c:ext xmlns:c16="http://schemas.microsoft.com/office/drawing/2014/chart" uri="{C3380CC4-5D6E-409C-BE32-E72D297353CC}">
              <c16:uniqueId val="{00000001-565D-4241-98FD-DB06D7CED1E7}"/>
            </c:ext>
          </c:extLst>
        </c:ser>
        <c:dLbls>
          <c:showLegendKey val="0"/>
          <c:showVal val="0"/>
          <c:showCatName val="0"/>
          <c:showSerName val="0"/>
          <c:showPercent val="0"/>
          <c:showBubbleSize val="0"/>
        </c:dLbls>
        <c:gapWidth val="70"/>
        <c:axId val="450490767"/>
        <c:axId val="450486607"/>
        <c:extLst>
          <c:ext xmlns:c15="http://schemas.microsoft.com/office/drawing/2012/chart" uri="{02D57815-91ED-43cb-92C2-25804820EDAC}">
            <c15:filteredBarSeries>
              <c15:ser>
                <c:idx val="2"/>
                <c:order val="2"/>
                <c:tx>
                  <c:strRef>
                    <c:extLst>
                      <c:ext uri="{02D57815-91ED-43cb-92C2-25804820EDAC}">
                        <c15:formulaRef>
                          <c15:sqref>'Figure A8. Weapon Deliv Ranking'!$Q$63:$Q$64</c15:sqref>
                        </c15:formulaRef>
                      </c:ext>
                    </c:extLst>
                    <c:strCache>
                      <c:ptCount val="2"/>
                      <c:pt idx="1">
                        <c:v>Delivery rate</c:v>
                      </c:pt>
                    </c:strCache>
                  </c:strRef>
                </c:tx>
                <c:spPr>
                  <a:solidFill>
                    <a:schemeClr val="accent6"/>
                  </a:solidFill>
                  <a:ln>
                    <a:noFill/>
                  </a:ln>
                  <a:effectLst/>
                </c:spPr>
                <c:invertIfNegative val="0"/>
                <c:cat>
                  <c:strRef>
                    <c:extLst>
                      <c:ext uri="{02D57815-91ED-43cb-92C2-25804820EDAC}">
                        <c15:formulaRef>
                          <c15:sqref>'Figure A8. Weapon Deliv Ranking'!$N$65:$N$71</c15:sqref>
                        </c15:formulaRef>
                      </c:ext>
                    </c:extLst>
                    <c:strCache>
                      <c:ptCount val="7"/>
                      <c:pt idx="0">
                        <c:v>United States</c:v>
                      </c:pt>
                      <c:pt idx="1">
                        <c:v>Czech Republic</c:v>
                      </c:pt>
                      <c:pt idx="2">
                        <c:v>United Kingdom</c:v>
                      </c:pt>
                      <c:pt idx="3">
                        <c:v>Germany</c:v>
                      </c:pt>
                      <c:pt idx="4">
                        <c:v>Norway</c:v>
                      </c:pt>
                      <c:pt idx="5">
                        <c:v>France</c:v>
                      </c:pt>
                      <c:pt idx="6">
                        <c:v>Italy</c:v>
                      </c:pt>
                    </c:strCache>
                  </c:strRef>
                </c:cat>
                <c:val>
                  <c:numRef>
                    <c:extLst>
                      <c:ext uri="{02D57815-91ED-43cb-92C2-25804820EDAC}">
                        <c15:formulaRef>
                          <c15:sqref>'Figure A8. Weapon Deliv Ranking'!$Q$65:$Q$71</c15:sqref>
                        </c15:formulaRef>
                      </c:ext>
                    </c:extLst>
                    <c:numCache>
                      <c:formatCode>0</c:formatCode>
                      <c:ptCount val="7"/>
                      <c:pt idx="0">
                        <c:v>52.631578947368418</c:v>
                      </c:pt>
                      <c:pt idx="1">
                        <c:v>100</c:v>
                      </c:pt>
                      <c:pt idx="2">
                        <c:v>50</c:v>
                      </c:pt>
                      <c:pt idx="3">
                        <c:v>100</c:v>
                      </c:pt>
                      <c:pt idx="4">
                        <c:v>100</c:v>
                      </c:pt>
                      <c:pt idx="5">
                        <c:v>100</c:v>
                      </c:pt>
                      <c:pt idx="6">
                        <c:v>0</c:v>
                      </c:pt>
                    </c:numCache>
                  </c:numRef>
                </c:val>
                <c:extLst>
                  <c:ext xmlns:c16="http://schemas.microsoft.com/office/drawing/2014/chart" uri="{C3380CC4-5D6E-409C-BE32-E72D297353CC}">
                    <c16:uniqueId val="{00000002-565D-4241-98FD-DB06D7CED1E7}"/>
                  </c:ext>
                </c:extLst>
              </c15:ser>
            </c15:filteredBarSeries>
          </c:ext>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58385294647684272"/>
          <c:y val="0.35511303911385977"/>
          <c:w val="0.29353440136177222"/>
          <c:h val="0.15260710268982988"/>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618359708026039"/>
          <c:y val="3.5742000365782517E-3"/>
          <c:w val="0.73805444011743992"/>
          <c:h val="0.93323783110852687"/>
        </c:manualLayout>
      </c:layout>
      <c:barChart>
        <c:barDir val="bar"/>
        <c:grouping val="clustered"/>
        <c:varyColors val="0"/>
        <c:ser>
          <c:idx val="0"/>
          <c:order val="0"/>
          <c:tx>
            <c:strRef>
              <c:f>'Figure A8. Weapon Deliv Ranking'!$Z$63:$Z$64</c:f>
              <c:strCache>
                <c:ptCount val="2"/>
                <c:pt idx="1">
                  <c:v>Committed tanks</c:v>
                </c:pt>
              </c:strCache>
            </c:strRef>
          </c:tx>
          <c:spPr>
            <a:solidFill>
              <a:schemeClr val="accent1">
                <a:lumMod val="75000"/>
              </a:schemeClr>
            </a:solidFill>
            <a:ln>
              <a:solidFill>
                <a:sysClr val="windowText" lastClr="000000"/>
              </a:solidFill>
            </a:ln>
            <a:effectLst/>
          </c:spPr>
          <c:invertIfNegative val="0"/>
          <c:cat>
            <c:strRef>
              <c:f>'Figure A8. Weapon Deliv Ranking'!$Y$65:$Y$77</c:f>
              <c:strCache>
                <c:ptCount val="13"/>
                <c:pt idx="0">
                  <c:v>Poland</c:v>
                </c:pt>
                <c:pt idx="1">
                  <c:v>Czech Republic</c:v>
                </c:pt>
                <c:pt idx="2">
                  <c:v>Netherlands</c:v>
                </c:pt>
                <c:pt idx="3">
                  <c:v>United States</c:v>
                </c:pt>
                <c:pt idx="4">
                  <c:v>Germany</c:v>
                </c:pt>
                <c:pt idx="5">
                  <c:v>Denmark</c:v>
                </c:pt>
                <c:pt idx="6">
                  <c:v>Slovenia</c:v>
                </c:pt>
                <c:pt idx="7">
                  <c:v>United Kingdom</c:v>
                </c:pt>
                <c:pt idx="8">
                  <c:v>Sweden</c:v>
                </c:pt>
                <c:pt idx="9">
                  <c:v>Spain</c:v>
                </c:pt>
                <c:pt idx="10">
                  <c:v>Canada</c:v>
                </c:pt>
                <c:pt idx="11">
                  <c:v>Norway</c:v>
                </c:pt>
                <c:pt idx="12">
                  <c:v>Portugal</c:v>
                </c:pt>
              </c:strCache>
            </c:strRef>
          </c:cat>
          <c:val>
            <c:numRef>
              <c:f>'Figure A8. Weapon Deliv Ranking'!$Z$65:$Z$77</c:f>
              <c:numCache>
                <c:formatCode>0</c:formatCode>
                <c:ptCount val="13"/>
                <c:pt idx="0">
                  <c:v>324</c:v>
                </c:pt>
                <c:pt idx="1">
                  <c:v>89</c:v>
                </c:pt>
                <c:pt idx="2">
                  <c:v>88.666666666666657</c:v>
                </c:pt>
                <c:pt idx="3">
                  <c:v>76</c:v>
                </c:pt>
                <c:pt idx="4">
                  <c:v>55</c:v>
                </c:pt>
                <c:pt idx="5">
                  <c:v>43.666666666666664</c:v>
                </c:pt>
                <c:pt idx="6">
                  <c:v>28</c:v>
                </c:pt>
                <c:pt idx="7">
                  <c:v>14</c:v>
                </c:pt>
                <c:pt idx="8">
                  <c:v>10</c:v>
                </c:pt>
                <c:pt idx="9">
                  <c:v>10</c:v>
                </c:pt>
                <c:pt idx="10">
                  <c:v>8</c:v>
                </c:pt>
                <c:pt idx="11">
                  <c:v>8</c:v>
                </c:pt>
                <c:pt idx="12">
                  <c:v>3</c:v>
                </c:pt>
              </c:numCache>
            </c:numRef>
          </c:val>
          <c:extLst>
            <c:ext xmlns:c16="http://schemas.microsoft.com/office/drawing/2014/chart" uri="{C3380CC4-5D6E-409C-BE32-E72D297353CC}">
              <c16:uniqueId val="{00000000-5D0B-4115-9279-E3F71D364D79}"/>
            </c:ext>
          </c:extLst>
        </c:ser>
        <c:ser>
          <c:idx val="1"/>
          <c:order val="1"/>
          <c:tx>
            <c:strRef>
              <c:f>'Figure A8. Weapon Deliv Ranking'!$AA$63:$AA$64</c:f>
              <c:strCache>
                <c:ptCount val="2"/>
                <c:pt idx="1">
                  <c:v>Delivered tanks</c:v>
                </c:pt>
              </c:strCache>
            </c:strRef>
          </c:tx>
          <c:spPr>
            <a:solidFill>
              <a:schemeClr val="accent1">
                <a:lumMod val="40000"/>
                <a:lumOff val="60000"/>
              </a:schemeClr>
            </a:solidFill>
            <a:ln>
              <a:solidFill>
                <a:sysClr val="windowText" lastClr="000000"/>
              </a:solidFill>
            </a:ln>
            <a:effectLst/>
          </c:spPr>
          <c:invertIfNegative val="0"/>
          <c:cat>
            <c:strRef>
              <c:f>'Figure A8. Weapon Deliv Ranking'!$Y$65:$Y$77</c:f>
              <c:strCache>
                <c:ptCount val="13"/>
                <c:pt idx="0">
                  <c:v>Poland</c:v>
                </c:pt>
                <c:pt idx="1">
                  <c:v>Czech Republic</c:v>
                </c:pt>
                <c:pt idx="2">
                  <c:v>Netherlands</c:v>
                </c:pt>
                <c:pt idx="3">
                  <c:v>United States</c:v>
                </c:pt>
                <c:pt idx="4">
                  <c:v>Germany</c:v>
                </c:pt>
                <c:pt idx="5">
                  <c:v>Denmark</c:v>
                </c:pt>
                <c:pt idx="6">
                  <c:v>Slovenia</c:v>
                </c:pt>
                <c:pt idx="7">
                  <c:v>United Kingdom</c:v>
                </c:pt>
                <c:pt idx="8">
                  <c:v>Sweden</c:v>
                </c:pt>
                <c:pt idx="9">
                  <c:v>Spain</c:v>
                </c:pt>
                <c:pt idx="10">
                  <c:v>Canada</c:v>
                </c:pt>
                <c:pt idx="11">
                  <c:v>Norway</c:v>
                </c:pt>
                <c:pt idx="12">
                  <c:v>Portugal</c:v>
                </c:pt>
              </c:strCache>
            </c:strRef>
          </c:cat>
          <c:val>
            <c:numRef>
              <c:f>'Figure A8. Weapon Deliv Ranking'!$AA$65:$AA$77</c:f>
              <c:numCache>
                <c:formatCode>0</c:formatCode>
                <c:ptCount val="13"/>
                <c:pt idx="0">
                  <c:v>264</c:v>
                </c:pt>
                <c:pt idx="1">
                  <c:v>89</c:v>
                </c:pt>
                <c:pt idx="2">
                  <c:v>18.5</c:v>
                </c:pt>
                <c:pt idx="3">
                  <c:v>18.5</c:v>
                </c:pt>
                <c:pt idx="4">
                  <c:v>18</c:v>
                </c:pt>
                <c:pt idx="5">
                  <c:v>0</c:v>
                </c:pt>
                <c:pt idx="6">
                  <c:v>28</c:v>
                </c:pt>
                <c:pt idx="7">
                  <c:v>14</c:v>
                </c:pt>
                <c:pt idx="8">
                  <c:v>0</c:v>
                </c:pt>
                <c:pt idx="9">
                  <c:v>10</c:v>
                </c:pt>
                <c:pt idx="10">
                  <c:v>8</c:v>
                </c:pt>
                <c:pt idx="11">
                  <c:v>0</c:v>
                </c:pt>
                <c:pt idx="12">
                  <c:v>3</c:v>
                </c:pt>
              </c:numCache>
            </c:numRef>
          </c:val>
          <c:extLst>
            <c:ext xmlns:c16="http://schemas.microsoft.com/office/drawing/2014/chart" uri="{C3380CC4-5D6E-409C-BE32-E72D297353CC}">
              <c16:uniqueId val="{00000001-5D0B-4115-9279-E3F71D364D79}"/>
            </c:ext>
          </c:extLst>
        </c:ser>
        <c:dLbls>
          <c:showLegendKey val="0"/>
          <c:showVal val="0"/>
          <c:showCatName val="0"/>
          <c:showSerName val="0"/>
          <c:showPercent val="0"/>
          <c:showBubbleSize val="0"/>
        </c:dLbls>
        <c:gapWidth val="70"/>
        <c:axId val="450490767"/>
        <c:axId val="450486607"/>
        <c:extLst>
          <c:ext xmlns:c15="http://schemas.microsoft.com/office/drawing/2012/chart" uri="{02D57815-91ED-43cb-92C2-25804820EDAC}">
            <c15:filteredBarSeries>
              <c15:ser>
                <c:idx val="2"/>
                <c:order val="2"/>
                <c:tx>
                  <c:strRef>
                    <c:extLst>
                      <c:ext uri="{02D57815-91ED-43cb-92C2-25804820EDAC}">
                        <c15:formulaRef>
                          <c15:sqref>'Figure A8. Weapon Deliv Ranking'!$AB$63:$AB$64</c15:sqref>
                        </c15:formulaRef>
                      </c:ext>
                    </c:extLst>
                    <c:strCache>
                      <c:ptCount val="2"/>
                      <c:pt idx="1">
                        <c:v>Delivery rate</c:v>
                      </c:pt>
                    </c:strCache>
                  </c:strRef>
                </c:tx>
                <c:spPr>
                  <a:solidFill>
                    <a:schemeClr val="accent6"/>
                  </a:solidFill>
                  <a:ln>
                    <a:noFill/>
                  </a:ln>
                  <a:effectLst/>
                </c:spPr>
                <c:invertIfNegative val="0"/>
                <c:cat>
                  <c:strRef>
                    <c:extLst>
                      <c:ext uri="{02D57815-91ED-43cb-92C2-25804820EDAC}">
                        <c15:formulaRef>
                          <c15:sqref>'Figure A8. Weapon Deliv Ranking'!$Y$65:$Y$77</c15:sqref>
                        </c15:formulaRef>
                      </c:ext>
                    </c:extLst>
                    <c:strCache>
                      <c:ptCount val="13"/>
                      <c:pt idx="0">
                        <c:v>Poland</c:v>
                      </c:pt>
                      <c:pt idx="1">
                        <c:v>Czech Republic</c:v>
                      </c:pt>
                      <c:pt idx="2">
                        <c:v>Netherlands</c:v>
                      </c:pt>
                      <c:pt idx="3">
                        <c:v>United States</c:v>
                      </c:pt>
                      <c:pt idx="4">
                        <c:v>Germany</c:v>
                      </c:pt>
                      <c:pt idx="5">
                        <c:v>Denmark</c:v>
                      </c:pt>
                      <c:pt idx="6">
                        <c:v>Slovenia</c:v>
                      </c:pt>
                      <c:pt idx="7">
                        <c:v>United Kingdom</c:v>
                      </c:pt>
                      <c:pt idx="8">
                        <c:v>Sweden</c:v>
                      </c:pt>
                      <c:pt idx="9">
                        <c:v>Spain</c:v>
                      </c:pt>
                      <c:pt idx="10">
                        <c:v>Canada</c:v>
                      </c:pt>
                      <c:pt idx="11">
                        <c:v>Norway</c:v>
                      </c:pt>
                      <c:pt idx="12">
                        <c:v>Portugal</c:v>
                      </c:pt>
                    </c:strCache>
                  </c:strRef>
                </c:cat>
                <c:val>
                  <c:numRef>
                    <c:extLst>
                      <c:ext uri="{02D57815-91ED-43cb-92C2-25804820EDAC}">
                        <c15:formulaRef>
                          <c15:sqref>'Figure A8. Weapon Deliv Ranking'!$AB$65:$AB$77</c15:sqref>
                        </c15:formulaRef>
                      </c:ext>
                    </c:extLst>
                    <c:numCache>
                      <c:formatCode>0</c:formatCode>
                      <c:ptCount val="13"/>
                      <c:pt idx="0">
                        <c:v>81.481481481481481</c:v>
                      </c:pt>
                      <c:pt idx="1">
                        <c:v>100</c:v>
                      </c:pt>
                      <c:pt idx="2">
                        <c:v>20.86466165413534</c:v>
                      </c:pt>
                      <c:pt idx="3">
                        <c:v>24.342105263157894</c:v>
                      </c:pt>
                      <c:pt idx="4">
                        <c:v>32.727272727272727</c:v>
                      </c:pt>
                      <c:pt idx="5">
                        <c:v>0</c:v>
                      </c:pt>
                      <c:pt idx="6">
                        <c:v>100</c:v>
                      </c:pt>
                      <c:pt idx="7">
                        <c:v>100</c:v>
                      </c:pt>
                      <c:pt idx="8">
                        <c:v>0</c:v>
                      </c:pt>
                      <c:pt idx="9">
                        <c:v>100</c:v>
                      </c:pt>
                      <c:pt idx="10">
                        <c:v>100</c:v>
                      </c:pt>
                      <c:pt idx="11">
                        <c:v>0</c:v>
                      </c:pt>
                      <c:pt idx="12">
                        <c:v>100</c:v>
                      </c:pt>
                    </c:numCache>
                  </c:numRef>
                </c:val>
                <c:extLst>
                  <c:ext xmlns:c16="http://schemas.microsoft.com/office/drawing/2014/chart" uri="{C3380CC4-5D6E-409C-BE32-E72D297353CC}">
                    <c16:uniqueId val="{00000002-5D0B-4115-9279-E3F71D364D79}"/>
                  </c:ext>
                </c:extLst>
              </c15:ser>
            </c15:filteredBarSeries>
          </c:ext>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60067279389679828"/>
          <c:y val="0.36737319754832942"/>
          <c:w val="0.28632886018099785"/>
          <c:h val="0.15260710268982988"/>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618359708026039"/>
          <c:y val="3.5742000365782517E-3"/>
          <c:w val="0.73805444011743992"/>
          <c:h val="0.93323783110852687"/>
        </c:manualLayout>
      </c:layout>
      <c:barChart>
        <c:barDir val="bar"/>
        <c:grouping val="clustered"/>
        <c:varyColors val="0"/>
        <c:ser>
          <c:idx val="0"/>
          <c:order val="0"/>
          <c:tx>
            <c:strRef>
              <c:f>'Figure A8. Weapon Deliv Ranking'!$AK$63:$AK$64</c:f>
              <c:strCache>
                <c:ptCount val="2"/>
                <c:pt idx="1">
                  <c:v>Committed Anti-aircraft missile systems</c:v>
                </c:pt>
              </c:strCache>
            </c:strRef>
          </c:tx>
          <c:spPr>
            <a:solidFill>
              <a:schemeClr val="accent6">
                <a:lumMod val="75000"/>
              </a:schemeClr>
            </a:solidFill>
            <a:ln>
              <a:solidFill>
                <a:sysClr val="windowText" lastClr="000000"/>
              </a:solidFill>
            </a:ln>
            <a:effectLst/>
          </c:spPr>
          <c:invertIfNegative val="0"/>
          <c:cat>
            <c:strRef>
              <c:f>'Figure A8. Weapon Deliv Ranking'!$AJ$65:$AJ$73</c:f>
              <c:strCache>
                <c:ptCount val="9"/>
                <c:pt idx="0">
                  <c:v>Germany</c:v>
                </c:pt>
                <c:pt idx="1">
                  <c:v>United States</c:v>
                </c:pt>
                <c:pt idx="2">
                  <c:v>Spain</c:v>
                </c:pt>
                <c:pt idx="3">
                  <c:v>Slovakia</c:v>
                </c:pt>
                <c:pt idx="4">
                  <c:v>Czech Republic</c:v>
                </c:pt>
                <c:pt idx="5">
                  <c:v>Netherlands</c:v>
                </c:pt>
                <c:pt idx="6">
                  <c:v>Norway</c:v>
                </c:pt>
                <c:pt idx="7">
                  <c:v>France</c:v>
                </c:pt>
                <c:pt idx="8">
                  <c:v>Italy</c:v>
                </c:pt>
              </c:strCache>
            </c:strRef>
          </c:cat>
          <c:val>
            <c:numRef>
              <c:f>'Figure A8. Weapon Deliv Ranking'!$AK$65:$AK$73</c:f>
              <c:numCache>
                <c:formatCode>0</c:formatCode>
                <c:ptCount val="9"/>
                <c:pt idx="0">
                  <c:v>21</c:v>
                </c:pt>
                <c:pt idx="1">
                  <c:v>11</c:v>
                </c:pt>
                <c:pt idx="2">
                  <c:v>7</c:v>
                </c:pt>
                <c:pt idx="3">
                  <c:v>3</c:v>
                </c:pt>
                <c:pt idx="4">
                  <c:v>2</c:v>
                </c:pt>
                <c:pt idx="5">
                  <c:v>2</c:v>
                </c:pt>
                <c:pt idx="6">
                  <c:v>2</c:v>
                </c:pt>
                <c:pt idx="7">
                  <c:v>2</c:v>
                </c:pt>
                <c:pt idx="8">
                  <c:v>1</c:v>
                </c:pt>
              </c:numCache>
            </c:numRef>
          </c:val>
          <c:extLst>
            <c:ext xmlns:c16="http://schemas.microsoft.com/office/drawing/2014/chart" uri="{C3380CC4-5D6E-409C-BE32-E72D297353CC}">
              <c16:uniqueId val="{00000000-1D38-4502-8B20-2413327826F4}"/>
            </c:ext>
          </c:extLst>
        </c:ser>
        <c:ser>
          <c:idx val="1"/>
          <c:order val="1"/>
          <c:tx>
            <c:strRef>
              <c:f>'Figure A8. Weapon Deliv Ranking'!$AL$63:$AL$64</c:f>
              <c:strCache>
                <c:ptCount val="2"/>
                <c:pt idx="1">
                  <c:v>Delivered Anti-aircraft missile systems</c:v>
                </c:pt>
              </c:strCache>
            </c:strRef>
          </c:tx>
          <c:spPr>
            <a:solidFill>
              <a:schemeClr val="accent6">
                <a:lumMod val="40000"/>
                <a:lumOff val="60000"/>
              </a:schemeClr>
            </a:solidFill>
            <a:ln>
              <a:solidFill>
                <a:sysClr val="windowText" lastClr="000000"/>
              </a:solidFill>
            </a:ln>
            <a:effectLst/>
          </c:spPr>
          <c:invertIfNegative val="0"/>
          <c:cat>
            <c:strRef>
              <c:f>'Figure A8. Weapon Deliv Ranking'!$AJ$65:$AJ$73</c:f>
              <c:strCache>
                <c:ptCount val="9"/>
                <c:pt idx="0">
                  <c:v>Germany</c:v>
                </c:pt>
                <c:pt idx="1">
                  <c:v>United States</c:v>
                </c:pt>
                <c:pt idx="2">
                  <c:v>Spain</c:v>
                </c:pt>
                <c:pt idx="3">
                  <c:v>Slovakia</c:v>
                </c:pt>
                <c:pt idx="4">
                  <c:v>Czech Republic</c:v>
                </c:pt>
                <c:pt idx="5">
                  <c:v>Netherlands</c:v>
                </c:pt>
                <c:pt idx="6">
                  <c:v>Norway</c:v>
                </c:pt>
                <c:pt idx="7">
                  <c:v>France</c:v>
                </c:pt>
                <c:pt idx="8">
                  <c:v>Italy</c:v>
                </c:pt>
              </c:strCache>
            </c:strRef>
          </c:cat>
          <c:val>
            <c:numRef>
              <c:f>'Figure A8. Weapon Deliv Ranking'!$AL$65:$AL$73</c:f>
              <c:numCache>
                <c:formatCode>0</c:formatCode>
                <c:ptCount val="9"/>
                <c:pt idx="0">
                  <c:v>3</c:v>
                </c:pt>
                <c:pt idx="1">
                  <c:v>8</c:v>
                </c:pt>
                <c:pt idx="2">
                  <c:v>7</c:v>
                </c:pt>
                <c:pt idx="3">
                  <c:v>3</c:v>
                </c:pt>
                <c:pt idx="4">
                  <c:v>0</c:v>
                </c:pt>
                <c:pt idx="5">
                  <c:v>0</c:v>
                </c:pt>
                <c:pt idx="6">
                  <c:v>0</c:v>
                </c:pt>
                <c:pt idx="7">
                  <c:v>2</c:v>
                </c:pt>
                <c:pt idx="8">
                  <c:v>1</c:v>
                </c:pt>
              </c:numCache>
            </c:numRef>
          </c:val>
          <c:extLst>
            <c:ext xmlns:c16="http://schemas.microsoft.com/office/drawing/2014/chart" uri="{C3380CC4-5D6E-409C-BE32-E72D297353CC}">
              <c16:uniqueId val="{00000001-1D38-4502-8B20-2413327826F4}"/>
            </c:ext>
          </c:extLst>
        </c:ser>
        <c:dLbls>
          <c:showLegendKey val="0"/>
          <c:showVal val="0"/>
          <c:showCatName val="0"/>
          <c:showSerName val="0"/>
          <c:showPercent val="0"/>
          <c:showBubbleSize val="0"/>
        </c:dLbls>
        <c:gapWidth val="70"/>
        <c:axId val="450490767"/>
        <c:axId val="450486607"/>
        <c:extLst>
          <c:ext xmlns:c15="http://schemas.microsoft.com/office/drawing/2012/chart" uri="{02D57815-91ED-43cb-92C2-25804820EDAC}">
            <c15:filteredBarSeries>
              <c15:ser>
                <c:idx val="2"/>
                <c:order val="2"/>
                <c:tx>
                  <c:strRef>
                    <c:extLst>
                      <c:ext uri="{02D57815-91ED-43cb-92C2-25804820EDAC}">
                        <c15:formulaRef>
                          <c15:sqref>'Figure A8. Weapon Deliv Ranking'!$AM$63:$AM$64</c15:sqref>
                        </c15:formulaRef>
                      </c:ext>
                    </c:extLst>
                    <c:strCache>
                      <c:ptCount val="2"/>
                      <c:pt idx="1">
                        <c:v>Delivery rate</c:v>
                      </c:pt>
                    </c:strCache>
                  </c:strRef>
                </c:tx>
                <c:spPr>
                  <a:solidFill>
                    <a:schemeClr val="accent6"/>
                  </a:solidFill>
                  <a:ln>
                    <a:noFill/>
                  </a:ln>
                  <a:effectLst/>
                </c:spPr>
                <c:invertIfNegative val="0"/>
                <c:cat>
                  <c:strRef>
                    <c:extLst>
                      <c:ext uri="{02D57815-91ED-43cb-92C2-25804820EDAC}">
                        <c15:formulaRef>
                          <c15:sqref>'Figure A8. Weapon Deliv Ranking'!$AJ$65:$AJ$73</c15:sqref>
                        </c15:formulaRef>
                      </c:ext>
                    </c:extLst>
                    <c:strCache>
                      <c:ptCount val="9"/>
                      <c:pt idx="0">
                        <c:v>Germany</c:v>
                      </c:pt>
                      <c:pt idx="1">
                        <c:v>United States</c:v>
                      </c:pt>
                      <c:pt idx="2">
                        <c:v>Spain</c:v>
                      </c:pt>
                      <c:pt idx="3">
                        <c:v>Slovakia</c:v>
                      </c:pt>
                      <c:pt idx="4">
                        <c:v>Czech Republic</c:v>
                      </c:pt>
                      <c:pt idx="5">
                        <c:v>Netherlands</c:v>
                      </c:pt>
                      <c:pt idx="6">
                        <c:v>Norway</c:v>
                      </c:pt>
                      <c:pt idx="7">
                        <c:v>France</c:v>
                      </c:pt>
                      <c:pt idx="8">
                        <c:v>Italy</c:v>
                      </c:pt>
                    </c:strCache>
                  </c:strRef>
                </c:cat>
                <c:val>
                  <c:numRef>
                    <c:extLst>
                      <c:ext uri="{02D57815-91ED-43cb-92C2-25804820EDAC}">
                        <c15:formulaRef>
                          <c15:sqref>'Figure A8. Weapon Deliv Ranking'!$AM$65:$AM$73</c15:sqref>
                        </c15:formulaRef>
                      </c:ext>
                    </c:extLst>
                    <c:numCache>
                      <c:formatCode>0</c:formatCode>
                      <c:ptCount val="9"/>
                      <c:pt idx="0">
                        <c:v>14.285714285714285</c:v>
                      </c:pt>
                      <c:pt idx="1">
                        <c:v>72.727272727272734</c:v>
                      </c:pt>
                      <c:pt idx="2">
                        <c:v>100</c:v>
                      </c:pt>
                      <c:pt idx="3">
                        <c:v>100</c:v>
                      </c:pt>
                      <c:pt idx="4">
                        <c:v>0</c:v>
                      </c:pt>
                      <c:pt idx="5">
                        <c:v>0</c:v>
                      </c:pt>
                      <c:pt idx="6">
                        <c:v>0</c:v>
                      </c:pt>
                      <c:pt idx="7">
                        <c:v>100</c:v>
                      </c:pt>
                      <c:pt idx="8">
                        <c:v>100</c:v>
                      </c:pt>
                    </c:numCache>
                  </c:numRef>
                </c:val>
                <c:extLst>
                  <c:ext xmlns:c16="http://schemas.microsoft.com/office/drawing/2014/chart" uri="{C3380CC4-5D6E-409C-BE32-E72D297353CC}">
                    <c16:uniqueId val="{00000002-1D38-4502-8B20-2413327826F4}"/>
                  </c:ext>
                </c:extLst>
              </c15:ser>
            </c15:filteredBarSeries>
          </c:ext>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7693784177140047"/>
          <c:y val="0.38115001337303339"/>
          <c:w val="0.48692553971294128"/>
          <c:h val="0.22451962005971549"/>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7636330211227189"/>
          <c:y val="1.1900739518751594E-2"/>
          <c:w val="0.78088857127162992"/>
          <c:h val="0.94360485987555798"/>
        </c:manualLayout>
      </c:layout>
      <c:barChart>
        <c:barDir val="bar"/>
        <c:grouping val="stacked"/>
        <c:varyColors val="0"/>
        <c:ser>
          <c:idx val="0"/>
          <c:order val="0"/>
          <c:tx>
            <c:strRef>
              <c:f>'Fig 5. Ranking (%)'!$C$11</c:f>
              <c:strCache>
                <c:ptCount val="1"/>
                <c:pt idx="0">
                  <c:v>Total bilateral commitments</c:v>
                </c:pt>
              </c:strCache>
            </c:strRef>
          </c:tx>
          <c:spPr>
            <a:solidFill>
              <a:schemeClr val="accent5">
                <a:lumMod val="75000"/>
              </a:schemeClr>
            </a:solidFill>
            <a:ln>
              <a:solidFill>
                <a:srgbClr val="000000"/>
              </a:solidFill>
              <a:prstDash val="solid"/>
            </a:ln>
            <a:effectLst/>
          </c:spPr>
          <c:invertIfNegative val="0"/>
          <c:cat>
            <c:strRef>
              <c:f>'Fig 5. Ranking (%)'!$B$12:$B$52</c:f>
              <c:strCache>
                <c:ptCount val="41"/>
                <c:pt idx="0">
                  <c:v>Estonia</c:v>
                </c:pt>
                <c:pt idx="1">
                  <c:v>Latvia</c:v>
                </c:pt>
                <c:pt idx="2">
                  <c:v>Lithuania</c:v>
                </c:pt>
                <c:pt idx="3">
                  <c:v>Poland</c:v>
                </c:pt>
                <c:pt idx="4">
                  <c:v>Slovakia</c:v>
                </c:pt>
                <c:pt idx="5">
                  <c:v>Denmark</c:v>
                </c:pt>
                <c:pt idx="6">
                  <c:v>Norway</c:v>
                </c:pt>
                <c:pt idx="7">
                  <c:v>Finland</c:v>
                </c:pt>
                <c:pt idx="8">
                  <c:v>Netherlands</c:v>
                </c:pt>
                <c:pt idx="9">
                  <c:v>United Kingdom</c:v>
                </c:pt>
                <c:pt idx="10">
                  <c:v>Czech Republic</c:v>
                </c:pt>
                <c:pt idx="11">
                  <c:v>United States</c:v>
                </c:pt>
                <c:pt idx="12">
                  <c:v>Sweden</c:v>
                </c:pt>
                <c:pt idx="13">
                  <c:v>Bulgaria</c:v>
                </c:pt>
                <c:pt idx="14">
                  <c:v>Croatia</c:v>
                </c:pt>
                <c:pt idx="15">
                  <c:v>Canada</c:v>
                </c:pt>
                <c:pt idx="16">
                  <c:v>Germany</c:v>
                </c:pt>
                <c:pt idx="17">
                  <c:v>Austria</c:v>
                </c:pt>
                <c:pt idx="18">
                  <c:v>Japan</c:v>
                </c:pt>
                <c:pt idx="19">
                  <c:v>Portugal</c:v>
                </c:pt>
                <c:pt idx="20">
                  <c:v>Iceland</c:v>
                </c:pt>
                <c:pt idx="21">
                  <c:v>Luxembourg</c:v>
                </c:pt>
                <c:pt idx="22">
                  <c:v>Slovenia</c:v>
                </c:pt>
                <c:pt idx="23">
                  <c:v>Greece</c:v>
                </c:pt>
                <c:pt idx="24">
                  <c:v>Belgium</c:v>
                </c:pt>
                <c:pt idx="25">
                  <c:v>Italy</c:v>
                </c:pt>
                <c:pt idx="26">
                  <c:v>Spain</c:v>
                </c:pt>
                <c:pt idx="27">
                  <c:v>France</c:v>
                </c:pt>
                <c:pt idx="28">
                  <c:v>Switzerland</c:v>
                </c:pt>
                <c:pt idx="29">
                  <c:v>Romania</c:v>
                </c:pt>
                <c:pt idx="30">
                  <c:v>South Korea</c:v>
                </c:pt>
                <c:pt idx="31">
                  <c:v>Australia</c:v>
                </c:pt>
                <c:pt idx="32">
                  <c:v>Hungary</c:v>
                </c:pt>
                <c:pt idx="33">
                  <c:v>Ireland</c:v>
                </c:pt>
                <c:pt idx="34">
                  <c:v>Malta</c:v>
                </c:pt>
                <c:pt idx="35">
                  <c:v>Cyprus</c:v>
                </c:pt>
                <c:pt idx="36">
                  <c:v>New Zealand</c:v>
                </c:pt>
                <c:pt idx="37">
                  <c:v>Taiwan</c:v>
                </c:pt>
                <c:pt idx="38">
                  <c:v>Turkey</c:v>
                </c:pt>
                <c:pt idx="39">
                  <c:v>India</c:v>
                </c:pt>
                <c:pt idx="40">
                  <c:v>China</c:v>
                </c:pt>
              </c:strCache>
            </c:strRef>
          </c:cat>
          <c:val>
            <c:numRef>
              <c:f>'Fig 5. Ranking (%)'!$C$12:$C$52</c:f>
              <c:numCache>
                <c:formatCode>0.00</c:formatCode>
                <c:ptCount val="41"/>
                <c:pt idx="0">
                  <c:v>1.2606201250160036</c:v>
                </c:pt>
                <c:pt idx="1">
                  <c:v>1.0912278632551458</c:v>
                </c:pt>
                <c:pt idx="2">
                  <c:v>0.95193792981649195</c:v>
                </c:pt>
                <c:pt idx="3">
                  <c:v>0.68246360725370525</c:v>
                </c:pt>
                <c:pt idx="4">
                  <c:v>0.63140985475637346</c:v>
                </c:pt>
                <c:pt idx="5">
                  <c:v>0.5148332270620376</c:v>
                </c:pt>
                <c:pt idx="6">
                  <c:v>0.47094720935177292</c:v>
                </c:pt>
                <c:pt idx="7">
                  <c:v>0.44349055053897235</c:v>
                </c:pt>
                <c:pt idx="8">
                  <c:v>0.43598129254435675</c:v>
                </c:pt>
                <c:pt idx="9">
                  <c:v>0.37258230705466278</c:v>
                </c:pt>
                <c:pt idx="10">
                  <c:v>0.36084559731036259</c:v>
                </c:pt>
                <c:pt idx="11">
                  <c:v>0.3295528779935728</c:v>
                </c:pt>
                <c:pt idx="12">
                  <c:v>0.31251679022643342</c:v>
                </c:pt>
                <c:pt idx="13">
                  <c:v>0.31029885204797214</c:v>
                </c:pt>
                <c:pt idx="14">
                  <c:v>0.29945870655314943</c:v>
                </c:pt>
                <c:pt idx="15">
                  <c:v>0.28800474692007605</c:v>
                </c:pt>
                <c:pt idx="16">
                  <c:v>0.27250538647727673</c:v>
                </c:pt>
                <c:pt idx="17">
                  <c:v>0.19591954131756775</c:v>
                </c:pt>
                <c:pt idx="18">
                  <c:v>0.14555394181194639</c:v>
                </c:pt>
                <c:pt idx="19">
                  <c:v>0.14018307955675754</c:v>
                </c:pt>
                <c:pt idx="20">
                  <c:v>0.12558869496454383</c:v>
                </c:pt>
                <c:pt idx="21">
                  <c:v>0.12155002130843041</c:v>
                </c:pt>
                <c:pt idx="22">
                  <c:v>0.10758351857801417</c:v>
                </c:pt>
                <c:pt idx="23">
                  <c:v>9.4505790632724782E-2</c:v>
                </c:pt>
                <c:pt idx="24">
                  <c:v>8.9771779635338056E-2</c:v>
                </c:pt>
                <c:pt idx="25">
                  <c:v>6.9317275513089985E-2</c:v>
                </c:pt>
                <c:pt idx="26">
                  <c:v>6.361716780432565E-2</c:v>
                </c:pt>
                <c:pt idx="27">
                  <c:v>5.3695641016007399E-2</c:v>
                </c:pt>
                <c:pt idx="28">
                  <c:v>5.3010273516371956E-2</c:v>
                </c:pt>
                <c:pt idx="29">
                  <c:v>4.8172137544917719E-2</c:v>
                </c:pt>
                <c:pt idx="30">
                  <c:v>3.6642527324201112E-2</c:v>
                </c:pt>
                <c:pt idx="31">
                  <c:v>2.9670869414501082E-2</c:v>
                </c:pt>
                <c:pt idx="32">
                  <c:v>2.8154793100345764E-2</c:v>
                </c:pt>
                <c:pt idx="33">
                  <c:v>1.9488029726067776E-2</c:v>
                </c:pt>
                <c:pt idx="34">
                  <c:v>1.2955944350977111E-2</c:v>
                </c:pt>
                <c:pt idx="35">
                  <c:v>1.147710223619349E-2</c:v>
                </c:pt>
                <c:pt idx="36">
                  <c:v>1.0959428014457219E-2</c:v>
                </c:pt>
                <c:pt idx="37">
                  <c:v>8.8387096774193569E-3</c:v>
                </c:pt>
                <c:pt idx="38">
                  <c:v>8.8037343819696631E-3</c:v>
                </c:pt>
                <c:pt idx="39">
                  <c:v>6.1305702393715236E-5</c:v>
                </c:pt>
                <c:pt idx="40">
                  <c:v>1.3329312542224588E-5</c:v>
                </c:pt>
              </c:numCache>
            </c:numRef>
          </c:val>
          <c:extLst>
            <c:ext xmlns:c16="http://schemas.microsoft.com/office/drawing/2014/chart" uri="{C3380CC4-5D6E-409C-BE32-E72D297353CC}">
              <c16:uniqueId val="{00000001-2317-4DDD-BF28-F18A2360D8DB}"/>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7472876543031162"/>
          <c:y val="0.27491150354333288"/>
          <c:w val="0.32388546296296294"/>
          <c:h val="3.6337931803534E-2"/>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618359708026039"/>
          <c:y val="3.5742000365782517E-3"/>
          <c:w val="0.73805444011743992"/>
          <c:h val="0.93323783110852687"/>
        </c:manualLayout>
      </c:layout>
      <c:barChart>
        <c:barDir val="bar"/>
        <c:grouping val="clustered"/>
        <c:varyColors val="0"/>
        <c:ser>
          <c:idx val="0"/>
          <c:order val="0"/>
          <c:tx>
            <c:strRef>
              <c:f>'Figure A8. Weapon Deliv Ranking'!$AV$63:$AV$64</c:f>
              <c:strCache>
                <c:ptCount val="2"/>
                <c:pt idx="1">
                  <c:v>Committed IFVs</c:v>
                </c:pt>
              </c:strCache>
            </c:strRef>
          </c:tx>
          <c:spPr>
            <a:solidFill>
              <a:schemeClr val="accent3">
                <a:lumMod val="75000"/>
              </a:schemeClr>
            </a:solidFill>
            <a:ln>
              <a:solidFill>
                <a:sysClr val="windowText" lastClr="000000"/>
              </a:solidFill>
            </a:ln>
            <a:effectLst/>
          </c:spPr>
          <c:invertIfNegative val="0"/>
          <c:cat>
            <c:strRef>
              <c:f>'Figure A8. Weapon Deliv Ranking'!$AU$65:$AU$73</c:f>
              <c:strCache>
                <c:ptCount val="9"/>
                <c:pt idx="0">
                  <c:v>Netherlands</c:v>
                </c:pt>
                <c:pt idx="1">
                  <c:v>United States</c:v>
                </c:pt>
                <c:pt idx="2">
                  <c:v>Germany</c:v>
                </c:pt>
                <c:pt idx="3">
                  <c:v>Greece</c:v>
                </c:pt>
                <c:pt idx="4">
                  <c:v>Sweden</c:v>
                </c:pt>
                <c:pt idx="5">
                  <c:v>Poland</c:v>
                </c:pt>
                <c:pt idx="6">
                  <c:v>Slovenia</c:v>
                </c:pt>
                <c:pt idx="7">
                  <c:v>Slovakia</c:v>
                </c:pt>
                <c:pt idx="8">
                  <c:v>Czech Republic</c:v>
                </c:pt>
              </c:strCache>
            </c:strRef>
          </c:cat>
          <c:val>
            <c:numRef>
              <c:f>'Figure A8. Weapon Deliv Ranking'!$AV$65:$AV$73</c:f>
              <c:numCache>
                <c:formatCode>0</c:formatCode>
                <c:ptCount val="9"/>
                <c:pt idx="0">
                  <c:v>196</c:v>
                </c:pt>
                <c:pt idx="1">
                  <c:v>113</c:v>
                </c:pt>
                <c:pt idx="2">
                  <c:v>60</c:v>
                </c:pt>
                <c:pt idx="3">
                  <c:v>60</c:v>
                </c:pt>
                <c:pt idx="4">
                  <c:v>50</c:v>
                </c:pt>
                <c:pt idx="5">
                  <c:v>42</c:v>
                </c:pt>
                <c:pt idx="6">
                  <c:v>35</c:v>
                </c:pt>
                <c:pt idx="7">
                  <c:v>30</c:v>
                </c:pt>
                <c:pt idx="8">
                  <c:v>4</c:v>
                </c:pt>
              </c:numCache>
            </c:numRef>
          </c:val>
          <c:extLst>
            <c:ext xmlns:c16="http://schemas.microsoft.com/office/drawing/2014/chart" uri="{C3380CC4-5D6E-409C-BE32-E72D297353CC}">
              <c16:uniqueId val="{00000000-9EE8-42EC-92D7-B25E15F7A8D4}"/>
            </c:ext>
          </c:extLst>
        </c:ser>
        <c:ser>
          <c:idx val="1"/>
          <c:order val="1"/>
          <c:tx>
            <c:strRef>
              <c:f>'Figure A8. Weapon Deliv Ranking'!$AW$63:$AW$64</c:f>
              <c:strCache>
                <c:ptCount val="2"/>
                <c:pt idx="1">
                  <c:v>Delivered IFVs</c:v>
                </c:pt>
              </c:strCache>
            </c:strRef>
          </c:tx>
          <c:spPr>
            <a:solidFill>
              <a:schemeClr val="accent3">
                <a:lumMod val="40000"/>
                <a:lumOff val="60000"/>
              </a:schemeClr>
            </a:solidFill>
            <a:ln>
              <a:solidFill>
                <a:sysClr val="windowText" lastClr="000000"/>
              </a:solidFill>
            </a:ln>
            <a:effectLst/>
          </c:spPr>
          <c:invertIfNegative val="0"/>
          <c:cat>
            <c:strRef>
              <c:f>'Figure A8. Weapon Deliv Ranking'!$AU$65:$AU$73</c:f>
              <c:strCache>
                <c:ptCount val="9"/>
                <c:pt idx="0">
                  <c:v>Netherlands</c:v>
                </c:pt>
                <c:pt idx="1">
                  <c:v>United States</c:v>
                </c:pt>
                <c:pt idx="2">
                  <c:v>Germany</c:v>
                </c:pt>
                <c:pt idx="3">
                  <c:v>Greece</c:v>
                </c:pt>
                <c:pt idx="4">
                  <c:v>Sweden</c:v>
                </c:pt>
                <c:pt idx="5">
                  <c:v>Poland</c:v>
                </c:pt>
                <c:pt idx="6">
                  <c:v>Slovenia</c:v>
                </c:pt>
                <c:pt idx="7">
                  <c:v>Slovakia</c:v>
                </c:pt>
                <c:pt idx="8">
                  <c:v>Czech Republic</c:v>
                </c:pt>
              </c:strCache>
            </c:strRef>
          </c:cat>
          <c:val>
            <c:numRef>
              <c:f>'Figure A8. Weapon Deliv Ranking'!$AW$65:$AW$73</c:f>
              <c:numCache>
                <c:formatCode>0</c:formatCode>
                <c:ptCount val="9"/>
                <c:pt idx="0">
                  <c:v>196</c:v>
                </c:pt>
                <c:pt idx="1">
                  <c:v>0</c:v>
                </c:pt>
                <c:pt idx="2">
                  <c:v>40</c:v>
                </c:pt>
                <c:pt idx="3">
                  <c:v>60</c:v>
                </c:pt>
                <c:pt idx="4">
                  <c:v>0</c:v>
                </c:pt>
                <c:pt idx="5">
                  <c:v>42</c:v>
                </c:pt>
                <c:pt idx="6">
                  <c:v>35</c:v>
                </c:pt>
                <c:pt idx="7">
                  <c:v>30</c:v>
                </c:pt>
                <c:pt idx="8">
                  <c:v>4</c:v>
                </c:pt>
              </c:numCache>
            </c:numRef>
          </c:val>
          <c:extLst>
            <c:ext xmlns:c16="http://schemas.microsoft.com/office/drawing/2014/chart" uri="{C3380CC4-5D6E-409C-BE32-E72D297353CC}">
              <c16:uniqueId val="{00000001-9EE8-42EC-92D7-B25E15F7A8D4}"/>
            </c:ext>
          </c:extLst>
        </c:ser>
        <c:dLbls>
          <c:showLegendKey val="0"/>
          <c:showVal val="0"/>
          <c:showCatName val="0"/>
          <c:showSerName val="0"/>
          <c:showPercent val="0"/>
          <c:showBubbleSize val="0"/>
        </c:dLbls>
        <c:gapWidth val="70"/>
        <c:axId val="450490767"/>
        <c:axId val="450486607"/>
        <c:extLst>
          <c:ext xmlns:c15="http://schemas.microsoft.com/office/drawing/2012/chart" uri="{02D57815-91ED-43cb-92C2-25804820EDAC}">
            <c15:filteredBarSeries>
              <c15:ser>
                <c:idx val="2"/>
                <c:order val="2"/>
                <c:tx>
                  <c:strRef>
                    <c:extLst>
                      <c:ext uri="{02D57815-91ED-43cb-92C2-25804820EDAC}">
                        <c15:formulaRef>
                          <c15:sqref>'Figure A8. Weapon Deliv Ranking'!$AX$63:$AX$64</c15:sqref>
                        </c15:formulaRef>
                      </c:ext>
                    </c:extLst>
                    <c:strCache>
                      <c:ptCount val="2"/>
                      <c:pt idx="1">
                        <c:v>Delivery rate</c:v>
                      </c:pt>
                    </c:strCache>
                  </c:strRef>
                </c:tx>
                <c:spPr>
                  <a:solidFill>
                    <a:schemeClr val="accent6"/>
                  </a:solidFill>
                  <a:ln>
                    <a:noFill/>
                  </a:ln>
                  <a:effectLst/>
                </c:spPr>
                <c:invertIfNegative val="0"/>
                <c:cat>
                  <c:strRef>
                    <c:extLst>
                      <c:ext uri="{02D57815-91ED-43cb-92C2-25804820EDAC}">
                        <c15:formulaRef>
                          <c15:sqref>'Figure A8. Weapon Deliv Ranking'!$AU$65:$AU$73</c15:sqref>
                        </c15:formulaRef>
                      </c:ext>
                    </c:extLst>
                    <c:strCache>
                      <c:ptCount val="9"/>
                      <c:pt idx="0">
                        <c:v>Netherlands</c:v>
                      </c:pt>
                      <c:pt idx="1">
                        <c:v>United States</c:v>
                      </c:pt>
                      <c:pt idx="2">
                        <c:v>Germany</c:v>
                      </c:pt>
                      <c:pt idx="3">
                        <c:v>Greece</c:v>
                      </c:pt>
                      <c:pt idx="4">
                        <c:v>Sweden</c:v>
                      </c:pt>
                      <c:pt idx="5">
                        <c:v>Poland</c:v>
                      </c:pt>
                      <c:pt idx="6">
                        <c:v>Slovenia</c:v>
                      </c:pt>
                      <c:pt idx="7">
                        <c:v>Slovakia</c:v>
                      </c:pt>
                      <c:pt idx="8">
                        <c:v>Czech Republic</c:v>
                      </c:pt>
                    </c:strCache>
                  </c:strRef>
                </c:cat>
                <c:val>
                  <c:numRef>
                    <c:extLst>
                      <c:ext uri="{02D57815-91ED-43cb-92C2-25804820EDAC}">
                        <c15:formulaRef>
                          <c15:sqref>'Figure A8. Weapon Deliv Ranking'!$AX$65:$AX$73</c15:sqref>
                        </c15:formulaRef>
                      </c:ext>
                    </c:extLst>
                    <c:numCache>
                      <c:formatCode>0</c:formatCode>
                      <c:ptCount val="9"/>
                      <c:pt idx="0">
                        <c:v>100</c:v>
                      </c:pt>
                      <c:pt idx="1">
                        <c:v>0</c:v>
                      </c:pt>
                      <c:pt idx="2">
                        <c:v>66.666666666666657</c:v>
                      </c:pt>
                      <c:pt idx="3">
                        <c:v>100</c:v>
                      </c:pt>
                      <c:pt idx="4">
                        <c:v>0</c:v>
                      </c:pt>
                      <c:pt idx="5">
                        <c:v>100</c:v>
                      </c:pt>
                      <c:pt idx="6">
                        <c:v>100</c:v>
                      </c:pt>
                      <c:pt idx="7">
                        <c:v>100</c:v>
                      </c:pt>
                      <c:pt idx="8">
                        <c:v>100</c:v>
                      </c:pt>
                    </c:numCache>
                  </c:numRef>
                </c:val>
                <c:extLst>
                  <c:ext xmlns:c16="http://schemas.microsoft.com/office/drawing/2014/chart" uri="{C3380CC4-5D6E-409C-BE32-E72D297353CC}">
                    <c16:uniqueId val="{00000002-9EE8-42EC-92D7-B25E15F7A8D4}"/>
                  </c:ext>
                </c:extLst>
              </c15:ser>
            </c15:filteredBarSeries>
          </c:ext>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58145193575640086"/>
          <c:y val="0.44529872617322869"/>
          <c:w val="0.34409712446140456"/>
          <c:h val="0.12108199255286758"/>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096806939830204E-2"/>
          <c:y val="2.1296064197572406E-2"/>
          <c:w val="0.94061664820967128"/>
          <c:h val="0.80628492443196731"/>
        </c:manualLayout>
      </c:layout>
      <c:barChart>
        <c:barDir val="col"/>
        <c:grouping val="stacked"/>
        <c:varyColors val="0"/>
        <c:ser>
          <c:idx val="4"/>
          <c:order val="0"/>
          <c:tx>
            <c:strRef>
              <c:f>'Aid over time by type and month'!$C$11</c:f>
              <c:strCache>
                <c:ptCount val="1"/>
                <c:pt idx="0">
                  <c:v>Financial aid committed (€ billion)</c:v>
                </c:pt>
              </c:strCache>
            </c:strRef>
          </c:tx>
          <c:spPr>
            <a:solidFill>
              <a:schemeClr val="accent1"/>
            </a:solidFill>
            <a:ln>
              <a:solidFill>
                <a:srgbClr val="000000"/>
              </a:solidFill>
              <a:prstDash val="solid"/>
            </a:ln>
            <a:effectLst/>
          </c:spPr>
          <c:invertIfNegative val="0"/>
          <c:cat>
            <c:strRef>
              <c:f>'Aid over time by type and month'!$B$13:$B$28</c:f>
              <c:strCache>
                <c:ptCount val="16"/>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pt idx="13">
                  <c:v>March (2023)</c:v>
                </c:pt>
                <c:pt idx="14">
                  <c:v>April (2023)</c:v>
                </c:pt>
                <c:pt idx="15">
                  <c:v>May (2023)</c:v>
                </c:pt>
              </c:strCache>
            </c:strRef>
          </c:cat>
          <c:val>
            <c:numRef>
              <c:f>'Aid over time by type and month'!$C$13:$C$28</c:f>
              <c:numCache>
                <c:formatCode>0.00</c:formatCode>
                <c:ptCount val="16"/>
                <c:pt idx="0">
                  <c:v>3.7461210909318057</c:v>
                </c:pt>
                <c:pt idx="1">
                  <c:v>3.4557197510382403</c:v>
                </c:pt>
                <c:pt idx="2">
                  <c:v>2.282606613701359</c:v>
                </c:pt>
                <c:pt idx="3">
                  <c:v>14.833953030910974</c:v>
                </c:pt>
                <c:pt idx="4">
                  <c:v>0.16549763098615825</c:v>
                </c:pt>
                <c:pt idx="5">
                  <c:v>0.44969999999999999</c:v>
                </c:pt>
                <c:pt idx="6">
                  <c:v>0.31819789995512338</c:v>
                </c:pt>
                <c:pt idx="7">
                  <c:v>4.6531624953993376</c:v>
                </c:pt>
                <c:pt idx="8">
                  <c:v>0.63262620333989794</c:v>
                </c:pt>
                <c:pt idx="9">
                  <c:v>18.157273429553989</c:v>
                </c:pt>
                <c:pt idx="10">
                  <c:v>13.775211028870753</c:v>
                </c:pt>
                <c:pt idx="11">
                  <c:v>4.4999999999999997E-3</c:v>
                </c:pt>
                <c:pt idx="12">
                  <c:v>5.2028902080931445</c:v>
                </c:pt>
                <c:pt idx="13">
                  <c:v>0.47709010811639418</c:v>
                </c:pt>
                <c:pt idx="14">
                  <c:v>2.7475468386723239</c:v>
                </c:pt>
                <c:pt idx="15">
                  <c:v>0.40830906472197448</c:v>
                </c:pt>
              </c:numCache>
            </c:numRef>
          </c:val>
          <c:extLst xmlns:c15="http://schemas.microsoft.com/office/drawing/2012/chart">
            <c:ext xmlns:c16="http://schemas.microsoft.com/office/drawing/2014/chart" uri="{C3380CC4-5D6E-409C-BE32-E72D297353CC}">
              <c16:uniqueId val="{00000000-7303-45BF-AB32-D0DED226A183}"/>
            </c:ext>
          </c:extLst>
        </c:ser>
        <c:ser>
          <c:idx val="5"/>
          <c:order val="1"/>
          <c:tx>
            <c:strRef>
              <c:f>'Aid over time by type and month'!$D$11</c:f>
              <c:strCache>
                <c:ptCount val="1"/>
                <c:pt idx="0">
                  <c:v>Humanitarian aid committed (€ billion)</c:v>
                </c:pt>
              </c:strCache>
            </c:strRef>
          </c:tx>
          <c:spPr>
            <a:solidFill>
              <a:srgbClr val="70AD47"/>
            </a:solidFill>
            <a:ln>
              <a:solidFill>
                <a:srgbClr val="000000"/>
              </a:solidFill>
              <a:prstDash val="solid"/>
            </a:ln>
            <a:effectLst/>
          </c:spPr>
          <c:invertIfNegative val="0"/>
          <c:cat>
            <c:strRef>
              <c:f>'Aid over time by type and month'!$B$13:$B$28</c:f>
              <c:strCache>
                <c:ptCount val="16"/>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pt idx="13">
                  <c:v>March (2023)</c:v>
                </c:pt>
                <c:pt idx="14">
                  <c:v>April (2023)</c:v>
                </c:pt>
                <c:pt idx="15">
                  <c:v>May (2023)</c:v>
                </c:pt>
              </c:strCache>
            </c:strRef>
          </c:cat>
          <c:val>
            <c:numRef>
              <c:f>'Aid over time by type and month'!$D$13:$D$28</c:f>
              <c:numCache>
                <c:formatCode>0.00</c:formatCode>
                <c:ptCount val="16"/>
                <c:pt idx="0">
                  <c:v>0.2063351678746933</c:v>
                </c:pt>
                <c:pt idx="1">
                  <c:v>1.2069601774141903</c:v>
                </c:pt>
                <c:pt idx="2">
                  <c:v>1.3982216207924825</c:v>
                </c:pt>
                <c:pt idx="3">
                  <c:v>1.1922341683069444</c:v>
                </c:pt>
                <c:pt idx="4">
                  <c:v>0.684534666329913</c:v>
                </c:pt>
                <c:pt idx="5">
                  <c:v>0.87692280109599785</c:v>
                </c:pt>
                <c:pt idx="6">
                  <c:v>8.7916681203332125E-2</c:v>
                </c:pt>
                <c:pt idx="7">
                  <c:v>0.74271723186648575</c:v>
                </c:pt>
                <c:pt idx="8">
                  <c:v>0.42035769946565443</c:v>
                </c:pt>
                <c:pt idx="9">
                  <c:v>0.40502395956479198</c:v>
                </c:pt>
                <c:pt idx="10">
                  <c:v>3.8008646686282979</c:v>
                </c:pt>
                <c:pt idx="11">
                  <c:v>6.4743928283651192E-2</c:v>
                </c:pt>
                <c:pt idx="12">
                  <c:v>1.181240719388762</c:v>
                </c:pt>
                <c:pt idx="13">
                  <c:v>0.68578862759653192</c:v>
                </c:pt>
                <c:pt idx="14">
                  <c:v>0.39183420200266339</c:v>
                </c:pt>
                <c:pt idx="15">
                  <c:v>0.2130595898484241</c:v>
                </c:pt>
              </c:numCache>
            </c:numRef>
          </c:val>
          <c:extLst>
            <c:ext xmlns:c16="http://schemas.microsoft.com/office/drawing/2014/chart" uri="{C3380CC4-5D6E-409C-BE32-E72D297353CC}">
              <c16:uniqueId val="{00000001-7303-45BF-AB32-D0DED226A183}"/>
            </c:ext>
          </c:extLst>
        </c:ser>
        <c:ser>
          <c:idx val="6"/>
          <c:order val="2"/>
          <c:tx>
            <c:strRef>
              <c:f>'Aid over time by type and month'!$E$11</c:f>
              <c:strCache>
                <c:ptCount val="1"/>
                <c:pt idx="0">
                  <c:v>Military aid committed (€ billion)</c:v>
                </c:pt>
              </c:strCache>
            </c:strRef>
          </c:tx>
          <c:spPr>
            <a:solidFill>
              <a:srgbClr val="C00000"/>
            </a:solidFill>
            <a:ln>
              <a:solidFill>
                <a:srgbClr val="000000"/>
              </a:solidFill>
              <a:prstDash val="solid"/>
            </a:ln>
            <a:effectLst/>
          </c:spPr>
          <c:invertIfNegative val="0"/>
          <c:cat>
            <c:strRef>
              <c:f>'Aid over time by type and month'!$B$13:$B$28</c:f>
              <c:strCache>
                <c:ptCount val="16"/>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pt idx="13">
                  <c:v>March (2023)</c:v>
                </c:pt>
                <c:pt idx="14">
                  <c:v>April (2023)</c:v>
                </c:pt>
                <c:pt idx="15">
                  <c:v>May (2023)</c:v>
                </c:pt>
              </c:strCache>
            </c:strRef>
          </c:cat>
          <c:val>
            <c:numRef>
              <c:f>'Aid over time by type and month'!$E$13:$E$28</c:f>
              <c:numCache>
                <c:formatCode>0.00</c:formatCode>
                <c:ptCount val="16"/>
                <c:pt idx="0">
                  <c:v>1.113243086216948</c:v>
                </c:pt>
                <c:pt idx="1">
                  <c:v>9.7481265940351882</c:v>
                </c:pt>
                <c:pt idx="2">
                  <c:v>11.39221766410215</c:v>
                </c:pt>
                <c:pt idx="3">
                  <c:v>2.6779986122087518</c:v>
                </c:pt>
                <c:pt idx="4">
                  <c:v>3.8340576114965792</c:v>
                </c:pt>
                <c:pt idx="5">
                  <c:v>0.72209168253676292</c:v>
                </c:pt>
                <c:pt idx="6">
                  <c:v>0.77679538472841569</c:v>
                </c:pt>
                <c:pt idx="7">
                  <c:v>6.6700058112946117</c:v>
                </c:pt>
                <c:pt idx="8">
                  <c:v>1.6337914517488383</c:v>
                </c:pt>
                <c:pt idx="9">
                  <c:v>1.2057871785529384</c:v>
                </c:pt>
                <c:pt idx="10">
                  <c:v>23.437003598379327</c:v>
                </c:pt>
                <c:pt idx="11">
                  <c:v>6.8790172033181456</c:v>
                </c:pt>
                <c:pt idx="12">
                  <c:v>0.98444490744554258</c:v>
                </c:pt>
                <c:pt idx="13">
                  <c:v>0.71305085307912297</c:v>
                </c:pt>
                <c:pt idx="14">
                  <c:v>4.8413606831623746</c:v>
                </c:pt>
                <c:pt idx="15">
                  <c:v>3.2557517393703876</c:v>
                </c:pt>
              </c:numCache>
            </c:numRef>
          </c:val>
          <c:extLst>
            <c:ext xmlns:c16="http://schemas.microsoft.com/office/drawing/2014/chart" uri="{C3380CC4-5D6E-409C-BE32-E72D297353CC}">
              <c16:uniqueId val="{00000002-7303-45BF-AB32-D0DED226A183}"/>
            </c:ext>
          </c:extLst>
        </c:ser>
        <c:dLbls>
          <c:showLegendKey val="0"/>
          <c:showVal val="0"/>
          <c:showCatName val="0"/>
          <c:showSerName val="0"/>
          <c:showPercent val="0"/>
          <c:showBubbleSize val="0"/>
        </c:dLbls>
        <c:gapWidth val="152"/>
        <c:overlap val="100"/>
        <c:axId val="450490767"/>
        <c:axId val="450486607"/>
        <c:extLst/>
      </c:barChart>
      <c:catAx>
        <c:axId val="45049076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1"/>
      </c:catAx>
      <c:valAx>
        <c:axId val="45048660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autoZero"/>
        <c:crossBetween val="between"/>
        <c:majorUnit val="5"/>
      </c:valAx>
      <c:spPr>
        <a:noFill/>
        <a:ln>
          <a:noFill/>
        </a:ln>
        <a:effectLst/>
      </c:spPr>
    </c:plotArea>
    <c:legend>
      <c:legendPos val="t"/>
      <c:layout>
        <c:manualLayout>
          <c:xMode val="edge"/>
          <c:yMode val="edge"/>
          <c:x val="6.2130266000764198E-2"/>
          <c:y val="0.11913119890850649"/>
          <c:w val="0.31317612445488041"/>
          <c:h val="0.27624033713819468"/>
        </c:manualLayout>
      </c:layout>
      <c:overlay val="1"/>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25534697436178"/>
          <c:y val="1.9685692273540438E-2"/>
          <c:w val="0.81567817344631233"/>
          <c:h val="0.94149057860304775"/>
        </c:manualLayout>
      </c:layout>
      <c:barChart>
        <c:barDir val="bar"/>
        <c:grouping val="stacked"/>
        <c:varyColors val="0"/>
        <c:ser>
          <c:idx val="0"/>
          <c:order val="0"/>
          <c:tx>
            <c:strRef>
              <c:f>'Fig 6. Ranking (€ bn.+ EU)'!$C$11</c:f>
              <c:strCache>
                <c:ptCount val="1"/>
                <c:pt idx="0">
                  <c:v>Total bilateral commitments</c:v>
                </c:pt>
              </c:strCache>
            </c:strRef>
          </c:tx>
          <c:spPr>
            <a:solidFill>
              <a:schemeClr val="accent5">
                <a:lumMod val="75000"/>
              </a:schemeClr>
            </a:solidFill>
            <a:ln>
              <a:solidFill>
                <a:schemeClr val="tx1"/>
              </a:solidFill>
            </a:ln>
            <a:effectLst/>
          </c:spPr>
          <c:invertIfNegative val="0"/>
          <c:cat>
            <c:strRef>
              <c:f>'Fig 6. Ranking (€ bn.+ EU)'!$B$12:$B$52</c:f>
              <c:strCache>
                <c:ptCount val="41"/>
                <c:pt idx="0">
                  <c:v>United States</c:v>
                </c:pt>
                <c:pt idx="1">
                  <c:v>Germany</c:v>
                </c:pt>
                <c:pt idx="2">
                  <c:v>United Kingdom</c:v>
                </c:pt>
                <c:pt idx="3">
                  <c:v>France</c:v>
                </c:pt>
                <c:pt idx="4">
                  <c:v>Netherlands</c:v>
                </c:pt>
                <c:pt idx="5">
                  <c:v>Japan</c:v>
                </c:pt>
                <c:pt idx="6">
                  <c:v>Italy</c:v>
                </c:pt>
                <c:pt idx="7">
                  <c:v>Poland</c:v>
                </c:pt>
                <c:pt idx="8">
                  <c:v>Canada</c:v>
                </c:pt>
                <c:pt idx="9">
                  <c:v>Spain</c:v>
                </c:pt>
                <c:pt idx="10">
                  <c:v>Sweden</c:v>
                </c:pt>
                <c:pt idx="11">
                  <c:v>Denmark</c:v>
                </c:pt>
                <c:pt idx="12">
                  <c:v>Norway</c:v>
                </c:pt>
                <c:pt idx="13">
                  <c:v>Austria</c:v>
                </c:pt>
                <c:pt idx="14">
                  <c:v>Finland</c:v>
                </c:pt>
                <c:pt idx="15">
                  <c:v>Belgium</c:v>
                </c:pt>
                <c:pt idx="16">
                  <c:v>Czech Republic</c:v>
                </c:pt>
                <c:pt idx="17">
                  <c:v>Slovakia</c:v>
                </c:pt>
                <c:pt idx="18">
                  <c:v>Portugal</c:v>
                </c:pt>
                <c:pt idx="19">
                  <c:v>Ireland</c:v>
                </c:pt>
                <c:pt idx="20">
                  <c:v>Lithuania</c:v>
                </c:pt>
                <c:pt idx="21">
                  <c:v>Romania</c:v>
                </c:pt>
                <c:pt idx="22">
                  <c:v>Greece</c:v>
                </c:pt>
                <c:pt idx="23">
                  <c:v>South Korea</c:v>
                </c:pt>
                <c:pt idx="24">
                  <c:v>Estonia</c:v>
                </c:pt>
                <c:pt idx="25">
                  <c:v>Latvia</c:v>
                </c:pt>
                <c:pt idx="26">
                  <c:v>Hungary</c:v>
                </c:pt>
                <c:pt idx="27">
                  <c:v>Bulgaria</c:v>
                </c:pt>
                <c:pt idx="28">
                  <c:v>Australia</c:v>
                </c:pt>
                <c:pt idx="29">
                  <c:v>Switzerland</c:v>
                </c:pt>
                <c:pt idx="30">
                  <c:v>Croatia</c:v>
                </c:pt>
                <c:pt idx="31">
                  <c:v>Slovenia</c:v>
                </c:pt>
                <c:pt idx="32">
                  <c:v>Luxembourg</c:v>
                </c:pt>
                <c:pt idx="33">
                  <c:v>Turkey</c:v>
                </c:pt>
                <c:pt idx="34">
                  <c:v>Taiwan</c:v>
                </c:pt>
                <c:pt idx="35">
                  <c:v>Cyprus</c:v>
                </c:pt>
                <c:pt idx="36">
                  <c:v>Malta</c:v>
                </c:pt>
                <c:pt idx="37">
                  <c:v>Iceland</c:v>
                </c:pt>
                <c:pt idx="38">
                  <c:v>New Zealand</c:v>
                </c:pt>
                <c:pt idx="39">
                  <c:v>China</c:v>
                </c:pt>
                <c:pt idx="40">
                  <c:v>India</c:v>
                </c:pt>
              </c:strCache>
            </c:strRef>
          </c:cat>
          <c:val>
            <c:numRef>
              <c:f>'Fig 6. Ranking (€ bn.+ EU)'!$C$12:$C$52</c:f>
              <c:numCache>
                <c:formatCode>0.00</c:formatCode>
                <c:ptCount val="41"/>
                <c:pt idx="0">
                  <c:v>70.698858108207588</c:v>
                </c:pt>
                <c:pt idx="1">
                  <c:v>10.68140605</c:v>
                </c:pt>
                <c:pt idx="2">
                  <c:v>10.735148612169851</c:v>
                </c:pt>
                <c:pt idx="3">
                  <c:v>1.4614027394362197</c:v>
                </c:pt>
                <c:pt idx="4">
                  <c:v>4.0631417004048576</c:v>
                </c:pt>
                <c:pt idx="5">
                  <c:v>6.6172638663967609</c:v>
                </c:pt>
                <c:pt idx="6">
                  <c:v>1.3443155929799468</c:v>
                </c:pt>
                <c:pt idx="7">
                  <c:v>4.2666210117743191</c:v>
                </c:pt>
                <c:pt idx="8">
                  <c:v>5.2691415348570834</c:v>
                </c:pt>
                <c:pt idx="9">
                  <c:v>0.83553474717121867</c:v>
                </c:pt>
                <c:pt idx="10">
                  <c:v>1.82789483635176</c:v>
                </c:pt>
                <c:pt idx="11">
                  <c:v>1.8868214875478282</c:v>
                </c:pt>
                <c:pt idx="12">
                  <c:v>2.0894267771243502</c:v>
                </c:pt>
                <c:pt idx="13">
                  <c:v>0.86596942725653303</c:v>
                </c:pt>
                <c:pt idx="14">
                  <c:v>1.2132000000000001</c:v>
                </c:pt>
                <c:pt idx="15">
                  <c:v>0.49074152839999996</c:v>
                </c:pt>
                <c:pt idx="16">
                  <c:v>0.93557517470732332</c:v>
                </c:pt>
                <c:pt idx="17">
                  <c:v>0.67699999980934855</c:v>
                </c:pt>
                <c:pt idx="18">
                  <c:v>0.32719249887853508</c:v>
                </c:pt>
                <c:pt idx="19">
                  <c:v>9.0407853882959147E-2</c:v>
                </c:pt>
                <c:pt idx="20">
                  <c:v>0.58199999999999996</c:v>
                </c:pt>
                <c:pt idx="21">
                  <c:v>0.12592110041548174</c:v>
                </c:pt>
                <c:pt idx="22">
                  <c:v>0.18684970463746781</c:v>
                </c:pt>
                <c:pt idx="23">
                  <c:v>0.61058152373941843</c:v>
                </c:pt>
                <c:pt idx="24">
                  <c:v>0.43139430000000001</c:v>
                </c:pt>
                <c:pt idx="25">
                  <c:v>0.40015873548199998</c:v>
                </c:pt>
                <c:pt idx="26">
                  <c:v>4.7109803475361152E-2</c:v>
                </c:pt>
                <c:pt idx="27">
                  <c:v>0.23999427078433377</c:v>
                </c:pt>
                <c:pt idx="28">
                  <c:v>0.42389575431298177</c:v>
                </c:pt>
                <c:pt idx="29">
                  <c:v>0.39052404881550612</c:v>
                </c:pt>
                <c:pt idx="30">
                  <c:v>0.1900000004540951</c:v>
                </c:pt>
                <c:pt idx="31">
                  <c:v>6.1125599987486207E-2</c:v>
                </c:pt>
                <c:pt idx="32">
                  <c:v>9.5631999999999995E-2</c:v>
                </c:pt>
                <c:pt idx="33">
                  <c:v>6.6346781376518213E-2</c:v>
                </c:pt>
                <c:pt idx="34">
                  <c:v>6.3029076186970928E-2</c:v>
                </c:pt>
                <c:pt idx="35">
                  <c:v>3.0000000000000001E-3</c:v>
                </c:pt>
                <c:pt idx="36">
                  <c:v>2.0699999999999998E-3</c:v>
                </c:pt>
                <c:pt idx="37">
                  <c:v>2.9585704973881494E-2</c:v>
                </c:pt>
                <c:pt idx="38">
                  <c:v>2.5198787254733714E-2</c:v>
                </c:pt>
                <c:pt idx="39">
                  <c:v>2.1750355506399113E-3</c:v>
                </c:pt>
                <c:pt idx="40">
                  <c:v>1.7917280088332722E-3</c:v>
                </c:pt>
              </c:numCache>
            </c:numRef>
          </c:val>
          <c:extLst>
            <c:ext xmlns:c16="http://schemas.microsoft.com/office/drawing/2014/chart" uri="{C3380CC4-5D6E-409C-BE32-E72D297353CC}">
              <c16:uniqueId val="{00000001-2093-46D4-A034-48A3B2AA5057}"/>
            </c:ext>
          </c:extLst>
        </c:ser>
        <c:ser>
          <c:idx val="1"/>
          <c:order val="1"/>
          <c:tx>
            <c:strRef>
              <c:f>'Fig 6. Ranking (€ bn.+ EU)'!$D$11</c:f>
              <c:strCache>
                <c:ptCount val="1"/>
                <c:pt idx="0">
                  <c:v>Share in EU commitments (including MFA, EPF, EIB)</c:v>
                </c:pt>
              </c:strCache>
            </c:strRef>
          </c:tx>
          <c:spPr>
            <a:solidFill>
              <a:schemeClr val="accent2"/>
            </a:solidFill>
            <a:ln>
              <a:solidFill>
                <a:srgbClr val="000000"/>
              </a:solidFill>
              <a:prstDash val="solid"/>
            </a:ln>
            <a:effectLst/>
          </c:spPr>
          <c:invertIfNegative val="0"/>
          <c:cat>
            <c:strRef>
              <c:f>'Fig 6. Ranking (€ bn.+ EU)'!$B$12:$B$52</c:f>
              <c:strCache>
                <c:ptCount val="41"/>
                <c:pt idx="0">
                  <c:v>United States</c:v>
                </c:pt>
                <c:pt idx="1">
                  <c:v>Germany</c:v>
                </c:pt>
                <c:pt idx="2">
                  <c:v>United Kingdom</c:v>
                </c:pt>
                <c:pt idx="3">
                  <c:v>France</c:v>
                </c:pt>
                <c:pt idx="4">
                  <c:v>Netherlands</c:v>
                </c:pt>
                <c:pt idx="5">
                  <c:v>Japan</c:v>
                </c:pt>
                <c:pt idx="6">
                  <c:v>Italy</c:v>
                </c:pt>
                <c:pt idx="7">
                  <c:v>Poland</c:v>
                </c:pt>
                <c:pt idx="8">
                  <c:v>Canada</c:v>
                </c:pt>
                <c:pt idx="9">
                  <c:v>Spain</c:v>
                </c:pt>
                <c:pt idx="10">
                  <c:v>Sweden</c:v>
                </c:pt>
                <c:pt idx="11">
                  <c:v>Denmark</c:v>
                </c:pt>
                <c:pt idx="12">
                  <c:v>Norway</c:v>
                </c:pt>
                <c:pt idx="13">
                  <c:v>Austria</c:v>
                </c:pt>
                <c:pt idx="14">
                  <c:v>Finland</c:v>
                </c:pt>
                <c:pt idx="15">
                  <c:v>Belgium</c:v>
                </c:pt>
                <c:pt idx="16">
                  <c:v>Czech Republic</c:v>
                </c:pt>
                <c:pt idx="17">
                  <c:v>Slovakia</c:v>
                </c:pt>
                <c:pt idx="18">
                  <c:v>Portugal</c:v>
                </c:pt>
                <c:pt idx="19">
                  <c:v>Ireland</c:v>
                </c:pt>
                <c:pt idx="20">
                  <c:v>Lithuania</c:v>
                </c:pt>
                <c:pt idx="21">
                  <c:v>Romania</c:v>
                </c:pt>
                <c:pt idx="22">
                  <c:v>Greece</c:v>
                </c:pt>
                <c:pt idx="23">
                  <c:v>South Korea</c:v>
                </c:pt>
                <c:pt idx="24">
                  <c:v>Estonia</c:v>
                </c:pt>
                <c:pt idx="25">
                  <c:v>Latvia</c:v>
                </c:pt>
                <c:pt idx="26">
                  <c:v>Hungary</c:v>
                </c:pt>
                <c:pt idx="27">
                  <c:v>Bulgaria</c:v>
                </c:pt>
                <c:pt idx="28">
                  <c:v>Australia</c:v>
                </c:pt>
                <c:pt idx="29">
                  <c:v>Switzerland</c:v>
                </c:pt>
                <c:pt idx="30">
                  <c:v>Croatia</c:v>
                </c:pt>
                <c:pt idx="31">
                  <c:v>Slovenia</c:v>
                </c:pt>
                <c:pt idx="32">
                  <c:v>Luxembourg</c:v>
                </c:pt>
                <c:pt idx="33">
                  <c:v>Turkey</c:v>
                </c:pt>
                <c:pt idx="34">
                  <c:v>Taiwan</c:v>
                </c:pt>
                <c:pt idx="35">
                  <c:v>Cyprus</c:v>
                </c:pt>
                <c:pt idx="36">
                  <c:v>Malta</c:v>
                </c:pt>
                <c:pt idx="37">
                  <c:v>Iceland</c:v>
                </c:pt>
                <c:pt idx="38">
                  <c:v>New Zealand</c:v>
                </c:pt>
                <c:pt idx="39">
                  <c:v>China</c:v>
                </c:pt>
                <c:pt idx="40">
                  <c:v>India</c:v>
                </c:pt>
              </c:strCache>
            </c:strRef>
          </c:cat>
          <c:val>
            <c:numRef>
              <c:f>'Fig 6. Ranking (€ bn.+ EU)'!$D$12:$D$52</c:f>
              <c:numCache>
                <c:formatCode>0.00</c:formatCode>
                <c:ptCount val="41"/>
                <c:pt idx="0">
                  <c:v>0</c:v>
                </c:pt>
                <c:pt idx="1">
                  <c:v>7.3305651091944712</c:v>
                </c:pt>
                <c:pt idx="2">
                  <c:v>0</c:v>
                </c:pt>
                <c:pt idx="3">
                  <c:v>6.0000291126026886</c:v>
                </c:pt>
                <c:pt idx="4">
                  <c:v>2.5976114349161747</c:v>
                </c:pt>
                <c:pt idx="5">
                  <c:v>0</c:v>
                </c:pt>
                <c:pt idx="6">
                  <c:v>4.4317863486732367</c:v>
                </c:pt>
                <c:pt idx="7">
                  <c:v>1.4507287302592136</c:v>
                </c:pt>
                <c:pt idx="8">
                  <c:v>0</c:v>
                </c:pt>
                <c:pt idx="9">
                  <c:v>3.9582486572924247</c:v>
                </c:pt>
                <c:pt idx="10">
                  <c:v>1.1901851989659173</c:v>
                </c:pt>
                <c:pt idx="11">
                  <c:v>0.88412180177597288</c:v>
                </c:pt>
                <c:pt idx="12">
                  <c:v>0</c:v>
                </c:pt>
                <c:pt idx="13">
                  <c:v>1.0138520029424272</c:v>
                </c:pt>
                <c:pt idx="14">
                  <c:v>0.59772133835945529</c:v>
                </c:pt>
                <c:pt idx="15">
                  <c:v>1.2558707452401001</c:v>
                </c:pt>
                <c:pt idx="16">
                  <c:v>0.50702937506829104</c:v>
                </c:pt>
                <c:pt idx="17">
                  <c:v>0.29876165985970593</c:v>
                </c:pt>
                <c:pt idx="18">
                  <c:v>0.49771876200181259</c:v>
                </c:pt>
                <c:pt idx="19">
                  <c:v>0.68659482539499217</c:v>
                </c:pt>
                <c:pt idx="20">
                  <c:v>0.11319522088093531</c:v>
                </c:pt>
                <c:pt idx="21">
                  <c:v>0.55709328537044944</c:v>
                </c:pt>
                <c:pt idx="22">
                  <c:v>0.49299476036770773</c:v>
                </c:pt>
                <c:pt idx="23">
                  <c:v>0</c:v>
                </c:pt>
                <c:pt idx="24">
                  <c:v>6.7589379582307624E-2</c:v>
                </c:pt>
                <c:pt idx="25">
                  <c:v>7.0556738882932776E-2</c:v>
                </c:pt>
                <c:pt idx="26">
                  <c:v>0.39829064119170099</c:v>
                </c:pt>
                <c:pt idx="27">
                  <c:v>0.20079868570904283</c:v>
                </c:pt>
                <c:pt idx="28">
                  <c:v>0</c:v>
                </c:pt>
                <c:pt idx="29">
                  <c:v>0</c:v>
                </c:pt>
                <c:pt idx="30">
                  <c:v>0.14506236751758189</c:v>
                </c:pt>
                <c:pt idx="31">
                  <c:v>0.12388484609167702</c:v>
                </c:pt>
                <c:pt idx="32">
                  <c:v>0.10919255818822249</c:v>
                </c:pt>
                <c:pt idx="33">
                  <c:v>0</c:v>
                </c:pt>
                <c:pt idx="34">
                  <c:v>0</c:v>
                </c:pt>
                <c:pt idx="35">
                  <c:v>5.4286708984091152E-2</c:v>
                </c:pt>
                <c:pt idx="36">
                  <c:v>2.8729704686463284E-2</c:v>
                </c:pt>
                <c:pt idx="37">
                  <c:v>0</c:v>
                </c:pt>
                <c:pt idx="38">
                  <c:v>0</c:v>
                </c:pt>
                <c:pt idx="39">
                  <c:v>0</c:v>
                </c:pt>
                <c:pt idx="40">
                  <c:v>0</c:v>
                </c:pt>
              </c:numCache>
            </c:numRef>
          </c:val>
          <c:extLst>
            <c:ext xmlns:c16="http://schemas.microsoft.com/office/drawing/2014/chart" uri="{C3380CC4-5D6E-409C-BE32-E72D297353CC}">
              <c16:uniqueId val="{00000003-2093-46D4-A034-48A3B2AA5057}"/>
            </c:ext>
          </c:extLst>
        </c:ser>
        <c:dLbls>
          <c:showLegendKey val="0"/>
          <c:showVal val="0"/>
          <c:showCatName val="0"/>
          <c:showSerName val="0"/>
          <c:showPercent val="0"/>
          <c:showBubbleSize val="0"/>
        </c:dLbls>
        <c:gapWidth val="11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tickLblSkip val="1"/>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23918936852582298"/>
          <c:y val="0.23581195940313254"/>
          <c:w val="0.60124475065616811"/>
          <c:h val="0.11182097550306212"/>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47821886847479"/>
          <c:y val="1.7897313247991778E-2"/>
          <c:w val="0.83262631233595796"/>
          <c:h val="0.9440185914260717"/>
        </c:manualLayout>
      </c:layout>
      <c:barChart>
        <c:barDir val="bar"/>
        <c:grouping val="stacked"/>
        <c:varyColors val="0"/>
        <c:ser>
          <c:idx val="0"/>
          <c:order val="0"/>
          <c:tx>
            <c:strRef>
              <c:f>'Fig 7. With Refugee Support, €'!$C$11</c:f>
              <c:strCache>
                <c:ptCount val="1"/>
                <c:pt idx="0">
                  <c:v>Financial</c:v>
                </c:pt>
              </c:strCache>
            </c:strRef>
          </c:tx>
          <c:spPr>
            <a:solidFill>
              <a:srgbClr val="0070C0"/>
            </a:solidFill>
            <a:ln>
              <a:solidFill>
                <a:srgbClr val="000000"/>
              </a:solidFill>
              <a:prstDash val="solid"/>
            </a:ln>
            <a:effectLst/>
          </c:spPr>
          <c:invertIfNegative val="0"/>
          <c:cat>
            <c:strRef>
              <c:f>'Fig 7. With Refugee Support, €'!$B$12:$B$52</c:f>
              <c:strCache>
                <c:ptCount val="41"/>
                <c:pt idx="0">
                  <c:v>United States</c:v>
                </c:pt>
                <c:pt idx="1">
                  <c:v>Germany</c:v>
                </c:pt>
                <c:pt idx="2">
                  <c:v>Poland</c:v>
                </c:pt>
                <c:pt idx="3">
                  <c:v>United Kingdom</c:v>
                </c:pt>
                <c:pt idx="4">
                  <c:v>Japan</c:v>
                </c:pt>
                <c:pt idx="5">
                  <c:v>Canada</c:v>
                </c:pt>
                <c:pt idx="6">
                  <c:v>Netherlands</c:v>
                </c:pt>
                <c:pt idx="7">
                  <c:v>Czech Republic</c:v>
                </c:pt>
                <c:pt idx="8">
                  <c:v>France</c:v>
                </c:pt>
                <c:pt idx="9">
                  <c:v>Spain</c:v>
                </c:pt>
                <c:pt idx="10">
                  <c:v>Italy</c:v>
                </c:pt>
                <c:pt idx="11">
                  <c:v>Norway</c:v>
                </c:pt>
                <c:pt idx="12">
                  <c:v>Sweden</c:v>
                </c:pt>
                <c:pt idx="13">
                  <c:v>Denmark</c:v>
                </c:pt>
                <c:pt idx="14">
                  <c:v>Austria</c:v>
                </c:pt>
                <c:pt idx="15">
                  <c:v>Switzerland</c:v>
                </c:pt>
                <c:pt idx="16">
                  <c:v>Slovakia</c:v>
                </c:pt>
                <c:pt idx="17">
                  <c:v>Romania</c:v>
                </c:pt>
                <c:pt idx="18">
                  <c:v>Belgium</c:v>
                </c:pt>
                <c:pt idx="19">
                  <c:v>Finland</c:v>
                </c:pt>
                <c:pt idx="20">
                  <c:v>Turkey</c:v>
                </c:pt>
                <c:pt idx="21">
                  <c:v>Bulgaria</c:v>
                </c:pt>
                <c:pt idx="22">
                  <c:v>Lithuania</c:v>
                </c:pt>
                <c:pt idx="23">
                  <c:v>Ireland</c:v>
                </c:pt>
                <c:pt idx="24">
                  <c:v>Hungary</c:v>
                </c:pt>
                <c:pt idx="25">
                  <c:v>Estonia</c:v>
                </c:pt>
                <c:pt idx="26">
                  <c:v>Latvia</c:v>
                </c:pt>
                <c:pt idx="27">
                  <c:v>Portugal</c:v>
                </c:pt>
                <c:pt idx="28">
                  <c:v>South Korea</c:v>
                </c:pt>
                <c:pt idx="29">
                  <c:v>Australia</c:v>
                </c:pt>
                <c:pt idx="30">
                  <c:v>Greece</c:v>
                </c:pt>
                <c:pt idx="31">
                  <c:v>Croatia</c:v>
                </c:pt>
                <c:pt idx="32">
                  <c:v>Luxembourg</c:v>
                </c:pt>
                <c:pt idx="33">
                  <c:v>Slovenia</c:v>
                </c:pt>
                <c:pt idx="34">
                  <c:v>Cyprus</c:v>
                </c:pt>
                <c:pt idx="35">
                  <c:v>Taiwan</c:v>
                </c:pt>
                <c:pt idx="36">
                  <c:v>Iceland</c:v>
                </c:pt>
                <c:pt idx="37">
                  <c:v>Malta</c:v>
                </c:pt>
                <c:pt idx="38">
                  <c:v>New Zealand</c:v>
                </c:pt>
                <c:pt idx="39">
                  <c:v>China</c:v>
                </c:pt>
                <c:pt idx="40">
                  <c:v>India</c:v>
                </c:pt>
              </c:strCache>
            </c:strRef>
          </c:cat>
          <c:val>
            <c:numRef>
              <c:f>'Fig 7. With Refugee Support, €'!$C$12:$C$52</c:f>
              <c:numCache>
                <c:formatCode>0.00</c:formatCode>
                <c:ptCount val="41"/>
                <c:pt idx="0">
                  <c:v>24.263894000736109</c:v>
                </c:pt>
                <c:pt idx="1">
                  <c:v>1.3</c:v>
                </c:pt>
                <c:pt idx="2">
                  <c:v>0.92674858941155414</c:v>
                </c:pt>
                <c:pt idx="3">
                  <c:v>3.8866162922313756</c:v>
                </c:pt>
                <c:pt idx="4">
                  <c:v>5.5866304747883699</c:v>
                </c:pt>
                <c:pt idx="5">
                  <c:v>3.4181925057648148</c:v>
                </c:pt>
                <c:pt idx="6">
                  <c:v>0.99282278248067724</c:v>
                </c:pt>
                <c:pt idx="7">
                  <c:v>0</c:v>
                </c:pt>
                <c:pt idx="8">
                  <c:v>0.69940000000000002</c:v>
                </c:pt>
                <c:pt idx="9">
                  <c:v>0.45419999999999999</c:v>
                </c:pt>
                <c:pt idx="10">
                  <c:v>0.41</c:v>
                </c:pt>
                <c:pt idx="11">
                  <c:v>0.88724111480439782</c:v>
                </c:pt>
                <c:pt idx="12">
                  <c:v>0.19906842957504756</c:v>
                </c:pt>
                <c:pt idx="13">
                  <c:v>5.7500000000000002E-2</c:v>
                </c:pt>
                <c:pt idx="14">
                  <c:v>0.04</c:v>
                </c:pt>
                <c:pt idx="15">
                  <c:v>3.8970362014152396E-2</c:v>
                </c:pt>
                <c:pt idx="16">
                  <c:v>0</c:v>
                </c:pt>
                <c:pt idx="17">
                  <c:v>0</c:v>
                </c:pt>
                <c:pt idx="18">
                  <c:v>1.6060000000000001E-2</c:v>
                </c:pt>
                <c:pt idx="19">
                  <c:v>7.5499999999999998E-2</c:v>
                </c:pt>
                <c:pt idx="20">
                  <c:v>0</c:v>
                </c:pt>
                <c:pt idx="21">
                  <c:v>0</c:v>
                </c:pt>
                <c:pt idx="22">
                  <c:v>0.03</c:v>
                </c:pt>
                <c:pt idx="23">
                  <c:v>2.5000000000000001E-2</c:v>
                </c:pt>
                <c:pt idx="24">
                  <c:v>0</c:v>
                </c:pt>
                <c:pt idx="25">
                  <c:v>0</c:v>
                </c:pt>
                <c:pt idx="26">
                  <c:v>2.5000000000000001E-2</c:v>
                </c:pt>
                <c:pt idx="27">
                  <c:v>0.25</c:v>
                </c:pt>
                <c:pt idx="28">
                  <c:v>0.39565697460434307</c:v>
                </c:pt>
                <c:pt idx="29">
                  <c:v>0</c:v>
                </c:pt>
                <c:pt idx="30">
                  <c:v>0</c:v>
                </c:pt>
                <c:pt idx="31">
                  <c:v>0</c:v>
                </c:pt>
                <c:pt idx="32">
                  <c:v>0</c:v>
                </c:pt>
                <c:pt idx="33">
                  <c:v>0</c:v>
                </c:pt>
                <c:pt idx="34">
                  <c:v>0</c:v>
                </c:pt>
                <c:pt idx="35">
                  <c:v>0</c:v>
                </c:pt>
                <c:pt idx="36">
                  <c:v>9.4038678806406591E-3</c:v>
                </c:pt>
                <c:pt idx="37">
                  <c:v>0</c:v>
                </c:pt>
                <c:pt idx="38">
                  <c:v>0</c:v>
                </c:pt>
                <c:pt idx="39">
                  <c:v>0</c:v>
                </c:pt>
                <c:pt idx="40">
                  <c:v>0</c:v>
                </c:pt>
              </c:numCache>
            </c:numRef>
          </c:val>
          <c:extLst>
            <c:ext xmlns:c16="http://schemas.microsoft.com/office/drawing/2014/chart" uri="{C3380CC4-5D6E-409C-BE32-E72D297353CC}">
              <c16:uniqueId val="{00000000-B7D5-41AA-83CC-9F02B8636453}"/>
            </c:ext>
          </c:extLst>
        </c:ser>
        <c:ser>
          <c:idx val="1"/>
          <c:order val="1"/>
          <c:tx>
            <c:strRef>
              <c:f>'Fig 7. With Refugee Support, €'!$D$11</c:f>
              <c:strCache>
                <c:ptCount val="1"/>
                <c:pt idx="0">
                  <c:v>Humanitarian</c:v>
                </c:pt>
              </c:strCache>
            </c:strRef>
          </c:tx>
          <c:spPr>
            <a:solidFill>
              <a:srgbClr val="92D050"/>
            </a:solidFill>
            <a:ln>
              <a:solidFill>
                <a:srgbClr val="000000"/>
              </a:solidFill>
              <a:prstDash val="solid"/>
            </a:ln>
            <a:effectLst/>
          </c:spPr>
          <c:invertIfNegative val="0"/>
          <c:cat>
            <c:strRef>
              <c:f>'Fig 7. With Refugee Support, €'!$B$12:$B$52</c:f>
              <c:strCache>
                <c:ptCount val="41"/>
                <c:pt idx="0">
                  <c:v>United States</c:v>
                </c:pt>
                <c:pt idx="1">
                  <c:v>Germany</c:v>
                </c:pt>
                <c:pt idx="2">
                  <c:v>Poland</c:v>
                </c:pt>
                <c:pt idx="3">
                  <c:v>United Kingdom</c:v>
                </c:pt>
                <c:pt idx="4">
                  <c:v>Japan</c:v>
                </c:pt>
                <c:pt idx="5">
                  <c:v>Canada</c:v>
                </c:pt>
                <c:pt idx="6">
                  <c:v>Netherlands</c:v>
                </c:pt>
                <c:pt idx="7">
                  <c:v>Czech Republic</c:v>
                </c:pt>
                <c:pt idx="8">
                  <c:v>France</c:v>
                </c:pt>
                <c:pt idx="9">
                  <c:v>Spain</c:v>
                </c:pt>
                <c:pt idx="10">
                  <c:v>Italy</c:v>
                </c:pt>
                <c:pt idx="11">
                  <c:v>Norway</c:v>
                </c:pt>
                <c:pt idx="12">
                  <c:v>Sweden</c:v>
                </c:pt>
                <c:pt idx="13">
                  <c:v>Denmark</c:v>
                </c:pt>
                <c:pt idx="14">
                  <c:v>Austria</c:v>
                </c:pt>
                <c:pt idx="15">
                  <c:v>Switzerland</c:v>
                </c:pt>
                <c:pt idx="16">
                  <c:v>Slovakia</c:v>
                </c:pt>
                <c:pt idx="17">
                  <c:v>Romania</c:v>
                </c:pt>
                <c:pt idx="18">
                  <c:v>Belgium</c:v>
                </c:pt>
                <c:pt idx="19">
                  <c:v>Finland</c:v>
                </c:pt>
                <c:pt idx="20">
                  <c:v>Turkey</c:v>
                </c:pt>
                <c:pt idx="21">
                  <c:v>Bulgaria</c:v>
                </c:pt>
                <c:pt idx="22">
                  <c:v>Lithuania</c:v>
                </c:pt>
                <c:pt idx="23">
                  <c:v>Ireland</c:v>
                </c:pt>
                <c:pt idx="24">
                  <c:v>Hungary</c:v>
                </c:pt>
                <c:pt idx="25">
                  <c:v>Estonia</c:v>
                </c:pt>
                <c:pt idx="26">
                  <c:v>Latvia</c:v>
                </c:pt>
                <c:pt idx="27">
                  <c:v>Portugal</c:v>
                </c:pt>
                <c:pt idx="28">
                  <c:v>South Korea</c:v>
                </c:pt>
                <c:pt idx="29">
                  <c:v>Australia</c:v>
                </c:pt>
                <c:pt idx="30">
                  <c:v>Greece</c:v>
                </c:pt>
                <c:pt idx="31">
                  <c:v>Croatia</c:v>
                </c:pt>
                <c:pt idx="32">
                  <c:v>Luxembourg</c:v>
                </c:pt>
                <c:pt idx="33">
                  <c:v>Slovenia</c:v>
                </c:pt>
                <c:pt idx="34">
                  <c:v>Cyprus</c:v>
                </c:pt>
                <c:pt idx="35">
                  <c:v>Taiwan</c:v>
                </c:pt>
                <c:pt idx="36">
                  <c:v>Iceland</c:v>
                </c:pt>
                <c:pt idx="37">
                  <c:v>Malta</c:v>
                </c:pt>
                <c:pt idx="38">
                  <c:v>New Zealand</c:v>
                </c:pt>
                <c:pt idx="39">
                  <c:v>China</c:v>
                </c:pt>
                <c:pt idx="40">
                  <c:v>India</c:v>
                </c:pt>
              </c:strCache>
            </c:strRef>
          </c:cat>
          <c:val>
            <c:numRef>
              <c:f>'Fig 7. With Refugee Support, €'!$D$12:$D$52</c:f>
              <c:numCache>
                <c:formatCode>0.00</c:formatCode>
                <c:ptCount val="41"/>
                <c:pt idx="0">
                  <c:v>3.5981956128082446</c:v>
                </c:pt>
                <c:pt idx="1">
                  <c:v>1.8791060500000001</c:v>
                </c:pt>
                <c:pt idx="2">
                  <c:v>0.33987242236276521</c:v>
                </c:pt>
                <c:pt idx="3">
                  <c:v>0.26985659464374639</c:v>
                </c:pt>
                <c:pt idx="4">
                  <c:v>1.0007732517482517</c:v>
                </c:pt>
                <c:pt idx="5">
                  <c:v>0.3511268468713829</c:v>
                </c:pt>
                <c:pt idx="6">
                  <c:v>0.58681891792418106</c:v>
                </c:pt>
                <c:pt idx="7">
                  <c:v>0.37011219482272112</c:v>
                </c:pt>
                <c:pt idx="8">
                  <c:v>0.3162660251048951</c:v>
                </c:pt>
                <c:pt idx="9">
                  <c:v>5.2958190509385356E-2</c:v>
                </c:pt>
                <c:pt idx="10">
                  <c:v>0.2213535931174089</c:v>
                </c:pt>
                <c:pt idx="11">
                  <c:v>0.1888046003579647</c:v>
                </c:pt>
                <c:pt idx="12">
                  <c:v>0.14222605672350075</c:v>
                </c:pt>
                <c:pt idx="13">
                  <c:v>0.26024304222326644</c:v>
                </c:pt>
                <c:pt idx="14">
                  <c:v>0.82266856780677222</c:v>
                </c:pt>
                <c:pt idx="15">
                  <c:v>0.35155368680135374</c:v>
                </c:pt>
                <c:pt idx="16">
                  <c:v>8.9999999999999993E-3</c:v>
                </c:pt>
                <c:pt idx="17">
                  <c:v>0.12215739044124546</c:v>
                </c:pt>
                <c:pt idx="18">
                  <c:v>8.9630000000000001E-2</c:v>
                </c:pt>
                <c:pt idx="19">
                  <c:v>2.3E-2</c:v>
                </c:pt>
                <c:pt idx="20">
                  <c:v>4.6114114832535892E-3</c:v>
                </c:pt>
                <c:pt idx="21">
                  <c:v>7.0600000000000003E-4</c:v>
                </c:pt>
                <c:pt idx="22">
                  <c:v>6.0999999999999999E-2</c:v>
                </c:pt>
                <c:pt idx="23">
                  <c:v>6.1557853882959139E-2</c:v>
                </c:pt>
                <c:pt idx="24">
                  <c:v>4.7109803475361152E-2</c:v>
                </c:pt>
                <c:pt idx="25">
                  <c:v>1.01E-2</c:v>
                </c:pt>
                <c:pt idx="26">
                  <c:v>5.158735482E-3</c:v>
                </c:pt>
                <c:pt idx="27">
                  <c:v>1.7054655870445343E-3</c:v>
                </c:pt>
                <c:pt idx="28">
                  <c:v>0.21163047478836949</c:v>
                </c:pt>
                <c:pt idx="29">
                  <c:v>6.5214731432766418E-2</c:v>
                </c:pt>
                <c:pt idx="30">
                  <c:v>0</c:v>
                </c:pt>
                <c:pt idx="31">
                  <c:v>3.7212078660477453E-2</c:v>
                </c:pt>
                <c:pt idx="32">
                  <c:v>4.032E-3</c:v>
                </c:pt>
                <c:pt idx="33">
                  <c:v>4.7347009996319472E-3</c:v>
                </c:pt>
                <c:pt idx="34">
                  <c:v>3.0000000000000001E-3</c:v>
                </c:pt>
                <c:pt idx="35">
                  <c:v>6.3029076186970928E-2</c:v>
                </c:pt>
                <c:pt idx="36">
                  <c:v>1.1032099421811657E-2</c:v>
                </c:pt>
                <c:pt idx="37">
                  <c:v>2.0699999999999998E-3</c:v>
                </c:pt>
                <c:pt idx="38">
                  <c:v>6.0065213660545728E-3</c:v>
                </c:pt>
                <c:pt idx="39">
                  <c:v>2.1750355506399113E-3</c:v>
                </c:pt>
                <c:pt idx="40">
                  <c:v>1.7917280088332722E-3</c:v>
                </c:pt>
              </c:numCache>
            </c:numRef>
          </c:val>
          <c:extLst>
            <c:ext xmlns:c16="http://schemas.microsoft.com/office/drawing/2014/chart" uri="{C3380CC4-5D6E-409C-BE32-E72D297353CC}">
              <c16:uniqueId val="{00000001-B7D5-41AA-83CC-9F02B8636453}"/>
            </c:ext>
          </c:extLst>
        </c:ser>
        <c:ser>
          <c:idx val="2"/>
          <c:order val="2"/>
          <c:tx>
            <c:strRef>
              <c:f>'Fig 7. With Refugee Support, €'!$E$11</c:f>
              <c:strCache>
                <c:ptCount val="1"/>
                <c:pt idx="0">
                  <c:v>Military</c:v>
                </c:pt>
              </c:strCache>
            </c:strRef>
          </c:tx>
          <c:spPr>
            <a:solidFill>
              <a:srgbClr val="C00000"/>
            </a:solidFill>
            <a:ln>
              <a:solidFill>
                <a:srgbClr val="000000"/>
              </a:solidFill>
              <a:prstDash val="solid"/>
            </a:ln>
            <a:effectLst/>
          </c:spPr>
          <c:invertIfNegative val="0"/>
          <c:cat>
            <c:strRef>
              <c:f>'Fig 7. With Refugee Support, €'!$B$12:$B$52</c:f>
              <c:strCache>
                <c:ptCount val="41"/>
                <c:pt idx="0">
                  <c:v>United States</c:v>
                </c:pt>
                <c:pt idx="1">
                  <c:v>Germany</c:v>
                </c:pt>
                <c:pt idx="2">
                  <c:v>Poland</c:v>
                </c:pt>
                <c:pt idx="3">
                  <c:v>United Kingdom</c:v>
                </c:pt>
                <c:pt idx="4">
                  <c:v>Japan</c:v>
                </c:pt>
                <c:pt idx="5">
                  <c:v>Canada</c:v>
                </c:pt>
                <c:pt idx="6">
                  <c:v>Netherlands</c:v>
                </c:pt>
                <c:pt idx="7">
                  <c:v>Czech Republic</c:v>
                </c:pt>
                <c:pt idx="8">
                  <c:v>France</c:v>
                </c:pt>
                <c:pt idx="9">
                  <c:v>Spain</c:v>
                </c:pt>
                <c:pt idx="10">
                  <c:v>Italy</c:v>
                </c:pt>
                <c:pt idx="11">
                  <c:v>Norway</c:v>
                </c:pt>
                <c:pt idx="12">
                  <c:v>Sweden</c:v>
                </c:pt>
                <c:pt idx="13">
                  <c:v>Denmark</c:v>
                </c:pt>
                <c:pt idx="14">
                  <c:v>Austria</c:v>
                </c:pt>
                <c:pt idx="15">
                  <c:v>Switzerland</c:v>
                </c:pt>
                <c:pt idx="16">
                  <c:v>Slovakia</c:v>
                </c:pt>
                <c:pt idx="17">
                  <c:v>Romania</c:v>
                </c:pt>
                <c:pt idx="18">
                  <c:v>Belgium</c:v>
                </c:pt>
                <c:pt idx="19">
                  <c:v>Finland</c:v>
                </c:pt>
                <c:pt idx="20">
                  <c:v>Turkey</c:v>
                </c:pt>
                <c:pt idx="21">
                  <c:v>Bulgaria</c:v>
                </c:pt>
                <c:pt idx="22">
                  <c:v>Lithuania</c:v>
                </c:pt>
                <c:pt idx="23">
                  <c:v>Ireland</c:v>
                </c:pt>
                <c:pt idx="24">
                  <c:v>Hungary</c:v>
                </c:pt>
                <c:pt idx="25">
                  <c:v>Estonia</c:v>
                </c:pt>
                <c:pt idx="26">
                  <c:v>Latvia</c:v>
                </c:pt>
                <c:pt idx="27">
                  <c:v>Portugal</c:v>
                </c:pt>
                <c:pt idx="28">
                  <c:v>South Korea</c:v>
                </c:pt>
                <c:pt idx="29">
                  <c:v>Australia</c:v>
                </c:pt>
                <c:pt idx="30">
                  <c:v>Greece</c:v>
                </c:pt>
                <c:pt idx="31">
                  <c:v>Croatia</c:v>
                </c:pt>
                <c:pt idx="32">
                  <c:v>Luxembourg</c:v>
                </c:pt>
                <c:pt idx="33">
                  <c:v>Slovenia</c:v>
                </c:pt>
                <c:pt idx="34">
                  <c:v>Cyprus</c:v>
                </c:pt>
                <c:pt idx="35">
                  <c:v>Taiwan</c:v>
                </c:pt>
                <c:pt idx="36">
                  <c:v>Iceland</c:v>
                </c:pt>
                <c:pt idx="37">
                  <c:v>Malta</c:v>
                </c:pt>
                <c:pt idx="38">
                  <c:v>New Zealand</c:v>
                </c:pt>
                <c:pt idx="39">
                  <c:v>China</c:v>
                </c:pt>
                <c:pt idx="40">
                  <c:v>India</c:v>
                </c:pt>
              </c:strCache>
            </c:strRef>
          </c:cat>
          <c:val>
            <c:numRef>
              <c:f>'Fig 7. With Refugee Support, €'!$E$12:$E$52</c:f>
              <c:numCache>
                <c:formatCode>0.00</c:formatCode>
                <c:ptCount val="41"/>
                <c:pt idx="0">
                  <c:v>42.836768494663232</c:v>
                </c:pt>
                <c:pt idx="1">
                  <c:v>7.5023</c:v>
                </c:pt>
                <c:pt idx="2">
                  <c:v>3</c:v>
                </c:pt>
                <c:pt idx="3">
                  <c:v>6.5786757252947297</c:v>
                </c:pt>
                <c:pt idx="4">
                  <c:v>2.9860139860139859E-2</c:v>
                </c:pt>
                <c:pt idx="5">
                  <c:v>1.4998221822208855</c:v>
                </c:pt>
                <c:pt idx="6">
                  <c:v>2.4834999999999998</c:v>
                </c:pt>
                <c:pt idx="7">
                  <c:v>0.56546297988460215</c:v>
                </c:pt>
                <c:pt idx="8">
                  <c:v>0.44573671433132461</c:v>
                </c:pt>
                <c:pt idx="9">
                  <c:v>0.3283765566618333</c:v>
                </c:pt>
                <c:pt idx="10">
                  <c:v>0.71296199986253783</c:v>
                </c:pt>
                <c:pt idx="11">
                  <c:v>1.0133810619619874</c:v>
                </c:pt>
                <c:pt idx="12">
                  <c:v>1.4866003500532117</c:v>
                </c:pt>
                <c:pt idx="13">
                  <c:v>1.5690784453245619</c:v>
                </c:pt>
                <c:pt idx="14">
                  <c:v>3.3008594497607653E-3</c:v>
                </c:pt>
                <c:pt idx="15">
                  <c:v>0</c:v>
                </c:pt>
                <c:pt idx="16">
                  <c:v>0.66799999980934854</c:v>
                </c:pt>
                <c:pt idx="17">
                  <c:v>3.7637099742362898E-3</c:v>
                </c:pt>
                <c:pt idx="18">
                  <c:v>0.38505152839999995</c:v>
                </c:pt>
                <c:pt idx="19">
                  <c:v>1.1147</c:v>
                </c:pt>
                <c:pt idx="20">
                  <c:v>6.1735369893264627E-2</c:v>
                </c:pt>
                <c:pt idx="21">
                  <c:v>0.23928827078433376</c:v>
                </c:pt>
                <c:pt idx="22">
                  <c:v>0.49099999999999999</c:v>
                </c:pt>
                <c:pt idx="23">
                  <c:v>3.8500000000000001E-3</c:v>
                </c:pt>
                <c:pt idx="24">
                  <c:v>0</c:v>
                </c:pt>
                <c:pt idx="25">
                  <c:v>0.42129430000000001</c:v>
                </c:pt>
                <c:pt idx="26">
                  <c:v>0.37</c:v>
                </c:pt>
                <c:pt idx="27">
                  <c:v>7.5487033291490521E-2</c:v>
                </c:pt>
                <c:pt idx="28">
                  <c:v>3.2940743467059263E-3</c:v>
                </c:pt>
                <c:pt idx="29">
                  <c:v>0.35868102288021536</c:v>
                </c:pt>
                <c:pt idx="30">
                  <c:v>0.18684970463746781</c:v>
                </c:pt>
                <c:pt idx="31">
                  <c:v>0.15278792179361764</c:v>
                </c:pt>
                <c:pt idx="32">
                  <c:v>9.1600000000000001E-2</c:v>
                </c:pt>
                <c:pt idx="33">
                  <c:v>5.6390898987854259E-2</c:v>
                </c:pt>
                <c:pt idx="34">
                  <c:v>0</c:v>
                </c:pt>
                <c:pt idx="35">
                  <c:v>0</c:v>
                </c:pt>
                <c:pt idx="36">
                  <c:v>9.1497376714291794E-3</c:v>
                </c:pt>
                <c:pt idx="37">
                  <c:v>0</c:v>
                </c:pt>
                <c:pt idx="38">
                  <c:v>1.9192265888679141E-2</c:v>
                </c:pt>
                <c:pt idx="39">
                  <c:v>0</c:v>
                </c:pt>
                <c:pt idx="40">
                  <c:v>0</c:v>
                </c:pt>
              </c:numCache>
            </c:numRef>
          </c:val>
          <c:extLst>
            <c:ext xmlns:c16="http://schemas.microsoft.com/office/drawing/2014/chart" uri="{C3380CC4-5D6E-409C-BE32-E72D297353CC}">
              <c16:uniqueId val="{00000002-B7D5-41AA-83CC-9F02B8636453}"/>
            </c:ext>
          </c:extLst>
        </c:ser>
        <c:ser>
          <c:idx val="5"/>
          <c:order val="4"/>
          <c:tx>
            <c:strRef>
              <c:f>'Fig 7. With Refugee Support, €'!$F$11</c:f>
              <c:strCache>
                <c:ptCount val="1"/>
                <c:pt idx="0">
                  <c:v>Refugee cost estimation</c:v>
                </c:pt>
              </c:strCache>
            </c:strRef>
          </c:tx>
          <c:spPr>
            <a:solidFill>
              <a:schemeClr val="accent4"/>
            </a:solidFill>
            <a:ln>
              <a:solidFill>
                <a:schemeClr val="tx1"/>
              </a:solidFill>
            </a:ln>
            <a:effectLst/>
          </c:spPr>
          <c:invertIfNegative val="0"/>
          <c:cat>
            <c:strRef>
              <c:f>'Fig 7. With Refugee Support, €'!$B$12:$B$52</c:f>
              <c:strCache>
                <c:ptCount val="41"/>
                <c:pt idx="0">
                  <c:v>United States</c:v>
                </c:pt>
                <c:pt idx="1">
                  <c:v>Germany</c:v>
                </c:pt>
                <c:pt idx="2">
                  <c:v>Poland</c:v>
                </c:pt>
                <c:pt idx="3">
                  <c:v>United Kingdom</c:v>
                </c:pt>
                <c:pt idx="4">
                  <c:v>Japan</c:v>
                </c:pt>
                <c:pt idx="5">
                  <c:v>Canada</c:v>
                </c:pt>
                <c:pt idx="6">
                  <c:v>Netherlands</c:v>
                </c:pt>
                <c:pt idx="7">
                  <c:v>Czech Republic</c:v>
                </c:pt>
                <c:pt idx="8">
                  <c:v>France</c:v>
                </c:pt>
                <c:pt idx="9">
                  <c:v>Spain</c:v>
                </c:pt>
                <c:pt idx="10">
                  <c:v>Italy</c:v>
                </c:pt>
                <c:pt idx="11">
                  <c:v>Norway</c:v>
                </c:pt>
                <c:pt idx="12">
                  <c:v>Sweden</c:v>
                </c:pt>
                <c:pt idx="13">
                  <c:v>Denmark</c:v>
                </c:pt>
                <c:pt idx="14">
                  <c:v>Austria</c:v>
                </c:pt>
                <c:pt idx="15">
                  <c:v>Switzerland</c:v>
                </c:pt>
                <c:pt idx="16">
                  <c:v>Slovakia</c:v>
                </c:pt>
                <c:pt idx="17">
                  <c:v>Romania</c:v>
                </c:pt>
                <c:pt idx="18">
                  <c:v>Belgium</c:v>
                </c:pt>
                <c:pt idx="19">
                  <c:v>Finland</c:v>
                </c:pt>
                <c:pt idx="20">
                  <c:v>Turkey</c:v>
                </c:pt>
                <c:pt idx="21">
                  <c:v>Bulgaria</c:v>
                </c:pt>
                <c:pt idx="22">
                  <c:v>Lithuania</c:v>
                </c:pt>
                <c:pt idx="23">
                  <c:v>Ireland</c:v>
                </c:pt>
                <c:pt idx="24">
                  <c:v>Hungary</c:v>
                </c:pt>
                <c:pt idx="25">
                  <c:v>Estonia</c:v>
                </c:pt>
                <c:pt idx="26">
                  <c:v>Latvia</c:v>
                </c:pt>
                <c:pt idx="27">
                  <c:v>Portugal</c:v>
                </c:pt>
                <c:pt idx="28">
                  <c:v>South Korea</c:v>
                </c:pt>
                <c:pt idx="29">
                  <c:v>Australia</c:v>
                </c:pt>
                <c:pt idx="30">
                  <c:v>Greece</c:v>
                </c:pt>
                <c:pt idx="31">
                  <c:v>Croatia</c:v>
                </c:pt>
                <c:pt idx="32">
                  <c:v>Luxembourg</c:v>
                </c:pt>
                <c:pt idx="33">
                  <c:v>Slovenia</c:v>
                </c:pt>
                <c:pt idx="34">
                  <c:v>Cyprus</c:v>
                </c:pt>
                <c:pt idx="35">
                  <c:v>Taiwan</c:v>
                </c:pt>
                <c:pt idx="36">
                  <c:v>Iceland</c:v>
                </c:pt>
                <c:pt idx="37">
                  <c:v>Malta</c:v>
                </c:pt>
                <c:pt idx="38">
                  <c:v>New Zealand</c:v>
                </c:pt>
                <c:pt idx="39">
                  <c:v>China</c:v>
                </c:pt>
                <c:pt idx="40">
                  <c:v>India</c:v>
                </c:pt>
              </c:strCache>
            </c:strRef>
          </c:cat>
          <c:val>
            <c:numRef>
              <c:f>'Fig 7. With Refugee Support, €'!$F$12:$F$52</c:f>
              <c:numCache>
                <c:formatCode>0.00</c:formatCode>
                <c:ptCount val="41"/>
                <c:pt idx="0">
                  <c:v>0</c:v>
                </c:pt>
                <c:pt idx="1">
                  <c:v>13.899756883309282</c:v>
                </c:pt>
                <c:pt idx="2">
                  <c:v>15.423050158100741</c:v>
                </c:pt>
                <c:pt idx="3">
                  <c:v>1.0385338054812834</c:v>
                </c:pt>
                <c:pt idx="4">
                  <c:v>0</c:v>
                </c:pt>
                <c:pt idx="5">
                  <c:v>0</c:v>
                </c:pt>
                <c:pt idx="6">
                  <c:v>1.0268097504310736</c:v>
                </c:pt>
                <c:pt idx="7">
                  <c:v>3.8457418680440227</c:v>
                </c:pt>
                <c:pt idx="8">
                  <c:v>3.0290440854503466</c:v>
                </c:pt>
                <c:pt idx="9">
                  <c:v>2.9712913916832537</c:v>
                </c:pt>
                <c:pt idx="10">
                  <c:v>1.5020308887716507</c:v>
                </c:pt>
                <c:pt idx="11">
                  <c:v>0.72874948688342878</c:v>
                </c:pt>
                <c:pt idx="12">
                  <c:v>0.58089694393973157</c:v>
                </c:pt>
                <c:pt idx="13">
                  <c:v>0.48983726095354646</c:v>
                </c:pt>
                <c:pt idx="14">
                  <c:v>1.1540411741616718</c:v>
                </c:pt>
                <c:pt idx="15">
                  <c:v>1.4953931580888626</c:v>
                </c:pt>
                <c:pt idx="16">
                  <c:v>1.1691218057869828</c:v>
                </c:pt>
                <c:pt idx="17">
                  <c:v>1.6102589153649423</c:v>
                </c:pt>
                <c:pt idx="18">
                  <c:v>1.1912503658050217</c:v>
                </c:pt>
                <c:pt idx="19">
                  <c:v>0.36984372161627144</c:v>
                </c:pt>
                <c:pt idx="20">
                  <c:v>1.3178182601321753</c:v>
                </c:pt>
                <c:pt idx="21">
                  <c:v>1.0629093328347565</c:v>
                </c:pt>
                <c:pt idx="22">
                  <c:v>0.43298596097330055</c:v>
                </c:pt>
                <c:pt idx="23">
                  <c:v>0.85015138444653515</c:v>
                </c:pt>
                <c:pt idx="24">
                  <c:v>0.84245265988488527</c:v>
                </c:pt>
                <c:pt idx="25">
                  <c:v>0.37902305407032982</c:v>
                </c:pt>
                <c:pt idx="26">
                  <c:v>0.36258026883010902</c:v>
                </c:pt>
                <c:pt idx="27">
                  <c:v>0.34800390839191114</c:v>
                </c:pt>
                <c:pt idx="28">
                  <c:v>0</c:v>
                </c:pt>
                <c:pt idx="29">
                  <c:v>0</c:v>
                </c:pt>
                <c:pt idx="30">
                  <c:v>0.18895663988249528</c:v>
                </c:pt>
                <c:pt idx="31">
                  <c:v>0.18119740711462451</c:v>
                </c:pt>
                <c:pt idx="32">
                  <c:v>0.10830480377906976</c:v>
                </c:pt>
                <c:pt idx="33">
                  <c:v>8.5382230761535671E-2</c:v>
                </c:pt>
                <c:pt idx="34">
                  <c:v>0.10592762878522398</c:v>
                </c:pt>
                <c:pt idx="35">
                  <c:v>0</c:v>
                </c:pt>
                <c:pt idx="36">
                  <c:v>2.5705819746376812E-2</c:v>
                </c:pt>
                <c:pt idx="37">
                  <c:v>3.0695856228337804E-2</c:v>
                </c:pt>
                <c:pt idx="38">
                  <c:v>0</c:v>
                </c:pt>
                <c:pt idx="39">
                  <c:v>0</c:v>
                </c:pt>
                <c:pt idx="40">
                  <c:v>0</c:v>
                </c:pt>
              </c:numCache>
            </c:numRef>
          </c:val>
          <c:extLst>
            <c:ext xmlns:c16="http://schemas.microsoft.com/office/drawing/2014/chart" uri="{C3380CC4-5D6E-409C-BE32-E72D297353CC}">
              <c16:uniqueId val="{00000001-1CF5-45F5-91AA-1830476D8225}"/>
            </c:ext>
          </c:extLst>
        </c:ser>
        <c:dLbls>
          <c:showLegendKey val="0"/>
          <c:showVal val="0"/>
          <c:showCatName val="0"/>
          <c:showSerName val="0"/>
          <c:showPercent val="0"/>
          <c:showBubbleSize val="0"/>
        </c:dLbls>
        <c:gapWidth val="70"/>
        <c:overlap val="100"/>
        <c:axId val="450490767"/>
        <c:axId val="450486607"/>
        <c:extLst>
          <c:ext xmlns:c15="http://schemas.microsoft.com/office/drawing/2012/chart" uri="{02D57815-91ED-43cb-92C2-25804820EDAC}">
            <c15:filteredBarSeries>
              <c15:ser>
                <c:idx val="4"/>
                <c:order val="3"/>
                <c:tx>
                  <c:strRef>
                    <c:extLst>
                      <c:ext uri="{02D57815-91ED-43cb-92C2-25804820EDAC}">
                        <c15:formulaRef>
                          <c15:sqref>'[2]Figure 7'!#REF!</c15:sqref>
                        </c15:formulaRef>
                      </c:ext>
                    </c:extLst>
                    <c:strCache>
                      <c:ptCount val="1"/>
                      <c:pt idx="0">
                        <c:v>#BEZUG!</c:v>
                      </c:pt>
                    </c:strCache>
                  </c:strRef>
                </c:tx>
                <c:spPr>
                  <a:solidFill>
                    <a:schemeClr val="accent4">
                      <a:lumMod val="60000"/>
                    </a:schemeClr>
                  </a:solidFill>
                  <a:ln>
                    <a:noFill/>
                  </a:ln>
                  <a:effectLst/>
                </c:spPr>
                <c:invertIfNegative val="0"/>
                <c:cat>
                  <c:strRef>
                    <c:extLst>
                      <c:ext uri="{02D57815-91ED-43cb-92C2-25804820EDAC}">
                        <c15:formulaRef>
                          <c15:sqref>'Fig 7. With Refugee Support, €'!$B$12:$B$52</c15:sqref>
                        </c15:formulaRef>
                      </c:ext>
                    </c:extLst>
                    <c:strCache>
                      <c:ptCount val="41"/>
                      <c:pt idx="0">
                        <c:v>United States</c:v>
                      </c:pt>
                      <c:pt idx="1">
                        <c:v>Germany</c:v>
                      </c:pt>
                      <c:pt idx="2">
                        <c:v>Poland</c:v>
                      </c:pt>
                      <c:pt idx="3">
                        <c:v>United Kingdom</c:v>
                      </c:pt>
                      <c:pt idx="4">
                        <c:v>Japan</c:v>
                      </c:pt>
                      <c:pt idx="5">
                        <c:v>Canada</c:v>
                      </c:pt>
                      <c:pt idx="6">
                        <c:v>Netherlands</c:v>
                      </c:pt>
                      <c:pt idx="7">
                        <c:v>Czech Republic</c:v>
                      </c:pt>
                      <c:pt idx="8">
                        <c:v>France</c:v>
                      </c:pt>
                      <c:pt idx="9">
                        <c:v>Spain</c:v>
                      </c:pt>
                      <c:pt idx="10">
                        <c:v>Italy</c:v>
                      </c:pt>
                      <c:pt idx="11">
                        <c:v>Norway</c:v>
                      </c:pt>
                      <c:pt idx="12">
                        <c:v>Sweden</c:v>
                      </c:pt>
                      <c:pt idx="13">
                        <c:v>Denmark</c:v>
                      </c:pt>
                      <c:pt idx="14">
                        <c:v>Austria</c:v>
                      </c:pt>
                      <c:pt idx="15">
                        <c:v>Switzerland</c:v>
                      </c:pt>
                      <c:pt idx="16">
                        <c:v>Slovakia</c:v>
                      </c:pt>
                      <c:pt idx="17">
                        <c:v>Romania</c:v>
                      </c:pt>
                      <c:pt idx="18">
                        <c:v>Belgium</c:v>
                      </c:pt>
                      <c:pt idx="19">
                        <c:v>Finland</c:v>
                      </c:pt>
                      <c:pt idx="20">
                        <c:v>Turkey</c:v>
                      </c:pt>
                      <c:pt idx="21">
                        <c:v>Bulgaria</c:v>
                      </c:pt>
                      <c:pt idx="22">
                        <c:v>Lithuania</c:v>
                      </c:pt>
                      <c:pt idx="23">
                        <c:v>Ireland</c:v>
                      </c:pt>
                      <c:pt idx="24">
                        <c:v>Hungary</c:v>
                      </c:pt>
                      <c:pt idx="25">
                        <c:v>Estonia</c:v>
                      </c:pt>
                      <c:pt idx="26">
                        <c:v>Latvia</c:v>
                      </c:pt>
                      <c:pt idx="27">
                        <c:v>Portugal</c:v>
                      </c:pt>
                      <c:pt idx="28">
                        <c:v>South Korea</c:v>
                      </c:pt>
                      <c:pt idx="29">
                        <c:v>Australia</c:v>
                      </c:pt>
                      <c:pt idx="30">
                        <c:v>Greece</c:v>
                      </c:pt>
                      <c:pt idx="31">
                        <c:v>Croatia</c:v>
                      </c:pt>
                      <c:pt idx="32">
                        <c:v>Luxembourg</c:v>
                      </c:pt>
                      <c:pt idx="33">
                        <c:v>Slovenia</c:v>
                      </c:pt>
                      <c:pt idx="34">
                        <c:v>Cyprus</c:v>
                      </c:pt>
                      <c:pt idx="35">
                        <c:v>Taiwan</c:v>
                      </c:pt>
                      <c:pt idx="36">
                        <c:v>Iceland</c:v>
                      </c:pt>
                      <c:pt idx="37">
                        <c:v>Malta</c:v>
                      </c:pt>
                      <c:pt idx="38">
                        <c:v>New Zealand</c:v>
                      </c:pt>
                      <c:pt idx="39">
                        <c:v>China</c:v>
                      </c:pt>
                      <c:pt idx="40">
                        <c:v>India</c:v>
                      </c:pt>
                    </c:strCache>
                  </c:strRef>
                </c:cat>
                <c:val>
                  <c:numRef>
                    <c:extLst>
                      <c:ext uri="{02D57815-91ED-43cb-92C2-25804820EDAC}">
                        <c15:formulaRef>
                          <c15:sqref>'[2]Figure 7'!#REF!</c15:sqref>
                        </c15:formulaRef>
                      </c:ext>
                    </c:extLst>
                    <c:numCache>
                      <c:formatCode>#,##0</c:formatCode>
                      <c:ptCount val="1"/>
                      <c:pt idx="0">
                        <c:v>1</c:v>
                      </c:pt>
                    </c:numCache>
                  </c:numRef>
                </c:val>
                <c:extLst>
                  <c:ext xmlns:c16="http://schemas.microsoft.com/office/drawing/2014/chart" uri="{C3380CC4-5D6E-409C-BE32-E72D297353CC}">
                    <c16:uniqueId val="{00000000-1CF5-45F5-91AA-1830476D8225}"/>
                  </c:ext>
                </c:extLst>
              </c15:ser>
            </c15:filteredBarSeries>
          </c:ext>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5"/>
      </c:valAx>
      <c:spPr>
        <a:noFill/>
        <a:ln>
          <a:noFill/>
        </a:ln>
        <a:effectLst/>
      </c:spPr>
    </c:plotArea>
    <c:legend>
      <c:legendPos val="r"/>
      <c:layout>
        <c:manualLayout>
          <c:xMode val="edge"/>
          <c:yMode val="edge"/>
          <c:x val="0.41237346555092713"/>
          <c:y val="0.16177002697889301"/>
          <c:w val="0.3432256481481481"/>
          <c:h val="0.27076249064319713"/>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4611361960587999"/>
          <c:y val="1.9085050156401683E-2"/>
          <c:w val="0.83093765643841966"/>
          <c:h val="0.93378313648293965"/>
        </c:manualLayout>
      </c:layout>
      <c:barChart>
        <c:barDir val="bar"/>
        <c:grouping val="stacked"/>
        <c:varyColors val="0"/>
        <c:ser>
          <c:idx val="0"/>
          <c:order val="0"/>
          <c:tx>
            <c:strRef>
              <c:f>'Fig 8. With Refugee Support, %'!$C$11</c:f>
              <c:strCache>
                <c:ptCount val="1"/>
                <c:pt idx="0">
                  <c:v>Total bilateral commitments</c:v>
                </c:pt>
              </c:strCache>
            </c:strRef>
          </c:tx>
          <c:spPr>
            <a:solidFill>
              <a:schemeClr val="accent5">
                <a:lumMod val="75000"/>
              </a:schemeClr>
            </a:solidFill>
            <a:ln>
              <a:solidFill>
                <a:srgbClr val="000000"/>
              </a:solidFill>
              <a:prstDash val="solid"/>
            </a:ln>
            <a:effectLst/>
          </c:spPr>
          <c:invertIfNegative val="0"/>
          <c:cat>
            <c:strRef>
              <c:f>'Fig 8. With Refugee Support, %'!$B$12:$B$52</c:f>
              <c:strCache>
                <c:ptCount val="41"/>
                <c:pt idx="0">
                  <c:v>Poland</c:v>
                </c:pt>
                <c:pt idx="1">
                  <c:v>Estonia</c:v>
                </c:pt>
                <c:pt idx="2">
                  <c:v>Latvia</c:v>
                </c:pt>
                <c:pt idx="3">
                  <c:v>Czech Republic</c:v>
                </c:pt>
                <c:pt idx="4">
                  <c:v>Slovakia</c:v>
                </c:pt>
                <c:pt idx="5">
                  <c:v>Bulgaria</c:v>
                </c:pt>
                <c:pt idx="6">
                  <c:v>Lithuania</c:v>
                </c:pt>
                <c:pt idx="7">
                  <c:v>Romania</c:v>
                </c:pt>
                <c:pt idx="8">
                  <c:v>Denmark</c:v>
                </c:pt>
                <c:pt idx="9">
                  <c:v>Norway</c:v>
                </c:pt>
                <c:pt idx="10">
                  <c:v>Germany</c:v>
                </c:pt>
                <c:pt idx="11">
                  <c:v>Croatia</c:v>
                </c:pt>
                <c:pt idx="12">
                  <c:v>Finland</c:v>
                </c:pt>
                <c:pt idx="13">
                  <c:v>Netherlands</c:v>
                </c:pt>
                <c:pt idx="14">
                  <c:v>Hungary</c:v>
                </c:pt>
                <c:pt idx="15">
                  <c:v>Austria</c:v>
                </c:pt>
                <c:pt idx="16">
                  <c:v>Cyprus</c:v>
                </c:pt>
                <c:pt idx="17">
                  <c:v>Sweden</c:v>
                </c:pt>
                <c:pt idx="18">
                  <c:v>United Kingdom</c:v>
                </c:pt>
                <c:pt idx="19">
                  <c:v>United States</c:v>
                </c:pt>
                <c:pt idx="20">
                  <c:v>Slovenia</c:v>
                </c:pt>
                <c:pt idx="21">
                  <c:v>Belgium</c:v>
                </c:pt>
                <c:pt idx="22">
                  <c:v>Spain</c:v>
                </c:pt>
                <c:pt idx="23">
                  <c:v>Portugal</c:v>
                </c:pt>
                <c:pt idx="24">
                  <c:v>Canada</c:v>
                </c:pt>
                <c:pt idx="25">
                  <c:v>Luxembourg</c:v>
                </c:pt>
                <c:pt idx="26">
                  <c:v>Switzerland</c:v>
                </c:pt>
                <c:pt idx="27">
                  <c:v>Iceland</c:v>
                </c:pt>
                <c:pt idx="28">
                  <c:v>Malta</c:v>
                </c:pt>
                <c:pt idx="29">
                  <c:v>Ireland</c:v>
                </c:pt>
                <c:pt idx="30">
                  <c:v>Greece</c:v>
                </c:pt>
                <c:pt idx="31">
                  <c:v>Turkey</c:v>
                </c:pt>
                <c:pt idx="32">
                  <c:v>France</c:v>
                </c:pt>
                <c:pt idx="33">
                  <c:v>Italy</c:v>
                </c:pt>
                <c:pt idx="34">
                  <c:v>Japan</c:v>
                </c:pt>
                <c:pt idx="35">
                  <c:v>South Korea</c:v>
                </c:pt>
                <c:pt idx="36">
                  <c:v>Australia</c:v>
                </c:pt>
                <c:pt idx="37">
                  <c:v>New Zealand</c:v>
                </c:pt>
                <c:pt idx="38">
                  <c:v>Taiwan</c:v>
                </c:pt>
                <c:pt idx="39">
                  <c:v>India</c:v>
                </c:pt>
                <c:pt idx="40">
                  <c:v>China</c:v>
                </c:pt>
              </c:strCache>
            </c:strRef>
          </c:cat>
          <c:val>
            <c:numRef>
              <c:f>'Fig 8. With Refugee Support, %'!$C$12:$C$52</c:f>
              <c:numCache>
                <c:formatCode>0.00</c:formatCode>
                <c:ptCount val="41"/>
                <c:pt idx="0">
                  <c:v>0.68246360725370525</c:v>
                </c:pt>
                <c:pt idx="1">
                  <c:v>1.2606201250160036</c:v>
                </c:pt>
                <c:pt idx="2">
                  <c:v>1.0912278632551458</c:v>
                </c:pt>
                <c:pt idx="3">
                  <c:v>0.36084559731036259</c:v>
                </c:pt>
                <c:pt idx="4">
                  <c:v>0.63140985475637346</c:v>
                </c:pt>
                <c:pt idx="5">
                  <c:v>0.31029885204797214</c:v>
                </c:pt>
                <c:pt idx="6">
                  <c:v>0.95193792981649195</c:v>
                </c:pt>
                <c:pt idx="7">
                  <c:v>4.8172137544917719E-2</c:v>
                </c:pt>
                <c:pt idx="8">
                  <c:v>0.5148332270620376</c:v>
                </c:pt>
                <c:pt idx="9">
                  <c:v>0.47094720935177292</c:v>
                </c:pt>
                <c:pt idx="10">
                  <c:v>0.27250538647727673</c:v>
                </c:pt>
                <c:pt idx="11">
                  <c:v>0.29945870655314943</c:v>
                </c:pt>
                <c:pt idx="12">
                  <c:v>0.44349055053897235</c:v>
                </c:pt>
                <c:pt idx="13">
                  <c:v>0.43598129254435675</c:v>
                </c:pt>
                <c:pt idx="14">
                  <c:v>2.8154793100345764E-2</c:v>
                </c:pt>
                <c:pt idx="15">
                  <c:v>0.19591954131756775</c:v>
                </c:pt>
                <c:pt idx="16">
                  <c:v>1.147710223619349E-2</c:v>
                </c:pt>
                <c:pt idx="17">
                  <c:v>0.31251679022643342</c:v>
                </c:pt>
                <c:pt idx="18">
                  <c:v>0.37258230705466278</c:v>
                </c:pt>
                <c:pt idx="19">
                  <c:v>0.3295528779935728</c:v>
                </c:pt>
                <c:pt idx="20">
                  <c:v>0.10758351857801417</c:v>
                </c:pt>
                <c:pt idx="21">
                  <c:v>8.9771779635338056E-2</c:v>
                </c:pt>
                <c:pt idx="22">
                  <c:v>6.361716780432565E-2</c:v>
                </c:pt>
                <c:pt idx="23">
                  <c:v>0.14018307955675754</c:v>
                </c:pt>
                <c:pt idx="24">
                  <c:v>0.28800474692007605</c:v>
                </c:pt>
                <c:pt idx="25">
                  <c:v>0.12155002130843041</c:v>
                </c:pt>
                <c:pt idx="26">
                  <c:v>5.3010273516371956E-2</c:v>
                </c:pt>
                <c:pt idx="27">
                  <c:v>0.12558869496454383</c:v>
                </c:pt>
                <c:pt idx="28">
                  <c:v>1.2955944350977111E-2</c:v>
                </c:pt>
                <c:pt idx="29">
                  <c:v>1.9488029726067776E-2</c:v>
                </c:pt>
                <c:pt idx="30">
                  <c:v>9.4505790632724782E-2</c:v>
                </c:pt>
                <c:pt idx="31">
                  <c:v>8.8037343819696631E-3</c:v>
                </c:pt>
                <c:pt idx="32">
                  <c:v>5.3695641016007399E-2</c:v>
                </c:pt>
                <c:pt idx="33">
                  <c:v>6.9317275513089985E-2</c:v>
                </c:pt>
                <c:pt idx="34">
                  <c:v>0.14555394181194639</c:v>
                </c:pt>
                <c:pt idx="35">
                  <c:v>3.6642527324201112E-2</c:v>
                </c:pt>
                <c:pt idx="36">
                  <c:v>2.9670869414501082E-2</c:v>
                </c:pt>
                <c:pt idx="37">
                  <c:v>1.0959428014457219E-2</c:v>
                </c:pt>
                <c:pt idx="38">
                  <c:v>8.8387096774193569E-3</c:v>
                </c:pt>
                <c:pt idx="39">
                  <c:v>6.1305702393715236E-5</c:v>
                </c:pt>
                <c:pt idx="40">
                  <c:v>1.3329312542224588E-5</c:v>
                </c:pt>
              </c:numCache>
            </c:numRef>
          </c:val>
          <c:extLst>
            <c:ext xmlns:c16="http://schemas.microsoft.com/office/drawing/2014/chart" uri="{C3380CC4-5D6E-409C-BE32-E72D297353CC}">
              <c16:uniqueId val="{00000000-C87D-4FC8-BF56-3949AA19737F}"/>
            </c:ext>
          </c:extLst>
        </c:ser>
        <c:ser>
          <c:idx val="1"/>
          <c:order val="1"/>
          <c:tx>
            <c:strRef>
              <c:f>'Fig 8. With Refugee Support, %'!$D$11</c:f>
              <c:strCache>
                <c:ptCount val="1"/>
                <c:pt idx="0">
                  <c:v>Refugee cost estimation</c:v>
                </c:pt>
              </c:strCache>
            </c:strRef>
          </c:tx>
          <c:spPr>
            <a:solidFill>
              <a:schemeClr val="accent4"/>
            </a:solidFill>
            <a:ln>
              <a:solidFill>
                <a:srgbClr val="000000"/>
              </a:solidFill>
              <a:prstDash val="solid"/>
            </a:ln>
            <a:effectLst/>
          </c:spPr>
          <c:invertIfNegative val="0"/>
          <c:cat>
            <c:strRef>
              <c:f>'Fig 8. With Refugee Support, %'!$B$12:$B$52</c:f>
              <c:strCache>
                <c:ptCount val="41"/>
                <c:pt idx="0">
                  <c:v>Poland</c:v>
                </c:pt>
                <c:pt idx="1">
                  <c:v>Estonia</c:v>
                </c:pt>
                <c:pt idx="2">
                  <c:v>Latvia</c:v>
                </c:pt>
                <c:pt idx="3">
                  <c:v>Czech Republic</c:v>
                </c:pt>
                <c:pt idx="4">
                  <c:v>Slovakia</c:v>
                </c:pt>
                <c:pt idx="5">
                  <c:v>Bulgaria</c:v>
                </c:pt>
                <c:pt idx="6">
                  <c:v>Lithuania</c:v>
                </c:pt>
                <c:pt idx="7">
                  <c:v>Romania</c:v>
                </c:pt>
                <c:pt idx="8">
                  <c:v>Denmark</c:v>
                </c:pt>
                <c:pt idx="9">
                  <c:v>Norway</c:v>
                </c:pt>
                <c:pt idx="10">
                  <c:v>Germany</c:v>
                </c:pt>
                <c:pt idx="11">
                  <c:v>Croatia</c:v>
                </c:pt>
                <c:pt idx="12">
                  <c:v>Finland</c:v>
                </c:pt>
                <c:pt idx="13">
                  <c:v>Netherlands</c:v>
                </c:pt>
                <c:pt idx="14">
                  <c:v>Hungary</c:v>
                </c:pt>
                <c:pt idx="15">
                  <c:v>Austria</c:v>
                </c:pt>
                <c:pt idx="16">
                  <c:v>Cyprus</c:v>
                </c:pt>
                <c:pt idx="17">
                  <c:v>Sweden</c:v>
                </c:pt>
                <c:pt idx="18">
                  <c:v>United Kingdom</c:v>
                </c:pt>
                <c:pt idx="19">
                  <c:v>United States</c:v>
                </c:pt>
                <c:pt idx="20">
                  <c:v>Slovenia</c:v>
                </c:pt>
                <c:pt idx="21">
                  <c:v>Belgium</c:v>
                </c:pt>
                <c:pt idx="22">
                  <c:v>Spain</c:v>
                </c:pt>
                <c:pt idx="23">
                  <c:v>Portugal</c:v>
                </c:pt>
                <c:pt idx="24">
                  <c:v>Canada</c:v>
                </c:pt>
                <c:pt idx="25">
                  <c:v>Luxembourg</c:v>
                </c:pt>
                <c:pt idx="26">
                  <c:v>Switzerland</c:v>
                </c:pt>
                <c:pt idx="27">
                  <c:v>Iceland</c:v>
                </c:pt>
                <c:pt idx="28">
                  <c:v>Malta</c:v>
                </c:pt>
                <c:pt idx="29">
                  <c:v>Ireland</c:v>
                </c:pt>
                <c:pt idx="30">
                  <c:v>Greece</c:v>
                </c:pt>
                <c:pt idx="31">
                  <c:v>Turkey</c:v>
                </c:pt>
                <c:pt idx="32">
                  <c:v>France</c:v>
                </c:pt>
                <c:pt idx="33">
                  <c:v>Italy</c:v>
                </c:pt>
                <c:pt idx="34">
                  <c:v>Japan</c:v>
                </c:pt>
                <c:pt idx="35">
                  <c:v>South Korea</c:v>
                </c:pt>
                <c:pt idx="36">
                  <c:v>Australia</c:v>
                </c:pt>
                <c:pt idx="37">
                  <c:v>New Zealand</c:v>
                </c:pt>
                <c:pt idx="38">
                  <c:v>Taiwan</c:v>
                </c:pt>
                <c:pt idx="39">
                  <c:v>India</c:v>
                </c:pt>
                <c:pt idx="40">
                  <c:v>China</c:v>
                </c:pt>
              </c:strCache>
            </c:strRef>
          </c:cat>
          <c:val>
            <c:numRef>
              <c:f>'Fig 8. With Refugee Support, %'!$D$12:$D$52</c:f>
              <c:numCache>
                <c:formatCode>0.00</c:formatCode>
                <c:ptCount val="41"/>
                <c:pt idx="0">
                  <c:v>2.4669804083149747</c:v>
                </c:pt>
                <c:pt idx="1">
                  <c:v>1.1075809063914073</c:v>
                </c:pt>
                <c:pt idx="2">
                  <c:v>0.9887518550291744</c:v>
                </c:pt>
                <c:pt idx="3">
                  <c:v>1.4832790127313245</c:v>
                </c:pt>
                <c:pt idx="4">
                  <c:v>1.0903914767981575</c:v>
                </c:pt>
                <c:pt idx="5">
                  <c:v>1.3742809140060135</c:v>
                </c:pt>
                <c:pt idx="6">
                  <c:v>0.70820577204214463</c:v>
                </c:pt>
                <c:pt idx="7">
                  <c:v>0.61601759909932441</c:v>
                </c:pt>
                <c:pt idx="8">
                  <c:v>0.13365572708189294</c:v>
                </c:pt>
                <c:pt idx="9">
                  <c:v>0.16425679086808309</c:v>
                </c:pt>
                <c:pt idx="10">
                  <c:v>0.35461236130297508</c:v>
                </c:pt>
                <c:pt idx="11">
                  <c:v>0.2855849528191956</c:v>
                </c:pt>
                <c:pt idx="12">
                  <c:v>0.13519798525633253</c:v>
                </c:pt>
                <c:pt idx="13">
                  <c:v>0.11017825003383006</c:v>
                </c:pt>
                <c:pt idx="14">
                  <c:v>0.50348501980697491</c:v>
                </c:pt>
                <c:pt idx="15">
                  <c:v>0.26109376426791903</c:v>
                </c:pt>
                <c:pt idx="16">
                  <c:v>0.40524740840185597</c:v>
                </c:pt>
                <c:pt idx="17">
                  <c:v>9.9316462173895975E-2</c:v>
                </c:pt>
                <c:pt idx="18">
                  <c:v>3.6044151336835986E-2</c:v>
                </c:pt>
                <c:pt idx="19">
                  <c:v>0</c:v>
                </c:pt>
                <c:pt idx="20">
                  <c:v>0.15027616598031743</c:v>
                </c:pt>
                <c:pt idx="21">
                  <c:v>0.21791647769902545</c:v>
                </c:pt>
                <c:pt idx="22">
                  <c:v>0.22623253395531928</c:v>
                </c:pt>
                <c:pt idx="23">
                  <c:v>0.14909956598447635</c:v>
                </c:pt>
                <c:pt idx="24">
                  <c:v>0</c:v>
                </c:pt>
                <c:pt idx="25">
                  <c:v>0.13765738672359989</c:v>
                </c:pt>
                <c:pt idx="26">
                  <c:v>0.20298673171406068</c:v>
                </c:pt>
                <c:pt idx="27">
                  <c:v>0.10911892610946025</c:v>
                </c:pt>
                <c:pt idx="28">
                  <c:v>0.19212261115939072</c:v>
                </c:pt>
                <c:pt idx="29">
                  <c:v>0.18325593120704076</c:v>
                </c:pt>
                <c:pt idx="30">
                  <c:v>9.5571447019656766E-2</c:v>
                </c:pt>
                <c:pt idx="31">
                  <c:v>0.17486487942909032</c:v>
                </c:pt>
                <c:pt idx="32">
                  <c:v>0.11129475773170375</c:v>
                </c:pt>
                <c:pt idx="33">
                  <c:v>7.7449588095128974E-2</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1-C87D-4FC8-BF56-3949AA19737F}"/>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5750857079662327"/>
          <c:y val="0.32312160878029639"/>
          <c:w val="0.32947487742839238"/>
          <c:h val="8.7190565326383876E-2"/>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67574074074073"/>
          <c:y val="1.7897272369283346E-2"/>
          <c:w val="0.81730435185185191"/>
          <c:h val="0.94156885161080517"/>
        </c:manualLayout>
      </c:layout>
      <c:barChart>
        <c:barDir val="bar"/>
        <c:grouping val="stacked"/>
        <c:varyColors val="0"/>
        <c:ser>
          <c:idx val="0"/>
          <c:order val="0"/>
          <c:tx>
            <c:strRef>
              <c:f>'Fig 9. Financial Aid'!$C$11</c:f>
              <c:strCache>
                <c:ptCount val="1"/>
                <c:pt idx="0">
                  <c:v>Loan</c:v>
                </c:pt>
              </c:strCache>
            </c:strRef>
          </c:tx>
          <c:spPr>
            <a:solidFill>
              <a:srgbClr val="0070C0"/>
            </a:solidFill>
            <a:ln>
              <a:solidFill>
                <a:srgbClr val="000000"/>
              </a:solidFill>
              <a:prstDash val="solid"/>
            </a:ln>
            <a:effectLst/>
          </c:spPr>
          <c:invertIfNegative val="0"/>
          <c:cat>
            <c:strRef>
              <c:f>'Fig 9. Financial Aid'!$B$12:$B$31</c:f>
              <c:strCache>
                <c:ptCount val="20"/>
                <c:pt idx="0">
                  <c:v>EU Institutions</c:v>
                </c:pt>
                <c:pt idx="1">
                  <c:v>United States</c:v>
                </c:pt>
                <c:pt idx="2">
                  <c:v>Japan</c:v>
                </c:pt>
                <c:pt idx="3">
                  <c:v>United Kingdom</c:v>
                </c:pt>
                <c:pt idx="4">
                  <c:v>Canada</c:v>
                </c:pt>
                <c:pt idx="5">
                  <c:v>Germany</c:v>
                </c:pt>
                <c:pt idx="6">
                  <c:v>Netherlands</c:v>
                </c:pt>
                <c:pt idx="7">
                  <c:v>Norway</c:v>
                </c:pt>
                <c:pt idx="8">
                  <c:v>Poland</c:v>
                </c:pt>
                <c:pt idx="9">
                  <c:v>France</c:v>
                </c:pt>
                <c:pt idx="10">
                  <c:v>Austria</c:v>
                </c:pt>
                <c:pt idx="11">
                  <c:v>Spain</c:v>
                </c:pt>
                <c:pt idx="12">
                  <c:v>Italy</c:v>
                </c:pt>
                <c:pt idx="13">
                  <c:v>South Korea</c:v>
                </c:pt>
                <c:pt idx="14">
                  <c:v>Sweden</c:v>
                </c:pt>
                <c:pt idx="15">
                  <c:v>Portugal</c:v>
                </c:pt>
                <c:pt idx="16">
                  <c:v>Finland</c:v>
                </c:pt>
                <c:pt idx="17">
                  <c:v>Denmark</c:v>
                </c:pt>
                <c:pt idx="18">
                  <c:v>Lithuania</c:v>
                </c:pt>
                <c:pt idx="19">
                  <c:v>Switzerland</c:v>
                </c:pt>
              </c:strCache>
            </c:strRef>
          </c:cat>
          <c:val>
            <c:numRef>
              <c:f>'Fig 9. Financial Aid'!$C$12:$C$31</c:f>
              <c:numCache>
                <c:formatCode>0.00</c:formatCode>
                <c:ptCount val="20"/>
                <c:pt idx="0">
                  <c:v>27.2</c:v>
                </c:pt>
                <c:pt idx="1">
                  <c:v>0</c:v>
                </c:pt>
                <c:pt idx="2">
                  <c:v>5.1527419948472586</c:v>
                </c:pt>
                <c:pt idx="3">
                  <c:v>0.57444852941176472</c:v>
                </c:pt>
                <c:pt idx="4">
                  <c:v>2.9618029549942131</c:v>
                </c:pt>
                <c:pt idx="5">
                  <c:v>0.3</c:v>
                </c:pt>
                <c:pt idx="6">
                  <c:v>0.2</c:v>
                </c:pt>
                <c:pt idx="7">
                  <c:v>0</c:v>
                </c:pt>
                <c:pt idx="8">
                  <c:v>0</c:v>
                </c:pt>
                <c:pt idx="9">
                  <c:v>0.69940000000000002</c:v>
                </c:pt>
                <c:pt idx="10">
                  <c:v>0</c:v>
                </c:pt>
                <c:pt idx="11">
                  <c:v>0</c:v>
                </c:pt>
                <c:pt idx="12">
                  <c:v>0.2</c:v>
                </c:pt>
                <c:pt idx="13">
                  <c:v>0.27603974972396028</c:v>
                </c:pt>
                <c:pt idx="14">
                  <c:v>0</c:v>
                </c:pt>
                <c:pt idx="15">
                  <c:v>0</c:v>
                </c:pt>
                <c:pt idx="16">
                  <c:v>0</c:v>
                </c:pt>
                <c:pt idx="17">
                  <c:v>0</c:v>
                </c:pt>
                <c:pt idx="18">
                  <c:v>0</c:v>
                </c:pt>
                <c:pt idx="19">
                  <c:v>0</c:v>
                </c:pt>
              </c:numCache>
            </c:numRef>
          </c:val>
          <c:extLst>
            <c:ext xmlns:c16="http://schemas.microsoft.com/office/drawing/2014/chart" uri="{C3380CC4-5D6E-409C-BE32-E72D297353CC}">
              <c16:uniqueId val="{00000001-9082-4ED4-9BAD-CAF3B51EE262}"/>
            </c:ext>
          </c:extLst>
        </c:ser>
        <c:ser>
          <c:idx val="1"/>
          <c:order val="1"/>
          <c:tx>
            <c:strRef>
              <c:f>'Fig 9. Financial Aid'!$D$11</c:f>
              <c:strCache>
                <c:ptCount val="1"/>
                <c:pt idx="0">
                  <c:v>Grant</c:v>
                </c:pt>
              </c:strCache>
            </c:strRef>
          </c:tx>
          <c:spPr>
            <a:solidFill>
              <a:srgbClr val="92D050"/>
            </a:solidFill>
            <a:ln>
              <a:solidFill>
                <a:schemeClr val="tx1"/>
              </a:solidFill>
            </a:ln>
            <a:effectLst/>
          </c:spPr>
          <c:invertIfNegative val="0"/>
          <c:cat>
            <c:strRef>
              <c:f>'Fig 9. Financial Aid'!$B$12:$B$31</c:f>
              <c:strCache>
                <c:ptCount val="20"/>
                <c:pt idx="0">
                  <c:v>EU Institutions</c:v>
                </c:pt>
                <c:pt idx="1">
                  <c:v>United States</c:v>
                </c:pt>
                <c:pt idx="2">
                  <c:v>Japan</c:v>
                </c:pt>
                <c:pt idx="3">
                  <c:v>United Kingdom</c:v>
                </c:pt>
                <c:pt idx="4">
                  <c:v>Canada</c:v>
                </c:pt>
                <c:pt idx="5">
                  <c:v>Germany</c:v>
                </c:pt>
                <c:pt idx="6">
                  <c:v>Netherlands</c:v>
                </c:pt>
                <c:pt idx="7">
                  <c:v>Norway</c:v>
                </c:pt>
                <c:pt idx="8">
                  <c:v>Poland</c:v>
                </c:pt>
                <c:pt idx="9">
                  <c:v>France</c:v>
                </c:pt>
                <c:pt idx="10">
                  <c:v>Austria</c:v>
                </c:pt>
                <c:pt idx="11">
                  <c:v>Spain</c:v>
                </c:pt>
                <c:pt idx="12">
                  <c:v>Italy</c:v>
                </c:pt>
                <c:pt idx="13">
                  <c:v>South Korea</c:v>
                </c:pt>
                <c:pt idx="14">
                  <c:v>Sweden</c:v>
                </c:pt>
                <c:pt idx="15">
                  <c:v>Portugal</c:v>
                </c:pt>
                <c:pt idx="16">
                  <c:v>Finland</c:v>
                </c:pt>
                <c:pt idx="17">
                  <c:v>Denmark</c:v>
                </c:pt>
                <c:pt idx="18">
                  <c:v>Lithuania</c:v>
                </c:pt>
                <c:pt idx="19">
                  <c:v>Switzerland</c:v>
                </c:pt>
              </c:strCache>
            </c:strRef>
          </c:cat>
          <c:val>
            <c:numRef>
              <c:f>'Fig 9. Financial Aid'!$D$12:$D$31</c:f>
              <c:numCache>
                <c:formatCode>0.00</c:formatCode>
                <c:ptCount val="20"/>
                <c:pt idx="0">
                  <c:v>0.1225</c:v>
                </c:pt>
                <c:pt idx="1">
                  <c:v>24.263894000736109</c:v>
                </c:pt>
                <c:pt idx="2">
                  <c:v>0.8663507545086494</c:v>
                </c:pt>
                <c:pt idx="3">
                  <c:v>0.6504413676010522</c:v>
                </c:pt>
                <c:pt idx="4">
                  <c:v>0.49819008866125369</c:v>
                </c:pt>
                <c:pt idx="5">
                  <c:v>1.3792519999999999</c:v>
                </c:pt>
                <c:pt idx="6">
                  <c:v>0.87350000000000005</c:v>
                </c:pt>
                <c:pt idx="7">
                  <c:v>1.1429301968805934</c:v>
                </c:pt>
                <c:pt idx="8">
                  <c:v>6.6160903316866623E-3</c:v>
                </c:pt>
                <c:pt idx="9">
                  <c:v>0</c:v>
                </c:pt>
                <c:pt idx="10">
                  <c:v>8.6900000000000005E-2</c:v>
                </c:pt>
                <c:pt idx="11">
                  <c:v>5.4199999999999998E-2</c:v>
                </c:pt>
                <c:pt idx="12">
                  <c:v>0.127</c:v>
                </c:pt>
                <c:pt idx="13">
                  <c:v>0.11961722488038277</c:v>
                </c:pt>
                <c:pt idx="14">
                  <c:v>0.25996288380520155</c:v>
                </c:pt>
                <c:pt idx="15">
                  <c:v>0.25</c:v>
                </c:pt>
                <c:pt idx="16">
                  <c:v>7.5499999999999998E-2</c:v>
                </c:pt>
                <c:pt idx="17">
                  <c:v>5.7500000000000002E-2</c:v>
                </c:pt>
                <c:pt idx="18">
                  <c:v>3.2000000000000001E-2</c:v>
                </c:pt>
                <c:pt idx="19">
                  <c:v>3.8970362014152396E-2</c:v>
                </c:pt>
              </c:numCache>
            </c:numRef>
          </c:val>
          <c:extLst>
            <c:ext xmlns:c16="http://schemas.microsoft.com/office/drawing/2014/chart" uri="{C3380CC4-5D6E-409C-BE32-E72D297353CC}">
              <c16:uniqueId val="{00000003-9082-4ED4-9BAD-CAF3B51EE262}"/>
            </c:ext>
          </c:extLst>
        </c:ser>
        <c:ser>
          <c:idx val="2"/>
          <c:order val="2"/>
          <c:tx>
            <c:strRef>
              <c:f>'Fig 9. Financial Aid'!$E$11</c:f>
              <c:strCache>
                <c:ptCount val="1"/>
                <c:pt idx="0">
                  <c:v>Guarantee</c:v>
                </c:pt>
              </c:strCache>
            </c:strRef>
          </c:tx>
          <c:spPr>
            <a:solidFill>
              <a:schemeClr val="accent3">
                <a:lumMod val="60000"/>
                <a:lumOff val="40000"/>
              </a:schemeClr>
            </a:solidFill>
            <a:ln>
              <a:solidFill>
                <a:schemeClr val="tx1"/>
              </a:solidFill>
            </a:ln>
            <a:effectLst/>
          </c:spPr>
          <c:invertIfNegative val="0"/>
          <c:cat>
            <c:strRef>
              <c:f>'Fig 9. Financial Aid'!$B$12:$B$31</c:f>
              <c:strCache>
                <c:ptCount val="20"/>
                <c:pt idx="0">
                  <c:v>EU Institutions</c:v>
                </c:pt>
                <c:pt idx="1">
                  <c:v>United States</c:v>
                </c:pt>
                <c:pt idx="2">
                  <c:v>Japan</c:v>
                </c:pt>
                <c:pt idx="3">
                  <c:v>United Kingdom</c:v>
                </c:pt>
                <c:pt idx="4">
                  <c:v>Canada</c:v>
                </c:pt>
                <c:pt idx="5">
                  <c:v>Germany</c:v>
                </c:pt>
                <c:pt idx="6">
                  <c:v>Netherlands</c:v>
                </c:pt>
                <c:pt idx="7">
                  <c:v>Norway</c:v>
                </c:pt>
                <c:pt idx="8">
                  <c:v>Poland</c:v>
                </c:pt>
                <c:pt idx="9">
                  <c:v>France</c:v>
                </c:pt>
                <c:pt idx="10">
                  <c:v>Austria</c:v>
                </c:pt>
                <c:pt idx="11">
                  <c:v>Spain</c:v>
                </c:pt>
                <c:pt idx="12">
                  <c:v>Italy</c:v>
                </c:pt>
                <c:pt idx="13">
                  <c:v>South Korea</c:v>
                </c:pt>
                <c:pt idx="14">
                  <c:v>Sweden</c:v>
                </c:pt>
                <c:pt idx="15">
                  <c:v>Portugal</c:v>
                </c:pt>
                <c:pt idx="16">
                  <c:v>Finland</c:v>
                </c:pt>
                <c:pt idx="17">
                  <c:v>Denmark</c:v>
                </c:pt>
                <c:pt idx="18">
                  <c:v>Lithuania</c:v>
                </c:pt>
                <c:pt idx="19">
                  <c:v>Switzerland</c:v>
                </c:pt>
              </c:strCache>
            </c:strRef>
          </c:cat>
          <c:val>
            <c:numRef>
              <c:f>'Fig 9. Financial Aid'!$E$12:$E$31</c:f>
              <c:numCache>
                <c:formatCode>0.00</c:formatCode>
                <c:ptCount val="20"/>
                <c:pt idx="0">
                  <c:v>0</c:v>
                </c:pt>
                <c:pt idx="1">
                  <c:v>0</c:v>
                </c:pt>
                <c:pt idx="2">
                  <c:v>0</c:v>
                </c:pt>
                <c:pt idx="3">
                  <c:v>2.6789598511009118</c:v>
                </c:pt>
                <c:pt idx="4">
                  <c:v>3.6499999999999998E-2</c:v>
                </c:pt>
                <c:pt idx="5">
                  <c:v>0</c:v>
                </c:pt>
                <c:pt idx="6">
                  <c:v>9.9322782480677219E-2</c:v>
                </c:pt>
                <c:pt idx="7">
                  <c:v>0</c:v>
                </c:pt>
                <c:pt idx="8">
                  <c:v>0</c:v>
                </c:pt>
                <c:pt idx="9">
                  <c:v>0</c:v>
                </c:pt>
                <c:pt idx="10">
                  <c:v>0.6</c:v>
                </c:pt>
                <c:pt idx="11">
                  <c:v>0.4</c:v>
                </c:pt>
                <c:pt idx="12">
                  <c:v>0.1</c:v>
                </c:pt>
                <c:pt idx="13">
                  <c:v>0</c:v>
                </c:pt>
                <c:pt idx="14">
                  <c:v>9.0006624953993378E-2</c:v>
                </c:pt>
                <c:pt idx="15">
                  <c:v>0</c:v>
                </c:pt>
                <c:pt idx="16">
                  <c:v>0</c:v>
                </c:pt>
                <c:pt idx="17">
                  <c:v>0</c:v>
                </c:pt>
                <c:pt idx="18">
                  <c:v>0.01</c:v>
                </c:pt>
                <c:pt idx="19">
                  <c:v>0</c:v>
                </c:pt>
              </c:numCache>
            </c:numRef>
          </c:val>
          <c:extLst>
            <c:ext xmlns:c16="http://schemas.microsoft.com/office/drawing/2014/chart" uri="{C3380CC4-5D6E-409C-BE32-E72D297353CC}">
              <c16:uniqueId val="{00000000-08E0-BA4D-91A7-02F4E6DBECC7}"/>
            </c:ext>
          </c:extLst>
        </c:ser>
        <c:ser>
          <c:idx val="3"/>
          <c:order val="3"/>
          <c:tx>
            <c:strRef>
              <c:f>'Fig 9. Financial Aid'!$F$11</c:f>
              <c:strCache>
                <c:ptCount val="1"/>
                <c:pt idx="0">
                  <c:v>Central bank swap line</c:v>
                </c:pt>
              </c:strCache>
            </c:strRef>
          </c:tx>
          <c:spPr>
            <a:solidFill>
              <a:srgbClr val="C00000"/>
            </a:solidFill>
            <a:ln>
              <a:solidFill>
                <a:schemeClr val="tx1"/>
              </a:solidFill>
            </a:ln>
            <a:effectLst/>
          </c:spPr>
          <c:invertIfNegative val="0"/>
          <c:cat>
            <c:strRef>
              <c:f>'Fig 9. Financial Aid'!$B$12:$B$31</c:f>
              <c:strCache>
                <c:ptCount val="20"/>
                <c:pt idx="0">
                  <c:v>EU Institutions</c:v>
                </c:pt>
                <c:pt idx="1">
                  <c:v>United States</c:v>
                </c:pt>
                <c:pt idx="2">
                  <c:v>Japan</c:v>
                </c:pt>
                <c:pt idx="3">
                  <c:v>United Kingdom</c:v>
                </c:pt>
                <c:pt idx="4">
                  <c:v>Canada</c:v>
                </c:pt>
                <c:pt idx="5">
                  <c:v>Germany</c:v>
                </c:pt>
                <c:pt idx="6">
                  <c:v>Netherlands</c:v>
                </c:pt>
                <c:pt idx="7">
                  <c:v>Norway</c:v>
                </c:pt>
                <c:pt idx="8">
                  <c:v>Poland</c:v>
                </c:pt>
                <c:pt idx="9">
                  <c:v>France</c:v>
                </c:pt>
                <c:pt idx="10">
                  <c:v>Austria</c:v>
                </c:pt>
                <c:pt idx="11">
                  <c:v>Spain</c:v>
                </c:pt>
                <c:pt idx="12">
                  <c:v>Italy</c:v>
                </c:pt>
                <c:pt idx="13">
                  <c:v>South Korea</c:v>
                </c:pt>
                <c:pt idx="14">
                  <c:v>Sweden</c:v>
                </c:pt>
                <c:pt idx="15">
                  <c:v>Portugal</c:v>
                </c:pt>
                <c:pt idx="16">
                  <c:v>Finland</c:v>
                </c:pt>
                <c:pt idx="17">
                  <c:v>Denmark</c:v>
                </c:pt>
                <c:pt idx="18">
                  <c:v>Lithuania</c:v>
                </c:pt>
                <c:pt idx="19">
                  <c:v>Switzerland</c:v>
                </c:pt>
              </c:strCache>
            </c:strRef>
          </c:cat>
          <c:val>
            <c:numRef>
              <c:f>'Fig 9. Financial Aid'!$F$12:$F$31</c:f>
              <c:numCache>
                <c:formatCode>0.00</c:formatCode>
                <c:ptCount val="20"/>
                <c:pt idx="0">
                  <c:v>0</c:v>
                </c:pt>
                <c:pt idx="1">
                  <c:v>0</c:v>
                </c:pt>
                <c:pt idx="2">
                  <c:v>0</c:v>
                </c:pt>
                <c:pt idx="3">
                  <c:v>0</c:v>
                </c:pt>
                <c:pt idx="4">
                  <c:v>0</c:v>
                </c:pt>
                <c:pt idx="5">
                  <c:v>0</c:v>
                </c:pt>
                <c:pt idx="6">
                  <c:v>0</c:v>
                </c:pt>
                <c:pt idx="7">
                  <c:v>0</c:v>
                </c:pt>
                <c:pt idx="8">
                  <c:v>0.92013249907986749</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08E0-BA4D-91A7-02F4E6DBECC7}"/>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3240879534094478"/>
          <c:y val="0.23450525530730851"/>
          <c:w val="0.2640240397091615"/>
          <c:h val="0.24091740048485591"/>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1"/>
      </a:solid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871805555555557"/>
          <c:y val="3.5742000365782517E-3"/>
          <c:w val="0.70481898148148148"/>
          <c:h val="0.93323783110852687"/>
        </c:manualLayout>
      </c:layout>
      <c:barChart>
        <c:barDir val="bar"/>
        <c:grouping val="clustered"/>
        <c:varyColors val="0"/>
        <c:ser>
          <c:idx val="0"/>
          <c:order val="0"/>
          <c:tx>
            <c:strRef>
              <c:f>'Fig 10. Budget Support'!$C$11</c:f>
              <c:strCache>
                <c:ptCount val="1"/>
                <c:pt idx="0">
                  <c:v>Commitments (loans, grants, and guarantees)</c:v>
                </c:pt>
              </c:strCache>
            </c:strRef>
          </c:tx>
          <c:spPr>
            <a:solidFill>
              <a:srgbClr val="0070C0"/>
            </a:solidFill>
            <a:ln>
              <a:solidFill>
                <a:srgbClr val="000000"/>
              </a:solidFill>
              <a:prstDash val="solid"/>
            </a:ln>
            <a:effectLst/>
          </c:spPr>
          <c:invertIfNegative val="0"/>
          <c:cat>
            <c:strRef>
              <c:f>'Fig 10. Budget Support'!$B$12:$B$36</c:f>
              <c:strCache>
                <c:ptCount val="25"/>
                <c:pt idx="0">
                  <c:v>United States</c:v>
                </c:pt>
                <c:pt idx="1">
                  <c:v>EU Institutions (MFA and EIB)</c:v>
                </c:pt>
                <c:pt idx="2">
                  <c:v>Canada</c:v>
                </c:pt>
                <c:pt idx="3">
                  <c:v>Germany</c:v>
                </c:pt>
                <c:pt idx="4">
                  <c:v>United Kingdom</c:v>
                </c:pt>
                <c:pt idx="5">
                  <c:v>Japan</c:v>
                </c:pt>
                <c:pt idx="6">
                  <c:v>France</c:v>
                </c:pt>
                <c:pt idx="7">
                  <c:v>Italy</c:v>
                </c:pt>
                <c:pt idx="8">
                  <c:v>Netherlands</c:v>
                </c:pt>
                <c:pt idx="9">
                  <c:v>Denmark</c:v>
                </c:pt>
                <c:pt idx="10">
                  <c:v>Spain</c:v>
                </c:pt>
                <c:pt idx="11">
                  <c:v>Sweden</c:v>
                </c:pt>
                <c:pt idx="12">
                  <c:v>Norway</c:v>
                </c:pt>
                <c:pt idx="13">
                  <c:v>Lithuania</c:v>
                </c:pt>
                <c:pt idx="14">
                  <c:v>Finland</c:v>
                </c:pt>
                <c:pt idx="15">
                  <c:v>Ireland</c:v>
                </c:pt>
                <c:pt idx="16">
                  <c:v>Latvia</c:v>
                </c:pt>
                <c:pt idx="17">
                  <c:v>Austria</c:v>
                </c:pt>
                <c:pt idx="18">
                  <c:v>Switzerland</c:v>
                </c:pt>
                <c:pt idx="19">
                  <c:v>Belgium</c:v>
                </c:pt>
                <c:pt idx="20">
                  <c:v>Iceland</c:v>
                </c:pt>
                <c:pt idx="21">
                  <c:v>Poland</c:v>
                </c:pt>
                <c:pt idx="22">
                  <c:v>Taiwan</c:v>
                </c:pt>
                <c:pt idx="23">
                  <c:v>South Korea</c:v>
                </c:pt>
                <c:pt idx="24">
                  <c:v>Portugal</c:v>
                </c:pt>
              </c:strCache>
            </c:strRef>
          </c:cat>
          <c:val>
            <c:numRef>
              <c:f>'Fig 10. Budget Support'!$C$12:$C$36</c:f>
              <c:numCache>
                <c:formatCode>0.00</c:formatCode>
                <c:ptCount val="25"/>
                <c:pt idx="0">
                  <c:v>24.263894000736109</c:v>
                </c:pt>
                <c:pt idx="1">
                  <c:v>27.322500000000002</c:v>
                </c:pt>
                <c:pt idx="2">
                  <c:v>3.4964930436554669</c:v>
                </c:pt>
                <c:pt idx="3">
                  <c:v>1.679252</c:v>
                </c:pt>
                <c:pt idx="4">
                  <c:v>3.9038497481137289</c:v>
                </c:pt>
                <c:pt idx="5">
                  <c:v>6.0190927493559077</c:v>
                </c:pt>
                <c:pt idx="6">
                  <c:v>0.69940000000000002</c:v>
                </c:pt>
                <c:pt idx="7">
                  <c:v>0.42700000000000005</c:v>
                </c:pt>
                <c:pt idx="8">
                  <c:v>1.1728227824806774</c:v>
                </c:pt>
                <c:pt idx="9">
                  <c:v>5.7500000000000002E-2</c:v>
                </c:pt>
                <c:pt idx="10">
                  <c:v>0.45420000000000005</c:v>
                </c:pt>
                <c:pt idx="11">
                  <c:v>0.34996950875919491</c:v>
                </c:pt>
                <c:pt idx="12">
                  <c:v>1.1429301968805934</c:v>
                </c:pt>
                <c:pt idx="13">
                  <c:v>4.2000000000000003E-2</c:v>
                </c:pt>
                <c:pt idx="14">
                  <c:v>7.5499999999999998E-2</c:v>
                </c:pt>
                <c:pt idx="15">
                  <c:v>2.5000000000000001E-2</c:v>
                </c:pt>
                <c:pt idx="16">
                  <c:v>2.5364999999999999E-2</c:v>
                </c:pt>
                <c:pt idx="17">
                  <c:v>0.68689999999999996</c:v>
                </c:pt>
                <c:pt idx="18">
                  <c:v>3.8970362014152396E-2</c:v>
                </c:pt>
                <c:pt idx="19">
                  <c:v>1.6060000000000001E-2</c:v>
                </c:pt>
                <c:pt idx="20">
                  <c:v>9.4038678806406591E-3</c:v>
                </c:pt>
                <c:pt idx="21">
                  <c:v>6.6160903316866623E-3</c:v>
                </c:pt>
                <c:pt idx="22">
                  <c:v>1.1501656238498345E-2</c:v>
                </c:pt>
                <c:pt idx="23">
                  <c:v>0.39565697460434307</c:v>
                </c:pt>
                <c:pt idx="24">
                  <c:v>0.25</c:v>
                </c:pt>
              </c:numCache>
            </c:numRef>
          </c:val>
          <c:extLst>
            <c:ext xmlns:c16="http://schemas.microsoft.com/office/drawing/2014/chart" uri="{C3380CC4-5D6E-409C-BE32-E72D297353CC}">
              <c16:uniqueId val="{00000001-B9AC-42AA-B512-61996F98D584}"/>
            </c:ext>
          </c:extLst>
        </c:ser>
        <c:ser>
          <c:idx val="1"/>
          <c:order val="1"/>
          <c:tx>
            <c:strRef>
              <c:f>'Fig 10. Budget Support'!$D$11</c:f>
              <c:strCache>
                <c:ptCount val="1"/>
                <c:pt idx="0">
                  <c:v>Disbursements</c:v>
                </c:pt>
              </c:strCache>
            </c:strRef>
          </c:tx>
          <c:spPr>
            <a:solidFill>
              <a:srgbClr val="002060"/>
            </a:solidFill>
            <a:ln>
              <a:solidFill>
                <a:srgbClr val="000000"/>
              </a:solidFill>
              <a:prstDash val="solid"/>
            </a:ln>
            <a:effectLst/>
          </c:spPr>
          <c:invertIfNegative val="0"/>
          <c:cat>
            <c:strRef>
              <c:f>'Fig 10. Budget Support'!$B$12:$B$36</c:f>
              <c:strCache>
                <c:ptCount val="25"/>
                <c:pt idx="0">
                  <c:v>United States</c:v>
                </c:pt>
                <c:pt idx="1">
                  <c:v>EU Institutions (MFA and EIB)</c:v>
                </c:pt>
                <c:pt idx="2">
                  <c:v>Canada</c:v>
                </c:pt>
                <c:pt idx="3">
                  <c:v>Germany</c:v>
                </c:pt>
                <c:pt idx="4">
                  <c:v>United Kingdom</c:v>
                </c:pt>
                <c:pt idx="5">
                  <c:v>Japan</c:v>
                </c:pt>
                <c:pt idx="6">
                  <c:v>France</c:v>
                </c:pt>
                <c:pt idx="7">
                  <c:v>Italy</c:v>
                </c:pt>
                <c:pt idx="8">
                  <c:v>Netherlands</c:v>
                </c:pt>
                <c:pt idx="9">
                  <c:v>Denmark</c:v>
                </c:pt>
                <c:pt idx="10">
                  <c:v>Spain</c:v>
                </c:pt>
                <c:pt idx="11">
                  <c:v>Sweden</c:v>
                </c:pt>
                <c:pt idx="12">
                  <c:v>Norway</c:v>
                </c:pt>
                <c:pt idx="13">
                  <c:v>Lithuania</c:v>
                </c:pt>
                <c:pt idx="14">
                  <c:v>Finland</c:v>
                </c:pt>
                <c:pt idx="15">
                  <c:v>Ireland</c:v>
                </c:pt>
                <c:pt idx="16">
                  <c:v>Latvia</c:v>
                </c:pt>
                <c:pt idx="17">
                  <c:v>Austria</c:v>
                </c:pt>
                <c:pt idx="18">
                  <c:v>Switzerland</c:v>
                </c:pt>
                <c:pt idx="19">
                  <c:v>Belgium</c:v>
                </c:pt>
                <c:pt idx="20">
                  <c:v>Iceland</c:v>
                </c:pt>
                <c:pt idx="21">
                  <c:v>Poland</c:v>
                </c:pt>
                <c:pt idx="22">
                  <c:v>Taiwan</c:v>
                </c:pt>
                <c:pt idx="23">
                  <c:v>South Korea</c:v>
                </c:pt>
                <c:pt idx="24">
                  <c:v>Portugal</c:v>
                </c:pt>
              </c:strCache>
            </c:strRef>
          </c:cat>
          <c:val>
            <c:numRef>
              <c:f>'Fig 10. Budget Support'!$D$12:$D$36</c:f>
              <c:numCache>
                <c:formatCode>0.00</c:formatCode>
                <c:ptCount val="25"/>
                <c:pt idx="0">
                  <c:v>16.553183658446819</c:v>
                </c:pt>
                <c:pt idx="1">
                  <c:v>15.462826647037177</c:v>
                </c:pt>
                <c:pt idx="2">
                  <c:v>3.3548030916451967</c:v>
                </c:pt>
                <c:pt idx="3">
                  <c:v>1.5048767022451233</c:v>
                </c:pt>
                <c:pt idx="4">
                  <c:v>1.4492086860507916</c:v>
                </c:pt>
                <c:pt idx="5">
                  <c:v>0.53459698196540306</c:v>
                </c:pt>
                <c:pt idx="6">
                  <c:v>0.40209790209790208</c:v>
                </c:pt>
                <c:pt idx="7">
                  <c:v>0.30078658183921347</c:v>
                </c:pt>
                <c:pt idx="8">
                  <c:v>0.29260213470739788</c:v>
                </c:pt>
                <c:pt idx="9">
                  <c:v>4.8767022451232975E-2</c:v>
                </c:pt>
                <c:pt idx="10">
                  <c:v>4.6098638203901358E-2</c:v>
                </c:pt>
                <c:pt idx="11">
                  <c:v>4.5086492454913515E-2</c:v>
                </c:pt>
                <c:pt idx="12">
                  <c:v>2.0242914979757085E-2</c:v>
                </c:pt>
                <c:pt idx="13">
                  <c:v>2.0242914979757085E-2</c:v>
                </c:pt>
                <c:pt idx="14">
                  <c:v>1.9598822230401179E-2</c:v>
                </c:pt>
                <c:pt idx="15">
                  <c:v>1.9414795730585205E-2</c:v>
                </c:pt>
                <c:pt idx="16">
                  <c:v>1.4722119985277881E-2</c:v>
                </c:pt>
                <c:pt idx="17">
                  <c:v>1.0121457489878543E-2</c:v>
                </c:pt>
                <c:pt idx="18">
                  <c:v>9.4773647405226348E-3</c:v>
                </c:pt>
                <c:pt idx="19">
                  <c:v>2.8524107471475891E-3</c:v>
                </c:pt>
                <c:pt idx="20">
                  <c:v>2.1000000000000003E-3</c:v>
                </c:pt>
                <c:pt idx="21">
                  <c:v>0</c:v>
                </c:pt>
                <c:pt idx="22">
                  <c:v>0</c:v>
                </c:pt>
                <c:pt idx="23">
                  <c:v>0</c:v>
                </c:pt>
                <c:pt idx="24">
                  <c:v>0</c:v>
                </c:pt>
              </c:numCache>
            </c:numRef>
          </c:val>
          <c:extLst>
            <c:ext xmlns:c16="http://schemas.microsoft.com/office/drawing/2014/chart" uri="{C3380CC4-5D6E-409C-BE32-E72D297353CC}">
              <c16:uniqueId val="{00000000-82AD-4251-AB7C-E6E83E1979DD}"/>
            </c:ext>
          </c:extLst>
        </c:ser>
        <c:dLbls>
          <c:showLegendKey val="0"/>
          <c:showVal val="0"/>
          <c:showCatName val="0"/>
          <c:showSerName val="0"/>
          <c:showPercent val="0"/>
          <c:showBubbleSize val="0"/>
        </c:dLbls>
        <c:gapWidth val="7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3728"/>
          <c:y val="0.32451194444444442"/>
          <c:w val="0.46216880201159793"/>
          <c:h val="0.14897871511286254"/>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5">
  <a:schemeClr val="accent2"/>
</cs:colorStyle>
</file>

<file path=xl/charts/colors15.xml><?xml version="1.0" encoding="utf-8"?>
<cs:colorStyle xmlns:cs="http://schemas.microsoft.com/office/drawing/2012/chartStyle" xmlns:a="http://schemas.openxmlformats.org/drawingml/2006/main" meth="withinLinearReversed" id="22">
  <a:schemeClr val="accent2"/>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withinLinearReversed" id="25">
  <a:schemeClr val="accent5"/>
</cs:colorStyle>
</file>

<file path=xl/charts/colors18.xml><?xml version="1.0" encoding="utf-8"?>
<cs:colorStyle xmlns:cs="http://schemas.microsoft.com/office/drawing/2012/chartStyle" xmlns:a="http://schemas.openxmlformats.org/drawingml/2006/main" meth="withinLinearReversed" id="25">
  <a:schemeClr val="accent5"/>
</cs:colorStyle>
</file>

<file path=xl/charts/colors19.xml><?xml version="1.0" encoding="utf-8"?>
<cs:colorStyle xmlns:cs="http://schemas.microsoft.com/office/drawing/2012/chartStyle" xmlns:a="http://schemas.openxmlformats.org/drawingml/2006/main" meth="withinLinearReversed" id="25">
  <a:schemeClr val="accent5"/>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5">
  <a:schemeClr val="accent5"/>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Reversed" id="25">
  <a:schemeClr val="accent5"/>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 id="15">
  <a:schemeClr val="accent2"/>
</cs:colorStyle>
</file>

<file path=xl/charts/colors2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 id="15">
  <a:schemeClr val="accent2"/>
</cs:colorStyle>
</file>

<file path=xl/charts/colors3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4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5" Type="http://schemas.openxmlformats.org/officeDocument/2006/relationships/chart" Target="../charts/chart40.xml"/><Relationship Id="rId4" Type="http://schemas.openxmlformats.org/officeDocument/2006/relationships/chart" Target="../charts/chart3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4</xdr:col>
      <xdr:colOff>28575</xdr:colOff>
      <xdr:row>11</xdr:row>
      <xdr:rowOff>66675</xdr:rowOff>
    </xdr:from>
    <xdr:to>
      <xdr:col>19</xdr:col>
      <xdr:colOff>0</xdr:colOff>
      <xdr:row>69</xdr:row>
      <xdr:rowOff>108238</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25399</xdr:colOff>
      <xdr:row>10</xdr:row>
      <xdr:rowOff>292099</xdr:rowOff>
    </xdr:from>
    <xdr:to>
      <xdr:col>22</xdr:col>
      <xdr:colOff>411399</xdr:colOff>
      <xdr:row>67</xdr:row>
      <xdr:rowOff>140799</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0.81336</cdr:x>
      <cdr:y>0.91092</cdr:y>
    </cdr:from>
    <cdr:to>
      <cdr:x>0.95097</cdr:x>
      <cdr:y>0.95472</cdr:y>
    </cdr:to>
    <cdr:sp macro="" textlink="">
      <cdr:nvSpPr>
        <cdr:cNvPr id="2" name="Textfeld 1"/>
        <cdr:cNvSpPr txBox="1"/>
      </cdr:nvSpPr>
      <cdr:spPr>
        <a:xfrm xmlns:a="http://schemas.openxmlformats.org/drawingml/2006/main">
          <a:off x="8825607" y="10326052"/>
          <a:ext cx="1493144" cy="496511"/>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 Euros</a:t>
          </a:r>
        </a:p>
      </cdr:txBody>
    </cdr:sp>
  </cdr:relSizeAnchor>
  <cdr:relSizeAnchor xmlns:cdr="http://schemas.openxmlformats.org/drawingml/2006/chartDrawing">
    <cdr:from>
      <cdr:x>0.2672</cdr:x>
      <cdr:y>0.50663</cdr:y>
    </cdr:from>
    <cdr:to>
      <cdr:x>0.86406</cdr:x>
      <cdr:y>0.60772</cdr:y>
    </cdr:to>
    <cdr:sp macro="" textlink="">
      <cdr:nvSpPr>
        <cdr:cNvPr id="4" name="Textfeld 1">
          <a:extLst xmlns:a="http://schemas.openxmlformats.org/drawingml/2006/main">
            <a:ext uri="{FF2B5EF4-FFF2-40B4-BE49-F238E27FC236}">
              <a16:creationId xmlns:a16="http://schemas.microsoft.com/office/drawing/2014/main" id="{14EEFC85-6355-4ED2-89E3-513C8C2583B8}"/>
            </a:ext>
          </a:extLst>
        </cdr:cNvPr>
        <cdr:cNvSpPr txBox="1"/>
      </cdr:nvSpPr>
      <cdr:spPr>
        <a:xfrm xmlns:a="http://schemas.openxmlformats.org/drawingml/2006/main">
          <a:off x="2899334" y="5746299"/>
          <a:ext cx="6476442" cy="114662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donations, support for refugees outside of Ukraine, and aid by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international organisations. For information on data quality and transparency</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please see our data transparency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8</xdr:col>
      <xdr:colOff>11389</xdr:colOff>
      <xdr:row>11</xdr:row>
      <xdr:rowOff>47490</xdr:rowOff>
    </xdr:from>
    <xdr:to>
      <xdr:col>24</xdr:col>
      <xdr:colOff>346589</xdr:colOff>
      <xdr:row>68</xdr:row>
      <xdr:rowOff>188290</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0.83088</cdr:x>
      <cdr:y>0.91938</cdr:y>
    </cdr:from>
    <cdr:to>
      <cdr:x>0.9661</cdr:x>
      <cdr:y>0.95334</cdr:y>
    </cdr:to>
    <cdr:sp macro="" textlink="">
      <cdr:nvSpPr>
        <cdr:cNvPr id="2" name="Textfeld 1"/>
        <cdr:cNvSpPr txBox="1"/>
      </cdr:nvSpPr>
      <cdr:spPr>
        <a:xfrm xmlns:a="http://schemas.openxmlformats.org/drawingml/2006/main">
          <a:off x="8973450" y="10591298"/>
          <a:ext cx="1460376" cy="39116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0.26242</cdr:x>
      <cdr:y>0.60606</cdr:y>
    </cdr:from>
    <cdr:to>
      <cdr:x>0.94481</cdr:x>
      <cdr:y>0.73818</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2847467" y="6874054"/>
          <a:ext cx="7404477" cy="149855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and cost estimates for refugees. Refugee costs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are based on estimates provided by the OECD Migration Outlook 2022 and scaled up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using UNHCR refugee data. Does not include private donations and aid by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international organizations. </a:t>
          </a:r>
          <a:r>
            <a:rPr lang="en-US" sz="1600">
              <a:effectLst/>
              <a:latin typeface="Times New Roman" panose="02020603050405020304" pitchFamily="18" charset="0"/>
              <a:ea typeface="+mn-ea"/>
              <a:cs typeface="Times New Roman" panose="02020603050405020304" pitchFamily="18" charset="0"/>
            </a:rPr>
            <a:t>Financial commitments that are made explicitly</a:t>
          </a:r>
          <a:br>
            <a:rPr lang="en-US" sz="1600">
              <a:effectLst/>
              <a:latin typeface="Times New Roman" panose="02020603050405020304" pitchFamily="18" charset="0"/>
              <a:ea typeface="+mn-ea"/>
              <a:cs typeface="Times New Roman" panose="02020603050405020304" pitchFamily="18" charset="0"/>
            </a:rPr>
          </a:br>
          <a:r>
            <a:rPr lang="en-US" sz="1600">
              <a:effectLst/>
              <a:latin typeface="Times New Roman" panose="02020603050405020304" pitchFamily="18" charset="0"/>
              <a:ea typeface="+mn-ea"/>
              <a:cs typeface="Times New Roman" panose="02020603050405020304" pitchFamily="18" charset="0"/>
            </a:rPr>
            <a:t>for military and weapons purchases are counted as military aid.</a:t>
          </a:r>
          <a:r>
            <a:rPr lang="de-DE" sz="1600" b="0" baseline="0">
              <a:latin typeface="Times New Roman" panose="02020603050405020304" pitchFamily="18" charset="0"/>
              <a:cs typeface="Times New Roman" panose="02020603050405020304" pitchFamily="18" charset="0"/>
            </a:rPr>
            <a:t> For information on data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quality and transparency please see our data transparency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1027794</xdr:colOff>
      <xdr:row>11</xdr:row>
      <xdr:rowOff>14966</xdr:rowOff>
    </xdr:from>
    <xdr:to>
      <xdr:col>25</xdr:col>
      <xdr:colOff>138489</xdr:colOff>
      <xdr:row>67</xdr:row>
      <xdr:rowOff>181166</xdr:rowOff>
    </xdr:to>
    <xdr:graphicFrame macro="">
      <xdr:nvGraphicFramePr>
        <xdr:cNvPr id="2" name="Diagramm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536575</xdr:colOff>
      <xdr:row>40</xdr:row>
      <xdr:rowOff>19050</xdr:rowOff>
    </xdr:from>
    <xdr:to>
      <xdr:col>21</xdr:col>
      <xdr:colOff>152235</xdr:colOff>
      <xdr:row>43</xdr:row>
      <xdr:rowOff>110102</xdr:rowOff>
    </xdr:to>
    <xdr:sp macro="" textlink="">
      <xdr:nvSpPr>
        <xdr:cNvPr id="3" name="Textfeld 48">
          <a:extLst>
            <a:ext uri="{FF2B5EF4-FFF2-40B4-BE49-F238E27FC236}">
              <a16:creationId xmlns:a16="http://schemas.microsoft.com/office/drawing/2014/main" id="{00000000-0008-0000-0D00-000003000000}"/>
            </a:ext>
          </a:extLst>
        </xdr:cNvPr>
        <xdr:cNvSpPr txBox="1"/>
      </xdr:nvSpPr>
      <xdr:spPr>
        <a:xfrm>
          <a:off x="14538325" y="8248650"/>
          <a:ext cx="4216235" cy="491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twoCellAnchor editAs="oneCell">
    <xdr:from>
      <xdr:col>25</xdr:col>
      <xdr:colOff>0</xdr:colOff>
      <xdr:row>47</xdr:row>
      <xdr:rowOff>0</xdr:rowOff>
    </xdr:from>
    <xdr:to>
      <xdr:col>25</xdr:col>
      <xdr:colOff>304800</xdr:colOff>
      <xdr:row>48</xdr:row>
      <xdr:rowOff>79376</xdr:rowOff>
    </xdr:to>
    <xdr:sp macro="" textlink="">
      <xdr:nvSpPr>
        <xdr:cNvPr id="30721" name="AutoShape 1" descr="data:image/png;charset=utf-8;base64,iVBORw0KGgoAAAANSUhEUgAAAocAAAAyCAYAAAAujHENAAAAAXNSR0IArs4c6QAAAARnQU1BAACxjwv8YQUAAAAJcEhZcwAADsMAAA7DAcdvqGQAABF6SURBVHhe7Z3tdea2EYXXhaSLVLCO00E6SAWpQAXkaP1fFWwHbsAlbAVbgStIZsAhCYAXGAAEqfeV7nPOPbbFAQkMBoPhh+QvhBBCCCGEEEIIIYQQQgghhBBCCCGEEEIIIYQQQgghhBBCCCGEEEIIIYQQQgghhBBCCCGEEEIIIYQQQgghhBBCCCGEEEIIIYQQQgghhBBCCCGEEEIIIYQQQgghhBBCCCGEEEIIIYQQQgghhBBCCCGEEEIIIYQQQgghhBBCCCHkk/D193/98uu3/5X1+qdZltFzfP32XWx/gPY/9RxBX7+9WosPg47pOOZIE8e8+BFcw6TzYKbvwsP378a5moH06SXr33c7dB8z8sMH5tFj/mH4x+vfQ/zSH8M8W/4iz87J5C82b8c2Jb3+sGYfhjsX7MMXXywOp/LL19c/4v59+fXbf+zQfZzMDx+dR4/5d+ef//2b+GHbIz69P07wbPmLPDsnkr8cT59seHqPJx8Xc+eCZXF4jmdLrlIc/hX3T5++2KH7OJEfPgMsDgtoUajrLY/hz+qPCTxb/iLPzonkL8d+4jZFvVjTD8OdC/bhiy8Wh/P4+vtvaf9ef9qRezmRHz4Djx7zt1MoCj+tPybyVPmLfABGk/9h8/L1ERPDnQv24YsvFofTkP68//eGymh++CSwOEyhP67jmfIX+cx4m4bcOSaJQF+JyV2l/deHgQt2h8XhPB7ie0PFW+efvDgkKSwOr4N7DXkK3ED99dubmX5ouGB3WBzO4yG+N1RYHJIOWBxeB/ca8hQwUBfohx0Wh5N4lO8NFRaHpAMWh9fBvYbcS0fyd4Ozoi9fX/9d+kg5qPZNlf6NLNTGVH3l5nwbefZ13dCCDX/eAf1NyEyZT6YlXn29L+PW88NzhnmSn+v11T+NnwNM618vS3y8Ha8vPtYx2HV1LtLjmVqT60X+W5FzuN8bJseBzOwAso1lZjsd+SFm8Q2yj/X6I/aN+h/bLTIzs4vXz+tPfQ1fXMs6hqWNzFVt3YXjOp9vmq+sdRWzB+dahGK+2iaOQfGN/ExiQezj3Kn/ruMdXU+aE3d/gF8qVB/pNaUvYmutiiznyc/RqjR+ln4hu0Vm9lAxANH9bs1JcN/r87Hi+SacKyfEUG28JpBjDix59kX9jM+5/k3jPt8dzxNpHVOIWblu4ku71nu9VfnwdCR/NzgrssVZ2TDKT0fkeP1P5mhSKCDHq217N+4c1ydgwVpQY/tVsCCot1Mfm2mR0F+YrCpa7N88X83oXy+u/1eFhOb8TU4wVzlX+m/F+rq1RxtefBzJzA4g21hmttORH1ba5iQtDBWvndnUis70ryGEvnf/RYVIkpOcmB2J+WqbNQa9m+lN4v/WHBZulBtyz0EyVxU/jJ1zVX9x+GgxECNttHjqyw9B4gcv1rx1tcZORNPceIWhxJfj84KC392/UHJsF0nHtBSG2KfyczsNmU5YPMDpm+YVh3Y3BY+rSncA0gf3zqeUIPONNpG3KBpwfZItWL0mtItV6Je30KvJJdz1NdxBVhUSZfEu91T/BmjyZY9Act24wX8rahe3Q+siPo5kZgeQbSwz2+nIDwF9ogrtYh0LQ0X9j+1NzvHknE39aFPxaZSg40dtVqGYr7bRGOzuezYHALGr32C3CX5H7vmgrr7i8BFjIBAKqMpe06hqrDX4xkwD8t/De82Grv+hYjeWzHFhf1Zwm01vzvU/xe82vA8dyd8NzorWJCnnK97FwYWhiw7Y5iotqlpgnXptYPQsWPlvP0FXFquXhNFGFNDC5vQCN+mdWqHAGe7fAGdisagsuW7c5L9AKELjNviJempzlJkdQLaxzGynIz/ouLBNLFwYKv5aqsxBvG7cPndK56zU54GYr7cZuwFB11mR4x3/FytHID95Pqirtzh8vBhY9qizN467ynvZfXtNwHmY06fKuof2ptp8i9CNM5lFR/J3g7OiNXnJv5cTFQpWWSjQNhd6tVzbrHSxT6B5wbaMw1msXhIubRAzE9ciWeiA0f51cyigJilKrjF3+S+Qx0khJhIbIDM7gGxjmdlOa37QteYk8jDu0gYruGupIr2+nUbOc/4JDhB8PTYS816bIaH8p0zd4BflN9XnxtNZHFb0bjFwwbVQ0eP6ZuJeM/WGeFfhyTO09VWKeTKJ1uQvnFy4S5KsPl04PiXpWXj5xiM/q909TXkc3bRgWzZOb7EKXhLefBzjJgrxudhsvtN/hjb173RCm4yh/g0g52p5EvKyjUnH05Lo1uQac6P/FI2DJrvIBsnMDiDbWGa205IfZMzyT6eArheGiruWioqK7dAXZBNJN5U8Fv15nnZD5LUZUuFmV65VjcOQd6KiSv89j8Gj0jx9bjyzisN3igF3faikXVxQhz3Q8RnYD1zfzNxr/Bj4MxlTKCalf861YdEL7FqU36SQ2bQkf0BToBbQxQLbiJLgaVnkkfKNtLYAdRGZ2Ska/PB9xmJVvISic2mmG9KmvDnohlLasN07x2OiHOnfCNUxqVDstTxBAe3u9J+SXw8lUyW2QTKzA8g2lpntNOQHHQs+tkrGWvJThLuWdu2Fv24QeVzpMf2ZzrmeM2x0oZ/Lb7QWWGzg9YLMLMFtg9dktU2Q9nOd+6WYcJ9eB9sYr9hB68SQ49UbsNLGPOKPmGeLAT0XsttViH35WegLbLMoX/uub2btNZq7UNtNuCYIqL9hm02HhzLABkgLbNuzl/65v+hCziIL6DgRsa4oDstP9JICz72Ty5QtemgThL/jGsH1g6dagZGhcwHPYTokyLCpYFtT9empl/jyfnf3b4SQVPH5V5X8qQkG2W/KY/Zm/x2TcjlOU7ujzOwAso1lZjtufvDVOu9Na6mSV4bQOdA8427y2KcjMe+10eNmuuNu2Mf+dcdfzGDsj/gj5tliANnEqo53uaYUc+KzUNjJuHT/0zZgbpp8U1PjXiO21e8VSzcGK8uYcFsZK3iogOwideyRZCYSiHBCNs0vDnWiYRtVdGdTXqzlO64tiOrjSu46vISWy5oFTi9YVc1XEV4/80QkP/M/Sj6h4/XObQxN+PEKn8gpvTErP7vVf4ebocpdfmIHZGYHkG0sM9tx/d2iypOGiJa1lD9N6WYZz4v6VmMlP39NdoaEkZh322iBAJB29SdN2bXqm/RZFfaFkzngqWLAK6C1qJlIi29cZTkOUd5358gus4FsElXyILmSZaHgSQm6oDgUigG4LqhKAbm8KsCJb02stf7lycVLaLmsWcD1Q4t0zA0JrzfxTulbRfkmdnZjaGIwXpXemL3df2GzKh+Pie2QzOwAso1lZjuuv9vkPW1QfH+XC/8iy2uuN217PF+f7IwJIzE/uk562yGbecJPtUfHtvJUMeCujbabolam5KOGvcabw7M67r/YblVL7iBXMBjgbqDKcTPFyMYH24mkT7/Zgj4et+JRzp9spNHx8Gq5HODH8fQuBmsWmLJgVQ13R14/D5vDrL6VlM1xb/+GOJGQXX/k47nff03fGyqxHZKZHUC2scxsx/V3q/xPOfz5KX8rdiDkj/qTtl7ZmRNGYn6kjdLbDtnMlF0mYXRsK08VA+7aeMDiUOXsNd4cnlVvnIr9lN8PIL0MBri/iJ3iUNBCD7bdHvmDY2tgl4pHUfWpI3ga07sYrFnA9UOH3MTZmXhn9g0qm+Pe/g0xGK+K6498PHf6TwrB9Fj9lVRiC2RmB5BtLDPbcf3docy/Ob3zU0JsW36b3SQxq+cN43TiFzAS86PrpLcdspkpu0zC6NhWnioGgj22W/SgxaGoNg+eD86qN07NjNzOYIDPWMRiU3z6Vyoc40fMxeKydF4R+rC1dzFYs0DfgvVea9STiddPsOjq38w1zFEPvf0bwv1Q/sZvDmf6L3+S7jwhSWyBUJz7vktjO+Dmh1hOfGvBi/pl9M4PpKW/eoMJYtGNX8BIzI+uk952xfxoMrOpjI5t5aliwL2O87R8e4ih1xQtY38J/QJPy1zfJBrfazT34DaLkN/OgK4Ry8zI7fgBfllx6F/7KGsZ0AWObIrShABYFiewL8iaBZoXrF1brlX/qLz6nVln4j1RSI3Q3T+hxX9muoFsYpUKEB0vst+Ux+yN/tP4yM5f/VMNme1B8Al5w3ox053mNSq+0M3Ou0ZhDSrqf9hmVUNOaRhj0a8yhvraBAzF/EAbpbedv8nP/5ZrdGwrzxYDyCZW9fu+yqdVpuQ3wl3frLI15o6lsNfIMe8X8ap/paEXcP5EZkZux03+FxaHghfAifKnKZVXy0iXJMOWBRtviG5CkLvNcnEzshHVE0QpWW/91GuKdJw6p2pfaDPUvwb/memGt+mFfubItaFtLNDuLv/l1xGb6nc2Xr/0qdF2naVoa9pYgn1Mi9+sMAz2+etxoNLY3D6C+clZ/A3ampDvFTnm/ma6mSaMXG+8j53t/FyDnx5pvIQbKY2xELvpn1mpfgs7NraVZ4uBxU/YdlHFx96T3WyduL5RzdhrvDVceQOg11/GpXGjbwBDn4tPQ5XD+TOZGbkdmTQ0IbuuLg7bvw0JySnDW2CbNKAvwPfD8fWgLkpou6rgu7DgkL0JJb2G/v0Vrpdu7g1zcoyLS/onMtMdN+mJ4jGpfUucAL/f4r88GTfEqufrUdnpd/z8cNhgxB/Ok5vrcorvFylk401KbzC9mw2TtUjwrgdjfqCN0t1O5sWPe5mLuF244Xbyk6jYR3+9/LHFi56jtwB6tBhoyUVDPgb5tcW3Ge51Cv7U60P7TbLu4/1Y/Om3EYHrQbtIZkZuR4IWTciu6xJ5wLtLiZRvQopcx31VZpr6KHxlyA8NCUX9YtYb3uJLElCEtHPubjulxcuk/rn+E5lpglzL3cC6VYjZy/2XxwNI8jli5z7lGJGdfmckPzSs6WRjMYbWUkbrJj8iu0TCUMyPr+P+dqEQwfYnVMylcqwvLrM5/YgxMCKZy8NTtiHfDO41YQ27Nxa9wp/hYNtdZkZuZyT5CzMW8YoGDTxHrNKG2Zj80GKbwagfZMzOHR28CxzaVHTsMxd66Toj/XP9JzLTlCs2vVLMXuw/uW5+g+P/r6EaCjAoZxx29p3x/OA9PURPHM/nFLe/47IrJAzF/OA6Hm7XfgPdIDzfG+EJEmpXVN93dQ8YA+EJ7cQbSHTjpIz6RvrWvdcEGgrLZukNMXi4o0D7SGZGbsddSNcXh013N4UFo/gbt2xEFzHsh5YxZ8le5wLZrSptDoEZBY4ucCnK7IwHRvrn+k9kpgekbeemp/2rJPFazF7oP43P2E6vZYeqtPgukfrLaWOn3hnMD03Fa+Zvdzy1+YkI40Ttq9JXjfUbDhi/IzE/uI5H2yljPsmkRURhg4/x+pkqjZ9njIHApAKxvs8N+mZgr9loaOsre42fgdvsMjNyOxIUaEJ23VAchoUFzhGplpQaEoH/JGaQM34Q3zqvRtPH8DoX2G5RbXMIqJ9HNwlpB18/RIz0z/WfyEwhLe1N4QlFtY9ezF7hv7yI0gKyA2njf9+4FLVhDXj+CieNGcwPiusrHWvkE69vetxMXdxrx9K5sfxivsJ2II8MxfzgOh5ttxEKn5HPMbLvyzxCPm8tlK4pDpW7YiAm9L/eviDxg3NTeMY3/rzjV74BvTF2Yg9K/aB9Mr+WgG0jmRm5ncHkfyZQERJIle9EyhtQwLvbc4qaM5zyQ8sdXZSUvQXqbg4rS0Hysvi8lMTlWsucvLT6b6R/rv9EZlpmGY8USflYQn/ekgKk1sfWmJ3pvzwGpI0daUfXcNgI8w0gjDW5vudvM9sZzA+BxU+gTSTdlA03FlrnZyVsaiAuwuat8yPny+ZG+5PYJjq+gTAfA9tFMOYH2iij7Q4s+VL9ojEKChmNo3CtN7W1Vn2EAlG/PyxeY1kf2Zw+YwxAYh+jwiy+vlMUrpzyTedeA1Ffhj64Y/oezuUUhSuH82QyM0IIIYQQQmbw5cv/Ac2/kbuWGPJNAAAAAElFTkSuQmCC">
          <a:extLst>
            <a:ext uri="{FF2B5EF4-FFF2-40B4-BE49-F238E27FC236}">
              <a16:creationId xmlns:a16="http://schemas.microsoft.com/office/drawing/2014/main" id="{00000000-0008-0000-0D00-000001780000}"/>
            </a:ext>
          </a:extLst>
        </xdr:cNvPr>
        <xdr:cNvSpPr>
          <a:spLocks noChangeAspect="1" noChangeArrowheads="1"/>
        </xdr:cNvSpPr>
      </xdr:nvSpPr>
      <xdr:spPr bwMode="auto">
        <a:xfrm>
          <a:off x="28003500" y="8048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c:userShapes xmlns:c="http://schemas.openxmlformats.org/drawingml/2006/chart">
  <cdr:relSizeAnchor xmlns:cdr="http://schemas.openxmlformats.org/drawingml/2006/chartDrawing">
    <cdr:from>
      <cdr:x>0.8144</cdr:x>
      <cdr:y>0.90624</cdr:y>
    </cdr:from>
    <cdr:to>
      <cdr:x>0.9689</cdr:x>
      <cdr:y>0.94072</cdr:y>
    </cdr:to>
    <cdr:sp macro="" textlink="">
      <cdr:nvSpPr>
        <cdr:cNvPr id="2" name="Textfeld 1"/>
        <cdr:cNvSpPr txBox="1"/>
      </cdr:nvSpPr>
      <cdr:spPr>
        <a:xfrm xmlns:a="http://schemas.openxmlformats.org/drawingml/2006/main">
          <a:off x="8836931" y="10275878"/>
          <a:ext cx="1676400" cy="39097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baseline="0">
              <a:latin typeface="Times New Roman" panose="02020603050405020304" pitchFamily="18" charset="0"/>
              <a:cs typeface="Times New Roman" panose="02020603050405020304" pitchFamily="18" charset="0"/>
            </a:rPr>
            <a:t>Percent of GDP</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0.24491</cdr:x>
      <cdr:y>0.55785</cdr:y>
    </cdr:from>
    <cdr:to>
      <cdr:x>0.89859</cdr:x>
      <cdr:y>0.63493</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094730" y="6229832"/>
          <a:ext cx="8259975" cy="8608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 bilateral commitments to Ukraine and cost estimates for refugees. Refugee costs are </a:t>
          </a:r>
          <a:br>
            <a:rPr lang="de-DE" sz="1600" b="0">
              <a:latin typeface="Times New Roman" panose="02020603050405020304" pitchFamily="18" charset="0"/>
              <a:cs typeface="Times New Roman" panose="02020603050405020304" pitchFamily="18" charset="0"/>
            </a:rPr>
          </a:br>
          <a:r>
            <a:rPr lang="de-DE" sz="1600" b="0">
              <a:latin typeface="Times New Roman" panose="02020603050405020304" pitchFamily="18" charset="0"/>
              <a:cs typeface="Times New Roman" panose="02020603050405020304" pitchFamily="18" charset="0"/>
            </a:rPr>
            <a:t>based on estimates provided by the OECD Migration Outlook 2022 and scaled up using </a:t>
          </a:r>
          <a:br>
            <a:rPr lang="de-DE" sz="1600" b="0">
              <a:latin typeface="Times New Roman" panose="02020603050405020304" pitchFamily="18" charset="0"/>
              <a:cs typeface="Times New Roman" panose="02020603050405020304" pitchFamily="18" charset="0"/>
            </a:rPr>
          </a:br>
          <a:r>
            <a:rPr lang="de-DE" sz="1600" b="0">
              <a:latin typeface="Times New Roman" panose="02020603050405020304" pitchFamily="18" charset="0"/>
              <a:cs typeface="Times New Roman" panose="02020603050405020304" pitchFamily="18" charset="0"/>
            </a:rPr>
            <a:t>UNHCR refugee data</a:t>
          </a:r>
          <a:r>
            <a:rPr lang="de-DE" sz="1600" b="0" baseline="0">
              <a:latin typeface="Times New Roman" panose="02020603050405020304" pitchFamily="18" charset="0"/>
              <a:cs typeface="Times New Roman" panose="02020603050405020304" pitchFamily="18" charset="0"/>
            </a:rPr>
            <a:t>. Does not include private donations, and aid by international organisations.</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8</xdr:col>
      <xdr:colOff>19050</xdr:colOff>
      <xdr:row>11</xdr:row>
      <xdr:rowOff>0</xdr:rowOff>
    </xdr:from>
    <xdr:to>
      <xdr:col>24</xdr:col>
      <xdr:colOff>405050</xdr:colOff>
      <xdr:row>50</xdr:row>
      <xdr:rowOff>77750</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0.82337</cdr:x>
      <cdr:y>0.8913</cdr:y>
    </cdr:from>
    <cdr:to>
      <cdr:x>0.96033</cdr:x>
      <cdr:y>0.9351</cdr:y>
    </cdr:to>
    <cdr:sp macro="" textlink="">
      <cdr:nvSpPr>
        <cdr:cNvPr id="2" name="Textfeld 1"/>
        <cdr:cNvSpPr txBox="1"/>
      </cdr:nvSpPr>
      <cdr:spPr>
        <a:xfrm xmlns:a="http://schemas.openxmlformats.org/drawingml/2006/main">
          <a:off x="8934254" y="6951593"/>
          <a:ext cx="1486096" cy="34161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0.30704</cdr:x>
      <cdr:y>0.57446</cdr:y>
    </cdr:from>
    <cdr:to>
      <cdr:x>0.91937</cdr:x>
      <cdr:y>0.74139</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331584" y="4480409"/>
          <a:ext cx="6644266" cy="130194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support for refugees outside of Ukraine, and aid by international organisations.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Commitments by EU Institutions include Commission and Council and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EIB. For information on data quality and transparency please see our data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transparency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7</xdr:col>
      <xdr:colOff>57150</xdr:colOff>
      <xdr:row>11</xdr:row>
      <xdr:rowOff>57149</xdr:rowOff>
    </xdr:from>
    <xdr:to>
      <xdr:col>23</xdr:col>
      <xdr:colOff>341550</xdr:colOff>
      <xdr:row>53</xdr:row>
      <xdr:rowOff>56249</xdr:rowOff>
    </xdr:to>
    <xdr:graphicFrame macro="">
      <xdr:nvGraphicFramePr>
        <xdr:cNvPr id="2" name="Diagramm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0.30774</cdr:x>
      <cdr:y>0.5749</cdr:y>
    </cdr:from>
    <cdr:to>
      <cdr:x>0.91722</cdr:x>
      <cdr:y>0.76632</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323592" y="4139280"/>
          <a:ext cx="6582408" cy="137822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a:latin typeface="Times New Roman" panose="02020603050405020304" pitchFamily="18" charset="0"/>
              <a:cs typeface="Times New Roman" panose="02020603050405020304" pitchFamily="18" charset="0"/>
            </a:rPr>
            <a:t>Financial commitments include</a:t>
          </a:r>
          <a:r>
            <a:rPr lang="de-DE" sz="1600" b="0" baseline="0">
              <a:latin typeface="Times New Roman" panose="02020603050405020304" pitchFamily="18" charset="0"/>
              <a:cs typeface="Times New Roman" panose="02020603050405020304" pitchFamily="18" charset="0"/>
            </a:rPr>
            <a:t> loans and grants. </a:t>
          </a:r>
          <a:r>
            <a:rPr lang="de-DE" sz="1600" b="0">
              <a:latin typeface="Times New Roman" panose="02020603050405020304" pitchFamily="18" charset="0"/>
              <a:cs typeface="Times New Roman" panose="02020603050405020304" pitchFamily="18" charset="0"/>
            </a:rPr>
            <a:t>Information on</a:t>
          </a:r>
          <a:r>
            <a:rPr lang="de-DE" sz="1600" b="0" baseline="0">
              <a:latin typeface="Times New Roman" panose="02020603050405020304" pitchFamily="18" charset="0"/>
              <a:cs typeface="Times New Roman" panose="02020603050405020304" pitchFamily="18" charset="0"/>
            </a:rPr>
            <a:t> disbursement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are disclosed by the Ministry of Finance of Ukraine. Does not include financial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aid by international organisation, private donations, or aid for refugees. For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information on data quality and transparency please see our data transparency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index.</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0.83491</cdr:x>
      <cdr:y>0.87971</cdr:y>
    </cdr:from>
    <cdr:to>
      <cdr:x>0.97216</cdr:x>
      <cdr:y>0.92351</cdr:y>
    </cdr:to>
    <cdr:sp macro="" textlink="">
      <cdr:nvSpPr>
        <cdr:cNvPr id="4" name="Textfeld 1">
          <a:extLst xmlns:a="http://schemas.openxmlformats.org/drawingml/2006/main">
            <a:ext uri="{FF2B5EF4-FFF2-40B4-BE49-F238E27FC236}">
              <a16:creationId xmlns:a16="http://schemas.microsoft.com/office/drawing/2014/main" id="{B58884D1-0C77-4B7E-107C-8B975B6D02A0}"/>
            </a:ext>
          </a:extLst>
        </cdr:cNvPr>
        <cdr:cNvSpPr txBox="1"/>
      </cdr:nvSpPr>
      <cdr:spPr>
        <a:xfrm xmlns:a="http://schemas.openxmlformats.org/drawingml/2006/main">
          <a:off x="9017031" y="6333888"/>
          <a:ext cx="1482300" cy="31536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0.35215</cdr:x>
      <cdr:y>0.12901</cdr:y>
    </cdr:from>
    <cdr:to>
      <cdr:x>0.41874</cdr:x>
      <cdr:y>0.15863</cdr:y>
    </cdr:to>
    <cdr:sp macro="" textlink="">
      <cdr:nvSpPr>
        <cdr:cNvPr id="2" name="TextBox 1">
          <a:extLst xmlns:a="http://schemas.openxmlformats.org/drawingml/2006/main">
            <a:ext uri="{FF2B5EF4-FFF2-40B4-BE49-F238E27FC236}">
              <a16:creationId xmlns:a16="http://schemas.microsoft.com/office/drawing/2014/main" id="{4186E62D-5A27-4846-E47C-8249887A2A7E}"/>
            </a:ext>
          </a:extLst>
        </cdr:cNvPr>
        <cdr:cNvSpPr txBox="1"/>
      </cdr:nvSpPr>
      <cdr:spPr>
        <a:xfrm xmlns:a="http://schemas.openxmlformats.org/drawingml/2006/main">
          <a:off x="4029983" y="1027339"/>
          <a:ext cx="762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2.xml><?xml version="1.0" encoding="utf-8"?>
<c:userShapes xmlns:c="http://schemas.openxmlformats.org/drawingml/2006/chart">
  <cdr:relSizeAnchor xmlns:cdr="http://schemas.openxmlformats.org/drawingml/2006/chartDrawing">
    <cdr:from>
      <cdr:x>0.84296</cdr:x>
      <cdr:y>0.91499</cdr:y>
    </cdr:from>
    <cdr:to>
      <cdr:x>0.97895</cdr:x>
      <cdr:y>0.95468</cdr:y>
    </cdr:to>
    <cdr:sp macro="" textlink="">
      <cdr:nvSpPr>
        <cdr:cNvPr id="2" name="Textfeld 1"/>
        <cdr:cNvSpPr txBox="1"/>
      </cdr:nvSpPr>
      <cdr:spPr>
        <a:xfrm xmlns:a="http://schemas.openxmlformats.org/drawingml/2006/main">
          <a:off x="8952585" y="10470189"/>
          <a:ext cx="1444264" cy="45417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Index points</a:t>
          </a:r>
        </a:p>
      </cdr:txBody>
    </cdr:sp>
  </cdr:relSizeAnchor>
</c:userShapes>
</file>

<file path=xl/drawings/drawing20.xml><?xml version="1.0" encoding="utf-8"?>
<xdr:wsDr xmlns:xdr="http://schemas.openxmlformats.org/drawingml/2006/spreadsheetDrawing" xmlns:a="http://schemas.openxmlformats.org/drawingml/2006/main">
  <xdr:twoCellAnchor>
    <xdr:from>
      <xdr:col>6</xdr:col>
      <xdr:colOff>1009650</xdr:colOff>
      <xdr:row>11</xdr:row>
      <xdr:rowOff>0</xdr:rowOff>
    </xdr:from>
    <xdr:to>
      <xdr:col>22</xdr:col>
      <xdr:colOff>266700</xdr:colOff>
      <xdr:row>56</xdr:row>
      <xdr:rowOff>47625</xdr:rowOff>
    </xdr:to>
    <xdr:graphicFrame macro="">
      <xdr:nvGraphicFramePr>
        <xdr:cNvPr id="4" name="Diagramm 1">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0.05124</cdr:x>
      <cdr:y>0.02177</cdr:y>
    </cdr:from>
    <cdr:to>
      <cdr:x>0.17529</cdr:x>
      <cdr:y>0.08474</cdr:y>
    </cdr:to>
    <cdr:sp macro="" textlink="">
      <cdr:nvSpPr>
        <cdr:cNvPr id="2" name="Textfeld 1"/>
        <cdr:cNvSpPr txBox="1"/>
      </cdr:nvSpPr>
      <cdr:spPr>
        <a:xfrm xmlns:a="http://schemas.openxmlformats.org/drawingml/2006/main">
          <a:off x="748726" y="169478"/>
          <a:ext cx="1812537" cy="49014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1800">
              <a:latin typeface="Times New Roman" panose="02020603050405020304" pitchFamily="18" charset="0"/>
              <a:cs typeface="Times New Roman" panose="02020603050405020304" pitchFamily="18" charset="0"/>
            </a:rPr>
            <a:t> Euros</a:t>
          </a:r>
        </a:p>
      </cdr:txBody>
    </cdr:sp>
  </cdr:relSizeAnchor>
  <cdr:relSizeAnchor xmlns:cdr="http://schemas.openxmlformats.org/drawingml/2006/chartDrawing">
    <cdr:from>
      <cdr:x>0.39667</cdr:x>
      <cdr:y>0.08958</cdr:y>
    </cdr:from>
    <cdr:to>
      <cdr:x>0.61801</cdr:x>
      <cdr:y>0.41682</cdr:y>
    </cdr:to>
    <cdr:sp macro="" textlink="">
      <cdr:nvSpPr>
        <cdr:cNvPr id="4" name="TextBox 3">
          <a:extLst xmlns:a="http://schemas.openxmlformats.org/drawingml/2006/main">
            <a:ext uri="{FF2B5EF4-FFF2-40B4-BE49-F238E27FC236}">
              <a16:creationId xmlns:a16="http://schemas.microsoft.com/office/drawing/2014/main" id="{6A8DB5A1-E052-5BF9-7BAC-9205128796DB}"/>
            </a:ext>
          </a:extLst>
        </cdr:cNvPr>
        <cdr:cNvSpPr txBox="1"/>
      </cdr:nvSpPr>
      <cdr:spPr>
        <a:xfrm xmlns:a="http://schemas.openxmlformats.org/drawingml/2006/main">
          <a:off x="5832475" y="777875"/>
          <a:ext cx="3254375" cy="2841626"/>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de-DE" sz="1600" b="0">
              <a:effectLst/>
              <a:latin typeface="Times New Roman" panose="02020603050405020304" pitchFamily="18" charset="0"/>
              <a:ea typeface="+mn-ea"/>
              <a:cs typeface="Times New Roman" panose="02020603050405020304" pitchFamily="18" charset="0"/>
            </a:rPr>
            <a:t>Includes</a:t>
          </a:r>
          <a:r>
            <a:rPr lang="de-DE" sz="1600" b="0" baseline="0">
              <a:effectLst/>
              <a:latin typeface="Times New Roman" panose="02020603050405020304" pitchFamily="18" charset="0"/>
              <a:ea typeface="+mn-ea"/>
              <a:cs typeface="Times New Roman" panose="02020603050405020304" pitchFamily="18" charset="0"/>
            </a:rPr>
            <a:t> bilateral commitments to Ukraine. Does not include private </a:t>
          </a:r>
          <a:br>
            <a:rPr lang="de-DE" sz="1600" b="0" baseline="0">
              <a:effectLst/>
              <a:latin typeface="Times New Roman" panose="02020603050405020304" pitchFamily="18" charset="0"/>
              <a:ea typeface="+mn-ea"/>
              <a:cs typeface="Times New Roman" panose="02020603050405020304" pitchFamily="18" charset="0"/>
            </a:rPr>
          </a:br>
          <a:r>
            <a:rPr lang="de-DE" sz="1600" b="0">
              <a:effectLst/>
              <a:latin typeface="Times New Roman" panose="02020603050405020304" pitchFamily="18" charset="0"/>
              <a:ea typeface="+mn-ea"/>
              <a:cs typeface="Times New Roman" panose="02020603050405020304" pitchFamily="18" charset="0"/>
            </a:rPr>
            <a:t>donations</a:t>
          </a:r>
          <a:r>
            <a:rPr lang="de-DE" sz="1600" b="0" baseline="0">
              <a:effectLst/>
              <a:latin typeface="Times New Roman" panose="02020603050405020304" pitchFamily="18" charset="0"/>
              <a:ea typeface="+mn-ea"/>
              <a:cs typeface="Times New Roman" panose="02020603050405020304" pitchFamily="18" charset="0"/>
            </a:rPr>
            <a:t>, support for refugees outside of Ukraine, and aid by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international organizations. Commitments of the European Union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include the EU Commission and Council, EPF, and EIB.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For information on data quality and transparency please see</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our data transparency index.</a:t>
          </a:r>
          <a:endParaRPr lang="en-GB" sz="1600">
            <a:effectLst/>
            <a:latin typeface="Times New Roman" panose="02020603050405020304" pitchFamily="18" charset="0"/>
            <a:cs typeface="Times New Roman" panose="02020603050405020304" pitchFamily="18" charset="0"/>
          </a:endParaRPr>
        </a:p>
        <a:p xmlns:a="http://schemas.openxmlformats.org/drawingml/2006/main">
          <a:endParaRPr lang="en-GB" sz="1100"/>
        </a:p>
      </cdr:txBody>
    </cdr:sp>
  </cdr:relSizeAnchor>
</c:userShapes>
</file>

<file path=xl/drawings/drawing22.xml><?xml version="1.0" encoding="utf-8"?>
<xdr:wsDr xmlns:xdr="http://schemas.openxmlformats.org/drawingml/2006/spreadsheetDrawing" xmlns:a="http://schemas.openxmlformats.org/drawingml/2006/main">
  <xdr:twoCellAnchor>
    <xdr:from>
      <xdr:col>5</xdr:col>
      <xdr:colOff>24822</xdr:colOff>
      <xdr:row>11</xdr:row>
      <xdr:rowOff>0</xdr:rowOff>
    </xdr:from>
    <xdr:to>
      <xdr:col>10</xdr:col>
      <xdr:colOff>1553822</xdr:colOff>
      <xdr:row>46</xdr:row>
      <xdr:rowOff>332</xdr:rowOff>
    </xdr:to>
    <xdr:graphicFrame macro="">
      <xdr:nvGraphicFramePr>
        <xdr:cNvPr id="4" name="Diagramm 1">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0.05694</cdr:x>
      <cdr:y>0.01676</cdr:y>
    </cdr:from>
    <cdr:to>
      <cdr:x>0.19843</cdr:x>
      <cdr:y>0.07973</cdr:y>
    </cdr:to>
    <cdr:sp macro="" textlink="">
      <cdr:nvSpPr>
        <cdr:cNvPr id="2" name="Textfeld 1"/>
        <cdr:cNvSpPr txBox="1"/>
      </cdr:nvSpPr>
      <cdr:spPr>
        <a:xfrm xmlns:a="http://schemas.openxmlformats.org/drawingml/2006/main">
          <a:off x="612322" y="116110"/>
          <a:ext cx="1521558" cy="436231"/>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 Euros</a:t>
          </a:r>
        </a:p>
      </cdr:txBody>
    </cdr:sp>
  </cdr:relSizeAnchor>
  <cdr:relSizeAnchor xmlns:cdr="http://schemas.openxmlformats.org/drawingml/2006/chartDrawing">
    <cdr:from>
      <cdr:x>0.40477</cdr:x>
      <cdr:y>0.12271</cdr:y>
    </cdr:from>
    <cdr:to>
      <cdr:x>0.60405</cdr:x>
      <cdr:y>0.39901</cdr:y>
    </cdr:to>
    <cdr:sp macro="" textlink="">
      <cdr:nvSpPr>
        <cdr:cNvPr id="4" name="TextBox 3">
          <a:extLst xmlns:a="http://schemas.openxmlformats.org/drawingml/2006/main">
            <a:ext uri="{FF2B5EF4-FFF2-40B4-BE49-F238E27FC236}">
              <a16:creationId xmlns:a16="http://schemas.microsoft.com/office/drawing/2014/main" id="{A38AF858-40CD-7A29-021A-4B832147FADC}"/>
            </a:ext>
          </a:extLst>
        </cdr:cNvPr>
        <cdr:cNvSpPr txBox="1"/>
      </cdr:nvSpPr>
      <cdr:spPr>
        <a:xfrm xmlns:a="http://schemas.openxmlformats.org/drawingml/2006/main">
          <a:off x="4569445" y="737261"/>
          <a:ext cx="2249714" cy="16600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0.69554</cdr:x>
      <cdr:y>0.09723</cdr:y>
    </cdr:from>
    <cdr:to>
      <cdr:x>0.97853</cdr:x>
      <cdr:y>0.49331</cdr:y>
    </cdr:to>
    <cdr:sp macro="" textlink="">
      <cdr:nvSpPr>
        <cdr:cNvPr id="5" name="TextBox 4">
          <a:extLst xmlns:a="http://schemas.openxmlformats.org/drawingml/2006/main">
            <a:ext uri="{FF2B5EF4-FFF2-40B4-BE49-F238E27FC236}">
              <a16:creationId xmlns:a16="http://schemas.microsoft.com/office/drawing/2014/main" id="{DBF6BF54-957D-9A13-3072-67E9DF20E1F2}"/>
            </a:ext>
          </a:extLst>
        </cdr:cNvPr>
        <cdr:cNvSpPr txBox="1"/>
      </cdr:nvSpPr>
      <cdr:spPr>
        <a:xfrm xmlns:a="http://schemas.openxmlformats.org/drawingml/2006/main">
          <a:off x="7479723" y="673600"/>
          <a:ext cx="3043185" cy="274385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de-DE" sz="1600" b="0">
              <a:effectLst/>
              <a:latin typeface="Times New Roman" panose="02020603050405020304" pitchFamily="18" charset="0"/>
              <a:ea typeface="+mn-ea"/>
              <a:cs typeface="Times New Roman" panose="02020603050405020304" pitchFamily="18" charset="0"/>
            </a:rPr>
            <a:t>Financial commitments include loans and grants.</a:t>
          </a:r>
          <a:r>
            <a:rPr lang="de-DE" sz="1600" b="0" baseline="0">
              <a:effectLst/>
              <a:latin typeface="Times New Roman" panose="02020603050405020304" pitchFamily="18" charset="0"/>
              <a:ea typeface="+mn-ea"/>
              <a:cs typeface="Times New Roman" panose="02020603050405020304" pitchFamily="18" charset="0"/>
            </a:rPr>
            <a:t> </a:t>
          </a:r>
          <a:r>
            <a:rPr lang="de-DE" sz="1600" b="0">
              <a:effectLst/>
              <a:latin typeface="Times New Roman" panose="02020603050405020304" pitchFamily="18" charset="0"/>
              <a:ea typeface="+mn-ea"/>
              <a:cs typeface="Times New Roman" panose="02020603050405020304" pitchFamily="18" charset="0"/>
            </a:rPr>
            <a:t>Information on disbursement are disclosed by the Ukrainian Ministry of Finance. Does not include</a:t>
          </a:r>
          <a:br>
            <a:rPr lang="de-DE" sz="1600" b="0">
              <a:effectLst/>
              <a:latin typeface="Times New Roman" panose="02020603050405020304" pitchFamily="18" charset="0"/>
              <a:ea typeface="+mn-ea"/>
              <a:cs typeface="Times New Roman" panose="02020603050405020304" pitchFamily="18" charset="0"/>
            </a:rPr>
          </a:br>
          <a:r>
            <a:rPr lang="de-DE" sz="1600" b="0">
              <a:effectLst/>
              <a:latin typeface="Times New Roman" panose="02020603050405020304" pitchFamily="18" charset="0"/>
              <a:ea typeface="+mn-ea"/>
              <a:cs typeface="Times New Roman" panose="02020603050405020304" pitchFamily="18" charset="0"/>
            </a:rPr>
            <a:t>financial aid by international organisation, private donations, or aid for refugees. For information on data quality and transparency please see our data transparency index.</a:t>
          </a:r>
          <a:endParaRPr lang="en-GB" sz="1600">
            <a:effectLst/>
            <a:latin typeface="Times New Roman" panose="02020603050405020304" pitchFamily="18" charset="0"/>
            <a:cs typeface="Times New Roman" panose="02020603050405020304" pitchFamily="18" charset="0"/>
          </a:endParaRPr>
        </a:p>
        <a:p xmlns:a="http://schemas.openxmlformats.org/drawingml/2006/main">
          <a:endParaRPr lang="en-GB" sz="1600">
            <a:latin typeface="Times New Roman" panose="02020603050405020304" pitchFamily="18" charset="0"/>
            <a:cs typeface="Times New Roman" panose="02020603050405020304" pitchFamily="18"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4</xdr:col>
      <xdr:colOff>75046</xdr:colOff>
      <xdr:row>11</xdr:row>
      <xdr:rowOff>13277</xdr:rowOff>
    </xdr:from>
    <xdr:to>
      <xdr:col>20</xdr:col>
      <xdr:colOff>359446</xdr:colOff>
      <xdr:row>49</xdr:row>
      <xdr:rowOff>12377</xdr:rowOff>
    </xdr:to>
    <xdr:graphicFrame macro="">
      <xdr:nvGraphicFramePr>
        <xdr:cNvPr id="10" name="Diagramm 1">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0.81589</cdr:x>
      <cdr:y>0.87043</cdr:y>
    </cdr:from>
    <cdr:to>
      <cdr:x>0.95687</cdr:x>
      <cdr:y>0.9268</cdr:y>
    </cdr:to>
    <cdr:sp macro="" textlink="">
      <cdr:nvSpPr>
        <cdr:cNvPr id="2" name="Textfeld 1"/>
        <cdr:cNvSpPr txBox="1"/>
      </cdr:nvSpPr>
      <cdr:spPr>
        <a:xfrm xmlns:a="http://schemas.openxmlformats.org/drawingml/2006/main">
          <a:off x="8786768" y="6207411"/>
          <a:ext cx="1518287" cy="40199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0.24199</cdr:x>
      <cdr:y>0.61245</cdr:y>
    </cdr:from>
    <cdr:to>
      <cdr:x>0.86037</cdr:x>
      <cdr:y>0.73016</cdr:y>
    </cdr:to>
    <cdr:sp macro="" textlink="">
      <cdr:nvSpPr>
        <cdr:cNvPr id="3" name="Textfeld 1">
          <a:extLst xmlns:a="http://schemas.openxmlformats.org/drawingml/2006/main">
            <a:ext uri="{FF2B5EF4-FFF2-40B4-BE49-F238E27FC236}">
              <a16:creationId xmlns:a16="http://schemas.microsoft.com/office/drawing/2014/main" id="{8908946A-70BF-46D9-8B67-C503A115E53F}"/>
            </a:ext>
          </a:extLst>
        </cdr:cNvPr>
        <cdr:cNvSpPr txBox="1"/>
      </cdr:nvSpPr>
      <cdr:spPr>
        <a:xfrm xmlns:a="http://schemas.openxmlformats.org/drawingml/2006/main">
          <a:off x="2625785" y="6513345"/>
          <a:ext cx="6709869" cy="125183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support for refugees outside of Ukraine, and aid by international organisations.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For information on data quality and transparency please see our data trans-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4</xdr:col>
      <xdr:colOff>75046</xdr:colOff>
      <xdr:row>11</xdr:row>
      <xdr:rowOff>13277</xdr:rowOff>
    </xdr:from>
    <xdr:to>
      <xdr:col>20</xdr:col>
      <xdr:colOff>359446</xdr:colOff>
      <xdr:row>47</xdr:row>
      <xdr:rowOff>12377</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0.81589</cdr:x>
      <cdr:y>0.87043</cdr:y>
    </cdr:from>
    <cdr:to>
      <cdr:x>0.95687</cdr:x>
      <cdr:y>0.9268</cdr:y>
    </cdr:to>
    <cdr:sp macro="" textlink="">
      <cdr:nvSpPr>
        <cdr:cNvPr id="2" name="Textfeld 1"/>
        <cdr:cNvSpPr txBox="1"/>
      </cdr:nvSpPr>
      <cdr:spPr>
        <a:xfrm xmlns:a="http://schemas.openxmlformats.org/drawingml/2006/main">
          <a:off x="8786768" y="6207411"/>
          <a:ext cx="1518287" cy="40199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0.24199</cdr:x>
      <cdr:y>0.61245</cdr:y>
    </cdr:from>
    <cdr:to>
      <cdr:x>0.89587</cdr:x>
      <cdr:y>0.80328</cdr:y>
    </cdr:to>
    <cdr:sp macro="" textlink="">
      <cdr:nvSpPr>
        <cdr:cNvPr id="3" name="Textfeld 1">
          <a:extLst xmlns:a="http://schemas.openxmlformats.org/drawingml/2006/main">
            <a:ext uri="{FF2B5EF4-FFF2-40B4-BE49-F238E27FC236}">
              <a16:creationId xmlns:a16="http://schemas.microsoft.com/office/drawing/2014/main" id="{8908946A-70BF-46D9-8B67-C503A115E53F}"/>
            </a:ext>
          </a:extLst>
        </cdr:cNvPr>
        <cdr:cNvSpPr txBox="1"/>
      </cdr:nvSpPr>
      <cdr:spPr>
        <a:xfrm xmlns:a="http://schemas.openxmlformats.org/drawingml/2006/main">
          <a:off x="2614414" y="4409640"/>
          <a:ext cx="7064395" cy="137399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Does not include ammunition of any kind, smaller arms and equipment, and </a:t>
          </a:r>
          <a:br>
            <a:rPr lang="de-DE" sz="1600" b="0">
              <a:latin typeface="Times New Roman" panose="02020603050405020304" pitchFamily="18" charset="0"/>
              <a:cs typeface="Times New Roman" panose="02020603050405020304" pitchFamily="18" charset="0"/>
            </a:rPr>
          </a:br>
          <a:r>
            <a:rPr lang="de-DE" sz="1600" b="0">
              <a:latin typeface="Times New Roman" panose="02020603050405020304" pitchFamily="18" charset="0"/>
              <a:cs typeface="Times New Roman" panose="02020603050405020304" pitchFamily="18" charset="0"/>
            </a:rPr>
            <a:t>large amounts of US funds committed for future weapons purchases. Heavy</a:t>
          </a:r>
          <a:r>
            <a:rPr lang="de-DE" sz="1600" b="0" baseline="0">
              <a:latin typeface="Times New Roman" panose="02020603050405020304" pitchFamily="18" charset="0"/>
              <a:cs typeface="Times New Roman" panose="02020603050405020304" pitchFamily="18" charset="0"/>
            </a:rPr>
            <a:t> weapons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include armored vehicles, tanks, 155mm and 152mm howitzers, and MLRS.</a:t>
          </a:r>
          <a:br>
            <a:rPr lang="de-DE" sz="1600" b="0">
              <a:latin typeface="Times New Roman" panose="02020603050405020304" pitchFamily="18" charset="0"/>
              <a:cs typeface="Times New Roman" panose="02020603050405020304" pitchFamily="18" charset="0"/>
            </a:rPr>
          </a:br>
          <a:r>
            <a:rPr lang="de-DE" sz="1600" b="0">
              <a:latin typeface="Times New Roman" panose="02020603050405020304" pitchFamily="18" charset="0"/>
              <a:cs typeface="Times New Roman" panose="02020603050405020304" pitchFamily="18" charset="0"/>
            </a:rPr>
            <a:t>The commitment values are calculated</a:t>
          </a:r>
          <a:r>
            <a:rPr lang="de-DE" sz="1600" b="0" baseline="0">
              <a:latin typeface="Times New Roman" panose="02020603050405020304" pitchFamily="18" charset="0"/>
              <a:cs typeface="Times New Roman" panose="02020603050405020304" pitchFamily="18" charset="0"/>
            </a:rPr>
            <a:t> based on </a:t>
          </a:r>
          <a:r>
            <a:rPr lang="de-DE" sz="1600" b="0">
              <a:latin typeface="Times New Roman" panose="02020603050405020304" pitchFamily="18" charset="0"/>
              <a:cs typeface="Times New Roman" panose="02020603050405020304" pitchFamily="18" charset="0"/>
            </a:rPr>
            <a:t>our own value and price estimates</a:t>
          </a:r>
          <a:br>
            <a:rPr lang="de-DE" sz="1600" b="0">
              <a:latin typeface="Times New Roman" panose="02020603050405020304" pitchFamily="18" charset="0"/>
              <a:cs typeface="Times New Roman" panose="02020603050405020304" pitchFamily="18" charset="0"/>
            </a:rPr>
          </a:br>
          <a:r>
            <a:rPr lang="de-DE" sz="1600" b="0">
              <a:latin typeface="Times New Roman" panose="02020603050405020304" pitchFamily="18" charset="0"/>
              <a:cs typeface="Times New Roman" panose="02020603050405020304" pitchFamily="18" charset="0"/>
            </a:rPr>
            <a:t>for</a:t>
          </a:r>
          <a:r>
            <a:rPr lang="de-DE" sz="1600" b="0" baseline="0">
              <a:latin typeface="Times New Roman" panose="02020603050405020304" pitchFamily="18" charset="0"/>
              <a:cs typeface="Times New Roman" panose="02020603050405020304" pitchFamily="18" charset="0"/>
            </a:rPr>
            <a:t> heavy weaponry.</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28.xml><?xml version="1.0" encoding="utf-8"?>
<xdr:wsDr xmlns:xdr="http://schemas.openxmlformats.org/drawingml/2006/spreadsheetDrawing" xmlns:a="http://schemas.openxmlformats.org/drawingml/2006/main">
  <xdr:twoCellAnchor>
    <xdr:from>
      <xdr:col>8</xdr:col>
      <xdr:colOff>962930</xdr:colOff>
      <xdr:row>11</xdr:row>
      <xdr:rowOff>65767</xdr:rowOff>
    </xdr:from>
    <xdr:to>
      <xdr:col>26</xdr:col>
      <xdr:colOff>281940</xdr:colOff>
      <xdr:row>52</xdr:row>
      <xdr:rowOff>15240</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0.77759</cdr:x>
      <cdr:y>0.14806</cdr:y>
    </cdr:from>
    <cdr:to>
      <cdr:x>0.97394</cdr:x>
      <cdr:y>0.19323</cdr:y>
    </cdr:to>
    <cdr:sp macro="" textlink="">
      <cdr:nvSpPr>
        <cdr:cNvPr id="2" name="Textfeld 12">
          <a:extLst xmlns:a="http://schemas.openxmlformats.org/drawingml/2006/main">
            <a:ext uri="{FF2B5EF4-FFF2-40B4-BE49-F238E27FC236}">
              <a16:creationId xmlns:a16="http://schemas.microsoft.com/office/drawing/2014/main" id="{00000000-0008-0000-1200-000008000000}"/>
            </a:ext>
          </a:extLst>
        </cdr:cNvPr>
        <cdr:cNvSpPr txBox="1"/>
      </cdr:nvSpPr>
      <cdr:spPr>
        <a:xfrm xmlns:a="http://schemas.openxmlformats.org/drawingml/2006/main">
          <a:off x="8938959" y="1212142"/>
          <a:ext cx="2257194" cy="369793"/>
        </a:xfrm>
        <a:prstGeom xmlns:a="http://schemas.openxmlformats.org/drawingml/2006/main" prst="rect">
          <a:avLst/>
        </a:prstGeom>
        <a:solidFill xmlns:a="http://schemas.openxmlformats.org/drawingml/2006/main">
          <a:schemeClr val="bg2"/>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de-DE" sz="2200">
              <a:latin typeface="Times New Roman" panose="02020603050405020304" pitchFamily="18" charset="0"/>
              <a:cs typeface="Times New Roman" panose="02020603050405020304" pitchFamily="18" charset="0"/>
            </a:rPr>
            <a:t>Tanks</a:t>
          </a:r>
        </a:p>
      </cdr:txBody>
    </cdr:sp>
  </cdr:relSizeAnchor>
  <cdr:relSizeAnchor xmlns:cdr="http://schemas.openxmlformats.org/drawingml/2006/chartDrawing">
    <cdr:from>
      <cdr:x>0.71656</cdr:x>
      <cdr:y>0.37158</cdr:y>
    </cdr:from>
    <cdr:to>
      <cdr:x>0.94612</cdr:x>
      <cdr:y>0.45575</cdr:y>
    </cdr:to>
    <cdr:sp macro="" textlink="">
      <cdr:nvSpPr>
        <cdr:cNvPr id="3" name="Textfeld 12">
          <a:extLst xmlns:a="http://schemas.openxmlformats.org/drawingml/2006/main">
            <a:ext uri="{FF2B5EF4-FFF2-40B4-BE49-F238E27FC236}">
              <a16:creationId xmlns:a16="http://schemas.microsoft.com/office/drawing/2014/main" id="{00000000-0008-0000-1200-000007000000}"/>
            </a:ext>
          </a:extLst>
        </cdr:cNvPr>
        <cdr:cNvSpPr txBox="1"/>
      </cdr:nvSpPr>
      <cdr:spPr>
        <a:xfrm xmlns:a="http://schemas.openxmlformats.org/drawingml/2006/main">
          <a:off x="8237354" y="3041985"/>
          <a:ext cx="2638969" cy="689074"/>
        </a:xfrm>
        <a:prstGeom xmlns:a="http://schemas.openxmlformats.org/drawingml/2006/main" prst="rect">
          <a:avLst/>
        </a:prstGeom>
        <a:solidFill xmlns:a="http://schemas.openxmlformats.org/drawingml/2006/main">
          <a:schemeClr val="bg2"/>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de-DE" sz="2200">
              <a:latin typeface="Times New Roman" panose="02020603050405020304" pitchFamily="18" charset="0"/>
              <a:cs typeface="Times New Roman" panose="02020603050405020304" pitchFamily="18" charset="0"/>
            </a:rPr>
            <a:t>Howitzers</a:t>
          </a:r>
          <a:br>
            <a:rPr lang="de-DE" sz="2200">
              <a:latin typeface="Times New Roman" panose="02020603050405020304" pitchFamily="18" charset="0"/>
              <a:cs typeface="Times New Roman" panose="02020603050405020304" pitchFamily="18" charset="0"/>
            </a:rPr>
          </a:br>
          <a:r>
            <a:rPr lang="de-DE" sz="2200">
              <a:latin typeface="Times New Roman" panose="02020603050405020304" pitchFamily="18" charset="0"/>
              <a:cs typeface="Times New Roman" panose="02020603050405020304" pitchFamily="18" charset="0"/>
            </a:rPr>
            <a:t>(155/152 mm)</a:t>
          </a:r>
        </a:p>
      </cdr:txBody>
    </cdr:sp>
  </cdr:relSizeAnchor>
  <cdr:relSizeAnchor xmlns:cdr="http://schemas.openxmlformats.org/drawingml/2006/chartDrawing">
    <cdr:from>
      <cdr:x>0.57769</cdr:x>
      <cdr:y>0.67627</cdr:y>
    </cdr:from>
    <cdr:to>
      <cdr:x>0.95401</cdr:x>
      <cdr:y>0.73623</cdr:y>
    </cdr:to>
    <cdr:sp macro="" textlink="">
      <cdr:nvSpPr>
        <cdr:cNvPr id="4" name="Textfeld 13">
          <a:extLst xmlns:a="http://schemas.openxmlformats.org/drawingml/2006/main">
            <a:ext uri="{FF2B5EF4-FFF2-40B4-BE49-F238E27FC236}">
              <a16:creationId xmlns:a16="http://schemas.microsoft.com/office/drawing/2014/main" id="{00000000-0008-0000-1200-000006000000}"/>
            </a:ext>
          </a:extLst>
        </cdr:cNvPr>
        <cdr:cNvSpPr txBox="1"/>
      </cdr:nvSpPr>
      <cdr:spPr>
        <a:xfrm xmlns:a="http://schemas.openxmlformats.org/drawingml/2006/main">
          <a:off x="6640951" y="5536451"/>
          <a:ext cx="4326088" cy="490874"/>
        </a:xfrm>
        <a:prstGeom xmlns:a="http://schemas.openxmlformats.org/drawingml/2006/main" prst="rect">
          <a:avLst/>
        </a:prstGeom>
        <a:solidFill xmlns:a="http://schemas.openxmlformats.org/drawingml/2006/main">
          <a:schemeClr val="bg2"/>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de-DE" sz="2200">
              <a:latin typeface="Times New Roman" panose="02020603050405020304" pitchFamily="18" charset="0"/>
              <a:cs typeface="Times New Roman" panose="02020603050405020304" pitchFamily="18" charset="0"/>
            </a:rPr>
            <a:t>Multiple</a:t>
          </a:r>
          <a:r>
            <a:rPr lang="de-DE" sz="2200" baseline="0">
              <a:latin typeface="Times New Roman" panose="02020603050405020304" pitchFamily="18" charset="0"/>
              <a:cs typeface="Times New Roman" panose="02020603050405020304" pitchFamily="18" charset="0"/>
            </a:rPr>
            <a:t> Launch Rocket Systems</a:t>
          </a:r>
          <a:endParaRPr lang="de-DE" sz="22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0.29639</cdr:x>
      <cdr:y>0.19854</cdr:y>
    </cdr:from>
    <cdr:to>
      <cdr:x>0.4229</cdr:x>
      <cdr:y>0.24507</cdr:y>
    </cdr:to>
    <cdr:sp macro="" textlink="">
      <cdr:nvSpPr>
        <cdr:cNvPr id="8" name="TextBox 11">
          <a:extLst xmlns:a="http://schemas.openxmlformats.org/drawingml/2006/main">
            <a:ext uri="{FF2B5EF4-FFF2-40B4-BE49-F238E27FC236}">
              <a16:creationId xmlns:a16="http://schemas.microsoft.com/office/drawing/2014/main" id="{00000000-0008-0000-1200-00000C000000}"/>
            </a:ext>
          </a:extLst>
        </cdr:cNvPr>
        <cdr:cNvSpPr txBox="1"/>
      </cdr:nvSpPr>
      <cdr:spPr>
        <a:xfrm xmlns:a="http://schemas.openxmlformats.org/drawingml/2006/main">
          <a:off x="3407211" y="1625386"/>
          <a:ext cx="1454330" cy="38092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700">
              <a:solidFill>
                <a:schemeClr val="bg1"/>
              </a:solidFill>
              <a:latin typeface="Times New Roman" panose="02020603050405020304" pitchFamily="18" charset="0"/>
              <a:cs typeface="Times New Roman" panose="02020603050405020304" pitchFamily="18" charset="0"/>
            </a:rPr>
            <a:t>UKR</a:t>
          </a:r>
          <a:r>
            <a:rPr lang="en-GB" sz="1700" baseline="0">
              <a:solidFill>
                <a:schemeClr val="bg1"/>
              </a:solidFill>
              <a:latin typeface="Times New Roman" panose="02020603050405020304" pitchFamily="18" charset="0"/>
              <a:cs typeface="Times New Roman" panose="02020603050405020304" pitchFamily="18" charset="0"/>
            </a:rPr>
            <a:t> pre-war</a:t>
          </a:r>
          <a:endParaRPr lang="en-GB" sz="1700">
            <a:solidFill>
              <a:schemeClr val="bg1"/>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0.28613</cdr:x>
      <cdr:y>0.48732</cdr:y>
    </cdr:from>
    <cdr:to>
      <cdr:x>0.41265</cdr:x>
      <cdr:y>0.53385</cdr:y>
    </cdr:to>
    <cdr:sp macro="" textlink="">
      <cdr:nvSpPr>
        <cdr:cNvPr id="9" name="TextBox 11">
          <a:extLst xmlns:a="http://schemas.openxmlformats.org/drawingml/2006/main">
            <a:ext uri="{FF2B5EF4-FFF2-40B4-BE49-F238E27FC236}">
              <a16:creationId xmlns:a16="http://schemas.microsoft.com/office/drawing/2014/main" id="{201B63C4-7F9E-4B75-AE91-0B74ADCA62AB}"/>
            </a:ext>
          </a:extLst>
        </cdr:cNvPr>
        <cdr:cNvSpPr txBox="1"/>
      </cdr:nvSpPr>
      <cdr:spPr>
        <a:xfrm xmlns:a="http://schemas.openxmlformats.org/drawingml/2006/main">
          <a:off x="3289281" y="3989552"/>
          <a:ext cx="1454444" cy="38092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700">
              <a:solidFill>
                <a:schemeClr val="bg1"/>
              </a:solidFill>
              <a:latin typeface="Times New Roman" panose="02020603050405020304" pitchFamily="18" charset="0"/>
              <a:cs typeface="Times New Roman" panose="02020603050405020304" pitchFamily="18" charset="0"/>
            </a:rPr>
            <a:t>UKR</a:t>
          </a:r>
          <a:r>
            <a:rPr lang="en-GB" sz="1700" baseline="0">
              <a:solidFill>
                <a:schemeClr val="bg1"/>
              </a:solidFill>
              <a:latin typeface="Times New Roman" panose="02020603050405020304" pitchFamily="18" charset="0"/>
              <a:cs typeface="Times New Roman" panose="02020603050405020304" pitchFamily="18" charset="0"/>
            </a:rPr>
            <a:t> pre-war</a:t>
          </a:r>
          <a:endParaRPr lang="en-GB" sz="1700">
            <a:solidFill>
              <a:schemeClr val="bg1"/>
            </a:solidFill>
            <a:latin typeface="Times New Roman" panose="02020603050405020304" pitchFamily="18" charset="0"/>
            <a:cs typeface="Times New Roman" panose="02020603050405020304" pitchFamily="18" charset="0"/>
          </a:endParaRP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6</xdr:col>
      <xdr:colOff>85725</xdr:colOff>
      <xdr:row>12</xdr:row>
      <xdr:rowOff>123825</xdr:rowOff>
    </xdr:from>
    <xdr:to>
      <xdr:col>17</xdr:col>
      <xdr:colOff>457200</xdr:colOff>
      <xdr:row>47</xdr:row>
      <xdr:rowOff>95250</xdr:rowOff>
    </xdr:to>
    <xdr:pic>
      <xdr:nvPicPr>
        <xdr:cNvPr id="27" name="Bild 4">
          <a:extLst>
            <a:ext uri="{FF2B5EF4-FFF2-40B4-BE49-F238E27FC236}">
              <a16:creationId xmlns:a16="http://schemas.microsoft.com/office/drawing/2014/main" id="{00000000-0008-0000-0700-00001B000000}"/>
            </a:ext>
            <a:ext uri="{147F2762-F138-4A5C-976F-8EAC2B608ADB}">
              <a16:predDERef xmlns:a16="http://schemas.microsoft.com/office/drawing/2014/main" pred="{7DBEDEA7-19A1-9011-EBB3-2B60493E6598}"/>
            </a:ext>
          </a:extLst>
        </xdr:cNvPr>
        <xdr:cNvPicPr>
          <a:picLocks noChangeAspect="1"/>
        </xdr:cNvPicPr>
      </xdr:nvPicPr>
      <xdr:blipFill>
        <a:blip xmlns:r="http://schemas.openxmlformats.org/officeDocument/2006/relationships" r:embed="rId1"/>
        <a:stretch>
          <a:fillRect/>
        </a:stretch>
      </xdr:blipFill>
      <xdr:spPr>
        <a:xfrm>
          <a:off x="12868275" y="2752725"/>
          <a:ext cx="7600950" cy="6972300"/>
        </a:xfrm>
        <a:prstGeom prst="rect">
          <a:avLst/>
        </a:prstGeom>
      </xdr:spPr>
    </xdr:pic>
    <xdr:clientData/>
  </xdr:twoCellAnchor>
  <xdr:twoCellAnchor editAs="oneCell">
    <xdr:from>
      <xdr:col>18</xdr:col>
      <xdr:colOff>28575</xdr:colOff>
      <xdr:row>12</xdr:row>
      <xdr:rowOff>152400</xdr:rowOff>
    </xdr:from>
    <xdr:to>
      <xdr:col>29</xdr:col>
      <xdr:colOff>533400</xdr:colOff>
      <xdr:row>46</xdr:row>
      <xdr:rowOff>180975</xdr:rowOff>
    </xdr:to>
    <xdr:pic>
      <xdr:nvPicPr>
        <xdr:cNvPr id="35" name="Bild 6">
          <a:extLst>
            <a:ext uri="{FF2B5EF4-FFF2-40B4-BE49-F238E27FC236}">
              <a16:creationId xmlns:a16="http://schemas.microsoft.com/office/drawing/2014/main" id="{00000000-0008-0000-0700-000023000000}"/>
            </a:ext>
            <a:ext uri="{147F2762-F138-4A5C-976F-8EAC2B608ADB}">
              <a16:predDERef xmlns:a16="http://schemas.microsoft.com/office/drawing/2014/main" pred="{42837ED0-F4A4-6C48-D900-0EC41A71A72E}"/>
            </a:ext>
          </a:extLst>
        </xdr:cNvPr>
        <xdr:cNvPicPr>
          <a:picLocks noChangeAspect="1"/>
        </xdr:cNvPicPr>
      </xdr:nvPicPr>
      <xdr:blipFill>
        <a:blip xmlns:r="http://schemas.openxmlformats.org/officeDocument/2006/relationships" r:embed="rId2"/>
        <a:stretch>
          <a:fillRect/>
        </a:stretch>
      </xdr:blipFill>
      <xdr:spPr>
        <a:xfrm>
          <a:off x="20697825" y="2781300"/>
          <a:ext cx="7734300" cy="68294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20</xdr:col>
      <xdr:colOff>217713</xdr:colOff>
      <xdr:row>24</xdr:row>
      <xdr:rowOff>41729</xdr:rowOff>
    </xdr:from>
    <xdr:to>
      <xdr:col>21</xdr:col>
      <xdr:colOff>63500</xdr:colOff>
      <xdr:row>25</xdr:row>
      <xdr:rowOff>57151</xdr:rowOff>
    </xdr:to>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13298713" y="4766129"/>
          <a:ext cx="499837" cy="212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bg1"/>
              </a:solidFill>
              <a:latin typeface="Times New Roman" panose="02020603050405020304" pitchFamily="18" charset="0"/>
              <a:cs typeface="Times New Roman" panose="02020603050405020304" pitchFamily="18" charset="0"/>
            </a:rPr>
            <a:t>OTR</a:t>
          </a:r>
        </a:p>
      </xdr:txBody>
    </xdr:sp>
    <xdr:clientData/>
  </xdr:twoCellAnchor>
  <xdr:twoCellAnchor>
    <xdr:from>
      <xdr:col>20</xdr:col>
      <xdr:colOff>344713</xdr:colOff>
      <xdr:row>16</xdr:row>
      <xdr:rowOff>92529</xdr:rowOff>
    </xdr:from>
    <xdr:to>
      <xdr:col>21</xdr:col>
      <xdr:colOff>190500</xdr:colOff>
      <xdr:row>17</xdr:row>
      <xdr:rowOff>107951</xdr:rowOff>
    </xdr:to>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13425713" y="3242129"/>
          <a:ext cx="499837" cy="212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bg1"/>
              </a:solidFill>
              <a:latin typeface="Times New Roman" panose="02020603050405020304" pitchFamily="18" charset="0"/>
              <a:cs typeface="Times New Roman" panose="02020603050405020304" pitchFamily="18" charset="0"/>
            </a:rPr>
            <a:t>OTR</a:t>
          </a:r>
        </a:p>
      </xdr:txBody>
    </xdr:sp>
    <xdr:clientData/>
  </xdr:twoCellAnchor>
  <xdr:twoCellAnchor>
    <xdr:from>
      <xdr:col>19</xdr:col>
      <xdr:colOff>61425</xdr:colOff>
      <xdr:row>11</xdr:row>
      <xdr:rowOff>132697</xdr:rowOff>
    </xdr:from>
    <xdr:to>
      <xdr:col>35</xdr:col>
      <xdr:colOff>283928</xdr:colOff>
      <xdr:row>50</xdr:row>
      <xdr:rowOff>4072</xdr:rowOff>
    </xdr:to>
    <xdr:grpSp>
      <xdr:nvGrpSpPr>
        <xdr:cNvPr id="4" name="Group 3">
          <a:extLst>
            <a:ext uri="{FF2B5EF4-FFF2-40B4-BE49-F238E27FC236}">
              <a16:creationId xmlns:a16="http://schemas.microsoft.com/office/drawing/2014/main" id="{00000000-0008-0000-1500-000004000000}"/>
            </a:ext>
          </a:extLst>
        </xdr:cNvPr>
        <xdr:cNvGrpSpPr/>
      </xdr:nvGrpSpPr>
      <xdr:grpSpPr>
        <a:xfrm>
          <a:off x="22045125" y="2561572"/>
          <a:ext cx="10738103" cy="7672350"/>
          <a:chOff x="11510634" y="766199"/>
          <a:chExt cx="12663023" cy="5396637"/>
        </a:xfrm>
      </xdr:grpSpPr>
      <xdr:grpSp>
        <xdr:nvGrpSpPr>
          <xdr:cNvPr id="5" name="Group 4">
            <a:extLst>
              <a:ext uri="{FF2B5EF4-FFF2-40B4-BE49-F238E27FC236}">
                <a16:creationId xmlns:a16="http://schemas.microsoft.com/office/drawing/2014/main" id="{00000000-0008-0000-1500-000005000000}"/>
              </a:ext>
            </a:extLst>
          </xdr:cNvPr>
          <xdr:cNvGrpSpPr/>
        </xdr:nvGrpSpPr>
        <xdr:grpSpPr>
          <a:xfrm>
            <a:off x="11510634" y="766199"/>
            <a:ext cx="12663023" cy="5396637"/>
            <a:chOff x="11498121" y="1400132"/>
            <a:chExt cx="9724159" cy="5396637"/>
          </a:xfrm>
        </xdr:grpSpPr>
        <xdr:graphicFrame macro="">
          <xdr:nvGraphicFramePr>
            <xdr:cNvPr id="9" name="Chart 8">
              <a:extLst>
                <a:ext uri="{FF2B5EF4-FFF2-40B4-BE49-F238E27FC236}">
                  <a16:creationId xmlns:a16="http://schemas.microsoft.com/office/drawing/2014/main" id="{00000000-0008-0000-1500-000009000000}"/>
                </a:ext>
              </a:extLst>
            </xdr:cNvPr>
            <xdr:cNvGraphicFramePr>
              <a:graphicFrameLocks/>
            </xdr:cNvGraphicFramePr>
          </xdr:nvGraphicFramePr>
          <xdr:xfrm>
            <a:off x="11498121" y="1400132"/>
            <a:ext cx="9724159" cy="539663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0" name="Straight Connector 9">
              <a:extLst>
                <a:ext uri="{FF2B5EF4-FFF2-40B4-BE49-F238E27FC236}">
                  <a16:creationId xmlns:a16="http://schemas.microsoft.com/office/drawing/2014/main" id="{00000000-0008-0000-1500-00000A000000}"/>
                </a:ext>
              </a:extLst>
            </xdr:cNvPr>
            <xdr:cNvCxnSpPr/>
          </xdr:nvCxnSpPr>
          <xdr:spPr>
            <a:xfrm>
              <a:off x="13621991" y="6471734"/>
              <a:ext cx="7237356" cy="0"/>
            </a:xfrm>
            <a:prstGeom prst="line">
              <a:avLst/>
            </a:prstGeom>
            <a:ln w="9525"/>
          </xdr:spPr>
          <xdr:style>
            <a:lnRef idx="1">
              <a:schemeClr val="dk1"/>
            </a:lnRef>
            <a:fillRef idx="0">
              <a:schemeClr val="dk1"/>
            </a:fillRef>
            <a:effectRef idx="0">
              <a:schemeClr val="dk1"/>
            </a:effectRef>
            <a:fontRef idx="minor">
              <a:schemeClr val="tx1"/>
            </a:fontRef>
          </xdr:style>
        </xdr:cxnSp>
      </xdr:grpSp>
      <xdr:sp macro="" textlink="">
        <xdr:nvSpPr>
          <xdr:cNvPr id="6" name="Textfeld 13">
            <a:extLst>
              <a:ext uri="{FF2B5EF4-FFF2-40B4-BE49-F238E27FC236}">
                <a16:creationId xmlns:a16="http://schemas.microsoft.com/office/drawing/2014/main" id="{00000000-0008-0000-1500-000006000000}"/>
              </a:ext>
            </a:extLst>
          </xdr:cNvPr>
          <xdr:cNvSpPr txBox="1"/>
        </xdr:nvSpPr>
        <xdr:spPr>
          <a:xfrm>
            <a:off x="16751286" y="4925251"/>
            <a:ext cx="4144109" cy="250159"/>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800">
                <a:latin typeface="Times New Roman" panose="02020603050405020304" pitchFamily="18" charset="0"/>
                <a:cs typeface="Times New Roman" panose="02020603050405020304" pitchFamily="18" charset="0"/>
              </a:rPr>
              <a:t>Multiple</a:t>
            </a:r>
            <a:r>
              <a:rPr lang="de-DE" sz="1800" baseline="0">
                <a:latin typeface="Times New Roman" panose="02020603050405020304" pitchFamily="18" charset="0"/>
                <a:cs typeface="Times New Roman" panose="02020603050405020304" pitchFamily="18" charset="0"/>
              </a:rPr>
              <a:t> Launch Rocket Systems</a:t>
            </a:r>
            <a:endParaRPr lang="de-DE" sz="1800">
              <a:latin typeface="Times New Roman" panose="02020603050405020304" pitchFamily="18" charset="0"/>
              <a:cs typeface="Times New Roman" panose="02020603050405020304" pitchFamily="18" charset="0"/>
            </a:endParaRPr>
          </a:p>
        </xdr:txBody>
      </xdr:sp>
      <xdr:sp macro="" textlink="">
        <xdr:nvSpPr>
          <xdr:cNvPr id="7" name="Textfeld 12">
            <a:extLst>
              <a:ext uri="{FF2B5EF4-FFF2-40B4-BE49-F238E27FC236}">
                <a16:creationId xmlns:a16="http://schemas.microsoft.com/office/drawing/2014/main" id="{00000000-0008-0000-1500-000007000000}"/>
              </a:ext>
            </a:extLst>
          </xdr:cNvPr>
          <xdr:cNvSpPr txBox="1"/>
        </xdr:nvSpPr>
        <xdr:spPr>
          <a:xfrm>
            <a:off x="18428189" y="3136427"/>
            <a:ext cx="3120595" cy="449159"/>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DE" sz="1800">
                <a:latin typeface="Times New Roman" panose="02020603050405020304" pitchFamily="18" charset="0"/>
                <a:cs typeface="Times New Roman" panose="02020603050405020304" pitchFamily="18" charset="0"/>
              </a:rPr>
              <a:t>Howitzers</a:t>
            </a:r>
            <a:br>
              <a:rPr lang="de-DE" sz="1800">
                <a:latin typeface="Times New Roman" panose="02020603050405020304" pitchFamily="18" charset="0"/>
                <a:cs typeface="Times New Roman" panose="02020603050405020304" pitchFamily="18" charset="0"/>
              </a:rPr>
            </a:br>
            <a:r>
              <a:rPr lang="de-DE" sz="1800">
                <a:latin typeface="Times New Roman" panose="02020603050405020304" pitchFamily="18" charset="0"/>
                <a:cs typeface="Times New Roman" panose="02020603050405020304" pitchFamily="18" charset="0"/>
              </a:rPr>
              <a:t>(155/152 mm)</a:t>
            </a:r>
          </a:p>
        </xdr:txBody>
      </xdr:sp>
      <xdr:sp macro="" textlink="">
        <xdr:nvSpPr>
          <xdr:cNvPr id="8" name="Textfeld 12">
            <a:extLst>
              <a:ext uri="{FF2B5EF4-FFF2-40B4-BE49-F238E27FC236}">
                <a16:creationId xmlns:a16="http://schemas.microsoft.com/office/drawing/2014/main" id="{00000000-0008-0000-1500-000008000000}"/>
              </a:ext>
            </a:extLst>
          </xdr:cNvPr>
          <xdr:cNvSpPr txBox="1"/>
        </xdr:nvSpPr>
        <xdr:spPr>
          <a:xfrm>
            <a:off x="20929107" y="1754684"/>
            <a:ext cx="2669184" cy="262419"/>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DE" sz="1800">
                <a:latin typeface="Times New Roman" panose="02020603050405020304" pitchFamily="18" charset="0"/>
                <a:cs typeface="Times New Roman" panose="02020603050405020304" pitchFamily="18" charset="0"/>
              </a:rPr>
              <a:t>Tanks</a:t>
            </a:r>
          </a:p>
        </xdr:txBody>
      </xdr:sp>
    </xdr:grpSp>
    <xdr:clientData/>
  </xdr:twoCellAnchor>
  <xdr:twoCellAnchor>
    <xdr:from>
      <xdr:col>27</xdr:col>
      <xdr:colOff>563822</xdr:colOff>
      <xdr:row>34</xdr:row>
      <xdr:rowOff>48318</xdr:rowOff>
    </xdr:from>
    <xdr:to>
      <xdr:col>34</xdr:col>
      <xdr:colOff>476250</xdr:colOff>
      <xdr:row>39</xdr:row>
      <xdr:rowOff>120016</xdr:rowOff>
    </xdr:to>
    <xdr:sp macro="" textlink="">
      <xdr:nvSpPr>
        <xdr:cNvPr id="11" name="Textfeld 8">
          <a:extLst>
            <a:ext uri="{FF2B5EF4-FFF2-40B4-BE49-F238E27FC236}">
              <a16:creationId xmlns:a16="http://schemas.microsoft.com/office/drawing/2014/main" id="{00000000-0008-0000-1500-00000B000000}"/>
            </a:ext>
          </a:extLst>
        </xdr:cNvPr>
        <xdr:cNvSpPr txBox="1"/>
      </xdr:nvSpPr>
      <xdr:spPr>
        <a:xfrm>
          <a:off x="27805322" y="7077768"/>
          <a:ext cx="4513003" cy="1071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a:latin typeface="Times New Roman" panose="02020603050405020304" pitchFamily="18" charset="0"/>
              <a:cs typeface="Times New Roman" panose="02020603050405020304" pitchFamily="18" charset="0"/>
            </a:rPr>
            <a:t>Note: Weapon stock estimates of tanks, howitzers, and MRLS compared with donations to Ukraine. </a:t>
          </a:r>
          <a:br>
            <a:rPr lang="de-DE" sz="1600">
              <a:latin typeface="Times New Roman" panose="02020603050405020304" pitchFamily="18" charset="0"/>
              <a:cs typeface="Times New Roman" panose="02020603050405020304" pitchFamily="18" charset="0"/>
            </a:rPr>
          </a:br>
          <a:r>
            <a:rPr lang="de-DE" sz="1600">
              <a:latin typeface="Times New Roman" panose="02020603050405020304" pitchFamily="18" charset="0"/>
              <a:cs typeface="Times New Roman" panose="02020603050405020304" pitchFamily="18" charset="0"/>
            </a:rPr>
            <a:t>The data on stock comes from IISS, Military Balance (2022) and considers only weapons ready to use. </a:t>
          </a:r>
        </a:p>
      </xdr:txBody>
    </xdr:sp>
    <xdr:clientData/>
  </xdr:twoCellAnchor>
  <xdr:twoCellAnchor>
    <xdr:from>
      <xdr:col>31</xdr:col>
      <xdr:colOff>619126</xdr:colOff>
      <xdr:row>45</xdr:row>
      <xdr:rowOff>14432</xdr:rowOff>
    </xdr:from>
    <xdr:to>
      <xdr:col>34</xdr:col>
      <xdr:colOff>514350</xdr:colOff>
      <xdr:row>47</xdr:row>
      <xdr:rowOff>1732</xdr:rowOff>
    </xdr:to>
    <xdr:sp macro="" textlink="">
      <xdr:nvSpPr>
        <xdr:cNvPr id="12" name="TextBox 11">
          <a:extLst>
            <a:ext uri="{FF2B5EF4-FFF2-40B4-BE49-F238E27FC236}">
              <a16:creationId xmlns:a16="http://schemas.microsoft.com/office/drawing/2014/main" id="{00000000-0008-0000-1500-00000C000000}"/>
            </a:ext>
          </a:extLst>
        </xdr:cNvPr>
        <xdr:cNvSpPr txBox="1"/>
      </xdr:nvSpPr>
      <xdr:spPr>
        <a:xfrm>
          <a:off x="30489526" y="9244157"/>
          <a:ext cx="1866899" cy="3873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a:latin typeface="Times New Roman" panose="02020603050405020304" pitchFamily="18" charset="0"/>
              <a:cs typeface="Times New Roman" panose="02020603050405020304" pitchFamily="18" charset="0"/>
            </a:rPr>
            <a:t>number</a:t>
          </a:r>
          <a:r>
            <a:rPr lang="en-GB" sz="2000" baseline="0">
              <a:latin typeface="Times New Roman" panose="02020603050405020304" pitchFamily="18" charset="0"/>
              <a:cs typeface="Times New Roman" panose="02020603050405020304" pitchFamily="18" charset="0"/>
            </a:rPr>
            <a:t> of items</a:t>
          </a:r>
          <a:endParaRPr lang="en-GB" sz="2000">
            <a:latin typeface="Times New Roman" panose="02020603050405020304" pitchFamily="18" charset="0"/>
            <a:cs typeface="Times New Roman" panose="02020603050405020304" pitchFamily="18" charset="0"/>
          </a:endParaRPr>
        </a:p>
      </xdr:txBody>
    </xdr:sp>
    <xdr:clientData/>
  </xdr:twoCellAnchor>
</xdr:wsDr>
</file>

<file path=xl/drawings/drawing31.xml><?xml version="1.0" encoding="utf-8"?>
<c:userShapes xmlns:c="http://schemas.openxmlformats.org/drawingml/2006/chart">
  <cdr:relSizeAnchor xmlns:cdr="http://schemas.openxmlformats.org/drawingml/2006/chartDrawing">
    <cdr:from>
      <cdr:x>0.30019</cdr:x>
      <cdr:y>0.58964</cdr:y>
    </cdr:from>
    <cdr:to>
      <cdr:x>0.46436</cdr:x>
      <cdr:y>0.6686</cdr:y>
    </cdr:to>
    <cdr:sp macro="" textlink="">
      <cdr:nvSpPr>
        <cdr:cNvPr id="3" name="TextBox 2">
          <a:extLst xmlns:a="http://schemas.openxmlformats.org/drawingml/2006/main">
            <a:ext uri="{FF2B5EF4-FFF2-40B4-BE49-F238E27FC236}">
              <a16:creationId xmlns:a16="http://schemas.microsoft.com/office/drawing/2014/main" id="{1B642954-8D80-9B17-0731-08923331B3DA}"/>
            </a:ext>
          </a:extLst>
        </cdr:cNvPr>
        <cdr:cNvSpPr txBox="1"/>
      </cdr:nvSpPr>
      <cdr:spPr>
        <a:xfrm xmlns:a="http://schemas.openxmlformats.org/drawingml/2006/main">
          <a:off x="3192951" y="4742101"/>
          <a:ext cx="1746250" cy="635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32.xml><?xml version="1.0" encoding="utf-8"?>
<xdr:wsDr xmlns:xdr="http://schemas.openxmlformats.org/drawingml/2006/spreadsheetDrawing" xmlns:a="http://schemas.openxmlformats.org/drawingml/2006/main">
  <xdr:twoCellAnchor>
    <xdr:from>
      <xdr:col>15</xdr:col>
      <xdr:colOff>187323</xdr:colOff>
      <xdr:row>11</xdr:row>
      <xdr:rowOff>126999</xdr:rowOff>
    </xdr:from>
    <xdr:to>
      <xdr:col>31</xdr:col>
      <xdr:colOff>164755</xdr:colOff>
      <xdr:row>50</xdr:row>
      <xdr:rowOff>122199</xdr:rowOff>
    </xdr:to>
    <xdr:grpSp>
      <xdr:nvGrpSpPr>
        <xdr:cNvPr id="13" name="Group 12">
          <a:extLst>
            <a:ext uri="{FF2B5EF4-FFF2-40B4-BE49-F238E27FC236}">
              <a16:creationId xmlns:a16="http://schemas.microsoft.com/office/drawing/2014/main" id="{00000000-0008-0000-1600-00000D000000}"/>
            </a:ext>
          </a:extLst>
        </xdr:cNvPr>
        <xdr:cNvGrpSpPr/>
      </xdr:nvGrpSpPr>
      <xdr:grpSpPr>
        <a:xfrm>
          <a:off x="32562798" y="2555874"/>
          <a:ext cx="10978807" cy="7796175"/>
          <a:chOff x="9668357" y="494193"/>
          <a:chExt cx="8648973" cy="6385043"/>
        </a:xfrm>
      </xdr:grpSpPr>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9668357" y="494193"/>
          <a:ext cx="8648973" cy="638504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0" name="Textfeld 4">
            <a:extLst>
              <a:ext uri="{FF2B5EF4-FFF2-40B4-BE49-F238E27FC236}">
                <a16:creationId xmlns:a16="http://schemas.microsoft.com/office/drawing/2014/main" id="{00000000-0008-0000-1600-00000A000000}"/>
              </a:ext>
            </a:extLst>
          </xdr:cNvPr>
          <xdr:cNvSpPr txBox="1"/>
        </xdr:nvSpPr>
        <xdr:spPr>
          <a:xfrm>
            <a:off x="13722865" y="4346540"/>
            <a:ext cx="4054052" cy="109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i="0">
                <a:latin typeface="Times New Roman" panose="02020603050405020304" pitchFamily="18" charset="0"/>
                <a:cs typeface="Times New Roman" panose="02020603050405020304" pitchFamily="18" charset="0"/>
              </a:rPr>
              <a:t>Average share of heavy weapon stocks sent to Ukraine by country (average of tanks, howitzers (155, 152 mm), and MRLS shares sent). Stocks</a:t>
            </a:r>
            <a:r>
              <a:rPr lang="de-DE" sz="1600" i="0" baseline="0">
                <a:latin typeface="Times New Roman" panose="02020603050405020304" pitchFamily="18" charset="0"/>
                <a:cs typeface="Times New Roman" panose="02020603050405020304" pitchFamily="18" charset="0"/>
              </a:rPr>
              <a:t> numbers are taken from</a:t>
            </a:r>
            <a:r>
              <a:rPr lang="de-DE" sz="1600" i="0">
                <a:latin typeface="Times New Roman" panose="02020603050405020304" pitchFamily="18" charset="0"/>
                <a:cs typeface="Times New Roman" panose="02020603050405020304" pitchFamily="18" charset="0"/>
              </a:rPr>
              <a:t> IISS (2022) estimates</a:t>
            </a:r>
            <a:r>
              <a:rPr lang="de-DE" sz="1600" i="0" baseline="0">
                <a:latin typeface="Times New Roman" panose="02020603050405020304" pitchFamily="18" charset="0"/>
                <a:cs typeface="Times New Roman" panose="02020603050405020304" pitchFamily="18" charset="0"/>
              </a:rPr>
              <a:t> and</a:t>
            </a:r>
            <a:r>
              <a:rPr lang="de-DE" sz="1600" i="0">
                <a:latin typeface="Times New Roman" panose="02020603050405020304" pitchFamily="18" charset="0"/>
                <a:cs typeface="Times New Roman" panose="02020603050405020304" pitchFamily="18" charset="0"/>
              </a:rPr>
              <a:t> consider only  weapons ready to use.</a:t>
            </a:r>
            <a:r>
              <a:rPr lang="de-DE" sz="1600" i="0" baseline="0">
                <a:latin typeface="Times New Roman" panose="02020603050405020304" pitchFamily="18" charset="0"/>
                <a:cs typeface="Times New Roman" panose="02020603050405020304" pitchFamily="18" charset="0"/>
              </a:rPr>
              <a:t> There is no</a:t>
            </a:r>
            <a:r>
              <a:rPr lang="de-DE" sz="1600" i="0">
                <a:latin typeface="Times New Roman" panose="02020603050405020304" pitchFamily="18" charset="0"/>
                <a:cs typeface="Times New Roman" panose="02020603050405020304" pitchFamily="18" charset="0"/>
              </a:rPr>
              <a:t> differentiation</a:t>
            </a:r>
            <a:r>
              <a:rPr lang="de-DE" sz="1600" i="0" baseline="0">
                <a:latin typeface="Times New Roman" panose="02020603050405020304" pitchFamily="18" charset="0"/>
                <a:cs typeface="Times New Roman" panose="02020603050405020304" pitchFamily="18" charset="0"/>
              </a:rPr>
              <a:t> </a:t>
            </a:r>
            <a:r>
              <a:rPr lang="de-DE" sz="1600" i="0">
                <a:latin typeface="Times New Roman" panose="02020603050405020304" pitchFamily="18" charset="0"/>
                <a:cs typeface="Times New Roman" panose="02020603050405020304" pitchFamily="18" charset="0"/>
              </a:rPr>
              <a:t>by quality/cost/age of weapons. </a:t>
            </a:r>
          </a:p>
          <a:p>
            <a:br>
              <a:rPr lang="de-DE" sz="1600" i="0">
                <a:latin typeface="Times New Roman" panose="02020603050405020304" pitchFamily="18" charset="0"/>
                <a:cs typeface="Times New Roman" panose="02020603050405020304" pitchFamily="18" charset="0"/>
              </a:rPr>
            </a:br>
            <a:endParaRPr lang="de-DE" sz="1600" i="0">
              <a:latin typeface="Times New Roman" panose="02020603050405020304" pitchFamily="18" charset="0"/>
              <a:cs typeface="Times New Roman" panose="02020603050405020304" pitchFamily="18" charset="0"/>
            </a:endParaRPr>
          </a:p>
        </xdr:txBody>
      </xdr:sp>
    </xdr:grpSp>
    <xdr:clientData/>
  </xdr:twoCellAnchor>
</xdr:wsDr>
</file>

<file path=xl/drawings/drawing33.xml><?xml version="1.0" encoding="utf-8"?>
<c:userShapes xmlns:c="http://schemas.openxmlformats.org/drawingml/2006/chart">
  <cdr:relSizeAnchor xmlns:cdr="http://schemas.openxmlformats.org/drawingml/2006/chartDrawing">
    <cdr:from>
      <cdr:x>0.61888</cdr:x>
      <cdr:y>0.17064</cdr:y>
    </cdr:from>
    <cdr:to>
      <cdr:x>0.65792</cdr:x>
      <cdr:y>0.22928</cdr:y>
    </cdr:to>
    <cdr:cxnSp macro="">
      <cdr:nvCxnSpPr>
        <cdr:cNvPr id="3" name="Straight Arrow Connector 2">
          <a:extLst xmlns:a="http://schemas.openxmlformats.org/drawingml/2006/main">
            <a:ext uri="{FF2B5EF4-FFF2-40B4-BE49-F238E27FC236}">
              <a16:creationId xmlns:a16="http://schemas.microsoft.com/office/drawing/2014/main" id="{B175491A-C59E-55AE-3F51-6E5A93EFB05E}"/>
            </a:ext>
          </a:extLst>
        </cdr:cNvPr>
        <cdr:cNvCxnSpPr/>
      </cdr:nvCxnSpPr>
      <cdr:spPr>
        <a:xfrm xmlns:a="http://schemas.openxmlformats.org/drawingml/2006/main" flipH="1" flipV="1">
          <a:off x="6794554" y="1330336"/>
          <a:ext cx="428612" cy="457167"/>
        </a:xfrm>
        <a:prstGeom xmlns:a="http://schemas.openxmlformats.org/drawingml/2006/main" prst="straightConnector1">
          <a:avLst/>
        </a:prstGeom>
        <a:ln xmlns:a="http://schemas.openxmlformats.org/drawingml/2006/main" w="19050">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0.21058</cdr:x>
      <cdr:y>0.93326</cdr:y>
    </cdr:from>
    <cdr:to>
      <cdr:x>0.9768</cdr:x>
      <cdr:y>0.93326</cdr:y>
    </cdr:to>
    <cdr:cxnSp macro="">
      <cdr:nvCxnSpPr>
        <cdr:cNvPr id="4" name="Straight Connector 3">
          <a:extLst xmlns:a="http://schemas.openxmlformats.org/drawingml/2006/main">
            <a:ext uri="{FF2B5EF4-FFF2-40B4-BE49-F238E27FC236}">
              <a16:creationId xmlns:a16="http://schemas.microsoft.com/office/drawing/2014/main" id="{2CD3864D-F567-58D3-0696-056DA3F7257C}"/>
            </a:ext>
          </a:extLst>
        </cdr:cNvPr>
        <cdr:cNvCxnSpPr/>
      </cdr:nvCxnSpPr>
      <cdr:spPr>
        <a:xfrm xmlns:a="http://schemas.openxmlformats.org/drawingml/2006/main">
          <a:off x="2301877" y="7391401"/>
          <a:ext cx="8375650" cy="0"/>
        </a:xfrm>
        <a:prstGeom xmlns:a="http://schemas.openxmlformats.org/drawingml/2006/main" prst="line">
          <a:avLst/>
        </a:prstGeom>
        <a:ln xmlns:a="http://schemas.openxmlformats.org/drawingml/2006/main" w="12700">
          <a:solidFill>
            <a:sysClr val="windowText" lastClr="000000"/>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0.80305</cdr:x>
      <cdr:y>0.06618</cdr:y>
    </cdr:from>
    <cdr:to>
      <cdr:x>0.86377</cdr:x>
      <cdr:y>0.11627</cdr:y>
    </cdr:to>
    <cdr:cxnSp macro="">
      <cdr:nvCxnSpPr>
        <cdr:cNvPr id="6" name="Straight Arrow Connector 2">
          <a:extLst xmlns:a="http://schemas.openxmlformats.org/drawingml/2006/main">
            <a:ext uri="{FF2B5EF4-FFF2-40B4-BE49-F238E27FC236}">
              <a16:creationId xmlns:a16="http://schemas.microsoft.com/office/drawing/2014/main" id="{010E4673-D0D7-45F4-913F-D7960AF5D4AE}"/>
            </a:ext>
          </a:extLst>
        </cdr:cNvPr>
        <cdr:cNvCxnSpPr/>
      </cdr:nvCxnSpPr>
      <cdr:spPr>
        <a:xfrm xmlns:a="http://schemas.openxmlformats.org/drawingml/2006/main" flipH="1" flipV="1">
          <a:off x="8826932" y="536033"/>
          <a:ext cx="667422" cy="405734"/>
        </a:xfrm>
        <a:prstGeom xmlns:a="http://schemas.openxmlformats.org/drawingml/2006/main" prst="straightConnector1">
          <a:avLst/>
        </a:prstGeom>
        <a:ln xmlns:a="http://schemas.openxmlformats.org/drawingml/2006/main" w="19050">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4.xml><?xml version="1.0" encoding="utf-8"?>
<xdr:wsDr xmlns:xdr="http://schemas.openxmlformats.org/drawingml/2006/spreadsheetDrawing" xmlns:a="http://schemas.openxmlformats.org/drawingml/2006/main">
  <xdr:twoCellAnchor>
    <xdr:from>
      <xdr:col>6</xdr:col>
      <xdr:colOff>118619</xdr:colOff>
      <xdr:row>12</xdr:row>
      <xdr:rowOff>121920</xdr:rowOff>
    </xdr:from>
    <xdr:to>
      <xdr:col>20</xdr:col>
      <xdr:colOff>520494</xdr:colOff>
      <xdr:row>64</xdr:row>
      <xdr:rowOff>68580</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0.77076</cdr:x>
      <cdr:y>0.89112</cdr:y>
    </cdr:from>
    <cdr:to>
      <cdr:x>0.94926</cdr:x>
      <cdr:y>0.92454</cdr:y>
    </cdr:to>
    <cdr:sp macro="" textlink="">
      <cdr:nvSpPr>
        <cdr:cNvPr id="2" name="TextBox 5">
          <a:extLst xmlns:a="http://schemas.openxmlformats.org/drawingml/2006/main">
            <a:ext uri="{FF2B5EF4-FFF2-40B4-BE49-F238E27FC236}">
              <a16:creationId xmlns:a16="http://schemas.microsoft.com/office/drawing/2014/main" id="{82D0A0A8-0BA9-935B-28F8-2191CDC0BEDC}"/>
            </a:ext>
          </a:extLst>
        </cdr:cNvPr>
        <cdr:cNvSpPr txBox="1"/>
      </cdr:nvSpPr>
      <cdr:spPr>
        <a:xfrm xmlns:a="http://schemas.openxmlformats.org/drawingml/2006/main">
          <a:off x="8303162" y="9133000"/>
          <a:ext cx="1922926" cy="342518"/>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2000">
              <a:latin typeface="Times New Roman" panose="02020603050405020304" pitchFamily="18" charset="0"/>
              <a:cs typeface="Times New Roman" panose="02020603050405020304" pitchFamily="18" charset="0"/>
            </a:rPr>
            <a:t>number</a:t>
          </a:r>
          <a:r>
            <a:rPr lang="en-GB" sz="2000" baseline="0">
              <a:latin typeface="Times New Roman" panose="02020603050405020304" pitchFamily="18" charset="0"/>
              <a:cs typeface="Times New Roman" panose="02020603050405020304" pitchFamily="18" charset="0"/>
            </a:rPr>
            <a:t> of items</a:t>
          </a:r>
        </a:p>
      </cdr:txBody>
    </cdr:sp>
  </cdr:relSizeAnchor>
  <cdr:relSizeAnchor xmlns:cdr="http://schemas.openxmlformats.org/drawingml/2006/chartDrawing">
    <cdr:from>
      <cdr:x>0.22216</cdr:x>
      <cdr:y>0.94482</cdr:y>
    </cdr:from>
    <cdr:to>
      <cdr:x>0.96663</cdr:x>
      <cdr:y>0.94482</cdr:y>
    </cdr:to>
    <cdr:cxnSp macro="">
      <cdr:nvCxnSpPr>
        <cdr:cNvPr id="4" name="Straight Connector 3">
          <a:extLst xmlns:a="http://schemas.openxmlformats.org/drawingml/2006/main">
            <a:ext uri="{FF2B5EF4-FFF2-40B4-BE49-F238E27FC236}">
              <a16:creationId xmlns:a16="http://schemas.microsoft.com/office/drawing/2014/main" id="{A3B411B4-92EE-0A0A-D292-9EE19468AC12}"/>
            </a:ext>
          </a:extLst>
        </cdr:cNvPr>
        <cdr:cNvCxnSpPr/>
      </cdr:nvCxnSpPr>
      <cdr:spPr>
        <a:xfrm xmlns:a="http://schemas.openxmlformats.org/drawingml/2006/main">
          <a:off x="2723062" y="8901935"/>
          <a:ext cx="9124957" cy="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0.51823</cdr:x>
      <cdr:y>0.31797</cdr:y>
    </cdr:from>
    <cdr:to>
      <cdr:x>0.83441</cdr:x>
      <cdr:y>0.38885</cdr:y>
    </cdr:to>
    <cdr:sp macro="" textlink="">
      <cdr:nvSpPr>
        <cdr:cNvPr id="6" name="Textfeld 2"/>
        <cdr:cNvSpPr txBox="1"/>
      </cdr:nvSpPr>
      <cdr:spPr>
        <a:xfrm xmlns:a="http://schemas.openxmlformats.org/drawingml/2006/main">
          <a:off x="5593590" y="3226738"/>
          <a:ext cx="3412741" cy="719285"/>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Lend-Lease commitments by the US to the USSR during WW2</a:t>
          </a:r>
        </a:p>
      </cdr:txBody>
    </cdr:sp>
  </cdr:relSizeAnchor>
  <cdr:relSizeAnchor xmlns:cdr="http://schemas.openxmlformats.org/drawingml/2006/chartDrawing">
    <cdr:from>
      <cdr:x>0.47411</cdr:x>
      <cdr:y>0.49244</cdr:y>
    </cdr:from>
    <cdr:to>
      <cdr:x>0.80357</cdr:x>
      <cdr:y>0.56034</cdr:y>
    </cdr:to>
    <cdr:sp macro="" textlink="">
      <cdr:nvSpPr>
        <cdr:cNvPr id="7" name="Textfeld 2"/>
        <cdr:cNvSpPr txBox="1"/>
      </cdr:nvSpPr>
      <cdr:spPr>
        <a:xfrm xmlns:a="http://schemas.openxmlformats.org/drawingml/2006/main">
          <a:off x="5117340" y="5095784"/>
          <a:ext cx="3556076" cy="702626"/>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Commitments </a:t>
          </a:r>
          <a:r>
            <a:rPr lang="de-DE" sz="1800" baseline="0">
              <a:solidFill>
                <a:schemeClr val="tx1"/>
              </a:solidFill>
              <a:effectLst/>
              <a:latin typeface="Times New Roman" panose="02020603050405020304" pitchFamily="18" charset="0"/>
              <a:ea typeface="+mn-ea"/>
              <a:cs typeface="Times New Roman" panose="02020603050405020304" pitchFamily="18" charset="0"/>
            </a:rPr>
            <a:t>to the Nationalists in Spain (</a:t>
          </a:r>
          <a:r>
            <a:rPr lang="de-DE" sz="1800">
              <a:latin typeface="Times New Roman" panose="02020603050405020304" pitchFamily="18" charset="0"/>
              <a:cs typeface="Times New Roman" panose="02020603050405020304" pitchFamily="18" charset="0"/>
            </a:rPr>
            <a:t>by Fascist</a:t>
          </a:r>
          <a:r>
            <a:rPr lang="de-DE" sz="1800" baseline="0">
              <a:latin typeface="Times New Roman" panose="02020603050405020304" pitchFamily="18" charset="0"/>
              <a:cs typeface="Times New Roman" panose="02020603050405020304" pitchFamily="18" charset="0"/>
            </a:rPr>
            <a:t> Italy / Germany)</a:t>
          </a:r>
          <a:endParaRPr lang="de-DE" sz="18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0.42981</cdr:x>
      <cdr:y>0.65113</cdr:y>
    </cdr:from>
    <cdr:to>
      <cdr:x>0.74881</cdr:x>
      <cdr:y>0.7235</cdr:y>
    </cdr:to>
    <cdr:sp macro="" textlink="">
      <cdr:nvSpPr>
        <cdr:cNvPr id="8" name="Textfeld 2"/>
        <cdr:cNvSpPr txBox="1"/>
      </cdr:nvSpPr>
      <cdr:spPr>
        <a:xfrm xmlns:a="http://schemas.openxmlformats.org/drawingml/2006/main">
          <a:off x="4639230" y="6607586"/>
          <a:ext cx="3443176" cy="734407"/>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Commitments to the Republicans</a:t>
          </a:r>
          <a:r>
            <a:rPr lang="de-DE" sz="1800" baseline="0">
              <a:latin typeface="Times New Roman" panose="02020603050405020304" pitchFamily="18" charset="0"/>
              <a:cs typeface="Times New Roman" panose="02020603050405020304" pitchFamily="18" charset="0"/>
            </a:rPr>
            <a:t> in Spain (mostly from USSR)</a:t>
          </a:r>
          <a:endParaRPr lang="de-DE" sz="18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0.38346</cdr:x>
      <cdr:y>0.8342</cdr:y>
    </cdr:from>
    <cdr:to>
      <cdr:x>0.73414</cdr:x>
      <cdr:y>0.86911</cdr:y>
    </cdr:to>
    <cdr:sp macro="" textlink="">
      <cdr:nvSpPr>
        <cdr:cNvPr id="9" name="Textfeld 2"/>
        <cdr:cNvSpPr txBox="1"/>
      </cdr:nvSpPr>
      <cdr:spPr>
        <a:xfrm xmlns:a="http://schemas.openxmlformats.org/drawingml/2006/main">
          <a:off x="4138980" y="8632234"/>
          <a:ext cx="3785117" cy="361247"/>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Total commitments to Ukraine in 2022</a:t>
          </a:r>
        </a:p>
      </cdr:txBody>
    </cdr:sp>
  </cdr:relSizeAnchor>
  <cdr:relSizeAnchor xmlns:cdr="http://schemas.openxmlformats.org/drawingml/2006/chartDrawing">
    <cdr:from>
      <cdr:x>0.56772</cdr:x>
      <cdr:y>0.13172</cdr:y>
    </cdr:from>
    <cdr:to>
      <cdr:x>0.8653</cdr:x>
      <cdr:y>0.2026</cdr:y>
    </cdr:to>
    <cdr:sp macro="" textlink="">
      <cdr:nvSpPr>
        <cdr:cNvPr id="10" name="Textfeld 2">
          <a:extLst xmlns:a="http://schemas.openxmlformats.org/drawingml/2006/main">
            <a:ext uri="{FF2B5EF4-FFF2-40B4-BE49-F238E27FC236}">
              <a16:creationId xmlns:a16="http://schemas.microsoft.com/office/drawing/2014/main" id="{9DC59C61-754C-41A7-9CC8-AE588CDDDE23}"/>
            </a:ext>
          </a:extLst>
        </cdr:cNvPr>
        <cdr:cNvSpPr txBox="1"/>
      </cdr:nvSpPr>
      <cdr:spPr>
        <a:xfrm xmlns:a="http://schemas.openxmlformats.org/drawingml/2006/main">
          <a:off x="6127750" y="1336675"/>
          <a:ext cx="3211956" cy="719285"/>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Lend-Lease commitments by th</a:t>
          </a:r>
          <a:r>
            <a:rPr lang="de-DE" sz="1800" baseline="0">
              <a:latin typeface="Times New Roman" panose="02020603050405020304" pitchFamily="18" charset="0"/>
              <a:cs typeface="Times New Roman" panose="02020603050405020304" pitchFamily="18" charset="0"/>
            </a:rPr>
            <a:t>e US to the UK during WW2</a:t>
          </a:r>
          <a:endParaRPr lang="de-DE" sz="1800">
            <a:latin typeface="Times New Roman" panose="02020603050405020304" pitchFamily="18" charset="0"/>
            <a:cs typeface="Times New Roman" panose="02020603050405020304" pitchFamily="18" charset="0"/>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5</xdr:col>
      <xdr:colOff>14438</xdr:colOff>
      <xdr:row>23</xdr:row>
      <xdr:rowOff>112395</xdr:rowOff>
    </xdr:from>
    <xdr:to>
      <xdr:col>12</xdr:col>
      <xdr:colOff>47625</xdr:colOff>
      <xdr:row>43</xdr:row>
      <xdr:rowOff>71895</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1242060</xdr:colOff>
      <xdr:row>24</xdr:row>
      <xdr:rowOff>78566</xdr:rowOff>
    </xdr:from>
    <xdr:to>
      <xdr:col>4</xdr:col>
      <xdr:colOff>1400743</xdr:colOff>
      <xdr:row>44</xdr:row>
      <xdr:rowOff>30273</xdr:rowOff>
    </xdr:to>
    <xdr:graphicFrame macro="">
      <xdr:nvGraphicFramePr>
        <xdr:cNvPr id="3" name="Chart 1">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0.36017</cdr:x>
      <cdr:y>0.89771</cdr:y>
    </cdr:from>
    <cdr:to>
      <cdr:x>0.97913</cdr:x>
      <cdr:y>0.8982</cdr:y>
    </cdr:to>
    <cdr:cxnSp macro="">
      <cdr:nvCxnSpPr>
        <cdr:cNvPr id="4" name="Straight Connector 2">
          <a:extLst xmlns:a="http://schemas.openxmlformats.org/drawingml/2006/main">
            <a:ext uri="{FF2B5EF4-FFF2-40B4-BE49-F238E27FC236}">
              <a16:creationId xmlns:a16="http://schemas.microsoft.com/office/drawing/2014/main" id="{DEF05A23-B79A-4F84-A0CA-8CF982D74DA7}"/>
            </a:ext>
          </a:extLst>
        </cdr:cNvPr>
        <cdr:cNvCxnSpPr/>
      </cdr:nvCxnSpPr>
      <cdr:spPr>
        <a:xfrm xmlns:a="http://schemas.openxmlformats.org/drawingml/2006/main">
          <a:off x="3247069" y="3554950"/>
          <a:ext cx="5580000" cy="1941"/>
        </a:xfrm>
        <a:prstGeom xmlns:a="http://schemas.openxmlformats.org/drawingml/2006/main" prst="line">
          <a:avLst/>
        </a:prstGeom>
        <a:ln xmlns:a="http://schemas.openxmlformats.org/drawingml/2006/main" w="952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8.xml><?xml version="1.0" encoding="utf-8"?>
<c:userShapes xmlns:c="http://schemas.openxmlformats.org/drawingml/2006/chart">
  <cdr:relSizeAnchor xmlns:cdr="http://schemas.openxmlformats.org/drawingml/2006/chartDrawing">
    <cdr:from>
      <cdr:x>0.33938</cdr:x>
      <cdr:y>0.88473</cdr:y>
    </cdr:from>
    <cdr:to>
      <cdr:x>0.97656</cdr:x>
      <cdr:y>0.8856</cdr:y>
    </cdr:to>
    <cdr:cxnSp macro="">
      <cdr:nvCxnSpPr>
        <cdr:cNvPr id="3" name="Straight Connector 2">
          <a:extLst xmlns:a="http://schemas.openxmlformats.org/drawingml/2006/main">
            <a:ext uri="{FF2B5EF4-FFF2-40B4-BE49-F238E27FC236}">
              <a16:creationId xmlns:a16="http://schemas.microsoft.com/office/drawing/2014/main" id="{057BB0A1-67E5-9DEF-FBA8-6141E03221E9}"/>
            </a:ext>
          </a:extLst>
        </cdr:cNvPr>
        <cdr:cNvCxnSpPr/>
      </cdr:nvCxnSpPr>
      <cdr:spPr>
        <a:xfrm xmlns:a="http://schemas.openxmlformats.org/drawingml/2006/main" flipV="1">
          <a:off x="3182962" y="3496636"/>
          <a:ext cx="5976037" cy="3439"/>
        </a:xfrm>
        <a:prstGeom xmlns:a="http://schemas.openxmlformats.org/drawingml/2006/main" prst="line">
          <a:avLst/>
        </a:prstGeom>
        <a:ln xmlns:a="http://schemas.openxmlformats.org/drawingml/2006/main" w="952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9.xml><?xml version="1.0" encoding="utf-8"?>
<xdr:wsDr xmlns:xdr="http://schemas.openxmlformats.org/drawingml/2006/spreadsheetDrawing" xmlns:a="http://schemas.openxmlformats.org/drawingml/2006/main">
  <xdr:twoCellAnchor>
    <xdr:from>
      <xdr:col>5</xdr:col>
      <xdr:colOff>918792</xdr:colOff>
      <xdr:row>23</xdr:row>
      <xdr:rowOff>166891</xdr:rowOff>
    </xdr:from>
    <xdr:to>
      <xdr:col>12</xdr:col>
      <xdr:colOff>495300</xdr:colOff>
      <xdr:row>41</xdr:row>
      <xdr:rowOff>166441</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481965</xdr:colOff>
      <xdr:row>23</xdr:row>
      <xdr:rowOff>168797</xdr:rowOff>
    </xdr:from>
    <xdr:to>
      <xdr:col>4</xdr:col>
      <xdr:colOff>935354</xdr:colOff>
      <xdr:row>41</xdr:row>
      <xdr:rowOff>168347</xdr:rowOff>
    </xdr:to>
    <xdr:graphicFrame macro="">
      <xdr:nvGraphicFramePr>
        <xdr:cNvPr id="3" name="Chart 1">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53974</xdr:colOff>
      <xdr:row>11</xdr:row>
      <xdr:rowOff>15969</xdr:rowOff>
    </xdr:from>
    <xdr:to>
      <xdr:col>20</xdr:col>
      <xdr:colOff>324519</xdr:colOff>
      <xdr:row>33</xdr:row>
      <xdr:rowOff>123969</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645318</xdr:colOff>
      <xdr:row>39</xdr:row>
      <xdr:rowOff>99378</xdr:rowOff>
    </xdr:from>
    <xdr:to>
      <xdr:col>47</xdr:col>
      <xdr:colOff>40315</xdr:colOff>
      <xdr:row>41</xdr:row>
      <xdr:rowOff>190430</xdr:rowOff>
    </xdr:to>
    <xdr:sp macro="" textlink="">
      <xdr:nvSpPr>
        <xdr:cNvPr id="3" name="Textfeld 48">
          <a:extLst>
            <a:ext uri="{FF2B5EF4-FFF2-40B4-BE49-F238E27FC236}">
              <a16:creationId xmlns:a16="http://schemas.microsoft.com/office/drawing/2014/main" id="{00000000-0008-0000-0800-000003000000}"/>
            </a:ext>
          </a:extLst>
        </xdr:cNvPr>
        <xdr:cNvSpPr txBox="1"/>
      </xdr:nvSpPr>
      <xdr:spPr>
        <a:xfrm>
          <a:off x="55795068" y="7052628"/>
          <a:ext cx="5529097" cy="491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0.38396</cdr:x>
      <cdr:y>0.89706</cdr:y>
    </cdr:from>
    <cdr:to>
      <cdr:x>0.97729</cdr:x>
      <cdr:y>0.89706</cdr:y>
    </cdr:to>
    <cdr:cxnSp macro="">
      <cdr:nvCxnSpPr>
        <cdr:cNvPr id="4" name="Straight Connector 2">
          <a:extLst xmlns:a="http://schemas.openxmlformats.org/drawingml/2006/main">
            <a:ext uri="{FF2B5EF4-FFF2-40B4-BE49-F238E27FC236}">
              <a16:creationId xmlns:a16="http://schemas.microsoft.com/office/drawing/2014/main" id="{57F2C44B-44D7-415F-B735-C5686CC1B9B7}"/>
            </a:ext>
          </a:extLst>
        </cdr:cNvPr>
        <cdr:cNvCxnSpPr/>
      </cdr:nvCxnSpPr>
      <cdr:spPr>
        <a:xfrm xmlns:a="http://schemas.openxmlformats.org/drawingml/2006/main">
          <a:off x="4146735" y="3229416"/>
          <a:ext cx="6408000" cy="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1.xml><?xml version="1.0" encoding="utf-8"?>
<c:userShapes xmlns:c="http://schemas.openxmlformats.org/drawingml/2006/chart">
  <cdr:relSizeAnchor xmlns:cdr="http://schemas.openxmlformats.org/drawingml/2006/chartDrawing">
    <cdr:from>
      <cdr:x>0.44766</cdr:x>
      <cdr:y>0.8999</cdr:y>
    </cdr:from>
    <cdr:to>
      <cdr:x>0.98298</cdr:x>
      <cdr:y>0.8999</cdr:y>
    </cdr:to>
    <cdr:cxnSp macro="">
      <cdr:nvCxnSpPr>
        <cdr:cNvPr id="3" name="Straight Connector 2">
          <a:extLst xmlns:a="http://schemas.openxmlformats.org/drawingml/2006/main">
            <a:ext uri="{FF2B5EF4-FFF2-40B4-BE49-F238E27FC236}">
              <a16:creationId xmlns:a16="http://schemas.microsoft.com/office/drawing/2014/main" id="{CB6AB6A0-E5C5-ED50-7D16-2E875E3FFC04}"/>
            </a:ext>
          </a:extLst>
        </cdr:cNvPr>
        <cdr:cNvCxnSpPr/>
      </cdr:nvCxnSpPr>
      <cdr:spPr>
        <a:xfrm xmlns:a="http://schemas.openxmlformats.org/drawingml/2006/main">
          <a:off x="4008120" y="3208768"/>
          <a:ext cx="4792980" cy="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xdr:wsDr xmlns:xdr="http://schemas.openxmlformats.org/drawingml/2006/spreadsheetDrawing" xmlns:a="http://schemas.openxmlformats.org/drawingml/2006/main">
  <xdr:twoCellAnchor>
    <xdr:from>
      <xdr:col>5</xdr:col>
      <xdr:colOff>1142999</xdr:colOff>
      <xdr:row>24</xdr:row>
      <xdr:rowOff>28574</xdr:rowOff>
    </xdr:from>
    <xdr:to>
      <xdr:col>12</xdr:col>
      <xdr:colOff>161925</xdr:colOff>
      <xdr:row>49</xdr:row>
      <xdr:rowOff>28575</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276223</xdr:colOff>
      <xdr:row>24</xdr:row>
      <xdr:rowOff>84902</xdr:rowOff>
    </xdr:from>
    <xdr:to>
      <xdr:col>4</xdr:col>
      <xdr:colOff>1295400</xdr:colOff>
      <xdr:row>48</xdr:row>
      <xdr:rowOff>2402</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0.58098</cdr:x>
      <cdr:y>0.74814</cdr:y>
    </cdr:from>
    <cdr:to>
      <cdr:x>0.96191</cdr:x>
      <cdr:y>0.89297</cdr:y>
    </cdr:to>
    <cdr:sp macro="" textlink="">
      <cdr:nvSpPr>
        <cdr:cNvPr id="4" name="Textfeld 1">
          <a:extLst xmlns:a="http://schemas.openxmlformats.org/drawingml/2006/main">
            <a:ext uri="{FF2B5EF4-FFF2-40B4-BE49-F238E27FC236}">
              <a16:creationId xmlns:a16="http://schemas.microsoft.com/office/drawing/2014/main" id="{B58884D1-0C77-4B7E-107C-8B975B6D02A0}"/>
            </a:ext>
          </a:extLst>
        </cdr:cNvPr>
        <cdr:cNvSpPr txBox="1"/>
      </cdr:nvSpPr>
      <cdr:spPr>
        <a:xfrm xmlns:a="http://schemas.openxmlformats.org/drawingml/2006/main">
          <a:off x="4701539" y="3206311"/>
          <a:ext cx="3082602" cy="62069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de-DE" sz="1800" b="0" i="0" baseline="0">
              <a:effectLst/>
              <a:latin typeface="Times New Roman" panose="02020603050405020304" pitchFamily="18" charset="0"/>
              <a:ea typeface="+mn-ea"/>
              <a:cs typeface="Times New Roman" panose="02020603050405020304" pitchFamily="18" charset="0"/>
            </a:rPr>
            <a:t>total support/costs </a:t>
          </a:r>
          <a:r>
            <a:rPr lang="en-GB" sz="1800" b="0" i="0" baseline="0">
              <a:effectLst/>
              <a:latin typeface="Times New Roman" panose="02020603050405020304" pitchFamily="18" charset="0"/>
              <a:ea typeface="+mn-ea"/>
              <a:cs typeface="Times New Roman" panose="02020603050405020304" pitchFamily="18" charset="0"/>
            </a:rPr>
            <a:t>in billion </a:t>
          </a:r>
          <a:br>
            <a:rPr lang="en-GB" sz="1800" b="0" i="0" baseline="0">
              <a:effectLst/>
              <a:latin typeface="Times New Roman" panose="02020603050405020304" pitchFamily="18" charset="0"/>
              <a:ea typeface="+mn-ea"/>
              <a:cs typeface="Times New Roman" panose="02020603050405020304" pitchFamily="18" charset="0"/>
            </a:rPr>
          </a:br>
          <a:r>
            <a:rPr lang="en-GB" sz="1800" b="0" i="0" baseline="0">
              <a:effectLst/>
              <a:latin typeface="Times New Roman" panose="02020603050405020304" pitchFamily="18" charset="0"/>
              <a:ea typeface="+mn-ea"/>
              <a:cs typeface="Times New Roman" panose="02020603050405020304" pitchFamily="18" charset="0"/>
            </a:rPr>
            <a:t>2022 Euros (inflation adjusted)</a:t>
          </a:r>
          <a:endParaRPr lang="de-DE" sz="1800">
            <a:effectLst/>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0.35215</cdr:x>
      <cdr:y>0.12901</cdr:y>
    </cdr:from>
    <cdr:to>
      <cdr:x>0.41874</cdr:x>
      <cdr:y>0.15863</cdr:y>
    </cdr:to>
    <cdr:sp macro="" textlink="">
      <cdr:nvSpPr>
        <cdr:cNvPr id="2" name="TextBox 1">
          <a:extLst xmlns:a="http://schemas.openxmlformats.org/drawingml/2006/main">
            <a:ext uri="{FF2B5EF4-FFF2-40B4-BE49-F238E27FC236}">
              <a16:creationId xmlns:a16="http://schemas.microsoft.com/office/drawing/2014/main" id="{4186E62D-5A27-4846-E47C-8249887A2A7E}"/>
            </a:ext>
          </a:extLst>
        </cdr:cNvPr>
        <cdr:cNvSpPr txBox="1"/>
      </cdr:nvSpPr>
      <cdr:spPr>
        <a:xfrm xmlns:a="http://schemas.openxmlformats.org/drawingml/2006/main">
          <a:off x="4029983" y="1027339"/>
          <a:ext cx="762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44.xml><?xml version="1.0" encoding="utf-8"?>
<c:userShapes xmlns:c="http://schemas.openxmlformats.org/drawingml/2006/chart">
  <cdr:relSizeAnchor xmlns:cdr="http://schemas.openxmlformats.org/drawingml/2006/chartDrawing">
    <cdr:from>
      <cdr:x>0.45036</cdr:x>
      <cdr:y>0.81239</cdr:y>
    </cdr:from>
    <cdr:to>
      <cdr:x>0.96318</cdr:x>
      <cdr:y>0.88144</cdr:y>
    </cdr:to>
    <cdr:sp macro="" textlink="">
      <cdr:nvSpPr>
        <cdr:cNvPr id="4" name="Textfeld 1">
          <a:extLst xmlns:a="http://schemas.openxmlformats.org/drawingml/2006/main">
            <a:ext uri="{FF2B5EF4-FFF2-40B4-BE49-F238E27FC236}">
              <a16:creationId xmlns:a16="http://schemas.microsoft.com/office/drawing/2014/main" id="{B58884D1-0C77-4B7E-107C-8B975B6D02A0}"/>
            </a:ext>
          </a:extLst>
        </cdr:cNvPr>
        <cdr:cNvSpPr txBox="1"/>
      </cdr:nvSpPr>
      <cdr:spPr>
        <a:xfrm xmlns:a="http://schemas.openxmlformats.org/drawingml/2006/main">
          <a:off x="3543302" y="3801984"/>
          <a:ext cx="4034643" cy="32316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total support/costs as percent of GDP</a:t>
          </a:r>
        </a:p>
        <a:p xmlns:a="http://schemas.openxmlformats.org/drawingml/2006/main">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0.35215</cdr:x>
      <cdr:y>0.12901</cdr:y>
    </cdr:from>
    <cdr:to>
      <cdr:x>0.41874</cdr:x>
      <cdr:y>0.15863</cdr:y>
    </cdr:to>
    <cdr:sp macro="" textlink="">
      <cdr:nvSpPr>
        <cdr:cNvPr id="2" name="TextBox 1">
          <a:extLst xmlns:a="http://schemas.openxmlformats.org/drawingml/2006/main">
            <a:ext uri="{FF2B5EF4-FFF2-40B4-BE49-F238E27FC236}">
              <a16:creationId xmlns:a16="http://schemas.microsoft.com/office/drawing/2014/main" id="{4186E62D-5A27-4846-E47C-8249887A2A7E}"/>
            </a:ext>
          </a:extLst>
        </cdr:cNvPr>
        <cdr:cNvSpPr txBox="1"/>
      </cdr:nvSpPr>
      <cdr:spPr>
        <a:xfrm xmlns:a="http://schemas.openxmlformats.org/drawingml/2006/main">
          <a:off x="4029983" y="1027339"/>
          <a:ext cx="762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45.xml><?xml version="1.0" encoding="utf-8"?>
<xdr:wsDr xmlns:xdr="http://schemas.openxmlformats.org/drawingml/2006/spreadsheetDrawing" xmlns:a="http://schemas.openxmlformats.org/drawingml/2006/main">
  <xdr:twoCellAnchor>
    <xdr:from>
      <xdr:col>3</xdr:col>
      <xdr:colOff>1038224</xdr:colOff>
      <xdr:row>11</xdr:row>
      <xdr:rowOff>95250</xdr:rowOff>
    </xdr:from>
    <xdr:to>
      <xdr:col>20</xdr:col>
      <xdr:colOff>80771</xdr:colOff>
      <xdr:row>37</xdr:row>
      <xdr:rowOff>96235</xdr:rowOff>
    </xdr:to>
    <xdr:graphicFrame macro="">
      <xdr:nvGraphicFramePr>
        <xdr:cNvPr id="2" name="Diagram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0.85042</cdr:x>
      <cdr:y>0.81042</cdr:y>
    </cdr:from>
    <cdr:to>
      <cdr:x>0.96607</cdr:x>
      <cdr:y>0.88222</cdr:y>
    </cdr:to>
    <cdr:sp macro="" textlink="">
      <cdr:nvSpPr>
        <cdr:cNvPr id="2" name="Textfeld 1"/>
        <cdr:cNvSpPr txBox="1"/>
      </cdr:nvSpPr>
      <cdr:spPr>
        <a:xfrm xmlns:a="http://schemas.openxmlformats.org/drawingml/2006/main">
          <a:off x="11411698" y="4215489"/>
          <a:ext cx="1551827" cy="37347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 Euros</a:t>
          </a:r>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647699</xdr:colOff>
      <xdr:row>24</xdr:row>
      <xdr:rowOff>53975</xdr:rowOff>
    </xdr:from>
    <xdr:to>
      <xdr:col>7</xdr:col>
      <xdr:colOff>2263901</xdr:colOff>
      <xdr:row>49</xdr:row>
      <xdr:rowOff>82550</xdr:rowOff>
    </xdr:to>
    <xdr:graphicFrame macro="">
      <xdr:nvGraphicFramePr>
        <xdr:cNvPr id="2" name="Diagram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1462088</xdr:colOff>
      <xdr:row>24</xdr:row>
      <xdr:rowOff>57149</xdr:rowOff>
    </xdr:from>
    <xdr:to>
      <xdr:col>16</xdr:col>
      <xdr:colOff>333375</xdr:colOff>
      <xdr:row>49</xdr:row>
      <xdr:rowOff>86105</xdr:rowOff>
    </xdr:to>
    <xdr:graphicFrame macro="">
      <xdr:nvGraphicFramePr>
        <xdr:cNvPr id="3" name="Diagramm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0.80272</cdr:x>
      <cdr:y>0.83851</cdr:y>
    </cdr:from>
    <cdr:to>
      <cdr:x>0.97734</cdr:x>
      <cdr:y>0.90121</cdr:y>
    </cdr:to>
    <cdr:sp macro="" textlink="">
      <cdr:nvSpPr>
        <cdr:cNvPr id="2" name="Textfeld 1"/>
        <cdr:cNvSpPr txBox="1"/>
      </cdr:nvSpPr>
      <cdr:spPr>
        <a:xfrm xmlns:a="http://schemas.openxmlformats.org/drawingml/2006/main">
          <a:off x="9610510" y="4380425"/>
          <a:ext cx="2090633" cy="32754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0.81472</cdr:x>
      <cdr:y>0.83766</cdr:y>
    </cdr:from>
    <cdr:to>
      <cdr:x>0.98088</cdr:x>
      <cdr:y>0.90012</cdr:y>
    </cdr:to>
    <cdr:sp macro="" textlink="">
      <cdr:nvSpPr>
        <cdr:cNvPr id="2" name="Textfeld 1"/>
        <cdr:cNvSpPr txBox="1"/>
      </cdr:nvSpPr>
      <cdr:spPr>
        <a:xfrm xmlns:a="http://schemas.openxmlformats.org/drawingml/2006/main">
          <a:off x="9776101" y="4376305"/>
          <a:ext cx="1993768" cy="32626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Percent of GDP</a:t>
          </a:r>
        </a:p>
      </cdr:txBody>
    </cdr:sp>
  </cdr:relSizeAnchor>
</c:userShapes>
</file>

<file path=xl/drawings/drawing5.xml><?xml version="1.0" encoding="utf-8"?>
<c:userShapes xmlns:c="http://schemas.openxmlformats.org/drawingml/2006/chart">
  <cdr:relSizeAnchor xmlns:cdr="http://schemas.openxmlformats.org/drawingml/2006/chartDrawing">
    <cdr:from>
      <cdr:x>0.79727</cdr:x>
      <cdr:y>0.82102</cdr:y>
    </cdr:from>
    <cdr:to>
      <cdr:x>0.93428</cdr:x>
      <cdr:y>0.89282</cdr:y>
    </cdr:to>
    <cdr:sp macro="" textlink="">
      <cdr:nvSpPr>
        <cdr:cNvPr id="2" name="Textfeld 1"/>
        <cdr:cNvSpPr txBox="1"/>
      </cdr:nvSpPr>
      <cdr:spPr>
        <a:xfrm xmlns:a="http://schemas.openxmlformats.org/drawingml/2006/main">
          <a:off x="8558993" y="3758976"/>
          <a:ext cx="1470833" cy="32872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 Euros</a:t>
          </a:r>
        </a:p>
      </cdr:txBody>
    </cdr:sp>
  </cdr:relSizeAnchor>
</c:userShapes>
</file>

<file path=xl/drawings/drawing50.xml><?xml version="1.0" encoding="utf-8"?>
<xdr:wsDr xmlns:xdr="http://schemas.openxmlformats.org/drawingml/2006/spreadsheetDrawing" xmlns:a="http://schemas.openxmlformats.org/drawingml/2006/main">
  <xdr:twoCellAnchor>
    <xdr:from>
      <xdr:col>6</xdr:col>
      <xdr:colOff>104773</xdr:colOff>
      <xdr:row>11</xdr:row>
      <xdr:rowOff>19050</xdr:rowOff>
    </xdr:from>
    <xdr:to>
      <xdr:col>23</xdr:col>
      <xdr:colOff>102868</xdr:colOff>
      <xdr:row>37</xdr:row>
      <xdr:rowOff>123825</xdr:rowOff>
    </xdr:to>
    <xdr:graphicFrame macro="">
      <xdr:nvGraphicFramePr>
        <xdr:cNvPr id="3" name="Chart 1">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0.2738</cdr:x>
      <cdr:y>0.89268</cdr:y>
    </cdr:from>
    <cdr:to>
      <cdr:x>0.98266</cdr:x>
      <cdr:y>0.89268</cdr:y>
    </cdr:to>
    <cdr:cxnSp macro="">
      <cdr:nvCxnSpPr>
        <cdr:cNvPr id="3" name="Straight Connector 2">
          <a:extLst xmlns:a="http://schemas.openxmlformats.org/drawingml/2006/main">
            <a:ext uri="{FF2B5EF4-FFF2-40B4-BE49-F238E27FC236}">
              <a16:creationId xmlns:a16="http://schemas.microsoft.com/office/drawing/2014/main" id="{CB6AB6A0-E5C5-ED50-7D16-2E875E3FFC04}"/>
            </a:ext>
          </a:extLst>
        </cdr:cNvPr>
        <cdr:cNvCxnSpPr/>
      </cdr:nvCxnSpPr>
      <cdr:spPr>
        <a:xfrm xmlns:a="http://schemas.openxmlformats.org/drawingml/2006/main">
          <a:off x="3955739" y="4736047"/>
          <a:ext cx="10241280" cy="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20</xdr:col>
      <xdr:colOff>153334</xdr:colOff>
      <xdr:row>40</xdr:row>
      <xdr:rowOff>99695</xdr:rowOff>
    </xdr:from>
    <xdr:to>
      <xdr:col>26</xdr:col>
      <xdr:colOff>415947</xdr:colOff>
      <xdr:row>43</xdr:row>
      <xdr:rowOff>247</xdr:rowOff>
    </xdr:to>
    <xdr:sp macro="" textlink="">
      <xdr:nvSpPr>
        <xdr:cNvPr id="3" name="Textfeld 48">
          <a:extLst>
            <a:ext uri="{FF2B5EF4-FFF2-40B4-BE49-F238E27FC236}">
              <a16:creationId xmlns:a16="http://schemas.microsoft.com/office/drawing/2014/main" id="{00000000-0008-0000-1E00-000003000000}"/>
            </a:ext>
          </a:extLst>
        </xdr:cNvPr>
        <xdr:cNvSpPr txBox="1"/>
      </xdr:nvSpPr>
      <xdr:spPr>
        <a:xfrm>
          <a:off x="23232409" y="8329295"/>
          <a:ext cx="4205963" cy="500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twoCellAnchor>
    <xdr:from>
      <xdr:col>10</xdr:col>
      <xdr:colOff>27517</xdr:colOff>
      <xdr:row>11</xdr:row>
      <xdr:rowOff>138740</xdr:rowOff>
    </xdr:from>
    <xdr:to>
      <xdr:col>27</xdr:col>
      <xdr:colOff>47077</xdr:colOff>
      <xdr:row>71</xdr:row>
      <xdr:rowOff>110165</xdr:rowOff>
    </xdr:to>
    <xdr:graphicFrame macro="">
      <xdr:nvGraphicFramePr>
        <xdr:cNvPr id="2" name="Diagramm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0.86215</cdr:x>
      <cdr:y>0.91716</cdr:y>
    </cdr:from>
    <cdr:to>
      <cdr:x>0.97848</cdr:x>
      <cdr:y>0.95309</cdr:y>
    </cdr:to>
    <cdr:sp macro="" textlink="">
      <cdr:nvSpPr>
        <cdr:cNvPr id="2" name="Textfeld 1"/>
        <cdr:cNvSpPr txBox="1"/>
      </cdr:nvSpPr>
      <cdr:spPr>
        <a:xfrm xmlns:a="http://schemas.openxmlformats.org/drawingml/2006/main">
          <a:off x="9328768" y="10026933"/>
          <a:ext cx="1258728" cy="39280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Index</a:t>
          </a:r>
          <a:r>
            <a:rPr lang="de-DE" sz="1800" baseline="0">
              <a:latin typeface="Times New Roman" panose="02020603050405020304" pitchFamily="18" charset="0"/>
              <a:cs typeface="Times New Roman" panose="02020603050405020304" pitchFamily="18" charset="0"/>
            </a:rPr>
            <a:t> points</a:t>
          </a:r>
        </a:p>
      </cdr:txBody>
    </cdr:sp>
  </cdr:relSizeAnchor>
</c:userShapes>
</file>

<file path=xl/drawings/drawing54.xml><?xml version="1.0" encoding="utf-8"?>
<xdr:wsDr xmlns:xdr="http://schemas.openxmlformats.org/drawingml/2006/spreadsheetDrawing" xmlns:a="http://schemas.openxmlformats.org/drawingml/2006/main">
  <xdr:twoCellAnchor>
    <xdr:from>
      <xdr:col>6</xdr:col>
      <xdr:colOff>76199</xdr:colOff>
      <xdr:row>11</xdr:row>
      <xdr:rowOff>19050</xdr:rowOff>
    </xdr:from>
    <xdr:to>
      <xdr:col>22</xdr:col>
      <xdr:colOff>411399</xdr:colOff>
      <xdr:row>68</xdr:row>
      <xdr:rowOff>159850</xdr:rowOff>
    </xdr:to>
    <xdr:graphicFrame macro="">
      <xdr:nvGraphicFramePr>
        <xdr:cNvPr id="2" name="Diagram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153334</xdr:colOff>
      <xdr:row>40</xdr:row>
      <xdr:rowOff>99695</xdr:rowOff>
    </xdr:from>
    <xdr:to>
      <xdr:col>26</xdr:col>
      <xdr:colOff>415947</xdr:colOff>
      <xdr:row>43</xdr:row>
      <xdr:rowOff>247</xdr:rowOff>
    </xdr:to>
    <xdr:sp macro="" textlink="">
      <xdr:nvSpPr>
        <xdr:cNvPr id="9" name="Textfeld 48">
          <a:extLst>
            <a:ext uri="{FF2B5EF4-FFF2-40B4-BE49-F238E27FC236}">
              <a16:creationId xmlns:a16="http://schemas.microsoft.com/office/drawing/2014/main" id="{00000000-0008-0000-1F00-000009000000}"/>
            </a:ext>
          </a:extLst>
        </xdr:cNvPr>
        <xdr:cNvSpPr txBox="1"/>
      </xdr:nvSpPr>
      <xdr:spPr>
        <a:xfrm>
          <a:off x="27375784" y="7033895"/>
          <a:ext cx="5520413" cy="47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55.xml><?xml version="1.0" encoding="utf-8"?>
<c:userShapes xmlns:c="http://schemas.openxmlformats.org/drawingml/2006/chart">
  <cdr:relSizeAnchor xmlns:cdr="http://schemas.openxmlformats.org/drawingml/2006/chartDrawing">
    <cdr:from>
      <cdr:x>0.81323</cdr:x>
      <cdr:y>0.91877</cdr:y>
    </cdr:from>
    <cdr:to>
      <cdr:x>0.96955</cdr:x>
      <cdr:y>0.95787</cdr:y>
    </cdr:to>
    <cdr:sp macro="" textlink="">
      <cdr:nvSpPr>
        <cdr:cNvPr id="2" name="Textfeld 1"/>
        <cdr:cNvSpPr txBox="1"/>
      </cdr:nvSpPr>
      <cdr:spPr>
        <a:xfrm xmlns:a="http://schemas.openxmlformats.org/drawingml/2006/main">
          <a:off x="8782887" y="10584216"/>
          <a:ext cx="1688263" cy="45043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baseline="0">
              <a:latin typeface="Times New Roman" panose="02020603050405020304" pitchFamily="18" charset="0"/>
              <a:cs typeface="Times New Roman" panose="02020603050405020304" pitchFamily="18" charset="0"/>
            </a:rPr>
            <a:t>Percent of GDP</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0.34837</cdr:x>
      <cdr:y>0.62711</cdr:y>
    </cdr:from>
    <cdr:to>
      <cdr:x>0.96268</cdr:x>
      <cdr:y>0.74304</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762402" y="7224363"/>
          <a:ext cx="6634548" cy="133543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support for refugees outside of Ukraine, and aid by international organisations.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Share of EU commitments is based on the financing shares of the instruments.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For information on data quality and transparency please see our data trans-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56.xml><?xml version="1.0" encoding="utf-8"?>
<xdr:wsDr xmlns:xdr="http://schemas.openxmlformats.org/drawingml/2006/spreadsheetDrawing" xmlns:a="http://schemas.openxmlformats.org/drawingml/2006/main">
  <xdr:twoCellAnchor>
    <xdr:from>
      <xdr:col>9</xdr:col>
      <xdr:colOff>68118</xdr:colOff>
      <xdr:row>11</xdr:row>
      <xdr:rowOff>0</xdr:rowOff>
    </xdr:from>
    <xdr:to>
      <xdr:col>14</xdr:col>
      <xdr:colOff>902518</xdr:colOff>
      <xdr:row>45</xdr:row>
      <xdr:rowOff>147534</xdr:rowOff>
    </xdr:to>
    <xdr:graphicFrame macro="">
      <xdr:nvGraphicFramePr>
        <xdr:cNvPr id="4" name="Diagramm 1">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0.08015</cdr:x>
      <cdr:y>0.02879</cdr:y>
    </cdr:from>
    <cdr:to>
      <cdr:x>0.23737</cdr:x>
      <cdr:y>0.09176</cdr:y>
    </cdr:to>
    <cdr:sp macro="" textlink="">
      <cdr:nvSpPr>
        <cdr:cNvPr id="2" name="Textfeld 1"/>
        <cdr:cNvSpPr txBox="1"/>
      </cdr:nvSpPr>
      <cdr:spPr>
        <a:xfrm xmlns:a="http://schemas.openxmlformats.org/drawingml/2006/main">
          <a:off x="808888" y="176178"/>
          <a:ext cx="1586794" cy="38537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 Euros</a:t>
          </a:r>
        </a:p>
      </cdr:txBody>
    </cdr:sp>
  </cdr:relSizeAnchor>
  <cdr:relSizeAnchor xmlns:cdr="http://schemas.openxmlformats.org/drawingml/2006/chartDrawing">
    <cdr:from>
      <cdr:x>0.40282</cdr:x>
      <cdr:y>0.33044</cdr:y>
    </cdr:from>
    <cdr:to>
      <cdr:x>0.75982</cdr:x>
      <cdr:y>0.57766</cdr:y>
    </cdr:to>
    <cdr:sp macro="" textlink="">
      <cdr:nvSpPr>
        <cdr:cNvPr id="5" name="Rectangle 4">
          <a:extLst xmlns:a="http://schemas.openxmlformats.org/drawingml/2006/main">
            <a:ext uri="{FF2B5EF4-FFF2-40B4-BE49-F238E27FC236}">
              <a16:creationId xmlns:a16="http://schemas.microsoft.com/office/drawing/2014/main" id="{25DE9DE1-AD90-D816-C17B-59ED2FD1C480}"/>
            </a:ext>
          </a:extLst>
        </cdr:cNvPr>
        <cdr:cNvSpPr/>
      </cdr:nvSpPr>
      <cdr:spPr>
        <a:xfrm xmlns:a="http://schemas.openxmlformats.org/drawingml/2006/main">
          <a:off x="4050147" y="2097705"/>
          <a:ext cx="3589492" cy="156942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de-DE" sz="1400" b="0">
              <a:solidFill>
                <a:sysClr val="windowText" lastClr="000000"/>
              </a:solidFill>
              <a:effectLst/>
              <a:latin typeface="Times New Roman" panose="02020603050405020304" pitchFamily="18" charset="0"/>
              <a:ea typeface="+mn-ea"/>
              <a:cs typeface="Times New Roman" panose="02020603050405020304" pitchFamily="18" charset="0"/>
            </a:rPr>
            <a:t>Includes</a:t>
          </a:r>
          <a:r>
            <a:rPr lang="de-DE" sz="1400" b="0" baseline="0">
              <a:solidFill>
                <a:sysClr val="windowText" lastClr="000000"/>
              </a:solidFill>
              <a:effectLst/>
              <a:latin typeface="Times New Roman" panose="02020603050405020304" pitchFamily="18" charset="0"/>
              <a:ea typeface="+mn-ea"/>
              <a:cs typeface="Times New Roman" panose="02020603050405020304" pitchFamily="18" charset="0"/>
            </a:rPr>
            <a:t> bilateral commitments of in-kind military aid to Ukraine. Does not include private donations, support for refugees outside of Ukraine, and aid by international organizations. Commitments of the European Union include those of the EU Commission and Council, MFA, EPF, and EIB funds. </a:t>
          </a:r>
          <a:endParaRPr lang="en-US" sz="1400"/>
        </a:p>
      </cdr:txBody>
    </cdr:sp>
  </cdr:relSizeAnchor>
</c:userShapes>
</file>

<file path=xl/drawings/drawing58.xml><?xml version="1.0" encoding="utf-8"?>
<xdr:wsDr xmlns:xdr="http://schemas.openxmlformats.org/drawingml/2006/spreadsheetDrawing" xmlns:a="http://schemas.openxmlformats.org/drawingml/2006/main">
  <xdr:twoCellAnchor>
    <xdr:from>
      <xdr:col>9</xdr:col>
      <xdr:colOff>60325</xdr:colOff>
      <xdr:row>14</xdr:row>
      <xdr:rowOff>115454</xdr:rowOff>
    </xdr:from>
    <xdr:to>
      <xdr:col>12</xdr:col>
      <xdr:colOff>1609725</xdr:colOff>
      <xdr:row>44</xdr:row>
      <xdr:rowOff>92363</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0.05004</cdr:x>
      <cdr:y>0.00017</cdr:y>
    </cdr:from>
    <cdr:to>
      <cdr:x>0.18726</cdr:x>
      <cdr:y>0.07149</cdr:y>
    </cdr:to>
    <cdr:sp macro="" textlink="">
      <cdr:nvSpPr>
        <cdr:cNvPr id="3" name="Textfeld 1">
          <a:extLst xmlns:a="http://schemas.openxmlformats.org/drawingml/2006/main">
            <a:ext uri="{FF2B5EF4-FFF2-40B4-BE49-F238E27FC236}">
              <a16:creationId xmlns:a16="http://schemas.microsoft.com/office/drawing/2014/main" id="{50F5836D-CF5C-425A-9617-9ACA46512E22}"/>
            </a:ext>
          </a:extLst>
        </cdr:cNvPr>
        <cdr:cNvSpPr txBox="1"/>
      </cdr:nvSpPr>
      <cdr:spPr>
        <a:xfrm xmlns:a="http://schemas.openxmlformats.org/drawingml/2006/main">
          <a:off x="660867" y="1011"/>
          <a:ext cx="1812458" cy="42632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number</a:t>
          </a:r>
          <a:r>
            <a:rPr lang="de-DE" sz="2000" baseline="0">
              <a:latin typeface="Times New Roman" panose="02020603050405020304" pitchFamily="18" charset="0"/>
              <a:cs typeface="Times New Roman" panose="02020603050405020304" pitchFamily="18" charset="0"/>
            </a:rPr>
            <a:t> of items</a:t>
          </a:r>
        </a:p>
      </cdr:txBody>
    </cdr:sp>
  </cdr:relSizeAnchor>
  <cdr:relSizeAnchor xmlns:cdr="http://schemas.openxmlformats.org/drawingml/2006/chartDrawing">
    <cdr:from>
      <cdr:x>0.05345</cdr:x>
      <cdr:y>0.81027</cdr:y>
    </cdr:from>
    <cdr:to>
      <cdr:x>0.10886</cdr:x>
      <cdr:y>0.86974</cdr:y>
    </cdr:to>
    <cdr:sp macro="" textlink="">
      <cdr:nvSpPr>
        <cdr:cNvPr id="2" name="TextBox 1">
          <a:extLst xmlns:a="http://schemas.openxmlformats.org/drawingml/2006/main">
            <a:ext uri="{FF2B5EF4-FFF2-40B4-BE49-F238E27FC236}">
              <a16:creationId xmlns:a16="http://schemas.microsoft.com/office/drawing/2014/main" id="{4F2C7770-8717-94BD-0412-B1B7A2DDDE8E}"/>
            </a:ext>
          </a:extLst>
        </cdr:cNvPr>
        <cdr:cNvSpPr txBox="1"/>
      </cdr:nvSpPr>
      <cdr:spPr>
        <a:xfrm xmlns:a="http://schemas.openxmlformats.org/drawingml/2006/main" rot="19116214">
          <a:off x="705706" y="4702806"/>
          <a:ext cx="731607" cy="345162"/>
        </a:xfrm>
        <a:prstGeom xmlns:a="http://schemas.openxmlformats.org/drawingml/2006/main" prst="rect">
          <a:avLst/>
        </a:prstGeom>
        <a:solidFill xmlns:a="http://schemas.openxmlformats.org/drawingml/2006/main">
          <a:schemeClr val="lt1"/>
        </a:solidFill>
      </cdr:spPr>
      <cdr:txBody>
        <a:bodyPr xmlns:a="http://schemas.openxmlformats.org/drawingml/2006/main" vertOverflow="clip" wrap="square" rtlCol="0"/>
        <a:lstStyle xmlns:a="http://schemas.openxmlformats.org/drawingml/2006/main"/>
        <a:p xmlns:a="http://schemas.openxmlformats.org/drawingml/2006/main">
          <a:r>
            <a:rPr lang="en-GB" sz="1600" b="1">
              <a:latin typeface="Times New Roman" panose="02020603050405020304" pitchFamily="18" charset="0"/>
              <a:cs typeface="Times New Roman" panose="02020603050405020304" pitchFamily="18" charset="0"/>
            </a:rPr>
            <a:t>2022</a:t>
          </a:r>
        </a:p>
      </cdr:txBody>
    </cdr:sp>
  </cdr:relSizeAnchor>
  <cdr:relSizeAnchor xmlns:cdr="http://schemas.openxmlformats.org/drawingml/2006/chartDrawing">
    <cdr:from>
      <cdr:x>0.67461</cdr:x>
      <cdr:y>0.81022</cdr:y>
    </cdr:from>
    <cdr:to>
      <cdr:x>0.73239</cdr:x>
      <cdr:y>0.86714</cdr:y>
    </cdr:to>
    <cdr:sp macro="" textlink="">
      <cdr:nvSpPr>
        <cdr:cNvPr id="4" name="TextBox 3">
          <a:extLst xmlns:a="http://schemas.openxmlformats.org/drawingml/2006/main">
            <a:ext uri="{FF2B5EF4-FFF2-40B4-BE49-F238E27FC236}">
              <a16:creationId xmlns:a16="http://schemas.microsoft.com/office/drawing/2014/main" id="{CCE85412-6634-3214-BF1A-8E42A7DE7236}"/>
            </a:ext>
          </a:extLst>
        </cdr:cNvPr>
        <cdr:cNvSpPr txBox="1"/>
      </cdr:nvSpPr>
      <cdr:spPr>
        <a:xfrm xmlns:a="http://schemas.openxmlformats.org/drawingml/2006/main" rot="19013286">
          <a:off x="8907284" y="4702467"/>
          <a:ext cx="762899" cy="330362"/>
        </a:xfrm>
        <a:prstGeom xmlns:a="http://schemas.openxmlformats.org/drawingml/2006/main" prst="rect">
          <a:avLst/>
        </a:prstGeom>
        <a:solidFill xmlns:a="http://schemas.openxmlformats.org/drawingml/2006/main">
          <a:schemeClr val="lt1"/>
        </a:solidFill>
      </cdr:spPr>
      <cdr:txBody>
        <a:bodyPr xmlns:a="http://schemas.openxmlformats.org/drawingml/2006/main" vertOverflow="clip" wrap="square" rtlCol="0"/>
        <a:lstStyle xmlns:a="http://schemas.openxmlformats.org/drawingml/2006/main"/>
        <a:p xmlns:a="http://schemas.openxmlformats.org/drawingml/2006/main">
          <a:r>
            <a:rPr lang="en-GB" sz="1600" b="1">
              <a:latin typeface="Times New Roman" panose="02020603050405020304" pitchFamily="18" charset="0"/>
              <a:cs typeface="Times New Roman" panose="02020603050405020304" pitchFamily="18" charset="0"/>
            </a:rPr>
            <a:t>2023</a:t>
          </a:r>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45892</xdr:colOff>
      <xdr:row>11</xdr:row>
      <xdr:rowOff>52243</xdr:rowOff>
    </xdr:from>
    <xdr:to>
      <xdr:col>23</xdr:col>
      <xdr:colOff>381092</xdr:colOff>
      <xdr:row>68</xdr:row>
      <xdr:rowOff>193043</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49306</xdr:colOff>
      <xdr:row>39</xdr:row>
      <xdr:rowOff>34552</xdr:rowOff>
    </xdr:from>
    <xdr:to>
      <xdr:col>36</xdr:col>
      <xdr:colOff>338813</xdr:colOff>
      <xdr:row>41</xdr:row>
      <xdr:rowOff>125604</xdr:rowOff>
    </xdr:to>
    <xdr:sp macro="" textlink="">
      <xdr:nvSpPr>
        <xdr:cNvPr id="21" name="Textfeld 48">
          <a:extLst>
            <a:ext uri="{FF2B5EF4-FFF2-40B4-BE49-F238E27FC236}">
              <a16:creationId xmlns:a16="http://schemas.microsoft.com/office/drawing/2014/main" id="{00000000-0008-0000-0900-000015000000}"/>
            </a:ext>
          </a:extLst>
        </xdr:cNvPr>
        <xdr:cNvSpPr txBox="1"/>
      </xdr:nvSpPr>
      <xdr:spPr>
        <a:xfrm>
          <a:off x="31403365" y="6791699"/>
          <a:ext cx="5533860" cy="47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Quelle: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18</xdr:col>
      <xdr:colOff>67235</xdr:colOff>
      <xdr:row>14</xdr:row>
      <xdr:rowOff>179294</xdr:rowOff>
    </xdr:from>
    <xdr:to>
      <xdr:col>20</xdr:col>
      <xdr:colOff>478116</xdr:colOff>
      <xdr:row>17</xdr:row>
      <xdr:rowOff>74706</xdr:rowOff>
    </xdr:to>
    <xdr:sp macro="" textlink="">
      <xdr:nvSpPr>
        <xdr:cNvPr id="2" name="Rectangle 1">
          <a:extLst>
            <a:ext uri="{FF2B5EF4-FFF2-40B4-BE49-F238E27FC236}">
              <a16:creationId xmlns:a16="http://schemas.microsoft.com/office/drawing/2014/main" id="{00000000-0008-0000-2200-000002000000}"/>
            </a:ext>
          </a:extLst>
        </xdr:cNvPr>
        <xdr:cNvSpPr/>
      </xdr:nvSpPr>
      <xdr:spPr>
        <a:xfrm>
          <a:off x="16501035" y="3239994"/>
          <a:ext cx="1718981" cy="505012"/>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a:solidFill>
                <a:sysClr val="windowText" lastClr="000000"/>
              </a:solidFill>
              <a:latin typeface="Times New Roman" panose="02020603050405020304" pitchFamily="18" charset="0"/>
              <a:cs typeface="Times New Roman" panose="02020603050405020304" pitchFamily="18" charset="0"/>
            </a:rPr>
            <a:t>To</a:t>
          </a:r>
          <a:r>
            <a:rPr lang="en-GB" sz="1800" baseline="0">
              <a:solidFill>
                <a:sysClr val="windowText" lastClr="000000"/>
              </a:solidFill>
              <a:latin typeface="Times New Roman" panose="02020603050405020304" pitchFamily="18" charset="0"/>
              <a:cs typeface="Times New Roman" panose="02020603050405020304" pitchFamily="18" charset="0"/>
            </a:rPr>
            <a:t> be delivered</a:t>
          </a:r>
          <a:endParaRPr lang="en-GB" sz="1800">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16</xdr:col>
      <xdr:colOff>104588</xdr:colOff>
      <xdr:row>13</xdr:row>
      <xdr:rowOff>119530</xdr:rowOff>
    </xdr:from>
    <xdr:to>
      <xdr:col>18</xdr:col>
      <xdr:colOff>67235</xdr:colOff>
      <xdr:row>16</xdr:row>
      <xdr:rowOff>26147</xdr:rowOff>
    </xdr:to>
    <xdr:cxnSp macro="">
      <xdr:nvCxnSpPr>
        <xdr:cNvPr id="3" name="Straight Arrow Connector 2">
          <a:extLst>
            <a:ext uri="{FF2B5EF4-FFF2-40B4-BE49-F238E27FC236}">
              <a16:creationId xmlns:a16="http://schemas.microsoft.com/office/drawing/2014/main" id="{00000000-0008-0000-2200-000003000000}"/>
            </a:ext>
          </a:extLst>
        </xdr:cNvPr>
        <xdr:cNvCxnSpPr>
          <a:stCxn id="2" idx="1"/>
        </xdr:cNvCxnSpPr>
      </xdr:nvCxnSpPr>
      <xdr:spPr>
        <a:xfrm flipH="1" flipV="1">
          <a:off x="15230288" y="2977030"/>
          <a:ext cx="1270747" cy="51621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567765</xdr:colOff>
      <xdr:row>15</xdr:row>
      <xdr:rowOff>156882</xdr:rowOff>
    </xdr:from>
    <xdr:to>
      <xdr:col>16</xdr:col>
      <xdr:colOff>321234</xdr:colOff>
      <xdr:row>18</xdr:row>
      <xdr:rowOff>52294</xdr:rowOff>
    </xdr:to>
    <xdr:sp macro="" textlink="">
      <xdr:nvSpPr>
        <xdr:cNvPr id="4" name="Rectangle 3">
          <a:extLst>
            <a:ext uri="{FF2B5EF4-FFF2-40B4-BE49-F238E27FC236}">
              <a16:creationId xmlns:a16="http://schemas.microsoft.com/office/drawing/2014/main" id="{00000000-0008-0000-2200-000004000000}"/>
            </a:ext>
          </a:extLst>
        </xdr:cNvPr>
        <xdr:cNvSpPr/>
      </xdr:nvSpPr>
      <xdr:spPr>
        <a:xfrm>
          <a:off x="13731315" y="3420782"/>
          <a:ext cx="1715619" cy="505012"/>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a:solidFill>
                <a:schemeClr val="bg1"/>
              </a:solidFill>
              <a:latin typeface="Times New Roman" panose="02020603050405020304" pitchFamily="18" charset="0"/>
              <a:cs typeface="Times New Roman" panose="02020603050405020304" pitchFamily="18" charset="0"/>
            </a:rPr>
            <a:t>D</a:t>
          </a:r>
          <a:r>
            <a:rPr lang="en-GB" sz="1800" baseline="0">
              <a:solidFill>
                <a:schemeClr val="bg1"/>
              </a:solidFill>
              <a:latin typeface="Times New Roman" panose="02020603050405020304" pitchFamily="18" charset="0"/>
              <a:cs typeface="Times New Roman" panose="02020603050405020304" pitchFamily="18" charset="0"/>
            </a:rPr>
            <a:t>elivered</a:t>
          </a:r>
          <a:endParaRPr lang="en-GB" sz="1800">
            <a:solidFill>
              <a:schemeClr val="bg1"/>
            </a:solidFill>
            <a:latin typeface="Times New Roman" panose="02020603050405020304" pitchFamily="18" charset="0"/>
            <a:cs typeface="Times New Roman" panose="02020603050405020304" pitchFamily="18" charset="0"/>
          </a:endParaRPr>
        </a:p>
      </xdr:txBody>
    </xdr:sp>
    <xdr:clientData/>
  </xdr:twoCellAnchor>
  <xdr:twoCellAnchor>
    <xdr:from>
      <xdr:col>11</xdr:col>
      <xdr:colOff>605118</xdr:colOff>
      <xdr:row>14</xdr:row>
      <xdr:rowOff>97118</xdr:rowOff>
    </xdr:from>
    <xdr:to>
      <xdr:col>13</xdr:col>
      <xdr:colOff>567765</xdr:colOff>
      <xdr:row>17</xdr:row>
      <xdr:rowOff>3735</xdr:rowOff>
    </xdr:to>
    <xdr:cxnSp macro="">
      <xdr:nvCxnSpPr>
        <xdr:cNvPr id="5" name="Straight Arrow Connector 4">
          <a:extLst>
            <a:ext uri="{FF2B5EF4-FFF2-40B4-BE49-F238E27FC236}">
              <a16:creationId xmlns:a16="http://schemas.microsoft.com/office/drawing/2014/main" id="{00000000-0008-0000-2200-000005000000}"/>
            </a:ext>
          </a:extLst>
        </xdr:cNvPr>
        <xdr:cNvCxnSpPr>
          <a:stCxn id="4" idx="1"/>
        </xdr:cNvCxnSpPr>
      </xdr:nvCxnSpPr>
      <xdr:spPr>
        <a:xfrm flipH="1" flipV="1">
          <a:off x="12460568" y="3157818"/>
          <a:ext cx="1270747" cy="51621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73280</xdr:colOff>
      <xdr:row>11</xdr:row>
      <xdr:rowOff>42704</xdr:rowOff>
    </xdr:from>
    <xdr:to>
      <xdr:col>23</xdr:col>
      <xdr:colOff>408480</xdr:colOff>
      <xdr:row>51</xdr:row>
      <xdr:rowOff>36770</xdr:rowOff>
    </xdr:to>
    <xdr:grpSp>
      <xdr:nvGrpSpPr>
        <xdr:cNvPr id="6" name="Group 5">
          <a:extLst>
            <a:ext uri="{FF2B5EF4-FFF2-40B4-BE49-F238E27FC236}">
              <a16:creationId xmlns:a16="http://schemas.microsoft.com/office/drawing/2014/main" id="{00000000-0008-0000-2200-000006000000}"/>
            </a:ext>
          </a:extLst>
        </xdr:cNvPr>
        <xdr:cNvGrpSpPr/>
      </xdr:nvGrpSpPr>
      <xdr:grpSpPr>
        <a:xfrm>
          <a:off x="9322055" y="2471579"/>
          <a:ext cx="10850800" cy="7995066"/>
          <a:chOff x="9403248" y="2452355"/>
          <a:chExt cx="10785486" cy="7772425"/>
        </a:xfrm>
      </xdr:grpSpPr>
      <xdr:graphicFrame macro="">
        <xdr:nvGraphicFramePr>
          <xdr:cNvPr id="7" name="Chart 6">
            <a:extLst>
              <a:ext uri="{FF2B5EF4-FFF2-40B4-BE49-F238E27FC236}">
                <a16:creationId xmlns:a16="http://schemas.microsoft.com/office/drawing/2014/main" id="{00000000-0008-0000-2200-000007000000}"/>
              </a:ext>
            </a:extLst>
          </xdr:cNvPr>
          <xdr:cNvGraphicFramePr>
            <a:graphicFrameLocks/>
          </xdr:cNvGraphicFramePr>
        </xdr:nvGraphicFramePr>
        <xdr:xfrm>
          <a:off x="9403248" y="2452355"/>
          <a:ext cx="10785486" cy="777242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Chart 7">
            <a:extLst>
              <a:ext uri="{FF2B5EF4-FFF2-40B4-BE49-F238E27FC236}">
                <a16:creationId xmlns:a16="http://schemas.microsoft.com/office/drawing/2014/main" id="{00000000-0008-0000-2200-000008000000}"/>
              </a:ext>
            </a:extLst>
          </xdr:cNvPr>
          <xdr:cNvGraphicFramePr>
            <a:graphicFrameLocks/>
          </xdr:cNvGraphicFramePr>
        </xdr:nvGraphicFramePr>
        <xdr:xfrm>
          <a:off x="13328195" y="6132286"/>
          <a:ext cx="6068786" cy="27305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61.xml><?xml version="1.0" encoding="utf-8"?>
<c:userShapes xmlns:c="http://schemas.openxmlformats.org/drawingml/2006/chart">
  <cdr:relSizeAnchor xmlns:cdr="http://schemas.openxmlformats.org/drawingml/2006/chartDrawing">
    <cdr:from>
      <cdr:x>0.76372</cdr:x>
      <cdr:y>0.86365</cdr:y>
    </cdr:from>
    <cdr:to>
      <cdr:x>0.93471</cdr:x>
      <cdr:y>0.91882</cdr:y>
    </cdr:to>
    <cdr:sp macro="" textlink="">
      <cdr:nvSpPr>
        <cdr:cNvPr id="2" name="Textfeld 1">
          <a:extLst xmlns:a="http://schemas.openxmlformats.org/drawingml/2006/main">
            <a:ext uri="{FF2B5EF4-FFF2-40B4-BE49-F238E27FC236}">
              <a16:creationId xmlns:a16="http://schemas.microsoft.com/office/drawing/2014/main" id="{F8F0429B-4BB4-486F-55E0-E2E4B189B823}"/>
            </a:ext>
          </a:extLst>
        </cdr:cNvPr>
        <cdr:cNvSpPr txBox="1"/>
      </cdr:nvSpPr>
      <cdr:spPr>
        <a:xfrm xmlns:a="http://schemas.openxmlformats.org/drawingml/2006/main">
          <a:off x="8248176" y="6840108"/>
          <a:ext cx="1846692" cy="43691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baseline="0">
              <a:latin typeface="Times New Roman" panose="02020603050405020304" pitchFamily="18" charset="0"/>
              <a:cs typeface="Times New Roman" panose="02020603050405020304" pitchFamily="18" charset="0"/>
            </a:rPr>
            <a:t>number of items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0.17749</cdr:x>
      <cdr:y>0.93221</cdr:y>
    </cdr:from>
    <cdr:to>
      <cdr:x>0.96301</cdr:x>
      <cdr:y>0.93221</cdr:y>
    </cdr:to>
    <cdr:cxnSp macro="">
      <cdr:nvCxnSpPr>
        <cdr:cNvPr id="4" name="Straight Connector 3">
          <a:extLst xmlns:a="http://schemas.openxmlformats.org/drawingml/2006/main">
            <a:ext uri="{FF2B5EF4-FFF2-40B4-BE49-F238E27FC236}">
              <a16:creationId xmlns:a16="http://schemas.microsoft.com/office/drawing/2014/main" id="{4EE41A0A-67C7-D067-6033-FCCFFCFBC5EA}"/>
            </a:ext>
          </a:extLst>
        </cdr:cNvPr>
        <cdr:cNvCxnSpPr/>
      </cdr:nvCxnSpPr>
      <cdr:spPr>
        <a:xfrm xmlns:a="http://schemas.openxmlformats.org/drawingml/2006/main">
          <a:off x="1912563" y="7318328"/>
          <a:ext cx="8464352" cy="0"/>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0.22103</cdr:x>
      <cdr:y>0.62138</cdr:y>
    </cdr:from>
    <cdr:to>
      <cdr:x>0.3569</cdr:x>
      <cdr:y>0.78333</cdr:y>
    </cdr:to>
    <cdr:cxnSp macro="">
      <cdr:nvCxnSpPr>
        <cdr:cNvPr id="5" name="Straight Arrow Connector 4">
          <a:extLst xmlns:a="http://schemas.openxmlformats.org/drawingml/2006/main">
            <a:ext uri="{FF2B5EF4-FFF2-40B4-BE49-F238E27FC236}">
              <a16:creationId xmlns:a16="http://schemas.microsoft.com/office/drawing/2014/main" id="{3689BC25-7E76-7277-A5A6-83025FC195F7}"/>
            </a:ext>
          </a:extLst>
        </cdr:cNvPr>
        <cdr:cNvCxnSpPr/>
      </cdr:nvCxnSpPr>
      <cdr:spPr>
        <a:xfrm xmlns:a="http://schemas.openxmlformats.org/drawingml/2006/main" flipH="1">
          <a:off x="2375850" y="4994488"/>
          <a:ext cx="1460500" cy="130175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2.xml><?xml version="1.0" encoding="utf-8"?>
<c:userShapes xmlns:c="http://schemas.openxmlformats.org/drawingml/2006/chart">
  <cdr:relSizeAnchor xmlns:cdr="http://schemas.openxmlformats.org/drawingml/2006/chartDrawing">
    <cdr:from>
      <cdr:x>0.3223</cdr:x>
      <cdr:y>0.86746</cdr:y>
    </cdr:from>
    <cdr:to>
      <cdr:x>0.96581</cdr:x>
      <cdr:y>0.86746</cdr:y>
    </cdr:to>
    <cdr:cxnSp macro="">
      <cdr:nvCxnSpPr>
        <cdr:cNvPr id="4" name="Straight Connector 3">
          <a:extLst xmlns:a="http://schemas.openxmlformats.org/drawingml/2006/main">
            <a:ext uri="{FF2B5EF4-FFF2-40B4-BE49-F238E27FC236}">
              <a16:creationId xmlns:a16="http://schemas.microsoft.com/office/drawing/2014/main" id="{4EE41A0A-67C7-D067-6033-FCCFFCFBC5EA}"/>
            </a:ext>
          </a:extLst>
        </cdr:cNvPr>
        <cdr:cNvCxnSpPr/>
      </cdr:nvCxnSpPr>
      <cdr:spPr>
        <a:xfrm xmlns:a="http://schemas.openxmlformats.org/drawingml/2006/main">
          <a:off x="1949397" y="2450950"/>
          <a:ext cx="3892206" cy="0"/>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3.xml><?xml version="1.0" encoding="utf-8"?>
<xdr:wsDr xmlns:xdr="http://schemas.openxmlformats.org/drawingml/2006/spreadsheetDrawing" xmlns:a="http://schemas.openxmlformats.org/drawingml/2006/main">
  <xdr:twoCellAnchor>
    <xdr:from>
      <xdr:col>5</xdr:col>
      <xdr:colOff>731519</xdr:colOff>
      <xdr:row>11</xdr:row>
      <xdr:rowOff>0</xdr:rowOff>
    </xdr:from>
    <xdr:to>
      <xdr:col>22</xdr:col>
      <xdr:colOff>30399</xdr:colOff>
      <xdr:row>66</xdr:row>
      <xdr:rowOff>159850</xdr:rowOff>
    </xdr:to>
    <xdr:graphicFrame macro="">
      <xdr:nvGraphicFramePr>
        <xdr:cNvPr id="2" name="Diagramm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153334</xdr:colOff>
      <xdr:row>34</xdr:row>
      <xdr:rowOff>99695</xdr:rowOff>
    </xdr:from>
    <xdr:to>
      <xdr:col>26</xdr:col>
      <xdr:colOff>415947</xdr:colOff>
      <xdr:row>42</xdr:row>
      <xdr:rowOff>247</xdr:rowOff>
    </xdr:to>
    <xdr:sp macro="" textlink="">
      <xdr:nvSpPr>
        <xdr:cNvPr id="3" name="Textfeld 48">
          <a:extLst>
            <a:ext uri="{FF2B5EF4-FFF2-40B4-BE49-F238E27FC236}">
              <a16:creationId xmlns:a16="http://schemas.microsoft.com/office/drawing/2014/main" id="{00000000-0008-0000-2300-000003000000}"/>
            </a:ext>
          </a:extLst>
        </xdr:cNvPr>
        <xdr:cNvSpPr txBox="1"/>
      </xdr:nvSpPr>
      <xdr:spPr>
        <a:xfrm>
          <a:off x="23213359" y="7319645"/>
          <a:ext cx="4205963" cy="500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64.xml><?xml version="1.0" encoding="utf-8"?>
<c:userShapes xmlns:c="http://schemas.openxmlformats.org/drawingml/2006/chart">
  <cdr:relSizeAnchor xmlns:cdr="http://schemas.openxmlformats.org/drawingml/2006/chartDrawing">
    <cdr:from>
      <cdr:x>0.80149</cdr:x>
      <cdr:y>0.91906</cdr:y>
    </cdr:from>
    <cdr:to>
      <cdr:x>0.97466</cdr:x>
      <cdr:y>0.95816</cdr:y>
    </cdr:to>
    <cdr:sp macro="" textlink="">
      <cdr:nvSpPr>
        <cdr:cNvPr id="2" name="Textfeld 1"/>
        <cdr:cNvSpPr txBox="1"/>
      </cdr:nvSpPr>
      <cdr:spPr>
        <a:xfrm xmlns:a="http://schemas.openxmlformats.org/drawingml/2006/main">
          <a:off x="8672403" y="10161592"/>
          <a:ext cx="1873678" cy="43230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baseline="0">
              <a:latin typeface="Times New Roman" panose="02020603050405020304" pitchFamily="18" charset="0"/>
              <a:cs typeface="Times New Roman" panose="02020603050405020304" pitchFamily="18" charset="0"/>
            </a:rPr>
            <a:t>Number of items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0.31289</cdr:x>
      <cdr:y>0.67519</cdr:y>
    </cdr:from>
    <cdr:to>
      <cdr:x>0.96691</cdr:x>
      <cdr:y>0.85584</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385541" y="7465204"/>
          <a:ext cx="7076720" cy="199734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500" b="0">
              <a:latin typeface="Times New Roman" panose="02020603050405020304" pitchFamily="18" charset="0"/>
              <a:cs typeface="Times New Roman" panose="02020603050405020304" pitchFamily="18" charset="0"/>
            </a:rPr>
            <a:t>Includes bilateral commitments for main</a:t>
          </a:r>
          <a:r>
            <a:rPr lang="de-DE" sz="1500" b="0" baseline="0">
              <a:latin typeface="Times New Roman" panose="02020603050405020304" pitchFamily="18" charset="0"/>
              <a:cs typeface="Times New Roman" panose="02020603050405020304" pitchFamily="18" charset="0"/>
            </a:rPr>
            <a:t> battle tanks to Ukraine in 2022 and 2023 </a:t>
          </a:r>
          <a:br>
            <a:rPr lang="de-DE" sz="1500" b="0" baseline="0">
              <a:latin typeface="Times New Roman" panose="02020603050405020304" pitchFamily="18" charset="0"/>
              <a:cs typeface="Times New Roman" panose="02020603050405020304" pitchFamily="18" charset="0"/>
            </a:rPr>
          </a:br>
          <a:r>
            <a:rPr lang="de-DE" sz="1500" b="0" baseline="0">
              <a:latin typeface="Times New Roman" panose="02020603050405020304" pitchFamily="18" charset="0"/>
              <a:cs typeface="Times New Roman" panose="02020603050405020304" pitchFamily="18" charset="0"/>
            </a:rPr>
            <a:t>(until February 24, 2023). Includes 110 Leopard-1A5 tanks for which Germany </a:t>
          </a:r>
          <a:br>
            <a:rPr lang="de-DE" sz="1500" b="0" baseline="0">
              <a:latin typeface="Times New Roman" panose="02020603050405020304" pitchFamily="18" charset="0"/>
              <a:cs typeface="Times New Roman" panose="02020603050405020304" pitchFamily="18" charset="0"/>
            </a:rPr>
          </a:br>
          <a:r>
            <a:rPr lang="de-DE" sz="1500" b="0" baseline="0">
              <a:latin typeface="Times New Roman" panose="02020603050405020304" pitchFamily="18" charset="0"/>
              <a:cs typeface="Times New Roman" panose="02020603050405020304" pitchFamily="18" charset="0"/>
            </a:rPr>
            <a:t>issued an export permission and plans on providing them together with the Netherlands and </a:t>
          </a:r>
          <a:br>
            <a:rPr lang="de-DE" sz="1500" b="0" baseline="0">
              <a:latin typeface="Times New Roman" panose="02020603050405020304" pitchFamily="18" charset="0"/>
              <a:cs typeface="Times New Roman" panose="02020603050405020304" pitchFamily="18" charset="0"/>
            </a:rPr>
          </a:br>
          <a:r>
            <a:rPr lang="de-DE" sz="1500" b="0" baseline="0">
              <a:latin typeface="Times New Roman" panose="02020603050405020304" pitchFamily="18" charset="0"/>
              <a:cs typeface="Times New Roman" panose="02020603050405020304" pitchFamily="18" charset="0"/>
            </a:rPr>
            <a:t>Denmark. The tanks of this collaboration are divided equally. </a:t>
          </a:r>
          <a:r>
            <a:rPr lang="de-DE" sz="1500" b="0" baseline="0">
              <a:latin typeface="Times New Roman" panose="02020603050405020304" pitchFamily="18" charset="0"/>
              <a:ea typeface="+mn-ea"/>
              <a:cs typeface="Times New Roman" panose="02020603050405020304" pitchFamily="18" charset="0"/>
            </a:rPr>
            <a:t>The list does not include </a:t>
          </a:r>
          <a:br>
            <a:rPr lang="de-DE" sz="1500" b="0" baseline="0">
              <a:latin typeface="Times New Roman" panose="02020603050405020304" pitchFamily="18" charset="0"/>
              <a:ea typeface="+mn-ea"/>
              <a:cs typeface="Times New Roman" panose="02020603050405020304" pitchFamily="18" charset="0"/>
            </a:rPr>
          </a:br>
          <a:r>
            <a:rPr lang="de-DE" sz="1500" b="0" baseline="0">
              <a:latin typeface="Times New Roman" panose="02020603050405020304" pitchFamily="18" charset="0"/>
              <a:ea typeface="+mn-ea"/>
              <a:cs typeface="Times New Roman" panose="02020603050405020304" pitchFamily="18" charset="0"/>
            </a:rPr>
            <a:t>the Belgian pledge of 50 Leopard 1 tanks, since the announcement has been withdrawn. </a:t>
          </a:r>
          <a:br>
            <a:rPr lang="de-DE" sz="1500" b="0" baseline="0">
              <a:latin typeface="Times New Roman" panose="02020603050405020304" pitchFamily="18" charset="0"/>
              <a:cs typeface="Times New Roman" panose="02020603050405020304" pitchFamily="18" charset="0"/>
            </a:rPr>
          </a:br>
          <a:r>
            <a:rPr lang="de-DE" sz="1500" b="0" baseline="0">
              <a:latin typeface="Times New Roman" panose="02020603050405020304" pitchFamily="18" charset="0"/>
              <a:cs typeface="Times New Roman" panose="02020603050405020304" pitchFamily="18" charset="0"/>
            </a:rPr>
            <a:t>The US and Dutch donations include 45 T-72 tanks each that were purchased from Czech </a:t>
          </a:r>
          <a:br>
            <a:rPr lang="de-DE" sz="1500" b="0" baseline="0">
              <a:latin typeface="Times New Roman" panose="02020603050405020304" pitchFamily="18" charset="0"/>
              <a:cs typeface="Times New Roman" panose="02020603050405020304" pitchFamily="18" charset="0"/>
            </a:rPr>
          </a:br>
          <a:r>
            <a:rPr lang="de-DE" sz="1500" b="0" baseline="0">
              <a:latin typeface="Times New Roman" panose="02020603050405020304" pitchFamily="18" charset="0"/>
              <a:cs typeface="Times New Roman" panose="02020603050405020304" pitchFamily="18" charset="0"/>
            </a:rPr>
            <a:t>industry stocks, refurbished, and then committed to Ukraine. Since those tanks were bought </a:t>
          </a:r>
          <a:br>
            <a:rPr lang="de-DE" sz="1500" b="0" baseline="0">
              <a:latin typeface="Times New Roman" panose="02020603050405020304" pitchFamily="18" charset="0"/>
              <a:cs typeface="Times New Roman" panose="02020603050405020304" pitchFamily="18" charset="0"/>
            </a:rPr>
          </a:br>
          <a:r>
            <a:rPr lang="de-DE" sz="1500" b="0" baseline="0">
              <a:latin typeface="Times New Roman" panose="02020603050405020304" pitchFamily="18" charset="0"/>
              <a:cs typeface="Times New Roman" panose="02020603050405020304" pitchFamily="18" charset="0"/>
            </a:rPr>
            <a:t>by the US and the Netherlands, they are not considered a Czech contribution to Ukraine. </a:t>
          </a:r>
          <a:endParaRPr lang="de-DE" sz="15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0.57083</cdr:x>
      <cdr:y>0.068</cdr:y>
    </cdr:from>
    <cdr:to>
      <cdr:x>0.73733</cdr:x>
      <cdr:y>0.1005</cdr:y>
    </cdr:to>
    <cdr:sp macro="" textlink="">
      <cdr:nvSpPr>
        <cdr:cNvPr id="5" name="Textfeld 1">
          <a:extLst xmlns:a="http://schemas.openxmlformats.org/drawingml/2006/main">
            <a:ext uri="{FF2B5EF4-FFF2-40B4-BE49-F238E27FC236}">
              <a16:creationId xmlns:a16="http://schemas.microsoft.com/office/drawing/2014/main" id="{A7C510C4-1559-4A25-B3F1-ECF252DA29C4}"/>
            </a:ext>
          </a:extLst>
        </cdr:cNvPr>
        <cdr:cNvSpPr txBox="1"/>
      </cdr:nvSpPr>
      <cdr:spPr>
        <a:xfrm xmlns:a="http://schemas.openxmlformats.org/drawingml/2006/main">
          <a:off x="6176563" y="751809"/>
          <a:ext cx="1801584" cy="35933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240 T-72, 10 PT-91</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0.37539</cdr:x>
      <cdr:y>0.10488</cdr:y>
    </cdr:from>
    <cdr:to>
      <cdr:x>0.46376</cdr:x>
      <cdr:y>0.13831</cdr:y>
    </cdr:to>
    <cdr:sp macro="" textlink="">
      <cdr:nvSpPr>
        <cdr:cNvPr id="6" name="Textfeld 1">
          <a:extLst xmlns:a="http://schemas.openxmlformats.org/drawingml/2006/main">
            <a:ext uri="{FF2B5EF4-FFF2-40B4-BE49-F238E27FC236}">
              <a16:creationId xmlns:a16="http://schemas.microsoft.com/office/drawing/2014/main" id="{8E160045-5D51-4B14-ACCD-5531B5BE73E3}"/>
            </a:ext>
          </a:extLst>
        </cdr:cNvPr>
        <cdr:cNvSpPr txBox="1"/>
      </cdr:nvSpPr>
      <cdr:spPr>
        <a:xfrm xmlns:a="http://schemas.openxmlformats.org/drawingml/2006/main">
          <a:off x="4061796" y="1159593"/>
          <a:ext cx="956191" cy="36961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89 T-72</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0.74751</cdr:x>
      <cdr:y>0.06839</cdr:y>
    </cdr:from>
    <cdr:to>
      <cdr:x>0.97491</cdr:x>
      <cdr:y>0.10183</cdr:y>
    </cdr:to>
    <cdr:sp macro="" textlink="">
      <cdr:nvSpPr>
        <cdr:cNvPr id="7" name="Textfeld 1">
          <a:extLst xmlns:a="http://schemas.openxmlformats.org/drawingml/2006/main">
            <a:ext uri="{FF2B5EF4-FFF2-40B4-BE49-F238E27FC236}">
              <a16:creationId xmlns:a16="http://schemas.microsoft.com/office/drawing/2014/main" id="{CB754A4B-C44C-4EE6-8620-6EE475AB1405}"/>
            </a:ext>
          </a:extLst>
        </cdr:cNvPr>
        <cdr:cNvSpPr txBox="1"/>
      </cdr:nvSpPr>
      <cdr:spPr>
        <a:xfrm xmlns:a="http://schemas.openxmlformats.org/drawingml/2006/main">
          <a:off x="8088281" y="756112"/>
          <a:ext cx="2460541" cy="36972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30 T-72, 14 Leo 2, 30 PT-91</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0.35053</cdr:x>
      <cdr:y>0.25256</cdr:y>
    </cdr:from>
    <cdr:to>
      <cdr:x>0.58669</cdr:x>
      <cdr:y>0.286</cdr:y>
    </cdr:to>
    <cdr:sp macro="" textlink="">
      <cdr:nvSpPr>
        <cdr:cNvPr id="8" name="Textfeld 1">
          <a:extLst xmlns:a="http://schemas.openxmlformats.org/drawingml/2006/main">
            <a:ext uri="{FF2B5EF4-FFF2-40B4-BE49-F238E27FC236}">
              <a16:creationId xmlns:a16="http://schemas.microsoft.com/office/drawing/2014/main" id="{B230713C-1687-4BDC-B217-E019A9C779C5}"/>
            </a:ext>
          </a:extLst>
        </cdr:cNvPr>
        <cdr:cNvSpPr txBox="1"/>
      </cdr:nvSpPr>
      <cdr:spPr>
        <a:xfrm xmlns:a="http://schemas.openxmlformats.org/drawingml/2006/main">
          <a:off x="3770466" y="2734644"/>
          <a:ext cx="2540276" cy="36208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45 T-72, 31 Abrams M1A2</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0.37789</cdr:x>
      <cdr:y>0.17728</cdr:y>
    </cdr:from>
    <cdr:to>
      <cdr:x>0.71768</cdr:x>
      <cdr:y>0.2124</cdr:y>
    </cdr:to>
    <cdr:sp macro="" textlink="">
      <cdr:nvSpPr>
        <cdr:cNvPr id="10" name="Textfeld 1">
          <a:extLst xmlns:a="http://schemas.openxmlformats.org/drawingml/2006/main">
            <a:ext uri="{FF2B5EF4-FFF2-40B4-BE49-F238E27FC236}">
              <a16:creationId xmlns:a16="http://schemas.microsoft.com/office/drawing/2014/main" id="{6CCB04CC-C9E0-45E3-9379-F40B2F700CF0}"/>
            </a:ext>
          </a:extLst>
        </cdr:cNvPr>
        <cdr:cNvSpPr txBox="1"/>
      </cdr:nvSpPr>
      <cdr:spPr>
        <a:xfrm xmlns:a="http://schemas.openxmlformats.org/drawingml/2006/main">
          <a:off x="4064792" y="1919607"/>
          <a:ext cx="3654962" cy="38024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45 T-72, 37 Leopard 1A5, 7 Leopard 2A4</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0.23249</cdr:x>
      <cdr:y>0.46708</cdr:y>
    </cdr:from>
    <cdr:to>
      <cdr:x>0.32174</cdr:x>
      <cdr:y>0.50051</cdr:y>
    </cdr:to>
    <cdr:sp macro="" textlink="">
      <cdr:nvSpPr>
        <cdr:cNvPr id="11" name="Textfeld 1">
          <a:extLst xmlns:a="http://schemas.openxmlformats.org/drawingml/2006/main">
            <a:ext uri="{FF2B5EF4-FFF2-40B4-BE49-F238E27FC236}">
              <a16:creationId xmlns:a16="http://schemas.microsoft.com/office/drawing/2014/main" id="{6CB55A1F-5587-4AF3-8727-958903568E23}"/>
            </a:ext>
          </a:extLst>
        </cdr:cNvPr>
        <cdr:cNvSpPr txBox="1"/>
      </cdr:nvSpPr>
      <cdr:spPr>
        <a:xfrm xmlns:a="http://schemas.openxmlformats.org/drawingml/2006/main">
          <a:off x="2500843" y="5057431"/>
          <a:ext cx="960025" cy="36197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28 M-55S</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0.28006</cdr:x>
      <cdr:y>0.39579</cdr:y>
    </cdr:from>
    <cdr:to>
      <cdr:x>0.54766</cdr:x>
      <cdr:y>0.4248</cdr:y>
    </cdr:to>
    <cdr:sp macro="" textlink="">
      <cdr:nvSpPr>
        <cdr:cNvPr id="12" name="Textfeld 1">
          <a:extLst xmlns:a="http://schemas.openxmlformats.org/drawingml/2006/main">
            <a:ext uri="{FF2B5EF4-FFF2-40B4-BE49-F238E27FC236}">
              <a16:creationId xmlns:a16="http://schemas.microsoft.com/office/drawing/2014/main" id="{3339278F-A4B1-4CC2-B60C-7CA686E47F28}"/>
            </a:ext>
          </a:extLst>
        </cdr:cNvPr>
        <cdr:cNvSpPr txBox="1"/>
      </cdr:nvSpPr>
      <cdr:spPr>
        <a:xfrm xmlns:a="http://schemas.openxmlformats.org/drawingml/2006/main">
          <a:off x="3012449" y="4285570"/>
          <a:ext cx="2878505" cy="31414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37 Leopard 1A5, 7 Leopard 2A4</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0.19583</cdr:x>
      <cdr:y>0.54334</cdr:y>
    </cdr:from>
    <cdr:to>
      <cdr:x>0.3316</cdr:x>
      <cdr:y>0.57677</cdr:y>
    </cdr:to>
    <cdr:sp macro="" textlink="">
      <cdr:nvSpPr>
        <cdr:cNvPr id="13" name="Textfeld 1">
          <a:extLst xmlns:a="http://schemas.openxmlformats.org/drawingml/2006/main">
            <a:ext uri="{FF2B5EF4-FFF2-40B4-BE49-F238E27FC236}">
              <a16:creationId xmlns:a16="http://schemas.microsoft.com/office/drawing/2014/main" id="{18548B5F-EE23-46D5-A87A-995DFBB29D55}"/>
            </a:ext>
          </a:extLst>
        </cdr:cNvPr>
        <cdr:cNvSpPr txBox="1"/>
      </cdr:nvSpPr>
      <cdr:spPr>
        <a:xfrm xmlns:a="http://schemas.openxmlformats.org/drawingml/2006/main">
          <a:off x="2106514" y="5883176"/>
          <a:ext cx="1460421" cy="36197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14 Challenger 2</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0.186</cdr:x>
      <cdr:y>0.61241</cdr:y>
    </cdr:from>
    <cdr:to>
      <cdr:x>0.32177</cdr:x>
      <cdr:y>0.64585</cdr:y>
    </cdr:to>
    <cdr:sp macro="" textlink="">
      <cdr:nvSpPr>
        <cdr:cNvPr id="14" name="Textfeld 1">
          <a:extLst xmlns:a="http://schemas.openxmlformats.org/drawingml/2006/main">
            <a:ext uri="{FF2B5EF4-FFF2-40B4-BE49-F238E27FC236}">
              <a16:creationId xmlns:a16="http://schemas.microsoft.com/office/drawing/2014/main" id="{7D7E77A1-9E61-41C5-A537-D69382833BB3}"/>
            </a:ext>
          </a:extLst>
        </cdr:cNvPr>
        <cdr:cNvSpPr txBox="1"/>
      </cdr:nvSpPr>
      <cdr:spPr>
        <a:xfrm xmlns:a="http://schemas.openxmlformats.org/drawingml/2006/main">
          <a:off x="2000765" y="6631125"/>
          <a:ext cx="1460422" cy="36208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10 Leopard 2A6</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0.17293</cdr:x>
      <cdr:y>0.68815</cdr:y>
    </cdr:from>
    <cdr:to>
      <cdr:x>0.30775</cdr:x>
      <cdr:y>0.72158</cdr:y>
    </cdr:to>
    <cdr:sp macro="" textlink="">
      <cdr:nvSpPr>
        <cdr:cNvPr id="15" name="Textfeld 1">
          <a:extLst xmlns:a="http://schemas.openxmlformats.org/drawingml/2006/main">
            <a:ext uri="{FF2B5EF4-FFF2-40B4-BE49-F238E27FC236}">
              <a16:creationId xmlns:a16="http://schemas.microsoft.com/office/drawing/2014/main" id="{B1122A6C-935D-4AEE-83F5-C0FBA78A65BE}"/>
            </a:ext>
          </a:extLst>
        </cdr:cNvPr>
        <cdr:cNvSpPr txBox="1"/>
      </cdr:nvSpPr>
      <cdr:spPr>
        <a:xfrm xmlns:a="http://schemas.openxmlformats.org/drawingml/2006/main">
          <a:off x="1871157" y="7608469"/>
          <a:ext cx="1458783" cy="369617"/>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10 Leopard 2A4</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0.17631</cdr:x>
      <cdr:y>0.76121</cdr:y>
    </cdr:from>
    <cdr:to>
      <cdr:x>0.30704</cdr:x>
      <cdr:y>0.79464</cdr:y>
    </cdr:to>
    <cdr:sp macro="" textlink="">
      <cdr:nvSpPr>
        <cdr:cNvPr id="16" name="Textfeld 1">
          <a:extLst xmlns:a="http://schemas.openxmlformats.org/drawingml/2006/main">
            <a:ext uri="{FF2B5EF4-FFF2-40B4-BE49-F238E27FC236}">
              <a16:creationId xmlns:a16="http://schemas.microsoft.com/office/drawing/2014/main" id="{431D4123-6AA3-4E71-9BAA-4EF073F3898B}"/>
            </a:ext>
          </a:extLst>
        </cdr:cNvPr>
        <cdr:cNvSpPr txBox="1"/>
      </cdr:nvSpPr>
      <cdr:spPr>
        <a:xfrm xmlns:a="http://schemas.openxmlformats.org/drawingml/2006/main">
          <a:off x="1907747" y="8416236"/>
          <a:ext cx="1414574" cy="369617"/>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8 Leopard 2A4</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0.17591</cdr:x>
      <cdr:y>0.83231</cdr:y>
    </cdr:from>
    <cdr:to>
      <cdr:x>0.30282</cdr:x>
      <cdr:y>0.86574</cdr:y>
    </cdr:to>
    <cdr:sp macro="" textlink="">
      <cdr:nvSpPr>
        <cdr:cNvPr id="17" name="Textfeld 1">
          <a:extLst xmlns:a="http://schemas.openxmlformats.org/drawingml/2006/main">
            <a:ext uri="{FF2B5EF4-FFF2-40B4-BE49-F238E27FC236}">
              <a16:creationId xmlns:a16="http://schemas.microsoft.com/office/drawing/2014/main" id="{930E79C6-FCFB-4740-A756-A225611FFD11}"/>
            </a:ext>
          </a:extLst>
        </cdr:cNvPr>
        <cdr:cNvSpPr txBox="1"/>
      </cdr:nvSpPr>
      <cdr:spPr>
        <a:xfrm xmlns:a="http://schemas.openxmlformats.org/drawingml/2006/main">
          <a:off x="1903402" y="9202394"/>
          <a:ext cx="1373199" cy="369617"/>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8 Leopard 2A4</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0.17388</cdr:x>
      <cdr:y>0.90593</cdr:y>
    </cdr:from>
    <cdr:to>
      <cdr:x>0.30352</cdr:x>
      <cdr:y>0.93936</cdr:y>
    </cdr:to>
    <cdr:sp macro="" textlink="">
      <cdr:nvSpPr>
        <cdr:cNvPr id="18" name="Textfeld 1">
          <a:extLst xmlns:a="http://schemas.openxmlformats.org/drawingml/2006/main">
            <a:ext uri="{FF2B5EF4-FFF2-40B4-BE49-F238E27FC236}">
              <a16:creationId xmlns:a16="http://schemas.microsoft.com/office/drawing/2014/main" id="{930E79C6-FCFB-4740-A756-A225611FFD11}"/>
            </a:ext>
          </a:extLst>
        </cdr:cNvPr>
        <cdr:cNvSpPr txBox="1"/>
      </cdr:nvSpPr>
      <cdr:spPr>
        <a:xfrm xmlns:a="http://schemas.openxmlformats.org/drawingml/2006/main">
          <a:off x="1881437" y="10016370"/>
          <a:ext cx="1402784" cy="369617"/>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3 Leopard 2A6</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0.29581</cdr:x>
      <cdr:y>0.32201</cdr:y>
    </cdr:from>
    <cdr:to>
      <cdr:x>0.57342</cdr:x>
      <cdr:y>0.35955</cdr:y>
    </cdr:to>
    <cdr:sp macro="" textlink="">
      <cdr:nvSpPr>
        <cdr:cNvPr id="19" name="Textfeld 1">
          <a:extLst xmlns:a="http://schemas.openxmlformats.org/drawingml/2006/main">
            <a:ext uri="{FF2B5EF4-FFF2-40B4-BE49-F238E27FC236}">
              <a16:creationId xmlns:a16="http://schemas.microsoft.com/office/drawing/2014/main" id="{4E67CB10-FF8E-4FB3-939E-11D0DA88F577}"/>
            </a:ext>
          </a:extLst>
        </cdr:cNvPr>
        <cdr:cNvSpPr txBox="1"/>
      </cdr:nvSpPr>
      <cdr:spPr>
        <a:xfrm xmlns:a="http://schemas.openxmlformats.org/drawingml/2006/main">
          <a:off x="3181927" y="3486728"/>
          <a:ext cx="2986117" cy="40639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37 Leopard 1A5, 18 Leopard 2A6</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6</xdr:col>
      <xdr:colOff>942975</xdr:colOff>
      <xdr:row>11</xdr:row>
      <xdr:rowOff>57150</xdr:rowOff>
    </xdr:from>
    <xdr:to>
      <xdr:col>22</xdr:col>
      <xdr:colOff>361950</xdr:colOff>
      <xdr:row>47</xdr:row>
      <xdr:rowOff>95250</xdr:rowOff>
    </xdr:to>
    <xdr:graphicFrame macro="">
      <xdr:nvGraphicFramePr>
        <xdr:cNvPr id="8" name="Diagramm 1">
          <a:extLst>
            <a:ext uri="{FF2B5EF4-FFF2-40B4-BE49-F238E27FC236}">
              <a16:creationId xmlns:a16="http://schemas.microsoft.com/office/drawing/2014/main" id="{00000000-0008-0000-2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0.04814</cdr:x>
      <cdr:y>0.02406</cdr:y>
    </cdr:from>
    <cdr:to>
      <cdr:x>0.11961</cdr:x>
      <cdr:y>0.08703</cdr:y>
    </cdr:to>
    <cdr:sp macro="" textlink="">
      <cdr:nvSpPr>
        <cdr:cNvPr id="2" name="Textfeld 1"/>
        <cdr:cNvSpPr txBox="1"/>
      </cdr:nvSpPr>
      <cdr:spPr>
        <a:xfrm xmlns:a="http://schemas.openxmlformats.org/drawingml/2006/main">
          <a:off x="709994" y="159935"/>
          <a:ext cx="1054036" cy="41853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Percent</a:t>
          </a:r>
        </a:p>
      </cdr:txBody>
    </cdr:sp>
  </cdr:relSizeAnchor>
  <cdr:relSizeAnchor xmlns:cdr="http://schemas.openxmlformats.org/drawingml/2006/chartDrawing">
    <cdr:from>
      <cdr:x>0.14397</cdr:x>
      <cdr:y>0.08259</cdr:y>
    </cdr:from>
    <cdr:to>
      <cdr:x>0.5441</cdr:x>
      <cdr:y>0.25395</cdr:y>
    </cdr:to>
    <cdr:sp macro="" textlink="">
      <cdr:nvSpPr>
        <cdr:cNvPr id="3" name="Textfeld 1">
          <a:extLst xmlns:a="http://schemas.openxmlformats.org/drawingml/2006/main">
            <a:ext uri="{FF2B5EF4-FFF2-40B4-BE49-F238E27FC236}">
              <a16:creationId xmlns:a16="http://schemas.microsoft.com/office/drawing/2014/main" id="{489DBD5C-B2C2-4CE5-A4B6-DBD4D46BF3C6}"/>
            </a:ext>
          </a:extLst>
        </cdr:cNvPr>
        <cdr:cNvSpPr txBox="1"/>
      </cdr:nvSpPr>
      <cdr:spPr>
        <a:xfrm xmlns:a="http://schemas.openxmlformats.org/drawingml/2006/main">
          <a:off x="2123617" y="597240"/>
          <a:ext cx="5902148" cy="123916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a:effectLst/>
              <a:latin typeface="Times New Roman" panose="02020603050405020304" pitchFamily="18" charset="0"/>
              <a:ea typeface="+mn-ea"/>
              <a:cs typeface="Times New Roman" panose="02020603050405020304" pitchFamily="18" charset="0"/>
            </a:rPr>
            <a:t>Includes</a:t>
          </a:r>
          <a:r>
            <a:rPr lang="de-DE" sz="1600" b="0" baseline="0">
              <a:effectLst/>
              <a:latin typeface="Times New Roman" panose="02020603050405020304" pitchFamily="18" charset="0"/>
              <a:ea typeface="+mn-ea"/>
              <a:cs typeface="Times New Roman" panose="02020603050405020304" pitchFamily="18" charset="0"/>
            </a:rPr>
            <a:t> financial and military bilateral commitments to Ukraine.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Does not include humanitarian aid, private donations, support for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refugees outside of Ukraine, and aid by international organizations.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Adding the share of humanitarian bilateral aid adds to a total of 100%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bilateral aid share displayed in the figure.</a:t>
          </a:r>
        </a:p>
        <a:p xmlns:a="http://schemas.openxmlformats.org/drawingml/2006/main">
          <a:pPr algn="l"/>
          <a:endParaRPr lang="de-DE" sz="1600" b="0" baseline="0">
            <a:latin typeface="Times New Roman" panose="02020603050405020304" pitchFamily="18" charset="0"/>
            <a:ea typeface="+mn-ea"/>
            <a:cs typeface="Times New Roman" panose="02020603050405020304" pitchFamily="18" charset="0"/>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1</xdr:col>
      <xdr:colOff>1</xdr:colOff>
      <xdr:row>12</xdr:row>
      <xdr:rowOff>0</xdr:rowOff>
    </xdr:from>
    <xdr:to>
      <xdr:col>9</xdr:col>
      <xdr:colOff>596810</xdr:colOff>
      <xdr:row>52</xdr:row>
      <xdr:rowOff>132261</xdr:rowOff>
    </xdr:to>
    <xdr:graphicFrame macro="">
      <xdr:nvGraphicFramePr>
        <xdr:cNvPr id="2" name="Diagramm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12</xdr:row>
      <xdr:rowOff>0</xdr:rowOff>
    </xdr:from>
    <xdr:to>
      <xdr:col>20</xdr:col>
      <xdr:colOff>229416</xdr:colOff>
      <xdr:row>52</xdr:row>
      <xdr:rowOff>132261</xdr:rowOff>
    </xdr:to>
    <xdr:graphicFrame macro="">
      <xdr:nvGraphicFramePr>
        <xdr:cNvPr id="3" name="Diagramm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12</xdr:row>
      <xdr:rowOff>0</xdr:rowOff>
    </xdr:from>
    <xdr:to>
      <xdr:col>31</xdr:col>
      <xdr:colOff>188595</xdr:colOff>
      <xdr:row>52</xdr:row>
      <xdr:rowOff>132261</xdr:rowOff>
    </xdr:to>
    <xdr:graphicFrame macro="">
      <xdr:nvGraphicFramePr>
        <xdr:cNvPr id="4" name="Diagramm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0</xdr:colOff>
      <xdr:row>12</xdr:row>
      <xdr:rowOff>0</xdr:rowOff>
    </xdr:from>
    <xdr:to>
      <xdr:col>42</xdr:col>
      <xdr:colOff>161381</xdr:colOff>
      <xdr:row>52</xdr:row>
      <xdr:rowOff>132261</xdr:rowOff>
    </xdr:to>
    <xdr:graphicFrame macro="">
      <xdr:nvGraphicFramePr>
        <xdr:cNvPr id="5" name="Diagramm 4">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0</xdr:colOff>
      <xdr:row>12</xdr:row>
      <xdr:rowOff>0</xdr:rowOff>
    </xdr:from>
    <xdr:to>
      <xdr:col>51</xdr:col>
      <xdr:colOff>1467667</xdr:colOff>
      <xdr:row>52</xdr:row>
      <xdr:rowOff>132261</xdr:rowOff>
    </xdr:to>
    <xdr:graphicFrame macro="">
      <xdr:nvGraphicFramePr>
        <xdr:cNvPr id="6" name="Diagramm 5">
          <a:extLst>
            <a:ext uri="{FF2B5EF4-FFF2-40B4-BE49-F238E27FC236}">
              <a16:creationId xmlns:a16="http://schemas.microsoft.com/office/drawing/2014/main" id="{00000000-0008-0000-2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176893</xdr:colOff>
      <xdr:row>13</xdr:row>
      <xdr:rowOff>149679</xdr:rowOff>
    </xdr:from>
    <xdr:to>
      <xdr:col>30</xdr:col>
      <xdr:colOff>585108</xdr:colOff>
      <xdr:row>15</xdr:row>
      <xdr:rowOff>146571</xdr:rowOff>
    </xdr:to>
    <xdr:sp macro="" textlink="">
      <xdr:nvSpPr>
        <xdr:cNvPr id="7" name="Textfeld 1">
          <a:extLst>
            <a:ext uri="{FF2B5EF4-FFF2-40B4-BE49-F238E27FC236}">
              <a16:creationId xmlns:a16="http://schemas.microsoft.com/office/drawing/2014/main" id="{00000000-0008-0000-2500-000007000000}"/>
            </a:ext>
          </a:extLst>
        </xdr:cNvPr>
        <xdr:cNvSpPr txBox="1"/>
      </xdr:nvSpPr>
      <xdr:spPr>
        <a:xfrm>
          <a:off x="33487179" y="3020786"/>
          <a:ext cx="1714500" cy="405106"/>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81 %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25</xdr:col>
      <xdr:colOff>1347602</xdr:colOff>
      <xdr:row>15</xdr:row>
      <xdr:rowOff>154380</xdr:rowOff>
    </xdr:from>
    <xdr:to>
      <xdr:col>26</xdr:col>
      <xdr:colOff>1317666</xdr:colOff>
      <xdr:row>17</xdr:row>
      <xdr:rowOff>151271</xdr:rowOff>
    </xdr:to>
    <xdr:sp macro="" textlink="">
      <xdr:nvSpPr>
        <xdr:cNvPr id="8" name="Textfeld 1">
          <a:extLst>
            <a:ext uri="{FF2B5EF4-FFF2-40B4-BE49-F238E27FC236}">
              <a16:creationId xmlns:a16="http://schemas.microsoft.com/office/drawing/2014/main" id="{00000000-0008-0000-2500-000008000000}"/>
            </a:ext>
          </a:extLst>
        </xdr:cNvPr>
        <xdr:cNvSpPr txBox="1"/>
      </xdr:nvSpPr>
      <xdr:spPr>
        <a:xfrm>
          <a:off x="29472329" y="3313216"/>
          <a:ext cx="1688028" cy="384819"/>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25</xdr:col>
      <xdr:colOff>1338200</xdr:colOff>
      <xdr:row>18</xdr:row>
      <xdr:rowOff>155617</xdr:rowOff>
    </xdr:from>
    <xdr:to>
      <xdr:col>26</xdr:col>
      <xdr:colOff>1441614</xdr:colOff>
      <xdr:row>20</xdr:row>
      <xdr:rowOff>152508</xdr:rowOff>
    </xdr:to>
    <xdr:sp macro="" textlink="">
      <xdr:nvSpPr>
        <xdr:cNvPr id="9" name="Textfeld 1">
          <a:extLst>
            <a:ext uri="{FF2B5EF4-FFF2-40B4-BE49-F238E27FC236}">
              <a16:creationId xmlns:a16="http://schemas.microsoft.com/office/drawing/2014/main" id="{00000000-0008-0000-2500-000009000000}"/>
            </a:ext>
          </a:extLst>
        </xdr:cNvPr>
        <xdr:cNvSpPr txBox="1"/>
      </xdr:nvSpPr>
      <xdr:spPr>
        <a:xfrm>
          <a:off x="29462927" y="3896344"/>
          <a:ext cx="1821378" cy="384819"/>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21 %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25</xdr:col>
      <xdr:colOff>1080222</xdr:colOff>
      <xdr:row>21</xdr:row>
      <xdr:rowOff>89313</xdr:rowOff>
    </xdr:from>
    <xdr:to>
      <xdr:col>26</xdr:col>
      <xdr:colOff>1044843</xdr:colOff>
      <xdr:row>23</xdr:row>
      <xdr:rowOff>86204</xdr:rowOff>
    </xdr:to>
    <xdr:sp macro="" textlink="">
      <xdr:nvSpPr>
        <xdr:cNvPr id="10" name="Textfeld 1">
          <a:extLst>
            <a:ext uri="{FF2B5EF4-FFF2-40B4-BE49-F238E27FC236}">
              <a16:creationId xmlns:a16="http://schemas.microsoft.com/office/drawing/2014/main" id="{00000000-0008-0000-2500-00000A000000}"/>
            </a:ext>
          </a:extLst>
        </xdr:cNvPr>
        <xdr:cNvSpPr txBox="1"/>
      </xdr:nvSpPr>
      <xdr:spPr>
        <a:xfrm>
          <a:off x="29204949" y="4411931"/>
          <a:ext cx="1682585" cy="384818"/>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24 %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25</xdr:col>
      <xdr:colOff>704357</xdr:colOff>
      <xdr:row>24</xdr:row>
      <xdr:rowOff>65562</xdr:rowOff>
    </xdr:from>
    <xdr:to>
      <xdr:col>26</xdr:col>
      <xdr:colOff>516577</xdr:colOff>
      <xdr:row>26</xdr:row>
      <xdr:rowOff>62454</xdr:rowOff>
    </xdr:to>
    <xdr:sp macro="" textlink="">
      <xdr:nvSpPr>
        <xdr:cNvPr id="11" name="Textfeld 1">
          <a:extLst>
            <a:ext uri="{FF2B5EF4-FFF2-40B4-BE49-F238E27FC236}">
              <a16:creationId xmlns:a16="http://schemas.microsoft.com/office/drawing/2014/main" id="{00000000-0008-0000-2500-00000B000000}"/>
            </a:ext>
          </a:extLst>
        </xdr:cNvPr>
        <xdr:cNvSpPr txBox="1"/>
      </xdr:nvSpPr>
      <xdr:spPr>
        <a:xfrm>
          <a:off x="28829084" y="4970071"/>
          <a:ext cx="1530184" cy="384819"/>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33 %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25</xdr:col>
      <xdr:colOff>404010</xdr:colOff>
      <xdr:row>27</xdr:row>
      <xdr:rowOff>93271</xdr:rowOff>
    </xdr:from>
    <xdr:to>
      <xdr:col>26</xdr:col>
      <xdr:colOff>23837</xdr:colOff>
      <xdr:row>29</xdr:row>
      <xdr:rowOff>90162</xdr:rowOff>
    </xdr:to>
    <xdr:sp macro="" textlink="">
      <xdr:nvSpPr>
        <xdr:cNvPr id="12" name="Textfeld 1">
          <a:extLst>
            <a:ext uri="{FF2B5EF4-FFF2-40B4-BE49-F238E27FC236}">
              <a16:creationId xmlns:a16="http://schemas.microsoft.com/office/drawing/2014/main" id="{00000000-0008-0000-2500-00000C000000}"/>
            </a:ext>
          </a:extLst>
        </xdr:cNvPr>
        <xdr:cNvSpPr txBox="1"/>
      </xdr:nvSpPr>
      <xdr:spPr>
        <a:xfrm>
          <a:off x="28528737" y="5579671"/>
          <a:ext cx="1337791" cy="384818"/>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24</xdr:col>
      <xdr:colOff>1973035</xdr:colOff>
      <xdr:row>30</xdr:row>
      <xdr:rowOff>7174</xdr:rowOff>
    </xdr:from>
    <xdr:to>
      <xdr:col>26</xdr:col>
      <xdr:colOff>46263</xdr:colOff>
      <xdr:row>32</xdr:row>
      <xdr:rowOff>4066</xdr:rowOff>
    </xdr:to>
    <xdr:sp macro="" textlink="">
      <xdr:nvSpPr>
        <xdr:cNvPr id="13" name="Textfeld 1">
          <a:extLst>
            <a:ext uri="{FF2B5EF4-FFF2-40B4-BE49-F238E27FC236}">
              <a16:creationId xmlns:a16="http://schemas.microsoft.com/office/drawing/2014/main" id="{00000000-0008-0000-2500-00000D000000}"/>
            </a:ext>
          </a:extLst>
        </xdr:cNvPr>
        <xdr:cNvSpPr txBox="1"/>
      </xdr:nvSpPr>
      <xdr:spPr>
        <a:xfrm>
          <a:off x="28116562" y="6075465"/>
          <a:ext cx="1772392" cy="384819"/>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24</xdr:col>
      <xdr:colOff>1688219</xdr:colOff>
      <xdr:row>33</xdr:row>
      <xdr:rowOff>27404</xdr:rowOff>
    </xdr:from>
    <xdr:to>
      <xdr:col>25</xdr:col>
      <xdr:colOff>1538539</xdr:colOff>
      <xdr:row>35</xdr:row>
      <xdr:rowOff>24296</xdr:rowOff>
    </xdr:to>
    <xdr:sp macro="" textlink="">
      <xdr:nvSpPr>
        <xdr:cNvPr id="15" name="Textfeld 1">
          <a:extLst>
            <a:ext uri="{FF2B5EF4-FFF2-40B4-BE49-F238E27FC236}">
              <a16:creationId xmlns:a16="http://schemas.microsoft.com/office/drawing/2014/main" id="{00000000-0008-0000-2500-00000F000000}"/>
            </a:ext>
          </a:extLst>
        </xdr:cNvPr>
        <xdr:cNvSpPr txBox="1"/>
      </xdr:nvSpPr>
      <xdr:spPr>
        <a:xfrm>
          <a:off x="27831746" y="6677586"/>
          <a:ext cx="1831520" cy="384819"/>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24</xdr:col>
      <xdr:colOff>1592669</xdr:colOff>
      <xdr:row>35</xdr:row>
      <xdr:rowOff>165411</xdr:rowOff>
    </xdr:from>
    <xdr:to>
      <xdr:col>25</xdr:col>
      <xdr:colOff>943817</xdr:colOff>
      <xdr:row>37</xdr:row>
      <xdr:rowOff>162302</xdr:rowOff>
    </xdr:to>
    <xdr:sp macro="" textlink="">
      <xdr:nvSpPr>
        <xdr:cNvPr id="16" name="Textfeld 1">
          <a:extLst>
            <a:ext uri="{FF2B5EF4-FFF2-40B4-BE49-F238E27FC236}">
              <a16:creationId xmlns:a16="http://schemas.microsoft.com/office/drawing/2014/main" id="{00000000-0008-0000-2500-000010000000}"/>
            </a:ext>
          </a:extLst>
        </xdr:cNvPr>
        <xdr:cNvSpPr txBox="1"/>
      </xdr:nvSpPr>
      <xdr:spPr>
        <a:xfrm>
          <a:off x="27782609" y="7328211"/>
          <a:ext cx="1332348" cy="393131"/>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24</xdr:col>
      <xdr:colOff>1535728</xdr:colOff>
      <xdr:row>44</xdr:row>
      <xdr:rowOff>168630</xdr:rowOff>
    </xdr:from>
    <xdr:to>
      <xdr:col>25</xdr:col>
      <xdr:colOff>886876</xdr:colOff>
      <xdr:row>46</xdr:row>
      <xdr:rowOff>161366</xdr:rowOff>
    </xdr:to>
    <xdr:sp macro="" textlink="">
      <xdr:nvSpPr>
        <xdr:cNvPr id="17" name="Textfeld 1">
          <a:extLst>
            <a:ext uri="{FF2B5EF4-FFF2-40B4-BE49-F238E27FC236}">
              <a16:creationId xmlns:a16="http://schemas.microsoft.com/office/drawing/2014/main" id="{00000000-0008-0000-2500-000011000000}"/>
            </a:ext>
          </a:extLst>
        </xdr:cNvPr>
        <xdr:cNvSpPr txBox="1"/>
      </xdr:nvSpPr>
      <xdr:spPr>
        <a:xfrm>
          <a:off x="27725668" y="9114510"/>
          <a:ext cx="1332348" cy="388976"/>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24</xdr:col>
      <xdr:colOff>1512456</xdr:colOff>
      <xdr:row>38</xdr:row>
      <xdr:rowOff>168379</xdr:rowOff>
    </xdr:from>
    <xdr:to>
      <xdr:col>25</xdr:col>
      <xdr:colOff>1207655</xdr:colOff>
      <xdr:row>40</xdr:row>
      <xdr:rowOff>165271</xdr:rowOff>
    </xdr:to>
    <xdr:sp macro="" textlink="">
      <xdr:nvSpPr>
        <xdr:cNvPr id="18" name="Textfeld 1">
          <a:extLst>
            <a:ext uri="{FF2B5EF4-FFF2-40B4-BE49-F238E27FC236}">
              <a16:creationId xmlns:a16="http://schemas.microsoft.com/office/drawing/2014/main" id="{00000000-0008-0000-2500-000012000000}"/>
            </a:ext>
          </a:extLst>
        </xdr:cNvPr>
        <xdr:cNvSpPr txBox="1"/>
      </xdr:nvSpPr>
      <xdr:spPr>
        <a:xfrm>
          <a:off x="27702396" y="7925539"/>
          <a:ext cx="1676399" cy="393132"/>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24</xdr:col>
      <xdr:colOff>1507159</xdr:colOff>
      <xdr:row>41</xdr:row>
      <xdr:rowOff>134836</xdr:rowOff>
    </xdr:from>
    <xdr:to>
      <xdr:col>25</xdr:col>
      <xdr:colOff>1240457</xdr:colOff>
      <xdr:row>43</xdr:row>
      <xdr:rowOff>131727</xdr:rowOff>
    </xdr:to>
    <xdr:sp macro="" textlink="">
      <xdr:nvSpPr>
        <xdr:cNvPr id="19" name="Textfeld 1">
          <a:extLst>
            <a:ext uri="{FF2B5EF4-FFF2-40B4-BE49-F238E27FC236}">
              <a16:creationId xmlns:a16="http://schemas.microsoft.com/office/drawing/2014/main" id="{00000000-0008-0000-2500-000013000000}"/>
            </a:ext>
          </a:extLst>
        </xdr:cNvPr>
        <xdr:cNvSpPr txBox="1"/>
      </xdr:nvSpPr>
      <xdr:spPr>
        <a:xfrm>
          <a:off x="27697099" y="8486356"/>
          <a:ext cx="1714498" cy="393131"/>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xdr:txBody>
    </xdr:sp>
    <xdr:clientData/>
  </xdr:twoCellAnchor>
  <xdr:oneCellAnchor>
    <xdr:from>
      <xdr:col>24</xdr:col>
      <xdr:colOff>1422948</xdr:colOff>
      <xdr:row>47</xdr:row>
      <xdr:rowOff>141856</xdr:rowOff>
    </xdr:from>
    <xdr:ext cx="1583869" cy="328295"/>
    <xdr:sp macro="" textlink="">
      <xdr:nvSpPr>
        <xdr:cNvPr id="20" name="Textfeld 1">
          <a:extLst>
            <a:ext uri="{FF2B5EF4-FFF2-40B4-BE49-F238E27FC236}">
              <a16:creationId xmlns:a16="http://schemas.microsoft.com/office/drawing/2014/main" id="{00000000-0008-0000-2500-000014000000}"/>
            </a:ext>
          </a:extLst>
        </xdr:cNvPr>
        <xdr:cNvSpPr txBox="1"/>
      </xdr:nvSpPr>
      <xdr:spPr>
        <a:xfrm>
          <a:off x="27566475" y="9507529"/>
          <a:ext cx="1583869" cy="328295"/>
        </a:xfrm>
        <a:prstGeom prst="rect">
          <a:avLst/>
        </a:prstGeom>
        <a:solidFill>
          <a:schemeClr val="bg1"/>
        </a:solidFill>
      </xdr:spPr>
      <xdr:txBody>
        <a:bodyPr wrap="square"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xdr:txBody>
    </xdr:sp>
    <xdr:clientData/>
  </xdr:oneCellAnchor>
  <xdr:twoCellAnchor>
    <xdr:from>
      <xdr:col>36</xdr:col>
      <xdr:colOff>151657</xdr:colOff>
      <xdr:row>46</xdr:row>
      <xdr:rowOff>186145</xdr:rowOff>
    </xdr:from>
    <xdr:to>
      <xdr:col>36</xdr:col>
      <xdr:colOff>1934193</xdr:colOff>
      <xdr:row>48</xdr:row>
      <xdr:rowOff>183037</xdr:rowOff>
    </xdr:to>
    <xdr:sp macro="" textlink="">
      <xdr:nvSpPr>
        <xdr:cNvPr id="21" name="Textfeld 1">
          <a:extLst>
            <a:ext uri="{FF2B5EF4-FFF2-40B4-BE49-F238E27FC236}">
              <a16:creationId xmlns:a16="http://schemas.microsoft.com/office/drawing/2014/main" id="{00000000-0008-0000-2500-000015000000}"/>
            </a:ext>
          </a:extLst>
        </xdr:cNvPr>
        <xdr:cNvSpPr txBox="1"/>
      </xdr:nvSpPr>
      <xdr:spPr>
        <a:xfrm>
          <a:off x="42320737" y="9528265"/>
          <a:ext cx="1782536" cy="393132"/>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36</xdr:col>
      <xdr:colOff>531718</xdr:colOff>
      <xdr:row>42</xdr:row>
      <xdr:rowOff>159772</xdr:rowOff>
    </xdr:from>
    <xdr:to>
      <xdr:col>36</xdr:col>
      <xdr:colOff>2189067</xdr:colOff>
      <xdr:row>44</xdr:row>
      <xdr:rowOff>156663</xdr:rowOff>
    </xdr:to>
    <xdr:sp macro="" textlink="">
      <xdr:nvSpPr>
        <xdr:cNvPr id="22" name="Textfeld 1">
          <a:extLst>
            <a:ext uri="{FF2B5EF4-FFF2-40B4-BE49-F238E27FC236}">
              <a16:creationId xmlns:a16="http://schemas.microsoft.com/office/drawing/2014/main" id="{00000000-0008-0000-2500-000016000000}"/>
            </a:ext>
          </a:extLst>
        </xdr:cNvPr>
        <xdr:cNvSpPr txBox="1"/>
      </xdr:nvSpPr>
      <xdr:spPr>
        <a:xfrm>
          <a:off x="42700798" y="8709412"/>
          <a:ext cx="1657349" cy="393131"/>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36</xdr:col>
      <xdr:colOff>609255</xdr:colOff>
      <xdr:row>38</xdr:row>
      <xdr:rowOff>17070</xdr:rowOff>
    </xdr:from>
    <xdr:to>
      <xdr:col>36</xdr:col>
      <xdr:colOff>1947046</xdr:colOff>
      <xdr:row>40</xdr:row>
      <xdr:rowOff>13961</xdr:rowOff>
    </xdr:to>
    <xdr:sp macro="" textlink="">
      <xdr:nvSpPr>
        <xdr:cNvPr id="23" name="Textfeld 1">
          <a:extLst>
            <a:ext uri="{FF2B5EF4-FFF2-40B4-BE49-F238E27FC236}">
              <a16:creationId xmlns:a16="http://schemas.microsoft.com/office/drawing/2014/main" id="{00000000-0008-0000-2500-000017000000}"/>
            </a:ext>
          </a:extLst>
        </xdr:cNvPr>
        <xdr:cNvSpPr txBox="1"/>
      </xdr:nvSpPr>
      <xdr:spPr>
        <a:xfrm>
          <a:off x="42778335" y="7774230"/>
          <a:ext cx="1337791" cy="393131"/>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36</xdr:col>
      <xdr:colOff>551264</xdr:colOff>
      <xdr:row>33</xdr:row>
      <xdr:rowOff>163087</xdr:rowOff>
    </xdr:from>
    <xdr:to>
      <xdr:col>36</xdr:col>
      <xdr:colOff>1889055</xdr:colOff>
      <xdr:row>35</xdr:row>
      <xdr:rowOff>159978</xdr:rowOff>
    </xdr:to>
    <xdr:sp macro="" textlink="">
      <xdr:nvSpPr>
        <xdr:cNvPr id="24" name="Textfeld 1">
          <a:extLst>
            <a:ext uri="{FF2B5EF4-FFF2-40B4-BE49-F238E27FC236}">
              <a16:creationId xmlns:a16="http://schemas.microsoft.com/office/drawing/2014/main" id="{00000000-0008-0000-2500-000018000000}"/>
            </a:ext>
          </a:extLst>
        </xdr:cNvPr>
        <xdr:cNvSpPr txBox="1"/>
      </xdr:nvSpPr>
      <xdr:spPr>
        <a:xfrm>
          <a:off x="42720344" y="6929647"/>
          <a:ext cx="1337791" cy="393131"/>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36</xdr:col>
      <xdr:colOff>579615</xdr:colOff>
      <xdr:row>29</xdr:row>
      <xdr:rowOff>129985</xdr:rowOff>
    </xdr:from>
    <xdr:to>
      <xdr:col>36</xdr:col>
      <xdr:colOff>1917406</xdr:colOff>
      <xdr:row>31</xdr:row>
      <xdr:rowOff>126876</xdr:rowOff>
    </xdr:to>
    <xdr:sp macro="" textlink="">
      <xdr:nvSpPr>
        <xdr:cNvPr id="25" name="Textfeld 1">
          <a:extLst>
            <a:ext uri="{FF2B5EF4-FFF2-40B4-BE49-F238E27FC236}">
              <a16:creationId xmlns:a16="http://schemas.microsoft.com/office/drawing/2014/main" id="{00000000-0008-0000-2500-000019000000}"/>
            </a:ext>
          </a:extLst>
        </xdr:cNvPr>
        <xdr:cNvSpPr txBox="1"/>
      </xdr:nvSpPr>
      <xdr:spPr>
        <a:xfrm>
          <a:off x="42748695" y="6104065"/>
          <a:ext cx="1337791" cy="393131"/>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36</xdr:col>
      <xdr:colOff>947157</xdr:colOff>
      <xdr:row>25</xdr:row>
      <xdr:rowOff>175753</xdr:rowOff>
    </xdr:from>
    <xdr:to>
      <xdr:col>37</xdr:col>
      <xdr:colOff>851906</xdr:colOff>
      <xdr:row>27</xdr:row>
      <xdr:rowOff>172646</xdr:rowOff>
    </xdr:to>
    <xdr:sp macro="" textlink="">
      <xdr:nvSpPr>
        <xdr:cNvPr id="26" name="Textfeld 1">
          <a:extLst>
            <a:ext uri="{FF2B5EF4-FFF2-40B4-BE49-F238E27FC236}">
              <a16:creationId xmlns:a16="http://schemas.microsoft.com/office/drawing/2014/main" id="{00000000-0008-0000-2500-00001A000000}"/>
            </a:ext>
          </a:extLst>
        </xdr:cNvPr>
        <xdr:cNvSpPr txBox="1"/>
      </xdr:nvSpPr>
      <xdr:spPr>
        <a:xfrm>
          <a:off x="43116237" y="5357353"/>
          <a:ext cx="2510789" cy="393133"/>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36</xdr:col>
      <xdr:colOff>2407475</xdr:colOff>
      <xdr:row>21</xdr:row>
      <xdr:rowOff>132311</xdr:rowOff>
    </xdr:from>
    <xdr:to>
      <xdr:col>37</xdr:col>
      <xdr:colOff>2268682</xdr:colOff>
      <xdr:row>23</xdr:row>
      <xdr:rowOff>129202</xdr:rowOff>
    </xdr:to>
    <xdr:sp macro="" textlink="">
      <xdr:nvSpPr>
        <xdr:cNvPr id="27" name="Textfeld 1">
          <a:extLst>
            <a:ext uri="{FF2B5EF4-FFF2-40B4-BE49-F238E27FC236}">
              <a16:creationId xmlns:a16="http://schemas.microsoft.com/office/drawing/2014/main" id="{00000000-0008-0000-2500-00001B000000}"/>
            </a:ext>
          </a:extLst>
        </xdr:cNvPr>
        <xdr:cNvSpPr txBox="1"/>
      </xdr:nvSpPr>
      <xdr:spPr>
        <a:xfrm>
          <a:off x="44576555" y="4521431"/>
          <a:ext cx="2467247" cy="393131"/>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37</xdr:col>
      <xdr:colOff>1200199</xdr:colOff>
      <xdr:row>17</xdr:row>
      <xdr:rowOff>51212</xdr:rowOff>
    </xdr:from>
    <xdr:to>
      <xdr:col>38</xdr:col>
      <xdr:colOff>1398862</xdr:colOff>
      <xdr:row>19</xdr:row>
      <xdr:rowOff>48105</xdr:rowOff>
    </xdr:to>
    <xdr:sp macro="" textlink="">
      <xdr:nvSpPr>
        <xdr:cNvPr id="28" name="Textfeld 1">
          <a:extLst>
            <a:ext uri="{FF2B5EF4-FFF2-40B4-BE49-F238E27FC236}">
              <a16:creationId xmlns:a16="http://schemas.microsoft.com/office/drawing/2014/main" id="{00000000-0008-0000-2500-00001C000000}"/>
            </a:ext>
          </a:extLst>
        </xdr:cNvPr>
        <xdr:cNvSpPr txBox="1"/>
      </xdr:nvSpPr>
      <xdr:spPr>
        <a:xfrm>
          <a:off x="45975319" y="3647852"/>
          <a:ext cx="2720883" cy="393133"/>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73 %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36</xdr:col>
      <xdr:colOff>926276</xdr:colOff>
      <xdr:row>14</xdr:row>
      <xdr:rowOff>61604</xdr:rowOff>
    </xdr:from>
    <xdr:to>
      <xdr:col>36</xdr:col>
      <xdr:colOff>2461260</xdr:colOff>
      <xdr:row>16</xdr:row>
      <xdr:rowOff>30479</xdr:rowOff>
    </xdr:to>
    <xdr:sp macro="" textlink="">
      <xdr:nvSpPr>
        <xdr:cNvPr id="29" name="Textfeld 1">
          <a:extLst>
            <a:ext uri="{FF2B5EF4-FFF2-40B4-BE49-F238E27FC236}">
              <a16:creationId xmlns:a16="http://schemas.microsoft.com/office/drawing/2014/main" id="{00000000-0008-0000-2500-00001D000000}"/>
            </a:ext>
          </a:extLst>
        </xdr:cNvPr>
        <xdr:cNvSpPr txBox="1"/>
      </xdr:nvSpPr>
      <xdr:spPr>
        <a:xfrm>
          <a:off x="43095356" y="3063884"/>
          <a:ext cx="1534984" cy="365115"/>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14 %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50</xdr:col>
      <xdr:colOff>354529</xdr:colOff>
      <xdr:row>13</xdr:row>
      <xdr:rowOff>40575</xdr:rowOff>
    </xdr:from>
    <xdr:to>
      <xdr:col>51</xdr:col>
      <xdr:colOff>1238994</xdr:colOff>
      <xdr:row>15</xdr:row>
      <xdr:rowOff>37466</xdr:rowOff>
    </xdr:to>
    <xdr:sp macro="" textlink="">
      <xdr:nvSpPr>
        <xdr:cNvPr id="30" name="Textfeld 1">
          <a:extLst>
            <a:ext uri="{FF2B5EF4-FFF2-40B4-BE49-F238E27FC236}">
              <a16:creationId xmlns:a16="http://schemas.microsoft.com/office/drawing/2014/main" id="{00000000-0008-0000-2500-00001E000000}"/>
            </a:ext>
          </a:extLst>
        </xdr:cNvPr>
        <xdr:cNvSpPr txBox="1"/>
      </xdr:nvSpPr>
      <xdr:spPr>
        <a:xfrm>
          <a:off x="58377365" y="2811484"/>
          <a:ext cx="1535629" cy="384818"/>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48</xdr:col>
      <xdr:colOff>1182584</xdr:colOff>
      <xdr:row>16</xdr:row>
      <xdr:rowOff>182830</xdr:rowOff>
    </xdr:from>
    <xdr:to>
      <xdr:col>49</xdr:col>
      <xdr:colOff>805875</xdr:colOff>
      <xdr:row>18</xdr:row>
      <xdr:rowOff>182246</xdr:rowOff>
    </xdr:to>
    <xdr:sp macro="" textlink="">
      <xdr:nvSpPr>
        <xdr:cNvPr id="31" name="Textfeld 1">
          <a:extLst>
            <a:ext uri="{FF2B5EF4-FFF2-40B4-BE49-F238E27FC236}">
              <a16:creationId xmlns:a16="http://schemas.microsoft.com/office/drawing/2014/main" id="{00000000-0008-0000-2500-00001F000000}"/>
            </a:ext>
          </a:extLst>
        </xdr:cNvPr>
        <xdr:cNvSpPr txBox="1"/>
      </xdr:nvSpPr>
      <xdr:spPr>
        <a:xfrm>
          <a:off x="55769493" y="3535630"/>
          <a:ext cx="1341255" cy="387343"/>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47</xdr:col>
      <xdr:colOff>1243693</xdr:colOff>
      <xdr:row>21</xdr:row>
      <xdr:rowOff>99951</xdr:rowOff>
    </xdr:from>
    <xdr:to>
      <xdr:col>48</xdr:col>
      <xdr:colOff>1156608</xdr:colOff>
      <xdr:row>23</xdr:row>
      <xdr:rowOff>96842</xdr:rowOff>
    </xdr:to>
    <xdr:sp macro="" textlink="">
      <xdr:nvSpPr>
        <xdr:cNvPr id="32" name="Textfeld 1">
          <a:extLst>
            <a:ext uri="{FF2B5EF4-FFF2-40B4-BE49-F238E27FC236}">
              <a16:creationId xmlns:a16="http://schemas.microsoft.com/office/drawing/2014/main" id="{00000000-0008-0000-2500-000020000000}"/>
            </a:ext>
          </a:extLst>
        </xdr:cNvPr>
        <xdr:cNvSpPr txBox="1"/>
      </xdr:nvSpPr>
      <xdr:spPr>
        <a:xfrm>
          <a:off x="54112638" y="4422569"/>
          <a:ext cx="1630879" cy="384818"/>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67 %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47</xdr:col>
      <xdr:colOff>1205099</xdr:colOff>
      <xdr:row>25</xdr:row>
      <xdr:rowOff>172191</xdr:rowOff>
    </xdr:from>
    <xdr:to>
      <xdr:col>48</xdr:col>
      <xdr:colOff>1060863</xdr:colOff>
      <xdr:row>27</xdr:row>
      <xdr:rowOff>169084</xdr:rowOff>
    </xdr:to>
    <xdr:sp macro="" textlink="">
      <xdr:nvSpPr>
        <xdr:cNvPr id="33" name="Textfeld 1">
          <a:extLst>
            <a:ext uri="{FF2B5EF4-FFF2-40B4-BE49-F238E27FC236}">
              <a16:creationId xmlns:a16="http://schemas.microsoft.com/office/drawing/2014/main" id="{00000000-0008-0000-2500-000021000000}"/>
            </a:ext>
          </a:extLst>
        </xdr:cNvPr>
        <xdr:cNvSpPr txBox="1"/>
      </xdr:nvSpPr>
      <xdr:spPr>
        <a:xfrm>
          <a:off x="54074044" y="5270664"/>
          <a:ext cx="1573728" cy="384820"/>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47</xdr:col>
      <xdr:colOff>942109</xdr:colOff>
      <xdr:row>29</xdr:row>
      <xdr:rowOff>106136</xdr:rowOff>
    </xdr:from>
    <xdr:to>
      <xdr:col>48</xdr:col>
      <xdr:colOff>565400</xdr:colOff>
      <xdr:row>31</xdr:row>
      <xdr:rowOff>103027</xdr:rowOff>
    </xdr:to>
    <xdr:sp macro="" textlink="">
      <xdr:nvSpPr>
        <xdr:cNvPr id="34" name="Textfeld 1">
          <a:extLst>
            <a:ext uri="{FF2B5EF4-FFF2-40B4-BE49-F238E27FC236}">
              <a16:creationId xmlns:a16="http://schemas.microsoft.com/office/drawing/2014/main" id="{00000000-0008-0000-2500-000022000000}"/>
            </a:ext>
          </a:extLst>
        </xdr:cNvPr>
        <xdr:cNvSpPr txBox="1"/>
      </xdr:nvSpPr>
      <xdr:spPr>
        <a:xfrm>
          <a:off x="53811054" y="5980463"/>
          <a:ext cx="1341255" cy="384819"/>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47</xdr:col>
      <xdr:colOff>609550</xdr:colOff>
      <xdr:row>33</xdr:row>
      <xdr:rowOff>163632</xdr:rowOff>
    </xdr:from>
    <xdr:to>
      <xdr:col>48</xdr:col>
      <xdr:colOff>446264</xdr:colOff>
      <xdr:row>35</xdr:row>
      <xdr:rowOff>160522</xdr:rowOff>
    </xdr:to>
    <xdr:sp macro="" textlink="">
      <xdr:nvSpPr>
        <xdr:cNvPr id="35" name="Textfeld 1">
          <a:extLst>
            <a:ext uri="{FF2B5EF4-FFF2-40B4-BE49-F238E27FC236}">
              <a16:creationId xmlns:a16="http://schemas.microsoft.com/office/drawing/2014/main" id="{00000000-0008-0000-2500-000023000000}"/>
            </a:ext>
          </a:extLst>
        </xdr:cNvPr>
        <xdr:cNvSpPr txBox="1"/>
      </xdr:nvSpPr>
      <xdr:spPr>
        <a:xfrm>
          <a:off x="53545690" y="6930192"/>
          <a:ext cx="1551214" cy="393130"/>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47</xdr:col>
      <xdr:colOff>367343</xdr:colOff>
      <xdr:row>38</xdr:row>
      <xdr:rowOff>21523</xdr:rowOff>
    </xdr:from>
    <xdr:to>
      <xdr:col>48</xdr:col>
      <xdr:colOff>174122</xdr:colOff>
      <xdr:row>40</xdr:row>
      <xdr:rowOff>18415</xdr:rowOff>
    </xdr:to>
    <xdr:sp macro="" textlink="">
      <xdr:nvSpPr>
        <xdr:cNvPr id="36" name="Textfeld 1">
          <a:extLst>
            <a:ext uri="{FF2B5EF4-FFF2-40B4-BE49-F238E27FC236}">
              <a16:creationId xmlns:a16="http://schemas.microsoft.com/office/drawing/2014/main" id="{00000000-0008-0000-2500-000024000000}"/>
            </a:ext>
          </a:extLst>
        </xdr:cNvPr>
        <xdr:cNvSpPr txBox="1"/>
      </xdr:nvSpPr>
      <xdr:spPr>
        <a:xfrm>
          <a:off x="53303483" y="7778683"/>
          <a:ext cx="1521279" cy="393132"/>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47</xdr:col>
      <xdr:colOff>221524</xdr:colOff>
      <xdr:row>42</xdr:row>
      <xdr:rowOff>59327</xdr:rowOff>
    </xdr:from>
    <xdr:to>
      <xdr:col>48</xdr:col>
      <xdr:colOff>488225</xdr:colOff>
      <xdr:row>44</xdr:row>
      <xdr:rowOff>56218</xdr:rowOff>
    </xdr:to>
    <xdr:sp macro="" textlink="">
      <xdr:nvSpPr>
        <xdr:cNvPr id="37" name="Textfeld 1">
          <a:extLst>
            <a:ext uri="{FF2B5EF4-FFF2-40B4-BE49-F238E27FC236}">
              <a16:creationId xmlns:a16="http://schemas.microsoft.com/office/drawing/2014/main" id="{00000000-0008-0000-2500-000025000000}"/>
            </a:ext>
          </a:extLst>
        </xdr:cNvPr>
        <xdr:cNvSpPr txBox="1"/>
      </xdr:nvSpPr>
      <xdr:spPr>
        <a:xfrm>
          <a:off x="53157664" y="8608967"/>
          <a:ext cx="1981201" cy="393131"/>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xdr:txBody>
    </xdr:sp>
    <xdr:clientData/>
  </xdr:twoCellAnchor>
  <xdr:twoCellAnchor>
    <xdr:from>
      <xdr:col>46</xdr:col>
      <xdr:colOff>1446168</xdr:colOff>
      <xdr:row>46</xdr:row>
      <xdr:rowOff>70757</xdr:rowOff>
    </xdr:from>
    <xdr:to>
      <xdr:col>47</xdr:col>
      <xdr:colOff>1193075</xdr:colOff>
      <xdr:row>48</xdr:row>
      <xdr:rowOff>67649</xdr:rowOff>
    </xdr:to>
    <xdr:sp macro="" textlink="">
      <xdr:nvSpPr>
        <xdr:cNvPr id="38" name="Textfeld 1">
          <a:extLst>
            <a:ext uri="{FF2B5EF4-FFF2-40B4-BE49-F238E27FC236}">
              <a16:creationId xmlns:a16="http://schemas.microsoft.com/office/drawing/2014/main" id="{00000000-0008-0000-2500-000026000000}"/>
            </a:ext>
          </a:extLst>
        </xdr:cNvPr>
        <xdr:cNvSpPr txBox="1"/>
      </xdr:nvSpPr>
      <xdr:spPr>
        <a:xfrm>
          <a:off x="52363008" y="9412877"/>
          <a:ext cx="1766207" cy="393132"/>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xdr:txBody>
    </xdr:sp>
    <xdr:clientData/>
  </xdr:twoCellAnchor>
</xdr:wsDr>
</file>

<file path=xl/drawings/drawing68.xml><?xml version="1.0" encoding="utf-8"?>
<c:userShapes xmlns:c="http://schemas.openxmlformats.org/drawingml/2006/chart">
  <cdr:relSizeAnchor xmlns:cdr="http://schemas.openxmlformats.org/drawingml/2006/chartDrawing">
    <cdr:from>
      <cdr:x>0.49444</cdr:x>
      <cdr:y>0.64868</cdr:y>
    </cdr:from>
    <cdr:to>
      <cdr:x>0.9529</cdr:x>
      <cdr:y>0.78525</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5224798" y="5384245"/>
          <a:ext cx="4844488" cy="113357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heavy weapon commitments to Ukraine.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Does not include private donations or aid by international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organisations. For information on data quality and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transparency please see our data transparency index.</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0.82747</cdr:x>
      <cdr:y>0.88625</cdr:y>
    </cdr:from>
    <cdr:to>
      <cdr:x>0.97917</cdr:x>
      <cdr:y>0.93157</cdr:y>
    </cdr:to>
    <cdr:sp macro="" textlink="">
      <cdr:nvSpPr>
        <cdr:cNvPr id="4" name="Textfeld 1">
          <a:extLst xmlns:a="http://schemas.openxmlformats.org/drawingml/2006/main">
            <a:ext uri="{FF2B5EF4-FFF2-40B4-BE49-F238E27FC236}">
              <a16:creationId xmlns:a16="http://schemas.microsoft.com/office/drawing/2014/main" id="{B58884D1-0C77-4B7E-107C-8B975B6D02A0}"/>
            </a:ext>
          </a:extLst>
        </cdr:cNvPr>
        <cdr:cNvSpPr txBox="1"/>
      </cdr:nvSpPr>
      <cdr:spPr>
        <a:xfrm xmlns:a="http://schemas.openxmlformats.org/drawingml/2006/main">
          <a:off x="10084262" y="7140589"/>
          <a:ext cx="1848657" cy="365111"/>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number</a:t>
          </a:r>
          <a:r>
            <a:rPr lang="de-DE" sz="2000" baseline="0">
              <a:latin typeface="Times New Roman" panose="02020603050405020304" pitchFamily="18" charset="0"/>
              <a:cs typeface="Times New Roman" panose="02020603050405020304" pitchFamily="18" charset="0"/>
            </a:rPr>
            <a:t> of items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0.35215</cdr:x>
      <cdr:y>0.12901</cdr:y>
    </cdr:from>
    <cdr:to>
      <cdr:x>0.41874</cdr:x>
      <cdr:y>0.15863</cdr:y>
    </cdr:to>
    <cdr:sp macro="" textlink="">
      <cdr:nvSpPr>
        <cdr:cNvPr id="2" name="TextBox 1">
          <a:extLst xmlns:a="http://schemas.openxmlformats.org/drawingml/2006/main">
            <a:ext uri="{FF2B5EF4-FFF2-40B4-BE49-F238E27FC236}">
              <a16:creationId xmlns:a16="http://schemas.microsoft.com/office/drawing/2014/main" id="{4186E62D-5A27-4846-E47C-8249887A2A7E}"/>
            </a:ext>
          </a:extLst>
        </cdr:cNvPr>
        <cdr:cNvSpPr txBox="1"/>
      </cdr:nvSpPr>
      <cdr:spPr>
        <a:xfrm xmlns:a="http://schemas.openxmlformats.org/drawingml/2006/main">
          <a:off x="4029983" y="1027339"/>
          <a:ext cx="762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0.7451</cdr:x>
      <cdr:y>0.0322</cdr:y>
    </cdr:from>
    <cdr:to>
      <cdr:x>0.87996</cdr:x>
      <cdr:y>0.07015</cdr:y>
    </cdr:to>
    <cdr:sp macro="" textlink="">
      <cdr:nvSpPr>
        <cdr:cNvPr id="8" name="Textfeld 1">
          <a:extLst xmlns:a="http://schemas.openxmlformats.org/drawingml/2006/main">
            <a:ext uri="{FF2B5EF4-FFF2-40B4-BE49-F238E27FC236}">
              <a16:creationId xmlns:a16="http://schemas.microsoft.com/office/drawing/2014/main" id="{13D2F5B2-0769-41F9-8A1C-73CD3C1367AB}"/>
            </a:ext>
          </a:extLst>
        </cdr:cNvPr>
        <cdr:cNvSpPr txBox="1"/>
      </cdr:nvSpPr>
      <cdr:spPr>
        <a:xfrm xmlns:a="http://schemas.openxmlformats.org/drawingml/2006/main">
          <a:off x="7866900" y="254117"/>
          <a:ext cx="1423882" cy="299456"/>
        </a:xfrm>
        <a:prstGeom xmlns:a="http://schemas.openxmlformats.org/drawingml/2006/main" prst="rect">
          <a:avLst/>
        </a:prstGeom>
        <a:solidFill xmlns:a="http://schemas.openxmlformats.org/drawingml/2006/main">
          <a:schemeClr val="bg1"/>
        </a:solidFill>
      </cdr:spPr>
      <cdr:txBody>
        <a:bodyPr xmlns:a="http://schemas.openxmlformats.org/drawingml/2006/main" wrap="none" tIns="36000" bIns="3600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79 %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0.45802</cdr:x>
      <cdr:y>0.07126</cdr:y>
    </cdr:from>
    <cdr:to>
      <cdr:x>0.58452</cdr:x>
      <cdr:y>0.11926</cdr:y>
    </cdr:to>
    <cdr:sp macro="" textlink="">
      <cdr:nvSpPr>
        <cdr:cNvPr id="9" name="Textfeld 1">
          <a:extLst xmlns:a="http://schemas.openxmlformats.org/drawingml/2006/main">
            <a:ext uri="{FF2B5EF4-FFF2-40B4-BE49-F238E27FC236}">
              <a16:creationId xmlns:a16="http://schemas.microsoft.com/office/drawing/2014/main" id="{39C91093-2039-4939-9C45-3A1D5BD055DE}"/>
            </a:ext>
          </a:extLst>
        </cdr:cNvPr>
        <cdr:cNvSpPr txBox="1"/>
      </cdr:nvSpPr>
      <cdr:spPr>
        <a:xfrm xmlns:a="http://schemas.openxmlformats.org/drawingml/2006/main">
          <a:off x="4835866" y="562328"/>
          <a:ext cx="1335616" cy="378758"/>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55 %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0.43181</cdr:x>
      <cdr:y>0.12844</cdr:y>
    </cdr:from>
    <cdr:to>
      <cdr:x>0.56667</cdr:x>
      <cdr:y>0.16639</cdr:y>
    </cdr:to>
    <cdr:sp macro="" textlink="">
      <cdr:nvSpPr>
        <cdr:cNvPr id="10" name="Textfeld 1">
          <a:extLst xmlns:a="http://schemas.openxmlformats.org/drawingml/2006/main">
            <a:ext uri="{FF2B5EF4-FFF2-40B4-BE49-F238E27FC236}">
              <a16:creationId xmlns:a16="http://schemas.microsoft.com/office/drawing/2014/main" id="{39C91093-2039-4939-9C45-3A1D5BD055DE}"/>
            </a:ext>
          </a:extLst>
        </cdr:cNvPr>
        <cdr:cNvSpPr txBox="1"/>
      </cdr:nvSpPr>
      <cdr:spPr>
        <a:xfrm xmlns:a="http://schemas.openxmlformats.org/drawingml/2006/main">
          <a:off x="4559162" y="1013457"/>
          <a:ext cx="1423883" cy="299457"/>
        </a:xfrm>
        <a:prstGeom xmlns:a="http://schemas.openxmlformats.org/drawingml/2006/main" prst="rect">
          <a:avLst/>
        </a:prstGeom>
        <a:solidFill xmlns:a="http://schemas.openxmlformats.org/drawingml/2006/main">
          <a:schemeClr val="bg1"/>
        </a:solidFill>
      </cdr:spPr>
      <cdr:txBody>
        <a:bodyPr xmlns:a="http://schemas.openxmlformats.org/drawingml/2006/main" wrap="none" tIns="36000" bIns="3600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48 %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0.4099</cdr:x>
      <cdr:y>0.18299</cdr:y>
    </cdr:from>
    <cdr:to>
      <cdr:x>0.55446</cdr:x>
      <cdr:y>0.22094</cdr:y>
    </cdr:to>
    <cdr:sp macro="" textlink="">
      <cdr:nvSpPr>
        <cdr:cNvPr id="11" name="Textfeld 1">
          <a:extLst xmlns:a="http://schemas.openxmlformats.org/drawingml/2006/main">
            <a:ext uri="{FF2B5EF4-FFF2-40B4-BE49-F238E27FC236}">
              <a16:creationId xmlns:a16="http://schemas.microsoft.com/office/drawing/2014/main" id="{39C91093-2039-4939-9C45-3A1D5BD055DE}"/>
            </a:ext>
          </a:extLst>
        </cdr:cNvPr>
        <cdr:cNvSpPr txBox="1"/>
      </cdr:nvSpPr>
      <cdr:spPr>
        <a:xfrm xmlns:a="http://schemas.openxmlformats.org/drawingml/2006/main">
          <a:off x="4333194" y="1474325"/>
          <a:ext cx="1528200" cy="305765"/>
        </a:xfrm>
        <a:prstGeom xmlns:a="http://schemas.openxmlformats.org/drawingml/2006/main" prst="rect">
          <a:avLst/>
        </a:prstGeom>
        <a:solidFill xmlns:a="http://schemas.openxmlformats.org/drawingml/2006/main">
          <a:schemeClr val="bg1"/>
        </a:solidFill>
      </cdr:spPr>
      <cdr:txBody>
        <a:bodyPr xmlns:a="http://schemas.openxmlformats.org/drawingml/2006/main" wrap="none" tIns="36000" bIns="3600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0.33037</cdr:x>
      <cdr:y>0.24359</cdr:y>
    </cdr:from>
    <cdr:to>
      <cdr:x>0.45686</cdr:x>
      <cdr:y>0.28985</cdr:y>
    </cdr:to>
    <cdr:sp macro="" textlink="">
      <cdr:nvSpPr>
        <cdr:cNvPr id="12" name="Textfeld 1">
          <a:extLst xmlns:a="http://schemas.openxmlformats.org/drawingml/2006/main">
            <a:ext uri="{FF2B5EF4-FFF2-40B4-BE49-F238E27FC236}">
              <a16:creationId xmlns:a16="http://schemas.microsoft.com/office/drawing/2014/main" id="{39C91093-2039-4939-9C45-3A1D5BD055DE}"/>
            </a:ext>
          </a:extLst>
        </cdr:cNvPr>
        <cdr:cNvSpPr txBox="1"/>
      </cdr:nvSpPr>
      <cdr:spPr>
        <a:xfrm xmlns:a="http://schemas.openxmlformats.org/drawingml/2006/main">
          <a:off x="3488157" y="1922142"/>
          <a:ext cx="1335510" cy="365029"/>
        </a:xfrm>
        <a:prstGeom xmlns:a="http://schemas.openxmlformats.org/drawingml/2006/main" prst="rect">
          <a:avLst/>
        </a:prstGeom>
        <a:solidFill xmlns:a="http://schemas.openxmlformats.org/drawingml/2006/main">
          <a:schemeClr val="bg1"/>
        </a:solidFill>
      </cdr:spPr>
      <cdr:txBody>
        <a:bodyPr xmlns:a="http://schemas.openxmlformats.org/drawingml/2006/main" wrap="none" tIns="36000" b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0.33037</cdr:x>
      <cdr:y>0.29682</cdr:y>
    </cdr:from>
    <cdr:to>
      <cdr:x>0.45686</cdr:x>
      <cdr:y>0.34308</cdr:y>
    </cdr:to>
    <cdr:sp macro="" textlink="">
      <cdr:nvSpPr>
        <cdr:cNvPr id="13" name="Textfeld 1">
          <a:extLst xmlns:a="http://schemas.openxmlformats.org/drawingml/2006/main">
            <a:ext uri="{FF2B5EF4-FFF2-40B4-BE49-F238E27FC236}">
              <a16:creationId xmlns:a16="http://schemas.microsoft.com/office/drawing/2014/main" id="{39C91093-2039-4939-9C45-3A1D5BD055DE}"/>
            </a:ext>
          </a:extLst>
        </cdr:cNvPr>
        <cdr:cNvSpPr txBox="1"/>
      </cdr:nvSpPr>
      <cdr:spPr>
        <a:xfrm xmlns:a="http://schemas.openxmlformats.org/drawingml/2006/main">
          <a:off x="3492506" y="2391516"/>
          <a:ext cx="1337175" cy="372720"/>
        </a:xfrm>
        <a:prstGeom xmlns:a="http://schemas.openxmlformats.org/drawingml/2006/main" prst="rect">
          <a:avLst/>
        </a:prstGeom>
        <a:solidFill xmlns:a="http://schemas.openxmlformats.org/drawingml/2006/main">
          <a:schemeClr val="bg1"/>
        </a:solidFill>
      </cdr:spPr>
      <cdr:txBody>
        <a:bodyPr xmlns:a="http://schemas.openxmlformats.org/drawingml/2006/main" wrap="none" tIns="36000" b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38 %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0.2931</cdr:x>
      <cdr:y>0.36016</cdr:y>
    </cdr:from>
    <cdr:to>
      <cdr:x>0.41959</cdr:x>
      <cdr:y>0.40642</cdr:y>
    </cdr:to>
    <cdr:sp macro="" textlink="">
      <cdr:nvSpPr>
        <cdr:cNvPr id="14" name="Textfeld 1">
          <a:extLst xmlns:a="http://schemas.openxmlformats.org/drawingml/2006/main">
            <a:ext uri="{FF2B5EF4-FFF2-40B4-BE49-F238E27FC236}">
              <a16:creationId xmlns:a16="http://schemas.microsoft.com/office/drawing/2014/main" id="{39C91093-2039-4939-9C45-3A1D5BD055DE}"/>
            </a:ext>
          </a:extLst>
        </cdr:cNvPr>
        <cdr:cNvSpPr txBox="1"/>
      </cdr:nvSpPr>
      <cdr:spPr>
        <a:xfrm xmlns:a="http://schemas.openxmlformats.org/drawingml/2006/main">
          <a:off x="3098457" y="2901829"/>
          <a:ext cx="1337175" cy="372719"/>
        </a:xfrm>
        <a:prstGeom xmlns:a="http://schemas.openxmlformats.org/drawingml/2006/main" prst="rect">
          <a:avLst/>
        </a:prstGeom>
        <a:solidFill xmlns:a="http://schemas.openxmlformats.org/drawingml/2006/main">
          <a:schemeClr val="bg1"/>
        </a:solidFill>
      </cdr:spPr>
      <cdr:txBody>
        <a:bodyPr xmlns:a="http://schemas.openxmlformats.org/drawingml/2006/main" wrap="none" tIns="36000" b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60 %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0.28424</cdr:x>
      <cdr:y>0.41494</cdr:y>
    </cdr:from>
    <cdr:to>
      <cdr:x>0.41078</cdr:x>
      <cdr:y>0.46118</cdr:y>
    </cdr:to>
    <cdr:sp macro="" textlink="">
      <cdr:nvSpPr>
        <cdr:cNvPr id="15" name="Textfeld 1">
          <a:extLst xmlns:a="http://schemas.openxmlformats.org/drawingml/2006/main">
            <a:ext uri="{FF2B5EF4-FFF2-40B4-BE49-F238E27FC236}">
              <a16:creationId xmlns:a16="http://schemas.microsoft.com/office/drawing/2014/main" id="{39C91093-2039-4939-9C45-3A1D5BD055DE}"/>
            </a:ext>
          </a:extLst>
        </cdr:cNvPr>
        <cdr:cNvSpPr txBox="1"/>
      </cdr:nvSpPr>
      <cdr:spPr>
        <a:xfrm xmlns:a="http://schemas.openxmlformats.org/drawingml/2006/main">
          <a:off x="3004812" y="3343229"/>
          <a:ext cx="1337703" cy="372558"/>
        </a:xfrm>
        <a:prstGeom xmlns:a="http://schemas.openxmlformats.org/drawingml/2006/main" prst="rect">
          <a:avLst/>
        </a:prstGeom>
        <a:solidFill xmlns:a="http://schemas.openxmlformats.org/drawingml/2006/main">
          <a:schemeClr val="bg1"/>
        </a:solidFill>
      </cdr:spPr>
      <cdr:txBody>
        <a:bodyPr xmlns:a="http://schemas.openxmlformats.org/drawingml/2006/main" wrap="none" tIns="36000" b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80 %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0.27151</cdr:x>
      <cdr:y>0.46854</cdr:y>
    </cdr:from>
    <cdr:to>
      <cdr:x>0.39805</cdr:x>
      <cdr:y>0.51478</cdr:y>
    </cdr:to>
    <cdr:sp macro="" textlink="">
      <cdr:nvSpPr>
        <cdr:cNvPr id="16" name="Textfeld 1">
          <a:extLst xmlns:a="http://schemas.openxmlformats.org/drawingml/2006/main">
            <a:ext uri="{FF2B5EF4-FFF2-40B4-BE49-F238E27FC236}">
              <a16:creationId xmlns:a16="http://schemas.microsoft.com/office/drawing/2014/main" id="{39C91093-2039-4939-9C45-3A1D5BD055DE}"/>
            </a:ext>
          </a:extLst>
        </cdr:cNvPr>
        <cdr:cNvSpPr txBox="1"/>
      </cdr:nvSpPr>
      <cdr:spPr>
        <a:xfrm xmlns:a="http://schemas.openxmlformats.org/drawingml/2006/main">
          <a:off x="2870255" y="3775063"/>
          <a:ext cx="1337704" cy="372559"/>
        </a:xfrm>
        <a:prstGeom xmlns:a="http://schemas.openxmlformats.org/drawingml/2006/main" prst="rect">
          <a:avLst/>
        </a:prstGeom>
        <a:solidFill xmlns:a="http://schemas.openxmlformats.org/drawingml/2006/main">
          <a:schemeClr val="bg1"/>
        </a:solidFill>
      </cdr:spPr>
      <cdr:txBody>
        <a:bodyPr xmlns:a="http://schemas.openxmlformats.org/drawingml/2006/main" wrap="none" tIns="36000" b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78 %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0.27069</cdr:x>
      <cdr:y>0.52447</cdr:y>
    </cdr:from>
    <cdr:to>
      <cdr:x>0.39723</cdr:x>
      <cdr:y>0.5707</cdr:y>
    </cdr:to>
    <cdr:sp macro="" textlink="">
      <cdr:nvSpPr>
        <cdr:cNvPr id="17" name="Textfeld 1">
          <a:extLst xmlns:a="http://schemas.openxmlformats.org/drawingml/2006/main">
            <a:ext uri="{FF2B5EF4-FFF2-40B4-BE49-F238E27FC236}">
              <a16:creationId xmlns:a16="http://schemas.microsoft.com/office/drawing/2014/main" id="{39C91093-2039-4939-9C45-3A1D5BD055DE}"/>
            </a:ext>
          </a:extLst>
        </cdr:cNvPr>
        <cdr:cNvSpPr txBox="1"/>
      </cdr:nvSpPr>
      <cdr:spPr>
        <a:xfrm xmlns:a="http://schemas.openxmlformats.org/drawingml/2006/main">
          <a:off x="2861532" y="4225704"/>
          <a:ext cx="1337704" cy="372478"/>
        </a:xfrm>
        <a:prstGeom xmlns:a="http://schemas.openxmlformats.org/drawingml/2006/main" prst="rect">
          <a:avLst/>
        </a:prstGeom>
        <a:solidFill xmlns:a="http://schemas.openxmlformats.org/drawingml/2006/main">
          <a:schemeClr val="bg1"/>
        </a:solidFill>
      </cdr:spPr>
      <cdr:txBody>
        <a:bodyPr xmlns:a="http://schemas.openxmlformats.org/drawingml/2006/main" wrap="none" tIns="36000" b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0 %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0.18799</cdr:x>
      <cdr:y>0.59478</cdr:y>
    </cdr:from>
    <cdr:to>
      <cdr:x>0.34239</cdr:x>
      <cdr:y>0.64101</cdr:y>
    </cdr:to>
    <cdr:sp macro="" textlink="">
      <cdr:nvSpPr>
        <cdr:cNvPr id="18" name="Textfeld 1">
          <a:extLst xmlns:a="http://schemas.openxmlformats.org/drawingml/2006/main">
            <a:ext uri="{FF2B5EF4-FFF2-40B4-BE49-F238E27FC236}">
              <a16:creationId xmlns:a16="http://schemas.microsoft.com/office/drawing/2014/main" id="{A5B50A4A-371F-415E-9AF1-7FA8C24C5760}"/>
            </a:ext>
          </a:extLst>
        </cdr:cNvPr>
        <cdr:cNvSpPr txBox="1"/>
      </cdr:nvSpPr>
      <cdr:spPr>
        <a:xfrm xmlns:a="http://schemas.openxmlformats.org/drawingml/2006/main">
          <a:off x="2291002" y="4792149"/>
          <a:ext cx="1881646" cy="372478"/>
        </a:xfrm>
        <a:prstGeom xmlns:a="http://schemas.openxmlformats.org/drawingml/2006/main" prst="rect">
          <a:avLst/>
        </a:prstGeom>
        <a:solidFill xmlns:a="http://schemas.openxmlformats.org/drawingml/2006/main">
          <a:schemeClr val="bg1"/>
        </a:solidFill>
      </cdr:spPr>
      <cdr:txBody>
        <a:bodyPr xmlns:a="http://schemas.openxmlformats.org/drawingml/2006/main" wrap="none" tIns="36000" b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0.19075</cdr:x>
      <cdr:y>0.64441</cdr:y>
    </cdr:from>
    <cdr:to>
      <cdr:x>0.31729</cdr:x>
      <cdr:y>0.69064</cdr:y>
    </cdr:to>
    <cdr:sp macro="" textlink="">
      <cdr:nvSpPr>
        <cdr:cNvPr id="19" name="Textfeld 1">
          <a:extLst xmlns:a="http://schemas.openxmlformats.org/drawingml/2006/main">
            <a:ext uri="{FF2B5EF4-FFF2-40B4-BE49-F238E27FC236}">
              <a16:creationId xmlns:a16="http://schemas.microsoft.com/office/drawing/2014/main" id="{A5B50A4A-371F-415E-9AF1-7FA8C24C5760}"/>
            </a:ext>
          </a:extLst>
        </cdr:cNvPr>
        <cdr:cNvSpPr txBox="1"/>
      </cdr:nvSpPr>
      <cdr:spPr>
        <a:xfrm xmlns:a="http://schemas.openxmlformats.org/drawingml/2006/main">
          <a:off x="2324631" y="5192019"/>
          <a:ext cx="1542122" cy="372478"/>
        </a:xfrm>
        <a:prstGeom xmlns:a="http://schemas.openxmlformats.org/drawingml/2006/main" prst="rect">
          <a:avLst/>
        </a:prstGeom>
        <a:solidFill xmlns:a="http://schemas.openxmlformats.org/drawingml/2006/main">
          <a:schemeClr val="bg1"/>
        </a:solidFill>
      </cdr:spPr>
      <cdr:txBody>
        <a:bodyPr xmlns:a="http://schemas.openxmlformats.org/drawingml/2006/main" wrap="none" tIns="36000" b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0 %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0.18136</cdr:x>
      <cdr:y>0.70864</cdr:y>
    </cdr:from>
    <cdr:to>
      <cdr:x>0.3079</cdr:x>
      <cdr:y>0.75487</cdr:y>
    </cdr:to>
    <cdr:sp macro="" textlink="">
      <cdr:nvSpPr>
        <cdr:cNvPr id="20" name="Textfeld 1">
          <a:extLst xmlns:a="http://schemas.openxmlformats.org/drawingml/2006/main">
            <a:ext uri="{FF2B5EF4-FFF2-40B4-BE49-F238E27FC236}">
              <a16:creationId xmlns:a16="http://schemas.microsoft.com/office/drawing/2014/main" id="{A5B50A4A-371F-415E-9AF1-7FA8C24C5760}"/>
            </a:ext>
          </a:extLst>
        </cdr:cNvPr>
        <cdr:cNvSpPr txBox="1"/>
      </cdr:nvSpPr>
      <cdr:spPr>
        <a:xfrm xmlns:a="http://schemas.openxmlformats.org/drawingml/2006/main">
          <a:off x="2210159" y="5709526"/>
          <a:ext cx="1542121" cy="372478"/>
        </a:xfrm>
        <a:prstGeom xmlns:a="http://schemas.openxmlformats.org/drawingml/2006/main" prst="rect">
          <a:avLst/>
        </a:prstGeom>
        <a:solidFill xmlns:a="http://schemas.openxmlformats.org/drawingml/2006/main">
          <a:schemeClr val="bg1"/>
        </a:solidFill>
      </cdr:spPr>
      <cdr:txBody>
        <a:bodyPr xmlns:a="http://schemas.openxmlformats.org/drawingml/2006/main" wrap="none" tIns="36000" b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0.18008</cdr:x>
      <cdr:y>0.76852</cdr:y>
    </cdr:from>
    <cdr:to>
      <cdr:x>0.30654</cdr:x>
      <cdr:y>0.81652</cdr:y>
    </cdr:to>
    <cdr:sp macro="" textlink="">
      <cdr:nvSpPr>
        <cdr:cNvPr id="21" name="Textfeld 1">
          <a:extLst xmlns:a="http://schemas.openxmlformats.org/drawingml/2006/main">
            <a:ext uri="{FF2B5EF4-FFF2-40B4-BE49-F238E27FC236}">
              <a16:creationId xmlns:a16="http://schemas.microsoft.com/office/drawing/2014/main" id="{A5B50A4A-371F-415E-9AF1-7FA8C24C5760}"/>
            </a:ext>
          </a:extLst>
        </cdr:cNvPr>
        <cdr:cNvSpPr txBox="1"/>
      </cdr:nvSpPr>
      <cdr:spPr>
        <a:xfrm xmlns:a="http://schemas.openxmlformats.org/drawingml/2006/main">
          <a:off x="2194546" y="6191973"/>
          <a:ext cx="1541147" cy="386739"/>
        </a:xfrm>
        <a:prstGeom xmlns:a="http://schemas.openxmlformats.org/drawingml/2006/main" prst="rect">
          <a:avLst/>
        </a:prstGeom>
        <a:solidFill xmlns:a="http://schemas.openxmlformats.org/drawingml/2006/main">
          <a:schemeClr val="bg1"/>
        </a:solidFill>
      </cdr:spPr>
      <cdr:txBody>
        <a:bodyPr xmlns:a="http://schemas.openxmlformats.org/drawingml/2006/main" wrap="none" tIns="36000" b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0.18113</cdr:x>
      <cdr:y>0.81883</cdr:y>
    </cdr:from>
    <cdr:to>
      <cdr:x>0.30759</cdr:x>
      <cdr:y>0.86683</cdr:y>
    </cdr:to>
    <cdr:sp macro="" textlink="">
      <cdr:nvSpPr>
        <cdr:cNvPr id="22" name="Textfeld 1">
          <a:extLst xmlns:a="http://schemas.openxmlformats.org/drawingml/2006/main">
            <a:ext uri="{FF2B5EF4-FFF2-40B4-BE49-F238E27FC236}">
              <a16:creationId xmlns:a16="http://schemas.microsoft.com/office/drawing/2014/main" id="{A5B50A4A-371F-415E-9AF1-7FA8C24C5760}"/>
            </a:ext>
          </a:extLst>
        </cdr:cNvPr>
        <cdr:cNvSpPr txBox="1"/>
      </cdr:nvSpPr>
      <cdr:spPr>
        <a:xfrm xmlns:a="http://schemas.openxmlformats.org/drawingml/2006/main">
          <a:off x="2207394" y="6597380"/>
          <a:ext cx="1541146" cy="386739"/>
        </a:xfrm>
        <a:prstGeom xmlns:a="http://schemas.openxmlformats.org/drawingml/2006/main" prst="rect">
          <a:avLst/>
        </a:prstGeom>
        <a:solidFill xmlns:a="http://schemas.openxmlformats.org/drawingml/2006/main">
          <a:schemeClr val="bg1"/>
        </a:solidFill>
      </cdr:spPr>
      <cdr:txBody>
        <a:bodyPr xmlns:a="http://schemas.openxmlformats.org/drawingml/2006/main" wrap="none" tIns="36000" b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0 %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0.17383</cdr:x>
      <cdr:y>0.88269</cdr:y>
    </cdr:from>
    <cdr:to>
      <cdr:x>0.30029</cdr:x>
      <cdr:y>0.92069</cdr:y>
    </cdr:to>
    <cdr:sp macro="" textlink="">
      <cdr:nvSpPr>
        <cdr:cNvPr id="23" name="Textfeld 1">
          <a:extLst xmlns:a="http://schemas.openxmlformats.org/drawingml/2006/main">
            <a:ext uri="{FF2B5EF4-FFF2-40B4-BE49-F238E27FC236}">
              <a16:creationId xmlns:a16="http://schemas.microsoft.com/office/drawing/2014/main" id="{A5B50A4A-371F-415E-9AF1-7FA8C24C5760}"/>
            </a:ext>
          </a:extLst>
        </cdr:cNvPr>
        <cdr:cNvSpPr txBox="1"/>
      </cdr:nvSpPr>
      <cdr:spPr>
        <a:xfrm xmlns:a="http://schemas.openxmlformats.org/drawingml/2006/main">
          <a:off x="2118424" y="7111882"/>
          <a:ext cx="1541146" cy="306168"/>
        </a:xfrm>
        <a:prstGeom xmlns:a="http://schemas.openxmlformats.org/drawingml/2006/main" prst="rect">
          <a:avLst/>
        </a:prstGeom>
        <a:solidFill xmlns:a="http://schemas.openxmlformats.org/drawingml/2006/main">
          <a:schemeClr val="bg1"/>
        </a:solidFill>
      </cdr:spPr>
      <cdr:txBody>
        <a:bodyPr xmlns:a="http://schemas.openxmlformats.org/drawingml/2006/main" wrap="none" tIns="36000" b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0.80226</cdr:x>
      <cdr:y>0.88287</cdr:y>
    </cdr:from>
    <cdr:to>
      <cdr:x>0.97654</cdr:x>
      <cdr:y>0.92326</cdr:y>
    </cdr:to>
    <cdr:sp macro="" textlink="">
      <cdr:nvSpPr>
        <cdr:cNvPr id="4" name="Textfeld 1">
          <a:extLst xmlns:a="http://schemas.openxmlformats.org/drawingml/2006/main">
            <a:ext uri="{FF2B5EF4-FFF2-40B4-BE49-F238E27FC236}">
              <a16:creationId xmlns:a16="http://schemas.microsoft.com/office/drawing/2014/main" id="{B58884D1-0C77-4B7E-107C-8B975B6D02A0}"/>
            </a:ext>
          </a:extLst>
        </cdr:cNvPr>
        <cdr:cNvSpPr txBox="1"/>
      </cdr:nvSpPr>
      <cdr:spPr>
        <a:xfrm xmlns:a="http://schemas.openxmlformats.org/drawingml/2006/main">
          <a:off x="8479692" y="7113342"/>
          <a:ext cx="1842098" cy="32542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number</a:t>
          </a:r>
          <a:r>
            <a:rPr lang="de-DE" sz="2000" baseline="0">
              <a:latin typeface="Times New Roman" panose="02020603050405020304" pitchFamily="18" charset="0"/>
              <a:cs typeface="Times New Roman" panose="02020603050405020304" pitchFamily="18" charset="0"/>
            </a:rPr>
            <a:t> of items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0.35215</cdr:x>
      <cdr:y>0.12901</cdr:y>
    </cdr:from>
    <cdr:to>
      <cdr:x>0.41874</cdr:x>
      <cdr:y>0.15863</cdr:y>
    </cdr:to>
    <cdr:sp macro="" textlink="">
      <cdr:nvSpPr>
        <cdr:cNvPr id="2" name="TextBox 1">
          <a:extLst xmlns:a="http://schemas.openxmlformats.org/drawingml/2006/main">
            <a:ext uri="{FF2B5EF4-FFF2-40B4-BE49-F238E27FC236}">
              <a16:creationId xmlns:a16="http://schemas.microsoft.com/office/drawing/2014/main" id="{4186E62D-5A27-4846-E47C-8249887A2A7E}"/>
            </a:ext>
          </a:extLst>
        </cdr:cNvPr>
        <cdr:cNvSpPr txBox="1"/>
      </cdr:nvSpPr>
      <cdr:spPr>
        <a:xfrm xmlns:a="http://schemas.openxmlformats.org/drawingml/2006/main">
          <a:off x="4029983" y="1027339"/>
          <a:ext cx="762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0.49009</cdr:x>
      <cdr:y>0.63563</cdr:y>
    </cdr:from>
    <cdr:to>
      <cdr:x>0.94838</cdr:x>
      <cdr:y>0.7722</cdr:y>
    </cdr:to>
    <cdr:sp macro="" textlink="">
      <cdr:nvSpPr>
        <cdr:cNvPr id="5" name="Textfeld 1">
          <a:extLst xmlns:a="http://schemas.openxmlformats.org/drawingml/2006/main">
            <a:ext uri="{FF2B5EF4-FFF2-40B4-BE49-F238E27FC236}">
              <a16:creationId xmlns:a16="http://schemas.microsoft.com/office/drawing/2014/main" id="{7338337C-DB61-4B8D-9076-57944AE6BE41}"/>
            </a:ext>
          </a:extLst>
        </cdr:cNvPr>
        <cdr:cNvSpPr txBox="1"/>
      </cdr:nvSpPr>
      <cdr:spPr>
        <a:xfrm xmlns:a="http://schemas.openxmlformats.org/drawingml/2006/main">
          <a:off x="5180693" y="5275944"/>
          <a:ext cx="4844488" cy="113357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heavy weapon commitments to Ukraine.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Does not include private donations or aid by international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organisations. For information on data quality and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transparency please see our data transparency index.</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0.59436</cdr:x>
      <cdr:y>0.07333</cdr:y>
    </cdr:from>
    <cdr:to>
      <cdr:x>0.7208</cdr:x>
      <cdr:y>0.12133</cdr:y>
    </cdr:to>
    <cdr:sp macro="" textlink="">
      <cdr:nvSpPr>
        <cdr:cNvPr id="6" name="Textfeld 1">
          <a:extLst xmlns:a="http://schemas.openxmlformats.org/drawingml/2006/main">
            <a:ext uri="{FF2B5EF4-FFF2-40B4-BE49-F238E27FC236}">
              <a16:creationId xmlns:a16="http://schemas.microsoft.com/office/drawing/2014/main" id="{32B1879C-F885-4D35-9AD5-BFEE277E49A7}"/>
            </a:ext>
          </a:extLst>
        </cdr:cNvPr>
        <cdr:cNvSpPr txBox="1"/>
      </cdr:nvSpPr>
      <cdr:spPr>
        <a:xfrm xmlns:a="http://schemas.openxmlformats.org/drawingml/2006/main">
          <a:off x="6282871" y="608692"/>
          <a:ext cx="1336645" cy="39841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53 %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0.84408</cdr:x>
      <cdr:y>0.18305</cdr:y>
    </cdr:from>
    <cdr:to>
      <cdr:x>0.98812</cdr:x>
      <cdr:y>0.22192</cdr:y>
    </cdr:to>
    <cdr:sp macro="" textlink="">
      <cdr:nvSpPr>
        <cdr:cNvPr id="7" name="Textfeld 1">
          <a:extLst xmlns:a="http://schemas.openxmlformats.org/drawingml/2006/main">
            <a:ext uri="{FF2B5EF4-FFF2-40B4-BE49-F238E27FC236}">
              <a16:creationId xmlns:a16="http://schemas.microsoft.com/office/drawing/2014/main" id="{A5B50A4A-371F-415E-9AF1-7FA8C24C5760}"/>
            </a:ext>
          </a:extLst>
        </cdr:cNvPr>
        <cdr:cNvSpPr txBox="1"/>
      </cdr:nvSpPr>
      <cdr:spPr>
        <a:xfrm xmlns:a="http://schemas.openxmlformats.org/drawingml/2006/main">
          <a:off x="8917627" y="1444392"/>
          <a:ext cx="1521769" cy="30671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0.30789</cdr:x>
      <cdr:y>0.30834</cdr:y>
    </cdr:from>
    <cdr:to>
      <cdr:x>0.43445</cdr:x>
      <cdr:y>0.35717</cdr:y>
    </cdr:to>
    <cdr:sp macro="" textlink="">
      <cdr:nvSpPr>
        <cdr:cNvPr id="8" name="Textfeld 1">
          <a:extLst xmlns:a="http://schemas.openxmlformats.org/drawingml/2006/main">
            <a:ext uri="{FF2B5EF4-FFF2-40B4-BE49-F238E27FC236}">
              <a16:creationId xmlns:a16="http://schemas.microsoft.com/office/drawing/2014/main" id="{A5B50A4A-371F-415E-9AF1-7FA8C24C5760}"/>
            </a:ext>
          </a:extLst>
        </cdr:cNvPr>
        <cdr:cNvSpPr txBox="1"/>
      </cdr:nvSpPr>
      <cdr:spPr>
        <a:xfrm xmlns:a="http://schemas.openxmlformats.org/drawingml/2006/main">
          <a:off x="3252796" y="2433040"/>
          <a:ext cx="1337095" cy="38530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50 %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0.28958</cdr:x>
      <cdr:y>0.44236</cdr:y>
    </cdr:from>
    <cdr:to>
      <cdr:x>0.41614</cdr:x>
      <cdr:y>0.49119</cdr:y>
    </cdr:to>
    <cdr:sp macro="" textlink="">
      <cdr:nvSpPr>
        <cdr:cNvPr id="9" name="Textfeld 1">
          <a:extLst xmlns:a="http://schemas.openxmlformats.org/drawingml/2006/main">
            <a:ext uri="{FF2B5EF4-FFF2-40B4-BE49-F238E27FC236}">
              <a16:creationId xmlns:a16="http://schemas.microsoft.com/office/drawing/2014/main" id="{A5B50A4A-371F-415E-9AF1-7FA8C24C5760}"/>
            </a:ext>
          </a:extLst>
        </cdr:cNvPr>
        <cdr:cNvSpPr txBox="1"/>
      </cdr:nvSpPr>
      <cdr:spPr>
        <a:xfrm xmlns:a="http://schemas.openxmlformats.org/drawingml/2006/main">
          <a:off x="3059390" y="3490545"/>
          <a:ext cx="1337094" cy="38530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0.25219</cdr:x>
      <cdr:y>0.56912</cdr:y>
    </cdr:from>
    <cdr:to>
      <cdr:x>0.37874</cdr:x>
      <cdr:y>0.61795</cdr:y>
    </cdr:to>
    <cdr:sp macro="" textlink="">
      <cdr:nvSpPr>
        <cdr:cNvPr id="10" name="Textfeld 1">
          <a:extLst xmlns:a="http://schemas.openxmlformats.org/drawingml/2006/main">
            <a:ext uri="{FF2B5EF4-FFF2-40B4-BE49-F238E27FC236}">
              <a16:creationId xmlns:a16="http://schemas.microsoft.com/office/drawing/2014/main" id="{A5B50A4A-371F-415E-9AF1-7FA8C24C5760}"/>
            </a:ext>
          </a:extLst>
        </cdr:cNvPr>
        <cdr:cNvSpPr txBox="1"/>
      </cdr:nvSpPr>
      <cdr:spPr>
        <a:xfrm xmlns:a="http://schemas.openxmlformats.org/drawingml/2006/main">
          <a:off x="2665557" y="4585469"/>
          <a:ext cx="1337602" cy="39342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0.23226</cdr:x>
      <cdr:y>0.70882</cdr:y>
    </cdr:from>
    <cdr:to>
      <cdr:x>0.35882</cdr:x>
      <cdr:y>0.75765</cdr:y>
    </cdr:to>
    <cdr:sp macro="" textlink="">
      <cdr:nvSpPr>
        <cdr:cNvPr id="11" name="Textfeld 1">
          <a:extLst xmlns:a="http://schemas.openxmlformats.org/drawingml/2006/main">
            <a:ext uri="{FF2B5EF4-FFF2-40B4-BE49-F238E27FC236}">
              <a16:creationId xmlns:a16="http://schemas.microsoft.com/office/drawing/2014/main" id="{A5B50A4A-371F-415E-9AF1-7FA8C24C5760}"/>
            </a:ext>
          </a:extLst>
        </cdr:cNvPr>
        <cdr:cNvSpPr txBox="1"/>
      </cdr:nvSpPr>
      <cdr:spPr>
        <a:xfrm xmlns:a="http://schemas.openxmlformats.org/drawingml/2006/main">
          <a:off x="2453824" y="5593184"/>
          <a:ext cx="1337095" cy="38530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100 % delivered</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0.23067</cdr:x>
      <cdr:y>0.81904</cdr:y>
    </cdr:from>
    <cdr:to>
      <cdr:x>0.35723</cdr:x>
      <cdr:y>0.86786</cdr:y>
    </cdr:to>
    <cdr:sp macro="" textlink="">
      <cdr:nvSpPr>
        <cdr:cNvPr id="12" name="Textfeld 1">
          <a:extLst xmlns:a="http://schemas.openxmlformats.org/drawingml/2006/main">
            <a:ext uri="{FF2B5EF4-FFF2-40B4-BE49-F238E27FC236}">
              <a16:creationId xmlns:a16="http://schemas.microsoft.com/office/drawing/2014/main" id="{A5B50A4A-371F-415E-9AF1-7FA8C24C5760}"/>
            </a:ext>
          </a:extLst>
        </cdr:cNvPr>
        <cdr:cNvSpPr txBox="1"/>
      </cdr:nvSpPr>
      <cdr:spPr>
        <a:xfrm xmlns:a="http://schemas.openxmlformats.org/drawingml/2006/main">
          <a:off x="2438101" y="6599015"/>
          <a:ext cx="1337708" cy="39342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baseline="0">
              <a:latin typeface="Times New Roman" panose="02020603050405020304" pitchFamily="18" charset="0"/>
              <a:cs typeface="Times New Roman" panose="02020603050405020304" pitchFamily="18" charset="0"/>
            </a:rPr>
            <a:t>0 % delivered</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0.82179</cdr:x>
      <cdr:y>0.92539</cdr:y>
    </cdr:from>
    <cdr:to>
      <cdr:x>0.95362</cdr:x>
      <cdr:y>0.96615</cdr:y>
    </cdr:to>
    <cdr:sp macro="" textlink="">
      <cdr:nvSpPr>
        <cdr:cNvPr id="2" name="Textfeld 1"/>
        <cdr:cNvSpPr txBox="1"/>
      </cdr:nvSpPr>
      <cdr:spPr>
        <a:xfrm xmlns:a="http://schemas.openxmlformats.org/drawingml/2006/main">
          <a:off x="8875280" y="10660495"/>
          <a:ext cx="1423858" cy="46957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0.26757</cdr:x>
      <cdr:y>0.5413</cdr:y>
    </cdr:from>
    <cdr:to>
      <cdr:x>0.88594</cdr:x>
      <cdr:y>0.70576</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2872456" y="6098286"/>
          <a:ext cx="6638401" cy="185280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support for refugees outside of Ukraine, and aid by international organisations.</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Commitments by EU Institutions include Commission and Council, EPF and </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EIB. </a:t>
          </a:r>
          <a:r>
            <a:rPr lang="en-US" sz="1600" b="0" baseline="0">
              <a:latin typeface="Times New Roman" panose="02020603050405020304" pitchFamily="18" charset="0"/>
              <a:ea typeface="+mn-ea"/>
              <a:cs typeface="Times New Roman" panose="02020603050405020304" pitchFamily="18" charset="0"/>
            </a:rPr>
            <a:t>Financial commitments that are made explicitly for military </a:t>
          </a:r>
          <a:br>
            <a:rPr lang="en-US" sz="1600" b="0" baseline="0">
              <a:latin typeface="Times New Roman" panose="02020603050405020304" pitchFamily="18" charset="0"/>
              <a:ea typeface="+mn-ea"/>
              <a:cs typeface="Times New Roman" panose="02020603050405020304" pitchFamily="18" charset="0"/>
            </a:rPr>
          </a:br>
          <a:r>
            <a:rPr lang="en-US" sz="1600" b="0" baseline="0">
              <a:latin typeface="Times New Roman" panose="02020603050405020304" pitchFamily="18" charset="0"/>
              <a:ea typeface="+mn-ea"/>
              <a:cs typeface="Times New Roman" panose="02020603050405020304" pitchFamily="18" charset="0"/>
            </a:rPr>
            <a:t>and weapons purchases are counted as military aid.</a:t>
          </a:r>
          <a:r>
            <a:rPr lang="de-DE" sz="1600" b="0" baseline="0">
              <a:latin typeface="Times New Roman" panose="02020603050405020304" pitchFamily="18" charset="0"/>
              <a:ea typeface="+mn-ea"/>
              <a:cs typeface="Times New Roman" panose="02020603050405020304" pitchFamily="18" charset="0"/>
            </a:rPr>
            <a:t> </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For information on data quality and transparency </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please see our data transparency index.</a:t>
          </a:r>
        </a:p>
      </cdr:txBody>
    </cdr:sp>
  </cdr:relSizeAnchor>
</c:userShapes>
</file>

<file path=xl/drawings/drawing70.xml><?xml version="1.0" encoding="utf-8"?>
<c:userShapes xmlns:c="http://schemas.openxmlformats.org/drawingml/2006/chart">
  <cdr:relSizeAnchor xmlns:cdr="http://schemas.openxmlformats.org/drawingml/2006/chartDrawing">
    <cdr:from>
      <cdr:x>0.80921</cdr:x>
      <cdr:y>0.88733</cdr:y>
    </cdr:from>
    <cdr:to>
      <cdr:x>0.97559</cdr:x>
      <cdr:y>0.93408</cdr:y>
    </cdr:to>
    <cdr:sp macro="" textlink="">
      <cdr:nvSpPr>
        <cdr:cNvPr id="4" name="Textfeld 1">
          <a:extLst xmlns:a="http://schemas.openxmlformats.org/drawingml/2006/main">
            <a:ext uri="{FF2B5EF4-FFF2-40B4-BE49-F238E27FC236}">
              <a16:creationId xmlns:a16="http://schemas.microsoft.com/office/drawing/2014/main" id="{B58884D1-0C77-4B7E-107C-8B975B6D02A0}"/>
            </a:ext>
          </a:extLst>
        </cdr:cNvPr>
        <cdr:cNvSpPr txBox="1"/>
      </cdr:nvSpPr>
      <cdr:spPr>
        <a:xfrm xmlns:a="http://schemas.openxmlformats.org/drawingml/2006/main">
          <a:off x="8549856" y="7001757"/>
          <a:ext cx="1757925" cy="36886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number</a:t>
          </a:r>
          <a:r>
            <a:rPr lang="de-DE" sz="2000" baseline="0">
              <a:latin typeface="Times New Roman" panose="02020603050405020304" pitchFamily="18" charset="0"/>
              <a:cs typeface="Times New Roman" panose="02020603050405020304" pitchFamily="18" charset="0"/>
            </a:rPr>
            <a:t> of items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0.35215</cdr:x>
      <cdr:y>0.12901</cdr:y>
    </cdr:from>
    <cdr:to>
      <cdr:x>0.41874</cdr:x>
      <cdr:y>0.15863</cdr:y>
    </cdr:to>
    <cdr:sp macro="" textlink="">
      <cdr:nvSpPr>
        <cdr:cNvPr id="2" name="TextBox 1">
          <a:extLst xmlns:a="http://schemas.openxmlformats.org/drawingml/2006/main">
            <a:ext uri="{FF2B5EF4-FFF2-40B4-BE49-F238E27FC236}">
              <a16:creationId xmlns:a16="http://schemas.microsoft.com/office/drawing/2014/main" id="{4186E62D-5A27-4846-E47C-8249887A2A7E}"/>
            </a:ext>
          </a:extLst>
        </cdr:cNvPr>
        <cdr:cNvSpPr txBox="1"/>
      </cdr:nvSpPr>
      <cdr:spPr>
        <a:xfrm xmlns:a="http://schemas.openxmlformats.org/drawingml/2006/main">
          <a:off x="4029983" y="1027339"/>
          <a:ext cx="762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0.47078</cdr:x>
      <cdr:y>0.60284</cdr:y>
    </cdr:from>
    <cdr:to>
      <cdr:x>0.92907</cdr:x>
      <cdr:y>0.73941</cdr:y>
    </cdr:to>
    <cdr:sp macro="" textlink="">
      <cdr:nvSpPr>
        <cdr:cNvPr id="5" name="Textfeld 1">
          <a:extLst xmlns:a="http://schemas.openxmlformats.org/drawingml/2006/main">
            <a:ext uri="{FF2B5EF4-FFF2-40B4-BE49-F238E27FC236}">
              <a16:creationId xmlns:a16="http://schemas.microsoft.com/office/drawing/2014/main" id="{7338337C-DB61-4B8D-9076-57944AE6BE41}"/>
            </a:ext>
          </a:extLst>
        </cdr:cNvPr>
        <cdr:cNvSpPr txBox="1"/>
      </cdr:nvSpPr>
      <cdr:spPr>
        <a:xfrm xmlns:a="http://schemas.openxmlformats.org/drawingml/2006/main">
          <a:off x="4976586" y="5003800"/>
          <a:ext cx="4844488" cy="113357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heavy weapon commitments to Ukraine.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Does not include private donations or aid by international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organisations. For information on data quality and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transparency please see our data transparency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0.83689</cdr:x>
      <cdr:y>0.88854</cdr:y>
    </cdr:from>
    <cdr:to>
      <cdr:x>0.98273</cdr:x>
      <cdr:y>0.92893</cdr:y>
    </cdr:to>
    <cdr:sp macro="" textlink="">
      <cdr:nvSpPr>
        <cdr:cNvPr id="4" name="Textfeld 1">
          <a:extLst xmlns:a="http://schemas.openxmlformats.org/drawingml/2006/main">
            <a:ext uri="{FF2B5EF4-FFF2-40B4-BE49-F238E27FC236}">
              <a16:creationId xmlns:a16="http://schemas.microsoft.com/office/drawing/2014/main" id="{B58884D1-0C77-4B7E-107C-8B975B6D02A0}"/>
            </a:ext>
          </a:extLst>
        </cdr:cNvPr>
        <cdr:cNvSpPr txBox="1"/>
      </cdr:nvSpPr>
      <cdr:spPr>
        <a:xfrm xmlns:a="http://schemas.openxmlformats.org/drawingml/2006/main">
          <a:off x="10402233" y="7159028"/>
          <a:ext cx="1812628" cy="32542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number</a:t>
          </a:r>
          <a:r>
            <a:rPr lang="de-DE" sz="2000" baseline="0">
              <a:latin typeface="Times New Roman" panose="02020603050405020304" pitchFamily="18" charset="0"/>
              <a:cs typeface="Times New Roman" panose="02020603050405020304" pitchFamily="18" charset="0"/>
            </a:rPr>
            <a:t> of items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0.35215</cdr:x>
      <cdr:y>0.12901</cdr:y>
    </cdr:from>
    <cdr:to>
      <cdr:x>0.41874</cdr:x>
      <cdr:y>0.15863</cdr:y>
    </cdr:to>
    <cdr:sp macro="" textlink="">
      <cdr:nvSpPr>
        <cdr:cNvPr id="2" name="TextBox 1">
          <a:extLst xmlns:a="http://schemas.openxmlformats.org/drawingml/2006/main">
            <a:ext uri="{FF2B5EF4-FFF2-40B4-BE49-F238E27FC236}">
              <a16:creationId xmlns:a16="http://schemas.microsoft.com/office/drawing/2014/main" id="{4186E62D-5A27-4846-E47C-8249887A2A7E}"/>
            </a:ext>
          </a:extLst>
        </cdr:cNvPr>
        <cdr:cNvSpPr txBox="1"/>
      </cdr:nvSpPr>
      <cdr:spPr>
        <a:xfrm xmlns:a="http://schemas.openxmlformats.org/drawingml/2006/main">
          <a:off x="4029983" y="1027339"/>
          <a:ext cx="762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0.50287</cdr:x>
      <cdr:y>0.62251</cdr:y>
    </cdr:from>
    <cdr:to>
      <cdr:x>0.96108</cdr:x>
      <cdr:y>0.75908</cdr:y>
    </cdr:to>
    <cdr:sp macro="" textlink="">
      <cdr:nvSpPr>
        <cdr:cNvPr id="5" name="Textfeld 1">
          <a:extLst xmlns:a="http://schemas.openxmlformats.org/drawingml/2006/main">
            <a:ext uri="{FF2B5EF4-FFF2-40B4-BE49-F238E27FC236}">
              <a16:creationId xmlns:a16="http://schemas.microsoft.com/office/drawing/2014/main" id="{7338337C-DB61-4B8D-9076-57944AE6BE41}"/>
            </a:ext>
          </a:extLst>
        </cdr:cNvPr>
        <cdr:cNvSpPr txBox="1"/>
      </cdr:nvSpPr>
      <cdr:spPr>
        <a:xfrm xmlns:a="http://schemas.openxmlformats.org/drawingml/2006/main">
          <a:off x="5316765" y="5167085"/>
          <a:ext cx="4844488" cy="113357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heavy weapon commitments to Ukraine.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Does not include private donations or aid by international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organisations. For information on data quality and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transparency please see our data transparency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0.8036</cdr:x>
      <cdr:y>0.88665</cdr:y>
    </cdr:from>
    <cdr:to>
      <cdr:x>0.97788</cdr:x>
      <cdr:y>0.92704</cdr:y>
    </cdr:to>
    <cdr:sp macro="" textlink="">
      <cdr:nvSpPr>
        <cdr:cNvPr id="4" name="Textfeld 1">
          <a:extLst xmlns:a="http://schemas.openxmlformats.org/drawingml/2006/main">
            <a:ext uri="{FF2B5EF4-FFF2-40B4-BE49-F238E27FC236}">
              <a16:creationId xmlns:a16="http://schemas.microsoft.com/office/drawing/2014/main" id="{B58884D1-0C77-4B7E-107C-8B975B6D02A0}"/>
            </a:ext>
          </a:extLst>
        </cdr:cNvPr>
        <cdr:cNvSpPr txBox="1"/>
      </cdr:nvSpPr>
      <cdr:spPr>
        <a:xfrm xmlns:a="http://schemas.openxmlformats.org/drawingml/2006/main">
          <a:off x="8496933" y="7143776"/>
          <a:ext cx="1842761" cy="32542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number</a:t>
          </a:r>
          <a:r>
            <a:rPr lang="de-DE" sz="2000" baseline="0">
              <a:latin typeface="Times New Roman" panose="02020603050405020304" pitchFamily="18" charset="0"/>
              <a:cs typeface="Times New Roman" panose="02020603050405020304" pitchFamily="18" charset="0"/>
            </a:rPr>
            <a:t> of items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0.35215</cdr:x>
      <cdr:y>0.12901</cdr:y>
    </cdr:from>
    <cdr:to>
      <cdr:x>0.41874</cdr:x>
      <cdr:y>0.15863</cdr:y>
    </cdr:to>
    <cdr:sp macro="" textlink="">
      <cdr:nvSpPr>
        <cdr:cNvPr id="2" name="TextBox 1">
          <a:extLst xmlns:a="http://schemas.openxmlformats.org/drawingml/2006/main">
            <a:ext uri="{FF2B5EF4-FFF2-40B4-BE49-F238E27FC236}">
              <a16:creationId xmlns:a16="http://schemas.microsoft.com/office/drawing/2014/main" id="{4186E62D-5A27-4846-E47C-8249887A2A7E}"/>
            </a:ext>
          </a:extLst>
        </cdr:cNvPr>
        <cdr:cNvSpPr txBox="1"/>
      </cdr:nvSpPr>
      <cdr:spPr>
        <a:xfrm xmlns:a="http://schemas.openxmlformats.org/drawingml/2006/main">
          <a:off x="4029983" y="1027339"/>
          <a:ext cx="762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0.5186</cdr:x>
      <cdr:y>0.61104</cdr:y>
    </cdr:from>
    <cdr:to>
      <cdr:x>0.97705</cdr:x>
      <cdr:y>0.74761</cdr:y>
    </cdr:to>
    <cdr:sp macro="" textlink="">
      <cdr:nvSpPr>
        <cdr:cNvPr id="5" name="Textfeld 1">
          <a:extLst xmlns:a="http://schemas.openxmlformats.org/drawingml/2006/main">
            <a:ext uri="{FF2B5EF4-FFF2-40B4-BE49-F238E27FC236}">
              <a16:creationId xmlns:a16="http://schemas.microsoft.com/office/drawing/2014/main" id="{7338337C-DB61-4B8D-9076-57944AE6BE41}"/>
            </a:ext>
          </a:extLst>
        </cdr:cNvPr>
        <cdr:cNvSpPr txBox="1"/>
      </cdr:nvSpPr>
      <cdr:spPr>
        <a:xfrm xmlns:a="http://schemas.openxmlformats.org/drawingml/2006/main">
          <a:off x="5482007" y="5069522"/>
          <a:ext cx="4846204" cy="113306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heavy weapon commitments to Ukraine.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Does not include private donations or aid by international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organisations. For information on data quality and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transparency please see our data transparency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6</xdr:col>
      <xdr:colOff>1009650</xdr:colOff>
      <xdr:row>12</xdr:row>
      <xdr:rowOff>0</xdr:rowOff>
    </xdr:from>
    <xdr:to>
      <xdr:col>22</xdr:col>
      <xdr:colOff>266700</xdr:colOff>
      <xdr:row>57</xdr:row>
      <xdr:rowOff>47625</xdr:rowOff>
    </xdr:to>
    <xdr:graphicFrame macro="">
      <xdr:nvGraphicFramePr>
        <xdr:cNvPr id="2" name="Diagramm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0.05124</cdr:x>
      <cdr:y>0.02177</cdr:y>
    </cdr:from>
    <cdr:to>
      <cdr:x>0.17529</cdr:x>
      <cdr:y>0.08474</cdr:y>
    </cdr:to>
    <cdr:sp macro="" textlink="">
      <cdr:nvSpPr>
        <cdr:cNvPr id="2" name="Textfeld 1"/>
        <cdr:cNvSpPr txBox="1"/>
      </cdr:nvSpPr>
      <cdr:spPr>
        <a:xfrm xmlns:a="http://schemas.openxmlformats.org/drawingml/2006/main">
          <a:off x="748726" y="169478"/>
          <a:ext cx="1812537" cy="49014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1800">
              <a:latin typeface="Times New Roman" panose="02020603050405020304" pitchFamily="18" charset="0"/>
              <a:cs typeface="Times New Roman" panose="02020603050405020304" pitchFamily="18" charset="0"/>
            </a:rPr>
            <a:t> Euros</a:t>
          </a:r>
        </a:p>
      </cdr:txBody>
    </cdr:sp>
  </cdr:relSizeAnchor>
  <cdr:relSizeAnchor xmlns:cdr="http://schemas.openxmlformats.org/drawingml/2006/chartDrawing">
    <cdr:from>
      <cdr:x>0.39352</cdr:x>
      <cdr:y>0.16076</cdr:y>
    </cdr:from>
    <cdr:to>
      <cdr:x>0.78321</cdr:x>
      <cdr:y>0.35242</cdr:y>
    </cdr:to>
    <cdr:sp macro="" textlink="">
      <cdr:nvSpPr>
        <cdr:cNvPr id="3" name="Textfeld 1">
          <a:extLst xmlns:a="http://schemas.openxmlformats.org/drawingml/2006/main">
            <a:ext uri="{FF2B5EF4-FFF2-40B4-BE49-F238E27FC236}">
              <a16:creationId xmlns:a16="http://schemas.microsoft.com/office/drawing/2014/main" id="{489DBD5C-B2C2-4CE5-A4B6-DBD4D46BF3C6}"/>
            </a:ext>
          </a:extLst>
        </cdr:cNvPr>
        <cdr:cNvSpPr txBox="1"/>
      </cdr:nvSpPr>
      <cdr:spPr>
        <a:xfrm xmlns:a="http://schemas.openxmlformats.org/drawingml/2006/main">
          <a:off x="5749879" y="1251318"/>
          <a:ext cx="5693879" cy="149188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a:effectLst/>
              <a:latin typeface="Times New Roman" panose="02020603050405020304" pitchFamily="18" charset="0"/>
              <a:ea typeface="+mn-ea"/>
              <a:cs typeface="Times New Roman" panose="02020603050405020304" pitchFamily="18" charset="0"/>
            </a:rPr>
            <a:t>Includes</a:t>
          </a:r>
          <a:r>
            <a:rPr lang="de-DE" sz="1600" b="0" baseline="0">
              <a:effectLst/>
              <a:latin typeface="Times New Roman" panose="02020603050405020304" pitchFamily="18" charset="0"/>
              <a:ea typeface="+mn-ea"/>
              <a:cs typeface="Times New Roman" panose="02020603050405020304" pitchFamily="18" charset="0"/>
            </a:rPr>
            <a:t> bilateral commitments to Ukraine. Does not include private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donations, support for refugees outside of Ukraine, and aid by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international organizations. Commitments of the European Union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include the EU Commission and Council, EPF, and EIB.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For information on data quality and transparency please see</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our data transparency index.</a:t>
          </a:r>
          <a:endParaRPr lang="de-DE" sz="1600" b="0" baseline="0">
            <a:latin typeface="Times New Roman" panose="02020603050405020304" pitchFamily="18" charset="0"/>
            <a:ea typeface="+mn-ea"/>
            <a:cs typeface="Times New Roman" panose="02020603050405020304" pitchFamily="18"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66674</xdr:colOff>
      <xdr:row>11</xdr:row>
      <xdr:rowOff>47624</xdr:rowOff>
    </xdr:from>
    <xdr:to>
      <xdr:col>20</xdr:col>
      <xdr:colOff>401874</xdr:colOff>
      <xdr:row>68</xdr:row>
      <xdr:rowOff>188424</xdr:rowOff>
    </xdr:to>
    <xdr:graphicFrame macro="">
      <xdr:nvGraphicFramePr>
        <xdr:cNvPr id="2" name="Diagram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0.78269</cdr:x>
      <cdr:y>0.90887</cdr:y>
    </cdr:from>
    <cdr:to>
      <cdr:x>0.93656</cdr:x>
      <cdr:y>0.94702</cdr:y>
    </cdr:to>
    <cdr:sp macro="" textlink="">
      <cdr:nvSpPr>
        <cdr:cNvPr id="2" name="Textfeld 1"/>
        <cdr:cNvSpPr txBox="1"/>
      </cdr:nvSpPr>
      <cdr:spPr>
        <a:xfrm xmlns:a="http://schemas.openxmlformats.org/drawingml/2006/main">
          <a:off x="8463902" y="9815796"/>
          <a:ext cx="1663922" cy="41203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baseline="0">
              <a:latin typeface="Times New Roman" panose="02020603050405020304" pitchFamily="18" charset="0"/>
              <a:cs typeface="Times New Roman" panose="02020603050405020304" pitchFamily="18" charset="0"/>
            </a:rPr>
            <a:t>Percent of GDP</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0.33577</cdr:x>
      <cdr:y>0.41296</cdr:y>
    </cdr:from>
    <cdr:to>
      <cdr:x>0.9493</cdr:x>
      <cdr:y>0.5528</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660426" y="4841210"/>
          <a:ext cx="6688459" cy="163937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effectLst/>
              <a:latin typeface="Times New Roman" panose="02020603050405020304" pitchFamily="18" charset="0"/>
              <a:ea typeface="+mn-ea"/>
              <a:cs typeface="Times New Roman" panose="02020603050405020304" pitchFamily="18" charset="0"/>
            </a:rPr>
            <a:t>Includes</a:t>
          </a:r>
          <a:r>
            <a:rPr lang="de-DE" sz="1600" b="0" baseline="0">
              <a:effectLst/>
              <a:latin typeface="Times New Roman" panose="02020603050405020304" pitchFamily="18" charset="0"/>
              <a:ea typeface="+mn-ea"/>
              <a:cs typeface="Times New Roman" panose="02020603050405020304" pitchFamily="18" charset="0"/>
            </a:rPr>
            <a:t> bilateral commitments to Ukraine. Does not include private donations,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support for refugees outside of Ukraine, and aid by international organisations.</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Commitments by EU Institutions include Commission and Council, EPF and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EIB. </a:t>
          </a:r>
          <a:r>
            <a:rPr lang="en-US" sz="1600" b="0" baseline="0">
              <a:effectLst/>
              <a:latin typeface="Times New Roman" panose="02020603050405020304" pitchFamily="18" charset="0"/>
              <a:ea typeface="+mn-ea"/>
              <a:cs typeface="Times New Roman" panose="02020603050405020304" pitchFamily="18" charset="0"/>
            </a:rPr>
            <a:t>Financial commitments that are made explicitly for military and weapons </a:t>
          </a:r>
          <a:br>
            <a:rPr lang="en-US" sz="1600" b="0" baseline="0">
              <a:effectLst/>
              <a:latin typeface="Times New Roman" panose="02020603050405020304" pitchFamily="18" charset="0"/>
              <a:ea typeface="+mn-ea"/>
              <a:cs typeface="Times New Roman" panose="02020603050405020304" pitchFamily="18" charset="0"/>
            </a:rPr>
          </a:br>
          <a:r>
            <a:rPr lang="en-US" sz="1600" b="0" baseline="0">
              <a:effectLst/>
              <a:latin typeface="Times New Roman" panose="02020603050405020304" pitchFamily="18" charset="0"/>
              <a:ea typeface="+mn-ea"/>
              <a:cs typeface="Times New Roman" panose="02020603050405020304" pitchFamily="18" charset="0"/>
            </a:rPr>
            <a:t>purchases are counted as military aid.</a:t>
          </a:r>
          <a:r>
            <a:rPr lang="de-DE" sz="1600" b="0" baseline="0">
              <a:effectLst/>
              <a:latin typeface="Times New Roman" panose="02020603050405020304" pitchFamily="18" charset="0"/>
              <a:ea typeface="+mn-ea"/>
              <a:cs typeface="Times New Roman" panose="02020603050405020304" pitchFamily="18" charset="0"/>
            </a:rPr>
            <a:t> For information on data quality and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transparency please see our data transparency index.</a:t>
          </a:r>
          <a:endParaRPr lang="de-DE" sz="1600">
            <a:effectLst/>
            <a:latin typeface="Times New Roman" panose="02020603050405020304" pitchFamily="18" charset="0"/>
            <a:cs typeface="Times New Roman" panose="02020603050405020304"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7"/>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military aid gap"/>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21. Aid vs"/>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fw-kiel.de/topics/war-against-ukraine/ukraine-support-tracker/feedback-for-the-ukraine-support-tracker/" TargetMode="External"/><Relationship Id="rId1" Type="http://schemas.openxmlformats.org/officeDocument/2006/relationships/hyperlink" Target="http://www.ifw-kiel.de/feedback-us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xml.rels><?xml version="1.0" encoding="UTF-8" standalone="yes"?>
<Relationships xmlns="http://schemas.openxmlformats.org/package/2006/relationships"><Relationship Id="rId1827"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82" Type="http://schemas.openxmlformats.org/officeDocument/2006/relationships/hyperlink" Target="https://www.defensenews.com/congress/2022/09/30/congress-passes-ukraine-nuclear-security-funding/" TargetMode="External"/><Relationship Id="rId4233" Type="http://schemas.openxmlformats.org/officeDocument/2006/relationships/hyperlink" Target="https://www.rtvslo.si/slovenija/slovenija-bo-sodelovala-pri-skupnem-narocanju-streliva-za-ukrajino/665584" TargetMode="External"/><Relationship Id="rId3999" Type="http://schemas.openxmlformats.org/officeDocument/2006/relationships/hyperlink" Target="https://www.canada.ca/en/department-national-defence/campaigns/canadian-military-support-to-ukraine.html" TargetMode="External"/><Relationship Id="rId4300" Type="http://schemas.openxmlformats.org/officeDocument/2006/relationships/hyperlink" Target="https://twitter.com/NATOpress/status/1592113284790235136" TargetMode="External"/><Relationship Id="rId170" Type="http://schemas.openxmlformats.org/officeDocument/2006/relationships/hyperlink" Target="https://www.euractiv.com/section/politics/news/finland-sends-11th-military-aid-package-to-ukraine/" TargetMode="External"/><Relationship Id="rId987" Type="http://schemas.openxmlformats.org/officeDocument/2006/relationships/hyperlink" Target="https://www.aa.com.tr/en/europe/spain-announces-increase-in-military-aid-to-ukraine/2668809" TargetMode="External"/><Relationship Id="rId2668" Type="http://schemas.openxmlformats.org/officeDocument/2006/relationships/hyperlink" Target="https://www.gov.uk/government/speeches/defence-secretary-oral-statement-on-war-in-ukraine--2" TargetMode="External"/><Relationship Id="rId3719" Type="http://schemas.openxmlformats.org/officeDocument/2006/relationships/hyperlink" Target="https://www.regjeringen.no/en/aktuelt/broad-political-agreement-on-multi-year-support-programme-for-ukraine/id2963374/" TargetMode="External"/><Relationship Id="rId4090" Type="http://schemas.openxmlformats.org/officeDocument/2006/relationships/hyperlink" Target="https://www.luxtimes.lu/luxembourg/luxembourg-sends-14-armoured-ambulances-to-ukraine/1356098.html" TargetMode="External"/><Relationship Id="rId1684" Type="http://schemas.openxmlformats.org/officeDocument/2006/relationships/hyperlink" Target="https://crsreports.congress.gov/product/pdf/IF/IF12040" TargetMode="External"/><Relationship Id="rId2735" Type="http://schemas.openxmlformats.org/officeDocument/2006/relationships/hyperlink" Target="https://www.government.se/press-releases/2023/01/government-contributes-to-improved-nuclear-safety-in-ukraine/" TargetMode="External"/><Relationship Id="rId707" Type="http://schemas.openxmlformats.org/officeDocument/2006/relationships/hyperlink" Target="https://www.gov.si/en/news/2022-03-07-eu-development-ministers-on-emergency-humanitarian-aid-to-ukraine/" TargetMode="External"/><Relationship Id="rId1337" Type="http://schemas.openxmlformats.org/officeDocument/2006/relationships/hyperlink" Target="http://web.archive.org/web/20221018175112/https:/www.government.se/press-releases/2022/06/additional-amending-budget-with-further-support-to-ukraine/" TargetMode="External"/><Relationship Id="rId1751" Type="http://schemas.openxmlformats.org/officeDocument/2006/relationships/hyperlink" Target="https://crsreports.congress.gov/product/pdf/IF/IF12040" TargetMode="External"/><Relationship Id="rId2802" Type="http://schemas.openxmlformats.org/officeDocument/2006/relationships/hyperlink" Target="https://crsreports.congress.gov/product/pdf/IF/IF12040" TargetMode="External"/><Relationship Id="rId43" Type="http://schemas.openxmlformats.org/officeDocument/2006/relationships/hyperlink" Target="https://www.ctvnews.ca/politics/a-lot-more-people-are-going-to-die-canada-sending-more-lethal-weapons-to-ukraine-1.5804357" TargetMode="External"/><Relationship Id="rId1404" Type="http://schemas.openxmlformats.org/officeDocument/2006/relationships/hyperlink" Target="https://appropriations.house.gov/sites/democrats.appropriations.house.gov/files/Ukraine%20Supplemental%20Summary.pdf" TargetMode="External"/><Relationship Id="rId3576" Type="http://schemas.openxmlformats.org/officeDocument/2006/relationships/hyperlink" Target="https://www.pbs.org/newshour/world/slovakia-joins-poland-in-agreeing-to-give-fighter-jets-to-ukraine" TargetMode="External"/><Relationship Id="rId4627" Type="http://schemas.openxmlformats.org/officeDocument/2006/relationships/hyperlink" Target="https://web.archive.org/web/20230524183203/https:/www.defesa.gov.pt/pt/comunicacao/documentos/Lists/PDEFINTER_DocumentoLookupList/apoio_militar_Portugal_Ucrania_20230503.pdf" TargetMode="External"/><Relationship Id="rId497" Type="http://schemas.openxmlformats.org/officeDocument/2006/relationships/hyperlink" Target="https://mil.in.ua/en/news/canada-is-set-to-hand-over-eight-armored-vehicles-to-ukraine/" TargetMode="External"/><Relationship Id="rId2178" Type="http://schemas.openxmlformats.org/officeDocument/2006/relationships/hyperlink" Target="https://appropriations.house.gov/sites/democrats.appropriations.house.gov/files/Additional%20Ukraine%20Suplemental%20Appropriations%20Act%20Summary.pdf" TargetMode="External"/><Relationship Id="rId3229" Type="http://schemas.openxmlformats.org/officeDocument/2006/relationships/hyperlink" Target="https://www.leaderscouncil.co.uk/news/kwarteng-announces-5-million-support-fund-to-bolster-energy-security-in-ukraine" TargetMode="External"/><Relationship Id="rId3990" Type="http://schemas.openxmlformats.org/officeDocument/2006/relationships/hyperlink" Target="https://www.canada.ca/en/department-finance/news/2022/02/canada-pledges-additional-support-for-ukraine.html" TargetMode="External"/><Relationship Id="rId1194" Type="http://schemas.openxmlformats.org/officeDocument/2006/relationships/hyperlink" Target="https://www.koreaherald.com/view.php?ud=20221209000551" TargetMode="External"/><Relationship Id="rId2592" Type="http://schemas.openxmlformats.org/officeDocument/2006/relationships/hyperlink" Target="https://www.premier.be/sites/default/files/articles/BE%20support%20militaire.pdf" TargetMode="External"/><Relationship Id="rId3643" Type="http://schemas.openxmlformats.org/officeDocument/2006/relationships/hyperlink" Target="https://mind.ua/en/news/20257448-ukraine-and-south-korea-sign-preliminary-agreement-on-securing-a-concessional-loan-of-8-billion-fro" TargetMode="External"/><Relationship Id="rId217" Type="http://schemas.openxmlformats.org/officeDocument/2006/relationships/hyperlink" Target="https://ua.ambafrance.org/Dostavka-1000-t-francuz-koyi-gumaniitarnoyi-dopomogi-ukrayins-kim-adresatam-v" TargetMode="External"/><Relationship Id="rId564" Type="http://schemas.openxmlformats.org/officeDocument/2006/relationships/hyperlink" Target="https://www.consilium.europa.eu/en/press/press-releases/2022/05/24/eu-support-to-ukraine-council-agrees-on-further-increase-of-support-under-the-european-peace-facility/" TargetMode="External"/><Relationship Id="rId2245" Type="http://schemas.openxmlformats.org/officeDocument/2006/relationships/hyperlink" Target="https://appropriations.house.gov/sites/democrats.appropriations.house.gov/files/Ukraine%20Supplemental%20Summary.pdf" TargetMode="External"/><Relationship Id="rId3710" Type="http://schemas.openxmlformats.org/officeDocument/2006/relationships/hyperlink" Target="https://um.fi/finland-s-support-to-ukraine" TargetMode="External"/><Relationship Id="rId631" Type="http://schemas.openxmlformats.org/officeDocument/2006/relationships/hyperlink" Target="https://www.gov.uk/government/news/uk-to-bolster-defensive-aid-to-ukraine-with-new-100m-package" TargetMode="External"/><Relationship Id="rId1261" Type="http://schemas.openxmlformats.org/officeDocument/2006/relationships/hyperlink" Target="https://www.mfa.gr/en/current-affairs/statements-speeches/delivery-of-greek-humanitarian-aid-to-the-ukrainian-people-including-diaspora-greeks-in-odessa-11042022-and-departure-of-the-4th-humanitarian-mission-of-the-hellenic-red-cross-to-ukraine-odessa-12042022.html" TargetMode="External"/><Relationship Id="rId2312" Type="http://schemas.openxmlformats.org/officeDocument/2006/relationships/hyperlink" Target="https://crsreports.congress.gov/product/pdf/IF/IF12040" TargetMode="External"/><Relationship Id="rId4484" Type="http://schemas.openxmlformats.org/officeDocument/2006/relationships/hyperlink" Target="https://polskieradio24.pl/42/273/artykul/3124757,15-mld-zl-na-pomoc-dla-walczacej-ukrainy-dzialania-rzadowej-agencji-rezerw-strategicznych" TargetMode="External"/><Relationship Id="rId3086" Type="http://schemas.openxmlformats.org/officeDocument/2006/relationships/hyperlink" Target="https://www.worldbank.org/en/news/press-release/2022/12/16/new-multi-donor-trust-fund-established-to-channel-donor-support-to-ukraine" TargetMode="External"/><Relationship Id="rId4137" Type="http://schemas.openxmlformats.org/officeDocument/2006/relationships/hyperlink" Target="https://kaitseministeerium.ee/en/news/estonia-send-sniper-weapons-and-special-equipment-ukraine" TargetMode="External"/><Relationship Id="rId4551" Type="http://schemas.openxmlformats.org/officeDocument/2006/relationships/hyperlink" Target="https://www.defense.gov/News/Releases/Release/Article/3308633/biden-administration-announces-additional-security-assistance-for-ukraine/" TargetMode="External"/><Relationship Id="rId3153" Type="http://schemas.openxmlformats.org/officeDocument/2006/relationships/hyperlink" Target="https://appropriations.house.gov/sites/democrats.appropriations.house.gov/files/Ukraine%20Supplemental%20Summary%20FY23.pdf" TargetMode="External"/><Relationship Id="rId4204" Type="http://schemas.openxmlformats.org/officeDocument/2006/relationships/hyperlink" Target="https://english.nv.ua/nation/italy-prepares-new-military-aid-package-for-ukraine-likely-including-samp-t-air-defense-50328350.html" TargetMode="External"/><Relationship Id="rId141" Type="http://schemas.openxmlformats.org/officeDocument/2006/relationships/hyperlink" Target="https://twitter.com/a_anusauskas/status/1592084804501401604" TargetMode="External"/><Relationship Id="rId3220" Type="http://schemas.openxmlformats.org/officeDocument/2006/relationships/hyperlink" Target="https://www.bbc.com/news/world-europe-61482305" TargetMode="External"/><Relationship Id="rId7" Type="http://schemas.openxmlformats.org/officeDocument/2006/relationships/hyperlink" Target="https://tfiglobalnews.com/2022/03/21/canada-wanted-to-supply-weapons-to-ukraine-turns-out-it-didnt-have-any/" TargetMode="External"/><Relationship Id="rId2986" Type="http://schemas.openxmlformats.org/officeDocument/2006/relationships/hyperlink" Target="https://tvmnews.mt/en/news/malta-to-send-more-generators-and-medical-equipment-to-ukraine/" TargetMode="External"/><Relationship Id="rId958" Type="http://schemas.openxmlformats.org/officeDocument/2006/relationships/hyperlink" Target="https://euromaidanpress.com/2022/10/30/italy-allegedly-supplied-many-heavy-weapons-to-ukraine-but-didnt-disclose-it-earlier-la-repubblica/" TargetMode="External"/><Relationship Id="rId1588" Type="http://schemas.openxmlformats.org/officeDocument/2006/relationships/hyperlink" Target="https://appropriations.house.gov/sites/democrats.appropriations.house.gov/files/Additional%20Ukraine%20Suplemental%20Appropriations%20Act%20Summary.pdf" TargetMode="External"/><Relationship Id="rId2639" Type="http://schemas.openxmlformats.org/officeDocument/2006/relationships/hyperlink" Target="https://dia.dp.gov.ua/en/luxembourg-will-be-with-ukraine-as-long-as-the-russian-war-continues/" TargetMode="External"/><Relationship Id="rId1655" Type="http://schemas.openxmlformats.org/officeDocument/2006/relationships/hyperlink" Target="https://crsreports.congress.gov/product/pdf/IF/IF12040" TargetMode="External"/><Relationship Id="rId2706" Type="http://schemas.openxmlformats.org/officeDocument/2006/relationships/hyperlink" Target="https://www.beehive.govt.nz/release/further-aotearoa-new-zealand-support-ukraine" TargetMode="External"/><Relationship Id="rId4061" Type="http://schemas.openxmlformats.org/officeDocument/2006/relationships/hyperlink" Target="https://english.defensie.nl/latest/news/2023/04/20/netherlands-to-purchase-leopard-2-tanks-for-ukraine" TargetMode="External"/><Relationship Id="rId1308" Type="http://schemas.openxmlformats.org/officeDocument/2006/relationships/hyperlink" Target="https://twitter.com/a_anusauskas/status/1597973635004010496" TargetMode="External"/><Relationship Id="rId1722" Type="http://schemas.openxmlformats.org/officeDocument/2006/relationships/hyperlink" Target="https://crsreports.congress.gov/product/pdf/IF/IF12040" TargetMode="External"/><Relationship Id="rId14" Type="http://schemas.openxmlformats.org/officeDocument/2006/relationships/hyperlink" Target="https://www.strategypage.com/htmw/htart/articles/20220502.aspx" TargetMode="External"/><Relationship Id="rId3894" Type="http://schemas.openxmlformats.org/officeDocument/2006/relationships/hyperlink" Target="https://www.state.gov/u-s-security-cooperation-with-ukraine/" TargetMode="External"/><Relationship Id="rId2496" Type="http://schemas.openxmlformats.org/officeDocument/2006/relationships/hyperlink" Target="https://twitter.com/alexanderdecroo/status/1497914776063594502" TargetMode="External"/><Relationship Id="rId3547" Type="http://schemas.openxmlformats.org/officeDocument/2006/relationships/hyperlink" Target="https://www.bundesregierung.de/breg-en/news/military-support-ukraine-2054992" TargetMode="External"/><Relationship Id="rId3961" Type="http://schemas.openxmlformats.org/officeDocument/2006/relationships/hyperlink" Target="https://www.defense.gov/News/Releases/Release/Article/3350958/biden-administration-announces-additional-security-assistance-for-ukraine/" TargetMode="External"/><Relationship Id="rId468" Type="http://schemas.openxmlformats.org/officeDocument/2006/relationships/hyperlink" Target="https://www.france24.com/en/live-news/20220411-zelensky-says-he-believes-tens-of-thousands-killed-in-mariupol" TargetMode="External"/><Relationship Id="rId882" Type="http://schemas.openxmlformats.org/officeDocument/2006/relationships/hyperlink" Target="https://www.thedefensepost.com/2022/10/03/germany-denmark-norway-howitzers-ukraine/" TargetMode="External"/><Relationship Id="rId1098" Type="http://schemas.openxmlformats.org/officeDocument/2006/relationships/hyperlink" Target="https://www.regjeringen.no/en/aktuelt/norway-to-increase-support-to-ukraine-and-provide-military-equipment/id2902406/" TargetMode="External"/><Relationship Id="rId2149" Type="http://schemas.openxmlformats.org/officeDocument/2006/relationships/hyperlink" Target="https://crsreports.congress.gov/product/pdf/IF/IF12040" TargetMode="External"/><Relationship Id="rId2563" Type="http://schemas.openxmlformats.org/officeDocument/2006/relationships/hyperlink" Target="https://diplomatie.belgium.be/en/policy/policy-areas/highlighted/civilian-aid-ukraine-overview" TargetMode="External"/><Relationship Id="rId3614" Type="http://schemas.openxmlformats.org/officeDocument/2006/relationships/hyperlink" Target="https://www.bundesregierung.de/breg-en/news/military-support-ukraine-2054992" TargetMode="External"/><Relationship Id="rId535" Type="http://schemas.openxmlformats.org/officeDocument/2006/relationships/hyperlink" Target="https://www.ilmessaggero.it/politica/armi_ucraina_italia_guerini_conte_draghi_costo_cosa_succede_governo_ultime_notizie-6652159.html" TargetMode="External"/><Relationship Id="rId1165" Type="http://schemas.openxmlformats.org/officeDocument/2006/relationships/hyperlink" Target="https://www.ukrinform.net/rubric-ato/3650513-italy-ready-to-send-more-weapons-to-ukraine-foreign-minister.html" TargetMode="External"/><Relationship Id="rId2216" Type="http://schemas.openxmlformats.org/officeDocument/2006/relationships/hyperlink" Target="https://appropriations.house.gov/sites/democrats.appropriations.house.gov/files/Ukraine%20Supplemental%20Summary.pdf" TargetMode="External"/><Relationship Id="rId2630" Type="http://schemas.openxmlformats.org/officeDocument/2006/relationships/hyperlink" Target="https://twitter.com/a_anusauskas/status/1594701256463110144" TargetMode="External"/><Relationship Id="rId602" Type="http://schemas.openxmlformats.org/officeDocument/2006/relationships/hyperlink" Target="https://www-regjeringen-no.translate.goog/no/aktuelt/norge-har-donert-artilleriskyts-til-ukraina/id2917760/?_x_tr_sl=auto&amp;_x_tr_tl=auto&amp;_x_tr_hl=de" TargetMode="External"/><Relationship Id="rId1232" Type="http://schemas.openxmlformats.org/officeDocument/2006/relationships/hyperlink" Target="https://hungarytoday.hu/hungary-extends-humanitarian-aid-for-ukraine-to-education/" TargetMode="External"/><Relationship Id="rId4388" Type="http://schemas.openxmlformats.org/officeDocument/2006/relationships/hyperlink" Target="https://www.bundesregierung.de/resource/blob/975226/2189778/cdb664abe95e6fa74802882bd66ef771/2023-05-14-liste-ukr-unterstuetzung-data.pdf?download=1" TargetMode="External"/><Relationship Id="rId3057" Type="http://schemas.openxmlformats.org/officeDocument/2006/relationships/hyperlink" Target="https://www.mod.gov.lv/lv/zinas/i-murniece-kijiva-tiekas-ar-ukrainas-aizsardzibas-ministru" TargetMode="External"/><Relationship Id="rId4108" Type="http://schemas.openxmlformats.org/officeDocument/2006/relationships/hyperlink" Target="https://kaitseministeerium.ee/et/uudised/kaitseminister-pevkur-andis-kiievis-ukraina-kolleegile-ule-sumboolsed-esemed-uuest" TargetMode="External"/><Relationship Id="rId4455" Type="http://schemas.openxmlformats.org/officeDocument/2006/relationships/hyperlink" Target="https://www.bundesregierung.de/resource/blob/975226/2189778/cdb664abe95e6fa74802882bd66ef771/2023-05-14-liste-ukr-unterstuetzung-data.pdf?download=1" TargetMode="External"/><Relationship Id="rId3471" Type="http://schemas.openxmlformats.org/officeDocument/2006/relationships/hyperlink" Target="https://www.bundesregierung.de/breg-en/news/military-support-ukraine-2054992" TargetMode="External"/><Relationship Id="rId4522"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392" Type="http://schemas.openxmlformats.org/officeDocument/2006/relationships/hyperlink" Target="https://medinlive.at/gesellschaft/oesterreich-unterstuetzt-ukraine-mit-ueber-80-millionen-euro" TargetMode="External"/><Relationship Id="rId2073" Type="http://schemas.openxmlformats.org/officeDocument/2006/relationships/hyperlink" Target="https://appropriations.house.gov/sites/democrats.appropriations.house.gov/files/Ukraine%20Supplemental%20Summary%20FY23.pdf" TargetMode="External"/><Relationship Id="rId3124" Type="http://schemas.openxmlformats.org/officeDocument/2006/relationships/hyperlink" Target="https://www.ukrinform.ua/rubric-uarazom/3660606-horvatia-vidilila-1-miljon-na-zakupivlu-generatoriv-dla-ukrainskih-skil-i-likaren.html" TargetMode="External"/><Relationship Id="rId2140" Type="http://schemas.openxmlformats.org/officeDocument/2006/relationships/hyperlink" Target="https://crsreports.congress.gov/product/pdf/IF/IF12040" TargetMode="External"/><Relationship Id="rId112" Type="http://schemas.openxmlformats.org/officeDocument/2006/relationships/hyperlink" Target="https://www.armyrecognition.com/defense_news_april_2022_global_security_army_industry/denmark_approves_delivery_of_m113_tracked_armored_vehicles_and_ammunition_to_ukraine.html" TargetMode="External"/><Relationship Id="rId2957" Type="http://schemas.openxmlformats.org/officeDocument/2006/relationships/hyperlink" Target="https://english.nv.ua/nation/estonia-donates-all-of-its-155mm-howitzers-and-other-weapons-to-ukraine-50299305.html" TargetMode="External"/><Relationship Id="rId929" Type="http://schemas.openxmlformats.org/officeDocument/2006/relationships/hyperlink" Target="https://www.kyivpost.com/russias-war/japan-to-provide-vans-drones-to-ukraine.html" TargetMode="External"/><Relationship Id="rId1559" Type="http://schemas.openxmlformats.org/officeDocument/2006/relationships/hyperlink" Target="https://appropriations.house.gov/sites/democrats.appropriations.house.gov/files/Additional%20Ukraine%20Suplemental%20Appropriations%20Act%20Summary.pdf" TargetMode="External"/><Relationship Id="rId1973" Type="http://schemas.openxmlformats.org/officeDocument/2006/relationships/hyperlink" Target="https://crsreports.congress.gov/product/pdf/IF/IF12040" TargetMode="External"/><Relationship Id="rId4032" Type="http://schemas.openxmlformats.org/officeDocument/2006/relationships/hyperlink" Target="https://www.defensie.nl/onderwerpen/oostflank-navo-gebied/militaire-steun-aan-oekraine" TargetMode="External"/><Relationship Id="rId1626" Type="http://schemas.openxmlformats.org/officeDocument/2006/relationships/hyperlink" Target="https://appropriations.house.gov/sites/democrats.appropriations.house.gov/files/Additional%20Ukraine%20Suplemental%20Appropriations%20Act%20Summary.pdf" TargetMode="External"/><Relationship Id="rId3798" Type="http://schemas.openxmlformats.org/officeDocument/2006/relationships/hyperlink" Target="https://www.state.gov/u-s-security-cooperation-with-ukraine/" TargetMode="External"/><Relationship Id="rId3865" Type="http://schemas.openxmlformats.org/officeDocument/2006/relationships/hyperlink" Target="https://www.defense.gov/News/Releases/Release/Article/3402206/biden-administration-announces-additional-security-assistance-for-ukraine/" TargetMode="External"/><Relationship Id="rId786" Type="http://schemas.openxmlformats.org/officeDocument/2006/relationships/hyperlink" Target="https://www.defense.gov/News/Releases/Release/Article/3134457/775-million-in-additional-security-assistance-for-ukraine/" TargetMode="External"/><Relationship Id="rId2467" Type="http://schemas.openxmlformats.org/officeDocument/2006/relationships/hyperlink" Target="https://www.brusselstimes.com/290771/belgium-to-give-e12-million-in-military-aid-to-ukraine" TargetMode="External"/><Relationship Id="rId3518" Type="http://schemas.openxmlformats.org/officeDocument/2006/relationships/hyperlink" Target="https://www.bundesregierung.de/breg-en/news/military-support-ukraine-2054992" TargetMode="External"/><Relationship Id="rId439" Type="http://schemas.openxmlformats.org/officeDocument/2006/relationships/hyperlink" Target="https://www.regjeringen.no/en/aktuelt/ukrainefund/id2909840/" TargetMode="External"/><Relationship Id="rId1069" Type="http://schemas.openxmlformats.org/officeDocument/2006/relationships/hyperlink" Target="https://news.err.ee/1608793648/estonia-s-total-military-aid-to-ukraine-to-date-approaching-300-million" TargetMode="External"/><Relationship Id="rId1483" Type="http://schemas.openxmlformats.org/officeDocument/2006/relationships/hyperlink" Target="https://appropriations.house.gov/sites/democrats.appropriations.house.gov/files/Ukraine%20Supplemental%20Summary.pdf" TargetMode="External"/><Relationship Id="rId2881" Type="http://schemas.openxmlformats.org/officeDocument/2006/relationships/hyperlink" Target="https://www.forbes.com/sites/sebastienroblin/2022/10/28/czech-super-t-72m4-tanks-seen-headed-towards-ukraine/?sh=679ee5423ce7" TargetMode="External"/><Relationship Id="rId3932" Type="http://schemas.openxmlformats.org/officeDocument/2006/relationships/hyperlink" Target="https://www.state.gov/u-s-security-cooperation-with-ukraine/" TargetMode="External"/><Relationship Id="rId506" Type="http://schemas.openxmlformats.org/officeDocument/2006/relationships/hyperlink" Target="https://www3.nhk.or.jp/nhkworld/en/news/20220519_02/" TargetMode="External"/><Relationship Id="rId853" Type="http://schemas.openxmlformats.org/officeDocument/2006/relationships/hyperlink" Target="https://mfa.gov.cy/press-releases/2022/03/09/cyprus-humanitarian-aid-to-ukraine/" TargetMode="External"/><Relationship Id="rId1136" Type="http://schemas.openxmlformats.org/officeDocument/2006/relationships/hyperlink" Target="https://www.rtlnieuws.nl/nieuws/politiek/artikel/5344701/kabinet-120-miljoen-extra-militaire-steun-voor-oekraine" TargetMode="External"/><Relationship Id="rId2534" Type="http://schemas.openxmlformats.org/officeDocument/2006/relationships/hyperlink" Target="https://www.premier.be/sites/default/files/articles/BE%20support%20militaire.pdf" TargetMode="External"/><Relationship Id="rId920" Type="http://schemas.openxmlformats.org/officeDocument/2006/relationships/hyperlink" Target="https://www.defmin.fi/en/topical/press_releases_and_news/finland_to_deliver_more_defence_materiel_assistance_to_ukraine.13055.news" TargetMode="External"/><Relationship Id="rId1550" Type="http://schemas.openxmlformats.org/officeDocument/2006/relationships/hyperlink" Target="https://appropriations.house.gov/sites/democrats.appropriations.house.gov/files/Additional%20Ukraine%20Suplemental%20Appropriations%20Act%20Summary.pdf" TargetMode="External"/><Relationship Id="rId2601" Type="http://schemas.openxmlformats.org/officeDocument/2006/relationships/hyperlink" Target="https://www.premier.be/sites/default/files/articles/BE%20support%20militaire.pdf" TargetMode="External"/><Relationship Id="rId1203" Type="http://schemas.openxmlformats.org/officeDocument/2006/relationships/hyperlink" Target="https://www.reuters.com/world/biden-authorizes-new-275-mln-military-aid-ukraine-white-house-2022-12-09/" TargetMode="External"/><Relationship Id="rId4359" Type="http://schemas.openxmlformats.org/officeDocument/2006/relationships/hyperlink" Target="https://www.bundesregierung.de/resource/blob/975226/2189778/cdb664abe95e6fa74802882bd66ef771/2023-05-14-liste-ukr-unterstuetzung-data.pdf?download=1" TargetMode="External"/><Relationship Id="rId4773" Type="http://schemas.openxmlformats.org/officeDocument/2006/relationships/hyperlink" Target="https://www.bundesregierung.de/breg-en/news/military-support-ukraine-2054992" TargetMode="External"/><Relationship Id="rId3375" Type="http://schemas.openxmlformats.org/officeDocument/2006/relationships/hyperlink" Target="https://www.jpost.com/diaspora/article-717214" TargetMode="External"/><Relationship Id="rId4426" Type="http://schemas.openxmlformats.org/officeDocument/2006/relationships/hyperlink" Target="https://www.bundesregierung.de/resource/blob/975226/2189778/cdb664abe95e6fa74802882bd66ef771/2023-05-14-liste-ukr-unterstuetzung-data.pdf?download=1" TargetMode="External"/><Relationship Id="rId4840" Type="http://schemas.openxmlformats.org/officeDocument/2006/relationships/hyperlink" Target="https://appropriations.house.gov/sites/democrats.appropriations.house.gov/files/Ukraine%20Supplemental%20Summary%20FY23.pdf" TargetMode="External"/><Relationship Id="rId296" Type="http://schemas.openxmlformats.org/officeDocument/2006/relationships/hyperlink" Target="https://www.vlada.cz/cz/media-centrum/aktualne/informace-v-souvislosti-s-invazi-ruska-na-ukrajinu-194507/" TargetMode="External"/><Relationship Id="rId2391" Type="http://schemas.openxmlformats.org/officeDocument/2006/relationships/hyperlink" Target="https://www.euractiv.com/section/all/short_news/france-announces-increased-military-aid-to-ukraine/" TargetMode="External"/><Relationship Id="rId3028" Type="http://schemas.openxmlformats.org/officeDocument/2006/relationships/hyperlink" Target="https://eng.lsm.lv/article/society/defense/murniece-latvia-has-sent-1-of-gdp-in-military-aid-to-ukraine.a492541/" TargetMode="External"/><Relationship Id="rId3442" Type="http://schemas.openxmlformats.org/officeDocument/2006/relationships/hyperlink" Target="https://www.bundesregierung.de/breg-en/news/military-support-ukraine-2054992" TargetMode="External"/><Relationship Id="rId363" Type="http://schemas.openxmlformats.org/officeDocument/2006/relationships/hyperlink" Target="https://www.gov.uk/government/news/prime-minister-pledges-uks-unwavering-support-to-ukraine-on-visit-to-kyiv-9-april-2022" TargetMode="External"/><Relationship Id="rId2044" Type="http://schemas.openxmlformats.org/officeDocument/2006/relationships/hyperlink" Target="https://appropriations.house.gov/sites/democrats.appropriations.house.gov/files/Summary%20Continuing%20Appropriations%20and%20Ukraine%20Supplemental%20Appropriations%20Act%202023.pdf" TargetMode="External"/><Relationship Id="rId430" Type="http://schemas.openxmlformats.org/officeDocument/2006/relationships/hyperlink" Target="https://www.regjeringen.no/en/aktuelt/norway-to-increase-support-to-ukraine-and-provide-military-equipment/id2902406/" TargetMode="External"/><Relationship Id="rId1060" Type="http://schemas.openxmlformats.org/officeDocument/2006/relationships/hyperlink" Target="https://www.republicworld.com/world-news/russia-ukraine-crisis/estonia-confirms-relief-package-to-aid-war-torn-ukraine-articleshow.html" TargetMode="External"/><Relationship Id="rId2111" Type="http://schemas.openxmlformats.org/officeDocument/2006/relationships/hyperlink" Target="https://appropriations.house.gov/sites/democrats.appropriations.house.gov/files/Additional%20Ukraine%20Suplemental%20Appropriations%20Act%20Summary.pdf" TargetMode="External"/><Relationship Id="rId187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28" Type="http://schemas.openxmlformats.org/officeDocument/2006/relationships/hyperlink" Target="https://www.facebook.com/MinInfra.UA/posts/pfbid02bGQE1mPEedRvG9J7XqtSXznjDxwyJAKCTkWNVt5HSqzB132qJErWycxThrVfUKfvl" TargetMode="External"/><Relationship Id="rId4283" Type="http://schemas.openxmlformats.org/officeDocument/2006/relationships/hyperlink" Target="https://www.pravda.com.ua/eng/news/2023/04/20/7398771/" TargetMode="External"/><Relationship Id="rId1944" Type="http://schemas.openxmlformats.org/officeDocument/2006/relationships/hyperlink" Target="https://appropriations.house.gov/sites/democrats.appropriations.house.gov/files/Ukraine%20Supplemental%20Summary%20FY23.pdf" TargetMode="External"/><Relationship Id="rId4350" Type="http://schemas.openxmlformats.org/officeDocument/2006/relationships/hyperlink" Target="https://www.bundesregierung.de/resource/blob/975226/2189778/cdb664abe95e6fa74802882bd66ef771/2023-05-14-liste-ukr-unterstuetzung-data.pdf?download=1" TargetMode="External"/><Relationship Id="rId4003" Type="http://schemas.openxmlformats.org/officeDocument/2006/relationships/hyperlink" Target="https://www.gov.uk/government/news/joint-statement-the-tallinn-pledge" TargetMode="External"/><Relationship Id="rId3769" Type="http://schemas.openxmlformats.org/officeDocument/2006/relationships/hyperlink" Target="https://www.defense.gov/News/News-Stories/Article/Article/3318508/us-sends-ukraine-400-million-in-military-equipment/" TargetMode="External"/><Relationship Id="rId2785" Type="http://schemas.openxmlformats.org/officeDocument/2006/relationships/hyperlink" Target="https://crsreports.congress.gov/product/pdf/IF/IF12040" TargetMode="External"/><Relationship Id="rId3836" Type="http://schemas.openxmlformats.org/officeDocument/2006/relationships/hyperlink" Target="https://www.state.gov/u-s-security-cooperation-with-ukraine/" TargetMode="External"/><Relationship Id="rId757" Type="http://schemas.openxmlformats.org/officeDocument/2006/relationships/hyperlink" Target="https://twitter.com/Pabriks/status/1559196940167962624?s=20&amp;t=8mX0LWVPGMqpt7LQ8N__qA" TargetMode="External"/><Relationship Id="rId1387" Type="http://schemas.openxmlformats.org/officeDocument/2006/relationships/hyperlink" Target="https://appropriations.house.gov/sites/democrats.appropriations.house.gov/files/Ukraine%20Supplemental%20Summary.pdf" TargetMode="External"/><Relationship Id="rId2438" Type="http://schemas.openxmlformats.org/officeDocument/2006/relationships/hyperlink" Target="https://www.usnews.com/news/world/articles/2022-03-21/china-says-it-will-offer-10-million-yuan-more-of-humanitarian-aid-to-ukraine" TargetMode="External"/><Relationship Id="rId2852" Type="http://schemas.openxmlformats.org/officeDocument/2006/relationships/hyperlink" Target="https://crsreports.congress.gov/product/pdf/IF/IF12040" TargetMode="External"/><Relationship Id="rId3903" Type="http://schemas.openxmlformats.org/officeDocument/2006/relationships/hyperlink" Target="https://www.state.gov/u-s-security-cooperation-with-ukraine/" TargetMode="External"/><Relationship Id="rId93" Type="http://schemas.openxmlformats.org/officeDocument/2006/relationships/hyperlink" Target="https://www.gov.uk/government/news/uk-to-send-scores-of-artillery-guns-and-hundreds-of-drones-to-ukraine" TargetMode="External"/><Relationship Id="rId824" Type="http://schemas.openxmlformats.org/officeDocument/2006/relationships/hyperlink" Target="https://www.defense.gov/News/Releases/Release/Article/3138105/nearly-3-billion-in-additional-security-assistance-for-ukraine/" TargetMode="External"/><Relationship Id="rId1454" Type="http://schemas.openxmlformats.org/officeDocument/2006/relationships/hyperlink" Target="https://appropriations.house.gov/sites/democrats.appropriations.house.gov/files/Ukraine%20Supplemental%20Summary.pdf" TargetMode="External"/><Relationship Id="rId2505" Type="http://schemas.openxmlformats.org/officeDocument/2006/relationships/hyperlink" Target="https://mil.in.ua/en/news/belgium-made-a-decision-to-hand-over-artillery-to-ukraine-the-media/" TargetMode="External"/><Relationship Id="rId1107" Type="http://schemas.openxmlformats.org/officeDocument/2006/relationships/hyperlink" Target="https://www.bmf.gv.at/presse/pressemeldungen/2022/dezember/weitere-20-millionen-euro-ukraine-hilfe.html" TargetMode="External"/><Relationship Id="rId1521" Type="http://schemas.openxmlformats.org/officeDocument/2006/relationships/hyperlink" Target="https://appropriations.house.gov/sites/democrats.appropriations.house.gov/files/Additional%20Ukraine%20Suplemental%20Appropriations%20Act%20Summary.pdf" TargetMode="External"/><Relationship Id="rId4677" Type="http://schemas.openxmlformats.org/officeDocument/2006/relationships/hyperlink" Target="https://www.bundesregierung.de/breg-en/news/military-support-ukraine-2054992" TargetMode="External"/><Relationship Id="rId3279" Type="http://schemas.openxmlformats.org/officeDocument/2006/relationships/hyperlink" Target="https://baltics.news/2022/03/29/latvia-will-donate-two-ambulances-and-200-stretchers-to-ukraine/" TargetMode="External"/><Relationship Id="rId3693" Type="http://schemas.openxmlformats.org/officeDocument/2006/relationships/hyperlink" Target="https://intermin.fi/en/ukraine/civilian-assistance-to-ukraine" TargetMode="External"/><Relationship Id="rId2295" Type="http://schemas.openxmlformats.org/officeDocument/2006/relationships/hyperlink" Target="https://crsreports.congress.gov/product/pdf/IF/IF12040" TargetMode="External"/><Relationship Id="rId3346" Type="http://schemas.openxmlformats.org/officeDocument/2006/relationships/hyperlink" Target="https://www.gov.uk/government/news/uk-to-give-air-defence-missiles-to-help-ukraine-defend-against-rockets" TargetMode="External"/><Relationship Id="rId4744" Type="http://schemas.openxmlformats.org/officeDocument/2006/relationships/hyperlink" Target="https://www.bundesregierung.de/breg-en/news/military-support-ukraine-2054992" TargetMode="External"/><Relationship Id="rId267" Type="http://schemas.openxmlformats.org/officeDocument/2006/relationships/hyperlink" Target="https://www.canada.ca/en/global-affairs/news/2022/03/canada-announces-100-million-humanitarian-assistance-to-ukraine.html" TargetMode="External"/><Relationship Id="rId3760" Type="http://schemas.openxmlformats.org/officeDocument/2006/relationships/hyperlink" Target="https://www.state.gov/u-s-security-cooperation-with-ukraine/" TargetMode="External"/><Relationship Id="rId4811" Type="http://schemas.openxmlformats.org/officeDocument/2006/relationships/hyperlink" Target="https://www.bundesregierung.de/breg-en/news/military-support-ukraine-2054992" TargetMode="External"/><Relationship Id="rId681" Type="http://schemas.openxmlformats.org/officeDocument/2006/relationships/hyperlink" Target="https://twitter.com/michaldworczyk/status/1494357415915048962?s=21&amp;t=L7Uw2JWRBlkceKl-kFEvSQ" TargetMode="External"/><Relationship Id="rId2362" Type="http://schemas.openxmlformats.org/officeDocument/2006/relationships/hyperlink" Target="https://ua.ambafrance.org/Dostavka-1000-t-francuz-koyi-gumaniitarnoyi-dopomogi-ukrayins-kim-adresatam-v" TargetMode="External"/><Relationship Id="rId3413" Type="http://schemas.openxmlformats.org/officeDocument/2006/relationships/hyperlink" Target="https://www.army-technology.com/news/germany-norway-denmark-zuzana2-ukraine/" TargetMode="External"/><Relationship Id="rId334" Type="http://schemas.openxmlformats.org/officeDocument/2006/relationships/hyperlink" Target="https://twitter.com/eduardheger/status/1498055152045015046" TargetMode="External"/><Relationship Id="rId2015" Type="http://schemas.openxmlformats.org/officeDocument/2006/relationships/hyperlink" Target="https://appropriations.house.gov/sites/democrats.appropriations.house.gov/files/Summary%20Continuing%20Appropriations%20and%20Ukraine%20Supplemental%20Appropriations%20Act%202023.pdf" TargetMode="External"/><Relationship Id="rId401" Type="http://schemas.openxmlformats.org/officeDocument/2006/relationships/hyperlink" Target="https://www.youtube.com/watch?v=vzENx6dTpqY" TargetMode="External"/><Relationship Id="rId1031" Type="http://schemas.openxmlformats.org/officeDocument/2006/relationships/hyperlink" Target="https://www.reuters.com/world/europe/spains-pm-sanchez-denmarks-pm-frederiksen-visit-kyiv-2022-04-21/" TargetMode="External"/><Relationship Id="rId4187" Type="http://schemas.openxmlformats.org/officeDocument/2006/relationships/hyperlink" Target="https://www.repubblica.it/esteri/2023/04/16/news/cosi_litalia_potenzia_lartiglieria_ucraina-396394860/?ref=RHLF-BG-I396398159-P1-S1-T1" TargetMode="External"/><Relationship Id="rId4254" Type="http://schemas.openxmlformats.org/officeDocument/2006/relationships/hyperlink" Target="https://www.government.is/topics/foreign-affairs/war-in-ukraine/" TargetMode="External"/><Relationship Id="rId1848" Type="http://schemas.openxmlformats.org/officeDocument/2006/relationships/hyperlink" Target="https://appropriations.house.gov/sites/democrats.appropriations.house.gov/files/Summary%20Continuing%20Appropriations%20and%20Ukraine%20Supplemental%20Appropriations%20Act%202023.pdf" TargetMode="External"/><Relationship Id="rId3270" Type="http://schemas.openxmlformats.org/officeDocument/2006/relationships/hyperlink" Target="https://sloveniatimes.com/slovenia-sending-eur-100000-aid-to-ukraine/" TargetMode="External"/><Relationship Id="rId4321" Type="http://schemas.openxmlformats.org/officeDocument/2006/relationships/hyperlink" Target="https://www.bundesregierung.de/resource/blob/975226/2189778/cdb664abe95e6fa74802882bd66ef771/2023-05-14-liste-ukr-unterstuetzung-data.pdf?download=1" TargetMode="External"/><Relationship Id="rId191"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1915" Type="http://schemas.openxmlformats.org/officeDocument/2006/relationships/hyperlink" Target="https://appropriations.house.gov/sites/democrats.appropriations.house.gov/files/Ukraine%20Supplemental%20Summary%20FY23.pdf" TargetMode="External"/><Relationship Id="rId2689" Type="http://schemas.openxmlformats.org/officeDocument/2006/relationships/hyperlink" Target="https://ukdefencejournal.org.uk/britain-sending-anti-aircraft-and-javelin-missiles-to-ukraine/" TargetMode="External"/><Relationship Id="rId2756" Type="http://schemas.openxmlformats.org/officeDocument/2006/relationships/hyperlink" Target="https://www.defense.gov/News/Releases/Release/Article/3272866/biden-administration-announces-additional-security-assistance-for-ukraine/" TargetMode="External"/><Relationship Id="rId3807" Type="http://schemas.openxmlformats.org/officeDocument/2006/relationships/hyperlink" Target="https://www.defense.gov/News/Releases/Release/Article/3350958/biden-administration-announces-additional-security-assistance-for-ukraine/" TargetMode="External"/><Relationship Id="rId728" Type="http://schemas.openxmlformats.org/officeDocument/2006/relationships/hyperlink" Target="https://www.diplomatie.gouv.fr/en/country-files/ukraine/news/article/france-donates-a-mobile-dna-analysis-laboratory-to-ukraine-joint-press-release" TargetMode="External"/><Relationship Id="rId1358" Type="http://schemas.openxmlformats.org/officeDocument/2006/relationships/hyperlink" Target="https://appropriations.house.gov/sites/democrats.appropriations.house.gov/files/Ukraine%20Supplemental%20Summary%20FY23.pdf" TargetMode="External"/><Relationship Id="rId1772" Type="http://schemas.openxmlformats.org/officeDocument/2006/relationships/hyperlink" Target="https://crsreports.congress.gov/product/pdf/IF/IF12040" TargetMode="External"/><Relationship Id="rId2409" Type="http://schemas.openxmlformats.org/officeDocument/2006/relationships/hyperlink" Target="https://www.vecernji.hr/vijesti/vukovarsko-srijemska-zupanija-uputila-pomoc-ukrajini-znamo-sto-znaci-biti-u-potrebi-1592483" TargetMode="External"/><Relationship Id="rId64" Type="http://schemas.openxmlformats.org/officeDocument/2006/relationships/hyperlink" Target="https://www.repubblica.it/esteri/2022/04/28/news/guerra_russia_ucraina_armi_italiane-347273567/" TargetMode="External"/><Relationship Id="rId1425" Type="http://schemas.openxmlformats.org/officeDocument/2006/relationships/hyperlink" Target="https://appropriations.house.gov/sites/democrats.appropriations.house.gov/files/Ukraine%20Supplemental%20Summary.pdf" TargetMode="External"/><Relationship Id="rId2823" Type="http://schemas.openxmlformats.org/officeDocument/2006/relationships/hyperlink" Target="https://crsreports.congress.gov/product/pdf/IF/IF12040" TargetMode="External"/><Relationship Id="rId2199" Type="http://schemas.openxmlformats.org/officeDocument/2006/relationships/hyperlink" Target="https://appropriations.house.gov/sites/democrats.appropriations.house.gov/files/Ukraine%20Supplemental%20Summary.pdf" TargetMode="External"/><Relationship Id="rId3597" Type="http://schemas.openxmlformats.org/officeDocument/2006/relationships/hyperlink" Target="https://www.newyorker.com/magazine/2022/05/16/the-turkish-drone-that-changed-the-nature-of-warfare" TargetMode="External"/><Relationship Id="rId4648" Type="http://schemas.openxmlformats.org/officeDocument/2006/relationships/hyperlink" Target="https://www.defensie.nl/onderwerpen/oostflank-navo-gebied/militaire-steun-aan-oekraine" TargetMode="External"/><Relationship Id="rId3664" Type="http://schemas.openxmlformats.org/officeDocument/2006/relationships/hyperlink" Target="https://web.archive.org/web/20230127053143/https:/www.government.is/topics/foreign-affairs/war-in-ukraine/" TargetMode="External"/><Relationship Id="rId4715" Type="http://schemas.openxmlformats.org/officeDocument/2006/relationships/hyperlink" Target="https://www.bundesregierung.de/breg-en/news/military-support-ukraine-2054992" TargetMode="External"/><Relationship Id="rId585" Type="http://schemas.openxmlformats.org/officeDocument/2006/relationships/hyperlink" Target="https://pmtranscripts.pmc.gov.au/release/transcript-43925" TargetMode="External"/><Relationship Id="rId2266" Type="http://schemas.openxmlformats.org/officeDocument/2006/relationships/hyperlink" Target="https://crsreports.congress.gov/product/pdf/IF/IF12040" TargetMode="External"/><Relationship Id="rId2680" Type="http://schemas.openxmlformats.org/officeDocument/2006/relationships/hyperlink" Target="https://www.aa.com.tr/en/russia-ukraine-war/belgium-tried-to-donate-nearly-expired-drugs-to-ukraine-report/2591304" TargetMode="External"/><Relationship Id="rId3317" Type="http://schemas.openxmlformats.org/officeDocument/2006/relationships/hyperlink" Target="https://www.government.se/government-policy/russias-invasion-of-ukraine/?page=3" TargetMode="External"/><Relationship Id="rId3731" Type="http://schemas.openxmlformats.org/officeDocument/2006/relationships/hyperlink" Target="https://www.government.se/speeches/2023/02/opening-speech-by-the-minister-for-defence-pal-jonson-at-the-conference-on-security-and-defence-within-the-framework-of-swedens-presidency-of-the-eu/" TargetMode="External"/><Relationship Id="rId238" Type="http://schemas.openxmlformats.org/officeDocument/2006/relationships/hyperlink" Target="https://sofiaglobe.com/2022/02/27/bulgaria-to-provide-humanitarian-military-logistical-aid-to-ukraine/?msclkid=2fb3d8c7b05511ec86aca56bb6424b21" TargetMode="External"/><Relationship Id="rId652" Type="http://schemas.openxmlformats.org/officeDocument/2006/relationships/hyperlink" Target="https://english.defensie.nl/latest/news/2022/04/06/a-look-at-the-defence-news-28-march---3-april" TargetMode="External"/><Relationship Id="rId1282" Type="http://schemas.openxmlformats.org/officeDocument/2006/relationships/hyperlink" Target="https://www.thedefensepost.com/2022/10/03/germany-denmark-norway-howitzers-ukraine/" TargetMode="External"/><Relationship Id="rId2333" Type="http://schemas.openxmlformats.org/officeDocument/2006/relationships/hyperlink" Target="https://www.theguardian.com/australia-news/2022/feb/27/labor-warns-china-it-should-not-take-comfort-from-russian-invasion-of-ukraine" TargetMode="External"/><Relationship Id="rId305" Type="http://schemas.openxmlformats.org/officeDocument/2006/relationships/hyperlink" Target="https://twitter.com/eduardheger/status/1499479828218658819" TargetMode="External"/><Relationship Id="rId2400" Type="http://schemas.openxmlformats.org/officeDocument/2006/relationships/hyperlink" Target="https://www.mofa.go.jp/press/release/press4e_003098.html" TargetMode="External"/><Relationship Id="rId1002" Type="http://schemas.openxmlformats.org/officeDocument/2006/relationships/hyperlink" Target="https://www.gov.uk/government/news/prime-minister-pledges-uks-unwavering-support-to-ukraine-on-visit-to-kyiv-9-april-2022" TargetMode="External"/><Relationship Id="rId4158" Type="http://schemas.openxmlformats.org/officeDocument/2006/relationships/hyperlink" Target="https://twitter.com/kajakallas/status/1522215001934557186" TargetMode="External"/><Relationship Id="rId3174" Type="http://schemas.openxmlformats.org/officeDocument/2006/relationships/hyperlink" Target="https://www.europeansources.info/record/proposal-for-a-regulation-establishing-an-instrument-for-providing-support-to-ukraine-for-2023-macro-financial-assistance/" TargetMode="External"/><Relationship Id="rId4572" Type="http://schemas.openxmlformats.org/officeDocument/2006/relationships/hyperlink" Target="https://www.ziedot.lv/realizetie-projekti/10-autobusi-kijivai-4437" TargetMode="External"/><Relationship Id="rId1819" Type="http://schemas.openxmlformats.org/officeDocument/2006/relationships/hyperlink" Target="https://appropriations.house.gov/sites/democrats.appropriations.house.gov/files/Summary%20Continuing%20Appropriations%20and%20Ukraine%20Supplemental%20Appropriations%20Act%202023.pdf" TargetMode="External"/><Relationship Id="rId4225" Type="http://schemas.openxmlformats.org/officeDocument/2006/relationships/hyperlink" Target="https://um.fi/current-affairs/-/asset_publisher/gc654PySnjTX/content/suomi-vastaa-ukrainan-tukipyyntoihin/35732" TargetMode="External"/><Relationship Id="rId2190" Type="http://schemas.openxmlformats.org/officeDocument/2006/relationships/hyperlink" Target="https://appropriations.house.gov/sites/democrats.appropriations.house.gov/files/Additional%20Ukraine%20Suplemental%20Appropriations%20Act%20Summary.pdf" TargetMode="External"/><Relationship Id="rId3241" Type="http://schemas.openxmlformats.org/officeDocument/2006/relationships/hyperlink" Target="https://focustaiwan.tw/politics/202206030014" TargetMode="External"/><Relationship Id="rId162" Type="http://schemas.openxmlformats.org/officeDocument/2006/relationships/hyperlink" Target="https://twitter.com/a_anusauskas/status/1594701256463110144" TargetMode="External"/><Relationship Id="rId979" Type="http://schemas.openxmlformats.org/officeDocument/2006/relationships/hyperlink" Target="https://twitter.com/a_anusauskas/status/1592084804501401604" TargetMode="External"/><Relationship Id="rId4082" Type="http://schemas.openxmlformats.org/officeDocument/2006/relationships/hyperlink" Target="https://www.elmundo.es/espana/2023/04/19/643fc0e2e4d4d89e718b457e.html" TargetMode="External"/><Relationship Id="rId1676" Type="http://schemas.openxmlformats.org/officeDocument/2006/relationships/hyperlink" Target="https://crsreports.congress.gov/product/pdf/IF/IF12040" TargetMode="External"/><Relationship Id="rId2727" Type="http://schemas.openxmlformats.org/officeDocument/2006/relationships/hyperlink" Target="https://www.regjeringen.no/en/topics/foreign-affairs/humanitarian-efforts/neighbour_support/id2908141/?expand=factbox2963912" TargetMode="External"/><Relationship Id="rId1329" Type="http://schemas.openxmlformats.org/officeDocument/2006/relationships/hyperlink" Target="https://www.facebook.com/mvs.gov.ua/posts/pfbid02LXuUQLc6ZaXcYPVEMcmZXjCKNVq9N94fPzdcbuYSHhfSJfcE8tj931VXECuesHkCl" TargetMode="External"/><Relationship Id="rId1743" Type="http://schemas.openxmlformats.org/officeDocument/2006/relationships/hyperlink" Target="https://crsreports.congress.gov/product/pdf/IF/IF12040" TargetMode="External"/><Relationship Id="rId35" Type="http://schemas.openxmlformats.org/officeDocument/2006/relationships/hyperlink" Target="https://www.bbc.com/news/world-europe-61482305" TargetMode="External"/><Relationship Id="rId1810" Type="http://schemas.openxmlformats.org/officeDocument/2006/relationships/hyperlink" Target="https://crsreports.congress.gov/product/pdf/IF/IF12040" TargetMode="External"/><Relationship Id="rId3568" Type="http://schemas.openxmlformats.org/officeDocument/2006/relationships/hyperlink" Target="https://www.irishtimes.com/news/ireland/irish-news/irish-government-provides-10-million-in-humanitarian-support-for-ukraine-1.4810982" TargetMode="External"/><Relationship Id="rId3982" Type="http://schemas.openxmlformats.org/officeDocument/2006/relationships/hyperlink" Target="https://www.bmeia.gv.at/ministerium/presse/aktuelles/2023/03/eu-mitgliedsstaaten-setzen-beim-rat-fuer-auswaertige-angelegenheiten-klares-signal-gegenueber-ukrainischen-partnern/" TargetMode="External"/><Relationship Id="rId4619" Type="http://schemas.openxmlformats.org/officeDocument/2006/relationships/hyperlink" Target="https://web.archive.org/web/20230524183203/https:/www.defesa.gov.pt/pt/comunicacao/documentos/Lists/PDEFINTER_DocumentoLookupList/apoio_militar_Portugal_Ucrania_20230503.pdf" TargetMode="External"/><Relationship Id="rId489" Type="http://schemas.openxmlformats.org/officeDocument/2006/relationships/hyperlink" Target="https://www.beehive.govt.nz/release/nz-provide-additional-deployment-support-ukraine" TargetMode="External"/><Relationship Id="rId2584" Type="http://schemas.openxmlformats.org/officeDocument/2006/relationships/hyperlink" Target="https://www.premier.be/sites/default/files/articles/BE%20support%20militaire.pdf" TargetMode="External"/><Relationship Id="rId3635" Type="http://schemas.openxmlformats.org/officeDocument/2006/relationships/hyperlink" Target="https://web.archive.org/web/20230605032700/https:/www.bundesregierung.de/breg-de/themen/krieg-in-der-ukraine/deutschland-hilft-der-ukraine-2160274" TargetMode="External"/><Relationship Id="rId556" Type="http://schemas.openxmlformats.org/officeDocument/2006/relationships/hyperlink" Target="https://www.eib.org/en/projects/regions/eastern-neighbours/ukraine/eib-solidarity.htm?sortColumn=StartDate&amp;sortDir=desc&amp;pageNumber=0&amp;itemPerPage=10&amp;pageable=true&amp;language=EN&amp;defaultLanguage=EN&amp;tags=ukraine-solidarity&amp;ortags=true" TargetMode="External"/><Relationship Id="rId1186" Type="http://schemas.openxmlformats.org/officeDocument/2006/relationships/hyperlink" Target="https://babel.ua/en/news/87339-japan-will-transfer-generators-and-solar-batteries-to-ukraine-on-a-grant-basis" TargetMode="External"/><Relationship Id="rId2237" Type="http://schemas.openxmlformats.org/officeDocument/2006/relationships/hyperlink" Target="https://appropriations.house.gov/sites/democrats.appropriations.house.gov/files/Ukraine%20Supplemental%20Summary.pdf" TargetMode="External"/><Relationship Id="rId209" Type="http://schemas.openxmlformats.org/officeDocument/2006/relationships/hyperlink" Target="https://twitter.com/oleksiireznikov/status/1598696930720116736?cxt=HHwWgMCjseyY268sAAAA" TargetMode="External"/><Relationship Id="rId970" Type="http://schemas.openxmlformats.org/officeDocument/2006/relationships/hyperlink" Target="https://gemeindebund.at/gemeinden-blaulichtorganisationen-und-unternehmen-helfen-der-ukraine/" TargetMode="External"/><Relationship Id="rId1253" Type="http://schemas.openxmlformats.org/officeDocument/2006/relationships/hyperlink" Target="https://www.republicworld.com/world-news/russia-ukraine-crisis/greece-delivered-unbelievable-amount-of-military-equipment-to-ukraine-report-articleshow.html" TargetMode="External"/><Relationship Id="rId2651" Type="http://schemas.openxmlformats.org/officeDocument/2006/relationships/hyperlink" Target="https://www.reuters.com/world/europe/polish-leopard-tanks-are-already-ukraine-defence-minister-says-2023-02-24/" TargetMode="External"/><Relationship Id="rId3702" Type="http://schemas.openxmlformats.org/officeDocument/2006/relationships/hyperlink" Target="https://www.businesstoday.in/crypto/story/finland-set-to-donate-over-eu70-million-worth-of-crypto-to-war-torn-ukraine-331795-2022-04-29" TargetMode="External"/><Relationship Id="rId623" Type="http://schemas.openxmlformats.org/officeDocument/2006/relationships/hyperlink" Target="https://news.err.ee/1608589426/estonia-s-military-aid-to-ukraine-totals-230-million" TargetMode="External"/><Relationship Id="rId2304" Type="http://schemas.openxmlformats.org/officeDocument/2006/relationships/hyperlink" Target="https://appropriations.house.gov/sites/democrats.appropriations.house.gov/files/Summary%20Continuing%20Appropriations%20and%20Ukraine%20Supplemental%20Appropriations%20Act%202023.pdf" TargetMode="External"/><Relationship Id="rId1320" Type="http://schemas.openxmlformats.org/officeDocument/2006/relationships/hyperlink" Target="https://www.canada.ca/en/department-national-defence/campaigns/canadian-military-support-to-ukraine.html" TargetMode="External"/><Relationship Id="rId4476" Type="http://schemas.openxmlformats.org/officeDocument/2006/relationships/hyperlink" Target="https://www.bundesregierung.de/resource/blob/975226/2189778/cdb664abe95e6fa74802882bd66ef771/2023-05-14-liste-ukr-unterstuetzung-data.pdf?download=1" TargetMode="External"/><Relationship Id="rId3078" Type="http://schemas.openxmlformats.org/officeDocument/2006/relationships/hyperlink" Target="https://twitter.com/ZelenskyyUa/status/1618903893085388800" TargetMode="External"/><Relationship Id="rId3492" Type="http://schemas.openxmlformats.org/officeDocument/2006/relationships/hyperlink" Target="https://www.bundesregierung.de/breg-en/news/military-support-ukraine-2054992" TargetMode="External"/><Relationship Id="rId4129" Type="http://schemas.openxmlformats.org/officeDocument/2006/relationships/hyperlink" Target="https://mil.in.ua/uk/news/estoniya-nadsylaye-ukrayini-artylerijski-boyeprypasy/" TargetMode="External"/><Relationship Id="rId4543" Type="http://schemas.openxmlformats.org/officeDocument/2006/relationships/hyperlink" Target="https://www.defense.gov/News/Releases/Release/Article/3308633/biden-administration-announces-additional-security-assistance-for-ukraine/" TargetMode="External"/><Relationship Id="rId2094" Type="http://schemas.openxmlformats.org/officeDocument/2006/relationships/hyperlink" Target="https://appropriations.house.gov/sites/democrats.appropriations.house.gov/files/Ukraine%20Supplemental%20Summary.pdf" TargetMode="External"/><Relationship Id="rId3145" Type="http://schemas.openxmlformats.org/officeDocument/2006/relationships/hyperlink" Target="https://www.barrons.com/news/sunak-says-uk-will-maintain-military-aid-to-ukraine-in-2023-01671466508" TargetMode="External"/><Relationship Id="rId4610" Type="http://schemas.openxmlformats.org/officeDocument/2006/relationships/hyperlink" Target="https://web.archive.org/web/20230524183203/https:/www.defesa.gov.pt/pt/comunicacao/documentos/Lists/PDEFINTER_DocumentoLookupList/apoio_militar_Portugal_Ucrania_20230503.pdf" TargetMode="External"/><Relationship Id="rId480" Type="http://schemas.openxmlformats.org/officeDocument/2006/relationships/hyperlink" Target="https://www.gov.uk/government/publications/world-bank-spring-meetings-2022-uk-governors-statement/world-bank-spring-meetings-2022-uk-governors-statement" TargetMode="External"/><Relationship Id="rId2161" Type="http://schemas.openxmlformats.org/officeDocument/2006/relationships/hyperlink" Target="https://appropriations.house.gov/sites/democrats.appropriations.house.gov/files/Additional%20Ukraine%20Suplemental%20Appropriations%20Act%20Summary.pdf" TargetMode="External"/><Relationship Id="rId3212" Type="http://schemas.openxmlformats.org/officeDocument/2006/relationships/hyperlink" Target="https://www.gov.uk/government/news/uk-to-give-air-defence-missiles-to-help-ukraine-defend-against-rockets" TargetMode="External"/><Relationship Id="rId133" Type="http://schemas.openxmlformats.org/officeDocument/2006/relationships/hyperlink" Target="https://www.nippon.com/en/news/kd927892413712449536/" TargetMode="External"/><Relationship Id="rId200" Type="http://schemas.openxmlformats.org/officeDocument/2006/relationships/hyperlink" Target="https://twitter.com/a_anusauskas/status/1574471610807062542?cxt=HHwWnMC88dHl0tkrAAAA" TargetMode="External"/><Relationship Id="rId2978" Type="http://schemas.openxmlformats.org/officeDocument/2006/relationships/hyperlink" Target="https://www.txtreport.com/news/2023-02-15-italy-approved-the-6th-military-aid-package-to-ukraine.Sknjhz9Ts.html" TargetMode="External"/><Relationship Id="rId1994" Type="http://schemas.openxmlformats.org/officeDocument/2006/relationships/hyperlink" Target="https://crsreports.congress.gov/product/pdf/IF/IF12040" TargetMode="External"/><Relationship Id="rId1647" Type="http://schemas.openxmlformats.org/officeDocument/2006/relationships/hyperlink" Target="https://appropriations.house.gov/sites/democrats.appropriations.house.gov/files/Additional%20Ukraine%20Suplemental%20Appropriations%20Act%20Summary.pdf" TargetMode="External"/><Relationship Id="rId4053" Type="http://schemas.openxmlformats.org/officeDocument/2006/relationships/hyperlink" Target="https://www.weaponstoukraine.com/kampane/viktor-mobile-air-defense-for-ukraine" TargetMode="External"/><Relationship Id="rId1714" Type="http://schemas.openxmlformats.org/officeDocument/2006/relationships/hyperlink" Target="https://crsreports.congress.gov/product/pdf/IF/IF12040" TargetMode="External"/><Relationship Id="rId4120" Type="http://schemas.openxmlformats.org/officeDocument/2006/relationships/hyperlink" Target="https://babel.ua/en/news/90987-estonia-handed-over-another-military-aid-to-ukraine" TargetMode="External"/><Relationship Id="rId2488" Type="http://schemas.openxmlformats.org/officeDocument/2006/relationships/hyperlink" Target="https://twitter.com/alexanderdecroo/status/1497542000228417537" TargetMode="External"/><Relationship Id="rId3886" Type="http://schemas.openxmlformats.org/officeDocument/2006/relationships/hyperlink" Target="https://www.defense.gov/News/Releases/Release/Article/3411804/biden-administration-announces-additional-security-assistance-for-ukraine/" TargetMode="External"/><Relationship Id="rId3539" Type="http://schemas.openxmlformats.org/officeDocument/2006/relationships/hyperlink" Target="https://www.bundesregierung.de/breg-en/news/military-support-ukraine-2054992" TargetMode="External"/><Relationship Id="rId3953" Type="http://schemas.openxmlformats.org/officeDocument/2006/relationships/hyperlink" Target="https://www.defense.gov/News/Releases/Release/Article/3388890/biden-administration-announces-additional-security-assistance-for-ukraine/" TargetMode="External"/><Relationship Id="rId874" Type="http://schemas.openxmlformats.org/officeDocument/2006/relationships/hyperlink" Target="https://www.defense.gov/News/Releases/Release/Article/3120059/1-billion-in-additional-security-assistance-for-ukraine/" TargetMode="External"/><Relationship Id="rId2555" Type="http://schemas.openxmlformats.org/officeDocument/2006/relationships/hyperlink" Target="https://diplomatie.belgium.be/en/policy/policy-areas/highlighted/civilian-aid-ukraine-overview" TargetMode="External"/><Relationship Id="rId3606" Type="http://schemas.openxmlformats.org/officeDocument/2006/relationships/hyperlink" Target="https://focustaiwan.tw/politics/202301040019" TargetMode="External"/><Relationship Id="rId527" Type="http://schemas.openxmlformats.org/officeDocument/2006/relationships/hyperlink" Target="https://www.esteri.it/en/politica-estera-e-cooperazione-allo-sviluppo/aree_geografiche/europa/litalia-a-sostegno-dellucraina/" TargetMode="External"/><Relationship Id="rId941" Type="http://schemas.openxmlformats.org/officeDocument/2006/relationships/hyperlink" Target="https://english.nv.ua/nation/czech-republic-prepares-new-military-aid-package-for-ukraine-50278050.html" TargetMode="External"/><Relationship Id="rId1157" Type="http://schemas.openxmlformats.org/officeDocument/2006/relationships/hyperlink" Target="https://english.nv.ua/nation/estonia-approves-new-military-aid-package-for-ukraine-news-50292956.html" TargetMode="External"/><Relationship Id="rId1571" Type="http://schemas.openxmlformats.org/officeDocument/2006/relationships/hyperlink" Target="https://appropriations.house.gov/sites/democrats.appropriations.house.gov/files/Additional%20Ukraine%20Suplemental%20Appropriations%20Act%20Summary.pdf" TargetMode="External"/><Relationship Id="rId2208" Type="http://schemas.openxmlformats.org/officeDocument/2006/relationships/hyperlink" Target="https://appropriations.house.gov/sites/democrats.appropriations.house.gov/files/Ukraine%20Supplemental%20Summary.pdf" TargetMode="External"/><Relationship Id="rId2622" Type="http://schemas.openxmlformats.org/officeDocument/2006/relationships/hyperlink" Target="https://www.gov.uk/government/news/joint-statement-the-tallinn-pledge" TargetMode="External"/><Relationship Id="rId1224" Type="http://schemas.openxmlformats.org/officeDocument/2006/relationships/hyperlink" Target="https://t.me/ermaka2022/990" TargetMode="External"/><Relationship Id="rId4794" Type="http://schemas.openxmlformats.org/officeDocument/2006/relationships/hyperlink" Target="https://www.bundesregierung.de/breg-en/news/military-support-ukraine-2054992" TargetMode="External"/><Relationship Id="rId3396" Type="http://schemas.openxmlformats.org/officeDocument/2006/relationships/hyperlink" Target="https://www.bmel.de/SharedDocs/Pressemitteilungen/DE/2022/162-tiergesundheit-ukraine.html" TargetMode="External"/><Relationship Id="rId4447" Type="http://schemas.openxmlformats.org/officeDocument/2006/relationships/hyperlink" Target="https://www.bundesregierung.de/resource/blob/975226/2189778/cdb664abe95e6fa74802882bd66ef771/2023-05-14-liste-ukr-unterstuetzung-data.pdf?download=1" TargetMode="External"/><Relationship Id="rId3049" Type="http://schemas.openxmlformats.org/officeDocument/2006/relationships/hyperlink" Target="https://www.mk.gov.lv/en/latvia-supports-ukraine" TargetMode="External"/><Relationship Id="rId3463" Type="http://schemas.openxmlformats.org/officeDocument/2006/relationships/hyperlink" Target="https://www.bundesregierung.de/breg-en/news/military-support-ukraine-2054992" TargetMode="External"/><Relationship Id="rId384" Type="http://schemas.openxmlformats.org/officeDocument/2006/relationships/hyperlink" Target="https://www.worldbank.org/en/news/press-release/2022/03/07/world-bank-mobilizes-an-emergency-financing-package-of-over-700-million-for-ukraine" TargetMode="External"/><Relationship Id="rId2065" Type="http://schemas.openxmlformats.org/officeDocument/2006/relationships/hyperlink" Target="https://appropriations.house.gov/sites/democrats.appropriations.house.gov/files/Ukraine%20Supplemental%20Summary%20FY23.pdf" TargetMode="External"/><Relationship Id="rId3116" Type="http://schemas.openxmlformats.org/officeDocument/2006/relationships/hyperlink" Target="https://www.admin.ch/gov/en/start/documentation/media-releases.msg-id-91098.html" TargetMode="External"/><Relationship Id="rId4514" Type="http://schemas.openxmlformats.org/officeDocument/2006/relationships/hyperlink" Target="https://www.mofa.gov.tw/News_Content.aspx?n=95&amp;sms=73&amp;s=99713" TargetMode="External"/><Relationship Id="rId1081" Type="http://schemas.openxmlformats.org/officeDocument/2006/relationships/hyperlink" Target="https://www.lejdd.fr/International/sebastien-lecornu-ministre-des-armees-nous-navons-pas-a-rougir-de-notre-aide-a-lukraine-4148779" TargetMode="External"/><Relationship Id="rId3530" Type="http://schemas.openxmlformats.org/officeDocument/2006/relationships/hyperlink" Target="https://www.bundesregierung.de/breg-en/news/military-support-ukraine-2054992" TargetMode="External"/><Relationship Id="rId451" Type="http://schemas.openxmlformats.org/officeDocument/2006/relationships/hyperlink" Target="https://www.mfat.govt.nz/en/countries-and-regions/europe/ukraine/russian-invasion-of-ukraine/" TargetMode="External"/><Relationship Id="rId2132" Type="http://schemas.openxmlformats.org/officeDocument/2006/relationships/hyperlink" Target="https://crsreports.congress.gov/product/pdf/IF/IF12040" TargetMode="External"/><Relationship Id="rId104" Type="http://schemas.openxmlformats.org/officeDocument/2006/relationships/hyperlink" Target="https://www.gov.uk/government/news/uk-to-give-more-multiple-launch-rocket-systems-and-guided-missiles-to-ukraine" TargetMode="External"/><Relationship Id="rId1898" Type="http://schemas.openxmlformats.org/officeDocument/2006/relationships/hyperlink" Target="https://appropriations.house.gov/sites/democrats.appropriations.house.gov/files/Ukraine%20Supplemental%20Summary%20FY23.pdf" TargetMode="External"/><Relationship Id="rId2949" Type="http://schemas.openxmlformats.org/officeDocument/2006/relationships/hyperlink" Target="https://english.nv.ua/nation/estonia-donates-all-of-its-155mm-howitzers-and-other-weapons-to-ukraine-50299305.html" TargetMode="External"/><Relationship Id="rId4371" Type="http://schemas.openxmlformats.org/officeDocument/2006/relationships/hyperlink" Target="https://www.bundesregierung.de/resource/blob/975226/2189778/cdb664abe95e6fa74802882bd66ef771/2023-05-14-liste-ukr-unterstuetzung-data.pdf?download=1" TargetMode="External"/><Relationship Id="rId1965" Type="http://schemas.openxmlformats.org/officeDocument/2006/relationships/hyperlink" Target="https://crsreports.congress.gov/product/pdf/IF/IF12040" TargetMode="External"/><Relationship Id="rId4024" Type="http://schemas.openxmlformats.org/officeDocument/2006/relationships/hyperlink" Target="https://www.forbes.com/sites/sebastienroblin/2022/04/21/the-dutch-are-sending-huge-german-armored-howitzers-to-ukraine/?sh=6c70196f9380" TargetMode="External"/><Relationship Id="rId1618" Type="http://schemas.openxmlformats.org/officeDocument/2006/relationships/hyperlink" Target="https://appropriations.house.gov/sites/democrats.appropriations.house.gov/files/Additional%20Ukraine%20Suplemental%20Appropriations%20Act%20Summary.pdf" TargetMode="External"/><Relationship Id="rId3040" Type="http://schemas.openxmlformats.org/officeDocument/2006/relationships/hyperlink" Target="https://twitter.com/ZelenskyyUa/status/1618903893085388800" TargetMode="External"/><Relationship Id="rId3857" Type="http://schemas.openxmlformats.org/officeDocument/2006/relationships/hyperlink" Target="https://www.state.gov/u-s-security-cooperation-with-ukraine/" TargetMode="External"/><Relationship Id="rId778" Type="http://schemas.openxmlformats.org/officeDocument/2006/relationships/hyperlink" Target="https://www.kmu.gov.ua/en/news/minfin-ukraina-otrymala-200-mln-ievro-vid-italii" TargetMode="External"/><Relationship Id="rId2459" Type="http://schemas.openxmlformats.org/officeDocument/2006/relationships/hyperlink" Target="https://lahbib.belgium.be/en/belgium-provide-8-million-eur-non-lethal-support-ukrainian-armed-forces" TargetMode="External"/><Relationship Id="rId2873" Type="http://schemas.openxmlformats.org/officeDocument/2006/relationships/hyperlink" Target="https://www.vlada.cz/en/media-centrum/tiskove-zpravy/czechia-sends-hundreds-of-heavy-military-systems-worth-tens-of-billions-to-ukraine-during-the-first-year-of-russian-invasion-203252/" TargetMode="External"/><Relationship Id="rId3924" Type="http://schemas.openxmlformats.org/officeDocument/2006/relationships/hyperlink" Target="https://www.defense.gov/News/Releases/Release/Article/3350958/biden-administration-announces-additional-security-assistance-for-ukraine/" TargetMode="External"/><Relationship Id="rId845" Type="http://schemas.openxmlformats.org/officeDocument/2006/relationships/hyperlink" Target="https://www.dfat.gov.au/crisis-hub/invasion-ukraine-russia" TargetMode="External"/><Relationship Id="rId1475" Type="http://schemas.openxmlformats.org/officeDocument/2006/relationships/hyperlink" Target="https://appropriations.house.gov/sites/democrats.appropriations.house.gov/files/Ukraine%20Supplemental%20Summary.pdf" TargetMode="External"/><Relationship Id="rId2526" Type="http://schemas.openxmlformats.org/officeDocument/2006/relationships/hyperlink" Target="https://www.premier.be/sites/default/files/articles/BE%20support%20militaire.pdf" TargetMode="External"/><Relationship Id="rId1128" Type="http://schemas.openxmlformats.org/officeDocument/2006/relationships/hyperlink" Target="https://delano.lu/article/zelenskyy-thanks-luxembourg-fo" TargetMode="External"/><Relationship Id="rId1542" Type="http://schemas.openxmlformats.org/officeDocument/2006/relationships/hyperlink" Target="https://appropriations.house.gov/sites/democrats.appropriations.house.gov/files/Additional%20Ukraine%20Suplemental%20Appropriations%20Act%20Summary.pdf" TargetMode="External"/><Relationship Id="rId2940" Type="http://schemas.openxmlformats.org/officeDocument/2006/relationships/hyperlink" Target="https://valitsus.ee/en/news/estonias-military-support-ukraine-will-increase-more-1-gdp" TargetMode="External"/><Relationship Id="rId4698" Type="http://schemas.openxmlformats.org/officeDocument/2006/relationships/hyperlink" Target="https://www.bundesregierung.de/breg-en/news/military-support-ukraine-2054992" TargetMode="External"/><Relationship Id="rId912" Type="http://schemas.openxmlformats.org/officeDocument/2006/relationships/hyperlink" Target="https://www.worldbank.org/en/news/press-release/2022/09/30/world-bank-mobilizes-additional-530-million-in-support-to-ukraine" TargetMode="External"/><Relationship Id="rId4765" Type="http://schemas.openxmlformats.org/officeDocument/2006/relationships/hyperlink" Target="https://www.bundesregierung.de/breg-en/news/military-support-ukraine-2054992" TargetMode="External"/><Relationship Id="rId288" Type="http://schemas.openxmlformats.org/officeDocument/2006/relationships/hyperlink" Target="https://www.praguemorning.cz/czech-governmenet-approves-czk-400-million-in-military-aid-for-ukraine/" TargetMode="External"/><Relationship Id="rId3367" Type="http://schemas.openxmlformats.org/officeDocument/2006/relationships/hyperlink" Target="https://www.bmwk.de/Redaktion/DE/Downloads/U/unterstuetzung-ukraine.pdf?__blob=publicationFile&amp;v=10" TargetMode="External"/><Relationship Id="rId3781" Type="http://schemas.openxmlformats.org/officeDocument/2006/relationships/hyperlink" Target="https://www.defense.gov/News/Releases/Release/Article/3334472/dod-announces-additional-security-assistance-for-ukraine/" TargetMode="External"/><Relationship Id="rId4418" Type="http://schemas.openxmlformats.org/officeDocument/2006/relationships/hyperlink" Target="https://www.bundesregierung.de/resource/blob/975226/2189778/cdb664abe95e6fa74802882bd66ef771/2023-05-14-liste-ukr-unterstuetzung-data.pdf?download=1" TargetMode="External"/><Relationship Id="rId4832" Type="http://schemas.openxmlformats.org/officeDocument/2006/relationships/hyperlink" Target="https://crsreports.congress.gov/product/pdf/IF/IF12040" TargetMode="External"/><Relationship Id="rId2383" Type="http://schemas.openxmlformats.org/officeDocument/2006/relationships/hyperlink" Target="https://www.euronews.com/2022/09/29/cargo-ship-with-1000-tonnes-of-ukraine-aid-sets-sail-from-marseille" TargetMode="External"/><Relationship Id="rId3434" Type="http://schemas.openxmlformats.org/officeDocument/2006/relationships/hyperlink" Target="https://www.bundesregierung.de/breg-en/news/military-support-ukraine-2054992" TargetMode="External"/><Relationship Id="rId355" Type="http://schemas.openxmlformats.org/officeDocument/2006/relationships/hyperlink" Target="https://www.bgk.pl/aktualnosc/bgk-polish-development-bank-has-donated-pln-30-million-to-help-ukraine/" TargetMode="External"/><Relationship Id="rId2036" Type="http://schemas.openxmlformats.org/officeDocument/2006/relationships/hyperlink" Target="https://crsreports.congress.gov/product/pdf/IF/IF12040" TargetMode="External"/><Relationship Id="rId2450" Type="http://schemas.openxmlformats.org/officeDocument/2006/relationships/hyperlink" Target="https://www.wienerzeitung.at/nachrichten/politik/europa/2177136-Van-der-Bellen-Ich-finde-es-wichtig-dass-wir-sichtbar-die-Ukraine-unterstuetzen.html" TargetMode="External"/><Relationship Id="rId3501" Type="http://schemas.openxmlformats.org/officeDocument/2006/relationships/hyperlink" Target="https://www.bundesregierung.de/breg-en/news/military-support-ukraine-2054992" TargetMode="External"/><Relationship Id="rId422" Type="http://schemas.openxmlformats.org/officeDocument/2006/relationships/hyperlink" Target="https://vm.ee/en/humanitarian-aid-ukraine" TargetMode="External"/><Relationship Id="rId1052" Type="http://schemas.openxmlformats.org/officeDocument/2006/relationships/hyperlink" Target="https://kaitseministeerium.ee/en/news/estonia-sending-ukraine-ammunition-and-equipment" TargetMode="External"/><Relationship Id="rId2103" Type="http://schemas.openxmlformats.org/officeDocument/2006/relationships/hyperlink" Target="https://appropriations.house.gov/sites/democrats.appropriations.house.gov/files/Ukraine%20Supplemental%20Summary.pdf" TargetMode="External"/><Relationship Id="rId4275" Type="http://schemas.openxmlformats.org/officeDocument/2006/relationships/hyperlink" Target="https://www.ebrd.com/news/2022/canada-and-ebrd-join-forces-to-support-ukraines-naftogaz-.html" TargetMode="External"/><Relationship Id="rId1869" Type="http://schemas.openxmlformats.org/officeDocument/2006/relationships/hyperlink" Target="https://appropriations.house.gov/sites/democrats.appropriations.house.gov/files/Summary%20Continuing%20Appropriations%20and%20Ukraine%20Supplemental%20Appropriations%20Act%202023.pdf" TargetMode="External"/><Relationship Id="rId3291" Type="http://schemas.openxmlformats.org/officeDocument/2006/relationships/hyperlink" Target="https://www.rijksoverheid.nl/onderwerpen/russische-inval-in-oekraine/nieuws/2022/03/02/nederland-levert-medicijnen-en-medische-hulpgoederen-aan-oekraine" TargetMode="External"/><Relationship Id="rId1936" Type="http://schemas.openxmlformats.org/officeDocument/2006/relationships/hyperlink" Target="https://appropriations.house.gov/sites/democrats.appropriations.house.gov/files/Ukraine%20Supplemental%20Summary%20FY23.pdf" TargetMode="External"/><Relationship Id="rId4342" Type="http://schemas.openxmlformats.org/officeDocument/2006/relationships/hyperlink" Target="https://www.bundesregierung.de/resource/blob/975226/2189778/cdb664abe95e6fa74802882bd66ef771/2023-05-14-liste-ukr-unterstuetzung-data.pdf?download=1" TargetMode="External"/><Relationship Id="rId3011" Type="http://schemas.openxmlformats.org/officeDocument/2006/relationships/hyperlink" Target="https://www.ukrinform.net/rubric-economy/3643370-slovenia-sends-fourth-shipment-of-energy-equipment-to-ukraine.html" TargetMode="External"/><Relationship Id="rId2777" Type="http://schemas.openxmlformats.org/officeDocument/2006/relationships/hyperlink" Target="https://www.defense.gov/News/Releases/Release/Article/3272866/biden-administration-announces-additional-security-assistance-for-ukraine/" TargetMode="External"/><Relationship Id="rId749" Type="http://schemas.openxmlformats.org/officeDocument/2006/relationships/hyperlink" Target="https://mil.in.ua/en/news/slovenia-handed-over-35-m80a-infantry-fighting-vehicles-to-ukraine/" TargetMode="External"/><Relationship Id="rId1379" Type="http://schemas.openxmlformats.org/officeDocument/2006/relationships/hyperlink" Target="https://appropriations.house.gov/sites/democrats.appropriations.house.gov/files/Ukraine%20Supplemental%20Summary.pdf" TargetMode="External"/><Relationship Id="rId3828" Type="http://schemas.openxmlformats.org/officeDocument/2006/relationships/hyperlink" Target="https://www.state.gov/u-s-security-cooperation-with-ukraine/" TargetMode="External"/><Relationship Id="rId1793" Type="http://schemas.openxmlformats.org/officeDocument/2006/relationships/hyperlink" Target="https://crsreports.congress.gov/product/pdf/IN/IN11882" TargetMode="External"/><Relationship Id="rId2844" Type="http://schemas.openxmlformats.org/officeDocument/2006/relationships/hyperlink" Target="https://crsreports.congress.gov/product/pdf/IF/IF12040" TargetMode="External"/><Relationship Id="rId85" Type="http://schemas.openxmlformats.org/officeDocument/2006/relationships/hyperlink" Target="https://www.nytimes.com/2022/04/14/world/europe/ukraine-russia-nato-s300.html" TargetMode="External"/><Relationship Id="rId816" Type="http://schemas.openxmlformats.org/officeDocument/2006/relationships/hyperlink" Target="https://www.defense.gov/News/Releases/Release/Article/3138105/nearly-3-billion-in-additional-security-assistance-for-ukraine/" TargetMode="External"/><Relationship Id="rId1446" Type="http://schemas.openxmlformats.org/officeDocument/2006/relationships/hyperlink" Target="https://appropriations.house.gov/sites/democrats.appropriations.house.gov/files/Ukraine%20Supplemental%20Summary.pdf" TargetMode="External"/><Relationship Id="rId186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11" Type="http://schemas.openxmlformats.org/officeDocument/2006/relationships/hyperlink" Target="https://mil.in.ua/en/news/czech-republic-to-transfer-heavy-equipment-and-weapons-to-ukraine/" TargetMode="External"/><Relationship Id="rId1513" Type="http://schemas.openxmlformats.org/officeDocument/2006/relationships/hyperlink" Target="https://appropriations.house.gov/sites/democrats.appropriations.house.gov/files/Additional%20Ukraine%20Suplemental%20Appropriations%20Act%20Summary.pdf" TargetMode="External"/><Relationship Id="rId4669" Type="http://schemas.openxmlformats.org/officeDocument/2006/relationships/hyperlink" Target="https://www.usaid.gov/sites/default/files/2022-12/2022-08-29_USG_Ukraine_Complex_Emergency_Fact_Sheet_27.pdf" TargetMode="External"/><Relationship Id="rId3685" Type="http://schemas.openxmlformats.org/officeDocument/2006/relationships/hyperlink" Target="https://intermin.fi/en/ukraine/civilian-assistance-to-ukraine" TargetMode="External"/><Relationship Id="rId4736" Type="http://schemas.openxmlformats.org/officeDocument/2006/relationships/hyperlink" Target="https://www.bundesregierung.de/breg-en/news/military-support-ukraine-2054992" TargetMode="External"/><Relationship Id="rId2287" Type="http://schemas.openxmlformats.org/officeDocument/2006/relationships/hyperlink" Target="https://crsreports.congress.gov/product/pdf/IF/IF12040" TargetMode="External"/><Relationship Id="rId3338" Type="http://schemas.openxmlformats.org/officeDocument/2006/relationships/hyperlink" Target="https://eurasiantimes.com/harpoon-horror-us-confirms-russian-vessel-that-was-sunk-by-ukraine/" TargetMode="External"/><Relationship Id="rId3752" Type="http://schemas.openxmlformats.org/officeDocument/2006/relationships/hyperlink" Target="https://www.defense.gov/News/Releases/Release/Article/3334472/dod-announces-additional-security-assistance-for-ukraine/" TargetMode="External"/><Relationship Id="rId259" Type="http://schemas.openxmlformats.org/officeDocument/2006/relationships/hyperlink" Target="https://www.reuters.com/markets/europe/japan-offers-ukraine-100-mln-loans-show-support-2022-02-15/" TargetMode="External"/><Relationship Id="rId673" Type="http://schemas.openxmlformats.org/officeDocument/2006/relationships/hyperlink" Target="https://www.diplomatie.gouv.fr/en/country-files/ukraine/news/article/ukraine-exceptional-assistance-from-france-to-bolster-food-security-for-the" TargetMode="External"/><Relationship Id="rId2354" Type="http://schemas.openxmlformats.org/officeDocument/2006/relationships/hyperlink" Target="https://www.connexionfrance.com/article/French-news/Humanitarian-ship-for-Ukraine-leaves-French-port-with-8m-of-aid" TargetMode="External"/><Relationship Id="rId3405"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4803" Type="http://schemas.openxmlformats.org/officeDocument/2006/relationships/hyperlink" Target="https://www.bundesregierung.de/breg-en/news/military-support-ukraine-2054992" TargetMode="External"/><Relationship Id="rId326" Type="http://schemas.openxmlformats.org/officeDocument/2006/relationships/hyperlink" Target="https://www.barrons.com/news/spain-to-send-more-weapons-to-ukraine-01647003007" TargetMode="External"/><Relationship Id="rId1370" Type="http://schemas.openxmlformats.org/officeDocument/2006/relationships/hyperlink" Target="https://appropriations.house.gov/sites/democrats.appropriations.house.gov/files/Ukraine%20Supplemental%20Summary.pdf" TargetMode="External"/><Relationship Id="rId2007" Type="http://schemas.openxmlformats.org/officeDocument/2006/relationships/hyperlink" Target="https://crsreports.congress.gov/product/pdf/IF/IF12040" TargetMode="External"/><Relationship Id="rId740" Type="http://schemas.openxmlformats.org/officeDocument/2006/relationships/hyperlink" Target="https://www.regjeringen.no/en/aktuelt/agreement_gas/id2947818/" TargetMode="External"/><Relationship Id="rId1023" Type="http://schemas.openxmlformats.org/officeDocument/2006/relationships/hyperlink" Target="https://www.defense.gov/News/Releases/Release/Article/3203509/275-million-in-additional-presidential-drawdown-security-assistance-for-ukraine/" TargetMode="External"/><Relationship Id="rId2421" Type="http://schemas.openxmlformats.org/officeDocument/2006/relationships/hyperlink" Target="https://szru.gov.ua/en/news-media/publications/february-2-2023-ukraine-and-the-world---against-russias-aggression-sanctions-in-action" TargetMode="External"/><Relationship Id="rId4179" Type="http://schemas.openxmlformats.org/officeDocument/2006/relationships/hyperlink" Target="https://www.mod.mil.gr/en/defence-minister-nikolaos-panagiotopoulos-meets-with-the-minister-of-defence/" TargetMode="External"/><Relationship Id="rId4593" Type="http://schemas.openxmlformats.org/officeDocument/2006/relationships/hyperlink" Target="https://www.fmn.dk/da/nyheder/2023/ukraine-fond-finansierer-stor-ny-donationspakke/" TargetMode="External"/><Relationship Id="rId3195" Type="http://schemas.openxmlformats.org/officeDocument/2006/relationships/hyperlink" Target="https://www.gov.uk/government/news/chancellor-sets-out-further-economic-support-for-ukraine-at-g7-meeting-in-bonn" TargetMode="External"/><Relationship Id="rId4246" Type="http://schemas.openxmlformats.org/officeDocument/2006/relationships/hyperlink" Target="http://chicago.china-consulate.gov.cn/fyrth/202303/t20230308_11037694.htm" TargetMode="External"/><Relationship Id="rId4660" Type="http://schemas.openxmlformats.org/officeDocument/2006/relationships/hyperlink" Target="https://www.bundesregierung.de/breg-en/news/military-support-ukraine-2054992" TargetMode="External"/><Relationship Id="rId3262" Type="http://schemas.openxmlformats.org/officeDocument/2006/relationships/hyperlink" Target="https://abouthungary.hu/news-in-brief/fm-hungary-offers-ukraine-aid-worth-37-million-euros" TargetMode="External"/><Relationship Id="rId4313" Type="http://schemas.openxmlformats.org/officeDocument/2006/relationships/hyperlink" Target="https://www.bundesregierung.de/resource/blob/975226/2189778/cdb664abe95e6fa74802882bd66ef771/2023-05-14-liste-ukr-unterstuetzung-data.pdf?download=1" TargetMode="External"/><Relationship Id="rId183" Type="http://schemas.openxmlformats.org/officeDocument/2006/relationships/hyperlink" Target="https://news.err.ee/1608793648/estonia-s-total-military-aid-to-ukraine-to-date-approaching-300-million" TargetMode="External"/><Relationship Id="rId1907" Type="http://schemas.openxmlformats.org/officeDocument/2006/relationships/hyperlink" Target="https://appropriations.house.gov/sites/democrats.appropriations.house.gov/files/Ukraine%20Supplemental%20Summary%20FY23.pdf" TargetMode="External"/><Relationship Id="rId250" Type="http://schemas.openxmlformats.org/officeDocument/2006/relationships/hyperlink" Target="https://www.total-croatia-news.com/politics/60689-support-measures-for-ukraine" TargetMode="External"/><Relationship Id="rId1697" Type="http://schemas.openxmlformats.org/officeDocument/2006/relationships/hyperlink" Target="https://crsreports.congress.gov/product/pdf/IF/IF12040" TargetMode="External"/><Relationship Id="rId2748" Type="http://schemas.openxmlformats.org/officeDocument/2006/relationships/hyperlink" Target="https://crsreports.congress.gov/product/pdf/IF/IF12040" TargetMode="External"/><Relationship Id="rId1764" Type="http://schemas.openxmlformats.org/officeDocument/2006/relationships/hyperlink" Target="https://crsreports.congress.gov/product/pdf/IF/IF12040" TargetMode="External"/><Relationship Id="rId2815" Type="http://schemas.openxmlformats.org/officeDocument/2006/relationships/hyperlink" Target="https://www.defense.gov/News/Releases/Release/Article/3272866/biden-administration-announces-additional-security-assistance-for-ukraine/" TargetMode="External"/><Relationship Id="rId4170" Type="http://schemas.openxmlformats.org/officeDocument/2006/relationships/hyperlink" Target="https://vm.ee/en/estonias-aid-ukraine" TargetMode="External"/><Relationship Id="rId56" Type="http://schemas.openxmlformats.org/officeDocument/2006/relationships/hyperlink" Target="https://www.rferl.org/a/czech-republic-poland-new-military-aid-ukraine/31873938.html" TargetMode="External"/><Relationship Id="rId1417" Type="http://schemas.openxmlformats.org/officeDocument/2006/relationships/hyperlink" Target="https://appropriations.house.gov/sites/democrats.appropriations.house.gov/files/Ukraine%20Supplemental%20Summary.pdf" TargetMode="External"/><Relationship Id="rId1831" Type="http://schemas.openxmlformats.org/officeDocument/2006/relationships/hyperlink" Target="https://appropriations.house.gov/sites/democrats.appropriations.house.gov/files/Summary%20Continuing%20Appropriations%20and%20Ukraine%20Supplemental%20Appropriations%20Act%202023.pdf" TargetMode="External"/><Relationship Id="rId3589" Type="http://schemas.openxmlformats.org/officeDocument/2006/relationships/hyperlink" Target="https://www.eda.admin.ch/eda/de/home/das-eda/aktuell/news.html/content/eda/de/meta/news/2023/2/22/93261.html" TargetMode="External"/><Relationship Id="rId577" Type="http://schemas.openxmlformats.org/officeDocument/2006/relationships/hyperlink" Target="https://in-cyprus.philenews.com/news/local/cyprus-third-humanitarian-aid-package-to-war-torn-ukraine-ready-to-be-shipped-photos/" TargetMode="External"/><Relationship Id="rId2258" Type="http://schemas.openxmlformats.org/officeDocument/2006/relationships/hyperlink" Target="https://crsreports.congress.gov/product/pdf/IF/IF12040" TargetMode="External"/><Relationship Id="rId3656" Type="http://schemas.openxmlformats.org/officeDocument/2006/relationships/hyperlink" Target="https://www.icenews.is/2023/05/16/iceland-donates-mobile-emergency-hospital-to-ukraine/" TargetMode="External"/><Relationship Id="rId4707" Type="http://schemas.openxmlformats.org/officeDocument/2006/relationships/hyperlink" Target="https://www.bundesregierung.de/breg-en/news/military-support-ukraine-2054992" TargetMode="External"/><Relationship Id="rId991" Type="http://schemas.openxmlformats.org/officeDocument/2006/relationships/hyperlink" Target="https://www.youtube.com/watch?v=D59VdvNdPwo&amp;t=2s&amp;ab_channel=NATONews" TargetMode="External"/><Relationship Id="rId2672" Type="http://schemas.openxmlformats.org/officeDocument/2006/relationships/hyperlink" Target="https://projects.worldbank.org/en/projects-operations/project-detail/P180453" TargetMode="External"/><Relationship Id="rId3309" Type="http://schemas.openxmlformats.org/officeDocument/2006/relationships/hyperlink" Target="https://appropriations.house.gov/sites/democrats.appropriations.house.gov/files/Ukraine%20Supplemental%20Summary%20FY23.pdf" TargetMode="External"/><Relationship Id="rId3723" Type="http://schemas.openxmlformats.org/officeDocument/2006/relationships/hyperlink" Target="https://www.government.se/contentassets/b5ee5a7272ba4b60870f91587d555f86/faktablad_sverigesstod_ukraina_eng.pdf" TargetMode="External"/><Relationship Id="rId644" Type="http://schemas.openxmlformats.org/officeDocument/2006/relationships/hyperlink" Target="https://www.regjeringen.no/en/aktuelt/norge-og-storbritannia-gir-langtrekkende-rakettartilleri-til-ukraina/id2921395/" TargetMode="External"/><Relationship Id="rId1274" Type="http://schemas.openxmlformats.org/officeDocument/2006/relationships/hyperlink" Target="https://www.gov.ie/en/press-release/b80b7-government-ministers-announce-irish-support-for-ukrainian-health-service/?msclkid=07ab0901b05a11ec8239ca04bfcdbb9d" TargetMode="External"/><Relationship Id="rId2325" Type="http://schemas.openxmlformats.org/officeDocument/2006/relationships/hyperlink" Target="https://interfax.com/newsroom/top-stories/86161/" TargetMode="External"/><Relationship Id="rId711" Type="http://schemas.openxmlformats.org/officeDocument/2006/relationships/hyperlink" Target="https://kyivindependent.com/news-feed/slovakia-supplies-5-helicopters-ammunition-for-grad-multiple-rocket-launchers" TargetMode="External"/><Relationship Id="rId1341" Type="http://schemas.openxmlformats.org/officeDocument/2006/relationships/hyperlink" Target="https://sloveniatimes.com/slovenia-stands-firm-by-ukraine/" TargetMode="External"/><Relationship Id="rId4497" Type="http://schemas.openxmlformats.org/officeDocument/2006/relationships/hyperlink" Target="https://www.belganewsagency.eu/federal-government-approves-92-million-euros-extra-aid-for-ukraine" TargetMode="External"/><Relationship Id="rId3099" Type="http://schemas.openxmlformats.org/officeDocument/2006/relationships/hyperlink" Target="https://thediplomatinspain.com/en/2022/07/spain-announces-250-million-euros-for-agriculture-and-renewables-in-ukraine/" TargetMode="External"/><Relationship Id="rId4564" Type="http://schemas.openxmlformats.org/officeDocument/2006/relationships/hyperlink" Target="https://www.fm.gov.lv/lv/jaunums/latvija-palidzibai-ukrainai-pieskir-vel-piecus-miljonus-eiro-0?utm_source=https%3A%2F%2Feng.lsm.lv%2F" TargetMode="External"/><Relationship Id="rId3166" Type="http://schemas.openxmlformats.org/officeDocument/2006/relationships/hyperlink" Target="https://crsreports.congress.gov/product/pdf/IF/IF12040" TargetMode="External"/><Relationship Id="rId3580" Type="http://schemas.openxmlformats.org/officeDocument/2006/relationships/hyperlink" Target="https://www.forces.net/technology/weapons-and-kit/kub-slovakian-anti-aircraft-missile-system-looking-safeguard-ukraine" TargetMode="External"/><Relationship Id="rId4217" Type="http://schemas.openxmlformats.org/officeDocument/2006/relationships/hyperlink" Target="https://gov.ro/en/news/medical-equipment-and-medicines-donated-by-romania-in-support-of-ukraine&amp;page=13" TargetMode="External"/><Relationship Id="rId2182" Type="http://schemas.openxmlformats.org/officeDocument/2006/relationships/hyperlink" Target="https://appropriations.house.gov/sites/democrats.appropriations.house.gov/files/Additional%20Ukraine%20Suplemental%20Appropriations%20Act%20Summary.pdf" TargetMode="External"/><Relationship Id="rId3233" Type="http://schemas.openxmlformats.org/officeDocument/2006/relationships/hyperlink" Target="https://ubn.news/fr/cinq-villes-ukrainiennes-vont-beneficier-dun-don-de-6-millions-de-dollars-de-taiwan/" TargetMode="External"/><Relationship Id="rId4631" Type="http://schemas.openxmlformats.org/officeDocument/2006/relationships/hyperlink" Target="https://english.defensie.nl/latest/news/2023/04/20/netherlands-to-purchase-leopard-2-tanks-for-ukraine" TargetMode="External"/><Relationship Id="rId154" Type="http://schemas.openxmlformats.org/officeDocument/2006/relationships/hyperlink" Target="https://twitter.com/oleksiireznikov/status/1589571269363904512?cxt=HHwWgMDR-bippY8sAAAA" TargetMode="External"/><Relationship Id="rId2999" Type="http://schemas.openxmlformats.org/officeDocument/2006/relationships/hyperlink" Target="https://www.portugal.gov.pt/pt/gc23/comunicacao/comunicado?i=portugal-vai-enviar-mais-apoio-militar-a-ucrania" TargetMode="External"/><Relationship Id="rId3300" Type="http://schemas.openxmlformats.org/officeDocument/2006/relationships/hyperlink" Target="https://diplomatie.belgium.be/en/policy/policy-areas/highlighted/civilian-aid-ukraine-overview" TargetMode="External"/><Relationship Id="rId221" Type="http://schemas.openxmlformats.org/officeDocument/2006/relationships/hyperlink" Target="https://www.lefigaro.fr/international/guerre-en-ukraine-sebastien-lecornu-en-visite-a-kiev-20221228" TargetMode="External"/><Relationship Id="rId1668" Type="http://schemas.openxmlformats.org/officeDocument/2006/relationships/hyperlink" Target="https://crsreports.congress.gov/product/pdf/IF/IF12040" TargetMode="External"/><Relationship Id="rId2719" Type="http://schemas.openxmlformats.org/officeDocument/2006/relationships/hyperlink" Target="https://www.regjeringen.no/en/topics/foreign-affairs/humanitarian-efforts/neighbour_support/id2908141/?expand=factbox2963912" TargetMode="External"/><Relationship Id="rId4074" Type="http://schemas.openxmlformats.org/officeDocument/2006/relationships/hyperlink" Target="https://elpais.com/internacional/2023-02-23/guerra-ucrania-rusia-ultimas-noticias-en-directo.html" TargetMode="External"/><Relationship Id="rId3090" Type="http://schemas.openxmlformats.org/officeDocument/2006/relationships/hyperlink" Target="https://documents1.worldbank.org/curated/en/099045006272211923/pdf/P17934404806560d0af0503654b216c99f.pdf" TargetMode="External"/><Relationship Id="rId4141" Type="http://schemas.openxmlformats.org/officeDocument/2006/relationships/hyperlink" Target="https://twitter.com/HPevkur/status/1636347925935562753" TargetMode="External"/><Relationship Id="rId1735" Type="http://schemas.openxmlformats.org/officeDocument/2006/relationships/hyperlink" Target="https://crsreports.congress.gov/product/pdf/IF/IF12040" TargetMode="External"/><Relationship Id="rId27" Type="http://schemas.openxmlformats.org/officeDocument/2006/relationships/hyperlink" Target="https://www.reuters.com/world/europe/slovakia-says-it-delivered-air-defence-anti-tank-rockets-ukraine-2022-02-28/" TargetMode="External"/><Relationship Id="rId1802" Type="http://schemas.openxmlformats.org/officeDocument/2006/relationships/hyperlink" Target="https://crsreports.congress.gov/product/pdf/IN/IN11882" TargetMode="External"/><Relationship Id="rId3974" Type="http://schemas.openxmlformats.org/officeDocument/2006/relationships/hyperlink" Target="https://www.defense.gov/News/Releases/Release/Article/3350958/biden-administration-announces-additional-security-assistance-for-ukraine/" TargetMode="External"/><Relationship Id="rId895" Type="http://schemas.openxmlformats.org/officeDocument/2006/relationships/hyperlink" Target="https://www.pm.gov.au/media/visit-kyiv-and-further-australian-support-ukraine" TargetMode="External"/><Relationship Id="rId2576" Type="http://schemas.openxmlformats.org/officeDocument/2006/relationships/hyperlink" Target="https://www.premier.be/sites/default/files/articles/BE%20support%20militaire.pdf" TargetMode="External"/><Relationship Id="rId2990" Type="http://schemas.openxmlformats.org/officeDocument/2006/relationships/hyperlink" Target="https://www.defesa.gov.pt/pt/comunicacao/comunicados/Lists/PDEFINTER_DocumentoList/20230120_comunicado_MDN_Apoio_militar_a_Ucrania.pdf" TargetMode="External"/><Relationship Id="rId3627" Type="http://schemas.openxmlformats.org/officeDocument/2006/relationships/hyperlink" Target="https://www.bild.de/politik/ausland/politik-ausland/ukraine-krieg-deutschland-liefert-der-ukraine-66-panzerfahrzeuge-84158658.bild.html" TargetMode="External"/><Relationship Id="rId548" Type="http://schemas.openxmlformats.org/officeDocument/2006/relationships/hyperlink" Target="https://www.europarl.europa.eu/RegData/etudes/ATAG/2022/729301/EPRS_ATA(2022)729301_EN.pdf" TargetMode="External"/><Relationship Id="rId962" Type="http://schemas.openxmlformats.org/officeDocument/2006/relationships/hyperlink" Target="https://www.ukrinform.net/rubric-ato/3604150-italy-provides-ukraine-with-two-m270-systems-six-pzh-2000-about-30-selfpropelled-howitzers-media.html" TargetMode="External"/><Relationship Id="rId1178" Type="http://schemas.openxmlformats.org/officeDocument/2006/relationships/hyperlink" Target="https://kyivindependent.com/news-feed/slovakia-considers-producing-ammunition-for-ukraine" TargetMode="External"/><Relationship Id="rId1592" Type="http://schemas.openxmlformats.org/officeDocument/2006/relationships/hyperlink" Target="https://appropriations.house.gov/sites/democrats.appropriations.house.gov/files/Additional%20Ukraine%20Suplemental%20Appropriations%20Act%20Summary.pdf" TargetMode="External"/><Relationship Id="rId2229" Type="http://schemas.openxmlformats.org/officeDocument/2006/relationships/hyperlink" Target="https://appropriations.house.gov/sites/democrats.appropriations.house.gov/files/Ukraine%20Supplemental%20Summary.pdf" TargetMode="External"/><Relationship Id="rId2643" Type="http://schemas.openxmlformats.org/officeDocument/2006/relationships/hyperlink" Target="https://www.defensie.nl/onderwerpen/oostflank-navo-gebied/militaire-steun-aan-oekraine" TargetMode="External"/><Relationship Id="rId615" Type="http://schemas.openxmlformats.org/officeDocument/2006/relationships/hyperlink" Target="https://www.vlada.cz/cz/media-centrum/aktualne/bezpecnostni-rada-statu-se-zabyvala-aktualni-bezpecnostni-situaci-po-napadeni-nezavisle-ukrajiny-vojsky-ruske-federace-194513/" TargetMode="External"/><Relationship Id="rId1245" Type="http://schemas.openxmlformats.org/officeDocument/2006/relationships/hyperlink" Target="https://www.youtube.com/watch?v=vzENx6dTpqY" TargetMode="External"/><Relationship Id="rId1312" Type="http://schemas.openxmlformats.org/officeDocument/2006/relationships/hyperlink" Target="https://gouvernement.lu/en/actualites/toutes_actualites/communiques/2022/02-fevrier/28-bausch-ukraine.html" TargetMode="External"/><Relationship Id="rId2710" Type="http://schemas.openxmlformats.org/officeDocument/2006/relationships/hyperlink" Target="https://www.mfat.govt.nz/en/countries-and-regions/europe/ukraine/russian-invasion-of-ukraine/" TargetMode="External"/><Relationship Id="rId4468" Type="http://schemas.openxmlformats.org/officeDocument/2006/relationships/hyperlink" Target="https://www.bundesregierung.de/resource/blob/975226/2189778/cdb664abe95e6fa74802882bd66ef771/2023-05-14-liste-ukr-unterstuetzung-data.pdf?download=1" TargetMode="External"/><Relationship Id="rId2086" Type="http://schemas.openxmlformats.org/officeDocument/2006/relationships/hyperlink" Target="https://crsreports.congress.gov/product/pdf/IF/IF12305" TargetMode="External"/><Relationship Id="rId3484" Type="http://schemas.openxmlformats.org/officeDocument/2006/relationships/hyperlink" Target="https://www.bundesregierung.de/breg-en/news/military-support-ukraine-2054992" TargetMode="External"/><Relationship Id="rId4535" Type="http://schemas.openxmlformats.org/officeDocument/2006/relationships/hyperlink" Target="https://www.defense.gov/News/Releases/Release/Article/3308633/biden-administration-announces-additional-security-assistance-for-ukraine/" TargetMode="External"/><Relationship Id="rId3137" Type="http://schemas.openxmlformats.org/officeDocument/2006/relationships/hyperlink" Target="https://pm.gc.ca/en/news/news-releases/2023/02/24/supporting-ukraine-long-it-takes" TargetMode="External"/><Relationship Id="rId3551" Type="http://schemas.openxmlformats.org/officeDocument/2006/relationships/hyperlink" Target="https://www.bundesregierung.de/breg-en/news/military-support-ukraine-2054992" TargetMode="External"/><Relationship Id="rId4602" Type="http://schemas.openxmlformats.org/officeDocument/2006/relationships/hyperlink" Target="https://vlada.gov.hr/vijesti/grlic-radman-hrvatska-izdasno-i-konzistentno-pomaze-ukrajini/38083" TargetMode="External"/><Relationship Id="rId472" Type="http://schemas.openxmlformats.org/officeDocument/2006/relationships/hyperlink" Target="https://www.cbc.ca/news/politics/ukraine-m777-howitzer-russia-heavy-artillery-1.6427762" TargetMode="External"/><Relationship Id="rId2153" Type="http://schemas.openxmlformats.org/officeDocument/2006/relationships/hyperlink" Target="https://appropriations.house.gov/sites/democrats.appropriations.house.gov/files/Additional%20Ukraine%20Suplemental%20Appropriations%20Act%20Summary.pdf" TargetMode="External"/><Relationship Id="rId3204" Type="http://schemas.openxmlformats.org/officeDocument/2006/relationships/hyperlink" Target="https://english.kyodonews.net/news/2022/04/00e4cd64dc1c-japan-to-offer-protective-masks-clothing-drones-to-ukraine.html" TargetMode="External"/><Relationship Id="rId125" Type="http://schemas.openxmlformats.org/officeDocument/2006/relationships/hyperlink" Target="https://www.ukrinform.net/rubric-ato/3604150-italy-provides-ukraine-with-two-m270-systems-six-pzh-2000-about-30-selfpropelled-howitzers-media.html" TargetMode="External"/><Relationship Id="rId2220" Type="http://schemas.openxmlformats.org/officeDocument/2006/relationships/hyperlink" Target="https://appropriations.house.gov/sites/democrats.appropriations.house.gov/files/Ukraine%20Supplemental%20Summary.pdf" TargetMode="External"/><Relationship Id="rId4392" Type="http://schemas.openxmlformats.org/officeDocument/2006/relationships/hyperlink" Target="https://www.bundesregierung.de/resource/blob/975226/2189778/cdb664abe95e6fa74802882bd66ef771/2023-05-14-liste-ukr-unterstuetzung-data.pdf?download=1" TargetMode="External"/><Relationship Id="rId1986" Type="http://schemas.openxmlformats.org/officeDocument/2006/relationships/hyperlink" Target="https://crsreports.congress.gov/product/pdf/IF/IF12040" TargetMode="External"/><Relationship Id="rId4045" Type="http://schemas.openxmlformats.org/officeDocument/2006/relationships/hyperlink" Target="https://www.weaponstoukraine.com/kampane/viktor-mobile-air-defense-for-ukraine" TargetMode="External"/><Relationship Id="rId1639" Type="http://schemas.openxmlformats.org/officeDocument/2006/relationships/hyperlink" Target="https://appropriations.house.gov/sites/democrats.appropriations.house.gov/files/Additional%20Ukraine%20Suplemental%20Appropriations%20Act%20Summary.pdf" TargetMode="External"/><Relationship Id="rId3061" Type="http://schemas.openxmlformats.org/officeDocument/2006/relationships/hyperlink" Target="https://www.mod.gov.lv/lv/zinas/i-murniece-kijiva-tiekas-ar-ukrainas-aizsardzibas-ministru" TargetMode="External"/><Relationship Id="rId1706" Type="http://schemas.openxmlformats.org/officeDocument/2006/relationships/hyperlink" Target="https://crsreports.congress.gov/product/pdf/IF/IF12040" TargetMode="External"/><Relationship Id="rId4112" Type="http://schemas.openxmlformats.org/officeDocument/2006/relationships/hyperlink" Target="https://twitter.com/MoD_Estonia/status/1629927711668838400?cxt=HHwWgICx-can1Z4tAAAA" TargetMode="External"/><Relationship Id="rId3878" Type="http://schemas.openxmlformats.org/officeDocument/2006/relationships/hyperlink" Target="https://www.defense.gov/News/Releases/Release/Article/3402206/biden-administration-announces-additional-security-assistance-for-ukraine/" TargetMode="External"/><Relationship Id="rId799" Type="http://schemas.openxmlformats.org/officeDocument/2006/relationships/hyperlink" Target="https://www.defense.gov/News/Releases/Release/Article/3152071/675-million-in-additional-security-assistance-for-ukraine/" TargetMode="External"/><Relationship Id="rId2894" Type="http://schemas.openxmlformats.org/officeDocument/2006/relationships/hyperlink" Target="https://www.vlada.cz/en/media-centrum/tiskove-zpravy/czechia-sends-hundreds-of-heavy-military-systems-worth-tens-of-billions-to-ukraine-during-the-first-year-of-russian-invasion-203252/" TargetMode="External"/><Relationship Id="rId866" Type="http://schemas.openxmlformats.org/officeDocument/2006/relationships/hyperlink" Target="https://mil.in.ua/en/news/estonia-handed-over-the-second-modern-mobile-hospital-to-the-ukrainian-army/" TargetMode="External"/><Relationship Id="rId1496" Type="http://schemas.openxmlformats.org/officeDocument/2006/relationships/hyperlink" Target="https://appropriations.house.gov/sites/democrats.appropriations.house.gov/files/Ukraine%20Supplemental%20Summary.pdf" TargetMode="External"/><Relationship Id="rId2547" Type="http://schemas.openxmlformats.org/officeDocument/2006/relationships/hyperlink" Target="https://www.euractiv.com/section/politics/short_news/belgium-to-provide-e8-million-for-non-lethal-aid-to-ukraines-armed-forces/" TargetMode="External"/><Relationship Id="rId3945" Type="http://schemas.openxmlformats.org/officeDocument/2006/relationships/hyperlink" Target="https://www.defense.gov/News/Releases/Release/Article/3350958/biden-administration-announces-additional-security-assistance-for-ukraine/" TargetMode="External"/><Relationship Id="rId519" Type="http://schemas.openxmlformats.org/officeDocument/2006/relationships/hyperlink" Target="https://www.lamoncloa.gob.es/lang/en/presidente/news/paginas/2022/20220421_visit-to-ukraine.aspx" TargetMode="External"/><Relationship Id="rId1149" Type="http://schemas.openxmlformats.org/officeDocument/2006/relationships/hyperlink" Target="https://mfa.gov.cy/el/press-releases/2022/12/30/press-statement-poland-ua-generators/" TargetMode="External"/><Relationship Id="rId2961" Type="http://schemas.openxmlformats.org/officeDocument/2006/relationships/hyperlink" Target="https://ue.delegfrance.org/bilan-de-l-aide-apportee-par-la" TargetMode="External"/><Relationship Id="rId933" Type="http://schemas.openxmlformats.org/officeDocument/2006/relationships/hyperlink" Target="https://www.wfp.org/news/japan-provides-us28-million-humanitarian-food-assistance-ukraine" TargetMode="External"/><Relationship Id="rId1563" Type="http://schemas.openxmlformats.org/officeDocument/2006/relationships/hyperlink" Target="https://appropriations.house.gov/sites/democrats.appropriations.house.gov/files/Additional%20Ukraine%20Suplemental%20Appropriations%20Act%20Summary.pdf" TargetMode="External"/><Relationship Id="rId2614" Type="http://schemas.openxmlformats.org/officeDocument/2006/relationships/hyperlink" Target="https://pm.gc.ca/en/news/news-releases/2023/02/24/supporting-ukraine-long-it-takes" TargetMode="External"/><Relationship Id="rId62" Type="http://schemas.openxmlformats.org/officeDocument/2006/relationships/hyperlink" Target="https://english.radio.cz/czech-republic-sends-further-humanitarian-aid-ukraine-8752601" TargetMode="External"/><Relationship Id="rId1216" Type="http://schemas.openxmlformats.org/officeDocument/2006/relationships/hyperlink" Target="https://www.defense.gov/News/Releases/Release/Article/3227217/400-million-in-additional-assistance-for-ukraine/" TargetMode="External"/><Relationship Id="rId1423" Type="http://schemas.openxmlformats.org/officeDocument/2006/relationships/hyperlink" Target="https://appropriations.house.gov/sites/democrats.appropriations.house.gov/files/Ukraine%20Supplemental%20Summary.pdf" TargetMode="External"/><Relationship Id="rId1630" Type="http://schemas.openxmlformats.org/officeDocument/2006/relationships/hyperlink" Target="https://appropriations.house.gov/sites/democrats.appropriations.house.gov/files/Additional%20Ukraine%20Suplemental%20Appropriations%20Act%20Summary.pdf" TargetMode="External"/><Relationship Id="rId4579" Type="http://schemas.openxmlformats.org/officeDocument/2006/relationships/hyperlink" Target="https://www.reuters.com/world/europe/latvia-donates-drunk-drivers-cars-ukraines-war-effort-2023-03-09/" TargetMode="External"/><Relationship Id="rId4786" Type="http://schemas.openxmlformats.org/officeDocument/2006/relationships/hyperlink" Target="https://www.bundesregierung.de/breg-en/news/military-support-ukraine-2054992" TargetMode="External"/><Relationship Id="rId3388"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3595" Type="http://schemas.openxmlformats.org/officeDocument/2006/relationships/hyperlink" Target="https://www.eda.admin.ch/eda/de/home/das-eda/aktuell/newsuebersicht/2022/02/ukraine.html" TargetMode="External"/><Relationship Id="rId4439" Type="http://schemas.openxmlformats.org/officeDocument/2006/relationships/hyperlink" Target="https://www.bundesregierung.de/resource/blob/975226/2189778/cdb664abe95e6fa74802882bd66ef771/2023-05-14-liste-ukr-unterstuetzung-data.pdf?download=1" TargetMode="External"/><Relationship Id="rId4646" Type="http://schemas.openxmlformats.org/officeDocument/2006/relationships/hyperlink" Target="https://english.defensie.nl/latest/news/2023/04/20/netherlands-to-purchase-leopard-2-tanks-for-ukraine" TargetMode="External"/><Relationship Id="rId2197" Type="http://schemas.openxmlformats.org/officeDocument/2006/relationships/hyperlink" Target="https://appropriations.house.gov/sites/democrats.appropriations.house.gov/files/Additional%20Ukraine%20Suplemental%20Appropriations%20Act%20Summary.pdf" TargetMode="External"/><Relationship Id="rId3248" Type="http://schemas.openxmlformats.org/officeDocument/2006/relationships/hyperlink" Target="https://en.mofa.gov.tw/News_Content.aspx?n=1328&amp;sms=273&amp;s=97920" TargetMode="External"/><Relationship Id="rId3455" Type="http://schemas.openxmlformats.org/officeDocument/2006/relationships/hyperlink" Target="https://www.bundesregierung.de/breg-en/news/military-support-ukraine-2054992" TargetMode="External"/><Relationship Id="rId3662" Type="http://schemas.openxmlformats.org/officeDocument/2006/relationships/hyperlink" Target="https://web.archive.org/web/20230127053143/https:/www.government.is/topics/foreign-affairs/war-in-ukraine/" TargetMode="External"/><Relationship Id="rId4506" Type="http://schemas.openxmlformats.org/officeDocument/2006/relationships/hyperlink" Target="https://www.afad.gov.tr/turkiyeden-ukrayna-halkina-yardim-eli" TargetMode="External"/><Relationship Id="rId4713" Type="http://schemas.openxmlformats.org/officeDocument/2006/relationships/hyperlink" Target="https://www.bundesregierung.de/breg-en/news/military-support-ukraine-2054992" TargetMode="External"/><Relationship Id="rId169" Type="http://schemas.openxmlformats.org/officeDocument/2006/relationships/hyperlink" Target="https://www.mosr.sk/52244-en/bvp-1-pre-ukrajinu-su-odovzdane-leopardy-pre-nasu-obranu-pridu-uz-coskoro/" TargetMode="External"/><Relationship Id="rId376" Type="http://schemas.openxmlformats.org/officeDocument/2006/relationships/hyperlink" Target="https://www.praguemorning.cz/czech-governmenet-approves-czk-400-million-in-military-aid-for-ukraine/" TargetMode="External"/><Relationship Id="rId583" Type="http://schemas.openxmlformats.org/officeDocument/2006/relationships/hyperlink" Target="https://www.abc.net.au/news/2022-03-31/more-military-aid-defence-weapons-ukraine-zelenskyy/100955544" TargetMode="External"/><Relationship Id="rId790" Type="http://schemas.openxmlformats.org/officeDocument/2006/relationships/hyperlink" Target="https://www.defense.gov/News/Releases/Release/Article/3134457/775-million-in-additional-security-assistance-for-ukraine/" TargetMode="External"/><Relationship Id="rId205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64" Type="http://schemas.openxmlformats.org/officeDocument/2006/relationships/hyperlink" Target="https://crsreports.congress.gov/product/pdf/IF/IF12040" TargetMode="External"/><Relationship Id="rId2471" Type="http://schemas.openxmlformats.org/officeDocument/2006/relationships/hyperlink" Target="https://www.euractiv.com/section/politics/short_news/belgium-to-provide-e8-million-for-non-lethal-aid-to-ukraines-armed-forces/" TargetMode="External"/><Relationship Id="rId3108" Type="http://schemas.openxmlformats.org/officeDocument/2006/relationships/hyperlink" Target="https://www.tweedekamer.nl/kamerstukken/brieven_regering/detail?id=2022D56571&amp;did=2022D56571" TargetMode="External"/><Relationship Id="rId3315" Type="http://schemas.openxmlformats.org/officeDocument/2006/relationships/hyperlink" Target="https://www.government.se/government-policy/russias-invasion-of-ukraine/?page=3" TargetMode="External"/><Relationship Id="rId3522" Type="http://schemas.openxmlformats.org/officeDocument/2006/relationships/hyperlink" Target="https://www.bundesregierung.de/breg-en/news/military-support-ukraine-2054992" TargetMode="External"/><Relationship Id="rId236" Type="http://schemas.openxmlformats.org/officeDocument/2006/relationships/hyperlink" Target="https://www.ansa.it/sito/notizie/topnews/2022/02/27/di-maio-da-italia-110-milioni-di-euro-al-governo-di-kiev_946fac9e-f0a8-492e-9b12-7b64fefc6bac.html" TargetMode="External"/><Relationship Id="rId443" Type="http://schemas.openxmlformats.org/officeDocument/2006/relationships/hyperlink" Target="https://www.regjeringen.no/en/aktuelt/air-defense-system-to-ukraine/id2908807/" TargetMode="External"/><Relationship Id="rId650" Type="http://schemas.openxmlformats.org/officeDocument/2006/relationships/hyperlink" Target="https://www.lrt.lt/en/news-in-english/19/1702318/lithuania-among-top-15-of-ukraine-s-military-donors-mp" TargetMode="External"/><Relationship Id="rId1073" Type="http://schemas.openxmlformats.org/officeDocument/2006/relationships/hyperlink" Target="https://www.lemonde.fr/en/international/article/2022/10/12/macron-promises-air-defense-systems-for-ukraine-calls-for-putin-to-discuss-peace_6000130_4.html" TargetMode="External"/><Relationship Id="rId1280" Type="http://schemas.openxmlformats.org/officeDocument/2006/relationships/hyperlink" Target="https://www.tagesschau.de/inland/bericht-aus-berlin-lambrecht-haubitzen-101.html" TargetMode="External"/><Relationship Id="rId2124" Type="http://schemas.openxmlformats.org/officeDocument/2006/relationships/hyperlink" Target="https://crsreports.congress.gov/product/pdf/IF/IF12040" TargetMode="External"/><Relationship Id="rId2331" Type="http://schemas.openxmlformats.org/officeDocument/2006/relationships/hyperlink" Target="https://japan.kantei.go.jp/ongoingtopics/pdf/jp_stands_with_ukraine_eng.pdf" TargetMode="External"/><Relationship Id="rId303" Type="http://schemas.openxmlformats.org/officeDocument/2006/relationships/hyperlink" Target="https://twitter.com/eduardheger/status/1497624801497821188" TargetMode="External"/><Relationship Id="rId1140" Type="http://schemas.openxmlformats.org/officeDocument/2006/relationships/hyperlink" Target="https://www.tweedekamer.nl/kamerstukken/brieven_regering/detail?id=2022Z24701&amp;did=2022D53048" TargetMode="External"/><Relationship Id="rId4089" Type="http://schemas.openxmlformats.org/officeDocument/2006/relationships/hyperlink" Target="https://mkip.gov.ua/news/8816.html" TargetMode="External"/><Relationship Id="rId4296" Type="http://schemas.openxmlformats.org/officeDocument/2006/relationships/hyperlink" Target="https://www.reuters.com/world/europe/russia-pounds-ukraine-civil-infrastructure-powers-meet-provide-aid-2022-12-13/" TargetMode="External"/><Relationship Id="rId510" Type="http://schemas.openxmlformats.org/officeDocument/2006/relationships/hyperlink" Target="https://www.mfa.gov.lv/en/article/latvian-foreign-ministry-channel-eur-24000000-towards-assistance-ukraine" TargetMode="External"/><Relationship Id="rId1000" Type="http://schemas.openxmlformats.org/officeDocument/2006/relationships/hyperlink" Target="https://www.gov.uk/government/news/prime-minister-pledges-uks-unwavering-support-to-ukraine-on-visit-to-kyiv-9-april-2022" TargetMode="External"/><Relationship Id="rId1957" Type="http://schemas.openxmlformats.org/officeDocument/2006/relationships/hyperlink" Target="https://crsreports.congress.gov/product/pdf/IF/IF12040" TargetMode="External"/><Relationship Id="rId4156" Type="http://schemas.openxmlformats.org/officeDocument/2006/relationships/hyperlink" Target="https://mil.in.ua/uk/news/estoniya-nadsylaye-ukrayini-artylerijski-boyeprypasy/" TargetMode="External"/><Relationship Id="rId4363" Type="http://schemas.openxmlformats.org/officeDocument/2006/relationships/hyperlink" Target="https://www.bundesregierung.de/resource/blob/975226/2189778/cdb664abe95e6fa74802882bd66ef771/2023-05-14-liste-ukr-unterstuetzung-data.pdf?download=1" TargetMode="External"/><Relationship Id="rId4570" Type="http://schemas.openxmlformats.org/officeDocument/2006/relationships/hyperlink" Target="https://www.eurointegration.com.ua/news/2023/04/4/7159201/" TargetMode="External"/><Relationship Id="rId1817"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72" Type="http://schemas.openxmlformats.org/officeDocument/2006/relationships/hyperlink" Target="https://www.consilium.europa.eu/en/press/press-releases/2022/10/17/ukraine-council-agrees-on-further-support-under-the-european-peace-facility/" TargetMode="External"/><Relationship Id="rId4016" Type="http://schemas.openxmlformats.org/officeDocument/2006/relationships/hyperlink" Target="https://www.luxtimes.lu/en/luxembourg/luxembourg-to-provide-ukraine-more-military-aid-63eca7e8de135b9236d89779" TargetMode="External"/><Relationship Id="rId4223" Type="http://schemas.openxmlformats.org/officeDocument/2006/relationships/hyperlink" Target="https://www.romania-insider.com/romania-food-supplies-ukraine-march-2023" TargetMode="External"/><Relationship Id="rId4430" Type="http://schemas.openxmlformats.org/officeDocument/2006/relationships/hyperlink" Target="https://www.bundesregierung.de/resource/blob/975226/2189778/cdb664abe95e6fa74802882bd66ef771/2023-05-14-liste-ukr-unterstuetzung-data.pdf?download=1" TargetMode="External"/><Relationship Id="rId3032" Type="http://schemas.openxmlformats.org/officeDocument/2006/relationships/hyperlink" Target="https://twitter.com/a_anusauskas/status/1617576539377500160?cxt=HHwWgIDQqdrS5PIsAAAA" TargetMode="External"/><Relationship Id="rId160" Type="http://schemas.openxmlformats.org/officeDocument/2006/relationships/hyperlink" Target="https://www.gov.uk/government/news/uk-to-send-scores-of-artillery-guns-and-hundreds-of-drones-to-ukraine" TargetMode="External"/><Relationship Id="rId3989" Type="http://schemas.openxmlformats.org/officeDocument/2006/relationships/hyperlink" Target="https://www.premier.be/en/new-support-package-ukraine" TargetMode="External"/><Relationship Id="rId2798" Type="http://schemas.openxmlformats.org/officeDocument/2006/relationships/hyperlink" Target="https://www.defense.gov/News/Releases/Release/Article/3287992/biden-administration-announces-additional-security-assistance-for-ukraine/" TargetMode="External"/><Relationship Id="rId3849" Type="http://schemas.openxmlformats.org/officeDocument/2006/relationships/hyperlink" Target="https://www.state.gov/u-s-security-cooperation-with-ukraine/" TargetMode="External"/><Relationship Id="rId977" Type="http://schemas.openxmlformats.org/officeDocument/2006/relationships/hyperlink" Target="https://twitter.com/a_anusauskas/status/1592084804501401604" TargetMode="External"/><Relationship Id="rId2658" Type="http://schemas.openxmlformats.org/officeDocument/2006/relationships/hyperlink" Target="https://www.lamoncloa.gob.es/lang/en/gobierno/news/paginas/2022/20221221_aid-to-ukraine.aspx" TargetMode="External"/><Relationship Id="rId2865" Type="http://schemas.openxmlformats.org/officeDocument/2006/relationships/hyperlink" Target="https://crsreports.congress.gov/product/pdf/IF/IF12040" TargetMode="External"/><Relationship Id="rId3709" Type="http://schemas.openxmlformats.org/officeDocument/2006/relationships/hyperlink" Target="https://um.fi/finland-s-support-to-ukraine" TargetMode="External"/><Relationship Id="rId3916" Type="http://schemas.openxmlformats.org/officeDocument/2006/relationships/hyperlink" Target="https://www.state.gov/u-s-security-cooperation-with-ukraine/" TargetMode="External"/><Relationship Id="rId4080" Type="http://schemas.openxmlformats.org/officeDocument/2006/relationships/hyperlink" Target="https://twitter.com/oleksiireznikov/status/1598696930720116736?cxt=HHwWgMCjseyY268sAAAA" TargetMode="External"/><Relationship Id="rId837" Type="http://schemas.openxmlformats.org/officeDocument/2006/relationships/hyperlink" Target="https://www.minister.defence.gov.au/minister/rmarles/media-releases/australia-increases-support-ukraine" TargetMode="External"/><Relationship Id="rId1467" Type="http://schemas.openxmlformats.org/officeDocument/2006/relationships/hyperlink" Target="https://appropriations.house.gov/sites/democrats.appropriations.house.gov/files/Ukraine%20Supplemental%20Summary.pdf" TargetMode="External"/><Relationship Id="rId1674" Type="http://schemas.openxmlformats.org/officeDocument/2006/relationships/hyperlink" Target="https://crsreports.congress.gov/product/pdf/IF/IF12040" TargetMode="External"/><Relationship Id="rId188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18" Type="http://schemas.openxmlformats.org/officeDocument/2006/relationships/hyperlink" Target="https://mil.in.ua/en/news/belgium-made-a-decision-to-hand-over-artillery-to-ukraine-the-media/" TargetMode="External"/><Relationship Id="rId2725" Type="http://schemas.openxmlformats.org/officeDocument/2006/relationships/hyperlink" Target="https://www.regjeringen.no/en/topics/foreign-affairs/humanitarian-efforts/neighbour_support/id2908141/?expand=factbox2963912" TargetMode="External"/><Relationship Id="rId2932" Type="http://schemas.openxmlformats.org/officeDocument/2006/relationships/hyperlink" Target="https://twitter.com/Flash_news_ua/status/1602670622412529664" TargetMode="External"/><Relationship Id="rId904" Type="http://schemas.openxmlformats.org/officeDocument/2006/relationships/hyperlink" Target="https://tyrkiet.um.dk/en/news/independence-day-of-ukraine-six-months-since-the-russia-invasion" TargetMode="External"/><Relationship Id="rId1327" Type="http://schemas.openxmlformats.org/officeDocument/2006/relationships/hyperlink" Target="https://www.investor.bg/a/527-svyat/366246-balgariya-e-otpusnala-na-ukrayna-pomosht-za-448-mln-lv-ot-nachaloto-na-voynata" TargetMode="External"/><Relationship Id="rId1534" Type="http://schemas.openxmlformats.org/officeDocument/2006/relationships/hyperlink" Target="https://appropriations.house.gov/sites/democrats.appropriations.house.gov/files/Additional%20Ukraine%20Suplemental%20Appropriations%20Act%20Summary.pdf" TargetMode="External"/><Relationship Id="rId1741" Type="http://schemas.openxmlformats.org/officeDocument/2006/relationships/hyperlink" Target="https://crsreports.congress.gov/product/pdf/IF/IF12040" TargetMode="External"/><Relationship Id="rId33" Type="http://schemas.openxmlformats.org/officeDocument/2006/relationships/hyperlink" Target="https://www.bbc.com/news/world-europe-61482305" TargetMode="External"/><Relationship Id="rId1601" Type="http://schemas.openxmlformats.org/officeDocument/2006/relationships/hyperlink" Target="https://appropriations.house.gov/sites/democrats.appropriations.house.gov/files/Additional%20Ukraine%20Suplemental%20Appropriations%20Act%20Summary.pdf" TargetMode="External"/><Relationship Id="rId3499" Type="http://schemas.openxmlformats.org/officeDocument/2006/relationships/hyperlink" Target="https://www.bundesregierung.de/breg-en/news/military-support-ukraine-2054992" TargetMode="External"/><Relationship Id="rId4757" Type="http://schemas.openxmlformats.org/officeDocument/2006/relationships/hyperlink" Target="https://www.bundesregierung.de/breg-en/news/military-support-ukraine-2054992" TargetMode="External"/><Relationship Id="rId3359" Type="http://schemas.openxmlformats.org/officeDocument/2006/relationships/hyperlink" Target="https://www.mof.gov.ua/uk/news/ukraina_otrimaie_vid_kfw_150_mln_ievro_dlia_finansuvannia_sotsialnikh_vidatkiv-3453" TargetMode="External"/><Relationship Id="rId3566" Type="http://schemas.openxmlformats.org/officeDocument/2006/relationships/hyperlink" Target="https://www.bundesregierung.de/resource/blob/975226/2189778/cdb664abe95e6fa74802882bd66ef771/2023-05-14-liste-ukr-unterstuetzung-data.pdf?download=1" TargetMode="External"/><Relationship Id="rId487" Type="http://schemas.openxmlformats.org/officeDocument/2006/relationships/hyperlink" Target="https://www.regjeringen.no/en/aktuelt/additional-nok-100-million/id2911879/" TargetMode="External"/><Relationship Id="rId694" Type="http://schemas.openxmlformats.org/officeDocument/2006/relationships/hyperlink" Target="https://inews.co.uk/news/brimstone-missile-what-uk-plans-long-range-weapons-ukraine-how-work-explained-1607595" TargetMode="External"/><Relationship Id="rId2168" Type="http://schemas.openxmlformats.org/officeDocument/2006/relationships/hyperlink" Target="https://appropriations.house.gov/sites/democrats.appropriations.house.gov/files/Additional%20Ukraine%20Suplemental%20Appropriations%20Act%20Summary.pdf" TargetMode="External"/><Relationship Id="rId2375" Type="http://schemas.openxmlformats.org/officeDocument/2006/relationships/hyperlink" Target="https://www.connexionfrance.com/article/French-news/Humanitarian-ship-for-Ukraine-leaves-French-port-with-8m-of-aid" TargetMode="External"/><Relationship Id="rId3219" Type="http://schemas.openxmlformats.org/officeDocument/2006/relationships/hyperlink" Target="https://edition.cnn.com/europe/live-news/russia-ukraine-war-news-08-24-22/h_0001b50a7944fe59550a2b1042729b16" TargetMode="External"/><Relationship Id="rId3773" Type="http://schemas.openxmlformats.org/officeDocument/2006/relationships/hyperlink" Target="https://www.defense.gov/News/News-Stories/Article/Article/3318508/us-sends-ukraine-400-million-in-military-equipment/" TargetMode="External"/><Relationship Id="rId3980" Type="http://schemas.openxmlformats.org/officeDocument/2006/relationships/hyperlink" Target="https://www.burgenland.at/news-detail/humanitaere-hilfe-fuer-die-ukraine-burgenland-uebergibt-vier-einsatzfahrzeuge/" TargetMode="External"/><Relationship Id="rId4617" Type="http://schemas.openxmlformats.org/officeDocument/2006/relationships/hyperlink" Target="https://web.archive.org/web/20230524183203/https:/www.defesa.gov.pt/pt/comunicacao/documentos/Lists/PDEFINTER_DocumentoLookupList/apoio_militar_Portugal_Ucrania_20230503.pdf" TargetMode="External"/><Relationship Id="rId4824" Type="http://schemas.openxmlformats.org/officeDocument/2006/relationships/hyperlink" Target="https://www.bundesregierung.de/breg-en/news/military-support-ukraine-2054992" TargetMode="External"/><Relationship Id="rId347" Type="http://schemas.openxmlformats.org/officeDocument/2006/relationships/hyperlink" Target="https://twitter.com/eduardheger/status/1512777474828079109" TargetMode="External"/><Relationship Id="rId1184" Type="http://schemas.openxmlformats.org/officeDocument/2006/relationships/hyperlink" Target="https://www.euractiv.com/section/politics/news/finland-sends-11th-military-aid-package-to-ukraine/" TargetMode="External"/><Relationship Id="rId2028" Type="http://schemas.openxmlformats.org/officeDocument/2006/relationships/hyperlink" Target="https://crsreports.congress.gov/product/pdf/IF/IF12040" TargetMode="External"/><Relationship Id="rId2582" Type="http://schemas.openxmlformats.org/officeDocument/2006/relationships/hyperlink" Target="https://www.premier.be/sites/default/files/articles/BE%20support%20militaire.pdf" TargetMode="External"/><Relationship Id="rId3426" Type="http://schemas.openxmlformats.org/officeDocument/2006/relationships/hyperlink" Target="https://www.bundesregierung.de/breg-en/news/military-support-ukraine-2054992" TargetMode="External"/><Relationship Id="rId3633" Type="http://schemas.openxmlformats.org/officeDocument/2006/relationships/hyperlink" Target="https://www.bundesregierung.de/breg-en/news/military-support-ukraine-2054992" TargetMode="External"/><Relationship Id="rId3840" Type="http://schemas.openxmlformats.org/officeDocument/2006/relationships/hyperlink" Target="https://www.defense.gov/News/Releases/Release/Article/3367924/biden-administration-announces-additional-security-assistance-for-ukraine/" TargetMode="External"/><Relationship Id="rId554" Type="http://schemas.openxmlformats.org/officeDocument/2006/relationships/hyperlink" Target="https://www.eib.org/en/press/news/joint-statement-of-heads-of-international-financial-institutions-with-programs-in-ukraine-and-neighboring-countries" TargetMode="External"/><Relationship Id="rId761" Type="http://schemas.openxmlformats.org/officeDocument/2006/relationships/hyperlink" Target="https://twitter.com/Lithuanian_MoD/status/1567446474312540160?ref_src=twsrc%5Etfw%7Ctwcamp%5Etweetembed%7Ctwterm%5E1567446474312540160%7Ctwgr%5E4672a6b5ec4c4f6cf0f7166371f51fb78182c17f%7Ctwcon%5Es1_&amp;ref_url=https%3A%2F%2Fwww.eurointegration.com.ua%2Fnews%2F2022%2F09%2F7%2F7146332%2F" TargetMode="External"/><Relationship Id="rId1391" Type="http://schemas.openxmlformats.org/officeDocument/2006/relationships/hyperlink" Target="https://appropriations.house.gov/sites/democrats.appropriations.house.gov/files/Ukraine%20Supplemental%20Summary.pdf" TargetMode="External"/><Relationship Id="rId2235" Type="http://schemas.openxmlformats.org/officeDocument/2006/relationships/hyperlink" Target="https://appropriations.house.gov/sites/democrats.appropriations.house.gov/files/Ukraine%20Supplemental%20Summary.pdf" TargetMode="External"/><Relationship Id="rId2442" Type="http://schemas.openxmlformats.org/officeDocument/2006/relationships/hyperlink" Target="https://mocr.army.cz/informacni-servis/zpravodajstvi/vlada-schvalila-dalsi-dar-v-podobe-vojenskeho-materialu-ukrajine-233798/" TargetMode="External"/><Relationship Id="rId3700" Type="http://schemas.openxmlformats.org/officeDocument/2006/relationships/hyperlink" Target="https://twitter.com/AnnikaSaarikko/status/1519361293823746049?s=20&amp;t=bCGlZWqdKQAC7geTzWxcRw" TargetMode="External"/><Relationship Id="rId207" Type="http://schemas.openxmlformats.org/officeDocument/2006/relationships/hyperlink" Target="https://researchbriefings.files.parliament.uk/documents/CBP-9477/CBP-9477.pdf" TargetMode="External"/><Relationship Id="rId414" Type="http://schemas.openxmlformats.org/officeDocument/2006/relationships/hyperlink" Target="https://english.sta.si/3031756/slovenia-to-send-additional-material-aid-to-ukraine" TargetMode="External"/><Relationship Id="rId621" Type="http://schemas.openxmlformats.org/officeDocument/2006/relationships/hyperlink" Target="https://hr.n1info.com/svijet/ek-daje-200-mil-eura-za-ukrajince-plenkovic-hrvatska-ce-pomagati-iz-principa/" TargetMode="External"/><Relationship Id="rId1044" Type="http://schemas.openxmlformats.org/officeDocument/2006/relationships/hyperlink" Target="https://www.wfp.org/news/japan-provides-us28-million-humanitarian-food-assistance-ukraine" TargetMode="External"/><Relationship Id="rId1251" Type="http://schemas.openxmlformats.org/officeDocument/2006/relationships/hyperlink" Target="https://www.stripes.com/theaters/us/2022-05-23/ukraine-russia-war-military-weapons-6104132.html" TargetMode="External"/><Relationship Id="rId2302" Type="http://schemas.openxmlformats.org/officeDocument/2006/relationships/hyperlink" Target="https://appropriations.house.gov/sites/democrats.appropriations.house.gov/files/Summary%20Continuing%20Appropriations%20and%20Ukraine%20Supplemental%20Appropriations%20Act%202023.pdf" TargetMode="External"/><Relationship Id="rId1111" Type="http://schemas.openxmlformats.org/officeDocument/2006/relationships/hyperlink" Target="https://pm.gc.ca/en/news/news-releases/2022/11/14/prime-minister-announces-additional-military-assistance-ukraine-and" TargetMode="External"/><Relationship Id="rId4267" Type="http://schemas.openxmlformats.org/officeDocument/2006/relationships/hyperlink" Target="https://www.pravda.com.ua/eng/news/2023/04/5/7396598/" TargetMode="External"/><Relationship Id="rId4474" Type="http://schemas.openxmlformats.org/officeDocument/2006/relationships/hyperlink" Target="https://www.bundesregierung.de/resource/blob/975226/2189778/cdb664abe95e6fa74802882bd66ef771/2023-05-14-liste-ukr-unterstuetzung-data.pdf?download=1" TargetMode="External"/><Relationship Id="rId4681" Type="http://schemas.openxmlformats.org/officeDocument/2006/relationships/hyperlink" Target="https://www.bundesregierung.de/breg-en/news/military-support-ukraine-2054992" TargetMode="External"/><Relationship Id="rId3076" Type="http://schemas.openxmlformats.org/officeDocument/2006/relationships/hyperlink" Target="https://www.reuters.com/world/europe/polish-leopard-tanks-are-already-ukraine-defence-minister-says-2023-02-24/" TargetMode="External"/><Relationship Id="rId3283" Type="http://schemas.openxmlformats.org/officeDocument/2006/relationships/hyperlink" Target="https://www.einnews.com/pr_news/563940974/lithuania-allocates-1-8-mln-euro-worth-aid-to-ukraine" TargetMode="External"/><Relationship Id="rId3490" Type="http://schemas.openxmlformats.org/officeDocument/2006/relationships/hyperlink" Target="https://www.bundesregierung.de/breg-en/news/military-support-ukraine-2054992" TargetMode="External"/><Relationship Id="rId4127" Type="http://schemas.openxmlformats.org/officeDocument/2006/relationships/hyperlink" Target="https://www.armyrecognition.com/defense_news_march_2023_global_security_army_industry/estonia_to_send_more_sako_sniper_rifles_and_special_forces_equipment_to_ukraine.html" TargetMode="External"/><Relationship Id="rId4334" Type="http://schemas.openxmlformats.org/officeDocument/2006/relationships/hyperlink" Target="https://www.bundesregierung.de/resource/blob/975226/2189778/cdb664abe95e6fa74802882bd66ef771/2023-05-14-liste-ukr-unterstuetzung-data.pdf?download=1" TargetMode="External"/><Relationship Id="rId4541" Type="http://schemas.openxmlformats.org/officeDocument/2006/relationships/hyperlink" Target="https://www.defense.gov/News/Releases/Release/Article/3308633/biden-administration-announces-additional-security-assistance-for-ukraine/" TargetMode="External"/><Relationship Id="rId1928" Type="http://schemas.openxmlformats.org/officeDocument/2006/relationships/hyperlink" Target="https://appropriations.house.gov/sites/democrats.appropriations.house.gov/files/Ukraine%20Supplemental%20Summary%20FY23.pdf" TargetMode="External"/><Relationship Id="rId2092" Type="http://schemas.openxmlformats.org/officeDocument/2006/relationships/hyperlink" Target="https://crsreports.congress.gov/product/pdf/IF/IF12040" TargetMode="External"/><Relationship Id="rId3143" Type="http://schemas.openxmlformats.org/officeDocument/2006/relationships/hyperlink" Target="https://www.worldbank.org/en/country/ukraine/brief/world-bank-emergency-financing-package-for-ukraine" TargetMode="External"/><Relationship Id="rId3350" Type="http://schemas.openxmlformats.org/officeDocument/2006/relationships/hyperlink" Target="https://time.com/6244479/himars-rockets-ukraine-russia/" TargetMode="External"/><Relationship Id="rId271" Type="http://schemas.openxmlformats.org/officeDocument/2006/relationships/hyperlink" Target="https://www.txtreport.com/news/2022-03-10-canada-will-provide-%24-50-million-in-military-assistance-to-ukraine.S1BRwmvb5.html" TargetMode="External"/><Relationship Id="rId3003" Type="http://schemas.openxmlformats.org/officeDocument/2006/relationships/hyperlink" Target="https://www.portugal.gov.pt/pt/gc23/comunicacao/comunicado?i=portugal-vai-enviar-mais-apoio-militar-a-ucrania" TargetMode="External"/><Relationship Id="rId4401" Type="http://schemas.openxmlformats.org/officeDocument/2006/relationships/hyperlink" Target="https://www.bundesregierung.de/resource/blob/975226/2189778/cdb664abe95e6fa74802882bd66ef771/2023-05-14-liste-ukr-unterstuetzung-data.pdf?download=1" TargetMode="External"/><Relationship Id="rId131" Type="http://schemas.openxmlformats.org/officeDocument/2006/relationships/hyperlink" Target="https://www.facebook.com/LVIVDSNS/posts/pfbid0Kh4LzoSej4TroK3tNk9nUGzRfwB9sFeaRPgWP94cdzQsv1ChVf42NgPiSmZBK6wMl" TargetMode="External"/><Relationship Id="rId3210" Type="http://schemas.openxmlformats.org/officeDocument/2006/relationships/hyperlink" Target="https://www.gov.uk/government/news/uk-to-provide-1000-more-surface-to-air-missiles-to-ukraine" TargetMode="External"/><Relationship Id="rId2769" Type="http://schemas.openxmlformats.org/officeDocument/2006/relationships/hyperlink" Target="https://www.defense.gov/News/Releases/Release/Article/3272866/biden-administration-announces-additional-security-assistance-for-ukraine/" TargetMode="External"/><Relationship Id="rId2976" Type="http://schemas.openxmlformats.org/officeDocument/2006/relationships/hyperlink" Target="https://www.ansa.it/english/news/politics/2023/02/15/we-stand-by-ukraine-says-tajani-after-berlusconi-row_825d93ee-66b4-49ae-a495-17318a9798a2.html" TargetMode="External"/><Relationship Id="rId948" Type="http://schemas.openxmlformats.org/officeDocument/2006/relationships/hyperlink" Target="https://www.interieur.gouv.fr/actualites/dossiers/situation-en-ukraine/solidarite-nationale-envers-lukraine-second-convoi-de" TargetMode="External"/><Relationship Id="rId1578" Type="http://schemas.openxmlformats.org/officeDocument/2006/relationships/hyperlink" Target="https://appropriations.house.gov/sites/democrats.appropriations.house.gov/files/Additional%20Ukraine%20Suplemental%20Appropriations%20Act%20Summary.pdf" TargetMode="External"/><Relationship Id="rId1785" Type="http://schemas.openxmlformats.org/officeDocument/2006/relationships/hyperlink" Target="https://crsreports.congress.gov/product/pdf/IF/IF12040" TargetMode="External"/><Relationship Id="rId1992" Type="http://schemas.openxmlformats.org/officeDocument/2006/relationships/hyperlink" Target="https://crsreports.congress.gov/product/pdf/IF/IF12040" TargetMode="External"/><Relationship Id="rId2629" Type="http://schemas.openxmlformats.org/officeDocument/2006/relationships/hyperlink" Target="https://twitter.com/a_anusauskas/status/1594701256463110144" TargetMode="External"/><Relationship Id="rId2836" Type="http://schemas.openxmlformats.org/officeDocument/2006/relationships/hyperlink" Target="https://crsreports.congress.gov/product/pdf/IF/IF12040" TargetMode="External"/><Relationship Id="rId4191" Type="http://schemas.openxmlformats.org/officeDocument/2006/relationships/hyperlink" Target="https://euromaidanpress.com/2022/11/05/italy-set-to-approve-sixth-military-aid-package-for-ukraine-italian-defense-minister/" TargetMode="External"/><Relationship Id="rId77" Type="http://schemas.openxmlformats.org/officeDocument/2006/relationships/hyperlink" Target="https://kyivindependent.com/uncategorized/poland-has-provided-ukraine-with-weapons-worth-1-6-billion/" TargetMode="External"/><Relationship Id="rId808" Type="http://schemas.openxmlformats.org/officeDocument/2006/relationships/hyperlink" Target="https://www.defense.gov/News/Releases/Release/Article/3160503/600-million-in-additional-security-assistance-for-ukraine/" TargetMode="External"/><Relationship Id="rId1438" Type="http://schemas.openxmlformats.org/officeDocument/2006/relationships/hyperlink" Target="https://appropriations.house.gov/sites/democrats.appropriations.house.gov/files/Ukraine%20Supplemental%20Summary.pdf" TargetMode="External"/><Relationship Id="rId1645" Type="http://schemas.openxmlformats.org/officeDocument/2006/relationships/hyperlink" Target="https://appropriations.house.gov/sites/democrats.appropriations.house.gov/files/Additional%20Ukraine%20Suplemental%20Appropriations%20Act%20Summary.pdf" TargetMode="External"/><Relationship Id="rId4051" Type="http://schemas.openxmlformats.org/officeDocument/2006/relationships/hyperlink" Target="https://www.weaponstoukraine.com/kampane/viktor-mobile-air-defense-for-ukraine" TargetMode="External"/><Relationship Id="rId1852"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03" Type="http://schemas.openxmlformats.org/officeDocument/2006/relationships/hyperlink" Target="https://english.nv.ua/nation/czech-republic-prepares-new-military-aid-package-for-ukraine-50278050.html" TargetMode="External"/><Relationship Id="rId1505" Type="http://schemas.openxmlformats.org/officeDocument/2006/relationships/hyperlink" Target="https://appropriations.house.gov/sites/democrats.appropriations.house.gov/files/Ukraine%20Supplemental%20Summary.pdf" TargetMode="External"/><Relationship Id="rId1712" Type="http://schemas.openxmlformats.org/officeDocument/2006/relationships/hyperlink" Target="https://crsreports.congress.gov/product/pdf/IF/IF12040" TargetMode="External"/><Relationship Id="rId3677" Type="http://schemas.openxmlformats.org/officeDocument/2006/relationships/hyperlink" Target="https://via.ritzau.dk/pressemeddelelse/danmark-sender-storste-donationspakke-til-ukraine-til-dato?publisherId=2012662&amp;releaseId=13679219&amp;lang=da" TargetMode="External"/><Relationship Id="rId3884" Type="http://schemas.openxmlformats.org/officeDocument/2006/relationships/hyperlink" Target="https://www.defense.gov/News/Releases/Release/Article/3411804/biden-administration-announces-additional-security-assistance-for-ukraine/" TargetMode="External"/><Relationship Id="rId4728" Type="http://schemas.openxmlformats.org/officeDocument/2006/relationships/hyperlink" Target="https://www.bundesregierung.de/breg-en/news/military-support-ukraine-2054992" TargetMode="External"/><Relationship Id="rId598" Type="http://schemas.openxmlformats.org/officeDocument/2006/relationships/hyperlink" Target="https://government.se/press-releases/2022/04/sweden-supporting-ukraine-with-equipment-to-secure-the-countrys-energy-supply/" TargetMode="External"/><Relationship Id="rId2279" Type="http://schemas.openxmlformats.org/officeDocument/2006/relationships/hyperlink" Target="https://crsreports.congress.gov/product/pdf/IF/IF12040" TargetMode="External"/><Relationship Id="rId2486" Type="http://schemas.openxmlformats.org/officeDocument/2006/relationships/hyperlink" Target="https://www.brusselstimes.com/290771/belgium-to-give-e12-million-in-military-aid-to-ukraine" TargetMode="External"/><Relationship Id="rId2693" Type="http://schemas.openxmlformats.org/officeDocument/2006/relationships/hyperlink" Target="https://www.abc.net.au/news/2023-02-23/australia-pledges-drones-ukraine-war-first-anniversary/102016614" TargetMode="External"/><Relationship Id="rId3537" Type="http://schemas.openxmlformats.org/officeDocument/2006/relationships/hyperlink" Target="https://www.bundesregierung.de/breg-en/news/military-support-ukraine-2054992" TargetMode="External"/><Relationship Id="rId3744" Type="http://schemas.openxmlformats.org/officeDocument/2006/relationships/hyperlink" Target="https://www.government.se/articles/2023/05/sweden-and-uk-cooperating-on-increased-military-support-to-ukraine/" TargetMode="External"/><Relationship Id="rId3951" Type="http://schemas.openxmlformats.org/officeDocument/2006/relationships/hyperlink" Target="https://www.state.gov/u-s-security-cooperation-with-ukraine/" TargetMode="External"/><Relationship Id="rId458" Type="http://schemas.openxmlformats.org/officeDocument/2006/relationships/hyperlink" Target="https://reliefweb.int/report/ukraine/korea-provide-humanitarian-assistance-people-ukraine" TargetMode="External"/><Relationship Id="rId665" Type="http://schemas.openxmlformats.org/officeDocument/2006/relationships/hyperlink" Target="https://www.kmu.gov.ua/en/news/minfin-ukrayina-otrimala-1-mlrd-kanadskih-dolariv-vid-kanadi" TargetMode="External"/><Relationship Id="rId872" Type="http://schemas.openxmlformats.org/officeDocument/2006/relationships/hyperlink" Target="https://www.bbc.com/news/uk-61990479" TargetMode="External"/><Relationship Id="rId1088" Type="http://schemas.openxmlformats.org/officeDocument/2006/relationships/hyperlink" Target="https://appropriations.house.gov/sites/democrats.appropriations.house.gov/files/Additional%20Ukraine%20Suplemental%20Appropriations%20Act%20Summary.pdf" TargetMode="External"/><Relationship Id="rId1295" Type="http://schemas.openxmlformats.org/officeDocument/2006/relationships/hyperlink" Target="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 TargetMode="External"/><Relationship Id="rId2139" Type="http://schemas.openxmlformats.org/officeDocument/2006/relationships/hyperlink" Target="https://crsreports.congress.gov/product/pdf/IF/IF12040" TargetMode="External"/><Relationship Id="rId2346" Type="http://schemas.openxmlformats.org/officeDocument/2006/relationships/hyperlink" Target="https://news.err.ee/1608555886/estonia-s-220-million-military-aid-to-ukraine-substantially-diversified" TargetMode="External"/><Relationship Id="rId2553" Type="http://schemas.openxmlformats.org/officeDocument/2006/relationships/hyperlink" Target="https://www.brusselstimes.com/290771/belgium-to-give-e12-million-in-military-aid-to-ukraine" TargetMode="External"/><Relationship Id="rId2760" Type="http://schemas.openxmlformats.org/officeDocument/2006/relationships/hyperlink" Target="https://crsreports.congress.gov/product/pdf/IF/IF12040" TargetMode="External"/><Relationship Id="rId3604" Type="http://schemas.openxmlformats.org/officeDocument/2006/relationships/hyperlink" Target="https://web.archive.org/web/20220809122305/https:/www.ukrinform.net/rubric-ato/3546708-armed-forces-receive-first-batch-of-50-kirpi-armored-vehicles-from-turkey.html" TargetMode="External"/><Relationship Id="rId3811" Type="http://schemas.openxmlformats.org/officeDocument/2006/relationships/hyperlink" Target="https://www.state.gov/u-s-security-cooperation-with-ukraine/" TargetMode="External"/><Relationship Id="rId318" Type="http://schemas.openxmlformats.org/officeDocument/2006/relationships/hyperlink" Target="https://www.aa.com.tr/en/europe/spain-to-send-weapons-to-ukrainian-forces/2520902" TargetMode="External"/><Relationship Id="rId525" Type="http://schemas.openxmlformats.org/officeDocument/2006/relationships/hyperlink" Target="https://twitter.com/MinColonna/status/1531344296191868928" TargetMode="External"/><Relationship Id="rId732" Type="http://schemas.openxmlformats.org/officeDocument/2006/relationships/hyperlink" Target="https://www.ilfattoquotidiano.it/2022/07/27/armi-allucraina-ok-del-copasir-al-quarto-decreto-sullinvio-aderente-alle-indicazioni-del-parlamento-la-lista-e-sempre-segreta/6744667/" TargetMode="External"/><Relationship Id="rId1155" Type="http://schemas.openxmlformats.org/officeDocument/2006/relationships/hyperlink" Target="https://kyivindependent.com/news-feed/estonia-to-send-ukraine-new-military-aid-package" TargetMode="External"/><Relationship Id="rId1362"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06" Type="http://schemas.openxmlformats.org/officeDocument/2006/relationships/hyperlink" Target="https://appropriations.house.gov/sites/democrats.appropriations.house.gov/files/Ukraine%20Supplemental%20Summary.pdf" TargetMode="External"/><Relationship Id="rId2413" Type="http://schemas.openxmlformats.org/officeDocument/2006/relationships/hyperlink" Target="https://www.wsj.com/livecoverage/russia-ukraine-latest-news-2022-04-27/card/australia-to-provide-ukraine-with-heavy-artillery-5L5Zamjyc0YMpRRITrcw" TargetMode="External"/><Relationship Id="rId2620"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1015" Type="http://schemas.openxmlformats.org/officeDocument/2006/relationships/hyperlink" Target="https://en.kriseinformation.dk/denmarks-reactions/denmarks-contributions" TargetMode="External"/><Relationship Id="rId1222" Type="http://schemas.openxmlformats.org/officeDocument/2006/relationships/hyperlink" Target="https://www.polskieradio.pl/398/9724/Artykul/2948128," TargetMode="External"/><Relationship Id="rId4378" Type="http://schemas.openxmlformats.org/officeDocument/2006/relationships/hyperlink" Target="https://www.bundesregierung.de/resource/blob/975226/2189778/cdb664abe95e6fa74802882bd66ef771/2023-05-14-liste-ukr-unterstuetzung-data.pdf?download=1" TargetMode="External"/><Relationship Id="rId4585" Type="http://schemas.openxmlformats.org/officeDocument/2006/relationships/hyperlink" Target="https://www.government.se/articles/2023/01/heavy-advanced-weapons-to-ukraine/" TargetMode="External"/><Relationship Id="rId3187" Type="http://schemas.openxmlformats.org/officeDocument/2006/relationships/hyperlink" Target="https://um.dk/en/foreign-policy/danish-support-for-ukraine" TargetMode="External"/><Relationship Id="rId3394"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4238" Type="http://schemas.openxmlformats.org/officeDocument/2006/relationships/hyperlink" Target="https://grapevine.is/news/2022/08/15/iceland-to-lead-demining-training-for-ukraine/" TargetMode="External"/><Relationship Id="rId4792" Type="http://schemas.openxmlformats.org/officeDocument/2006/relationships/hyperlink" Target="https://www.bundesregierung.de/breg-en/news/military-support-ukraine-2054992" TargetMode="External"/><Relationship Id="rId3047" Type="http://schemas.openxmlformats.org/officeDocument/2006/relationships/hyperlink" Target="https://www.mk.gov.lv/en/latvia-supports-ukraine" TargetMode="External"/><Relationship Id="rId4445" Type="http://schemas.openxmlformats.org/officeDocument/2006/relationships/hyperlink" Target="https://www.bundesregierung.de/resource/blob/975226/2189778/cdb664abe95e6fa74802882bd66ef771/2023-05-14-liste-ukr-unterstuetzung-data.pdf?download=1" TargetMode="External"/><Relationship Id="rId4652" Type="http://schemas.openxmlformats.org/officeDocument/2006/relationships/hyperlink" Target="https://www.rtp.pt/madeira/politica/portugal-promete-ajuda-de-350-milhoes-a-ucrania_116460" TargetMode="External"/><Relationship Id="rId175" Type="http://schemas.openxmlformats.org/officeDocument/2006/relationships/hyperlink" Target="https://www.youtube.com/watch?v=iw2OnEkr_Do&amp;ab_channel=%D0%A4%D0%B0%D0%BA%D1%82%D0%B8ICTV" TargetMode="External"/><Relationship Id="rId3254" Type="http://schemas.openxmlformats.org/officeDocument/2006/relationships/hyperlink" Target="https://greekreporter.com/2022/04/13/humanitarian-aid-ukraine-greece/" TargetMode="External"/><Relationship Id="rId3461" Type="http://schemas.openxmlformats.org/officeDocument/2006/relationships/hyperlink" Target="https://www.bundesregierung.de/breg-en/news/military-support-ukraine-2054992" TargetMode="External"/><Relationship Id="rId4305" Type="http://schemas.openxmlformats.org/officeDocument/2006/relationships/hyperlink" Target="https://www.lesechos.fr/monde/europe/la-france-va-envoyer-des-blindes-et-des-chars-legers-a-lukraine-1943338" TargetMode="External"/><Relationship Id="rId4512" Type="http://schemas.openxmlformats.org/officeDocument/2006/relationships/hyperlink" Target="https://www.luxtimes.lu/en/luxembourg/luxembourg-to-provide-ukraine-more-military-aid-63eca7e8de135b9236d89779" TargetMode="External"/><Relationship Id="rId382" Type="http://schemas.openxmlformats.org/officeDocument/2006/relationships/hyperlink" Target="https://www.worldbank.org/en/news/press-release/2022/03/07/world-bank-mobilizes-an-emergency-financing-package-of-over-700-million-for-ukraine" TargetMode="External"/><Relationship Id="rId2063" Type="http://schemas.openxmlformats.org/officeDocument/2006/relationships/hyperlink" Target="https://appropriations.house.gov/sites/democrats.appropriations.house.gov/files/Ukraine%20Supplemental%20Summary%20FY23.pdf" TargetMode="External"/><Relationship Id="rId2270" Type="http://schemas.openxmlformats.org/officeDocument/2006/relationships/hyperlink" Target="https://crsreports.congress.gov/product/pdf/IF/IF12040" TargetMode="External"/><Relationship Id="rId3114" Type="http://schemas.openxmlformats.org/officeDocument/2006/relationships/hyperlink" Target="https://www.swissinfo.ch/eng/politics/swiss-to-send-chf100-million-in-aid-to-help-ukraine-get-through-winter/48025666" TargetMode="External"/><Relationship Id="rId3321" Type="http://schemas.openxmlformats.org/officeDocument/2006/relationships/hyperlink" Target="https://de.ambafrance.org/Bilan-de-l-aide-apportee-par-la-France-a-l-Ukraine-fevrier-2023" TargetMode="External"/><Relationship Id="rId242" Type="http://schemas.openxmlformats.org/officeDocument/2006/relationships/hyperlink" Target="https://www.startmag.it/innovazione/armi-italia-ucraina/" TargetMode="External"/><Relationship Id="rId2130" Type="http://schemas.openxmlformats.org/officeDocument/2006/relationships/hyperlink" Target="https://crsreports.congress.gov/product/pdf/IF/IF12040" TargetMode="External"/><Relationship Id="rId102" Type="http://schemas.openxmlformats.org/officeDocument/2006/relationships/hyperlink" Target="https://twitter.com/oleksiireznikov/status/1569670474841427971" TargetMode="External"/><Relationship Id="rId1689" Type="http://schemas.openxmlformats.org/officeDocument/2006/relationships/hyperlink" Target="https://crsreports.congress.gov/product/pdf/IF/IF12040" TargetMode="External"/><Relationship Id="rId4095" Type="http://schemas.openxmlformats.org/officeDocument/2006/relationships/hyperlink" Target="https://www.ukrinform.net/rubric-ato/3692865-cyprus-to-offer-ukraine-technical-assistance-in-demining.html" TargetMode="External"/><Relationship Id="rId1896" Type="http://schemas.openxmlformats.org/officeDocument/2006/relationships/hyperlink" Target="https://appropriations.house.gov/sites/democrats.appropriations.house.gov/files/Ukraine%20Supplemental%20Summary%20FY23.pdf" TargetMode="External"/><Relationship Id="rId2947" Type="http://schemas.openxmlformats.org/officeDocument/2006/relationships/hyperlink" Target="https://www.facebook.com/GeneralStaff.ua/posts/pfbid0b8jsrAE3g5NdUCCGae2f8TP7nFcb6Zp6uq4Q89akx5RkW6EnREQrxGLAugd4qCiWl" TargetMode="External"/><Relationship Id="rId4162" Type="http://schemas.openxmlformats.org/officeDocument/2006/relationships/hyperlink" Target="https://twitter.com/UrmasReinsalu/status/1554520335587938304?ref_src=twsrc%5Etfw%7Ctwcamp%5Etweetembed%7Ctwterm%5E1554520335587938304%7Ctwgr%5Ee825fdb7ad984a8d5ed6d86b7eff30b88c845343%7Ctwcon%5Es1_&amp;ref_url=https%3A%2F%2Fnews.err.ee%2F1608674068%2Festonian-fm-visits-ukraine-lays-new-kindergarten-cornerstone-in-zhytomyr" TargetMode="External"/><Relationship Id="rId919" Type="http://schemas.openxmlformats.org/officeDocument/2006/relationships/hyperlink" Target="https://www.defmin.fi/en/topical/press_releases_and_news/finland_sends_more_defence_materiel_assistance_to_ukraine.12834.news" TargetMode="External"/><Relationship Id="rId1549" Type="http://schemas.openxmlformats.org/officeDocument/2006/relationships/hyperlink" Target="https://appropriations.house.gov/sites/democrats.appropriations.house.gov/files/Additional%20Ukraine%20Suplemental%20Appropriations%20Act%20Summary.pdf" TargetMode="External"/><Relationship Id="rId1756" Type="http://schemas.openxmlformats.org/officeDocument/2006/relationships/hyperlink" Target="https://crsreports.congress.gov/product/pdf/IF/IF12040" TargetMode="External"/><Relationship Id="rId1963" Type="http://schemas.openxmlformats.org/officeDocument/2006/relationships/hyperlink" Target="https://crsreports.congress.gov/product/pdf/IF/IF12040" TargetMode="External"/><Relationship Id="rId2807" Type="http://schemas.openxmlformats.org/officeDocument/2006/relationships/hyperlink" Target="https://www.defense.gov/News/Releases/Release/Article/3287992/biden-administration-announces-additional-security-assistance-for-ukraine/" TargetMode="External"/><Relationship Id="rId4022" Type="http://schemas.openxmlformats.org/officeDocument/2006/relationships/hyperlink" Target="https://www.defensie.nl/onderwerpen/oostflank-navo-gebied/militaire-steun-aan-oekraine" TargetMode="External"/><Relationship Id="rId48" Type="http://schemas.openxmlformats.org/officeDocument/2006/relationships/hyperlink" Target="https://www.vlada.cz/cz/media-centrum/aktualne/vlada-schvalila-dalsi-dar-v-podobe-vojenskeho-materialu-ukrajine-194585/" TargetMode="External"/><Relationship Id="rId1409" Type="http://schemas.openxmlformats.org/officeDocument/2006/relationships/hyperlink" Target="https://appropriations.house.gov/sites/democrats.appropriations.house.gov/files/Ukraine%20Supplemental%20Summary.pdf" TargetMode="External"/><Relationship Id="rId1616" Type="http://schemas.openxmlformats.org/officeDocument/2006/relationships/hyperlink" Target="https://appropriations.house.gov/sites/democrats.appropriations.house.gov/files/Additional%20Ukraine%20Suplemental%20Appropriations%20Act%20Summary.pdf" TargetMode="External"/><Relationship Id="rId1823" Type="http://schemas.openxmlformats.org/officeDocument/2006/relationships/hyperlink" Target="https://appropriations.house.gov/sites/democrats.appropriations.house.gov/files/Summary%20Continuing%20Appropriations%20and%20Ukraine%20Supplemental%20Appropriations%20Act%202023.pdf" TargetMode="External"/><Relationship Id="rId3788" Type="http://schemas.openxmlformats.org/officeDocument/2006/relationships/hyperlink" Target="https://www.state.gov/u-s-security-cooperation-with-ukraine/" TargetMode="External"/><Relationship Id="rId3995" Type="http://schemas.openxmlformats.org/officeDocument/2006/relationships/hyperlink" Target="https://www.canada.ca/en/department-national-defence/campaigns/canadian-military-support-to-ukraine.html" TargetMode="External"/><Relationship Id="rId4839"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97" Type="http://schemas.openxmlformats.org/officeDocument/2006/relationships/hyperlink" Target="https://www.premier.be/sites/default/files/articles/BE%20support%20militaire.pdf" TargetMode="External"/><Relationship Id="rId3648" Type="http://schemas.openxmlformats.org/officeDocument/2006/relationships/hyperlink" Target="https://www.ukrinform.net/rubric-ato/3638575-iceland-transfers-about-12000-pieces-of-winter-clothing-to-ukrainian-armed-forces.html" TargetMode="External"/><Relationship Id="rId3855" Type="http://schemas.openxmlformats.org/officeDocument/2006/relationships/hyperlink" Target="https://www.state.gov/u-s-security-cooperation-with-ukraine/" TargetMode="External"/><Relationship Id="rId569" Type="http://schemas.openxmlformats.org/officeDocument/2006/relationships/hyperlink" Target="https://www.government.se/press-releases/2022/06/additional-amending-budget-with-further-support-to-ukraine/" TargetMode="External"/><Relationship Id="rId776" Type="http://schemas.openxmlformats.org/officeDocument/2006/relationships/hyperlink" Target="https://www.regjeringen.no/en/aktuelt/donerer-hellfire-missiler-og-nattoptikk-til-ukraina/id2926713/" TargetMode="External"/><Relationship Id="rId983" Type="http://schemas.openxmlformats.org/officeDocument/2006/relationships/hyperlink" Target="https://twitter.com/a_anusauskas/status/1575131983499362304" TargetMode="External"/><Relationship Id="rId1199" Type="http://schemas.openxmlformats.org/officeDocument/2006/relationships/hyperlink" Target="https://appropriations.house.gov/sites/democrats.appropriations.house.gov/files/Ukraine%20Supplemental%20Summary.pdf" TargetMode="External"/><Relationship Id="rId2457" Type="http://schemas.openxmlformats.org/officeDocument/2006/relationships/hyperlink" Target="https://mil.in.ua/en/news/belgium-made-a-decision-to-hand-over-artillery-to-ukraine-the-media/" TargetMode="External"/><Relationship Id="rId2664" Type="http://schemas.openxmlformats.org/officeDocument/2006/relationships/hyperlink" Target="https://www.gov.uk/government/speeches/defence-secretary-oral-statement-on-war-in-ukraine--2" TargetMode="External"/><Relationship Id="rId3508" Type="http://schemas.openxmlformats.org/officeDocument/2006/relationships/hyperlink" Target="https://www.bundesregierung.de/breg-en/news/military-support-ukraine-2054992" TargetMode="External"/><Relationship Id="rId429" Type="http://schemas.openxmlformats.org/officeDocument/2006/relationships/hyperlink" Target="https://www.regjeringen.no/en/topics/foreign-affairs/humanitarian-efforts/neighbour_support/id2908141/" TargetMode="External"/><Relationship Id="rId636" Type="http://schemas.openxmlformats.org/officeDocument/2006/relationships/hyperlink" Target="https://www.portugal.gov.pt/pt/gc23/comunicacao/noticia?i=portugal-doa-21-milhoes-de-euros-a-ucrania" TargetMode="External"/><Relationship Id="rId1059" Type="http://schemas.openxmlformats.org/officeDocument/2006/relationships/hyperlink" Target="https://news.err.ee/1608742171/estonia-sends-more-ammunition-protective-equipment-to-ukraine" TargetMode="External"/><Relationship Id="rId1266" Type="http://schemas.openxmlformats.org/officeDocument/2006/relationships/hyperlink" Target="https://www.gov.ie/en/press-release/2e59c-update-on-medical-humanitarian-support-to-ukraine/" TargetMode="External"/><Relationship Id="rId1473" Type="http://schemas.openxmlformats.org/officeDocument/2006/relationships/hyperlink" Target="https://appropriations.house.gov/sites/democrats.appropriations.house.gov/files/Ukraine%20Supplemental%20Summary.pdf" TargetMode="External"/><Relationship Id="rId2317" Type="http://schemas.openxmlformats.org/officeDocument/2006/relationships/hyperlink" Target="https://www.eda.admin.ch/content/dam/eda/de/documents/aktuell/news/2022/20221215-ukraine-engagement-schweiz-themen_de.pdf" TargetMode="External"/><Relationship Id="rId2871" Type="http://schemas.openxmlformats.org/officeDocument/2006/relationships/hyperlink" Target="https://www.jutarnji.hr/vijesti/hrvatska/pocela-specijalna-operacija-slanja-14-nasih-helikoptera-ukrajini-s-njih-vec-skidaju-oznake-15309682" TargetMode="External"/><Relationship Id="rId3715" Type="http://schemas.openxmlformats.org/officeDocument/2006/relationships/hyperlink" Target="https://tass.com/world/1592633" TargetMode="External"/><Relationship Id="rId3922" Type="http://schemas.openxmlformats.org/officeDocument/2006/relationships/hyperlink" Target="https://www.state.gov/u-s-security-cooperation-with-ukraine/" TargetMode="External"/><Relationship Id="rId843" Type="http://schemas.openxmlformats.org/officeDocument/2006/relationships/hyperlink" Target="https://www.defense.gov/News/Releases/Release/Article/3173378/11-billion-in-additional-security-assistance-for-ukraine/" TargetMode="External"/><Relationship Id="rId1126" Type="http://schemas.openxmlformats.org/officeDocument/2006/relationships/hyperlink" Target="https://www.worldbank.org/en/programs/urtf/partners" TargetMode="External"/><Relationship Id="rId1680" Type="http://schemas.openxmlformats.org/officeDocument/2006/relationships/hyperlink" Target="https://crsreports.congress.gov/product/pdf/IF/IF12040" TargetMode="External"/><Relationship Id="rId2524" Type="http://schemas.openxmlformats.org/officeDocument/2006/relationships/hyperlink" Target="https://mil.in.ua/en/news/belgium-made-a-decision-to-hand-over-artillery-to-ukraine-the-media/" TargetMode="External"/><Relationship Id="rId2731" Type="http://schemas.openxmlformats.org/officeDocument/2006/relationships/hyperlink" Target="https://www.regjeringen.no/en/topics/foreign-affairs/humanitarian-efforts/neighbour_support/id2908141/?expand=factbox2963912" TargetMode="External"/><Relationship Id="rId703" Type="http://schemas.openxmlformats.org/officeDocument/2006/relationships/hyperlink" Target="https://www.19fortyfive.com/2022/04/switchblade-the-drone-giving-ukraine-a-big-edge-against-russia/" TargetMode="External"/><Relationship Id="rId910" Type="http://schemas.openxmlformats.org/officeDocument/2006/relationships/hyperlink" Target="https://um.dk/en/danida/countries-and-regions/ukraine" TargetMode="External"/><Relationship Id="rId1333" Type="http://schemas.openxmlformats.org/officeDocument/2006/relationships/hyperlink" Target="https://www.reuters.com/world/europe/germany-netherlands-supply-six-more-howitzers-kyiv-2022-06-28/" TargetMode="External"/><Relationship Id="rId1540" Type="http://schemas.openxmlformats.org/officeDocument/2006/relationships/hyperlink" Target="https://appropriations.house.gov/sites/democrats.appropriations.house.gov/files/Additional%20Ukraine%20Suplemental%20Appropriations%20Act%20Summary.pdf" TargetMode="External"/><Relationship Id="rId4489" Type="http://schemas.openxmlformats.org/officeDocument/2006/relationships/hyperlink" Target="https://twitter.com/a_anusauskas/status/1643630840654561289?cxt=HHwWkoC88dHirM8tAAAA" TargetMode="External"/><Relationship Id="rId4696" Type="http://schemas.openxmlformats.org/officeDocument/2006/relationships/hyperlink" Target="https://www.bundesregierung.de/breg-en/news/military-support-ukraine-2054992" TargetMode="External"/><Relationship Id="rId1400" Type="http://schemas.openxmlformats.org/officeDocument/2006/relationships/hyperlink" Target="https://appropriations.house.gov/sites/democrats.appropriations.house.gov/files/Ukraine%20Supplemental%20Summary.pdf" TargetMode="External"/><Relationship Id="rId3298" Type="http://schemas.openxmlformats.org/officeDocument/2006/relationships/hyperlink" Target="https://diplomatie.belgium.be/en/policy/policy-areas/highlighted/civilian-aid-ukraine-overview" TargetMode="External"/><Relationship Id="rId4349" Type="http://schemas.openxmlformats.org/officeDocument/2006/relationships/hyperlink" Target="https://www.bundesregierung.de/resource/blob/975226/2189778/cdb664abe95e6fa74802882bd66ef771/2023-05-14-liste-ukr-unterstuetzung-data.pdf?download=1" TargetMode="External"/><Relationship Id="rId4556" Type="http://schemas.openxmlformats.org/officeDocument/2006/relationships/hyperlink" Target="https://spectator.sme.sk/c/22850259/slovakia-will-send-more-military-aid-to-ukraine.html" TargetMode="External"/><Relationship Id="rId4763" Type="http://schemas.openxmlformats.org/officeDocument/2006/relationships/hyperlink" Target="https://www.bundesregierung.de/breg-en/news/military-support-ukraine-2054992" TargetMode="External"/><Relationship Id="rId3158" Type="http://schemas.openxmlformats.org/officeDocument/2006/relationships/hyperlink" Target="https://crsreports.congress.gov/product/pdf/IF/IF12040" TargetMode="External"/><Relationship Id="rId3365"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3572" Type="http://schemas.openxmlformats.org/officeDocument/2006/relationships/hyperlink" Target="https://www.gov.ie/en/press-release/20cc2-minister-mcgrath-to-legislate-for-irelands-contributions-to-key-funding-programmes-for-ukraine/" TargetMode="External"/><Relationship Id="rId4209" Type="http://schemas.openxmlformats.org/officeDocument/2006/relationships/hyperlink" Target="https://www.kmu.gov.ua/en/news/dmytro-kuleba-portuhaliia-pryiednalasia-do-aviatsiinoi-koalitsii-hotova-trenuvaty-ukrainskykh-pilotiv-i-mekhanikiv" TargetMode="External"/><Relationship Id="rId4416" Type="http://schemas.openxmlformats.org/officeDocument/2006/relationships/hyperlink" Target="https://www.bundesregierung.de/resource/blob/975226/2189778/cdb664abe95e6fa74802882bd66ef771/2023-05-14-liste-ukr-unterstuetzung-data.pdf?download=1" TargetMode="External"/><Relationship Id="rId4623" Type="http://schemas.openxmlformats.org/officeDocument/2006/relationships/hyperlink" Target="https://kyivindependent.com/portugal-to-send-5-military-vehicles-to-ukraine/" TargetMode="External"/><Relationship Id="rId4830" Type="http://schemas.openxmlformats.org/officeDocument/2006/relationships/hyperlink" Target="https://www.bundesregierung.de/breg-en/news/military-support-ukraine-2054992" TargetMode="External"/><Relationship Id="rId286" Type="http://schemas.openxmlformats.org/officeDocument/2006/relationships/hyperlink" Target="https://www.vlada.cz/cz/media-centrum/aktualne/vlada-petra-fialy-schvalila-dalsi-vojenskou-pomoc-bojujici-ukrajine-194603/" TargetMode="External"/><Relationship Id="rId493" Type="http://schemas.openxmlformats.org/officeDocument/2006/relationships/hyperlink" Target="https://www.canada.ca/en/global-affairs/news/2022/05/g7-development-ministers-conclude-successful-meeting-and-issue-statement-on-ukraine.html" TargetMode="External"/><Relationship Id="rId2174" Type="http://schemas.openxmlformats.org/officeDocument/2006/relationships/hyperlink" Target="https://appropriations.house.gov/sites/democrats.appropriations.house.gov/files/Additional%20Ukraine%20Suplemental%20Appropriations%20Act%20Summary.pdf" TargetMode="External"/><Relationship Id="rId2381" Type="http://schemas.openxmlformats.org/officeDocument/2006/relationships/hyperlink" Target="https://www.euronews.com/2022/09/29/cargo-ship-with-1000-tonnes-of-ukraine-aid-sets-sail-from-marseille" TargetMode="External"/><Relationship Id="rId3018" Type="http://schemas.openxmlformats.org/officeDocument/2006/relationships/hyperlink" Target="https://www.cna.org.cy/en/article/4342298/cyprus-and-poland-sign-agreement-to-provide-further-humanitarian-aid-to-ukraine" TargetMode="External"/><Relationship Id="rId3225" Type="http://schemas.openxmlformats.org/officeDocument/2006/relationships/hyperlink" Target="https://www.asdnews.com/news/defense/2022/10/17/uk-give-air-defence-missiles-help-ukraine-defend-against-rockets" TargetMode="External"/><Relationship Id="rId3432" Type="http://schemas.openxmlformats.org/officeDocument/2006/relationships/hyperlink" Target="https://www.bundesregierung.de/breg-en/news/military-support-ukraine-2054992" TargetMode="External"/><Relationship Id="rId146" Type="http://schemas.openxmlformats.org/officeDocument/2006/relationships/hyperlink" Target="https://www.defensa.gob.es/gabinete/notasPrensa/2022/08/DGC-220831-envio-armamento-ucrania.html" TargetMode="External"/><Relationship Id="rId353" Type="http://schemas.openxmlformats.org/officeDocument/2006/relationships/hyperlink" Target="https://www.romania-insider.com/ro-ukraine-eu-civil-protection-feb-2022" TargetMode="External"/><Relationship Id="rId560" Type="http://schemas.openxmlformats.org/officeDocument/2006/relationships/hyperlink" Target="https://euneighbourseast.eu/news-and-stories/latest-news/ukraine-eu-announces-e120-million-grant-to-support-societal-and-state-resilience/" TargetMode="External"/><Relationship Id="rId1190" Type="http://schemas.openxmlformats.org/officeDocument/2006/relationships/hyperlink" Target="https://www.defence.govt.nz/what-we-do/diplomacy-and-deployments/deployment-map/support-to-ukraine/" TargetMode="External"/><Relationship Id="rId2034" Type="http://schemas.openxmlformats.org/officeDocument/2006/relationships/hyperlink" Target="https://crsreports.congress.gov/product/pdf/IF/IF12040" TargetMode="External"/><Relationship Id="rId2241" Type="http://schemas.openxmlformats.org/officeDocument/2006/relationships/hyperlink" Target="https://appropriations.house.gov/sites/democrats.appropriations.house.gov/files/Ukraine%20Supplemental%20Summary.pdf" TargetMode="External"/><Relationship Id="rId213" Type="http://schemas.openxmlformats.org/officeDocument/2006/relationships/hyperlink" Target="https://www.reuters.com/world/europe/russia-pounds-ukraine-civil-infrastructure-powers-meet-provide-aid-2022-12-13/" TargetMode="External"/><Relationship Id="rId420" Type="http://schemas.openxmlformats.org/officeDocument/2006/relationships/hyperlink" Target="https://www.gov.uk/government/news/uk-largest-bilateral-humanitarian-donor-to-ukraine-as-uk-canada-and-the-netherlands-launch-new-ukraine-solidarity-alliance" TargetMode="External"/><Relationship Id="rId1050" Type="http://schemas.openxmlformats.org/officeDocument/2006/relationships/hyperlink" Target="https://www.kyivpost.com/russias-war/estonia-to-boost-military-assistance-for-ukraine.html" TargetMode="External"/><Relationship Id="rId2101" Type="http://schemas.openxmlformats.org/officeDocument/2006/relationships/hyperlink" Target="https://appropriations.house.gov/sites/democrats.appropriations.house.gov/files/Ukraine%20Supplemental%20Summary.pdf" TargetMode="External"/><Relationship Id="rId4066" Type="http://schemas.openxmlformats.org/officeDocument/2006/relationships/hyperlink" Target="https://www.reuters.com/world/europe/polish-leopard-tanks-are-already-ukraine-defence-minister-says-2023-02-24/" TargetMode="External"/><Relationship Id="rId186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18" Type="http://schemas.openxmlformats.org/officeDocument/2006/relationships/hyperlink" Target="https://www.vlada.cz/en/media-centrum/tiskove-zpravy/czechia-sends-hundreds-of-heavy-military-systems-worth-tens-of-billions-to-ukraine-during-the-first-year-of-russian-invasion-203252/" TargetMode="External"/><Relationship Id="rId4273" Type="http://schemas.openxmlformats.org/officeDocument/2006/relationships/hyperlink" Target="https://www.gov.uk/government/news/uk-poland-partnership-to-provide-homes-and-power-to-ukraine" TargetMode="External"/><Relationship Id="rId4480" Type="http://schemas.openxmlformats.org/officeDocument/2006/relationships/hyperlink" Target="https://www.bbc.com/news/world-europe-64903201" TargetMode="External"/><Relationship Id="rId1727" Type="http://schemas.openxmlformats.org/officeDocument/2006/relationships/hyperlink" Target="https://crsreports.congress.gov/product/pdf/IF/IF12040" TargetMode="External"/><Relationship Id="rId1934" Type="http://schemas.openxmlformats.org/officeDocument/2006/relationships/hyperlink" Target="https://appropriations.house.gov/sites/democrats.appropriations.house.gov/files/Ukraine%20Supplemental%20Summary%20FY23.pdf" TargetMode="External"/><Relationship Id="rId3082" Type="http://schemas.openxmlformats.org/officeDocument/2006/relationships/hyperlink" Target="https://documents1.worldbank.org/curated/en/099045006272211923/pdf/P17934404806560d0af0503654b216c99f.pdf" TargetMode="External"/><Relationship Id="rId4133" Type="http://schemas.openxmlformats.org/officeDocument/2006/relationships/hyperlink" Target="https://www.armyrecognition.com/defense_news_march_2023_global_security_army_industry/estonia_to_send_more_sako_sniper_rifles_and_special_forces_equipment_to_ukraine.html" TargetMode="External"/><Relationship Id="rId4340" Type="http://schemas.openxmlformats.org/officeDocument/2006/relationships/hyperlink" Target="https://www.bundesregierung.de/resource/blob/975226/2189778/cdb664abe95e6fa74802882bd66ef771/2023-05-14-liste-ukr-unterstuetzung-data.pdf?download=1" TargetMode="External"/><Relationship Id="rId19" Type="http://schemas.openxmlformats.org/officeDocument/2006/relationships/hyperlink" Target="https://www.teletrader.com/lithuania-to-give-ukraine-10m-in-military-aid/news/details/57547008?internal=1&amp;ts=1654245351379" TargetMode="External"/><Relationship Id="rId3899" Type="http://schemas.openxmlformats.org/officeDocument/2006/relationships/hyperlink" Target="https://www.defense.gov/News/Releases/Release/Article/3411804/biden-administration-announces-additional-security-assistance-for-ukraine/" TargetMode="External"/><Relationship Id="rId4200" Type="http://schemas.openxmlformats.org/officeDocument/2006/relationships/hyperlink" Target="https://english.nv.ua/nation/italy-sends-at-least-30-m109l-self-propelled-howitzers-to-ukraine-media-reports-50318304.html" TargetMode="External"/><Relationship Id="rId3759" Type="http://schemas.openxmlformats.org/officeDocument/2006/relationships/hyperlink" Target="https://www.state.gov/u-s-security-cooperation-with-ukraine/" TargetMode="External"/><Relationship Id="rId3966" Type="http://schemas.openxmlformats.org/officeDocument/2006/relationships/hyperlink" Target="https://www.defense.gov/News/Releases/Release/Article/3350958/biden-administration-announces-additional-security-assistance-for-ukraine/" TargetMode="External"/><Relationship Id="rId3" Type="http://schemas.openxmlformats.org/officeDocument/2006/relationships/hyperlink" Target="https://techartica.com/this-is-the-first-view-of-the-mistral-antiaircraft-system-in-ukraine-it-shows-how-civilian-cars-are-used-at-war-front/" TargetMode="External"/><Relationship Id="rId887" Type="http://schemas.openxmlformats.org/officeDocument/2006/relationships/hyperlink" Target="https://www.regjeringen.no/en/aktuelt/norge-og-storbritannia-gir-langtrekkende-rakettartilleri-til-ukraina/id2921395/" TargetMode="External"/><Relationship Id="rId2568" Type="http://schemas.openxmlformats.org/officeDocument/2006/relationships/hyperlink" Target="https://www.premier.be/sites/default/files/articles/BE%20support%20militaire.pdf" TargetMode="External"/><Relationship Id="rId2775" Type="http://schemas.openxmlformats.org/officeDocument/2006/relationships/hyperlink" Target="https://www.defense.gov/News/Releases/Release/Article/3272866/biden-administration-announces-additional-security-assistance-for-ukraine/" TargetMode="External"/><Relationship Id="rId2982" Type="http://schemas.openxmlformats.org/officeDocument/2006/relationships/hyperlink" Target="https://www.txtreport.com/news/2023-02-15-italy-approved-the-6th-military-aid-package-to-ukraine.Sknjhz9Ts.html" TargetMode="External"/><Relationship Id="rId3619" Type="http://schemas.openxmlformats.org/officeDocument/2006/relationships/hyperlink" Target="https://www.bundesregierung.de/breg-en/news/military-support-ukraine-2054992" TargetMode="External"/><Relationship Id="rId3826" Type="http://schemas.openxmlformats.org/officeDocument/2006/relationships/hyperlink" Target="https://www.state.gov/u-s-security-cooperation-with-ukraine/" TargetMode="External"/><Relationship Id="rId747" Type="http://schemas.openxmlformats.org/officeDocument/2006/relationships/hyperlink" Target="https://www.gov.uk/government/news/uk-to-send-scores-of-artillery-guns-and-hundreds-of-drones-to-ukraine" TargetMode="External"/><Relationship Id="rId954" Type="http://schemas.openxmlformats.org/officeDocument/2006/relationships/hyperlink" Target="https://www.defense.gouv.fr/terre/actualites/uiisc-1-3e-convoi-solidarite-lukraine" TargetMode="External"/><Relationship Id="rId1377" Type="http://schemas.openxmlformats.org/officeDocument/2006/relationships/hyperlink" Target="https://appropriations.house.gov/sites/democrats.appropriations.house.gov/files/Ukraine%20Supplemental%20Summary.pdf" TargetMode="External"/><Relationship Id="rId1584" Type="http://schemas.openxmlformats.org/officeDocument/2006/relationships/hyperlink" Target="https://appropriations.house.gov/sites/democrats.appropriations.house.gov/files/Additional%20Ukraine%20Suplemental%20Appropriations%20Act%20Summary.pdf" TargetMode="External"/><Relationship Id="rId1791" Type="http://schemas.openxmlformats.org/officeDocument/2006/relationships/hyperlink" Target="https://crsreports.congress.gov/product/pdf/IF/IF12040" TargetMode="External"/><Relationship Id="rId2428" Type="http://schemas.openxmlformats.org/officeDocument/2006/relationships/hyperlink" Target="https://www.overtdefense.com/2022/02/15/canada-to-provide-small-arms-to-ukraine/" TargetMode="External"/><Relationship Id="rId2635" Type="http://schemas.openxmlformats.org/officeDocument/2006/relationships/hyperlink" Target="https://www.youtube.com/watch?v=A1nTsblXabc" TargetMode="External"/><Relationship Id="rId2842" Type="http://schemas.openxmlformats.org/officeDocument/2006/relationships/hyperlink" Target="https://crsreports.congress.gov/product/pdf/IF/IF12040" TargetMode="External"/><Relationship Id="rId83" Type="http://schemas.openxmlformats.org/officeDocument/2006/relationships/hyperlink" Target="https://kyivindependent.com/uncategorized/poland-has-provided-ukraine-with-weapons-worth-1-6-billion/" TargetMode="External"/><Relationship Id="rId607"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814" Type="http://schemas.openxmlformats.org/officeDocument/2006/relationships/hyperlink" Target="https://www.defense.gov/News/Releases/Release/Article/3160503/600-million-in-additional-security-assistance-for-ukraine/" TargetMode="External"/><Relationship Id="rId1237" Type="http://schemas.openxmlformats.org/officeDocument/2006/relationships/hyperlink" Target="https://www.ekathimerini.com/news/1179620/greek-role-within-nato-is-upgraded/" TargetMode="External"/><Relationship Id="rId1444" Type="http://schemas.openxmlformats.org/officeDocument/2006/relationships/hyperlink" Target="https://appropriations.house.gov/sites/democrats.appropriations.house.gov/files/Ukraine%20Supplemental%20Summary.pdf" TargetMode="External"/><Relationship Id="rId1651" Type="http://schemas.openxmlformats.org/officeDocument/2006/relationships/hyperlink" Target="https://crsreports.congress.gov/product/pdf/IF/IF12040" TargetMode="External"/><Relationship Id="rId2702" Type="http://schemas.openxmlformats.org/officeDocument/2006/relationships/hyperlink" Target="https://www.mofa.go.jp/press/release/press1e_000377.html" TargetMode="External"/><Relationship Id="rId1304" Type="http://schemas.openxmlformats.org/officeDocument/2006/relationships/hyperlink" Target="https://www.facebook.com/UkraineMFA/videos/440959088009136/" TargetMode="External"/><Relationship Id="rId1511" Type="http://schemas.openxmlformats.org/officeDocument/2006/relationships/hyperlink" Target="https://appropriations.house.gov/sites/democrats.appropriations.house.gov/files/Additional%20Ukraine%20Suplemental%20Appropriations%20Act%20Summary.pdf" TargetMode="External"/><Relationship Id="rId4667" Type="http://schemas.openxmlformats.org/officeDocument/2006/relationships/hyperlink" Target="https://www.usaid.gov/sites/default/files/2022-12/2022-07-27_USG_Ukraine_Complex_Emergency_Fact_Sheet_24.pdf" TargetMode="External"/><Relationship Id="rId3269" Type="http://schemas.openxmlformats.org/officeDocument/2006/relationships/hyperlink" Target="https://www.gov.si/en/news/2022-02-26-humanitarian-contribution-of-the-republic-of-slovenia-to-the-people-of-ukraine/" TargetMode="External"/><Relationship Id="rId3476" Type="http://schemas.openxmlformats.org/officeDocument/2006/relationships/hyperlink" Target="https://www.bundesregierung.de/breg-en/news/military-support-ukraine-2054992" TargetMode="External"/><Relationship Id="rId3683" Type="http://schemas.openxmlformats.org/officeDocument/2006/relationships/hyperlink" Target="https://intermin.fi/en/ukraine/civilian-assistance-to-ukraine" TargetMode="External"/><Relationship Id="rId4527" Type="http://schemas.openxmlformats.org/officeDocument/2006/relationships/hyperlink" Target="https://www.defense.gov/News/Releases/Release/Article/3383288/biden-administration-announces-additional-security-assistance-for-ukraine/" TargetMode="External"/><Relationship Id="rId10" Type="http://schemas.openxmlformats.org/officeDocument/2006/relationships/hyperlink" Target="https://tfiglobalnews.com/2022/03/21/canada-wanted-to-supply-weapons-to-ukraine-turns-out-it-didnt-have-any/" TargetMode="External"/><Relationship Id="rId397" Type="http://schemas.openxmlformats.org/officeDocument/2006/relationships/hyperlink" Target="https://www.youtube.com/watch?v=vzENx6dTpqY" TargetMode="External"/><Relationship Id="rId2078" Type="http://schemas.openxmlformats.org/officeDocument/2006/relationships/hyperlink" Target="https://appropriations.house.gov/sites/democrats.appropriations.house.gov/files/Ukraine%20Supplemental%20Summary%20FY23.pdf" TargetMode="External"/><Relationship Id="rId2285" Type="http://schemas.openxmlformats.org/officeDocument/2006/relationships/hyperlink" Target="https://crsreports.congress.gov/product/pdf/IF/IF12040" TargetMode="External"/><Relationship Id="rId2492"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3129" Type="http://schemas.openxmlformats.org/officeDocument/2006/relationships/hyperlink" Target="https://greekcitytimes.com/2023/02/15/greece-armoured-vehicles-ukraine/" TargetMode="External"/><Relationship Id="rId3336" Type="http://schemas.openxmlformats.org/officeDocument/2006/relationships/hyperlink" Target="https://de.ambafrance.org/Bilan-de-l-aide-apportee-par-la-France-a-l-Ukraine-fevrier-2023" TargetMode="External"/><Relationship Id="rId3890" Type="http://schemas.openxmlformats.org/officeDocument/2006/relationships/hyperlink" Target="https://www.defense.gov/News/Releases/Release/Article/3411804/biden-administration-announces-additional-security-assistance-for-ukraine/" TargetMode="External"/><Relationship Id="rId4734" Type="http://schemas.openxmlformats.org/officeDocument/2006/relationships/hyperlink" Target="https://www.bundesregierung.de/breg-en/news/military-support-ukraine-2054992" TargetMode="External"/><Relationship Id="rId257" Type="http://schemas.openxmlformats.org/officeDocument/2006/relationships/hyperlink" Target="https://www.vlada.cz/cz/media-centrum/aktualne/vlada-kvuli-migracni-krizi-vyhlasila-od-patku-nouzovy-stav--schvalila-i-dalsi-pomoc-pro-ukrajinu-a-navrh-na-zvyseni-vydaju-na-obranu-194695/" TargetMode="External"/><Relationship Id="rId464" Type="http://schemas.openxmlformats.org/officeDocument/2006/relationships/hyperlink" Target="https://twitter.com/KyivIndependent/status/1516621305608552451?ref_src=twsrc%5Etfw" TargetMode="External"/><Relationship Id="rId1094" Type="http://schemas.openxmlformats.org/officeDocument/2006/relationships/hyperlink" Target="https://nos.nl/artikel/2432074-nederland-levert-ook-drones-aan-oekraine-per-ongeluk-bekend-geworden" TargetMode="External"/><Relationship Id="rId2145" Type="http://schemas.openxmlformats.org/officeDocument/2006/relationships/hyperlink" Target="https://twitter.com/ZelenskyyUa/status/1607762593682161667?cxt=HHwWhoCw-fDj9c8sAAAA" TargetMode="External"/><Relationship Id="rId3543" Type="http://schemas.openxmlformats.org/officeDocument/2006/relationships/hyperlink" Target="https://www.bundesregierung.de/breg-en/news/military-support-ukraine-2054992" TargetMode="External"/><Relationship Id="rId3750" Type="http://schemas.openxmlformats.org/officeDocument/2006/relationships/hyperlink" Target="https://www.government.se/press-releases/2023/05/world-bank-to-establish-crisis-facility-for-ukraine-and-other-countries-affected-by-the-war/" TargetMode="External"/><Relationship Id="rId4801" Type="http://schemas.openxmlformats.org/officeDocument/2006/relationships/hyperlink" Target="https://www.bundesregierung.de/breg-en/news/military-support-ukraine-2054992" TargetMode="External"/><Relationship Id="rId117" Type="http://schemas.openxmlformats.org/officeDocument/2006/relationships/hyperlink" Target="https://www.defense.gouv.fr/terre/actualites/uiisc-1-3e-convoi-solidarite-lukraine" TargetMode="External"/><Relationship Id="rId671" Type="http://schemas.openxmlformats.org/officeDocument/2006/relationships/hyperlink" Target="https://www.ctvnews.ca/politics/canada-pledges-more-aid-and-loans-to-ukraine-as-g7-targets-russian-oil-1.5965947" TargetMode="External"/><Relationship Id="rId2352" Type="http://schemas.openxmlformats.org/officeDocument/2006/relationships/hyperlink" Target="https://valtioneuvosto.fi/en/-/finland-to-send-arms-assistance-to-ukraine" TargetMode="External"/><Relationship Id="rId3403" Type="http://schemas.openxmlformats.org/officeDocument/2006/relationships/hyperlink" Target="https://www.bundesgesundheitsministerium.de/unterstuetzungsleistungen-fuer-die-ukraine.html" TargetMode="External"/><Relationship Id="rId3610" Type="http://schemas.openxmlformats.org/officeDocument/2006/relationships/hyperlink" Target="https://www.bundesregierung.de/breg-en/news/military-support-ukraine-2054992" TargetMode="External"/><Relationship Id="rId324" Type="http://schemas.openxmlformats.org/officeDocument/2006/relationships/hyperlink" Target="https://www.thedefensepost.com/2022/03/10/uk-starstreak-missiles-ukraine/" TargetMode="External"/><Relationship Id="rId531" Type="http://schemas.openxmlformats.org/officeDocument/2006/relationships/hyperlink" Target="https://www.onuitalia.com/2022/04/20/ucraina-sereni-da-italia-26-milioni-di-aiuti-umanitari/" TargetMode="External"/><Relationship Id="rId1161" Type="http://schemas.openxmlformats.org/officeDocument/2006/relationships/hyperlink" Target="https://www.defense.gouv.fr/sites/default/files/ministere-armees/13.01.23%20Entretien%20de%20S%C3%A9bastien%20Lecornu%2C%20ministre%20des%20Arm%C3%A9es%2C%20avec%20Oleksii%20Reznikov.pdf" TargetMode="External"/><Relationship Id="rId2005" Type="http://schemas.openxmlformats.org/officeDocument/2006/relationships/hyperlink" Target="https://crsreports.congress.gov/product/pdf/IF/IF12040" TargetMode="External"/><Relationship Id="rId2212" Type="http://schemas.openxmlformats.org/officeDocument/2006/relationships/hyperlink" Target="https://appropriations.house.gov/sites/democrats.appropriations.house.gov/files/Ukraine%20Supplemental%20Summary.pdf" TargetMode="External"/><Relationship Id="rId1021" Type="http://schemas.openxmlformats.org/officeDocument/2006/relationships/hyperlink" Target="https://ua.usembassy.gov/625-million-in-additional-u-s-military-assistance-for-ukraine/" TargetMode="External"/><Relationship Id="rId1978" Type="http://schemas.openxmlformats.org/officeDocument/2006/relationships/hyperlink" Target="https://crsreports.congress.gov/product/pdf/IF/IF12040" TargetMode="External"/><Relationship Id="rId4177" Type="http://schemas.openxmlformats.org/officeDocument/2006/relationships/hyperlink" Target="https://greekreporter.com/2023/04/06/greece-military-support-ukraine/" TargetMode="External"/><Relationship Id="rId4384" Type="http://schemas.openxmlformats.org/officeDocument/2006/relationships/hyperlink" Target="https://www.bundesregierung.de/resource/blob/975226/2189778/cdb664abe95e6fa74802882bd66ef771/2023-05-14-liste-ukr-unterstuetzung-data.pdf?download=1" TargetMode="External"/><Relationship Id="rId4591" Type="http://schemas.openxmlformats.org/officeDocument/2006/relationships/hyperlink" Target="https://www.fmn.dk/da/nyheder/2023/ukraine-fond-finansierer-stor-ny-donationspakke/" TargetMode="External"/><Relationship Id="rId3193" Type="http://schemas.openxmlformats.org/officeDocument/2006/relationships/hyperlink" Target="https://ue.delegfrance.org/IMG/pdf/4_5989977243172998264_1_.pdf?11377/582461c3399e431c79f060e139f084c1fa490550" TargetMode="External"/><Relationship Id="rId4037" Type="http://schemas.openxmlformats.org/officeDocument/2006/relationships/hyperlink" Target="https://www.weaponstoukraine.com/kampane/viktor-mobile-air-defense-for-ukraine" TargetMode="External"/><Relationship Id="rId4244" Type="http://schemas.openxmlformats.org/officeDocument/2006/relationships/hyperlink" Target="https://web.archive.org/web/20230321123738/https:/www.government.is/topics/foreign-affairs/war-in-ukraine/" TargetMode="External"/><Relationship Id="rId4451" Type="http://schemas.openxmlformats.org/officeDocument/2006/relationships/hyperlink" Target="https://www.bundesregierung.de/resource/blob/975226/2189778/cdb664abe95e6fa74802882bd66ef771/2023-05-14-liste-ukr-unterstuetzung-data.pdf?download=1" TargetMode="External"/><Relationship Id="rId1838"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53" Type="http://schemas.openxmlformats.org/officeDocument/2006/relationships/hyperlink" Target="https://www.mod.gov.lv/lv/zinas/i-murniece-kijiva-tiekas-ar-ukrainas-aizsardzibas-ministru" TargetMode="External"/><Relationship Id="rId3260" Type="http://schemas.openxmlformats.org/officeDocument/2006/relationships/hyperlink" Target="https://abouthungary.hu/news-in-brief/fm-hungary-offers-ukraine-aid-worth-37-million-euros" TargetMode="External"/><Relationship Id="rId4104" Type="http://schemas.openxmlformats.org/officeDocument/2006/relationships/hyperlink" Target="https://babel.ua/en/news/90987-estonia-handed-over-another-military-aid-to-ukraine" TargetMode="External"/><Relationship Id="rId4311" Type="http://schemas.openxmlformats.org/officeDocument/2006/relationships/hyperlink" Target="https://www.bundesregierung.de/resource/blob/975226/2189778/cdb664abe95e6fa74802882bd66ef771/2023-05-14-liste-ukr-unterstuetzung-data.pdf?download=1" TargetMode="External"/><Relationship Id="rId181" Type="http://schemas.openxmlformats.org/officeDocument/2006/relationships/hyperlink" Target="https://news.err.ee/1608793648/estonia-s-total-military-aid-to-ukraine-to-date-approaching-300-million" TargetMode="External"/><Relationship Id="rId1905" Type="http://schemas.openxmlformats.org/officeDocument/2006/relationships/hyperlink" Target="https://appropriations.house.gov/sites/democrats.appropriations.house.gov/files/Ukraine%20Supplemental%20Summary%20FY23.pdf" TargetMode="External"/><Relationship Id="rId3120" Type="http://schemas.openxmlformats.org/officeDocument/2006/relationships/hyperlink" Target="https://mocr.army.cz/informacni-servis/zpravodajstvi/jednani-ministryne-s-ceskymi-zbrojari--ocenuji-podporu-exportu-i-ceskych-zakazek-239387/" TargetMode="External"/><Relationship Id="rId998" Type="http://schemas.openxmlformats.org/officeDocument/2006/relationships/hyperlink" Target="https://www.gov.uk/government/news/prime-minister-pledges-uks-unwavering-support-to-ukraine-on-visit-to-kyiv-9-april-2022" TargetMode="External"/><Relationship Id="rId2679" Type="http://schemas.openxmlformats.org/officeDocument/2006/relationships/hyperlink" Target="https://www.brusselstimes.com/208911/belgium-to-send-e3-4-million-medical-supplies-to-ukraine" TargetMode="External"/><Relationship Id="rId2886" Type="http://schemas.openxmlformats.org/officeDocument/2006/relationships/hyperlink" Target="https://www.vlada.cz/en/media-centrum/tiskove-zpravy/czechia-sends-hundreds-of-heavy-military-systems-worth-tens-of-billions-to-ukraine-during-the-first-year-of-russian-invasion-203252/" TargetMode="External"/><Relationship Id="rId3937" Type="http://schemas.openxmlformats.org/officeDocument/2006/relationships/hyperlink" Target="https://www.state.gov/u-s-security-cooperation-with-ukraine/" TargetMode="External"/><Relationship Id="rId858" Type="http://schemas.openxmlformats.org/officeDocument/2006/relationships/hyperlink" Target="https://kyiv.mfa.ee/en/2022/02/estonia-and-germany-to-donate-military-field-hospital-to-ukraine/" TargetMode="External"/><Relationship Id="rId1488" Type="http://schemas.openxmlformats.org/officeDocument/2006/relationships/hyperlink" Target="https://appropriations.house.gov/sites/democrats.appropriations.house.gov/files/Ukraine%20Supplemental%20Summary.pdf" TargetMode="External"/><Relationship Id="rId1695" Type="http://schemas.openxmlformats.org/officeDocument/2006/relationships/hyperlink" Target="https://crsreports.congress.gov/product/pdf/IF/IF12040" TargetMode="External"/><Relationship Id="rId2539" Type="http://schemas.openxmlformats.org/officeDocument/2006/relationships/hyperlink" Target="https://www.brusselstimes.com/278107/belgium-provides-e8-million-for-non-lethal-help-to-ukraine" TargetMode="External"/><Relationship Id="rId2746" Type="http://schemas.openxmlformats.org/officeDocument/2006/relationships/hyperlink" Target="https://crsreports.congress.gov/product/pdf/IF/IF12040" TargetMode="External"/><Relationship Id="rId2953" Type="http://schemas.openxmlformats.org/officeDocument/2006/relationships/hyperlink" Target="https://english.nv.ua/nation/estonia-donates-all-of-its-155mm-howitzers-and-other-weapons-to-ukraine-50299305.html" TargetMode="External"/><Relationship Id="rId718" Type="http://schemas.openxmlformats.org/officeDocument/2006/relationships/hyperlink" Target="https://www.ukrinform.ua/rubric-world/3523885-egils-levits-prezident-latvii.html" TargetMode="External"/><Relationship Id="rId925" Type="http://schemas.openxmlformats.org/officeDocument/2006/relationships/hyperlink" Target="https://mil.in.ua/en/news/finland-commits-the-largest-military-aid-package-in-the-amount-of-e55-6-million/" TargetMode="External"/><Relationship Id="rId1348" Type="http://schemas.openxmlformats.org/officeDocument/2006/relationships/hyperlink" Target="https://www.reuters.com/world/europe/russia-pounds-ukraine-civil-infrastructure-powers-meet-provide-aid-2022-12-13/" TargetMode="External"/><Relationship Id="rId1555" Type="http://schemas.openxmlformats.org/officeDocument/2006/relationships/hyperlink" Target="https://appropriations.house.gov/sites/democrats.appropriations.house.gov/files/Additional%20Ukraine%20Suplemental%20Appropriations%20Act%20Summary.pdf" TargetMode="External"/><Relationship Id="rId1762" Type="http://schemas.openxmlformats.org/officeDocument/2006/relationships/hyperlink" Target="https://crsreports.congress.gov/product/pdf/IF/IF12040" TargetMode="External"/><Relationship Id="rId2606" Type="http://schemas.openxmlformats.org/officeDocument/2006/relationships/hyperlink" Target="https://www.canada.ca/en/department-national-defence/campaigns/canadian-military-support-to-ukraine.html" TargetMode="External"/><Relationship Id="rId1208" Type="http://schemas.openxmlformats.org/officeDocument/2006/relationships/hyperlink" Target="https://www.defense.gov/News/Releases/Release/Article/3227217/400-million-in-additional-assistance-for-ukraine/" TargetMode="External"/><Relationship Id="rId1415" Type="http://schemas.openxmlformats.org/officeDocument/2006/relationships/hyperlink" Target="https://appropriations.house.gov/sites/democrats.appropriations.house.gov/files/Ukraine%20Supplemental%20Summary.pdf" TargetMode="External"/><Relationship Id="rId2813" Type="http://schemas.openxmlformats.org/officeDocument/2006/relationships/hyperlink" Target="https://www.defense.gov/News/Releases/Release/Article/3287992/biden-administration-announces-additional-security-assistance-for-ukraine/" TargetMode="External"/><Relationship Id="rId54" Type="http://schemas.openxmlformats.org/officeDocument/2006/relationships/hyperlink" Target="https://www.rferl.org/a/czech-republic-poland-new-military-aid-ukraine/31873938.html" TargetMode="External"/><Relationship Id="rId1622" Type="http://schemas.openxmlformats.org/officeDocument/2006/relationships/hyperlink" Target="https://appropriations.house.gov/sites/democrats.appropriations.house.gov/files/Additional%20Ukraine%20Suplemental%20Appropriations%20Act%20Summary.pdf" TargetMode="External"/><Relationship Id="rId4778" Type="http://schemas.openxmlformats.org/officeDocument/2006/relationships/hyperlink" Target="https://www.bundesregierung.de/breg-en/news/military-support-ukraine-2054992" TargetMode="External"/><Relationship Id="rId2189" Type="http://schemas.openxmlformats.org/officeDocument/2006/relationships/hyperlink" Target="https://appropriations.house.gov/sites/democrats.appropriations.house.gov/files/Additional%20Ukraine%20Suplemental%20Appropriations%20Act%20Summary.pdf" TargetMode="External"/><Relationship Id="rId3587" Type="http://schemas.openxmlformats.org/officeDocument/2006/relationships/hyperlink" Target="https://www.eda.admin.ch/content/dam/eda/en/documents/aktuell/news/2022/20221215-ukraine-engagement-schweiz-finanzielle-unterstuetzung_en.pdf" TargetMode="External"/><Relationship Id="rId3794" Type="http://schemas.openxmlformats.org/officeDocument/2006/relationships/hyperlink" Target="https://www.state.gov/u-s-security-cooperation-with-ukraine/" TargetMode="External"/><Relationship Id="rId4638" Type="http://schemas.openxmlformats.org/officeDocument/2006/relationships/hyperlink" Target="https://english.defensie.nl/latest/news/2023/04/20/netherlands-to-purchase-leopard-2-tanks-for-ukraine" TargetMode="External"/><Relationship Id="rId2396" Type="http://schemas.openxmlformats.org/officeDocument/2006/relationships/hyperlink" Target="https://www.bundesregierung.de/resource/blob/975226/2155792/c3dbab706421f63d3d612091e7ecad4c/2022-12-27-unterstuetzung-ukraine-breg-data.pdf?download=1%20Guten" TargetMode="External"/><Relationship Id="rId3447" Type="http://schemas.openxmlformats.org/officeDocument/2006/relationships/hyperlink" Target="https://www.bundesregierung.de/breg-en/news/military-support-ukraine-2054992" TargetMode="External"/><Relationship Id="rId3654" Type="http://schemas.openxmlformats.org/officeDocument/2006/relationships/hyperlink" Target="https://www.weareukraine.info/iceland-transfers-about-12000-pieces-of-winter-clothing-to-ukrainian-army/" TargetMode="External"/><Relationship Id="rId3861" Type="http://schemas.openxmlformats.org/officeDocument/2006/relationships/hyperlink" Target="https://www.state.gov/u-s-security-cooperation-with-ukraine/" TargetMode="External"/><Relationship Id="rId4705" Type="http://schemas.openxmlformats.org/officeDocument/2006/relationships/hyperlink" Target="https://www.bundesregierung.de/breg-en/news/military-support-ukraine-2054992" TargetMode="External"/><Relationship Id="rId368" Type="http://schemas.openxmlformats.org/officeDocument/2006/relationships/hyperlink" Target="https://www.defense.gov/News/Releases/Release/Article/3007664/fact-sheet-on-us-security-assistance-for-ukraine-roll-up-as-of-april-21-2022/" TargetMode="External"/><Relationship Id="rId575" Type="http://schemas.openxmlformats.org/officeDocument/2006/relationships/hyperlink" Target="https://www.kmu.gov.ua/en/news/denis-shmigal-ukrayina-vdyachna-bolgariyi-shcho-spilno-z-mizhnarodnoyu-spilnotoyu-bere-uchast-u-pidtrimci-nashoyi-krayini" TargetMode="External"/><Relationship Id="rId782" Type="http://schemas.openxmlformats.org/officeDocument/2006/relationships/hyperlink" Target="https://www.defense.gov/News/Releases/Release/Article/3134457/775-million-in-additional-security-assistance-for-ukraine/" TargetMode="External"/><Relationship Id="rId2049"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56" Type="http://schemas.openxmlformats.org/officeDocument/2006/relationships/hyperlink" Target="https://crsreports.congress.gov/product/pdf/IF/IF12040" TargetMode="External"/><Relationship Id="rId2463" Type="http://schemas.openxmlformats.org/officeDocument/2006/relationships/hyperlink" Target="https://www.brusselstimes.com/290771/belgium-to-give-e12-million-in-military-aid-to-ukraine" TargetMode="External"/><Relationship Id="rId2670" Type="http://schemas.openxmlformats.org/officeDocument/2006/relationships/hyperlink" Target="https://www.gov.uk/government/news/pm-accelerates-ukraine-support-ahead-of-anniversary-of-putins-war" TargetMode="External"/><Relationship Id="rId3307" Type="http://schemas.openxmlformats.org/officeDocument/2006/relationships/hyperlink" Target="https://www.defense.gov/News/Releases/Release/Article/3216287/400-million-in-additional-assistance-for-ukraine/" TargetMode="External"/><Relationship Id="rId3514" Type="http://schemas.openxmlformats.org/officeDocument/2006/relationships/hyperlink" Target="https://www.bundesregierung.de/breg-en/news/military-support-ukraine-2054992" TargetMode="External"/><Relationship Id="rId3721" Type="http://schemas.openxmlformats.org/officeDocument/2006/relationships/hyperlink" Target="https://www.regjeringen.no/en/aktuelt/nettsak-miw/id2966031/" TargetMode="External"/><Relationship Id="rId228" Type="http://schemas.openxmlformats.org/officeDocument/2006/relationships/hyperlink" Target="https://www.independent.com.mt/articles/2022-02-25/local-news/Malta-to-send-humanitarian-aid-to-Ukrainian-people-6736240942" TargetMode="External"/><Relationship Id="rId435" Type="http://schemas.openxmlformats.org/officeDocument/2006/relationships/hyperlink" Target="https://www.24sata.hr/news/solidarnost-hrvatska-donirala-5-mil-eura-za-pomoc-ukrajini-833624" TargetMode="External"/><Relationship Id="rId642" Type="http://schemas.openxmlformats.org/officeDocument/2006/relationships/hyperlink" Target="https://bulgarianmilitary.com/2022/06/20/ukraine-gets-australian-m113as4-with-12-7mm-browning-m2hb-qcb-355hp/" TargetMode="External"/><Relationship Id="rId1065" Type="http://schemas.openxmlformats.org/officeDocument/2006/relationships/hyperlink" Target="https://kaitseministeerium.ee/en/news/estonia-sending-ukraine-ammunition-and-equipment" TargetMode="External"/><Relationship Id="rId1272" Type="http://schemas.openxmlformats.org/officeDocument/2006/relationships/hyperlink" Target="https://www.karpatinfo.net/2022/2/27/szijjarto-magyarorszag-szerepet-vallal-humanitarius-katasztrofa-enyhiteseben-200055995" TargetMode="External"/><Relationship Id="rId2116" Type="http://schemas.openxmlformats.org/officeDocument/2006/relationships/hyperlink" Target="https://appropriations.house.gov/sites/democrats.appropriations.house.gov/files/Additional%20Ukraine%20Suplemental%20Appropriations%20Act%20Summary.pdf" TargetMode="External"/><Relationship Id="rId2323" Type="http://schemas.openxmlformats.org/officeDocument/2006/relationships/hyperlink" Target="https://www.kmu.gov.ua/en/news/vbachaiemo-velyki-perspektyvy-u-zaluchenni-frantsuzkoho-biznesu-do-rannoi-vidbudovy-ukrainy-iuliia-svyrydenko-na-zustrichi-z-medef" TargetMode="External"/><Relationship Id="rId2530" Type="http://schemas.openxmlformats.org/officeDocument/2006/relationships/hyperlink" Target="https://www.premier.be/sites/default/files/articles/BE%20support%20militaire.pdf" TargetMode="External"/><Relationship Id="rId502" Type="http://schemas.openxmlformats.org/officeDocument/2006/relationships/hyperlink" Target="https://cphpost.dk/?p=134195" TargetMode="External"/><Relationship Id="rId1132" Type="http://schemas.openxmlformats.org/officeDocument/2006/relationships/hyperlink" Target="https://twitter.com/Defense_lu/status/1598610977364115462?t=6bU22e0y0z-S3WKot0R3BA&amp;s=19" TargetMode="External"/><Relationship Id="rId4288" Type="http://schemas.openxmlformats.org/officeDocument/2006/relationships/hyperlink" Target="https://mtu.gov.ua/news/34240.html" TargetMode="External"/><Relationship Id="rId4495" Type="http://schemas.openxmlformats.org/officeDocument/2006/relationships/hyperlink" Target="https://www.mzv.sk/aktualne/situacia-na-ukrajine" TargetMode="External"/><Relationship Id="rId3097" Type="http://schemas.openxmlformats.org/officeDocument/2006/relationships/hyperlink" Target="https://ua.interfax.com.ua/news/general/844172.html" TargetMode="External"/><Relationship Id="rId4148" Type="http://schemas.openxmlformats.org/officeDocument/2006/relationships/hyperlink" Target="https://www.armyrecognition.com/defense_news_march_2023_global_security_army_industry/estonia_to_send_more_sako_sniper_rifles_and_special_forces_equipment_to_ukraine.html" TargetMode="External"/><Relationship Id="rId4355" Type="http://schemas.openxmlformats.org/officeDocument/2006/relationships/hyperlink" Target="https://www.bundesregierung.de/resource/blob/975226/2189778/cdb664abe95e6fa74802882bd66ef771/2023-05-14-liste-ukr-unterstuetzung-data.pdf?download=1" TargetMode="External"/><Relationship Id="rId1949" Type="http://schemas.openxmlformats.org/officeDocument/2006/relationships/hyperlink" Target="https://crsreports.congress.gov/product/pdf/IF/IF12040" TargetMode="External"/><Relationship Id="rId3164" Type="http://schemas.openxmlformats.org/officeDocument/2006/relationships/hyperlink" Target="https://appropriations.house.gov/sites/democrats.appropriations.house.gov/files/Summary%20Continuing%20Appropriations%20and%20Ukraine%20Supplemental%20Appropriations%20Act%202023.pdf" TargetMode="External"/><Relationship Id="rId4008" Type="http://schemas.openxmlformats.org/officeDocument/2006/relationships/hyperlink" Target="https://www.mod.gov.lv/lv/zinas/i-murniece-kijiva-tiekas-ar-ukrainas-aizsardzibas-ministru" TargetMode="External"/><Relationship Id="rId4562" Type="http://schemas.openxmlformats.org/officeDocument/2006/relationships/hyperlink" Target="https://www.gov.uk/government/news/uk-bolsters-support-for-ukraine-and-low-income-countries" TargetMode="External"/><Relationship Id="rId292" Type="http://schemas.openxmlformats.org/officeDocument/2006/relationships/hyperlink" Target="https://www.vlada.cz/cz/media-centrum/aktualne/informace-v-souvislosti-s-invazi-ruska-na-ukrajinu-194507/" TargetMode="External"/><Relationship Id="rId1809" Type="http://schemas.openxmlformats.org/officeDocument/2006/relationships/hyperlink" Target="https://crsreports.congress.gov/product/pdf/IF/IF12040" TargetMode="External"/><Relationship Id="rId3371" Type="http://schemas.openxmlformats.org/officeDocument/2006/relationships/hyperlink" Target="https://www.bmwk.de/Redaktion/DE/Downloads/U/unterstuetzung-ukraine.pdf?__blob=publicationFile&amp;v=10" TargetMode="External"/><Relationship Id="rId4215" Type="http://schemas.openxmlformats.org/officeDocument/2006/relationships/hyperlink" Target="https://www.armyrecognition.com/defense_news_april_2023_global_security_army_industry/greece_to_supply_ukraine_with_more_bmp-1_ifvs_and_artillery_ammunition.html" TargetMode="External"/><Relationship Id="rId4422" Type="http://schemas.openxmlformats.org/officeDocument/2006/relationships/hyperlink" Target="https://www.bundesregierung.de/resource/blob/975226/2189778/cdb664abe95e6fa74802882bd66ef771/2023-05-14-liste-ukr-unterstuetzung-data.pdf?download=1" TargetMode="External"/><Relationship Id="rId2180" Type="http://schemas.openxmlformats.org/officeDocument/2006/relationships/hyperlink" Target="https://appropriations.house.gov/sites/democrats.appropriations.house.gov/files/Additional%20Ukraine%20Suplemental%20Appropriations%20Act%20Summary.pdf" TargetMode="External"/><Relationship Id="rId3024" Type="http://schemas.openxmlformats.org/officeDocument/2006/relationships/hyperlink" Target="https://www.ukrinform.net/rubric-economy/3400470-france-to-provide-eur-12b-in-program-funding-for-ukraines-development-presidents-office.html" TargetMode="External"/><Relationship Id="rId3231" Type="http://schemas.openxmlformats.org/officeDocument/2006/relationships/hyperlink" Target="https://pm.gc.ca/en/news/news-releases/2022/04/09/prime-minister-co-convenes-stand-ukraine-pledging-event" TargetMode="External"/><Relationship Id="rId152" Type="http://schemas.openxmlformats.org/officeDocument/2006/relationships/hyperlink" Target="https://www.defensa.gob.es/gabinete/notasPrensa/2022/10/DGC-221006-envio-ucrania.html" TargetMode="External"/><Relationship Id="rId204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97" Type="http://schemas.openxmlformats.org/officeDocument/2006/relationships/hyperlink" Target="https://web.archive.org/web/20230524183203/https:/www.defesa.gov.pt/pt/comunicacao/documentos/Lists/PDEFINTER_DocumentoLookupList/apoio_militar_Portugal_Ucrania_20230503.pdf" TargetMode="External"/><Relationship Id="rId969" Type="http://schemas.openxmlformats.org/officeDocument/2006/relationships/hyperlink" Target="https://www.facebook.com/ukremb.at/posts/2254397241403945" TargetMode="External"/><Relationship Id="rId1599" Type="http://schemas.openxmlformats.org/officeDocument/2006/relationships/hyperlink" Target="https://appropriations.house.gov/sites/democrats.appropriations.house.gov/files/Additional%20Ukraine%20Suplemental%20Appropriations%20Act%20Summary.pdf" TargetMode="External"/><Relationship Id="rId1459" Type="http://schemas.openxmlformats.org/officeDocument/2006/relationships/hyperlink" Target="https://appropriations.house.gov/sites/democrats.appropriations.house.gov/files/Ukraine%20Supplemental%20Summary.pdf" TargetMode="External"/><Relationship Id="rId2857" Type="http://schemas.openxmlformats.org/officeDocument/2006/relationships/hyperlink" Target="https://www.defense.gov/News/Releases/Release/Article/3287992/biden-administration-announces-additional-security-assistance-for-ukraine/" TargetMode="External"/><Relationship Id="rId3908" Type="http://schemas.openxmlformats.org/officeDocument/2006/relationships/hyperlink" Target="https://www.defense.gov/News/Releases/Release/Article/3411804/biden-administration-announces-additional-security-assistance-for-ukraine/" TargetMode="External"/><Relationship Id="rId4072" Type="http://schemas.openxmlformats.org/officeDocument/2006/relationships/hyperlink" Target="https://elpais.com/espana/2023-02-22/robles-confirma-en-el-congreso-que-espana-entregara-seis-tanques-leopard-a-ucrania.html" TargetMode="External"/><Relationship Id="rId98"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829" Type="http://schemas.openxmlformats.org/officeDocument/2006/relationships/hyperlink" Target="https://www.defense.gov/News/Releases/Release/Article/3173378/11-billion-in-additional-security-assistance-for-ukraine/" TargetMode="External"/><Relationship Id="rId1666" Type="http://schemas.openxmlformats.org/officeDocument/2006/relationships/hyperlink" Target="https://crsreports.congress.gov/product/pdf/IF/IF12040" TargetMode="External"/><Relationship Id="rId187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717" Type="http://schemas.openxmlformats.org/officeDocument/2006/relationships/hyperlink" Target="https://www.mfat.govt.nz/en/countries-and-regions/europe/ukraine/russian-invasion-of-ukraine/" TargetMode="External"/><Relationship Id="rId2924" Type="http://schemas.openxmlformats.org/officeDocument/2006/relationships/hyperlink" Target="https://menafn.com/1105631486/Ukraine-Gets-New-Batch-Of-Bridges-From-Czech-Republic" TargetMode="External"/><Relationship Id="rId1319" Type="http://schemas.openxmlformats.org/officeDocument/2006/relationships/hyperlink" Target="https://www.canada.ca/en/department-national-defence/campaigns/canadian-military-support-to-ukraine.html" TargetMode="External"/><Relationship Id="rId1526" Type="http://schemas.openxmlformats.org/officeDocument/2006/relationships/hyperlink" Target="https://appropriations.house.gov/sites/democrats.appropriations.house.gov/files/Additional%20Ukraine%20Suplemental%20Appropriations%20Act%20Summary.pdf" TargetMode="External"/><Relationship Id="rId1733" Type="http://schemas.openxmlformats.org/officeDocument/2006/relationships/hyperlink" Target="https://crsreports.congress.gov/product/pdf/IF/IF12040" TargetMode="External"/><Relationship Id="rId1940" Type="http://schemas.openxmlformats.org/officeDocument/2006/relationships/hyperlink" Target="https://appropriations.house.gov/sites/democrats.appropriations.house.gov/files/Ukraine%20Supplemental%20Summary%20FY23.pdf" TargetMode="External"/><Relationship Id="rId25" Type="http://schemas.openxmlformats.org/officeDocument/2006/relationships/hyperlink" Target="https://www.aa.com.tr/en/russia-ukraine-war/norway-sends-roughly-100-anti-aircraft-missiles-to-ukraine/2568447" TargetMode="External"/><Relationship Id="rId1800" Type="http://schemas.openxmlformats.org/officeDocument/2006/relationships/hyperlink" Target="https://appropriations.house.gov/sites/democrats.appropriations.house.gov/files/Ukraine%20Supplemental%20Summary.pdf" TargetMode="External"/><Relationship Id="rId3698" Type="http://schemas.openxmlformats.org/officeDocument/2006/relationships/hyperlink" Target="https://um.fi/finland-s-support-to-ukraine" TargetMode="External"/><Relationship Id="rId4749" Type="http://schemas.openxmlformats.org/officeDocument/2006/relationships/hyperlink" Target="https://www.bundesregierung.de/breg-en/news/military-support-ukraine-2054992" TargetMode="External"/><Relationship Id="rId3558"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65" Type="http://schemas.openxmlformats.org/officeDocument/2006/relationships/hyperlink" Target="https://www.defense.gov/News/News-Stories/Article/Article/3318508/us-sends-ukraine-400-million-in-military-equipment/" TargetMode="External"/><Relationship Id="rId3972" Type="http://schemas.openxmlformats.org/officeDocument/2006/relationships/hyperlink" Target="https://www.state.gov/u-s-security-cooperation-with-ukraine/" TargetMode="External"/><Relationship Id="rId4609" Type="http://schemas.openxmlformats.org/officeDocument/2006/relationships/hyperlink" Target="https://web.archive.org/web/20230524183203/https:/www.defesa.gov.pt/pt/comunicacao/documentos/Lists/PDEFINTER_DocumentoLookupList/apoio_militar_Portugal_Ucrania_20230503.pdf" TargetMode="External"/><Relationship Id="rId4816" Type="http://schemas.openxmlformats.org/officeDocument/2006/relationships/hyperlink" Target="https://www.bundesregierung.de/breg-en/news/military-support-ukraine-2054992" TargetMode="External"/><Relationship Id="rId479" Type="http://schemas.openxmlformats.org/officeDocument/2006/relationships/hyperlink" Target="https://www.gov.uk/government/publications/world-bank-spring-meetings-2022-uk-governors-statement/world-bank-spring-meetings-2022-uk-governors-statement" TargetMode="External"/><Relationship Id="rId686" Type="http://schemas.openxmlformats.org/officeDocument/2006/relationships/hyperlink" Target="https://twitter.com/eduardheger/status/1512386024399376389" TargetMode="External"/><Relationship Id="rId893" Type="http://schemas.openxmlformats.org/officeDocument/2006/relationships/hyperlink" Target="https://www.defense.gov/News/Releases/Release/Article/3066864/fact-sheet-on-us-security-assistance-to-ukraine/" TargetMode="External"/><Relationship Id="rId2367" Type="http://schemas.openxmlformats.org/officeDocument/2006/relationships/hyperlink" Target="https://ua.ambafrance.org/Dostavka-1000-t-francuz-koyi-gumaniitarnoyi-dopomogi-ukrayins-kim-adresatam-v" TargetMode="External"/><Relationship Id="rId2574" Type="http://schemas.openxmlformats.org/officeDocument/2006/relationships/hyperlink" Target="https://www.premier.be/sites/default/files/articles/BE%20support%20militaire.pdf" TargetMode="External"/><Relationship Id="rId2781" Type="http://schemas.openxmlformats.org/officeDocument/2006/relationships/hyperlink" Target="https://crsreports.congress.gov/product/pdf/IF/IF12040" TargetMode="External"/><Relationship Id="rId3418" Type="http://schemas.openxmlformats.org/officeDocument/2006/relationships/hyperlink" Target="https://www.bundesregierung.de/breg-en/news/military-support-ukraine-2054992" TargetMode="External"/><Relationship Id="rId3625" Type="http://schemas.openxmlformats.org/officeDocument/2006/relationships/hyperlink" Target="https://www.bundesregierung.de/breg-en/news/military-support-ukraine-2054992" TargetMode="External"/><Relationship Id="rId339" Type="http://schemas.openxmlformats.org/officeDocument/2006/relationships/hyperlink" Target="https://www.lamoncloa.gob.es/lang/en/gobierno/news/Paginas/2022/20220226_humanitarian-aid.aspx" TargetMode="External"/><Relationship Id="rId546" Type="http://schemas.openxmlformats.org/officeDocument/2006/relationships/hyperlink" Target="https://euneighbourseast.eu/news-and-stories/latest-news/ukraine-eu-announces-new-aid-worth-e200-million-for-displaced-people/" TargetMode="External"/><Relationship Id="rId753" Type="http://schemas.openxmlformats.org/officeDocument/2006/relationships/hyperlink" Target="https://www.mfa.gov.lv/en/article/latvian-foreign-ministry-channel-eur-24000000-towards-assistance-ukraine" TargetMode="External"/><Relationship Id="rId1176" Type="http://schemas.openxmlformats.org/officeDocument/2006/relationships/hyperlink" Target="https://spectator.sme.sk/c/23092666/slovaka-will-provide-winter-package-for-ukraine.html" TargetMode="External"/><Relationship Id="rId1383" Type="http://schemas.openxmlformats.org/officeDocument/2006/relationships/hyperlink" Target="https://appropriations.house.gov/sites/democrats.appropriations.house.gov/files/Ukraine%20Supplemental%20Summary.pdf" TargetMode="External"/><Relationship Id="rId2227" Type="http://schemas.openxmlformats.org/officeDocument/2006/relationships/hyperlink" Target="https://appropriations.house.gov/sites/democrats.appropriations.house.gov/files/Ukraine%20Supplemental%20Summary.pdf" TargetMode="External"/><Relationship Id="rId2434" Type="http://schemas.openxmlformats.org/officeDocument/2006/relationships/hyperlink" Target="https://www.reuters.com/world/europe/canadas-trudeau-announces-new-weapons-ukraine-visit-kyiv-2022-05-08/" TargetMode="External"/><Relationship Id="rId3832" Type="http://schemas.openxmlformats.org/officeDocument/2006/relationships/hyperlink" Target="https://www.defense.gov/News/Releases/Release/Article/3367924/biden-administration-announces-additional-security-assistance-for-ukraine/" TargetMode="External"/><Relationship Id="rId406" Type="http://schemas.openxmlformats.org/officeDocument/2006/relationships/hyperlink" Target="https://twitter.com/florence_parly/status/1514275166158790666" TargetMode="External"/><Relationship Id="rId960" Type="http://schemas.openxmlformats.org/officeDocument/2006/relationships/hyperlink" Target="https://www.ukrinform.net/rubric-ato/3604150-italy-provides-ukraine-with-two-m270-systems-six-pzh-2000-about-30-selfpropelled-howitzers-media.html" TargetMode="External"/><Relationship Id="rId1036" Type="http://schemas.openxmlformats.org/officeDocument/2006/relationships/hyperlink" Target="https://www.defensa.gob.es/gabinete/notasPrensa/2022/10/DGC-221006-envio-ucrania.html" TargetMode="External"/><Relationship Id="rId1243" Type="http://schemas.openxmlformats.org/officeDocument/2006/relationships/hyperlink" Target="https://www.ukrinform.net/rubric-society/3477447-india-donates-total-of-187-tonnes-of-humanitarian-aid-to-ukrainian-hospitals.html" TargetMode="External"/><Relationship Id="rId1590" Type="http://schemas.openxmlformats.org/officeDocument/2006/relationships/hyperlink" Target="https://appropriations.house.gov/sites/democrats.appropriations.house.gov/files/Additional%20Ukraine%20Suplemental%20Appropriations%20Act%20Summary.pdf" TargetMode="External"/><Relationship Id="rId2641" Type="http://schemas.openxmlformats.org/officeDocument/2006/relationships/hyperlink" Target="https://www.defensie.nl/onderwerpen/oostflank-navo-gebied/militaire-steun-aan-oekraine" TargetMode="External"/><Relationship Id="rId4399" Type="http://schemas.openxmlformats.org/officeDocument/2006/relationships/hyperlink" Target="https://www.bundesregierung.de/resource/blob/975226/2189778/cdb664abe95e6fa74802882bd66ef771/2023-05-14-liste-ukr-unterstuetzung-data.pdf?download=1" TargetMode="External"/><Relationship Id="rId613" Type="http://schemas.openxmlformats.org/officeDocument/2006/relationships/hyperlink" Target="https://www.abc.net.au/news/2022-02-27/australia-send-weapons-nato-ukraine-war-russia/100865712" TargetMode="External"/><Relationship Id="rId820" Type="http://schemas.openxmlformats.org/officeDocument/2006/relationships/hyperlink" Target="https://www.defense.gov/News/Releases/Release/Article/3138105/nearly-3-billion-in-additional-security-assistance-for-ukraine/" TargetMode="External"/><Relationship Id="rId1450" Type="http://schemas.openxmlformats.org/officeDocument/2006/relationships/hyperlink" Target="https://appropriations.house.gov/sites/democrats.appropriations.house.gov/files/Ukraine%20Supplemental%20Summary.pdf" TargetMode="External"/><Relationship Id="rId2501" Type="http://schemas.openxmlformats.org/officeDocument/2006/relationships/hyperlink" Target="https://twitter.com/alexanderdecroo/status/1497914776063594502" TargetMode="External"/><Relationship Id="rId1103" Type="http://schemas.openxmlformats.org/officeDocument/2006/relationships/hyperlink" Target="https://www.gov.uk/government/news/uk-to-send-scores-of-artillery-guns-and-hundreds-of-drones-to-ukraine" TargetMode="External"/><Relationship Id="rId1310" Type="http://schemas.openxmlformats.org/officeDocument/2006/relationships/hyperlink" Target="https://www.luxtimes.lu/en/luxembourg/luxembourg-bought-soviet-era-weapons-for-ukraine-62cfbed9de135b9236a64dd4" TargetMode="External"/><Relationship Id="rId4259" Type="http://schemas.openxmlformats.org/officeDocument/2006/relationships/hyperlink" Target="https://web.archive.org/web/20230127053143/https:/www.government.is/topics/foreign-affairs/war-in-ukraine/" TargetMode="External"/><Relationship Id="rId4466" Type="http://schemas.openxmlformats.org/officeDocument/2006/relationships/hyperlink" Target="https://www.bundesregierung.de/resource/blob/975226/2189778/cdb664abe95e6fa74802882bd66ef771/2023-05-14-liste-ukr-unterstuetzung-data.pdf?download=1" TargetMode="External"/><Relationship Id="rId4673" Type="http://schemas.openxmlformats.org/officeDocument/2006/relationships/hyperlink" Target="https://www.defense.gov/News/Releases/Release/Article/3383288/biden-administration-announces-additional-security-assistance-for-ukraine/" TargetMode="External"/><Relationship Id="rId3068" Type="http://schemas.openxmlformats.org/officeDocument/2006/relationships/hyperlink" Target="https://www.defensie.nl/onderwerpen/oostflank-navo-gebied/militaire-steun-aan-oekraine" TargetMode="External"/><Relationship Id="rId3275" Type="http://schemas.openxmlformats.org/officeDocument/2006/relationships/hyperlink" Target="https://www.thedefensepost.com/2022/05/03/slovakia-repair-ukrainian-equipment/" TargetMode="External"/><Relationship Id="rId3482" Type="http://schemas.openxmlformats.org/officeDocument/2006/relationships/hyperlink" Target="https://www.bundesregierung.de/breg-en/news/military-support-ukraine-2054992" TargetMode="External"/><Relationship Id="rId4119" Type="http://schemas.openxmlformats.org/officeDocument/2006/relationships/hyperlink" Target="https://mil.in.ua/en/news/estonia-provides-ukraine-with-new-military-aid-package/" TargetMode="External"/><Relationship Id="rId4326" Type="http://schemas.openxmlformats.org/officeDocument/2006/relationships/hyperlink" Target="https://www.bundesregierung.de/resource/blob/975226/2189778/cdb664abe95e6fa74802882bd66ef771/2023-05-14-liste-ukr-unterstuetzung-data.pdf?download=1" TargetMode="External"/><Relationship Id="rId4533" Type="http://schemas.openxmlformats.org/officeDocument/2006/relationships/hyperlink" Target="https://mil.in.ua/en/news/spain-announces-a-new-delivery-of-m113-to-ukraine/" TargetMode="External"/><Relationship Id="rId4740" Type="http://schemas.openxmlformats.org/officeDocument/2006/relationships/hyperlink" Target="https://www.bundesregierung.de/breg-en/news/military-support-ukraine-2054992" TargetMode="External"/><Relationship Id="rId196" Type="http://schemas.openxmlformats.org/officeDocument/2006/relationships/hyperlink" Target="https://twitter.com/UAWeapons/status/1530575142115495937" TargetMode="External"/><Relationship Id="rId2084" Type="http://schemas.openxmlformats.org/officeDocument/2006/relationships/hyperlink" Target="https://appropriations.house.gov/sites/democrats.appropriations.house.gov/files/Additional%20Ukraine%20Suplemental%20Appropriations%20Act%20Summary.pdf" TargetMode="External"/><Relationship Id="rId2291" Type="http://schemas.openxmlformats.org/officeDocument/2006/relationships/hyperlink" Target="https://crsreports.congress.gov/product/pdf/IF/IF12040" TargetMode="External"/><Relationship Id="rId3135" Type="http://schemas.openxmlformats.org/officeDocument/2006/relationships/hyperlink" Target="https://twitter.com/HarjitSajjan/status/1596191692184776709?cxt=HHwWisDT4eL456YsAAAA" TargetMode="External"/><Relationship Id="rId3342" Type="http://schemas.openxmlformats.org/officeDocument/2006/relationships/hyperlink" Target="https://mil.in.ua/en/news/what-spain-hands-over-to-ukraine-aspide-sam-battalion-hawk-air-defense-systems-anti-tank-systems-guns-and-projectiles/" TargetMode="External"/><Relationship Id="rId4600" Type="http://schemas.openxmlformats.org/officeDocument/2006/relationships/hyperlink" Target="https://vlada.gov.hr/vijesti/grlic-radman-hrvatska-izdasno-i-konzistentno-pomaze-ukrajini/38083" TargetMode="External"/><Relationship Id="rId263" Type="http://schemas.openxmlformats.org/officeDocument/2006/relationships/hyperlink" Target="https://www.lrt.lt/en/news-in-english/19/1628536/lithuania-to-send-eur4-million-medical-military-assistance-to-ukraine" TargetMode="External"/><Relationship Id="rId470" Type="http://schemas.openxmlformats.org/officeDocument/2006/relationships/hyperlink" Target="https://www.reuters.com/world/new-zealand-provide-ukraine-with-non-lethal-military-assistance-2022-03-21/" TargetMode="External"/><Relationship Id="rId2151" Type="http://schemas.openxmlformats.org/officeDocument/2006/relationships/hyperlink" Target="https://appropriations.house.gov/sites/democrats.appropriations.house.gov/files/Additional%20Ukraine%20Suplemental%20Appropriations%20Act%20Summary.pdf" TargetMode="External"/><Relationship Id="rId3202" Type="http://schemas.openxmlformats.org/officeDocument/2006/relationships/hyperlink" Target="https://japan.kantei.go.jp/ongoingtopics/pdf/jp_stands_with_ukraine_eng.pdf" TargetMode="External"/><Relationship Id="rId123" Type="http://schemas.openxmlformats.org/officeDocument/2006/relationships/hyperlink" Target="https://www.lejdd.fr/International/sebastien-lecornu-ministre-des-armees-nous-navons-pas-a-rougir-de-notre-aide-a-lukraine-4148779" TargetMode="External"/><Relationship Id="rId330" Type="http://schemas.openxmlformats.org/officeDocument/2006/relationships/hyperlink" Target="https://www.reuters.com/world/europe/sweden-send-military-aid-ukraine-pm-andersson-2022-02-27/" TargetMode="External"/><Relationship Id="rId2011" Type="http://schemas.openxmlformats.org/officeDocument/2006/relationships/hyperlink" Target="https://crsreports.congress.gov/product/pdf/IF/IF12040" TargetMode="External"/><Relationship Id="rId2968" Type="http://schemas.openxmlformats.org/officeDocument/2006/relationships/hyperlink" Target="https://www.thedefensepost.com/2023/01/31/france-caesar-howitzers-ukraine/" TargetMode="External"/><Relationship Id="rId4183" Type="http://schemas.openxmlformats.org/officeDocument/2006/relationships/hyperlink" Target="https://www.esteri.it/en/sala_stampa/archivionotizie/comunicati/2023/04/comunicato-congiunto-italia-ucraina-in-occasione-della-conferenza-sulla-ricostruzione-dellucraina-roma-26-aprile-2023/" TargetMode="External"/><Relationship Id="rId1777" Type="http://schemas.openxmlformats.org/officeDocument/2006/relationships/hyperlink" Target="https://crsreports.congress.gov/product/pdf/IF/IF12040" TargetMode="External"/><Relationship Id="rId1984" Type="http://schemas.openxmlformats.org/officeDocument/2006/relationships/hyperlink" Target="https://crsreports.congress.gov/product/pdf/IF/IF12040" TargetMode="External"/><Relationship Id="rId2828" Type="http://schemas.openxmlformats.org/officeDocument/2006/relationships/hyperlink" Target="https://crsreports.congress.gov/product/pdf/IF/IF12040" TargetMode="External"/><Relationship Id="rId4390" Type="http://schemas.openxmlformats.org/officeDocument/2006/relationships/hyperlink" Target="https://www.bundesregierung.de/resource/blob/975226/2189778/cdb664abe95e6fa74802882bd66ef771/2023-05-14-liste-ukr-unterstuetzung-data.pdf?download=1" TargetMode="External"/><Relationship Id="rId69" Type="http://schemas.openxmlformats.org/officeDocument/2006/relationships/hyperlink" Target="https://www.theportugalnews.com/news/2022-04-07/portugal-to-send-more-military-material-to-ukraine/66259" TargetMode="External"/><Relationship Id="rId1637" Type="http://schemas.openxmlformats.org/officeDocument/2006/relationships/hyperlink" Target="https://appropriations.house.gov/sites/democrats.appropriations.house.gov/files/Additional%20Ukraine%20Suplemental%20Appropriations%20Act%20Summary.pdf" TargetMode="External"/><Relationship Id="rId1844" Type="http://schemas.openxmlformats.org/officeDocument/2006/relationships/hyperlink" Target="https://appropriations.house.gov/sites/democrats.appropriations.house.gov/files/Summary%20Continuing%20Appropriations%20and%20Ukraine%20Supplemental%20Appropriations%20Act%202023.pdf" TargetMode="External"/><Relationship Id="rId4043" Type="http://schemas.openxmlformats.org/officeDocument/2006/relationships/hyperlink" Target="https://www.weaponstoukraine.com/kampane/viktor-mobile-air-defense-for-ukraine" TargetMode="External"/><Relationship Id="rId4250" Type="http://schemas.openxmlformats.org/officeDocument/2006/relationships/hyperlink" Target="https://www.eda.admin.ch/eda/en/fdfa/fdfa/aktuell/dossiers/krieg-gegen-ukraine.html" TargetMode="External"/><Relationship Id="rId1704" Type="http://schemas.openxmlformats.org/officeDocument/2006/relationships/hyperlink" Target="https://crsreports.congress.gov/product/pdf/IF/IF12040" TargetMode="External"/><Relationship Id="rId4110" Type="http://schemas.openxmlformats.org/officeDocument/2006/relationships/hyperlink" Target="https://twitter.com/MoD_Estonia/status/1629927711668838400?cxt=HHwWgICx-can1Z4tAAAA" TargetMode="External"/><Relationship Id="rId1911" Type="http://schemas.openxmlformats.org/officeDocument/2006/relationships/hyperlink" Target="https://appropriations.house.gov/sites/democrats.appropriations.house.gov/files/Ukraine%20Supplemental%20Summary%20FY23.pdf" TargetMode="External"/><Relationship Id="rId3669" Type="http://schemas.openxmlformats.org/officeDocument/2006/relationships/hyperlink" Target="https://www.reuters.com/world/europe/denmark-send-artillery-ukraine-delaying-own-build-up-2023-01-19/" TargetMode="External"/><Relationship Id="rId797" Type="http://schemas.openxmlformats.org/officeDocument/2006/relationships/hyperlink" Target="https://www.defense.gov/News/Releases/Release/Article/3152071/675-million-in-additional-security-assistance-for-ukraine/" TargetMode="External"/><Relationship Id="rId2478" Type="http://schemas.openxmlformats.org/officeDocument/2006/relationships/hyperlink" Target="https://en.interfax.com.ua/news/general/859303.html" TargetMode="External"/><Relationship Id="rId3876" Type="http://schemas.openxmlformats.org/officeDocument/2006/relationships/hyperlink" Target="https://www.defense.gov/News/Releases/Release/Article/3402206/biden-administration-announces-additional-security-assistance-for-ukraine/" TargetMode="External"/><Relationship Id="rId1287" Type="http://schemas.openxmlformats.org/officeDocument/2006/relationships/hyperlink" Target="https://www.bundesregierung.de/resource/blob/975226/2155792/c3dbab706421f63d3d612091e7ecad4c/2022-12-27-unterstuetzung-ukraine-breg-data.pdf?download=1%20Guten" TargetMode="External"/><Relationship Id="rId2685" Type="http://schemas.openxmlformats.org/officeDocument/2006/relationships/hyperlink" Target="https://www.lrt.lt/en/news-in-english/19/1742916/lithuania-to-send-armoured-personnel-carriers-ammunition-to-ukraine" TargetMode="External"/><Relationship Id="rId2892" Type="http://schemas.openxmlformats.org/officeDocument/2006/relationships/hyperlink" Target="https://en.defence-ua.com/industries/czechia_sends_ukraine_mi_24_attack_helicopters-3051.html" TargetMode="External"/><Relationship Id="rId3529" Type="http://schemas.openxmlformats.org/officeDocument/2006/relationships/hyperlink" Target="https://www.bundesregierung.de/breg-en/news/military-support-ukraine-2054992" TargetMode="External"/><Relationship Id="rId3736" Type="http://schemas.openxmlformats.org/officeDocument/2006/relationships/hyperlink" Target="https://www.government.se/articles/2023/01/heavy-advanced-weapons-to-ukraine/" TargetMode="External"/><Relationship Id="rId3943" Type="http://schemas.openxmlformats.org/officeDocument/2006/relationships/hyperlink" Target="https://www.defense.gov/News/Releases/Release/Article/3350958/biden-administration-announces-additional-security-assistance-for-ukraine/" TargetMode="External"/><Relationship Id="rId657" Type="http://schemas.openxmlformats.org/officeDocument/2006/relationships/hyperlink" Target="https://www.rijksoverheid.nl/documenten/kamerstukken/2022/02/27/kamerbrief-update-afgifte-vergunning-voor-de-export-van-militaire-goederen-aan-oekraine" TargetMode="External"/><Relationship Id="rId864" Type="http://schemas.openxmlformats.org/officeDocument/2006/relationships/hyperlink" Target="https://twitter.com/oleksiireznikov/status/1569670474841427971" TargetMode="External"/><Relationship Id="rId1494" Type="http://schemas.openxmlformats.org/officeDocument/2006/relationships/hyperlink" Target="https://appropriations.house.gov/sites/democrats.appropriations.house.gov/files/Ukraine%20Supplemental%20Summary.pdf" TargetMode="External"/><Relationship Id="rId2338" Type="http://schemas.openxmlformats.org/officeDocument/2006/relationships/hyperlink" Target="https://www.globalcitizen.org/en/content/stand-up-for-ukraine-impact-report/" TargetMode="External"/><Relationship Id="rId2545" Type="http://schemas.openxmlformats.org/officeDocument/2006/relationships/hyperlink" Target="https://diplomatie.belgium.be/en/policy/policy-areas/highlighted/civilian-aid-ukraine-overview" TargetMode="External"/><Relationship Id="rId2752" Type="http://schemas.openxmlformats.org/officeDocument/2006/relationships/hyperlink" Target="https://www.defense.gov/News/Releases/Release/Article/3272866/biden-administration-announces-additional-security-assistance-for-ukraine/" TargetMode="External"/><Relationship Id="rId3803" Type="http://schemas.openxmlformats.org/officeDocument/2006/relationships/hyperlink" Target="https://www.defense.gov/News/Releases/Release/Article/3350958/biden-administration-announces-additional-security-assistance-for-ukraine/" TargetMode="External"/><Relationship Id="rId517" Type="http://schemas.openxmlformats.org/officeDocument/2006/relationships/hyperlink" Target="https://www.lamoncloa.gob.es/lang/en/gobierno/news/Paginas/2022/20220411_health-shipment.aspx" TargetMode="External"/><Relationship Id="rId724" Type="http://schemas.openxmlformats.org/officeDocument/2006/relationships/hyperlink" Target="https://www.reuters.com/world/europe/sweden-supply-more-military-aid-including-anti-ship-missiles-ukraine-2022-06-02/" TargetMode="External"/><Relationship Id="rId931" Type="http://schemas.openxmlformats.org/officeDocument/2006/relationships/hyperlink" Target="https://www.nippon.com/en/news/kd927892413712449536/" TargetMode="External"/><Relationship Id="rId1147" Type="http://schemas.openxmlformats.org/officeDocument/2006/relationships/hyperlink" Target="https://apnews.com/article/politics-bulgaria-moscow-rumen-radev-ukraine-government-125de4ab26d01dfd89421ffbf9c7b8d2" TargetMode="External"/><Relationship Id="rId1354" Type="http://schemas.openxmlformats.org/officeDocument/2006/relationships/hyperlink" Target="https://mva.gov.ua/ua/news/poshta-portugaliyi-peredala-50-tisyach-yevro-z-prodazhu-marki-solidarnosti-na-vidbudovu-borodyanka-centru" TargetMode="External"/><Relationship Id="rId1561" Type="http://schemas.openxmlformats.org/officeDocument/2006/relationships/hyperlink" Target="https://appropriations.house.gov/sites/democrats.appropriations.house.gov/files/Additional%20Ukraine%20Suplemental%20Appropriations%20Act%20Summary.pdf" TargetMode="External"/><Relationship Id="rId2405" Type="http://schemas.openxmlformats.org/officeDocument/2006/relationships/hyperlink" Target="https://www.mofa.go.jp/press/release/press4e_003098.html" TargetMode="External"/><Relationship Id="rId2612" Type="http://schemas.openxmlformats.org/officeDocument/2006/relationships/hyperlink" Target="https://pm.gc.ca/en/news/news-releases/2023/02/24/supporting-ukraine-long-it-takes" TargetMode="External"/><Relationship Id="rId60" Type="http://schemas.openxmlformats.org/officeDocument/2006/relationships/hyperlink" Target="https://www-forsvaret-no.translate.goog/aktuelt-og-presse/aktuelt/sender-militaerutstyr-og-vapen-til-ukraina?_x_tr_sl=auto&amp;_x_tr_tl=auto&amp;_x_tr_hl=de" TargetMode="External"/><Relationship Id="rId1007" Type="http://schemas.openxmlformats.org/officeDocument/2006/relationships/hyperlink" Target="https://www.bbc.com/news/uk-61990479" TargetMode="External"/><Relationship Id="rId1214" Type="http://schemas.openxmlformats.org/officeDocument/2006/relationships/hyperlink" Target="https://www.defense.gov/News/Releases/Release/Article/3227217/400-million-in-additional-assistance-for-ukraine/" TargetMode="External"/><Relationship Id="rId1421" Type="http://schemas.openxmlformats.org/officeDocument/2006/relationships/hyperlink" Target="https://appropriations.house.gov/sites/democrats.appropriations.house.gov/files/Ukraine%20Supplemental%20Summary.pdf" TargetMode="External"/><Relationship Id="rId4577" Type="http://schemas.openxmlformats.org/officeDocument/2006/relationships/hyperlink" Target="https://twitter.com/ZelenskyyUa/status/1653841144579538945?cxt=HHwWgoC2mcbwz_MtAAAA" TargetMode="External"/><Relationship Id="rId4784" Type="http://schemas.openxmlformats.org/officeDocument/2006/relationships/hyperlink" Target="https://www.bundesregierung.de/breg-en/news/military-support-ukraine-2054992" TargetMode="External"/><Relationship Id="rId3179" Type="http://schemas.openxmlformats.org/officeDocument/2006/relationships/hyperlink" Target="https://www.welcomeurope.com/en/eu-launches-winter-shelter-programme-in-ukrain-humanitarian-aid-raised-by-e175-million/" TargetMode="External"/><Relationship Id="rId3386" Type="http://schemas.openxmlformats.org/officeDocument/2006/relationships/hyperlink" Target="https://www.swr.de/swraktuell/baden-wuerttemberg/tuebingen/ausbildung-ukrainer-minenrauemer-100.html" TargetMode="External"/><Relationship Id="rId3593" Type="http://schemas.openxmlformats.org/officeDocument/2006/relationships/hyperlink" Target="https://www.eda.admin.ch/content/dam/eda/en/documents/aktuell/news/2022/20221215-ukraine-engagement-schweiz-finanzielle-unterstuetzung_en.pdf" TargetMode="External"/><Relationship Id="rId4437" Type="http://schemas.openxmlformats.org/officeDocument/2006/relationships/hyperlink" Target="https://www.bundesregierung.de/resource/blob/975226/2189778/cdb664abe95e6fa74802882bd66ef771/2023-05-14-liste-ukr-unterstuetzung-data.pdf?download=1" TargetMode="External"/><Relationship Id="rId4644" Type="http://schemas.openxmlformats.org/officeDocument/2006/relationships/hyperlink" Target="https://www.defensie.nl/onderwerpen/oostflank-navo-gebied/militaire-steun-aan-oekraine" TargetMode="External"/><Relationship Id="rId2195" Type="http://schemas.openxmlformats.org/officeDocument/2006/relationships/hyperlink" Target="https://appropriations.house.gov/sites/democrats.appropriations.house.gov/files/Additional%20Ukraine%20Suplemental%20Appropriations%20Act%20Summary.pdf" TargetMode="External"/><Relationship Id="rId3039" Type="http://schemas.openxmlformats.org/officeDocument/2006/relationships/hyperlink" Target="https://twitter.com/ZelenskyyUa/status/1618903893085388800" TargetMode="External"/><Relationship Id="rId3246" Type="http://schemas.openxmlformats.org/officeDocument/2006/relationships/hyperlink" Target="https://en.mofa.gov.tw/News_Content.aspx?n=1328&amp;sms=273&amp;s=97920" TargetMode="External"/><Relationship Id="rId3453" Type="http://schemas.openxmlformats.org/officeDocument/2006/relationships/hyperlink" Target="https://www.bundesregierung.de/breg-en/news/military-support-ukraine-2054992" TargetMode="External"/><Relationship Id="rId167" Type="http://schemas.openxmlformats.org/officeDocument/2006/relationships/hyperlink" Target="https://www.defensie.nl/onderwerpen/oostflank-navo-gebied/wat-doet-nederland" TargetMode="External"/><Relationship Id="rId374" Type="http://schemas.openxmlformats.org/officeDocument/2006/relationships/hyperlink" Target="https://cyprus-mail.com/2022/04/06/aid-for-ukraine-now-tops-e2-million/" TargetMode="External"/><Relationship Id="rId581" Type="http://schemas.openxmlformats.org/officeDocument/2006/relationships/hyperlink" Target="https://pmtranscripts.pmc.gov.au/release/transcript-43868" TargetMode="External"/><Relationship Id="rId205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62" Type="http://schemas.openxmlformats.org/officeDocument/2006/relationships/hyperlink" Target="https://crsreports.congress.gov/product/pdf/IF/IF12040" TargetMode="External"/><Relationship Id="rId3106" Type="http://schemas.openxmlformats.org/officeDocument/2006/relationships/hyperlink" Target="https://www.tweedekamer.nl/kamerstukken/brieven_regering/detail?id=2022D56571&amp;did=2022D56571" TargetMode="External"/><Relationship Id="rId3660" Type="http://schemas.openxmlformats.org/officeDocument/2006/relationships/hyperlink" Target="https://en.mofa.gov.tw/News_Content.aspx?n=1328&amp;s=99436" TargetMode="External"/><Relationship Id="rId4504" Type="http://schemas.openxmlformats.org/officeDocument/2006/relationships/hyperlink" Target="https://www.afad.gov.tr/turkiyeden-ukrayna-halkina-yardim-eli" TargetMode="External"/><Relationship Id="rId4711" Type="http://schemas.openxmlformats.org/officeDocument/2006/relationships/hyperlink" Target="https://www.bundesregierung.de/breg-en/news/military-support-ukraine-2054992" TargetMode="External"/><Relationship Id="rId234" Type="http://schemas.openxmlformats.org/officeDocument/2006/relationships/hyperlink" Target="https://vlada.gov.hr/news/croatia-had-sided-with-freedom-and-democracy-and-with-the-ukrainian-people-which-is-the-only-right-way/34979" TargetMode="External"/><Relationship Id="rId3313" Type="http://schemas.openxmlformats.org/officeDocument/2006/relationships/hyperlink" Target="https://www.government.se/government-policy/russias-invasion-of-ukraine/?page=3" TargetMode="External"/><Relationship Id="rId3520" Type="http://schemas.openxmlformats.org/officeDocument/2006/relationships/hyperlink" Target="https://www.bundesregierung.de/breg-en/news/military-support-ukraine-2054992" TargetMode="External"/><Relationship Id="rId441" Type="http://schemas.openxmlformats.org/officeDocument/2006/relationships/hyperlink" Target="https://www.regjeringen.no/en/aktuelt/air-defense-system-to-ukraine/id2908807/" TargetMode="External"/><Relationship Id="rId1071" Type="http://schemas.openxmlformats.org/officeDocument/2006/relationships/hyperlink" Target="https://www.consilium.europa.eu/en/policies/european-peace-facility/timeline-european-peace-facility/" TargetMode="External"/><Relationship Id="rId2122" Type="http://schemas.openxmlformats.org/officeDocument/2006/relationships/hyperlink" Target="https://appropriations.house.gov/sites/democrats.appropriations.house.gov/files/Additional%20Ukraine%20Suplemental%20Appropriations%20Act%20Summary.pdf" TargetMode="External"/><Relationship Id="rId301" Type="http://schemas.openxmlformats.org/officeDocument/2006/relationships/hyperlink" Target="https://www.czdefence.com/article/czech-republic-donates-artillery-ammunition-worth-czk-366-million-to-ukraine" TargetMode="External"/><Relationship Id="rId1888" Type="http://schemas.openxmlformats.org/officeDocument/2006/relationships/hyperlink" Target="https://appropriations.house.gov/sites/democrats.appropriations.house.gov/files/Ukraine%20Supplemental%20Summary%20FY23.pdf" TargetMode="External"/><Relationship Id="rId2939" Type="http://schemas.openxmlformats.org/officeDocument/2006/relationships/hyperlink" Target="https://www.facebook.com/GeneralStaff.ua/posts/pfbid0b8jsrAE3g5NdUCCGae2f8TP7nFcb6Zp6uq4Q89akx5RkW6EnREQrxGLAugd4qCiWl" TargetMode="External"/><Relationship Id="rId4087" Type="http://schemas.openxmlformats.org/officeDocument/2006/relationships/hyperlink" Target="https://pmg.ua/life/115101-avstriya-peredala-ukraini-4-shvydki-ikh-vzhe-dopravyly-v-uzhgorod" TargetMode="External"/><Relationship Id="rId4294" Type="http://schemas.openxmlformats.org/officeDocument/2006/relationships/hyperlink" Target="https://www.elysee.fr/emmanuel-macron/2022/12/13/solidaires-du-peuple-ukrainien" TargetMode="External"/><Relationship Id="rId1748" Type="http://schemas.openxmlformats.org/officeDocument/2006/relationships/hyperlink" Target="https://crsreports.congress.gov/product/pdf/IF/IF12040" TargetMode="External"/><Relationship Id="rId4154" Type="http://schemas.openxmlformats.org/officeDocument/2006/relationships/hyperlink" Target="https://www.rferl.org/a/ukraine-estonia-military-aid/32372658.html" TargetMode="External"/><Relationship Id="rId4361" Type="http://schemas.openxmlformats.org/officeDocument/2006/relationships/hyperlink" Target="https://www.bundesregierung.de/resource/blob/975226/2189778/cdb664abe95e6fa74802882bd66ef771/2023-05-14-liste-ukr-unterstuetzung-data.pdf?download=1" TargetMode="External"/><Relationship Id="rId1955" Type="http://schemas.openxmlformats.org/officeDocument/2006/relationships/hyperlink" Target="https://crsreports.congress.gov/product/pdf/IF/IF12040" TargetMode="External"/><Relationship Id="rId3170" Type="http://schemas.openxmlformats.org/officeDocument/2006/relationships/hyperlink" Target="https://crsreports.congress.gov/product/pdf/IF/IF12040" TargetMode="External"/><Relationship Id="rId4014" Type="http://schemas.openxmlformats.org/officeDocument/2006/relationships/hyperlink" Target="https://twitter.com/Francois_Bausch/status/1625574908645281792?cxt=HHwWgMC4mYnxmY8tAAAA" TargetMode="External"/><Relationship Id="rId4221" Type="http://schemas.openxmlformats.org/officeDocument/2006/relationships/hyperlink" Target="https://gov.ro/fr/nouvelles/point-de-presse-a-l-issue-de-la-reunion-du-gouvernement-tenu-par-le-ministre-des-investissements-et-des-projets-europeens-marcel-bolo-et-le-porte-parole-du-gouvernement-dan-carbunaru&amp;page=1" TargetMode="External"/><Relationship Id="rId1608" Type="http://schemas.openxmlformats.org/officeDocument/2006/relationships/hyperlink" Target="https://appropriations.house.gov/sites/democrats.appropriations.house.gov/files/Additional%20Ukraine%20Suplemental%20Appropriations%20Act%20Summary.pdf" TargetMode="External"/><Relationship Id="rId1815" Type="http://schemas.openxmlformats.org/officeDocument/2006/relationships/hyperlink" Target="https://crsreports.congress.gov/product/pdf/IF/IF12040" TargetMode="External"/><Relationship Id="rId3030" Type="http://schemas.openxmlformats.org/officeDocument/2006/relationships/hyperlink" Target="https://www.mod.gov.lv/lv/zinas/i-murniece-kijiva-tiekas-ar-ukrainas-aizsardzibas-ministru" TargetMode="External"/><Relationship Id="rId3987" Type="http://schemas.openxmlformats.org/officeDocument/2006/relationships/hyperlink" Target="https://www.premier.be/sites/default/files/articles/BE%20support%20militaire.pdf" TargetMode="External"/><Relationship Id="rId2589" Type="http://schemas.openxmlformats.org/officeDocument/2006/relationships/hyperlink" Target="https://www.premier.be/sites/default/files/articles/BE%20support%20militaire.pdf" TargetMode="External"/><Relationship Id="rId2796" Type="http://schemas.openxmlformats.org/officeDocument/2006/relationships/hyperlink" Target="https://www.defense.gov/News/Releases/Release/Article/3287992/biden-administration-announces-additional-security-assistance-for-ukraine/" TargetMode="External"/><Relationship Id="rId3847" Type="http://schemas.openxmlformats.org/officeDocument/2006/relationships/hyperlink" Target="https://www.state.gov/u-s-security-cooperation-with-ukraine/" TargetMode="External"/><Relationship Id="rId768" Type="http://schemas.openxmlformats.org/officeDocument/2006/relationships/hyperlink" Target="https://minagro.gov.ua/news/kanada-nadaye-40-miljoniv-dolariv-ssha-dlya-zabezpechennya-24-miljona-tonn-shovishch?fbclid=IwAR0tOKhcjlcnwj5Wvpqe3fr0kwd_90iCZAxzUMMeqqvk45emy4e0lakzOQ0" TargetMode="External"/><Relationship Id="rId975" Type="http://schemas.openxmlformats.org/officeDocument/2006/relationships/hyperlink" Target="https://twitter.com/KGeorgieva/status/1590600147368656896" TargetMode="External"/><Relationship Id="rId1398" Type="http://schemas.openxmlformats.org/officeDocument/2006/relationships/hyperlink" Target="https://appropriations.house.gov/sites/democrats.appropriations.house.gov/files/Ukraine%20Supplemental%20Summary.pdf" TargetMode="External"/><Relationship Id="rId2449" Type="http://schemas.openxmlformats.org/officeDocument/2006/relationships/hyperlink" Target="https://www.bmeia.gv.at/en/austrian-embassy-to-lithuania/news/detail/article/austria-stands-with-ukraine-as-long-as-it-takes/" TargetMode="External"/><Relationship Id="rId2656" Type="http://schemas.openxmlformats.org/officeDocument/2006/relationships/hyperlink" Target="https://www.reuters.com/world/europe/spain-says-its-mothballed-german-made-tanks-no-fit-state-send-ukraine-2022-08-02/" TargetMode="External"/><Relationship Id="rId2863" Type="http://schemas.openxmlformats.org/officeDocument/2006/relationships/hyperlink" Target="https://www.defense.gov/News/Releases/Release/Article/3287992/biden-administration-announces-additional-security-assistance-for-ukraine/" TargetMode="External"/><Relationship Id="rId3707" Type="http://schemas.openxmlformats.org/officeDocument/2006/relationships/hyperlink" Target="https://www.defmin.fi/en/topical/press_releases_and_news/finland_donates_defence_materiel_assistance_to_ukraine_including_more_of_mine-clearing_leopard_2_tanks.13477.news" TargetMode="External"/><Relationship Id="rId3914" Type="http://schemas.openxmlformats.org/officeDocument/2006/relationships/hyperlink" Target="https://www.state.gov/u-s-security-cooperation-with-ukraine/" TargetMode="External"/><Relationship Id="rId628" Type="http://schemas.openxmlformats.org/officeDocument/2006/relationships/hyperlink" Target="https://www.gazzettaufficiale.it/atto/serie_generale/caricaDettaglioAtto/originario?atto.dataPubblicazioneGazzetta=2022-05-13&amp;atto.codiceRedazionale=22A02976&amp;elenco30giorni=false" TargetMode="External"/><Relationship Id="rId835" Type="http://schemas.openxmlformats.org/officeDocument/2006/relationships/hyperlink" Target="https://www.defense.gov/News/Releases/Release/Article/3173378/11-billion-in-additional-security-assistance-for-ukraine/" TargetMode="External"/><Relationship Id="rId1258" Type="http://schemas.openxmlformats.org/officeDocument/2006/relationships/hyperlink" Target="https://www.gov.ie/en/press-release/b80b7-government-ministers-announce-irish-support-for-ukrainian-health-service/?msclkid=07ab0901b05a11ec8239ca04bfcdbb9d" TargetMode="External"/><Relationship Id="rId1465" Type="http://schemas.openxmlformats.org/officeDocument/2006/relationships/hyperlink" Target="https://appropriations.house.gov/sites/democrats.appropriations.house.gov/files/Ukraine%20Supplemental%20Summary.pdf" TargetMode="External"/><Relationship Id="rId1672" Type="http://schemas.openxmlformats.org/officeDocument/2006/relationships/hyperlink" Target="https://crsreports.congress.gov/product/pdf/IF/IF12040" TargetMode="External"/><Relationship Id="rId2309" Type="http://schemas.openxmlformats.org/officeDocument/2006/relationships/hyperlink" Target="https://appropriations.house.gov/sites/democrats.appropriations.house.gov/files/Ukraine%20Supplemental%20Summary%20FY23.pdf" TargetMode="External"/><Relationship Id="rId2516" Type="http://schemas.openxmlformats.org/officeDocument/2006/relationships/hyperlink" Target="https://mil.in.ua/en/news/belgium-made-a-decision-to-hand-over-artillery-to-ukraine-the-media/" TargetMode="External"/><Relationship Id="rId2723" Type="http://schemas.openxmlformats.org/officeDocument/2006/relationships/hyperlink" Target="https://www.reuters.com/article/ukraine-crisis-norway-idUSKBN2UO0W6" TargetMode="External"/><Relationship Id="rId1118" Type="http://schemas.openxmlformats.org/officeDocument/2006/relationships/hyperlink" Target="https://twitter.com/a_anusauskas/status/1598967997879955457" TargetMode="External"/><Relationship Id="rId1325" Type="http://schemas.openxmlformats.org/officeDocument/2006/relationships/hyperlink" Target="https://www.mod.bg/bg/news.php?&amp;fn_page=2" TargetMode="External"/><Relationship Id="rId1532" Type="http://schemas.openxmlformats.org/officeDocument/2006/relationships/hyperlink" Target="https://appropriations.house.gov/sites/democrats.appropriations.house.gov/files/Additional%20Ukraine%20Suplemental%20Appropriations%20Act%20Summary.pdf" TargetMode="External"/><Relationship Id="rId2930" Type="http://schemas.openxmlformats.org/officeDocument/2006/relationships/hyperlink" Target="https://menafn.com/1105631486/Ukraine-Gets-New-Batch-Of-Bridges-From-Czech-Republic" TargetMode="External"/><Relationship Id="rId4688" Type="http://schemas.openxmlformats.org/officeDocument/2006/relationships/hyperlink" Target="https://www.bundesregierung.de/breg-en/news/military-support-ukraine-2054992" TargetMode="External"/><Relationship Id="rId902" Type="http://schemas.openxmlformats.org/officeDocument/2006/relationships/hyperlink" Target="https://www.armyrecognition.com/defense_news_april_2022_global_security_army_industry/denmark_approves_delivery_of_m113_tracked_armored_vehicles_and_ammunition_to_ukraine.html" TargetMode="External"/><Relationship Id="rId3497" Type="http://schemas.openxmlformats.org/officeDocument/2006/relationships/hyperlink" Target="https://www.bundesregierung.de/breg-en/news/military-support-ukraine-2054992" TargetMode="External"/><Relationship Id="rId31" Type="http://schemas.openxmlformats.org/officeDocument/2006/relationships/hyperlink" Target="https://www.thelocal.es/20220421/spain-sends-200-tonnes-of-military-material-to-ukraine-pm/" TargetMode="External"/><Relationship Id="rId2099" Type="http://schemas.openxmlformats.org/officeDocument/2006/relationships/hyperlink" Target="https://appropriations.house.gov/sites/democrats.appropriations.house.gov/files/Ukraine%20Supplemental%20Summary.pdf" TargetMode="External"/><Relationship Id="rId4548" Type="http://schemas.openxmlformats.org/officeDocument/2006/relationships/hyperlink" Target="https://crsreports.congress.gov/product/pdf/IF/IF12040" TargetMode="External"/><Relationship Id="rId4755" Type="http://schemas.openxmlformats.org/officeDocument/2006/relationships/hyperlink" Target="https://www.bundesregierung.de/breg-en/news/military-support-ukraine-2054992" TargetMode="External"/><Relationship Id="rId278" Type="http://schemas.openxmlformats.org/officeDocument/2006/relationships/hyperlink" Target="https://www.canada.ca/en/department-national-defence/news/2022/02/canada-commits-lethal-weapons-and-ammunition-in-support-of-ukraine.html" TargetMode="External"/><Relationship Id="rId3357" Type="http://schemas.openxmlformats.org/officeDocument/2006/relationships/hyperlink" Target="https://www.forbes.com/sites/davidaxe/2023/04/08/ukraines-stryker-fighting-vehicles-could-be-in-big-trouble-when-they-collide-with-russian-defenses/" TargetMode="External"/><Relationship Id="rId3564" Type="http://schemas.openxmlformats.org/officeDocument/2006/relationships/hyperlink" Target="https://www.mzv.cz/dresden/cz/zpravy_a_udalosti/predani_humanitarni_pomoci_sanitek_leku.html" TargetMode="External"/><Relationship Id="rId3771" Type="http://schemas.openxmlformats.org/officeDocument/2006/relationships/hyperlink" Target="https://www.defense.gov/News/News-Stories/Article/Article/3318508/us-sends-ukraine-400-million-in-military-equipment/" TargetMode="External"/><Relationship Id="rId4408" Type="http://schemas.openxmlformats.org/officeDocument/2006/relationships/hyperlink" Target="https://www.bundesregierung.de/resource/blob/975226/2189778/cdb664abe95e6fa74802882bd66ef771/2023-05-14-liste-ukr-unterstuetzung-data.pdf?download=1" TargetMode="External"/><Relationship Id="rId4615" Type="http://schemas.openxmlformats.org/officeDocument/2006/relationships/hyperlink" Target="https://web.archive.org/web/20230524183203/https:/www.defesa.gov.pt/pt/comunicacao/documentos/Lists/PDEFINTER_DocumentoLookupList/apoio_militar_Portugal_Ucrania_20230503.pdf" TargetMode="External"/><Relationship Id="rId4822" Type="http://schemas.openxmlformats.org/officeDocument/2006/relationships/hyperlink" Target="https://www.bundesregierung.de/breg-en/news/military-support-ukraine-2054992" TargetMode="External"/><Relationship Id="rId485" Type="http://schemas.openxmlformats.org/officeDocument/2006/relationships/hyperlink" Target="https://www.dw.com/bg/%D0%BF%D0%B0%D1%80%D0%BB%D0%B0%D0%BC%D0%B5%D0%BD%D1%82%D1%8A%D1%82-%D1%80%D0%B5%D1%88%D0%B8-%D0%B1%D1%8A%D0%BB%D0%B3%D0%B0%D1%80%D0%B8%D1%8F-%D1%89%D0%B5-%D0%BE%D0%BA%D0%B0%D0%B6%D0%B5-%D0%B2%D0%BE%D0%B5%D0%BD%D0%BD%D0%BE-%D1%82%D0%B5%D1%85%D0%BD%D0%B8%D1%87%D0%B5%D1%81%D0%BA%D0%B0-%D0%BF%D0%BE%D0%BC%D0%BE%D1%89-%D0%BD%D0%B0-%D1%83%D0%BA%D1%80%D0%B0%D0%B9%D0%BD%D0%B0/a-61683857" TargetMode="External"/><Relationship Id="rId692" Type="http://schemas.openxmlformats.org/officeDocument/2006/relationships/hyperlink" Target="https://www.total-slovenia-news.com/politics/10138-slovenia-moves-from-military-to-humanitarian-aid-for-ukraine" TargetMode="External"/><Relationship Id="rId2166" Type="http://schemas.openxmlformats.org/officeDocument/2006/relationships/hyperlink" Target="https://appropriations.house.gov/sites/democrats.appropriations.house.gov/files/Additional%20Ukraine%20Suplemental%20Appropriations%20Act%20Summary.pdf" TargetMode="External"/><Relationship Id="rId2373" Type="http://schemas.openxmlformats.org/officeDocument/2006/relationships/hyperlink" Target="https://www.connexionfrance.com/article/French-news/Humanitarian-ship-for-Ukraine-leaves-French-port-with-8m-of-aid" TargetMode="External"/><Relationship Id="rId2580" Type="http://schemas.openxmlformats.org/officeDocument/2006/relationships/hyperlink" Target="https://www.premier.be/sites/default/files/articles/BE%20support%20militaire.pdf" TargetMode="External"/><Relationship Id="rId3217" Type="http://schemas.openxmlformats.org/officeDocument/2006/relationships/hyperlink" Target="https://edition.cnn.com/europe/live-news/russia-ukraine-war-news-08-24-22/h_0001b50a7944fe59550a2b1042729b16" TargetMode="External"/><Relationship Id="rId3424" Type="http://schemas.openxmlformats.org/officeDocument/2006/relationships/hyperlink" Target="https://www.bundesregierung.de/breg-en/news/military-support-ukraine-2054992" TargetMode="External"/><Relationship Id="rId3631" Type="http://schemas.openxmlformats.org/officeDocument/2006/relationships/hyperlink" Target="https://www.bundesregierung.de/breg-en/news/military-support-ukraine-2054992" TargetMode="External"/><Relationship Id="rId138" Type="http://schemas.openxmlformats.org/officeDocument/2006/relationships/hyperlink" Target="https://www.mil.gov.ua/en/news/2022/11/15/russia-is-told-about-peace-it-responds-with-missiles-address-by-the-president-of-ukraine/" TargetMode="External"/><Relationship Id="rId345" Type="http://schemas.openxmlformats.org/officeDocument/2006/relationships/hyperlink" Target="https://www.gov.uk/government/speeches/pm-statement-at-ukraine-press-conference-1-february-2022" TargetMode="External"/><Relationship Id="rId552" Type="http://schemas.openxmlformats.org/officeDocument/2006/relationships/hyperlink" Target="https://www.youtube.com/watch?v=vzENx6dTpqY" TargetMode="External"/><Relationship Id="rId1182" Type="http://schemas.openxmlformats.org/officeDocument/2006/relationships/hyperlink" Target="https://um.dk/en/foreign-policy/danish-support-for-ukraine" TargetMode="External"/><Relationship Id="rId2026" Type="http://schemas.openxmlformats.org/officeDocument/2006/relationships/hyperlink" Target="https://crsreports.congress.gov/product/pdf/IF/IF12040" TargetMode="External"/><Relationship Id="rId2233" Type="http://schemas.openxmlformats.org/officeDocument/2006/relationships/hyperlink" Target="https://appropriations.house.gov/sites/democrats.appropriations.house.gov/files/Ukraine%20Supplemental%20Summary.pdf" TargetMode="External"/><Relationship Id="rId2440" Type="http://schemas.openxmlformats.org/officeDocument/2006/relationships/hyperlink" Target="https://www.ant1live.com/politiki/532556_symfonia-kyproy-polonias-gia-parohi-anthropistikis-boitheias-pros-tin-oykrania" TargetMode="External"/><Relationship Id="rId205" Type="http://schemas.openxmlformats.org/officeDocument/2006/relationships/hyperlink" Target="https://twitter.com/Defense_lu/status/1598610977364115462?t=6bU22e0y0z-S3WKot0R3BA&amp;s=19" TargetMode="External"/><Relationship Id="rId412" Type="http://schemas.openxmlformats.org/officeDocument/2006/relationships/hyperlink" Target="https://polskatimes.pl/polska-przekazala-ukraincom-pomoc-humanitarna-o-wartosci-300-milionow-zlotych/ar/c1-16217063" TargetMode="External"/><Relationship Id="rId1042" Type="http://schemas.openxmlformats.org/officeDocument/2006/relationships/hyperlink" Target="https://twitter.com/kyivindependent/status/1520462556338569216?lang=en" TargetMode="External"/><Relationship Id="rId2300" Type="http://schemas.openxmlformats.org/officeDocument/2006/relationships/hyperlink" Target="https://appropriations.house.gov/sites/democrats.appropriations.house.gov/files/Ukraine%20Supplemental%20Summary%20FY23.pdf" TargetMode="External"/><Relationship Id="rId4198" Type="http://schemas.openxmlformats.org/officeDocument/2006/relationships/hyperlink" Target="https://www.eurointegration.com.ua/news/2023/03/20/7158276/" TargetMode="External"/><Relationship Id="rId1999" Type="http://schemas.openxmlformats.org/officeDocument/2006/relationships/hyperlink" Target="https://crsreports.congress.gov/product/pdf/IF/IF12040" TargetMode="External"/><Relationship Id="rId4058" Type="http://schemas.openxmlformats.org/officeDocument/2006/relationships/hyperlink" Target="https://english.defensie.nl/latest/news/2023/04/20/netherlands-to-purchase-leopard-2-tanks-for-ukraine" TargetMode="External"/><Relationship Id="rId4265" Type="http://schemas.openxmlformats.org/officeDocument/2006/relationships/hyperlink" Target="https://www.icelandreview.com/politics/iceland-donates-isk-130-million-in-emergency-aid-to-ukraine/" TargetMode="External"/><Relationship Id="rId4472" Type="http://schemas.openxmlformats.org/officeDocument/2006/relationships/hyperlink" Target="https://www.bundesregierung.de/resource/blob/975226/2189778/cdb664abe95e6fa74802882bd66ef771/2023-05-14-liste-ukr-unterstuetzung-data.pdf?download=1" TargetMode="External"/><Relationship Id="rId1859"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74" Type="http://schemas.openxmlformats.org/officeDocument/2006/relationships/hyperlink" Target="https://twitter.com/ZelenskyyUa/status/1618903893085388800" TargetMode="External"/><Relationship Id="rId4125" Type="http://schemas.openxmlformats.org/officeDocument/2006/relationships/hyperlink" Target="https://kaitseministeerium.ee/en/news/estonia-send-sniper-weapons-and-special-equipment-ukraine" TargetMode="External"/><Relationship Id="rId1719" Type="http://schemas.openxmlformats.org/officeDocument/2006/relationships/hyperlink" Target="https://crsreports.congress.gov/product/pdf/IF/IF12040" TargetMode="External"/><Relationship Id="rId1926" Type="http://schemas.openxmlformats.org/officeDocument/2006/relationships/hyperlink" Target="https://appropriations.house.gov/sites/democrats.appropriations.house.gov/files/Ukraine%20Supplemental%20Summary%20FY23.pdf" TargetMode="External"/><Relationship Id="rId3281" Type="http://schemas.openxmlformats.org/officeDocument/2006/relationships/hyperlink" Target="https://www.digi24.ro/stiri/actualitate/romania-a-donat-11-ambulante-serviciilor-de-urgenta-din-ucraina-1909681" TargetMode="External"/><Relationship Id="rId4332" Type="http://schemas.openxmlformats.org/officeDocument/2006/relationships/hyperlink" Target="https://www.bundesregierung.de/resource/blob/975226/2189778/cdb664abe95e6fa74802882bd66ef771/2023-05-14-liste-ukr-unterstuetzung-data.pdf?download=1" TargetMode="External"/><Relationship Id="rId2090" Type="http://schemas.openxmlformats.org/officeDocument/2006/relationships/hyperlink" Target="https://appropriations.house.gov/sites/democrats.appropriations.house.gov/files/Ukraine%20Supplemental%20Summary.pdf" TargetMode="External"/><Relationship Id="rId3141" Type="http://schemas.openxmlformats.org/officeDocument/2006/relationships/hyperlink" Target="https://www.lemonde.fr/en/europe/article/2023/01/27/poland-belgium-offer-additional-military-aid-to-ukraine_6013346_143.html" TargetMode="External"/><Relationship Id="rId3001" Type="http://schemas.openxmlformats.org/officeDocument/2006/relationships/hyperlink" Target="https://web.archive.org/web/20230524183203/https:/www.defesa.gov.pt/pt/comunicacao/documentos/Lists/PDEFINTER_DocumentoLookupList/apoio_militar_Portugal_Ucrania_20230503.pdf" TargetMode="External"/><Relationship Id="rId3958" Type="http://schemas.openxmlformats.org/officeDocument/2006/relationships/hyperlink" Target="https://www.state.gov/u-s-security-cooperation-with-ukraine/" TargetMode="External"/><Relationship Id="rId879" Type="http://schemas.openxmlformats.org/officeDocument/2006/relationships/hyperlink" Target="https://www.regjeringen.no/en/aktuelt/statement-by-the-norwegian-german-slovakian-and-danish-ministers-of-defence/id2930329/" TargetMode="External"/><Relationship Id="rId2767" Type="http://schemas.openxmlformats.org/officeDocument/2006/relationships/hyperlink" Target="https://www.defense.gov/News/Releases/Release/Article/3272866/biden-administration-announces-additional-security-assistance-for-ukraine/" TargetMode="External"/><Relationship Id="rId739" Type="http://schemas.openxmlformats.org/officeDocument/2006/relationships/hyperlink" Target="https://www.regjeringen.no/no/aktuelt/norge-donerer-pansrede-patruljekjoretoy-til-ukraina/id2923198/" TargetMode="External"/><Relationship Id="rId1369" Type="http://schemas.openxmlformats.org/officeDocument/2006/relationships/hyperlink" Target="https://appropriations.house.gov/sites/democrats.appropriations.house.gov/files/Ukraine%20Supplemental%20Summary.pdf" TargetMode="External"/><Relationship Id="rId1576" Type="http://schemas.openxmlformats.org/officeDocument/2006/relationships/hyperlink" Target="https://appropriations.house.gov/sites/democrats.appropriations.house.gov/files/Additional%20Ukraine%20Suplemental%20Appropriations%20Act%20Summary.pdf" TargetMode="External"/><Relationship Id="rId2974" Type="http://schemas.openxmlformats.org/officeDocument/2006/relationships/hyperlink" Target="https://menafn.com/1105574890/Greece-Hands-Over-Ammunition-20-Ifvs-To-Ukraine" TargetMode="External"/><Relationship Id="rId3818" Type="http://schemas.openxmlformats.org/officeDocument/2006/relationships/hyperlink" Target="https://www.defense.gov/News/Releases/Release/Article/3350958/biden-administration-announces-additional-security-assistance-for-ukraine/" TargetMode="External"/><Relationship Id="rId946" Type="http://schemas.openxmlformats.org/officeDocument/2006/relationships/hyperlink" Target="https://www.interieur.gouv.fr/actualites/dossiers/situation-en-ukraine/solidarite-nationale-envers-lukraine-second-convoi-de" TargetMode="External"/><Relationship Id="rId1229" Type="http://schemas.openxmlformats.org/officeDocument/2006/relationships/hyperlink" Target="https://www.defense.gov/News/Releases/Release/Article/3252782/185-billion-in-additional-security-assistance-for-ukraine/" TargetMode="External"/><Relationship Id="rId1783" Type="http://schemas.openxmlformats.org/officeDocument/2006/relationships/hyperlink" Target="https://crsreports.congress.gov/product/pdf/IF/IF12040" TargetMode="External"/><Relationship Id="rId1990" Type="http://schemas.openxmlformats.org/officeDocument/2006/relationships/hyperlink" Target="https://crsreports.congress.gov/product/pdf/IF/IF12040" TargetMode="External"/><Relationship Id="rId2627" Type="http://schemas.openxmlformats.org/officeDocument/2006/relationships/hyperlink" Target="https://twitter.com/a_anusauskas/status/1594701256463110144" TargetMode="External"/><Relationship Id="rId2834" Type="http://schemas.openxmlformats.org/officeDocument/2006/relationships/hyperlink" Target="https://crsreports.congress.gov/product/pdf/IF/IF12040" TargetMode="External"/><Relationship Id="rId75" Type="http://schemas.openxmlformats.org/officeDocument/2006/relationships/hyperlink" Target="https://rmx.news/poland/polish-army-to-order-additional-piorun-anti-air-missiles-after-the-weapon-outperforms-on-ukrainian-battlefield/" TargetMode="External"/><Relationship Id="rId806" Type="http://schemas.openxmlformats.org/officeDocument/2006/relationships/hyperlink" Target="https://www.defense.gov/News/Releases/Release/Article/3160503/600-million-in-additional-security-assistance-for-ukraine/" TargetMode="External"/><Relationship Id="rId1436" Type="http://schemas.openxmlformats.org/officeDocument/2006/relationships/hyperlink" Target="https://appropriations.house.gov/sites/democrats.appropriations.house.gov/files/Ukraine%20Supplemental%20Summary.pdf" TargetMode="External"/><Relationship Id="rId1643" Type="http://schemas.openxmlformats.org/officeDocument/2006/relationships/hyperlink" Target="https://appropriations.house.gov/sites/democrats.appropriations.house.gov/files/Additional%20Ukraine%20Suplemental%20Appropriations%20Act%20Summary.pdf" TargetMode="External"/><Relationship Id="rId185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01" Type="http://schemas.openxmlformats.org/officeDocument/2006/relationships/hyperlink" Target="https://www.vlada.cz/en/media-centrum/tiskove-zpravy/czechia-sends-hundreds-of-heavy-military-systems-worth-tens-of-billions-to-ukraine-during-the-first-year-of-russian-invasion-203252/" TargetMode="External"/><Relationship Id="rId4799" Type="http://schemas.openxmlformats.org/officeDocument/2006/relationships/hyperlink" Target="https://www.bundesregierung.de/breg-en/news/military-support-ukraine-2054992" TargetMode="External"/><Relationship Id="rId1503" Type="http://schemas.openxmlformats.org/officeDocument/2006/relationships/hyperlink" Target="https://appropriations.house.gov/sites/democrats.appropriations.house.gov/files/Ukraine%20Supplemental%20Summary.pdf" TargetMode="External"/><Relationship Id="rId1710" Type="http://schemas.openxmlformats.org/officeDocument/2006/relationships/hyperlink" Target="https://crsreports.congress.gov/product/pdf/IF/IF12040" TargetMode="External"/><Relationship Id="rId4659" Type="http://schemas.openxmlformats.org/officeDocument/2006/relationships/hyperlink" Target="https://twitter.com/oleksiireznikov/status/1640595102119735297?ref_src=twsrc%5Etfw%7Ctwcamp%5Etweetembed%7Ctwterm%5E1640595102119735297%7Ctwgr%5E0bfe8468b7df53adc2eb86c9c6129c22ec2084cb%7Ctwcon%5Es1_&amp;ref_url=https%3A%2F%2Fwww.forces.net%2Ftechnology%2Fland-vehicles%2Fbritish-challenger-2-tanks-arrive-ukraine-and-will-soon-begin-combat" TargetMode="External"/><Relationship Id="rId3468" Type="http://schemas.openxmlformats.org/officeDocument/2006/relationships/hyperlink" Target="https://www.bundesregierung.de/breg-en/news/military-support-ukraine-2054992" TargetMode="External"/><Relationship Id="rId3675" Type="http://schemas.openxmlformats.org/officeDocument/2006/relationships/hyperlink" Target="https://www.fmn.dk/da/nyheder/2023/regeringen-prasenterer-udspil-til-historisk-forsvarsforlig/" TargetMode="External"/><Relationship Id="rId3882" Type="http://schemas.openxmlformats.org/officeDocument/2006/relationships/hyperlink" Target="https://www.state.gov/u-s-security-cooperation-with-ukraine/" TargetMode="External"/><Relationship Id="rId4519" Type="http://schemas.openxmlformats.org/officeDocument/2006/relationships/hyperlink" Target="https://www.bundesregierung.de/resource/blob/975226/2189778/cdb664abe95e6fa74802882bd66ef771/2023-05-14-liste-ukr-unterstuetzung-data.pdf?download=1" TargetMode="External"/><Relationship Id="rId4726" Type="http://schemas.openxmlformats.org/officeDocument/2006/relationships/hyperlink" Target="https://www.bundesregierung.de/breg-en/news/military-support-ukraine-2054992" TargetMode="External"/><Relationship Id="rId389" Type="http://schemas.openxmlformats.org/officeDocument/2006/relationships/hyperlink" Target="https://www.fxempire.com/news/article/japan-trebles-loans-to-ukraine-to-300-million-pm-kishida-to-other-leaders-972430" TargetMode="External"/><Relationship Id="rId596" Type="http://schemas.openxmlformats.org/officeDocument/2006/relationships/hyperlink" Target="https://www.theportugalnews.com/news/2022-03-04/portugal-sends-ukraine-100000-of-medical-supplies/65610" TargetMode="External"/><Relationship Id="rId2277" Type="http://schemas.openxmlformats.org/officeDocument/2006/relationships/hyperlink" Target="https://crsreports.congress.gov/product/pdf/IF/IF12040" TargetMode="External"/><Relationship Id="rId2484" Type="http://schemas.openxmlformats.org/officeDocument/2006/relationships/hyperlink" Target="https://www.brusselstimes.com/290771/belgium-to-give-e12-million-in-military-aid-to-ukraine" TargetMode="External"/><Relationship Id="rId2691" Type="http://schemas.openxmlformats.org/officeDocument/2006/relationships/hyperlink" Target="https://www.republicworld.com/world-news/russia-ukraine-crisis/uk-to-contribute-up-to-10-pounds-million-to-repair-ukrainian-railways-to-help-export-grains-articleshow.html" TargetMode="External"/><Relationship Id="rId3328" Type="http://schemas.openxmlformats.org/officeDocument/2006/relationships/hyperlink" Target="https://twitter.com/ZelenskyyUa/status/1610685985767002124" TargetMode="External"/><Relationship Id="rId3535" Type="http://schemas.openxmlformats.org/officeDocument/2006/relationships/hyperlink" Target="https://www.bundesregierung.de/breg-en/news/military-support-ukraine-2054992" TargetMode="External"/><Relationship Id="rId3742" Type="http://schemas.openxmlformats.org/officeDocument/2006/relationships/hyperlink" Target="https://kyivindependent.com/news-feed/sweden-pledges-to-provide-ukraine-with-archer-artillery-systems" TargetMode="External"/><Relationship Id="rId249" Type="http://schemas.openxmlformats.org/officeDocument/2006/relationships/hyperlink" Target="https://ba.n1info.com/english/news/croatia-sends-emergency-aid-worth-e1-2m-to-ukraine-in-wake-of-russias-invasion/" TargetMode="External"/><Relationship Id="rId456" Type="http://schemas.openxmlformats.org/officeDocument/2006/relationships/hyperlink" Target="https://www.mfat.govt.nz/en/countries-and-regions/europe/ukraine/russian-invasion-of-ukraine/" TargetMode="External"/><Relationship Id="rId663" Type="http://schemas.openxmlformats.org/officeDocument/2006/relationships/hyperlink" Target="https://www.reuters.com/world/china-provide-5-mln-yuan-worth-humanitarian-assistance-ukraine-2022-03-09/" TargetMode="External"/><Relationship Id="rId870" Type="http://schemas.openxmlformats.org/officeDocument/2006/relationships/hyperlink" Target="https://www.reuters.com/world/europe/denmark-will-contribute-additional-110-mln-euros-ukraine-pm-2022-08-11/" TargetMode="External"/><Relationship Id="rId1086" Type="http://schemas.openxmlformats.org/officeDocument/2006/relationships/hyperlink" Target="https://ec.europa.eu/commission/presscorner/detail/en/ip_22_6699" TargetMode="External"/><Relationship Id="rId1293" Type="http://schemas.openxmlformats.org/officeDocument/2006/relationships/hyperlink" Target="https://projects.worldbank.org/en/projects-operations/project-detail/P179875" TargetMode="External"/><Relationship Id="rId2137" Type="http://schemas.openxmlformats.org/officeDocument/2006/relationships/hyperlink" Target="https://crsreports.congress.gov/product/pdf/IF/IF12040" TargetMode="External"/><Relationship Id="rId2344" Type="http://schemas.openxmlformats.org/officeDocument/2006/relationships/hyperlink" Target="https://um.dk/en/foreign-policy/danish-support-for-ukraine" TargetMode="External"/><Relationship Id="rId2551" Type="http://schemas.openxmlformats.org/officeDocument/2006/relationships/hyperlink" Target="https://en.interfax.com.ua/news/general/859303.html" TargetMode="External"/><Relationship Id="rId109" Type="http://schemas.openxmlformats.org/officeDocument/2006/relationships/hyperlink" Target="https://en.kriseinformation.dk/denmarks-reactions/denmarks-contributions" TargetMode="External"/><Relationship Id="rId316" Type="http://schemas.openxmlformats.org/officeDocument/2006/relationships/hyperlink" Target="https://www.reuters.com/world/europe/romania-send-fuel-ammunition-ukraine-2022-02-27/" TargetMode="External"/><Relationship Id="rId523" Type="http://schemas.openxmlformats.org/officeDocument/2006/relationships/hyperlink" Target="https://government.se/press-releases/2022/05/sweden-and-poland-co-host-international-donors-conference-to-support-ukrainian-people/" TargetMode="External"/><Relationship Id="rId1153" Type="http://schemas.openxmlformats.org/officeDocument/2006/relationships/hyperlink" Target="https://news.err.ee/1608829969/estonia-sends-more-military-equipment-to-ukraine" TargetMode="External"/><Relationship Id="rId2204" Type="http://schemas.openxmlformats.org/officeDocument/2006/relationships/hyperlink" Target="https://appropriations.house.gov/sites/democrats.appropriations.house.gov/files/Ukraine%20Supplemental%20Summary.pdf" TargetMode="External"/><Relationship Id="rId3602" Type="http://schemas.openxmlformats.org/officeDocument/2006/relationships/hyperlink" Target="https://mil.in.ua/en/news/turkey-delivered-50-kirpi-armored-vehicles-to-ukraine-with-more-expected-defense-news/" TargetMode="External"/><Relationship Id="rId730" Type="http://schemas.openxmlformats.org/officeDocument/2006/relationships/hyperlink" Target="https://www.kyivpost.com/russias-war/slovenia-to-provide-mine-sweeping-equipment-to-ukraine.html" TargetMode="External"/><Relationship Id="rId1013" Type="http://schemas.openxmlformats.org/officeDocument/2006/relationships/hyperlink" Target="https://www.fmn.dk/en/news/2022/130-danish-soldiers-will-train-ukrainian-colleagues/" TargetMode="External"/><Relationship Id="rId1360" Type="http://schemas.openxmlformats.org/officeDocument/2006/relationships/hyperlink" Target="https://www.defense.gov/News/Releases/Release/Article/3261263/more-than-3-billion-in-additional-security-assistance-for-ukraine/" TargetMode="External"/><Relationship Id="rId2411" Type="http://schemas.openxmlformats.org/officeDocument/2006/relationships/hyperlink" Target="https://www.armyrecognition.com/ukraine_-_russia_conflict_war_2022/mamba_mk_2_4x4_armored_vehicles_formerly_from_estonian_army_now_used_by_ukrainian_soldiers.html?jampmain" TargetMode="External"/><Relationship Id="rId4169" Type="http://schemas.openxmlformats.org/officeDocument/2006/relationships/hyperlink" Target="https://vm.ee/en/estonias-aid-ukraine" TargetMode="External"/><Relationship Id="rId1220" Type="http://schemas.openxmlformats.org/officeDocument/2006/relationships/hyperlink" Target="https://www.reuters.com/world/biden-authorizes-new-275-mln-military-aid-ukraine-white-house-2022-12-09/" TargetMode="External"/><Relationship Id="rId4376" Type="http://schemas.openxmlformats.org/officeDocument/2006/relationships/hyperlink" Target="https://www.bundesregierung.de/resource/blob/975226/2189778/cdb664abe95e6fa74802882bd66ef771/2023-05-14-liste-ukr-unterstuetzung-data.pdf?download=1" TargetMode="External"/><Relationship Id="rId4583" Type="http://schemas.openxmlformats.org/officeDocument/2006/relationships/hyperlink" Target="https://twitter.com/ZelenskyyUa/status/1653841144579538945?cxt=HHwWgoC2mcbwz_MtAAAA" TargetMode="External"/><Relationship Id="rId4790" Type="http://schemas.openxmlformats.org/officeDocument/2006/relationships/hyperlink" Target="https://www.bundesregierung.de/breg-en/news/military-support-ukraine-2054992" TargetMode="External"/><Relationship Id="rId3185" Type="http://schemas.openxmlformats.org/officeDocument/2006/relationships/hyperlink" Target="https://um.dk/en/foreign-policy/danish-support-for-ukraine" TargetMode="External"/><Relationship Id="rId3392" Type="http://schemas.openxmlformats.org/officeDocument/2006/relationships/hyperlink" Target="https://www.bundesregierung.de/resource/blob/975226/2155792/c3dbab706421f63d3d612091e7ecad4c/2022-12-27-unterstuetzung-ukraine-breg-data.pdf?download=1%20Guten" TargetMode="External"/><Relationship Id="rId4029" Type="http://schemas.openxmlformats.org/officeDocument/2006/relationships/hyperlink" Target="https://www.defensie.nl/onderwerpen/oostflank-navo-gebied/militaire-steun-aan-oekraine" TargetMode="External"/><Relationship Id="rId4236" Type="http://schemas.openxmlformats.org/officeDocument/2006/relationships/hyperlink" Target="https://web.archive.org/web/20230321123738/https:/www.government.is/topics/foreign-affairs/war-in-ukraine/" TargetMode="External"/><Relationship Id="rId4443" Type="http://schemas.openxmlformats.org/officeDocument/2006/relationships/hyperlink" Target="https://www.bundesregierung.de/resource/blob/975226/2189778/cdb664abe95e6fa74802882bd66ef771/2023-05-14-liste-ukr-unterstuetzung-data.pdf?download=1" TargetMode="External"/><Relationship Id="rId4650" Type="http://schemas.openxmlformats.org/officeDocument/2006/relationships/hyperlink" Target="https://english.defensie.nl/latest/news/2023/04/20/netherlands-to-purchase-leopard-2-tanks-for-ukraine" TargetMode="External"/><Relationship Id="rId3045" Type="http://schemas.openxmlformats.org/officeDocument/2006/relationships/hyperlink" Target="https://www.gov.uk/government/news/joint-statement-the-tallinn-pledge?utm_source=miragenews&amp;utm_medium=miragenews&amp;utm_campaign=news" TargetMode="External"/><Relationship Id="rId3252" Type="http://schemas.openxmlformats.org/officeDocument/2006/relationships/hyperlink" Target="https://focustaiwan.tw/politics/202206200021" TargetMode="External"/><Relationship Id="rId4303" Type="http://schemas.openxmlformats.org/officeDocument/2006/relationships/hyperlink" Target="https://www.ebrd.com/news/2023/ebrd-and-the-netherlands-cooperate-to-support-ukraine-.html" TargetMode="External"/><Relationship Id="rId4510" Type="http://schemas.openxmlformats.org/officeDocument/2006/relationships/hyperlink" Target="https://gouvernement.lu/en/gouvernement/francois-bausch/actualites.gouvernement%2Ben%2Bactualites%2Btoutes_actualites%2Bcommuniques%2B2023%2B02-fevrier%2B15-bausch-reunion-ministres-otan.html" TargetMode="External"/><Relationship Id="rId173" Type="http://schemas.openxmlformats.org/officeDocument/2006/relationships/hyperlink" Target="https://t.me/ermaka2022/990" TargetMode="External"/><Relationship Id="rId380" Type="http://schemas.openxmlformats.org/officeDocument/2006/relationships/hyperlink" Target="https://twitter.com/SweMFA/status/1517445238142521346" TargetMode="External"/><Relationship Id="rId2061" Type="http://schemas.openxmlformats.org/officeDocument/2006/relationships/hyperlink" Target="https://appropriations.house.gov/sites/democrats.appropriations.house.gov/files/Ukraine%20Supplemental%20Summary%20FY23.pdf" TargetMode="External"/><Relationship Id="rId3112" Type="http://schemas.openxmlformats.org/officeDocument/2006/relationships/hyperlink" Target="https://en.yna.co.kr/view/AEN20230224008100325" TargetMode="External"/><Relationship Id="rId240" Type="http://schemas.openxmlformats.org/officeDocument/2006/relationships/hyperlink" Target="https://www.government.nl/topics/russia-and-ukraine/dutch-aid-for-ukraine" TargetMode="External"/><Relationship Id="rId100" Type="http://schemas.openxmlformats.org/officeDocument/2006/relationships/hyperlink" Target="https://twitter.com/oleksiireznikov/status/1557992937006448640?ref_src=twsrc%5Etfw%7Ctwcamp%5Etweetembed%7Ctwterm%5E1557992937006448640%7Ctwgr%5E16758fa5587714e685f2d4c6e1ff01d7fa7e3e2e%7Ctwcon%5Es1_&amp;ref_url=https%3A%2F%2Fwww.slovoidilo.ua%2F2022%2F08%2F12%2Fnovyna%2Fbezpeka%2Fukrayinu-prybuly-novi-rszv-m270-brytaniyi" TargetMode="External"/><Relationship Id="rId2878" Type="http://schemas.openxmlformats.org/officeDocument/2006/relationships/hyperlink" Target="https://www.wsj.com/articles/ukraine-quietly-receives-tanks-from-czech-republic-to-support-war-effort-11649160666" TargetMode="External"/><Relationship Id="rId3929" Type="http://schemas.openxmlformats.org/officeDocument/2006/relationships/hyperlink" Target="https://www.defense.gov/News/Releases/Release/Article/3350958/biden-administration-announces-additional-security-assistance-for-ukraine/" TargetMode="External"/><Relationship Id="rId4093" Type="http://schemas.openxmlformats.org/officeDocument/2006/relationships/hyperlink" Target="https://euromaidanpress.com/2023/04/05/croatia-to-send-over-usd-540000-in-aid-to-ukraine/" TargetMode="External"/><Relationship Id="rId1687" Type="http://schemas.openxmlformats.org/officeDocument/2006/relationships/hyperlink" Target="https://crsreports.congress.gov/product/pdf/IF/IF12040" TargetMode="External"/><Relationship Id="rId1894" Type="http://schemas.openxmlformats.org/officeDocument/2006/relationships/hyperlink" Target="https://appropriations.house.gov/sites/democrats.appropriations.house.gov/files/Ukraine%20Supplemental%20Summary%20FY23.pdf" TargetMode="External"/><Relationship Id="rId2738" Type="http://schemas.openxmlformats.org/officeDocument/2006/relationships/hyperlink" Target="https://www.pravda.com.ua/eng/news/2023/03/2/7391769/" TargetMode="External"/><Relationship Id="rId2945" Type="http://schemas.openxmlformats.org/officeDocument/2006/relationships/hyperlink" Target="https://english.nv.ua/nation/estonia-donates-all-of-its-155mm-howitzers-and-other-weapons-to-ukraine-50299305.html" TargetMode="External"/><Relationship Id="rId917" Type="http://schemas.openxmlformats.org/officeDocument/2006/relationships/hyperlink" Target="https://www.helsinkitimes.fi/finland/finland-news/domestic/21086-finland-commits-military-protective-equipment-to-ukraine.html" TargetMode="External"/><Relationship Id="rId1547" Type="http://schemas.openxmlformats.org/officeDocument/2006/relationships/hyperlink" Target="https://appropriations.house.gov/sites/democrats.appropriations.house.gov/files/Additional%20Ukraine%20Suplemental%20Appropriations%20Act%20Summary.pdf" TargetMode="External"/><Relationship Id="rId1754" Type="http://schemas.openxmlformats.org/officeDocument/2006/relationships/hyperlink" Target="https://crsreports.congress.gov/product/pdf/IF/IF12040" TargetMode="External"/><Relationship Id="rId1961" Type="http://schemas.openxmlformats.org/officeDocument/2006/relationships/hyperlink" Target="https://crsreports.congress.gov/product/pdf/IF/IF12040" TargetMode="External"/><Relationship Id="rId2805" Type="http://schemas.openxmlformats.org/officeDocument/2006/relationships/hyperlink" Target="https://crsreports.congress.gov/product/pdf/IF/IF12040" TargetMode="External"/><Relationship Id="rId4160" Type="http://schemas.openxmlformats.org/officeDocument/2006/relationships/hyperlink" Target="https://news.err.ee/1608727414/estonia-sends-12-buses-to-ukraine-s-zhytomyr-region" TargetMode="External"/><Relationship Id="rId46" Type="http://schemas.openxmlformats.org/officeDocument/2006/relationships/hyperlink" Target="https://twitter.com/visegrad24/status/1503313508980637696" TargetMode="External"/><Relationship Id="rId1407" Type="http://schemas.openxmlformats.org/officeDocument/2006/relationships/hyperlink" Target="https://appropriations.house.gov/sites/democrats.appropriations.house.gov/files/Ukraine%20Supplemental%20Summary.pdf" TargetMode="External"/><Relationship Id="rId1614" Type="http://schemas.openxmlformats.org/officeDocument/2006/relationships/hyperlink" Target="https://appropriations.house.gov/sites/democrats.appropriations.house.gov/files/Additional%20Ukraine%20Suplemental%20Appropriations%20Act%20Summary.pdf" TargetMode="External"/><Relationship Id="rId1821" Type="http://schemas.openxmlformats.org/officeDocument/2006/relationships/hyperlink" Target="https://appropriations.house.gov/sites/democrats.appropriations.house.gov/files/Summary%20Continuing%20Appropriations%20and%20Ukraine%20Supplemental%20Appropriations%20Act%202023.pdf" TargetMode="External"/><Relationship Id="rId4020" Type="http://schemas.openxmlformats.org/officeDocument/2006/relationships/hyperlink" Target="https://dia.dp.gov.ua/en/luxembourg-will-be-with-ukraine-as-long-as-the-russian-war-continues/" TargetMode="External"/><Relationship Id="rId3579" Type="http://schemas.openxmlformats.org/officeDocument/2006/relationships/hyperlink" Target="https://www.lemonde.fr/en/international/article/2023/03/17/after-poland-slovakia-to-give-ukraine-soviet-era-mig-29-jets_6019765_4.html" TargetMode="External"/><Relationship Id="rId3786" Type="http://schemas.openxmlformats.org/officeDocument/2006/relationships/hyperlink" Target="https://www.state.gov/u-s-security-cooperation-with-ukraine/" TargetMode="External"/><Relationship Id="rId2388" Type="http://schemas.openxmlformats.org/officeDocument/2006/relationships/hyperlink" Target="https://www.euronews.com/2022/09/29/cargo-ship-with-1000-tonnes-of-ukraine-aid-sets-sail-from-marseille" TargetMode="External"/><Relationship Id="rId2595"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3439" Type="http://schemas.openxmlformats.org/officeDocument/2006/relationships/hyperlink" Target="https://www.bundesregierung.de/breg-en/news/military-support-ukraine-2054992" TargetMode="External"/><Relationship Id="rId3993" Type="http://schemas.openxmlformats.org/officeDocument/2006/relationships/hyperlink" Target="https://www.canada.ca/en/department-finance/programs/financial-sector-policy/ukraine-sovereignty-bond.html" TargetMode="External"/><Relationship Id="rId4837" Type="http://schemas.openxmlformats.org/officeDocument/2006/relationships/hyperlink" Target="https://www.defense.gov/News/Releases/Release/Article/3261263/more-than-3-billion-in-additional-security-assistance-for-ukraine/" TargetMode="External"/><Relationship Id="rId567" Type="http://schemas.openxmlformats.org/officeDocument/2006/relationships/hyperlink" Target="https://elpais.com/espana/2022-06-05/espana-dispuesta-a-entregar-a-ucrania-misiles-antiaereos-y-carros-de-combate-leopard.html" TargetMode="External"/><Relationship Id="rId1197" Type="http://schemas.openxmlformats.org/officeDocument/2006/relationships/hyperlink" Target="https://appropriations.house.gov/sites/democrats.appropriations.house.gov/files/Additional%20Ukraine%20Suplemental%20Appropriations%20Act%20Summary.pdf" TargetMode="External"/><Relationship Id="rId2248" Type="http://schemas.openxmlformats.org/officeDocument/2006/relationships/hyperlink" Target="https://crsreports.congress.gov/product/pdf/IF/IF12040" TargetMode="External"/><Relationship Id="rId3646" Type="http://schemas.openxmlformats.org/officeDocument/2006/relationships/hyperlink" Target="https://ua.ambafrance.org/Franciiya-peredala-Ukrayinii-drugu-LAB-DNA-uniikal-ne-u-sviitii-obladnannya" TargetMode="External"/><Relationship Id="rId3853" Type="http://schemas.openxmlformats.org/officeDocument/2006/relationships/hyperlink" Target="https://www.state.gov/u-s-security-cooperation-with-ukraine/" TargetMode="External"/><Relationship Id="rId774" Type="http://schemas.openxmlformats.org/officeDocument/2006/relationships/hyperlink" Target="https://www.regjeringen.no/en/aktuelt/donerer-hellfire-missiler-og-nattoptikk-til-ukraina/id2926713/" TargetMode="External"/><Relationship Id="rId981" Type="http://schemas.openxmlformats.org/officeDocument/2006/relationships/hyperlink" Target="https://twitter.com/a_anusauskas/status/1592084804501401604" TargetMode="External"/><Relationship Id="rId1057" Type="http://schemas.openxmlformats.org/officeDocument/2006/relationships/hyperlink" Target="https://news.err.ee/1608742171/estonia-sends-more-ammunition-protective-equipment-to-ukraine" TargetMode="External"/><Relationship Id="rId2455" Type="http://schemas.openxmlformats.org/officeDocument/2006/relationships/hyperlink" Target="https://www.lesoir.be/437698/article/2022-04-22/guerre-en-ukraine-la-belgique-sapprete-livrer-de-nouveaux-missiles-antichars" TargetMode="External"/><Relationship Id="rId2662" Type="http://schemas.openxmlformats.org/officeDocument/2006/relationships/hyperlink" Target="https://www.gov.uk/government/speeches/defence-secretary-oral-statement-on-war-in-ukraine--2" TargetMode="External"/><Relationship Id="rId3506" Type="http://schemas.openxmlformats.org/officeDocument/2006/relationships/hyperlink" Target="https://www.bundesregierung.de/breg-en/news/military-support-ukraine-2054992" TargetMode="External"/><Relationship Id="rId3713" Type="http://schemas.openxmlformats.org/officeDocument/2006/relationships/hyperlink" Target="https://www.mofa.go.jp/press/release/press1e_000403.html" TargetMode="External"/><Relationship Id="rId3920" Type="http://schemas.openxmlformats.org/officeDocument/2006/relationships/hyperlink" Target="https://www.state.gov/u-s-security-cooperation-with-ukraine/" TargetMode="External"/><Relationship Id="rId427" Type="http://schemas.openxmlformats.org/officeDocument/2006/relationships/hyperlink" Target="https://www.abc.net.au/news/rural/2022-03-22/cost-sending-70000-tonnes-of-coal-to-ukraine/100929070" TargetMode="External"/><Relationship Id="rId634" Type="http://schemas.openxmlformats.org/officeDocument/2006/relationships/hyperlink" Target="https://edition.cnn.com/2022/04/09/europe/ukraine-uk-boris-johnson-intl-gbr/index.html" TargetMode="External"/><Relationship Id="rId841" Type="http://schemas.openxmlformats.org/officeDocument/2006/relationships/hyperlink" Target="https://www.defense.gov/News/Releases/Release/Article/3160503/600-million-in-additional-security-assistance-for-ukraine/" TargetMode="External"/><Relationship Id="rId1264" Type="http://schemas.openxmlformats.org/officeDocument/2006/relationships/hyperlink" Target="https://www.keeptalkinggreece.com/2022/03/18/greece-rebuild-maternity-hospital-mariupol/" TargetMode="External"/><Relationship Id="rId1471" Type="http://schemas.openxmlformats.org/officeDocument/2006/relationships/hyperlink" Target="https://appropriations.house.gov/sites/democrats.appropriations.house.gov/files/Ukraine%20Supplemental%20Summary.pdf" TargetMode="External"/><Relationship Id="rId2108" Type="http://schemas.openxmlformats.org/officeDocument/2006/relationships/hyperlink" Target="https://appropriations.house.gov/sites/democrats.appropriations.house.gov/files/Additional%20Ukraine%20Suplemental%20Appropriations%20Act%20Summary.pdf" TargetMode="External"/><Relationship Id="rId2315" Type="http://schemas.openxmlformats.org/officeDocument/2006/relationships/hyperlink" Target="https://appropriations.house.gov/sites/democrats.appropriations.house.gov/files/Ukraine%20Supplemental%20Summary%20FY23.pdf" TargetMode="External"/><Relationship Id="rId2522" Type="http://schemas.openxmlformats.org/officeDocument/2006/relationships/hyperlink" Target="https://mil.in.ua/en/news/belgium-made-a-decision-to-hand-over-artillery-to-ukraine-the-media/" TargetMode="External"/><Relationship Id="rId701" Type="http://schemas.openxmlformats.org/officeDocument/2006/relationships/hyperlink" Target="https://www.defense.gov/News/Releases/Release/Article/3081993/820-million-in-additional-security-assistance-for-ukraine/" TargetMode="External"/><Relationship Id="rId1124" Type="http://schemas.openxmlformats.org/officeDocument/2006/relationships/hyperlink" Target="https://interfax.com/newsroom/top-stories/85594/" TargetMode="External"/><Relationship Id="rId1331" Type="http://schemas.openxmlformats.org/officeDocument/2006/relationships/hyperlink" Target="https://twitter.com/Defense_lu/status/1598610977364115462?t=6bU22e0y0z-S3WKot0R3BA&amp;s=19" TargetMode="External"/><Relationship Id="rId4487" Type="http://schemas.openxmlformats.org/officeDocument/2006/relationships/hyperlink" Target="https://twitter.com/a_anusauskas/status/1652204325228216320?cxt=HHwWgIC82Y_F5-0tAAAA" TargetMode="External"/><Relationship Id="rId4694" Type="http://schemas.openxmlformats.org/officeDocument/2006/relationships/hyperlink" Target="https://www.bundesregierung.de/breg-en/news/military-support-ukraine-2054992" TargetMode="External"/><Relationship Id="rId3089" Type="http://schemas.openxmlformats.org/officeDocument/2006/relationships/hyperlink" Target="https://documents1.worldbank.org/curated/en/099600012082223136/pdf/BOSIB020931bfc0170838c06fee5586d81f.pdf" TargetMode="External"/><Relationship Id="rId3296" Type="http://schemas.openxmlformats.org/officeDocument/2006/relationships/hyperlink" Target="https://twitter.com/a_anusauskas/status/1597973635004010496" TargetMode="External"/><Relationship Id="rId4347" Type="http://schemas.openxmlformats.org/officeDocument/2006/relationships/hyperlink" Target="https://www.bundesregierung.de/resource/blob/975226/2189778/cdb664abe95e6fa74802882bd66ef771/2023-05-14-liste-ukr-unterstuetzung-data.pdf?download=1" TargetMode="External"/><Relationship Id="rId4554" Type="http://schemas.openxmlformats.org/officeDocument/2006/relationships/hyperlink" Target="https://crsreports.congress.gov/product/pdf/IF/IF12040" TargetMode="External"/><Relationship Id="rId4761" Type="http://schemas.openxmlformats.org/officeDocument/2006/relationships/hyperlink" Target="https://www.bundesregierung.de/breg-en/news/military-support-ukraine-2054992" TargetMode="External"/><Relationship Id="rId3156" Type="http://schemas.openxmlformats.org/officeDocument/2006/relationships/hyperlink" Target="https://appropriations.house.gov/sites/democrats.appropriations.house.gov/files/Summary%20Continuing%20Appropriations%20and%20Ukraine%20Supplemental%20Appropriations%20Act%202023.pdf" TargetMode="External"/><Relationship Id="rId3363" Type="http://schemas.openxmlformats.org/officeDocument/2006/relationships/hyperlink" Target="https://www.bundesgesundheitsministerium.de/unterstuetzungsleistungen-fuer-die-ukraine.html" TargetMode="External"/><Relationship Id="rId4207" Type="http://schemas.openxmlformats.org/officeDocument/2006/relationships/hyperlink" Target="https://www.eib.org/en/press/all/2023-157-eib-approves-eu-for-ukraine-initiative-to-finance-ukraine-recovery-and-reconstruction-and-backs-transport-energy-and-business-investment-around-the-world" TargetMode="External"/><Relationship Id="rId4414" Type="http://schemas.openxmlformats.org/officeDocument/2006/relationships/hyperlink" Target="https://www.bundesregierung.de/resource/blob/975226/2189778/cdb664abe95e6fa74802882bd66ef771/2023-05-14-liste-ukr-unterstuetzung-data.pdf?download=1" TargetMode="External"/><Relationship Id="rId284" Type="http://schemas.openxmlformats.org/officeDocument/2006/relationships/hyperlink" Target="https://mfa.gov.cy/press-releases/2022/03/09/cyprus-humanitarian-aid-to-ukraine/" TargetMode="External"/><Relationship Id="rId491" Type="http://schemas.openxmlformats.org/officeDocument/2006/relationships/hyperlink" Target="https://www.canada.ca/en/department-finance/news/2022/05/canada-provides-additional-financial-support-to-ukraine.html" TargetMode="External"/><Relationship Id="rId2172" Type="http://schemas.openxmlformats.org/officeDocument/2006/relationships/hyperlink" Target="https://appropriations.house.gov/sites/democrats.appropriations.house.gov/files/Additional%20Ukraine%20Suplemental%20Appropriations%20Act%20Summary.pdf" TargetMode="External"/><Relationship Id="rId3016" Type="http://schemas.openxmlformats.org/officeDocument/2006/relationships/hyperlink" Target="https://n1info.hr/english/news/croatia-so-far-approved-aid-in-amount-of-e160-mn-to-ukraine/" TargetMode="External"/><Relationship Id="rId3223" Type="http://schemas.openxmlformats.org/officeDocument/2006/relationships/hyperlink" Target="https://www.asdnews.com/news/defense/2022/10/17/uk-give-air-defence-missiles-help-ukraine-defend-against-rockets" TargetMode="External"/><Relationship Id="rId3570" Type="http://schemas.openxmlformats.org/officeDocument/2006/relationships/hyperlink" Target="https://www.independent.ie/irish-news/news/10-hse-ambulances-sent-to-ukraine-to-help-in-humanitarian-effort-41789730.html" TargetMode="External"/><Relationship Id="rId4621" Type="http://schemas.openxmlformats.org/officeDocument/2006/relationships/hyperlink" Target="https://web.archive.org/web/20230524183203/https:/www.defesa.gov.pt/pt/comunicacao/documentos/Lists/PDEFINTER_DocumentoLookupList/apoio_militar_Portugal_Ucrania_20230503.pdf" TargetMode="External"/><Relationship Id="rId144" Type="http://schemas.openxmlformats.org/officeDocument/2006/relationships/hyperlink" Target="https://twitter.com/a_anusauskas/status/1546202214003269635" TargetMode="External"/><Relationship Id="rId3430" Type="http://schemas.openxmlformats.org/officeDocument/2006/relationships/hyperlink" Target="https://www.bundesregierung.de/breg-en/news/military-support-ukraine-2054992" TargetMode="External"/><Relationship Id="rId351" Type="http://schemas.openxmlformats.org/officeDocument/2006/relationships/hyperlink" Target="https://gov.ro/en/news/medical-equipment-and-medicines-donated-by-romania-in-support-of-ukraine&amp;page=13" TargetMode="External"/><Relationship Id="rId2032" Type="http://schemas.openxmlformats.org/officeDocument/2006/relationships/hyperlink" Target="https://crsreports.congress.gov/product/pdf/IF/IF12040" TargetMode="External"/><Relationship Id="rId2989" Type="http://schemas.openxmlformats.org/officeDocument/2006/relationships/hyperlink" Target="https://tvmnews.mt/en/news/malta-to-send-more-generators-and-medical-equipment-to-ukraine/" TargetMode="External"/><Relationship Id="rId211" Type="http://schemas.openxmlformats.org/officeDocument/2006/relationships/hyperlink" Target="https://twitter.com/oleksiireznikov/status/1598696930720116736?cxt=HHwWgMCjseyY268sAAAA" TargetMode="External"/><Relationship Id="rId1798" Type="http://schemas.openxmlformats.org/officeDocument/2006/relationships/hyperlink" Target="https://appropriations.house.gov/sites/democrats.appropriations.house.gov/files/Additional%20Ukraine%20Suplemental%20Appropriations%20Act%20Summary.pdf" TargetMode="External"/><Relationship Id="rId2849" Type="http://schemas.openxmlformats.org/officeDocument/2006/relationships/hyperlink" Target="https://www.defense.gov/News/Releases/Release/Article/3287992/biden-administration-announces-additional-security-assistance-for-ukraine/" TargetMode="External"/><Relationship Id="rId1658" Type="http://schemas.openxmlformats.org/officeDocument/2006/relationships/hyperlink" Target="https://crsreports.congress.gov/product/pdf/IF/IF12040" TargetMode="External"/><Relationship Id="rId186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709" Type="http://schemas.openxmlformats.org/officeDocument/2006/relationships/hyperlink" Target="https://www.beehive.govt.nz/release/assistance-ukraine-extended-and-enhanced" TargetMode="External"/><Relationship Id="rId4064" Type="http://schemas.openxmlformats.org/officeDocument/2006/relationships/hyperlink" Target="https://www.statista.com/statistics/1306947/poland-value-of-material-humanitarian-aid-transferred-by-rars-to-ukraine/" TargetMode="External"/><Relationship Id="rId4271" Type="http://schemas.openxmlformats.org/officeDocument/2006/relationships/hyperlink" Target="https://www.eeas.europa.eu/eeas/ukraine-eu-supports-de-mining-liberated-areas-additional-%E2%82%AC25-million-programme_en" TargetMode="External"/><Relationship Id="rId1518" Type="http://schemas.openxmlformats.org/officeDocument/2006/relationships/hyperlink" Target="https://appropriations.house.gov/sites/democrats.appropriations.house.gov/files/Additional%20Ukraine%20Suplemental%20Appropriations%20Act%20Summary.pdf" TargetMode="External"/><Relationship Id="rId2916" Type="http://schemas.openxmlformats.org/officeDocument/2006/relationships/hyperlink" Target="https://ukranews.com/en/news/907501-czech-republic-preparing-new-batch-of-tanks-for-ukraine-prime-minister-fiala-signed-one-of-them" TargetMode="External"/><Relationship Id="rId3080" Type="http://schemas.openxmlformats.org/officeDocument/2006/relationships/hyperlink" Target="https://lrv.lt/en/news/government-approves-10-million-euros-in-aid-for-ukraines-rebuilding-needs" TargetMode="External"/><Relationship Id="rId4131" Type="http://schemas.openxmlformats.org/officeDocument/2006/relationships/hyperlink" Target="https://kaitseministeerium.ee/en/news/estonia-send-sniper-weapons-and-special-equipment-ukraine" TargetMode="External"/><Relationship Id="rId1725" Type="http://schemas.openxmlformats.org/officeDocument/2006/relationships/hyperlink" Target="https://crsreports.congress.gov/product/pdf/IF/IF12040" TargetMode="External"/><Relationship Id="rId1932" Type="http://schemas.openxmlformats.org/officeDocument/2006/relationships/hyperlink" Target="https://appropriations.house.gov/sites/democrats.appropriations.house.gov/files/Ukraine%20Supplemental%20Summary%20FY23.pdf" TargetMode="External"/><Relationship Id="rId17" Type="http://schemas.openxmlformats.org/officeDocument/2006/relationships/hyperlink" Target="https://www.cbc.ca/news/politics/canada-ukraine-artillery-1.6426132" TargetMode="External"/><Relationship Id="rId3897" Type="http://schemas.openxmlformats.org/officeDocument/2006/relationships/hyperlink" Target="https://www.defense.gov/News/Releases/Release/Article/3411804/biden-administration-announces-additional-security-assistance-for-ukraine/" TargetMode="External"/><Relationship Id="rId2499" Type="http://schemas.openxmlformats.org/officeDocument/2006/relationships/hyperlink" Target="https://mil.in.ua/en/news/belgium-made-a-decision-to-hand-over-artillery-to-ukraine-the-media/" TargetMode="External"/><Relationship Id="rId3757" Type="http://schemas.openxmlformats.org/officeDocument/2006/relationships/hyperlink" Target="https://www.state.gov/u-s-security-cooperation-with-ukraine/" TargetMode="External"/><Relationship Id="rId3964" Type="http://schemas.openxmlformats.org/officeDocument/2006/relationships/hyperlink" Target="https://www.state.gov/u-s-security-cooperation-with-ukraine/" TargetMode="External"/><Relationship Id="rId4808" Type="http://schemas.openxmlformats.org/officeDocument/2006/relationships/hyperlink" Target="https://www.bundesregierung.de/breg-en/news/military-support-ukraine-2054992" TargetMode="External"/><Relationship Id="rId1" Type="http://schemas.openxmlformats.org/officeDocument/2006/relationships/hyperlink" Target="https://news.defence.gov.au/international/working-together-ukraine" TargetMode="External"/><Relationship Id="rId678" Type="http://schemas.openxmlformats.org/officeDocument/2006/relationships/hyperlink" Target="https://www.canada.ca/en/department-national-defence/news/2022/04/canada-announces-artillery-and-other-additional-military-aid-for-ukraine.html" TargetMode="External"/><Relationship Id="rId885" Type="http://schemas.openxmlformats.org/officeDocument/2006/relationships/hyperlink" Target="https://www.bbc.com/ukrainian/live/62300872?ns_mchannel=social&amp;ns_source=twitter&amp;ns_campaign=bbc_live&amp;ns_linkname=62f3fd302ea3472fbde8330b%26%D0%91%D1%80%D0%B8%D1%82%D0%B0%D0%BD%D1%96%D1%8F%20%D0%BD%D0%B0%D0%B4%D1%81%D0%B8%D0%BB%D0%B0%D1%94%20%D0%BD%D0%BE%D0%B2%D1%96%20%D1%81%D0%B8%D1%81%D1%82%D0%B5%D0%BC%D0%B8%20%D0%B7%D0%B0%D0%BB%D0%BF%D0%BE%D0%B2%D0%BE%D0%B3%D0%BE%20%D0%B2%D0%BE%D0%B3%D0%BD%D1%8E%20%D0%B4%D0%BB%D1%8F%20%D0%A3%D0%BA%D1%80%D0%B0%D1%97%D0%BD%D0%B8%262022-08-10T18%3A59%3A13.398Z&amp;ns_fee=0&amp;pinned_post_locator=urn:asset:cea8dcb7-dd1a-4a71-b0a4-54ce84646b98&amp;pinned_post_asset_id=62f3fd302ea3472fbde8330b&amp;pinned_post_type=share" TargetMode="External"/><Relationship Id="rId2359" Type="http://schemas.openxmlformats.org/officeDocument/2006/relationships/hyperlink" Target="https://ua.ambafrance.org/Dostavka-1000-t-francuz-koyi-gumaniitarnoyi-dopomogi-ukrayins-kim-adresatam-v" TargetMode="External"/><Relationship Id="rId2566" Type="http://schemas.openxmlformats.org/officeDocument/2006/relationships/hyperlink" Target="https://diplomatie.belgium.be/en/policy/policy-areas/highlighted/civilian-aid-ukraine-overview" TargetMode="External"/><Relationship Id="rId2773" Type="http://schemas.openxmlformats.org/officeDocument/2006/relationships/hyperlink" Target="https://www.defense.gov/News/Releases/Release/Article/3272866/biden-administration-announces-additional-security-assistance-for-ukraine/" TargetMode="External"/><Relationship Id="rId2980" Type="http://schemas.openxmlformats.org/officeDocument/2006/relationships/hyperlink" Target="https://www.ansa.it/english/news/politics/2023/02/15/we-stand-by-ukraine-says-tajani-after-berlusconi-row_825d93ee-66b4-49ae-a495-17318a9798a2.html" TargetMode="External"/><Relationship Id="rId3617" Type="http://schemas.openxmlformats.org/officeDocument/2006/relationships/hyperlink" Target="https://www.bundesregierung.de/breg-en/news/military-support-ukraine-2054992" TargetMode="External"/><Relationship Id="rId3824" Type="http://schemas.openxmlformats.org/officeDocument/2006/relationships/hyperlink" Target="https://www.state.gov/u-s-security-cooperation-with-ukraine/" TargetMode="External"/><Relationship Id="rId538" Type="http://schemas.openxmlformats.org/officeDocument/2006/relationships/hyperlink" Target="https://www.portugal.gov.pt/pt/gc23/comunicacao/noticia?i=portugal-concede-apoio-financeiro-de-250-milhoes-a-ucrania" TargetMode="External"/><Relationship Id="rId745" Type="http://schemas.openxmlformats.org/officeDocument/2006/relationships/hyperlink" Target="https://ua.interfax.com.ua/news/general/844172.html" TargetMode="External"/><Relationship Id="rId952" Type="http://schemas.openxmlformats.org/officeDocument/2006/relationships/hyperlink" Target="https://www.defense.gouv.fr/terre/actualites/uiisc-1-3e-convoi-solidarite-lukraine" TargetMode="External"/><Relationship Id="rId1168" Type="http://schemas.openxmlformats.org/officeDocument/2006/relationships/hyperlink" Target="https://www.maltatoday.com.mt/news/national/120300/ian_borg_malta_has_given_ukraine_17_million_in_emergency_aid_since_march" TargetMode="External"/><Relationship Id="rId1375" Type="http://schemas.openxmlformats.org/officeDocument/2006/relationships/hyperlink" Target="https://appropriations.house.gov/sites/democrats.appropriations.house.gov/files/Ukraine%20Supplemental%20Summary.pdf" TargetMode="External"/><Relationship Id="rId1582" Type="http://schemas.openxmlformats.org/officeDocument/2006/relationships/hyperlink" Target="https://appropriations.house.gov/sites/democrats.appropriations.house.gov/files/Additional%20Ukraine%20Suplemental%20Appropriations%20Act%20Summary.pdf" TargetMode="External"/><Relationship Id="rId2219" Type="http://schemas.openxmlformats.org/officeDocument/2006/relationships/hyperlink" Target="https://appropriations.house.gov/sites/democrats.appropriations.house.gov/files/Ukraine%20Supplemental%20Summary.pdf" TargetMode="External"/><Relationship Id="rId2426" Type="http://schemas.openxmlformats.org/officeDocument/2006/relationships/hyperlink" Target="https://www.business-standard.com/article/international/canada-to-provide-up-to-c-50-million-in-development-aid-to-ukraine-trudeau-122012700083_1.html" TargetMode="External"/><Relationship Id="rId2633" Type="http://schemas.openxmlformats.org/officeDocument/2006/relationships/hyperlink" Target="https://today.rtl.lu/news/luxembourg/a/1881929.html" TargetMode="External"/><Relationship Id="rId81" Type="http://schemas.openxmlformats.org/officeDocument/2006/relationships/hyperlink" Target="https://kyivindependent.com/uncategorized/poland-has-provided-ukraine-with-weapons-worth-1-6-billion/" TargetMode="External"/><Relationship Id="rId605"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812" Type="http://schemas.openxmlformats.org/officeDocument/2006/relationships/hyperlink" Target="https://www.defense.gov/News/Releases/Release/Article/3160503/600-million-in-additional-security-assistance-for-ukraine/" TargetMode="External"/><Relationship Id="rId1028" Type="http://schemas.openxmlformats.org/officeDocument/2006/relationships/hyperlink" Target="https://www.defense.gov/News/Releases/Release/Article/3216287/400-million-in-additional-assistance-for-ukraine/" TargetMode="External"/><Relationship Id="rId1235" Type="http://schemas.openxmlformats.org/officeDocument/2006/relationships/hyperlink" Target="https://theprint.in/world/india-sends-7725-kilograms-of-humanitarian-aid-to-ukraine/1125936/" TargetMode="External"/><Relationship Id="rId1442" Type="http://schemas.openxmlformats.org/officeDocument/2006/relationships/hyperlink" Target="https://appropriations.house.gov/sites/democrats.appropriations.house.gov/files/Ukraine%20Supplemental%20Summary.pdf" TargetMode="External"/><Relationship Id="rId2840" Type="http://schemas.openxmlformats.org/officeDocument/2006/relationships/hyperlink" Target="https://crsreports.congress.gov/product/pdf/IF/IF12040" TargetMode="External"/><Relationship Id="rId4598" Type="http://schemas.openxmlformats.org/officeDocument/2006/relationships/hyperlink" Target="https://www.fmn.dk/da/nyheder/2023/ukraine-fond-finansierer-stor-ny-donationspakke/" TargetMode="External"/><Relationship Id="rId1302" Type="http://schemas.openxmlformats.org/officeDocument/2006/relationships/hyperlink" Target="https://www.vm.gov.lv/lv/jaunums/latvija-ziedos-ukrainai-zales-un-medicinas-ierices-14-miljonu-eiro-apmera" TargetMode="External"/><Relationship Id="rId2700" Type="http://schemas.openxmlformats.org/officeDocument/2006/relationships/hyperlink" Target="https://www.mofa.go.jp/press/release/press1e_000358.html" TargetMode="External"/><Relationship Id="rId4458" Type="http://schemas.openxmlformats.org/officeDocument/2006/relationships/hyperlink" Target="https://www.bundesregierung.de/resource/blob/975226/2189778/cdb664abe95e6fa74802882bd66ef771/2023-05-14-liste-ukr-unterstuetzung-data.pdf?download=1" TargetMode="External"/><Relationship Id="rId3267" Type="http://schemas.openxmlformats.org/officeDocument/2006/relationships/hyperlink" Target="https://twitter.com/oleksiireznikov/status/1582092949898559489?t=tUK1m-OV9LtPjNqNYksM6A&amp;s=19" TargetMode="External"/><Relationship Id="rId4665" Type="http://schemas.openxmlformats.org/officeDocument/2006/relationships/hyperlink" Target="https://www.usaid.gov/sites/default/files/2022-12/2022-05-27_USG_Ukraine_Complex_Emergency_Fact_Sheet_17.pdf" TargetMode="External"/><Relationship Id="rId188"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395" Type="http://schemas.openxmlformats.org/officeDocument/2006/relationships/hyperlink" Target="https://news.az/news/lithuania-supplies-another-batch-of-weapons-to-ukraine" TargetMode="External"/><Relationship Id="rId2076" Type="http://schemas.openxmlformats.org/officeDocument/2006/relationships/hyperlink" Target="https://appropriations.house.gov/sites/democrats.appropriations.house.gov/files/Ukraine%20Supplemental%20Summary%20FY23.pdf" TargetMode="External"/><Relationship Id="rId3474" Type="http://schemas.openxmlformats.org/officeDocument/2006/relationships/hyperlink" Target="https://www.bundesregierung.de/breg-en/news/military-support-ukraine-2054992" TargetMode="External"/><Relationship Id="rId3681" Type="http://schemas.openxmlformats.org/officeDocument/2006/relationships/hyperlink" Target="https://intermin.fi/en/ukraine/civilian-assistance-to-ukraine" TargetMode="External"/><Relationship Id="rId4318" Type="http://schemas.openxmlformats.org/officeDocument/2006/relationships/hyperlink" Target="https://www.bundesregierung.de/resource/blob/975226/2189778/cdb664abe95e6fa74802882bd66ef771/2023-05-14-liste-ukr-unterstuetzung-data.pdf?download=1" TargetMode="External"/><Relationship Id="rId4525" Type="http://schemas.openxmlformats.org/officeDocument/2006/relationships/hyperlink" Target="https://twitter.com/ZelenskyyUa/status/1618903893085388800" TargetMode="External"/><Relationship Id="rId4732" Type="http://schemas.openxmlformats.org/officeDocument/2006/relationships/hyperlink" Target="https://www.bundesregierung.de/breg-en/news/military-support-ukraine-2054992" TargetMode="External"/><Relationship Id="rId2283" Type="http://schemas.openxmlformats.org/officeDocument/2006/relationships/hyperlink" Target="https://crsreports.congress.gov/product/pdf/IF/IF12040" TargetMode="External"/><Relationship Id="rId2490" Type="http://schemas.openxmlformats.org/officeDocument/2006/relationships/hyperlink" Target="https://mil.in.ua/en/news/belgium-made-a-decision-to-hand-over-artillery-to-ukraine-the-media/" TargetMode="External"/><Relationship Id="rId3127" Type="http://schemas.openxmlformats.org/officeDocument/2006/relationships/hyperlink" Target="https://frontnews.eu/en/news/details/48264" TargetMode="External"/><Relationship Id="rId3334" Type="http://schemas.openxmlformats.org/officeDocument/2006/relationships/hyperlink" Target="https://de.ambafrance.org/Bilan-de-l-aide-apportee-par-la-France-a-l-Ukraine-fevrier-2023" TargetMode="External"/><Relationship Id="rId3541" Type="http://schemas.openxmlformats.org/officeDocument/2006/relationships/hyperlink" Target="https://www.bundesregierung.de/breg-en/news/military-support-ukraine-2054992" TargetMode="External"/><Relationship Id="rId255" Type="http://schemas.openxmlformats.org/officeDocument/2006/relationships/hyperlink" Target="https://www.expats.cz/czech-news/article/czech-republic-to-donate-100-million-crowns-of-medical-supplies-to-ukraine?msclkid=70d47c46ab9e11eca12fbfc7dff1390d" TargetMode="External"/><Relationship Id="rId462" Type="http://schemas.openxmlformats.org/officeDocument/2006/relationships/hyperlink" Target="https://en.yna.co.kr/view/AEN20220413000800325" TargetMode="External"/><Relationship Id="rId1092" Type="http://schemas.openxmlformats.org/officeDocument/2006/relationships/hyperlink" Target="https://www.regjeringen.no/en/topics/foreign-affairs/humanitarian-efforts/neighbour_support/id2908141/" TargetMode="External"/><Relationship Id="rId2143" Type="http://schemas.openxmlformats.org/officeDocument/2006/relationships/hyperlink" Target="https://appropriations.house.gov/sites/democrats.appropriations.house.gov/files/Additional%20Ukraine%20Suplemental%20Appropriations%20Act%20Summary.pdf" TargetMode="External"/><Relationship Id="rId2350" Type="http://schemas.openxmlformats.org/officeDocument/2006/relationships/hyperlink" Target="https://valtioneuvosto.fi/en/-/finland-to-send-arms-assistance-to-ukraine" TargetMode="External"/><Relationship Id="rId3401" Type="http://schemas.openxmlformats.org/officeDocument/2006/relationships/hyperlink" Target="https://www.bundesgesundheitsministerium.de/unterstuetzungsleistungen-fuer-die-ukraine.html" TargetMode="External"/><Relationship Id="rId115" Type="http://schemas.openxmlformats.org/officeDocument/2006/relationships/hyperlink" Target="https://www.asahi.com/ajw/articles/14608909" TargetMode="External"/><Relationship Id="rId322" Type="http://schemas.openxmlformats.org/officeDocument/2006/relationships/hyperlink" Target="https://www.telegraph.co.uk/world-news/2022/03/24/ukraine-morning-briefing-five-developments-britain-agrees-send/" TargetMode="External"/><Relationship Id="rId2003" Type="http://schemas.openxmlformats.org/officeDocument/2006/relationships/hyperlink" Target="https://crsreports.congress.gov/product/pdf/IF/IF12040" TargetMode="External"/><Relationship Id="rId2210" Type="http://schemas.openxmlformats.org/officeDocument/2006/relationships/hyperlink" Target="https://appropriations.house.gov/sites/democrats.appropriations.house.gov/files/Ukraine%20Supplemental%20Summary.pdf" TargetMode="External"/><Relationship Id="rId4175" Type="http://schemas.openxmlformats.org/officeDocument/2006/relationships/hyperlink" Target="https://www.mod.mil.gr/en/defence-minister-nikolaos-panagiotopoulos-meets-with-the-minister-of-defence/" TargetMode="External"/><Relationship Id="rId4382" Type="http://schemas.openxmlformats.org/officeDocument/2006/relationships/hyperlink" Target="https://www.bundesregierung.de/resource/blob/975226/2189778/cdb664abe95e6fa74802882bd66ef771/2023-05-14-liste-ukr-unterstuetzung-data.pdf?download=1" TargetMode="External"/><Relationship Id="rId1769" Type="http://schemas.openxmlformats.org/officeDocument/2006/relationships/hyperlink" Target="https://crsreports.congress.gov/product/pdf/IF/IF12040" TargetMode="External"/><Relationship Id="rId1976" Type="http://schemas.openxmlformats.org/officeDocument/2006/relationships/hyperlink" Target="https://crsreports.congress.gov/product/pdf/IF/IF12040" TargetMode="External"/><Relationship Id="rId3191" Type="http://schemas.openxmlformats.org/officeDocument/2006/relationships/hyperlink" Target="https://ue.delegfrance.org/IMG/pdf/4_5989977243172998264_1_.pdf?11377/582461c3399e431c79f060e139f084c1fa490550" TargetMode="External"/><Relationship Id="rId4035" Type="http://schemas.openxmlformats.org/officeDocument/2006/relationships/hyperlink" Target="https://www.weaponstoukraine.com/kampane/viktor-mobile-air-defense-for-ukraine" TargetMode="External"/><Relationship Id="rId4242" Type="http://schemas.openxmlformats.org/officeDocument/2006/relationships/hyperlink" Target="https://www.mzv.cz/dresden/cz/zpravy_a_udalosti/predani_humanitarni_pomoci_sanitek_leku.html" TargetMode="External"/><Relationship Id="rId1629" Type="http://schemas.openxmlformats.org/officeDocument/2006/relationships/hyperlink" Target="https://appropriations.house.gov/sites/democrats.appropriations.house.gov/files/Additional%20Ukraine%20Suplemental%20Appropriations%20Act%20Summary.pdf" TargetMode="External"/><Relationship Id="rId1836" Type="http://schemas.openxmlformats.org/officeDocument/2006/relationships/hyperlink" Target="https://appropriations.house.gov/sites/democrats.appropriations.house.gov/files/Summary%20Continuing%20Appropriations%20and%20Ukraine%20Supplemental%20Appropriations%20Act%202023.pdf" TargetMode="External"/><Relationship Id="rId1903" Type="http://schemas.openxmlformats.org/officeDocument/2006/relationships/hyperlink" Target="https://appropriations.house.gov/sites/democrats.appropriations.house.gov/files/Ukraine%20Supplemental%20Summary%20FY23.pdf" TargetMode="External"/><Relationship Id="rId3051" Type="http://schemas.openxmlformats.org/officeDocument/2006/relationships/hyperlink" Target="https://www.mk.gov.lv/en/latvia-supports-ukraine" TargetMode="External"/><Relationship Id="rId4102" Type="http://schemas.openxmlformats.org/officeDocument/2006/relationships/hyperlink" Target="https://twitter.com/MoD_Estonia/status/1629927711668838400?cxt=HHwWgICx-can1Z4tAAAA" TargetMode="External"/><Relationship Id="rId3868" Type="http://schemas.openxmlformats.org/officeDocument/2006/relationships/hyperlink" Target="https://www.defense.gov/News/Releases/Release/Article/3402206/biden-administration-announces-additional-security-assistance-for-ukraine/" TargetMode="External"/><Relationship Id="rId789" Type="http://schemas.openxmlformats.org/officeDocument/2006/relationships/hyperlink" Target="https://www.defense.gov/News/Releases/Release/Article/3134457/775-million-in-additional-security-assistance-for-ukraine/" TargetMode="External"/><Relationship Id="rId996" Type="http://schemas.openxmlformats.org/officeDocument/2006/relationships/hyperlink" Target="https://www.gov.uk/government/news/uk-to-bolster-defensive-aid-to-ukraine-with-new-100m-package" TargetMode="External"/><Relationship Id="rId2677" Type="http://schemas.openxmlformats.org/officeDocument/2006/relationships/hyperlink" Target="https://www.gov.uk/government/news/defence-secretary-meets-us-counterpart-to-discuss-support-for-ukraine" TargetMode="External"/><Relationship Id="rId2884" Type="http://schemas.openxmlformats.org/officeDocument/2006/relationships/hyperlink" Target="https://www.vlada.cz/en/media-centrum/tiskove-zpravy/czechia-sends-hundreds-of-heavy-military-systems-worth-tens-of-billions-to-ukraine-during-the-first-year-of-russian-invasion-203252/" TargetMode="External"/><Relationship Id="rId3728" Type="http://schemas.openxmlformats.org/officeDocument/2006/relationships/hyperlink" Target="https://www.government.se/speeches/2023/02/opening-speech-by-the-minister-for-defence-pal-jonson-at-the-conference-on-security-and-defence-within-the-framework-of-swedens-presidency-of-the-eu/" TargetMode="External"/><Relationship Id="rId649" Type="http://schemas.openxmlformats.org/officeDocument/2006/relationships/hyperlink" Target="https://mil.in.ua/en/news/harpoon-what-is-known-about-danish-coastal-missile-systems/" TargetMode="External"/><Relationship Id="rId856" Type="http://schemas.openxmlformats.org/officeDocument/2006/relationships/hyperlink" Target="https://www.worldbank.org/en/news/press-release/2022/09/30/world-bank-mobilizes-additional-530-million-in-support-to-ukraine" TargetMode="External"/><Relationship Id="rId1279" Type="http://schemas.openxmlformats.org/officeDocument/2006/relationships/hyperlink" Target="https://www.regjeringen.no/en/aktuelt/statement-by-the-norwegian-german-slovakian-and-danish-ministers-of-defence/id2930329/" TargetMode="External"/><Relationship Id="rId1486" Type="http://schemas.openxmlformats.org/officeDocument/2006/relationships/hyperlink" Target="https://appropriations.house.gov/sites/democrats.appropriations.house.gov/files/Ukraine%20Supplemental%20Summary.pdf" TargetMode="External"/><Relationship Id="rId2537" Type="http://schemas.openxmlformats.org/officeDocument/2006/relationships/hyperlink" Target="https://lahbib.belgium.be/en/belgium-provide-8-million-eur-non-lethal-support-ukrainian-armed-forces" TargetMode="External"/><Relationship Id="rId3935" Type="http://schemas.openxmlformats.org/officeDocument/2006/relationships/hyperlink" Target="https://www.state.gov/u-s-security-cooperation-with-ukraine/" TargetMode="External"/><Relationship Id="rId509" Type="http://schemas.openxmlformats.org/officeDocument/2006/relationships/hyperlink" Target="https://eng.lsm.lv/article/society/defense/latvia-training-ukrainian-drone-pilots.a452320/" TargetMode="External"/><Relationship Id="rId1139" Type="http://schemas.openxmlformats.org/officeDocument/2006/relationships/hyperlink" Target="https://twitter.com/LSchreinemacher/status/1591089465719926784" TargetMode="External"/><Relationship Id="rId1346" Type="http://schemas.openxmlformats.org/officeDocument/2006/relationships/hyperlink" Target="https://www.ukrainianworldcongress.org/slovakia-approves-a-new-package-of-military-aid-to-ukraine/" TargetMode="External"/><Relationship Id="rId1693" Type="http://schemas.openxmlformats.org/officeDocument/2006/relationships/hyperlink" Target="https://crsreports.congress.gov/product/pdf/IF/IF12040" TargetMode="External"/><Relationship Id="rId2744" Type="http://schemas.openxmlformats.org/officeDocument/2006/relationships/hyperlink" Target="https://crsreports.congress.gov/product/pdf/IF/IF12040" TargetMode="External"/><Relationship Id="rId2951" Type="http://schemas.openxmlformats.org/officeDocument/2006/relationships/hyperlink" Target="https://www.facebook.com/GeneralStaff.ua/posts/pfbid0b8jsrAE3g5NdUCCGae2f8TP7nFcb6Zp6uq4Q89akx5RkW6EnREQrxGLAugd4qCiWl" TargetMode="External"/><Relationship Id="rId716" Type="http://schemas.openxmlformats.org/officeDocument/2006/relationships/hyperlink" Target="https://www.total-croatia-news.com/politics/63404-vukovar-srijem-county-sends-humanitarian-aid-to-ukraine" TargetMode="External"/><Relationship Id="rId923" Type="http://schemas.openxmlformats.org/officeDocument/2006/relationships/hyperlink" Target="https://yle.fi/news/3-12487455" TargetMode="External"/><Relationship Id="rId1553" Type="http://schemas.openxmlformats.org/officeDocument/2006/relationships/hyperlink" Target="https://appropriations.house.gov/sites/democrats.appropriations.house.gov/files/Additional%20Ukraine%20Suplemental%20Appropriations%20Act%20Summary.pdf" TargetMode="External"/><Relationship Id="rId1760" Type="http://schemas.openxmlformats.org/officeDocument/2006/relationships/hyperlink" Target="https://crsreports.congress.gov/product/pdf/IF/IF12040" TargetMode="External"/><Relationship Id="rId2604" Type="http://schemas.openxmlformats.org/officeDocument/2006/relationships/hyperlink" Target="https://www.canada.ca/en/department-national-defence/campaigns/canadian-military-support-to-ukraine.html" TargetMode="External"/><Relationship Id="rId2811" Type="http://schemas.openxmlformats.org/officeDocument/2006/relationships/hyperlink" Target="https://www.defense.gov/News/Releases/Release/Article/3287992/biden-administration-announces-additional-security-assistance-for-ukraine/" TargetMode="External"/><Relationship Id="rId52" Type="http://schemas.openxmlformats.org/officeDocument/2006/relationships/hyperlink" Target="https://www.rferl.org/a/czech-republic-poland-new-military-aid-ukraine/31873938.html" TargetMode="External"/><Relationship Id="rId1206" Type="http://schemas.openxmlformats.org/officeDocument/2006/relationships/hyperlink" Target="https://twitter.com/GermanyDiplo/status/1602648786886598662?s=20&amp;t=p24pfJZTEUQw2bq9Nf96bQ" TargetMode="External"/><Relationship Id="rId1413" Type="http://schemas.openxmlformats.org/officeDocument/2006/relationships/hyperlink" Target="https://appropriations.house.gov/sites/democrats.appropriations.house.gov/files/Ukraine%20Supplemental%20Summary.pdf" TargetMode="External"/><Relationship Id="rId1620" Type="http://schemas.openxmlformats.org/officeDocument/2006/relationships/hyperlink" Target="https://appropriations.house.gov/sites/democrats.appropriations.house.gov/files/Additional%20Ukraine%20Suplemental%20Appropriations%20Act%20Summary.pdf" TargetMode="External"/><Relationship Id="rId4569" Type="http://schemas.openxmlformats.org/officeDocument/2006/relationships/hyperlink" Target="https://www.ukrinform.net/rubric-polytics/3691736-romania-to-allocate-800-000-to-ukraine-through-nato-mechanisms.html" TargetMode="External"/><Relationship Id="rId4776" Type="http://schemas.openxmlformats.org/officeDocument/2006/relationships/hyperlink" Target="https://www.bundesregierung.de/breg-en/news/military-support-ukraine-2054992" TargetMode="External"/><Relationship Id="rId3378" Type="http://schemas.openxmlformats.org/officeDocument/2006/relationships/hyperlink" Target="https://www.bundesregierung.de/breg-de/aktuelles/ukraine-donors-conference-2037428" TargetMode="External"/><Relationship Id="rId3585" Type="http://schemas.openxmlformats.org/officeDocument/2006/relationships/hyperlink" Target="https://www.eda.admin.ch/eda/en/fdfa/fdfa/aktuell/news.html/content/eda/en/meta/news/2022/3/11/87561" TargetMode="External"/><Relationship Id="rId3792" Type="http://schemas.openxmlformats.org/officeDocument/2006/relationships/hyperlink" Target="https://www.defense.gov/News/Releases/Release/Article/3334472/dod-announces-additional-security-assistance-for-ukraine/" TargetMode="External"/><Relationship Id="rId4429" Type="http://schemas.openxmlformats.org/officeDocument/2006/relationships/hyperlink" Target="https://www.bundesregierung.de/resource/blob/975226/2189778/cdb664abe95e6fa74802882bd66ef771/2023-05-14-liste-ukr-unterstuetzung-data.pdf?download=1" TargetMode="External"/><Relationship Id="rId4636" Type="http://schemas.openxmlformats.org/officeDocument/2006/relationships/hyperlink" Target="https://www.defensie.nl/onderwerpen/oostflank-navo-gebied/militaire-steun-aan-oekraine" TargetMode="External"/><Relationship Id="rId299" Type="http://schemas.openxmlformats.org/officeDocument/2006/relationships/hyperlink" Target="https://www.politico.com/news/2022/03/22/ukraine-weapons-military-aid-00019104" TargetMode="External"/><Relationship Id="rId2187" Type="http://schemas.openxmlformats.org/officeDocument/2006/relationships/hyperlink" Target="https://appropriations.house.gov/sites/democrats.appropriations.house.gov/files/Additional%20Ukraine%20Suplemental%20Appropriations%20Act%20Summary.pdf" TargetMode="External"/><Relationship Id="rId2394" Type="http://schemas.openxmlformats.org/officeDocument/2006/relationships/hyperlink" Target="https://www.energy-community.org/news/Energy-Community-News/2022/12/14.html" TargetMode="External"/><Relationship Id="rId3238" Type="http://schemas.openxmlformats.org/officeDocument/2006/relationships/hyperlink" Target="https://www.anews.com.tr/world/2022/05/29/czech-republic-to-deliver-more-military-supplies-to-ukraine" TargetMode="External"/><Relationship Id="rId3445" Type="http://schemas.openxmlformats.org/officeDocument/2006/relationships/hyperlink" Target="https://www.bundesregierung.de/breg-en/news/military-support-ukraine-2054992" TargetMode="External"/><Relationship Id="rId3652" Type="http://schemas.openxmlformats.org/officeDocument/2006/relationships/hyperlink" Target="https://mil.in.ua/en/news/iceland-and-lithuania-are-providing-warm-clothes-for-the-ukrainian-military/" TargetMode="External"/><Relationship Id="rId4703" Type="http://schemas.openxmlformats.org/officeDocument/2006/relationships/hyperlink" Target="https://www.bundesregierung.de/breg-en/news/military-support-ukraine-2054992" TargetMode="External"/><Relationship Id="rId159" Type="http://schemas.openxmlformats.org/officeDocument/2006/relationships/hyperlink" Target="https://www.gov.uk/government/news/uk-to-send-scores-of-artillery-guns-and-hundreds-of-drones-to-ukraine" TargetMode="External"/><Relationship Id="rId366" Type="http://schemas.openxmlformats.org/officeDocument/2006/relationships/hyperlink" Target="https://www.defense.gov/News/Releases/Release/Article/3007664/fact-sheet-on-us-security-assistance-for-ukraine-roll-up-as-of-april-21-2022/" TargetMode="External"/><Relationship Id="rId573" Type="http://schemas.openxmlformats.org/officeDocument/2006/relationships/hyperlink" Target="https://www.ukrinform.net/rubric-ato/3470180-bulgaria-to-give-ukraine-humanitarian-aid-worth-over-eur-700000-shmyhal.html" TargetMode="External"/><Relationship Id="rId780" Type="http://schemas.openxmlformats.org/officeDocument/2006/relationships/hyperlink" Target="https://www.defense.gov/News/Releases/Release/Article/3134457/775-million-in-additional-security-assistance-for-ukraine/" TargetMode="External"/><Relationship Id="rId204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54" Type="http://schemas.openxmlformats.org/officeDocument/2006/relationships/hyperlink" Target="https://crsreports.congress.gov/product/pdf/IF/IF12040" TargetMode="External"/><Relationship Id="rId2461" Type="http://schemas.openxmlformats.org/officeDocument/2006/relationships/hyperlink" Target="https://lahbib.belgium.be/en/belgium-provide-8-million-eur-non-lethal-support-ukrainian-armed-forces" TargetMode="External"/><Relationship Id="rId3305" Type="http://schemas.openxmlformats.org/officeDocument/2006/relationships/hyperlink" Target="https://www.irozhlas.cz/zpravy-svet/usa-nizozemsko-ukrajina-tanky-t-72b_2211041839_nov" TargetMode="External"/><Relationship Id="rId3512" Type="http://schemas.openxmlformats.org/officeDocument/2006/relationships/hyperlink" Target="https://www.bundesregierung.de/breg-en/news/military-support-ukraine-2054992" TargetMode="External"/><Relationship Id="rId226" Type="http://schemas.openxmlformats.org/officeDocument/2006/relationships/hyperlink" Target="https://www.delfi.lt/en/politics/kasciunas-lithuania-provides-ukraine-with-military-aid-worth-eur-29-mln.d?id=89718941" TargetMode="External"/><Relationship Id="rId433" Type="http://schemas.openxmlformats.org/officeDocument/2006/relationships/hyperlink" Target="https://twitter.com/AFADTurkey/status/1497633720068714497" TargetMode="External"/><Relationship Id="rId1063" Type="http://schemas.openxmlformats.org/officeDocument/2006/relationships/hyperlink" Target="https://www.republicworld.com/world-news/russia-ukraine-crisis/estonia-confirms-relief-package-to-aid-war-torn-ukraine-articleshow.html" TargetMode="External"/><Relationship Id="rId1270" Type="http://schemas.openxmlformats.org/officeDocument/2006/relationships/hyperlink" Target="https://www.irishtimes.com/news/health/thousands-of-blood-bags-and-protective-suits-among-irish-aid-sent-to-ukraine-1.4824403" TargetMode="External"/><Relationship Id="rId2114" Type="http://schemas.openxmlformats.org/officeDocument/2006/relationships/hyperlink" Target="https://appropriations.house.gov/sites/democrats.appropriations.house.gov/files/Additional%20Ukraine%20Suplemental%20Appropriations%20Act%20Summary.pdf" TargetMode="External"/><Relationship Id="rId640" Type="http://schemas.openxmlformats.org/officeDocument/2006/relationships/hyperlink" Target="https://pmtranscripts.pmc.gov.au/release/transcript-43868" TargetMode="External"/><Relationship Id="rId2321" Type="http://schemas.openxmlformats.org/officeDocument/2006/relationships/hyperlink" Target="https://www.theglobeandmail.com/politics/article-canada-to-fund-repairs-to-kyivs-power-grid-with-revenue-from-russian/" TargetMode="External"/><Relationship Id="rId4079" Type="http://schemas.openxmlformats.org/officeDocument/2006/relationships/hyperlink" Target="https://www.elmundo.es/espana/2023/04/19/643fc0e2e4d4d89e718b457e.html" TargetMode="External"/><Relationship Id="rId4286" Type="http://schemas.openxmlformats.org/officeDocument/2006/relationships/hyperlink" Target="https://www.worldbank.org/en/country/ukraine/brief/world-bank-emergency-financing-package-for-ukraine" TargetMode="External"/><Relationship Id="rId500" Type="http://schemas.openxmlformats.org/officeDocument/2006/relationships/hyperlink" Target="https://www.maritime-executive.com/article/denmark-pledges-to-provide-ukraine-with-harpoon-anti-ship-missiles" TargetMode="External"/><Relationship Id="rId1130" Type="http://schemas.openxmlformats.org/officeDocument/2006/relationships/hyperlink" Target="https://twitter.com/Defense_lu/status/1598610977364115462?t=6bU22e0y0z-S3WKot0R3BA&amp;s=19" TargetMode="External"/><Relationship Id="rId4493" Type="http://schemas.openxmlformats.org/officeDocument/2006/relationships/hyperlink" Target="https://mil.in.ua/en/news/czech-republic-allocated-funds-for-ukrainian-pilots-training/" TargetMode="External"/><Relationship Id="rId1947" Type="http://schemas.openxmlformats.org/officeDocument/2006/relationships/hyperlink" Target="https://appropriations.house.gov/sites/democrats.appropriations.house.gov/files/Ukraine%20Supplemental%20Summary%20FY23.pdf" TargetMode="External"/><Relationship Id="rId3095" Type="http://schemas.openxmlformats.org/officeDocument/2006/relationships/hyperlink" Target="https://thediplomatinspain.com/en/2022/07/spain-announces-250-million-euros-for-agriculture-and-renewables-in-ukraine/" TargetMode="External"/><Relationship Id="rId4146" Type="http://schemas.openxmlformats.org/officeDocument/2006/relationships/hyperlink" Target="https://kaitseministeerium.ee/en/news/estonia-send-sniper-weapons-and-special-equipment-ukraine" TargetMode="External"/><Relationship Id="rId4353" Type="http://schemas.openxmlformats.org/officeDocument/2006/relationships/hyperlink" Target="https://www.bundesregierung.de/resource/blob/975226/2189778/cdb664abe95e6fa74802882bd66ef771/2023-05-14-liste-ukr-unterstuetzung-data.pdf?download=1" TargetMode="External"/><Relationship Id="rId4560" Type="http://schemas.openxmlformats.org/officeDocument/2006/relationships/hyperlink" Target="https://www.czdefence.com/article/slovakia-to-provide-ukraine-with-additional-military-material-worth-almost-eur45-million" TargetMode="External"/><Relationship Id="rId1807" Type="http://schemas.openxmlformats.org/officeDocument/2006/relationships/hyperlink" Target="https://appropriations.house.gov/sites/democrats.appropriations.house.gov/files/Additional%20Ukraine%20Suplemental%20Appropriations%20Act%20Summary.pdf" TargetMode="External"/><Relationship Id="rId3162" Type="http://schemas.openxmlformats.org/officeDocument/2006/relationships/hyperlink" Target="https://crsreports.congress.gov/product/pdf/IF/IF12040" TargetMode="External"/><Relationship Id="rId4006" Type="http://schemas.openxmlformats.org/officeDocument/2006/relationships/hyperlink" Target="https://twitter.com/a_anusauskas/status/1594701256463110144" TargetMode="External"/><Relationship Id="rId4213" Type="http://schemas.openxmlformats.org/officeDocument/2006/relationships/hyperlink" Target="https://apnews.com/article/greece-ukraine-russia-arms-reznikov-b8255c6473e7f01cced6202af2c073da" TargetMode="External"/><Relationship Id="rId4420" Type="http://schemas.openxmlformats.org/officeDocument/2006/relationships/hyperlink" Target="https://www.bundesregierung.de/resource/blob/975226/2189778/cdb664abe95e6fa74802882bd66ef771/2023-05-14-liste-ukr-unterstuetzung-data.pdf?download=1" TargetMode="External"/><Relationship Id="rId290" Type="http://schemas.openxmlformats.org/officeDocument/2006/relationships/hyperlink" Target="https://www.vlada.cz/cz/media-centrum/aktualne/vlada-schvalila-dalsi-dar-v-podobe-vojenskeho-materialu-ukrajine-194585/" TargetMode="External"/><Relationship Id="rId3022" Type="http://schemas.openxmlformats.org/officeDocument/2006/relationships/hyperlink" Target="https://sofiaglobe.com/2022/12/20/mod-bulgaria-has-given-close-to-half-a-billion-leva-humanitarian-aid-to-ukraine/" TargetMode="External"/><Relationship Id="rId150" Type="http://schemas.openxmlformats.org/officeDocument/2006/relationships/hyperlink" Target="https://www.defensa.gob.es/gabinete/notasPrensa/2022/10/DGC-221006-envio-ucrania.html" TargetMode="External"/><Relationship Id="rId3979" Type="http://schemas.openxmlformats.org/officeDocument/2006/relationships/hyperlink" Target="https://mil.in.ua/en/news/australia-provides-ukraine-with-uavs-worth-33-million/" TargetMode="External"/><Relationship Id="rId2788" Type="http://schemas.openxmlformats.org/officeDocument/2006/relationships/hyperlink" Target="https://crsreports.congress.gov/product/pdf/IF/IF12040" TargetMode="External"/><Relationship Id="rId2995" Type="http://schemas.openxmlformats.org/officeDocument/2006/relationships/hyperlink" Target="https://www.portugal.gov.pt/pt/gc23/comunicacao/comunicado?i=portugal-vai-enviar-mais-apoio-militar-a-ucrania" TargetMode="External"/><Relationship Id="rId3839" Type="http://schemas.openxmlformats.org/officeDocument/2006/relationships/hyperlink" Target="https://www.defense.gov/News/Releases/Release/Article/3367924/biden-administration-announces-additional-security-assistance-for-ukraine/" TargetMode="External"/><Relationship Id="rId967" Type="http://schemas.openxmlformats.org/officeDocument/2006/relationships/hyperlink" Target="https://www.facebook.com/ukremb.at/posts/2254397241403945" TargetMode="External"/><Relationship Id="rId1597" Type="http://schemas.openxmlformats.org/officeDocument/2006/relationships/hyperlink" Target="https://appropriations.house.gov/sites/democrats.appropriations.house.gov/files/Additional%20Ukraine%20Suplemental%20Appropriations%20Act%20Summary.pdf" TargetMode="External"/><Relationship Id="rId2648" Type="http://schemas.openxmlformats.org/officeDocument/2006/relationships/hyperlink" Target="https://www.reuters.com/world/europe/polish-leopard-tanks-are-already-ukraine-defence-minister-says-2023-02-24/" TargetMode="External"/><Relationship Id="rId2855" Type="http://schemas.openxmlformats.org/officeDocument/2006/relationships/hyperlink" Target="https://crsreports.congress.gov/product/pdf/IF/IF12040" TargetMode="External"/><Relationship Id="rId3906" Type="http://schemas.openxmlformats.org/officeDocument/2006/relationships/hyperlink" Target="https://www.defense.gov/News/Releases/Release/Article/3411804/biden-administration-announces-additional-security-assistance-for-ukraine/" TargetMode="External"/><Relationship Id="rId96" Type="http://schemas.openxmlformats.org/officeDocument/2006/relationships/hyperlink" Target="https://www.mod.gov.lv/lv/zinas/latvija-ukrainas-armijai-piegadajusi-helikopterus-mi-17-un-mi-2" TargetMode="External"/><Relationship Id="rId827" Type="http://schemas.openxmlformats.org/officeDocument/2006/relationships/hyperlink" Target="https://www.defense.gov/News/Releases/Release/Article/3173378/11-billion-in-additional-security-assistance-for-ukraine/" TargetMode="External"/><Relationship Id="rId1457" Type="http://schemas.openxmlformats.org/officeDocument/2006/relationships/hyperlink" Target="https://appropriations.house.gov/sites/democrats.appropriations.house.gov/files/Ukraine%20Supplemental%20Summary.pdf" TargetMode="External"/><Relationship Id="rId1664" Type="http://schemas.openxmlformats.org/officeDocument/2006/relationships/hyperlink" Target="https://crsreports.congress.gov/product/pdf/IF/IF12040" TargetMode="External"/><Relationship Id="rId187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08" Type="http://schemas.openxmlformats.org/officeDocument/2006/relationships/hyperlink" Target="https://www.lesoir.be/437698/article/2022-04-22/guerre-en-ukraine-la-belgique-sapprete-livrer-de-nouveaux-missiles-antichars" TargetMode="External"/><Relationship Id="rId2715" Type="http://schemas.openxmlformats.org/officeDocument/2006/relationships/hyperlink" Target="https://www.mfat.govt.nz/en/countries-and-regions/europe/ukraine/russian-invasion-of-ukraine/" TargetMode="External"/><Relationship Id="rId2922" Type="http://schemas.openxmlformats.org/officeDocument/2006/relationships/hyperlink" Target="https://www.facebook.com/MinInfra.UA/posts/pfbid02bGQE1mPEedRvG9J7XqtSXznjDxwyJAKCTkWNVt5HSqzB132qJErWycxThrVfUKfvl" TargetMode="External"/><Relationship Id="rId4070" Type="http://schemas.openxmlformats.org/officeDocument/2006/relationships/hyperlink" Target="https://elpais.com/espana/2023-02-22/robles-confirma-en-el-congreso-que-espana-entregara-seis-tanques-leopard-a-ucrania.html" TargetMode="External"/><Relationship Id="rId1317" Type="http://schemas.openxmlformats.org/officeDocument/2006/relationships/hyperlink" Target="https://www.dw.com/en/germany-netherlands-promise-additional-howitzers-to-ukraine/a-62294789" TargetMode="External"/><Relationship Id="rId1524" Type="http://schemas.openxmlformats.org/officeDocument/2006/relationships/hyperlink" Target="https://appropriations.house.gov/sites/democrats.appropriations.house.gov/files/Additional%20Ukraine%20Suplemental%20Appropriations%20Act%20Summary.pdf" TargetMode="External"/><Relationship Id="rId1731" Type="http://schemas.openxmlformats.org/officeDocument/2006/relationships/hyperlink" Target="https://crsreports.congress.gov/product/pdf/IF/IF12040" TargetMode="External"/><Relationship Id="rId23" Type="http://schemas.openxmlformats.org/officeDocument/2006/relationships/hyperlink" Target="https://twitter.com/UAWeapons/status/1530575142115495937" TargetMode="External"/><Relationship Id="rId3489" Type="http://schemas.openxmlformats.org/officeDocument/2006/relationships/hyperlink" Target="https://www.bundesregierung.de/breg-en/news/military-support-ukraine-2054992" TargetMode="External"/><Relationship Id="rId3696" Type="http://schemas.openxmlformats.org/officeDocument/2006/relationships/hyperlink" Target="https://um.fi/finland-s-support-to-ukraine" TargetMode="External"/><Relationship Id="rId4747" Type="http://schemas.openxmlformats.org/officeDocument/2006/relationships/hyperlink" Target="https://www.bundesregierung.de/breg-en/news/military-support-ukraine-2054992" TargetMode="External"/><Relationship Id="rId2298" Type="http://schemas.openxmlformats.org/officeDocument/2006/relationships/hyperlink" Target="https://crsreports.congress.gov/product/pdf/IF/IF12040" TargetMode="External"/><Relationship Id="rId3349" Type="http://schemas.openxmlformats.org/officeDocument/2006/relationships/hyperlink" Target="https://time.com/6244479/himars-rockets-ukraine-russia/" TargetMode="External"/><Relationship Id="rId3556" Type="http://schemas.openxmlformats.org/officeDocument/2006/relationships/hyperlink" Target="https://www.bundesregierung.de/breg-en/news/military-support-ukraine-2054992" TargetMode="External"/><Relationship Id="rId477" Type="http://schemas.openxmlformats.org/officeDocument/2006/relationships/hyperlink" Target="https://www.usaid.gov/news-information/press-releases/mar-10-2022-united-states-announces-additional-humanitarian-assistance?msclkid=fc0f8e8dae8611ecaad8dc70eab615cc" TargetMode="External"/><Relationship Id="rId684" Type="http://schemas.openxmlformats.org/officeDocument/2006/relationships/hyperlink" Target="https://cxtvnews.com/military/2022/02/26/polish-military-aid-equipment-has-arrived-in-ukraine/" TargetMode="External"/><Relationship Id="rId2158" Type="http://schemas.openxmlformats.org/officeDocument/2006/relationships/hyperlink" Target="https://appropriations.house.gov/sites/democrats.appropriations.house.gov/files/Additional%20Ukraine%20Suplemental%20Appropriations%20Act%20Summary.pdf" TargetMode="External"/><Relationship Id="rId2365" Type="http://schemas.openxmlformats.org/officeDocument/2006/relationships/hyperlink" Target="https://ua.ambafrance.org/Dostavka-1000-t-francuz-koyi-gumaniitarnoyi-dopomogi-ukrayins-kim-adresatam-v" TargetMode="External"/><Relationship Id="rId3209" Type="http://schemas.openxmlformats.org/officeDocument/2006/relationships/hyperlink" Target="https://www.pravda.com.ua/eng/news/2022/11/19/7377084/" TargetMode="External"/><Relationship Id="rId3763" Type="http://schemas.openxmlformats.org/officeDocument/2006/relationships/hyperlink" Target="https://www.defense.gov/News/News-Stories/Article/Article/3318508/us-sends-ukraine-400-million-in-military-equipment/" TargetMode="External"/><Relationship Id="rId3970" Type="http://schemas.openxmlformats.org/officeDocument/2006/relationships/hyperlink" Target="https://www.state.gov/u-s-security-cooperation-with-ukraine/" TargetMode="External"/><Relationship Id="rId4607" Type="http://schemas.openxmlformats.org/officeDocument/2006/relationships/hyperlink" Target="https://twitter.com/defesa_pt/status/1640416494235406338?s=20" TargetMode="External"/><Relationship Id="rId4814" Type="http://schemas.openxmlformats.org/officeDocument/2006/relationships/hyperlink" Target="https://www.bundesregierung.de/breg-en/news/military-support-ukraine-2054992" TargetMode="External"/><Relationship Id="rId337" Type="http://schemas.openxmlformats.org/officeDocument/2006/relationships/hyperlink" Target="https://www.gov.uk/government/news/prime-minister-pledges-uks-unwavering-support-to-ukraine-on-visit-to-kyiv-9-april-2022" TargetMode="External"/><Relationship Id="rId891" Type="http://schemas.openxmlformats.org/officeDocument/2006/relationships/hyperlink" Target="https://www.ukrinform.net/rubric-ato/3502204-norway-donates-22-m109-howitzers-to-ukraine.html" TargetMode="External"/><Relationship Id="rId2018" Type="http://schemas.openxmlformats.org/officeDocument/2006/relationships/hyperlink" Target="https://crsreports.congress.gov/product/pdf/IF/IF12040" TargetMode="External"/><Relationship Id="rId2572" Type="http://schemas.openxmlformats.org/officeDocument/2006/relationships/hyperlink" Target="https://www.premier.be/sites/default/files/articles/BE%20support%20militaire.pdf" TargetMode="External"/><Relationship Id="rId3416" Type="http://schemas.openxmlformats.org/officeDocument/2006/relationships/hyperlink" Target="https://www.bundesregierung.de/breg-en/news/military-support-ukraine-2054992" TargetMode="External"/><Relationship Id="rId3623" Type="http://schemas.openxmlformats.org/officeDocument/2006/relationships/hyperlink" Target="https://www.bundesregierung.de/breg-en/news/military-support-ukraine-2054992" TargetMode="External"/><Relationship Id="rId3830" Type="http://schemas.openxmlformats.org/officeDocument/2006/relationships/hyperlink" Target="https://www.state.gov/u-s-security-cooperation-with-ukraine/" TargetMode="External"/><Relationship Id="rId544" Type="http://schemas.openxmlformats.org/officeDocument/2006/relationships/hyperlink" Target="https://ec.europa.eu/commission/presscorner/detail/en/speech_22_1483" TargetMode="External"/><Relationship Id="rId751" Type="http://schemas.openxmlformats.org/officeDocument/2006/relationships/hyperlink" Target="https://www.kyivpost.com/world/netherlands-allocates-eur-200m-loan-for-ukraine.html" TargetMode="External"/><Relationship Id="rId1174" Type="http://schemas.openxmlformats.org/officeDocument/2006/relationships/hyperlink" Target="https://kyivindependent.com/news-feed/slovakia-considers-producing-ammunition-for-ukraine" TargetMode="External"/><Relationship Id="rId1381" Type="http://schemas.openxmlformats.org/officeDocument/2006/relationships/hyperlink" Target="https://appropriations.house.gov/sites/democrats.appropriations.house.gov/files/Ukraine%20Supplemental%20Summary.pdf" TargetMode="External"/><Relationship Id="rId2225" Type="http://schemas.openxmlformats.org/officeDocument/2006/relationships/hyperlink" Target="https://appropriations.house.gov/sites/democrats.appropriations.house.gov/files/Ukraine%20Supplemental%20Summary.pdf" TargetMode="External"/><Relationship Id="rId2432" Type="http://schemas.openxmlformats.org/officeDocument/2006/relationships/hyperlink" Target="https://militaryleak.com/2022/03/06/canada-to-supply-4500-m72-and-100-carl-gustaf-anti-tank-weapons-to-ukraine/" TargetMode="External"/><Relationship Id="rId404" Type="http://schemas.openxmlformats.org/officeDocument/2006/relationships/hyperlink" Target="https://www.aa.com.tr/en/europe/france-to-deliver-caesar-artillery-guns-shells-to-ukraine/2570644" TargetMode="External"/><Relationship Id="rId611" Type="http://schemas.openxmlformats.org/officeDocument/2006/relationships/hyperlink" Target="https://mil.in.ua/en/news/the-netherlands-italy-and-belgium-have-agreed-to-transfer-the-additional-155-mm-caliber-acs-to-ukraine/" TargetMode="External"/><Relationship Id="rId1034" Type="http://schemas.openxmlformats.org/officeDocument/2006/relationships/hyperlink" Target="https://www.defensa.gob.es/gabinete/notasPrensa/2022/10/DGC-221006-envio-ucrania.html" TargetMode="External"/><Relationship Id="rId1241" Type="http://schemas.openxmlformats.org/officeDocument/2006/relationships/hyperlink" Target="https://www.mod.mil.gr/en/transfer-of-40-bmp-1-ifvs-from-greece-to-ukraine/" TargetMode="External"/><Relationship Id="rId4397" Type="http://schemas.openxmlformats.org/officeDocument/2006/relationships/hyperlink" Target="https://www.bundesregierung.de/resource/blob/975226/2189778/cdb664abe95e6fa74802882bd66ef771/2023-05-14-liste-ukr-unterstuetzung-data.pdf?download=1" TargetMode="External"/><Relationship Id="rId1101" Type="http://schemas.openxmlformats.org/officeDocument/2006/relationships/hyperlink" Target="https://www.gov.uk/government/news/uk-funding-to-help-repair-ukraines-damaged-energy-systems-and-get-power-back-to-ukrainian-people" TargetMode="External"/><Relationship Id="rId4257" Type="http://schemas.openxmlformats.org/officeDocument/2006/relationships/hyperlink" Target="https://www.defensie.nl/onderwerpen/oostflank-navo-gebied/militaire-steun-aan-oekraine" TargetMode="External"/><Relationship Id="rId4464" Type="http://schemas.openxmlformats.org/officeDocument/2006/relationships/hyperlink" Target="https://www.bundesregierung.de/resource/blob/975226/2189778/cdb664abe95e6fa74802882bd66ef771/2023-05-14-liste-ukr-unterstuetzung-data.pdf?download=1" TargetMode="External"/><Relationship Id="rId4671" Type="http://schemas.openxmlformats.org/officeDocument/2006/relationships/hyperlink" Target="https://www.state.gov/u-s-security-cooperation-with-ukraine/" TargetMode="External"/><Relationship Id="rId3066" Type="http://schemas.openxmlformats.org/officeDocument/2006/relationships/hyperlink" Target="https://delano.lu/article/luxembourg-delivering-substant" TargetMode="External"/><Relationship Id="rId3273" Type="http://schemas.openxmlformats.org/officeDocument/2006/relationships/hyperlink" Target="https://euromaidanpress.com/2022/11/05/italy-set-to-approve-sixth-military-aid-package-for-ukraine-italian-defense-minister/" TargetMode="External"/><Relationship Id="rId3480" Type="http://schemas.openxmlformats.org/officeDocument/2006/relationships/hyperlink" Target="https://www.bundesregierung.de/breg-en/news/military-support-ukraine-2054992" TargetMode="External"/><Relationship Id="rId4117" Type="http://schemas.openxmlformats.org/officeDocument/2006/relationships/hyperlink" Target="https://mil.in.ua/en/news/estonia-provides-ukraine-with-new-military-aid-package/" TargetMode="External"/><Relationship Id="rId4324" Type="http://schemas.openxmlformats.org/officeDocument/2006/relationships/hyperlink" Target="https://www.bundesregierung.de/resource/blob/975226/2189778/cdb664abe95e6fa74802882bd66ef771/2023-05-14-liste-ukr-unterstuetzung-data.pdf?download=1" TargetMode="External"/><Relationship Id="rId4531" Type="http://schemas.openxmlformats.org/officeDocument/2006/relationships/hyperlink" Target="https://kyivindependent.com/spain-to-send-20-m-113-armored-personnel-carriers-to-ukraine/" TargetMode="External"/><Relationship Id="rId194"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1918" Type="http://schemas.openxmlformats.org/officeDocument/2006/relationships/hyperlink" Target="https://appropriations.house.gov/sites/democrats.appropriations.house.gov/files/Ukraine%20Supplemental%20Summary%20FY23.pdf" TargetMode="External"/><Relationship Id="rId2082" Type="http://schemas.openxmlformats.org/officeDocument/2006/relationships/hyperlink" Target="https://appropriations.house.gov/sites/democrats.appropriations.house.gov/files/Ukraine%20Supplemental%20Summary%20FY23.pdf" TargetMode="External"/><Relationship Id="rId3133" Type="http://schemas.openxmlformats.org/officeDocument/2006/relationships/hyperlink" Target="https://eco.sapo.pt/2023/02/24/ajuda-financeira-a-ucrania-de-250-milhoes-de-euros-ja-nao-sera-paga/" TargetMode="External"/><Relationship Id="rId261" Type="http://schemas.openxmlformats.org/officeDocument/2006/relationships/hyperlink" Target="https://www.lrt.lt/en/news-in-english/19/1652048/lithuania-to-provide-eur10m-in-military-aid-to-ukraine" TargetMode="External"/><Relationship Id="rId3340" Type="http://schemas.openxmlformats.org/officeDocument/2006/relationships/hyperlink" Target="https://abcnews.go.com/International/us-avenger-important-boost-ukrainian-air-defense-top/story?id=99405568" TargetMode="External"/><Relationship Id="rId2899" Type="http://schemas.openxmlformats.org/officeDocument/2006/relationships/hyperlink" Target="https://mil.in.ua/en/news/czech-republic-to-transfer-heavy-equipment-and-weapons-to-ukraine/" TargetMode="External"/><Relationship Id="rId3200" Type="http://schemas.openxmlformats.org/officeDocument/2006/relationships/hyperlink" Target="https://www.irishmirror.ie/news/irish-news/politics/goal-opens-new-support-offices-27021322" TargetMode="External"/><Relationship Id="rId121" Type="http://schemas.openxmlformats.org/officeDocument/2006/relationships/hyperlink" Target="https://www.defense.gouv.fr/terre/actualites/uiisc-1-3e-convoi-solidarite-lukraine" TargetMode="External"/><Relationship Id="rId2759" Type="http://schemas.openxmlformats.org/officeDocument/2006/relationships/hyperlink" Target="https://crsreports.congress.gov/product/pdf/IF/IF12040" TargetMode="External"/><Relationship Id="rId2966" Type="http://schemas.openxmlformats.org/officeDocument/2006/relationships/hyperlink" Target="https://www.lemonde.fr/en/international/article/2023/01/31/france-commits-to-sending-more-caesar-self-propelled-howitzers-to-ukraine_6013871_4.html" TargetMode="External"/><Relationship Id="rId938" Type="http://schemas.openxmlformats.org/officeDocument/2006/relationships/hyperlink" Target="https://www.swissinfo.ch/eng/politics/swiss-to-send-chf100-million-in-aid-to-help-ukraine-get-through-winter/48025666" TargetMode="External"/><Relationship Id="rId1568" Type="http://schemas.openxmlformats.org/officeDocument/2006/relationships/hyperlink" Target="https://appropriations.house.gov/sites/democrats.appropriations.house.gov/files/Additional%20Ukraine%20Suplemental%20Appropriations%20Act%20Summary.pdf" TargetMode="External"/><Relationship Id="rId1775" Type="http://schemas.openxmlformats.org/officeDocument/2006/relationships/hyperlink" Target="https://crsreports.congress.gov/product/pdf/IF/IF12040" TargetMode="External"/><Relationship Id="rId2619"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2826" Type="http://schemas.openxmlformats.org/officeDocument/2006/relationships/hyperlink" Target="https://crsreports.congress.gov/product/pdf/IF/IF12040" TargetMode="External"/><Relationship Id="rId4181" Type="http://schemas.openxmlformats.org/officeDocument/2006/relationships/hyperlink" Target="https://greekreporter.com/2023/04/06/greece-military-support-ukraine/" TargetMode="External"/><Relationship Id="rId67" Type="http://schemas.openxmlformats.org/officeDocument/2006/relationships/hyperlink" Target="https://twitter.com/TheEconomist/status/1506413311272886276" TargetMode="External"/><Relationship Id="rId1428" Type="http://schemas.openxmlformats.org/officeDocument/2006/relationships/hyperlink" Target="https://appropriations.house.gov/sites/democrats.appropriations.house.gov/files/Ukraine%20Supplemental%20Summary.pdf" TargetMode="External"/><Relationship Id="rId1635" Type="http://schemas.openxmlformats.org/officeDocument/2006/relationships/hyperlink" Target="https://appropriations.house.gov/sites/democrats.appropriations.house.gov/files/Additional%20Ukraine%20Suplemental%20Appropriations%20Act%20Summary.pdf" TargetMode="External"/><Relationship Id="rId1982" Type="http://schemas.openxmlformats.org/officeDocument/2006/relationships/hyperlink" Target="https://crsreports.congress.gov/product/pdf/IF/IF12040" TargetMode="External"/><Relationship Id="rId4041" Type="http://schemas.openxmlformats.org/officeDocument/2006/relationships/hyperlink" Target="https://www.weaponstoukraine.com/kampane/viktor-mobile-air-defense-for-ukraine" TargetMode="External"/><Relationship Id="rId1842" Type="http://schemas.openxmlformats.org/officeDocument/2006/relationships/hyperlink" Target="https://appropriations.house.gov/sites/democrats.appropriations.house.gov/files/Summary%20Continuing%20Appropriations%20and%20Ukraine%20Supplemental%20Appropriations%20Act%202023.pdf" TargetMode="External"/><Relationship Id="rId1702" Type="http://schemas.openxmlformats.org/officeDocument/2006/relationships/hyperlink" Target="https://crsreports.congress.gov/product/pdf/IF/IF12040" TargetMode="External"/><Relationship Id="rId3667" Type="http://schemas.openxmlformats.org/officeDocument/2006/relationships/hyperlink" Target="https://en.kriseinformation.dk/war/denmarks-response/donations" TargetMode="External"/><Relationship Id="rId3874" Type="http://schemas.openxmlformats.org/officeDocument/2006/relationships/hyperlink" Target="https://www.defense.gov/News/Releases/Release/Article/3402206/biden-administration-announces-additional-security-assistance-for-ukraine/" TargetMode="External"/><Relationship Id="rId4718" Type="http://schemas.openxmlformats.org/officeDocument/2006/relationships/hyperlink" Target="https://www.bundesregierung.de/breg-en/news/military-support-ukraine-2054992" TargetMode="External"/><Relationship Id="rId588" Type="http://schemas.openxmlformats.org/officeDocument/2006/relationships/hyperlink" Target="https://en.yna.co.kr/view/AEN20220526005300325" TargetMode="External"/><Relationship Id="rId795" Type="http://schemas.openxmlformats.org/officeDocument/2006/relationships/hyperlink" Target="https://www.defense.gov/News/Releases/Release/Article/3152071/675-million-in-additional-security-assistance-for-ukraine/" TargetMode="External"/><Relationship Id="rId2269" Type="http://schemas.openxmlformats.org/officeDocument/2006/relationships/hyperlink" Target="https://crsreports.congress.gov/product/pdf/IF/IF12040" TargetMode="External"/><Relationship Id="rId2476" Type="http://schemas.openxmlformats.org/officeDocument/2006/relationships/hyperlink" Target="https://www.brusselstimes.com/278107/belgium-provides-e8-million-for-non-lethal-help-to-ukraine" TargetMode="External"/><Relationship Id="rId2683" Type="http://schemas.openxmlformats.org/officeDocument/2006/relationships/hyperlink" Target="https://www.lrt.lt/naujienos/lietuvoje/2/1645808/kasciunas-lietuva-yra-suteikusi-ukrainai-karines-paramos-uz-29-mln-euru" TargetMode="External"/><Relationship Id="rId2890" Type="http://schemas.openxmlformats.org/officeDocument/2006/relationships/hyperlink" Target="https://www.vlada.cz/en/media-centrum/tiskove-zpravy/czechia-sends-hundreds-of-heavy-military-systems-worth-tens-of-billions-to-ukraine-during-the-first-year-of-russian-invasion-203252/" TargetMode="External"/><Relationship Id="rId3527" Type="http://schemas.openxmlformats.org/officeDocument/2006/relationships/hyperlink" Target="https://www.bundesregierung.de/breg-en/news/military-support-ukraine-2054992" TargetMode="External"/><Relationship Id="rId3734" Type="http://schemas.openxmlformats.org/officeDocument/2006/relationships/hyperlink" Target="https://www.government.se/speeches/2023/02/opening-speech-by-the-minister-for-defence-pal-jonson-at-the-conference-on-security-and-defence-within-the-framework-of-swedens-presidency-of-the-eu/" TargetMode="External"/><Relationship Id="rId3941" Type="http://schemas.openxmlformats.org/officeDocument/2006/relationships/hyperlink" Target="https://www.defense.gov/News/Releases/Release/Article/3350958/biden-administration-announces-additional-security-assistance-for-ukraine/" TargetMode="External"/><Relationship Id="rId448" Type="http://schemas.openxmlformats.org/officeDocument/2006/relationships/hyperlink" Target="https://norwaytoday.info/news/norway-is-giving-200-million-kroner-to-ukrainian-teachers-and-government-employees/" TargetMode="External"/><Relationship Id="rId655" Type="http://schemas.openxmlformats.org/officeDocument/2006/relationships/hyperlink" Target="https://www.news18.com/news/world/ukraine-asks-for-military-aid-from-world-netherlands-us-among-25-countries-to-provide-support-4814291.html" TargetMode="External"/><Relationship Id="rId862" Type="http://schemas.openxmlformats.org/officeDocument/2006/relationships/hyperlink" Target="https://kaitseministeerium.ee/en/news/estonia-increase-defence-aid-ukraine" TargetMode="External"/><Relationship Id="rId1078" Type="http://schemas.openxmlformats.org/officeDocument/2006/relationships/hyperlink" Target="https://www.leparisien.fr/politique/sebastien-lecornu-nous-allons-former-jusqua-2000-soldats-ukrainiens-en-france-15-10-2022-SBLM6EKPOFELNHN3GHGA7IAESY.php" TargetMode="External"/><Relationship Id="rId1285" Type="http://schemas.openxmlformats.org/officeDocument/2006/relationships/hyperlink" Target="https://www.deutschland.de/en/news/ticker-solidarity-with-ukraine" TargetMode="External"/><Relationship Id="rId1492" Type="http://schemas.openxmlformats.org/officeDocument/2006/relationships/hyperlink" Target="https://appropriations.house.gov/sites/democrats.appropriations.house.gov/files/Ukraine%20Supplemental%20Summary.pdf" TargetMode="External"/><Relationship Id="rId2129" Type="http://schemas.openxmlformats.org/officeDocument/2006/relationships/hyperlink" Target="https://crsreports.congress.gov/product/pdf/IF/IF12040" TargetMode="External"/><Relationship Id="rId2336" Type="http://schemas.openxmlformats.org/officeDocument/2006/relationships/hyperlink" Target="https://www.minister.defence.gov.au/media-releases/2022-10-27/additional-support-ukraine" TargetMode="External"/><Relationship Id="rId2543" Type="http://schemas.openxmlformats.org/officeDocument/2006/relationships/hyperlink" Target="https://www.brusselstimes.com/278107/belgium-provides-e8-million-for-non-lethal-help-to-ukraine" TargetMode="External"/><Relationship Id="rId2750" Type="http://schemas.openxmlformats.org/officeDocument/2006/relationships/hyperlink" Target="https://crsreports.congress.gov/product/pdf/IF/IF12040" TargetMode="External"/><Relationship Id="rId3801" Type="http://schemas.openxmlformats.org/officeDocument/2006/relationships/hyperlink" Target="https://www.defense.gov/News/Releases/Release/Article/3350958/biden-administration-announces-additional-security-assistance-for-ukraine/" TargetMode="External"/><Relationship Id="rId308" Type="http://schemas.openxmlformats.org/officeDocument/2006/relationships/hyperlink" Target="https://www.reuters.com/world/europe/uk-provide-6000-missiles-ukraine-new-support-2022-03-23/" TargetMode="External"/><Relationship Id="rId515" Type="http://schemas.openxmlformats.org/officeDocument/2006/relationships/hyperlink" Target="https://twitter.com/Defensagob/status/1512424894881017857" TargetMode="External"/><Relationship Id="rId722" Type="http://schemas.openxmlformats.org/officeDocument/2006/relationships/hyperlink" Target="https://bank.gov.ua/en/news/all/uryad-shvetsiyi-pererahuvav-5777-mln-shvedskih-kron-na-dopomogu-zbroynim-silam-ukrayini?fbclid=IwAR2GXaFc3IMIbZSXOY8F7GKajhqkPjM9F5GjMl1cFhI_X1DeYZjIVLKXbdg" TargetMode="External"/><Relationship Id="rId1145" Type="http://schemas.openxmlformats.org/officeDocument/2006/relationships/hyperlink" Target="https://www.reuters.com/world/europe/bulgaria-send-its-first-military-aid-ukraine-2022-12-09/" TargetMode="External"/><Relationship Id="rId1352" Type="http://schemas.openxmlformats.org/officeDocument/2006/relationships/hyperlink" Target="https://en.kyiv.media/news/ukraine-received-a-eur100m-loan-from-france" TargetMode="External"/><Relationship Id="rId2403" Type="http://schemas.openxmlformats.org/officeDocument/2006/relationships/hyperlink" Target="https://www.mofa.go.jp/press/release/press4e_003098.html" TargetMode="External"/><Relationship Id="rId1005" Type="http://schemas.openxmlformats.org/officeDocument/2006/relationships/hyperlink" Target="https://www.bbc.com/news/uk-61990479" TargetMode="External"/><Relationship Id="rId1212" Type="http://schemas.openxmlformats.org/officeDocument/2006/relationships/hyperlink" Target="https://www.defense.gov/News/Releases/Release/Article/3227217/400-million-in-additional-assistance-for-ukraine/" TargetMode="External"/><Relationship Id="rId2610" Type="http://schemas.openxmlformats.org/officeDocument/2006/relationships/hyperlink" Target="https://www.canada.ca/en/department-national-defence/campaigns/canadian-military-support-to-ukraine.html" TargetMode="External"/><Relationship Id="rId4368" Type="http://schemas.openxmlformats.org/officeDocument/2006/relationships/hyperlink" Target="https://www.bundesregierung.de/resource/blob/975226/2189778/cdb664abe95e6fa74802882bd66ef771/2023-05-14-liste-ukr-unterstuetzung-data.pdf?download=1" TargetMode="External"/><Relationship Id="rId4575" Type="http://schemas.openxmlformats.org/officeDocument/2006/relationships/hyperlink" Target="https://thewest.com.au/news/world/nz-offers-humanitarian-refugee-support-to-ukraine-c-10535635" TargetMode="External"/><Relationship Id="rId3177" Type="http://schemas.openxmlformats.org/officeDocument/2006/relationships/hyperlink" Target="https://neighbourhood-enlargement.ec.europa.eu/news/statement-president-von-der-leyen-joint-press-conference-ukrainian-president-zelenskyy-2023-02-02_en" TargetMode="External"/><Relationship Id="rId4228" Type="http://schemas.openxmlformats.org/officeDocument/2006/relationships/hyperlink" Target="https://www.regjeringen.no/en/topics/foreign-affairs/humanitarian-efforts/neighbour_support/id2908141/?expand=factbox2963912" TargetMode="External"/><Relationship Id="rId4782" Type="http://schemas.openxmlformats.org/officeDocument/2006/relationships/hyperlink" Target="https://www.bundesregierung.de/breg-en/news/military-support-ukraine-2054992" TargetMode="External"/><Relationship Id="rId3037" Type="http://schemas.openxmlformats.org/officeDocument/2006/relationships/hyperlink" Target="https://www.defensie.nl/onderwerpen/oostflank-navo-gebied/nieuws/2023/01/20/details-bekend-over-nederlandse-levering-patriot-luchtverdediging-aan-oekraine" TargetMode="External"/><Relationship Id="rId3384" Type="http://schemas.openxmlformats.org/officeDocument/2006/relationships/hyperlink" Target="https://www.thedefensepost.com/2022/10/03/germany-denmark-norway-howitzers-ukraine/" TargetMode="External"/><Relationship Id="rId3591" Type="http://schemas.openxmlformats.org/officeDocument/2006/relationships/hyperlink" Target="https://www.eda.admin.ch/eda/en/fdfa/fdfa/aktuell/dossiers/krieg-gegen-ukraine.html" TargetMode="External"/><Relationship Id="rId4435" Type="http://schemas.openxmlformats.org/officeDocument/2006/relationships/hyperlink" Target="https://www.bundesregierung.de/resource/blob/975226/2189778/cdb664abe95e6fa74802882bd66ef771/2023-05-14-liste-ukr-unterstuetzung-data.pdf?download=1" TargetMode="External"/><Relationship Id="rId4642" Type="http://schemas.openxmlformats.org/officeDocument/2006/relationships/hyperlink" Target="https://english.defensie.nl/latest/news/2023/04/20/netherlands-to-purchase-leopard-2-tanks-for-ukraine" TargetMode="External"/><Relationship Id="rId2193" Type="http://schemas.openxmlformats.org/officeDocument/2006/relationships/hyperlink" Target="https://appropriations.house.gov/sites/democrats.appropriations.house.gov/files/Additional%20Ukraine%20Suplemental%20Appropriations%20Act%20Summary.pdf" TargetMode="External"/><Relationship Id="rId3244" Type="http://schemas.openxmlformats.org/officeDocument/2006/relationships/hyperlink" Target="https://focustaiwan.tw/politics/202206030014" TargetMode="External"/><Relationship Id="rId3451" Type="http://schemas.openxmlformats.org/officeDocument/2006/relationships/hyperlink" Target="https://www.bundesregierung.de/breg-en/news/military-support-ukraine-2054992" TargetMode="External"/><Relationship Id="rId4502" Type="http://schemas.openxmlformats.org/officeDocument/2006/relationships/hyperlink" Target="https://twitter.com/AFADTurkey/status/1503080333205700608" TargetMode="External"/><Relationship Id="rId165" Type="http://schemas.openxmlformats.org/officeDocument/2006/relationships/hyperlink" Target="https://www.dw.com/en/ukraine-updates-zelenskyy-hints-he-is-open-to-talks-with-russia/a-63679013" TargetMode="External"/><Relationship Id="rId372" Type="http://schemas.openxmlformats.org/officeDocument/2006/relationships/hyperlink" Target="https://www.canada.ca/en/department-national-defence/news/2022/03/defence-minister-anand-announces-additional-military-support-to-ukraine.html" TargetMode="External"/><Relationship Id="rId205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60" Type="http://schemas.openxmlformats.org/officeDocument/2006/relationships/hyperlink" Target="https://crsreports.congress.gov/product/pdf/IF/IF12040" TargetMode="External"/><Relationship Id="rId3104" Type="http://schemas.openxmlformats.org/officeDocument/2006/relationships/hyperlink" Target="https://www.tweedekamer.nl/kamerstukken/brieven_regering/detail?id=2022D56571&amp;did=2022D56571" TargetMode="External"/><Relationship Id="rId3311" Type="http://schemas.openxmlformats.org/officeDocument/2006/relationships/hyperlink" Target="https://www.asahi.com/ajw/articles/14845741" TargetMode="External"/><Relationship Id="rId232" Type="http://schemas.openxmlformats.org/officeDocument/2006/relationships/hyperlink" Target="https://um.dk/danida/lande-og-regioner/ukraine" TargetMode="External"/><Relationship Id="rId2120" Type="http://schemas.openxmlformats.org/officeDocument/2006/relationships/hyperlink" Target="https://appropriations.house.gov/sites/democrats.appropriations.house.gov/files/Additional%20Ukraine%20Suplemental%20Appropriations%20Act%20Summary.pdf" TargetMode="External"/><Relationship Id="rId1679" Type="http://schemas.openxmlformats.org/officeDocument/2006/relationships/hyperlink" Target="https://crsreports.congress.gov/product/pdf/IF/IF12040" TargetMode="External"/><Relationship Id="rId4085" Type="http://schemas.openxmlformats.org/officeDocument/2006/relationships/hyperlink" Target="https://mof.gov.ua/uk/news/ukraina_otrimala_vid_velikobritanii_drugu_chastinu_dodatkovogo_finansuvannia_na_203_mln_dol_ssha_cherez_proekt_svitovogo_banku-3846" TargetMode="External"/><Relationship Id="rId4292" Type="http://schemas.openxmlformats.org/officeDocument/2006/relationships/hyperlink" Target="https://www.bundesregierung.de/resource/blob/975226/2189778/cdb664abe95e6fa74802882bd66ef771/2023-05-14-liste-ukr-unterstuetzung-data.pdf?download=1" TargetMode="External"/><Relationship Id="rId1886" Type="http://schemas.openxmlformats.org/officeDocument/2006/relationships/hyperlink" Target="https://appropriations.house.gov/sites/democrats.appropriations.house.gov/files/Ukraine%20Supplemental%20Summary%20FY23.pdf" TargetMode="External"/><Relationship Id="rId2937" Type="http://schemas.openxmlformats.org/officeDocument/2006/relationships/hyperlink" Target="https://www.facebook.com/MinInfra.UA/posts/pfbid02bGQE1mPEedRvG9J7XqtSXznjDxwyJAKCTkWNVt5HSqzB132qJErWycxThrVfUKfvl" TargetMode="External"/><Relationship Id="rId4152" Type="http://schemas.openxmlformats.org/officeDocument/2006/relationships/hyperlink" Target="https://kaitseministeerium.ee/en/news/estonia-sending-ukraine-urgently-needed-ammunition" TargetMode="External"/><Relationship Id="rId909" Type="http://schemas.openxmlformats.org/officeDocument/2006/relationships/hyperlink" Target="https://www.worldbank.org/en/news/press-release/2022/03/07/world-bank-mobilizes-an-emergency-financing-package-of-over-700-million-for-ukraine" TargetMode="External"/><Relationship Id="rId1539" Type="http://schemas.openxmlformats.org/officeDocument/2006/relationships/hyperlink" Target="https://appropriations.house.gov/sites/democrats.appropriations.house.gov/files/Additional%20Ukraine%20Suplemental%20Appropriations%20Act%20Summary.pdf" TargetMode="External"/><Relationship Id="rId1746" Type="http://schemas.openxmlformats.org/officeDocument/2006/relationships/hyperlink" Target="https://crsreports.congress.gov/product/pdf/IF/IF12040" TargetMode="External"/><Relationship Id="rId1953" Type="http://schemas.openxmlformats.org/officeDocument/2006/relationships/hyperlink" Target="https://crsreports.congress.gov/product/pdf/IF/IF12040" TargetMode="External"/><Relationship Id="rId38" Type="http://schemas.openxmlformats.org/officeDocument/2006/relationships/hyperlink" Target="https://www.bmi.gv.at/news.aspx?id=69543149763057644C4C633D" TargetMode="External"/><Relationship Id="rId1606" Type="http://schemas.openxmlformats.org/officeDocument/2006/relationships/hyperlink" Target="https://appropriations.house.gov/sites/democrats.appropriations.house.gov/files/Additional%20Ukraine%20Suplemental%20Appropriations%20Act%20Summary.pdf" TargetMode="External"/><Relationship Id="rId1813" Type="http://schemas.openxmlformats.org/officeDocument/2006/relationships/hyperlink" Target="https://appropriations.house.gov/sites/democrats.appropriations.house.gov/files/Summary%20Continuing%20Appropriations%20and%20Ukraine%20Supplemental%20Appropriations%20Act%202023.pdf" TargetMode="External"/><Relationship Id="rId4012" Type="http://schemas.openxmlformats.org/officeDocument/2006/relationships/hyperlink" Target="https://www.worldbank.org/en/programs/urtf/partners" TargetMode="External"/><Relationship Id="rId3778" Type="http://schemas.openxmlformats.org/officeDocument/2006/relationships/hyperlink" Target="https://www.defense.gov/News/Releases/Release/Article/3334472/dod-announces-additional-security-assistance-for-ukraine/" TargetMode="External"/><Relationship Id="rId3985" Type="http://schemas.openxmlformats.org/officeDocument/2006/relationships/hyperlink" Target="https://www.premier.be/sites/default/files/articles/BE%20support%20militaire.pdf" TargetMode="External"/><Relationship Id="rId4829" Type="http://schemas.openxmlformats.org/officeDocument/2006/relationships/hyperlink" Target="https://www.bundesregierung.de/breg-en/news/military-support-ukraine-2054992" TargetMode="External"/><Relationship Id="rId699" Type="http://schemas.openxmlformats.org/officeDocument/2006/relationships/hyperlink" Target="https://www.defense.gov/News/Releases/Release/Article/3066864/fact-sheet-on-us-security-assistance-to-ukraine/" TargetMode="External"/><Relationship Id="rId2587"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794" Type="http://schemas.openxmlformats.org/officeDocument/2006/relationships/hyperlink" Target="https://www.defense.gov/News/Releases/Release/Article/3287992/biden-administration-announces-additional-security-assistance-for-ukraine/" TargetMode="External"/><Relationship Id="rId3638" Type="http://schemas.openxmlformats.org/officeDocument/2006/relationships/hyperlink" Target="https://babel.ua/en/news/93939-south-korea-allocates-130-million-in-financial-aid-to-ukraine" TargetMode="External"/><Relationship Id="rId3845" Type="http://schemas.openxmlformats.org/officeDocument/2006/relationships/hyperlink" Target="https://www.state.gov/u-s-security-cooperation-with-ukraine/" TargetMode="External"/><Relationship Id="rId559" Type="http://schemas.openxmlformats.org/officeDocument/2006/relationships/hyperlink" Target="https://ec.europa.eu/info/strategy/priorities-2019-2024/stronger-europe-world/eu-solidarity-ukraine/eu-assistance-ukraine_en?msclkid=23e9b3c1d14011ecaaeca792ec66a4ed" TargetMode="External"/><Relationship Id="rId766" Type="http://schemas.openxmlformats.org/officeDocument/2006/relationships/hyperlink" Target="https://www.government.se/press-releases/2022/08/prime-minister-magdalena-andersson-to-receive-ukrainian-minister-for-foreign-affairs-dmytro-kuleba/" TargetMode="External"/><Relationship Id="rId1189" Type="http://schemas.openxmlformats.org/officeDocument/2006/relationships/hyperlink" Target="https://babel.ua/en/news/88860-japan-plans-to-provide-ukraine-with-an-additional-500-million-in-aid" TargetMode="External"/><Relationship Id="rId1396" Type="http://schemas.openxmlformats.org/officeDocument/2006/relationships/hyperlink" Target="https://appropriations.house.gov/sites/democrats.appropriations.house.gov/files/Ukraine%20Supplemental%20Summary.pdf" TargetMode="External"/><Relationship Id="rId2447" Type="http://schemas.openxmlformats.org/officeDocument/2006/relationships/hyperlink" Target="https://odessa-journal.com/ukraine-and-austria-agreed-on-economic-cooperation-in-the-development-of-projects/" TargetMode="External"/><Relationship Id="rId419" Type="http://schemas.openxmlformats.org/officeDocument/2006/relationships/hyperlink" Target="https://www.gov.uk/government/news/uk-sets-out-new-multi-million-dollar-economic-package-of-support-for-ukraine" TargetMode="External"/><Relationship Id="rId626" Type="http://schemas.openxmlformats.org/officeDocument/2006/relationships/hyperlink" Target="https://www.reuters.com/world/europe/france-offer-100-mln-euros-humanitarian-aid-ukraine-2022-03-01/" TargetMode="External"/><Relationship Id="rId973" Type="http://schemas.openxmlformats.org/officeDocument/2006/relationships/hyperlink" Target="https://www.austria.org/ukraine" TargetMode="External"/><Relationship Id="rId1049" Type="http://schemas.openxmlformats.org/officeDocument/2006/relationships/hyperlink" Target="https://kaitseministeerium.ee/en/news/estonia-increase-defence-aid-ukraine" TargetMode="External"/><Relationship Id="rId1256" Type="http://schemas.openxmlformats.org/officeDocument/2006/relationships/hyperlink" Target="https://abouthungary.hu/news-in-brief/hungary-to-make-another-shipment-of-humanitarian-aid-to-ukraine?msclkid=ca53d542ab8b11ec95fbf81dabb45ae9" TargetMode="External"/><Relationship Id="rId2307" Type="http://schemas.openxmlformats.org/officeDocument/2006/relationships/hyperlink" Target="https://appropriations.house.gov/sites/democrats.appropriations.house.gov/files/Ukraine%20Supplemental%20Summary%20FY23.pdf" TargetMode="External"/><Relationship Id="rId2654" Type="http://schemas.openxmlformats.org/officeDocument/2006/relationships/hyperlink" Target="https://comercio.gob.es/ImportacionExportacion/Informes_Estadisticas/Material%20Defansa%20Doble%20Uso/2022/XMDDU2022I.pdf" TargetMode="External"/><Relationship Id="rId2861" Type="http://schemas.openxmlformats.org/officeDocument/2006/relationships/hyperlink" Target="https://www.defense.gov/News/Releases/Release/Article/3287992/biden-administration-announces-additional-security-assistance-for-ukraine/" TargetMode="External"/><Relationship Id="rId3705" Type="http://schemas.openxmlformats.org/officeDocument/2006/relationships/hyperlink" Target="https://www.defmin.fi/en/topical/press_releases_and_news/finland_to_send_another_package_of_defence_materiel_to_ukraine.13645.news" TargetMode="External"/><Relationship Id="rId3912" Type="http://schemas.openxmlformats.org/officeDocument/2006/relationships/hyperlink" Target="https://www.defense.gov/News/Releases/Release/Article/3388890/biden-administration-announces-additional-security-assistance-for-ukraine/" TargetMode="External"/><Relationship Id="rId833" Type="http://schemas.openxmlformats.org/officeDocument/2006/relationships/hyperlink" Target="https://www.defense.gov/News/Releases/Release/Article/3173378/11-billion-in-additional-security-assistance-for-ukraine/" TargetMode="External"/><Relationship Id="rId1116" Type="http://schemas.openxmlformats.org/officeDocument/2006/relationships/hyperlink" Target="https://twitter.com/a_anusauskas/status/1594701256463110144" TargetMode="External"/><Relationship Id="rId1463" Type="http://schemas.openxmlformats.org/officeDocument/2006/relationships/hyperlink" Target="https://appropriations.house.gov/sites/democrats.appropriations.house.gov/files/Ukraine%20Supplemental%20Summary.pdf" TargetMode="External"/><Relationship Id="rId1670" Type="http://schemas.openxmlformats.org/officeDocument/2006/relationships/hyperlink" Target="https://crsreports.congress.gov/product/pdf/IF/IF12040" TargetMode="External"/><Relationship Id="rId2514" Type="http://schemas.openxmlformats.org/officeDocument/2006/relationships/hyperlink" Target="https://www.lesoir.be/437698/article/2022-04-22/guerre-en-ukraine-la-belgique-sapprete-livrer-de-nouveaux-missiles-antichars" TargetMode="External"/><Relationship Id="rId2721" Type="http://schemas.openxmlformats.org/officeDocument/2006/relationships/hyperlink" Target="https://www.reuters.com/article/ukraine-crisis-norway-idUSKBN2UO0W6" TargetMode="External"/><Relationship Id="rId900" Type="http://schemas.openxmlformats.org/officeDocument/2006/relationships/hyperlink" Target="https://um.dk/en/danida/countries-and-regions/ukraine" TargetMode="External"/><Relationship Id="rId1323" Type="http://schemas.openxmlformats.org/officeDocument/2006/relationships/hyperlink" Target="https://ec.europa.eu/commission/presscorner/detail/en/ip_22_7320" TargetMode="External"/><Relationship Id="rId1530" Type="http://schemas.openxmlformats.org/officeDocument/2006/relationships/hyperlink" Target="https://appropriations.house.gov/sites/democrats.appropriations.house.gov/files/Additional%20Ukraine%20Suplemental%20Appropriations%20Act%20Summary.pdf" TargetMode="External"/><Relationship Id="rId4479" Type="http://schemas.openxmlformats.org/officeDocument/2006/relationships/hyperlink" Target="https://www.mod.gov.lv/lv/zinas/latvija-ramsteinas-sanaksme-izzino-papildu-militaro-atbalstu-ukrainai" TargetMode="External"/><Relationship Id="rId4686" Type="http://schemas.openxmlformats.org/officeDocument/2006/relationships/hyperlink" Target="https://www.bundesregierung.de/breg-en/news/military-support-ukraine-2054992" TargetMode="External"/><Relationship Id="rId3288" Type="http://schemas.openxmlformats.org/officeDocument/2006/relationships/hyperlink" Target="http://web.archive.org/web/20220419070007/https:/netherlandsnewslive.com/the-netherlands-supplies-medicines-and-medical-supplies-to-ukraine/373516/" TargetMode="External"/><Relationship Id="rId3495" Type="http://schemas.openxmlformats.org/officeDocument/2006/relationships/hyperlink" Target="https://www.bundesregierung.de/breg-en/news/military-support-ukraine-2054992" TargetMode="External"/><Relationship Id="rId4339" Type="http://schemas.openxmlformats.org/officeDocument/2006/relationships/hyperlink" Target="https://www.bundesregierung.de/resource/blob/975226/2189778/cdb664abe95e6fa74802882bd66ef771/2023-05-14-liste-ukr-unterstuetzung-data.pdf?download=1" TargetMode="External"/><Relationship Id="rId4546" Type="http://schemas.openxmlformats.org/officeDocument/2006/relationships/hyperlink" Target="https://crsreports.congress.gov/product/pdf/IF/IF12040" TargetMode="External"/><Relationship Id="rId4753" Type="http://schemas.openxmlformats.org/officeDocument/2006/relationships/hyperlink" Target="https://www.bundesregierung.de/breg-en/news/military-support-ukraine-2054992" TargetMode="External"/><Relationship Id="rId2097" Type="http://schemas.openxmlformats.org/officeDocument/2006/relationships/hyperlink" Target="https://appropriations.house.gov/sites/democrats.appropriations.house.gov/files/Ukraine%20Supplemental%20Summary.pdf" TargetMode="External"/><Relationship Id="rId3148" Type="http://schemas.openxmlformats.org/officeDocument/2006/relationships/hyperlink" Target="https://www.gov.uk/government/news/uk-and-sweden-strengthen-defence-relationship-as-ministers-sign-agreement-on-self-propelled-guns" TargetMode="External"/><Relationship Id="rId3355" Type="http://schemas.openxmlformats.org/officeDocument/2006/relationships/hyperlink" Target="https://www.international.gc.ca/world-monde/issues_development-enjeux_developpement/response_conflict-reponse_conflits/crisis-crises/ukraine-dev.aspx?lang=eng" TargetMode="External"/><Relationship Id="rId3562" Type="http://schemas.openxmlformats.org/officeDocument/2006/relationships/hyperlink" Target="https://www.reuters.com/world/europe/germany-pledges-199-mln-aid-displaced-people-ukraine-minister-2022-09-03/" TargetMode="External"/><Relationship Id="rId4406" Type="http://schemas.openxmlformats.org/officeDocument/2006/relationships/hyperlink" Target="https://www.bundesregierung.de/resource/blob/975226/2189778/cdb664abe95e6fa74802882bd66ef771/2023-05-14-liste-ukr-unterstuetzung-data.pdf?download=1" TargetMode="External"/><Relationship Id="rId4613" Type="http://schemas.openxmlformats.org/officeDocument/2006/relationships/hyperlink" Target="https://web.archive.org/web/20230524183203/https:/www.defesa.gov.pt/pt/comunicacao/documentos/Lists/PDEFINTER_DocumentoLookupList/apoio_militar_Portugal_Ucrania_20230503.pdf" TargetMode="External"/><Relationship Id="rId276" Type="http://schemas.openxmlformats.org/officeDocument/2006/relationships/hyperlink" Target="https://www.canada.ca/en/department-national-defence/news/2022/01/canada-extends-and-expands-military-and-other-support-for-the-security-of-ukraine.html" TargetMode="External"/><Relationship Id="rId483" Type="http://schemas.openxmlformats.org/officeDocument/2006/relationships/hyperlink" Target="https://www-puterea-ro.translate.goog/romania-ofera-ucrainei-o-noua-contributie-de-asistenta-umanitara/?_x_tr_sl=ro&amp;_x_tr_tl=en&amp;_x_tr_hl=en&amp;_x_tr_pto=sc" TargetMode="External"/><Relationship Id="rId690" Type="http://schemas.openxmlformats.org/officeDocument/2006/relationships/hyperlink" Target="https://n1info.si/novice/svet/slovenija-ukrajini-ze-poslala-puske-streliva-in-celade/" TargetMode="External"/><Relationship Id="rId2164" Type="http://schemas.openxmlformats.org/officeDocument/2006/relationships/hyperlink" Target="https://appropriations.house.gov/sites/democrats.appropriations.house.gov/files/Additional%20Ukraine%20Suplemental%20Appropriations%20Act%20Summary.pdf" TargetMode="External"/><Relationship Id="rId2371" Type="http://schemas.openxmlformats.org/officeDocument/2006/relationships/hyperlink" Target="https://www.connexionfrance.com/article/French-news/Humanitarian-ship-for-Ukraine-leaves-French-port-with-8m-of-aid" TargetMode="External"/><Relationship Id="rId3008" Type="http://schemas.openxmlformats.org/officeDocument/2006/relationships/hyperlink" Target="https://observador.pt/2023/02/28/ucrania-tanques-leopard-elevam-apoio-de-portugal-para-712-toneladas/" TargetMode="External"/><Relationship Id="rId3215" Type="http://schemas.openxmlformats.org/officeDocument/2006/relationships/hyperlink" Target="https://ukdefencejournal.org.uk/britain-to-donate-more-air-defence-missiles-to-ukraine/" TargetMode="External"/><Relationship Id="rId3422" Type="http://schemas.openxmlformats.org/officeDocument/2006/relationships/hyperlink" Target="https://www.bundesregierung.de/breg-en/news/military-support-ukraine-2054992" TargetMode="External"/><Relationship Id="rId4820" Type="http://schemas.openxmlformats.org/officeDocument/2006/relationships/hyperlink" Target="https://www.bundesregierung.de/breg-en/news/military-support-ukraine-2054992" TargetMode="External"/><Relationship Id="rId136" Type="http://schemas.openxmlformats.org/officeDocument/2006/relationships/hyperlink" Target="https://www.defmin.fi/ajankohtaista/tiedotteet_ja_uutiset/suomi_toimittaa_lisaa_puolustustarvikeapua_ukrainaan.13184.news" TargetMode="External"/><Relationship Id="rId343" Type="http://schemas.openxmlformats.org/officeDocument/2006/relationships/hyperlink" Target="https://www.defensa.gob.es/gabinete/notasPrensa/2022/04/DGC-220408-visita-centro-militar-farmacia.html" TargetMode="External"/><Relationship Id="rId550" Type="http://schemas.openxmlformats.org/officeDocument/2006/relationships/hyperlink" Target="https://www.consilium.europa.eu/de/press/press-releases/2022/04/13/eu-support-to-ukraine-council-agrees-on-third-tranche-of-support-under-the-european-peace-facility-for-total-1-5-billion/" TargetMode="External"/><Relationship Id="rId1180" Type="http://schemas.openxmlformats.org/officeDocument/2006/relationships/hyperlink" Target="https://www.eurointegration.com.ua/news/2022/12/8/7152129/" TargetMode="External"/><Relationship Id="rId2024" Type="http://schemas.openxmlformats.org/officeDocument/2006/relationships/hyperlink" Target="https://crsreports.congress.gov/product/pdf/IF/IF12040" TargetMode="External"/><Relationship Id="rId2231" Type="http://schemas.openxmlformats.org/officeDocument/2006/relationships/hyperlink" Target="https://appropriations.house.gov/sites/democrats.appropriations.house.gov/files/Ukraine%20Supplemental%20Summary.pdf" TargetMode="External"/><Relationship Id="rId203" Type="http://schemas.openxmlformats.org/officeDocument/2006/relationships/hyperlink" Target="https://www.mod.bg/bg/news.php?&amp;fn_page=2" TargetMode="External"/><Relationship Id="rId1040" Type="http://schemas.openxmlformats.org/officeDocument/2006/relationships/hyperlink" Target="https://www.defensa.gob.es/gabinete/notasPrensa/2022/11/DGC-221110-sesion-ucrania.html" TargetMode="External"/><Relationship Id="rId4196" Type="http://schemas.openxmlformats.org/officeDocument/2006/relationships/hyperlink" Target="https://decode39.com/6722/italian-made-anti-air-system-boosts-ukraines-air-shield/" TargetMode="External"/><Relationship Id="rId410" Type="http://schemas.openxmlformats.org/officeDocument/2006/relationships/hyperlink" Target="https://tvn24.pl/polska/ukraina-pomoc-humanitarna-z-polski-dotarla-na-ukraine-5660490" TargetMode="External"/><Relationship Id="rId1997" Type="http://schemas.openxmlformats.org/officeDocument/2006/relationships/hyperlink" Target="https://crsreports.congress.gov/product/pdf/IF/IF12040" TargetMode="External"/><Relationship Id="rId4056" Type="http://schemas.openxmlformats.org/officeDocument/2006/relationships/hyperlink" Target="https://www.defensie.nl/onderwerpen/oostflank-navo-gebied/militaire-steun-aan-oekraine" TargetMode="External"/><Relationship Id="rId185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08" Type="http://schemas.openxmlformats.org/officeDocument/2006/relationships/hyperlink" Target="https://mil.in.ua/en/news/czech-republic-to-transfer-heavy-equipment-and-weapons-to-ukraine/" TargetMode="External"/><Relationship Id="rId4263" Type="http://schemas.openxmlformats.org/officeDocument/2006/relationships/hyperlink" Target="https://eu-solidarity-ukraine.ec.europa.eu/eu-assistance-ukraine_en" TargetMode="External"/><Relationship Id="rId4470" Type="http://schemas.openxmlformats.org/officeDocument/2006/relationships/hyperlink" Target="https://www.bundesregierung.de/resource/blob/975226/2189778/cdb664abe95e6fa74802882bd66ef771/2023-05-14-liste-ukr-unterstuetzung-data.pdf?download=1" TargetMode="External"/><Relationship Id="rId1717" Type="http://schemas.openxmlformats.org/officeDocument/2006/relationships/hyperlink" Target="https://crsreports.congress.gov/product/pdf/IF/IF12040" TargetMode="External"/><Relationship Id="rId1924" Type="http://schemas.openxmlformats.org/officeDocument/2006/relationships/hyperlink" Target="https://appropriations.house.gov/sites/democrats.appropriations.house.gov/files/Ukraine%20Supplemental%20Summary%20FY23.pdf" TargetMode="External"/><Relationship Id="rId3072" Type="http://schemas.openxmlformats.org/officeDocument/2006/relationships/hyperlink" Target="https://www.reuters.com/world/europe/polish-leopard-tanks-are-already-ukraine-defence-minister-says-2023-02-24/" TargetMode="External"/><Relationship Id="rId4123" Type="http://schemas.openxmlformats.org/officeDocument/2006/relationships/hyperlink" Target="https://babel.ua/en/news/90987-estonia-handed-over-another-military-aid-to-ukraine" TargetMode="External"/><Relationship Id="rId4330" Type="http://schemas.openxmlformats.org/officeDocument/2006/relationships/hyperlink" Target="https://www.bundesregierung.de/resource/blob/975226/2189778/cdb664abe95e6fa74802882bd66ef771/2023-05-14-liste-ukr-unterstuetzung-data.pdf?download=1" TargetMode="External"/><Relationship Id="rId3889" Type="http://schemas.openxmlformats.org/officeDocument/2006/relationships/hyperlink" Target="https://www.defense.gov/News/Releases/Release/Article/3411804/biden-administration-announces-additional-security-assistance-for-ukraine/" TargetMode="External"/><Relationship Id="rId2698" Type="http://schemas.openxmlformats.org/officeDocument/2006/relationships/hyperlink" Target="https://www.dfa.ie/news-and-media/press-releases/press-release-archive/2022/december/minister-coveney-announces-additional-funding-for-ukraine-and-moldova.php" TargetMode="External"/><Relationship Id="rId3749" Type="http://schemas.openxmlformats.org/officeDocument/2006/relationships/hyperlink" Target="https://www.government.se/contentassets/b5ee5a7272ba4b60870f91587d555f86/faktablad_sverigesstod_ukraina_eng.pdf" TargetMode="External"/><Relationship Id="rId3956" Type="http://schemas.openxmlformats.org/officeDocument/2006/relationships/hyperlink" Target="https://www.state.gov/u-s-security-cooperation-with-ukraine/" TargetMode="External"/><Relationship Id="rId877" Type="http://schemas.openxmlformats.org/officeDocument/2006/relationships/hyperlink" Target="https://www.kyivpost.com/russias-war/japan-to-provide-vans-drones-to-ukraine.html" TargetMode="External"/><Relationship Id="rId2558" Type="http://schemas.openxmlformats.org/officeDocument/2006/relationships/hyperlink" Target="https://en.interfax.com.ua/news/general/859303.html" TargetMode="External"/><Relationship Id="rId2765" Type="http://schemas.openxmlformats.org/officeDocument/2006/relationships/hyperlink" Target="https://crsreports.congress.gov/product/pdf/IF/IF12040" TargetMode="External"/><Relationship Id="rId2972" Type="http://schemas.openxmlformats.org/officeDocument/2006/relationships/hyperlink" Target="https://greekcitytimes.com/2023/02/15/greece-armoured-vehicles-ukraine/" TargetMode="External"/><Relationship Id="rId3609" Type="http://schemas.openxmlformats.org/officeDocument/2006/relationships/hyperlink" Target="https://www.bundesregierung.de/breg-en/news/military-support-ukraine-2054992" TargetMode="External"/><Relationship Id="rId3816" Type="http://schemas.openxmlformats.org/officeDocument/2006/relationships/hyperlink" Target="https://www.state.gov/u-s-security-cooperation-with-ukraine/" TargetMode="External"/><Relationship Id="rId737" Type="http://schemas.openxmlformats.org/officeDocument/2006/relationships/hyperlink" Target="https://www.defense.gov/News/Releases/Release/Article/3007664/fact-sheet-on-us-security-assistance-for-ukraine-roll-up-as-of-april-21-2022/" TargetMode="External"/><Relationship Id="rId944" Type="http://schemas.openxmlformats.org/officeDocument/2006/relationships/hyperlink" Target="https://www.reuters.com/world/europe/czechs-plan-train-4000-ukrainian-troops-2022-11-16/" TargetMode="External"/><Relationship Id="rId1367" Type="http://schemas.openxmlformats.org/officeDocument/2006/relationships/hyperlink" Target="https://appropriations.house.gov/sites/democrats.appropriations.house.gov/files/Ukraine%20Supplemental%20Summary.pdf" TargetMode="External"/><Relationship Id="rId1574" Type="http://schemas.openxmlformats.org/officeDocument/2006/relationships/hyperlink" Target="https://appropriations.house.gov/sites/democrats.appropriations.house.gov/files/Additional%20Ukraine%20Suplemental%20Appropriations%20Act%20Summary.pdf" TargetMode="External"/><Relationship Id="rId1781" Type="http://schemas.openxmlformats.org/officeDocument/2006/relationships/hyperlink" Target="https://crsreports.congress.gov/product/pdf/IF/IF12040" TargetMode="External"/><Relationship Id="rId2418"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2625" Type="http://schemas.openxmlformats.org/officeDocument/2006/relationships/hyperlink" Target="https://twitter.com/a_anusauskas/status/1594701256463110144" TargetMode="External"/><Relationship Id="rId2832" Type="http://schemas.openxmlformats.org/officeDocument/2006/relationships/hyperlink" Target="https://crsreports.congress.gov/product/pdf/IF/IF12040" TargetMode="External"/><Relationship Id="rId73" Type="http://schemas.openxmlformats.org/officeDocument/2006/relationships/hyperlink" Target="https://english.defensie.nl/latest/news/2022/04/06/a-look-at-the-defence-news-28-march---3-april" TargetMode="External"/><Relationship Id="rId804" Type="http://schemas.openxmlformats.org/officeDocument/2006/relationships/hyperlink" Target="https://www.defense.gov/News/Releases/Release/Article/3160503/600-million-in-additional-security-assistance-for-ukraine/" TargetMode="External"/><Relationship Id="rId1227" Type="http://schemas.openxmlformats.org/officeDocument/2006/relationships/hyperlink" Target="https://www.youtube.com/watch?v=iw2OnEkr_Do&amp;ab_channel=%D0%A4%D0%B0%D0%BA%D1%82%D0%B8ICTV" TargetMode="External"/><Relationship Id="rId1434" Type="http://schemas.openxmlformats.org/officeDocument/2006/relationships/hyperlink" Target="https://appropriations.house.gov/sites/democrats.appropriations.house.gov/files/Ukraine%20Supplemental%20Summary.pdf" TargetMode="External"/><Relationship Id="rId1641" Type="http://schemas.openxmlformats.org/officeDocument/2006/relationships/hyperlink" Target="https://appropriations.house.gov/sites/democrats.appropriations.house.gov/files/Additional%20Ukraine%20Suplemental%20Appropriations%20Act%20Summary.pdf" TargetMode="External"/><Relationship Id="rId4797" Type="http://schemas.openxmlformats.org/officeDocument/2006/relationships/hyperlink" Target="https://www.bundesregierung.de/breg-en/news/military-support-ukraine-2054992" TargetMode="External"/><Relationship Id="rId1501" Type="http://schemas.openxmlformats.org/officeDocument/2006/relationships/hyperlink" Target="https://appropriations.house.gov/sites/democrats.appropriations.house.gov/files/Ukraine%20Supplemental%20Summary.pdf" TargetMode="External"/><Relationship Id="rId3399" Type="http://schemas.openxmlformats.org/officeDocument/2006/relationships/hyperlink" Target="https://odesa.consumer.gov.ua/uk/1448-onovlena-veterinarna-laboratoriya-v-izmajili-dopomozhe-priskoriti-eksport-ukrajinskoji-produktsiji" TargetMode="External"/><Relationship Id="rId4657" Type="http://schemas.openxmlformats.org/officeDocument/2006/relationships/hyperlink" Target="https://reliefweb.int/report/ukraine/japan-contributes-471-million-world-bank-support-ukraine-relief-efforts-enuk" TargetMode="External"/><Relationship Id="rId3259" Type="http://schemas.openxmlformats.org/officeDocument/2006/relationships/hyperlink" Target="https://abouthungary.hu/news-in-brief/hungarian-government-sends-huf-210-million-of-medical-aid-to-ukraine" TargetMode="External"/><Relationship Id="rId3466" Type="http://schemas.openxmlformats.org/officeDocument/2006/relationships/hyperlink" Target="https://www.bundesregierung.de/breg-en/news/military-support-ukraine-2054992" TargetMode="External"/><Relationship Id="rId4517" Type="http://schemas.openxmlformats.org/officeDocument/2006/relationships/hyperlink" Target="https://japan.kantei.go.jp/ongoingtopics/pdf/jp_stands_with_ukraine_eng.pdf" TargetMode="External"/><Relationship Id="rId387" Type="http://schemas.openxmlformats.org/officeDocument/2006/relationships/hyperlink" Target="https://www.reuters.com/world/europe/japan-trebles-loans-ukraine-300-mln-pm-kishida-other-leaders-2022-04-19/" TargetMode="External"/><Relationship Id="rId594" Type="http://schemas.openxmlformats.org/officeDocument/2006/relationships/hyperlink" Target="https://www.armyrecognition.com/defense_news_may_2022_global_security_army_industry/us_pushing_portugal_to_cede_some_m113_apcs_to_ukraine.html" TargetMode="External"/><Relationship Id="rId2068" Type="http://schemas.openxmlformats.org/officeDocument/2006/relationships/hyperlink" Target="https://appropriations.house.gov/sites/democrats.appropriations.house.gov/files/Ukraine%20Supplemental%20Summary%20FY23.pdf" TargetMode="External"/><Relationship Id="rId2275" Type="http://schemas.openxmlformats.org/officeDocument/2006/relationships/hyperlink" Target="https://crsreports.congress.gov/product/pdf/IF/IF12040" TargetMode="External"/><Relationship Id="rId3119" Type="http://schemas.openxmlformats.org/officeDocument/2006/relationships/hyperlink" Target="https://mocr.army.cz/informacni-servis/zpravodajstvi/jednani-ministryne-s-ceskymi-zbrojari--ocenuji-podporu-exportu-i-ceskych-zakazek-239387/" TargetMode="External"/><Relationship Id="rId3326" Type="http://schemas.openxmlformats.org/officeDocument/2006/relationships/hyperlink" Target="https://www.reuters.com/world/europe/france-italy-ready-deliver-sampt-anti-missile-system-ukraine-2023-02-03/" TargetMode="External"/><Relationship Id="rId3673" Type="http://schemas.openxmlformats.org/officeDocument/2006/relationships/hyperlink" Target="https://www.ndr.de/nachrichten/schleswig-holstein/Der-Weg-der-Leopard-Panzer-Ueber-Flensburg-in-die-Ukraine,leopard828.html" TargetMode="External"/><Relationship Id="rId3880" Type="http://schemas.openxmlformats.org/officeDocument/2006/relationships/hyperlink" Target="https://www.state.gov/u-s-security-cooperation-with-ukraine/" TargetMode="External"/><Relationship Id="rId4724" Type="http://schemas.openxmlformats.org/officeDocument/2006/relationships/hyperlink" Target="https://www.bundesregierung.de/breg-en/news/military-support-ukraine-2054992" TargetMode="External"/><Relationship Id="rId247" Type="http://schemas.openxmlformats.org/officeDocument/2006/relationships/hyperlink" Target="https://www.vindobona.org/article/attack-on-ukraine-austria-extends-aid-from-foreign-disaster-fund-to-a-total-of-17-5-million-euros" TargetMode="External"/><Relationship Id="rId1084" Type="http://schemas.openxmlformats.org/officeDocument/2006/relationships/hyperlink" Target="https://www.facebook.com/watch/?v=830836764592255" TargetMode="External"/><Relationship Id="rId2482" Type="http://schemas.openxmlformats.org/officeDocument/2006/relationships/hyperlink" Target="https://en.interfax.com.ua/news/general/859303.html" TargetMode="External"/><Relationship Id="rId3533" Type="http://schemas.openxmlformats.org/officeDocument/2006/relationships/hyperlink" Target="https://www.bundesregierung.de/breg-en/news/military-support-ukraine-2054992" TargetMode="External"/><Relationship Id="rId3740" Type="http://schemas.openxmlformats.org/officeDocument/2006/relationships/hyperlink" Target="https://www.government.se/contentassets/b5ee5a7272ba4b60870f91587d555f86/faktablad_sverigesstod_ukraina_eng.pdf" TargetMode="External"/><Relationship Id="rId107" Type="http://schemas.openxmlformats.org/officeDocument/2006/relationships/hyperlink" Target="https://www.youtube.com/watch?v=S4G4kaNLqbk" TargetMode="External"/><Relationship Id="rId454" Type="http://schemas.openxmlformats.org/officeDocument/2006/relationships/hyperlink" Target="https://www.aa.com.tr/en/russia-ukraine-war/new-zealand-announces-13m-additional-aid-for-ukraine/2560551" TargetMode="External"/><Relationship Id="rId661" Type="http://schemas.openxmlformats.org/officeDocument/2006/relationships/hyperlink" Target="https://www.mofa.go.kr/eng/brd/m_5676/view.do?seq=322053" TargetMode="External"/><Relationship Id="rId1291" Type="http://schemas.openxmlformats.org/officeDocument/2006/relationships/hyperlink" Target="https://www.bundesregierung.de/resource/blob/975226/2155792/c3dbab706421f63d3d612091e7ecad4c/2022-12-27-unterstuetzung-ukraine-breg-data.pdf?download=1%20Guten" TargetMode="External"/><Relationship Id="rId2135" Type="http://schemas.openxmlformats.org/officeDocument/2006/relationships/hyperlink" Target="https://crsreports.congress.gov/product/pdf/IF/IF12040" TargetMode="External"/><Relationship Id="rId2342" Type="http://schemas.openxmlformats.org/officeDocument/2006/relationships/hyperlink" Target="https://www.reuters.com/world/europe/denmark-donates-43-mln-military-aid-ukraine-2022-12-21/" TargetMode="External"/><Relationship Id="rId3600" Type="http://schemas.openxmlformats.org/officeDocument/2006/relationships/hyperlink" Target="https://www.defensenews.com/land/2022/08/22/turkey-sends-50-mine-resistant-vehicles-to-ukraine-with-more-expected/" TargetMode="External"/><Relationship Id="rId314" Type="http://schemas.openxmlformats.org/officeDocument/2006/relationships/hyperlink" Target="https://www.rtvslo.si/radio-si/news/slovenia-sending-more-aid-to-ukraine/616960" TargetMode="External"/><Relationship Id="rId521" Type="http://schemas.openxmlformats.org/officeDocument/2006/relationships/hyperlink" Target="https://en.interfax.com.ua/news/general/829822.html" TargetMode="External"/><Relationship Id="rId1151" Type="http://schemas.openxmlformats.org/officeDocument/2006/relationships/hyperlink" Target="https://kaitseministeerium.ee/et/uudised/eesti-saadab-ukrainale-taas-sojavarustust" TargetMode="External"/><Relationship Id="rId2202" Type="http://schemas.openxmlformats.org/officeDocument/2006/relationships/hyperlink" Target="https://appropriations.house.gov/sites/democrats.appropriations.house.gov/files/Ukraine%20Supplemental%20Summary.pdf" TargetMode="External"/><Relationship Id="rId1011" Type="http://schemas.openxmlformats.org/officeDocument/2006/relationships/hyperlink" Target="https://www.gov.uk/government/news/pm-announces-new-air-defence-for-ukraine-on-first-visit-to-kyiv" TargetMode="External"/><Relationship Id="rId1968" Type="http://schemas.openxmlformats.org/officeDocument/2006/relationships/hyperlink" Target="https://crsreports.congress.gov/product/pdf/IF/IF12040" TargetMode="External"/><Relationship Id="rId4167" Type="http://schemas.openxmlformats.org/officeDocument/2006/relationships/hyperlink" Target="https://www.vm.ee/en/news/estonia-donates-12-buses-zhytomyr-oblast-ukraine-help-restore-transport-links" TargetMode="External"/><Relationship Id="rId4374" Type="http://schemas.openxmlformats.org/officeDocument/2006/relationships/hyperlink" Target="https://www.bundesregierung.de/resource/blob/975226/2189778/cdb664abe95e6fa74802882bd66ef771/2023-05-14-liste-ukr-unterstuetzung-data.pdf?download=1" TargetMode="External"/><Relationship Id="rId4581" Type="http://schemas.openxmlformats.org/officeDocument/2006/relationships/hyperlink" Target="https://thewest.com.au/news/world/nz-offers-humanitarian-refugee-support-to-ukraine-c-10535635" TargetMode="External"/><Relationship Id="rId3183" Type="http://schemas.openxmlformats.org/officeDocument/2006/relationships/hyperlink" Target="https://www.urdupoint.com/en/business/us-draft-budget-provides-126mln-for-response-1612875.html" TargetMode="External"/><Relationship Id="rId3390"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4027" Type="http://schemas.openxmlformats.org/officeDocument/2006/relationships/hyperlink" Target="https://www.defensie.nl/onderwerpen/oostflank-navo-gebied/militaire-steun-aan-oekraine" TargetMode="External"/><Relationship Id="rId4234" Type="http://schemas.openxmlformats.org/officeDocument/2006/relationships/hyperlink" Target="https://www.pravda.com.ua/eng/news/2023/04/20/7398782/" TargetMode="External"/><Relationship Id="rId4441" Type="http://schemas.openxmlformats.org/officeDocument/2006/relationships/hyperlink" Target="https://www.bundesregierung.de/resource/blob/975226/2189778/cdb664abe95e6fa74802882bd66ef771/2023-05-14-liste-ukr-unterstuetzung-data.pdf?download=1" TargetMode="External"/><Relationship Id="rId1828"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43" Type="http://schemas.openxmlformats.org/officeDocument/2006/relationships/hyperlink" Target="https://www.infodefensa.com/texto-diario/mostrar/4154019/espana-envia-primeros-20-blindados-m113-ucrania-puesta-punto" TargetMode="External"/><Relationship Id="rId3250" Type="http://schemas.openxmlformats.org/officeDocument/2006/relationships/hyperlink" Target="https://focustaiwan.tw/politics/202204220023" TargetMode="External"/><Relationship Id="rId171" Type="http://schemas.openxmlformats.org/officeDocument/2006/relationships/hyperlink" Target="https://www.reuters.com/world/europe/sweden-promises-287-mln-military-aid-package-ukraine-including-air-defence-2022-11-16/" TargetMode="External"/><Relationship Id="rId4301" Type="http://schemas.openxmlformats.org/officeDocument/2006/relationships/hyperlink" Target="http://web.archive.org/web/20230306052236/https:/www.defensie.nl/onderwerpen/oostflank-navo-gebied/militaire-steun-aan-oekraine" TargetMode="External"/><Relationship Id="rId3110" Type="http://schemas.openxmlformats.org/officeDocument/2006/relationships/hyperlink" Target="https://mofa.go.kr/eng/brd/m_5676/view.do?seq=322155&amp;page=2" TargetMode="External"/><Relationship Id="rId988" Type="http://schemas.openxmlformats.org/officeDocument/2006/relationships/hyperlink" Target="https://www.aa.com.tr/en/europe/spain-announces-increase-in-military-aid-to-ukraine/2668809" TargetMode="External"/><Relationship Id="rId2669" Type="http://schemas.openxmlformats.org/officeDocument/2006/relationships/hyperlink" Target="https://www.gov.uk/government/news/pm-accelerates-ukraine-support-ahead-of-anniversary-of-putins-war" TargetMode="External"/><Relationship Id="rId2876" Type="http://schemas.openxmlformats.org/officeDocument/2006/relationships/hyperlink" Target="https://www.reuters.com/world/europe/czech-republic-sends-tanks-ukraine-czech-tv-reports-2022-04-05/" TargetMode="External"/><Relationship Id="rId3927" Type="http://schemas.openxmlformats.org/officeDocument/2006/relationships/hyperlink" Target="https://www.defense.gov/News/Releases/Release/Article/3350958/biden-administration-announces-additional-security-assistance-for-ukraine/" TargetMode="External"/><Relationship Id="rId848" Type="http://schemas.openxmlformats.org/officeDocument/2006/relationships/hyperlink" Target="https://defence-blog.com/lithuania-to-send-more-armored-vehicles-to-ukraine/" TargetMode="External"/><Relationship Id="rId1478" Type="http://schemas.openxmlformats.org/officeDocument/2006/relationships/hyperlink" Target="https://appropriations.house.gov/sites/democrats.appropriations.house.gov/files/Ukraine%20Supplemental%20Summary.pdf" TargetMode="External"/><Relationship Id="rId1685" Type="http://schemas.openxmlformats.org/officeDocument/2006/relationships/hyperlink" Target="https://crsreports.congress.gov/product/pdf/IF/IF12040" TargetMode="External"/><Relationship Id="rId1892" Type="http://schemas.openxmlformats.org/officeDocument/2006/relationships/hyperlink" Target="https://appropriations.house.gov/sites/democrats.appropriations.house.gov/files/Ukraine%20Supplemental%20Summary%20FY23.pdf" TargetMode="External"/><Relationship Id="rId2529" Type="http://schemas.openxmlformats.org/officeDocument/2006/relationships/hyperlink" Target="https://www.premier.be/sites/default/files/articles/BE%20support%20militaire.pdf" TargetMode="External"/><Relationship Id="rId2736" Type="http://schemas.openxmlformats.org/officeDocument/2006/relationships/hyperlink" Target="https://www.government.se/government-policy/russias-invasion-of-ukraine/?page=2" TargetMode="External"/><Relationship Id="rId4091" Type="http://schemas.openxmlformats.org/officeDocument/2006/relationships/hyperlink" Target="https://mvep.gov.hr/press-22794/gov-t-bill-on-development-cooperation-and-humanitarian-aid-comprehensive-aid-package-for-ukraine-stolac-school-reconstruction/253731" TargetMode="External"/><Relationship Id="rId708" Type="http://schemas.openxmlformats.org/officeDocument/2006/relationships/hyperlink" Target="https://www.gov.si/en/news/2022-03-01-minister-logar-announces-eur-1-1-million-in-humanitarian-aid-for-ukraine/" TargetMode="External"/><Relationship Id="rId915" Type="http://schemas.openxmlformats.org/officeDocument/2006/relationships/hyperlink" Target="https://www.defmin.fi/en/topical/press_releases_and_news/finland_sends_more_defence_materiel_assistance_to_ukraine.12692.news" TargetMode="External"/><Relationship Id="rId1338" Type="http://schemas.openxmlformats.org/officeDocument/2006/relationships/hyperlink" Target="http://web.archive.org/web/20221018175112/https:/www.government.se/press-releases/2022/06/additional-amending-budget-with-further-support-to-ukraine/" TargetMode="External"/><Relationship Id="rId1545" Type="http://schemas.openxmlformats.org/officeDocument/2006/relationships/hyperlink" Target="https://appropriations.house.gov/sites/democrats.appropriations.house.gov/files/Additional%20Ukraine%20Suplemental%20Appropriations%20Act%20Summary.pdf" TargetMode="External"/><Relationship Id="rId2943" Type="http://schemas.openxmlformats.org/officeDocument/2006/relationships/hyperlink" Target="https://www.facebook.com/GeneralStaff.ua/posts/pfbid0b8jsrAE3g5NdUCCGae2f8TP7nFcb6Zp6uq4Q89akx5RkW6EnREQrxGLAugd4qCiWl" TargetMode="External"/><Relationship Id="rId1405" Type="http://schemas.openxmlformats.org/officeDocument/2006/relationships/hyperlink" Target="https://appropriations.house.gov/sites/democrats.appropriations.house.gov/files/Ukraine%20Supplemental%20Summary.pdf" TargetMode="External"/><Relationship Id="rId1752" Type="http://schemas.openxmlformats.org/officeDocument/2006/relationships/hyperlink" Target="https://crsreports.congress.gov/product/pdf/IF/IF12040" TargetMode="External"/><Relationship Id="rId2803" Type="http://schemas.openxmlformats.org/officeDocument/2006/relationships/hyperlink" Target="https://crsreports.congress.gov/product/pdf/IF/IF12040" TargetMode="External"/><Relationship Id="rId44" Type="http://schemas.openxmlformats.org/officeDocument/2006/relationships/hyperlink" Target="https://www.youtube.com/watch?v=EKzlhntZigE&amp;t=888s" TargetMode="External"/><Relationship Id="rId1612" Type="http://schemas.openxmlformats.org/officeDocument/2006/relationships/hyperlink" Target="https://appropriations.house.gov/sites/democrats.appropriations.house.gov/files/Additional%20Ukraine%20Suplemental%20Appropriations%20Act%20Summary.pdf" TargetMode="External"/><Relationship Id="rId4768" Type="http://schemas.openxmlformats.org/officeDocument/2006/relationships/hyperlink" Target="https://www.bundesregierung.de/breg-en/news/military-support-ukraine-2054992" TargetMode="External"/><Relationship Id="rId498" Type="http://schemas.openxmlformats.org/officeDocument/2006/relationships/hyperlink" Target="https://www.cbc.ca/news/politics/anand-biggest-military-donation-ukraine-1.6463915" TargetMode="External"/><Relationship Id="rId2179" Type="http://schemas.openxmlformats.org/officeDocument/2006/relationships/hyperlink" Target="https://appropriations.house.gov/sites/democrats.appropriations.house.gov/files/Additional%20Ukraine%20Suplemental%20Appropriations%20Act%20Summary.pdf" TargetMode="External"/><Relationship Id="rId3577" Type="http://schemas.openxmlformats.org/officeDocument/2006/relationships/hyperlink" Target="https://www.pbs.org/newshour/world/slovakia-joins-poland-in-agreeing-to-give-fighter-jets-to-ukraine" TargetMode="External"/><Relationship Id="rId3784" Type="http://schemas.openxmlformats.org/officeDocument/2006/relationships/hyperlink" Target="https://www.state.gov/u-s-security-cooperation-with-ukraine/" TargetMode="External"/><Relationship Id="rId3991" Type="http://schemas.openxmlformats.org/officeDocument/2006/relationships/hyperlink" Target="https://twitter.com/ua_minfin/status/1514313544795361280?ref_src=twsrc%5Etfw%7Ctwcamp%5Etweetembed%7Ctwterm%5E1514313544795361280%7Ctwgr%5E%7Ctwcon%5Es1_&amp;ref_url=https%3A%2F%2Fwww.republicworld.com%2Fworld-news%2Frussia-ukraine-crisis%2Fcanada-to-provide-ukraine-with-398-dollars-million-concessional-loan-amid-russian-invasion-articleshow.html" TargetMode="External"/><Relationship Id="rId4628" Type="http://schemas.openxmlformats.org/officeDocument/2006/relationships/hyperlink" Target="https://bnn.network/breaking-news/war/spain-and-portugal-to-provide-military-aid-to-ukraine-amid-ongoing-conflict/" TargetMode="External"/><Relationship Id="rId4835" Type="http://schemas.openxmlformats.org/officeDocument/2006/relationships/hyperlink" Target="https://appropriations.house.gov/sites/democrats.appropriations.house.gov/files/Additional%20Ukraine%20Suplemental%20Appropriations%20Act%20Summary.pdf" TargetMode="External"/><Relationship Id="rId2386" Type="http://schemas.openxmlformats.org/officeDocument/2006/relationships/hyperlink" Target="https://www.euronews.com/2022/09/29/cargo-ship-with-1000-tonnes-of-ukraine-aid-sets-sail-from-marseille" TargetMode="External"/><Relationship Id="rId2593" Type="http://schemas.openxmlformats.org/officeDocument/2006/relationships/hyperlink" Target="https://www.premier.be/sites/default/files/articles/BE%20support%20militaire.pdf" TargetMode="External"/><Relationship Id="rId3437" Type="http://schemas.openxmlformats.org/officeDocument/2006/relationships/hyperlink" Target="https://www.bundesregierung.de/breg-en/news/military-support-ukraine-2054992" TargetMode="External"/><Relationship Id="rId3644" Type="http://schemas.openxmlformats.org/officeDocument/2006/relationships/hyperlink" Target="https://english.moef.go.kr/pc/selectTbPressCenterDtl.do?boardCd=N0001&amp;seq=5545" TargetMode="External"/><Relationship Id="rId3851" Type="http://schemas.openxmlformats.org/officeDocument/2006/relationships/hyperlink" Target="https://www.state.gov/u-s-security-cooperation-with-ukraine/" TargetMode="External"/><Relationship Id="rId358" Type="http://schemas.openxmlformats.org/officeDocument/2006/relationships/hyperlink" Target="https://twitter.com/eduardheger/status/1495764246780645377" TargetMode="External"/><Relationship Id="rId565" Type="http://schemas.openxmlformats.org/officeDocument/2006/relationships/hyperlink" Target="https://ec.europa.eu/info/strategy/priorities-2019-2024/stronger-europe-world/eu-solidarity-ukraine/eu-assistance-ukraine_en" TargetMode="External"/><Relationship Id="rId772" Type="http://schemas.openxmlformats.org/officeDocument/2006/relationships/hyperlink" Target="https://www.gov.uk/government/news/prime-minister-tells-ukraine-they-will-win-as-he-marks-independence-day-24-august-2022" TargetMode="External"/><Relationship Id="rId1195" Type="http://schemas.openxmlformats.org/officeDocument/2006/relationships/hyperlink" Target="https://en.yna.co.kr/view/AEN20221209008700325" TargetMode="External"/><Relationship Id="rId2039"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46" Type="http://schemas.openxmlformats.org/officeDocument/2006/relationships/hyperlink" Target="https://crsreports.congress.gov/product/pdf/IF/IF12040" TargetMode="External"/><Relationship Id="rId2453" Type="http://schemas.openxmlformats.org/officeDocument/2006/relationships/hyperlink" Target="https://twitter.com/alexanderdecroo/status/1497914776063594502" TargetMode="External"/><Relationship Id="rId2660" Type="http://schemas.openxmlformats.org/officeDocument/2006/relationships/hyperlink" Target="https://www.gov.uk/government/speeches/defence-secretary-oral-statement-on-war-in-ukraine--2" TargetMode="External"/><Relationship Id="rId3504" Type="http://schemas.openxmlformats.org/officeDocument/2006/relationships/hyperlink" Target="https://www.bundesregierung.de/breg-en/news/military-support-ukraine-2054992" TargetMode="External"/><Relationship Id="rId3711" Type="http://schemas.openxmlformats.org/officeDocument/2006/relationships/hyperlink" Target="https://www.mofa.go.jp/press/release/press4e_003247.html" TargetMode="External"/><Relationship Id="rId218" Type="http://schemas.openxmlformats.org/officeDocument/2006/relationships/hyperlink" Target="https://crsreports.congress.gov/product/pdf/IF/IF12040" TargetMode="External"/><Relationship Id="rId425" Type="http://schemas.openxmlformats.org/officeDocument/2006/relationships/hyperlink" Target="https://kaitseministeerium.ee/en/news/estonia-donated-missiles-anti-tank-weapon-system-javelin-ukraine" TargetMode="External"/><Relationship Id="rId632" Type="http://schemas.openxmlformats.org/officeDocument/2006/relationships/hyperlink" Target="https://www.gov.uk/government/speeches/pm-opening-remarks-at-press-conference-with-german-chancellor-olaf-scholz-8-april-2022" TargetMode="External"/><Relationship Id="rId1055" Type="http://schemas.openxmlformats.org/officeDocument/2006/relationships/hyperlink" Target="https://kaitseministeerium.ee/en/news/estonia-sending-ukraine-ammunition-and-equipment" TargetMode="External"/><Relationship Id="rId1262" Type="http://schemas.openxmlformats.org/officeDocument/2006/relationships/hyperlink" Target="https://cyprus-digest.com/nikos-dendias-arrives-in-odessa-as-head-of-a-humanitarian-mission/" TargetMode="External"/><Relationship Id="rId2106" Type="http://schemas.openxmlformats.org/officeDocument/2006/relationships/hyperlink" Target="https://appropriations.house.gov/sites/democrats.appropriations.house.gov/files/Ukraine%20Supplemental%20Summary.pdf" TargetMode="External"/><Relationship Id="rId2313" Type="http://schemas.openxmlformats.org/officeDocument/2006/relationships/hyperlink" Target="https://crsreports.congress.gov/product/pdf/IF/IF12040" TargetMode="External"/><Relationship Id="rId2520" Type="http://schemas.openxmlformats.org/officeDocument/2006/relationships/hyperlink" Target="https://www.lesoir.be/437698/article/2022-04-22/guerre-en-ukraine-la-belgique-sapprete-livrer-de-nouveaux-missiles-antichars" TargetMode="External"/><Relationship Id="rId1122" Type="http://schemas.openxmlformats.org/officeDocument/2006/relationships/hyperlink" Target="https://www.delfi.lt/en/politics/lithuania-provides-eur-5-mln-to-help-ukraine-rebuild-energy-infrastructure.d?id=91786261" TargetMode="External"/><Relationship Id="rId4278" Type="http://schemas.openxmlformats.org/officeDocument/2006/relationships/hyperlink" Target="https://www.seznamzpravy.cz/clanek/domaci-politika-cernochova-naplanovana-vojenska-pomoc-ukrajine-dosahne-600-az-700-milionu-228992" TargetMode="External"/><Relationship Id="rId4485" Type="http://schemas.openxmlformats.org/officeDocument/2006/relationships/hyperlink" Target="https://twitter.com/a_anusauskas/status/1636260141539422210?cxt=HHwWhMCzib77lLUtAAAA" TargetMode="External"/><Relationship Id="rId3087" Type="http://schemas.openxmlformats.org/officeDocument/2006/relationships/hyperlink" Target="https://www.worldbank.org/en/country/ukraine/brief/world-bank-emergency-financing-package-for-ukraine" TargetMode="External"/><Relationship Id="rId3294" Type="http://schemas.openxmlformats.org/officeDocument/2006/relationships/hyperlink" Target="https://russianstudiesromania.eu/2022/05/25/ukraine-aid-tracker-economic-military-and-humanitarian/" TargetMode="External"/><Relationship Id="rId4138" Type="http://schemas.openxmlformats.org/officeDocument/2006/relationships/hyperlink" Target="https://twitter.com/HPevkur/status/1636347925935562753" TargetMode="External"/><Relationship Id="rId4345" Type="http://schemas.openxmlformats.org/officeDocument/2006/relationships/hyperlink" Target="https://www.bundesregierung.de/resource/blob/975226/2189778/cdb664abe95e6fa74802882bd66ef771/2023-05-14-liste-ukr-unterstuetzung-data.pdf?download=1" TargetMode="External"/><Relationship Id="rId4692" Type="http://schemas.openxmlformats.org/officeDocument/2006/relationships/hyperlink" Target="https://www.bundesregierung.de/breg-en/news/military-support-ukraine-2054992" TargetMode="External"/><Relationship Id="rId1939" Type="http://schemas.openxmlformats.org/officeDocument/2006/relationships/hyperlink" Target="https://appropriations.house.gov/sites/democrats.appropriations.house.gov/files/Ukraine%20Supplemental%20Summary%20FY23.pdf" TargetMode="External"/><Relationship Id="rId4552" Type="http://schemas.openxmlformats.org/officeDocument/2006/relationships/hyperlink" Target="https://crsreports.congress.gov/product/pdf/IF/IF12040" TargetMode="External"/><Relationship Id="rId3154" Type="http://schemas.openxmlformats.org/officeDocument/2006/relationships/hyperlink" Target="https://crsreports.congress.gov/product/pdf/IF/IF12040" TargetMode="External"/><Relationship Id="rId3361" Type="http://schemas.openxmlformats.org/officeDocument/2006/relationships/hyperlink" Target="https://www.bundesgesundheitsministerium.de/unterstuetzungsleistungen-fuer-die-ukraine.html" TargetMode="External"/><Relationship Id="rId4205" Type="http://schemas.openxmlformats.org/officeDocument/2006/relationships/hyperlink" Target="https://www.eurointegration.com.ua/news/2023/05/30/7162700/" TargetMode="External"/><Relationship Id="rId4412" Type="http://schemas.openxmlformats.org/officeDocument/2006/relationships/hyperlink" Target="https://www.bundesregierung.de/resource/blob/975226/2189778/cdb664abe95e6fa74802882bd66ef771/2023-05-14-liste-ukr-unterstuetzung-data.pdf?download=1" TargetMode="External"/><Relationship Id="rId282" Type="http://schemas.openxmlformats.org/officeDocument/2006/relationships/hyperlink" Target="https://www.canada.ca/en/department-national-defence/news/2022/03/defence-minister-anand-announces-additional-military-support-to-ukraine.html" TargetMode="External"/><Relationship Id="rId2170" Type="http://schemas.openxmlformats.org/officeDocument/2006/relationships/hyperlink" Target="https://appropriations.house.gov/sites/democrats.appropriations.house.gov/files/Additional%20Ukraine%20Suplemental%20Appropriations%20Act%20Summary.pdf" TargetMode="External"/><Relationship Id="rId3014" Type="http://schemas.openxmlformats.org/officeDocument/2006/relationships/hyperlink" Target="https://slovenia.mfa.gov.ua/news/29-grudnya-posol-ukrayini-taran-ta-ministr-infrastrukturi-sloveniyi-bkumer-vzyali-uchast-u-ceremoniyi-vidpravki-vzhe-4go-vantazhu-z-energetichnim-obladnannyam-dlya-ukrayini" TargetMode="External"/><Relationship Id="rId3221" Type="http://schemas.openxmlformats.org/officeDocument/2006/relationships/hyperlink" Target="https://www.gov.uk/government/publications/ukraine-energy-equipment-appeal-to-industry/appeal-to-industry-ukraine-energy-equipment-html" TargetMode="External"/><Relationship Id="rId8" Type="http://schemas.openxmlformats.org/officeDocument/2006/relationships/hyperlink" Target="https://tfiglobalnews.com/2022/03/21/canada-wanted-to-supply-weapons-to-ukraine-turns-out-it-didnt-have-any/" TargetMode="External"/><Relationship Id="rId142" Type="http://schemas.openxmlformats.org/officeDocument/2006/relationships/hyperlink" Target="https://twitter.com/a_anusauskas/status/1592084804501401604" TargetMode="External"/><Relationship Id="rId2030" Type="http://schemas.openxmlformats.org/officeDocument/2006/relationships/hyperlink" Target="https://crsreports.congress.gov/product/pdf/IF/IF12040" TargetMode="External"/><Relationship Id="rId2987" Type="http://schemas.openxmlformats.org/officeDocument/2006/relationships/hyperlink" Target="https://timesofmalta.com/articles/view/malta-send-20-generators-medical-equipment-ukraine.1008690" TargetMode="External"/><Relationship Id="rId959" Type="http://schemas.openxmlformats.org/officeDocument/2006/relationships/hyperlink" Target="https://euromaidanpress.com/2022/11/05/italy-set-to-approve-sixth-military-aid-package-for-ukraine-italian-defense-minister/" TargetMode="External"/><Relationship Id="rId1589" Type="http://schemas.openxmlformats.org/officeDocument/2006/relationships/hyperlink" Target="https://appropriations.house.gov/sites/democrats.appropriations.house.gov/files/Additional%20Ukraine%20Suplemental%20Appropriations%20Act%20Summary.pdf" TargetMode="External"/><Relationship Id="rId1449" Type="http://schemas.openxmlformats.org/officeDocument/2006/relationships/hyperlink" Target="https://appropriations.house.gov/sites/democrats.appropriations.house.gov/files/Ukraine%20Supplemental%20Summary.pdf" TargetMode="External"/><Relationship Id="rId1796" Type="http://schemas.openxmlformats.org/officeDocument/2006/relationships/hyperlink" Target="https://crsreports.congress.gov/product/pdf/IN/IN11882" TargetMode="External"/><Relationship Id="rId2847" Type="http://schemas.openxmlformats.org/officeDocument/2006/relationships/hyperlink" Target="https://www.defense.gov/News/Releases/Release/Article/3287992/biden-administration-announces-additional-security-assistance-for-ukraine/" TargetMode="External"/><Relationship Id="rId4062" Type="http://schemas.openxmlformats.org/officeDocument/2006/relationships/hyperlink" Target="https://www.tweedekamer.nl/kamerstukken/brieven_regering/detail?id=2022D56571&amp;did=2022D56571" TargetMode="External"/><Relationship Id="rId88" Type="http://schemas.openxmlformats.org/officeDocument/2006/relationships/hyperlink" Target="https://www.bbc.com/news/world-europe-61482305" TargetMode="External"/><Relationship Id="rId819" Type="http://schemas.openxmlformats.org/officeDocument/2006/relationships/hyperlink" Target="https://www.defense.gov/News/Releases/Release/Article/3138105/nearly-3-billion-in-additional-security-assistance-for-ukraine/" TargetMode="External"/><Relationship Id="rId1656" Type="http://schemas.openxmlformats.org/officeDocument/2006/relationships/hyperlink" Target="https://crsreports.congress.gov/product/pdf/IF/IF12040" TargetMode="External"/><Relationship Id="rId186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707" Type="http://schemas.openxmlformats.org/officeDocument/2006/relationships/hyperlink" Target="https://www.mfat.govt.nz/en/countries-and-regions/europe/ukraine/russian-invasion-of-ukraine/" TargetMode="External"/><Relationship Id="rId2914" Type="http://schemas.openxmlformats.org/officeDocument/2006/relationships/hyperlink" Target="https://www.vlada.cz/en/media-centrum/tiskove-zpravy/czechia-sends-hundreds-of-heavy-military-systems-worth-tens-of-billions-to-ukraine-during-the-first-year-of-russian-invasion-203252/" TargetMode="External"/><Relationship Id="rId1309" Type="http://schemas.openxmlformats.org/officeDocument/2006/relationships/hyperlink" Target="https://finmin.lrv.lt/lt/naujienos/lietuva-per-pasaulio-banka-skiria-5-mln-euru-skubiems-ukrainos-atstatymo-darbams" TargetMode="External"/><Relationship Id="rId1516" Type="http://schemas.openxmlformats.org/officeDocument/2006/relationships/hyperlink" Target="https://appropriations.house.gov/sites/democrats.appropriations.house.gov/files/Additional%20Ukraine%20Suplemental%20Appropriations%20Act%20Summary.pdf" TargetMode="External"/><Relationship Id="rId1723" Type="http://schemas.openxmlformats.org/officeDocument/2006/relationships/hyperlink" Target="https://crsreports.congress.gov/product/pdf/IF/IF12040" TargetMode="External"/><Relationship Id="rId1930" Type="http://schemas.openxmlformats.org/officeDocument/2006/relationships/hyperlink" Target="https://appropriations.house.gov/sites/democrats.appropriations.house.gov/files/Ukraine%20Supplemental%20Summary%20FY23.pdf" TargetMode="External"/><Relationship Id="rId15" Type="http://schemas.openxmlformats.org/officeDocument/2006/relationships/hyperlink" Target="https://geopolitiki.com/italian-fh70-howitzers-ukraine-against-russians/" TargetMode="External"/><Relationship Id="rId3688" Type="http://schemas.openxmlformats.org/officeDocument/2006/relationships/hyperlink" Target="https://um.fi/press-releases/-/asset_publisher/ued5t2wDmr1C/content/suomelta-humanitaarista-apua-valiaikaisia-asuntoja-seka-julkisen-hallinnon-tukea-ukrainaan/35732" TargetMode="External"/><Relationship Id="rId3895" Type="http://schemas.openxmlformats.org/officeDocument/2006/relationships/hyperlink" Target="https://www.state.gov/u-s-security-cooperation-with-ukraine/" TargetMode="External"/><Relationship Id="rId4739" Type="http://schemas.openxmlformats.org/officeDocument/2006/relationships/hyperlink" Target="https://www.bundesregierung.de/breg-en/news/military-support-ukraine-2054992" TargetMode="External"/><Relationship Id="rId2497" Type="http://schemas.openxmlformats.org/officeDocument/2006/relationships/hyperlink" Target="https://mil.in.ua/en/news/belgium-made-a-decision-to-hand-over-artillery-to-ukraine-the-media/" TargetMode="External"/><Relationship Id="rId3548" Type="http://schemas.openxmlformats.org/officeDocument/2006/relationships/hyperlink" Target="https://www.bundesregierung.de/breg-en/news/military-support-ukraine-2054992" TargetMode="External"/><Relationship Id="rId3755" Type="http://schemas.openxmlformats.org/officeDocument/2006/relationships/hyperlink" Target="https://www.defense.gov/News/Releases/Release/Article/3383288/biden-administration-announces-additional-security-assistance-for-ukraine/" TargetMode="External"/><Relationship Id="rId4806" Type="http://schemas.openxmlformats.org/officeDocument/2006/relationships/hyperlink" Target="https://www.bundesregierung.de/breg-en/news/military-support-ukraine-2054992" TargetMode="External"/><Relationship Id="rId469" Type="http://schemas.openxmlformats.org/officeDocument/2006/relationships/hyperlink" Target="https://www.beehive.govt.nz/release/nz-provide-non-lethal-military-assistance-ukraine" TargetMode="External"/><Relationship Id="rId676" Type="http://schemas.openxmlformats.org/officeDocument/2006/relationships/hyperlink" Target="https://www.diplomatie.gouv.fr/en/country-files/ukraine/news/article/ukraine-france-mobilised-to-support-ukraine-through-medical-care-for-war" TargetMode="External"/><Relationship Id="rId883" Type="http://schemas.openxmlformats.org/officeDocument/2006/relationships/hyperlink" Target="https://appropriations.house.gov/sites/democrats.appropriations.house.gov/files/Additional%20Ukraine%20Suplemental%20Appropriations%20Act%20Summary.pdf" TargetMode="External"/><Relationship Id="rId1099" Type="http://schemas.openxmlformats.org/officeDocument/2006/relationships/hyperlink" Target="https://edition.cnn.com/europe/live-news/russia-ukraine-war-news-08-29-22/h_21f066995f2c6fe12ab6605c48c1b9d1" TargetMode="External"/><Relationship Id="rId2357" Type="http://schemas.openxmlformats.org/officeDocument/2006/relationships/hyperlink" Target="https://ua.ambafrance.org/Dostavka-1000-t-francuz-koyi-gumaniitarnoyi-dopomogi-ukrayins-kim-adresatam-v" TargetMode="External"/><Relationship Id="rId2564" Type="http://schemas.openxmlformats.org/officeDocument/2006/relationships/hyperlink" Target="https://www.lesoir.be/479361/article/2022-11-25/la-belgique-va-envoyer-des-laboratoires-mobiles-et-des-drones-sous-marins" TargetMode="External"/><Relationship Id="rId3408" Type="http://schemas.openxmlformats.org/officeDocument/2006/relationships/hyperlink" Target="https://www.reuters.com/world/europe/germany-pledges-199-mln-aid-displaced-people-ukraine-minister-2022-09-03/" TargetMode="External"/><Relationship Id="rId3615" Type="http://schemas.openxmlformats.org/officeDocument/2006/relationships/hyperlink" Target="https://www.bundesregierung.de/breg-en/news/military-support-ukraine-2054992" TargetMode="External"/><Relationship Id="rId3962" Type="http://schemas.openxmlformats.org/officeDocument/2006/relationships/hyperlink" Target="https://www.state.gov/u-s-security-cooperation-with-ukraine/" TargetMode="External"/><Relationship Id="rId329" Type="http://schemas.openxmlformats.org/officeDocument/2006/relationships/hyperlink" Target="https://www.swissinfo.ch/eng/sweden-to-send-military-aid-to-ukraine---pm-andersson/47386044" TargetMode="External"/><Relationship Id="rId536" Type="http://schemas.openxmlformats.org/officeDocument/2006/relationships/hyperlink" Target="https://www.whitehouse.gov/briefing-room/statements-releases/2022/05/06/statement-by-president-joe-biden-on-additional-security-assistance-to-ukraine/" TargetMode="External"/><Relationship Id="rId1166" Type="http://schemas.openxmlformats.org/officeDocument/2006/relationships/hyperlink" Target="https://www.ansa.it/english/news/general_news/2023/01/11/italy-set-to-send-aid-for-ukraine-power-emergency_dc0fd37c-3162-4596-a62e-cc3680424566.html" TargetMode="External"/><Relationship Id="rId1373" Type="http://schemas.openxmlformats.org/officeDocument/2006/relationships/hyperlink" Target="https://appropriations.house.gov/sites/democrats.appropriations.house.gov/files/Ukraine%20Supplemental%20Summary.pdf" TargetMode="External"/><Relationship Id="rId2217" Type="http://schemas.openxmlformats.org/officeDocument/2006/relationships/hyperlink" Target="https://appropriations.house.gov/sites/democrats.appropriations.house.gov/files/Ukraine%20Supplemental%20Summary.pdf" TargetMode="External"/><Relationship Id="rId2771" Type="http://schemas.openxmlformats.org/officeDocument/2006/relationships/hyperlink" Target="https://www.defense.gov/News/Releases/Release/Article/3272866/biden-administration-announces-additional-security-assistance-for-ukraine/" TargetMode="External"/><Relationship Id="rId3822" Type="http://schemas.openxmlformats.org/officeDocument/2006/relationships/hyperlink" Target="https://www.defense.gov/News/Releases/Release/Article/3350958/biden-administration-announces-additional-security-assistance-for-ukraine/" TargetMode="External"/><Relationship Id="rId743" Type="http://schemas.openxmlformats.org/officeDocument/2006/relationships/hyperlink" Target="https://www.minister.defence.gov.au/minister/rmarles/media-releases/australia-increases-support-ukraine" TargetMode="External"/><Relationship Id="rId950" Type="http://schemas.openxmlformats.org/officeDocument/2006/relationships/hyperlink" Target="https://www.defense.gouv.fr/terre/actualites/uiisc-1-3e-convoi-solidarite-lukraine" TargetMode="External"/><Relationship Id="rId1026" Type="http://schemas.openxmlformats.org/officeDocument/2006/relationships/hyperlink" Target="https://ua.usembassy.gov/625-million-in-additional-u-s-military-assistance-for-ukraine/" TargetMode="External"/><Relationship Id="rId1580" Type="http://schemas.openxmlformats.org/officeDocument/2006/relationships/hyperlink" Target="https://appropriations.house.gov/sites/democrats.appropriations.house.gov/files/Additional%20Ukraine%20Suplemental%20Appropriations%20Act%20Summary.pdf" TargetMode="External"/><Relationship Id="rId2424" Type="http://schemas.openxmlformats.org/officeDocument/2006/relationships/hyperlink" Target="https://reliefweb.int/report/ukraine/belgium-sends-emergency-shelter-material-ukraine-b-fast" TargetMode="External"/><Relationship Id="rId2631" Type="http://schemas.openxmlformats.org/officeDocument/2006/relationships/hyperlink" Target="https://twitter.com/a_anusauskas/status/1594701256463110144" TargetMode="External"/><Relationship Id="rId4389" Type="http://schemas.openxmlformats.org/officeDocument/2006/relationships/hyperlink" Target="https://www.bundesregierung.de/resource/blob/975226/2189778/cdb664abe95e6fa74802882bd66ef771/2023-05-14-liste-ukr-unterstuetzung-data.pdf?download=1" TargetMode="External"/><Relationship Id="rId603" Type="http://schemas.openxmlformats.org/officeDocument/2006/relationships/hyperlink" Target="https://www.ukrinform.net/rubric-ato/3502204-norway-donates-22-m109-howitzers-to-ukraine.html" TargetMode="External"/><Relationship Id="rId810" Type="http://schemas.openxmlformats.org/officeDocument/2006/relationships/hyperlink" Target="https://www.defense.gov/News/Releases/Release/Article/3160503/600-million-in-additional-security-assistance-for-ukraine/" TargetMode="External"/><Relationship Id="rId1233" Type="http://schemas.openxmlformats.org/officeDocument/2006/relationships/hyperlink" Target="https://kormany.hu/hirek/sztaray-peter-allamtitkar-reszvetele-az-ukrajna-szolidaritasi-nemzetkozi-konferencian" TargetMode="External"/><Relationship Id="rId1440" Type="http://schemas.openxmlformats.org/officeDocument/2006/relationships/hyperlink" Target="https://appropriations.house.gov/sites/democrats.appropriations.house.gov/files/Ukraine%20Supplemental%20Summary.pdf" TargetMode="External"/><Relationship Id="rId4596" Type="http://schemas.openxmlformats.org/officeDocument/2006/relationships/hyperlink" Target="https://www.fmn.dk/da/nyheder/2023/ukraine-fond-finansierer-stor-ny-donationspakke/" TargetMode="External"/><Relationship Id="rId1300" Type="http://schemas.openxmlformats.org/officeDocument/2006/relationships/hyperlink" Target="https://www.theguardian.com/australia-news/2022/oct/25/defence-spending-october-budget-2022-ukraine-veterans-pacific-aid-increase-albanese-labor-australia-federal-government" TargetMode="External"/><Relationship Id="rId3198" Type="http://schemas.openxmlformats.org/officeDocument/2006/relationships/hyperlink" Target="https://www.reuters.com/world/uk/uk-backs-more-funding-ukraine-power-urges-g7-implement-tax-deal-2022-05-19/" TargetMode="External"/><Relationship Id="rId4249" Type="http://schemas.openxmlformats.org/officeDocument/2006/relationships/hyperlink" Target="https://www.eda.admin.ch/content/dam/eda/en/documents/aktuell/news/2022/20221215-ukraine-engagement-schweiz-finanzielle-unterstuetzung_en.pdf" TargetMode="External"/><Relationship Id="rId4456" Type="http://schemas.openxmlformats.org/officeDocument/2006/relationships/hyperlink" Target="https://www.bundesregierung.de/resource/blob/975226/2189778/cdb664abe95e6fa74802882bd66ef771/2023-05-14-liste-ukr-unterstuetzung-data.pdf?download=1" TargetMode="External"/><Relationship Id="rId4663" Type="http://schemas.openxmlformats.org/officeDocument/2006/relationships/hyperlink" Target="https://www.gov.si/en/news/2022-09-19-prime-minister-robert-golob-in-a-telephone-conversation-with-german-chancellor-olaf-scholz-about-current-european-affairs/" TargetMode="External"/><Relationship Id="rId3058" Type="http://schemas.openxmlformats.org/officeDocument/2006/relationships/hyperlink" Target="https://www.gov.uk/government/news/joint-statement-the-tallinn-pledge" TargetMode="External"/><Relationship Id="rId3265" Type="http://schemas.openxmlformats.org/officeDocument/2006/relationships/hyperlink" Target="https://hungarytoday.hu/hungary-offers-eur-37-m-in-aid-to-ukraine/" TargetMode="External"/><Relationship Id="rId3472" Type="http://schemas.openxmlformats.org/officeDocument/2006/relationships/hyperlink" Target="https://www.bundesregierung.de/breg-en/news/military-support-ukraine-2054992" TargetMode="External"/><Relationship Id="rId4109" Type="http://schemas.openxmlformats.org/officeDocument/2006/relationships/hyperlink" Target="https://kaitseministeerium.ee/et/uudised/kaitseminister-pevkur-andis-kiievis-ukraina-kolleegile-ule-sumboolsed-esemed-uuest" TargetMode="External"/><Relationship Id="rId4316" Type="http://schemas.openxmlformats.org/officeDocument/2006/relationships/hyperlink" Target="https://www.bundesregierung.de/resource/blob/975226/2189778/cdb664abe95e6fa74802882bd66ef771/2023-05-14-liste-ukr-unterstuetzung-data.pdf?download=1" TargetMode="External"/><Relationship Id="rId4523" Type="http://schemas.openxmlformats.org/officeDocument/2006/relationships/hyperlink" Target="https://www.reuters.com/world/europe/polish-leopard-tanks-are-already-ukraine-defence-minister-says-2023-02-24/" TargetMode="External"/><Relationship Id="rId4730" Type="http://schemas.openxmlformats.org/officeDocument/2006/relationships/hyperlink" Target="https://www.bundesregierung.de/breg-en/news/military-support-ukraine-2054992" TargetMode="External"/><Relationship Id="rId186" Type="http://schemas.openxmlformats.org/officeDocument/2006/relationships/hyperlink" Target="https://twitter.com/JustinTrudeau/status/1586090019496022016" TargetMode="External"/><Relationship Id="rId393" Type="http://schemas.openxmlformats.org/officeDocument/2006/relationships/hyperlink" Target="https://www.canada.ca/en/department-national-defence/news/2022/04/canada-announces-artillery-and-other-additional-military-aid-for-ukraine.html" TargetMode="External"/><Relationship Id="rId2074" Type="http://schemas.openxmlformats.org/officeDocument/2006/relationships/hyperlink" Target="https://appropriations.house.gov/sites/democrats.appropriations.house.gov/files/Ukraine%20Supplemental%20Summary%20FY23.pdf" TargetMode="External"/><Relationship Id="rId2281" Type="http://schemas.openxmlformats.org/officeDocument/2006/relationships/hyperlink" Target="https://crsreports.congress.gov/product/pdf/IF/IF12040" TargetMode="External"/><Relationship Id="rId3125" Type="http://schemas.openxmlformats.org/officeDocument/2006/relationships/hyperlink" Target="https://frontnews.eu/en/news/details/48264" TargetMode="External"/><Relationship Id="rId3332" Type="http://schemas.openxmlformats.org/officeDocument/2006/relationships/hyperlink" Target="https://www.army-technology.com/projects/mistral-missile/" TargetMode="External"/><Relationship Id="rId253" Type="http://schemas.openxmlformats.org/officeDocument/2006/relationships/hyperlink" Target="https://www.government.nl/topics/russia-and-ukraine/dutch-aid-for-ukraine" TargetMode="External"/><Relationship Id="rId460" Type="http://schemas.openxmlformats.org/officeDocument/2006/relationships/hyperlink" Target="http://www.koreaherald.com/view.php?ud=20220228000968" TargetMode="External"/><Relationship Id="rId1090" Type="http://schemas.openxmlformats.org/officeDocument/2006/relationships/hyperlink" Target="https://www.regjeringen.no/en/topics/foreign-affairs/humanitarian-efforts/neighbour_support/id2908141/" TargetMode="External"/><Relationship Id="rId2141" Type="http://schemas.openxmlformats.org/officeDocument/2006/relationships/hyperlink" Target="https://crsreports.congress.gov/product/pdf/IF/IF12040" TargetMode="External"/><Relationship Id="rId113" Type="http://schemas.openxmlformats.org/officeDocument/2006/relationships/hyperlink" Target="https://www.tasnimnews.com/en/news/2022/05/06/2706116/finland-to-send-more-defense-aid-to-ukraine" TargetMode="External"/><Relationship Id="rId320" Type="http://schemas.openxmlformats.org/officeDocument/2006/relationships/hyperlink" Target="https://www.reuters.com/world/europe/uk-provide-6000-missiles-ukraine-new-support-2022-03-23/" TargetMode="External"/><Relationship Id="rId2001" Type="http://schemas.openxmlformats.org/officeDocument/2006/relationships/hyperlink" Target="https://crsreports.congress.gov/product/pdf/IF/IF12040" TargetMode="External"/><Relationship Id="rId2958" Type="http://schemas.openxmlformats.org/officeDocument/2006/relationships/hyperlink" Target="https://www.elysee.fr/emmanuel-macron/2022/12/13/solidaires-du-peuple-ukrainien" TargetMode="External"/><Relationship Id="rId1767" Type="http://schemas.openxmlformats.org/officeDocument/2006/relationships/hyperlink" Target="https://crsreports.congress.gov/product/pdf/IF/IF12040" TargetMode="External"/><Relationship Id="rId1974" Type="http://schemas.openxmlformats.org/officeDocument/2006/relationships/hyperlink" Target="https://crsreports.congress.gov/product/pdf/IF/IF12040" TargetMode="External"/><Relationship Id="rId2818" Type="http://schemas.openxmlformats.org/officeDocument/2006/relationships/hyperlink" Target="https://www.defense.gov/News/Releases/Release/Article/3302787/biden-administration-announces-additional-security-assistance-for-ukraine/" TargetMode="External"/><Relationship Id="rId4173" Type="http://schemas.openxmlformats.org/officeDocument/2006/relationships/hyperlink" Target="https://greekreporter.com/2023/04/06/greece-military-support-ukraine/" TargetMode="External"/><Relationship Id="rId4380" Type="http://schemas.openxmlformats.org/officeDocument/2006/relationships/hyperlink" Target="https://www.bundesregierung.de/resource/blob/975226/2189778/cdb664abe95e6fa74802882bd66ef771/2023-05-14-liste-ukr-unterstuetzung-data.pdf?download=1" TargetMode="External"/><Relationship Id="rId59" Type="http://schemas.openxmlformats.org/officeDocument/2006/relationships/hyperlink" Target="https://www.rnz.co.nz/news/national/464762/first-shipment-of-nz-defence-equipment-arrives-to-aid-ukraine" TargetMode="External"/><Relationship Id="rId1627" Type="http://schemas.openxmlformats.org/officeDocument/2006/relationships/hyperlink" Target="https://appropriations.house.gov/sites/democrats.appropriations.house.gov/files/Additional%20Ukraine%20Suplemental%20Appropriations%20Act%20Summary.pdf" TargetMode="External"/><Relationship Id="rId1834" Type="http://schemas.openxmlformats.org/officeDocument/2006/relationships/hyperlink" Target="https://appropriations.house.gov/sites/democrats.appropriations.house.gov/files/Summary%20Continuing%20Appropriations%20and%20Ukraine%20Supplemental%20Appropriations%20Act%202023.pdf" TargetMode="External"/><Relationship Id="rId4033" Type="http://schemas.openxmlformats.org/officeDocument/2006/relationships/hyperlink" Target="https://www.weaponstoukraine.com/kampane/viktor-mobile-air-defense-for-ukraine" TargetMode="External"/><Relationship Id="rId4240" Type="http://schemas.openxmlformats.org/officeDocument/2006/relationships/hyperlink" Target="https://www.weareukraine.info/iceland-transfers-about-12000-pieces-of-winter-clothing-to-ukrainian-army/" TargetMode="External"/><Relationship Id="rId3799" Type="http://schemas.openxmlformats.org/officeDocument/2006/relationships/hyperlink" Target="https://www.defense.gov/News/Releases/Release/Article/3334472/dod-announces-additional-security-assistance-for-ukraine/" TargetMode="External"/><Relationship Id="rId4100" Type="http://schemas.openxmlformats.org/officeDocument/2006/relationships/hyperlink" Target="https://www.kaitseinvesteeringud.ee/en/field-hospital-donated-in-cooperation-between-estonia-norway-and-the-netherlands-arrived-in-ukraine/" TargetMode="External"/><Relationship Id="rId1901" Type="http://schemas.openxmlformats.org/officeDocument/2006/relationships/hyperlink" Target="https://appropriations.house.gov/sites/democrats.appropriations.house.gov/files/Ukraine%20Supplemental%20Summary%20FY23.pdf" TargetMode="External"/><Relationship Id="rId3659" Type="http://schemas.openxmlformats.org/officeDocument/2006/relationships/hyperlink" Target="https://www.oireachtas.ie/en/debates/question/2023-03-21/122/" TargetMode="External"/><Relationship Id="rId3866" Type="http://schemas.openxmlformats.org/officeDocument/2006/relationships/hyperlink" Target="https://www.defense.gov/News/Releases/Release/Article/3402206/biden-administration-announces-additional-security-assistance-for-ukraine/" TargetMode="External"/><Relationship Id="rId787" Type="http://schemas.openxmlformats.org/officeDocument/2006/relationships/hyperlink" Target="https://www.defense.gov/News/Releases/Release/Article/3134457/775-million-in-additional-security-assistance-for-ukraine/" TargetMode="External"/><Relationship Id="rId994" Type="http://schemas.openxmlformats.org/officeDocument/2006/relationships/hyperlink" Target="https://www.gov.uk/government/news/hundreds-more-mobile-generators-to-provide-vital-power-for-ukraine" TargetMode="External"/><Relationship Id="rId2468" Type="http://schemas.openxmlformats.org/officeDocument/2006/relationships/hyperlink" Target="https://twitter.com/hadjalahbib/status/1562721777649799170?ref_src=twsrc%5Etfw%7Ctwcamp%5Etweetembed%7Ctwterm%5E1562721777649799170%7Ctwgr%5E69cb6a35c6fc5375ee1777ba5e3491bf84fd300f%7Ctwcon%5Es1_&amp;ref_url=https%3A%2F%2Fbabel.ua%2Fen%2Fnews%2F83487-belgium-allocated-8-million-for-non-lethal-aid-to-ukraine" TargetMode="External"/><Relationship Id="rId2675" Type="http://schemas.openxmlformats.org/officeDocument/2006/relationships/hyperlink" Target="https://www.consilium.europa.eu/en/policies/european-peace-facility/timeline-european-peace-facility/" TargetMode="External"/><Relationship Id="rId2882" Type="http://schemas.openxmlformats.org/officeDocument/2006/relationships/hyperlink" Target="https://www.vlada.cz/en/media-centrum/tiskove-zpravy/czechia-sends-hundreds-of-heavy-military-systems-worth-tens-of-billions-to-ukraine-during-the-first-year-of-russian-invasion-203252/" TargetMode="External"/><Relationship Id="rId3519" Type="http://schemas.openxmlformats.org/officeDocument/2006/relationships/hyperlink" Target="https://www.bundesregierung.de/breg-en/news/military-support-ukraine-2054992" TargetMode="External"/><Relationship Id="rId3726" Type="http://schemas.openxmlformats.org/officeDocument/2006/relationships/hyperlink" Target="https://www.government.se/government-policy/russias-invasion-of-ukraine/?page=2" TargetMode="External"/><Relationship Id="rId3933" Type="http://schemas.openxmlformats.org/officeDocument/2006/relationships/hyperlink" Target="https://www.state.gov/u-s-security-cooperation-with-ukraine/" TargetMode="External"/><Relationship Id="rId647" Type="http://schemas.openxmlformats.org/officeDocument/2006/relationships/hyperlink" Target="https://www.cbc.ca/news/politics/nato-arms-canada-1.6506611" TargetMode="External"/><Relationship Id="rId854" Type="http://schemas.openxmlformats.org/officeDocument/2006/relationships/hyperlink" Target="https://mfa.gov.cy/press-releases/2022/03/09/cyprus-humanitarian-aid-to-ukraine/" TargetMode="External"/><Relationship Id="rId1277" Type="http://schemas.openxmlformats.org/officeDocument/2006/relationships/hyperlink" Target="https://telex.hu/kulfold/2022/02/27/magyarorszag-100-ezer-liter-uzemanyagot-adomanyozott-karpataljanak" TargetMode="External"/><Relationship Id="rId1484" Type="http://schemas.openxmlformats.org/officeDocument/2006/relationships/hyperlink" Target="https://appropriations.house.gov/sites/democrats.appropriations.house.gov/files/Ukraine%20Supplemental%20Summary.pdf" TargetMode="External"/><Relationship Id="rId1691" Type="http://schemas.openxmlformats.org/officeDocument/2006/relationships/hyperlink" Target="https://crsreports.congress.gov/product/pdf/IF/IF12040" TargetMode="External"/><Relationship Id="rId2328" Type="http://schemas.openxmlformats.org/officeDocument/2006/relationships/hyperlink" Target="https://ue.delegfrance.org/bilan-de-l-aide-apportee-par-la" TargetMode="External"/><Relationship Id="rId2535" Type="http://schemas.openxmlformats.org/officeDocument/2006/relationships/hyperlink" Target="https://www.premier.be/sites/default/files/articles/BE%20support%20militaire.pdf" TargetMode="External"/><Relationship Id="rId2742" Type="http://schemas.openxmlformats.org/officeDocument/2006/relationships/hyperlink" Target="https://crsreports.congress.gov/product/pdf/IF/IF12040" TargetMode="External"/><Relationship Id="rId507" Type="http://schemas.openxmlformats.org/officeDocument/2006/relationships/hyperlink" Target="https://www.kmu.gov.ua/en/news/ukrayina-otrimaye-vid-yaponiyi-kredit-u-rozmiri-100-mln-dol-ssha-ta-grant-23-mln-dol-ssha" TargetMode="External"/><Relationship Id="rId714" Type="http://schemas.openxmlformats.org/officeDocument/2006/relationships/hyperlink" Target="https://www.reuters.com/world/europe/bulgaria-approves-repairs-ukrainian-military-equipment-not-military-aid-2022-05-04/" TargetMode="External"/><Relationship Id="rId921" Type="http://schemas.openxmlformats.org/officeDocument/2006/relationships/hyperlink" Target="https://www.reuters.com/article/idUSO9N2XQ01K" TargetMode="External"/><Relationship Id="rId1137" Type="http://schemas.openxmlformats.org/officeDocument/2006/relationships/hyperlink" Target="https://twitter.com/LSchreinemacher/status/1580222344538169346?ref_src=twsrc%5Etfw%7Ctwcamp%5Etweetembed%7Ctwterm%5E1580222344538169346%7Ctwgr%5Eda5480de56b54594938272c57ded09082863f933%7Ctwcon%5Es1_&amp;ref_url=https%3A%2F%2Fwww.eurointegration.com.ua%2Fnews%2F2022%2F10%2F13%2F7148653%2F" TargetMode="External"/><Relationship Id="rId1344" Type="http://schemas.openxmlformats.org/officeDocument/2006/relationships/hyperlink" Target="https://www.ukrainianworldcongress.org/slovakia-approves-a-new-package-of-military-aid-to-ukraine/" TargetMode="External"/><Relationship Id="rId1551" Type="http://schemas.openxmlformats.org/officeDocument/2006/relationships/hyperlink" Target="https://appropriations.house.gov/sites/democrats.appropriations.house.gov/files/Additional%20Ukraine%20Suplemental%20Appropriations%20Act%20Summary.pdf" TargetMode="External"/><Relationship Id="rId2602" Type="http://schemas.openxmlformats.org/officeDocument/2006/relationships/hyperlink" Target="https://www.premier.be/sites/default/files/articles/BE%20support%20militaire.pdf" TargetMode="External"/><Relationship Id="rId50" Type="http://schemas.openxmlformats.org/officeDocument/2006/relationships/hyperlink" Target="https://www.rferl.org/a/czech-republic-poland-new-military-aid-ukraine/31873938.html" TargetMode="External"/><Relationship Id="rId1204" Type="http://schemas.openxmlformats.org/officeDocument/2006/relationships/hyperlink" Target="https://www.defense.gov/News/Releases/Release/Article/3252782/185-billion-in-additional-security-assistance-for-ukraine/" TargetMode="External"/><Relationship Id="rId1411" Type="http://schemas.openxmlformats.org/officeDocument/2006/relationships/hyperlink" Target="https://appropriations.house.gov/sites/democrats.appropriations.house.gov/files/Ukraine%20Supplemental%20Summary.pdf" TargetMode="External"/><Relationship Id="rId4567" Type="http://schemas.openxmlformats.org/officeDocument/2006/relationships/hyperlink" Target="https://www.mae.ro/en/node/61580" TargetMode="External"/><Relationship Id="rId4774" Type="http://schemas.openxmlformats.org/officeDocument/2006/relationships/hyperlink" Target="https://www.bundesregierung.de/breg-en/news/military-support-ukraine-2054992" TargetMode="External"/><Relationship Id="rId3169" Type="http://schemas.openxmlformats.org/officeDocument/2006/relationships/hyperlink" Target="https://appropriations.house.gov/sites/democrats.appropriations.house.gov/files/Ukraine%20Supplemental%20Summary%20FY23.pdf" TargetMode="External"/><Relationship Id="rId3376"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3583" Type="http://schemas.openxmlformats.org/officeDocument/2006/relationships/hyperlink" Target="https://www.eurointegration.com.ua/eng/news/2023/04/17/7159957/" TargetMode="External"/><Relationship Id="rId4427" Type="http://schemas.openxmlformats.org/officeDocument/2006/relationships/hyperlink" Target="https://www.bundesregierung.de/resource/blob/975226/2189778/cdb664abe95e6fa74802882bd66ef771/2023-05-14-liste-ukr-unterstuetzung-data.pdf?download=1" TargetMode="External"/><Relationship Id="rId297" Type="http://schemas.openxmlformats.org/officeDocument/2006/relationships/hyperlink" Target="https://edition.cnn.com/europe/live-news/ukraine-russia-putin-news-03-13-22/h_025dcb1758c374a11f208c39d687f1b0" TargetMode="External"/><Relationship Id="rId2185" Type="http://schemas.openxmlformats.org/officeDocument/2006/relationships/hyperlink" Target="https://appropriations.house.gov/sites/democrats.appropriations.house.gov/files/Additional%20Ukraine%20Suplemental%20Appropriations%20Act%20Summary.pdf" TargetMode="External"/><Relationship Id="rId2392" Type="http://schemas.openxmlformats.org/officeDocument/2006/relationships/hyperlink" Target="https://www.euractiv.com/section/all/short_news/france-announces-increased-military-aid-to-ukraine/" TargetMode="External"/><Relationship Id="rId3029" Type="http://schemas.openxmlformats.org/officeDocument/2006/relationships/hyperlink" Target="https://www.gov.uk/government/news/joint-statement-the-tallinn-pledge" TargetMode="External"/><Relationship Id="rId3236" Type="http://schemas.openxmlformats.org/officeDocument/2006/relationships/hyperlink" Target="https://ubn.news/fr/cinq-villes-ukrainiennes-vont-beneficier-dun-don-de-6-millions-de-dollars-de-taiwan/" TargetMode="External"/><Relationship Id="rId3790" Type="http://schemas.openxmlformats.org/officeDocument/2006/relationships/hyperlink" Target="https://www.defense.gov/News/Releases/Release/Article/3334472/dod-announces-additional-security-assistance-for-ukraine/" TargetMode="External"/><Relationship Id="rId4634" Type="http://schemas.openxmlformats.org/officeDocument/2006/relationships/hyperlink" Target="https://english.defensie.nl/latest/news/2023/04/20/netherlands-to-purchase-leopard-2-tanks-for-ukraine" TargetMode="External"/><Relationship Id="rId4841" Type="http://schemas.openxmlformats.org/officeDocument/2006/relationships/hyperlink" Target="https://twitter.com/PremierRP/status/1661357460781662215?s=20" TargetMode="External"/><Relationship Id="rId157" Type="http://schemas.openxmlformats.org/officeDocument/2006/relationships/hyperlink" Target="https://breakingdefense.com/2022/11/uk-delays-defense-spending-increase-raising-fears-3-gdp-target-will-be-axed/" TargetMode="External"/><Relationship Id="rId364" Type="http://schemas.openxmlformats.org/officeDocument/2006/relationships/hyperlink" Target="https://www.gov.uk/government/speeches/pm-opening-remarks-at-press-conference-with-german-chancellor-olaf-scholz-8-april-2022" TargetMode="External"/><Relationship Id="rId2045" Type="http://schemas.openxmlformats.org/officeDocument/2006/relationships/hyperlink" Target="https://appropriations.house.gov/sites/democrats.appropriations.house.gov/files/Summary%20Continuing%20Appropriations%20and%20Ukraine%20Supplemental%20Appropriations%20Act%202023.pdf" TargetMode="External"/><Relationship Id="rId3443" Type="http://schemas.openxmlformats.org/officeDocument/2006/relationships/hyperlink" Target="https://www.bundesregierung.de/breg-en/news/military-support-ukraine-2054992" TargetMode="External"/><Relationship Id="rId3650" Type="http://schemas.openxmlformats.org/officeDocument/2006/relationships/hyperlink" Target="https://www.icelandreview.com/news/iceland-donates-field-hospital-to-ukraine/" TargetMode="External"/><Relationship Id="rId4701" Type="http://schemas.openxmlformats.org/officeDocument/2006/relationships/hyperlink" Target="https://www.bundesregierung.de/breg-en/news/military-support-ukraine-2054992" TargetMode="External"/><Relationship Id="rId571" Type="http://schemas.openxmlformats.org/officeDocument/2006/relationships/hyperlink" Target="https://www.bundeskanzleramt.gv.at/bundeskanzleramt/nachrichten-der-bundesregierung/2022/06/bundeskanzler-nehammer-wir-helfen-dort-wo-es-uns-als-neutrales-oesterreich-moeglich-ist.html" TargetMode="External"/><Relationship Id="rId2252" Type="http://schemas.openxmlformats.org/officeDocument/2006/relationships/hyperlink" Target="https://crsreports.congress.gov/product/pdf/IF/IF12040" TargetMode="External"/><Relationship Id="rId3303" Type="http://schemas.openxmlformats.org/officeDocument/2006/relationships/hyperlink" Target="https://appropriations.house.gov/sites/democrats.appropriations.house.gov/files/Ukraine%20Supplemental%20Summary%20FY23.pdf" TargetMode="External"/><Relationship Id="rId3510" Type="http://schemas.openxmlformats.org/officeDocument/2006/relationships/hyperlink" Target="https://www.bundesregierung.de/breg-en/news/military-support-ukraine-2054992" TargetMode="External"/><Relationship Id="rId224" Type="http://schemas.openxmlformats.org/officeDocument/2006/relationships/hyperlink" Target="https://foreignandeu.gov.mt/en/Government/Press%20Releases/Pages/The-Government-of-Malta-is-committed-to-providing-official-aid-to-address-the-humanitarian-needs-of-the-people-of-Ukraine.aspx" TargetMode="External"/><Relationship Id="rId431" Type="http://schemas.openxmlformats.org/officeDocument/2006/relationships/hyperlink" Target="https://www.regjeringen.no/en/topics/foreign-affairs/humanitarian-efforts/neighbour_support/id2908141/" TargetMode="External"/><Relationship Id="rId1061" Type="http://schemas.openxmlformats.org/officeDocument/2006/relationships/hyperlink" Target="https://www.republicworld.com/world-news/russia-ukraine-crisis/estonia-confirms-relief-package-to-aid-war-torn-ukraine-articleshow.html" TargetMode="External"/><Relationship Id="rId2112" Type="http://schemas.openxmlformats.org/officeDocument/2006/relationships/hyperlink" Target="https://appropriations.house.gov/sites/democrats.appropriations.house.gov/files/Additional%20Ukraine%20Suplemental%20Appropriations%20Act%20Summary.pdf" TargetMode="External"/><Relationship Id="rId187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29" Type="http://schemas.openxmlformats.org/officeDocument/2006/relationships/hyperlink" Target="https://www.ukrinform.net/rubric-ato/3674257-ukraine-gets-new-batch-of-bridges-from-czech-republic.html" TargetMode="External"/><Relationship Id="rId4077" Type="http://schemas.openxmlformats.org/officeDocument/2006/relationships/hyperlink" Target="https://twitter.com/oleksiireznikov/status/1598696930720116736?cxt=HHwWgMCjseyY268sAAAA" TargetMode="External"/><Relationship Id="rId4284" Type="http://schemas.openxmlformats.org/officeDocument/2006/relationships/hyperlink" Target="https://www.government.se/articles/2022/11/government-to-send-record-support-package-to-ukraine/" TargetMode="External"/><Relationship Id="rId4491" Type="http://schemas.openxmlformats.org/officeDocument/2006/relationships/hyperlink" Target="https://finmin.lrv.lt/en/news/lithuania-through-the-world-bank-will-provide-eur-10-million-to-ukraine-and-moldova" TargetMode="External"/><Relationship Id="rId1738" Type="http://schemas.openxmlformats.org/officeDocument/2006/relationships/hyperlink" Target="https://crsreports.congress.gov/product/pdf/IF/IF12040" TargetMode="External"/><Relationship Id="rId3093" Type="http://schemas.openxmlformats.org/officeDocument/2006/relationships/hyperlink" Target="https://www.aecid.es/ES/Paginas/Sala%20de%20Prensa/Noticias/2022/2022_07/07_seci_lugano.aspx" TargetMode="External"/><Relationship Id="rId4144" Type="http://schemas.openxmlformats.org/officeDocument/2006/relationships/hyperlink" Target="https://twitter.com/HPevkur/status/1636347925935562753" TargetMode="External"/><Relationship Id="rId4351" Type="http://schemas.openxmlformats.org/officeDocument/2006/relationships/hyperlink" Target="https://www.bundesregierung.de/resource/blob/975226/2189778/cdb664abe95e6fa74802882bd66ef771/2023-05-14-liste-ukr-unterstuetzung-data.pdf?download=1" TargetMode="External"/><Relationship Id="rId1945" Type="http://schemas.openxmlformats.org/officeDocument/2006/relationships/hyperlink" Target="https://appropriations.house.gov/sites/democrats.appropriations.house.gov/files/Ukraine%20Supplemental%20Summary%20FY23.pdf" TargetMode="External"/><Relationship Id="rId3160" Type="http://schemas.openxmlformats.org/officeDocument/2006/relationships/hyperlink" Target="https://appropriations.house.gov/sites/democrats.appropriations.house.gov/files/Summary%20Continuing%20Appropriations%20and%20Ukraine%20Supplemental%20Appropriations%20Act%202023.pdf" TargetMode="External"/><Relationship Id="rId4004" Type="http://schemas.openxmlformats.org/officeDocument/2006/relationships/hyperlink" Target="https://www.mod.gov.lv/lv/zinas/i-murniece-kijiva-tiekas-ar-ukrainas-aizsardzibas-ministru" TargetMode="External"/><Relationship Id="rId4211" Type="http://schemas.openxmlformats.org/officeDocument/2006/relationships/hyperlink" Target="https://www.pravda.com.ua/eng/news/2023/05/19/7403027/" TargetMode="External"/><Relationship Id="rId1805" Type="http://schemas.openxmlformats.org/officeDocument/2006/relationships/hyperlink" Target="https://crsreports.congress.gov/product/pdf/IN/IN11882" TargetMode="External"/><Relationship Id="rId3020" Type="http://schemas.openxmlformats.org/officeDocument/2006/relationships/hyperlink" Target="https://balkaninsight.com/2022/05/04/bulgaria-to-repair-ukraines-military-equipment-despite-internal-tensions/" TargetMode="External"/><Relationship Id="rId3977" Type="http://schemas.openxmlformats.org/officeDocument/2006/relationships/hyperlink" Target="https://www.defense.gov/News/Releases/Release/Article/3350958/biden-administration-announces-additional-security-assistance-for-ukraine/" TargetMode="External"/><Relationship Id="rId898" Type="http://schemas.openxmlformats.org/officeDocument/2006/relationships/hyperlink" Target="https://sum.dk/nyheder/2022/marts/danmark-donerer-medicin-og-medicinsk-udstyr-til-ukraine" TargetMode="External"/><Relationship Id="rId2579"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786" Type="http://schemas.openxmlformats.org/officeDocument/2006/relationships/hyperlink" Target="https://crsreports.congress.gov/product/pdf/IF/IF12040" TargetMode="External"/><Relationship Id="rId2993" Type="http://schemas.openxmlformats.org/officeDocument/2006/relationships/hyperlink" Target="https://web.archive.org/web/20230524183203/https:/www.defesa.gov.pt/pt/comunicacao/documentos/Lists/PDEFINTER_DocumentoLookupList/apoio_militar_Portugal_Ucrania_20230503.pdf" TargetMode="External"/><Relationship Id="rId3837" Type="http://schemas.openxmlformats.org/officeDocument/2006/relationships/hyperlink" Target="https://www.state.gov/u-s-security-cooperation-with-ukraine/" TargetMode="External"/><Relationship Id="rId758" Type="http://schemas.openxmlformats.org/officeDocument/2006/relationships/hyperlink" Target="https://www.mod.gov.lv/lv/zinas/latvija-ukrainas-armijai-piegadajusi-helikopterus-mi-17-un-mi-2" TargetMode="External"/><Relationship Id="rId965" Type="http://schemas.openxmlformats.org/officeDocument/2006/relationships/hyperlink" Target="https://babel.ua/en/news/78825-portugal-will-hand-over-another-160-tons-of-military-aid-to-ukraine" TargetMode="External"/><Relationship Id="rId1388" Type="http://schemas.openxmlformats.org/officeDocument/2006/relationships/hyperlink" Target="https://appropriations.house.gov/sites/democrats.appropriations.house.gov/files/Ukraine%20Supplemental%20Summary.pdf" TargetMode="External"/><Relationship Id="rId1595" Type="http://schemas.openxmlformats.org/officeDocument/2006/relationships/hyperlink" Target="https://appropriations.house.gov/sites/democrats.appropriations.house.gov/files/Additional%20Ukraine%20Suplemental%20Appropriations%20Act%20Summary.pdf" TargetMode="External"/><Relationship Id="rId2439" Type="http://schemas.openxmlformats.org/officeDocument/2006/relationships/hyperlink" Target="https://www.usnews.com/news/world/articles/2022-03-21/china-says-it-will-offer-10-million-yuan-more-of-humanitarian-aid-to-ukraine" TargetMode="External"/><Relationship Id="rId2646" Type="http://schemas.openxmlformats.org/officeDocument/2006/relationships/hyperlink" Target="https://www.weaponstoukraine.com/kampane/viktor-mobile-air-defense-for-ukraine" TargetMode="External"/><Relationship Id="rId2853" Type="http://schemas.openxmlformats.org/officeDocument/2006/relationships/hyperlink" Target="https://crsreports.congress.gov/product/pdf/IF/IF12040" TargetMode="External"/><Relationship Id="rId3904" Type="http://schemas.openxmlformats.org/officeDocument/2006/relationships/hyperlink" Target="https://www.state.gov/u-s-security-cooperation-with-ukraine/" TargetMode="External"/><Relationship Id="rId94" Type="http://schemas.openxmlformats.org/officeDocument/2006/relationships/hyperlink" Target="https://mobile.twitter.com/EU_Commission/status/1551598152041603072" TargetMode="External"/><Relationship Id="rId618" Type="http://schemas.openxmlformats.org/officeDocument/2006/relationships/hyperlink" Target="https://www.techopital.com/la-france-envoie-28-tonnes-de-materiel-medical-en-ukraine-NS_6281.html" TargetMode="External"/><Relationship Id="rId825" Type="http://schemas.openxmlformats.org/officeDocument/2006/relationships/hyperlink" Target="https://www.defense.gov/News/Releases/Release/Article/3173378/11-billion-in-additional-security-assistance-for-ukraine/" TargetMode="External"/><Relationship Id="rId1248"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1455" Type="http://schemas.openxmlformats.org/officeDocument/2006/relationships/hyperlink" Target="https://appropriations.house.gov/sites/democrats.appropriations.house.gov/files/Ukraine%20Supplemental%20Summary.pdf" TargetMode="External"/><Relationship Id="rId1662" Type="http://schemas.openxmlformats.org/officeDocument/2006/relationships/hyperlink" Target="https://crsreports.congress.gov/product/pdf/IF/IF12040" TargetMode="External"/><Relationship Id="rId2506" Type="http://schemas.openxmlformats.org/officeDocument/2006/relationships/hyperlink" Target="https://mil.in.ua/en/news/belgium-made-a-decision-to-hand-over-artillery-to-ukraine-the-media/" TargetMode="External"/><Relationship Id="rId1108" Type="http://schemas.openxmlformats.org/officeDocument/2006/relationships/hyperlink" Target="https://www.worldbank.org/en/programs/urtf/partners" TargetMode="External"/><Relationship Id="rId1315" Type="http://schemas.openxmlformats.org/officeDocument/2006/relationships/hyperlink" Target="https://delano.lu/article/luxembourg-delivering-substant" TargetMode="External"/><Relationship Id="rId2713" Type="http://schemas.openxmlformats.org/officeDocument/2006/relationships/hyperlink" Target="https://www.dw.com/en/new-zealand-announces-new-measures-to-support-ukraine/a-61127549" TargetMode="External"/><Relationship Id="rId2920" Type="http://schemas.openxmlformats.org/officeDocument/2006/relationships/hyperlink" Target="https://mil.in.ua/en/news/ukraine-has-received-two-temporary-bridges-for-civilian-transport-from-the-czech-republic/" TargetMode="External"/><Relationship Id="rId4678" Type="http://schemas.openxmlformats.org/officeDocument/2006/relationships/hyperlink" Target="https://www.bundesregierung.de/breg-en/news/military-support-ukraine-2054992" TargetMode="External"/><Relationship Id="rId1522" Type="http://schemas.openxmlformats.org/officeDocument/2006/relationships/hyperlink" Target="https://appropriations.house.gov/sites/democrats.appropriations.house.gov/files/Additional%20Ukraine%20Suplemental%20Appropriations%20Act%20Summary.pdf" TargetMode="External"/><Relationship Id="rId21" Type="http://schemas.openxmlformats.org/officeDocument/2006/relationships/hyperlink" Target="https://www.france24.com/en/live-news/20220601-arms-for-ukraine-who-has-sent-what" TargetMode="External"/><Relationship Id="rId2089" Type="http://schemas.openxmlformats.org/officeDocument/2006/relationships/hyperlink" Target="https://crsreports.congress.gov/product/pdf/IF/IF12040" TargetMode="External"/><Relationship Id="rId3487" Type="http://schemas.openxmlformats.org/officeDocument/2006/relationships/hyperlink" Target="https://www.bundesregierung.de/breg-en/news/military-support-ukraine-2054992" TargetMode="External"/><Relationship Id="rId3694" Type="http://schemas.openxmlformats.org/officeDocument/2006/relationships/hyperlink" Target="https://intermin.fi/en/ukraine/civilian-assistance-to-ukraine" TargetMode="External"/><Relationship Id="rId4538" Type="http://schemas.openxmlformats.org/officeDocument/2006/relationships/hyperlink" Target="https://crsreports.congress.gov/product/pdf/IF/IF12040" TargetMode="External"/><Relationship Id="rId4745" Type="http://schemas.openxmlformats.org/officeDocument/2006/relationships/hyperlink" Target="https://www.bundesregierung.de/breg-en/news/military-support-ukraine-2054992" TargetMode="External"/><Relationship Id="rId2296" Type="http://schemas.openxmlformats.org/officeDocument/2006/relationships/hyperlink" Target="https://appropriations.house.gov/sites/democrats.appropriations.house.gov/files/Summary%20Continuing%20Appropriations%20and%20Ukraine%20Supplemental%20Appropriations%20Act%202023.pdf" TargetMode="External"/><Relationship Id="rId3347" Type="http://schemas.openxmlformats.org/officeDocument/2006/relationships/hyperlink" Target="https://www.armyrecognition.com/defense_news_july_2022_global_security_army_industry/uk_delivers_to_ukraine_20_m109_155mm_howitzers_and_36_l119_105mm_guns.html" TargetMode="External"/><Relationship Id="rId3554" Type="http://schemas.openxmlformats.org/officeDocument/2006/relationships/hyperlink" Target="https://www.bundesregierung.de/breg-en/news/military-support-ukraine-2054992" TargetMode="External"/><Relationship Id="rId3761" Type="http://schemas.openxmlformats.org/officeDocument/2006/relationships/hyperlink" Target="https://www.state.gov/u-s-security-cooperation-with-ukraine/" TargetMode="External"/><Relationship Id="rId4605" Type="http://schemas.openxmlformats.org/officeDocument/2006/relationships/hyperlink" Target="https://knews.kathimerini.com.cy/en/news/cyprus-chips-in-as-eu-seeks-quick-ammo-for-ukraine" TargetMode="External"/><Relationship Id="rId4812" Type="http://schemas.openxmlformats.org/officeDocument/2006/relationships/hyperlink" Target="https://www.bundesregierung.de/breg-en/news/military-support-ukraine-2054992" TargetMode="External"/><Relationship Id="rId268" Type="http://schemas.openxmlformats.org/officeDocument/2006/relationships/hyperlink" Target="https://www.canada.ca/en/department-national-defence/news/2022/03/defence-minister-anand-announces-additional-military-support-to-ukraine.html?msclkid=50865665ab9011ecbb2d77d3ecd6e3a6" TargetMode="External"/><Relationship Id="rId475" Type="http://schemas.openxmlformats.org/officeDocument/2006/relationships/hyperlink" Target="https://www.worldbank.org/en/news/press-release/2022/03/07/world-bank-mobilizes-an-emergency-financing-package-of-over-700-million-for-ukraine" TargetMode="External"/><Relationship Id="rId682" Type="http://schemas.openxmlformats.org/officeDocument/2006/relationships/hyperlink" Target="https://www.wsj.com/livecoverage/russia-ukraine-latest-news-2022-04-29/card/poland-has-sent-more-than-200-tanks-to-ukraine-Krwar3DCPzHJJk4UMVh4" TargetMode="External"/><Relationship Id="rId2156" Type="http://schemas.openxmlformats.org/officeDocument/2006/relationships/hyperlink" Target="https://appropriations.house.gov/sites/democrats.appropriations.house.gov/files/Additional%20Ukraine%20Suplemental%20Appropriations%20Act%20Summary.pdf" TargetMode="External"/><Relationship Id="rId2363" Type="http://schemas.openxmlformats.org/officeDocument/2006/relationships/hyperlink" Target="https://ua.ambafrance.org/Dostavka-1000-t-francuz-koyi-gumaniitarnoyi-dopomogi-ukrayins-kim-adresatam-v" TargetMode="External"/><Relationship Id="rId2570" Type="http://schemas.openxmlformats.org/officeDocument/2006/relationships/hyperlink" Target="https://www.premier.be/sites/default/files/articles/BE%20support%20militaire.pdf" TargetMode="External"/><Relationship Id="rId3207" Type="http://schemas.openxmlformats.org/officeDocument/2006/relationships/hyperlink" Target="https://www.bbc.com/news/uk-60488633" TargetMode="External"/><Relationship Id="rId3414" Type="http://schemas.openxmlformats.org/officeDocument/2006/relationships/hyperlink" Target="https://www.thedefensepost.com/2022/10/03/germany-denmark-norway-howitzers-ukraine/" TargetMode="External"/><Relationship Id="rId3621" Type="http://schemas.openxmlformats.org/officeDocument/2006/relationships/hyperlink" Target="https://www.bundesregierung.de/breg-en/news/military-support-ukraine-2054992" TargetMode="External"/><Relationship Id="rId128" Type="http://schemas.openxmlformats.org/officeDocument/2006/relationships/hyperlink" Target="https://twitter.com/oleksiireznikov/status/1589571269363904512?cxt=HHwWgMDR-bippY8sAAAA" TargetMode="External"/><Relationship Id="rId335" Type="http://schemas.openxmlformats.org/officeDocument/2006/relationships/hyperlink" Target="https://spectator.sme.sk/c/22850259/slovakia-will-send-more-military-aid-to-ukraine.html" TargetMode="External"/><Relationship Id="rId542" Type="http://schemas.openxmlformats.org/officeDocument/2006/relationships/hyperlink" Target="https://news.err.ee/1608555886/estonia-s-220-million-military-aid-to-ukraine-substantially-diversified" TargetMode="External"/><Relationship Id="rId1172" Type="http://schemas.openxmlformats.org/officeDocument/2006/relationships/hyperlink" Target="https://www.euractiv.com/section/politics/news/portugal-helps-ukraine-keep-heat-and-lights-on/" TargetMode="External"/><Relationship Id="rId2016" Type="http://schemas.openxmlformats.org/officeDocument/2006/relationships/hyperlink" Target="https://appropriations.house.gov/sites/democrats.appropriations.house.gov/files/Ukraine%20Supplemental%20Summary%20FY23.pdf" TargetMode="External"/><Relationship Id="rId2223" Type="http://schemas.openxmlformats.org/officeDocument/2006/relationships/hyperlink" Target="https://appropriations.house.gov/sites/democrats.appropriations.house.gov/files/Ukraine%20Supplemental%20Summary.pdf" TargetMode="External"/><Relationship Id="rId2430" Type="http://schemas.openxmlformats.org/officeDocument/2006/relationships/hyperlink" Target="https://militaryleak.com/2022/03/06/canada-to-supply-4500-m72-and-100-carl-gustaf-anti-tank-weapons-to-ukraine/" TargetMode="External"/><Relationship Id="rId402" Type="http://schemas.openxmlformats.org/officeDocument/2006/relationships/hyperlink" Target="https://ec.europa.eu/echo/news-stories/news/ukraine-eu-delivers-additional-assistance-rescue-vehicles-and-emergency-equipment-2022-03-25_de" TargetMode="External"/><Relationship Id="rId1032" Type="http://schemas.openxmlformats.org/officeDocument/2006/relationships/hyperlink" Target="https://twitter.com/a_anusauskas/status/1585514603366305794" TargetMode="External"/><Relationship Id="rId4188" Type="http://schemas.openxmlformats.org/officeDocument/2006/relationships/hyperlink" Target="https://www.ukrinform.net/rubric-ato/3604150-italy-provides-ukraine-with-two-m270-systems-six-pzh-2000-about-30-selfpropelled-howitzers-media.html" TargetMode="External"/><Relationship Id="rId4395" Type="http://schemas.openxmlformats.org/officeDocument/2006/relationships/hyperlink" Target="https://www.bundesregierung.de/resource/blob/975226/2189778/cdb664abe95e6fa74802882bd66ef771/2023-05-14-liste-ukr-unterstuetzung-data.pdf?download=1" TargetMode="External"/><Relationship Id="rId1989" Type="http://schemas.openxmlformats.org/officeDocument/2006/relationships/hyperlink" Target="https://crsreports.congress.gov/product/pdf/IF/IF12040" TargetMode="External"/><Relationship Id="rId4048" Type="http://schemas.openxmlformats.org/officeDocument/2006/relationships/hyperlink" Target="https://www.defensie.nl/onderwerpen/oostflank-navo-gebied/militaire-steun-aan-oekraine" TargetMode="External"/><Relationship Id="rId4255" Type="http://schemas.openxmlformats.org/officeDocument/2006/relationships/hyperlink" Target="https://www.irozhlas.cz/zpravy-svet/usa-nizozemsko-ukrajina-tanky-t-72b_2211041839_nov" TargetMode="External"/><Relationship Id="rId1849"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64" Type="http://schemas.openxmlformats.org/officeDocument/2006/relationships/hyperlink" Target="https://www.gov.uk/government/news/joint-statement-the-tallinn-pledge" TargetMode="External"/><Relationship Id="rId4462" Type="http://schemas.openxmlformats.org/officeDocument/2006/relationships/hyperlink" Target="https://www.bundesregierung.de/resource/blob/975226/2189778/cdb664abe95e6fa74802882bd66ef771/2023-05-14-liste-ukr-unterstuetzung-data.pdf?download=1" TargetMode="External"/><Relationship Id="rId192"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1709" Type="http://schemas.openxmlformats.org/officeDocument/2006/relationships/hyperlink" Target="https://crsreports.congress.gov/product/pdf/IF/IF12040" TargetMode="External"/><Relationship Id="rId1916" Type="http://schemas.openxmlformats.org/officeDocument/2006/relationships/hyperlink" Target="https://appropriations.house.gov/sites/democrats.appropriations.house.gov/files/Ukraine%20Supplemental%20Summary%20FY23.pdf" TargetMode="External"/><Relationship Id="rId3271" Type="http://schemas.openxmlformats.org/officeDocument/2006/relationships/hyperlink" Target="https://www.reuters.com/world/europe/italy-open-supplying-air-defence-systems-ukraine-official-2022-11-08/" TargetMode="External"/><Relationship Id="rId4115" Type="http://schemas.openxmlformats.org/officeDocument/2006/relationships/hyperlink" Target="https://mil.in.ua/en/news/estonia-provides-ukraine-with-new-military-aid-package/" TargetMode="External"/><Relationship Id="rId4322" Type="http://schemas.openxmlformats.org/officeDocument/2006/relationships/hyperlink" Target="https://www.bundesregierung.de/resource/blob/975226/2189778/cdb664abe95e6fa74802882bd66ef771/2023-05-14-liste-ukr-unterstuetzung-data.pdf?download=1" TargetMode="External"/><Relationship Id="rId2080" Type="http://schemas.openxmlformats.org/officeDocument/2006/relationships/hyperlink" Target="https://appropriations.house.gov/sites/democrats.appropriations.house.gov/files/Ukraine%20Supplemental%20Summary%20FY23.pdf" TargetMode="External"/><Relationship Id="rId3131" Type="http://schemas.openxmlformats.org/officeDocument/2006/relationships/hyperlink" Target="https://menafn.com/1105574890/Greece-Hands-Over-Ammunition-20-Ifvs-To-Ukraine" TargetMode="External"/><Relationship Id="rId2897" Type="http://schemas.openxmlformats.org/officeDocument/2006/relationships/hyperlink" Target="https://www.vlada.cz/en/media-centrum/tiskove-zpravy/czechia-sends-hundreds-of-heavy-military-systems-worth-tens-of-billions-to-ukraine-during-the-first-year-of-russian-invasion-203252/" TargetMode="External"/><Relationship Id="rId3948" Type="http://schemas.openxmlformats.org/officeDocument/2006/relationships/hyperlink" Target="https://www.state.gov/u-s-security-cooperation-with-ukraine/" TargetMode="External"/><Relationship Id="rId869" Type="http://schemas.openxmlformats.org/officeDocument/2006/relationships/hyperlink" Target="https://www.gov.uk/government/news/uk-and-allies-agree-expanded-international-fund-for-ukraine-support" TargetMode="External"/><Relationship Id="rId1499" Type="http://schemas.openxmlformats.org/officeDocument/2006/relationships/hyperlink" Target="https://appropriations.house.gov/sites/democrats.appropriations.house.gov/files/Ukraine%20Supplemental%20Summary.pdf" TargetMode="External"/><Relationship Id="rId729" Type="http://schemas.openxmlformats.org/officeDocument/2006/relationships/hyperlink" Target="https://mobile.twitter.com/EU_Commission/status/1551598152041603072" TargetMode="External"/><Relationship Id="rId1359" Type="http://schemas.openxmlformats.org/officeDocument/2006/relationships/hyperlink" Target="https://www.defense.gov/News/Releases/Release/Article/3261263/more-than-3-billion-in-additional-security-assistance-for-ukraine/" TargetMode="External"/><Relationship Id="rId2757" Type="http://schemas.openxmlformats.org/officeDocument/2006/relationships/hyperlink" Target="https://www.defense.gov/News/Releases/Release/Article/3272866/biden-administration-announces-additional-security-assistance-for-ukraine/" TargetMode="External"/><Relationship Id="rId2964" Type="http://schemas.openxmlformats.org/officeDocument/2006/relationships/hyperlink" Target="https://www.lemonde.fr/en/international/article/2023/01/31/france-commits-to-sending-more-caesar-self-propelled-howitzers-to-ukraine_6013871_4.html" TargetMode="External"/><Relationship Id="rId3808" Type="http://schemas.openxmlformats.org/officeDocument/2006/relationships/hyperlink" Target="https://www.defense.gov/News/Releases/Release/Article/3350958/biden-administration-announces-additional-security-assistance-for-ukraine/" TargetMode="External"/><Relationship Id="rId936" Type="http://schemas.openxmlformats.org/officeDocument/2006/relationships/hyperlink" Target="https://www.government.se/articles/2022/11/government-to-send-record-support-package-to-ukraine/" TargetMode="External"/><Relationship Id="rId1219" Type="http://schemas.openxmlformats.org/officeDocument/2006/relationships/hyperlink" Target="https://www.reuters.com/world/biden-authorizes-new-275-mln-military-aid-ukraine-white-house-2022-12-09/" TargetMode="External"/><Relationship Id="rId1566" Type="http://schemas.openxmlformats.org/officeDocument/2006/relationships/hyperlink" Target="https://appropriations.house.gov/sites/democrats.appropriations.house.gov/files/Additional%20Ukraine%20Suplemental%20Appropriations%20Act%20Summary.pdf" TargetMode="External"/><Relationship Id="rId1773" Type="http://schemas.openxmlformats.org/officeDocument/2006/relationships/hyperlink" Target="https://crsreports.congress.gov/product/pdf/IF/IF12040" TargetMode="External"/><Relationship Id="rId1980" Type="http://schemas.openxmlformats.org/officeDocument/2006/relationships/hyperlink" Target="https://www.irozhlas.cz/zpravy-svet/usa-nizozemsko-ukrajina-tanky-t-72b_2211041839_nov" TargetMode="External"/><Relationship Id="rId2617"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2824" Type="http://schemas.openxmlformats.org/officeDocument/2006/relationships/hyperlink" Target="https://crsreports.congress.gov/product/pdf/IF/IF12040" TargetMode="External"/><Relationship Id="rId65" Type="http://schemas.openxmlformats.org/officeDocument/2006/relationships/hyperlink" Target="https://www.forces.net/technology/weapons-and-kit/latest-military-aid-being-sent-ukraine-west" TargetMode="External"/><Relationship Id="rId1426" Type="http://schemas.openxmlformats.org/officeDocument/2006/relationships/hyperlink" Target="https://appropriations.house.gov/sites/democrats.appropriations.house.gov/files/Ukraine%20Supplemental%20Summary.pdf" TargetMode="External"/><Relationship Id="rId1633" Type="http://schemas.openxmlformats.org/officeDocument/2006/relationships/hyperlink" Target="https://appropriations.house.gov/sites/democrats.appropriations.house.gov/files/Additional%20Ukraine%20Suplemental%20Appropriations%20Act%20Summary.pdf" TargetMode="External"/><Relationship Id="rId1840" Type="http://schemas.openxmlformats.org/officeDocument/2006/relationships/hyperlink" Target="https://appropriations.house.gov/sites/democrats.appropriations.house.gov/files/Summary%20Continuing%20Appropriations%20and%20Ukraine%20Supplemental%20Appropriations%20Act%202023.pdf" TargetMode="External"/><Relationship Id="rId4789" Type="http://schemas.openxmlformats.org/officeDocument/2006/relationships/hyperlink" Target="https://www.bundesregierung.de/breg-en/news/military-support-ukraine-2054992" TargetMode="External"/><Relationship Id="rId1700" Type="http://schemas.openxmlformats.org/officeDocument/2006/relationships/hyperlink" Target="https://crsreports.congress.gov/product/pdf/IF/IF12040" TargetMode="External"/><Relationship Id="rId3598" Type="http://schemas.openxmlformats.org/officeDocument/2006/relationships/hyperlink" Target="https://www.defensenews.com/land/2022/08/22/turkey-sends-50-mine-resistant-vehicles-to-ukraine-with-more-expected/" TargetMode="External"/><Relationship Id="rId4649" Type="http://schemas.openxmlformats.org/officeDocument/2006/relationships/hyperlink" Target="https://www.weaponstoukraine.com/kampane/viktor-mobile-air-defense-for-ukraine" TargetMode="External"/><Relationship Id="rId3458" Type="http://schemas.openxmlformats.org/officeDocument/2006/relationships/hyperlink" Target="https://www.bundesregierung.de/breg-en/news/military-support-ukraine-2054992" TargetMode="External"/><Relationship Id="rId3665" Type="http://schemas.openxmlformats.org/officeDocument/2006/relationships/hyperlink" Target="https://www.fmn.dk/da/nyheder/2023/regeringen-prasenterer-udspil-til-historisk-forsvarsforlig/" TargetMode="External"/><Relationship Id="rId3872" Type="http://schemas.openxmlformats.org/officeDocument/2006/relationships/hyperlink" Target="https://www.state.gov/u-s-security-cooperation-with-ukraine/" TargetMode="External"/><Relationship Id="rId4509" Type="http://schemas.openxmlformats.org/officeDocument/2006/relationships/hyperlink" Target="https://twitter.com/ua_minfin/status/1514313544795361280?ref_src=twsrc%5Etfw%7Ctwcamp%5Etweetembed%7Ctwterm%5E1514313544795361280%7Ctwgr%5E%7Ctwcon%5Es1_&amp;ref_url=https%3A%2F%2Fwww.republicworld.com%2Fworld-news%2Frussia-ukraine-crisis%2Fcanada-to-provide-ukraine-with-398-dollars-million-concessional-loan-amid-russian-invasion-articleshow.html" TargetMode="External"/><Relationship Id="rId4716" Type="http://schemas.openxmlformats.org/officeDocument/2006/relationships/hyperlink" Target="https://www.bundesregierung.de/breg-en/news/military-support-ukraine-2054992" TargetMode="External"/><Relationship Id="rId379" Type="http://schemas.openxmlformats.org/officeDocument/2006/relationships/hyperlink" Target="https://civilna-zastita.gov.hr/vijesti/dostavljena-zurna-humanitarna-pomoc-ukrajini-u-organizaciji-ravnateljstva-civilne-zastite/5634" TargetMode="External"/><Relationship Id="rId586" Type="http://schemas.openxmlformats.org/officeDocument/2006/relationships/hyperlink" Target="https://see.news/south-korea-to-send-non-lethal-aid-to-ukraine/" TargetMode="External"/><Relationship Id="rId793" Type="http://schemas.openxmlformats.org/officeDocument/2006/relationships/hyperlink" Target="https://www.defense.gov/News/Releases/Release/Article/3152071/675-million-in-additional-security-assistance-for-ukraine/" TargetMode="External"/><Relationship Id="rId2267" Type="http://schemas.openxmlformats.org/officeDocument/2006/relationships/hyperlink" Target="https://crsreports.congress.gov/product/pdf/IF/IF12040" TargetMode="External"/><Relationship Id="rId2474" Type="http://schemas.openxmlformats.org/officeDocument/2006/relationships/hyperlink" Target="https://www.brusselstimes.com/278107/belgium-provides-e8-million-for-non-lethal-help-to-ukraine" TargetMode="External"/><Relationship Id="rId2681" Type="http://schemas.openxmlformats.org/officeDocument/2006/relationships/hyperlink" Target="https://www.aa.com.tr/en/russia-ukraine-war/belgium-tried-to-donate-nearly-expired-drugs-to-ukraine-report/2591304" TargetMode="External"/><Relationship Id="rId3318" Type="http://schemas.openxmlformats.org/officeDocument/2006/relationships/hyperlink" Target="https://www.government.se/government-policy/russias-invasion-of-ukraine/?page=3" TargetMode="External"/><Relationship Id="rId3525" Type="http://schemas.openxmlformats.org/officeDocument/2006/relationships/hyperlink" Target="https://www.bundesregierung.de/breg-en/news/military-support-ukraine-2054992" TargetMode="External"/><Relationship Id="rId239" Type="http://schemas.openxmlformats.org/officeDocument/2006/relationships/hyperlink" Target="https://www.esteri.it/it/sala_stampa/archivionotizie/comunicati/2022/03/fornitura-di-beni-umanitari-in-favore-della-popolazione-ucraina/" TargetMode="External"/><Relationship Id="rId446" Type="http://schemas.openxmlformats.org/officeDocument/2006/relationships/hyperlink" Target="https://twitter.com/norwayeu/with_replies" TargetMode="External"/><Relationship Id="rId653" Type="http://schemas.openxmlformats.org/officeDocument/2006/relationships/hyperlink" Target="https://www.government.nl/topics/russia-and-ukraine/news/2022/02/18/the-netherlands-intends-to-supply-military-goods-to-ukraine" TargetMode="External"/><Relationship Id="rId1076" Type="http://schemas.openxmlformats.org/officeDocument/2006/relationships/hyperlink" Target="https://www.lejdd.fr/International/sebastien-lecornu-ministre-des-armees-nous-navons-pas-a-rougir-de-notre-aide-a-lukraine-4148779" TargetMode="External"/><Relationship Id="rId1283"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1490" Type="http://schemas.openxmlformats.org/officeDocument/2006/relationships/hyperlink" Target="https://appropriations.house.gov/sites/democrats.appropriations.house.gov/files/Ukraine%20Supplemental%20Summary.pdf" TargetMode="External"/><Relationship Id="rId2127" Type="http://schemas.openxmlformats.org/officeDocument/2006/relationships/hyperlink" Target="https://crsreports.congress.gov/product/pdf/IF/IF12040" TargetMode="External"/><Relationship Id="rId2334" Type="http://schemas.openxmlformats.org/officeDocument/2006/relationships/hyperlink" Target="https://pmtranscripts.pmc.gov.au/release/transcript-43868" TargetMode="External"/><Relationship Id="rId3732" Type="http://schemas.openxmlformats.org/officeDocument/2006/relationships/hyperlink" Target="https://www.government.se/government-policy/russias-invasion-of-ukraine/?page=2" TargetMode="External"/><Relationship Id="rId306" Type="http://schemas.openxmlformats.org/officeDocument/2006/relationships/hyperlink" Target="https://spectator.sme.sk/c/22850259/slovakia-will-send-more-military-aid-to-ukraine.html" TargetMode="External"/><Relationship Id="rId860" Type="http://schemas.openxmlformats.org/officeDocument/2006/relationships/hyperlink" Target="https://www.thedefensepost.com/2022/08/19/estonia-aid-weapons-ukraine/" TargetMode="External"/><Relationship Id="rId1143" Type="http://schemas.openxmlformats.org/officeDocument/2006/relationships/hyperlink" Target="https://commonslibrary.parliament.uk/research-briefings/cbp-9477/" TargetMode="External"/><Relationship Id="rId2541" Type="http://schemas.openxmlformats.org/officeDocument/2006/relationships/hyperlink" Target="https://lahbib.belgium.be/en/belgium-provide-8-million-eur-non-lethal-support-ukrainian-armed-forces" TargetMode="External"/><Relationship Id="rId4299" Type="http://schemas.openxmlformats.org/officeDocument/2006/relationships/hyperlink" Target="https://ue.delegfrance.org/bilan-de-l-aide-apportee-par-la" TargetMode="External"/><Relationship Id="rId513" Type="http://schemas.openxmlformats.org/officeDocument/2006/relationships/hyperlink" Target="https://www.youtube.com/watch?v=A1nTsblXabc" TargetMode="External"/><Relationship Id="rId720" Type="http://schemas.openxmlformats.org/officeDocument/2006/relationships/hyperlink" Target="https://twitter.com/a_anusauskas/status/1549776944295809028" TargetMode="External"/><Relationship Id="rId1350" Type="http://schemas.openxmlformats.org/officeDocument/2006/relationships/hyperlink" Target="http://www.mof.gov.ua/uk/news/ukraine_received_eur_100_million_loan_from_france-3760" TargetMode="External"/><Relationship Id="rId2401" Type="http://schemas.openxmlformats.org/officeDocument/2006/relationships/hyperlink" Target="https://www.mofa.go.jp/press/release/press4e_003098.html" TargetMode="External"/><Relationship Id="rId4159" Type="http://schemas.openxmlformats.org/officeDocument/2006/relationships/hyperlink" Target="https://www.vm.ee/en/news/estonia-donates-12-buses-zhytomyr-oblast-ukraine-help-restore-transport-links" TargetMode="External"/><Relationship Id="rId1003" Type="http://schemas.openxmlformats.org/officeDocument/2006/relationships/hyperlink" Target="https://edition.cnn.com/2022/04/09/europe/ukraine-uk-boris-johnson-intl-gbr/index.html" TargetMode="External"/><Relationship Id="rId1210" Type="http://schemas.openxmlformats.org/officeDocument/2006/relationships/hyperlink" Target="https://www.defense.gov/News/Releases/Release/Article/3227217/400-million-in-additional-assistance-for-ukraine/" TargetMode="External"/><Relationship Id="rId4366" Type="http://schemas.openxmlformats.org/officeDocument/2006/relationships/hyperlink" Target="https://www.bundesregierung.de/resource/blob/975226/2189778/cdb664abe95e6fa74802882bd66ef771/2023-05-14-liste-ukr-unterstuetzung-data.pdf?download=1" TargetMode="External"/><Relationship Id="rId4573" Type="http://schemas.openxmlformats.org/officeDocument/2006/relationships/hyperlink" Target="https://www.ukrinform.net/rubric-society/3468504-latvia-sends-11-buses-with-humanitarian-aid-to-ukraine.html" TargetMode="External"/><Relationship Id="rId4780" Type="http://schemas.openxmlformats.org/officeDocument/2006/relationships/hyperlink" Target="https://www.bundesregierung.de/breg-en/news/military-support-ukraine-2054992" TargetMode="External"/><Relationship Id="rId3175" Type="http://schemas.openxmlformats.org/officeDocument/2006/relationships/hyperlink" Target="https://www.expats.cz/czech-news/article/ukrainian-soldiers-start-official-training-on-czech-territory" TargetMode="External"/><Relationship Id="rId3382"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4019" Type="http://schemas.openxmlformats.org/officeDocument/2006/relationships/hyperlink" Target="https://www.luxtimes.lu/en/luxembourg/luxembourg-to-provide-ukraine-more-military-aid-63eca7e8de135b9236d89779" TargetMode="External"/><Relationship Id="rId4226" Type="http://schemas.openxmlformats.org/officeDocument/2006/relationships/hyperlink" Target="https://www.regjeringen.no/en/topics/foreign-affairs/humanitarian-efforts/neighbour_support/id2908141/?expand=factbox2963912" TargetMode="External"/><Relationship Id="rId4433" Type="http://schemas.openxmlformats.org/officeDocument/2006/relationships/hyperlink" Target="https://www.bundesregierung.de/resource/blob/975226/2189778/cdb664abe95e6fa74802882bd66ef771/2023-05-14-liste-ukr-unterstuetzung-data.pdf?download=1" TargetMode="External"/><Relationship Id="rId4640" Type="http://schemas.openxmlformats.org/officeDocument/2006/relationships/hyperlink" Target="https://www.defensie.nl/onderwerpen/oostflank-navo-gebied/militaire-steun-aan-oekraine" TargetMode="External"/><Relationship Id="rId2191" Type="http://schemas.openxmlformats.org/officeDocument/2006/relationships/hyperlink" Target="https://appropriations.house.gov/sites/democrats.appropriations.house.gov/files/Additional%20Ukraine%20Suplemental%20Appropriations%20Act%20Summary.pdf" TargetMode="External"/><Relationship Id="rId3035" Type="http://schemas.openxmlformats.org/officeDocument/2006/relationships/hyperlink" Target="https://www.defensie.nl/onderwerpen/oostflank-navo-gebied/nieuws/2023/01/20/details-bekend-over-nederlandse-levering-patriot-luchtverdediging-aan-oekraine" TargetMode="External"/><Relationship Id="rId3242" Type="http://schemas.openxmlformats.org/officeDocument/2006/relationships/hyperlink" Target="https://focustaiwan.tw/politics/202206030014" TargetMode="External"/><Relationship Id="rId4500" Type="http://schemas.openxmlformats.org/officeDocument/2006/relationships/hyperlink" Target="http://web.archive.org/web/20230510062542/https:/www.energy-community.org/Ukraine/Fund.html" TargetMode="External"/><Relationship Id="rId163" Type="http://schemas.openxmlformats.org/officeDocument/2006/relationships/hyperlink" Target="https://twitter.com/a_anusauskas/status/1594701256463110144" TargetMode="External"/><Relationship Id="rId370" Type="http://schemas.openxmlformats.org/officeDocument/2006/relationships/hyperlink" Target="https://bmi.gv.at/news.aspx?id=44786F67485A5049462F493D" TargetMode="External"/><Relationship Id="rId2051"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02" Type="http://schemas.openxmlformats.org/officeDocument/2006/relationships/hyperlink" Target="https://www.weaponstoukraine.com/kampane/viktor-mobile-air-defense-for-ukraine" TargetMode="External"/><Relationship Id="rId230" Type="http://schemas.openxmlformats.org/officeDocument/2006/relationships/hyperlink" Target="https://um.dk/danida/lande-og-regioner/ukraine" TargetMode="External"/><Relationship Id="rId2868" Type="http://schemas.openxmlformats.org/officeDocument/2006/relationships/hyperlink" Target="https://crsreports.congress.gov/product/pdf/IF/IF12040" TargetMode="External"/><Relationship Id="rId3919" Type="http://schemas.openxmlformats.org/officeDocument/2006/relationships/hyperlink" Target="https://www.state.gov/u-s-security-cooperation-with-ukraine/" TargetMode="External"/><Relationship Id="rId4083" Type="http://schemas.openxmlformats.org/officeDocument/2006/relationships/hyperlink" Target="https://www.ebrd.com/news/2023/ebrd-and-spain-join-forces-to-support-ukraines-food-security-and-municipal-sector.html" TargetMode="External"/><Relationship Id="rId1677" Type="http://schemas.openxmlformats.org/officeDocument/2006/relationships/hyperlink" Target="https://crsreports.congress.gov/product/pdf/IF/IF12040" TargetMode="External"/><Relationship Id="rId1884" Type="http://schemas.openxmlformats.org/officeDocument/2006/relationships/hyperlink" Target="https://appropriations.house.gov/sites/democrats.appropriations.house.gov/files/Ukraine%20Supplemental%20Summary%20FY23.pdf" TargetMode="External"/><Relationship Id="rId2728" Type="http://schemas.openxmlformats.org/officeDocument/2006/relationships/hyperlink" Target="https://www.regjeringen.no/en/aktuelt/the-norwegian-government-sends-generators-to-ukraine/id2963933/" TargetMode="External"/><Relationship Id="rId2935" Type="http://schemas.openxmlformats.org/officeDocument/2006/relationships/hyperlink" Target="https://www.mzv.cz/duesseldorf/de/wirtschaft_und_handel/humanitarian_aid_from_the_ministry_of.html" TargetMode="External"/><Relationship Id="rId4290" Type="http://schemas.openxmlformats.org/officeDocument/2006/relationships/hyperlink" Target="https://www.pravda.com.ua/eng/news/2023/04/28/7399845/" TargetMode="External"/><Relationship Id="rId907" Type="http://schemas.openxmlformats.org/officeDocument/2006/relationships/hyperlink" Target="https://um.dk/en/foreign-policy/danish-support-for-ukraine" TargetMode="External"/><Relationship Id="rId1537" Type="http://schemas.openxmlformats.org/officeDocument/2006/relationships/hyperlink" Target="https://appropriations.house.gov/sites/democrats.appropriations.house.gov/files/Additional%20Ukraine%20Suplemental%20Appropriations%20Act%20Summary.pdf" TargetMode="External"/><Relationship Id="rId1744" Type="http://schemas.openxmlformats.org/officeDocument/2006/relationships/hyperlink" Target="https://crsreports.congress.gov/product/pdf/IF/IF12040" TargetMode="External"/><Relationship Id="rId1951" Type="http://schemas.openxmlformats.org/officeDocument/2006/relationships/hyperlink" Target="https://crsreports.congress.gov/product/pdf/IF/IF12040" TargetMode="External"/><Relationship Id="rId4150" Type="http://schemas.openxmlformats.org/officeDocument/2006/relationships/hyperlink" Target="https://twitter.com/HPevkur/status/1636347925935562753" TargetMode="External"/><Relationship Id="rId36" Type="http://schemas.openxmlformats.org/officeDocument/2006/relationships/hyperlink" Target="https://www.bbc.com/news/world-europe-61482305" TargetMode="External"/><Relationship Id="rId1604" Type="http://schemas.openxmlformats.org/officeDocument/2006/relationships/hyperlink" Target="https://appropriations.house.gov/sites/democrats.appropriations.house.gov/files/Additional%20Ukraine%20Suplemental%20Appropriations%20Act%20Summary.pdf" TargetMode="External"/><Relationship Id="rId4010" Type="http://schemas.openxmlformats.org/officeDocument/2006/relationships/hyperlink" Target="https://kariuomene.lt/kas-mes-esame/naujienos/vilniuje-lankysis-jungtines-karalystes-kariuomenes-vadas/17044" TargetMode="External"/><Relationship Id="rId1811" Type="http://schemas.openxmlformats.org/officeDocument/2006/relationships/hyperlink" Target="https://appropriations.house.gov/sites/democrats.appropriations.house.gov/files/Summary%20Continuing%20Appropriations%20and%20Ukraine%20Supplemental%20Appropriations%20Act%202023.pdf" TargetMode="External"/><Relationship Id="rId3569" Type="http://schemas.openxmlformats.org/officeDocument/2006/relationships/hyperlink" Target="https://www.oireachtas.ie/en/debates/question/2023-01-31/102/" TargetMode="External"/><Relationship Id="rId697" Type="http://schemas.openxmlformats.org/officeDocument/2006/relationships/hyperlink" Target="https://www.vestnesis.lv/op/2022/118.11" TargetMode="External"/><Relationship Id="rId2378" Type="http://schemas.openxmlformats.org/officeDocument/2006/relationships/hyperlink" Target="https://www.connexionfrance.com/article/French-news/Humanitarian-ship-for-Ukraine-leaves-French-port-with-8m-of-aid" TargetMode="External"/><Relationship Id="rId3429" Type="http://schemas.openxmlformats.org/officeDocument/2006/relationships/hyperlink" Target="https://www.bundesregierung.de/breg-en/news/military-support-ukraine-2054992" TargetMode="External"/><Relationship Id="rId3776" Type="http://schemas.openxmlformats.org/officeDocument/2006/relationships/hyperlink" Target="https://www.state.gov/u-s-security-cooperation-with-ukraine/" TargetMode="External"/><Relationship Id="rId3983" Type="http://schemas.openxmlformats.org/officeDocument/2006/relationships/hyperlink" Target="https://www.vienna.at/ukraine-krieg-bislang-124-mio-euro-unterstuetzung-von-oesterreich/7885546" TargetMode="External"/><Relationship Id="rId4827" Type="http://schemas.openxmlformats.org/officeDocument/2006/relationships/hyperlink" Target="https://www.bundesregierung.de/breg-en/news/military-support-ukraine-2054992" TargetMode="External"/><Relationship Id="rId1187" Type="http://schemas.openxmlformats.org/officeDocument/2006/relationships/hyperlink" Target="https://japan.kantei.go.jp/ongoingtopics/pdf/jp_stands_with_ukraine_eng.pdf" TargetMode="External"/><Relationship Id="rId2585" Type="http://schemas.openxmlformats.org/officeDocument/2006/relationships/hyperlink" Target="https://www.premier.be/sites/default/files/articles/BE%20support%20militaire.pdf" TargetMode="External"/><Relationship Id="rId2792" Type="http://schemas.openxmlformats.org/officeDocument/2006/relationships/hyperlink" Target="https://www.defense.gov/News/Releases/Release/Article/3287992/biden-administration-announces-additional-security-assistance-for-ukraine/" TargetMode="External"/><Relationship Id="rId3636" Type="http://schemas.openxmlformats.org/officeDocument/2006/relationships/hyperlink" Target="https://web.archive.org/web/20230605032700/https:/www.bundesregierung.de/breg-de/themen/krieg-in-der-ukraine/deutschland-hilft-der-ukraine-2160274" TargetMode="External"/><Relationship Id="rId3843" Type="http://schemas.openxmlformats.org/officeDocument/2006/relationships/hyperlink" Target="https://www.state.gov/u-s-security-cooperation-with-ukraine/" TargetMode="External"/><Relationship Id="rId557" Type="http://schemas.openxmlformats.org/officeDocument/2006/relationships/hyperlink" Target="https://ec.europa.eu/commission/presscorner/detail/en/IP_22_2382" TargetMode="External"/><Relationship Id="rId764" Type="http://schemas.openxmlformats.org/officeDocument/2006/relationships/hyperlink" Target="https://www.reuters.com/world/europe/swedish-pm-sets-out-further-military-aid-package-ukraine-2022-08-29/" TargetMode="External"/><Relationship Id="rId971" Type="http://schemas.openxmlformats.org/officeDocument/2006/relationships/hyperlink" Target="https://gemeindebund.at/gemeinden-blaulichtorganisationen-und-unternehmen-helfen-der-ukraine/" TargetMode="External"/><Relationship Id="rId1394" Type="http://schemas.openxmlformats.org/officeDocument/2006/relationships/hyperlink" Target="https://appropriations.house.gov/sites/democrats.appropriations.house.gov/files/Ukraine%20Supplemental%20Summary.pdf" TargetMode="External"/><Relationship Id="rId2238" Type="http://schemas.openxmlformats.org/officeDocument/2006/relationships/hyperlink" Target="https://appropriations.house.gov/sites/democrats.appropriations.house.gov/files/Ukraine%20Supplemental%20Summary.pdf" TargetMode="External"/><Relationship Id="rId2445" Type="http://schemas.openxmlformats.org/officeDocument/2006/relationships/hyperlink" Target="https://pm.gc.ca/en/news/backgrounders/2022/06/28/additional-canadian-support-ukraine-announced-2022-g7-summit" TargetMode="External"/><Relationship Id="rId2652" Type="http://schemas.openxmlformats.org/officeDocument/2006/relationships/hyperlink" Target="https://comercio.gob.es/ImportacionExportacion/Informes_Estadisticas/Material%20Defansa%20Doble%20Uso/2022/XMDDU2022I.pdf" TargetMode="External"/><Relationship Id="rId3703" Type="http://schemas.openxmlformats.org/officeDocument/2006/relationships/hyperlink" Target="https://um.fi/press-releases/-/asset_publisher/ued5t2wDmr1C/content/suomelta-humanitaarista-apua-valiaikaisia-asuntoja-seka-julkisen-hallinnon-tukea-ukrainaan/35732" TargetMode="External"/><Relationship Id="rId3910" Type="http://schemas.openxmlformats.org/officeDocument/2006/relationships/hyperlink" Target="https://www.state.gov/u-s-security-cooperation-with-ukraine/" TargetMode="External"/><Relationship Id="rId417" Type="http://schemas.openxmlformats.org/officeDocument/2006/relationships/hyperlink" Target="https://www.gov.uk/government/news/pm-announces-further-humanitarian-aid-to-ukraine" TargetMode="External"/><Relationship Id="rId624" Type="http://schemas.openxmlformats.org/officeDocument/2006/relationships/hyperlink" Target="https://www.diplomatie.gouv.fr/en/country-files/ukraine/news/article/ukraine-france-mobilizes-to-deliver-emergency-medical-aid-to-victims-of-the" TargetMode="External"/><Relationship Id="rId831" Type="http://schemas.openxmlformats.org/officeDocument/2006/relationships/hyperlink" Target="https://www.defense.gov/News/Releases/Release/Article/3173378/11-billion-in-additional-security-assistance-for-ukraine/" TargetMode="External"/><Relationship Id="rId1047" Type="http://schemas.openxmlformats.org/officeDocument/2006/relationships/hyperlink" Target="https://www.wfp.org/news/japan-provides-us28-million-humanitarian-food-assistance-ukraine" TargetMode="External"/><Relationship Id="rId1254" Type="http://schemas.openxmlformats.org/officeDocument/2006/relationships/hyperlink" Target="https://twitter.com/visegrad24/status/1504145180647170060?cxt=HHwWmIC58dGE5t8pAAAA" TargetMode="External"/><Relationship Id="rId1461" Type="http://schemas.openxmlformats.org/officeDocument/2006/relationships/hyperlink" Target="https://appropriations.house.gov/sites/democrats.appropriations.house.gov/files/Ukraine%20Supplemental%20Summary.pdf" TargetMode="External"/><Relationship Id="rId230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12" Type="http://schemas.openxmlformats.org/officeDocument/2006/relationships/hyperlink" Target="https://mil.in.ua/en/news/belgium-made-a-decision-to-hand-over-artillery-to-ukraine-the-media/" TargetMode="External"/><Relationship Id="rId1114" Type="http://schemas.openxmlformats.org/officeDocument/2006/relationships/hyperlink" Target="https://myc.news/en/politika/latviya_vydelit_56__tysyach_evro_na_pokupku_generatorov_dlya_ukrainskih_smi" TargetMode="External"/><Relationship Id="rId1321" Type="http://schemas.openxmlformats.org/officeDocument/2006/relationships/hyperlink" Target="https://www.gov.uk/government/news/uk-to-give-artillery-rounds-and-helicopters-to-help-defend-ukraine" TargetMode="External"/><Relationship Id="rId4477" Type="http://schemas.openxmlformats.org/officeDocument/2006/relationships/hyperlink" Target="https://www.bundesregierung.de/resource/blob/975226/2189778/cdb664abe95e6fa74802882bd66ef771/2023-05-14-liste-ukr-unterstuetzung-data.pdf?download=1" TargetMode="External"/><Relationship Id="rId4684" Type="http://schemas.openxmlformats.org/officeDocument/2006/relationships/hyperlink" Target="https://www.bundesregierung.de/breg-en/news/military-support-ukraine-2054992" TargetMode="External"/><Relationship Id="rId3079" Type="http://schemas.openxmlformats.org/officeDocument/2006/relationships/hyperlink" Target="https://www.reuters.com/world/europe/poland-send-60-modernised-tanks-ukraine-addition-leopards-2023-01-27/" TargetMode="External"/><Relationship Id="rId3286" Type="http://schemas.openxmlformats.org/officeDocument/2006/relationships/hyperlink" Target="https://www.rp.pl/biznes/art35754421-polska-bron-dla-ukrainy-pierwsze-transporty-dotarly-kolejne-w-drodze" TargetMode="External"/><Relationship Id="rId3493" Type="http://schemas.openxmlformats.org/officeDocument/2006/relationships/hyperlink" Target="https://www.bundesregierung.de/breg-en/news/military-support-ukraine-2054992" TargetMode="External"/><Relationship Id="rId4337" Type="http://schemas.openxmlformats.org/officeDocument/2006/relationships/hyperlink" Target="https://www.bundesregierung.de/resource/blob/975226/2189778/cdb664abe95e6fa74802882bd66ef771/2023-05-14-liste-ukr-unterstuetzung-data.pdf?download=1" TargetMode="External"/><Relationship Id="rId4544" Type="http://schemas.openxmlformats.org/officeDocument/2006/relationships/hyperlink" Target="https://crsreports.congress.gov/product/pdf/IF/IF12040" TargetMode="External"/><Relationship Id="rId2095" Type="http://schemas.openxmlformats.org/officeDocument/2006/relationships/hyperlink" Target="https://appropriations.house.gov/sites/democrats.appropriations.house.gov/files/Ukraine%20Supplemental%20Summary.pdf" TargetMode="External"/><Relationship Id="rId3146" Type="http://schemas.openxmlformats.org/officeDocument/2006/relationships/hyperlink" Target="https://www.gov.uk/government/news/uk-will-match-record-ukraine-support-in-2023" TargetMode="External"/><Relationship Id="rId3353" Type="http://schemas.openxmlformats.org/officeDocument/2006/relationships/hyperlink" Target="https://www.international.gc.ca/world-monde/issues_development-enjeux_developpement/response_conflict-reponse_conflits/crisis-crises/ukraine-dev.aspx?lang=eng" TargetMode="External"/><Relationship Id="rId4751" Type="http://schemas.openxmlformats.org/officeDocument/2006/relationships/hyperlink" Target="https://www.bundesregierung.de/breg-en/news/military-support-ukraine-2054992" TargetMode="External"/><Relationship Id="rId274" Type="http://schemas.openxmlformats.org/officeDocument/2006/relationships/hyperlink" Target="https://www.bnnbloomberg.ca/imf-creates-new-account-to-help-ukraine-as-canada-pledges-funds-1.1749951" TargetMode="External"/><Relationship Id="rId481" Type="http://schemas.openxmlformats.org/officeDocument/2006/relationships/hyperlink" Target="https://news.err.ee/1608589426/estonia-s-military-aid-to-ukraine-totals-230-million" TargetMode="External"/><Relationship Id="rId2162" Type="http://schemas.openxmlformats.org/officeDocument/2006/relationships/hyperlink" Target="https://appropriations.house.gov/sites/democrats.appropriations.house.gov/files/Additional%20Ukraine%20Suplemental%20Appropriations%20Act%20Summary.pdf" TargetMode="External"/><Relationship Id="rId3006" Type="http://schemas.openxmlformats.org/officeDocument/2006/relationships/hyperlink" Target="https://www.portugal.gov.pt/en/gc23/communication/news-item?i=portugal-will-provide-ukraine-with-combat-vehicles" TargetMode="External"/><Relationship Id="rId3560" Type="http://schemas.openxmlformats.org/officeDocument/2006/relationships/hyperlink" Target="https://www.bundesregierung.de/resource/blob/975226/2155792/c3dbab706421f63d3d612091e7ecad4c/2022-12-27-unterstuetzung-ukraine-breg-data.pdf?download=1%20Guten" TargetMode="External"/><Relationship Id="rId4404" Type="http://schemas.openxmlformats.org/officeDocument/2006/relationships/hyperlink" Target="https://www.bmz.de/de/aktuelles/aktuelle-meldungen/ukraine-erhaelt-weitere-unterstuetzung-beim-wiederaufbau-152732" TargetMode="External"/><Relationship Id="rId4611" Type="http://schemas.openxmlformats.org/officeDocument/2006/relationships/hyperlink" Target="https://web.archive.org/web/20230524183203/https:/www.defesa.gov.pt/pt/comunicacao/documentos/Lists/PDEFINTER_DocumentoLookupList/apoio_militar_Portugal_Ucrania_20230503.pdf" TargetMode="External"/><Relationship Id="rId134" Type="http://schemas.openxmlformats.org/officeDocument/2006/relationships/hyperlink" Target="https://www.lejdd.fr/International/sebastien-lecornu-ministre-des-armees-nous-navons-pas-a-rougir-de-notre-aide-a-lukraine-4148779" TargetMode="External"/><Relationship Id="rId3213" Type="http://schemas.openxmlformats.org/officeDocument/2006/relationships/hyperlink" Target="https://ukdefencejournal.org.uk/britain-to-donate-more-air-defence-missiles-to-ukraine/" TargetMode="External"/><Relationship Id="rId3420" Type="http://schemas.openxmlformats.org/officeDocument/2006/relationships/hyperlink" Target="https://www.bundesregierung.de/breg-en/news/military-support-ukraine-2054992" TargetMode="External"/><Relationship Id="rId341" Type="http://schemas.openxmlformats.org/officeDocument/2006/relationships/hyperlink" Target="https://www.exteriores.gob.es/Embajadas/washington/en/Comunicacion/Noticias/Paginas/Articulos/20220317_NEWS01.aspx" TargetMode="External"/><Relationship Id="rId2022" Type="http://schemas.openxmlformats.org/officeDocument/2006/relationships/hyperlink" Target="https://crsreports.congress.gov/product/pdf/IF/IF12040" TargetMode="External"/><Relationship Id="rId2979" Type="http://schemas.openxmlformats.org/officeDocument/2006/relationships/hyperlink" Target="https://kyivindependent.com/news-feed/italy-to-send-ukraine-two-other-air-defense-systems-in-addition-to-mamba" TargetMode="External"/><Relationship Id="rId201" Type="http://schemas.openxmlformats.org/officeDocument/2006/relationships/hyperlink" Target="https://twitter.com/Lithuanian_MoD/status/1567446474312540160?ref_src=twsrc%5Etfw%7Ctwcamp%5Etweetembed%7Ctwterm%5E1567446474312540160%7Ctwgr%5E4672a6b5ec4c4f6cf0f7166371f51fb78182c17f%7Ctwcon%5Es1_&amp;ref_url=https%3A%2F%2Fwww.eurointegration.com.ua%2Fnews%2F2022%2F09%2F7%2F7146332%2F" TargetMode="External"/><Relationship Id="rId1788" Type="http://schemas.openxmlformats.org/officeDocument/2006/relationships/hyperlink" Target="https://crsreports.congress.gov/product/pdf/IF/IF12040" TargetMode="External"/><Relationship Id="rId1995" Type="http://schemas.openxmlformats.org/officeDocument/2006/relationships/hyperlink" Target="https://crsreports.congress.gov/product/pdf/IF/IF12040" TargetMode="External"/><Relationship Id="rId2839" Type="http://schemas.openxmlformats.org/officeDocument/2006/relationships/hyperlink" Target="https://www.defense.gov/News/Releases/Release/Article/3302787/biden-administration-announces-additional-security-assistance-for-ukraine/" TargetMode="External"/><Relationship Id="rId4194" Type="http://schemas.openxmlformats.org/officeDocument/2006/relationships/hyperlink" Target="https://www.thedefensepost.com/2023/01/24/italy-air-defense-system-ukraine/" TargetMode="External"/><Relationship Id="rId1648" Type="http://schemas.openxmlformats.org/officeDocument/2006/relationships/hyperlink" Target="https://appropriations.house.gov/sites/democrats.appropriations.house.gov/files/Additional%20Ukraine%20Suplemental%20Appropriations%20Act%20Summary.pdf" TargetMode="External"/><Relationship Id="rId4054" Type="http://schemas.openxmlformats.org/officeDocument/2006/relationships/hyperlink" Target="https://www.defensie.nl/onderwerpen/oostflank-navo-gebied/militaire-steun-aan-oekraine" TargetMode="External"/><Relationship Id="rId4261" Type="http://schemas.openxmlformats.org/officeDocument/2006/relationships/hyperlink" Target="https://eu-solidarity-ukraine.ec.europa.eu/eu-assistance-ukraine_en" TargetMode="External"/><Relationship Id="rId1508" Type="http://schemas.openxmlformats.org/officeDocument/2006/relationships/hyperlink" Target="https://appropriations.house.gov/sites/democrats.appropriations.house.gov/files/Additional%20Ukraine%20Suplemental%20Appropriations%20Act%20Summary.pdf" TargetMode="External"/><Relationship Id="rId185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06" Type="http://schemas.openxmlformats.org/officeDocument/2006/relationships/hyperlink" Target="https://english.nv.ua/nation/czech-republic-prepares-new-military-aid-package-for-ukraine-50278050.html" TargetMode="External"/><Relationship Id="rId3070" Type="http://schemas.openxmlformats.org/officeDocument/2006/relationships/hyperlink" Target="https://www.defensie.nl/onderwerpen/oostflank-navo-gebied/nieuws/2023/02/07/nederland-koopt-leopard-1-tanks-voor-oekraine" TargetMode="External"/><Relationship Id="rId4121" Type="http://schemas.openxmlformats.org/officeDocument/2006/relationships/hyperlink" Target="https://babel.ua/en/news/90987-estonia-handed-over-another-military-aid-to-ukraine" TargetMode="External"/><Relationship Id="rId1715" Type="http://schemas.openxmlformats.org/officeDocument/2006/relationships/hyperlink" Target="https://crsreports.congress.gov/product/pdf/IF/IF12040" TargetMode="External"/><Relationship Id="rId1922" Type="http://schemas.openxmlformats.org/officeDocument/2006/relationships/hyperlink" Target="https://appropriations.house.gov/sites/democrats.appropriations.house.gov/files/Ukraine%20Supplemental%20Summary%20FY23.pdf" TargetMode="External"/><Relationship Id="rId3887" Type="http://schemas.openxmlformats.org/officeDocument/2006/relationships/hyperlink" Target="https://www.defense.gov/News/Releases/Release/Article/3411804/biden-administration-announces-additional-security-assistance-for-ukraine/" TargetMode="External"/><Relationship Id="rId2489" Type="http://schemas.openxmlformats.org/officeDocument/2006/relationships/hyperlink" Target="https://mil.in.ua/en/news/belgium-made-a-decision-to-hand-over-artillery-to-ukraine-the-media/" TargetMode="External"/><Relationship Id="rId2696" Type="http://schemas.openxmlformats.org/officeDocument/2006/relationships/hyperlink" Target="https://kyivindependent.com/news-feed/finland-to-send-new-military-aid-package-to-ukraine" TargetMode="External"/><Relationship Id="rId3747" Type="http://schemas.openxmlformats.org/officeDocument/2006/relationships/hyperlink" Target="https://www.energy-community.org/Ukraine/Fund.html" TargetMode="External"/><Relationship Id="rId3954" Type="http://schemas.openxmlformats.org/officeDocument/2006/relationships/hyperlink" Target="https://www.state.gov/u-s-security-cooperation-with-ukraine/" TargetMode="External"/><Relationship Id="rId668" Type="http://schemas.openxmlformats.org/officeDocument/2006/relationships/hyperlink" Target="https://pm.gc.ca/en/news/backgrounders/2022/06/28/additional-canadian-support-ukraine-announced-2022-g7-summit" TargetMode="External"/><Relationship Id="rId875" Type="http://schemas.openxmlformats.org/officeDocument/2006/relationships/hyperlink" Target="https://www.defensenews.com/global/europe/2022/08/23/germany-slovakia-sign-tank-swap-deal-to-arm-ukraine/" TargetMode="External"/><Relationship Id="rId1298" Type="http://schemas.openxmlformats.org/officeDocument/2006/relationships/hyperlink" Target="https://www.theguardian.com/australia-news/2022/oct/25/defence-spending-october-budget-2022-ukraine-veterans-pacific-aid-increase-albanese-labor-australia-federal-government" TargetMode="External"/><Relationship Id="rId2349" Type="http://schemas.openxmlformats.org/officeDocument/2006/relationships/hyperlink" Target="https://valtioneuvosto.fi/en/-/10616/finland-sends-additional-aid-to-ukraine" TargetMode="External"/><Relationship Id="rId2556" Type="http://schemas.openxmlformats.org/officeDocument/2006/relationships/hyperlink" Target="https://www.premier.be/sites/default/files/articles/BE%20support%20militaire.pdf" TargetMode="External"/><Relationship Id="rId2763" Type="http://schemas.openxmlformats.org/officeDocument/2006/relationships/hyperlink" Target="https://crsreports.congress.gov/product/pdf/IF/IF12040" TargetMode="External"/><Relationship Id="rId2970" Type="http://schemas.openxmlformats.org/officeDocument/2006/relationships/hyperlink" Target="https://www.bundesregierung.de/breg-en/news/military-support-ukraine-2054992" TargetMode="External"/><Relationship Id="rId3607" Type="http://schemas.openxmlformats.org/officeDocument/2006/relationships/hyperlink" Target="https://www.taipeitimes.com/News/taiwan/archives/2023/01/04/2003791966" TargetMode="External"/><Relationship Id="rId3814" Type="http://schemas.openxmlformats.org/officeDocument/2006/relationships/hyperlink" Target="https://www.state.gov/u-s-security-cooperation-with-ukraine/" TargetMode="External"/><Relationship Id="rId528" Type="http://schemas.openxmlformats.org/officeDocument/2006/relationships/hyperlink" Target="https://www.esteri.it/en/politica-estera-e-cooperazione-allo-sviluppo/aree_geografiche/europa/litalia-a-sostegno-dellucraina/" TargetMode="External"/><Relationship Id="rId735" Type="http://schemas.openxmlformats.org/officeDocument/2006/relationships/hyperlink" Target="https://www.state.gov/biden-harris-administration-announces-550-million-in-new-u-s-military-assistance-for-ukraine/" TargetMode="External"/><Relationship Id="rId942" Type="http://schemas.openxmlformats.org/officeDocument/2006/relationships/hyperlink" Target="https://www.thedrive.com/the-war-zone/ukraine-to-get-90-t-72b-tanks-from-czech-republic" TargetMode="External"/><Relationship Id="rId1158" Type="http://schemas.openxmlformats.org/officeDocument/2006/relationships/hyperlink" Target="https://english.nv.ua/nation/estonia-approves-new-military-aid-package-for-ukraine-news-50292956.html" TargetMode="External"/><Relationship Id="rId1365" Type="http://schemas.openxmlformats.org/officeDocument/2006/relationships/hyperlink" Target="https://crsreports.congress.gov/product/pdf/IF/IF12040" TargetMode="External"/><Relationship Id="rId1572" Type="http://schemas.openxmlformats.org/officeDocument/2006/relationships/hyperlink" Target="https://appropriations.house.gov/sites/democrats.appropriations.house.gov/files/Additional%20Ukraine%20Suplemental%20Appropriations%20Act%20Summary.pdf" TargetMode="External"/><Relationship Id="rId2209" Type="http://schemas.openxmlformats.org/officeDocument/2006/relationships/hyperlink" Target="https://appropriations.house.gov/sites/democrats.appropriations.house.gov/files/Ukraine%20Supplemental%20Summary.pdf" TargetMode="External"/><Relationship Id="rId2416" Type="http://schemas.openxmlformats.org/officeDocument/2006/relationships/hyperlink" Target="https://twitter.com/robinwagener/status/1592252165053386753" TargetMode="External"/><Relationship Id="rId2623" Type="http://schemas.openxmlformats.org/officeDocument/2006/relationships/hyperlink" Target="https://twitter.com/a_anusauskas/status/1616083097296211969?cxt=HHwWgsDU3ffAve0sAAAA" TargetMode="External"/><Relationship Id="rId1018" Type="http://schemas.openxmlformats.org/officeDocument/2006/relationships/hyperlink" Target="https://media.defense.gov/2022/Nov/04/2003108893/-1/-1/0/USAI-7-CZE-TANKS-US-NLD-CZE-PRESS-STATEMENT.PDF" TargetMode="External"/><Relationship Id="rId1225" Type="http://schemas.openxmlformats.org/officeDocument/2006/relationships/hyperlink" Target="https://polskieradio24.pl/5/1222/Artykul/2968446,Polskie-armatohaubice-KRAB-trafily-do-ukrainskiej-armii?utm_source=polskieradio.pl&amp;utm_medium=mozaika&amp;utm_campaign=mozaika" TargetMode="External"/><Relationship Id="rId1432" Type="http://schemas.openxmlformats.org/officeDocument/2006/relationships/hyperlink" Target="https://appropriations.house.gov/sites/democrats.appropriations.house.gov/files/Ukraine%20Supplemental%20Summary.pdf" TargetMode="External"/><Relationship Id="rId2830" Type="http://schemas.openxmlformats.org/officeDocument/2006/relationships/hyperlink" Target="https://crsreports.congress.gov/product/pdf/IF/IF12040" TargetMode="External"/><Relationship Id="rId4588" Type="http://schemas.openxmlformats.org/officeDocument/2006/relationships/hyperlink" Target="https://en.kriseinformation.dk/war/denmarks-response/donations" TargetMode="External"/><Relationship Id="rId71" Type="http://schemas.openxmlformats.org/officeDocument/2006/relationships/hyperlink" Target="https://www.rferl.org/a/czech-republic-poland-new-military-aid-ukraine/31873938.html" TargetMode="External"/><Relationship Id="rId802" Type="http://schemas.openxmlformats.org/officeDocument/2006/relationships/hyperlink" Target="https://www.defense.gov/News/Releases/Release/Article/3152071/675-million-in-additional-security-assistance-for-ukraine/" TargetMode="External"/><Relationship Id="rId3397" Type="http://schemas.openxmlformats.org/officeDocument/2006/relationships/hyperlink" Target="https://www.bundesregierung.de/resource/blob/975226/2155792/c3dbab706421f63d3d612091e7ecad4c/2022-12-27-unterstuetzung-ukraine-breg-data.pdf?download=1%20Guten" TargetMode="External"/><Relationship Id="rId4795" Type="http://schemas.openxmlformats.org/officeDocument/2006/relationships/hyperlink" Target="https://www.bundesregierung.de/breg-en/news/military-support-ukraine-2054992" TargetMode="External"/><Relationship Id="rId4448" Type="http://schemas.openxmlformats.org/officeDocument/2006/relationships/hyperlink" Target="https://www.bundesregierung.de/resource/blob/975226/2189778/cdb664abe95e6fa74802882bd66ef771/2023-05-14-liste-ukr-unterstuetzung-data.pdf?download=1" TargetMode="External"/><Relationship Id="rId4655" Type="http://schemas.openxmlformats.org/officeDocument/2006/relationships/hyperlink" Target="https://japan.kantei.go.jp/ongoingtopics/pdf/jp_stands_with_ukraine_eng.pdf" TargetMode="External"/><Relationship Id="rId178" Type="http://schemas.openxmlformats.org/officeDocument/2006/relationships/hyperlink" Target="https://tass.com/world/1439267?utm_source=google.com&amp;utm_medium=organic&amp;utm_campaign=google.com&amp;utm_referrer=google.com" TargetMode="External"/><Relationship Id="rId3257" Type="http://schemas.openxmlformats.org/officeDocument/2006/relationships/hyperlink" Target="https://abouthungary.hu/news-in-brief/state-secretary-hungary-has-helped-hundreds-of-thousands-of-refugees" TargetMode="External"/><Relationship Id="rId3464" Type="http://schemas.openxmlformats.org/officeDocument/2006/relationships/hyperlink" Target="https://www.bundesregierung.de/breg-en/news/military-support-ukraine-2054992" TargetMode="External"/><Relationship Id="rId3671" Type="http://schemas.openxmlformats.org/officeDocument/2006/relationships/hyperlink" Target="https://www.eurointegration.com.ua/eng/news/2023/02/13/7156045/" TargetMode="External"/><Relationship Id="rId4308" Type="http://schemas.openxmlformats.org/officeDocument/2006/relationships/hyperlink" Target="https://www.bundesregierung.de/breg-en/news/military-support-ukraine-2054992" TargetMode="External"/><Relationship Id="rId4515" Type="http://schemas.openxmlformats.org/officeDocument/2006/relationships/hyperlink" Target="https://www.pravda.com.ua/eng/news/2023/04/2/7396122/" TargetMode="External"/><Relationship Id="rId4722" Type="http://schemas.openxmlformats.org/officeDocument/2006/relationships/hyperlink" Target="https://www.bundesregierung.de/breg-en/news/military-support-ukraine-2054992" TargetMode="External"/><Relationship Id="rId385" Type="http://schemas.openxmlformats.org/officeDocument/2006/relationships/hyperlink" Target="https://www.worldbank.org/en/news/press-release/2022/03/07/world-bank-mobilizes-an-emergency-financing-package-of-over-700-million-for-ukraine" TargetMode="External"/><Relationship Id="rId592" Type="http://schemas.openxmlformats.org/officeDocument/2006/relationships/hyperlink" Target="https://twitter.com/defesa_pt/status/1513633729666818052" TargetMode="External"/><Relationship Id="rId2066" Type="http://schemas.openxmlformats.org/officeDocument/2006/relationships/hyperlink" Target="https://appropriations.house.gov/sites/democrats.appropriations.house.gov/files/Ukraine%20Supplemental%20Summary%20FY23.pdf" TargetMode="External"/><Relationship Id="rId2273" Type="http://schemas.openxmlformats.org/officeDocument/2006/relationships/hyperlink" Target="https://crsreports.congress.gov/product/pdf/IF/IF12040" TargetMode="External"/><Relationship Id="rId2480" Type="http://schemas.openxmlformats.org/officeDocument/2006/relationships/hyperlink" Target="https://en.interfax.com.ua/news/general/859303.html" TargetMode="External"/><Relationship Id="rId3117" Type="http://schemas.openxmlformats.org/officeDocument/2006/relationships/hyperlink" Target="https://www.swissinfo.ch/eng/politics/swiss-to-send-chf100-million-in-aid-to-help-ukraine-get-through-winter/48025666" TargetMode="External"/><Relationship Id="rId3324" Type="http://schemas.openxmlformats.org/officeDocument/2006/relationships/hyperlink" Target="https://www.reuters.com/world/europe/france-send-12-additional-caesar-howitzers-ukraine-2023-01-31/" TargetMode="External"/><Relationship Id="rId3531" Type="http://schemas.openxmlformats.org/officeDocument/2006/relationships/hyperlink" Target="https://www.bundesregierung.de/breg-en/news/military-support-ukraine-2054992" TargetMode="External"/><Relationship Id="rId245" Type="http://schemas.openxmlformats.org/officeDocument/2006/relationships/hyperlink" Target="https://ua.interfax.com.ua/news/general/804360.html" TargetMode="External"/><Relationship Id="rId452" Type="http://schemas.openxmlformats.org/officeDocument/2006/relationships/hyperlink" Target="https://www.beehive.govt.nz/release/nz-provide-non-lethal-military-assistance-ukraine" TargetMode="External"/><Relationship Id="rId1082" Type="http://schemas.openxmlformats.org/officeDocument/2006/relationships/hyperlink" Target="https://www.lejdd.fr/International/sebastien-lecornu-ministre-des-armees-nous-navons-pas-a-rougir-de-notre-aide-a-lukraine-4148779" TargetMode="External"/><Relationship Id="rId2133" Type="http://schemas.openxmlformats.org/officeDocument/2006/relationships/hyperlink" Target="https://crsreports.congress.gov/product/pdf/IF/IF12040" TargetMode="External"/><Relationship Id="rId2340" Type="http://schemas.openxmlformats.org/officeDocument/2006/relationships/hyperlink" Target="https://english.radio.cz/czech-republic-send-more-arms-ukraine-8745032" TargetMode="External"/><Relationship Id="rId105" Type="http://schemas.openxmlformats.org/officeDocument/2006/relationships/hyperlink" Target="https://www-regjeringen-no.translate.goog/no/aktuelt/norge-har-donert-artilleriskyts-til-ukraina/id2917760/?_x_tr_sl=auto&amp;_x_tr_tl=auto&amp;_x_tr_hl=de" TargetMode="External"/><Relationship Id="rId312" Type="http://schemas.openxmlformats.org/officeDocument/2006/relationships/hyperlink" Target="https://www.euronews.com/next/2022/03/21/ukraine-crisis-poland-cenbank" TargetMode="External"/><Relationship Id="rId2200" Type="http://schemas.openxmlformats.org/officeDocument/2006/relationships/hyperlink" Target="https://appropriations.house.gov/sites/democrats.appropriations.house.gov/files/Ukraine%20Supplemental%20Summary.pdf" TargetMode="External"/><Relationship Id="rId4098" Type="http://schemas.openxmlformats.org/officeDocument/2006/relationships/hyperlink" Target="https://kaitseministeerium.ee/en/news/joint-statement-ministry-defence-republic-estonia-ministry-defence-kingdom-norway-and-ministry" TargetMode="External"/><Relationship Id="rId1899" Type="http://schemas.openxmlformats.org/officeDocument/2006/relationships/hyperlink" Target="https://appropriations.house.gov/sites/democrats.appropriations.house.gov/files/Ukraine%20Supplemental%20Summary%20FY23.pdf" TargetMode="External"/><Relationship Id="rId4165" Type="http://schemas.openxmlformats.org/officeDocument/2006/relationships/hyperlink" Target="https://news.err.ee/1608731662/economic-minister-estonia-can-set-an-example-for-rebuilding-ukraine" TargetMode="External"/><Relationship Id="rId4372" Type="http://schemas.openxmlformats.org/officeDocument/2006/relationships/hyperlink" Target="https://www.bundesregierung.de/resource/blob/975226/2189778/cdb664abe95e6fa74802882bd66ef771/2023-05-14-liste-ukr-unterstuetzung-data.pdf?download=1" TargetMode="External"/><Relationship Id="rId1759" Type="http://schemas.openxmlformats.org/officeDocument/2006/relationships/hyperlink" Target="https://crsreports.congress.gov/product/pdf/IF/IF12040" TargetMode="External"/><Relationship Id="rId1966" Type="http://schemas.openxmlformats.org/officeDocument/2006/relationships/hyperlink" Target="https://crsreports.congress.gov/product/pdf/IF/IF12040" TargetMode="External"/><Relationship Id="rId3181" Type="http://schemas.openxmlformats.org/officeDocument/2006/relationships/hyperlink" Target="https://www.consilium.europa.eu/en/policies/civil-protection/" TargetMode="External"/><Relationship Id="rId4025" Type="http://schemas.openxmlformats.org/officeDocument/2006/relationships/hyperlink" Target="http://web.archive.org/web/20230413215328/https:/www.defensie.nl/onderwerpen/oostflank-navo-gebied/militaire-steun-aan-oekraine" TargetMode="External"/><Relationship Id="rId1619" Type="http://schemas.openxmlformats.org/officeDocument/2006/relationships/hyperlink" Target="https://appropriations.house.gov/sites/democrats.appropriations.house.gov/files/Additional%20Ukraine%20Suplemental%20Appropriations%20Act%20Summary.pdf" TargetMode="External"/><Relationship Id="rId1826" Type="http://schemas.openxmlformats.org/officeDocument/2006/relationships/hyperlink" Target="https://appropriations.house.gov/sites/democrats.appropriations.house.gov/files/Summary%20Continuing%20Appropriations%20and%20Ukraine%20Supplemental%20Appropriations%20Act%202023.pdf" TargetMode="External"/><Relationship Id="rId4232" Type="http://schemas.openxmlformats.org/officeDocument/2006/relationships/hyperlink" Target="https://web.archive.org/web/20230127053143/https:/www.government.is/topics/foreign-affairs/war-in-ukraine/" TargetMode="External"/><Relationship Id="rId3041" Type="http://schemas.openxmlformats.org/officeDocument/2006/relationships/hyperlink" Target="https://www.reuters.com/world/europe/poland-send-60-modernised-tanks-ukraine-addition-leopards-2023-01-27/" TargetMode="External"/><Relationship Id="rId3998" Type="http://schemas.openxmlformats.org/officeDocument/2006/relationships/hyperlink" Target="https://www.canada.ca/en/department-national-defence/campaigns/canadian-military-support-to-ukraine.html" TargetMode="External"/><Relationship Id="rId3858" Type="http://schemas.openxmlformats.org/officeDocument/2006/relationships/hyperlink" Target="https://www.defense.gov/News/Releases/Release/Article/3367924/biden-administration-announces-additional-security-assistance-for-ukraine/" TargetMode="External"/><Relationship Id="rId779" Type="http://schemas.openxmlformats.org/officeDocument/2006/relationships/hyperlink" Target="https://www.defense.gov/News/Releases/Release/Article/3134457/775-million-in-additional-security-assistance-for-ukraine/" TargetMode="External"/><Relationship Id="rId986" Type="http://schemas.openxmlformats.org/officeDocument/2006/relationships/hyperlink" Target="https://www.aa.com.tr/en/europe/spain-announces-increase-in-military-aid-to-ukraine/2668809" TargetMode="External"/><Relationship Id="rId2667" Type="http://schemas.openxmlformats.org/officeDocument/2006/relationships/hyperlink" Target="https://www.gov.uk/government/speeches/defence-secretary-oral-statement-on-war-in-ukraine--2" TargetMode="External"/><Relationship Id="rId3718" Type="http://schemas.openxmlformats.org/officeDocument/2006/relationships/hyperlink" Target="https://www.regjeringen.no/en/aktuelt/broad-political-agreement-on-multi-year-support-programme-for-ukraine/id2963374/" TargetMode="External"/><Relationship Id="rId639" Type="http://schemas.openxmlformats.org/officeDocument/2006/relationships/hyperlink" Target="https://www.globalcitizen.org/en/content/australia-ukraine-aid-follow-up/" TargetMode="External"/><Relationship Id="rId1269" Type="http://schemas.openxmlformats.org/officeDocument/2006/relationships/hyperlink" Target="https://bbj.hu/politics/foreign-affairs/ukraine-crisis/ukraine-crisis-hungary-to-send-additional-medical-supplies-to-ukraine" TargetMode="External"/><Relationship Id="rId1476" Type="http://schemas.openxmlformats.org/officeDocument/2006/relationships/hyperlink" Target="https://appropriations.house.gov/sites/democrats.appropriations.house.gov/files/Ukraine%20Supplemental%20Summary.pdf" TargetMode="External"/><Relationship Id="rId2874" Type="http://schemas.openxmlformats.org/officeDocument/2006/relationships/hyperlink" Target="https://www.vlada.cz/en/media-centrum/tiskove-zpravy/czechia-sends-hundreds-of-heavy-military-systems-worth-tens-of-billions-to-ukraine-during-the-first-year-of-russian-invasion-203252/" TargetMode="External"/><Relationship Id="rId3925" Type="http://schemas.openxmlformats.org/officeDocument/2006/relationships/hyperlink" Target="https://www.defense.gov/News/Releases/Release/Article/3350958/biden-administration-announces-additional-security-assistance-for-ukraine/" TargetMode="External"/><Relationship Id="rId846" Type="http://schemas.openxmlformats.org/officeDocument/2006/relationships/hyperlink" Target="https://www.dfat.gov.au/crisis-hub/invasion-ukraine-russia" TargetMode="External"/><Relationship Id="rId1129" Type="http://schemas.openxmlformats.org/officeDocument/2006/relationships/hyperlink" Target="https://delano.lu/article/luxembourg-gives-50m-in-milita" TargetMode="External"/><Relationship Id="rId1683" Type="http://schemas.openxmlformats.org/officeDocument/2006/relationships/hyperlink" Target="https://crsreports.congress.gov/product/pdf/IF/IF12040" TargetMode="External"/><Relationship Id="rId1890" Type="http://schemas.openxmlformats.org/officeDocument/2006/relationships/hyperlink" Target="https://appropriations.house.gov/sites/democrats.appropriations.house.gov/files/Ukraine%20Supplemental%20Summary%20FY23.pdf" TargetMode="External"/><Relationship Id="rId2527" Type="http://schemas.openxmlformats.org/officeDocument/2006/relationships/hyperlink" Target="https://www.premier.be/sites/default/files/articles/BE%20support%20militaire.pdf" TargetMode="External"/><Relationship Id="rId2734" Type="http://schemas.openxmlformats.org/officeDocument/2006/relationships/hyperlink" Target="https://www.regjeringen.no/en/topics/foreign-affairs/humanitarian-efforts/neighbour_support/id2908141/?expand=factbox2963912" TargetMode="External"/><Relationship Id="rId2941" Type="http://schemas.openxmlformats.org/officeDocument/2006/relationships/hyperlink" Target="https://english.nv.ua/nation/estonia-donates-all-of-its-155mm-howitzers-and-other-weapons-to-ukraine-50299305.html" TargetMode="External"/><Relationship Id="rId706" Type="http://schemas.openxmlformats.org/officeDocument/2006/relationships/hyperlink" Target="https://en.defence-ua.com/weapon_and_tech/ukrainian_defense_forces_will_get_several_alvis_apc_from_estonia-2973.html" TargetMode="External"/><Relationship Id="rId913" Type="http://schemas.openxmlformats.org/officeDocument/2006/relationships/hyperlink" Target="https://um.dk/en/foreign-policy/danish-support-for-ukraine" TargetMode="External"/><Relationship Id="rId1336" Type="http://schemas.openxmlformats.org/officeDocument/2006/relationships/hyperlink" Target="http://web.archive.org/web/20221018175112/https:/www.government.se/press-releases/2022/06/additional-amending-budget-with-further-support-to-ukraine/" TargetMode="External"/><Relationship Id="rId1543" Type="http://schemas.openxmlformats.org/officeDocument/2006/relationships/hyperlink" Target="https://appropriations.house.gov/sites/democrats.appropriations.house.gov/files/Additional%20Ukraine%20Suplemental%20Appropriations%20Act%20Summary.pdf" TargetMode="External"/><Relationship Id="rId1750" Type="http://schemas.openxmlformats.org/officeDocument/2006/relationships/hyperlink" Target="https://crsreports.congress.gov/product/pdf/IF/IF12040" TargetMode="External"/><Relationship Id="rId2801" Type="http://schemas.openxmlformats.org/officeDocument/2006/relationships/hyperlink" Target="https://crsreports.congress.gov/product/pdf/IF/IF12040" TargetMode="External"/><Relationship Id="rId4699" Type="http://schemas.openxmlformats.org/officeDocument/2006/relationships/hyperlink" Target="https://www.bundesregierung.de/breg-en/news/military-support-ukraine-2054992" TargetMode="External"/><Relationship Id="rId42" Type="http://schemas.openxmlformats.org/officeDocument/2006/relationships/hyperlink" Target="https://english.almayadeen.net/news/politics/canada-sends-lethal-weapons-to-ukraine" TargetMode="External"/><Relationship Id="rId1403" Type="http://schemas.openxmlformats.org/officeDocument/2006/relationships/hyperlink" Target="https://appropriations.house.gov/sites/democrats.appropriations.house.gov/files/Ukraine%20Supplemental%20Summary.pdf" TargetMode="External"/><Relationship Id="rId1610" Type="http://schemas.openxmlformats.org/officeDocument/2006/relationships/hyperlink" Target="https://appropriations.house.gov/sites/democrats.appropriations.house.gov/files/Additional%20Ukraine%20Suplemental%20Appropriations%20Act%20Summary.pdf" TargetMode="External"/><Relationship Id="rId4559" Type="http://schemas.openxmlformats.org/officeDocument/2006/relationships/hyperlink" Target="https://www.czdefence.com/article/slovakia-to-provide-ukraine-with-additional-military-material-worth-almost-eur45-million" TargetMode="External"/><Relationship Id="rId4766" Type="http://schemas.openxmlformats.org/officeDocument/2006/relationships/hyperlink" Target="https://www.bundesregierung.de/breg-en/news/military-support-ukraine-2054992" TargetMode="External"/><Relationship Id="rId3368" Type="http://schemas.openxmlformats.org/officeDocument/2006/relationships/hyperlink" Target="https://www.bmwk.de/Redaktion/DE/Downloads/U/unterstuetzung-ukraine.pdf?__blob=publicationFile&amp;v=10" TargetMode="External"/><Relationship Id="rId3575" Type="http://schemas.openxmlformats.org/officeDocument/2006/relationships/hyperlink" Target="https://www.vlada.gov.sk/vlada-slovensko-posle-na-ukrajinu-stihacky-mig-29-a-cast-systemu-kub/?csrt=18338730485644198304" TargetMode="External"/><Relationship Id="rId3782" Type="http://schemas.openxmlformats.org/officeDocument/2006/relationships/hyperlink" Target="https://www.defense.gov/News/Releases/Release/Article/3334472/dod-announces-additional-security-assistance-for-ukraine/" TargetMode="External"/><Relationship Id="rId4419" Type="http://schemas.openxmlformats.org/officeDocument/2006/relationships/hyperlink" Target="https://www.bundesregierung.de/resource/blob/975226/2189778/cdb664abe95e6fa74802882bd66ef771/2023-05-14-liste-ukr-unterstuetzung-data.pdf?download=1" TargetMode="External"/><Relationship Id="rId4626" Type="http://schemas.openxmlformats.org/officeDocument/2006/relationships/hyperlink" Target="https://web.archive.org/web/20230524183203/https:/www.defesa.gov.pt/pt/comunicacao/documentos/Lists/PDEFINTER_DocumentoLookupList/apoio_militar_Portugal_Ucrania_20230503.pdf" TargetMode="External"/><Relationship Id="rId4833" Type="http://schemas.openxmlformats.org/officeDocument/2006/relationships/hyperlink" Target="https://www.defense.gov/News/Releases/Release/Article/3160503/600-million-in-additional-security-assistance-for-ukraine/" TargetMode="External"/><Relationship Id="rId289" Type="http://schemas.openxmlformats.org/officeDocument/2006/relationships/hyperlink" Target="https://english.radio.cz/czech-republic-sending-more-arms-ukraine-8743811" TargetMode="External"/><Relationship Id="rId496" Type="http://schemas.openxmlformats.org/officeDocument/2006/relationships/hyperlink" Target="https://globalnews.ca/news/8788360/ukraine-war-canada-armoured-vehicles/" TargetMode="External"/><Relationship Id="rId2177" Type="http://schemas.openxmlformats.org/officeDocument/2006/relationships/hyperlink" Target="https://appropriations.house.gov/sites/democrats.appropriations.house.gov/files/Additional%20Ukraine%20Suplemental%20Appropriations%20Act%20Summary.pdf" TargetMode="External"/><Relationship Id="rId2384" Type="http://schemas.openxmlformats.org/officeDocument/2006/relationships/hyperlink" Target="https://www.euronews.com/2022/09/29/cargo-ship-with-1000-tonnes-of-ukraine-aid-sets-sail-from-marseille" TargetMode="External"/><Relationship Id="rId2591"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3228" Type="http://schemas.openxmlformats.org/officeDocument/2006/relationships/hyperlink" Target="https://viraltab.news/uk-gives-ukraine-batch-of-nine-firefighter-vehicles-and-equipment/" TargetMode="External"/><Relationship Id="rId3435" Type="http://schemas.openxmlformats.org/officeDocument/2006/relationships/hyperlink" Target="https://www.bundesregierung.de/breg-en/news/military-support-ukraine-2054992" TargetMode="External"/><Relationship Id="rId3642" Type="http://schemas.openxmlformats.org/officeDocument/2006/relationships/hyperlink" Target="https://babel.ua/en/news/93939-south-korea-allocates-130-million-in-financial-aid-to-ukraine" TargetMode="External"/><Relationship Id="rId149" Type="http://schemas.openxmlformats.org/officeDocument/2006/relationships/hyperlink" Target="https://www.defensa.gob.es/gabinete/notasPrensa/2022/10/DGC-221006-envio-ucrania.html" TargetMode="External"/><Relationship Id="rId356" Type="http://schemas.openxmlformats.org/officeDocument/2006/relationships/hyperlink" Target="https://ua.interfax.com.ua/news/general/825450.html" TargetMode="External"/><Relationship Id="rId563" Type="http://schemas.openxmlformats.org/officeDocument/2006/relationships/hyperlink" Target="https://euneighbourseast.eu/news-and-stories/latest-news/council-adopts-e500-million-eu-support-to-ukraine-under-european-peace-facility/" TargetMode="External"/><Relationship Id="rId770" Type="http://schemas.openxmlformats.org/officeDocument/2006/relationships/hyperlink" Target="https://www.bbc.com/news/uk-61990479" TargetMode="External"/><Relationship Id="rId1193" Type="http://schemas.openxmlformats.org/officeDocument/2006/relationships/hyperlink" Target="https://www.regjeringen.no/en/topics/foreign-affairs/humanitarian-efforts/neighbour_support/id2908141/?expand=factbox2947779" TargetMode="External"/><Relationship Id="rId2037" Type="http://schemas.openxmlformats.org/officeDocument/2006/relationships/hyperlink" Target="https://crsreports.congress.gov/product/pdf/IF/IF12040" TargetMode="External"/><Relationship Id="rId2244" Type="http://schemas.openxmlformats.org/officeDocument/2006/relationships/hyperlink" Target="https://appropriations.house.gov/sites/democrats.appropriations.house.gov/files/Ukraine%20Supplemental%20Summary.pdf" TargetMode="External"/><Relationship Id="rId2451" Type="http://schemas.openxmlformats.org/officeDocument/2006/relationships/hyperlink" Target="https://www.vienna.at/ukraine-krieg-bislang-124-mio-euro-unterstuetzung-von-oesterreich/7885546" TargetMode="External"/><Relationship Id="rId216" Type="http://schemas.openxmlformats.org/officeDocument/2006/relationships/hyperlink" Target="https://ua.ambafrance.org/Dostavka-1000-t-francuz-koyi-gumaniitarnoyi-dopomogi-ukrayins-kim-adresatam-v" TargetMode="External"/><Relationship Id="rId423" Type="http://schemas.openxmlformats.org/officeDocument/2006/relationships/hyperlink" Target="https://vm.ee/en/humanitarian-aid-ukraine" TargetMode="External"/><Relationship Id="rId1053" Type="http://schemas.openxmlformats.org/officeDocument/2006/relationships/hyperlink" Target="https://kaitseministeerium.ee/en/news/estonia-sending-ukraine-ammunition-and-equipment" TargetMode="External"/><Relationship Id="rId1260" Type="http://schemas.openxmlformats.org/officeDocument/2006/relationships/hyperlink" Target="https://hellenicaid.mfa.gr/en/humanitarian-aid-missions-to-ukraine-through-the-european-civil-protection-mechanism/" TargetMode="External"/><Relationship Id="rId2104" Type="http://schemas.openxmlformats.org/officeDocument/2006/relationships/hyperlink" Target="https://appropriations.house.gov/sites/democrats.appropriations.house.gov/files/Ukraine%20Supplemental%20Summary.pdf" TargetMode="External"/><Relationship Id="rId3502" Type="http://schemas.openxmlformats.org/officeDocument/2006/relationships/hyperlink" Target="https://www.bundesregierung.de/breg-en/news/military-support-ukraine-2054992" TargetMode="External"/><Relationship Id="rId630" Type="http://schemas.openxmlformats.org/officeDocument/2006/relationships/hyperlink" Target="https://www.gov.uk/government/speeches/defence-secretary-statement-to-the-house-of-commons-on-ukraine-9-march-2022" TargetMode="External"/><Relationship Id="rId2311" Type="http://schemas.openxmlformats.org/officeDocument/2006/relationships/hyperlink" Target="https://crsreports.congress.gov/product/pdf/IF/IF12040" TargetMode="External"/><Relationship Id="rId4069" Type="http://schemas.openxmlformats.org/officeDocument/2006/relationships/hyperlink" Target="https://twitter.com/oleksiireznikov/status/1598696930720116736?cxt=HHwWgMCjseyY268sAAAA" TargetMode="External"/><Relationship Id="rId1120" Type="http://schemas.openxmlformats.org/officeDocument/2006/relationships/hyperlink" Target="https://twitter.com/a_anusauskas/status/1601586263811031040" TargetMode="External"/><Relationship Id="rId4276" Type="http://schemas.openxmlformats.org/officeDocument/2006/relationships/hyperlink" Target="http://web.archive.org/web/20230328045625/https:/www.international.gc.ca/world-monde/issues_development-enjeux_developpement/response_conflict-reponse_conflits/crisis-crises/ukraine-dev.aspx?lang=eng" TargetMode="External"/><Relationship Id="rId4483" Type="http://schemas.openxmlformats.org/officeDocument/2006/relationships/hyperlink" Target="https://nra.lv/latvija/411200-latvija-plano-nodot-ukrainai-50-automasinas-un-ekipejumu.htm" TargetMode="External"/><Relationship Id="rId4690" Type="http://schemas.openxmlformats.org/officeDocument/2006/relationships/hyperlink" Target="https://www.bundesregierung.de/breg-en/news/military-support-ukraine-2054992" TargetMode="External"/><Relationship Id="rId1937" Type="http://schemas.openxmlformats.org/officeDocument/2006/relationships/hyperlink" Target="https://appropriations.house.gov/sites/democrats.appropriations.house.gov/files/Ukraine%20Supplemental%20Summary%20FY23.pdf" TargetMode="External"/><Relationship Id="rId3085" Type="http://schemas.openxmlformats.org/officeDocument/2006/relationships/hyperlink" Target="https://documents1.worldbank.org/curated/en/099045006272211923/pdf/P17934404806560d0af0503654b216c99f.pdf" TargetMode="External"/><Relationship Id="rId3292" Type="http://schemas.openxmlformats.org/officeDocument/2006/relationships/hyperlink" Target="http://web.archive.org/web/20220419070007/https:/netherlandsnewslive.com/the-netherlands-supplies-medicines-and-medical-supplies-to-ukraine/373516/" TargetMode="External"/><Relationship Id="rId4136" Type="http://schemas.openxmlformats.org/officeDocument/2006/relationships/hyperlink" Target="https://www.armyrecognition.com/defense_news_march_2023_global_security_army_industry/estonia_to_send_more_sako_sniper_rifles_and_special_forces_equipment_to_ukraine.html" TargetMode="External"/><Relationship Id="rId4343" Type="http://schemas.openxmlformats.org/officeDocument/2006/relationships/hyperlink" Target="https://www.bundesregierung.de/resource/blob/975226/2189778/cdb664abe95e6fa74802882bd66ef771/2023-05-14-liste-ukr-unterstuetzung-data.pdf?download=1" TargetMode="External"/><Relationship Id="rId4550" Type="http://schemas.openxmlformats.org/officeDocument/2006/relationships/hyperlink" Target="https://crsreports.congress.gov/product/pdf/IF/IF12040" TargetMode="External"/><Relationship Id="rId3152" Type="http://schemas.openxmlformats.org/officeDocument/2006/relationships/hyperlink" Target="https://appropriations.house.gov/sites/democrats.appropriations.house.gov/files/Summary%20Continuing%20Appropriations%20and%20Ukraine%20Supplemental%20Appropriations%20Act%202023.pdf" TargetMode="External"/><Relationship Id="rId4203" Type="http://schemas.openxmlformats.org/officeDocument/2006/relationships/hyperlink" Target="https://decode39.com/6891/italy-readies-weapons-package-ukraine/" TargetMode="External"/><Relationship Id="rId4410" Type="http://schemas.openxmlformats.org/officeDocument/2006/relationships/hyperlink" Target="https://www.bundesregierung.de/resource/blob/975226/2189778/cdb664abe95e6fa74802882bd66ef771/2023-05-14-liste-ukr-unterstuetzung-data.pdf?download=1" TargetMode="External"/><Relationship Id="rId280" Type="http://schemas.openxmlformats.org/officeDocument/2006/relationships/hyperlink" Target="https://www.netnewsledger.com/2022/01/26/government-of-canada-announces-340-million-for-ukraine/" TargetMode="External"/><Relationship Id="rId3012" Type="http://schemas.openxmlformats.org/officeDocument/2006/relationships/hyperlink" Target="https://slovenia.mfa.gov.ua/news/29-grudnya-posol-ukrayini-taran-ta-ministr-infrastrukturi-sloveniyi-bkumer-vzyali-uchast-u-ceremoniyi-vidpravki-vzhe-4go-vantazhu-z-energetichnim-obladnannyam-dlya-ukrayini" TargetMode="External"/><Relationship Id="rId140" Type="http://schemas.openxmlformats.org/officeDocument/2006/relationships/hyperlink" Target="https://twitter.com/a_anusauskas/status/1592084804501401604" TargetMode="External"/><Relationship Id="rId3969" Type="http://schemas.openxmlformats.org/officeDocument/2006/relationships/hyperlink" Target="https://www.defense.gov/News/Releases/Release/Article/3350958/biden-administration-announces-additional-security-assistance-for-ukraine/" TargetMode="External"/><Relationship Id="rId6" Type="http://schemas.openxmlformats.org/officeDocument/2006/relationships/hyperlink" Target="https://www.ukrinform.net/rubric-defense/3463928-spain-sends-new-military-aid-batch-to-ukraine.html" TargetMode="External"/><Relationship Id="rId2778" Type="http://schemas.openxmlformats.org/officeDocument/2006/relationships/hyperlink" Target="https://www.defense.gov/News/Releases/Release/Article/3272866/biden-administration-announces-additional-security-assistance-for-ukraine/" TargetMode="External"/><Relationship Id="rId2985" Type="http://schemas.openxmlformats.org/officeDocument/2006/relationships/hyperlink" Target="https://www.independent.com.mt/articles/2023-01-22/local-news/Malta-to-donate-20-industrial-generators-medical-equipment-to-Ukraine-6736249053" TargetMode="External"/><Relationship Id="rId3829" Type="http://schemas.openxmlformats.org/officeDocument/2006/relationships/hyperlink" Target="https://www.defense.gov/News/Releases/Release/Article/3367924/biden-administration-announces-additional-security-assistance-for-ukraine/" TargetMode="External"/><Relationship Id="rId957" Type="http://schemas.openxmlformats.org/officeDocument/2006/relationships/hyperlink" Target="https://www.ukrinform.net/rubric-ato/3604150-italy-provides-ukraine-with-two-m270-systems-six-pzh-2000-about-30-selfpropelled-howitzers-media.html" TargetMode="External"/><Relationship Id="rId1587" Type="http://schemas.openxmlformats.org/officeDocument/2006/relationships/hyperlink" Target="https://appropriations.house.gov/sites/democrats.appropriations.house.gov/files/Additional%20Ukraine%20Suplemental%20Appropriations%20Act%20Summary.pdf" TargetMode="External"/><Relationship Id="rId1794" Type="http://schemas.openxmlformats.org/officeDocument/2006/relationships/hyperlink" Target="https://appropriations.house.gov/sites/democrats.appropriations.house.gov/files/Ukraine%20Supplemental%20Summary.pdf" TargetMode="External"/><Relationship Id="rId2638" Type="http://schemas.openxmlformats.org/officeDocument/2006/relationships/hyperlink" Target="https://dia.dp.gov.ua/en/luxembourg-will-be-with-ukraine-as-long-as-the-russian-war-continues/" TargetMode="External"/><Relationship Id="rId2845" Type="http://schemas.openxmlformats.org/officeDocument/2006/relationships/hyperlink" Target="https://www.defense.gov/News/Releases/Release/Article/3287992/biden-administration-announces-additional-security-assistance-for-ukraine/" TargetMode="External"/><Relationship Id="rId86" Type="http://schemas.openxmlformats.org/officeDocument/2006/relationships/hyperlink" Target="https://n1info.si/novice/svet/slovenija-ukrajini-ze-poslala-puske-streliva-in-celade/" TargetMode="External"/><Relationship Id="rId817" Type="http://schemas.openxmlformats.org/officeDocument/2006/relationships/hyperlink" Target="https://www.defense.gov/News/Releases/Release/Article/3138105/nearly-3-billion-in-additional-security-assistance-for-ukraine/" TargetMode="External"/><Relationship Id="rId1447" Type="http://schemas.openxmlformats.org/officeDocument/2006/relationships/hyperlink" Target="https://appropriations.house.gov/sites/democrats.appropriations.house.gov/files/Ukraine%20Supplemental%20Summary.pdf" TargetMode="External"/><Relationship Id="rId1654" Type="http://schemas.openxmlformats.org/officeDocument/2006/relationships/hyperlink" Target="https://crsreports.congress.gov/product/pdf/IF/IF12040" TargetMode="External"/><Relationship Id="rId186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705" Type="http://schemas.openxmlformats.org/officeDocument/2006/relationships/hyperlink" Target="https://apnews.com/article/russia-ukraine-zelenskyy-politics-fumio-kishida-japan-01ab6a723ea6bab7f9d69416c1c5929a" TargetMode="External"/><Relationship Id="rId2912" Type="http://schemas.openxmlformats.org/officeDocument/2006/relationships/hyperlink" Target="https://english.nv.ua/nation/czech-republic-prepares-new-military-aid-package-for-ukraine-50278050.html" TargetMode="External"/><Relationship Id="rId4060" Type="http://schemas.openxmlformats.org/officeDocument/2006/relationships/hyperlink" Target="https://www.weaponstoukraine.com/kampane/viktor-mobile-air-defense-for-ukraine" TargetMode="External"/><Relationship Id="rId1307" Type="http://schemas.openxmlformats.org/officeDocument/2006/relationships/hyperlink" Target="https://twitter.com/a_anusauskas/status/1601586263811031040" TargetMode="External"/><Relationship Id="rId1514" Type="http://schemas.openxmlformats.org/officeDocument/2006/relationships/hyperlink" Target="https://appropriations.house.gov/sites/democrats.appropriations.house.gov/files/Additional%20Ukraine%20Suplemental%20Appropriations%20Act%20Summary.pdf" TargetMode="External"/><Relationship Id="rId1721" Type="http://schemas.openxmlformats.org/officeDocument/2006/relationships/hyperlink" Target="https://crsreports.congress.gov/product/pdf/IF/IF12040" TargetMode="External"/><Relationship Id="rId13" Type="http://schemas.openxmlformats.org/officeDocument/2006/relationships/hyperlink" Target="https://www.france24.com/en/live-news/20220601-arms-for-ukraine-who-has-sent-what" TargetMode="External"/><Relationship Id="rId3479" Type="http://schemas.openxmlformats.org/officeDocument/2006/relationships/hyperlink" Target="https://www.bundesregierung.de/breg-en/news/military-support-ukraine-2054992" TargetMode="External"/><Relationship Id="rId3686" Type="http://schemas.openxmlformats.org/officeDocument/2006/relationships/hyperlink" Target="https://intermin.fi/en/ukraine/civilian-assistance-to-ukraine" TargetMode="External"/><Relationship Id="rId2288" Type="http://schemas.openxmlformats.org/officeDocument/2006/relationships/hyperlink" Target="https://crsreports.congress.gov/product/pdf/IF/IF12040" TargetMode="External"/><Relationship Id="rId2495" Type="http://schemas.openxmlformats.org/officeDocument/2006/relationships/hyperlink" Target="https://diplomatie.belgium.be/en/policy/policy-areas/highlighted/civilian-aid-ukraine-overview" TargetMode="External"/><Relationship Id="rId3339" Type="http://schemas.openxmlformats.org/officeDocument/2006/relationships/hyperlink" Target="https://abcnews.go.com/International/us-avenger-important-boost-ukrainian-air-defense-top/story?id=99405568" TargetMode="External"/><Relationship Id="rId3893" Type="http://schemas.openxmlformats.org/officeDocument/2006/relationships/hyperlink" Target="https://www.state.gov/u-s-security-cooperation-with-ukraine/" TargetMode="External"/><Relationship Id="rId4737" Type="http://schemas.openxmlformats.org/officeDocument/2006/relationships/hyperlink" Target="https://www.bundesregierung.de/breg-en/news/military-support-ukraine-2054992" TargetMode="External"/><Relationship Id="rId467" Type="http://schemas.openxmlformats.org/officeDocument/2006/relationships/hyperlink" Target="https://www.reuters.com/world/europe/ukraines-zelenskiy-says-tens-thousands-killed-mariupol-seeks-military-aid-skorea-2022-04-11/" TargetMode="External"/><Relationship Id="rId1097" Type="http://schemas.openxmlformats.org/officeDocument/2006/relationships/hyperlink" Target="https://www.regjeringen.no/en/aktuelt/norway-to-increase-support-to-ukraine-and-provide-military-equipment/id2902406/" TargetMode="External"/><Relationship Id="rId2148" Type="http://schemas.openxmlformats.org/officeDocument/2006/relationships/hyperlink" Target="https://appropriations.house.gov/sites/democrats.appropriations.house.gov/files/Ukraine%20Supplemental%20Summary.pdf" TargetMode="External"/><Relationship Id="rId3546" Type="http://schemas.openxmlformats.org/officeDocument/2006/relationships/hyperlink" Target="https://www.bundesregierung.de/breg-en/news/military-support-ukraine-2054992" TargetMode="External"/><Relationship Id="rId3753" Type="http://schemas.openxmlformats.org/officeDocument/2006/relationships/hyperlink" Target="https://www.defense.gov/News/Releases/Release/Article/3350958/biden-administration-announces-additional-security-assistance-for-ukraine/" TargetMode="External"/><Relationship Id="rId3960" Type="http://schemas.openxmlformats.org/officeDocument/2006/relationships/hyperlink" Target="https://www.defense.gov/News/Releases/Release/Article/3350958/biden-administration-announces-additional-security-assistance-for-ukraine/" TargetMode="External"/><Relationship Id="rId4804" Type="http://schemas.openxmlformats.org/officeDocument/2006/relationships/hyperlink" Target="https://www.bundesregierung.de/breg-en/news/military-support-ukraine-2054992" TargetMode="External"/><Relationship Id="rId674" Type="http://schemas.openxmlformats.org/officeDocument/2006/relationships/hyperlink" Target="https://www.diplomatie.gouv.fr/en/country-files/ukraine/news/article/ukraine-france-mobilised-to-support-ukraine-through-medical-care-for-war" TargetMode="External"/><Relationship Id="rId881" Type="http://schemas.openxmlformats.org/officeDocument/2006/relationships/hyperlink" Target="https://www.army-technology.com/news/germany-norway-denmark-zuzana2-ukraine/" TargetMode="External"/><Relationship Id="rId2355" Type="http://schemas.openxmlformats.org/officeDocument/2006/relationships/hyperlink" Target="https://www.euronews.com/2022/09/29/cargo-ship-with-1000-tonnes-of-ukraine-aid-sets-sail-from-marseille" TargetMode="External"/><Relationship Id="rId2562"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3406" Type="http://schemas.openxmlformats.org/officeDocument/2006/relationships/hyperlink" Target="https://www.bmz.de/de/aktuelles/aktuelle-meldungen/entwicklungsministerin-schulze-in-odessa-137294" TargetMode="External"/><Relationship Id="rId3613" Type="http://schemas.openxmlformats.org/officeDocument/2006/relationships/hyperlink" Target="https://www.bundesregierung.de/breg-en/news/military-support-ukraine-2054992" TargetMode="External"/><Relationship Id="rId3820" Type="http://schemas.openxmlformats.org/officeDocument/2006/relationships/hyperlink" Target="https://www.defense.gov/News/Releases/Release/Article/3350958/biden-administration-announces-additional-security-assistance-for-ukraine/" TargetMode="External"/><Relationship Id="rId327" Type="http://schemas.openxmlformats.org/officeDocument/2006/relationships/hyperlink" Target="https://www.gov.uk/government/speeches/ukraine-foreign-secretary-statement-to-parliament-28-march-2022" TargetMode="External"/><Relationship Id="rId534" Type="http://schemas.openxmlformats.org/officeDocument/2006/relationships/hyperlink" Target="https://www.gazzettaufficiale.it/atto/serie_generale/caricaDettaglioAtto/originario?atto.dataPubblicazioneGazzetta=2022-05-13&amp;atto.codiceRedazionale=22A02976&amp;elenco30giorni=false" TargetMode="External"/><Relationship Id="rId741" Type="http://schemas.openxmlformats.org/officeDocument/2006/relationships/hyperlink" Target="https://www.pm.gov.au/media/visit-kyiv-and-further-australian-support-ukraine" TargetMode="External"/><Relationship Id="rId1164" Type="http://schemas.openxmlformats.org/officeDocument/2006/relationships/hyperlink" Target="https://www.washingtonexaminer.com/policy/defense-national-security/france-tanks-ukraine-contrast-biden-germany" TargetMode="External"/><Relationship Id="rId1371" Type="http://schemas.openxmlformats.org/officeDocument/2006/relationships/hyperlink" Target="https://appropriations.house.gov/sites/democrats.appropriations.house.gov/files/Ukraine%20Supplemental%20Summary.pdf" TargetMode="External"/><Relationship Id="rId2008" Type="http://schemas.openxmlformats.org/officeDocument/2006/relationships/hyperlink" Target="https://crsreports.congress.gov/product/pdf/IF/IF12040" TargetMode="External"/><Relationship Id="rId2215" Type="http://schemas.openxmlformats.org/officeDocument/2006/relationships/hyperlink" Target="https://appropriations.house.gov/sites/democrats.appropriations.house.gov/files/Ukraine%20Supplemental%20Summary.pdf" TargetMode="External"/><Relationship Id="rId2422" Type="http://schemas.openxmlformats.org/officeDocument/2006/relationships/hyperlink" Target="https://www.nbcnews.com/news/world/live-blog/ukraine-lb-march-15-2022-n1291880/ncrd1291879" TargetMode="External"/><Relationship Id="rId601" Type="http://schemas.openxmlformats.org/officeDocument/2006/relationships/hyperlink" Target="https://english.radio.cz/czech-republic-sends-further-humanitarian-aid-ukraine-8752601" TargetMode="External"/><Relationship Id="rId1024" Type="http://schemas.openxmlformats.org/officeDocument/2006/relationships/hyperlink" Target="https://www.defense.gov/News/Releases/Release/Article/3216287/400-million-in-additional-assistance-for-ukraine/" TargetMode="External"/><Relationship Id="rId1231" Type="http://schemas.openxmlformats.org/officeDocument/2006/relationships/hyperlink" Target="https://www.defense.gov/News/Releases/Release/Article/3252782/185-billion-in-additional-security-assistance-for-ukraine/" TargetMode="External"/><Relationship Id="rId4387" Type="http://schemas.openxmlformats.org/officeDocument/2006/relationships/hyperlink" Target="https://www.bundesregierung.de/resource/blob/975226/2189778/cdb664abe95e6fa74802882bd66ef771/2023-05-14-liste-ukr-unterstuetzung-data.pdf?download=1" TargetMode="External"/><Relationship Id="rId4594" Type="http://schemas.openxmlformats.org/officeDocument/2006/relationships/hyperlink" Target="https://www.fmn.dk/da/nyheder/2023/ukraine-fond-finansierer-stor-ny-donationspakke/" TargetMode="External"/><Relationship Id="rId3196" Type="http://schemas.openxmlformats.org/officeDocument/2006/relationships/hyperlink" Target="https://interfax.com.ua/news/general/829945.html" TargetMode="External"/><Relationship Id="rId4247" Type="http://schemas.openxmlformats.org/officeDocument/2006/relationships/hyperlink" Target="http://bh.china-embassy.gov.cn/fyrth/202303/t20230308_11037694.htm" TargetMode="External"/><Relationship Id="rId4454" Type="http://schemas.openxmlformats.org/officeDocument/2006/relationships/hyperlink" Target="https://www.bundesregierung.de/resource/blob/975226/2189778/cdb664abe95e6fa74802882bd66ef771/2023-05-14-liste-ukr-unterstuetzung-data.pdf?download=1" TargetMode="External"/><Relationship Id="rId4661" Type="http://schemas.openxmlformats.org/officeDocument/2006/relationships/hyperlink" Target="https://www.bundesregierung.de/breg-en/news/military-support-ukraine-2054992" TargetMode="External"/><Relationship Id="rId3056" Type="http://schemas.openxmlformats.org/officeDocument/2006/relationships/hyperlink" Target="https://www.gov.uk/government/news/joint-statement-the-tallinn-pledge" TargetMode="External"/><Relationship Id="rId3263" Type="http://schemas.openxmlformats.org/officeDocument/2006/relationships/hyperlink" Target="https://hungarytoday.hu/hungary-offers-eur-37-m-in-aid-to-ukraine/" TargetMode="External"/><Relationship Id="rId3470" Type="http://schemas.openxmlformats.org/officeDocument/2006/relationships/hyperlink" Target="https://www.bundesregierung.de/breg-en/news/military-support-ukraine-2054992" TargetMode="External"/><Relationship Id="rId4107" Type="http://schemas.openxmlformats.org/officeDocument/2006/relationships/hyperlink" Target="https://kaitseministeerium.ee/et/uudised/kaitseminister-pevkur-andis-kiievis-ukraina-kolleegile-ule-sumboolsed-esemed-uuest" TargetMode="External"/><Relationship Id="rId4314" Type="http://schemas.openxmlformats.org/officeDocument/2006/relationships/hyperlink" Target="https://www.bundesregierung.de/resource/blob/975226/2189778/cdb664abe95e6fa74802882bd66ef771/2023-05-14-liste-ukr-unterstuetzung-data.pdf?download=1" TargetMode="External"/><Relationship Id="rId184" Type="http://schemas.openxmlformats.org/officeDocument/2006/relationships/hyperlink" Target="https://diplomatie.belgium.be/en/policy/policy-areas/highlighted/civilian-aid-ukraine-overview" TargetMode="External"/><Relationship Id="rId391" Type="http://schemas.openxmlformats.org/officeDocument/2006/relationships/hyperlink" Target="https://www.euractiv.com/section/politics/short_news/austria-more-than-doubles-financial-support-for-ukraine-with-citizen-donations/" TargetMode="External"/><Relationship Id="rId1908" Type="http://schemas.openxmlformats.org/officeDocument/2006/relationships/hyperlink" Target="https://appropriations.house.gov/sites/democrats.appropriations.house.gov/files/Ukraine%20Supplemental%20Summary%20FY23.pdf" TargetMode="External"/><Relationship Id="rId2072" Type="http://schemas.openxmlformats.org/officeDocument/2006/relationships/hyperlink" Target="https://appropriations.house.gov/sites/democrats.appropriations.house.gov/files/Ukraine%20Supplemental%20Summary%20FY23.pdf" TargetMode="External"/><Relationship Id="rId3123" Type="http://schemas.openxmlformats.org/officeDocument/2006/relationships/hyperlink" Target="https://mvep.gov.hr/press/sjednica-vlade-milijun-eura-za-50-generatora-u-skolama-i-bolnicama-u-ukrajini/253184" TargetMode="External"/><Relationship Id="rId4521" Type="http://schemas.openxmlformats.org/officeDocument/2006/relationships/hyperlink" Target="https://www.bundesregierung.de/resource/blob/975226/2189778/cdb664abe95e6fa74802882bd66ef771/2023-05-14-liste-ukr-unterstuetzung-data.pdf?download=1" TargetMode="External"/><Relationship Id="rId251" Type="http://schemas.openxmlformats.org/officeDocument/2006/relationships/hyperlink" Target="https://www.jutarnji.hr/vijesti/hrvatska/donesen-paket-mjera-za-ukrajinu-hrvatska-salje-opremu-i-naoruzanje-u-vrijednosti-124-milijuna-kuna-15163892" TargetMode="External"/><Relationship Id="rId3330" Type="http://schemas.openxmlformats.org/officeDocument/2006/relationships/hyperlink" Target="https://www.armyrecognition.com/defense_news_june_2022_global_security_army_industry/italy_delivers_to_ukraine_five_pzh_2000_155mm_self-propelled_howitzers.html" TargetMode="External"/><Relationship Id="rId2889" Type="http://schemas.openxmlformats.org/officeDocument/2006/relationships/hyperlink" Target="https://www.vlada.cz/en/media-centrum/tiskove-zpravy/czechia-sends-hundreds-of-heavy-military-systems-worth-tens-of-billions-to-ukraine-during-the-first-year-of-russian-invasion-203252/" TargetMode="External"/><Relationship Id="rId111" Type="http://schemas.openxmlformats.org/officeDocument/2006/relationships/hyperlink" Target="https://www.armyrecognition.com/defense_news_april_2022_global_security_army_industry/denmark_approves_delivery_of_m113_tracked_armored_vehicles_and_ammunition_to_ukraine.html" TargetMode="External"/><Relationship Id="rId1698" Type="http://schemas.openxmlformats.org/officeDocument/2006/relationships/hyperlink" Target="https://crsreports.congress.gov/product/pdf/IF/IF12040" TargetMode="External"/><Relationship Id="rId2749" Type="http://schemas.openxmlformats.org/officeDocument/2006/relationships/hyperlink" Target="https://www.defense.gov/News/Releases/Release/Article/3272866/biden-administration-announces-additional-security-assistance-for-ukraine/" TargetMode="External"/><Relationship Id="rId2956" Type="http://schemas.openxmlformats.org/officeDocument/2006/relationships/hyperlink" Target="https://valitsus.ee/en/news/estonias-military-support-ukraine-will-increase-more-1-gdp" TargetMode="External"/><Relationship Id="rId928" Type="http://schemas.openxmlformats.org/officeDocument/2006/relationships/hyperlink" Target="https://www.mod.go.jp/j/press/news/2022/08/04a.html" TargetMode="External"/><Relationship Id="rId1558" Type="http://schemas.openxmlformats.org/officeDocument/2006/relationships/hyperlink" Target="https://appropriations.house.gov/sites/democrats.appropriations.house.gov/files/Additional%20Ukraine%20Suplemental%20Appropriations%20Act%20Summary.pdf" TargetMode="External"/><Relationship Id="rId1765" Type="http://schemas.openxmlformats.org/officeDocument/2006/relationships/hyperlink" Target="https://crsreports.congress.gov/product/pdf/IF/IF12040" TargetMode="External"/><Relationship Id="rId2609" Type="http://schemas.openxmlformats.org/officeDocument/2006/relationships/hyperlink" Target="https://www.canada.ca/en/department-national-defence/campaigns/canadian-military-support-to-ukraine.html" TargetMode="External"/><Relationship Id="rId4171" Type="http://schemas.openxmlformats.org/officeDocument/2006/relationships/hyperlink" Target="https://www.mod.mil.gr/en/defence-minister-nikolaos-panagiotopoulos-meets-with-the-minister-of-defence/" TargetMode="External"/><Relationship Id="rId57" Type="http://schemas.openxmlformats.org/officeDocument/2006/relationships/hyperlink" Target="https://www.armyrecognition.com/defense_news_may_2022_global_security_army_industry/australia_announces_delivery_of_14_m113_tracked_apcs_and_20_bushmaster_armored_vehicles_to_ukraine.html" TargetMode="External"/><Relationship Id="rId1418" Type="http://schemas.openxmlformats.org/officeDocument/2006/relationships/hyperlink" Target="https://appropriations.house.gov/sites/democrats.appropriations.house.gov/files/Ukraine%20Supplemental%20Summary.pdf" TargetMode="External"/><Relationship Id="rId1972" Type="http://schemas.openxmlformats.org/officeDocument/2006/relationships/hyperlink" Target="https://crsreports.congress.gov/product/pdf/IF/IF12040" TargetMode="External"/><Relationship Id="rId2816" Type="http://schemas.openxmlformats.org/officeDocument/2006/relationships/hyperlink" Target="https://crsreports.congress.gov/product/pdf/IF/IF12040" TargetMode="External"/><Relationship Id="rId4031" Type="http://schemas.openxmlformats.org/officeDocument/2006/relationships/hyperlink" Target="https://www.weaponstoukraine.com/kampane/viktor-mobile-air-defense-for-ukraine" TargetMode="External"/><Relationship Id="rId1625" Type="http://schemas.openxmlformats.org/officeDocument/2006/relationships/hyperlink" Target="https://appropriations.house.gov/sites/democrats.appropriations.house.gov/files/Additional%20Ukraine%20Suplemental%20Appropriations%20Act%20Summary.pdf" TargetMode="External"/><Relationship Id="rId1832" Type="http://schemas.openxmlformats.org/officeDocument/2006/relationships/hyperlink" Target="https://appropriations.house.gov/sites/democrats.appropriations.house.gov/files/Summary%20Continuing%20Appropriations%20and%20Ukraine%20Supplemental%20Appropriations%20Act%202023.pdf" TargetMode="External"/><Relationship Id="rId3797" Type="http://schemas.openxmlformats.org/officeDocument/2006/relationships/hyperlink" Target="https://www.state.gov/u-s-security-cooperation-with-ukraine/" TargetMode="External"/><Relationship Id="rId2399" Type="http://schemas.openxmlformats.org/officeDocument/2006/relationships/hyperlink" Target="https://www.mofa.go.jp/press/release/press4e_003098.html" TargetMode="External"/><Relationship Id="rId3657" Type="http://schemas.openxmlformats.org/officeDocument/2006/relationships/hyperlink" Target="https://www.government.is/topics/foreign-affairs/war-in-ukraine/" TargetMode="External"/><Relationship Id="rId3864" Type="http://schemas.openxmlformats.org/officeDocument/2006/relationships/hyperlink" Target="https://www.defense.gov/News/Releases/Release/Article/3402206/biden-administration-announces-additional-security-assistance-for-ukraine/" TargetMode="External"/><Relationship Id="rId4708" Type="http://schemas.openxmlformats.org/officeDocument/2006/relationships/hyperlink" Target="https://www.bundesregierung.de/breg-en/news/military-support-ukraine-2054992" TargetMode="External"/><Relationship Id="rId578" Type="http://schemas.openxmlformats.org/officeDocument/2006/relationships/hyperlink" Target="https://cyprus-mail.com/2022/06/03/third-humanitarian-aid-shipment-heading-to-ukraine/" TargetMode="External"/><Relationship Id="rId785" Type="http://schemas.openxmlformats.org/officeDocument/2006/relationships/hyperlink" Target="https://www.defense.gov/News/Releases/Release/Article/3134457/775-million-in-additional-security-assistance-for-ukraine/" TargetMode="External"/><Relationship Id="rId992" Type="http://schemas.openxmlformats.org/officeDocument/2006/relationships/hyperlink" Target="https://www.gov.uk/government/speeches/poland-foreign-secretarys-statement-to-warsaw-press-conference" TargetMode="External"/><Relationship Id="rId2259" Type="http://schemas.openxmlformats.org/officeDocument/2006/relationships/hyperlink" Target="https://crsreports.congress.gov/product/pdf/IF/IF12040" TargetMode="External"/><Relationship Id="rId2466" Type="http://schemas.openxmlformats.org/officeDocument/2006/relationships/hyperlink" Target="https://www.brusselstimes.com/290771/belgium-to-give-e12-million-in-military-aid-to-ukraine" TargetMode="External"/><Relationship Id="rId2673" Type="http://schemas.openxmlformats.org/officeDocument/2006/relationships/hyperlink" Target="https://mof.gov.ua/uk/news/ukraina_otrimala_vid_velikobritanii_drugu_chastinu_dodatkovogo_finansuvannia_na_203_mln_dol_ssha_cherez_proekt_svitovogo_banku-3846" TargetMode="External"/><Relationship Id="rId2880" Type="http://schemas.openxmlformats.org/officeDocument/2006/relationships/hyperlink" Target="https://www.forbes.com/sites/sebastienroblin/2022/10/28/czech-super-t-72m4-tanks-seen-headed-towards-ukraine/?sh=679ee5423ce7" TargetMode="External"/><Relationship Id="rId3517" Type="http://schemas.openxmlformats.org/officeDocument/2006/relationships/hyperlink" Target="https://www.bundesregierung.de/breg-en/news/military-support-ukraine-2054992" TargetMode="External"/><Relationship Id="rId3724" Type="http://schemas.openxmlformats.org/officeDocument/2006/relationships/hyperlink" Target="https://www.government.se/articles/2023/01/heavy-advanced-weapons-to-ukraine/" TargetMode="External"/><Relationship Id="rId3931" Type="http://schemas.openxmlformats.org/officeDocument/2006/relationships/hyperlink" Target="https://www.defense.gov/News/Releases/Release/Article/3350958/biden-administration-announces-additional-security-assistance-for-ukraine/" TargetMode="External"/><Relationship Id="rId438" Type="http://schemas.openxmlformats.org/officeDocument/2006/relationships/hyperlink" Target="https://www.regjeringen.no/en/aktuelt/norway-to-provide-weapons-to-ukraine/id2902587/" TargetMode="External"/><Relationship Id="rId645" Type="http://schemas.openxmlformats.org/officeDocument/2006/relationships/hyperlink" Target="https://www.regjeringen.no/en/aktuelt/first-wounded-soldiers-from-ukraine-arrive/id2918391/" TargetMode="External"/><Relationship Id="rId852" Type="http://schemas.openxmlformats.org/officeDocument/2006/relationships/hyperlink" Target="https://www.euractiv.com/section/politics/short_news/croatia-to-send-weapons-to-ukraine-provide-health-care-to-refugees/" TargetMode="External"/><Relationship Id="rId1068" Type="http://schemas.openxmlformats.org/officeDocument/2006/relationships/hyperlink" Target="https://news.err.ee/1608793648/estonia-s-total-military-aid-to-ukraine-to-date-approaching-300-million" TargetMode="External"/><Relationship Id="rId1275" Type="http://schemas.openxmlformats.org/officeDocument/2006/relationships/hyperlink" Target="https://www.gov.ie/en/press-release/b80b7-government-ministers-announce-irish-support-for-ukrainian-health-service/?msclkid=07ab0901b05a11ec8239ca04bfcdbb9d" TargetMode="External"/><Relationship Id="rId1482" Type="http://schemas.openxmlformats.org/officeDocument/2006/relationships/hyperlink" Target="https://appropriations.house.gov/sites/democrats.appropriations.house.gov/files/Ukraine%20Supplemental%20Summary.pdf" TargetMode="External"/><Relationship Id="rId2119" Type="http://schemas.openxmlformats.org/officeDocument/2006/relationships/hyperlink" Target="https://appropriations.house.gov/sites/democrats.appropriations.house.gov/files/Additional%20Ukraine%20Suplemental%20Appropriations%20Act%20Summary.pdf" TargetMode="External"/><Relationship Id="rId2326" Type="http://schemas.openxmlformats.org/officeDocument/2006/relationships/hyperlink" Target="https://interfax.com/newsroom/top-stories/86161/" TargetMode="External"/><Relationship Id="rId2533" Type="http://schemas.openxmlformats.org/officeDocument/2006/relationships/hyperlink" Target="https://www.premier.be/sites/default/files/articles/BE%20support%20militaire.pdf" TargetMode="External"/><Relationship Id="rId2740" Type="http://schemas.openxmlformats.org/officeDocument/2006/relationships/hyperlink" Target="https://crsreports.congress.gov/product/pdf/IF/IF12040" TargetMode="External"/><Relationship Id="rId505" Type="http://schemas.openxmlformats.org/officeDocument/2006/relationships/hyperlink" Target="https://www.business-standard.com/article/international/japan-will-double-financial-aid-for-ukraine-to-600-million-pm-kishida-122051900737_1.html" TargetMode="External"/><Relationship Id="rId712" Type="http://schemas.openxmlformats.org/officeDocument/2006/relationships/hyperlink" Target="https://kyivindependent.com/news-feed/slovakia-supplies-5-helicopters-ammunition-for-grad-multiple-rocket-launchers" TargetMode="External"/><Relationship Id="rId1135" Type="http://schemas.openxmlformats.org/officeDocument/2006/relationships/hyperlink" Target="https://www.defensie.nl/actueel/nieuws/2022/11/04/nederlands-militair-steunpakket-voor-oekraine" TargetMode="External"/><Relationship Id="rId1342" Type="http://schemas.openxmlformats.org/officeDocument/2006/relationships/hyperlink" Target="https://www.gov.si/en/news/2022-12-30-minister-fajon-hands-over-two-ambulances-for-ukraine/" TargetMode="External"/><Relationship Id="rId4498" Type="http://schemas.openxmlformats.org/officeDocument/2006/relationships/hyperlink" Target="https://www.reuters.com/world/americas/canada-send-four-leopard-2-tanks-ukraine-2023-01-26/" TargetMode="External"/><Relationship Id="rId1202" Type="http://schemas.openxmlformats.org/officeDocument/2006/relationships/hyperlink" Target="https://www.defense.gov/News/Releases/Release/Article/3227217/400-million-in-additional-assistance-for-ukraine/" TargetMode="External"/><Relationship Id="rId2600" Type="http://schemas.openxmlformats.org/officeDocument/2006/relationships/hyperlink" Target="https://www.premier.be/sites/default/files/articles/BE%20support%20militaire.pdf" TargetMode="External"/><Relationship Id="rId4358" Type="http://schemas.openxmlformats.org/officeDocument/2006/relationships/hyperlink" Target="https://www.bundesregierung.de/resource/blob/975226/2189778/cdb664abe95e6fa74802882bd66ef771/2023-05-14-liste-ukr-unterstuetzung-data.pdf?download=1" TargetMode="External"/><Relationship Id="rId3167" Type="http://schemas.openxmlformats.org/officeDocument/2006/relationships/hyperlink" Target="https://www.defense.gov/News/Releases/Release/Article/3277443/biden-administration-announces-additional-security-assistance-for-ukraine/" TargetMode="External"/><Relationship Id="rId4565" Type="http://schemas.openxmlformats.org/officeDocument/2006/relationships/hyperlink" Target="https://www.fm.gov.lv/lv/jaunums/ukrainas-atbalstam-novirzis-10-miljonus-eiro" TargetMode="External"/><Relationship Id="rId4772" Type="http://schemas.openxmlformats.org/officeDocument/2006/relationships/hyperlink" Target="https://www.bundesregierung.de/breg-en/news/military-support-ukraine-2054992" TargetMode="External"/><Relationship Id="rId295" Type="http://schemas.openxmlformats.org/officeDocument/2006/relationships/hyperlink" Target="https://www.vlada.cz/cz/media-centrum/aktualne/vlada-schvalila-dalsi-dar-v-podobe-vojenskeho-materialu-ukrajine-194585/" TargetMode="External"/><Relationship Id="rId3374" Type="http://schemas.openxmlformats.org/officeDocument/2006/relationships/hyperlink" Target="https://www.bundesregierung.de/resource/blob/975226/2155792/c3dbab706421f63d3d612091e7ecad4c/2022-12-27-unterstuetzung-ukraine-breg-data.pdf?download=1%20Guten" TargetMode="External"/><Relationship Id="rId3581" Type="http://schemas.openxmlformats.org/officeDocument/2006/relationships/hyperlink" Target="https://www.forces.net/technology/weapons-and-kit/kub-slovakian-anti-aircraft-missile-system-looking-safeguard-ukraine" TargetMode="External"/><Relationship Id="rId4218" Type="http://schemas.openxmlformats.org/officeDocument/2006/relationships/hyperlink" Target="https://gov.ro/en/news/medical-equipment-and-medicines-donated-by-romania-in-support-of-ukraine&amp;page=13" TargetMode="External"/><Relationship Id="rId4425" Type="http://schemas.openxmlformats.org/officeDocument/2006/relationships/hyperlink" Target="https://www.bundesregierung.de/resource/blob/975226/2189778/cdb664abe95e6fa74802882bd66ef771/2023-05-14-liste-ukr-unterstuetzung-data.pdf?download=1" TargetMode="External"/><Relationship Id="rId4632" Type="http://schemas.openxmlformats.org/officeDocument/2006/relationships/hyperlink" Target="https://www.defensie.nl/onderwerpen/oostflank-navo-gebied/militaire-steun-aan-oekraine" TargetMode="External"/><Relationship Id="rId2183" Type="http://schemas.openxmlformats.org/officeDocument/2006/relationships/hyperlink" Target="https://appropriations.house.gov/sites/democrats.appropriations.house.gov/files/Additional%20Ukraine%20Suplemental%20Appropriations%20Act%20Summary.pdf" TargetMode="External"/><Relationship Id="rId2390" Type="http://schemas.openxmlformats.org/officeDocument/2006/relationships/hyperlink" Target="https://www.reuters.com/world/europe/russia-pounds-ukraine-civil-infrastructure-powers-meet-provide-aid-2022-12-13/" TargetMode="External"/><Relationship Id="rId3027" Type="http://schemas.openxmlformats.org/officeDocument/2006/relationships/hyperlink" Target="https://www.reuters.com/world/europe/finland-send-three-leopard-tanks-ukraine-2023-02-23/" TargetMode="External"/><Relationship Id="rId3234" Type="http://schemas.openxmlformats.org/officeDocument/2006/relationships/hyperlink" Target="https://ubn.news/fr/cinq-villes-ukrainiennes-vont-beneficier-dun-don-de-6-millions-de-dollars-de-taiwan/" TargetMode="External"/><Relationship Id="rId3441" Type="http://schemas.openxmlformats.org/officeDocument/2006/relationships/hyperlink" Target="https://www.bundesregierung.de/breg-en/news/military-support-ukraine-2054992" TargetMode="External"/><Relationship Id="rId155" Type="http://schemas.openxmlformats.org/officeDocument/2006/relationships/hyperlink" Target="https://www.gov.uk/government/news/uk-to-send-scores-of-artillery-guns-and-hundreds-of-drones-to-ukraine" TargetMode="External"/><Relationship Id="rId362" Type="http://schemas.openxmlformats.org/officeDocument/2006/relationships/hyperlink" Target="https://www.gov.uk/government/news/uk-to-bolster-defensive-aid-to-ukraine-with-new-100m-package" TargetMode="External"/><Relationship Id="rId204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50" Type="http://schemas.openxmlformats.org/officeDocument/2006/relationships/hyperlink" Target="https://crsreports.congress.gov/product/pdf/IF/IF12040" TargetMode="External"/><Relationship Id="rId3301" Type="http://schemas.openxmlformats.org/officeDocument/2006/relationships/hyperlink" Target="https://ua.usembassy.gov/625-million-in-additional-u-s-military-assistance-for-ukraine/" TargetMode="External"/><Relationship Id="rId222" Type="http://schemas.openxmlformats.org/officeDocument/2006/relationships/hyperlink" Target="https://www.diplomatie.gouv.fr/en/country-files/ukraine/news/article/ukraine-france-steps-up-humanitarian-relief-efforts-for-ukraine-10-mar-2022" TargetMode="External"/><Relationship Id="rId2110" Type="http://schemas.openxmlformats.org/officeDocument/2006/relationships/hyperlink" Target="https://appropriations.house.gov/sites/democrats.appropriations.house.gov/files/Additional%20Ukraine%20Suplemental%20Appropriations%20Act%20Summary.pdf" TargetMode="External"/><Relationship Id="rId4075" Type="http://schemas.openxmlformats.org/officeDocument/2006/relationships/hyperlink" Target="https://www.elmundo.es/espana/2023/04/19/643fc0e2e4d4d89e718b457e.html" TargetMode="External"/><Relationship Id="rId4282" Type="http://schemas.openxmlformats.org/officeDocument/2006/relationships/hyperlink" Target="https://mil.in.ua/en/news/czechia-to-transfer-kub-sam-to-ukraine/" TargetMode="External"/><Relationship Id="rId1669" Type="http://schemas.openxmlformats.org/officeDocument/2006/relationships/hyperlink" Target="https://crsreports.congress.gov/product/pdf/IF/IF12040" TargetMode="External"/><Relationship Id="rId187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27" Type="http://schemas.openxmlformats.org/officeDocument/2006/relationships/hyperlink" Target="https://menafn.com/1105631486/Ukraine-Gets-New-Batch-Of-Bridges-From-Czech-Republic" TargetMode="External"/><Relationship Id="rId3091" Type="http://schemas.openxmlformats.org/officeDocument/2006/relationships/hyperlink" Target="https://thediplomatinspain.com/en/2022/07/spain-announces-250-million-euros-for-agriculture-and-renewables-in-ukraine/" TargetMode="External"/><Relationship Id="rId4142" Type="http://schemas.openxmlformats.org/officeDocument/2006/relationships/hyperlink" Target="https://www.armyrecognition.com/defense_news_march_2023_global_security_army_industry/estonia_to_send_more_sako_sniper_rifles_and_special_forces_equipment_to_ukraine.html" TargetMode="External"/><Relationship Id="rId1529" Type="http://schemas.openxmlformats.org/officeDocument/2006/relationships/hyperlink" Target="https://appropriations.house.gov/sites/democrats.appropriations.house.gov/files/Additional%20Ukraine%20Suplemental%20Appropriations%20Act%20Summary.pdf" TargetMode="External"/><Relationship Id="rId1736" Type="http://schemas.openxmlformats.org/officeDocument/2006/relationships/hyperlink" Target="https://crsreports.congress.gov/product/pdf/IF/IF12040" TargetMode="External"/><Relationship Id="rId1943" Type="http://schemas.openxmlformats.org/officeDocument/2006/relationships/hyperlink" Target="https://appropriations.house.gov/sites/democrats.appropriations.house.gov/files/Ukraine%20Supplemental%20Summary%20FY23.pdf" TargetMode="External"/><Relationship Id="rId28" Type="http://schemas.openxmlformats.org/officeDocument/2006/relationships/hyperlink" Target="https://euroweeklynews.com/2022/03/05/spanish-grenade-launchers-sent-to-ukraine/" TargetMode="External"/><Relationship Id="rId1803" Type="http://schemas.openxmlformats.org/officeDocument/2006/relationships/hyperlink" Target="https://appropriations.house.gov/sites/democrats.appropriations.house.gov/files/Ukraine%20Supplemental%20Summary.pdf" TargetMode="External"/><Relationship Id="rId4002" Type="http://schemas.openxmlformats.org/officeDocument/2006/relationships/hyperlink" Target="https://twitter.com/a_anusauskas/status/1594701256463110144" TargetMode="External"/><Relationship Id="rId3768" Type="http://schemas.openxmlformats.org/officeDocument/2006/relationships/hyperlink" Target="https://www.state.gov/u-s-security-cooperation-with-ukraine/" TargetMode="External"/><Relationship Id="rId3975" Type="http://schemas.openxmlformats.org/officeDocument/2006/relationships/hyperlink" Target="https://www.defense.gov/News/Releases/Release/Article/3350958/biden-administration-announces-additional-security-assistance-for-ukraine/" TargetMode="External"/><Relationship Id="rId4819" Type="http://schemas.openxmlformats.org/officeDocument/2006/relationships/hyperlink" Target="https://www.bundesregierung.de/breg-en/news/military-support-ukraine-2054992" TargetMode="External"/><Relationship Id="rId689" Type="http://schemas.openxmlformats.org/officeDocument/2006/relationships/hyperlink" Target="https://www.defensenews.com/global/europe/2022/04/11/slovakia-could-sell-howitzers-to-ukraine-and-repair-its-tanks-vehicles/" TargetMode="External"/><Relationship Id="rId896" Type="http://schemas.openxmlformats.org/officeDocument/2006/relationships/hyperlink" Target="https://www.minister.defence.gov.au/minister/rmarles/media-releases/australia-increases-support-ukraine" TargetMode="External"/><Relationship Id="rId2577" Type="http://schemas.openxmlformats.org/officeDocument/2006/relationships/hyperlink" Target="https://www.premier.be/sites/default/files/articles/BE%20support%20militaire.pdf" TargetMode="External"/><Relationship Id="rId2784" Type="http://schemas.openxmlformats.org/officeDocument/2006/relationships/hyperlink" Target="https://crsreports.congress.gov/product/pdf/IF/IF12040" TargetMode="External"/><Relationship Id="rId3628" Type="http://schemas.openxmlformats.org/officeDocument/2006/relationships/hyperlink" Target="https://www.pravda.com.ua/eng/news/2023/06/2/7405035/" TargetMode="External"/><Relationship Id="rId549" Type="http://schemas.openxmlformats.org/officeDocument/2006/relationships/hyperlink" Target="https://twitter.com/vonderleyen/status/1512525016910471170" TargetMode="External"/><Relationship Id="rId756" Type="http://schemas.openxmlformats.org/officeDocument/2006/relationships/hyperlink" Target="https://www.mod.gov.lv/lv/zinas/latvija-ukrainas-armijai-piegadajusi-helikopterus-mi-17-un-mi-2" TargetMode="External"/><Relationship Id="rId1179" Type="http://schemas.openxmlformats.org/officeDocument/2006/relationships/hyperlink" Target="https://www.eurointegration.com.ua/news/2022/12/8/7152129/" TargetMode="External"/><Relationship Id="rId1386" Type="http://schemas.openxmlformats.org/officeDocument/2006/relationships/hyperlink" Target="https://appropriations.house.gov/sites/democrats.appropriations.house.gov/files/Ukraine%20Supplemental%20Summary.pdf" TargetMode="External"/><Relationship Id="rId1593" Type="http://schemas.openxmlformats.org/officeDocument/2006/relationships/hyperlink" Target="https://appropriations.house.gov/sites/democrats.appropriations.house.gov/files/Additional%20Ukraine%20Suplemental%20Appropriations%20Act%20Summary.pdf" TargetMode="External"/><Relationship Id="rId2437" Type="http://schemas.openxmlformats.org/officeDocument/2006/relationships/hyperlink" Target="https://juliedzerowicz.libparl.ca/wp-content/uploads/sites/86/2021/01/Facts-and-Figures_November18.pdf" TargetMode="External"/><Relationship Id="rId2991" Type="http://schemas.openxmlformats.org/officeDocument/2006/relationships/hyperlink" Target="https://www.portugal.gov.pt/pt/gc23/comunicacao/comunicado?i=portugal-vai-enviar-mais-apoio-militar-a-ucrania" TargetMode="External"/><Relationship Id="rId3835" Type="http://schemas.openxmlformats.org/officeDocument/2006/relationships/hyperlink" Target="https://www.state.gov/u-s-security-cooperation-with-ukraine/" TargetMode="External"/><Relationship Id="rId409" Type="http://schemas.openxmlformats.org/officeDocument/2006/relationships/hyperlink" Target="https://www.reuters.com/article/ukraine-crisis-france-loan-idUSL5N2VX4PT" TargetMode="External"/><Relationship Id="rId963" Type="http://schemas.openxmlformats.org/officeDocument/2006/relationships/hyperlink" Target="https://www.reuters.com/world/europe/italy-open-supplying-air-defence-systems-ukraine-official-2022-11-08/" TargetMode="External"/><Relationship Id="rId1039" Type="http://schemas.openxmlformats.org/officeDocument/2006/relationships/hyperlink" Target="https://www.defensa.gob.es/gabinete/notasPrensa/2022/11/DGC-221110-sesion-ucrania.html" TargetMode="External"/><Relationship Id="rId1246" Type="http://schemas.openxmlformats.org/officeDocument/2006/relationships/hyperlink" Target="https://life.karpat.in.ua/?p=101279&amp;lang=hu" TargetMode="External"/><Relationship Id="rId2644" Type="http://schemas.openxmlformats.org/officeDocument/2006/relationships/hyperlink" Target="https://www.weaponstoukraine.com/kampane/viktor-mobile-air-defense-for-ukraine" TargetMode="External"/><Relationship Id="rId2851" Type="http://schemas.openxmlformats.org/officeDocument/2006/relationships/hyperlink" Target="https://crsreports.congress.gov/product/pdf/IF/IF12040" TargetMode="External"/><Relationship Id="rId3902" Type="http://schemas.openxmlformats.org/officeDocument/2006/relationships/hyperlink" Target="https://www.state.gov/u-s-security-cooperation-with-ukraine/" TargetMode="External"/><Relationship Id="rId92" Type="http://schemas.openxmlformats.org/officeDocument/2006/relationships/hyperlink" Target="https://twitter.com/a_anusauskas/status/1546202214003269635" TargetMode="External"/><Relationship Id="rId616" Type="http://schemas.openxmlformats.org/officeDocument/2006/relationships/hyperlink" Target="https://www.vlada.cz/cz/media-centrum/aktualne/informace-v-souvislosti-s-invazi-ruska-na-ukrajinu-194507/" TargetMode="External"/><Relationship Id="rId823" Type="http://schemas.openxmlformats.org/officeDocument/2006/relationships/hyperlink" Target="https://www.defense.gov/News/Releases/Release/Article/3138105/nearly-3-billion-in-additional-security-assistance-for-ukraine/" TargetMode="External"/><Relationship Id="rId1453" Type="http://schemas.openxmlformats.org/officeDocument/2006/relationships/hyperlink" Target="https://appropriations.house.gov/sites/democrats.appropriations.house.gov/files/Ukraine%20Supplemental%20Summary.pdf" TargetMode="External"/><Relationship Id="rId1660" Type="http://schemas.openxmlformats.org/officeDocument/2006/relationships/hyperlink" Target="https://crsreports.congress.gov/product/pdf/IF/IF12040" TargetMode="External"/><Relationship Id="rId2504" Type="http://schemas.openxmlformats.org/officeDocument/2006/relationships/hyperlink" Target="https://twitter.com/alexanderdecroo/status/1497914776063594502" TargetMode="External"/><Relationship Id="rId2711" Type="http://schemas.openxmlformats.org/officeDocument/2006/relationships/hyperlink" Target="https://www.mfat.govt.nz/en/countries-and-regions/europe/ukraine/russian-invasion-of-ukraine/" TargetMode="External"/><Relationship Id="rId1106" Type="http://schemas.openxmlformats.org/officeDocument/2006/relationships/hyperlink" Target="https://thestoriest.com/world/228255.html" TargetMode="External"/><Relationship Id="rId1313" Type="http://schemas.openxmlformats.org/officeDocument/2006/relationships/hyperlink" Target="https://gouvernement.lu/en/actualites/toutes_actualites/communiques/2022/02-fevrier/28-bausch-ukraine.html" TargetMode="External"/><Relationship Id="rId1520" Type="http://schemas.openxmlformats.org/officeDocument/2006/relationships/hyperlink" Target="https://appropriations.house.gov/sites/democrats.appropriations.house.gov/files/Additional%20Ukraine%20Suplemental%20Appropriations%20Act%20Summary.pdf" TargetMode="External"/><Relationship Id="rId4469" Type="http://schemas.openxmlformats.org/officeDocument/2006/relationships/hyperlink" Target="https://www.bundesregierung.de/resource/blob/975226/2189778/cdb664abe95e6fa74802882bd66ef771/2023-05-14-liste-ukr-unterstuetzung-data.pdf?download=1" TargetMode="External"/><Relationship Id="rId4676" Type="http://schemas.openxmlformats.org/officeDocument/2006/relationships/hyperlink" Target="https://www.bundesregierung.de/breg-en/news/military-support-ukraine-2054992" TargetMode="External"/><Relationship Id="rId3278" Type="http://schemas.openxmlformats.org/officeDocument/2006/relationships/hyperlink" Target="https://baltics.news/2022/03/29/latvia-will-donate-two-ambulances-and-200-stretchers-to-ukraine/" TargetMode="External"/><Relationship Id="rId3485" Type="http://schemas.openxmlformats.org/officeDocument/2006/relationships/hyperlink" Target="https://www.bundesregierung.de/breg-en/news/military-support-ukraine-2054992" TargetMode="External"/><Relationship Id="rId3692" Type="http://schemas.openxmlformats.org/officeDocument/2006/relationships/hyperlink" Target="https://um.fi/finland-s-support-to-ukraine" TargetMode="External"/><Relationship Id="rId4329" Type="http://schemas.openxmlformats.org/officeDocument/2006/relationships/hyperlink" Target="https://www.bundesregierung.de/resource/blob/975226/2189778/cdb664abe95e6fa74802882bd66ef771/2023-05-14-liste-ukr-unterstuetzung-data.pdf?download=1" TargetMode="External"/><Relationship Id="rId4536" Type="http://schemas.openxmlformats.org/officeDocument/2006/relationships/hyperlink" Target="https://crsreports.congress.gov/product/pdf/IF/IF12040" TargetMode="External"/><Relationship Id="rId4743" Type="http://schemas.openxmlformats.org/officeDocument/2006/relationships/hyperlink" Target="https://www.bundesregierung.de/breg-en/news/military-support-ukraine-2054992" TargetMode="External"/><Relationship Id="rId199" Type="http://schemas.openxmlformats.org/officeDocument/2006/relationships/hyperlink" Target="https://twitter.com/a_anusauskas/status/1574471610807062542?cxt=HHwWnMC88dHl0tkrAAAA" TargetMode="External"/><Relationship Id="rId2087" Type="http://schemas.openxmlformats.org/officeDocument/2006/relationships/hyperlink" Target="https://appropriations.house.gov/sites/democrats.appropriations.house.gov/files/Ukraine%20Supplemental%20Summary.pdf" TargetMode="External"/><Relationship Id="rId2294" Type="http://schemas.openxmlformats.org/officeDocument/2006/relationships/hyperlink" Target="https://appropriations.house.gov/sites/democrats.appropriations.house.gov/files/Ukraine%20Supplemental%20Summary%20FY23.pdf" TargetMode="External"/><Relationship Id="rId3138" Type="http://schemas.openxmlformats.org/officeDocument/2006/relationships/hyperlink" Target="https://www.canada.ca/en/department-national-defence/campaigns/canadian-military-support-to-ukraine.html" TargetMode="External"/><Relationship Id="rId3345" Type="http://schemas.openxmlformats.org/officeDocument/2006/relationships/hyperlink" Target="https://twitter.com/Archer83Able/status/1583117121579802624" TargetMode="External"/><Relationship Id="rId3552" Type="http://schemas.openxmlformats.org/officeDocument/2006/relationships/hyperlink" Target="https://www.bundesregierung.de/breg-en/news/military-support-ukraine-2054992" TargetMode="External"/><Relationship Id="rId4603" Type="http://schemas.openxmlformats.org/officeDocument/2006/relationships/hyperlink" Target="https://mvep.gov.hr/press-22794/croatia-continues-to-provide-consistent-and-ample-support-to-ukraine/253745" TargetMode="External"/><Relationship Id="rId266" Type="http://schemas.openxmlformats.org/officeDocument/2006/relationships/hyperlink" Target="https://bmi.gv.at/news.aspx?id=44786F67485A5049462F493D" TargetMode="External"/><Relationship Id="rId473" Type="http://schemas.openxmlformats.org/officeDocument/2006/relationships/hyperlink" Target="https://pm.gc.ca/en/news/news-releases/2022/05/08/prime-minister-visits-kyiv-ukraine" TargetMode="External"/><Relationship Id="rId680" Type="http://schemas.openxmlformats.org/officeDocument/2006/relationships/hyperlink" Target="https://www.ukrinform.net/rubric-ato/3491327-canada-to-give-ukraine-over-20000-155-mm-shells.html" TargetMode="External"/><Relationship Id="rId2154" Type="http://schemas.openxmlformats.org/officeDocument/2006/relationships/hyperlink" Target="https://appropriations.house.gov/sites/democrats.appropriations.house.gov/files/Additional%20Ukraine%20Suplemental%20Appropriations%20Act%20Summary.pdf" TargetMode="External"/><Relationship Id="rId2361" Type="http://schemas.openxmlformats.org/officeDocument/2006/relationships/hyperlink" Target="https://ua.ambafrance.org/Dostavka-1000-t-francuz-koyi-gumaniitarnoyi-dopomogi-ukrayins-kim-adresatam-v" TargetMode="External"/><Relationship Id="rId3205" Type="http://schemas.openxmlformats.org/officeDocument/2006/relationships/hyperlink" Target="https://russianstudiesromania.eu/2022/05/25/ukraine-aid-tracker-economic-military-and-humanitarian/" TargetMode="External"/><Relationship Id="rId3412"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4810" Type="http://schemas.openxmlformats.org/officeDocument/2006/relationships/hyperlink" Target="https://www.bundesregierung.de/breg-en/news/military-support-ukraine-2054992" TargetMode="External"/><Relationship Id="rId126" Type="http://schemas.openxmlformats.org/officeDocument/2006/relationships/hyperlink" Target="https://www.ukrinform.net/rubric-ato/3604150-italy-provides-ukraine-with-two-m270-systems-six-pzh-2000-about-30-selfpropelled-howitzers-media.html" TargetMode="External"/><Relationship Id="rId333" Type="http://schemas.openxmlformats.org/officeDocument/2006/relationships/hyperlink" Target="https://www.aa.com.tr/en/europe/spain-to-send-weapons-to-ukrainian-forces/2520902" TargetMode="External"/><Relationship Id="rId540" Type="http://schemas.openxmlformats.org/officeDocument/2006/relationships/hyperlink" Target="https://en.defence-ua.com/weapon_and_tech/portugal_to_send_howitzers_and_apcs_to_ukraine-2846.html" TargetMode="External"/><Relationship Id="rId1170" Type="http://schemas.openxmlformats.org/officeDocument/2006/relationships/hyperlink" Target="https://www.lusa.pt/article/39993895/portugal-ukraine-aid-to-include-generators-haters-led-bulbs" TargetMode="External"/><Relationship Id="rId2014" Type="http://schemas.openxmlformats.org/officeDocument/2006/relationships/hyperlink" Target="https://crsreports.congress.gov/product/pdf/IF/IF12040" TargetMode="External"/><Relationship Id="rId2221" Type="http://schemas.openxmlformats.org/officeDocument/2006/relationships/hyperlink" Target="https://appropriations.house.gov/sites/democrats.appropriations.house.gov/files/Ukraine%20Supplemental%20Summary.pdf" TargetMode="External"/><Relationship Id="rId1030" Type="http://schemas.openxmlformats.org/officeDocument/2006/relationships/hyperlink" Target="https://www.lemonde.fr/en/international/article/2022/10/11/what-weapons-is-france-sending-to-ukraine_5999916_4.html" TargetMode="External"/><Relationship Id="rId4186" Type="http://schemas.openxmlformats.org/officeDocument/2006/relationships/hyperlink" Target="https://www.italianpost.news/ukraine-what-are-the-agreements-for-reconstruction/" TargetMode="External"/><Relationship Id="rId400" Type="http://schemas.openxmlformats.org/officeDocument/2006/relationships/hyperlink" Target="https://www.vlada.cz/cz/media-centrum/aktualne/informace-v-souvislosti-s-invazi-ruska-na-ukrajinu-194507/" TargetMode="External"/><Relationship Id="rId1987" Type="http://schemas.openxmlformats.org/officeDocument/2006/relationships/hyperlink" Target="https://crsreports.congress.gov/product/pdf/IF/IF12040" TargetMode="External"/><Relationship Id="rId4393" Type="http://schemas.openxmlformats.org/officeDocument/2006/relationships/hyperlink" Target="https://www.bundesregierung.de/resource/blob/975226/2189778/cdb664abe95e6fa74802882bd66ef771/2023-05-14-liste-ukr-unterstuetzung-data.pdf?download=1" TargetMode="External"/><Relationship Id="rId1847" Type="http://schemas.openxmlformats.org/officeDocument/2006/relationships/hyperlink" Target="https://appropriations.house.gov/sites/democrats.appropriations.house.gov/files/Summary%20Continuing%20Appropriations%20and%20Ukraine%20Supplemental%20Appropriations%20Act%202023.pdf" TargetMode="External"/><Relationship Id="rId4046" Type="http://schemas.openxmlformats.org/officeDocument/2006/relationships/hyperlink" Target="https://www.defensie.nl/onderwerpen/oostflank-navo-gebied/militaire-steun-aan-oekraine" TargetMode="External"/><Relationship Id="rId4253" Type="http://schemas.openxmlformats.org/officeDocument/2006/relationships/hyperlink" Target="https://www.eda.admin.ch/eda/en/fdfa/fdfa/aktuell/dossiers/krieg-gegen-ukraine.html" TargetMode="External"/><Relationship Id="rId4460" Type="http://schemas.openxmlformats.org/officeDocument/2006/relationships/hyperlink" Target="https://www.bundesregierung.de/resource/blob/975226/2189778/cdb664abe95e6fa74802882bd66ef771/2023-05-14-liste-ukr-unterstuetzung-data.pdf?download=1" TargetMode="External"/><Relationship Id="rId1707" Type="http://schemas.openxmlformats.org/officeDocument/2006/relationships/hyperlink" Target="https://crsreports.congress.gov/product/pdf/IF/IF12040" TargetMode="External"/><Relationship Id="rId3062" Type="http://schemas.openxmlformats.org/officeDocument/2006/relationships/hyperlink" Target="https://www.gov.uk/government/news/joint-statement-the-tallinn-pledge" TargetMode="External"/><Relationship Id="rId4113" Type="http://schemas.openxmlformats.org/officeDocument/2006/relationships/hyperlink" Target="https://twitter.com/MoD_Estonia/status/1629927711668838400?cxt=HHwWgICx-can1Z4tAAAA" TargetMode="External"/><Relationship Id="rId4320" Type="http://schemas.openxmlformats.org/officeDocument/2006/relationships/hyperlink" Target="https://www.bundesregierung.de/resource/blob/975226/2189778/cdb664abe95e6fa74802882bd66ef771/2023-05-14-liste-ukr-unterstuetzung-data.pdf?download=1" TargetMode="External"/><Relationship Id="rId190"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1914" Type="http://schemas.openxmlformats.org/officeDocument/2006/relationships/hyperlink" Target="https://appropriations.house.gov/sites/democrats.appropriations.house.gov/files/Ukraine%20Supplemental%20Summary%20FY23.pdf" TargetMode="External"/><Relationship Id="rId3879" Type="http://schemas.openxmlformats.org/officeDocument/2006/relationships/hyperlink" Target="https://www.state.gov/u-s-security-cooperation-with-ukraine/" TargetMode="External"/><Relationship Id="rId2688" Type="http://schemas.openxmlformats.org/officeDocument/2006/relationships/hyperlink" Target="https://www.youtube.com/watch?v=NegBx708FvQ&amp;ab_channel=UkrainianMilitaryYouTube" TargetMode="External"/><Relationship Id="rId2895" Type="http://schemas.openxmlformats.org/officeDocument/2006/relationships/hyperlink" Target="https://mil.in.ua/en/news/czech-republic-to-transfer-heavy-equipment-and-weapons-to-ukraine/" TargetMode="External"/><Relationship Id="rId3739" Type="http://schemas.openxmlformats.org/officeDocument/2006/relationships/hyperlink" Target="https://www.government.se/press-releases/2023/02/heavy-advanced-weapons-to-ukraine-in-new-support-package/" TargetMode="External"/><Relationship Id="rId3946" Type="http://schemas.openxmlformats.org/officeDocument/2006/relationships/hyperlink" Target="https://www.state.gov/u-s-security-cooperation-with-ukraine/" TargetMode="External"/><Relationship Id="rId867" Type="http://schemas.openxmlformats.org/officeDocument/2006/relationships/hyperlink" Target="https://mil.in.ua/en/news/estonia-handed-over-the-second-modern-mobile-hospital-to-the-ukrainian-army/" TargetMode="External"/><Relationship Id="rId1497" Type="http://schemas.openxmlformats.org/officeDocument/2006/relationships/hyperlink" Target="https://appropriations.house.gov/sites/democrats.appropriations.house.gov/files/Ukraine%20Supplemental%20Summary.pdf" TargetMode="External"/><Relationship Id="rId2548" Type="http://schemas.openxmlformats.org/officeDocument/2006/relationships/hyperlink" Target="https://www.brusselstimes.com/278107/belgium-provides-e8-million-for-non-lethal-help-to-ukraine" TargetMode="External"/><Relationship Id="rId2755" Type="http://schemas.openxmlformats.org/officeDocument/2006/relationships/hyperlink" Target="https://www.defense.gov/News/Releases/Release/Article/3272866/biden-administration-announces-additional-security-assistance-for-ukraine/" TargetMode="External"/><Relationship Id="rId2962" Type="http://schemas.openxmlformats.org/officeDocument/2006/relationships/hyperlink" Target="https://www.defense.gouv.fr/sites/default/files/ministere-armees/13.01.23%20Entretien%20de%20S%C3%A9bastien%20Lecornu%2C%20ministre%20des%20Arm%C3%A9es%2C%20avec%20Oleksii%20Reznikov.pdf" TargetMode="External"/><Relationship Id="rId3806" Type="http://schemas.openxmlformats.org/officeDocument/2006/relationships/hyperlink" Target="https://www.defense.gov/News/Releases/Release/Article/3350958/biden-administration-announces-additional-security-assistance-for-ukraine/" TargetMode="External"/><Relationship Id="rId727" Type="http://schemas.openxmlformats.org/officeDocument/2006/relationships/hyperlink" Target="https://www.reuters.com/world/europe/lithuania-transfer-crowdfunded-bayraktar-drone-ukraine-wednesday-2022-07-06/" TargetMode="External"/><Relationship Id="rId934" Type="http://schemas.openxmlformats.org/officeDocument/2006/relationships/hyperlink" Target="https://www-regjeringen-no.translate.goog/en/aktuelt/droner/id2924942/?_x_tr_sl=auto&amp;_x_tr_tl=uk&amp;_x_tr_hl=uk&amp;_x_tr_pto=op" TargetMode="External"/><Relationship Id="rId1357" Type="http://schemas.openxmlformats.org/officeDocument/2006/relationships/hyperlink" Target="https://appropriations.house.gov/sites/democrats.appropriations.house.gov/files/Summary%20Continuing%20Appropriations%20and%20Ukraine%20Supplemental%20Appropriations%20Act%202023.pdf" TargetMode="External"/><Relationship Id="rId1564" Type="http://schemas.openxmlformats.org/officeDocument/2006/relationships/hyperlink" Target="https://appropriations.house.gov/sites/democrats.appropriations.house.gov/files/Additional%20Ukraine%20Suplemental%20Appropriations%20Act%20Summary.pdf" TargetMode="External"/><Relationship Id="rId1771" Type="http://schemas.openxmlformats.org/officeDocument/2006/relationships/hyperlink" Target="https://crsreports.congress.gov/product/pdf/IF/IF12040" TargetMode="External"/><Relationship Id="rId2408" Type="http://schemas.openxmlformats.org/officeDocument/2006/relationships/hyperlink" Target="http://web.archive.org/web/20221220221320/https:/www.austria.org/ukraine" TargetMode="External"/><Relationship Id="rId2615"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2822" Type="http://schemas.openxmlformats.org/officeDocument/2006/relationships/hyperlink" Target="https://www.defense.gov/News/Releases/Release/Article/3302787/biden-administration-announces-additional-security-assistance-for-ukraine/" TargetMode="External"/><Relationship Id="rId63" Type="http://schemas.openxmlformats.org/officeDocument/2006/relationships/hyperlink" Target="https://www.ukrinform.net/rubric-polytics/3501933-estonia-has-provided-240m-in-military-aid-to-ukraine-korniyenko.html" TargetMode="External"/><Relationship Id="rId1217" Type="http://schemas.openxmlformats.org/officeDocument/2006/relationships/hyperlink" Target="https://www.defense.gov/News/Releases/Release/Article/3227217/400-million-in-additional-assistance-for-ukraine/" TargetMode="External"/><Relationship Id="rId1424" Type="http://schemas.openxmlformats.org/officeDocument/2006/relationships/hyperlink" Target="https://appropriations.house.gov/sites/democrats.appropriations.house.gov/files/Ukraine%20Supplemental%20Summary.pdf" TargetMode="External"/><Relationship Id="rId1631" Type="http://schemas.openxmlformats.org/officeDocument/2006/relationships/hyperlink" Target="https://appropriations.house.gov/sites/democrats.appropriations.house.gov/files/Additional%20Ukraine%20Suplemental%20Appropriations%20Act%20Summary.pdf" TargetMode="External"/><Relationship Id="rId4787" Type="http://schemas.openxmlformats.org/officeDocument/2006/relationships/hyperlink" Target="https://www.bundesregierung.de/breg-en/news/military-support-ukraine-2054992" TargetMode="External"/><Relationship Id="rId3389" Type="http://schemas.openxmlformats.org/officeDocument/2006/relationships/hyperlink" Target="https://www.bmwk.de/Redaktion/DE/Downloads/U/unterstuetzung-ukraine.pdf?__blob=publicationFile&amp;v=10" TargetMode="External"/><Relationship Id="rId3596" Type="http://schemas.openxmlformats.org/officeDocument/2006/relationships/hyperlink" Target="https://www.eda.admin.ch/content/dam/eda/en/documents/aktuell/news/2022/20221215-ukraine-engagement-schweiz-finanzielle-unterstuetzung_en.pdf" TargetMode="External"/><Relationship Id="rId4647" Type="http://schemas.openxmlformats.org/officeDocument/2006/relationships/hyperlink" Target="https://www.defensie.nl/onderwerpen/oostflank-navo-gebied/militaire-steun-aan-oekraine" TargetMode="External"/><Relationship Id="rId2198" Type="http://schemas.openxmlformats.org/officeDocument/2006/relationships/hyperlink" Target="https://appropriations.house.gov/sites/democrats.appropriations.house.gov/files/Additional%20Ukraine%20Suplemental%20Appropriations%20Act%20Summary.pdf" TargetMode="External"/><Relationship Id="rId3249" Type="http://schemas.openxmlformats.org/officeDocument/2006/relationships/hyperlink" Target="https://en.mofa.gov.tw/News_Content.aspx?n=1328&amp;sms=273&amp;s=97920" TargetMode="External"/><Relationship Id="rId3456" Type="http://schemas.openxmlformats.org/officeDocument/2006/relationships/hyperlink" Target="https://www.bundesregierung.de/breg-en/news/military-support-ukraine-2054992" TargetMode="External"/><Relationship Id="rId377" Type="http://schemas.openxmlformats.org/officeDocument/2006/relationships/hyperlink" Target="https://www.politico.com/news/2022/03/22/ukraine-weapons-military-aid-00019104" TargetMode="External"/><Relationship Id="rId584" Type="http://schemas.openxmlformats.org/officeDocument/2006/relationships/hyperlink" Target="https://pmtranscripts.pmc.gov.au/release/transcript-43950" TargetMode="External"/><Relationship Id="rId205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65" Type="http://schemas.openxmlformats.org/officeDocument/2006/relationships/hyperlink" Target="https://crsreports.congress.gov/product/pdf/IF/IF12040" TargetMode="External"/><Relationship Id="rId3109" Type="http://schemas.openxmlformats.org/officeDocument/2006/relationships/hyperlink" Target="https://www.unocha.org/story/un-and-partners-appeal-us56-billion-help-millions-affected-ukraine-war" TargetMode="External"/><Relationship Id="rId3663" Type="http://schemas.openxmlformats.org/officeDocument/2006/relationships/hyperlink" Target="https://www.government.is/topics/foreign-affairs/war-in-ukraine/" TargetMode="External"/><Relationship Id="rId3870" Type="http://schemas.openxmlformats.org/officeDocument/2006/relationships/hyperlink" Target="https://www.state.gov/u-s-security-cooperation-with-ukraine/" TargetMode="External"/><Relationship Id="rId4507" Type="http://schemas.openxmlformats.org/officeDocument/2006/relationships/hyperlink" Target="https://www.bmeia.gv.at/ministerium/presse/aktuelles/2023/05/oesterreich-finanziert-entminungsgeraet-fuer-die-ukraine-im-wert-von-2-millionen-euro/" TargetMode="External"/><Relationship Id="rId4714" Type="http://schemas.openxmlformats.org/officeDocument/2006/relationships/hyperlink" Target="https://www.bundesregierung.de/breg-en/news/military-support-ukraine-2054992" TargetMode="External"/><Relationship Id="rId237" Type="http://schemas.openxmlformats.org/officeDocument/2006/relationships/hyperlink" Target="https://eng.lsm.lv/article/society/defense/30-truckloads-of-equipment-heading-from-latvia-to-ukraine.a445455/" TargetMode="External"/><Relationship Id="rId791" Type="http://schemas.openxmlformats.org/officeDocument/2006/relationships/hyperlink" Target="https://www.defense.gov/News/Releases/Release/Article/3134457/775-million-in-additional-security-assistance-for-ukraine/" TargetMode="External"/><Relationship Id="rId1074" Type="http://schemas.openxmlformats.org/officeDocument/2006/relationships/hyperlink" Target="https://de.ambafrance.org/Bilan-de-l-aide-apportee-par-la-France-a-l-Ukraine-fevrier-2023" TargetMode="External"/><Relationship Id="rId2472" Type="http://schemas.openxmlformats.org/officeDocument/2006/relationships/hyperlink" Target="https://www.euractiv.com/section/politics/short_news/belgium-to-provide-e8-million-for-non-lethal-aid-to-ukraines-armed-forces/" TargetMode="External"/><Relationship Id="rId3316" Type="http://schemas.openxmlformats.org/officeDocument/2006/relationships/hyperlink" Target="https://www.government.se/government-policy/russias-invasion-of-ukraine/?page=3" TargetMode="External"/><Relationship Id="rId3523" Type="http://schemas.openxmlformats.org/officeDocument/2006/relationships/hyperlink" Target="https://www.bundesregierung.de/breg-en/news/military-support-ukraine-2054992" TargetMode="External"/><Relationship Id="rId3730" Type="http://schemas.openxmlformats.org/officeDocument/2006/relationships/hyperlink" Target="https://www.government.se/articles/2023/01/heavy-advanced-weapons-to-ukraine/" TargetMode="External"/><Relationship Id="rId444" Type="http://schemas.openxmlformats.org/officeDocument/2006/relationships/hyperlink" Target="https://www.regjeringen.no/en/aktuelt/ukrainefund/id2909840/" TargetMode="External"/><Relationship Id="rId651" Type="http://schemas.openxmlformats.org/officeDocument/2006/relationships/hyperlink" Target="https://nltimes.nl/2022/03/31/netherlands-already-supplied-50-million-euros-worth-weapons-ukraine" TargetMode="External"/><Relationship Id="rId1281" Type="http://schemas.openxmlformats.org/officeDocument/2006/relationships/hyperlink" Target="https://www.army-technology.com/news/germany-norway-denmark-zuzana2-ukraine/" TargetMode="External"/><Relationship Id="rId2125" Type="http://schemas.openxmlformats.org/officeDocument/2006/relationships/hyperlink" Target="https://crsreports.congress.gov/product/pdf/IF/IF12040" TargetMode="External"/><Relationship Id="rId2332" Type="http://schemas.openxmlformats.org/officeDocument/2006/relationships/hyperlink" Target="https://japan.kantei.go.jp/ongoingtopics/_00002.html" TargetMode="External"/><Relationship Id="rId304" Type="http://schemas.openxmlformats.org/officeDocument/2006/relationships/hyperlink" Target="https://twitter.com/eduardheger/status/1498055152045015046" TargetMode="External"/><Relationship Id="rId511" Type="http://schemas.openxmlformats.org/officeDocument/2006/relationships/hyperlink" Target="https://interfax.com/newsroom/top-stories/79528/" TargetMode="External"/><Relationship Id="rId1141" Type="http://schemas.openxmlformats.org/officeDocument/2006/relationships/hyperlink" Target="https://ua.interfax.com.ua/news/general/844172.html" TargetMode="External"/><Relationship Id="rId4297" Type="http://schemas.openxmlformats.org/officeDocument/2006/relationships/hyperlink" Target="https://ua.ambafrance.org/Ofiiciijne-vruchennya-sviitlodiiodnih-lampi-peredanih-Franciiieyu-Ukrayinii" TargetMode="External"/><Relationship Id="rId1001" Type="http://schemas.openxmlformats.org/officeDocument/2006/relationships/hyperlink" Target="https://edition.cnn.com/2022/04/09/europe/ukraine-uk-boris-johnson-intl-gbr/index.html" TargetMode="External"/><Relationship Id="rId4157" Type="http://schemas.openxmlformats.org/officeDocument/2006/relationships/hyperlink" Target="https://www.rferl.org/a/ukraine-estonia-military-aid/32372658.html" TargetMode="External"/><Relationship Id="rId4364" Type="http://schemas.openxmlformats.org/officeDocument/2006/relationships/hyperlink" Target="https://www.bundesregierung.de/resource/blob/975226/2189778/cdb664abe95e6fa74802882bd66ef771/2023-05-14-liste-ukr-unterstuetzung-data.pdf?download=1" TargetMode="External"/><Relationship Id="rId4571" Type="http://schemas.openxmlformats.org/officeDocument/2006/relationships/hyperlink" Target="https://eng.lsm.lv/article/society/society/fill-ten-buses-with-donations-to-ukraine.a488954/" TargetMode="External"/><Relationship Id="rId1958" Type="http://schemas.openxmlformats.org/officeDocument/2006/relationships/hyperlink" Target="https://crsreports.congress.gov/product/pdf/IF/IF12040" TargetMode="External"/><Relationship Id="rId3173" Type="http://schemas.openxmlformats.org/officeDocument/2006/relationships/hyperlink" Target="https://www.consilium.europa.eu/en/press/press-releases/2022/10/17/ukraine-council-agrees-on-further-support-under-the-european-peace-facility/" TargetMode="External"/><Relationship Id="rId3380"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4017" Type="http://schemas.openxmlformats.org/officeDocument/2006/relationships/hyperlink" Target="https://twitter.com/Defense_lu/status/1598610977364115462?t=6bU22e0y0z-S3WKot0R3BA&amp;s=19" TargetMode="External"/><Relationship Id="rId4224" Type="http://schemas.openxmlformats.org/officeDocument/2006/relationships/hyperlink" Target="https://mil.in.ua/en/news/ukrainian-military-started-using-romanian-apr-40-mrl/" TargetMode="External"/><Relationship Id="rId4431" Type="http://schemas.openxmlformats.org/officeDocument/2006/relationships/hyperlink" Target="https://www.bundesregierung.de/resource/blob/975226/2189778/cdb664abe95e6fa74802882bd66ef771/2023-05-14-liste-ukr-unterstuetzung-data.pdf?download=1" TargetMode="External"/><Relationship Id="rId1818"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33" Type="http://schemas.openxmlformats.org/officeDocument/2006/relationships/hyperlink" Target="https://twitter.com/a_anusauskas/status/1617576539377500160?cxt=HHwWgIDQqdrS5PIsAAAA" TargetMode="External"/><Relationship Id="rId3240" Type="http://schemas.openxmlformats.org/officeDocument/2006/relationships/hyperlink" Target="https://mil.in.ua/en/news/the-czech-republic-announces-further-military-support-for-ukraine/" TargetMode="External"/><Relationship Id="rId161" Type="http://schemas.openxmlformats.org/officeDocument/2006/relationships/hyperlink" Target="https://twitter.com/a_anusauskas/status/1594701256463110144" TargetMode="External"/><Relationship Id="rId2799" Type="http://schemas.openxmlformats.org/officeDocument/2006/relationships/hyperlink" Target="https://crsreports.congress.gov/product/pdf/IF/IF12040" TargetMode="External"/><Relationship Id="rId3100" Type="http://schemas.openxmlformats.org/officeDocument/2006/relationships/hyperlink" Target="https://www.tweedekamer.nl/downloads/document?id=2022D47819" TargetMode="External"/><Relationship Id="rId978" Type="http://schemas.openxmlformats.org/officeDocument/2006/relationships/hyperlink" Target="https://twitter.com/a_anusauskas/status/1592084804501401604" TargetMode="External"/><Relationship Id="rId2659" Type="http://schemas.openxmlformats.org/officeDocument/2006/relationships/hyperlink" Target="https://www.gov.uk/government/speeches/defence-secretary-oral-statement-on-war-in-ukraine--2" TargetMode="External"/><Relationship Id="rId2866" Type="http://schemas.openxmlformats.org/officeDocument/2006/relationships/hyperlink" Target="https://crsreports.congress.gov/product/pdf/IF/IF12040" TargetMode="External"/><Relationship Id="rId3917" Type="http://schemas.openxmlformats.org/officeDocument/2006/relationships/hyperlink" Target="https://www.state.gov/u-s-security-cooperation-with-ukraine/" TargetMode="External"/><Relationship Id="rId838" Type="http://schemas.openxmlformats.org/officeDocument/2006/relationships/hyperlink" Target="https://pmtranscripts.pmc.gov.au/release/transcript-43947" TargetMode="External"/><Relationship Id="rId1468" Type="http://schemas.openxmlformats.org/officeDocument/2006/relationships/hyperlink" Target="https://appropriations.house.gov/sites/democrats.appropriations.house.gov/files/Ukraine%20Supplemental%20Summary.pdf" TargetMode="External"/><Relationship Id="rId1675" Type="http://schemas.openxmlformats.org/officeDocument/2006/relationships/hyperlink" Target="https://crsreports.congress.gov/product/pdf/IF/IF12040" TargetMode="External"/><Relationship Id="rId1882" Type="http://schemas.openxmlformats.org/officeDocument/2006/relationships/hyperlink" Target="https://appropriations.house.gov/sites/democrats.appropriations.house.gov/files/Ukraine%20Supplemental%20Summary%20FY23.pdf" TargetMode="External"/><Relationship Id="rId2519" Type="http://schemas.openxmlformats.org/officeDocument/2006/relationships/hyperlink" Target="https://mil.in.ua/en/news/belgium-made-a-decision-to-hand-over-artillery-to-ukraine-the-media/" TargetMode="External"/><Relationship Id="rId2726" Type="http://schemas.openxmlformats.org/officeDocument/2006/relationships/hyperlink" Target="https://www.regjeringen.no/en/aktuelt/seed_support/id2959864/" TargetMode="External"/><Relationship Id="rId4081" Type="http://schemas.openxmlformats.org/officeDocument/2006/relationships/hyperlink" Target="https://elpais.com/internacional/2023-02-23/guerra-ucrania-rusia-ultimas-noticias-en-directo.html" TargetMode="External"/><Relationship Id="rId1328" Type="http://schemas.openxmlformats.org/officeDocument/2006/relationships/hyperlink" Target="https://www.investor.bg/a/527-svyat/366246-balgariya-e-otpusnala-na-ukrayna-pomosht-za-448-mln-lv-ot-nachaloto-na-voynata" TargetMode="External"/><Relationship Id="rId1535" Type="http://schemas.openxmlformats.org/officeDocument/2006/relationships/hyperlink" Target="https://appropriations.house.gov/sites/democrats.appropriations.house.gov/files/Additional%20Ukraine%20Suplemental%20Appropriations%20Act%20Summary.pdf" TargetMode="External"/><Relationship Id="rId2933" Type="http://schemas.openxmlformats.org/officeDocument/2006/relationships/hyperlink" Target="https://www.mzv.cz/jnp/en/issues_and_press/humanitarian_aid_from_the_ministry_of.html" TargetMode="External"/><Relationship Id="rId905" Type="http://schemas.openxmlformats.org/officeDocument/2006/relationships/hyperlink" Target="https://um.dk/en/foreign-policy/danish-support-for-ukraine" TargetMode="External"/><Relationship Id="rId1742" Type="http://schemas.openxmlformats.org/officeDocument/2006/relationships/hyperlink" Target="https://crsreports.congress.gov/product/pdf/IF/IF12040" TargetMode="External"/><Relationship Id="rId34" Type="http://schemas.openxmlformats.org/officeDocument/2006/relationships/hyperlink" Target="https://www.bbc.com/news/world-europe-61482305" TargetMode="External"/><Relationship Id="rId1602" Type="http://schemas.openxmlformats.org/officeDocument/2006/relationships/hyperlink" Target="https://appropriations.house.gov/sites/democrats.appropriations.house.gov/files/Additional%20Ukraine%20Suplemental%20Appropriations%20Act%20Summary.pdf" TargetMode="External"/><Relationship Id="rId4758" Type="http://schemas.openxmlformats.org/officeDocument/2006/relationships/hyperlink" Target="https://www.bundesregierung.de/breg-en/news/military-support-ukraine-2054992" TargetMode="External"/><Relationship Id="rId3567" Type="http://schemas.openxmlformats.org/officeDocument/2006/relationships/hyperlink" Target="https://www.bundesregierung.de/resource/blob/975226/2189778/cdb664abe95e6fa74802882bd66ef771/2023-05-14-liste-ukr-unterstuetzung-data.pdf?download=1" TargetMode="External"/><Relationship Id="rId3774" Type="http://schemas.openxmlformats.org/officeDocument/2006/relationships/hyperlink" Target="https://www.state.gov/u-s-security-cooperation-with-ukraine/" TargetMode="External"/><Relationship Id="rId3981" Type="http://schemas.openxmlformats.org/officeDocument/2006/relationships/hyperlink" Target="https://www.vienna.at/ukraine-krieg-bislang-124-mio-euro-unterstuetzung-von-oesterreich/7885546" TargetMode="External"/><Relationship Id="rId4618" Type="http://schemas.openxmlformats.org/officeDocument/2006/relationships/hyperlink" Target="https://web.archive.org/web/20230524183203/https:/www.defesa.gov.pt/pt/comunicacao/documentos/Lists/PDEFINTER_DocumentoLookupList/apoio_militar_Portugal_Ucrania_20230503.pdf" TargetMode="External"/><Relationship Id="rId4825" Type="http://schemas.openxmlformats.org/officeDocument/2006/relationships/hyperlink" Target="https://www.bundesregierung.de/breg-en/news/military-support-ukraine-2054992" TargetMode="External"/><Relationship Id="rId488" Type="http://schemas.openxmlformats.org/officeDocument/2006/relationships/hyperlink" Target="https://war.ukraine.ua/news/19207/" TargetMode="External"/><Relationship Id="rId695" Type="http://schemas.openxmlformats.org/officeDocument/2006/relationships/hyperlink" Target="https://www.gov.uk/government/news/uk-to-gift-multiple-launch-rocket-systems-to-ukraine" TargetMode="External"/><Relationship Id="rId2169" Type="http://schemas.openxmlformats.org/officeDocument/2006/relationships/hyperlink" Target="https://appropriations.house.gov/sites/democrats.appropriations.house.gov/files/Additional%20Ukraine%20Suplemental%20Appropriations%20Act%20Summary.pdf" TargetMode="External"/><Relationship Id="rId2376" Type="http://schemas.openxmlformats.org/officeDocument/2006/relationships/hyperlink" Target="https://www.connexionfrance.com/article/French-news/Humanitarian-ship-for-Ukraine-leaves-French-port-with-8m-of-aid" TargetMode="External"/><Relationship Id="rId2583"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790" Type="http://schemas.openxmlformats.org/officeDocument/2006/relationships/hyperlink" Target="https://crsreports.congress.gov/product/pdf/IF/IF12040" TargetMode="External"/><Relationship Id="rId3427" Type="http://schemas.openxmlformats.org/officeDocument/2006/relationships/hyperlink" Target="https://www.bundesregierung.de/breg-en/news/military-support-ukraine-2054992" TargetMode="External"/><Relationship Id="rId3634" Type="http://schemas.openxmlformats.org/officeDocument/2006/relationships/hyperlink" Target="https://www.bundesregierung.de/breg-en/news/military-support-ukraine-2054992" TargetMode="External"/><Relationship Id="rId3841" Type="http://schemas.openxmlformats.org/officeDocument/2006/relationships/hyperlink" Target="https://www.defense.gov/News/Releases/Release/Article/3367924/biden-administration-announces-additional-security-assistance-for-ukraine/" TargetMode="External"/><Relationship Id="rId348" Type="http://schemas.openxmlformats.org/officeDocument/2006/relationships/hyperlink" Target="https://www.gov.si/en/news/2022-02-26-humanitarian-contribution-of-the-republic-of-slovenia-to-the-people-of-ukraine/" TargetMode="External"/><Relationship Id="rId555" Type="http://schemas.openxmlformats.org/officeDocument/2006/relationships/hyperlink" Target="https://www.eib.org/en/press/news/donation-ukraine" TargetMode="External"/><Relationship Id="rId762" Type="http://schemas.openxmlformats.org/officeDocument/2006/relationships/hyperlink" Target="https://www.government.nl/latest/news/2022/08/22/extra-dutch-support-for-ukrainian-war-effort-and-reconstruction" TargetMode="External"/><Relationship Id="rId1185" Type="http://schemas.openxmlformats.org/officeDocument/2006/relationships/hyperlink" Target="https://japan.kantei.go.jp/ongoingtopics/pdf/jp_stands_with_ukraine_eng.pdf" TargetMode="External"/><Relationship Id="rId1392" Type="http://schemas.openxmlformats.org/officeDocument/2006/relationships/hyperlink" Target="https://appropriations.house.gov/sites/democrats.appropriations.house.gov/files/Ukraine%20Supplemental%20Summary.pdf" TargetMode="External"/><Relationship Id="rId2029" Type="http://schemas.openxmlformats.org/officeDocument/2006/relationships/hyperlink" Target="https://crsreports.congress.gov/product/pdf/IF/IF12040" TargetMode="External"/><Relationship Id="rId2236" Type="http://schemas.openxmlformats.org/officeDocument/2006/relationships/hyperlink" Target="https://appropriations.house.gov/sites/democrats.appropriations.house.gov/files/Ukraine%20Supplemental%20Summary.pdf" TargetMode="External"/><Relationship Id="rId2443" Type="http://schemas.openxmlformats.org/officeDocument/2006/relationships/hyperlink" Target="https://www.novinky.cz/clanek/zahranicni-evropa-souhrn-deni-na-ukrajine-ve-stredu-40389910" TargetMode="External"/><Relationship Id="rId2650" Type="http://schemas.openxmlformats.org/officeDocument/2006/relationships/hyperlink" Target="https://www.reuters.com/world/europe/polish-leopard-tanks-are-already-ukraine-defence-minister-says-2023-02-24/" TargetMode="External"/><Relationship Id="rId3701" Type="http://schemas.openxmlformats.org/officeDocument/2006/relationships/hyperlink" Target="https://www.euronews.com/next/2022/04/28/finland-to-sell-confiscated-bitcoin-worth-75-million-to-support-ukraine-s-war-effort" TargetMode="External"/><Relationship Id="rId208" Type="http://schemas.openxmlformats.org/officeDocument/2006/relationships/hyperlink" Target="https://www.gov.si/en/news/2022-11-28-in-kiev-minister-sarec-expresses-slovenias-support-and-solidarity-to-ukraine/" TargetMode="External"/><Relationship Id="rId415" Type="http://schemas.openxmlformats.org/officeDocument/2006/relationships/hyperlink" Target="https://www.rtvslo.si/radio-si/news/slovenia-promises-aid-to-ukraine/625786" TargetMode="External"/><Relationship Id="rId622" Type="http://schemas.openxmlformats.org/officeDocument/2006/relationships/hyperlink" Target="https://vm.ee/en/humanitarian-aid-ukraine" TargetMode="External"/><Relationship Id="rId1045" Type="http://schemas.openxmlformats.org/officeDocument/2006/relationships/hyperlink" Target="https://www.wfp.org/news/japan-provides-us28-million-humanitarian-food-assistance-ukraine" TargetMode="External"/><Relationship Id="rId1252" Type="http://schemas.openxmlformats.org/officeDocument/2006/relationships/hyperlink" Target="https://twitter.com/visegrad24/status/1533567105110507521" TargetMode="External"/><Relationship Id="rId230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10" Type="http://schemas.openxmlformats.org/officeDocument/2006/relationships/hyperlink" Target="https://mil.in.ua/en/news/belgium-made-a-decision-to-hand-over-artillery-to-ukraine-the-media/" TargetMode="External"/><Relationship Id="rId1112" Type="http://schemas.openxmlformats.org/officeDocument/2006/relationships/hyperlink" Target="https://www.canada.ca/en/department-national-defence/news/2023/01/defence-minister-anita-anand-announces-air-defence-system-donation-to-ukraine.html" TargetMode="External"/><Relationship Id="rId4268" Type="http://schemas.openxmlformats.org/officeDocument/2006/relationships/hyperlink" Target="https://kyivindependent.com/czechia-to-send-30-million-worth-of-military-aid-to-ukraine/" TargetMode="External"/><Relationship Id="rId4475" Type="http://schemas.openxmlformats.org/officeDocument/2006/relationships/hyperlink" Target="https://www.bundesregierung.de/resource/blob/975226/2189778/cdb664abe95e6fa74802882bd66ef771/2023-05-14-liste-ukr-unterstuetzung-data.pdf?download=1" TargetMode="External"/><Relationship Id="rId3077" Type="http://schemas.openxmlformats.org/officeDocument/2006/relationships/hyperlink" Target="https://www.reuters.com/world/europe/polish-leopard-tanks-are-already-ukraine-defence-minister-says-2023-02-24/" TargetMode="External"/><Relationship Id="rId3284" Type="http://schemas.openxmlformats.org/officeDocument/2006/relationships/hyperlink" Target="https://300gospodarka.pl/news/dworczyk-wartosc-polskiej-pomocy-militarnej-dla-ukrainy-to-juz-18-mld-euro" TargetMode="External"/><Relationship Id="rId4128" Type="http://schemas.openxmlformats.org/officeDocument/2006/relationships/hyperlink" Target="https://kaitseministeerium.ee/en/news/estonia-sending-ukraine-urgently-needed-ammunition" TargetMode="External"/><Relationship Id="rId4682" Type="http://schemas.openxmlformats.org/officeDocument/2006/relationships/hyperlink" Target="https://www.bundesregierung.de/breg-en/news/military-support-ukraine-2054992" TargetMode="External"/><Relationship Id="rId1929" Type="http://schemas.openxmlformats.org/officeDocument/2006/relationships/hyperlink" Target="https://appropriations.house.gov/sites/democrats.appropriations.house.gov/files/Ukraine%20Supplemental%20Summary%20FY23.pdf" TargetMode="External"/><Relationship Id="rId2093" Type="http://schemas.openxmlformats.org/officeDocument/2006/relationships/hyperlink" Target="https://appropriations.house.gov/sites/democrats.appropriations.house.gov/files/Ukraine%20Supplemental%20Summary.pdf" TargetMode="External"/><Relationship Id="rId3491" Type="http://schemas.openxmlformats.org/officeDocument/2006/relationships/hyperlink" Target="https://www.bundesregierung.de/breg-en/news/military-support-ukraine-2054992" TargetMode="External"/><Relationship Id="rId4335" Type="http://schemas.openxmlformats.org/officeDocument/2006/relationships/hyperlink" Target="https://www.bundesregierung.de/resource/blob/975226/2189778/cdb664abe95e6fa74802882bd66ef771/2023-05-14-liste-ukr-unterstuetzung-data.pdf?download=1" TargetMode="External"/><Relationship Id="rId4542" Type="http://schemas.openxmlformats.org/officeDocument/2006/relationships/hyperlink" Target="https://crsreports.congress.gov/product/pdf/IF/IF12040" TargetMode="External"/><Relationship Id="rId3144" Type="http://schemas.openxmlformats.org/officeDocument/2006/relationships/hyperlink" Target="https://www.worldbank.org/en/country/ukraine/brief/world-bank-emergency-financing-package-for-ukraine" TargetMode="External"/><Relationship Id="rId3351" Type="http://schemas.openxmlformats.org/officeDocument/2006/relationships/hyperlink" Target="https://time.com/6244479/himars-rockets-ukraine-russia/" TargetMode="External"/><Relationship Id="rId4402" Type="http://schemas.openxmlformats.org/officeDocument/2006/relationships/hyperlink" Target="https://www.bundesregierung.de/resource/blob/975226/2189778/cdb664abe95e6fa74802882bd66ef771/2023-05-14-liste-ukr-unterstuetzung-data.pdf?download=1" TargetMode="External"/><Relationship Id="rId272" Type="http://schemas.openxmlformats.org/officeDocument/2006/relationships/hyperlink" Target="https://www.canada.ca/en/global-affairs/news/2022/03/canadas-humanitarian-assistance-for-ukraine.html" TargetMode="External"/><Relationship Id="rId2160" Type="http://schemas.openxmlformats.org/officeDocument/2006/relationships/hyperlink" Target="https://appropriations.house.gov/sites/democrats.appropriations.house.gov/files/Additional%20Ukraine%20Suplemental%20Appropriations%20Act%20Summary.pdf" TargetMode="External"/><Relationship Id="rId3004" Type="http://schemas.openxmlformats.org/officeDocument/2006/relationships/hyperlink" Target="https://www.publico.pt/2023/01/20/mundo/noticia/zelensky-portugal-disponivel-enviar-tanques-2035760" TargetMode="External"/><Relationship Id="rId3211" Type="http://schemas.openxmlformats.org/officeDocument/2006/relationships/hyperlink" Target="https://www.army-technology.com/news/uk-1000-more-surface-to-air-missiles-ukraine/" TargetMode="External"/><Relationship Id="rId132" Type="http://schemas.openxmlformats.org/officeDocument/2006/relationships/hyperlink" Target="https://www.gov.uk/government/news/uk-to-send-scores-of-artillery-guns-and-hundreds-of-drones-to-ukraine" TargetMode="External"/><Relationship Id="rId2020" Type="http://schemas.openxmlformats.org/officeDocument/2006/relationships/hyperlink" Target="https://crsreports.congress.gov/product/pdf/IF/IF12040" TargetMode="External"/><Relationship Id="rId1579" Type="http://schemas.openxmlformats.org/officeDocument/2006/relationships/hyperlink" Target="https://appropriations.house.gov/sites/democrats.appropriations.house.gov/files/Additional%20Ukraine%20Suplemental%20Appropriations%20Act%20Summary.pdf" TargetMode="External"/><Relationship Id="rId2977" Type="http://schemas.openxmlformats.org/officeDocument/2006/relationships/hyperlink" Target="https://global.espreso.tv/italy-approves-sixth-military-aid-package-to-ukraine" TargetMode="External"/><Relationship Id="rId4192" Type="http://schemas.openxmlformats.org/officeDocument/2006/relationships/hyperlink" Target="https://english.nv.ua/nation/italy-to-transfer-samp-t-air-defense-battery-to-ukraine-news-50297426.html" TargetMode="External"/><Relationship Id="rId949" Type="http://schemas.openxmlformats.org/officeDocument/2006/relationships/hyperlink" Target="https://www.interieur.gouv.fr/actualites/dossiers/situation-en-ukraine/solidarite-nationale-envers-lukraine-second-convoi-de" TargetMode="External"/><Relationship Id="rId1786" Type="http://schemas.openxmlformats.org/officeDocument/2006/relationships/hyperlink" Target="https://crsreports.congress.gov/product/pdf/IF/IF12040" TargetMode="External"/><Relationship Id="rId1993" Type="http://schemas.openxmlformats.org/officeDocument/2006/relationships/hyperlink" Target="https://crsreports.congress.gov/product/pdf/IF/IF12040" TargetMode="External"/><Relationship Id="rId2837" Type="http://schemas.openxmlformats.org/officeDocument/2006/relationships/hyperlink" Target="https://www.defense.gov/News/Releases/Release/Article/3302787/biden-administration-announces-additional-security-assistance-for-ukraine/" TargetMode="External"/><Relationship Id="rId4052" Type="http://schemas.openxmlformats.org/officeDocument/2006/relationships/hyperlink" Target="https://www.defensie.nl/onderwerpen/oostflank-navo-gebied/militaire-steun-aan-oekraine" TargetMode="External"/><Relationship Id="rId78" Type="http://schemas.openxmlformats.org/officeDocument/2006/relationships/hyperlink" Target="https://radar.rp.pl/przemysl-obronny/art35751811-pioruny-drony-i-amunicja-polskie-uzbrojenie-w-drodze-na-ukraine" TargetMode="External"/><Relationship Id="rId809" Type="http://schemas.openxmlformats.org/officeDocument/2006/relationships/hyperlink" Target="https://www.defense.gov/News/Releases/Release/Article/3160503/600-million-in-additional-security-assistance-for-ukraine/" TargetMode="External"/><Relationship Id="rId1439" Type="http://schemas.openxmlformats.org/officeDocument/2006/relationships/hyperlink" Target="https://appropriations.house.gov/sites/democrats.appropriations.house.gov/files/Ukraine%20Supplemental%20Summary.pdf" TargetMode="External"/><Relationship Id="rId1646" Type="http://schemas.openxmlformats.org/officeDocument/2006/relationships/hyperlink" Target="https://appropriations.house.gov/sites/democrats.appropriations.house.gov/files/Additional%20Ukraine%20Suplemental%20Appropriations%20Act%20Summary.pdf" TargetMode="External"/><Relationship Id="rId185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04" Type="http://schemas.openxmlformats.org/officeDocument/2006/relationships/hyperlink" Target="https://www.vlada.cz/en/media-centrum/tiskove-zpravy/czechia-sends-hundreds-of-heavy-military-systems-worth-tens-of-billions-to-ukraine-during-the-first-year-of-russian-invasion-203252/" TargetMode="External"/><Relationship Id="rId1506" Type="http://schemas.openxmlformats.org/officeDocument/2006/relationships/hyperlink" Target="https://appropriations.house.gov/sites/democrats.appropriations.house.gov/files/Ukraine%20Supplemental%20Summary.pdf" TargetMode="External"/><Relationship Id="rId1713" Type="http://schemas.openxmlformats.org/officeDocument/2006/relationships/hyperlink" Target="https://crsreports.congress.gov/product/pdf/IF/IF12040" TargetMode="External"/><Relationship Id="rId1920" Type="http://schemas.openxmlformats.org/officeDocument/2006/relationships/hyperlink" Target="https://appropriations.house.gov/sites/democrats.appropriations.house.gov/files/Ukraine%20Supplemental%20Summary%20FY23.pdf" TargetMode="External"/><Relationship Id="rId3678" Type="http://schemas.openxmlformats.org/officeDocument/2006/relationships/hyperlink" Target="https://www.fmn.dk/da/nyheder/2023/regeringen-prasenterer-udspil-til-historisk-forsvarsforlig/" TargetMode="External"/><Relationship Id="rId3885" Type="http://schemas.openxmlformats.org/officeDocument/2006/relationships/hyperlink" Target="https://www.state.gov/u-s-security-cooperation-with-ukraine/" TargetMode="External"/><Relationship Id="rId4729" Type="http://schemas.openxmlformats.org/officeDocument/2006/relationships/hyperlink" Target="https://www.bundesregierung.de/breg-en/news/military-support-ukraine-2054992" TargetMode="External"/><Relationship Id="rId599" Type="http://schemas.openxmlformats.org/officeDocument/2006/relationships/hyperlink" Target="https://www.romania-insider.com/romania-donates-ambulances-ukraine-2022" TargetMode="External"/><Relationship Id="rId2487" Type="http://schemas.openxmlformats.org/officeDocument/2006/relationships/hyperlink" Target="https://en.interfax.com.ua/news/general/859303.html" TargetMode="External"/><Relationship Id="rId2694" Type="http://schemas.openxmlformats.org/officeDocument/2006/relationships/hyperlink" Target="https://mil.in.ua/en/news/australia-provides-ukraine-with-uavs-worth-33-million/" TargetMode="External"/><Relationship Id="rId3538" Type="http://schemas.openxmlformats.org/officeDocument/2006/relationships/hyperlink" Target="https://www.bundesregierung.de/breg-en/news/military-support-ukraine-2054992" TargetMode="External"/><Relationship Id="rId3745" Type="http://schemas.openxmlformats.org/officeDocument/2006/relationships/hyperlink" Target="https://www.government.se/contentassets/b5ee5a7272ba4b60870f91587d555f86/faktablad_sverigesstod_ukraina_eng.pdf" TargetMode="External"/><Relationship Id="rId459" Type="http://schemas.openxmlformats.org/officeDocument/2006/relationships/hyperlink" Target="https://www.reuters.com/world/europe/ukraines-zelenskiy-says-tens-thousands-killed-mariupol-seeks-military-aid-skorea-2022-04-11/" TargetMode="External"/><Relationship Id="rId666" Type="http://schemas.openxmlformats.org/officeDocument/2006/relationships/hyperlink" Target="https://www.vlada.cz/cz/media-centrum/aktualne/informace-v-souvislosti-s-invazi-ruska-na-ukrajinu-194507/" TargetMode="External"/><Relationship Id="rId873" Type="http://schemas.openxmlformats.org/officeDocument/2006/relationships/hyperlink" Target="https://www.defense.gov/News/Releases/Release/Article/3120059/1-billion-in-additional-security-assistance-for-ukraine/" TargetMode="External"/><Relationship Id="rId1089" Type="http://schemas.openxmlformats.org/officeDocument/2006/relationships/hyperlink" Target="https://crsreports.congress.gov/product/pdf/IF/IF12040" TargetMode="External"/><Relationship Id="rId1296" Type="http://schemas.openxmlformats.org/officeDocument/2006/relationships/hyperlink" Target="https://crsreports.congress.gov/product/pdf/IF/IF12305" TargetMode="External"/><Relationship Id="rId2347" Type="http://schemas.openxmlformats.org/officeDocument/2006/relationships/hyperlink" Target="https://www.kaitseinvesteeringud.ee/en/estonian-military-aid-to-ukraine-has-been-substantially-diversified/" TargetMode="External"/><Relationship Id="rId2554" Type="http://schemas.openxmlformats.org/officeDocument/2006/relationships/hyperlink" Target="https://en.interfax.com.ua/news/general/859303.html" TargetMode="External"/><Relationship Id="rId3952" Type="http://schemas.openxmlformats.org/officeDocument/2006/relationships/hyperlink" Target="https://www.defense.gov/News/Releases/Release/Article/3388890/biden-administration-announces-additional-security-assistance-for-ukraine/" TargetMode="External"/><Relationship Id="rId319" Type="http://schemas.openxmlformats.org/officeDocument/2006/relationships/hyperlink" Target="https://www.gov.uk/government/news/pm-announces-major-new-military-support-package-for-ukraine-24-march-2022" TargetMode="External"/><Relationship Id="rId526" Type="http://schemas.openxmlformats.org/officeDocument/2006/relationships/hyperlink" Target="https://www.bundesregierung.de/breg-de/themen/krieg-in-der-ukraine/humanitaere-hilfe-ukraine-2016634" TargetMode="External"/><Relationship Id="rId1156" Type="http://schemas.openxmlformats.org/officeDocument/2006/relationships/hyperlink" Target="https://kyivindependent.com/news-feed/estonia-to-send-ukraine-new-military-aid-package" TargetMode="External"/><Relationship Id="rId1363" Type="http://schemas.openxmlformats.org/officeDocument/2006/relationships/hyperlink" Target="https://appropriations.house.gov/sites/democrats.appropriations.house.gov/files/Ukraine%20Supplemental%20Summary.pdf" TargetMode="External"/><Relationship Id="rId2207" Type="http://schemas.openxmlformats.org/officeDocument/2006/relationships/hyperlink" Target="https://appropriations.house.gov/sites/democrats.appropriations.house.gov/files/Ukraine%20Supplemental%20Summary.pdf" TargetMode="External"/><Relationship Id="rId2761" Type="http://schemas.openxmlformats.org/officeDocument/2006/relationships/hyperlink" Target="https://crsreports.congress.gov/product/pdf/IF/IF12040" TargetMode="External"/><Relationship Id="rId3605" Type="http://schemas.openxmlformats.org/officeDocument/2006/relationships/hyperlink" Target="https://twitter.com/AFADBaskanlik/status/1537814591496921089" TargetMode="External"/><Relationship Id="rId3812" Type="http://schemas.openxmlformats.org/officeDocument/2006/relationships/hyperlink" Target="https://www.state.gov/u-s-security-cooperation-with-ukraine/" TargetMode="External"/><Relationship Id="rId733" Type="http://schemas.openxmlformats.org/officeDocument/2006/relationships/hyperlink" Target="https://twitter.com/oleksiireznikov/status/1553647959501414401?s=20&amp;t=sxJyy3lEqeaMPa3O1ayEDw" TargetMode="External"/><Relationship Id="rId940" Type="http://schemas.openxmlformats.org/officeDocument/2006/relationships/hyperlink" Target="https://taiwantoday.tw/news.php?unit=2&amp;post=227225&amp;unitname=Politics-Top-News&amp;postname=MOFA-Minister-Wu-unveils-US%2456-million-donation-to-rebuild-Ukraine" TargetMode="External"/><Relationship Id="rId1016" Type="http://schemas.openxmlformats.org/officeDocument/2006/relationships/hyperlink" Target="https://um.dk/en/foreign-policy/danish-support-for-ukraine" TargetMode="External"/><Relationship Id="rId1570" Type="http://schemas.openxmlformats.org/officeDocument/2006/relationships/hyperlink" Target="https://appropriations.house.gov/sites/democrats.appropriations.house.gov/files/Additional%20Ukraine%20Suplemental%20Appropriations%20Act%20Summary.pdf" TargetMode="External"/><Relationship Id="rId2414" Type="http://schemas.openxmlformats.org/officeDocument/2006/relationships/hyperlink" Target="https://www.armyrecognition.com/defense_news_october_2022_global_security_army_industry/australia_to_supply_ukraine_with_30_additional_bushmaster_4x4_armored_vehicles.html" TargetMode="External"/><Relationship Id="rId2621" Type="http://schemas.openxmlformats.org/officeDocument/2006/relationships/hyperlink" Target="https://eng.lsm.lv/article/society/defense/murniece-latvia-has-sent-1-of-gdp-in-military-aid-to-ukraine.a492541/" TargetMode="External"/><Relationship Id="rId800" Type="http://schemas.openxmlformats.org/officeDocument/2006/relationships/hyperlink" Target="https://www.defense.gov/News/Releases/Release/Article/3152071/675-million-in-additional-security-assistance-for-ukraine/" TargetMode="External"/><Relationship Id="rId1223" Type="http://schemas.openxmlformats.org/officeDocument/2006/relationships/hyperlink" Target="https://defence24.com/industry/polish-weapons-defending-ukraine-analysis" TargetMode="External"/><Relationship Id="rId1430" Type="http://schemas.openxmlformats.org/officeDocument/2006/relationships/hyperlink" Target="https://appropriations.house.gov/sites/democrats.appropriations.house.gov/files/Ukraine%20Supplemental%20Summary.pdf" TargetMode="External"/><Relationship Id="rId4379" Type="http://schemas.openxmlformats.org/officeDocument/2006/relationships/hyperlink" Target="https://www.bundesregierung.de/resource/blob/975226/2189778/cdb664abe95e6fa74802882bd66ef771/2023-05-14-liste-ukr-unterstuetzung-data.pdf?download=1" TargetMode="External"/><Relationship Id="rId4586" Type="http://schemas.openxmlformats.org/officeDocument/2006/relationships/hyperlink" Target="https://www.fmn.dk/da/nyheder/2023/regeringen-prasenterer-udspil-til-historisk-forsvarsforlig/" TargetMode="External"/><Relationship Id="rId4793" Type="http://schemas.openxmlformats.org/officeDocument/2006/relationships/hyperlink" Target="https://www.bundesregierung.de/breg-en/news/military-support-ukraine-2054992" TargetMode="External"/><Relationship Id="rId3188" Type="http://schemas.openxmlformats.org/officeDocument/2006/relationships/hyperlink" Target="https://interfax.com/newsroom/top-stories/86439/" TargetMode="External"/><Relationship Id="rId3395" Type="http://schemas.openxmlformats.org/officeDocument/2006/relationships/hyperlink" Target="https://www.bmel.de/SharedDocs/Pressemitteilungen/DE/2023/022-krieg-ukraine.html" TargetMode="External"/><Relationship Id="rId4239" Type="http://schemas.openxmlformats.org/officeDocument/2006/relationships/hyperlink" Target="https://www.government.is/topics/foreign-affairs/war-in-ukraine/" TargetMode="External"/><Relationship Id="rId4446" Type="http://schemas.openxmlformats.org/officeDocument/2006/relationships/hyperlink" Target="https://www.bundesregierung.de/resource/blob/975226/2189778/cdb664abe95e6fa74802882bd66ef771/2023-05-14-liste-ukr-unterstuetzung-data.pdf?download=1" TargetMode="External"/><Relationship Id="rId4653" Type="http://schemas.openxmlformats.org/officeDocument/2006/relationships/hyperlink" Target="https://english.defensie.nl/latest/news/2023/04/20/netherlands-to-purchase-leopard-2-tanks-for-ukraine" TargetMode="External"/><Relationship Id="rId3048" Type="http://schemas.openxmlformats.org/officeDocument/2006/relationships/hyperlink" Target="https://www.mk.gov.lv/en/latvia-supports-ukraine" TargetMode="External"/><Relationship Id="rId3255" Type="http://schemas.openxmlformats.org/officeDocument/2006/relationships/hyperlink" Target="https://hirado.hu/2022/03/22/pp_mini/szijjarto-peter-segitjuk-beregszasz-vizellatasanak-biztositasat" TargetMode="External"/><Relationship Id="rId3462" Type="http://schemas.openxmlformats.org/officeDocument/2006/relationships/hyperlink" Target="https://www.bundesregierung.de/breg-en/news/military-support-ukraine-2054992" TargetMode="External"/><Relationship Id="rId4306" Type="http://schemas.openxmlformats.org/officeDocument/2006/relationships/hyperlink" Target="https://www.president.gov.ua/en/news/spilna-deklaraciya-ukrayini-ta-francuzkoyi-respubliki-82897" TargetMode="External"/><Relationship Id="rId4513" Type="http://schemas.openxmlformats.org/officeDocument/2006/relationships/hyperlink" Target="https://www.luxtimes.lu/luxembourg/luxembourg-sends-14-armoured-ambulances-to-ukraine/1356098.html" TargetMode="External"/><Relationship Id="rId4720" Type="http://schemas.openxmlformats.org/officeDocument/2006/relationships/hyperlink" Target="https://www.bundesregierung.de/breg-en/news/military-support-ukraine-2054992" TargetMode="External"/><Relationship Id="rId176" Type="http://schemas.openxmlformats.org/officeDocument/2006/relationships/hyperlink" Target="https://www.facebook.com/UkraineMFA/videos/667551908260597/?extid=NS-UNK-UNK-UNK-IOS_GK0T-GK1C" TargetMode="External"/><Relationship Id="rId383" Type="http://schemas.openxmlformats.org/officeDocument/2006/relationships/hyperlink" Target="https://eng.lsm.lv/article/economy/economy/latvia-directs-additional-five-million-euros-to-ukraine.a446989/" TargetMode="External"/><Relationship Id="rId590" Type="http://schemas.openxmlformats.org/officeDocument/2006/relationships/hyperlink" Target="https://www.portugal.gov.pt/en/gc22/communication/announcement?i=assistance-to-ukraine" TargetMode="External"/><Relationship Id="rId2064" Type="http://schemas.openxmlformats.org/officeDocument/2006/relationships/hyperlink" Target="https://appropriations.house.gov/sites/democrats.appropriations.house.gov/files/Ukraine%20Supplemental%20Summary%20FY23.pdf" TargetMode="External"/><Relationship Id="rId2271" Type="http://schemas.openxmlformats.org/officeDocument/2006/relationships/hyperlink" Target="https://crsreports.congress.gov/product/pdf/IF/IF12040" TargetMode="External"/><Relationship Id="rId3115" Type="http://schemas.openxmlformats.org/officeDocument/2006/relationships/hyperlink" Target="https://www.eda.admin.ch/content/dam/eda/de/documents/aktuell/news/2022/20221215-ukraine-engagement-schweiz-themen_de.pdf" TargetMode="External"/><Relationship Id="rId3322" Type="http://schemas.openxmlformats.org/officeDocument/2006/relationships/hyperlink" Target="https://www.defense.gouv.fr/sites/default/files/ministere-armees/13.01.23%20Entretien%20de%20S%C3%A9bastien%20Lecornu%2C%20ministre%20des%20Arm%C3%A9es%2C%20avec%20Oleksii%20Reznikov.pdf" TargetMode="External"/><Relationship Id="rId243" Type="http://schemas.openxmlformats.org/officeDocument/2006/relationships/hyperlink" Target="https://www.termometropolitico.it/1600183_guerra-russia-ucraina-litalia-invia-armi-e-mezzi-i-dettagli-delloperazione.html" TargetMode="External"/><Relationship Id="rId450" Type="http://schemas.openxmlformats.org/officeDocument/2006/relationships/hyperlink" Target="https://www.regjeringen.no/en/aktuelt/ukrainefund/id2909840/" TargetMode="External"/><Relationship Id="rId1080" Type="http://schemas.openxmlformats.org/officeDocument/2006/relationships/hyperlink" Target="https://www.lejdd.fr/International/sebastien-lecornu-ministre-des-armees-nous-navons-pas-a-rougir-de-notre-aide-a-lukraine-4148779" TargetMode="External"/><Relationship Id="rId2131" Type="http://schemas.openxmlformats.org/officeDocument/2006/relationships/hyperlink" Target="https://crsreports.congress.gov/product/pdf/IF/IF12040" TargetMode="External"/><Relationship Id="rId103" Type="http://schemas.openxmlformats.org/officeDocument/2006/relationships/hyperlink" Target="https://twitter.com/oleksiireznikov/status/1569670474841427971" TargetMode="External"/><Relationship Id="rId310" Type="http://schemas.openxmlformats.org/officeDocument/2006/relationships/hyperlink" Target="https://www.reuters.com/article/ukraine-crisis-slovakia-defence-idUSL2N2V626W" TargetMode="External"/><Relationship Id="rId4096" Type="http://schemas.openxmlformats.org/officeDocument/2006/relationships/hyperlink" Target="https://cyprus-mail.com/2023/04/07/cyprus-to-provide-training-in-demining-to-ukraine-with-video/" TargetMode="External"/><Relationship Id="rId1897" Type="http://schemas.openxmlformats.org/officeDocument/2006/relationships/hyperlink" Target="https://appropriations.house.gov/sites/democrats.appropriations.house.gov/files/Ukraine%20Supplemental%20Summary%20FY23.pdf" TargetMode="External"/><Relationship Id="rId2948" Type="http://schemas.openxmlformats.org/officeDocument/2006/relationships/hyperlink" Target="https://valitsus.ee/en/news/estonias-military-support-ukraine-will-increase-more-1-gdp" TargetMode="External"/><Relationship Id="rId1757" Type="http://schemas.openxmlformats.org/officeDocument/2006/relationships/hyperlink" Target="https://crsreports.congress.gov/product/pdf/IF/IF12040" TargetMode="External"/><Relationship Id="rId1964" Type="http://schemas.openxmlformats.org/officeDocument/2006/relationships/hyperlink" Target="https://crsreports.congress.gov/product/pdf/IF/IF12040" TargetMode="External"/><Relationship Id="rId2808" Type="http://schemas.openxmlformats.org/officeDocument/2006/relationships/hyperlink" Target="https://crsreports.congress.gov/product/pdf/IF/IF12040" TargetMode="External"/><Relationship Id="rId4163" Type="http://schemas.openxmlformats.org/officeDocument/2006/relationships/hyperlink" Target="https://news.err.ee/1608674068/estonian-fm-visits-ukraine-lays-new-kindergarten-cornerstone-in-zhytomyr" TargetMode="External"/><Relationship Id="rId4370" Type="http://schemas.openxmlformats.org/officeDocument/2006/relationships/hyperlink" Target="https://www.bundesregierung.de/resource/blob/975226/2189778/cdb664abe95e6fa74802882bd66ef771/2023-05-14-liste-ukr-unterstuetzung-data.pdf?download=1" TargetMode="External"/><Relationship Id="rId49" Type="http://schemas.openxmlformats.org/officeDocument/2006/relationships/hyperlink" Target="https://czechdaily.cz/the-czech-republic-is-sending-thousands-of-artillery-shells-to-ukraine/" TargetMode="External"/><Relationship Id="rId1617" Type="http://schemas.openxmlformats.org/officeDocument/2006/relationships/hyperlink" Target="https://appropriations.house.gov/sites/democrats.appropriations.house.gov/files/Additional%20Ukraine%20Suplemental%20Appropriations%20Act%20Summary.pdf" TargetMode="External"/><Relationship Id="rId1824" Type="http://schemas.openxmlformats.org/officeDocument/2006/relationships/hyperlink" Target="https://appropriations.house.gov/sites/democrats.appropriations.house.gov/files/Summary%20Continuing%20Appropriations%20and%20Ukraine%20Supplemental%20Appropriations%20Act%202023.pdf" TargetMode="External"/><Relationship Id="rId4023" Type="http://schemas.openxmlformats.org/officeDocument/2006/relationships/hyperlink" Target="https://twitter.com/MinPres/status/1516393082148773892" TargetMode="External"/><Relationship Id="rId4230" Type="http://schemas.openxmlformats.org/officeDocument/2006/relationships/hyperlink" Target="https://www.regjeringen.no/en/aktuelt/increases_support/id2964279/" TargetMode="External"/><Relationship Id="rId3789" Type="http://schemas.openxmlformats.org/officeDocument/2006/relationships/hyperlink" Target="https://www.defense.gov/News/Releases/Release/Article/3334472/dod-announces-additional-security-assistance-for-ukraine/" TargetMode="External"/><Relationship Id="rId2598" Type="http://schemas.openxmlformats.org/officeDocument/2006/relationships/hyperlink" Target="https://www.premier.be/sites/default/files/articles/BE%20support%20militaire.pdf" TargetMode="External"/><Relationship Id="rId3996" Type="http://schemas.openxmlformats.org/officeDocument/2006/relationships/hyperlink" Target="https://www.canada.ca/en/department-national-defence/campaigns/canadian-military-support-to-ukraine.html" TargetMode="External"/><Relationship Id="rId3649" Type="http://schemas.openxmlformats.org/officeDocument/2006/relationships/hyperlink" Target="https://kariuomene.lt/en/start-of-a-new-project-lithuanian-and-nordic-instructors-to-provide-explosive-ordnance-clearance-mentoring-to-ukrainian-military/25201" TargetMode="External"/><Relationship Id="rId3856" Type="http://schemas.openxmlformats.org/officeDocument/2006/relationships/hyperlink" Target="https://www.state.gov/u-s-security-cooperation-with-ukraine/" TargetMode="External"/><Relationship Id="rId777" Type="http://schemas.openxmlformats.org/officeDocument/2006/relationships/hyperlink" Target="https://www.regjeringen.no/en/aktuelt/donerer-hellfire-missiler-og-nattoptikk-til-ukraina/id2926713/" TargetMode="External"/><Relationship Id="rId984" Type="http://schemas.openxmlformats.org/officeDocument/2006/relationships/hyperlink" Target="https://gouvernement.lu/en/actualites/toutes_actualites/communiques/2022/10-octobre/04-bausch-warsaw-security-forum.html" TargetMode="External"/><Relationship Id="rId2458" Type="http://schemas.openxmlformats.org/officeDocument/2006/relationships/hyperlink" Target="https://lahbib.belgium.be/en/belgium-provide-8-million-eur-non-lethal-support-ukrainian-armed-forces" TargetMode="External"/><Relationship Id="rId2665" Type="http://schemas.openxmlformats.org/officeDocument/2006/relationships/hyperlink" Target="https://www.gov.uk/government/speeches/defence-secretary-oral-statement-on-war-in-ukraine--2" TargetMode="External"/><Relationship Id="rId2872" Type="http://schemas.openxmlformats.org/officeDocument/2006/relationships/hyperlink" Target="https://english.nv.ua/nation/croatia-preparing-mi-8-helicopters-for-sending-via-poland-to-ukraine-news-50306906.html" TargetMode="External"/><Relationship Id="rId3509" Type="http://schemas.openxmlformats.org/officeDocument/2006/relationships/hyperlink" Target="https://www.bundesregierung.de/breg-en/news/military-support-ukraine-2054992" TargetMode="External"/><Relationship Id="rId3716" Type="http://schemas.openxmlformats.org/officeDocument/2006/relationships/hyperlink" Target="https://www.regjeringen.no/en/aktuelt/ammo-sak-til-mandag-3-april/id2970220/" TargetMode="External"/><Relationship Id="rId3923" Type="http://schemas.openxmlformats.org/officeDocument/2006/relationships/hyperlink" Target="https://www.state.gov/u-s-security-cooperation-with-ukraine/" TargetMode="External"/><Relationship Id="rId637" Type="http://schemas.openxmlformats.org/officeDocument/2006/relationships/hyperlink" Target="https://www.kmu.gov.ua/en/news/portugaliya-nadast-ukrayini-do-250-mln-yevro-finansovoyi-pidtrimki-denis-shmigal" TargetMode="External"/><Relationship Id="rId844" Type="http://schemas.openxmlformats.org/officeDocument/2006/relationships/hyperlink" Target="https://www.minister.defence.gov.au/statements/2022-04-08/australia-gift-20-bushmasters-government-ukraine" TargetMode="External"/><Relationship Id="rId1267" Type="http://schemas.openxmlformats.org/officeDocument/2006/relationships/hyperlink" Target="https://www.gov.ie/en/press-release/2e59c-update-on-medical-humanitarian-support-to-ukraine/" TargetMode="External"/><Relationship Id="rId1474" Type="http://schemas.openxmlformats.org/officeDocument/2006/relationships/hyperlink" Target="https://appropriations.house.gov/sites/democrats.appropriations.house.gov/files/Ukraine%20Supplemental%20Summary.pdf" TargetMode="External"/><Relationship Id="rId1681" Type="http://schemas.openxmlformats.org/officeDocument/2006/relationships/hyperlink" Target="https://crsreports.congress.gov/product/pdf/IF/IF12040" TargetMode="External"/><Relationship Id="rId2318" Type="http://schemas.openxmlformats.org/officeDocument/2006/relationships/hyperlink" Target="https://www.forces.net/ukraine/uk/what-armoured-vehicles-are-uk-sending-ukraine" TargetMode="External"/><Relationship Id="rId2525" Type="http://schemas.openxmlformats.org/officeDocument/2006/relationships/hyperlink" Target="https://www.lesoir.be/437698/article/2022-04-22/guerre-en-ukraine-la-belgique-sapprete-livrer-de-nouveaux-missiles-antichars" TargetMode="External"/><Relationship Id="rId2732" Type="http://schemas.openxmlformats.org/officeDocument/2006/relationships/hyperlink" Target="https://www.regjeringen.no/en/aktuelt/increases_support/id2964279/" TargetMode="External"/><Relationship Id="rId704" Type="http://schemas.openxmlformats.org/officeDocument/2006/relationships/hyperlink" Target="https://www.defense.gov/News/Releases/Release/Article/2987119/defense-department-announces-300-million-in-additional-assistance-for-ukraine/" TargetMode="External"/><Relationship Id="rId911" Type="http://schemas.openxmlformats.org/officeDocument/2006/relationships/hyperlink" Target="https://um.dk/en/foreign-policy/danish-support-for-ukraine" TargetMode="External"/><Relationship Id="rId1127" Type="http://schemas.openxmlformats.org/officeDocument/2006/relationships/hyperlink" Target="https://gouvernement.lu/en/actualites/toutes_actualites/communiques/2022/02-fevrier/28-bausch-ukraine.html" TargetMode="External"/><Relationship Id="rId1334" Type="http://schemas.openxmlformats.org/officeDocument/2006/relationships/hyperlink" Target="https://www.gov.si/en/news/2022-12-05-slovenia-allocates-additional-funds-for-humanitarian-aid-to-ukrainian-families-ahead-of-winter/" TargetMode="External"/><Relationship Id="rId1541" Type="http://schemas.openxmlformats.org/officeDocument/2006/relationships/hyperlink" Target="https://appropriations.house.gov/sites/democrats.appropriations.house.gov/files/Additional%20Ukraine%20Suplemental%20Appropriations%20Act%20Summary.pdf" TargetMode="External"/><Relationship Id="rId4697" Type="http://schemas.openxmlformats.org/officeDocument/2006/relationships/hyperlink" Target="https://www.bundesregierung.de/breg-en/news/military-support-ukraine-2054992" TargetMode="External"/><Relationship Id="rId40" Type="http://schemas.openxmlformats.org/officeDocument/2006/relationships/hyperlink" Target="https://www.weekend.at/chronik/200000-liter-diesel-aus-oesterreich-fuer-ukraine" TargetMode="External"/><Relationship Id="rId1401" Type="http://schemas.openxmlformats.org/officeDocument/2006/relationships/hyperlink" Target="https://appropriations.house.gov/sites/democrats.appropriations.house.gov/files/Ukraine%20Supplemental%20Summary.pdf" TargetMode="External"/><Relationship Id="rId3299" Type="http://schemas.openxmlformats.org/officeDocument/2006/relationships/hyperlink" Target="https://diplomatie.belgium.be/en/policy/policy-areas/highlighted/civilian-aid-ukraine-overview" TargetMode="External"/><Relationship Id="rId4557" Type="http://schemas.openxmlformats.org/officeDocument/2006/relationships/hyperlink" Target="https://spectator.sme.sk/c/22850259/slovakia-will-send-more-military-aid-to-ukraine.html" TargetMode="External"/><Relationship Id="rId4764" Type="http://schemas.openxmlformats.org/officeDocument/2006/relationships/hyperlink" Target="https://www.bundesregierung.de/breg-en/news/military-support-ukraine-2054992" TargetMode="External"/><Relationship Id="rId3159" Type="http://schemas.openxmlformats.org/officeDocument/2006/relationships/hyperlink" Target="https://www.defense.gov/News/Releases/Release/Article/3277443/biden-administration-announces-additional-security-assistance-for-ukraine/" TargetMode="External"/><Relationship Id="rId3366"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3573" Type="http://schemas.openxmlformats.org/officeDocument/2006/relationships/hyperlink" Target="https://www.rte.ie/news/budget-2023/2022/0927/1325790-budget-2023-ukraine/" TargetMode="External"/><Relationship Id="rId4417" Type="http://schemas.openxmlformats.org/officeDocument/2006/relationships/hyperlink" Target="https://www.bundesregierung.de/resource/blob/975226/2189778/cdb664abe95e6fa74802882bd66ef771/2023-05-14-liste-ukr-unterstuetzung-data.pdf?download=1" TargetMode="External"/><Relationship Id="rId287" Type="http://schemas.openxmlformats.org/officeDocument/2006/relationships/hyperlink" Target="https://www.vlada.cz/cz/media-centrum/aktualne/vlada-schvalila-dalsi-materialni-pomoc-pro-ukrajinu-a-opatreni-na-pomoc-se-zvladnutim-migracni-krize-194727/" TargetMode="External"/><Relationship Id="rId494" Type="http://schemas.openxmlformats.org/officeDocument/2006/relationships/hyperlink" Target="https://www.ukrinform.net/rubric-ato/3488287-canada-to-provide-cad-9m-in-humanitarian-aid-to-ukraine.html" TargetMode="External"/><Relationship Id="rId2175" Type="http://schemas.openxmlformats.org/officeDocument/2006/relationships/hyperlink" Target="https://appropriations.house.gov/sites/democrats.appropriations.house.gov/files/Additional%20Ukraine%20Suplemental%20Appropriations%20Act%20Summary.pdf" TargetMode="External"/><Relationship Id="rId2382" Type="http://schemas.openxmlformats.org/officeDocument/2006/relationships/hyperlink" Target="https://www.euronews.com/2022/09/29/cargo-ship-with-1000-tonnes-of-ukraine-aid-sets-sail-from-marseille" TargetMode="External"/><Relationship Id="rId3019" Type="http://schemas.openxmlformats.org/officeDocument/2006/relationships/hyperlink" Target="https://www.euractiv.com/section/politics/short_news/portugal-to-send-another-160-tonnes-of-military-aid-to-ukraine/" TargetMode="External"/><Relationship Id="rId3226" Type="http://schemas.openxmlformats.org/officeDocument/2006/relationships/hyperlink" Target="https://www.asdnews.com/news/defense/2022/10/17/uk-give-air-defence-missiles-help-ukraine-defend-against-rockets" TargetMode="External"/><Relationship Id="rId3780" Type="http://schemas.openxmlformats.org/officeDocument/2006/relationships/hyperlink" Target="https://www.defense.gov/News/Releases/Release/Article/3334472/dod-announces-additional-security-assistance-for-ukraine/" TargetMode="External"/><Relationship Id="rId4624" Type="http://schemas.openxmlformats.org/officeDocument/2006/relationships/hyperlink" Target="https://mil.in.ua/en/news/portugal-to-transfer-five-armored-vehicles-to-the-ukrainian-armed-forces/" TargetMode="External"/><Relationship Id="rId4831" Type="http://schemas.openxmlformats.org/officeDocument/2006/relationships/hyperlink" Target="https://www.bundesregierung.de/breg-en/news/military-support-ukraine-2054992" TargetMode="External"/><Relationship Id="rId147" Type="http://schemas.openxmlformats.org/officeDocument/2006/relationships/hyperlink" Target="https://www.defensa.gob.es/gabinete/notasPrensa/2022/08/DGC-220831-envio-armamento-ucrania.html" TargetMode="External"/><Relationship Id="rId354" Type="http://schemas.openxmlformats.org/officeDocument/2006/relationships/hyperlink" Target="https://twitter.com/sanidadgob/status/1503783624969265161" TargetMode="External"/><Relationship Id="rId1191" Type="http://schemas.openxmlformats.org/officeDocument/2006/relationships/hyperlink" Target="https://www.regjeringen.no/en/aktuelt/eumam/id2948545/" TargetMode="External"/><Relationship Id="rId2035" Type="http://schemas.openxmlformats.org/officeDocument/2006/relationships/hyperlink" Target="https://crsreports.congress.gov/product/pdf/IF/IF12040" TargetMode="External"/><Relationship Id="rId3433" Type="http://schemas.openxmlformats.org/officeDocument/2006/relationships/hyperlink" Target="https://www.bundesregierung.de/breg-en/news/military-support-ukraine-2054992" TargetMode="External"/><Relationship Id="rId3640" Type="http://schemas.openxmlformats.org/officeDocument/2006/relationships/hyperlink" Target="https://www.slobodenpecat.mk/en/finansiska-pomosh-od-130-milioni-dolari-za-ukraina-od-juzhna-koreja/" TargetMode="External"/><Relationship Id="rId561" Type="http://schemas.openxmlformats.org/officeDocument/2006/relationships/hyperlink" Target="https://ec.europa.eu/commission/presscorner/detail/en/ip_22_3121" TargetMode="External"/><Relationship Id="rId2242" Type="http://schemas.openxmlformats.org/officeDocument/2006/relationships/hyperlink" Target="https://appropriations.house.gov/sites/democrats.appropriations.house.gov/files/Ukraine%20Supplemental%20Summary.pdf" TargetMode="External"/><Relationship Id="rId3500" Type="http://schemas.openxmlformats.org/officeDocument/2006/relationships/hyperlink" Target="https://www.bundesregierung.de/breg-en/news/military-support-ukraine-2054992" TargetMode="External"/><Relationship Id="rId214" Type="http://schemas.openxmlformats.org/officeDocument/2006/relationships/hyperlink" Target="https://www.kmu.gov.ua/en/news/ukraina-otrymala-100-mln-ievro-vid-frantsii" TargetMode="External"/><Relationship Id="rId421" Type="http://schemas.openxmlformats.org/officeDocument/2006/relationships/hyperlink" Target="https://www.gov.uk/government/news/uk-provides-further-humanitarian-aid-focused-on-most-vulnerable-in-ukraine" TargetMode="External"/><Relationship Id="rId1051" Type="http://schemas.openxmlformats.org/officeDocument/2006/relationships/hyperlink" Target="https://www.kyivpost.com/russias-war/estonia-to-boost-military-assistance-for-ukraine.html" TargetMode="External"/><Relationship Id="rId2102" Type="http://schemas.openxmlformats.org/officeDocument/2006/relationships/hyperlink" Target="https://appropriations.house.gov/sites/democrats.appropriations.house.gov/files/Ukraine%20Supplemental%20Summary.pdf" TargetMode="External"/><Relationship Id="rId1868" Type="http://schemas.openxmlformats.org/officeDocument/2006/relationships/hyperlink" Target="https://appropriations.house.gov/sites/democrats.appropriations.house.gov/files/Summary%20Continuing%20Appropriations%20and%20Ukraine%20Supplemental%20Appropriations%20Act%202023.pdf" TargetMode="External"/><Relationship Id="rId4067" Type="http://schemas.openxmlformats.org/officeDocument/2006/relationships/hyperlink" Target="https://www.reuters.com/world/europe/polish-leopard-tanks-are-already-ukraine-defence-minister-says-2023-02-24/" TargetMode="External"/><Relationship Id="rId4274" Type="http://schemas.openxmlformats.org/officeDocument/2006/relationships/hyperlink" Target="https://hansard.parliament.uk/commons/2023-03-15/debates/23031553000005/NewLoanGuaranteesSupportToUkraine" TargetMode="External"/><Relationship Id="rId4481" Type="http://schemas.openxmlformats.org/officeDocument/2006/relationships/hyperlink" Target="https://www.reuters.com/world/europe/latvia-donates-drunk-drivers-cars-ukraines-war-effort-2023-03-09/" TargetMode="External"/><Relationship Id="rId2919" Type="http://schemas.openxmlformats.org/officeDocument/2006/relationships/hyperlink" Target="https://www.vlada.cz/en/media-centrum/tiskove-zpravy/czechia-sends-hundreds-of-heavy-military-systems-worth-tens-of-billions-to-ukraine-during-the-first-year-of-russian-invasion-203252/" TargetMode="External"/><Relationship Id="rId3083" Type="http://schemas.openxmlformats.org/officeDocument/2006/relationships/hyperlink" Target="https://www.worldbank.org/en/programs/urtf/partners" TargetMode="External"/><Relationship Id="rId3290" Type="http://schemas.openxmlformats.org/officeDocument/2006/relationships/hyperlink" Target="https://www.rijksoverheid.nl/onderwerpen/russische-inval-in-oekraine/nieuws/2022/03/02/nederland-levert-medicijnen-en-medische-hulpgoederen-aan-oekraine" TargetMode="External"/><Relationship Id="rId4134" Type="http://schemas.openxmlformats.org/officeDocument/2006/relationships/hyperlink" Target="https://kaitseministeerium.ee/en/news/estonia-send-sniper-weapons-and-special-equipment-ukraine" TargetMode="External"/><Relationship Id="rId4341" Type="http://schemas.openxmlformats.org/officeDocument/2006/relationships/hyperlink" Target="https://www.bundesregierung.de/resource/blob/975226/2189778/cdb664abe95e6fa74802882bd66ef771/2023-05-14-liste-ukr-unterstuetzung-data.pdf?download=1" TargetMode="External"/><Relationship Id="rId1728" Type="http://schemas.openxmlformats.org/officeDocument/2006/relationships/hyperlink" Target="https://crsreports.congress.gov/product/pdf/IF/IF12040" TargetMode="External"/><Relationship Id="rId1935" Type="http://schemas.openxmlformats.org/officeDocument/2006/relationships/hyperlink" Target="https://appropriations.house.gov/sites/democrats.appropriations.house.gov/files/Ukraine%20Supplemental%20Summary%20FY23.pdf" TargetMode="External"/><Relationship Id="rId3150" Type="http://schemas.openxmlformats.org/officeDocument/2006/relationships/hyperlink" Target="https://www.oe24.at/welt/ukraine-krieg/oesterreich-sagt-weitere-zehn-millionen-euro-fuer-die-ukraine-zu/535583618" TargetMode="External"/><Relationship Id="rId4201" Type="http://schemas.openxmlformats.org/officeDocument/2006/relationships/hyperlink" Target="https://decode39.com/6722/italian-made-anti-air-system-boosts-ukraines-air-shield/" TargetMode="External"/><Relationship Id="rId3010" Type="http://schemas.openxmlformats.org/officeDocument/2006/relationships/hyperlink" Target="https://slovenia.mfa.gov.ua/news/29-grudnya-posol-ukrayini-taran-ta-ministr-infrastrukturi-sloveniyi-bkumer-vzyali-uchast-u-ceremoniyi-vidpravki-vzhe-4go-vantazhu-z-energetichnim-obladnannyam-dlya-ukrayini" TargetMode="External"/><Relationship Id="rId3967" Type="http://schemas.openxmlformats.org/officeDocument/2006/relationships/hyperlink" Target="https://www.defense.gov/News/Releases/Release/Article/3350958/biden-administration-announces-additional-security-assistance-for-ukraine/" TargetMode="External"/><Relationship Id="rId4" Type="http://schemas.openxmlformats.org/officeDocument/2006/relationships/hyperlink" Target="https://mil.in.ua/en/news/ukraine-received-senator-apc-armored-vehicles/" TargetMode="External"/><Relationship Id="rId888" Type="http://schemas.openxmlformats.org/officeDocument/2006/relationships/hyperlink" Target="https://www.regjeringen.no/en/aktuelt/norge-og-storbritannia-gir-langtrekkende-rakettartilleri-til-ukraina/id2921395/" TargetMode="External"/><Relationship Id="rId2569" Type="http://schemas.openxmlformats.org/officeDocument/2006/relationships/hyperlink" Target="https://www.premier.be/sites/default/files/articles/BE%20support%20militaire.pdf" TargetMode="External"/><Relationship Id="rId2776" Type="http://schemas.openxmlformats.org/officeDocument/2006/relationships/hyperlink" Target="https://www.defense.gov/News/Releases/Release/Article/3272866/biden-administration-announces-additional-security-assistance-for-ukraine/" TargetMode="External"/><Relationship Id="rId2983" Type="http://schemas.openxmlformats.org/officeDocument/2006/relationships/hyperlink" Target="https://kyivindependent.com/news-feed/italy-to-send-ukraine-two-other-air-defense-systems-in-addition-to-mamba" TargetMode="External"/><Relationship Id="rId3827" Type="http://schemas.openxmlformats.org/officeDocument/2006/relationships/hyperlink" Target="https://www.state.gov/u-s-security-cooperation-with-ukraine/" TargetMode="External"/><Relationship Id="rId748" Type="http://schemas.openxmlformats.org/officeDocument/2006/relationships/hyperlink" Target="https://twitter.com/a_anusauskas/status/1546202214003269635" TargetMode="External"/><Relationship Id="rId955" Type="http://schemas.openxmlformats.org/officeDocument/2006/relationships/hyperlink" Target="https://www.defense.gouv.fr/terre/actualites/uiisc-1-3e-convoi-solidarite-lukraine" TargetMode="External"/><Relationship Id="rId1378" Type="http://schemas.openxmlformats.org/officeDocument/2006/relationships/hyperlink" Target="https://appropriations.house.gov/sites/democrats.appropriations.house.gov/files/Ukraine%20Supplemental%20Summary.pdf" TargetMode="External"/><Relationship Id="rId1585" Type="http://schemas.openxmlformats.org/officeDocument/2006/relationships/hyperlink" Target="https://appropriations.house.gov/sites/democrats.appropriations.house.gov/files/Additional%20Ukraine%20Suplemental%20Appropriations%20Act%20Summary.pdf" TargetMode="External"/><Relationship Id="rId1792" Type="http://schemas.openxmlformats.org/officeDocument/2006/relationships/hyperlink" Target="https://appropriations.house.gov/sites/democrats.appropriations.house.gov/files/Ukraine%20Supplemental%20Summary%20FY23.pdf" TargetMode="External"/><Relationship Id="rId2429" Type="http://schemas.openxmlformats.org/officeDocument/2006/relationships/hyperlink" Target="https://militaryleak.com/2022/03/06/canada-to-supply-4500-m72-and-100-carl-gustaf-anti-tank-weapons-to-ukraine/" TargetMode="External"/><Relationship Id="rId2636" Type="http://schemas.openxmlformats.org/officeDocument/2006/relationships/hyperlink" Target="https://www.youtube.com/watch?v=A1nTsblXabc" TargetMode="External"/><Relationship Id="rId2843" Type="http://schemas.openxmlformats.org/officeDocument/2006/relationships/hyperlink" Target="https://www.defense.gov/News/Releases/Release/Article/3302787/biden-administration-announces-additional-security-assistance-for-ukraine/" TargetMode="External"/><Relationship Id="rId84" Type="http://schemas.openxmlformats.org/officeDocument/2006/relationships/hyperlink" Target="https://www.wsj.com/livecoverage/russia-ukraine-latest-news-2022-04-29/card/poland-has-sent-more-than-200-tanks-to-ukraine-Krwar3DCPzHJJk4UMVh4" TargetMode="External"/><Relationship Id="rId608" Type="http://schemas.openxmlformats.org/officeDocument/2006/relationships/hyperlink" Target="https://www.reuters.com/world/europe/sweden-supply-more-military-aid-including-anti-ship-missiles-ukraine-2022-06-02/" TargetMode="External"/><Relationship Id="rId815" Type="http://schemas.openxmlformats.org/officeDocument/2006/relationships/hyperlink" Target="https://www.defense.gov/News/Releases/Release/Article/3160503/600-million-in-additional-security-assistance-for-ukraine/" TargetMode="External"/><Relationship Id="rId1238" Type="http://schemas.openxmlformats.org/officeDocument/2006/relationships/hyperlink" Target="https://neoskosmos.com/en/2022/09/19/news/greece/greek-tanks-on-route-to-ukraine/" TargetMode="External"/><Relationship Id="rId1445" Type="http://schemas.openxmlformats.org/officeDocument/2006/relationships/hyperlink" Target="https://appropriations.house.gov/sites/democrats.appropriations.house.gov/files/Ukraine%20Supplemental%20Summary.pdf" TargetMode="External"/><Relationship Id="rId1652" Type="http://schemas.openxmlformats.org/officeDocument/2006/relationships/hyperlink" Target="https://crsreports.congress.gov/product/pdf/IF/IF12040" TargetMode="External"/><Relationship Id="rId1305" Type="http://schemas.openxmlformats.org/officeDocument/2006/relationships/hyperlink" Target="https://twitter.com/a_anusauskas/status/1586273232511848449" TargetMode="External"/><Relationship Id="rId2703" Type="http://schemas.openxmlformats.org/officeDocument/2006/relationships/hyperlink" Target="https://japan.kantei.go.jp/ongoingtopics/pdf/jp_stands_with_ukraine_eng.pdf" TargetMode="External"/><Relationship Id="rId2910" Type="http://schemas.openxmlformats.org/officeDocument/2006/relationships/hyperlink" Target="https://www.vlada.cz/en/media-centrum/tiskove-zpravy/czechia-sends-hundreds-of-heavy-military-systems-worth-tens-of-billions-to-ukraine-during-the-first-year-of-russian-invasion-203252/" TargetMode="External"/><Relationship Id="rId1512" Type="http://schemas.openxmlformats.org/officeDocument/2006/relationships/hyperlink" Target="https://appropriations.house.gov/sites/democrats.appropriations.house.gov/files/Additional%20Ukraine%20Suplemental%20Appropriations%20Act%20Summary.pdf" TargetMode="External"/><Relationship Id="rId4668" Type="http://schemas.openxmlformats.org/officeDocument/2006/relationships/hyperlink" Target="https://www.usaid.gov/sites/default/files/2022-12/2022-06-24_USG_Ukraine_Complex_Emergency_Fact_Sheet_21.pdf" TargetMode="External"/><Relationship Id="rId11" Type="http://schemas.openxmlformats.org/officeDocument/2006/relationships/hyperlink" Target="https://tfiglobalnews.com/2022/03/21/canada-wanted-to-supply-weapons-to-ukraine-turns-out-it-didnt-have-any/" TargetMode="External"/><Relationship Id="rId398" Type="http://schemas.openxmlformats.org/officeDocument/2006/relationships/hyperlink" Target="https://www.bmi.gv.at/news.aspx?id=69543149763057644C4C633D" TargetMode="External"/><Relationship Id="rId2079" Type="http://schemas.openxmlformats.org/officeDocument/2006/relationships/hyperlink" Target="https://appropriations.house.gov/sites/democrats.appropriations.house.gov/files/Ukraine%20Supplemental%20Summary%20FY23.pdf" TargetMode="External"/><Relationship Id="rId3477" Type="http://schemas.openxmlformats.org/officeDocument/2006/relationships/hyperlink" Target="https://www.bundesregierung.de/breg-en/news/military-support-ukraine-2054992" TargetMode="External"/><Relationship Id="rId3684" Type="http://schemas.openxmlformats.org/officeDocument/2006/relationships/hyperlink" Target="https://intermin.fi/en/ukraine/civilian-assistance-to-ukraine" TargetMode="External"/><Relationship Id="rId3891" Type="http://schemas.openxmlformats.org/officeDocument/2006/relationships/hyperlink" Target="https://www.state.gov/u-s-security-cooperation-with-ukraine/" TargetMode="External"/><Relationship Id="rId4528" Type="http://schemas.openxmlformats.org/officeDocument/2006/relationships/hyperlink" Target="https://www.defense.gov/News/Releases/Release/Article/3383288/biden-administration-announces-additional-security-assistance-for-ukraine/" TargetMode="External"/><Relationship Id="rId4735" Type="http://schemas.openxmlformats.org/officeDocument/2006/relationships/hyperlink" Target="https://www.bundesregierung.de/breg-en/news/military-support-ukraine-2054992" TargetMode="External"/><Relationship Id="rId2286" Type="http://schemas.openxmlformats.org/officeDocument/2006/relationships/hyperlink" Target="https://crsreports.congress.gov/product/pdf/IF/IF12040" TargetMode="External"/><Relationship Id="rId2493" Type="http://schemas.openxmlformats.org/officeDocument/2006/relationships/hyperlink" Target="https://www.lesoir.be/479361/article/2022-11-25/la-belgique-va-envoyer-des-laboratoires-mobiles-et-des-drones-sous-marins" TargetMode="External"/><Relationship Id="rId3337" Type="http://schemas.openxmlformats.org/officeDocument/2006/relationships/hyperlink" Target="https://defbrief.com/2023/02/01/ukraine-getting-gm200-radars-from-france-as-talks-on-samp-t-air-defense-system-continue/" TargetMode="External"/><Relationship Id="rId3544" Type="http://schemas.openxmlformats.org/officeDocument/2006/relationships/hyperlink" Target="https://www.bundesregierung.de/breg-en/news/military-support-ukraine-2054992" TargetMode="External"/><Relationship Id="rId3751" Type="http://schemas.openxmlformats.org/officeDocument/2006/relationships/hyperlink" Target="https://www.defense.gov/News/News-Stories/Article/Article/3318508/us-sends-ukraine-400-million-in-military-equipment/" TargetMode="External"/><Relationship Id="rId4802" Type="http://schemas.openxmlformats.org/officeDocument/2006/relationships/hyperlink" Target="https://www.bundesregierung.de/breg-en/news/military-support-ukraine-2054992" TargetMode="External"/><Relationship Id="rId258" Type="http://schemas.openxmlformats.org/officeDocument/2006/relationships/hyperlink" Target="https://www.vlada.cz/cz/media-centrum/aktualne/informace-v-souvislosti-s-invazi-ruska-na-ukrajinu-194507/" TargetMode="External"/><Relationship Id="rId465" Type="http://schemas.openxmlformats.org/officeDocument/2006/relationships/hyperlink" Target="https://www.usnews.com/news/world/articles/2022-04-11/ukraines-zelenskiy-says-tens-of-thousands-killed-in-mariupol-seeks-military-aid-from-s-korea" TargetMode="External"/><Relationship Id="rId672" Type="http://schemas.openxmlformats.org/officeDocument/2006/relationships/hyperlink" Target="https://pm.gc.ca/en/news/backgrounders/2022/06/28/additional-canadian-support-ukraine-announced-2022-g7-summit" TargetMode="External"/><Relationship Id="rId1095" Type="http://schemas.openxmlformats.org/officeDocument/2006/relationships/hyperlink" Target="https://www.regjeringen.no/en/topics/foreign-affairs/humanitarian-efforts/neighbour_support/id2908141/" TargetMode="External"/><Relationship Id="rId2146" Type="http://schemas.openxmlformats.org/officeDocument/2006/relationships/hyperlink" Target="https://t.me/V_Zelenskiy_official/4544" TargetMode="External"/><Relationship Id="rId2353" Type="http://schemas.openxmlformats.org/officeDocument/2006/relationships/hyperlink" Target="https://valtioneuvosto.fi/en/-/finland-to-send-arms-assistance-to-ukraine" TargetMode="External"/><Relationship Id="rId2560" Type="http://schemas.openxmlformats.org/officeDocument/2006/relationships/hyperlink" Target="https://www.premier.be/sites/default/files/articles/BE%20support%20militaire.pdf" TargetMode="External"/><Relationship Id="rId3404"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3611" Type="http://schemas.openxmlformats.org/officeDocument/2006/relationships/hyperlink" Target="https://www.bundesregierung.de/breg-en/news/military-support-ukraine-2054992" TargetMode="External"/><Relationship Id="rId118" Type="http://schemas.openxmlformats.org/officeDocument/2006/relationships/hyperlink" Target="https://www.defense.gouv.fr/terre/actualites/uiisc-1-3e-convoi-solidarite-lukraine" TargetMode="External"/><Relationship Id="rId325" Type="http://schemas.openxmlformats.org/officeDocument/2006/relationships/hyperlink" Target="https://www.thelocal.es/20220311/spain-to-send-more-weapons-to-ukraine/" TargetMode="External"/><Relationship Id="rId532" Type="http://schemas.openxmlformats.org/officeDocument/2006/relationships/hyperlink" Target="https://www.gazzettaufficiale.it/eli/id/2022/04/27/22A02651/sg" TargetMode="External"/><Relationship Id="rId1162" Type="http://schemas.openxmlformats.org/officeDocument/2006/relationships/hyperlink" Target="https://www.france24.com/en/live-news/20230104-macron-promises-first-western-tanks-for-ukraine" TargetMode="External"/><Relationship Id="rId2006" Type="http://schemas.openxmlformats.org/officeDocument/2006/relationships/hyperlink" Target="https://crsreports.congress.gov/product/pdf/IF/IF12040" TargetMode="External"/><Relationship Id="rId2213" Type="http://schemas.openxmlformats.org/officeDocument/2006/relationships/hyperlink" Target="https://appropriations.house.gov/sites/democrats.appropriations.house.gov/files/Ukraine%20Supplemental%20Summary.pdf" TargetMode="External"/><Relationship Id="rId2420" Type="http://schemas.openxmlformats.org/officeDocument/2006/relationships/hyperlink" Target="https://www.vienna.at/oesterreich-schickt-medizinische-hilfsgueter-in-die-ukraine/7304494" TargetMode="External"/><Relationship Id="rId1022" Type="http://schemas.openxmlformats.org/officeDocument/2006/relationships/hyperlink" Target="https://www.defense.gov/News/Releases/Release/Article/3189571/725-million-in-additional-security-assistance-for-ukraine/" TargetMode="External"/><Relationship Id="rId4178" Type="http://schemas.openxmlformats.org/officeDocument/2006/relationships/hyperlink" Target="https://www.armyrecognition.com/defense_news_april_2023_global_security_army_industry/greece_to_supply_ukraine_with_more_bmp-1_ifvs_and_artillery_ammunition.html" TargetMode="External"/><Relationship Id="rId4385" Type="http://schemas.openxmlformats.org/officeDocument/2006/relationships/hyperlink" Target="https://www.bundesregierung.de/resource/blob/975226/2189778/cdb664abe95e6fa74802882bd66ef771/2023-05-14-liste-ukr-unterstuetzung-data.pdf?download=1" TargetMode="External"/><Relationship Id="rId4592" Type="http://schemas.openxmlformats.org/officeDocument/2006/relationships/hyperlink" Target="https://www.fmn.dk/da/nyheder/2023/ukraine-fond-finansierer-stor-ny-donationspakke/" TargetMode="External"/><Relationship Id="rId1979" Type="http://schemas.openxmlformats.org/officeDocument/2006/relationships/hyperlink" Target="https://crsreports.congress.gov/product/pdf/IF/IF12040" TargetMode="External"/><Relationship Id="rId3194" Type="http://schemas.openxmlformats.org/officeDocument/2006/relationships/hyperlink" Target="https://www.nytimes.com/interactive/2022/03/18/upshot/ukraine-aid-details.html" TargetMode="External"/><Relationship Id="rId4038" Type="http://schemas.openxmlformats.org/officeDocument/2006/relationships/hyperlink" Target="https://www.defensie.nl/onderwerpen/oostflank-navo-gebied/militaire-steun-aan-oekraine" TargetMode="External"/><Relationship Id="rId4245" Type="http://schemas.openxmlformats.org/officeDocument/2006/relationships/hyperlink" Target="https://www.oireachtas.ie/en/debates/question/2023-03-23/42/" TargetMode="External"/><Relationship Id="rId1839"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54" Type="http://schemas.openxmlformats.org/officeDocument/2006/relationships/hyperlink" Target="https://www.gov.uk/government/news/joint-statement-the-tallinn-pledge" TargetMode="External"/><Relationship Id="rId4452" Type="http://schemas.openxmlformats.org/officeDocument/2006/relationships/hyperlink" Target="https://www.bundesregierung.de/resource/blob/975226/2189778/cdb664abe95e6fa74802882bd66ef771/2023-05-14-liste-ukr-unterstuetzung-data.pdf?download=1" TargetMode="External"/><Relationship Id="rId182" Type="http://schemas.openxmlformats.org/officeDocument/2006/relationships/hyperlink" Target="https://news.err.ee/1608793648/estonia-s-total-military-aid-to-ukraine-to-date-approaching-300-million" TargetMode="External"/><Relationship Id="rId1906" Type="http://schemas.openxmlformats.org/officeDocument/2006/relationships/hyperlink" Target="https://appropriations.house.gov/sites/democrats.appropriations.house.gov/files/Ukraine%20Supplemental%20Summary%20FY23.pdf" TargetMode="External"/><Relationship Id="rId3261" Type="http://schemas.openxmlformats.org/officeDocument/2006/relationships/hyperlink" Target="https://hungarytoday.hu/hungary-offers-eur-37-m-in-aid-to-ukraine/" TargetMode="External"/><Relationship Id="rId4105" Type="http://schemas.openxmlformats.org/officeDocument/2006/relationships/hyperlink" Target="https://kaitseministeerium.ee/et/uudised/kaitseminister-pevkur-andis-kiievis-ukraina-kolleegile-ule-sumboolsed-esemed-uuest" TargetMode="External"/><Relationship Id="rId4312" Type="http://schemas.openxmlformats.org/officeDocument/2006/relationships/hyperlink" Target="https://www.bundesregierung.de/resource/blob/975226/2189778/cdb664abe95e6fa74802882bd66ef771/2023-05-14-liste-ukr-unterstuetzung-data.pdf?download=1" TargetMode="External"/><Relationship Id="rId2070" Type="http://schemas.openxmlformats.org/officeDocument/2006/relationships/hyperlink" Target="https://appropriations.house.gov/sites/democrats.appropriations.house.gov/files/Ukraine%20Supplemental%20Summary%20FY23.pdf" TargetMode="External"/><Relationship Id="rId3121" Type="http://schemas.openxmlformats.org/officeDocument/2006/relationships/hyperlink" Target="https://poljoprivreda.gov.hr/vijesti/sjednica-vlade-donesen-strateski-plan-zpp-za-2023-2027-vrijedan-3-8-milijardi-eura/5992" TargetMode="External"/><Relationship Id="rId999" Type="http://schemas.openxmlformats.org/officeDocument/2006/relationships/hyperlink" Target="https://www.gov.uk/government/news/uk-to-send-scores-of-artillery-guns-and-hundreds-of-drones-to-ukraine" TargetMode="External"/><Relationship Id="rId2887" Type="http://schemas.openxmlformats.org/officeDocument/2006/relationships/hyperlink" Target="https://www.vlada.cz/en/media-centrum/tiskove-zpravy/czechia-sends-hundreds-of-heavy-military-systems-worth-tens-of-billions-to-ukraine-during-the-first-year-of-russian-invasion-203252/" TargetMode="External"/><Relationship Id="rId859" Type="http://schemas.openxmlformats.org/officeDocument/2006/relationships/hyperlink" Target="https://twitter.com/mod_estonia/status/1507641039745605634?lang=en" TargetMode="External"/><Relationship Id="rId1489" Type="http://schemas.openxmlformats.org/officeDocument/2006/relationships/hyperlink" Target="https://appropriations.house.gov/sites/democrats.appropriations.house.gov/files/Ukraine%20Supplemental%20Summary.pdf" TargetMode="External"/><Relationship Id="rId1696" Type="http://schemas.openxmlformats.org/officeDocument/2006/relationships/hyperlink" Target="https://crsreports.congress.gov/product/pdf/IF/IF12040" TargetMode="External"/><Relationship Id="rId3938" Type="http://schemas.openxmlformats.org/officeDocument/2006/relationships/hyperlink" Target="https://www.state.gov/u-s-security-cooperation-with-ukraine/" TargetMode="External"/><Relationship Id="rId1349" Type="http://schemas.openxmlformats.org/officeDocument/2006/relationships/hyperlink" Target="https://edition.cnn.com/europe/live-news/russia-ukraine-war-news-12-13-22/h_f789fb6727fdf749c8a193449f27be5a" TargetMode="External"/><Relationship Id="rId2747" Type="http://schemas.openxmlformats.org/officeDocument/2006/relationships/hyperlink" Target="https://www.defense.gov/News/Releases/Release/Article/3272866/biden-administration-announces-additional-security-assistance-for-ukraine/" TargetMode="External"/><Relationship Id="rId2954" Type="http://schemas.openxmlformats.org/officeDocument/2006/relationships/hyperlink" Target="https://www.gov.uk/government/news/joint-statement-the-tallinn-pledge?utm_source=miragenews&amp;utm_medium=miragenews&amp;utm_campaign=news" TargetMode="External"/><Relationship Id="rId719" Type="http://schemas.openxmlformats.org/officeDocument/2006/relationships/hyperlink" Target="https://twitter.com/a_anusauskas/status/1546202214003269635" TargetMode="External"/><Relationship Id="rId926" Type="http://schemas.openxmlformats.org/officeDocument/2006/relationships/hyperlink" Target="https://yle.fi/a/3-12678466" TargetMode="External"/><Relationship Id="rId1556" Type="http://schemas.openxmlformats.org/officeDocument/2006/relationships/hyperlink" Target="https://appropriations.house.gov/sites/democrats.appropriations.house.gov/files/Additional%20Ukraine%20Suplemental%20Appropriations%20Act%20Summary.pdf" TargetMode="External"/><Relationship Id="rId1763" Type="http://schemas.openxmlformats.org/officeDocument/2006/relationships/hyperlink" Target="https://crsreports.congress.gov/product/pdf/IF/IF12040" TargetMode="External"/><Relationship Id="rId1970" Type="http://schemas.openxmlformats.org/officeDocument/2006/relationships/hyperlink" Target="https://crsreports.congress.gov/product/pdf/IF/IF12040" TargetMode="External"/><Relationship Id="rId2607" Type="http://schemas.openxmlformats.org/officeDocument/2006/relationships/hyperlink" Target="https://www.canada.ca/en/department-national-defence/campaigns/canadian-military-support-to-ukraine.html" TargetMode="External"/><Relationship Id="rId2814" Type="http://schemas.openxmlformats.org/officeDocument/2006/relationships/hyperlink" Target="https://crsreports.congress.gov/product/pdf/IF/IF12040" TargetMode="External"/><Relationship Id="rId55" Type="http://schemas.openxmlformats.org/officeDocument/2006/relationships/hyperlink" Target="https://www.rferl.org/a/czech-republic-poland-new-military-aid-ukraine/31873938.html" TargetMode="External"/><Relationship Id="rId1209" Type="http://schemas.openxmlformats.org/officeDocument/2006/relationships/hyperlink" Target="https://www.defense.gov/News/Releases/Release/Article/3227217/400-million-in-additional-assistance-for-ukraine/" TargetMode="External"/><Relationship Id="rId1416" Type="http://schemas.openxmlformats.org/officeDocument/2006/relationships/hyperlink" Target="https://appropriations.house.gov/sites/democrats.appropriations.house.gov/files/Ukraine%20Supplemental%20Summary.pdf" TargetMode="External"/><Relationship Id="rId1623" Type="http://schemas.openxmlformats.org/officeDocument/2006/relationships/hyperlink" Target="https://appropriations.house.gov/sites/democrats.appropriations.house.gov/files/Additional%20Ukraine%20Suplemental%20Appropriations%20Act%20Summary.pdf" TargetMode="External"/><Relationship Id="rId1830" Type="http://schemas.openxmlformats.org/officeDocument/2006/relationships/hyperlink" Target="https://appropriations.house.gov/sites/democrats.appropriations.house.gov/files/Summary%20Continuing%20Appropriations%20and%20Ukraine%20Supplemental%20Appropriations%20Act%202023.pdf" TargetMode="External"/><Relationship Id="rId4779" Type="http://schemas.openxmlformats.org/officeDocument/2006/relationships/hyperlink" Target="https://www.bundesregierung.de/breg-en/news/military-support-ukraine-2054992" TargetMode="External"/><Relationship Id="rId3588" Type="http://schemas.openxmlformats.org/officeDocument/2006/relationships/hyperlink" Target="https://www.eda.admin.ch/eda/de/home/das-eda/aktuell/newsuebersicht/2022/02/ukraine.html" TargetMode="External"/><Relationship Id="rId3795" Type="http://schemas.openxmlformats.org/officeDocument/2006/relationships/hyperlink" Target="https://www.state.gov/u-s-security-cooperation-with-ukraine/" TargetMode="External"/><Relationship Id="rId4639" Type="http://schemas.openxmlformats.org/officeDocument/2006/relationships/hyperlink" Target="https://www.defensie.nl/onderwerpen/oostflank-navo-gebied/militaire-steun-aan-oekraine" TargetMode="External"/><Relationship Id="rId2397" Type="http://schemas.openxmlformats.org/officeDocument/2006/relationships/hyperlink" Target="https://www.bundesregierung.de/resource/blob/975226/2155792/c3dbab706421f63d3d612091e7ecad4c/2022-12-27-unterstuetzung-ukraine-breg-data.pdf?download=1%20Guten" TargetMode="External"/><Relationship Id="rId3448" Type="http://schemas.openxmlformats.org/officeDocument/2006/relationships/hyperlink" Target="https://www.bundesregierung.de/breg-en/news/military-support-ukraine-2054992" TargetMode="External"/><Relationship Id="rId3655" Type="http://schemas.openxmlformats.org/officeDocument/2006/relationships/hyperlink" Target="https://web.archive.org/web/20230321123738/https:/www.government.is/topics/foreign-affairs/war-in-ukraine/" TargetMode="External"/><Relationship Id="rId3862" Type="http://schemas.openxmlformats.org/officeDocument/2006/relationships/hyperlink" Target="https://www.defense.gov/News/Releases/Release/Article/3402206/biden-administration-announces-additional-security-assistance-for-ukraine/" TargetMode="External"/><Relationship Id="rId4706" Type="http://schemas.openxmlformats.org/officeDocument/2006/relationships/hyperlink" Target="https://www.bundesregierung.de/breg-en/news/military-support-ukraine-2054992" TargetMode="External"/><Relationship Id="rId369" Type="http://schemas.openxmlformats.org/officeDocument/2006/relationships/hyperlink" Target="https://www.defense.gov/News/Releases/Release/Article/3007664/fact-sheet-on-us-security-assistance-for-ukraine-roll-up-as-of-april-21-2022/" TargetMode="External"/><Relationship Id="rId576" Type="http://schemas.openxmlformats.org/officeDocument/2006/relationships/hyperlink" Target="https://www.euractiv.com/section/politics/short_news/bulgaria-sends-helmets-to-ukrain%D0%B5/" TargetMode="External"/><Relationship Id="rId783" Type="http://schemas.openxmlformats.org/officeDocument/2006/relationships/hyperlink" Target="https://www.defense.gov/News/Releases/Release/Article/3134457/775-million-in-additional-security-assistance-for-ukraine/" TargetMode="External"/><Relationship Id="rId990" Type="http://schemas.openxmlformats.org/officeDocument/2006/relationships/hyperlink" Target="https://www.youtube.com/watch?v=D59VdvNdPwo&amp;t=2s&amp;ab_channel=NATONews" TargetMode="External"/><Relationship Id="rId2257" Type="http://schemas.openxmlformats.org/officeDocument/2006/relationships/hyperlink" Target="https://crsreports.congress.gov/product/pdf/IF/IF12040" TargetMode="External"/><Relationship Id="rId2464" Type="http://schemas.openxmlformats.org/officeDocument/2006/relationships/hyperlink" Target="https://www.brusselstimes.com/290771/belgium-to-give-e12-million-in-military-aid-to-ukraine" TargetMode="External"/><Relationship Id="rId2671" Type="http://schemas.openxmlformats.org/officeDocument/2006/relationships/hyperlink" Target="https://mof.gov.ua/uk/news/ukraine_will_receive_usd_500_million_from_the_uk_through_the_world_bank_project-3781" TargetMode="External"/><Relationship Id="rId3308" Type="http://schemas.openxmlformats.org/officeDocument/2006/relationships/hyperlink" Target="https://appropriations.house.gov/sites/democrats.appropriations.house.gov/files/Summary%20Continuing%20Appropriations%20and%20Ukraine%20Supplemental%20Appropriations%20Act%202023.pdf" TargetMode="External"/><Relationship Id="rId3515" Type="http://schemas.openxmlformats.org/officeDocument/2006/relationships/hyperlink" Target="https://www.bundesregierung.de/breg-en/news/military-support-ukraine-2054992" TargetMode="External"/><Relationship Id="rId229" Type="http://schemas.openxmlformats.org/officeDocument/2006/relationships/hyperlink" Target="https://diplomatie.belgium.be/en/belgium-sends-emergency-shelter-material-ukraine-b-fast" TargetMode="External"/><Relationship Id="rId436" Type="http://schemas.openxmlformats.org/officeDocument/2006/relationships/hyperlink" Target="https://www.youtube.com/watch?v=vzENx6dTpqY" TargetMode="External"/><Relationship Id="rId643" Type="http://schemas.openxmlformats.org/officeDocument/2006/relationships/hyperlink" Target="https://www.regjeringen.no/en/aktuelt/norge-og-storbritannia-gir-langtrekkende-rakettartilleri-til-ukraina/id2921395/" TargetMode="External"/><Relationship Id="rId1066" Type="http://schemas.openxmlformats.org/officeDocument/2006/relationships/hyperlink" Target="https://news.err.ee/1608793648/estonia-s-total-military-aid-to-ukraine-to-date-approaching-300-million" TargetMode="External"/><Relationship Id="rId1273" Type="http://schemas.openxmlformats.org/officeDocument/2006/relationships/hyperlink" Target="https://www.irishtimes.com/news/health/thousands-of-blood-bags-and-protective-suits-among-irish-aid-sent-to-ukraine-1.4824403" TargetMode="External"/><Relationship Id="rId1480" Type="http://schemas.openxmlformats.org/officeDocument/2006/relationships/hyperlink" Target="https://appropriations.house.gov/sites/democrats.appropriations.house.gov/files/Ukraine%20Supplemental%20Summary.pdf" TargetMode="External"/><Relationship Id="rId2117" Type="http://schemas.openxmlformats.org/officeDocument/2006/relationships/hyperlink" Target="https://appropriations.house.gov/sites/democrats.appropriations.house.gov/files/Additional%20Ukraine%20Suplemental%20Appropriations%20Act%20Summary.pdf" TargetMode="External"/><Relationship Id="rId2324" Type="http://schemas.openxmlformats.org/officeDocument/2006/relationships/hyperlink" Target="https://ua.interfax.com.ua/news/economic/796996.html" TargetMode="External"/><Relationship Id="rId3722" Type="http://schemas.openxmlformats.org/officeDocument/2006/relationships/hyperlink" Target="https://www.government.se/press-releases/2023/03/sweden-provides-almost-eur-11-million-in-support-to-women-and-girls-in-ukraine-and-moldova/" TargetMode="External"/><Relationship Id="rId850" Type="http://schemas.openxmlformats.org/officeDocument/2006/relationships/hyperlink" Target="https://www.facebook.com/mosr.sk/videos/5722932787787796" TargetMode="External"/><Relationship Id="rId1133" Type="http://schemas.openxmlformats.org/officeDocument/2006/relationships/hyperlink" Target="https://www.government.nl/latest/news/2022/08/22/extra-dutch-support-for-ukrainian-war-effort-and-reconstruction" TargetMode="External"/><Relationship Id="rId2531" Type="http://schemas.openxmlformats.org/officeDocument/2006/relationships/hyperlink" Target="https://www.premier.be/sites/default/files/articles/BE%20support%20militaire.pdf" TargetMode="External"/><Relationship Id="rId4289" Type="http://schemas.openxmlformats.org/officeDocument/2006/relationships/hyperlink" Target="https://www.kmu.gov.ua/en/news/mininfrastruktury-ispaniia-peredaie-32-avtobusy-dlia-khersonshchyny" TargetMode="External"/><Relationship Id="rId503" Type="http://schemas.openxmlformats.org/officeDocument/2006/relationships/hyperlink" Target="https://um.fi/press-releases/-/asset_publisher/ued5t2wDmr1C/content/suomi-myontaa-4-miljoonaa-euroa-lisatukea-ukrainalle-kehitysyhteistyon-ja-humanitaarisen-avun-kautta/35732" TargetMode="External"/><Relationship Id="rId710" Type="http://schemas.openxmlformats.org/officeDocument/2006/relationships/hyperlink" Target="https://www.usnews.com/news/world/articles/2022-06-16/slovaks-give-mi-helicopters-grad-rockets-to-ukraine" TargetMode="External"/><Relationship Id="rId1340" Type="http://schemas.openxmlformats.org/officeDocument/2006/relationships/hyperlink" Target="https://sloveniatimes.com/new-slovenian-donations-to-ukraine/" TargetMode="External"/><Relationship Id="rId3098" Type="http://schemas.openxmlformats.org/officeDocument/2006/relationships/hyperlink" Target="https://www.aecid.es/ES/Paginas/Sala%20de%20Prensa/Noticias/2022/2022_07/07_seci_lugano.aspx" TargetMode="External"/><Relationship Id="rId4496" Type="http://schemas.openxmlformats.org/officeDocument/2006/relationships/hyperlink" Target="https://www.mzv.sk/documents/10182/16962371/230307-Slovenska-pomoc-Ukrajine.pdf/fe148d62-2d1d-f61f-d35f-763e0b9f1d82" TargetMode="External"/><Relationship Id="rId1200" Type="http://schemas.openxmlformats.org/officeDocument/2006/relationships/hyperlink" Target="https://appropriations.house.gov/sites/democrats.appropriations.house.gov/files/Additional%20Ukraine%20Suplemental%20Appropriations%20Act%20Summary.pdf" TargetMode="External"/><Relationship Id="rId4149" Type="http://schemas.openxmlformats.org/officeDocument/2006/relationships/hyperlink" Target="https://kaitseministeerium.ee/en/news/estonia-send-sniper-weapons-and-special-equipment-ukraine" TargetMode="External"/><Relationship Id="rId4356" Type="http://schemas.openxmlformats.org/officeDocument/2006/relationships/hyperlink" Target="https://www.bundesregierung.de/resource/blob/975226/2189778/cdb664abe95e6fa74802882bd66ef771/2023-05-14-liste-ukr-unterstuetzung-data.pdf?download=1" TargetMode="External"/><Relationship Id="rId4563" Type="http://schemas.openxmlformats.org/officeDocument/2006/relationships/hyperlink" Target="https://www.reuters.com/world/uk/uk-confirms-further-500-mln-loan-guarantees-ukraine-2023-04-12/" TargetMode="External"/><Relationship Id="rId4770" Type="http://schemas.openxmlformats.org/officeDocument/2006/relationships/hyperlink" Target="https://www.bundesregierung.de/breg-en/news/military-support-ukraine-2054992" TargetMode="External"/><Relationship Id="rId3165" Type="http://schemas.openxmlformats.org/officeDocument/2006/relationships/hyperlink" Target="https://appropriations.house.gov/sites/democrats.appropriations.house.gov/files/Ukraine%20Supplemental%20Summary%20FY23.pdf" TargetMode="External"/><Relationship Id="rId3372" Type="http://schemas.openxmlformats.org/officeDocument/2006/relationships/hyperlink" Target="https://background.tagesspiegel.de/energie-klima/haelfte-des-ukrainischen-stromsystems-lahmgelegt" TargetMode="External"/><Relationship Id="rId4009" Type="http://schemas.openxmlformats.org/officeDocument/2006/relationships/hyperlink" Target="https://kariuomene.lt/kas-mes-esame/naujienos/vilniuje-lankysis-jungtines-karalystes-kariuomenes-vadas/17044" TargetMode="External"/><Relationship Id="rId4216" Type="http://schemas.openxmlformats.org/officeDocument/2006/relationships/hyperlink" Target="https://gov.ro/en/news/medical-equipment-and-medicines-donated-by-romania-in-support-of-ukraine&amp;page=13" TargetMode="External"/><Relationship Id="rId4423" Type="http://schemas.openxmlformats.org/officeDocument/2006/relationships/hyperlink" Target="https://www.bundesregierung.de/resource/blob/975226/2189778/cdb664abe95e6fa74802882bd66ef771/2023-05-14-liste-ukr-unterstuetzung-data.pdf?download=1" TargetMode="External"/><Relationship Id="rId4630" Type="http://schemas.openxmlformats.org/officeDocument/2006/relationships/hyperlink" Target="https://mocr.army.cz/informacni-servis/zpravodajstvi/cr-chce-na-ukrajinu-posilat-vic-modernizovanych-tanku-t-72-243353/" TargetMode="External"/><Relationship Id="rId293" Type="http://schemas.openxmlformats.org/officeDocument/2006/relationships/hyperlink" Target="https://www.vlada.cz/cz/media-centrum/aktualne/informace-v-souvislosti-s-invazi-ruska-na-ukrajinu-194507/" TargetMode="External"/><Relationship Id="rId2181" Type="http://schemas.openxmlformats.org/officeDocument/2006/relationships/hyperlink" Target="https://appropriations.house.gov/sites/democrats.appropriations.house.gov/files/Additional%20Ukraine%20Suplemental%20Appropriations%20Act%20Summary.pdf" TargetMode="External"/><Relationship Id="rId3025" Type="http://schemas.openxmlformats.org/officeDocument/2006/relationships/hyperlink" Target="https://www.kmu.gov.ua/news/khorvatiia-planuie-spriamuvaty-maizhe-3-mln-ievro-na-prydbannia-dlia-ukrainy-rozminuvalnykh-mashyn" TargetMode="External"/><Relationship Id="rId3232" Type="http://schemas.openxmlformats.org/officeDocument/2006/relationships/hyperlink" Target="https://ubn.news/fr/cinq-villes-ukrainiennes-vont-beneficier-dun-don-de-6-millions-de-dollars-de-taiwan/" TargetMode="External"/><Relationship Id="rId153" Type="http://schemas.openxmlformats.org/officeDocument/2006/relationships/hyperlink" Target="https://twitter.com/oleksiireznikov/status/1589571269363904512?cxt=HHwWgMDR-bippY8sAAAA" TargetMode="External"/><Relationship Id="rId360" Type="http://schemas.openxmlformats.org/officeDocument/2006/relationships/hyperlink" Target="https://twitter.com/desdelamoncloa/status/1497563071761453057" TargetMode="External"/><Relationship Id="rId204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0" Type="http://schemas.openxmlformats.org/officeDocument/2006/relationships/hyperlink" Target="https://www.thenationalherald.com/russias-ukraine-invasion-sees-greece-taking-bigger-nato-role/" TargetMode="External"/><Relationship Id="rId2998" Type="http://schemas.openxmlformats.org/officeDocument/2006/relationships/hyperlink" Target="https://www.defesa.gov.pt/pt/comunicacao/comunicados/Lists/PDEFINTER_DocumentoList/20230120_comunicado_MDN_Apoio_militar_a_Ucrania.pdf" TargetMode="External"/><Relationship Id="rId2858" Type="http://schemas.openxmlformats.org/officeDocument/2006/relationships/hyperlink" Target="https://crsreports.congress.gov/product/pdf/IF/IF12040" TargetMode="External"/><Relationship Id="rId3909" Type="http://schemas.openxmlformats.org/officeDocument/2006/relationships/hyperlink" Target="https://www.state.gov/u-s-security-cooperation-with-ukraine/" TargetMode="External"/><Relationship Id="rId4073" Type="http://schemas.openxmlformats.org/officeDocument/2006/relationships/hyperlink" Target="https://elpais.com/espana/2023-01-25/espana-se-suma-al-plan-europeo-para-entregar-tanques-leopard-a-ucrania.html" TargetMode="External"/><Relationship Id="rId99" Type="http://schemas.openxmlformats.org/officeDocument/2006/relationships/hyperlink" Target="https://twitter.com/oleksiireznikov/status/1565001295177687045" TargetMode="External"/><Relationship Id="rId1667" Type="http://schemas.openxmlformats.org/officeDocument/2006/relationships/hyperlink" Target="https://crsreports.congress.gov/product/pdf/IF/IF12040" TargetMode="External"/><Relationship Id="rId187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718" Type="http://schemas.openxmlformats.org/officeDocument/2006/relationships/hyperlink" Target="https://www.regjeringen.no/en/aktuelt/broad-political-agreement-on-multi-year-support-programme-for-ukraine/id2963374/" TargetMode="External"/><Relationship Id="rId2925" Type="http://schemas.openxmlformats.org/officeDocument/2006/relationships/hyperlink" Target="https://www.facebook.com/MinInfra.UA/posts/pfbid02bGQE1mPEedRvG9J7XqtSXznjDxwyJAKCTkWNVt5HSqzB132qJErWycxThrVfUKfvl" TargetMode="External"/><Relationship Id="rId4280" Type="http://schemas.openxmlformats.org/officeDocument/2006/relationships/hyperlink" Target="https://www.irozhlas.cz/zpravy-domov/petr-pavel-ukrajina-protiletadlove-systemy-kub_2305101415_pj" TargetMode="External"/><Relationship Id="rId1527" Type="http://schemas.openxmlformats.org/officeDocument/2006/relationships/hyperlink" Target="https://appropriations.house.gov/sites/democrats.appropriations.house.gov/files/Additional%20Ukraine%20Suplemental%20Appropriations%20Act%20Summary.pdf" TargetMode="External"/><Relationship Id="rId1734" Type="http://schemas.openxmlformats.org/officeDocument/2006/relationships/hyperlink" Target="https://crsreports.congress.gov/product/pdf/IF/IF12040" TargetMode="External"/><Relationship Id="rId1941" Type="http://schemas.openxmlformats.org/officeDocument/2006/relationships/hyperlink" Target="https://appropriations.house.gov/sites/democrats.appropriations.house.gov/files/Ukraine%20Supplemental%20Summary%20FY23.pdf" TargetMode="External"/><Relationship Id="rId4140" Type="http://schemas.openxmlformats.org/officeDocument/2006/relationships/hyperlink" Target="https://kaitseministeerium.ee/en/news/estonia-send-sniper-weapons-and-special-equipment-ukraine" TargetMode="External"/><Relationship Id="rId26" Type="http://schemas.openxmlformats.org/officeDocument/2006/relationships/hyperlink" Target="https://www.reuters.com/world/europe/slovakia-says-it-delivered-air-defence-anti-tank-rockets-ukraine-2022-02-28/" TargetMode="External"/><Relationship Id="rId3699" Type="http://schemas.openxmlformats.org/officeDocument/2006/relationships/hyperlink" Target="https://um.fi/finland-s-support-to-ukraine" TargetMode="External"/><Relationship Id="rId4000" Type="http://schemas.openxmlformats.org/officeDocument/2006/relationships/hyperlink" Target="https://www.canada.ca/en/department-national-defence/campaigns/canadian-military-support-to-ukraine.html" TargetMode="External"/><Relationship Id="rId1801" Type="http://schemas.openxmlformats.org/officeDocument/2006/relationships/hyperlink" Target="https://appropriations.house.gov/sites/democrats.appropriations.house.gov/files/Additional%20Ukraine%20Suplemental%20Appropriations%20Act%20Summary.pdf" TargetMode="External"/><Relationship Id="rId3559"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687" Type="http://schemas.openxmlformats.org/officeDocument/2006/relationships/hyperlink" Target="https://abcnews.go.com/Politics/us-sends-patriot-battery-slovakia-ukraine-300-anti/story?id=83965999" TargetMode="External"/><Relationship Id="rId2368" Type="http://schemas.openxmlformats.org/officeDocument/2006/relationships/hyperlink" Target="https://www.connexionfrance.com/article/French-news/Humanitarian-ship-for-Ukraine-leaves-French-port-with-8m-of-aid" TargetMode="External"/><Relationship Id="rId3766" Type="http://schemas.openxmlformats.org/officeDocument/2006/relationships/hyperlink" Target="https://www.state.gov/u-s-security-cooperation-with-ukraine/" TargetMode="External"/><Relationship Id="rId3973" Type="http://schemas.openxmlformats.org/officeDocument/2006/relationships/hyperlink" Target="https://www.state.gov/u-s-security-cooperation-with-ukraine/" TargetMode="External"/><Relationship Id="rId4817" Type="http://schemas.openxmlformats.org/officeDocument/2006/relationships/hyperlink" Target="https://www.bundesregierung.de/breg-en/news/military-support-ukraine-2054992" TargetMode="External"/><Relationship Id="rId894" Type="http://schemas.openxmlformats.org/officeDocument/2006/relationships/hyperlink" Target="https://www.defense.gov/News/Releases/Release/Article/3134457/775-million-in-additional-security-assistance-for-ukraine/" TargetMode="External"/><Relationship Id="rId1177" Type="http://schemas.openxmlformats.org/officeDocument/2006/relationships/hyperlink" Target="https://kyivindependent.com/news-feed/slovakia-considers-producing-ammunition-for-ukraine" TargetMode="External"/><Relationship Id="rId2575" Type="http://schemas.openxmlformats.org/officeDocument/2006/relationships/hyperlink" Target="https://www.premier.be/sites/default/files/articles/BE%20support%20militaire.pdf" TargetMode="External"/><Relationship Id="rId2782" Type="http://schemas.openxmlformats.org/officeDocument/2006/relationships/hyperlink" Target="https://crsreports.congress.gov/product/pdf/IF/IF12040" TargetMode="External"/><Relationship Id="rId3419" Type="http://schemas.openxmlformats.org/officeDocument/2006/relationships/hyperlink" Target="https://www.bundesregierung.de/breg-en/news/military-support-ukraine-2054992" TargetMode="External"/><Relationship Id="rId3626" Type="http://schemas.openxmlformats.org/officeDocument/2006/relationships/hyperlink" Target="https://www.bundesregierung.de/breg-en/news/military-support-ukraine-2054992" TargetMode="External"/><Relationship Id="rId3833" Type="http://schemas.openxmlformats.org/officeDocument/2006/relationships/hyperlink" Target="https://www.defense.gov/News/Releases/Release/Article/3367924/biden-administration-announces-additional-security-assistance-for-ukraine/" TargetMode="External"/><Relationship Id="rId547" Type="http://schemas.openxmlformats.org/officeDocument/2006/relationships/hyperlink" Target="https://www.europarl.europa.eu/RegData/etudes/ATAG/2022/729301/EPRS_ATA(2022)729301_EN.pdf" TargetMode="External"/><Relationship Id="rId754" Type="http://schemas.openxmlformats.org/officeDocument/2006/relationships/hyperlink" Target="https://www.mod.gov.lv/en/news/latvia-delivers-stinger-anti-aircraft-missile-system-ukraine" TargetMode="External"/><Relationship Id="rId961" Type="http://schemas.openxmlformats.org/officeDocument/2006/relationships/hyperlink" Target="https://www.ukrinform.net/rubric-ato/3604150-italy-provides-ukraine-with-two-m270-systems-six-pzh-2000-about-30-selfpropelled-howitzers-media.html" TargetMode="External"/><Relationship Id="rId1384" Type="http://schemas.openxmlformats.org/officeDocument/2006/relationships/hyperlink" Target="https://appropriations.house.gov/sites/democrats.appropriations.house.gov/files/Ukraine%20Supplemental%20Summary.pdf" TargetMode="External"/><Relationship Id="rId1591" Type="http://schemas.openxmlformats.org/officeDocument/2006/relationships/hyperlink" Target="https://appropriations.house.gov/sites/democrats.appropriations.house.gov/files/Additional%20Ukraine%20Suplemental%20Appropriations%20Act%20Summary.pdf" TargetMode="External"/><Relationship Id="rId2228" Type="http://schemas.openxmlformats.org/officeDocument/2006/relationships/hyperlink" Target="https://appropriations.house.gov/sites/democrats.appropriations.house.gov/files/Ukraine%20Supplemental%20Summary.pdf" TargetMode="External"/><Relationship Id="rId2435" Type="http://schemas.openxmlformats.org/officeDocument/2006/relationships/hyperlink" Target="https://ukranews.com/en/news/887638-canada-will-provide-new-package-of-assistance-to-ukraine-for-usd-47-million" TargetMode="External"/><Relationship Id="rId2642" Type="http://schemas.openxmlformats.org/officeDocument/2006/relationships/hyperlink" Target="https://www.defensie.nl/onderwerpen/oostflank-navo-gebied/militaire-steun-aan-oekraine" TargetMode="External"/><Relationship Id="rId3900" Type="http://schemas.openxmlformats.org/officeDocument/2006/relationships/hyperlink" Target="https://www.defense.gov/News/Releases/Release/Article/3411804/biden-administration-announces-additional-security-assistance-for-ukraine/" TargetMode="External"/><Relationship Id="rId90" Type="http://schemas.openxmlformats.org/officeDocument/2006/relationships/hyperlink" Target="https://web.archive.org/web/20230524183203/https:/www.defesa.gov.pt/pt/comunicacao/documentos/Lists/PDEFINTER_DocumentoLookupList/apoio_militar_Portugal_Ucrania_20230503.pdf" TargetMode="External"/><Relationship Id="rId407" Type="http://schemas.openxmlformats.org/officeDocument/2006/relationships/hyperlink" Target="https://www.diplomatie.gouv.fr/en/country-files/ukraine/news/article/ukraine-conversation-between-jean-yves-le-drian-and-his-ukrainian-counterpart" TargetMode="External"/><Relationship Id="rId614" Type="http://schemas.openxmlformats.org/officeDocument/2006/relationships/hyperlink" Target="https://czechdaily.cz/the-government-will-send-to-ukraine-czk-300-million-in-aid/" TargetMode="External"/><Relationship Id="rId821" Type="http://schemas.openxmlformats.org/officeDocument/2006/relationships/hyperlink" Target="https://www.defense.gov/News/Releases/Release/Article/3138105/nearly-3-billion-in-additional-security-assistance-for-ukraine/" TargetMode="External"/><Relationship Id="rId1037" Type="http://schemas.openxmlformats.org/officeDocument/2006/relationships/hyperlink" Target="https://edition.cnn.com/europe/live-news/russia-ukraine-war-news-08-25-22/index.html" TargetMode="External"/><Relationship Id="rId1244" Type="http://schemas.openxmlformats.org/officeDocument/2006/relationships/hyperlink" Target="https://www.thehindu.com/news/national/ukraine-expects-india-to-participate-actively-in-post-war-construction/article65491977.ece" TargetMode="External"/><Relationship Id="rId1451" Type="http://schemas.openxmlformats.org/officeDocument/2006/relationships/hyperlink" Target="https://appropriations.house.gov/sites/democrats.appropriations.house.gov/files/Ukraine%20Supplemental%20Summary.pdf" TargetMode="External"/><Relationship Id="rId2502" Type="http://schemas.openxmlformats.org/officeDocument/2006/relationships/hyperlink" Target="https://mil.in.ua/en/news/belgium-made-a-decision-to-hand-over-artillery-to-ukraine-the-media/" TargetMode="External"/><Relationship Id="rId1104" Type="http://schemas.openxmlformats.org/officeDocument/2006/relationships/hyperlink" Target="https://www.kmu.gov.ua/en/news/avstriia-pererakhuie-5-mln-ievro-u-fond-enerhetychnoi-pidtrymky-ukrainy" TargetMode="External"/><Relationship Id="rId1311" Type="http://schemas.openxmlformats.org/officeDocument/2006/relationships/hyperlink" Target="https://delano.lu/article/zelenskyy-thanks-luxembourg-fo" TargetMode="External"/><Relationship Id="rId4467" Type="http://schemas.openxmlformats.org/officeDocument/2006/relationships/hyperlink" Target="https://www.bundesregierung.de/resource/blob/975226/2189778/cdb664abe95e6fa74802882bd66ef771/2023-05-14-liste-ukr-unterstuetzung-data.pdf?download=1" TargetMode="External"/><Relationship Id="rId4674" Type="http://schemas.openxmlformats.org/officeDocument/2006/relationships/hyperlink" Target="https://www.bundesregierung.de/breg-en/news/military-support-ukraine-2054992" TargetMode="External"/><Relationship Id="rId3069" Type="http://schemas.openxmlformats.org/officeDocument/2006/relationships/hyperlink" Target="https://www.weaponstoukraine.com/kampane/viktor-mobile-air-defense-for-ukraine" TargetMode="External"/><Relationship Id="rId3276" Type="http://schemas.openxmlformats.org/officeDocument/2006/relationships/hyperlink" Target="https://www.facebook.com/minfin.gov.ua/posts/pfbid02cVpY1dj5CsrGvTKBM8LwSGcM69f5wVhAL8SoHbcW8eeo6hsRt6Ya2rDF5XyUibdvl" TargetMode="External"/><Relationship Id="rId3483" Type="http://schemas.openxmlformats.org/officeDocument/2006/relationships/hyperlink" Target="https://www.bundesregierung.de/breg-en/news/military-support-ukraine-2054992" TargetMode="External"/><Relationship Id="rId3690" Type="http://schemas.openxmlformats.org/officeDocument/2006/relationships/hyperlink" Target="https://intermin.fi/en/ukraine/civilian-assistance-to-ukraine" TargetMode="External"/><Relationship Id="rId4327" Type="http://schemas.openxmlformats.org/officeDocument/2006/relationships/hyperlink" Target="https://www.bundesregierung.de/resource/blob/975226/2189778/cdb664abe95e6fa74802882bd66ef771/2023-05-14-liste-ukr-unterstuetzung-data.pdf?download=1" TargetMode="External"/><Relationship Id="rId4534" Type="http://schemas.openxmlformats.org/officeDocument/2006/relationships/hyperlink" Target="https://www.lamoncloa.gob.es/lang/en/gobierno/news/Paginas/2023/20230413_aid-to-ukrainian-towns.aspx" TargetMode="External"/><Relationship Id="rId197" Type="http://schemas.openxmlformats.org/officeDocument/2006/relationships/hyperlink" Target="https://twitter.com/a_anusauskas/status/1574471610807062542?cxt=HHwWnMC88dHl0tkrAAAA" TargetMode="External"/><Relationship Id="rId2085" Type="http://schemas.openxmlformats.org/officeDocument/2006/relationships/hyperlink" Target="https://www.usaid.gov/news-information/press-releases/nov-22-2022-united-states-contributes-45-billion-support-government-ukraine" TargetMode="External"/><Relationship Id="rId2292" Type="http://schemas.openxmlformats.org/officeDocument/2006/relationships/hyperlink" Target="https://crsreports.congress.gov/product/pdf/IF/IF12040" TargetMode="External"/><Relationship Id="rId3136" Type="http://schemas.openxmlformats.org/officeDocument/2006/relationships/hyperlink" Target="https://english.nv.ua/nation/7-million-pledged-by-canada-for-generator-purchases-in-ukraine-news-50286809.html" TargetMode="External"/><Relationship Id="rId3343" Type="http://schemas.openxmlformats.org/officeDocument/2006/relationships/hyperlink" Target="https://mil.in.ua/en/news/what-spain-hands-over-to-ukraine-aspide-sam-battalion-hawk-air-defense-systems-anti-tank-systems-guns-and-projectiles/" TargetMode="External"/><Relationship Id="rId4741" Type="http://schemas.openxmlformats.org/officeDocument/2006/relationships/hyperlink" Target="https://www.bundesregierung.de/breg-en/news/military-support-ukraine-2054992" TargetMode="External"/><Relationship Id="rId264" Type="http://schemas.openxmlformats.org/officeDocument/2006/relationships/hyperlink" Target="https://www.globalcitizen.org/en/content/stand-up-for-ukraine-impact-report/" TargetMode="External"/><Relationship Id="rId471" Type="http://schemas.openxmlformats.org/officeDocument/2006/relationships/hyperlink" Target="https://www.canada.ca/en/department-national-defence/news/2022/04/canada-announces-artillery-and-other-additional-military-aid-for-ukraine.html" TargetMode="External"/><Relationship Id="rId2152" Type="http://schemas.openxmlformats.org/officeDocument/2006/relationships/hyperlink" Target="https://appropriations.house.gov/sites/democrats.appropriations.house.gov/files/Additional%20Ukraine%20Suplemental%20Appropriations%20Act%20Summary.pdf" TargetMode="External"/><Relationship Id="rId3550" Type="http://schemas.openxmlformats.org/officeDocument/2006/relationships/hyperlink" Target="https://www.bundesregierung.de/breg-en/news/military-support-ukraine-2054992" TargetMode="External"/><Relationship Id="rId4601" Type="http://schemas.openxmlformats.org/officeDocument/2006/relationships/hyperlink" Target="https://mvep.gov.hr/press-22794/croatia-continues-to-provide-consistent-and-ample-support-to-ukraine/253745" TargetMode="External"/><Relationship Id="rId124" Type="http://schemas.openxmlformats.org/officeDocument/2006/relationships/hyperlink" Target="https://report.az/en/other-countries/france-to-provide-ukraine-with-arms-worth-200m-euros/" TargetMode="External"/><Relationship Id="rId3203" Type="http://schemas.openxmlformats.org/officeDocument/2006/relationships/hyperlink" Target="https://japan.kantei.go.jp/ongoingtopics/pdf/jp_stands_with_ukraine_eng.pdf" TargetMode="External"/><Relationship Id="rId3410"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331" Type="http://schemas.openxmlformats.org/officeDocument/2006/relationships/hyperlink" Target="https://www.reuters.com/world/europe/sweden-send-military-aid-ukraine-pm-andersson-2022-02-27/" TargetMode="External"/><Relationship Id="rId2012" Type="http://schemas.openxmlformats.org/officeDocument/2006/relationships/hyperlink" Target="https://crsreports.congress.gov/product/pdf/IF/IF12040" TargetMode="External"/><Relationship Id="rId2969" Type="http://schemas.openxmlformats.org/officeDocument/2006/relationships/hyperlink" Target="https://www.bundesregierung.de/breg-en/news/military-support-ukraine-2054992" TargetMode="External"/><Relationship Id="rId1778" Type="http://schemas.openxmlformats.org/officeDocument/2006/relationships/hyperlink" Target="https://crsreports.congress.gov/product/pdf/IF/IF12040" TargetMode="External"/><Relationship Id="rId1985" Type="http://schemas.openxmlformats.org/officeDocument/2006/relationships/hyperlink" Target="https://crsreports.congress.gov/product/pdf/IF/IF12040" TargetMode="External"/><Relationship Id="rId2829" Type="http://schemas.openxmlformats.org/officeDocument/2006/relationships/hyperlink" Target="https://www.defense.gov/News/Releases/Release/Article/3302787/biden-administration-announces-additional-security-assistance-for-ukraine/" TargetMode="External"/><Relationship Id="rId4184" Type="http://schemas.openxmlformats.org/officeDocument/2006/relationships/hyperlink" Target="https://www.esteri.it/en/sala_stampa/archivionotizie/comunicati/2023/04/comunicato-congiunto-italia-ucraina-in-occasione-della-conferenza-sulla-ricostruzione-dellucraina-roma-26-aprile-2023/" TargetMode="External"/><Relationship Id="rId4391" Type="http://schemas.openxmlformats.org/officeDocument/2006/relationships/hyperlink" Target="https://www.bundesregierung.de/resource/blob/975226/2189778/cdb664abe95e6fa74802882bd66ef771/2023-05-14-liste-ukr-unterstuetzung-data.pdf?download=1" TargetMode="External"/><Relationship Id="rId1638" Type="http://schemas.openxmlformats.org/officeDocument/2006/relationships/hyperlink" Target="https://appropriations.house.gov/sites/democrats.appropriations.house.gov/files/Additional%20Ukraine%20Suplemental%20Appropriations%20Act%20Summary.pdf" TargetMode="External"/><Relationship Id="rId4044" Type="http://schemas.openxmlformats.org/officeDocument/2006/relationships/hyperlink" Target="https://www.defensie.nl/onderwerpen/oostflank-navo-gebied/militaire-steun-aan-oekraine" TargetMode="External"/><Relationship Id="rId4251" Type="http://schemas.openxmlformats.org/officeDocument/2006/relationships/hyperlink" Target="https://www.admin.ch/gov/en/start/documentation/media-releases.msg-id-89923.html" TargetMode="External"/><Relationship Id="rId1845"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60" Type="http://schemas.openxmlformats.org/officeDocument/2006/relationships/hyperlink" Target="https://www.gov.uk/government/news/joint-statement-the-tallinn-pledge" TargetMode="External"/><Relationship Id="rId4111" Type="http://schemas.openxmlformats.org/officeDocument/2006/relationships/hyperlink" Target="https://twitter.com/MoD_Estonia/status/1629927711668838400?cxt=HHwWgICx-can1Z4tAAAA" TargetMode="External"/><Relationship Id="rId1705" Type="http://schemas.openxmlformats.org/officeDocument/2006/relationships/hyperlink" Target="https://crsreports.congress.gov/product/pdf/IF/IF12040" TargetMode="External"/><Relationship Id="rId1912" Type="http://schemas.openxmlformats.org/officeDocument/2006/relationships/hyperlink" Target="https://appropriations.house.gov/sites/democrats.appropriations.house.gov/files/Ukraine%20Supplemental%20Summary%20FY23.pdf" TargetMode="External"/><Relationship Id="rId3877" Type="http://schemas.openxmlformats.org/officeDocument/2006/relationships/hyperlink" Target="https://www.defense.gov/News/Releases/Release/Article/3402206/biden-administration-announces-additional-security-assistance-for-ukraine/" TargetMode="External"/><Relationship Id="rId798" Type="http://schemas.openxmlformats.org/officeDocument/2006/relationships/hyperlink" Target="https://www.defense.gov/News/Releases/Release/Article/3152071/675-million-in-additional-security-assistance-for-ukraine/" TargetMode="External"/><Relationship Id="rId2479" Type="http://schemas.openxmlformats.org/officeDocument/2006/relationships/hyperlink" Target="https://en.interfax.com.ua/news/general/859303.html" TargetMode="External"/><Relationship Id="rId2686" Type="http://schemas.openxmlformats.org/officeDocument/2006/relationships/hyperlink" Target="https://www.lrt.lt/en/news-in-english/19/1742916/lithuania-to-send-armoured-personnel-carriers-ammunition-to-ukraine" TargetMode="External"/><Relationship Id="rId2893" Type="http://schemas.openxmlformats.org/officeDocument/2006/relationships/hyperlink" Target="https://www.vlada.cz/en/media-centrum/tiskove-zpravy/czechia-sends-hundreds-of-heavy-military-systems-worth-tens-of-billions-to-ukraine-during-the-first-year-of-russian-invasion-203252/" TargetMode="External"/><Relationship Id="rId3737" Type="http://schemas.openxmlformats.org/officeDocument/2006/relationships/hyperlink" Target="https://www.government.se/speeches/2023/02/opening-speech-by-the-minister-for-defence-pal-jonson-at-the-conference-on-security-and-defence-within-the-framework-of-swedens-presidency-of-the-eu/" TargetMode="External"/><Relationship Id="rId3944" Type="http://schemas.openxmlformats.org/officeDocument/2006/relationships/hyperlink" Target="https://www.defense.gov/News/Releases/Release/Article/3350958/biden-administration-announces-additional-security-assistance-for-ukraine/" TargetMode="External"/><Relationship Id="rId658" Type="http://schemas.openxmlformats.org/officeDocument/2006/relationships/hyperlink" Target="https://www.reuters.com/world/europe/dutch-others-will-continue-deliver-weapons-ukraine-dutch-minister-2022-03-16/" TargetMode="External"/><Relationship Id="rId865" Type="http://schemas.openxmlformats.org/officeDocument/2006/relationships/hyperlink" Target="https://kaitseministeerium.ee/en/news/estonia-increase-defence-aid-ukraine" TargetMode="External"/><Relationship Id="rId1288" Type="http://schemas.openxmlformats.org/officeDocument/2006/relationships/hyperlink" Target="https://www.bundesregierung.de/resource/blob/975226/2155792/c3dbab706421f63d3d612091e7ecad4c/2022-12-27-unterstuetzung-ukraine-breg-data.pdf?download=1%20Guten" TargetMode="External"/><Relationship Id="rId1495" Type="http://schemas.openxmlformats.org/officeDocument/2006/relationships/hyperlink" Target="https://appropriations.house.gov/sites/democrats.appropriations.house.gov/files/Ukraine%20Supplemental%20Summary.pdf" TargetMode="External"/><Relationship Id="rId2339" Type="http://schemas.openxmlformats.org/officeDocument/2006/relationships/hyperlink" Target="https://twitter.com/i/status/1512804572728897539" TargetMode="External"/><Relationship Id="rId2546" Type="http://schemas.openxmlformats.org/officeDocument/2006/relationships/hyperlink" Target="https://lahbib.belgium.be/en/belgium-provide-8-million-eur-non-lethal-support-ukrainian-armed-forces" TargetMode="External"/><Relationship Id="rId2753" Type="http://schemas.openxmlformats.org/officeDocument/2006/relationships/hyperlink" Target="https://www.defense.gov/News/Releases/Release/Article/3272866/biden-administration-announces-additional-security-assistance-for-ukraine/" TargetMode="External"/><Relationship Id="rId2960" Type="http://schemas.openxmlformats.org/officeDocument/2006/relationships/hyperlink" Target="https://www.reuters.com/world/europe/russia-pounds-ukraine-civil-infrastructure-powers-meet-provide-aid-2022-12-13/" TargetMode="External"/><Relationship Id="rId3804" Type="http://schemas.openxmlformats.org/officeDocument/2006/relationships/hyperlink" Target="https://www.defense.gov/News/Releases/Release/Article/3350958/biden-administration-announces-additional-security-assistance-for-ukraine/" TargetMode="External"/><Relationship Id="rId518" Type="http://schemas.openxmlformats.org/officeDocument/2006/relationships/hyperlink" Target="https://www.ukrinform.net/rubric-defense/3463928-spain-sends-new-military-aid-batch-to-ukraine.html" TargetMode="External"/><Relationship Id="rId725" Type="http://schemas.openxmlformats.org/officeDocument/2006/relationships/hyperlink" Target="https://www.gov.uk/government/news/uk-to-send-scores-of-artillery-guns-and-hundreds-of-drones-to-ukraine" TargetMode="External"/><Relationship Id="rId932" Type="http://schemas.openxmlformats.org/officeDocument/2006/relationships/hyperlink" Target="https://www.nippon.com/en/news/kd927892413712449536/" TargetMode="External"/><Relationship Id="rId1148" Type="http://schemas.openxmlformats.org/officeDocument/2006/relationships/hyperlink" Target="https://mfa.gov.cy/el/press-releases/2022/12/30/press-statement-poland-ua-generators/" TargetMode="External"/><Relationship Id="rId1355" Type="http://schemas.openxmlformats.org/officeDocument/2006/relationships/hyperlink" Target="https://crsreports.congress.gov/product/pdf/IF/IF12305" TargetMode="External"/><Relationship Id="rId1562" Type="http://schemas.openxmlformats.org/officeDocument/2006/relationships/hyperlink" Target="https://appropriations.house.gov/sites/democrats.appropriations.house.gov/files/Additional%20Ukraine%20Suplemental%20Appropriations%20Act%20Summary.pdf" TargetMode="External"/><Relationship Id="rId2406" Type="http://schemas.openxmlformats.org/officeDocument/2006/relationships/hyperlink" Target="https://ua.interfax.com.ua/news/general/807284.html" TargetMode="External"/><Relationship Id="rId2613" Type="http://schemas.openxmlformats.org/officeDocument/2006/relationships/hyperlink" Target="https://pm.gc.ca/en/news/news-releases/2023/02/24/supporting-ukraine-long-it-takes" TargetMode="External"/><Relationship Id="rId1008" Type="http://schemas.openxmlformats.org/officeDocument/2006/relationships/hyperlink" Target="https://www.gov.uk/government/news/uk-to-offer-major-training-programme-for-ukrainian-forces-as-prime-minister-hails-their-victorious-determination" TargetMode="External"/><Relationship Id="rId1215" Type="http://schemas.openxmlformats.org/officeDocument/2006/relationships/hyperlink" Target="https://www.defense.gov/News/Releases/Release/Article/3227217/400-million-in-additional-assistance-for-ukraine/" TargetMode="External"/><Relationship Id="rId1422" Type="http://schemas.openxmlformats.org/officeDocument/2006/relationships/hyperlink" Target="https://appropriations.house.gov/sites/democrats.appropriations.house.gov/files/Ukraine%20Supplemental%20Summary.pdf" TargetMode="External"/><Relationship Id="rId2820" Type="http://schemas.openxmlformats.org/officeDocument/2006/relationships/hyperlink" Target="https://www.defense.gov/News/Releases/Release/Article/3302787/biden-administration-announces-additional-security-assistance-for-ukraine/" TargetMode="External"/><Relationship Id="rId4578" Type="http://schemas.openxmlformats.org/officeDocument/2006/relationships/hyperlink" Target="http://web.archive.org/web/20230326143532/https:/www.mk.gov.lv/en/latvia-supports-ukraine" TargetMode="External"/><Relationship Id="rId61" Type="http://schemas.openxmlformats.org/officeDocument/2006/relationships/hyperlink" Target="https://www.theportugalnews.com/news/2022-04-07/portugal-to-send-more-military-material-to-ukraine/66259" TargetMode="External"/><Relationship Id="rId3387" Type="http://schemas.openxmlformats.org/officeDocument/2006/relationships/hyperlink" Target="https://www.thedefensepost.com/2022/10/03/germany-denmark-norway-howitzers-ukraine/" TargetMode="External"/><Relationship Id="rId4785" Type="http://schemas.openxmlformats.org/officeDocument/2006/relationships/hyperlink" Target="https://www.bundesregierung.de/breg-en/news/military-support-ukraine-2054992" TargetMode="External"/><Relationship Id="rId2196" Type="http://schemas.openxmlformats.org/officeDocument/2006/relationships/hyperlink" Target="https://appropriations.house.gov/sites/democrats.appropriations.house.gov/files/Additional%20Ukraine%20Suplemental%20Appropriations%20Act%20Summary.pdf" TargetMode="External"/><Relationship Id="rId3594" Type="http://schemas.openxmlformats.org/officeDocument/2006/relationships/hyperlink" Target="https://www.eda.admin.ch/eda/de/home/das-eda/aktuell/newsuebersicht/2022/02/ukraine.html" TargetMode="External"/><Relationship Id="rId4438" Type="http://schemas.openxmlformats.org/officeDocument/2006/relationships/hyperlink" Target="https://www.bundesregierung.de/resource/blob/975226/2189778/cdb664abe95e6fa74802882bd66ef771/2023-05-14-liste-ukr-unterstuetzung-data.pdf?download=1" TargetMode="External"/><Relationship Id="rId4645" Type="http://schemas.openxmlformats.org/officeDocument/2006/relationships/hyperlink" Target="https://www.weaponstoukraine.com/kampane/viktor-mobile-air-defense-for-ukraine" TargetMode="External"/><Relationship Id="rId168" Type="http://schemas.openxmlformats.org/officeDocument/2006/relationships/hyperlink" Target="https://de.ambafrance.org/Bilan-de-l-aide-apportee-par-la-France-a-l-Ukraine-fevrier-2023" TargetMode="External"/><Relationship Id="rId3247" Type="http://schemas.openxmlformats.org/officeDocument/2006/relationships/hyperlink" Target="https://en.mofa.gov.tw/News_Content.aspx?n=1328&amp;sms=273&amp;s=97920" TargetMode="External"/><Relationship Id="rId3454" Type="http://schemas.openxmlformats.org/officeDocument/2006/relationships/hyperlink" Target="https://www.bundesregierung.de/breg-en/news/military-support-ukraine-2054992" TargetMode="External"/><Relationship Id="rId3661" Type="http://schemas.openxmlformats.org/officeDocument/2006/relationships/hyperlink" Target="https://www.icelandreview.com/politics/iceland-donates-isk-130-million-in-emergency-aid-to-ukraine/" TargetMode="External"/><Relationship Id="rId4505" Type="http://schemas.openxmlformats.org/officeDocument/2006/relationships/hyperlink" Target="https://www.afad.gov.tr/turkiyeden-ukrayna-halkina-yardim-eli" TargetMode="External"/><Relationship Id="rId4712" Type="http://schemas.openxmlformats.org/officeDocument/2006/relationships/hyperlink" Target="https://www.bundesregierung.de/breg-en/news/military-support-ukraine-2054992" TargetMode="External"/><Relationship Id="rId375" Type="http://schemas.openxmlformats.org/officeDocument/2006/relationships/hyperlink" Target="https://www.vlada.cz/cz/media-centrum/aktualne/vlada-petra-fialy-schvalila-dalsi-vojenskou-pomoc-bojujici-ukrajine-194603/" TargetMode="External"/><Relationship Id="rId582" Type="http://schemas.openxmlformats.org/officeDocument/2006/relationships/hyperlink" Target="https://www.foreignminister.gov.au/minister/marise-payne/media-release/additional-support-ukraine" TargetMode="External"/><Relationship Id="rId205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63" Type="http://schemas.openxmlformats.org/officeDocument/2006/relationships/hyperlink" Target="https://crsreports.congress.gov/product/pdf/IF/IF12040" TargetMode="External"/><Relationship Id="rId2470" Type="http://schemas.openxmlformats.org/officeDocument/2006/relationships/hyperlink" Target="https://www.euractiv.com/section/politics/short_news/belgium-to-provide-e8-million-for-non-lethal-aid-to-ukraines-armed-forces/" TargetMode="External"/><Relationship Id="rId3107" Type="http://schemas.openxmlformats.org/officeDocument/2006/relationships/hyperlink" Target="https://www.government.nl/latest/news/2022/12/23/netherlands-support-ukraine-2023-news" TargetMode="External"/><Relationship Id="rId3314" Type="http://schemas.openxmlformats.org/officeDocument/2006/relationships/hyperlink" Target="https://www.reuters.com/article/health-coronavirus-sweden-ukraine-idINO9N2YI01F" TargetMode="External"/><Relationship Id="rId3521" Type="http://schemas.openxmlformats.org/officeDocument/2006/relationships/hyperlink" Target="https://www.bundesregierung.de/breg-en/news/military-support-ukraine-2054992" TargetMode="External"/><Relationship Id="rId235" Type="http://schemas.openxmlformats.org/officeDocument/2006/relationships/hyperlink" Target="https://www.repubblica.it/politica/2022/03/01/news/armi_ucraina_di_governo_oggi_camere-339750246/" TargetMode="External"/><Relationship Id="rId442" Type="http://schemas.openxmlformats.org/officeDocument/2006/relationships/hyperlink" Target="https://www.regjeringen.no/en/aktuelt/norway-provides-additional-weapons-to-ukraine/id2906254/" TargetMode="External"/><Relationship Id="rId1072" Type="http://schemas.openxmlformats.org/officeDocument/2006/relationships/hyperlink" Target="https://ec.europa.eu/commission/presscorner/detail/es/ip_22_6263" TargetMode="External"/><Relationship Id="rId2123" Type="http://schemas.openxmlformats.org/officeDocument/2006/relationships/hyperlink" Target="https://appropriations.house.gov/sites/democrats.appropriations.house.gov/files/Additional%20Ukraine%20Suplemental%20Appropriations%20Act%20Summary.pdf" TargetMode="External"/><Relationship Id="rId2330" Type="http://schemas.openxmlformats.org/officeDocument/2006/relationships/hyperlink" Target="https://japan.kantei.go.jp/ongoingtopics/_00002.html" TargetMode="External"/><Relationship Id="rId302" Type="http://schemas.openxmlformats.org/officeDocument/2006/relationships/hyperlink" Target="https://gov.ro/ro/stiri/declaratii-de-presa-sustinute-de-purtatorul-de-cuvant-al-guvernului-dan-carbunaru-privind-masurile-luate-de-executiv-in-cadrul-edintei-task-force-pentru-gestionarea-situatiei-generate-de-agresiunea-militara-rusa-din-ucraina&amp;page=2" TargetMode="External"/><Relationship Id="rId4088" Type="http://schemas.openxmlformats.org/officeDocument/2006/relationships/hyperlink" Target="https://www.standaard.be/cnt/dmf20230315_97454890" TargetMode="External"/><Relationship Id="rId4295" Type="http://schemas.openxmlformats.org/officeDocument/2006/relationships/hyperlink" Target="https://edition.cnn.com/europe/live-news/russia-ukraine-war-news-12-13-22/h_f789fb6727fdf749c8a193449f27be5a" TargetMode="External"/><Relationship Id="rId1889" Type="http://schemas.openxmlformats.org/officeDocument/2006/relationships/hyperlink" Target="https://appropriations.house.gov/sites/democrats.appropriations.house.gov/files/Ukraine%20Supplemental%20Summary%20FY23.pdf" TargetMode="External"/><Relationship Id="rId4155" Type="http://schemas.openxmlformats.org/officeDocument/2006/relationships/hyperlink" Target="https://kaitseministeerium.ee/en/news/estonia-sending-ukraine-urgently-needed-ammunition" TargetMode="External"/><Relationship Id="rId4362" Type="http://schemas.openxmlformats.org/officeDocument/2006/relationships/hyperlink" Target="https://www.bundesregierung.de/resource/blob/975226/2189778/cdb664abe95e6fa74802882bd66ef771/2023-05-14-liste-ukr-unterstuetzung-data.pdf?download=1" TargetMode="External"/><Relationship Id="rId1749" Type="http://schemas.openxmlformats.org/officeDocument/2006/relationships/hyperlink" Target="https://crsreports.congress.gov/product/pdf/IF/IF12040" TargetMode="External"/><Relationship Id="rId1956" Type="http://schemas.openxmlformats.org/officeDocument/2006/relationships/hyperlink" Target="https://crsreports.congress.gov/product/pdf/IF/IF12040" TargetMode="External"/><Relationship Id="rId3171" Type="http://schemas.openxmlformats.org/officeDocument/2006/relationships/hyperlink" Target="https://payspacemagazine.com/banks/eib-institute-to-donate-e2-5-million-to-help-the-people-affected-by-the-war-in-ukraine/" TargetMode="External"/><Relationship Id="rId4015" Type="http://schemas.openxmlformats.org/officeDocument/2006/relationships/hyperlink" Target="https://twitter.com/Defense_lu/status/1598610977364115462?t=6bU22e0y0z-S3WKot0R3BA&amp;s=19" TargetMode="External"/><Relationship Id="rId1609" Type="http://schemas.openxmlformats.org/officeDocument/2006/relationships/hyperlink" Target="https://appropriations.house.gov/sites/democrats.appropriations.house.gov/files/Additional%20Ukraine%20Suplemental%20Appropriations%20Act%20Summary.pdf" TargetMode="External"/><Relationship Id="rId1816" Type="http://schemas.openxmlformats.org/officeDocument/2006/relationships/hyperlink" Target="https://appropriations.house.gov/sites/democrats.appropriations.house.gov/files/Summary%20Continuing%20Appropriations%20and%20Ukraine%20Supplemental%20Appropriations%20Act%202023.pdf" TargetMode="External"/><Relationship Id="rId4222" Type="http://schemas.openxmlformats.org/officeDocument/2006/relationships/hyperlink" Target="https://www.stiripesurse.ro/romania-grants-ron-562-m-worth-humanitarian-aid-in-foodtsuffs-to-ukraine_2845050.html" TargetMode="External"/><Relationship Id="rId3031" Type="http://schemas.openxmlformats.org/officeDocument/2006/relationships/hyperlink" Target="https://www.mod.gov.lv/lv/zinas/i-murniece-kijiva-tiekas-ar-ukrainas-aizsardzibas-ministru" TargetMode="External"/><Relationship Id="rId3988" Type="http://schemas.openxmlformats.org/officeDocument/2006/relationships/hyperlink" Target="https://www.premier.be/sites/default/files/articles/BE%20support%20militaire.pdf" TargetMode="External"/><Relationship Id="rId2797" Type="http://schemas.openxmlformats.org/officeDocument/2006/relationships/hyperlink" Target="https://www.defense.gov/News/Releases/Release/Article/3287992/biden-administration-announces-additional-security-assistance-for-ukraine/" TargetMode="External"/><Relationship Id="rId3848" Type="http://schemas.openxmlformats.org/officeDocument/2006/relationships/hyperlink" Target="https://www.state.gov/u-s-security-cooperation-with-ukraine/" TargetMode="External"/><Relationship Id="rId769" Type="http://schemas.openxmlformats.org/officeDocument/2006/relationships/hyperlink" Target="https://pm.gc.ca/en/news/news-releases/2022/08/23/prime-minister-announces-additional-support-ukraine" TargetMode="External"/><Relationship Id="rId976" Type="http://schemas.openxmlformats.org/officeDocument/2006/relationships/hyperlink" Target="https://www.canada.ca/en/department-national-defence/campaigns/canadian-military-support-to-ukraine.html" TargetMode="External"/><Relationship Id="rId1399" Type="http://schemas.openxmlformats.org/officeDocument/2006/relationships/hyperlink" Target="https://appropriations.house.gov/sites/democrats.appropriations.house.gov/files/Ukraine%20Supplemental%20Summary.pdf" TargetMode="External"/><Relationship Id="rId2657" Type="http://schemas.openxmlformats.org/officeDocument/2006/relationships/hyperlink" Target="https://www.exteriores.gob.es/Embajadas/washington/en/Comunicacion/Noticias/Paginas/Articulos/Spain-guarantees-the-first-aid-package-from-the-World-Bank-to-Ukraine-with-100-million-euros.aspx" TargetMode="External"/><Relationship Id="rId629" Type="http://schemas.openxmlformats.org/officeDocument/2006/relationships/hyperlink" Target="https://www.fanpage.it/politica/armi-allucraina-arriva-il-terzo-decreto-del-governo-lelenco-e-secretato-come-i-precedenti/" TargetMode="External"/><Relationship Id="rId1259" Type="http://schemas.openxmlformats.org/officeDocument/2006/relationships/hyperlink" Target="https://www.mod.mil.gr/en/deputy-defence-minister-nikolaos-chardalias-accompanies-a-humanitarian-aid-cargo/" TargetMode="External"/><Relationship Id="rId1466" Type="http://schemas.openxmlformats.org/officeDocument/2006/relationships/hyperlink" Target="https://appropriations.house.gov/sites/democrats.appropriations.house.gov/files/Ukraine%20Supplemental%20Summary.pdf" TargetMode="External"/><Relationship Id="rId2864" Type="http://schemas.openxmlformats.org/officeDocument/2006/relationships/hyperlink" Target="https://crsreports.congress.gov/product/pdf/IF/IF12040" TargetMode="External"/><Relationship Id="rId3708" Type="http://schemas.openxmlformats.org/officeDocument/2006/relationships/hyperlink" Target="https://um.fi/finland-s-support-to-ukraine" TargetMode="External"/><Relationship Id="rId3915" Type="http://schemas.openxmlformats.org/officeDocument/2006/relationships/hyperlink" Target="https://www.defense.gov/News/Releases/Release/Article/3350958/biden-administration-announces-additional-security-assistance-for-ukraine/" TargetMode="External"/><Relationship Id="rId836" Type="http://schemas.openxmlformats.org/officeDocument/2006/relationships/hyperlink" Target="https://www.defense.gov/News/Releases/Release/Article/3173378/11-billion-in-additional-security-assistance-for-ukraine/" TargetMode="External"/><Relationship Id="rId1119" Type="http://schemas.openxmlformats.org/officeDocument/2006/relationships/hyperlink" Target="https://twitter.com/a_anusauskas/status/1594701256463110144" TargetMode="External"/><Relationship Id="rId1673" Type="http://schemas.openxmlformats.org/officeDocument/2006/relationships/hyperlink" Target="https://crsreports.congress.gov/product/pdf/IF/IF12040" TargetMode="External"/><Relationship Id="rId188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17" Type="http://schemas.openxmlformats.org/officeDocument/2006/relationships/hyperlink" Target="https://www.lesoir.be/437698/article/2022-04-22/guerre-en-ukraine-la-belgique-sapprete-livrer-de-nouveaux-missiles-antichars" TargetMode="External"/><Relationship Id="rId2724" Type="http://schemas.openxmlformats.org/officeDocument/2006/relationships/hyperlink" Target="https://www.regjeringen.no/en/aktuelt/broad-political-agreement-on-multi-year-support-programme-for-ukraine/id2963374/" TargetMode="External"/><Relationship Id="rId2931" Type="http://schemas.openxmlformats.org/officeDocument/2006/relationships/hyperlink" Target="https://www.praguemorning.cz/czech-republic-to-allocate-8-5-mln-euros-in-aid-to-ukraine-to-pass-through-winter/" TargetMode="External"/><Relationship Id="rId903" Type="http://schemas.openxmlformats.org/officeDocument/2006/relationships/hyperlink" Target="https://en.kriseinformation.dk/denmarks-reactions/denmarks-contributions" TargetMode="External"/><Relationship Id="rId1326" Type="http://schemas.openxmlformats.org/officeDocument/2006/relationships/hyperlink" Target="https://www.mod.bg/bg/news.php?&amp;fn_page=2" TargetMode="External"/><Relationship Id="rId1533" Type="http://schemas.openxmlformats.org/officeDocument/2006/relationships/hyperlink" Target="https://appropriations.house.gov/sites/democrats.appropriations.house.gov/files/Additional%20Ukraine%20Suplemental%20Appropriations%20Act%20Summary.pdf" TargetMode="External"/><Relationship Id="rId1740" Type="http://schemas.openxmlformats.org/officeDocument/2006/relationships/hyperlink" Target="https://crsreports.congress.gov/product/pdf/IF/IF12040" TargetMode="External"/><Relationship Id="rId4689" Type="http://schemas.openxmlformats.org/officeDocument/2006/relationships/hyperlink" Target="https://www.bundesregierung.de/breg-en/news/military-support-ukraine-2054992" TargetMode="External"/><Relationship Id="rId32" Type="http://schemas.openxmlformats.org/officeDocument/2006/relationships/hyperlink" Target="https://www.reuters.com/world/europe/sweden-provide-ukraine-with-5000-more-anti-tank-weapons-tt-news-agency-2022-03-23/" TargetMode="External"/><Relationship Id="rId1600" Type="http://schemas.openxmlformats.org/officeDocument/2006/relationships/hyperlink" Target="https://appropriations.house.gov/sites/democrats.appropriations.house.gov/files/Additional%20Ukraine%20Suplemental%20Appropriations%20Act%20Summary.pdf" TargetMode="External"/><Relationship Id="rId3498" Type="http://schemas.openxmlformats.org/officeDocument/2006/relationships/hyperlink" Target="https://www.bundesregierung.de/breg-en/news/military-support-ukraine-2054992" TargetMode="External"/><Relationship Id="rId4549" Type="http://schemas.openxmlformats.org/officeDocument/2006/relationships/hyperlink" Target="https://www.defense.gov/News/Releases/Release/Article/3308633/biden-administration-announces-additional-security-assistance-for-ukraine/" TargetMode="External"/><Relationship Id="rId4756" Type="http://schemas.openxmlformats.org/officeDocument/2006/relationships/hyperlink" Target="https://www.bundesregierung.de/breg-en/news/military-support-ukraine-2054992" TargetMode="External"/><Relationship Id="rId3358"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565" Type="http://schemas.openxmlformats.org/officeDocument/2006/relationships/hyperlink" Target="https://www.pravda.com.ua/eng/news/2023/05/15/7402179/" TargetMode="External"/><Relationship Id="rId3772" Type="http://schemas.openxmlformats.org/officeDocument/2006/relationships/hyperlink" Target="https://www.state.gov/u-s-security-cooperation-with-ukraine/" TargetMode="External"/><Relationship Id="rId4409" Type="http://schemas.openxmlformats.org/officeDocument/2006/relationships/hyperlink" Target="https://www.bundesregierung.de/resource/blob/975226/2189778/cdb664abe95e6fa74802882bd66ef771/2023-05-14-liste-ukr-unterstuetzung-data.pdf?download=1" TargetMode="External"/><Relationship Id="rId4616" Type="http://schemas.openxmlformats.org/officeDocument/2006/relationships/hyperlink" Target="https://web.archive.org/web/20230524183203/https:/www.defesa.gov.pt/pt/comunicacao/documentos/Lists/PDEFINTER_DocumentoLookupList/apoio_militar_Portugal_Ucrania_20230503.pdf" TargetMode="External"/><Relationship Id="rId4823" Type="http://schemas.openxmlformats.org/officeDocument/2006/relationships/hyperlink" Target="https://www.bundesregierung.de/breg-en/news/military-support-ukraine-2054992" TargetMode="External"/><Relationship Id="rId279" Type="http://schemas.openxmlformats.org/officeDocument/2006/relationships/hyperlink" Target="https://www.theglobeandmail.com/canada/article-federal-budget-2022-ukraine-russia-1-billion-loan/" TargetMode="External"/><Relationship Id="rId486" Type="http://schemas.openxmlformats.org/officeDocument/2006/relationships/hyperlink" Target="https://www.peterdutton.com.au/joint-media-release-australia-to-provide-additional-support-to-ukraine/" TargetMode="External"/><Relationship Id="rId693" Type="http://schemas.openxmlformats.org/officeDocument/2006/relationships/hyperlink" Target="https://twitter.com/AFADTurkiye/status/1537845513671917570?s=20&amp;t=s9akAL75RoX8Zs9Cn_sKtQ" TargetMode="External"/><Relationship Id="rId2167" Type="http://schemas.openxmlformats.org/officeDocument/2006/relationships/hyperlink" Target="https://appropriations.house.gov/sites/democrats.appropriations.house.gov/files/Additional%20Ukraine%20Suplemental%20Appropriations%20Act%20Summary.pdf" TargetMode="External"/><Relationship Id="rId2374" Type="http://schemas.openxmlformats.org/officeDocument/2006/relationships/hyperlink" Target="https://www.connexionfrance.com/article/French-news/Humanitarian-ship-for-Ukraine-leaves-French-port-with-8m-of-aid" TargetMode="External"/><Relationship Id="rId2581" Type="http://schemas.openxmlformats.org/officeDocument/2006/relationships/hyperlink" Target="https://www.premier.be/sites/default/files/articles/BE%20support%20militaire.pdf" TargetMode="External"/><Relationship Id="rId3218" Type="http://schemas.openxmlformats.org/officeDocument/2006/relationships/hyperlink" Target="https://edition.cnn.com/europe/live-news/russia-ukraine-war-news-08-24-22/h_0001b50a7944fe59550a2b1042729b16" TargetMode="External"/><Relationship Id="rId3425" Type="http://schemas.openxmlformats.org/officeDocument/2006/relationships/hyperlink" Target="https://www.bundesregierung.de/breg-en/news/military-support-ukraine-2054992" TargetMode="External"/><Relationship Id="rId3632" Type="http://schemas.openxmlformats.org/officeDocument/2006/relationships/hyperlink" Target="https://www.tagesschau.de/ausland/europa/ukraine-leopard-kampfpanzer-101.html" TargetMode="External"/><Relationship Id="rId139" Type="http://schemas.openxmlformats.org/officeDocument/2006/relationships/hyperlink" Target="https://www.mil.gov.ua/en/news/2022/11/15/russia-is-told-about-peace-it-responds-with-missiles-address-by-the-president-of-ukraine/" TargetMode="External"/><Relationship Id="rId346" Type="http://schemas.openxmlformats.org/officeDocument/2006/relationships/hyperlink" Target="https://www.gov.uk/government/speeches/pm-statement-at-ukraine-press-conference-1-february-2022" TargetMode="External"/><Relationship Id="rId553" Type="http://schemas.openxmlformats.org/officeDocument/2006/relationships/hyperlink" Target="https://www.eib.org/en/press/all/2022-124-first-payments-under-eib-ukraine-solidarity-urgent-response-reach-ukraine-as-part-of-european-union-immediate-support-to-the-country" TargetMode="External"/><Relationship Id="rId760"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1183" Type="http://schemas.openxmlformats.org/officeDocument/2006/relationships/hyperlink" Target="https://www.defmin.fi/ajankohtaista/tiedotteet_ja_uutiset/tiedotearkisto/tiedotteet_2022/suomi_jatkaa_ukrainan_tukemista.13289.news" TargetMode="External"/><Relationship Id="rId1390" Type="http://schemas.openxmlformats.org/officeDocument/2006/relationships/hyperlink" Target="https://appropriations.house.gov/sites/democrats.appropriations.house.gov/files/Ukraine%20Supplemental%20Summary.pdf" TargetMode="External"/><Relationship Id="rId2027" Type="http://schemas.openxmlformats.org/officeDocument/2006/relationships/hyperlink" Target="https://crsreports.congress.gov/product/pdf/IF/IF12040" TargetMode="External"/><Relationship Id="rId2234" Type="http://schemas.openxmlformats.org/officeDocument/2006/relationships/hyperlink" Target="https://appropriations.house.gov/sites/democrats.appropriations.house.gov/files/Ukraine%20Supplemental%20Summary.pdf" TargetMode="External"/><Relationship Id="rId2441" Type="http://schemas.openxmlformats.org/officeDocument/2006/relationships/hyperlink" Target="https://mocr.army.cz/informacni-servis/zpravodajstvi/vlada-schvalila-dalsi-dar-v-podobe-vojenskeho-materialu-ukrajine-233798/" TargetMode="External"/><Relationship Id="rId206" Type="http://schemas.openxmlformats.org/officeDocument/2006/relationships/hyperlink" Target="https://researchbriefings.files.parliament.uk/documents/CBP-9477/CBP-9477.pdf" TargetMode="External"/><Relationship Id="rId413" Type="http://schemas.openxmlformats.org/officeDocument/2006/relationships/hyperlink" Target="https://www.youtube.com/watch?v=vzENx6dTpqY" TargetMode="External"/><Relationship Id="rId1043" Type="http://schemas.openxmlformats.org/officeDocument/2006/relationships/hyperlink" Target="https://twitter.com/kyivindependent/status/1520462556338569216?lang=en" TargetMode="External"/><Relationship Id="rId4199" Type="http://schemas.openxmlformats.org/officeDocument/2006/relationships/hyperlink" Target="https://www.repubblica.it/esteri/2023/04/16/news/cosi_litalia_potenzia_lartiglieria_ucraina-396394860/?ref=RHLF-BG-I396398159-P1-S1-T1" TargetMode="External"/><Relationship Id="rId620" Type="http://schemas.openxmlformats.org/officeDocument/2006/relationships/hyperlink" Target="https://www.ilmessaggero.it/mondo/armi_italia_ucraina_inviate_quali_sono_guerra_russia_ultime_notizie-6743279.html" TargetMode="External"/><Relationship Id="rId1250" Type="http://schemas.openxmlformats.org/officeDocument/2006/relationships/hyperlink" Target="https://twitter.com/visegrad24/status/1504145180647170060?cxt=HHwWmIC58dGE5t8pAAAA" TargetMode="External"/><Relationship Id="rId2301" Type="http://schemas.openxmlformats.org/officeDocument/2006/relationships/hyperlink" Target="https://crsreports.congress.gov/product/pdf/IF/IF12040" TargetMode="External"/><Relationship Id="rId4059" Type="http://schemas.openxmlformats.org/officeDocument/2006/relationships/hyperlink" Target="https://www.defensie.nl/onderwerpen/oostflank-navo-gebied/militaire-steun-aan-oekraine" TargetMode="External"/><Relationship Id="rId1110" Type="http://schemas.openxmlformats.org/officeDocument/2006/relationships/hyperlink" Target="https://www.canada.ca/en/department-national-defence/news/2023/01/defence-minister-anita-anand-announces-air-defence-system-donation-to-ukraine.html" TargetMode="External"/><Relationship Id="rId4266" Type="http://schemas.openxmlformats.org/officeDocument/2006/relationships/hyperlink" Target="https://www.vlada.cz/en/media-centrum/tiskove-zpravy/czechia-sends-hundreds-of-heavy-military-systems-worth-tens-of-billions-to-ukraine-during-the-first-year-of-russian-invasion-203252/" TargetMode="External"/><Relationship Id="rId4473" Type="http://schemas.openxmlformats.org/officeDocument/2006/relationships/hyperlink" Target="https://www.bundesregierung.de/resource/blob/975226/2189778/cdb664abe95e6fa74802882bd66ef771/2023-05-14-liste-ukr-unterstuetzung-data.pdf?download=1" TargetMode="External"/><Relationship Id="rId4680" Type="http://schemas.openxmlformats.org/officeDocument/2006/relationships/hyperlink" Target="https://www.bundesregierung.de/breg-en/news/military-support-ukraine-2054992" TargetMode="External"/><Relationship Id="rId1927" Type="http://schemas.openxmlformats.org/officeDocument/2006/relationships/hyperlink" Target="https://appropriations.house.gov/sites/democrats.appropriations.house.gov/files/Ukraine%20Supplemental%20Summary%20FY23.pdf" TargetMode="External"/><Relationship Id="rId3075" Type="http://schemas.openxmlformats.org/officeDocument/2006/relationships/hyperlink" Target="https://www.reuters.com/world/europe/poland-send-60-modernised-tanks-ukraine-addition-leopards-2023-01-27/" TargetMode="External"/><Relationship Id="rId3282" Type="http://schemas.openxmlformats.org/officeDocument/2006/relationships/hyperlink" Target="https://www.krusnis.lt/en/ministry-of-the-interior/lithuania-allocates-18-mln-euro-worth-aid-to-ukraine" TargetMode="External"/><Relationship Id="rId4126" Type="http://schemas.openxmlformats.org/officeDocument/2006/relationships/hyperlink" Target="https://twitter.com/HPevkur/status/1636347925935562753" TargetMode="External"/><Relationship Id="rId4333" Type="http://schemas.openxmlformats.org/officeDocument/2006/relationships/hyperlink" Target="https://www.bundesregierung.de/resource/blob/975226/2189778/cdb664abe95e6fa74802882bd66ef771/2023-05-14-liste-ukr-unterstuetzung-data.pdf?download=1" TargetMode="External"/><Relationship Id="rId4540" Type="http://schemas.openxmlformats.org/officeDocument/2006/relationships/hyperlink" Target="https://crsreports.congress.gov/product/pdf/IF/IF12040" TargetMode="External"/><Relationship Id="rId2091" Type="http://schemas.openxmlformats.org/officeDocument/2006/relationships/hyperlink" Target="https://appropriations.house.gov/sites/democrats.appropriations.house.gov/files/Additional%20Ukraine%20Suplemental%20Appropriations%20Act%20Summary.pdf" TargetMode="External"/><Relationship Id="rId3142" Type="http://schemas.openxmlformats.org/officeDocument/2006/relationships/hyperlink" Target="https://www.bundesregierung.de/resource/blob/975226/2155792/c3dbab706421f63d3d612091e7ecad4c/2022-12-27-unterstuetzung-ukraine-breg-data.pdf?download=1%20Guten" TargetMode="External"/><Relationship Id="rId4400" Type="http://schemas.openxmlformats.org/officeDocument/2006/relationships/hyperlink" Target="https://www.bundesregierung.de/resource/blob/975226/2189778/cdb664abe95e6fa74802882bd66ef771/2023-05-14-liste-ukr-unterstuetzung-data.pdf?download=1" TargetMode="External"/><Relationship Id="rId270" Type="http://schemas.openxmlformats.org/officeDocument/2006/relationships/hyperlink" Target="https://www.ctvnews.ca/politics/ukraine-can-t-negotiate-with-gun-to-head-says-joly-as-trudeau-presses-allies-1.5811832" TargetMode="External"/><Relationship Id="rId3002" Type="http://schemas.openxmlformats.org/officeDocument/2006/relationships/hyperlink" Target="https://www.defesa.gov.pt/pt/comunicacao/comunicados/Lists/PDEFINTER_DocumentoList/20230120_comunicado_MDN_Apoio_militar_a_Ucrania.pdf" TargetMode="External"/><Relationship Id="rId130" Type="http://schemas.openxmlformats.org/officeDocument/2006/relationships/hyperlink" Target="https://www.gov.uk/government/news/uk-to-provide-1000-more-surface-to-air-missiles-to-ukraine" TargetMode="External"/><Relationship Id="rId3959" Type="http://schemas.openxmlformats.org/officeDocument/2006/relationships/hyperlink" Target="https://www.defense.gov/News/Releases/Release/Article/3350958/biden-administration-announces-additional-security-assistance-for-ukraine/" TargetMode="External"/><Relationship Id="rId2768" Type="http://schemas.openxmlformats.org/officeDocument/2006/relationships/hyperlink" Target="https://crsreports.congress.gov/product/pdf/IF/IF12040" TargetMode="External"/><Relationship Id="rId2975" Type="http://schemas.openxmlformats.org/officeDocument/2006/relationships/hyperlink" Target="https://www.mod.mil.gr/symmetochi-yetha-nikolaoy-panagiotopoyloy-sti-synantisi-ukraine-defence-contact-group/" TargetMode="External"/><Relationship Id="rId3819" Type="http://schemas.openxmlformats.org/officeDocument/2006/relationships/hyperlink" Target="https://www.defense.gov/News/Releases/Release/Article/3350958/biden-administration-announces-additional-security-assistance-for-ukraine/" TargetMode="External"/><Relationship Id="rId947" Type="http://schemas.openxmlformats.org/officeDocument/2006/relationships/hyperlink" Target="https://www.interieur.gouv.fr/actualites/dossiers/situation-en-ukraine/solidarite-nationale-envers-lukraine-second-convoi-de" TargetMode="External"/><Relationship Id="rId1577" Type="http://schemas.openxmlformats.org/officeDocument/2006/relationships/hyperlink" Target="https://appropriations.house.gov/sites/democrats.appropriations.house.gov/files/Additional%20Ukraine%20Suplemental%20Appropriations%20Act%20Summary.pdf" TargetMode="External"/><Relationship Id="rId1784" Type="http://schemas.openxmlformats.org/officeDocument/2006/relationships/hyperlink" Target="https://crsreports.congress.gov/product/pdf/IF/IF12040" TargetMode="External"/><Relationship Id="rId1991" Type="http://schemas.openxmlformats.org/officeDocument/2006/relationships/hyperlink" Target="https://crsreports.congress.gov/product/pdf/IF/IF12040" TargetMode="External"/><Relationship Id="rId2628" Type="http://schemas.openxmlformats.org/officeDocument/2006/relationships/hyperlink" Target="https://twitter.com/a_anusauskas/status/1616083097296211969?cxt=HHwWgsDU3ffAve0sAAAA" TargetMode="External"/><Relationship Id="rId2835" Type="http://schemas.openxmlformats.org/officeDocument/2006/relationships/hyperlink" Target="https://www.defense.gov/News/Releases/Release/Article/3302787/biden-administration-announces-additional-security-assistance-for-ukraine/" TargetMode="External"/><Relationship Id="rId4190" Type="http://schemas.openxmlformats.org/officeDocument/2006/relationships/hyperlink" Target="https://euromaidanpress.com/2022/10/30/italy-allegedly-supplied-many-heavy-weapons-to-ukraine-but-didnt-disclose-it-earlier-la-repubblica/" TargetMode="External"/><Relationship Id="rId76" Type="http://schemas.openxmlformats.org/officeDocument/2006/relationships/hyperlink" Target="https://kyivindependent.com/uncategorized/poland-has-provided-ukraine-with-weapons-worth-1-6-billion/" TargetMode="External"/><Relationship Id="rId807" Type="http://schemas.openxmlformats.org/officeDocument/2006/relationships/hyperlink" Target="https://www.defense.gov/News/Releases/Release/Article/3160503/600-million-in-additional-security-assistance-for-ukraine/" TargetMode="External"/><Relationship Id="rId1437" Type="http://schemas.openxmlformats.org/officeDocument/2006/relationships/hyperlink" Target="https://appropriations.house.gov/sites/democrats.appropriations.house.gov/files/Ukraine%20Supplemental%20Summary.pdf" TargetMode="External"/><Relationship Id="rId1644" Type="http://schemas.openxmlformats.org/officeDocument/2006/relationships/hyperlink" Target="https://appropriations.house.gov/sites/democrats.appropriations.house.gov/files/Additional%20Ukraine%20Suplemental%20Appropriations%20Act%20Summary.pdf" TargetMode="External"/><Relationship Id="rId185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02" Type="http://schemas.openxmlformats.org/officeDocument/2006/relationships/hyperlink" Target="https://mil.in.ua/en/news/czech-republic-to-transfer-heavy-equipment-and-weapons-to-ukraine/" TargetMode="External"/><Relationship Id="rId4050" Type="http://schemas.openxmlformats.org/officeDocument/2006/relationships/hyperlink" Target="https://www.defensie.nl/onderwerpen/oostflank-navo-gebied/militaire-steun-aan-oekraine" TargetMode="External"/><Relationship Id="rId1504" Type="http://schemas.openxmlformats.org/officeDocument/2006/relationships/hyperlink" Target="https://appropriations.house.gov/sites/democrats.appropriations.house.gov/files/Ukraine%20Supplemental%20Summary.pdf" TargetMode="External"/><Relationship Id="rId1711" Type="http://schemas.openxmlformats.org/officeDocument/2006/relationships/hyperlink" Target="https://crsreports.congress.gov/product/pdf/IF/IF12040" TargetMode="External"/><Relationship Id="rId3469" Type="http://schemas.openxmlformats.org/officeDocument/2006/relationships/hyperlink" Target="https://www.bundesregierung.de/breg-en/news/military-support-ukraine-2054992" TargetMode="External"/><Relationship Id="rId3676" Type="http://schemas.openxmlformats.org/officeDocument/2006/relationships/hyperlink" Target="https://um.dk/udenrigspolitik/dansk-stoette-til-ukraine" TargetMode="External"/><Relationship Id="rId597" Type="http://schemas.openxmlformats.org/officeDocument/2006/relationships/hyperlink" Target="https://www.sulinformacao.pt/en/2022/03/ucrania-portugal-envia-medicamentos-material-medico-e-equipamento-de-emergencia-humanitaria/" TargetMode="External"/><Relationship Id="rId2278" Type="http://schemas.openxmlformats.org/officeDocument/2006/relationships/hyperlink" Target="https://crsreports.congress.gov/product/pdf/IF/IF12040" TargetMode="External"/><Relationship Id="rId2485" Type="http://schemas.openxmlformats.org/officeDocument/2006/relationships/hyperlink" Target="https://en.interfax.com.ua/news/general/859303.html" TargetMode="External"/><Relationship Id="rId3329" Type="http://schemas.openxmlformats.org/officeDocument/2006/relationships/hyperlink" Target="https://www.thedefensepost.com/2022/10/28/australia-bushmaster-ukraine/" TargetMode="External"/><Relationship Id="rId3883" Type="http://schemas.openxmlformats.org/officeDocument/2006/relationships/hyperlink" Target="https://www.state.gov/u-s-security-cooperation-with-ukraine/" TargetMode="External"/><Relationship Id="rId4727" Type="http://schemas.openxmlformats.org/officeDocument/2006/relationships/hyperlink" Target="https://www.bundesregierung.de/breg-en/news/military-support-ukraine-2054992" TargetMode="External"/><Relationship Id="rId457" Type="http://schemas.openxmlformats.org/officeDocument/2006/relationships/hyperlink" Target="https://www.aa.com.tr/en/russia-ukraine-war/new-zealand-announces-13m-additional-aid-for-ukraine/2560551" TargetMode="External"/><Relationship Id="rId1087" Type="http://schemas.openxmlformats.org/officeDocument/2006/relationships/hyperlink" Target="https://appropriations.house.gov/sites/democrats.appropriations.house.gov/files/Ukraine%20Supplemental%20Summary.pdf" TargetMode="External"/><Relationship Id="rId1294" Type="http://schemas.openxmlformats.org/officeDocument/2006/relationships/hyperlink" Target="https://www.cbc.ca/news/politics/nato-arms-canada-1.6506611" TargetMode="External"/><Relationship Id="rId2138" Type="http://schemas.openxmlformats.org/officeDocument/2006/relationships/hyperlink" Target="https://crsreports.congress.gov/product/pdf/IF/IF12040" TargetMode="External"/><Relationship Id="rId2692" Type="http://schemas.openxmlformats.org/officeDocument/2006/relationships/hyperlink" Target="https://www.minister.defence.gov.au/media-releases/2023-02-24/australia-stands-ukraine-additional-military-support-and-sanctions" TargetMode="External"/><Relationship Id="rId3536" Type="http://schemas.openxmlformats.org/officeDocument/2006/relationships/hyperlink" Target="https://www.bundesregierung.de/breg-en/news/military-support-ukraine-2054992" TargetMode="External"/><Relationship Id="rId3743" Type="http://schemas.openxmlformats.org/officeDocument/2006/relationships/hyperlink" Target="https://www.government.se/articles/2023/01/heavy-advanced-weapons-to-ukraine/" TargetMode="External"/><Relationship Id="rId3950" Type="http://schemas.openxmlformats.org/officeDocument/2006/relationships/hyperlink" Target="https://www.state.gov/u-s-security-cooperation-with-ukraine/" TargetMode="External"/><Relationship Id="rId664" Type="http://schemas.openxmlformats.org/officeDocument/2006/relationships/hyperlink" Target="https://www.reuters.com/world/china/china-says-it-will-offer-10-mln-yuan-more-humanitarian-aid-ukraine-2022-03-21/" TargetMode="External"/><Relationship Id="rId871" Type="http://schemas.openxmlformats.org/officeDocument/2006/relationships/hyperlink" Target="https://www.reuters.com/world/europe/denmark-will-contribute-additional-110-mln-euros-ukraine-pm-2022-08-11/" TargetMode="External"/><Relationship Id="rId2345" Type="http://schemas.openxmlformats.org/officeDocument/2006/relationships/hyperlink" Target="https://www.reuters.com/world/europe/denmark-donates-43-mln-military-aid-ukraine-2022-12-21/" TargetMode="External"/><Relationship Id="rId2552" Type="http://schemas.openxmlformats.org/officeDocument/2006/relationships/hyperlink" Target="https://diplomatie.belgium.be/en/policy/policy-areas/highlighted/civilian-aid-ukraine-overview" TargetMode="External"/><Relationship Id="rId3603" Type="http://schemas.openxmlformats.org/officeDocument/2006/relationships/hyperlink" Target="https://kyivindependent.com/ukraine-receives-50-turkish-kirpi-armored-vehicles/" TargetMode="External"/><Relationship Id="rId3810" Type="http://schemas.openxmlformats.org/officeDocument/2006/relationships/hyperlink" Target="https://www.state.gov/u-s-security-cooperation-with-ukraine/" TargetMode="External"/><Relationship Id="rId317" Type="http://schemas.openxmlformats.org/officeDocument/2006/relationships/hyperlink" Target="https://english.sta.si/3017990/tonnes-of-aid-for-ukraine-dispatched-this-week" TargetMode="External"/><Relationship Id="rId524" Type="http://schemas.openxmlformats.org/officeDocument/2006/relationships/hyperlink" Target="https://vm.ee/en/estonias-aid-ukraine" TargetMode="External"/><Relationship Id="rId731" Type="http://schemas.openxmlformats.org/officeDocument/2006/relationships/hyperlink" Target="https://twitter.com/DmytroKuleba/status/1552292097566380033?ref_src=twsrc%5Etfw" TargetMode="External"/><Relationship Id="rId1154" Type="http://schemas.openxmlformats.org/officeDocument/2006/relationships/hyperlink" Target="https://news.err.ee/1608829969/estonia-sends-more-military-equipment-to-ukraine" TargetMode="External"/><Relationship Id="rId1361" Type="http://schemas.openxmlformats.org/officeDocument/2006/relationships/hyperlink" Target="https://appropriations.house.gov/sites/democrats.appropriations.house.gov/files/Ukraine%20Supplemental%20Summary.pdf" TargetMode="External"/><Relationship Id="rId2205" Type="http://schemas.openxmlformats.org/officeDocument/2006/relationships/hyperlink" Target="https://appropriations.house.gov/sites/democrats.appropriations.house.gov/files/Ukraine%20Supplemental%20Summary.pdf" TargetMode="External"/><Relationship Id="rId2412" Type="http://schemas.openxmlformats.org/officeDocument/2006/relationships/hyperlink" Target="https://www.wsj.com/livecoverage/russia-ukraine-latest-news-2022-04-27/card/australia-to-provide-ukraine-with-heavy-artillery-5L5Zamjyc0YMpRRITrcw" TargetMode="External"/><Relationship Id="rId1014" Type="http://schemas.openxmlformats.org/officeDocument/2006/relationships/hyperlink" Target="https://twitter.com/DanishMFA/status/1557711944626438145" TargetMode="External"/><Relationship Id="rId1221" Type="http://schemas.openxmlformats.org/officeDocument/2006/relationships/hyperlink" Target="https://gagadget.com/en/149656-poland-transferred-40-bmp-1-combat-vehicles-to-ukraine/" TargetMode="External"/><Relationship Id="rId4377" Type="http://schemas.openxmlformats.org/officeDocument/2006/relationships/hyperlink" Target="https://www.bundesregierung.de/resource/blob/975226/2189778/cdb664abe95e6fa74802882bd66ef771/2023-05-14-liste-ukr-unterstuetzung-data.pdf?download=1" TargetMode="External"/><Relationship Id="rId4584" Type="http://schemas.openxmlformats.org/officeDocument/2006/relationships/hyperlink" Target="https://kyivindependent.com/news-feed/sweden-pledges-to-provide-ukraine-with-archer-artillery-systems" TargetMode="External"/><Relationship Id="rId4791" Type="http://schemas.openxmlformats.org/officeDocument/2006/relationships/hyperlink" Target="https://www.bundesregierung.de/breg-en/news/military-support-ukraine-2054992" TargetMode="External"/><Relationship Id="rId3186" Type="http://schemas.openxmlformats.org/officeDocument/2006/relationships/hyperlink" Target="https://um.dk/en/foreign-policy/danish-support-for-ukraine" TargetMode="External"/><Relationship Id="rId3393"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4237" Type="http://schemas.openxmlformats.org/officeDocument/2006/relationships/hyperlink" Target="https://web.archive.org/web/20230321123738/https:/www.government.is/topics/foreign-affairs/war-in-ukraine/" TargetMode="External"/><Relationship Id="rId4444" Type="http://schemas.openxmlformats.org/officeDocument/2006/relationships/hyperlink" Target="https://www.bundesregierung.de/resource/blob/975226/2189778/cdb664abe95e6fa74802882bd66ef771/2023-05-14-liste-ukr-unterstuetzung-data.pdf?download=1" TargetMode="External"/><Relationship Id="rId4651" Type="http://schemas.openxmlformats.org/officeDocument/2006/relationships/hyperlink" Target="https://www.defensie.nl/onderwerpen/oostflank-navo-gebied/militaire-steun-aan-oekraine" TargetMode="External"/><Relationship Id="rId3046" Type="http://schemas.openxmlformats.org/officeDocument/2006/relationships/hyperlink" Target="https://www.gov.uk/government/news/joint-statement-the-tallinn-pledge?utm_source=miragenews&amp;utm_medium=miragenews&amp;utm_campaign=news" TargetMode="External"/><Relationship Id="rId3253" Type="http://schemas.openxmlformats.org/officeDocument/2006/relationships/hyperlink" Target="https://taiwantoday.tw/news.php?unit=2&amp;post=220870" TargetMode="External"/><Relationship Id="rId3460" Type="http://schemas.openxmlformats.org/officeDocument/2006/relationships/hyperlink" Target="https://www.bundesregierung.de/breg-en/news/military-support-ukraine-2054992" TargetMode="External"/><Relationship Id="rId4304" Type="http://schemas.openxmlformats.org/officeDocument/2006/relationships/hyperlink" Target="https://www.rijksoverheid.nl/onderwerpen/russische-inval-in-oekraine/nieuws/2023/04/03/eerste-steunpakket-voor-oekraine-in-2023-274-miljoen-euro-voor-strijd-en-herstel" TargetMode="External"/><Relationship Id="rId174" Type="http://schemas.openxmlformats.org/officeDocument/2006/relationships/hyperlink" Target="https://www.armyrecognition.com/defense_news_may_2022_global_security_army_industry/poland_delivers_to_ukraine_18_krab_155mm_self-propelled_howitzers.html" TargetMode="External"/><Relationship Id="rId381" Type="http://schemas.openxmlformats.org/officeDocument/2006/relationships/hyperlink" Target="https://www.worldbank.org/en/news/press-release/2022/03/07/world-bank-mobilizes-an-emergency-financing-package-of-over-700-million-for-ukraine" TargetMode="External"/><Relationship Id="rId2062" Type="http://schemas.openxmlformats.org/officeDocument/2006/relationships/hyperlink" Target="https://appropriations.house.gov/sites/democrats.appropriations.house.gov/files/Ukraine%20Supplemental%20Summary%20FY23.pdf" TargetMode="External"/><Relationship Id="rId3113" Type="http://schemas.openxmlformats.org/officeDocument/2006/relationships/hyperlink" Target="https://www.admin.ch/gov/en/start/documentation/media-releases.msg-id-91098.html" TargetMode="External"/><Relationship Id="rId4511" Type="http://schemas.openxmlformats.org/officeDocument/2006/relationships/hyperlink" Target="https://twitter.com/Defense_lu/status/1598610977364115462?t=6bU22e0y0z-S3WKot0R3BA&amp;s=19" TargetMode="External"/><Relationship Id="rId241" Type="http://schemas.openxmlformats.org/officeDocument/2006/relationships/hyperlink" Target="https://www.diplomatie.gouv.fr/en/country-files/ukraine/news/article/ukraine-france-mobilizes-to-deliver-emergency-medical-aid-to-victims-of-the" TargetMode="External"/><Relationship Id="rId3320" Type="http://schemas.openxmlformats.org/officeDocument/2006/relationships/hyperlink" Target="https://www.government.se/government-policy/russias-invasion-of-ukraine/?page=3" TargetMode="External"/><Relationship Id="rId2879" Type="http://schemas.openxmlformats.org/officeDocument/2006/relationships/hyperlink" Target="https://www.vlada.cz/en/media-centrum/tiskove-zpravy/czechia-sends-hundreds-of-heavy-military-systems-worth-tens-of-billions-to-ukraine-during-the-first-year-of-russian-invasion-203252/" TargetMode="External"/><Relationship Id="rId101" Type="http://schemas.openxmlformats.org/officeDocument/2006/relationships/hyperlink" Target="https://twitter.com/mod_estonia/status/1507641039745605634?lang=en" TargetMode="External"/><Relationship Id="rId1688" Type="http://schemas.openxmlformats.org/officeDocument/2006/relationships/hyperlink" Target="https://crsreports.congress.gov/product/pdf/IF/IF12040" TargetMode="External"/><Relationship Id="rId1895" Type="http://schemas.openxmlformats.org/officeDocument/2006/relationships/hyperlink" Target="https://appropriations.house.gov/sites/democrats.appropriations.house.gov/files/Ukraine%20Supplemental%20Summary%20FY23.pdf" TargetMode="External"/><Relationship Id="rId2739" Type="http://schemas.openxmlformats.org/officeDocument/2006/relationships/hyperlink" Target="https://www.defense.gov/News/Releases/Release/Article/3272866/biden-administration-announces-additional-security-assistance-for-ukraine/" TargetMode="External"/><Relationship Id="rId2946" Type="http://schemas.openxmlformats.org/officeDocument/2006/relationships/hyperlink" Target="https://www.gov.uk/government/news/joint-statement-the-tallinn-pledge?utm_source=miragenews&amp;utm_medium=miragenews&amp;utm_campaign=news" TargetMode="External"/><Relationship Id="rId4094" Type="http://schemas.openxmlformats.org/officeDocument/2006/relationships/hyperlink" Target="https://www.reuters.com/world/europe/cyprus-offer-technical-aid-ukraine-mines-clearance-minister-2023-04-07/" TargetMode="External"/><Relationship Id="rId918" Type="http://schemas.openxmlformats.org/officeDocument/2006/relationships/hyperlink" Target="https://www.army-technology.com/news/finland-sends-additional-defence-aid-ukraine/" TargetMode="External"/><Relationship Id="rId1548" Type="http://schemas.openxmlformats.org/officeDocument/2006/relationships/hyperlink" Target="https://appropriations.house.gov/sites/democrats.appropriations.house.gov/files/Additional%20Ukraine%20Suplemental%20Appropriations%20Act%20Summary.pdf" TargetMode="External"/><Relationship Id="rId1755" Type="http://schemas.openxmlformats.org/officeDocument/2006/relationships/hyperlink" Target="https://crsreports.congress.gov/product/pdf/IF/IF12040" TargetMode="External"/><Relationship Id="rId4161" Type="http://schemas.openxmlformats.org/officeDocument/2006/relationships/hyperlink" Target="https://balticguide.ee/en/estonia-donates-12-buses-to-ukraine-to-help-restore-transport-links-in-the-country/" TargetMode="External"/><Relationship Id="rId1408" Type="http://schemas.openxmlformats.org/officeDocument/2006/relationships/hyperlink" Target="https://appropriations.house.gov/sites/democrats.appropriations.house.gov/files/Ukraine%20Supplemental%20Summary.pdf" TargetMode="External"/><Relationship Id="rId1962" Type="http://schemas.openxmlformats.org/officeDocument/2006/relationships/hyperlink" Target="https://crsreports.congress.gov/product/pdf/IF/IF12040" TargetMode="External"/><Relationship Id="rId2806" Type="http://schemas.openxmlformats.org/officeDocument/2006/relationships/hyperlink" Target="https://crsreports.congress.gov/product/pdf/IF/IF12040" TargetMode="External"/><Relationship Id="rId4021" Type="http://schemas.openxmlformats.org/officeDocument/2006/relationships/hyperlink" Target="https://twitter.com/oleksiireznikov/status/1539234531764486149" TargetMode="External"/><Relationship Id="rId47" Type="http://schemas.openxmlformats.org/officeDocument/2006/relationships/hyperlink" Target="https://twitter.com/edgarsrinkevics/status/1511694357560180745?ref_src=twsrc%5Etfw%7Ctwcamp%5Etweetembed%7Ctwterm%5E1511694357560180745%7Ctwgr%5E%7Ctwcon%5Es1_&amp;ref_url=https%3A%2F%2Fwww.redditmedia.com%2Fmediaembed%2Ftxqhaq%3Fresponsive%3Dtrueis_nightmode%3Dfalse" TargetMode="External"/><Relationship Id="rId1615" Type="http://schemas.openxmlformats.org/officeDocument/2006/relationships/hyperlink" Target="https://appropriations.house.gov/sites/democrats.appropriations.house.gov/files/Additional%20Ukraine%20Suplemental%20Appropriations%20Act%20Summary.pdf" TargetMode="External"/><Relationship Id="rId1822" Type="http://schemas.openxmlformats.org/officeDocument/2006/relationships/hyperlink" Target="https://appropriations.house.gov/sites/democrats.appropriations.house.gov/files/Summary%20Continuing%20Appropriations%20and%20Ukraine%20Supplemental%20Appropriations%20Act%202023.pdf" TargetMode="External"/><Relationship Id="rId3787" Type="http://schemas.openxmlformats.org/officeDocument/2006/relationships/hyperlink" Target="https://www.state.gov/u-s-security-cooperation-with-ukraine/" TargetMode="External"/><Relationship Id="rId3994" Type="http://schemas.openxmlformats.org/officeDocument/2006/relationships/hyperlink" Target="https://www.canada.ca/en/department-national-defence/campaigns/canadian-military-support-to-ukraine.html" TargetMode="External"/><Relationship Id="rId4838" Type="http://schemas.openxmlformats.org/officeDocument/2006/relationships/hyperlink" Target="https://crsreports.congress.gov/product/pdf/IF/IF12040" TargetMode="External"/><Relationship Id="rId2389" Type="http://schemas.openxmlformats.org/officeDocument/2006/relationships/hyperlink" Target="https://www.euronews.com/2022/09/29/cargo-ship-with-1000-tonnes-of-ukraine-aid-sets-sail-from-marseille" TargetMode="External"/><Relationship Id="rId2596" Type="http://schemas.openxmlformats.org/officeDocument/2006/relationships/hyperlink" Target="https://www.premier.be/sites/default/files/articles/BE%20support%20militaire.pdf" TargetMode="External"/><Relationship Id="rId3647" Type="http://schemas.openxmlformats.org/officeDocument/2006/relationships/hyperlink" Target="https://ua.ambafrance.org/La-France-donne-a-l-Ukraine-un-cinquieme-lot-de-securite-civile" TargetMode="External"/><Relationship Id="rId3854" Type="http://schemas.openxmlformats.org/officeDocument/2006/relationships/hyperlink" Target="https://www.state.gov/u-s-security-cooperation-with-ukraine/" TargetMode="External"/><Relationship Id="rId568" Type="http://schemas.openxmlformats.org/officeDocument/2006/relationships/hyperlink" Target="https://www.faz.net/aktuell/politik/inland/spanien-erwaegt-lieferung-deutscher-kampfpanzer-an-die-ukraine-18084152.html" TargetMode="External"/><Relationship Id="rId775" Type="http://schemas.openxmlformats.org/officeDocument/2006/relationships/hyperlink" Target="https://www.regjeringen.no/en/aktuelt/donerer-hellfire-missiler-og-nattoptikk-til-ukraina/id2926713/" TargetMode="External"/><Relationship Id="rId982" Type="http://schemas.openxmlformats.org/officeDocument/2006/relationships/hyperlink" Target="https://twitter.com/a_anusauskas/status/1592084804501401604" TargetMode="External"/><Relationship Id="rId1198" Type="http://schemas.openxmlformats.org/officeDocument/2006/relationships/hyperlink" Target="https://appropriations.house.gov/sites/democrats.appropriations.house.gov/files/Ukraine%20Supplemental%20Summary%20FY23.pdf" TargetMode="External"/><Relationship Id="rId2249" Type="http://schemas.openxmlformats.org/officeDocument/2006/relationships/hyperlink" Target="https://crsreports.congress.gov/product/pdf/IF/IF12040" TargetMode="External"/><Relationship Id="rId2456" Type="http://schemas.openxmlformats.org/officeDocument/2006/relationships/hyperlink" Target="https://mil.in.ua/en/news/belgium-made-a-decision-to-hand-over-artillery-to-ukraine-the-media/" TargetMode="External"/><Relationship Id="rId2663" Type="http://schemas.openxmlformats.org/officeDocument/2006/relationships/hyperlink" Target="https://www.gov.uk/government/speeches/defence-secretary-oral-statement-on-war-in-ukraine--2" TargetMode="External"/><Relationship Id="rId2870" Type="http://schemas.openxmlformats.org/officeDocument/2006/relationships/hyperlink" Target="https://english.nv.ua/nation/repair-of-power-infrastructure-may-take-up-to-two-weeks-ukraine-president-zelensky-50284597.html" TargetMode="External"/><Relationship Id="rId3507" Type="http://schemas.openxmlformats.org/officeDocument/2006/relationships/hyperlink" Target="https://www.bundesregierung.de/breg-en/news/military-support-ukraine-2054992" TargetMode="External"/><Relationship Id="rId3714" Type="http://schemas.openxmlformats.org/officeDocument/2006/relationships/hyperlink" Target="https://tass.com/world/1592633" TargetMode="External"/><Relationship Id="rId3921" Type="http://schemas.openxmlformats.org/officeDocument/2006/relationships/hyperlink" Target="https://www.state.gov/u-s-security-cooperation-with-ukraine/" TargetMode="External"/><Relationship Id="rId428" Type="http://schemas.openxmlformats.org/officeDocument/2006/relationships/hyperlink" Target="https://www.kmu.gov.ua/en/news/70-000-tonn-vugillya-nadast-ukrayini-avstraliya-german-galushchenko" TargetMode="External"/><Relationship Id="rId635" Type="http://schemas.openxmlformats.org/officeDocument/2006/relationships/hyperlink" Target="https://www.whitehouse.gov/briefing-room/statements-releases/2022/05/06/statement-by-president-joe-biden-on-additional-security-assistance-to-ukraine/" TargetMode="External"/><Relationship Id="rId842" Type="http://schemas.openxmlformats.org/officeDocument/2006/relationships/hyperlink" Target="https://www.defense.gov/News/Releases/Release/Article/3152071/675-million-in-additional-security-assistance-for-ukraine/" TargetMode="External"/><Relationship Id="rId1058" Type="http://schemas.openxmlformats.org/officeDocument/2006/relationships/hyperlink" Target="https://news.err.ee/1608742171/estonia-sends-more-ammunition-protective-equipment-to-ukraine" TargetMode="External"/><Relationship Id="rId1265" Type="http://schemas.openxmlformats.org/officeDocument/2006/relationships/hyperlink" Target="https://www.gov.ie/en/press-release/2e59c-update-on-medical-humanitarian-support-to-ukraine/" TargetMode="External"/><Relationship Id="rId1472" Type="http://schemas.openxmlformats.org/officeDocument/2006/relationships/hyperlink" Target="https://appropriations.house.gov/sites/democrats.appropriations.house.gov/files/Ukraine%20Supplemental%20Summary.pdf" TargetMode="External"/><Relationship Id="rId2109" Type="http://schemas.openxmlformats.org/officeDocument/2006/relationships/hyperlink" Target="https://appropriations.house.gov/sites/democrats.appropriations.house.gov/files/Additional%20Ukraine%20Suplemental%20Appropriations%20Act%20Summary.pdf" TargetMode="External"/><Relationship Id="rId231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23" Type="http://schemas.openxmlformats.org/officeDocument/2006/relationships/hyperlink" Target="https://mil.in.ua/en/news/belgium-made-a-decision-to-hand-over-artillery-to-ukraine-the-media/" TargetMode="External"/><Relationship Id="rId2730" Type="http://schemas.openxmlformats.org/officeDocument/2006/relationships/hyperlink" Target="https://www.regjeringen.no/en/aktuelt/broad-political-agreement-on-multi-year-support-programme-for-ukraine/id2963374/" TargetMode="External"/><Relationship Id="rId702" Type="http://schemas.openxmlformats.org/officeDocument/2006/relationships/hyperlink" Target="https://www.defense.gov/News/Releases/Release/Article/2987119/defense-department-announces-300-million-in-additional-assistance-for-ukraine/" TargetMode="External"/><Relationship Id="rId1125" Type="http://schemas.openxmlformats.org/officeDocument/2006/relationships/hyperlink" Target="https://twitter.com/a_anusauskas/status/1596869391974813698" TargetMode="External"/><Relationship Id="rId1332" Type="http://schemas.openxmlformats.org/officeDocument/2006/relationships/hyperlink" Target="https://mil.in.ua/en/news/luxembourg-unveils-the-list-of-aid-to-ukraine/" TargetMode="External"/><Relationship Id="rId4488" Type="http://schemas.openxmlformats.org/officeDocument/2006/relationships/hyperlink" Target="https://twitter.com/a_anusauskas/status/1652204325228216320?cxt=HHwWgIC82Y_F5-0tAAAA" TargetMode="External"/><Relationship Id="rId4695" Type="http://schemas.openxmlformats.org/officeDocument/2006/relationships/hyperlink" Target="https://www.bundesregierung.de/breg-en/news/military-support-ukraine-2054992" TargetMode="External"/><Relationship Id="rId3297" Type="http://schemas.openxmlformats.org/officeDocument/2006/relationships/hyperlink" Target="https://diplomatie.belgium.be/en/policy/policy-areas/highlighted/civilian-aid-ukraine-overview" TargetMode="External"/><Relationship Id="rId4348" Type="http://schemas.openxmlformats.org/officeDocument/2006/relationships/hyperlink" Target="https://www.bundesregierung.de/resource/blob/975226/2189778/cdb664abe95e6fa74802882bd66ef771/2023-05-14-liste-ukr-unterstuetzung-data.pdf?download=1" TargetMode="External"/><Relationship Id="rId3157" Type="http://schemas.openxmlformats.org/officeDocument/2006/relationships/hyperlink" Target="https://appropriations.house.gov/sites/democrats.appropriations.house.gov/files/Ukraine%20Supplemental%20Summary%20FY23.pdf" TargetMode="External"/><Relationship Id="rId4555" Type="http://schemas.openxmlformats.org/officeDocument/2006/relationships/hyperlink" Target="https://www.vlada.cz/cz/media-centrum/aktualne/informace-v-souvislosti-s-invazi-ruska-na-ukrajinu-194507/" TargetMode="External"/><Relationship Id="rId4762" Type="http://schemas.openxmlformats.org/officeDocument/2006/relationships/hyperlink" Target="https://www.bundesregierung.de/breg-en/news/military-support-ukraine-2054992" TargetMode="External"/><Relationship Id="rId285" Type="http://schemas.openxmlformats.org/officeDocument/2006/relationships/hyperlink" Target="https://cyprus-mail.com/2022/04/06/aid-for-ukraine-now-tops-e2-million/" TargetMode="External"/><Relationship Id="rId3364"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3571" Type="http://schemas.openxmlformats.org/officeDocument/2006/relationships/hyperlink" Target="https://www.gov.ie/en/press-release/e6e61-ireland-donates-ambulances-and-other-life-saving-equipment-to-ukraine/" TargetMode="External"/><Relationship Id="rId4208" Type="http://schemas.openxmlformats.org/officeDocument/2006/relationships/hyperlink" Target="https://www.italianpost.news/ukraine-what-are-the-agreements-for-reconstruction/" TargetMode="External"/><Relationship Id="rId4415" Type="http://schemas.openxmlformats.org/officeDocument/2006/relationships/hyperlink" Target="https://www.bundesregierung.de/resource/blob/975226/2189778/cdb664abe95e6fa74802882bd66ef771/2023-05-14-liste-ukr-unterstuetzung-data.pdf?download=1" TargetMode="External"/><Relationship Id="rId4622" Type="http://schemas.openxmlformats.org/officeDocument/2006/relationships/hyperlink" Target="https://kyivindependent.com/portugal-to-send-5-military-vehicles-to-ukraine/" TargetMode="External"/><Relationship Id="rId492" Type="http://schemas.openxmlformats.org/officeDocument/2006/relationships/hyperlink" Target="https://english.news.cn/northamerica/20220521/316cc7dea3444c36b011aa19617629ac/c.html" TargetMode="External"/><Relationship Id="rId2173" Type="http://schemas.openxmlformats.org/officeDocument/2006/relationships/hyperlink" Target="https://appropriations.house.gov/sites/democrats.appropriations.house.gov/files/Additional%20Ukraine%20Suplemental%20Appropriations%20Act%20Summary.pdf" TargetMode="External"/><Relationship Id="rId2380" Type="http://schemas.openxmlformats.org/officeDocument/2006/relationships/hyperlink" Target="https://www.euronews.com/2022/09/29/cargo-ship-with-1000-tonnes-of-ukraine-aid-sets-sail-from-marseille" TargetMode="External"/><Relationship Id="rId3017" Type="http://schemas.openxmlformats.org/officeDocument/2006/relationships/hyperlink" Target="https://www.cna.org.cy/en/article/4342298/cyprus-and-poland-sign-agreement-to-provide-further-humanitarian-aid-to-ukraine" TargetMode="External"/><Relationship Id="rId3224" Type="http://schemas.openxmlformats.org/officeDocument/2006/relationships/hyperlink" Target="https://www.asdnews.com/news/defense/2022/10/17/uk-give-air-defence-missiles-help-ukraine-defend-against-rockets" TargetMode="External"/><Relationship Id="rId3431" Type="http://schemas.openxmlformats.org/officeDocument/2006/relationships/hyperlink" Target="https://www.bundesregierung.de/breg-en/news/military-support-ukraine-2054992" TargetMode="External"/><Relationship Id="rId145" Type="http://schemas.openxmlformats.org/officeDocument/2006/relationships/hyperlink" Target="https://www.defensa.gob.es/gabinete/notasPrensa/2022/08/DGC-220831-envio-armamento-ucrania.html" TargetMode="External"/><Relationship Id="rId352" Type="http://schemas.openxmlformats.org/officeDocument/2006/relationships/hyperlink" Target="https://ec.europa.eu/commission/presscorner/detail/en/ip_22_1222" TargetMode="External"/><Relationship Id="rId2033" Type="http://schemas.openxmlformats.org/officeDocument/2006/relationships/hyperlink" Target="https://crsreports.congress.gov/product/pdf/IF/IF12040" TargetMode="External"/><Relationship Id="rId2240" Type="http://schemas.openxmlformats.org/officeDocument/2006/relationships/hyperlink" Target="https://appropriations.house.gov/sites/democrats.appropriations.house.gov/files/Ukraine%20Supplemental%20Summary.pdf" TargetMode="External"/><Relationship Id="rId212" Type="http://schemas.openxmlformats.org/officeDocument/2006/relationships/hyperlink" Target="https://www.gov.si/en/news/2022-12-30-minister-fajon-hands-over-two-ambulances-for-ukraine/" TargetMode="External"/><Relationship Id="rId1799" Type="http://schemas.openxmlformats.org/officeDocument/2006/relationships/hyperlink" Target="https://crsreports.congress.gov/product/pdf/IN/IN11882" TargetMode="External"/><Relationship Id="rId2100" Type="http://schemas.openxmlformats.org/officeDocument/2006/relationships/hyperlink" Target="https://appropriations.house.gov/sites/democrats.appropriations.house.gov/files/Ukraine%20Supplemental%20Summary.pdf" TargetMode="External"/><Relationship Id="rId4065" Type="http://schemas.openxmlformats.org/officeDocument/2006/relationships/hyperlink" Target="https://www.reuters.com/world/europe/polish-leopard-tanks-are-already-ukraine-defence-minister-says-2023-02-24/" TargetMode="External"/><Relationship Id="rId4272" Type="http://schemas.openxmlformats.org/officeDocument/2006/relationships/hyperlink" Target="https://civil-protection-humanitarian-aid.ec.europa.eu/news-stories/news/ukraine-joins-eu-civil-protection-mechanism-2023-04-20_en?s=09" TargetMode="External"/><Relationship Id="rId1659" Type="http://schemas.openxmlformats.org/officeDocument/2006/relationships/hyperlink" Target="https://crsreports.congress.gov/product/pdf/IF/IF12040" TargetMode="External"/><Relationship Id="rId186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17" Type="http://schemas.openxmlformats.org/officeDocument/2006/relationships/hyperlink" Target="https://twitter.com/Ukrainene/status/1612563073126076416" TargetMode="External"/><Relationship Id="rId3081" Type="http://schemas.openxmlformats.org/officeDocument/2006/relationships/hyperlink" Target="https://www.worldbank.org/en/country/ukraine/brief/world-bank-emergency-financing-package-for-ukraine" TargetMode="External"/><Relationship Id="rId4132" Type="http://schemas.openxmlformats.org/officeDocument/2006/relationships/hyperlink" Target="https://twitter.com/HPevkur/status/1636347925935562753" TargetMode="External"/><Relationship Id="rId1519" Type="http://schemas.openxmlformats.org/officeDocument/2006/relationships/hyperlink" Target="https://appropriations.house.gov/sites/democrats.appropriations.house.gov/files/Additional%20Ukraine%20Suplemental%20Appropriations%20Act%20Summary.pdf" TargetMode="External"/><Relationship Id="rId1726" Type="http://schemas.openxmlformats.org/officeDocument/2006/relationships/hyperlink" Target="https://crsreports.congress.gov/product/pdf/IF/IF12040" TargetMode="External"/><Relationship Id="rId1933" Type="http://schemas.openxmlformats.org/officeDocument/2006/relationships/hyperlink" Target="https://appropriations.house.gov/sites/democrats.appropriations.house.gov/files/Ukraine%20Supplemental%20Summary%20FY23.pdf" TargetMode="External"/><Relationship Id="rId18" Type="http://schemas.openxmlformats.org/officeDocument/2006/relationships/hyperlink" Target="https://www.lemonde.fr/en/international/article/2022/04/24/france-is-delivering-caesar-cannons-and-milan-anti-tank-missiles-to-kiev_5981417_4.html" TargetMode="External"/><Relationship Id="rId3898" Type="http://schemas.openxmlformats.org/officeDocument/2006/relationships/hyperlink" Target="https://www.defense.gov/News/Releases/Release/Article/3411804/biden-administration-announces-additional-security-assistance-for-ukraine/" TargetMode="External"/><Relationship Id="rId3758" Type="http://schemas.openxmlformats.org/officeDocument/2006/relationships/hyperlink" Target="https://www.state.gov/u-s-security-cooperation-with-ukraine/" TargetMode="External"/><Relationship Id="rId3965" Type="http://schemas.openxmlformats.org/officeDocument/2006/relationships/hyperlink" Target="https://www.state.gov/u-s-security-cooperation-with-ukraine/" TargetMode="External"/><Relationship Id="rId4809" Type="http://schemas.openxmlformats.org/officeDocument/2006/relationships/hyperlink" Target="https://www.bundesregierung.de/breg-en/news/military-support-ukraine-2054992" TargetMode="External"/><Relationship Id="rId679" Type="http://schemas.openxmlformats.org/officeDocument/2006/relationships/hyperlink" Target="https://www.cbc.ca/news/politics/anand-biggest-military-donation-ukraine-1.6463915" TargetMode="External"/><Relationship Id="rId886" Type="http://schemas.openxmlformats.org/officeDocument/2006/relationships/hyperlink" Target="https://www.regjeringen.no/en/aktuelt/norge-og-storbritannia-gir-langtrekkende-rakettartilleri-til-ukraina/id2921395/" TargetMode="External"/><Relationship Id="rId2567" Type="http://schemas.openxmlformats.org/officeDocument/2006/relationships/hyperlink" Target="https://www.premier.be/sites/default/files/articles/BE%20support%20militaire.pdf" TargetMode="External"/><Relationship Id="rId2774" Type="http://schemas.openxmlformats.org/officeDocument/2006/relationships/hyperlink" Target="https://www.defense.gov/News/Releases/Release/Article/3272866/biden-administration-announces-additional-security-assistance-for-ukraine/" TargetMode="External"/><Relationship Id="rId3618" Type="http://schemas.openxmlformats.org/officeDocument/2006/relationships/hyperlink" Target="https://www.bundesregierung.de/breg-en/news/military-support-ukraine-2054992" TargetMode="External"/><Relationship Id="rId2" Type="http://schemas.openxmlformats.org/officeDocument/2006/relationships/hyperlink" Target="https://news.defence.gov.au/international/working-together-ukraine" TargetMode="External"/><Relationship Id="rId539" Type="http://schemas.openxmlformats.org/officeDocument/2006/relationships/hyperlink" Target="https://mil.in.ua/en/news/portugal-is-preparing-to-hand-over-m113-armored-personnel-carriers-to-ukraine-media/" TargetMode="External"/><Relationship Id="rId746" Type="http://schemas.openxmlformats.org/officeDocument/2006/relationships/hyperlink" Target="https://ua.interfax.com.ua/news/general/844172.html" TargetMode="External"/><Relationship Id="rId1169" Type="http://schemas.openxmlformats.org/officeDocument/2006/relationships/hyperlink" Target="https://www.lusa.pt/article/39993895/portugal-ukraine-aid-to-include-generators-haters-led-bulbs" TargetMode="External"/><Relationship Id="rId1376" Type="http://schemas.openxmlformats.org/officeDocument/2006/relationships/hyperlink" Target="https://appropriations.house.gov/sites/democrats.appropriations.house.gov/files/Ukraine%20Supplemental%20Summary.pdf" TargetMode="External"/><Relationship Id="rId1583" Type="http://schemas.openxmlformats.org/officeDocument/2006/relationships/hyperlink" Target="https://appropriations.house.gov/sites/democrats.appropriations.house.gov/files/Additional%20Ukraine%20Suplemental%20Appropriations%20Act%20Summary.pdf" TargetMode="External"/><Relationship Id="rId2427" Type="http://schemas.openxmlformats.org/officeDocument/2006/relationships/hyperlink" Target="https://ukraine.un.org/en/193141-ukraine-fao-canada-join-forces-address-grain-storage-deficit" TargetMode="External"/><Relationship Id="rId2981" Type="http://schemas.openxmlformats.org/officeDocument/2006/relationships/hyperlink" Target="https://global.espreso.tv/italy-approves-sixth-military-aid-package-to-ukraine" TargetMode="External"/><Relationship Id="rId3825" Type="http://schemas.openxmlformats.org/officeDocument/2006/relationships/hyperlink" Target="https://www.state.gov/u-s-security-cooperation-with-ukraine/" TargetMode="External"/><Relationship Id="rId953" Type="http://schemas.openxmlformats.org/officeDocument/2006/relationships/hyperlink" Target="https://www.defense.gouv.fr/terre/actualites/uiisc-1-3e-convoi-solidarite-lukraine" TargetMode="External"/><Relationship Id="rId1029" Type="http://schemas.openxmlformats.org/officeDocument/2006/relationships/hyperlink" Target="https://www.lemonde.fr/en/international/article/2022/10/11/what-weapons-is-france-sending-to-ukraine_5999916_4.html" TargetMode="External"/><Relationship Id="rId1236" Type="http://schemas.openxmlformats.org/officeDocument/2006/relationships/hyperlink" Target="https://timesofindia.indiatimes.com/india/india-hands-over-12th-consignment-of-humanitarian-aid-to-ukraine/articleshow/94157783.cms" TargetMode="External"/><Relationship Id="rId1790" Type="http://schemas.openxmlformats.org/officeDocument/2006/relationships/hyperlink" Target="https://crsreports.congress.gov/product/pdf/IF/IF12040" TargetMode="External"/><Relationship Id="rId2634" Type="http://schemas.openxmlformats.org/officeDocument/2006/relationships/hyperlink" Target="https://gouvernement.lu/en/actualites/toutes_actualites/communiques/2022/02-fevrier/28-bofferding-ucpm.html" TargetMode="External"/><Relationship Id="rId2841" Type="http://schemas.openxmlformats.org/officeDocument/2006/relationships/hyperlink" Target="https://www.defense.gov/News/Releases/Release/Article/3302787/biden-administration-announces-additional-security-assistance-for-ukraine/" TargetMode="External"/><Relationship Id="rId82" Type="http://schemas.openxmlformats.org/officeDocument/2006/relationships/hyperlink" Target="https://kyivindependent.com/uncategorized/poland-has-provided-ukraine-with-weapons-worth-1-6-billion/" TargetMode="External"/><Relationship Id="rId606"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813" Type="http://schemas.openxmlformats.org/officeDocument/2006/relationships/hyperlink" Target="https://www.defense.gov/News/Releases/Release/Article/3160503/600-million-in-additional-security-assistance-for-ukraine/" TargetMode="External"/><Relationship Id="rId1443" Type="http://schemas.openxmlformats.org/officeDocument/2006/relationships/hyperlink" Target="https://appropriations.house.gov/sites/democrats.appropriations.house.gov/files/Ukraine%20Supplemental%20Summary.pdf" TargetMode="External"/><Relationship Id="rId1650" Type="http://schemas.openxmlformats.org/officeDocument/2006/relationships/hyperlink" Target="https://crsreports.congress.gov/product/pdf/IF/IF12040" TargetMode="External"/><Relationship Id="rId2701" Type="http://schemas.openxmlformats.org/officeDocument/2006/relationships/hyperlink" Target="https://japan.kantei.go.jp/ongoingtopics/pdf/jp_stands_with_ukraine_eng.pdf" TargetMode="External"/><Relationship Id="rId4599" Type="http://schemas.openxmlformats.org/officeDocument/2006/relationships/hyperlink" Target="https://www.fmn.dk/da/nyheder/2023/ukraine-fond-finansierer-stor-ny-donationspakke/" TargetMode="External"/><Relationship Id="rId1303" Type="http://schemas.openxmlformats.org/officeDocument/2006/relationships/hyperlink" Target="https://lvportals.lv/dienaskartiba/341367-valsts-ugunsdzesibas-un-glabsanas-dienests-atbalstot-ukrainu-nodod-dalu-no-materialtehniskas-bazes-2022" TargetMode="External"/><Relationship Id="rId1510" Type="http://schemas.openxmlformats.org/officeDocument/2006/relationships/hyperlink" Target="https://appropriations.house.gov/sites/democrats.appropriations.house.gov/files/Additional%20Ukraine%20Suplemental%20Appropriations%20Act%20Summary.pdf" TargetMode="External"/><Relationship Id="rId4459" Type="http://schemas.openxmlformats.org/officeDocument/2006/relationships/hyperlink" Target="https://www.bundesregierung.de/resource/blob/975226/2189778/cdb664abe95e6fa74802882bd66ef771/2023-05-14-liste-ukr-unterstuetzung-data.pdf?download=1" TargetMode="External"/><Relationship Id="rId4666" Type="http://schemas.openxmlformats.org/officeDocument/2006/relationships/hyperlink" Target="https://www.usaid.gov/sites/default/files/2022-12/2022-09-30_USG_Ukraine_Complex_Emergency_Fact_Sheet_29.pdf" TargetMode="External"/><Relationship Id="rId3268" Type="http://schemas.openxmlformats.org/officeDocument/2006/relationships/hyperlink" Target="https://mil.in.ua/en/news/italy-provided-ukraine-with-the-fifth-military-assistance-package/" TargetMode="External"/><Relationship Id="rId3475" Type="http://schemas.openxmlformats.org/officeDocument/2006/relationships/hyperlink" Target="https://www.bundesregierung.de/breg-en/news/military-support-ukraine-2054992" TargetMode="External"/><Relationship Id="rId3682" Type="http://schemas.openxmlformats.org/officeDocument/2006/relationships/hyperlink" Target="https://intermin.fi/en/ukraine/civilian-assistance-to-ukraine" TargetMode="External"/><Relationship Id="rId4319" Type="http://schemas.openxmlformats.org/officeDocument/2006/relationships/hyperlink" Target="https://www.bundesregierung.de/resource/blob/975226/2189778/cdb664abe95e6fa74802882bd66ef771/2023-05-14-liste-ukr-unterstuetzung-data.pdf?download=1" TargetMode="External"/><Relationship Id="rId4526" Type="http://schemas.openxmlformats.org/officeDocument/2006/relationships/hyperlink" Target="https://www.reuters.com/world/europe/poland-send-60-modernised-tanks-ukraine-addition-leopards-2023-01-27/" TargetMode="External"/><Relationship Id="rId4733" Type="http://schemas.openxmlformats.org/officeDocument/2006/relationships/hyperlink" Target="https://www.bundesregierung.de/breg-en/news/military-support-ukraine-2054992" TargetMode="External"/><Relationship Id="rId189"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396" Type="http://schemas.openxmlformats.org/officeDocument/2006/relationships/hyperlink" Target="https://www.txtreport.com/news/2022-04-21-lithuania-has-provided-ukraine-with-large-mortars.Sk8DYtC45.html" TargetMode="External"/><Relationship Id="rId2077" Type="http://schemas.openxmlformats.org/officeDocument/2006/relationships/hyperlink" Target="https://appropriations.house.gov/sites/democrats.appropriations.house.gov/files/Ukraine%20Supplemental%20Summary%20FY23.pdf" TargetMode="External"/><Relationship Id="rId2284" Type="http://schemas.openxmlformats.org/officeDocument/2006/relationships/hyperlink" Target="https://crsreports.congress.gov/product/pdf/IF/IF12040" TargetMode="External"/><Relationship Id="rId2491" Type="http://schemas.openxmlformats.org/officeDocument/2006/relationships/hyperlink" Target="https://www.lesoir.be/479361/article/2022-11-25/la-belgique-va-envoyer-des-laboratoires-mobiles-et-des-drones-sous-marins" TargetMode="External"/><Relationship Id="rId3128" Type="http://schemas.openxmlformats.org/officeDocument/2006/relationships/hyperlink" Target="https://www.mod.mil.gr/symmetochi-yetha-nikolaoy-panagiotopoyloy-sti-synantisi-ukraine-defence-contact-group/" TargetMode="External"/><Relationship Id="rId3335" Type="http://schemas.openxmlformats.org/officeDocument/2006/relationships/hyperlink" Target="https://www.aa.com.tr/en/europe/france-to-deliver-caesar-artillery-guns-shells-to-ukraine/2570644" TargetMode="External"/><Relationship Id="rId3542" Type="http://schemas.openxmlformats.org/officeDocument/2006/relationships/hyperlink" Target="https://www.bundesregierung.de/breg-en/news/military-support-ukraine-2054992" TargetMode="External"/><Relationship Id="rId256" Type="http://schemas.openxmlformats.org/officeDocument/2006/relationships/hyperlink" Target="https://www.vlada.cz/cz/media-centrum/aktualne/vlada-kvuli-migracni-krizi-vyhlasila-od-patku-nouzovy-stav--schvalila-i-dalsi-pomoc-pro-ukrajinu-a-navrh-na-zvyseni-vydaju-na-obranu-194695/" TargetMode="External"/><Relationship Id="rId463" Type="http://schemas.openxmlformats.org/officeDocument/2006/relationships/hyperlink" Target="https://consent.yahoo.com/v2/collectConsent?sessionId=3_cc-session_a65137b7-2008-4f6a-9d84-5817bf1a558b" TargetMode="External"/><Relationship Id="rId670" Type="http://schemas.openxmlformats.org/officeDocument/2006/relationships/hyperlink" Target="https://pm.gc.ca/en/news/backgrounders/2022/06/28/additional-canadian-support-ukraine-announced-2022-g7-summit" TargetMode="External"/><Relationship Id="rId1093" Type="http://schemas.openxmlformats.org/officeDocument/2006/relationships/hyperlink" Target="https://reliefweb.int/report/ukraine/norway-increase-support-humanitarian-efforts-and-government-administration-ukraine" TargetMode="External"/><Relationship Id="rId2144" Type="http://schemas.openxmlformats.org/officeDocument/2006/relationships/hyperlink" Target="https://www.eurointegration.com.ua/eng/news/2022/12/27/7153213/" TargetMode="External"/><Relationship Id="rId2351" Type="http://schemas.openxmlformats.org/officeDocument/2006/relationships/hyperlink" Target="https://valtioneuvosto.fi/en/-/finland-to-send-arms-assistance-to-ukraine" TargetMode="External"/><Relationship Id="rId3402"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4800" Type="http://schemas.openxmlformats.org/officeDocument/2006/relationships/hyperlink" Target="https://www.bundesregierung.de/breg-en/news/military-support-ukraine-2054992" TargetMode="External"/><Relationship Id="rId116" Type="http://schemas.openxmlformats.org/officeDocument/2006/relationships/hyperlink" Target="https://www.defense.gouv.fr/terre/actualites/uiisc-1-3e-convoi-solidarite-lukraine" TargetMode="External"/><Relationship Id="rId323" Type="http://schemas.openxmlformats.org/officeDocument/2006/relationships/hyperlink" Target="https://www.reuters.com/world/europe/britain-exploring-donating-anti-air-missiles-ukraine-defence-minister-2022-03-09/" TargetMode="External"/><Relationship Id="rId530" Type="http://schemas.openxmlformats.org/officeDocument/2006/relationships/hyperlink" Target="https://www.padovaoggi.it/cronaca/vigili-fuoco-mezzi-ucraina-padova-14-aprile-2022.html" TargetMode="External"/><Relationship Id="rId1160" Type="http://schemas.openxmlformats.org/officeDocument/2006/relationships/hyperlink" Target="https://twitter.com/EmmanuelMacron/status/1602661511700389888?ref_src=twsrc%5Etfw%7Ctwcamp%5Etweetembed%7Ctwterm%5E1602661511700389888%7Ctwgr%5E339bcba22bc63bfdb282e6d9427211ad1ddf282a%7Ctwcon%5Es1_&amp;ref_url=https%3A%2F%2Fwww.elysee.fr%2Femmanuel-macron%2F2022%2F12%2F13%2Fsolidaires-du-peuple-ukrainien" TargetMode="External"/><Relationship Id="rId2004" Type="http://schemas.openxmlformats.org/officeDocument/2006/relationships/hyperlink" Target="https://crsreports.congress.gov/product/pdf/IF/IF12040" TargetMode="External"/><Relationship Id="rId2211" Type="http://schemas.openxmlformats.org/officeDocument/2006/relationships/hyperlink" Target="https://appropriations.house.gov/sites/democrats.appropriations.house.gov/files/Ukraine%20Supplemental%20Summary.pdf" TargetMode="External"/><Relationship Id="rId4176" Type="http://schemas.openxmlformats.org/officeDocument/2006/relationships/hyperlink" Target="https://apnews.com/article/greece-ukraine-russia-arms-reznikov-b8255c6473e7f01cced6202af2c073da" TargetMode="External"/><Relationship Id="rId1020" Type="http://schemas.openxmlformats.org/officeDocument/2006/relationships/hyperlink" Target="https://appropriations.house.gov/sites/democrats.appropriations.house.gov/files/Additional%20Ukraine%20Suplemental%20Appropriations%20Act%20Summary.pdf" TargetMode="External"/><Relationship Id="rId1977" Type="http://schemas.openxmlformats.org/officeDocument/2006/relationships/hyperlink" Target="https://crsreports.congress.gov/product/pdf/IF/IF12040" TargetMode="External"/><Relationship Id="rId4383" Type="http://schemas.openxmlformats.org/officeDocument/2006/relationships/hyperlink" Target="https://www.bundesregierung.de/resource/blob/975226/2189778/cdb664abe95e6fa74802882bd66ef771/2023-05-14-liste-ukr-unterstuetzung-data.pdf?download=1" TargetMode="External"/><Relationship Id="rId4590" Type="http://schemas.openxmlformats.org/officeDocument/2006/relationships/hyperlink" Target="https://en.kyiv24.news/news/croatia-transferred-mi-8-helicopters-to-ukraine" TargetMode="External"/><Relationship Id="rId1837"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92" Type="http://schemas.openxmlformats.org/officeDocument/2006/relationships/hyperlink" Target="https://ue.delegfrance.org/IMG/pdf/4_5989977243172998264_1_.pdf?11377/582461c3399e431c79f060e139f084c1fa490550" TargetMode="External"/><Relationship Id="rId4036" Type="http://schemas.openxmlformats.org/officeDocument/2006/relationships/hyperlink" Target="https://www.defensie.nl/onderwerpen/oostflank-navo-gebied/militaire-steun-aan-oekraine" TargetMode="External"/><Relationship Id="rId4243" Type="http://schemas.openxmlformats.org/officeDocument/2006/relationships/hyperlink" Target="https://web.archive.org/web/20230321123738/https:/www.government.is/topics/foreign-affairs/war-in-ukraine/" TargetMode="External"/><Relationship Id="rId4450" Type="http://schemas.openxmlformats.org/officeDocument/2006/relationships/hyperlink" Target="https://www.bundesregierung.de/resource/blob/975226/2189778/cdb664abe95e6fa74802882bd66ef771/2023-05-14-liste-ukr-unterstuetzung-data.pdf?download=1" TargetMode="External"/><Relationship Id="rId3052" Type="http://schemas.openxmlformats.org/officeDocument/2006/relationships/hyperlink" Target="https://www.mk.gov.lv/en/latvia-supports-ukraine" TargetMode="External"/><Relationship Id="rId4103" Type="http://schemas.openxmlformats.org/officeDocument/2006/relationships/hyperlink" Target="https://mil.in.ua/en/news/estonia-provides-ukraine-with-new-military-aid-package/" TargetMode="External"/><Relationship Id="rId4310" Type="http://schemas.openxmlformats.org/officeDocument/2006/relationships/hyperlink" Target="https://www.defensie.nl/actueel/nieuws/2023/05/23/eu-raad-defensieministers-munitie-voor-oekraine-opschaling-productie-en-nieuwe-defensieprojecten" TargetMode="External"/><Relationship Id="rId180" Type="http://schemas.openxmlformats.org/officeDocument/2006/relationships/hyperlink" Target="https://www.bundesregierung.de/breg-en/news/military-support-ukraine-2054992" TargetMode="External"/><Relationship Id="rId1904" Type="http://schemas.openxmlformats.org/officeDocument/2006/relationships/hyperlink" Target="https://appropriations.house.gov/sites/democrats.appropriations.house.gov/files/Ukraine%20Supplemental%20Summary%20FY23.pdf" TargetMode="External"/><Relationship Id="rId3869" Type="http://schemas.openxmlformats.org/officeDocument/2006/relationships/hyperlink" Target="https://www.state.gov/u-s-security-cooperation-with-ukraine/" TargetMode="External"/><Relationship Id="rId997" Type="http://schemas.openxmlformats.org/officeDocument/2006/relationships/hyperlink" Target="https://www.gov.uk/government/speeches/pm-opening-remarks-at-press-conference-with-german-chancellor-olaf-scholz-8-april-2022" TargetMode="External"/><Relationship Id="rId2678" Type="http://schemas.openxmlformats.org/officeDocument/2006/relationships/hyperlink" Target="https://www.gov.uk/government/news/defence-secretary-meets-us-counterpart-to-discuss-support-for-ukraine" TargetMode="External"/><Relationship Id="rId2885" Type="http://schemas.openxmlformats.org/officeDocument/2006/relationships/hyperlink" Target="https://www.vlada.cz/en/media-centrum/tiskove-zpravy/czechia-sends-hundreds-of-heavy-military-systems-worth-tens-of-billions-to-ukraine-during-the-first-year-of-russian-invasion-203252/" TargetMode="External"/><Relationship Id="rId3729" Type="http://schemas.openxmlformats.org/officeDocument/2006/relationships/hyperlink" Target="https://www.government.se/government-policy/russias-invasion-of-ukraine/?page=2" TargetMode="External"/><Relationship Id="rId3936" Type="http://schemas.openxmlformats.org/officeDocument/2006/relationships/hyperlink" Target="https://www.state.gov/u-s-security-cooperation-with-ukraine/" TargetMode="External"/><Relationship Id="rId857" Type="http://schemas.openxmlformats.org/officeDocument/2006/relationships/hyperlink" Target="https://www.kmu.gov.ua/en/news/ukraina-otrymaie-vid-svitovoho-banku-dodatkove-finansuvannia-na-5299-mln-dol-ssha-dlia-nahalnykh-potreb" TargetMode="External"/><Relationship Id="rId1487" Type="http://schemas.openxmlformats.org/officeDocument/2006/relationships/hyperlink" Target="https://appropriations.house.gov/sites/democrats.appropriations.house.gov/files/Ukraine%20Supplemental%20Summary.pdf" TargetMode="External"/><Relationship Id="rId1694" Type="http://schemas.openxmlformats.org/officeDocument/2006/relationships/hyperlink" Target="https://crsreports.congress.gov/product/pdf/IF/IF12040" TargetMode="External"/><Relationship Id="rId2538" Type="http://schemas.openxmlformats.org/officeDocument/2006/relationships/hyperlink" Target="https://www.euractiv.com/section/politics/short_news/belgium-to-provide-e8-million-for-non-lethal-aid-to-ukraines-armed-forces/" TargetMode="External"/><Relationship Id="rId2745" Type="http://schemas.openxmlformats.org/officeDocument/2006/relationships/hyperlink" Target="https://www.defense.gov/News/Releases/Release/Article/3287992/biden-administration-announces-additional-security-assistance-for-ukraine/" TargetMode="External"/><Relationship Id="rId2952" Type="http://schemas.openxmlformats.org/officeDocument/2006/relationships/hyperlink" Target="https://valitsus.ee/en/news/estonias-military-support-ukraine-will-increase-more-1-gdp" TargetMode="External"/><Relationship Id="rId717" Type="http://schemas.openxmlformats.org/officeDocument/2006/relationships/hyperlink" Target="https://www.defense.gov/News/News-Stories/Article/Article/3072692/president-authorizes-another-450-million-drawdown-to-support-ukraine/" TargetMode="External"/><Relationship Id="rId924" Type="http://schemas.openxmlformats.org/officeDocument/2006/relationships/hyperlink" Target="https://www.defmin.fi/ajankohtaista/tiedotteet_ja_uutiset/tiedotearkisto/tiedotteet_2022/suomi_toimittaa_lisaa_puolustustarvikeapua_ukrainaan.13184.news" TargetMode="External"/><Relationship Id="rId1347" Type="http://schemas.openxmlformats.org/officeDocument/2006/relationships/hyperlink" Target="https://www.elysee.fr/emmanuel-macron/2022/12/13/solidaires-du-peuple-ukrainien" TargetMode="External"/><Relationship Id="rId1554" Type="http://schemas.openxmlformats.org/officeDocument/2006/relationships/hyperlink" Target="https://appropriations.house.gov/sites/democrats.appropriations.house.gov/files/Additional%20Ukraine%20Suplemental%20Appropriations%20Act%20Summary.pdf" TargetMode="External"/><Relationship Id="rId1761" Type="http://schemas.openxmlformats.org/officeDocument/2006/relationships/hyperlink" Target="https://crsreports.congress.gov/product/pdf/IF/IF12040" TargetMode="External"/><Relationship Id="rId2605" Type="http://schemas.openxmlformats.org/officeDocument/2006/relationships/hyperlink" Target="https://www.canada.ca/en/department-national-defence/campaigns/canadian-military-support-to-ukraine.html" TargetMode="External"/><Relationship Id="rId2812" Type="http://schemas.openxmlformats.org/officeDocument/2006/relationships/hyperlink" Target="https://crsreports.congress.gov/product/pdf/IF/IF12040" TargetMode="External"/><Relationship Id="rId53" Type="http://schemas.openxmlformats.org/officeDocument/2006/relationships/hyperlink" Target="https://www.rferl.org/a/czech-republic-poland-new-military-aid-ukraine/31873938.html" TargetMode="External"/><Relationship Id="rId1207" Type="http://schemas.openxmlformats.org/officeDocument/2006/relationships/hyperlink" Target="https://www.washingtonexaminer.com/policy/defense-national-security/ukraine-billion-winter" TargetMode="External"/><Relationship Id="rId1414" Type="http://schemas.openxmlformats.org/officeDocument/2006/relationships/hyperlink" Target="https://appropriations.house.gov/sites/democrats.appropriations.house.gov/files/Ukraine%20Supplemental%20Summary.pdf" TargetMode="External"/><Relationship Id="rId1621" Type="http://schemas.openxmlformats.org/officeDocument/2006/relationships/hyperlink" Target="https://appropriations.house.gov/sites/democrats.appropriations.house.gov/files/Additional%20Ukraine%20Suplemental%20Appropriations%20Act%20Summary.pdf" TargetMode="External"/><Relationship Id="rId4777" Type="http://schemas.openxmlformats.org/officeDocument/2006/relationships/hyperlink" Target="https://www.bundesregierung.de/breg-en/news/military-support-ukraine-2054992" TargetMode="External"/><Relationship Id="rId3379" Type="http://schemas.openxmlformats.org/officeDocument/2006/relationships/hyperlink" Target="https://www.bundesregierung.de/breg-de/themen/krieg-in-der-ukraine/humanitaere-hilfe-ukraine-2016634" TargetMode="External"/><Relationship Id="rId3586" Type="http://schemas.openxmlformats.org/officeDocument/2006/relationships/hyperlink" Target="https://www.eda.admin.ch/eda/en/fdfa/fdfa/aktuell/dossiers/krieg-gegen-ukraine.html" TargetMode="External"/><Relationship Id="rId3793" Type="http://schemas.openxmlformats.org/officeDocument/2006/relationships/hyperlink" Target="https://www.defense.gov/News/Releases/Release/Article/3334472/dod-announces-additional-security-assistance-for-ukraine/" TargetMode="External"/><Relationship Id="rId4637" Type="http://schemas.openxmlformats.org/officeDocument/2006/relationships/hyperlink" Target="https://www.weaponstoukraine.com/kampane/viktor-mobile-air-defense-for-ukraine" TargetMode="External"/><Relationship Id="rId2188" Type="http://schemas.openxmlformats.org/officeDocument/2006/relationships/hyperlink" Target="https://appropriations.house.gov/sites/democrats.appropriations.house.gov/files/Additional%20Ukraine%20Suplemental%20Appropriations%20Act%20Summary.pdf" TargetMode="External"/><Relationship Id="rId2395" Type="http://schemas.openxmlformats.org/officeDocument/2006/relationships/hyperlink" Target="https://background.tagesspiegel.de/energie-klima/haelfte-des-ukrainischen-stromsystems-lahmgelegt" TargetMode="External"/><Relationship Id="rId3239" Type="http://schemas.openxmlformats.org/officeDocument/2006/relationships/hyperlink" Target="https://twitter.com/jana_cernochova/status/1582703322825252869?t=Fqppd0hXrrOuX8K3FFtgSg&amp;s=19" TargetMode="External"/><Relationship Id="rId3446" Type="http://schemas.openxmlformats.org/officeDocument/2006/relationships/hyperlink" Target="https://www.bundesregierung.de/breg-en/news/military-support-ukraine-2054992" TargetMode="External"/><Relationship Id="rId367" Type="http://schemas.openxmlformats.org/officeDocument/2006/relationships/hyperlink" Target="https://www.defense.gov/News/Releases/Release/Article/3007664/fact-sheet-on-us-security-assistance-for-ukraine-roll-up-as-of-april-21-2022/" TargetMode="External"/><Relationship Id="rId574" Type="http://schemas.openxmlformats.org/officeDocument/2006/relationships/hyperlink" Target="https://interfax.com/newsroom/top-stories/78780/" TargetMode="External"/><Relationship Id="rId204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55" Type="http://schemas.openxmlformats.org/officeDocument/2006/relationships/hyperlink" Target="https://crsreports.congress.gov/product/pdf/IF/IF12040" TargetMode="External"/><Relationship Id="rId3653" Type="http://schemas.openxmlformats.org/officeDocument/2006/relationships/hyperlink" Target="https://www.pravda.com.ua/eng/news/2023/05/15/7402329/" TargetMode="External"/><Relationship Id="rId3860" Type="http://schemas.openxmlformats.org/officeDocument/2006/relationships/hyperlink" Target="https://www.defense.gov/News/Releases/Release/Article/3402206/biden-administration-announces-additional-security-assistance-for-ukraine/" TargetMode="External"/><Relationship Id="rId4704" Type="http://schemas.openxmlformats.org/officeDocument/2006/relationships/hyperlink" Target="https://www.bundesregierung.de/breg-en/news/military-support-ukraine-2054992" TargetMode="External"/><Relationship Id="rId227" Type="http://schemas.openxmlformats.org/officeDocument/2006/relationships/hyperlink" Target="https://www.lefigaro.fr/flash-actu/la-france-a-envoye-33-tonnes-d-aide-humanitaire-pour-l-ukraine-20220228" TargetMode="External"/><Relationship Id="rId781" Type="http://schemas.openxmlformats.org/officeDocument/2006/relationships/hyperlink" Target="https://www.defense.gov/News/Releases/Release/Article/3134457/775-million-in-additional-security-assistance-for-ukraine/" TargetMode="External"/><Relationship Id="rId2462" Type="http://schemas.openxmlformats.org/officeDocument/2006/relationships/hyperlink" Target="https://www.brusselstimes.com/290771/belgium-to-give-e12-million-in-military-aid-to-ukraine" TargetMode="External"/><Relationship Id="rId3306" Type="http://schemas.openxmlformats.org/officeDocument/2006/relationships/hyperlink" Target="https://www.irozhlas.cz/zpravy-svet/usa-nizozemsko-ukrajina-tanky-t-72b_2211041839_nov" TargetMode="External"/><Relationship Id="rId3513" Type="http://schemas.openxmlformats.org/officeDocument/2006/relationships/hyperlink" Target="https://www.bundesregierung.de/breg-en/news/military-support-ukraine-2054992" TargetMode="External"/><Relationship Id="rId3720" Type="http://schemas.openxmlformats.org/officeDocument/2006/relationships/hyperlink" Target="https://www.regjeringen.no/en/aktuelt/norge-stotter-trening-og-opplaring-av-ukrainsk-personell-pa-jagerfly/id2978378/" TargetMode="External"/><Relationship Id="rId434" Type="http://schemas.openxmlformats.org/officeDocument/2006/relationships/hyperlink" Target="https://twitter.com/AFADTurkey/status/1503080333205700608" TargetMode="External"/><Relationship Id="rId641" Type="http://schemas.openxmlformats.org/officeDocument/2006/relationships/hyperlink" Target="https://www.peterdutton.com.au/joint-media-release-australia-to-provide-additional-support-to-ukraine/" TargetMode="External"/><Relationship Id="rId1064" Type="http://schemas.openxmlformats.org/officeDocument/2006/relationships/hyperlink" Target="https://kaitseministeerium.ee/en/news/estonia-sending-ukraine-ammunition-and-equipment" TargetMode="External"/><Relationship Id="rId1271" Type="http://schemas.openxmlformats.org/officeDocument/2006/relationships/hyperlink" Target="https://dailynewshungary.com/hungary-to-send-shipment-of-medical-equipment-to-ukraine/" TargetMode="External"/><Relationship Id="rId2115" Type="http://schemas.openxmlformats.org/officeDocument/2006/relationships/hyperlink" Target="https://appropriations.house.gov/sites/democrats.appropriations.house.gov/files/Additional%20Ukraine%20Suplemental%20Appropriations%20Act%20Summary.pdf" TargetMode="External"/><Relationship Id="rId2322" Type="http://schemas.openxmlformats.org/officeDocument/2006/relationships/hyperlink" Target="https://uk.ambafrance.org/France-grants-EUR300-million-loan-to-Ukraine" TargetMode="External"/><Relationship Id="rId501" Type="http://schemas.openxmlformats.org/officeDocument/2006/relationships/hyperlink" Target="https://mil.in.ua/en/news/harpoon-what-is-known-about-danish-coastal-missile-systems/" TargetMode="External"/><Relationship Id="rId1131" Type="http://schemas.openxmlformats.org/officeDocument/2006/relationships/hyperlink" Target="https://twitter.com/Defense_lu/status/1598610977364115462?t=6bU22e0y0z-S3WKot0R3BA&amp;s=19" TargetMode="External"/><Relationship Id="rId4287" Type="http://schemas.openxmlformats.org/officeDocument/2006/relationships/hyperlink" Target="https://www.reuters.com/world/europe/france-send-dozens-armoured-vehicles-light-tanks-ukraine-2023-05-14/" TargetMode="External"/><Relationship Id="rId4494" Type="http://schemas.openxmlformats.org/officeDocument/2006/relationships/hyperlink" Target="https://babel.ua/en/news/93229-the-czech-republic-allocates-almost-one-million-euros-for-ukrainian-pilots-they-will-be-trained-in-civil-aviation" TargetMode="External"/><Relationship Id="rId3096" Type="http://schemas.openxmlformats.org/officeDocument/2006/relationships/hyperlink" Target="https://thediplomatinspain.com/en/2022/07/spain-announces-250-million-euros-for-agriculture-and-renewables-in-ukraine/" TargetMode="External"/><Relationship Id="rId4147" Type="http://schemas.openxmlformats.org/officeDocument/2006/relationships/hyperlink" Target="https://twitter.com/HPevkur/status/1636347925935562753" TargetMode="External"/><Relationship Id="rId4354" Type="http://schemas.openxmlformats.org/officeDocument/2006/relationships/hyperlink" Target="https://www.bundesregierung.de/resource/blob/975226/2189778/cdb664abe95e6fa74802882bd66ef771/2023-05-14-liste-ukr-unterstuetzung-data.pdf?download=1" TargetMode="External"/><Relationship Id="rId4561" Type="http://schemas.openxmlformats.org/officeDocument/2006/relationships/hyperlink" Target="https://www.czdefence.com/article/slovakia-to-provide-ukraine-with-additional-military-material-worth-almost-eur45-million" TargetMode="External"/><Relationship Id="rId1948" Type="http://schemas.openxmlformats.org/officeDocument/2006/relationships/hyperlink" Target="https://crsreports.congress.gov/product/pdf/IF/IF12040" TargetMode="External"/><Relationship Id="rId3163" Type="http://schemas.openxmlformats.org/officeDocument/2006/relationships/hyperlink" Target="https://www.defense.gov/News/Releases/Release/Article/3277443/biden-administration-announces-additional-security-assistance-for-ukraine/" TargetMode="External"/><Relationship Id="rId3370" Type="http://schemas.openxmlformats.org/officeDocument/2006/relationships/hyperlink" Target="https://www.bundesregierung.de/resource/blob/975226/2155792/c3dbab706421f63d3d612091e7ecad4c/2022-12-27-unterstuetzung-ukraine-breg-data.pdf?download=1%20Guten" TargetMode="External"/><Relationship Id="rId4007" Type="http://schemas.openxmlformats.org/officeDocument/2006/relationships/hyperlink" Target="https://twitter.com/a_anusauskas/status/1594701256463110144" TargetMode="External"/><Relationship Id="rId4214" Type="http://schemas.openxmlformats.org/officeDocument/2006/relationships/hyperlink" Target="https://greekreporter.com/2023/04/06/greece-military-support-ukraine/" TargetMode="External"/><Relationship Id="rId4421" Type="http://schemas.openxmlformats.org/officeDocument/2006/relationships/hyperlink" Target="https://www.bundesregierung.de/resource/blob/975226/2189778/cdb664abe95e6fa74802882bd66ef771/2023-05-14-liste-ukr-unterstuetzung-data.pdf?download=1" TargetMode="External"/><Relationship Id="rId291" Type="http://schemas.openxmlformats.org/officeDocument/2006/relationships/hyperlink" Target="https://www.vlada.cz/cz/media-centrum/aktualne/informace-v-souvislosti-s-invazi-ruska-na-ukrajinu-194507/" TargetMode="External"/><Relationship Id="rId1808" Type="http://schemas.openxmlformats.org/officeDocument/2006/relationships/hyperlink" Target="https://crsreports.congress.gov/product/pdf/IN/IN11882" TargetMode="External"/><Relationship Id="rId3023" Type="http://schemas.openxmlformats.org/officeDocument/2006/relationships/hyperlink" Target="https://www.president.gov.ua/news/franciya-nadast-ukrayini-12-mlrd-yevro-programnogo-finansuva-72769" TargetMode="External"/><Relationship Id="rId151" Type="http://schemas.openxmlformats.org/officeDocument/2006/relationships/hyperlink" Target="https://www.defensa.gob.es/gabinete/notasPrensa/2022/10/DGC-221006-envio-ucrania.html" TargetMode="External"/><Relationship Id="rId3230" Type="http://schemas.openxmlformats.org/officeDocument/2006/relationships/hyperlink" Target="https://www.government.nl/topics/russia-and-ukraine/dutch-aid-for-ukraine" TargetMode="External"/><Relationship Id="rId2789" Type="http://schemas.openxmlformats.org/officeDocument/2006/relationships/hyperlink" Target="https://crsreports.congress.gov/product/pdf/IF/IF12040" TargetMode="External"/><Relationship Id="rId2996" Type="http://schemas.openxmlformats.org/officeDocument/2006/relationships/hyperlink" Target="https://www.publico.pt/2023/01/20/mundo/noticia/zelensky-portugal-disponivel-enviar-tanques-2035760" TargetMode="External"/><Relationship Id="rId968" Type="http://schemas.openxmlformats.org/officeDocument/2006/relationships/hyperlink" Target="https://www.facebook.com/ukremb.at/posts/2254397241403945" TargetMode="External"/><Relationship Id="rId1598" Type="http://schemas.openxmlformats.org/officeDocument/2006/relationships/hyperlink" Target="https://appropriations.house.gov/sites/democrats.appropriations.house.gov/files/Additional%20Ukraine%20Suplemental%20Appropriations%20Act%20Summary.pdf" TargetMode="External"/><Relationship Id="rId2649" Type="http://schemas.openxmlformats.org/officeDocument/2006/relationships/hyperlink" Target="https://www.reuters.com/world/europe/polish-leopard-tanks-are-already-ukraine-defence-minister-says-2023-02-24/" TargetMode="External"/><Relationship Id="rId2856" Type="http://schemas.openxmlformats.org/officeDocument/2006/relationships/hyperlink" Target="https://crsreports.congress.gov/product/pdf/IF/IF12040" TargetMode="External"/><Relationship Id="rId3907" Type="http://schemas.openxmlformats.org/officeDocument/2006/relationships/hyperlink" Target="https://www.state.gov/u-s-security-cooperation-with-ukraine/" TargetMode="External"/><Relationship Id="rId97" Type="http://schemas.openxmlformats.org/officeDocument/2006/relationships/hyperlink" Target="https://www.mod.gov.lv/lv/zinas/latvija-ukrainas-armijai-piegadajusi-helikopterus-mi-17-un-mi-2" TargetMode="External"/><Relationship Id="rId828" Type="http://schemas.openxmlformats.org/officeDocument/2006/relationships/hyperlink" Target="https://www.defense.gov/News/Releases/Release/Article/3173378/11-billion-in-additional-security-assistance-for-ukraine/" TargetMode="External"/><Relationship Id="rId1458" Type="http://schemas.openxmlformats.org/officeDocument/2006/relationships/hyperlink" Target="https://appropriations.house.gov/sites/democrats.appropriations.house.gov/files/Ukraine%20Supplemental%20Summary.pdf" TargetMode="External"/><Relationship Id="rId1665" Type="http://schemas.openxmlformats.org/officeDocument/2006/relationships/hyperlink" Target="https://crsreports.congress.gov/product/pdf/IF/IF12040" TargetMode="External"/><Relationship Id="rId1872"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09" Type="http://schemas.openxmlformats.org/officeDocument/2006/relationships/hyperlink" Target="https://mil.in.ua/en/news/belgium-made-a-decision-to-hand-over-artillery-to-ukraine-the-media/" TargetMode="External"/><Relationship Id="rId2716" Type="http://schemas.openxmlformats.org/officeDocument/2006/relationships/hyperlink" Target="https://www.beehive.govt.nz/release/further-humanitarian-support-ukraine-winter-hardships" TargetMode="External"/><Relationship Id="rId4071" Type="http://schemas.openxmlformats.org/officeDocument/2006/relationships/hyperlink" Target="https://www.weforum.org/agenda/2023/01/davos-2023-special-address-by-pedro-sanchez-prime-minister-of-spain/" TargetMode="External"/><Relationship Id="rId1318" Type="http://schemas.openxmlformats.org/officeDocument/2006/relationships/hyperlink" Target="https://www.defensie.nl/onderwerpen/oostflank-navo-gebied/nieuws/2022/12/01/nederland-doneert-met-noorwegen-en-estland-veldhospitaal-aan-oekraine" TargetMode="External"/><Relationship Id="rId1525" Type="http://schemas.openxmlformats.org/officeDocument/2006/relationships/hyperlink" Target="https://appropriations.house.gov/sites/democrats.appropriations.house.gov/files/Additional%20Ukraine%20Suplemental%20Appropriations%20Act%20Summary.pdf" TargetMode="External"/><Relationship Id="rId2923" Type="http://schemas.openxmlformats.org/officeDocument/2006/relationships/hyperlink" Target="https://www.ukrinform.net/rubric-ato/3674257-ukraine-gets-new-batch-of-bridges-from-czech-republic.html" TargetMode="External"/><Relationship Id="rId1732" Type="http://schemas.openxmlformats.org/officeDocument/2006/relationships/hyperlink" Target="https://crsreports.congress.gov/product/pdf/IF/IF12040" TargetMode="External"/><Relationship Id="rId24" Type="http://schemas.openxmlformats.org/officeDocument/2006/relationships/hyperlink" Target="https://www.aa.com.tr/en/russia-ukraine-war/norway-sends-roughly-100-anti-aircraft-missiles-to-ukraine/2568447" TargetMode="External"/><Relationship Id="rId2299" Type="http://schemas.openxmlformats.org/officeDocument/2006/relationships/hyperlink" Target="https://appropriations.house.gov/sites/democrats.appropriations.house.gov/files/Summary%20Continuing%20Appropriations%20and%20Ukraine%20Supplemental%20Appropriations%20Act%202023.pdf" TargetMode="External"/><Relationship Id="rId3697" Type="http://schemas.openxmlformats.org/officeDocument/2006/relationships/hyperlink" Target="https://um.fi/finland-s-support-to-ukraine" TargetMode="External"/><Relationship Id="rId4748" Type="http://schemas.openxmlformats.org/officeDocument/2006/relationships/hyperlink" Target="https://www.bundesregierung.de/breg-en/news/military-support-ukraine-2054992" TargetMode="External"/><Relationship Id="rId3557"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64" Type="http://schemas.openxmlformats.org/officeDocument/2006/relationships/hyperlink" Target="https://www.state.gov/u-s-security-cooperation-with-ukraine/" TargetMode="External"/><Relationship Id="rId3971" Type="http://schemas.openxmlformats.org/officeDocument/2006/relationships/hyperlink" Target="https://www.defense.gov/News/Releases/Release/Article/3350958/biden-administration-announces-additional-security-assistance-for-ukraine/" TargetMode="External"/><Relationship Id="rId4608" Type="http://schemas.openxmlformats.org/officeDocument/2006/relationships/hyperlink" Target="https://www.mk.gov.lv/en/latvia-supports-ukraine" TargetMode="External"/><Relationship Id="rId4815" Type="http://schemas.openxmlformats.org/officeDocument/2006/relationships/hyperlink" Target="https://www.bundesregierung.de/breg-en/news/military-support-ukraine-2054992" TargetMode="External"/><Relationship Id="rId478" Type="http://schemas.openxmlformats.org/officeDocument/2006/relationships/hyperlink" Target="https://www.state.gov/the-united-states-announces-additional-humanitarian-assistance-for-the-people-of-ukraine/" TargetMode="External"/><Relationship Id="rId685" Type="http://schemas.openxmlformats.org/officeDocument/2006/relationships/hyperlink" Target="https://300gospodarka.pl/news/dworczyk-wartosc-polskiej-pomocy-militarnej-dla-ukrainy-to-juz-18-mld-euro" TargetMode="External"/><Relationship Id="rId892" Type="http://schemas.openxmlformats.org/officeDocument/2006/relationships/hyperlink" Target="https://www.defense.gov/News/Releases/Release/Article/3102984/270-million-in-additional-security-assistance-for-ukraine/" TargetMode="External"/><Relationship Id="rId2159" Type="http://schemas.openxmlformats.org/officeDocument/2006/relationships/hyperlink" Target="https://appropriations.house.gov/sites/democrats.appropriations.house.gov/files/Additional%20Ukraine%20Suplemental%20Appropriations%20Act%20Summary.pdf" TargetMode="External"/><Relationship Id="rId2366" Type="http://schemas.openxmlformats.org/officeDocument/2006/relationships/hyperlink" Target="https://ua.ambafrance.org/Dostavka-1000-t-francuz-koyi-gumaniitarnoyi-dopomogi-ukrayins-kim-adresatam-v" TargetMode="External"/><Relationship Id="rId2573"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780" Type="http://schemas.openxmlformats.org/officeDocument/2006/relationships/hyperlink" Target="https://crsreports.congress.gov/product/pdf/IF/IF12040" TargetMode="External"/><Relationship Id="rId3417" Type="http://schemas.openxmlformats.org/officeDocument/2006/relationships/hyperlink" Target="https://www.bundesregierung.de/breg-en/news/military-support-ukraine-2054992" TargetMode="External"/><Relationship Id="rId3624" Type="http://schemas.openxmlformats.org/officeDocument/2006/relationships/hyperlink" Target="https://www.bundesregierung.de/breg-en/news/military-support-ukraine-2054992" TargetMode="External"/><Relationship Id="rId3831" Type="http://schemas.openxmlformats.org/officeDocument/2006/relationships/hyperlink" Target="https://www.defense.gov/News/Releases/Release/Article/3367924/biden-administration-announces-additional-security-assistance-for-ukraine/" TargetMode="External"/><Relationship Id="rId338" Type="http://schemas.openxmlformats.org/officeDocument/2006/relationships/hyperlink" Target="https://edition.cnn.com/2022/04/09/europe/ukraine-uk-boris-johnson-intl-gbr/index.html" TargetMode="External"/><Relationship Id="rId545" Type="http://schemas.openxmlformats.org/officeDocument/2006/relationships/hyperlink" Target="https://www.globalcitizen.org/en/content/stand-up-for-ukraine-impact-report/" TargetMode="External"/><Relationship Id="rId752" Type="http://schemas.openxmlformats.org/officeDocument/2006/relationships/hyperlink" Target="https://www.defense.gov/News/Releases/Release/Article/2987119/defense-department-announces-300-million-in-additional-assistance-for-ukraine/" TargetMode="External"/><Relationship Id="rId1175" Type="http://schemas.openxmlformats.org/officeDocument/2006/relationships/hyperlink" Target="https://spectator.sme.sk/c/23092666/slovaka-will-provide-winter-package-for-ukraine.html" TargetMode="External"/><Relationship Id="rId1382" Type="http://schemas.openxmlformats.org/officeDocument/2006/relationships/hyperlink" Target="https://appropriations.house.gov/sites/democrats.appropriations.house.gov/files/Ukraine%20Supplemental%20Summary.pdf" TargetMode="External"/><Relationship Id="rId2019" Type="http://schemas.openxmlformats.org/officeDocument/2006/relationships/hyperlink" Target="https://crsreports.congress.gov/product/pdf/IF/IF12040" TargetMode="External"/><Relationship Id="rId2226" Type="http://schemas.openxmlformats.org/officeDocument/2006/relationships/hyperlink" Target="https://appropriations.house.gov/sites/democrats.appropriations.house.gov/files/Ukraine%20Supplemental%20Summary.pdf" TargetMode="External"/><Relationship Id="rId2433" Type="http://schemas.openxmlformats.org/officeDocument/2006/relationships/hyperlink" Target="https://www.reuters.com/world/europe/canadas-trudeau-announces-new-weapons-ukraine-visit-kyiv-2022-05-08/" TargetMode="External"/><Relationship Id="rId2640" Type="http://schemas.openxmlformats.org/officeDocument/2006/relationships/hyperlink" Target="https://dia.dp.gov.ua/en/luxembourg-will-be-with-ukraine-as-long-as-the-russian-war-continues/" TargetMode="External"/><Relationship Id="rId405" Type="http://schemas.openxmlformats.org/officeDocument/2006/relationships/hyperlink" Target="https://www.lesechos.fr/monde/enjeux-internationaux/la-france-renforce-son-soutien-militaire-a-lukraine-1389929" TargetMode="External"/><Relationship Id="rId612" Type="http://schemas.openxmlformats.org/officeDocument/2006/relationships/hyperlink" Target="https://pmtranscripts.pmc.gov.au/release/transcript-43831" TargetMode="External"/><Relationship Id="rId1035" Type="http://schemas.openxmlformats.org/officeDocument/2006/relationships/hyperlink" Target="https://edition.cnn.com/europe/live-news/russia-ukraine-war-news-08-25-22/index.html" TargetMode="External"/><Relationship Id="rId1242" Type="http://schemas.openxmlformats.org/officeDocument/2006/relationships/hyperlink" Target="https://www.hindustantimes.com/india-news/india-provides-7-725-kg-of-humanitarian-aid-to-ukraine-101651854620406.html" TargetMode="External"/><Relationship Id="rId2500" Type="http://schemas.openxmlformats.org/officeDocument/2006/relationships/hyperlink" Target="https://mil.in.ua/en/news/belgium-made-a-decision-to-hand-over-artillery-to-ukraine-the-media/" TargetMode="External"/><Relationship Id="rId4398" Type="http://schemas.openxmlformats.org/officeDocument/2006/relationships/hyperlink" Target="https://www.bundesregierung.de/resource/blob/975226/2189778/cdb664abe95e6fa74802882bd66ef771/2023-05-14-liste-ukr-unterstuetzung-data.pdf?download=1" TargetMode="External"/><Relationship Id="rId1102" Type="http://schemas.openxmlformats.org/officeDocument/2006/relationships/hyperlink" Target="https://www.gov.uk/government/news/uk-to-send-scores-of-artillery-guns-and-hundreds-of-drones-to-ukraine" TargetMode="External"/><Relationship Id="rId4258" Type="http://schemas.openxmlformats.org/officeDocument/2006/relationships/hyperlink" Target="https://web.archive.org/web/20230127053143/https:/www.government.is/topics/foreign-affairs/war-in-ukraine/" TargetMode="External"/><Relationship Id="rId4465" Type="http://schemas.openxmlformats.org/officeDocument/2006/relationships/hyperlink" Target="https://www.bundesregierung.de/resource/blob/975226/2189778/cdb664abe95e6fa74802882bd66ef771/2023-05-14-liste-ukr-unterstuetzung-data.pdf?download=1" TargetMode="External"/><Relationship Id="rId3067" Type="http://schemas.openxmlformats.org/officeDocument/2006/relationships/hyperlink" Target="https://delano.lu/article/luxembourg-delivering-substant" TargetMode="External"/><Relationship Id="rId3274" Type="http://schemas.openxmlformats.org/officeDocument/2006/relationships/hyperlink" Target="https://www.euractiv.com/section/politics/short_news/slovak-company-to-repair-ukrainian-military-vehicles/" TargetMode="External"/><Relationship Id="rId4118" Type="http://schemas.openxmlformats.org/officeDocument/2006/relationships/hyperlink" Target="https://mil.in.ua/en/news/estonia-provides-ukraine-with-new-military-aid-package/" TargetMode="External"/><Relationship Id="rId4672" Type="http://schemas.openxmlformats.org/officeDocument/2006/relationships/hyperlink" Target="https://www.state.gov/u-s-security-cooperation-with-ukraine/" TargetMode="External"/><Relationship Id="rId195" Type="http://schemas.openxmlformats.org/officeDocument/2006/relationships/hyperlink" Target="https://twitter.com/UAWeapons/status/1530575142115495937" TargetMode="External"/><Relationship Id="rId1919" Type="http://schemas.openxmlformats.org/officeDocument/2006/relationships/hyperlink" Target="https://appropriations.house.gov/sites/democrats.appropriations.house.gov/files/Ukraine%20Supplemental%20Summary%20FY23.pdf" TargetMode="External"/><Relationship Id="rId3481" Type="http://schemas.openxmlformats.org/officeDocument/2006/relationships/hyperlink" Target="https://www.bundesregierung.de/breg-en/news/military-support-ukraine-2054992" TargetMode="External"/><Relationship Id="rId4325" Type="http://schemas.openxmlformats.org/officeDocument/2006/relationships/hyperlink" Target="https://www.bundesregierung.de/resource/blob/975226/2189778/cdb664abe95e6fa74802882bd66ef771/2023-05-14-liste-ukr-unterstuetzung-data.pdf?download=1" TargetMode="External"/><Relationship Id="rId4532" Type="http://schemas.openxmlformats.org/officeDocument/2006/relationships/hyperlink" Target="https://www.defensa.gob.es/gabinete/notasPrensa/2023/05/DGC-230525-reunion-ramstein.html" TargetMode="External"/><Relationship Id="rId208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90" Type="http://schemas.openxmlformats.org/officeDocument/2006/relationships/hyperlink" Target="https://crsreports.congress.gov/product/pdf/IF/IF12040" TargetMode="External"/><Relationship Id="rId3134" Type="http://schemas.openxmlformats.org/officeDocument/2006/relationships/hyperlink" Target="https://www.bmwk.de/Redaktion/DE/Pressemitteilungen/2022/03/20220323-ukr-bundesregierung-fordert-kredite-an-kleine-und-mittelgrosse-unternehmen-in-der-ukraine.html" TargetMode="External"/><Relationship Id="rId3341" Type="http://schemas.openxmlformats.org/officeDocument/2006/relationships/hyperlink" Target="https://edition.cnn.com/2023/05/16/politics/patriot-missile-damage-ukraine/index.html" TargetMode="External"/><Relationship Id="rId262" Type="http://schemas.openxmlformats.org/officeDocument/2006/relationships/hyperlink" Target="https://www.teletrader.com/lithuania-to-give-ukraine-10m-in-military-aid/news/details/57547008?internal=1&amp;ts=1650527739811" TargetMode="External"/><Relationship Id="rId2150" Type="http://schemas.openxmlformats.org/officeDocument/2006/relationships/hyperlink" Target="https://appropriations.house.gov/sites/democrats.appropriations.house.gov/files/Ukraine%20Supplemental%20Summary.pdf" TargetMode="External"/><Relationship Id="rId3201" Type="http://schemas.openxmlformats.org/officeDocument/2006/relationships/hyperlink" Target="https://japan.kantei.go.jp/ongoingtopics/pdf/jp_stands_with_ukraine_eng.pdf" TargetMode="External"/><Relationship Id="rId122" Type="http://schemas.openxmlformats.org/officeDocument/2006/relationships/hyperlink" Target="https://www.defense.gouv.fr/terre/actualites/uiisc-1-3e-convoi-solidarite-lukraine" TargetMode="External"/><Relationship Id="rId2010" Type="http://schemas.openxmlformats.org/officeDocument/2006/relationships/hyperlink" Target="https://crsreports.congress.gov/product/pdf/IF/IF12040" TargetMode="External"/><Relationship Id="rId1569" Type="http://schemas.openxmlformats.org/officeDocument/2006/relationships/hyperlink" Target="https://appropriations.house.gov/sites/democrats.appropriations.house.gov/files/Additional%20Ukraine%20Suplemental%20Appropriations%20Act%20Summary.pdf" TargetMode="External"/><Relationship Id="rId2967" Type="http://schemas.openxmlformats.org/officeDocument/2006/relationships/hyperlink" Target="https://apnews.com/article/russia-ukraine-government-business-e38d0631cc5abadcf3a214366de679e2" TargetMode="External"/><Relationship Id="rId4182" Type="http://schemas.openxmlformats.org/officeDocument/2006/relationships/hyperlink" Target="https://www.armyrecognition.com/defense_news_april_2023_global_security_army_industry/greece_to_supply_ukraine_with_more_bmp-1_ifvs_and_artillery_ammunition.html" TargetMode="External"/><Relationship Id="rId939" Type="http://schemas.openxmlformats.org/officeDocument/2006/relationships/hyperlink" Target="https://www.taiwan.gov.tw/news.php" TargetMode="External"/><Relationship Id="rId1776" Type="http://schemas.openxmlformats.org/officeDocument/2006/relationships/hyperlink" Target="https://crsreports.congress.gov/product/pdf/IF/IF12040" TargetMode="External"/><Relationship Id="rId1983" Type="http://schemas.openxmlformats.org/officeDocument/2006/relationships/hyperlink" Target="https://crsreports.congress.gov/product/pdf/IF/IF12040" TargetMode="External"/><Relationship Id="rId2827" Type="http://schemas.openxmlformats.org/officeDocument/2006/relationships/hyperlink" Target="https://crsreports.congress.gov/product/pdf/IF/IF12040" TargetMode="External"/><Relationship Id="rId4042" Type="http://schemas.openxmlformats.org/officeDocument/2006/relationships/hyperlink" Target="https://www.defensie.nl/onderwerpen/oostflank-navo-gebied/militaire-steun-aan-oekraine" TargetMode="External"/><Relationship Id="rId68" Type="http://schemas.openxmlformats.org/officeDocument/2006/relationships/hyperlink" Target="https://www.reuters.com/world/europe/sweden-provide-ukraine-with-5000-more-anti-tank-weapons-tt-news-agency-2022-03-23/" TargetMode="External"/><Relationship Id="rId1429" Type="http://schemas.openxmlformats.org/officeDocument/2006/relationships/hyperlink" Target="https://appropriations.house.gov/sites/democrats.appropriations.house.gov/files/Ukraine%20Supplemental%20Summary.pdf" TargetMode="External"/><Relationship Id="rId1636" Type="http://schemas.openxmlformats.org/officeDocument/2006/relationships/hyperlink" Target="https://appropriations.house.gov/sites/democrats.appropriations.house.gov/files/Additional%20Ukraine%20Suplemental%20Appropriations%20Act%20Summary.pdf" TargetMode="External"/><Relationship Id="rId1843" Type="http://schemas.openxmlformats.org/officeDocument/2006/relationships/hyperlink" Target="https://appropriations.house.gov/sites/democrats.appropriations.house.gov/files/Summary%20Continuing%20Appropriations%20and%20Ukraine%20Supplemental%20Appropriations%20Act%202023.pdf" TargetMode="External"/><Relationship Id="rId1703" Type="http://schemas.openxmlformats.org/officeDocument/2006/relationships/hyperlink" Target="https://crsreports.congress.gov/product/pdf/IF/IF12040" TargetMode="External"/><Relationship Id="rId1910" Type="http://schemas.openxmlformats.org/officeDocument/2006/relationships/hyperlink" Target="https://appropriations.house.gov/sites/democrats.appropriations.house.gov/files/Ukraine%20Supplemental%20Summary%20FY23.pdf" TargetMode="External"/><Relationship Id="rId3668" Type="http://schemas.openxmlformats.org/officeDocument/2006/relationships/hyperlink" Target="https://um.dk/en/foreign-policy/danish-support-for-ukraine" TargetMode="External"/><Relationship Id="rId3875" Type="http://schemas.openxmlformats.org/officeDocument/2006/relationships/hyperlink" Target="https://www.defense.gov/News/Releases/Release/Article/3402206/biden-administration-announces-additional-security-assistance-for-ukraine/" TargetMode="External"/><Relationship Id="rId4719" Type="http://schemas.openxmlformats.org/officeDocument/2006/relationships/hyperlink" Target="https://www.bundesregierung.de/breg-en/news/military-support-ukraine-2054992" TargetMode="External"/><Relationship Id="rId589" Type="http://schemas.openxmlformats.org/officeDocument/2006/relationships/hyperlink" Target="https://mobile.twitter.com/AAhronheim/status/1498004573528772608" TargetMode="External"/><Relationship Id="rId796" Type="http://schemas.openxmlformats.org/officeDocument/2006/relationships/hyperlink" Target="https://www.defense.gov/News/Releases/Release/Article/3152071/675-million-in-additional-security-assistance-for-ukraine/" TargetMode="External"/><Relationship Id="rId2477" Type="http://schemas.openxmlformats.org/officeDocument/2006/relationships/hyperlink" Target="https://www.lecho.be/dossiers/conflit-ukraine-russie/ludivine-dedonder-la-belgique-va-octroyer-une-nouvelle-aide-militaire-a-l-ukraine/10414118.html" TargetMode="External"/><Relationship Id="rId2684" Type="http://schemas.openxmlformats.org/officeDocument/2006/relationships/hyperlink" Target="https://www.ukrinform.net/rubric-ato/3538884-lithuanian-president-announces-new-package-of-military-aid-to-ukraine.html" TargetMode="External"/><Relationship Id="rId3528" Type="http://schemas.openxmlformats.org/officeDocument/2006/relationships/hyperlink" Target="https://www.bundesregierung.de/breg-en/news/military-support-ukraine-2054992" TargetMode="External"/><Relationship Id="rId3735" Type="http://schemas.openxmlformats.org/officeDocument/2006/relationships/hyperlink" Target="https://www.government.se/government-policy/russias-invasion-of-ukraine/?page=2" TargetMode="External"/><Relationship Id="rId449" Type="http://schemas.openxmlformats.org/officeDocument/2006/relationships/hyperlink" Target="https://www.regjeringen.no/en/topics/foreign-affairs/humanitarian-efforts/neighbour_support/id2908141/" TargetMode="External"/><Relationship Id="rId656" Type="http://schemas.openxmlformats.org/officeDocument/2006/relationships/hyperlink" Target="https://www.defensie.nl/actueel/nieuws/2022/02/26/ook-antitankwapens-van-nederland-naar-oekraine" TargetMode="External"/><Relationship Id="rId863" Type="http://schemas.openxmlformats.org/officeDocument/2006/relationships/hyperlink" Target="https://www.thedefensepost.com/2022/08/19/estonia-aid-weapons-ukraine/" TargetMode="External"/><Relationship Id="rId1079" Type="http://schemas.openxmlformats.org/officeDocument/2006/relationships/hyperlink" Target="https://www.lejdd.fr/International/sebastien-lecornu-ministre-des-armees-nous-navons-pas-a-rougir-de-notre-aide-a-lukraine-4148779" TargetMode="External"/><Relationship Id="rId1286" Type="http://schemas.openxmlformats.org/officeDocument/2006/relationships/hyperlink" Target="https://www.bundesregierung.de/resource/blob/975226/2155792/c3dbab706421f63d3d612091e7ecad4c/2022-12-27-unterstuetzung-ukraine-breg-data.pdf?download=1%20Guten" TargetMode="External"/><Relationship Id="rId1493" Type="http://schemas.openxmlformats.org/officeDocument/2006/relationships/hyperlink" Target="https://appropriations.house.gov/sites/democrats.appropriations.house.gov/files/Ukraine%20Supplemental%20Summary.pdf" TargetMode="External"/><Relationship Id="rId2337" Type="http://schemas.openxmlformats.org/officeDocument/2006/relationships/hyperlink" Target="https://diplomatie.belgium.be/en/policy/policy-areas/highlighted/civilian-aid-ukraine-overview" TargetMode="External"/><Relationship Id="rId2544" Type="http://schemas.openxmlformats.org/officeDocument/2006/relationships/hyperlink" Target="https://diplomatie.belgium.be/en/policy/policy-areas/highlighted/civilian-aid-ukraine-overview" TargetMode="External"/><Relationship Id="rId2891" Type="http://schemas.openxmlformats.org/officeDocument/2006/relationships/hyperlink" Target="https://www.flightglobal.com/helicopters/czech-republic-sending-attack-helicopters-to-ukraine/148770.article" TargetMode="External"/><Relationship Id="rId3942" Type="http://schemas.openxmlformats.org/officeDocument/2006/relationships/hyperlink" Target="https://www.defense.gov/News/Releases/Release/Article/3350958/biden-administration-announces-additional-security-assistance-for-ukraine/" TargetMode="External"/><Relationship Id="rId309" Type="http://schemas.openxmlformats.org/officeDocument/2006/relationships/hyperlink" Target="https://www.nbp.pl/homen.aspx?f=/en/aktualnosci/2022/24.02-2.html" TargetMode="External"/><Relationship Id="rId516" Type="http://schemas.openxmlformats.org/officeDocument/2006/relationships/hyperlink" Target="https://www.defensa.gob.es/gabinete/notasPrensa/2022/04/DGC-220408-visita-centro-militar-farmacia.html" TargetMode="External"/><Relationship Id="rId1146" Type="http://schemas.openxmlformats.org/officeDocument/2006/relationships/hyperlink" Target="https://abcnews.go.com/International/wireStory/bulgarian-parliament-approves-military-aid-ukraine-94859655" TargetMode="External"/><Relationship Id="rId2751" Type="http://schemas.openxmlformats.org/officeDocument/2006/relationships/hyperlink" Target="https://www.defense.gov/News/Releases/Release/Article/3272866/biden-administration-announces-additional-security-assistance-for-ukraine/" TargetMode="External"/><Relationship Id="rId3802" Type="http://schemas.openxmlformats.org/officeDocument/2006/relationships/hyperlink" Target="https://www.state.gov/u-s-security-cooperation-with-ukraine/" TargetMode="External"/><Relationship Id="rId723" Type="http://schemas.openxmlformats.org/officeDocument/2006/relationships/hyperlink" Target="https://ukranews.com/en/news/868451-swedish-government-transferred-sek-577-7-million-to-help-afu" TargetMode="External"/><Relationship Id="rId930" Type="http://schemas.openxmlformats.org/officeDocument/2006/relationships/hyperlink" Target="https://mil.in.ua/en/news/the-ministry-of-defense-of-japan-will-hand-over-vans-and-drones-to-ukraine/" TargetMode="External"/><Relationship Id="rId1006" Type="http://schemas.openxmlformats.org/officeDocument/2006/relationships/hyperlink" Target="https://www.bbc.com/news/uk-61990479" TargetMode="External"/><Relationship Id="rId1353" Type="http://schemas.openxmlformats.org/officeDocument/2006/relationships/hyperlink" Target="https://ukranews.com/en/news/901542-ukraine-receives-eur-100-million-of-preferential-loan-from-france" TargetMode="External"/><Relationship Id="rId1560" Type="http://schemas.openxmlformats.org/officeDocument/2006/relationships/hyperlink" Target="https://appropriations.house.gov/sites/democrats.appropriations.house.gov/files/Additional%20Ukraine%20Suplemental%20Appropriations%20Act%20Summary.pdf" TargetMode="External"/><Relationship Id="rId2404" Type="http://schemas.openxmlformats.org/officeDocument/2006/relationships/hyperlink" Target="https://www.mofa.go.jp/press/release/press4e_003098.html" TargetMode="External"/><Relationship Id="rId2611" Type="http://schemas.openxmlformats.org/officeDocument/2006/relationships/hyperlink" Target="https://twitter.com/AnitaAnandMP/status/1646888145852538881?ref_src=twsrc%5Etfw%7Ctwcamp%5Etweetembed%7Ctwterm%5E1646888145852538881%7Ctwgr%5Edca336de433944b6a41333b9e5a95e4fe7eb2d42%7Ctwcon%5Es1_&amp;ref_url=https%3A%2F%2Fwww.thedefensepost.com%2F2023%2F04%2F17%2Fcanada-battle-tanks-ukraine%2F" TargetMode="External"/><Relationship Id="rId1213" Type="http://schemas.openxmlformats.org/officeDocument/2006/relationships/hyperlink" Target="https://www.defense.gov/News/Releases/Release/Article/3227217/400-million-in-additional-assistance-for-ukraine/" TargetMode="External"/><Relationship Id="rId1420" Type="http://schemas.openxmlformats.org/officeDocument/2006/relationships/hyperlink" Target="https://appropriations.house.gov/sites/democrats.appropriations.house.gov/files/Ukraine%20Supplemental%20Summary.pdf" TargetMode="External"/><Relationship Id="rId4369" Type="http://schemas.openxmlformats.org/officeDocument/2006/relationships/hyperlink" Target="https://www.bundesregierung.de/resource/blob/975226/2189778/cdb664abe95e6fa74802882bd66ef771/2023-05-14-liste-ukr-unterstuetzung-data.pdf?download=1" TargetMode="External"/><Relationship Id="rId4576" Type="http://schemas.openxmlformats.org/officeDocument/2006/relationships/hyperlink" Target="https://www.aa.com.tr/en/asia-pacific/new-zealand-increases-support-for-ukraine-extends-defense-forces-deployment-for-1-year/2887867" TargetMode="External"/><Relationship Id="rId4783" Type="http://schemas.openxmlformats.org/officeDocument/2006/relationships/hyperlink" Target="https://www.bundesregierung.de/breg-en/news/military-support-ukraine-2054992" TargetMode="External"/><Relationship Id="rId3178" Type="http://schemas.openxmlformats.org/officeDocument/2006/relationships/hyperlink" Target="https://www.pubaffairsbruxelles.eu/eu-institution-news/standing-with-the-ukrainian-people-eu-delivers-further-energy-support-for-the-winter/" TargetMode="External"/><Relationship Id="rId3385"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3592" Type="http://schemas.openxmlformats.org/officeDocument/2006/relationships/hyperlink" Target="https://www.eda.admin.ch/eda/en/fdfa/fdfa/aktuell/dossiers/krieg-gegen-ukraine.html" TargetMode="External"/><Relationship Id="rId4229" Type="http://schemas.openxmlformats.org/officeDocument/2006/relationships/hyperlink" Target="https://www.etterretningen.no/2022/06/10/norwegian-support-to-ukraine-and-neighbouring-countries/" TargetMode="External"/><Relationship Id="rId4436" Type="http://schemas.openxmlformats.org/officeDocument/2006/relationships/hyperlink" Target="https://www.bundesregierung.de/resource/blob/975226/2189778/cdb664abe95e6fa74802882bd66ef771/2023-05-14-liste-ukr-unterstuetzung-data.pdf?download=1" TargetMode="External"/><Relationship Id="rId4643" Type="http://schemas.openxmlformats.org/officeDocument/2006/relationships/hyperlink" Target="https://www.defensie.nl/onderwerpen/oostflank-navo-gebied/militaire-steun-aan-oekraine" TargetMode="External"/><Relationship Id="rId2194" Type="http://schemas.openxmlformats.org/officeDocument/2006/relationships/hyperlink" Target="https://appropriations.house.gov/sites/democrats.appropriations.house.gov/files/Additional%20Ukraine%20Suplemental%20Appropriations%20Act%20Summary.pdf" TargetMode="External"/><Relationship Id="rId3038" Type="http://schemas.openxmlformats.org/officeDocument/2006/relationships/hyperlink" Target="https://www.pravda.com.ua/eng/news/2023/02/16/7389716/" TargetMode="External"/><Relationship Id="rId3245" Type="http://schemas.openxmlformats.org/officeDocument/2006/relationships/hyperlink" Target="https://en.mofa.gov.tw/News_Content.aspx?n=1328&amp;sms=273&amp;s=97920" TargetMode="External"/><Relationship Id="rId3452" Type="http://schemas.openxmlformats.org/officeDocument/2006/relationships/hyperlink" Target="https://www.bundesregierung.de/breg-en/news/military-support-ukraine-2054992" TargetMode="External"/><Relationship Id="rId4503" Type="http://schemas.openxmlformats.org/officeDocument/2006/relationships/hyperlink" Target="https://www.afad.gov.tr/turkiyeden-ukrayna-halkina-yardim-eli" TargetMode="External"/><Relationship Id="rId4710" Type="http://schemas.openxmlformats.org/officeDocument/2006/relationships/hyperlink" Target="https://www.bundesregierung.de/breg-en/news/military-support-ukraine-2054992" TargetMode="External"/><Relationship Id="rId166" Type="http://schemas.openxmlformats.org/officeDocument/2006/relationships/hyperlink" Target="https://www.defensie.nl/onderwerpen/oostflank-navo-gebied/wat-doet-nederland" TargetMode="External"/><Relationship Id="rId373" Type="http://schemas.openxmlformats.org/officeDocument/2006/relationships/hyperlink" Target="https://mfa.gov.cy/press-releases/2022/03/09/cyprus-humanitarian-aid-to-ukraine/" TargetMode="External"/><Relationship Id="rId580" Type="http://schemas.openxmlformats.org/officeDocument/2006/relationships/hyperlink" Target="https://admin.globalcitizen.org/en/content/australia-aid-ukraine/?edit" TargetMode="External"/><Relationship Id="rId205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61" Type="http://schemas.openxmlformats.org/officeDocument/2006/relationships/hyperlink" Target="https://crsreports.congress.gov/product/pdf/IF/IF12040" TargetMode="External"/><Relationship Id="rId3105" Type="http://schemas.openxmlformats.org/officeDocument/2006/relationships/hyperlink" Target="https://www.government.nl/latest/news/2022/12/23/netherlands-support-ukraine-2023-news" TargetMode="External"/><Relationship Id="rId3312" Type="http://schemas.openxmlformats.org/officeDocument/2006/relationships/hyperlink" Target="https://www.government.se/articles/2022/11/government-to-send-record-support-package-to-ukraine/" TargetMode="External"/><Relationship Id="rId233" Type="http://schemas.openxmlformats.org/officeDocument/2006/relationships/hyperlink" Target="https://vlada.gov.hr/news/croatia-sending-emergency-aid-to-ukraine/33960" TargetMode="External"/><Relationship Id="rId440" Type="http://schemas.openxmlformats.org/officeDocument/2006/relationships/hyperlink" Target="https://www.regjeringen.no/en/aktuelt/air-defense-system-to-ukraine/id2908807/" TargetMode="External"/><Relationship Id="rId1070" Type="http://schemas.openxmlformats.org/officeDocument/2006/relationships/hyperlink" Target="https://www.consilium.europa.eu/en/press/press-releases/2022/10/17/ukraine-council-agrees-on-further-support-under-the-european-peace-facility/" TargetMode="External"/><Relationship Id="rId2121" Type="http://schemas.openxmlformats.org/officeDocument/2006/relationships/hyperlink" Target="https://appropriations.house.gov/sites/democrats.appropriations.house.gov/files/Additional%20Ukraine%20Suplemental%20Appropriations%20Act%20Summary.pdf" TargetMode="External"/><Relationship Id="rId300" Type="http://schemas.openxmlformats.org/officeDocument/2006/relationships/hyperlink" Target="https://czechdaily.cz/the-czech-republic-is-sending-thousands-of-artillery-shells-to-ukraine/" TargetMode="External"/><Relationship Id="rId4086" Type="http://schemas.openxmlformats.org/officeDocument/2006/relationships/hyperlink" Target="https://www.bmeia.gv.at/en/the-ministry/press/news/2023/03/eu-member-states-send-a-clear-signal-to-ukrainian-partners-during-foreign-affairs-council/" TargetMode="External"/><Relationship Id="rId1887" Type="http://schemas.openxmlformats.org/officeDocument/2006/relationships/hyperlink" Target="https://appropriations.house.gov/sites/democrats.appropriations.house.gov/files/Ukraine%20Supplemental%20Summary%20FY23.pdf" TargetMode="External"/><Relationship Id="rId2938" Type="http://schemas.openxmlformats.org/officeDocument/2006/relationships/hyperlink" Target="https://www.gov.uk/government/news/joint-statement-the-tallinn-pledge?utm_source=miragenews&amp;utm_medium=miragenews&amp;utm_campaign=news" TargetMode="External"/><Relationship Id="rId4293" Type="http://schemas.openxmlformats.org/officeDocument/2006/relationships/hyperlink" Target="https://www.bundesregierung.de/breg-en/news/military-support-ukraine-2054992" TargetMode="External"/><Relationship Id="rId1747" Type="http://schemas.openxmlformats.org/officeDocument/2006/relationships/hyperlink" Target="https://crsreports.congress.gov/product/pdf/IF/IF12040" TargetMode="External"/><Relationship Id="rId1954" Type="http://schemas.openxmlformats.org/officeDocument/2006/relationships/hyperlink" Target="https://crsreports.congress.gov/product/pdf/IF/IF12040" TargetMode="External"/><Relationship Id="rId4153" Type="http://schemas.openxmlformats.org/officeDocument/2006/relationships/hyperlink" Target="https://mil.in.ua/uk/news/estoniya-nadsylaye-ukrayini-artylerijski-boyeprypasy/" TargetMode="External"/><Relationship Id="rId4360" Type="http://schemas.openxmlformats.org/officeDocument/2006/relationships/hyperlink" Target="https://www.bundesregierung.de/resource/blob/975226/2189778/cdb664abe95e6fa74802882bd66ef771/2023-05-14-liste-ukr-unterstuetzung-data.pdf?download=1" TargetMode="External"/><Relationship Id="rId39" Type="http://schemas.openxmlformats.org/officeDocument/2006/relationships/hyperlink" Target="https://www.bmi.gv.at/news.aspx?id=69543149763057644C4C633D" TargetMode="External"/><Relationship Id="rId1607" Type="http://schemas.openxmlformats.org/officeDocument/2006/relationships/hyperlink" Target="https://appropriations.house.gov/sites/democrats.appropriations.house.gov/files/Additional%20Ukraine%20Suplemental%20Appropriations%20Act%20Summary.pdf" TargetMode="External"/><Relationship Id="rId1814" Type="http://schemas.openxmlformats.org/officeDocument/2006/relationships/hyperlink" Target="https://appropriations.house.gov/sites/democrats.appropriations.house.gov/files/Ukraine%20Supplemental%20Summary%20FY23.pdf" TargetMode="External"/><Relationship Id="rId4013" Type="http://schemas.openxmlformats.org/officeDocument/2006/relationships/hyperlink" Target="https://finmin.lrv.lt/lt/naujienos/lietuva-per-pasaulio-banka-skiria-5-mln-euru-skubiems-ukrainos-atstatymo-darbams" TargetMode="External"/><Relationship Id="rId4220" Type="http://schemas.openxmlformats.org/officeDocument/2006/relationships/hyperlink" Target="https://gov.ro/en/news/medical-equipment-and-medicines-donated-by-romania-in-support-of-ukraine&amp;page=13" TargetMode="External"/><Relationship Id="rId3779" Type="http://schemas.openxmlformats.org/officeDocument/2006/relationships/hyperlink" Target="https://www.defense.gov/News/Releases/Release/Article/3334472/dod-announces-additional-security-assistance-for-ukraine/" TargetMode="External"/><Relationship Id="rId2588" Type="http://schemas.openxmlformats.org/officeDocument/2006/relationships/hyperlink" Target="https://www.premier.be/sites/default/files/articles/BE%20support%20militaire.pdf" TargetMode="External"/><Relationship Id="rId3986" Type="http://schemas.openxmlformats.org/officeDocument/2006/relationships/hyperlink" Target="https://www.brusselstimes.com/411153/belgian-to-send-240-military-trucks-to-ukraine" TargetMode="External"/><Relationship Id="rId1397" Type="http://schemas.openxmlformats.org/officeDocument/2006/relationships/hyperlink" Target="https://appropriations.house.gov/sites/democrats.appropriations.house.gov/files/Ukraine%20Supplemental%20Summary.pdf" TargetMode="External"/><Relationship Id="rId2795" Type="http://schemas.openxmlformats.org/officeDocument/2006/relationships/hyperlink" Target="https://www.defense.gov/News/Releases/Release/Article/3287992/biden-administration-announces-additional-security-assistance-for-ukraine/" TargetMode="External"/><Relationship Id="rId3639" Type="http://schemas.openxmlformats.org/officeDocument/2006/relationships/hyperlink" Target="https://www.foxnews.com/world/south-korea-sigsn-130m-financial-package-ukraine" TargetMode="External"/><Relationship Id="rId3846" Type="http://schemas.openxmlformats.org/officeDocument/2006/relationships/hyperlink" Target="https://www.state.gov/u-s-security-cooperation-with-ukraine/" TargetMode="External"/><Relationship Id="rId767" Type="http://schemas.openxmlformats.org/officeDocument/2006/relationships/hyperlink" Target="https://www.reuters.com/world/europe/swedish-pm-sets-out-further-military-aid-package-ukraine-2022-08-29/" TargetMode="External"/><Relationship Id="rId974" Type="http://schemas.openxmlformats.org/officeDocument/2006/relationships/hyperlink" Target="http://web.archive.org/web/20221220221320/https:/www.austria.org/ukraine" TargetMode="External"/><Relationship Id="rId2448" Type="http://schemas.openxmlformats.org/officeDocument/2006/relationships/hyperlink" Target="https://www.bmeia.gv.at/en/austrian-embassy-to-lithuania/news/detail/article/austria-stands-with-ukraine-as-long-as-it-takes/" TargetMode="External"/><Relationship Id="rId2655" Type="http://schemas.openxmlformats.org/officeDocument/2006/relationships/hyperlink" Target="https://www.infodefensa.com/texto-diario/mostrar/3822103/defensa-da-luz-verde-donacion-10-carros-combate-leopard-2a4-20-m113-ucrania" TargetMode="External"/><Relationship Id="rId2862" Type="http://schemas.openxmlformats.org/officeDocument/2006/relationships/hyperlink" Target="https://www.defense.gov/News/Releases/Release/Article/3287992/biden-administration-announces-additional-security-assistance-for-ukraine/" TargetMode="External"/><Relationship Id="rId3706" Type="http://schemas.openxmlformats.org/officeDocument/2006/relationships/hyperlink" Target="https://www.defmin.fi/en/topical/press_releases_and_news/finland_continues_to_support_ukraine.13553.news" TargetMode="External"/><Relationship Id="rId3913" Type="http://schemas.openxmlformats.org/officeDocument/2006/relationships/hyperlink" Target="https://www.defense.gov/News/Releases/Release/Article/3350958/biden-administration-announces-additional-security-assistance-for-ukraine/" TargetMode="External"/><Relationship Id="rId627" Type="http://schemas.openxmlformats.org/officeDocument/2006/relationships/hyperlink" Target="https://ec.europa.eu/echo/news-stories/news/ukraine-eu-delivers-additional-assistance-rescue-vehicles-and-emergency-equipment-2022-03-25_de" TargetMode="External"/><Relationship Id="rId834" Type="http://schemas.openxmlformats.org/officeDocument/2006/relationships/hyperlink" Target="https://www.defense.gov/News/Releases/Release/Article/3173378/11-billion-in-additional-security-assistance-for-ukraine/" TargetMode="External"/><Relationship Id="rId1257" Type="http://schemas.openxmlformats.org/officeDocument/2006/relationships/hyperlink" Target="https://telex.hu/kulfold/2022/02/27/magyarorszag-100-ezer-liter-uzemanyagot-adomanyozott-karpataljanak" TargetMode="External"/><Relationship Id="rId1464" Type="http://schemas.openxmlformats.org/officeDocument/2006/relationships/hyperlink" Target="https://appropriations.house.gov/sites/democrats.appropriations.house.gov/files/Ukraine%20Supplemental%20Summary.pdf" TargetMode="External"/><Relationship Id="rId1671" Type="http://schemas.openxmlformats.org/officeDocument/2006/relationships/hyperlink" Target="https://crsreports.congress.gov/product/pdf/IF/IF12040" TargetMode="External"/><Relationship Id="rId2308" Type="http://schemas.openxmlformats.org/officeDocument/2006/relationships/hyperlink" Target="https://appropriations.house.gov/sites/democrats.appropriations.house.gov/files/Ukraine%20Supplemental%20Summary%20FY23.pdf" TargetMode="External"/><Relationship Id="rId2515" Type="http://schemas.openxmlformats.org/officeDocument/2006/relationships/hyperlink" Target="https://mil.in.ua/en/news/belgium-made-a-decision-to-hand-over-artillery-to-ukraine-the-media/" TargetMode="External"/><Relationship Id="rId2722" Type="http://schemas.openxmlformats.org/officeDocument/2006/relationships/hyperlink" Target="https://www.regjeringen.no/en/aktuelt/brusselnyhet/id2963053/" TargetMode="External"/><Relationship Id="rId901" Type="http://schemas.openxmlformats.org/officeDocument/2006/relationships/hyperlink" Target="https://cphpost.dk/?p=133294" TargetMode="External"/><Relationship Id="rId1117" Type="http://schemas.openxmlformats.org/officeDocument/2006/relationships/hyperlink" Target="https://twitter.com/a_anusauskas/status/1596199415714566144" TargetMode="External"/><Relationship Id="rId1324" Type="http://schemas.openxmlformats.org/officeDocument/2006/relationships/hyperlink" Target="https://www.dnevnik.bg/politika/2022/12/16/4429086_bulgariia_shte_izprati_voenna_pomosht_za_ukraina_za_20/" TargetMode="External"/><Relationship Id="rId1531" Type="http://schemas.openxmlformats.org/officeDocument/2006/relationships/hyperlink" Target="https://appropriations.house.gov/sites/democrats.appropriations.house.gov/files/Additional%20Ukraine%20Suplemental%20Appropriations%20Act%20Summary.pdf" TargetMode="External"/><Relationship Id="rId4687" Type="http://schemas.openxmlformats.org/officeDocument/2006/relationships/hyperlink" Target="https://www.bundesregierung.de/breg-en/news/military-support-ukraine-2054992" TargetMode="External"/><Relationship Id="rId30" Type="http://schemas.openxmlformats.org/officeDocument/2006/relationships/hyperlink" Target="https://www.thelocal.es/20220421/spain-sends-200-tonnes-of-military-material-to-ukraine-pm/" TargetMode="External"/><Relationship Id="rId3289" Type="http://schemas.openxmlformats.org/officeDocument/2006/relationships/hyperlink" Target="https://www.rijksoverheid.nl/onderwerpen/russische-inval-in-oekraine/nieuws/2022/03/02/nederland-levert-medicijnen-en-medische-hulpgoederen-aan-oekraine" TargetMode="External"/><Relationship Id="rId3496" Type="http://schemas.openxmlformats.org/officeDocument/2006/relationships/hyperlink" Target="https://www.bundesregierung.de/breg-en/news/military-support-ukraine-2054992" TargetMode="External"/><Relationship Id="rId4547" Type="http://schemas.openxmlformats.org/officeDocument/2006/relationships/hyperlink" Target="https://www.defense.gov/News/Releases/Release/Article/3308633/biden-administration-announces-additional-security-assistance-for-ukraine/" TargetMode="External"/><Relationship Id="rId4754" Type="http://schemas.openxmlformats.org/officeDocument/2006/relationships/hyperlink" Target="https://www.bundesregierung.de/breg-en/news/military-support-ukraine-2054992" TargetMode="External"/><Relationship Id="rId2098" Type="http://schemas.openxmlformats.org/officeDocument/2006/relationships/hyperlink" Target="https://appropriations.house.gov/sites/democrats.appropriations.house.gov/files/Ukraine%20Supplemental%20Summary.pdf" TargetMode="External"/><Relationship Id="rId3149" Type="http://schemas.openxmlformats.org/officeDocument/2006/relationships/hyperlink" Target="https://www.ebrd.com/what-we-do/war-on-ukraine/donor-support.html" TargetMode="External"/><Relationship Id="rId3356" Type="http://schemas.openxmlformats.org/officeDocument/2006/relationships/hyperlink" Target="https://defence-blog.com/paladin-self-propelled-howitzers-arrive-in-ukraine/" TargetMode="External"/><Relationship Id="rId3563" Type="http://schemas.openxmlformats.org/officeDocument/2006/relationships/hyperlink" Target="https://www.vlada.cz/cz/media-centrum/aktualne/informace-v-souvislosti-s-invazi-ruska-na-ukrajinu-194507/" TargetMode="External"/><Relationship Id="rId4407" Type="http://schemas.openxmlformats.org/officeDocument/2006/relationships/hyperlink" Target="https://www.bundesregierung.de/resource/blob/975226/2189778/cdb664abe95e6fa74802882bd66ef771/2023-05-14-liste-ukr-unterstuetzung-data.pdf?download=1" TargetMode="External"/><Relationship Id="rId277" Type="http://schemas.openxmlformats.org/officeDocument/2006/relationships/hyperlink" Target="https://www.canada.ca/en/department-national-defence/news/2022/01/canada-extends-and-expands-military-and-other-support-for-the-security-of-ukraine.html" TargetMode="External"/><Relationship Id="rId484" Type="http://schemas.openxmlformats.org/officeDocument/2006/relationships/hyperlink" Target="https://bntnews.bg/news/kakva-tochno-pomosht-shte-predostavi-balgariya-na-ukraina-1193662news.html" TargetMode="External"/><Relationship Id="rId2165" Type="http://schemas.openxmlformats.org/officeDocument/2006/relationships/hyperlink" Target="https://appropriations.house.gov/sites/democrats.appropriations.house.gov/files/Additional%20Ukraine%20Suplemental%20Appropriations%20Act%20Summary.pdf" TargetMode="External"/><Relationship Id="rId3009" Type="http://schemas.openxmlformats.org/officeDocument/2006/relationships/hyperlink" Target="https://www.gov.uk/government/news/joint-statement-the-tallinn-pledge?utm_source=miragenews&amp;utm_medium=miragenews&amp;utm_campaign=news" TargetMode="External"/><Relationship Id="rId3216" Type="http://schemas.openxmlformats.org/officeDocument/2006/relationships/hyperlink" Target="https://ukdefencejournal.org.uk/britain-to-donate-more-air-defence-missiles-to-ukraine/" TargetMode="External"/><Relationship Id="rId3770" Type="http://schemas.openxmlformats.org/officeDocument/2006/relationships/hyperlink" Target="https://www.state.gov/u-s-security-cooperation-with-ukraine/" TargetMode="External"/><Relationship Id="rId4614" Type="http://schemas.openxmlformats.org/officeDocument/2006/relationships/hyperlink" Target="https://web.archive.org/web/20230524183203/https:/www.defesa.gov.pt/pt/comunicacao/documentos/Lists/PDEFINTER_DocumentoLookupList/apoio_militar_Portugal_Ucrania_20230503.pdf" TargetMode="External"/><Relationship Id="rId4821" Type="http://schemas.openxmlformats.org/officeDocument/2006/relationships/hyperlink" Target="https://www.bundesregierung.de/breg-en/news/military-support-ukraine-2054992" TargetMode="External"/><Relationship Id="rId137" Type="http://schemas.openxmlformats.org/officeDocument/2006/relationships/hyperlink" Target="https://www.defmin.fi/ajankohtaista/tiedotteet_ja_uutiset/suomi_toimittaa_lisaa_puolustustarvikeapua_ukrainaan.13184.news" TargetMode="External"/><Relationship Id="rId344" Type="http://schemas.openxmlformats.org/officeDocument/2006/relationships/hyperlink" Target="https://www.gov.uk/government/news/uk-sets-out-new-multi-million-dollar-economic-package-of-support-for-ukraine" TargetMode="External"/><Relationship Id="rId691" Type="http://schemas.openxmlformats.org/officeDocument/2006/relationships/hyperlink" Target="https://www.euractiv.com/section/politics/short_news/slovenia-sends-military-aid-including-weapons-to-ukraine/" TargetMode="External"/><Relationship Id="rId2025" Type="http://schemas.openxmlformats.org/officeDocument/2006/relationships/hyperlink" Target="https://crsreports.congress.gov/product/pdf/IF/IF12040" TargetMode="External"/><Relationship Id="rId2372" Type="http://schemas.openxmlformats.org/officeDocument/2006/relationships/hyperlink" Target="https://www.connexionfrance.com/article/French-news/Humanitarian-ship-for-Ukraine-leaves-French-port-with-8m-of-aid" TargetMode="External"/><Relationship Id="rId3423" Type="http://schemas.openxmlformats.org/officeDocument/2006/relationships/hyperlink" Target="https://www.bundesregierung.de/breg-en/news/military-support-ukraine-2054992" TargetMode="External"/><Relationship Id="rId3630" Type="http://schemas.openxmlformats.org/officeDocument/2006/relationships/hyperlink" Target="https://www.bundesregierung.de/breg-en/news/military-support-ukraine-2054992" TargetMode="External"/><Relationship Id="rId551" Type="http://schemas.openxmlformats.org/officeDocument/2006/relationships/hyperlink" Target="https://tvpworld.com/59620451/eu-allocates-additional-eur-500-million-to-aid-ukraine" TargetMode="External"/><Relationship Id="rId1181" Type="http://schemas.openxmlformats.org/officeDocument/2006/relationships/hyperlink" Target="https://www.mosr.sk/52244-en/bvp-1-pre-ukrajinu-su-odovzdane-leopardy-pre-nasu-obranu-pridu-uz-coskoro/" TargetMode="External"/><Relationship Id="rId2232" Type="http://schemas.openxmlformats.org/officeDocument/2006/relationships/hyperlink" Target="https://appropriations.house.gov/sites/democrats.appropriations.house.gov/files/Ukraine%20Supplemental%20Summary.pdf" TargetMode="External"/><Relationship Id="rId204" Type="http://schemas.openxmlformats.org/officeDocument/2006/relationships/hyperlink" Target="https://www.mod.bg/bg/news.php?&amp;fn_page=2" TargetMode="External"/><Relationship Id="rId411" Type="http://schemas.openxmlformats.org/officeDocument/2006/relationships/hyperlink" Target="https://twitter.com/PremierRP_en/status/1510971075936542726" TargetMode="External"/><Relationship Id="rId1041" Type="http://schemas.openxmlformats.org/officeDocument/2006/relationships/hyperlink" Target="https://www.defensa.gob.es/gabinete/notasPrensa/2022/11/DGC-221110-sesion-ucrania.html" TargetMode="External"/><Relationship Id="rId1998" Type="http://schemas.openxmlformats.org/officeDocument/2006/relationships/hyperlink" Target="https://crsreports.congress.gov/product/pdf/IF/IF12040" TargetMode="External"/><Relationship Id="rId4197" Type="http://schemas.openxmlformats.org/officeDocument/2006/relationships/hyperlink" Target="https://www.ansa.it/english/news/general_news/2023/03/19/group-of-ukrainian-soldiers-trained-in-italy_d0f5b34d-e898-4977-a4c2-731f181bb7ff.html" TargetMode="External"/><Relationship Id="rId1858" Type="http://schemas.openxmlformats.org/officeDocument/2006/relationships/hyperlink" Target="https://appropriations.house.gov/sites/democrats.appropriations.house.gov/files/Summary%20Continuing%20Appropriations%20and%20Ukraine%20Supplemental%20Appropriations%20Act%202023.pdf" TargetMode="External"/><Relationship Id="rId4057" Type="http://schemas.openxmlformats.org/officeDocument/2006/relationships/hyperlink" Target="https://www.weaponstoukraine.com/kampane/viktor-mobile-air-defense-for-ukraine" TargetMode="External"/><Relationship Id="rId4264" Type="http://schemas.openxmlformats.org/officeDocument/2006/relationships/hyperlink" Target="https://web.archive.org/web/20220516160332/https:/www.government.is/topics/foreign-affairs/war-in-ukraine/" TargetMode="External"/><Relationship Id="rId4471" Type="http://schemas.openxmlformats.org/officeDocument/2006/relationships/hyperlink" Target="https://www.bundesregierung.de/resource/blob/975226/2189778/cdb664abe95e6fa74802882bd66ef771/2023-05-14-liste-ukr-unterstuetzung-data.pdf?download=1" TargetMode="External"/><Relationship Id="rId2909" Type="http://schemas.openxmlformats.org/officeDocument/2006/relationships/hyperlink" Target="https://english.nv.ua/nation/czech-republic-prepares-new-military-aid-package-for-ukraine-50278050.html" TargetMode="External"/><Relationship Id="rId3073" Type="http://schemas.openxmlformats.org/officeDocument/2006/relationships/hyperlink" Target="https://www.reuters.com/world/europe/polish-leopard-tanks-are-already-ukraine-defence-minister-says-2023-02-24/" TargetMode="External"/><Relationship Id="rId3280" Type="http://schemas.openxmlformats.org/officeDocument/2006/relationships/hyperlink" Target="https://www.mod.gov.lv/lv/zinas/latvija-piegada-ukrainai-sesas-pasgajejhaubices-m109a5oe" TargetMode="External"/><Relationship Id="rId4124" Type="http://schemas.openxmlformats.org/officeDocument/2006/relationships/hyperlink" Target="https://babel.ua/en/news/90987-estonia-handed-over-another-military-aid-to-ukraine" TargetMode="External"/><Relationship Id="rId4331" Type="http://schemas.openxmlformats.org/officeDocument/2006/relationships/hyperlink" Target="https://www.bundesregierung.de/resource/blob/975226/2189778/cdb664abe95e6fa74802882bd66ef771/2023-05-14-liste-ukr-unterstuetzung-data.pdf?download=1" TargetMode="External"/><Relationship Id="rId1718" Type="http://schemas.openxmlformats.org/officeDocument/2006/relationships/hyperlink" Target="https://crsreports.congress.gov/product/pdf/IF/IF12040" TargetMode="External"/><Relationship Id="rId1925" Type="http://schemas.openxmlformats.org/officeDocument/2006/relationships/hyperlink" Target="https://appropriations.house.gov/sites/democrats.appropriations.house.gov/files/Ukraine%20Supplemental%20Summary%20FY23.pdf" TargetMode="External"/><Relationship Id="rId3140" Type="http://schemas.openxmlformats.org/officeDocument/2006/relationships/hyperlink" Target="https://twitter.com/vonderleyen/status/1621220820579229696?cxt=HHwWgIC9keXv3f8sAAAA" TargetMode="External"/><Relationship Id="rId2699" Type="http://schemas.openxmlformats.org/officeDocument/2006/relationships/hyperlink" Target="https://www.oireachtas.ie/en/debates/question/2023-01-31/102/" TargetMode="External"/><Relationship Id="rId3000" Type="http://schemas.openxmlformats.org/officeDocument/2006/relationships/hyperlink" Target="https://www.publico.pt/2023/01/20/mundo/noticia/zelensky-portugal-disponivel-enviar-tanques-2035760" TargetMode="External"/><Relationship Id="rId3957" Type="http://schemas.openxmlformats.org/officeDocument/2006/relationships/hyperlink" Target="https://www.state.gov/u-s-security-cooperation-with-ukraine/" TargetMode="External"/><Relationship Id="rId878" Type="http://schemas.openxmlformats.org/officeDocument/2006/relationships/hyperlink" Target="https://mil.in.ua/en/news/the-ministry-of-defense-of-japan-will-hand-over-vans-and-drones-to-ukraine/" TargetMode="External"/><Relationship Id="rId2559" Type="http://schemas.openxmlformats.org/officeDocument/2006/relationships/hyperlink" Target="https://diplomatie.belgium.be/en/policy/policy-areas/highlighted/civilian-aid-ukraine-overview" TargetMode="External"/><Relationship Id="rId2766" Type="http://schemas.openxmlformats.org/officeDocument/2006/relationships/hyperlink" Target="https://crsreports.congress.gov/product/pdf/IF/IF12040" TargetMode="External"/><Relationship Id="rId2973" Type="http://schemas.openxmlformats.org/officeDocument/2006/relationships/hyperlink" Target="https://english.nv.ua/nation/greece-hands-over-armored-vehicles-and-ammunition-to-ukraine-news-50304298.html" TargetMode="External"/><Relationship Id="rId3817" Type="http://schemas.openxmlformats.org/officeDocument/2006/relationships/hyperlink" Target="https://www.defense.gov/News/Releases/Release/Article/3350958/biden-administration-announces-additional-security-assistance-for-ukraine/" TargetMode="External"/><Relationship Id="rId738" Type="http://schemas.openxmlformats.org/officeDocument/2006/relationships/hyperlink" Target="https://www.regjeringen.no/en/aktuelt/norwegian-support-for-farmers/id2911804/" TargetMode="External"/><Relationship Id="rId945" Type="http://schemas.openxmlformats.org/officeDocument/2006/relationships/hyperlink" Target="https://www.interieur.gouv.fr/actualites/dossiers/situation-en-ukraine/solidarite-nationale-envers-lukraine-second-convoi-de" TargetMode="External"/><Relationship Id="rId1368" Type="http://schemas.openxmlformats.org/officeDocument/2006/relationships/hyperlink" Target="https://appropriations.house.gov/sites/democrats.appropriations.house.gov/files/Ukraine%20Supplemental%20Summary.pdf" TargetMode="External"/><Relationship Id="rId1575" Type="http://schemas.openxmlformats.org/officeDocument/2006/relationships/hyperlink" Target="https://appropriations.house.gov/sites/democrats.appropriations.house.gov/files/Additional%20Ukraine%20Suplemental%20Appropriations%20Act%20Summary.pdf" TargetMode="External"/><Relationship Id="rId1782" Type="http://schemas.openxmlformats.org/officeDocument/2006/relationships/hyperlink" Target="https://crsreports.congress.gov/product/pdf/IF/IF12040" TargetMode="External"/><Relationship Id="rId2419" Type="http://schemas.openxmlformats.org/officeDocument/2006/relationships/hyperlink" Target="https://www.vienna.at/oesterreich-schickt-medizinische-hilfsgueter-in-die-ukraine/7304494" TargetMode="External"/><Relationship Id="rId2626" Type="http://schemas.openxmlformats.org/officeDocument/2006/relationships/hyperlink" Target="https://twitter.com/a_anusauskas/status/1616083097296211969?cxt=HHwWgsDU3ffAve0sAAAA" TargetMode="External"/><Relationship Id="rId2833" Type="http://schemas.openxmlformats.org/officeDocument/2006/relationships/hyperlink" Target="https://www.defense.gov/News/Releases/Release/Article/3302787/biden-administration-announces-additional-security-assistance-for-ukraine/" TargetMode="External"/><Relationship Id="rId74" Type="http://schemas.openxmlformats.org/officeDocument/2006/relationships/hyperlink" Target="https://torontosun.com/news/national/canada-shipping-20000-rounds-of-artillery-ammunition-to-ukraine" TargetMode="External"/><Relationship Id="rId805" Type="http://schemas.openxmlformats.org/officeDocument/2006/relationships/hyperlink" Target="https://www.defense.gov/News/Releases/Release/Article/3160503/600-million-in-additional-security-assistance-for-ukraine/" TargetMode="External"/><Relationship Id="rId1228" Type="http://schemas.openxmlformats.org/officeDocument/2006/relationships/hyperlink" Target="https://www.spiegel.de/international/poland-s-prime-minister-on-ukraine-war-and-energy-crisis-a-aabb65a3-e0ba-4ba8-9f0c-1c967874e8b5" TargetMode="External"/><Relationship Id="rId1435" Type="http://schemas.openxmlformats.org/officeDocument/2006/relationships/hyperlink" Target="https://appropriations.house.gov/sites/democrats.appropriations.house.gov/files/Ukraine%20Supplemental%20Summary.pdf" TargetMode="External"/><Relationship Id="rId4798" Type="http://schemas.openxmlformats.org/officeDocument/2006/relationships/hyperlink" Target="https://www.bundesregierung.de/breg-en/news/military-support-ukraine-2054992" TargetMode="External"/><Relationship Id="rId1642" Type="http://schemas.openxmlformats.org/officeDocument/2006/relationships/hyperlink" Target="https://appropriations.house.gov/sites/democrats.appropriations.house.gov/files/Additional%20Ukraine%20Suplemental%20Appropriations%20Act%20Summary.pdf" TargetMode="External"/><Relationship Id="rId2900" Type="http://schemas.openxmlformats.org/officeDocument/2006/relationships/hyperlink" Target="https://english.nv.ua/nation/czech-republic-prepares-new-military-aid-package-for-ukraine-50278050.html" TargetMode="External"/><Relationship Id="rId1502" Type="http://schemas.openxmlformats.org/officeDocument/2006/relationships/hyperlink" Target="https://appropriations.house.gov/sites/democrats.appropriations.house.gov/files/Ukraine%20Supplemental%20Summary.pdf" TargetMode="External"/><Relationship Id="rId4658" Type="http://schemas.openxmlformats.org/officeDocument/2006/relationships/hyperlink" Target="https://www.reuters.com/world/europe/polish-leopard-tanks-are-already-ukraine-defence-minister-says-2023-02-24/" TargetMode="External"/><Relationship Id="rId388" Type="http://schemas.openxmlformats.org/officeDocument/2006/relationships/hyperlink" Target="https://www.ukrinform.net/rubric-ato/3462246-japan-to-extend-300-million-in-loans-to-ukraine.html" TargetMode="External"/><Relationship Id="rId2069" Type="http://schemas.openxmlformats.org/officeDocument/2006/relationships/hyperlink" Target="https://appropriations.house.gov/sites/democrats.appropriations.house.gov/files/Ukraine%20Supplemental%20Summary%20FY23.pdf" TargetMode="External"/><Relationship Id="rId3467" Type="http://schemas.openxmlformats.org/officeDocument/2006/relationships/hyperlink" Target="https://www.bundesregierung.de/breg-en/news/military-support-ukraine-2054992" TargetMode="External"/><Relationship Id="rId3674" Type="http://schemas.openxmlformats.org/officeDocument/2006/relationships/hyperlink" Target="https://www.defensie.nl/actueel/nieuws/2023/02/07/nederland-koopt-leopard-1-tanks-voor-oekraine" TargetMode="External"/><Relationship Id="rId3881" Type="http://schemas.openxmlformats.org/officeDocument/2006/relationships/hyperlink" Target="https://www.state.gov/u-s-security-cooperation-with-ukraine/" TargetMode="External"/><Relationship Id="rId4518" Type="http://schemas.openxmlformats.org/officeDocument/2006/relationships/hyperlink" Target="https://www.bundesregierung.de/resource/blob/975226/2189778/cdb664abe95e6fa74802882bd66ef771/2023-05-14-liste-ukr-unterstuetzung-data.pdf?download=1" TargetMode="External"/><Relationship Id="rId4725" Type="http://schemas.openxmlformats.org/officeDocument/2006/relationships/hyperlink" Target="https://www.bundesregierung.de/breg-en/news/military-support-ukraine-2054992" TargetMode="External"/><Relationship Id="rId595" Type="http://schemas.openxmlformats.org/officeDocument/2006/relationships/hyperlink" Target="https://europe-cities.com/2022/04/30/us-pressuring-portugal-to-cede-armored-vehicles-to-ukraine/" TargetMode="External"/><Relationship Id="rId2276" Type="http://schemas.openxmlformats.org/officeDocument/2006/relationships/hyperlink" Target="https://crsreports.congress.gov/product/pdf/IF/IF12040" TargetMode="External"/><Relationship Id="rId2483" Type="http://schemas.openxmlformats.org/officeDocument/2006/relationships/hyperlink" Target="https://en.interfax.com.ua/news/general/859303.html" TargetMode="External"/><Relationship Id="rId2690" Type="http://schemas.openxmlformats.org/officeDocument/2006/relationships/hyperlink" Target="https://ukdefencejournal.org.uk/britain-sending-anti-aircraft-and-javelin-missiles-to-ukraine/" TargetMode="External"/><Relationship Id="rId3327" Type="http://schemas.openxmlformats.org/officeDocument/2006/relationships/hyperlink" Target="https://de.ambafrance.org/Bilan-de-l-aide-apportee-par-la-France-a-l-Ukraine-fevrier-2023" TargetMode="External"/><Relationship Id="rId3534" Type="http://schemas.openxmlformats.org/officeDocument/2006/relationships/hyperlink" Target="https://www.bundesregierung.de/breg-en/news/military-support-ukraine-2054992" TargetMode="External"/><Relationship Id="rId3741" Type="http://schemas.openxmlformats.org/officeDocument/2006/relationships/hyperlink" Target="https://www.government.se/press-releases/2023/01/sweden-and-finland-cooperate-on-additional-support-package-for-ukraine/" TargetMode="External"/><Relationship Id="rId248" Type="http://schemas.openxmlformats.org/officeDocument/2006/relationships/hyperlink" Target="https://hr.n1info.com/english/news/croatia-sends-emergency-aid-worth-e1-2m-to-ukraine-in-wake-of-russias-invasion/" TargetMode="External"/><Relationship Id="rId455" Type="http://schemas.openxmlformats.org/officeDocument/2006/relationships/hyperlink" Target="https://www.defensenews.com/global/asia-pacific/2022/04/13/new-zealand-bolsters-support-for-ukraine/" TargetMode="External"/><Relationship Id="rId662" Type="http://schemas.openxmlformats.org/officeDocument/2006/relationships/hyperlink" Target="https://www.koreatimes.co.kr/www/nation/2022/06/113_330680.html" TargetMode="External"/><Relationship Id="rId1085" Type="http://schemas.openxmlformats.org/officeDocument/2006/relationships/hyperlink" Target="https://valtioneuvosto.fi/-/10616/hallitus-antoi-eduskunnalle-lisatalousarvioesityksen-2" TargetMode="External"/><Relationship Id="rId1292" Type="http://schemas.openxmlformats.org/officeDocument/2006/relationships/hyperlink" Target="https://www.gov.uk/government/news/uk-to-give-air-defence-missiles-to-help-ukraine-defend-against-rockets" TargetMode="External"/><Relationship Id="rId2136" Type="http://schemas.openxmlformats.org/officeDocument/2006/relationships/hyperlink" Target="https://crsreports.congress.gov/product/pdf/IF/IF12040" TargetMode="External"/><Relationship Id="rId2343" Type="http://schemas.openxmlformats.org/officeDocument/2006/relationships/hyperlink" Target="https://um.dk/en/foreign-policy/danish-support-for-ukraine" TargetMode="External"/><Relationship Id="rId2550" Type="http://schemas.openxmlformats.org/officeDocument/2006/relationships/hyperlink" Target="https://www.lecho.be/dossiers/conflit-ukraine-russie/ludivine-dedonder-la-belgique-va-octroyer-une-nouvelle-aide-militaire-a-l-ukraine/10414118.html" TargetMode="External"/><Relationship Id="rId3601" Type="http://schemas.openxmlformats.org/officeDocument/2006/relationships/hyperlink" Target="https://www.defensenews.com/global/europe/2022/02/04/turkey-and-ukraine-to-coproduce-tb2-drones/" TargetMode="External"/><Relationship Id="rId108" Type="http://schemas.openxmlformats.org/officeDocument/2006/relationships/hyperlink" Target="https://www.globaldefensecorp.com/2022/03/04/denmark-delivered-2700-anti-tank-rockets-and-300-stinger-missiles-to-ukraine/" TargetMode="External"/><Relationship Id="rId315" Type="http://schemas.openxmlformats.org/officeDocument/2006/relationships/hyperlink" Target="https://www.romania-insider.com/ro-aid-ukraine-sanctions-feb-28-2022" TargetMode="External"/><Relationship Id="rId522" Type="http://schemas.openxmlformats.org/officeDocument/2006/relationships/hyperlink" Target="https://www.news.az/news/sweden-pledges-additional-23-million-for-humanitarian-actions-in-ukraine" TargetMode="External"/><Relationship Id="rId1152" Type="http://schemas.openxmlformats.org/officeDocument/2006/relationships/hyperlink" Target="https://kaitseministeerium.ee/et/uudised/eesti-saadab-ukrainale-taas-sojavarustust" TargetMode="External"/><Relationship Id="rId2203" Type="http://schemas.openxmlformats.org/officeDocument/2006/relationships/hyperlink" Target="https://appropriations.house.gov/sites/democrats.appropriations.house.gov/files/Ukraine%20Supplemental%20Summary.pdf" TargetMode="External"/><Relationship Id="rId2410" Type="http://schemas.openxmlformats.org/officeDocument/2006/relationships/hyperlink" Target="https://kaitseministeerium.ee/en/news/estonia-donated-missiles-anti-tank-weapon-system-javelin-ukraine" TargetMode="External"/><Relationship Id="rId1012" Type="http://schemas.openxmlformats.org/officeDocument/2006/relationships/hyperlink" Target="https://www.regeringen.dk/nyheder/2022/ny-massiv-donationspakke-til-ukraine/" TargetMode="External"/><Relationship Id="rId4168" Type="http://schemas.openxmlformats.org/officeDocument/2006/relationships/hyperlink" Target="https://www.youtube.com/watch?v=A1nTsblXabc" TargetMode="External"/><Relationship Id="rId4375" Type="http://schemas.openxmlformats.org/officeDocument/2006/relationships/hyperlink" Target="https://www.bundesregierung.de/resource/blob/975226/2189778/cdb664abe95e6fa74802882bd66ef771/2023-05-14-liste-ukr-unterstuetzung-data.pdf?download=1" TargetMode="External"/><Relationship Id="rId1969" Type="http://schemas.openxmlformats.org/officeDocument/2006/relationships/hyperlink" Target="https://crsreports.congress.gov/product/pdf/IF/IF12040" TargetMode="External"/><Relationship Id="rId3184" Type="http://schemas.openxmlformats.org/officeDocument/2006/relationships/hyperlink" Target="https://um.dk/en/foreign-policy/danish-support-for-ukraine" TargetMode="External"/><Relationship Id="rId4028" Type="http://schemas.openxmlformats.org/officeDocument/2006/relationships/hyperlink" Target="https://www.defensie.nl/actueel/nieuws/2022/12/16/waarde-van-militaire-steun-aan-oekraine-nadert-1-miljard" TargetMode="External"/><Relationship Id="rId4235" Type="http://schemas.openxmlformats.org/officeDocument/2006/relationships/hyperlink" Target="https://www.energy-community.org/news/Energy-Community-News/2023/02/03a.html" TargetMode="External"/><Relationship Id="rId4582" Type="http://schemas.openxmlformats.org/officeDocument/2006/relationships/hyperlink" Target="https://www.aa.com.tr/en/asia-pacific/new-zealand-increases-support-for-ukraine-extends-defense-forces-deployment-for-1-year/2887867" TargetMode="External"/><Relationship Id="rId1829" Type="http://schemas.openxmlformats.org/officeDocument/2006/relationships/hyperlink" Target="https://appropriations.house.gov/sites/democrats.appropriations.house.gov/files/Summary%20Continuing%20Appropriations%20and%20Ukraine%20Supplemental%20Appropriations%20Act%202023.pdf" TargetMode="External"/><Relationship Id="rId3391" Type="http://schemas.openxmlformats.org/officeDocument/2006/relationships/hyperlink" Target="https://www.bmwk.de/Redaktion/DE/Downloads/U/unterstuetzung-ukraine.pdf?__blob=publicationFile&amp;v=10" TargetMode="External"/><Relationship Id="rId4442" Type="http://schemas.openxmlformats.org/officeDocument/2006/relationships/hyperlink" Target="https://www.bundesregierung.de/resource/blob/975226/2189778/cdb664abe95e6fa74802882bd66ef771/2023-05-14-liste-ukr-unterstuetzung-data.pdf?download=1" TargetMode="External"/><Relationship Id="rId3044" Type="http://schemas.openxmlformats.org/officeDocument/2006/relationships/hyperlink" Target="https://www.gov.uk/government/news/pm-to-tell-g7-leaders-we-must-end-putins-stranglehold-on-food-prices" TargetMode="External"/><Relationship Id="rId3251" Type="http://schemas.openxmlformats.org/officeDocument/2006/relationships/hyperlink" Target="https://taiwantoday.tw/news.php?unit=2&amp;post=218088" TargetMode="External"/><Relationship Id="rId4302" Type="http://schemas.openxmlformats.org/officeDocument/2006/relationships/hyperlink" Target="https://mil.in.ua/en/news/the-netherlands-to-allocate-e-20-million-to-ukraine-through-the-nato-trust-fund/" TargetMode="External"/><Relationship Id="rId172" Type="http://schemas.openxmlformats.org/officeDocument/2006/relationships/hyperlink" Target="https://gagadget.com/en/149656-poland-transferred-40-bmp-1-combat-vehicles-to-ukraine/" TargetMode="External"/><Relationship Id="rId2060"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11" Type="http://schemas.openxmlformats.org/officeDocument/2006/relationships/hyperlink" Target="https://www.koreatimes.co.kr/www/nation/2023/02/120_346069.html" TargetMode="External"/><Relationship Id="rId989" Type="http://schemas.openxmlformats.org/officeDocument/2006/relationships/hyperlink" Target="https://www.youtube.com/watch?v=D59VdvNdPwo&amp;t=2s&amp;ab_channel=NATONews" TargetMode="External"/><Relationship Id="rId2877" Type="http://schemas.openxmlformats.org/officeDocument/2006/relationships/hyperlink" Target="https://www.reuters.com/world/europe/czech-republic-sends-tanks-ukraine-czech-tv-reports-2022-04-05/" TargetMode="External"/><Relationship Id="rId849" Type="http://schemas.openxmlformats.org/officeDocument/2006/relationships/hyperlink" Target="https://fakty.com.ua/en/ukraine/20220926-lytva-postavyla-ukrayini-50-btr-m113-glava-minoborony/" TargetMode="External"/><Relationship Id="rId1479" Type="http://schemas.openxmlformats.org/officeDocument/2006/relationships/hyperlink" Target="https://appropriations.house.gov/sites/democrats.appropriations.house.gov/files/Ukraine%20Supplemental%20Summary.pdf" TargetMode="External"/><Relationship Id="rId1686" Type="http://schemas.openxmlformats.org/officeDocument/2006/relationships/hyperlink" Target="https://crsreports.congress.gov/product/pdf/IF/IF12040" TargetMode="External"/><Relationship Id="rId3928" Type="http://schemas.openxmlformats.org/officeDocument/2006/relationships/hyperlink" Target="https://www.defense.gov/News/Releases/Release/Article/3350958/biden-administration-announces-additional-security-assistance-for-ukraine/" TargetMode="External"/><Relationship Id="rId4092" Type="http://schemas.openxmlformats.org/officeDocument/2006/relationships/hyperlink" Target="https://www.ukrinform.net/rubric-polytics/3691796-croatia-to-allocate-eur-500000-in-aid-to-ukraine.html" TargetMode="External"/><Relationship Id="rId1339" Type="http://schemas.openxmlformats.org/officeDocument/2006/relationships/hyperlink" Target="https://www.gov.si/en/news/2022-12-30-minister-fajon-hands-over-two-ambulances-for-ukraine/" TargetMode="External"/><Relationship Id="rId1893" Type="http://schemas.openxmlformats.org/officeDocument/2006/relationships/hyperlink" Target="https://appropriations.house.gov/sites/democrats.appropriations.house.gov/files/Ukraine%20Supplemental%20Summary%20FY23.pdf" TargetMode="External"/><Relationship Id="rId2737" Type="http://schemas.openxmlformats.org/officeDocument/2006/relationships/hyperlink" Target="https://www.reuters.com/world/europe/swiss-prepare-new-140-million-franc-aid-package-ukraine-moldova-2023-02-22/" TargetMode="External"/><Relationship Id="rId2944" Type="http://schemas.openxmlformats.org/officeDocument/2006/relationships/hyperlink" Target="https://valitsus.ee/en/news/estonias-military-support-ukraine-will-increase-more-1-gdp" TargetMode="External"/><Relationship Id="rId709" Type="http://schemas.openxmlformats.org/officeDocument/2006/relationships/hyperlink" Target="https://www.gov.si/en/news/2022-02-26-humanitarian-contribution-of-the-republic-of-slovenia-to-the-people-of-ukraine/" TargetMode="External"/><Relationship Id="rId916" Type="http://schemas.openxmlformats.org/officeDocument/2006/relationships/hyperlink" Target="https://www.youtube.com/watch?v=vzENx6dTpqY" TargetMode="External"/><Relationship Id="rId1546" Type="http://schemas.openxmlformats.org/officeDocument/2006/relationships/hyperlink" Target="https://appropriations.house.gov/sites/democrats.appropriations.house.gov/files/Additional%20Ukraine%20Suplemental%20Appropriations%20Act%20Summary.pdf" TargetMode="External"/><Relationship Id="rId1753" Type="http://schemas.openxmlformats.org/officeDocument/2006/relationships/hyperlink" Target="https://crsreports.congress.gov/product/pdf/IF/IF12040" TargetMode="External"/><Relationship Id="rId1960" Type="http://schemas.openxmlformats.org/officeDocument/2006/relationships/hyperlink" Target="https://crsreports.congress.gov/product/pdf/IF/IF12040" TargetMode="External"/><Relationship Id="rId2804" Type="http://schemas.openxmlformats.org/officeDocument/2006/relationships/hyperlink" Target="https://crsreports.congress.gov/product/pdf/IF/IF12040" TargetMode="External"/><Relationship Id="rId45" Type="http://schemas.openxmlformats.org/officeDocument/2006/relationships/hyperlink" Target="https://torontosun.com/news/national/canada-shipping-20000-rounds-of-artillery-ammunition-to-ukraine" TargetMode="External"/><Relationship Id="rId1406" Type="http://schemas.openxmlformats.org/officeDocument/2006/relationships/hyperlink" Target="https://appropriations.house.gov/sites/democrats.appropriations.house.gov/files/Ukraine%20Supplemental%20Summary.pdf" TargetMode="External"/><Relationship Id="rId1613" Type="http://schemas.openxmlformats.org/officeDocument/2006/relationships/hyperlink" Target="https://appropriations.house.gov/sites/democrats.appropriations.house.gov/files/Additional%20Ukraine%20Suplemental%20Appropriations%20Act%20Summary.pdf" TargetMode="External"/><Relationship Id="rId1820" Type="http://schemas.openxmlformats.org/officeDocument/2006/relationships/hyperlink" Target="https://appropriations.house.gov/sites/democrats.appropriations.house.gov/files/Summary%20Continuing%20Appropriations%20and%20Ukraine%20Supplemental%20Appropriations%20Act%202023.pdf" TargetMode="External"/><Relationship Id="rId4769" Type="http://schemas.openxmlformats.org/officeDocument/2006/relationships/hyperlink" Target="https://www.bundesregierung.de/breg-en/news/military-support-ukraine-2054992" TargetMode="External"/><Relationship Id="rId3578" Type="http://schemas.openxmlformats.org/officeDocument/2006/relationships/hyperlink" Target="https://www.lemonde.fr/en/international/article/2023/03/17/after-poland-slovakia-to-give-ukraine-soviet-era-mig-29-jets_6019765_4.html" TargetMode="External"/><Relationship Id="rId3785" Type="http://schemas.openxmlformats.org/officeDocument/2006/relationships/hyperlink" Target="https://www.state.gov/u-s-security-cooperation-with-ukraine/" TargetMode="External"/><Relationship Id="rId3992" Type="http://schemas.openxmlformats.org/officeDocument/2006/relationships/hyperlink" Target="https://pm.gc.ca/en/news/news-releases/2022/10/28/prime-minister-announces-new-measures-support-ukraine" TargetMode="External"/><Relationship Id="rId4629" Type="http://schemas.openxmlformats.org/officeDocument/2006/relationships/hyperlink" Target="https://bnn.network/breaking-news/war/spain-and-portugal-to-provide-military-aid-to-ukraine-amid-ongoing-conflict/" TargetMode="External"/><Relationship Id="rId4836" Type="http://schemas.openxmlformats.org/officeDocument/2006/relationships/hyperlink" Target="https://crsreports.congress.gov/product/pdf/IF/IF12040" TargetMode="External"/><Relationship Id="rId499" Type="http://schemas.openxmlformats.org/officeDocument/2006/relationships/hyperlink" Target="https://www.ukrinform.net/rubric-ato/3491327-canada-to-give-ukraine-over-20000-155-mm-shells.html" TargetMode="External"/><Relationship Id="rId2387" Type="http://schemas.openxmlformats.org/officeDocument/2006/relationships/hyperlink" Target="https://www.euronews.com/2022/09/29/cargo-ship-with-1000-tonnes-of-ukraine-aid-sets-sail-from-marseille" TargetMode="External"/><Relationship Id="rId2594" Type="http://schemas.openxmlformats.org/officeDocument/2006/relationships/hyperlink" Target="https://www.premier.be/sites/default/files/articles/BE%20support%20militaire.pdf" TargetMode="External"/><Relationship Id="rId3438" Type="http://schemas.openxmlformats.org/officeDocument/2006/relationships/hyperlink" Target="https://www.bundesregierung.de/breg-en/news/military-support-ukraine-2054992" TargetMode="External"/><Relationship Id="rId3645" Type="http://schemas.openxmlformats.org/officeDocument/2006/relationships/hyperlink" Target="https://ua.ambafrance.org/Franciiya-peredala-Ukrayinii-drugu-LAB-DNA-uniikal-ne-u-sviitii-obladnannya" TargetMode="External"/><Relationship Id="rId3852" Type="http://schemas.openxmlformats.org/officeDocument/2006/relationships/hyperlink" Target="https://www.state.gov/u-s-security-cooperation-with-ukraine/" TargetMode="External"/><Relationship Id="rId359" Type="http://schemas.openxmlformats.org/officeDocument/2006/relationships/hyperlink" Target="https://www.gov.si/en/news/2022-04-06-eu-directors-general-for-development-cooperation-on-coordination-of-assistance-for-ukraine/" TargetMode="External"/><Relationship Id="rId566" Type="http://schemas.openxmlformats.org/officeDocument/2006/relationships/hyperlink" Target="https://www.reuters.com/world/europe/spain-deliver-anti-aircraft-missiles-tanks-ukraine-el-pais-2022-06-05/" TargetMode="External"/><Relationship Id="rId773" Type="http://schemas.openxmlformats.org/officeDocument/2006/relationships/hyperlink" Target="https://www.gov.uk/government/news/prime-minister-tells-ukraine-they-will-win-as-he-marks-independence-day-24-august-2022" TargetMode="External"/><Relationship Id="rId1196" Type="http://schemas.openxmlformats.org/officeDocument/2006/relationships/hyperlink" Target="https://appropriations.house.gov/sites/democrats.appropriations.house.gov/files/Ukraine%20Supplemental%20Summary.pdf" TargetMode="External"/><Relationship Id="rId2247" Type="http://schemas.openxmlformats.org/officeDocument/2006/relationships/hyperlink" Target="https://crsreports.congress.gov/product/pdf/IF/IF12040" TargetMode="External"/><Relationship Id="rId2454" Type="http://schemas.openxmlformats.org/officeDocument/2006/relationships/hyperlink" Target="https://twitter.com/alexanderdecroo/status/1497542000228417537" TargetMode="External"/><Relationship Id="rId3505" Type="http://schemas.openxmlformats.org/officeDocument/2006/relationships/hyperlink" Target="https://www.bundesregierung.de/breg-en/news/military-support-ukraine-2054992" TargetMode="External"/><Relationship Id="rId219" Type="http://schemas.openxmlformats.org/officeDocument/2006/relationships/hyperlink" Target="https://crsreports.congress.gov/product/pdf/IF/IF12040" TargetMode="External"/><Relationship Id="rId426" Type="http://schemas.openxmlformats.org/officeDocument/2006/relationships/hyperlink" Target="https://www.minister.industry.gov.au/ministers/pitt/media-releases/whitehaven-assist-ukraine-request-provide-energy-security" TargetMode="External"/><Relationship Id="rId633" Type="http://schemas.openxmlformats.org/officeDocument/2006/relationships/hyperlink" Target="https://www.gov.uk/government/news/prime-minister-pledges-uks-unwavering-support-to-ukraine-on-visit-to-kyiv-9-april-2022" TargetMode="External"/><Relationship Id="rId980" Type="http://schemas.openxmlformats.org/officeDocument/2006/relationships/hyperlink" Target="https://twitter.com/a_anusauskas/status/1592084804501401604" TargetMode="External"/><Relationship Id="rId1056" Type="http://schemas.openxmlformats.org/officeDocument/2006/relationships/hyperlink" Target="https://news.err.ee/1608742171/estonia-sends-more-ammunition-protective-equipment-to-ukraine" TargetMode="External"/><Relationship Id="rId1263" Type="http://schemas.openxmlformats.org/officeDocument/2006/relationships/hyperlink" Target="https://twitter.com/PrimeministerGR/status/1504800257447706626?ref_src=twsrc%5Etfw%7Ctwcamp%5Etweetembed%7Ctwterm%5E1504800257447706626%7Ctwgr%5E%7Ctwcon%5Es1_&amp;ref_url=https%3A%2F%2Fwww.keeptalkinggreece.com%2F2022%2F03%2F18%2Fgreece-rebuild-maternity-hospital-mariupol%2F" TargetMode="External"/><Relationship Id="rId2107" Type="http://schemas.openxmlformats.org/officeDocument/2006/relationships/hyperlink" Target="https://appropriations.house.gov/sites/democrats.appropriations.house.gov/files/Ukraine%20Supplemental%20Summary.pdf" TargetMode="External"/><Relationship Id="rId2314" Type="http://schemas.openxmlformats.org/officeDocument/2006/relationships/hyperlink" Target="https://crsreports.congress.gov/product/pdf/IF/IF12040" TargetMode="External"/><Relationship Id="rId2661" Type="http://schemas.openxmlformats.org/officeDocument/2006/relationships/hyperlink" Target="https://www.gov.uk/government/speeches/defence-secretary-oral-statement-on-war-in-ukraine--2" TargetMode="External"/><Relationship Id="rId3712" Type="http://schemas.openxmlformats.org/officeDocument/2006/relationships/hyperlink" Target="https://www.mofa.go.jp/press/release/press1e_000403.html" TargetMode="External"/><Relationship Id="rId840" Type="http://schemas.openxmlformats.org/officeDocument/2006/relationships/hyperlink" Target="https://www.defense.gov/News/Releases/Release/Article/3160503/600-million-in-additional-security-assistance-for-ukraine/" TargetMode="External"/><Relationship Id="rId1470" Type="http://schemas.openxmlformats.org/officeDocument/2006/relationships/hyperlink" Target="https://appropriations.house.gov/sites/democrats.appropriations.house.gov/files/Ukraine%20Supplemental%20Summary.pdf" TargetMode="External"/><Relationship Id="rId2521" Type="http://schemas.openxmlformats.org/officeDocument/2006/relationships/hyperlink" Target="https://mil.in.ua/en/news/belgium-made-a-decision-to-hand-over-artillery-to-ukraine-the-media/" TargetMode="External"/><Relationship Id="rId4279" Type="http://schemas.openxmlformats.org/officeDocument/2006/relationships/hyperlink" Target="https://bnr.bg/en/post/101821892/the-czech-republic-provides-ukraine-with-two-soviet-era-2k12-kub-air-defense-systems" TargetMode="External"/><Relationship Id="rId700" Type="http://schemas.openxmlformats.org/officeDocument/2006/relationships/hyperlink" Target="https://www.defense.gov/News/Releases/Release/Article/3081993/820-million-in-additional-security-assistance-for-ukraine/" TargetMode="External"/><Relationship Id="rId1123" Type="http://schemas.openxmlformats.org/officeDocument/2006/relationships/hyperlink" Target="https://twitter.com/a_anusauskas/status/1596869391974813698" TargetMode="External"/><Relationship Id="rId1330" Type="http://schemas.openxmlformats.org/officeDocument/2006/relationships/hyperlink" Target="https://mil.in.ua/en/news/croatia-plans-to-provide-ukraine-with-e3-million-for-demining/" TargetMode="External"/><Relationship Id="rId3088" Type="http://schemas.openxmlformats.org/officeDocument/2006/relationships/hyperlink" Target="https://www.worldbank.org/en/country/ukraine/brief/world-bank-emergency-financing-package-for-ukraine" TargetMode="External"/><Relationship Id="rId4486" Type="http://schemas.openxmlformats.org/officeDocument/2006/relationships/hyperlink" Target="https://lb.ua/society/2023/03/16/549063_litva_novomu_paketi_dopomogi.html" TargetMode="External"/><Relationship Id="rId4693" Type="http://schemas.openxmlformats.org/officeDocument/2006/relationships/hyperlink" Target="https://www.bundesregierung.de/breg-en/news/military-support-ukraine-2054992" TargetMode="External"/><Relationship Id="rId3295" Type="http://schemas.openxmlformats.org/officeDocument/2006/relationships/hyperlink" Target="https://www.euractiv.com/section/politics/short_news/lithuanian-government-approves-e10-million-package-to-help-rebuild-ukraine/" TargetMode="External"/><Relationship Id="rId4139" Type="http://schemas.openxmlformats.org/officeDocument/2006/relationships/hyperlink" Target="https://www.armyrecognition.com/defense_news_march_2023_global_security_army_industry/estonia_to_send_more_sako_sniper_rifles_and_special_forces_equipment_to_ukraine.html" TargetMode="External"/><Relationship Id="rId4346" Type="http://schemas.openxmlformats.org/officeDocument/2006/relationships/hyperlink" Target="https://www.bundesregierung.de/resource/blob/975226/2189778/cdb664abe95e6fa74802882bd66ef771/2023-05-14-liste-ukr-unterstuetzung-data.pdf?download=1" TargetMode="External"/><Relationship Id="rId4553" Type="http://schemas.openxmlformats.org/officeDocument/2006/relationships/hyperlink" Target="https://www.defense.gov/News/Releases/Release/Article/3308633/biden-administration-announces-additional-security-assistance-for-ukraine/" TargetMode="External"/><Relationship Id="rId4760" Type="http://schemas.openxmlformats.org/officeDocument/2006/relationships/hyperlink" Target="https://www.bundesregierung.de/breg-en/news/military-support-ukraine-2054992" TargetMode="External"/><Relationship Id="rId3155" Type="http://schemas.openxmlformats.org/officeDocument/2006/relationships/hyperlink" Target="https://www.defense.gov/News/Releases/Release/Article/3277443/biden-administration-announces-additional-security-assistance-for-ukraine/" TargetMode="External"/><Relationship Id="rId3362"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4206" Type="http://schemas.openxmlformats.org/officeDocument/2006/relationships/hyperlink" Target="https://www.esteri.it/en/sala_stampa/archivionotizie/comunicati/2023/04/comunicato-congiunto-italia-ucraina-in-occasione-della-conferenza-sulla-ricostruzione-dellucraina-roma-26-aprile-2023/" TargetMode="External"/><Relationship Id="rId4413" Type="http://schemas.openxmlformats.org/officeDocument/2006/relationships/hyperlink" Target="https://www.bundesregierung.de/resource/blob/975226/2189778/cdb664abe95e6fa74802882bd66ef771/2023-05-14-liste-ukr-unterstuetzung-data.pdf?download=1" TargetMode="External"/><Relationship Id="rId4620" Type="http://schemas.openxmlformats.org/officeDocument/2006/relationships/hyperlink" Target="https://web.archive.org/web/20230524183203/https:/www.defesa.gov.pt/pt/comunicacao/documentos/Lists/PDEFINTER_DocumentoLookupList/apoio_militar_Portugal_Ucrania_20230503.pdf" TargetMode="External"/><Relationship Id="rId283" Type="http://schemas.openxmlformats.org/officeDocument/2006/relationships/hyperlink" Target="https://www.canada.ca/en/department-national-defence/news/2022/03/defence-minister-anand-announces-additional-military-support-to-ukraine.html?msclkid=50865665ab9011ecbb2d77d3ecd6e3a6" TargetMode="External"/><Relationship Id="rId490" Type="http://schemas.openxmlformats.org/officeDocument/2006/relationships/hyperlink" Target="https://www.stuff.co.nz/national/300597643/new-zealand-soldiers-excited-to-assist-ukraine-with-light-gun-training" TargetMode="External"/><Relationship Id="rId2171" Type="http://schemas.openxmlformats.org/officeDocument/2006/relationships/hyperlink" Target="https://appropriations.house.gov/sites/democrats.appropriations.house.gov/files/Additional%20Ukraine%20Suplemental%20Appropriations%20Act%20Summary.pdf" TargetMode="External"/><Relationship Id="rId3015" Type="http://schemas.openxmlformats.org/officeDocument/2006/relationships/hyperlink" Target="https://slovenia.mfa.gov.ua/news/29-grudnya-posol-ukrayini-taran-ta-ministr-infrastrukturi-sloveniyi-bkumer-vzyali-uchast-u-ceremoniyi-vidpravki-vzhe-4go-vantazhu-z-energetichnim-obladnannyam-dlya-ukrayini" TargetMode="External"/><Relationship Id="rId3222" Type="http://schemas.openxmlformats.org/officeDocument/2006/relationships/hyperlink" Target="https://www.asdnews.com/news/defense/2022/10/17/uk-give-air-defence-missiles-help-ukraine-defend-against-rockets" TargetMode="External"/><Relationship Id="rId143" Type="http://schemas.openxmlformats.org/officeDocument/2006/relationships/hyperlink" Target="https://twitter.com/a_anusauskas/status/1546202214003269635" TargetMode="External"/><Relationship Id="rId350" Type="http://schemas.openxmlformats.org/officeDocument/2006/relationships/hyperlink" Target="https://www.gov.si/en/news/2022-03-07-eu-development-ministers-on-emergency-humanitarian-aid-to-ukraine/" TargetMode="External"/><Relationship Id="rId2031" Type="http://schemas.openxmlformats.org/officeDocument/2006/relationships/hyperlink" Target="https://crsreports.congress.gov/product/pdf/IF/IF12040" TargetMode="External"/><Relationship Id="rId9" Type="http://schemas.openxmlformats.org/officeDocument/2006/relationships/hyperlink" Target="https://tfiglobalnews.com/2022/03/21/canada-wanted-to-supply-weapons-to-ukraine-turns-out-it-didnt-have-any/" TargetMode="External"/><Relationship Id="rId210" Type="http://schemas.openxmlformats.org/officeDocument/2006/relationships/hyperlink" Target="https://mil.in.ua/en/news/ukrainian-armed-forces-use-oto-melara-mod-56-105mm-howitzer-in-donbas/" TargetMode="External"/><Relationship Id="rId2988" Type="http://schemas.openxmlformats.org/officeDocument/2006/relationships/hyperlink" Target="https://www.independent.com.mt/articles/2023-01-22/local-news/Malta-to-donate-20-industrial-generators-medical-equipment-to-Ukraine-6736249053" TargetMode="External"/><Relationship Id="rId1797" Type="http://schemas.openxmlformats.org/officeDocument/2006/relationships/hyperlink" Target="https://appropriations.house.gov/sites/democrats.appropriations.house.gov/files/Ukraine%20Supplemental%20Summary.pdf" TargetMode="External"/><Relationship Id="rId2848" Type="http://schemas.openxmlformats.org/officeDocument/2006/relationships/hyperlink" Target="https://www.defense.gov/News/Releases/Release/Article/3287992/biden-administration-announces-additional-security-assistance-for-ukraine/" TargetMode="External"/><Relationship Id="rId89" Type="http://schemas.openxmlformats.org/officeDocument/2006/relationships/hyperlink" Target="https://twitter.com/JaroNad/status/1537194189066223616?ref_src=twsrc%5Etfw%7Ctwcamp%5Etweetembed%7Ctwterm%5E1537194189066223616%7Ctwgr%5E%7Ctwcon%5Es1_&amp;ref_url=https%3A%2F%2Fgagadget.com%2Fen%2F138212-slovakia-handed-over-to-ukraine-mi-17-and-mi-2-helicopters-as-well-as-ammunition-for-the-grad-mlrs%2F" TargetMode="External"/><Relationship Id="rId1657" Type="http://schemas.openxmlformats.org/officeDocument/2006/relationships/hyperlink" Target="https://crsreports.congress.gov/product/pdf/IF/IF12040" TargetMode="External"/><Relationship Id="rId186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708" Type="http://schemas.openxmlformats.org/officeDocument/2006/relationships/hyperlink" Target="https://www.mfat.govt.nz/en/countries-and-regions/europe/ukraine/russian-invasion-of-ukraine/" TargetMode="External"/><Relationship Id="rId2915" Type="http://schemas.openxmlformats.org/officeDocument/2006/relationships/hyperlink" Target="https://twitter.com/P_Fiala/status/1612488494252757006" TargetMode="External"/><Relationship Id="rId4063" Type="http://schemas.openxmlformats.org/officeDocument/2006/relationships/hyperlink" Target="https://www.kmu.gov.ua/en/news/yuliia-svyrydenko-polskyi-uriad-hotovyi-stymuliuvaty-biznes-investuvaty-v-ukrainu-i-dokladaie-do-tsoho-maksymum-zusyl" TargetMode="External"/><Relationship Id="rId4270" Type="http://schemas.openxmlformats.org/officeDocument/2006/relationships/hyperlink" Target="https://ec.europa.eu/commission/presscorner/detail/en/ip_23_461" TargetMode="External"/><Relationship Id="rId1517" Type="http://schemas.openxmlformats.org/officeDocument/2006/relationships/hyperlink" Target="https://appropriations.house.gov/sites/democrats.appropriations.house.gov/files/Additional%20Ukraine%20Suplemental%20Appropriations%20Act%20Summary.pdf" TargetMode="External"/><Relationship Id="rId1724" Type="http://schemas.openxmlformats.org/officeDocument/2006/relationships/hyperlink" Target="https://crsreports.congress.gov/product/pdf/IF/IF12040" TargetMode="External"/><Relationship Id="rId4130" Type="http://schemas.openxmlformats.org/officeDocument/2006/relationships/hyperlink" Target="https://www.rferl.org/a/ukraine-estonia-military-aid/32372658.html" TargetMode="External"/><Relationship Id="rId16" Type="http://schemas.openxmlformats.org/officeDocument/2006/relationships/hyperlink" Target="https://eurasiantimes.com/from-britain-with-love-uks-new-game-changing-missiles-to-ukraine-has-potential-to-turn-tables-on-belligerent-russia/" TargetMode="External"/><Relationship Id="rId1931" Type="http://schemas.openxmlformats.org/officeDocument/2006/relationships/hyperlink" Target="https://appropriations.house.gov/sites/democrats.appropriations.house.gov/files/Ukraine%20Supplemental%20Summary%20FY23.pdf" TargetMode="External"/><Relationship Id="rId3689" Type="http://schemas.openxmlformats.org/officeDocument/2006/relationships/hyperlink" Target="https://um.fi/current-affairs/-/asset_publisher/gc654PySnjTX/content/suomi-tukee-sodan-tuhojen-korjaamista-ja-vihreaa-jalleenrakennusta-ukrainassa" TargetMode="External"/><Relationship Id="rId3896" Type="http://schemas.openxmlformats.org/officeDocument/2006/relationships/hyperlink" Target="https://www.defense.gov/News/Releases/Release/Article/3411804/biden-administration-announces-additional-security-assistance-for-ukraine/" TargetMode="External"/><Relationship Id="rId2498" Type="http://schemas.openxmlformats.org/officeDocument/2006/relationships/hyperlink" Target="https://mil.in.ua/en/news/belgium-made-a-decision-to-hand-over-artillery-to-ukraine-the-media/" TargetMode="External"/><Relationship Id="rId3549" Type="http://schemas.openxmlformats.org/officeDocument/2006/relationships/hyperlink" Target="https://www.bundesregierung.de/breg-en/news/military-support-ukraine-2054992" TargetMode="External"/><Relationship Id="rId677" Type="http://schemas.openxmlformats.org/officeDocument/2006/relationships/hyperlink" Target="https://www.canada.ca/en/department-national-defence/news/2022/04/canada-announces-artillery-and-other-additional-military-aid-for-ukraine.html" TargetMode="External"/><Relationship Id="rId2358" Type="http://schemas.openxmlformats.org/officeDocument/2006/relationships/hyperlink" Target="https://ua.ambafrance.org/Dostavka-1000-t-francuz-koyi-gumaniitarnoyi-dopomogi-ukrayins-kim-adresatam-v" TargetMode="External"/><Relationship Id="rId3756" Type="http://schemas.openxmlformats.org/officeDocument/2006/relationships/hyperlink" Target="https://www.defense.gov/News/Releases/Release/Article/3411804/biden-administration-announces-additional-security-assistance-for-ukraine/" TargetMode="External"/><Relationship Id="rId3963" Type="http://schemas.openxmlformats.org/officeDocument/2006/relationships/hyperlink" Target="https://www.state.gov/u-s-security-cooperation-with-ukraine/" TargetMode="External"/><Relationship Id="rId4807" Type="http://schemas.openxmlformats.org/officeDocument/2006/relationships/hyperlink" Target="https://www.bundesregierung.de/breg-en/news/military-support-ukraine-2054992" TargetMode="External"/><Relationship Id="rId884" Type="http://schemas.openxmlformats.org/officeDocument/2006/relationships/hyperlink" Target="https://www.defense.gov/News/Releases/Release/Article/3064556/joint-statement-by-the-united-states-department-of-defense-the-ministry-of-defe/" TargetMode="External"/><Relationship Id="rId2565"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772" Type="http://schemas.openxmlformats.org/officeDocument/2006/relationships/hyperlink" Target="https://www.defense.gov/News/Releases/Release/Article/3272866/biden-administration-announces-additional-security-assistance-for-ukraine/" TargetMode="External"/><Relationship Id="rId3409"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3616" Type="http://schemas.openxmlformats.org/officeDocument/2006/relationships/hyperlink" Target="https://www.bundesregierung.de/breg-en/news/military-support-ukraine-2054992" TargetMode="External"/><Relationship Id="rId3823" Type="http://schemas.openxmlformats.org/officeDocument/2006/relationships/hyperlink" Target="https://www.state.gov/u-s-security-cooperation-with-ukraine/" TargetMode="External"/><Relationship Id="rId537" Type="http://schemas.openxmlformats.org/officeDocument/2006/relationships/hyperlink" Target="https://www.defense.gov/News/News-Stories/Article/Article/3038121/additional-100-million-in-howitzers-tactical-vehicles-radars-headed-to-ukraine/source/additional-100-million-in-howitzers-tactical-vehicles-radars-headed-to-ukraine/" TargetMode="External"/><Relationship Id="rId744" Type="http://schemas.openxmlformats.org/officeDocument/2006/relationships/hyperlink" Target="https://www.minister.defence.gov.au/minister/rmarles/media-releases/australia-increases-support-ukraine" TargetMode="External"/><Relationship Id="rId951" Type="http://schemas.openxmlformats.org/officeDocument/2006/relationships/hyperlink" Target="https://www.defense.gouv.fr/terre/actualites/uiisc-1-3e-convoi-solidarite-lukraine" TargetMode="External"/><Relationship Id="rId1167" Type="http://schemas.openxmlformats.org/officeDocument/2006/relationships/hyperlink" Target="https://timesofmalta.com/articles/view/maltas-gives-ukraine-17-million-emergency-assistance.1001419" TargetMode="External"/><Relationship Id="rId1374" Type="http://schemas.openxmlformats.org/officeDocument/2006/relationships/hyperlink" Target="https://appropriations.house.gov/sites/democrats.appropriations.house.gov/files/Ukraine%20Supplemental%20Summary.pdf" TargetMode="External"/><Relationship Id="rId1581" Type="http://schemas.openxmlformats.org/officeDocument/2006/relationships/hyperlink" Target="https://appropriations.house.gov/sites/democrats.appropriations.house.gov/files/Additional%20Ukraine%20Suplemental%20Appropriations%20Act%20Summary.pdf" TargetMode="External"/><Relationship Id="rId2218" Type="http://schemas.openxmlformats.org/officeDocument/2006/relationships/hyperlink" Target="https://appropriations.house.gov/sites/democrats.appropriations.house.gov/files/Ukraine%20Supplemental%20Summary.pdf" TargetMode="External"/><Relationship Id="rId2425" Type="http://schemas.openxmlformats.org/officeDocument/2006/relationships/hyperlink" Target="https://mil.in.ua/en/news/canada-will-allocate-3-million-to-ukraine-to-strengthen-the-defense-sector/" TargetMode="External"/><Relationship Id="rId2632" Type="http://schemas.openxmlformats.org/officeDocument/2006/relationships/hyperlink" Target="https://twitter.com/a_anusauskas/status/1594701256463110144" TargetMode="External"/><Relationship Id="rId80" Type="http://schemas.openxmlformats.org/officeDocument/2006/relationships/hyperlink" Target="https://kyivindependent.com/uncategorized/poland-has-provided-ukraine-with-weapons-worth-1-6-billion/" TargetMode="External"/><Relationship Id="rId604" Type="http://schemas.openxmlformats.org/officeDocument/2006/relationships/hyperlink" Target="https://www.faz.net/aktuell/politik/waffen-fuer-die-ukraine-norwegen-liefert-haubitzen-18089553.html" TargetMode="External"/><Relationship Id="rId811" Type="http://schemas.openxmlformats.org/officeDocument/2006/relationships/hyperlink" Target="https://www.defense.gov/News/Releases/Release/Article/3160503/600-million-in-additional-security-assistance-for-ukraine/" TargetMode="External"/><Relationship Id="rId1027" Type="http://schemas.openxmlformats.org/officeDocument/2006/relationships/hyperlink" Target="https://www.defense.gov/News/Releases/Release/Article/3203509/275-million-in-additional-presidential-drawdown-security-assistance-for-ukraine/" TargetMode="External"/><Relationship Id="rId1234" Type="http://schemas.openxmlformats.org/officeDocument/2006/relationships/hyperlink" Target="https://hirado.hu/kulfold/cikk/2022/11/10/felujitott-ovodat-adott-at-magyar-levente-karpataljan" TargetMode="External"/><Relationship Id="rId1441" Type="http://schemas.openxmlformats.org/officeDocument/2006/relationships/hyperlink" Target="https://appropriations.house.gov/sites/democrats.appropriations.house.gov/files/Ukraine%20Supplemental%20Summary.pdf" TargetMode="External"/><Relationship Id="rId4597" Type="http://schemas.openxmlformats.org/officeDocument/2006/relationships/hyperlink" Target="https://www.fmn.dk/da/nyheder/2023/ukraine-fond-finansierer-stor-ny-donationspakke/" TargetMode="External"/><Relationship Id="rId1301" Type="http://schemas.openxmlformats.org/officeDocument/2006/relationships/hyperlink" Target="https://www.vm.gov.lv/lv/jaunums/ziedos-aprikojumu-ukrainas-asins-centriem" TargetMode="External"/><Relationship Id="rId3199" Type="http://schemas.openxmlformats.org/officeDocument/2006/relationships/hyperlink" Target="https://www.oireachtas.ie/en/debates/question/2023-01-31/102/" TargetMode="External"/><Relationship Id="rId4457" Type="http://schemas.openxmlformats.org/officeDocument/2006/relationships/hyperlink" Target="https://www.bundesregierung.de/resource/blob/975226/2189778/cdb664abe95e6fa74802882bd66ef771/2023-05-14-liste-ukr-unterstuetzung-data.pdf?download=1" TargetMode="External"/><Relationship Id="rId4664" Type="http://schemas.openxmlformats.org/officeDocument/2006/relationships/hyperlink" Target="https://www.usaid.gov/sites/default/files/2022-05/2022-03-31_USG_Ukraine_Complex_Emergency_Fact_Sheet_9.pdf" TargetMode="External"/><Relationship Id="rId3059" Type="http://schemas.openxmlformats.org/officeDocument/2006/relationships/hyperlink" Target="https://www.mod.gov.lv/lv/zinas/i-murniece-kijiva-tiekas-ar-ukrainas-aizsardzibas-ministru" TargetMode="External"/><Relationship Id="rId3266" Type="http://schemas.openxmlformats.org/officeDocument/2006/relationships/hyperlink" Target="https://www.esteri.it/en/sala_stampa/archivionotizie/comunicati/2022/04/sereni-presiede-tavolo-di-coordinamento-della-societa-civile-sulla-crisi-ucraina/" TargetMode="External"/><Relationship Id="rId3473" Type="http://schemas.openxmlformats.org/officeDocument/2006/relationships/hyperlink" Target="https://www.bundesregierung.de/breg-en/news/military-support-ukraine-2054992" TargetMode="External"/><Relationship Id="rId4317" Type="http://schemas.openxmlformats.org/officeDocument/2006/relationships/hyperlink" Target="https://www.bundesregierung.de/resource/blob/975226/2189778/cdb664abe95e6fa74802882bd66ef771/2023-05-14-liste-ukr-unterstuetzung-data.pdf?download=1" TargetMode="External"/><Relationship Id="rId4524" Type="http://schemas.openxmlformats.org/officeDocument/2006/relationships/hyperlink" Target="https://www.reuters.com/world/europe/poland-says-it-will-send-10-more-leopard-2-tanks-ukraine-this-week-2023-03-07/" TargetMode="External"/><Relationship Id="rId187" Type="http://schemas.openxmlformats.org/officeDocument/2006/relationships/hyperlink" Target="https://mocr.army.cz/informacni-servis/zpravodajstvi/jednani-ministryne-s-ceskymi-zbrojari--ocenuji-podporu-exportu-i-ceskych-zakazek-239387/" TargetMode="External"/><Relationship Id="rId394" Type="http://schemas.openxmlformats.org/officeDocument/2006/relationships/hyperlink" Target="https://www.youtube.com/watch?v=vzENx6dTpqY" TargetMode="External"/><Relationship Id="rId2075" Type="http://schemas.openxmlformats.org/officeDocument/2006/relationships/hyperlink" Target="https://appropriations.house.gov/sites/democrats.appropriations.house.gov/files/Ukraine%20Supplemental%20Summary%20FY23.pdf" TargetMode="External"/><Relationship Id="rId2282" Type="http://schemas.openxmlformats.org/officeDocument/2006/relationships/hyperlink" Target="https://crsreports.congress.gov/product/pdf/IF/IF12040" TargetMode="External"/><Relationship Id="rId3126" Type="http://schemas.openxmlformats.org/officeDocument/2006/relationships/hyperlink" Target="https://www.ukrinform.ua/rubric-uarazom/3660606-horvatia-vidilila-1-miljon-na-zakupivlu-generatoriv-dla-ukrainskih-skil-i-likaren.html" TargetMode="External"/><Relationship Id="rId3680" Type="http://schemas.openxmlformats.org/officeDocument/2006/relationships/hyperlink" Target="https://en.kriseinformation.dk/war/denmarks-response/donations" TargetMode="External"/><Relationship Id="rId4731" Type="http://schemas.openxmlformats.org/officeDocument/2006/relationships/hyperlink" Target="https://www.bundesregierung.de/breg-en/news/military-support-ukraine-2054992" TargetMode="External"/><Relationship Id="rId254" Type="http://schemas.openxmlformats.org/officeDocument/2006/relationships/hyperlink" Target="https://www.vlada.cz/cz/media-centrum/aktualne/vlada-kvuli-migracni-krizi-vyhlasila-od-patku-nouzovy-stav--schvalila-i-dalsi-pomoc-pro-ukrajinu-a-navrh-na-zvyseni-vydaju-na-obranu-194695/" TargetMode="External"/><Relationship Id="rId1091" Type="http://schemas.openxmlformats.org/officeDocument/2006/relationships/hyperlink" Target="https://reliefweb.int/report/ukraine/norway-increase-support-humanitarian-efforts-and-government-administration-ukraine" TargetMode="External"/><Relationship Id="rId3333" Type="http://schemas.openxmlformats.org/officeDocument/2006/relationships/hyperlink" Target="https://de.ambafrance.org/Bilan-de-l-aide-apportee-par-la-France-a-l-Ukraine-fevrier-2023" TargetMode="External"/><Relationship Id="rId3540" Type="http://schemas.openxmlformats.org/officeDocument/2006/relationships/hyperlink" Target="https://www.bundesregierung.de/breg-en/news/military-support-ukraine-2054992" TargetMode="External"/><Relationship Id="rId114" Type="http://schemas.openxmlformats.org/officeDocument/2006/relationships/hyperlink" Target="https://www.ukrinform.net/rubric-ato/3424220-japan-sends-military-protective-equipment-to-ukraine.html" TargetMode="External"/><Relationship Id="rId461" Type="http://schemas.openxmlformats.org/officeDocument/2006/relationships/hyperlink" Target="https://mil.in.ua/en/news/south-korea-will-be-providing-ukraine-with-additional-aid-worth-1-6-million/" TargetMode="External"/><Relationship Id="rId2142" Type="http://schemas.openxmlformats.org/officeDocument/2006/relationships/hyperlink" Target="https://appropriations.house.gov/sites/democrats.appropriations.house.gov/files/Ukraine%20Supplemental%20Summary.pdf" TargetMode="External"/><Relationship Id="rId3400"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321" Type="http://schemas.openxmlformats.org/officeDocument/2006/relationships/hyperlink" Target="https://www.wsj.com/livecoverage/russia-ukraine-latest-news-2022-03-24/card/u-k-to-send-extra-missiles-to-ukraine-prime-minister-says-wVycdL1VQIo91y4wGFxo" TargetMode="External"/><Relationship Id="rId2002" Type="http://schemas.openxmlformats.org/officeDocument/2006/relationships/hyperlink" Target="https://crsreports.congress.gov/product/pdf/IF/IF12040" TargetMode="External"/><Relationship Id="rId2959" Type="http://schemas.openxmlformats.org/officeDocument/2006/relationships/hyperlink" Target="https://edition.cnn.com/europe/live-news/russia-ukraine-war-news-12-13-22/h_f789fb6727fdf749c8a193449f27be5a" TargetMode="External"/><Relationship Id="rId1768" Type="http://schemas.openxmlformats.org/officeDocument/2006/relationships/hyperlink" Target="https://crsreports.congress.gov/product/pdf/IF/IF12040" TargetMode="External"/><Relationship Id="rId2819" Type="http://schemas.openxmlformats.org/officeDocument/2006/relationships/hyperlink" Target="https://www.defense.gov/News/Releases/Release/Article/3302787/biden-administration-announces-additional-security-assistance-for-ukraine/" TargetMode="External"/><Relationship Id="rId4174" Type="http://schemas.openxmlformats.org/officeDocument/2006/relationships/hyperlink" Target="https://www.armyrecognition.com/defense_news_april_2023_global_security_army_industry/greece_to_supply_ukraine_with_more_bmp-1_ifvs_and_artillery_ammunition.html" TargetMode="External"/><Relationship Id="rId4381" Type="http://schemas.openxmlformats.org/officeDocument/2006/relationships/hyperlink" Target="https://www.bundesregierung.de/resource/blob/975226/2189778/cdb664abe95e6fa74802882bd66ef771/2023-05-14-liste-ukr-unterstuetzung-data.pdf?download=1" TargetMode="External"/><Relationship Id="rId1628" Type="http://schemas.openxmlformats.org/officeDocument/2006/relationships/hyperlink" Target="https://appropriations.house.gov/sites/democrats.appropriations.house.gov/files/Additional%20Ukraine%20Suplemental%20Appropriations%20Act%20Summary.pdf" TargetMode="External"/><Relationship Id="rId1975" Type="http://schemas.openxmlformats.org/officeDocument/2006/relationships/hyperlink" Target="https://crsreports.congress.gov/product/pdf/IF/IF12040" TargetMode="External"/><Relationship Id="rId3190" Type="http://schemas.openxmlformats.org/officeDocument/2006/relationships/hyperlink" Target="https://ue.delegfrance.org/IMG/pdf/4_5989977243172998264_1_.pdf?11377/582461c3399e431c79f060e139f084c1fa490550" TargetMode="External"/><Relationship Id="rId4034" Type="http://schemas.openxmlformats.org/officeDocument/2006/relationships/hyperlink" Target="https://www.defensie.nl/onderwerpen/oostflank-navo-gebied/militaire-steun-aan-oekraine" TargetMode="External"/><Relationship Id="rId4241" Type="http://schemas.openxmlformats.org/officeDocument/2006/relationships/hyperlink" Target="https://www.stjornarradid.is/efst-a-baugi/frettir/stok-frett/2023/05/23/Studningur-vid-eldsneytisflutninga-ukrainska-hersins/" TargetMode="External"/><Relationship Id="rId1835"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50" Type="http://schemas.openxmlformats.org/officeDocument/2006/relationships/hyperlink" Target="https://www.mk.gov.lv/en/latvia-supports-ukraine" TargetMode="External"/><Relationship Id="rId4101" Type="http://schemas.openxmlformats.org/officeDocument/2006/relationships/hyperlink" Target="https://kaitseministeerium.ee/et/uudised/kaitseminister-pevkur-andis-kiievis-ukraina-kolleegile-ule-sumboolsed-esemed-uuest" TargetMode="External"/><Relationship Id="rId1902" Type="http://schemas.openxmlformats.org/officeDocument/2006/relationships/hyperlink" Target="https://appropriations.house.gov/sites/democrats.appropriations.house.gov/files/Ukraine%20Supplemental%20Summary%20FY23.pdf" TargetMode="External"/><Relationship Id="rId3867" Type="http://schemas.openxmlformats.org/officeDocument/2006/relationships/hyperlink" Target="https://www.defense.gov/News/Releases/Release/Article/3402206/biden-administration-announces-additional-security-assistance-for-ukraine/" TargetMode="External"/><Relationship Id="rId788" Type="http://schemas.openxmlformats.org/officeDocument/2006/relationships/hyperlink" Target="https://www.defense.gov/News/Releases/Release/Article/3134457/775-million-in-additional-security-assistance-for-ukraine/" TargetMode="External"/><Relationship Id="rId995" Type="http://schemas.openxmlformats.org/officeDocument/2006/relationships/hyperlink" Target="https://www.gov.uk/government/news/uk-provides-increased-support-for-ukraines-energy-sector" TargetMode="External"/><Relationship Id="rId2469" Type="http://schemas.openxmlformats.org/officeDocument/2006/relationships/hyperlink" Target="https://www.euractiv.com/section/politics/short_news/belgium-to-provide-e8-million-for-non-lethal-aid-to-ukraines-armed-forces/" TargetMode="External"/><Relationship Id="rId2676" Type="http://schemas.openxmlformats.org/officeDocument/2006/relationships/hyperlink" Target="https://inews.co.uk/news/brimstone-missile-what-uk-plans-long-range-weapons-ukraine-how-work-explained-1607595" TargetMode="External"/><Relationship Id="rId2883" Type="http://schemas.openxmlformats.org/officeDocument/2006/relationships/hyperlink" Target="https://mezha.media/en/2022/04/15/new-weapon-deliveries-from-the-czech-republic-dana-self-propelled-artillery-and-rm-70-multiple-rocket-launcher/" TargetMode="External"/><Relationship Id="rId3727" Type="http://schemas.openxmlformats.org/officeDocument/2006/relationships/hyperlink" Target="https://www.government.se/articles/2023/01/heavy-advanced-weapons-to-ukraine/" TargetMode="External"/><Relationship Id="rId3934" Type="http://schemas.openxmlformats.org/officeDocument/2006/relationships/hyperlink" Target="https://www.state.gov/u-s-security-cooperation-with-ukraine/" TargetMode="External"/><Relationship Id="rId648" Type="http://schemas.openxmlformats.org/officeDocument/2006/relationships/hyperlink" Target="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 TargetMode="External"/><Relationship Id="rId855" Type="http://schemas.openxmlformats.org/officeDocument/2006/relationships/hyperlink" Target="https://cyprus-mail.com/2022/04/06/aid-for-ukraine-now-tops-e2-million/" TargetMode="External"/><Relationship Id="rId1278" Type="http://schemas.openxmlformats.org/officeDocument/2006/relationships/hyperlink" Target="https://abouthungary.hu/news-in-brief/hungary-to-make-another-shipment-of-humanitarian-aid-to-ukraine?msclkid=ca53d542ab8b11ec95fbf81dabb45ae9" TargetMode="External"/><Relationship Id="rId1485" Type="http://schemas.openxmlformats.org/officeDocument/2006/relationships/hyperlink" Target="https://appropriations.house.gov/sites/democrats.appropriations.house.gov/files/Ukraine%20Supplemental%20Summary.pdf" TargetMode="External"/><Relationship Id="rId1692" Type="http://schemas.openxmlformats.org/officeDocument/2006/relationships/hyperlink" Target="https://crsreports.congress.gov/product/pdf/IF/IF12040" TargetMode="External"/><Relationship Id="rId2329" Type="http://schemas.openxmlformats.org/officeDocument/2006/relationships/hyperlink" Target="https://japan.kantei.go.jp/ongoingtopics/pdf/jp_stands_with_ukraine_eng.pdf" TargetMode="External"/><Relationship Id="rId2536" Type="http://schemas.openxmlformats.org/officeDocument/2006/relationships/hyperlink" Target="https://www.premier.be/sites/default/files/articles/BE%20support%20militaire.pdf" TargetMode="External"/><Relationship Id="rId2743" Type="http://schemas.openxmlformats.org/officeDocument/2006/relationships/hyperlink" Target="https://www.defense.gov/News/Releases/Release/Article/3302787/biden-administration-announces-additional-security-assistance-for-ukraine/" TargetMode="External"/><Relationship Id="rId508" Type="http://schemas.openxmlformats.org/officeDocument/2006/relationships/hyperlink" Target="https://ukranews.com/en/news/853495-japan-decides-to-allocate-usd-100-million-loan-and-usd-2-3-million-grant-to-ukraine" TargetMode="External"/><Relationship Id="rId715" Type="http://schemas.openxmlformats.org/officeDocument/2006/relationships/hyperlink" Target="https://balkaninsight.com/2022/06/07/we-have-done-enough-bulgaria-rejects-ukraines-plea-for-heavy-weapons/" TargetMode="External"/><Relationship Id="rId922" Type="http://schemas.openxmlformats.org/officeDocument/2006/relationships/hyperlink" Target="https://kyivindependent.com/news-feed/finland-prepares-8th-batch-of-military-aid-for-ukraine" TargetMode="External"/><Relationship Id="rId1138" Type="http://schemas.openxmlformats.org/officeDocument/2006/relationships/hyperlink" Target="https://twitter.com/LSchreinemacher/status/1591089465719926784" TargetMode="External"/><Relationship Id="rId1345" Type="http://schemas.openxmlformats.org/officeDocument/2006/relationships/hyperlink" Target="https://www.ukrainianworldcongress.org/slovakia-approves-a-new-package-of-military-aid-to-ukraine/" TargetMode="External"/><Relationship Id="rId1552" Type="http://schemas.openxmlformats.org/officeDocument/2006/relationships/hyperlink" Target="https://appropriations.house.gov/sites/democrats.appropriations.house.gov/files/Additional%20Ukraine%20Suplemental%20Appropriations%20Act%20Summary.pdf" TargetMode="External"/><Relationship Id="rId2603" Type="http://schemas.openxmlformats.org/officeDocument/2006/relationships/hyperlink" Target="https://www.canada.ca/en/department-national-defence/campaigns/canadian-military-support-to-ukraine.html" TargetMode="External"/><Relationship Id="rId2950" Type="http://schemas.openxmlformats.org/officeDocument/2006/relationships/hyperlink" Target="https://www.gov.uk/government/news/joint-statement-the-tallinn-pledge?utm_source=miragenews&amp;utm_medium=miragenews&amp;utm_campaign=news" TargetMode="External"/><Relationship Id="rId1205" Type="http://schemas.openxmlformats.org/officeDocument/2006/relationships/hyperlink" Target="https://www.defense.gov/News/Releases/Release/Article/3252782/185-billion-in-additional-security-assistance-for-ukraine/" TargetMode="External"/><Relationship Id="rId2810" Type="http://schemas.openxmlformats.org/officeDocument/2006/relationships/hyperlink" Target="https://crsreports.congress.gov/product/pdf/IF/IF12040" TargetMode="External"/><Relationship Id="rId4568" Type="http://schemas.openxmlformats.org/officeDocument/2006/relationships/hyperlink" Target="https://newsmaker.md/rus/novosti/rumyniya-vydelit-750-tys-na-razvitiye-oboronnogo-potentsiala-moldovy/" TargetMode="External"/><Relationship Id="rId51" Type="http://schemas.openxmlformats.org/officeDocument/2006/relationships/hyperlink" Target="https://www.rferl.org/a/czech-republic-poland-new-military-aid-ukraine/31873938.html" TargetMode="External"/><Relationship Id="rId1412" Type="http://schemas.openxmlformats.org/officeDocument/2006/relationships/hyperlink" Target="https://appropriations.house.gov/sites/democrats.appropriations.house.gov/files/Ukraine%20Supplemental%20Summary.pdf" TargetMode="External"/><Relationship Id="rId3377"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4775" Type="http://schemas.openxmlformats.org/officeDocument/2006/relationships/hyperlink" Target="https://www.bundesregierung.de/breg-en/news/military-support-ukraine-2054992" TargetMode="External"/><Relationship Id="rId298" Type="http://schemas.openxmlformats.org/officeDocument/2006/relationships/hyperlink" Target="https://www.vlada.cz/cz/media-centrum/aktualne/informace-v-souvislosti-s-invazi-ruska-na-ukrajinu-194507/" TargetMode="External"/><Relationship Id="rId3584" Type="http://schemas.openxmlformats.org/officeDocument/2006/relationships/hyperlink" Target="https://www.admin.ch/gov/en/start/documentation/media-releases.msg-id-87418.html" TargetMode="External"/><Relationship Id="rId3791" Type="http://schemas.openxmlformats.org/officeDocument/2006/relationships/hyperlink" Target="https://www.defense.gov/News/Releases/Release/Article/3334472/dod-announces-additional-security-assistance-for-ukraine/" TargetMode="External"/><Relationship Id="rId4428" Type="http://schemas.openxmlformats.org/officeDocument/2006/relationships/hyperlink" Target="https://www.bundesregierung.de/resource/blob/975226/2189778/cdb664abe95e6fa74802882bd66ef771/2023-05-14-liste-ukr-unterstuetzung-data.pdf?download=1" TargetMode="External"/><Relationship Id="rId4635" Type="http://schemas.openxmlformats.org/officeDocument/2006/relationships/hyperlink" Target="https://www.defensie.nl/onderwerpen/oostflank-navo-gebied/militaire-steun-aan-oekraine" TargetMode="External"/><Relationship Id="rId4842" Type="http://schemas.openxmlformats.org/officeDocument/2006/relationships/printerSettings" Target="../printerSettings/printerSettings3.bin"/><Relationship Id="rId158" Type="http://schemas.openxmlformats.org/officeDocument/2006/relationships/hyperlink" Target="https://breakingdefense.com/2022/11/uk-delays-defense-spending-increase-raising-fears-3-gdp-target-will-be-axed/" TargetMode="External"/><Relationship Id="rId2186" Type="http://schemas.openxmlformats.org/officeDocument/2006/relationships/hyperlink" Target="https://appropriations.house.gov/sites/democrats.appropriations.house.gov/files/Additional%20Ukraine%20Suplemental%20Appropriations%20Act%20Summary.pdf" TargetMode="External"/><Relationship Id="rId2393" Type="http://schemas.openxmlformats.org/officeDocument/2006/relationships/hyperlink" Target="https://www.reuters.com/world/europe/russia-pounds-ukraine-civil-infrastructure-powers-meet-provide-aid-2022-12-13/" TargetMode="External"/><Relationship Id="rId3237" Type="http://schemas.openxmlformats.org/officeDocument/2006/relationships/hyperlink" Target="https://www.ukrinform.net/rubric-economy/3611495-belgium-transfers-almost-5m-to-imfs-account-for-ukraine.html" TargetMode="External"/><Relationship Id="rId3444" Type="http://schemas.openxmlformats.org/officeDocument/2006/relationships/hyperlink" Target="https://www.bundesregierung.de/breg-en/news/military-support-ukraine-2054992" TargetMode="External"/><Relationship Id="rId3651" Type="http://schemas.openxmlformats.org/officeDocument/2006/relationships/hyperlink" Target="https://www.pravda.com.ua/eng/news/2023/03/21/7394481/" TargetMode="External"/><Relationship Id="rId4702" Type="http://schemas.openxmlformats.org/officeDocument/2006/relationships/hyperlink" Target="https://www.bundesregierung.de/breg-en/news/military-support-ukraine-2054992" TargetMode="External"/><Relationship Id="rId365" Type="http://schemas.openxmlformats.org/officeDocument/2006/relationships/hyperlink" Target="https://twitter.com/MZZRS/status/1511723242939105281" TargetMode="External"/><Relationship Id="rId572" Type="http://schemas.openxmlformats.org/officeDocument/2006/relationships/hyperlink" Target="https://www.brusselstimes.com/208911/belgium-to-send-e3-4-million-medical-supplies-to-ukraine" TargetMode="External"/><Relationship Id="rId204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253" Type="http://schemas.openxmlformats.org/officeDocument/2006/relationships/hyperlink" Target="https://crsreports.congress.gov/product/pdf/IF/IF12040" TargetMode="External"/><Relationship Id="rId2460" Type="http://schemas.openxmlformats.org/officeDocument/2006/relationships/hyperlink" Target="https://lahbib.belgium.be/en/belgium-provide-8-million-eur-non-lethal-support-ukrainian-armed-forces" TargetMode="External"/><Relationship Id="rId3304" Type="http://schemas.openxmlformats.org/officeDocument/2006/relationships/hyperlink" Target="https://crsreports.congress.gov/product/pdf/IF/IF12040" TargetMode="External"/><Relationship Id="rId3511" Type="http://schemas.openxmlformats.org/officeDocument/2006/relationships/hyperlink" Target="https://www.bundesregierung.de/breg-en/news/military-support-ukraine-2054992" TargetMode="External"/><Relationship Id="rId225" Type="http://schemas.openxmlformats.org/officeDocument/2006/relationships/hyperlink" Target="https://www.mfa.gov.lv/en/article/latvian-foreign-ministry-channel-eur-24000000-towards-assistance-ukraine" TargetMode="External"/><Relationship Id="rId432" Type="http://schemas.openxmlformats.org/officeDocument/2006/relationships/hyperlink" Target="https://www.regjeringen.no/en/topics/foreign-affairs/humanitarian-efforts/neighbour_support/id2908141/" TargetMode="External"/><Relationship Id="rId1062" Type="http://schemas.openxmlformats.org/officeDocument/2006/relationships/hyperlink" Target="https://www.republicworld.com/world-news/russia-ukraine-crisis/estonia-confirms-relief-package-to-aid-war-torn-ukraine-articleshow.html" TargetMode="External"/><Relationship Id="rId2113" Type="http://schemas.openxmlformats.org/officeDocument/2006/relationships/hyperlink" Target="https://appropriations.house.gov/sites/democrats.appropriations.house.gov/files/Additional%20Ukraine%20Suplemental%20Appropriations%20Act%20Summary.pdf" TargetMode="External"/><Relationship Id="rId2320" Type="http://schemas.openxmlformats.org/officeDocument/2006/relationships/hyperlink" Target="https://www.canada.ca/en/department-finance/news/2022/12/canada-provides-ukraine-115-million-from-russian-and-belarusian-tariff-revenues-to-repair-kyivs-power-grid.html" TargetMode="External"/><Relationship Id="rId4078" Type="http://schemas.openxmlformats.org/officeDocument/2006/relationships/hyperlink" Target="https://elpais.com/internacional/2023-02-23/guerra-ucrania-rusia-ultimas-noticias-en-directo.html" TargetMode="External"/><Relationship Id="rId4285" Type="http://schemas.openxmlformats.org/officeDocument/2006/relationships/hyperlink" Target="https://ua.ambafrance.org/La-France-donne-a-l-Ukraine-un-cinquieme-lot-de-securite-civile" TargetMode="External"/><Relationship Id="rId4492" Type="http://schemas.openxmlformats.org/officeDocument/2006/relationships/hyperlink" Target="https://www.brusselstimes.com/501768/belgian-government-approves-new-ukraine-aid-worth-e92-million" TargetMode="External"/><Relationship Id="rId1879"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94" Type="http://schemas.openxmlformats.org/officeDocument/2006/relationships/hyperlink" Target="https://www.aecid.es/ES/Paginas/Sala%20de%20Prensa/Noticias/2022/2022_07/07_seci_lugano.aspx" TargetMode="External"/><Relationship Id="rId4145" Type="http://schemas.openxmlformats.org/officeDocument/2006/relationships/hyperlink" Target="https://www.armyrecognition.com/defense_news_march_2023_global_security_army_industry/estonia_to_send_more_sako_sniper_rifles_and_special_forces_equipment_to_ukraine.html" TargetMode="External"/><Relationship Id="rId1739" Type="http://schemas.openxmlformats.org/officeDocument/2006/relationships/hyperlink" Target="https://crsreports.congress.gov/product/pdf/IF/IF12040" TargetMode="External"/><Relationship Id="rId1946" Type="http://schemas.openxmlformats.org/officeDocument/2006/relationships/hyperlink" Target="https://appropriations.house.gov/sites/democrats.appropriations.house.gov/files/Ukraine%20Supplemental%20Summary%20FY23.pdf" TargetMode="External"/><Relationship Id="rId4005" Type="http://schemas.openxmlformats.org/officeDocument/2006/relationships/hyperlink" Target="https://twitter.com/a_anusauskas/status/1594701256463110144" TargetMode="External"/><Relationship Id="rId4352" Type="http://schemas.openxmlformats.org/officeDocument/2006/relationships/hyperlink" Target="https://www.bundesregierung.de/resource/blob/975226/2189778/cdb664abe95e6fa74802882bd66ef771/2023-05-14-liste-ukr-unterstuetzung-data.pdf?download=1" TargetMode="External"/><Relationship Id="rId1806" Type="http://schemas.openxmlformats.org/officeDocument/2006/relationships/hyperlink" Target="https://appropriations.house.gov/sites/democrats.appropriations.house.gov/files/Ukraine%20Supplemental%20Summary.pdf" TargetMode="External"/><Relationship Id="rId3161" Type="http://schemas.openxmlformats.org/officeDocument/2006/relationships/hyperlink" Target="https://appropriations.house.gov/sites/democrats.appropriations.house.gov/files/Ukraine%20Supplemental%20Summary%20FY23.pdf" TargetMode="External"/><Relationship Id="rId4212" Type="http://schemas.openxmlformats.org/officeDocument/2006/relationships/hyperlink" Target="https://www.mod.mil.gr/en/defence-minister-nikolaos-panagiotopoulos-meets-with-the-minister-of-defence/" TargetMode="External"/><Relationship Id="rId3021" Type="http://schemas.openxmlformats.org/officeDocument/2006/relationships/hyperlink" Target="https://sofiaglobe.com/2022/12/20/mod-bulgaria-has-given-close-to-half-a-billion-leva-humanitarian-aid-to-ukraine/" TargetMode="External"/><Relationship Id="rId3978" Type="http://schemas.openxmlformats.org/officeDocument/2006/relationships/hyperlink" Target="https://www.abc.net.au/news/2023-02-23/australia-pledges-drones-ukraine-war-first-anniversary/102016614" TargetMode="External"/><Relationship Id="rId899" Type="http://schemas.openxmlformats.org/officeDocument/2006/relationships/hyperlink" Target="https://um.dk/danida/lande-og-regioner/ukraine" TargetMode="External"/><Relationship Id="rId2787" Type="http://schemas.openxmlformats.org/officeDocument/2006/relationships/hyperlink" Target="https://crsreports.congress.gov/product/pdf/IF/IF12040" TargetMode="External"/><Relationship Id="rId3838" Type="http://schemas.openxmlformats.org/officeDocument/2006/relationships/hyperlink" Target="https://www.state.gov/u-s-security-cooperation-with-ukraine/" TargetMode="External"/><Relationship Id="rId759" Type="http://schemas.openxmlformats.org/officeDocument/2006/relationships/hyperlink" Target="https://twitter.com/Pabriks/status/1559196940167962624?s=20&amp;t=8mX0LWVPGMqpt7LQ8N__qA" TargetMode="External"/><Relationship Id="rId966" Type="http://schemas.openxmlformats.org/officeDocument/2006/relationships/hyperlink" Target="https://frontnews.eu/en/news/details/30810" TargetMode="External"/><Relationship Id="rId1389" Type="http://schemas.openxmlformats.org/officeDocument/2006/relationships/hyperlink" Target="https://appropriations.house.gov/sites/democrats.appropriations.house.gov/files/Ukraine%20Supplemental%20Summary.pdf" TargetMode="External"/><Relationship Id="rId1596" Type="http://schemas.openxmlformats.org/officeDocument/2006/relationships/hyperlink" Target="https://appropriations.house.gov/sites/democrats.appropriations.house.gov/files/Additional%20Ukraine%20Suplemental%20Appropriations%20Act%20Summary.pdf" TargetMode="External"/><Relationship Id="rId2647" Type="http://schemas.openxmlformats.org/officeDocument/2006/relationships/hyperlink" Target="https://www.reuters.com/world/europe/polish-leopard-tanks-are-already-ukraine-defence-minister-says-2023-02-24/" TargetMode="External"/><Relationship Id="rId2994" Type="http://schemas.openxmlformats.org/officeDocument/2006/relationships/hyperlink" Target="https://www.defesa.gov.pt/pt/comunicacao/comunicados/Lists/PDEFINTER_DocumentoList/20230120_comunicado_MDN_Apoio_militar_a_Ucrania.pdf" TargetMode="External"/><Relationship Id="rId619" Type="http://schemas.openxmlformats.org/officeDocument/2006/relationships/hyperlink" Target="https://www.lefigaro.fr/international/direct-guerre-en-ukraine-situation-critique-a-marioupol-20220421" TargetMode="External"/><Relationship Id="rId1249" Type="http://schemas.openxmlformats.org/officeDocument/2006/relationships/hyperlink" Target="https://www.ekathimerini.com/news/1179620/greek-role-within-nato-is-upgraded/" TargetMode="External"/><Relationship Id="rId2854" Type="http://schemas.openxmlformats.org/officeDocument/2006/relationships/hyperlink" Target="https://crsreports.congress.gov/product/pdf/IF/IF12040" TargetMode="External"/><Relationship Id="rId3905" Type="http://schemas.openxmlformats.org/officeDocument/2006/relationships/hyperlink" Target="https://www.state.gov/u-s-security-cooperation-with-ukraine/" TargetMode="External"/><Relationship Id="rId95" Type="http://schemas.openxmlformats.org/officeDocument/2006/relationships/hyperlink" Target="https://www.rtvslo.si/slovenija/sarec-zaveze-natu-ostajajo-zmanjsevanja-sredstev-za-obrambo-ne-bo/631221" TargetMode="External"/><Relationship Id="rId826" Type="http://schemas.openxmlformats.org/officeDocument/2006/relationships/hyperlink" Target="https://www.defense.gov/News/Releases/Release/Article/3173378/11-billion-in-additional-security-assistance-for-ukraine/" TargetMode="External"/><Relationship Id="rId1109" Type="http://schemas.openxmlformats.org/officeDocument/2006/relationships/hyperlink" Target="https://pm.gc.ca/en/news/news-releases/2022/11/14/prime-minister-announces-additional-military-assistance-ukraine-and" TargetMode="External"/><Relationship Id="rId1456" Type="http://schemas.openxmlformats.org/officeDocument/2006/relationships/hyperlink" Target="https://appropriations.house.gov/sites/democrats.appropriations.house.gov/files/Ukraine%20Supplemental%20Summary.pdf" TargetMode="External"/><Relationship Id="rId1663" Type="http://schemas.openxmlformats.org/officeDocument/2006/relationships/hyperlink" Target="https://crsreports.congress.gov/product/pdf/IF/IF12040" TargetMode="External"/><Relationship Id="rId187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07" Type="http://schemas.openxmlformats.org/officeDocument/2006/relationships/hyperlink" Target="https://twitter.com/alexanderdecroo/status/1497914776063594502" TargetMode="External"/><Relationship Id="rId2714" Type="http://schemas.openxmlformats.org/officeDocument/2006/relationships/hyperlink" Target="https://www.mfat.govt.nz/en/countries-and-regions/europe/ukraine/russian-invasion-of-ukraine/" TargetMode="External"/><Relationship Id="rId2921" Type="http://schemas.openxmlformats.org/officeDocument/2006/relationships/hyperlink" Target="https://www.facebook.com/MinInfra.UA/posts/pfbid02bGQE1mPEedRvG9J7XqtSXznjDxwyJAKCTkWNVt5HSqzB132qJErWycxThrVfUKfvl" TargetMode="External"/><Relationship Id="rId1316" Type="http://schemas.openxmlformats.org/officeDocument/2006/relationships/hyperlink" Target="https://www.reuters.com/world/europe/germany-netherlands-supply-six-more-howitzers-kyiv-2022-06-28/" TargetMode="External"/><Relationship Id="rId1523" Type="http://schemas.openxmlformats.org/officeDocument/2006/relationships/hyperlink" Target="https://appropriations.house.gov/sites/democrats.appropriations.house.gov/files/Additional%20Ukraine%20Suplemental%20Appropriations%20Act%20Summary.pdf" TargetMode="External"/><Relationship Id="rId1730" Type="http://schemas.openxmlformats.org/officeDocument/2006/relationships/hyperlink" Target="https://crsreports.congress.gov/product/pdf/IF/IF12040" TargetMode="External"/><Relationship Id="rId4679" Type="http://schemas.openxmlformats.org/officeDocument/2006/relationships/hyperlink" Target="https://www.bundesregierung.de/breg-en/news/military-support-ukraine-2054992" TargetMode="External"/><Relationship Id="rId22" Type="http://schemas.openxmlformats.org/officeDocument/2006/relationships/hyperlink" Target="https://www.france24.com/en/live-news/20220601-arms-for-ukraine-who-has-sent-what" TargetMode="External"/><Relationship Id="rId3488" Type="http://schemas.openxmlformats.org/officeDocument/2006/relationships/hyperlink" Target="https://www.bundesregierung.de/breg-en/news/military-support-ukraine-2054992" TargetMode="External"/><Relationship Id="rId3695" Type="http://schemas.openxmlformats.org/officeDocument/2006/relationships/hyperlink" Target="https://intermin.fi/en/ukraine/civilian-assistance-to-ukraine" TargetMode="External"/><Relationship Id="rId4539" Type="http://schemas.openxmlformats.org/officeDocument/2006/relationships/hyperlink" Target="https://www.defense.gov/News/Releases/Release/Article/3308633/biden-administration-announces-additional-security-assistance-for-ukraine/" TargetMode="External"/><Relationship Id="rId4746" Type="http://schemas.openxmlformats.org/officeDocument/2006/relationships/hyperlink" Target="https://www.bundesregierung.de/breg-en/news/military-support-ukraine-2054992" TargetMode="External"/><Relationship Id="rId2297" Type="http://schemas.openxmlformats.org/officeDocument/2006/relationships/hyperlink" Target="https://appropriations.house.gov/sites/democrats.appropriations.house.gov/files/Ukraine%20Supplemental%20Summary%20FY23.pdf" TargetMode="External"/><Relationship Id="rId3348" Type="http://schemas.openxmlformats.org/officeDocument/2006/relationships/hyperlink" Target="https://time.com/6244479/himars-rockets-ukraine-russia/" TargetMode="External"/><Relationship Id="rId3555" Type="http://schemas.openxmlformats.org/officeDocument/2006/relationships/hyperlink" Target="https://www.bundesregierung.de/breg-en/news/military-support-ukraine-2054992" TargetMode="External"/><Relationship Id="rId3762" Type="http://schemas.openxmlformats.org/officeDocument/2006/relationships/hyperlink" Target="https://www.state.gov/u-s-security-cooperation-with-ukraine/" TargetMode="External"/><Relationship Id="rId4606" Type="http://schemas.openxmlformats.org/officeDocument/2006/relationships/hyperlink" Target="https://www.macaubusiness.com/portugal-country-to-send-further-99-t-medical-military-equipment-to-ukraine/" TargetMode="External"/><Relationship Id="rId4813" Type="http://schemas.openxmlformats.org/officeDocument/2006/relationships/hyperlink" Target="https://www.bundesregierung.de/breg-en/news/military-support-ukraine-2054992" TargetMode="External"/><Relationship Id="rId269" Type="http://schemas.openxmlformats.org/officeDocument/2006/relationships/hyperlink" Target="https://www.canada.ca/en/global-affairs/news/2022/02/canada-sending-additional-25m-military-aid-to-support-ukraine.html" TargetMode="External"/><Relationship Id="rId476" Type="http://schemas.openxmlformats.org/officeDocument/2006/relationships/hyperlink" Target="https://www.gov.uk/government/publications/world-bank-spring-meetings-2022-uk-governors-statement/world-bank-spring-meetings-2022-uk-governors-statement" TargetMode="External"/><Relationship Id="rId683" Type="http://schemas.openxmlformats.org/officeDocument/2006/relationships/hyperlink" Target="https://www.rp.pl/biznes/art35754421-polska-bron-dla-ukrainy-pierwsze-transporty-dotarly-kolejne-w-drodze" TargetMode="External"/><Relationship Id="rId890" Type="http://schemas.openxmlformats.org/officeDocument/2006/relationships/hyperlink" Target="https://www.regjeringen.no/en/aktuelt/norge-og-storbritannia-gir-langtrekkende-rakettartilleri-til-ukraina/id2921395/" TargetMode="External"/><Relationship Id="rId2157" Type="http://schemas.openxmlformats.org/officeDocument/2006/relationships/hyperlink" Target="https://appropriations.house.gov/sites/democrats.appropriations.house.gov/files/Additional%20Ukraine%20Suplemental%20Appropriations%20Act%20Summary.pdf" TargetMode="External"/><Relationship Id="rId2364" Type="http://schemas.openxmlformats.org/officeDocument/2006/relationships/hyperlink" Target="https://ua.ambafrance.org/Dostavka-1000-t-francuz-koyi-gumaniitarnoyi-dopomogi-ukrayins-kim-adresatam-v" TargetMode="External"/><Relationship Id="rId2571"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3208" Type="http://schemas.openxmlformats.org/officeDocument/2006/relationships/hyperlink" Target="https://www.wired-gov.net/wg/news.nsf/articles/ukukraine+joint+leaders+statement+1+february+2022+03022022124300?open" TargetMode="External"/><Relationship Id="rId3415" Type="http://schemas.openxmlformats.org/officeDocument/2006/relationships/hyperlink" Target="https://www.bundesregierung.de/breg-en/news/military-support-ukraine-2054992" TargetMode="External"/><Relationship Id="rId129" Type="http://schemas.openxmlformats.org/officeDocument/2006/relationships/hyperlink" Target="https://www.bbc.com/news/world-europe-61482305" TargetMode="External"/><Relationship Id="rId336" Type="http://schemas.openxmlformats.org/officeDocument/2006/relationships/hyperlink" Target="https://www.aa.com.tr/en/russia-ukraine-crisis/slovakia-to-send-more-military-supplies-to-ukraine-premier-says/2518136" TargetMode="External"/><Relationship Id="rId543" Type="http://schemas.openxmlformats.org/officeDocument/2006/relationships/hyperlink" Target="https://ec.europa.eu/info/strategy/priorities-2019-2024/stronger-europe-world/eu-solidarity-ukraine/eu-assistance-ukraine_en" TargetMode="External"/><Relationship Id="rId1173" Type="http://schemas.openxmlformats.org/officeDocument/2006/relationships/hyperlink" Target="https://spectator.sme.sk/c/23092666/slovaka-will-provide-winter-package-for-ukraine.html" TargetMode="External"/><Relationship Id="rId1380" Type="http://schemas.openxmlformats.org/officeDocument/2006/relationships/hyperlink" Target="https://appropriations.house.gov/sites/democrats.appropriations.house.gov/files/Ukraine%20Supplemental%20Summary.pdf" TargetMode="External"/><Relationship Id="rId2017" Type="http://schemas.openxmlformats.org/officeDocument/2006/relationships/hyperlink" Target="https://crsreports.congress.gov/product/pdf/IF/IF12040" TargetMode="External"/><Relationship Id="rId2224" Type="http://schemas.openxmlformats.org/officeDocument/2006/relationships/hyperlink" Target="https://appropriations.house.gov/sites/democrats.appropriations.house.gov/files/Ukraine%20Supplemental%20Summary.pdf" TargetMode="External"/><Relationship Id="rId3622" Type="http://schemas.openxmlformats.org/officeDocument/2006/relationships/hyperlink" Target="https://www.bundesregierung.de/breg-en/news/military-support-ukraine-2054992" TargetMode="External"/><Relationship Id="rId403" Type="http://schemas.openxmlformats.org/officeDocument/2006/relationships/hyperlink" Target="https://www.arout.net/france-sends-dozens-of-fire-engines-and-ambulances-to-ukraine-to-support-the-war-against-russia/" TargetMode="External"/><Relationship Id="rId750" Type="http://schemas.openxmlformats.org/officeDocument/2006/relationships/hyperlink" Target="https://www.rtvslo.si/slovenija/sarec-zaveze-natu-ostajajo-zmanjsevanja-sredstev-za-obrambo-ne-bo/631221" TargetMode="External"/><Relationship Id="rId1033" Type="http://schemas.openxmlformats.org/officeDocument/2006/relationships/hyperlink" Target="https://www.dw.com/en/ukraine-updates-zelenskyy-hints-he-is-open-to-talks-with-russia/a-63679013" TargetMode="External"/><Relationship Id="rId2431" Type="http://schemas.openxmlformats.org/officeDocument/2006/relationships/hyperlink" Target="https://militaryleak.com/2022/03/06/canada-to-supply-4500-m72-and-100-carl-gustaf-anti-tank-weapons-to-ukraine/" TargetMode="External"/><Relationship Id="rId4189" Type="http://schemas.openxmlformats.org/officeDocument/2006/relationships/hyperlink" Target="https://www.reuters.com/world/europe/italy-open-supplying-air-defence-systems-ukraine-official-2022-11-08/" TargetMode="External"/><Relationship Id="rId610" Type="http://schemas.openxmlformats.org/officeDocument/2006/relationships/hyperlink" Target="https://www.reuters.com/world/europe/sweden-supply-more-military-aid-including-anti-ship-missiles-ukraine-2022-06-02/" TargetMode="External"/><Relationship Id="rId1240" Type="http://schemas.openxmlformats.org/officeDocument/2006/relationships/hyperlink" Target="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TargetMode="External"/><Relationship Id="rId4049" Type="http://schemas.openxmlformats.org/officeDocument/2006/relationships/hyperlink" Target="https://www.weaponstoukraine.com/kampane/viktor-mobile-air-defense-for-ukraine" TargetMode="External"/><Relationship Id="rId4396" Type="http://schemas.openxmlformats.org/officeDocument/2006/relationships/hyperlink" Target="https://www.bundesregierung.de/resource/blob/975226/2189778/cdb664abe95e6fa74802882bd66ef771/2023-05-14-liste-ukr-unterstuetzung-data.pdf?download=1" TargetMode="External"/><Relationship Id="rId1100" Type="http://schemas.openxmlformats.org/officeDocument/2006/relationships/hyperlink" Target="https://edition.cnn.com/europe/live-news/russia-ukraine-war-news-08-29-22/h_21f066995f2c6fe12ab6605c48c1b9d1" TargetMode="External"/><Relationship Id="rId4256" Type="http://schemas.openxmlformats.org/officeDocument/2006/relationships/hyperlink" Target="https://www.rtlnieuws.nl/nieuws/politiek/artikel/5344701/kabinet-120-miljoen-extra-militaire-steun-voor-oekraine" TargetMode="External"/><Relationship Id="rId4463" Type="http://schemas.openxmlformats.org/officeDocument/2006/relationships/hyperlink" Target="https://www.bundesregierung.de/resource/blob/975226/2189778/cdb664abe95e6fa74802882bd66ef771/2023-05-14-liste-ukr-unterstuetzung-data.pdf?download=1" TargetMode="External"/><Relationship Id="rId4670" Type="http://schemas.openxmlformats.org/officeDocument/2006/relationships/hyperlink" Target="https://www.defense.gov/News/Releases/Release/Article/3402206/biden-administration-announces-additional-security-assistance-for-ukraine/" TargetMode="External"/><Relationship Id="rId1917" Type="http://schemas.openxmlformats.org/officeDocument/2006/relationships/hyperlink" Target="https://appropriations.house.gov/sites/democrats.appropriations.house.gov/files/Ukraine%20Supplemental%20Summary%20FY23.pdf" TargetMode="External"/><Relationship Id="rId3065" Type="http://schemas.openxmlformats.org/officeDocument/2006/relationships/hyperlink" Target="https://www.mod.gov.lv/lv/zinas/i-murniece-kijiva-tiekas-ar-ukrainas-aizsardzibas-ministru" TargetMode="External"/><Relationship Id="rId3272" Type="http://schemas.openxmlformats.org/officeDocument/2006/relationships/hyperlink" Target="https://euromaidanpress.com/2022/10/30/italy-allegedly-supplied-many-heavy-weapons-to-ukraine-but-didnt-disclose-it-earlier-la-repubblica/" TargetMode="External"/><Relationship Id="rId4116" Type="http://schemas.openxmlformats.org/officeDocument/2006/relationships/hyperlink" Target="https://mil.in.ua/en/news/estonia-provides-ukraine-with-new-military-aid-package/" TargetMode="External"/><Relationship Id="rId4323" Type="http://schemas.openxmlformats.org/officeDocument/2006/relationships/hyperlink" Target="https://www.bundesregierung.de/resource/blob/975226/2189778/cdb664abe95e6fa74802882bd66ef771/2023-05-14-liste-ukr-unterstuetzung-data.pdf?download=1" TargetMode="External"/><Relationship Id="rId4530" Type="http://schemas.openxmlformats.org/officeDocument/2006/relationships/hyperlink" Target="https://www.europapress.es/nacional/noticia-espana-enviara-ucrania-20-vehiculos-blindados-transporte-personal-20230201164934.html?utm_campaign=smartclip_social&amp;utm_medium=Social&amp;utm_source=Twitter" TargetMode="External"/><Relationship Id="rId193"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2081" Type="http://schemas.openxmlformats.org/officeDocument/2006/relationships/hyperlink" Target="https://appropriations.house.gov/sites/democrats.appropriations.house.gov/files/Ukraine%20Supplemental%20Summary%20FY23.pdf" TargetMode="External"/><Relationship Id="rId3132" Type="http://schemas.openxmlformats.org/officeDocument/2006/relationships/hyperlink" Target="https://www.mod.mil.gr/symmetochi-yetha-nikolaoy-panagiotopoyloy-sti-synantisi-ukraine-defence-contact-group/" TargetMode="External"/><Relationship Id="rId260" Type="http://schemas.openxmlformats.org/officeDocument/2006/relationships/hyperlink" Target="https://tapportals.mk.gov.lv/legal_acts/4cc2e5ed-8d7f-4052-8aaa-9a3a1d472b7d" TargetMode="External"/><Relationship Id="rId120" Type="http://schemas.openxmlformats.org/officeDocument/2006/relationships/hyperlink" Target="https://www.defense.gouv.fr/terre/actualites/uiisc-1-3e-convoi-solidarite-lukraine" TargetMode="External"/><Relationship Id="rId2898" Type="http://schemas.openxmlformats.org/officeDocument/2006/relationships/hyperlink" Target="https://www.vlada.cz/en/media-centrum/tiskove-zpravy/czechia-sends-hundreds-of-heavy-military-systems-worth-tens-of-billions-to-ukraine-during-the-first-year-of-russian-invasion-203252/" TargetMode="External"/><Relationship Id="rId3949" Type="http://schemas.openxmlformats.org/officeDocument/2006/relationships/hyperlink" Target="https://www.defense.gov/News/Releases/Release/Article/3388890/biden-administration-announces-additional-security-assistance-for-ukraine/" TargetMode="External"/><Relationship Id="rId2758" Type="http://schemas.openxmlformats.org/officeDocument/2006/relationships/hyperlink" Target="https://www.defense.gov/News/Releases/Release/Article/3272866/biden-administration-announces-additional-security-assistance-for-ukraine/" TargetMode="External"/><Relationship Id="rId2965" Type="http://schemas.openxmlformats.org/officeDocument/2006/relationships/hyperlink" Target="https://de.ambafrance.org/Bilan-de-l-aide-apportee-par-la-France-a-l-Ukraine-fevrier-2023" TargetMode="External"/><Relationship Id="rId3809" Type="http://schemas.openxmlformats.org/officeDocument/2006/relationships/hyperlink" Target="https://www.defense.gov/News/Releases/Release/Article/3350958/biden-administration-announces-additional-security-assistance-for-ukraine/" TargetMode="External"/><Relationship Id="rId937" Type="http://schemas.openxmlformats.org/officeDocument/2006/relationships/hyperlink" Target="https://www.admin.ch/gov/en/start/documentation/media-releases.msg-id-91098.html" TargetMode="External"/><Relationship Id="rId1567" Type="http://schemas.openxmlformats.org/officeDocument/2006/relationships/hyperlink" Target="https://appropriations.house.gov/sites/democrats.appropriations.house.gov/files/Additional%20Ukraine%20Suplemental%20Appropriations%20Act%20Summary.pdf" TargetMode="External"/><Relationship Id="rId1774" Type="http://schemas.openxmlformats.org/officeDocument/2006/relationships/hyperlink" Target="https://crsreports.congress.gov/product/pdf/IF/IF12040" TargetMode="External"/><Relationship Id="rId1981" Type="http://schemas.openxmlformats.org/officeDocument/2006/relationships/hyperlink" Target="https://crsreports.congress.gov/product/pdf/IF/IF12040" TargetMode="External"/><Relationship Id="rId2618"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2825" Type="http://schemas.openxmlformats.org/officeDocument/2006/relationships/hyperlink" Target="https://crsreports.congress.gov/product/pdf/IF/IF12040" TargetMode="External"/><Relationship Id="rId4180" Type="http://schemas.openxmlformats.org/officeDocument/2006/relationships/hyperlink" Target="https://apnews.com/article/greece-ukraine-russia-arms-reznikov-b8255c6473e7f01cced6202af2c073da" TargetMode="External"/><Relationship Id="rId66" Type="http://schemas.openxmlformats.org/officeDocument/2006/relationships/hyperlink" Target="https://www-regjeringen-no.translate.goog/no/aktuelt/norge-har-donert-artilleriskyts-til-ukraina/id2917760/?_x_tr_sl=auto&amp;_x_tr_tl=auto&amp;_x_tr_hl=de" TargetMode="External"/><Relationship Id="rId1427" Type="http://schemas.openxmlformats.org/officeDocument/2006/relationships/hyperlink" Target="https://appropriations.house.gov/sites/democrats.appropriations.house.gov/files/Ukraine%20Supplemental%20Summary.pdf" TargetMode="External"/><Relationship Id="rId1634" Type="http://schemas.openxmlformats.org/officeDocument/2006/relationships/hyperlink" Target="https://appropriations.house.gov/sites/democrats.appropriations.house.gov/files/Additional%20Ukraine%20Suplemental%20Appropriations%20Act%20Summary.pdf" TargetMode="External"/><Relationship Id="rId1841" Type="http://schemas.openxmlformats.org/officeDocument/2006/relationships/hyperlink" Target="https://appropriations.house.gov/sites/democrats.appropriations.house.gov/files/Summary%20Continuing%20Appropriations%20and%20Ukraine%20Supplemental%20Appropriations%20Act%202023.pdf" TargetMode="External"/><Relationship Id="rId4040" Type="http://schemas.openxmlformats.org/officeDocument/2006/relationships/hyperlink" Target="https://www.defensie.nl/onderwerpen/oostflank-navo-gebied/militaire-steun-aan-oekraine" TargetMode="External"/><Relationship Id="rId3599" Type="http://schemas.openxmlformats.org/officeDocument/2006/relationships/hyperlink" Target="https://nordicmonitor.com/2022/03/turkey-deployed-personnel-to-operate-armed-drones-in-targeting-russian-military/" TargetMode="External"/><Relationship Id="rId1701" Type="http://schemas.openxmlformats.org/officeDocument/2006/relationships/hyperlink" Target="https://crsreports.congress.gov/product/pdf/IF/IF12040" TargetMode="External"/><Relationship Id="rId3459" Type="http://schemas.openxmlformats.org/officeDocument/2006/relationships/hyperlink" Target="https://www.bundesregierung.de/breg-en/news/military-support-ukraine-2054992" TargetMode="External"/><Relationship Id="rId3666" Type="http://schemas.openxmlformats.org/officeDocument/2006/relationships/hyperlink" Target="https://fm.dk/media/26849/faktaark_-civil-stoette-til-ukraine-og-oevrige-oestlige-naboskabslande-i-2023.pdf" TargetMode="External"/><Relationship Id="rId587" Type="http://schemas.openxmlformats.org/officeDocument/2006/relationships/hyperlink" Target="https://www.tellerreport.com/news/2022-05-26-south-korea-to-provide-ukraine-with-chemical-defense-equipment-worth-1-5-billion-won.HJuNwyTvc.html" TargetMode="External"/><Relationship Id="rId2268" Type="http://schemas.openxmlformats.org/officeDocument/2006/relationships/hyperlink" Target="https://crsreports.congress.gov/product/pdf/IF/IF12040" TargetMode="External"/><Relationship Id="rId3319" Type="http://schemas.openxmlformats.org/officeDocument/2006/relationships/hyperlink" Target="https://www.government.se/government-policy/russias-invasion-of-ukraine/?page=3" TargetMode="External"/><Relationship Id="rId3873" Type="http://schemas.openxmlformats.org/officeDocument/2006/relationships/hyperlink" Target="https://www.state.gov/u-s-security-cooperation-with-ukraine/" TargetMode="External"/><Relationship Id="rId4717" Type="http://schemas.openxmlformats.org/officeDocument/2006/relationships/hyperlink" Target="https://www.bundesregierung.de/breg-en/news/military-support-ukraine-2054992" TargetMode="External"/><Relationship Id="rId447" Type="http://schemas.openxmlformats.org/officeDocument/2006/relationships/hyperlink" Target="https://www.regjeringen.no/en/topics/foreign-affairs/humanitarian-efforts/neighbour_support/id2908141/" TargetMode="External"/><Relationship Id="rId794" Type="http://schemas.openxmlformats.org/officeDocument/2006/relationships/hyperlink" Target="https://www.defense.gov/News/Releases/Release/Article/3152071/675-million-in-additional-security-assistance-for-ukraine/" TargetMode="External"/><Relationship Id="rId1077" Type="http://schemas.openxmlformats.org/officeDocument/2006/relationships/hyperlink" Target="https://www.lemonde.fr/en/international/article/2022/10/12/macron-promises-air-defense-systems-for-ukraine-calls-for-putin-to-discuss-peace_6000130_4.html" TargetMode="External"/><Relationship Id="rId2128" Type="http://schemas.openxmlformats.org/officeDocument/2006/relationships/hyperlink" Target="https://crsreports.congress.gov/product/pdf/IF/IF12040" TargetMode="External"/><Relationship Id="rId2475" Type="http://schemas.openxmlformats.org/officeDocument/2006/relationships/hyperlink" Target="https://www.brusselstimes.com/278107/belgium-provides-e8-million-for-non-lethal-help-to-ukraine" TargetMode="External"/><Relationship Id="rId2682" Type="http://schemas.openxmlformats.org/officeDocument/2006/relationships/hyperlink" Target="https://www.aa.com.tr/en/russia-ukraine-war/belgium-tried-to-donate-nearly-expired-drugs-to-ukraine-report/2591304" TargetMode="External"/><Relationship Id="rId3526" Type="http://schemas.openxmlformats.org/officeDocument/2006/relationships/hyperlink" Target="https://www.bundesregierung.de/breg-en/news/military-support-ukraine-2054992" TargetMode="External"/><Relationship Id="rId3733" Type="http://schemas.openxmlformats.org/officeDocument/2006/relationships/hyperlink" Target="https://www.government.se/articles/2023/01/heavy-advanced-weapons-to-ukraine/" TargetMode="External"/><Relationship Id="rId3940" Type="http://schemas.openxmlformats.org/officeDocument/2006/relationships/hyperlink" Target="https://www.defense.gov/News/Releases/Release/Article/3350958/biden-administration-announces-additional-security-assistance-for-ukraine/" TargetMode="External"/><Relationship Id="rId654" Type="http://schemas.openxmlformats.org/officeDocument/2006/relationships/hyperlink" Target="https://www.volkskrant.nl/nieuws-achtergrond/nederland-levert-militaire-goederen-en-wapens-aan-oekraine-ter-waarde-van-7-4-miljoen-euro~be2a2004/?referrer=https%3A%2F%2Fen.wikipedia.org%2F" TargetMode="External"/><Relationship Id="rId861" Type="http://schemas.openxmlformats.org/officeDocument/2006/relationships/hyperlink" Target="https://twitter.com/oleksiireznikov/status/1569670474841427971" TargetMode="External"/><Relationship Id="rId1284" Type="http://schemas.openxmlformats.org/officeDocument/2006/relationships/hyperlink" Target="https://www.bmz.de/de/laender/ukraine" TargetMode="External"/><Relationship Id="rId1491" Type="http://schemas.openxmlformats.org/officeDocument/2006/relationships/hyperlink" Target="https://appropriations.house.gov/sites/democrats.appropriations.house.gov/files/Ukraine%20Supplemental%20Summary.pdf" TargetMode="External"/><Relationship Id="rId2335" Type="http://schemas.openxmlformats.org/officeDocument/2006/relationships/hyperlink" Target="https://www.globalcitizen.org/en/content/australia-ukraine-aid-follow-up/" TargetMode="External"/><Relationship Id="rId2542" Type="http://schemas.openxmlformats.org/officeDocument/2006/relationships/hyperlink" Target="https://www.euractiv.com/section/politics/short_news/belgium-to-provide-e8-million-for-non-lethal-aid-to-ukraines-armed-forces/" TargetMode="External"/><Relationship Id="rId3800" Type="http://schemas.openxmlformats.org/officeDocument/2006/relationships/hyperlink" Target="https://www.state.gov/u-s-security-cooperation-with-ukraine/" TargetMode="External"/><Relationship Id="rId307" Type="http://schemas.openxmlformats.org/officeDocument/2006/relationships/hyperlink" Target="https://www.aa.com.tr/en/russia-ukraine-crisis/slovakia-to-send-more-military-supplies-to-ukraine-premier-says/2518136" TargetMode="External"/><Relationship Id="rId514" Type="http://schemas.openxmlformats.org/officeDocument/2006/relationships/hyperlink" Target="https://www.youtube.com/watch?v=A1nTsblXabc" TargetMode="External"/><Relationship Id="rId721" Type="http://schemas.openxmlformats.org/officeDocument/2006/relationships/hyperlink" Target="https://defence-blog.com/lithuania-to-send-more-armored-vehicles-to-ukraine/" TargetMode="External"/><Relationship Id="rId1144" Type="http://schemas.openxmlformats.org/officeDocument/2006/relationships/hyperlink" Target="https://commonslibrary.parliament.uk/research-briefings/cbp-9477/" TargetMode="External"/><Relationship Id="rId1351" Type="http://schemas.openxmlformats.org/officeDocument/2006/relationships/hyperlink" Target="https://www.kmu.gov.ua/en/news/ukraina-otrymala-100-mln-ievro-vid-frantsii" TargetMode="External"/><Relationship Id="rId2402" Type="http://schemas.openxmlformats.org/officeDocument/2006/relationships/hyperlink" Target="https://www.mofa.go.jp/press/release/press4e_003098.html" TargetMode="External"/><Relationship Id="rId1004" Type="http://schemas.openxmlformats.org/officeDocument/2006/relationships/hyperlink" Target="https://gagadget.com/en/138343-the-uk-bought-and-repaired-more-than-20-m109-self-propelled-guns-now-they-are-being-sent-to-ukraine/" TargetMode="External"/><Relationship Id="rId1211" Type="http://schemas.openxmlformats.org/officeDocument/2006/relationships/hyperlink" Target="https://www.defense.gov/News/Releases/Release/Article/3227217/400-million-in-additional-assistance-for-ukraine/" TargetMode="External"/><Relationship Id="rId4367" Type="http://schemas.openxmlformats.org/officeDocument/2006/relationships/hyperlink" Target="https://www.bundesregierung.de/resource/blob/975226/2189778/cdb664abe95e6fa74802882bd66ef771/2023-05-14-liste-ukr-unterstuetzung-data.pdf?download=1" TargetMode="External"/><Relationship Id="rId4574" Type="http://schemas.openxmlformats.org/officeDocument/2006/relationships/hyperlink" Target="https://www.beehive.govt.nz/release/increase-nz-support-ukraine" TargetMode="External"/><Relationship Id="rId4781" Type="http://schemas.openxmlformats.org/officeDocument/2006/relationships/hyperlink" Target="https://www.bundesregierung.de/breg-en/news/military-support-ukraine-2054992" TargetMode="External"/><Relationship Id="rId3176" Type="http://schemas.openxmlformats.org/officeDocument/2006/relationships/hyperlink" Target="https://economy-finance.ec.europa.eu/system/files/2022-04/ukraine_mou_emergency_mfa_signed.pdf" TargetMode="External"/><Relationship Id="rId3383" Type="http://schemas.openxmlformats.org/officeDocument/2006/relationships/hyperlink" Target="https://www.army-technology.com/news/germany-norway-denmark-zuzana2-ukraine/" TargetMode="External"/><Relationship Id="rId3590" Type="http://schemas.openxmlformats.org/officeDocument/2006/relationships/hyperlink" Target="https://www.swissinfo.ch/eng/switzerland-approves-chf80-million-in-emergency-aid-for-ukraine/47423096?utm_campaign=teaser-in-article&amp;utm_source=swissinfoch&amp;utm_content=o&amp;utm_medium=display" TargetMode="External"/><Relationship Id="rId4227" Type="http://schemas.openxmlformats.org/officeDocument/2006/relationships/hyperlink" Target="https://www.etterretningen.no/2022/06/10/norwegian-support-to-ukraine-and-neighbouring-countries/" TargetMode="External"/><Relationship Id="rId4434" Type="http://schemas.openxmlformats.org/officeDocument/2006/relationships/hyperlink" Target="https://www.bundesregierung.de/resource/blob/975226/2189778/cdb664abe95e6fa74802882bd66ef771/2023-05-14-liste-ukr-unterstuetzung-data.pdf?download=1" TargetMode="External"/><Relationship Id="rId2192" Type="http://schemas.openxmlformats.org/officeDocument/2006/relationships/hyperlink" Target="https://appropriations.house.gov/sites/democrats.appropriations.house.gov/files/Additional%20Ukraine%20Suplemental%20Appropriations%20Act%20Summary.pdf" TargetMode="External"/><Relationship Id="rId3036" Type="http://schemas.openxmlformats.org/officeDocument/2006/relationships/hyperlink" Target="https://www.defensie.nl/onderwerpen/oostflank-navo-gebied/nieuws/2023/01/20/details-bekend-over-nederlandse-levering-patriot-luchtverdediging-aan-oekraine" TargetMode="External"/><Relationship Id="rId3243" Type="http://schemas.openxmlformats.org/officeDocument/2006/relationships/hyperlink" Target="https://focustaiwan.tw/politics/202206030014" TargetMode="External"/><Relationship Id="rId4641" Type="http://schemas.openxmlformats.org/officeDocument/2006/relationships/hyperlink" Target="https://www.weaponstoukraine.com/kampane/viktor-mobile-air-defense-for-ukraine" TargetMode="External"/><Relationship Id="rId164" Type="http://schemas.openxmlformats.org/officeDocument/2006/relationships/hyperlink" Target="https://delano.lu/article/luxembourg-delivering-substant" TargetMode="External"/><Relationship Id="rId371" Type="http://schemas.openxmlformats.org/officeDocument/2006/relationships/hyperlink" Target="https://www.canada.ca/en/department-national-defence/news/2022/03/defence-minister-anand-announces-additional-military-support-to-ukraine.html?msclkid=50865665ab9011ecbb2d77d3ecd6e3a6" TargetMode="External"/><Relationship Id="rId2052" Type="http://schemas.openxmlformats.org/officeDocument/2006/relationships/hyperlink" Target="https://appropriations.house.gov/sites/democrats.appropriations.house.gov/files/Summary%20Continuing%20Appropriations%20and%20Ukraine%20Supplemental%20Appropriations%20Act%202023.pdf" TargetMode="External"/><Relationship Id="rId3450" Type="http://schemas.openxmlformats.org/officeDocument/2006/relationships/hyperlink" Target="https://www.bundesregierung.de/breg-en/news/military-support-ukraine-2054992" TargetMode="External"/><Relationship Id="rId4501" Type="http://schemas.openxmlformats.org/officeDocument/2006/relationships/hyperlink" Target="https://www.bundeskanzleramt.gv.at/dam/jcr:523fec33-5d5d-4ded-a4e9-1058c58aefe9/46_16_mrv.pdf" TargetMode="External"/><Relationship Id="rId3103" Type="http://schemas.openxmlformats.org/officeDocument/2006/relationships/hyperlink" Target="https://www.government.nl/latest/news/2022/12/23/netherlands-support-ukraine-2023-news" TargetMode="External"/><Relationship Id="rId3310" Type="http://schemas.openxmlformats.org/officeDocument/2006/relationships/hyperlink" Target="https://crsreports.congress.gov/product/pdf/IF/IF12040" TargetMode="External"/><Relationship Id="rId231" Type="http://schemas.openxmlformats.org/officeDocument/2006/relationships/hyperlink" Target="https://um.dk/danida/lande-og-regioner/ukraine" TargetMode="External"/><Relationship Id="rId2869" Type="http://schemas.openxmlformats.org/officeDocument/2006/relationships/hyperlink" Target="https://www.jutarnji.hr/vijesti/hrvatska/ukrajini-saljemo-14-rabljenih-ruskih-helikoptera-zauzvrat-dobivamo-americke-black-hawkove-15275768" TargetMode="External"/><Relationship Id="rId1678" Type="http://schemas.openxmlformats.org/officeDocument/2006/relationships/hyperlink" Target="https://crsreports.congress.gov/product/pdf/IF/IF12040" TargetMode="External"/><Relationship Id="rId1885" Type="http://schemas.openxmlformats.org/officeDocument/2006/relationships/hyperlink" Target="https://appropriations.house.gov/sites/democrats.appropriations.house.gov/files/Ukraine%20Supplemental%20Summary%20FY23.pdf" TargetMode="External"/><Relationship Id="rId2729" Type="http://schemas.openxmlformats.org/officeDocument/2006/relationships/hyperlink" Target="https://www.regjeringen.no/en/topics/foreign-affairs/humanitarian-efforts/neighbour_support/id2908141/?expand=factbox2963912" TargetMode="External"/><Relationship Id="rId2936" Type="http://schemas.openxmlformats.org/officeDocument/2006/relationships/hyperlink" Target="https://www.facebook.com/MinInfra.UA/posts/pfbid02bGQE1mPEedRvG9J7XqtSXznjDxwyJAKCTkWNVt5HSqzB132qJErWycxThrVfUKfvl" TargetMode="External"/><Relationship Id="rId4084" Type="http://schemas.openxmlformats.org/officeDocument/2006/relationships/hyperlink" Target="https://reliefweb.int/report/ukraine/joint-statement-uk-poland-humanitarian-shelter-project" TargetMode="External"/><Relationship Id="rId4291" Type="http://schemas.openxmlformats.org/officeDocument/2006/relationships/hyperlink" Target="https://www.eapb.eu/media-corner/news/599:bgk-polish-development-bank-has-donated-pln-30-million-to-help-ukraine.html" TargetMode="External"/><Relationship Id="rId908" Type="http://schemas.openxmlformats.org/officeDocument/2006/relationships/hyperlink" Target="https://um.dk/en/foreign-policy/danish-support-for-ukraine" TargetMode="External"/><Relationship Id="rId1538" Type="http://schemas.openxmlformats.org/officeDocument/2006/relationships/hyperlink" Target="https://appropriations.house.gov/sites/democrats.appropriations.house.gov/files/Additional%20Ukraine%20Suplemental%20Appropriations%20Act%20Summary.pdf" TargetMode="External"/><Relationship Id="rId4151" Type="http://schemas.openxmlformats.org/officeDocument/2006/relationships/hyperlink" Target="https://www.armyrecognition.com/defense_news_march_2023_global_security_army_industry/estonia_to_send_more_sako_sniper_rifles_and_special_forces_equipment_to_ukraine.html" TargetMode="External"/><Relationship Id="rId1745" Type="http://schemas.openxmlformats.org/officeDocument/2006/relationships/hyperlink" Target="https://crsreports.congress.gov/product/pdf/IF/IF12040" TargetMode="External"/><Relationship Id="rId1952" Type="http://schemas.openxmlformats.org/officeDocument/2006/relationships/hyperlink" Target="https://crsreports.congress.gov/product/pdf/IF/IF12040" TargetMode="External"/><Relationship Id="rId4011" Type="http://schemas.openxmlformats.org/officeDocument/2006/relationships/hyperlink" Target="https://kariuomene.lt/kas-mes-esame/naujienos/vilniuje-lankysis-jungtines-karalystes-kariuomenes-vadas/17044" TargetMode="External"/><Relationship Id="rId37" Type="http://schemas.openxmlformats.org/officeDocument/2006/relationships/hyperlink" Target="https://www.bmi.gv.at/news.aspx?id=69543149763057644C4C633D" TargetMode="External"/><Relationship Id="rId1605" Type="http://schemas.openxmlformats.org/officeDocument/2006/relationships/hyperlink" Target="https://appropriations.house.gov/sites/democrats.appropriations.house.gov/files/Additional%20Ukraine%20Suplemental%20Appropriations%20Act%20Summary.pdf" TargetMode="External"/><Relationship Id="rId1812" Type="http://schemas.openxmlformats.org/officeDocument/2006/relationships/hyperlink" Target="https://appropriations.house.gov/sites/democrats.appropriations.house.gov/files/Ukraine%20Supplemental%20Summary%20FY23.pdf" TargetMode="External"/><Relationship Id="rId3777" Type="http://schemas.openxmlformats.org/officeDocument/2006/relationships/hyperlink" Target="https://www.defense.gov/News/Releases/Release/Article/3334472/dod-announces-additional-security-assistance-for-ukraine/" TargetMode="External"/><Relationship Id="rId3984" Type="http://schemas.openxmlformats.org/officeDocument/2006/relationships/hyperlink" Target="https://diplomatie.belgium.be/en/news/new-belgian-aid-package-approved-ukraine" TargetMode="External"/><Relationship Id="rId4828" Type="http://schemas.openxmlformats.org/officeDocument/2006/relationships/hyperlink" Target="https://www.bundesregierung.de/breg-en/news/military-support-ukraine-2054992" TargetMode="External"/><Relationship Id="rId698" Type="http://schemas.openxmlformats.org/officeDocument/2006/relationships/hyperlink" Target="https://appropriations.house.gov/sites/democrats.appropriations.house.gov/files/Additional%20Ukraine%20Suplemental%20Appropriations%20Act%20Summary.pdf" TargetMode="External"/><Relationship Id="rId2379" Type="http://schemas.openxmlformats.org/officeDocument/2006/relationships/hyperlink" Target="https://www.euronews.com/2022/09/29/cargo-ship-with-1000-tonnes-of-ukraine-aid-sets-sail-from-marseille" TargetMode="External"/><Relationship Id="rId2586" Type="http://schemas.openxmlformats.org/officeDocument/2006/relationships/hyperlink" Target="https://www.premier.be/sites/default/files/articles/BE%20support%20militaire.pdf" TargetMode="External"/><Relationship Id="rId2793" Type="http://schemas.openxmlformats.org/officeDocument/2006/relationships/hyperlink" Target="https://www.defense.gov/News/Releases/Release/Article/3287992/biden-administration-announces-additional-security-assistance-for-ukraine/" TargetMode="External"/><Relationship Id="rId3637" Type="http://schemas.openxmlformats.org/officeDocument/2006/relationships/hyperlink" Target="https://www.reuters.com/world/south-korea-signs-130-mln-aid-package-with-ukrainian-minister-2023-05-17/" TargetMode="External"/><Relationship Id="rId3844" Type="http://schemas.openxmlformats.org/officeDocument/2006/relationships/hyperlink" Target="https://www.state.gov/u-s-security-cooperation-with-ukraine/" TargetMode="External"/><Relationship Id="rId558" Type="http://schemas.openxmlformats.org/officeDocument/2006/relationships/hyperlink" Target="https://ec.europa.eu/info/business-economy-euro/economic-and-fiscal-policy-coordination/international-economic-relations/enlargement-and-neighbouring-countries/neighbouring-countries-eu/neighbourhood-countries/ukraine_en" TargetMode="External"/><Relationship Id="rId765" Type="http://schemas.openxmlformats.org/officeDocument/2006/relationships/hyperlink" Target="https://twitter.com/oleksiireznikov/status/1565001295177687045" TargetMode="External"/><Relationship Id="rId972" Type="http://schemas.openxmlformats.org/officeDocument/2006/relationships/hyperlink" Target="https://gemeindebund.at/gemeinden-blaulichtorganisationen-und-unternehmen-helfen-der-ukraine/" TargetMode="External"/><Relationship Id="rId1188" Type="http://schemas.openxmlformats.org/officeDocument/2006/relationships/hyperlink" Target="https://interfax.com.ua/news/general/881342.html" TargetMode="External"/><Relationship Id="rId1395" Type="http://schemas.openxmlformats.org/officeDocument/2006/relationships/hyperlink" Target="https://appropriations.house.gov/sites/democrats.appropriations.house.gov/files/Ukraine%20Supplemental%20Summary.pdf" TargetMode="External"/><Relationship Id="rId2239" Type="http://schemas.openxmlformats.org/officeDocument/2006/relationships/hyperlink" Target="https://appropriations.house.gov/sites/democrats.appropriations.house.gov/files/Ukraine%20Supplemental%20Summary.pdf" TargetMode="External"/><Relationship Id="rId2446" Type="http://schemas.openxmlformats.org/officeDocument/2006/relationships/hyperlink" Target="https://www.kmu.gov.ua/news/ukraina-i-avstriia-domovylys-pro-ekonomichnu-spivpratsiu-u-rozvytku-proektiv" TargetMode="External"/><Relationship Id="rId2653" Type="http://schemas.openxmlformats.org/officeDocument/2006/relationships/hyperlink" Target="https://www.reuters.com/world/europe/spain-says-its-mothballed-german-made-tanks-no-fit-state-send-ukraine-2022-08-02/" TargetMode="External"/><Relationship Id="rId2860" Type="http://schemas.openxmlformats.org/officeDocument/2006/relationships/hyperlink" Target="https://www.defense.gov/News/Releases/Release/Article/3287992/biden-administration-announces-additional-security-assistance-for-ukraine/" TargetMode="External"/><Relationship Id="rId3704" Type="http://schemas.openxmlformats.org/officeDocument/2006/relationships/hyperlink" Target="https://tulli.fi/en/-/finnish-customs-sold-its-legally-forfeited-cryptocurrencies" TargetMode="External"/><Relationship Id="rId418" Type="http://schemas.openxmlformats.org/officeDocument/2006/relationships/hyperlink" Target="https://reliefweb.int/report/ukraine/uk-pledges-another-80-million-aid-help-ukraine-deal-humanitarian-crisis" TargetMode="External"/><Relationship Id="rId625" Type="http://schemas.openxmlformats.org/officeDocument/2006/relationships/hyperlink" Target="https://www.lefigaro.fr/flash-actu/la-france-a-envoye-33-tonnes-d-aide-humanitaire-pour-l-ukraine-20220228" TargetMode="External"/><Relationship Id="rId832" Type="http://schemas.openxmlformats.org/officeDocument/2006/relationships/hyperlink" Target="https://www.defense.gov/News/Releases/Release/Article/3173378/11-billion-in-additional-security-assistance-for-ukraine/" TargetMode="External"/><Relationship Id="rId1048" Type="http://schemas.openxmlformats.org/officeDocument/2006/relationships/hyperlink" Target="https://kaitseministeerium.ee/en/news/estonia-increase-defence-aid-ukraine" TargetMode="External"/><Relationship Id="rId1255" Type="http://schemas.openxmlformats.org/officeDocument/2006/relationships/hyperlink" Target="https://www.stripes.com/theaters/us/2022-05-23/ukraine-russia-war-military-weapons-6104132.html" TargetMode="External"/><Relationship Id="rId1462" Type="http://schemas.openxmlformats.org/officeDocument/2006/relationships/hyperlink" Target="https://appropriations.house.gov/sites/democrats.appropriations.house.gov/files/Ukraine%20Supplemental%20Summary.pdf" TargetMode="External"/><Relationship Id="rId2306" Type="http://schemas.openxmlformats.org/officeDocument/2006/relationships/hyperlink" Target="https://appropriations.house.gov/sites/democrats.appropriations.house.gov/files/Ukraine%20Supplemental%20Summary%20FY23.pdf" TargetMode="External"/><Relationship Id="rId2513" Type="http://schemas.openxmlformats.org/officeDocument/2006/relationships/hyperlink" Target="https://mil.in.ua/en/news/belgium-made-a-decision-to-hand-over-artillery-to-ukraine-the-media/" TargetMode="External"/><Relationship Id="rId3911" Type="http://schemas.openxmlformats.org/officeDocument/2006/relationships/hyperlink" Target="https://www.state.gov/u-s-security-cooperation-with-ukraine/" TargetMode="External"/><Relationship Id="rId1115" Type="http://schemas.openxmlformats.org/officeDocument/2006/relationships/hyperlink" Target="https://www.mfa.gov.lv/en/article/foreign-ministry-awards-grants-development-cooperation-projects-2022-2023" TargetMode="External"/><Relationship Id="rId1322" Type="http://schemas.openxmlformats.org/officeDocument/2006/relationships/hyperlink" Target="https://www.gov.uk/government/news/uk-to-give-artillery-rounds-and-helicopters-to-help-defend-ukraine" TargetMode="External"/><Relationship Id="rId2720" Type="http://schemas.openxmlformats.org/officeDocument/2006/relationships/hyperlink" Target="https://www.regjeringen.no/en/aktuelt/brusselnyhet/id2963053/" TargetMode="External"/><Relationship Id="rId4478" Type="http://schemas.openxmlformats.org/officeDocument/2006/relationships/hyperlink" Target="https://www.bundesregierung.de/resource/blob/975226/2189778/cdb664abe95e6fa74802882bd66ef771/2023-05-14-liste-ukr-unterstuetzung-data.pdf?download=1" TargetMode="External"/><Relationship Id="rId3287" Type="http://schemas.openxmlformats.org/officeDocument/2006/relationships/hyperlink" Target="https://twitter.com/a_anusauskas/status/1617576539377500160?cxt=HHwWgIDQqdrS5PIsAAAA" TargetMode="External"/><Relationship Id="rId4338" Type="http://schemas.openxmlformats.org/officeDocument/2006/relationships/hyperlink" Target="https://www.bundesregierung.de/resource/blob/975226/2189778/cdb664abe95e6fa74802882bd66ef771/2023-05-14-liste-ukr-unterstuetzung-data.pdf?download=1" TargetMode="External"/><Relationship Id="rId4685" Type="http://schemas.openxmlformats.org/officeDocument/2006/relationships/hyperlink" Target="https://www.bundesregierung.de/breg-en/news/military-support-ukraine-2054992" TargetMode="External"/><Relationship Id="rId2096" Type="http://schemas.openxmlformats.org/officeDocument/2006/relationships/hyperlink" Target="https://appropriations.house.gov/sites/democrats.appropriations.house.gov/files/Ukraine%20Supplemental%20Summary.pdf" TargetMode="External"/><Relationship Id="rId3494" Type="http://schemas.openxmlformats.org/officeDocument/2006/relationships/hyperlink" Target="https://www.bundesregierung.de/breg-en/news/military-support-ukraine-2054992" TargetMode="External"/><Relationship Id="rId4545" Type="http://schemas.openxmlformats.org/officeDocument/2006/relationships/hyperlink" Target="https://www.defense.gov/News/Releases/Release/Article/3308633/biden-administration-announces-additional-security-assistance-for-ukraine/" TargetMode="External"/><Relationship Id="rId4752" Type="http://schemas.openxmlformats.org/officeDocument/2006/relationships/hyperlink" Target="https://www.bundesregierung.de/breg-en/news/military-support-ukraine-2054992" TargetMode="External"/><Relationship Id="rId3147" Type="http://schemas.openxmlformats.org/officeDocument/2006/relationships/hyperlink" Target="https://www.gov.uk/government/speeches/ukraine-foreign-secretary-opens-general-debate-february-2023" TargetMode="External"/><Relationship Id="rId3354" Type="http://schemas.openxmlformats.org/officeDocument/2006/relationships/hyperlink" Target="https://www.mof.gov.ua/uk/news/minfin_ukraina_otrimaie_vid_kanadi_dodatkovikh_450_mln_kanadskikh_dolariv-3544" TargetMode="External"/><Relationship Id="rId3561" Type="http://schemas.openxmlformats.org/officeDocument/2006/relationships/hyperlink" Target="https://www.worldbank.org/en/country/ukraine/brief/world-bank-emergency-financing-package-for-ukraine" TargetMode="External"/><Relationship Id="rId4405" Type="http://schemas.openxmlformats.org/officeDocument/2006/relationships/hyperlink" Target="https://www.bundesregierung.de/resource/blob/975226/2189778/cdb664abe95e6fa74802882bd66ef771/2023-05-14-liste-ukr-unterstuetzung-data.pdf?download=1" TargetMode="External"/><Relationship Id="rId4612" Type="http://schemas.openxmlformats.org/officeDocument/2006/relationships/hyperlink" Target="https://web.archive.org/web/20230524183203/https:/www.defesa.gov.pt/pt/comunicacao/documentos/Lists/PDEFINTER_DocumentoLookupList/apoio_militar_Portugal_Ucrania_20230503.pdf" TargetMode="External"/><Relationship Id="rId275" Type="http://schemas.openxmlformats.org/officeDocument/2006/relationships/hyperlink" Target="https://www.reuters.com/article/canada-budget-ukraine-aid-idCAKCN2LZ2CL" TargetMode="External"/><Relationship Id="rId482" Type="http://schemas.openxmlformats.org/officeDocument/2006/relationships/hyperlink" Target="https://meta-defense.fr/en/2022/04/22/france-will-deliver-caesar-mobile-artillery-systems-to-ukraine/" TargetMode="External"/><Relationship Id="rId2163" Type="http://schemas.openxmlformats.org/officeDocument/2006/relationships/hyperlink" Target="https://appropriations.house.gov/sites/democrats.appropriations.house.gov/files/Additional%20Ukraine%20Suplemental%20Appropriations%20Act%20Summary.pdf" TargetMode="External"/><Relationship Id="rId2370" Type="http://schemas.openxmlformats.org/officeDocument/2006/relationships/hyperlink" Target="https://www.connexionfrance.com/article/French-news/Humanitarian-ship-for-Ukraine-leaves-French-port-with-8m-of-aid" TargetMode="External"/><Relationship Id="rId3007" Type="http://schemas.openxmlformats.org/officeDocument/2006/relationships/hyperlink" Target="https://www.dn.pt/politica/costa-portugal-vai-enviar-tanques-leopard-2-para-a-ucrania--15779047.html" TargetMode="External"/><Relationship Id="rId3214" Type="http://schemas.openxmlformats.org/officeDocument/2006/relationships/hyperlink" Target="https://ukdefencejournal.org.uk/britain-to-donate-more-air-defence-missiles-to-ukraine/" TargetMode="External"/><Relationship Id="rId3421" Type="http://schemas.openxmlformats.org/officeDocument/2006/relationships/hyperlink" Target="https://www.bundesregierung.de/breg-en/news/military-support-ukraine-2054992" TargetMode="External"/><Relationship Id="rId135" Type="http://schemas.openxmlformats.org/officeDocument/2006/relationships/hyperlink" Target="https://www.defmin.fi/ajankohtaista/tiedotteet_ja_uutiset/suomi_toimittaa_lisaa_puolustustarvikeapua_ukrainaan.13184.news" TargetMode="External"/><Relationship Id="rId342" Type="http://schemas.openxmlformats.org/officeDocument/2006/relationships/hyperlink" Target="https://twitter.com/Defensagob/status/1512424894881017857" TargetMode="External"/><Relationship Id="rId2023" Type="http://schemas.openxmlformats.org/officeDocument/2006/relationships/hyperlink" Target="https://crsreports.congress.gov/product/pdf/IF/IF12040" TargetMode="External"/><Relationship Id="rId2230" Type="http://schemas.openxmlformats.org/officeDocument/2006/relationships/hyperlink" Target="https://appropriations.house.gov/sites/democrats.appropriations.house.gov/files/Ukraine%20Supplemental%20Summary.pdf" TargetMode="External"/><Relationship Id="rId202" Type="http://schemas.openxmlformats.org/officeDocument/2006/relationships/hyperlink" Target="https://twitter.com/Lithuanian_MoD/status/1567446474312540160?ref_src=twsrc%5Etfw%7Ctwcamp%5Etweetembed%7Ctwterm%5E1567446474312540160%7Ctwgr%5E4672a6b5ec4c4f6cf0f7166371f51fb78182c17f%7Ctwcon%5Es1_&amp;ref_url=https%3A%2F%2Fwww.eurointegration.com.ua%2Fnews%2F2022%2F09%2F7%2F7146332%2F" TargetMode="External"/><Relationship Id="rId4195" Type="http://schemas.openxmlformats.org/officeDocument/2006/relationships/hyperlink" Target="https://www.reuters.com/world/europe/france-italy-ready-deliver-sampt-anti-missile-system-ukraine-2023-02-03/" TargetMode="External"/><Relationship Id="rId1789" Type="http://schemas.openxmlformats.org/officeDocument/2006/relationships/hyperlink" Target="https://crsreports.congress.gov/product/pdf/IF/IF12040" TargetMode="External"/><Relationship Id="rId1996" Type="http://schemas.openxmlformats.org/officeDocument/2006/relationships/hyperlink" Target="https://crsreports.congress.gov/product/pdf/IF/IF12040" TargetMode="External"/><Relationship Id="rId4055" Type="http://schemas.openxmlformats.org/officeDocument/2006/relationships/hyperlink" Target="https://www.weaponstoukraine.com/kampane/viktor-mobile-air-defense-for-ukraine" TargetMode="External"/><Relationship Id="rId4262" Type="http://schemas.openxmlformats.org/officeDocument/2006/relationships/hyperlink" Target="https://www.consilium.europa.eu/en/press/press-releases/2023/05/05/eu-joint-procurement-of-ammunition-and-missiles-for-ukraine-council-agrees-1-billion-support-under-the-european-peace-facility/" TargetMode="External"/><Relationship Id="rId1649" Type="http://schemas.openxmlformats.org/officeDocument/2006/relationships/hyperlink" Target="https://appropriations.house.gov/sites/democrats.appropriations.house.gov/files/Additional%20Ukraine%20Suplemental%20Appropriations%20Act%20Summary.pdf" TargetMode="External"/><Relationship Id="rId185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07" Type="http://schemas.openxmlformats.org/officeDocument/2006/relationships/hyperlink" Target="https://www.vlada.cz/en/media-centrum/tiskove-zpravy/czechia-sends-hundreds-of-heavy-military-systems-worth-tens-of-billions-to-ukraine-during-the-first-year-of-russian-invasion-203252/" TargetMode="External"/><Relationship Id="rId3071" Type="http://schemas.openxmlformats.org/officeDocument/2006/relationships/hyperlink" Target="https://www.gov.uk/government/news/joint-statement-the-tallinn-pledge?utm_source=miragenews&amp;utm_medium=miragenews&amp;utm_campaign=news" TargetMode="External"/><Relationship Id="rId1509" Type="http://schemas.openxmlformats.org/officeDocument/2006/relationships/hyperlink" Target="https://appropriations.house.gov/sites/democrats.appropriations.house.gov/files/Additional%20Ukraine%20Suplemental%20Appropriations%20Act%20Summary.pdf" TargetMode="External"/><Relationship Id="rId1716" Type="http://schemas.openxmlformats.org/officeDocument/2006/relationships/hyperlink" Target="https://crsreports.congress.gov/product/pdf/IF/IF12040" TargetMode="External"/><Relationship Id="rId1923" Type="http://schemas.openxmlformats.org/officeDocument/2006/relationships/hyperlink" Target="https://appropriations.house.gov/sites/democrats.appropriations.house.gov/files/Ukraine%20Supplemental%20Summary%20FY23.pdf" TargetMode="External"/><Relationship Id="rId4122" Type="http://schemas.openxmlformats.org/officeDocument/2006/relationships/hyperlink" Target="https://babel.ua/en/news/90987-estonia-handed-over-another-military-aid-to-ukraine" TargetMode="External"/><Relationship Id="rId3888" Type="http://schemas.openxmlformats.org/officeDocument/2006/relationships/hyperlink" Target="https://www.defense.gov/News/Releases/Release/Article/3411804/biden-administration-announces-additional-security-assistance-for-ukraine/" TargetMode="External"/><Relationship Id="rId2697" Type="http://schemas.openxmlformats.org/officeDocument/2006/relationships/hyperlink" Target="https://www.defmin.fi/en/topical/press_releases_and_news/finlands_latest_defence_materiel_package_to_ukraine_includes_three_leopard_2_mine_clearing_tanks.13423.news" TargetMode="External"/><Relationship Id="rId3748" Type="http://schemas.openxmlformats.org/officeDocument/2006/relationships/hyperlink" Target="https://www.government.se/press-releases/2022/12/additional-sek-600-million-in-support-to-ukraine/" TargetMode="External"/><Relationship Id="rId669" Type="http://schemas.openxmlformats.org/officeDocument/2006/relationships/hyperlink" Target="https://www.ctvnews.ca/politics/canada-pledges-more-aid-and-loans-to-ukraine-as-g7-targets-russian-oil-1.5965947" TargetMode="External"/><Relationship Id="rId876" Type="http://schemas.openxmlformats.org/officeDocument/2006/relationships/hyperlink" Target="https://www.mod.go.jp/j/press/news/2022/08/04a.html" TargetMode="External"/><Relationship Id="rId1299" Type="http://schemas.openxmlformats.org/officeDocument/2006/relationships/hyperlink" Target="https://www.minister.defence.gov.au/media-releases/2022-10-27/additional-support-ukraine" TargetMode="External"/><Relationship Id="rId2557" Type="http://schemas.openxmlformats.org/officeDocument/2006/relationships/hyperlink" Target="https://www.brusselstimes.com/290771/belgium-to-give-e12-million-in-military-aid-to-ukraine" TargetMode="External"/><Relationship Id="rId3608" Type="http://schemas.openxmlformats.org/officeDocument/2006/relationships/hyperlink" Target="https://www.taipeitimes.com/News/taiwan/archives/2023/01/04/2003791966" TargetMode="External"/><Relationship Id="rId3955" Type="http://schemas.openxmlformats.org/officeDocument/2006/relationships/hyperlink" Target="https://www.defense.gov/News/Releases/Release/Article/3350958/biden-administration-announces-additional-security-assistance-for-ukraine/" TargetMode="External"/><Relationship Id="rId529" Type="http://schemas.openxmlformats.org/officeDocument/2006/relationships/hyperlink" Target="https://www.esteri.it/en/politica-estera-e-cooperazione-allo-sviluppo/aree_geografiche/europa/litalia-a-sostegno-dellucraina/" TargetMode="External"/><Relationship Id="rId736" Type="http://schemas.openxmlformats.org/officeDocument/2006/relationships/hyperlink" Target="https://crsreports.congress.gov/product/pdf/IF/IF12040" TargetMode="External"/><Relationship Id="rId1159" Type="http://schemas.openxmlformats.org/officeDocument/2006/relationships/hyperlink" Target="https://www.elysee.fr/emmanuel-macron/2022/12/13/solidaires-du-peuple-ukrainien" TargetMode="External"/><Relationship Id="rId1366" Type="http://schemas.openxmlformats.org/officeDocument/2006/relationships/hyperlink" Target="https://appropriations.house.gov/sites/democrats.appropriations.house.gov/files/Ukraine%20Supplemental%20Summary.pdf" TargetMode="External"/><Relationship Id="rId2417" Type="http://schemas.openxmlformats.org/officeDocument/2006/relationships/hyperlink" Target="https://www.reuters.com/world/europe/germany-allocates-extra-1-bln-euros-ukraine-cyber-defence-documenting-war-crimes-2022-11-11/" TargetMode="External"/><Relationship Id="rId2764" Type="http://schemas.openxmlformats.org/officeDocument/2006/relationships/hyperlink" Target="https://crsreports.congress.gov/product/pdf/IF/IF12040" TargetMode="External"/><Relationship Id="rId2971" Type="http://schemas.openxmlformats.org/officeDocument/2006/relationships/hyperlink" Target="https://www.mod.mil.gr/symmetochi-yetha-nikolaoy-panagiotopoyloy-sti-synantisi-ukraine-defence-contact-group/" TargetMode="External"/><Relationship Id="rId3815" Type="http://schemas.openxmlformats.org/officeDocument/2006/relationships/hyperlink" Target="https://www.state.gov/u-s-security-cooperation-with-ukraine/" TargetMode="External"/><Relationship Id="rId943" Type="http://schemas.openxmlformats.org/officeDocument/2006/relationships/hyperlink" Target="https://www.defensenews.com/pentagon/2022/11/04/us-netherlands-go-dutch-to-refurbish-czech-tanks-for-ukraine/" TargetMode="External"/><Relationship Id="rId1019" Type="http://schemas.openxmlformats.org/officeDocument/2006/relationships/hyperlink" Target="https://appropriations.house.gov/sites/democrats.appropriations.house.gov/files/Ukraine%20Supplemental%20Summary.pdf" TargetMode="External"/><Relationship Id="rId1573" Type="http://schemas.openxmlformats.org/officeDocument/2006/relationships/hyperlink" Target="https://appropriations.house.gov/sites/democrats.appropriations.house.gov/files/Additional%20Ukraine%20Suplemental%20Appropriations%20Act%20Summary.pdf" TargetMode="External"/><Relationship Id="rId1780" Type="http://schemas.openxmlformats.org/officeDocument/2006/relationships/hyperlink" Target="https://crsreports.congress.gov/product/pdf/IF/IF12040" TargetMode="External"/><Relationship Id="rId2624" Type="http://schemas.openxmlformats.org/officeDocument/2006/relationships/hyperlink" Target="https://www.gov.uk/government/news/joint-statement-the-tallinn-pledge" TargetMode="External"/><Relationship Id="rId2831" Type="http://schemas.openxmlformats.org/officeDocument/2006/relationships/hyperlink" Target="https://www.defense.gov/News/Releases/Release/Article/3302787/biden-administration-announces-additional-security-assistance-for-ukraine/" TargetMode="External"/><Relationship Id="rId72" Type="http://schemas.openxmlformats.org/officeDocument/2006/relationships/hyperlink" Target="https://www.ukrinform.net/rubric-polytics/3501933-estonia-has-provided-240m-in-military-aid-to-ukraine-korniyenko.html" TargetMode="External"/><Relationship Id="rId803" Type="http://schemas.openxmlformats.org/officeDocument/2006/relationships/hyperlink" Target="https://www.defense.gov/News/Releases/Release/Article/3152071/675-million-in-additional-security-assistance-for-ukraine/" TargetMode="External"/><Relationship Id="rId1226" Type="http://schemas.openxmlformats.org/officeDocument/2006/relationships/hyperlink" Target="https://www.wsj.com/livecoverage/russia-ukraine-latest-news-2022-04-29/card/poland-has-sent-more-than-200-tanks-to-ukraine-Krwar3DCPzHJJk4UMVh4" TargetMode="External"/><Relationship Id="rId1433" Type="http://schemas.openxmlformats.org/officeDocument/2006/relationships/hyperlink" Target="https://appropriations.house.gov/sites/democrats.appropriations.house.gov/files/Ukraine%20Supplemental%20Summary.pdf" TargetMode="External"/><Relationship Id="rId1640" Type="http://schemas.openxmlformats.org/officeDocument/2006/relationships/hyperlink" Target="https://appropriations.house.gov/sites/democrats.appropriations.house.gov/files/Additional%20Ukraine%20Suplemental%20Appropriations%20Act%20Summary.pdf" TargetMode="External"/><Relationship Id="rId4589" Type="http://schemas.openxmlformats.org/officeDocument/2006/relationships/hyperlink" Target="https://www.fmn.dk/da/nyheder/2023/ukraine-fond-finansierer-stor-ny-donationspakke/" TargetMode="External"/><Relationship Id="rId4796" Type="http://schemas.openxmlformats.org/officeDocument/2006/relationships/hyperlink" Target="https://www.bundesregierung.de/breg-en/news/military-support-ukraine-2054992" TargetMode="External"/><Relationship Id="rId1500" Type="http://schemas.openxmlformats.org/officeDocument/2006/relationships/hyperlink" Target="https://appropriations.house.gov/sites/democrats.appropriations.house.gov/files/Ukraine%20Supplemental%20Summary.pdf" TargetMode="External"/><Relationship Id="rId3398" Type="http://schemas.openxmlformats.org/officeDocument/2006/relationships/hyperlink" Target="https://www.bundesregierung.de/resource/blob/975226/2155792/c3dbab706421f63d3d612091e7ecad4c/2022-12-27-unterstuetzung-ukraine-breg-data.pdf?download=1%20Guten" TargetMode="External"/><Relationship Id="rId4449" Type="http://schemas.openxmlformats.org/officeDocument/2006/relationships/hyperlink" Target="https://www.bundesregierung.de/resource/blob/975226/2189778/cdb664abe95e6fa74802882bd66ef771/2023-05-14-liste-ukr-unterstuetzung-data.pdf?download=1" TargetMode="External"/><Relationship Id="rId4656" Type="http://schemas.openxmlformats.org/officeDocument/2006/relationships/hyperlink" Target="https://www.worldbank.org/en/news/press-release/2023/04/21/japan-contributes-us-471-million-to-the-world-bank-in-support-of-ukraine-relief-efforts" TargetMode="External"/><Relationship Id="rId3258" Type="http://schemas.openxmlformats.org/officeDocument/2006/relationships/hyperlink" Target="https://hungarytoday.hu/govt-sends-medical-aid-worth-huf-210-million-to-ukraine/" TargetMode="External"/><Relationship Id="rId3465" Type="http://schemas.openxmlformats.org/officeDocument/2006/relationships/hyperlink" Target="https://www.bundesregierung.de/breg-en/news/military-support-ukraine-2054992" TargetMode="External"/><Relationship Id="rId3672" Type="http://schemas.openxmlformats.org/officeDocument/2006/relationships/hyperlink" Target="https://www.fmn.dk/da/nyheder/2023/danmark-indgar-samarbejde-om-leopard-1-kampvogne-til-ukraine/" TargetMode="External"/><Relationship Id="rId4309" Type="http://schemas.openxmlformats.org/officeDocument/2006/relationships/hyperlink" Target="https://www.bundesregierung.de/breg-en/news/military-support-ukraine-2054992" TargetMode="External"/><Relationship Id="rId4516" Type="http://schemas.openxmlformats.org/officeDocument/2006/relationships/hyperlink" Target="https://web.archive.org/web/20230401080117/https:/www.eda.admin.ch/eda/en/fdfa/fdfa/aktuell/dossiers/krieg-gegen-ukraine.html" TargetMode="External"/><Relationship Id="rId4723" Type="http://schemas.openxmlformats.org/officeDocument/2006/relationships/hyperlink" Target="https://www.bundesregierung.de/breg-en/news/military-support-ukraine-2054992" TargetMode="External"/><Relationship Id="rId179" Type="http://schemas.openxmlformats.org/officeDocument/2006/relationships/hyperlink" Target="https://www.thenationalherald.com/russias-ukraine-invasion-sees-greece-taking-bigger-nato-role/" TargetMode="External"/><Relationship Id="rId386" Type="http://schemas.openxmlformats.org/officeDocument/2006/relationships/hyperlink" Target="https://www.worldbank.org/en/news/press-release/2022/03/14/world-bank-announces-additional-200-million-in-financing-for-ukraine" TargetMode="External"/><Relationship Id="rId593" Type="http://schemas.openxmlformats.org/officeDocument/2006/relationships/hyperlink" Target="https://www.macaubusiness.com/portugal-country-to-send-further-99-t-medical-military-equipment-to-ukraine/" TargetMode="External"/><Relationship Id="rId2067" Type="http://schemas.openxmlformats.org/officeDocument/2006/relationships/hyperlink" Target="https://appropriations.house.gov/sites/democrats.appropriations.house.gov/files/Ukraine%20Supplemental%20Summary%20FY23.pdf" TargetMode="External"/><Relationship Id="rId2274" Type="http://schemas.openxmlformats.org/officeDocument/2006/relationships/hyperlink" Target="https://crsreports.congress.gov/product/pdf/IF/IF12040" TargetMode="External"/><Relationship Id="rId2481" Type="http://schemas.openxmlformats.org/officeDocument/2006/relationships/hyperlink" Target="https://en.interfax.com.ua/news/general/859303.html" TargetMode="External"/><Relationship Id="rId3118" Type="http://schemas.openxmlformats.org/officeDocument/2006/relationships/hyperlink" Target="https://www.eda.admin.ch/content/dam/eda/de/documents/aktuell/news/2022/20221215-ukraine-engagement-schweiz-themen_de.pdf" TargetMode="External"/><Relationship Id="rId3325" Type="http://schemas.openxmlformats.org/officeDocument/2006/relationships/hyperlink" Target="https://www.lemonde.fr/en/international/article/2023/01/31/france-commits-to-sending-more-caesar-self-propelled-howitzers-to-ukraine_6013871_4.html" TargetMode="External"/><Relationship Id="rId3532" Type="http://schemas.openxmlformats.org/officeDocument/2006/relationships/hyperlink" Target="https://www.bundesregierung.de/breg-en/news/military-support-ukraine-2054992" TargetMode="External"/><Relationship Id="rId246" Type="http://schemas.openxmlformats.org/officeDocument/2006/relationships/hyperlink" Target="https://www.slobodenpecat.mk/en/bugarija-kje-isprati-humanitarna-i-voeno-logistichka-pomosh-na-ukraina/" TargetMode="External"/><Relationship Id="rId453" Type="http://schemas.openxmlformats.org/officeDocument/2006/relationships/hyperlink" Target="https://www.reuters.com/world/new-zealand-provide-ukraine-with-non-lethal-military-assistance-2022-03-21/" TargetMode="External"/><Relationship Id="rId660" Type="http://schemas.openxmlformats.org/officeDocument/2006/relationships/hyperlink" Target="https://ec.europa.eu/commission/presscorner/detail/en/speech_22_2807" TargetMode="External"/><Relationship Id="rId1083" Type="http://schemas.openxmlformats.org/officeDocument/2006/relationships/hyperlink" Target="https://t.me/zedigital/2613" TargetMode="External"/><Relationship Id="rId1290" Type="http://schemas.openxmlformats.org/officeDocument/2006/relationships/hyperlink" Target="https://www.sueddeutsche.de/politik/g7-deutschland-gibt-ukraine-rund-eine-milliarde-euro-dpa.urn-newsml-dpa-com-20090101-220519-99-355600" TargetMode="External"/><Relationship Id="rId2134" Type="http://schemas.openxmlformats.org/officeDocument/2006/relationships/hyperlink" Target="https://crsreports.congress.gov/product/pdf/IF/IF12040" TargetMode="External"/><Relationship Id="rId2341" Type="http://schemas.openxmlformats.org/officeDocument/2006/relationships/hyperlink" Target="https://www.reuters.com/article/ukraine-crisis-czech-arms-idUSL2N2VG078" TargetMode="External"/><Relationship Id="rId106" Type="http://schemas.openxmlformats.org/officeDocument/2006/relationships/hyperlink" Target="https://www.armyrecognition.com/defense_news_may_2022_global_security_army_industry/australia_announces_delivery_of_14_m113_tracked_apcs_and_20_bushmaster_armored_vehicles_to_ukraine.html" TargetMode="External"/><Relationship Id="rId313" Type="http://schemas.openxmlformats.org/officeDocument/2006/relationships/hyperlink" Target="https://www.centralbanking.com/central-banks/financial-stability/7933406/poland-offers-ukraine-swap-line-as-nbu-suspends-forex-transactions" TargetMode="External"/><Relationship Id="rId1150" Type="http://schemas.openxmlformats.org/officeDocument/2006/relationships/hyperlink" Target="https://cyprus-mail.com/2022/12/14/cyprus-sends-largest-aid-package-in-its-history-to-ukraine/" TargetMode="External"/><Relationship Id="rId4099" Type="http://schemas.openxmlformats.org/officeDocument/2006/relationships/hyperlink" Target="https://kaitseministeerium.ee/et/uudised/eesti-saadab-ukrainale-taas-sojavarustust" TargetMode="External"/><Relationship Id="rId520" Type="http://schemas.openxmlformats.org/officeDocument/2006/relationships/hyperlink" Target="https://www.government.se/government-policy/russias-invasion-of-ukraine/?page=3" TargetMode="External"/><Relationship Id="rId2201" Type="http://schemas.openxmlformats.org/officeDocument/2006/relationships/hyperlink" Target="https://appropriations.house.gov/sites/democrats.appropriations.house.gov/files/Ukraine%20Supplemental%20Summary.pdf" TargetMode="External"/><Relationship Id="rId1010" Type="http://schemas.openxmlformats.org/officeDocument/2006/relationships/hyperlink" Target="https://breakingdefense.com/2022/11/uk-delays-defense-spending-increase-raising-fears-3-gdp-target-will-be-axed/" TargetMode="External"/><Relationship Id="rId1967" Type="http://schemas.openxmlformats.org/officeDocument/2006/relationships/hyperlink" Target="https://crsreports.congress.gov/product/pdf/IF/IF12040" TargetMode="External"/><Relationship Id="rId4166" Type="http://schemas.openxmlformats.org/officeDocument/2006/relationships/hyperlink" Target="https://rubryka.com/en/2022/06/17/buses-estonia-vyshneve/" TargetMode="External"/><Relationship Id="rId4373" Type="http://schemas.openxmlformats.org/officeDocument/2006/relationships/hyperlink" Target="https://www.bundesregierung.de/resource/blob/975226/2189778/cdb664abe95e6fa74802882bd66ef771/2023-05-14-liste-ukr-unterstuetzung-data.pdf?download=1" TargetMode="External"/><Relationship Id="rId4580" Type="http://schemas.openxmlformats.org/officeDocument/2006/relationships/hyperlink" Target="https://www.beehive.govt.nz/release/increase-nz-support-ukraine" TargetMode="External"/><Relationship Id="rId4026" Type="http://schemas.openxmlformats.org/officeDocument/2006/relationships/hyperlink" Target="http://web.archive.org/web/20230413215328/https:/www.defensie.nl/onderwerpen/oostflank-navo-gebied/militaire-steun-aan-oekraine" TargetMode="External"/><Relationship Id="rId4440" Type="http://schemas.openxmlformats.org/officeDocument/2006/relationships/hyperlink" Target="https://www.bundesregierung.de/resource/blob/975226/2189778/cdb664abe95e6fa74802882bd66ef771/2023-05-14-liste-ukr-unterstuetzung-data.pdf?download=1" TargetMode="External"/><Relationship Id="rId3042" Type="http://schemas.openxmlformats.org/officeDocument/2006/relationships/hyperlink" Target="https://www.reuters.com/world/europe/poland-send-60-modernised-tanks-ukraine-addition-leopards-2023-01-27/" TargetMode="External"/><Relationship Id="rId3859" Type="http://schemas.openxmlformats.org/officeDocument/2006/relationships/hyperlink" Target="https://www.state.gov/u-s-security-cooperation-with-ukraine/" TargetMode="External"/><Relationship Id="rId2875" Type="http://schemas.openxmlformats.org/officeDocument/2006/relationships/hyperlink" Target="https://www.wsj.com/articles/ukraine-quietly-receives-tanks-from-czech-republic-to-support-war-effort-11649160666" TargetMode="External"/><Relationship Id="rId3926" Type="http://schemas.openxmlformats.org/officeDocument/2006/relationships/hyperlink" Target="https://www.defense.gov/News/Releases/Release/Article/3350958/biden-administration-announces-additional-security-assistance-for-ukraine/" TargetMode="External"/><Relationship Id="rId847" Type="http://schemas.openxmlformats.org/officeDocument/2006/relationships/hyperlink" Target="https://twitter.com/a_anusauskas/status/1549776944295809028" TargetMode="External"/><Relationship Id="rId1477" Type="http://schemas.openxmlformats.org/officeDocument/2006/relationships/hyperlink" Target="https://appropriations.house.gov/sites/democrats.appropriations.house.gov/files/Ukraine%20Supplemental%20Summary.pdf" TargetMode="External"/><Relationship Id="rId1891" Type="http://schemas.openxmlformats.org/officeDocument/2006/relationships/hyperlink" Target="https://appropriations.house.gov/sites/democrats.appropriations.house.gov/files/Ukraine%20Supplemental%20Summary%20FY23.pdf" TargetMode="External"/><Relationship Id="rId2528" Type="http://schemas.openxmlformats.org/officeDocument/2006/relationships/hyperlink" Target="https://www.premier.be/sites/default/files/articles/BE%20support%20militaire.pdf" TargetMode="External"/><Relationship Id="rId2942" Type="http://schemas.openxmlformats.org/officeDocument/2006/relationships/hyperlink" Target="https://www.gov.uk/government/news/joint-statement-the-tallinn-pledge?utm_source=miragenews&amp;utm_medium=miragenews&amp;utm_campaign=news" TargetMode="External"/><Relationship Id="rId914" Type="http://schemas.openxmlformats.org/officeDocument/2006/relationships/hyperlink" Target="https://via.ritzau.dk/embedded/release/danmark-stiller-garanti-pa-280-mio-kr-til-ukraines-hardt-ramte-okonomi?publisherId=2012662&amp;releaseId=13652977&amp;lang=da" TargetMode="External"/><Relationship Id="rId1544" Type="http://schemas.openxmlformats.org/officeDocument/2006/relationships/hyperlink" Target="https://appropriations.house.gov/sites/democrats.appropriations.house.gov/files/Additional%20Ukraine%20Suplemental%20Appropriations%20Act%20Summary.pdf" TargetMode="External"/><Relationship Id="rId1611" Type="http://schemas.openxmlformats.org/officeDocument/2006/relationships/hyperlink" Target="https://appropriations.house.gov/sites/democrats.appropriations.house.gov/files/Additional%20Ukraine%20Suplemental%20Appropriations%20Act%20Summary.pdf" TargetMode="External"/><Relationship Id="rId4767" Type="http://schemas.openxmlformats.org/officeDocument/2006/relationships/hyperlink" Target="https://www.bundesregierung.de/breg-en/news/military-support-ukraine-2054992" TargetMode="External"/><Relationship Id="rId3369"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2385" Type="http://schemas.openxmlformats.org/officeDocument/2006/relationships/hyperlink" Target="https://www.euronews.com/2022/09/29/cargo-ship-with-1000-tonnes-of-ukraine-aid-sets-sail-from-marseille" TargetMode="External"/><Relationship Id="rId3783" Type="http://schemas.openxmlformats.org/officeDocument/2006/relationships/hyperlink" Target="https://www.state.gov/u-s-security-cooperation-with-ukraine/" TargetMode="External"/><Relationship Id="rId4834" Type="http://schemas.openxmlformats.org/officeDocument/2006/relationships/hyperlink" Target="https://appropriations.house.gov/sites/democrats.appropriations.house.gov/files/Ukraine%20Supplemental%20Summary.pdf" TargetMode="External"/><Relationship Id="rId357" Type="http://schemas.openxmlformats.org/officeDocument/2006/relationships/hyperlink" Target="https://ukranews.com/en/news/850937-romania-will-transfer-lethal-weapons-from-its-own-reserves-to-ukraine-media" TargetMode="External"/><Relationship Id="rId2038" Type="http://schemas.openxmlformats.org/officeDocument/2006/relationships/hyperlink" Target="https://crsreports.congress.gov/product/pdf/IF/IF12040" TargetMode="External"/><Relationship Id="rId3436" Type="http://schemas.openxmlformats.org/officeDocument/2006/relationships/hyperlink" Target="https://www.bundesregierung.de/breg-en/news/military-support-ukraine-2054992" TargetMode="External"/><Relationship Id="rId3850" Type="http://schemas.openxmlformats.org/officeDocument/2006/relationships/hyperlink" Target="https://www.state.gov/u-s-security-cooperation-with-ukraine/" TargetMode="External"/><Relationship Id="rId771" Type="http://schemas.openxmlformats.org/officeDocument/2006/relationships/hyperlink" Target="https://www.gov.uk/government/news/uk-and-allies-agree-expanded-international-fund-for-ukraine-support" TargetMode="External"/><Relationship Id="rId2452" Type="http://schemas.openxmlformats.org/officeDocument/2006/relationships/hyperlink" Target="https://diplomatie.belgium.be/en/belgium-sends-another-batch-humanitarian-material-ukraine-b-fast" TargetMode="External"/><Relationship Id="rId3503" Type="http://schemas.openxmlformats.org/officeDocument/2006/relationships/hyperlink" Target="https://www.bundesregierung.de/breg-en/news/military-support-ukraine-2054992" TargetMode="External"/><Relationship Id="rId424" Type="http://schemas.openxmlformats.org/officeDocument/2006/relationships/hyperlink" Target="https://kaitseministeerium.ee/en/news/estonia-donated-missiles-anti-tank-weapon-system-javelin-ukraine" TargetMode="External"/><Relationship Id="rId1054" Type="http://schemas.openxmlformats.org/officeDocument/2006/relationships/hyperlink" Target="https://kaitseministeerium.ee/en/news/estonia-sending-ukraine-ammunition-and-equipment" TargetMode="External"/><Relationship Id="rId2105" Type="http://schemas.openxmlformats.org/officeDocument/2006/relationships/hyperlink" Target="https://appropriations.house.gov/sites/democrats.appropriations.house.gov/files/Ukraine%20Supplemental%20Summary.pdf" TargetMode="External"/><Relationship Id="rId1121" Type="http://schemas.openxmlformats.org/officeDocument/2006/relationships/hyperlink" Target="https://twitter.com/a_anusauskas/status/1601586263811031040" TargetMode="External"/><Relationship Id="rId4277" Type="http://schemas.openxmlformats.org/officeDocument/2006/relationships/hyperlink" Target="https://www.ceskenoviny.cz/zpravy/cernochova-naplanovana-vojenska-pomoc-ukrajine-je-za-600-az-700-milionu-kc/2348405?ref=kyivindependent.com" TargetMode="External"/><Relationship Id="rId4691" Type="http://schemas.openxmlformats.org/officeDocument/2006/relationships/hyperlink" Target="https://www.bundesregierung.de/breg-en/news/military-support-ukraine-2054992" TargetMode="External"/><Relationship Id="rId3293" Type="http://schemas.openxmlformats.org/officeDocument/2006/relationships/hyperlink" Target="http://web.archive.org/web/20220419070007/https:/netherlandsnewslive.com/the-netherlands-supplies-medicines-and-medical-supplies-to-ukraine/373516/" TargetMode="External"/><Relationship Id="rId4344" Type="http://schemas.openxmlformats.org/officeDocument/2006/relationships/hyperlink" Target="https://www.bundesregierung.de/resource/blob/975226/2189778/cdb664abe95e6fa74802882bd66ef771/2023-05-14-liste-ukr-unterstuetzung-data.pdf?download=1" TargetMode="External"/><Relationship Id="rId1938" Type="http://schemas.openxmlformats.org/officeDocument/2006/relationships/hyperlink" Target="https://appropriations.house.gov/sites/democrats.appropriations.house.gov/files/Ukraine%20Supplemental%20Summary%20FY23.pdf" TargetMode="External"/><Relationship Id="rId3360" Type="http://schemas.openxmlformats.org/officeDocument/2006/relationships/hyperlink" Target="https://www.mof.gov.ua/uk/news/ukraina_otrimala_vid_kreditnoi_ustanovi_dlia_vidbudovi_kfw_150_mln_ievro_dlia_finansuvannia_sotsialnikh_vidatkiv-3470" TargetMode="External"/><Relationship Id="rId281" Type="http://schemas.openxmlformats.org/officeDocument/2006/relationships/hyperlink" Target="https://www.canada.ca/en/department-national-defence/news/2022/03/defence-minister-anand-announces-additional-military-support-to-ukraine.html" TargetMode="External"/><Relationship Id="rId3013" Type="http://schemas.openxmlformats.org/officeDocument/2006/relationships/hyperlink" Target="https://www.ukrinform.net/rubric-economy/3643370-slovenia-sends-fourth-shipment-of-energy-equipment-to-ukraine.html" TargetMode="External"/><Relationship Id="rId4411" Type="http://schemas.openxmlformats.org/officeDocument/2006/relationships/hyperlink" Target="https://www.bundesregierung.de/resource/blob/975226/2189778/cdb664abe95e6fa74802882bd66ef771/2023-05-14-liste-ukr-unterstuetzung-data.pdf?download=1" TargetMode="External"/><Relationship Id="rId2779" Type="http://schemas.openxmlformats.org/officeDocument/2006/relationships/hyperlink" Target="https://www.defense.gov/News/Releases/Release/Article/3272866/biden-administration-announces-additional-security-assistance-for-ukraine/" TargetMode="External"/><Relationship Id="rId1795" Type="http://schemas.openxmlformats.org/officeDocument/2006/relationships/hyperlink" Target="https://appropriations.house.gov/sites/democrats.appropriations.house.gov/files/Additional%20Ukraine%20Suplemental%20Appropriations%20Act%20Summary.pdf" TargetMode="External"/><Relationship Id="rId2846" Type="http://schemas.openxmlformats.org/officeDocument/2006/relationships/hyperlink" Target="https://www.defense.gov/News/Releases/Release/Article/3287992/biden-administration-announces-additional-security-assistance-for-ukraine/" TargetMode="External"/><Relationship Id="rId87" Type="http://schemas.openxmlformats.org/officeDocument/2006/relationships/hyperlink" Target="https://www.rferl.org/a/czech-republic-poland-new-military-aid-ukraine/31873938.html" TargetMode="External"/><Relationship Id="rId818" Type="http://schemas.openxmlformats.org/officeDocument/2006/relationships/hyperlink" Target="https://www.defense.gov/News/Releases/Release/Article/3138105/nearly-3-billion-in-additional-security-assistance-for-ukraine/" TargetMode="External"/><Relationship Id="rId1448" Type="http://schemas.openxmlformats.org/officeDocument/2006/relationships/hyperlink" Target="https://appropriations.house.gov/sites/democrats.appropriations.house.gov/files/Ukraine%20Supplemental%20Summary.pdf" TargetMode="External"/><Relationship Id="rId1862"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13" Type="http://schemas.openxmlformats.org/officeDocument/2006/relationships/hyperlink" Target="https://www.vlada.cz/en/media-centrum/tiskove-zpravy/czechia-sends-hundreds-of-heavy-military-systems-worth-tens-of-billions-to-ukraine-during-the-first-year-of-russian-invasion-203252/" TargetMode="External"/><Relationship Id="rId1515" Type="http://schemas.openxmlformats.org/officeDocument/2006/relationships/hyperlink" Target="https://appropriations.house.gov/sites/democrats.appropriations.house.gov/files/Additional%20Ukraine%20Suplemental%20Appropriations%20Act%20Summary.pdf" TargetMode="External"/><Relationship Id="rId3687" Type="http://schemas.openxmlformats.org/officeDocument/2006/relationships/hyperlink" Target="https://intermin.fi/en/ukraine/civilian-assistance-to-ukraine" TargetMode="External"/><Relationship Id="rId4738" Type="http://schemas.openxmlformats.org/officeDocument/2006/relationships/hyperlink" Target="https://www.bundesregierung.de/breg-en/news/military-support-ukraine-2054992" TargetMode="External"/><Relationship Id="rId2289" Type="http://schemas.openxmlformats.org/officeDocument/2006/relationships/hyperlink" Target="https://crsreports.congress.gov/product/pdf/IF/IF12040" TargetMode="External"/><Relationship Id="rId3754" Type="http://schemas.openxmlformats.org/officeDocument/2006/relationships/hyperlink" Target="https://www.defense.gov/News/Releases/Release/Article/3367924/biden-administration-announces-additional-security-assistance-for-ukraine/" TargetMode="External"/><Relationship Id="rId4805" Type="http://schemas.openxmlformats.org/officeDocument/2006/relationships/hyperlink" Target="https://www.bundesregierung.de/breg-en/news/military-support-ukraine-2054992" TargetMode="External"/><Relationship Id="rId675" Type="http://schemas.openxmlformats.org/officeDocument/2006/relationships/hyperlink" Target="https://www.diplomatie.gouv.fr/en/country-files/ukraine/news/article/ukraine-exceptional-delivery-of-emergency-medical-assistance-by-france-28-jun" TargetMode="External"/><Relationship Id="rId2356" Type="http://schemas.openxmlformats.org/officeDocument/2006/relationships/hyperlink" Target="https://ua.ambafrance.org/Dostavka-1000-t-francuz-koyi-gumaniitarnoyi-dopomogi-ukrayins-kim-adresatam-v" TargetMode="External"/><Relationship Id="rId2770" Type="http://schemas.openxmlformats.org/officeDocument/2006/relationships/hyperlink" Target="https://www.defense.gov/News/Releases/Release/Article/3272866/biden-administration-announces-additional-security-assistance-for-ukraine/" TargetMode="External"/><Relationship Id="rId3407" Type="http://schemas.openxmlformats.org/officeDocument/2006/relationships/hyperlink" Target="https://www.bmz.de/resource/blob/108952/entwicklungspolitische-unterstuetzung-der-ukraine.pdf" TargetMode="External"/><Relationship Id="rId3821" Type="http://schemas.openxmlformats.org/officeDocument/2006/relationships/hyperlink" Target="https://www.defense.gov/News/Releases/Release/Article/3350958/biden-administration-announces-additional-security-assistance-for-ukraine/" TargetMode="External"/><Relationship Id="rId328" Type="http://schemas.openxmlformats.org/officeDocument/2006/relationships/hyperlink" Target="https://www.gov.uk/government/news/pm-announces-major-new-military-support-package-for-ukraine-24-march-2022" TargetMode="External"/><Relationship Id="rId742" Type="http://schemas.openxmlformats.org/officeDocument/2006/relationships/hyperlink" Target="https://www.pm.gov.au/media/visit-kyiv-and-further-australian-support-ukraine" TargetMode="External"/><Relationship Id="rId1372" Type="http://schemas.openxmlformats.org/officeDocument/2006/relationships/hyperlink" Target="https://appropriations.house.gov/sites/democrats.appropriations.house.gov/files/Ukraine%20Supplemental%20Summary.pdf" TargetMode="External"/><Relationship Id="rId2009" Type="http://schemas.openxmlformats.org/officeDocument/2006/relationships/hyperlink" Target="https://crsreports.congress.gov/product/pdf/IF/IF12040" TargetMode="External"/><Relationship Id="rId2423" Type="http://schemas.openxmlformats.org/officeDocument/2006/relationships/hyperlink" Target="https://interfax.com/newsroom/top-stories/78858/" TargetMode="External"/><Relationship Id="rId1025" Type="http://schemas.openxmlformats.org/officeDocument/2006/relationships/hyperlink" Target="https://www.defense.gov/News/Releases/Release/Article/3189571/725-million-in-additional-security-assistance-for-ukraine/" TargetMode="External"/><Relationship Id="rId4595" Type="http://schemas.openxmlformats.org/officeDocument/2006/relationships/hyperlink" Target="https://www.fmn.dk/da/nyheder/2023/ukraine-fond-finansierer-stor-ny-donationspakke/" TargetMode="External"/><Relationship Id="rId3197" Type="http://schemas.openxmlformats.org/officeDocument/2006/relationships/hyperlink" Target="https://www.bundesregierung.de/resource/blob/975226/2155792/c3dbab706421f63d3d612091e7ecad4c/2022-12-27-unterstuetzung-ukraine-breg-data.pdf?download=1%20Guten" TargetMode="External"/><Relationship Id="rId4248" Type="http://schemas.openxmlformats.org/officeDocument/2006/relationships/hyperlink" Target="https://www.eda.admin.ch/dam/countries/countries-content/ukraine/en/cooperation-programme-leaflet-2020-23_EN.pdf" TargetMode="External"/><Relationship Id="rId4662" Type="http://schemas.openxmlformats.org/officeDocument/2006/relationships/hyperlink" Target="https://www.defensie.nl/onderwerpen/oostflank-navo-gebied/militaire-steun-aan-oekraine" TargetMode="External"/><Relationship Id="rId185" Type="http://schemas.openxmlformats.org/officeDocument/2006/relationships/hyperlink" Target="https://twitter.com/JustinTrudeau/status/1586090019496022016" TargetMode="External"/><Relationship Id="rId1909" Type="http://schemas.openxmlformats.org/officeDocument/2006/relationships/hyperlink" Target="https://appropriations.house.gov/sites/democrats.appropriations.house.gov/files/Ukraine%20Supplemental%20Summary%20FY23.pdf" TargetMode="External"/><Relationship Id="rId3264" Type="http://schemas.openxmlformats.org/officeDocument/2006/relationships/hyperlink" Target="https://abouthungary.hu/news-in-brief/fm-hungary-offers-ukraine-aid-worth-37-million-euros" TargetMode="External"/><Relationship Id="rId4315" Type="http://schemas.openxmlformats.org/officeDocument/2006/relationships/hyperlink" Target="https://www.bundesregierung.de/resource/blob/975226/2189778/cdb664abe95e6fa74802882bd66ef771/2023-05-14-liste-ukr-unterstuetzung-data.pdf?download=1" TargetMode="External"/><Relationship Id="rId2280" Type="http://schemas.openxmlformats.org/officeDocument/2006/relationships/hyperlink" Target="https://crsreports.congress.gov/product/pdf/IF/IF12040" TargetMode="External"/><Relationship Id="rId3331" Type="http://schemas.openxmlformats.org/officeDocument/2006/relationships/hyperlink" Target="https://www.regjeringen.no/en/aktuelt/air-defense-system-to-ukraine/id2908807/" TargetMode="External"/><Relationship Id="rId252" Type="http://schemas.openxmlformats.org/officeDocument/2006/relationships/hyperlink" Target="https://www.reuters.com/world/europe/france-offer-100-mln-euros-humanitarian-aid-ukraine-2022-03-01/" TargetMode="External"/><Relationship Id="rId1699" Type="http://schemas.openxmlformats.org/officeDocument/2006/relationships/hyperlink" Target="https://crsreports.congress.gov/product/pdf/IF/IF12040" TargetMode="External"/><Relationship Id="rId2000" Type="http://schemas.openxmlformats.org/officeDocument/2006/relationships/hyperlink" Target="https://crsreports.congress.gov/product/pdf/IF/IF12040" TargetMode="External"/><Relationship Id="rId4172" Type="http://schemas.openxmlformats.org/officeDocument/2006/relationships/hyperlink" Target="https://apnews.com/article/greece-ukraine-russia-arms-reznikov-b8255c6473e7f01cced6202af2c073da" TargetMode="External"/><Relationship Id="rId1766" Type="http://schemas.openxmlformats.org/officeDocument/2006/relationships/hyperlink" Target="https://crsreports.congress.gov/product/pdf/IF/IF12040" TargetMode="External"/><Relationship Id="rId2817" Type="http://schemas.openxmlformats.org/officeDocument/2006/relationships/hyperlink" Target="https://www.defense.gov/News/Releases/Release/Article/3302787/biden-administration-announces-additional-security-assistance-for-ukraine/" TargetMode="External"/><Relationship Id="rId58" Type="http://schemas.openxmlformats.org/officeDocument/2006/relationships/hyperlink" Target="https://www.armyrecognition.com/defense_news_may_2022_global_security_army_industry/australia_announces_delivery_of_14_m113_tracked_apcs_and_20_bushmaster_armored_vehicles_to_ukraine.html" TargetMode="External"/><Relationship Id="rId1419" Type="http://schemas.openxmlformats.org/officeDocument/2006/relationships/hyperlink" Target="https://appropriations.house.gov/sites/democrats.appropriations.house.gov/files/Ukraine%20Supplemental%20Summary.pdf" TargetMode="External"/><Relationship Id="rId1833" Type="http://schemas.openxmlformats.org/officeDocument/2006/relationships/hyperlink" Target="https://appropriations.house.gov/sites/democrats.appropriations.house.gov/files/Summary%20Continuing%20Appropriations%20and%20Ukraine%20Supplemental%20Appropriations%20Act%202023.pdf" TargetMode="External"/><Relationship Id="rId1900" Type="http://schemas.openxmlformats.org/officeDocument/2006/relationships/hyperlink" Target="https://appropriations.house.gov/sites/democrats.appropriations.house.gov/files/Ukraine%20Supplemental%20Summary%20FY23.pdf" TargetMode="External"/><Relationship Id="rId3658" Type="http://schemas.openxmlformats.org/officeDocument/2006/relationships/hyperlink" Target="https://www.government.is/topics/foreign-affairs/war-in-ukraine/" TargetMode="External"/><Relationship Id="rId4709" Type="http://schemas.openxmlformats.org/officeDocument/2006/relationships/hyperlink" Target="https://www.bundesregierung.de/breg-en/news/military-support-ukraine-2054992" TargetMode="External"/><Relationship Id="rId579" Type="http://schemas.openxmlformats.org/officeDocument/2006/relationships/hyperlink" Target="https://pmtranscripts.pmc.gov.au/release/transcript-43831" TargetMode="External"/><Relationship Id="rId993" Type="http://schemas.openxmlformats.org/officeDocument/2006/relationships/hyperlink" Target="https://www.gov.uk/government/news/uk-government-and-nobel-prize-winner-launch-global-code-to-tackle-conflict-related-sexual-violence" TargetMode="External"/><Relationship Id="rId2674" Type="http://schemas.openxmlformats.org/officeDocument/2006/relationships/hyperlink" Target="https://www.consilium.europa.eu/en/meetings/fac/2023/01/23/" TargetMode="External"/><Relationship Id="rId646" Type="http://schemas.openxmlformats.org/officeDocument/2006/relationships/hyperlink" Target="https://www.regjeringen.no/en/topics/foreign-affairs/humanitarian-efforts/neighbour_support/id2908141/" TargetMode="External"/><Relationship Id="rId1276" Type="http://schemas.openxmlformats.org/officeDocument/2006/relationships/hyperlink" Target="https://abouthungary.hu/news-in-brief/hungary-to-make-another-shipment-of-humanitarian-aid-to-ukraine?msclkid=ca53d542ab8b11ec95fbf81dabb45ae9" TargetMode="External"/><Relationship Id="rId2327" Type="http://schemas.openxmlformats.org/officeDocument/2006/relationships/hyperlink" Target="https://ue.delegfrance.org/bilan-de-l-aide-apportee-par-la" TargetMode="External"/><Relationship Id="rId3725" Type="http://schemas.openxmlformats.org/officeDocument/2006/relationships/hyperlink" Target="https://www.government.se/speeches/2023/02/opening-speech-by-the-minister-for-defence-pal-jonson-at-the-conference-on-security-and-defence-within-the-framework-of-swedens-presidency-of-the-eu/" TargetMode="External"/><Relationship Id="rId1690" Type="http://schemas.openxmlformats.org/officeDocument/2006/relationships/hyperlink" Target="https://crsreports.congress.gov/product/pdf/IF/IF12040" TargetMode="External"/><Relationship Id="rId2741" Type="http://schemas.openxmlformats.org/officeDocument/2006/relationships/hyperlink" Target="https://www.defense.gov/News/Releases/Release/Article/3287992/biden-administration-announces-additional-security-assistance-for-ukraine/" TargetMode="External"/><Relationship Id="rId713" Type="http://schemas.openxmlformats.org/officeDocument/2006/relationships/hyperlink" Target="https://www.brusselstimes.com/255904/belgium-to-send-new-huge-aid-shipment-to-ukraine" TargetMode="External"/><Relationship Id="rId1343" Type="http://schemas.openxmlformats.org/officeDocument/2006/relationships/hyperlink" Target="https://sloveniatimes.com/new-slovenian-donations-to-ukraine/" TargetMode="External"/><Relationship Id="rId4499" Type="http://schemas.openxmlformats.org/officeDocument/2006/relationships/hyperlink" Target="https://www.army-technology.com/news/canada-200-senator-ukraine/" TargetMode="External"/><Relationship Id="rId1410" Type="http://schemas.openxmlformats.org/officeDocument/2006/relationships/hyperlink" Target="https://appropriations.house.gov/sites/democrats.appropriations.house.gov/files/Ukraine%20Supplemental%20Summary.pdf" TargetMode="External"/><Relationship Id="rId4566" Type="http://schemas.openxmlformats.org/officeDocument/2006/relationships/hyperlink" Target="https://bnn-news.com/latvian-government-provides-10-million-euros-to-support-ukraine-244627" TargetMode="External"/><Relationship Id="rId3168" Type="http://schemas.openxmlformats.org/officeDocument/2006/relationships/hyperlink" Target="https://appropriations.house.gov/sites/democrats.appropriations.house.gov/files/Summary%20Continuing%20Appropriations%20and%20Ukraine%20Supplemental%20Appropriations%20Act%202023.pdf" TargetMode="External"/><Relationship Id="rId3582" Type="http://schemas.openxmlformats.org/officeDocument/2006/relationships/hyperlink" Target="https://www.tyzden.sk/svet/95018/minister-nad-na-ukrajine-system-protivzdusnej-obrany-kub-zo-sr-je-uz-tu/" TargetMode="External"/><Relationship Id="rId4219" Type="http://schemas.openxmlformats.org/officeDocument/2006/relationships/hyperlink" Target="https://gov.ro/en/news/medical-equipment-and-medicines-donated-by-romania-in-support-of-ukraine&amp;page=13" TargetMode="External"/><Relationship Id="rId4633" Type="http://schemas.openxmlformats.org/officeDocument/2006/relationships/hyperlink" Target="https://www.weaponstoukraine.com/kampane/viktor-mobile-air-defense-for-ukraine" TargetMode="External"/><Relationship Id="rId2184" Type="http://schemas.openxmlformats.org/officeDocument/2006/relationships/hyperlink" Target="https://appropriations.house.gov/sites/democrats.appropriations.house.gov/files/Additional%20Ukraine%20Suplemental%20Appropriations%20Act%20Summary.pdf" TargetMode="External"/><Relationship Id="rId3235" Type="http://schemas.openxmlformats.org/officeDocument/2006/relationships/hyperlink" Target="https://ubn.news/fr/cinq-villes-ukrainiennes-vont-beneficier-dun-don-de-6-millions-de-dollars-de-taiwan/" TargetMode="External"/><Relationship Id="rId156" Type="http://schemas.openxmlformats.org/officeDocument/2006/relationships/hyperlink" Target="https://www.gov.uk/government/news/uk-to-send-scores-of-artillery-guns-and-hundreds-of-drones-to-ukraine" TargetMode="External"/><Relationship Id="rId570" Type="http://schemas.openxmlformats.org/officeDocument/2006/relationships/hyperlink" Target="https://www.krone.at/2724936" TargetMode="External"/><Relationship Id="rId2251" Type="http://schemas.openxmlformats.org/officeDocument/2006/relationships/hyperlink" Target="https://crsreports.congress.gov/product/pdf/IF/IF12040" TargetMode="External"/><Relationship Id="rId3302" Type="http://schemas.openxmlformats.org/officeDocument/2006/relationships/hyperlink" Target="https://appropriations.house.gov/sites/democrats.appropriations.house.gov/files/Summary%20Continuing%20Appropriations%20and%20Ukraine%20Supplemental%20Appropriations%20Act%202023.pdf" TargetMode="External"/><Relationship Id="rId4700" Type="http://schemas.openxmlformats.org/officeDocument/2006/relationships/hyperlink" Target="https://www.bundesregierung.de/breg-en/news/military-support-ukraine-2054992" TargetMode="External"/><Relationship Id="rId223" Type="http://schemas.openxmlformats.org/officeDocument/2006/relationships/hyperlink" Target="https://japan.kantei.go.jp/ongoingtopics/pdf/jp_stands_with_ukraine_eng.pdf" TargetMode="External"/><Relationship Id="rId4076" Type="http://schemas.openxmlformats.org/officeDocument/2006/relationships/hyperlink" Target="https://www.defensa.gob.es/gabinete/notasPrensa/2023/05/DGC-230525-reunion-ramstein.html" TargetMode="External"/><Relationship Id="rId4490" Type="http://schemas.openxmlformats.org/officeDocument/2006/relationships/hyperlink" Target="https://kyivindependent.com/lithuania-to-send-44-million-worth-of-military-aid-to-ukraine/" TargetMode="External"/><Relationship Id="rId1737" Type="http://schemas.openxmlformats.org/officeDocument/2006/relationships/hyperlink" Target="https://crsreports.congress.gov/product/pdf/IF/IF12040" TargetMode="External"/><Relationship Id="rId3092" Type="http://schemas.openxmlformats.org/officeDocument/2006/relationships/hyperlink" Target="https://thediplomatinspain.com/en/2022/07/spain-announces-250-million-euros-for-agriculture-and-renewables-in-ukraine/" TargetMode="External"/><Relationship Id="rId4143" Type="http://schemas.openxmlformats.org/officeDocument/2006/relationships/hyperlink" Target="https://kaitseministeerium.ee/en/news/estonia-send-sniper-weapons-and-special-equipment-ukraine" TargetMode="External"/><Relationship Id="rId29" Type="http://schemas.openxmlformats.org/officeDocument/2006/relationships/hyperlink" Target="https://pledgetimes.com/spain-sends-an-armored-ambulance-and-more-weapons-to-ukraine/" TargetMode="External"/><Relationship Id="rId4210" Type="http://schemas.openxmlformats.org/officeDocument/2006/relationships/hyperlink" Target="https://twitter.com/DmytroKuleba/status/1659630660514922510?s=20" TargetMode="External"/><Relationship Id="rId1804" Type="http://schemas.openxmlformats.org/officeDocument/2006/relationships/hyperlink" Target="https://appropriations.house.gov/sites/democrats.appropriations.house.gov/files/Additional%20Ukraine%20Suplemental%20Appropriations%20Act%20Summary.pdf" TargetMode="External"/><Relationship Id="rId3976" Type="http://schemas.openxmlformats.org/officeDocument/2006/relationships/hyperlink" Target="https://www.state.gov/u-s-security-cooperation-with-ukraine/" TargetMode="External"/><Relationship Id="rId897" Type="http://schemas.openxmlformats.org/officeDocument/2006/relationships/hyperlink" Target="https://www.minister.defence.gov.au/media-releases/2022-10-27/additional-support-ukraine" TargetMode="External"/><Relationship Id="rId2578" Type="http://schemas.openxmlformats.org/officeDocument/2006/relationships/hyperlink" Target="https://www.premier.be/sites/default/files/articles/BE%20support%20militaire.pdf" TargetMode="External"/><Relationship Id="rId2992" Type="http://schemas.openxmlformats.org/officeDocument/2006/relationships/hyperlink" Target="https://www.publico.pt/2023/01/20/mundo/noticia/zelensky-portugal-disponivel-enviar-tanques-2035760" TargetMode="External"/><Relationship Id="rId3629" Type="http://schemas.openxmlformats.org/officeDocument/2006/relationships/hyperlink" Target="https://www.bundesregierung.de/breg-en/news/military-support-ukraine-2054992" TargetMode="External"/><Relationship Id="rId964" Type="http://schemas.openxmlformats.org/officeDocument/2006/relationships/hyperlink" Target="https://www.reuters.com/world/europe/italy-open-supplying-air-defence-systems-ukraine-official-2022-11-08/" TargetMode="External"/><Relationship Id="rId1594" Type="http://schemas.openxmlformats.org/officeDocument/2006/relationships/hyperlink" Target="https://appropriations.house.gov/sites/democrats.appropriations.house.gov/files/Additional%20Ukraine%20Suplemental%20Appropriations%20Act%20Summary.pdf" TargetMode="External"/><Relationship Id="rId2645" Type="http://schemas.openxmlformats.org/officeDocument/2006/relationships/hyperlink" Target="https://www.weaponstoukraine.com/kampane/viktor-mobile-air-defense-for-ukraine" TargetMode="External"/><Relationship Id="rId617" Type="http://schemas.openxmlformats.org/officeDocument/2006/relationships/hyperlink" Target="https://www.diplomatie.gouv.fr/en/country-files/ukraine/news/article/ukraine-special-delivery-of-emergency-medical-aid-by-france-joint-communique" TargetMode="External"/><Relationship Id="rId1247" Type="http://schemas.openxmlformats.org/officeDocument/2006/relationships/hyperlink" Target="https://abouthungary.hu/news-in-brief/government-donates-huf-66-million-to-help-berehove-water-supply" TargetMode="External"/><Relationship Id="rId1661" Type="http://schemas.openxmlformats.org/officeDocument/2006/relationships/hyperlink" Target="https://crsreports.congress.gov/product/pdf/IF/IF12040" TargetMode="External"/><Relationship Id="rId2712" Type="http://schemas.openxmlformats.org/officeDocument/2006/relationships/hyperlink" Target="https://www.rnz.co.nz/news/world/462443/new-zealand-pledges-2m-for-ukraine-aid" TargetMode="External"/><Relationship Id="rId1314" Type="http://schemas.openxmlformats.org/officeDocument/2006/relationships/hyperlink" Target="https://delano.lu/article/luxembourg-delivering-substant" TargetMode="External"/><Relationship Id="rId3486" Type="http://schemas.openxmlformats.org/officeDocument/2006/relationships/hyperlink" Target="https://www.bundesregierung.de/breg-en/news/military-support-ukraine-2054992" TargetMode="External"/><Relationship Id="rId4537" Type="http://schemas.openxmlformats.org/officeDocument/2006/relationships/hyperlink" Target="https://www.defense.gov/News/Releases/Release/Article/3308633/biden-administration-announces-additional-security-assistance-for-ukraine/" TargetMode="External"/><Relationship Id="rId20" Type="http://schemas.openxmlformats.org/officeDocument/2006/relationships/hyperlink" Target="https://www.france24.com/en/live-news/20220601-arms-for-ukraine-who-has-sent-what" TargetMode="External"/><Relationship Id="rId2088" Type="http://schemas.openxmlformats.org/officeDocument/2006/relationships/hyperlink" Target="https://appropriations.house.gov/sites/democrats.appropriations.house.gov/files/Additional%20Ukraine%20Suplemental%20Appropriations%20Act%20Summary.pdf" TargetMode="External"/><Relationship Id="rId3139" Type="http://schemas.openxmlformats.org/officeDocument/2006/relationships/hyperlink" Target="https://pm.gc.ca/en/news/news-releases/2023/02/24/supporting-ukraine-long-it-takes" TargetMode="External"/><Relationship Id="rId474" Type="http://schemas.openxmlformats.org/officeDocument/2006/relationships/hyperlink" Target="https://mof.gov.ua/en/news/ukraines_state_budget_financing_since_the_beginning_of_the_full-scale_war-3435" TargetMode="External"/><Relationship Id="rId2155" Type="http://schemas.openxmlformats.org/officeDocument/2006/relationships/hyperlink" Target="https://appropriations.house.gov/sites/democrats.appropriations.house.gov/files/Additional%20Ukraine%20Suplemental%20Appropriations%20Act%20Summary.pdf" TargetMode="External"/><Relationship Id="rId3553" Type="http://schemas.openxmlformats.org/officeDocument/2006/relationships/hyperlink" Target="https://www.bundesregierung.de/breg-en/news/military-support-ukraine-2054992" TargetMode="External"/><Relationship Id="rId4604" Type="http://schemas.openxmlformats.org/officeDocument/2006/relationships/hyperlink" Target="https://defence-industry.eu/eda-brings-together-18-countries-for-common-procurement-of-ammunition/" TargetMode="External"/><Relationship Id="rId127" Type="http://schemas.openxmlformats.org/officeDocument/2006/relationships/hyperlink" Target="https://www.dw.com/en/ukraine-updates-zelenskyy-hints-he-is-open-to-talks-with-russia/a-63679013" TargetMode="External"/><Relationship Id="rId3206" Type="http://schemas.openxmlformats.org/officeDocument/2006/relationships/hyperlink" Target="https://russianstudiesromania.eu/2022/05/25/ukraine-aid-tracker-economic-military-and-humanitarian/" TargetMode="External"/><Relationship Id="rId3620" Type="http://schemas.openxmlformats.org/officeDocument/2006/relationships/hyperlink" Target="https://www.bundesregierung.de/breg-en/news/military-support-ukraine-2054992" TargetMode="External"/><Relationship Id="rId541" Type="http://schemas.openxmlformats.org/officeDocument/2006/relationships/hyperlink" Target="https://spectator.sme.sk/c/22842829/slovakia-will-send-mine-clearance-systems-and-healthcare-material-to-ukraine.html" TargetMode="External"/><Relationship Id="rId1171" Type="http://schemas.openxmlformats.org/officeDocument/2006/relationships/hyperlink" Target="https://www.euractiv.com/section/politics/news/portugal-helps-ukraine-keep-heat-and-lights-on/" TargetMode="External"/><Relationship Id="rId2222" Type="http://schemas.openxmlformats.org/officeDocument/2006/relationships/hyperlink" Target="https://appropriations.house.gov/sites/democrats.appropriations.house.gov/files/Ukraine%20Supplemental%20Summary.pdf" TargetMode="External"/><Relationship Id="rId1988" Type="http://schemas.openxmlformats.org/officeDocument/2006/relationships/hyperlink" Target="https://crsreports.congress.gov/product/pdf/IF/IF12040" TargetMode="External"/><Relationship Id="rId4394" Type="http://schemas.openxmlformats.org/officeDocument/2006/relationships/hyperlink" Target="https://www.bundesregierung.de/resource/blob/975226/2189778/cdb664abe95e6fa74802882bd66ef771/2023-05-14-liste-ukr-unterstuetzung-data.pdf?download=1" TargetMode="External"/><Relationship Id="rId4047" Type="http://schemas.openxmlformats.org/officeDocument/2006/relationships/hyperlink" Target="https://www.weaponstoukraine.com/kampane/viktor-mobile-air-defense-for-ukraine" TargetMode="External"/><Relationship Id="rId4461" Type="http://schemas.openxmlformats.org/officeDocument/2006/relationships/hyperlink" Target="https://www.bundesregierung.de/resource/blob/975226/2189778/cdb664abe95e6fa74802882bd66ef771/2023-05-14-liste-ukr-unterstuetzung-data.pdf?download=1" TargetMode="External"/><Relationship Id="rId3063" Type="http://schemas.openxmlformats.org/officeDocument/2006/relationships/hyperlink" Target="https://www.mod.gov.lv/lv/zinas/i-murniece-kijiva-tiekas-ar-ukrainas-aizsardzibas-ministru" TargetMode="External"/><Relationship Id="rId4114" Type="http://schemas.openxmlformats.org/officeDocument/2006/relationships/hyperlink" Target="https://twitter.com/MoD_Estonia/status/1629927711668838400?cxt=HHwWgICx-can1Z4tAAAA" TargetMode="External"/><Relationship Id="rId1708" Type="http://schemas.openxmlformats.org/officeDocument/2006/relationships/hyperlink" Target="https://crsreports.congress.gov/product/pdf/IF/IF12040" TargetMode="External"/><Relationship Id="rId3130" Type="http://schemas.openxmlformats.org/officeDocument/2006/relationships/hyperlink" Target="https://english.nv.ua/nation/greece-hands-over-armored-vehicles-and-ammunition-to-ukraine-news-50304298.html" TargetMode="External"/><Relationship Id="rId2896" Type="http://schemas.openxmlformats.org/officeDocument/2006/relationships/hyperlink" Target="https://english.nv.ua/nation/czech-republic-prepares-new-military-aid-package-for-ukraine-50278050.html" TargetMode="External"/><Relationship Id="rId3947" Type="http://schemas.openxmlformats.org/officeDocument/2006/relationships/hyperlink" Target="https://www.defense.gov/News/Releases/Release/Article/3388890/biden-administration-announces-additional-security-assistance-for-ukraine/" TargetMode="External"/><Relationship Id="rId868" Type="http://schemas.openxmlformats.org/officeDocument/2006/relationships/hyperlink" Target="https://www.gov.uk/government/news/prime-minister-tells-ukraine-they-will-win-as-he-marks-independence-day-24-august-2022" TargetMode="External"/><Relationship Id="rId1498" Type="http://schemas.openxmlformats.org/officeDocument/2006/relationships/hyperlink" Target="https://appropriations.house.gov/sites/democrats.appropriations.house.gov/files/Ukraine%20Supplemental%20Summary.pdf" TargetMode="External"/><Relationship Id="rId2549" Type="http://schemas.openxmlformats.org/officeDocument/2006/relationships/hyperlink" Target="https://www.brusselstimes.com/290771/belgium-to-give-e12-million-in-military-aid-to-ukraine" TargetMode="External"/><Relationship Id="rId2963" Type="http://schemas.openxmlformats.org/officeDocument/2006/relationships/hyperlink" Target="https://www.reuters.com/world/europe/france-send-12-additional-caesar-howitzers-ukraine-2023-01-31/" TargetMode="External"/><Relationship Id="rId935" Type="http://schemas.openxmlformats.org/officeDocument/2006/relationships/hyperlink" Target="https://www.regjeringen.no/en/aktuelt/regjeringen-vil-gi-3-milliarder-kroner-i-militar-stotte-til-ukraina/id2929594/" TargetMode="External"/><Relationship Id="rId1565" Type="http://schemas.openxmlformats.org/officeDocument/2006/relationships/hyperlink" Target="https://appropriations.house.gov/sites/democrats.appropriations.house.gov/files/Additional%20Ukraine%20Suplemental%20Appropriations%20Act%20Summary.pdf" TargetMode="External"/><Relationship Id="rId2616"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1218" Type="http://schemas.openxmlformats.org/officeDocument/2006/relationships/hyperlink" Target="https://www.reuters.com/world/biden-authorizes-new-275-mln-military-aid-ukraine-white-house-2022-12-09/" TargetMode="External"/><Relationship Id="rId1632" Type="http://schemas.openxmlformats.org/officeDocument/2006/relationships/hyperlink" Target="https://appropriations.house.gov/sites/democrats.appropriations.house.gov/files/Additional%20Ukraine%20Suplemental%20Appropriations%20Act%20Summary.pdf" TargetMode="External"/><Relationship Id="rId4788" Type="http://schemas.openxmlformats.org/officeDocument/2006/relationships/hyperlink" Target="https://www.bundesregierung.de/breg-en/news/military-support-ukraine-2054992" TargetMode="External"/><Relationship Id="rId3457" Type="http://schemas.openxmlformats.org/officeDocument/2006/relationships/hyperlink" Target="https://www.bundesregierung.de/breg-en/news/military-support-ukraine-2054992" TargetMode="External"/><Relationship Id="rId3871" Type="http://schemas.openxmlformats.org/officeDocument/2006/relationships/hyperlink" Target="https://www.state.gov/u-s-security-cooperation-with-ukraine/" TargetMode="External"/><Relationship Id="rId4508" Type="http://schemas.openxmlformats.org/officeDocument/2006/relationships/hyperlink" Target="https://www.brusselstimes.com/501768/belgian-government-approves-new-ukraine-aid-worth-e92-million" TargetMode="External"/><Relationship Id="rId378" Type="http://schemas.openxmlformats.org/officeDocument/2006/relationships/hyperlink" Target="https://mup.gov.hr/UserDocsImages/2022/4/112_8.pdf" TargetMode="External"/><Relationship Id="rId792" Type="http://schemas.openxmlformats.org/officeDocument/2006/relationships/hyperlink" Target="https://www.defense.gov/News/Releases/Release/Article/3134457/775-million-in-additional-security-assistance-for-ukraine/" TargetMode="External"/><Relationship Id="rId2059"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73" Type="http://schemas.openxmlformats.org/officeDocument/2006/relationships/hyperlink" Target="https://www.brusselstimes.com/278107/belgium-provides-e8-million-for-non-lethal-help-to-ukraine" TargetMode="External"/><Relationship Id="rId3524" Type="http://schemas.openxmlformats.org/officeDocument/2006/relationships/hyperlink" Target="https://www.bundesregierung.de/breg-en/news/military-support-ukraine-2054992" TargetMode="External"/><Relationship Id="rId445" Type="http://schemas.openxmlformats.org/officeDocument/2006/relationships/hyperlink" Target="https://www.regjeringen.no/en/topics/foreign-affairs/humanitarian-efforts/neighbour_support/id2908141/" TargetMode="External"/><Relationship Id="rId1075" Type="http://schemas.openxmlformats.org/officeDocument/2006/relationships/hyperlink" Target="https://www.leparisien.fr/politique/sebastien-lecornu-nous-allons-former-jusqua-2000-soldats-ukrainiens-en-france-15-10-2022-SBLM6EKPOFELNHN3GHGA7IAESY.php" TargetMode="External"/><Relationship Id="rId2126" Type="http://schemas.openxmlformats.org/officeDocument/2006/relationships/hyperlink" Target="https://crsreports.congress.gov/product/pdf/IF/IF12040" TargetMode="External"/><Relationship Id="rId2540" Type="http://schemas.openxmlformats.org/officeDocument/2006/relationships/hyperlink" Target="https://diplomatie.belgium.be/en/policy/policy-areas/highlighted/civilian-aid-ukraine-overview" TargetMode="External"/><Relationship Id="rId512" Type="http://schemas.openxmlformats.org/officeDocument/2006/relationships/hyperlink" Target="https://www.lrt.lt/en/news-in-english/19/1702086/lithuania-to-hand-over-eur15-5-million-worth-of-armoured-vehicles-trucks-suvs-to-ukraine" TargetMode="External"/><Relationship Id="rId1142" Type="http://schemas.openxmlformats.org/officeDocument/2006/relationships/hyperlink" Target="https://www.energy-community.org/news/Energy-Community-News/2023/01/11.html" TargetMode="External"/><Relationship Id="rId4298" Type="http://schemas.openxmlformats.org/officeDocument/2006/relationships/hyperlink" Target="https://ue.delegfrance.org/bilan-de-l-aide-apportee-par-la" TargetMode="External"/><Relationship Id="rId4365" Type="http://schemas.openxmlformats.org/officeDocument/2006/relationships/hyperlink" Target="https://www.bundesregierung.de/resource/blob/975226/2189778/cdb664abe95e6fa74802882bd66ef771/2023-05-14-liste-ukr-unterstuetzung-data.pdf?download=1" TargetMode="External"/><Relationship Id="rId1959" Type="http://schemas.openxmlformats.org/officeDocument/2006/relationships/hyperlink" Target="https://crsreports.congress.gov/product/pdf/IF/IF12040" TargetMode="External"/><Relationship Id="rId4018" Type="http://schemas.openxmlformats.org/officeDocument/2006/relationships/hyperlink" Target="https://twitter.com/Francois_Bausch/status/1625574908645281792?cxt=HHwWgMC4mYnxmY8tAAAA" TargetMode="External"/><Relationship Id="rId3381" Type="http://schemas.openxmlformats.org/officeDocument/2006/relationships/hyperlink" Target="https://www.bundesregierung.de/breg-de/aktuelles/ukraine-donors-conference-2037428" TargetMode="External"/><Relationship Id="rId4432" Type="http://schemas.openxmlformats.org/officeDocument/2006/relationships/hyperlink" Target="https://www.bundesregierung.de/resource/blob/975226/2189778/cdb664abe95e6fa74802882bd66ef771/2023-05-14-liste-ukr-unterstuetzung-data.pdf?download=1" TargetMode="External"/><Relationship Id="rId3034" Type="http://schemas.openxmlformats.org/officeDocument/2006/relationships/hyperlink" Target="https://twitter.com/a_anusauskas/status/1624309588769087488?cxt=HHwWgIC9veG92ootAAAA" TargetMode="External"/><Relationship Id="rId2050"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01" Type="http://schemas.openxmlformats.org/officeDocument/2006/relationships/hyperlink" Target="https://www.defensie.nl/onderwerpen/oostflank-navo-gebied/militaire-steun-aan-oekraine" TargetMode="External"/><Relationship Id="rId839" Type="http://schemas.openxmlformats.org/officeDocument/2006/relationships/hyperlink" Target="https://www.ukrinform.net/rubric-society/3474985-austria-allocates-another-42m-in-humanitarian-aid-to-ukraine.html" TargetMode="External"/><Relationship Id="rId1469" Type="http://schemas.openxmlformats.org/officeDocument/2006/relationships/hyperlink" Target="https://appropriations.house.gov/sites/democrats.appropriations.house.gov/files/Ukraine%20Supplemental%20Summary.pdf" TargetMode="External"/><Relationship Id="rId2867" Type="http://schemas.openxmlformats.org/officeDocument/2006/relationships/hyperlink" Target="https://crsreports.congress.gov/product/pdf/IF/IF12040" TargetMode="External"/><Relationship Id="rId3918" Type="http://schemas.openxmlformats.org/officeDocument/2006/relationships/hyperlink" Target="https://www.state.gov/u-s-security-cooperation-with-ukraine/" TargetMode="External"/><Relationship Id="rId1883" Type="http://schemas.openxmlformats.org/officeDocument/2006/relationships/hyperlink" Target="https://appropriations.house.gov/sites/democrats.appropriations.house.gov/files/Ukraine%20Supplemental%20Summary%20FY23.pdf" TargetMode="External"/><Relationship Id="rId2934" Type="http://schemas.openxmlformats.org/officeDocument/2006/relationships/hyperlink" Target="https://www.kurzy.cz/tema/7934096.html" TargetMode="External"/><Relationship Id="rId906" Type="http://schemas.openxmlformats.org/officeDocument/2006/relationships/hyperlink" Target="https://um.dk/en/foreign-policy/danish-support-for-ukraine" TargetMode="External"/><Relationship Id="rId1536" Type="http://schemas.openxmlformats.org/officeDocument/2006/relationships/hyperlink" Target="https://appropriations.house.gov/sites/democrats.appropriations.house.gov/files/Additional%20Ukraine%20Suplemental%20Appropriations%20Act%20Summary.pdf" TargetMode="External"/><Relationship Id="rId1950" Type="http://schemas.openxmlformats.org/officeDocument/2006/relationships/hyperlink" Target="https://crsreports.congress.gov/product/pdf/IF/IF12040" TargetMode="External"/><Relationship Id="rId1603" Type="http://schemas.openxmlformats.org/officeDocument/2006/relationships/hyperlink" Target="https://appropriations.house.gov/sites/democrats.appropriations.house.gov/files/Additional%20Ukraine%20Suplemental%20Appropriations%20Act%20Summary.pdf" TargetMode="External"/><Relationship Id="rId4759" Type="http://schemas.openxmlformats.org/officeDocument/2006/relationships/hyperlink" Target="https://www.bundesregierung.de/breg-en/news/military-support-ukraine-2054992" TargetMode="External"/><Relationship Id="rId3775" Type="http://schemas.openxmlformats.org/officeDocument/2006/relationships/hyperlink" Target="https://www.defense.gov/News/Releases/Release/Article/3334472/dod-announces-additional-security-assistance-for-ukraine/" TargetMode="External"/><Relationship Id="rId4826" Type="http://schemas.openxmlformats.org/officeDocument/2006/relationships/hyperlink" Target="https://www.bundesregierung.de/breg-en/news/military-support-ukraine-2054992" TargetMode="External"/><Relationship Id="rId696" Type="http://schemas.openxmlformats.org/officeDocument/2006/relationships/hyperlink" Target="https://www.gov.uk/government/news/uk-to-gift-multiple-launch-rocket-systems-to-ukraine" TargetMode="External"/><Relationship Id="rId2377" Type="http://schemas.openxmlformats.org/officeDocument/2006/relationships/hyperlink" Target="https://www.connexionfrance.com/article/French-news/Humanitarian-ship-for-Ukraine-leaves-French-port-with-8m-of-aid" TargetMode="External"/><Relationship Id="rId2791" Type="http://schemas.openxmlformats.org/officeDocument/2006/relationships/hyperlink" Target="https://www.defense.gov/News/Releases/Release/Article/3287992/biden-administration-announces-additional-security-assistance-for-ukraine/" TargetMode="External"/><Relationship Id="rId3428" Type="http://schemas.openxmlformats.org/officeDocument/2006/relationships/hyperlink" Target="https://www.bundesregierung.de/breg-en/news/military-support-ukraine-2054992" TargetMode="External"/><Relationship Id="rId349" Type="http://schemas.openxmlformats.org/officeDocument/2006/relationships/hyperlink" Target="https://www.gov.si/en/news/2022-03-01-minister-logar-announces-eur-1-1-million-in-humanitarian-aid-for-ukraine/" TargetMode="External"/><Relationship Id="rId763" Type="http://schemas.openxmlformats.org/officeDocument/2006/relationships/hyperlink" Target="https://www.government.se/press-releases/2022/08/prime-minister-magdalena-andersson-to-receive-ukrainian-minister-for-foreign-affairs-dmytro-kuleba/" TargetMode="External"/><Relationship Id="rId1393" Type="http://schemas.openxmlformats.org/officeDocument/2006/relationships/hyperlink" Target="https://appropriations.house.gov/sites/democrats.appropriations.house.gov/files/Ukraine%20Supplemental%20Summary.pdf" TargetMode="External"/><Relationship Id="rId2444" Type="http://schemas.openxmlformats.org/officeDocument/2006/relationships/hyperlink" Target="https://www.eda.admin.ch/content/dam/eda/en/documents/aktuell/news/2022/20221215-ukraine-engagement-schweiz-finanzielle-unterstuetzung_en.pdf" TargetMode="External"/><Relationship Id="rId3842" Type="http://schemas.openxmlformats.org/officeDocument/2006/relationships/hyperlink" Target="https://www.state.gov/u-s-security-cooperation-with-ukraine/" TargetMode="External"/><Relationship Id="rId416" Type="http://schemas.openxmlformats.org/officeDocument/2006/relationships/hyperlink" Target="https://babel.ua/en/news/78193-slovenia-will-provide-180-000-in-financial-assistance-to-ukraine" TargetMode="External"/><Relationship Id="rId1046" Type="http://schemas.openxmlformats.org/officeDocument/2006/relationships/hyperlink" Target="https://www.wfp.org/news/japan-provides-us28-million-humanitarian-food-assistance-ukraine" TargetMode="External"/><Relationship Id="rId830" Type="http://schemas.openxmlformats.org/officeDocument/2006/relationships/hyperlink" Target="https://www.defense.gov/News/Releases/Release/Article/3173378/11-billion-in-additional-security-assistance-for-ukraine/" TargetMode="External"/><Relationship Id="rId1460" Type="http://schemas.openxmlformats.org/officeDocument/2006/relationships/hyperlink" Target="https://appropriations.house.gov/sites/democrats.appropriations.house.gov/files/Ukraine%20Supplemental%20Summary.pdf" TargetMode="External"/><Relationship Id="rId2511" Type="http://schemas.openxmlformats.org/officeDocument/2006/relationships/hyperlink" Target="https://www.lesoir.be/437698/article/2022-04-22/guerre-en-ukraine-la-belgique-sapprete-livrer-de-nouveaux-missiles-antichars" TargetMode="External"/><Relationship Id="rId1113" Type="http://schemas.openxmlformats.org/officeDocument/2006/relationships/hyperlink" Target="https://rus.delfi.lv/news/daily/latvia/latviya-vydelit-550-tysyach-evro-na-pokupku-generatorov-dlya-ukrainskih-mass-media.d?id=55050546" TargetMode="External"/><Relationship Id="rId4269" Type="http://schemas.openxmlformats.org/officeDocument/2006/relationships/hyperlink" Target="https://ec.europa.eu/commission/presscorner/detail/en/ip_23_461" TargetMode="External"/><Relationship Id="rId4683" Type="http://schemas.openxmlformats.org/officeDocument/2006/relationships/hyperlink" Target="https://www.bundesregierung.de/breg-en/news/military-support-ukraine-2054992" TargetMode="External"/><Relationship Id="rId3285" Type="http://schemas.openxmlformats.org/officeDocument/2006/relationships/hyperlink" Target="https://kariuomene.lt/data/public/uploads/2022/03/lmd_2022_nr.3_kovas_internetui.pdf" TargetMode="External"/><Relationship Id="rId4336" Type="http://schemas.openxmlformats.org/officeDocument/2006/relationships/hyperlink" Target="https://www.bundesregierung.de/resource/blob/975226/2189778/cdb664abe95e6fa74802882bd66ef771/2023-05-14-liste-ukr-unterstuetzung-data.pdf?download=1" TargetMode="External"/><Relationship Id="rId4750" Type="http://schemas.openxmlformats.org/officeDocument/2006/relationships/hyperlink" Target="https://www.bundesregierung.de/breg-en/news/military-support-ukraine-2054992" TargetMode="External"/><Relationship Id="rId3352" Type="http://schemas.openxmlformats.org/officeDocument/2006/relationships/hyperlink" Target="https://www.mof.gov.ua/uk/news/minfin_ukraina_otrimaie_vid_kanadi_dodatkovikh_450_mln_kanadskikh_dolariv-3544" TargetMode="External"/><Relationship Id="rId4403" Type="http://schemas.openxmlformats.org/officeDocument/2006/relationships/hyperlink" Target="https://www.bmz.de/de/aktuelles/aktuelle-meldungen/neue-plattform-wiederaufbau-in-der-ukraine-150728" TargetMode="External"/><Relationship Id="rId273" Type="http://schemas.openxmlformats.org/officeDocument/2006/relationships/hyperlink" Target="https://www.globalcitizen.org/en/content/stand-up-for-ukraine-impact-report/" TargetMode="External"/><Relationship Id="rId3005" Type="http://schemas.openxmlformats.org/officeDocument/2006/relationships/hyperlink" Target="https://web.archive.org/web/20230524183203/https:/www.defesa.gov.pt/pt/comunicacao/documentos/Lists/PDEFINTER_DocumentoLookupList/apoio_militar_Portugal_Ucrania_20230503.pdf" TargetMode="External"/><Relationship Id="rId340" Type="http://schemas.openxmlformats.org/officeDocument/2006/relationships/hyperlink" Target="https://www.lamoncloa.gob.es/lang/en/gobierno/news/Paginas/2022/20220227_aid-to-ukraine.aspx" TargetMode="External"/><Relationship Id="rId2021" Type="http://schemas.openxmlformats.org/officeDocument/2006/relationships/hyperlink" Target="https://crsreports.congress.gov/product/pdf/IF/IF12040" TargetMode="External"/><Relationship Id="rId4193" Type="http://schemas.openxmlformats.org/officeDocument/2006/relationships/hyperlink" Target="https://www.assemblee-nationale.fr/dyn/16/comptes-rendus/cion_def/l16cion_def2223020_compte-rendu" TargetMode="External"/><Relationship Id="rId1787" Type="http://schemas.openxmlformats.org/officeDocument/2006/relationships/hyperlink" Target="https://crsreports.congress.gov/product/pdf/IF/IF12040" TargetMode="External"/><Relationship Id="rId2838" Type="http://schemas.openxmlformats.org/officeDocument/2006/relationships/hyperlink" Target="https://crsreports.congress.gov/product/pdf/IF/IF12040" TargetMode="External"/><Relationship Id="rId79" Type="http://schemas.openxmlformats.org/officeDocument/2006/relationships/hyperlink" Target="https://kyivindependent.com/uncategorized/poland-has-provided-ukraine-with-weapons-worth-1-6-billion/" TargetMode="External"/><Relationship Id="rId185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05" Type="http://schemas.openxmlformats.org/officeDocument/2006/relationships/hyperlink" Target="https://mil.in.ua/en/news/czech-republic-to-transfer-heavy-equipment-and-weapons-to-ukraine/" TargetMode="External"/><Relationship Id="rId4260" Type="http://schemas.openxmlformats.org/officeDocument/2006/relationships/hyperlink" Target="https://www.consilium.europa.eu/en/press/press-releases/2023/04/13/ammunition-for-ukraine-council-agrees-1-billion-support-under-the-european-peace-facility/" TargetMode="External"/><Relationship Id="rId1507" Type="http://schemas.openxmlformats.org/officeDocument/2006/relationships/hyperlink" Target="https://appropriations.house.gov/sites/democrats.appropriations.house.gov/files/Ukraine%20Supplemental%20Summary.pdf" TargetMode="External"/><Relationship Id="rId1921" Type="http://schemas.openxmlformats.org/officeDocument/2006/relationships/hyperlink" Target="https://appropriations.house.gov/sites/democrats.appropriations.house.gov/files/Ukraine%20Supplemental%20Summary%20FY23.pdf" TargetMode="External"/><Relationship Id="rId3679" Type="http://schemas.openxmlformats.org/officeDocument/2006/relationships/hyperlink" Target="https://um.dk/udenrigspolitik/dansk-stoette-til-ukraine" TargetMode="External"/><Relationship Id="rId1297" Type="http://schemas.openxmlformats.org/officeDocument/2006/relationships/hyperlink" Target="https://twitter.com/Lithuanian_MoD/status/1529371608766468097?ref_src=twsrc%5Etfw%7Ctwcamp%5Etweetembed%7Ctwterm%5E1529371608766468097%7Ctwgr%5E%7Ctwcon%5Es1_&amp;ref_url=https%3A%2F%2Fwww.republicworld.com%2Fworld-news%2Frussia-ukraine-crisis%2Frussia-ukraine-war-lithuania-to-send-armoured-personnel-carriers-in-military-aid-to-kyiv-articleshow.html" TargetMode="External"/><Relationship Id="rId2695" Type="http://schemas.openxmlformats.org/officeDocument/2006/relationships/hyperlink" Target="https://www.defmin.fi/en/topical/press_releases_and_news/finland_to_deliver_more_defence_materiel_to_ukraine.13357.news" TargetMode="External"/><Relationship Id="rId3746" Type="http://schemas.openxmlformats.org/officeDocument/2006/relationships/hyperlink" Target="https://www.government.se/press-releases/2023/02/government-allocating-additional-sek-520-million-in-support-to-ukraine/" TargetMode="External"/><Relationship Id="rId667" Type="http://schemas.openxmlformats.org/officeDocument/2006/relationships/hyperlink" Target="https://www.rferl.org/a/czech-republic-poland-new-military-aid-ukraine/31873938.html" TargetMode="External"/><Relationship Id="rId2348" Type="http://schemas.openxmlformats.org/officeDocument/2006/relationships/hyperlink" Target="https://valtioneuvosto.fi/en/-/10616/finland-sends-additional-aid-to-ukraine" TargetMode="External"/><Relationship Id="rId2762" Type="http://schemas.openxmlformats.org/officeDocument/2006/relationships/hyperlink" Target="https://crsreports.congress.gov/product/pdf/IF/IF12040" TargetMode="External"/><Relationship Id="rId3813" Type="http://schemas.openxmlformats.org/officeDocument/2006/relationships/hyperlink" Target="https://www.state.gov/u-s-security-cooperation-with-ukraine/" TargetMode="External"/><Relationship Id="rId734" Type="http://schemas.openxmlformats.org/officeDocument/2006/relationships/hyperlink" Target="https://www.state.gov/400-million-in-new-u-s-military-assistance-for-ukraine/" TargetMode="External"/><Relationship Id="rId1364" Type="http://schemas.openxmlformats.org/officeDocument/2006/relationships/hyperlink" Target="https://appropriations.house.gov/sites/democrats.appropriations.house.gov/files/Additional%20Ukraine%20Suplemental%20Appropriations%20Act%20Summary.pdf" TargetMode="External"/><Relationship Id="rId2415" Type="http://schemas.openxmlformats.org/officeDocument/2006/relationships/hyperlink" Target="https://www.globaldefensecorp.com/2022/10/27/australia-to-send-30-additional-bushmaster-vehicles-to-ukraine-train-ukrainian-soldiers-in-uk/" TargetMode="External"/><Relationship Id="rId70" Type="http://schemas.openxmlformats.org/officeDocument/2006/relationships/hyperlink" Target="https://www.rferl.org/a/czech-republic-poland-new-military-aid-ukraine/31873938.html" TargetMode="External"/><Relationship Id="rId801" Type="http://schemas.openxmlformats.org/officeDocument/2006/relationships/hyperlink" Target="https://www.defense.gov/News/Releases/Release/Article/3152071/675-million-in-additional-security-assistance-for-ukraine/" TargetMode="External"/><Relationship Id="rId1017" Type="http://schemas.openxmlformats.org/officeDocument/2006/relationships/hyperlink" Target="https://www.facebook.com/LVIVDSNS/posts/pfbid0Kh4LzoSej4TroK3tNk9nUGzRfwB9sFeaRPgWP94cdzQsv1ChVf42NgPiSmZBK6wMl" TargetMode="External"/><Relationship Id="rId1431" Type="http://schemas.openxmlformats.org/officeDocument/2006/relationships/hyperlink" Target="https://appropriations.house.gov/sites/democrats.appropriations.house.gov/files/Ukraine%20Supplemental%20Summary.pdf" TargetMode="External"/><Relationship Id="rId4587" Type="http://schemas.openxmlformats.org/officeDocument/2006/relationships/hyperlink" Target="https://um.dk/udenrigspolitik/dansk-stoette-til-ukraine" TargetMode="External"/><Relationship Id="rId3189" Type="http://schemas.openxmlformats.org/officeDocument/2006/relationships/hyperlink" Target="https://www.cbsnews.com/news/ukraine-aid-bill-house-vote-39-8-billion/" TargetMode="External"/><Relationship Id="rId4654" Type="http://schemas.openxmlformats.org/officeDocument/2006/relationships/hyperlink" Target="https://japan.kantei.go.jp/ongoingtopics/pdf/jp_stands_with_ukraine_eng.pdf" TargetMode="External"/><Relationship Id="rId3256" Type="http://schemas.openxmlformats.org/officeDocument/2006/relationships/hyperlink" Target="https://hungarytoday.hu/szijjarto-beregszasz-water-supply/" TargetMode="External"/><Relationship Id="rId4307" Type="http://schemas.openxmlformats.org/officeDocument/2006/relationships/hyperlink" Target="https://www.bundesregierung.de/breg-en/news/military-support-ukraine-2054992" TargetMode="External"/><Relationship Id="rId177" Type="http://schemas.openxmlformats.org/officeDocument/2006/relationships/hyperlink" Target="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TargetMode="External"/><Relationship Id="rId591" Type="http://schemas.openxmlformats.org/officeDocument/2006/relationships/hyperlink" Target="https://www.theportugalnews.com/news/2022-04-12/portugal-sending-over-99-tonnes-of-medical-and-military-materials/66356" TargetMode="External"/><Relationship Id="rId2272" Type="http://schemas.openxmlformats.org/officeDocument/2006/relationships/hyperlink" Target="https://crsreports.congress.gov/product/pdf/IF/IF12040" TargetMode="External"/><Relationship Id="rId3670" Type="http://schemas.openxmlformats.org/officeDocument/2006/relationships/hyperlink" Target="https://www.eurointegration.com.ua/eng/news/2023/02/13/7156045/" TargetMode="External"/><Relationship Id="rId4721" Type="http://schemas.openxmlformats.org/officeDocument/2006/relationships/hyperlink" Target="https://www.bundesregierung.de/breg-en/news/military-support-ukraine-2054992" TargetMode="External"/><Relationship Id="rId244" Type="http://schemas.openxmlformats.org/officeDocument/2006/relationships/hyperlink" Target="https://eng.lsm.lv/article/society/society/latvia-has-sent-14-loads-of-donations-to-ukraine.a448977/" TargetMode="External"/><Relationship Id="rId3323" Type="http://schemas.openxmlformats.org/officeDocument/2006/relationships/hyperlink" Target="https://de.ambafrance.org/Bilan-de-l-aide-apportee-par-la-France-a-l-Ukraine-fevrier-2023" TargetMode="External"/><Relationship Id="rId311" Type="http://schemas.openxmlformats.org/officeDocument/2006/relationships/hyperlink" Target="https://www.reuters.com/world/europe/spain-send-grenade-launchers-machine-guns-ukraine-minister-says-2022-03-02/" TargetMode="External"/><Relationship Id="rId4097" Type="http://schemas.openxmlformats.org/officeDocument/2006/relationships/hyperlink" Target="https://kaitseministeerium.ee/et/uudised/eesti-annetab-koostoos-hollandi-ja-norraga-ukrainale-kolmanda-valihaigla" TargetMode="External"/><Relationship Id="rId1758" Type="http://schemas.openxmlformats.org/officeDocument/2006/relationships/hyperlink" Target="https://crsreports.congress.gov/product/pdf/IF/IF12040" TargetMode="External"/><Relationship Id="rId2809" Type="http://schemas.openxmlformats.org/officeDocument/2006/relationships/hyperlink" Target="https://www.defense.gov/News/Releases/Release/Article/3287992/biden-administration-announces-additional-security-assistance-for-ukraine/" TargetMode="External"/><Relationship Id="rId4164" Type="http://schemas.openxmlformats.org/officeDocument/2006/relationships/hyperlink" Target="https://twitter.com/OlekKorn/status/1574691048378765312?ref_src=twsrc%5Etfw%7Ctwcamp%5Etweetembed%7Ctwterm%5E1574764099644301314%7Ctwgr%5E32aa61244c5816ffc71c7af61a0a966f6f6a69a4%7Ctwcon%5Es3_&amp;ref_url=https%3A%2F%2Fnews.err.ee%2F1608731662%2Feconomic-minister-estonia-can-set-an-example-for-rebuilding-ukraine" TargetMode="External"/><Relationship Id="rId3180" Type="http://schemas.openxmlformats.org/officeDocument/2006/relationships/hyperlink" Target="https://civil-protection-humanitarian-aid.ec.europa.eu/where/europe/ukraine_en" TargetMode="External"/><Relationship Id="rId4231" Type="http://schemas.openxmlformats.org/officeDocument/2006/relationships/hyperlink" Target="https://www.regjeringen.no/en/topics/foreign-affairs/humanitarian-efforts/neighbour_support/id2908141/?expand=factbox2963912" TargetMode="External"/><Relationship Id="rId1825" Type="http://schemas.openxmlformats.org/officeDocument/2006/relationships/hyperlink" Target="https://appropriations.house.gov/sites/democrats.appropriations.house.gov/files/Summary%20Continuing%20Appropriations%20and%20Ukraine%20Supplemental%20Appropriations%20Act%202023.pdf" TargetMode="External"/><Relationship Id="rId3997" Type="http://schemas.openxmlformats.org/officeDocument/2006/relationships/hyperlink" Target="https://www.canada.ca/en/department-national-defence/campaigns/canadian-military-support-to-ukraine.html" TargetMode="External"/><Relationship Id="rId2599"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985" Type="http://schemas.openxmlformats.org/officeDocument/2006/relationships/hyperlink" Target="https://edition.cnn.com/europe/live-news/russia-ukraine-war-news-08-25-22/index.html" TargetMode="External"/><Relationship Id="rId2666" Type="http://schemas.openxmlformats.org/officeDocument/2006/relationships/hyperlink" Target="https://www.gov.uk/government/speeches/defence-secretary-oral-statement-on-war-in-ukraine--2" TargetMode="External"/><Relationship Id="rId3717" Type="http://schemas.openxmlformats.org/officeDocument/2006/relationships/hyperlink" Target="https://www.regjeringen.no/en/aktuelt/broad-political-agreement-on-multi-year-support-programme-for-ukraine/id2963374/" TargetMode="External"/><Relationship Id="rId638" Type="http://schemas.openxmlformats.org/officeDocument/2006/relationships/hyperlink" Target="https://www.youtube.com/watch?v=vzENx6dTpqY" TargetMode="External"/><Relationship Id="rId1268" Type="http://schemas.openxmlformats.org/officeDocument/2006/relationships/hyperlink" Target="https://dailynewshungary.com/hungary-can-be-of-far-greater-help-if-it-remains-an-island-of-peace-together-with-transcarpathia-says-official/" TargetMode="External"/><Relationship Id="rId1682" Type="http://schemas.openxmlformats.org/officeDocument/2006/relationships/hyperlink" Target="https://crsreports.congress.gov/product/pdf/IF/IF12040" TargetMode="External"/><Relationship Id="rId2319" Type="http://schemas.openxmlformats.org/officeDocument/2006/relationships/hyperlink" Target="https://www.forces.net/ukraine/uk/what-armoured-vehicles-are-uk-sending-ukraine" TargetMode="External"/><Relationship Id="rId2733" Type="http://schemas.openxmlformats.org/officeDocument/2006/relationships/hyperlink" Target="https://www.regjeringen.no/en/aktuelt/broad-political-agreement-on-multi-year-support-programme-for-ukraine/id2963374/" TargetMode="External"/><Relationship Id="rId705" Type="http://schemas.openxmlformats.org/officeDocument/2006/relationships/hyperlink" Target="https://www.whitehouse.gov/briefing-room/press-briefings/2022/04/04/press-briefing-by-press-secretary-jen-psaki-and-national-security-advisor-jake-sullivan/" TargetMode="External"/><Relationship Id="rId1335" Type="http://schemas.openxmlformats.org/officeDocument/2006/relationships/hyperlink" Target="https://www.gov.si/en/news/2022-11-25-ministry-of-foreign-affairs-to-provide-funds-to-complete-the-reconstruction-of-a-rehabilitation-home-in-ukraine/" TargetMode="External"/><Relationship Id="rId2800" Type="http://schemas.openxmlformats.org/officeDocument/2006/relationships/hyperlink" Target="https://crsreports.congress.gov/product/pdf/IF/IF12040" TargetMode="External"/><Relationship Id="rId41" Type="http://schemas.openxmlformats.org/officeDocument/2006/relationships/hyperlink" Target="https://www.cmfmag.ca/canadian-government-sends-lethal-weapons-to-ukraine/" TargetMode="External"/><Relationship Id="rId1402" Type="http://schemas.openxmlformats.org/officeDocument/2006/relationships/hyperlink" Target="https://appropriations.house.gov/sites/democrats.appropriations.house.gov/files/Ukraine%20Supplemental%20Summary.pdf" TargetMode="External"/><Relationship Id="rId4558" Type="http://schemas.openxmlformats.org/officeDocument/2006/relationships/hyperlink" Target="https://spectator.sme.sk/c/22850259/slovakia-will-send-more-military-aid-to-ukraine.html" TargetMode="External"/><Relationship Id="rId3574" Type="http://schemas.openxmlformats.org/officeDocument/2006/relationships/hyperlink" Target="https://www.irishtimes.com/ireland/2023/03/14/defence-forces-training-for-ukraine-military-to-be-sporadic-and-short-term/" TargetMode="External"/><Relationship Id="rId4625" Type="http://schemas.openxmlformats.org/officeDocument/2006/relationships/hyperlink" Target="https://mil.in.ua/en/news/portugal-to-transfer-five-armored-vehicles-to-the-ukrainian-armed-forces/" TargetMode="External"/><Relationship Id="rId495" Type="http://schemas.openxmlformats.org/officeDocument/2006/relationships/hyperlink" Target="https://www.canada.ca/en/department-national-defence/news/2022/04/canada-announces-artillery-and-other-additional-military-aid-for-ukraine.html" TargetMode="External"/><Relationship Id="rId2176" Type="http://schemas.openxmlformats.org/officeDocument/2006/relationships/hyperlink" Target="https://appropriations.house.gov/sites/democrats.appropriations.house.gov/files/Additional%20Ukraine%20Suplemental%20Appropriations%20Act%20Summary.pdf" TargetMode="External"/><Relationship Id="rId2590" Type="http://schemas.openxmlformats.org/officeDocument/2006/relationships/hyperlink" Target="https://www.premier.be/sites/default/files/articles/BE%20support%20militaire.pdf" TargetMode="External"/><Relationship Id="rId3227" Type="http://schemas.openxmlformats.org/officeDocument/2006/relationships/hyperlink" Target="https://kyivindependent.com/uk-to-transfer-first-5-8-million-tranche-of-aid-to-support-ukraines-energy-system/" TargetMode="External"/><Relationship Id="rId3641" Type="http://schemas.openxmlformats.org/officeDocument/2006/relationships/hyperlink" Target="https://me.gov.ua/News/Detail?lang=uk-UA&amp;id=d2b569f7-786e-4801-8cb9-25a0748d62c9&amp;title=UkrainaZaluchitDo-8-MlrdVidKoreiZaNadzvichainoPilgovimiUmovami" TargetMode="External"/><Relationship Id="rId148" Type="http://schemas.openxmlformats.org/officeDocument/2006/relationships/hyperlink" Target="https://www.defensa.gob.es/gabinete/notasPrensa/2022/10/DGC-221006-envio-ucrania.html" TargetMode="External"/><Relationship Id="rId562" Type="http://schemas.openxmlformats.org/officeDocument/2006/relationships/hyperlink" Target="https://economy-finance.ec.europa.eu/international-economic-relations/candidate-and-neighbouring-countries/neighbouring-countries-eu/neighbourhood-countries/ukraine_en" TargetMode="External"/><Relationship Id="rId1192" Type="http://schemas.openxmlformats.org/officeDocument/2006/relationships/hyperlink" Target="https://www.regjeringen.no/en/topics/foreign-affairs/humanitarian-efforts/neighbour_support/id2908141/?expand=factbox2947779" TargetMode="External"/><Relationship Id="rId2243" Type="http://schemas.openxmlformats.org/officeDocument/2006/relationships/hyperlink" Target="https://appropriations.house.gov/sites/democrats.appropriations.house.gov/files/Ukraine%20Supplemental%20Summary.pdf" TargetMode="External"/><Relationship Id="rId215" Type="http://schemas.openxmlformats.org/officeDocument/2006/relationships/hyperlink" Target="https://ua.ambafrance.org/Dostavka-1000-t-francuz-koyi-gumaniitarnoyi-dopomogi-ukrayins-kim-adresatam-v" TargetMode="External"/><Relationship Id="rId2310" Type="http://schemas.openxmlformats.org/officeDocument/2006/relationships/hyperlink" Target="https://crsreports.congress.gov/product/pdf/IF/IF12040" TargetMode="External"/><Relationship Id="rId4068" Type="http://schemas.openxmlformats.org/officeDocument/2006/relationships/hyperlink" Target="https://www.reuters.com/world/europe/polish-leopard-tanks-are-already-ukraine-defence-minister-says-2023-02-24/" TargetMode="External"/><Relationship Id="rId4482" Type="http://schemas.openxmlformats.org/officeDocument/2006/relationships/hyperlink" Target="https://www.iem.gov.lv/en/article/state-police-will-provide-ukraine-its-largest-technical-support-date-sending-50-vehicles-and-other-equipment?utm_source=https%3A%2F%2Fwww.google.com%2F" TargetMode="External"/><Relationship Id="rId3084" Type="http://schemas.openxmlformats.org/officeDocument/2006/relationships/hyperlink" Target="https://www.worldbank.org/en/country/ukraine/brief/world-bank-emergency-financing-package-for-ukraine" TargetMode="External"/><Relationship Id="rId4135" Type="http://schemas.openxmlformats.org/officeDocument/2006/relationships/hyperlink" Target="https://twitter.com/HPevkur/status/1636347925935562753" TargetMode="External"/><Relationship Id="rId1729" Type="http://schemas.openxmlformats.org/officeDocument/2006/relationships/hyperlink" Target="https://crsreports.congress.gov/product/pdf/IF/IF12040" TargetMode="External"/><Relationship Id="rId3151" Type="http://schemas.openxmlformats.org/officeDocument/2006/relationships/hyperlink" Target="https://www.defense.gov/News/Releases/Release/Article/3277443/biden-administration-announces-additional-security-assistance-for-ukraine/" TargetMode="External"/><Relationship Id="rId4202" Type="http://schemas.openxmlformats.org/officeDocument/2006/relationships/hyperlink" Target="https://www.repubblica.it/politica/2023/05/30/news/crosetto_copasir_pacchetto_armi_ucraina_difesa_anti_aerea-402531497/?ref=RHLF-BG-I402501892-P2-S2-T1" TargetMode="External"/><Relationship Id="rId3968" Type="http://schemas.openxmlformats.org/officeDocument/2006/relationships/hyperlink" Target="https://www.defense.gov/News/Releases/Release/Article/3350958/biden-administration-announces-additional-security-assistance-for-ukraine/" TargetMode="External"/><Relationship Id="rId5" Type="http://schemas.openxmlformats.org/officeDocument/2006/relationships/hyperlink" Target="https://www.reuters.com/world/europe/ukraine-receives-harpoon-missiles-howitzers-says-defence-minister-2022-05-28/" TargetMode="External"/><Relationship Id="rId889" Type="http://schemas.openxmlformats.org/officeDocument/2006/relationships/hyperlink" Target="https://www.regjeringen.no/en/aktuelt/norge-og-storbritannia-gir-langtrekkende-rakettartilleri-til-ukraina/id2921395/" TargetMode="External"/><Relationship Id="rId1586" Type="http://schemas.openxmlformats.org/officeDocument/2006/relationships/hyperlink" Target="https://appropriations.house.gov/sites/democrats.appropriations.house.gov/files/Additional%20Ukraine%20Suplemental%20Appropriations%20Act%20Summary.pdf" TargetMode="External"/><Relationship Id="rId2984" Type="http://schemas.openxmlformats.org/officeDocument/2006/relationships/hyperlink" Target="https://timesofmalta.com/articles/view/malta-send-20-generators-medical-equipment-ukraine.1008690" TargetMode="External"/><Relationship Id="rId609" Type="http://schemas.openxmlformats.org/officeDocument/2006/relationships/hyperlink" Target="https://www.reuters.com/world/europe/sweden-supply-more-military-aid-including-anti-ship-missiles-ukraine-2022-06-02/" TargetMode="External"/><Relationship Id="rId956" Type="http://schemas.openxmlformats.org/officeDocument/2006/relationships/hyperlink" Target="https://www.defense.gouv.fr/terre/actualites/uiisc-1-3e-convoi-solidarite-lukraine" TargetMode="External"/><Relationship Id="rId1239" Type="http://schemas.openxmlformats.org/officeDocument/2006/relationships/hyperlink" Target="https://www.livemint.com/news/world/india-sends-7-725-kilograms-of-humanitarian-aid-to-ukraine-amid-war-read-here-11662994122487.html" TargetMode="External"/><Relationship Id="rId2637" Type="http://schemas.openxmlformats.org/officeDocument/2006/relationships/hyperlink" Target="https://www.youtube.com/watch?v=A1nTsblXabc" TargetMode="External"/><Relationship Id="rId1653" Type="http://schemas.openxmlformats.org/officeDocument/2006/relationships/hyperlink" Target="https://crsreports.congress.gov/product/pdf/IF/IF12040" TargetMode="External"/><Relationship Id="rId2704" Type="http://schemas.openxmlformats.org/officeDocument/2006/relationships/hyperlink" Target="https://japan.kantei.go.jp/101_kishida/actions/202302/_00027.html" TargetMode="External"/><Relationship Id="rId1306" Type="http://schemas.openxmlformats.org/officeDocument/2006/relationships/hyperlink" Target="https://tapportals.mk.gov.lv/legal_acts/4cc2e5ed-8d7f-4052-8aaa-9a3a1d472b7d" TargetMode="External"/><Relationship Id="rId1720" Type="http://schemas.openxmlformats.org/officeDocument/2006/relationships/hyperlink" Target="https://crsreports.congress.gov/product/pdf/IF/IF12040" TargetMode="External"/><Relationship Id="rId12" Type="http://schemas.openxmlformats.org/officeDocument/2006/relationships/hyperlink" Target="https://www.cbc.ca/news/politics/ukraine-m777-howitzer-russia-heavy-artillery-1.6427762" TargetMode="External"/><Relationship Id="rId3478" Type="http://schemas.openxmlformats.org/officeDocument/2006/relationships/hyperlink" Target="https://www.bundesregierung.de/breg-en/news/military-support-ukraine-2054992" TargetMode="External"/><Relationship Id="rId3892" Type="http://schemas.openxmlformats.org/officeDocument/2006/relationships/hyperlink" Target="https://www.state.gov/u-s-security-cooperation-with-ukraine/" TargetMode="External"/><Relationship Id="rId4529" Type="http://schemas.openxmlformats.org/officeDocument/2006/relationships/hyperlink" Target="https://www.defense.gov/News/Releases/Release/Article/3383288/biden-administration-announces-additional-security-assistance-for-ukraine/" TargetMode="External"/><Relationship Id="rId399" Type="http://schemas.openxmlformats.org/officeDocument/2006/relationships/hyperlink" Target="https://www.wienerzeitung.at/nachrichten/politik/oesterreich/2146418-Oesterreich-schickte-Ukraine-Armeeausruestung.html" TargetMode="External"/><Relationship Id="rId2494"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3545" Type="http://schemas.openxmlformats.org/officeDocument/2006/relationships/hyperlink" Target="https://www.bundesregierung.de/breg-en/news/military-support-ukraine-2054992" TargetMode="External"/><Relationship Id="rId466" Type="http://schemas.openxmlformats.org/officeDocument/2006/relationships/hyperlink" Target="https://english.alarabiya.net/News/world/2022/04/11/Zelenskyy-believes-tens-of-thousands-killed-in-Ukraine-s-Mariupol" TargetMode="External"/><Relationship Id="rId880" Type="http://schemas.openxmlformats.org/officeDocument/2006/relationships/hyperlink" Target="https://www.tagesschau.de/inland/bericht-aus-berlin-lambrecht-haubitzen-101.html" TargetMode="External"/><Relationship Id="rId1096" Type="http://schemas.openxmlformats.org/officeDocument/2006/relationships/hyperlink" Target="https://www.regjeringen.no/en/topics/foreign-affairs/humanitarian-efforts/neighbour_support/id2908141/" TargetMode="External"/><Relationship Id="rId2147" Type="http://schemas.openxmlformats.org/officeDocument/2006/relationships/hyperlink" Target="https://www.defense.gov/News/Releases/Release/Article/3210297/400-million-in-additional-security-assistance-for-ukraine/" TargetMode="External"/><Relationship Id="rId2561" Type="http://schemas.openxmlformats.org/officeDocument/2006/relationships/hyperlink" Target="https://www.lesoir.be/479361/article/2022-11-25/la-belgique-va-envoyer-des-laboratoires-mobiles-et-des-drones-sous-marins" TargetMode="External"/><Relationship Id="rId119" Type="http://schemas.openxmlformats.org/officeDocument/2006/relationships/hyperlink" Target="https://www.defense.gouv.fr/terre/actualites/uiisc-1-3e-convoi-solidarite-lukraine" TargetMode="External"/><Relationship Id="rId533" Type="http://schemas.openxmlformats.org/officeDocument/2006/relationships/hyperlink" Target="https://www.fanpage.it/politica/armi-allucraina-arriva-il-terzo-decreto-del-governo-lelenco-e-secretato-come-i-precedenti/" TargetMode="External"/><Relationship Id="rId1163" Type="http://schemas.openxmlformats.org/officeDocument/2006/relationships/hyperlink" Target="https://www.euractiv.com/section/politics/news/france-increases-military-aid-to-ukraine-with-more-tanks/" TargetMode="External"/><Relationship Id="rId2214" Type="http://schemas.openxmlformats.org/officeDocument/2006/relationships/hyperlink" Target="https://appropriations.house.gov/sites/democrats.appropriations.house.gov/files/Ukraine%20Supplemental%20Summary.pdf" TargetMode="External"/><Relationship Id="rId3612" Type="http://schemas.openxmlformats.org/officeDocument/2006/relationships/hyperlink" Target="https://www.bundesregierung.de/breg-en/news/military-support-ukraine-2054992" TargetMode="External"/><Relationship Id="rId600" Type="http://schemas.openxmlformats.org/officeDocument/2006/relationships/hyperlink" Target="https://www.armyrecognition.com/defense_news_may_2022_global_security_army_industry/lithuania_prepares_a_shipment_of_20_m113_tracked_apcs_to_ukraine.html" TargetMode="External"/><Relationship Id="rId1230" Type="http://schemas.openxmlformats.org/officeDocument/2006/relationships/hyperlink" Target="https://www.defense.gov/News/Releases/Release/Article/3252782/185-billion-in-additional-security-assistance-for-ukraine/" TargetMode="External"/><Relationship Id="rId4386" Type="http://schemas.openxmlformats.org/officeDocument/2006/relationships/hyperlink" Target="https://www.bundesregierung.de/resource/blob/975226/2189778/cdb664abe95e6fa74802882bd66ef771/2023-05-14-liste-ukr-unterstuetzung-data.pdf?download=1" TargetMode="External"/><Relationship Id="rId4039" Type="http://schemas.openxmlformats.org/officeDocument/2006/relationships/hyperlink" Target="https://www.weaponstoukraine.com/kampane/viktor-mobile-air-defense-for-ukraine" TargetMode="External"/><Relationship Id="rId4453" Type="http://schemas.openxmlformats.org/officeDocument/2006/relationships/hyperlink" Target="https://www.bundesregierung.de/resource/blob/975226/2189778/cdb664abe95e6fa74802882bd66ef771/2023-05-14-liste-ukr-unterstuetzung-data.pdf?download=1" TargetMode="External"/><Relationship Id="rId3055" Type="http://schemas.openxmlformats.org/officeDocument/2006/relationships/hyperlink" Target="https://www.mod.gov.lv/lv/zinas/i-murniece-kijiva-tiekas-ar-ukrainas-aizsardzibas-ministru" TargetMode="External"/><Relationship Id="rId4106" Type="http://schemas.openxmlformats.org/officeDocument/2006/relationships/hyperlink" Target="https://kaitseministeerium.ee/et/uudised/kaitseminister-pevkur-andis-kiievis-ukraina-kolleegile-ule-sumboolsed-esemed-uuest" TargetMode="External"/><Relationship Id="rId4520"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390" Type="http://schemas.openxmlformats.org/officeDocument/2006/relationships/hyperlink" Target="https://www.youtube.com/watch?v=NdYiLiivIgs" TargetMode="External"/><Relationship Id="rId2071" Type="http://schemas.openxmlformats.org/officeDocument/2006/relationships/hyperlink" Target="https://appropriations.house.gov/sites/democrats.appropriations.house.gov/files/Ukraine%20Supplemental%20Summary%20FY23.pdf" TargetMode="External"/><Relationship Id="rId3122" Type="http://schemas.openxmlformats.org/officeDocument/2006/relationships/hyperlink" Target="https://www.ukrinform.ua/rubric-uarazom/3660606-horvatia-vidilila-1-miljon-na-zakupivlu-generatoriv-dla-ukrainskih-skil-i-likaren.html" TargetMode="External"/><Relationship Id="rId110" Type="http://schemas.openxmlformats.org/officeDocument/2006/relationships/hyperlink" Target="https://militaryleak.com/2022/05/01/denmark-to-send-m113-armored-personnel-carriers-and-weapons-to-ukraine/" TargetMode="External"/><Relationship Id="rId2888" Type="http://schemas.openxmlformats.org/officeDocument/2006/relationships/hyperlink" Target="https://mezha.media/en/2022/04/15/new-weapon-deliveries-from-the-czech-republic-dana-self-propelled-artillery-and-rm-70-multiple-rocket-launcher/" TargetMode="External"/><Relationship Id="rId3939" Type="http://schemas.openxmlformats.org/officeDocument/2006/relationships/hyperlink" Target="https://www.defense.gov/News/Releases/Release/Article/3350958/biden-administration-announces-additional-security-assistance-for-ukraine/" TargetMode="External"/><Relationship Id="rId2955" Type="http://schemas.openxmlformats.org/officeDocument/2006/relationships/hyperlink" Target="https://www.facebook.com/GeneralStaff.ua/posts/pfbid0b8jsrAE3g5NdUCCGae2f8TP7nFcb6Zp6uq4Q89akx5RkW6EnREQrxGLAugd4qCiWl" TargetMode="External"/><Relationship Id="rId927" Type="http://schemas.openxmlformats.org/officeDocument/2006/relationships/hyperlink" Target="https://cxtvnews.com/military/2022/03/07/japan-decides-to-send-military-supplies-to-ukraine/" TargetMode="External"/><Relationship Id="rId1557" Type="http://schemas.openxmlformats.org/officeDocument/2006/relationships/hyperlink" Target="https://appropriations.house.gov/sites/democrats.appropriations.house.gov/files/Additional%20Ukraine%20Suplemental%20Appropriations%20Act%20Summary.pdf" TargetMode="External"/><Relationship Id="rId1971" Type="http://schemas.openxmlformats.org/officeDocument/2006/relationships/hyperlink" Target="https://crsreports.congress.gov/product/pdf/IF/IF12040" TargetMode="External"/><Relationship Id="rId2608" Type="http://schemas.openxmlformats.org/officeDocument/2006/relationships/hyperlink" Target="https://www.canada.ca/en/department-national-defence/campaigns/canadian-military-support-to-ukraine.html" TargetMode="External"/><Relationship Id="rId1624" Type="http://schemas.openxmlformats.org/officeDocument/2006/relationships/hyperlink" Target="https://appropriations.house.gov/sites/democrats.appropriations.house.gov/files/Additional%20Ukraine%20Suplemental%20Appropriations%20Act%20Summary.pdf" TargetMode="External"/><Relationship Id="rId4030" Type="http://schemas.openxmlformats.org/officeDocument/2006/relationships/hyperlink" Target="https://www.defensie.nl/onderwerpen/oostflank-navo-gebied/militaire-steun-aan-oekraine" TargetMode="External"/><Relationship Id="rId3796" Type="http://schemas.openxmlformats.org/officeDocument/2006/relationships/hyperlink" Target="https://www.state.gov/u-s-security-cooperation-with-ukraine/" TargetMode="External"/><Relationship Id="rId2398" Type="http://schemas.openxmlformats.org/officeDocument/2006/relationships/hyperlink" Target="https://www.mofa.go.jp/press/release/press4e_003098.html" TargetMode="External"/><Relationship Id="rId3449" Type="http://schemas.openxmlformats.org/officeDocument/2006/relationships/hyperlink" Target="https://www.bundesregierung.de/breg-en/news/military-support-ukraine-2054992" TargetMode="External"/><Relationship Id="rId3863" Type="http://schemas.openxmlformats.org/officeDocument/2006/relationships/hyperlink" Target="https://www.state.gov/u-s-security-cooperation-with-ukraine/" TargetMode="External"/><Relationship Id="rId784" Type="http://schemas.openxmlformats.org/officeDocument/2006/relationships/hyperlink" Target="https://www.defense.gov/News/Releases/Release/Article/3134457/775-million-in-additional-security-assistance-for-ukraine/" TargetMode="External"/><Relationship Id="rId1067" Type="http://schemas.openxmlformats.org/officeDocument/2006/relationships/hyperlink" Target="https://news.err.ee/1608793648/estonia-s-total-military-aid-to-ukraine-to-date-approaching-300-million" TargetMode="External"/><Relationship Id="rId2465" Type="http://schemas.openxmlformats.org/officeDocument/2006/relationships/hyperlink" Target="https://www.brusselstimes.com/290771/belgium-to-give-e12-million-in-military-aid-to-ukraine" TargetMode="External"/><Relationship Id="rId3516" Type="http://schemas.openxmlformats.org/officeDocument/2006/relationships/hyperlink" Target="https://www.bundesregierung.de/breg-en/news/military-support-ukraine-2054992" TargetMode="External"/><Relationship Id="rId3930" Type="http://schemas.openxmlformats.org/officeDocument/2006/relationships/hyperlink" Target="https://www.defense.gov/News/Releases/Release/Article/3350958/biden-administration-announces-additional-security-assistance-for-ukraine/" TargetMode="External"/><Relationship Id="rId437" Type="http://schemas.openxmlformats.org/officeDocument/2006/relationships/hyperlink" Target="https://www.mfat.govt.nz/en/countries-and-regions/europe/ukraine/russian-invasion-of-ukraine/" TargetMode="External"/><Relationship Id="rId851" Type="http://schemas.openxmlformats.org/officeDocument/2006/relationships/hyperlink" Target="https://www.reuters.com/world/europe/slovakia-donate-30-infantry-fighting-vehicles-ukraine-minister-2022-08-23/" TargetMode="External"/><Relationship Id="rId1481" Type="http://schemas.openxmlformats.org/officeDocument/2006/relationships/hyperlink" Target="https://appropriations.house.gov/sites/democrats.appropriations.house.gov/files/Ukraine%20Supplemental%20Summary.pdf" TargetMode="External"/><Relationship Id="rId2118" Type="http://schemas.openxmlformats.org/officeDocument/2006/relationships/hyperlink" Target="https://appropriations.house.gov/sites/democrats.appropriations.house.gov/files/Additional%20Ukraine%20Suplemental%20Appropriations%20Act%20Summary.pdf" TargetMode="External"/><Relationship Id="rId2532" Type="http://schemas.openxmlformats.org/officeDocument/2006/relationships/hyperlink" Target="https://www.premier.be/sites/default/files/articles/BE%20support%20militaire.pdf" TargetMode="External"/><Relationship Id="rId504" Type="http://schemas.openxmlformats.org/officeDocument/2006/relationships/hyperlink" Target="https://japantoday.com/category/politics/japan-to-double-ukraine-aid-to-600-million" TargetMode="External"/><Relationship Id="rId1134" Type="http://schemas.openxmlformats.org/officeDocument/2006/relationships/hyperlink" Target="https://www.euractiv.com/section/politics/short_news/dutch-to-send-extra-war-efforts-to-ukraine/" TargetMode="External"/><Relationship Id="rId1201" Type="http://schemas.openxmlformats.org/officeDocument/2006/relationships/hyperlink" Target="https://appropriations.house.gov/sites/democrats.appropriations.house.gov/files/Ukraine%20Supplemental%20Summary%20FY23.pdf" TargetMode="External"/><Relationship Id="rId4357" Type="http://schemas.openxmlformats.org/officeDocument/2006/relationships/hyperlink" Target="https://www.bundesregierung.de/resource/blob/975226/2189778/cdb664abe95e6fa74802882bd66ef771/2023-05-14-liste-ukr-unterstuetzung-data.pdf?download=1" TargetMode="External"/><Relationship Id="rId4771" Type="http://schemas.openxmlformats.org/officeDocument/2006/relationships/hyperlink" Target="https://www.bundesregierung.de/breg-en/news/military-support-ukraine-2054992" TargetMode="External"/><Relationship Id="rId3373" Type="http://schemas.openxmlformats.org/officeDocument/2006/relationships/hyperlink" Target="https://www.bundesregierung.de/resource/blob/975226/2155792/c3dbab706421f63d3d612091e7ecad4c/2022-12-27-unterstuetzung-ukraine-breg-data.pdf?download=1%20Guten" TargetMode="External"/><Relationship Id="rId4424" Type="http://schemas.openxmlformats.org/officeDocument/2006/relationships/hyperlink" Target="https://www.bundesregierung.de/resource/blob/975226/2189778/cdb664abe95e6fa74802882bd66ef771/2023-05-14-liste-ukr-unterstuetzung-data.pdf?download=1" TargetMode="External"/><Relationship Id="rId294" Type="http://schemas.openxmlformats.org/officeDocument/2006/relationships/hyperlink" Target="https://www.vlada.cz/cz/media-centrum/aktualne/vlada-kvuli-migracni-krizi-vyhlasila-od-patku-nouzovy-stav--schvalila-i-dalsi-pomoc-pro-ukrajinu-a-navrh-na-zvyseni-vydaju-na-obranu-194695/" TargetMode="External"/><Relationship Id="rId3026" Type="http://schemas.openxmlformats.org/officeDocument/2006/relationships/hyperlink" Target="https://www.brusselstimes.com/355375/belgium-sends-more-humanitarian-aid-to-ukraine-via-b-fast" TargetMode="External"/><Relationship Id="rId361" Type="http://schemas.openxmlformats.org/officeDocument/2006/relationships/hyperlink" Target="https://twitter.com/Defensagob/status/1508877933242372096" TargetMode="External"/><Relationship Id="rId2042" Type="http://schemas.openxmlformats.org/officeDocument/2006/relationships/hyperlink" Target="https://appropriations.house.gov/sites/democrats.appropriations.house.gov/files/Summary%20Continuing%20Appropriations%20and%20Ukraine%20Supplemental%20Appropriations%20Act%202023.pdf" TargetMode="External"/><Relationship Id="rId3440" Type="http://schemas.openxmlformats.org/officeDocument/2006/relationships/hyperlink" Target="https://www.bundesregierung.de/breg-en/news/military-support-ukraine-2054992" TargetMode="External"/><Relationship Id="rId2859" Type="http://schemas.openxmlformats.org/officeDocument/2006/relationships/hyperlink" Target="https://www.defense.gov/News/Releases/Release/Article/3287992/biden-administration-announces-additional-security-assistance-for-ukraine/" TargetMode="External"/><Relationship Id="rId1875" Type="http://schemas.openxmlformats.org/officeDocument/2006/relationships/hyperlink" Target="https://appropriations.house.gov/sites/democrats.appropriations.house.gov/files/Summary%20Continuing%20Appropriations%20and%20Ukraine%20Supplemental%20Appropriations%20Act%202023.pdf" TargetMode="External"/><Relationship Id="rId4281" Type="http://schemas.openxmlformats.org/officeDocument/2006/relationships/hyperlink" Target="https://www.pravda.com.ua/eng/news/2023/05/10/7401581/" TargetMode="External"/><Relationship Id="rId1528" Type="http://schemas.openxmlformats.org/officeDocument/2006/relationships/hyperlink" Target="https://appropriations.house.gov/sites/democrats.appropriations.house.gov/files/Additional%20Ukraine%20Suplemental%20Appropriations%20Act%20Summary.pdf" TargetMode="External"/><Relationship Id="rId2926" Type="http://schemas.openxmlformats.org/officeDocument/2006/relationships/hyperlink" Target="https://www.ukrinform.net/rubric-ato/3674257-ukraine-gets-new-batch-of-bridges-from-czech-republic.html" TargetMode="External"/><Relationship Id="rId1942" Type="http://schemas.openxmlformats.org/officeDocument/2006/relationships/hyperlink" Target="https://appropriations.house.gov/sites/democrats.appropriations.house.gov/files/Ukraine%20Supplemental%20Summary%20FY23.pdf" TargetMode="External"/><Relationship Id="rId4001" Type="http://schemas.openxmlformats.org/officeDocument/2006/relationships/hyperlink" Target="https://www.canada.ca/en/department-national-defence/campaigns/canadian-military-support-to-ukraine.html" TargetMode="External"/><Relationship Id="rId3767" Type="http://schemas.openxmlformats.org/officeDocument/2006/relationships/hyperlink" Target="https://www.defense.gov/News/News-Stories/Article/Article/3318508/us-sends-ukraine-400-million-in-military-equipment/" TargetMode="External"/><Relationship Id="rId4818" Type="http://schemas.openxmlformats.org/officeDocument/2006/relationships/hyperlink" Target="https://www.bundesregierung.de/breg-en/news/military-support-ukraine-2054992" TargetMode="External"/><Relationship Id="rId688" Type="http://schemas.openxmlformats.org/officeDocument/2006/relationships/hyperlink" Target="https://spectator.sme.sk/c/22895899/slovakia-donates-military-equipment-to-ukraine.html" TargetMode="External"/><Relationship Id="rId2369" Type="http://schemas.openxmlformats.org/officeDocument/2006/relationships/hyperlink" Target="https://www.connexionfrance.com/article/French-news/Humanitarian-ship-for-Ukraine-leaves-French-port-with-8m-of-aid" TargetMode="External"/><Relationship Id="rId2783" Type="http://schemas.openxmlformats.org/officeDocument/2006/relationships/hyperlink" Target="https://crsreports.congress.gov/product/pdf/IF/IF12040" TargetMode="External"/><Relationship Id="rId3834" Type="http://schemas.openxmlformats.org/officeDocument/2006/relationships/hyperlink" Target="https://www.defense.gov/News/Releases/Release/Article/3367924/biden-administration-announces-additional-security-assistance-for-ukraine/" TargetMode="External"/><Relationship Id="rId755" Type="http://schemas.openxmlformats.org/officeDocument/2006/relationships/hyperlink" Target="https://vm.ee/en/humanitarian-aid-ukraine" TargetMode="External"/><Relationship Id="rId1385" Type="http://schemas.openxmlformats.org/officeDocument/2006/relationships/hyperlink" Target="https://appropriations.house.gov/sites/democrats.appropriations.house.gov/files/Ukraine%20Supplemental%20Summary.pdf" TargetMode="External"/><Relationship Id="rId2436" Type="http://schemas.openxmlformats.org/officeDocument/2006/relationships/hyperlink" Target="https://ukranews.com/en/news/887638-canada-will-provide-new-package-of-assistance-to-ukraine-for-usd-47-million" TargetMode="External"/><Relationship Id="rId2850" Type="http://schemas.openxmlformats.org/officeDocument/2006/relationships/hyperlink" Target="https://www.defense.gov/News/Releases/Release/Article/3287992/biden-administration-announces-additional-security-assistance-for-ukraine/" TargetMode="External"/><Relationship Id="rId91" Type="http://schemas.openxmlformats.org/officeDocument/2006/relationships/hyperlink" Target="https://www.ukrinform.ua/rubric-world/3523885-egils-levits-prezident-latvii.html" TargetMode="External"/><Relationship Id="rId408" Type="http://schemas.openxmlformats.org/officeDocument/2006/relationships/hyperlink" Target="https://www.aa.com.tr/en/europe/france-to-offer-300m-worth-of-aid-military-equipment-to-ukraine/2515343" TargetMode="External"/><Relationship Id="rId822" Type="http://schemas.openxmlformats.org/officeDocument/2006/relationships/hyperlink" Target="https://www.defense.gov/News/Releases/Release/Article/3138105/nearly-3-billion-in-additional-security-assistance-for-ukraine/" TargetMode="External"/><Relationship Id="rId1038" Type="http://schemas.openxmlformats.org/officeDocument/2006/relationships/hyperlink" Target="https://www.defensa.gob.es/gabinete/notasPrensa/2022/10/DGC-221006-envio-ucrania.html" TargetMode="External"/><Relationship Id="rId1452" Type="http://schemas.openxmlformats.org/officeDocument/2006/relationships/hyperlink" Target="https://appropriations.house.gov/sites/democrats.appropriations.house.gov/files/Ukraine%20Supplemental%20Summary.pdf" TargetMode="External"/><Relationship Id="rId2503" Type="http://schemas.openxmlformats.org/officeDocument/2006/relationships/hyperlink" Target="https://mil.in.ua/en/news/belgium-made-a-decision-to-hand-over-artillery-to-ukraine-the-media/" TargetMode="External"/><Relationship Id="rId3901" Type="http://schemas.openxmlformats.org/officeDocument/2006/relationships/hyperlink" Target="https://www.state.gov/u-s-security-cooperation-with-ukraine/" TargetMode="External"/><Relationship Id="rId1105" Type="http://schemas.openxmlformats.org/officeDocument/2006/relationships/hyperlink" Target="https://www.bmeia.gv.at/ministerium/presse/aktuelles/2022/12/aussenminister-schallenberg-empfaengt-seinen-litauischen-amtskollegen-landsbergis/" TargetMode="External"/><Relationship Id="rId3277" Type="http://schemas.openxmlformats.org/officeDocument/2006/relationships/hyperlink" Target="https://www.eurointegration.com.ua/news/2022/08/5/7144532/" TargetMode="External"/><Relationship Id="rId4675" Type="http://schemas.openxmlformats.org/officeDocument/2006/relationships/hyperlink" Target="https://www.bundesregierung.de/breg-en/news/military-support-ukraine-2054992" TargetMode="External"/><Relationship Id="rId198" Type="http://schemas.openxmlformats.org/officeDocument/2006/relationships/hyperlink" Target="https://twitter.com/a_anusauskas/status/1574471610807062542?cxt=HHwWnMC88dHl0tkrAAAA" TargetMode="External"/><Relationship Id="rId3691" Type="http://schemas.openxmlformats.org/officeDocument/2006/relationships/hyperlink" Target="https://um.fi/finland-s-support-to-ukraine" TargetMode="External"/><Relationship Id="rId4328" Type="http://schemas.openxmlformats.org/officeDocument/2006/relationships/hyperlink" Target="https://www.bundesregierung.de/resource/blob/975226/2189778/cdb664abe95e6fa74802882bd66ef771/2023-05-14-liste-ukr-unterstuetzung-data.pdf?download=1" TargetMode="External"/><Relationship Id="rId4742" Type="http://schemas.openxmlformats.org/officeDocument/2006/relationships/hyperlink" Target="https://www.bundesregierung.de/breg-en/news/military-support-ukraine-2054992" TargetMode="External"/><Relationship Id="rId2293" Type="http://schemas.openxmlformats.org/officeDocument/2006/relationships/hyperlink" Target="https://appropriations.house.gov/sites/democrats.appropriations.house.gov/files/Summary%20Continuing%20Appropriations%20and%20Ukraine%20Supplemental%20Appropriations%20Act%202023.pdf" TargetMode="External"/><Relationship Id="rId3344" Type="http://schemas.openxmlformats.org/officeDocument/2006/relationships/hyperlink" Target="https://mil.in.ua/en/news/what-spain-hands-over-to-ukraine-aspide-sam-battalion-hawk-air-defense-systems-anti-tank-systems-guns-and-projectiles/" TargetMode="External"/><Relationship Id="rId265" Type="http://schemas.openxmlformats.org/officeDocument/2006/relationships/hyperlink" Target="https://lrv.lt/en/news/lithuania-allocates-1-8-mln-euro-worth-aid-to-ukraine?msclkid=2f9d4bd4b05c11ecbef1f3a571834d09" TargetMode="External"/><Relationship Id="rId2360" Type="http://schemas.openxmlformats.org/officeDocument/2006/relationships/hyperlink" Target="https://ua.ambafrance.org/Dostavka-1000-t-francuz-koyi-gumaniitarnoyi-dopomogi-ukrayins-kim-adresatam-v" TargetMode="External"/><Relationship Id="rId3411" Type="http://schemas.openxmlformats.org/officeDocument/2006/relationships/hyperlink" Target="https://www.auswaertiges-amt.de/de/service/laender/ukraine-node/baerbock-in-charkiw/2572792" TargetMode="External"/><Relationship Id="rId332" Type="http://schemas.openxmlformats.org/officeDocument/2006/relationships/hyperlink" Target="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TargetMode="External"/><Relationship Id="rId2013" Type="http://schemas.openxmlformats.org/officeDocument/2006/relationships/hyperlink" Target="https://crsreports.congress.gov/product/pdf/IF/IF12040" TargetMode="External"/><Relationship Id="rId4185" Type="http://schemas.openxmlformats.org/officeDocument/2006/relationships/hyperlink" Target="https://www.italianpost.news/ukraine-what-are-the-agreements-for-reconstruction/" TargetMode="External"/><Relationship Id="rId1779" Type="http://schemas.openxmlformats.org/officeDocument/2006/relationships/hyperlink" Target="https://crsreports.congress.gov/product/pdf/IF/IF12040" TargetMode="External"/><Relationship Id="rId4252" Type="http://schemas.openxmlformats.org/officeDocument/2006/relationships/hyperlink" Target="https://reliefweb.int/report/ukraine/war-ukraine-switzerland-delivers-additional-100-tonnes-humanitarian-supplies" TargetMode="External"/><Relationship Id="rId1846" Type="http://schemas.openxmlformats.org/officeDocument/2006/relationships/hyperlink" Target="https://appropriations.house.gov/sites/democrats.appropriations.house.gov/files/Summary%20Continuing%20Appropriations%20and%20Ukraine%20Supplemental%20Appropriations%20Act%202023.pdf" TargetMode="External"/><Relationship Id="rId1913" Type="http://schemas.openxmlformats.org/officeDocument/2006/relationships/hyperlink" Target="https://appropriations.house.gov/sites/democrats.appropriations.house.gov/files/Ukraine%20Supplemental%20Summary%20FY23.pdf" TargetMode="External"/><Relationship Id="rId2687" Type="http://schemas.openxmlformats.org/officeDocument/2006/relationships/hyperlink" Target="https://mil.in.ua/en/news/zelensky-poland-delivered-a-batch-of-ahs-krab-self-propelled-howitzers-to-ukraine/" TargetMode="External"/><Relationship Id="rId3738" Type="http://schemas.openxmlformats.org/officeDocument/2006/relationships/hyperlink" Target="https://www.government.se/government-policy/russias-invasion-of-ukraine/?page=2" TargetMode="External"/><Relationship Id="rId659" Type="http://schemas.openxmlformats.org/officeDocument/2006/relationships/hyperlink" Target="https://www.peterdutton.com.au/australia-to-provide-armoured-personnel-carriers-and-more-bushmasters-to-ukraine/" TargetMode="External"/><Relationship Id="rId1289" Type="http://schemas.openxmlformats.org/officeDocument/2006/relationships/hyperlink" Target="https://www.bloomberg.com/news/articles/2022-05-19/germany-to-contribute-1-billion-euros-of-grants-to-ukraine" TargetMode="External"/><Relationship Id="rId1356" Type="http://schemas.openxmlformats.org/officeDocument/2006/relationships/hyperlink" Target="https://appropriations.house.gov/sites/democrats.appropriations.house.gov/files/Additional%20Ukraine%20Suplemental%20Appropriations%20Act%20Summary.pdf" TargetMode="External"/><Relationship Id="rId2754" Type="http://schemas.openxmlformats.org/officeDocument/2006/relationships/hyperlink" Target="https://www.defense.gov/News/Releases/Release/Article/3272866/biden-administration-announces-additional-security-assistance-for-ukraine/" TargetMode="External"/><Relationship Id="rId3805" Type="http://schemas.openxmlformats.org/officeDocument/2006/relationships/hyperlink" Target="https://www.defense.gov/News/Releases/Release/Article/3350958/biden-administration-announces-additional-security-assistance-for-ukraine/" TargetMode="External"/><Relationship Id="rId726" Type="http://schemas.openxmlformats.org/officeDocument/2006/relationships/hyperlink" Target="https://www.reuters.com/business/aerospace-defense/britain-send-stormer-armoured-vehicles-ukraine-2022-04-25/" TargetMode="External"/><Relationship Id="rId1009" Type="http://schemas.openxmlformats.org/officeDocument/2006/relationships/hyperlink" Target="https://breakingdefense.com/2022/11/uk-delays-defense-spending-increase-raising-fears-3-gdp-target-will-be-axed/" TargetMode="External"/><Relationship Id="rId1770" Type="http://schemas.openxmlformats.org/officeDocument/2006/relationships/hyperlink" Target="https://crsreports.congress.gov/product/pdf/IF/IF12040" TargetMode="External"/><Relationship Id="rId2407" Type="http://schemas.openxmlformats.org/officeDocument/2006/relationships/hyperlink" Target="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TargetMode="External"/><Relationship Id="rId2821" Type="http://schemas.openxmlformats.org/officeDocument/2006/relationships/hyperlink" Target="https://www.defense.gov/News/Releases/Release/Article/3302787/biden-administration-announces-additional-security-assistance-for-ukraine/"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3" Type="http://schemas.openxmlformats.org/officeDocument/2006/relationships/hyperlink" Target="https://eu-solidarity-ukraine.ec.europa.eu/eu-assistance-ukraine_en" TargetMode="External"/><Relationship Id="rId18" Type="http://schemas.openxmlformats.org/officeDocument/2006/relationships/hyperlink" Target="https://diplomatie.belgium.be/en/policy/policy-areas/highlighted/civilian-aid-ukraine-overview" TargetMode="External"/><Relationship Id="rId26" Type="http://schemas.openxmlformats.org/officeDocument/2006/relationships/hyperlink" Target="https://um.fi/finland-s-support-to-ukraine" TargetMode="External"/><Relationship Id="rId39" Type="http://schemas.openxmlformats.org/officeDocument/2006/relationships/hyperlink" Target="https://www.defesa.gov.pt/pt/comunicacao/documentos/Lists/PDEFINTER_DocumentoLookupList/apoio_militar_Portugal_Ucrania_20230616.pdf" TargetMode="External"/><Relationship Id="rId21" Type="http://schemas.openxmlformats.org/officeDocument/2006/relationships/hyperlink" Target="https://www.mk.gov.lv/en/latvia-supports-ukraine?utm_source=https%3A%2F%2Fstatics.teams.cdn.office.net%2F" TargetMode="External"/><Relationship Id="rId34" Type="http://schemas.openxmlformats.org/officeDocument/2006/relationships/hyperlink" Target="https://www.government.nl/topics/russia-and-ukraine/dutch-aid-for-ukraine" TargetMode="External"/><Relationship Id="rId7" Type="http://schemas.openxmlformats.org/officeDocument/2006/relationships/hyperlink" Target="https://intermin.fi/en/ukraine/civilian-assistance-to-ukraine" TargetMode="External"/><Relationship Id="rId12" Type="http://schemas.openxmlformats.org/officeDocument/2006/relationships/hyperlink" Target="https://www.bundesregierung.de/breg-de/themen/krieg-in-der-ukraine/deutschland-hilft-der-ukraine-2160274" TargetMode="External"/><Relationship Id="rId17" Type="http://schemas.openxmlformats.org/officeDocument/2006/relationships/hyperlink" Target="https://www.gov.uk/government/publications/uk-governments-humanitarian-response-to-russias-invasion-of-ukraine-facts-and-figures/uk-governments-humanitarian-response-to-russias-invasion-of-ukraine-facts-and-figures" TargetMode="External"/><Relationship Id="rId25" Type="http://schemas.openxmlformats.org/officeDocument/2006/relationships/hyperlink" Target="https://www.government.se/government-policy/russias-invasion-of-ukraine/" TargetMode="External"/><Relationship Id="rId33" Type="http://schemas.openxmlformats.org/officeDocument/2006/relationships/hyperlink" Target="https://www.premier.be/en/new-military-aid-ukraine" TargetMode="External"/><Relationship Id="rId38" Type="http://schemas.openxmlformats.org/officeDocument/2006/relationships/hyperlink" Target="https://www.mzv.sk/documents/10182/16962371/230307-Slovenska-pomoc-Ukrajine.pdf/fe148d62-2d1d-f61f-d35f-763e0b9f1d82" TargetMode="External"/><Relationship Id="rId2" Type="http://schemas.openxmlformats.org/officeDocument/2006/relationships/hyperlink" Target="https://um.dk/en/foreign-policy/danish-support-for-ukraine" TargetMode="External"/><Relationship Id="rId16" Type="http://schemas.openxmlformats.org/officeDocument/2006/relationships/hyperlink" Target="https://commonslibrary.parliament.uk/research-briefings/cbp-9477/" TargetMode="External"/><Relationship Id="rId20" Type="http://schemas.openxmlformats.org/officeDocument/2006/relationships/hyperlink" Target="https://www.esteri.it/en/politica-estera-e-cooperazione-allo-sviluppo/aree_geografiche/europa/litalia-a-sostegno-dellucraina/" TargetMode="External"/><Relationship Id="rId29" Type="http://schemas.openxmlformats.org/officeDocument/2006/relationships/hyperlink" Target="https://vm.ee/en/estonias-aid-ukraine" TargetMode="External"/><Relationship Id="rId1" Type="http://schemas.openxmlformats.org/officeDocument/2006/relationships/hyperlink" Target="https://www.eda.admin.ch/eda/en/fdfa/fdfa/aktuell/dossiers/krieg-gegen-ukraine.html" TargetMode="External"/><Relationship Id="rId6" Type="http://schemas.openxmlformats.org/officeDocument/2006/relationships/hyperlink" Target="https://www.defmin.fi/en/topical/russian_attack_on_ukraine_and_finlands_support_to_ukraine" TargetMode="External"/><Relationship Id="rId11" Type="http://schemas.openxmlformats.org/officeDocument/2006/relationships/hyperlink" Target="https://vm.ee/en/estonias-aid-ukraine" TargetMode="External"/><Relationship Id="rId24" Type="http://schemas.openxmlformats.org/officeDocument/2006/relationships/hyperlink" Target="https://um.dk/en/foreign-policy/danish-support-for-ukraine" TargetMode="External"/><Relationship Id="rId32" Type="http://schemas.openxmlformats.org/officeDocument/2006/relationships/hyperlink" Target="https://gouvernement.lu/en/gouvernement/francois-bausch/actualites.gouvernement%2Ben%2Bactualites%2Btoutes_actualites%2Bcommuniques%2B2023%2B02-fevrier%2B15-bausch-reunion-ministres-otan.html" TargetMode="External"/><Relationship Id="rId37" Type="http://schemas.openxmlformats.org/officeDocument/2006/relationships/hyperlink" Target="https://www.mzv.sk/documents/10182/16962402/230307-Humanitarna-pomoc-Slovenska-pre-Ukrajinu.pdf/2967c10a-fbbb-f17a-75b3-749f9b86a75c" TargetMode="External"/><Relationship Id="rId5" Type="http://schemas.openxmlformats.org/officeDocument/2006/relationships/hyperlink" Target="https://www.government.nl/topics/russia-and-ukraine/dutch-aid-for-ukraine" TargetMode="External"/><Relationship Id="rId15" Type="http://schemas.openxmlformats.org/officeDocument/2006/relationships/hyperlink" Target="https://www.bmeia.gv.at/en/european-foreign-policy/humanitarian-aid/" TargetMode="External"/><Relationship Id="rId23" Type="http://schemas.openxmlformats.org/officeDocument/2006/relationships/hyperlink" Target="https://www.eda.admin.ch/eda/en/fdfa/fdfa/aktuell/dossiers/krieg-gegen-ukraine.html" TargetMode="External"/><Relationship Id="rId28" Type="http://schemas.openxmlformats.org/officeDocument/2006/relationships/hyperlink" Target="https://www.regjeringen.no/en/topics/foreign-affairs/humanitarian-efforts/neighbour_support/id2908141/" TargetMode="External"/><Relationship Id="rId36" Type="http://schemas.openxmlformats.org/officeDocument/2006/relationships/hyperlink" Target="https://www.government.is/topics/foreign-affairs/war-in-ukraine/" TargetMode="External"/><Relationship Id="rId10" Type="http://schemas.openxmlformats.org/officeDocument/2006/relationships/hyperlink" Target="https://www.regjeringen.no/en/topics/foreign-affairs/humanitarian-efforts/neighbour_support/id2908141/" TargetMode="External"/><Relationship Id="rId19" Type="http://schemas.openxmlformats.org/officeDocument/2006/relationships/hyperlink" Target="https://www.esteri.it/en/politica-estera-e-cooperazione-allo-sviluppo/aree_geografiche/europa/litalia-a-sostegno-dellucraina/" TargetMode="External"/><Relationship Id="rId31" Type="http://schemas.openxmlformats.org/officeDocument/2006/relationships/hyperlink" Target="https://eu-solidarity-ukraine.ec.europa.eu/eu-assistance-ukraine_en" TargetMode="External"/><Relationship Id="rId4" Type="http://schemas.openxmlformats.org/officeDocument/2006/relationships/hyperlink" Target="https://www.government.se/government-policy/russias-invasion-of-ukraine/" TargetMode="External"/><Relationship Id="rId9" Type="http://schemas.openxmlformats.org/officeDocument/2006/relationships/hyperlink" Target="https://www.mfat.govt.nz/en/countries-and-regions/europe/ukraine/russian-invasion-of-ukraine/" TargetMode="External"/><Relationship Id="rId14" Type="http://schemas.openxmlformats.org/officeDocument/2006/relationships/hyperlink" Target="https://www.mofa.go.jp/erp/c_see/ua/page3e_001171.html" TargetMode="External"/><Relationship Id="rId22" Type="http://schemas.openxmlformats.org/officeDocument/2006/relationships/hyperlink" Target="https://uk.ambafrance.org/Bilan-de-l-aide-apportee-par-la-France-a-l-Ukraine-fevrier-2023" TargetMode="External"/><Relationship Id="rId27" Type="http://schemas.openxmlformats.org/officeDocument/2006/relationships/hyperlink" Target="https://www.mfat.govt.nz/en/countries-and-regions/europe/ukraine/russian-invasion-of-ukraine/" TargetMode="External"/><Relationship Id="rId30" Type="http://schemas.openxmlformats.org/officeDocument/2006/relationships/hyperlink" Target="https://www.bundesregierung.de/resource/blob/975226/2189778/cdb664abe95e6fa74802882bd66ef771/2023-05-14-liste-ukr-unterstuetzung-data.pdf?download=1" TargetMode="External"/><Relationship Id="rId35" Type="http://schemas.openxmlformats.org/officeDocument/2006/relationships/hyperlink" Target="https://www.government.is/topics/foreign-affairs/war-in-ukraine/" TargetMode="External"/><Relationship Id="rId8" Type="http://schemas.openxmlformats.org/officeDocument/2006/relationships/hyperlink" Target="https://www.canada.ca/en/department-national-defence/campaigns/canadian-military-support-to-ukraine.html" TargetMode="External"/><Relationship Id="rId3" Type="http://schemas.openxmlformats.org/officeDocument/2006/relationships/hyperlink" Target="https://www.state.gov/u-s-security-cooperation-with-ukraine/"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ec.europa.eu/info/sites/default/files/about_the_european_commission/eu_budget/2021-06-09_spending_and_revenue.xlsx"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www.eib.org/en/about/governance-and-structure/shareholders/index.htm"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eur-lex.europa.eu/legal-content/EN/TXT/HTML/?uri=CELEX:32021D0509&amp;from=EN" TargetMode="External"/></Relationships>
</file>

<file path=xl/worksheets/_rels/sheet44.xml.rels><?xml version="1.0" encoding="UTF-8" standalone="yes"?>
<Relationships xmlns="http://schemas.openxmlformats.org/package/2006/relationships"><Relationship Id="rId13" Type="http://schemas.openxmlformats.org/officeDocument/2006/relationships/hyperlink" Target="https://www.worldbank.org/en/news/press-release/2022/03/14/world-bank-announces-additional-200-million-in-financing-for-ukraine" TargetMode="External"/><Relationship Id="rId18" Type="http://schemas.openxmlformats.org/officeDocument/2006/relationships/hyperlink" Target="https://www.ebrd.com/news/2022/ebrd-enhances-trade-finance-for-ukraine-.html" TargetMode="External"/><Relationship Id="rId26" Type="http://schemas.openxmlformats.org/officeDocument/2006/relationships/hyperlink" Target="https://www.worldbank.org/en/news/press-release/2022/09/30/world-bank-mobilizes-additional-530-million-in-support-to-ukraine" TargetMode="External"/><Relationship Id="rId39" Type="http://schemas.openxmlformats.org/officeDocument/2006/relationships/hyperlink" Target="https://www.worldbank.org/en/news/press-release/2022/03/07/world-bank-mobilizes-an-emergency-financing-package-of-over-700-million-for-ukraine" TargetMode="External"/><Relationship Id="rId21" Type="http://schemas.openxmlformats.org/officeDocument/2006/relationships/hyperlink" Target="https://english.nv.ua/nation/canada-to-send-1-billion-canadian-dollars-to-ukraine-50232696.html" TargetMode="External"/><Relationship Id="rId34" Type="http://schemas.openxmlformats.org/officeDocument/2006/relationships/hyperlink" Target="https://www.worldbank.org/en/news/press-release/2022/03/14/world-bank-announces-additional-200-million-in-financing-for-ukraine" TargetMode="External"/><Relationship Id="rId7" Type="http://schemas.openxmlformats.org/officeDocument/2006/relationships/hyperlink" Target="https://reliefweb.int/report/ukraine/ukraine-flash-appeal-march-may-2022-enukru" TargetMode="External"/><Relationship Id="rId2" Type="http://schemas.openxmlformats.org/officeDocument/2006/relationships/hyperlink" Target="https://www.worldbank.org/en/news/statement/2022/03/17/joint-statement-of-heads-of-international-financial-institutions-with-programs-in-ukraine-and-neighboring-countries" TargetMode="External"/><Relationship Id="rId16" Type="http://schemas.openxmlformats.org/officeDocument/2006/relationships/hyperlink" Target="https://www.reuters.com/business/world-bank-says-it-is-preparing-15-billion-aid-package-ukraine-2022-04-12/" TargetMode="External"/><Relationship Id="rId20" Type="http://schemas.openxmlformats.org/officeDocument/2006/relationships/hyperlink" Target="https://www.bloomberg.com/news/articles/2022-04-08/imf-creates-new-account-to-help-ukraine-as-canada-pledges-funds" TargetMode="External"/><Relationship Id="rId29" Type="http://schemas.openxmlformats.org/officeDocument/2006/relationships/hyperlink" Target="https://www.worldbank.org/en/news/press-release/2022/03/07/world-bank-mobilizes-an-emergency-financing-package-of-over-700-million-for-ukraine" TargetMode="External"/><Relationship Id="rId41" Type="http://schemas.openxmlformats.org/officeDocument/2006/relationships/printerSettings" Target="../printerSettings/printerSettings36.bin"/><Relationship Id="rId1" Type="http://schemas.openxmlformats.org/officeDocument/2006/relationships/hyperlink" Target="https://www.ebrd.com/news/2022/ebrd-unveils-2-billion-resilience-package-in-response-to-the-war-on-ukraine-.html" TargetMode="External"/><Relationship Id="rId6" Type="http://schemas.openxmlformats.org/officeDocument/2006/relationships/hyperlink" Target="https://reliefweb.int/report/ukraine/ukraine-flash-appeal-march-may-2022-enukru" TargetMode="External"/><Relationship Id="rId11" Type="http://schemas.openxmlformats.org/officeDocument/2006/relationships/hyperlink" Target="https://www.worldbank.org/en/news/press-release/2022/03/07/world-bank-mobilizes-an-emergency-financing-package-of-over-700-million-for-ukraine" TargetMode="External"/><Relationship Id="rId24" Type="http://schemas.openxmlformats.org/officeDocument/2006/relationships/hyperlink" Target="https://www.imf.org/en/News/Articles/2022/10/07/pr22343-imf-approves-emergency-financing-support-to-ukraine" TargetMode="External"/><Relationship Id="rId32" Type="http://schemas.openxmlformats.org/officeDocument/2006/relationships/hyperlink" Target="https://www.worldbank.org/en/news/press-release/2022/03/14/world-bank-announces-additional-200-million-in-financing-for-ukraine" TargetMode="External"/><Relationship Id="rId37" Type="http://schemas.openxmlformats.org/officeDocument/2006/relationships/hyperlink" Target="https://www.worldbank.org/en/news/press-release/2022/03/07/world-bank-mobilizes-an-emergency-financing-package-of-over-700-million-for-ukraine" TargetMode="External"/><Relationship Id="rId40" Type="http://schemas.openxmlformats.org/officeDocument/2006/relationships/hyperlink" Target="https://www.imf.org/en/News/Articles/2022/03/17/pr2280-joint-statement-heads-ifis-programs-ukraine-neighboring-countries" TargetMode="External"/><Relationship Id="rId5" Type="http://schemas.openxmlformats.org/officeDocument/2006/relationships/hyperlink" Target="https://reliefweb.int/report/ukraine/ukraine-flash-appeal-march-may-2022-enukru" TargetMode="External"/><Relationship Id="rId15" Type="http://schemas.openxmlformats.org/officeDocument/2006/relationships/hyperlink" Target="https://www.worldbank.org/en/news/press-release/2022/03/14/world-bank-announces-additional-200-million-in-financing-for-ukraine" TargetMode="External"/><Relationship Id="rId23" Type="http://schemas.openxmlformats.org/officeDocument/2006/relationships/hyperlink" Target="https://www.worldbank.org/en/news/press-release/2022/08/08/world-bank-mobilizes-4-5-billion-in-additional-financing-for-vital-support-to-ukraine" TargetMode="External"/><Relationship Id="rId28" Type="http://schemas.openxmlformats.org/officeDocument/2006/relationships/hyperlink" Target="https://www.worldbank.org/en/news/press-release/2022/03/14/world-bank-announces-additional-200-million-in-financing-for-ukraine" TargetMode="External"/><Relationship Id="rId36" Type="http://schemas.openxmlformats.org/officeDocument/2006/relationships/hyperlink" Target="https://www.worldbank.org/en/news/press-release/2022/03/14/world-bank-announces-additional-200-million-in-financing-for-ukraine" TargetMode="External"/><Relationship Id="rId10" Type="http://schemas.openxmlformats.org/officeDocument/2006/relationships/hyperlink" Target="https://www.imf.org/en/News/Articles/2022/03/17/pr2280-joint-statement-heads-ifis-programs-ukraine-neighboring-countries" TargetMode="External"/><Relationship Id="rId19" Type="http://schemas.openxmlformats.org/officeDocument/2006/relationships/hyperlink" Target="https://www.worldbank.org/en/news/press-release/2022/06/07/-world-bank-announces-additional-1-49-billion-financing-support-for-ukraine" TargetMode="External"/><Relationship Id="rId31" Type="http://schemas.openxmlformats.org/officeDocument/2006/relationships/hyperlink" Target="https://www.worldbank.org/en/news/press-release/2022/03/07/world-bank-mobilizes-an-emergency-financing-package-of-over-700-million-for-ukraine" TargetMode="External"/><Relationship Id="rId4" Type="http://schemas.openxmlformats.org/officeDocument/2006/relationships/hyperlink" Target="https://www.imf.org/en/About/FAQ/russia-ukraine" TargetMode="External"/><Relationship Id="rId9" Type="http://schemas.openxmlformats.org/officeDocument/2006/relationships/hyperlink" Target="https://www.worldbank.org/en/news/press-release/2022/03/07/world-bank-mobilizes-an-emergency-financing-package-of-over-700-million-for-ukraine" TargetMode="External"/><Relationship Id="rId14" Type="http://schemas.openxmlformats.org/officeDocument/2006/relationships/hyperlink" Target="https://www.theguardian.com/world/2022/apr/12/world-bank-approves-770m-ukraine-services-funds-russia" TargetMode="External"/><Relationship Id="rId22" Type="http://schemas.openxmlformats.org/officeDocument/2006/relationships/hyperlink" Target="https://www.worldbank.org/en/news/press-release/2022/09/30/world-bank-mobilizes-additional-530-million-in-support-to-ukraine" TargetMode="External"/><Relationship Id="rId27" Type="http://schemas.openxmlformats.org/officeDocument/2006/relationships/hyperlink" Target="https://www.worldbank.org/en/news/press-release/2022/03/07/world-bank-mobilizes-an-emergency-financing-package-of-over-700-million-for-ukraine" TargetMode="External"/><Relationship Id="rId30" Type="http://schemas.openxmlformats.org/officeDocument/2006/relationships/hyperlink" Target="https://www.worldbank.org/en/news/press-release/2022/03/14/world-bank-announces-additional-200-million-in-financing-for-ukraine" TargetMode="External"/><Relationship Id="rId35" Type="http://schemas.openxmlformats.org/officeDocument/2006/relationships/hyperlink" Target="https://www.worldbank.org/en/news/press-release/2022/03/07/world-bank-mobilizes-an-emergency-financing-package-of-over-700-million-for-ukraine" TargetMode="External"/><Relationship Id="rId8" Type="http://schemas.openxmlformats.org/officeDocument/2006/relationships/hyperlink" Target="https://www.unocha.org/ukraine/about-uhf" TargetMode="External"/><Relationship Id="rId3" Type="http://schemas.openxmlformats.org/officeDocument/2006/relationships/hyperlink" Target="https://www.imf.org/en/News/Articles/2022/03/17/pr2280-joint-statement-heads-ifis-programs-ukraine-neighboring-countries" TargetMode="External"/><Relationship Id="rId12" Type="http://schemas.openxmlformats.org/officeDocument/2006/relationships/hyperlink" Target="https://www.worldbank.org/en/news/press-release/2022/03/07/world-bank-mobilizes-an-emergency-financing-package-of-over-700-million-for-ukraine" TargetMode="External"/><Relationship Id="rId17" Type="http://schemas.openxmlformats.org/officeDocument/2006/relationships/hyperlink" Target="https://www.imf.org/en/News/Articles/2022/04/08/pr22111-imf-executive-board-approves-establishment-of-a-multi-donor-administered-account-for-ukraine" TargetMode="External"/><Relationship Id="rId25" Type="http://schemas.openxmlformats.org/officeDocument/2006/relationships/hyperlink" Target="https://www.ebrd.com/news/2022/ebrd-commits-up-to-3-billion-to-ukraine.html" TargetMode="External"/><Relationship Id="rId33" Type="http://schemas.openxmlformats.org/officeDocument/2006/relationships/hyperlink" Target="https://www.worldbank.org/en/news/press-release/2022/03/07/world-bank-mobilizes-an-emergency-financing-package-of-over-700-million-for-ukraine" TargetMode="External"/><Relationship Id="rId38" Type="http://schemas.openxmlformats.org/officeDocument/2006/relationships/hyperlink" Target="https://www.imf.org/en/News/Articles/2022/03/17/pr2280-joint-statement-heads-ifis-programs-ukraine-neighboring-countries"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s://asia.nikkei.com/Politics/Ukraine-war/With-drone-gift-to-Ukraine-Turkey-s-Baykar-wins-fans-and-clients" TargetMode="External"/><Relationship Id="rId3" Type="http://schemas.openxmlformats.org/officeDocument/2006/relationships/hyperlink" Target="https://www.middleeasteye.net/news/russia-ukraine-war-tb2-bayraktar-drones-fifty-received" TargetMode="External"/><Relationship Id="rId7" Type="http://schemas.openxmlformats.org/officeDocument/2006/relationships/hyperlink" Target="https://www.defensenews.com/global/europe/2022/06/08/ukraine-to-buy-polish-howitzers-as-long-war-looms-with-russia/" TargetMode="External"/><Relationship Id="rId2" Type="http://schemas.openxmlformats.org/officeDocument/2006/relationships/hyperlink" Target="https://www.reuters.com/world/turkeys-baykar-donate-three-uavs-ukraine-after-crowdfunding-campaign-2022-06-27/" TargetMode="External"/><Relationship Id="rId1" Type="http://schemas.openxmlformats.org/officeDocument/2006/relationships/hyperlink" Target="https://english.nv.ua/nation/slovakia-to-send-8-howitzers-to-ukraine-military-news-50247162.html" TargetMode="External"/><Relationship Id="rId6" Type="http://schemas.openxmlformats.org/officeDocument/2006/relationships/hyperlink" Target="https://mil.in.ua/en/news/germany-agreed-to-sell-100-panzerhaubitze-2000-to-ukraine/" TargetMode="External"/><Relationship Id="rId5" Type="http://schemas.openxmlformats.org/officeDocument/2006/relationships/hyperlink" Target="https://mil.in.ua/en/news/the-czech-company-will-hand-over-two-reconnaissance-bivoj-uavs-to-ukraine/" TargetMode="External"/><Relationship Id="rId4" Type="http://schemas.openxmlformats.org/officeDocument/2006/relationships/hyperlink" Target="https://babel.ua/en/news/80749-the-czech-company-will-hand-over-three-modern-bivoj-reconnaissance-drones-to-ukraine" TargetMode="External"/></Relationships>
</file>

<file path=xl/worksheets/_rels/sheet46.xml.rels><?xml version="1.0" encoding="UTF-8" standalone="yes"?>
<Relationships xmlns="http://schemas.openxmlformats.org/package/2006/relationships"><Relationship Id="rId117" Type="http://schemas.openxmlformats.org/officeDocument/2006/relationships/hyperlink" Target="https://www.asafm.army.mil/Portals/72/Documents/BudgetMaterial/2021/Base%20Budget/Procurement/MSLS_FY_2021_PB_Missile_Procurement_Army.pdf" TargetMode="External"/><Relationship Id="rId21" Type="http://schemas.openxmlformats.org/officeDocument/2006/relationships/hyperlink" Target="https://en.wikipedia.org/wiki/FIM-92_Stinger" TargetMode="External"/><Relationship Id="rId324" Type="http://schemas.openxmlformats.org/officeDocument/2006/relationships/hyperlink" Target="https://www.canada.ca/en/department-national-defence/news/2022/05/defence-minister-anita-anand-announces-additional-military-aid-for-ukraine.html" TargetMode="External"/><Relationship Id="rId170" Type="http://schemas.openxmlformats.org/officeDocument/2006/relationships/hyperlink" Target="https://www.reuters.com/article/ozatp-ethiopia-tanks-ukraine-20110610-idAFJOE7590IR20110610" TargetMode="External"/><Relationship Id="rId268" Type="http://schemas.openxmlformats.org/officeDocument/2006/relationships/hyperlink" Target="https://www.fiercepharma.com/pharma/pfizer-eyes-higher-covid-19-vaccine-prices-after-pandemic-exec-analyst" TargetMode="External"/><Relationship Id="rId475" Type="http://schemas.openxmlformats.org/officeDocument/2006/relationships/hyperlink" Target="https://mortarinvestments.eu/de/catalog/item/bv-206-hagglunds" TargetMode="External"/><Relationship Id="rId32" Type="http://schemas.openxmlformats.org/officeDocument/2006/relationships/hyperlink" Target="https://www.221btactical.com/blogs/news/how-much-does-a-bulletproof-vest-cost" TargetMode="External"/><Relationship Id="rId74" Type="http://schemas.openxmlformats.org/officeDocument/2006/relationships/hyperlink" Target="https://www.usmilitarytents.com/Military-Tents.aspx" TargetMode="External"/><Relationship Id="rId128" Type="http://schemas.openxmlformats.org/officeDocument/2006/relationships/hyperlink" Target="https://www.amazon.de/-/en/Paracetamol-ratiopharm-500-Tablets-Pack-20/dp/B00DIW2WMQ" TargetMode="External"/><Relationship Id="rId335" Type="http://schemas.openxmlformats.org/officeDocument/2006/relationships/hyperlink" Target="https://www.jeep.com/wrangler.html" TargetMode="External"/><Relationship Id="rId377" Type="http://schemas.openxmlformats.org/officeDocument/2006/relationships/hyperlink" Target="https://www.gao.gov/assets/psad-76-153.pdf" TargetMode="External"/><Relationship Id="rId500" Type="http://schemas.openxmlformats.org/officeDocument/2006/relationships/hyperlink" Target="https://www.bbc.com/news/world-europe-64903201" TargetMode="External"/><Relationship Id="rId5" Type="http://schemas.openxmlformats.org/officeDocument/2006/relationships/hyperlink" Target="https://www.armytimes.com/news/your-army/2019/04/16/heres-the-new-helmet-that-socom-operators-will-take-into-battle/" TargetMode="External"/><Relationship Id="rId181" Type="http://schemas.openxmlformats.org/officeDocument/2006/relationships/hyperlink" Target="https://www.abc.net.au/news/rural/2022-03-22/cost-sending-70000-tonnes-of-coal-to-ukraine/100929070" TargetMode="External"/><Relationship Id="rId237" Type="http://schemas.openxmlformats.org/officeDocument/2006/relationships/hyperlink" Target="https://armstrade.sipri.org/armstrade/page/trade_register.php" TargetMode="External"/><Relationship Id="rId402" Type="http://schemas.openxmlformats.org/officeDocument/2006/relationships/hyperlink" Target="https://www.wikiwand.com/en/RPG-22" TargetMode="External"/><Relationship Id="rId279" Type="http://schemas.openxmlformats.org/officeDocument/2006/relationships/hyperlink" Target="https://www.amazon.com/s?k=military+binoculars&amp;crid=3T1LN1ST9UR4L&amp;sprefix=military+binoculars%2Caps%2C161&amp;ref=nb_sb_noss_1" TargetMode="External"/><Relationship Id="rId444" Type="http://schemas.openxmlformats.org/officeDocument/2006/relationships/hyperlink" Target="https://pdf.directindustry.com/pdf/jenoptik-i-defense-civil-systems/power-supply-solutions-power-generation-systems-air-defense/65823-774066-_5.html" TargetMode="External"/><Relationship Id="rId486" Type="http://schemas.openxmlformats.org/officeDocument/2006/relationships/hyperlink" Target="https://www.defense.gov/News/Contracts/Contract/Article/1561988/" TargetMode="External"/><Relationship Id="rId43" Type="http://schemas.openxmlformats.org/officeDocument/2006/relationships/hyperlink" Target="https://landminefree.org/facts-about-landmines/" TargetMode="External"/><Relationship Id="rId139" Type="http://schemas.openxmlformats.org/officeDocument/2006/relationships/hyperlink" Target="http://www.military-today.com/firearms/m72_law.htm" TargetMode="External"/><Relationship Id="rId290" Type="http://schemas.openxmlformats.org/officeDocument/2006/relationships/hyperlink" Target="https://autoline.info/-/buses/IVECO/Crossway--c65tm2616m1238" TargetMode="External"/><Relationship Id="rId304" Type="http://schemas.openxmlformats.org/officeDocument/2006/relationships/hyperlink" Target="https://armstrade.sipri.org/armstrade/page/trade_register.php" TargetMode="External"/><Relationship Id="rId346" Type="http://schemas.openxmlformats.org/officeDocument/2006/relationships/hyperlink" Target="https://twitter.com/a_anusauskas/status/1575131983499362304" TargetMode="External"/><Relationship Id="rId388" Type="http://schemas.openxmlformats.org/officeDocument/2006/relationships/hyperlink" Target="https://www.truckscout24.de/sattelzugmaschinen/neu" TargetMode="External"/><Relationship Id="rId511" Type="http://schemas.openxmlformats.org/officeDocument/2006/relationships/hyperlink" Target="http://web.archive.org/web/20220401000000*/https:/www.bridgesforsale.co.uk/node/59" TargetMode="External"/><Relationship Id="rId85" Type="http://schemas.openxmlformats.org/officeDocument/2006/relationships/hyperlink" Target="https://colemans.com/u-s-g-i-modular-field-kitchen" TargetMode="External"/><Relationship Id="rId150" Type="http://schemas.openxmlformats.org/officeDocument/2006/relationships/hyperlink" Target="https://www.amazon.com/Disposable-Latex-Gloves-Powder-gloves/dp/B000XRY2FE" TargetMode="External"/><Relationship Id="rId192" Type="http://schemas.openxmlformats.org/officeDocument/2006/relationships/hyperlink" Target="https://www.armyrecognition.com/defense_news_january_2021_global_security_army_industry/first_iveco_lmv_2_nec_armored_vehicles_enter_service_with_italian_army.html" TargetMode="External"/><Relationship Id="rId206" Type="http://schemas.openxmlformats.org/officeDocument/2006/relationships/hyperlink" Target="https://priceonomics.com/sleeping-bag-price-guide/" TargetMode="External"/><Relationship Id="rId413" Type="http://schemas.openxmlformats.org/officeDocument/2006/relationships/hyperlink" Target="https://www.armyandoutdoors.com/products/swiss-army-wool-blanket?_pos=1&amp;_sid=827b90bd2&amp;_ss=r" TargetMode="External"/><Relationship Id="rId248" Type="http://schemas.openxmlformats.org/officeDocument/2006/relationships/hyperlink" Target="https://books.google.de/books?id=QYrfAAAAMAAJ&amp;pg=RA1-SA1-PA44&amp;lpg=RA1-SA1-PA44&amp;dq=price+125mm+HE+round&amp;source=bl&amp;ots=fdolBJFyKm&amp;sig=ACfU3U01l_fXbBfPdno46XHbd5W7HMx4Hg&amp;hl=en&amp;sa=X&amp;ved=2ahUKEwibv-ulyrz5AhWVVfEDHQQSC4IQ6AF6BAgbEAM" TargetMode="External"/><Relationship Id="rId455" Type="http://schemas.openxmlformats.org/officeDocument/2006/relationships/hyperlink" Target="https://armstrade.sipri.org/armstrade/page/trade_register.php" TargetMode="External"/><Relationship Id="rId497" Type="http://schemas.openxmlformats.org/officeDocument/2006/relationships/hyperlink" Target="https://www.culturalistpress.com/altius-600/" TargetMode="External"/><Relationship Id="rId12" Type="http://schemas.openxmlformats.org/officeDocument/2006/relationships/hyperlink" Target="https://www.worldsdailynews.com/how-much-does-an-ambulance-vehicle-cost/" TargetMode="External"/><Relationship Id="rId108" Type="http://schemas.openxmlformats.org/officeDocument/2006/relationships/hyperlink" Target="https://www.globalpetrolprices.com/gasoline_prices/" TargetMode="External"/><Relationship Id="rId315" Type="http://schemas.openxmlformats.org/officeDocument/2006/relationships/hyperlink" Target="https://www.bw-online-shop.com/outdoor/outdoorkueche/verpflegung/epa-einmannpackung-typ-2.html" TargetMode="External"/><Relationship Id="rId357" Type="http://schemas.openxmlformats.org/officeDocument/2006/relationships/hyperlink" Target="https://en.wikipedia.org/wiki/9K32_Strela-2" TargetMode="External"/><Relationship Id="rId54" Type="http://schemas.openxmlformats.org/officeDocument/2006/relationships/hyperlink" Target="https://www.guncritic.com/product/cz-vz-61-scorpion-32acp-blue/" TargetMode="External"/><Relationship Id="rId96" Type="http://schemas.openxmlformats.org/officeDocument/2006/relationships/hyperlink" Target="https://man.fas.org/dod-101/sys/land/at4.htm" TargetMode="External"/><Relationship Id="rId161" Type="http://schemas.openxmlformats.org/officeDocument/2006/relationships/hyperlink" Target="https://www.blautanken.de/adblue-1000-liter-ibc-container-oem/?gclid=Cj0KCQjwntCVBhDdARIsAMEwACk5CvzjsjtbIjYyd1fpO0rAogqNfK3hzDAmmqo_rS87d6nKm3Th7ZsaAhrLEALw_wcB" TargetMode="External"/><Relationship Id="rId217" Type="http://schemas.openxmlformats.org/officeDocument/2006/relationships/hyperlink" Target="https://www.rferl.org/a/ukraine-anti-drone-gun-russia-war/31912255.html" TargetMode="External"/><Relationship Id="rId399" Type="http://schemas.openxmlformats.org/officeDocument/2006/relationships/hyperlink" Target="http://www.military-today.com/firearms/m141_bdm.htm" TargetMode="External"/><Relationship Id="rId259" Type="http://schemas.openxmlformats.org/officeDocument/2006/relationships/hyperlink" Target="https://armstrade.sipri.org/armstrade/page/trade_register.php" TargetMode="External"/><Relationship Id="rId424" Type="http://schemas.openxmlformats.org/officeDocument/2006/relationships/hyperlink" Target="https://uklandpower.com/2018/01/11/a-guide-to-modern-mortar-systems/" TargetMode="External"/><Relationship Id="rId466" Type="http://schemas.openxmlformats.org/officeDocument/2006/relationships/hyperlink" Target="https://www.asafm.army.mil/Portals/72/Documents/BudgetMaterial/2023/Base%20Budget/Procurement/AMMO_ARMY.pdf" TargetMode="External"/><Relationship Id="rId23" Type="http://schemas.openxmlformats.org/officeDocument/2006/relationships/hyperlink" Target="https://www.militarytimes.com/off-duty/gearscout/2012/04/21/u-s-army-places-order-for-24000-m4a1-carbines-with-remington/" TargetMode="External"/><Relationship Id="rId119" Type="http://schemas.openxmlformats.org/officeDocument/2006/relationships/hyperlink" Target="https://nationalpost.com/news/canada/canadian-army-restricts-use-of-artillery-rounds-after-cracks-found-in-high-tech-shells-costing-150000-each" TargetMode="External"/><Relationship Id="rId270" Type="http://schemas.openxmlformats.org/officeDocument/2006/relationships/hyperlink" Target="https://www.kyivpost.com/ukraine-politics/u-s-donates-2500-night-vision-devices-ukraines-armed-forces-video.html" TargetMode="External"/><Relationship Id="rId326" Type="http://schemas.openxmlformats.org/officeDocument/2006/relationships/hyperlink" Target="https://en.wikipedia.org/wiki/M240_machine_gun" TargetMode="External"/><Relationship Id="rId65" Type="http://schemas.openxmlformats.org/officeDocument/2006/relationships/hyperlink" Target="https://dronelife.com/2016/08/17/xtreem-affordable-hd-video-drones/" TargetMode="External"/><Relationship Id="rId130" Type="http://schemas.openxmlformats.org/officeDocument/2006/relationships/hyperlink" Target="https://www.amazon.com/Radios-Portable-Audio-Video/b?ie=UTF8&amp;node=172681" TargetMode="External"/><Relationship Id="rId368" Type="http://schemas.openxmlformats.org/officeDocument/2006/relationships/hyperlink" Target="https://www.amazon.de/Celox-Haemostatische-Mullwindel-Z-Falz-52/dp/B07RWLK5VK/ref=asc_df_B07RWLK5VK/?tag=googshopde-21&amp;linkCode=df0&amp;hvadid=427748981932&amp;hvpos=&amp;hvnetw=g&amp;hvrand=10208160552108135736&amp;hvpone=&amp;hvptwo=&amp;hvqmt=&amp;hvdev=c&amp;hvdvcmdl=&amp;hvlocint=&amp;hvlocphy=9043596&amp;hvtargid=pla-815670292745&amp;psc=1&amp;th=1&amp;psc=1&amp;tag=&amp;ref=&amp;adgrpid=106322596704&amp;hvpone=&amp;hvptwo=&amp;hvadid=427748981932&amp;hvpos=&amp;hvnetw=g&amp;hvrand=10208160552108135736&amp;hvqmt=&amp;hvdev=c&amp;hvdvcmdl=&amp;hvlocint=&amp;hvlocphy=9043596&amp;hvtargid=pla-815670292745" TargetMode="External"/><Relationship Id="rId172" Type="http://schemas.openxmlformats.org/officeDocument/2006/relationships/hyperlink" Target="https://www.navalnews.com/naval-news/2021/01/u-s-navy-will-not-replace-the-patrol-coastals-with-a-new-boat-of-similar-size-and-type/" TargetMode="External"/><Relationship Id="rId228" Type="http://schemas.openxmlformats.org/officeDocument/2006/relationships/hyperlink" Target="http://www.army-guide.com/eng/product3249.html" TargetMode="External"/><Relationship Id="rId435" Type="http://schemas.openxmlformats.org/officeDocument/2006/relationships/hyperlink" Target="https://armstrade.sipri.org/armstrade/page/trade_register.php" TargetMode="External"/><Relationship Id="rId477" Type="http://schemas.openxmlformats.org/officeDocument/2006/relationships/hyperlink" Target="https://www.strategypage.com/htmw/htweap/articles/20110330.aspx" TargetMode="External"/><Relationship Id="rId281" Type="http://schemas.openxmlformats.org/officeDocument/2006/relationships/hyperlink" Target="https://en.wikipedia.org/wiki/AGM-88_HARM" TargetMode="External"/><Relationship Id="rId337" Type="http://schemas.openxmlformats.org/officeDocument/2006/relationships/hyperlink" Target="https://en.wikipedia.org/wiki/M240_machine_gun" TargetMode="External"/><Relationship Id="rId502" Type="http://schemas.openxmlformats.org/officeDocument/2006/relationships/hyperlink" Target="https://armstrade.sipri.org/armstrade/page/trade_register.php" TargetMode="External"/><Relationship Id="rId34" Type="http://schemas.openxmlformats.org/officeDocument/2006/relationships/hyperlink" Target="https://www.thefirearmblog.com/blog/2013/01/08/the-fn-fnc-affordable-select-fire-5-56/" TargetMode="External"/><Relationship Id="rId76" Type="http://schemas.openxmlformats.org/officeDocument/2006/relationships/hyperlink" Target="https://thecostguys.com/home/average-cost-of-a-weighted-blanket" TargetMode="External"/><Relationship Id="rId141" Type="http://schemas.openxmlformats.org/officeDocument/2006/relationships/hyperlink" Target="https://www.frankonia.de/p/sellier-bellot/9-mm-luger-vollmantel-8-0g-124grs/65187" TargetMode="External"/><Relationship Id="rId379" Type="http://schemas.openxmlformats.org/officeDocument/2006/relationships/hyperlink" Target="https://armstrade.sipri.org/armstrade/page/trade_register.php" TargetMode="External"/><Relationship Id="rId7" Type="http://schemas.openxmlformats.org/officeDocument/2006/relationships/hyperlink" Target="https://www.militarysurplus.eu/product-eng-43337-Medical-Stretcher-Romanian-Army-Litter-Military-Surplus.html" TargetMode="External"/><Relationship Id="rId183" Type="http://schemas.openxmlformats.org/officeDocument/2006/relationships/hyperlink" Target="https://www.amazon.de/s?k=Sleeping+mat&amp;crid=AP6F6KPMMYLL&amp;sprefix=sleeping+mat%2Caps%2C112&amp;ref=nb_sb_noss_1" TargetMode="External"/><Relationship Id="rId239" Type="http://schemas.openxmlformats.org/officeDocument/2006/relationships/hyperlink" Target="https://www.rferl.org/a/explainer-lrad-sound-cannon/24927845.html" TargetMode="External"/><Relationship Id="rId390" Type="http://schemas.openxmlformats.org/officeDocument/2006/relationships/hyperlink" Target="http://www.army-guide.com/eng/product4033.html" TargetMode="External"/><Relationship Id="rId404" Type="http://schemas.openxmlformats.org/officeDocument/2006/relationships/hyperlink" Target="https://armstrade.sipri.org/armstrade/page/trade_register.php" TargetMode="External"/><Relationship Id="rId446" Type="http://schemas.openxmlformats.org/officeDocument/2006/relationships/hyperlink" Target="https://minagro.gov.ua/en/napryamki/state-support/information-about-needs-diesel-generators-agro-industrial-complex-ukraine" TargetMode="External"/><Relationship Id="rId250" Type="http://schemas.openxmlformats.org/officeDocument/2006/relationships/hyperlink" Target="https://nationalpost.com/news/canada/canadian-army-restricts-use-of-artillery-rounds-after-cracks-found-in-high-tech-shells-costing-150000-each" TargetMode="External"/><Relationship Id="rId292" Type="http://schemas.openxmlformats.org/officeDocument/2006/relationships/hyperlink" Target="https://en.wikipedia.org/wiki/M982_Excalibur" TargetMode="External"/><Relationship Id="rId306" Type="http://schemas.openxmlformats.org/officeDocument/2006/relationships/hyperlink" Target="http://www.army-guide.com/eng/product3249.html" TargetMode="External"/><Relationship Id="rId488" Type="http://schemas.openxmlformats.org/officeDocument/2006/relationships/hyperlink" Target="https://www.canada.ca/en/department-national-defence/news/2022/05/defence-minister-anita-anand-announces-additional-military-aid-for-ukraine.html" TargetMode="External"/><Relationship Id="rId45" Type="http://schemas.openxmlformats.org/officeDocument/2006/relationships/hyperlink" Target="https://sprengtechnik.de/zerstoerung-von-festplatten-durch-sprengung/" TargetMode="External"/><Relationship Id="rId87" Type="http://schemas.openxmlformats.org/officeDocument/2006/relationships/hyperlink" Target="https://www.operationmilitarykids.org/best-tactical-gloves/" TargetMode="External"/><Relationship Id="rId110" Type="http://schemas.openxmlformats.org/officeDocument/2006/relationships/hyperlink" Target="https://tapportals.mk.gov.lv/legal_acts/4cc2e5ed-8d7f-4052-8aaa-9a3a1d472b7d" TargetMode="External"/><Relationship Id="rId348" Type="http://schemas.openxmlformats.org/officeDocument/2006/relationships/hyperlink" Target="https://armstrade.sipri.org/armstrade/page/trade_register.php" TargetMode="External"/><Relationship Id="rId513" Type="http://schemas.openxmlformats.org/officeDocument/2006/relationships/hyperlink" Target="https://www.autoscout24.de/auto/vw/vw-amarok/" TargetMode="External"/><Relationship Id="rId152" Type="http://schemas.openxmlformats.org/officeDocument/2006/relationships/hyperlink" Target="https://getnightride.com/blogs/nightride-blog/best-thermal-imaging-camera-value" TargetMode="External"/><Relationship Id="rId194" Type="http://schemas.openxmlformats.org/officeDocument/2006/relationships/hyperlink" Target="https://www.thedefensepost.com/2022/05/03/lockheed-ramp-up-javelin-production/" TargetMode="External"/><Relationship Id="rId208" Type="http://schemas.openxmlformats.org/officeDocument/2006/relationships/hyperlink" Target="https://www.luckygunner.com/rifle/5.56x45-ammo" TargetMode="External"/><Relationship Id="rId415" Type="http://schemas.openxmlformats.org/officeDocument/2006/relationships/hyperlink" Target="https://www.focus.de/politik/macht-rheinmetall-ordentlich-kasse-bericht-ukraine-soll-fuer-marder-panzer-70-prozent-aufpreis-zahlen_id_98142080.html" TargetMode="External"/><Relationship Id="rId457" Type="http://schemas.openxmlformats.org/officeDocument/2006/relationships/hyperlink" Target="https://armstrade.sipri.org/armstrade/page/trade_register.php" TargetMode="External"/><Relationship Id="rId261" Type="http://schemas.openxmlformats.org/officeDocument/2006/relationships/hyperlink" Target="https://armstrade.sipri.org/armstrade/page/trade_register.php" TargetMode="External"/><Relationship Id="rId499" Type="http://schemas.openxmlformats.org/officeDocument/2006/relationships/hyperlink" Target="https://www.defensie.nl/actueel/nieuws/2023/05/23/eu-raad-defensieministers-munitie-voor-oekraine-opschaling-productie-en-nieuwe-defensieprojecten" TargetMode="External"/><Relationship Id="rId14" Type="http://schemas.openxmlformats.org/officeDocument/2006/relationships/hyperlink" Target="https://firefighterinsider.com/fire-truck-engine-apparatus-cost/" TargetMode="External"/><Relationship Id="rId56" Type="http://schemas.openxmlformats.org/officeDocument/2006/relationships/hyperlink" Target="https://sofrep.com/news/an-introduction-to-the-an-mpq-64-sentinel-aerial-surveillance-radar-ukraine-is-getting-from-the-us/" TargetMode="External"/><Relationship Id="rId317" Type="http://schemas.openxmlformats.org/officeDocument/2006/relationships/hyperlink" Target="https://www.bw-online-shop.com/outdoor/outdoorkueche/verpflegung/epa-einmannpackung-typ-2.html" TargetMode="External"/><Relationship Id="rId359" Type="http://schemas.openxmlformats.org/officeDocument/2006/relationships/hyperlink" Target="https://www.dsca.mil/sites/default/files/mas/jordan_15-02.pdf" TargetMode="External"/><Relationship Id="rId98" Type="http://schemas.openxmlformats.org/officeDocument/2006/relationships/hyperlink" Target="https://www.newcivilengineer.com/latest/hammersmith-bridge-tfl-took-six-months-to-provide-info-on-temporary-crossing-09-09-2020/" TargetMode="External"/><Relationship Id="rId121" Type="http://schemas.openxmlformats.org/officeDocument/2006/relationships/hyperlink" Target="https://www.defense.gov/News/Releases/Release/Article/3102984/270-million-in-additional-security-assistance-for-ukraine/" TargetMode="External"/><Relationship Id="rId163" Type="http://schemas.openxmlformats.org/officeDocument/2006/relationships/hyperlink" Target="https://books.google.de/books?id=8J43AAAAIAAJ&amp;pg=PA4558&amp;lpg=PA4558&amp;dq=oerlikon+35+mm+ammunition+cost&amp;source=bl&amp;ots=AckNN2-QzT&amp;sig=ACfU3U3R0hGRH6Ksb8A4zR7RyTB_hML2MA&amp;hl=en&amp;sa=X&amp;ved=2ahUKEwjhucjeza35AhXvMuwKHbDKC1YQ6AF6BAg_EAM" TargetMode="External"/><Relationship Id="rId219" Type="http://schemas.openxmlformats.org/officeDocument/2006/relationships/hyperlink" Target="https://armstrade.sipri.org/armstrade/page/trade_register.php" TargetMode="External"/><Relationship Id="rId370" Type="http://schemas.openxmlformats.org/officeDocument/2006/relationships/hyperlink" Target="https://www.economist.com/science-and-technology/2012/09/29/rockets-galore" TargetMode="External"/><Relationship Id="rId426" Type="http://schemas.openxmlformats.org/officeDocument/2006/relationships/hyperlink" Target="https://ammopricesnow.com/556-nato/" TargetMode="External"/><Relationship Id="rId230" Type="http://schemas.openxmlformats.org/officeDocument/2006/relationships/hyperlink" Target="https://www.defensie.nl/onderwerpen/materieel/bewapening/accuracy-antipersoneel-snipergeweer-7.62mm%20,%20https:/www.guncritic.com/product/accuracy-international-ax308/%20,%20https:/www.guncritic.com/product/accuracy-international-ax338/" TargetMode="External"/><Relationship Id="rId468" Type="http://schemas.openxmlformats.org/officeDocument/2006/relationships/hyperlink" Target="https://armstrade.sipri.org/armstrade/page/trade_register.php" TargetMode="External"/><Relationship Id="rId25" Type="http://schemas.openxmlformats.org/officeDocument/2006/relationships/hyperlink" Target="https://truegunvalue.com/pistol/sig-p228/price-historical-value/new/2" TargetMode="External"/><Relationship Id="rId67" Type="http://schemas.openxmlformats.org/officeDocument/2006/relationships/hyperlink" Target="http://www.military-today.com/apc/m113a3.htm" TargetMode="External"/><Relationship Id="rId272" Type="http://schemas.openxmlformats.org/officeDocument/2006/relationships/hyperlink" Target="https://firefighterinsider.com/fire-truck-engine-apparatus-cost/" TargetMode="External"/><Relationship Id="rId328" Type="http://schemas.openxmlformats.org/officeDocument/2006/relationships/hyperlink" Target="https://engineerine.com/switchblade-will-turn-the-tide-in-ukraine/" TargetMode="External"/><Relationship Id="rId132" Type="http://schemas.openxmlformats.org/officeDocument/2006/relationships/hyperlink" Target="https://books.google.de/books?id=yLwfAAAAMAAJ&amp;pg=PA1058&amp;lpg=PA1058&amp;dq=66mm+rocket+cost&amp;source=bl&amp;ots=6R5N48jaub&amp;sig=ACfU3U0WpoNaDz-vvRYJb9J-bD1_tUAxXQ&amp;hl=en&amp;sa=X&amp;ved=2ahUKEwiRzq7f0c_4AhWPRPEDHTv_CPEQ6AF6BAgNEAM" TargetMode="External"/><Relationship Id="rId174" Type="http://schemas.openxmlformats.org/officeDocument/2006/relationships/hyperlink" Target="https://www.globalplanesearch.com/europe/helicopters/mil/mi_2.htm" TargetMode="External"/><Relationship Id="rId381" Type="http://schemas.openxmlformats.org/officeDocument/2006/relationships/hyperlink" Target="https://armstrade.sipri.org/armstrade/page/trade_register.php" TargetMode="External"/><Relationship Id="rId241" Type="http://schemas.openxmlformats.org/officeDocument/2006/relationships/hyperlink" Target="https://survivalfreedom.com/how-much-do-military-drones-cost-a-detailed-look/" TargetMode="External"/><Relationship Id="rId437" Type="http://schemas.openxmlformats.org/officeDocument/2006/relationships/hyperlink" Target="https://www.ibiblio.org/hyperwar/USN/Admin-Hist/075-Ordnance/075-Ord6R.html" TargetMode="External"/><Relationship Id="rId479" Type="http://schemas.openxmlformats.org/officeDocument/2006/relationships/hyperlink" Target="https://military-history.fandom.com/wiki/Heavy_Expanded_Mobility_Tactical_Truck" TargetMode="External"/><Relationship Id="rId36" Type="http://schemas.openxmlformats.org/officeDocument/2006/relationships/hyperlink" Target="https://www.medicalpriceonline.com/medical-equipment/patient-monitor/" TargetMode="External"/><Relationship Id="rId283" Type="http://schemas.openxmlformats.org/officeDocument/2006/relationships/hyperlink" Target="https://www.marketwatch.com/story/new-army-trucks-may-cost-350000-each-gao-2011-10-27" TargetMode="External"/><Relationship Id="rId339" Type="http://schemas.openxmlformats.org/officeDocument/2006/relationships/hyperlink" Target="https://www.rtvslo.si/news-in-english/the-ministry-of-defense-s-auction-of-old-m-55s-results-in-a-single-sale/453024" TargetMode="External"/><Relationship Id="rId490" Type="http://schemas.openxmlformats.org/officeDocument/2006/relationships/hyperlink" Target="https://www.eurooptic.com/sako-trg-42-rifles.aspx" TargetMode="External"/><Relationship Id="rId504" Type="http://schemas.openxmlformats.org/officeDocument/2006/relationships/hyperlink" Target="https://weaponsystems.net/system/404-Fennek" TargetMode="External"/><Relationship Id="rId78" Type="http://schemas.openxmlformats.org/officeDocument/2006/relationships/hyperlink" Target="https://www.freshbooks.com/hub/estimates/how-much-does-it-cost-to-build-a-hospital" TargetMode="External"/><Relationship Id="rId101" Type="http://schemas.openxmlformats.org/officeDocument/2006/relationships/hyperlink" Target="https://www.thedrive.com/the-war-zone/ukraine-to-get-guided-rockets-but-not-ones-able-to-reach-far-into-russia" TargetMode="External"/><Relationship Id="rId143" Type="http://schemas.openxmlformats.org/officeDocument/2006/relationships/hyperlink" Target="https://www.mymat.de/preise-und-formate-fussmatten" TargetMode="External"/><Relationship Id="rId185" Type="http://schemas.openxmlformats.org/officeDocument/2006/relationships/hyperlink" Target="https://www.dronerush.com/drone-price-how-much-do-drones-cost-21540/" TargetMode="External"/><Relationship Id="rId350" Type="http://schemas.openxmlformats.org/officeDocument/2006/relationships/hyperlink" Target="https://www.asafm.army.mil/Portals/72/Documents/BudgetMaterial/2023/Base%20Budget/Procurement/MSLS_ARMY.pdf" TargetMode="External"/><Relationship Id="rId406" Type="http://schemas.openxmlformats.org/officeDocument/2006/relationships/hyperlink" Target="https://www.csis.org/analysis/patriot-ukraine-what-does-it-mean" TargetMode="External"/><Relationship Id="rId9" Type="http://schemas.openxmlformats.org/officeDocument/2006/relationships/hyperlink" Target="https://hcpresources.medtronic.com/blog/high-acuity-ventilator-cost-guide" TargetMode="External"/><Relationship Id="rId210" Type="http://schemas.openxmlformats.org/officeDocument/2006/relationships/hyperlink" Target="https://nationalinterest.org/blog/buzz/czech-military-adopt-new-small-arms-including-fn-minimi-machine-guns-198826" TargetMode="External"/><Relationship Id="rId392" Type="http://schemas.openxmlformats.org/officeDocument/2006/relationships/hyperlink" Target="https://www.ojp.gov/pdffiles1/nij/189725.pdf" TargetMode="External"/><Relationship Id="rId448" Type="http://schemas.openxmlformats.org/officeDocument/2006/relationships/hyperlink" Target="https://comptroller.defense.gov/Portals/45/Documents/defbudget/fy2021/fy2021_p1.pdf" TargetMode="External"/><Relationship Id="rId252" Type="http://schemas.openxmlformats.org/officeDocument/2006/relationships/hyperlink" Target="https://mil.in.ua/en/news/the-czech-company-will-hand-over-two-reconnaissance-bivoj-uavs-to-ukraine/" TargetMode="External"/><Relationship Id="rId294" Type="http://schemas.openxmlformats.org/officeDocument/2006/relationships/hyperlink" Target="https://en.wikipedia.org/wiki/Claymore_mine" TargetMode="External"/><Relationship Id="rId308" Type="http://schemas.openxmlformats.org/officeDocument/2006/relationships/hyperlink" Target="https://firefighterinsider.com/fire-truck-engine-apparatus-cost/" TargetMode="External"/><Relationship Id="rId515" Type="http://schemas.openxmlformats.org/officeDocument/2006/relationships/hyperlink" Target="http://jgmjgm516.blogspot.com/2017/08/just-couple-of-questions-about-those.html" TargetMode="External"/><Relationship Id="rId47" Type="http://schemas.openxmlformats.org/officeDocument/2006/relationships/hyperlink" Target="https://www.forbes.com/advisor/home-improvement/generator-cost-guide/" TargetMode="External"/><Relationship Id="rId89" Type="http://schemas.openxmlformats.org/officeDocument/2006/relationships/hyperlink" Target="https://www.militarytimes.com/off-duty/gearscout/2022/05/12/panzerfaust-3-the-cold-war-weapon-wrecking-russian-tanks-in-ukraine/" TargetMode="External"/><Relationship Id="rId112" Type="http://schemas.openxmlformats.org/officeDocument/2006/relationships/hyperlink" Target="https://truegunvalue.com/rifle/heckler-koch/g3/price-historical-value-645" TargetMode="External"/><Relationship Id="rId154" Type="http://schemas.openxmlformats.org/officeDocument/2006/relationships/hyperlink" Target="https://leaguefeed.net/how-much-should-you-spend-on-laptop/" TargetMode="External"/><Relationship Id="rId361" Type="http://schemas.openxmlformats.org/officeDocument/2006/relationships/hyperlink" Target="http://www.military-today.com/firearms/mg3.htm" TargetMode="External"/><Relationship Id="rId196" Type="http://schemas.openxmlformats.org/officeDocument/2006/relationships/hyperlink" Target="https://taskandpurpose.com/news/ac-130-gunship-105mm-cannon/" TargetMode="External"/><Relationship Id="rId417" Type="http://schemas.openxmlformats.org/officeDocument/2006/relationships/hyperlink" Target="https://www.gov.uk/government/speeches/defence-secretary-oral-statement-on-war-in-ukraine--2" TargetMode="External"/><Relationship Id="rId459" Type="http://schemas.openxmlformats.org/officeDocument/2006/relationships/hyperlink" Target="https://www.outlookindia.com/website/story/india-news-iafs-mi-17v5-all-about-helicopter-that-crashed-carrying-india-first-cds-bipin-rawat/404303" TargetMode="External"/><Relationship Id="rId16" Type="http://schemas.openxmlformats.org/officeDocument/2006/relationships/hyperlink" Target="https://www.amazon.com/s?k=surgical+mask&amp;crid=1ROTDHJDQISW0&amp;sprefix=surgical+mas%2Caps%2C175&amp;ref=nb_sb_noss_2" TargetMode="External"/><Relationship Id="rId221" Type="http://schemas.openxmlformats.org/officeDocument/2006/relationships/hyperlink" Target="https://armstrade.sipri.org/armstrade/page/trade_register.php" TargetMode="External"/><Relationship Id="rId263" Type="http://schemas.openxmlformats.org/officeDocument/2006/relationships/hyperlink" Target="https://armstrade.sipri.org/armstrade/page/trade_register.php" TargetMode="External"/><Relationship Id="rId319" Type="http://schemas.openxmlformats.org/officeDocument/2006/relationships/hyperlink" Target="https://www.jpost.com/opinion/op-ed-contributors/bankrupting-terrorism-one-interception-at-a-time" TargetMode="External"/><Relationship Id="rId470" Type="http://schemas.openxmlformats.org/officeDocument/2006/relationships/hyperlink" Target="https://www.thedefensepost.com/2023/02/02/france-italy-aster-missiles/" TargetMode="External"/><Relationship Id="rId58" Type="http://schemas.openxmlformats.org/officeDocument/2006/relationships/hyperlink" Target="https://armstrade.sipri.org/armstrade/page/trade_register.php" TargetMode="External"/><Relationship Id="rId123" Type="http://schemas.openxmlformats.org/officeDocument/2006/relationships/hyperlink" Target="https://www.amazon.com/camping-shower-tent-Sports-Outdoors/s?k=camping+shower+tent&amp;rh=n%3A3375251" TargetMode="External"/><Relationship Id="rId330" Type="http://schemas.openxmlformats.org/officeDocument/2006/relationships/hyperlink" Target="https://www.defenceweb.co.za/land/land-land/morocco-to-receive-laser-rangefinders/" TargetMode="External"/><Relationship Id="rId165" Type="http://schemas.openxmlformats.org/officeDocument/2006/relationships/hyperlink" Target="https://www.praxisdienst.de/Einrichtung/Ablegen+und+lagern/Medikamentenkuehlschraenke/Liebherr+MKUv+1610+Medikamentenkuehlschrank+mit+Fachboeden.html?speed=1&amp;gclid=Cj0KCQjwntCVBhDdARIsAMEwACmOKJaqbtWlmkE3PwceLhHIP9m3qGdulBKn1kImSy42c3gxKcXCRD4aAhIXEALw_wcB" TargetMode="External"/><Relationship Id="rId372" Type="http://schemas.openxmlformats.org/officeDocument/2006/relationships/hyperlink" Target="https://www.military.africa/2022/10/nigerian-army-acquires-medium-girder-bridge-from-uk-to-boost-logistics/" TargetMode="External"/><Relationship Id="rId428" Type="http://schemas.openxmlformats.org/officeDocument/2006/relationships/hyperlink" Target="https://ammopricesnow.com/556-nato/" TargetMode="External"/><Relationship Id="rId232" Type="http://schemas.openxmlformats.org/officeDocument/2006/relationships/hyperlink" Target="https://armstrade.sipri.org/armstrade/page/trade_register.php" TargetMode="External"/><Relationship Id="rId274" Type="http://schemas.openxmlformats.org/officeDocument/2006/relationships/hyperlink" Target="https://www.asafm.army.mil/Portals/72/Documents/BudgetMaterial/2023/Base%20Budget/Procurement/OPA_BA3_4_Other_Support_Equipment.pdf" TargetMode="External"/><Relationship Id="rId481" Type="http://schemas.openxmlformats.org/officeDocument/2006/relationships/hyperlink" Target="https://www.inetres.com/gp/military/infantry/mortar/60mm.html" TargetMode="External"/><Relationship Id="rId27" Type="http://schemas.openxmlformats.org/officeDocument/2006/relationships/hyperlink" Target="https://truegunvalue.com/shotgun/mossberg/500/price-historical-value-1217%20|%20https:/truegunvalue.com/shotgun/benelli-m4/price-historical-value" TargetMode="External"/><Relationship Id="rId69" Type="http://schemas.openxmlformats.org/officeDocument/2006/relationships/hyperlink" Target="https://www.amazon.com/Band-Aid-First-Adhesive-Bandages-Large/dp/B000GCPW8C/ref=sr_1_7?crid=1PZ72906ULX4A&amp;keywords=wound+bandage&amp;qid=1667515401&amp;qu=eyJxc2MiOiI1Ljc2IiwicXNhIjoiNS4yNyIsInFzcCI6IjUuMTAifQ%3D%3D&amp;sprefix=wound+bandag%2Caps%2C155&amp;sr=8-7" TargetMode="External"/><Relationship Id="rId134" Type="http://schemas.openxmlformats.org/officeDocument/2006/relationships/hyperlink" Target="https://www.vabusinesssystems.com/how-much-does-a-voip-phone-system-cost" TargetMode="External"/><Relationship Id="rId80" Type="http://schemas.openxmlformats.org/officeDocument/2006/relationships/hyperlink" Target="https://www.globalsecurity.org/military/world/europe/gepard.htm" TargetMode="External"/><Relationship Id="rId176" Type="http://schemas.openxmlformats.org/officeDocument/2006/relationships/hyperlink" Target="https://armstrade.sipri.org/armstrade/page/trade_register.php" TargetMode="External"/><Relationship Id="rId341" Type="http://schemas.openxmlformats.org/officeDocument/2006/relationships/hyperlink" Target="https://media.defense.gov/2022/Nov/04/2003108893/-1/-1/0/USAI-7-CZE-TANKS-US-NLD-CZE-PRESS-STATEMENT.PDF" TargetMode="External"/><Relationship Id="rId383" Type="http://schemas.openxmlformats.org/officeDocument/2006/relationships/hyperlink" Target="https://uklandpower.com/2018/01/11/a-guide-to-modern-mortar-systems/" TargetMode="External"/><Relationship Id="rId439" Type="http://schemas.openxmlformats.org/officeDocument/2006/relationships/hyperlink" Target="https://www.weaponstoukraine.com/kampane/viktor-mobile-air-defense-for-ukraine" TargetMode="External"/><Relationship Id="rId201" Type="http://schemas.openxmlformats.org/officeDocument/2006/relationships/hyperlink" Target="https://www.ebay.com/itm/252996466305?hash=item3ae7c3b681:g:DGIAAOSwDrNZU34G" TargetMode="External"/><Relationship Id="rId243" Type="http://schemas.openxmlformats.org/officeDocument/2006/relationships/hyperlink" Target="https://man.fas.org/dod-101/sys/land/m224.htm" TargetMode="External"/><Relationship Id="rId285" Type="http://schemas.openxmlformats.org/officeDocument/2006/relationships/hyperlink" Target="https://www.airuniversity.af.edu/Portals/10/ASPJ/journals/Chronicles/ucav.pdf" TargetMode="External"/><Relationship Id="rId450" Type="http://schemas.openxmlformats.org/officeDocument/2006/relationships/hyperlink" Target="https://www.safeandsanitaryhomes.org/roll-off-dumpster-cost/" TargetMode="External"/><Relationship Id="rId506" Type="http://schemas.openxmlformats.org/officeDocument/2006/relationships/hyperlink" Target="https://armstrade.sipri.org/armstrade/page/trade_register.php" TargetMode="External"/><Relationship Id="rId38" Type="http://schemas.openxmlformats.org/officeDocument/2006/relationships/hyperlink" Target="https://www.army.mil/article/193339/army_to_rapidly_procure_reusable_shoulder_fired_weapon_system" TargetMode="External"/><Relationship Id="rId103" Type="http://schemas.openxmlformats.org/officeDocument/2006/relationships/hyperlink" Target="https://en.wikipedia.org/wiki/RPG-7" TargetMode="External"/><Relationship Id="rId310" Type="http://schemas.openxmlformats.org/officeDocument/2006/relationships/hyperlink" Target="https://www.asafm.army.mil/Portals/72/Documents/BudgetMaterial/2021/Base%20Budget/Procurement/MSLS_FY_2021_PB_Missile_Procurement_Army.pdf" TargetMode="External"/><Relationship Id="rId492" Type="http://schemas.openxmlformats.org/officeDocument/2006/relationships/hyperlink" Target="https://armstrade.sipri.org/armstrade/page/trade_register.php" TargetMode="External"/><Relationship Id="rId91" Type="http://schemas.openxmlformats.org/officeDocument/2006/relationships/hyperlink" Target="https://www.asafm.army.mil/Portals/72/Documents/BudgetMaterial/2021/Base%20Budget/Procurement/MSLS_FY_2021_PB_Missile_Procurement_Army.pdf" TargetMode="External"/><Relationship Id="rId145" Type="http://schemas.openxmlformats.org/officeDocument/2006/relationships/hyperlink" Target="https://en.wikipedia.org/wiki/Claymore_mine" TargetMode="External"/><Relationship Id="rId187" Type="http://schemas.openxmlformats.org/officeDocument/2006/relationships/hyperlink" Target="https://www.globalsecurity.org/military/world/taiwan/cm21-variants.htm" TargetMode="External"/><Relationship Id="rId352" Type="http://schemas.openxmlformats.org/officeDocument/2006/relationships/hyperlink" Target="https://www.amazon.com/s?k=military+binoculars&amp;crid=3T1LN1ST9UR4L&amp;sprefix=military+binoculars%2Caps%2C161&amp;ref=nb_sb_noss_1" TargetMode="External"/><Relationship Id="rId394" Type="http://schemas.openxmlformats.org/officeDocument/2006/relationships/hyperlink" Target="https://www.rferl.org/a/ukraine-anti-drone-gun-russia-war/31912255.html" TargetMode="External"/><Relationship Id="rId408" Type="http://schemas.openxmlformats.org/officeDocument/2006/relationships/hyperlink" Target="https://man.fas.org/dod-101/sys/land/m224.htm" TargetMode="External"/><Relationship Id="rId212" Type="http://schemas.openxmlformats.org/officeDocument/2006/relationships/hyperlink" Target="https://truegunvalue.com/pistol/cz-evo-3/price-historical-value" TargetMode="External"/><Relationship Id="rId254" Type="http://schemas.openxmlformats.org/officeDocument/2006/relationships/hyperlink" Target="https://www.theakforum.net/threads/for-sale-sv43-czech-incendiary-tracer-rounds-7-62x39.325660/" TargetMode="External"/><Relationship Id="rId49" Type="http://schemas.openxmlformats.org/officeDocument/2006/relationships/hyperlink" Target="http://www.army-guide.com/eng/product4461.html" TargetMode="External"/><Relationship Id="rId114" Type="http://schemas.openxmlformats.org/officeDocument/2006/relationships/hyperlink" Target="https://www.amazon.com/s?k=surgical+gloves&amp;crid=339VHKCNRBO5O&amp;sprefix=surgical+glove%2Caps%2C200&amp;ref=nb_sb_noss_1" TargetMode="External"/><Relationship Id="rId296" Type="http://schemas.openxmlformats.org/officeDocument/2006/relationships/hyperlink" Target="https://www.thedefensepost.com/2022/05/03/lockheed-ramp-up-javelin-production/" TargetMode="External"/><Relationship Id="rId461" Type="http://schemas.openxmlformats.org/officeDocument/2006/relationships/hyperlink" Target="https://armstrade.sipri.org/armstrade/page/trade_register.php" TargetMode="External"/><Relationship Id="rId517" Type="http://schemas.openxmlformats.org/officeDocument/2006/relationships/hyperlink" Target="https://www.canada.ca/en/department-national-defence/news/2023/04/defence-minister-anita-anand-announces-approximately-39-million-military-aid-package-for-ukraine.html" TargetMode="External"/><Relationship Id="rId60" Type="http://schemas.openxmlformats.org/officeDocument/2006/relationships/hyperlink" Target="https://www.thesoldiersproject.org/how-much-does-a-military-humvee-cost/" TargetMode="External"/><Relationship Id="rId156" Type="http://schemas.openxmlformats.org/officeDocument/2006/relationships/hyperlink" Target="https://www.ncbi.nlm.nih.gov/pmc/articles/PMC7305019/" TargetMode="External"/><Relationship Id="rId198" Type="http://schemas.openxmlformats.org/officeDocument/2006/relationships/hyperlink" Target="https://www.thedefensepost.com/2022/05/03/lockheed-ramp-up-javelin-production/" TargetMode="External"/><Relationship Id="rId321" Type="http://schemas.openxmlformats.org/officeDocument/2006/relationships/hyperlink" Target="http://www.military-today.com/firearms/m72_law.htm" TargetMode="External"/><Relationship Id="rId363" Type="http://schemas.openxmlformats.org/officeDocument/2006/relationships/hyperlink" Target="https://getnightride.com/blogs/nightride-blog/best-thermal-imaging-camera-value" TargetMode="External"/><Relationship Id="rId419" Type="http://schemas.openxmlformats.org/officeDocument/2006/relationships/hyperlink" Target="https://en.wikipedia.org/wiki/RIM-7_Sea_Sparrow" TargetMode="External"/><Relationship Id="rId223" Type="http://schemas.openxmlformats.org/officeDocument/2006/relationships/hyperlink" Target="https://inetres.com/gp/military/infantry/antiarmor/AT4.html" TargetMode="External"/><Relationship Id="rId430" Type="http://schemas.openxmlformats.org/officeDocument/2006/relationships/hyperlink" Target="https://www.defensenews.com/global/asia-pacific/2018/09/24/south-korean-military-to-upgrade-friend-or-foe-id-capability/" TargetMode="External"/><Relationship Id="rId18" Type="http://schemas.openxmlformats.org/officeDocument/2006/relationships/hyperlink" Target="https://www.amazon.com/s?k=bio+protective+suit&amp;__mk_de_DE=%C3%85M%C3%85%C5%BD%C3%95%C3%91&amp;crid=2MJA43R80NRVA&amp;sprefix=bio+protective+suit%2Caps%2C215&amp;ref=nb_sb_noss_1" TargetMode="External"/><Relationship Id="rId265" Type="http://schemas.openxmlformats.org/officeDocument/2006/relationships/hyperlink" Target="https://armstrade.sipri.org/armstrade/page/trade_register.php" TargetMode="External"/><Relationship Id="rId472" Type="http://schemas.openxmlformats.org/officeDocument/2006/relationships/hyperlink" Target="https://www.wiwo.de/politik/deutschland/140-millionen-euro-teures-luftabwehrsystem-ukraine-erwartet-im-oktober-erste-iris-t-lieferung/28393480.html.%20https:/mil.in.ua/en/news/iris-t-slm-medium-range-air-defense-system-germany-released-an-updated-list-of-weapons-for-ukraine/" TargetMode="External"/><Relationship Id="rId125" Type="http://schemas.openxmlformats.org/officeDocument/2006/relationships/hyperlink" Target="https://www.jouav.com/blog/heavy-lift-drone.html" TargetMode="External"/><Relationship Id="rId167" Type="http://schemas.openxmlformats.org/officeDocument/2006/relationships/hyperlink" Target="https://www.made-in-china.com/products-search/hot-china-products/Uav_Drone_Jammer.html" TargetMode="External"/><Relationship Id="rId332" Type="http://schemas.openxmlformats.org/officeDocument/2006/relationships/hyperlink" Target="https://www.militarytimes.com/off-duty/gearscout/2022/05/12/panzerfaust-3-the-cold-war-weapon-wrecking-russian-tanks-in-ukraine/" TargetMode="External"/><Relationship Id="rId374" Type="http://schemas.openxmlformats.org/officeDocument/2006/relationships/hyperlink" Target="https://www.marketwatch.com/story/new-army-trucks-may-cost-350000-each-gao-2011-10-27" TargetMode="External"/><Relationship Id="rId71" Type="http://schemas.openxmlformats.org/officeDocument/2006/relationships/hyperlink" Target="http://army-warehouse.com/10-servicecard-artikel/226-osterr-bundesheer-splitter-schutzweste-kampfweste-obh.html?msclkid=6fe95c5ecf7111ecbc7bf25f9bd8a5b5" TargetMode="External"/><Relationship Id="rId234" Type="http://schemas.openxmlformats.org/officeDocument/2006/relationships/hyperlink" Target="https://armstrade.sipri.org/armstrade/page/trade_register.php" TargetMode="External"/><Relationship Id="rId2" Type="http://schemas.openxmlformats.org/officeDocument/2006/relationships/hyperlink" Target="https://www.militaryfactory.com/smallarms/detail.php?smallarms_id=18" TargetMode="External"/><Relationship Id="rId29" Type="http://schemas.openxmlformats.org/officeDocument/2006/relationships/hyperlink" Target="https://www.globalpetrolprices.com/diesel_prices/" TargetMode="External"/><Relationship Id="rId276" Type="http://schemas.openxmlformats.org/officeDocument/2006/relationships/hyperlink" Target="https://armstrade.sipri.org/armstrade/page/trade_register.php" TargetMode="External"/><Relationship Id="rId441" Type="http://schemas.openxmlformats.org/officeDocument/2006/relationships/hyperlink" Target="https://www.pressebox.de/pressemitteilung/rheinmetall-ag/Rheinmetall-erhaelt-bedeutenden-Auftrag-aus-Kanada/boxid/472090" TargetMode="External"/><Relationship Id="rId483" Type="http://schemas.openxmlformats.org/officeDocument/2006/relationships/hyperlink" Target="https://en.wikipedia.org/wiki/AIM-7_Sparrow" TargetMode="External"/><Relationship Id="rId40" Type="http://schemas.openxmlformats.org/officeDocument/2006/relationships/hyperlink" Target="https://www.luckygunner.com/rifle/5.56x45-ammo" TargetMode="External"/><Relationship Id="rId136" Type="http://schemas.openxmlformats.org/officeDocument/2006/relationships/hyperlink" Target="https://www.angi.com/articles/how-much-does-tv-antenna-installation-cost.htm" TargetMode="External"/><Relationship Id="rId178" Type="http://schemas.openxmlformats.org/officeDocument/2006/relationships/hyperlink" Target="https://www.tpsgc-pwgsc.gc.ca/app-acq/amd-dp/vbsc-acsv-eng.html" TargetMode="External"/><Relationship Id="rId301" Type="http://schemas.openxmlformats.org/officeDocument/2006/relationships/hyperlink" Target="https://armstrade.sipri.org/armstrade/page/trade_register.php" TargetMode="External"/><Relationship Id="rId343" Type="http://schemas.openxmlformats.org/officeDocument/2006/relationships/hyperlink" Target="https://www.armormax.com/blog/how-much-does-a-bulletproof-car-cost/" TargetMode="External"/><Relationship Id="rId82" Type="http://schemas.openxmlformats.org/officeDocument/2006/relationships/hyperlink" Target="https://www.defense.gov/News/Contracts/Contract/Article/2185990/" TargetMode="External"/><Relationship Id="rId203" Type="http://schemas.openxmlformats.org/officeDocument/2006/relationships/hyperlink" Target="https://www.alibaba.com/product-detail/Medical-Children-Clinic-Bed-Manual-Children_62180451022.html?spm=a2700.7724857.normal_offer.d_title.30c23ac4FuVEM5" TargetMode="External"/><Relationship Id="rId385" Type="http://schemas.openxmlformats.org/officeDocument/2006/relationships/hyperlink" Target="https://armstrade.sipri.org/armstrade/page/trade_register.php" TargetMode="External"/><Relationship Id="rId245" Type="http://schemas.openxmlformats.org/officeDocument/2006/relationships/hyperlink" Target="https://www.ukrinform.net/rubric-ato/3491327-canada-to-give-ukraine-over-20000-155-mm-shells.html" TargetMode="External"/><Relationship Id="rId287" Type="http://schemas.openxmlformats.org/officeDocument/2006/relationships/hyperlink" Target="https://bigtruckrental.com/rear-loader-garbage-truck-rental-service/how-much-does-a-new-rear-loader-garbage-truck-cost/" TargetMode="External"/><Relationship Id="rId410" Type="http://schemas.openxmlformats.org/officeDocument/2006/relationships/hyperlink" Target="https://armstrade.sipri.org/armstrade/page/trade_register.php" TargetMode="External"/><Relationship Id="rId452" Type="http://schemas.openxmlformats.org/officeDocument/2006/relationships/hyperlink" Target="https://armstrade.sipri.org/armstrade/page/trade_register.php" TargetMode="External"/><Relationship Id="rId494" Type="http://schemas.openxmlformats.org/officeDocument/2006/relationships/hyperlink" Target="https://www.canadiansafetysupplies.com/2-Person-72-Hour-Emergency-Survival-Kit-p/pr668.htm" TargetMode="External"/><Relationship Id="rId508" Type="http://schemas.openxmlformats.org/officeDocument/2006/relationships/hyperlink" Target="http://scanjack.com/en/?page_id=297" TargetMode="External"/><Relationship Id="rId105" Type="http://schemas.openxmlformats.org/officeDocument/2006/relationships/hyperlink" Target="https://www.globalsecurity.org/military/world/europe/aspide.htm" TargetMode="External"/><Relationship Id="rId147" Type="http://schemas.openxmlformats.org/officeDocument/2006/relationships/hyperlink" Target="https://www.ammograb.com/762x51mm-nato/" TargetMode="External"/><Relationship Id="rId312" Type="http://schemas.openxmlformats.org/officeDocument/2006/relationships/hyperlink" Target="https://www.asafm.army.mil/Portals/72/Documents/BudgetMaterial/2021/Base%20Budget/Procurement/MSLS_FY_2021_PB_Missile_Procurement_Army.pdf" TargetMode="External"/><Relationship Id="rId354" Type="http://schemas.openxmlformats.org/officeDocument/2006/relationships/hyperlink" Target="https://www.ebay.de/itm/261421940408" TargetMode="External"/><Relationship Id="rId51" Type="http://schemas.openxmlformats.org/officeDocument/2006/relationships/hyperlink" Target="https://www.waffenschumacher.com/wp-content/uploads/2017/10/VISIER_CSA_Czech-Small-Arms-Sa-vz.58-11-2013.pdf" TargetMode="External"/><Relationship Id="rId93" Type="http://schemas.openxmlformats.org/officeDocument/2006/relationships/hyperlink" Target="https://spectator.sme.sk/c/22842829/slovakia-will-send-mine-clearance-systems-and-healthcare-material-to-ukraine.html" TargetMode="External"/><Relationship Id="rId189" Type="http://schemas.openxmlformats.org/officeDocument/2006/relationships/hyperlink" Target="https://www.seaforces.org/wpnsys/SURFACE/DS30M-30mm-gun-UK.htm" TargetMode="External"/><Relationship Id="rId396" Type="http://schemas.openxmlformats.org/officeDocument/2006/relationships/hyperlink" Target="https://comptroller.defense.gov/Portals/45/Documents/defbudget/fy2009/budget_justification/pdfs/02_Procurement/Vol_2_SOCOM_CBDP/SOCOM%20PDW%20PB09.pdf" TargetMode="External"/><Relationship Id="rId214" Type="http://schemas.openxmlformats.org/officeDocument/2006/relationships/hyperlink" Target="https://www.bulkammo.com/rifle/bulk-7.62x39mm-ammo" TargetMode="External"/><Relationship Id="rId256" Type="http://schemas.openxmlformats.org/officeDocument/2006/relationships/hyperlink" Target="https://armstrade.sipri.org/armstrade/page/trade_register.php" TargetMode="External"/><Relationship Id="rId298" Type="http://schemas.openxmlformats.org/officeDocument/2006/relationships/hyperlink" Target="https://armstrade.sipri.org/armstrade/page/trade_register.php" TargetMode="External"/><Relationship Id="rId421" Type="http://schemas.openxmlformats.org/officeDocument/2006/relationships/hyperlink" Target="https://en.wikipedia.org/wiki/BGM-71_TOW" TargetMode="External"/><Relationship Id="rId463" Type="http://schemas.openxmlformats.org/officeDocument/2006/relationships/hyperlink" Target="https://armstrade.sipri.org/armstrade/page/trade_register.php" TargetMode="External"/><Relationship Id="rId519" Type="http://schemas.openxmlformats.org/officeDocument/2006/relationships/hyperlink" Target="http://web.archive.org/web/20230208141207/https:/minagro.gov.ua/en/napryamki/state-support/information-about-needs-diesel-generators-agro-industrial-complex-ukraine" TargetMode="External"/><Relationship Id="rId116" Type="http://schemas.openxmlformats.org/officeDocument/2006/relationships/hyperlink" Target="https://www.wiwo.de/politik/deutschland/140-millionen-euro-teures-luftabwehrsystem-ukraine-erwartet-im-oktober-erste-iris-t-lieferung/28393480.html.%20https:/mil.in.ua/en/news/iris-t-slm-medium-range-air-defense-system-germany-released-an-updated-list-of-weapons-for-ukraine/" TargetMode="External"/><Relationship Id="rId158" Type="http://schemas.openxmlformats.org/officeDocument/2006/relationships/hyperlink" Target="https://www.alibaba.com/product-detail/Dust-and-Water-Proof-Military-Radio_62087839225.html?spm=a2700.7724857.normal_offer.d_title.6a042a44heUWWl" TargetMode="External"/><Relationship Id="rId323" Type="http://schemas.openxmlformats.org/officeDocument/2006/relationships/hyperlink" Target="http://www.military-today.com/firearms/m72_law.htm" TargetMode="External"/><Relationship Id="rId20" Type="http://schemas.openxmlformats.org/officeDocument/2006/relationships/hyperlink" Target="http://www.military-today.com/firearms/mg3.htm" TargetMode="External"/><Relationship Id="rId62" Type="http://schemas.openxmlformats.org/officeDocument/2006/relationships/hyperlink" Target="https://www.dsca.mil/sites/default/files/mas/jordan_15-02.pdf" TargetMode="External"/><Relationship Id="rId365" Type="http://schemas.openxmlformats.org/officeDocument/2006/relationships/hyperlink" Target="https://www.amazon.de/Bauschlauch-Feuerwehrschlauch-C-Storz-Schlauch-Industrieschlauch/dp/B07VS3J1FD/ref=asc_df_B07VS3J1FD/?tag=googshopde-21&amp;linkCode=df0&amp;hvadid=427668035407&amp;hvpos=&amp;hvnetw=g&amp;hvrand=1020688947190500949&amp;hvpone=&amp;hvptwo=&amp;hvqmt=&amp;hvdev=c&amp;hvdvcmdl=&amp;hvlocint=&amp;hvlocphy=1004113&amp;hvtargid=pla-1106289525352&amp;psc=1&amp;th=1&amp;psc=1&amp;tag=&amp;ref=&amp;adgrpid=99764524455&amp;hvpone=&amp;hvptwo=&amp;hvadid=427668035407&amp;hvpos=&amp;hvnetw=g&amp;hvrand=1020688947190500949&amp;hvqmt=&amp;hvdev=c&amp;hvdvcmdl=&amp;hvlocint=&amp;hvlocphy=1004113&amp;hvtargid=pla-1106289525352" TargetMode="External"/><Relationship Id="rId225" Type="http://schemas.openxmlformats.org/officeDocument/2006/relationships/hyperlink" Target="https://www.military-today.com/artillery/m777.htm" TargetMode="External"/><Relationship Id="rId267" Type="http://schemas.openxmlformats.org/officeDocument/2006/relationships/hyperlink" Target="https://armstrade.sipri.org/armstrade/page/trade_register.php" TargetMode="External"/><Relationship Id="rId432" Type="http://schemas.openxmlformats.org/officeDocument/2006/relationships/hyperlink" Target="http://www.inetres.com/gp/military/cv/weapon/M242.html" TargetMode="External"/><Relationship Id="rId474" Type="http://schemas.openxmlformats.org/officeDocument/2006/relationships/hyperlink" Target="https://gagadget.com/en/136574-the-armored-group-has-received-a-23200000-order-to-supply-batt-umg-armored-vehicles-to-the-military-of-an-unnamed-eastern/" TargetMode="External"/><Relationship Id="rId127" Type="http://schemas.openxmlformats.org/officeDocument/2006/relationships/hyperlink" Target="https://www.drugs.com/price-guide/azithromycin-dose-pack" TargetMode="External"/><Relationship Id="rId31" Type="http://schemas.openxmlformats.org/officeDocument/2006/relationships/hyperlink" Target="https://www.bw-online-shop.com/outdoor/outdoorkueche/verpflegung/epa-einmannpackung-typ-2.html" TargetMode="External"/><Relationship Id="rId73" Type="http://schemas.openxmlformats.org/officeDocument/2006/relationships/hyperlink" Target="https://military-today.com/artillery/dana.htm" TargetMode="External"/><Relationship Id="rId169" Type="http://schemas.openxmlformats.org/officeDocument/2006/relationships/hyperlink" Target="https://www.extension.iastate.edu/agdm/crops/pdf/a1-20.pdf" TargetMode="External"/><Relationship Id="rId334" Type="http://schemas.openxmlformats.org/officeDocument/2006/relationships/hyperlink" Target="https://www.jpost.com/international/article-699010" TargetMode="External"/><Relationship Id="rId376" Type="http://schemas.openxmlformats.org/officeDocument/2006/relationships/hyperlink" Target="https://www.peterdutton.com.au/australia-to-provide-armoured-personnel-carriers-and-more-bushmasters-to-ukraine/" TargetMode="External"/><Relationship Id="rId4" Type="http://schemas.openxmlformats.org/officeDocument/2006/relationships/hyperlink" Target="https://en.wikipedia.org/wiki/M67_grenade" TargetMode="External"/><Relationship Id="rId180" Type="http://schemas.openxmlformats.org/officeDocument/2006/relationships/hyperlink" Target="https://bid.mod-sales.com/past-auctions/witham10068/lot-details/6d39eb58-c1df-41ce-8aa4-a9430101ac64" TargetMode="External"/><Relationship Id="rId236" Type="http://schemas.openxmlformats.org/officeDocument/2006/relationships/hyperlink" Target="https://armstrade.sipri.org/armstrade/page/trade_register.php" TargetMode="External"/><Relationship Id="rId278" Type="http://schemas.openxmlformats.org/officeDocument/2006/relationships/hyperlink" Target="https://en.wikipedia.org/wiki/Boeing_Insitu_ScanEagle" TargetMode="External"/><Relationship Id="rId401" Type="http://schemas.openxmlformats.org/officeDocument/2006/relationships/hyperlink" Target="https://www.worldsdailynews.com/how-much-does-an-ambulance-vehicle-cost/" TargetMode="External"/><Relationship Id="rId443" Type="http://schemas.openxmlformats.org/officeDocument/2006/relationships/hyperlink" Target="https://armstrade.sipri.org/armstrade/page/trade_register.php" TargetMode="External"/><Relationship Id="rId303" Type="http://schemas.openxmlformats.org/officeDocument/2006/relationships/hyperlink" Target="https://www.classic.com/m/toyota/pickup-hilux/year-1990/" TargetMode="External"/><Relationship Id="rId485" Type="http://schemas.openxmlformats.org/officeDocument/2006/relationships/hyperlink" Target="https://www.globalsecurity.org/military/world/europe/gepard.htm" TargetMode="External"/><Relationship Id="rId42" Type="http://schemas.openxmlformats.org/officeDocument/2006/relationships/hyperlink" Target="https://hcpresources.medtronic.com/blog/high-acuity-ventilator-cost-guide" TargetMode="External"/><Relationship Id="rId84" Type="http://schemas.openxmlformats.org/officeDocument/2006/relationships/hyperlink" Target="https://www.deagel.com/Combat%20Aircraft/Mi-24/a000751" TargetMode="External"/><Relationship Id="rId138" Type="http://schemas.openxmlformats.org/officeDocument/2006/relationships/hyperlink" Target="https://realestate.usnews.com/real-estate/articles/how-much-does-it-cost-to-buy-a-mobile-home" TargetMode="External"/><Relationship Id="rId345" Type="http://schemas.openxmlformats.org/officeDocument/2006/relationships/hyperlink" Target="https://www.canada.ca/en/department-national-defence/campaigns/canadian-military-support-to-ukraine.html" TargetMode="External"/><Relationship Id="rId387" Type="http://schemas.openxmlformats.org/officeDocument/2006/relationships/hyperlink" Target="https://www.truckpaper.com/listings/trucks/for-sale/list/manufacturer/oshkosh/model/m1070" TargetMode="External"/><Relationship Id="rId510" Type="http://schemas.openxmlformats.org/officeDocument/2006/relationships/hyperlink" Target="https://militaryleak.com/2021/01/28/hanwha-defense-awarded-454-million-to-supply-m3-amphibious-rig-to-republic-of-korea-army/" TargetMode="External"/><Relationship Id="rId191" Type="http://schemas.openxmlformats.org/officeDocument/2006/relationships/hyperlink" Target="https://twitter.com/armorybazaar/status/1076159928287473665" TargetMode="External"/><Relationship Id="rId205" Type="http://schemas.openxmlformats.org/officeDocument/2006/relationships/hyperlink" Target="https://www.ers.usda.gov/publications/pub-details/?pubid=43836" TargetMode="External"/><Relationship Id="rId247" Type="http://schemas.openxmlformats.org/officeDocument/2006/relationships/hyperlink" Target="https://www.ukrinform.net/rubric-ato/3491327-canada-to-give-ukraine-over-20000-155-mm-shells.html" TargetMode="External"/><Relationship Id="rId412" Type="http://schemas.openxmlformats.org/officeDocument/2006/relationships/hyperlink" Target="https://www.marketwatch.com/story/new-army-trucks-may-cost-350000-each-gao-2011-10-27" TargetMode="External"/><Relationship Id="rId107" Type="http://schemas.openxmlformats.org/officeDocument/2006/relationships/hyperlink" Target="https://www.globalpetrolprices.com/diesel_prices/" TargetMode="External"/><Relationship Id="rId289" Type="http://schemas.openxmlformats.org/officeDocument/2006/relationships/hyperlink" Target="https://www.aerzte-ohne-grenzen.de/sites/default/files/mediathek/entity/document/1998-01-bosnia-report-donation-practices.pdf" TargetMode="External"/><Relationship Id="rId454" Type="http://schemas.openxmlformats.org/officeDocument/2006/relationships/hyperlink" Target="https://uklandpower.com/2018/01/11/a-guide-to-modern-mortar-systems/" TargetMode="External"/><Relationship Id="rId496" Type="http://schemas.openxmlformats.org/officeDocument/2006/relationships/hyperlink" Target="https://eng.obozrevatel.com/section-war/news-cyberlux-k8-altius-600-and-jump-20-what-kind-of-combat-drones-are-in-the-new-us-aid-package-for-ukraine-06-03-2023.html" TargetMode="External"/><Relationship Id="rId11" Type="http://schemas.openxmlformats.org/officeDocument/2006/relationships/hyperlink" Target="https://www.amazon.de/s?k=liter+of+water&amp;crid=FSFX4B7W5MIB&amp;sprefix=liter+of+wate%2Caps%2C76&amp;ref=nb_sb_noss_2" TargetMode="External"/><Relationship Id="rId53" Type="http://schemas.openxmlformats.org/officeDocument/2006/relationships/hyperlink" Target="https://www.rockislandauction.com/detail/1039/2976/czech-uk-vz-59-semiautomatic-rifle" TargetMode="External"/><Relationship Id="rId149" Type="http://schemas.openxmlformats.org/officeDocument/2006/relationships/hyperlink" Target="https://www.ammograb.com/762x51mm-nato/" TargetMode="External"/><Relationship Id="rId314" Type="http://schemas.openxmlformats.org/officeDocument/2006/relationships/hyperlink" Target="https://www.amazon.com/s?k=surgical+gloves&amp;crid=339VHKCNRBO5O&amp;sprefix=surgical+glove%2Caps%2C200&amp;ref=nb_sb_noss_1" TargetMode="External"/><Relationship Id="rId356" Type="http://schemas.openxmlformats.org/officeDocument/2006/relationships/hyperlink" Target="https://www.jpost.com/international/article-699010" TargetMode="External"/><Relationship Id="rId398" Type="http://schemas.openxmlformats.org/officeDocument/2006/relationships/hyperlink" Target="https://www.sip.net/2022-new-forklift-price-how-much-you-can-expect-to-pay/" TargetMode="External"/><Relationship Id="rId521" Type="http://schemas.openxmlformats.org/officeDocument/2006/relationships/printerSettings" Target="../printerSettings/printerSettings37.bin"/><Relationship Id="rId95" Type="http://schemas.openxmlformats.org/officeDocument/2006/relationships/hyperlink" Target="https://www.marketwatch.com/story/new-army-trucks-may-cost-350000-each-gao-2011-10-27" TargetMode="External"/><Relationship Id="rId160" Type="http://schemas.openxmlformats.org/officeDocument/2006/relationships/hyperlink" Target="https://www.amazon.com/-/de/dp/B07SMXN8PR/ref=zg_bs_3413661_2/139-2167500-7694641?pd_rd_i=B09VBX2J8P&amp;th=1" TargetMode="External"/><Relationship Id="rId216" Type="http://schemas.openxmlformats.org/officeDocument/2006/relationships/hyperlink" Target="https://www.militarytimes.com/off-duty/gearscout/2012/04/21/u-s-army-places-order-for-24000-m4a1-carbines-with-remington/" TargetMode="External"/><Relationship Id="rId423" Type="http://schemas.openxmlformats.org/officeDocument/2006/relationships/hyperlink" Target="https://armstrade.sipri.org/armstrade/page/trade_register.php" TargetMode="External"/><Relationship Id="rId258" Type="http://schemas.openxmlformats.org/officeDocument/2006/relationships/hyperlink" Target="https://armstrade.sipri.org/armstrade/page/trade_register.php" TargetMode="External"/><Relationship Id="rId465" Type="http://schemas.openxmlformats.org/officeDocument/2006/relationships/hyperlink" Target="https://www.asafm.army.mil/Portals/72/Documents/BudgetMaterial/2023/Base%20Budget/Procurement/AMMO_ARMY.pdf" TargetMode="External"/><Relationship Id="rId22" Type="http://schemas.openxmlformats.org/officeDocument/2006/relationships/hyperlink" Target="https://engineerine.com/switchblade-will-turn-the-tide-in-ukraine/" TargetMode="External"/><Relationship Id="rId64" Type="http://schemas.openxmlformats.org/officeDocument/2006/relationships/hyperlink" Target="https://www.military-today.com/artillery/m777.htm" TargetMode="External"/><Relationship Id="rId118" Type="http://schemas.openxmlformats.org/officeDocument/2006/relationships/hyperlink" Target="https://nationalpost.com/news/canada/canadian-army-restricts-use-of-artillery-rounds-after-cracks-found-in-high-tech-shells-costing-150000-each" TargetMode="External"/><Relationship Id="rId325" Type="http://schemas.openxmlformats.org/officeDocument/2006/relationships/hyperlink" Target="https://www.excel-medical.com/why-are-hospital-beds-so-expensive/" TargetMode="External"/><Relationship Id="rId367" Type="http://schemas.openxmlformats.org/officeDocument/2006/relationships/hyperlink" Target="https://www.worldsdailynews.com/how-much-does-an-ambulance-vehicle-cost/" TargetMode="External"/><Relationship Id="rId171" Type="http://schemas.openxmlformats.org/officeDocument/2006/relationships/hyperlink" Target="https://www.navalnews.com/naval-news/2021/01/u-s-navy-will-not-replace-the-patrol-coastals-with-a-new-boat-of-similar-size-and-type/" TargetMode="External"/><Relationship Id="rId227" Type="http://schemas.openxmlformats.org/officeDocument/2006/relationships/hyperlink" Target="https://www.dw.com/en/ukraine-warns-russia-is-trying-to-split-country-in-two-as-it-happened/a-61271087" TargetMode="External"/><Relationship Id="rId269" Type="http://schemas.openxmlformats.org/officeDocument/2006/relationships/hyperlink" Target="https://edition.cnn.com/europe/live-news/russia-ukraine-war-news-08-25-22/index.html" TargetMode="External"/><Relationship Id="rId434" Type="http://schemas.openxmlformats.org/officeDocument/2006/relationships/hyperlink" Target="https://ledask.com/led-light-cost/" TargetMode="External"/><Relationship Id="rId476" Type="http://schemas.openxmlformats.org/officeDocument/2006/relationships/hyperlink" Target="https://www.marketwatch.com/story/new-army-trucks-may-cost-350000-each-gao-2011-10-27" TargetMode="External"/><Relationship Id="rId33" Type="http://schemas.openxmlformats.org/officeDocument/2006/relationships/hyperlink" Target="https://www.globalpetrolprices.com/gasoline_prices/%20;%20https:/aviationbenefits.org/environmental-efficiency/climate-action/sustainable-aviation-fuel/conversions-for-saf/" TargetMode="External"/><Relationship Id="rId129" Type="http://schemas.openxmlformats.org/officeDocument/2006/relationships/hyperlink" Target="https://www.amazon.com/Rubber-Boots/s?k=Rubber+Boots" TargetMode="External"/><Relationship Id="rId280" Type="http://schemas.openxmlformats.org/officeDocument/2006/relationships/hyperlink" Target="https://www.asafm.army.mil/Portals/72/Documents/BudgetMaterial/2021/Base%20Budget/Procurement/MSLS_FY_2021_PB_Missile_Procurement_Army.pdf" TargetMode="External"/><Relationship Id="rId336" Type="http://schemas.openxmlformats.org/officeDocument/2006/relationships/hyperlink" Target="https://www.axios.com/2022/05/28/us-awards-replenish-stinger-stock-ukraine" TargetMode="External"/><Relationship Id="rId501" Type="http://schemas.openxmlformats.org/officeDocument/2006/relationships/hyperlink" Target="https://armstrade.sipri.org/armstrade/page/trade_register.php" TargetMode="External"/><Relationship Id="rId75" Type="http://schemas.openxmlformats.org/officeDocument/2006/relationships/hyperlink" Target="https://bestsurvival.org/best-family-tent/" TargetMode="External"/><Relationship Id="rId140" Type="http://schemas.openxmlformats.org/officeDocument/2006/relationships/hyperlink" Target="https://www.strategypage.com/htmw/htweap/20141105.aspx" TargetMode="External"/><Relationship Id="rId182" Type="http://schemas.openxmlformats.org/officeDocument/2006/relationships/hyperlink" Target="https://www.amazon.com/s?k=kn95+face+masks&amp;sprefix=k%2Caps%2C169&amp;ref=nb_sb_ss_pltr-ranker-10hours_1_1" TargetMode="External"/><Relationship Id="rId378" Type="http://schemas.openxmlformats.org/officeDocument/2006/relationships/hyperlink" Target="https://www.augsburger-allgemeine.de/politik/bewaffnete-drohnen-bundeswehr-deutschland-heron-tp-flugkoerper-id62284321.html" TargetMode="External"/><Relationship Id="rId403" Type="http://schemas.openxmlformats.org/officeDocument/2006/relationships/hyperlink" Target="https://www.autoevolution.com/news/primoco-lands-7-million-order-for-its-one-150-unmanned-aerial-vehicle-203800.html" TargetMode="External"/><Relationship Id="rId6" Type="http://schemas.openxmlformats.org/officeDocument/2006/relationships/hyperlink" Target="https://www.globalpetrolprices.com/gasoline_prices/" TargetMode="External"/><Relationship Id="rId238" Type="http://schemas.openxmlformats.org/officeDocument/2006/relationships/hyperlink" Target="https://www.amazon.de/-/en/gp/bestsellers/sports/243115011" TargetMode="External"/><Relationship Id="rId445" Type="http://schemas.openxmlformats.org/officeDocument/2006/relationships/hyperlink" Target="https://www.airforce-technology.com/news/newsuae-orders-gm200-anti-aircraft-radar-systems-from-thales/" TargetMode="External"/><Relationship Id="rId487" Type="http://schemas.openxmlformats.org/officeDocument/2006/relationships/hyperlink" Target="https://www.canada.ca/en/department-national-defence/news/2022/05/defence-minister-anita-anand-announces-additional-military-aid-for-ukraine.html" TargetMode="External"/><Relationship Id="rId291" Type="http://schemas.openxmlformats.org/officeDocument/2006/relationships/hyperlink" Target="https://www.military-today.com/artillery/m777.htm" TargetMode="External"/><Relationship Id="rId305" Type="http://schemas.openxmlformats.org/officeDocument/2006/relationships/hyperlink" Target="https://www.crz.gov.sk/3819680/" TargetMode="External"/><Relationship Id="rId347" Type="http://schemas.openxmlformats.org/officeDocument/2006/relationships/hyperlink" Target="https://aerocorner.com/aircraft/kamov-ka-32a/" TargetMode="External"/><Relationship Id="rId512" Type="http://schemas.openxmlformats.org/officeDocument/2006/relationships/hyperlink" Target="https://www.polizeibedarf-dagdas.de/alle-kategorien/polizeibekleidung/polizei-einsatzkombis-overalls/12285/etzel-polizei-einsatzoverall?c=1543" TargetMode="External"/><Relationship Id="rId44" Type="http://schemas.openxmlformats.org/officeDocument/2006/relationships/hyperlink" Target="https://www.globalsecurity.org/military/systems/munitions/m112-c4.htm" TargetMode="External"/><Relationship Id="rId86" Type="http://schemas.openxmlformats.org/officeDocument/2006/relationships/hyperlink" Target="https://www.defensenews.com/land/2016/12/15/poland-orders-howitzers-in-1-1b-artillery-deal/" TargetMode="External"/><Relationship Id="rId151" Type="http://schemas.openxmlformats.org/officeDocument/2006/relationships/hyperlink" Target="https://www.ammograb.com/762x51mm-nato/" TargetMode="External"/><Relationship Id="rId389" Type="http://schemas.openxmlformats.org/officeDocument/2006/relationships/hyperlink" Target="http://www.army-guide.com/eng/product4033.html" TargetMode="External"/><Relationship Id="rId193" Type="http://schemas.openxmlformats.org/officeDocument/2006/relationships/hyperlink" Target="https://www.thedefensepost.com/2022/05/03/lockheed-ramp-up-javelin-production/" TargetMode="External"/><Relationship Id="rId207" Type="http://schemas.openxmlformats.org/officeDocument/2006/relationships/hyperlink" Target="https://es.wikipedia.org/wiki/RG-31_Nyala" TargetMode="External"/><Relationship Id="rId249" Type="http://schemas.openxmlformats.org/officeDocument/2006/relationships/hyperlink" Target="https://nationalpost.com/news/canada/canadian-army-restricts-use-of-artillery-rounds-after-cracks-found-in-high-tech-shells-costing-150000-each" TargetMode="External"/><Relationship Id="rId414" Type="http://schemas.openxmlformats.org/officeDocument/2006/relationships/hyperlink" Target="https://www.welt.de/politik/ausland/article241106455/Waffenhilfe-Deutschland-liefert-weitere-Geschuetze-an-die-Ukraine.html?cid=socialmedia.twitter.shared.web&amp;wtrid=socialmedia.socialflow....socialflow_twitter" TargetMode="External"/><Relationship Id="rId456" Type="http://schemas.openxmlformats.org/officeDocument/2006/relationships/hyperlink" Target="https://www.asafm.army.mil/Portals/72/Documents/BudgetMaterial/2021/Base%20Budget/Procurement/MSLS_FY_2021_PB_Missile_Procurement_Army.pdf" TargetMode="External"/><Relationship Id="rId498" Type="http://schemas.openxmlformats.org/officeDocument/2006/relationships/hyperlink" Target="https://www.defensenews.com/land/2022/08/19/army-taps-aerovironments-jump-20-to-replace-shadow-uas/" TargetMode="External"/><Relationship Id="rId13" Type="http://schemas.openxmlformats.org/officeDocument/2006/relationships/hyperlink" Target="https://firefighterinsider.com/fire-truck-engine-apparatus-cost/" TargetMode="External"/><Relationship Id="rId109" Type="http://schemas.openxmlformats.org/officeDocument/2006/relationships/hyperlink" Target="https://www.bw-online-shop.com/outdoor/outdoorkueche/verpflegung/epa-einmannpackung-typ-2.html" TargetMode="External"/><Relationship Id="rId260" Type="http://schemas.openxmlformats.org/officeDocument/2006/relationships/hyperlink" Target="https://armstrade.sipri.org/armstrade/page/trade_register.php" TargetMode="External"/><Relationship Id="rId316" Type="http://schemas.openxmlformats.org/officeDocument/2006/relationships/hyperlink" Target="https://www.bw-online-shop.com/outdoor/outdoorkueche/verpflegung/epa-einmannpackung-typ-2.html" TargetMode="External"/><Relationship Id="rId55" Type="http://schemas.openxmlformats.org/officeDocument/2006/relationships/hyperlink" Target="https://truegunvalue.com/pistol/cz-82/price-historical-value" TargetMode="External"/><Relationship Id="rId97" Type="http://schemas.openxmlformats.org/officeDocument/2006/relationships/hyperlink" Target="https://sofrep.com/news/an-introduction-to-the-an-mpq-64-sentinel-aerial-surveillance-radar-ukraine-is-getting-from-the-us/" TargetMode="External"/><Relationship Id="rId120" Type="http://schemas.openxmlformats.org/officeDocument/2006/relationships/hyperlink" Target="https://www.defensenews.com/land/2016/12/21/poland-awards-220m-short-range-air-defense-deal/" TargetMode="External"/><Relationship Id="rId358" Type="http://schemas.openxmlformats.org/officeDocument/2006/relationships/hyperlink" Target="https://www.amazon.com/s?k=surgical+mask&amp;crid=1ROTDHJDQISW0&amp;sprefix=surgical+mas%2Caps%2C175&amp;ref=nb_sb_noss_2" TargetMode="External"/><Relationship Id="rId162" Type="http://schemas.openxmlformats.org/officeDocument/2006/relationships/hyperlink" Target="https://nationalpost.com/news/canada/canadian-army-restricts-use-of-artillery-rounds-after-cracks-found-in-high-tech-shells-costing-150000-each" TargetMode="External"/><Relationship Id="rId218" Type="http://schemas.openxmlformats.org/officeDocument/2006/relationships/hyperlink" Target="http://www.military-today.com/artillery/fh_70.htm" TargetMode="External"/><Relationship Id="rId425" Type="http://schemas.openxmlformats.org/officeDocument/2006/relationships/hyperlink" Target="http://www.army-guide.com/eng/product3249.html" TargetMode="External"/><Relationship Id="rId467" Type="http://schemas.openxmlformats.org/officeDocument/2006/relationships/hyperlink" Target="https://www.defensenews.com/global/europe/2022/04/05/poland-signs-475-billion-abrams-tank-deal-as-russias-war-speeds-procurements/" TargetMode="External"/><Relationship Id="rId271" Type="http://schemas.openxmlformats.org/officeDocument/2006/relationships/hyperlink" Target="https://en.wikipedia.org/wiki/M240_machine_gun" TargetMode="External"/><Relationship Id="rId24" Type="http://schemas.openxmlformats.org/officeDocument/2006/relationships/hyperlink" Target="https://www.amazon.com/s?k=surgical+gloves&amp;crid=339VHKCNRBO5O&amp;sprefix=surgical+glove%2Caps%2C200&amp;ref=nb_sb_noss_1" TargetMode="External"/><Relationship Id="rId66" Type="http://schemas.openxmlformats.org/officeDocument/2006/relationships/hyperlink" Target="https://www.defense.gov/News/Contracts/Contract/Article/1561988/" TargetMode="External"/><Relationship Id="rId131" Type="http://schemas.openxmlformats.org/officeDocument/2006/relationships/hyperlink" Target="https://www.dsca.mil/press-media/major-arms-sales/finland-guided-multiple-launch-rocket-system-gmlrs-m31a1-unitary-and" TargetMode="External"/><Relationship Id="rId327" Type="http://schemas.openxmlformats.org/officeDocument/2006/relationships/hyperlink" Target="https://en.wikipedia.org/wiki/M240_machine_gun" TargetMode="External"/><Relationship Id="rId369" Type="http://schemas.openxmlformats.org/officeDocument/2006/relationships/hyperlink" Target="https://en.wikipedia.org/wiki/Advanced_Precision_Kill_Weapon_System" TargetMode="External"/><Relationship Id="rId173" Type="http://schemas.openxmlformats.org/officeDocument/2006/relationships/hyperlink" Target="https://www.outlookindia.com/website/story/india-news-iafs-mi-17v5-all-about-helicopter-that-crashed-carrying-india-first-cds-bipin-rawat/404303" TargetMode="External"/><Relationship Id="rId229" Type="http://schemas.openxmlformats.org/officeDocument/2006/relationships/hyperlink" Target="https://www.alibaba.com/showroom/basics-shoes-online.html" TargetMode="External"/><Relationship Id="rId380" Type="http://schemas.openxmlformats.org/officeDocument/2006/relationships/hyperlink" Target="https://armstrade.sipri.org/armstrade/page/trade_register.php" TargetMode="External"/><Relationship Id="rId436" Type="http://schemas.openxmlformats.org/officeDocument/2006/relationships/hyperlink" Target="https://www.truck1.eu/trucks/box-trucks/volvo-n10-ex-army-a3882736.html" TargetMode="External"/><Relationship Id="rId240" Type="http://schemas.openxmlformats.org/officeDocument/2006/relationships/hyperlink" Target="https://www.dsca.mil/press-media/major-arms-sales/finland-guided-multiple-launch-rocket-system-gmlrs-m31a1-unitary-and" TargetMode="External"/><Relationship Id="rId478" Type="http://schemas.openxmlformats.org/officeDocument/2006/relationships/hyperlink" Target="https://de.ileq.shop/peli-094900-0000-110e-9490-remote-area-lighting-system-black.html" TargetMode="External"/><Relationship Id="rId35" Type="http://schemas.openxmlformats.org/officeDocument/2006/relationships/hyperlink" Target="https://www.wikiwand.com/en/RPG-22" TargetMode="External"/><Relationship Id="rId77" Type="http://schemas.openxmlformats.org/officeDocument/2006/relationships/hyperlink" Target="https://www.armynavyshop.com/SRCH.html" TargetMode="External"/><Relationship Id="rId100" Type="http://schemas.openxmlformats.org/officeDocument/2006/relationships/hyperlink" Target="https://tvpworld.com/37474331/polish-army-to-receive-100-drones-in-2018" TargetMode="External"/><Relationship Id="rId282" Type="http://schemas.openxmlformats.org/officeDocument/2006/relationships/hyperlink" Target="http://www.army-guide.com/eng/product4033.html" TargetMode="External"/><Relationship Id="rId338" Type="http://schemas.openxmlformats.org/officeDocument/2006/relationships/hyperlink" Target="https://www.best-osmosis-systems.com/water-filtration-system-cost/" TargetMode="External"/><Relationship Id="rId503" Type="http://schemas.openxmlformats.org/officeDocument/2006/relationships/hyperlink" Target="http://web.archive.org/web/20210106193535mp_/https:/www.theparking.eu/used-cars/land-rover-wolf.html" TargetMode="External"/><Relationship Id="rId8" Type="http://schemas.openxmlformats.org/officeDocument/2006/relationships/hyperlink" Target="https://truegunvalue.com/rifle/ak-47/price-historical-value" TargetMode="External"/><Relationship Id="rId142" Type="http://schemas.openxmlformats.org/officeDocument/2006/relationships/hyperlink" Target="https://www.gadgetreview.com/computer-monitor-cost" TargetMode="External"/><Relationship Id="rId184" Type="http://schemas.openxmlformats.org/officeDocument/2006/relationships/hyperlink" Target="https://www.amazon.de/Betten-Schlafzimmer-Wohnen-Lifestyle/b?ie=UTF8&amp;node=343465011" TargetMode="External"/><Relationship Id="rId391" Type="http://schemas.openxmlformats.org/officeDocument/2006/relationships/hyperlink" Target="https://armstrade.sipri.org/armstrade/page/trade_register.php" TargetMode="External"/><Relationship Id="rId405" Type="http://schemas.openxmlformats.org/officeDocument/2006/relationships/hyperlink" Target="https://armstrade.sipri.org/armstrade/page/trade_register.php" TargetMode="External"/><Relationship Id="rId447" Type="http://schemas.openxmlformats.org/officeDocument/2006/relationships/hyperlink" Target="https://comptroller.defense.gov/Portals/45/Documents/defbudget/fy2021/fy2021_p1.pdf" TargetMode="External"/><Relationship Id="rId251" Type="http://schemas.openxmlformats.org/officeDocument/2006/relationships/hyperlink" Target="https://gagadget.com/en/war/145017-ukrainian-military-launch-of-one-himars-missile-costs-150000-and-a-full-launch-costs-1000000/" TargetMode="External"/><Relationship Id="rId489" Type="http://schemas.openxmlformats.org/officeDocument/2006/relationships/hyperlink" Target="https://defence.az/en/news/152185/estonian-defence-forces-to-receive-18,000-lmt-defense-r20-rahe-assault-rifles-in-2021" TargetMode="External"/><Relationship Id="rId46" Type="http://schemas.openxmlformats.org/officeDocument/2006/relationships/hyperlink" Target="https://www.amazon.com/Best-Sellers-Medical-Safety-Goggles/zgbs/industrial/11312320011" TargetMode="External"/><Relationship Id="rId293" Type="http://schemas.openxmlformats.org/officeDocument/2006/relationships/hyperlink" Target="https://www.asafm.army.mil/Portals/72/Documents/BudgetMaterial/2021/Base%20Budget/Procurement/MSLS_FY_2021_PB_Missile_Procurement_Army.pdf" TargetMode="External"/><Relationship Id="rId307" Type="http://schemas.openxmlformats.org/officeDocument/2006/relationships/hyperlink" Target="https://publications.parliament.uk/pa/cm201011/cmhansrd/cm110517/text/110517w0001.htm" TargetMode="External"/><Relationship Id="rId349" Type="http://schemas.openxmlformats.org/officeDocument/2006/relationships/hyperlink" Target="https://www.asafm.army.mil/Portals/72/Documents/BudgetMaterial/2023/Base%20Budget/Procurement/MSLS_ARMY.pdf" TargetMode="External"/><Relationship Id="rId514" Type="http://schemas.openxmlformats.org/officeDocument/2006/relationships/hyperlink" Target="https://www.man.eu/topused/de/de/fahrzeugsuche/vehicledetail.html?id=17199851" TargetMode="External"/><Relationship Id="rId88" Type="http://schemas.openxmlformats.org/officeDocument/2006/relationships/hyperlink" Target="https://www.amazon.com/-/de/dp/B08FXVMBX2/ref=sr_1_7?keywords=hygiene+kit&amp;qid=1654184235&amp;sr=8-7" TargetMode="External"/><Relationship Id="rId111" Type="http://schemas.openxmlformats.org/officeDocument/2006/relationships/hyperlink" Target="https://tapportals.mk.gov.lv/legal_acts/4cc2e5ed-8d7f-4052-8aaa-9a3a1d472b7d" TargetMode="External"/><Relationship Id="rId153" Type="http://schemas.openxmlformats.org/officeDocument/2006/relationships/hyperlink" Target="https://www.statista.com/statistics/722992/worldwide-personal-computers-average-selling-price/" TargetMode="External"/><Relationship Id="rId195" Type="http://schemas.openxmlformats.org/officeDocument/2006/relationships/hyperlink" Target="https://en.wikipedia.org/wiki/FIM-92_Stinger" TargetMode="External"/><Relationship Id="rId209" Type="http://schemas.openxmlformats.org/officeDocument/2006/relationships/hyperlink" Target="https://www.strategypage.com/htmw/htweap/articles/20110330.aspx" TargetMode="External"/><Relationship Id="rId360" Type="http://schemas.openxmlformats.org/officeDocument/2006/relationships/hyperlink" Target="https://www.bw-online-shop.com/outdoor/outdoorkueche/verpflegung/epa-einmannpackung-typ-2.html" TargetMode="External"/><Relationship Id="rId416" Type="http://schemas.openxmlformats.org/officeDocument/2006/relationships/hyperlink" Target="https://www.gov.uk/government/speeches/defence-secretary-oral-statement-on-war-in-ukraine--2" TargetMode="External"/><Relationship Id="rId220" Type="http://schemas.openxmlformats.org/officeDocument/2006/relationships/hyperlink" Target="https://armstrade.sipri.org/armstrade/page/trade_register.php" TargetMode="External"/><Relationship Id="rId458" Type="http://schemas.openxmlformats.org/officeDocument/2006/relationships/hyperlink" Target="https://armstrade.sipri.org/armstrade/page/trade_register.php" TargetMode="External"/><Relationship Id="rId15" Type="http://schemas.openxmlformats.org/officeDocument/2006/relationships/hyperlink" Target="https://www.aerzte-ohne-grenzen.de/sites/default/files/mediathek/entity/document/1998-01-bosnia-report-donation-practices.pdf" TargetMode="External"/><Relationship Id="rId57" Type="http://schemas.openxmlformats.org/officeDocument/2006/relationships/hyperlink" Target="https://www.deagel.com/Tactical%20Vehicles/ANTPQ-36/a000601" TargetMode="External"/><Relationship Id="rId262" Type="http://schemas.openxmlformats.org/officeDocument/2006/relationships/hyperlink" Target="https://armstrade.sipri.org/armstrade/page/trade_register.php" TargetMode="External"/><Relationship Id="rId318" Type="http://schemas.openxmlformats.org/officeDocument/2006/relationships/hyperlink" Target="https://www.jpost.com/opinion/op-ed-contributors/bankrupting-terrorism-one-interception-at-a-time" TargetMode="External"/><Relationship Id="rId99" Type="http://schemas.openxmlformats.org/officeDocument/2006/relationships/hyperlink" Target="http://www.army-guide.com/eng/product1033.html" TargetMode="External"/><Relationship Id="rId122" Type="http://schemas.openxmlformats.org/officeDocument/2006/relationships/hyperlink" Target="https://mezha.media/en/2022/04/02/together-with-switchblades-drones-the-u-s-will-provide-ukraine-with-the-rq-20-puma-unmanned-aerial-vehicles/" TargetMode="External"/><Relationship Id="rId164" Type="http://schemas.openxmlformats.org/officeDocument/2006/relationships/hyperlink" Target="https://www.augsburger-allgemeine.de/politik/bewaffnete-drohnen-bundeswehr-deutschland-heron-tp-flugkoerper-id62284321.html" TargetMode="External"/><Relationship Id="rId371" Type="http://schemas.openxmlformats.org/officeDocument/2006/relationships/hyperlink" Target="https://www.marketwatch.com/story/new-army-trucks-may-cost-350000-each-gao-2011-10-27" TargetMode="External"/><Relationship Id="rId427" Type="http://schemas.openxmlformats.org/officeDocument/2006/relationships/hyperlink" Target="https://truckandtrailerleads.com/military-lowboy-trailer-a-comprehensive-guide-to-buying-and-using-a-truck-with-a-lowboy-trailer/" TargetMode="External"/><Relationship Id="rId469" Type="http://schemas.openxmlformats.org/officeDocument/2006/relationships/hyperlink" Target="https://armstrade.sipri.org/armstrade/page/trade_register.php" TargetMode="External"/><Relationship Id="rId26" Type="http://schemas.openxmlformats.org/officeDocument/2006/relationships/hyperlink" Target="https://www.amazon.com/s?k=surgical+mask&amp;crid=1ROTDHJDQISW0&amp;sprefix=surgical+mas%2Caps%2C175&amp;ref=nb_sb_noss_2" TargetMode="External"/><Relationship Id="rId231" Type="http://schemas.openxmlformats.org/officeDocument/2006/relationships/hyperlink" Target="https://armstrade.sipri.org/armstrade/page/trade_register.php" TargetMode="External"/><Relationship Id="rId273" Type="http://schemas.openxmlformats.org/officeDocument/2006/relationships/hyperlink" Target="http://www.military-today.com/apc/kirpi.htm" TargetMode="External"/><Relationship Id="rId329" Type="http://schemas.openxmlformats.org/officeDocument/2006/relationships/hyperlink" Target="https://engineerine.com/switchblade-will-turn-the-tide-in-ukraine/" TargetMode="External"/><Relationship Id="rId480" Type="http://schemas.openxmlformats.org/officeDocument/2006/relationships/hyperlink" Target="https://www.asafm.army.mil/Portals/72/Documents/BudgetMaterial/2023/Base%20Budget/Procurement/AMMO_ARMY.pdf" TargetMode="External"/><Relationship Id="rId68" Type="http://schemas.openxmlformats.org/officeDocument/2006/relationships/hyperlink" Target="https://en.wikipedia.org/wiki/FIM-92_Stinger" TargetMode="External"/><Relationship Id="rId133" Type="http://schemas.openxmlformats.org/officeDocument/2006/relationships/hyperlink" Target="https://www.paho.org/sites/default/files/RF-SyringePrices-2016-2017-e.pdf" TargetMode="External"/><Relationship Id="rId175" Type="http://schemas.openxmlformats.org/officeDocument/2006/relationships/hyperlink" Target="https://www.army-technology.com/projects/mistral-missile/" TargetMode="External"/><Relationship Id="rId340" Type="http://schemas.openxmlformats.org/officeDocument/2006/relationships/hyperlink" Target="https://www.armormax.com/blog/how-much-does-a-bulletproof-car-cost/" TargetMode="External"/><Relationship Id="rId200" Type="http://schemas.openxmlformats.org/officeDocument/2006/relationships/hyperlink" Target="https://www.caranddriver.com/jeep/wrangler" TargetMode="External"/><Relationship Id="rId382" Type="http://schemas.openxmlformats.org/officeDocument/2006/relationships/hyperlink" Target="https://www.washingtonpost.com/politics/2022/04/08/us-quietly-paying-millions-send-starlink-terminals-ukraine-contrary-spacexs-claims/" TargetMode="External"/><Relationship Id="rId438" Type="http://schemas.openxmlformats.org/officeDocument/2006/relationships/hyperlink" Target="https://armstrade.sipri.org/armstrade/page/trade_register.php" TargetMode="External"/><Relationship Id="rId242" Type="http://schemas.openxmlformats.org/officeDocument/2006/relationships/hyperlink" Target="https://www.marketwatch.com/story/new-army-trucks-may-cost-350000-each-gao-2011-10-27" TargetMode="External"/><Relationship Id="rId284" Type="http://schemas.openxmlformats.org/officeDocument/2006/relationships/hyperlink" Target="https://www.elindependiente.com/espana/2022/03/03/estas-son-las-armas-que-mandara-espana-a-la-resistencia-ucraniana-en-el-primer-envio/" TargetMode="External"/><Relationship Id="rId491" Type="http://schemas.openxmlformats.org/officeDocument/2006/relationships/hyperlink" Target="https://www.deagel.com/Armies/Valuk%206x6/a000608" TargetMode="External"/><Relationship Id="rId505" Type="http://schemas.openxmlformats.org/officeDocument/2006/relationships/hyperlink" Target="https://armstrade.sipri.org/armstrade/page/trade_register.php" TargetMode="External"/><Relationship Id="rId37" Type="http://schemas.openxmlformats.org/officeDocument/2006/relationships/hyperlink" Target="https://survivalfreedom.com/how-much-does-ammo-cost-detailed-price-analysis/" TargetMode="External"/><Relationship Id="rId79" Type="http://schemas.openxmlformats.org/officeDocument/2006/relationships/hyperlink" Target="https://armstrade.sipri.org/armstrade/page/trade_register.php" TargetMode="External"/><Relationship Id="rId102" Type="http://schemas.openxmlformats.org/officeDocument/2006/relationships/hyperlink" Target="https://www.businessinsider.com/armored-car-inkas-sentry-civilian-bulletproof-suv-military-price-2020-9" TargetMode="External"/><Relationship Id="rId144" Type="http://schemas.openxmlformats.org/officeDocument/2006/relationships/hyperlink" Target="https://a5250379796602ad.en.made-in-china.com/product/oSpQOGHuhFYR/China-Portable-Ground-Surveillance-Radar-for-Border-Surveillance.html" TargetMode="External"/><Relationship Id="rId90" Type="http://schemas.openxmlformats.org/officeDocument/2006/relationships/hyperlink" Target="https://www.marketwatch.com/story/new-army-trucks-may-cost-350000-each-gao-2011-10-27" TargetMode="External"/><Relationship Id="rId186" Type="http://schemas.openxmlformats.org/officeDocument/2006/relationships/hyperlink" Target="https://www.canada.ca/en/department-national-defence/news/2022/05/defence-minister-anita-anand-announces-additional-military-aid-for-ukraine.html" TargetMode="External"/><Relationship Id="rId351" Type="http://schemas.openxmlformats.org/officeDocument/2006/relationships/hyperlink" Target="http://www.cgri.gr/435833_69-0/MITOS2.HTM" TargetMode="External"/><Relationship Id="rId393" Type="http://schemas.openxmlformats.org/officeDocument/2006/relationships/hyperlink" Target="https://www.ojp.gov/pdffiles1/nij/189725.pdf" TargetMode="External"/><Relationship Id="rId407" Type="http://schemas.openxmlformats.org/officeDocument/2006/relationships/hyperlink" Target="https://mezha.media/en/2022/11/24/mim-104-patriot-air-defense-poland/" TargetMode="External"/><Relationship Id="rId449" Type="http://schemas.openxmlformats.org/officeDocument/2006/relationships/hyperlink" Target="https://armstrade.sipri.org/armstrade/page/trade_register.php" TargetMode="External"/><Relationship Id="rId211" Type="http://schemas.openxmlformats.org/officeDocument/2006/relationships/hyperlink" Target="https://truegunvalue.com/pistol/805-bren/price-historical-value" TargetMode="External"/><Relationship Id="rId253" Type="http://schemas.openxmlformats.org/officeDocument/2006/relationships/hyperlink" Target="https://www.ammunitiondepot.com/304-762x39mm" TargetMode="External"/><Relationship Id="rId295" Type="http://schemas.openxmlformats.org/officeDocument/2006/relationships/hyperlink" Target="https://foreignpolicy.com/2009/12/31/observation-of-the-day-on-brewing-coffee-with-c4/" TargetMode="External"/><Relationship Id="rId309" Type="http://schemas.openxmlformats.org/officeDocument/2006/relationships/hyperlink" Target="https://www.thetimes.co.uk/article/15m-army-drones-grounded-by-rain-rnbfsnq23" TargetMode="External"/><Relationship Id="rId460" Type="http://schemas.openxmlformats.org/officeDocument/2006/relationships/hyperlink" Target="https://armstrade.sipri.org/armstrade/page/trade_register.php" TargetMode="External"/><Relationship Id="rId516" Type="http://schemas.openxmlformats.org/officeDocument/2006/relationships/hyperlink" Target="https://www.canada.ca/en/department-national-defence/news/2023/04/defence-minister-anita-anand-announces-approximately-39-million-military-aid-package-for-ukraine.html" TargetMode="External"/><Relationship Id="rId48" Type="http://schemas.openxmlformats.org/officeDocument/2006/relationships/hyperlink" Target="https://www.amazon.de/s?k=liter+of+water&amp;crid=FSFX4B7W5MIB&amp;sprefix=liter+of+wate%2Caps%2C76&amp;ref=nb_sb_noss_2" TargetMode="External"/><Relationship Id="rId113" Type="http://schemas.openxmlformats.org/officeDocument/2006/relationships/hyperlink" Target="https://www.armyrecognition.com/defense_news_january_2021_global_security_army_industry/first_iveco_lmv_2_nec_armored_vehicles_enter_service_with_italian_army.html" TargetMode="External"/><Relationship Id="rId320" Type="http://schemas.openxmlformats.org/officeDocument/2006/relationships/hyperlink" Target="https://www.kyivpost.com/ukraine-politics/u-s-donates-2500-night-vision-devices-ukraines-armed-forces-video.html" TargetMode="External"/><Relationship Id="rId155" Type="http://schemas.openxmlformats.org/officeDocument/2006/relationships/hyperlink" Target="https://www.jpost.com/opinion/op-ed-contributors/bankrupting-terrorism-one-interception-at-a-time" TargetMode="External"/><Relationship Id="rId197" Type="http://schemas.openxmlformats.org/officeDocument/2006/relationships/hyperlink" Target="https://www.canada.ca/en/department-national-defence/news/2022/05/defence-minister-anita-anand-announces-additional-military-aid-for-ukraine.html" TargetMode="External"/><Relationship Id="rId362" Type="http://schemas.openxmlformats.org/officeDocument/2006/relationships/hyperlink" Target="https://www.varusteleka.com/en/product/field-phone-cable-100-m-300-surplus/70446" TargetMode="External"/><Relationship Id="rId418" Type="http://schemas.openxmlformats.org/officeDocument/2006/relationships/hyperlink" Target="https://en.wikipedia.org/wiki/Archer_Artillery_System" TargetMode="External"/><Relationship Id="rId222" Type="http://schemas.openxmlformats.org/officeDocument/2006/relationships/hyperlink" Target="https://foreignpolicy.com/2009/12/31/observation-of-the-day-on-brewing-coffee-with-c4/" TargetMode="External"/><Relationship Id="rId264" Type="http://schemas.openxmlformats.org/officeDocument/2006/relationships/hyperlink" Target="https://books.google.de/books?id=8J43AAAAIAAJ&amp;pg=PA4558&amp;lpg=PA4558&amp;dq=oerlikon+35+mm+ammunition+cost&amp;source=bl&amp;ots=AckNN2-QzT&amp;sig=ACfU3U3R0hGRH6Ksb8A4zR7RyTB_hML2MA&amp;hl=en&amp;sa=X&amp;ved=2ahUKEwjhucjeza35AhXvMuwKHbDKC1YQ6AF6BAg_EAM" TargetMode="External"/><Relationship Id="rId471" Type="http://schemas.openxmlformats.org/officeDocument/2006/relationships/hyperlink" Target="https://bangladeshdefence.blogspot.com/2010/11/missile-price-list.html" TargetMode="External"/><Relationship Id="rId17" Type="http://schemas.openxmlformats.org/officeDocument/2006/relationships/hyperlink" Target="https://www.amazon.de/disinfectant-spray/s?k=disinfectant+spray" TargetMode="External"/><Relationship Id="rId59" Type="http://schemas.openxmlformats.org/officeDocument/2006/relationships/hyperlink" Target="https://www.thedefensepost.com/2022/05/03/lockheed-ramp-up-javelin-production/" TargetMode="External"/><Relationship Id="rId124" Type="http://schemas.openxmlformats.org/officeDocument/2006/relationships/hyperlink" Target="https://tanks-encyclopedia.com/modern/south_africa/mamba_apc" TargetMode="External"/><Relationship Id="rId70" Type="http://schemas.openxmlformats.org/officeDocument/2006/relationships/hyperlink" Target="https://www.wienerzeitung.at/nachrichten/politik/oesterreich/2146418-Oesterreich-schickte-Ukraine-Armeeausruestung.html" TargetMode="External"/><Relationship Id="rId166" Type="http://schemas.openxmlformats.org/officeDocument/2006/relationships/hyperlink" Target="https://www.docmorris.de/fastjekt-300-g-autoinjektor-injlsgim/09738902" TargetMode="External"/><Relationship Id="rId331" Type="http://schemas.openxmlformats.org/officeDocument/2006/relationships/hyperlink" Target="https://weaponsystems.net/system/475-Barrett+M82" TargetMode="External"/><Relationship Id="rId373" Type="http://schemas.openxmlformats.org/officeDocument/2006/relationships/hyperlink" Target="https://a5250379796602ad.en.made-in-china.com/product/oSpQOGHuhFYR/China-Portable-Ground-Surveillance-Radar-for-Border-Surveillance.html" TargetMode="External"/><Relationship Id="rId429" Type="http://schemas.openxmlformats.org/officeDocument/2006/relationships/hyperlink" Target="https://www.militaryaerospace.com/sensors/article/14196524/electrooptical-targeting-attack-helicopters" TargetMode="External"/><Relationship Id="rId1" Type="http://schemas.openxmlformats.org/officeDocument/2006/relationships/hyperlink" Target="https://www.jpost.com/international/article-699010" TargetMode="External"/><Relationship Id="rId233" Type="http://schemas.openxmlformats.org/officeDocument/2006/relationships/hyperlink" Target="https://armstrade.sipri.org/armstrade/page/trade_register.php" TargetMode="External"/><Relationship Id="rId440" Type="http://schemas.openxmlformats.org/officeDocument/2006/relationships/hyperlink" Target="https://armstrade.sipri.org/armstrade/page/trade_register.php" TargetMode="External"/><Relationship Id="rId28" Type="http://schemas.openxmlformats.org/officeDocument/2006/relationships/hyperlink" Target="https://www.newsy.com/stories/how-much-money-should-you-actually-be-investing-in-a-winter-coat/" TargetMode="External"/><Relationship Id="rId275" Type="http://schemas.openxmlformats.org/officeDocument/2006/relationships/hyperlink" Target="https://en.wikipedia.org/wiki/AIM-120_AMRAAM" TargetMode="External"/><Relationship Id="rId300" Type="http://schemas.openxmlformats.org/officeDocument/2006/relationships/hyperlink" Target="https://www.thedrive.com/the-war-zone/32277/here-is-what-each-of-the-pentagons-air-launched-missiles-and-bombs-actually-cost" TargetMode="External"/><Relationship Id="rId482" Type="http://schemas.openxmlformats.org/officeDocument/2006/relationships/hyperlink" Target="https://www.asafm.army.mil/Portals/72/Documents/BudgetMaterial/2023/Base%20Budget/Procurement/AMMO_ARMY.pdf" TargetMode="External"/><Relationship Id="rId81" Type="http://schemas.openxmlformats.org/officeDocument/2006/relationships/hyperlink" Target="https://www.peterdutton.com.au/australia-to-provide-armoured-personnel-carriers-and-more-bushmasters-to-ukraine/" TargetMode="External"/><Relationship Id="rId135" Type="http://schemas.openxmlformats.org/officeDocument/2006/relationships/hyperlink" Target="https://www.forbes.com/home-improvement/electrical/generator-cost-guide/" TargetMode="External"/><Relationship Id="rId177" Type="http://schemas.openxmlformats.org/officeDocument/2006/relationships/hyperlink" Target="https://www.deagel.com/Artillery%20Systems/NASAMS/a000380" TargetMode="External"/><Relationship Id="rId342" Type="http://schemas.openxmlformats.org/officeDocument/2006/relationships/hyperlink" Target="https://armstrade.sipri.org/armstrade/page/trade_register.php" TargetMode="External"/><Relationship Id="rId384" Type="http://schemas.openxmlformats.org/officeDocument/2006/relationships/hyperlink" Target="https://armstrade.sipri.org/armstrade/page/trade_register.php" TargetMode="External"/><Relationship Id="rId202" Type="http://schemas.openxmlformats.org/officeDocument/2006/relationships/hyperlink" Target="https://www.amazon.de/-/en/ADLER-Disinfectant-Litres-according-Formula/dp/B088FXV6XT?th=1" TargetMode="External"/><Relationship Id="rId244" Type="http://schemas.openxmlformats.org/officeDocument/2006/relationships/hyperlink" Target="https://www.todayonline.com/singapore/us-approves-s926-million-sale-precision-guided-mortar-rounds-singapore" TargetMode="External"/><Relationship Id="rId39" Type="http://schemas.openxmlformats.org/officeDocument/2006/relationships/hyperlink" Target="https://military-history.fandom.com/wiki/Panzerfaust_3" TargetMode="External"/><Relationship Id="rId286" Type="http://schemas.openxmlformats.org/officeDocument/2006/relationships/hyperlink" Target="https://www.airforce-technology.com/news/czech-republic-to-buy-iron-dome-from-israel/" TargetMode="External"/><Relationship Id="rId451" Type="http://schemas.openxmlformats.org/officeDocument/2006/relationships/hyperlink" Target="https://outbacktravelaustralia.com.au/buyers-guide-heavy-duty/mercedes-benz-zetros/" TargetMode="External"/><Relationship Id="rId493" Type="http://schemas.openxmlformats.org/officeDocument/2006/relationships/hyperlink" Target="http://www.army-guide.com/eng/product4033.html" TargetMode="External"/><Relationship Id="rId507" Type="http://schemas.openxmlformats.org/officeDocument/2006/relationships/hyperlink" Target="http://scanjack.com/en/?page_id=297" TargetMode="External"/><Relationship Id="rId50" Type="http://schemas.openxmlformats.org/officeDocument/2006/relationships/hyperlink" Target="http://www.zvi.cz/en/products/sniper-rifle-falcon.html" TargetMode="External"/><Relationship Id="rId104" Type="http://schemas.openxmlformats.org/officeDocument/2006/relationships/hyperlink" Target="https://www.ammunitiondepot.com/304-762x39mm" TargetMode="External"/><Relationship Id="rId146" Type="http://schemas.openxmlformats.org/officeDocument/2006/relationships/hyperlink" Target="https://www.howmuchisit.org/metal-detector-cost/" TargetMode="External"/><Relationship Id="rId188" Type="http://schemas.openxmlformats.org/officeDocument/2006/relationships/hyperlink" Target="https://www.defensenews.com/global/2017/10/02/taiwan-acquires-orbital-atk-cannons-for-local-vehicle-program/" TargetMode="External"/><Relationship Id="rId311" Type="http://schemas.openxmlformats.org/officeDocument/2006/relationships/hyperlink" Target="https://www.amazon.com/GUARD-SHIELD-Medium-Purpose-Waterproof/dp/B0974LGBDM/ref=sxin_15_pa_sp_search_thematic_sspa?content-id=amzn1.sym.b5b80b36-fed9-4412-8be2-fe5bba09d25a%3Aamzn1.sym.b5b80b36-fed9-4412-8be2-fe5bba09d25a&amp;crid=1Y6ZMUK89WH8A&amp;cv_ct_cx=tarpaulin&amp;keywords=tarpaulin&amp;pd_rd_i=B0974LGBDM&amp;pd_rd_r=4ee90763-05e6-409c-bb1c-9075d3062221&amp;pd_rd_w=85ApN&amp;pd_rd_wg=UtiJn&amp;pf_rd_p=b5b80b36-fed9-4412-8be2-fe5bba09d25a&amp;pf_rd_r=3QEFJPT5JX03S1GD04F7&amp;qid=1667485169&amp;qu=eyJxc2MiOiI1LjM2IiwicXNhIjoiNS40NyIsInFzcCI6IjQuOTcifQ%3D%3D&amp;sprefix=tarpaulin%2Caps%2C198&amp;sr=1-1-a73d1c8c-2fd2-4f19-aa41-2df022bcb241-spons&amp;th=1" TargetMode="External"/><Relationship Id="rId353" Type="http://schemas.openxmlformats.org/officeDocument/2006/relationships/hyperlink" Target="https://www.armytimes.com/news/your-army/2019/04/16/heres-the-new-helmet-that-socom-operators-will-take-into-battle/" TargetMode="External"/><Relationship Id="rId395" Type="http://schemas.openxmlformats.org/officeDocument/2006/relationships/hyperlink" Target="https://comptroller.defense.gov/Portals/45/Documents/defbudget/fy2021/fy2021_p1.pdf" TargetMode="External"/><Relationship Id="rId409" Type="http://schemas.openxmlformats.org/officeDocument/2006/relationships/hyperlink" Target="https://www.globalsecurity.org/military/systems/ground/m252-specs.htm" TargetMode="External"/><Relationship Id="rId92" Type="http://schemas.openxmlformats.org/officeDocument/2006/relationships/hyperlink" Target="https://www.inetres.com/gp/military/infantry/mortar/60mm.html" TargetMode="External"/><Relationship Id="rId213" Type="http://schemas.openxmlformats.org/officeDocument/2006/relationships/hyperlink" Target="https://en.wikipedia.org/wiki/RK_62" TargetMode="External"/><Relationship Id="rId420" Type="http://schemas.openxmlformats.org/officeDocument/2006/relationships/hyperlink" Target="https://airandspace.si.edu/collection-objects/zuni-missile/nasm_A19660160000" TargetMode="External"/><Relationship Id="rId255" Type="http://schemas.openxmlformats.org/officeDocument/2006/relationships/hyperlink" Target="https://classic.ammoseek.com/ammo/32acp" TargetMode="External"/><Relationship Id="rId297" Type="http://schemas.openxmlformats.org/officeDocument/2006/relationships/hyperlink" Target="https://mil.in.ua/en/news/germany-plans-to-supply-ukraine-with-cobra-counter-battery-radars/" TargetMode="External"/><Relationship Id="rId462" Type="http://schemas.openxmlformats.org/officeDocument/2006/relationships/hyperlink" Target="https://armstrade.sipri.org/armstrade/page/trade_register.php" TargetMode="External"/><Relationship Id="rId518" Type="http://schemas.openxmlformats.org/officeDocument/2006/relationships/hyperlink" Target="https://www.secnav.navy.mil/fmc/fmb/Documents/21pres/WPN_Book.pdf" TargetMode="External"/><Relationship Id="rId115" Type="http://schemas.openxmlformats.org/officeDocument/2006/relationships/hyperlink" Target="https://www.amazon.com/dp/B0B1GXZXPX/ref=sspa_dk_detail_0?psc=1&amp;pd_rd_i=B0B1GXZXPX&amp;pd_rd_w=8Luot&amp;content-id=amzn1.sym.46bad5f6-1f0a-4167-9a8b-c8a82fa48a54&amp;pf_rd_p=46bad5f6-1f0a-4167-9a8b-c8a82fa48a54&amp;pf_rd_r=KPTZZRY2RHA3S7A9N81M&amp;pd_rd_wg=0rtva&amp;pd_rd_r=2e01c8ed-97c3-43c5-85ac-23e35fef55bb&amp;s=hi&amp;sp_csd=d2lkZ2V0TmFtZT1zcF9kZXRhaWw" TargetMode="External"/><Relationship Id="rId157" Type="http://schemas.openxmlformats.org/officeDocument/2006/relationships/hyperlink" Target="https://www.indiamart.com/proddetail/radio-frequency-system-8336728762.html" TargetMode="External"/><Relationship Id="rId322" Type="http://schemas.openxmlformats.org/officeDocument/2006/relationships/hyperlink" Target="http://www.military-today.com/firearms/m72_law.htm" TargetMode="External"/><Relationship Id="rId364" Type="http://schemas.openxmlformats.org/officeDocument/2006/relationships/hyperlink" Target="https://www.thesoldiersproject.org/how-much-does-a-military-humvee-cost/" TargetMode="External"/><Relationship Id="rId61" Type="http://schemas.openxmlformats.org/officeDocument/2006/relationships/hyperlink" Target="https://foreignpolicy.com/2009/12/31/observation-of-the-day-on-brewing-coffee-with-c4/" TargetMode="External"/><Relationship Id="rId199" Type="http://schemas.openxmlformats.org/officeDocument/2006/relationships/hyperlink" Target="https://www.frankonia.de/p/sellier-bellot/9-mm-luger-vollmantel-8-0g-124grs/65187" TargetMode="External"/><Relationship Id="rId19" Type="http://schemas.openxmlformats.org/officeDocument/2006/relationships/hyperlink" Target="https://www.theguardian.com/world/2022/mar/23/uk-doubles-number-of-missiles-sent-to-ukraine-ahead-of-nato-summit" TargetMode="External"/><Relationship Id="rId224" Type="http://schemas.openxmlformats.org/officeDocument/2006/relationships/hyperlink" Target="https://www.thefirearmblog.com/blog/2008/12/05/40mm-m320-grenade-launcher-will-be-replace-m203-next-year/%20;%20https:/web.archive.org/web/20110723004716/http:/www.airtronic.net/documents/Delivery_Order.pdf" TargetMode="External"/><Relationship Id="rId266" Type="http://schemas.openxmlformats.org/officeDocument/2006/relationships/hyperlink" Target="https://armstrade.sipri.org/armstrade/page/trade_register.php" TargetMode="External"/><Relationship Id="rId431" Type="http://schemas.openxmlformats.org/officeDocument/2006/relationships/hyperlink" Target="https://arstechnica.com/information-technology/2018/03/the-armys-costly-quest-for-the-perfect-radio-continues/" TargetMode="External"/><Relationship Id="rId473" Type="http://schemas.openxmlformats.org/officeDocument/2006/relationships/hyperlink" Target="https://armstrade.sipri.org/armstrade/page/trade_register.php" TargetMode="External"/><Relationship Id="rId30" Type="http://schemas.openxmlformats.org/officeDocument/2006/relationships/hyperlink" Target="https://www.sparks-military.com/en/body-armor/154-m-69-fragmentation-vest-flak-jacket.html" TargetMode="External"/><Relationship Id="rId126" Type="http://schemas.openxmlformats.org/officeDocument/2006/relationships/hyperlink" Target="https://www.ebay.com/b/Military-Gas-Mask/158440/bn_55190958" TargetMode="External"/><Relationship Id="rId168" Type="http://schemas.openxmlformats.org/officeDocument/2006/relationships/hyperlink" Target="https://www.amazon.de/First-Boxes-Contents-according-13157/dp/B09JZKG84C/ref=sr_1_1_sspa?adgrpid=83827895404&amp;gclid=Cj0KCQjwntCVBhDdARIsAMEwACk2bt6E62FjoUVnx4hAM8fNlU9uHMkdNXGNk_yIBwENVDc98WeI9vkaAl0OEALw_wcB&amp;hvadid=394830971024&amp;hvdev=c&amp;hvlocphy=9061132&amp;hvnetw=g&amp;hvqmt=b&amp;hvrand=15040397051256604446&amp;hvtargid=kwd-14883146&amp;hydadcr=4261_1714685&amp;keywords=verbandskasten&amp;qid=1655989411&amp;sr=8-1-spons&amp;psc=1&amp;spLa=ZW5jcnlwdGVkUXVhbGlmaWVyPUFaVkYyNjI0RE1FT1QmZW5jcnlwdGVkSWQ9QTA0MTU0ODcxVkk2RjdJUTRWWVNJJmVuY3J5cHRlZEFkSWQ9QTA0NzgxOTQyMFYwMUw3R1M0QjBTJndpZGdldE5hbWU9c3BfYXRmJmFjdGlvbj1jbGlja1JlZGlyZWN0JmRvTm90TG9nQ2xpY2s9dHJ1ZQ==" TargetMode="External"/><Relationship Id="rId333" Type="http://schemas.openxmlformats.org/officeDocument/2006/relationships/hyperlink" Target="https://en.wikipedia.org/wiki/M240_machine_gun" TargetMode="External"/><Relationship Id="rId72" Type="http://schemas.openxmlformats.org/officeDocument/2006/relationships/hyperlink" Target="https://www.newdelhitimes.com/portuguese-army-acquires-vamtac/" TargetMode="External"/><Relationship Id="rId375" Type="http://schemas.openxmlformats.org/officeDocument/2006/relationships/hyperlink" Target="https://www.marketwatch.com/story/new-army-trucks-may-cost-350000-each-gao-2011-10-27" TargetMode="External"/><Relationship Id="rId3" Type="http://schemas.openxmlformats.org/officeDocument/2006/relationships/hyperlink" Target="https://www.strategypage.com/htmw/htweap/20141105.aspx" TargetMode="External"/><Relationship Id="rId235" Type="http://schemas.openxmlformats.org/officeDocument/2006/relationships/hyperlink" Target="https://armstrade.sipri.org/armstrade/page/trade_register.php" TargetMode="External"/><Relationship Id="rId277" Type="http://schemas.openxmlformats.org/officeDocument/2006/relationships/hyperlink" Target="https://taskandpurpose.com/news/ac-130-gunship-105mm-cannon/" TargetMode="External"/><Relationship Id="rId400" Type="http://schemas.openxmlformats.org/officeDocument/2006/relationships/hyperlink" Target="https://www.deeptrekker.com/shop/products/revolution-x-rov" TargetMode="External"/><Relationship Id="rId442" Type="http://schemas.openxmlformats.org/officeDocument/2006/relationships/hyperlink" Target="https://www.aa.com.tr/en/europe/slovakia-signs-deal-to-purchase-152-armored-combat-vehicles/2762233" TargetMode="External"/><Relationship Id="rId484" Type="http://schemas.openxmlformats.org/officeDocument/2006/relationships/hyperlink" Target="https://www.asafm.army.mil/Portals/72/Documents/BudgetMaterial/2023/Base%20Budget/Procurement/AMMO_ARMY.pdf" TargetMode="External"/><Relationship Id="rId137" Type="http://schemas.openxmlformats.org/officeDocument/2006/relationships/hyperlink" Target="https://www.amazon.de/-/en/Viablue-X-25-SILVER-POWER-CABLE/dp/B07ZYQWPZ9" TargetMode="External"/><Relationship Id="rId302" Type="http://schemas.openxmlformats.org/officeDocument/2006/relationships/hyperlink" Target="https://www.dsca.mil/press-media/major-arms-sales/finland-guided-multiple-launch-rocket-system-gmlrs-m31a1-unitary-and" TargetMode="External"/><Relationship Id="rId344" Type="http://schemas.openxmlformats.org/officeDocument/2006/relationships/hyperlink" Target="https://armstrade.sipri.org/armstrade/page/trade_register.php" TargetMode="External"/><Relationship Id="rId41" Type="http://schemas.openxmlformats.org/officeDocument/2006/relationships/hyperlink" Target="https://en.wikipedia.org/wiki/Comparison_of_the_AK-47_and_M16" TargetMode="External"/><Relationship Id="rId83" Type="http://schemas.openxmlformats.org/officeDocument/2006/relationships/hyperlink" Target="https://www.dsca.mil/press-media/major-arms-sales/egypt-harpoon-block-ii-anti-ship-cruise-missiles" TargetMode="External"/><Relationship Id="rId179" Type="http://schemas.openxmlformats.org/officeDocument/2006/relationships/hyperlink" Target="https://www.canada.ca/en/department-national-defence/news/2022/06/minister-anand-announces-further-military-aid-for-ukraine.html" TargetMode="External"/><Relationship Id="rId386" Type="http://schemas.openxmlformats.org/officeDocument/2006/relationships/hyperlink" Target="https://web.archive.org/web/20150518063830/http:/defense-update.com/products/d/dingo-kmw.htm" TargetMode="External"/><Relationship Id="rId190" Type="http://schemas.openxmlformats.org/officeDocument/2006/relationships/hyperlink" Target="https://web.archive.org/web/20110723004716/http:/www.airtronic.net/documents/Delivery_Order.pdf" TargetMode="External"/><Relationship Id="rId204" Type="http://schemas.openxmlformats.org/officeDocument/2006/relationships/hyperlink" Target="https://www.ers.usda.gov/publications/pub-details/?pubid=43836%20and%20source%20for%20medical%20supplies:https://economictimes.indiatimes.com/news/politics-and-nation/india-provided-15-tonnes-of-medical-supplies-worth-rs-2-11-crore-to-coronavirus-hit-china-government/articleshow/74693578.cms?from=mdr" TargetMode="External"/><Relationship Id="rId246" Type="http://schemas.openxmlformats.org/officeDocument/2006/relationships/hyperlink" Target="https://www.ukrinform.net/rubric-ato/3491327-canada-to-give-ukraine-over-20000-155-mm-shells.html" TargetMode="External"/><Relationship Id="rId288" Type="http://schemas.openxmlformats.org/officeDocument/2006/relationships/hyperlink" Target="https://www.frazerbilt.com/blog-ambulance-cost/" TargetMode="External"/><Relationship Id="rId411" Type="http://schemas.openxmlformats.org/officeDocument/2006/relationships/hyperlink" Target="https://www.marketwatch.com/story/new-army-trucks-may-cost-350000-each-gao-2011-10-27" TargetMode="External"/><Relationship Id="rId453" Type="http://schemas.openxmlformats.org/officeDocument/2006/relationships/hyperlink" Target="https://armstrade.sipri.org/armstrade/page/trade_register.php" TargetMode="External"/><Relationship Id="rId509" Type="http://schemas.openxmlformats.org/officeDocument/2006/relationships/hyperlink" Target="https://kyiv.mfa.ee/en/2023/03/field-hospital-donated-in-cooperation-between-estonia-norway-and-the-netherlands-arrived-in-ukraine/" TargetMode="External"/><Relationship Id="rId106" Type="http://schemas.openxmlformats.org/officeDocument/2006/relationships/hyperlink" Target="https://weaponsystems.net/system/475-Barrett+M82" TargetMode="External"/><Relationship Id="rId313" Type="http://schemas.openxmlformats.org/officeDocument/2006/relationships/hyperlink" Target="https://www.army.mil/article/194221/new_40_mm_grenades_to_enhance_training_readiness" TargetMode="External"/><Relationship Id="rId495" Type="http://schemas.openxmlformats.org/officeDocument/2006/relationships/hyperlink" Target="https://www.lodgingsupply.com/product/emergency-bed-in-a-bag-linen-kit/" TargetMode="External"/><Relationship Id="rId10" Type="http://schemas.openxmlformats.org/officeDocument/2006/relationships/hyperlink" Target="https://www.aerzte-ohne-grenzen.de/sites/default/files/mediathek/entity/document/1998-01-bosnia-report-donation-practices.pdf" TargetMode="External"/><Relationship Id="rId52" Type="http://schemas.openxmlformats.org/officeDocument/2006/relationships/hyperlink" Target="https://truegunvalue.com/rifle/dragunov/price-historical-value" TargetMode="External"/><Relationship Id="rId94" Type="http://schemas.openxmlformats.org/officeDocument/2006/relationships/hyperlink" Target="https://engineerine.com/switchblade-will-turn-the-tide-in-ukraine/" TargetMode="External"/><Relationship Id="rId148" Type="http://schemas.openxmlformats.org/officeDocument/2006/relationships/hyperlink" Target="https://www.ammograb.com/762x51mm-nato/" TargetMode="External"/><Relationship Id="rId355" Type="http://schemas.openxmlformats.org/officeDocument/2006/relationships/hyperlink" Target="https://www.amazon.com/-/de/dp/B07SMXN8PR/ref=zg_bs_3413661_2/139-2167500-7694641?pd_rd_i=B09VBX2J8P&amp;th=1" TargetMode="External"/><Relationship Id="rId397" Type="http://schemas.openxmlformats.org/officeDocument/2006/relationships/hyperlink" Target="https://www.theguardian.com/world/2022/nov/03/a-joke-that-went-out-of-control-crowdfunding-weapons-for-ukraines-war" TargetMode="External"/><Relationship Id="rId520" Type="http://schemas.openxmlformats.org/officeDocument/2006/relationships/hyperlink" Target="http://web.archive.org/web/20200217161123/http:/www.nordicmarksman.com:80/Colt-Canada-SA20-C7A2-LE-20-Barrel-556-NATO-ORIGINAL.html" TargetMode="External"/><Relationship Id="rId215" Type="http://schemas.openxmlformats.org/officeDocument/2006/relationships/hyperlink" Target="https://www.rferl.org/a/ukraine-anti-drone-gun-russia-war/31912255.html" TargetMode="External"/><Relationship Id="rId257" Type="http://schemas.openxmlformats.org/officeDocument/2006/relationships/hyperlink" Target="https://armstrade.sipri.org/armstrade/page/trade_register.php" TargetMode="External"/><Relationship Id="rId422" Type="http://schemas.openxmlformats.org/officeDocument/2006/relationships/hyperlink" Target="https://armstrade.sipri.org/armstrade/page/trade_register.php" TargetMode="External"/><Relationship Id="rId464" Type="http://schemas.openxmlformats.org/officeDocument/2006/relationships/hyperlink" Target="https://www.lopinion.fr/international/ukraine-la-france-et-litalie-passe-une-commande-geante-de-missiles-sol-air" TargetMode="External"/><Relationship Id="rId299" Type="http://schemas.openxmlformats.org/officeDocument/2006/relationships/hyperlink" Target="https://stocktonhistoricalmaritimemuseum.org/about/uss-lucid/stats/" TargetMode="External"/><Relationship Id="rId63" Type="http://schemas.openxmlformats.org/officeDocument/2006/relationships/hyperlink" Target="https://www.airuniversity.af.edu/Portals/10/ASPJ/journals/Chronicles/ucav.pdf" TargetMode="External"/><Relationship Id="rId159" Type="http://schemas.openxmlformats.org/officeDocument/2006/relationships/hyperlink" Target="https://kyiv.mfa.ee/en/2022/02/estonia-and-germany-to-donate-military-field-hospital-to-ukraine/" TargetMode="External"/><Relationship Id="rId366" Type="http://schemas.openxmlformats.org/officeDocument/2006/relationships/hyperlink" Target="https://www.ltt-versand.de/licht/spezialeffektgeraete/zubehoer-fuer-spezialeffekte/fluide/8540/eurolite-foam-konzentrat-5l?gclid=CjwKCAiApvebBhAvEiwAe7mHSJfGcV_-VQ6pAf5Cn7KZF-l9eRLIAy5NPA0_p3Rrtqdch1Lg5jjLghoCu1UQAvD_BwE" TargetMode="External"/><Relationship Id="rId226" Type="http://schemas.openxmlformats.org/officeDocument/2006/relationships/hyperlink" Target="https://mil.in.ua/en/news/germany-agreed-to-sell-100-panzerhaubitze-2000-to-ukraine/" TargetMode="External"/><Relationship Id="rId433" Type="http://schemas.openxmlformats.org/officeDocument/2006/relationships/hyperlink" Target="https://www.cnet.com/home/energy-and-utilities/ready-to-pull-out-your-space-heater-heres-how-much-itll-cost-you/"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https://www.ecb.europa.eu/stats/policy_and_exchange_rates/euro_reference_exchange_rates/html/eurofxref-graph-aud.en.html" TargetMode="External"/><Relationship Id="rId13" Type="http://schemas.openxmlformats.org/officeDocument/2006/relationships/hyperlink" Target="https://sdw.ecb.europa.eu/quickview.do?SERIES_KEY=120.EXR.D.TWD.EUR.SP00.A" TargetMode="External"/><Relationship Id="rId18" Type="http://schemas.openxmlformats.org/officeDocument/2006/relationships/hyperlink" Target="https://www.ecb.europa.eu/stats/policy_and_exchange_rates/euro_reference_exchange_rates/html/eurofxref-graph-bgn.en.html" TargetMode="External"/><Relationship Id="rId3" Type="http://schemas.openxmlformats.org/officeDocument/2006/relationships/hyperlink" Target="https://www.ecb.europa.eu/stats/policy_and_exchange_rates/euro_reference_exchange_rates/html/eurofxref-graph-gbp.en.html" TargetMode="External"/><Relationship Id="rId7" Type="http://schemas.openxmlformats.org/officeDocument/2006/relationships/hyperlink" Target="https://www.ecb.europa.eu/stats/policy_and_exchange_rates/euro_reference_exchange_rates/html/eurofxref-graph-dkk.en.html" TargetMode="External"/><Relationship Id="rId12" Type="http://schemas.openxmlformats.org/officeDocument/2006/relationships/hyperlink" Target="https://www.ecb.europa.eu/stats/policy_and_exchange_rates/euro_reference_exchange_rates/html/eurofxref-graph-cny.en.html" TargetMode="External"/><Relationship Id="rId17" Type="http://schemas.openxmlformats.org/officeDocument/2006/relationships/hyperlink" Target="https://www.ecb.europa.eu/stats/policy_and_exchange_rates/euro_reference_exchange_rates/html/eurofxref-graph-isk.en.html" TargetMode="External"/><Relationship Id="rId2" Type="http://schemas.openxmlformats.org/officeDocument/2006/relationships/hyperlink" Target="https://www.ecb.europa.eu/stats/policy_and_exchange_rates/euro_reference_exchange_rates/html/eurofxref-graph-cad.en.html" TargetMode="External"/><Relationship Id="rId16" Type="http://schemas.openxmlformats.org/officeDocument/2006/relationships/hyperlink" Target="https://www.ecb.europa.eu/stats/policy_and_exchange_rates/euro_reference_exchange_rates/html/eurofxref-graph-czk.en.html" TargetMode="External"/><Relationship Id="rId1" Type="http://schemas.openxmlformats.org/officeDocument/2006/relationships/hyperlink" Target="https://www.ecb.europa.eu/stats/policy_and_exchange_rates/euro_reference_exchange_rates/html/eurofxref-graph-usd.en.html" TargetMode="External"/><Relationship Id="rId6" Type="http://schemas.openxmlformats.org/officeDocument/2006/relationships/hyperlink" Target="https://sdw.ecb.europa.eu/quickview.do;jsessionid=44353EF4B5368149AD2FDB9FB9FA1993?SERIES_KEY=120.EXR.M.HRK.EUR.SP00.A&amp;resetBtn=+Reset+Settings&amp;start=&amp;end=&amp;trans=N" TargetMode="External"/><Relationship Id="rId11" Type="http://schemas.openxmlformats.org/officeDocument/2006/relationships/hyperlink" Target="https://www.ecb.europa.eu/stats/policy_and_exchange_rates/euro_reference_exchange_rates/html/eurofxref-graph-huf.en.html" TargetMode="External"/><Relationship Id="rId5" Type="http://schemas.openxmlformats.org/officeDocument/2006/relationships/hyperlink" Target="https://www.ecb.europa.eu/stats/policy_and_exchange_rates/euro_reference_exchange_rates/html/eurofxref-graph-ron.en.html" TargetMode="External"/><Relationship Id="rId15" Type="http://schemas.openxmlformats.org/officeDocument/2006/relationships/hyperlink" Target="https://www.ecb.europa.eu/stats/policy_and_exchange_rates/euro_reference_exchange_rates/html/eurofxref-graph-chf.en.html" TargetMode="External"/><Relationship Id="rId10" Type="http://schemas.openxmlformats.org/officeDocument/2006/relationships/hyperlink" Target="https://www.ecb.europa.eu/stats/policy_and_exchange_rates/euro_reference_exchange_rates/html/eurofxref-graph-nzd.en.html" TargetMode="External"/><Relationship Id="rId4" Type="http://schemas.openxmlformats.org/officeDocument/2006/relationships/hyperlink" Target="https://www.ecb.europa.eu/stats/policy_and_exchange_rates/euro_reference_exchange_rates/html/eurofxref-graph-pln.en.html" TargetMode="External"/><Relationship Id="rId9" Type="http://schemas.openxmlformats.org/officeDocument/2006/relationships/hyperlink" Target="https://www.ecb.europa.eu/stats/policy_and_exchange_rates/euro_reference_exchange_rates/html/eurofxref-graph-nok.en.html" TargetMode="External"/><Relationship Id="rId14" Type="http://schemas.openxmlformats.org/officeDocument/2006/relationships/hyperlink" Target="https://www.ecb.europa.eu/stats/policy_and_exchange_rates/euro_reference_exchange_rates/html/eurofxref-graph-sek.en.html"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8" Type="http://schemas.openxmlformats.org/officeDocument/2006/relationships/hyperlink" Target="https://www.forbes.com/sites/davidaxe/2022/04/08/ukraine-is-losing-several-s-300-anti-air-launchers-per-week-but-it-still-has-hundreds-left/?sh=7684b0e93ba8" TargetMode="External"/><Relationship Id="rId13" Type="http://schemas.openxmlformats.org/officeDocument/2006/relationships/hyperlink" Target="https://www.canada.ca/en/department-national-defence/news/2023/01/defence-minister-anita-anand-announces-air-defence-system-donation-to-ukraine.html" TargetMode="External"/><Relationship Id="rId3" Type="http://schemas.openxmlformats.org/officeDocument/2006/relationships/hyperlink" Target="https://www.bundesregierung.de/breg-de/themen/krieg-in-der-ukraine/lieferungen-ukraine-2054514" TargetMode="External"/><Relationship Id="rId7" Type="http://schemas.openxmlformats.org/officeDocument/2006/relationships/hyperlink" Target="https://www.novinky.cz/clanek/domaci-raketomety-si-naposledy-vystrelily-po-40-letech-sluzby-konci-65931" TargetMode="External"/><Relationship Id="rId12" Type="http://schemas.openxmlformats.org/officeDocument/2006/relationships/hyperlink" Target="https://english.defensie.nl/latest/news/2023/04/20/netherlands-to-purchase-leopard-2-tanks-for-ukraine" TargetMode="External"/><Relationship Id="rId2" Type="http://schemas.openxmlformats.org/officeDocument/2006/relationships/hyperlink" Target="https://breakingdefense.com/2022/11/uk-delays-defense-spending-increase-raising-fears-3-gdp-target-will-be-axed/" TargetMode="External"/><Relationship Id="rId1" Type="http://schemas.openxmlformats.org/officeDocument/2006/relationships/hyperlink" Target="https://www.army-technology.com/news/uk-acquires-m109-howitzers-ukrainian/" TargetMode="External"/><Relationship Id="rId6" Type="http://schemas.openxmlformats.org/officeDocument/2006/relationships/hyperlink" Target="https://www.bundesregierung.de/breg-de/themen/krieg-in-der-ukraine/lieferungen-ukraine-2054514" TargetMode="External"/><Relationship Id="rId11" Type="http://schemas.openxmlformats.org/officeDocument/2006/relationships/hyperlink" Target="https://english.defensie.nl/latest/news/2023/04/20/netherlands-to-purchase-leopard-2-tanks-for-ukraine" TargetMode="External"/><Relationship Id="rId5" Type="http://schemas.openxmlformats.org/officeDocument/2006/relationships/hyperlink" Target="https://www.bundesregierung.de/breg-de/themen/krieg-in-der-ukraine/lieferungen-ukraine-2054514" TargetMode="External"/><Relationship Id="rId10" Type="http://schemas.openxmlformats.org/officeDocument/2006/relationships/hyperlink" Target="https://www.defensie.nl/actueel/nieuws/2022/11/04/nederlands-militair-steunpakket-voor-oekraine" TargetMode="External"/><Relationship Id="rId4" Type="http://schemas.openxmlformats.org/officeDocument/2006/relationships/hyperlink" Target="https://www.nrk.no/dokumentar/feilinvesteringer-for-milliarder-1.12603537" TargetMode="External"/><Relationship Id="rId9" Type="http://schemas.openxmlformats.org/officeDocument/2006/relationships/hyperlink" Target="https://www.defensie.nl/actueel/nieuws/2022/11/04/nederlands-militair-steunpakket-voor-oekraine" TargetMode="External"/><Relationship Id="rId14"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8" Type="http://schemas.openxmlformats.org/officeDocument/2006/relationships/hyperlink" Target="https://twitter.com/ua_minfin/status/1547135837472948225" TargetMode="External"/><Relationship Id="rId13" Type="http://schemas.openxmlformats.org/officeDocument/2006/relationships/hyperlink" Target="https://twitter.com/ua_minfin/status/1651200764851765248" TargetMode="External"/><Relationship Id="rId3" Type="http://schemas.openxmlformats.org/officeDocument/2006/relationships/hyperlink" Target="https://twitter.com/ua_minfin/status/1608009923681460225/photo/1" TargetMode="External"/><Relationship Id="rId7" Type="http://schemas.openxmlformats.org/officeDocument/2006/relationships/hyperlink" Target="https://twitter.com/ua_minfin/status/1564896888792432642" TargetMode="External"/><Relationship Id="rId12" Type="http://schemas.openxmlformats.org/officeDocument/2006/relationships/hyperlink" Target="https://twitter.com/ua_minfin/status/1641079154622726146" TargetMode="External"/><Relationship Id="rId2" Type="http://schemas.openxmlformats.org/officeDocument/2006/relationships/hyperlink" Target="https://twitter.com/ua_minfin/status/1618631697146478592/photo/1" TargetMode="External"/><Relationship Id="rId1" Type="http://schemas.openxmlformats.org/officeDocument/2006/relationships/hyperlink" Target="https://twitter.com/ua_minfin/status/1630940777000869888/photo/1" TargetMode="External"/><Relationship Id="rId6" Type="http://schemas.openxmlformats.org/officeDocument/2006/relationships/hyperlink" Target="https://twitter.com/ua_minfin/status/1572555418253283335/photo/1" TargetMode="External"/><Relationship Id="rId11" Type="http://schemas.openxmlformats.org/officeDocument/2006/relationships/hyperlink" Target="https://twitter.com/ua_minfin/status/1516770779148562445" TargetMode="External"/><Relationship Id="rId5" Type="http://schemas.openxmlformats.org/officeDocument/2006/relationships/hyperlink" Target="https://twitter.com/ua_minfin/status/1583026695300591616" TargetMode="External"/><Relationship Id="rId15" Type="http://schemas.openxmlformats.org/officeDocument/2006/relationships/printerSettings" Target="../printerSettings/printerSettings45.bin"/><Relationship Id="rId10" Type="http://schemas.openxmlformats.org/officeDocument/2006/relationships/hyperlink" Target="https://twitter.com/ua_minfin/status/1529763431074742272/photo/1" TargetMode="External"/><Relationship Id="rId4" Type="http://schemas.openxmlformats.org/officeDocument/2006/relationships/hyperlink" Target="https://twitter.com/ua_minfin/status/1596083557331501063/photo/1" TargetMode="External"/><Relationship Id="rId9" Type="http://schemas.openxmlformats.org/officeDocument/2006/relationships/hyperlink" Target="https://twitter.com/ua_minfin/status/1542175021791076356/photo/1" TargetMode="External"/><Relationship Id="rId14" Type="http://schemas.openxmlformats.org/officeDocument/2006/relationships/hyperlink" Target="https://twitter.com/ua_minfin/status/1664219834475839490/photo/1"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8" Type="http://schemas.openxmlformats.org/officeDocument/2006/relationships/hyperlink" Target="https://eur-lex.europa.eu/EN/legal-content/summary/financial-assistance-to-ireland.html" TargetMode="External"/><Relationship Id="rId3" Type="http://schemas.openxmlformats.org/officeDocument/2006/relationships/hyperlink" Target="https://eur-lex.europa.eu/EN/legal-content/summary/financial-assistance-to-ireland.html" TargetMode="External"/><Relationship Id="rId7" Type="http://schemas.openxmlformats.org/officeDocument/2006/relationships/hyperlink" Target="https://www.esm.europa.eu/sites/default/files/migration_files/spanish_exit.pdf" TargetMode="External"/><Relationship Id="rId2" Type="http://schemas.openxmlformats.org/officeDocument/2006/relationships/hyperlink" Target="https://www.consilium.europa.eu/en/infographics/financial-assistance-to-greece-2010-2018/" TargetMode="External"/><Relationship Id="rId1" Type="http://schemas.openxmlformats.org/officeDocument/2006/relationships/hyperlink" Target="https://www.consilium.europa.eu/en/policies/financial-assistance-eurozone-members/greece-programme/" TargetMode="External"/><Relationship Id="rId6" Type="http://schemas.openxmlformats.org/officeDocument/2006/relationships/hyperlink" Target="https://www.esm.europa.eu/press-releases/eu-and-efsf-funding-plans-provide-financial-assistance-portugal-and-ireland" TargetMode="External"/><Relationship Id="rId5" Type="http://schemas.openxmlformats.org/officeDocument/2006/relationships/hyperlink" Target="https://www.esm.europa.eu/press-releases/eu-and-efsf-funding-plans-provide-financial-assistance-portugal-and-ireland" TargetMode="External"/><Relationship Id="rId4" Type="http://schemas.openxmlformats.org/officeDocument/2006/relationships/hyperlink" Target="https://eur-lex.europa.eu/EN/legal-content/summary/financial-assistance-to-ireland.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8" Type="http://schemas.openxmlformats.org/officeDocument/2006/relationships/hyperlink" Target="https://www.globalsecurity.org/military/library/report/1992/cpgw.pdf" TargetMode="External"/><Relationship Id="rId3" Type="http://schemas.openxmlformats.org/officeDocument/2006/relationships/hyperlink" Target="https://web.archive.org/web/20141208203539/http:/www.kuwait.diplo.de/Vertretung/kuwait/de/03/Bilaterale__Beziehungen/seite__Befreiung__Kuwait.html" TargetMode="External"/><Relationship Id="rId7" Type="http://schemas.openxmlformats.org/officeDocument/2006/relationships/hyperlink" Target="https://www.globalsecurity.org/military/library/report/1992/cpgw.pdf" TargetMode="External"/><Relationship Id="rId2" Type="http://schemas.openxmlformats.org/officeDocument/2006/relationships/hyperlink" Target="https://www.mofa.go.jp/policy/other/bluebook/1991/1991-2-2.htm" TargetMode="External"/><Relationship Id="rId1" Type="http://schemas.openxmlformats.org/officeDocument/2006/relationships/hyperlink" Target="https://www.globalsecurity.org/military/library/report/1992/cpgw.pdf" TargetMode="External"/><Relationship Id="rId6" Type="http://schemas.openxmlformats.org/officeDocument/2006/relationships/hyperlink" Target="https://www.globalsecurity.org/military/library/report/1992/cpgw.pdf" TargetMode="External"/><Relationship Id="rId5" Type="http://schemas.openxmlformats.org/officeDocument/2006/relationships/hyperlink" Target="https://www.globalsecurity.org/military/library/report/1992/cpgw.pdf" TargetMode="External"/><Relationship Id="rId4" Type="http://schemas.openxmlformats.org/officeDocument/2006/relationships/hyperlink" Target="https://www.globalsecurity.org/military/library/report/1992/cpgw.pdf" TargetMode="External"/><Relationship Id="rId9"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 Type="http://schemas.openxmlformats.org/officeDocument/2006/relationships/hyperlink" Target="https://appropriations.house.gov/sites/democrats.appropriations.house.gov/files/Additional%20Ukraine%20Suplemental%20Appropriations%20Act%20Summary.pdf" TargetMode="External"/><Relationship Id="rId1" Type="http://schemas.openxmlformats.org/officeDocument/2006/relationships/hyperlink" Target="https://appropriations.house.gov/sites/democrats.appropriations.house.gov/files/Ukraine%20Supplemental%20Summary.pdf" TargetMode="External"/><Relationship Id="rId4" Type="http://schemas.openxmlformats.org/officeDocument/2006/relationships/hyperlink" Target="https://appropriations.house.gov/sites/democrats.appropriations.house.gov/files/Ukraine%20Supplemental%20Summary%20FY23.pdf"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A1:W16221"/>
  <sheetViews>
    <sheetView showGridLines="0" tabSelected="1" zoomScaleNormal="100" workbookViewId="0">
      <selection activeCell="B2" sqref="B2:M3"/>
    </sheetView>
  </sheetViews>
  <sheetFormatPr defaultColWidth="9" defaultRowHeight="15.95" customHeight="1"/>
  <cols>
    <col min="1" max="1" width="8.625" style="2" customWidth="1"/>
    <col min="2" max="2" width="32.5" style="3" customWidth="1"/>
    <col min="3" max="16384" width="9" style="3"/>
  </cols>
  <sheetData>
    <row r="1" spans="1:23" ht="15.95" customHeight="1">
      <c r="A1" s="35"/>
      <c r="B1" s="5"/>
      <c r="C1" s="5"/>
      <c r="D1" s="5"/>
      <c r="E1" s="5"/>
      <c r="F1" s="5"/>
      <c r="G1" s="5"/>
      <c r="H1" s="5"/>
      <c r="I1" s="5"/>
      <c r="J1" s="5"/>
      <c r="K1" s="5"/>
      <c r="L1" s="5"/>
      <c r="M1" s="5"/>
      <c r="N1" s="5"/>
      <c r="O1" s="5"/>
    </row>
    <row r="2" spans="1:23" ht="15.95" customHeight="1">
      <c r="A2" s="35"/>
      <c r="B2" s="1418" t="s">
        <v>0</v>
      </c>
      <c r="C2" s="1418"/>
      <c r="D2" s="1418"/>
      <c r="E2" s="1418"/>
      <c r="F2" s="1418"/>
      <c r="G2" s="1418"/>
      <c r="H2" s="1418"/>
      <c r="I2" s="1418"/>
      <c r="J2" s="1418"/>
      <c r="K2" s="1418"/>
      <c r="L2" s="1418"/>
      <c r="M2" s="1418"/>
      <c r="N2" s="287"/>
      <c r="O2" s="5"/>
    </row>
    <row r="3" spans="1:23" ht="15.95" customHeight="1">
      <c r="B3" s="1418"/>
      <c r="C3" s="1418"/>
      <c r="D3" s="1418"/>
      <c r="E3" s="1418"/>
      <c r="F3" s="1418"/>
      <c r="G3" s="1418"/>
      <c r="H3" s="1418"/>
      <c r="I3" s="1418"/>
      <c r="J3" s="1418"/>
      <c r="K3" s="1418"/>
      <c r="L3" s="1418"/>
      <c r="M3" s="1418"/>
      <c r="N3" s="287"/>
      <c r="O3" s="5"/>
    </row>
    <row r="4" spans="1:23" ht="15.95" customHeight="1">
      <c r="B4" s="1420" t="s">
        <v>1</v>
      </c>
      <c r="C4" s="1420"/>
      <c r="D4" s="1420"/>
      <c r="E4" s="1420"/>
      <c r="F4" s="1420"/>
      <c r="G4" s="1420"/>
      <c r="H4" s="1420"/>
      <c r="I4" s="1420"/>
      <c r="J4" s="1420"/>
      <c r="K4" s="1420"/>
      <c r="L4" s="1420"/>
      <c r="M4" s="1420"/>
      <c r="N4" s="287"/>
      <c r="O4" s="5"/>
    </row>
    <row r="5" spans="1:23" ht="15.95" customHeight="1">
      <c r="B5" s="4"/>
      <c r="C5" s="4"/>
      <c r="D5" s="4"/>
      <c r="E5" s="4"/>
      <c r="F5" s="4"/>
      <c r="G5" s="4"/>
      <c r="H5" s="4"/>
      <c r="I5" s="4"/>
      <c r="J5" s="4"/>
      <c r="K5" s="4"/>
      <c r="L5" s="4"/>
      <c r="M5" s="4"/>
      <c r="N5" s="4"/>
      <c r="O5" s="5"/>
    </row>
    <row r="6" spans="1:23" ht="15.95" customHeight="1">
      <c r="B6" s="1419" t="s">
        <v>2</v>
      </c>
      <c r="C6" s="1419"/>
      <c r="D6" s="1419"/>
      <c r="E6" s="1419"/>
      <c r="F6" s="1419"/>
      <c r="G6" s="1419"/>
      <c r="H6" s="1419"/>
      <c r="I6" s="1419"/>
      <c r="J6" s="1419"/>
      <c r="K6" s="1419"/>
      <c r="L6" s="1419"/>
      <c r="M6" s="1419"/>
      <c r="N6" s="287"/>
      <c r="O6" s="5"/>
    </row>
    <row r="7" spans="1:23" ht="15.95" customHeight="1">
      <c r="B7" s="1419" t="s">
        <v>3</v>
      </c>
      <c r="C7" s="1419"/>
      <c r="D7" s="1419"/>
      <c r="E7" s="1419"/>
      <c r="F7" s="1419"/>
      <c r="G7" s="1419"/>
      <c r="H7" s="1419"/>
      <c r="I7" s="1419"/>
      <c r="J7" s="1419"/>
      <c r="K7" s="1419"/>
      <c r="L7" s="1419"/>
      <c r="M7" s="1419"/>
      <c r="N7" s="287"/>
      <c r="O7" s="5"/>
    </row>
    <row r="8" spans="1:23" ht="15.95" customHeight="1">
      <c r="B8" s="1424" t="s">
        <v>4</v>
      </c>
      <c r="C8" s="1424"/>
      <c r="D8" s="1424"/>
      <c r="E8" s="1424"/>
      <c r="F8" s="1424"/>
      <c r="G8" s="1424"/>
      <c r="H8" s="1424"/>
      <c r="I8" s="1424"/>
      <c r="J8" s="1424"/>
      <c r="K8" s="1424"/>
      <c r="L8" s="1424"/>
      <c r="M8" s="1424"/>
      <c r="N8" s="287"/>
      <c r="O8" s="5"/>
    </row>
    <row r="9" spans="1:23" ht="15.95" customHeight="1">
      <c r="B9" s="1343"/>
      <c r="C9" s="1343"/>
      <c r="D9" s="1343"/>
      <c r="E9" s="1343"/>
      <c r="F9" s="1343"/>
      <c r="G9" s="1343"/>
      <c r="H9" s="1343"/>
      <c r="I9" s="1343"/>
      <c r="J9" s="1343"/>
      <c r="K9" s="1343"/>
      <c r="L9" s="1343"/>
      <c r="M9" s="1343"/>
      <c r="N9" s="287"/>
      <c r="O9" s="5"/>
    </row>
    <row r="10" spans="1:23" ht="15.95" customHeight="1">
      <c r="B10" s="6" t="s">
        <v>5</v>
      </c>
      <c r="D10" s="7"/>
      <c r="E10" s="7"/>
      <c r="F10" s="7"/>
      <c r="G10" s="7"/>
      <c r="H10" s="7"/>
      <c r="I10" s="7"/>
      <c r="J10" s="7"/>
      <c r="K10" s="7"/>
      <c r="L10" s="8"/>
      <c r="M10" s="8"/>
      <c r="N10" s="5"/>
      <c r="O10" s="5"/>
    </row>
    <row r="11" spans="1:23" ht="15.95" customHeight="1">
      <c r="B11" s="6"/>
      <c r="D11" s="7"/>
      <c r="E11" s="7"/>
      <c r="F11" s="7"/>
      <c r="G11" s="7"/>
      <c r="H11" s="7"/>
      <c r="I11" s="7"/>
      <c r="J11" s="7"/>
      <c r="K11" s="7"/>
      <c r="L11" s="8"/>
      <c r="M11" s="8"/>
      <c r="N11" s="5"/>
      <c r="O11" s="5"/>
    </row>
    <row r="12" spans="1:23" ht="15.95" customHeight="1">
      <c r="B12" s="1422" t="s">
        <v>6</v>
      </c>
      <c r="C12" s="1423"/>
      <c r="D12" s="1423"/>
      <c r="E12" s="1423"/>
      <c r="F12" s="1423"/>
      <c r="G12" s="1423"/>
      <c r="H12" s="1423"/>
      <c r="I12" s="1423"/>
      <c r="J12" s="1423"/>
      <c r="K12" s="1423"/>
      <c r="L12" s="1423"/>
      <c r="M12" s="1423"/>
      <c r="N12" s="1423"/>
      <c r="O12" s="1423"/>
      <c r="P12" s="1423"/>
      <c r="Q12" s="10"/>
      <c r="R12" s="10"/>
      <c r="S12" s="10"/>
      <c r="T12" s="11"/>
      <c r="U12" s="11"/>
      <c r="V12" s="11"/>
      <c r="W12" s="11"/>
    </row>
    <row r="13" spans="1:23" ht="15.95" customHeight="1">
      <c r="B13" s="1423"/>
      <c r="C13" s="1423"/>
      <c r="D13" s="1423"/>
      <c r="E13" s="1423"/>
      <c r="F13" s="1423"/>
      <c r="G13" s="1423"/>
      <c r="H13" s="1423"/>
      <c r="I13" s="1423"/>
      <c r="J13" s="1423"/>
      <c r="K13" s="1423"/>
      <c r="L13" s="1423"/>
      <c r="M13" s="1423"/>
      <c r="N13" s="1423"/>
      <c r="O13" s="1423"/>
      <c r="P13" s="1423"/>
      <c r="Q13" s="10"/>
      <c r="R13" s="10"/>
      <c r="S13" s="10"/>
      <c r="T13" s="11"/>
      <c r="U13" s="11"/>
      <c r="V13" s="11"/>
      <c r="W13" s="11"/>
    </row>
    <row r="14" spans="1:23" ht="15.95" customHeight="1">
      <c r="B14" s="9"/>
      <c r="C14" s="10"/>
      <c r="D14" s="10"/>
      <c r="E14" s="10"/>
      <c r="F14" s="10"/>
      <c r="G14" s="10"/>
      <c r="H14" s="10"/>
      <c r="I14" s="10"/>
      <c r="J14" s="10"/>
      <c r="K14" s="10"/>
      <c r="L14" s="10"/>
      <c r="M14" s="10"/>
      <c r="N14" s="10"/>
      <c r="O14" s="10"/>
      <c r="P14" s="10"/>
      <c r="Q14" s="10"/>
      <c r="R14" s="10"/>
      <c r="S14" s="10"/>
      <c r="T14" s="11"/>
      <c r="U14" s="11"/>
      <c r="V14" s="11"/>
      <c r="W14" s="11"/>
    </row>
    <row r="15" spans="1:23" ht="15.95" customHeight="1">
      <c r="B15" s="12" t="s">
        <v>7</v>
      </c>
      <c r="C15" s="10"/>
      <c r="D15" s="10"/>
      <c r="E15" s="10"/>
      <c r="F15" s="10"/>
      <c r="G15" s="10"/>
      <c r="H15" s="10"/>
      <c r="I15" s="10"/>
      <c r="J15" s="10"/>
      <c r="K15" s="10"/>
      <c r="L15" s="10"/>
      <c r="M15" s="10"/>
      <c r="N15" s="10"/>
      <c r="O15" s="10"/>
      <c r="P15" s="10"/>
      <c r="Q15" s="10"/>
      <c r="R15" s="10"/>
      <c r="S15" s="10"/>
      <c r="T15" s="11"/>
      <c r="U15" s="11"/>
      <c r="V15" s="11"/>
      <c r="W15" s="11"/>
    </row>
    <row r="16" spans="1:23" ht="15.95" customHeight="1">
      <c r="B16" s="12"/>
      <c r="C16" s="10"/>
      <c r="D16" s="10"/>
      <c r="E16" s="10"/>
      <c r="F16" s="10"/>
      <c r="G16" s="10"/>
      <c r="H16" s="10"/>
      <c r="I16" s="10"/>
      <c r="J16" s="10"/>
      <c r="K16" s="10"/>
      <c r="L16" s="10"/>
      <c r="M16" s="10"/>
      <c r="N16" s="10"/>
      <c r="O16" s="10"/>
      <c r="P16" s="10"/>
      <c r="Q16" s="10"/>
      <c r="R16" s="10"/>
      <c r="S16" s="10"/>
      <c r="T16" s="11"/>
      <c r="U16" s="11"/>
      <c r="V16" s="11"/>
      <c r="W16" s="11"/>
    </row>
    <row r="17" spans="1:19" s="256" customFormat="1" ht="15.95" customHeight="1">
      <c r="A17" s="2"/>
      <c r="B17" s="1421" t="s">
        <v>8</v>
      </c>
      <c r="C17" s="1421"/>
      <c r="D17" s="1421"/>
      <c r="E17" s="1421"/>
      <c r="F17" s="1421"/>
      <c r="G17" s="1421"/>
      <c r="H17" s="1421"/>
      <c r="I17" s="1421"/>
      <c r="J17" s="1421"/>
      <c r="K17" s="1421"/>
      <c r="L17" s="1421"/>
      <c r="M17" s="1421"/>
      <c r="N17" s="1421"/>
      <c r="O17" s="1421"/>
      <c r="P17" s="1421"/>
      <c r="Q17" s="1421"/>
      <c r="R17" s="1421"/>
      <c r="S17" s="289"/>
    </row>
    <row r="18" spans="1:19" s="256" customFormat="1" ht="15.95" customHeight="1">
      <c r="A18" s="2"/>
      <c r="B18" s="1421"/>
      <c r="C18" s="1421"/>
      <c r="D18" s="1421"/>
      <c r="E18" s="1421"/>
      <c r="F18" s="1421"/>
      <c r="G18" s="1421"/>
      <c r="H18" s="1421"/>
      <c r="I18" s="1421"/>
      <c r="J18" s="1421"/>
      <c r="K18" s="1421"/>
      <c r="L18" s="1421"/>
      <c r="M18" s="1421"/>
      <c r="N18" s="1421"/>
      <c r="O18" s="1421"/>
      <c r="P18" s="1421"/>
      <c r="Q18" s="1421"/>
      <c r="R18" s="1421"/>
      <c r="S18" s="289"/>
    </row>
    <row r="19" spans="1:19" s="256" customFormat="1" ht="15.95" customHeight="1">
      <c r="A19" s="2"/>
      <c r="B19" s="1421"/>
      <c r="C19" s="1421"/>
      <c r="D19" s="1421"/>
      <c r="E19" s="1421"/>
      <c r="F19" s="1421"/>
      <c r="G19" s="1421"/>
      <c r="H19" s="1421"/>
      <c r="I19" s="1421"/>
      <c r="J19" s="1421"/>
      <c r="K19" s="1421"/>
      <c r="L19" s="1421"/>
      <c r="M19" s="1421"/>
      <c r="N19" s="1421"/>
      <c r="O19" s="1421"/>
      <c r="P19" s="1421"/>
      <c r="Q19" s="1421"/>
      <c r="R19" s="1421"/>
      <c r="S19" s="289"/>
    </row>
    <row r="20" spans="1:19" ht="15.95" customHeight="1">
      <c r="B20" s="289"/>
      <c r="C20" s="289"/>
      <c r="D20" s="289"/>
      <c r="E20" s="289"/>
      <c r="F20" s="289"/>
      <c r="G20" s="289"/>
      <c r="H20" s="289"/>
      <c r="I20" s="289"/>
      <c r="J20" s="289"/>
      <c r="K20" s="289"/>
      <c r="L20" s="289"/>
      <c r="M20" s="289"/>
      <c r="N20" s="289"/>
      <c r="O20" s="19"/>
      <c r="P20" s="19"/>
      <c r="Q20" s="19"/>
      <c r="R20" s="19"/>
      <c r="S20" s="19"/>
    </row>
    <row r="21" spans="1:19" ht="15.95" customHeight="1">
      <c r="B21" s="290" t="s">
        <v>9</v>
      </c>
      <c r="C21" s="1416" t="s">
        <v>10</v>
      </c>
      <c r="D21" s="1416"/>
      <c r="E21" s="1416"/>
      <c r="F21" s="1416"/>
      <c r="G21" s="1416"/>
      <c r="H21" s="1416"/>
      <c r="I21" s="1416"/>
      <c r="J21" s="1416"/>
      <c r="K21" s="1416"/>
      <c r="L21" s="1416"/>
      <c r="M21" s="1416"/>
      <c r="N21" s="1416"/>
      <c r="O21" s="1416"/>
      <c r="P21" s="1416"/>
      <c r="Q21" s="1416"/>
      <c r="R21" s="1416"/>
      <c r="S21" s="19"/>
    </row>
    <row r="22" spans="1:19" ht="15.95" customHeight="1">
      <c r="B22" s="19"/>
      <c r="C22" s="1416"/>
      <c r="D22" s="1416"/>
      <c r="E22" s="1416"/>
      <c r="F22" s="1416"/>
      <c r="G22" s="1416"/>
      <c r="H22" s="1416"/>
      <c r="I22" s="1416"/>
      <c r="J22" s="1416"/>
      <c r="K22" s="1416"/>
      <c r="L22" s="1416"/>
      <c r="M22" s="1416"/>
      <c r="N22" s="1416"/>
      <c r="O22" s="1416"/>
      <c r="P22" s="1416"/>
      <c r="Q22" s="1416"/>
      <c r="R22" s="1416"/>
      <c r="S22" s="19"/>
    </row>
    <row r="23" spans="1:19" ht="15.95" customHeight="1">
      <c r="B23" s="155"/>
      <c r="C23" s="1416"/>
      <c r="D23" s="1416"/>
      <c r="E23" s="1416"/>
      <c r="F23" s="1416"/>
      <c r="G23" s="1416"/>
      <c r="H23" s="1416"/>
      <c r="I23" s="1416"/>
      <c r="J23" s="1416"/>
      <c r="K23" s="1416"/>
      <c r="L23" s="1416"/>
      <c r="M23" s="1416"/>
      <c r="N23" s="1416"/>
      <c r="O23" s="1416"/>
      <c r="P23" s="1416"/>
      <c r="Q23" s="1416"/>
      <c r="R23" s="1416"/>
      <c r="S23" s="19"/>
    </row>
    <row r="24" spans="1:19" ht="15.95" customHeight="1">
      <c r="B24" s="155"/>
      <c r="C24" s="1341"/>
      <c r="D24" s="1341"/>
      <c r="E24" s="1341"/>
      <c r="F24" s="1341"/>
      <c r="G24" s="1341"/>
      <c r="H24" s="1341"/>
      <c r="I24" s="1341"/>
      <c r="J24" s="1341"/>
      <c r="K24" s="1341"/>
      <c r="L24" s="1341"/>
      <c r="M24" s="1341"/>
      <c r="N24" s="1341"/>
      <c r="O24" s="1341"/>
      <c r="P24" s="1341"/>
      <c r="Q24" s="1341"/>
      <c r="R24" s="1341"/>
      <c r="S24" s="19"/>
    </row>
    <row r="25" spans="1:19" ht="15.95" customHeight="1">
      <c r="B25" s="1425" t="s">
        <v>11</v>
      </c>
      <c r="C25" s="1416" t="s">
        <v>12</v>
      </c>
      <c r="D25" s="1416"/>
      <c r="E25" s="1416"/>
      <c r="F25" s="1416"/>
      <c r="G25" s="1416"/>
      <c r="H25" s="1416"/>
      <c r="I25" s="1416"/>
      <c r="J25" s="1416"/>
      <c r="K25" s="1416"/>
      <c r="L25" s="1416"/>
      <c r="M25" s="1416"/>
      <c r="N25" s="1416"/>
      <c r="O25" s="1416"/>
      <c r="P25" s="1416"/>
      <c r="Q25" s="1416"/>
      <c r="R25" s="1416"/>
      <c r="S25" s="19"/>
    </row>
    <row r="26" spans="1:19" ht="15.95" customHeight="1">
      <c r="B26" s="1425"/>
      <c r="C26" s="1416"/>
      <c r="D26" s="1416"/>
      <c r="E26" s="1416"/>
      <c r="F26" s="1416"/>
      <c r="G26" s="1416"/>
      <c r="H26" s="1416"/>
      <c r="I26" s="1416"/>
      <c r="J26" s="1416"/>
      <c r="K26" s="1416"/>
      <c r="L26" s="1416"/>
      <c r="M26" s="1416"/>
      <c r="N26" s="1416"/>
      <c r="O26" s="1416"/>
      <c r="P26" s="1416"/>
      <c r="Q26" s="1416"/>
      <c r="R26" s="1416"/>
      <c r="S26" s="19"/>
    </row>
    <row r="27" spans="1:19" ht="15.95" customHeight="1">
      <c r="B27" s="1425"/>
      <c r="C27" s="1416"/>
      <c r="D27" s="1416"/>
      <c r="E27" s="1416"/>
      <c r="F27" s="1416"/>
      <c r="G27" s="1416"/>
      <c r="H27" s="1416"/>
      <c r="I27" s="1416"/>
      <c r="J27" s="1416"/>
      <c r="K27" s="1416"/>
      <c r="L27" s="1416"/>
      <c r="M27" s="1416"/>
      <c r="N27" s="1416"/>
      <c r="O27" s="1416"/>
      <c r="P27" s="1416"/>
      <c r="Q27" s="1416"/>
      <c r="R27" s="1416"/>
      <c r="S27" s="19"/>
    </row>
    <row r="28" spans="1:19" ht="15.95" customHeight="1">
      <c r="B28" s="155"/>
      <c r="C28" s="1341"/>
      <c r="D28" s="1341"/>
      <c r="E28" s="1341"/>
      <c r="F28" s="1341"/>
      <c r="G28" s="1341"/>
      <c r="H28" s="1341"/>
      <c r="I28" s="1341"/>
      <c r="J28" s="1341"/>
      <c r="K28" s="1341"/>
      <c r="L28" s="1341"/>
      <c r="M28" s="1341"/>
      <c r="N28" s="1341"/>
      <c r="O28" s="1341"/>
      <c r="P28" s="1341"/>
      <c r="Q28" s="1341"/>
      <c r="R28" s="1341"/>
      <c r="S28" s="19"/>
    </row>
    <row r="29" spans="1:19" ht="15.95" customHeight="1">
      <c r="B29" s="290" t="s">
        <v>13</v>
      </c>
      <c r="C29" s="1416" t="s">
        <v>14</v>
      </c>
      <c r="D29" s="1416"/>
      <c r="E29" s="1416"/>
      <c r="F29" s="1416"/>
      <c r="G29" s="1416"/>
      <c r="H29" s="1416"/>
      <c r="I29" s="1416"/>
      <c r="J29" s="1416"/>
      <c r="K29" s="1416"/>
      <c r="L29" s="1416"/>
      <c r="M29" s="1416"/>
      <c r="N29" s="1416"/>
      <c r="O29" s="1416"/>
      <c r="P29" s="1416"/>
      <c r="Q29" s="1416"/>
      <c r="R29" s="1416"/>
      <c r="S29" s="19"/>
    </row>
    <row r="30" spans="1:19" ht="15.95" customHeight="1">
      <c r="B30" s="155"/>
      <c r="C30" s="19"/>
      <c r="D30" s="19"/>
      <c r="E30" s="19"/>
      <c r="F30" s="19"/>
      <c r="G30" s="19"/>
      <c r="H30" s="19"/>
      <c r="I30" s="19"/>
      <c r="J30" s="19"/>
      <c r="K30" s="19"/>
      <c r="L30" s="19"/>
      <c r="M30" s="19"/>
      <c r="N30" s="19"/>
      <c r="O30" s="19"/>
      <c r="P30" s="19"/>
      <c r="Q30" s="19"/>
      <c r="R30" s="19"/>
      <c r="S30" s="19"/>
    </row>
    <row r="31" spans="1:19" ht="15.95" customHeight="1">
      <c r="B31" s="291" t="s">
        <v>15</v>
      </c>
      <c r="C31" s="1417" t="s">
        <v>16</v>
      </c>
      <c r="D31" s="1417"/>
      <c r="E31" s="1417"/>
      <c r="F31" s="1417"/>
      <c r="G31" s="1417"/>
      <c r="H31" s="1417"/>
      <c r="I31" s="1417"/>
      <c r="J31" s="1417"/>
      <c r="K31" s="1417"/>
      <c r="L31" s="1417"/>
      <c r="M31" s="1417"/>
      <c r="N31" s="1417"/>
      <c r="O31" s="1417"/>
      <c r="P31" s="1417"/>
      <c r="Q31" s="1417"/>
      <c r="R31" s="1417"/>
      <c r="S31" s="19"/>
    </row>
    <row r="32" spans="1:19" ht="15.95" customHeight="1">
      <c r="B32" s="292"/>
      <c r="C32" s="1342"/>
      <c r="D32" s="1342"/>
      <c r="E32" s="1342"/>
      <c r="F32" s="1342"/>
      <c r="G32" s="1342"/>
      <c r="H32" s="1342"/>
      <c r="I32" s="1342"/>
      <c r="J32" s="1342"/>
      <c r="K32" s="1342"/>
      <c r="L32" s="1342"/>
      <c r="M32" s="1342"/>
      <c r="N32" s="1342"/>
      <c r="O32" s="1342"/>
      <c r="P32" s="1342"/>
      <c r="Q32" s="1342"/>
      <c r="R32" s="1342"/>
      <c r="S32" s="19"/>
    </row>
    <row r="33" spans="2:19" ht="15.95" customHeight="1">
      <c r="B33" s="292"/>
      <c r="C33" s="1342"/>
      <c r="D33" s="1342"/>
      <c r="E33" s="1342"/>
      <c r="F33" s="1342"/>
      <c r="G33" s="1342"/>
      <c r="H33" s="1342"/>
      <c r="I33" s="1342"/>
      <c r="J33" s="1342"/>
      <c r="K33" s="1342"/>
      <c r="L33" s="1342"/>
      <c r="M33" s="1342"/>
      <c r="N33" s="1342"/>
      <c r="O33" s="1342"/>
      <c r="P33" s="1342"/>
      <c r="Q33" s="1342"/>
      <c r="R33" s="1342"/>
      <c r="S33" s="19"/>
    </row>
    <row r="34" spans="2:19" ht="15.95" customHeight="1">
      <c r="B34" s="61" t="s">
        <v>17</v>
      </c>
      <c r="C34" s="19" t="s">
        <v>18</v>
      </c>
      <c r="D34" s="1342"/>
      <c r="E34" s="1342"/>
      <c r="F34" s="1342"/>
      <c r="G34" s="1342"/>
      <c r="H34" s="1342"/>
      <c r="I34" s="1342"/>
      <c r="J34" s="1342"/>
      <c r="K34" s="1342"/>
      <c r="L34" s="1342"/>
      <c r="M34" s="1342"/>
      <c r="N34" s="1342"/>
      <c r="O34" s="1342"/>
      <c r="P34" s="1342"/>
      <c r="Q34" s="1342"/>
      <c r="R34" s="1342"/>
      <c r="S34" s="19"/>
    </row>
    <row r="35" spans="2:19" ht="15.95" customHeight="1">
      <c r="B35" s="37"/>
    </row>
    <row r="36" spans="2:19" ht="15.95" customHeight="1">
      <c r="B36" s="293" t="s">
        <v>19</v>
      </c>
      <c r="C36" s="3" t="s">
        <v>20</v>
      </c>
    </row>
    <row r="37" spans="2:19" ht="15.95" customHeight="1">
      <c r="B37" s="37"/>
    </row>
    <row r="38" spans="2:19" ht="15.95" customHeight="1">
      <c r="B38" s="294" t="s">
        <v>21</v>
      </c>
      <c r="C38" s="3" t="s">
        <v>22</v>
      </c>
    </row>
    <row r="39" spans="2:19" ht="15.95" customHeight="1">
      <c r="B39" s="37"/>
    </row>
    <row r="40" spans="2:19" ht="15.95" customHeight="1">
      <c r="B40" s="295" t="s">
        <v>23</v>
      </c>
      <c r="C40" s="3" t="s">
        <v>24</v>
      </c>
    </row>
    <row r="41" spans="2:19" ht="15.95" customHeight="1">
      <c r="B41" s="37"/>
    </row>
    <row r="42" spans="2:19" ht="15.95" customHeight="1">
      <c r="B42" s="296" t="s">
        <v>25</v>
      </c>
      <c r="C42" s="3" t="s">
        <v>26</v>
      </c>
    </row>
    <row r="43" spans="2:19" ht="15.95" customHeight="1">
      <c r="B43" s="37"/>
    </row>
    <row r="44" spans="2:19" ht="15.95" customHeight="1">
      <c r="B44" s="37"/>
    </row>
    <row r="45" spans="2:19" ht="15.95" customHeight="1">
      <c r="B45" s="37"/>
    </row>
    <row r="46" spans="2:19" ht="15.95" customHeight="1">
      <c r="B46" s="37"/>
    </row>
    <row r="47" spans="2:19" ht="15.95" customHeight="1">
      <c r="B47" s="37"/>
    </row>
    <row r="48" spans="2:19" ht="15.95" customHeight="1">
      <c r="B48" s="37"/>
    </row>
    <row r="49" spans="2:2" ht="15.95" customHeight="1">
      <c r="B49" s="37"/>
    </row>
    <row r="50" spans="2:2" ht="15.95" customHeight="1">
      <c r="B50" s="37"/>
    </row>
    <row r="51" spans="2:2" ht="15.95" customHeight="1">
      <c r="B51" s="37"/>
    </row>
    <row r="52" spans="2:2" ht="15.95" customHeight="1">
      <c r="B52" s="37"/>
    </row>
    <row r="53" spans="2:2" ht="15.95" customHeight="1">
      <c r="B53" s="37"/>
    </row>
    <row r="54" spans="2:2" ht="15.95" customHeight="1">
      <c r="B54" s="37"/>
    </row>
    <row r="55" spans="2:2" ht="15.95" customHeight="1">
      <c r="B55" s="37"/>
    </row>
    <row r="56" spans="2:2" ht="15.95" customHeight="1">
      <c r="B56" s="37"/>
    </row>
    <row r="57" spans="2:2" ht="15.95" customHeight="1">
      <c r="B57" s="37"/>
    </row>
    <row r="58" spans="2:2" ht="15.95" customHeight="1">
      <c r="B58" s="37"/>
    </row>
    <row r="59" spans="2:2" ht="15.95" customHeight="1">
      <c r="B59" s="37"/>
    </row>
    <row r="60" spans="2:2" ht="15.95" customHeight="1">
      <c r="B60" s="37"/>
    </row>
    <row r="61" spans="2:2" ht="15.95" customHeight="1">
      <c r="B61" s="37"/>
    </row>
    <row r="62" spans="2:2" ht="15.95" customHeight="1">
      <c r="B62" s="37"/>
    </row>
    <row r="63" spans="2:2" ht="15.95" customHeight="1">
      <c r="B63" s="37"/>
    </row>
    <row r="64" spans="2:2" ht="15.95" customHeight="1">
      <c r="B64" s="37"/>
    </row>
    <row r="65" spans="2:2" ht="15.95" customHeight="1">
      <c r="B65" s="37"/>
    </row>
    <row r="66" spans="2:2" ht="15.95" customHeight="1">
      <c r="B66" s="37"/>
    </row>
    <row r="67" spans="2:2" ht="15.95" customHeight="1">
      <c r="B67" s="37"/>
    </row>
    <row r="68" spans="2:2" ht="15.95" customHeight="1">
      <c r="B68" s="37"/>
    </row>
    <row r="69" spans="2:2" ht="15.95" customHeight="1">
      <c r="B69" s="37"/>
    </row>
    <row r="70" spans="2:2" ht="15.95" customHeight="1">
      <c r="B70" s="37"/>
    </row>
    <row r="71" spans="2:2" ht="15.95" customHeight="1">
      <c r="B71" s="37"/>
    </row>
    <row r="72" spans="2:2" ht="15.95" customHeight="1">
      <c r="B72" s="37"/>
    </row>
    <row r="73" spans="2:2" ht="15.95" customHeight="1">
      <c r="B73" s="37"/>
    </row>
    <row r="74" spans="2:2" ht="15.95" customHeight="1">
      <c r="B74" s="37"/>
    </row>
    <row r="75" spans="2:2" ht="15.95" customHeight="1">
      <c r="B75" s="37"/>
    </row>
    <row r="76" spans="2:2" ht="15.95" customHeight="1">
      <c r="B76" s="37"/>
    </row>
    <row r="77" spans="2:2" ht="15.95" customHeight="1">
      <c r="B77" s="37"/>
    </row>
    <row r="78" spans="2:2" ht="15.95" customHeight="1">
      <c r="B78" s="37"/>
    </row>
    <row r="79" spans="2:2" ht="15.95" customHeight="1">
      <c r="B79" s="37"/>
    </row>
    <row r="80" spans="2:2" ht="15.95" customHeight="1">
      <c r="B80" s="37"/>
    </row>
    <row r="81" spans="2:2" ht="15.95" customHeight="1">
      <c r="B81" s="37"/>
    </row>
    <row r="82" spans="2:2" ht="15.95" customHeight="1">
      <c r="B82" s="37"/>
    </row>
    <row r="83" spans="2:2" ht="15.95" customHeight="1">
      <c r="B83" s="37"/>
    </row>
    <row r="84" spans="2:2" ht="15.95" customHeight="1">
      <c r="B84" s="37"/>
    </row>
    <row r="85" spans="2:2" ht="15.95" customHeight="1">
      <c r="B85" s="37"/>
    </row>
    <row r="86" spans="2:2" ht="15.95" customHeight="1">
      <c r="B86" s="37"/>
    </row>
    <row r="87" spans="2:2" ht="15.95" customHeight="1">
      <c r="B87" s="37"/>
    </row>
    <row r="88" spans="2:2" ht="15.95" customHeight="1">
      <c r="B88" s="37"/>
    </row>
    <row r="89" spans="2:2" ht="15.95" customHeight="1">
      <c r="B89" s="37"/>
    </row>
    <row r="90" spans="2:2" ht="15.95" customHeight="1">
      <c r="B90" s="37"/>
    </row>
    <row r="91" spans="2:2" ht="15.95" customHeight="1">
      <c r="B91" s="37"/>
    </row>
    <row r="92" spans="2:2" ht="15.95" customHeight="1">
      <c r="B92" s="37"/>
    </row>
    <row r="93" spans="2:2" ht="15.95" customHeight="1">
      <c r="B93" s="37"/>
    </row>
    <row r="94" spans="2:2" ht="15.95" customHeight="1">
      <c r="B94" s="37"/>
    </row>
    <row r="95" spans="2:2" ht="15.95" customHeight="1">
      <c r="B95" s="37"/>
    </row>
    <row r="96" spans="2:2" ht="15.95" customHeight="1">
      <c r="B96" s="37"/>
    </row>
    <row r="97" spans="2:2" ht="15.95" customHeight="1">
      <c r="B97" s="37"/>
    </row>
    <row r="98" spans="2:2" ht="15.95" customHeight="1">
      <c r="B98" s="37"/>
    </row>
    <row r="99" spans="2:2" ht="15.95" customHeight="1">
      <c r="B99" s="37"/>
    </row>
    <row r="100" spans="2:2" ht="15.95" customHeight="1">
      <c r="B100" s="37"/>
    </row>
    <row r="101" spans="2:2" ht="15.95" customHeight="1">
      <c r="B101" s="37"/>
    </row>
    <row r="102" spans="2:2" ht="15.95" customHeight="1">
      <c r="B102" s="37"/>
    </row>
    <row r="103" spans="2:2" ht="15.95" customHeight="1">
      <c r="B103" s="37"/>
    </row>
    <row r="104" spans="2:2" ht="15.95" customHeight="1">
      <c r="B104" s="37"/>
    </row>
    <row r="105" spans="2:2" ht="15.95" customHeight="1">
      <c r="B105" s="37"/>
    </row>
    <row r="106" spans="2:2" ht="15.95" customHeight="1">
      <c r="B106" s="37"/>
    </row>
    <row r="107" spans="2:2" ht="15.95" customHeight="1">
      <c r="B107" s="37"/>
    </row>
    <row r="108" spans="2:2" ht="15.95" customHeight="1">
      <c r="B108" s="37"/>
    </row>
    <row r="109" spans="2:2" ht="15.95" customHeight="1">
      <c r="B109" s="37"/>
    </row>
    <row r="110" spans="2:2" ht="15.95" customHeight="1">
      <c r="B110" s="37"/>
    </row>
    <row r="111" spans="2:2" ht="15.95" customHeight="1">
      <c r="B111" s="37"/>
    </row>
    <row r="112" spans="2:2" ht="15.95" customHeight="1">
      <c r="B112" s="37"/>
    </row>
    <row r="113" spans="2:2" ht="15.95" customHeight="1">
      <c r="B113" s="37"/>
    </row>
    <row r="114" spans="2:2" ht="15.95" customHeight="1">
      <c r="B114" s="37"/>
    </row>
    <row r="115" spans="2:2" ht="15.95" customHeight="1">
      <c r="B115" s="37"/>
    </row>
    <row r="116" spans="2:2" ht="15.95" customHeight="1">
      <c r="B116" s="37"/>
    </row>
    <row r="117" spans="2:2" ht="15.95" customHeight="1">
      <c r="B117" s="37"/>
    </row>
    <row r="118" spans="2:2" ht="15.95" customHeight="1">
      <c r="B118" s="37"/>
    </row>
    <row r="119" spans="2:2" ht="15.95" customHeight="1">
      <c r="B119" s="37"/>
    </row>
    <row r="120" spans="2:2" ht="15.95" customHeight="1">
      <c r="B120" s="37"/>
    </row>
    <row r="121" spans="2:2" ht="15.95" customHeight="1">
      <c r="B121" s="37"/>
    </row>
    <row r="122" spans="2:2" ht="15.95" customHeight="1">
      <c r="B122" s="37"/>
    </row>
    <row r="123" spans="2:2" ht="15.95" customHeight="1">
      <c r="B123" s="37"/>
    </row>
    <row r="124" spans="2:2" ht="15.95" customHeight="1">
      <c r="B124" s="37"/>
    </row>
    <row r="125" spans="2:2" ht="15.95" customHeight="1">
      <c r="B125" s="37"/>
    </row>
    <row r="126" spans="2:2" ht="15.95" customHeight="1">
      <c r="B126" s="37"/>
    </row>
    <row r="127" spans="2:2" ht="15.95" customHeight="1">
      <c r="B127" s="37"/>
    </row>
    <row r="128" spans="2:2" ht="15.95" customHeight="1">
      <c r="B128" s="37"/>
    </row>
    <row r="129" spans="2:2" ht="15.95" customHeight="1">
      <c r="B129" s="37"/>
    </row>
    <row r="130" spans="2:2" ht="15.95" customHeight="1">
      <c r="B130" s="37"/>
    </row>
    <row r="131" spans="2:2" ht="15.95" customHeight="1">
      <c r="B131" s="37"/>
    </row>
    <row r="132" spans="2:2" ht="15.95" customHeight="1">
      <c r="B132" s="37"/>
    </row>
    <row r="133" spans="2:2" ht="15.95" customHeight="1">
      <c r="B133" s="37"/>
    </row>
    <row r="134" spans="2:2" ht="15.95" customHeight="1">
      <c r="B134" s="37"/>
    </row>
    <row r="135" spans="2:2" ht="15.95" customHeight="1">
      <c r="B135" s="37"/>
    </row>
    <row r="136" spans="2:2" ht="15.95" customHeight="1">
      <c r="B136" s="37"/>
    </row>
    <row r="137" spans="2:2" ht="15.95" customHeight="1">
      <c r="B137" s="37"/>
    </row>
    <row r="138" spans="2:2" ht="15.95" customHeight="1">
      <c r="B138" s="37"/>
    </row>
    <row r="139" spans="2:2" ht="15.95" customHeight="1">
      <c r="B139" s="37"/>
    </row>
    <row r="140" spans="2:2" ht="15.95" customHeight="1">
      <c r="B140" s="37"/>
    </row>
    <row r="141" spans="2:2" ht="15.95" customHeight="1">
      <c r="B141" s="37"/>
    </row>
    <row r="142" spans="2:2" ht="15.95" customHeight="1">
      <c r="B142" s="37"/>
    </row>
    <row r="143" spans="2:2" ht="15.95" customHeight="1">
      <c r="B143" s="37"/>
    </row>
    <row r="144" spans="2:2" ht="15.95" customHeight="1">
      <c r="B144" s="37"/>
    </row>
    <row r="145" spans="2:2" ht="15.95" customHeight="1">
      <c r="B145" s="37"/>
    </row>
    <row r="146" spans="2:2" ht="15.95" customHeight="1">
      <c r="B146" s="37"/>
    </row>
    <row r="147" spans="2:2" ht="15.95" customHeight="1">
      <c r="B147" s="37"/>
    </row>
    <row r="148" spans="2:2" ht="15.95" customHeight="1">
      <c r="B148" s="37"/>
    </row>
    <row r="149" spans="2:2" ht="15.95" customHeight="1">
      <c r="B149" s="37"/>
    </row>
    <row r="150" spans="2:2" ht="15.95" customHeight="1">
      <c r="B150" s="37"/>
    </row>
    <row r="151" spans="2:2" ht="15.95" customHeight="1">
      <c r="B151" s="37"/>
    </row>
    <row r="152" spans="2:2" ht="15.95" customHeight="1">
      <c r="B152" s="37"/>
    </row>
    <row r="153" spans="2:2" ht="15.95" customHeight="1">
      <c r="B153" s="37"/>
    </row>
    <row r="154" spans="2:2" ht="15.95" customHeight="1">
      <c r="B154" s="37"/>
    </row>
    <row r="155" spans="2:2" ht="15.95" customHeight="1">
      <c r="B155" s="37"/>
    </row>
    <row r="156" spans="2:2" ht="15.95" customHeight="1">
      <c r="B156" s="37"/>
    </row>
    <row r="157" spans="2:2" ht="15.95" customHeight="1">
      <c r="B157" s="37"/>
    </row>
    <row r="158" spans="2:2" ht="15.95" customHeight="1">
      <c r="B158" s="37"/>
    </row>
    <row r="159" spans="2:2" ht="15.95" customHeight="1">
      <c r="B159" s="37"/>
    </row>
    <row r="160" spans="2:2" ht="15.95" customHeight="1">
      <c r="B160" s="37"/>
    </row>
    <row r="161" spans="2:2" ht="15.95" customHeight="1">
      <c r="B161" s="37"/>
    </row>
    <row r="162" spans="2:2" ht="15.95" customHeight="1">
      <c r="B162" s="37"/>
    </row>
    <row r="163" spans="2:2" ht="15.95" customHeight="1">
      <c r="B163" s="37"/>
    </row>
    <row r="164" spans="2:2" ht="15.95" customHeight="1">
      <c r="B164" s="37"/>
    </row>
    <row r="165" spans="2:2" ht="15.95" customHeight="1">
      <c r="B165" s="37"/>
    </row>
    <row r="166" spans="2:2" ht="15.95" customHeight="1">
      <c r="B166" s="37"/>
    </row>
    <row r="167" spans="2:2" ht="15.95" customHeight="1">
      <c r="B167" s="37"/>
    </row>
    <row r="168" spans="2:2" ht="15.95" customHeight="1">
      <c r="B168" s="37"/>
    </row>
    <row r="169" spans="2:2" ht="15.95" customHeight="1">
      <c r="B169" s="37"/>
    </row>
    <row r="170" spans="2:2" ht="15.95" customHeight="1">
      <c r="B170" s="37"/>
    </row>
    <row r="171" spans="2:2" ht="15.95" customHeight="1">
      <c r="B171" s="37"/>
    </row>
    <row r="172" spans="2:2" ht="15.95" customHeight="1">
      <c r="B172" s="37"/>
    </row>
    <row r="173" spans="2:2" ht="15.95" customHeight="1">
      <c r="B173" s="37"/>
    </row>
    <row r="174" spans="2:2" ht="15.95" customHeight="1">
      <c r="B174" s="37"/>
    </row>
    <row r="175" spans="2:2" ht="15.95" customHeight="1">
      <c r="B175" s="37"/>
    </row>
    <row r="176" spans="2:2" ht="15.95" customHeight="1">
      <c r="B176" s="37"/>
    </row>
    <row r="177" spans="2:2" ht="15.95" customHeight="1">
      <c r="B177" s="37"/>
    </row>
    <row r="178" spans="2:2" ht="15.95" customHeight="1">
      <c r="B178" s="37"/>
    </row>
    <row r="179" spans="2:2" ht="15.95" customHeight="1">
      <c r="B179" s="37"/>
    </row>
    <row r="180" spans="2:2" ht="15.95" customHeight="1">
      <c r="B180" s="37"/>
    </row>
    <row r="181" spans="2:2" ht="15.95" customHeight="1">
      <c r="B181" s="37"/>
    </row>
    <row r="182" spans="2:2" ht="15.95" customHeight="1">
      <c r="B182" s="37"/>
    </row>
    <row r="183" spans="2:2" ht="15.95" customHeight="1">
      <c r="B183" s="37"/>
    </row>
    <row r="184" spans="2:2" ht="15.95" customHeight="1">
      <c r="B184" s="37"/>
    </row>
    <row r="185" spans="2:2" ht="15.95" customHeight="1">
      <c r="B185" s="37"/>
    </row>
    <row r="186" spans="2:2" ht="15.95" customHeight="1">
      <c r="B186" s="37"/>
    </row>
    <row r="187" spans="2:2" ht="15.95" customHeight="1">
      <c r="B187" s="37"/>
    </row>
    <row r="188" spans="2:2" ht="15.95" customHeight="1">
      <c r="B188" s="37"/>
    </row>
    <row r="189" spans="2:2" ht="15.95" customHeight="1">
      <c r="B189" s="37"/>
    </row>
    <row r="190" spans="2:2" ht="15.95" customHeight="1">
      <c r="B190" s="37"/>
    </row>
    <row r="191" spans="2:2" ht="15.95" customHeight="1">
      <c r="B191" s="37"/>
    </row>
    <row r="192" spans="2:2" ht="15.95" customHeight="1">
      <c r="B192" s="37"/>
    </row>
    <row r="193" spans="2:2" ht="15.95" customHeight="1">
      <c r="B193" s="37"/>
    </row>
    <row r="194" spans="2:2" ht="15.95" customHeight="1">
      <c r="B194" s="37"/>
    </row>
    <row r="195" spans="2:2" ht="15.95" customHeight="1">
      <c r="B195" s="37"/>
    </row>
    <row r="196" spans="2:2" ht="15.95" customHeight="1">
      <c r="B196" s="37"/>
    </row>
    <row r="197" spans="2:2" ht="15.95" customHeight="1">
      <c r="B197" s="37"/>
    </row>
    <row r="198" spans="2:2" ht="15.95" customHeight="1">
      <c r="B198" s="37"/>
    </row>
    <row r="199" spans="2:2" ht="15.95" customHeight="1">
      <c r="B199" s="37"/>
    </row>
    <row r="200" spans="2:2" ht="15.95" customHeight="1">
      <c r="B200" s="37"/>
    </row>
    <row r="201" spans="2:2" ht="15.95" customHeight="1">
      <c r="B201" s="37"/>
    </row>
    <row r="202" spans="2:2" ht="15.95" customHeight="1">
      <c r="B202" s="37"/>
    </row>
    <row r="203" spans="2:2" ht="15.95" customHeight="1">
      <c r="B203" s="37"/>
    </row>
    <row r="204" spans="2:2" ht="15.95" customHeight="1">
      <c r="B204" s="37"/>
    </row>
    <row r="205" spans="2:2" ht="15.95" customHeight="1">
      <c r="B205" s="37"/>
    </row>
    <row r="206" spans="2:2" ht="15.95" customHeight="1">
      <c r="B206" s="37"/>
    </row>
    <row r="207" spans="2:2" ht="15.95" customHeight="1">
      <c r="B207" s="37"/>
    </row>
    <row r="208" spans="2:2" ht="15.95" customHeight="1">
      <c r="B208" s="37"/>
    </row>
    <row r="209" spans="2:2" ht="15.95" customHeight="1">
      <c r="B209" s="37"/>
    </row>
    <row r="210" spans="2:2" ht="15.95" customHeight="1">
      <c r="B210" s="37"/>
    </row>
    <row r="211" spans="2:2" ht="15.95" customHeight="1">
      <c r="B211" s="37"/>
    </row>
    <row r="212" spans="2:2" ht="15.95" customHeight="1">
      <c r="B212" s="37"/>
    </row>
    <row r="213" spans="2:2" ht="15.95" customHeight="1">
      <c r="B213" s="37"/>
    </row>
    <row r="214" spans="2:2" ht="15.95" customHeight="1">
      <c r="B214" s="37"/>
    </row>
    <row r="215" spans="2:2" ht="15.95" customHeight="1">
      <c r="B215" s="37"/>
    </row>
    <row r="216" spans="2:2" ht="15.95" customHeight="1">
      <c r="B216" s="37"/>
    </row>
    <row r="217" spans="2:2" ht="15.95" customHeight="1">
      <c r="B217" s="37"/>
    </row>
    <row r="218" spans="2:2" ht="15.95" customHeight="1">
      <c r="B218" s="37"/>
    </row>
    <row r="219" spans="2:2" ht="15.95" customHeight="1">
      <c r="B219" s="37"/>
    </row>
    <row r="220" spans="2:2" ht="15.95" customHeight="1">
      <c r="B220" s="37"/>
    </row>
    <row r="221" spans="2:2" ht="15.95" customHeight="1">
      <c r="B221" s="37"/>
    </row>
    <row r="222" spans="2:2" ht="15.95" customHeight="1">
      <c r="B222" s="37"/>
    </row>
    <row r="223" spans="2:2" ht="15.95" customHeight="1">
      <c r="B223" s="37"/>
    </row>
    <row r="224" spans="2:2" ht="15.95" customHeight="1">
      <c r="B224" s="37"/>
    </row>
    <row r="225" spans="2:2" ht="15.95" customHeight="1">
      <c r="B225" s="37"/>
    </row>
    <row r="226" spans="2:2" ht="15.95" customHeight="1">
      <c r="B226" s="37"/>
    </row>
    <row r="227" spans="2:2" ht="15.95" customHeight="1">
      <c r="B227" s="37"/>
    </row>
    <row r="228" spans="2:2" ht="15.95" customHeight="1">
      <c r="B228" s="37"/>
    </row>
    <row r="229" spans="2:2" ht="15.95" customHeight="1">
      <c r="B229" s="37"/>
    </row>
    <row r="230" spans="2:2" ht="15.95" customHeight="1">
      <c r="B230" s="37"/>
    </row>
    <row r="231" spans="2:2" ht="15.95" customHeight="1">
      <c r="B231" s="37"/>
    </row>
    <row r="232" spans="2:2" ht="15.95" customHeight="1">
      <c r="B232" s="37"/>
    </row>
    <row r="233" spans="2:2" ht="15.95" customHeight="1">
      <c r="B233" s="37"/>
    </row>
    <row r="234" spans="2:2" ht="15.95" customHeight="1">
      <c r="B234" s="37"/>
    </row>
    <row r="235" spans="2:2" ht="15.95" customHeight="1">
      <c r="B235" s="37"/>
    </row>
    <row r="236" spans="2:2" ht="15.95" customHeight="1">
      <c r="B236" s="37"/>
    </row>
    <row r="237" spans="2:2" ht="15.95" customHeight="1">
      <c r="B237" s="37"/>
    </row>
    <row r="238" spans="2:2" ht="15.95" customHeight="1">
      <c r="B238" s="37"/>
    </row>
    <row r="239" spans="2:2" ht="15.95" customHeight="1">
      <c r="B239" s="37"/>
    </row>
    <row r="240" spans="2:2" ht="15.95" customHeight="1">
      <c r="B240" s="37"/>
    </row>
    <row r="241" spans="2:2" ht="15.95" customHeight="1">
      <c r="B241" s="37"/>
    </row>
    <row r="242" spans="2:2" ht="15.95" customHeight="1">
      <c r="B242" s="37"/>
    </row>
    <row r="243" spans="2:2" ht="15.95" customHeight="1">
      <c r="B243" s="37"/>
    </row>
    <row r="244" spans="2:2" ht="15.95" customHeight="1">
      <c r="B244" s="37"/>
    </row>
    <row r="245" spans="2:2" ht="15.95" customHeight="1">
      <c r="B245" s="37"/>
    </row>
    <row r="246" spans="2:2" ht="15.95" customHeight="1">
      <c r="B246" s="37"/>
    </row>
    <row r="247" spans="2:2" ht="15.95" customHeight="1">
      <c r="B247" s="37"/>
    </row>
    <row r="248" spans="2:2" ht="15.95" customHeight="1">
      <c r="B248" s="37"/>
    </row>
    <row r="249" spans="2:2" ht="15.95" customHeight="1">
      <c r="B249" s="37"/>
    </row>
    <row r="250" spans="2:2" ht="15.95" customHeight="1">
      <c r="B250" s="37"/>
    </row>
    <row r="251" spans="2:2" ht="15.95" customHeight="1">
      <c r="B251" s="37"/>
    </row>
    <row r="252" spans="2:2" ht="15.95" customHeight="1">
      <c r="B252" s="37"/>
    </row>
    <row r="253" spans="2:2" ht="15.95" customHeight="1">
      <c r="B253" s="37"/>
    </row>
    <row r="254" spans="2:2" ht="15.95" customHeight="1">
      <c r="B254" s="37"/>
    </row>
    <row r="255" spans="2:2" ht="15.95" customHeight="1">
      <c r="B255" s="37"/>
    </row>
    <row r="256" spans="2:2" ht="15.95" customHeight="1">
      <c r="B256" s="37"/>
    </row>
    <row r="257" spans="2:2" ht="15.95" customHeight="1">
      <c r="B257" s="37"/>
    </row>
    <row r="258" spans="2:2" ht="15.95" customHeight="1">
      <c r="B258" s="37"/>
    </row>
    <row r="259" spans="2:2" ht="15.95" customHeight="1">
      <c r="B259" s="37"/>
    </row>
    <row r="260" spans="2:2" ht="15.95" customHeight="1">
      <c r="B260" s="37"/>
    </row>
    <row r="261" spans="2:2" ht="15.95" customHeight="1">
      <c r="B261" s="37"/>
    </row>
    <row r="262" spans="2:2" ht="15.95" customHeight="1">
      <c r="B262" s="37"/>
    </row>
    <row r="263" spans="2:2" ht="15.95" customHeight="1">
      <c r="B263" s="37"/>
    </row>
    <row r="264" spans="2:2" ht="15.95" customHeight="1">
      <c r="B264" s="37"/>
    </row>
    <row r="265" spans="2:2" ht="15.95" customHeight="1">
      <c r="B265" s="37"/>
    </row>
    <row r="266" spans="2:2" ht="15.95" customHeight="1">
      <c r="B266" s="37"/>
    </row>
    <row r="267" spans="2:2" ht="15.95" customHeight="1">
      <c r="B267" s="37"/>
    </row>
    <row r="268" spans="2:2" ht="15.95" customHeight="1">
      <c r="B268" s="37"/>
    </row>
    <row r="269" spans="2:2" ht="15.95" customHeight="1">
      <c r="B269" s="37"/>
    </row>
    <row r="270" spans="2:2" ht="15.95" customHeight="1">
      <c r="B270" s="37"/>
    </row>
    <row r="271" spans="2:2" ht="15.95" customHeight="1">
      <c r="B271" s="37"/>
    </row>
    <row r="272" spans="2:2" ht="15.95" customHeight="1">
      <c r="B272" s="37"/>
    </row>
    <row r="273" spans="2:2" ht="15.95" customHeight="1">
      <c r="B273" s="37"/>
    </row>
    <row r="274" spans="2:2" ht="15.95" customHeight="1">
      <c r="B274" s="37"/>
    </row>
    <row r="275" spans="2:2" ht="15.95" customHeight="1">
      <c r="B275" s="37"/>
    </row>
    <row r="276" spans="2:2" ht="15.95" customHeight="1">
      <c r="B276" s="37"/>
    </row>
    <row r="277" spans="2:2" ht="15.95" customHeight="1">
      <c r="B277" s="37"/>
    </row>
    <row r="278" spans="2:2" ht="15.95" customHeight="1">
      <c r="B278" s="37"/>
    </row>
    <row r="279" spans="2:2" ht="15.95" customHeight="1">
      <c r="B279" s="37"/>
    </row>
    <row r="280" spans="2:2" ht="15.95" customHeight="1">
      <c r="B280" s="37"/>
    </row>
    <row r="281" spans="2:2" ht="15.95" customHeight="1">
      <c r="B281" s="37"/>
    </row>
    <row r="282" spans="2:2" ht="15.95" customHeight="1">
      <c r="B282" s="37"/>
    </row>
    <row r="283" spans="2:2" ht="15.95" customHeight="1">
      <c r="B283" s="37"/>
    </row>
    <row r="284" spans="2:2" ht="15.95" customHeight="1">
      <c r="B284" s="37"/>
    </row>
    <row r="285" spans="2:2" ht="15.95" customHeight="1">
      <c r="B285" s="37"/>
    </row>
    <row r="286" spans="2:2" ht="15.95" customHeight="1">
      <c r="B286" s="37"/>
    </row>
    <row r="287" spans="2:2" ht="15.95" customHeight="1">
      <c r="B287" s="37"/>
    </row>
    <row r="288" spans="2:2" ht="15.95" customHeight="1">
      <c r="B288" s="37"/>
    </row>
    <row r="289" spans="2:2" ht="15.95" customHeight="1">
      <c r="B289" s="37"/>
    </row>
    <row r="290" spans="2:2" ht="15.95" customHeight="1">
      <c r="B290" s="37"/>
    </row>
    <row r="291" spans="2:2" ht="15.95" customHeight="1">
      <c r="B291" s="37"/>
    </row>
    <row r="292" spans="2:2" ht="15.95" customHeight="1">
      <c r="B292" s="37"/>
    </row>
    <row r="293" spans="2:2" ht="15.95" customHeight="1">
      <c r="B293" s="37"/>
    </row>
    <row r="294" spans="2:2" ht="15.95" customHeight="1">
      <c r="B294" s="37"/>
    </row>
    <row r="295" spans="2:2" ht="15.95" customHeight="1">
      <c r="B295" s="37"/>
    </row>
    <row r="296" spans="2:2" ht="15.95" customHeight="1">
      <c r="B296" s="37"/>
    </row>
    <row r="297" spans="2:2" ht="15.95" customHeight="1">
      <c r="B297" s="37"/>
    </row>
    <row r="298" spans="2:2" ht="15.95" customHeight="1">
      <c r="B298" s="37"/>
    </row>
    <row r="299" spans="2:2" ht="15.95" customHeight="1">
      <c r="B299" s="37"/>
    </row>
    <row r="300" spans="2:2" ht="15.95" customHeight="1">
      <c r="B300" s="37"/>
    </row>
    <row r="301" spans="2:2" ht="15.95" customHeight="1">
      <c r="B301" s="37"/>
    </row>
    <row r="302" spans="2:2" ht="15.95" customHeight="1">
      <c r="B302" s="37"/>
    </row>
    <row r="303" spans="2:2" ht="15.95" customHeight="1">
      <c r="B303" s="37"/>
    </row>
    <row r="304" spans="2:2" ht="15.95" customHeight="1">
      <c r="B304" s="37"/>
    </row>
    <row r="305" spans="2:2" ht="15.95" customHeight="1">
      <c r="B305" s="37"/>
    </row>
    <row r="306" spans="2:2" ht="15.95" customHeight="1">
      <c r="B306" s="37"/>
    </row>
    <row r="307" spans="2:2" ht="15.95" customHeight="1">
      <c r="B307" s="37"/>
    </row>
    <row r="308" spans="2:2" ht="15.95" customHeight="1">
      <c r="B308" s="37"/>
    </row>
    <row r="309" spans="2:2" ht="15.95" customHeight="1">
      <c r="B309" s="37"/>
    </row>
    <row r="310" spans="2:2" ht="15.95" customHeight="1">
      <c r="B310" s="37"/>
    </row>
    <row r="311" spans="2:2" ht="15.95" customHeight="1">
      <c r="B311" s="37"/>
    </row>
    <row r="312" spans="2:2" ht="15.95" customHeight="1">
      <c r="B312" s="37"/>
    </row>
    <row r="313" spans="2:2" ht="15.95" customHeight="1">
      <c r="B313" s="37"/>
    </row>
    <row r="314" spans="2:2" ht="15.95" customHeight="1">
      <c r="B314" s="37"/>
    </row>
    <row r="315" spans="2:2" ht="15.95" customHeight="1">
      <c r="B315" s="37"/>
    </row>
    <row r="316" spans="2:2" ht="15.95" customHeight="1">
      <c r="B316" s="37"/>
    </row>
    <row r="317" spans="2:2" ht="15.95" customHeight="1">
      <c r="B317" s="37"/>
    </row>
    <row r="318" spans="2:2" ht="15.95" customHeight="1">
      <c r="B318" s="37"/>
    </row>
    <row r="319" spans="2:2" ht="15.95" customHeight="1">
      <c r="B319" s="37"/>
    </row>
    <row r="320" spans="2:2" ht="15.95" customHeight="1">
      <c r="B320" s="37"/>
    </row>
    <row r="321" spans="2:2" ht="15.95" customHeight="1">
      <c r="B321" s="37"/>
    </row>
    <row r="322" spans="2:2" ht="15.95" customHeight="1">
      <c r="B322" s="37"/>
    </row>
    <row r="323" spans="2:2" ht="15.95" customHeight="1">
      <c r="B323" s="37"/>
    </row>
    <row r="324" spans="2:2" ht="15.95" customHeight="1">
      <c r="B324" s="37"/>
    </row>
    <row r="325" spans="2:2" ht="15.95" customHeight="1">
      <c r="B325" s="37"/>
    </row>
    <row r="326" spans="2:2" ht="15.95" customHeight="1">
      <c r="B326" s="37"/>
    </row>
    <row r="327" spans="2:2" ht="15.95" customHeight="1">
      <c r="B327" s="37"/>
    </row>
    <row r="328" spans="2:2" ht="15.95" customHeight="1">
      <c r="B328" s="37"/>
    </row>
    <row r="329" spans="2:2" ht="15.95" customHeight="1">
      <c r="B329" s="37"/>
    </row>
    <row r="330" spans="2:2" ht="15.95" customHeight="1">
      <c r="B330" s="37"/>
    </row>
    <row r="331" spans="2:2" ht="15.95" customHeight="1">
      <c r="B331" s="37"/>
    </row>
    <row r="332" spans="2:2" ht="15.95" customHeight="1">
      <c r="B332" s="37"/>
    </row>
    <row r="333" spans="2:2" ht="15.95" customHeight="1">
      <c r="B333" s="37"/>
    </row>
    <row r="334" spans="2:2" ht="15.95" customHeight="1">
      <c r="B334" s="37"/>
    </row>
    <row r="335" spans="2:2" ht="15.95" customHeight="1">
      <c r="B335" s="37"/>
    </row>
    <row r="336" spans="2:2" ht="15.95" customHeight="1">
      <c r="B336" s="37"/>
    </row>
    <row r="337" spans="2:2" ht="15.95" customHeight="1">
      <c r="B337" s="37"/>
    </row>
    <row r="338" spans="2:2" ht="15.95" customHeight="1">
      <c r="B338" s="37"/>
    </row>
    <row r="339" spans="2:2" ht="15.95" customHeight="1">
      <c r="B339" s="37"/>
    </row>
    <row r="340" spans="2:2" ht="15.95" customHeight="1">
      <c r="B340" s="37"/>
    </row>
    <row r="341" spans="2:2" ht="15.95" customHeight="1">
      <c r="B341" s="37"/>
    </row>
    <row r="342" spans="2:2" ht="15.95" customHeight="1">
      <c r="B342" s="37"/>
    </row>
    <row r="343" spans="2:2" ht="15.95" customHeight="1">
      <c r="B343" s="37"/>
    </row>
    <row r="344" spans="2:2" ht="15.95" customHeight="1">
      <c r="B344" s="37"/>
    </row>
    <row r="345" spans="2:2" ht="15.95" customHeight="1">
      <c r="B345" s="37"/>
    </row>
    <row r="346" spans="2:2" ht="15.95" customHeight="1">
      <c r="B346" s="37"/>
    </row>
    <row r="347" spans="2:2" ht="15.95" customHeight="1">
      <c r="B347" s="37"/>
    </row>
    <row r="348" spans="2:2" ht="15.95" customHeight="1">
      <c r="B348" s="37"/>
    </row>
    <row r="349" spans="2:2" ht="15.95" customHeight="1">
      <c r="B349" s="37"/>
    </row>
    <row r="350" spans="2:2" ht="15.95" customHeight="1">
      <c r="B350" s="37"/>
    </row>
    <row r="351" spans="2:2" ht="15.95" customHeight="1">
      <c r="B351" s="37"/>
    </row>
    <row r="352" spans="2:2" ht="15.95" customHeight="1">
      <c r="B352" s="37"/>
    </row>
    <row r="353" spans="2:2" ht="15.95" customHeight="1">
      <c r="B353" s="37"/>
    </row>
    <row r="354" spans="2:2" ht="15.95" customHeight="1">
      <c r="B354" s="37"/>
    </row>
    <row r="355" spans="2:2" ht="15.95" customHeight="1">
      <c r="B355" s="37"/>
    </row>
    <row r="356" spans="2:2" ht="15.95" customHeight="1">
      <c r="B356" s="37"/>
    </row>
    <row r="357" spans="2:2" ht="15.95" customHeight="1">
      <c r="B357" s="37"/>
    </row>
    <row r="358" spans="2:2" ht="15.95" customHeight="1">
      <c r="B358" s="37"/>
    </row>
    <row r="359" spans="2:2" ht="15.95" customHeight="1">
      <c r="B359" s="37"/>
    </row>
    <row r="360" spans="2:2" ht="15.95" customHeight="1">
      <c r="B360" s="37"/>
    </row>
    <row r="361" spans="2:2" ht="15.95" customHeight="1">
      <c r="B361" s="37"/>
    </row>
    <row r="362" spans="2:2" ht="15.95" customHeight="1">
      <c r="B362" s="37"/>
    </row>
    <row r="363" spans="2:2" ht="15.95" customHeight="1">
      <c r="B363" s="37"/>
    </row>
    <row r="364" spans="2:2" ht="15.95" customHeight="1">
      <c r="B364" s="37"/>
    </row>
    <row r="365" spans="2:2" ht="15.95" customHeight="1">
      <c r="B365" s="37"/>
    </row>
    <row r="366" spans="2:2" ht="15.95" customHeight="1">
      <c r="B366" s="37"/>
    </row>
    <row r="367" spans="2:2" ht="15.95" customHeight="1">
      <c r="B367" s="37"/>
    </row>
    <row r="368" spans="2:2" ht="15.95" customHeight="1">
      <c r="B368" s="37"/>
    </row>
    <row r="369" spans="2:2" ht="15.95" customHeight="1">
      <c r="B369" s="37"/>
    </row>
    <row r="370" spans="2:2" ht="15.95" customHeight="1">
      <c r="B370" s="37"/>
    </row>
    <row r="371" spans="2:2" ht="15.95" customHeight="1">
      <c r="B371" s="37"/>
    </row>
    <row r="372" spans="2:2" ht="15.95" customHeight="1">
      <c r="B372" s="37"/>
    </row>
    <row r="373" spans="2:2" ht="15.95" customHeight="1">
      <c r="B373" s="37"/>
    </row>
    <row r="374" spans="2:2" ht="15.95" customHeight="1">
      <c r="B374" s="37"/>
    </row>
    <row r="375" spans="2:2" ht="15.95" customHeight="1">
      <c r="B375" s="37"/>
    </row>
    <row r="376" spans="2:2" ht="15.95" customHeight="1">
      <c r="B376" s="37"/>
    </row>
    <row r="377" spans="2:2" ht="15.95" customHeight="1">
      <c r="B377" s="37"/>
    </row>
    <row r="378" spans="2:2" ht="15.95" customHeight="1">
      <c r="B378" s="37"/>
    </row>
    <row r="379" spans="2:2" ht="15.95" customHeight="1">
      <c r="B379" s="37"/>
    </row>
    <row r="380" spans="2:2" ht="15.95" customHeight="1">
      <c r="B380" s="37"/>
    </row>
    <row r="381" spans="2:2" ht="15.95" customHeight="1">
      <c r="B381" s="37"/>
    </row>
    <row r="382" spans="2:2" ht="15.95" customHeight="1">
      <c r="B382" s="37"/>
    </row>
    <row r="383" spans="2:2" ht="15.95" customHeight="1">
      <c r="B383" s="37"/>
    </row>
    <row r="384" spans="2:2" ht="15.95" customHeight="1">
      <c r="B384" s="37"/>
    </row>
    <row r="385" spans="2:2" ht="15.95" customHeight="1">
      <c r="B385" s="37"/>
    </row>
    <row r="386" spans="2:2" ht="15.95" customHeight="1">
      <c r="B386" s="37"/>
    </row>
    <row r="387" spans="2:2" ht="15.95" customHeight="1">
      <c r="B387" s="37"/>
    </row>
    <row r="388" spans="2:2" ht="15.95" customHeight="1">
      <c r="B388" s="37"/>
    </row>
    <row r="389" spans="2:2" ht="15.95" customHeight="1">
      <c r="B389" s="37"/>
    </row>
    <row r="390" spans="2:2" ht="15.95" customHeight="1">
      <c r="B390" s="37"/>
    </row>
    <row r="391" spans="2:2" ht="15.95" customHeight="1">
      <c r="B391" s="37"/>
    </row>
    <row r="392" spans="2:2" ht="15.95" customHeight="1">
      <c r="B392" s="37"/>
    </row>
    <row r="393" spans="2:2" ht="15.95" customHeight="1">
      <c r="B393" s="37"/>
    </row>
    <row r="394" spans="2:2" ht="15.95" customHeight="1">
      <c r="B394" s="37"/>
    </row>
    <row r="395" spans="2:2" ht="15.95" customHeight="1">
      <c r="B395" s="37"/>
    </row>
    <row r="396" spans="2:2" ht="15.95" customHeight="1">
      <c r="B396" s="37"/>
    </row>
    <row r="397" spans="2:2" ht="15.95" customHeight="1">
      <c r="B397" s="37"/>
    </row>
    <row r="398" spans="2:2" ht="15.95" customHeight="1">
      <c r="B398" s="37"/>
    </row>
    <row r="399" spans="2:2" ht="15.95" customHeight="1">
      <c r="B399" s="37"/>
    </row>
    <row r="400" spans="2:2" ht="15.95" customHeight="1">
      <c r="B400" s="37"/>
    </row>
    <row r="401" spans="2:2" ht="15.95" customHeight="1">
      <c r="B401" s="37"/>
    </row>
    <row r="402" spans="2:2" ht="15.95" customHeight="1">
      <c r="B402" s="37"/>
    </row>
    <row r="403" spans="2:2" ht="15.95" customHeight="1">
      <c r="B403" s="37"/>
    </row>
    <row r="404" spans="2:2" ht="15.95" customHeight="1">
      <c r="B404" s="37"/>
    </row>
    <row r="405" spans="2:2" ht="15.95" customHeight="1">
      <c r="B405" s="37"/>
    </row>
    <row r="406" spans="2:2" ht="15.95" customHeight="1">
      <c r="B406" s="37"/>
    </row>
    <row r="407" spans="2:2" ht="15.95" customHeight="1">
      <c r="B407" s="37"/>
    </row>
    <row r="408" spans="2:2" ht="15.95" customHeight="1">
      <c r="B408" s="37"/>
    </row>
    <row r="409" spans="2:2" ht="15.95" customHeight="1">
      <c r="B409" s="37"/>
    </row>
    <row r="410" spans="2:2" ht="15.95" customHeight="1">
      <c r="B410" s="37"/>
    </row>
    <row r="411" spans="2:2" ht="15.95" customHeight="1">
      <c r="B411" s="37"/>
    </row>
    <row r="412" spans="2:2" ht="15.95" customHeight="1">
      <c r="B412" s="37"/>
    </row>
    <row r="413" spans="2:2" ht="15.95" customHeight="1">
      <c r="B413" s="37"/>
    </row>
    <row r="414" spans="2:2" ht="15.95" customHeight="1">
      <c r="B414" s="37"/>
    </row>
    <row r="415" spans="2:2" ht="15.95" customHeight="1">
      <c r="B415" s="37"/>
    </row>
    <row r="416" spans="2:2" ht="15.95" customHeight="1">
      <c r="B416" s="37"/>
    </row>
    <row r="417" spans="2:2" ht="15.95" customHeight="1">
      <c r="B417" s="37"/>
    </row>
    <row r="418" spans="2:2" ht="15.95" customHeight="1">
      <c r="B418" s="37"/>
    </row>
    <row r="419" spans="2:2" ht="15.95" customHeight="1">
      <c r="B419" s="37"/>
    </row>
    <row r="420" spans="2:2" ht="15.95" customHeight="1">
      <c r="B420" s="37"/>
    </row>
    <row r="421" spans="2:2" ht="15.95" customHeight="1">
      <c r="B421" s="37"/>
    </row>
    <row r="422" spans="2:2" ht="15.95" customHeight="1">
      <c r="B422" s="37"/>
    </row>
    <row r="423" spans="2:2" ht="15.95" customHeight="1">
      <c r="B423" s="37"/>
    </row>
    <row r="424" spans="2:2" ht="15.95" customHeight="1">
      <c r="B424" s="37"/>
    </row>
    <row r="425" spans="2:2" ht="15.95" customHeight="1">
      <c r="B425" s="37"/>
    </row>
    <row r="426" spans="2:2" ht="15.95" customHeight="1">
      <c r="B426" s="37"/>
    </row>
    <row r="427" spans="2:2" ht="15.95" customHeight="1">
      <c r="B427" s="37"/>
    </row>
    <row r="428" spans="2:2" ht="15.95" customHeight="1">
      <c r="B428" s="37"/>
    </row>
    <row r="429" spans="2:2" ht="15.95" customHeight="1">
      <c r="B429" s="37"/>
    </row>
    <row r="430" spans="2:2" ht="15.95" customHeight="1">
      <c r="B430" s="37"/>
    </row>
    <row r="431" spans="2:2" ht="15.95" customHeight="1">
      <c r="B431" s="37"/>
    </row>
    <row r="432" spans="2:2" ht="15.95" customHeight="1">
      <c r="B432" s="37"/>
    </row>
    <row r="433" spans="2:2" ht="15.95" customHeight="1">
      <c r="B433" s="37"/>
    </row>
    <row r="434" spans="2:2" ht="15.95" customHeight="1">
      <c r="B434" s="37"/>
    </row>
    <row r="435" spans="2:2" ht="15.95" customHeight="1">
      <c r="B435" s="37"/>
    </row>
    <row r="436" spans="2:2" ht="15.95" customHeight="1">
      <c r="B436" s="37"/>
    </row>
    <row r="437" spans="2:2" ht="15.95" customHeight="1">
      <c r="B437" s="37"/>
    </row>
    <row r="438" spans="2:2" ht="15.95" customHeight="1">
      <c r="B438" s="37"/>
    </row>
    <row r="439" spans="2:2" ht="15.95" customHeight="1">
      <c r="B439" s="37"/>
    </row>
    <row r="440" spans="2:2" ht="15.95" customHeight="1">
      <c r="B440" s="37"/>
    </row>
    <row r="441" spans="2:2" ht="15.95" customHeight="1">
      <c r="B441" s="37"/>
    </row>
    <row r="442" spans="2:2" ht="15.95" customHeight="1">
      <c r="B442" s="37"/>
    </row>
    <row r="443" spans="2:2" ht="15.95" customHeight="1">
      <c r="B443" s="37"/>
    </row>
    <row r="444" spans="2:2" ht="15.95" customHeight="1">
      <c r="B444" s="37"/>
    </row>
    <row r="445" spans="2:2" ht="15.95" customHeight="1">
      <c r="B445" s="37"/>
    </row>
    <row r="446" spans="2:2" ht="15.95" customHeight="1">
      <c r="B446" s="37"/>
    </row>
    <row r="447" spans="2:2" ht="15.95" customHeight="1">
      <c r="B447" s="37"/>
    </row>
    <row r="448" spans="2:2" ht="15.95" customHeight="1">
      <c r="B448" s="37"/>
    </row>
    <row r="449" spans="2:2" ht="15.95" customHeight="1">
      <c r="B449" s="37"/>
    </row>
    <row r="450" spans="2:2" ht="15.95" customHeight="1">
      <c r="B450" s="37"/>
    </row>
    <row r="451" spans="2:2" ht="15.95" customHeight="1">
      <c r="B451" s="37"/>
    </row>
    <row r="452" spans="2:2" ht="15.95" customHeight="1">
      <c r="B452" s="37"/>
    </row>
    <row r="453" spans="2:2" ht="15.95" customHeight="1">
      <c r="B453" s="37"/>
    </row>
    <row r="454" spans="2:2" ht="15.95" customHeight="1">
      <c r="B454" s="37"/>
    </row>
    <row r="455" spans="2:2" ht="15.95" customHeight="1">
      <c r="B455" s="37"/>
    </row>
    <row r="456" spans="2:2" ht="15.95" customHeight="1">
      <c r="B456" s="37"/>
    </row>
    <row r="457" spans="2:2" ht="15.95" customHeight="1">
      <c r="B457" s="37"/>
    </row>
    <row r="458" spans="2:2" ht="15.95" customHeight="1">
      <c r="B458" s="37"/>
    </row>
    <row r="459" spans="2:2" ht="15.95" customHeight="1">
      <c r="B459" s="37"/>
    </row>
    <row r="460" spans="2:2" ht="15.95" customHeight="1">
      <c r="B460" s="37"/>
    </row>
    <row r="461" spans="2:2" ht="15.95" customHeight="1">
      <c r="B461" s="37"/>
    </row>
    <row r="462" spans="2:2" ht="15.95" customHeight="1">
      <c r="B462" s="37"/>
    </row>
    <row r="463" spans="2:2" ht="15.95" customHeight="1">
      <c r="B463" s="37"/>
    </row>
    <row r="464" spans="2:2" ht="15.95" customHeight="1">
      <c r="B464" s="37"/>
    </row>
    <row r="465" spans="2:2" ht="15.95" customHeight="1">
      <c r="B465" s="37"/>
    </row>
    <row r="466" spans="2:2" ht="15.95" customHeight="1">
      <c r="B466" s="37"/>
    </row>
    <row r="467" spans="2:2" ht="15.95" customHeight="1">
      <c r="B467" s="37"/>
    </row>
    <row r="468" spans="2:2" ht="15.95" customHeight="1">
      <c r="B468" s="37"/>
    </row>
    <row r="469" spans="2:2" ht="15.95" customHeight="1">
      <c r="B469" s="37"/>
    </row>
    <row r="470" spans="2:2" ht="15.95" customHeight="1">
      <c r="B470" s="37"/>
    </row>
    <row r="471" spans="2:2" ht="15.95" customHeight="1">
      <c r="B471" s="37"/>
    </row>
    <row r="472" spans="2:2" ht="15.95" customHeight="1">
      <c r="B472" s="37"/>
    </row>
    <row r="473" spans="2:2" ht="15.95" customHeight="1">
      <c r="B473" s="37"/>
    </row>
    <row r="474" spans="2:2" ht="15.95" customHeight="1">
      <c r="B474" s="37"/>
    </row>
    <row r="475" spans="2:2" ht="15.95" customHeight="1">
      <c r="B475" s="37"/>
    </row>
    <row r="476" spans="2:2" ht="15.95" customHeight="1">
      <c r="B476" s="37"/>
    </row>
    <row r="477" spans="2:2" ht="15.95" customHeight="1">
      <c r="B477" s="37"/>
    </row>
    <row r="478" spans="2:2" ht="15.95" customHeight="1">
      <c r="B478" s="37"/>
    </row>
    <row r="479" spans="2:2" ht="15.95" customHeight="1">
      <c r="B479" s="37"/>
    </row>
    <row r="480" spans="2:2" ht="15.95" customHeight="1">
      <c r="B480" s="37"/>
    </row>
    <row r="481" spans="2:2" ht="15.95" customHeight="1">
      <c r="B481" s="37"/>
    </row>
    <row r="482" spans="2:2" ht="15.95" customHeight="1">
      <c r="B482" s="37"/>
    </row>
    <row r="483" spans="2:2" ht="15.95" customHeight="1">
      <c r="B483" s="37"/>
    </row>
    <row r="484" spans="2:2" ht="15.95" customHeight="1">
      <c r="B484" s="37"/>
    </row>
    <row r="485" spans="2:2" ht="15.95" customHeight="1">
      <c r="B485" s="37"/>
    </row>
    <row r="486" spans="2:2" ht="15.95" customHeight="1">
      <c r="B486" s="37"/>
    </row>
    <row r="487" spans="2:2" ht="15.95" customHeight="1">
      <c r="B487" s="37"/>
    </row>
    <row r="488" spans="2:2" ht="15.95" customHeight="1">
      <c r="B488" s="37"/>
    </row>
    <row r="489" spans="2:2" ht="15.95" customHeight="1">
      <c r="B489" s="37"/>
    </row>
    <row r="490" spans="2:2" ht="15.95" customHeight="1">
      <c r="B490" s="37"/>
    </row>
    <row r="491" spans="2:2" ht="15.95" customHeight="1">
      <c r="B491" s="37"/>
    </row>
    <row r="492" spans="2:2" ht="15.95" customHeight="1">
      <c r="B492" s="37"/>
    </row>
    <row r="493" spans="2:2" ht="15.95" customHeight="1">
      <c r="B493" s="37"/>
    </row>
    <row r="494" spans="2:2" ht="15.95" customHeight="1">
      <c r="B494" s="37"/>
    </row>
    <row r="495" spans="2:2" ht="15.95" customHeight="1">
      <c r="B495" s="37"/>
    </row>
    <row r="496" spans="2:2" ht="15.95" customHeight="1">
      <c r="B496" s="37"/>
    </row>
    <row r="497" spans="2:2" ht="15.95" customHeight="1">
      <c r="B497" s="37"/>
    </row>
    <row r="498" spans="2:2" ht="15.95" customHeight="1">
      <c r="B498" s="37"/>
    </row>
    <row r="499" spans="2:2" ht="15.95" customHeight="1">
      <c r="B499" s="37"/>
    </row>
    <row r="500" spans="2:2" ht="15.95" customHeight="1">
      <c r="B500" s="37"/>
    </row>
    <row r="501" spans="2:2" ht="15.95" customHeight="1">
      <c r="B501" s="37"/>
    </row>
    <row r="502" spans="2:2" ht="15.95" customHeight="1">
      <c r="B502" s="37"/>
    </row>
    <row r="503" spans="2:2" ht="15.95" customHeight="1">
      <c r="B503" s="37"/>
    </row>
    <row r="504" spans="2:2" ht="15.95" customHeight="1">
      <c r="B504" s="37"/>
    </row>
    <row r="505" spans="2:2" ht="15.95" customHeight="1">
      <c r="B505" s="37"/>
    </row>
    <row r="506" spans="2:2" ht="15.95" customHeight="1">
      <c r="B506" s="37"/>
    </row>
    <row r="507" spans="2:2" ht="15.95" customHeight="1">
      <c r="B507" s="37"/>
    </row>
    <row r="508" spans="2:2" ht="15.95" customHeight="1">
      <c r="B508" s="37"/>
    </row>
    <row r="509" spans="2:2" ht="15.95" customHeight="1">
      <c r="B509" s="37"/>
    </row>
    <row r="510" spans="2:2" ht="15.95" customHeight="1">
      <c r="B510" s="37"/>
    </row>
    <row r="511" spans="2:2" ht="15.95" customHeight="1">
      <c r="B511" s="37"/>
    </row>
    <row r="512" spans="2:2" ht="15.95" customHeight="1">
      <c r="B512" s="37"/>
    </row>
    <row r="513" spans="2:2" ht="15.95" customHeight="1">
      <c r="B513" s="37"/>
    </row>
    <row r="514" spans="2:2" ht="15.95" customHeight="1">
      <c r="B514" s="37"/>
    </row>
    <row r="515" spans="2:2" ht="15.95" customHeight="1">
      <c r="B515" s="37"/>
    </row>
    <row r="516" spans="2:2" ht="15.95" customHeight="1">
      <c r="B516" s="37"/>
    </row>
    <row r="517" spans="2:2" ht="15.95" customHeight="1">
      <c r="B517" s="37"/>
    </row>
    <row r="518" spans="2:2" ht="15.95" customHeight="1">
      <c r="B518" s="37"/>
    </row>
    <row r="519" spans="2:2" ht="15.95" customHeight="1">
      <c r="B519" s="37"/>
    </row>
    <row r="520" spans="2:2" ht="15.95" customHeight="1">
      <c r="B520" s="37"/>
    </row>
    <row r="521" spans="2:2" ht="15.95" customHeight="1">
      <c r="B521" s="37"/>
    </row>
    <row r="522" spans="2:2" ht="15.95" customHeight="1">
      <c r="B522" s="37"/>
    </row>
    <row r="523" spans="2:2" ht="15.95" customHeight="1">
      <c r="B523" s="37"/>
    </row>
    <row r="524" spans="2:2" ht="15.95" customHeight="1">
      <c r="B524" s="37"/>
    </row>
    <row r="525" spans="2:2" ht="15.95" customHeight="1">
      <c r="B525" s="37"/>
    </row>
    <row r="526" spans="2:2" ht="15.95" customHeight="1">
      <c r="B526" s="37"/>
    </row>
    <row r="527" spans="2:2" ht="15.95" customHeight="1">
      <c r="B527" s="37"/>
    </row>
    <row r="528" spans="2:2" ht="15.95" customHeight="1">
      <c r="B528" s="37"/>
    </row>
    <row r="529" spans="2:2" ht="15.95" customHeight="1">
      <c r="B529" s="37"/>
    </row>
    <row r="530" spans="2:2" ht="15.95" customHeight="1">
      <c r="B530" s="37"/>
    </row>
    <row r="531" spans="2:2" ht="15.95" customHeight="1">
      <c r="B531" s="37"/>
    </row>
    <row r="532" spans="2:2" ht="15.95" customHeight="1">
      <c r="B532" s="37"/>
    </row>
    <row r="533" spans="2:2" ht="15.95" customHeight="1">
      <c r="B533" s="37"/>
    </row>
    <row r="534" spans="2:2" ht="15.95" customHeight="1">
      <c r="B534" s="37"/>
    </row>
    <row r="535" spans="2:2" ht="15.95" customHeight="1">
      <c r="B535" s="37"/>
    </row>
    <row r="536" spans="2:2" ht="15.95" customHeight="1">
      <c r="B536" s="37"/>
    </row>
    <row r="537" spans="2:2" ht="15.95" customHeight="1">
      <c r="B537" s="37"/>
    </row>
    <row r="538" spans="2:2" ht="15.95" customHeight="1">
      <c r="B538" s="37"/>
    </row>
    <row r="539" spans="2:2" ht="15.95" customHeight="1">
      <c r="B539" s="37"/>
    </row>
    <row r="540" spans="2:2" ht="15.95" customHeight="1">
      <c r="B540" s="37"/>
    </row>
    <row r="541" spans="2:2" ht="15.95" customHeight="1">
      <c r="B541" s="37"/>
    </row>
    <row r="542" spans="2:2" ht="15.95" customHeight="1">
      <c r="B542" s="37"/>
    </row>
    <row r="543" spans="2:2" ht="15.95" customHeight="1">
      <c r="B543" s="37"/>
    </row>
    <row r="544" spans="2:2" ht="15.95" customHeight="1">
      <c r="B544" s="37"/>
    </row>
    <row r="545" spans="2:2" ht="15.95" customHeight="1">
      <c r="B545" s="37"/>
    </row>
    <row r="546" spans="2:2" ht="15.95" customHeight="1">
      <c r="B546" s="37"/>
    </row>
    <row r="547" spans="2:2" ht="15.95" customHeight="1">
      <c r="B547" s="37"/>
    </row>
    <row r="548" spans="2:2" ht="15.95" customHeight="1">
      <c r="B548" s="37"/>
    </row>
    <row r="549" spans="2:2" ht="15.95" customHeight="1">
      <c r="B549" s="37"/>
    </row>
    <row r="550" spans="2:2" ht="15.95" customHeight="1">
      <c r="B550" s="37"/>
    </row>
    <row r="551" spans="2:2" ht="15.95" customHeight="1">
      <c r="B551" s="37"/>
    </row>
    <row r="552" spans="2:2" ht="15.95" customHeight="1">
      <c r="B552" s="37"/>
    </row>
    <row r="553" spans="2:2" ht="15.95" customHeight="1">
      <c r="B553" s="37"/>
    </row>
    <row r="554" spans="2:2" ht="15.95" customHeight="1">
      <c r="B554" s="37"/>
    </row>
    <row r="555" spans="2:2" ht="15.95" customHeight="1">
      <c r="B555" s="37"/>
    </row>
    <row r="556" spans="2:2" ht="15.95" customHeight="1">
      <c r="B556" s="37"/>
    </row>
    <row r="557" spans="2:2" ht="15.95" customHeight="1">
      <c r="B557" s="37"/>
    </row>
    <row r="558" spans="2:2" ht="15.95" customHeight="1">
      <c r="B558" s="37"/>
    </row>
    <row r="559" spans="2:2" ht="15.95" customHeight="1">
      <c r="B559" s="37"/>
    </row>
    <row r="560" spans="2:2" ht="15.95" customHeight="1">
      <c r="B560" s="37"/>
    </row>
    <row r="561" spans="2:2" ht="15.95" customHeight="1">
      <c r="B561" s="37"/>
    </row>
    <row r="562" spans="2:2" ht="15.95" customHeight="1">
      <c r="B562" s="37"/>
    </row>
    <row r="563" spans="2:2" ht="15.95" customHeight="1">
      <c r="B563" s="37"/>
    </row>
    <row r="564" spans="2:2" ht="15.95" customHeight="1">
      <c r="B564" s="37"/>
    </row>
    <row r="565" spans="2:2" ht="15.95" customHeight="1">
      <c r="B565" s="37"/>
    </row>
    <row r="566" spans="2:2" ht="15.95" customHeight="1">
      <c r="B566" s="37"/>
    </row>
    <row r="567" spans="2:2" ht="15.95" customHeight="1">
      <c r="B567" s="37"/>
    </row>
    <row r="568" spans="2:2" ht="15.95" customHeight="1">
      <c r="B568" s="37"/>
    </row>
    <row r="569" spans="2:2" ht="15.95" customHeight="1">
      <c r="B569" s="37"/>
    </row>
    <row r="570" spans="2:2" ht="15.95" customHeight="1">
      <c r="B570" s="37"/>
    </row>
    <row r="571" spans="2:2" ht="15.95" customHeight="1">
      <c r="B571" s="37"/>
    </row>
    <row r="572" spans="2:2" ht="15.95" customHeight="1">
      <c r="B572" s="37"/>
    </row>
    <row r="573" spans="2:2" ht="15.95" customHeight="1">
      <c r="B573" s="37"/>
    </row>
    <row r="574" spans="2:2" ht="15.95" customHeight="1">
      <c r="B574" s="37"/>
    </row>
    <row r="575" spans="2:2" ht="15.95" customHeight="1">
      <c r="B575" s="37"/>
    </row>
    <row r="576" spans="2:2" ht="15.95" customHeight="1">
      <c r="B576" s="37"/>
    </row>
    <row r="577" spans="2:2" ht="15.95" customHeight="1">
      <c r="B577" s="37"/>
    </row>
    <row r="578" spans="2:2" ht="15.95" customHeight="1">
      <c r="B578" s="37"/>
    </row>
    <row r="579" spans="2:2" ht="15.95" customHeight="1">
      <c r="B579" s="37"/>
    </row>
    <row r="580" spans="2:2" ht="15.95" customHeight="1">
      <c r="B580" s="37"/>
    </row>
    <row r="581" spans="2:2" ht="15.95" customHeight="1">
      <c r="B581" s="37"/>
    </row>
    <row r="582" spans="2:2" ht="15.95" customHeight="1">
      <c r="B582" s="37"/>
    </row>
    <row r="583" spans="2:2" ht="15.95" customHeight="1">
      <c r="B583" s="37"/>
    </row>
    <row r="584" spans="2:2" ht="15.95" customHeight="1">
      <c r="B584" s="37"/>
    </row>
    <row r="585" spans="2:2" ht="15.95" customHeight="1">
      <c r="B585" s="37"/>
    </row>
    <row r="586" spans="2:2" ht="15.95" customHeight="1">
      <c r="B586" s="37"/>
    </row>
    <row r="587" spans="2:2" ht="15.95" customHeight="1">
      <c r="B587" s="37"/>
    </row>
    <row r="588" spans="2:2" ht="15.95" customHeight="1">
      <c r="B588" s="37"/>
    </row>
    <row r="589" spans="2:2" ht="15.95" customHeight="1">
      <c r="B589" s="37"/>
    </row>
    <row r="590" spans="2:2" ht="15.95" customHeight="1">
      <c r="B590" s="37"/>
    </row>
    <row r="591" spans="2:2" ht="15.95" customHeight="1">
      <c r="B591" s="37"/>
    </row>
    <row r="592" spans="2:2" ht="15.95" customHeight="1">
      <c r="B592" s="37"/>
    </row>
    <row r="593" spans="2:2" ht="15.95" customHeight="1">
      <c r="B593" s="37"/>
    </row>
    <row r="594" spans="2:2" ht="15.95" customHeight="1">
      <c r="B594" s="37"/>
    </row>
    <row r="595" spans="2:2" ht="15.95" customHeight="1">
      <c r="B595" s="37"/>
    </row>
    <row r="596" spans="2:2" ht="15.95" customHeight="1">
      <c r="B596" s="37"/>
    </row>
    <row r="597" spans="2:2" ht="15.95" customHeight="1">
      <c r="B597" s="37"/>
    </row>
    <row r="598" spans="2:2" ht="15.95" customHeight="1">
      <c r="B598" s="37"/>
    </row>
    <row r="599" spans="2:2" ht="15.95" customHeight="1">
      <c r="B599" s="37"/>
    </row>
    <row r="600" spans="2:2" ht="15.95" customHeight="1">
      <c r="B600" s="37"/>
    </row>
    <row r="601" spans="2:2" ht="15.95" customHeight="1">
      <c r="B601" s="37"/>
    </row>
    <row r="602" spans="2:2" ht="15.95" customHeight="1">
      <c r="B602" s="37"/>
    </row>
    <row r="603" spans="2:2" ht="15.95" customHeight="1">
      <c r="B603" s="37"/>
    </row>
    <row r="604" spans="2:2" ht="15.95" customHeight="1">
      <c r="B604" s="37"/>
    </row>
    <row r="605" spans="2:2" ht="15.95" customHeight="1">
      <c r="B605" s="37"/>
    </row>
    <row r="606" spans="2:2" ht="15.95" customHeight="1">
      <c r="B606" s="37"/>
    </row>
    <row r="607" spans="2:2" ht="15.95" customHeight="1">
      <c r="B607" s="37"/>
    </row>
    <row r="608" spans="2:2" ht="15.95" customHeight="1">
      <c r="B608" s="37"/>
    </row>
    <row r="609" spans="2:2" ht="15.95" customHeight="1">
      <c r="B609" s="37"/>
    </row>
    <row r="610" spans="2:2" ht="15.95" customHeight="1">
      <c r="B610" s="37"/>
    </row>
    <row r="611" spans="2:2" ht="15.95" customHeight="1">
      <c r="B611" s="37"/>
    </row>
    <row r="612" spans="2:2" ht="15.95" customHeight="1">
      <c r="B612" s="37"/>
    </row>
    <row r="613" spans="2:2" ht="15.95" customHeight="1">
      <c r="B613" s="37"/>
    </row>
    <row r="614" spans="2:2" ht="15.95" customHeight="1">
      <c r="B614" s="37"/>
    </row>
    <row r="615" spans="2:2" ht="15.95" customHeight="1">
      <c r="B615" s="37"/>
    </row>
    <row r="616" spans="2:2" ht="15.95" customHeight="1">
      <c r="B616" s="37"/>
    </row>
    <row r="617" spans="2:2" ht="15.95" customHeight="1">
      <c r="B617" s="37"/>
    </row>
    <row r="618" spans="2:2" ht="15.95" customHeight="1">
      <c r="B618" s="37"/>
    </row>
    <row r="619" spans="2:2" ht="15.95" customHeight="1">
      <c r="B619" s="37"/>
    </row>
    <row r="620" spans="2:2" ht="15.95" customHeight="1">
      <c r="B620" s="37"/>
    </row>
    <row r="621" spans="2:2" ht="15.95" customHeight="1">
      <c r="B621" s="37"/>
    </row>
    <row r="622" spans="2:2" ht="15.95" customHeight="1">
      <c r="B622" s="37"/>
    </row>
    <row r="623" spans="2:2" ht="15.95" customHeight="1">
      <c r="B623" s="37"/>
    </row>
    <row r="624" spans="2:2" ht="15.95" customHeight="1">
      <c r="B624" s="37"/>
    </row>
    <row r="625" spans="2:2" ht="15.95" customHeight="1">
      <c r="B625" s="37"/>
    </row>
    <row r="626" spans="2:2" ht="15.95" customHeight="1">
      <c r="B626" s="37"/>
    </row>
    <row r="627" spans="2:2" ht="15.95" customHeight="1">
      <c r="B627" s="37"/>
    </row>
    <row r="628" spans="2:2" ht="15.95" customHeight="1">
      <c r="B628" s="37"/>
    </row>
    <row r="629" spans="2:2" ht="15.95" customHeight="1">
      <c r="B629" s="37"/>
    </row>
    <row r="630" spans="2:2" ht="15.95" customHeight="1">
      <c r="B630" s="37"/>
    </row>
    <row r="631" spans="2:2" ht="15.95" customHeight="1">
      <c r="B631" s="37"/>
    </row>
    <row r="632" spans="2:2" ht="15.95" customHeight="1">
      <c r="B632" s="37"/>
    </row>
    <row r="633" spans="2:2" ht="15.95" customHeight="1">
      <c r="B633" s="37"/>
    </row>
    <row r="634" spans="2:2" ht="15.95" customHeight="1">
      <c r="B634" s="37"/>
    </row>
    <row r="635" spans="2:2" ht="15.95" customHeight="1">
      <c r="B635" s="37"/>
    </row>
    <row r="636" spans="2:2" ht="15.95" customHeight="1">
      <c r="B636" s="37"/>
    </row>
    <row r="637" spans="2:2" ht="15.95" customHeight="1">
      <c r="B637" s="37"/>
    </row>
    <row r="638" spans="2:2" ht="15.95" customHeight="1">
      <c r="B638" s="37"/>
    </row>
    <row r="639" spans="2:2" ht="15.95" customHeight="1">
      <c r="B639" s="37"/>
    </row>
    <row r="640" spans="2:2" ht="15.95" customHeight="1">
      <c r="B640" s="37"/>
    </row>
    <row r="641" spans="2:2" ht="15.95" customHeight="1">
      <c r="B641" s="37"/>
    </row>
    <row r="642" spans="2:2" ht="15.95" customHeight="1">
      <c r="B642" s="37"/>
    </row>
    <row r="643" spans="2:2" ht="15.95" customHeight="1">
      <c r="B643" s="37"/>
    </row>
    <row r="644" spans="2:2" ht="15.95" customHeight="1">
      <c r="B644" s="37"/>
    </row>
    <row r="645" spans="2:2" ht="15.95" customHeight="1">
      <c r="B645" s="37"/>
    </row>
    <row r="646" spans="2:2" ht="15.95" customHeight="1">
      <c r="B646" s="37"/>
    </row>
    <row r="647" spans="2:2" ht="15.95" customHeight="1">
      <c r="B647" s="37"/>
    </row>
    <row r="648" spans="2:2" ht="15.95" customHeight="1">
      <c r="B648" s="37"/>
    </row>
    <row r="649" spans="2:2" ht="15.95" customHeight="1">
      <c r="B649" s="37"/>
    </row>
    <row r="650" spans="2:2" ht="15.95" customHeight="1">
      <c r="B650" s="37"/>
    </row>
    <row r="651" spans="2:2" ht="15.95" customHeight="1">
      <c r="B651" s="37"/>
    </row>
    <row r="652" spans="2:2" ht="15.95" customHeight="1">
      <c r="B652" s="37"/>
    </row>
    <row r="653" spans="2:2" ht="15.95" customHeight="1">
      <c r="B653" s="37"/>
    </row>
    <row r="654" spans="2:2" ht="15.95" customHeight="1">
      <c r="B654" s="37"/>
    </row>
    <row r="655" spans="2:2" ht="15.95" customHeight="1">
      <c r="B655" s="37"/>
    </row>
    <row r="656" spans="2:2" ht="15.95" customHeight="1">
      <c r="B656" s="37"/>
    </row>
    <row r="657" spans="2:2" ht="15.95" customHeight="1">
      <c r="B657" s="37"/>
    </row>
    <row r="658" spans="2:2" ht="15.95" customHeight="1">
      <c r="B658" s="37"/>
    </row>
    <row r="659" spans="2:2" ht="15.95" customHeight="1">
      <c r="B659" s="37"/>
    </row>
    <row r="660" spans="2:2" ht="15.95" customHeight="1">
      <c r="B660" s="37"/>
    </row>
    <row r="661" spans="2:2" ht="15.95" customHeight="1">
      <c r="B661" s="37"/>
    </row>
    <row r="662" spans="2:2" ht="15.95" customHeight="1">
      <c r="B662" s="37"/>
    </row>
    <row r="663" spans="2:2" ht="15.95" customHeight="1">
      <c r="B663" s="37"/>
    </row>
    <row r="664" spans="2:2" ht="15.95" customHeight="1">
      <c r="B664" s="37"/>
    </row>
    <row r="665" spans="2:2" ht="15.95" customHeight="1">
      <c r="B665" s="37"/>
    </row>
    <row r="666" spans="2:2" ht="15.95" customHeight="1">
      <c r="B666" s="37"/>
    </row>
    <row r="667" spans="2:2" ht="15.95" customHeight="1">
      <c r="B667" s="37"/>
    </row>
    <row r="668" spans="2:2" ht="15.95" customHeight="1">
      <c r="B668" s="37"/>
    </row>
    <row r="669" spans="2:2" ht="15.95" customHeight="1">
      <c r="B669" s="37"/>
    </row>
    <row r="670" spans="2:2" ht="15.95" customHeight="1">
      <c r="B670" s="37"/>
    </row>
    <row r="671" spans="2:2" ht="15.95" customHeight="1">
      <c r="B671" s="37"/>
    </row>
    <row r="672" spans="2:2" ht="15.95" customHeight="1">
      <c r="B672" s="37"/>
    </row>
    <row r="673" spans="2:2" ht="15.95" customHeight="1">
      <c r="B673" s="37"/>
    </row>
    <row r="674" spans="2:2" ht="15.95" customHeight="1">
      <c r="B674" s="37"/>
    </row>
    <row r="675" spans="2:2" ht="15.95" customHeight="1">
      <c r="B675" s="37"/>
    </row>
    <row r="676" spans="2:2" ht="15.95" customHeight="1">
      <c r="B676" s="37"/>
    </row>
    <row r="677" spans="2:2" ht="15.95" customHeight="1">
      <c r="B677" s="37"/>
    </row>
    <row r="678" spans="2:2" ht="15.95" customHeight="1">
      <c r="B678" s="37"/>
    </row>
    <row r="679" spans="2:2" ht="15.95" customHeight="1">
      <c r="B679" s="37"/>
    </row>
    <row r="680" spans="2:2" ht="15.95" customHeight="1">
      <c r="B680" s="37"/>
    </row>
    <row r="681" spans="2:2" ht="15.95" customHeight="1">
      <c r="B681" s="37"/>
    </row>
    <row r="682" spans="2:2" ht="15.95" customHeight="1">
      <c r="B682" s="37"/>
    </row>
    <row r="683" spans="2:2" ht="15.95" customHeight="1">
      <c r="B683" s="37"/>
    </row>
    <row r="684" spans="2:2" ht="15.95" customHeight="1">
      <c r="B684" s="37"/>
    </row>
    <row r="685" spans="2:2" ht="15.95" customHeight="1">
      <c r="B685" s="37"/>
    </row>
    <row r="686" spans="2:2" ht="15.95" customHeight="1">
      <c r="B686" s="37"/>
    </row>
    <row r="687" spans="2:2" ht="15.95" customHeight="1">
      <c r="B687" s="37"/>
    </row>
    <row r="688" spans="2:2" ht="15.95" customHeight="1">
      <c r="B688" s="37"/>
    </row>
    <row r="689" spans="2:2" ht="15.95" customHeight="1">
      <c r="B689" s="37"/>
    </row>
    <row r="690" spans="2:2" ht="15.95" customHeight="1">
      <c r="B690" s="37"/>
    </row>
    <row r="691" spans="2:2" ht="15.95" customHeight="1">
      <c r="B691" s="37"/>
    </row>
    <row r="692" spans="2:2" ht="15.95" customHeight="1">
      <c r="B692" s="37"/>
    </row>
    <row r="693" spans="2:2" ht="15.95" customHeight="1">
      <c r="B693" s="37"/>
    </row>
    <row r="694" spans="2:2" ht="15.95" customHeight="1">
      <c r="B694" s="37"/>
    </row>
    <row r="695" spans="2:2" ht="15.95" customHeight="1">
      <c r="B695" s="37"/>
    </row>
    <row r="696" spans="2:2" ht="15.95" customHeight="1">
      <c r="B696" s="37"/>
    </row>
    <row r="697" spans="2:2" ht="15.95" customHeight="1">
      <c r="B697" s="37"/>
    </row>
    <row r="698" spans="2:2" ht="15.95" customHeight="1">
      <c r="B698" s="37"/>
    </row>
    <row r="699" spans="2:2" ht="15.95" customHeight="1">
      <c r="B699" s="37"/>
    </row>
    <row r="700" spans="2:2" ht="15.95" customHeight="1">
      <c r="B700" s="37"/>
    </row>
    <row r="701" spans="2:2" ht="15.95" customHeight="1">
      <c r="B701" s="37"/>
    </row>
    <row r="702" spans="2:2" ht="15.95" customHeight="1">
      <c r="B702" s="37"/>
    </row>
    <row r="703" spans="2:2" ht="15.95" customHeight="1">
      <c r="B703" s="37"/>
    </row>
    <row r="704" spans="2:2" ht="15.95" customHeight="1">
      <c r="B704" s="37"/>
    </row>
    <row r="705" spans="2:2" ht="15.95" customHeight="1">
      <c r="B705" s="37"/>
    </row>
    <row r="706" spans="2:2" ht="15.95" customHeight="1">
      <c r="B706" s="37"/>
    </row>
    <row r="707" spans="2:2" ht="15.95" customHeight="1">
      <c r="B707" s="37"/>
    </row>
    <row r="708" spans="2:2" ht="15.95" customHeight="1">
      <c r="B708" s="37"/>
    </row>
    <row r="709" spans="2:2" ht="15.95" customHeight="1">
      <c r="B709" s="37"/>
    </row>
    <row r="710" spans="2:2" ht="15.95" customHeight="1">
      <c r="B710" s="37"/>
    </row>
    <row r="711" spans="2:2" ht="15.95" customHeight="1">
      <c r="B711" s="37"/>
    </row>
    <row r="712" spans="2:2" ht="15.95" customHeight="1">
      <c r="B712" s="37"/>
    </row>
    <row r="713" spans="2:2" ht="15.95" customHeight="1">
      <c r="B713" s="37"/>
    </row>
    <row r="714" spans="2:2" ht="15.95" customHeight="1">
      <c r="B714" s="37"/>
    </row>
    <row r="715" spans="2:2" ht="15.95" customHeight="1">
      <c r="B715" s="37"/>
    </row>
    <row r="716" spans="2:2" ht="15.95" customHeight="1">
      <c r="B716" s="37"/>
    </row>
    <row r="717" spans="2:2" ht="15.95" customHeight="1">
      <c r="B717" s="37"/>
    </row>
    <row r="718" spans="2:2" ht="15.95" customHeight="1">
      <c r="B718" s="37"/>
    </row>
    <row r="719" spans="2:2" ht="15.95" customHeight="1">
      <c r="B719" s="37"/>
    </row>
    <row r="720" spans="2:2" ht="15.95" customHeight="1">
      <c r="B720" s="37"/>
    </row>
    <row r="721" spans="2:2" ht="15.95" customHeight="1">
      <c r="B721" s="37"/>
    </row>
    <row r="722" spans="2:2" ht="15.95" customHeight="1">
      <c r="B722" s="37"/>
    </row>
    <row r="723" spans="2:2" ht="15.95" customHeight="1">
      <c r="B723" s="37"/>
    </row>
    <row r="724" spans="2:2" ht="15.95" customHeight="1">
      <c r="B724" s="37"/>
    </row>
    <row r="725" spans="2:2" ht="15.95" customHeight="1">
      <c r="B725" s="37"/>
    </row>
    <row r="726" spans="2:2" ht="15.95" customHeight="1">
      <c r="B726" s="37"/>
    </row>
    <row r="727" spans="2:2" ht="15.95" customHeight="1">
      <c r="B727" s="37"/>
    </row>
    <row r="728" spans="2:2" ht="15.95" customHeight="1">
      <c r="B728" s="37"/>
    </row>
    <row r="729" spans="2:2" ht="15.95" customHeight="1">
      <c r="B729" s="37"/>
    </row>
    <row r="730" spans="2:2" ht="15.95" customHeight="1">
      <c r="B730" s="37"/>
    </row>
    <row r="731" spans="2:2" ht="15.95" customHeight="1">
      <c r="B731" s="37"/>
    </row>
    <row r="732" spans="2:2" ht="15.95" customHeight="1">
      <c r="B732" s="37"/>
    </row>
    <row r="733" spans="2:2" ht="15.95" customHeight="1">
      <c r="B733" s="37"/>
    </row>
    <row r="734" spans="2:2" ht="15.95" customHeight="1">
      <c r="B734" s="37"/>
    </row>
    <row r="735" spans="2:2" ht="15.95" customHeight="1">
      <c r="B735" s="37"/>
    </row>
    <row r="736" spans="2:2" ht="15.95" customHeight="1">
      <c r="B736" s="37"/>
    </row>
    <row r="737" spans="2:2" ht="15.95" customHeight="1">
      <c r="B737" s="37"/>
    </row>
    <row r="738" spans="2:2" ht="15.95" customHeight="1">
      <c r="B738" s="37"/>
    </row>
    <row r="739" spans="2:2" ht="15.95" customHeight="1">
      <c r="B739" s="37"/>
    </row>
    <row r="740" spans="2:2" ht="15.95" customHeight="1">
      <c r="B740" s="37"/>
    </row>
    <row r="741" spans="2:2" ht="15.95" customHeight="1">
      <c r="B741" s="37"/>
    </row>
    <row r="742" spans="2:2" ht="15.95" customHeight="1">
      <c r="B742" s="37"/>
    </row>
    <row r="743" spans="2:2" ht="15.95" customHeight="1">
      <c r="B743" s="37"/>
    </row>
    <row r="744" spans="2:2" ht="15.95" customHeight="1">
      <c r="B744" s="37"/>
    </row>
    <row r="745" spans="2:2" ht="15.95" customHeight="1">
      <c r="B745" s="37"/>
    </row>
    <row r="746" spans="2:2" ht="15.95" customHeight="1">
      <c r="B746" s="37"/>
    </row>
    <row r="747" spans="2:2" ht="15.95" customHeight="1">
      <c r="B747" s="37"/>
    </row>
    <row r="748" spans="2:2" ht="15.95" customHeight="1">
      <c r="B748" s="37"/>
    </row>
    <row r="749" spans="2:2" ht="15.95" customHeight="1">
      <c r="B749" s="37"/>
    </row>
    <row r="750" spans="2:2" ht="15.95" customHeight="1">
      <c r="B750" s="37"/>
    </row>
    <row r="751" spans="2:2" ht="15.95" customHeight="1">
      <c r="B751" s="37"/>
    </row>
    <row r="752" spans="2:2" ht="15.95" customHeight="1">
      <c r="B752" s="37"/>
    </row>
    <row r="753" spans="2:2" ht="15.95" customHeight="1">
      <c r="B753" s="37"/>
    </row>
    <row r="754" spans="2:2" ht="15.95" customHeight="1">
      <c r="B754" s="37"/>
    </row>
    <row r="755" spans="2:2" ht="15.95" customHeight="1">
      <c r="B755" s="37"/>
    </row>
    <row r="756" spans="2:2" ht="15.95" customHeight="1">
      <c r="B756" s="37"/>
    </row>
    <row r="757" spans="2:2" ht="15.95" customHeight="1">
      <c r="B757" s="37"/>
    </row>
    <row r="758" spans="2:2" ht="15.95" customHeight="1">
      <c r="B758" s="37"/>
    </row>
    <row r="759" spans="2:2" ht="15.95" customHeight="1">
      <c r="B759" s="37"/>
    </row>
    <row r="760" spans="2:2" ht="15.95" customHeight="1">
      <c r="B760" s="37"/>
    </row>
    <row r="761" spans="2:2" ht="15.95" customHeight="1">
      <c r="B761" s="37"/>
    </row>
    <row r="762" spans="2:2" ht="15.95" customHeight="1">
      <c r="B762" s="37"/>
    </row>
    <row r="763" spans="2:2" ht="15.95" customHeight="1">
      <c r="B763" s="37"/>
    </row>
    <row r="764" spans="2:2" ht="15.95" customHeight="1">
      <c r="B764" s="37"/>
    </row>
    <row r="765" spans="2:2" ht="15.95" customHeight="1">
      <c r="B765" s="37"/>
    </row>
    <row r="766" spans="2:2" ht="15.95" customHeight="1">
      <c r="B766" s="37"/>
    </row>
    <row r="767" spans="2:2" ht="15.95" customHeight="1">
      <c r="B767" s="37"/>
    </row>
    <row r="768" spans="2:2" ht="15.95" customHeight="1">
      <c r="B768" s="37"/>
    </row>
    <row r="769" spans="2:2" ht="15.95" customHeight="1">
      <c r="B769" s="37"/>
    </row>
    <row r="770" spans="2:2" ht="15.95" customHeight="1">
      <c r="B770" s="37"/>
    </row>
    <row r="771" spans="2:2" ht="15.95" customHeight="1">
      <c r="B771" s="37"/>
    </row>
    <row r="772" spans="2:2" ht="15.95" customHeight="1">
      <c r="B772" s="37"/>
    </row>
    <row r="773" spans="2:2" ht="15.95" customHeight="1">
      <c r="B773" s="37"/>
    </row>
    <row r="774" spans="2:2" ht="15.95" customHeight="1">
      <c r="B774" s="37"/>
    </row>
    <row r="775" spans="2:2" ht="15.95" customHeight="1">
      <c r="B775" s="37"/>
    </row>
    <row r="776" spans="2:2" ht="15.95" customHeight="1">
      <c r="B776" s="37"/>
    </row>
    <row r="777" spans="2:2" ht="15.95" customHeight="1">
      <c r="B777" s="37"/>
    </row>
    <row r="778" spans="2:2" ht="15.95" customHeight="1">
      <c r="B778" s="37"/>
    </row>
    <row r="779" spans="2:2" ht="15.95" customHeight="1">
      <c r="B779" s="37"/>
    </row>
    <row r="780" spans="2:2" ht="15.95" customHeight="1">
      <c r="B780" s="37"/>
    </row>
    <row r="781" spans="2:2" ht="15.95" customHeight="1">
      <c r="B781" s="37"/>
    </row>
    <row r="782" spans="2:2" ht="15.95" customHeight="1">
      <c r="B782" s="37"/>
    </row>
    <row r="783" spans="2:2" ht="15.95" customHeight="1">
      <c r="B783" s="37"/>
    </row>
    <row r="784" spans="2:2" ht="15.95" customHeight="1">
      <c r="B784" s="37"/>
    </row>
    <row r="785" spans="2:2" ht="15.95" customHeight="1">
      <c r="B785" s="37"/>
    </row>
    <row r="786" spans="2:2" ht="15.95" customHeight="1">
      <c r="B786" s="37"/>
    </row>
    <row r="787" spans="2:2" ht="15.95" customHeight="1">
      <c r="B787" s="37"/>
    </row>
    <row r="788" spans="2:2" ht="15.95" customHeight="1">
      <c r="B788" s="37"/>
    </row>
    <row r="789" spans="2:2" ht="15.95" customHeight="1">
      <c r="B789" s="37"/>
    </row>
    <row r="790" spans="2:2" ht="15.95" customHeight="1">
      <c r="B790" s="37"/>
    </row>
    <row r="791" spans="2:2" ht="15.95" customHeight="1">
      <c r="B791" s="37"/>
    </row>
    <row r="792" spans="2:2" ht="15.95" customHeight="1">
      <c r="B792" s="37"/>
    </row>
    <row r="793" spans="2:2" ht="15.95" customHeight="1">
      <c r="B793" s="37"/>
    </row>
    <row r="794" spans="2:2" ht="15.95" customHeight="1">
      <c r="B794" s="37"/>
    </row>
    <row r="795" spans="2:2" ht="15.95" customHeight="1">
      <c r="B795" s="37"/>
    </row>
    <row r="796" spans="2:2" ht="15.95" customHeight="1">
      <c r="B796" s="37"/>
    </row>
    <row r="797" spans="2:2" ht="15.95" customHeight="1">
      <c r="B797" s="37"/>
    </row>
    <row r="798" spans="2:2" ht="15.95" customHeight="1">
      <c r="B798" s="37"/>
    </row>
    <row r="799" spans="2:2" ht="15.95" customHeight="1">
      <c r="B799" s="37"/>
    </row>
    <row r="800" spans="2:2" ht="15.95" customHeight="1">
      <c r="B800" s="37"/>
    </row>
    <row r="801" spans="2:2" ht="15.95" customHeight="1">
      <c r="B801" s="37"/>
    </row>
    <row r="802" spans="2:2" ht="15.95" customHeight="1">
      <c r="B802" s="37"/>
    </row>
    <row r="803" spans="2:2" ht="15.95" customHeight="1">
      <c r="B803" s="37"/>
    </row>
    <row r="804" spans="2:2" ht="15.95" customHeight="1">
      <c r="B804" s="37"/>
    </row>
    <row r="805" spans="2:2" ht="15.95" customHeight="1">
      <c r="B805" s="37"/>
    </row>
    <row r="806" spans="2:2" ht="15.95" customHeight="1">
      <c r="B806" s="37"/>
    </row>
    <row r="807" spans="2:2" ht="15.95" customHeight="1">
      <c r="B807" s="37"/>
    </row>
    <row r="808" spans="2:2" ht="15.95" customHeight="1">
      <c r="B808" s="37"/>
    </row>
    <row r="809" spans="2:2" ht="15.95" customHeight="1">
      <c r="B809" s="37"/>
    </row>
    <row r="810" spans="2:2" ht="15.95" customHeight="1">
      <c r="B810" s="37"/>
    </row>
    <row r="811" spans="2:2" ht="15.95" customHeight="1">
      <c r="B811" s="37"/>
    </row>
    <row r="812" spans="2:2" ht="15.95" customHeight="1">
      <c r="B812" s="37"/>
    </row>
    <row r="813" spans="2:2" ht="15.95" customHeight="1">
      <c r="B813" s="37"/>
    </row>
    <row r="814" spans="2:2" ht="15.95" customHeight="1">
      <c r="B814" s="37"/>
    </row>
    <row r="815" spans="2:2" ht="15.95" customHeight="1">
      <c r="B815" s="37"/>
    </row>
    <row r="816" spans="2:2" ht="15.95" customHeight="1">
      <c r="B816" s="37"/>
    </row>
    <row r="817" spans="2:2" ht="15.95" customHeight="1">
      <c r="B817" s="37"/>
    </row>
    <row r="818" spans="2:2" ht="15.95" customHeight="1">
      <c r="B818" s="37"/>
    </row>
    <row r="819" spans="2:2" ht="15.95" customHeight="1">
      <c r="B819" s="37"/>
    </row>
    <row r="820" spans="2:2" ht="15.95" customHeight="1">
      <c r="B820" s="37"/>
    </row>
    <row r="821" spans="2:2" ht="15.95" customHeight="1">
      <c r="B821" s="37"/>
    </row>
    <row r="822" spans="2:2" ht="15.95" customHeight="1">
      <c r="B822" s="37"/>
    </row>
    <row r="823" spans="2:2" ht="15.95" customHeight="1">
      <c r="B823" s="37"/>
    </row>
    <row r="824" spans="2:2" ht="15.95" customHeight="1">
      <c r="B824" s="37"/>
    </row>
    <row r="825" spans="2:2" ht="15.95" customHeight="1">
      <c r="B825" s="37"/>
    </row>
    <row r="826" spans="2:2" ht="15.95" customHeight="1">
      <c r="B826" s="37"/>
    </row>
    <row r="827" spans="2:2" ht="15.95" customHeight="1">
      <c r="B827" s="37"/>
    </row>
    <row r="828" spans="2:2" ht="15.95" customHeight="1">
      <c r="B828" s="37"/>
    </row>
    <row r="829" spans="2:2" ht="15.95" customHeight="1">
      <c r="B829" s="37"/>
    </row>
    <row r="830" spans="2:2" ht="15.95" customHeight="1">
      <c r="B830" s="37"/>
    </row>
    <row r="831" spans="2:2" ht="15.95" customHeight="1">
      <c r="B831" s="37"/>
    </row>
    <row r="832" spans="2:2" ht="15.95" customHeight="1">
      <c r="B832" s="37"/>
    </row>
    <row r="833" spans="2:2" ht="15.95" customHeight="1">
      <c r="B833" s="37"/>
    </row>
    <row r="834" spans="2:2" ht="15.95" customHeight="1">
      <c r="B834" s="37"/>
    </row>
    <row r="835" spans="2:2" ht="15.95" customHeight="1">
      <c r="B835" s="37"/>
    </row>
    <row r="836" spans="2:2" ht="15.95" customHeight="1">
      <c r="B836" s="37"/>
    </row>
    <row r="837" spans="2:2" ht="15.95" customHeight="1">
      <c r="B837" s="37"/>
    </row>
    <row r="838" spans="2:2" ht="15.95" customHeight="1">
      <c r="B838" s="37"/>
    </row>
    <row r="839" spans="2:2" ht="15.95" customHeight="1">
      <c r="B839" s="37"/>
    </row>
    <row r="840" spans="2:2" ht="15.95" customHeight="1">
      <c r="B840" s="37"/>
    </row>
    <row r="841" spans="2:2" ht="15.95" customHeight="1">
      <c r="B841" s="37"/>
    </row>
    <row r="842" spans="2:2" ht="15.95" customHeight="1">
      <c r="B842" s="37"/>
    </row>
    <row r="843" spans="2:2" ht="15.95" customHeight="1">
      <c r="B843" s="37"/>
    </row>
    <row r="844" spans="2:2" ht="15.95" customHeight="1">
      <c r="B844" s="37"/>
    </row>
    <row r="845" spans="2:2" ht="15.95" customHeight="1">
      <c r="B845" s="37"/>
    </row>
    <row r="846" spans="2:2" ht="15.95" customHeight="1">
      <c r="B846" s="37"/>
    </row>
    <row r="847" spans="2:2" ht="15.95" customHeight="1">
      <c r="B847" s="37"/>
    </row>
    <row r="848" spans="2:2" ht="15.95" customHeight="1">
      <c r="B848" s="37"/>
    </row>
    <row r="849" spans="2:2" ht="15.95" customHeight="1">
      <c r="B849" s="37"/>
    </row>
    <row r="850" spans="2:2" ht="15.95" customHeight="1">
      <c r="B850" s="37"/>
    </row>
    <row r="851" spans="2:2" ht="15.95" customHeight="1">
      <c r="B851" s="37"/>
    </row>
    <row r="852" spans="2:2" ht="15.95" customHeight="1">
      <c r="B852" s="37"/>
    </row>
    <row r="853" spans="2:2" ht="15.95" customHeight="1">
      <c r="B853" s="37"/>
    </row>
    <row r="854" spans="2:2" ht="15.95" customHeight="1">
      <c r="B854" s="37"/>
    </row>
    <row r="855" spans="2:2" ht="15.95" customHeight="1">
      <c r="B855" s="37"/>
    </row>
    <row r="856" spans="2:2" ht="15.95" customHeight="1">
      <c r="B856" s="37"/>
    </row>
    <row r="857" spans="2:2" ht="15.95" customHeight="1">
      <c r="B857" s="37"/>
    </row>
    <row r="858" spans="2:2" ht="15.95" customHeight="1">
      <c r="B858" s="37"/>
    </row>
    <row r="859" spans="2:2" ht="15.95" customHeight="1">
      <c r="B859" s="37"/>
    </row>
    <row r="860" spans="2:2" ht="15.95" customHeight="1">
      <c r="B860" s="37"/>
    </row>
    <row r="861" spans="2:2" ht="15.95" customHeight="1">
      <c r="B861" s="37"/>
    </row>
    <row r="862" spans="2:2" ht="15.95" customHeight="1">
      <c r="B862" s="37"/>
    </row>
    <row r="863" spans="2:2" ht="15.95" customHeight="1">
      <c r="B863" s="37"/>
    </row>
    <row r="864" spans="2:2" ht="15.95" customHeight="1">
      <c r="B864" s="37"/>
    </row>
    <row r="865" spans="2:2" ht="15.95" customHeight="1">
      <c r="B865" s="37"/>
    </row>
    <row r="866" spans="2:2" ht="15.95" customHeight="1">
      <c r="B866" s="37"/>
    </row>
    <row r="867" spans="2:2" ht="15.95" customHeight="1">
      <c r="B867" s="37"/>
    </row>
    <row r="868" spans="2:2" ht="15.95" customHeight="1">
      <c r="B868" s="37"/>
    </row>
    <row r="869" spans="2:2" ht="15.95" customHeight="1">
      <c r="B869" s="37"/>
    </row>
    <row r="870" spans="2:2" ht="15.95" customHeight="1">
      <c r="B870" s="37"/>
    </row>
    <row r="871" spans="2:2" ht="15.95" customHeight="1">
      <c r="B871" s="37"/>
    </row>
    <row r="872" spans="2:2" ht="15.95" customHeight="1">
      <c r="B872" s="37"/>
    </row>
    <row r="873" spans="2:2" ht="15.95" customHeight="1">
      <c r="B873" s="37"/>
    </row>
    <row r="874" spans="2:2" ht="15.95" customHeight="1">
      <c r="B874" s="37"/>
    </row>
    <row r="875" spans="2:2" ht="15.95" customHeight="1">
      <c r="B875" s="37"/>
    </row>
    <row r="876" spans="2:2" ht="15.95" customHeight="1">
      <c r="B876" s="37"/>
    </row>
    <row r="877" spans="2:2" ht="15.95" customHeight="1">
      <c r="B877" s="37"/>
    </row>
    <row r="878" spans="2:2" ht="15.95" customHeight="1">
      <c r="B878" s="37"/>
    </row>
    <row r="879" spans="2:2" ht="15.95" customHeight="1">
      <c r="B879" s="37"/>
    </row>
    <row r="880" spans="2:2" ht="15.95" customHeight="1">
      <c r="B880" s="37"/>
    </row>
    <row r="881" spans="2:2" ht="15.95" customHeight="1">
      <c r="B881" s="37"/>
    </row>
    <row r="882" spans="2:2" ht="15.95" customHeight="1">
      <c r="B882" s="37"/>
    </row>
    <row r="883" spans="2:2" ht="15.95" customHeight="1">
      <c r="B883" s="37"/>
    </row>
    <row r="884" spans="2:2" ht="15.95" customHeight="1">
      <c r="B884" s="37"/>
    </row>
    <row r="885" spans="2:2" ht="15.95" customHeight="1">
      <c r="B885" s="37"/>
    </row>
    <row r="886" spans="2:2" ht="15.95" customHeight="1">
      <c r="B886" s="37"/>
    </row>
    <row r="887" spans="2:2" ht="15.95" customHeight="1">
      <c r="B887" s="37"/>
    </row>
    <row r="888" spans="2:2" ht="15.95" customHeight="1">
      <c r="B888" s="37"/>
    </row>
    <row r="889" spans="2:2" ht="15.95" customHeight="1">
      <c r="B889" s="37"/>
    </row>
    <row r="890" spans="2:2" ht="15.95" customHeight="1">
      <c r="B890" s="37"/>
    </row>
    <row r="891" spans="2:2" ht="15.95" customHeight="1">
      <c r="B891" s="37"/>
    </row>
    <row r="892" spans="2:2" ht="15.95" customHeight="1">
      <c r="B892" s="37"/>
    </row>
    <row r="893" spans="2:2" ht="15.95" customHeight="1">
      <c r="B893" s="37"/>
    </row>
    <row r="894" spans="2:2" ht="15.95" customHeight="1">
      <c r="B894" s="37"/>
    </row>
    <row r="895" spans="2:2" ht="15.95" customHeight="1">
      <c r="B895" s="37"/>
    </row>
    <row r="896" spans="2:2" ht="15.95" customHeight="1">
      <c r="B896" s="37"/>
    </row>
    <row r="897" spans="2:2" ht="15.95" customHeight="1">
      <c r="B897" s="37"/>
    </row>
    <row r="898" spans="2:2" ht="15.95" customHeight="1">
      <c r="B898" s="37"/>
    </row>
    <row r="899" spans="2:2" ht="15.95" customHeight="1">
      <c r="B899" s="37"/>
    </row>
    <row r="900" spans="2:2" ht="15.95" customHeight="1">
      <c r="B900" s="37"/>
    </row>
    <row r="901" spans="2:2" ht="15.95" customHeight="1">
      <c r="B901" s="37"/>
    </row>
    <row r="902" spans="2:2" ht="15.95" customHeight="1">
      <c r="B902" s="37"/>
    </row>
    <row r="903" spans="2:2" ht="15.95" customHeight="1">
      <c r="B903" s="37"/>
    </row>
    <row r="904" spans="2:2" ht="15.95" customHeight="1">
      <c r="B904" s="37"/>
    </row>
    <row r="905" spans="2:2" ht="15.95" customHeight="1">
      <c r="B905" s="37"/>
    </row>
    <row r="906" spans="2:2" ht="15.95" customHeight="1">
      <c r="B906" s="37"/>
    </row>
    <row r="907" spans="2:2" ht="15.95" customHeight="1">
      <c r="B907" s="37"/>
    </row>
    <row r="908" spans="2:2" ht="15.95" customHeight="1">
      <c r="B908" s="37"/>
    </row>
    <row r="909" spans="2:2" ht="15.95" customHeight="1">
      <c r="B909" s="37"/>
    </row>
    <row r="910" spans="2:2" ht="15.95" customHeight="1">
      <c r="B910" s="37"/>
    </row>
    <row r="911" spans="2:2" ht="15.95" customHeight="1">
      <c r="B911" s="37"/>
    </row>
    <row r="912" spans="2:2" ht="15.95" customHeight="1">
      <c r="B912" s="37"/>
    </row>
    <row r="913" spans="2:2" ht="15.95" customHeight="1">
      <c r="B913" s="37"/>
    </row>
    <row r="914" spans="2:2" ht="15.95" customHeight="1">
      <c r="B914" s="37"/>
    </row>
    <row r="915" spans="2:2" ht="15.95" customHeight="1">
      <c r="B915" s="37"/>
    </row>
    <row r="916" spans="2:2" ht="15.95" customHeight="1">
      <c r="B916" s="37"/>
    </row>
    <row r="917" spans="2:2" ht="15.95" customHeight="1">
      <c r="B917" s="37"/>
    </row>
    <row r="918" spans="2:2" ht="15.95" customHeight="1">
      <c r="B918" s="37"/>
    </row>
    <row r="919" spans="2:2" ht="15.95" customHeight="1">
      <c r="B919" s="37"/>
    </row>
    <row r="920" spans="2:2" ht="15.95" customHeight="1">
      <c r="B920" s="37"/>
    </row>
    <row r="921" spans="2:2" ht="15.95" customHeight="1">
      <c r="B921" s="37"/>
    </row>
    <row r="922" spans="2:2" ht="15.95" customHeight="1">
      <c r="B922" s="37"/>
    </row>
    <row r="923" spans="2:2" ht="15.95" customHeight="1">
      <c r="B923" s="37"/>
    </row>
    <row r="924" spans="2:2" ht="15.95" customHeight="1">
      <c r="B924" s="37"/>
    </row>
    <row r="925" spans="2:2" ht="15.95" customHeight="1">
      <c r="B925" s="37"/>
    </row>
    <row r="926" spans="2:2" ht="15.95" customHeight="1">
      <c r="B926" s="37"/>
    </row>
    <row r="927" spans="2:2" ht="15.95" customHeight="1">
      <c r="B927" s="37"/>
    </row>
    <row r="928" spans="2:2" ht="15.95" customHeight="1">
      <c r="B928" s="37"/>
    </row>
    <row r="929" spans="2:2" ht="15.95" customHeight="1">
      <c r="B929" s="37"/>
    </row>
    <row r="930" spans="2:2" ht="15.95" customHeight="1">
      <c r="B930" s="37"/>
    </row>
    <row r="931" spans="2:2" ht="15.95" customHeight="1">
      <c r="B931" s="37"/>
    </row>
    <row r="932" spans="2:2" ht="15.95" customHeight="1">
      <c r="B932" s="37"/>
    </row>
    <row r="933" spans="2:2" ht="15.95" customHeight="1">
      <c r="B933" s="37"/>
    </row>
    <row r="934" spans="2:2" ht="15.95" customHeight="1">
      <c r="B934" s="37"/>
    </row>
    <row r="935" spans="2:2" ht="15.95" customHeight="1">
      <c r="B935" s="37"/>
    </row>
    <row r="936" spans="2:2" ht="15.95" customHeight="1">
      <c r="B936" s="37"/>
    </row>
    <row r="937" spans="2:2" ht="15.95" customHeight="1">
      <c r="B937" s="37"/>
    </row>
    <row r="938" spans="2:2" ht="15.95" customHeight="1">
      <c r="B938" s="37"/>
    </row>
    <row r="939" spans="2:2" ht="15.95" customHeight="1">
      <c r="B939" s="37"/>
    </row>
    <row r="940" spans="2:2" ht="15.95" customHeight="1">
      <c r="B940" s="37"/>
    </row>
    <row r="941" spans="2:2" ht="15.95" customHeight="1">
      <c r="B941" s="37"/>
    </row>
    <row r="942" spans="2:2" ht="15.95" customHeight="1">
      <c r="B942" s="37"/>
    </row>
    <row r="943" spans="2:2" ht="15.95" customHeight="1">
      <c r="B943" s="37"/>
    </row>
    <row r="944" spans="2:2" ht="15.95" customHeight="1">
      <c r="B944" s="37"/>
    </row>
    <row r="945" spans="2:2" ht="15.95" customHeight="1">
      <c r="B945" s="37"/>
    </row>
    <row r="946" spans="2:2" ht="15.95" customHeight="1">
      <c r="B946" s="37"/>
    </row>
    <row r="947" spans="2:2" ht="15.95" customHeight="1">
      <c r="B947" s="37"/>
    </row>
    <row r="948" spans="2:2" ht="15.95" customHeight="1">
      <c r="B948" s="37"/>
    </row>
    <row r="949" spans="2:2" ht="15.95" customHeight="1">
      <c r="B949" s="37"/>
    </row>
    <row r="950" spans="2:2" ht="15.95" customHeight="1">
      <c r="B950" s="37"/>
    </row>
    <row r="951" spans="2:2" ht="15.95" customHeight="1">
      <c r="B951" s="37"/>
    </row>
    <row r="952" spans="2:2" ht="15.95" customHeight="1">
      <c r="B952" s="37"/>
    </row>
    <row r="953" spans="2:2" ht="15.95" customHeight="1">
      <c r="B953" s="37"/>
    </row>
    <row r="954" spans="2:2" ht="15.95" customHeight="1">
      <c r="B954" s="37"/>
    </row>
    <row r="955" spans="2:2" ht="15.95" customHeight="1">
      <c r="B955" s="37"/>
    </row>
    <row r="956" spans="2:2" ht="15.95" customHeight="1">
      <c r="B956" s="37"/>
    </row>
    <row r="957" spans="2:2" ht="15.95" customHeight="1">
      <c r="B957" s="37"/>
    </row>
    <row r="958" spans="2:2" ht="15.95" customHeight="1">
      <c r="B958" s="37"/>
    </row>
    <row r="959" spans="2:2" ht="15.95" customHeight="1">
      <c r="B959" s="37"/>
    </row>
    <row r="960" spans="2:2" ht="15.95" customHeight="1">
      <c r="B960" s="37"/>
    </row>
    <row r="961" spans="2:2" ht="15.95" customHeight="1">
      <c r="B961" s="37"/>
    </row>
    <row r="962" spans="2:2" ht="15.95" customHeight="1">
      <c r="B962" s="37"/>
    </row>
    <row r="963" spans="2:2" ht="15.95" customHeight="1">
      <c r="B963" s="37"/>
    </row>
    <row r="964" spans="2:2" ht="15.95" customHeight="1">
      <c r="B964" s="37"/>
    </row>
    <row r="965" spans="2:2" ht="15.95" customHeight="1">
      <c r="B965" s="37"/>
    </row>
    <row r="966" spans="2:2" ht="15.95" customHeight="1">
      <c r="B966" s="37"/>
    </row>
    <row r="967" spans="2:2" ht="15.95" customHeight="1">
      <c r="B967" s="37"/>
    </row>
    <row r="968" spans="2:2" ht="15.95" customHeight="1">
      <c r="B968" s="37"/>
    </row>
    <row r="969" spans="2:2" ht="15.95" customHeight="1">
      <c r="B969" s="37"/>
    </row>
    <row r="970" spans="2:2" ht="15.95" customHeight="1">
      <c r="B970" s="37"/>
    </row>
    <row r="971" spans="2:2" ht="15.95" customHeight="1">
      <c r="B971" s="37"/>
    </row>
    <row r="972" spans="2:2" ht="15.95" customHeight="1">
      <c r="B972" s="37"/>
    </row>
    <row r="973" spans="2:2" ht="15.95" customHeight="1">
      <c r="B973" s="37"/>
    </row>
    <row r="974" spans="2:2" ht="15.95" customHeight="1">
      <c r="B974" s="37"/>
    </row>
    <row r="975" spans="2:2" ht="15.95" customHeight="1">
      <c r="B975" s="37"/>
    </row>
    <row r="976" spans="2:2" ht="15.95" customHeight="1">
      <c r="B976" s="37"/>
    </row>
    <row r="977" spans="2:2" ht="15.95" customHeight="1">
      <c r="B977" s="37"/>
    </row>
    <row r="978" spans="2:2" ht="15.95" customHeight="1">
      <c r="B978" s="37"/>
    </row>
    <row r="979" spans="2:2" ht="15.95" customHeight="1">
      <c r="B979" s="37"/>
    </row>
    <row r="980" spans="2:2" ht="15.95" customHeight="1">
      <c r="B980" s="37"/>
    </row>
    <row r="981" spans="2:2" ht="15.95" customHeight="1">
      <c r="B981" s="37"/>
    </row>
    <row r="982" spans="2:2" ht="15.95" customHeight="1">
      <c r="B982" s="37"/>
    </row>
    <row r="983" spans="2:2" ht="15.95" customHeight="1">
      <c r="B983" s="37"/>
    </row>
    <row r="984" spans="2:2" ht="15.95" customHeight="1">
      <c r="B984" s="37"/>
    </row>
    <row r="985" spans="2:2" ht="15.95" customHeight="1">
      <c r="B985" s="37"/>
    </row>
    <row r="986" spans="2:2" ht="15.95" customHeight="1">
      <c r="B986" s="37"/>
    </row>
    <row r="987" spans="2:2" ht="15.95" customHeight="1">
      <c r="B987" s="37"/>
    </row>
    <row r="988" spans="2:2" ht="15.95" customHeight="1">
      <c r="B988" s="37"/>
    </row>
    <row r="989" spans="2:2" ht="15.95" customHeight="1">
      <c r="B989" s="37"/>
    </row>
    <row r="990" spans="2:2" ht="15.95" customHeight="1">
      <c r="B990" s="37"/>
    </row>
    <row r="991" spans="2:2" ht="15.95" customHeight="1">
      <c r="B991" s="37"/>
    </row>
    <row r="992" spans="2:2" ht="15.95" customHeight="1">
      <c r="B992" s="37"/>
    </row>
    <row r="993" spans="2:2" ht="15.95" customHeight="1">
      <c r="B993" s="37"/>
    </row>
    <row r="994" spans="2:2" ht="15.95" customHeight="1">
      <c r="B994" s="37"/>
    </row>
    <row r="995" spans="2:2" ht="15.95" customHeight="1">
      <c r="B995" s="37"/>
    </row>
    <row r="996" spans="2:2" ht="15.95" customHeight="1">
      <c r="B996" s="37"/>
    </row>
    <row r="997" spans="2:2" ht="15.95" customHeight="1">
      <c r="B997" s="37"/>
    </row>
    <row r="998" spans="2:2" ht="15.95" customHeight="1">
      <c r="B998" s="37"/>
    </row>
    <row r="999" spans="2:2" ht="15.95" customHeight="1">
      <c r="B999" s="37"/>
    </row>
    <row r="1000" spans="2:2" ht="15.95" customHeight="1">
      <c r="B1000" s="37"/>
    </row>
    <row r="1001" spans="2:2" ht="15.95" customHeight="1">
      <c r="B1001" s="37"/>
    </row>
    <row r="1002" spans="2:2" ht="15.95" customHeight="1">
      <c r="B1002" s="37"/>
    </row>
    <row r="1003" spans="2:2" ht="15.95" customHeight="1">
      <c r="B1003" s="37"/>
    </row>
    <row r="1004" spans="2:2" ht="15.95" customHeight="1">
      <c r="B1004" s="37"/>
    </row>
    <row r="1005" spans="2:2" ht="15.95" customHeight="1">
      <c r="B1005" s="37"/>
    </row>
    <row r="1006" spans="2:2" ht="15.95" customHeight="1">
      <c r="B1006" s="37"/>
    </row>
    <row r="1007" spans="2:2" ht="15.95" customHeight="1">
      <c r="B1007" s="37"/>
    </row>
    <row r="1008" spans="2:2" ht="15.95" customHeight="1">
      <c r="B1008" s="37"/>
    </row>
    <row r="1009" spans="2:2" ht="15.95" customHeight="1">
      <c r="B1009" s="37"/>
    </row>
    <row r="1010" spans="2:2" ht="15.95" customHeight="1">
      <c r="B1010" s="37"/>
    </row>
    <row r="1011" spans="2:2" ht="15.95" customHeight="1">
      <c r="B1011" s="37"/>
    </row>
    <row r="1012" spans="2:2" ht="15.95" customHeight="1">
      <c r="B1012" s="37"/>
    </row>
    <row r="1013" spans="2:2" ht="15.95" customHeight="1">
      <c r="B1013" s="37"/>
    </row>
    <row r="1014" spans="2:2" ht="15.95" customHeight="1">
      <c r="B1014" s="37"/>
    </row>
    <row r="1015" spans="2:2" ht="15.95" customHeight="1">
      <c r="B1015" s="37"/>
    </row>
    <row r="1016" spans="2:2" ht="15.95" customHeight="1">
      <c r="B1016" s="37"/>
    </row>
    <row r="1017" spans="2:2" ht="15.95" customHeight="1">
      <c r="B1017" s="37"/>
    </row>
    <row r="1018" spans="2:2" ht="15.95" customHeight="1">
      <c r="B1018" s="37"/>
    </row>
    <row r="1019" spans="2:2" ht="15.95" customHeight="1">
      <c r="B1019" s="37"/>
    </row>
    <row r="1020" spans="2:2" ht="15.95" customHeight="1">
      <c r="B1020" s="37"/>
    </row>
    <row r="1021" spans="2:2" ht="15.95" customHeight="1">
      <c r="B1021" s="37"/>
    </row>
    <row r="1022" spans="2:2" ht="15.95" customHeight="1">
      <c r="B1022" s="37"/>
    </row>
    <row r="1023" spans="2:2" ht="15.95" customHeight="1">
      <c r="B1023" s="37"/>
    </row>
    <row r="1024" spans="2:2" ht="15.95" customHeight="1">
      <c r="B1024" s="37"/>
    </row>
    <row r="1025" spans="2:2" ht="15.95" customHeight="1">
      <c r="B1025" s="37"/>
    </row>
    <row r="1026" spans="2:2" ht="15.95" customHeight="1">
      <c r="B1026" s="37"/>
    </row>
    <row r="1027" spans="2:2" ht="15.95" customHeight="1">
      <c r="B1027" s="37"/>
    </row>
    <row r="1028" spans="2:2" ht="15.95" customHeight="1">
      <c r="B1028" s="37"/>
    </row>
    <row r="1029" spans="2:2" ht="15.95" customHeight="1">
      <c r="B1029" s="37"/>
    </row>
    <row r="1030" spans="2:2" ht="15.95" customHeight="1">
      <c r="B1030" s="37"/>
    </row>
    <row r="1031" spans="2:2" ht="15.95" customHeight="1">
      <c r="B1031" s="37"/>
    </row>
    <row r="1032" spans="2:2" ht="15.95" customHeight="1">
      <c r="B1032" s="37"/>
    </row>
    <row r="1033" spans="2:2" ht="15.95" customHeight="1">
      <c r="B1033" s="37"/>
    </row>
    <row r="1034" spans="2:2" ht="15.95" customHeight="1">
      <c r="B1034" s="37"/>
    </row>
    <row r="1035" spans="2:2" ht="15.95" customHeight="1">
      <c r="B1035" s="37"/>
    </row>
    <row r="1036" spans="2:2" ht="15.95" customHeight="1">
      <c r="B1036" s="37"/>
    </row>
    <row r="1037" spans="2:2" ht="15.95" customHeight="1">
      <c r="B1037" s="37"/>
    </row>
    <row r="1038" spans="2:2" ht="15.95" customHeight="1">
      <c r="B1038" s="37"/>
    </row>
    <row r="1039" spans="2:2" ht="15.95" customHeight="1">
      <c r="B1039" s="37"/>
    </row>
    <row r="1040" spans="2:2" ht="15.95" customHeight="1">
      <c r="B1040" s="37"/>
    </row>
    <row r="1041" spans="2:2" ht="15.95" customHeight="1">
      <c r="B1041" s="37"/>
    </row>
    <row r="1042" spans="2:2" ht="15.95" customHeight="1">
      <c r="B1042" s="37"/>
    </row>
    <row r="1043" spans="2:2" ht="15.95" customHeight="1">
      <c r="B1043" s="37"/>
    </row>
    <row r="1044" spans="2:2" ht="15.95" customHeight="1">
      <c r="B1044" s="37"/>
    </row>
    <row r="1045" spans="2:2" ht="15.95" customHeight="1">
      <c r="B1045" s="37"/>
    </row>
    <row r="1046" spans="2:2" ht="15.95" customHeight="1">
      <c r="B1046" s="37"/>
    </row>
    <row r="1047" spans="2:2" ht="15.95" customHeight="1">
      <c r="B1047" s="37"/>
    </row>
    <row r="1048" spans="2:2" ht="15.95" customHeight="1">
      <c r="B1048" s="37"/>
    </row>
    <row r="1049" spans="2:2" ht="15.95" customHeight="1">
      <c r="B1049" s="37"/>
    </row>
    <row r="1050" spans="2:2" ht="15.95" customHeight="1">
      <c r="B1050" s="37"/>
    </row>
    <row r="1051" spans="2:2" ht="15.95" customHeight="1">
      <c r="B1051" s="37"/>
    </row>
    <row r="1052" spans="2:2" ht="15.95" customHeight="1">
      <c r="B1052" s="37"/>
    </row>
    <row r="1053" spans="2:2" ht="15.95" customHeight="1">
      <c r="B1053" s="37"/>
    </row>
    <row r="1054" spans="2:2" ht="15.95" customHeight="1">
      <c r="B1054" s="37"/>
    </row>
    <row r="1055" spans="2:2" ht="15.95" customHeight="1">
      <c r="B1055" s="37"/>
    </row>
    <row r="1056" spans="2:2" ht="15.95" customHeight="1">
      <c r="B1056" s="37"/>
    </row>
    <row r="1057" spans="2:2" ht="15.95" customHeight="1">
      <c r="B1057" s="37"/>
    </row>
    <row r="1058" spans="2:2" ht="15.95" customHeight="1">
      <c r="B1058" s="37"/>
    </row>
    <row r="1059" spans="2:2" ht="15.95" customHeight="1">
      <c r="B1059" s="37"/>
    </row>
    <row r="1060" spans="2:2" ht="15.95" customHeight="1">
      <c r="B1060" s="37"/>
    </row>
    <row r="1061" spans="2:2" ht="15.95" customHeight="1">
      <c r="B1061" s="37"/>
    </row>
    <row r="1062" spans="2:2" ht="15.95" customHeight="1">
      <c r="B1062" s="37"/>
    </row>
    <row r="1063" spans="2:2" ht="15.95" customHeight="1">
      <c r="B1063" s="37"/>
    </row>
    <row r="1064" spans="2:2" ht="15.95" customHeight="1">
      <c r="B1064" s="37"/>
    </row>
    <row r="1065" spans="2:2" ht="15.95" customHeight="1">
      <c r="B1065" s="37"/>
    </row>
    <row r="1066" spans="2:2" ht="15.95" customHeight="1">
      <c r="B1066" s="37"/>
    </row>
    <row r="1067" spans="2:2" ht="15.95" customHeight="1">
      <c r="B1067" s="37"/>
    </row>
    <row r="1068" spans="2:2" ht="15.95" customHeight="1">
      <c r="B1068" s="37"/>
    </row>
    <row r="1069" spans="2:2" ht="15.95" customHeight="1">
      <c r="B1069" s="37"/>
    </row>
    <row r="1070" spans="2:2" ht="15.95" customHeight="1">
      <c r="B1070" s="37"/>
    </row>
    <row r="1071" spans="2:2" ht="15.95" customHeight="1">
      <c r="B1071" s="37"/>
    </row>
    <row r="1072" spans="2:2" ht="15.95" customHeight="1">
      <c r="B1072" s="37"/>
    </row>
    <row r="1073" spans="2:2" ht="15.95" customHeight="1">
      <c r="B1073" s="37"/>
    </row>
    <row r="1074" spans="2:2" ht="15.95" customHeight="1">
      <c r="B1074" s="37"/>
    </row>
    <row r="1075" spans="2:2" ht="15.95" customHeight="1">
      <c r="B1075" s="37"/>
    </row>
    <row r="1076" spans="2:2" ht="15.95" customHeight="1">
      <c r="B1076" s="37"/>
    </row>
    <row r="1077" spans="2:2" ht="15.95" customHeight="1">
      <c r="B1077" s="37"/>
    </row>
    <row r="1078" spans="2:2" ht="15.95" customHeight="1">
      <c r="B1078" s="37"/>
    </row>
    <row r="1079" spans="2:2" ht="15.95" customHeight="1">
      <c r="B1079" s="37"/>
    </row>
    <row r="1080" spans="2:2" ht="15.95" customHeight="1">
      <c r="B1080" s="37"/>
    </row>
    <row r="1081" spans="2:2" ht="15.95" customHeight="1">
      <c r="B1081" s="37"/>
    </row>
    <row r="1082" spans="2:2" ht="15.95" customHeight="1">
      <c r="B1082" s="37"/>
    </row>
    <row r="1083" spans="2:2" ht="15.95" customHeight="1">
      <c r="B1083" s="37"/>
    </row>
    <row r="1084" spans="2:2" ht="15.95" customHeight="1">
      <c r="B1084" s="37"/>
    </row>
    <row r="1085" spans="2:2" ht="15.95" customHeight="1">
      <c r="B1085" s="37"/>
    </row>
    <row r="1086" spans="2:2" ht="15.95" customHeight="1">
      <c r="B1086" s="37"/>
    </row>
    <row r="1087" spans="2:2" ht="15.95" customHeight="1">
      <c r="B1087" s="37"/>
    </row>
    <row r="1088" spans="2:2" ht="15.95" customHeight="1">
      <c r="B1088" s="37"/>
    </row>
    <row r="1089" spans="2:2" ht="15.95" customHeight="1">
      <c r="B1089" s="37"/>
    </row>
    <row r="1090" spans="2:2" ht="15.95" customHeight="1">
      <c r="B1090" s="37"/>
    </row>
    <row r="1091" spans="2:2" ht="15.95" customHeight="1">
      <c r="B1091" s="37"/>
    </row>
    <row r="1092" spans="2:2" ht="15.95" customHeight="1">
      <c r="B1092" s="37"/>
    </row>
    <row r="1093" spans="2:2" ht="15.95" customHeight="1">
      <c r="B1093" s="37"/>
    </row>
    <row r="1094" spans="2:2" ht="15.95" customHeight="1">
      <c r="B1094" s="37"/>
    </row>
    <row r="1095" spans="2:2" ht="15.95" customHeight="1">
      <c r="B1095" s="37"/>
    </row>
    <row r="1096" spans="2:2" ht="15.95" customHeight="1">
      <c r="B1096" s="37"/>
    </row>
    <row r="1097" spans="2:2" ht="15.95" customHeight="1">
      <c r="B1097" s="37"/>
    </row>
    <row r="1098" spans="2:2" ht="15.95" customHeight="1">
      <c r="B1098" s="37"/>
    </row>
    <row r="1099" spans="2:2" ht="15.95" customHeight="1">
      <c r="B1099" s="37"/>
    </row>
    <row r="1100" spans="2:2" ht="15.95" customHeight="1">
      <c r="B1100" s="37"/>
    </row>
    <row r="1101" spans="2:2" ht="15.95" customHeight="1">
      <c r="B1101" s="37"/>
    </row>
    <row r="1102" spans="2:2" ht="15.95" customHeight="1">
      <c r="B1102" s="37"/>
    </row>
    <row r="1103" spans="2:2" ht="15.95" customHeight="1">
      <c r="B1103" s="37"/>
    </row>
    <row r="1104" spans="2:2" ht="15.95" customHeight="1">
      <c r="B1104" s="37"/>
    </row>
    <row r="1105" spans="2:2" ht="15.95" customHeight="1">
      <c r="B1105" s="37"/>
    </row>
    <row r="1106" spans="2:2" ht="15.95" customHeight="1">
      <c r="B1106" s="37"/>
    </row>
    <row r="1107" spans="2:2" ht="15.95" customHeight="1">
      <c r="B1107" s="37"/>
    </row>
    <row r="1108" spans="2:2" ht="15.95" customHeight="1">
      <c r="B1108" s="37"/>
    </row>
    <row r="1109" spans="2:2" ht="15.95" customHeight="1">
      <c r="B1109" s="37"/>
    </row>
    <row r="1110" spans="2:2" ht="15.95" customHeight="1">
      <c r="B1110" s="37"/>
    </row>
    <row r="1111" spans="2:2" ht="15.95" customHeight="1">
      <c r="B1111" s="37"/>
    </row>
    <row r="1112" spans="2:2" ht="15.95" customHeight="1">
      <c r="B1112" s="37"/>
    </row>
    <row r="1113" spans="2:2" ht="15.95" customHeight="1">
      <c r="B1113" s="37"/>
    </row>
    <row r="1114" spans="2:2" ht="15.95" customHeight="1">
      <c r="B1114" s="37"/>
    </row>
    <row r="1115" spans="2:2" ht="15.95" customHeight="1">
      <c r="B1115" s="37"/>
    </row>
    <row r="1116" spans="2:2" ht="15.95" customHeight="1">
      <c r="B1116" s="37"/>
    </row>
    <row r="1117" spans="2:2" ht="15.95" customHeight="1">
      <c r="B1117" s="37"/>
    </row>
    <row r="1118" spans="2:2" ht="15.95" customHeight="1">
      <c r="B1118" s="37"/>
    </row>
    <row r="1119" spans="2:2" ht="15.95" customHeight="1">
      <c r="B1119" s="37"/>
    </row>
    <row r="1120" spans="2:2" ht="15.95" customHeight="1">
      <c r="B1120" s="37"/>
    </row>
    <row r="1121" spans="2:2" ht="15.95" customHeight="1">
      <c r="B1121" s="37"/>
    </row>
    <row r="1122" spans="2:2" ht="15.95" customHeight="1">
      <c r="B1122" s="37"/>
    </row>
    <row r="1123" spans="2:2" ht="15.95" customHeight="1">
      <c r="B1123" s="37"/>
    </row>
    <row r="1124" spans="2:2" ht="15.95" customHeight="1">
      <c r="B1124" s="37"/>
    </row>
    <row r="1125" spans="2:2" ht="15.95" customHeight="1">
      <c r="B1125" s="37"/>
    </row>
    <row r="1126" spans="2:2" ht="15.95" customHeight="1">
      <c r="B1126" s="37"/>
    </row>
    <row r="1127" spans="2:2" ht="15.95" customHeight="1">
      <c r="B1127" s="37"/>
    </row>
    <row r="1128" spans="2:2" ht="15.95" customHeight="1">
      <c r="B1128" s="37"/>
    </row>
    <row r="1129" spans="2:2" ht="15.95" customHeight="1">
      <c r="B1129" s="37"/>
    </row>
    <row r="1130" spans="2:2" ht="15.95" customHeight="1">
      <c r="B1130" s="37"/>
    </row>
    <row r="1131" spans="2:2" ht="15.95" customHeight="1">
      <c r="B1131" s="37"/>
    </row>
    <row r="1132" spans="2:2" ht="15.95" customHeight="1">
      <c r="B1132" s="37"/>
    </row>
    <row r="1133" spans="2:2" ht="15.95" customHeight="1">
      <c r="B1133" s="37"/>
    </row>
    <row r="1134" spans="2:2" ht="15.95" customHeight="1">
      <c r="B1134" s="37"/>
    </row>
    <row r="1135" spans="2:2" ht="15.95" customHeight="1">
      <c r="B1135" s="37"/>
    </row>
    <row r="1136" spans="2:2" ht="15.95" customHeight="1">
      <c r="B1136" s="37"/>
    </row>
    <row r="1137" spans="2:2" ht="15.95" customHeight="1">
      <c r="B1137" s="37"/>
    </row>
    <row r="1138" spans="2:2" ht="15.95" customHeight="1">
      <c r="B1138" s="37"/>
    </row>
    <row r="1139" spans="2:2" ht="15.95" customHeight="1">
      <c r="B1139" s="37"/>
    </row>
    <row r="1140" spans="2:2" ht="15.95" customHeight="1">
      <c r="B1140" s="37"/>
    </row>
    <row r="1141" spans="2:2" ht="15.95" customHeight="1">
      <c r="B1141" s="37"/>
    </row>
    <row r="1142" spans="2:2" ht="15.95" customHeight="1">
      <c r="B1142" s="37"/>
    </row>
    <row r="1143" spans="2:2" ht="15.95" customHeight="1">
      <c r="B1143" s="37"/>
    </row>
    <row r="1144" spans="2:2" ht="15.95" customHeight="1">
      <c r="B1144" s="37"/>
    </row>
    <row r="1145" spans="2:2" ht="15.95" customHeight="1">
      <c r="B1145" s="37"/>
    </row>
    <row r="1146" spans="2:2" ht="15.95" customHeight="1">
      <c r="B1146" s="37"/>
    </row>
    <row r="1147" spans="2:2" ht="15.95" customHeight="1">
      <c r="B1147" s="37"/>
    </row>
    <row r="1148" spans="2:2" ht="15.95" customHeight="1">
      <c r="B1148" s="37"/>
    </row>
    <row r="1149" spans="2:2" ht="15.95" customHeight="1">
      <c r="B1149" s="37"/>
    </row>
    <row r="1150" spans="2:2" ht="15.95" customHeight="1">
      <c r="B1150" s="37"/>
    </row>
    <row r="1151" spans="2:2" ht="15.95" customHeight="1">
      <c r="B1151" s="37"/>
    </row>
    <row r="1152" spans="2:2" ht="15.95" customHeight="1">
      <c r="B1152" s="37"/>
    </row>
    <row r="1153" spans="2:2" ht="15.95" customHeight="1">
      <c r="B1153" s="37"/>
    </row>
    <row r="1154" spans="2:2" ht="15.95" customHeight="1">
      <c r="B1154" s="37"/>
    </row>
    <row r="1155" spans="2:2" ht="15.95" customHeight="1">
      <c r="B1155" s="37"/>
    </row>
    <row r="1156" spans="2:2" ht="15.95" customHeight="1">
      <c r="B1156" s="37"/>
    </row>
    <row r="1157" spans="2:2" ht="15.95" customHeight="1">
      <c r="B1157" s="37"/>
    </row>
    <row r="1158" spans="2:2" ht="15.95" customHeight="1">
      <c r="B1158" s="37"/>
    </row>
    <row r="1159" spans="2:2" ht="15.95" customHeight="1">
      <c r="B1159" s="37"/>
    </row>
    <row r="1160" spans="2:2" ht="15.95" customHeight="1">
      <c r="B1160" s="37"/>
    </row>
    <row r="1161" spans="2:2" ht="15.95" customHeight="1">
      <c r="B1161" s="37"/>
    </row>
    <row r="1162" spans="2:2" ht="15.95" customHeight="1">
      <c r="B1162" s="37"/>
    </row>
    <row r="1163" spans="2:2" ht="15.95" customHeight="1">
      <c r="B1163" s="37"/>
    </row>
    <row r="1164" spans="2:2" ht="15.95" customHeight="1">
      <c r="B1164" s="37"/>
    </row>
    <row r="1165" spans="2:2" ht="15.95" customHeight="1">
      <c r="B1165" s="37"/>
    </row>
    <row r="1166" spans="2:2" ht="15.95" customHeight="1">
      <c r="B1166" s="37"/>
    </row>
    <row r="1167" spans="2:2" ht="15.95" customHeight="1">
      <c r="B1167" s="37"/>
    </row>
    <row r="1168" spans="2:2" ht="15.95" customHeight="1">
      <c r="B1168" s="37"/>
    </row>
    <row r="1169" spans="2:2" ht="15.95" customHeight="1">
      <c r="B1169" s="37"/>
    </row>
    <row r="1170" spans="2:2" ht="15.95" customHeight="1">
      <c r="B1170" s="37"/>
    </row>
    <row r="1171" spans="2:2" ht="15.95" customHeight="1">
      <c r="B1171" s="37"/>
    </row>
    <row r="1172" spans="2:2" ht="15.95" customHeight="1">
      <c r="B1172" s="37"/>
    </row>
    <row r="1173" spans="2:2" ht="15.95" customHeight="1">
      <c r="B1173" s="37"/>
    </row>
    <row r="1174" spans="2:2" ht="15.95" customHeight="1">
      <c r="B1174" s="37"/>
    </row>
    <row r="1175" spans="2:2" ht="15.95" customHeight="1">
      <c r="B1175" s="37"/>
    </row>
    <row r="1176" spans="2:2" ht="15.95" customHeight="1">
      <c r="B1176" s="37"/>
    </row>
    <row r="1177" spans="2:2" ht="15.95" customHeight="1">
      <c r="B1177" s="37"/>
    </row>
    <row r="1178" spans="2:2" ht="15.95" customHeight="1">
      <c r="B1178" s="37"/>
    </row>
    <row r="1179" spans="2:2" ht="15.95" customHeight="1">
      <c r="B1179" s="37"/>
    </row>
    <row r="1180" spans="2:2" ht="15.95" customHeight="1">
      <c r="B1180" s="37"/>
    </row>
    <row r="1181" spans="2:2" ht="15.95" customHeight="1">
      <c r="B1181" s="37"/>
    </row>
    <row r="1182" spans="2:2" ht="15.95" customHeight="1">
      <c r="B1182" s="37"/>
    </row>
    <row r="1183" spans="2:2" ht="15.95" customHeight="1">
      <c r="B1183" s="37"/>
    </row>
    <row r="1184" spans="2:2" ht="15.95" customHeight="1">
      <c r="B1184" s="37"/>
    </row>
    <row r="1185" spans="2:2" ht="15.95" customHeight="1">
      <c r="B1185" s="37"/>
    </row>
    <row r="1186" spans="2:2" ht="15.95" customHeight="1">
      <c r="B1186" s="37"/>
    </row>
    <row r="1187" spans="2:2" ht="15.95" customHeight="1">
      <c r="B1187" s="37"/>
    </row>
    <row r="1188" spans="2:2" ht="15.95" customHeight="1">
      <c r="B1188" s="37"/>
    </row>
    <row r="1189" spans="2:2" ht="15.95" customHeight="1">
      <c r="B1189" s="37"/>
    </row>
    <row r="1190" spans="2:2" ht="15.95" customHeight="1">
      <c r="B1190" s="37"/>
    </row>
    <row r="1191" spans="2:2" ht="15.95" customHeight="1">
      <c r="B1191" s="37"/>
    </row>
    <row r="1192" spans="2:2" ht="15.95" customHeight="1">
      <c r="B1192" s="37"/>
    </row>
    <row r="1193" spans="2:2" ht="15.95" customHeight="1">
      <c r="B1193" s="37"/>
    </row>
    <row r="1194" spans="2:2" ht="15.95" customHeight="1">
      <c r="B1194" s="37"/>
    </row>
    <row r="1195" spans="2:2" ht="15.95" customHeight="1">
      <c r="B1195" s="37"/>
    </row>
    <row r="1196" spans="2:2" ht="15.95" customHeight="1">
      <c r="B1196" s="37"/>
    </row>
    <row r="1197" spans="2:2" ht="15.95" customHeight="1">
      <c r="B1197" s="37"/>
    </row>
    <row r="1198" spans="2:2" ht="15.95" customHeight="1">
      <c r="B1198" s="37"/>
    </row>
    <row r="1199" spans="2:2" ht="15.95" customHeight="1">
      <c r="B1199" s="37"/>
    </row>
    <row r="1200" spans="2:2" ht="15.95" customHeight="1">
      <c r="B1200" s="37"/>
    </row>
    <row r="1201" spans="2:2" ht="15.95" customHeight="1">
      <c r="B1201" s="37"/>
    </row>
    <row r="1202" spans="2:2" ht="15.95" customHeight="1">
      <c r="B1202" s="37"/>
    </row>
    <row r="1203" spans="2:2" ht="15.95" customHeight="1">
      <c r="B1203" s="37"/>
    </row>
    <row r="1204" spans="2:2" ht="15.95" customHeight="1">
      <c r="B1204" s="37"/>
    </row>
    <row r="1205" spans="2:2" ht="15.95" customHeight="1">
      <c r="B1205" s="37"/>
    </row>
    <row r="1206" spans="2:2" ht="15.95" customHeight="1">
      <c r="B1206" s="37"/>
    </row>
    <row r="1207" spans="2:2" ht="15.95" customHeight="1">
      <c r="B1207" s="37"/>
    </row>
    <row r="1208" spans="2:2" ht="15.95" customHeight="1">
      <c r="B1208" s="37"/>
    </row>
    <row r="1209" spans="2:2" ht="15.95" customHeight="1">
      <c r="B1209" s="37"/>
    </row>
    <row r="1210" spans="2:2" ht="15.95" customHeight="1">
      <c r="B1210" s="37"/>
    </row>
    <row r="1211" spans="2:2" ht="15.95" customHeight="1">
      <c r="B1211" s="37"/>
    </row>
    <row r="1212" spans="2:2" ht="15.95" customHeight="1">
      <c r="B1212" s="37"/>
    </row>
    <row r="1213" spans="2:2" ht="15.95" customHeight="1">
      <c r="B1213" s="37"/>
    </row>
    <row r="1214" spans="2:2" ht="15.95" customHeight="1">
      <c r="B1214" s="37"/>
    </row>
    <row r="1215" spans="2:2" ht="15.95" customHeight="1">
      <c r="B1215" s="37"/>
    </row>
    <row r="1216" spans="2:2" ht="15.95" customHeight="1">
      <c r="B1216" s="37"/>
    </row>
    <row r="1217" spans="2:2" ht="15.95" customHeight="1">
      <c r="B1217" s="37"/>
    </row>
    <row r="1218" spans="2:2" ht="15.95" customHeight="1">
      <c r="B1218" s="37"/>
    </row>
    <row r="1219" spans="2:2" ht="15.95" customHeight="1">
      <c r="B1219" s="37"/>
    </row>
    <row r="1220" spans="2:2" ht="15.95" customHeight="1">
      <c r="B1220" s="37"/>
    </row>
    <row r="1221" spans="2:2" ht="15.95" customHeight="1">
      <c r="B1221" s="37"/>
    </row>
    <row r="1222" spans="2:2" ht="15.95" customHeight="1">
      <c r="B1222" s="37"/>
    </row>
    <row r="1223" spans="2:2" ht="15.95" customHeight="1">
      <c r="B1223" s="37"/>
    </row>
    <row r="1224" spans="2:2" ht="15.95" customHeight="1">
      <c r="B1224" s="37"/>
    </row>
    <row r="1225" spans="2:2" ht="15.95" customHeight="1">
      <c r="B1225" s="37"/>
    </row>
    <row r="1226" spans="2:2" ht="15.95" customHeight="1">
      <c r="B1226" s="37"/>
    </row>
    <row r="1227" spans="2:2" ht="15.95" customHeight="1">
      <c r="B1227" s="37"/>
    </row>
    <row r="1228" spans="2:2" ht="15.95" customHeight="1">
      <c r="B1228" s="37"/>
    </row>
    <row r="1229" spans="2:2" ht="15.95" customHeight="1">
      <c r="B1229" s="37"/>
    </row>
    <row r="1230" spans="2:2" ht="15.95" customHeight="1">
      <c r="B1230" s="37"/>
    </row>
    <row r="1231" spans="2:2" ht="15.95" customHeight="1">
      <c r="B1231" s="37"/>
    </row>
    <row r="1232" spans="2:2" ht="15.95" customHeight="1">
      <c r="B1232" s="37"/>
    </row>
    <row r="1233" spans="2:2" ht="15.95" customHeight="1">
      <c r="B1233" s="37"/>
    </row>
    <row r="1234" spans="2:2" ht="15.95" customHeight="1">
      <c r="B1234" s="37"/>
    </row>
    <row r="1235" spans="2:2" ht="15.95" customHeight="1">
      <c r="B1235" s="37"/>
    </row>
    <row r="1236" spans="2:2" ht="15.95" customHeight="1">
      <c r="B1236" s="37"/>
    </row>
    <row r="1237" spans="2:2" ht="15.95" customHeight="1">
      <c r="B1237" s="37"/>
    </row>
    <row r="1238" spans="2:2" ht="15.95" customHeight="1">
      <c r="B1238" s="37"/>
    </row>
    <row r="1239" spans="2:2" ht="15.95" customHeight="1">
      <c r="B1239" s="37"/>
    </row>
    <row r="1240" spans="2:2" ht="15.95" customHeight="1">
      <c r="B1240" s="37"/>
    </row>
    <row r="1241" spans="2:2" ht="15.95" customHeight="1">
      <c r="B1241" s="37"/>
    </row>
    <row r="1242" spans="2:2" ht="15.95" customHeight="1">
      <c r="B1242" s="37"/>
    </row>
    <row r="1243" spans="2:2" ht="15.95" customHeight="1">
      <c r="B1243" s="37"/>
    </row>
    <row r="1244" spans="2:2" ht="15.95" customHeight="1">
      <c r="B1244" s="37"/>
    </row>
    <row r="1245" spans="2:2" ht="15.95" customHeight="1">
      <c r="B1245" s="37"/>
    </row>
    <row r="1246" spans="2:2" ht="15.95" customHeight="1">
      <c r="B1246" s="37"/>
    </row>
    <row r="1247" spans="2:2" ht="15.95" customHeight="1">
      <c r="B1247" s="37"/>
    </row>
    <row r="1248" spans="2:2" ht="15.95" customHeight="1">
      <c r="B1248" s="37"/>
    </row>
    <row r="1249" spans="2:2" ht="15.95" customHeight="1">
      <c r="B1249" s="37"/>
    </row>
    <row r="1250" spans="2:2" ht="15.95" customHeight="1">
      <c r="B1250" s="37"/>
    </row>
    <row r="1251" spans="2:2" ht="15.95" customHeight="1">
      <c r="B1251" s="37"/>
    </row>
    <row r="1252" spans="2:2" ht="15.95" customHeight="1">
      <c r="B1252" s="37"/>
    </row>
    <row r="1253" spans="2:2" ht="15.95" customHeight="1">
      <c r="B1253" s="37"/>
    </row>
    <row r="1254" spans="2:2" ht="15.95" customHeight="1">
      <c r="B1254" s="37"/>
    </row>
    <row r="1255" spans="2:2" ht="15.95" customHeight="1">
      <c r="B1255" s="37"/>
    </row>
    <row r="1256" spans="2:2" ht="15.95" customHeight="1">
      <c r="B1256" s="37"/>
    </row>
    <row r="1257" spans="2:2" ht="15.95" customHeight="1">
      <c r="B1257" s="37"/>
    </row>
    <row r="1258" spans="2:2" ht="15.95" customHeight="1">
      <c r="B1258" s="37"/>
    </row>
    <row r="1259" spans="2:2" ht="15.95" customHeight="1">
      <c r="B1259" s="37"/>
    </row>
    <row r="1260" spans="2:2" ht="15.95" customHeight="1">
      <c r="B1260" s="37"/>
    </row>
    <row r="1261" spans="2:2" ht="15.95" customHeight="1">
      <c r="B1261" s="37"/>
    </row>
    <row r="1262" spans="2:2" ht="15.95" customHeight="1">
      <c r="B1262" s="37"/>
    </row>
    <row r="1263" spans="2:2" ht="15.95" customHeight="1">
      <c r="B1263" s="37"/>
    </row>
    <row r="1264" spans="2:2" ht="15.95" customHeight="1">
      <c r="B1264" s="37"/>
    </row>
    <row r="1265" spans="2:2" ht="15.95" customHeight="1">
      <c r="B1265" s="37"/>
    </row>
    <row r="1266" spans="2:2" ht="15.95" customHeight="1">
      <c r="B1266" s="37"/>
    </row>
    <row r="1267" spans="2:2" ht="15.95" customHeight="1">
      <c r="B1267" s="37"/>
    </row>
    <row r="1268" spans="2:2" ht="15.95" customHeight="1">
      <c r="B1268" s="37"/>
    </row>
    <row r="1269" spans="2:2" ht="15.95" customHeight="1">
      <c r="B1269" s="37"/>
    </row>
    <row r="1270" spans="2:2" ht="15.95" customHeight="1">
      <c r="B1270" s="37"/>
    </row>
    <row r="1271" spans="2:2" ht="15.95" customHeight="1">
      <c r="B1271" s="37"/>
    </row>
    <row r="1272" spans="2:2" ht="15.95" customHeight="1">
      <c r="B1272" s="37"/>
    </row>
    <row r="1273" spans="2:2" ht="15.95" customHeight="1">
      <c r="B1273" s="37"/>
    </row>
    <row r="1274" spans="2:2" ht="15.95" customHeight="1">
      <c r="B1274" s="37"/>
    </row>
    <row r="1275" spans="2:2" ht="15.95" customHeight="1">
      <c r="B1275" s="37"/>
    </row>
    <row r="1276" spans="2:2" ht="15.95" customHeight="1">
      <c r="B1276" s="37"/>
    </row>
    <row r="1277" spans="2:2" ht="15.95" customHeight="1">
      <c r="B1277" s="37"/>
    </row>
    <row r="1278" spans="2:2" ht="15.95" customHeight="1">
      <c r="B1278" s="37"/>
    </row>
    <row r="1279" spans="2:2" ht="15.95" customHeight="1">
      <c r="B1279" s="37"/>
    </row>
    <row r="1280" spans="2:2" ht="15.95" customHeight="1">
      <c r="B1280" s="37"/>
    </row>
    <row r="1281" spans="2:2" ht="15.95" customHeight="1">
      <c r="B1281" s="37"/>
    </row>
    <row r="1282" spans="2:2" ht="15.95" customHeight="1">
      <c r="B1282" s="37"/>
    </row>
    <row r="1283" spans="2:2" ht="15.95" customHeight="1">
      <c r="B1283" s="37"/>
    </row>
    <row r="1284" spans="2:2" ht="15.95" customHeight="1">
      <c r="B1284" s="37"/>
    </row>
    <row r="1285" spans="2:2" ht="15.95" customHeight="1">
      <c r="B1285" s="37"/>
    </row>
    <row r="1286" spans="2:2" ht="15.95" customHeight="1">
      <c r="B1286" s="37"/>
    </row>
    <row r="1287" spans="2:2" ht="15.95" customHeight="1">
      <c r="B1287" s="37"/>
    </row>
    <row r="1288" spans="2:2" ht="15.95" customHeight="1">
      <c r="B1288" s="37"/>
    </row>
    <row r="1289" spans="2:2" ht="15.95" customHeight="1">
      <c r="B1289" s="37"/>
    </row>
    <row r="1290" spans="2:2" ht="15.95" customHeight="1">
      <c r="B1290" s="37"/>
    </row>
    <row r="1291" spans="2:2" ht="15.95" customHeight="1">
      <c r="B1291" s="37"/>
    </row>
    <row r="1292" spans="2:2" ht="15.95" customHeight="1">
      <c r="B1292" s="37"/>
    </row>
    <row r="1293" spans="2:2" ht="15.95" customHeight="1">
      <c r="B1293" s="37"/>
    </row>
    <row r="1294" spans="2:2" ht="15.95" customHeight="1">
      <c r="B1294" s="37"/>
    </row>
    <row r="1295" spans="2:2" ht="15.95" customHeight="1">
      <c r="B1295" s="37"/>
    </row>
    <row r="1296" spans="2:2" ht="15.95" customHeight="1">
      <c r="B1296" s="37"/>
    </row>
    <row r="1297" spans="2:2" ht="15.95" customHeight="1">
      <c r="B1297" s="37"/>
    </row>
    <row r="1298" spans="2:2" ht="15.95" customHeight="1">
      <c r="B1298" s="37"/>
    </row>
    <row r="1299" spans="2:2" ht="15.95" customHeight="1">
      <c r="B1299" s="37"/>
    </row>
    <row r="1300" spans="2:2" ht="15.95" customHeight="1">
      <c r="B1300" s="37"/>
    </row>
    <row r="1301" spans="2:2" ht="15.95" customHeight="1">
      <c r="B1301" s="37"/>
    </row>
    <row r="1302" spans="2:2" ht="15.95" customHeight="1">
      <c r="B1302" s="37"/>
    </row>
    <row r="1303" spans="2:2" ht="15.95" customHeight="1">
      <c r="B1303" s="37"/>
    </row>
    <row r="1304" spans="2:2" ht="15.95" customHeight="1">
      <c r="B1304" s="37"/>
    </row>
    <row r="1305" spans="2:2" ht="15.95" customHeight="1">
      <c r="B1305" s="37"/>
    </row>
    <row r="1306" spans="2:2" ht="15.95" customHeight="1">
      <c r="B1306" s="37"/>
    </row>
    <row r="1307" spans="2:2" ht="15.95" customHeight="1">
      <c r="B1307" s="37"/>
    </row>
    <row r="1308" spans="2:2" ht="15.95" customHeight="1">
      <c r="B1308" s="37"/>
    </row>
    <row r="1309" spans="2:2" ht="15.95" customHeight="1">
      <c r="B1309" s="37"/>
    </row>
    <row r="1310" spans="2:2" ht="15.95" customHeight="1">
      <c r="B1310" s="37"/>
    </row>
    <row r="1311" spans="2:2" ht="15.95" customHeight="1">
      <c r="B1311" s="37"/>
    </row>
    <row r="1312" spans="2:2" ht="15.95" customHeight="1">
      <c r="B1312" s="37"/>
    </row>
    <row r="1313" spans="2:2" ht="15.95" customHeight="1">
      <c r="B1313" s="37"/>
    </row>
    <row r="1314" spans="2:2" ht="15.95" customHeight="1">
      <c r="B1314" s="37"/>
    </row>
    <row r="1315" spans="2:2" ht="15.95" customHeight="1">
      <c r="B1315" s="37"/>
    </row>
    <row r="1316" spans="2:2" ht="15.95" customHeight="1">
      <c r="B1316" s="37"/>
    </row>
    <row r="1317" spans="2:2" ht="15.95" customHeight="1">
      <c r="B1317" s="37"/>
    </row>
    <row r="1318" spans="2:2" ht="15.95" customHeight="1">
      <c r="B1318" s="37"/>
    </row>
    <row r="1319" spans="2:2" ht="15.95" customHeight="1">
      <c r="B1319" s="37"/>
    </row>
    <row r="1320" spans="2:2" ht="15.95" customHeight="1">
      <c r="B1320" s="37"/>
    </row>
    <row r="1321" spans="2:2" ht="15.95" customHeight="1">
      <c r="B1321" s="37"/>
    </row>
    <row r="1322" spans="2:2" ht="15.95" customHeight="1">
      <c r="B1322" s="37"/>
    </row>
    <row r="1323" spans="2:2" ht="15.95" customHeight="1">
      <c r="B1323" s="37"/>
    </row>
    <row r="1324" spans="2:2" ht="15.95" customHeight="1">
      <c r="B1324" s="37"/>
    </row>
    <row r="1325" spans="2:2" ht="15.95" customHeight="1">
      <c r="B1325" s="37"/>
    </row>
    <row r="1326" spans="2:2" ht="15.95" customHeight="1">
      <c r="B1326" s="37"/>
    </row>
    <row r="1327" spans="2:2" ht="15.95" customHeight="1">
      <c r="B1327" s="37"/>
    </row>
    <row r="1328" spans="2:2" ht="15.95" customHeight="1">
      <c r="B1328" s="37"/>
    </row>
    <row r="1329" spans="2:2" ht="15.95" customHeight="1">
      <c r="B1329" s="37"/>
    </row>
    <row r="1330" spans="2:2" ht="15.95" customHeight="1">
      <c r="B1330" s="37"/>
    </row>
    <row r="1331" spans="2:2" ht="15.95" customHeight="1">
      <c r="B1331" s="37"/>
    </row>
    <row r="1332" spans="2:2" ht="15.95" customHeight="1">
      <c r="B1332" s="37"/>
    </row>
    <row r="1333" spans="2:2" ht="15.95" customHeight="1">
      <c r="B1333" s="37"/>
    </row>
    <row r="1334" spans="2:2" ht="15.95" customHeight="1">
      <c r="B1334" s="37"/>
    </row>
    <row r="1335" spans="2:2" ht="15.95" customHeight="1">
      <c r="B1335" s="37"/>
    </row>
    <row r="1336" spans="2:2" ht="15.95" customHeight="1">
      <c r="B1336" s="37"/>
    </row>
    <row r="1337" spans="2:2" ht="15.95" customHeight="1">
      <c r="B1337" s="37"/>
    </row>
    <row r="1338" spans="2:2" ht="15.95" customHeight="1">
      <c r="B1338" s="37"/>
    </row>
    <row r="1339" spans="2:2" ht="15.95" customHeight="1">
      <c r="B1339" s="37"/>
    </row>
    <row r="1340" spans="2:2" ht="15.95" customHeight="1">
      <c r="B1340" s="37"/>
    </row>
    <row r="1341" spans="2:2" ht="15.95" customHeight="1">
      <c r="B1341" s="37"/>
    </row>
    <row r="1342" spans="2:2" ht="15.95" customHeight="1">
      <c r="B1342" s="37"/>
    </row>
    <row r="1343" spans="2:2" ht="15.95" customHeight="1">
      <c r="B1343" s="37"/>
    </row>
    <row r="1344" spans="2:2" ht="15.95" customHeight="1">
      <c r="B1344" s="37"/>
    </row>
    <row r="1345" spans="2:2" ht="15.95" customHeight="1">
      <c r="B1345" s="37"/>
    </row>
    <row r="1346" spans="2:2" ht="15.95" customHeight="1">
      <c r="B1346" s="37"/>
    </row>
    <row r="1347" spans="2:2" ht="15.95" customHeight="1">
      <c r="B1347" s="37"/>
    </row>
    <row r="1348" spans="2:2" ht="15.95" customHeight="1">
      <c r="B1348" s="37"/>
    </row>
    <row r="1349" spans="2:2" ht="15.95" customHeight="1">
      <c r="B1349" s="37"/>
    </row>
    <row r="1350" spans="2:2" ht="15.95" customHeight="1">
      <c r="B1350" s="37"/>
    </row>
    <row r="1351" spans="2:2" ht="15.95" customHeight="1">
      <c r="B1351" s="37"/>
    </row>
    <row r="1352" spans="2:2" ht="15.95" customHeight="1">
      <c r="B1352" s="37"/>
    </row>
    <row r="1353" spans="2:2" ht="15.95" customHeight="1">
      <c r="B1353" s="37"/>
    </row>
    <row r="1354" spans="2:2" ht="15.95" customHeight="1">
      <c r="B1354" s="37"/>
    </row>
    <row r="1355" spans="2:2" ht="15.95" customHeight="1">
      <c r="B1355" s="37"/>
    </row>
    <row r="1356" spans="2:2" ht="15.95" customHeight="1">
      <c r="B1356" s="37"/>
    </row>
    <row r="1357" spans="2:2" ht="15.95" customHeight="1">
      <c r="B1357" s="37"/>
    </row>
    <row r="1358" spans="2:2" ht="15.95" customHeight="1">
      <c r="B1358" s="37"/>
    </row>
    <row r="1359" spans="2:2" ht="15.95" customHeight="1">
      <c r="B1359" s="37"/>
    </row>
    <row r="1360" spans="2:2" ht="15.95" customHeight="1">
      <c r="B1360" s="37"/>
    </row>
    <row r="1361" spans="2:2" ht="15.95" customHeight="1">
      <c r="B1361" s="37"/>
    </row>
    <row r="1362" spans="2:2" ht="15.95" customHeight="1">
      <c r="B1362" s="37"/>
    </row>
    <row r="1363" spans="2:2" ht="15.95" customHeight="1">
      <c r="B1363" s="37"/>
    </row>
    <row r="1364" spans="2:2" ht="15.95" customHeight="1">
      <c r="B1364" s="37"/>
    </row>
    <row r="1365" spans="2:2" ht="15.95" customHeight="1">
      <c r="B1365" s="37"/>
    </row>
    <row r="1366" spans="2:2" ht="15.95" customHeight="1">
      <c r="B1366" s="37"/>
    </row>
    <row r="1367" spans="2:2" ht="15.95" customHeight="1">
      <c r="B1367" s="37"/>
    </row>
    <row r="1368" spans="2:2" ht="15.95" customHeight="1">
      <c r="B1368" s="37"/>
    </row>
    <row r="1369" spans="2:2" ht="15.95" customHeight="1">
      <c r="B1369" s="37"/>
    </row>
    <row r="1370" spans="2:2" ht="15.95" customHeight="1">
      <c r="B1370" s="37"/>
    </row>
    <row r="1371" spans="2:2" ht="15.95" customHeight="1">
      <c r="B1371" s="37"/>
    </row>
    <row r="1372" spans="2:2" ht="15.95" customHeight="1">
      <c r="B1372" s="37"/>
    </row>
    <row r="1373" spans="2:2" ht="15.95" customHeight="1">
      <c r="B1373" s="37"/>
    </row>
    <row r="1374" spans="2:2" ht="15.95" customHeight="1">
      <c r="B1374" s="37"/>
    </row>
    <row r="1375" spans="2:2" ht="15.95" customHeight="1">
      <c r="B1375" s="37"/>
    </row>
    <row r="1376" spans="2:2" ht="15.95" customHeight="1">
      <c r="B1376" s="37"/>
    </row>
    <row r="1377" spans="2:2" ht="15.95" customHeight="1">
      <c r="B1377" s="37"/>
    </row>
    <row r="1378" spans="2:2" ht="15.95" customHeight="1">
      <c r="B1378" s="37"/>
    </row>
    <row r="1379" spans="2:2" ht="15.95" customHeight="1">
      <c r="B1379" s="37"/>
    </row>
    <row r="1380" spans="2:2" ht="15.95" customHeight="1">
      <c r="B1380" s="37"/>
    </row>
    <row r="1381" spans="2:2" ht="15.95" customHeight="1">
      <c r="B1381" s="37"/>
    </row>
    <row r="1382" spans="2:2" ht="15.95" customHeight="1">
      <c r="B1382" s="37"/>
    </row>
    <row r="1383" spans="2:2" ht="15.95" customHeight="1">
      <c r="B1383" s="37"/>
    </row>
    <row r="1384" spans="2:2" ht="15.95" customHeight="1">
      <c r="B1384" s="37"/>
    </row>
    <row r="1385" spans="2:2" ht="15.95" customHeight="1">
      <c r="B1385" s="37"/>
    </row>
    <row r="1386" spans="2:2" ht="15.95" customHeight="1">
      <c r="B1386" s="37"/>
    </row>
    <row r="1387" spans="2:2" ht="15.95" customHeight="1">
      <c r="B1387" s="37"/>
    </row>
    <row r="1388" spans="2:2" ht="15.95" customHeight="1">
      <c r="B1388" s="37"/>
    </row>
    <row r="1389" spans="2:2" ht="15.95" customHeight="1">
      <c r="B1389" s="37"/>
    </row>
    <row r="1390" spans="2:2" ht="15.95" customHeight="1">
      <c r="B1390" s="37"/>
    </row>
    <row r="1391" spans="2:2" ht="15.95" customHeight="1">
      <c r="B1391" s="37"/>
    </row>
    <row r="1392" spans="2:2" ht="15.95" customHeight="1">
      <c r="B1392" s="37"/>
    </row>
    <row r="1393" spans="2:2" ht="15.95" customHeight="1">
      <c r="B1393" s="37"/>
    </row>
    <row r="1394" spans="2:2" ht="15.95" customHeight="1">
      <c r="B1394" s="37"/>
    </row>
    <row r="1395" spans="2:2" ht="15.95" customHeight="1">
      <c r="B1395" s="37"/>
    </row>
    <row r="1396" spans="2:2" ht="15.95" customHeight="1">
      <c r="B1396" s="37"/>
    </row>
    <row r="1397" spans="2:2" ht="15.95" customHeight="1">
      <c r="B1397" s="37"/>
    </row>
    <row r="1398" spans="2:2" ht="15.95" customHeight="1">
      <c r="B1398" s="37"/>
    </row>
    <row r="1399" spans="2:2" ht="15.95" customHeight="1">
      <c r="B1399" s="37"/>
    </row>
    <row r="1400" spans="2:2" ht="15.95" customHeight="1">
      <c r="B1400" s="37"/>
    </row>
    <row r="1401" spans="2:2" ht="15.95" customHeight="1">
      <c r="B1401" s="37"/>
    </row>
    <row r="1402" spans="2:2" ht="15.95" customHeight="1">
      <c r="B1402" s="37"/>
    </row>
    <row r="1403" spans="2:2" ht="15.95" customHeight="1">
      <c r="B1403" s="37"/>
    </row>
    <row r="1404" spans="2:2" ht="15.95" customHeight="1">
      <c r="B1404" s="37"/>
    </row>
    <row r="1405" spans="2:2" ht="15.95" customHeight="1">
      <c r="B1405" s="37"/>
    </row>
    <row r="1406" spans="2:2" ht="15.95" customHeight="1">
      <c r="B1406" s="37"/>
    </row>
    <row r="1407" spans="2:2" ht="15.95" customHeight="1">
      <c r="B1407" s="37"/>
    </row>
    <row r="1408" spans="2:2" ht="15.95" customHeight="1">
      <c r="B1408" s="37"/>
    </row>
    <row r="1409" spans="2:2" ht="15.95" customHeight="1">
      <c r="B1409" s="37"/>
    </row>
    <row r="1410" spans="2:2" ht="15.95" customHeight="1">
      <c r="B1410" s="37"/>
    </row>
    <row r="1411" spans="2:2" ht="15.95" customHeight="1">
      <c r="B1411" s="37"/>
    </row>
    <row r="1412" spans="2:2" ht="15.95" customHeight="1">
      <c r="B1412" s="37"/>
    </row>
    <row r="1413" spans="2:2" ht="15.95" customHeight="1">
      <c r="B1413" s="37"/>
    </row>
    <row r="1414" spans="2:2" ht="15.95" customHeight="1">
      <c r="B1414" s="37"/>
    </row>
    <row r="1415" spans="2:2" ht="15.95" customHeight="1">
      <c r="B1415" s="37"/>
    </row>
    <row r="1416" spans="2:2" ht="15.95" customHeight="1">
      <c r="B1416" s="37"/>
    </row>
    <row r="1417" spans="2:2" ht="15.95" customHeight="1">
      <c r="B1417" s="37"/>
    </row>
    <row r="1418" spans="2:2" ht="15.95" customHeight="1">
      <c r="B1418" s="37"/>
    </row>
    <row r="1419" spans="2:2" ht="15.95" customHeight="1">
      <c r="B1419" s="37"/>
    </row>
    <row r="1420" spans="2:2" ht="15.95" customHeight="1">
      <c r="B1420" s="37"/>
    </row>
    <row r="1421" spans="2:2" ht="15.95" customHeight="1">
      <c r="B1421" s="37"/>
    </row>
    <row r="1422" spans="2:2" ht="15.95" customHeight="1">
      <c r="B1422" s="37"/>
    </row>
    <row r="1423" spans="2:2" ht="15.95" customHeight="1">
      <c r="B1423" s="37"/>
    </row>
    <row r="1424" spans="2:2" ht="15.95" customHeight="1">
      <c r="B1424" s="37"/>
    </row>
    <row r="1425" spans="2:2" ht="15.95" customHeight="1">
      <c r="B1425" s="37"/>
    </row>
    <row r="1426" spans="2:2" ht="15.95" customHeight="1">
      <c r="B1426" s="37"/>
    </row>
    <row r="1427" spans="2:2" ht="15.95" customHeight="1">
      <c r="B1427" s="37"/>
    </row>
    <row r="1428" spans="2:2" ht="15.95" customHeight="1">
      <c r="B1428" s="37"/>
    </row>
    <row r="1429" spans="2:2" ht="15.95" customHeight="1">
      <c r="B1429" s="37"/>
    </row>
    <row r="1430" spans="2:2" ht="15.95" customHeight="1">
      <c r="B1430" s="37"/>
    </row>
    <row r="1431" spans="2:2" ht="15.95" customHeight="1">
      <c r="B1431" s="37"/>
    </row>
    <row r="1432" spans="2:2" ht="15.95" customHeight="1">
      <c r="B1432" s="37"/>
    </row>
    <row r="1433" spans="2:2" ht="15.95" customHeight="1">
      <c r="B1433" s="37"/>
    </row>
    <row r="1434" spans="2:2" ht="15.95" customHeight="1">
      <c r="B1434" s="37"/>
    </row>
    <row r="1435" spans="2:2" ht="15.95" customHeight="1">
      <c r="B1435" s="37"/>
    </row>
    <row r="1436" spans="2:2" ht="15.95" customHeight="1">
      <c r="B1436" s="37"/>
    </row>
    <row r="1437" spans="2:2" ht="15.95" customHeight="1">
      <c r="B1437" s="37"/>
    </row>
    <row r="1438" spans="2:2" ht="15.95" customHeight="1">
      <c r="B1438" s="37"/>
    </row>
    <row r="1439" spans="2:2" ht="15.95" customHeight="1">
      <c r="B1439" s="37"/>
    </row>
    <row r="1440" spans="2:2" ht="15.95" customHeight="1">
      <c r="B1440" s="37"/>
    </row>
    <row r="1441" spans="2:2" ht="15.95" customHeight="1">
      <c r="B1441" s="37"/>
    </row>
    <row r="1442" spans="2:2" ht="15.95" customHeight="1">
      <c r="B1442" s="37"/>
    </row>
    <row r="1443" spans="2:2" ht="15.95" customHeight="1">
      <c r="B1443" s="37"/>
    </row>
    <row r="1444" spans="2:2" ht="15.95" customHeight="1">
      <c r="B1444" s="37"/>
    </row>
    <row r="1445" spans="2:2" ht="15.95" customHeight="1">
      <c r="B1445" s="37"/>
    </row>
    <row r="1446" spans="2:2" ht="15.95" customHeight="1">
      <c r="B1446" s="37"/>
    </row>
    <row r="1447" spans="2:2" ht="15.95" customHeight="1">
      <c r="B1447" s="37"/>
    </row>
    <row r="1448" spans="2:2" ht="15.95" customHeight="1">
      <c r="B1448" s="37"/>
    </row>
    <row r="1449" spans="2:2" ht="15.95" customHeight="1">
      <c r="B1449" s="37"/>
    </row>
    <row r="1450" spans="2:2" ht="15.95" customHeight="1">
      <c r="B1450" s="37"/>
    </row>
    <row r="1451" spans="2:2" ht="15.95" customHeight="1">
      <c r="B1451" s="37"/>
    </row>
    <row r="1452" spans="2:2" ht="15.95" customHeight="1">
      <c r="B1452" s="37"/>
    </row>
    <row r="1453" spans="2:2" ht="15.95" customHeight="1">
      <c r="B1453" s="37"/>
    </row>
    <row r="1454" spans="2:2" ht="15.95" customHeight="1">
      <c r="B1454" s="37"/>
    </row>
    <row r="1455" spans="2:2" ht="15.95" customHeight="1">
      <c r="B1455" s="37"/>
    </row>
    <row r="1456" spans="2:2" ht="15.95" customHeight="1">
      <c r="B1456" s="37"/>
    </row>
    <row r="1457" spans="2:2" ht="15.95" customHeight="1">
      <c r="B1457" s="37"/>
    </row>
    <row r="1458" spans="2:2" ht="15.95" customHeight="1">
      <c r="B1458" s="37"/>
    </row>
    <row r="1459" spans="2:2" ht="15.95" customHeight="1">
      <c r="B1459" s="37"/>
    </row>
    <row r="1460" spans="2:2" ht="15.95" customHeight="1">
      <c r="B1460" s="37"/>
    </row>
    <row r="1461" spans="2:2" ht="15.95" customHeight="1">
      <c r="B1461" s="37"/>
    </row>
    <row r="1462" spans="2:2" ht="15.95" customHeight="1">
      <c r="B1462" s="37"/>
    </row>
    <row r="1463" spans="2:2" ht="15.95" customHeight="1">
      <c r="B1463" s="37"/>
    </row>
    <row r="1464" spans="2:2" ht="15.95" customHeight="1">
      <c r="B1464" s="37"/>
    </row>
    <row r="1465" spans="2:2" ht="15.95" customHeight="1">
      <c r="B1465" s="37"/>
    </row>
    <row r="1466" spans="2:2" ht="15.95" customHeight="1">
      <c r="B1466" s="37"/>
    </row>
    <row r="1467" spans="2:2" ht="15.95" customHeight="1">
      <c r="B1467" s="37"/>
    </row>
    <row r="1468" spans="2:2" ht="15.95" customHeight="1">
      <c r="B1468" s="37"/>
    </row>
    <row r="1469" spans="2:2" ht="15.95" customHeight="1">
      <c r="B1469" s="37"/>
    </row>
    <row r="1470" spans="2:2" ht="15.95" customHeight="1">
      <c r="B1470" s="37"/>
    </row>
    <row r="1471" spans="2:2" ht="15.95" customHeight="1">
      <c r="B1471" s="37"/>
    </row>
    <row r="1472" spans="2:2" ht="15.95" customHeight="1">
      <c r="B1472" s="37"/>
    </row>
    <row r="1473" spans="2:2" ht="15.95" customHeight="1">
      <c r="B1473" s="37"/>
    </row>
    <row r="1474" spans="2:2" ht="15.95" customHeight="1">
      <c r="B1474" s="37"/>
    </row>
    <row r="1475" spans="2:2" ht="15.95" customHeight="1">
      <c r="B1475" s="37"/>
    </row>
    <row r="1476" spans="2:2" ht="15.95" customHeight="1">
      <c r="B1476" s="37"/>
    </row>
    <row r="1477" spans="2:2" ht="15.95" customHeight="1">
      <c r="B1477" s="37"/>
    </row>
    <row r="1478" spans="2:2" ht="15.95" customHeight="1">
      <c r="B1478" s="37"/>
    </row>
    <row r="1479" spans="2:2" ht="15.95" customHeight="1">
      <c r="B1479" s="37"/>
    </row>
    <row r="1480" spans="2:2" ht="15.95" customHeight="1">
      <c r="B1480" s="37"/>
    </row>
    <row r="1481" spans="2:2" ht="15.95" customHeight="1">
      <c r="B1481" s="37"/>
    </row>
    <row r="1482" spans="2:2" ht="15.95" customHeight="1">
      <c r="B1482" s="37"/>
    </row>
    <row r="1483" spans="2:2" ht="15.95" customHeight="1">
      <c r="B1483" s="37"/>
    </row>
    <row r="1484" spans="2:2" ht="15.95" customHeight="1">
      <c r="B1484" s="37"/>
    </row>
    <row r="1485" spans="2:2" ht="15.95" customHeight="1">
      <c r="B1485" s="37"/>
    </row>
    <row r="1486" spans="2:2" ht="15.95" customHeight="1">
      <c r="B1486" s="37"/>
    </row>
    <row r="1487" spans="2:2" ht="15.95" customHeight="1">
      <c r="B1487" s="37"/>
    </row>
    <row r="1488" spans="2:2" ht="15.95" customHeight="1">
      <c r="B1488" s="37"/>
    </row>
    <row r="1489" spans="2:2" ht="15.95" customHeight="1">
      <c r="B1489" s="37"/>
    </row>
    <row r="1490" spans="2:2" ht="15.95" customHeight="1">
      <c r="B1490" s="37"/>
    </row>
    <row r="1491" spans="2:2" ht="15.95" customHeight="1">
      <c r="B1491" s="37"/>
    </row>
    <row r="1492" spans="2:2" ht="15.95" customHeight="1">
      <c r="B1492" s="37"/>
    </row>
    <row r="1493" spans="2:2" ht="15.95" customHeight="1">
      <c r="B1493" s="37"/>
    </row>
    <row r="1494" spans="2:2" ht="15.95" customHeight="1">
      <c r="B1494" s="37"/>
    </row>
    <row r="1495" spans="2:2" ht="15.95" customHeight="1">
      <c r="B1495" s="37"/>
    </row>
    <row r="1496" spans="2:2" ht="15.95" customHeight="1">
      <c r="B1496" s="37"/>
    </row>
    <row r="1497" spans="2:2" ht="15.95" customHeight="1">
      <c r="B1497" s="37"/>
    </row>
    <row r="1498" spans="2:2" ht="15.95" customHeight="1">
      <c r="B1498" s="37"/>
    </row>
    <row r="1499" spans="2:2" ht="15.95" customHeight="1">
      <c r="B1499" s="37"/>
    </row>
    <row r="1500" spans="2:2" ht="15.95" customHeight="1">
      <c r="B1500" s="37"/>
    </row>
    <row r="1501" spans="2:2" ht="15.95" customHeight="1">
      <c r="B1501" s="37"/>
    </row>
    <row r="1502" spans="2:2" ht="15.95" customHeight="1">
      <c r="B1502" s="37"/>
    </row>
    <row r="1503" spans="2:2" ht="15.95" customHeight="1">
      <c r="B1503" s="37"/>
    </row>
    <row r="1504" spans="2:2" ht="15.95" customHeight="1">
      <c r="B1504" s="37"/>
    </row>
    <row r="1505" spans="2:2" ht="15.95" customHeight="1">
      <c r="B1505" s="37"/>
    </row>
    <row r="1506" spans="2:2" ht="15.95" customHeight="1">
      <c r="B1506" s="37"/>
    </row>
    <row r="1507" spans="2:2" ht="15.95" customHeight="1">
      <c r="B1507" s="37"/>
    </row>
    <row r="1508" spans="2:2" ht="15.95" customHeight="1">
      <c r="B1508" s="37"/>
    </row>
    <row r="1509" spans="2:2" ht="15.95" customHeight="1">
      <c r="B1509" s="37"/>
    </row>
    <row r="1510" spans="2:2" ht="15.95" customHeight="1">
      <c r="B1510" s="37"/>
    </row>
    <row r="1511" spans="2:2" ht="15.95" customHeight="1">
      <c r="B1511" s="37"/>
    </row>
    <row r="1512" spans="2:2" ht="15.95" customHeight="1">
      <c r="B1512" s="37"/>
    </row>
    <row r="1513" spans="2:2" ht="15.95" customHeight="1">
      <c r="B1513" s="37"/>
    </row>
    <row r="1514" spans="2:2" ht="15.95" customHeight="1">
      <c r="B1514" s="37"/>
    </row>
    <row r="1515" spans="2:2" ht="15.95" customHeight="1">
      <c r="B1515" s="37"/>
    </row>
    <row r="1516" spans="2:2" ht="15.95" customHeight="1">
      <c r="B1516" s="37"/>
    </row>
    <row r="1517" spans="2:2" ht="15.95" customHeight="1">
      <c r="B1517" s="37"/>
    </row>
    <row r="1518" spans="2:2" ht="15.95" customHeight="1">
      <c r="B1518" s="37"/>
    </row>
    <row r="1519" spans="2:2" ht="15.95" customHeight="1">
      <c r="B1519" s="37"/>
    </row>
    <row r="1520" spans="2:2" ht="15.95" customHeight="1">
      <c r="B1520" s="37"/>
    </row>
    <row r="1521" spans="2:2" ht="15.95" customHeight="1">
      <c r="B1521" s="37"/>
    </row>
    <row r="1522" spans="2:2" ht="15.95" customHeight="1">
      <c r="B1522" s="37"/>
    </row>
    <row r="1523" spans="2:2" ht="15.95" customHeight="1">
      <c r="B1523" s="37"/>
    </row>
    <row r="1524" spans="2:2" ht="15.95" customHeight="1">
      <c r="B1524" s="37"/>
    </row>
    <row r="1525" spans="2:2" ht="15.95" customHeight="1">
      <c r="B1525" s="37"/>
    </row>
    <row r="1526" spans="2:2" ht="15.95" customHeight="1">
      <c r="B1526" s="37"/>
    </row>
    <row r="1527" spans="2:2" ht="15.95" customHeight="1">
      <c r="B1527" s="37"/>
    </row>
    <row r="1528" spans="2:2" ht="15.95" customHeight="1">
      <c r="B1528" s="37"/>
    </row>
    <row r="1529" spans="2:2" ht="15.95" customHeight="1">
      <c r="B1529" s="37"/>
    </row>
    <row r="1530" spans="2:2" ht="15.95" customHeight="1">
      <c r="B1530" s="37"/>
    </row>
    <row r="1531" spans="2:2" ht="15.95" customHeight="1">
      <c r="B1531" s="37"/>
    </row>
    <row r="1532" spans="2:2" ht="15.95" customHeight="1">
      <c r="B1532" s="37"/>
    </row>
    <row r="1533" spans="2:2" ht="15.95" customHeight="1">
      <c r="B1533" s="37"/>
    </row>
    <row r="1534" spans="2:2" ht="15.95" customHeight="1">
      <c r="B1534" s="37"/>
    </row>
    <row r="1535" spans="2:2" ht="15.95" customHeight="1">
      <c r="B1535" s="37"/>
    </row>
    <row r="1536" spans="2:2" ht="15.95" customHeight="1">
      <c r="B1536" s="37"/>
    </row>
    <row r="1537" spans="2:2" ht="15.95" customHeight="1">
      <c r="B1537" s="37"/>
    </row>
    <row r="1538" spans="2:2" ht="15.95" customHeight="1">
      <c r="B1538" s="37"/>
    </row>
    <row r="1539" spans="2:2" ht="15.95" customHeight="1">
      <c r="B1539" s="37"/>
    </row>
    <row r="1540" spans="2:2" ht="15.95" customHeight="1">
      <c r="B1540" s="37"/>
    </row>
    <row r="1541" spans="2:2" ht="15.95" customHeight="1">
      <c r="B1541" s="37"/>
    </row>
    <row r="1542" spans="2:2" ht="15.95" customHeight="1">
      <c r="B1542" s="37"/>
    </row>
    <row r="1543" spans="2:2" ht="15.95" customHeight="1">
      <c r="B1543" s="37"/>
    </row>
    <row r="1544" spans="2:2" ht="15.95" customHeight="1">
      <c r="B1544" s="37"/>
    </row>
    <row r="1545" spans="2:2" ht="15.95" customHeight="1">
      <c r="B1545" s="37"/>
    </row>
    <row r="1546" spans="2:2" ht="15.95" customHeight="1">
      <c r="B1546" s="37"/>
    </row>
    <row r="1547" spans="2:2" ht="15.95" customHeight="1">
      <c r="B1547" s="37"/>
    </row>
    <row r="1548" spans="2:2" ht="15.95" customHeight="1">
      <c r="B1548" s="37"/>
    </row>
    <row r="1549" spans="2:2" ht="15.95" customHeight="1">
      <c r="B1549" s="37"/>
    </row>
    <row r="1550" spans="2:2" ht="15.95" customHeight="1">
      <c r="B1550" s="37"/>
    </row>
    <row r="1551" spans="2:2" ht="15.95" customHeight="1">
      <c r="B1551" s="37"/>
    </row>
    <row r="1552" spans="2:2" ht="15.95" customHeight="1">
      <c r="B1552" s="37"/>
    </row>
    <row r="1553" spans="2:2" ht="15.95" customHeight="1">
      <c r="B1553" s="37"/>
    </row>
    <row r="1554" spans="2:2" ht="15.95" customHeight="1">
      <c r="B1554" s="37"/>
    </row>
    <row r="1555" spans="2:2" ht="15.95" customHeight="1">
      <c r="B1555" s="37"/>
    </row>
    <row r="1556" spans="2:2" ht="15.95" customHeight="1">
      <c r="B1556" s="37"/>
    </row>
    <row r="1557" spans="2:2" ht="15.95" customHeight="1">
      <c r="B1557" s="37"/>
    </row>
    <row r="1558" spans="2:2" ht="15.95" customHeight="1">
      <c r="B1558" s="37"/>
    </row>
    <row r="1559" spans="2:2" ht="15.95" customHeight="1">
      <c r="B1559" s="37"/>
    </row>
    <row r="1560" spans="2:2" ht="15.95" customHeight="1">
      <c r="B1560" s="37"/>
    </row>
    <row r="1561" spans="2:2" ht="15.95" customHeight="1">
      <c r="B1561" s="37"/>
    </row>
    <row r="1562" spans="2:2" ht="15.95" customHeight="1">
      <c r="B1562" s="37"/>
    </row>
    <row r="1563" spans="2:2" ht="15.95" customHeight="1">
      <c r="B1563" s="37"/>
    </row>
    <row r="1564" spans="2:2" ht="15.95" customHeight="1">
      <c r="B1564" s="37"/>
    </row>
    <row r="1565" spans="2:2" ht="15.95" customHeight="1">
      <c r="B1565" s="37"/>
    </row>
    <row r="1566" spans="2:2" ht="15.95" customHeight="1">
      <c r="B1566" s="37"/>
    </row>
    <row r="1567" spans="2:2" ht="15.95" customHeight="1">
      <c r="B1567" s="37"/>
    </row>
    <row r="1568" spans="2:2" ht="15.95" customHeight="1">
      <c r="B1568" s="37"/>
    </row>
    <row r="1569" spans="2:2" ht="15.95" customHeight="1">
      <c r="B1569" s="37"/>
    </row>
    <row r="1570" spans="2:2" ht="15.95" customHeight="1">
      <c r="B1570" s="37"/>
    </row>
    <row r="1571" spans="2:2" ht="15.95" customHeight="1">
      <c r="B1571" s="37"/>
    </row>
    <row r="1572" spans="2:2" ht="15.95" customHeight="1">
      <c r="B1572" s="37"/>
    </row>
    <row r="1573" spans="2:2" ht="15.95" customHeight="1">
      <c r="B1573" s="37"/>
    </row>
    <row r="1574" spans="2:2" ht="15.95" customHeight="1">
      <c r="B1574" s="37"/>
    </row>
    <row r="1575" spans="2:2" ht="15.95" customHeight="1">
      <c r="B1575" s="37"/>
    </row>
    <row r="1576" spans="2:2" ht="15.95" customHeight="1">
      <c r="B1576" s="37"/>
    </row>
    <row r="1577" spans="2:2" ht="15.95" customHeight="1">
      <c r="B1577" s="37"/>
    </row>
    <row r="1578" spans="2:2" ht="15.95" customHeight="1">
      <c r="B1578" s="37"/>
    </row>
    <row r="1579" spans="2:2" ht="15.95" customHeight="1">
      <c r="B1579" s="37"/>
    </row>
    <row r="1580" spans="2:2" ht="15.95" customHeight="1">
      <c r="B1580" s="37"/>
    </row>
    <row r="1581" spans="2:2" ht="15.95" customHeight="1">
      <c r="B1581" s="37"/>
    </row>
    <row r="1582" spans="2:2" ht="15.95" customHeight="1">
      <c r="B1582" s="37"/>
    </row>
    <row r="1583" spans="2:2" ht="15.95" customHeight="1">
      <c r="B1583" s="37"/>
    </row>
    <row r="1584" spans="2:2" ht="15.95" customHeight="1">
      <c r="B1584" s="37"/>
    </row>
    <row r="1585" spans="2:2" ht="15.95" customHeight="1">
      <c r="B1585" s="37"/>
    </row>
    <row r="1586" spans="2:2" ht="15.95" customHeight="1">
      <c r="B1586" s="37"/>
    </row>
    <row r="1587" spans="2:2" ht="15.95" customHeight="1">
      <c r="B1587" s="37"/>
    </row>
    <row r="1588" spans="2:2" ht="15.95" customHeight="1">
      <c r="B1588" s="37"/>
    </row>
    <row r="1589" spans="2:2" ht="15.95" customHeight="1">
      <c r="B1589" s="37"/>
    </row>
    <row r="1590" spans="2:2" ht="15.95" customHeight="1">
      <c r="B1590" s="37"/>
    </row>
    <row r="1591" spans="2:2" ht="15.95" customHeight="1">
      <c r="B1591" s="37"/>
    </row>
    <row r="1592" spans="2:2" ht="15.95" customHeight="1">
      <c r="B1592" s="37"/>
    </row>
    <row r="1593" spans="2:2" ht="15.95" customHeight="1">
      <c r="B1593" s="37"/>
    </row>
    <row r="1594" spans="2:2" ht="15.95" customHeight="1">
      <c r="B1594" s="37"/>
    </row>
    <row r="1595" spans="2:2" ht="15.95" customHeight="1">
      <c r="B1595" s="37"/>
    </row>
    <row r="1596" spans="2:2" ht="15.95" customHeight="1">
      <c r="B1596" s="37"/>
    </row>
    <row r="1597" spans="2:2" ht="15.95" customHeight="1">
      <c r="B1597" s="37"/>
    </row>
    <row r="1598" spans="2:2" ht="15.95" customHeight="1">
      <c r="B1598" s="37"/>
    </row>
    <row r="1599" spans="2:2" ht="15.95" customHeight="1">
      <c r="B1599" s="37"/>
    </row>
    <row r="1600" spans="2:2" ht="15.95" customHeight="1">
      <c r="B1600" s="37"/>
    </row>
    <row r="1601" spans="2:2" ht="15.95" customHeight="1">
      <c r="B1601" s="37"/>
    </row>
    <row r="1602" spans="2:2" ht="15.95" customHeight="1">
      <c r="B1602" s="37"/>
    </row>
    <row r="1603" spans="2:2" ht="15.95" customHeight="1">
      <c r="B1603" s="37"/>
    </row>
    <row r="1604" spans="2:2" ht="15.95" customHeight="1">
      <c r="B1604" s="37"/>
    </row>
    <row r="1605" spans="2:2" ht="15.95" customHeight="1">
      <c r="B1605" s="37"/>
    </row>
    <row r="1606" spans="2:2" ht="15.95" customHeight="1">
      <c r="B1606" s="37"/>
    </row>
    <row r="1607" spans="2:2" ht="15.95" customHeight="1">
      <c r="B1607" s="37"/>
    </row>
    <row r="1608" spans="2:2" ht="15.95" customHeight="1">
      <c r="B1608" s="37"/>
    </row>
    <row r="1609" spans="2:2" ht="15.95" customHeight="1">
      <c r="B1609" s="37"/>
    </row>
    <row r="1610" spans="2:2" ht="15.95" customHeight="1">
      <c r="B1610" s="37"/>
    </row>
    <row r="1611" spans="2:2" ht="15.95" customHeight="1">
      <c r="B1611" s="37"/>
    </row>
    <row r="1612" spans="2:2" ht="15.95" customHeight="1">
      <c r="B1612" s="37"/>
    </row>
    <row r="1613" spans="2:2" ht="15.95" customHeight="1">
      <c r="B1613" s="37"/>
    </row>
    <row r="1614" spans="2:2" ht="15.95" customHeight="1">
      <c r="B1614" s="37"/>
    </row>
    <row r="1615" spans="2:2" ht="15.95" customHeight="1">
      <c r="B1615" s="37"/>
    </row>
    <row r="1616" spans="2:2" ht="15.95" customHeight="1">
      <c r="B1616" s="37"/>
    </row>
    <row r="1617" spans="2:2" ht="15.95" customHeight="1">
      <c r="B1617" s="37"/>
    </row>
    <row r="1618" spans="2:2" ht="15.95" customHeight="1">
      <c r="B1618" s="37"/>
    </row>
    <row r="1619" spans="2:2" ht="15.95" customHeight="1">
      <c r="B1619" s="37"/>
    </row>
    <row r="1620" spans="2:2" ht="15.95" customHeight="1">
      <c r="B1620" s="37"/>
    </row>
    <row r="1621" spans="2:2" ht="15.95" customHeight="1">
      <c r="B1621" s="37"/>
    </row>
    <row r="1622" spans="2:2" ht="15.95" customHeight="1">
      <c r="B1622" s="37"/>
    </row>
    <row r="1623" spans="2:2" ht="15.95" customHeight="1">
      <c r="B1623" s="37"/>
    </row>
    <row r="1624" spans="2:2" ht="15.95" customHeight="1">
      <c r="B1624" s="37"/>
    </row>
    <row r="1625" spans="2:2" ht="15.95" customHeight="1">
      <c r="B1625" s="37"/>
    </row>
    <row r="1626" spans="2:2" ht="15.95" customHeight="1">
      <c r="B1626" s="37"/>
    </row>
    <row r="1627" spans="2:2" ht="15.95" customHeight="1">
      <c r="B1627" s="37"/>
    </row>
    <row r="1628" spans="2:2" ht="15.95" customHeight="1">
      <c r="B1628" s="37"/>
    </row>
    <row r="1629" spans="2:2" ht="15.95" customHeight="1">
      <c r="B1629" s="37"/>
    </row>
    <row r="1630" spans="2:2" ht="15.95" customHeight="1">
      <c r="B1630" s="37"/>
    </row>
    <row r="1631" spans="2:2" ht="15.95" customHeight="1">
      <c r="B1631" s="37"/>
    </row>
    <row r="1632" spans="2:2" ht="15.95" customHeight="1">
      <c r="B1632" s="37"/>
    </row>
    <row r="1633" spans="2:2" ht="15.95" customHeight="1">
      <c r="B1633" s="37"/>
    </row>
    <row r="1634" spans="2:2" ht="15.95" customHeight="1">
      <c r="B1634" s="37"/>
    </row>
    <row r="1635" spans="2:2" ht="15.95" customHeight="1">
      <c r="B1635" s="37"/>
    </row>
    <row r="1636" spans="2:2" ht="15.95" customHeight="1">
      <c r="B1636" s="37"/>
    </row>
    <row r="1637" spans="2:2" ht="15.95" customHeight="1">
      <c r="B1637" s="37"/>
    </row>
    <row r="1638" spans="2:2" ht="15.95" customHeight="1">
      <c r="B1638" s="37"/>
    </row>
    <row r="1639" spans="2:2" ht="15.95" customHeight="1">
      <c r="B1639" s="37"/>
    </row>
    <row r="1640" spans="2:2" ht="15.95" customHeight="1">
      <c r="B1640" s="37"/>
    </row>
    <row r="1641" spans="2:2" ht="15.95" customHeight="1">
      <c r="B1641" s="37"/>
    </row>
    <row r="1642" spans="2:2" ht="15.95" customHeight="1">
      <c r="B1642" s="37"/>
    </row>
    <row r="1643" spans="2:2" ht="15.95" customHeight="1">
      <c r="B1643" s="37"/>
    </row>
    <row r="1644" spans="2:2" ht="15.95" customHeight="1">
      <c r="B1644" s="37"/>
    </row>
    <row r="1645" spans="2:2" ht="15.95" customHeight="1">
      <c r="B1645" s="37"/>
    </row>
    <row r="1646" spans="2:2" ht="15.95" customHeight="1">
      <c r="B1646" s="37"/>
    </row>
    <row r="1647" spans="2:2" ht="15.95" customHeight="1">
      <c r="B1647" s="37"/>
    </row>
    <row r="1648" spans="2:2" ht="15.95" customHeight="1">
      <c r="B1648" s="37"/>
    </row>
    <row r="1649" spans="2:2" ht="15.95" customHeight="1">
      <c r="B1649" s="37"/>
    </row>
    <row r="1650" spans="2:2" ht="15.95" customHeight="1">
      <c r="B1650" s="37"/>
    </row>
    <row r="1651" spans="2:2" ht="15.95" customHeight="1">
      <c r="B1651" s="37"/>
    </row>
    <row r="1652" spans="2:2" ht="15.95" customHeight="1">
      <c r="B1652" s="37"/>
    </row>
    <row r="1653" spans="2:2" ht="15.95" customHeight="1">
      <c r="B1653" s="37"/>
    </row>
    <row r="1654" spans="2:2" ht="15.95" customHeight="1">
      <c r="B1654" s="37"/>
    </row>
    <row r="1655" spans="2:2" ht="15.95" customHeight="1">
      <c r="B1655" s="37"/>
    </row>
    <row r="1656" spans="2:2" ht="15.95" customHeight="1">
      <c r="B1656" s="37"/>
    </row>
    <row r="1657" spans="2:2" ht="15.95" customHeight="1">
      <c r="B1657" s="37"/>
    </row>
    <row r="1658" spans="2:2" ht="15.95" customHeight="1">
      <c r="B1658" s="37"/>
    </row>
    <row r="1659" spans="2:2" ht="15.95" customHeight="1">
      <c r="B1659" s="37"/>
    </row>
    <row r="1660" spans="2:2" ht="15.95" customHeight="1">
      <c r="B1660" s="37"/>
    </row>
    <row r="1661" spans="2:2" ht="15.95" customHeight="1">
      <c r="B1661" s="37"/>
    </row>
    <row r="1662" spans="2:2" ht="15.95" customHeight="1">
      <c r="B1662" s="37"/>
    </row>
    <row r="1663" spans="2:2" ht="15.95" customHeight="1">
      <c r="B1663" s="37"/>
    </row>
    <row r="1664" spans="2:2" ht="15.95" customHeight="1">
      <c r="B1664" s="37"/>
    </row>
    <row r="1665" spans="2:2" ht="15.95" customHeight="1">
      <c r="B1665" s="37"/>
    </row>
    <row r="1666" spans="2:2" ht="15.95" customHeight="1">
      <c r="B1666" s="37"/>
    </row>
    <row r="1667" spans="2:2" ht="15.95" customHeight="1">
      <c r="B1667" s="37"/>
    </row>
    <row r="1668" spans="2:2" ht="15.95" customHeight="1">
      <c r="B1668" s="37"/>
    </row>
    <row r="1669" spans="2:2" ht="15.95" customHeight="1">
      <c r="B1669" s="37"/>
    </row>
    <row r="1670" spans="2:2" ht="15.95" customHeight="1">
      <c r="B1670" s="37"/>
    </row>
    <row r="1671" spans="2:2" ht="15.95" customHeight="1">
      <c r="B1671" s="37"/>
    </row>
    <row r="1672" spans="2:2" ht="15.95" customHeight="1">
      <c r="B1672" s="37"/>
    </row>
    <row r="1673" spans="2:2" ht="15.95" customHeight="1">
      <c r="B1673" s="37"/>
    </row>
    <row r="1674" spans="2:2" ht="15.95" customHeight="1">
      <c r="B1674" s="37"/>
    </row>
    <row r="1675" spans="2:2" ht="15.95" customHeight="1">
      <c r="B1675" s="37"/>
    </row>
    <row r="1676" spans="2:2" ht="15.95" customHeight="1">
      <c r="B1676" s="37"/>
    </row>
    <row r="1677" spans="2:2" ht="15.95" customHeight="1">
      <c r="B1677" s="37"/>
    </row>
    <row r="1678" spans="2:2" ht="15.95" customHeight="1">
      <c r="B1678" s="37"/>
    </row>
    <row r="1679" spans="2:2" ht="15.95" customHeight="1">
      <c r="B1679" s="37"/>
    </row>
    <row r="1680" spans="2:2" ht="15.95" customHeight="1">
      <c r="B1680" s="37"/>
    </row>
    <row r="1681" spans="2:2" ht="15.95" customHeight="1">
      <c r="B1681" s="37"/>
    </row>
    <row r="1682" spans="2:2" ht="15.95" customHeight="1">
      <c r="B1682" s="37"/>
    </row>
    <row r="1683" spans="2:2" ht="15.95" customHeight="1">
      <c r="B1683" s="37"/>
    </row>
    <row r="1684" spans="2:2" ht="15.95" customHeight="1">
      <c r="B1684" s="37"/>
    </row>
    <row r="1685" spans="2:2" ht="15.95" customHeight="1">
      <c r="B1685" s="37"/>
    </row>
    <row r="1686" spans="2:2" ht="15.95" customHeight="1">
      <c r="B1686" s="37"/>
    </row>
    <row r="1687" spans="2:2" ht="15.95" customHeight="1">
      <c r="B1687" s="37"/>
    </row>
    <row r="1688" spans="2:2" ht="15.95" customHeight="1">
      <c r="B1688" s="37"/>
    </row>
    <row r="1689" spans="2:2" ht="15.95" customHeight="1">
      <c r="B1689" s="37"/>
    </row>
    <row r="1690" spans="2:2" ht="15.95" customHeight="1">
      <c r="B1690" s="37"/>
    </row>
    <row r="1691" spans="2:2" ht="15.95" customHeight="1">
      <c r="B1691" s="37"/>
    </row>
    <row r="1692" spans="2:2" ht="15.95" customHeight="1">
      <c r="B1692" s="37"/>
    </row>
    <row r="1693" spans="2:2" ht="15.95" customHeight="1">
      <c r="B1693" s="37"/>
    </row>
    <row r="1694" spans="2:2" ht="15.95" customHeight="1">
      <c r="B1694" s="37"/>
    </row>
    <row r="1695" spans="2:2" ht="15.95" customHeight="1">
      <c r="B1695" s="37"/>
    </row>
    <row r="1696" spans="2:2" ht="15.95" customHeight="1">
      <c r="B1696" s="37"/>
    </row>
    <row r="1697" spans="2:2" ht="15.95" customHeight="1">
      <c r="B1697" s="37"/>
    </row>
    <row r="1698" spans="2:2" ht="15.95" customHeight="1">
      <c r="B1698" s="37"/>
    </row>
    <row r="1699" spans="2:2" ht="15.95" customHeight="1">
      <c r="B1699" s="37"/>
    </row>
    <row r="1700" spans="2:2" ht="15.95" customHeight="1">
      <c r="B1700" s="37"/>
    </row>
    <row r="1701" spans="2:2" ht="15.95" customHeight="1">
      <c r="B1701" s="37"/>
    </row>
    <row r="1702" spans="2:2" ht="15.95" customHeight="1">
      <c r="B1702" s="37"/>
    </row>
    <row r="1703" spans="2:2" ht="15.95" customHeight="1">
      <c r="B1703" s="37"/>
    </row>
    <row r="1704" spans="2:2" ht="15.95" customHeight="1">
      <c r="B1704" s="37"/>
    </row>
    <row r="1705" spans="2:2" ht="15.95" customHeight="1">
      <c r="B1705" s="37"/>
    </row>
    <row r="1706" spans="2:2" ht="15.95" customHeight="1">
      <c r="B1706" s="37"/>
    </row>
    <row r="1707" spans="2:2" ht="15.95" customHeight="1">
      <c r="B1707" s="37"/>
    </row>
    <row r="1708" spans="2:2" ht="15.95" customHeight="1">
      <c r="B1708" s="37"/>
    </row>
    <row r="1709" spans="2:2" ht="15.95" customHeight="1">
      <c r="B1709" s="37"/>
    </row>
    <row r="1710" spans="2:2" ht="15.95" customHeight="1">
      <c r="B1710" s="37"/>
    </row>
    <row r="1711" spans="2:2" ht="15.95" customHeight="1">
      <c r="B1711" s="37"/>
    </row>
    <row r="1712" spans="2:2" ht="15.95" customHeight="1">
      <c r="B1712" s="37"/>
    </row>
    <row r="1713" spans="2:2" ht="15.95" customHeight="1">
      <c r="B1713" s="37"/>
    </row>
    <row r="1714" spans="2:2" ht="15.95" customHeight="1">
      <c r="B1714" s="37"/>
    </row>
    <row r="1715" spans="2:2" ht="15.95" customHeight="1">
      <c r="B1715" s="37"/>
    </row>
    <row r="1716" spans="2:2" ht="15.95" customHeight="1">
      <c r="B1716" s="37"/>
    </row>
    <row r="1717" spans="2:2" ht="15.95" customHeight="1">
      <c r="B1717" s="37"/>
    </row>
    <row r="1718" spans="2:2" ht="15.95" customHeight="1">
      <c r="B1718" s="37"/>
    </row>
    <row r="1719" spans="2:2" ht="15.95" customHeight="1">
      <c r="B1719" s="37"/>
    </row>
    <row r="1720" spans="2:2" ht="15.95" customHeight="1">
      <c r="B1720" s="37"/>
    </row>
    <row r="1721" spans="2:2" ht="15.95" customHeight="1">
      <c r="B1721" s="37"/>
    </row>
    <row r="1722" spans="2:2" ht="15.95" customHeight="1">
      <c r="B1722" s="37"/>
    </row>
    <row r="1723" spans="2:2" ht="15.95" customHeight="1">
      <c r="B1723" s="37"/>
    </row>
    <row r="1724" spans="2:2" ht="15.95" customHeight="1">
      <c r="B1724" s="37"/>
    </row>
    <row r="1725" spans="2:2" ht="15.95" customHeight="1">
      <c r="B1725" s="37"/>
    </row>
    <row r="1726" spans="2:2" ht="15.95" customHeight="1">
      <c r="B1726" s="37"/>
    </row>
    <row r="1727" spans="2:2" ht="15.95" customHeight="1">
      <c r="B1727" s="37"/>
    </row>
    <row r="1728" spans="2:2" ht="15.95" customHeight="1">
      <c r="B1728" s="37"/>
    </row>
    <row r="1729" spans="2:2" ht="15.95" customHeight="1">
      <c r="B1729" s="37"/>
    </row>
    <row r="1730" spans="2:2" ht="15.95" customHeight="1">
      <c r="B1730" s="37"/>
    </row>
    <row r="1731" spans="2:2" ht="15.95" customHeight="1">
      <c r="B1731" s="37"/>
    </row>
    <row r="1732" spans="2:2" ht="15.95" customHeight="1">
      <c r="B1732" s="37"/>
    </row>
    <row r="1733" spans="2:2" ht="15.95" customHeight="1">
      <c r="B1733" s="37"/>
    </row>
    <row r="1734" spans="2:2" ht="15.95" customHeight="1">
      <c r="B1734" s="37"/>
    </row>
    <row r="1735" spans="2:2" ht="15.95" customHeight="1">
      <c r="B1735" s="37"/>
    </row>
    <row r="1736" spans="2:2" ht="15.95" customHeight="1">
      <c r="B1736" s="37"/>
    </row>
    <row r="1737" spans="2:2" ht="15.95" customHeight="1">
      <c r="B1737" s="37"/>
    </row>
    <row r="1738" spans="2:2" ht="15.95" customHeight="1">
      <c r="B1738" s="37"/>
    </row>
    <row r="1739" spans="2:2" ht="15.95" customHeight="1">
      <c r="B1739" s="37"/>
    </row>
    <row r="1740" spans="2:2" ht="15.95" customHeight="1">
      <c r="B1740" s="37"/>
    </row>
    <row r="1741" spans="2:2" ht="15.95" customHeight="1">
      <c r="B1741" s="37"/>
    </row>
    <row r="1742" spans="2:2" ht="15.95" customHeight="1">
      <c r="B1742" s="37"/>
    </row>
    <row r="1743" spans="2:2" ht="15.95" customHeight="1">
      <c r="B1743" s="37"/>
    </row>
    <row r="1744" spans="2:2" ht="15.95" customHeight="1">
      <c r="B1744" s="37"/>
    </row>
    <row r="1745" spans="2:2" ht="15.95" customHeight="1">
      <c r="B1745" s="37"/>
    </row>
    <row r="1746" spans="2:2" ht="15.95" customHeight="1">
      <c r="B1746" s="37"/>
    </row>
    <row r="1747" spans="2:2" ht="15.95" customHeight="1">
      <c r="B1747" s="37"/>
    </row>
    <row r="1748" spans="2:2" ht="15.95" customHeight="1">
      <c r="B1748" s="37"/>
    </row>
    <row r="1749" spans="2:2" ht="15.95" customHeight="1">
      <c r="B1749" s="37"/>
    </row>
    <row r="1750" spans="2:2" ht="15.95" customHeight="1">
      <c r="B1750" s="37"/>
    </row>
    <row r="1751" spans="2:2" ht="15.95" customHeight="1">
      <c r="B1751" s="37"/>
    </row>
    <row r="1752" spans="2:2" ht="15.95" customHeight="1">
      <c r="B1752" s="37"/>
    </row>
    <row r="1753" spans="2:2" ht="15.95" customHeight="1">
      <c r="B1753" s="37"/>
    </row>
    <row r="1754" spans="2:2" ht="15.95" customHeight="1">
      <c r="B1754" s="37"/>
    </row>
    <row r="1755" spans="2:2" ht="15.95" customHeight="1">
      <c r="B1755" s="37"/>
    </row>
    <row r="1756" spans="2:2" ht="15.95" customHeight="1">
      <c r="B1756" s="37"/>
    </row>
    <row r="1757" spans="2:2" ht="15.95" customHeight="1">
      <c r="B1757" s="37"/>
    </row>
    <row r="1758" spans="2:2" ht="15.95" customHeight="1">
      <c r="B1758" s="37"/>
    </row>
    <row r="1759" spans="2:2" ht="15.95" customHeight="1">
      <c r="B1759" s="37"/>
    </row>
    <row r="1760" spans="2:2" ht="15.95" customHeight="1">
      <c r="B1760" s="37"/>
    </row>
    <row r="1761" spans="2:2" ht="15.95" customHeight="1">
      <c r="B1761" s="37"/>
    </row>
    <row r="1762" spans="2:2" ht="15.95" customHeight="1">
      <c r="B1762" s="37"/>
    </row>
    <row r="1763" spans="2:2" ht="15.95" customHeight="1">
      <c r="B1763" s="37"/>
    </row>
    <row r="1764" spans="2:2" ht="15.95" customHeight="1">
      <c r="B1764" s="37"/>
    </row>
    <row r="1765" spans="2:2" ht="15.95" customHeight="1">
      <c r="B1765" s="37"/>
    </row>
    <row r="1766" spans="2:2" ht="15.95" customHeight="1">
      <c r="B1766" s="37"/>
    </row>
    <row r="1767" spans="2:2" ht="15.95" customHeight="1">
      <c r="B1767" s="37"/>
    </row>
    <row r="1768" spans="2:2" ht="15.95" customHeight="1">
      <c r="B1768" s="37"/>
    </row>
    <row r="1769" spans="2:2" ht="15.95" customHeight="1">
      <c r="B1769" s="37"/>
    </row>
    <row r="1770" spans="2:2" ht="15.95" customHeight="1">
      <c r="B1770" s="37"/>
    </row>
    <row r="1771" spans="2:2" ht="15.95" customHeight="1">
      <c r="B1771" s="37"/>
    </row>
    <row r="1772" spans="2:2" ht="15.95" customHeight="1">
      <c r="B1772" s="37"/>
    </row>
    <row r="1773" spans="2:2" ht="15.95" customHeight="1">
      <c r="B1773" s="37"/>
    </row>
    <row r="1774" spans="2:2" ht="15.95" customHeight="1">
      <c r="B1774" s="37"/>
    </row>
    <row r="1775" spans="2:2" ht="15.95" customHeight="1">
      <c r="B1775" s="37"/>
    </row>
    <row r="1776" spans="2:2" ht="15.95" customHeight="1">
      <c r="B1776" s="37"/>
    </row>
    <row r="1777" spans="2:2" ht="15.95" customHeight="1">
      <c r="B1777" s="37"/>
    </row>
    <row r="1778" spans="2:2" ht="15.95" customHeight="1">
      <c r="B1778" s="37"/>
    </row>
    <row r="1779" spans="2:2" ht="15.95" customHeight="1">
      <c r="B1779" s="37"/>
    </row>
    <row r="1780" spans="2:2" ht="15.95" customHeight="1">
      <c r="B1780" s="37"/>
    </row>
    <row r="1781" spans="2:2" ht="15.95" customHeight="1">
      <c r="B1781" s="37"/>
    </row>
    <row r="1782" spans="2:2" ht="15.95" customHeight="1">
      <c r="B1782" s="37"/>
    </row>
    <row r="1783" spans="2:2" ht="15.95" customHeight="1">
      <c r="B1783" s="37"/>
    </row>
    <row r="1784" spans="2:2" ht="15.95" customHeight="1">
      <c r="B1784" s="37"/>
    </row>
    <row r="1785" spans="2:2" ht="15.95" customHeight="1">
      <c r="B1785" s="37"/>
    </row>
    <row r="1786" spans="2:2" ht="15.95" customHeight="1">
      <c r="B1786" s="37"/>
    </row>
    <row r="1787" spans="2:2" ht="15.95" customHeight="1">
      <c r="B1787" s="37"/>
    </row>
    <row r="1788" spans="2:2" ht="15.95" customHeight="1">
      <c r="B1788" s="37"/>
    </row>
    <row r="1789" spans="2:2" ht="15.95" customHeight="1">
      <c r="B1789" s="37"/>
    </row>
    <row r="1790" spans="2:2" ht="15.95" customHeight="1">
      <c r="B1790" s="37"/>
    </row>
    <row r="1791" spans="2:2" ht="15.95" customHeight="1">
      <c r="B1791" s="37"/>
    </row>
    <row r="1792" spans="2:2" ht="15.95" customHeight="1">
      <c r="B1792" s="37"/>
    </row>
    <row r="1793" spans="2:2" ht="15.95" customHeight="1">
      <c r="B1793" s="37"/>
    </row>
    <row r="1794" spans="2:2" ht="15.95" customHeight="1">
      <c r="B1794" s="37"/>
    </row>
    <row r="1795" spans="2:2" ht="15.95" customHeight="1">
      <c r="B1795" s="37"/>
    </row>
    <row r="1796" spans="2:2" ht="15.95" customHeight="1">
      <c r="B1796" s="37"/>
    </row>
    <row r="1797" spans="2:2" ht="15.95" customHeight="1">
      <c r="B1797" s="37"/>
    </row>
    <row r="1798" spans="2:2" ht="15.95" customHeight="1">
      <c r="B1798" s="37"/>
    </row>
    <row r="1799" spans="2:2" ht="15.95" customHeight="1">
      <c r="B1799" s="37"/>
    </row>
    <row r="1800" spans="2:2" ht="15.95" customHeight="1">
      <c r="B1800" s="37"/>
    </row>
    <row r="1801" spans="2:2" ht="15.95" customHeight="1">
      <c r="B1801" s="37"/>
    </row>
    <row r="1802" spans="2:2" ht="15.95" customHeight="1">
      <c r="B1802" s="37"/>
    </row>
    <row r="1803" spans="2:2" ht="15.95" customHeight="1">
      <c r="B1803" s="37"/>
    </row>
    <row r="1804" spans="2:2" ht="15.95" customHeight="1">
      <c r="B1804" s="37"/>
    </row>
    <row r="1805" spans="2:2" ht="15.95" customHeight="1">
      <c r="B1805" s="37"/>
    </row>
    <row r="1806" spans="2:2" ht="15.95" customHeight="1">
      <c r="B1806" s="37"/>
    </row>
    <row r="1807" spans="2:2" ht="15.95" customHeight="1">
      <c r="B1807" s="37"/>
    </row>
    <row r="1808" spans="2:2" ht="15.95" customHeight="1">
      <c r="B1808" s="37"/>
    </row>
    <row r="1809" spans="2:2" ht="15.95" customHeight="1">
      <c r="B1809" s="37"/>
    </row>
    <row r="1810" spans="2:2" ht="15.95" customHeight="1">
      <c r="B1810" s="37"/>
    </row>
    <row r="1811" spans="2:2" ht="15.95" customHeight="1">
      <c r="B1811" s="37"/>
    </row>
    <row r="1812" spans="2:2" ht="15.95" customHeight="1">
      <c r="B1812" s="37"/>
    </row>
    <row r="1813" spans="2:2" ht="15.95" customHeight="1">
      <c r="B1813" s="37"/>
    </row>
    <row r="1814" spans="2:2" ht="15.95" customHeight="1">
      <c r="B1814" s="37"/>
    </row>
    <row r="1815" spans="2:2" ht="15.95" customHeight="1">
      <c r="B1815" s="37"/>
    </row>
    <row r="1816" spans="2:2" ht="15.95" customHeight="1">
      <c r="B1816" s="37"/>
    </row>
    <row r="1817" spans="2:2" ht="15.95" customHeight="1">
      <c r="B1817" s="37"/>
    </row>
    <row r="1818" spans="2:2" ht="15.95" customHeight="1">
      <c r="B1818" s="37"/>
    </row>
    <row r="1819" spans="2:2" ht="15.95" customHeight="1">
      <c r="B1819" s="37"/>
    </row>
    <row r="1820" spans="2:2" ht="15.95" customHeight="1">
      <c r="B1820" s="37"/>
    </row>
    <row r="1821" spans="2:2" ht="15.95" customHeight="1">
      <c r="B1821" s="37"/>
    </row>
    <row r="1822" spans="2:2" ht="15.95" customHeight="1">
      <c r="B1822" s="37"/>
    </row>
    <row r="1823" spans="2:2" ht="15.95" customHeight="1">
      <c r="B1823" s="37"/>
    </row>
    <row r="1824" spans="2:2" ht="15.95" customHeight="1">
      <c r="B1824" s="37"/>
    </row>
    <row r="1825" spans="2:2" ht="15.95" customHeight="1">
      <c r="B1825" s="37"/>
    </row>
    <row r="1826" spans="2:2" ht="15.95" customHeight="1">
      <c r="B1826" s="37"/>
    </row>
    <row r="1827" spans="2:2" ht="15.95" customHeight="1">
      <c r="B1827" s="37"/>
    </row>
    <row r="1828" spans="2:2" ht="15.95" customHeight="1">
      <c r="B1828" s="37"/>
    </row>
    <row r="1829" spans="2:2" ht="15.95" customHeight="1">
      <c r="B1829" s="37"/>
    </row>
    <row r="1830" spans="2:2" ht="15.95" customHeight="1">
      <c r="B1830" s="37"/>
    </row>
    <row r="1831" spans="2:2" ht="15.95" customHeight="1">
      <c r="B1831" s="37"/>
    </row>
    <row r="1832" spans="2:2" ht="15.95" customHeight="1">
      <c r="B1832" s="37"/>
    </row>
    <row r="1833" spans="2:2" ht="15.95" customHeight="1">
      <c r="B1833" s="37"/>
    </row>
    <row r="1834" spans="2:2" ht="15.95" customHeight="1">
      <c r="B1834" s="37"/>
    </row>
    <row r="1835" spans="2:2" ht="15.95" customHeight="1">
      <c r="B1835" s="37"/>
    </row>
    <row r="1836" spans="2:2" ht="15.95" customHeight="1">
      <c r="B1836" s="37"/>
    </row>
    <row r="1837" spans="2:2" ht="15.95" customHeight="1">
      <c r="B1837" s="37"/>
    </row>
    <row r="1838" spans="2:2" ht="15.95" customHeight="1">
      <c r="B1838" s="37"/>
    </row>
    <row r="1839" spans="2:2" ht="15.95" customHeight="1">
      <c r="B1839" s="37"/>
    </row>
    <row r="1840" spans="2:2" ht="15.95" customHeight="1">
      <c r="B1840" s="37"/>
    </row>
    <row r="1841" spans="2:2" ht="15.95" customHeight="1">
      <c r="B1841" s="37"/>
    </row>
    <row r="1842" spans="2:2" ht="15.95" customHeight="1">
      <c r="B1842" s="37"/>
    </row>
    <row r="1843" spans="2:2" ht="15.95" customHeight="1">
      <c r="B1843" s="37"/>
    </row>
    <row r="1844" spans="2:2" ht="15.95" customHeight="1">
      <c r="B1844" s="37"/>
    </row>
    <row r="1845" spans="2:2" ht="15.95" customHeight="1">
      <c r="B1845" s="37"/>
    </row>
    <row r="1846" spans="2:2" ht="15.95" customHeight="1">
      <c r="B1846" s="37"/>
    </row>
    <row r="1847" spans="2:2" ht="15.95" customHeight="1">
      <c r="B1847" s="37"/>
    </row>
    <row r="1848" spans="2:2" ht="15.95" customHeight="1">
      <c r="B1848" s="37"/>
    </row>
    <row r="1849" spans="2:2" ht="15.95" customHeight="1">
      <c r="B1849" s="37"/>
    </row>
    <row r="1850" spans="2:2" ht="15.95" customHeight="1">
      <c r="B1850" s="37"/>
    </row>
    <row r="1851" spans="2:2" ht="15.95" customHeight="1">
      <c r="B1851" s="37"/>
    </row>
    <row r="1852" spans="2:2" ht="15.95" customHeight="1">
      <c r="B1852" s="37"/>
    </row>
    <row r="1853" spans="2:2" ht="15.95" customHeight="1">
      <c r="B1853" s="37"/>
    </row>
    <row r="1854" spans="2:2" ht="15.95" customHeight="1">
      <c r="B1854" s="37"/>
    </row>
    <row r="1855" spans="2:2" ht="15.95" customHeight="1">
      <c r="B1855" s="37"/>
    </row>
    <row r="1856" spans="2:2" ht="15.95" customHeight="1">
      <c r="B1856" s="37"/>
    </row>
    <row r="1857" spans="2:2" ht="15.95" customHeight="1">
      <c r="B1857" s="37"/>
    </row>
    <row r="1858" spans="2:2" ht="15.95" customHeight="1">
      <c r="B1858" s="37"/>
    </row>
    <row r="1859" spans="2:2" ht="15.95" customHeight="1">
      <c r="B1859" s="37"/>
    </row>
    <row r="1860" spans="2:2" ht="15.95" customHeight="1">
      <c r="B1860" s="37"/>
    </row>
    <row r="1861" spans="2:2" ht="15.95" customHeight="1">
      <c r="B1861" s="37"/>
    </row>
    <row r="1862" spans="2:2" ht="15.95" customHeight="1">
      <c r="B1862" s="37"/>
    </row>
    <row r="1863" spans="2:2" ht="15.95" customHeight="1">
      <c r="B1863" s="37"/>
    </row>
    <row r="1864" spans="2:2" ht="15.95" customHeight="1">
      <c r="B1864" s="37"/>
    </row>
    <row r="1865" spans="2:2" ht="15.95" customHeight="1">
      <c r="B1865" s="37"/>
    </row>
    <row r="1866" spans="2:2" ht="15.95" customHeight="1">
      <c r="B1866" s="37"/>
    </row>
    <row r="1867" spans="2:2" ht="15.95" customHeight="1">
      <c r="B1867" s="37"/>
    </row>
    <row r="1868" spans="2:2" ht="15.95" customHeight="1">
      <c r="B1868" s="37"/>
    </row>
    <row r="1869" spans="2:2" ht="15.95" customHeight="1">
      <c r="B1869" s="37"/>
    </row>
    <row r="1870" spans="2:2" ht="15.95" customHeight="1">
      <c r="B1870" s="37"/>
    </row>
    <row r="1871" spans="2:2" ht="15.95" customHeight="1">
      <c r="B1871" s="37"/>
    </row>
    <row r="1872" spans="2:2" ht="15.95" customHeight="1">
      <c r="B1872" s="37"/>
    </row>
    <row r="1873" spans="2:2" ht="15.95" customHeight="1">
      <c r="B1873" s="37"/>
    </row>
    <row r="1874" spans="2:2" ht="15.95" customHeight="1">
      <c r="B1874" s="37"/>
    </row>
    <row r="1875" spans="2:2" ht="15.95" customHeight="1">
      <c r="B1875" s="37"/>
    </row>
    <row r="1876" spans="2:2" ht="15.95" customHeight="1">
      <c r="B1876" s="37"/>
    </row>
    <row r="1877" spans="2:2" ht="15.95" customHeight="1">
      <c r="B1877" s="37"/>
    </row>
    <row r="1878" spans="2:2" ht="15.95" customHeight="1">
      <c r="B1878" s="37"/>
    </row>
    <row r="1879" spans="2:2" ht="15.95" customHeight="1">
      <c r="B1879" s="37"/>
    </row>
    <row r="1880" spans="2:2" ht="15.95" customHeight="1">
      <c r="B1880" s="37"/>
    </row>
    <row r="1881" spans="2:2" ht="15.95" customHeight="1">
      <c r="B1881" s="37"/>
    </row>
    <row r="1882" spans="2:2" ht="15.95" customHeight="1">
      <c r="B1882" s="37"/>
    </row>
    <row r="1883" spans="2:2" ht="15.95" customHeight="1">
      <c r="B1883" s="37"/>
    </row>
    <row r="1884" spans="2:2" ht="15.95" customHeight="1">
      <c r="B1884" s="37"/>
    </row>
    <row r="1885" spans="2:2" ht="15.95" customHeight="1">
      <c r="B1885" s="37"/>
    </row>
    <row r="1886" spans="2:2" ht="15.95" customHeight="1">
      <c r="B1886" s="37"/>
    </row>
    <row r="1887" spans="2:2" ht="15.95" customHeight="1">
      <c r="B1887" s="37"/>
    </row>
    <row r="1888" spans="2:2" ht="15.95" customHeight="1">
      <c r="B1888" s="37"/>
    </row>
    <row r="1889" spans="2:2" ht="15.95" customHeight="1">
      <c r="B1889" s="37"/>
    </row>
    <row r="1890" spans="2:2" ht="15.95" customHeight="1">
      <c r="B1890" s="37"/>
    </row>
    <row r="1891" spans="2:2" ht="15.95" customHeight="1">
      <c r="B1891" s="37"/>
    </row>
    <row r="1892" spans="2:2" ht="15.95" customHeight="1">
      <c r="B1892" s="37"/>
    </row>
    <row r="1893" spans="2:2" ht="15.95" customHeight="1">
      <c r="B1893" s="37"/>
    </row>
    <row r="1894" spans="2:2" ht="15.95" customHeight="1">
      <c r="B1894" s="37"/>
    </row>
    <row r="1895" spans="2:2" ht="15.95" customHeight="1">
      <c r="B1895" s="37"/>
    </row>
    <row r="1896" spans="2:2" ht="15.95" customHeight="1">
      <c r="B1896" s="37"/>
    </row>
    <row r="1897" spans="2:2" ht="15.95" customHeight="1">
      <c r="B1897" s="37"/>
    </row>
    <row r="1898" spans="2:2" ht="15.95" customHeight="1">
      <c r="B1898" s="37"/>
    </row>
    <row r="1899" spans="2:2" ht="15.95" customHeight="1">
      <c r="B1899" s="37"/>
    </row>
    <row r="1900" spans="2:2" ht="15.95" customHeight="1">
      <c r="B1900" s="37"/>
    </row>
    <row r="1901" spans="2:2" ht="15.95" customHeight="1">
      <c r="B1901" s="37"/>
    </row>
    <row r="1902" spans="2:2" ht="15.95" customHeight="1">
      <c r="B1902" s="37"/>
    </row>
    <row r="1903" spans="2:2" ht="15.95" customHeight="1">
      <c r="B1903" s="37"/>
    </row>
    <row r="1904" spans="2:2" ht="15.95" customHeight="1">
      <c r="B1904" s="37"/>
    </row>
    <row r="1905" spans="2:2" ht="15.95" customHeight="1">
      <c r="B1905" s="37"/>
    </row>
    <row r="1906" spans="2:2" ht="15.95" customHeight="1">
      <c r="B1906" s="37"/>
    </row>
    <row r="1907" spans="2:2" ht="15.95" customHeight="1">
      <c r="B1907" s="37"/>
    </row>
    <row r="1908" spans="2:2" ht="15.95" customHeight="1">
      <c r="B1908" s="37"/>
    </row>
    <row r="1909" spans="2:2" ht="15.95" customHeight="1">
      <c r="B1909" s="37"/>
    </row>
    <row r="1910" spans="2:2" ht="15.95" customHeight="1">
      <c r="B1910" s="37"/>
    </row>
    <row r="1911" spans="2:2" ht="15.95" customHeight="1">
      <c r="B1911" s="37"/>
    </row>
    <row r="1912" spans="2:2" ht="15.95" customHeight="1">
      <c r="B1912" s="37"/>
    </row>
    <row r="1913" spans="2:2" ht="15.95" customHeight="1">
      <c r="B1913" s="37"/>
    </row>
    <row r="1914" spans="2:2" ht="15.95" customHeight="1">
      <c r="B1914" s="37"/>
    </row>
    <row r="1915" spans="2:2" ht="15.95" customHeight="1">
      <c r="B1915" s="37"/>
    </row>
    <row r="1916" spans="2:2" ht="15.95" customHeight="1">
      <c r="B1916" s="37"/>
    </row>
    <row r="1917" spans="2:2" ht="15.95" customHeight="1">
      <c r="B1917" s="37"/>
    </row>
    <row r="1918" spans="2:2" ht="15.95" customHeight="1">
      <c r="B1918" s="37"/>
    </row>
    <row r="1919" spans="2:2" ht="15.95" customHeight="1">
      <c r="B1919" s="37"/>
    </row>
    <row r="1920" spans="2:2" ht="15.95" customHeight="1">
      <c r="B1920" s="37"/>
    </row>
    <row r="1921" spans="2:2" ht="15.95" customHeight="1">
      <c r="B1921" s="37"/>
    </row>
    <row r="1922" spans="2:2" ht="15.95" customHeight="1">
      <c r="B1922" s="37"/>
    </row>
    <row r="1923" spans="2:2" ht="15.95" customHeight="1">
      <c r="B1923" s="37"/>
    </row>
    <row r="1924" spans="2:2" ht="15.95" customHeight="1">
      <c r="B1924" s="37"/>
    </row>
    <row r="1925" spans="2:2" ht="15.95" customHeight="1">
      <c r="B1925" s="37"/>
    </row>
    <row r="1926" spans="2:2" ht="15.95" customHeight="1">
      <c r="B1926" s="37"/>
    </row>
    <row r="1927" spans="2:2" ht="15.95" customHeight="1">
      <c r="B1927" s="37"/>
    </row>
    <row r="1928" spans="2:2" ht="15.95" customHeight="1">
      <c r="B1928" s="37"/>
    </row>
    <row r="1929" spans="2:2" ht="15.95" customHeight="1">
      <c r="B1929" s="37"/>
    </row>
    <row r="1930" spans="2:2" ht="15.95" customHeight="1">
      <c r="B1930" s="37"/>
    </row>
    <row r="1931" spans="2:2" ht="15.95" customHeight="1">
      <c r="B1931" s="37"/>
    </row>
    <row r="1932" spans="2:2" ht="15.95" customHeight="1">
      <c r="B1932" s="37"/>
    </row>
    <row r="1933" spans="2:2" ht="15.95" customHeight="1">
      <c r="B1933" s="37"/>
    </row>
    <row r="1934" spans="2:2" ht="15.95" customHeight="1">
      <c r="B1934" s="37"/>
    </row>
    <row r="1935" spans="2:2" ht="15.95" customHeight="1">
      <c r="B1935" s="37"/>
    </row>
    <row r="1936" spans="2:2" ht="15.95" customHeight="1">
      <c r="B1936" s="37"/>
    </row>
    <row r="1937" spans="2:2" ht="15.95" customHeight="1">
      <c r="B1937" s="37"/>
    </row>
    <row r="1938" spans="2:2" ht="15.95" customHeight="1">
      <c r="B1938" s="37"/>
    </row>
    <row r="1939" spans="2:2" ht="15.95" customHeight="1">
      <c r="B1939" s="37"/>
    </row>
    <row r="1940" spans="2:2" ht="15.95" customHeight="1">
      <c r="B1940" s="37"/>
    </row>
    <row r="1941" spans="2:2" ht="15.95" customHeight="1">
      <c r="B1941" s="37"/>
    </row>
    <row r="1942" spans="2:2" ht="15.95" customHeight="1">
      <c r="B1942" s="37"/>
    </row>
    <row r="1943" spans="2:2" ht="15.95" customHeight="1">
      <c r="B1943" s="37"/>
    </row>
    <row r="1944" spans="2:2" ht="15.95" customHeight="1">
      <c r="B1944" s="37"/>
    </row>
    <row r="1945" spans="2:2" ht="15.95" customHeight="1">
      <c r="B1945" s="37"/>
    </row>
    <row r="1946" spans="2:2" ht="15.95" customHeight="1">
      <c r="B1946" s="37"/>
    </row>
    <row r="1947" spans="2:2" ht="15.95" customHeight="1">
      <c r="B1947" s="37"/>
    </row>
    <row r="1948" spans="2:2" ht="15.95" customHeight="1">
      <c r="B1948" s="37"/>
    </row>
    <row r="1949" spans="2:2" ht="15.95" customHeight="1">
      <c r="B1949" s="37"/>
    </row>
    <row r="1950" spans="2:2" ht="15.95" customHeight="1">
      <c r="B1950" s="37"/>
    </row>
    <row r="1951" spans="2:2" ht="15.95" customHeight="1">
      <c r="B1951" s="37"/>
    </row>
    <row r="1952" spans="2:2" ht="15.95" customHeight="1">
      <c r="B1952" s="37"/>
    </row>
    <row r="1953" spans="2:2" ht="15.95" customHeight="1">
      <c r="B1953" s="37"/>
    </row>
    <row r="1954" spans="2:2" ht="15.95" customHeight="1">
      <c r="B1954" s="37"/>
    </row>
    <row r="1955" spans="2:2" ht="15.95" customHeight="1">
      <c r="B1955" s="37"/>
    </row>
    <row r="1956" spans="2:2" ht="15.95" customHeight="1">
      <c r="B1956" s="37"/>
    </row>
    <row r="1957" spans="2:2" ht="15.95" customHeight="1">
      <c r="B1957" s="37"/>
    </row>
    <row r="1958" spans="2:2" ht="15.95" customHeight="1">
      <c r="B1958" s="37"/>
    </row>
    <row r="1959" spans="2:2" ht="15.95" customHeight="1">
      <c r="B1959" s="37"/>
    </row>
    <row r="1960" spans="2:2" ht="15.95" customHeight="1">
      <c r="B1960" s="37"/>
    </row>
    <row r="1961" spans="2:2" ht="15.95" customHeight="1">
      <c r="B1961" s="37"/>
    </row>
    <row r="1962" spans="2:2" ht="15.95" customHeight="1">
      <c r="B1962" s="37"/>
    </row>
    <row r="1963" spans="2:2" ht="15.95" customHeight="1">
      <c r="B1963" s="37"/>
    </row>
    <row r="1964" spans="2:2" ht="15.95" customHeight="1">
      <c r="B1964" s="37"/>
    </row>
    <row r="1965" spans="2:2" ht="15.95" customHeight="1">
      <c r="B1965" s="37"/>
    </row>
    <row r="1966" spans="2:2" ht="15.95" customHeight="1">
      <c r="B1966" s="37"/>
    </row>
    <row r="1967" spans="2:2" ht="15.95" customHeight="1">
      <c r="B1967" s="37"/>
    </row>
    <row r="1968" spans="2:2" ht="15.95" customHeight="1">
      <c r="B1968" s="37"/>
    </row>
    <row r="1969" spans="2:2" ht="15.95" customHeight="1">
      <c r="B1969" s="37"/>
    </row>
    <row r="1970" spans="2:2" ht="15.95" customHeight="1">
      <c r="B1970" s="37"/>
    </row>
    <row r="1971" spans="2:2" ht="15.95" customHeight="1">
      <c r="B1971" s="37"/>
    </row>
    <row r="1972" spans="2:2" ht="15.95" customHeight="1">
      <c r="B1972" s="37"/>
    </row>
    <row r="1973" spans="2:2" ht="15.95" customHeight="1">
      <c r="B1973" s="37"/>
    </row>
    <row r="1974" spans="2:2" ht="15.95" customHeight="1">
      <c r="B1974" s="37"/>
    </row>
    <row r="1975" spans="2:2" ht="15.95" customHeight="1">
      <c r="B1975" s="37"/>
    </row>
    <row r="1976" spans="2:2" ht="15.95" customHeight="1">
      <c r="B1976" s="37"/>
    </row>
    <row r="1977" spans="2:2" ht="15.95" customHeight="1">
      <c r="B1977" s="37"/>
    </row>
    <row r="1978" spans="2:2" ht="15.95" customHeight="1">
      <c r="B1978" s="37"/>
    </row>
    <row r="1979" spans="2:2" ht="15.95" customHeight="1">
      <c r="B1979" s="37"/>
    </row>
    <row r="1980" spans="2:2" ht="15.95" customHeight="1">
      <c r="B1980" s="37"/>
    </row>
    <row r="1981" spans="2:2" ht="15.95" customHeight="1">
      <c r="B1981" s="37"/>
    </row>
    <row r="1982" spans="2:2" ht="15.95" customHeight="1">
      <c r="B1982" s="37"/>
    </row>
    <row r="1983" spans="2:2" ht="15.95" customHeight="1">
      <c r="B1983" s="37"/>
    </row>
    <row r="1984" spans="2:2" ht="15.95" customHeight="1">
      <c r="B1984" s="37"/>
    </row>
    <row r="1985" spans="2:2" ht="15.95" customHeight="1">
      <c r="B1985" s="37"/>
    </row>
    <row r="1986" spans="2:2" ht="15.95" customHeight="1">
      <c r="B1986" s="37"/>
    </row>
    <row r="1987" spans="2:2" ht="15.95" customHeight="1">
      <c r="B1987" s="37"/>
    </row>
    <row r="1988" spans="2:2" ht="15.95" customHeight="1">
      <c r="B1988" s="37"/>
    </row>
    <row r="1989" spans="2:2" ht="15.95" customHeight="1">
      <c r="B1989" s="37"/>
    </row>
    <row r="1990" spans="2:2" ht="15.95" customHeight="1">
      <c r="B1990" s="37"/>
    </row>
    <row r="1991" spans="2:2" ht="15.95" customHeight="1">
      <c r="B1991" s="37"/>
    </row>
    <row r="1992" spans="2:2" ht="15.95" customHeight="1">
      <c r="B1992" s="37"/>
    </row>
    <row r="1993" spans="2:2" ht="15.95" customHeight="1">
      <c r="B1993" s="37"/>
    </row>
    <row r="1994" spans="2:2" ht="15.95" customHeight="1">
      <c r="B1994" s="37"/>
    </row>
    <row r="1995" spans="2:2" ht="15.95" customHeight="1">
      <c r="B1995" s="37"/>
    </row>
    <row r="1996" spans="2:2" ht="15.95" customHeight="1">
      <c r="B1996" s="37"/>
    </row>
    <row r="1997" spans="2:2" ht="15.95" customHeight="1">
      <c r="B1997" s="37"/>
    </row>
    <row r="1998" spans="2:2" ht="15.95" customHeight="1">
      <c r="B1998" s="37"/>
    </row>
    <row r="1999" spans="2:2" ht="15.95" customHeight="1">
      <c r="B1999" s="37"/>
    </row>
    <row r="2000" spans="2:2" ht="15.95" customHeight="1">
      <c r="B2000" s="37"/>
    </row>
    <row r="2001" spans="2:2" ht="15.95" customHeight="1">
      <c r="B2001" s="37"/>
    </row>
    <row r="2002" spans="2:2" ht="15.95" customHeight="1">
      <c r="B2002" s="37"/>
    </row>
    <row r="2003" spans="2:2" ht="15.95" customHeight="1">
      <c r="B2003" s="37"/>
    </row>
    <row r="2004" spans="2:2" ht="15.95" customHeight="1">
      <c r="B2004" s="37"/>
    </row>
    <row r="2005" spans="2:2" ht="15.95" customHeight="1">
      <c r="B2005" s="37"/>
    </row>
    <row r="2006" spans="2:2" ht="15.95" customHeight="1">
      <c r="B2006" s="37"/>
    </row>
    <row r="2007" spans="2:2" ht="15.95" customHeight="1">
      <c r="B2007" s="37"/>
    </row>
    <row r="2008" spans="2:2" ht="15.95" customHeight="1">
      <c r="B2008" s="37"/>
    </row>
    <row r="2009" spans="2:2" ht="15.95" customHeight="1">
      <c r="B2009" s="37"/>
    </row>
    <row r="2010" spans="2:2" ht="15.95" customHeight="1">
      <c r="B2010" s="37"/>
    </row>
    <row r="2011" spans="2:2" ht="15.95" customHeight="1">
      <c r="B2011" s="37"/>
    </row>
    <row r="2012" spans="2:2" ht="15.95" customHeight="1">
      <c r="B2012" s="37"/>
    </row>
    <row r="2013" spans="2:2" ht="15.95" customHeight="1">
      <c r="B2013" s="37"/>
    </row>
    <row r="2014" spans="2:2" ht="15.95" customHeight="1">
      <c r="B2014" s="37"/>
    </row>
    <row r="2015" spans="2:2" ht="15.95" customHeight="1">
      <c r="B2015" s="37"/>
    </row>
    <row r="2016" spans="2:2" ht="15.95" customHeight="1">
      <c r="B2016" s="37"/>
    </row>
    <row r="2017" spans="2:2" ht="15.95" customHeight="1">
      <c r="B2017" s="37"/>
    </row>
    <row r="2018" spans="2:2" ht="15.95" customHeight="1">
      <c r="B2018" s="37"/>
    </row>
    <row r="2019" spans="2:2" ht="15.95" customHeight="1">
      <c r="B2019" s="37"/>
    </row>
    <row r="2020" spans="2:2" ht="15.95" customHeight="1">
      <c r="B2020" s="37"/>
    </row>
    <row r="2021" spans="2:2" ht="15.95" customHeight="1">
      <c r="B2021" s="37"/>
    </row>
    <row r="2022" spans="2:2" ht="15.95" customHeight="1">
      <c r="B2022" s="37"/>
    </row>
    <row r="2023" spans="2:2" ht="15.95" customHeight="1">
      <c r="B2023" s="37"/>
    </row>
    <row r="2024" spans="2:2" ht="15.95" customHeight="1">
      <c r="B2024" s="37"/>
    </row>
    <row r="2025" spans="2:2" ht="15.95" customHeight="1">
      <c r="B2025" s="37"/>
    </row>
    <row r="2026" spans="2:2" ht="15.95" customHeight="1">
      <c r="B2026" s="37"/>
    </row>
    <row r="2027" spans="2:2" ht="15.95" customHeight="1">
      <c r="B2027" s="37"/>
    </row>
    <row r="2028" spans="2:2" ht="15.95" customHeight="1">
      <c r="B2028" s="37"/>
    </row>
    <row r="2029" spans="2:2" ht="15.95" customHeight="1">
      <c r="B2029" s="37"/>
    </row>
    <row r="2030" spans="2:2" ht="15.95" customHeight="1">
      <c r="B2030" s="37"/>
    </row>
    <row r="2031" spans="2:2" ht="15.95" customHeight="1">
      <c r="B2031" s="37"/>
    </row>
    <row r="2032" spans="2:2" ht="15.95" customHeight="1">
      <c r="B2032" s="37"/>
    </row>
    <row r="2033" spans="2:2" ht="15.95" customHeight="1">
      <c r="B2033" s="37"/>
    </row>
    <row r="2034" spans="2:2" ht="15.95" customHeight="1">
      <c r="B2034" s="37"/>
    </row>
    <row r="2035" spans="2:2" ht="15.95" customHeight="1">
      <c r="B2035" s="37"/>
    </row>
    <row r="2036" spans="2:2" ht="15.95" customHeight="1">
      <c r="B2036" s="37"/>
    </row>
    <row r="2037" spans="2:2" ht="15.95" customHeight="1">
      <c r="B2037" s="37"/>
    </row>
    <row r="2038" spans="2:2" ht="15.95" customHeight="1">
      <c r="B2038" s="37"/>
    </row>
    <row r="2039" spans="2:2" ht="15.95" customHeight="1">
      <c r="B2039" s="37"/>
    </row>
    <row r="2040" spans="2:2" ht="15.95" customHeight="1">
      <c r="B2040" s="37"/>
    </row>
    <row r="2041" spans="2:2" ht="15.95" customHeight="1">
      <c r="B2041" s="37"/>
    </row>
    <row r="2042" spans="2:2" ht="15.95" customHeight="1">
      <c r="B2042" s="37"/>
    </row>
    <row r="2043" spans="2:2" ht="15.95" customHeight="1">
      <c r="B2043" s="37"/>
    </row>
    <row r="2044" spans="2:2" ht="15.95" customHeight="1">
      <c r="B2044" s="37"/>
    </row>
    <row r="2045" spans="2:2" ht="15.95" customHeight="1">
      <c r="B2045" s="37"/>
    </row>
    <row r="2046" spans="2:2" ht="15.95" customHeight="1">
      <c r="B2046" s="37"/>
    </row>
    <row r="2047" spans="2:2" ht="15.95" customHeight="1">
      <c r="B2047" s="37"/>
    </row>
    <row r="2048" spans="2:2" ht="15.95" customHeight="1">
      <c r="B2048" s="37"/>
    </row>
    <row r="2049" spans="2:2" ht="15.95" customHeight="1">
      <c r="B2049" s="37"/>
    </row>
    <row r="2050" spans="2:2" ht="15.95" customHeight="1">
      <c r="B2050" s="37"/>
    </row>
    <row r="2051" spans="2:2" ht="15.95" customHeight="1">
      <c r="B2051" s="37"/>
    </row>
    <row r="2052" spans="2:2" ht="15.95" customHeight="1">
      <c r="B2052" s="37"/>
    </row>
    <row r="2053" spans="2:2" ht="15.95" customHeight="1">
      <c r="B2053" s="37"/>
    </row>
    <row r="2054" spans="2:2" ht="15.95" customHeight="1">
      <c r="B2054" s="37"/>
    </row>
    <row r="2055" spans="2:2" ht="15.95" customHeight="1">
      <c r="B2055" s="37"/>
    </row>
    <row r="2056" spans="2:2" ht="15.95" customHeight="1">
      <c r="B2056" s="37"/>
    </row>
    <row r="2057" spans="2:2" ht="15.95" customHeight="1">
      <c r="B2057" s="37"/>
    </row>
    <row r="2058" spans="2:2" ht="15.95" customHeight="1">
      <c r="B2058" s="37"/>
    </row>
    <row r="2059" spans="2:2" ht="15.95" customHeight="1">
      <c r="B2059" s="37"/>
    </row>
    <row r="2060" spans="2:2" ht="15.95" customHeight="1">
      <c r="B2060" s="37"/>
    </row>
    <row r="2061" spans="2:2" ht="15.95" customHeight="1">
      <c r="B2061" s="37"/>
    </row>
    <row r="2062" spans="2:2" ht="15.95" customHeight="1">
      <c r="B2062" s="37"/>
    </row>
    <row r="2063" spans="2:2" ht="15.95" customHeight="1">
      <c r="B2063" s="37"/>
    </row>
    <row r="2064" spans="2:2" ht="15.95" customHeight="1">
      <c r="B2064" s="37"/>
    </row>
    <row r="2065" spans="2:2" ht="15.95" customHeight="1">
      <c r="B2065" s="37"/>
    </row>
    <row r="2066" spans="2:2" ht="15.95" customHeight="1">
      <c r="B2066" s="37"/>
    </row>
    <row r="2067" spans="2:2" ht="15.95" customHeight="1">
      <c r="B2067" s="37"/>
    </row>
    <row r="2068" spans="2:2" ht="15.95" customHeight="1">
      <c r="B2068" s="37"/>
    </row>
    <row r="2069" spans="2:2" ht="15.95" customHeight="1">
      <c r="B2069" s="37"/>
    </row>
    <row r="2070" spans="2:2" ht="15.95" customHeight="1">
      <c r="B2070" s="37"/>
    </row>
    <row r="2071" spans="2:2" ht="15.95" customHeight="1">
      <c r="B2071" s="37"/>
    </row>
    <row r="2072" spans="2:2" ht="15.95" customHeight="1">
      <c r="B2072" s="37"/>
    </row>
    <row r="2073" spans="2:2" ht="15.95" customHeight="1">
      <c r="B2073" s="37"/>
    </row>
    <row r="2074" spans="2:2" ht="15.95" customHeight="1">
      <c r="B2074" s="37"/>
    </row>
    <row r="2075" spans="2:2" ht="15.95" customHeight="1">
      <c r="B2075" s="37"/>
    </row>
    <row r="2076" spans="2:2" ht="15.95" customHeight="1">
      <c r="B2076" s="37"/>
    </row>
    <row r="2077" spans="2:2" ht="15.95" customHeight="1">
      <c r="B2077" s="37"/>
    </row>
    <row r="2078" spans="2:2" ht="15.95" customHeight="1">
      <c r="B2078" s="37"/>
    </row>
    <row r="2079" spans="2:2" ht="15.95" customHeight="1">
      <c r="B2079" s="37"/>
    </row>
    <row r="2080" spans="2:2" ht="15.95" customHeight="1">
      <c r="B2080" s="37"/>
    </row>
    <row r="2081" spans="2:2" ht="15.95" customHeight="1">
      <c r="B2081" s="37"/>
    </row>
    <row r="2082" spans="2:2" ht="15.95" customHeight="1">
      <c r="B2082" s="37"/>
    </row>
    <row r="2083" spans="2:2" ht="15.95" customHeight="1">
      <c r="B2083" s="37"/>
    </row>
    <row r="2084" spans="2:2" ht="15.95" customHeight="1">
      <c r="B2084" s="37"/>
    </row>
    <row r="2085" spans="2:2" ht="15.95" customHeight="1">
      <c r="B2085" s="37"/>
    </row>
    <row r="2086" spans="2:2" ht="15.95" customHeight="1">
      <c r="B2086" s="37"/>
    </row>
    <row r="2087" spans="2:2" ht="15.95" customHeight="1">
      <c r="B2087" s="37"/>
    </row>
    <row r="2088" spans="2:2" ht="15.95" customHeight="1">
      <c r="B2088" s="37"/>
    </row>
    <row r="2089" spans="2:2" ht="15.95" customHeight="1">
      <c r="B2089" s="37"/>
    </row>
    <row r="2090" spans="2:2" ht="15.95" customHeight="1">
      <c r="B2090" s="37"/>
    </row>
    <row r="2091" spans="2:2" ht="15.95" customHeight="1">
      <c r="B2091" s="37"/>
    </row>
    <row r="2092" spans="2:2" ht="15.95" customHeight="1">
      <c r="B2092" s="37"/>
    </row>
    <row r="2093" spans="2:2" ht="15.95" customHeight="1">
      <c r="B2093" s="37"/>
    </row>
    <row r="2094" spans="2:2" ht="15.95" customHeight="1">
      <c r="B2094" s="37"/>
    </row>
    <row r="2095" spans="2:2" ht="15.95" customHeight="1">
      <c r="B2095" s="37"/>
    </row>
    <row r="2096" spans="2:2" ht="15.95" customHeight="1">
      <c r="B2096" s="37"/>
    </row>
    <row r="2097" spans="2:2" ht="15.95" customHeight="1">
      <c r="B2097" s="37"/>
    </row>
    <row r="2098" spans="2:2" ht="15.95" customHeight="1">
      <c r="B2098" s="37"/>
    </row>
    <row r="2099" spans="2:2" ht="15.95" customHeight="1">
      <c r="B2099" s="37"/>
    </row>
    <row r="2100" spans="2:2" ht="15.95" customHeight="1">
      <c r="B2100" s="37"/>
    </row>
    <row r="2101" spans="2:2" ht="15.95" customHeight="1">
      <c r="B2101" s="37"/>
    </row>
    <row r="2102" spans="2:2" ht="15.95" customHeight="1">
      <c r="B2102" s="37"/>
    </row>
    <row r="2103" spans="2:2" ht="15.95" customHeight="1">
      <c r="B2103" s="37"/>
    </row>
    <row r="2104" spans="2:2" ht="15.95" customHeight="1">
      <c r="B2104" s="37"/>
    </row>
    <row r="2105" spans="2:2" ht="15.95" customHeight="1">
      <c r="B2105" s="37"/>
    </row>
    <row r="2106" spans="2:2" ht="15.95" customHeight="1">
      <c r="B2106" s="37"/>
    </row>
    <row r="2107" spans="2:2" ht="15.95" customHeight="1">
      <c r="B2107" s="37"/>
    </row>
    <row r="2108" spans="2:2" ht="15.95" customHeight="1">
      <c r="B2108" s="37"/>
    </row>
    <row r="2109" spans="2:2" ht="15.95" customHeight="1">
      <c r="B2109" s="37"/>
    </row>
    <row r="2110" spans="2:2" ht="15.95" customHeight="1">
      <c r="B2110" s="37"/>
    </row>
    <row r="2111" spans="2:2" ht="15.95" customHeight="1">
      <c r="B2111" s="37"/>
    </row>
    <row r="2112" spans="2:2" ht="15.95" customHeight="1">
      <c r="B2112" s="37"/>
    </row>
    <row r="2113" spans="2:2" ht="15.95" customHeight="1">
      <c r="B2113" s="37"/>
    </row>
    <row r="2114" spans="2:2" ht="15.95" customHeight="1">
      <c r="B2114" s="37"/>
    </row>
    <row r="2115" spans="2:2" ht="15.95" customHeight="1">
      <c r="B2115" s="37"/>
    </row>
    <row r="2116" spans="2:2" ht="15.95" customHeight="1">
      <c r="B2116" s="37"/>
    </row>
    <row r="2117" spans="2:2" ht="15.95" customHeight="1">
      <c r="B2117" s="37"/>
    </row>
    <row r="2118" spans="2:2" ht="15.95" customHeight="1">
      <c r="B2118" s="37"/>
    </row>
    <row r="2119" spans="2:2" ht="15.95" customHeight="1">
      <c r="B2119" s="37"/>
    </row>
    <row r="2120" spans="2:2" ht="15.95" customHeight="1">
      <c r="B2120" s="37"/>
    </row>
    <row r="2121" spans="2:2" ht="15.95" customHeight="1">
      <c r="B2121" s="37"/>
    </row>
    <row r="2122" spans="2:2" ht="15.95" customHeight="1">
      <c r="B2122" s="37"/>
    </row>
    <row r="2123" spans="2:2" ht="15.95" customHeight="1">
      <c r="B2123" s="37"/>
    </row>
    <row r="2124" spans="2:2" ht="15.95" customHeight="1">
      <c r="B2124" s="37"/>
    </row>
    <row r="2125" spans="2:2" ht="15.95" customHeight="1">
      <c r="B2125" s="37"/>
    </row>
    <row r="2126" spans="2:2" ht="15.95" customHeight="1">
      <c r="B2126" s="37"/>
    </row>
    <row r="2127" spans="2:2" ht="15.95" customHeight="1">
      <c r="B2127" s="37"/>
    </row>
    <row r="2128" spans="2:2" ht="15.95" customHeight="1">
      <c r="B2128" s="37"/>
    </row>
    <row r="2129" spans="2:2" ht="15.95" customHeight="1">
      <c r="B2129" s="37"/>
    </row>
    <row r="2130" spans="2:2" ht="15.95" customHeight="1">
      <c r="B2130" s="37"/>
    </row>
    <row r="2131" spans="2:2" ht="15.95" customHeight="1">
      <c r="B2131" s="37"/>
    </row>
    <row r="2132" spans="2:2" ht="15.95" customHeight="1">
      <c r="B2132" s="37"/>
    </row>
    <row r="2133" spans="2:2" ht="15.95" customHeight="1">
      <c r="B2133" s="37"/>
    </row>
    <row r="2134" spans="2:2" ht="15.95" customHeight="1">
      <c r="B2134" s="37"/>
    </row>
    <row r="2135" spans="2:2" ht="15.95" customHeight="1">
      <c r="B2135" s="37"/>
    </row>
    <row r="2136" spans="2:2" ht="15.95" customHeight="1">
      <c r="B2136" s="37"/>
    </row>
    <row r="2137" spans="2:2" ht="15.95" customHeight="1">
      <c r="B2137" s="37"/>
    </row>
    <row r="2138" spans="2:2" ht="15.95" customHeight="1">
      <c r="B2138" s="37"/>
    </row>
    <row r="2139" spans="2:2" ht="15.95" customHeight="1">
      <c r="B2139" s="37"/>
    </row>
    <row r="2140" spans="2:2" ht="15.95" customHeight="1">
      <c r="B2140" s="37"/>
    </row>
    <row r="2141" spans="2:2" ht="15.95" customHeight="1">
      <c r="B2141" s="37"/>
    </row>
    <row r="2142" spans="2:2" ht="15.95" customHeight="1">
      <c r="B2142" s="37"/>
    </row>
    <row r="2143" spans="2:2" ht="15.95" customHeight="1">
      <c r="B2143" s="37"/>
    </row>
    <row r="2144" spans="2:2" ht="15.95" customHeight="1">
      <c r="B2144" s="37"/>
    </row>
    <row r="2145" spans="2:2" ht="15.95" customHeight="1">
      <c r="B2145" s="37"/>
    </row>
    <row r="2146" spans="2:2" ht="15.95" customHeight="1">
      <c r="B2146" s="37"/>
    </row>
    <row r="2147" spans="2:2" ht="15.95" customHeight="1">
      <c r="B2147" s="37"/>
    </row>
    <row r="2148" spans="2:2" ht="15.95" customHeight="1">
      <c r="B2148" s="37"/>
    </row>
    <row r="2149" spans="2:2" ht="15.95" customHeight="1">
      <c r="B2149" s="37"/>
    </row>
    <row r="2150" spans="2:2" ht="15.95" customHeight="1">
      <c r="B2150" s="37"/>
    </row>
    <row r="2151" spans="2:2" ht="15.95" customHeight="1">
      <c r="B2151" s="37"/>
    </row>
    <row r="2152" spans="2:2" ht="15.95" customHeight="1">
      <c r="B2152" s="37"/>
    </row>
    <row r="2153" spans="2:2" ht="15.95" customHeight="1">
      <c r="B2153" s="37"/>
    </row>
    <row r="2154" spans="2:2" ht="15.95" customHeight="1">
      <c r="B2154" s="37"/>
    </row>
    <row r="2155" spans="2:2" ht="15.95" customHeight="1">
      <c r="B2155" s="37"/>
    </row>
    <row r="2156" spans="2:2" ht="15.95" customHeight="1">
      <c r="B2156" s="37"/>
    </row>
    <row r="2157" spans="2:2" ht="15.95" customHeight="1">
      <c r="B2157" s="37"/>
    </row>
    <row r="2158" spans="2:2" ht="15.95" customHeight="1">
      <c r="B2158" s="37"/>
    </row>
    <row r="2159" spans="2:2" ht="15.95" customHeight="1">
      <c r="B2159" s="37"/>
    </row>
    <row r="2160" spans="2:2" ht="15.95" customHeight="1">
      <c r="B2160" s="37"/>
    </row>
    <row r="2161" spans="2:2" ht="15.95" customHeight="1">
      <c r="B2161" s="37"/>
    </row>
    <row r="2162" spans="2:2" ht="15.95" customHeight="1">
      <c r="B2162" s="37"/>
    </row>
    <row r="2163" spans="2:2" ht="15.95" customHeight="1">
      <c r="B2163" s="37"/>
    </row>
    <row r="2164" spans="2:2" ht="15.95" customHeight="1">
      <c r="B2164" s="37"/>
    </row>
    <row r="2165" spans="2:2" ht="15.95" customHeight="1">
      <c r="B2165" s="37"/>
    </row>
    <row r="2166" spans="2:2" ht="15.95" customHeight="1">
      <c r="B2166" s="37"/>
    </row>
    <row r="2167" spans="2:2" ht="15.95" customHeight="1">
      <c r="B2167" s="37"/>
    </row>
    <row r="2168" spans="2:2" ht="15.95" customHeight="1">
      <c r="B2168" s="37"/>
    </row>
    <row r="2169" spans="2:2" ht="15.95" customHeight="1">
      <c r="B2169" s="37"/>
    </row>
    <row r="2170" spans="2:2" ht="15.95" customHeight="1">
      <c r="B2170" s="37"/>
    </row>
    <row r="2171" spans="2:2" ht="15.95" customHeight="1">
      <c r="B2171" s="37"/>
    </row>
    <row r="2172" spans="2:2" ht="15.95" customHeight="1">
      <c r="B2172" s="37"/>
    </row>
    <row r="2173" spans="2:2" ht="15.95" customHeight="1">
      <c r="B2173" s="37"/>
    </row>
    <row r="2174" spans="2:2" ht="15.95" customHeight="1">
      <c r="B2174" s="37"/>
    </row>
    <row r="2175" spans="2:2" ht="15.95" customHeight="1">
      <c r="B2175" s="37"/>
    </row>
    <row r="2176" spans="2:2" ht="15.95" customHeight="1">
      <c r="B2176" s="37"/>
    </row>
    <row r="2177" spans="2:2" ht="15.95" customHeight="1">
      <c r="B2177" s="37"/>
    </row>
    <row r="2178" spans="2:2" ht="15.95" customHeight="1">
      <c r="B2178" s="37"/>
    </row>
    <row r="2179" spans="2:2" ht="15.95" customHeight="1">
      <c r="B2179" s="37"/>
    </row>
    <row r="2180" spans="2:2" ht="15.95" customHeight="1">
      <c r="B2180" s="37"/>
    </row>
    <row r="2181" spans="2:2" ht="15.95" customHeight="1">
      <c r="B2181" s="37"/>
    </row>
    <row r="2182" spans="2:2" ht="15.95" customHeight="1">
      <c r="B2182" s="37"/>
    </row>
    <row r="2183" spans="2:2" ht="15.95" customHeight="1">
      <c r="B2183" s="37"/>
    </row>
    <row r="2184" spans="2:2" ht="15.95" customHeight="1">
      <c r="B2184" s="37"/>
    </row>
    <row r="2185" spans="2:2" ht="15.95" customHeight="1">
      <c r="B2185" s="37"/>
    </row>
    <row r="2186" spans="2:2" ht="15.95" customHeight="1">
      <c r="B2186" s="37"/>
    </row>
    <row r="2187" spans="2:2" ht="15.95" customHeight="1">
      <c r="B2187" s="37"/>
    </row>
    <row r="2188" spans="2:2" ht="15.95" customHeight="1">
      <c r="B2188" s="37"/>
    </row>
    <row r="2189" spans="2:2" ht="15.95" customHeight="1">
      <c r="B2189" s="37"/>
    </row>
    <row r="2190" spans="2:2" ht="15.95" customHeight="1">
      <c r="B2190" s="37"/>
    </row>
    <row r="2191" spans="2:2" ht="15.95" customHeight="1">
      <c r="B2191" s="37"/>
    </row>
    <row r="2192" spans="2:2" ht="15.95" customHeight="1">
      <c r="B2192" s="37"/>
    </row>
    <row r="2193" spans="2:2" ht="15.95" customHeight="1">
      <c r="B2193" s="37"/>
    </row>
    <row r="2194" spans="2:2" ht="15.95" customHeight="1">
      <c r="B2194" s="37"/>
    </row>
    <row r="2195" spans="2:2" ht="15.95" customHeight="1">
      <c r="B2195" s="37"/>
    </row>
    <row r="2196" spans="2:2" ht="15.95" customHeight="1">
      <c r="B2196" s="37"/>
    </row>
    <row r="2197" spans="2:2" ht="15.95" customHeight="1">
      <c r="B2197" s="37"/>
    </row>
    <row r="2198" spans="2:2" ht="15.95" customHeight="1">
      <c r="B2198" s="37"/>
    </row>
    <row r="2199" spans="2:2" ht="15.95" customHeight="1">
      <c r="B2199" s="37"/>
    </row>
    <row r="2200" spans="2:2" ht="15.95" customHeight="1">
      <c r="B2200" s="37"/>
    </row>
    <row r="2201" spans="2:2" ht="15.95" customHeight="1">
      <c r="B2201" s="37"/>
    </row>
    <row r="2202" spans="2:2" ht="15.95" customHeight="1">
      <c r="B2202" s="37"/>
    </row>
    <row r="2203" spans="2:2" ht="15.95" customHeight="1">
      <c r="B2203" s="37"/>
    </row>
    <row r="2204" spans="2:2" ht="15.95" customHeight="1">
      <c r="B2204" s="37"/>
    </row>
    <row r="2205" spans="2:2" ht="15.95" customHeight="1">
      <c r="B2205" s="37"/>
    </row>
    <row r="2206" spans="2:2" ht="15.95" customHeight="1">
      <c r="B2206" s="37"/>
    </row>
    <row r="2207" spans="2:2" ht="15.95" customHeight="1">
      <c r="B2207" s="37"/>
    </row>
    <row r="2208" spans="2:2" ht="15.95" customHeight="1">
      <c r="B2208" s="37"/>
    </row>
    <row r="2209" spans="2:2" ht="15.95" customHeight="1">
      <c r="B2209" s="37"/>
    </row>
    <row r="2210" spans="2:2" ht="15.95" customHeight="1">
      <c r="B2210" s="37"/>
    </row>
    <row r="2211" spans="2:2" ht="15.95" customHeight="1">
      <c r="B2211" s="37"/>
    </row>
    <row r="2212" spans="2:2" ht="15.95" customHeight="1">
      <c r="B2212" s="37"/>
    </row>
    <row r="2213" spans="2:2" ht="15.95" customHeight="1">
      <c r="B2213" s="37"/>
    </row>
    <row r="2214" spans="2:2" ht="15.95" customHeight="1">
      <c r="B2214" s="37"/>
    </row>
    <row r="2215" spans="2:2" ht="15.95" customHeight="1">
      <c r="B2215" s="37"/>
    </row>
    <row r="2216" spans="2:2" ht="15.95" customHeight="1">
      <c r="B2216" s="37"/>
    </row>
    <row r="2217" spans="2:2" ht="15.95" customHeight="1">
      <c r="B2217" s="37"/>
    </row>
    <row r="2218" spans="2:2" ht="15.95" customHeight="1">
      <c r="B2218" s="37"/>
    </row>
    <row r="2219" spans="2:2" ht="15.95" customHeight="1">
      <c r="B2219" s="37"/>
    </row>
    <row r="2220" spans="2:2" ht="15.95" customHeight="1">
      <c r="B2220" s="37"/>
    </row>
    <row r="2221" spans="2:2" ht="15.95" customHeight="1">
      <c r="B2221" s="37"/>
    </row>
    <row r="2222" spans="2:2" ht="15.95" customHeight="1">
      <c r="B2222" s="37"/>
    </row>
    <row r="2223" spans="2:2" ht="15.95" customHeight="1">
      <c r="B2223" s="37"/>
    </row>
    <row r="2224" spans="2:2" ht="15.95" customHeight="1">
      <c r="B2224" s="37"/>
    </row>
    <row r="2225" spans="2:2" ht="15.95" customHeight="1">
      <c r="B2225" s="37"/>
    </row>
    <row r="2226" spans="2:2" ht="15.95" customHeight="1">
      <c r="B2226" s="37"/>
    </row>
    <row r="2227" spans="2:2" ht="15.95" customHeight="1">
      <c r="B2227" s="37"/>
    </row>
    <row r="2228" spans="2:2" ht="15.95" customHeight="1">
      <c r="B2228" s="37"/>
    </row>
    <row r="2229" spans="2:2" ht="15.95" customHeight="1">
      <c r="B2229" s="37"/>
    </row>
    <row r="2230" spans="2:2" ht="15.95" customHeight="1">
      <c r="B2230" s="37"/>
    </row>
    <row r="2231" spans="2:2" ht="15.95" customHeight="1">
      <c r="B2231" s="37"/>
    </row>
    <row r="2232" spans="2:2" ht="15.95" customHeight="1">
      <c r="B2232" s="37"/>
    </row>
    <row r="2233" spans="2:2" ht="15.95" customHeight="1">
      <c r="B2233" s="37"/>
    </row>
    <row r="2234" spans="2:2" ht="15.95" customHeight="1">
      <c r="B2234" s="37"/>
    </row>
    <row r="2235" spans="2:2" ht="15.95" customHeight="1">
      <c r="B2235" s="37"/>
    </row>
    <row r="2236" spans="2:2" ht="15.95" customHeight="1">
      <c r="B2236" s="37"/>
    </row>
    <row r="2237" spans="2:2" ht="15.95" customHeight="1">
      <c r="B2237" s="37"/>
    </row>
    <row r="2238" spans="2:2" ht="15.95" customHeight="1">
      <c r="B2238" s="37"/>
    </row>
    <row r="2239" spans="2:2" ht="15.95" customHeight="1">
      <c r="B2239" s="37"/>
    </row>
    <row r="2240" spans="2:2" ht="15.95" customHeight="1">
      <c r="B2240" s="37"/>
    </row>
    <row r="2241" spans="2:2" ht="15.95" customHeight="1">
      <c r="B2241" s="37"/>
    </row>
    <row r="2242" spans="2:2" ht="15.95" customHeight="1">
      <c r="B2242" s="37"/>
    </row>
    <row r="2243" spans="2:2" ht="15.95" customHeight="1">
      <c r="B2243" s="37"/>
    </row>
    <row r="2244" spans="2:2" ht="15.95" customHeight="1">
      <c r="B2244" s="37"/>
    </row>
    <row r="2245" spans="2:2" ht="15.95" customHeight="1">
      <c r="B2245" s="37"/>
    </row>
    <row r="2246" spans="2:2" ht="15.95" customHeight="1">
      <c r="B2246" s="37"/>
    </row>
    <row r="2247" spans="2:2" ht="15.95" customHeight="1">
      <c r="B2247" s="37"/>
    </row>
    <row r="2248" spans="2:2" ht="15.95" customHeight="1">
      <c r="B2248" s="37"/>
    </row>
    <row r="2249" spans="2:2" ht="15.95" customHeight="1">
      <c r="B2249" s="37"/>
    </row>
    <row r="2250" spans="2:2" ht="15.95" customHeight="1">
      <c r="B2250" s="37"/>
    </row>
    <row r="2251" spans="2:2" ht="15.95" customHeight="1">
      <c r="B2251" s="37"/>
    </row>
    <row r="2252" spans="2:2" ht="15.95" customHeight="1">
      <c r="B2252" s="37"/>
    </row>
    <row r="2253" spans="2:2" ht="15.95" customHeight="1">
      <c r="B2253" s="37"/>
    </row>
    <row r="2254" spans="2:2" ht="15.95" customHeight="1">
      <c r="B2254" s="37"/>
    </row>
    <row r="2255" spans="2:2" ht="15.95" customHeight="1">
      <c r="B2255" s="37"/>
    </row>
    <row r="2256" spans="2:2" ht="15.95" customHeight="1">
      <c r="B2256" s="37"/>
    </row>
    <row r="2257" spans="2:2" ht="15.95" customHeight="1">
      <c r="B2257" s="37"/>
    </row>
    <row r="2258" spans="2:2" ht="15.95" customHeight="1">
      <c r="B2258" s="37"/>
    </row>
    <row r="2259" spans="2:2" ht="15.95" customHeight="1">
      <c r="B2259" s="37"/>
    </row>
    <row r="2260" spans="2:2" ht="15.95" customHeight="1">
      <c r="B2260" s="37"/>
    </row>
    <row r="2261" spans="2:2" ht="15.95" customHeight="1">
      <c r="B2261" s="37"/>
    </row>
    <row r="2262" spans="2:2" ht="15.95" customHeight="1">
      <c r="B2262" s="37"/>
    </row>
    <row r="2263" spans="2:2" ht="15.95" customHeight="1">
      <c r="B2263" s="37"/>
    </row>
    <row r="2264" spans="2:2" ht="15.95" customHeight="1">
      <c r="B2264" s="37"/>
    </row>
    <row r="2265" spans="2:2" ht="15.95" customHeight="1">
      <c r="B2265" s="37"/>
    </row>
    <row r="2266" spans="2:2" ht="15.95" customHeight="1">
      <c r="B2266" s="37"/>
    </row>
    <row r="2267" spans="2:2" ht="15.95" customHeight="1">
      <c r="B2267" s="37"/>
    </row>
    <row r="2268" spans="2:2" ht="15.95" customHeight="1">
      <c r="B2268" s="37"/>
    </row>
    <row r="2269" spans="2:2" ht="15.95" customHeight="1">
      <c r="B2269" s="37"/>
    </row>
    <row r="2270" spans="2:2" ht="15.95" customHeight="1">
      <c r="B2270" s="37"/>
    </row>
    <row r="2271" spans="2:2" ht="15.95" customHeight="1">
      <c r="B2271" s="37"/>
    </row>
    <row r="2272" spans="2:2" ht="15.95" customHeight="1">
      <c r="B2272" s="37"/>
    </row>
    <row r="2273" spans="2:2" ht="15.95" customHeight="1">
      <c r="B2273" s="37"/>
    </row>
    <row r="2274" spans="2:2" ht="15.95" customHeight="1">
      <c r="B2274" s="37"/>
    </row>
    <row r="2275" spans="2:2" ht="15.95" customHeight="1">
      <c r="B2275" s="37"/>
    </row>
    <row r="2276" spans="2:2" ht="15.95" customHeight="1">
      <c r="B2276" s="37"/>
    </row>
    <row r="2277" spans="2:2" ht="15.95" customHeight="1">
      <c r="B2277" s="37"/>
    </row>
    <row r="2278" spans="2:2" ht="15.95" customHeight="1">
      <c r="B2278" s="37"/>
    </row>
    <row r="2279" spans="2:2" ht="15.95" customHeight="1">
      <c r="B2279" s="37"/>
    </row>
    <row r="2280" spans="2:2" ht="15.95" customHeight="1">
      <c r="B2280" s="37"/>
    </row>
    <row r="2281" spans="2:2" ht="15.95" customHeight="1">
      <c r="B2281" s="37"/>
    </row>
    <row r="2282" spans="2:2" ht="15.95" customHeight="1">
      <c r="B2282" s="37"/>
    </row>
    <row r="2283" spans="2:2" ht="15.95" customHeight="1">
      <c r="B2283" s="37"/>
    </row>
    <row r="2284" spans="2:2" ht="15.95" customHeight="1">
      <c r="B2284" s="37"/>
    </row>
    <row r="2285" spans="2:2" ht="15.95" customHeight="1">
      <c r="B2285" s="37"/>
    </row>
    <row r="2286" spans="2:2" ht="15.95" customHeight="1">
      <c r="B2286" s="37"/>
    </row>
    <row r="2287" spans="2:2" ht="15.95" customHeight="1">
      <c r="B2287" s="37"/>
    </row>
    <row r="2288" spans="2:2" ht="15.95" customHeight="1">
      <c r="B2288" s="37"/>
    </row>
    <row r="2289" spans="2:2" ht="15.95" customHeight="1">
      <c r="B2289" s="37"/>
    </row>
    <row r="2290" spans="2:2" ht="15.95" customHeight="1">
      <c r="B2290" s="37"/>
    </row>
    <row r="2291" spans="2:2" ht="15.95" customHeight="1">
      <c r="B2291" s="37"/>
    </row>
    <row r="2292" spans="2:2" ht="15.95" customHeight="1">
      <c r="B2292" s="37"/>
    </row>
    <row r="2293" spans="2:2" ht="15.95" customHeight="1">
      <c r="B2293" s="37"/>
    </row>
    <row r="2294" spans="2:2" ht="15.95" customHeight="1">
      <c r="B2294" s="37"/>
    </row>
    <row r="2295" spans="2:2" ht="15.95" customHeight="1">
      <c r="B2295" s="37"/>
    </row>
    <row r="2296" spans="2:2" ht="15.95" customHeight="1">
      <c r="B2296" s="37"/>
    </row>
    <row r="2297" spans="2:2" ht="15.95" customHeight="1">
      <c r="B2297" s="37"/>
    </row>
    <row r="2298" spans="2:2" ht="15.95" customHeight="1">
      <c r="B2298" s="37"/>
    </row>
    <row r="2299" spans="2:2" ht="15.95" customHeight="1">
      <c r="B2299" s="37"/>
    </row>
    <row r="2300" spans="2:2" ht="15.95" customHeight="1">
      <c r="B2300" s="37"/>
    </row>
    <row r="2301" spans="2:2" ht="15.95" customHeight="1">
      <c r="B2301" s="37"/>
    </row>
    <row r="2302" spans="2:2" ht="15.95" customHeight="1">
      <c r="B2302" s="37"/>
    </row>
    <row r="2303" spans="2:2" ht="15.95" customHeight="1">
      <c r="B2303" s="37"/>
    </row>
    <row r="2304" spans="2:2" ht="15.95" customHeight="1">
      <c r="B2304" s="37"/>
    </row>
    <row r="2305" spans="2:2" ht="15.95" customHeight="1">
      <c r="B2305" s="37"/>
    </row>
    <row r="2306" spans="2:2" ht="15.95" customHeight="1">
      <c r="B2306" s="37"/>
    </row>
    <row r="2307" spans="2:2" ht="15.95" customHeight="1">
      <c r="B2307" s="37"/>
    </row>
    <row r="2308" spans="2:2" ht="15.95" customHeight="1">
      <c r="B2308" s="37"/>
    </row>
    <row r="2309" spans="2:2" ht="15.95" customHeight="1">
      <c r="B2309" s="37"/>
    </row>
    <row r="2310" spans="2:2" ht="15.95" customHeight="1">
      <c r="B2310" s="37"/>
    </row>
    <row r="2311" spans="2:2" ht="15.95" customHeight="1">
      <c r="B2311" s="37"/>
    </row>
    <row r="2312" spans="2:2" ht="15.95" customHeight="1">
      <c r="B2312" s="37"/>
    </row>
    <row r="2313" spans="2:2" ht="15.95" customHeight="1">
      <c r="B2313" s="37"/>
    </row>
    <row r="2314" spans="2:2" ht="15.95" customHeight="1">
      <c r="B2314" s="37"/>
    </row>
    <row r="2315" spans="2:2" ht="15.95" customHeight="1">
      <c r="B2315" s="37"/>
    </row>
    <row r="2316" spans="2:2" ht="15.95" customHeight="1">
      <c r="B2316" s="37"/>
    </row>
    <row r="2317" spans="2:2" ht="15.95" customHeight="1">
      <c r="B2317" s="37"/>
    </row>
    <row r="2318" spans="2:2" ht="15.95" customHeight="1">
      <c r="B2318" s="37"/>
    </row>
    <row r="2319" spans="2:2" ht="15.95" customHeight="1">
      <c r="B2319" s="37"/>
    </row>
    <row r="2320" spans="2:2" ht="15.95" customHeight="1">
      <c r="B2320" s="37"/>
    </row>
    <row r="2321" spans="2:2" ht="15.95" customHeight="1">
      <c r="B2321" s="37"/>
    </row>
    <row r="2322" spans="2:2" ht="15.95" customHeight="1">
      <c r="B2322" s="37"/>
    </row>
    <row r="2323" spans="2:2" ht="15.95" customHeight="1">
      <c r="B2323" s="37"/>
    </row>
    <row r="2324" spans="2:2" ht="15.95" customHeight="1">
      <c r="B2324" s="37"/>
    </row>
    <row r="2325" spans="2:2" ht="15.95" customHeight="1">
      <c r="B2325" s="37"/>
    </row>
    <row r="2326" spans="2:2" ht="15.95" customHeight="1">
      <c r="B2326" s="37"/>
    </row>
    <row r="2327" spans="2:2" ht="15.95" customHeight="1">
      <c r="B2327" s="37"/>
    </row>
    <row r="2328" spans="2:2" ht="15.95" customHeight="1">
      <c r="B2328" s="37"/>
    </row>
    <row r="2329" spans="2:2" ht="15.95" customHeight="1">
      <c r="B2329" s="37"/>
    </row>
    <row r="2330" spans="2:2" ht="15.95" customHeight="1">
      <c r="B2330" s="37"/>
    </row>
    <row r="2331" spans="2:2" ht="15.95" customHeight="1">
      <c r="B2331" s="37"/>
    </row>
    <row r="2332" spans="2:2" ht="15.95" customHeight="1">
      <c r="B2332" s="37"/>
    </row>
    <row r="2333" spans="2:2" ht="15.95" customHeight="1">
      <c r="B2333" s="37"/>
    </row>
    <row r="2334" spans="2:2" ht="15.95" customHeight="1">
      <c r="B2334" s="37"/>
    </row>
    <row r="2335" spans="2:2" ht="15.95" customHeight="1">
      <c r="B2335" s="37"/>
    </row>
    <row r="2336" spans="2:2" ht="15.95" customHeight="1">
      <c r="B2336" s="37"/>
    </row>
    <row r="2337" spans="2:2" ht="15.95" customHeight="1">
      <c r="B2337" s="37"/>
    </row>
    <row r="2338" spans="2:2" ht="15.95" customHeight="1">
      <c r="B2338" s="37"/>
    </row>
    <row r="2339" spans="2:2" ht="15.95" customHeight="1">
      <c r="B2339" s="37"/>
    </row>
    <row r="2340" spans="2:2" ht="15.95" customHeight="1">
      <c r="B2340" s="37"/>
    </row>
    <row r="2341" spans="2:2" ht="15.95" customHeight="1">
      <c r="B2341" s="37"/>
    </row>
    <row r="2342" spans="2:2" ht="15.95" customHeight="1">
      <c r="B2342" s="37"/>
    </row>
    <row r="2343" spans="2:2" ht="15.95" customHeight="1">
      <c r="B2343" s="37"/>
    </row>
    <row r="2344" spans="2:2" ht="15.95" customHeight="1">
      <c r="B2344" s="37"/>
    </row>
    <row r="2345" spans="2:2" ht="15.95" customHeight="1">
      <c r="B2345" s="37"/>
    </row>
    <row r="2346" spans="2:2" ht="15.95" customHeight="1">
      <c r="B2346" s="37"/>
    </row>
    <row r="2347" spans="2:2" ht="15.95" customHeight="1">
      <c r="B2347" s="37"/>
    </row>
    <row r="2348" spans="2:2" ht="15.95" customHeight="1">
      <c r="B2348" s="37"/>
    </row>
    <row r="2349" spans="2:2" ht="15.95" customHeight="1">
      <c r="B2349" s="37"/>
    </row>
    <row r="2350" spans="2:2" ht="15.95" customHeight="1">
      <c r="B2350" s="37"/>
    </row>
    <row r="2351" spans="2:2" ht="15.95" customHeight="1">
      <c r="B2351" s="37"/>
    </row>
    <row r="2352" spans="2:2" ht="15.95" customHeight="1">
      <c r="B2352" s="37"/>
    </row>
    <row r="2353" spans="2:2" ht="15.95" customHeight="1">
      <c r="B2353" s="37"/>
    </row>
    <row r="2354" spans="2:2" ht="15.95" customHeight="1">
      <c r="B2354" s="37"/>
    </row>
    <row r="2355" spans="2:2" ht="15.95" customHeight="1">
      <c r="B2355" s="37"/>
    </row>
    <row r="2356" spans="2:2" ht="15.95" customHeight="1">
      <c r="B2356" s="37"/>
    </row>
    <row r="2357" spans="2:2" ht="15.95" customHeight="1">
      <c r="B2357" s="37"/>
    </row>
    <row r="2358" spans="2:2" ht="15.95" customHeight="1">
      <c r="B2358" s="37"/>
    </row>
    <row r="2359" spans="2:2" ht="15.95" customHeight="1">
      <c r="B2359" s="37"/>
    </row>
    <row r="2360" spans="2:2" ht="15.95" customHeight="1">
      <c r="B2360" s="37"/>
    </row>
    <row r="2361" spans="2:2" ht="15.95" customHeight="1">
      <c r="B2361" s="37"/>
    </row>
    <row r="2362" spans="2:2" ht="15.95" customHeight="1">
      <c r="B2362" s="37"/>
    </row>
    <row r="2363" spans="2:2" ht="15.95" customHeight="1">
      <c r="B2363" s="37"/>
    </row>
    <row r="2364" spans="2:2" ht="15.95" customHeight="1">
      <c r="B2364" s="37"/>
    </row>
    <row r="2365" spans="2:2" ht="15.95" customHeight="1">
      <c r="B2365" s="37"/>
    </row>
    <row r="2366" spans="2:2" ht="15.95" customHeight="1">
      <c r="B2366" s="37"/>
    </row>
    <row r="2367" spans="2:2" ht="15.95" customHeight="1">
      <c r="B2367" s="37"/>
    </row>
    <row r="2368" spans="2:2" ht="15.95" customHeight="1">
      <c r="B2368" s="37"/>
    </row>
    <row r="2369" spans="2:2" ht="15.95" customHeight="1">
      <c r="B2369" s="37"/>
    </row>
    <row r="2370" spans="2:2" ht="15.95" customHeight="1">
      <c r="B2370" s="37"/>
    </row>
    <row r="2371" spans="2:2" ht="15.95" customHeight="1">
      <c r="B2371" s="37"/>
    </row>
    <row r="2372" spans="2:2" ht="15.95" customHeight="1">
      <c r="B2372" s="37"/>
    </row>
    <row r="2373" spans="2:2" ht="15.95" customHeight="1">
      <c r="B2373" s="37"/>
    </row>
    <row r="2374" spans="2:2" ht="15.95" customHeight="1">
      <c r="B2374" s="37"/>
    </row>
    <row r="2375" spans="2:2" ht="15.95" customHeight="1">
      <c r="B2375" s="37"/>
    </row>
    <row r="2376" spans="2:2" ht="15.95" customHeight="1">
      <c r="B2376" s="37"/>
    </row>
    <row r="2377" spans="2:2" ht="15.95" customHeight="1">
      <c r="B2377" s="37"/>
    </row>
    <row r="2378" spans="2:2" ht="15.95" customHeight="1">
      <c r="B2378" s="37"/>
    </row>
    <row r="2379" spans="2:2" ht="15.95" customHeight="1">
      <c r="B2379" s="37"/>
    </row>
    <row r="2380" spans="2:2" ht="15.95" customHeight="1">
      <c r="B2380" s="37"/>
    </row>
    <row r="2381" spans="2:2" ht="15.95" customHeight="1">
      <c r="B2381" s="37"/>
    </row>
    <row r="2382" spans="2:2" ht="15.95" customHeight="1">
      <c r="B2382" s="37"/>
    </row>
    <row r="2383" spans="2:2" ht="15.95" customHeight="1">
      <c r="B2383" s="37"/>
    </row>
    <row r="2384" spans="2:2" ht="15.95" customHeight="1">
      <c r="B2384" s="37"/>
    </row>
    <row r="2385" spans="2:2" ht="15.95" customHeight="1">
      <c r="B2385" s="37"/>
    </row>
    <row r="2386" spans="2:2" ht="15.95" customHeight="1">
      <c r="B2386" s="37"/>
    </row>
    <row r="2387" spans="2:2" ht="15.95" customHeight="1">
      <c r="B2387" s="37"/>
    </row>
    <row r="2388" spans="2:2" ht="15.95" customHeight="1">
      <c r="B2388" s="37"/>
    </row>
    <row r="2389" spans="2:2" ht="15.95" customHeight="1">
      <c r="B2389" s="37"/>
    </row>
    <row r="2390" spans="2:2" ht="15.95" customHeight="1">
      <c r="B2390" s="37"/>
    </row>
    <row r="2391" spans="2:2" ht="15.95" customHeight="1">
      <c r="B2391" s="37"/>
    </row>
    <row r="2392" spans="2:2" ht="15.95" customHeight="1">
      <c r="B2392" s="37"/>
    </row>
    <row r="2393" spans="2:2" ht="15.95" customHeight="1">
      <c r="B2393" s="37"/>
    </row>
    <row r="2394" spans="2:2" ht="15.95" customHeight="1">
      <c r="B2394" s="37"/>
    </row>
    <row r="2395" spans="2:2" ht="15.95" customHeight="1">
      <c r="B2395" s="37"/>
    </row>
    <row r="2396" spans="2:2" ht="15.95" customHeight="1">
      <c r="B2396" s="37"/>
    </row>
    <row r="2397" spans="2:2" ht="15.95" customHeight="1">
      <c r="B2397" s="37"/>
    </row>
    <row r="2398" spans="2:2" ht="15.95" customHeight="1">
      <c r="B2398" s="37"/>
    </row>
    <row r="2399" spans="2:2" ht="15.95" customHeight="1">
      <c r="B2399" s="37"/>
    </row>
    <row r="2400" spans="2:2" ht="15.95" customHeight="1">
      <c r="B2400" s="37"/>
    </row>
    <row r="2401" spans="2:2" ht="15.95" customHeight="1">
      <c r="B2401" s="37"/>
    </row>
    <row r="2402" spans="2:2" ht="15.95" customHeight="1">
      <c r="B2402" s="37"/>
    </row>
    <row r="2403" spans="2:2" ht="15.95" customHeight="1">
      <c r="B2403" s="37"/>
    </row>
    <row r="2404" spans="2:2" ht="15.95" customHeight="1">
      <c r="B2404" s="37"/>
    </row>
    <row r="2405" spans="2:2" ht="15.95" customHeight="1">
      <c r="B2405" s="37"/>
    </row>
    <row r="2406" spans="2:2" ht="15.95" customHeight="1">
      <c r="B2406" s="37"/>
    </row>
    <row r="2407" spans="2:2" ht="15.95" customHeight="1">
      <c r="B2407" s="37"/>
    </row>
    <row r="2408" spans="2:2" ht="15.95" customHeight="1">
      <c r="B2408" s="37"/>
    </row>
    <row r="2409" spans="2:2" ht="15.95" customHeight="1">
      <c r="B2409" s="37"/>
    </row>
    <row r="2410" spans="2:2" ht="15.95" customHeight="1">
      <c r="B2410" s="37"/>
    </row>
    <row r="2411" spans="2:2" ht="15.95" customHeight="1">
      <c r="B2411" s="37"/>
    </row>
    <row r="2412" spans="2:2" ht="15.95" customHeight="1">
      <c r="B2412" s="37"/>
    </row>
    <row r="2413" spans="2:2" ht="15.95" customHeight="1">
      <c r="B2413" s="37"/>
    </row>
    <row r="2414" spans="2:2" ht="15.95" customHeight="1">
      <c r="B2414" s="37"/>
    </row>
    <row r="2415" spans="2:2" ht="15.95" customHeight="1">
      <c r="B2415" s="37"/>
    </row>
    <row r="2416" spans="2:2" ht="15.95" customHeight="1">
      <c r="B2416" s="37"/>
    </row>
    <row r="2417" spans="2:2" ht="15.95" customHeight="1">
      <c r="B2417" s="37"/>
    </row>
    <row r="2418" spans="2:2" ht="15.95" customHeight="1">
      <c r="B2418" s="37"/>
    </row>
    <row r="2419" spans="2:2" ht="15.95" customHeight="1">
      <c r="B2419" s="37"/>
    </row>
    <row r="2420" spans="2:2" ht="15.95" customHeight="1">
      <c r="B2420" s="37"/>
    </row>
    <row r="2421" spans="2:2" ht="15.95" customHeight="1">
      <c r="B2421" s="37"/>
    </row>
    <row r="2422" spans="2:2" ht="15.95" customHeight="1">
      <c r="B2422" s="37"/>
    </row>
    <row r="2423" spans="2:2" ht="15.95" customHeight="1">
      <c r="B2423" s="37"/>
    </row>
    <row r="2424" spans="2:2" ht="15.95" customHeight="1">
      <c r="B2424" s="37"/>
    </row>
    <row r="2425" spans="2:2" ht="15.95" customHeight="1">
      <c r="B2425" s="37"/>
    </row>
    <row r="2426" spans="2:2" ht="15.95" customHeight="1">
      <c r="B2426" s="37"/>
    </row>
    <row r="2427" spans="2:2" ht="15.95" customHeight="1">
      <c r="B2427" s="37"/>
    </row>
    <row r="2428" spans="2:2" ht="15.95" customHeight="1">
      <c r="B2428" s="37"/>
    </row>
    <row r="2429" spans="2:2" ht="15.95" customHeight="1">
      <c r="B2429" s="37"/>
    </row>
    <row r="2430" spans="2:2" ht="15.95" customHeight="1">
      <c r="B2430" s="37"/>
    </row>
    <row r="2431" spans="2:2" ht="15.95" customHeight="1">
      <c r="B2431" s="37"/>
    </row>
    <row r="2432" spans="2:2" ht="15.95" customHeight="1">
      <c r="B2432" s="37"/>
    </row>
    <row r="2433" spans="2:2" ht="15.95" customHeight="1">
      <c r="B2433" s="37"/>
    </row>
    <row r="2434" spans="2:2" ht="15.95" customHeight="1">
      <c r="B2434" s="37"/>
    </row>
    <row r="2435" spans="2:2" ht="15.95" customHeight="1">
      <c r="B2435" s="37"/>
    </row>
    <row r="2436" spans="2:2" ht="15.95" customHeight="1">
      <c r="B2436" s="37"/>
    </row>
    <row r="2437" spans="2:2" ht="15.95" customHeight="1">
      <c r="B2437" s="37"/>
    </row>
    <row r="2438" spans="2:2" ht="15.95" customHeight="1">
      <c r="B2438" s="37"/>
    </row>
    <row r="2439" spans="2:2" ht="15.95" customHeight="1">
      <c r="B2439" s="37"/>
    </row>
    <row r="2440" spans="2:2" ht="15.95" customHeight="1">
      <c r="B2440" s="37"/>
    </row>
    <row r="2441" spans="2:2" ht="15.95" customHeight="1">
      <c r="B2441" s="37"/>
    </row>
    <row r="2442" spans="2:2" ht="15.95" customHeight="1">
      <c r="B2442" s="37"/>
    </row>
    <row r="2443" spans="2:2" ht="15.95" customHeight="1">
      <c r="B2443" s="37"/>
    </row>
    <row r="2444" spans="2:2" ht="15.95" customHeight="1">
      <c r="B2444" s="37"/>
    </row>
    <row r="2445" spans="2:2" ht="15.95" customHeight="1">
      <c r="B2445" s="37"/>
    </row>
    <row r="2446" spans="2:2" ht="15.95" customHeight="1">
      <c r="B2446" s="37"/>
    </row>
    <row r="2447" spans="2:2" ht="15.95" customHeight="1">
      <c r="B2447" s="37"/>
    </row>
    <row r="2448" spans="2:2" ht="15.95" customHeight="1">
      <c r="B2448" s="37"/>
    </row>
    <row r="2449" spans="2:2" ht="15.95" customHeight="1">
      <c r="B2449" s="37"/>
    </row>
    <row r="2450" spans="2:2" ht="15.95" customHeight="1">
      <c r="B2450" s="37"/>
    </row>
    <row r="2451" spans="2:2" ht="15.95" customHeight="1">
      <c r="B2451" s="37"/>
    </row>
    <row r="2452" spans="2:2" ht="15.95" customHeight="1">
      <c r="B2452" s="37"/>
    </row>
    <row r="2453" spans="2:2" ht="15.95" customHeight="1">
      <c r="B2453" s="37"/>
    </row>
    <row r="2454" spans="2:2" ht="15.95" customHeight="1">
      <c r="B2454" s="37"/>
    </row>
    <row r="2455" spans="2:2" ht="15.95" customHeight="1">
      <c r="B2455" s="37"/>
    </row>
    <row r="2456" spans="2:2" ht="15.95" customHeight="1">
      <c r="B2456" s="37"/>
    </row>
    <row r="2457" spans="2:2" ht="15.95" customHeight="1">
      <c r="B2457" s="37"/>
    </row>
    <row r="2458" spans="2:2" ht="15.95" customHeight="1">
      <c r="B2458" s="37"/>
    </row>
    <row r="2459" spans="2:2" ht="15.95" customHeight="1">
      <c r="B2459" s="37"/>
    </row>
    <row r="2460" spans="2:2" ht="15.95" customHeight="1">
      <c r="B2460" s="37"/>
    </row>
    <row r="2461" spans="2:2" ht="15.95" customHeight="1">
      <c r="B2461" s="37"/>
    </row>
    <row r="2462" spans="2:2" ht="15.95" customHeight="1">
      <c r="B2462" s="37"/>
    </row>
    <row r="2463" spans="2:2" ht="15.95" customHeight="1">
      <c r="B2463" s="37"/>
    </row>
    <row r="2464" spans="2:2" ht="15.95" customHeight="1">
      <c r="B2464" s="37"/>
    </row>
    <row r="2465" spans="2:2" ht="15.95" customHeight="1">
      <c r="B2465" s="37"/>
    </row>
    <row r="2466" spans="2:2" ht="15.95" customHeight="1">
      <c r="B2466" s="37"/>
    </row>
    <row r="2467" spans="2:2" ht="15.95" customHeight="1">
      <c r="B2467" s="37"/>
    </row>
    <row r="2468" spans="2:2" ht="15.95" customHeight="1">
      <c r="B2468" s="37"/>
    </row>
    <row r="2469" spans="2:2" ht="15.95" customHeight="1">
      <c r="B2469" s="37"/>
    </row>
    <row r="2470" spans="2:2" ht="15.95" customHeight="1">
      <c r="B2470" s="37"/>
    </row>
    <row r="2471" spans="2:2" ht="15.95" customHeight="1">
      <c r="B2471" s="37"/>
    </row>
    <row r="2472" spans="2:2" ht="15.95" customHeight="1">
      <c r="B2472" s="37"/>
    </row>
    <row r="2473" spans="2:2" ht="15.95" customHeight="1">
      <c r="B2473" s="37"/>
    </row>
    <row r="2474" spans="2:2" ht="15.95" customHeight="1">
      <c r="B2474" s="37"/>
    </row>
    <row r="2475" spans="2:2" ht="15.95" customHeight="1">
      <c r="B2475" s="37"/>
    </row>
    <row r="2476" spans="2:2" ht="15.95" customHeight="1">
      <c r="B2476" s="37"/>
    </row>
    <row r="2477" spans="2:2" ht="15.95" customHeight="1">
      <c r="B2477" s="37"/>
    </row>
    <row r="2478" spans="2:2" ht="15.95" customHeight="1">
      <c r="B2478" s="37"/>
    </row>
    <row r="2479" spans="2:2" ht="15.95" customHeight="1">
      <c r="B2479" s="37"/>
    </row>
    <row r="2480" spans="2:2" ht="15.95" customHeight="1">
      <c r="B2480" s="37"/>
    </row>
    <row r="2481" spans="2:2" ht="15.95" customHeight="1">
      <c r="B2481" s="37"/>
    </row>
    <row r="2482" spans="2:2" ht="15.95" customHeight="1">
      <c r="B2482" s="37"/>
    </row>
    <row r="2483" spans="2:2" ht="15.95" customHeight="1">
      <c r="B2483" s="37"/>
    </row>
    <row r="2484" spans="2:2" ht="15.95" customHeight="1">
      <c r="B2484" s="37"/>
    </row>
    <row r="2485" spans="2:2" ht="15.95" customHeight="1">
      <c r="B2485" s="37"/>
    </row>
    <row r="2486" spans="2:2" ht="15.95" customHeight="1">
      <c r="B2486" s="37"/>
    </row>
    <row r="2487" spans="2:2" ht="15.95" customHeight="1">
      <c r="B2487" s="37"/>
    </row>
    <row r="2488" spans="2:2" ht="15.95" customHeight="1">
      <c r="B2488" s="37"/>
    </row>
    <row r="2489" spans="2:2" ht="15.95" customHeight="1">
      <c r="B2489" s="37"/>
    </row>
    <row r="2490" spans="2:2" ht="15.95" customHeight="1">
      <c r="B2490" s="37"/>
    </row>
    <row r="2491" spans="2:2" ht="15.95" customHeight="1">
      <c r="B2491" s="37"/>
    </row>
    <row r="2492" spans="2:2" ht="15.95" customHeight="1">
      <c r="B2492" s="37"/>
    </row>
    <row r="2493" spans="2:2" ht="15.95" customHeight="1">
      <c r="B2493" s="37"/>
    </row>
    <row r="2494" spans="2:2" ht="15.95" customHeight="1">
      <c r="B2494" s="37"/>
    </row>
    <row r="2495" spans="2:2" ht="15.95" customHeight="1">
      <c r="B2495" s="37"/>
    </row>
    <row r="2496" spans="2:2" ht="15.95" customHeight="1">
      <c r="B2496" s="37"/>
    </row>
    <row r="2497" spans="2:2" ht="15.95" customHeight="1">
      <c r="B2497" s="37"/>
    </row>
    <row r="2498" spans="2:2" ht="15.95" customHeight="1">
      <c r="B2498" s="37"/>
    </row>
    <row r="2499" spans="2:2" ht="15.95" customHeight="1">
      <c r="B2499" s="37"/>
    </row>
    <row r="2500" spans="2:2" ht="15.95" customHeight="1">
      <c r="B2500" s="37"/>
    </row>
    <row r="2501" spans="2:2" ht="15.95" customHeight="1">
      <c r="B2501" s="37"/>
    </row>
    <row r="2502" spans="2:2" ht="15.95" customHeight="1">
      <c r="B2502" s="37"/>
    </row>
    <row r="2503" spans="2:2" ht="15.95" customHeight="1">
      <c r="B2503" s="37"/>
    </row>
    <row r="2504" spans="2:2" ht="15.95" customHeight="1">
      <c r="B2504" s="37"/>
    </row>
    <row r="2505" spans="2:2" ht="15.95" customHeight="1">
      <c r="B2505" s="37"/>
    </row>
    <row r="2506" spans="2:2" ht="15.95" customHeight="1">
      <c r="B2506" s="37"/>
    </row>
    <row r="2507" spans="2:2" ht="15.95" customHeight="1">
      <c r="B2507" s="37"/>
    </row>
    <row r="2508" spans="2:2" ht="15.95" customHeight="1">
      <c r="B2508" s="37"/>
    </row>
    <row r="2509" spans="2:2" ht="15.95" customHeight="1">
      <c r="B2509" s="37"/>
    </row>
    <row r="2510" spans="2:2" ht="15.95" customHeight="1">
      <c r="B2510" s="37"/>
    </row>
    <row r="2511" spans="2:2" ht="15.95" customHeight="1">
      <c r="B2511" s="37"/>
    </row>
    <row r="2512" spans="2:2" ht="15.95" customHeight="1">
      <c r="B2512" s="37"/>
    </row>
    <row r="2513" spans="2:2" ht="15.95" customHeight="1">
      <c r="B2513" s="37"/>
    </row>
    <row r="2514" spans="2:2" ht="15.95" customHeight="1">
      <c r="B2514" s="37"/>
    </row>
    <row r="2515" spans="2:2" ht="15.95" customHeight="1">
      <c r="B2515" s="37"/>
    </row>
    <row r="2516" spans="2:2" ht="15.95" customHeight="1">
      <c r="B2516" s="37"/>
    </row>
    <row r="2517" spans="2:2" ht="15.95" customHeight="1">
      <c r="B2517" s="37"/>
    </row>
    <row r="2518" spans="2:2" ht="15.95" customHeight="1">
      <c r="B2518" s="37"/>
    </row>
    <row r="2519" spans="2:2" ht="15.95" customHeight="1">
      <c r="B2519" s="37"/>
    </row>
    <row r="2520" spans="2:2" ht="15.95" customHeight="1">
      <c r="B2520" s="37"/>
    </row>
    <row r="2521" spans="2:2" ht="15.95" customHeight="1">
      <c r="B2521" s="37"/>
    </row>
    <row r="2522" spans="2:2" ht="15.95" customHeight="1">
      <c r="B2522" s="37"/>
    </row>
    <row r="2523" spans="2:2" ht="15.95" customHeight="1">
      <c r="B2523" s="37"/>
    </row>
    <row r="2524" spans="2:2" ht="15.95" customHeight="1">
      <c r="B2524" s="37"/>
    </row>
    <row r="2525" spans="2:2" ht="15.95" customHeight="1">
      <c r="B2525" s="37"/>
    </row>
    <row r="2526" spans="2:2" ht="15.95" customHeight="1">
      <c r="B2526" s="37"/>
    </row>
    <row r="2527" spans="2:2" ht="15.95" customHeight="1">
      <c r="B2527" s="37"/>
    </row>
    <row r="2528" spans="2:2" ht="15.95" customHeight="1">
      <c r="B2528" s="37"/>
    </row>
    <row r="2529" spans="2:2" ht="15.95" customHeight="1">
      <c r="B2529" s="37"/>
    </row>
    <row r="2530" spans="2:2" ht="15.95" customHeight="1">
      <c r="B2530" s="37"/>
    </row>
    <row r="2531" spans="2:2" ht="15.95" customHeight="1">
      <c r="B2531" s="37"/>
    </row>
    <row r="2532" spans="2:2" ht="15.95" customHeight="1">
      <c r="B2532" s="37"/>
    </row>
    <row r="2533" spans="2:2" ht="15.95" customHeight="1">
      <c r="B2533" s="37"/>
    </row>
    <row r="2534" spans="2:2" ht="15.95" customHeight="1">
      <c r="B2534" s="37"/>
    </row>
    <row r="2535" spans="2:2" ht="15.95" customHeight="1">
      <c r="B2535" s="37"/>
    </row>
    <row r="2536" spans="2:2" ht="15.95" customHeight="1">
      <c r="B2536" s="37"/>
    </row>
    <row r="2537" spans="2:2" ht="15.95" customHeight="1">
      <c r="B2537" s="37"/>
    </row>
    <row r="2538" spans="2:2" ht="15.95" customHeight="1">
      <c r="B2538" s="37"/>
    </row>
    <row r="2539" spans="2:2" ht="15.95" customHeight="1">
      <c r="B2539" s="37"/>
    </row>
    <row r="2540" spans="2:2" ht="15.95" customHeight="1">
      <c r="B2540" s="37"/>
    </row>
    <row r="2541" spans="2:2" ht="15.95" customHeight="1">
      <c r="B2541" s="37"/>
    </row>
    <row r="2542" spans="2:2" ht="15.95" customHeight="1">
      <c r="B2542" s="37"/>
    </row>
    <row r="2543" spans="2:2" ht="15.95" customHeight="1">
      <c r="B2543" s="37"/>
    </row>
    <row r="2544" spans="2:2" ht="15.95" customHeight="1">
      <c r="B2544" s="37"/>
    </row>
    <row r="2545" spans="2:2" ht="15.95" customHeight="1">
      <c r="B2545" s="37"/>
    </row>
    <row r="2546" spans="2:2" ht="15.95" customHeight="1">
      <c r="B2546" s="37"/>
    </row>
    <row r="2547" spans="2:2" ht="15.95" customHeight="1">
      <c r="B2547" s="37"/>
    </row>
    <row r="2548" spans="2:2" ht="15.95" customHeight="1">
      <c r="B2548" s="37"/>
    </row>
    <row r="2549" spans="2:2" ht="15.95" customHeight="1">
      <c r="B2549" s="37"/>
    </row>
    <row r="2550" spans="2:2" ht="15.95" customHeight="1">
      <c r="B2550" s="37"/>
    </row>
    <row r="2551" spans="2:2" ht="15.95" customHeight="1">
      <c r="B2551" s="37"/>
    </row>
    <row r="2552" spans="2:2" ht="15.95" customHeight="1">
      <c r="B2552" s="37"/>
    </row>
    <row r="2553" spans="2:2" ht="15.95" customHeight="1">
      <c r="B2553" s="37"/>
    </row>
    <row r="2554" spans="2:2" ht="15.95" customHeight="1">
      <c r="B2554" s="37"/>
    </row>
    <row r="2555" spans="2:2" ht="15.95" customHeight="1">
      <c r="B2555" s="37"/>
    </row>
    <row r="2556" spans="2:2" ht="15.95" customHeight="1">
      <c r="B2556" s="37"/>
    </row>
    <row r="2557" spans="2:2" ht="15.95" customHeight="1">
      <c r="B2557" s="37"/>
    </row>
    <row r="2558" spans="2:2" ht="15.95" customHeight="1">
      <c r="B2558" s="37"/>
    </row>
    <row r="2559" spans="2:2" ht="15.95" customHeight="1">
      <c r="B2559" s="37"/>
    </row>
    <row r="2560" spans="2:2" ht="15.95" customHeight="1">
      <c r="B2560" s="37"/>
    </row>
    <row r="2561" spans="2:2" ht="15.95" customHeight="1">
      <c r="B2561" s="37"/>
    </row>
    <row r="2562" spans="2:2" ht="15.95" customHeight="1">
      <c r="B2562" s="37"/>
    </row>
    <row r="2563" spans="2:2" ht="15.95" customHeight="1">
      <c r="B2563" s="37"/>
    </row>
    <row r="2564" spans="2:2" ht="15.95" customHeight="1">
      <c r="B2564" s="37"/>
    </row>
    <row r="2565" spans="2:2" ht="15.95" customHeight="1">
      <c r="B2565" s="37"/>
    </row>
    <row r="2566" spans="2:2" ht="15.95" customHeight="1">
      <c r="B2566" s="37"/>
    </row>
    <row r="2567" spans="2:2" ht="15.95" customHeight="1">
      <c r="B2567" s="37"/>
    </row>
    <row r="2568" spans="2:2" ht="15.95" customHeight="1">
      <c r="B2568" s="37"/>
    </row>
    <row r="2569" spans="2:2" ht="15.95" customHeight="1">
      <c r="B2569" s="37"/>
    </row>
    <row r="2570" spans="2:2" ht="15.95" customHeight="1">
      <c r="B2570" s="37"/>
    </row>
    <row r="2571" spans="2:2" ht="15.95" customHeight="1">
      <c r="B2571" s="37"/>
    </row>
    <row r="2572" spans="2:2" ht="15.95" customHeight="1">
      <c r="B2572" s="37"/>
    </row>
    <row r="2573" spans="2:2" ht="15.95" customHeight="1">
      <c r="B2573" s="37"/>
    </row>
    <row r="2574" spans="2:2" ht="15.95" customHeight="1">
      <c r="B2574" s="37"/>
    </row>
    <row r="2575" spans="2:2" ht="15.95" customHeight="1">
      <c r="B2575" s="37"/>
    </row>
    <row r="2576" spans="2:2" ht="15.95" customHeight="1">
      <c r="B2576" s="37"/>
    </row>
    <row r="2577" spans="2:2" ht="15.95" customHeight="1">
      <c r="B2577" s="37"/>
    </row>
    <row r="2578" spans="2:2" ht="15.95" customHeight="1">
      <c r="B2578" s="37"/>
    </row>
    <row r="2579" spans="2:2" ht="15.95" customHeight="1">
      <c r="B2579" s="37"/>
    </row>
    <row r="2580" spans="2:2" ht="15.95" customHeight="1">
      <c r="B2580" s="37"/>
    </row>
    <row r="2581" spans="2:2" ht="15.95" customHeight="1">
      <c r="B2581" s="37"/>
    </row>
    <row r="2582" spans="2:2" ht="15.95" customHeight="1">
      <c r="B2582" s="37"/>
    </row>
    <row r="2583" spans="2:2" ht="15.95" customHeight="1">
      <c r="B2583" s="37"/>
    </row>
    <row r="2584" spans="2:2" ht="15.95" customHeight="1">
      <c r="B2584" s="37"/>
    </row>
    <row r="2585" spans="2:2" ht="15.95" customHeight="1">
      <c r="B2585" s="37"/>
    </row>
    <row r="2586" spans="2:2" ht="15.95" customHeight="1">
      <c r="B2586" s="37"/>
    </row>
    <row r="2587" spans="2:2" ht="15.95" customHeight="1">
      <c r="B2587" s="37"/>
    </row>
    <row r="2588" spans="2:2" ht="15.95" customHeight="1">
      <c r="B2588" s="37"/>
    </row>
    <row r="2589" spans="2:2" ht="15.95" customHeight="1">
      <c r="B2589" s="37"/>
    </row>
    <row r="2590" spans="2:2" ht="15.95" customHeight="1">
      <c r="B2590" s="37"/>
    </row>
    <row r="2591" spans="2:2" ht="15.95" customHeight="1">
      <c r="B2591" s="37"/>
    </row>
    <row r="2592" spans="2:2" ht="15.95" customHeight="1">
      <c r="B2592" s="37"/>
    </row>
    <row r="2593" spans="2:2" ht="15.95" customHeight="1">
      <c r="B2593" s="37"/>
    </row>
    <row r="2594" spans="2:2" ht="15.95" customHeight="1">
      <c r="B2594" s="37"/>
    </row>
    <row r="2595" spans="2:2" ht="15.95" customHeight="1">
      <c r="B2595" s="37"/>
    </row>
    <row r="2596" spans="2:2" ht="15.95" customHeight="1">
      <c r="B2596" s="37"/>
    </row>
    <row r="2597" spans="2:2" ht="15.95" customHeight="1">
      <c r="B2597" s="37"/>
    </row>
    <row r="2598" spans="2:2" ht="15.95" customHeight="1">
      <c r="B2598" s="37"/>
    </row>
    <row r="2599" spans="2:2" ht="15.95" customHeight="1">
      <c r="B2599" s="37"/>
    </row>
    <row r="2600" spans="2:2" ht="15.95" customHeight="1">
      <c r="B2600" s="37"/>
    </row>
    <row r="2601" spans="2:2" ht="15.95" customHeight="1">
      <c r="B2601" s="37"/>
    </row>
    <row r="2602" spans="2:2" ht="15.95" customHeight="1">
      <c r="B2602" s="37"/>
    </row>
    <row r="2603" spans="2:2" ht="15.95" customHeight="1">
      <c r="B2603" s="37"/>
    </row>
    <row r="2604" spans="2:2" ht="15.95" customHeight="1">
      <c r="B2604" s="37"/>
    </row>
    <row r="2605" spans="2:2" ht="15.95" customHeight="1">
      <c r="B2605" s="37"/>
    </row>
    <row r="2606" spans="2:2" ht="15.95" customHeight="1">
      <c r="B2606" s="37"/>
    </row>
    <row r="2607" spans="2:2" ht="15.95" customHeight="1">
      <c r="B2607" s="37"/>
    </row>
    <row r="2608" spans="2:2" ht="15.95" customHeight="1">
      <c r="B2608" s="37"/>
    </row>
    <row r="2609" spans="2:2" ht="15.95" customHeight="1">
      <c r="B2609" s="37"/>
    </row>
    <row r="2610" spans="2:2" ht="15.95" customHeight="1">
      <c r="B2610" s="37"/>
    </row>
    <row r="2611" spans="2:2" ht="15.95" customHeight="1">
      <c r="B2611" s="37"/>
    </row>
    <row r="2612" spans="2:2" ht="15.95" customHeight="1">
      <c r="B2612" s="37"/>
    </row>
    <row r="2613" spans="2:2" ht="15.95" customHeight="1">
      <c r="B2613" s="37"/>
    </row>
    <row r="2614" spans="2:2" ht="15.95" customHeight="1">
      <c r="B2614" s="37"/>
    </row>
    <row r="2615" spans="2:2" ht="15.95" customHeight="1">
      <c r="B2615" s="37"/>
    </row>
    <row r="2616" spans="2:2" ht="15.95" customHeight="1">
      <c r="B2616" s="37"/>
    </row>
    <row r="2617" spans="2:2" ht="15.95" customHeight="1">
      <c r="B2617" s="37"/>
    </row>
    <row r="2618" spans="2:2" ht="15.95" customHeight="1">
      <c r="B2618" s="37"/>
    </row>
    <row r="2619" spans="2:2" ht="15.95" customHeight="1">
      <c r="B2619" s="37"/>
    </row>
    <row r="2620" spans="2:2" ht="15.95" customHeight="1">
      <c r="B2620" s="37"/>
    </row>
    <row r="2621" spans="2:2" ht="15.95" customHeight="1">
      <c r="B2621" s="37"/>
    </row>
    <row r="2622" spans="2:2" ht="15.95" customHeight="1">
      <c r="B2622" s="37"/>
    </row>
    <row r="2623" spans="2:2" ht="15.95" customHeight="1">
      <c r="B2623" s="37"/>
    </row>
    <row r="2624" spans="2:2" ht="15.95" customHeight="1">
      <c r="B2624" s="37"/>
    </row>
    <row r="2625" spans="2:2" ht="15.95" customHeight="1">
      <c r="B2625" s="37"/>
    </row>
    <row r="2626" spans="2:2" ht="15.95" customHeight="1">
      <c r="B2626" s="37"/>
    </row>
    <row r="2627" spans="2:2" ht="15.95" customHeight="1">
      <c r="B2627" s="37"/>
    </row>
    <row r="2628" spans="2:2" ht="15.95" customHeight="1">
      <c r="B2628" s="37"/>
    </row>
    <row r="2629" spans="2:2" ht="15.95" customHeight="1">
      <c r="B2629" s="37"/>
    </row>
    <row r="2630" spans="2:2" ht="15.95" customHeight="1">
      <c r="B2630" s="37"/>
    </row>
    <row r="2631" spans="2:2" ht="15.95" customHeight="1">
      <c r="B2631" s="37"/>
    </row>
    <row r="2632" spans="2:2" ht="15.95" customHeight="1">
      <c r="B2632" s="37"/>
    </row>
    <row r="2633" spans="2:2" ht="15.95" customHeight="1">
      <c r="B2633" s="37"/>
    </row>
    <row r="2634" spans="2:2" ht="15.95" customHeight="1">
      <c r="B2634" s="37"/>
    </row>
    <row r="2635" spans="2:2" ht="15.95" customHeight="1">
      <c r="B2635" s="37"/>
    </row>
    <row r="2636" spans="2:2" ht="15.95" customHeight="1">
      <c r="B2636" s="37"/>
    </row>
    <row r="2637" spans="2:2" ht="15.95" customHeight="1">
      <c r="B2637" s="37"/>
    </row>
    <row r="2638" spans="2:2" ht="15.95" customHeight="1">
      <c r="B2638" s="37"/>
    </row>
    <row r="2639" spans="2:2" ht="15.95" customHeight="1">
      <c r="B2639" s="37"/>
    </row>
    <row r="2640" spans="2:2" ht="15.95" customHeight="1">
      <c r="B2640" s="37"/>
    </row>
    <row r="2641" spans="2:2" ht="15.95" customHeight="1">
      <c r="B2641" s="37"/>
    </row>
    <row r="2642" spans="2:2" ht="15.95" customHeight="1">
      <c r="B2642" s="37"/>
    </row>
    <row r="2643" spans="2:2" ht="15.95" customHeight="1">
      <c r="B2643" s="37"/>
    </row>
    <row r="2644" spans="2:2" ht="15.95" customHeight="1">
      <c r="B2644" s="37"/>
    </row>
    <row r="2645" spans="2:2" ht="15.95" customHeight="1">
      <c r="B2645" s="37"/>
    </row>
    <row r="2646" spans="2:2" ht="15.95" customHeight="1">
      <c r="B2646" s="37"/>
    </row>
    <row r="2647" spans="2:2" ht="15.95" customHeight="1">
      <c r="B2647" s="37"/>
    </row>
    <row r="2648" spans="2:2" ht="15.95" customHeight="1">
      <c r="B2648" s="37"/>
    </row>
    <row r="2649" spans="2:2" ht="15.95" customHeight="1">
      <c r="B2649" s="37"/>
    </row>
    <row r="2650" spans="2:2" ht="15.95" customHeight="1">
      <c r="B2650" s="37"/>
    </row>
    <row r="2651" spans="2:2" ht="15.95" customHeight="1">
      <c r="B2651" s="37"/>
    </row>
    <row r="2652" spans="2:2" ht="15.95" customHeight="1">
      <c r="B2652" s="37"/>
    </row>
    <row r="2653" spans="2:2" ht="15.95" customHeight="1">
      <c r="B2653" s="37"/>
    </row>
    <row r="2654" spans="2:2" ht="15.95" customHeight="1">
      <c r="B2654" s="37"/>
    </row>
    <row r="2655" spans="2:2" ht="15.95" customHeight="1">
      <c r="B2655" s="37"/>
    </row>
    <row r="2656" spans="2:2" ht="15.95" customHeight="1">
      <c r="B2656" s="37"/>
    </row>
    <row r="2657" spans="2:2" ht="15.95" customHeight="1">
      <c r="B2657" s="37"/>
    </row>
    <row r="2658" spans="2:2" ht="15.95" customHeight="1">
      <c r="B2658" s="37"/>
    </row>
    <row r="2659" spans="2:2" ht="15.95" customHeight="1">
      <c r="B2659" s="37"/>
    </row>
    <row r="2660" spans="2:2" ht="15.95" customHeight="1">
      <c r="B2660" s="37"/>
    </row>
    <row r="2661" spans="2:2" ht="15.95" customHeight="1">
      <c r="B2661" s="37"/>
    </row>
    <row r="2662" spans="2:2" ht="15.95" customHeight="1">
      <c r="B2662" s="37"/>
    </row>
    <row r="2663" spans="2:2" ht="15.95" customHeight="1">
      <c r="B2663" s="37"/>
    </row>
    <row r="2664" spans="2:2" ht="15.95" customHeight="1">
      <c r="B2664" s="37"/>
    </row>
    <row r="2665" spans="2:2" ht="15.95" customHeight="1">
      <c r="B2665" s="37"/>
    </row>
    <row r="2666" spans="2:2" ht="15.95" customHeight="1">
      <c r="B2666" s="37"/>
    </row>
    <row r="2667" spans="2:2" ht="15.95" customHeight="1">
      <c r="B2667" s="37"/>
    </row>
    <row r="2668" spans="2:2" ht="15.95" customHeight="1">
      <c r="B2668" s="37"/>
    </row>
    <row r="2669" spans="2:2" ht="15.95" customHeight="1">
      <c r="B2669" s="37"/>
    </row>
    <row r="2670" spans="2:2" ht="15.95" customHeight="1">
      <c r="B2670" s="37"/>
    </row>
    <row r="2671" spans="2:2" ht="15.95" customHeight="1">
      <c r="B2671" s="37"/>
    </row>
    <row r="2672" spans="2:2" ht="15.95" customHeight="1">
      <c r="B2672" s="37"/>
    </row>
    <row r="2673" spans="2:2" ht="15.95" customHeight="1">
      <c r="B2673" s="37"/>
    </row>
    <row r="2674" spans="2:2" ht="15.95" customHeight="1">
      <c r="B2674" s="37"/>
    </row>
    <row r="2675" spans="2:2" ht="15.95" customHeight="1">
      <c r="B2675" s="37"/>
    </row>
    <row r="2676" spans="2:2" ht="15.95" customHeight="1">
      <c r="B2676" s="37"/>
    </row>
    <row r="2677" spans="2:2" ht="15.95" customHeight="1">
      <c r="B2677" s="37"/>
    </row>
    <row r="2678" spans="2:2" ht="15.95" customHeight="1">
      <c r="B2678" s="37"/>
    </row>
    <row r="2679" spans="2:2" ht="15.95" customHeight="1">
      <c r="B2679" s="37"/>
    </row>
    <row r="2680" spans="2:2" ht="15.95" customHeight="1">
      <c r="B2680" s="37"/>
    </row>
    <row r="2681" spans="2:2" ht="15.95" customHeight="1">
      <c r="B2681" s="37"/>
    </row>
    <row r="2682" spans="2:2" ht="15.95" customHeight="1">
      <c r="B2682" s="37"/>
    </row>
    <row r="2683" spans="2:2" ht="15.95" customHeight="1">
      <c r="B2683" s="37"/>
    </row>
    <row r="2684" spans="2:2" ht="15.95" customHeight="1">
      <c r="B2684" s="37"/>
    </row>
    <row r="2685" spans="2:2" ht="15.95" customHeight="1">
      <c r="B2685" s="37"/>
    </row>
    <row r="2686" spans="2:2" ht="15.95" customHeight="1">
      <c r="B2686" s="37"/>
    </row>
    <row r="2687" spans="2:2" ht="15.95" customHeight="1">
      <c r="B2687" s="37"/>
    </row>
    <row r="2688" spans="2:2" ht="15.95" customHeight="1">
      <c r="B2688" s="37"/>
    </row>
    <row r="2689" spans="2:2" ht="15.95" customHeight="1">
      <c r="B2689" s="37"/>
    </row>
    <row r="2690" spans="2:2" ht="15.95" customHeight="1">
      <c r="B2690" s="37"/>
    </row>
    <row r="2691" spans="2:2" ht="15.95" customHeight="1">
      <c r="B2691" s="37"/>
    </row>
    <row r="2692" spans="2:2" ht="15.95" customHeight="1">
      <c r="B2692" s="37"/>
    </row>
    <row r="2693" spans="2:2" ht="15.95" customHeight="1">
      <c r="B2693" s="37"/>
    </row>
    <row r="2694" spans="2:2" ht="15.95" customHeight="1">
      <c r="B2694" s="37"/>
    </row>
    <row r="2695" spans="2:2" ht="15.95" customHeight="1">
      <c r="B2695" s="37"/>
    </row>
    <row r="2696" spans="2:2" ht="15.95" customHeight="1">
      <c r="B2696" s="37"/>
    </row>
    <row r="2697" spans="2:2" ht="15.95" customHeight="1">
      <c r="B2697" s="37"/>
    </row>
    <row r="2698" spans="2:2" ht="15.95" customHeight="1">
      <c r="B2698" s="37"/>
    </row>
    <row r="2699" spans="2:2" ht="15.95" customHeight="1">
      <c r="B2699" s="37"/>
    </row>
    <row r="2700" spans="2:2" ht="15.95" customHeight="1">
      <c r="B2700" s="37"/>
    </row>
    <row r="2701" spans="2:2" ht="15.95" customHeight="1">
      <c r="B2701" s="37"/>
    </row>
    <row r="2702" spans="2:2" ht="15.95" customHeight="1">
      <c r="B2702" s="37"/>
    </row>
    <row r="2703" spans="2:2" ht="15.95" customHeight="1">
      <c r="B2703" s="37"/>
    </row>
    <row r="2704" spans="2:2" ht="15.95" customHeight="1">
      <c r="B2704" s="37"/>
    </row>
    <row r="2705" spans="2:2" ht="15.95" customHeight="1">
      <c r="B2705" s="37"/>
    </row>
    <row r="2706" spans="2:2" ht="15.95" customHeight="1">
      <c r="B2706" s="37"/>
    </row>
    <row r="2707" spans="2:2" ht="15.95" customHeight="1">
      <c r="B2707" s="37"/>
    </row>
    <row r="2708" spans="2:2" ht="15.95" customHeight="1">
      <c r="B2708" s="37"/>
    </row>
    <row r="2709" spans="2:2" ht="15.95" customHeight="1">
      <c r="B2709" s="37"/>
    </row>
    <row r="2710" spans="2:2" ht="15.95" customHeight="1">
      <c r="B2710" s="37"/>
    </row>
    <row r="2711" spans="2:2" ht="15.95" customHeight="1">
      <c r="B2711" s="37"/>
    </row>
    <row r="2712" spans="2:2" ht="15.95" customHeight="1">
      <c r="B2712" s="37"/>
    </row>
    <row r="2713" spans="2:2" ht="15.95" customHeight="1">
      <c r="B2713" s="37"/>
    </row>
    <row r="2714" spans="2:2" ht="15.95" customHeight="1">
      <c r="B2714" s="37"/>
    </row>
    <row r="2715" spans="2:2" ht="15.95" customHeight="1">
      <c r="B2715" s="37"/>
    </row>
    <row r="2716" spans="2:2" ht="15.95" customHeight="1">
      <c r="B2716" s="37"/>
    </row>
    <row r="2717" spans="2:2" ht="15.95" customHeight="1">
      <c r="B2717" s="37"/>
    </row>
    <row r="2718" spans="2:2" ht="15.95" customHeight="1">
      <c r="B2718" s="37"/>
    </row>
    <row r="2719" spans="2:2" ht="15.95" customHeight="1">
      <c r="B2719" s="37"/>
    </row>
    <row r="2720" spans="2:2" ht="15.95" customHeight="1">
      <c r="B2720" s="37"/>
    </row>
    <row r="2721" spans="2:2" ht="15.95" customHeight="1">
      <c r="B2721" s="37"/>
    </row>
    <row r="2722" spans="2:2" ht="15.95" customHeight="1">
      <c r="B2722" s="37"/>
    </row>
    <row r="2723" spans="2:2" ht="15.95" customHeight="1">
      <c r="B2723" s="37"/>
    </row>
    <row r="2724" spans="2:2" ht="15.95" customHeight="1">
      <c r="B2724" s="37"/>
    </row>
    <row r="2725" spans="2:2" ht="15.95" customHeight="1">
      <c r="B2725" s="37"/>
    </row>
    <row r="2726" spans="2:2" ht="15.95" customHeight="1">
      <c r="B2726" s="37"/>
    </row>
    <row r="2727" spans="2:2" ht="15.95" customHeight="1">
      <c r="B2727" s="37"/>
    </row>
    <row r="2728" spans="2:2" ht="15.95" customHeight="1">
      <c r="B2728" s="37"/>
    </row>
    <row r="2729" spans="2:2" ht="15.95" customHeight="1">
      <c r="B2729" s="37"/>
    </row>
    <row r="2730" spans="2:2" ht="15.95" customHeight="1">
      <c r="B2730" s="37"/>
    </row>
    <row r="2731" spans="2:2" ht="15.95" customHeight="1">
      <c r="B2731" s="37"/>
    </row>
    <row r="2732" spans="2:2" ht="15.95" customHeight="1">
      <c r="B2732" s="37"/>
    </row>
    <row r="2733" spans="2:2" ht="15.95" customHeight="1">
      <c r="B2733" s="37"/>
    </row>
    <row r="2734" spans="2:2" ht="15.95" customHeight="1">
      <c r="B2734" s="37"/>
    </row>
    <row r="2735" spans="2:2" ht="15.95" customHeight="1">
      <c r="B2735" s="37"/>
    </row>
    <row r="2736" spans="2:2" ht="15.95" customHeight="1">
      <c r="B2736" s="37"/>
    </row>
    <row r="2737" spans="2:2" ht="15.95" customHeight="1">
      <c r="B2737" s="37"/>
    </row>
    <row r="2738" spans="2:2" ht="15.95" customHeight="1">
      <c r="B2738" s="37"/>
    </row>
    <row r="2739" spans="2:2" ht="15.95" customHeight="1">
      <c r="B2739" s="37"/>
    </row>
    <row r="2740" spans="2:2" ht="15.95" customHeight="1">
      <c r="B2740" s="37"/>
    </row>
    <row r="2741" spans="2:2" ht="15.95" customHeight="1">
      <c r="B2741" s="37"/>
    </row>
    <row r="2742" spans="2:2" ht="15.95" customHeight="1">
      <c r="B2742" s="37"/>
    </row>
    <row r="2743" spans="2:2" ht="15.95" customHeight="1">
      <c r="B2743" s="37"/>
    </row>
    <row r="2744" spans="2:2" ht="15.95" customHeight="1">
      <c r="B2744" s="37"/>
    </row>
    <row r="2745" spans="2:2" ht="15.95" customHeight="1">
      <c r="B2745" s="37"/>
    </row>
    <row r="2746" spans="2:2" ht="15.95" customHeight="1">
      <c r="B2746" s="37"/>
    </row>
    <row r="2747" spans="2:2" ht="15.95" customHeight="1">
      <c r="B2747" s="37"/>
    </row>
    <row r="2748" spans="2:2" ht="15.95" customHeight="1">
      <c r="B2748" s="37"/>
    </row>
    <row r="2749" spans="2:2" ht="15.95" customHeight="1">
      <c r="B2749" s="37"/>
    </row>
    <row r="2750" spans="2:2" ht="15.95" customHeight="1">
      <c r="B2750" s="37"/>
    </row>
    <row r="2751" spans="2:2" ht="15.95" customHeight="1">
      <c r="B2751" s="37"/>
    </row>
    <row r="2752" spans="2:2" ht="15.95" customHeight="1">
      <c r="B2752" s="37"/>
    </row>
    <row r="2753" spans="2:2" ht="15.95" customHeight="1">
      <c r="B2753" s="37"/>
    </row>
    <row r="2754" spans="2:2" ht="15.95" customHeight="1">
      <c r="B2754" s="37"/>
    </row>
    <row r="2755" spans="2:2" ht="15.95" customHeight="1">
      <c r="B2755" s="37"/>
    </row>
    <row r="2756" spans="2:2" ht="15.95" customHeight="1">
      <c r="B2756" s="37"/>
    </row>
    <row r="2757" spans="2:2" ht="15.95" customHeight="1">
      <c r="B2757" s="37"/>
    </row>
    <row r="2758" spans="2:2" ht="15.95" customHeight="1">
      <c r="B2758" s="37"/>
    </row>
    <row r="2759" spans="2:2" ht="15.95" customHeight="1">
      <c r="B2759" s="37"/>
    </row>
    <row r="2760" spans="2:2" ht="15.95" customHeight="1">
      <c r="B2760" s="37"/>
    </row>
    <row r="2761" spans="2:2" ht="15.95" customHeight="1">
      <c r="B2761" s="37"/>
    </row>
    <row r="2762" spans="2:2" ht="15.95" customHeight="1">
      <c r="B2762" s="37"/>
    </row>
    <row r="2763" spans="2:2" ht="15.95" customHeight="1">
      <c r="B2763" s="37"/>
    </row>
    <row r="2764" spans="2:2" ht="15.95" customHeight="1">
      <c r="B2764" s="37"/>
    </row>
    <row r="2765" spans="2:2" ht="15.95" customHeight="1">
      <c r="B2765" s="37"/>
    </row>
    <row r="2766" spans="2:2" ht="15.95" customHeight="1">
      <c r="B2766" s="37"/>
    </row>
    <row r="2767" spans="2:2" ht="15.95" customHeight="1">
      <c r="B2767" s="37"/>
    </row>
    <row r="2768" spans="2:2" ht="15.95" customHeight="1">
      <c r="B2768" s="37"/>
    </row>
    <row r="2769" spans="2:2" ht="15.95" customHeight="1">
      <c r="B2769" s="37"/>
    </row>
    <row r="2770" spans="2:2" ht="15.95" customHeight="1">
      <c r="B2770" s="37"/>
    </row>
    <row r="2771" spans="2:2" ht="15.95" customHeight="1">
      <c r="B2771" s="37"/>
    </row>
    <row r="2772" spans="2:2" ht="15.95" customHeight="1">
      <c r="B2772" s="37"/>
    </row>
    <row r="2773" spans="2:2" ht="15.95" customHeight="1">
      <c r="B2773" s="37"/>
    </row>
    <row r="2774" spans="2:2" ht="15.95" customHeight="1">
      <c r="B2774" s="37"/>
    </row>
    <row r="2775" spans="2:2" ht="15.95" customHeight="1">
      <c r="B2775" s="37"/>
    </row>
    <row r="2776" spans="2:2" ht="15.95" customHeight="1">
      <c r="B2776" s="37"/>
    </row>
    <row r="2777" spans="2:2" ht="15.95" customHeight="1">
      <c r="B2777" s="37"/>
    </row>
    <row r="2778" spans="2:2" ht="15.95" customHeight="1">
      <c r="B2778" s="37"/>
    </row>
    <row r="2779" spans="2:2" ht="15.95" customHeight="1">
      <c r="B2779" s="37"/>
    </row>
    <row r="2780" spans="2:2" ht="15.95" customHeight="1">
      <c r="B2780" s="37"/>
    </row>
    <row r="2781" spans="2:2" ht="15.95" customHeight="1">
      <c r="B2781" s="37"/>
    </row>
    <row r="2782" spans="2:2" ht="15.95" customHeight="1">
      <c r="B2782" s="37"/>
    </row>
    <row r="2783" spans="2:2" ht="15.95" customHeight="1">
      <c r="B2783" s="37"/>
    </row>
    <row r="2784" spans="2:2" ht="15.95" customHeight="1">
      <c r="B2784" s="37"/>
    </row>
    <row r="2785" spans="2:2" ht="15.95" customHeight="1">
      <c r="B2785" s="37"/>
    </row>
    <row r="2786" spans="2:2" ht="15.95" customHeight="1">
      <c r="B2786" s="37"/>
    </row>
    <row r="2787" spans="2:2" ht="15.95" customHeight="1">
      <c r="B2787" s="37"/>
    </row>
    <row r="2788" spans="2:2" ht="15.95" customHeight="1">
      <c r="B2788" s="37"/>
    </row>
    <row r="2789" spans="2:2" ht="15.95" customHeight="1">
      <c r="B2789" s="37"/>
    </row>
    <row r="2790" spans="2:2" ht="15.95" customHeight="1">
      <c r="B2790" s="37"/>
    </row>
    <row r="2791" spans="2:2" ht="15.95" customHeight="1">
      <c r="B2791" s="37"/>
    </row>
    <row r="2792" spans="2:2" ht="15.95" customHeight="1">
      <c r="B2792" s="37"/>
    </row>
    <row r="2793" spans="2:2" ht="15.95" customHeight="1">
      <c r="B2793" s="37"/>
    </row>
    <row r="2794" spans="2:2" ht="15.95" customHeight="1">
      <c r="B2794" s="37"/>
    </row>
    <row r="2795" spans="2:2" ht="15.95" customHeight="1">
      <c r="B2795" s="37"/>
    </row>
    <row r="2796" spans="2:2" ht="15.95" customHeight="1">
      <c r="B2796" s="37"/>
    </row>
    <row r="2797" spans="2:2" ht="15.95" customHeight="1">
      <c r="B2797" s="37"/>
    </row>
    <row r="2798" spans="2:2" ht="15.95" customHeight="1">
      <c r="B2798" s="37"/>
    </row>
    <row r="2799" spans="2:2" ht="15.95" customHeight="1">
      <c r="B2799" s="37"/>
    </row>
    <row r="2800" spans="2:2" ht="15.95" customHeight="1">
      <c r="B2800" s="37"/>
    </row>
    <row r="2801" spans="2:2" ht="15.95" customHeight="1">
      <c r="B2801" s="37"/>
    </row>
    <row r="2802" spans="2:2" ht="15.95" customHeight="1">
      <c r="B2802" s="37"/>
    </row>
    <row r="2803" spans="2:2" ht="15.95" customHeight="1">
      <c r="B2803" s="37"/>
    </row>
    <row r="2804" spans="2:2" ht="15.95" customHeight="1">
      <c r="B2804" s="37"/>
    </row>
    <row r="2805" spans="2:2" ht="15.95" customHeight="1">
      <c r="B2805" s="37"/>
    </row>
    <row r="2806" spans="2:2" ht="15.95" customHeight="1">
      <c r="B2806" s="37"/>
    </row>
    <row r="2807" spans="2:2" ht="15.95" customHeight="1">
      <c r="B2807" s="37"/>
    </row>
    <row r="2808" spans="2:2" ht="15.95" customHeight="1">
      <c r="B2808" s="37"/>
    </row>
    <row r="2809" spans="2:2" ht="15.95" customHeight="1">
      <c r="B2809" s="37"/>
    </row>
    <row r="2810" spans="2:2" ht="15.95" customHeight="1">
      <c r="B2810" s="37"/>
    </row>
    <row r="2811" spans="2:2" ht="15.95" customHeight="1">
      <c r="B2811" s="37"/>
    </row>
    <row r="2812" spans="2:2" ht="15.95" customHeight="1">
      <c r="B2812" s="37"/>
    </row>
    <row r="2813" spans="2:2" ht="15.95" customHeight="1">
      <c r="B2813" s="37"/>
    </row>
    <row r="2814" spans="2:2" ht="15.95" customHeight="1">
      <c r="B2814" s="37"/>
    </row>
    <row r="2815" spans="2:2" ht="15.95" customHeight="1">
      <c r="B2815" s="37"/>
    </row>
    <row r="2816" spans="2:2" ht="15.95" customHeight="1">
      <c r="B2816" s="37"/>
    </row>
    <row r="2817" spans="2:2" ht="15.95" customHeight="1">
      <c r="B2817" s="37"/>
    </row>
    <row r="2818" spans="2:2" ht="15.95" customHeight="1">
      <c r="B2818" s="37"/>
    </row>
    <row r="2819" spans="2:2" ht="15.95" customHeight="1">
      <c r="B2819" s="37"/>
    </row>
    <row r="2820" spans="2:2" ht="15.95" customHeight="1">
      <c r="B2820" s="37"/>
    </row>
    <row r="2821" spans="2:2" ht="15.95" customHeight="1">
      <c r="B2821" s="37"/>
    </row>
    <row r="2822" spans="2:2" ht="15.95" customHeight="1">
      <c r="B2822" s="37"/>
    </row>
    <row r="2823" spans="2:2" ht="15.95" customHeight="1">
      <c r="B2823" s="37"/>
    </row>
    <row r="2824" spans="2:2" ht="15.95" customHeight="1">
      <c r="B2824" s="37"/>
    </row>
    <row r="2825" spans="2:2" ht="15.95" customHeight="1">
      <c r="B2825" s="37"/>
    </row>
    <row r="2826" spans="2:2" ht="15.95" customHeight="1">
      <c r="B2826" s="37"/>
    </row>
    <row r="2827" spans="2:2" ht="15.95" customHeight="1">
      <c r="B2827" s="37"/>
    </row>
    <row r="2828" spans="2:2" ht="15.95" customHeight="1">
      <c r="B2828" s="37"/>
    </row>
    <row r="2829" spans="2:2" ht="15.95" customHeight="1">
      <c r="B2829" s="37"/>
    </row>
    <row r="2830" spans="2:2" ht="15.95" customHeight="1">
      <c r="B2830" s="37"/>
    </row>
    <row r="2831" spans="2:2" ht="15.95" customHeight="1">
      <c r="B2831" s="37"/>
    </row>
    <row r="2832" spans="2:2" ht="15.95" customHeight="1">
      <c r="B2832" s="37"/>
    </row>
    <row r="2833" spans="2:2" ht="15.95" customHeight="1">
      <c r="B2833" s="37"/>
    </row>
    <row r="2834" spans="2:2" ht="15.95" customHeight="1">
      <c r="B2834" s="37"/>
    </row>
    <row r="2835" spans="2:2" ht="15.95" customHeight="1">
      <c r="B2835" s="37"/>
    </row>
    <row r="2836" spans="2:2" ht="15.95" customHeight="1">
      <c r="B2836" s="37"/>
    </row>
    <row r="2837" spans="2:2" ht="15.95" customHeight="1">
      <c r="B2837" s="37"/>
    </row>
    <row r="2838" spans="2:2" ht="15.95" customHeight="1">
      <c r="B2838" s="37"/>
    </row>
    <row r="2839" spans="2:2" ht="15.95" customHeight="1">
      <c r="B2839" s="37"/>
    </row>
    <row r="2840" spans="2:2" ht="15.95" customHeight="1">
      <c r="B2840" s="37"/>
    </row>
    <row r="2841" spans="2:2" ht="15.95" customHeight="1">
      <c r="B2841" s="37"/>
    </row>
    <row r="2842" spans="2:2" ht="15.95" customHeight="1">
      <c r="B2842" s="37"/>
    </row>
    <row r="2843" spans="2:2" ht="15.95" customHeight="1">
      <c r="B2843" s="37"/>
    </row>
    <row r="2844" spans="2:2" ht="15.95" customHeight="1">
      <c r="B2844" s="37"/>
    </row>
    <row r="2845" spans="2:2" ht="15.95" customHeight="1">
      <c r="B2845" s="37"/>
    </row>
    <row r="2846" spans="2:2" ht="15.95" customHeight="1">
      <c r="B2846" s="37"/>
    </row>
    <row r="2847" spans="2:2" ht="15.95" customHeight="1">
      <c r="B2847" s="37"/>
    </row>
    <row r="2848" spans="2:2" ht="15.95" customHeight="1">
      <c r="B2848" s="37"/>
    </row>
    <row r="2849" spans="2:2" ht="15.95" customHeight="1">
      <c r="B2849" s="37"/>
    </row>
    <row r="2850" spans="2:2" ht="15.95" customHeight="1">
      <c r="B2850" s="37"/>
    </row>
    <row r="2851" spans="2:2" ht="15.95" customHeight="1">
      <c r="B2851" s="37"/>
    </row>
    <row r="2852" spans="2:2" ht="15.95" customHeight="1">
      <c r="B2852" s="37"/>
    </row>
    <row r="2853" spans="2:2" ht="15.95" customHeight="1">
      <c r="B2853" s="37"/>
    </row>
    <row r="2854" spans="2:2" ht="15.95" customHeight="1">
      <c r="B2854" s="37"/>
    </row>
    <row r="2855" spans="2:2" ht="15.95" customHeight="1">
      <c r="B2855" s="37"/>
    </row>
    <row r="2856" spans="2:2" ht="15.95" customHeight="1">
      <c r="B2856" s="37"/>
    </row>
    <row r="2857" spans="2:2" ht="15.95" customHeight="1">
      <c r="B2857" s="37"/>
    </row>
    <row r="2858" spans="2:2" ht="15.95" customHeight="1">
      <c r="B2858" s="37"/>
    </row>
    <row r="2859" spans="2:2" ht="15.95" customHeight="1">
      <c r="B2859" s="37"/>
    </row>
    <row r="2860" spans="2:2" ht="15.95" customHeight="1">
      <c r="B2860" s="37"/>
    </row>
    <row r="2861" spans="2:2" ht="15.95" customHeight="1">
      <c r="B2861" s="37"/>
    </row>
    <row r="2862" spans="2:2" ht="15.95" customHeight="1">
      <c r="B2862" s="37"/>
    </row>
    <row r="2863" spans="2:2" ht="15.95" customHeight="1">
      <c r="B2863" s="37"/>
    </row>
    <row r="2864" spans="2:2" ht="15.95" customHeight="1">
      <c r="B2864" s="37"/>
    </row>
    <row r="2865" spans="2:2" ht="15.95" customHeight="1">
      <c r="B2865" s="37"/>
    </row>
    <row r="2866" spans="2:2" ht="15.95" customHeight="1">
      <c r="B2866" s="37"/>
    </row>
    <row r="2867" spans="2:2" ht="15.95" customHeight="1">
      <c r="B2867" s="37"/>
    </row>
    <row r="2868" spans="2:2" ht="15.95" customHeight="1">
      <c r="B2868" s="37"/>
    </row>
    <row r="2869" spans="2:2" ht="15.95" customHeight="1">
      <c r="B2869" s="37"/>
    </row>
    <row r="2870" spans="2:2" ht="15.95" customHeight="1">
      <c r="B2870" s="37"/>
    </row>
    <row r="2871" spans="2:2" ht="15.95" customHeight="1">
      <c r="B2871" s="37"/>
    </row>
    <row r="2872" spans="2:2" ht="15.95" customHeight="1">
      <c r="B2872" s="37"/>
    </row>
    <row r="2873" spans="2:2" ht="15.95" customHeight="1">
      <c r="B2873" s="37"/>
    </row>
    <row r="2874" spans="2:2" ht="15.95" customHeight="1">
      <c r="B2874" s="37"/>
    </row>
    <row r="2875" spans="2:2" ht="15.95" customHeight="1">
      <c r="B2875" s="37"/>
    </row>
    <row r="2876" spans="2:2" ht="15.95" customHeight="1">
      <c r="B2876" s="37"/>
    </row>
    <row r="2877" spans="2:2" ht="15.95" customHeight="1">
      <c r="B2877" s="37"/>
    </row>
    <row r="2878" spans="2:2" ht="15.95" customHeight="1">
      <c r="B2878" s="37"/>
    </row>
    <row r="2879" spans="2:2" ht="15.95" customHeight="1">
      <c r="B2879" s="37"/>
    </row>
    <row r="2880" spans="2:2" ht="15.95" customHeight="1">
      <c r="B2880" s="37"/>
    </row>
    <row r="2881" spans="2:2" ht="15.95" customHeight="1">
      <c r="B2881" s="37"/>
    </row>
    <row r="2882" spans="2:2" ht="15.95" customHeight="1">
      <c r="B2882" s="37"/>
    </row>
    <row r="2883" spans="2:2" ht="15.95" customHeight="1">
      <c r="B2883" s="37"/>
    </row>
    <row r="2884" spans="2:2" ht="15.95" customHeight="1">
      <c r="B2884" s="37"/>
    </row>
    <row r="2885" spans="2:2" ht="15.95" customHeight="1">
      <c r="B2885" s="37"/>
    </row>
    <row r="2886" spans="2:2" ht="15.95" customHeight="1">
      <c r="B2886" s="37"/>
    </row>
    <row r="2887" spans="2:2" ht="15.95" customHeight="1">
      <c r="B2887" s="37"/>
    </row>
    <row r="2888" spans="2:2" ht="15.95" customHeight="1">
      <c r="B2888" s="37"/>
    </row>
    <row r="2889" spans="2:2" ht="15.95" customHeight="1">
      <c r="B2889" s="37"/>
    </row>
    <row r="2890" spans="2:2" ht="15.95" customHeight="1">
      <c r="B2890" s="37"/>
    </row>
    <row r="2891" spans="2:2" ht="15.95" customHeight="1">
      <c r="B2891" s="37"/>
    </row>
    <row r="2892" spans="2:2" ht="15.95" customHeight="1">
      <c r="B2892" s="37"/>
    </row>
    <row r="2893" spans="2:2" ht="15.95" customHeight="1">
      <c r="B2893" s="37"/>
    </row>
    <row r="2894" spans="2:2" ht="15.95" customHeight="1">
      <c r="B2894" s="37"/>
    </row>
    <row r="2895" spans="2:2" ht="15.95" customHeight="1">
      <c r="B2895" s="37"/>
    </row>
    <row r="2896" spans="2:2" ht="15.95" customHeight="1">
      <c r="B2896" s="37"/>
    </row>
    <row r="2897" spans="2:2" ht="15.95" customHeight="1">
      <c r="B2897" s="37"/>
    </row>
    <row r="2898" spans="2:2" ht="15.95" customHeight="1">
      <c r="B2898" s="37"/>
    </row>
    <row r="2899" spans="2:2" ht="15.95" customHeight="1">
      <c r="B2899" s="37"/>
    </row>
    <row r="2900" spans="2:2" ht="15.95" customHeight="1">
      <c r="B2900" s="37"/>
    </row>
    <row r="2901" spans="2:2" ht="15.95" customHeight="1">
      <c r="B2901" s="37"/>
    </row>
    <row r="2902" spans="2:2" ht="15.95" customHeight="1">
      <c r="B2902" s="37"/>
    </row>
    <row r="2903" spans="2:2" ht="15.95" customHeight="1">
      <c r="B2903" s="37"/>
    </row>
    <row r="2904" spans="2:2" ht="15.95" customHeight="1">
      <c r="B2904" s="37"/>
    </row>
    <row r="2905" spans="2:2" ht="15.95" customHeight="1">
      <c r="B2905" s="37"/>
    </row>
    <row r="2906" spans="2:2" ht="15.95" customHeight="1">
      <c r="B2906" s="37"/>
    </row>
    <row r="2907" spans="2:2" ht="15.95" customHeight="1">
      <c r="B2907" s="37"/>
    </row>
    <row r="2908" spans="2:2" ht="15.95" customHeight="1">
      <c r="B2908" s="37"/>
    </row>
    <row r="2909" spans="2:2" ht="15.95" customHeight="1">
      <c r="B2909" s="37"/>
    </row>
    <row r="2910" spans="2:2" ht="15.95" customHeight="1">
      <c r="B2910" s="37"/>
    </row>
    <row r="2911" spans="2:2" ht="15.95" customHeight="1">
      <c r="B2911" s="37"/>
    </row>
    <row r="2912" spans="2:2" ht="15.95" customHeight="1">
      <c r="B2912" s="37"/>
    </row>
    <row r="2913" spans="2:2" ht="15.95" customHeight="1">
      <c r="B2913" s="37"/>
    </row>
    <row r="2914" spans="2:2" ht="15.95" customHeight="1">
      <c r="B2914" s="37"/>
    </row>
    <row r="2915" spans="2:2" ht="15.95" customHeight="1">
      <c r="B2915" s="37"/>
    </row>
    <row r="2916" spans="2:2" ht="15.95" customHeight="1">
      <c r="B2916" s="37"/>
    </row>
    <row r="2917" spans="2:2" ht="15.95" customHeight="1">
      <c r="B2917" s="37"/>
    </row>
    <row r="2918" spans="2:2" ht="15.95" customHeight="1">
      <c r="B2918" s="37"/>
    </row>
    <row r="2919" spans="2:2" ht="15.95" customHeight="1">
      <c r="B2919" s="37"/>
    </row>
    <row r="2920" spans="2:2" ht="15.95" customHeight="1">
      <c r="B2920" s="37"/>
    </row>
    <row r="2921" spans="2:2" ht="15.95" customHeight="1">
      <c r="B2921" s="37"/>
    </row>
    <row r="2922" spans="2:2" ht="15.95" customHeight="1">
      <c r="B2922" s="37"/>
    </row>
    <row r="2923" spans="2:2" ht="15.95" customHeight="1">
      <c r="B2923" s="37"/>
    </row>
    <row r="2924" spans="2:2" ht="15.95" customHeight="1">
      <c r="B2924" s="37"/>
    </row>
    <row r="2925" spans="2:2" ht="15.95" customHeight="1">
      <c r="B2925" s="37"/>
    </row>
    <row r="2926" spans="2:2" ht="15.95" customHeight="1">
      <c r="B2926" s="37"/>
    </row>
    <row r="2927" spans="2:2" ht="15.95" customHeight="1">
      <c r="B2927" s="37"/>
    </row>
    <row r="2928" spans="2:2" ht="15.95" customHeight="1">
      <c r="B2928" s="37"/>
    </row>
    <row r="2929" spans="2:2" ht="15.95" customHeight="1">
      <c r="B2929" s="37"/>
    </row>
    <row r="2930" spans="2:2" ht="15.95" customHeight="1">
      <c r="B2930" s="37"/>
    </row>
    <row r="2931" spans="2:2" ht="15.95" customHeight="1">
      <c r="B2931" s="37"/>
    </row>
    <row r="2932" spans="2:2" ht="15.95" customHeight="1">
      <c r="B2932" s="37"/>
    </row>
    <row r="2933" spans="2:2" ht="15.95" customHeight="1">
      <c r="B2933" s="37"/>
    </row>
    <row r="2934" spans="2:2" ht="15.95" customHeight="1">
      <c r="B2934" s="37"/>
    </row>
    <row r="2935" spans="2:2" ht="15.95" customHeight="1">
      <c r="B2935" s="37"/>
    </row>
    <row r="2936" spans="2:2" ht="15.95" customHeight="1">
      <c r="B2936" s="37"/>
    </row>
    <row r="2937" spans="2:2" ht="15.95" customHeight="1">
      <c r="B2937" s="37"/>
    </row>
    <row r="2938" spans="2:2" ht="15.95" customHeight="1">
      <c r="B2938" s="37"/>
    </row>
    <row r="2939" spans="2:2" ht="15.95" customHeight="1">
      <c r="B2939" s="37"/>
    </row>
    <row r="2940" spans="2:2" ht="15.95" customHeight="1">
      <c r="B2940" s="37"/>
    </row>
    <row r="2941" spans="2:2" ht="15.95" customHeight="1">
      <c r="B2941" s="37"/>
    </row>
    <row r="2942" spans="2:2" ht="15.95" customHeight="1">
      <c r="B2942" s="37"/>
    </row>
    <row r="2943" spans="2:2" ht="15.95" customHeight="1">
      <c r="B2943" s="37"/>
    </row>
    <row r="2944" spans="2:2" ht="15.95" customHeight="1">
      <c r="B2944" s="37"/>
    </row>
    <row r="2945" spans="2:2" ht="15.95" customHeight="1">
      <c r="B2945" s="37"/>
    </row>
    <row r="2946" spans="2:2" ht="15.95" customHeight="1">
      <c r="B2946" s="37"/>
    </row>
    <row r="2947" spans="2:2" ht="15.95" customHeight="1">
      <c r="B2947" s="37"/>
    </row>
    <row r="2948" spans="2:2" ht="15.95" customHeight="1">
      <c r="B2948" s="37"/>
    </row>
    <row r="2949" spans="2:2" ht="15.95" customHeight="1">
      <c r="B2949" s="37"/>
    </row>
    <row r="2950" spans="2:2" ht="15.95" customHeight="1">
      <c r="B2950" s="37"/>
    </row>
    <row r="2951" spans="2:2" ht="15.95" customHeight="1">
      <c r="B2951" s="37"/>
    </row>
    <row r="2952" spans="2:2" ht="15.95" customHeight="1">
      <c r="B2952" s="37"/>
    </row>
    <row r="2953" spans="2:2" ht="15.95" customHeight="1">
      <c r="B2953" s="37"/>
    </row>
    <row r="2954" spans="2:2" ht="15.95" customHeight="1">
      <c r="B2954" s="37"/>
    </row>
    <row r="2955" spans="2:2" ht="15.95" customHeight="1">
      <c r="B2955" s="37"/>
    </row>
    <row r="2956" spans="2:2" ht="15.95" customHeight="1">
      <c r="B2956" s="37"/>
    </row>
    <row r="2957" spans="2:2" ht="15.95" customHeight="1">
      <c r="B2957" s="37"/>
    </row>
    <row r="2958" spans="2:2" ht="15.95" customHeight="1">
      <c r="B2958" s="37"/>
    </row>
    <row r="2959" spans="2:2" ht="15.95" customHeight="1">
      <c r="B2959" s="37"/>
    </row>
    <row r="2960" spans="2:2" ht="15.95" customHeight="1">
      <c r="B2960" s="37"/>
    </row>
    <row r="2961" spans="2:2" ht="15.95" customHeight="1">
      <c r="B2961" s="37"/>
    </row>
    <row r="2962" spans="2:2" ht="15.95" customHeight="1">
      <c r="B2962" s="37"/>
    </row>
    <row r="2963" spans="2:2" ht="15.95" customHeight="1">
      <c r="B2963" s="37"/>
    </row>
    <row r="2964" spans="2:2" ht="15.95" customHeight="1">
      <c r="B2964" s="37"/>
    </row>
    <row r="2965" spans="2:2" ht="15.95" customHeight="1">
      <c r="B2965" s="37"/>
    </row>
    <row r="2966" spans="2:2" ht="15.95" customHeight="1">
      <c r="B2966" s="37"/>
    </row>
    <row r="2967" spans="2:2" ht="15.95" customHeight="1">
      <c r="B2967" s="37"/>
    </row>
    <row r="2968" spans="2:2" ht="15.95" customHeight="1">
      <c r="B2968" s="37"/>
    </row>
    <row r="2969" spans="2:2" ht="15.95" customHeight="1">
      <c r="B2969" s="37"/>
    </row>
    <row r="2970" spans="2:2" ht="15.95" customHeight="1">
      <c r="B2970" s="37"/>
    </row>
    <row r="2971" spans="2:2" ht="15.95" customHeight="1">
      <c r="B2971" s="37"/>
    </row>
    <row r="2972" spans="2:2" ht="15.95" customHeight="1">
      <c r="B2972" s="37"/>
    </row>
    <row r="2973" spans="2:2" ht="15.95" customHeight="1">
      <c r="B2973" s="37"/>
    </row>
    <row r="2974" spans="2:2" ht="15.95" customHeight="1">
      <c r="B2974" s="37"/>
    </row>
    <row r="2975" spans="2:2" ht="15.95" customHeight="1">
      <c r="B2975" s="37"/>
    </row>
    <row r="2976" spans="2:2" ht="15.95" customHeight="1">
      <c r="B2976" s="37"/>
    </row>
    <row r="2977" spans="2:2" ht="15.95" customHeight="1">
      <c r="B2977" s="37"/>
    </row>
    <row r="2978" spans="2:2" ht="15.95" customHeight="1">
      <c r="B2978" s="37"/>
    </row>
    <row r="2979" spans="2:2" ht="15.95" customHeight="1">
      <c r="B2979" s="37"/>
    </row>
    <row r="2980" spans="2:2" ht="15.95" customHeight="1">
      <c r="B2980" s="37"/>
    </row>
    <row r="2981" spans="2:2" ht="15.95" customHeight="1">
      <c r="B2981" s="37"/>
    </row>
    <row r="2982" spans="2:2" ht="15.95" customHeight="1">
      <c r="B2982" s="37"/>
    </row>
    <row r="2983" spans="2:2" ht="15.95" customHeight="1">
      <c r="B2983" s="37"/>
    </row>
    <row r="2984" spans="2:2" ht="15.95" customHeight="1">
      <c r="B2984" s="37"/>
    </row>
    <row r="2985" spans="2:2" ht="15.95" customHeight="1">
      <c r="B2985" s="37"/>
    </row>
    <row r="2986" spans="2:2" ht="15.95" customHeight="1">
      <c r="B2986" s="37"/>
    </row>
    <row r="2987" spans="2:2" ht="15.95" customHeight="1">
      <c r="B2987" s="37"/>
    </row>
    <row r="2988" spans="2:2" ht="15.95" customHeight="1">
      <c r="B2988" s="37"/>
    </row>
    <row r="2989" spans="2:2" ht="15.95" customHeight="1">
      <c r="B2989" s="37"/>
    </row>
    <row r="2990" spans="2:2" ht="15.95" customHeight="1">
      <c r="B2990" s="37"/>
    </row>
    <row r="2991" spans="2:2" ht="15.95" customHeight="1">
      <c r="B2991" s="37"/>
    </row>
    <row r="2992" spans="2:2" ht="15.95" customHeight="1">
      <c r="B2992" s="37"/>
    </row>
    <row r="2993" spans="2:2" ht="15.95" customHeight="1">
      <c r="B2993" s="37"/>
    </row>
    <row r="2994" spans="2:2" ht="15.95" customHeight="1">
      <c r="B2994" s="37"/>
    </row>
    <row r="2995" spans="2:2" ht="15.95" customHeight="1">
      <c r="B2995" s="37"/>
    </row>
    <row r="2996" spans="2:2" ht="15.95" customHeight="1">
      <c r="B2996" s="37"/>
    </row>
    <row r="2997" spans="2:2" ht="15.95" customHeight="1">
      <c r="B2997" s="37"/>
    </row>
    <row r="2998" spans="2:2" ht="15.95" customHeight="1">
      <c r="B2998" s="37"/>
    </row>
    <row r="2999" spans="2:2" ht="15.95" customHeight="1">
      <c r="B2999" s="37"/>
    </row>
    <row r="3000" spans="2:2" ht="15.95" customHeight="1">
      <c r="B3000" s="37"/>
    </row>
    <row r="3001" spans="2:2" ht="15.95" customHeight="1">
      <c r="B3001" s="37"/>
    </row>
    <row r="3002" spans="2:2" ht="15.95" customHeight="1">
      <c r="B3002" s="37"/>
    </row>
    <row r="3003" spans="2:2" ht="15.95" customHeight="1">
      <c r="B3003" s="37"/>
    </row>
    <row r="3004" spans="2:2" ht="15.95" customHeight="1">
      <c r="B3004" s="37"/>
    </row>
    <row r="3005" spans="2:2" ht="15.95" customHeight="1">
      <c r="B3005" s="37"/>
    </row>
    <row r="3006" spans="2:2" ht="15.95" customHeight="1">
      <c r="B3006" s="37"/>
    </row>
    <row r="3007" spans="2:2" ht="15.95" customHeight="1">
      <c r="B3007" s="37"/>
    </row>
    <row r="3008" spans="2:2" ht="15.95" customHeight="1">
      <c r="B3008" s="37"/>
    </row>
    <row r="3009" spans="2:2" ht="15.95" customHeight="1">
      <c r="B3009" s="37"/>
    </row>
    <row r="3010" spans="2:2" ht="15.95" customHeight="1">
      <c r="B3010" s="37"/>
    </row>
    <row r="3011" spans="2:2" ht="15.95" customHeight="1">
      <c r="B3011" s="37"/>
    </row>
    <row r="3012" spans="2:2" ht="15.95" customHeight="1">
      <c r="B3012" s="37"/>
    </row>
    <row r="3013" spans="2:2" ht="15.95" customHeight="1">
      <c r="B3013" s="37"/>
    </row>
    <row r="3014" spans="2:2" ht="15.95" customHeight="1">
      <c r="B3014" s="37"/>
    </row>
    <row r="3015" spans="2:2" ht="15.95" customHeight="1">
      <c r="B3015" s="37"/>
    </row>
    <row r="3016" spans="2:2" ht="15.95" customHeight="1">
      <c r="B3016" s="37"/>
    </row>
    <row r="3017" spans="2:2" ht="15.95" customHeight="1">
      <c r="B3017" s="37"/>
    </row>
    <row r="3018" spans="2:2" ht="15.95" customHeight="1">
      <c r="B3018" s="37"/>
    </row>
    <row r="3019" spans="2:2" ht="15.95" customHeight="1">
      <c r="B3019" s="37"/>
    </row>
    <row r="3020" spans="2:2" ht="15.95" customHeight="1">
      <c r="B3020" s="37"/>
    </row>
    <row r="3021" spans="2:2" ht="15.95" customHeight="1">
      <c r="B3021" s="37"/>
    </row>
    <row r="3022" spans="2:2" ht="15.95" customHeight="1">
      <c r="B3022" s="37"/>
    </row>
    <row r="3023" spans="2:2" ht="15.95" customHeight="1">
      <c r="B3023" s="37"/>
    </row>
    <row r="3024" spans="2:2" ht="15.95" customHeight="1">
      <c r="B3024" s="37"/>
    </row>
    <row r="3025" spans="2:2" ht="15.95" customHeight="1">
      <c r="B3025" s="37"/>
    </row>
    <row r="3026" spans="2:2" ht="15.95" customHeight="1">
      <c r="B3026" s="37"/>
    </row>
    <row r="3027" spans="2:2" ht="15.95" customHeight="1">
      <c r="B3027" s="37"/>
    </row>
    <row r="3028" spans="2:2" ht="15.95" customHeight="1">
      <c r="B3028" s="37"/>
    </row>
    <row r="3029" spans="2:2" ht="15.95" customHeight="1">
      <c r="B3029" s="37"/>
    </row>
    <row r="3030" spans="2:2" ht="15.95" customHeight="1">
      <c r="B3030" s="37"/>
    </row>
    <row r="3031" spans="2:2" ht="15.95" customHeight="1">
      <c r="B3031" s="37"/>
    </row>
    <row r="3032" spans="2:2" ht="15.95" customHeight="1">
      <c r="B3032" s="37"/>
    </row>
    <row r="3033" spans="2:2" ht="15.95" customHeight="1">
      <c r="B3033" s="37"/>
    </row>
    <row r="3034" spans="2:2" ht="15.95" customHeight="1">
      <c r="B3034" s="37"/>
    </row>
    <row r="3035" spans="2:2" ht="15.95" customHeight="1">
      <c r="B3035" s="37"/>
    </row>
    <row r="3036" spans="2:2" ht="15.95" customHeight="1">
      <c r="B3036" s="37"/>
    </row>
    <row r="3037" spans="2:2" ht="15.95" customHeight="1">
      <c r="B3037" s="37"/>
    </row>
    <row r="3038" spans="2:2" ht="15.95" customHeight="1">
      <c r="B3038" s="37"/>
    </row>
    <row r="3039" spans="2:2" ht="15.95" customHeight="1">
      <c r="B3039" s="37"/>
    </row>
    <row r="3040" spans="2:2" ht="15.95" customHeight="1">
      <c r="B3040" s="37"/>
    </row>
    <row r="3041" spans="2:2" ht="15.95" customHeight="1">
      <c r="B3041" s="37"/>
    </row>
    <row r="3042" spans="2:2" ht="15.95" customHeight="1">
      <c r="B3042" s="37"/>
    </row>
    <row r="3043" spans="2:2" ht="15.95" customHeight="1">
      <c r="B3043" s="37"/>
    </row>
    <row r="3044" spans="2:2" ht="15.95" customHeight="1">
      <c r="B3044" s="37"/>
    </row>
    <row r="3045" spans="2:2" ht="15.95" customHeight="1">
      <c r="B3045" s="37"/>
    </row>
    <row r="3046" spans="2:2" ht="15.95" customHeight="1">
      <c r="B3046" s="37"/>
    </row>
    <row r="3047" spans="2:2" ht="15.95" customHeight="1">
      <c r="B3047" s="37"/>
    </row>
    <row r="3048" spans="2:2" ht="15.95" customHeight="1">
      <c r="B3048" s="37"/>
    </row>
    <row r="3049" spans="2:2" ht="15.95" customHeight="1">
      <c r="B3049" s="37"/>
    </row>
    <row r="3050" spans="2:2" ht="15.95" customHeight="1">
      <c r="B3050" s="37"/>
    </row>
    <row r="3051" spans="2:2" ht="15.95" customHeight="1">
      <c r="B3051" s="37"/>
    </row>
    <row r="3052" spans="2:2" ht="15.95" customHeight="1">
      <c r="B3052" s="37"/>
    </row>
    <row r="3053" spans="2:2" ht="15.95" customHeight="1">
      <c r="B3053" s="37"/>
    </row>
    <row r="3054" spans="2:2" ht="15.95" customHeight="1">
      <c r="B3054" s="37"/>
    </row>
    <row r="3055" spans="2:2" ht="15.95" customHeight="1">
      <c r="B3055" s="37"/>
    </row>
    <row r="3056" spans="2:2" ht="15.95" customHeight="1">
      <c r="B3056" s="37"/>
    </row>
    <row r="3057" spans="2:2" ht="15.95" customHeight="1">
      <c r="B3057" s="37"/>
    </row>
    <row r="3058" spans="2:2" ht="15.95" customHeight="1">
      <c r="B3058" s="37"/>
    </row>
    <row r="3059" spans="2:2" ht="15.95" customHeight="1">
      <c r="B3059" s="37"/>
    </row>
    <row r="3060" spans="2:2" ht="15.95" customHeight="1">
      <c r="B3060" s="37"/>
    </row>
    <row r="3061" spans="2:2" ht="15.95" customHeight="1">
      <c r="B3061" s="37"/>
    </row>
    <row r="3062" spans="2:2" ht="15.95" customHeight="1">
      <c r="B3062" s="37"/>
    </row>
    <row r="3063" spans="2:2" ht="15.95" customHeight="1">
      <c r="B3063" s="37"/>
    </row>
    <row r="3064" spans="2:2" ht="15.95" customHeight="1">
      <c r="B3064" s="37"/>
    </row>
    <row r="3065" spans="2:2" ht="15.95" customHeight="1">
      <c r="B3065" s="37"/>
    </row>
    <row r="3066" spans="2:2" ht="15.95" customHeight="1">
      <c r="B3066" s="37"/>
    </row>
    <row r="3067" spans="2:2" ht="15.95" customHeight="1">
      <c r="B3067" s="37"/>
    </row>
    <row r="3068" spans="2:2" ht="15.95" customHeight="1">
      <c r="B3068" s="37"/>
    </row>
    <row r="3069" spans="2:2" ht="15.95" customHeight="1">
      <c r="B3069" s="37"/>
    </row>
    <row r="3070" spans="2:2" ht="15.95" customHeight="1">
      <c r="B3070" s="37"/>
    </row>
    <row r="3071" spans="2:2" ht="15.95" customHeight="1">
      <c r="B3071" s="37"/>
    </row>
    <row r="3072" spans="2:2" ht="15.95" customHeight="1">
      <c r="B3072" s="37"/>
    </row>
    <row r="3073" spans="2:2" ht="15.95" customHeight="1">
      <c r="B3073" s="37"/>
    </row>
    <row r="3074" spans="2:2" ht="15.95" customHeight="1">
      <c r="B3074" s="37"/>
    </row>
    <row r="3075" spans="2:2" ht="15.95" customHeight="1">
      <c r="B3075" s="37"/>
    </row>
    <row r="3076" spans="2:2" ht="15.95" customHeight="1">
      <c r="B3076" s="37"/>
    </row>
    <row r="3077" spans="2:2" ht="15.95" customHeight="1">
      <c r="B3077" s="37"/>
    </row>
    <row r="3078" spans="2:2" ht="15.95" customHeight="1">
      <c r="B3078" s="37"/>
    </row>
    <row r="3079" spans="2:2" ht="15.95" customHeight="1">
      <c r="B3079" s="37"/>
    </row>
    <row r="3080" spans="2:2" ht="15.95" customHeight="1">
      <c r="B3080" s="37"/>
    </row>
    <row r="3081" spans="2:2" ht="15.95" customHeight="1">
      <c r="B3081" s="37"/>
    </row>
    <row r="3082" spans="2:2" ht="15.95" customHeight="1">
      <c r="B3082" s="37"/>
    </row>
    <row r="3083" spans="2:2" ht="15.95" customHeight="1">
      <c r="B3083" s="37"/>
    </row>
    <row r="3084" spans="2:2" ht="15.95" customHeight="1">
      <c r="B3084" s="37"/>
    </row>
    <row r="3085" spans="2:2" ht="15.95" customHeight="1">
      <c r="B3085" s="37"/>
    </row>
    <row r="3086" spans="2:2" ht="15.95" customHeight="1">
      <c r="B3086" s="37"/>
    </row>
    <row r="3087" spans="2:2" ht="15.95" customHeight="1">
      <c r="B3087" s="37"/>
    </row>
    <row r="3088" spans="2:2" ht="15.95" customHeight="1">
      <c r="B3088" s="37"/>
    </row>
    <row r="3089" spans="2:2" ht="15.95" customHeight="1">
      <c r="B3089" s="37"/>
    </row>
    <row r="3090" spans="2:2" ht="15.95" customHeight="1">
      <c r="B3090" s="37"/>
    </row>
    <row r="3091" spans="2:2" ht="15.95" customHeight="1">
      <c r="B3091" s="37"/>
    </row>
    <row r="3092" spans="2:2" ht="15.95" customHeight="1">
      <c r="B3092" s="37"/>
    </row>
    <row r="3093" spans="2:2" ht="15.95" customHeight="1">
      <c r="B3093" s="37"/>
    </row>
    <row r="3094" spans="2:2" ht="15.95" customHeight="1">
      <c r="B3094" s="37"/>
    </row>
    <row r="3095" spans="2:2" ht="15.95" customHeight="1">
      <c r="B3095" s="37"/>
    </row>
    <row r="3096" spans="2:2" ht="15.95" customHeight="1">
      <c r="B3096" s="37"/>
    </row>
    <row r="3097" spans="2:2" ht="15.95" customHeight="1">
      <c r="B3097" s="37"/>
    </row>
    <row r="3098" spans="2:2" ht="15.95" customHeight="1">
      <c r="B3098" s="37"/>
    </row>
    <row r="3099" spans="2:2" ht="15.95" customHeight="1">
      <c r="B3099" s="37"/>
    </row>
    <row r="3100" spans="2:2" ht="15.95" customHeight="1">
      <c r="B3100" s="37"/>
    </row>
    <row r="3101" spans="2:2" ht="15.95" customHeight="1">
      <c r="B3101" s="37"/>
    </row>
    <row r="3102" spans="2:2" ht="15.95" customHeight="1">
      <c r="B3102" s="37"/>
    </row>
    <row r="3103" spans="2:2" ht="15.95" customHeight="1">
      <c r="B3103" s="37"/>
    </row>
    <row r="3104" spans="2:2" ht="15.95" customHeight="1">
      <c r="B3104" s="37"/>
    </row>
    <row r="3105" spans="2:2" ht="15.95" customHeight="1">
      <c r="B3105" s="37"/>
    </row>
    <row r="3106" spans="2:2" ht="15.95" customHeight="1">
      <c r="B3106" s="37"/>
    </row>
    <row r="3107" spans="2:2" ht="15.95" customHeight="1">
      <c r="B3107" s="37"/>
    </row>
    <row r="3108" spans="2:2" ht="15.95" customHeight="1">
      <c r="B3108" s="37"/>
    </row>
    <row r="3109" spans="2:2" ht="15.95" customHeight="1">
      <c r="B3109" s="37"/>
    </row>
    <row r="3110" spans="2:2" ht="15.95" customHeight="1">
      <c r="B3110" s="37"/>
    </row>
    <row r="3111" spans="2:2" ht="15.95" customHeight="1">
      <c r="B3111" s="37"/>
    </row>
    <row r="3112" spans="2:2" ht="15.95" customHeight="1">
      <c r="B3112" s="37"/>
    </row>
    <row r="3113" spans="2:2" ht="15.95" customHeight="1">
      <c r="B3113" s="37"/>
    </row>
    <row r="3114" spans="2:2" ht="15.95" customHeight="1">
      <c r="B3114" s="37"/>
    </row>
    <row r="3115" spans="2:2" ht="15.95" customHeight="1">
      <c r="B3115" s="37"/>
    </row>
    <row r="3116" spans="2:2" ht="15.95" customHeight="1">
      <c r="B3116" s="37"/>
    </row>
    <row r="3117" spans="2:2" ht="15.95" customHeight="1">
      <c r="B3117" s="37"/>
    </row>
    <row r="3118" spans="2:2" ht="15.95" customHeight="1">
      <c r="B3118" s="37"/>
    </row>
    <row r="3119" spans="2:2" ht="15.95" customHeight="1">
      <c r="B3119" s="37"/>
    </row>
    <row r="3120" spans="2:2" ht="15.95" customHeight="1">
      <c r="B3120" s="37"/>
    </row>
    <row r="3121" spans="2:2" ht="15.95" customHeight="1">
      <c r="B3121" s="37"/>
    </row>
    <row r="3122" spans="2:2" ht="15.95" customHeight="1">
      <c r="B3122" s="37"/>
    </row>
    <row r="3123" spans="2:2" ht="15.95" customHeight="1">
      <c r="B3123" s="37"/>
    </row>
    <row r="3124" spans="2:2" ht="15.95" customHeight="1">
      <c r="B3124" s="37"/>
    </row>
    <row r="3125" spans="2:2" ht="15.95" customHeight="1">
      <c r="B3125" s="37"/>
    </row>
    <row r="3126" spans="2:2" ht="15.95" customHeight="1">
      <c r="B3126" s="37"/>
    </row>
    <row r="3127" spans="2:2" ht="15.95" customHeight="1">
      <c r="B3127" s="37"/>
    </row>
    <row r="3128" spans="2:2" ht="15.95" customHeight="1">
      <c r="B3128" s="37"/>
    </row>
    <row r="3129" spans="2:2" ht="15.95" customHeight="1">
      <c r="B3129" s="37"/>
    </row>
    <row r="3130" spans="2:2" ht="15.95" customHeight="1">
      <c r="B3130" s="37"/>
    </row>
    <row r="3131" spans="2:2" ht="15.95" customHeight="1">
      <c r="B3131" s="37"/>
    </row>
    <row r="3132" spans="2:2" ht="15.95" customHeight="1">
      <c r="B3132" s="37"/>
    </row>
    <row r="3133" spans="2:2" ht="15.95" customHeight="1">
      <c r="B3133" s="37"/>
    </row>
    <row r="3134" spans="2:2" ht="15.95" customHeight="1">
      <c r="B3134" s="37"/>
    </row>
    <row r="3135" spans="2:2" ht="15.95" customHeight="1">
      <c r="B3135" s="37"/>
    </row>
    <row r="3136" spans="2:2" ht="15.95" customHeight="1">
      <c r="B3136" s="37"/>
    </row>
    <row r="3137" spans="2:2" ht="15.95" customHeight="1">
      <c r="B3137" s="37"/>
    </row>
    <row r="3138" spans="2:2" ht="15.95" customHeight="1">
      <c r="B3138" s="37"/>
    </row>
    <row r="3139" spans="2:2" ht="15.95" customHeight="1">
      <c r="B3139" s="37"/>
    </row>
    <row r="3140" spans="2:2" ht="15.95" customHeight="1">
      <c r="B3140" s="37"/>
    </row>
    <row r="3141" spans="2:2" ht="15.95" customHeight="1">
      <c r="B3141" s="37"/>
    </row>
    <row r="3142" spans="2:2" ht="15.95" customHeight="1">
      <c r="B3142" s="37"/>
    </row>
    <row r="3143" spans="2:2" ht="15.95" customHeight="1">
      <c r="B3143" s="37"/>
    </row>
    <row r="3144" spans="2:2" ht="15.95" customHeight="1">
      <c r="B3144" s="37"/>
    </row>
    <row r="3145" spans="2:2" ht="15.95" customHeight="1">
      <c r="B3145" s="37"/>
    </row>
    <row r="3146" spans="2:2" ht="15.95" customHeight="1">
      <c r="B3146" s="37"/>
    </row>
    <row r="3147" spans="2:2" ht="15.95" customHeight="1">
      <c r="B3147" s="37"/>
    </row>
    <row r="3148" spans="2:2" ht="15.95" customHeight="1">
      <c r="B3148" s="37"/>
    </row>
    <row r="3149" spans="2:2" ht="15.95" customHeight="1">
      <c r="B3149" s="37"/>
    </row>
    <row r="3150" spans="2:2" ht="15.95" customHeight="1">
      <c r="B3150" s="37"/>
    </row>
    <row r="3151" spans="2:2" ht="15.95" customHeight="1">
      <c r="B3151" s="37"/>
    </row>
    <row r="3152" spans="2:2" ht="15.95" customHeight="1">
      <c r="B3152" s="37"/>
    </row>
    <row r="3153" spans="2:2" ht="15.95" customHeight="1">
      <c r="B3153" s="37"/>
    </row>
    <row r="3154" spans="2:2" ht="15.95" customHeight="1">
      <c r="B3154" s="37"/>
    </row>
    <row r="3155" spans="2:2" ht="15.95" customHeight="1">
      <c r="B3155" s="37"/>
    </row>
    <row r="3156" spans="2:2" ht="15.95" customHeight="1">
      <c r="B3156" s="37"/>
    </row>
    <row r="3157" spans="2:2" ht="15.95" customHeight="1">
      <c r="B3157" s="37"/>
    </row>
    <row r="3158" spans="2:2" ht="15.95" customHeight="1">
      <c r="B3158" s="37"/>
    </row>
    <row r="3159" spans="2:2" ht="15.95" customHeight="1">
      <c r="B3159" s="37"/>
    </row>
    <row r="3160" spans="2:2" ht="15.95" customHeight="1">
      <c r="B3160" s="37"/>
    </row>
    <row r="3161" spans="2:2" ht="15.95" customHeight="1">
      <c r="B3161" s="37"/>
    </row>
    <row r="3162" spans="2:2" ht="15.95" customHeight="1">
      <c r="B3162" s="37"/>
    </row>
    <row r="3163" spans="2:2" ht="15.95" customHeight="1">
      <c r="B3163" s="37"/>
    </row>
    <row r="3164" spans="2:2" ht="15.95" customHeight="1">
      <c r="B3164" s="37"/>
    </row>
    <row r="3165" spans="2:2" ht="15.95" customHeight="1">
      <c r="B3165" s="37"/>
    </row>
    <row r="3166" spans="2:2" ht="15.95" customHeight="1">
      <c r="B3166" s="37"/>
    </row>
    <row r="3167" spans="2:2" ht="15.95" customHeight="1">
      <c r="B3167" s="37"/>
    </row>
    <row r="3168" spans="2:2" ht="15.95" customHeight="1">
      <c r="B3168" s="37"/>
    </row>
    <row r="3169" spans="2:2" ht="15.95" customHeight="1">
      <c r="B3169" s="37"/>
    </row>
    <row r="3170" spans="2:2" ht="15.95" customHeight="1">
      <c r="B3170" s="37"/>
    </row>
    <row r="3171" spans="2:2" ht="15.95" customHeight="1">
      <c r="B3171" s="37"/>
    </row>
    <row r="3172" spans="2:2" ht="15.95" customHeight="1">
      <c r="B3172" s="37"/>
    </row>
    <row r="3173" spans="2:2" ht="15.95" customHeight="1">
      <c r="B3173" s="37"/>
    </row>
    <row r="3174" spans="2:2" ht="15.95" customHeight="1">
      <c r="B3174" s="37"/>
    </row>
    <row r="3175" spans="2:2" ht="15.95" customHeight="1">
      <c r="B3175" s="37"/>
    </row>
    <row r="3176" spans="2:2" ht="15.95" customHeight="1">
      <c r="B3176" s="37"/>
    </row>
    <row r="3177" spans="2:2" ht="15.95" customHeight="1">
      <c r="B3177" s="37"/>
    </row>
    <row r="3178" spans="2:2" ht="15.95" customHeight="1">
      <c r="B3178" s="37"/>
    </row>
    <row r="3179" spans="2:2" ht="15.95" customHeight="1">
      <c r="B3179" s="37"/>
    </row>
    <row r="3180" spans="2:2" ht="15.95" customHeight="1">
      <c r="B3180" s="37"/>
    </row>
    <row r="3181" spans="2:2" ht="15.95" customHeight="1">
      <c r="B3181" s="37"/>
    </row>
    <row r="3182" spans="2:2" ht="15.95" customHeight="1">
      <c r="B3182" s="37"/>
    </row>
    <row r="3183" spans="2:2" ht="15.95" customHeight="1">
      <c r="B3183" s="37"/>
    </row>
    <row r="3184" spans="2:2" ht="15.95" customHeight="1">
      <c r="B3184" s="37"/>
    </row>
    <row r="3185" spans="2:2" ht="15.95" customHeight="1">
      <c r="B3185" s="37"/>
    </row>
    <row r="3186" spans="2:2" ht="15.95" customHeight="1">
      <c r="B3186" s="37"/>
    </row>
    <row r="3187" spans="2:2" ht="15.95" customHeight="1">
      <c r="B3187" s="37"/>
    </row>
    <row r="3188" spans="2:2" ht="15.95" customHeight="1">
      <c r="B3188" s="37"/>
    </row>
    <row r="3189" spans="2:2" ht="15.95" customHeight="1">
      <c r="B3189" s="37"/>
    </row>
    <row r="3190" spans="2:2" ht="15.95" customHeight="1">
      <c r="B3190" s="37"/>
    </row>
    <row r="3191" spans="2:2" ht="15.95" customHeight="1">
      <c r="B3191" s="37"/>
    </row>
    <row r="3192" spans="2:2" ht="15.95" customHeight="1">
      <c r="B3192" s="37"/>
    </row>
    <row r="3193" spans="2:2" ht="15.95" customHeight="1">
      <c r="B3193" s="37"/>
    </row>
    <row r="3194" spans="2:2" ht="15.95" customHeight="1">
      <c r="B3194" s="37"/>
    </row>
    <row r="3195" spans="2:2" ht="15.95" customHeight="1">
      <c r="B3195" s="37"/>
    </row>
    <row r="3196" spans="2:2" ht="15.95" customHeight="1">
      <c r="B3196" s="37"/>
    </row>
    <row r="3197" spans="2:2" ht="15.95" customHeight="1">
      <c r="B3197" s="37"/>
    </row>
    <row r="3198" spans="2:2" ht="15.95" customHeight="1">
      <c r="B3198" s="37"/>
    </row>
    <row r="3199" spans="2:2" ht="15.95" customHeight="1">
      <c r="B3199" s="37"/>
    </row>
    <row r="3200" spans="2:2" ht="15.95" customHeight="1">
      <c r="B3200" s="37"/>
    </row>
    <row r="3201" spans="2:2" ht="15.95" customHeight="1">
      <c r="B3201" s="37"/>
    </row>
    <row r="3202" spans="2:2" ht="15.95" customHeight="1">
      <c r="B3202" s="37"/>
    </row>
    <row r="3203" spans="2:2" ht="15.95" customHeight="1">
      <c r="B3203" s="37"/>
    </row>
    <row r="3204" spans="2:2" ht="15.95" customHeight="1">
      <c r="B3204" s="37"/>
    </row>
    <row r="3205" spans="2:2" ht="15.95" customHeight="1">
      <c r="B3205" s="37"/>
    </row>
    <row r="3206" spans="2:2" ht="15.95" customHeight="1">
      <c r="B3206" s="37"/>
    </row>
    <row r="3207" spans="2:2" ht="15.95" customHeight="1">
      <c r="B3207" s="37"/>
    </row>
    <row r="3208" spans="2:2" ht="15.95" customHeight="1">
      <c r="B3208" s="37"/>
    </row>
    <row r="3209" spans="2:2" ht="15.95" customHeight="1">
      <c r="B3209" s="37"/>
    </row>
    <row r="3210" spans="2:2" ht="15.95" customHeight="1">
      <c r="B3210" s="37"/>
    </row>
    <row r="3211" spans="2:2" ht="15.95" customHeight="1">
      <c r="B3211" s="37"/>
    </row>
    <row r="3212" spans="2:2" ht="15.95" customHeight="1">
      <c r="B3212" s="37"/>
    </row>
    <row r="3213" spans="2:2" ht="15.95" customHeight="1">
      <c r="B3213" s="37"/>
    </row>
    <row r="3214" spans="2:2" ht="15.95" customHeight="1">
      <c r="B3214" s="37"/>
    </row>
    <row r="3215" spans="2:2" ht="15.95" customHeight="1">
      <c r="B3215" s="37"/>
    </row>
    <row r="3216" spans="2:2" ht="15.95" customHeight="1">
      <c r="B3216" s="37"/>
    </row>
    <row r="3217" spans="2:2" ht="15.95" customHeight="1">
      <c r="B3217" s="37"/>
    </row>
    <row r="3218" spans="2:2" ht="15.95" customHeight="1">
      <c r="B3218" s="37"/>
    </row>
    <row r="3219" spans="2:2" ht="15.95" customHeight="1">
      <c r="B3219" s="37"/>
    </row>
    <row r="3220" spans="2:2" ht="15.95" customHeight="1">
      <c r="B3220" s="37"/>
    </row>
    <row r="3221" spans="2:2" ht="15.95" customHeight="1">
      <c r="B3221" s="37"/>
    </row>
    <row r="3222" spans="2:2" ht="15.95" customHeight="1">
      <c r="B3222" s="37"/>
    </row>
    <row r="3223" spans="2:2" ht="15.95" customHeight="1">
      <c r="B3223" s="37"/>
    </row>
    <row r="3224" spans="2:2" ht="15.95" customHeight="1">
      <c r="B3224" s="37"/>
    </row>
    <row r="3225" spans="2:2" ht="15.95" customHeight="1">
      <c r="B3225" s="37"/>
    </row>
    <row r="3226" spans="2:2" ht="15.95" customHeight="1">
      <c r="B3226" s="37"/>
    </row>
    <row r="3227" spans="2:2" ht="15.95" customHeight="1">
      <c r="B3227" s="37"/>
    </row>
    <row r="3228" spans="2:2" ht="15.95" customHeight="1">
      <c r="B3228" s="37"/>
    </row>
    <row r="3229" spans="2:2" ht="15.95" customHeight="1">
      <c r="B3229" s="37"/>
    </row>
    <row r="3230" spans="2:2" ht="15.95" customHeight="1">
      <c r="B3230" s="37"/>
    </row>
    <row r="3231" spans="2:2" ht="15.95" customHeight="1">
      <c r="B3231" s="37"/>
    </row>
    <row r="3232" spans="2:2" ht="15.95" customHeight="1">
      <c r="B3232" s="37"/>
    </row>
    <row r="3233" spans="2:2" ht="15.95" customHeight="1">
      <c r="B3233" s="37"/>
    </row>
    <row r="3234" spans="2:2" ht="15.95" customHeight="1">
      <c r="B3234" s="37"/>
    </row>
    <row r="3235" spans="2:2" ht="15.95" customHeight="1">
      <c r="B3235" s="37"/>
    </row>
    <row r="3236" spans="2:2" ht="15.95" customHeight="1">
      <c r="B3236" s="37"/>
    </row>
    <row r="3237" spans="2:2" ht="15.95" customHeight="1">
      <c r="B3237" s="37"/>
    </row>
    <row r="3238" spans="2:2" ht="15.95" customHeight="1">
      <c r="B3238" s="37"/>
    </row>
    <row r="3239" spans="2:2" ht="15.95" customHeight="1">
      <c r="B3239" s="37"/>
    </row>
    <row r="3240" spans="2:2" ht="15.95" customHeight="1">
      <c r="B3240" s="37"/>
    </row>
    <row r="3241" spans="2:2" ht="15.95" customHeight="1">
      <c r="B3241" s="37"/>
    </row>
    <row r="3242" spans="2:2" ht="15.95" customHeight="1">
      <c r="B3242" s="37"/>
    </row>
    <row r="3243" spans="2:2" ht="15.95" customHeight="1">
      <c r="B3243" s="37"/>
    </row>
    <row r="3244" spans="2:2" ht="15.95" customHeight="1">
      <c r="B3244" s="37"/>
    </row>
    <row r="3245" spans="2:2" ht="15.95" customHeight="1">
      <c r="B3245" s="37"/>
    </row>
    <row r="3246" spans="2:2" ht="15.95" customHeight="1">
      <c r="B3246" s="37"/>
    </row>
    <row r="3247" spans="2:2" ht="15.95" customHeight="1">
      <c r="B3247" s="37"/>
    </row>
    <row r="3248" spans="2:2" ht="15.95" customHeight="1">
      <c r="B3248" s="37"/>
    </row>
    <row r="3249" spans="2:2" ht="15.95" customHeight="1">
      <c r="B3249" s="37"/>
    </row>
    <row r="3250" spans="2:2" ht="15.95" customHeight="1">
      <c r="B3250" s="37"/>
    </row>
    <row r="3251" spans="2:2" ht="15.95" customHeight="1">
      <c r="B3251" s="37"/>
    </row>
    <row r="3252" spans="2:2" ht="15.95" customHeight="1">
      <c r="B3252" s="37"/>
    </row>
    <row r="3253" spans="2:2" ht="15.95" customHeight="1">
      <c r="B3253" s="37"/>
    </row>
    <row r="3254" spans="2:2" ht="15.95" customHeight="1">
      <c r="B3254" s="37"/>
    </row>
    <row r="3255" spans="2:2" ht="15.95" customHeight="1">
      <c r="B3255" s="37"/>
    </row>
    <row r="3256" spans="2:2" ht="15.95" customHeight="1">
      <c r="B3256" s="37"/>
    </row>
    <row r="3257" spans="2:2" ht="15.95" customHeight="1">
      <c r="B3257" s="37"/>
    </row>
    <row r="3258" spans="2:2" ht="15.95" customHeight="1">
      <c r="B3258" s="37"/>
    </row>
    <row r="3259" spans="2:2" ht="15.95" customHeight="1">
      <c r="B3259" s="37"/>
    </row>
    <row r="3260" spans="2:2" ht="15.95" customHeight="1">
      <c r="B3260" s="37"/>
    </row>
    <row r="3261" spans="2:2" ht="15.95" customHeight="1">
      <c r="B3261" s="37"/>
    </row>
    <row r="3262" spans="2:2" ht="15.95" customHeight="1">
      <c r="B3262" s="37"/>
    </row>
    <row r="3263" spans="2:2" ht="15.95" customHeight="1">
      <c r="B3263" s="37"/>
    </row>
    <row r="3264" spans="2:2" ht="15.95" customHeight="1">
      <c r="B3264" s="37"/>
    </row>
    <row r="3265" spans="2:2" ht="15.95" customHeight="1">
      <c r="B3265" s="37"/>
    </row>
    <row r="3266" spans="2:2" ht="15.95" customHeight="1">
      <c r="B3266" s="37"/>
    </row>
    <row r="3267" spans="2:2" ht="15.95" customHeight="1">
      <c r="B3267" s="37"/>
    </row>
    <row r="3268" spans="2:2" ht="15.95" customHeight="1">
      <c r="B3268" s="37"/>
    </row>
    <row r="3269" spans="2:2" ht="15.95" customHeight="1">
      <c r="B3269" s="37"/>
    </row>
    <row r="3270" spans="2:2" ht="15.95" customHeight="1">
      <c r="B3270" s="37"/>
    </row>
    <row r="3271" spans="2:2" ht="15.95" customHeight="1">
      <c r="B3271" s="37"/>
    </row>
    <row r="3272" spans="2:2" ht="15.95" customHeight="1">
      <c r="B3272" s="37"/>
    </row>
    <row r="3273" spans="2:2" ht="15.95" customHeight="1">
      <c r="B3273" s="37"/>
    </row>
    <row r="3274" spans="2:2" ht="15.95" customHeight="1">
      <c r="B3274" s="37"/>
    </row>
    <row r="3275" spans="2:2" ht="15.95" customHeight="1">
      <c r="B3275" s="37"/>
    </row>
    <row r="3276" spans="2:2" ht="15.95" customHeight="1">
      <c r="B3276" s="37"/>
    </row>
    <row r="3277" spans="2:2" ht="15.95" customHeight="1">
      <c r="B3277" s="37"/>
    </row>
    <row r="3278" spans="2:2" ht="15.95" customHeight="1">
      <c r="B3278" s="37"/>
    </row>
    <row r="3279" spans="2:2" ht="15.95" customHeight="1">
      <c r="B3279" s="37"/>
    </row>
    <row r="3280" spans="2:2" ht="15.95" customHeight="1">
      <c r="B3280" s="37"/>
    </row>
    <row r="3281" spans="2:2" ht="15.95" customHeight="1">
      <c r="B3281" s="37"/>
    </row>
    <row r="3282" spans="2:2" ht="15.95" customHeight="1">
      <c r="B3282" s="37"/>
    </row>
    <row r="3283" spans="2:2" ht="15.95" customHeight="1">
      <c r="B3283" s="37"/>
    </row>
    <row r="3284" spans="2:2" ht="15.95" customHeight="1">
      <c r="B3284" s="37"/>
    </row>
    <row r="3285" spans="2:2" ht="15.95" customHeight="1">
      <c r="B3285" s="37"/>
    </row>
    <row r="3286" spans="2:2" ht="15.95" customHeight="1">
      <c r="B3286" s="37"/>
    </row>
    <row r="3287" spans="2:2" ht="15.95" customHeight="1">
      <c r="B3287" s="37"/>
    </row>
    <row r="3288" spans="2:2" ht="15.95" customHeight="1">
      <c r="B3288" s="37"/>
    </row>
    <row r="3289" spans="2:2" ht="15.95" customHeight="1">
      <c r="B3289" s="37"/>
    </row>
    <row r="3290" spans="2:2" ht="15.95" customHeight="1">
      <c r="B3290" s="37"/>
    </row>
    <row r="3291" spans="2:2" ht="15.95" customHeight="1">
      <c r="B3291" s="37"/>
    </row>
    <row r="3292" spans="2:2" ht="15.95" customHeight="1">
      <c r="B3292" s="37"/>
    </row>
    <row r="3293" spans="2:2" ht="15.95" customHeight="1">
      <c r="B3293" s="37"/>
    </row>
    <row r="3294" spans="2:2" ht="15.95" customHeight="1">
      <c r="B3294" s="37"/>
    </row>
    <row r="3295" spans="2:2" ht="15.95" customHeight="1">
      <c r="B3295" s="37"/>
    </row>
    <row r="3296" spans="2:2" ht="15.95" customHeight="1">
      <c r="B3296" s="37"/>
    </row>
    <row r="3297" spans="2:2" ht="15.95" customHeight="1">
      <c r="B3297" s="37"/>
    </row>
    <row r="3298" spans="2:2" ht="15.95" customHeight="1">
      <c r="B3298" s="37"/>
    </row>
    <row r="3299" spans="2:2" ht="15.95" customHeight="1">
      <c r="B3299" s="37"/>
    </row>
    <row r="3300" spans="2:2" ht="15.95" customHeight="1">
      <c r="B3300" s="37"/>
    </row>
    <row r="3301" spans="2:2" ht="15.95" customHeight="1">
      <c r="B3301" s="37"/>
    </row>
    <row r="3302" spans="2:2" ht="15.95" customHeight="1">
      <c r="B3302" s="37"/>
    </row>
    <row r="3303" spans="2:2" ht="15.95" customHeight="1">
      <c r="B3303" s="37"/>
    </row>
    <row r="3304" spans="2:2" ht="15.95" customHeight="1">
      <c r="B3304" s="37"/>
    </row>
    <row r="3305" spans="2:2" ht="15.95" customHeight="1">
      <c r="B3305" s="37"/>
    </row>
    <row r="3306" spans="2:2" ht="15.95" customHeight="1">
      <c r="B3306" s="37"/>
    </row>
    <row r="3307" spans="2:2" ht="15.95" customHeight="1">
      <c r="B3307" s="37"/>
    </row>
    <row r="3308" spans="2:2" ht="15.95" customHeight="1">
      <c r="B3308" s="37"/>
    </row>
    <row r="3309" spans="2:2" ht="15.95" customHeight="1">
      <c r="B3309" s="37"/>
    </row>
    <row r="3310" spans="2:2" ht="15.95" customHeight="1">
      <c r="B3310" s="37"/>
    </row>
    <row r="3311" spans="2:2" ht="15.95" customHeight="1">
      <c r="B3311" s="37"/>
    </row>
    <row r="3312" spans="2:2" ht="15.95" customHeight="1">
      <c r="B3312" s="37"/>
    </row>
    <row r="3313" spans="2:2" ht="15.95" customHeight="1">
      <c r="B3313" s="37"/>
    </row>
    <row r="3314" spans="2:2" ht="15.95" customHeight="1">
      <c r="B3314" s="37"/>
    </row>
    <row r="3315" spans="2:2" ht="15.95" customHeight="1">
      <c r="B3315" s="37"/>
    </row>
    <row r="3316" spans="2:2" ht="15.95" customHeight="1">
      <c r="B3316" s="37"/>
    </row>
    <row r="3317" spans="2:2" ht="15.95" customHeight="1">
      <c r="B3317" s="37"/>
    </row>
    <row r="3318" spans="2:2" ht="15.95" customHeight="1">
      <c r="B3318" s="37"/>
    </row>
    <row r="3319" spans="2:2" ht="15.95" customHeight="1">
      <c r="B3319" s="37"/>
    </row>
    <row r="3320" spans="2:2" ht="15.95" customHeight="1">
      <c r="B3320" s="37"/>
    </row>
    <row r="3321" spans="2:2" ht="15.95" customHeight="1">
      <c r="B3321" s="37"/>
    </row>
    <row r="3322" spans="2:2" ht="15.95" customHeight="1">
      <c r="B3322" s="37"/>
    </row>
    <row r="3323" spans="2:2" ht="15.95" customHeight="1">
      <c r="B3323" s="37"/>
    </row>
    <row r="3324" spans="2:2" ht="15.95" customHeight="1">
      <c r="B3324" s="37"/>
    </row>
    <row r="3325" spans="2:2" ht="15.95" customHeight="1">
      <c r="B3325" s="37"/>
    </row>
    <row r="3326" spans="2:2" ht="15.95" customHeight="1">
      <c r="B3326" s="37"/>
    </row>
    <row r="3327" spans="2:2" ht="15.95" customHeight="1">
      <c r="B3327" s="37"/>
    </row>
    <row r="3328" spans="2:2" ht="15.95" customHeight="1">
      <c r="B3328" s="37"/>
    </row>
    <row r="3329" spans="2:2" ht="15.95" customHeight="1">
      <c r="B3329" s="37"/>
    </row>
    <row r="3330" spans="2:2" ht="15.95" customHeight="1">
      <c r="B3330" s="37"/>
    </row>
    <row r="3331" spans="2:2" ht="15.95" customHeight="1">
      <c r="B3331" s="37"/>
    </row>
    <row r="3332" spans="2:2" ht="15.95" customHeight="1">
      <c r="B3332" s="37"/>
    </row>
    <row r="3333" spans="2:2" ht="15.95" customHeight="1">
      <c r="B3333" s="37"/>
    </row>
    <row r="3334" spans="2:2" ht="15.95" customHeight="1">
      <c r="B3334" s="37"/>
    </row>
    <row r="3335" spans="2:2" ht="15.95" customHeight="1">
      <c r="B3335" s="37"/>
    </row>
    <row r="3336" spans="2:2" ht="15.95" customHeight="1">
      <c r="B3336" s="37"/>
    </row>
    <row r="3337" spans="2:2" ht="15.95" customHeight="1">
      <c r="B3337" s="37"/>
    </row>
    <row r="3338" spans="2:2" ht="15.95" customHeight="1">
      <c r="B3338" s="37"/>
    </row>
    <row r="3339" spans="2:2" ht="15.95" customHeight="1">
      <c r="B3339" s="37"/>
    </row>
    <row r="3340" spans="2:2" ht="15.95" customHeight="1">
      <c r="B3340" s="37"/>
    </row>
    <row r="3341" spans="2:2" ht="15.95" customHeight="1">
      <c r="B3341" s="37"/>
    </row>
    <row r="3342" spans="2:2" ht="15.95" customHeight="1">
      <c r="B3342" s="37"/>
    </row>
    <row r="3343" spans="2:2" ht="15.95" customHeight="1">
      <c r="B3343" s="37"/>
    </row>
    <row r="3344" spans="2:2" ht="15.95" customHeight="1">
      <c r="B3344" s="37"/>
    </row>
    <row r="3345" spans="2:2" ht="15.95" customHeight="1">
      <c r="B3345" s="37"/>
    </row>
    <row r="3346" spans="2:2" ht="15.95" customHeight="1">
      <c r="B3346" s="37"/>
    </row>
    <row r="3347" spans="2:2" ht="15.95" customHeight="1">
      <c r="B3347" s="37"/>
    </row>
    <row r="3348" spans="2:2" ht="15.95" customHeight="1">
      <c r="B3348" s="37"/>
    </row>
    <row r="3349" spans="2:2" ht="15.95" customHeight="1">
      <c r="B3349" s="37"/>
    </row>
    <row r="3350" spans="2:2" ht="15.95" customHeight="1">
      <c r="B3350" s="37"/>
    </row>
    <row r="3351" spans="2:2" ht="15.95" customHeight="1">
      <c r="B3351" s="37"/>
    </row>
    <row r="3352" spans="2:2" ht="15.95" customHeight="1">
      <c r="B3352" s="37"/>
    </row>
    <row r="3353" spans="2:2" ht="15.95" customHeight="1">
      <c r="B3353" s="37"/>
    </row>
    <row r="3354" spans="2:2" ht="15.95" customHeight="1">
      <c r="B3354" s="37"/>
    </row>
    <row r="3355" spans="2:2" ht="15.95" customHeight="1">
      <c r="B3355" s="37"/>
    </row>
    <row r="3356" spans="2:2" ht="15.95" customHeight="1">
      <c r="B3356" s="37"/>
    </row>
    <row r="3357" spans="2:2" ht="15.95" customHeight="1">
      <c r="B3357" s="37"/>
    </row>
    <row r="3358" spans="2:2" ht="15.95" customHeight="1">
      <c r="B3358" s="37"/>
    </row>
    <row r="3359" spans="2:2" ht="15.95" customHeight="1">
      <c r="B3359" s="37"/>
    </row>
    <row r="3360" spans="2:2" ht="15.95" customHeight="1">
      <c r="B3360" s="37"/>
    </row>
    <row r="3361" spans="2:2" ht="15.95" customHeight="1">
      <c r="B3361" s="37"/>
    </row>
    <row r="3362" spans="2:2" ht="15.95" customHeight="1">
      <c r="B3362" s="37"/>
    </row>
    <row r="3363" spans="2:2" ht="15.95" customHeight="1">
      <c r="B3363" s="37"/>
    </row>
    <row r="3364" spans="2:2" ht="15.95" customHeight="1">
      <c r="B3364" s="37"/>
    </row>
    <row r="3365" spans="2:2" ht="15.95" customHeight="1">
      <c r="B3365" s="37"/>
    </row>
    <row r="3366" spans="2:2" ht="15.95" customHeight="1">
      <c r="B3366" s="37"/>
    </row>
    <row r="3367" spans="2:2" ht="15.95" customHeight="1">
      <c r="B3367" s="37"/>
    </row>
    <row r="3368" spans="2:2" ht="15.95" customHeight="1">
      <c r="B3368" s="37"/>
    </row>
    <row r="3369" spans="2:2" ht="15.95" customHeight="1">
      <c r="B3369" s="37"/>
    </row>
    <row r="3370" spans="2:2" ht="15.95" customHeight="1">
      <c r="B3370" s="37"/>
    </row>
    <row r="3371" spans="2:2" ht="15.95" customHeight="1">
      <c r="B3371" s="37"/>
    </row>
    <row r="3372" spans="2:2" ht="15.95" customHeight="1">
      <c r="B3372" s="37"/>
    </row>
    <row r="3373" spans="2:2" ht="15.95" customHeight="1">
      <c r="B3373" s="37"/>
    </row>
    <row r="3374" spans="2:2" ht="15.95" customHeight="1">
      <c r="B3374" s="37"/>
    </row>
    <row r="3375" spans="2:2" ht="15.95" customHeight="1">
      <c r="B3375" s="37"/>
    </row>
    <row r="3376" spans="2:2" ht="15.95" customHeight="1">
      <c r="B3376" s="37"/>
    </row>
    <row r="3377" spans="2:2" ht="15.95" customHeight="1">
      <c r="B3377" s="37"/>
    </row>
    <row r="3378" spans="2:2" ht="15.95" customHeight="1">
      <c r="B3378" s="37"/>
    </row>
    <row r="3379" spans="2:2" ht="15.95" customHeight="1">
      <c r="B3379" s="37"/>
    </row>
    <row r="3380" spans="2:2" ht="15.95" customHeight="1">
      <c r="B3380" s="37"/>
    </row>
    <row r="3381" spans="2:2" ht="15.95" customHeight="1">
      <c r="B3381" s="37"/>
    </row>
    <row r="3382" spans="2:2" ht="15.95" customHeight="1">
      <c r="B3382" s="37"/>
    </row>
    <row r="3383" spans="2:2" ht="15.95" customHeight="1">
      <c r="B3383" s="37"/>
    </row>
    <row r="3384" spans="2:2" ht="15.95" customHeight="1">
      <c r="B3384" s="37"/>
    </row>
    <row r="3385" spans="2:2" ht="15.95" customHeight="1">
      <c r="B3385" s="37"/>
    </row>
    <row r="3386" spans="2:2" ht="15.95" customHeight="1">
      <c r="B3386" s="37"/>
    </row>
    <row r="3387" spans="2:2" ht="15.95" customHeight="1">
      <c r="B3387" s="37"/>
    </row>
    <row r="3388" spans="2:2" ht="15.95" customHeight="1">
      <c r="B3388" s="37"/>
    </row>
    <row r="3389" spans="2:2" ht="15.95" customHeight="1">
      <c r="B3389" s="37"/>
    </row>
    <row r="3390" spans="2:2" ht="15.95" customHeight="1">
      <c r="B3390" s="37"/>
    </row>
    <row r="3391" spans="2:2" ht="15.95" customHeight="1">
      <c r="B3391" s="37"/>
    </row>
    <row r="3392" spans="2:2" ht="15.95" customHeight="1">
      <c r="B3392" s="37"/>
    </row>
    <row r="3393" spans="2:2" ht="15.95" customHeight="1">
      <c r="B3393" s="37"/>
    </row>
    <row r="3394" spans="2:2" ht="15.95" customHeight="1">
      <c r="B3394" s="37"/>
    </row>
    <row r="3395" spans="2:2" ht="15.95" customHeight="1">
      <c r="B3395" s="37"/>
    </row>
    <row r="3396" spans="2:2" ht="15.95" customHeight="1">
      <c r="B3396" s="37"/>
    </row>
    <row r="3397" spans="2:2" ht="15.95" customHeight="1">
      <c r="B3397" s="37"/>
    </row>
    <row r="3398" spans="2:2" ht="15.95" customHeight="1">
      <c r="B3398" s="37"/>
    </row>
    <row r="3399" spans="2:2" ht="15.95" customHeight="1">
      <c r="B3399" s="37"/>
    </row>
    <row r="3400" spans="2:2" ht="15.95" customHeight="1">
      <c r="B3400" s="37"/>
    </row>
    <row r="3401" spans="2:2" ht="15.95" customHeight="1">
      <c r="B3401" s="37"/>
    </row>
    <row r="3402" spans="2:2" ht="15.95" customHeight="1">
      <c r="B3402" s="37"/>
    </row>
    <row r="3403" spans="2:2" ht="15.95" customHeight="1">
      <c r="B3403" s="37"/>
    </row>
    <row r="3404" spans="2:2" ht="15.95" customHeight="1">
      <c r="B3404" s="37"/>
    </row>
    <row r="3405" spans="2:2" ht="15.95" customHeight="1">
      <c r="B3405" s="37"/>
    </row>
    <row r="3406" spans="2:2" ht="15.95" customHeight="1">
      <c r="B3406" s="37"/>
    </row>
    <row r="3407" spans="2:2" ht="15.95" customHeight="1">
      <c r="B3407" s="37"/>
    </row>
    <row r="3408" spans="2:2" ht="15.95" customHeight="1">
      <c r="B3408" s="37"/>
    </row>
    <row r="3409" spans="2:2" ht="15.95" customHeight="1">
      <c r="B3409" s="37"/>
    </row>
    <row r="3410" spans="2:2" ht="15.95" customHeight="1">
      <c r="B3410" s="37"/>
    </row>
    <row r="3411" spans="2:2" ht="15.95" customHeight="1">
      <c r="B3411" s="37"/>
    </row>
    <row r="3412" spans="2:2" ht="15.95" customHeight="1">
      <c r="B3412" s="37"/>
    </row>
    <row r="3413" spans="2:2" ht="15.95" customHeight="1">
      <c r="B3413" s="37"/>
    </row>
    <row r="3414" spans="2:2" ht="15.95" customHeight="1">
      <c r="B3414" s="37"/>
    </row>
    <row r="3415" spans="2:2" ht="15.95" customHeight="1">
      <c r="B3415" s="37"/>
    </row>
    <row r="3416" spans="2:2" ht="15.95" customHeight="1">
      <c r="B3416" s="37"/>
    </row>
    <row r="3417" spans="2:2" ht="15.95" customHeight="1">
      <c r="B3417" s="37"/>
    </row>
    <row r="3418" spans="2:2" ht="15.95" customHeight="1">
      <c r="B3418" s="37"/>
    </row>
    <row r="3419" spans="2:2" ht="15.95" customHeight="1">
      <c r="B3419" s="37"/>
    </row>
    <row r="3420" spans="2:2" ht="15.95" customHeight="1">
      <c r="B3420" s="37"/>
    </row>
    <row r="3421" spans="2:2" ht="15.95" customHeight="1">
      <c r="B3421" s="37"/>
    </row>
    <row r="3422" spans="2:2" ht="15.95" customHeight="1">
      <c r="B3422" s="37"/>
    </row>
    <row r="3423" spans="2:2" ht="15.95" customHeight="1">
      <c r="B3423" s="37"/>
    </row>
    <row r="3424" spans="2:2" ht="15.95" customHeight="1">
      <c r="B3424" s="37"/>
    </row>
    <row r="3425" spans="2:2" ht="15.95" customHeight="1">
      <c r="B3425" s="37"/>
    </row>
    <row r="3426" spans="2:2" ht="15.95" customHeight="1">
      <c r="B3426" s="37"/>
    </row>
    <row r="3427" spans="2:2" ht="15.95" customHeight="1">
      <c r="B3427" s="37"/>
    </row>
    <row r="3428" spans="2:2" ht="15.95" customHeight="1">
      <c r="B3428" s="37"/>
    </row>
    <row r="3429" spans="2:2" ht="15.95" customHeight="1">
      <c r="B3429" s="37"/>
    </row>
    <row r="3430" spans="2:2" ht="15.95" customHeight="1">
      <c r="B3430" s="37"/>
    </row>
    <row r="3431" spans="2:2" ht="15.95" customHeight="1">
      <c r="B3431" s="37"/>
    </row>
    <row r="3432" spans="2:2" ht="15.95" customHeight="1">
      <c r="B3432" s="37"/>
    </row>
    <row r="3433" spans="2:2" ht="15.95" customHeight="1">
      <c r="B3433" s="37"/>
    </row>
    <row r="3434" spans="2:2" ht="15.95" customHeight="1">
      <c r="B3434" s="37"/>
    </row>
    <row r="3435" spans="2:2" ht="15.95" customHeight="1">
      <c r="B3435" s="37"/>
    </row>
    <row r="3436" spans="2:2" ht="15.95" customHeight="1">
      <c r="B3436" s="37"/>
    </row>
    <row r="3437" spans="2:2" ht="15.95" customHeight="1">
      <c r="B3437" s="37"/>
    </row>
    <row r="3438" spans="2:2" ht="15.95" customHeight="1">
      <c r="B3438" s="37"/>
    </row>
    <row r="3439" spans="2:2" ht="15.95" customHeight="1">
      <c r="B3439" s="37"/>
    </row>
    <row r="3440" spans="2:2" ht="15.95" customHeight="1">
      <c r="B3440" s="37"/>
    </row>
    <row r="3441" spans="2:2" ht="15.95" customHeight="1">
      <c r="B3441" s="37"/>
    </row>
    <row r="3442" spans="2:2" ht="15.95" customHeight="1">
      <c r="B3442" s="37"/>
    </row>
    <row r="3443" spans="2:2" ht="15.95" customHeight="1">
      <c r="B3443" s="37"/>
    </row>
    <row r="3444" spans="2:2" ht="15.95" customHeight="1">
      <c r="B3444" s="37"/>
    </row>
    <row r="3445" spans="2:2" ht="15.95" customHeight="1">
      <c r="B3445" s="37"/>
    </row>
    <row r="3446" spans="2:2" ht="15.95" customHeight="1">
      <c r="B3446" s="37"/>
    </row>
    <row r="3447" spans="2:2" ht="15.95" customHeight="1">
      <c r="B3447" s="37"/>
    </row>
    <row r="3448" spans="2:2" ht="15.95" customHeight="1">
      <c r="B3448" s="37"/>
    </row>
    <row r="3449" spans="2:2" ht="15.95" customHeight="1">
      <c r="B3449" s="37"/>
    </row>
    <row r="3450" spans="2:2" ht="15.95" customHeight="1">
      <c r="B3450" s="37"/>
    </row>
    <row r="3451" spans="2:2" ht="15.95" customHeight="1">
      <c r="B3451" s="37"/>
    </row>
    <row r="3452" spans="2:2" ht="15.95" customHeight="1">
      <c r="B3452" s="37"/>
    </row>
    <row r="3453" spans="2:2" ht="15.95" customHeight="1">
      <c r="B3453" s="37"/>
    </row>
    <row r="3454" spans="2:2" ht="15.95" customHeight="1">
      <c r="B3454" s="37"/>
    </row>
    <row r="3455" spans="2:2" ht="15.95" customHeight="1">
      <c r="B3455" s="37"/>
    </row>
    <row r="3456" spans="2:2" ht="15.95" customHeight="1">
      <c r="B3456" s="37"/>
    </row>
    <row r="3457" spans="2:2" ht="15.95" customHeight="1">
      <c r="B3457" s="37"/>
    </row>
    <row r="3458" spans="2:2" ht="15.95" customHeight="1">
      <c r="B3458" s="37"/>
    </row>
    <row r="3459" spans="2:2" ht="15.95" customHeight="1">
      <c r="B3459" s="37"/>
    </row>
    <row r="3460" spans="2:2" ht="15.95" customHeight="1">
      <c r="B3460" s="37"/>
    </row>
    <row r="3461" spans="2:2" ht="15.95" customHeight="1">
      <c r="B3461" s="37"/>
    </row>
    <row r="3462" spans="2:2" ht="15.95" customHeight="1">
      <c r="B3462" s="37"/>
    </row>
    <row r="3463" spans="2:2" ht="15.95" customHeight="1">
      <c r="B3463" s="37"/>
    </row>
    <row r="3464" spans="2:2" ht="15.95" customHeight="1">
      <c r="B3464" s="37"/>
    </row>
    <row r="3465" spans="2:2" ht="15.95" customHeight="1">
      <c r="B3465" s="37"/>
    </row>
    <row r="3466" spans="2:2" ht="15.95" customHeight="1">
      <c r="B3466" s="37"/>
    </row>
    <row r="3467" spans="2:2" ht="15.95" customHeight="1">
      <c r="B3467" s="37"/>
    </row>
    <row r="3468" spans="2:2" ht="15.95" customHeight="1">
      <c r="B3468" s="37"/>
    </row>
    <row r="3469" spans="2:2" ht="15.95" customHeight="1">
      <c r="B3469" s="37"/>
    </row>
    <row r="3470" spans="2:2" ht="15.95" customHeight="1">
      <c r="B3470" s="37"/>
    </row>
    <row r="3471" spans="2:2" ht="15.95" customHeight="1">
      <c r="B3471" s="37"/>
    </row>
    <row r="3472" spans="2:2" ht="15.95" customHeight="1">
      <c r="B3472" s="37"/>
    </row>
    <row r="3473" spans="2:2" ht="15.95" customHeight="1">
      <c r="B3473" s="37"/>
    </row>
    <row r="3474" spans="2:2" ht="15.95" customHeight="1">
      <c r="B3474" s="37"/>
    </row>
    <row r="3475" spans="2:2" ht="15.95" customHeight="1">
      <c r="B3475" s="37"/>
    </row>
    <row r="3476" spans="2:2" ht="15.95" customHeight="1">
      <c r="B3476" s="37"/>
    </row>
    <row r="3477" spans="2:2" ht="15.95" customHeight="1">
      <c r="B3477" s="37"/>
    </row>
    <row r="3478" spans="2:2" ht="15.95" customHeight="1">
      <c r="B3478" s="37"/>
    </row>
    <row r="3479" spans="2:2" ht="15.95" customHeight="1">
      <c r="B3479" s="37"/>
    </row>
    <row r="3480" spans="2:2" ht="15.95" customHeight="1">
      <c r="B3480" s="37"/>
    </row>
    <row r="3481" spans="2:2" ht="15.95" customHeight="1">
      <c r="B3481" s="37"/>
    </row>
    <row r="3482" spans="2:2" ht="15.95" customHeight="1">
      <c r="B3482" s="37"/>
    </row>
    <row r="3483" spans="2:2" ht="15.95" customHeight="1">
      <c r="B3483" s="37"/>
    </row>
    <row r="3484" spans="2:2" ht="15.95" customHeight="1">
      <c r="B3484" s="37"/>
    </row>
    <row r="3485" spans="2:2" ht="15.95" customHeight="1">
      <c r="B3485" s="37"/>
    </row>
    <row r="3486" spans="2:2" ht="15.95" customHeight="1">
      <c r="B3486" s="37"/>
    </row>
    <row r="3487" spans="2:2" ht="15.95" customHeight="1">
      <c r="B3487" s="37"/>
    </row>
    <row r="3488" spans="2:2" ht="15.95" customHeight="1">
      <c r="B3488" s="37"/>
    </row>
    <row r="3489" spans="2:2" ht="15.95" customHeight="1">
      <c r="B3489" s="37"/>
    </row>
    <row r="3490" spans="2:2" ht="15.95" customHeight="1">
      <c r="B3490" s="37"/>
    </row>
    <row r="3491" spans="2:2" ht="15.95" customHeight="1">
      <c r="B3491" s="37"/>
    </row>
    <row r="3492" spans="2:2" ht="15.95" customHeight="1">
      <c r="B3492" s="37"/>
    </row>
    <row r="3493" spans="2:2" ht="15.95" customHeight="1">
      <c r="B3493" s="37"/>
    </row>
    <row r="3494" spans="2:2" ht="15.95" customHeight="1">
      <c r="B3494" s="37"/>
    </row>
    <row r="3495" spans="2:2" ht="15.95" customHeight="1">
      <c r="B3495" s="37"/>
    </row>
    <row r="3496" spans="2:2" ht="15.95" customHeight="1">
      <c r="B3496" s="37"/>
    </row>
    <row r="3497" spans="2:2" ht="15.95" customHeight="1">
      <c r="B3497" s="37"/>
    </row>
    <row r="3498" spans="2:2" ht="15.95" customHeight="1">
      <c r="B3498" s="37"/>
    </row>
    <row r="3499" spans="2:2" ht="15.95" customHeight="1">
      <c r="B3499" s="37"/>
    </row>
    <row r="3500" spans="2:2" ht="15.95" customHeight="1">
      <c r="B3500" s="37"/>
    </row>
    <row r="3501" spans="2:2" ht="15.95" customHeight="1">
      <c r="B3501" s="37"/>
    </row>
    <row r="3502" spans="2:2" ht="15.95" customHeight="1">
      <c r="B3502" s="37"/>
    </row>
    <row r="3503" spans="2:2" ht="15.95" customHeight="1">
      <c r="B3503" s="37"/>
    </row>
    <row r="3504" spans="2:2" ht="15.95" customHeight="1">
      <c r="B3504" s="37"/>
    </row>
    <row r="3505" spans="2:2" ht="15.95" customHeight="1">
      <c r="B3505" s="37"/>
    </row>
    <row r="3506" spans="2:2" ht="15.95" customHeight="1">
      <c r="B3506" s="37"/>
    </row>
    <row r="3507" spans="2:2" ht="15.95" customHeight="1">
      <c r="B3507" s="37"/>
    </row>
    <row r="3508" spans="2:2" ht="15.95" customHeight="1">
      <c r="B3508" s="37"/>
    </row>
    <row r="3509" spans="2:2" ht="15.95" customHeight="1">
      <c r="B3509" s="37"/>
    </row>
    <row r="3510" spans="2:2" ht="15.95" customHeight="1">
      <c r="B3510" s="37"/>
    </row>
    <row r="3511" spans="2:2" ht="15.95" customHeight="1">
      <c r="B3511" s="37"/>
    </row>
    <row r="3512" spans="2:2" ht="15.95" customHeight="1">
      <c r="B3512" s="37"/>
    </row>
    <row r="3513" spans="2:2" ht="15.95" customHeight="1">
      <c r="B3513" s="37"/>
    </row>
    <row r="3514" spans="2:2" ht="15.95" customHeight="1">
      <c r="B3514" s="37"/>
    </row>
    <row r="3515" spans="2:2" ht="15.95" customHeight="1">
      <c r="B3515" s="37"/>
    </row>
    <row r="3516" spans="2:2" ht="15.95" customHeight="1">
      <c r="B3516" s="37"/>
    </row>
    <row r="3517" spans="2:2" ht="15.95" customHeight="1">
      <c r="B3517" s="37"/>
    </row>
    <row r="3518" spans="2:2" ht="15.95" customHeight="1">
      <c r="B3518" s="37"/>
    </row>
    <row r="3519" spans="2:2" ht="15.95" customHeight="1">
      <c r="B3519" s="37"/>
    </row>
    <row r="3520" spans="2:2" ht="15.95" customHeight="1">
      <c r="B3520" s="37"/>
    </row>
    <row r="3521" spans="2:2" ht="15.95" customHeight="1">
      <c r="B3521" s="37"/>
    </row>
    <row r="3522" spans="2:2" ht="15.95" customHeight="1">
      <c r="B3522" s="37"/>
    </row>
    <row r="3523" spans="2:2" ht="15.95" customHeight="1">
      <c r="B3523" s="37"/>
    </row>
    <row r="3524" spans="2:2" ht="15.95" customHeight="1">
      <c r="B3524" s="37"/>
    </row>
    <row r="3525" spans="2:2" ht="15.95" customHeight="1">
      <c r="B3525" s="37"/>
    </row>
    <row r="3526" spans="2:2" ht="15.95" customHeight="1">
      <c r="B3526" s="37"/>
    </row>
    <row r="3527" spans="2:2" ht="15.95" customHeight="1">
      <c r="B3527" s="37"/>
    </row>
    <row r="3528" spans="2:2" ht="15.95" customHeight="1">
      <c r="B3528" s="37"/>
    </row>
    <row r="3529" spans="2:2" ht="15.95" customHeight="1">
      <c r="B3529" s="37"/>
    </row>
    <row r="3530" spans="2:2" ht="15.95" customHeight="1">
      <c r="B3530" s="37"/>
    </row>
    <row r="3531" spans="2:2" ht="15.95" customHeight="1">
      <c r="B3531" s="37"/>
    </row>
    <row r="3532" spans="2:2" ht="15.95" customHeight="1">
      <c r="B3532" s="37"/>
    </row>
    <row r="3533" spans="2:2" ht="15.95" customHeight="1">
      <c r="B3533" s="37"/>
    </row>
    <row r="3534" spans="2:2" ht="15.95" customHeight="1">
      <c r="B3534" s="37"/>
    </row>
    <row r="3535" spans="2:2" ht="15.95" customHeight="1">
      <c r="B3535" s="37"/>
    </row>
    <row r="3536" spans="2:2" ht="15.95" customHeight="1">
      <c r="B3536" s="37"/>
    </row>
    <row r="3537" spans="2:2" ht="15.95" customHeight="1">
      <c r="B3537" s="37"/>
    </row>
    <row r="3538" spans="2:2" ht="15.95" customHeight="1">
      <c r="B3538" s="37"/>
    </row>
    <row r="3539" spans="2:2" ht="15.95" customHeight="1">
      <c r="B3539" s="37"/>
    </row>
    <row r="3540" spans="2:2" ht="15.95" customHeight="1">
      <c r="B3540" s="37"/>
    </row>
    <row r="3541" spans="2:2" ht="15.95" customHeight="1">
      <c r="B3541" s="37"/>
    </row>
    <row r="3542" spans="2:2" ht="15.95" customHeight="1">
      <c r="B3542" s="37"/>
    </row>
    <row r="3543" spans="2:2" ht="15.95" customHeight="1">
      <c r="B3543" s="37"/>
    </row>
    <row r="3544" spans="2:2" ht="15.95" customHeight="1">
      <c r="B3544" s="37"/>
    </row>
    <row r="3545" spans="2:2" ht="15.95" customHeight="1">
      <c r="B3545" s="37"/>
    </row>
    <row r="3546" spans="2:2" ht="15.95" customHeight="1">
      <c r="B3546" s="37"/>
    </row>
    <row r="3547" spans="2:2" ht="15.95" customHeight="1">
      <c r="B3547" s="37"/>
    </row>
    <row r="3548" spans="2:2" ht="15.95" customHeight="1">
      <c r="B3548" s="37"/>
    </row>
    <row r="3549" spans="2:2" ht="15.95" customHeight="1">
      <c r="B3549" s="37"/>
    </row>
    <row r="3550" spans="2:2" ht="15.95" customHeight="1">
      <c r="B3550" s="37"/>
    </row>
    <row r="3551" spans="2:2" ht="15.95" customHeight="1">
      <c r="B3551" s="37"/>
    </row>
    <row r="3552" spans="2:2" ht="15.95" customHeight="1">
      <c r="B3552" s="37"/>
    </row>
    <row r="3553" spans="2:2" ht="15.95" customHeight="1">
      <c r="B3553" s="37"/>
    </row>
    <row r="3554" spans="2:2" ht="15.95" customHeight="1">
      <c r="B3554" s="37"/>
    </row>
    <row r="3555" spans="2:2" ht="15.95" customHeight="1">
      <c r="B3555" s="37"/>
    </row>
    <row r="3556" spans="2:2" ht="15.95" customHeight="1">
      <c r="B3556" s="37"/>
    </row>
    <row r="3557" spans="2:2" ht="15.95" customHeight="1">
      <c r="B3557" s="37"/>
    </row>
    <row r="3558" spans="2:2" ht="15.95" customHeight="1">
      <c r="B3558" s="37"/>
    </row>
    <row r="3559" spans="2:2" ht="15.95" customHeight="1">
      <c r="B3559" s="37"/>
    </row>
    <row r="3560" spans="2:2" ht="15.95" customHeight="1">
      <c r="B3560" s="37"/>
    </row>
    <row r="3561" spans="2:2" ht="15.95" customHeight="1">
      <c r="B3561" s="37"/>
    </row>
    <row r="3562" spans="2:2" ht="15.95" customHeight="1">
      <c r="B3562" s="37"/>
    </row>
    <row r="3563" spans="2:2" ht="15.95" customHeight="1">
      <c r="B3563" s="37"/>
    </row>
    <row r="3564" spans="2:2" ht="15.95" customHeight="1">
      <c r="B3564" s="37"/>
    </row>
    <row r="3565" spans="2:2" ht="15.95" customHeight="1">
      <c r="B3565" s="37"/>
    </row>
    <row r="3566" spans="2:2" ht="15.95" customHeight="1">
      <c r="B3566" s="37"/>
    </row>
    <row r="3567" spans="2:2" ht="15.95" customHeight="1">
      <c r="B3567" s="37"/>
    </row>
    <row r="3568" spans="2:2" ht="15.95" customHeight="1">
      <c r="B3568" s="37"/>
    </row>
    <row r="3569" spans="2:2" ht="15.95" customHeight="1">
      <c r="B3569" s="37"/>
    </row>
    <row r="3570" spans="2:2" ht="15.95" customHeight="1">
      <c r="B3570" s="37"/>
    </row>
    <row r="3571" spans="2:2" ht="15.95" customHeight="1">
      <c r="B3571" s="37"/>
    </row>
    <row r="3572" spans="2:2" ht="15.95" customHeight="1">
      <c r="B3572" s="37"/>
    </row>
    <row r="3573" spans="2:2" ht="15.95" customHeight="1">
      <c r="B3573" s="37"/>
    </row>
    <row r="3574" spans="2:2" ht="15.95" customHeight="1">
      <c r="B3574" s="37"/>
    </row>
    <row r="3575" spans="2:2" ht="15.95" customHeight="1">
      <c r="B3575" s="37"/>
    </row>
    <row r="3576" spans="2:2" ht="15.95" customHeight="1">
      <c r="B3576" s="37"/>
    </row>
    <row r="3577" spans="2:2" ht="15.95" customHeight="1">
      <c r="B3577" s="37"/>
    </row>
    <row r="3578" spans="2:2" ht="15.95" customHeight="1">
      <c r="B3578" s="37"/>
    </row>
    <row r="3579" spans="2:2" ht="15.95" customHeight="1">
      <c r="B3579" s="37"/>
    </row>
    <row r="3580" spans="2:2" ht="15.95" customHeight="1">
      <c r="B3580" s="37"/>
    </row>
    <row r="3581" spans="2:2" ht="15.95" customHeight="1">
      <c r="B3581" s="37"/>
    </row>
    <row r="3582" spans="2:2" ht="15.95" customHeight="1">
      <c r="B3582" s="37"/>
    </row>
    <row r="3583" spans="2:2" ht="15.95" customHeight="1">
      <c r="B3583" s="37"/>
    </row>
    <row r="3584" spans="2:2" ht="15.95" customHeight="1">
      <c r="B3584" s="37"/>
    </row>
    <row r="3585" spans="2:2" ht="15.95" customHeight="1">
      <c r="B3585" s="37"/>
    </row>
    <row r="3586" spans="2:2" ht="15.95" customHeight="1">
      <c r="B3586" s="37"/>
    </row>
    <row r="3587" spans="2:2" ht="15.95" customHeight="1">
      <c r="B3587" s="37"/>
    </row>
    <row r="3588" spans="2:2" ht="15.95" customHeight="1">
      <c r="B3588" s="37"/>
    </row>
    <row r="3589" spans="2:2" ht="15.95" customHeight="1">
      <c r="B3589" s="37"/>
    </row>
    <row r="3590" spans="2:2" ht="15.95" customHeight="1">
      <c r="B3590" s="37"/>
    </row>
    <row r="3591" spans="2:2" ht="15.95" customHeight="1">
      <c r="B3591" s="37"/>
    </row>
    <row r="3592" spans="2:2" ht="15.95" customHeight="1">
      <c r="B3592" s="37"/>
    </row>
    <row r="3593" spans="2:2" ht="15.95" customHeight="1">
      <c r="B3593" s="37"/>
    </row>
    <row r="3594" spans="2:2" ht="15.95" customHeight="1">
      <c r="B3594" s="37"/>
    </row>
    <row r="3595" spans="2:2" ht="15.95" customHeight="1">
      <c r="B3595" s="37"/>
    </row>
    <row r="3596" spans="2:2" ht="15.95" customHeight="1">
      <c r="B3596" s="37"/>
    </row>
    <row r="3597" spans="2:2" ht="15.95" customHeight="1">
      <c r="B3597" s="37"/>
    </row>
    <row r="3598" spans="2:2" ht="15.95" customHeight="1">
      <c r="B3598" s="37"/>
    </row>
    <row r="3599" spans="2:2" ht="15.95" customHeight="1">
      <c r="B3599" s="37"/>
    </row>
    <row r="3600" spans="2:2" ht="15.95" customHeight="1">
      <c r="B3600" s="37"/>
    </row>
    <row r="3601" spans="2:2" ht="15.95" customHeight="1">
      <c r="B3601" s="37"/>
    </row>
    <row r="3602" spans="2:2" ht="15.95" customHeight="1">
      <c r="B3602" s="37"/>
    </row>
    <row r="3603" spans="2:2" ht="15.95" customHeight="1">
      <c r="B3603" s="37"/>
    </row>
    <row r="3604" spans="2:2" ht="15.95" customHeight="1">
      <c r="B3604" s="37"/>
    </row>
    <row r="3605" spans="2:2" ht="15.95" customHeight="1">
      <c r="B3605" s="37"/>
    </row>
    <row r="3606" spans="2:2" ht="15.95" customHeight="1">
      <c r="B3606" s="37"/>
    </row>
    <row r="3607" spans="2:2" ht="15.95" customHeight="1">
      <c r="B3607" s="37"/>
    </row>
    <row r="3608" spans="2:2" ht="15.95" customHeight="1">
      <c r="B3608" s="37"/>
    </row>
    <row r="3609" spans="2:2" ht="15.95" customHeight="1">
      <c r="B3609" s="37"/>
    </row>
    <row r="3610" spans="2:2" ht="15.95" customHeight="1">
      <c r="B3610" s="37"/>
    </row>
    <row r="3611" spans="2:2" ht="15.95" customHeight="1">
      <c r="B3611" s="37"/>
    </row>
    <row r="3612" spans="2:2" ht="15.95" customHeight="1">
      <c r="B3612" s="37"/>
    </row>
    <row r="3613" spans="2:2" ht="15.95" customHeight="1">
      <c r="B3613" s="37"/>
    </row>
    <row r="3614" spans="2:2" ht="15.95" customHeight="1">
      <c r="B3614" s="37"/>
    </row>
    <row r="3615" spans="2:2" ht="15.95" customHeight="1">
      <c r="B3615" s="37"/>
    </row>
    <row r="3616" spans="2:2" ht="15.95" customHeight="1">
      <c r="B3616" s="37"/>
    </row>
    <row r="3617" spans="2:2" ht="15.95" customHeight="1">
      <c r="B3617" s="37"/>
    </row>
    <row r="3618" spans="2:2" ht="15.95" customHeight="1">
      <c r="B3618" s="37"/>
    </row>
    <row r="3619" spans="2:2" ht="15.95" customHeight="1">
      <c r="B3619" s="37"/>
    </row>
    <row r="3620" spans="2:2" ht="15.95" customHeight="1">
      <c r="B3620" s="37"/>
    </row>
    <row r="3621" spans="2:2" ht="15.95" customHeight="1">
      <c r="B3621" s="37"/>
    </row>
    <row r="3622" spans="2:2" ht="15.95" customHeight="1">
      <c r="B3622" s="37"/>
    </row>
    <row r="3623" spans="2:2" ht="15.95" customHeight="1">
      <c r="B3623" s="37"/>
    </row>
    <row r="3624" spans="2:2" ht="15.95" customHeight="1">
      <c r="B3624" s="37"/>
    </row>
    <row r="3625" spans="2:2" ht="15.95" customHeight="1">
      <c r="B3625" s="37"/>
    </row>
    <row r="3626" spans="2:2" ht="15.95" customHeight="1">
      <c r="B3626" s="37"/>
    </row>
    <row r="3627" spans="2:2" ht="15.95" customHeight="1">
      <c r="B3627" s="37"/>
    </row>
    <row r="3628" spans="2:2" ht="15.95" customHeight="1">
      <c r="B3628" s="37"/>
    </row>
    <row r="3629" spans="2:2" ht="15.95" customHeight="1">
      <c r="B3629" s="37"/>
    </row>
    <row r="3630" spans="2:2" ht="15.95" customHeight="1">
      <c r="B3630" s="37"/>
    </row>
    <row r="3631" spans="2:2" ht="15.95" customHeight="1">
      <c r="B3631" s="37"/>
    </row>
    <row r="3632" spans="2:2" ht="15.95" customHeight="1">
      <c r="B3632" s="37"/>
    </row>
    <row r="3633" spans="2:2" ht="15.95" customHeight="1">
      <c r="B3633" s="37"/>
    </row>
    <row r="3634" spans="2:2" ht="15.95" customHeight="1">
      <c r="B3634" s="37"/>
    </row>
    <row r="3635" spans="2:2" ht="15.95" customHeight="1">
      <c r="B3635" s="37"/>
    </row>
    <row r="3636" spans="2:2" ht="15.95" customHeight="1">
      <c r="B3636" s="37"/>
    </row>
    <row r="3637" spans="2:2" ht="15.95" customHeight="1">
      <c r="B3637" s="37"/>
    </row>
    <row r="3638" spans="2:2" ht="15.95" customHeight="1">
      <c r="B3638" s="37"/>
    </row>
    <row r="3639" spans="2:2" ht="15.95" customHeight="1">
      <c r="B3639" s="37"/>
    </row>
    <row r="3640" spans="2:2" ht="15.95" customHeight="1">
      <c r="B3640" s="37"/>
    </row>
    <row r="3641" spans="2:2" ht="15.95" customHeight="1">
      <c r="B3641" s="37"/>
    </row>
    <row r="3642" spans="2:2" ht="15.95" customHeight="1">
      <c r="B3642" s="37"/>
    </row>
    <row r="3643" spans="2:2" ht="15.95" customHeight="1">
      <c r="B3643" s="37"/>
    </row>
    <row r="3644" spans="2:2" ht="15.95" customHeight="1">
      <c r="B3644" s="37"/>
    </row>
    <row r="3645" spans="2:2" ht="15.95" customHeight="1">
      <c r="B3645" s="37"/>
    </row>
    <row r="3646" spans="2:2" ht="15.95" customHeight="1">
      <c r="B3646" s="37"/>
    </row>
    <row r="3647" spans="2:2" ht="15.95" customHeight="1">
      <c r="B3647" s="37"/>
    </row>
    <row r="3648" spans="2:2" ht="15.95" customHeight="1">
      <c r="B3648" s="37"/>
    </row>
    <row r="3649" spans="2:2" ht="15.95" customHeight="1">
      <c r="B3649" s="37"/>
    </row>
    <row r="3650" spans="2:2" ht="15.95" customHeight="1">
      <c r="B3650" s="37"/>
    </row>
    <row r="3651" spans="2:2" ht="15.95" customHeight="1">
      <c r="B3651" s="37"/>
    </row>
    <row r="3652" spans="2:2" ht="15.95" customHeight="1">
      <c r="B3652" s="37"/>
    </row>
    <row r="3653" spans="2:2" ht="15.95" customHeight="1">
      <c r="B3653" s="37"/>
    </row>
    <row r="3654" spans="2:2" ht="15.95" customHeight="1">
      <c r="B3654" s="37"/>
    </row>
    <row r="3655" spans="2:2" ht="15.95" customHeight="1">
      <c r="B3655" s="37"/>
    </row>
    <row r="3656" spans="2:2" ht="15.95" customHeight="1">
      <c r="B3656" s="37"/>
    </row>
    <row r="3657" spans="2:2" ht="15.95" customHeight="1">
      <c r="B3657" s="37"/>
    </row>
    <row r="3658" spans="2:2" ht="15.95" customHeight="1">
      <c r="B3658" s="37"/>
    </row>
    <row r="3659" spans="2:2" ht="15.95" customHeight="1">
      <c r="B3659" s="37"/>
    </row>
    <row r="3660" spans="2:2" ht="15.95" customHeight="1">
      <c r="B3660" s="37"/>
    </row>
    <row r="3661" spans="2:2" ht="15.95" customHeight="1">
      <c r="B3661" s="37"/>
    </row>
    <row r="3662" spans="2:2" ht="15.95" customHeight="1">
      <c r="B3662" s="37"/>
    </row>
    <row r="3663" spans="2:2" ht="15.95" customHeight="1">
      <c r="B3663" s="37"/>
    </row>
    <row r="3664" spans="2:2" ht="15.95" customHeight="1">
      <c r="B3664" s="37"/>
    </row>
    <row r="3665" spans="2:2" ht="15.95" customHeight="1">
      <c r="B3665" s="37"/>
    </row>
    <row r="3666" spans="2:2" ht="15.95" customHeight="1">
      <c r="B3666" s="37"/>
    </row>
    <row r="3667" spans="2:2" ht="15.95" customHeight="1">
      <c r="B3667" s="37"/>
    </row>
    <row r="3668" spans="2:2" ht="15.95" customHeight="1">
      <c r="B3668" s="37"/>
    </row>
    <row r="3669" spans="2:2" ht="15.95" customHeight="1">
      <c r="B3669" s="37"/>
    </row>
    <row r="3670" spans="2:2" ht="15.95" customHeight="1">
      <c r="B3670" s="37"/>
    </row>
    <row r="3671" spans="2:2" ht="15.95" customHeight="1">
      <c r="B3671" s="37"/>
    </row>
    <row r="3672" spans="2:2" ht="15.95" customHeight="1">
      <c r="B3672" s="37"/>
    </row>
    <row r="3673" spans="2:2" ht="15.95" customHeight="1">
      <c r="B3673" s="37"/>
    </row>
    <row r="3674" spans="2:2" ht="15.95" customHeight="1">
      <c r="B3674" s="37"/>
    </row>
    <row r="3675" spans="2:2" ht="15.95" customHeight="1">
      <c r="B3675" s="37"/>
    </row>
    <row r="3676" spans="2:2" ht="15.95" customHeight="1">
      <c r="B3676" s="37"/>
    </row>
    <row r="3677" spans="2:2" ht="15.95" customHeight="1">
      <c r="B3677" s="37"/>
    </row>
    <row r="3678" spans="2:2" ht="15.95" customHeight="1">
      <c r="B3678" s="37"/>
    </row>
    <row r="3679" spans="2:2" ht="15.95" customHeight="1">
      <c r="B3679" s="37"/>
    </row>
    <row r="3680" spans="2:2" ht="15.95" customHeight="1">
      <c r="B3680" s="37"/>
    </row>
    <row r="3681" spans="2:2" ht="15.95" customHeight="1">
      <c r="B3681" s="37"/>
    </row>
    <row r="3682" spans="2:2" ht="15.95" customHeight="1">
      <c r="B3682" s="37"/>
    </row>
    <row r="3683" spans="2:2" ht="15.95" customHeight="1">
      <c r="B3683" s="37"/>
    </row>
    <row r="3684" spans="2:2" ht="15.95" customHeight="1">
      <c r="B3684" s="37"/>
    </row>
    <row r="3685" spans="2:2" ht="15.95" customHeight="1">
      <c r="B3685" s="37"/>
    </row>
    <row r="3686" spans="2:2" ht="15.95" customHeight="1">
      <c r="B3686" s="37"/>
    </row>
    <row r="3687" spans="2:2" ht="15.95" customHeight="1">
      <c r="B3687" s="37"/>
    </row>
    <row r="3688" spans="2:2" ht="15.95" customHeight="1">
      <c r="B3688" s="37"/>
    </row>
    <row r="3689" spans="2:2" ht="15.95" customHeight="1">
      <c r="B3689" s="37"/>
    </row>
    <row r="3690" spans="2:2" ht="15.95" customHeight="1">
      <c r="B3690" s="37"/>
    </row>
    <row r="3691" spans="2:2" ht="15.95" customHeight="1">
      <c r="B3691" s="37"/>
    </row>
    <row r="3692" spans="2:2" ht="15.95" customHeight="1">
      <c r="B3692" s="37"/>
    </row>
    <row r="3693" spans="2:2" ht="15.95" customHeight="1">
      <c r="B3693" s="37"/>
    </row>
    <row r="3694" spans="2:2" ht="15.95" customHeight="1">
      <c r="B3694" s="37"/>
    </row>
    <row r="3695" spans="2:2" ht="15.95" customHeight="1">
      <c r="B3695" s="37"/>
    </row>
    <row r="3696" spans="2:2" ht="15.95" customHeight="1">
      <c r="B3696" s="37"/>
    </row>
    <row r="3697" spans="2:2" ht="15.95" customHeight="1">
      <c r="B3697" s="37"/>
    </row>
    <row r="3698" spans="2:2" ht="15.95" customHeight="1">
      <c r="B3698" s="37"/>
    </row>
    <row r="3699" spans="2:2" ht="15.95" customHeight="1">
      <c r="B3699" s="37"/>
    </row>
    <row r="3700" spans="2:2" ht="15.95" customHeight="1">
      <c r="B3700" s="37"/>
    </row>
    <row r="3701" spans="2:2" ht="15.95" customHeight="1">
      <c r="B3701" s="37"/>
    </row>
    <row r="3702" spans="2:2" ht="15.95" customHeight="1">
      <c r="B3702" s="37"/>
    </row>
    <row r="3703" spans="2:2" ht="15.95" customHeight="1">
      <c r="B3703" s="37"/>
    </row>
    <row r="3704" spans="2:2" ht="15.95" customHeight="1">
      <c r="B3704" s="37"/>
    </row>
    <row r="3705" spans="2:2" ht="15.95" customHeight="1">
      <c r="B3705" s="37"/>
    </row>
    <row r="3706" spans="2:2" ht="15.95" customHeight="1">
      <c r="B3706" s="37"/>
    </row>
    <row r="3707" spans="2:2" ht="15.95" customHeight="1">
      <c r="B3707" s="37"/>
    </row>
    <row r="3708" spans="2:2" ht="15.95" customHeight="1">
      <c r="B3708" s="37"/>
    </row>
    <row r="3709" spans="2:2" ht="15.95" customHeight="1">
      <c r="B3709" s="37"/>
    </row>
    <row r="3710" spans="2:2" ht="15.95" customHeight="1">
      <c r="B3710" s="37"/>
    </row>
    <row r="3711" spans="2:2" ht="15.95" customHeight="1">
      <c r="B3711" s="37"/>
    </row>
    <row r="3712" spans="2:2" ht="15.95" customHeight="1">
      <c r="B3712" s="37"/>
    </row>
    <row r="3713" spans="2:2" ht="15.95" customHeight="1">
      <c r="B3713" s="37"/>
    </row>
    <row r="3714" spans="2:2" ht="15.95" customHeight="1">
      <c r="B3714" s="37"/>
    </row>
    <row r="3715" spans="2:2" ht="15.95" customHeight="1">
      <c r="B3715" s="37"/>
    </row>
    <row r="3716" spans="2:2" ht="15.95" customHeight="1">
      <c r="B3716" s="37"/>
    </row>
    <row r="3717" spans="2:2" ht="15.95" customHeight="1">
      <c r="B3717" s="37"/>
    </row>
    <row r="3718" spans="2:2" ht="15.95" customHeight="1">
      <c r="B3718" s="37"/>
    </row>
    <row r="3719" spans="2:2" ht="15.95" customHeight="1">
      <c r="B3719" s="37"/>
    </row>
    <row r="3720" spans="2:2" ht="15.95" customHeight="1">
      <c r="B3720" s="37"/>
    </row>
    <row r="3721" spans="2:2" ht="15.95" customHeight="1">
      <c r="B3721" s="37"/>
    </row>
    <row r="3722" spans="2:2" ht="15.95" customHeight="1">
      <c r="B3722" s="37"/>
    </row>
    <row r="3723" spans="2:2" ht="15.95" customHeight="1">
      <c r="B3723" s="37"/>
    </row>
    <row r="3724" spans="2:2" ht="15.95" customHeight="1">
      <c r="B3724" s="37"/>
    </row>
    <row r="3725" spans="2:2" ht="15.95" customHeight="1">
      <c r="B3725" s="37"/>
    </row>
    <row r="3726" spans="2:2" ht="15.95" customHeight="1">
      <c r="B3726" s="37"/>
    </row>
    <row r="3727" spans="2:2" ht="15.95" customHeight="1">
      <c r="B3727" s="37"/>
    </row>
    <row r="3728" spans="2:2" ht="15.95" customHeight="1">
      <c r="B3728" s="37"/>
    </row>
    <row r="3729" spans="2:2" ht="15.95" customHeight="1">
      <c r="B3729" s="37"/>
    </row>
    <row r="3730" spans="2:2" ht="15.95" customHeight="1">
      <c r="B3730" s="37"/>
    </row>
    <row r="3731" spans="2:2" ht="15.95" customHeight="1">
      <c r="B3731" s="37"/>
    </row>
    <row r="3732" spans="2:2" ht="15.95" customHeight="1">
      <c r="B3732" s="37"/>
    </row>
    <row r="3733" spans="2:2" ht="15.95" customHeight="1">
      <c r="B3733" s="37"/>
    </row>
    <row r="3734" spans="2:2" ht="15.95" customHeight="1">
      <c r="B3734" s="37"/>
    </row>
    <row r="3735" spans="2:2" ht="15.95" customHeight="1">
      <c r="B3735" s="37"/>
    </row>
    <row r="3736" spans="2:2" ht="15.95" customHeight="1">
      <c r="B3736" s="37"/>
    </row>
    <row r="3737" spans="2:2" ht="15.95" customHeight="1">
      <c r="B3737" s="37"/>
    </row>
    <row r="3738" spans="2:2" ht="15.95" customHeight="1">
      <c r="B3738" s="37"/>
    </row>
    <row r="3739" spans="2:2" ht="15.95" customHeight="1">
      <c r="B3739" s="37"/>
    </row>
    <row r="3740" spans="2:2" ht="15.95" customHeight="1">
      <c r="B3740" s="37"/>
    </row>
    <row r="3741" spans="2:2" ht="15.95" customHeight="1">
      <c r="B3741" s="37"/>
    </row>
    <row r="3742" spans="2:2" ht="15.95" customHeight="1">
      <c r="B3742" s="37"/>
    </row>
    <row r="3743" spans="2:2" ht="15.95" customHeight="1">
      <c r="B3743" s="37"/>
    </row>
    <row r="3744" spans="2:2" ht="15.95" customHeight="1">
      <c r="B3744" s="37"/>
    </row>
    <row r="3745" spans="2:2" ht="15.95" customHeight="1">
      <c r="B3745" s="37"/>
    </row>
    <row r="3746" spans="2:2" ht="15.95" customHeight="1">
      <c r="B3746" s="37"/>
    </row>
    <row r="3747" spans="2:2" ht="15.95" customHeight="1">
      <c r="B3747" s="37"/>
    </row>
    <row r="3748" spans="2:2" ht="15.95" customHeight="1">
      <c r="B3748" s="37"/>
    </row>
    <row r="3749" spans="2:2" ht="15.95" customHeight="1">
      <c r="B3749" s="37"/>
    </row>
    <row r="3750" spans="2:2" ht="15.95" customHeight="1">
      <c r="B3750" s="37"/>
    </row>
    <row r="3751" spans="2:2" ht="15.95" customHeight="1">
      <c r="B3751" s="37"/>
    </row>
    <row r="3752" spans="2:2" ht="15.95" customHeight="1">
      <c r="B3752" s="37"/>
    </row>
    <row r="3753" spans="2:2" ht="15.95" customHeight="1">
      <c r="B3753" s="37"/>
    </row>
    <row r="3754" spans="2:2" ht="15.95" customHeight="1">
      <c r="B3754" s="37"/>
    </row>
    <row r="3755" spans="2:2" ht="15.95" customHeight="1">
      <c r="B3755" s="37"/>
    </row>
    <row r="3756" spans="2:2" ht="15.95" customHeight="1">
      <c r="B3756" s="37"/>
    </row>
    <row r="3757" spans="2:2" ht="15.95" customHeight="1">
      <c r="B3757" s="37"/>
    </row>
    <row r="3758" spans="2:2" ht="15.95" customHeight="1">
      <c r="B3758" s="37"/>
    </row>
    <row r="3759" spans="2:2" ht="15.95" customHeight="1">
      <c r="B3759" s="37"/>
    </row>
    <row r="3760" spans="2:2" ht="15.95" customHeight="1">
      <c r="B3760" s="37"/>
    </row>
    <row r="3761" spans="2:2" ht="15.95" customHeight="1">
      <c r="B3761" s="37"/>
    </row>
    <row r="3762" spans="2:2" ht="15.95" customHeight="1">
      <c r="B3762" s="37"/>
    </row>
    <row r="3763" spans="2:2" ht="15.95" customHeight="1">
      <c r="B3763" s="37"/>
    </row>
    <row r="3764" spans="2:2" ht="15.95" customHeight="1">
      <c r="B3764" s="37"/>
    </row>
    <row r="3765" spans="2:2" ht="15.95" customHeight="1">
      <c r="B3765" s="37"/>
    </row>
    <row r="3766" spans="2:2" ht="15.95" customHeight="1">
      <c r="B3766" s="37"/>
    </row>
    <row r="3767" spans="2:2" ht="15.95" customHeight="1">
      <c r="B3767" s="37"/>
    </row>
    <row r="3768" spans="2:2" ht="15.95" customHeight="1">
      <c r="B3768" s="37"/>
    </row>
    <row r="3769" spans="2:2" ht="15.95" customHeight="1">
      <c r="B3769" s="37"/>
    </row>
    <row r="3770" spans="2:2" ht="15.95" customHeight="1">
      <c r="B3770" s="37"/>
    </row>
    <row r="3771" spans="2:2" ht="15.95" customHeight="1">
      <c r="B3771" s="37"/>
    </row>
    <row r="3772" spans="2:2" ht="15.95" customHeight="1">
      <c r="B3772" s="37"/>
    </row>
    <row r="3773" spans="2:2" ht="15.95" customHeight="1">
      <c r="B3773" s="37"/>
    </row>
    <row r="3774" spans="2:2" ht="15.95" customHeight="1">
      <c r="B3774" s="37"/>
    </row>
    <row r="3775" spans="2:2" ht="15.95" customHeight="1">
      <c r="B3775" s="37"/>
    </row>
    <row r="3776" spans="2:2" ht="15.95" customHeight="1">
      <c r="B3776" s="37"/>
    </row>
    <row r="3777" spans="2:2" ht="15.95" customHeight="1">
      <c r="B3777" s="37"/>
    </row>
    <row r="3778" spans="2:2" ht="15.95" customHeight="1">
      <c r="B3778" s="37"/>
    </row>
    <row r="3779" spans="2:2" ht="15.95" customHeight="1">
      <c r="B3779" s="37"/>
    </row>
    <row r="3780" spans="2:2" ht="15.95" customHeight="1">
      <c r="B3780" s="37"/>
    </row>
    <row r="3781" spans="2:2" ht="15.95" customHeight="1">
      <c r="B3781" s="37"/>
    </row>
    <row r="3782" spans="2:2" ht="15.95" customHeight="1">
      <c r="B3782" s="37"/>
    </row>
    <row r="3783" spans="2:2" ht="15.95" customHeight="1">
      <c r="B3783" s="37"/>
    </row>
    <row r="3784" spans="2:2" ht="15.95" customHeight="1">
      <c r="B3784" s="37"/>
    </row>
    <row r="3785" spans="2:2" ht="15.95" customHeight="1">
      <c r="B3785" s="37"/>
    </row>
    <row r="3786" spans="2:2" ht="15.95" customHeight="1">
      <c r="B3786" s="37"/>
    </row>
    <row r="3787" spans="2:2" ht="15.95" customHeight="1">
      <c r="B3787" s="37"/>
    </row>
    <row r="3788" spans="2:2" ht="15.95" customHeight="1">
      <c r="B3788" s="37"/>
    </row>
    <row r="3789" spans="2:2" ht="15.95" customHeight="1">
      <c r="B3789" s="37"/>
    </row>
    <row r="3790" spans="2:2" ht="15.95" customHeight="1">
      <c r="B3790" s="37"/>
    </row>
    <row r="3791" spans="2:2" ht="15.95" customHeight="1">
      <c r="B3791" s="37"/>
    </row>
    <row r="3792" spans="2:2" ht="15.95" customHeight="1">
      <c r="B3792" s="37"/>
    </row>
    <row r="3793" spans="2:2" ht="15.95" customHeight="1">
      <c r="B3793" s="37"/>
    </row>
    <row r="3794" spans="2:2" ht="15.95" customHeight="1">
      <c r="B3794" s="37"/>
    </row>
    <row r="3795" spans="2:2" ht="15.95" customHeight="1">
      <c r="B3795" s="37"/>
    </row>
    <row r="3796" spans="2:2" ht="15.95" customHeight="1">
      <c r="B3796" s="37"/>
    </row>
    <row r="3797" spans="2:2" ht="15.95" customHeight="1">
      <c r="B3797" s="37"/>
    </row>
    <row r="3798" spans="2:2" ht="15.95" customHeight="1">
      <c r="B3798" s="37"/>
    </row>
    <row r="3799" spans="2:2" ht="15.95" customHeight="1">
      <c r="B3799" s="37"/>
    </row>
    <row r="3800" spans="2:2" ht="15.95" customHeight="1">
      <c r="B3800" s="37"/>
    </row>
    <row r="3801" spans="2:2" ht="15.95" customHeight="1">
      <c r="B3801" s="37"/>
    </row>
    <row r="3802" spans="2:2" ht="15.95" customHeight="1">
      <c r="B3802" s="37"/>
    </row>
    <row r="3803" spans="2:2" ht="15.95" customHeight="1">
      <c r="B3803" s="37"/>
    </row>
    <row r="3804" spans="2:2" ht="15.95" customHeight="1">
      <c r="B3804" s="37"/>
    </row>
    <row r="3805" spans="2:2" ht="15.95" customHeight="1">
      <c r="B3805" s="37"/>
    </row>
    <row r="3806" spans="2:2" ht="15.95" customHeight="1">
      <c r="B3806" s="37"/>
    </row>
    <row r="3807" spans="2:2" ht="15.95" customHeight="1">
      <c r="B3807" s="37"/>
    </row>
    <row r="3808" spans="2:2" ht="15.95" customHeight="1">
      <c r="B3808" s="37"/>
    </row>
    <row r="3809" spans="2:2" ht="15.95" customHeight="1">
      <c r="B3809" s="37"/>
    </row>
    <row r="3810" spans="2:2" ht="15.95" customHeight="1">
      <c r="B3810" s="37"/>
    </row>
    <row r="3811" spans="2:2" ht="15.95" customHeight="1">
      <c r="B3811" s="37"/>
    </row>
    <row r="3812" spans="2:2" ht="15.95" customHeight="1">
      <c r="B3812" s="37"/>
    </row>
    <row r="3813" spans="2:2" ht="15.95" customHeight="1">
      <c r="B3813" s="37"/>
    </row>
    <row r="3814" spans="2:2" ht="15.95" customHeight="1">
      <c r="B3814" s="37"/>
    </row>
    <row r="3815" spans="2:2" ht="15.95" customHeight="1">
      <c r="B3815" s="37"/>
    </row>
    <row r="3816" spans="2:2" ht="15.95" customHeight="1">
      <c r="B3816" s="37"/>
    </row>
    <row r="3817" spans="2:2" ht="15.95" customHeight="1">
      <c r="B3817" s="37"/>
    </row>
    <row r="3818" spans="2:2" ht="15.95" customHeight="1">
      <c r="B3818" s="37"/>
    </row>
    <row r="3819" spans="2:2" ht="15.95" customHeight="1">
      <c r="B3819" s="37"/>
    </row>
    <row r="3820" spans="2:2" ht="15.95" customHeight="1">
      <c r="B3820" s="37"/>
    </row>
    <row r="3821" spans="2:2" ht="15.95" customHeight="1">
      <c r="B3821" s="37"/>
    </row>
    <row r="3822" spans="2:2" ht="15.95" customHeight="1">
      <c r="B3822" s="37"/>
    </row>
    <row r="3823" spans="2:2" ht="15.95" customHeight="1">
      <c r="B3823" s="37"/>
    </row>
    <row r="3824" spans="2:2" ht="15.95" customHeight="1">
      <c r="B3824" s="37"/>
    </row>
    <row r="3825" spans="2:2" ht="15.95" customHeight="1">
      <c r="B3825" s="37"/>
    </row>
    <row r="3826" spans="2:2" ht="15.95" customHeight="1">
      <c r="B3826" s="37"/>
    </row>
    <row r="3827" spans="2:2" ht="15.95" customHeight="1">
      <c r="B3827" s="37"/>
    </row>
    <row r="3828" spans="2:2" ht="15.95" customHeight="1">
      <c r="B3828" s="37"/>
    </row>
    <row r="3829" spans="2:2" ht="15.95" customHeight="1">
      <c r="B3829" s="37"/>
    </row>
    <row r="3830" spans="2:2" ht="15.95" customHeight="1">
      <c r="B3830" s="37"/>
    </row>
    <row r="3831" spans="2:2" ht="15.95" customHeight="1">
      <c r="B3831" s="37"/>
    </row>
    <row r="3832" spans="2:2" ht="15.95" customHeight="1">
      <c r="B3832" s="37"/>
    </row>
    <row r="3833" spans="2:2" ht="15.95" customHeight="1">
      <c r="B3833" s="37"/>
    </row>
    <row r="3834" spans="2:2" ht="15.95" customHeight="1">
      <c r="B3834" s="37"/>
    </row>
    <row r="3835" spans="2:2" ht="15.95" customHeight="1">
      <c r="B3835" s="37"/>
    </row>
    <row r="3836" spans="2:2" ht="15.95" customHeight="1">
      <c r="B3836" s="37"/>
    </row>
    <row r="3837" spans="2:2" ht="15.95" customHeight="1">
      <c r="B3837" s="37"/>
    </row>
    <row r="3838" spans="2:2" ht="15.95" customHeight="1">
      <c r="B3838" s="37"/>
    </row>
    <row r="3839" spans="2:2" ht="15.95" customHeight="1">
      <c r="B3839" s="37"/>
    </row>
    <row r="3840" spans="2:2" ht="15.95" customHeight="1">
      <c r="B3840" s="37"/>
    </row>
    <row r="3841" spans="2:2" ht="15.95" customHeight="1">
      <c r="B3841" s="37"/>
    </row>
    <row r="3842" spans="2:2" ht="15.95" customHeight="1">
      <c r="B3842" s="37"/>
    </row>
    <row r="3843" spans="2:2" ht="15.95" customHeight="1">
      <c r="B3843" s="37"/>
    </row>
    <row r="3844" spans="2:2" ht="15.95" customHeight="1">
      <c r="B3844" s="37"/>
    </row>
    <row r="3845" spans="2:2" ht="15.95" customHeight="1">
      <c r="B3845" s="37"/>
    </row>
    <row r="3846" spans="2:2" ht="15.95" customHeight="1">
      <c r="B3846" s="37"/>
    </row>
    <row r="3847" spans="2:2" ht="15.95" customHeight="1">
      <c r="B3847" s="37"/>
    </row>
    <row r="3848" spans="2:2" ht="15.95" customHeight="1">
      <c r="B3848" s="37"/>
    </row>
    <row r="3849" spans="2:2" ht="15.95" customHeight="1">
      <c r="B3849" s="37"/>
    </row>
    <row r="3850" spans="2:2" ht="15.95" customHeight="1">
      <c r="B3850" s="37"/>
    </row>
    <row r="3851" spans="2:2" ht="15.95" customHeight="1">
      <c r="B3851" s="37"/>
    </row>
    <row r="3852" spans="2:2" ht="15.95" customHeight="1">
      <c r="B3852" s="37"/>
    </row>
    <row r="3853" spans="2:2" ht="15.95" customHeight="1">
      <c r="B3853" s="37"/>
    </row>
    <row r="3854" spans="2:2" ht="15.95" customHeight="1">
      <c r="B3854" s="37"/>
    </row>
    <row r="3855" spans="2:2" ht="15.95" customHeight="1">
      <c r="B3855" s="37"/>
    </row>
    <row r="3856" spans="2:2" ht="15.95" customHeight="1">
      <c r="B3856" s="37"/>
    </row>
    <row r="3857" spans="2:2" ht="15.95" customHeight="1">
      <c r="B3857" s="37"/>
    </row>
    <row r="3858" spans="2:2" ht="15.95" customHeight="1">
      <c r="B3858" s="37"/>
    </row>
    <row r="3859" spans="2:2" ht="15.95" customHeight="1">
      <c r="B3859" s="37"/>
    </row>
    <row r="3860" spans="2:2" ht="15.95" customHeight="1">
      <c r="B3860" s="37"/>
    </row>
    <row r="3861" spans="2:2" ht="15.95" customHeight="1">
      <c r="B3861" s="37"/>
    </row>
    <row r="3862" spans="2:2" ht="15.95" customHeight="1">
      <c r="B3862" s="37"/>
    </row>
    <row r="3863" spans="2:2" ht="15.95" customHeight="1">
      <c r="B3863" s="37"/>
    </row>
    <row r="3864" spans="2:2" ht="15.95" customHeight="1">
      <c r="B3864" s="37"/>
    </row>
    <row r="3865" spans="2:2" ht="15.95" customHeight="1">
      <c r="B3865" s="37"/>
    </row>
    <row r="3866" spans="2:2" ht="15.95" customHeight="1">
      <c r="B3866" s="37"/>
    </row>
    <row r="3867" spans="2:2" ht="15.95" customHeight="1">
      <c r="B3867" s="37"/>
    </row>
    <row r="3868" spans="2:2" ht="15.95" customHeight="1">
      <c r="B3868" s="37"/>
    </row>
    <row r="3869" spans="2:2" ht="15.95" customHeight="1">
      <c r="B3869" s="37"/>
    </row>
    <row r="3870" spans="2:2" ht="15.95" customHeight="1">
      <c r="B3870" s="37"/>
    </row>
    <row r="3871" spans="2:2" ht="15.95" customHeight="1">
      <c r="B3871" s="37"/>
    </row>
    <row r="3872" spans="2:2" ht="15.95" customHeight="1">
      <c r="B3872" s="37"/>
    </row>
    <row r="3873" spans="2:2" ht="15.95" customHeight="1">
      <c r="B3873" s="37"/>
    </row>
    <row r="3874" spans="2:2" ht="15.95" customHeight="1">
      <c r="B3874" s="37"/>
    </row>
    <row r="3875" spans="2:2" ht="15.95" customHeight="1">
      <c r="B3875" s="37"/>
    </row>
    <row r="3876" spans="2:2" ht="15.95" customHeight="1">
      <c r="B3876" s="37"/>
    </row>
    <row r="3877" spans="2:2" ht="15.95" customHeight="1">
      <c r="B3877" s="37"/>
    </row>
    <row r="3878" spans="2:2" ht="15.95" customHeight="1">
      <c r="B3878" s="37"/>
    </row>
    <row r="3879" spans="2:2" ht="15.95" customHeight="1">
      <c r="B3879" s="37"/>
    </row>
    <row r="3880" spans="2:2" ht="15.95" customHeight="1">
      <c r="B3880" s="37"/>
    </row>
    <row r="3881" spans="2:2" ht="15.95" customHeight="1">
      <c r="B3881" s="37"/>
    </row>
    <row r="3882" spans="2:2" ht="15.95" customHeight="1">
      <c r="B3882" s="37"/>
    </row>
    <row r="3883" spans="2:2" ht="15.95" customHeight="1">
      <c r="B3883" s="37"/>
    </row>
    <row r="3884" spans="2:2" ht="15.95" customHeight="1">
      <c r="B3884" s="37"/>
    </row>
    <row r="3885" spans="2:2" ht="15.95" customHeight="1">
      <c r="B3885" s="37"/>
    </row>
    <row r="3886" spans="2:2" ht="15.95" customHeight="1">
      <c r="B3886" s="37"/>
    </row>
    <row r="3887" spans="2:2" ht="15.95" customHeight="1">
      <c r="B3887" s="37"/>
    </row>
    <row r="3888" spans="2:2" ht="15.95" customHeight="1">
      <c r="B3888" s="37"/>
    </row>
    <row r="3889" spans="2:2" ht="15.95" customHeight="1">
      <c r="B3889" s="37"/>
    </row>
    <row r="3890" spans="2:2" ht="15.95" customHeight="1">
      <c r="B3890" s="37"/>
    </row>
    <row r="3891" spans="2:2" ht="15.95" customHeight="1">
      <c r="B3891" s="37"/>
    </row>
    <row r="3892" spans="2:2" ht="15.95" customHeight="1">
      <c r="B3892" s="37"/>
    </row>
    <row r="3893" spans="2:2" ht="15.95" customHeight="1">
      <c r="B3893" s="37"/>
    </row>
    <row r="3894" spans="2:2" ht="15.95" customHeight="1">
      <c r="B3894" s="37"/>
    </row>
    <row r="3895" spans="2:2" ht="15.95" customHeight="1">
      <c r="B3895" s="37"/>
    </row>
    <row r="3896" spans="2:2" ht="15.95" customHeight="1">
      <c r="B3896" s="37"/>
    </row>
    <row r="3897" spans="2:2" ht="15.95" customHeight="1">
      <c r="B3897" s="37"/>
    </row>
    <row r="3898" spans="2:2" ht="15.95" customHeight="1">
      <c r="B3898" s="37"/>
    </row>
    <row r="3899" spans="2:2" ht="15.95" customHeight="1">
      <c r="B3899" s="37"/>
    </row>
    <row r="3900" spans="2:2" ht="15.95" customHeight="1">
      <c r="B3900" s="37"/>
    </row>
    <row r="3901" spans="2:2" ht="15.95" customHeight="1">
      <c r="B3901" s="37"/>
    </row>
    <row r="3902" spans="2:2" ht="15.95" customHeight="1">
      <c r="B3902" s="37"/>
    </row>
    <row r="3903" spans="2:2" ht="15.95" customHeight="1">
      <c r="B3903" s="37"/>
    </row>
    <row r="3904" spans="2:2" ht="15.95" customHeight="1">
      <c r="B3904" s="37"/>
    </row>
    <row r="3905" spans="2:2" ht="15.95" customHeight="1">
      <c r="B3905" s="37"/>
    </row>
    <row r="3906" spans="2:2" ht="15.95" customHeight="1">
      <c r="B3906" s="37"/>
    </row>
    <row r="3907" spans="2:2" ht="15.95" customHeight="1">
      <c r="B3907" s="37"/>
    </row>
    <row r="3908" spans="2:2" ht="15.95" customHeight="1">
      <c r="B3908" s="37"/>
    </row>
    <row r="3909" spans="2:2" ht="15.95" customHeight="1">
      <c r="B3909" s="37"/>
    </row>
    <row r="3910" spans="2:2" ht="15.95" customHeight="1">
      <c r="B3910" s="37"/>
    </row>
    <row r="3911" spans="2:2" ht="15.95" customHeight="1">
      <c r="B3911" s="37"/>
    </row>
    <row r="3912" spans="2:2" ht="15.95" customHeight="1">
      <c r="B3912" s="37"/>
    </row>
    <row r="3913" spans="2:2" ht="15.95" customHeight="1">
      <c r="B3913" s="37"/>
    </row>
    <row r="3914" spans="2:2" ht="15.95" customHeight="1">
      <c r="B3914" s="37"/>
    </row>
    <row r="3915" spans="2:2" ht="15.95" customHeight="1">
      <c r="B3915" s="37"/>
    </row>
    <row r="3916" spans="2:2" ht="15.95" customHeight="1">
      <c r="B3916" s="37"/>
    </row>
    <row r="3917" spans="2:2" ht="15.95" customHeight="1">
      <c r="B3917" s="37"/>
    </row>
    <row r="3918" spans="2:2" ht="15.95" customHeight="1">
      <c r="B3918" s="37"/>
    </row>
    <row r="3919" spans="2:2" ht="15.95" customHeight="1">
      <c r="B3919" s="37"/>
    </row>
    <row r="3920" spans="2:2" ht="15.95" customHeight="1">
      <c r="B3920" s="37"/>
    </row>
    <row r="3921" spans="2:2" ht="15.95" customHeight="1">
      <c r="B3921" s="37"/>
    </row>
    <row r="3922" spans="2:2" ht="15.95" customHeight="1">
      <c r="B3922" s="37"/>
    </row>
    <row r="3923" spans="2:2" ht="15.95" customHeight="1">
      <c r="B3923" s="37"/>
    </row>
    <row r="3924" spans="2:2" ht="15.95" customHeight="1">
      <c r="B3924" s="37"/>
    </row>
    <row r="3925" spans="2:2" ht="15.95" customHeight="1">
      <c r="B3925" s="37"/>
    </row>
    <row r="3926" spans="2:2" ht="15.95" customHeight="1">
      <c r="B3926" s="37"/>
    </row>
    <row r="3927" spans="2:2" ht="15.95" customHeight="1">
      <c r="B3927" s="37"/>
    </row>
    <row r="3928" spans="2:2" ht="15.95" customHeight="1">
      <c r="B3928" s="37"/>
    </row>
    <row r="3929" spans="2:2" ht="15.95" customHeight="1">
      <c r="B3929" s="37"/>
    </row>
    <row r="3930" spans="2:2" ht="15.95" customHeight="1">
      <c r="B3930" s="37"/>
    </row>
    <row r="3931" spans="2:2" ht="15.95" customHeight="1">
      <c r="B3931" s="37"/>
    </row>
    <row r="3932" spans="2:2" ht="15.95" customHeight="1">
      <c r="B3932" s="37"/>
    </row>
    <row r="3933" spans="2:2" ht="15.95" customHeight="1">
      <c r="B3933" s="37"/>
    </row>
    <row r="3934" spans="2:2" ht="15.95" customHeight="1">
      <c r="B3934" s="37"/>
    </row>
    <row r="3935" spans="2:2" ht="15.95" customHeight="1">
      <c r="B3935" s="37"/>
    </row>
    <row r="3936" spans="2:2" ht="15.95" customHeight="1">
      <c r="B3936" s="37"/>
    </row>
    <row r="3937" spans="2:2" ht="15.95" customHeight="1">
      <c r="B3937" s="37"/>
    </row>
    <row r="3938" spans="2:2" ht="15.95" customHeight="1">
      <c r="B3938" s="37"/>
    </row>
    <row r="3939" spans="2:2" ht="15.95" customHeight="1">
      <c r="B3939" s="37"/>
    </row>
    <row r="3940" spans="2:2" ht="15.95" customHeight="1">
      <c r="B3940" s="37"/>
    </row>
    <row r="3941" spans="2:2" ht="15.95" customHeight="1">
      <c r="B3941" s="37"/>
    </row>
    <row r="3942" spans="2:2" ht="15.95" customHeight="1">
      <c r="B3942" s="37"/>
    </row>
    <row r="3943" spans="2:2" ht="15.95" customHeight="1">
      <c r="B3943" s="37"/>
    </row>
    <row r="3944" spans="2:2" ht="15.95" customHeight="1">
      <c r="B3944" s="37"/>
    </row>
    <row r="3945" spans="2:2" ht="15.95" customHeight="1">
      <c r="B3945" s="37"/>
    </row>
    <row r="3946" spans="2:2" ht="15.95" customHeight="1">
      <c r="B3946" s="37"/>
    </row>
    <row r="3947" spans="2:2" ht="15.95" customHeight="1">
      <c r="B3947" s="37"/>
    </row>
    <row r="3948" spans="2:2" ht="15.95" customHeight="1">
      <c r="B3948" s="37"/>
    </row>
    <row r="3949" spans="2:2" ht="15.95" customHeight="1">
      <c r="B3949" s="37"/>
    </row>
    <row r="3950" spans="2:2" ht="15.95" customHeight="1">
      <c r="B3950" s="37"/>
    </row>
    <row r="3951" spans="2:2" ht="15.95" customHeight="1">
      <c r="B3951" s="37"/>
    </row>
    <row r="3952" spans="2:2" ht="15.95" customHeight="1">
      <c r="B3952" s="37"/>
    </row>
    <row r="3953" spans="2:2" ht="15.95" customHeight="1">
      <c r="B3953" s="37"/>
    </row>
    <row r="3954" spans="2:2" ht="15.95" customHeight="1">
      <c r="B3954" s="37"/>
    </row>
    <row r="3955" spans="2:2" ht="15.95" customHeight="1">
      <c r="B3955" s="37"/>
    </row>
    <row r="3956" spans="2:2" ht="15.95" customHeight="1">
      <c r="B3956" s="37"/>
    </row>
    <row r="3957" spans="2:2" ht="15.95" customHeight="1">
      <c r="B3957" s="37"/>
    </row>
    <row r="3958" spans="2:2" ht="15.95" customHeight="1">
      <c r="B3958" s="37"/>
    </row>
    <row r="3959" spans="2:2" ht="15.95" customHeight="1">
      <c r="B3959" s="37"/>
    </row>
    <row r="3960" spans="2:2" ht="15.95" customHeight="1">
      <c r="B3960" s="37"/>
    </row>
    <row r="3961" spans="2:2" ht="15.95" customHeight="1">
      <c r="B3961" s="37"/>
    </row>
    <row r="3962" spans="2:2" ht="15.95" customHeight="1">
      <c r="B3962" s="37"/>
    </row>
    <row r="3963" spans="2:2" ht="15.95" customHeight="1">
      <c r="B3963" s="37"/>
    </row>
    <row r="3964" spans="2:2" ht="15.95" customHeight="1">
      <c r="B3964" s="37"/>
    </row>
    <row r="3965" spans="2:2" ht="15.95" customHeight="1">
      <c r="B3965" s="37"/>
    </row>
    <row r="3966" spans="2:2" ht="15.95" customHeight="1">
      <c r="B3966" s="37"/>
    </row>
    <row r="3967" spans="2:2" ht="15.95" customHeight="1">
      <c r="B3967" s="37"/>
    </row>
    <row r="3968" spans="2:2" ht="15.95" customHeight="1">
      <c r="B3968" s="37"/>
    </row>
    <row r="3969" spans="2:2" ht="15.95" customHeight="1">
      <c r="B3969" s="37"/>
    </row>
    <row r="3970" spans="2:2" ht="15.95" customHeight="1">
      <c r="B3970" s="37"/>
    </row>
    <row r="3971" spans="2:2" ht="15.95" customHeight="1">
      <c r="B3971" s="37"/>
    </row>
    <row r="3972" spans="2:2" ht="15.95" customHeight="1">
      <c r="B3972" s="37"/>
    </row>
    <row r="3973" spans="2:2" ht="15.95" customHeight="1">
      <c r="B3973" s="37"/>
    </row>
    <row r="3974" spans="2:2" ht="15.95" customHeight="1">
      <c r="B3974" s="37"/>
    </row>
    <row r="3975" spans="2:2" ht="15.95" customHeight="1">
      <c r="B3975" s="37"/>
    </row>
    <row r="3976" spans="2:2" ht="15.95" customHeight="1">
      <c r="B3976" s="37"/>
    </row>
    <row r="3977" spans="2:2" ht="15.95" customHeight="1">
      <c r="B3977" s="37"/>
    </row>
    <row r="3978" spans="2:2" ht="15.95" customHeight="1">
      <c r="B3978" s="37"/>
    </row>
    <row r="3979" spans="2:2" ht="15.95" customHeight="1">
      <c r="B3979" s="37"/>
    </row>
    <row r="3980" spans="2:2" ht="15.95" customHeight="1">
      <c r="B3980" s="37"/>
    </row>
    <row r="3981" spans="2:2" ht="15.95" customHeight="1">
      <c r="B3981" s="37"/>
    </row>
    <row r="3982" spans="2:2" ht="15.95" customHeight="1">
      <c r="B3982" s="37"/>
    </row>
    <row r="3983" spans="2:2" ht="15.95" customHeight="1">
      <c r="B3983" s="37"/>
    </row>
    <row r="3984" spans="2:2" ht="15.95" customHeight="1">
      <c r="B3984" s="37"/>
    </row>
    <row r="3985" spans="2:2" ht="15.95" customHeight="1">
      <c r="B3985" s="37"/>
    </row>
    <row r="3986" spans="2:2" ht="15.95" customHeight="1">
      <c r="B3986" s="37"/>
    </row>
    <row r="3987" spans="2:2" ht="15.95" customHeight="1">
      <c r="B3987" s="37"/>
    </row>
    <row r="3988" spans="2:2" ht="15.95" customHeight="1">
      <c r="B3988" s="37"/>
    </row>
    <row r="3989" spans="2:2" ht="15.95" customHeight="1">
      <c r="B3989" s="37"/>
    </row>
    <row r="3990" spans="2:2" ht="15.95" customHeight="1">
      <c r="B3990" s="37"/>
    </row>
    <row r="3991" spans="2:2" ht="15.95" customHeight="1">
      <c r="B3991" s="37"/>
    </row>
    <row r="3992" spans="2:2" ht="15.95" customHeight="1">
      <c r="B3992" s="37"/>
    </row>
    <row r="3993" spans="2:2" ht="15.95" customHeight="1">
      <c r="B3993" s="37"/>
    </row>
    <row r="3994" spans="2:2" ht="15.95" customHeight="1">
      <c r="B3994" s="37"/>
    </row>
    <row r="3995" spans="2:2" ht="15.95" customHeight="1">
      <c r="B3995" s="37"/>
    </row>
    <row r="3996" spans="2:2" ht="15.95" customHeight="1">
      <c r="B3996" s="37"/>
    </row>
    <row r="3997" spans="2:2" ht="15.95" customHeight="1">
      <c r="B3997" s="37"/>
    </row>
    <row r="3998" spans="2:2" ht="15.95" customHeight="1">
      <c r="B3998" s="37"/>
    </row>
    <row r="3999" spans="2:2" ht="15.95" customHeight="1">
      <c r="B3999" s="37"/>
    </row>
    <row r="4000" spans="2:2" ht="15.95" customHeight="1">
      <c r="B4000" s="37"/>
    </row>
    <row r="4001" spans="2:2" ht="15.95" customHeight="1">
      <c r="B4001" s="37"/>
    </row>
    <row r="4002" spans="2:2" ht="15.95" customHeight="1">
      <c r="B4002" s="37"/>
    </row>
    <row r="4003" spans="2:2" ht="15.95" customHeight="1">
      <c r="B4003" s="37"/>
    </row>
    <row r="4004" spans="2:2" ht="15.95" customHeight="1">
      <c r="B4004" s="37"/>
    </row>
    <row r="4005" spans="2:2" ht="15.95" customHeight="1">
      <c r="B4005" s="37"/>
    </row>
    <row r="4006" spans="2:2" ht="15.95" customHeight="1">
      <c r="B4006" s="37"/>
    </row>
    <row r="4007" spans="2:2" ht="15.95" customHeight="1">
      <c r="B4007" s="37"/>
    </row>
    <row r="4008" spans="2:2" ht="15.95" customHeight="1">
      <c r="B4008" s="37"/>
    </row>
    <row r="4009" spans="2:2" ht="15.95" customHeight="1">
      <c r="B4009" s="37"/>
    </row>
    <row r="4010" spans="2:2" ht="15.95" customHeight="1">
      <c r="B4010" s="37"/>
    </row>
    <row r="4011" spans="2:2" ht="15.95" customHeight="1">
      <c r="B4011" s="37"/>
    </row>
    <row r="4012" spans="2:2" ht="15.95" customHeight="1">
      <c r="B4012" s="37"/>
    </row>
    <row r="4013" spans="2:2" ht="15.95" customHeight="1">
      <c r="B4013" s="37"/>
    </row>
    <row r="4014" spans="2:2" ht="15.95" customHeight="1">
      <c r="B4014" s="37"/>
    </row>
    <row r="4015" spans="2:2" ht="15.95" customHeight="1">
      <c r="B4015" s="37"/>
    </row>
    <row r="4016" spans="2:2" ht="15.95" customHeight="1">
      <c r="B4016" s="37"/>
    </row>
    <row r="4017" spans="2:2" ht="15.95" customHeight="1">
      <c r="B4017" s="37"/>
    </row>
    <row r="4018" spans="2:2" ht="15.95" customHeight="1">
      <c r="B4018" s="37"/>
    </row>
    <row r="4019" spans="2:2" ht="15.95" customHeight="1">
      <c r="B4019" s="37"/>
    </row>
    <row r="4020" spans="2:2" ht="15.95" customHeight="1">
      <c r="B4020" s="37"/>
    </row>
    <row r="4021" spans="2:2" ht="15.95" customHeight="1">
      <c r="B4021" s="37"/>
    </row>
    <row r="4022" spans="2:2" ht="15.95" customHeight="1">
      <c r="B4022" s="37"/>
    </row>
    <row r="4023" spans="2:2" ht="15.95" customHeight="1">
      <c r="B4023" s="37"/>
    </row>
    <row r="4024" spans="2:2" ht="15.95" customHeight="1">
      <c r="B4024" s="37"/>
    </row>
    <row r="4025" spans="2:2" ht="15.95" customHeight="1">
      <c r="B4025" s="37"/>
    </row>
    <row r="4026" spans="2:2" ht="15.95" customHeight="1">
      <c r="B4026" s="37"/>
    </row>
    <row r="4027" spans="2:2" ht="15.95" customHeight="1">
      <c r="B4027" s="37"/>
    </row>
    <row r="4028" spans="2:2" ht="15.95" customHeight="1">
      <c r="B4028" s="37"/>
    </row>
    <row r="4029" spans="2:2" ht="15.95" customHeight="1">
      <c r="B4029" s="37"/>
    </row>
    <row r="4030" spans="2:2" ht="15.95" customHeight="1">
      <c r="B4030" s="37"/>
    </row>
    <row r="4031" spans="2:2" ht="15.95" customHeight="1">
      <c r="B4031" s="37"/>
    </row>
    <row r="4032" spans="2:2" ht="15.95" customHeight="1">
      <c r="B4032" s="37"/>
    </row>
    <row r="4033" spans="2:2" ht="15.95" customHeight="1">
      <c r="B4033" s="37"/>
    </row>
    <row r="4034" spans="2:2" ht="15.95" customHeight="1">
      <c r="B4034" s="37"/>
    </row>
    <row r="4035" spans="2:2" ht="15.95" customHeight="1">
      <c r="B4035" s="37"/>
    </row>
    <row r="4036" spans="2:2" ht="15.95" customHeight="1">
      <c r="B4036" s="37"/>
    </row>
    <row r="4037" spans="2:2" ht="15.95" customHeight="1">
      <c r="B4037" s="37"/>
    </row>
    <row r="4038" spans="2:2" ht="15.95" customHeight="1">
      <c r="B4038" s="37"/>
    </row>
    <row r="4039" spans="2:2" ht="15.95" customHeight="1">
      <c r="B4039" s="37"/>
    </row>
    <row r="4040" spans="2:2" ht="15.95" customHeight="1">
      <c r="B4040" s="37"/>
    </row>
    <row r="4041" spans="2:2" ht="15.95" customHeight="1">
      <c r="B4041" s="37"/>
    </row>
    <row r="4042" spans="2:2" ht="15.95" customHeight="1">
      <c r="B4042" s="37"/>
    </row>
    <row r="4043" spans="2:2" ht="15.95" customHeight="1">
      <c r="B4043" s="37"/>
    </row>
    <row r="4044" spans="2:2" ht="15.95" customHeight="1">
      <c r="B4044" s="37"/>
    </row>
    <row r="4045" spans="2:2" ht="15.95" customHeight="1">
      <c r="B4045" s="37"/>
    </row>
    <row r="4046" spans="2:2" ht="15.95" customHeight="1">
      <c r="B4046" s="37"/>
    </row>
    <row r="4047" spans="2:2" ht="15.95" customHeight="1">
      <c r="B4047" s="37"/>
    </row>
    <row r="4048" spans="2:2" ht="15.95" customHeight="1">
      <c r="B4048" s="37"/>
    </row>
    <row r="4049" spans="2:2" ht="15.95" customHeight="1">
      <c r="B4049" s="37"/>
    </row>
    <row r="4050" spans="2:2" ht="15.95" customHeight="1">
      <c r="B4050" s="37"/>
    </row>
    <row r="4051" spans="2:2" ht="15.95" customHeight="1">
      <c r="B4051" s="37"/>
    </row>
    <row r="4052" spans="2:2" ht="15.95" customHeight="1">
      <c r="B4052" s="37"/>
    </row>
    <row r="4053" spans="2:2" ht="15.95" customHeight="1">
      <c r="B4053" s="37"/>
    </row>
    <row r="4054" spans="2:2" ht="15.95" customHeight="1">
      <c r="B4054" s="37"/>
    </row>
    <row r="4055" spans="2:2" ht="15.95" customHeight="1">
      <c r="B4055" s="37"/>
    </row>
    <row r="4056" spans="2:2" ht="15.95" customHeight="1">
      <c r="B4056" s="37"/>
    </row>
    <row r="4057" spans="2:2" ht="15.95" customHeight="1">
      <c r="B4057" s="37"/>
    </row>
    <row r="4058" spans="2:2" ht="15.95" customHeight="1">
      <c r="B4058" s="37"/>
    </row>
    <row r="4059" spans="2:2" ht="15.95" customHeight="1">
      <c r="B4059" s="37"/>
    </row>
    <row r="4060" spans="2:2" ht="15.95" customHeight="1">
      <c r="B4060" s="37"/>
    </row>
    <row r="4061" spans="2:2" ht="15.95" customHeight="1">
      <c r="B4061" s="37"/>
    </row>
    <row r="4062" spans="2:2" ht="15.95" customHeight="1">
      <c r="B4062" s="37"/>
    </row>
    <row r="4063" spans="2:2" ht="15.95" customHeight="1">
      <c r="B4063" s="37"/>
    </row>
    <row r="4064" spans="2:2" ht="15.95" customHeight="1">
      <c r="B4064" s="37"/>
    </row>
    <row r="4065" spans="2:2" ht="15.95" customHeight="1">
      <c r="B4065" s="37"/>
    </row>
    <row r="4066" spans="2:2" ht="15.95" customHeight="1">
      <c r="B4066" s="37"/>
    </row>
    <row r="4067" spans="2:2" ht="15.95" customHeight="1">
      <c r="B4067" s="37"/>
    </row>
    <row r="4068" spans="2:2" ht="15.95" customHeight="1">
      <c r="B4068" s="37"/>
    </row>
    <row r="4069" spans="2:2" ht="15.95" customHeight="1">
      <c r="B4069" s="37"/>
    </row>
    <row r="4070" spans="2:2" ht="15.95" customHeight="1">
      <c r="B4070" s="37"/>
    </row>
    <row r="4071" spans="2:2" ht="15.95" customHeight="1">
      <c r="B4071" s="37"/>
    </row>
    <row r="4072" spans="2:2" ht="15.95" customHeight="1">
      <c r="B4072" s="37"/>
    </row>
    <row r="4073" spans="2:2" ht="15.95" customHeight="1">
      <c r="B4073" s="37"/>
    </row>
    <row r="4074" spans="2:2" ht="15.95" customHeight="1">
      <c r="B4074" s="37"/>
    </row>
    <row r="4075" spans="2:2" ht="15.95" customHeight="1">
      <c r="B4075" s="37"/>
    </row>
    <row r="4076" spans="2:2" ht="15.95" customHeight="1">
      <c r="B4076" s="37"/>
    </row>
    <row r="4077" spans="2:2" ht="15.95" customHeight="1">
      <c r="B4077" s="37"/>
    </row>
    <row r="4078" spans="2:2" ht="15.95" customHeight="1">
      <c r="B4078" s="37"/>
    </row>
    <row r="4079" spans="2:2" ht="15.95" customHeight="1">
      <c r="B4079" s="37"/>
    </row>
    <row r="4080" spans="2:2" ht="15.95" customHeight="1">
      <c r="B4080" s="37"/>
    </row>
    <row r="4081" spans="2:2" ht="15.95" customHeight="1">
      <c r="B4081" s="37"/>
    </row>
    <row r="4082" spans="2:2" ht="15.95" customHeight="1">
      <c r="B4082" s="37"/>
    </row>
    <row r="4083" spans="2:2" ht="15.95" customHeight="1">
      <c r="B4083" s="37"/>
    </row>
    <row r="4084" spans="2:2" ht="15.95" customHeight="1">
      <c r="B4084" s="37"/>
    </row>
    <row r="4085" spans="2:2" ht="15.95" customHeight="1">
      <c r="B4085" s="37"/>
    </row>
    <row r="4086" spans="2:2" ht="15.95" customHeight="1">
      <c r="B4086" s="37"/>
    </row>
    <row r="4087" spans="2:2" ht="15.95" customHeight="1">
      <c r="B4087" s="37"/>
    </row>
    <row r="4088" spans="2:2" ht="15.95" customHeight="1">
      <c r="B4088" s="37"/>
    </row>
    <row r="4089" spans="2:2" ht="15.95" customHeight="1">
      <c r="B4089" s="37"/>
    </row>
    <row r="4090" spans="2:2" ht="15.95" customHeight="1">
      <c r="B4090" s="37"/>
    </row>
    <row r="4091" spans="2:2" ht="15.95" customHeight="1">
      <c r="B4091" s="37"/>
    </row>
    <row r="4092" spans="2:2" ht="15.95" customHeight="1">
      <c r="B4092" s="37"/>
    </row>
    <row r="4093" spans="2:2" ht="15.95" customHeight="1">
      <c r="B4093" s="37"/>
    </row>
    <row r="4094" spans="2:2" ht="15.95" customHeight="1">
      <c r="B4094" s="37"/>
    </row>
    <row r="4095" spans="2:2" ht="15.95" customHeight="1">
      <c r="B4095" s="37"/>
    </row>
    <row r="4096" spans="2:2" ht="15.95" customHeight="1">
      <c r="B4096" s="37"/>
    </row>
    <row r="4097" spans="2:2" ht="15.95" customHeight="1">
      <c r="B4097" s="37"/>
    </row>
    <row r="4098" spans="2:2" ht="15.95" customHeight="1">
      <c r="B4098" s="37"/>
    </row>
    <row r="4099" spans="2:2" ht="15.95" customHeight="1">
      <c r="B4099" s="37"/>
    </row>
    <row r="4100" spans="2:2" ht="15.95" customHeight="1">
      <c r="B4100" s="37"/>
    </row>
    <row r="4101" spans="2:2" ht="15.95" customHeight="1">
      <c r="B4101" s="37"/>
    </row>
    <row r="4102" spans="2:2" ht="15.95" customHeight="1">
      <c r="B4102" s="37"/>
    </row>
    <row r="4103" spans="2:2" ht="15.95" customHeight="1">
      <c r="B4103" s="37"/>
    </row>
    <row r="4104" spans="2:2" ht="15.95" customHeight="1">
      <c r="B4104" s="37"/>
    </row>
    <row r="4105" spans="2:2" ht="15.95" customHeight="1">
      <c r="B4105" s="37"/>
    </row>
    <row r="4106" spans="2:2" ht="15.95" customHeight="1">
      <c r="B4106" s="37"/>
    </row>
    <row r="4107" spans="2:2" ht="15.95" customHeight="1">
      <c r="B4107" s="37"/>
    </row>
    <row r="4108" spans="2:2" ht="15.95" customHeight="1">
      <c r="B4108" s="37"/>
    </row>
    <row r="4109" spans="2:2" ht="15.95" customHeight="1">
      <c r="B4109" s="37"/>
    </row>
    <row r="4110" spans="2:2" ht="15.95" customHeight="1">
      <c r="B4110" s="37"/>
    </row>
    <row r="4111" spans="2:2" ht="15.95" customHeight="1">
      <c r="B4111" s="37"/>
    </row>
    <row r="4112" spans="2:2" ht="15.95" customHeight="1">
      <c r="B4112" s="37"/>
    </row>
    <row r="4113" spans="2:2" ht="15.95" customHeight="1">
      <c r="B4113" s="37"/>
    </row>
    <row r="4114" spans="2:2" ht="15.95" customHeight="1">
      <c r="B4114" s="37"/>
    </row>
    <row r="4115" spans="2:2" ht="15.95" customHeight="1">
      <c r="B4115" s="37"/>
    </row>
    <row r="4116" spans="2:2" ht="15.95" customHeight="1">
      <c r="B4116" s="37"/>
    </row>
    <row r="4117" spans="2:2" ht="15.95" customHeight="1">
      <c r="B4117" s="37"/>
    </row>
    <row r="4118" spans="2:2" ht="15.95" customHeight="1">
      <c r="B4118" s="37"/>
    </row>
    <row r="4119" spans="2:2" ht="15.95" customHeight="1">
      <c r="B4119" s="37"/>
    </row>
    <row r="4120" spans="2:2" ht="15.95" customHeight="1">
      <c r="B4120" s="37"/>
    </row>
    <row r="4121" spans="2:2" ht="15.95" customHeight="1">
      <c r="B4121" s="37"/>
    </row>
    <row r="4122" spans="2:2" ht="15.95" customHeight="1">
      <c r="B4122" s="37"/>
    </row>
    <row r="4123" spans="2:2" ht="15.95" customHeight="1">
      <c r="B4123" s="37"/>
    </row>
    <row r="4124" spans="2:2" ht="15.95" customHeight="1">
      <c r="B4124" s="37"/>
    </row>
    <row r="4125" spans="2:2" ht="15.95" customHeight="1">
      <c r="B4125" s="37"/>
    </row>
    <row r="4126" spans="2:2" ht="15.95" customHeight="1">
      <c r="B4126" s="37"/>
    </row>
    <row r="4127" spans="2:2" ht="15.95" customHeight="1">
      <c r="B4127" s="37"/>
    </row>
    <row r="4128" spans="2:2" ht="15.95" customHeight="1">
      <c r="B4128" s="37"/>
    </row>
    <row r="4129" spans="2:2" ht="15.95" customHeight="1">
      <c r="B4129" s="37"/>
    </row>
    <row r="4130" spans="2:2" ht="15.95" customHeight="1">
      <c r="B4130" s="37"/>
    </row>
    <row r="4131" spans="2:2" ht="15.95" customHeight="1">
      <c r="B4131" s="37"/>
    </row>
    <row r="4132" spans="2:2" ht="15.95" customHeight="1">
      <c r="B4132" s="37"/>
    </row>
    <row r="4133" spans="2:2" ht="15.95" customHeight="1">
      <c r="B4133" s="37"/>
    </row>
    <row r="4134" spans="2:2" ht="15.95" customHeight="1">
      <c r="B4134" s="37"/>
    </row>
    <row r="4135" spans="2:2" ht="15.95" customHeight="1">
      <c r="B4135" s="37"/>
    </row>
    <row r="4136" spans="2:2" ht="15.95" customHeight="1">
      <c r="B4136" s="37"/>
    </row>
    <row r="4137" spans="2:2" ht="15.95" customHeight="1">
      <c r="B4137" s="37"/>
    </row>
    <row r="4138" spans="2:2" ht="15.95" customHeight="1">
      <c r="B4138" s="37"/>
    </row>
    <row r="4139" spans="2:2" ht="15.95" customHeight="1">
      <c r="B4139" s="37"/>
    </row>
    <row r="4140" spans="2:2" ht="15.95" customHeight="1">
      <c r="B4140" s="37"/>
    </row>
    <row r="4141" spans="2:2" ht="15.95" customHeight="1">
      <c r="B4141" s="37"/>
    </row>
    <row r="4142" spans="2:2" ht="15.95" customHeight="1">
      <c r="B4142" s="37"/>
    </row>
    <row r="4143" spans="2:2" ht="15.95" customHeight="1">
      <c r="B4143" s="37"/>
    </row>
    <row r="4144" spans="2:2" ht="15.95" customHeight="1">
      <c r="B4144" s="37"/>
    </row>
    <row r="4145" spans="2:2" ht="15.95" customHeight="1">
      <c r="B4145" s="37"/>
    </row>
    <row r="4146" spans="2:2" ht="15.95" customHeight="1">
      <c r="B4146" s="37"/>
    </row>
    <row r="4147" spans="2:2" ht="15.95" customHeight="1">
      <c r="B4147" s="37"/>
    </row>
    <row r="4148" spans="2:2" ht="15.95" customHeight="1">
      <c r="B4148" s="37"/>
    </row>
    <row r="4149" spans="2:2" ht="15.95" customHeight="1">
      <c r="B4149" s="37"/>
    </row>
    <row r="4150" spans="2:2" ht="15.95" customHeight="1">
      <c r="B4150" s="37"/>
    </row>
    <row r="4151" spans="2:2" ht="15.95" customHeight="1">
      <c r="B4151" s="37"/>
    </row>
    <row r="4152" spans="2:2" ht="15.95" customHeight="1">
      <c r="B4152" s="37"/>
    </row>
    <row r="4153" spans="2:2" ht="15.95" customHeight="1">
      <c r="B4153" s="37"/>
    </row>
    <row r="4154" spans="2:2" ht="15.95" customHeight="1">
      <c r="B4154" s="37"/>
    </row>
    <row r="4155" spans="2:2" ht="15.95" customHeight="1">
      <c r="B4155" s="37"/>
    </row>
    <row r="4156" spans="2:2" ht="15.95" customHeight="1">
      <c r="B4156" s="37"/>
    </row>
    <row r="4157" spans="2:2" ht="15.95" customHeight="1">
      <c r="B4157" s="37"/>
    </row>
    <row r="4158" spans="2:2" ht="15.95" customHeight="1">
      <c r="B4158" s="37"/>
    </row>
    <row r="4159" spans="2:2" ht="15.95" customHeight="1">
      <c r="B4159" s="37"/>
    </row>
    <row r="4160" spans="2:2" ht="15.95" customHeight="1">
      <c r="B4160" s="37"/>
    </row>
    <row r="4161" spans="2:2" ht="15.95" customHeight="1">
      <c r="B4161" s="37"/>
    </row>
    <row r="4162" spans="2:2" ht="15.95" customHeight="1">
      <c r="B4162" s="37"/>
    </row>
    <row r="4163" spans="2:2" ht="15.95" customHeight="1">
      <c r="B4163" s="37"/>
    </row>
    <row r="4164" spans="2:2" ht="15.95" customHeight="1">
      <c r="B4164" s="37"/>
    </row>
    <row r="4165" spans="2:2" ht="15.95" customHeight="1">
      <c r="B4165" s="37"/>
    </row>
    <row r="4166" spans="2:2" ht="15.95" customHeight="1">
      <c r="B4166" s="37"/>
    </row>
    <row r="4167" spans="2:2" ht="15.95" customHeight="1">
      <c r="B4167" s="37"/>
    </row>
    <row r="4168" spans="2:2" ht="15.95" customHeight="1">
      <c r="B4168" s="37"/>
    </row>
    <row r="4169" spans="2:2" ht="15.95" customHeight="1">
      <c r="B4169" s="37"/>
    </row>
    <row r="4170" spans="2:2" ht="15.95" customHeight="1">
      <c r="B4170" s="37"/>
    </row>
    <row r="4171" spans="2:2" ht="15.95" customHeight="1">
      <c r="B4171" s="37"/>
    </row>
    <row r="4172" spans="2:2" ht="15.95" customHeight="1">
      <c r="B4172" s="37"/>
    </row>
    <row r="4173" spans="2:2" ht="15.95" customHeight="1">
      <c r="B4173" s="37"/>
    </row>
    <row r="4174" spans="2:2" ht="15.95" customHeight="1">
      <c r="B4174" s="37"/>
    </row>
    <row r="4175" spans="2:2" ht="15.95" customHeight="1">
      <c r="B4175" s="37"/>
    </row>
    <row r="4176" spans="2:2" ht="15.95" customHeight="1">
      <c r="B4176" s="37"/>
    </row>
    <row r="4177" spans="2:2" ht="15.95" customHeight="1">
      <c r="B4177" s="37"/>
    </row>
    <row r="4178" spans="2:2" ht="15.95" customHeight="1">
      <c r="B4178" s="37"/>
    </row>
    <row r="4179" spans="2:2" ht="15.95" customHeight="1">
      <c r="B4179" s="37"/>
    </row>
    <row r="4180" spans="2:2" ht="15.95" customHeight="1">
      <c r="B4180" s="37"/>
    </row>
    <row r="4181" spans="2:2" ht="15.95" customHeight="1">
      <c r="B4181" s="37"/>
    </row>
    <row r="4182" spans="2:2" ht="15.95" customHeight="1">
      <c r="B4182" s="37"/>
    </row>
    <row r="4183" spans="2:2" ht="15.95" customHeight="1">
      <c r="B4183" s="37"/>
    </row>
    <row r="4184" spans="2:2" ht="15.95" customHeight="1">
      <c r="B4184" s="37"/>
    </row>
    <row r="4185" spans="2:2" ht="15.95" customHeight="1">
      <c r="B4185" s="37"/>
    </row>
    <row r="4186" spans="2:2" ht="15.95" customHeight="1">
      <c r="B4186" s="37"/>
    </row>
    <row r="4187" spans="2:2" ht="15.95" customHeight="1">
      <c r="B4187" s="37"/>
    </row>
    <row r="4188" spans="2:2" ht="15.95" customHeight="1">
      <c r="B4188" s="37"/>
    </row>
    <row r="4189" spans="2:2" ht="15.95" customHeight="1">
      <c r="B4189" s="37"/>
    </row>
    <row r="4190" spans="2:2" ht="15.95" customHeight="1">
      <c r="B4190" s="37"/>
    </row>
    <row r="4191" spans="2:2" ht="15.95" customHeight="1">
      <c r="B4191" s="37"/>
    </row>
    <row r="4192" spans="2:2" ht="15.95" customHeight="1">
      <c r="B4192" s="37"/>
    </row>
    <row r="4193" spans="2:2" ht="15.95" customHeight="1">
      <c r="B4193" s="37"/>
    </row>
    <row r="4194" spans="2:2" ht="15.95" customHeight="1">
      <c r="B4194" s="37"/>
    </row>
    <row r="4195" spans="2:2" ht="15.95" customHeight="1">
      <c r="B4195" s="37"/>
    </row>
    <row r="4196" spans="2:2" ht="15.95" customHeight="1">
      <c r="B4196" s="37"/>
    </row>
    <row r="4197" spans="2:2" ht="15.95" customHeight="1">
      <c r="B4197" s="37"/>
    </row>
    <row r="4198" spans="2:2" ht="15.95" customHeight="1">
      <c r="B4198" s="37"/>
    </row>
    <row r="4199" spans="2:2" ht="15.95" customHeight="1">
      <c r="B4199" s="37"/>
    </row>
    <row r="4200" spans="2:2" ht="15.95" customHeight="1">
      <c r="B4200" s="37"/>
    </row>
    <row r="4201" spans="2:2" ht="15.95" customHeight="1">
      <c r="B4201" s="37"/>
    </row>
    <row r="4202" spans="2:2" ht="15.95" customHeight="1">
      <c r="B4202" s="37"/>
    </row>
    <row r="4203" spans="2:2" ht="15.95" customHeight="1">
      <c r="B4203" s="37"/>
    </row>
    <row r="4204" spans="2:2" ht="15.95" customHeight="1">
      <c r="B4204" s="37"/>
    </row>
    <row r="4205" spans="2:2" ht="15.95" customHeight="1">
      <c r="B4205" s="37"/>
    </row>
    <row r="4206" spans="2:2" ht="15.95" customHeight="1">
      <c r="B4206" s="37"/>
    </row>
    <row r="4207" spans="2:2" ht="15.95" customHeight="1">
      <c r="B4207" s="37"/>
    </row>
    <row r="4208" spans="2:2" ht="15.95" customHeight="1">
      <c r="B4208" s="37"/>
    </row>
    <row r="4209" spans="2:2" ht="15.95" customHeight="1">
      <c r="B4209" s="37"/>
    </row>
    <row r="4210" spans="2:2" ht="15.95" customHeight="1">
      <c r="B4210" s="37"/>
    </row>
    <row r="4211" spans="2:2" ht="15.95" customHeight="1">
      <c r="B4211" s="37"/>
    </row>
    <row r="4212" spans="2:2" ht="15.95" customHeight="1">
      <c r="B4212" s="37"/>
    </row>
    <row r="4213" spans="2:2" ht="15.95" customHeight="1">
      <c r="B4213" s="37"/>
    </row>
    <row r="4214" spans="2:2" ht="15.95" customHeight="1">
      <c r="B4214" s="37"/>
    </row>
    <row r="4215" spans="2:2" ht="15.95" customHeight="1">
      <c r="B4215" s="37"/>
    </row>
    <row r="4216" spans="2:2" ht="15.95" customHeight="1">
      <c r="B4216" s="37"/>
    </row>
    <row r="4217" spans="2:2" ht="15.95" customHeight="1">
      <c r="B4217" s="37"/>
    </row>
    <row r="4218" spans="2:2" ht="15.95" customHeight="1">
      <c r="B4218" s="37"/>
    </row>
    <row r="4219" spans="2:2" ht="15.95" customHeight="1">
      <c r="B4219" s="37"/>
    </row>
    <row r="4220" spans="2:2" ht="15.95" customHeight="1">
      <c r="B4220" s="37"/>
    </row>
    <row r="4221" spans="2:2" ht="15.95" customHeight="1">
      <c r="B4221" s="37"/>
    </row>
    <row r="4222" spans="2:2" ht="15.95" customHeight="1">
      <c r="B4222" s="37"/>
    </row>
    <row r="4223" spans="2:2" ht="15.95" customHeight="1">
      <c r="B4223" s="37"/>
    </row>
    <row r="4224" spans="2:2" ht="15.95" customHeight="1">
      <c r="B4224" s="37"/>
    </row>
    <row r="4225" spans="2:2" ht="15.95" customHeight="1">
      <c r="B4225" s="37"/>
    </row>
    <row r="4226" spans="2:2" ht="15.95" customHeight="1">
      <c r="B4226" s="37"/>
    </row>
    <row r="4227" spans="2:2" ht="15.95" customHeight="1">
      <c r="B4227" s="37"/>
    </row>
    <row r="4228" spans="2:2" ht="15.95" customHeight="1">
      <c r="B4228" s="37"/>
    </row>
    <row r="4229" spans="2:2" ht="15.95" customHeight="1">
      <c r="B4229" s="37"/>
    </row>
    <row r="4230" spans="2:2" ht="15.95" customHeight="1">
      <c r="B4230" s="37"/>
    </row>
    <row r="4231" spans="2:2" ht="15.95" customHeight="1">
      <c r="B4231" s="37"/>
    </row>
    <row r="4232" spans="2:2" ht="15.95" customHeight="1">
      <c r="B4232" s="37"/>
    </row>
    <row r="4233" spans="2:2" ht="15.95" customHeight="1">
      <c r="B4233" s="37"/>
    </row>
    <row r="4234" spans="2:2" ht="15.95" customHeight="1">
      <c r="B4234" s="37"/>
    </row>
    <row r="4235" spans="2:2" ht="15.95" customHeight="1">
      <c r="B4235" s="37"/>
    </row>
    <row r="4236" spans="2:2" ht="15.95" customHeight="1">
      <c r="B4236" s="37"/>
    </row>
    <row r="4237" spans="2:2" ht="15.95" customHeight="1">
      <c r="B4237" s="37"/>
    </row>
    <row r="4238" spans="2:2" ht="15.95" customHeight="1">
      <c r="B4238" s="37"/>
    </row>
    <row r="4239" spans="2:2" ht="15.95" customHeight="1">
      <c r="B4239" s="37"/>
    </row>
    <row r="4240" spans="2:2" ht="15.95" customHeight="1">
      <c r="B4240" s="37"/>
    </row>
    <row r="4241" spans="2:2" ht="15.95" customHeight="1">
      <c r="B4241" s="37"/>
    </row>
    <row r="4242" spans="2:2" ht="15.95" customHeight="1">
      <c r="B4242" s="37"/>
    </row>
    <row r="4243" spans="2:2" ht="15.95" customHeight="1">
      <c r="B4243" s="37"/>
    </row>
    <row r="4244" spans="2:2" ht="15.95" customHeight="1">
      <c r="B4244" s="37"/>
    </row>
    <row r="4245" spans="2:2" ht="15.95" customHeight="1">
      <c r="B4245" s="37"/>
    </row>
    <row r="4246" spans="2:2" ht="15.95" customHeight="1">
      <c r="B4246" s="37"/>
    </row>
    <row r="4247" spans="2:2" ht="15.95" customHeight="1">
      <c r="B4247" s="37"/>
    </row>
    <row r="4248" spans="2:2" ht="15.95" customHeight="1">
      <c r="B4248" s="37"/>
    </row>
    <row r="4249" spans="2:2" ht="15.95" customHeight="1">
      <c r="B4249" s="37"/>
    </row>
    <row r="4250" spans="2:2" ht="15.95" customHeight="1">
      <c r="B4250" s="37"/>
    </row>
    <row r="4251" spans="2:2" ht="15.95" customHeight="1">
      <c r="B4251" s="37"/>
    </row>
    <row r="4252" spans="2:2" ht="15.95" customHeight="1">
      <c r="B4252" s="37"/>
    </row>
    <row r="4253" spans="2:2" ht="15.95" customHeight="1">
      <c r="B4253" s="37"/>
    </row>
    <row r="4254" spans="2:2" ht="15.95" customHeight="1">
      <c r="B4254" s="37"/>
    </row>
    <row r="4255" spans="2:2" ht="15.95" customHeight="1">
      <c r="B4255" s="37"/>
    </row>
    <row r="4256" spans="2:2" ht="15.95" customHeight="1">
      <c r="B4256" s="37"/>
    </row>
    <row r="4257" spans="2:2" ht="15.95" customHeight="1">
      <c r="B4257" s="37"/>
    </row>
    <row r="4258" spans="2:2" ht="15.95" customHeight="1">
      <c r="B4258" s="37"/>
    </row>
    <row r="4259" spans="2:2" ht="15.95" customHeight="1">
      <c r="B4259" s="37"/>
    </row>
    <row r="4260" spans="2:2" ht="15.95" customHeight="1">
      <c r="B4260" s="37"/>
    </row>
    <row r="4261" spans="2:2" ht="15.95" customHeight="1">
      <c r="B4261" s="37"/>
    </row>
    <row r="4262" spans="2:2" ht="15.95" customHeight="1">
      <c r="B4262" s="37"/>
    </row>
    <row r="4263" spans="2:2" ht="15.95" customHeight="1">
      <c r="B4263" s="37"/>
    </row>
    <row r="4264" spans="2:2" ht="15.95" customHeight="1">
      <c r="B4264" s="37"/>
    </row>
    <row r="4265" spans="2:2" ht="15.95" customHeight="1">
      <c r="B4265" s="37"/>
    </row>
    <row r="4266" spans="2:2" ht="15.95" customHeight="1">
      <c r="B4266" s="37"/>
    </row>
    <row r="4267" spans="2:2" ht="15.95" customHeight="1">
      <c r="B4267" s="37"/>
    </row>
    <row r="4268" spans="2:2" ht="15.95" customHeight="1">
      <c r="B4268" s="37"/>
    </row>
    <row r="4269" spans="2:2" ht="15.95" customHeight="1">
      <c r="B4269" s="37"/>
    </row>
    <row r="4270" spans="2:2" ht="15.95" customHeight="1">
      <c r="B4270" s="37"/>
    </row>
    <row r="4271" spans="2:2" ht="15.95" customHeight="1">
      <c r="B4271" s="37"/>
    </row>
    <row r="4272" spans="2:2" ht="15.95" customHeight="1">
      <c r="B4272" s="37"/>
    </row>
    <row r="4273" spans="2:2" ht="15.95" customHeight="1">
      <c r="B4273" s="37"/>
    </row>
    <row r="4274" spans="2:2" ht="15.95" customHeight="1">
      <c r="B4274" s="37"/>
    </row>
    <row r="4275" spans="2:2" ht="15.95" customHeight="1">
      <c r="B4275" s="37"/>
    </row>
    <row r="4276" spans="2:2" ht="15.95" customHeight="1">
      <c r="B4276" s="37"/>
    </row>
    <row r="4277" spans="2:2" ht="15.95" customHeight="1">
      <c r="B4277" s="37"/>
    </row>
    <row r="4278" spans="2:2" ht="15.95" customHeight="1">
      <c r="B4278" s="37"/>
    </row>
    <row r="4279" spans="2:2" ht="15.95" customHeight="1">
      <c r="B4279" s="37"/>
    </row>
    <row r="4280" spans="2:2" ht="15.95" customHeight="1">
      <c r="B4280" s="37"/>
    </row>
    <row r="4281" spans="2:2" ht="15.95" customHeight="1">
      <c r="B4281" s="37"/>
    </row>
    <row r="4282" spans="2:2" ht="15.95" customHeight="1">
      <c r="B4282" s="37"/>
    </row>
    <row r="4283" spans="2:2" ht="15.95" customHeight="1">
      <c r="B4283" s="37"/>
    </row>
    <row r="4284" spans="2:2" ht="15.95" customHeight="1">
      <c r="B4284" s="37"/>
    </row>
    <row r="4285" spans="2:2" ht="15.95" customHeight="1">
      <c r="B4285" s="37"/>
    </row>
    <row r="4286" spans="2:2" ht="15.95" customHeight="1">
      <c r="B4286" s="37"/>
    </row>
    <row r="4287" spans="2:2" ht="15.95" customHeight="1">
      <c r="B4287" s="37"/>
    </row>
    <row r="4288" spans="2:2" ht="15.95" customHeight="1">
      <c r="B4288" s="37"/>
    </row>
    <row r="4289" spans="2:2" ht="15.95" customHeight="1">
      <c r="B4289" s="37"/>
    </row>
    <row r="4290" spans="2:2" ht="15.95" customHeight="1">
      <c r="B4290" s="37"/>
    </row>
    <row r="4291" spans="2:2" ht="15.95" customHeight="1">
      <c r="B4291" s="37"/>
    </row>
    <row r="4292" spans="2:2" ht="15.95" customHeight="1">
      <c r="B4292" s="37"/>
    </row>
    <row r="4293" spans="2:2" ht="15.95" customHeight="1">
      <c r="B4293" s="37"/>
    </row>
    <row r="4294" spans="2:2" ht="15.95" customHeight="1">
      <c r="B4294" s="37"/>
    </row>
    <row r="4295" spans="2:2" ht="15.95" customHeight="1">
      <c r="B4295" s="37"/>
    </row>
    <row r="4296" spans="2:2" ht="15.95" customHeight="1">
      <c r="B4296" s="37"/>
    </row>
    <row r="4297" spans="2:2" ht="15.95" customHeight="1">
      <c r="B4297" s="37"/>
    </row>
    <row r="4298" spans="2:2" ht="15.95" customHeight="1">
      <c r="B4298" s="37"/>
    </row>
    <row r="4299" spans="2:2" ht="15.95" customHeight="1">
      <c r="B4299" s="37"/>
    </row>
    <row r="4300" spans="2:2" ht="15.95" customHeight="1">
      <c r="B4300" s="37"/>
    </row>
    <row r="4301" spans="2:2" ht="15.95" customHeight="1">
      <c r="B4301" s="37"/>
    </row>
    <row r="4302" spans="2:2" ht="15.95" customHeight="1">
      <c r="B4302" s="37"/>
    </row>
    <row r="4303" spans="2:2" ht="15.95" customHeight="1">
      <c r="B4303" s="37"/>
    </row>
    <row r="4304" spans="2:2" ht="15.95" customHeight="1">
      <c r="B4304" s="37"/>
    </row>
    <row r="4305" spans="2:2" ht="15.95" customHeight="1">
      <c r="B4305" s="37"/>
    </row>
    <row r="4306" spans="2:2" ht="15.95" customHeight="1">
      <c r="B4306" s="37"/>
    </row>
    <row r="4307" spans="2:2" ht="15.95" customHeight="1">
      <c r="B4307" s="37"/>
    </row>
    <row r="4308" spans="2:2" ht="15.95" customHeight="1">
      <c r="B4308" s="37"/>
    </row>
    <row r="4309" spans="2:2" ht="15.95" customHeight="1">
      <c r="B4309" s="37"/>
    </row>
    <row r="4310" spans="2:2" ht="15.95" customHeight="1">
      <c r="B4310" s="37"/>
    </row>
    <row r="4311" spans="2:2" ht="15.95" customHeight="1">
      <c r="B4311" s="37"/>
    </row>
    <row r="4312" spans="2:2" ht="15.95" customHeight="1">
      <c r="B4312" s="37"/>
    </row>
    <row r="4313" spans="2:2" ht="15.95" customHeight="1">
      <c r="B4313" s="37"/>
    </row>
    <row r="4314" spans="2:2" ht="15.95" customHeight="1">
      <c r="B4314" s="37"/>
    </row>
    <row r="4315" spans="2:2" ht="15.95" customHeight="1">
      <c r="B4315" s="37"/>
    </row>
    <row r="4316" spans="2:2" ht="15.95" customHeight="1">
      <c r="B4316" s="37"/>
    </row>
    <row r="4317" spans="2:2" ht="15.95" customHeight="1">
      <c r="B4317" s="37"/>
    </row>
    <row r="4318" spans="2:2" ht="15.95" customHeight="1">
      <c r="B4318" s="37"/>
    </row>
    <row r="4319" spans="2:2" ht="15.95" customHeight="1">
      <c r="B4319" s="37"/>
    </row>
    <row r="4320" spans="2:2" ht="15.95" customHeight="1">
      <c r="B4320" s="37"/>
    </row>
    <row r="4321" spans="2:2" ht="15.95" customHeight="1">
      <c r="B4321" s="37"/>
    </row>
    <row r="4322" spans="2:2" ht="15.95" customHeight="1">
      <c r="B4322" s="37"/>
    </row>
    <row r="4323" spans="2:2" ht="15.95" customHeight="1">
      <c r="B4323" s="37"/>
    </row>
    <row r="4324" spans="2:2" ht="15.95" customHeight="1">
      <c r="B4324" s="37"/>
    </row>
    <row r="4325" spans="2:2" ht="15.95" customHeight="1">
      <c r="B4325" s="37"/>
    </row>
    <row r="4326" spans="2:2" ht="15.95" customHeight="1">
      <c r="B4326" s="37"/>
    </row>
    <row r="4327" spans="2:2" ht="15.95" customHeight="1">
      <c r="B4327" s="37"/>
    </row>
    <row r="4328" spans="2:2" ht="15.95" customHeight="1">
      <c r="B4328" s="37"/>
    </row>
    <row r="4329" spans="2:2" ht="15.95" customHeight="1">
      <c r="B4329" s="37"/>
    </row>
    <row r="4330" spans="2:2" ht="15.95" customHeight="1">
      <c r="B4330" s="37"/>
    </row>
    <row r="4331" spans="2:2" ht="15.95" customHeight="1">
      <c r="B4331" s="37"/>
    </row>
    <row r="4332" spans="2:2" ht="15.95" customHeight="1">
      <c r="B4332" s="37"/>
    </row>
    <row r="4333" spans="2:2" ht="15.95" customHeight="1">
      <c r="B4333" s="37"/>
    </row>
    <row r="4334" spans="2:2" ht="15.95" customHeight="1">
      <c r="B4334" s="37"/>
    </row>
    <row r="4335" spans="2:2" ht="15.95" customHeight="1">
      <c r="B4335" s="37"/>
    </row>
    <row r="4336" spans="2:2" ht="15.95" customHeight="1">
      <c r="B4336" s="37"/>
    </row>
    <row r="4337" spans="2:2" ht="15.95" customHeight="1">
      <c r="B4337" s="37"/>
    </row>
    <row r="4338" spans="2:2" ht="15.95" customHeight="1">
      <c r="B4338" s="37"/>
    </row>
    <row r="4339" spans="2:2" ht="15.95" customHeight="1">
      <c r="B4339" s="37"/>
    </row>
    <row r="4340" spans="2:2" ht="15.95" customHeight="1">
      <c r="B4340" s="37"/>
    </row>
    <row r="4341" spans="2:2" ht="15.95" customHeight="1">
      <c r="B4341" s="37"/>
    </row>
    <row r="4342" spans="2:2" ht="15.95" customHeight="1">
      <c r="B4342" s="37"/>
    </row>
    <row r="4343" spans="2:2" ht="15.95" customHeight="1">
      <c r="B4343" s="37"/>
    </row>
    <row r="4344" spans="2:2" ht="15.95" customHeight="1">
      <c r="B4344" s="37"/>
    </row>
    <row r="4345" spans="2:2" ht="15.95" customHeight="1">
      <c r="B4345" s="37"/>
    </row>
    <row r="4346" spans="2:2" ht="15.95" customHeight="1">
      <c r="B4346" s="37"/>
    </row>
    <row r="4347" spans="2:2" ht="15.95" customHeight="1">
      <c r="B4347" s="37"/>
    </row>
    <row r="4348" spans="2:2" ht="15.95" customHeight="1">
      <c r="B4348" s="37"/>
    </row>
    <row r="4349" spans="2:2" ht="15.95" customHeight="1">
      <c r="B4349" s="37"/>
    </row>
    <row r="4350" spans="2:2" ht="15.95" customHeight="1">
      <c r="B4350" s="37"/>
    </row>
    <row r="4351" spans="2:2" ht="15.95" customHeight="1">
      <c r="B4351" s="37"/>
    </row>
    <row r="4352" spans="2:2" ht="15.95" customHeight="1">
      <c r="B4352" s="37"/>
    </row>
    <row r="4353" spans="2:2" ht="15.95" customHeight="1">
      <c r="B4353" s="37"/>
    </row>
    <row r="4354" spans="2:2" ht="15.95" customHeight="1">
      <c r="B4354" s="37"/>
    </row>
    <row r="4355" spans="2:2" ht="15.95" customHeight="1">
      <c r="B4355" s="37"/>
    </row>
    <row r="4356" spans="2:2" ht="15.95" customHeight="1">
      <c r="B4356" s="37"/>
    </row>
    <row r="4357" spans="2:2" ht="15.95" customHeight="1">
      <c r="B4357" s="37"/>
    </row>
    <row r="4358" spans="2:2" ht="15.95" customHeight="1">
      <c r="B4358" s="37"/>
    </row>
    <row r="4359" spans="2:2" ht="15.95" customHeight="1">
      <c r="B4359" s="37"/>
    </row>
    <row r="4360" spans="2:2" ht="15.95" customHeight="1">
      <c r="B4360" s="37"/>
    </row>
    <row r="4361" spans="2:2" ht="15.95" customHeight="1">
      <c r="B4361" s="37"/>
    </row>
    <row r="4362" spans="2:2" ht="15.95" customHeight="1">
      <c r="B4362" s="37"/>
    </row>
    <row r="4363" spans="2:2" ht="15.95" customHeight="1">
      <c r="B4363" s="37"/>
    </row>
    <row r="4364" spans="2:2" ht="15.95" customHeight="1">
      <c r="B4364" s="37"/>
    </row>
    <row r="4365" spans="2:2" ht="15.95" customHeight="1">
      <c r="B4365" s="37"/>
    </row>
    <row r="4366" spans="2:2" ht="15.95" customHeight="1">
      <c r="B4366" s="37"/>
    </row>
    <row r="4367" spans="2:2" ht="15.95" customHeight="1">
      <c r="B4367" s="37"/>
    </row>
    <row r="4368" spans="2:2" ht="15.95" customHeight="1">
      <c r="B4368" s="37"/>
    </row>
    <row r="4369" spans="2:2" ht="15.95" customHeight="1">
      <c r="B4369" s="37"/>
    </row>
    <row r="4370" spans="2:2" ht="15.95" customHeight="1">
      <c r="B4370" s="37"/>
    </row>
    <row r="4371" spans="2:2" ht="15.95" customHeight="1">
      <c r="B4371" s="37"/>
    </row>
    <row r="4372" spans="2:2" ht="15.95" customHeight="1">
      <c r="B4372" s="37"/>
    </row>
    <row r="4373" spans="2:2" ht="15.95" customHeight="1">
      <c r="B4373" s="37"/>
    </row>
    <row r="4374" spans="2:2" ht="15.95" customHeight="1">
      <c r="B4374" s="37"/>
    </row>
    <row r="4375" spans="2:2" ht="15.95" customHeight="1">
      <c r="B4375" s="37"/>
    </row>
    <row r="4376" spans="2:2" ht="15.95" customHeight="1">
      <c r="B4376" s="37"/>
    </row>
    <row r="4377" spans="2:2" ht="15.95" customHeight="1">
      <c r="B4377" s="37"/>
    </row>
    <row r="4378" spans="2:2" ht="15.95" customHeight="1">
      <c r="B4378" s="37"/>
    </row>
    <row r="4379" spans="2:2" ht="15.95" customHeight="1">
      <c r="B4379" s="37"/>
    </row>
    <row r="4380" spans="2:2" ht="15.95" customHeight="1">
      <c r="B4380" s="37"/>
    </row>
    <row r="4381" spans="2:2" ht="15.95" customHeight="1">
      <c r="B4381" s="37"/>
    </row>
    <row r="4382" spans="2:2" ht="15.95" customHeight="1">
      <c r="B4382" s="37"/>
    </row>
    <row r="4383" spans="2:2" ht="15.95" customHeight="1">
      <c r="B4383" s="37"/>
    </row>
    <row r="4384" spans="2:2" ht="15.95" customHeight="1">
      <c r="B4384" s="37"/>
    </row>
    <row r="4385" spans="2:2" ht="15.95" customHeight="1">
      <c r="B4385" s="37"/>
    </row>
    <row r="4386" spans="2:2" ht="15.95" customHeight="1">
      <c r="B4386" s="37"/>
    </row>
    <row r="4387" spans="2:2" ht="15.95" customHeight="1">
      <c r="B4387" s="37"/>
    </row>
    <row r="4388" spans="2:2" ht="15.95" customHeight="1">
      <c r="B4388" s="37"/>
    </row>
    <row r="4389" spans="2:2" ht="15.95" customHeight="1">
      <c r="B4389" s="37"/>
    </row>
    <row r="4390" spans="2:2" ht="15.95" customHeight="1">
      <c r="B4390" s="37"/>
    </row>
    <row r="4391" spans="2:2" ht="15.95" customHeight="1">
      <c r="B4391" s="37"/>
    </row>
    <row r="4392" spans="2:2" ht="15.95" customHeight="1">
      <c r="B4392" s="37"/>
    </row>
    <row r="4393" spans="2:2" ht="15.95" customHeight="1">
      <c r="B4393" s="37"/>
    </row>
    <row r="4394" spans="2:2" ht="15.95" customHeight="1">
      <c r="B4394" s="37"/>
    </row>
    <row r="4395" spans="2:2" ht="15.95" customHeight="1">
      <c r="B4395" s="37"/>
    </row>
    <row r="4396" spans="2:2" ht="15.95" customHeight="1">
      <c r="B4396" s="37"/>
    </row>
    <row r="4397" spans="2:2" ht="15.95" customHeight="1">
      <c r="B4397" s="37"/>
    </row>
    <row r="4398" spans="2:2" ht="15.95" customHeight="1">
      <c r="B4398" s="37"/>
    </row>
    <row r="4399" spans="2:2" ht="15.95" customHeight="1">
      <c r="B4399" s="37"/>
    </row>
    <row r="4400" spans="2:2" ht="15.95" customHeight="1">
      <c r="B4400" s="37"/>
    </row>
    <row r="4401" spans="2:2" ht="15.95" customHeight="1">
      <c r="B4401" s="37"/>
    </row>
    <row r="4402" spans="2:2" ht="15.95" customHeight="1">
      <c r="B4402" s="37"/>
    </row>
    <row r="4403" spans="2:2" ht="15.95" customHeight="1">
      <c r="B4403" s="37"/>
    </row>
    <row r="4404" spans="2:2" ht="15.95" customHeight="1">
      <c r="B4404" s="37"/>
    </row>
    <row r="4405" spans="2:2" ht="15.95" customHeight="1">
      <c r="B4405" s="37"/>
    </row>
    <row r="4406" spans="2:2" ht="15.95" customHeight="1">
      <c r="B4406" s="37"/>
    </row>
    <row r="4407" spans="2:2" ht="15.95" customHeight="1">
      <c r="B4407" s="37"/>
    </row>
    <row r="4408" spans="2:2" ht="15.95" customHeight="1">
      <c r="B4408" s="37"/>
    </row>
    <row r="4409" spans="2:2" ht="15.95" customHeight="1">
      <c r="B4409" s="37"/>
    </row>
    <row r="4410" spans="2:2" ht="15.95" customHeight="1">
      <c r="B4410" s="37"/>
    </row>
    <row r="4411" spans="2:2" ht="15.95" customHeight="1">
      <c r="B4411" s="37"/>
    </row>
    <row r="4412" spans="2:2" ht="15.95" customHeight="1">
      <c r="B4412" s="37"/>
    </row>
    <row r="4413" spans="2:2" ht="15.95" customHeight="1">
      <c r="B4413" s="37"/>
    </row>
    <row r="4414" spans="2:2" ht="15.95" customHeight="1">
      <c r="B4414" s="37"/>
    </row>
    <row r="4415" spans="2:2" ht="15.95" customHeight="1">
      <c r="B4415" s="37"/>
    </row>
    <row r="4416" spans="2:2" ht="15.95" customHeight="1">
      <c r="B4416" s="37"/>
    </row>
    <row r="4417" spans="2:2" ht="15.95" customHeight="1">
      <c r="B4417" s="37"/>
    </row>
    <row r="4418" spans="2:2" ht="15.95" customHeight="1">
      <c r="B4418" s="37"/>
    </row>
    <row r="4419" spans="2:2" ht="15.95" customHeight="1">
      <c r="B4419" s="37"/>
    </row>
    <row r="4420" spans="2:2" ht="15.95" customHeight="1">
      <c r="B4420" s="37"/>
    </row>
    <row r="4421" spans="2:2" ht="15.95" customHeight="1">
      <c r="B4421" s="37"/>
    </row>
    <row r="4422" spans="2:2" ht="15.95" customHeight="1">
      <c r="B4422" s="37"/>
    </row>
    <row r="4423" spans="2:2" ht="15.95" customHeight="1">
      <c r="B4423" s="37"/>
    </row>
    <row r="4424" spans="2:2" ht="15.95" customHeight="1">
      <c r="B4424" s="37"/>
    </row>
    <row r="4425" spans="2:2" ht="15.95" customHeight="1">
      <c r="B4425" s="37"/>
    </row>
    <row r="4426" spans="2:2" ht="15.95" customHeight="1">
      <c r="B4426" s="37"/>
    </row>
    <row r="4427" spans="2:2" ht="15.95" customHeight="1">
      <c r="B4427" s="37"/>
    </row>
    <row r="4428" spans="2:2" ht="15.95" customHeight="1">
      <c r="B4428" s="37"/>
    </row>
    <row r="4429" spans="2:2" ht="15.95" customHeight="1">
      <c r="B4429" s="37"/>
    </row>
    <row r="4430" spans="2:2" ht="15.95" customHeight="1">
      <c r="B4430" s="37"/>
    </row>
    <row r="4431" spans="2:2" ht="15.95" customHeight="1">
      <c r="B4431" s="37"/>
    </row>
    <row r="4432" spans="2:2" ht="15.95" customHeight="1">
      <c r="B4432" s="37"/>
    </row>
    <row r="4433" spans="2:2" ht="15.95" customHeight="1">
      <c r="B4433" s="37"/>
    </row>
    <row r="4434" spans="2:2" ht="15.95" customHeight="1">
      <c r="B4434" s="37"/>
    </row>
    <row r="4435" spans="2:2" ht="15.95" customHeight="1">
      <c r="B4435" s="37"/>
    </row>
    <row r="4436" spans="2:2" ht="15.95" customHeight="1">
      <c r="B4436" s="37"/>
    </row>
    <row r="4437" spans="2:2" ht="15.95" customHeight="1">
      <c r="B4437" s="37"/>
    </row>
    <row r="4438" spans="2:2" ht="15.95" customHeight="1">
      <c r="B4438" s="37"/>
    </row>
    <row r="4439" spans="2:2" ht="15.95" customHeight="1">
      <c r="B4439" s="37"/>
    </row>
    <row r="4440" spans="2:2" ht="15.95" customHeight="1">
      <c r="B4440" s="37"/>
    </row>
    <row r="4441" spans="2:2" ht="15.95" customHeight="1">
      <c r="B4441" s="37"/>
    </row>
    <row r="4442" spans="2:2" ht="15.95" customHeight="1">
      <c r="B4442" s="37"/>
    </row>
    <row r="4443" spans="2:2" ht="15.95" customHeight="1">
      <c r="B4443" s="37"/>
    </row>
    <row r="4444" spans="2:2" ht="15.95" customHeight="1">
      <c r="B4444" s="37"/>
    </row>
    <row r="4445" spans="2:2" ht="15.95" customHeight="1">
      <c r="B4445" s="37"/>
    </row>
    <row r="4446" spans="2:2" ht="15.95" customHeight="1">
      <c r="B4446" s="37"/>
    </row>
    <row r="4447" spans="2:2" ht="15.95" customHeight="1">
      <c r="B4447" s="37"/>
    </row>
    <row r="4448" spans="2:2" ht="15.95" customHeight="1">
      <c r="B4448" s="37"/>
    </row>
    <row r="4449" spans="2:2" ht="15.95" customHeight="1">
      <c r="B4449" s="37"/>
    </row>
    <row r="4450" spans="2:2" ht="15.95" customHeight="1">
      <c r="B4450" s="37"/>
    </row>
    <row r="4451" spans="2:2" ht="15.95" customHeight="1">
      <c r="B4451" s="37"/>
    </row>
    <row r="4452" spans="2:2" ht="15.95" customHeight="1">
      <c r="B4452" s="37"/>
    </row>
    <row r="4453" spans="2:2" ht="15.95" customHeight="1">
      <c r="B4453" s="37"/>
    </row>
    <row r="4454" spans="2:2" ht="15.95" customHeight="1">
      <c r="B4454" s="37"/>
    </row>
    <row r="4455" spans="2:2" ht="15.95" customHeight="1">
      <c r="B4455" s="37"/>
    </row>
    <row r="4456" spans="2:2" ht="15.95" customHeight="1">
      <c r="B4456" s="37"/>
    </row>
    <row r="4457" spans="2:2" ht="15.95" customHeight="1">
      <c r="B4457" s="37"/>
    </row>
    <row r="4458" spans="2:2" ht="15.95" customHeight="1">
      <c r="B4458" s="37"/>
    </row>
    <row r="4459" spans="2:2" ht="15.95" customHeight="1">
      <c r="B4459" s="37"/>
    </row>
    <row r="4460" spans="2:2" ht="15.95" customHeight="1">
      <c r="B4460" s="37"/>
    </row>
    <row r="4461" spans="2:2" ht="15.95" customHeight="1">
      <c r="B4461" s="37"/>
    </row>
    <row r="4462" spans="2:2" ht="15.95" customHeight="1">
      <c r="B4462" s="37"/>
    </row>
    <row r="4463" spans="2:2" ht="15.95" customHeight="1">
      <c r="B4463" s="37"/>
    </row>
    <row r="4464" spans="2:2" ht="15.95" customHeight="1">
      <c r="B4464" s="37"/>
    </row>
    <row r="4465" spans="2:2" ht="15.95" customHeight="1">
      <c r="B4465" s="37"/>
    </row>
    <row r="4466" spans="2:2" ht="15.95" customHeight="1">
      <c r="B4466" s="37"/>
    </row>
    <row r="4467" spans="2:2" ht="15.95" customHeight="1">
      <c r="B4467" s="37"/>
    </row>
    <row r="4468" spans="2:2" ht="15.95" customHeight="1">
      <c r="B4468" s="37"/>
    </row>
    <row r="4469" spans="2:2" ht="15.95" customHeight="1">
      <c r="B4469" s="37"/>
    </row>
    <row r="4470" spans="2:2" ht="15.95" customHeight="1">
      <c r="B4470" s="37"/>
    </row>
    <row r="4471" spans="2:2" ht="15.95" customHeight="1">
      <c r="B4471" s="37"/>
    </row>
    <row r="4472" spans="2:2" ht="15.95" customHeight="1">
      <c r="B4472" s="37"/>
    </row>
    <row r="4473" spans="2:2" ht="15.95" customHeight="1">
      <c r="B4473" s="37"/>
    </row>
    <row r="4474" spans="2:2" ht="15.95" customHeight="1">
      <c r="B4474" s="37"/>
    </row>
    <row r="4475" spans="2:2" ht="15.95" customHeight="1">
      <c r="B4475" s="37"/>
    </row>
    <row r="4476" spans="2:2" ht="15.95" customHeight="1">
      <c r="B4476" s="37"/>
    </row>
    <row r="4477" spans="2:2" ht="15.95" customHeight="1">
      <c r="B4477" s="37"/>
    </row>
    <row r="4478" spans="2:2" ht="15.95" customHeight="1">
      <c r="B4478" s="37"/>
    </row>
    <row r="4479" spans="2:2" ht="15.95" customHeight="1">
      <c r="B4479" s="37"/>
    </row>
    <row r="4480" spans="2:2" ht="15.95" customHeight="1">
      <c r="B4480" s="37"/>
    </row>
    <row r="4481" spans="2:2" ht="15.95" customHeight="1">
      <c r="B4481" s="37"/>
    </row>
    <row r="4482" spans="2:2" ht="15.95" customHeight="1">
      <c r="B4482" s="37"/>
    </row>
    <row r="4483" spans="2:2" ht="15.95" customHeight="1">
      <c r="B4483" s="37"/>
    </row>
    <row r="4484" spans="2:2" ht="15.95" customHeight="1">
      <c r="B4484" s="37"/>
    </row>
    <row r="4485" spans="2:2" ht="15.95" customHeight="1">
      <c r="B4485" s="37"/>
    </row>
    <row r="4486" spans="2:2" ht="15.95" customHeight="1">
      <c r="B4486" s="37"/>
    </row>
    <row r="4487" spans="2:2" ht="15.95" customHeight="1">
      <c r="B4487" s="37"/>
    </row>
    <row r="4488" spans="2:2" ht="15.95" customHeight="1">
      <c r="B4488" s="37"/>
    </row>
    <row r="4489" spans="2:2" ht="15.95" customHeight="1">
      <c r="B4489" s="37"/>
    </row>
    <row r="4490" spans="2:2" ht="15.95" customHeight="1">
      <c r="B4490" s="37"/>
    </row>
    <row r="4491" spans="2:2" ht="15.95" customHeight="1">
      <c r="B4491" s="37"/>
    </row>
    <row r="4492" spans="2:2" ht="15.95" customHeight="1">
      <c r="B4492" s="37"/>
    </row>
    <row r="4493" spans="2:2" ht="15.95" customHeight="1">
      <c r="B4493" s="37"/>
    </row>
    <row r="4494" spans="2:2" ht="15.95" customHeight="1">
      <c r="B4494" s="37"/>
    </row>
    <row r="4495" spans="2:2" ht="15.95" customHeight="1">
      <c r="B4495" s="37"/>
    </row>
    <row r="4496" spans="2:2" ht="15.95" customHeight="1">
      <c r="B4496" s="37"/>
    </row>
    <row r="4497" spans="2:2" ht="15.95" customHeight="1">
      <c r="B4497" s="37"/>
    </row>
    <row r="4498" spans="2:2" ht="15.95" customHeight="1">
      <c r="B4498" s="37"/>
    </row>
    <row r="4499" spans="2:2" ht="15.95" customHeight="1">
      <c r="B4499" s="37"/>
    </row>
    <row r="4500" spans="2:2" ht="15.95" customHeight="1">
      <c r="B4500" s="37"/>
    </row>
    <row r="4501" spans="2:2" ht="15.95" customHeight="1">
      <c r="B4501" s="37"/>
    </row>
    <row r="4502" spans="2:2" ht="15.95" customHeight="1">
      <c r="B4502" s="37"/>
    </row>
    <row r="4503" spans="2:2" ht="15.95" customHeight="1">
      <c r="B4503" s="37"/>
    </row>
    <row r="4504" spans="2:2" ht="15.95" customHeight="1">
      <c r="B4504" s="37"/>
    </row>
    <row r="4505" spans="2:2" ht="15.95" customHeight="1">
      <c r="B4505" s="37"/>
    </row>
    <row r="4506" spans="2:2" ht="15.95" customHeight="1">
      <c r="B4506" s="37"/>
    </row>
    <row r="4507" spans="2:2" ht="15.95" customHeight="1">
      <c r="B4507" s="37"/>
    </row>
    <row r="4508" spans="2:2" ht="15.95" customHeight="1">
      <c r="B4508" s="37"/>
    </row>
    <row r="4509" spans="2:2" ht="15.95" customHeight="1">
      <c r="B4509" s="37"/>
    </row>
    <row r="4510" spans="2:2" ht="15.95" customHeight="1">
      <c r="B4510" s="37"/>
    </row>
    <row r="4511" spans="2:2" ht="15.95" customHeight="1">
      <c r="B4511" s="37"/>
    </row>
    <row r="4512" spans="2:2" ht="15.95" customHeight="1">
      <c r="B4512" s="37"/>
    </row>
    <row r="4513" spans="2:2" ht="15.95" customHeight="1">
      <c r="B4513" s="37"/>
    </row>
    <row r="4514" spans="2:2" ht="15.95" customHeight="1">
      <c r="B4514" s="37"/>
    </row>
    <row r="4515" spans="2:2" ht="15.95" customHeight="1">
      <c r="B4515" s="37"/>
    </row>
    <row r="4516" spans="2:2" ht="15.95" customHeight="1">
      <c r="B4516" s="37"/>
    </row>
    <row r="4517" spans="2:2" ht="15.95" customHeight="1">
      <c r="B4517" s="37"/>
    </row>
    <row r="4518" spans="2:2" ht="15.95" customHeight="1">
      <c r="B4518" s="37"/>
    </row>
    <row r="4519" spans="2:2" ht="15.95" customHeight="1">
      <c r="B4519" s="37"/>
    </row>
    <row r="4520" spans="2:2" ht="15.95" customHeight="1">
      <c r="B4520" s="37"/>
    </row>
    <row r="4521" spans="2:2" ht="15.95" customHeight="1">
      <c r="B4521" s="37"/>
    </row>
    <row r="4522" spans="2:2" ht="15.95" customHeight="1">
      <c r="B4522" s="37"/>
    </row>
    <row r="4523" spans="2:2" ht="15.95" customHeight="1">
      <c r="B4523" s="37"/>
    </row>
    <row r="4524" spans="2:2" ht="15.95" customHeight="1">
      <c r="B4524" s="37"/>
    </row>
    <row r="4525" spans="2:2" ht="15.95" customHeight="1">
      <c r="B4525" s="37"/>
    </row>
    <row r="4526" spans="2:2" ht="15.95" customHeight="1">
      <c r="B4526" s="37"/>
    </row>
    <row r="4527" spans="2:2" ht="15.95" customHeight="1">
      <c r="B4527" s="37"/>
    </row>
    <row r="4528" spans="2:2" ht="15.95" customHeight="1">
      <c r="B4528" s="37"/>
    </row>
    <row r="4529" spans="2:2" ht="15.95" customHeight="1">
      <c r="B4529" s="37"/>
    </row>
    <row r="4530" spans="2:2" ht="15.95" customHeight="1">
      <c r="B4530" s="37"/>
    </row>
    <row r="4531" spans="2:2" ht="15.95" customHeight="1">
      <c r="B4531" s="37"/>
    </row>
    <row r="4532" spans="2:2" ht="15.95" customHeight="1">
      <c r="B4532" s="37"/>
    </row>
    <row r="4533" spans="2:2" ht="15.95" customHeight="1">
      <c r="B4533" s="37"/>
    </row>
    <row r="4534" spans="2:2" ht="15.95" customHeight="1">
      <c r="B4534" s="37"/>
    </row>
    <row r="4535" spans="2:2" ht="15.95" customHeight="1">
      <c r="B4535" s="37"/>
    </row>
    <row r="4536" spans="2:2" ht="15.95" customHeight="1">
      <c r="B4536" s="37"/>
    </row>
    <row r="4537" spans="2:2" ht="15.95" customHeight="1">
      <c r="B4537" s="37"/>
    </row>
    <row r="4538" spans="2:2" ht="15.95" customHeight="1">
      <c r="B4538" s="37"/>
    </row>
    <row r="4539" spans="2:2" ht="15.95" customHeight="1">
      <c r="B4539" s="37"/>
    </row>
    <row r="4540" spans="2:2" ht="15.95" customHeight="1">
      <c r="B4540" s="37"/>
    </row>
    <row r="4541" spans="2:2" ht="15.95" customHeight="1">
      <c r="B4541" s="37"/>
    </row>
    <row r="4542" spans="2:2" ht="15.95" customHeight="1">
      <c r="B4542" s="37"/>
    </row>
    <row r="4543" spans="2:2" ht="15.95" customHeight="1">
      <c r="B4543" s="37"/>
    </row>
    <row r="4544" spans="2:2" ht="15.95" customHeight="1">
      <c r="B4544" s="37"/>
    </row>
    <row r="4545" spans="2:2" ht="15.95" customHeight="1">
      <c r="B4545" s="37"/>
    </row>
    <row r="4546" spans="2:2" ht="15.95" customHeight="1">
      <c r="B4546" s="37"/>
    </row>
    <row r="4547" spans="2:2" ht="15.95" customHeight="1">
      <c r="B4547" s="37"/>
    </row>
    <row r="4548" spans="2:2" ht="15.95" customHeight="1">
      <c r="B4548" s="37"/>
    </row>
    <row r="4549" spans="2:2" ht="15.95" customHeight="1">
      <c r="B4549" s="37"/>
    </row>
    <row r="4550" spans="2:2" ht="15.95" customHeight="1">
      <c r="B4550" s="37"/>
    </row>
    <row r="4551" spans="2:2" ht="15.95" customHeight="1">
      <c r="B4551" s="37"/>
    </row>
    <row r="4552" spans="2:2" ht="15.95" customHeight="1">
      <c r="B4552" s="37"/>
    </row>
    <row r="4553" spans="2:2" ht="15.95" customHeight="1">
      <c r="B4553" s="37"/>
    </row>
    <row r="4554" spans="2:2" ht="15.95" customHeight="1">
      <c r="B4554" s="37"/>
    </row>
    <row r="4555" spans="2:2" ht="15.95" customHeight="1">
      <c r="B4555" s="37"/>
    </row>
    <row r="4556" spans="2:2" ht="15.95" customHeight="1">
      <c r="B4556" s="37"/>
    </row>
    <row r="4557" spans="2:2" ht="15.95" customHeight="1">
      <c r="B4557" s="37"/>
    </row>
    <row r="4558" spans="2:2" ht="15.95" customHeight="1">
      <c r="B4558" s="37"/>
    </row>
    <row r="4559" spans="2:2" ht="15.95" customHeight="1">
      <c r="B4559" s="37"/>
    </row>
    <row r="4560" spans="2:2" ht="15.95" customHeight="1">
      <c r="B4560" s="37"/>
    </row>
    <row r="4561" spans="2:2" ht="15.95" customHeight="1">
      <c r="B4561" s="37"/>
    </row>
    <row r="4562" spans="2:2" ht="15.95" customHeight="1">
      <c r="B4562" s="37"/>
    </row>
    <row r="4563" spans="2:2" ht="15.95" customHeight="1">
      <c r="B4563" s="37"/>
    </row>
    <row r="4564" spans="2:2" ht="15.95" customHeight="1">
      <c r="B4564" s="37"/>
    </row>
    <row r="4565" spans="2:2" ht="15.95" customHeight="1">
      <c r="B4565" s="37"/>
    </row>
    <row r="4566" spans="2:2" ht="15.95" customHeight="1">
      <c r="B4566" s="37"/>
    </row>
    <row r="4567" spans="2:2" ht="15.95" customHeight="1">
      <c r="B4567" s="37"/>
    </row>
    <row r="4568" spans="2:2" ht="15.95" customHeight="1">
      <c r="B4568" s="37"/>
    </row>
    <row r="4569" spans="2:2" ht="15.95" customHeight="1">
      <c r="B4569" s="37"/>
    </row>
    <row r="4570" spans="2:2" ht="15.95" customHeight="1">
      <c r="B4570" s="37"/>
    </row>
    <row r="4571" spans="2:2" ht="15.95" customHeight="1">
      <c r="B4571" s="37"/>
    </row>
    <row r="4572" spans="2:2" ht="15.95" customHeight="1">
      <c r="B4572" s="37"/>
    </row>
    <row r="4573" spans="2:2" ht="15.95" customHeight="1">
      <c r="B4573" s="37"/>
    </row>
    <row r="4574" spans="2:2" ht="15.95" customHeight="1">
      <c r="B4574" s="37"/>
    </row>
    <row r="4575" spans="2:2" ht="15.95" customHeight="1">
      <c r="B4575" s="37"/>
    </row>
    <row r="4576" spans="2:2" ht="15.95" customHeight="1">
      <c r="B4576" s="37"/>
    </row>
    <row r="4577" spans="2:2" ht="15.95" customHeight="1">
      <c r="B4577" s="37"/>
    </row>
    <row r="4578" spans="2:2" ht="15.95" customHeight="1">
      <c r="B4578" s="37"/>
    </row>
    <row r="4579" spans="2:2" ht="15.95" customHeight="1">
      <c r="B4579" s="37"/>
    </row>
    <row r="4580" spans="2:2" ht="15.95" customHeight="1">
      <c r="B4580" s="37"/>
    </row>
    <row r="4581" spans="2:2" ht="15.95" customHeight="1">
      <c r="B4581" s="37"/>
    </row>
    <row r="4582" spans="2:2" ht="15.95" customHeight="1">
      <c r="B4582" s="37"/>
    </row>
    <row r="4583" spans="2:2" ht="15.95" customHeight="1">
      <c r="B4583" s="37"/>
    </row>
    <row r="4584" spans="2:2" ht="15.95" customHeight="1">
      <c r="B4584" s="37"/>
    </row>
    <row r="4585" spans="2:2" ht="15.95" customHeight="1">
      <c r="B4585" s="37"/>
    </row>
    <row r="4586" spans="2:2" ht="15.95" customHeight="1">
      <c r="B4586" s="37"/>
    </row>
    <row r="4587" spans="2:2" ht="15.95" customHeight="1">
      <c r="B4587" s="37"/>
    </row>
    <row r="4588" spans="2:2" ht="15.95" customHeight="1">
      <c r="B4588" s="37"/>
    </row>
    <row r="4589" spans="2:2" ht="15.95" customHeight="1">
      <c r="B4589" s="37"/>
    </row>
    <row r="4590" spans="2:2" ht="15.95" customHeight="1">
      <c r="B4590" s="37"/>
    </row>
    <row r="4591" spans="2:2" ht="15.95" customHeight="1">
      <c r="B4591" s="37"/>
    </row>
    <row r="4592" spans="2:2" ht="15.95" customHeight="1">
      <c r="B4592" s="37"/>
    </row>
    <row r="4593" spans="2:2" ht="15.95" customHeight="1">
      <c r="B4593" s="37"/>
    </row>
    <row r="4594" spans="2:2" ht="15.95" customHeight="1">
      <c r="B4594" s="37"/>
    </row>
    <row r="4595" spans="2:2" ht="15.95" customHeight="1">
      <c r="B4595" s="37"/>
    </row>
    <row r="4596" spans="2:2" ht="15.95" customHeight="1">
      <c r="B4596" s="37"/>
    </row>
    <row r="4597" spans="2:2" ht="15.95" customHeight="1">
      <c r="B4597" s="37"/>
    </row>
    <row r="4598" spans="2:2" ht="15.95" customHeight="1">
      <c r="B4598" s="37"/>
    </row>
    <row r="4599" spans="2:2" ht="15.95" customHeight="1">
      <c r="B4599" s="37"/>
    </row>
    <row r="4600" spans="2:2" ht="15.95" customHeight="1">
      <c r="B4600" s="37"/>
    </row>
    <row r="4601" spans="2:2" ht="15.95" customHeight="1">
      <c r="B4601" s="37"/>
    </row>
    <row r="4602" spans="2:2" ht="15.95" customHeight="1">
      <c r="B4602" s="37"/>
    </row>
    <row r="4603" spans="2:2" ht="15.95" customHeight="1">
      <c r="B4603" s="37"/>
    </row>
    <row r="4604" spans="2:2" ht="15.95" customHeight="1">
      <c r="B4604" s="37"/>
    </row>
    <row r="4605" spans="2:2" ht="15.95" customHeight="1">
      <c r="B4605" s="37"/>
    </row>
    <row r="4606" spans="2:2" ht="15.95" customHeight="1">
      <c r="B4606" s="37"/>
    </row>
    <row r="4607" spans="2:2" ht="15.95" customHeight="1">
      <c r="B4607" s="37"/>
    </row>
    <row r="4608" spans="2:2" ht="15.95" customHeight="1">
      <c r="B4608" s="37"/>
    </row>
    <row r="4609" spans="2:2" ht="15.95" customHeight="1">
      <c r="B4609" s="37"/>
    </row>
    <row r="4610" spans="2:2" ht="15.95" customHeight="1">
      <c r="B4610" s="37"/>
    </row>
    <row r="4611" spans="2:2" ht="15.95" customHeight="1">
      <c r="B4611" s="37"/>
    </row>
    <row r="4612" spans="2:2" ht="15.95" customHeight="1">
      <c r="B4612" s="37"/>
    </row>
    <row r="4613" spans="2:2" ht="15.95" customHeight="1">
      <c r="B4613" s="37"/>
    </row>
    <row r="4614" spans="2:2" ht="15.95" customHeight="1">
      <c r="B4614" s="37"/>
    </row>
    <row r="4615" spans="2:2" ht="15.95" customHeight="1">
      <c r="B4615" s="37"/>
    </row>
    <row r="4616" spans="2:2" ht="15.95" customHeight="1">
      <c r="B4616" s="37"/>
    </row>
    <row r="4617" spans="2:2" ht="15.95" customHeight="1">
      <c r="B4617" s="37"/>
    </row>
    <row r="4618" spans="2:2" ht="15.95" customHeight="1">
      <c r="B4618" s="37"/>
    </row>
    <row r="4619" spans="2:2" ht="15.95" customHeight="1">
      <c r="B4619" s="37"/>
    </row>
    <row r="4620" spans="2:2" ht="15.95" customHeight="1">
      <c r="B4620" s="37"/>
    </row>
    <row r="4621" spans="2:2" ht="15.95" customHeight="1">
      <c r="B4621" s="37"/>
    </row>
    <row r="4622" spans="2:2" ht="15.95" customHeight="1">
      <c r="B4622" s="37"/>
    </row>
    <row r="4623" spans="2:2" ht="15.95" customHeight="1">
      <c r="B4623" s="37"/>
    </row>
    <row r="4624" spans="2:2" ht="15.95" customHeight="1">
      <c r="B4624" s="37"/>
    </row>
    <row r="4625" spans="2:2" ht="15.95" customHeight="1">
      <c r="B4625" s="37"/>
    </row>
    <row r="4626" spans="2:2" ht="15.95" customHeight="1">
      <c r="B4626" s="37"/>
    </row>
    <row r="4627" spans="2:2" ht="15.95" customHeight="1">
      <c r="B4627" s="37"/>
    </row>
    <row r="4628" spans="2:2" ht="15.95" customHeight="1">
      <c r="B4628" s="37"/>
    </row>
    <row r="4629" spans="2:2" ht="15.95" customHeight="1">
      <c r="B4629" s="37"/>
    </row>
    <row r="4630" spans="2:2" ht="15.95" customHeight="1">
      <c r="B4630" s="37"/>
    </row>
    <row r="4631" spans="2:2" ht="15.95" customHeight="1">
      <c r="B4631" s="37"/>
    </row>
    <row r="4632" spans="2:2" ht="15.95" customHeight="1">
      <c r="B4632" s="37"/>
    </row>
    <row r="4633" spans="2:2" ht="15.95" customHeight="1">
      <c r="B4633" s="37"/>
    </row>
    <row r="4634" spans="2:2" ht="15.95" customHeight="1">
      <c r="B4634" s="37"/>
    </row>
    <row r="4635" spans="2:2" ht="15.95" customHeight="1">
      <c r="B4635" s="37"/>
    </row>
    <row r="4636" spans="2:2" ht="15.95" customHeight="1">
      <c r="B4636" s="37"/>
    </row>
    <row r="4637" spans="2:2" ht="15.95" customHeight="1">
      <c r="B4637" s="37"/>
    </row>
    <row r="4638" spans="2:2" ht="15.95" customHeight="1">
      <c r="B4638" s="37"/>
    </row>
    <row r="4639" spans="2:2" ht="15.95" customHeight="1">
      <c r="B4639" s="37"/>
    </row>
    <row r="4640" spans="2:2" ht="15.95" customHeight="1">
      <c r="B4640" s="37"/>
    </row>
    <row r="4641" spans="2:2" ht="15.95" customHeight="1">
      <c r="B4641" s="37"/>
    </row>
    <row r="4642" spans="2:2" ht="15.95" customHeight="1">
      <c r="B4642" s="37"/>
    </row>
    <row r="4643" spans="2:2" ht="15.95" customHeight="1">
      <c r="B4643" s="37"/>
    </row>
    <row r="4644" spans="2:2" ht="15.95" customHeight="1">
      <c r="B4644" s="37"/>
    </row>
    <row r="4645" spans="2:2" ht="15.95" customHeight="1">
      <c r="B4645" s="37"/>
    </row>
    <row r="4646" spans="2:2" ht="15.95" customHeight="1">
      <c r="B4646" s="37"/>
    </row>
    <row r="4647" spans="2:2" ht="15.95" customHeight="1">
      <c r="B4647" s="37"/>
    </row>
    <row r="4648" spans="2:2" ht="15.95" customHeight="1">
      <c r="B4648" s="37"/>
    </row>
    <row r="4649" spans="2:2" ht="15.95" customHeight="1">
      <c r="B4649" s="37"/>
    </row>
    <row r="4650" spans="2:2" ht="15.95" customHeight="1">
      <c r="B4650" s="37"/>
    </row>
    <row r="4651" spans="2:2" ht="15.95" customHeight="1">
      <c r="B4651" s="37"/>
    </row>
    <row r="4652" spans="2:2" ht="15.95" customHeight="1">
      <c r="B4652" s="37"/>
    </row>
    <row r="4653" spans="2:2" ht="15.95" customHeight="1">
      <c r="B4653" s="37"/>
    </row>
    <row r="4654" spans="2:2" ht="15.95" customHeight="1">
      <c r="B4654" s="37"/>
    </row>
    <row r="4655" spans="2:2" ht="15.95" customHeight="1">
      <c r="B4655" s="37"/>
    </row>
    <row r="4656" spans="2:2" ht="15.95" customHeight="1">
      <c r="B4656" s="37"/>
    </row>
    <row r="4657" spans="2:2" ht="15.95" customHeight="1">
      <c r="B4657" s="37"/>
    </row>
    <row r="4658" spans="2:2" ht="15.95" customHeight="1">
      <c r="B4658" s="37"/>
    </row>
    <row r="4659" spans="2:2" ht="15.95" customHeight="1">
      <c r="B4659" s="37"/>
    </row>
    <row r="4660" spans="2:2" ht="15.95" customHeight="1">
      <c r="B4660" s="37"/>
    </row>
    <row r="4661" spans="2:2" ht="15.95" customHeight="1">
      <c r="B4661" s="37"/>
    </row>
    <row r="4662" spans="2:2" ht="15.95" customHeight="1">
      <c r="B4662" s="37"/>
    </row>
    <row r="4663" spans="2:2" ht="15.95" customHeight="1">
      <c r="B4663" s="37"/>
    </row>
    <row r="4664" spans="2:2" ht="15.95" customHeight="1">
      <c r="B4664" s="37"/>
    </row>
    <row r="4665" spans="2:2" ht="15.95" customHeight="1">
      <c r="B4665" s="37"/>
    </row>
    <row r="4666" spans="2:2" ht="15.95" customHeight="1">
      <c r="B4666" s="37"/>
    </row>
    <row r="4667" spans="2:2" ht="15.95" customHeight="1">
      <c r="B4667" s="37"/>
    </row>
    <row r="4668" spans="2:2" ht="15.95" customHeight="1">
      <c r="B4668" s="37"/>
    </row>
    <row r="4669" spans="2:2" ht="15.95" customHeight="1">
      <c r="B4669" s="37"/>
    </row>
    <row r="4670" spans="2:2" ht="15.95" customHeight="1">
      <c r="B4670" s="37"/>
    </row>
    <row r="4671" spans="2:2" ht="15.95" customHeight="1">
      <c r="B4671" s="37"/>
    </row>
    <row r="4672" spans="2:2" ht="15.95" customHeight="1">
      <c r="B4672" s="37"/>
    </row>
    <row r="4673" spans="2:2" ht="15.95" customHeight="1">
      <c r="B4673" s="37"/>
    </row>
    <row r="4674" spans="2:2" ht="15.95" customHeight="1">
      <c r="B4674" s="37"/>
    </row>
    <row r="4675" spans="2:2" ht="15.95" customHeight="1">
      <c r="B4675" s="37"/>
    </row>
    <row r="4676" spans="2:2" ht="15.95" customHeight="1">
      <c r="B4676" s="37"/>
    </row>
    <row r="4677" spans="2:2" ht="15.95" customHeight="1">
      <c r="B4677" s="37"/>
    </row>
    <row r="4678" spans="2:2" ht="15.95" customHeight="1">
      <c r="B4678" s="37"/>
    </row>
    <row r="4679" spans="2:2" ht="15.95" customHeight="1">
      <c r="B4679" s="37"/>
    </row>
    <row r="4680" spans="2:2" ht="15.95" customHeight="1">
      <c r="B4680" s="37"/>
    </row>
    <row r="4681" spans="2:2" ht="15.95" customHeight="1">
      <c r="B4681" s="37"/>
    </row>
    <row r="4682" spans="2:2" ht="15.95" customHeight="1">
      <c r="B4682" s="37"/>
    </row>
    <row r="4683" spans="2:2" ht="15.95" customHeight="1">
      <c r="B4683" s="37"/>
    </row>
    <row r="4684" spans="2:2" ht="15.95" customHeight="1">
      <c r="B4684" s="37"/>
    </row>
    <row r="4685" spans="2:2" ht="15.95" customHeight="1">
      <c r="B4685" s="37"/>
    </row>
    <row r="4686" spans="2:2" ht="15.95" customHeight="1">
      <c r="B4686" s="37"/>
    </row>
    <row r="4687" spans="2:2" ht="15.95" customHeight="1">
      <c r="B4687" s="37"/>
    </row>
    <row r="4688" spans="2:2" ht="15.95" customHeight="1">
      <c r="B4688" s="37"/>
    </row>
    <row r="4689" spans="2:2" ht="15.95" customHeight="1">
      <c r="B4689" s="37"/>
    </row>
    <row r="4690" spans="2:2" ht="15.95" customHeight="1">
      <c r="B4690" s="37"/>
    </row>
    <row r="4691" spans="2:2" ht="15.95" customHeight="1">
      <c r="B4691" s="37"/>
    </row>
    <row r="4692" spans="2:2" ht="15.95" customHeight="1">
      <c r="B4692" s="37"/>
    </row>
    <row r="4693" spans="2:2" ht="15.95" customHeight="1">
      <c r="B4693" s="37"/>
    </row>
    <row r="4694" spans="2:2" ht="15.95" customHeight="1">
      <c r="B4694" s="37"/>
    </row>
    <row r="4695" spans="2:2" ht="15.95" customHeight="1">
      <c r="B4695" s="37"/>
    </row>
    <row r="4696" spans="2:2" ht="15.95" customHeight="1">
      <c r="B4696" s="37"/>
    </row>
    <row r="4697" spans="2:2" ht="15.95" customHeight="1">
      <c r="B4697" s="37"/>
    </row>
    <row r="4698" spans="2:2" ht="15.95" customHeight="1">
      <c r="B4698" s="37"/>
    </row>
    <row r="4699" spans="2:2" ht="15.95" customHeight="1">
      <c r="B4699" s="37"/>
    </row>
    <row r="4700" spans="2:2" ht="15.95" customHeight="1">
      <c r="B4700" s="37"/>
    </row>
    <row r="4701" spans="2:2" ht="15.95" customHeight="1">
      <c r="B4701" s="37"/>
    </row>
    <row r="4702" spans="2:2" ht="15.95" customHeight="1">
      <c r="B4702" s="37"/>
    </row>
    <row r="4703" spans="2:2" ht="15.95" customHeight="1">
      <c r="B4703" s="37"/>
    </row>
    <row r="4704" spans="2:2" ht="15.95" customHeight="1">
      <c r="B4704" s="37"/>
    </row>
    <row r="4705" spans="2:2" ht="15.95" customHeight="1">
      <c r="B4705" s="37"/>
    </row>
    <row r="4706" spans="2:2" ht="15.95" customHeight="1">
      <c r="B4706" s="37"/>
    </row>
    <row r="4707" spans="2:2" ht="15.95" customHeight="1">
      <c r="B4707" s="37"/>
    </row>
    <row r="4708" spans="2:2" ht="15.95" customHeight="1">
      <c r="B4708" s="37"/>
    </row>
    <row r="4709" spans="2:2" ht="15.95" customHeight="1">
      <c r="B4709" s="37"/>
    </row>
    <row r="4710" spans="2:2" ht="15.95" customHeight="1">
      <c r="B4710" s="37"/>
    </row>
    <row r="4711" spans="2:2" ht="15.95" customHeight="1">
      <c r="B4711" s="37"/>
    </row>
    <row r="4712" spans="2:2" ht="15.95" customHeight="1">
      <c r="B4712" s="37"/>
    </row>
    <row r="4713" spans="2:2" ht="15.95" customHeight="1">
      <c r="B4713" s="37"/>
    </row>
    <row r="4714" spans="2:2" ht="15.95" customHeight="1">
      <c r="B4714" s="37"/>
    </row>
    <row r="4715" spans="2:2" ht="15.95" customHeight="1">
      <c r="B4715" s="37"/>
    </row>
    <row r="4716" spans="2:2" ht="15.95" customHeight="1">
      <c r="B4716" s="37"/>
    </row>
    <row r="4717" spans="2:2" ht="15.95" customHeight="1">
      <c r="B4717" s="37"/>
    </row>
    <row r="4718" spans="2:2" ht="15.95" customHeight="1">
      <c r="B4718" s="37"/>
    </row>
    <row r="4719" spans="2:2" ht="15.95" customHeight="1">
      <c r="B4719" s="37"/>
    </row>
    <row r="4720" spans="2:2" ht="15.95" customHeight="1">
      <c r="B4720" s="37"/>
    </row>
    <row r="4721" spans="2:2" ht="15.95" customHeight="1">
      <c r="B4721" s="37"/>
    </row>
    <row r="4722" spans="2:2" ht="15.95" customHeight="1">
      <c r="B4722" s="37"/>
    </row>
    <row r="4723" spans="2:2" ht="15.95" customHeight="1">
      <c r="B4723" s="37"/>
    </row>
    <row r="4724" spans="2:2" ht="15.95" customHeight="1">
      <c r="B4724" s="37"/>
    </row>
    <row r="4725" spans="2:2" ht="15.95" customHeight="1">
      <c r="B4725" s="37"/>
    </row>
    <row r="4726" spans="2:2" ht="15.95" customHeight="1">
      <c r="B4726" s="37"/>
    </row>
    <row r="4727" spans="2:2" ht="15.95" customHeight="1">
      <c r="B4727" s="37"/>
    </row>
    <row r="4728" spans="2:2" ht="15.95" customHeight="1">
      <c r="B4728" s="37"/>
    </row>
    <row r="4729" spans="2:2" ht="15.95" customHeight="1">
      <c r="B4729" s="37"/>
    </row>
    <row r="4730" spans="2:2" ht="15.95" customHeight="1">
      <c r="B4730" s="37"/>
    </row>
    <row r="4731" spans="2:2" ht="15.95" customHeight="1">
      <c r="B4731" s="37"/>
    </row>
    <row r="4732" spans="2:2" ht="15.95" customHeight="1">
      <c r="B4732" s="37"/>
    </row>
    <row r="4733" spans="2:2" ht="15.95" customHeight="1">
      <c r="B4733" s="37"/>
    </row>
    <row r="4734" spans="2:2" ht="15.95" customHeight="1">
      <c r="B4734" s="37"/>
    </row>
    <row r="4735" spans="2:2" ht="15.95" customHeight="1">
      <c r="B4735" s="37"/>
    </row>
    <row r="4736" spans="2:2" ht="15.95" customHeight="1">
      <c r="B4736" s="37"/>
    </row>
    <row r="4737" spans="2:2" ht="15.95" customHeight="1">
      <c r="B4737" s="37"/>
    </row>
    <row r="4738" spans="2:2" ht="15.95" customHeight="1">
      <c r="B4738" s="37"/>
    </row>
    <row r="4739" spans="2:2" ht="15.95" customHeight="1">
      <c r="B4739" s="37"/>
    </row>
    <row r="4740" spans="2:2" ht="15.95" customHeight="1">
      <c r="B4740" s="37"/>
    </row>
    <row r="4741" spans="2:2" ht="15.95" customHeight="1">
      <c r="B4741" s="37"/>
    </row>
    <row r="4742" spans="2:2" ht="15.95" customHeight="1">
      <c r="B4742" s="37"/>
    </row>
    <row r="4743" spans="2:2" ht="15.95" customHeight="1">
      <c r="B4743" s="37"/>
    </row>
    <row r="4744" spans="2:2" ht="15.95" customHeight="1">
      <c r="B4744" s="37"/>
    </row>
    <row r="4745" spans="2:2" ht="15.95" customHeight="1">
      <c r="B4745" s="37"/>
    </row>
    <row r="4746" spans="2:2" ht="15.95" customHeight="1">
      <c r="B4746" s="37"/>
    </row>
    <row r="4747" spans="2:2" ht="15.95" customHeight="1">
      <c r="B4747" s="37"/>
    </row>
    <row r="4748" spans="2:2" ht="15.95" customHeight="1">
      <c r="B4748" s="37"/>
    </row>
    <row r="4749" spans="2:2" ht="15.95" customHeight="1">
      <c r="B4749" s="37"/>
    </row>
    <row r="4750" spans="2:2" ht="15.95" customHeight="1">
      <c r="B4750" s="37"/>
    </row>
    <row r="4751" spans="2:2" ht="15.95" customHeight="1">
      <c r="B4751" s="37"/>
    </row>
    <row r="4752" spans="2:2" ht="15.95" customHeight="1">
      <c r="B4752" s="37"/>
    </row>
    <row r="4753" spans="2:2" ht="15.95" customHeight="1">
      <c r="B4753" s="37"/>
    </row>
    <row r="4754" spans="2:2" ht="15.95" customHeight="1">
      <c r="B4754" s="37"/>
    </row>
    <row r="4755" spans="2:2" ht="15.95" customHeight="1">
      <c r="B4755" s="37"/>
    </row>
    <row r="4756" spans="2:2" ht="15.95" customHeight="1">
      <c r="B4756" s="37"/>
    </row>
    <row r="4757" spans="2:2" ht="15.95" customHeight="1">
      <c r="B4757" s="37"/>
    </row>
    <row r="4758" spans="2:2" ht="15.95" customHeight="1">
      <c r="B4758" s="37"/>
    </row>
    <row r="4759" spans="2:2" ht="15.95" customHeight="1">
      <c r="B4759" s="37"/>
    </row>
    <row r="4760" spans="2:2" ht="15.95" customHeight="1">
      <c r="B4760" s="37"/>
    </row>
    <row r="4761" spans="2:2" ht="15.95" customHeight="1">
      <c r="B4761" s="37"/>
    </row>
    <row r="4762" spans="2:2" ht="15.95" customHeight="1">
      <c r="B4762" s="37"/>
    </row>
    <row r="4763" spans="2:2" ht="15.95" customHeight="1">
      <c r="B4763" s="37"/>
    </row>
    <row r="4764" spans="2:2" ht="15.95" customHeight="1">
      <c r="B4764" s="37"/>
    </row>
    <row r="4765" spans="2:2" ht="15.95" customHeight="1">
      <c r="B4765" s="37"/>
    </row>
    <row r="4766" spans="2:2" ht="15.95" customHeight="1">
      <c r="B4766" s="37"/>
    </row>
    <row r="4767" spans="2:2" ht="15.95" customHeight="1">
      <c r="B4767" s="37"/>
    </row>
    <row r="4768" spans="2:2" ht="15.95" customHeight="1">
      <c r="B4768" s="37"/>
    </row>
    <row r="4769" spans="2:2" ht="15.95" customHeight="1">
      <c r="B4769" s="37"/>
    </row>
    <row r="4770" spans="2:2" ht="15.95" customHeight="1">
      <c r="B4770" s="37"/>
    </row>
    <row r="4771" spans="2:2" ht="15.95" customHeight="1">
      <c r="B4771" s="37"/>
    </row>
    <row r="4772" spans="2:2" ht="15.95" customHeight="1">
      <c r="B4772" s="37"/>
    </row>
    <row r="4773" spans="2:2" ht="15.95" customHeight="1">
      <c r="B4773" s="37"/>
    </row>
    <row r="4774" spans="2:2" ht="15.95" customHeight="1">
      <c r="B4774" s="37"/>
    </row>
    <row r="4775" spans="2:2" ht="15.95" customHeight="1">
      <c r="B4775" s="37"/>
    </row>
    <row r="4776" spans="2:2" ht="15.95" customHeight="1">
      <c r="B4776" s="37"/>
    </row>
    <row r="4777" spans="2:2" ht="15.95" customHeight="1">
      <c r="B4777" s="37"/>
    </row>
    <row r="4778" spans="2:2" ht="15.95" customHeight="1">
      <c r="B4778" s="37"/>
    </row>
    <row r="4779" spans="2:2" ht="15.95" customHeight="1">
      <c r="B4779" s="37"/>
    </row>
    <row r="4780" spans="2:2" ht="15.95" customHeight="1">
      <c r="B4780" s="37"/>
    </row>
    <row r="4781" spans="2:2" ht="15.95" customHeight="1">
      <c r="B4781" s="37"/>
    </row>
    <row r="4782" spans="2:2" ht="15.95" customHeight="1">
      <c r="B4782" s="37"/>
    </row>
    <row r="4783" spans="2:2" ht="15.95" customHeight="1">
      <c r="B4783" s="37"/>
    </row>
    <row r="4784" spans="2:2" ht="15.95" customHeight="1">
      <c r="B4784" s="37"/>
    </row>
    <row r="4785" spans="2:2" ht="15.95" customHeight="1">
      <c r="B4785" s="37"/>
    </row>
    <row r="4786" spans="2:2" ht="15.95" customHeight="1">
      <c r="B4786" s="37"/>
    </row>
    <row r="4787" spans="2:2" ht="15.95" customHeight="1">
      <c r="B4787" s="37"/>
    </row>
    <row r="4788" spans="2:2" ht="15.95" customHeight="1">
      <c r="B4788" s="37"/>
    </row>
    <row r="4789" spans="2:2" ht="15.95" customHeight="1">
      <c r="B4789" s="37"/>
    </row>
    <row r="4790" spans="2:2" ht="15.95" customHeight="1">
      <c r="B4790" s="37"/>
    </row>
    <row r="4791" spans="2:2" ht="15.95" customHeight="1">
      <c r="B4791" s="37"/>
    </row>
    <row r="4792" spans="2:2" ht="15.95" customHeight="1">
      <c r="B4792" s="37"/>
    </row>
    <row r="4793" spans="2:2" ht="15.95" customHeight="1">
      <c r="B4793" s="37"/>
    </row>
    <row r="4794" spans="2:2" ht="15.95" customHeight="1">
      <c r="B4794" s="37"/>
    </row>
    <row r="4795" spans="2:2" ht="15.95" customHeight="1">
      <c r="B4795" s="37"/>
    </row>
    <row r="4796" spans="2:2" ht="15.95" customHeight="1">
      <c r="B4796" s="37"/>
    </row>
    <row r="4797" spans="2:2" ht="15.95" customHeight="1">
      <c r="B4797" s="37"/>
    </row>
    <row r="4798" spans="2:2" ht="15.95" customHeight="1">
      <c r="B4798" s="37"/>
    </row>
    <row r="4799" spans="2:2" ht="15.95" customHeight="1">
      <c r="B4799" s="37"/>
    </row>
    <row r="4800" spans="2:2" ht="15.95" customHeight="1">
      <c r="B4800" s="37"/>
    </row>
    <row r="4801" spans="2:2" ht="15.95" customHeight="1">
      <c r="B4801" s="37"/>
    </row>
    <row r="4802" spans="2:2" ht="15.95" customHeight="1">
      <c r="B4802" s="37"/>
    </row>
    <row r="4803" spans="2:2" ht="15.95" customHeight="1">
      <c r="B4803" s="37"/>
    </row>
    <row r="4804" spans="2:2" ht="15.95" customHeight="1">
      <c r="B4804" s="37"/>
    </row>
    <row r="4805" spans="2:2" ht="15.95" customHeight="1">
      <c r="B4805" s="37"/>
    </row>
    <row r="4806" spans="2:2" ht="15.95" customHeight="1">
      <c r="B4806" s="37"/>
    </row>
    <row r="4807" spans="2:2" ht="15.95" customHeight="1">
      <c r="B4807" s="37"/>
    </row>
    <row r="4808" spans="2:2" ht="15.95" customHeight="1">
      <c r="B4808" s="37"/>
    </row>
    <row r="4809" spans="2:2" ht="15.95" customHeight="1">
      <c r="B4809" s="37"/>
    </row>
    <row r="4810" spans="2:2" ht="15.95" customHeight="1">
      <c r="B4810" s="37"/>
    </row>
    <row r="4811" spans="2:2" ht="15.95" customHeight="1">
      <c r="B4811" s="37"/>
    </row>
    <row r="4812" spans="2:2" ht="15.95" customHeight="1">
      <c r="B4812" s="37"/>
    </row>
    <row r="4813" spans="2:2" ht="15.95" customHeight="1">
      <c r="B4813" s="37"/>
    </row>
    <row r="4814" spans="2:2" ht="15.95" customHeight="1">
      <c r="B4814" s="37"/>
    </row>
    <row r="4815" spans="2:2" ht="15.95" customHeight="1">
      <c r="B4815" s="37"/>
    </row>
    <row r="4816" spans="2:2" ht="15.95" customHeight="1">
      <c r="B4816" s="37"/>
    </row>
    <row r="4817" spans="2:2" ht="15.95" customHeight="1">
      <c r="B4817" s="37"/>
    </row>
    <row r="4818" spans="2:2" ht="15.95" customHeight="1">
      <c r="B4818" s="37"/>
    </row>
    <row r="4819" spans="2:2" ht="15.95" customHeight="1">
      <c r="B4819" s="37"/>
    </row>
    <row r="4820" spans="2:2" ht="15.95" customHeight="1">
      <c r="B4820" s="37"/>
    </row>
    <row r="4821" spans="2:2" ht="15.95" customHeight="1">
      <c r="B4821" s="37"/>
    </row>
    <row r="4822" spans="2:2" ht="15.95" customHeight="1">
      <c r="B4822" s="37"/>
    </row>
    <row r="4823" spans="2:2" ht="15.95" customHeight="1">
      <c r="B4823" s="37"/>
    </row>
    <row r="4824" spans="2:2" ht="15.95" customHeight="1">
      <c r="B4824" s="37"/>
    </row>
    <row r="4825" spans="2:2" ht="15.95" customHeight="1">
      <c r="B4825" s="37"/>
    </row>
    <row r="4826" spans="2:2" ht="15.95" customHeight="1">
      <c r="B4826" s="37"/>
    </row>
    <row r="4827" spans="2:2" ht="15.95" customHeight="1">
      <c r="B4827" s="37"/>
    </row>
    <row r="4828" spans="2:2" ht="15.95" customHeight="1">
      <c r="B4828" s="37"/>
    </row>
    <row r="4829" spans="2:2" ht="15.95" customHeight="1">
      <c r="B4829" s="37"/>
    </row>
    <row r="4830" spans="2:2" ht="15.95" customHeight="1">
      <c r="B4830" s="37"/>
    </row>
    <row r="4831" spans="2:2" ht="15.95" customHeight="1">
      <c r="B4831" s="37"/>
    </row>
    <row r="4832" spans="2:2" ht="15.95" customHeight="1">
      <c r="B4832" s="37"/>
    </row>
    <row r="4833" spans="2:2" ht="15.95" customHeight="1">
      <c r="B4833" s="37"/>
    </row>
    <row r="4834" spans="2:2" ht="15.95" customHeight="1">
      <c r="B4834" s="37"/>
    </row>
    <row r="4835" spans="2:2" ht="15.95" customHeight="1">
      <c r="B4835" s="37"/>
    </row>
    <row r="4836" spans="2:2" ht="15.95" customHeight="1">
      <c r="B4836" s="37"/>
    </row>
    <row r="4837" spans="2:2" ht="15.95" customHeight="1">
      <c r="B4837" s="37"/>
    </row>
    <row r="4838" spans="2:2" ht="15.95" customHeight="1">
      <c r="B4838" s="37"/>
    </row>
    <row r="4839" spans="2:2" ht="15.95" customHeight="1">
      <c r="B4839" s="37"/>
    </row>
    <row r="4840" spans="2:2" ht="15.95" customHeight="1">
      <c r="B4840" s="37"/>
    </row>
    <row r="4841" spans="2:2" ht="15.95" customHeight="1">
      <c r="B4841" s="37"/>
    </row>
    <row r="4842" spans="2:2" ht="15.95" customHeight="1">
      <c r="B4842" s="37"/>
    </row>
    <row r="4843" spans="2:2" ht="15.95" customHeight="1">
      <c r="B4843" s="37"/>
    </row>
    <row r="4844" spans="2:2" ht="15.95" customHeight="1">
      <c r="B4844" s="37"/>
    </row>
    <row r="4845" spans="2:2" ht="15.95" customHeight="1">
      <c r="B4845" s="37"/>
    </row>
    <row r="4846" spans="2:2" ht="15.95" customHeight="1">
      <c r="B4846" s="37"/>
    </row>
    <row r="4847" spans="2:2" ht="15.95" customHeight="1">
      <c r="B4847" s="37"/>
    </row>
    <row r="4848" spans="2:2" ht="15.95" customHeight="1">
      <c r="B4848" s="37"/>
    </row>
    <row r="4849" spans="2:2" ht="15.95" customHeight="1">
      <c r="B4849" s="37"/>
    </row>
    <row r="4850" spans="2:2" ht="15.95" customHeight="1">
      <c r="B4850" s="37"/>
    </row>
    <row r="4851" spans="2:2" ht="15.95" customHeight="1">
      <c r="B4851" s="37"/>
    </row>
    <row r="4852" spans="2:2" ht="15.95" customHeight="1">
      <c r="B4852" s="37"/>
    </row>
    <row r="4853" spans="2:2" ht="15.95" customHeight="1">
      <c r="B4853" s="37"/>
    </row>
    <row r="4854" spans="2:2" ht="15.95" customHeight="1">
      <c r="B4854" s="37"/>
    </row>
    <row r="4855" spans="2:2" ht="15.95" customHeight="1">
      <c r="B4855" s="37"/>
    </row>
    <row r="4856" spans="2:2" ht="15.95" customHeight="1">
      <c r="B4856" s="37"/>
    </row>
    <row r="4857" spans="2:2" ht="15.95" customHeight="1">
      <c r="B4857" s="37"/>
    </row>
    <row r="4858" spans="2:2" ht="15.95" customHeight="1">
      <c r="B4858" s="37"/>
    </row>
    <row r="4859" spans="2:2" ht="15.95" customHeight="1">
      <c r="B4859" s="37"/>
    </row>
    <row r="4860" spans="2:2" ht="15.95" customHeight="1">
      <c r="B4860" s="37"/>
    </row>
    <row r="4861" spans="2:2" ht="15.95" customHeight="1">
      <c r="B4861" s="37"/>
    </row>
    <row r="4862" spans="2:2" ht="15.95" customHeight="1">
      <c r="B4862" s="37"/>
    </row>
    <row r="4863" spans="2:2" ht="15.95" customHeight="1">
      <c r="B4863" s="37"/>
    </row>
    <row r="4864" spans="2:2" ht="15.95" customHeight="1">
      <c r="B4864" s="37"/>
    </row>
    <row r="4865" spans="2:2" ht="15.95" customHeight="1">
      <c r="B4865" s="37"/>
    </row>
    <row r="4866" spans="2:2" ht="15.95" customHeight="1">
      <c r="B4866" s="37"/>
    </row>
    <row r="4867" spans="2:2" ht="15.95" customHeight="1">
      <c r="B4867" s="37"/>
    </row>
    <row r="4868" spans="2:2" ht="15.95" customHeight="1">
      <c r="B4868" s="37"/>
    </row>
    <row r="4869" spans="2:2" ht="15.95" customHeight="1">
      <c r="B4869" s="37"/>
    </row>
    <row r="4870" spans="2:2" ht="15.95" customHeight="1">
      <c r="B4870" s="37"/>
    </row>
    <row r="4871" spans="2:2" ht="15.95" customHeight="1">
      <c r="B4871" s="37"/>
    </row>
    <row r="4872" spans="2:2" ht="15.95" customHeight="1">
      <c r="B4872" s="37"/>
    </row>
    <row r="4873" spans="2:2" ht="15.95" customHeight="1">
      <c r="B4873" s="37"/>
    </row>
    <row r="4874" spans="2:2" ht="15.95" customHeight="1">
      <c r="B4874" s="37"/>
    </row>
    <row r="4875" spans="2:2" ht="15.95" customHeight="1">
      <c r="B4875" s="37"/>
    </row>
    <row r="4876" spans="2:2" ht="15.95" customHeight="1">
      <c r="B4876" s="37"/>
    </row>
    <row r="4877" spans="2:2" ht="15.95" customHeight="1">
      <c r="B4877" s="37"/>
    </row>
    <row r="4878" spans="2:2" ht="15.95" customHeight="1">
      <c r="B4878" s="37"/>
    </row>
    <row r="4879" spans="2:2" ht="15.95" customHeight="1">
      <c r="B4879" s="37"/>
    </row>
    <row r="4880" spans="2:2" ht="15.95" customHeight="1">
      <c r="B4880" s="37"/>
    </row>
    <row r="4881" spans="2:2" ht="15.95" customHeight="1">
      <c r="B4881" s="37"/>
    </row>
    <row r="4882" spans="2:2" ht="15.95" customHeight="1">
      <c r="B4882" s="37"/>
    </row>
    <row r="4883" spans="2:2" ht="15.95" customHeight="1">
      <c r="B4883" s="37"/>
    </row>
    <row r="4884" spans="2:2" ht="15.95" customHeight="1">
      <c r="B4884" s="37"/>
    </row>
    <row r="4885" spans="2:2" ht="15.95" customHeight="1">
      <c r="B4885" s="37"/>
    </row>
    <row r="4886" spans="2:2" ht="15.95" customHeight="1">
      <c r="B4886" s="37"/>
    </row>
    <row r="4887" spans="2:2" ht="15.95" customHeight="1">
      <c r="B4887" s="37"/>
    </row>
    <row r="4888" spans="2:2" ht="15.95" customHeight="1">
      <c r="B4888" s="37"/>
    </row>
    <row r="4889" spans="2:2" ht="15.95" customHeight="1">
      <c r="B4889" s="37"/>
    </row>
    <row r="4890" spans="2:2" ht="15.95" customHeight="1">
      <c r="B4890" s="37"/>
    </row>
    <row r="4891" spans="2:2" ht="15.95" customHeight="1">
      <c r="B4891" s="37"/>
    </row>
    <row r="4892" spans="2:2" ht="15.95" customHeight="1">
      <c r="B4892" s="37"/>
    </row>
    <row r="4893" spans="2:2" ht="15.95" customHeight="1">
      <c r="B4893" s="37"/>
    </row>
    <row r="4894" spans="2:2" ht="15.95" customHeight="1">
      <c r="B4894" s="37"/>
    </row>
    <row r="4895" spans="2:2" ht="15.95" customHeight="1">
      <c r="B4895" s="37"/>
    </row>
    <row r="4896" spans="2:2" ht="15.95" customHeight="1">
      <c r="B4896" s="37"/>
    </row>
    <row r="4897" spans="2:2" ht="15.95" customHeight="1">
      <c r="B4897" s="37"/>
    </row>
    <row r="4898" spans="2:2" ht="15.95" customHeight="1">
      <c r="B4898" s="37"/>
    </row>
    <row r="4899" spans="2:2" ht="15.95" customHeight="1">
      <c r="B4899" s="37"/>
    </row>
    <row r="4900" spans="2:2" ht="15.95" customHeight="1">
      <c r="B4900" s="37"/>
    </row>
    <row r="4901" spans="2:2" ht="15.95" customHeight="1">
      <c r="B4901" s="37"/>
    </row>
    <row r="4902" spans="2:2" ht="15.95" customHeight="1">
      <c r="B4902" s="37"/>
    </row>
    <row r="4903" spans="2:2" ht="15.95" customHeight="1">
      <c r="B4903" s="37"/>
    </row>
    <row r="4904" spans="2:2" ht="15.95" customHeight="1">
      <c r="B4904" s="37"/>
    </row>
    <row r="4905" spans="2:2" ht="15.95" customHeight="1">
      <c r="B4905" s="37"/>
    </row>
    <row r="4906" spans="2:2" ht="15.95" customHeight="1">
      <c r="B4906" s="37"/>
    </row>
    <row r="4907" spans="2:2" ht="15.95" customHeight="1">
      <c r="B4907" s="37"/>
    </row>
    <row r="4908" spans="2:2" ht="15.95" customHeight="1">
      <c r="B4908" s="37"/>
    </row>
    <row r="4909" spans="2:2" ht="15.95" customHeight="1">
      <c r="B4909" s="37"/>
    </row>
    <row r="4910" spans="2:2" ht="15.95" customHeight="1">
      <c r="B4910" s="37"/>
    </row>
    <row r="4911" spans="2:2" ht="15.95" customHeight="1">
      <c r="B4911" s="37"/>
    </row>
    <row r="4912" spans="2:2" ht="15.95" customHeight="1">
      <c r="B4912" s="37"/>
    </row>
    <row r="4913" spans="2:2" ht="15.95" customHeight="1">
      <c r="B4913" s="37"/>
    </row>
    <row r="4914" spans="2:2" ht="15.95" customHeight="1">
      <c r="B4914" s="37"/>
    </row>
    <row r="4915" spans="2:2" ht="15.95" customHeight="1">
      <c r="B4915" s="37"/>
    </row>
    <row r="4916" spans="2:2" ht="15.95" customHeight="1">
      <c r="B4916" s="37"/>
    </row>
    <row r="4917" spans="2:2" ht="15.95" customHeight="1">
      <c r="B4917" s="37"/>
    </row>
    <row r="4918" spans="2:2" ht="15.95" customHeight="1">
      <c r="B4918" s="37"/>
    </row>
    <row r="4919" spans="2:2" ht="15.95" customHeight="1">
      <c r="B4919" s="37"/>
    </row>
    <row r="4920" spans="2:2" ht="15.95" customHeight="1">
      <c r="B4920" s="37"/>
    </row>
    <row r="4921" spans="2:2" ht="15.95" customHeight="1">
      <c r="B4921" s="37"/>
    </row>
    <row r="4922" spans="2:2" ht="15.95" customHeight="1">
      <c r="B4922" s="37"/>
    </row>
    <row r="4923" spans="2:2" ht="15.95" customHeight="1">
      <c r="B4923" s="37"/>
    </row>
    <row r="4924" spans="2:2" ht="15.95" customHeight="1">
      <c r="B4924" s="37"/>
    </row>
    <row r="4925" spans="2:2" ht="15.95" customHeight="1">
      <c r="B4925" s="37"/>
    </row>
    <row r="4926" spans="2:2" ht="15.95" customHeight="1">
      <c r="B4926" s="37"/>
    </row>
    <row r="4927" spans="2:2" ht="15.95" customHeight="1">
      <c r="B4927" s="37"/>
    </row>
    <row r="4928" spans="2:2" ht="15.95" customHeight="1">
      <c r="B4928" s="37"/>
    </row>
    <row r="4929" spans="2:2" ht="15.95" customHeight="1">
      <c r="B4929" s="37"/>
    </row>
    <row r="4930" spans="2:2" ht="15.95" customHeight="1">
      <c r="B4930" s="37"/>
    </row>
    <row r="4931" spans="2:2" ht="15.95" customHeight="1">
      <c r="B4931" s="37"/>
    </row>
    <row r="4932" spans="2:2" ht="15.95" customHeight="1">
      <c r="B4932" s="37"/>
    </row>
    <row r="4933" spans="2:2" ht="15.95" customHeight="1">
      <c r="B4933" s="37"/>
    </row>
    <row r="4934" spans="2:2" ht="15.95" customHeight="1">
      <c r="B4934" s="37"/>
    </row>
    <row r="4935" spans="2:2" ht="15.95" customHeight="1">
      <c r="B4935" s="37"/>
    </row>
    <row r="4936" spans="2:2" ht="15.95" customHeight="1">
      <c r="B4936" s="37"/>
    </row>
    <row r="4937" spans="2:2" ht="15.95" customHeight="1">
      <c r="B4937" s="37"/>
    </row>
    <row r="4938" spans="2:2" ht="15.95" customHeight="1">
      <c r="B4938" s="37"/>
    </row>
    <row r="4939" spans="2:2" ht="15.95" customHeight="1">
      <c r="B4939" s="37"/>
    </row>
    <row r="4940" spans="2:2" ht="15.95" customHeight="1">
      <c r="B4940" s="37"/>
    </row>
    <row r="4941" spans="2:2" ht="15.95" customHeight="1">
      <c r="B4941" s="37"/>
    </row>
    <row r="4942" spans="2:2" ht="15.95" customHeight="1">
      <c r="B4942" s="37"/>
    </row>
    <row r="4943" spans="2:2" ht="15.95" customHeight="1">
      <c r="B4943" s="37"/>
    </row>
    <row r="4944" spans="2:2" ht="15.95" customHeight="1">
      <c r="B4944" s="37"/>
    </row>
    <row r="4945" spans="2:2" ht="15.95" customHeight="1">
      <c r="B4945" s="37"/>
    </row>
    <row r="4946" spans="2:2" ht="15.95" customHeight="1">
      <c r="B4946" s="37"/>
    </row>
    <row r="4947" spans="2:2" ht="15.95" customHeight="1">
      <c r="B4947" s="37"/>
    </row>
    <row r="4948" spans="2:2" ht="15.95" customHeight="1">
      <c r="B4948" s="37"/>
    </row>
    <row r="4949" spans="2:2" ht="15.95" customHeight="1">
      <c r="B4949" s="37"/>
    </row>
    <row r="4950" spans="2:2" ht="15.95" customHeight="1">
      <c r="B4950" s="37"/>
    </row>
    <row r="4951" spans="2:2" ht="15.95" customHeight="1">
      <c r="B4951" s="37"/>
    </row>
    <row r="4952" spans="2:2" ht="15.95" customHeight="1">
      <c r="B4952" s="37"/>
    </row>
    <row r="4953" spans="2:2" ht="15.95" customHeight="1">
      <c r="B4953" s="37"/>
    </row>
    <row r="4954" spans="2:2" ht="15.95" customHeight="1">
      <c r="B4954" s="37"/>
    </row>
    <row r="4955" spans="2:2" ht="15.95" customHeight="1">
      <c r="B4955" s="37"/>
    </row>
    <row r="4956" spans="2:2" ht="15.95" customHeight="1">
      <c r="B4956" s="37"/>
    </row>
    <row r="4957" spans="2:2" ht="15.95" customHeight="1">
      <c r="B4957" s="37"/>
    </row>
    <row r="4958" spans="2:2" ht="15.95" customHeight="1">
      <c r="B4958" s="37"/>
    </row>
    <row r="4959" spans="2:2" ht="15.95" customHeight="1">
      <c r="B4959" s="37"/>
    </row>
    <row r="4960" spans="2:2" ht="15.95" customHeight="1">
      <c r="B4960" s="37"/>
    </row>
    <row r="4961" spans="2:2" ht="15.95" customHeight="1">
      <c r="B4961" s="37"/>
    </row>
    <row r="4962" spans="2:2" ht="15.95" customHeight="1">
      <c r="B4962" s="37"/>
    </row>
    <row r="4963" spans="2:2" ht="15.95" customHeight="1">
      <c r="B4963" s="37"/>
    </row>
    <row r="4964" spans="2:2" ht="15.95" customHeight="1">
      <c r="B4964" s="37"/>
    </row>
    <row r="4965" spans="2:2" ht="15.95" customHeight="1">
      <c r="B4965" s="37"/>
    </row>
    <row r="4966" spans="2:2" ht="15.95" customHeight="1">
      <c r="B4966" s="37"/>
    </row>
    <row r="4967" spans="2:2" ht="15.95" customHeight="1">
      <c r="B4967" s="37"/>
    </row>
    <row r="4968" spans="2:2" ht="15.95" customHeight="1">
      <c r="B4968" s="37"/>
    </row>
    <row r="4969" spans="2:2" ht="15.95" customHeight="1">
      <c r="B4969" s="37"/>
    </row>
    <row r="4970" spans="2:2" ht="15.95" customHeight="1">
      <c r="B4970" s="37"/>
    </row>
    <row r="4971" spans="2:2" ht="15.95" customHeight="1">
      <c r="B4971" s="37"/>
    </row>
    <row r="4972" spans="2:2" ht="15.95" customHeight="1">
      <c r="B4972" s="37"/>
    </row>
    <row r="4973" spans="2:2" ht="15.95" customHeight="1">
      <c r="B4973" s="37"/>
    </row>
    <row r="4974" spans="2:2" ht="15.95" customHeight="1">
      <c r="B4974" s="37"/>
    </row>
    <row r="4975" spans="2:2" ht="15.95" customHeight="1">
      <c r="B4975" s="37"/>
    </row>
    <row r="4976" spans="2:2" ht="15.95" customHeight="1">
      <c r="B4976" s="37"/>
    </row>
    <row r="4977" spans="2:2" ht="15.95" customHeight="1">
      <c r="B4977" s="37"/>
    </row>
    <row r="4978" spans="2:2" ht="15.95" customHeight="1">
      <c r="B4978" s="37"/>
    </row>
    <row r="4979" spans="2:2" ht="15.95" customHeight="1">
      <c r="B4979" s="37"/>
    </row>
    <row r="4980" spans="2:2" ht="15.95" customHeight="1">
      <c r="B4980" s="37"/>
    </row>
    <row r="4981" spans="2:2" ht="15.95" customHeight="1">
      <c r="B4981" s="37"/>
    </row>
    <row r="4982" spans="2:2" ht="15.95" customHeight="1">
      <c r="B4982" s="37"/>
    </row>
    <row r="4983" spans="2:2" ht="15.95" customHeight="1">
      <c r="B4983" s="37"/>
    </row>
    <row r="4984" spans="2:2" ht="15.95" customHeight="1">
      <c r="B4984" s="37"/>
    </row>
    <row r="4985" spans="2:2" ht="15.95" customHeight="1">
      <c r="B4985" s="37"/>
    </row>
    <row r="4986" spans="2:2" ht="15.95" customHeight="1">
      <c r="B4986" s="37"/>
    </row>
    <row r="4987" spans="2:2" ht="15.95" customHeight="1">
      <c r="B4987" s="37"/>
    </row>
    <row r="4988" spans="2:2" ht="15.95" customHeight="1">
      <c r="B4988" s="37"/>
    </row>
    <row r="4989" spans="2:2" ht="15.95" customHeight="1">
      <c r="B4989" s="37"/>
    </row>
    <row r="4990" spans="2:2" ht="15.95" customHeight="1">
      <c r="B4990" s="37"/>
    </row>
    <row r="4991" spans="2:2" ht="15.95" customHeight="1">
      <c r="B4991" s="37"/>
    </row>
    <row r="4992" spans="2:2" ht="15.95" customHeight="1">
      <c r="B4992" s="37"/>
    </row>
    <row r="4993" spans="2:2" ht="15.95" customHeight="1">
      <c r="B4993" s="37"/>
    </row>
    <row r="4994" spans="2:2" ht="15.95" customHeight="1">
      <c r="B4994" s="37"/>
    </row>
    <row r="4995" spans="2:2" ht="15.95" customHeight="1">
      <c r="B4995" s="37"/>
    </row>
    <row r="4996" spans="2:2" ht="15.95" customHeight="1">
      <c r="B4996" s="37"/>
    </row>
    <row r="4997" spans="2:2" ht="15.95" customHeight="1">
      <c r="B4997" s="37"/>
    </row>
    <row r="4998" spans="2:2" ht="15.95" customHeight="1">
      <c r="B4998" s="37"/>
    </row>
    <row r="4999" spans="2:2" ht="15.95" customHeight="1">
      <c r="B4999" s="37"/>
    </row>
    <row r="5000" spans="2:2" ht="15.95" customHeight="1">
      <c r="B5000" s="37"/>
    </row>
    <row r="5001" spans="2:2" ht="15.95" customHeight="1">
      <c r="B5001" s="37"/>
    </row>
    <row r="5002" spans="2:2" ht="15.95" customHeight="1">
      <c r="B5002" s="37"/>
    </row>
    <row r="5003" spans="2:2" ht="15.95" customHeight="1">
      <c r="B5003" s="37"/>
    </row>
    <row r="5004" spans="2:2" ht="15.95" customHeight="1">
      <c r="B5004" s="37"/>
    </row>
    <row r="5005" spans="2:2" ht="15.95" customHeight="1">
      <c r="B5005" s="37"/>
    </row>
    <row r="5006" spans="2:2" ht="15.95" customHeight="1">
      <c r="B5006" s="37"/>
    </row>
    <row r="5007" spans="2:2" ht="15.95" customHeight="1">
      <c r="B5007" s="37"/>
    </row>
    <row r="5008" spans="2:2" ht="15.95" customHeight="1">
      <c r="B5008" s="37"/>
    </row>
    <row r="5009" spans="2:2" ht="15.95" customHeight="1">
      <c r="B5009" s="37"/>
    </row>
    <row r="5010" spans="2:2" ht="15.95" customHeight="1">
      <c r="B5010" s="37"/>
    </row>
    <row r="5011" spans="2:2" ht="15.95" customHeight="1">
      <c r="B5011" s="37"/>
    </row>
    <row r="5012" spans="2:2" ht="15.95" customHeight="1">
      <c r="B5012" s="37"/>
    </row>
    <row r="5013" spans="2:2" ht="15.95" customHeight="1">
      <c r="B5013" s="37"/>
    </row>
    <row r="5014" spans="2:2" ht="15.95" customHeight="1">
      <c r="B5014" s="37"/>
    </row>
    <row r="5015" spans="2:2" ht="15.95" customHeight="1">
      <c r="B5015" s="37"/>
    </row>
    <row r="5016" spans="2:2" ht="15.95" customHeight="1">
      <c r="B5016" s="37"/>
    </row>
    <row r="5017" spans="2:2" ht="15.95" customHeight="1">
      <c r="B5017" s="37"/>
    </row>
    <row r="5018" spans="2:2" ht="15.95" customHeight="1">
      <c r="B5018" s="37"/>
    </row>
    <row r="5019" spans="2:2" ht="15.95" customHeight="1">
      <c r="B5019" s="37"/>
    </row>
    <row r="5020" spans="2:2" ht="15.95" customHeight="1">
      <c r="B5020" s="37"/>
    </row>
    <row r="5021" spans="2:2" ht="15.95" customHeight="1">
      <c r="B5021" s="37"/>
    </row>
    <row r="5022" spans="2:2" ht="15.95" customHeight="1">
      <c r="B5022" s="37"/>
    </row>
    <row r="5023" spans="2:2" ht="15.95" customHeight="1">
      <c r="B5023" s="37"/>
    </row>
    <row r="5024" spans="2:2" ht="15.95" customHeight="1">
      <c r="B5024" s="37"/>
    </row>
    <row r="5025" spans="2:2" ht="15.95" customHeight="1">
      <c r="B5025" s="37"/>
    </row>
    <row r="5026" spans="2:2" ht="15.95" customHeight="1">
      <c r="B5026" s="37"/>
    </row>
    <row r="5027" spans="2:2" ht="15.95" customHeight="1">
      <c r="B5027" s="37"/>
    </row>
    <row r="5028" spans="2:2" ht="15.95" customHeight="1">
      <c r="B5028" s="37"/>
    </row>
    <row r="5029" spans="2:2" ht="15.95" customHeight="1">
      <c r="B5029" s="37"/>
    </row>
    <row r="5030" spans="2:2" ht="15.95" customHeight="1">
      <c r="B5030" s="37"/>
    </row>
    <row r="5031" spans="2:2" ht="15.95" customHeight="1">
      <c r="B5031" s="37"/>
    </row>
    <row r="5032" spans="2:2" ht="15.95" customHeight="1">
      <c r="B5032" s="37"/>
    </row>
    <row r="5033" spans="2:2" ht="15.95" customHeight="1">
      <c r="B5033" s="37"/>
    </row>
    <row r="5034" spans="2:2" ht="15.95" customHeight="1">
      <c r="B5034" s="37"/>
    </row>
    <row r="5035" spans="2:2" ht="15.95" customHeight="1">
      <c r="B5035" s="37"/>
    </row>
    <row r="5036" spans="2:2" ht="15.95" customHeight="1">
      <c r="B5036" s="37"/>
    </row>
    <row r="5037" spans="2:2" ht="15.95" customHeight="1">
      <c r="B5037" s="37"/>
    </row>
    <row r="5038" spans="2:2" ht="15.95" customHeight="1">
      <c r="B5038" s="37"/>
    </row>
    <row r="5039" spans="2:2" ht="15.95" customHeight="1">
      <c r="B5039" s="37"/>
    </row>
    <row r="5040" spans="2:2" ht="15.95" customHeight="1">
      <c r="B5040" s="37"/>
    </row>
    <row r="5041" spans="2:2" ht="15.95" customHeight="1">
      <c r="B5041" s="37"/>
    </row>
    <row r="5042" spans="2:2" ht="15.95" customHeight="1">
      <c r="B5042" s="37"/>
    </row>
    <row r="5043" spans="2:2" ht="15.95" customHeight="1">
      <c r="B5043" s="37"/>
    </row>
    <row r="5044" spans="2:2" ht="15.95" customHeight="1">
      <c r="B5044" s="37"/>
    </row>
    <row r="5045" spans="2:2" ht="15.95" customHeight="1">
      <c r="B5045" s="37"/>
    </row>
    <row r="5046" spans="2:2" ht="15.95" customHeight="1">
      <c r="B5046" s="37"/>
    </row>
    <row r="5047" spans="2:2" ht="15.95" customHeight="1">
      <c r="B5047" s="37"/>
    </row>
    <row r="5048" spans="2:2" ht="15.95" customHeight="1">
      <c r="B5048" s="37"/>
    </row>
    <row r="5049" spans="2:2" ht="15.95" customHeight="1">
      <c r="B5049" s="37"/>
    </row>
    <row r="5050" spans="2:2" ht="15.95" customHeight="1">
      <c r="B5050" s="37"/>
    </row>
    <row r="5051" spans="2:2" ht="15.95" customHeight="1">
      <c r="B5051" s="37"/>
    </row>
    <row r="5052" spans="2:2" ht="15.95" customHeight="1">
      <c r="B5052" s="37"/>
    </row>
    <row r="5053" spans="2:2" ht="15.95" customHeight="1">
      <c r="B5053" s="37"/>
    </row>
    <row r="5054" spans="2:2" ht="15.95" customHeight="1">
      <c r="B5054" s="37"/>
    </row>
    <row r="5055" spans="2:2" ht="15.95" customHeight="1">
      <c r="B5055" s="37"/>
    </row>
    <row r="5056" spans="2:2" ht="15.95" customHeight="1">
      <c r="B5056" s="37"/>
    </row>
    <row r="5057" spans="2:2" ht="15.95" customHeight="1">
      <c r="B5057" s="37"/>
    </row>
    <row r="5058" spans="2:2" ht="15.95" customHeight="1">
      <c r="B5058" s="37"/>
    </row>
    <row r="5059" spans="2:2" ht="15.95" customHeight="1">
      <c r="B5059" s="37"/>
    </row>
    <row r="5060" spans="2:2" ht="15.95" customHeight="1">
      <c r="B5060" s="37"/>
    </row>
    <row r="5061" spans="2:2" ht="15.95" customHeight="1">
      <c r="B5061" s="37"/>
    </row>
    <row r="5062" spans="2:2" ht="15.95" customHeight="1">
      <c r="B5062" s="37"/>
    </row>
    <row r="5063" spans="2:2" ht="15.95" customHeight="1">
      <c r="B5063" s="37"/>
    </row>
    <row r="5064" spans="2:2" ht="15.95" customHeight="1">
      <c r="B5064" s="37"/>
    </row>
    <row r="5065" spans="2:2" ht="15.95" customHeight="1">
      <c r="B5065" s="37"/>
    </row>
    <row r="5066" spans="2:2" ht="15.95" customHeight="1">
      <c r="B5066" s="37"/>
    </row>
    <row r="5067" spans="2:2" ht="15.95" customHeight="1">
      <c r="B5067" s="37"/>
    </row>
    <row r="5068" spans="2:2" ht="15.95" customHeight="1">
      <c r="B5068" s="37"/>
    </row>
    <row r="5069" spans="2:2" ht="15.95" customHeight="1">
      <c r="B5069" s="37"/>
    </row>
    <row r="5070" spans="2:2" ht="15.95" customHeight="1">
      <c r="B5070" s="37"/>
    </row>
    <row r="5071" spans="2:2" ht="15.95" customHeight="1">
      <c r="B5071" s="37"/>
    </row>
    <row r="5072" spans="2:2" ht="15.95" customHeight="1">
      <c r="B5072" s="37"/>
    </row>
    <row r="5073" spans="2:2" ht="15.95" customHeight="1">
      <c r="B5073" s="37"/>
    </row>
    <row r="5074" spans="2:2" ht="15.95" customHeight="1">
      <c r="B5074" s="37"/>
    </row>
    <row r="5075" spans="2:2" ht="15.95" customHeight="1">
      <c r="B5075" s="37"/>
    </row>
    <row r="5076" spans="2:2" ht="15.95" customHeight="1">
      <c r="B5076" s="37"/>
    </row>
    <row r="5077" spans="2:2" ht="15.95" customHeight="1">
      <c r="B5077" s="37"/>
    </row>
    <row r="5078" spans="2:2" ht="15.95" customHeight="1">
      <c r="B5078" s="37"/>
    </row>
    <row r="5079" spans="2:2" ht="15.95" customHeight="1">
      <c r="B5079" s="37"/>
    </row>
    <row r="5080" spans="2:2" ht="15.95" customHeight="1">
      <c r="B5080" s="37"/>
    </row>
    <row r="5081" spans="2:2" ht="15.95" customHeight="1">
      <c r="B5081" s="37"/>
    </row>
    <row r="5082" spans="2:2" ht="15.95" customHeight="1">
      <c r="B5082" s="37"/>
    </row>
    <row r="5083" spans="2:2" ht="15.95" customHeight="1">
      <c r="B5083" s="37"/>
    </row>
    <row r="5084" spans="2:2" ht="15.95" customHeight="1">
      <c r="B5084" s="37"/>
    </row>
    <row r="5085" spans="2:2" ht="15.95" customHeight="1">
      <c r="B5085" s="37"/>
    </row>
    <row r="5086" spans="2:2" ht="15.95" customHeight="1">
      <c r="B5086" s="37"/>
    </row>
    <row r="5087" spans="2:2" ht="15.95" customHeight="1">
      <c r="B5087" s="37"/>
    </row>
    <row r="5088" spans="2:2" ht="15.95" customHeight="1">
      <c r="B5088" s="37"/>
    </row>
    <row r="5089" spans="2:2" ht="15.95" customHeight="1">
      <c r="B5089" s="37"/>
    </row>
    <row r="5090" spans="2:2" ht="15.95" customHeight="1">
      <c r="B5090" s="37"/>
    </row>
    <row r="5091" spans="2:2" ht="15.95" customHeight="1">
      <c r="B5091" s="37"/>
    </row>
    <row r="5092" spans="2:2" ht="15.95" customHeight="1">
      <c r="B5092" s="37"/>
    </row>
    <row r="5093" spans="2:2" ht="15.95" customHeight="1">
      <c r="B5093" s="37"/>
    </row>
    <row r="5094" spans="2:2" ht="15.95" customHeight="1">
      <c r="B5094" s="37"/>
    </row>
    <row r="5095" spans="2:2" ht="15.95" customHeight="1">
      <c r="B5095" s="37"/>
    </row>
    <row r="5096" spans="2:2" ht="15.95" customHeight="1">
      <c r="B5096" s="37"/>
    </row>
    <row r="5097" spans="2:2" ht="15.95" customHeight="1">
      <c r="B5097" s="37"/>
    </row>
    <row r="5098" spans="2:2" ht="15.95" customHeight="1">
      <c r="B5098" s="37"/>
    </row>
    <row r="5099" spans="2:2" ht="15.95" customHeight="1">
      <c r="B5099" s="37"/>
    </row>
    <row r="5100" spans="2:2" ht="15.95" customHeight="1">
      <c r="B5100" s="37"/>
    </row>
    <row r="5101" spans="2:2" ht="15.95" customHeight="1">
      <c r="B5101" s="37"/>
    </row>
    <row r="5102" spans="2:2" ht="15.95" customHeight="1">
      <c r="B5102" s="37"/>
    </row>
    <row r="5103" spans="2:2" ht="15.95" customHeight="1">
      <c r="B5103" s="37"/>
    </row>
    <row r="5104" spans="2:2" ht="15.95" customHeight="1">
      <c r="B5104" s="37"/>
    </row>
    <row r="5105" spans="2:2" ht="15.95" customHeight="1">
      <c r="B5105" s="37"/>
    </row>
    <row r="5106" spans="2:2" ht="15.95" customHeight="1">
      <c r="B5106" s="37"/>
    </row>
    <row r="5107" spans="2:2" ht="15.95" customHeight="1">
      <c r="B5107" s="37"/>
    </row>
    <row r="5108" spans="2:2" ht="15.95" customHeight="1">
      <c r="B5108" s="37"/>
    </row>
    <row r="5109" spans="2:2" ht="15.95" customHeight="1">
      <c r="B5109" s="37"/>
    </row>
    <row r="5110" spans="2:2" ht="15.95" customHeight="1">
      <c r="B5110" s="37"/>
    </row>
    <row r="5111" spans="2:2" ht="15.95" customHeight="1">
      <c r="B5111" s="37"/>
    </row>
    <row r="5112" spans="2:2" ht="15.95" customHeight="1">
      <c r="B5112" s="37"/>
    </row>
    <row r="5113" spans="2:2" ht="15.95" customHeight="1">
      <c r="B5113" s="37"/>
    </row>
    <row r="5114" spans="2:2" ht="15.95" customHeight="1">
      <c r="B5114" s="37"/>
    </row>
    <row r="5115" spans="2:2" ht="15.95" customHeight="1">
      <c r="B5115" s="37"/>
    </row>
    <row r="5116" spans="2:2" ht="15.95" customHeight="1">
      <c r="B5116" s="37"/>
    </row>
    <row r="5117" spans="2:2" ht="15.95" customHeight="1">
      <c r="B5117" s="37"/>
    </row>
    <row r="5118" spans="2:2" ht="15.95" customHeight="1">
      <c r="B5118" s="37"/>
    </row>
    <row r="5119" spans="2:2" ht="15.95" customHeight="1">
      <c r="B5119" s="37"/>
    </row>
    <row r="5120" spans="2:2" ht="15.95" customHeight="1">
      <c r="B5120" s="37"/>
    </row>
    <row r="5121" spans="2:2" ht="15.95" customHeight="1">
      <c r="B5121" s="37"/>
    </row>
    <row r="5122" spans="2:2" ht="15.95" customHeight="1">
      <c r="B5122" s="37"/>
    </row>
    <row r="5123" spans="2:2" ht="15.95" customHeight="1">
      <c r="B5123" s="37"/>
    </row>
    <row r="5124" spans="2:2" ht="15.95" customHeight="1">
      <c r="B5124" s="37"/>
    </row>
    <row r="5125" spans="2:2" ht="15.95" customHeight="1">
      <c r="B5125" s="37"/>
    </row>
    <row r="5126" spans="2:2" ht="15.95" customHeight="1">
      <c r="B5126" s="37"/>
    </row>
    <row r="5127" spans="2:2" ht="15.95" customHeight="1">
      <c r="B5127" s="37"/>
    </row>
    <row r="5128" spans="2:2" ht="15.95" customHeight="1">
      <c r="B5128" s="37"/>
    </row>
    <row r="5129" spans="2:2" ht="15.95" customHeight="1">
      <c r="B5129" s="37"/>
    </row>
    <row r="5130" spans="2:2" ht="15.95" customHeight="1">
      <c r="B5130" s="37"/>
    </row>
    <row r="5131" spans="2:2" ht="15.95" customHeight="1">
      <c r="B5131" s="37"/>
    </row>
    <row r="5132" spans="2:2" ht="15.95" customHeight="1">
      <c r="B5132" s="37"/>
    </row>
    <row r="5133" spans="2:2" ht="15.95" customHeight="1">
      <c r="B5133" s="37"/>
    </row>
    <row r="5134" spans="2:2" ht="15.95" customHeight="1">
      <c r="B5134" s="37"/>
    </row>
    <row r="5135" spans="2:2" ht="15.95" customHeight="1">
      <c r="B5135" s="37"/>
    </row>
    <row r="5136" spans="2:2" ht="15.95" customHeight="1">
      <c r="B5136" s="37"/>
    </row>
    <row r="5137" spans="2:2" ht="15.95" customHeight="1">
      <c r="B5137" s="37"/>
    </row>
    <row r="5138" spans="2:2" ht="15.95" customHeight="1">
      <c r="B5138" s="37"/>
    </row>
    <row r="5139" spans="2:2" ht="15.95" customHeight="1">
      <c r="B5139" s="37"/>
    </row>
    <row r="5140" spans="2:2" ht="15.95" customHeight="1">
      <c r="B5140" s="37"/>
    </row>
    <row r="5141" spans="2:2" ht="15.95" customHeight="1">
      <c r="B5141" s="37"/>
    </row>
    <row r="5142" spans="2:2" ht="15.95" customHeight="1">
      <c r="B5142" s="37"/>
    </row>
    <row r="5143" spans="2:2" ht="15.95" customHeight="1">
      <c r="B5143" s="37"/>
    </row>
    <row r="5144" spans="2:2" ht="15.95" customHeight="1">
      <c r="B5144" s="37"/>
    </row>
    <row r="5145" spans="2:2" ht="15.95" customHeight="1">
      <c r="B5145" s="37"/>
    </row>
    <row r="5146" spans="2:2" ht="15.95" customHeight="1">
      <c r="B5146" s="37"/>
    </row>
    <row r="5147" spans="2:2" ht="15.95" customHeight="1">
      <c r="B5147" s="37"/>
    </row>
    <row r="5148" spans="2:2" ht="15.95" customHeight="1">
      <c r="B5148" s="37"/>
    </row>
    <row r="5149" spans="2:2" ht="15.95" customHeight="1">
      <c r="B5149" s="37"/>
    </row>
    <row r="5150" spans="2:2" ht="15.95" customHeight="1">
      <c r="B5150" s="37"/>
    </row>
    <row r="5151" spans="2:2" ht="15.95" customHeight="1">
      <c r="B5151" s="37"/>
    </row>
    <row r="5152" spans="2:2" ht="15.95" customHeight="1">
      <c r="B5152" s="37"/>
    </row>
    <row r="5153" spans="2:2" ht="15.95" customHeight="1">
      <c r="B5153" s="37"/>
    </row>
    <row r="5154" spans="2:2" ht="15.95" customHeight="1">
      <c r="B5154" s="37"/>
    </row>
    <row r="5155" spans="2:2" ht="15.95" customHeight="1">
      <c r="B5155" s="37"/>
    </row>
    <row r="5156" spans="2:2" ht="15.95" customHeight="1">
      <c r="B5156" s="37"/>
    </row>
    <row r="5157" spans="2:2" ht="15.95" customHeight="1">
      <c r="B5157" s="37"/>
    </row>
    <row r="5158" spans="2:2" ht="15.95" customHeight="1">
      <c r="B5158" s="37"/>
    </row>
    <row r="5159" spans="2:2" ht="15.95" customHeight="1">
      <c r="B5159" s="37"/>
    </row>
    <row r="5160" spans="2:2" ht="15.95" customHeight="1">
      <c r="B5160" s="37"/>
    </row>
    <row r="5161" spans="2:2" ht="15.95" customHeight="1">
      <c r="B5161" s="37"/>
    </row>
    <row r="5162" spans="2:2" ht="15.95" customHeight="1">
      <c r="B5162" s="37"/>
    </row>
    <row r="5163" spans="2:2" ht="15.95" customHeight="1">
      <c r="B5163" s="37"/>
    </row>
    <row r="5164" spans="2:2" ht="15.95" customHeight="1">
      <c r="B5164" s="37"/>
    </row>
    <row r="5165" spans="2:2" ht="15.95" customHeight="1">
      <c r="B5165" s="37"/>
    </row>
    <row r="5166" spans="2:2" ht="15.95" customHeight="1">
      <c r="B5166" s="37"/>
    </row>
    <row r="5167" spans="2:2" ht="15.95" customHeight="1">
      <c r="B5167" s="37"/>
    </row>
    <row r="5168" spans="2:2" ht="15.95" customHeight="1">
      <c r="B5168" s="37"/>
    </row>
    <row r="5169" spans="2:2" ht="15.95" customHeight="1">
      <c r="B5169" s="37"/>
    </row>
    <row r="5170" spans="2:2" ht="15.95" customHeight="1">
      <c r="B5170" s="37"/>
    </row>
    <row r="5171" spans="2:2" ht="15.95" customHeight="1">
      <c r="B5171" s="37"/>
    </row>
    <row r="5172" spans="2:2" ht="15.95" customHeight="1">
      <c r="B5172" s="37"/>
    </row>
    <row r="5173" spans="2:2" ht="15.95" customHeight="1">
      <c r="B5173" s="37"/>
    </row>
    <row r="5174" spans="2:2" ht="15.95" customHeight="1">
      <c r="B5174" s="37"/>
    </row>
    <row r="5175" spans="2:2" ht="15.95" customHeight="1">
      <c r="B5175" s="37"/>
    </row>
    <row r="5176" spans="2:2" ht="15.95" customHeight="1">
      <c r="B5176" s="37"/>
    </row>
    <row r="5177" spans="2:2" ht="15.95" customHeight="1">
      <c r="B5177" s="37"/>
    </row>
    <row r="5178" spans="2:2" ht="15.95" customHeight="1">
      <c r="B5178" s="37"/>
    </row>
    <row r="5179" spans="2:2" ht="15.95" customHeight="1">
      <c r="B5179" s="37"/>
    </row>
    <row r="5180" spans="2:2" ht="15.95" customHeight="1">
      <c r="B5180" s="37"/>
    </row>
    <row r="5181" spans="2:2" ht="15.95" customHeight="1">
      <c r="B5181" s="37"/>
    </row>
    <row r="5182" spans="2:2" ht="15.95" customHeight="1">
      <c r="B5182" s="37"/>
    </row>
    <row r="5183" spans="2:2" ht="15.95" customHeight="1">
      <c r="B5183" s="37"/>
    </row>
    <row r="5184" spans="2:2" ht="15.95" customHeight="1">
      <c r="B5184" s="37"/>
    </row>
    <row r="5185" spans="2:2" ht="15.95" customHeight="1">
      <c r="B5185" s="37"/>
    </row>
    <row r="5186" spans="2:2" ht="15.95" customHeight="1">
      <c r="B5186" s="37"/>
    </row>
    <row r="5187" spans="2:2" ht="15.95" customHeight="1">
      <c r="B5187" s="37"/>
    </row>
    <row r="5188" spans="2:2" ht="15.95" customHeight="1">
      <c r="B5188" s="37"/>
    </row>
    <row r="5189" spans="2:2" ht="15.95" customHeight="1">
      <c r="B5189" s="37"/>
    </row>
    <row r="5190" spans="2:2" ht="15.95" customHeight="1">
      <c r="B5190" s="37"/>
    </row>
    <row r="5191" spans="2:2" ht="15.95" customHeight="1">
      <c r="B5191" s="37"/>
    </row>
    <row r="5192" spans="2:2" ht="15.95" customHeight="1">
      <c r="B5192" s="37"/>
    </row>
    <row r="5193" spans="2:2" ht="15.95" customHeight="1">
      <c r="B5193" s="37"/>
    </row>
    <row r="5194" spans="2:2" ht="15.95" customHeight="1">
      <c r="B5194" s="37"/>
    </row>
    <row r="5195" spans="2:2" ht="15.95" customHeight="1">
      <c r="B5195" s="37"/>
    </row>
    <row r="5196" spans="2:2" ht="15.95" customHeight="1">
      <c r="B5196" s="37"/>
    </row>
    <row r="5197" spans="2:2" ht="15.95" customHeight="1">
      <c r="B5197" s="37"/>
    </row>
    <row r="5198" spans="2:2" ht="15.95" customHeight="1">
      <c r="B5198" s="37"/>
    </row>
    <row r="5199" spans="2:2" ht="15.95" customHeight="1">
      <c r="B5199" s="37"/>
    </row>
    <row r="5200" spans="2:2" ht="15.95" customHeight="1">
      <c r="B5200" s="37"/>
    </row>
    <row r="5201" spans="2:2" ht="15.95" customHeight="1">
      <c r="B5201" s="37"/>
    </row>
    <row r="5202" spans="2:2" ht="15.95" customHeight="1">
      <c r="B5202" s="37"/>
    </row>
    <row r="5203" spans="2:2" ht="15.95" customHeight="1">
      <c r="B5203" s="37"/>
    </row>
    <row r="5204" spans="2:2" ht="15.95" customHeight="1">
      <c r="B5204" s="37"/>
    </row>
    <row r="5205" spans="2:2" ht="15.95" customHeight="1">
      <c r="B5205" s="37"/>
    </row>
    <row r="5206" spans="2:2" ht="15.95" customHeight="1">
      <c r="B5206" s="37"/>
    </row>
    <row r="5207" spans="2:2" ht="15.95" customHeight="1">
      <c r="B5207" s="37"/>
    </row>
    <row r="5208" spans="2:2" ht="15.95" customHeight="1">
      <c r="B5208" s="37"/>
    </row>
    <row r="5209" spans="2:2" ht="15.95" customHeight="1">
      <c r="B5209" s="37"/>
    </row>
    <row r="5210" spans="2:2" ht="15.95" customHeight="1">
      <c r="B5210" s="37"/>
    </row>
    <row r="5211" spans="2:2" ht="15.95" customHeight="1">
      <c r="B5211" s="37"/>
    </row>
    <row r="5212" spans="2:2" ht="15.95" customHeight="1">
      <c r="B5212" s="37"/>
    </row>
    <row r="5213" spans="2:2" ht="15.95" customHeight="1">
      <c r="B5213" s="37"/>
    </row>
    <row r="5214" spans="2:2" ht="15.95" customHeight="1">
      <c r="B5214" s="37"/>
    </row>
    <row r="5215" spans="2:2" ht="15.95" customHeight="1">
      <c r="B5215" s="37"/>
    </row>
    <row r="5216" spans="2:2" ht="15.95" customHeight="1">
      <c r="B5216" s="37"/>
    </row>
    <row r="5217" spans="2:2" ht="15.95" customHeight="1">
      <c r="B5217" s="37"/>
    </row>
    <row r="5218" spans="2:2" ht="15.95" customHeight="1">
      <c r="B5218" s="37"/>
    </row>
    <row r="5219" spans="2:2" ht="15.95" customHeight="1">
      <c r="B5219" s="37"/>
    </row>
    <row r="5220" spans="2:2" ht="15.95" customHeight="1">
      <c r="B5220" s="37"/>
    </row>
    <row r="5221" spans="2:2" ht="15.95" customHeight="1">
      <c r="B5221" s="37"/>
    </row>
    <row r="5222" spans="2:2" ht="15.95" customHeight="1">
      <c r="B5222" s="37"/>
    </row>
    <row r="5223" spans="2:2" ht="15.95" customHeight="1">
      <c r="B5223" s="37"/>
    </row>
    <row r="5224" spans="2:2" ht="15.95" customHeight="1">
      <c r="B5224" s="37"/>
    </row>
    <row r="5225" spans="2:2" ht="15.95" customHeight="1">
      <c r="B5225" s="37"/>
    </row>
    <row r="5226" spans="2:2" ht="15.95" customHeight="1">
      <c r="B5226" s="37"/>
    </row>
    <row r="5227" spans="2:2" ht="15.95" customHeight="1">
      <c r="B5227" s="37"/>
    </row>
    <row r="5228" spans="2:2" ht="15.95" customHeight="1">
      <c r="B5228" s="37"/>
    </row>
    <row r="5229" spans="2:2" ht="15.95" customHeight="1">
      <c r="B5229" s="37"/>
    </row>
    <row r="5230" spans="2:2" ht="15.95" customHeight="1">
      <c r="B5230" s="37"/>
    </row>
    <row r="5231" spans="2:2" ht="15.95" customHeight="1">
      <c r="B5231" s="37"/>
    </row>
    <row r="5232" spans="2:2" ht="15.95" customHeight="1">
      <c r="B5232" s="37"/>
    </row>
    <row r="5233" spans="2:2" ht="15.95" customHeight="1">
      <c r="B5233" s="37"/>
    </row>
    <row r="5234" spans="2:2" ht="15.95" customHeight="1">
      <c r="B5234" s="37"/>
    </row>
    <row r="5235" spans="2:2" ht="15.95" customHeight="1">
      <c r="B5235" s="37"/>
    </row>
    <row r="5236" spans="2:2" ht="15.95" customHeight="1">
      <c r="B5236" s="37"/>
    </row>
    <row r="5237" spans="2:2" ht="15.95" customHeight="1">
      <c r="B5237" s="37"/>
    </row>
    <row r="5238" spans="2:2" ht="15.95" customHeight="1">
      <c r="B5238" s="37"/>
    </row>
    <row r="5239" spans="2:2" ht="15.95" customHeight="1">
      <c r="B5239" s="37"/>
    </row>
    <row r="5240" spans="2:2" ht="15.95" customHeight="1">
      <c r="B5240" s="37"/>
    </row>
    <row r="5241" spans="2:2" ht="15.95" customHeight="1">
      <c r="B5241" s="37"/>
    </row>
    <row r="5242" spans="2:2" ht="15.95" customHeight="1">
      <c r="B5242" s="37"/>
    </row>
    <row r="5243" spans="2:2" ht="15.95" customHeight="1">
      <c r="B5243" s="37"/>
    </row>
    <row r="5244" spans="2:2" ht="15.95" customHeight="1">
      <c r="B5244" s="37"/>
    </row>
    <row r="5245" spans="2:2" ht="15.95" customHeight="1">
      <c r="B5245" s="37"/>
    </row>
    <row r="5246" spans="2:2" ht="15.95" customHeight="1">
      <c r="B5246" s="37"/>
    </row>
    <row r="5247" spans="2:2" ht="15.95" customHeight="1">
      <c r="B5247" s="37"/>
    </row>
    <row r="5248" spans="2:2" ht="15.95" customHeight="1">
      <c r="B5248" s="37"/>
    </row>
    <row r="5249" spans="2:2" ht="15.95" customHeight="1">
      <c r="B5249" s="37"/>
    </row>
    <row r="5250" spans="2:2" ht="15.95" customHeight="1">
      <c r="B5250" s="37"/>
    </row>
    <row r="5251" spans="2:2" ht="15.95" customHeight="1">
      <c r="B5251" s="37"/>
    </row>
    <row r="5252" spans="2:2" ht="15.95" customHeight="1">
      <c r="B5252" s="37"/>
    </row>
    <row r="5253" spans="2:2" ht="15.95" customHeight="1">
      <c r="B5253" s="37"/>
    </row>
    <row r="5254" spans="2:2" ht="15.95" customHeight="1">
      <c r="B5254" s="37"/>
    </row>
    <row r="5255" spans="2:2" ht="15.95" customHeight="1">
      <c r="B5255" s="37"/>
    </row>
    <row r="5256" spans="2:2" ht="15.95" customHeight="1">
      <c r="B5256" s="37"/>
    </row>
    <row r="5257" spans="2:2" ht="15.95" customHeight="1">
      <c r="B5257" s="37"/>
    </row>
    <row r="5258" spans="2:2" ht="15.95" customHeight="1">
      <c r="B5258" s="37"/>
    </row>
    <row r="5259" spans="2:2" ht="15.95" customHeight="1">
      <c r="B5259" s="37"/>
    </row>
    <row r="5260" spans="2:2" ht="15.95" customHeight="1">
      <c r="B5260" s="37"/>
    </row>
    <row r="5261" spans="2:2" ht="15.95" customHeight="1">
      <c r="B5261" s="37"/>
    </row>
    <row r="5262" spans="2:2" ht="15.95" customHeight="1">
      <c r="B5262" s="37"/>
    </row>
    <row r="5263" spans="2:2" ht="15.95" customHeight="1">
      <c r="B5263" s="37"/>
    </row>
    <row r="5264" spans="2:2" ht="15.95" customHeight="1">
      <c r="B5264" s="37"/>
    </row>
    <row r="5265" spans="2:2" ht="15.95" customHeight="1">
      <c r="B5265" s="37"/>
    </row>
    <row r="5266" spans="2:2" ht="15.95" customHeight="1">
      <c r="B5266" s="37"/>
    </row>
    <row r="5267" spans="2:2" ht="15.95" customHeight="1">
      <c r="B5267" s="37"/>
    </row>
    <row r="5268" spans="2:2" ht="15.95" customHeight="1">
      <c r="B5268" s="37"/>
    </row>
    <row r="5269" spans="2:2" ht="15.95" customHeight="1">
      <c r="B5269" s="37"/>
    </row>
    <row r="5270" spans="2:2" ht="15.95" customHeight="1">
      <c r="B5270" s="37"/>
    </row>
    <row r="5271" spans="2:2" ht="15.95" customHeight="1">
      <c r="B5271" s="37"/>
    </row>
    <row r="5272" spans="2:2" ht="15.95" customHeight="1">
      <c r="B5272" s="37"/>
    </row>
    <row r="5273" spans="2:2" ht="15.95" customHeight="1">
      <c r="B5273" s="37"/>
    </row>
    <row r="5274" spans="2:2" ht="15.95" customHeight="1">
      <c r="B5274" s="37"/>
    </row>
    <row r="5275" spans="2:2" ht="15.95" customHeight="1">
      <c r="B5275" s="37"/>
    </row>
    <row r="5276" spans="2:2" ht="15.95" customHeight="1">
      <c r="B5276" s="37"/>
    </row>
    <row r="5277" spans="2:2" ht="15.95" customHeight="1">
      <c r="B5277" s="37"/>
    </row>
    <row r="5278" spans="2:2" ht="15.95" customHeight="1">
      <c r="B5278" s="37"/>
    </row>
    <row r="5279" spans="2:2" ht="15.95" customHeight="1">
      <c r="B5279" s="37"/>
    </row>
    <row r="5280" spans="2:2" ht="15.95" customHeight="1">
      <c r="B5280" s="37"/>
    </row>
    <row r="5281" spans="2:2" ht="15.95" customHeight="1">
      <c r="B5281" s="37"/>
    </row>
    <row r="5282" spans="2:2" ht="15.95" customHeight="1">
      <c r="B5282" s="37"/>
    </row>
    <row r="5283" spans="2:2" ht="15.95" customHeight="1">
      <c r="B5283" s="37"/>
    </row>
    <row r="5284" spans="2:2" ht="15.95" customHeight="1">
      <c r="B5284" s="37"/>
    </row>
    <row r="5285" spans="2:2" ht="15.95" customHeight="1">
      <c r="B5285" s="37"/>
    </row>
    <row r="5286" spans="2:2" ht="15.95" customHeight="1">
      <c r="B5286" s="37"/>
    </row>
    <row r="5287" spans="2:2" ht="15.95" customHeight="1">
      <c r="B5287" s="37"/>
    </row>
    <row r="5288" spans="2:2" ht="15.95" customHeight="1">
      <c r="B5288" s="37"/>
    </row>
    <row r="5289" spans="2:2" ht="15.95" customHeight="1">
      <c r="B5289" s="37"/>
    </row>
    <row r="5290" spans="2:2" ht="15.95" customHeight="1">
      <c r="B5290" s="37"/>
    </row>
    <row r="5291" spans="2:2" ht="15.95" customHeight="1">
      <c r="B5291" s="37"/>
    </row>
    <row r="5292" spans="2:2" ht="15.95" customHeight="1">
      <c r="B5292" s="37"/>
    </row>
    <row r="5293" spans="2:2" ht="15.95" customHeight="1">
      <c r="B5293" s="37"/>
    </row>
    <row r="5294" spans="2:2" ht="15.95" customHeight="1">
      <c r="B5294" s="37"/>
    </row>
    <row r="5295" spans="2:2" ht="15.95" customHeight="1">
      <c r="B5295" s="37"/>
    </row>
    <row r="5296" spans="2:2" ht="15.95" customHeight="1">
      <c r="B5296" s="37"/>
    </row>
    <row r="5297" spans="2:2" ht="15.95" customHeight="1">
      <c r="B5297" s="37"/>
    </row>
    <row r="5298" spans="2:2" ht="15.95" customHeight="1">
      <c r="B5298" s="37"/>
    </row>
    <row r="5299" spans="2:2" ht="15.95" customHeight="1">
      <c r="B5299" s="37"/>
    </row>
    <row r="5300" spans="2:2" ht="15.95" customHeight="1">
      <c r="B5300" s="37"/>
    </row>
    <row r="5301" spans="2:2" ht="15.95" customHeight="1">
      <c r="B5301" s="37"/>
    </row>
    <row r="5302" spans="2:2" ht="15.95" customHeight="1">
      <c r="B5302" s="37"/>
    </row>
    <row r="5303" spans="2:2" ht="15.95" customHeight="1">
      <c r="B5303" s="37"/>
    </row>
    <row r="5304" spans="2:2" ht="15.95" customHeight="1">
      <c r="B5304" s="37"/>
    </row>
    <row r="5305" spans="2:2" ht="15.95" customHeight="1">
      <c r="B5305" s="37"/>
    </row>
    <row r="5306" spans="2:2" ht="15.95" customHeight="1">
      <c r="B5306" s="37"/>
    </row>
    <row r="5307" spans="2:2" ht="15.95" customHeight="1">
      <c r="B5307" s="37"/>
    </row>
    <row r="5308" spans="2:2" ht="15.95" customHeight="1">
      <c r="B5308" s="37"/>
    </row>
    <row r="5309" spans="2:2" ht="15.95" customHeight="1">
      <c r="B5309" s="37"/>
    </row>
    <row r="5310" spans="2:2" ht="15.95" customHeight="1">
      <c r="B5310" s="37"/>
    </row>
    <row r="5311" spans="2:2" ht="15.95" customHeight="1">
      <c r="B5311" s="37"/>
    </row>
    <row r="5312" spans="2:2" ht="15.95" customHeight="1">
      <c r="B5312" s="37"/>
    </row>
    <row r="5313" spans="2:2" ht="15.95" customHeight="1">
      <c r="B5313" s="37"/>
    </row>
    <row r="5314" spans="2:2" ht="15.95" customHeight="1">
      <c r="B5314" s="37"/>
    </row>
    <row r="5315" spans="2:2" ht="15.95" customHeight="1">
      <c r="B5315" s="37"/>
    </row>
    <row r="5316" spans="2:2" ht="15.95" customHeight="1">
      <c r="B5316" s="37"/>
    </row>
    <row r="5317" spans="2:2" ht="15.95" customHeight="1">
      <c r="B5317" s="37"/>
    </row>
    <row r="5318" spans="2:2" ht="15.95" customHeight="1">
      <c r="B5318" s="37"/>
    </row>
    <row r="5319" spans="2:2" ht="15.95" customHeight="1">
      <c r="B5319" s="37"/>
    </row>
    <row r="5320" spans="2:2" ht="15.95" customHeight="1">
      <c r="B5320" s="37"/>
    </row>
    <row r="5321" spans="2:2" ht="15.95" customHeight="1">
      <c r="B5321" s="37"/>
    </row>
    <row r="5322" spans="2:2" ht="15.95" customHeight="1">
      <c r="B5322" s="37"/>
    </row>
    <row r="5323" spans="2:2" ht="15.95" customHeight="1">
      <c r="B5323" s="37"/>
    </row>
    <row r="5324" spans="2:2" ht="15.95" customHeight="1">
      <c r="B5324" s="37"/>
    </row>
    <row r="5325" spans="2:2" ht="15.95" customHeight="1">
      <c r="B5325" s="37"/>
    </row>
    <row r="5326" spans="2:2" ht="15.95" customHeight="1">
      <c r="B5326" s="37"/>
    </row>
    <row r="5327" spans="2:2" ht="15.95" customHeight="1">
      <c r="B5327" s="37"/>
    </row>
    <row r="5328" spans="2:2" ht="15.95" customHeight="1">
      <c r="B5328" s="37"/>
    </row>
    <row r="5329" spans="2:2" ht="15.95" customHeight="1">
      <c r="B5329" s="37"/>
    </row>
    <row r="5330" spans="2:2" ht="15.95" customHeight="1">
      <c r="B5330" s="37"/>
    </row>
    <row r="5331" spans="2:2" ht="15.95" customHeight="1">
      <c r="B5331" s="37"/>
    </row>
    <row r="5332" spans="2:2" ht="15.95" customHeight="1">
      <c r="B5332" s="37"/>
    </row>
    <row r="5333" spans="2:2" ht="15.95" customHeight="1">
      <c r="B5333" s="37"/>
    </row>
    <row r="5334" spans="2:2" ht="15.95" customHeight="1">
      <c r="B5334" s="37"/>
    </row>
    <row r="5335" spans="2:2" ht="15.95" customHeight="1">
      <c r="B5335" s="37"/>
    </row>
    <row r="5336" spans="2:2" ht="15.95" customHeight="1">
      <c r="B5336" s="37"/>
    </row>
    <row r="5337" spans="2:2" ht="15.95" customHeight="1">
      <c r="B5337" s="37"/>
    </row>
    <row r="5338" spans="2:2" ht="15.95" customHeight="1">
      <c r="B5338" s="37"/>
    </row>
    <row r="5339" spans="2:2" ht="15.95" customHeight="1">
      <c r="B5339" s="37"/>
    </row>
    <row r="5340" spans="2:2" ht="15.95" customHeight="1">
      <c r="B5340" s="37"/>
    </row>
    <row r="5341" spans="2:2" ht="15.95" customHeight="1">
      <c r="B5341" s="37"/>
    </row>
    <row r="5342" spans="2:2" ht="15.95" customHeight="1">
      <c r="B5342" s="37"/>
    </row>
    <row r="5343" spans="2:2" ht="15.95" customHeight="1">
      <c r="B5343" s="37"/>
    </row>
    <row r="5344" spans="2:2" ht="15.95" customHeight="1">
      <c r="B5344" s="37"/>
    </row>
    <row r="5345" spans="2:2" ht="15.95" customHeight="1">
      <c r="B5345" s="37"/>
    </row>
    <row r="5346" spans="2:2" ht="15.95" customHeight="1">
      <c r="B5346" s="37"/>
    </row>
    <row r="5347" spans="2:2" ht="15.95" customHeight="1">
      <c r="B5347" s="37"/>
    </row>
    <row r="5348" spans="2:2" ht="15.95" customHeight="1">
      <c r="B5348" s="37"/>
    </row>
    <row r="5349" spans="2:2" ht="15.95" customHeight="1">
      <c r="B5349" s="37"/>
    </row>
    <row r="5350" spans="2:2" ht="15.95" customHeight="1">
      <c r="B5350" s="37"/>
    </row>
    <row r="5351" spans="2:2" ht="15.95" customHeight="1">
      <c r="B5351" s="37"/>
    </row>
    <row r="5352" spans="2:2" ht="15.95" customHeight="1">
      <c r="B5352" s="37"/>
    </row>
    <row r="5353" spans="2:2" ht="15.95" customHeight="1">
      <c r="B5353" s="37"/>
    </row>
    <row r="5354" spans="2:2" ht="15.95" customHeight="1">
      <c r="B5354" s="37"/>
    </row>
    <row r="5355" spans="2:2" ht="15.95" customHeight="1">
      <c r="B5355" s="37"/>
    </row>
    <row r="5356" spans="2:2" ht="15.95" customHeight="1">
      <c r="B5356" s="37"/>
    </row>
    <row r="5357" spans="2:2" ht="15.95" customHeight="1">
      <c r="B5357" s="37"/>
    </row>
    <row r="5358" spans="2:2" ht="15.95" customHeight="1">
      <c r="B5358" s="37"/>
    </row>
    <row r="5359" spans="2:2" ht="15.95" customHeight="1">
      <c r="B5359" s="37"/>
    </row>
    <row r="5360" spans="2:2" ht="15.95" customHeight="1">
      <c r="B5360" s="37"/>
    </row>
    <row r="5361" spans="2:2" ht="15.95" customHeight="1">
      <c r="B5361" s="37"/>
    </row>
    <row r="5362" spans="2:2" ht="15.95" customHeight="1">
      <c r="B5362" s="37"/>
    </row>
    <row r="5363" spans="2:2" ht="15.95" customHeight="1">
      <c r="B5363" s="37"/>
    </row>
    <row r="5364" spans="2:2" ht="15.95" customHeight="1">
      <c r="B5364" s="37"/>
    </row>
    <row r="5365" spans="2:2" ht="15.95" customHeight="1">
      <c r="B5365" s="37"/>
    </row>
    <row r="5366" spans="2:2" ht="15.95" customHeight="1">
      <c r="B5366" s="37"/>
    </row>
    <row r="5367" spans="2:2" ht="15.95" customHeight="1">
      <c r="B5367" s="37"/>
    </row>
    <row r="5368" spans="2:2" ht="15.95" customHeight="1">
      <c r="B5368" s="37"/>
    </row>
    <row r="5369" spans="2:2" ht="15.95" customHeight="1">
      <c r="B5369" s="37"/>
    </row>
    <row r="5370" spans="2:2" ht="15.95" customHeight="1">
      <c r="B5370" s="37"/>
    </row>
    <row r="5371" spans="2:2" ht="15.95" customHeight="1">
      <c r="B5371" s="37"/>
    </row>
    <row r="5372" spans="2:2" ht="15.95" customHeight="1">
      <c r="B5372" s="37"/>
    </row>
    <row r="5373" spans="2:2" ht="15.95" customHeight="1">
      <c r="B5373" s="37"/>
    </row>
    <row r="5374" spans="2:2" ht="15.95" customHeight="1">
      <c r="B5374" s="37"/>
    </row>
    <row r="5375" spans="2:2" ht="15.95" customHeight="1">
      <c r="B5375" s="37"/>
    </row>
    <row r="5376" spans="2:2" ht="15.95" customHeight="1">
      <c r="B5376" s="37"/>
    </row>
    <row r="5377" spans="2:2" ht="15.95" customHeight="1">
      <c r="B5377" s="37"/>
    </row>
    <row r="5378" spans="2:2" ht="15.95" customHeight="1">
      <c r="B5378" s="37"/>
    </row>
    <row r="5379" spans="2:2" ht="15.95" customHeight="1">
      <c r="B5379" s="37"/>
    </row>
    <row r="5380" spans="2:2" ht="15.95" customHeight="1">
      <c r="B5380" s="37"/>
    </row>
    <row r="5381" spans="2:2" ht="15.95" customHeight="1">
      <c r="B5381" s="37"/>
    </row>
    <row r="5382" spans="2:2" ht="15.95" customHeight="1">
      <c r="B5382" s="37"/>
    </row>
    <row r="5383" spans="2:2" ht="15.95" customHeight="1">
      <c r="B5383" s="37"/>
    </row>
    <row r="5384" spans="2:2" ht="15.95" customHeight="1">
      <c r="B5384" s="37"/>
    </row>
    <row r="5385" spans="2:2" ht="15.95" customHeight="1">
      <c r="B5385" s="37"/>
    </row>
    <row r="5386" spans="2:2" ht="15.95" customHeight="1">
      <c r="B5386" s="37"/>
    </row>
    <row r="5387" spans="2:2" ht="15.95" customHeight="1">
      <c r="B5387" s="37"/>
    </row>
    <row r="5388" spans="2:2" ht="15.95" customHeight="1">
      <c r="B5388" s="37"/>
    </row>
    <row r="5389" spans="2:2" ht="15.95" customHeight="1">
      <c r="B5389" s="37"/>
    </row>
    <row r="5390" spans="2:2" ht="15.95" customHeight="1">
      <c r="B5390" s="37"/>
    </row>
    <row r="5391" spans="2:2" ht="15.95" customHeight="1">
      <c r="B5391" s="37"/>
    </row>
    <row r="5392" spans="2:2" ht="15.95" customHeight="1">
      <c r="B5392" s="37"/>
    </row>
    <row r="5393" spans="2:2" ht="15.95" customHeight="1">
      <c r="B5393" s="37"/>
    </row>
    <row r="5394" spans="2:2" ht="15.95" customHeight="1">
      <c r="B5394" s="37"/>
    </row>
    <row r="5395" spans="2:2" ht="15.95" customHeight="1">
      <c r="B5395" s="37"/>
    </row>
    <row r="5396" spans="2:2" ht="15.95" customHeight="1">
      <c r="B5396" s="37"/>
    </row>
    <row r="5397" spans="2:2" ht="15.95" customHeight="1">
      <c r="B5397" s="37"/>
    </row>
    <row r="5398" spans="2:2" ht="15.95" customHeight="1">
      <c r="B5398" s="37"/>
    </row>
    <row r="5399" spans="2:2" ht="15.95" customHeight="1">
      <c r="B5399" s="37"/>
    </row>
    <row r="5400" spans="2:2" ht="15.95" customHeight="1">
      <c r="B5400" s="37"/>
    </row>
    <row r="5401" spans="2:2" ht="15.95" customHeight="1">
      <c r="B5401" s="37"/>
    </row>
    <row r="5402" spans="2:2" ht="15.95" customHeight="1">
      <c r="B5402" s="37"/>
    </row>
    <row r="5403" spans="2:2" ht="15.95" customHeight="1">
      <c r="B5403" s="37"/>
    </row>
    <row r="5404" spans="2:2" ht="15.95" customHeight="1">
      <c r="B5404" s="37"/>
    </row>
    <row r="5405" spans="2:2" ht="15.95" customHeight="1">
      <c r="B5405" s="37"/>
    </row>
    <row r="5406" spans="2:2" ht="15.95" customHeight="1">
      <c r="B5406" s="37"/>
    </row>
    <row r="5407" spans="2:2" ht="15.95" customHeight="1">
      <c r="B5407" s="37"/>
    </row>
    <row r="5408" spans="2:2" ht="15.95" customHeight="1">
      <c r="B5408" s="37"/>
    </row>
    <row r="5409" spans="2:2" ht="15.95" customHeight="1">
      <c r="B5409" s="37"/>
    </row>
    <row r="5410" spans="2:2" ht="15.95" customHeight="1">
      <c r="B5410" s="37"/>
    </row>
    <row r="5411" spans="2:2" ht="15.95" customHeight="1">
      <c r="B5411" s="37"/>
    </row>
    <row r="5412" spans="2:2" ht="15.95" customHeight="1">
      <c r="B5412" s="37"/>
    </row>
    <row r="5413" spans="2:2" ht="15.95" customHeight="1">
      <c r="B5413" s="37"/>
    </row>
    <row r="5414" spans="2:2" ht="15.95" customHeight="1">
      <c r="B5414" s="37"/>
    </row>
    <row r="5415" spans="2:2" ht="15.95" customHeight="1">
      <c r="B5415" s="37"/>
    </row>
    <row r="5416" spans="2:2" ht="15.95" customHeight="1">
      <c r="B5416" s="37"/>
    </row>
    <row r="5417" spans="2:2" ht="15.95" customHeight="1">
      <c r="B5417" s="37"/>
    </row>
    <row r="5418" spans="2:2" ht="15.95" customHeight="1">
      <c r="B5418" s="37"/>
    </row>
    <row r="5419" spans="2:2" ht="15.95" customHeight="1">
      <c r="B5419" s="37"/>
    </row>
    <row r="5420" spans="2:2" ht="15.95" customHeight="1">
      <c r="B5420" s="37"/>
    </row>
    <row r="5421" spans="2:2" ht="15.95" customHeight="1">
      <c r="B5421" s="37"/>
    </row>
    <row r="5422" spans="2:2" ht="15.95" customHeight="1">
      <c r="B5422" s="37"/>
    </row>
    <row r="5423" spans="2:2" ht="15.95" customHeight="1">
      <c r="B5423" s="37"/>
    </row>
    <row r="5424" spans="2:2" ht="15.95" customHeight="1">
      <c r="B5424" s="37"/>
    </row>
    <row r="5425" spans="2:2" ht="15.95" customHeight="1">
      <c r="B5425" s="37"/>
    </row>
    <row r="5426" spans="2:2" ht="15.95" customHeight="1">
      <c r="B5426" s="37"/>
    </row>
    <row r="5427" spans="2:2" ht="15.95" customHeight="1">
      <c r="B5427" s="37"/>
    </row>
    <row r="5428" spans="2:2" ht="15.95" customHeight="1">
      <c r="B5428" s="37"/>
    </row>
    <row r="5429" spans="2:2" ht="15.95" customHeight="1">
      <c r="B5429" s="37"/>
    </row>
    <row r="5430" spans="2:2" ht="15.95" customHeight="1">
      <c r="B5430" s="37"/>
    </row>
    <row r="5431" spans="2:2" ht="15.95" customHeight="1">
      <c r="B5431" s="37"/>
    </row>
    <row r="5432" spans="2:2" ht="15.95" customHeight="1">
      <c r="B5432" s="37"/>
    </row>
    <row r="5433" spans="2:2" ht="15.95" customHeight="1">
      <c r="B5433" s="37"/>
    </row>
    <row r="5434" spans="2:2" ht="15.95" customHeight="1">
      <c r="B5434" s="37"/>
    </row>
    <row r="5435" spans="2:2" ht="15.95" customHeight="1">
      <c r="B5435" s="37"/>
    </row>
    <row r="5436" spans="2:2" ht="15.95" customHeight="1">
      <c r="B5436" s="37"/>
    </row>
    <row r="5437" spans="2:2" ht="15.95" customHeight="1">
      <c r="B5437" s="37"/>
    </row>
    <row r="5438" spans="2:2" ht="15.95" customHeight="1">
      <c r="B5438" s="37"/>
    </row>
    <row r="5439" spans="2:2" ht="15.95" customHeight="1">
      <c r="B5439" s="37"/>
    </row>
    <row r="5440" spans="2:2" ht="15.95" customHeight="1">
      <c r="B5440" s="37"/>
    </row>
    <row r="5441" spans="2:2" ht="15.95" customHeight="1">
      <c r="B5441" s="37"/>
    </row>
    <row r="5442" spans="2:2" ht="15.95" customHeight="1">
      <c r="B5442" s="37"/>
    </row>
    <row r="5443" spans="2:2" ht="15.95" customHeight="1">
      <c r="B5443" s="37"/>
    </row>
    <row r="5444" spans="2:2" ht="15.95" customHeight="1">
      <c r="B5444" s="37"/>
    </row>
    <row r="5445" spans="2:2" ht="15.95" customHeight="1">
      <c r="B5445" s="37"/>
    </row>
    <row r="5446" spans="2:2" ht="15.95" customHeight="1">
      <c r="B5446" s="37"/>
    </row>
    <row r="5447" spans="2:2" ht="15.95" customHeight="1">
      <c r="B5447" s="37"/>
    </row>
    <row r="5448" spans="2:2" ht="15.95" customHeight="1">
      <c r="B5448" s="37"/>
    </row>
    <row r="5449" spans="2:2" ht="15.95" customHeight="1">
      <c r="B5449" s="37"/>
    </row>
    <row r="5450" spans="2:2" ht="15.95" customHeight="1">
      <c r="B5450" s="37"/>
    </row>
    <row r="5451" spans="2:2" ht="15.95" customHeight="1">
      <c r="B5451" s="37"/>
    </row>
    <row r="5452" spans="2:2" ht="15.95" customHeight="1">
      <c r="B5452" s="37"/>
    </row>
    <row r="5453" spans="2:2" ht="15.95" customHeight="1">
      <c r="B5453" s="37"/>
    </row>
    <row r="5454" spans="2:2" ht="15.95" customHeight="1">
      <c r="B5454" s="37"/>
    </row>
    <row r="5455" spans="2:2" ht="15.95" customHeight="1">
      <c r="B5455" s="37"/>
    </row>
    <row r="5456" spans="2:2" ht="15.95" customHeight="1">
      <c r="B5456" s="37"/>
    </row>
    <row r="5457" spans="2:2" ht="15.95" customHeight="1">
      <c r="B5457" s="37"/>
    </row>
    <row r="5458" spans="2:2" ht="15.95" customHeight="1">
      <c r="B5458" s="37"/>
    </row>
    <row r="5459" spans="2:2" ht="15.95" customHeight="1">
      <c r="B5459" s="37"/>
    </row>
    <row r="5460" spans="2:2" ht="15.95" customHeight="1">
      <c r="B5460" s="37"/>
    </row>
    <row r="5461" spans="2:2" ht="15.95" customHeight="1">
      <c r="B5461" s="37"/>
    </row>
    <row r="5462" spans="2:2" ht="15.95" customHeight="1">
      <c r="B5462" s="37"/>
    </row>
    <row r="5463" spans="2:2" ht="15.95" customHeight="1">
      <c r="B5463" s="37"/>
    </row>
    <row r="5464" spans="2:2" ht="15.95" customHeight="1">
      <c r="B5464" s="37"/>
    </row>
    <row r="5465" spans="2:2" ht="15.95" customHeight="1">
      <c r="B5465" s="37"/>
    </row>
    <row r="5466" spans="2:2" ht="15.95" customHeight="1">
      <c r="B5466" s="37"/>
    </row>
    <row r="5467" spans="2:2" ht="15.95" customHeight="1">
      <c r="B5467" s="37"/>
    </row>
    <row r="5468" spans="2:2" ht="15.95" customHeight="1">
      <c r="B5468" s="37"/>
    </row>
    <row r="5469" spans="2:2" ht="15.95" customHeight="1">
      <c r="B5469" s="37"/>
    </row>
    <row r="5470" spans="2:2" ht="15.95" customHeight="1">
      <c r="B5470" s="37"/>
    </row>
    <row r="5471" spans="2:2" ht="15.95" customHeight="1">
      <c r="B5471" s="37"/>
    </row>
    <row r="5472" spans="2:2" ht="15.95" customHeight="1">
      <c r="B5472" s="37"/>
    </row>
    <row r="5473" spans="2:2" ht="15.95" customHeight="1">
      <c r="B5473" s="37"/>
    </row>
    <row r="5474" spans="2:2" ht="15.95" customHeight="1">
      <c r="B5474" s="37"/>
    </row>
    <row r="5475" spans="2:2" ht="15.95" customHeight="1">
      <c r="B5475" s="37"/>
    </row>
    <row r="5476" spans="2:2" ht="15.95" customHeight="1">
      <c r="B5476" s="37"/>
    </row>
    <row r="5477" spans="2:2" ht="15.95" customHeight="1">
      <c r="B5477" s="37"/>
    </row>
    <row r="5478" spans="2:2" ht="15.95" customHeight="1">
      <c r="B5478" s="37"/>
    </row>
    <row r="5479" spans="2:2" ht="15.95" customHeight="1">
      <c r="B5479" s="37"/>
    </row>
    <row r="5480" spans="2:2" ht="15.95" customHeight="1">
      <c r="B5480" s="37"/>
    </row>
    <row r="5481" spans="2:2" ht="15.95" customHeight="1">
      <c r="B5481" s="37"/>
    </row>
    <row r="5482" spans="2:2" ht="15.95" customHeight="1">
      <c r="B5482" s="37"/>
    </row>
    <row r="5483" spans="2:2" ht="15.95" customHeight="1">
      <c r="B5483" s="37"/>
    </row>
    <row r="5484" spans="2:2" ht="15.95" customHeight="1">
      <c r="B5484" s="37"/>
    </row>
    <row r="5485" spans="2:2" ht="15.95" customHeight="1">
      <c r="B5485" s="37"/>
    </row>
    <row r="5486" spans="2:2" ht="15.95" customHeight="1">
      <c r="B5486" s="37"/>
    </row>
    <row r="5487" spans="2:2" ht="15.95" customHeight="1">
      <c r="B5487" s="37"/>
    </row>
    <row r="5488" spans="2:2" ht="15.95" customHeight="1">
      <c r="B5488" s="37"/>
    </row>
    <row r="5489" spans="2:2" ht="15.95" customHeight="1">
      <c r="B5489" s="37"/>
    </row>
    <row r="5490" spans="2:2" ht="15.95" customHeight="1">
      <c r="B5490" s="37"/>
    </row>
    <row r="5491" spans="2:2" ht="15.95" customHeight="1">
      <c r="B5491" s="37"/>
    </row>
    <row r="5492" spans="2:2" ht="15.95" customHeight="1">
      <c r="B5492" s="37"/>
    </row>
    <row r="5493" spans="2:2" ht="15.95" customHeight="1">
      <c r="B5493" s="37"/>
    </row>
    <row r="5494" spans="2:2" ht="15.95" customHeight="1">
      <c r="B5494" s="37"/>
    </row>
    <row r="5495" spans="2:2" ht="15.95" customHeight="1">
      <c r="B5495" s="37"/>
    </row>
    <row r="5496" spans="2:2" ht="15.95" customHeight="1">
      <c r="B5496" s="37"/>
    </row>
    <row r="5497" spans="2:2" ht="15.95" customHeight="1">
      <c r="B5497" s="37"/>
    </row>
    <row r="5498" spans="2:2" ht="15.95" customHeight="1">
      <c r="B5498" s="37"/>
    </row>
    <row r="5499" spans="2:2" ht="15.95" customHeight="1">
      <c r="B5499" s="37"/>
    </row>
    <row r="5500" spans="2:2" ht="15.95" customHeight="1">
      <c r="B5500" s="37"/>
    </row>
    <row r="5501" spans="2:2" ht="15.95" customHeight="1">
      <c r="B5501" s="37"/>
    </row>
    <row r="5502" spans="2:2" ht="15.95" customHeight="1">
      <c r="B5502" s="37"/>
    </row>
    <row r="5503" spans="2:2" ht="15.95" customHeight="1">
      <c r="B5503" s="37"/>
    </row>
    <row r="5504" spans="2:2" ht="15.95" customHeight="1">
      <c r="B5504" s="37"/>
    </row>
    <row r="5505" spans="2:2" ht="15.95" customHeight="1">
      <c r="B5505" s="37"/>
    </row>
    <row r="5506" spans="2:2" ht="15.95" customHeight="1">
      <c r="B5506" s="37"/>
    </row>
    <row r="5507" spans="2:2" ht="15.95" customHeight="1">
      <c r="B5507" s="37"/>
    </row>
    <row r="5508" spans="2:2" ht="15.95" customHeight="1">
      <c r="B5508" s="37"/>
    </row>
    <row r="5509" spans="2:2" ht="15.95" customHeight="1">
      <c r="B5509" s="37"/>
    </row>
    <row r="5510" spans="2:2" ht="15.95" customHeight="1">
      <c r="B5510" s="37"/>
    </row>
    <row r="5511" spans="2:2" ht="15.95" customHeight="1">
      <c r="B5511" s="37"/>
    </row>
    <row r="5512" spans="2:2" ht="15.95" customHeight="1">
      <c r="B5512" s="37"/>
    </row>
    <row r="5513" spans="2:2" ht="15.95" customHeight="1">
      <c r="B5513" s="37"/>
    </row>
    <row r="5514" spans="2:2" ht="15.95" customHeight="1">
      <c r="B5514" s="37"/>
    </row>
    <row r="5515" spans="2:2" ht="15.95" customHeight="1">
      <c r="B5515" s="37"/>
    </row>
    <row r="5516" spans="2:2" ht="15.95" customHeight="1">
      <c r="B5516" s="37"/>
    </row>
    <row r="5517" spans="2:2" ht="15.95" customHeight="1">
      <c r="B5517" s="37"/>
    </row>
    <row r="5518" spans="2:2" ht="15.95" customHeight="1">
      <c r="B5518" s="37"/>
    </row>
    <row r="5519" spans="2:2" ht="15.95" customHeight="1">
      <c r="B5519" s="37"/>
    </row>
    <row r="5520" spans="2:2" ht="15.95" customHeight="1">
      <c r="B5520" s="37"/>
    </row>
    <row r="5521" spans="2:2" ht="15.95" customHeight="1">
      <c r="B5521" s="37"/>
    </row>
    <row r="5522" spans="2:2" ht="15.95" customHeight="1">
      <c r="B5522" s="37"/>
    </row>
    <row r="5523" spans="2:2" ht="15.95" customHeight="1">
      <c r="B5523" s="37"/>
    </row>
    <row r="5524" spans="2:2" ht="15.95" customHeight="1">
      <c r="B5524" s="37"/>
    </row>
    <row r="5525" spans="2:2" ht="15.95" customHeight="1">
      <c r="B5525" s="37"/>
    </row>
    <row r="5526" spans="2:2" ht="15.95" customHeight="1">
      <c r="B5526" s="37"/>
    </row>
    <row r="5527" spans="2:2" ht="15.95" customHeight="1">
      <c r="B5527" s="37"/>
    </row>
    <row r="5528" spans="2:2" ht="15.95" customHeight="1">
      <c r="B5528" s="37"/>
    </row>
    <row r="5529" spans="2:2" ht="15.95" customHeight="1">
      <c r="B5529" s="37"/>
    </row>
    <row r="5530" spans="2:2" ht="15.95" customHeight="1">
      <c r="B5530" s="37"/>
    </row>
    <row r="5531" spans="2:2" ht="15.95" customHeight="1">
      <c r="B5531" s="37"/>
    </row>
    <row r="5532" spans="2:2" ht="15.95" customHeight="1">
      <c r="B5532" s="37"/>
    </row>
    <row r="5533" spans="2:2" ht="15.95" customHeight="1">
      <c r="B5533" s="37"/>
    </row>
    <row r="5534" spans="2:2" ht="15.95" customHeight="1">
      <c r="B5534" s="37"/>
    </row>
    <row r="5535" spans="2:2" ht="15.95" customHeight="1">
      <c r="B5535" s="37"/>
    </row>
    <row r="5536" spans="2:2" ht="15.95" customHeight="1">
      <c r="B5536" s="37"/>
    </row>
    <row r="5537" spans="2:2" ht="15.95" customHeight="1">
      <c r="B5537" s="37"/>
    </row>
    <row r="5538" spans="2:2" ht="15.95" customHeight="1">
      <c r="B5538" s="37"/>
    </row>
    <row r="5539" spans="2:2" ht="15.95" customHeight="1">
      <c r="B5539" s="37"/>
    </row>
    <row r="5540" spans="2:2" ht="15.95" customHeight="1">
      <c r="B5540" s="37"/>
    </row>
    <row r="5541" spans="2:2" ht="15.95" customHeight="1">
      <c r="B5541" s="37"/>
    </row>
    <row r="5542" spans="2:2" ht="15.95" customHeight="1">
      <c r="B5542" s="37"/>
    </row>
    <row r="5543" spans="2:2" ht="15.95" customHeight="1">
      <c r="B5543" s="37"/>
    </row>
    <row r="5544" spans="2:2" ht="15.95" customHeight="1">
      <c r="B5544" s="37"/>
    </row>
    <row r="5545" spans="2:2" ht="15.95" customHeight="1">
      <c r="B5545" s="37"/>
    </row>
    <row r="5546" spans="2:2" ht="15.95" customHeight="1">
      <c r="B5546" s="37"/>
    </row>
    <row r="5547" spans="2:2" ht="15.95" customHeight="1">
      <c r="B5547" s="37"/>
    </row>
    <row r="5548" spans="2:2" ht="15.95" customHeight="1">
      <c r="B5548" s="37"/>
    </row>
    <row r="5549" spans="2:2" ht="15.95" customHeight="1">
      <c r="B5549" s="37"/>
    </row>
    <row r="5550" spans="2:2" ht="15.95" customHeight="1">
      <c r="B5550" s="37"/>
    </row>
    <row r="5551" spans="2:2" ht="15.95" customHeight="1">
      <c r="B5551" s="37"/>
    </row>
    <row r="5552" spans="2:2" ht="15.95" customHeight="1">
      <c r="B5552" s="37"/>
    </row>
    <row r="5553" spans="2:2" ht="15.95" customHeight="1">
      <c r="B5553" s="37"/>
    </row>
    <row r="5554" spans="2:2" ht="15.95" customHeight="1">
      <c r="B5554" s="37"/>
    </row>
    <row r="5555" spans="2:2" ht="15.95" customHeight="1">
      <c r="B5555" s="37"/>
    </row>
    <row r="5556" spans="2:2" ht="15.95" customHeight="1">
      <c r="B5556" s="37"/>
    </row>
    <row r="5557" spans="2:2" ht="15.95" customHeight="1">
      <c r="B5557" s="37"/>
    </row>
    <row r="5558" spans="2:2" ht="15.95" customHeight="1">
      <c r="B5558" s="37"/>
    </row>
    <row r="5559" spans="2:2" ht="15.95" customHeight="1">
      <c r="B5559" s="37"/>
    </row>
    <row r="5560" spans="2:2" ht="15.95" customHeight="1">
      <c r="B5560" s="37"/>
    </row>
    <row r="5561" spans="2:2" ht="15.95" customHeight="1">
      <c r="B5561" s="37"/>
    </row>
    <row r="5562" spans="2:2" ht="15.95" customHeight="1">
      <c r="B5562" s="37"/>
    </row>
    <row r="5563" spans="2:2" ht="15.95" customHeight="1">
      <c r="B5563" s="37"/>
    </row>
    <row r="5564" spans="2:2" ht="15.95" customHeight="1">
      <c r="B5564" s="37"/>
    </row>
    <row r="5565" spans="2:2" ht="15.95" customHeight="1">
      <c r="B5565" s="37"/>
    </row>
    <row r="5566" spans="2:2" ht="15.95" customHeight="1">
      <c r="B5566" s="37"/>
    </row>
    <row r="5567" spans="2:2" ht="15.95" customHeight="1">
      <c r="B5567" s="37"/>
    </row>
    <row r="5568" spans="2:2" ht="15.95" customHeight="1">
      <c r="B5568" s="37"/>
    </row>
    <row r="5569" spans="2:2" ht="15.95" customHeight="1">
      <c r="B5569" s="37"/>
    </row>
    <row r="5570" spans="2:2" ht="15.95" customHeight="1">
      <c r="B5570" s="37"/>
    </row>
    <row r="5571" spans="2:2" ht="15.95" customHeight="1">
      <c r="B5571" s="37"/>
    </row>
    <row r="5572" spans="2:2" ht="15.95" customHeight="1">
      <c r="B5572" s="37"/>
    </row>
    <row r="5573" spans="2:2" ht="15.95" customHeight="1">
      <c r="B5573" s="37"/>
    </row>
    <row r="5574" spans="2:2" ht="15.95" customHeight="1">
      <c r="B5574" s="37"/>
    </row>
    <row r="5575" spans="2:2" ht="15.95" customHeight="1">
      <c r="B5575" s="37"/>
    </row>
    <row r="5576" spans="2:2" ht="15.95" customHeight="1">
      <c r="B5576" s="37"/>
    </row>
    <row r="5577" spans="2:2" ht="15.95" customHeight="1">
      <c r="B5577" s="37"/>
    </row>
    <row r="5578" spans="2:2" ht="15.95" customHeight="1">
      <c r="B5578" s="37"/>
    </row>
    <row r="5579" spans="2:2" ht="15.95" customHeight="1">
      <c r="B5579" s="37"/>
    </row>
    <row r="5580" spans="2:2" ht="15.95" customHeight="1">
      <c r="B5580" s="37"/>
    </row>
    <row r="5581" spans="2:2" ht="15.95" customHeight="1">
      <c r="B5581" s="37"/>
    </row>
    <row r="5582" spans="2:2" ht="15.95" customHeight="1">
      <c r="B5582" s="37"/>
    </row>
    <row r="5583" spans="2:2" ht="15.95" customHeight="1">
      <c r="B5583" s="37"/>
    </row>
    <row r="5584" spans="2:2" ht="15.95" customHeight="1">
      <c r="B5584" s="37"/>
    </row>
    <row r="5585" spans="2:2" ht="15.95" customHeight="1">
      <c r="B5585" s="37"/>
    </row>
    <row r="5586" spans="2:2" ht="15.95" customHeight="1">
      <c r="B5586" s="37"/>
    </row>
    <row r="5587" spans="2:2" ht="15.95" customHeight="1">
      <c r="B5587" s="37"/>
    </row>
    <row r="5588" spans="2:2" ht="15.95" customHeight="1">
      <c r="B5588" s="37"/>
    </row>
    <row r="5589" spans="2:2" ht="15.95" customHeight="1">
      <c r="B5589" s="37"/>
    </row>
    <row r="5590" spans="2:2" ht="15.95" customHeight="1">
      <c r="B5590" s="37"/>
    </row>
    <row r="5591" spans="2:2" ht="15.95" customHeight="1">
      <c r="B5591" s="37"/>
    </row>
    <row r="5592" spans="2:2" ht="15.95" customHeight="1">
      <c r="B5592" s="37"/>
    </row>
    <row r="5593" spans="2:2" ht="15.95" customHeight="1">
      <c r="B5593" s="37"/>
    </row>
    <row r="5594" spans="2:2" ht="15.95" customHeight="1">
      <c r="B5594" s="37"/>
    </row>
    <row r="5595" spans="2:2" ht="15.95" customHeight="1">
      <c r="B5595" s="37"/>
    </row>
    <row r="5596" spans="2:2" ht="15.95" customHeight="1">
      <c r="B5596" s="37"/>
    </row>
    <row r="5597" spans="2:2" ht="15.95" customHeight="1">
      <c r="B5597" s="37"/>
    </row>
    <row r="5598" spans="2:2" ht="15.95" customHeight="1">
      <c r="B5598" s="37"/>
    </row>
    <row r="5599" spans="2:2" ht="15.95" customHeight="1">
      <c r="B5599" s="37"/>
    </row>
    <row r="5600" spans="2:2" ht="15.95" customHeight="1">
      <c r="B5600" s="37"/>
    </row>
    <row r="5601" spans="2:2" ht="15.95" customHeight="1">
      <c r="B5601" s="37"/>
    </row>
    <row r="5602" spans="2:2" ht="15.95" customHeight="1">
      <c r="B5602" s="37"/>
    </row>
    <row r="5603" spans="2:2" ht="15.95" customHeight="1">
      <c r="B5603" s="37"/>
    </row>
    <row r="5604" spans="2:2" ht="15.95" customHeight="1">
      <c r="B5604" s="37"/>
    </row>
    <row r="5605" spans="2:2" ht="15.95" customHeight="1">
      <c r="B5605" s="37"/>
    </row>
    <row r="5606" spans="2:2" ht="15.95" customHeight="1">
      <c r="B5606" s="37"/>
    </row>
    <row r="5607" spans="2:2" ht="15.95" customHeight="1">
      <c r="B5607" s="37"/>
    </row>
    <row r="5608" spans="2:2" ht="15.95" customHeight="1">
      <c r="B5608" s="37"/>
    </row>
    <row r="5609" spans="2:2" ht="15.95" customHeight="1">
      <c r="B5609" s="37"/>
    </row>
    <row r="5610" spans="2:2" ht="15.95" customHeight="1">
      <c r="B5610" s="37"/>
    </row>
    <row r="5611" spans="2:2" ht="15.95" customHeight="1">
      <c r="B5611" s="37"/>
    </row>
    <row r="5612" spans="2:2" ht="15.95" customHeight="1">
      <c r="B5612" s="37"/>
    </row>
    <row r="5613" spans="2:2" ht="15.95" customHeight="1">
      <c r="B5613" s="37"/>
    </row>
    <row r="5614" spans="2:2" ht="15.95" customHeight="1">
      <c r="B5614" s="37"/>
    </row>
    <row r="5615" spans="2:2" ht="15.95" customHeight="1">
      <c r="B5615" s="37"/>
    </row>
    <row r="5616" spans="2:2" ht="15.95" customHeight="1">
      <c r="B5616" s="37"/>
    </row>
    <row r="5617" spans="2:2" ht="15.95" customHeight="1">
      <c r="B5617" s="37"/>
    </row>
    <row r="5618" spans="2:2" ht="15.95" customHeight="1">
      <c r="B5618" s="37"/>
    </row>
    <row r="5619" spans="2:2" ht="15.95" customHeight="1">
      <c r="B5619" s="37"/>
    </row>
    <row r="5620" spans="2:2" ht="15.95" customHeight="1">
      <c r="B5620" s="37"/>
    </row>
    <row r="5621" spans="2:2" ht="15.95" customHeight="1">
      <c r="B5621" s="37"/>
    </row>
    <row r="5622" spans="2:2" ht="15.95" customHeight="1">
      <c r="B5622" s="37"/>
    </row>
    <row r="5623" spans="2:2" ht="15.95" customHeight="1">
      <c r="B5623" s="37"/>
    </row>
    <row r="5624" spans="2:2" ht="15.95" customHeight="1">
      <c r="B5624" s="37"/>
    </row>
    <row r="5625" spans="2:2" ht="15.95" customHeight="1">
      <c r="B5625" s="37"/>
    </row>
    <row r="5626" spans="2:2" ht="15.95" customHeight="1">
      <c r="B5626" s="37"/>
    </row>
    <row r="5627" spans="2:2" ht="15.95" customHeight="1">
      <c r="B5627" s="37"/>
    </row>
    <row r="5628" spans="2:2" ht="15.95" customHeight="1">
      <c r="B5628" s="37"/>
    </row>
    <row r="5629" spans="2:2" ht="15.95" customHeight="1">
      <c r="B5629" s="37"/>
    </row>
    <row r="5630" spans="2:2" ht="15.95" customHeight="1">
      <c r="B5630" s="37"/>
    </row>
    <row r="5631" spans="2:2" ht="15.95" customHeight="1">
      <c r="B5631" s="37"/>
    </row>
    <row r="5632" spans="2:2" ht="15.95" customHeight="1">
      <c r="B5632" s="37"/>
    </row>
    <row r="5633" spans="2:2" ht="15.95" customHeight="1">
      <c r="B5633" s="37"/>
    </row>
    <row r="5634" spans="2:2" ht="15.95" customHeight="1">
      <c r="B5634" s="37"/>
    </row>
    <row r="5635" spans="2:2" ht="15.95" customHeight="1">
      <c r="B5635" s="37"/>
    </row>
    <row r="5636" spans="2:2" ht="15.95" customHeight="1">
      <c r="B5636" s="37"/>
    </row>
    <row r="5637" spans="2:2" ht="15.95" customHeight="1">
      <c r="B5637" s="37"/>
    </row>
    <row r="5638" spans="2:2" ht="15.95" customHeight="1">
      <c r="B5638" s="37"/>
    </row>
    <row r="5639" spans="2:2" ht="15.95" customHeight="1">
      <c r="B5639" s="37"/>
    </row>
    <row r="5640" spans="2:2" ht="15.95" customHeight="1">
      <c r="B5640" s="37"/>
    </row>
    <row r="5641" spans="2:2" ht="15.95" customHeight="1">
      <c r="B5641" s="37"/>
    </row>
    <row r="5642" spans="2:2" ht="15.95" customHeight="1">
      <c r="B5642" s="37"/>
    </row>
    <row r="5643" spans="2:2" ht="15.95" customHeight="1">
      <c r="B5643" s="37"/>
    </row>
    <row r="5644" spans="2:2" ht="15.95" customHeight="1">
      <c r="B5644" s="37"/>
    </row>
    <row r="5645" spans="2:2" ht="15.95" customHeight="1">
      <c r="B5645" s="37"/>
    </row>
    <row r="5646" spans="2:2" ht="15.95" customHeight="1">
      <c r="B5646" s="37"/>
    </row>
    <row r="5647" spans="2:2" ht="15.95" customHeight="1">
      <c r="B5647" s="37"/>
    </row>
    <row r="5648" spans="2:2" ht="15.95" customHeight="1">
      <c r="B5648" s="37"/>
    </row>
    <row r="5649" spans="2:2" ht="15.95" customHeight="1">
      <c r="B5649" s="37"/>
    </row>
    <row r="5650" spans="2:2" ht="15.95" customHeight="1">
      <c r="B5650" s="37"/>
    </row>
    <row r="5651" spans="2:2" ht="15.95" customHeight="1">
      <c r="B5651" s="37"/>
    </row>
    <row r="5652" spans="2:2" ht="15.95" customHeight="1">
      <c r="B5652" s="37"/>
    </row>
    <row r="5653" spans="2:2" ht="15.95" customHeight="1">
      <c r="B5653" s="37"/>
    </row>
    <row r="5654" spans="2:2" ht="15.95" customHeight="1">
      <c r="B5654" s="37"/>
    </row>
    <row r="5655" spans="2:2" ht="15.95" customHeight="1">
      <c r="B5655" s="37"/>
    </row>
    <row r="5656" spans="2:2" ht="15.95" customHeight="1">
      <c r="B5656" s="37"/>
    </row>
    <row r="5657" spans="2:2" ht="15.95" customHeight="1">
      <c r="B5657" s="37"/>
    </row>
    <row r="5658" spans="2:2" ht="15.95" customHeight="1">
      <c r="B5658" s="37"/>
    </row>
    <row r="5659" spans="2:2" ht="15.95" customHeight="1">
      <c r="B5659" s="37"/>
    </row>
    <row r="5660" spans="2:2" ht="15.95" customHeight="1">
      <c r="B5660" s="37"/>
    </row>
    <row r="5661" spans="2:2" ht="15.95" customHeight="1">
      <c r="B5661" s="37"/>
    </row>
    <row r="5662" spans="2:2" ht="15.95" customHeight="1">
      <c r="B5662" s="37"/>
    </row>
    <row r="5663" spans="2:2" ht="15.95" customHeight="1">
      <c r="B5663" s="37"/>
    </row>
    <row r="5664" spans="2:2" ht="15.95" customHeight="1">
      <c r="B5664" s="37"/>
    </row>
    <row r="5665" spans="2:2" ht="15.95" customHeight="1">
      <c r="B5665" s="37"/>
    </row>
    <row r="5666" spans="2:2" ht="15.95" customHeight="1">
      <c r="B5666" s="37"/>
    </row>
    <row r="5667" spans="2:2" ht="15.95" customHeight="1">
      <c r="B5667" s="37"/>
    </row>
    <row r="5668" spans="2:2" ht="15.95" customHeight="1">
      <c r="B5668" s="37"/>
    </row>
    <row r="5669" spans="2:2" ht="15.95" customHeight="1">
      <c r="B5669" s="37"/>
    </row>
    <row r="5670" spans="2:2" ht="15.95" customHeight="1">
      <c r="B5670" s="37"/>
    </row>
    <row r="5671" spans="2:2" ht="15.95" customHeight="1">
      <c r="B5671" s="37"/>
    </row>
    <row r="5672" spans="2:2" ht="15.95" customHeight="1">
      <c r="B5672" s="37"/>
    </row>
    <row r="5673" spans="2:2" ht="15.95" customHeight="1">
      <c r="B5673" s="37"/>
    </row>
    <row r="5674" spans="2:2" ht="15.95" customHeight="1">
      <c r="B5674" s="37"/>
    </row>
    <row r="5675" spans="2:2" ht="15.95" customHeight="1">
      <c r="B5675" s="37"/>
    </row>
    <row r="5676" spans="2:2" ht="15.95" customHeight="1">
      <c r="B5676" s="37"/>
    </row>
    <row r="5677" spans="2:2" ht="15.95" customHeight="1">
      <c r="B5677" s="37"/>
    </row>
    <row r="5678" spans="2:2" ht="15.95" customHeight="1">
      <c r="B5678" s="37"/>
    </row>
    <row r="5679" spans="2:2" ht="15.95" customHeight="1">
      <c r="B5679" s="37"/>
    </row>
    <row r="5680" spans="2:2" ht="15.95" customHeight="1">
      <c r="B5680" s="37"/>
    </row>
    <row r="5681" spans="2:2" ht="15.95" customHeight="1">
      <c r="B5681" s="37"/>
    </row>
    <row r="5682" spans="2:2" ht="15.95" customHeight="1">
      <c r="B5682" s="37"/>
    </row>
    <row r="5683" spans="2:2" ht="15.95" customHeight="1">
      <c r="B5683" s="37"/>
    </row>
    <row r="5684" spans="2:2" ht="15.95" customHeight="1">
      <c r="B5684" s="37"/>
    </row>
    <row r="5685" spans="2:2" ht="15.95" customHeight="1">
      <c r="B5685" s="37"/>
    </row>
    <row r="5686" spans="2:2" ht="15.95" customHeight="1">
      <c r="B5686" s="37"/>
    </row>
    <row r="5687" spans="2:2" ht="15.95" customHeight="1">
      <c r="B5687" s="37"/>
    </row>
    <row r="5688" spans="2:2" ht="15.95" customHeight="1">
      <c r="B5688" s="37"/>
    </row>
    <row r="5689" spans="2:2" ht="15.95" customHeight="1">
      <c r="B5689" s="37"/>
    </row>
    <row r="5690" spans="2:2" ht="15.95" customHeight="1">
      <c r="B5690" s="37"/>
    </row>
    <row r="5691" spans="2:2" ht="15.95" customHeight="1">
      <c r="B5691" s="37"/>
    </row>
    <row r="5692" spans="2:2" ht="15.95" customHeight="1">
      <c r="B5692" s="37"/>
    </row>
    <row r="5693" spans="2:2" ht="15.95" customHeight="1">
      <c r="B5693" s="37"/>
    </row>
    <row r="5694" spans="2:2" ht="15.95" customHeight="1">
      <c r="B5694" s="37"/>
    </row>
    <row r="5695" spans="2:2" ht="15.95" customHeight="1">
      <c r="B5695" s="37"/>
    </row>
    <row r="5696" spans="2:2" ht="15.95" customHeight="1">
      <c r="B5696" s="37"/>
    </row>
    <row r="5697" spans="2:2" ht="15.95" customHeight="1">
      <c r="B5697" s="37"/>
    </row>
    <row r="5698" spans="2:2" ht="15.95" customHeight="1">
      <c r="B5698" s="37"/>
    </row>
    <row r="5699" spans="2:2" ht="15.95" customHeight="1">
      <c r="B5699" s="37"/>
    </row>
    <row r="5700" spans="2:2" ht="15.95" customHeight="1">
      <c r="B5700" s="37"/>
    </row>
    <row r="5701" spans="2:2" ht="15.95" customHeight="1">
      <c r="B5701" s="37"/>
    </row>
    <row r="5702" spans="2:2" ht="15.95" customHeight="1">
      <c r="B5702" s="37"/>
    </row>
    <row r="5703" spans="2:2" ht="15.95" customHeight="1">
      <c r="B5703" s="37"/>
    </row>
    <row r="5704" spans="2:2" ht="15.95" customHeight="1">
      <c r="B5704" s="37"/>
    </row>
    <row r="5705" spans="2:2" ht="15.95" customHeight="1">
      <c r="B5705" s="37"/>
    </row>
    <row r="5706" spans="2:2" ht="15.95" customHeight="1">
      <c r="B5706" s="37"/>
    </row>
    <row r="5707" spans="2:2" ht="15.95" customHeight="1">
      <c r="B5707" s="37"/>
    </row>
    <row r="5708" spans="2:2" ht="15.95" customHeight="1">
      <c r="B5708" s="37"/>
    </row>
    <row r="5709" spans="2:2" ht="15.95" customHeight="1">
      <c r="B5709" s="37"/>
    </row>
    <row r="5710" spans="2:2" ht="15.95" customHeight="1">
      <c r="B5710" s="37"/>
    </row>
    <row r="5711" spans="2:2" ht="15.95" customHeight="1">
      <c r="B5711" s="37"/>
    </row>
    <row r="5712" spans="2:2" ht="15.95" customHeight="1">
      <c r="B5712" s="37"/>
    </row>
    <row r="5713" spans="2:2" ht="15.95" customHeight="1">
      <c r="B5713" s="37"/>
    </row>
    <row r="5714" spans="2:2" ht="15.95" customHeight="1">
      <c r="B5714" s="37"/>
    </row>
    <row r="5715" spans="2:2" ht="15.95" customHeight="1">
      <c r="B5715" s="37"/>
    </row>
    <row r="5716" spans="2:2" ht="15.95" customHeight="1">
      <c r="B5716" s="37"/>
    </row>
    <row r="5717" spans="2:2" ht="15.95" customHeight="1">
      <c r="B5717" s="37"/>
    </row>
    <row r="5718" spans="2:2" ht="15.95" customHeight="1">
      <c r="B5718" s="37"/>
    </row>
    <row r="5719" spans="2:2" ht="15.95" customHeight="1">
      <c r="B5719" s="37"/>
    </row>
    <row r="5720" spans="2:2" ht="15.95" customHeight="1">
      <c r="B5720" s="37"/>
    </row>
    <row r="5721" spans="2:2" ht="15.95" customHeight="1">
      <c r="B5721" s="37"/>
    </row>
    <row r="5722" spans="2:2" ht="15.95" customHeight="1">
      <c r="B5722" s="37"/>
    </row>
    <row r="5723" spans="2:2" ht="15.95" customHeight="1">
      <c r="B5723" s="37"/>
    </row>
    <row r="5724" spans="2:2" ht="15.95" customHeight="1">
      <c r="B5724" s="37"/>
    </row>
    <row r="5725" spans="2:2" ht="15.95" customHeight="1">
      <c r="B5725" s="37"/>
    </row>
    <row r="5726" spans="2:2" ht="15.95" customHeight="1">
      <c r="B5726" s="37"/>
    </row>
    <row r="5727" spans="2:2" ht="15.95" customHeight="1">
      <c r="B5727" s="37"/>
    </row>
    <row r="5728" spans="2:2" ht="15.95" customHeight="1">
      <c r="B5728" s="37"/>
    </row>
    <row r="5729" spans="2:2" ht="15.95" customHeight="1">
      <c r="B5729" s="37"/>
    </row>
    <row r="5730" spans="2:2" ht="15.95" customHeight="1">
      <c r="B5730" s="37"/>
    </row>
    <row r="5731" spans="2:2" ht="15.95" customHeight="1">
      <c r="B5731" s="37"/>
    </row>
    <row r="5732" spans="2:2" ht="15.95" customHeight="1">
      <c r="B5732" s="37"/>
    </row>
    <row r="5733" spans="2:2" ht="15.95" customHeight="1">
      <c r="B5733" s="37"/>
    </row>
    <row r="5734" spans="2:2" ht="15.95" customHeight="1">
      <c r="B5734" s="37"/>
    </row>
    <row r="5735" spans="2:2" ht="15.95" customHeight="1">
      <c r="B5735" s="37"/>
    </row>
    <row r="5736" spans="2:2" ht="15.95" customHeight="1">
      <c r="B5736" s="37"/>
    </row>
    <row r="5737" spans="2:2" ht="15.95" customHeight="1">
      <c r="B5737" s="37"/>
    </row>
    <row r="5738" spans="2:2" ht="15.95" customHeight="1">
      <c r="B5738" s="37"/>
    </row>
    <row r="5739" spans="2:2" ht="15.95" customHeight="1">
      <c r="B5739" s="37"/>
    </row>
    <row r="5740" spans="2:2" ht="15.95" customHeight="1">
      <c r="B5740" s="37"/>
    </row>
    <row r="5741" spans="2:2" ht="15.95" customHeight="1">
      <c r="B5741" s="37"/>
    </row>
    <row r="5742" spans="2:2" ht="15.95" customHeight="1">
      <c r="B5742" s="37"/>
    </row>
    <row r="5743" spans="2:2" ht="15.95" customHeight="1">
      <c r="B5743" s="37"/>
    </row>
    <row r="5744" spans="2:2" ht="15.95" customHeight="1">
      <c r="B5744" s="37"/>
    </row>
    <row r="5745" spans="2:2" ht="15.95" customHeight="1">
      <c r="B5745" s="37"/>
    </row>
    <row r="5746" spans="2:2" ht="15.95" customHeight="1">
      <c r="B5746" s="37"/>
    </row>
    <row r="5747" spans="2:2" ht="15.95" customHeight="1">
      <c r="B5747" s="37"/>
    </row>
    <row r="5748" spans="2:2" ht="15.95" customHeight="1">
      <c r="B5748" s="37"/>
    </row>
    <row r="5749" spans="2:2" ht="15.95" customHeight="1">
      <c r="B5749" s="37"/>
    </row>
    <row r="5750" spans="2:2" ht="15.95" customHeight="1">
      <c r="B5750" s="37"/>
    </row>
    <row r="5751" spans="2:2" ht="15.95" customHeight="1">
      <c r="B5751" s="37"/>
    </row>
    <row r="5752" spans="2:2" ht="15.95" customHeight="1">
      <c r="B5752" s="37"/>
    </row>
    <row r="5753" spans="2:2" ht="15.95" customHeight="1">
      <c r="B5753" s="37"/>
    </row>
    <row r="5754" spans="2:2" ht="15.95" customHeight="1">
      <c r="B5754" s="37"/>
    </row>
    <row r="5755" spans="2:2" ht="15.95" customHeight="1">
      <c r="B5755" s="37"/>
    </row>
    <row r="5756" spans="2:2" ht="15.95" customHeight="1">
      <c r="B5756" s="37"/>
    </row>
    <row r="5757" spans="2:2" ht="15.95" customHeight="1">
      <c r="B5757" s="37"/>
    </row>
    <row r="5758" spans="2:2" ht="15.95" customHeight="1">
      <c r="B5758" s="37"/>
    </row>
    <row r="5759" spans="2:2" ht="15.95" customHeight="1">
      <c r="B5759" s="37"/>
    </row>
    <row r="5760" spans="2:2" ht="15.95" customHeight="1">
      <c r="B5760" s="37"/>
    </row>
    <row r="5761" spans="2:2" ht="15.95" customHeight="1">
      <c r="B5761" s="37"/>
    </row>
    <row r="5762" spans="2:2" ht="15.95" customHeight="1">
      <c r="B5762" s="37"/>
    </row>
    <row r="5763" spans="2:2" ht="15.95" customHeight="1">
      <c r="B5763" s="37"/>
    </row>
    <row r="5764" spans="2:2" ht="15.95" customHeight="1">
      <c r="B5764" s="37"/>
    </row>
    <row r="5765" spans="2:2" ht="15.95" customHeight="1">
      <c r="B5765" s="37"/>
    </row>
    <row r="5766" spans="2:2" ht="15.95" customHeight="1">
      <c r="B5766" s="37"/>
    </row>
    <row r="5767" spans="2:2" ht="15.95" customHeight="1">
      <c r="B5767" s="37"/>
    </row>
    <row r="5768" spans="2:2" ht="15.95" customHeight="1">
      <c r="B5768" s="37"/>
    </row>
    <row r="5769" spans="2:2" ht="15.95" customHeight="1">
      <c r="B5769" s="37"/>
    </row>
    <row r="5770" spans="2:2" ht="15.95" customHeight="1">
      <c r="B5770" s="37"/>
    </row>
    <row r="5771" spans="2:2" ht="15.95" customHeight="1">
      <c r="B5771" s="37"/>
    </row>
    <row r="5772" spans="2:2" ht="15.95" customHeight="1">
      <c r="B5772" s="37"/>
    </row>
    <row r="5773" spans="2:2" ht="15.95" customHeight="1">
      <c r="B5773" s="37"/>
    </row>
    <row r="5774" spans="2:2" ht="15.95" customHeight="1">
      <c r="B5774" s="37"/>
    </row>
    <row r="5775" spans="2:2" ht="15.95" customHeight="1">
      <c r="B5775" s="37"/>
    </row>
    <row r="5776" spans="2:2" ht="15.95" customHeight="1">
      <c r="B5776" s="37"/>
    </row>
    <row r="5777" spans="2:2" ht="15.95" customHeight="1">
      <c r="B5777" s="37"/>
    </row>
    <row r="5778" spans="2:2" ht="15.95" customHeight="1">
      <c r="B5778" s="37"/>
    </row>
    <row r="5779" spans="2:2" ht="15.95" customHeight="1">
      <c r="B5779" s="37"/>
    </row>
    <row r="5780" spans="2:2" ht="15.95" customHeight="1">
      <c r="B5780" s="37"/>
    </row>
    <row r="5781" spans="2:2" ht="15.95" customHeight="1">
      <c r="B5781" s="37"/>
    </row>
    <row r="5782" spans="2:2" ht="15.95" customHeight="1">
      <c r="B5782" s="37"/>
    </row>
    <row r="5783" spans="2:2" ht="15.95" customHeight="1">
      <c r="B5783" s="37"/>
    </row>
    <row r="5784" spans="2:2" ht="15.95" customHeight="1">
      <c r="B5784" s="37"/>
    </row>
    <row r="5785" spans="2:2" ht="15.95" customHeight="1">
      <c r="B5785" s="37"/>
    </row>
    <row r="5786" spans="2:2" ht="15.95" customHeight="1">
      <c r="B5786" s="37"/>
    </row>
    <row r="5787" spans="2:2" ht="15.95" customHeight="1">
      <c r="B5787" s="37"/>
    </row>
    <row r="5788" spans="2:2" ht="15.95" customHeight="1">
      <c r="B5788" s="37"/>
    </row>
    <row r="5789" spans="2:2" ht="15.95" customHeight="1">
      <c r="B5789" s="37"/>
    </row>
    <row r="5790" spans="2:2" ht="15.95" customHeight="1">
      <c r="B5790" s="37"/>
    </row>
    <row r="5791" spans="2:2" ht="15.95" customHeight="1">
      <c r="B5791" s="37"/>
    </row>
    <row r="5792" spans="2:2" ht="15.95" customHeight="1">
      <c r="B5792" s="37"/>
    </row>
    <row r="5793" spans="2:2" ht="15.95" customHeight="1">
      <c r="B5793" s="37"/>
    </row>
    <row r="5794" spans="2:2" ht="15.95" customHeight="1">
      <c r="B5794" s="37"/>
    </row>
    <row r="5795" spans="2:2" ht="15.95" customHeight="1">
      <c r="B5795" s="37"/>
    </row>
    <row r="5796" spans="2:2" ht="15.95" customHeight="1">
      <c r="B5796" s="37"/>
    </row>
    <row r="5797" spans="2:2" ht="15.95" customHeight="1">
      <c r="B5797" s="37"/>
    </row>
    <row r="5798" spans="2:2" ht="15.95" customHeight="1">
      <c r="B5798" s="37"/>
    </row>
    <row r="5799" spans="2:2" ht="15.95" customHeight="1">
      <c r="B5799" s="37"/>
    </row>
    <row r="5800" spans="2:2" ht="15.95" customHeight="1">
      <c r="B5800" s="37"/>
    </row>
    <row r="5801" spans="2:2" ht="15.95" customHeight="1">
      <c r="B5801" s="37"/>
    </row>
    <row r="5802" spans="2:2" ht="15.95" customHeight="1">
      <c r="B5802" s="37"/>
    </row>
    <row r="5803" spans="2:2" ht="15.95" customHeight="1">
      <c r="B5803" s="37"/>
    </row>
    <row r="5804" spans="2:2" ht="15.95" customHeight="1">
      <c r="B5804" s="37"/>
    </row>
    <row r="5805" spans="2:2" ht="15.95" customHeight="1">
      <c r="B5805" s="37"/>
    </row>
    <row r="5806" spans="2:2" ht="15.95" customHeight="1">
      <c r="B5806" s="37"/>
    </row>
    <row r="5807" spans="2:2" ht="15.95" customHeight="1">
      <c r="B5807" s="37"/>
    </row>
    <row r="5808" spans="2:2" ht="15.95" customHeight="1">
      <c r="B5808" s="37"/>
    </row>
    <row r="5809" spans="2:2" ht="15.95" customHeight="1">
      <c r="B5809" s="37"/>
    </row>
    <row r="5810" spans="2:2" ht="15.95" customHeight="1">
      <c r="B5810" s="37"/>
    </row>
    <row r="5811" spans="2:2" ht="15.95" customHeight="1">
      <c r="B5811" s="37"/>
    </row>
    <row r="5812" spans="2:2" ht="15.95" customHeight="1">
      <c r="B5812" s="37"/>
    </row>
    <row r="5813" spans="2:2" ht="15.95" customHeight="1">
      <c r="B5813" s="37"/>
    </row>
    <row r="5814" spans="2:2" ht="15.95" customHeight="1">
      <c r="B5814" s="37"/>
    </row>
    <row r="5815" spans="2:2" ht="15.95" customHeight="1">
      <c r="B5815" s="37"/>
    </row>
    <row r="5816" spans="2:2" ht="15.95" customHeight="1">
      <c r="B5816" s="37"/>
    </row>
    <row r="5817" spans="2:2" ht="15.95" customHeight="1">
      <c r="B5817" s="37"/>
    </row>
    <row r="5818" spans="2:2" ht="15.95" customHeight="1">
      <c r="B5818" s="37"/>
    </row>
    <row r="5819" spans="2:2" ht="15.95" customHeight="1">
      <c r="B5819" s="37"/>
    </row>
    <row r="5820" spans="2:2" ht="15.95" customHeight="1">
      <c r="B5820" s="37"/>
    </row>
    <row r="5821" spans="2:2" ht="15.95" customHeight="1">
      <c r="B5821" s="37"/>
    </row>
    <row r="5822" spans="2:2" ht="15.95" customHeight="1">
      <c r="B5822" s="37"/>
    </row>
    <row r="5823" spans="2:2" ht="15.95" customHeight="1">
      <c r="B5823" s="37"/>
    </row>
    <row r="5824" spans="2:2" ht="15.95" customHeight="1">
      <c r="B5824" s="37"/>
    </row>
    <row r="5825" spans="2:2" ht="15.95" customHeight="1">
      <c r="B5825" s="37"/>
    </row>
    <row r="5826" spans="2:2" ht="15.95" customHeight="1">
      <c r="B5826" s="37"/>
    </row>
    <row r="5827" spans="2:2" ht="15.95" customHeight="1">
      <c r="B5827" s="37"/>
    </row>
    <row r="5828" spans="2:2" ht="15.95" customHeight="1">
      <c r="B5828" s="37"/>
    </row>
    <row r="5829" spans="2:2" ht="15.95" customHeight="1">
      <c r="B5829" s="37"/>
    </row>
    <row r="5830" spans="2:2" ht="15.95" customHeight="1">
      <c r="B5830" s="37"/>
    </row>
    <row r="5831" spans="2:2" ht="15.95" customHeight="1">
      <c r="B5831" s="37"/>
    </row>
    <row r="5832" spans="2:2" ht="15.95" customHeight="1">
      <c r="B5832" s="37"/>
    </row>
    <row r="5833" spans="2:2" ht="15.95" customHeight="1">
      <c r="B5833" s="37"/>
    </row>
    <row r="5834" spans="2:2" ht="15.95" customHeight="1">
      <c r="B5834" s="37"/>
    </row>
    <row r="5835" spans="2:2" ht="15.95" customHeight="1">
      <c r="B5835" s="37"/>
    </row>
    <row r="5836" spans="2:2" ht="15.95" customHeight="1">
      <c r="B5836" s="37"/>
    </row>
    <row r="5837" spans="2:2" ht="15.95" customHeight="1">
      <c r="B5837" s="37"/>
    </row>
    <row r="5838" spans="2:2" ht="15.95" customHeight="1">
      <c r="B5838" s="37"/>
    </row>
    <row r="5839" spans="2:2" ht="15.95" customHeight="1">
      <c r="B5839" s="37"/>
    </row>
    <row r="5840" spans="2:2" ht="15.95" customHeight="1">
      <c r="B5840" s="37"/>
    </row>
    <row r="5841" spans="2:2" ht="15.95" customHeight="1">
      <c r="B5841" s="37"/>
    </row>
    <row r="5842" spans="2:2" ht="15.95" customHeight="1">
      <c r="B5842" s="37"/>
    </row>
    <row r="5843" spans="2:2" ht="15.95" customHeight="1">
      <c r="B5843" s="37"/>
    </row>
    <row r="5844" spans="2:2" ht="15.95" customHeight="1">
      <c r="B5844" s="37"/>
    </row>
    <row r="5845" spans="2:2" ht="15.95" customHeight="1">
      <c r="B5845" s="37"/>
    </row>
    <row r="5846" spans="2:2" ht="15.95" customHeight="1">
      <c r="B5846" s="37"/>
    </row>
    <row r="5847" spans="2:2" ht="15.95" customHeight="1">
      <c r="B5847" s="37"/>
    </row>
    <row r="5848" spans="2:2" ht="15.95" customHeight="1">
      <c r="B5848" s="37"/>
    </row>
    <row r="5849" spans="2:2" ht="15.95" customHeight="1">
      <c r="B5849" s="37"/>
    </row>
    <row r="5850" spans="2:2" ht="15.95" customHeight="1">
      <c r="B5850" s="37"/>
    </row>
    <row r="5851" spans="2:2" ht="15.95" customHeight="1">
      <c r="B5851" s="37"/>
    </row>
    <row r="5852" spans="2:2" ht="15.95" customHeight="1">
      <c r="B5852" s="37"/>
    </row>
    <row r="5853" spans="2:2" ht="15.95" customHeight="1">
      <c r="B5853" s="37"/>
    </row>
    <row r="5854" spans="2:2" ht="15.95" customHeight="1">
      <c r="B5854" s="37"/>
    </row>
    <row r="5855" spans="2:2" ht="15.95" customHeight="1">
      <c r="B5855" s="37"/>
    </row>
    <row r="5856" spans="2:2" ht="15.95" customHeight="1">
      <c r="B5856" s="37"/>
    </row>
    <row r="5857" spans="2:2" ht="15.95" customHeight="1">
      <c r="B5857" s="37"/>
    </row>
    <row r="5858" spans="2:2" ht="15.95" customHeight="1">
      <c r="B5858" s="37"/>
    </row>
    <row r="5859" spans="2:2" ht="15.95" customHeight="1">
      <c r="B5859" s="37"/>
    </row>
    <row r="5860" spans="2:2" ht="15.95" customHeight="1">
      <c r="B5860" s="37"/>
    </row>
    <row r="5861" spans="2:2" ht="15.95" customHeight="1">
      <c r="B5861" s="37"/>
    </row>
    <row r="5862" spans="2:2" ht="15.95" customHeight="1">
      <c r="B5862" s="37"/>
    </row>
    <row r="5863" spans="2:2" ht="15.95" customHeight="1">
      <c r="B5863" s="37"/>
    </row>
    <row r="5864" spans="2:2" ht="15.95" customHeight="1">
      <c r="B5864" s="37"/>
    </row>
    <row r="5865" spans="2:2" ht="15.95" customHeight="1">
      <c r="B5865" s="37"/>
    </row>
    <row r="5866" spans="2:2" ht="15.95" customHeight="1">
      <c r="B5866" s="37"/>
    </row>
    <row r="5867" spans="2:2" ht="15.95" customHeight="1">
      <c r="B5867" s="37"/>
    </row>
    <row r="5868" spans="2:2" ht="15.95" customHeight="1">
      <c r="B5868" s="37"/>
    </row>
    <row r="5869" spans="2:2" ht="15.95" customHeight="1">
      <c r="B5869" s="37"/>
    </row>
    <row r="5870" spans="2:2" ht="15.95" customHeight="1">
      <c r="B5870" s="37"/>
    </row>
    <row r="5871" spans="2:2" ht="15.95" customHeight="1">
      <c r="B5871" s="37"/>
    </row>
    <row r="5872" spans="2:2" ht="15.95" customHeight="1">
      <c r="B5872" s="37"/>
    </row>
    <row r="5873" spans="2:2" ht="15.95" customHeight="1">
      <c r="B5873" s="37"/>
    </row>
    <row r="5874" spans="2:2" ht="15.95" customHeight="1">
      <c r="B5874" s="37"/>
    </row>
    <row r="5875" spans="2:2" ht="15.95" customHeight="1">
      <c r="B5875" s="37"/>
    </row>
    <row r="5876" spans="2:2" ht="15.95" customHeight="1">
      <c r="B5876" s="37"/>
    </row>
    <row r="5877" spans="2:2" ht="15.95" customHeight="1">
      <c r="B5877" s="37"/>
    </row>
    <row r="5878" spans="2:2" ht="15.95" customHeight="1">
      <c r="B5878" s="37"/>
    </row>
    <row r="5879" spans="2:2" ht="15.95" customHeight="1">
      <c r="B5879" s="37"/>
    </row>
    <row r="5880" spans="2:2" ht="15.95" customHeight="1">
      <c r="B5880" s="37"/>
    </row>
    <row r="5881" spans="2:2" ht="15.95" customHeight="1">
      <c r="B5881" s="37"/>
    </row>
    <row r="5882" spans="2:2" ht="15.95" customHeight="1">
      <c r="B5882" s="37"/>
    </row>
    <row r="5883" spans="2:2" ht="15.95" customHeight="1">
      <c r="B5883" s="37"/>
    </row>
    <row r="5884" spans="2:2" ht="15.95" customHeight="1">
      <c r="B5884" s="37"/>
    </row>
    <row r="5885" spans="2:2" ht="15.95" customHeight="1">
      <c r="B5885" s="37"/>
    </row>
    <row r="5886" spans="2:2" ht="15.95" customHeight="1">
      <c r="B5886" s="37"/>
    </row>
    <row r="5887" spans="2:2" ht="15.95" customHeight="1">
      <c r="B5887" s="37"/>
    </row>
    <row r="5888" spans="2:2" ht="15.95" customHeight="1">
      <c r="B5888" s="37"/>
    </row>
    <row r="5889" spans="2:2" ht="15.95" customHeight="1">
      <c r="B5889" s="37"/>
    </row>
    <row r="5890" spans="2:2" ht="15.95" customHeight="1">
      <c r="B5890" s="37"/>
    </row>
    <row r="5891" spans="2:2" ht="15.95" customHeight="1">
      <c r="B5891" s="37"/>
    </row>
    <row r="5892" spans="2:2" ht="15.95" customHeight="1">
      <c r="B5892" s="37"/>
    </row>
    <row r="5893" spans="2:2" ht="15.95" customHeight="1">
      <c r="B5893" s="37"/>
    </row>
    <row r="5894" spans="2:2" ht="15.95" customHeight="1">
      <c r="B5894" s="37"/>
    </row>
    <row r="5895" spans="2:2" ht="15.95" customHeight="1">
      <c r="B5895" s="37"/>
    </row>
    <row r="5896" spans="2:2" ht="15.95" customHeight="1">
      <c r="B5896" s="37"/>
    </row>
    <row r="5897" spans="2:2" ht="15.95" customHeight="1">
      <c r="B5897" s="37"/>
    </row>
    <row r="5898" spans="2:2" ht="15.95" customHeight="1">
      <c r="B5898" s="37"/>
    </row>
    <row r="5899" spans="2:2" ht="15.95" customHeight="1">
      <c r="B5899" s="37"/>
    </row>
    <row r="5900" spans="2:2" ht="15.95" customHeight="1">
      <c r="B5900" s="37"/>
    </row>
    <row r="5901" spans="2:2" ht="15.95" customHeight="1">
      <c r="B5901" s="37"/>
    </row>
    <row r="5902" spans="2:2" ht="15.95" customHeight="1">
      <c r="B5902" s="37"/>
    </row>
    <row r="5903" spans="2:2" ht="15.95" customHeight="1">
      <c r="B5903" s="37"/>
    </row>
    <row r="5904" spans="2:2" ht="15.95" customHeight="1">
      <c r="B5904" s="37"/>
    </row>
    <row r="5905" spans="2:2" ht="15.95" customHeight="1">
      <c r="B5905" s="37"/>
    </row>
    <row r="5906" spans="2:2" ht="15.95" customHeight="1">
      <c r="B5906" s="37"/>
    </row>
    <row r="5907" spans="2:2" ht="15.95" customHeight="1">
      <c r="B5907" s="37"/>
    </row>
    <row r="5908" spans="2:2" ht="15.95" customHeight="1">
      <c r="B5908" s="37"/>
    </row>
    <row r="5909" spans="2:2" ht="15.95" customHeight="1">
      <c r="B5909" s="37"/>
    </row>
    <row r="5910" spans="2:2" ht="15.95" customHeight="1">
      <c r="B5910" s="37"/>
    </row>
    <row r="5911" spans="2:2" ht="15.95" customHeight="1">
      <c r="B5911" s="37"/>
    </row>
    <row r="5912" spans="2:2" ht="15.95" customHeight="1">
      <c r="B5912" s="37"/>
    </row>
    <row r="5913" spans="2:2" ht="15.95" customHeight="1">
      <c r="B5913" s="37"/>
    </row>
    <row r="5914" spans="2:2" ht="15.95" customHeight="1">
      <c r="B5914" s="37"/>
    </row>
    <row r="5915" spans="2:2" ht="15.95" customHeight="1">
      <c r="B5915" s="37"/>
    </row>
    <row r="5916" spans="2:2" ht="15.95" customHeight="1">
      <c r="B5916" s="37"/>
    </row>
    <row r="5917" spans="2:2" ht="15.95" customHeight="1">
      <c r="B5917" s="37"/>
    </row>
    <row r="5918" spans="2:2" ht="15.95" customHeight="1">
      <c r="B5918" s="37"/>
    </row>
    <row r="5919" spans="2:2" ht="15.95" customHeight="1">
      <c r="B5919" s="37"/>
    </row>
    <row r="5920" spans="2:2" ht="15.95" customHeight="1">
      <c r="B5920" s="37"/>
    </row>
    <row r="5921" spans="2:2" ht="15.95" customHeight="1">
      <c r="B5921" s="37"/>
    </row>
    <row r="5922" spans="2:2" ht="15.95" customHeight="1">
      <c r="B5922" s="37"/>
    </row>
    <row r="5923" spans="2:2" ht="15.95" customHeight="1">
      <c r="B5923" s="37"/>
    </row>
    <row r="5924" spans="2:2" ht="15.95" customHeight="1">
      <c r="B5924" s="37"/>
    </row>
    <row r="5925" spans="2:2" ht="15.95" customHeight="1">
      <c r="B5925" s="37"/>
    </row>
    <row r="5926" spans="2:2" ht="15.95" customHeight="1">
      <c r="B5926" s="37"/>
    </row>
    <row r="5927" spans="2:2" ht="15.95" customHeight="1">
      <c r="B5927" s="37"/>
    </row>
    <row r="5928" spans="2:2" ht="15.95" customHeight="1">
      <c r="B5928" s="37"/>
    </row>
    <row r="5929" spans="2:2" ht="15.95" customHeight="1">
      <c r="B5929" s="37"/>
    </row>
    <row r="5930" spans="2:2" ht="15.95" customHeight="1">
      <c r="B5930" s="37"/>
    </row>
    <row r="5931" spans="2:2" ht="15.95" customHeight="1">
      <c r="B5931" s="37"/>
    </row>
    <row r="5932" spans="2:2" ht="15.95" customHeight="1">
      <c r="B5932" s="37"/>
    </row>
    <row r="5933" spans="2:2" ht="15.95" customHeight="1">
      <c r="B5933" s="37"/>
    </row>
    <row r="5934" spans="2:2" ht="15.95" customHeight="1">
      <c r="B5934" s="37"/>
    </row>
    <row r="5935" spans="2:2" ht="15.95" customHeight="1">
      <c r="B5935" s="37"/>
    </row>
    <row r="5936" spans="2:2" ht="15.95" customHeight="1">
      <c r="B5936" s="37"/>
    </row>
    <row r="5937" spans="2:2" ht="15.95" customHeight="1">
      <c r="B5937" s="37"/>
    </row>
    <row r="5938" spans="2:2" ht="15.95" customHeight="1">
      <c r="B5938" s="37"/>
    </row>
    <row r="5939" spans="2:2" ht="15.95" customHeight="1">
      <c r="B5939" s="37"/>
    </row>
    <row r="5940" spans="2:2" ht="15.95" customHeight="1">
      <c r="B5940" s="37"/>
    </row>
    <row r="5941" spans="2:2" ht="15.95" customHeight="1">
      <c r="B5941" s="37"/>
    </row>
    <row r="5942" spans="2:2" ht="15.95" customHeight="1">
      <c r="B5942" s="37"/>
    </row>
    <row r="5943" spans="2:2" ht="15.95" customHeight="1">
      <c r="B5943" s="37"/>
    </row>
    <row r="5944" spans="2:2" ht="15.95" customHeight="1">
      <c r="B5944" s="37"/>
    </row>
    <row r="5945" spans="2:2" ht="15.95" customHeight="1">
      <c r="B5945" s="37"/>
    </row>
    <row r="5946" spans="2:2" ht="15.95" customHeight="1">
      <c r="B5946" s="37"/>
    </row>
    <row r="5947" spans="2:2" ht="15.95" customHeight="1">
      <c r="B5947" s="37"/>
    </row>
    <row r="5948" spans="2:2" ht="15.95" customHeight="1">
      <c r="B5948" s="37"/>
    </row>
    <row r="5949" spans="2:2" ht="15.95" customHeight="1">
      <c r="B5949" s="37"/>
    </row>
    <row r="5950" spans="2:2" ht="15.95" customHeight="1">
      <c r="B5950" s="37"/>
    </row>
    <row r="5951" spans="2:2" ht="15.95" customHeight="1">
      <c r="B5951" s="37"/>
    </row>
    <row r="5952" spans="2:2" ht="15.95" customHeight="1">
      <c r="B5952" s="37"/>
    </row>
    <row r="5953" spans="2:2" ht="15.95" customHeight="1">
      <c r="B5953" s="37"/>
    </row>
    <row r="5954" spans="2:2" ht="15.95" customHeight="1">
      <c r="B5954" s="37"/>
    </row>
    <row r="5955" spans="2:2" ht="15.95" customHeight="1">
      <c r="B5955" s="37"/>
    </row>
    <row r="5956" spans="2:2" ht="15.95" customHeight="1">
      <c r="B5956" s="37"/>
    </row>
    <row r="5957" spans="2:2" ht="15.95" customHeight="1">
      <c r="B5957" s="37"/>
    </row>
    <row r="5958" spans="2:2" ht="15.95" customHeight="1">
      <c r="B5958" s="37"/>
    </row>
    <row r="5959" spans="2:2" ht="15.95" customHeight="1">
      <c r="B5959" s="37"/>
    </row>
    <row r="5960" spans="2:2" ht="15.95" customHeight="1">
      <c r="B5960" s="37"/>
    </row>
    <row r="5961" spans="2:2" ht="15.95" customHeight="1">
      <c r="B5961" s="37"/>
    </row>
    <row r="5962" spans="2:2" ht="15.95" customHeight="1">
      <c r="B5962" s="37"/>
    </row>
    <row r="5963" spans="2:2" ht="15.95" customHeight="1">
      <c r="B5963" s="37"/>
    </row>
    <row r="5964" spans="2:2" ht="15.95" customHeight="1">
      <c r="B5964" s="37"/>
    </row>
    <row r="5965" spans="2:2" ht="15.95" customHeight="1">
      <c r="B5965" s="37"/>
    </row>
    <row r="5966" spans="2:2" ht="15.95" customHeight="1">
      <c r="B5966" s="37"/>
    </row>
    <row r="5967" spans="2:2" ht="15.95" customHeight="1">
      <c r="B5967" s="37"/>
    </row>
    <row r="5968" spans="2:2" ht="15.95" customHeight="1">
      <c r="B5968" s="37"/>
    </row>
    <row r="5969" spans="2:2" ht="15.95" customHeight="1">
      <c r="B5969" s="37"/>
    </row>
    <row r="5970" spans="2:2" ht="15.95" customHeight="1">
      <c r="B5970" s="37"/>
    </row>
    <row r="5971" spans="2:2" ht="15.95" customHeight="1">
      <c r="B5971" s="37"/>
    </row>
    <row r="5972" spans="2:2" ht="15.95" customHeight="1">
      <c r="B5972" s="37"/>
    </row>
    <row r="5973" spans="2:2" ht="15.95" customHeight="1">
      <c r="B5973" s="37"/>
    </row>
    <row r="5974" spans="2:2" ht="15.95" customHeight="1">
      <c r="B5974" s="37"/>
    </row>
    <row r="5975" spans="2:2" ht="15.95" customHeight="1">
      <c r="B5975" s="37"/>
    </row>
    <row r="5976" spans="2:2" ht="15.95" customHeight="1">
      <c r="B5976" s="37"/>
    </row>
    <row r="5977" spans="2:2" ht="15.95" customHeight="1">
      <c r="B5977" s="37"/>
    </row>
    <row r="5978" spans="2:2" ht="15.95" customHeight="1">
      <c r="B5978" s="37"/>
    </row>
    <row r="5979" spans="2:2" ht="15.95" customHeight="1">
      <c r="B5979" s="37"/>
    </row>
    <row r="5980" spans="2:2" ht="15.95" customHeight="1">
      <c r="B5980" s="37"/>
    </row>
    <row r="5981" spans="2:2" ht="15.95" customHeight="1">
      <c r="B5981" s="37"/>
    </row>
    <row r="5982" spans="2:2" ht="15.95" customHeight="1">
      <c r="B5982" s="37"/>
    </row>
    <row r="5983" spans="2:2" ht="15.95" customHeight="1">
      <c r="B5983" s="37"/>
    </row>
    <row r="5984" spans="2:2" ht="15.95" customHeight="1">
      <c r="B5984" s="37"/>
    </row>
    <row r="5985" spans="2:2" ht="15.95" customHeight="1">
      <c r="B5985" s="37"/>
    </row>
    <row r="5986" spans="2:2" ht="15.95" customHeight="1">
      <c r="B5986" s="37"/>
    </row>
    <row r="5987" spans="2:2" ht="15.95" customHeight="1">
      <c r="B5987" s="37"/>
    </row>
    <row r="5988" spans="2:2" ht="15.95" customHeight="1">
      <c r="B5988" s="37"/>
    </row>
    <row r="5989" spans="2:2" ht="15.95" customHeight="1">
      <c r="B5989" s="37"/>
    </row>
    <row r="5990" spans="2:2" ht="15.95" customHeight="1">
      <c r="B5990" s="37"/>
    </row>
    <row r="5991" spans="2:2" ht="15.95" customHeight="1">
      <c r="B5991" s="37"/>
    </row>
    <row r="5992" spans="2:2" ht="15.95" customHeight="1">
      <c r="B5992" s="37"/>
    </row>
    <row r="5993" spans="2:2" ht="15.95" customHeight="1">
      <c r="B5993" s="37"/>
    </row>
    <row r="5994" spans="2:2" ht="15.95" customHeight="1">
      <c r="B5994" s="37"/>
    </row>
    <row r="5995" spans="2:2" ht="15.95" customHeight="1">
      <c r="B5995" s="37"/>
    </row>
    <row r="5996" spans="2:2" ht="15.95" customHeight="1">
      <c r="B5996" s="37"/>
    </row>
    <row r="5997" spans="2:2" ht="15.95" customHeight="1">
      <c r="B5997" s="37"/>
    </row>
    <row r="5998" spans="2:2" ht="15.95" customHeight="1">
      <c r="B5998" s="37"/>
    </row>
    <row r="5999" spans="2:2" ht="15.95" customHeight="1">
      <c r="B5999" s="37"/>
    </row>
    <row r="6000" spans="2:2" ht="15.95" customHeight="1">
      <c r="B6000" s="37"/>
    </row>
    <row r="6001" spans="2:2" ht="15.95" customHeight="1">
      <c r="B6001" s="37"/>
    </row>
    <row r="6002" spans="2:2" ht="15.95" customHeight="1">
      <c r="B6002" s="37"/>
    </row>
    <row r="6003" spans="2:2" ht="15.95" customHeight="1">
      <c r="B6003" s="37"/>
    </row>
    <row r="6004" spans="2:2" ht="15.95" customHeight="1">
      <c r="B6004" s="37"/>
    </row>
    <row r="6005" spans="2:2" ht="15.95" customHeight="1">
      <c r="B6005" s="37"/>
    </row>
    <row r="6006" spans="2:2" ht="15.95" customHeight="1">
      <c r="B6006" s="37"/>
    </row>
    <row r="6007" spans="2:2" ht="15.95" customHeight="1">
      <c r="B6007" s="37"/>
    </row>
    <row r="6008" spans="2:2" ht="15.95" customHeight="1">
      <c r="B6008" s="37"/>
    </row>
    <row r="6009" spans="2:2" ht="15.95" customHeight="1">
      <c r="B6009" s="37"/>
    </row>
    <row r="6010" spans="2:2" ht="15.95" customHeight="1">
      <c r="B6010" s="37"/>
    </row>
    <row r="6011" spans="2:2" ht="15.95" customHeight="1">
      <c r="B6011" s="37"/>
    </row>
    <row r="6012" spans="2:2" ht="15.95" customHeight="1">
      <c r="B6012" s="37"/>
    </row>
    <row r="6013" spans="2:2" ht="15.95" customHeight="1">
      <c r="B6013" s="37"/>
    </row>
    <row r="6014" spans="2:2" ht="15.95" customHeight="1">
      <c r="B6014" s="37"/>
    </row>
    <row r="6015" spans="2:2" ht="15.95" customHeight="1">
      <c r="B6015" s="37"/>
    </row>
    <row r="6016" spans="2:2" ht="15.95" customHeight="1">
      <c r="B6016" s="37"/>
    </row>
    <row r="6017" spans="2:2" ht="15.95" customHeight="1">
      <c r="B6017" s="37"/>
    </row>
    <row r="6018" spans="2:2" ht="15.95" customHeight="1">
      <c r="B6018" s="37"/>
    </row>
    <row r="6019" spans="2:2" ht="15.95" customHeight="1">
      <c r="B6019" s="37"/>
    </row>
    <row r="6020" spans="2:2" ht="15.95" customHeight="1">
      <c r="B6020" s="37"/>
    </row>
    <row r="6021" spans="2:2" ht="15.95" customHeight="1">
      <c r="B6021" s="37"/>
    </row>
    <row r="6022" spans="2:2" ht="15.95" customHeight="1">
      <c r="B6022" s="37"/>
    </row>
    <row r="6023" spans="2:2" ht="15.95" customHeight="1">
      <c r="B6023" s="37"/>
    </row>
    <row r="6024" spans="2:2" ht="15.95" customHeight="1">
      <c r="B6024" s="37"/>
    </row>
    <row r="6025" spans="2:2" ht="15.95" customHeight="1">
      <c r="B6025" s="37"/>
    </row>
    <row r="6026" spans="2:2" ht="15.95" customHeight="1">
      <c r="B6026" s="37"/>
    </row>
    <row r="6027" spans="2:2" ht="15.95" customHeight="1">
      <c r="B6027" s="37"/>
    </row>
    <row r="6028" spans="2:2" ht="15.95" customHeight="1">
      <c r="B6028" s="37"/>
    </row>
    <row r="6029" spans="2:2" ht="15.95" customHeight="1">
      <c r="B6029" s="37"/>
    </row>
    <row r="6030" spans="2:2" ht="15.95" customHeight="1">
      <c r="B6030" s="37"/>
    </row>
    <row r="6031" spans="2:2" ht="15.95" customHeight="1">
      <c r="B6031" s="37"/>
    </row>
    <row r="6032" spans="2:2" ht="15.95" customHeight="1">
      <c r="B6032" s="37"/>
    </row>
    <row r="6033" spans="2:2" ht="15.95" customHeight="1">
      <c r="B6033" s="37"/>
    </row>
    <row r="6034" spans="2:2" ht="15.95" customHeight="1">
      <c r="B6034" s="37"/>
    </row>
    <row r="6035" spans="2:2" ht="15.95" customHeight="1">
      <c r="B6035" s="37"/>
    </row>
    <row r="6036" spans="2:2" ht="15.95" customHeight="1">
      <c r="B6036" s="37"/>
    </row>
    <row r="6037" spans="2:2" ht="15.95" customHeight="1">
      <c r="B6037" s="37"/>
    </row>
    <row r="6038" spans="2:2" ht="15.95" customHeight="1">
      <c r="B6038" s="37"/>
    </row>
    <row r="6039" spans="2:2" ht="15.95" customHeight="1">
      <c r="B6039" s="37"/>
    </row>
    <row r="6040" spans="2:2" ht="15.95" customHeight="1">
      <c r="B6040" s="37"/>
    </row>
    <row r="6041" spans="2:2" ht="15.95" customHeight="1">
      <c r="B6041" s="37"/>
    </row>
    <row r="6042" spans="2:2" ht="15.95" customHeight="1">
      <c r="B6042" s="37"/>
    </row>
    <row r="6043" spans="2:2" ht="15.95" customHeight="1">
      <c r="B6043" s="37"/>
    </row>
    <row r="6044" spans="2:2" ht="15.95" customHeight="1">
      <c r="B6044" s="37"/>
    </row>
    <row r="6045" spans="2:2" ht="15.95" customHeight="1">
      <c r="B6045" s="37"/>
    </row>
    <row r="6046" spans="2:2" ht="15.95" customHeight="1">
      <c r="B6046" s="37"/>
    </row>
    <row r="6047" spans="2:2" ht="15.95" customHeight="1">
      <c r="B6047" s="37"/>
    </row>
    <row r="6048" spans="2:2" ht="15.95" customHeight="1">
      <c r="B6048" s="37"/>
    </row>
    <row r="6049" spans="2:2" ht="15.95" customHeight="1">
      <c r="B6049" s="37"/>
    </row>
    <row r="6050" spans="2:2" ht="15.95" customHeight="1">
      <c r="B6050" s="37"/>
    </row>
    <row r="6051" spans="2:2" ht="15.95" customHeight="1">
      <c r="B6051" s="37"/>
    </row>
    <row r="6052" spans="2:2" ht="15.95" customHeight="1">
      <c r="B6052" s="37"/>
    </row>
    <row r="6053" spans="2:2" ht="15.95" customHeight="1">
      <c r="B6053" s="37"/>
    </row>
    <row r="6054" spans="2:2" ht="15.95" customHeight="1">
      <c r="B6054" s="37"/>
    </row>
    <row r="6055" spans="2:2" ht="15.95" customHeight="1">
      <c r="B6055" s="37"/>
    </row>
    <row r="6056" spans="2:2" ht="15.95" customHeight="1">
      <c r="B6056" s="37"/>
    </row>
    <row r="6057" spans="2:2" ht="15.95" customHeight="1">
      <c r="B6057" s="37"/>
    </row>
    <row r="6058" spans="2:2" ht="15.95" customHeight="1">
      <c r="B6058" s="37"/>
    </row>
    <row r="6059" spans="2:2" ht="15.95" customHeight="1">
      <c r="B6059" s="37"/>
    </row>
    <row r="6060" spans="2:2" ht="15.95" customHeight="1">
      <c r="B6060" s="37"/>
    </row>
    <row r="6061" spans="2:2" ht="15.95" customHeight="1">
      <c r="B6061" s="37"/>
    </row>
    <row r="6062" spans="2:2" ht="15.95" customHeight="1">
      <c r="B6062" s="37"/>
    </row>
    <row r="6063" spans="2:2" ht="15.95" customHeight="1">
      <c r="B6063" s="37"/>
    </row>
    <row r="6064" spans="2:2" ht="15.95" customHeight="1">
      <c r="B6064" s="37"/>
    </row>
    <row r="6065" spans="2:2" ht="15.95" customHeight="1">
      <c r="B6065" s="37"/>
    </row>
    <row r="6066" spans="2:2" ht="15.95" customHeight="1">
      <c r="B6066" s="37"/>
    </row>
    <row r="6067" spans="2:2" ht="15.95" customHeight="1">
      <c r="B6067" s="37"/>
    </row>
    <row r="6068" spans="2:2" ht="15.95" customHeight="1">
      <c r="B6068" s="37"/>
    </row>
    <row r="6069" spans="2:2" ht="15.95" customHeight="1">
      <c r="B6069" s="37"/>
    </row>
    <row r="6070" spans="2:2" ht="15.95" customHeight="1">
      <c r="B6070" s="37"/>
    </row>
    <row r="6071" spans="2:2" ht="15.95" customHeight="1">
      <c r="B6071" s="37"/>
    </row>
    <row r="6072" spans="2:2" ht="15.95" customHeight="1">
      <c r="B6072" s="37"/>
    </row>
    <row r="6073" spans="2:2" ht="15.95" customHeight="1">
      <c r="B6073" s="37"/>
    </row>
    <row r="6074" spans="2:2" ht="15.95" customHeight="1">
      <c r="B6074" s="37"/>
    </row>
    <row r="6075" spans="2:2" ht="15.95" customHeight="1">
      <c r="B6075" s="37"/>
    </row>
    <row r="6076" spans="2:2" ht="15.95" customHeight="1">
      <c r="B6076" s="37"/>
    </row>
    <row r="6077" spans="2:2" ht="15.95" customHeight="1">
      <c r="B6077" s="37"/>
    </row>
    <row r="6078" spans="2:2" ht="15.95" customHeight="1">
      <c r="B6078" s="37"/>
    </row>
    <row r="6079" spans="2:2" ht="15.95" customHeight="1">
      <c r="B6079" s="37"/>
    </row>
    <row r="6080" spans="2:2" ht="15.95" customHeight="1">
      <c r="B6080" s="37"/>
    </row>
    <row r="6081" spans="2:2" ht="15.95" customHeight="1">
      <c r="B6081" s="37"/>
    </row>
    <row r="6082" spans="2:2" ht="15.95" customHeight="1">
      <c r="B6082" s="37"/>
    </row>
    <row r="6083" spans="2:2" ht="15.95" customHeight="1">
      <c r="B6083" s="37"/>
    </row>
    <row r="6084" spans="2:2" ht="15.95" customHeight="1">
      <c r="B6084" s="37"/>
    </row>
    <row r="6085" spans="2:2" ht="15.95" customHeight="1">
      <c r="B6085" s="37"/>
    </row>
    <row r="6086" spans="2:2" ht="15.95" customHeight="1">
      <c r="B6086" s="37"/>
    </row>
    <row r="6087" spans="2:2" ht="15.95" customHeight="1">
      <c r="B6087" s="37"/>
    </row>
    <row r="6088" spans="2:2" ht="15.95" customHeight="1">
      <c r="B6088" s="37"/>
    </row>
    <row r="6089" spans="2:2" ht="15.95" customHeight="1">
      <c r="B6089" s="37"/>
    </row>
    <row r="6090" spans="2:2" ht="15.95" customHeight="1">
      <c r="B6090" s="37"/>
    </row>
    <row r="6091" spans="2:2" ht="15.95" customHeight="1">
      <c r="B6091" s="37"/>
    </row>
    <row r="6092" spans="2:2" ht="15.95" customHeight="1">
      <c r="B6092" s="37"/>
    </row>
    <row r="6093" spans="2:2" ht="15.95" customHeight="1">
      <c r="B6093" s="37"/>
    </row>
    <row r="6094" spans="2:2" ht="15.95" customHeight="1">
      <c r="B6094" s="37"/>
    </row>
    <row r="6095" spans="2:2" ht="15.95" customHeight="1">
      <c r="B6095" s="37"/>
    </row>
    <row r="6096" spans="2:2" ht="15.95" customHeight="1">
      <c r="B6096" s="37"/>
    </row>
    <row r="6097" spans="2:2" ht="15.95" customHeight="1">
      <c r="B6097" s="37"/>
    </row>
    <row r="6098" spans="2:2" ht="15.95" customHeight="1">
      <c r="B6098" s="37"/>
    </row>
    <row r="6099" spans="2:2" ht="15.95" customHeight="1">
      <c r="B6099" s="37"/>
    </row>
    <row r="6100" spans="2:2" ht="15.95" customHeight="1">
      <c r="B6100" s="37"/>
    </row>
    <row r="6101" spans="2:2" ht="15.95" customHeight="1">
      <c r="B6101" s="37"/>
    </row>
    <row r="6102" spans="2:2" ht="15.95" customHeight="1">
      <c r="B6102" s="37"/>
    </row>
    <row r="6103" spans="2:2" ht="15.95" customHeight="1">
      <c r="B6103" s="37"/>
    </row>
    <row r="6104" spans="2:2" ht="15.95" customHeight="1">
      <c r="B6104" s="37"/>
    </row>
    <row r="6105" spans="2:2" ht="15.95" customHeight="1">
      <c r="B6105" s="37"/>
    </row>
    <row r="6106" spans="2:2" ht="15.95" customHeight="1">
      <c r="B6106" s="37"/>
    </row>
    <row r="6107" spans="2:2" ht="15.95" customHeight="1">
      <c r="B6107" s="37"/>
    </row>
    <row r="6108" spans="2:2" ht="15.95" customHeight="1">
      <c r="B6108" s="37"/>
    </row>
    <row r="6109" spans="2:2" ht="15.95" customHeight="1">
      <c r="B6109" s="37"/>
    </row>
    <row r="6110" spans="2:2" ht="15.95" customHeight="1">
      <c r="B6110" s="37"/>
    </row>
    <row r="6111" spans="2:2" ht="15.95" customHeight="1">
      <c r="B6111" s="37"/>
    </row>
    <row r="6112" spans="2:2" ht="15.95" customHeight="1">
      <c r="B6112" s="37"/>
    </row>
    <row r="6113" spans="2:2" ht="15.95" customHeight="1">
      <c r="B6113" s="37"/>
    </row>
    <row r="6114" spans="2:2" ht="15.95" customHeight="1">
      <c r="B6114" s="37"/>
    </row>
    <row r="6115" spans="2:2" ht="15.95" customHeight="1">
      <c r="B6115" s="37"/>
    </row>
    <row r="6116" spans="2:2" ht="15.95" customHeight="1">
      <c r="B6116" s="37"/>
    </row>
    <row r="6117" spans="2:2" ht="15.95" customHeight="1">
      <c r="B6117" s="37"/>
    </row>
    <row r="6118" spans="2:2" ht="15.95" customHeight="1">
      <c r="B6118" s="37"/>
    </row>
    <row r="6119" spans="2:2" ht="15.95" customHeight="1">
      <c r="B6119" s="37"/>
    </row>
    <row r="6120" spans="2:2" ht="15.95" customHeight="1">
      <c r="B6120" s="37"/>
    </row>
    <row r="6121" spans="2:2" ht="15.95" customHeight="1">
      <c r="B6121" s="37"/>
    </row>
    <row r="6122" spans="2:2" ht="15.95" customHeight="1">
      <c r="B6122" s="37"/>
    </row>
    <row r="6123" spans="2:2" ht="15.95" customHeight="1">
      <c r="B6123" s="37"/>
    </row>
    <row r="6124" spans="2:2" ht="15.95" customHeight="1">
      <c r="B6124" s="37"/>
    </row>
    <row r="6125" spans="2:2" ht="15.95" customHeight="1">
      <c r="B6125" s="37"/>
    </row>
    <row r="6126" spans="2:2" ht="15.95" customHeight="1">
      <c r="B6126" s="37"/>
    </row>
    <row r="6127" spans="2:2" ht="15.95" customHeight="1">
      <c r="B6127" s="37"/>
    </row>
    <row r="6128" spans="2:2" ht="15.95" customHeight="1">
      <c r="B6128" s="37"/>
    </row>
    <row r="6129" spans="2:2" ht="15.95" customHeight="1">
      <c r="B6129" s="37"/>
    </row>
    <row r="6130" spans="2:2" ht="15.95" customHeight="1">
      <c r="B6130" s="37"/>
    </row>
    <row r="6131" spans="2:2" ht="15.95" customHeight="1">
      <c r="B6131" s="37"/>
    </row>
    <row r="6132" spans="2:2" ht="15.95" customHeight="1">
      <c r="B6132" s="37"/>
    </row>
    <row r="6133" spans="2:2" ht="15.95" customHeight="1">
      <c r="B6133" s="37"/>
    </row>
    <row r="6134" spans="2:2" ht="15.95" customHeight="1">
      <c r="B6134" s="37"/>
    </row>
    <row r="6135" spans="2:2" ht="15.95" customHeight="1">
      <c r="B6135" s="37"/>
    </row>
    <row r="6136" spans="2:2" ht="15.95" customHeight="1">
      <c r="B6136" s="37"/>
    </row>
    <row r="6137" spans="2:2" ht="15.95" customHeight="1">
      <c r="B6137" s="37"/>
    </row>
    <row r="6138" spans="2:2" ht="15.95" customHeight="1">
      <c r="B6138" s="37"/>
    </row>
    <row r="6139" spans="2:2" ht="15.95" customHeight="1">
      <c r="B6139" s="37"/>
    </row>
    <row r="6140" spans="2:2" ht="15.95" customHeight="1">
      <c r="B6140" s="37"/>
    </row>
    <row r="6141" spans="2:2" ht="15.95" customHeight="1">
      <c r="B6141" s="37"/>
    </row>
    <row r="6142" spans="2:2" ht="15.95" customHeight="1">
      <c r="B6142" s="37"/>
    </row>
    <row r="6143" spans="2:2" ht="15.95" customHeight="1">
      <c r="B6143" s="37"/>
    </row>
    <row r="6144" spans="2:2" ht="15.95" customHeight="1">
      <c r="B6144" s="37"/>
    </row>
    <row r="6145" spans="2:2" ht="15.95" customHeight="1">
      <c r="B6145" s="37"/>
    </row>
    <row r="6146" spans="2:2" ht="15.95" customHeight="1">
      <c r="B6146" s="37"/>
    </row>
    <row r="6147" spans="2:2" ht="15.95" customHeight="1">
      <c r="B6147" s="37"/>
    </row>
    <row r="6148" spans="2:2" ht="15.95" customHeight="1">
      <c r="B6148" s="37"/>
    </row>
    <row r="6149" spans="2:2" ht="15.95" customHeight="1">
      <c r="B6149" s="37"/>
    </row>
    <row r="6150" spans="2:2" ht="15.95" customHeight="1">
      <c r="B6150" s="37"/>
    </row>
    <row r="6151" spans="2:2" ht="15.95" customHeight="1">
      <c r="B6151" s="37"/>
    </row>
    <row r="6152" spans="2:2" ht="15.95" customHeight="1">
      <c r="B6152" s="37"/>
    </row>
    <row r="6153" spans="2:2" ht="15.95" customHeight="1">
      <c r="B6153" s="37"/>
    </row>
    <row r="6154" spans="2:2" ht="15.95" customHeight="1">
      <c r="B6154" s="37"/>
    </row>
    <row r="6155" spans="2:2" ht="15.95" customHeight="1">
      <c r="B6155" s="37"/>
    </row>
    <row r="6156" spans="2:2" ht="15.95" customHeight="1">
      <c r="B6156" s="37"/>
    </row>
    <row r="6157" spans="2:2" ht="15.95" customHeight="1">
      <c r="B6157" s="37"/>
    </row>
    <row r="6158" spans="2:2" ht="15.95" customHeight="1">
      <c r="B6158" s="37"/>
    </row>
    <row r="6159" spans="2:2" ht="15.95" customHeight="1">
      <c r="B6159" s="37"/>
    </row>
    <row r="6160" spans="2:2" ht="15.95" customHeight="1">
      <c r="B6160" s="37"/>
    </row>
    <row r="6161" spans="2:2" ht="15.95" customHeight="1">
      <c r="B6161" s="37"/>
    </row>
    <row r="6162" spans="2:2" ht="15.95" customHeight="1">
      <c r="B6162" s="37"/>
    </row>
    <row r="6163" spans="2:2" ht="15.95" customHeight="1">
      <c r="B6163" s="37"/>
    </row>
    <row r="6164" spans="2:2" ht="15.95" customHeight="1">
      <c r="B6164" s="37"/>
    </row>
    <row r="6165" spans="2:2" ht="15.95" customHeight="1">
      <c r="B6165" s="37"/>
    </row>
    <row r="6166" spans="2:2" ht="15.95" customHeight="1">
      <c r="B6166" s="37"/>
    </row>
    <row r="6167" spans="2:2" ht="15.95" customHeight="1">
      <c r="B6167" s="37"/>
    </row>
    <row r="6168" spans="2:2" ht="15.95" customHeight="1">
      <c r="B6168" s="37"/>
    </row>
    <row r="6169" spans="2:2" ht="15.95" customHeight="1">
      <c r="B6169" s="37"/>
    </row>
    <row r="6170" spans="2:2" ht="15.95" customHeight="1">
      <c r="B6170" s="37"/>
    </row>
    <row r="6171" spans="2:2" ht="15.95" customHeight="1">
      <c r="B6171" s="37"/>
    </row>
    <row r="6172" spans="2:2" ht="15.95" customHeight="1">
      <c r="B6172" s="37"/>
    </row>
    <row r="6173" spans="2:2" ht="15.95" customHeight="1">
      <c r="B6173" s="37"/>
    </row>
    <row r="6174" spans="2:2" ht="15.95" customHeight="1">
      <c r="B6174" s="37"/>
    </row>
    <row r="6175" spans="2:2" ht="15.95" customHeight="1">
      <c r="B6175" s="37"/>
    </row>
    <row r="6176" spans="2:2" ht="15.95" customHeight="1">
      <c r="B6176" s="37"/>
    </row>
    <row r="6177" spans="2:2" ht="15.95" customHeight="1">
      <c r="B6177" s="37"/>
    </row>
    <row r="6178" spans="2:2" ht="15.95" customHeight="1">
      <c r="B6178" s="37"/>
    </row>
    <row r="6179" spans="2:2" ht="15.95" customHeight="1">
      <c r="B6179" s="37"/>
    </row>
    <row r="6180" spans="2:2" ht="15.95" customHeight="1">
      <c r="B6180" s="37"/>
    </row>
    <row r="6181" spans="2:2" ht="15.95" customHeight="1">
      <c r="B6181" s="37"/>
    </row>
    <row r="6182" spans="2:2" ht="15.95" customHeight="1">
      <c r="B6182" s="37"/>
    </row>
    <row r="6183" spans="2:2" ht="15.95" customHeight="1">
      <c r="B6183" s="37"/>
    </row>
    <row r="6184" spans="2:2" ht="15.95" customHeight="1">
      <c r="B6184" s="37"/>
    </row>
    <row r="6185" spans="2:2" ht="15.95" customHeight="1">
      <c r="B6185" s="37"/>
    </row>
    <row r="6186" spans="2:2" ht="15.95" customHeight="1">
      <c r="B6186" s="37"/>
    </row>
    <row r="6187" spans="2:2" ht="15.95" customHeight="1">
      <c r="B6187" s="37"/>
    </row>
    <row r="6188" spans="2:2" ht="15.95" customHeight="1">
      <c r="B6188" s="37"/>
    </row>
    <row r="6189" spans="2:2" ht="15.95" customHeight="1">
      <c r="B6189" s="37"/>
    </row>
    <row r="6190" spans="2:2" ht="15.95" customHeight="1">
      <c r="B6190" s="37"/>
    </row>
    <row r="6191" spans="2:2" ht="15.95" customHeight="1">
      <c r="B6191" s="37"/>
    </row>
    <row r="6192" spans="2:2" ht="15.95" customHeight="1">
      <c r="B6192" s="37"/>
    </row>
    <row r="6193" spans="2:2" ht="15.95" customHeight="1">
      <c r="B6193" s="37"/>
    </row>
    <row r="6194" spans="2:2" ht="15.95" customHeight="1">
      <c r="B6194" s="37"/>
    </row>
    <row r="6195" spans="2:2" ht="15.95" customHeight="1">
      <c r="B6195" s="37"/>
    </row>
    <row r="6196" spans="2:2" ht="15.95" customHeight="1">
      <c r="B6196" s="37"/>
    </row>
    <row r="6197" spans="2:2" ht="15.95" customHeight="1">
      <c r="B6197" s="37"/>
    </row>
    <row r="6198" spans="2:2" ht="15.95" customHeight="1">
      <c r="B6198" s="37"/>
    </row>
    <row r="6199" spans="2:2" ht="15.95" customHeight="1">
      <c r="B6199" s="37"/>
    </row>
    <row r="6200" spans="2:2" ht="15.95" customHeight="1">
      <c r="B6200" s="37"/>
    </row>
    <row r="6201" spans="2:2" ht="15.95" customHeight="1">
      <c r="B6201" s="37"/>
    </row>
    <row r="6202" spans="2:2" ht="15.95" customHeight="1">
      <c r="B6202" s="37"/>
    </row>
    <row r="6203" spans="2:2" ht="15.95" customHeight="1">
      <c r="B6203" s="37"/>
    </row>
    <row r="6204" spans="2:2" ht="15.95" customHeight="1">
      <c r="B6204" s="37"/>
    </row>
    <row r="6205" spans="2:2" ht="15.95" customHeight="1">
      <c r="B6205" s="37"/>
    </row>
    <row r="6206" spans="2:2" ht="15.95" customHeight="1">
      <c r="B6206" s="37"/>
    </row>
    <row r="6207" spans="2:2" ht="15.95" customHeight="1">
      <c r="B6207" s="37"/>
    </row>
    <row r="6208" spans="2:2" ht="15.95" customHeight="1">
      <c r="B6208" s="37"/>
    </row>
    <row r="6209" spans="2:2" ht="15.95" customHeight="1">
      <c r="B6209" s="37"/>
    </row>
    <row r="6210" spans="2:2" ht="15.95" customHeight="1">
      <c r="B6210" s="37"/>
    </row>
    <row r="6211" spans="2:2" ht="15.95" customHeight="1">
      <c r="B6211" s="37"/>
    </row>
    <row r="6212" spans="2:2" ht="15.95" customHeight="1">
      <c r="B6212" s="37"/>
    </row>
    <row r="6213" spans="2:2" ht="15.95" customHeight="1">
      <c r="B6213" s="37"/>
    </row>
    <row r="6214" spans="2:2" ht="15.95" customHeight="1">
      <c r="B6214" s="37"/>
    </row>
    <row r="6215" spans="2:2" ht="15.95" customHeight="1">
      <c r="B6215" s="37"/>
    </row>
    <row r="6216" spans="2:2" ht="15.95" customHeight="1">
      <c r="B6216" s="37"/>
    </row>
    <row r="6217" spans="2:2" ht="15.95" customHeight="1">
      <c r="B6217" s="37"/>
    </row>
    <row r="6218" spans="2:2" ht="15.95" customHeight="1">
      <c r="B6218" s="37"/>
    </row>
    <row r="6219" spans="2:2" ht="15.95" customHeight="1">
      <c r="B6219" s="37"/>
    </row>
    <row r="6220" spans="2:2" ht="15.95" customHeight="1">
      <c r="B6220" s="37"/>
    </row>
    <row r="6221" spans="2:2" ht="15.95" customHeight="1">
      <c r="B6221" s="37"/>
    </row>
    <row r="6222" spans="2:2" ht="15.95" customHeight="1">
      <c r="B6222" s="37"/>
    </row>
    <row r="6223" spans="2:2" ht="15.95" customHeight="1">
      <c r="B6223" s="37"/>
    </row>
    <row r="6224" spans="2:2" ht="15.95" customHeight="1">
      <c r="B6224" s="37"/>
    </row>
    <row r="6225" spans="2:2" ht="15.95" customHeight="1">
      <c r="B6225" s="37"/>
    </row>
    <row r="6226" spans="2:2" ht="15.95" customHeight="1">
      <c r="B6226" s="37"/>
    </row>
    <row r="6227" spans="2:2" ht="15.95" customHeight="1">
      <c r="B6227" s="37"/>
    </row>
    <row r="6228" spans="2:2" ht="15.95" customHeight="1">
      <c r="B6228" s="37"/>
    </row>
    <row r="6229" spans="2:2" ht="15.95" customHeight="1">
      <c r="B6229" s="37"/>
    </row>
    <row r="6230" spans="2:2" ht="15.95" customHeight="1">
      <c r="B6230" s="37"/>
    </row>
    <row r="6231" spans="2:2" ht="15.95" customHeight="1">
      <c r="B6231" s="37"/>
    </row>
    <row r="6232" spans="2:2" ht="15.95" customHeight="1">
      <c r="B6232" s="37"/>
    </row>
    <row r="6233" spans="2:2" ht="15.95" customHeight="1">
      <c r="B6233" s="37"/>
    </row>
    <row r="6234" spans="2:2" ht="15.95" customHeight="1">
      <c r="B6234" s="37"/>
    </row>
    <row r="6235" spans="2:2" ht="15.95" customHeight="1">
      <c r="B6235" s="37"/>
    </row>
    <row r="6236" spans="2:2" ht="15.95" customHeight="1">
      <c r="B6236" s="37"/>
    </row>
    <row r="6237" spans="2:2" ht="15.95" customHeight="1">
      <c r="B6237" s="37"/>
    </row>
    <row r="6238" spans="2:2" ht="15.95" customHeight="1">
      <c r="B6238" s="37"/>
    </row>
    <row r="6239" spans="2:2" ht="15.95" customHeight="1">
      <c r="B6239" s="37"/>
    </row>
    <row r="6240" spans="2:2" ht="15.95" customHeight="1">
      <c r="B6240" s="37"/>
    </row>
    <row r="6241" spans="2:2" ht="15.95" customHeight="1">
      <c r="B6241" s="37"/>
    </row>
    <row r="6242" spans="2:2" ht="15.95" customHeight="1">
      <c r="B6242" s="37"/>
    </row>
    <row r="6243" spans="2:2" ht="15.95" customHeight="1">
      <c r="B6243" s="37"/>
    </row>
    <row r="6244" spans="2:2" ht="15.95" customHeight="1">
      <c r="B6244" s="37"/>
    </row>
    <row r="6245" spans="2:2" ht="15.95" customHeight="1">
      <c r="B6245" s="37"/>
    </row>
    <row r="6246" spans="2:2" ht="15.95" customHeight="1">
      <c r="B6246" s="37"/>
    </row>
    <row r="6247" spans="2:2" ht="15.95" customHeight="1">
      <c r="B6247" s="37"/>
    </row>
    <row r="6248" spans="2:2" ht="15.95" customHeight="1">
      <c r="B6248" s="37"/>
    </row>
    <row r="6249" spans="2:2" ht="15.95" customHeight="1">
      <c r="B6249" s="37"/>
    </row>
    <row r="6250" spans="2:2" ht="15.95" customHeight="1">
      <c r="B6250" s="37"/>
    </row>
    <row r="6251" spans="2:2" ht="15.95" customHeight="1">
      <c r="B6251" s="37"/>
    </row>
    <row r="6252" spans="2:2" ht="15.95" customHeight="1">
      <c r="B6252" s="37"/>
    </row>
    <row r="6253" spans="2:2" ht="15.95" customHeight="1">
      <c r="B6253" s="37"/>
    </row>
    <row r="6254" spans="2:2" ht="15.95" customHeight="1">
      <c r="B6254" s="37"/>
    </row>
    <row r="6255" spans="2:2" ht="15.95" customHeight="1">
      <c r="B6255" s="37"/>
    </row>
    <row r="6256" spans="2:2" ht="15.95" customHeight="1">
      <c r="B6256" s="37"/>
    </row>
    <row r="6257" spans="2:2" ht="15.95" customHeight="1">
      <c r="B6257" s="37"/>
    </row>
    <row r="6258" spans="2:2" ht="15.95" customHeight="1">
      <c r="B6258" s="37"/>
    </row>
    <row r="6259" spans="2:2" ht="15.95" customHeight="1">
      <c r="B6259" s="37"/>
    </row>
    <row r="6260" spans="2:2" ht="15.95" customHeight="1">
      <c r="B6260" s="37"/>
    </row>
    <row r="6261" spans="2:2" ht="15.95" customHeight="1">
      <c r="B6261" s="37"/>
    </row>
    <row r="6262" spans="2:2" ht="15.95" customHeight="1">
      <c r="B6262" s="37"/>
    </row>
    <row r="6263" spans="2:2" ht="15.95" customHeight="1">
      <c r="B6263" s="37"/>
    </row>
    <row r="6264" spans="2:2" ht="15.95" customHeight="1">
      <c r="B6264" s="37"/>
    </row>
    <row r="6265" spans="2:2" ht="15.95" customHeight="1">
      <c r="B6265" s="37"/>
    </row>
    <row r="6266" spans="2:2" ht="15.95" customHeight="1">
      <c r="B6266" s="37"/>
    </row>
    <row r="6267" spans="2:2" ht="15.95" customHeight="1">
      <c r="B6267" s="37"/>
    </row>
    <row r="6268" spans="2:2" ht="15.95" customHeight="1">
      <c r="B6268" s="37"/>
    </row>
    <row r="6269" spans="2:2" ht="15.95" customHeight="1">
      <c r="B6269" s="37"/>
    </row>
    <row r="6270" spans="2:2" ht="15.95" customHeight="1">
      <c r="B6270" s="37"/>
    </row>
    <row r="6271" spans="2:2" ht="15.95" customHeight="1">
      <c r="B6271" s="37"/>
    </row>
    <row r="6272" spans="2:2" ht="15.95" customHeight="1">
      <c r="B6272" s="37"/>
    </row>
    <row r="6273" spans="2:2" ht="15.95" customHeight="1">
      <c r="B6273" s="37"/>
    </row>
    <row r="6274" spans="2:2" ht="15.95" customHeight="1">
      <c r="B6274" s="37"/>
    </row>
    <row r="6275" spans="2:2" ht="15.95" customHeight="1">
      <c r="B6275" s="37"/>
    </row>
    <row r="6276" spans="2:2" ht="15.95" customHeight="1">
      <c r="B6276" s="37"/>
    </row>
    <row r="6277" spans="2:2" ht="15.95" customHeight="1">
      <c r="B6277" s="37"/>
    </row>
    <row r="6278" spans="2:2" ht="15.95" customHeight="1">
      <c r="B6278" s="37"/>
    </row>
    <row r="6279" spans="2:2" ht="15.95" customHeight="1">
      <c r="B6279" s="37"/>
    </row>
    <row r="6280" spans="2:2" ht="15.95" customHeight="1">
      <c r="B6280" s="37"/>
    </row>
    <row r="6281" spans="2:2" ht="15.95" customHeight="1">
      <c r="B6281" s="37"/>
    </row>
    <row r="6282" spans="2:2" ht="15.95" customHeight="1">
      <c r="B6282" s="37"/>
    </row>
    <row r="6283" spans="2:2" ht="15.95" customHeight="1">
      <c r="B6283" s="37"/>
    </row>
    <row r="6284" spans="2:2" ht="15.95" customHeight="1">
      <c r="B6284" s="37"/>
    </row>
    <row r="6285" spans="2:2" ht="15.95" customHeight="1">
      <c r="B6285" s="37"/>
    </row>
    <row r="6286" spans="2:2" ht="15.95" customHeight="1">
      <c r="B6286" s="37"/>
    </row>
    <row r="6287" spans="2:2" ht="15.95" customHeight="1">
      <c r="B6287" s="37"/>
    </row>
    <row r="6288" spans="2:2" ht="15.95" customHeight="1">
      <c r="B6288" s="37"/>
    </row>
    <row r="6289" spans="2:2" ht="15.95" customHeight="1">
      <c r="B6289" s="37"/>
    </row>
    <row r="6290" spans="2:2" ht="15.95" customHeight="1">
      <c r="B6290" s="37"/>
    </row>
    <row r="6291" spans="2:2" ht="15.95" customHeight="1">
      <c r="B6291" s="37"/>
    </row>
    <row r="6292" spans="2:2" ht="15.95" customHeight="1">
      <c r="B6292" s="37"/>
    </row>
    <row r="6293" spans="2:2" ht="15.95" customHeight="1">
      <c r="B6293" s="37"/>
    </row>
    <row r="6294" spans="2:2" ht="15.95" customHeight="1">
      <c r="B6294" s="37"/>
    </row>
    <row r="6295" spans="2:2" ht="15.95" customHeight="1">
      <c r="B6295" s="37"/>
    </row>
    <row r="6296" spans="2:2" ht="15.95" customHeight="1">
      <c r="B6296" s="37"/>
    </row>
    <row r="6297" spans="2:2" ht="15.95" customHeight="1">
      <c r="B6297" s="37"/>
    </row>
    <row r="6298" spans="2:2" ht="15.95" customHeight="1">
      <c r="B6298" s="37"/>
    </row>
    <row r="6299" spans="2:2" ht="15.95" customHeight="1">
      <c r="B6299" s="37"/>
    </row>
    <row r="6300" spans="2:2" ht="15.95" customHeight="1">
      <c r="B6300" s="37"/>
    </row>
    <row r="6301" spans="2:2" ht="15.95" customHeight="1">
      <c r="B6301" s="37"/>
    </row>
    <row r="6302" spans="2:2" ht="15.95" customHeight="1">
      <c r="B6302" s="37"/>
    </row>
    <row r="6303" spans="2:2" ht="15.95" customHeight="1">
      <c r="B6303" s="37"/>
    </row>
    <row r="6304" spans="2:2" ht="15.95" customHeight="1">
      <c r="B6304" s="37"/>
    </row>
    <row r="6305" spans="2:2" ht="15.95" customHeight="1">
      <c r="B6305" s="37"/>
    </row>
    <row r="6306" spans="2:2" ht="15.95" customHeight="1">
      <c r="B6306" s="37"/>
    </row>
    <row r="6307" spans="2:2" ht="15.95" customHeight="1">
      <c r="B6307" s="37"/>
    </row>
    <row r="6308" spans="2:2" ht="15.95" customHeight="1">
      <c r="B6308" s="37"/>
    </row>
    <row r="6309" spans="2:2" ht="15.95" customHeight="1">
      <c r="B6309" s="37"/>
    </row>
    <row r="6310" spans="2:2" ht="15.95" customHeight="1">
      <c r="B6310" s="37"/>
    </row>
    <row r="6311" spans="2:2" ht="15.95" customHeight="1">
      <c r="B6311" s="37"/>
    </row>
    <row r="6312" spans="2:2" ht="15.95" customHeight="1">
      <c r="B6312" s="37"/>
    </row>
    <row r="6313" spans="2:2" ht="15.95" customHeight="1">
      <c r="B6313" s="37"/>
    </row>
    <row r="6314" spans="2:2" ht="15.95" customHeight="1">
      <c r="B6314" s="37"/>
    </row>
    <row r="6315" spans="2:2" ht="15.95" customHeight="1">
      <c r="B6315" s="37"/>
    </row>
    <row r="6316" spans="2:2" ht="15.95" customHeight="1">
      <c r="B6316" s="37"/>
    </row>
    <row r="6317" spans="2:2" ht="15.95" customHeight="1">
      <c r="B6317" s="37"/>
    </row>
    <row r="6318" spans="2:2" ht="15.95" customHeight="1">
      <c r="B6318" s="37"/>
    </row>
    <row r="6319" spans="2:2" ht="15.95" customHeight="1">
      <c r="B6319" s="37"/>
    </row>
    <row r="6320" spans="2:2" ht="15.95" customHeight="1">
      <c r="B6320" s="37"/>
    </row>
    <row r="6321" spans="2:2" ht="15.95" customHeight="1">
      <c r="B6321" s="37"/>
    </row>
    <row r="6322" spans="2:2" ht="15.95" customHeight="1">
      <c r="B6322" s="37"/>
    </row>
    <row r="6323" spans="2:2" ht="15.95" customHeight="1">
      <c r="B6323" s="37"/>
    </row>
    <row r="6324" spans="2:2" ht="15.95" customHeight="1">
      <c r="B6324" s="37"/>
    </row>
    <row r="6325" spans="2:2" ht="15.95" customHeight="1">
      <c r="B6325" s="37"/>
    </row>
    <row r="6326" spans="2:2" ht="15.95" customHeight="1">
      <c r="B6326" s="37"/>
    </row>
    <row r="6327" spans="2:2" ht="15.95" customHeight="1">
      <c r="B6327" s="37"/>
    </row>
    <row r="6328" spans="2:2" ht="15.95" customHeight="1">
      <c r="B6328" s="37"/>
    </row>
    <row r="6329" spans="2:2" ht="15.95" customHeight="1">
      <c r="B6329" s="37"/>
    </row>
    <row r="6330" spans="2:2" ht="15.95" customHeight="1">
      <c r="B6330" s="37"/>
    </row>
    <row r="6331" spans="2:2" ht="15.95" customHeight="1">
      <c r="B6331" s="37"/>
    </row>
    <row r="6332" spans="2:2" ht="15.95" customHeight="1">
      <c r="B6332" s="37"/>
    </row>
    <row r="6333" spans="2:2" ht="15.95" customHeight="1">
      <c r="B6333" s="37"/>
    </row>
    <row r="6334" spans="2:2" ht="15.95" customHeight="1">
      <c r="B6334" s="37"/>
    </row>
    <row r="6335" spans="2:2" ht="15.95" customHeight="1">
      <c r="B6335" s="37"/>
    </row>
    <row r="6336" spans="2:2" ht="15.95" customHeight="1">
      <c r="B6336" s="37"/>
    </row>
    <row r="6337" spans="2:2" ht="15.95" customHeight="1">
      <c r="B6337" s="37"/>
    </row>
    <row r="6338" spans="2:2" ht="15.95" customHeight="1">
      <c r="B6338" s="37"/>
    </row>
    <row r="6339" spans="2:2" ht="15.95" customHeight="1">
      <c r="B6339" s="37"/>
    </row>
    <row r="6340" spans="2:2" ht="15.95" customHeight="1">
      <c r="B6340" s="37"/>
    </row>
    <row r="6341" spans="2:2" ht="15.95" customHeight="1">
      <c r="B6341" s="37"/>
    </row>
    <row r="6342" spans="2:2" ht="15.95" customHeight="1">
      <c r="B6342" s="37"/>
    </row>
    <row r="6343" spans="2:2" ht="15.95" customHeight="1">
      <c r="B6343" s="37"/>
    </row>
    <row r="6344" spans="2:2" ht="15.95" customHeight="1">
      <c r="B6344" s="37"/>
    </row>
    <row r="6345" spans="2:2" ht="15.95" customHeight="1">
      <c r="B6345" s="37"/>
    </row>
    <row r="6346" spans="2:2" ht="15.95" customHeight="1">
      <c r="B6346" s="37"/>
    </row>
    <row r="6347" spans="2:2" ht="15.95" customHeight="1">
      <c r="B6347" s="37"/>
    </row>
    <row r="6348" spans="2:2" ht="15.95" customHeight="1">
      <c r="B6348" s="37"/>
    </row>
    <row r="6349" spans="2:2" ht="15.95" customHeight="1">
      <c r="B6349" s="37"/>
    </row>
    <row r="6350" spans="2:2" ht="15.95" customHeight="1">
      <c r="B6350" s="37"/>
    </row>
    <row r="6351" spans="2:2" ht="15.95" customHeight="1">
      <c r="B6351" s="37"/>
    </row>
    <row r="6352" spans="2:2" ht="15.95" customHeight="1">
      <c r="B6352" s="37"/>
    </row>
    <row r="6353" spans="2:2" ht="15.95" customHeight="1">
      <c r="B6353" s="37"/>
    </row>
    <row r="6354" spans="2:2" ht="15.95" customHeight="1">
      <c r="B6354" s="37"/>
    </row>
    <row r="6355" spans="2:2" ht="15.95" customHeight="1">
      <c r="B6355" s="37"/>
    </row>
    <row r="6356" spans="2:2" ht="15.95" customHeight="1">
      <c r="B6356" s="37"/>
    </row>
    <row r="6357" spans="2:2" ht="15.95" customHeight="1">
      <c r="B6357" s="37"/>
    </row>
    <row r="6358" spans="2:2" ht="15.95" customHeight="1">
      <c r="B6358" s="37"/>
    </row>
    <row r="6359" spans="2:2" ht="15.95" customHeight="1">
      <c r="B6359" s="37"/>
    </row>
    <row r="6360" spans="2:2" ht="15.95" customHeight="1">
      <c r="B6360" s="37"/>
    </row>
    <row r="6361" spans="2:2" ht="15.95" customHeight="1">
      <c r="B6361" s="37"/>
    </row>
    <row r="6362" spans="2:2" ht="15.95" customHeight="1">
      <c r="B6362" s="37"/>
    </row>
    <row r="6363" spans="2:2" ht="15.95" customHeight="1">
      <c r="B6363" s="37"/>
    </row>
    <row r="6364" spans="2:2" ht="15.95" customHeight="1">
      <c r="B6364" s="37"/>
    </row>
    <row r="6365" spans="2:2" ht="15.95" customHeight="1">
      <c r="B6365" s="37"/>
    </row>
    <row r="6366" spans="2:2" ht="15.95" customHeight="1">
      <c r="B6366" s="37"/>
    </row>
    <row r="6367" spans="2:2" ht="15.95" customHeight="1">
      <c r="B6367" s="37"/>
    </row>
    <row r="6368" spans="2:2" ht="15.95" customHeight="1">
      <c r="B6368" s="37"/>
    </row>
    <row r="6369" spans="2:2" ht="15.95" customHeight="1">
      <c r="B6369" s="37"/>
    </row>
    <row r="6370" spans="2:2" ht="15.95" customHeight="1">
      <c r="B6370" s="37"/>
    </row>
    <row r="6371" spans="2:2" ht="15.95" customHeight="1">
      <c r="B6371" s="37"/>
    </row>
    <row r="6372" spans="2:2" ht="15.95" customHeight="1">
      <c r="B6372" s="37"/>
    </row>
    <row r="6373" spans="2:2" ht="15.95" customHeight="1">
      <c r="B6373" s="37"/>
    </row>
    <row r="6374" spans="2:2" ht="15.95" customHeight="1">
      <c r="B6374" s="37"/>
    </row>
    <row r="6375" spans="2:2" ht="15.95" customHeight="1">
      <c r="B6375" s="37"/>
    </row>
    <row r="6376" spans="2:2" ht="15.95" customHeight="1">
      <c r="B6376" s="37"/>
    </row>
    <row r="6377" spans="2:2" ht="15.95" customHeight="1">
      <c r="B6377" s="37"/>
    </row>
    <row r="6378" spans="2:2" ht="15.95" customHeight="1">
      <c r="B6378" s="37"/>
    </row>
    <row r="6379" spans="2:2" ht="15.95" customHeight="1">
      <c r="B6379" s="37"/>
    </row>
    <row r="6380" spans="2:2" ht="15.95" customHeight="1">
      <c r="B6380" s="37"/>
    </row>
    <row r="6381" spans="2:2" ht="15.95" customHeight="1">
      <c r="B6381" s="37"/>
    </row>
    <row r="6382" spans="2:2" ht="15.95" customHeight="1">
      <c r="B6382" s="37"/>
    </row>
    <row r="6383" spans="2:2" ht="15.95" customHeight="1">
      <c r="B6383" s="37"/>
    </row>
    <row r="6384" spans="2:2" ht="15.95" customHeight="1">
      <c r="B6384" s="37"/>
    </row>
    <row r="6385" spans="2:2" ht="15.95" customHeight="1">
      <c r="B6385" s="37"/>
    </row>
    <row r="6386" spans="2:2" ht="15.95" customHeight="1">
      <c r="B6386" s="37"/>
    </row>
    <row r="6387" spans="2:2" ht="15.95" customHeight="1">
      <c r="B6387" s="37"/>
    </row>
    <row r="6388" spans="2:2" ht="15.95" customHeight="1">
      <c r="B6388" s="37"/>
    </row>
    <row r="6389" spans="2:2" ht="15.95" customHeight="1">
      <c r="B6389" s="37"/>
    </row>
    <row r="6390" spans="2:2" ht="15.95" customHeight="1">
      <c r="B6390" s="37"/>
    </row>
    <row r="6391" spans="2:2" ht="15.95" customHeight="1">
      <c r="B6391" s="37"/>
    </row>
    <row r="6392" spans="2:2" ht="15.95" customHeight="1">
      <c r="B6392" s="37"/>
    </row>
    <row r="6393" spans="2:2" ht="15.95" customHeight="1">
      <c r="B6393" s="37"/>
    </row>
    <row r="6394" spans="2:2" ht="15.95" customHeight="1">
      <c r="B6394" s="37"/>
    </row>
    <row r="6395" spans="2:2" ht="15.95" customHeight="1">
      <c r="B6395" s="37"/>
    </row>
    <row r="6396" spans="2:2" ht="15.95" customHeight="1">
      <c r="B6396" s="37"/>
    </row>
    <row r="6397" spans="2:2" ht="15.95" customHeight="1">
      <c r="B6397" s="37"/>
    </row>
    <row r="6398" spans="2:2" ht="15.95" customHeight="1">
      <c r="B6398" s="37"/>
    </row>
    <row r="6399" spans="2:2" ht="15.95" customHeight="1">
      <c r="B6399" s="37"/>
    </row>
    <row r="6400" spans="2:2" ht="15.95" customHeight="1">
      <c r="B6400" s="37"/>
    </row>
    <row r="6401" spans="2:2" ht="15.95" customHeight="1">
      <c r="B6401" s="37"/>
    </row>
    <row r="6402" spans="2:2" ht="15.95" customHeight="1">
      <c r="B6402" s="37"/>
    </row>
    <row r="6403" spans="2:2" ht="15.95" customHeight="1">
      <c r="B6403" s="37"/>
    </row>
    <row r="6404" spans="2:2" ht="15.95" customHeight="1">
      <c r="B6404" s="37"/>
    </row>
    <row r="6405" spans="2:2" ht="15.95" customHeight="1">
      <c r="B6405" s="37"/>
    </row>
    <row r="6406" spans="2:2" ht="15.95" customHeight="1">
      <c r="B6406" s="37"/>
    </row>
    <row r="6407" spans="2:2" ht="15.95" customHeight="1">
      <c r="B6407" s="37"/>
    </row>
    <row r="6408" spans="2:2" ht="15.95" customHeight="1">
      <c r="B6408" s="37"/>
    </row>
    <row r="6409" spans="2:2" ht="15.95" customHeight="1">
      <c r="B6409" s="37"/>
    </row>
    <row r="6410" spans="2:2" ht="15.95" customHeight="1">
      <c r="B6410" s="37"/>
    </row>
    <row r="6411" spans="2:2" ht="15.95" customHeight="1">
      <c r="B6411" s="37"/>
    </row>
    <row r="6412" spans="2:2" ht="15.95" customHeight="1">
      <c r="B6412" s="37"/>
    </row>
    <row r="6413" spans="2:2" ht="15.95" customHeight="1">
      <c r="B6413" s="37"/>
    </row>
    <row r="6414" spans="2:2" ht="15.95" customHeight="1">
      <c r="B6414" s="37"/>
    </row>
    <row r="6415" spans="2:2" ht="15.95" customHeight="1">
      <c r="B6415" s="37"/>
    </row>
    <row r="6416" spans="2:2" ht="15.95" customHeight="1">
      <c r="B6416" s="37"/>
    </row>
    <row r="6417" spans="2:2" ht="15.95" customHeight="1">
      <c r="B6417" s="37"/>
    </row>
    <row r="6418" spans="2:2" ht="15.95" customHeight="1">
      <c r="B6418" s="37"/>
    </row>
    <row r="6419" spans="2:2" ht="15.95" customHeight="1">
      <c r="B6419" s="37"/>
    </row>
    <row r="6420" spans="2:2" ht="15.95" customHeight="1">
      <c r="B6420" s="37"/>
    </row>
    <row r="6421" spans="2:2" ht="15.95" customHeight="1">
      <c r="B6421" s="37"/>
    </row>
    <row r="6422" spans="2:2" ht="15.95" customHeight="1">
      <c r="B6422" s="37"/>
    </row>
    <row r="6423" spans="2:2" ht="15.95" customHeight="1">
      <c r="B6423" s="37"/>
    </row>
    <row r="6424" spans="2:2" ht="15.95" customHeight="1">
      <c r="B6424" s="37"/>
    </row>
    <row r="6425" spans="2:2" ht="15.95" customHeight="1">
      <c r="B6425" s="37"/>
    </row>
    <row r="6426" spans="2:2" ht="15.95" customHeight="1">
      <c r="B6426" s="37"/>
    </row>
    <row r="6427" spans="2:2" ht="15.95" customHeight="1">
      <c r="B6427" s="37"/>
    </row>
    <row r="6428" spans="2:2" ht="15.95" customHeight="1">
      <c r="B6428" s="37"/>
    </row>
    <row r="6429" spans="2:2" ht="15.95" customHeight="1">
      <c r="B6429" s="37"/>
    </row>
    <row r="6430" spans="2:2" ht="15.95" customHeight="1">
      <c r="B6430" s="37"/>
    </row>
    <row r="6431" spans="2:2" ht="15.95" customHeight="1">
      <c r="B6431" s="37"/>
    </row>
    <row r="6432" spans="2:2" ht="15.95" customHeight="1">
      <c r="B6432" s="37"/>
    </row>
    <row r="6433" spans="2:2" ht="15.95" customHeight="1">
      <c r="B6433" s="37"/>
    </row>
    <row r="6434" spans="2:2" ht="15.95" customHeight="1">
      <c r="B6434" s="37"/>
    </row>
    <row r="6435" spans="2:2" ht="15.95" customHeight="1">
      <c r="B6435" s="37"/>
    </row>
    <row r="6436" spans="2:2" ht="15.95" customHeight="1">
      <c r="B6436" s="37"/>
    </row>
    <row r="6437" spans="2:2" ht="15.95" customHeight="1">
      <c r="B6437" s="37"/>
    </row>
    <row r="6438" spans="2:2" ht="15.95" customHeight="1">
      <c r="B6438" s="37"/>
    </row>
    <row r="6439" spans="2:2" ht="15.95" customHeight="1">
      <c r="B6439" s="37"/>
    </row>
    <row r="6440" spans="2:2" ht="15.95" customHeight="1">
      <c r="B6440" s="37"/>
    </row>
    <row r="6441" spans="2:2" ht="15.95" customHeight="1">
      <c r="B6441" s="37"/>
    </row>
    <row r="6442" spans="2:2" ht="15.95" customHeight="1">
      <c r="B6442" s="37"/>
    </row>
    <row r="6443" spans="2:2" ht="15.95" customHeight="1">
      <c r="B6443" s="37"/>
    </row>
    <row r="6444" spans="2:2" ht="15.95" customHeight="1">
      <c r="B6444" s="37"/>
    </row>
    <row r="6445" spans="2:2" ht="15.95" customHeight="1">
      <c r="B6445" s="37"/>
    </row>
    <row r="6446" spans="2:2" ht="15.95" customHeight="1">
      <c r="B6446" s="37"/>
    </row>
    <row r="6447" spans="2:2" ht="15.95" customHeight="1">
      <c r="B6447" s="37"/>
    </row>
    <row r="6448" spans="2:2" ht="15.95" customHeight="1">
      <c r="B6448" s="37"/>
    </row>
    <row r="6449" spans="2:2" ht="15.95" customHeight="1">
      <c r="B6449" s="37"/>
    </row>
    <row r="6450" spans="2:2" ht="15.95" customHeight="1">
      <c r="B6450" s="37"/>
    </row>
    <row r="6451" spans="2:2" ht="15.95" customHeight="1">
      <c r="B6451" s="37"/>
    </row>
    <row r="6452" spans="2:2" ht="15.95" customHeight="1">
      <c r="B6452" s="37"/>
    </row>
    <row r="6453" spans="2:2" ht="15.95" customHeight="1">
      <c r="B6453" s="37"/>
    </row>
    <row r="6454" spans="2:2" ht="15.95" customHeight="1">
      <c r="B6454" s="37"/>
    </row>
    <row r="6455" spans="2:2" ht="15.95" customHeight="1">
      <c r="B6455" s="37"/>
    </row>
    <row r="6456" spans="2:2" ht="15.95" customHeight="1">
      <c r="B6456" s="37"/>
    </row>
    <row r="6457" spans="2:2" ht="15.95" customHeight="1">
      <c r="B6457" s="37"/>
    </row>
    <row r="6458" spans="2:2" ht="15.95" customHeight="1">
      <c r="B6458" s="37"/>
    </row>
    <row r="6459" spans="2:2" ht="15.95" customHeight="1">
      <c r="B6459" s="37"/>
    </row>
    <row r="6460" spans="2:2" ht="15.95" customHeight="1">
      <c r="B6460" s="37"/>
    </row>
    <row r="6461" spans="2:2" ht="15.95" customHeight="1">
      <c r="B6461" s="37"/>
    </row>
    <row r="6462" spans="2:2" ht="15.95" customHeight="1">
      <c r="B6462" s="37"/>
    </row>
    <row r="6463" spans="2:2" ht="15.95" customHeight="1">
      <c r="B6463" s="37"/>
    </row>
    <row r="6464" spans="2:2" ht="15.95" customHeight="1">
      <c r="B6464" s="37"/>
    </row>
    <row r="6465" spans="2:2" ht="15.95" customHeight="1">
      <c r="B6465" s="37"/>
    </row>
    <row r="6466" spans="2:2" ht="15.95" customHeight="1">
      <c r="B6466" s="37"/>
    </row>
    <row r="6467" spans="2:2" ht="15.95" customHeight="1">
      <c r="B6467" s="37"/>
    </row>
    <row r="6468" spans="2:2" ht="15.95" customHeight="1">
      <c r="B6468" s="37"/>
    </row>
    <row r="6469" spans="2:2" ht="15.95" customHeight="1">
      <c r="B6469" s="37"/>
    </row>
    <row r="6470" spans="2:2" ht="15.95" customHeight="1">
      <c r="B6470" s="37"/>
    </row>
    <row r="6471" spans="2:2" ht="15.95" customHeight="1">
      <c r="B6471" s="37"/>
    </row>
    <row r="6472" spans="2:2" ht="15.95" customHeight="1">
      <c r="B6472" s="37"/>
    </row>
    <row r="6473" spans="2:2" ht="15.95" customHeight="1">
      <c r="B6473" s="37"/>
    </row>
    <row r="6474" spans="2:2" ht="15.95" customHeight="1">
      <c r="B6474" s="37"/>
    </row>
    <row r="6475" spans="2:2" ht="15.95" customHeight="1">
      <c r="B6475" s="37"/>
    </row>
    <row r="6476" spans="2:2" ht="15.95" customHeight="1">
      <c r="B6476" s="37"/>
    </row>
    <row r="6477" spans="2:2" ht="15.95" customHeight="1">
      <c r="B6477" s="37"/>
    </row>
    <row r="6478" spans="2:2" ht="15.95" customHeight="1">
      <c r="B6478" s="37"/>
    </row>
    <row r="6479" spans="2:2" ht="15.95" customHeight="1">
      <c r="B6479" s="37"/>
    </row>
    <row r="6480" spans="2:2" ht="15.95" customHeight="1">
      <c r="B6480" s="37"/>
    </row>
    <row r="6481" spans="2:2" ht="15.95" customHeight="1">
      <c r="B6481" s="37"/>
    </row>
    <row r="6482" spans="2:2" ht="15.95" customHeight="1">
      <c r="B6482" s="37"/>
    </row>
    <row r="6483" spans="2:2" ht="15.95" customHeight="1">
      <c r="B6483" s="37"/>
    </row>
    <row r="6484" spans="2:2" ht="15.95" customHeight="1">
      <c r="B6484" s="37"/>
    </row>
    <row r="6485" spans="2:2" ht="15.95" customHeight="1">
      <c r="B6485" s="37"/>
    </row>
    <row r="6486" spans="2:2" ht="15.95" customHeight="1">
      <c r="B6486" s="37"/>
    </row>
    <row r="6487" spans="2:2" ht="15.95" customHeight="1">
      <c r="B6487" s="37"/>
    </row>
    <row r="6488" spans="2:2" ht="15.95" customHeight="1">
      <c r="B6488" s="37"/>
    </row>
    <row r="6489" spans="2:2" ht="15.95" customHeight="1">
      <c r="B6489" s="37"/>
    </row>
    <row r="6490" spans="2:2" ht="15.95" customHeight="1">
      <c r="B6490" s="37"/>
    </row>
    <row r="6491" spans="2:2" ht="15.95" customHeight="1">
      <c r="B6491" s="37"/>
    </row>
    <row r="6492" spans="2:2" ht="15.95" customHeight="1">
      <c r="B6492" s="37"/>
    </row>
    <row r="6493" spans="2:2" ht="15.95" customHeight="1">
      <c r="B6493" s="37"/>
    </row>
    <row r="6494" spans="2:2" ht="15.95" customHeight="1">
      <c r="B6494" s="37"/>
    </row>
    <row r="6495" spans="2:2" ht="15.95" customHeight="1">
      <c r="B6495" s="37"/>
    </row>
    <row r="6496" spans="2:2" ht="15.95" customHeight="1">
      <c r="B6496" s="37"/>
    </row>
    <row r="6497" spans="2:2" ht="15.95" customHeight="1">
      <c r="B6497" s="37"/>
    </row>
    <row r="6498" spans="2:2" ht="15.95" customHeight="1">
      <c r="B6498" s="37"/>
    </row>
    <row r="6499" spans="2:2" ht="15.95" customHeight="1">
      <c r="B6499" s="37"/>
    </row>
    <row r="6500" spans="2:2" ht="15.95" customHeight="1">
      <c r="B6500" s="37"/>
    </row>
    <row r="6501" spans="2:2" ht="15.95" customHeight="1">
      <c r="B6501" s="37"/>
    </row>
    <row r="6502" spans="2:2" ht="15.95" customHeight="1">
      <c r="B6502" s="37"/>
    </row>
    <row r="6503" spans="2:2" ht="15.95" customHeight="1">
      <c r="B6503" s="37"/>
    </row>
    <row r="6504" spans="2:2" ht="15.95" customHeight="1">
      <c r="B6504" s="37"/>
    </row>
    <row r="6505" spans="2:2" ht="15.95" customHeight="1">
      <c r="B6505" s="37"/>
    </row>
    <row r="6506" spans="2:2" ht="15.95" customHeight="1">
      <c r="B6506" s="37"/>
    </row>
    <row r="6507" spans="2:2" ht="15.95" customHeight="1">
      <c r="B6507" s="37"/>
    </row>
    <row r="6508" spans="2:2" ht="15.95" customHeight="1">
      <c r="B6508" s="37"/>
    </row>
    <row r="6509" spans="2:2" ht="15.95" customHeight="1">
      <c r="B6509" s="37"/>
    </row>
    <row r="6510" spans="2:2" ht="15.95" customHeight="1">
      <c r="B6510" s="37"/>
    </row>
    <row r="6511" spans="2:2" ht="15.95" customHeight="1">
      <c r="B6511" s="37"/>
    </row>
    <row r="6512" spans="2:2" ht="15.95" customHeight="1">
      <c r="B6512" s="37"/>
    </row>
    <row r="6513" spans="2:2" ht="15.95" customHeight="1">
      <c r="B6513" s="37"/>
    </row>
    <row r="6514" spans="2:2" ht="15.95" customHeight="1">
      <c r="B6514" s="37"/>
    </row>
    <row r="6515" spans="2:2" ht="15.95" customHeight="1">
      <c r="B6515" s="37"/>
    </row>
    <row r="6516" spans="2:2" ht="15.95" customHeight="1">
      <c r="B6516" s="37"/>
    </row>
    <row r="6517" spans="2:2" ht="15.95" customHeight="1">
      <c r="B6517" s="37"/>
    </row>
    <row r="6518" spans="2:2" ht="15.95" customHeight="1">
      <c r="B6518" s="37"/>
    </row>
    <row r="6519" spans="2:2" ht="15.95" customHeight="1">
      <c r="B6519" s="37"/>
    </row>
    <row r="6520" spans="2:2" ht="15.95" customHeight="1">
      <c r="B6520" s="37"/>
    </row>
    <row r="6521" spans="2:2" ht="15.95" customHeight="1">
      <c r="B6521" s="37"/>
    </row>
    <row r="6522" spans="2:2" ht="15.95" customHeight="1">
      <c r="B6522" s="37"/>
    </row>
    <row r="6523" spans="2:2" ht="15.95" customHeight="1">
      <c r="B6523" s="37"/>
    </row>
    <row r="6524" spans="2:2" ht="15.95" customHeight="1">
      <c r="B6524" s="37"/>
    </row>
    <row r="6525" spans="2:2" ht="15.95" customHeight="1">
      <c r="B6525" s="37"/>
    </row>
    <row r="6526" spans="2:2" ht="15.95" customHeight="1">
      <c r="B6526" s="37"/>
    </row>
    <row r="6527" spans="2:2" ht="15.95" customHeight="1">
      <c r="B6527" s="37"/>
    </row>
    <row r="6528" spans="2:2" ht="15.95" customHeight="1">
      <c r="B6528" s="37"/>
    </row>
    <row r="6529" spans="2:2" ht="15.95" customHeight="1">
      <c r="B6529" s="37"/>
    </row>
    <row r="6530" spans="2:2" ht="15.95" customHeight="1">
      <c r="B6530" s="37"/>
    </row>
    <row r="6531" spans="2:2" ht="15.95" customHeight="1">
      <c r="B6531" s="37"/>
    </row>
    <row r="6532" spans="2:2" ht="15.95" customHeight="1">
      <c r="B6532" s="37"/>
    </row>
    <row r="6533" spans="2:2" ht="15.95" customHeight="1">
      <c r="B6533" s="37"/>
    </row>
    <row r="6534" spans="2:2" ht="15.95" customHeight="1">
      <c r="B6534" s="37"/>
    </row>
    <row r="6535" spans="2:2" ht="15.95" customHeight="1">
      <c r="B6535" s="37"/>
    </row>
    <row r="6536" spans="2:2" ht="15.95" customHeight="1">
      <c r="B6536" s="37"/>
    </row>
    <row r="6537" spans="2:2" ht="15.95" customHeight="1">
      <c r="B6537" s="37"/>
    </row>
    <row r="6538" spans="2:2" ht="15.95" customHeight="1">
      <c r="B6538" s="37"/>
    </row>
    <row r="6539" spans="2:2" ht="15.95" customHeight="1">
      <c r="B6539" s="37"/>
    </row>
    <row r="6540" spans="2:2" ht="15.95" customHeight="1">
      <c r="B6540" s="37"/>
    </row>
    <row r="6541" spans="2:2" ht="15.95" customHeight="1">
      <c r="B6541" s="37"/>
    </row>
    <row r="6542" spans="2:2" ht="15.95" customHeight="1">
      <c r="B6542" s="37"/>
    </row>
    <row r="6543" spans="2:2" ht="15.95" customHeight="1">
      <c r="B6543" s="37"/>
    </row>
    <row r="6544" spans="2:2" ht="15.95" customHeight="1">
      <c r="B6544" s="37"/>
    </row>
    <row r="6545" spans="2:2" ht="15.95" customHeight="1">
      <c r="B6545" s="37"/>
    </row>
    <row r="6546" spans="2:2" ht="15.95" customHeight="1">
      <c r="B6546" s="37"/>
    </row>
    <row r="6547" spans="2:2" ht="15.95" customHeight="1">
      <c r="B6547" s="37"/>
    </row>
    <row r="6548" spans="2:2" ht="15.95" customHeight="1">
      <c r="B6548" s="37"/>
    </row>
    <row r="6549" spans="2:2" ht="15.95" customHeight="1">
      <c r="B6549" s="37"/>
    </row>
    <row r="6550" spans="2:2" ht="15.95" customHeight="1">
      <c r="B6550" s="37"/>
    </row>
    <row r="6551" spans="2:2" ht="15.95" customHeight="1">
      <c r="B6551" s="37"/>
    </row>
    <row r="6552" spans="2:2" ht="15.95" customHeight="1">
      <c r="B6552" s="37"/>
    </row>
    <row r="6553" spans="2:2" ht="15.95" customHeight="1">
      <c r="B6553" s="37"/>
    </row>
    <row r="6554" spans="2:2" ht="15.95" customHeight="1">
      <c r="B6554" s="37"/>
    </row>
    <row r="6555" spans="2:2" ht="15.95" customHeight="1">
      <c r="B6555" s="37"/>
    </row>
    <row r="6556" spans="2:2" ht="15.95" customHeight="1">
      <c r="B6556" s="37"/>
    </row>
    <row r="6557" spans="2:2" ht="15.95" customHeight="1">
      <c r="B6557" s="37"/>
    </row>
    <row r="6558" spans="2:2" ht="15.95" customHeight="1">
      <c r="B6558" s="37"/>
    </row>
    <row r="6559" spans="2:2" ht="15.95" customHeight="1">
      <c r="B6559" s="37"/>
    </row>
    <row r="6560" spans="2:2" ht="15.95" customHeight="1">
      <c r="B6560" s="37"/>
    </row>
    <row r="6561" spans="2:2" ht="15.95" customHeight="1">
      <c r="B6561" s="37"/>
    </row>
    <row r="6562" spans="2:2" ht="15.95" customHeight="1">
      <c r="B6562" s="37"/>
    </row>
    <row r="6563" spans="2:2" ht="15.95" customHeight="1">
      <c r="B6563" s="37"/>
    </row>
    <row r="6564" spans="2:2" ht="15.95" customHeight="1">
      <c r="B6564" s="37"/>
    </row>
    <row r="6565" spans="2:2" ht="15.95" customHeight="1">
      <c r="B6565" s="37"/>
    </row>
    <row r="6566" spans="2:2" ht="15.95" customHeight="1">
      <c r="B6566" s="37"/>
    </row>
    <row r="6567" spans="2:2" ht="15.95" customHeight="1">
      <c r="B6567" s="37"/>
    </row>
    <row r="6568" spans="2:2" ht="15.95" customHeight="1">
      <c r="B6568" s="37"/>
    </row>
    <row r="6569" spans="2:2" ht="15.95" customHeight="1">
      <c r="B6569" s="37"/>
    </row>
    <row r="6570" spans="2:2" ht="15.95" customHeight="1">
      <c r="B6570" s="37"/>
    </row>
    <row r="6571" spans="2:2" ht="15.95" customHeight="1">
      <c r="B6571" s="37"/>
    </row>
    <row r="6572" spans="2:2" ht="15.95" customHeight="1">
      <c r="B6572" s="37"/>
    </row>
    <row r="6573" spans="2:2" ht="15.95" customHeight="1">
      <c r="B6573" s="37"/>
    </row>
    <row r="6574" spans="2:2" ht="15.95" customHeight="1">
      <c r="B6574" s="37"/>
    </row>
    <row r="6575" spans="2:2" ht="15.95" customHeight="1">
      <c r="B6575" s="37"/>
    </row>
    <row r="6576" spans="2:2" ht="15.95" customHeight="1">
      <c r="B6576" s="37"/>
    </row>
    <row r="6577" spans="2:2" ht="15.95" customHeight="1">
      <c r="B6577" s="37"/>
    </row>
    <row r="6578" spans="2:2" ht="15.95" customHeight="1">
      <c r="B6578" s="37"/>
    </row>
    <row r="6579" spans="2:2" ht="15.95" customHeight="1">
      <c r="B6579" s="37"/>
    </row>
    <row r="6580" spans="2:2" ht="15.95" customHeight="1">
      <c r="B6580" s="37"/>
    </row>
    <row r="6581" spans="2:2" ht="15.95" customHeight="1">
      <c r="B6581" s="37"/>
    </row>
    <row r="6582" spans="2:2" ht="15.95" customHeight="1">
      <c r="B6582" s="37"/>
    </row>
    <row r="6583" spans="2:2" ht="15.95" customHeight="1">
      <c r="B6583" s="37"/>
    </row>
    <row r="6584" spans="2:2" ht="15.95" customHeight="1">
      <c r="B6584" s="37"/>
    </row>
    <row r="6585" spans="2:2" ht="15.95" customHeight="1">
      <c r="B6585" s="37"/>
    </row>
    <row r="6586" spans="2:2" ht="15.95" customHeight="1">
      <c r="B6586" s="37"/>
    </row>
    <row r="6587" spans="2:2" ht="15.95" customHeight="1">
      <c r="B6587" s="37"/>
    </row>
    <row r="6588" spans="2:2" ht="15.95" customHeight="1">
      <c r="B6588" s="37"/>
    </row>
    <row r="6589" spans="2:2" ht="15.95" customHeight="1">
      <c r="B6589" s="37"/>
    </row>
    <row r="6590" spans="2:2" ht="15.95" customHeight="1">
      <c r="B6590" s="37"/>
    </row>
    <row r="6591" spans="2:2" ht="15.95" customHeight="1">
      <c r="B6591" s="37"/>
    </row>
    <row r="6592" spans="2:2" ht="15.95" customHeight="1">
      <c r="B6592" s="37"/>
    </row>
    <row r="6593" spans="2:2" ht="15.95" customHeight="1">
      <c r="B6593" s="37"/>
    </row>
    <row r="6594" spans="2:2" ht="15.95" customHeight="1">
      <c r="B6594" s="37"/>
    </row>
    <row r="6595" spans="2:2" ht="15.95" customHeight="1">
      <c r="B6595" s="37"/>
    </row>
    <row r="6596" spans="2:2" ht="15.95" customHeight="1">
      <c r="B6596" s="37"/>
    </row>
    <row r="6597" spans="2:2" ht="15.95" customHeight="1">
      <c r="B6597" s="37"/>
    </row>
    <row r="6598" spans="2:2" ht="15.95" customHeight="1">
      <c r="B6598" s="37"/>
    </row>
    <row r="6599" spans="2:2" ht="15.95" customHeight="1">
      <c r="B6599" s="37"/>
    </row>
    <row r="6600" spans="2:2" ht="15.95" customHeight="1">
      <c r="B6600" s="37"/>
    </row>
    <row r="6601" spans="2:2" ht="15.95" customHeight="1">
      <c r="B6601" s="37"/>
    </row>
    <row r="6602" spans="2:2" ht="15.95" customHeight="1">
      <c r="B6602" s="37"/>
    </row>
    <row r="6603" spans="2:2" ht="15.95" customHeight="1">
      <c r="B6603" s="37"/>
    </row>
    <row r="6604" spans="2:2" ht="15.95" customHeight="1">
      <c r="B6604" s="37"/>
    </row>
    <row r="6605" spans="2:2" ht="15.95" customHeight="1">
      <c r="B6605" s="37"/>
    </row>
    <row r="6606" spans="2:2" ht="15.95" customHeight="1">
      <c r="B6606" s="37"/>
    </row>
    <row r="6607" spans="2:2" ht="15.95" customHeight="1">
      <c r="B6607" s="37"/>
    </row>
    <row r="6608" spans="2:2" ht="15.95" customHeight="1">
      <c r="B6608" s="37"/>
    </row>
    <row r="6609" spans="2:2" ht="15.95" customHeight="1">
      <c r="B6609" s="37"/>
    </row>
    <row r="6610" spans="2:2" ht="15.95" customHeight="1">
      <c r="B6610" s="37"/>
    </row>
    <row r="6611" spans="2:2" ht="15.95" customHeight="1">
      <c r="B6611" s="37"/>
    </row>
    <row r="6612" spans="2:2" ht="15.95" customHeight="1">
      <c r="B6612" s="37"/>
    </row>
    <row r="6613" spans="2:2" ht="15.95" customHeight="1">
      <c r="B6613" s="37"/>
    </row>
    <row r="6614" spans="2:2" ht="15.95" customHeight="1">
      <c r="B6614" s="37"/>
    </row>
    <row r="6615" spans="2:2" ht="15.95" customHeight="1">
      <c r="B6615" s="37"/>
    </row>
    <row r="6616" spans="2:2" ht="15.95" customHeight="1">
      <c r="B6616" s="37"/>
    </row>
    <row r="6617" spans="2:2" ht="15.95" customHeight="1">
      <c r="B6617" s="37"/>
    </row>
    <row r="6618" spans="2:2" ht="15.95" customHeight="1">
      <c r="B6618" s="37"/>
    </row>
    <row r="6619" spans="2:2" ht="15.95" customHeight="1">
      <c r="B6619" s="37"/>
    </row>
    <row r="6620" spans="2:2" ht="15.95" customHeight="1">
      <c r="B6620" s="37"/>
    </row>
    <row r="6621" spans="2:2" ht="15.95" customHeight="1">
      <c r="B6621" s="37"/>
    </row>
    <row r="6622" spans="2:2" ht="15.95" customHeight="1">
      <c r="B6622" s="37"/>
    </row>
    <row r="6623" spans="2:2" ht="15.95" customHeight="1">
      <c r="B6623" s="37"/>
    </row>
    <row r="6624" spans="2:2" ht="15.95" customHeight="1">
      <c r="B6624" s="37"/>
    </row>
    <row r="6625" spans="2:2" ht="15.95" customHeight="1">
      <c r="B6625" s="37"/>
    </row>
    <row r="6626" spans="2:2" ht="15.95" customHeight="1">
      <c r="B6626" s="37"/>
    </row>
    <row r="6627" spans="2:2" ht="15.95" customHeight="1">
      <c r="B6627" s="37"/>
    </row>
    <row r="6628" spans="2:2" ht="15.95" customHeight="1">
      <c r="B6628" s="37"/>
    </row>
    <row r="6629" spans="2:2" ht="15.95" customHeight="1">
      <c r="B6629" s="37"/>
    </row>
    <row r="6630" spans="2:2" ht="15.95" customHeight="1">
      <c r="B6630" s="37"/>
    </row>
    <row r="6631" spans="2:2" ht="15.95" customHeight="1">
      <c r="B6631" s="37"/>
    </row>
    <row r="6632" spans="2:2" ht="15.95" customHeight="1">
      <c r="B6632" s="37"/>
    </row>
    <row r="6633" spans="2:2" ht="15.95" customHeight="1">
      <c r="B6633" s="37"/>
    </row>
    <row r="6634" spans="2:2" ht="15.95" customHeight="1">
      <c r="B6634" s="37"/>
    </row>
    <row r="6635" spans="2:2" ht="15.95" customHeight="1">
      <c r="B6635" s="37"/>
    </row>
    <row r="6636" spans="2:2" ht="15.95" customHeight="1">
      <c r="B6636" s="37"/>
    </row>
    <row r="6637" spans="2:2" ht="15.95" customHeight="1">
      <c r="B6637" s="37"/>
    </row>
    <row r="6638" spans="2:2" ht="15.95" customHeight="1">
      <c r="B6638" s="37"/>
    </row>
    <row r="6639" spans="2:2" ht="15.95" customHeight="1">
      <c r="B6639" s="37"/>
    </row>
    <row r="6640" spans="2:2" ht="15.95" customHeight="1">
      <c r="B6640" s="37"/>
    </row>
    <row r="6641" spans="2:2" ht="15.95" customHeight="1">
      <c r="B6641" s="37"/>
    </row>
    <row r="6642" spans="2:2" ht="15.95" customHeight="1">
      <c r="B6642" s="37"/>
    </row>
    <row r="6643" spans="2:2" ht="15.95" customHeight="1">
      <c r="B6643" s="37"/>
    </row>
    <row r="6644" spans="2:2" ht="15.95" customHeight="1">
      <c r="B6644" s="37"/>
    </row>
    <row r="6645" spans="2:2" ht="15.95" customHeight="1">
      <c r="B6645" s="37"/>
    </row>
    <row r="6646" spans="2:2" ht="15.95" customHeight="1">
      <c r="B6646" s="37"/>
    </row>
    <row r="6647" spans="2:2" ht="15.95" customHeight="1">
      <c r="B6647" s="37"/>
    </row>
    <row r="6648" spans="2:2" ht="15.95" customHeight="1">
      <c r="B6648" s="37"/>
    </row>
    <row r="6649" spans="2:2" ht="15.95" customHeight="1">
      <c r="B6649" s="37"/>
    </row>
    <row r="6650" spans="2:2" ht="15.95" customHeight="1">
      <c r="B6650" s="37"/>
    </row>
    <row r="6651" spans="2:2" ht="15.95" customHeight="1">
      <c r="B6651" s="37"/>
    </row>
    <row r="6652" spans="2:2" ht="15.95" customHeight="1">
      <c r="B6652" s="37"/>
    </row>
    <row r="6653" spans="2:2" ht="15.95" customHeight="1">
      <c r="B6653" s="37"/>
    </row>
    <row r="6654" spans="2:2" ht="15.95" customHeight="1">
      <c r="B6654" s="37"/>
    </row>
    <row r="6655" spans="2:2" ht="15.95" customHeight="1">
      <c r="B6655" s="37"/>
    </row>
    <row r="6656" spans="2:2" ht="15.95" customHeight="1">
      <c r="B6656" s="37"/>
    </row>
    <row r="6657" spans="2:2" ht="15.95" customHeight="1">
      <c r="B6657" s="37"/>
    </row>
    <row r="6658" spans="2:2" ht="15.95" customHeight="1">
      <c r="B6658" s="37"/>
    </row>
    <row r="6659" spans="2:2" ht="15.95" customHeight="1">
      <c r="B6659" s="37"/>
    </row>
    <row r="6660" spans="2:2" ht="15.95" customHeight="1">
      <c r="B6660" s="37"/>
    </row>
    <row r="6661" spans="2:2" ht="15.95" customHeight="1">
      <c r="B6661" s="37"/>
    </row>
    <row r="6662" spans="2:2" ht="15.95" customHeight="1">
      <c r="B6662" s="37"/>
    </row>
    <row r="6663" spans="2:2" ht="15.95" customHeight="1">
      <c r="B6663" s="37"/>
    </row>
    <row r="6664" spans="2:2" ht="15.95" customHeight="1">
      <c r="B6664" s="37"/>
    </row>
    <row r="6665" spans="2:2" ht="15.95" customHeight="1">
      <c r="B6665" s="37"/>
    </row>
    <row r="6666" spans="2:2" ht="15.95" customHeight="1">
      <c r="B6666" s="37"/>
    </row>
    <row r="6667" spans="2:2" ht="15.95" customHeight="1">
      <c r="B6667" s="37"/>
    </row>
    <row r="6668" spans="2:2" ht="15.95" customHeight="1">
      <c r="B6668" s="37"/>
    </row>
    <row r="6669" spans="2:2" ht="15.95" customHeight="1">
      <c r="B6669" s="37"/>
    </row>
    <row r="6670" spans="2:2" ht="15.95" customHeight="1">
      <c r="B6670" s="37"/>
    </row>
    <row r="6671" spans="2:2" ht="15.95" customHeight="1">
      <c r="B6671" s="37"/>
    </row>
    <row r="6672" spans="2:2" ht="15.95" customHeight="1">
      <c r="B6672" s="37"/>
    </row>
    <row r="6673" spans="2:2" ht="15.95" customHeight="1">
      <c r="B6673" s="37"/>
    </row>
    <row r="6674" spans="2:2" ht="15.95" customHeight="1">
      <c r="B6674" s="37"/>
    </row>
    <row r="6675" spans="2:2" ht="15.95" customHeight="1">
      <c r="B6675" s="37"/>
    </row>
    <row r="6676" spans="2:2" ht="15.95" customHeight="1">
      <c r="B6676" s="37"/>
    </row>
    <row r="6677" spans="2:2" ht="15.95" customHeight="1">
      <c r="B6677" s="37"/>
    </row>
    <row r="6678" spans="2:2" ht="15.95" customHeight="1">
      <c r="B6678" s="37"/>
    </row>
    <row r="6679" spans="2:2" ht="15.95" customHeight="1">
      <c r="B6679" s="37"/>
    </row>
    <row r="6680" spans="2:2" ht="15.95" customHeight="1">
      <c r="B6680" s="37"/>
    </row>
    <row r="6681" spans="2:2" ht="15.95" customHeight="1">
      <c r="B6681" s="37"/>
    </row>
    <row r="6682" spans="2:2" ht="15.95" customHeight="1">
      <c r="B6682" s="37"/>
    </row>
    <row r="6683" spans="2:2" ht="15.95" customHeight="1">
      <c r="B6683" s="37"/>
    </row>
    <row r="6684" spans="2:2" ht="15.95" customHeight="1">
      <c r="B6684" s="37"/>
    </row>
    <row r="6685" spans="2:2" ht="15.95" customHeight="1">
      <c r="B6685" s="37"/>
    </row>
    <row r="6686" spans="2:2" ht="15.95" customHeight="1">
      <c r="B6686" s="37"/>
    </row>
    <row r="6687" spans="2:2" ht="15.95" customHeight="1">
      <c r="B6687" s="37"/>
    </row>
    <row r="6688" spans="2:2" ht="15.95" customHeight="1">
      <c r="B6688" s="37"/>
    </row>
    <row r="6689" spans="2:2" ht="15.95" customHeight="1">
      <c r="B6689" s="37"/>
    </row>
    <row r="6690" spans="2:2" ht="15.95" customHeight="1">
      <c r="B6690" s="37"/>
    </row>
    <row r="6691" spans="2:2" ht="15.95" customHeight="1">
      <c r="B6691" s="37"/>
    </row>
    <row r="6692" spans="2:2" ht="15.95" customHeight="1">
      <c r="B6692" s="37"/>
    </row>
    <row r="6693" spans="2:2" ht="15.95" customHeight="1">
      <c r="B6693" s="37"/>
    </row>
    <row r="6694" spans="2:2" ht="15.95" customHeight="1">
      <c r="B6694" s="37"/>
    </row>
    <row r="6695" spans="2:2" ht="15.95" customHeight="1">
      <c r="B6695" s="37"/>
    </row>
    <row r="6696" spans="2:2" ht="15.95" customHeight="1">
      <c r="B6696" s="37"/>
    </row>
    <row r="6697" spans="2:2" ht="15.95" customHeight="1">
      <c r="B6697" s="37"/>
    </row>
    <row r="6698" spans="2:2" ht="15.95" customHeight="1">
      <c r="B6698" s="37"/>
    </row>
    <row r="6699" spans="2:2" ht="15.95" customHeight="1">
      <c r="B6699" s="37"/>
    </row>
    <row r="6700" spans="2:2" ht="15.95" customHeight="1">
      <c r="B6700" s="37"/>
    </row>
    <row r="6701" spans="2:2" ht="15.95" customHeight="1">
      <c r="B6701" s="37"/>
    </row>
    <row r="6702" spans="2:2" ht="15.95" customHeight="1">
      <c r="B6702" s="37"/>
    </row>
    <row r="6703" spans="2:2" ht="15.95" customHeight="1">
      <c r="B6703" s="37"/>
    </row>
    <row r="6704" spans="2:2" ht="15.95" customHeight="1">
      <c r="B6704" s="37"/>
    </row>
    <row r="6705" spans="2:2" ht="15.95" customHeight="1">
      <c r="B6705" s="37"/>
    </row>
    <row r="6706" spans="2:2" ht="15.95" customHeight="1">
      <c r="B6706" s="37"/>
    </row>
    <row r="6707" spans="2:2" ht="15.95" customHeight="1">
      <c r="B6707" s="37"/>
    </row>
    <row r="6708" spans="2:2" ht="15.95" customHeight="1">
      <c r="B6708" s="37"/>
    </row>
    <row r="6709" spans="2:2" ht="15.95" customHeight="1">
      <c r="B6709" s="37"/>
    </row>
    <row r="6710" spans="2:2" ht="15.95" customHeight="1">
      <c r="B6710" s="37"/>
    </row>
    <row r="6711" spans="2:2" ht="15.95" customHeight="1">
      <c r="B6711" s="37"/>
    </row>
    <row r="6712" spans="2:2" ht="15.95" customHeight="1">
      <c r="B6712" s="37"/>
    </row>
    <row r="6713" spans="2:2" ht="15.95" customHeight="1">
      <c r="B6713" s="37"/>
    </row>
    <row r="6714" spans="2:2" ht="15.95" customHeight="1">
      <c r="B6714" s="37"/>
    </row>
    <row r="6715" spans="2:2" ht="15.95" customHeight="1">
      <c r="B6715" s="37"/>
    </row>
    <row r="6716" spans="2:2" ht="15.95" customHeight="1">
      <c r="B6716" s="37"/>
    </row>
    <row r="6717" spans="2:2" ht="15.95" customHeight="1">
      <c r="B6717" s="37"/>
    </row>
    <row r="6718" spans="2:2" ht="15.95" customHeight="1">
      <c r="B6718" s="37"/>
    </row>
    <row r="6719" spans="2:2" ht="15.95" customHeight="1">
      <c r="B6719" s="37"/>
    </row>
    <row r="6720" spans="2:2" ht="15.95" customHeight="1">
      <c r="B6720" s="37"/>
    </row>
    <row r="6721" spans="2:2" ht="15.95" customHeight="1">
      <c r="B6721" s="37"/>
    </row>
    <row r="6722" spans="2:2" ht="15.95" customHeight="1">
      <c r="B6722" s="37"/>
    </row>
    <row r="6723" spans="2:2" ht="15.95" customHeight="1">
      <c r="B6723" s="37"/>
    </row>
    <row r="6724" spans="2:2" ht="15.95" customHeight="1">
      <c r="B6724" s="37"/>
    </row>
    <row r="6725" spans="2:2" ht="15.95" customHeight="1">
      <c r="B6725" s="37"/>
    </row>
    <row r="6726" spans="2:2" ht="15.95" customHeight="1">
      <c r="B6726" s="37"/>
    </row>
    <row r="6727" spans="2:2" ht="15.95" customHeight="1">
      <c r="B6727" s="37"/>
    </row>
    <row r="6728" spans="2:2" ht="15.95" customHeight="1">
      <c r="B6728" s="37"/>
    </row>
    <row r="6729" spans="2:2" ht="15.95" customHeight="1">
      <c r="B6729" s="37"/>
    </row>
    <row r="6730" spans="2:2" ht="15.95" customHeight="1">
      <c r="B6730" s="37"/>
    </row>
    <row r="6731" spans="2:2" ht="15.95" customHeight="1">
      <c r="B6731" s="37"/>
    </row>
    <row r="6732" spans="2:2" ht="15.95" customHeight="1">
      <c r="B6732" s="37"/>
    </row>
    <row r="6733" spans="2:2" ht="15.95" customHeight="1">
      <c r="B6733" s="37"/>
    </row>
    <row r="6734" spans="2:2" ht="15.95" customHeight="1">
      <c r="B6734" s="37"/>
    </row>
    <row r="6735" spans="2:2" ht="15.95" customHeight="1">
      <c r="B6735" s="37"/>
    </row>
    <row r="6736" spans="2:2" ht="15.95" customHeight="1">
      <c r="B6736" s="37"/>
    </row>
    <row r="6737" spans="2:2" ht="15.95" customHeight="1">
      <c r="B6737" s="37"/>
    </row>
    <row r="6738" spans="2:2" ht="15.95" customHeight="1">
      <c r="B6738" s="37"/>
    </row>
    <row r="6739" spans="2:2" ht="15.95" customHeight="1">
      <c r="B6739" s="37"/>
    </row>
    <row r="6740" spans="2:2" ht="15.95" customHeight="1">
      <c r="B6740" s="37"/>
    </row>
    <row r="6741" spans="2:2" ht="15.95" customHeight="1">
      <c r="B6741" s="37"/>
    </row>
    <row r="6742" spans="2:2" ht="15.95" customHeight="1">
      <c r="B6742" s="37"/>
    </row>
    <row r="6743" spans="2:2" ht="15.95" customHeight="1">
      <c r="B6743" s="37"/>
    </row>
    <row r="6744" spans="2:2" ht="15.95" customHeight="1">
      <c r="B6744" s="37"/>
    </row>
    <row r="6745" spans="2:2" ht="15.95" customHeight="1">
      <c r="B6745" s="37"/>
    </row>
    <row r="6746" spans="2:2" ht="15.95" customHeight="1">
      <c r="B6746" s="37"/>
    </row>
    <row r="6747" spans="2:2" ht="15.95" customHeight="1">
      <c r="B6747" s="37"/>
    </row>
    <row r="6748" spans="2:2" ht="15.95" customHeight="1">
      <c r="B6748" s="37"/>
    </row>
    <row r="6749" spans="2:2" ht="15.95" customHeight="1">
      <c r="B6749" s="37"/>
    </row>
    <row r="6750" spans="2:2" ht="15.95" customHeight="1">
      <c r="B6750" s="37"/>
    </row>
    <row r="6751" spans="2:2" ht="15.95" customHeight="1">
      <c r="B6751" s="37"/>
    </row>
    <row r="6752" spans="2:2" ht="15.95" customHeight="1">
      <c r="B6752" s="37"/>
    </row>
    <row r="6753" spans="2:2" ht="15.95" customHeight="1">
      <c r="B6753" s="37"/>
    </row>
    <row r="6754" spans="2:2" ht="15.95" customHeight="1">
      <c r="B6754" s="37"/>
    </row>
    <row r="6755" spans="2:2" ht="15.95" customHeight="1">
      <c r="B6755" s="37"/>
    </row>
    <row r="6756" spans="2:2" ht="15.95" customHeight="1">
      <c r="B6756" s="37"/>
    </row>
    <row r="6757" spans="2:2" ht="15.95" customHeight="1">
      <c r="B6757" s="37"/>
    </row>
    <row r="6758" spans="2:2" ht="15.95" customHeight="1">
      <c r="B6758" s="37"/>
    </row>
    <row r="6759" spans="2:2" ht="15.95" customHeight="1">
      <c r="B6759" s="37"/>
    </row>
    <row r="6760" spans="2:2" ht="15.95" customHeight="1">
      <c r="B6760" s="37"/>
    </row>
    <row r="6761" spans="2:2" ht="15.95" customHeight="1">
      <c r="B6761" s="37"/>
    </row>
    <row r="6762" spans="2:2" ht="15.95" customHeight="1">
      <c r="B6762" s="37"/>
    </row>
    <row r="6763" spans="2:2" ht="15.95" customHeight="1">
      <c r="B6763" s="37"/>
    </row>
    <row r="6764" spans="2:2" ht="15.95" customHeight="1">
      <c r="B6764" s="37"/>
    </row>
    <row r="6765" spans="2:2" ht="15.95" customHeight="1">
      <c r="B6765" s="37"/>
    </row>
    <row r="6766" spans="2:2" ht="15.95" customHeight="1">
      <c r="B6766" s="37"/>
    </row>
    <row r="6767" spans="2:2" ht="15.95" customHeight="1">
      <c r="B6767" s="37"/>
    </row>
    <row r="6768" spans="2:2" ht="15.95" customHeight="1">
      <c r="B6768" s="37"/>
    </row>
    <row r="6769" spans="2:2" ht="15.95" customHeight="1">
      <c r="B6769" s="37"/>
    </row>
    <row r="6770" spans="2:2" ht="15.95" customHeight="1">
      <c r="B6770" s="37"/>
    </row>
    <row r="6771" spans="2:2" ht="15.95" customHeight="1">
      <c r="B6771" s="37"/>
    </row>
    <row r="6772" spans="2:2" ht="15.95" customHeight="1">
      <c r="B6772" s="37"/>
    </row>
    <row r="6773" spans="2:2" ht="15.95" customHeight="1">
      <c r="B6773" s="37"/>
    </row>
    <row r="6774" spans="2:2" ht="15.95" customHeight="1">
      <c r="B6774" s="37"/>
    </row>
    <row r="6775" spans="2:2" ht="15.95" customHeight="1">
      <c r="B6775" s="37"/>
    </row>
    <row r="6776" spans="2:2" ht="15.95" customHeight="1">
      <c r="B6776" s="37"/>
    </row>
    <row r="6777" spans="2:2" ht="15.95" customHeight="1">
      <c r="B6777" s="37"/>
    </row>
    <row r="6778" spans="2:2" ht="15.95" customHeight="1">
      <c r="B6778" s="37"/>
    </row>
    <row r="6779" spans="2:2" ht="15.95" customHeight="1">
      <c r="B6779" s="37"/>
    </row>
    <row r="6780" spans="2:2" ht="15.95" customHeight="1">
      <c r="B6780" s="37"/>
    </row>
    <row r="6781" spans="2:2" ht="15.95" customHeight="1">
      <c r="B6781" s="37"/>
    </row>
    <row r="6782" spans="2:2" ht="15.95" customHeight="1">
      <c r="B6782" s="37"/>
    </row>
    <row r="6783" spans="2:2" ht="15.95" customHeight="1">
      <c r="B6783" s="37"/>
    </row>
    <row r="6784" spans="2:2" ht="15.95" customHeight="1">
      <c r="B6784" s="37"/>
    </row>
    <row r="6785" spans="2:2" ht="15.95" customHeight="1">
      <c r="B6785" s="37"/>
    </row>
    <row r="6786" spans="2:2" ht="15.95" customHeight="1">
      <c r="B6786" s="37"/>
    </row>
    <row r="6787" spans="2:2" ht="15.95" customHeight="1">
      <c r="B6787" s="37"/>
    </row>
    <row r="6788" spans="2:2" ht="15.95" customHeight="1">
      <c r="B6788" s="37"/>
    </row>
    <row r="6789" spans="2:2" ht="15.95" customHeight="1">
      <c r="B6789" s="37"/>
    </row>
    <row r="6790" spans="2:2" ht="15.95" customHeight="1">
      <c r="B6790" s="37"/>
    </row>
    <row r="6791" spans="2:2" ht="15.95" customHeight="1">
      <c r="B6791" s="37"/>
    </row>
    <row r="6792" spans="2:2" ht="15.95" customHeight="1">
      <c r="B6792" s="37"/>
    </row>
    <row r="6793" spans="2:2" ht="15.95" customHeight="1">
      <c r="B6793" s="37"/>
    </row>
    <row r="6794" spans="2:2" ht="15.95" customHeight="1">
      <c r="B6794" s="37"/>
    </row>
    <row r="6795" spans="2:2" ht="15.95" customHeight="1">
      <c r="B6795" s="37"/>
    </row>
    <row r="6796" spans="2:2" ht="15.95" customHeight="1">
      <c r="B6796" s="37"/>
    </row>
    <row r="6797" spans="2:2" ht="15.95" customHeight="1">
      <c r="B6797" s="37"/>
    </row>
    <row r="6798" spans="2:2" ht="15.95" customHeight="1">
      <c r="B6798" s="37"/>
    </row>
    <row r="6799" spans="2:2" ht="15.95" customHeight="1">
      <c r="B6799" s="37"/>
    </row>
    <row r="6800" spans="2:2" ht="15.95" customHeight="1">
      <c r="B6800" s="37"/>
    </row>
    <row r="6801" spans="2:2" ht="15.95" customHeight="1">
      <c r="B6801" s="37"/>
    </row>
    <row r="6802" spans="2:2" ht="15.95" customHeight="1">
      <c r="B6802" s="37"/>
    </row>
    <row r="6803" spans="2:2" ht="15.95" customHeight="1">
      <c r="B6803" s="37"/>
    </row>
    <row r="6804" spans="2:2" ht="15.95" customHeight="1">
      <c r="B6804" s="37"/>
    </row>
    <row r="6805" spans="2:2" ht="15.95" customHeight="1">
      <c r="B6805" s="37"/>
    </row>
    <row r="6806" spans="2:2" ht="15.95" customHeight="1">
      <c r="B6806" s="37"/>
    </row>
    <row r="6807" spans="2:2" ht="15.95" customHeight="1">
      <c r="B6807" s="37"/>
    </row>
    <row r="6808" spans="2:2" ht="15.95" customHeight="1">
      <c r="B6808" s="37"/>
    </row>
    <row r="6809" spans="2:2" ht="15.95" customHeight="1">
      <c r="B6809" s="37"/>
    </row>
    <row r="6810" spans="2:2" ht="15.95" customHeight="1">
      <c r="B6810" s="37"/>
    </row>
    <row r="6811" spans="2:2" ht="15.95" customHeight="1">
      <c r="B6811" s="37"/>
    </row>
    <row r="6812" spans="2:2" ht="15.95" customHeight="1">
      <c r="B6812" s="37"/>
    </row>
    <row r="6813" spans="2:2" ht="15.95" customHeight="1">
      <c r="B6813" s="37"/>
    </row>
    <row r="6814" spans="2:2" ht="15.95" customHeight="1">
      <c r="B6814" s="37"/>
    </row>
    <row r="6815" spans="2:2" ht="15.95" customHeight="1">
      <c r="B6815" s="37"/>
    </row>
    <row r="6816" spans="2:2" ht="15.95" customHeight="1">
      <c r="B6816" s="37"/>
    </row>
    <row r="6817" spans="2:2" ht="15.95" customHeight="1">
      <c r="B6817" s="37"/>
    </row>
    <row r="6818" spans="2:2" ht="15.95" customHeight="1">
      <c r="B6818" s="37"/>
    </row>
    <row r="6819" spans="2:2" ht="15.95" customHeight="1">
      <c r="B6819" s="37"/>
    </row>
    <row r="6820" spans="2:2" ht="15.95" customHeight="1">
      <c r="B6820" s="37"/>
    </row>
    <row r="6821" spans="2:2" ht="15.95" customHeight="1">
      <c r="B6821" s="37"/>
    </row>
    <row r="6822" spans="2:2" ht="15.95" customHeight="1">
      <c r="B6822" s="37"/>
    </row>
    <row r="6823" spans="2:2" ht="15.95" customHeight="1">
      <c r="B6823" s="37"/>
    </row>
    <row r="6824" spans="2:2" ht="15.95" customHeight="1">
      <c r="B6824" s="37"/>
    </row>
    <row r="6825" spans="2:2" ht="15.95" customHeight="1">
      <c r="B6825" s="37"/>
    </row>
    <row r="6826" spans="2:2" ht="15.95" customHeight="1">
      <c r="B6826" s="37"/>
    </row>
    <row r="6827" spans="2:2" ht="15.95" customHeight="1">
      <c r="B6827" s="37"/>
    </row>
    <row r="6828" spans="2:2" ht="15.95" customHeight="1">
      <c r="B6828" s="37"/>
    </row>
    <row r="6829" spans="2:2" ht="15.95" customHeight="1">
      <c r="B6829" s="37"/>
    </row>
    <row r="6830" spans="2:2" ht="15.95" customHeight="1">
      <c r="B6830" s="37"/>
    </row>
    <row r="6831" spans="2:2" ht="15.95" customHeight="1">
      <c r="B6831" s="37"/>
    </row>
    <row r="6832" spans="2:2" ht="15.95" customHeight="1">
      <c r="B6832" s="37"/>
    </row>
    <row r="6833" spans="2:2" ht="15.95" customHeight="1">
      <c r="B6833" s="37"/>
    </row>
    <row r="6834" spans="2:2" ht="15.95" customHeight="1">
      <c r="B6834" s="37"/>
    </row>
    <row r="6835" spans="2:2" ht="15.95" customHeight="1">
      <c r="B6835" s="37"/>
    </row>
    <row r="6836" spans="2:2" ht="15.95" customHeight="1">
      <c r="B6836" s="37"/>
    </row>
    <row r="6837" spans="2:2" ht="15.95" customHeight="1">
      <c r="B6837" s="37"/>
    </row>
    <row r="6838" spans="2:2" ht="15.95" customHeight="1">
      <c r="B6838" s="37"/>
    </row>
    <row r="6839" spans="2:2" ht="15.95" customHeight="1">
      <c r="B6839" s="37"/>
    </row>
    <row r="6840" spans="2:2" ht="15.95" customHeight="1">
      <c r="B6840" s="37"/>
    </row>
    <row r="6841" spans="2:2" ht="15.95" customHeight="1">
      <c r="B6841" s="37"/>
    </row>
    <row r="6842" spans="2:2" ht="15.95" customHeight="1">
      <c r="B6842" s="37"/>
    </row>
    <row r="6843" spans="2:2" ht="15.95" customHeight="1">
      <c r="B6843" s="37"/>
    </row>
    <row r="6844" spans="2:2" ht="15.95" customHeight="1">
      <c r="B6844" s="37"/>
    </row>
    <row r="6845" spans="2:2" ht="15.95" customHeight="1">
      <c r="B6845" s="37"/>
    </row>
    <row r="6846" spans="2:2" ht="15.95" customHeight="1">
      <c r="B6846" s="37"/>
    </row>
    <row r="6847" spans="2:2" ht="15.95" customHeight="1">
      <c r="B6847" s="37"/>
    </row>
    <row r="6848" spans="2:2" ht="15.95" customHeight="1">
      <c r="B6848" s="37"/>
    </row>
    <row r="6849" spans="2:2" ht="15.95" customHeight="1">
      <c r="B6849" s="37"/>
    </row>
    <row r="6850" spans="2:2" ht="15.95" customHeight="1">
      <c r="B6850" s="37"/>
    </row>
    <row r="6851" spans="2:2" ht="15.95" customHeight="1">
      <c r="B6851" s="37"/>
    </row>
    <row r="6852" spans="2:2" ht="15.95" customHeight="1">
      <c r="B6852" s="37"/>
    </row>
    <row r="6853" spans="2:2" ht="15.95" customHeight="1">
      <c r="B6853" s="37"/>
    </row>
    <row r="6854" spans="2:2" ht="15.95" customHeight="1">
      <c r="B6854" s="37"/>
    </row>
    <row r="6855" spans="2:2" ht="15.95" customHeight="1">
      <c r="B6855" s="37"/>
    </row>
    <row r="6856" spans="2:2" ht="15.95" customHeight="1">
      <c r="B6856" s="37"/>
    </row>
    <row r="6857" spans="2:2" ht="15.95" customHeight="1">
      <c r="B6857" s="37"/>
    </row>
    <row r="6858" spans="2:2" ht="15.95" customHeight="1">
      <c r="B6858" s="37"/>
    </row>
    <row r="6859" spans="2:2" ht="15.95" customHeight="1">
      <c r="B6859" s="37"/>
    </row>
    <row r="6860" spans="2:2" ht="15.95" customHeight="1">
      <c r="B6860" s="37"/>
    </row>
    <row r="6861" spans="2:2" ht="15.95" customHeight="1">
      <c r="B6861" s="37"/>
    </row>
    <row r="6862" spans="2:2" ht="15.95" customHeight="1">
      <c r="B6862" s="37"/>
    </row>
    <row r="6863" spans="2:2" ht="15.95" customHeight="1">
      <c r="B6863" s="37"/>
    </row>
    <row r="6864" spans="2:2" ht="15.95" customHeight="1">
      <c r="B6864" s="37"/>
    </row>
    <row r="6865" spans="2:2" ht="15.95" customHeight="1">
      <c r="B6865" s="37"/>
    </row>
    <row r="6866" spans="2:2" ht="15.95" customHeight="1">
      <c r="B6866" s="37"/>
    </row>
    <row r="6867" spans="2:2" ht="15.95" customHeight="1">
      <c r="B6867" s="37"/>
    </row>
    <row r="6868" spans="2:2" ht="15.95" customHeight="1">
      <c r="B6868" s="37"/>
    </row>
    <row r="6869" spans="2:2" ht="15.95" customHeight="1">
      <c r="B6869" s="37"/>
    </row>
    <row r="6870" spans="2:2" ht="15.95" customHeight="1">
      <c r="B6870" s="37"/>
    </row>
    <row r="6871" spans="2:2" ht="15.95" customHeight="1">
      <c r="B6871" s="37"/>
    </row>
    <row r="6872" spans="2:2" ht="15.95" customHeight="1">
      <c r="B6872" s="37"/>
    </row>
    <row r="6873" spans="2:2" ht="15.95" customHeight="1">
      <c r="B6873" s="37"/>
    </row>
    <row r="6874" spans="2:2" ht="15.95" customHeight="1">
      <c r="B6874" s="37"/>
    </row>
    <row r="6875" spans="2:2" ht="15.95" customHeight="1">
      <c r="B6875" s="37"/>
    </row>
    <row r="6876" spans="2:2" ht="15.95" customHeight="1">
      <c r="B6876" s="37"/>
    </row>
    <row r="6877" spans="2:2" ht="15.95" customHeight="1">
      <c r="B6877" s="37"/>
    </row>
    <row r="6878" spans="2:2" ht="15.95" customHeight="1">
      <c r="B6878" s="37"/>
    </row>
    <row r="6879" spans="2:2" ht="15.95" customHeight="1">
      <c r="B6879" s="37"/>
    </row>
    <row r="6880" spans="2:2" ht="15.95" customHeight="1">
      <c r="B6880" s="37"/>
    </row>
    <row r="6881" spans="2:2" ht="15.95" customHeight="1">
      <c r="B6881" s="37"/>
    </row>
    <row r="6882" spans="2:2" ht="15.95" customHeight="1">
      <c r="B6882" s="37"/>
    </row>
    <row r="6883" spans="2:2" ht="15.95" customHeight="1">
      <c r="B6883" s="37"/>
    </row>
    <row r="6884" spans="2:2" ht="15.95" customHeight="1">
      <c r="B6884" s="37"/>
    </row>
    <row r="6885" spans="2:2" ht="15.95" customHeight="1">
      <c r="B6885" s="37"/>
    </row>
    <row r="6886" spans="2:2" ht="15.95" customHeight="1">
      <c r="B6886" s="37"/>
    </row>
    <row r="6887" spans="2:2" ht="15.95" customHeight="1">
      <c r="B6887" s="37"/>
    </row>
    <row r="6888" spans="2:2" ht="15.95" customHeight="1">
      <c r="B6888" s="37"/>
    </row>
    <row r="6889" spans="2:2" ht="15.95" customHeight="1">
      <c r="B6889" s="37"/>
    </row>
    <row r="6890" spans="2:2" ht="15.95" customHeight="1">
      <c r="B6890" s="37"/>
    </row>
    <row r="6891" spans="2:2" ht="15.95" customHeight="1">
      <c r="B6891" s="37"/>
    </row>
    <row r="6892" spans="2:2" ht="15.95" customHeight="1">
      <c r="B6892" s="37"/>
    </row>
    <row r="6893" spans="2:2" ht="15.95" customHeight="1">
      <c r="B6893" s="37"/>
    </row>
    <row r="6894" spans="2:2" ht="15.95" customHeight="1">
      <c r="B6894" s="37"/>
    </row>
    <row r="6895" spans="2:2" ht="15.95" customHeight="1">
      <c r="B6895" s="37"/>
    </row>
    <row r="6896" spans="2:2" ht="15.95" customHeight="1">
      <c r="B6896" s="37"/>
    </row>
    <row r="6897" spans="2:2" ht="15.95" customHeight="1">
      <c r="B6897" s="37"/>
    </row>
    <row r="6898" spans="2:2" ht="15.95" customHeight="1">
      <c r="B6898" s="37"/>
    </row>
    <row r="6899" spans="2:2" ht="15.95" customHeight="1">
      <c r="B6899" s="37"/>
    </row>
    <row r="6900" spans="2:2" ht="15.95" customHeight="1">
      <c r="B6900" s="37"/>
    </row>
    <row r="6901" spans="2:2" ht="15.95" customHeight="1">
      <c r="B6901" s="37"/>
    </row>
    <row r="6902" spans="2:2" ht="15.95" customHeight="1">
      <c r="B6902" s="37"/>
    </row>
    <row r="6903" spans="2:2" ht="15.95" customHeight="1">
      <c r="B6903" s="37"/>
    </row>
    <row r="6904" spans="2:2" ht="15.95" customHeight="1">
      <c r="B6904" s="37"/>
    </row>
    <row r="6905" spans="2:2" ht="15.95" customHeight="1">
      <c r="B6905" s="37"/>
    </row>
    <row r="6906" spans="2:2" ht="15.95" customHeight="1">
      <c r="B6906" s="37"/>
    </row>
    <row r="6907" spans="2:2" ht="15.95" customHeight="1">
      <c r="B6907" s="37"/>
    </row>
    <row r="6908" spans="2:2" ht="15.95" customHeight="1">
      <c r="B6908" s="37"/>
    </row>
    <row r="6909" spans="2:2" ht="15.95" customHeight="1">
      <c r="B6909" s="37"/>
    </row>
    <row r="6910" spans="2:2" ht="15.95" customHeight="1">
      <c r="B6910" s="37"/>
    </row>
    <row r="6911" spans="2:2" ht="15.95" customHeight="1">
      <c r="B6911" s="37"/>
    </row>
    <row r="6912" spans="2:2" ht="15.95" customHeight="1">
      <c r="B6912" s="37"/>
    </row>
    <row r="6913" spans="2:2" ht="15.95" customHeight="1">
      <c r="B6913" s="37"/>
    </row>
    <row r="6914" spans="2:2" ht="15.95" customHeight="1">
      <c r="B6914" s="37"/>
    </row>
    <row r="6915" spans="2:2" ht="15.95" customHeight="1">
      <c r="B6915" s="37"/>
    </row>
    <row r="6916" spans="2:2" ht="15.95" customHeight="1">
      <c r="B6916" s="37"/>
    </row>
    <row r="6917" spans="2:2" ht="15.95" customHeight="1">
      <c r="B6917" s="37"/>
    </row>
    <row r="6918" spans="2:2" ht="15.95" customHeight="1">
      <c r="B6918" s="37"/>
    </row>
    <row r="6919" spans="2:2" ht="15.95" customHeight="1">
      <c r="B6919" s="37"/>
    </row>
    <row r="6920" spans="2:2" ht="15.95" customHeight="1">
      <c r="B6920" s="37"/>
    </row>
    <row r="6921" spans="2:2" ht="15.95" customHeight="1">
      <c r="B6921" s="37"/>
    </row>
    <row r="6922" spans="2:2" ht="15.95" customHeight="1">
      <c r="B6922" s="37"/>
    </row>
    <row r="6923" spans="2:2" ht="15.95" customHeight="1">
      <c r="B6923" s="37"/>
    </row>
    <row r="6924" spans="2:2" ht="15.95" customHeight="1">
      <c r="B6924" s="37"/>
    </row>
    <row r="6925" spans="2:2" ht="15.95" customHeight="1">
      <c r="B6925" s="37"/>
    </row>
    <row r="6926" spans="2:2" ht="15.95" customHeight="1">
      <c r="B6926" s="37"/>
    </row>
    <row r="6927" spans="2:2" ht="15.95" customHeight="1">
      <c r="B6927" s="37"/>
    </row>
    <row r="6928" spans="2:2" ht="15.95" customHeight="1">
      <c r="B6928" s="37"/>
    </row>
    <row r="6929" spans="2:2" ht="15.95" customHeight="1">
      <c r="B6929" s="37"/>
    </row>
    <row r="6930" spans="2:2" ht="15.95" customHeight="1">
      <c r="B6930" s="37"/>
    </row>
    <row r="6931" spans="2:2" ht="15.95" customHeight="1">
      <c r="B6931" s="37"/>
    </row>
    <row r="6932" spans="2:2" ht="15.95" customHeight="1">
      <c r="B6932" s="37"/>
    </row>
    <row r="6933" spans="2:2" ht="15.95" customHeight="1">
      <c r="B6933" s="37"/>
    </row>
    <row r="6934" spans="2:2" ht="15.95" customHeight="1">
      <c r="B6934" s="37"/>
    </row>
    <row r="6935" spans="2:2" ht="15.95" customHeight="1">
      <c r="B6935" s="37"/>
    </row>
    <row r="6936" spans="2:2" ht="15.95" customHeight="1">
      <c r="B6936" s="37"/>
    </row>
    <row r="6937" spans="2:2" ht="15.95" customHeight="1">
      <c r="B6937" s="37"/>
    </row>
    <row r="6938" spans="2:2" ht="15.95" customHeight="1">
      <c r="B6938" s="37"/>
    </row>
    <row r="6939" spans="2:2" ht="15.95" customHeight="1">
      <c r="B6939" s="37"/>
    </row>
    <row r="6940" spans="2:2" ht="15.95" customHeight="1">
      <c r="B6940" s="37"/>
    </row>
    <row r="6941" spans="2:2" ht="15.95" customHeight="1">
      <c r="B6941" s="37"/>
    </row>
    <row r="6942" spans="2:2" ht="15.95" customHeight="1">
      <c r="B6942" s="37"/>
    </row>
    <row r="6943" spans="2:2" ht="15.95" customHeight="1">
      <c r="B6943" s="37"/>
    </row>
    <row r="6944" spans="2:2" ht="15.95" customHeight="1">
      <c r="B6944" s="37"/>
    </row>
    <row r="6945" spans="2:2" ht="15.95" customHeight="1">
      <c r="B6945" s="37"/>
    </row>
    <row r="6946" spans="2:2" ht="15.95" customHeight="1">
      <c r="B6946" s="37"/>
    </row>
    <row r="6947" spans="2:2" ht="15.95" customHeight="1">
      <c r="B6947" s="37"/>
    </row>
    <row r="6948" spans="2:2" ht="15.95" customHeight="1">
      <c r="B6948" s="37"/>
    </row>
    <row r="6949" spans="2:2" ht="15.95" customHeight="1">
      <c r="B6949" s="37"/>
    </row>
    <row r="6950" spans="2:2" ht="15.95" customHeight="1">
      <c r="B6950" s="37"/>
    </row>
    <row r="6951" spans="2:2" ht="15.95" customHeight="1">
      <c r="B6951" s="37"/>
    </row>
    <row r="6952" spans="2:2" ht="15.95" customHeight="1">
      <c r="B6952" s="37"/>
    </row>
    <row r="6953" spans="2:2" ht="15.95" customHeight="1">
      <c r="B6953" s="37"/>
    </row>
    <row r="6954" spans="2:2" ht="15.95" customHeight="1">
      <c r="B6954" s="37"/>
    </row>
    <row r="6955" spans="2:2" ht="15.95" customHeight="1">
      <c r="B6955" s="37"/>
    </row>
    <row r="6956" spans="2:2" ht="15.95" customHeight="1">
      <c r="B6956" s="37"/>
    </row>
    <row r="6957" spans="2:2" ht="15.95" customHeight="1">
      <c r="B6957" s="37"/>
    </row>
    <row r="6958" spans="2:2" ht="15.95" customHeight="1">
      <c r="B6958" s="37"/>
    </row>
    <row r="6959" spans="2:2" ht="15.95" customHeight="1">
      <c r="B6959" s="37"/>
    </row>
    <row r="6960" spans="2:2" ht="15.95" customHeight="1">
      <c r="B6960" s="37"/>
    </row>
    <row r="6961" spans="2:2" ht="15.95" customHeight="1">
      <c r="B6961" s="37"/>
    </row>
    <row r="6962" spans="2:2" ht="15.95" customHeight="1">
      <c r="B6962" s="37"/>
    </row>
    <row r="6963" spans="2:2" ht="15.95" customHeight="1">
      <c r="B6963" s="37"/>
    </row>
    <row r="6964" spans="2:2" ht="15.95" customHeight="1">
      <c r="B6964" s="37"/>
    </row>
    <row r="6965" spans="2:2" ht="15.95" customHeight="1">
      <c r="B6965" s="37"/>
    </row>
    <row r="6966" spans="2:2" ht="15.95" customHeight="1">
      <c r="B6966" s="37"/>
    </row>
    <row r="6967" spans="2:2" ht="15.95" customHeight="1">
      <c r="B6967" s="37"/>
    </row>
    <row r="6968" spans="2:2" ht="15.95" customHeight="1">
      <c r="B6968" s="37"/>
    </row>
    <row r="6969" spans="2:2" ht="15.95" customHeight="1">
      <c r="B6969" s="37"/>
    </row>
    <row r="6970" spans="2:2" ht="15.95" customHeight="1">
      <c r="B6970" s="37"/>
    </row>
    <row r="6971" spans="2:2" ht="15.95" customHeight="1">
      <c r="B6971" s="37"/>
    </row>
    <row r="6972" spans="2:2" ht="15.95" customHeight="1">
      <c r="B6972" s="37"/>
    </row>
    <row r="6973" spans="2:2" ht="15.95" customHeight="1">
      <c r="B6973" s="37"/>
    </row>
    <row r="6974" spans="2:2" ht="15.95" customHeight="1">
      <c r="B6974" s="37"/>
    </row>
    <row r="6975" spans="2:2" ht="15.95" customHeight="1">
      <c r="B6975" s="37"/>
    </row>
    <row r="6976" spans="2:2" ht="15.95" customHeight="1">
      <c r="B6976" s="37"/>
    </row>
    <row r="6977" spans="2:2" ht="15.95" customHeight="1">
      <c r="B6977" s="37"/>
    </row>
    <row r="6978" spans="2:2" ht="15.95" customHeight="1">
      <c r="B6978" s="37"/>
    </row>
    <row r="6979" spans="2:2" ht="15.95" customHeight="1">
      <c r="B6979" s="37"/>
    </row>
    <row r="6980" spans="2:2" ht="15.95" customHeight="1">
      <c r="B6980" s="37"/>
    </row>
    <row r="6981" spans="2:2" ht="15.95" customHeight="1">
      <c r="B6981" s="37"/>
    </row>
    <row r="6982" spans="2:2" ht="15.95" customHeight="1">
      <c r="B6982" s="37"/>
    </row>
    <row r="6983" spans="2:2" ht="15.95" customHeight="1">
      <c r="B6983" s="37"/>
    </row>
    <row r="6984" spans="2:2" ht="15.95" customHeight="1">
      <c r="B6984" s="37"/>
    </row>
    <row r="6985" spans="2:2" ht="15.95" customHeight="1">
      <c r="B6985" s="37"/>
    </row>
    <row r="6986" spans="2:2" ht="15.95" customHeight="1">
      <c r="B6986" s="37"/>
    </row>
    <row r="6987" spans="2:2" ht="15.95" customHeight="1">
      <c r="B6987" s="37"/>
    </row>
    <row r="6988" spans="2:2" ht="15.95" customHeight="1">
      <c r="B6988" s="37"/>
    </row>
    <row r="6989" spans="2:2" ht="15.95" customHeight="1">
      <c r="B6989" s="37"/>
    </row>
    <row r="6990" spans="2:2" ht="15.95" customHeight="1">
      <c r="B6990" s="37"/>
    </row>
    <row r="6991" spans="2:2" ht="15.95" customHeight="1">
      <c r="B6991" s="37"/>
    </row>
    <row r="6992" spans="2:2" ht="15.95" customHeight="1">
      <c r="B6992" s="37"/>
    </row>
    <row r="6993" spans="2:2" ht="15.95" customHeight="1">
      <c r="B6993" s="37"/>
    </row>
    <row r="6994" spans="2:2" ht="15.95" customHeight="1">
      <c r="B6994" s="37"/>
    </row>
    <row r="6995" spans="2:2" ht="15.95" customHeight="1">
      <c r="B6995" s="37"/>
    </row>
    <row r="6996" spans="2:2" ht="15.95" customHeight="1">
      <c r="B6996" s="37"/>
    </row>
    <row r="6997" spans="2:2" ht="15.95" customHeight="1">
      <c r="B6997" s="37"/>
    </row>
    <row r="6998" spans="2:2" ht="15.95" customHeight="1">
      <c r="B6998" s="37"/>
    </row>
    <row r="6999" spans="2:2" ht="15.95" customHeight="1">
      <c r="B6999" s="37"/>
    </row>
    <row r="7000" spans="2:2" ht="15.95" customHeight="1">
      <c r="B7000" s="37"/>
    </row>
    <row r="7001" spans="2:2" ht="15.95" customHeight="1">
      <c r="B7001" s="37"/>
    </row>
    <row r="7002" spans="2:2" ht="15.95" customHeight="1">
      <c r="B7002" s="37"/>
    </row>
    <row r="7003" spans="2:2" ht="15.95" customHeight="1">
      <c r="B7003" s="37"/>
    </row>
    <row r="7004" spans="2:2" ht="15.95" customHeight="1">
      <c r="B7004" s="37"/>
    </row>
    <row r="7005" spans="2:2" ht="15.95" customHeight="1">
      <c r="B7005" s="37"/>
    </row>
    <row r="7006" spans="2:2" ht="15.95" customHeight="1">
      <c r="B7006" s="37"/>
    </row>
    <row r="7007" spans="2:2" ht="15.95" customHeight="1">
      <c r="B7007" s="37"/>
    </row>
    <row r="7008" spans="2:2" ht="15.95" customHeight="1">
      <c r="B7008" s="37"/>
    </row>
    <row r="7009" spans="2:2" ht="15.95" customHeight="1">
      <c r="B7009" s="37"/>
    </row>
    <row r="7010" spans="2:2" ht="15.95" customHeight="1">
      <c r="B7010" s="37"/>
    </row>
    <row r="7011" spans="2:2" ht="15.95" customHeight="1">
      <c r="B7011" s="37"/>
    </row>
    <row r="7012" spans="2:2" ht="15.95" customHeight="1">
      <c r="B7012" s="37"/>
    </row>
    <row r="7013" spans="2:2" ht="15.95" customHeight="1">
      <c r="B7013" s="37"/>
    </row>
    <row r="7014" spans="2:2" ht="15.95" customHeight="1">
      <c r="B7014" s="37"/>
    </row>
    <row r="7015" spans="2:2" ht="15.95" customHeight="1">
      <c r="B7015" s="37"/>
    </row>
    <row r="7016" spans="2:2" ht="15.95" customHeight="1">
      <c r="B7016" s="37"/>
    </row>
    <row r="7017" spans="2:2" ht="15.95" customHeight="1">
      <c r="B7017" s="37"/>
    </row>
    <row r="7018" spans="2:2" ht="15.95" customHeight="1">
      <c r="B7018" s="37"/>
    </row>
    <row r="7019" spans="2:2" ht="15.95" customHeight="1">
      <c r="B7019" s="37"/>
    </row>
    <row r="7020" spans="2:2" ht="15.95" customHeight="1">
      <c r="B7020" s="37"/>
    </row>
    <row r="7021" spans="2:2" ht="15.95" customHeight="1">
      <c r="B7021" s="37"/>
    </row>
    <row r="7022" spans="2:2" ht="15.95" customHeight="1">
      <c r="B7022" s="37"/>
    </row>
    <row r="7023" spans="2:2" ht="15.95" customHeight="1">
      <c r="B7023" s="37"/>
    </row>
    <row r="7024" spans="2:2" ht="15.95" customHeight="1">
      <c r="B7024" s="37"/>
    </row>
    <row r="7025" spans="2:2" ht="15.95" customHeight="1">
      <c r="B7025" s="37"/>
    </row>
    <row r="7026" spans="2:2" ht="15.95" customHeight="1">
      <c r="B7026" s="37"/>
    </row>
    <row r="7027" spans="2:2" ht="15.95" customHeight="1">
      <c r="B7027" s="37"/>
    </row>
    <row r="7028" spans="2:2" ht="15.95" customHeight="1">
      <c r="B7028" s="37"/>
    </row>
    <row r="7029" spans="2:2" ht="15.95" customHeight="1">
      <c r="B7029" s="37"/>
    </row>
    <row r="7030" spans="2:2" ht="15.95" customHeight="1">
      <c r="B7030" s="37"/>
    </row>
    <row r="7031" spans="2:2" ht="15.95" customHeight="1">
      <c r="B7031" s="37"/>
    </row>
    <row r="7032" spans="2:2" ht="15.95" customHeight="1">
      <c r="B7032" s="37"/>
    </row>
    <row r="7033" spans="2:2" ht="15.95" customHeight="1">
      <c r="B7033" s="37"/>
    </row>
    <row r="7034" spans="2:2" ht="15.95" customHeight="1">
      <c r="B7034" s="37"/>
    </row>
    <row r="7035" spans="2:2" ht="15.95" customHeight="1">
      <c r="B7035" s="37"/>
    </row>
    <row r="7036" spans="2:2" ht="15.95" customHeight="1">
      <c r="B7036" s="37"/>
    </row>
    <row r="7037" spans="2:2" ht="15.95" customHeight="1">
      <c r="B7037" s="37"/>
    </row>
    <row r="7038" spans="2:2" ht="15.95" customHeight="1">
      <c r="B7038" s="37"/>
    </row>
    <row r="7039" spans="2:2" ht="15.95" customHeight="1">
      <c r="B7039" s="37"/>
    </row>
    <row r="7040" spans="2:2" ht="15.95" customHeight="1">
      <c r="B7040" s="37"/>
    </row>
    <row r="7041" spans="2:2" ht="15.95" customHeight="1">
      <c r="B7041" s="37"/>
    </row>
    <row r="7042" spans="2:2" ht="15.95" customHeight="1">
      <c r="B7042" s="37"/>
    </row>
    <row r="7043" spans="2:2" ht="15.95" customHeight="1">
      <c r="B7043" s="37"/>
    </row>
    <row r="7044" spans="2:2" ht="15.95" customHeight="1">
      <c r="B7044" s="37"/>
    </row>
    <row r="7045" spans="2:2" ht="15.95" customHeight="1">
      <c r="B7045" s="37"/>
    </row>
    <row r="7046" spans="2:2" ht="15.95" customHeight="1">
      <c r="B7046" s="37"/>
    </row>
    <row r="7047" spans="2:2" ht="15.95" customHeight="1">
      <c r="B7047" s="37"/>
    </row>
    <row r="7048" spans="2:2" ht="15.95" customHeight="1">
      <c r="B7048" s="37"/>
    </row>
    <row r="7049" spans="2:2" ht="15.95" customHeight="1">
      <c r="B7049" s="37"/>
    </row>
    <row r="7050" spans="2:2" ht="15.95" customHeight="1">
      <c r="B7050" s="37"/>
    </row>
    <row r="7051" spans="2:2" ht="15.95" customHeight="1">
      <c r="B7051" s="37"/>
    </row>
    <row r="7052" spans="2:2" ht="15.95" customHeight="1">
      <c r="B7052" s="37"/>
    </row>
    <row r="7053" spans="2:2" ht="15.95" customHeight="1">
      <c r="B7053" s="37"/>
    </row>
    <row r="7054" spans="2:2" ht="15.95" customHeight="1">
      <c r="B7054" s="37"/>
    </row>
    <row r="7055" spans="2:2" ht="15.95" customHeight="1">
      <c r="B7055" s="37"/>
    </row>
    <row r="7056" spans="2:2" ht="15.95" customHeight="1">
      <c r="B7056" s="37"/>
    </row>
    <row r="7057" spans="2:2" ht="15.95" customHeight="1">
      <c r="B7057" s="37"/>
    </row>
    <row r="7058" spans="2:2" ht="15.95" customHeight="1">
      <c r="B7058" s="37"/>
    </row>
    <row r="7059" spans="2:2" ht="15.95" customHeight="1">
      <c r="B7059" s="37"/>
    </row>
    <row r="7060" spans="2:2" ht="15.95" customHeight="1">
      <c r="B7060" s="37"/>
    </row>
    <row r="7061" spans="2:2" ht="15.95" customHeight="1">
      <c r="B7061" s="37"/>
    </row>
    <row r="7062" spans="2:2" ht="15.95" customHeight="1">
      <c r="B7062" s="37"/>
    </row>
    <row r="7063" spans="2:2" ht="15.95" customHeight="1">
      <c r="B7063" s="37"/>
    </row>
    <row r="7064" spans="2:2" ht="15.95" customHeight="1">
      <c r="B7064" s="37"/>
    </row>
    <row r="7065" spans="2:2" ht="15.95" customHeight="1">
      <c r="B7065" s="37"/>
    </row>
    <row r="7066" spans="2:2" ht="15.95" customHeight="1">
      <c r="B7066" s="37"/>
    </row>
    <row r="7067" spans="2:2" ht="15.95" customHeight="1">
      <c r="B7067" s="37"/>
    </row>
    <row r="7068" spans="2:2" ht="15.95" customHeight="1">
      <c r="B7068" s="37"/>
    </row>
    <row r="7069" spans="2:2" ht="15.95" customHeight="1">
      <c r="B7069" s="37"/>
    </row>
    <row r="7070" spans="2:2" ht="15.95" customHeight="1">
      <c r="B7070" s="37"/>
    </row>
    <row r="7071" spans="2:2" ht="15.95" customHeight="1">
      <c r="B7071" s="37"/>
    </row>
    <row r="7072" spans="2:2" ht="15.95" customHeight="1">
      <c r="B7072" s="37"/>
    </row>
    <row r="7073" spans="2:2" ht="15.95" customHeight="1">
      <c r="B7073" s="37"/>
    </row>
    <row r="7074" spans="2:2" ht="15.95" customHeight="1">
      <c r="B7074" s="37"/>
    </row>
    <row r="7075" spans="2:2" ht="15.95" customHeight="1">
      <c r="B7075" s="37"/>
    </row>
    <row r="7076" spans="2:2" ht="15.95" customHeight="1">
      <c r="B7076" s="37"/>
    </row>
    <row r="7077" spans="2:2" ht="15.95" customHeight="1">
      <c r="B7077" s="37"/>
    </row>
    <row r="7078" spans="2:2" ht="15.95" customHeight="1">
      <c r="B7078" s="37"/>
    </row>
    <row r="7079" spans="2:2" ht="15.95" customHeight="1">
      <c r="B7079" s="37"/>
    </row>
    <row r="7080" spans="2:2" ht="15.95" customHeight="1">
      <c r="B7080" s="37"/>
    </row>
    <row r="7081" spans="2:2" ht="15.95" customHeight="1">
      <c r="B7081" s="37"/>
    </row>
    <row r="7082" spans="2:2" ht="15.95" customHeight="1">
      <c r="B7082" s="37"/>
    </row>
    <row r="7083" spans="2:2" ht="15.95" customHeight="1">
      <c r="B7083" s="37"/>
    </row>
    <row r="7084" spans="2:2" ht="15.95" customHeight="1">
      <c r="B7084" s="37"/>
    </row>
    <row r="7085" spans="2:2" ht="15.95" customHeight="1">
      <c r="B7085" s="37"/>
    </row>
    <row r="7086" spans="2:2" ht="15.95" customHeight="1">
      <c r="B7086" s="37"/>
    </row>
    <row r="7087" spans="2:2" ht="15.95" customHeight="1">
      <c r="B7087" s="37"/>
    </row>
    <row r="7088" spans="2:2" ht="15.95" customHeight="1">
      <c r="B7088" s="37"/>
    </row>
    <row r="7089" spans="2:2" ht="15.95" customHeight="1">
      <c r="B7089" s="37"/>
    </row>
    <row r="7090" spans="2:2" ht="15.95" customHeight="1">
      <c r="B7090" s="37"/>
    </row>
    <row r="7091" spans="2:2" ht="15.95" customHeight="1">
      <c r="B7091" s="37"/>
    </row>
    <row r="7092" spans="2:2" ht="15.95" customHeight="1">
      <c r="B7092" s="37"/>
    </row>
    <row r="7093" spans="2:2" ht="15.95" customHeight="1">
      <c r="B7093" s="37"/>
    </row>
    <row r="7094" spans="2:2" ht="15.95" customHeight="1">
      <c r="B7094" s="37"/>
    </row>
    <row r="7095" spans="2:2" ht="15.95" customHeight="1">
      <c r="B7095" s="37"/>
    </row>
    <row r="7096" spans="2:2" ht="15.95" customHeight="1">
      <c r="B7096" s="37"/>
    </row>
    <row r="7097" spans="2:2" ht="15.95" customHeight="1">
      <c r="B7097" s="37"/>
    </row>
    <row r="7098" spans="2:2" ht="15.95" customHeight="1">
      <c r="B7098" s="37"/>
    </row>
    <row r="7099" spans="2:2" ht="15.95" customHeight="1">
      <c r="B7099" s="37"/>
    </row>
    <row r="7100" spans="2:2" ht="15.95" customHeight="1">
      <c r="B7100" s="37"/>
    </row>
    <row r="7101" spans="2:2" ht="15.95" customHeight="1">
      <c r="B7101" s="37"/>
    </row>
    <row r="7102" spans="2:2" ht="15.95" customHeight="1">
      <c r="B7102" s="37"/>
    </row>
    <row r="7103" spans="2:2" ht="15.95" customHeight="1">
      <c r="B7103" s="37"/>
    </row>
    <row r="7104" spans="2:2" ht="15.95" customHeight="1">
      <c r="B7104" s="37"/>
    </row>
    <row r="7105" spans="2:2" ht="15.95" customHeight="1">
      <c r="B7105" s="37"/>
    </row>
    <row r="7106" spans="2:2" ht="15.95" customHeight="1">
      <c r="B7106" s="37"/>
    </row>
    <row r="7107" spans="2:2" ht="15.95" customHeight="1">
      <c r="B7107" s="37"/>
    </row>
    <row r="7108" spans="2:2" ht="15.95" customHeight="1">
      <c r="B7108" s="37"/>
    </row>
    <row r="7109" spans="2:2" ht="15.95" customHeight="1">
      <c r="B7109" s="37"/>
    </row>
    <row r="7110" spans="2:2" ht="15.95" customHeight="1">
      <c r="B7110" s="37"/>
    </row>
    <row r="7111" spans="2:2" ht="15.95" customHeight="1">
      <c r="B7111" s="37"/>
    </row>
    <row r="7112" spans="2:2" ht="15.95" customHeight="1">
      <c r="B7112" s="37"/>
    </row>
    <row r="7113" spans="2:2" ht="15.95" customHeight="1">
      <c r="B7113" s="37"/>
    </row>
    <row r="7114" spans="2:2" ht="15.95" customHeight="1">
      <c r="B7114" s="37"/>
    </row>
    <row r="7115" spans="2:2" ht="15.95" customHeight="1">
      <c r="B7115" s="37"/>
    </row>
    <row r="7116" spans="2:2" ht="15.95" customHeight="1">
      <c r="B7116" s="37"/>
    </row>
    <row r="7117" spans="2:2" ht="15.95" customHeight="1">
      <c r="B7117" s="37"/>
    </row>
    <row r="7118" spans="2:2" ht="15.95" customHeight="1">
      <c r="B7118" s="37"/>
    </row>
    <row r="7119" spans="2:2" ht="15.95" customHeight="1">
      <c r="B7119" s="37"/>
    </row>
    <row r="7120" spans="2:2" ht="15.95" customHeight="1">
      <c r="B7120" s="37"/>
    </row>
    <row r="7121" spans="2:2" ht="15.95" customHeight="1">
      <c r="B7121" s="37"/>
    </row>
    <row r="7122" spans="2:2" ht="15.95" customHeight="1">
      <c r="B7122" s="37"/>
    </row>
    <row r="7123" spans="2:2" ht="15.95" customHeight="1">
      <c r="B7123" s="37"/>
    </row>
    <row r="7124" spans="2:2" ht="15.95" customHeight="1">
      <c r="B7124" s="37"/>
    </row>
    <row r="7125" spans="2:2" ht="15.95" customHeight="1">
      <c r="B7125" s="37"/>
    </row>
    <row r="7126" spans="2:2" ht="15.95" customHeight="1">
      <c r="B7126" s="37"/>
    </row>
    <row r="7127" spans="2:2" ht="15.95" customHeight="1">
      <c r="B7127" s="37"/>
    </row>
    <row r="7128" spans="2:2" ht="15.95" customHeight="1">
      <c r="B7128" s="37"/>
    </row>
    <row r="7129" spans="2:2" ht="15.95" customHeight="1">
      <c r="B7129" s="37"/>
    </row>
    <row r="7130" spans="2:2" ht="15.95" customHeight="1">
      <c r="B7130" s="37"/>
    </row>
    <row r="7131" spans="2:2" ht="15.95" customHeight="1">
      <c r="B7131" s="37"/>
    </row>
    <row r="7132" spans="2:2" ht="15.95" customHeight="1">
      <c r="B7132" s="37"/>
    </row>
    <row r="7133" spans="2:2" ht="15.95" customHeight="1">
      <c r="B7133" s="37"/>
    </row>
    <row r="7134" spans="2:2" ht="15.95" customHeight="1">
      <c r="B7134" s="37"/>
    </row>
    <row r="7135" spans="2:2" ht="15.95" customHeight="1">
      <c r="B7135" s="37"/>
    </row>
    <row r="7136" spans="2:2" ht="15.95" customHeight="1">
      <c r="B7136" s="37"/>
    </row>
    <row r="7137" spans="2:2" ht="15.95" customHeight="1">
      <c r="B7137" s="37"/>
    </row>
    <row r="7138" spans="2:2" ht="15.95" customHeight="1">
      <c r="B7138" s="37"/>
    </row>
    <row r="7139" spans="2:2" ht="15.95" customHeight="1">
      <c r="B7139" s="37"/>
    </row>
    <row r="7140" spans="2:2" ht="15.95" customHeight="1">
      <c r="B7140" s="37"/>
    </row>
    <row r="7141" spans="2:2" ht="15.95" customHeight="1">
      <c r="B7141" s="37"/>
    </row>
    <row r="7142" spans="2:2" ht="15.95" customHeight="1">
      <c r="B7142" s="37"/>
    </row>
    <row r="7143" spans="2:2" ht="15.95" customHeight="1">
      <c r="B7143" s="37"/>
    </row>
    <row r="7144" spans="2:2" ht="15.95" customHeight="1">
      <c r="B7144" s="37"/>
    </row>
    <row r="7145" spans="2:2" ht="15.95" customHeight="1">
      <c r="B7145" s="37"/>
    </row>
    <row r="7146" spans="2:2" ht="15.95" customHeight="1">
      <c r="B7146" s="37"/>
    </row>
    <row r="7147" spans="2:2" ht="15.95" customHeight="1">
      <c r="B7147" s="37"/>
    </row>
    <row r="7148" spans="2:2" ht="15.95" customHeight="1">
      <c r="B7148" s="37"/>
    </row>
    <row r="7149" spans="2:2" ht="15.95" customHeight="1">
      <c r="B7149" s="37"/>
    </row>
    <row r="7150" spans="2:2" ht="15.95" customHeight="1">
      <c r="B7150" s="37"/>
    </row>
    <row r="7151" spans="2:2" ht="15.95" customHeight="1">
      <c r="B7151" s="37"/>
    </row>
    <row r="7152" spans="2:2" ht="15.95" customHeight="1">
      <c r="B7152" s="37"/>
    </row>
    <row r="7153" spans="2:2" ht="15.95" customHeight="1">
      <c r="B7153" s="37"/>
    </row>
    <row r="7154" spans="2:2" ht="15.95" customHeight="1">
      <c r="B7154" s="37"/>
    </row>
    <row r="7155" spans="2:2" ht="15.95" customHeight="1">
      <c r="B7155" s="37"/>
    </row>
    <row r="7156" spans="2:2" ht="15.95" customHeight="1">
      <c r="B7156" s="37"/>
    </row>
    <row r="7157" spans="2:2" ht="15.95" customHeight="1">
      <c r="B7157" s="37"/>
    </row>
    <row r="7158" spans="2:2" ht="15.95" customHeight="1">
      <c r="B7158" s="37"/>
    </row>
    <row r="7159" spans="2:2" ht="15.95" customHeight="1">
      <c r="B7159" s="37"/>
    </row>
    <row r="7160" spans="2:2" ht="15.95" customHeight="1">
      <c r="B7160" s="37"/>
    </row>
    <row r="7161" spans="2:2" ht="15.95" customHeight="1">
      <c r="B7161" s="37"/>
    </row>
    <row r="7162" spans="2:2" ht="15.95" customHeight="1">
      <c r="B7162" s="37"/>
    </row>
    <row r="7163" spans="2:2" ht="15.95" customHeight="1">
      <c r="B7163" s="37"/>
    </row>
    <row r="7164" spans="2:2" ht="15.95" customHeight="1">
      <c r="B7164" s="37"/>
    </row>
    <row r="7165" spans="2:2" ht="15.95" customHeight="1">
      <c r="B7165" s="37"/>
    </row>
    <row r="7166" spans="2:2" ht="15.95" customHeight="1">
      <c r="B7166" s="37"/>
    </row>
    <row r="7167" spans="2:2" ht="15.95" customHeight="1">
      <c r="B7167" s="37"/>
    </row>
    <row r="7168" spans="2:2" ht="15.95" customHeight="1">
      <c r="B7168" s="37"/>
    </row>
    <row r="7169" spans="2:2" ht="15.95" customHeight="1">
      <c r="B7169" s="37"/>
    </row>
    <row r="7170" spans="2:2" ht="15.95" customHeight="1">
      <c r="B7170" s="37"/>
    </row>
    <row r="7171" spans="2:2" ht="15.95" customHeight="1">
      <c r="B7171" s="37"/>
    </row>
    <row r="7172" spans="2:2" ht="15.95" customHeight="1">
      <c r="B7172" s="37"/>
    </row>
    <row r="7173" spans="2:2" ht="15.95" customHeight="1">
      <c r="B7173" s="37"/>
    </row>
    <row r="7174" spans="2:2" ht="15.95" customHeight="1">
      <c r="B7174" s="37"/>
    </row>
    <row r="7175" spans="2:2" ht="15.95" customHeight="1">
      <c r="B7175" s="37"/>
    </row>
    <row r="7176" spans="2:2" ht="15.95" customHeight="1">
      <c r="B7176" s="37"/>
    </row>
    <row r="7177" spans="2:2" ht="15.95" customHeight="1">
      <c r="B7177" s="37"/>
    </row>
    <row r="7178" spans="2:2" ht="15.95" customHeight="1">
      <c r="B7178" s="37"/>
    </row>
    <row r="7179" spans="2:2" ht="15.95" customHeight="1">
      <c r="B7179" s="37"/>
    </row>
    <row r="7180" spans="2:2" ht="15.95" customHeight="1">
      <c r="B7180" s="37"/>
    </row>
    <row r="7181" spans="2:2" ht="15.95" customHeight="1">
      <c r="B7181" s="37"/>
    </row>
    <row r="7182" spans="2:2" ht="15.95" customHeight="1">
      <c r="B7182" s="37"/>
    </row>
    <row r="7183" spans="2:2" ht="15.95" customHeight="1">
      <c r="B7183" s="37"/>
    </row>
    <row r="7184" spans="2:2" ht="15.95" customHeight="1">
      <c r="B7184" s="37"/>
    </row>
    <row r="7185" spans="2:2" ht="15.95" customHeight="1">
      <c r="B7185" s="37"/>
    </row>
    <row r="7186" spans="2:2" ht="15.95" customHeight="1">
      <c r="B7186" s="37"/>
    </row>
    <row r="7187" spans="2:2" ht="15.95" customHeight="1">
      <c r="B7187" s="37"/>
    </row>
    <row r="7188" spans="2:2" ht="15.95" customHeight="1">
      <c r="B7188" s="37"/>
    </row>
    <row r="7189" spans="2:2" ht="15.95" customHeight="1">
      <c r="B7189" s="37"/>
    </row>
    <row r="7190" spans="2:2" ht="15.95" customHeight="1">
      <c r="B7190" s="37"/>
    </row>
    <row r="7191" spans="2:2" ht="15.95" customHeight="1">
      <c r="B7191" s="37"/>
    </row>
    <row r="7192" spans="2:2" ht="15.95" customHeight="1">
      <c r="B7192" s="37"/>
    </row>
    <row r="7193" spans="2:2" ht="15.95" customHeight="1">
      <c r="B7193" s="37"/>
    </row>
    <row r="7194" spans="2:2" ht="15.95" customHeight="1">
      <c r="B7194" s="37"/>
    </row>
    <row r="7195" spans="2:2" ht="15.95" customHeight="1">
      <c r="B7195" s="37"/>
    </row>
    <row r="7196" spans="2:2" ht="15.95" customHeight="1">
      <c r="B7196" s="37"/>
    </row>
    <row r="7197" spans="2:2" ht="15.95" customHeight="1">
      <c r="B7197" s="37"/>
    </row>
    <row r="7198" spans="2:2" ht="15.95" customHeight="1">
      <c r="B7198" s="37"/>
    </row>
    <row r="7199" spans="2:2" ht="15.95" customHeight="1">
      <c r="B7199" s="37"/>
    </row>
    <row r="7200" spans="2:2" ht="15.95" customHeight="1">
      <c r="B7200" s="37"/>
    </row>
    <row r="7201" spans="2:2" ht="15.95" customHeight="1">
      <c r="B7201" s="37"/>
    </row>
    <row r="7202" spans="2:2" ht="15.95" customHeight="1">
      <c r="B7202" s="37"/>
    </row>
    <row r="7203" spans="2:2" ht="15.95" customHeight="1">
      <c r="B7203" s="37"/>
    </row>
    <row r="7204" spans="2:2" ht="15.95" customHeight="1">
      <c r="B7204" s="37"/>
    </row>
    <row r="7205" spans="2:2" ht="15.95" customHeight="1">
      <c r="B7205" s="37"/>
    </row>
    <row r="7206" spans="2:2" ht="15.95" customHeight="1">
      <c r="B7206" s="37"/>
    </row>
    <row r="7207" spans="2:2" ht="15.95" customHeight="1">
      <c r="B7207" s="37"/>
    </row>
    <row r="7208" spans="2:2" ht="15.95" customHeight="1">
      <c r="B7208" s="37"/>
    </row>
    <row r="7209" spans="2:2" ht="15.95" customHeight="1">
      <c r="B7209" s="37"/>
    </row>
    <row r="7210" spans="2:2" ht="15.95" customHeight="1">
      <c r="B7210" s="37"/>
    </row>
    <row r="7211" spans="2:2" ht="15.95" customHeight="1">
      <c r="B7211" s="37"/>
    </row>
    <row r="7212" spans="2:2" ht="15.95" customHeight="1">
      <c r="B7212" s="37"/>
    </row>
    <row r="7213" spans="2:2" ht="15.95" customHeight="1">
      <c r="B7213" s="37"/>
    </row>
    <row r="7214" spans="2:2" ht="15.95" customHeight="1">
      <c r="B7214" s="37"/>
    </row>
    <row r="7215" spans="2:2" ht="15.95" customHeight="1">
      <c r="B7215" s="37"/>
    </row>
    <row r="7216" spans="2:2" ht="15.95" customHeight="1">
      <c r="B7216" s="37"/>
    </row>
    <row r="7217" spans="2:2" ht="15.95" customHeight="1">
      <c r="B7217" s="37"/>
    </row>
    <row r="7218" spans="2:2" ht="15.95" customHeight="1">
      <c r="B7218" s="37"/>
    </row>
    <row r="7219" spans="2:2" ht="15.95" customHeight="1">
      <c r="B7219" s="37"/>
    </row>
    <row r="7220" spans="2:2" ht="15.95" customHeight="1">
      <c r="B7220" s="37"/>
    </row>
    <row r="7221" spans="2:2" ht="15.95" customHeight="1">
      <c r="B7221" s="37"/>
    </row>
    <row r="7222" spans="2:2" ht="15.95" customHeight="1">
      <c r="B7222" s="37"/>
    </row>
    <row r="7223" spans="2:2" ht="15.95" customHeight="1">
      <c r="B7223" s="37"/>
    </row>
    <row r="7224" spans="2:2" ht="15.95" customHeight="1">
      <c r="B7224" s="37"/>
    </row>
    <row r="7225" spans="2:2" ht="15.95" customHeight="1">
      <c r="B7225" s="37"/>
    </row>
    <row r="7226" spans="2:2" ht="15.95" customHeight="1">
      <c r="B7226" s="37"/>
    </row>
    <row r="7227" spans="2:2" ht="15.95" customHeight="1">
      <c r="B7227" s="37"/>
    </row>
    <row r="7228" spans="2:2" ht="15.95" customHeight="1">
      <c r="B7228" s="37"/>
    </row>
    <row r="7229" spans="2:2" ht="15.95" customHeight="1">
      <c r="B7229" s="37"/>
    </row>
    <row r="7230" spans="2:2" ht="15.95" customHeight="1">
      <c r="B7230" s="37"/>
    </row>
    <row r="7231" spans="2:2" ht="15.95" customHeight="1">
      <c r="B7231" s="37"/>
    </row>
    <row r="7232" spans="2:2" ht="15.95" customHeight="1">
      <c r="B7232" s="37"/>
    </row>
    <row r="7233" spans="2:2" ht="15.95" customHeight="1">
      <c r="B7233" s="37"/>
    </row>
    <row r="7234" spans="2:2" ht="15.95" customHeight="1">
      <c r="B7234" s="37"/>
    </row>
    <row r="7235" spans="2:2" ht="15.95" customHeight="1">
      <c r="B7235" s="37"/>
    </row>
    <row r="7236" spans="2:2" ht="15.95" customHeight="1">
      <c r="B7236" s="37"/>
    </row>
    <row r="7237" spans="2:2" ht="15.95" customHeight="1">
      <c r="B7237" s="37"/>
    </row>
    <row r="7238" spans="2:2" ht="15.95" customHeight="1">
      <c r="B7238" s="37"/>
    </row>
    <row r="7239" spans="2:2" ht="15.95" customHeight="1">
      <c r="B7239" s="37"/>
    </row>
    <row r="7240" spans="2:2" ht="15.95" customHeight="1">
      <c r="B7240" s="37"/>
    </row>
    <row r="7241" spans="2:2" ht="15.95" customHeight="1">
      <c r="B7241" s="37"/>
    </row>
    <row r="7242" spans="2:2" ht="15.95" customHeight="1">
      <c r="B7242" s="37"/>
    </row>
    <row r="7243" spans="2:2" ht="15.95" customHeight="1">
      <c r="B7243" s="37"/>
    </row>
    <row r="7244" spans="2:2" ht="15.95" customHeight="1">
      <c r="B7244" s="37"/>
    </row>
    <row r="7245" spans="2:2" ht="15.95" customHeight="1">
      <c r="B7245" s="37"/>
    </row>
    <row r="7246" spans="2:2" ht="15.95" customHeight="1">
      <c r="B7246" s="37"/>
    </row>
    <row r="7247" spans="2:2" ht="15.95" customHeight="1">
      <c r="B7247" s="37"/>
    </row>
    <row r="7248" spans="2:2" ht="15.95" customHeight="1">
      <c r="B7248" s="37"/>
    </row>
    <row r="7249" spans="2:2" ht="15.95" customHeight="1">
      <c r="B7249" s="37"/>
    </row>
    <row r="7250" spans="2:2" ht="15.95" customHeight="1">
      <c r="B7250" s="37"/>
    </row>
    <row r="7251" spans="2:2" ht="15.95" customHeight="1">
      <c r="B7251" s="37"/>
    </row>
    <row r="7252" spans="2:2" ht="15.95" customHeight="1">
      <c r="B7252" s="37"/>
    </row>
    <row r="7253" spans="2:2" ht="15.95" customHeight="1">
      <c r="B7253" s="37"/>
    </row>
    <row r="7254" spans="2:2" ht="15.95" customHeight="1">
      <c r="B7254" s="37"/>
    </row>
    <row r="7255" spans="2:2" ht="15.95" customHeight="1">
      <c r="B7255" s="37"/>
    </row>
    <row r="7256" spans="2:2" ht="15.95" customHeight="1">
      <c r="B7256" s="37"/>
    </row>
    <row r="7257" spans="2:2" ht="15.95" customHeight="1">
      <c r="B7257" s="37"/>
    </row>
    <row r="7258" spans="2:2" ht="15.95" customHeight="1">
      <c r="B7258" s="37"/>
    </row>
    <row r="7259" spans="2:2" ht="15.95" customHeight="1">
      <c r="B7259" s="37"/>
    </row>
    <row r="7260" spans="2:2" ht="15.95" customHeight="1">
      <c r="B7260" s="37"/>
    </row>
    <row r="7261" spans="2:2" ht="15.95" customHeight="1">
      <c r="B7261" s="37"/>
    </row>
    <row r="7262" spans="2:2" ht="15.95" customHeight="1">
      <c r="B7262" s="37"/>
    </row>
    <row r="7263" spans="2:2" ht="15.95" customHeight="1">
      <c r="B7263" s="37"/>
    </row>
    <row r="7264" spans="2:2" ht="15.95" customHeight="1">
      <c r="B7264" s="37"/>
    </row>
    <row r="7265" spans="2:2" ht="15.95" customHeight="1">
      <c r="B7265" s="37"/>
    </row>
    <row r="7266" spans="2:2" ht="15.95" customHeight="1">
      <c r="B7266" s="37"/>
    </row>
    <row r="7267" spans="2:2" ht="15.95" customHeight="1">
      <c r="B7267" s="37"/>
    </row>
    <row r="7268" spans="2:2" ht="15.95" customHeight="1">
      <c r="B7268" s="37"/>
    </row>
    <row r="7269" spans="2:2" ht="15.95" customHeight="1">
      <c r="B7269" s="37"/>
    </row>
    <row r="7270" spans="2:2" ht="15.95" customHeight="1">
      <c r="B7270" s="37"/>
    </row>
    <row r="7271" spans="2:2" ht="15.95" customHeight="1">
      <c r="B7271" s="37"/>
    </row>
    <row r="7272" spans="2:2" ht="15.95" customHeight="1">
      <c r="B7272" s="37"/>
    </row>
    <row r="7273" spans="2:2" ht="15.95" customHeight="1">
      <c r="B7273" s="37"/>
    </row>
    <row r="7274" spans="2:2" ht="15.95" customHeight="1">
      <c r="B7274" s="37"/>
    </row>
    <row r="7275" spans="2:2" ht="15.95" customHeight="1">
      <c r="B7275" s="37"/>
    </row>
    <row r="7276" spans="2:2" ht="15.95" customHeight="1">
      <c r="B7276" s="37"/>
    </row>
    <row r="7277" spans="2:2" ht="15.95" customHeight="1">
      <c r="B7277" s="37"/>
    </row>
    <row r="7278" spans="2:2" ht="15.95" customHeight="1">
      <c r="B7278" s="37"/>
    </row>
    <row r="7279" spans="2:2" ht="15.95" customHeight="1">
      <c r="B7279" s="37"/>
    </row>
    <row r="7280" spans="2:2" ht="15.95" customHeight="1">
      <c r="B7280" s="37"/>
    </row>
    <row r="7281" spans="2:2" ht="15.95" customHeight="1">
      <c r="B7281" s="37"/>
    </row>
    <row r="7282" spans="2:2" ht="15.95" customHeight="1">
      <c r="B7282" s="37"/>
    </row>
    <row r="7283" spans="2:2" ht="15.95" customHeight="1">
      <c r="B7283" s="37"/>
    </row>
    <row r="7284" spans="2:2" ht="15.95" customHeight="1">
      <c r="B7284" s="37"/>
    </row>
    <row r="7285" spans="2:2" ht="15.95" customHeight="1">
      <c r="B7285" s="37"/>
    </row>
    <row r="7286" spans="2:2" ht="15.95" customHeight="1">
      <c r="B7286" s="37"/>
    </row>
    <row r="7287" spans="2:2" ht="15.95" customHeight="1">
      <c r="B7287" s="37"/>
    </row>
    <row r="7288" spans="2:2" ht="15.95" customHeight="1">
      <c r="B7288" s="37"/>
    </row>
    <row r="7289" spans="2:2" ht="15.95" customHeight="1">
      <c r="B7289" s="37"/>
    </row>
    <row r="7290" spans="2:2" ht="15.95" customHeight="1">
      <c r="B7290" s="37"/>
    </row>
    <row r="7291" spans="2:2" ht="15.95" customHeight="1">
      <c r="B7291" s="37"/>
    </row>
    <row r="7292" spans="2:2" ht="15.95" customHeight="1">
      <c r="B7292" s="37"/>
    </row>
    <row r="7293" spans="2:2" ht="15.95" customHeight="1">
      <c r="B7293" s="37"/>
    </row>
    <row r="7294" spans="2:2" ht="15.95" customHeight="1">
      <c r="B7294" s="37"/>
    </row>
    <row r="7295" spans="2:2" ht="15.95" customHeight="1">
      <c r="B7295" s="37"/>
    </row>
    <row r="7296" spans="2:2" ht="15.95" customHeight="1">
      <c r="B7296" s="37"/>
    </row>
    <row r="7297" spans="2:2" ht="15.95" customHeight="1">
      <c r="B7297" s="37"/>
    </row>
    <row r="7298" spans="2:2" ht="15.95" customHeight="1">
      <c r="B7298" s="37"/>
    </row>
    <row r="7299" spans="2:2" ht="15.95" customHeight="1">
      <c r="B7299" s="37"/>
    </row>
    <row r="7300" spans="2:2" ht="15.95" customHeight="1">
      <c r="B7300" s="37"/>
    </row>
    <row r="7301" spans="2:2" ht="15.95" customHeight="1">
      <c r="B7301" s="37"/>
    </row>
    <row r="7302" spans="2:2" ht="15.95" customHeight="1">
      <c r="B7302" s="37"/>
    </row>
    <row r="7303" spans="2:2" ht="15.95" customHeight="1">
      <c r="B7303" s="37"/>
    </row>
    <row r="7304" spans="2:2" ht="15.95" customHeight="1">
      <c r="B7304" s="37"/>
    </row>
    <row r="7305" spans="2:2" ht="15.95" customHeight="1">
      <c r="B7305" s="37"/>
    </row>
    <row r="7306" spans="2:2" ht="15.95" customHeight="1">
      <c r="B7306" s="37"/>
    </row>
    <row r="7307" spans="2:2" ht="15.95" customHeight="1">
      <c r="B7307" s="37"/>
    </row>
    <row r="7308" spans="2:2" ht="15.95" customHeight="1">
      <c r="B7308" s="37"/>
    </row>
    <row r="7309" spans="2:2" ht="15.95" customHeight="1">
      <c r="B7309" s="37"/>
    </row>
    <row r="7310" spans="2:2" ht="15.95" customHeight="1">
      <c r="B7310" s="37"/>
    </row>
    <row r="7311" spans="2:2" ht="15.95" customHeight="1">
      <c r="B7311" s="37"/>
    </row>
    <row r="7312" spans="2:2" ht="15.95" customHeight="1">
      <c r="B7312" s="37"/>
    </row>
    <row r="7313" spans="2:2" ht="15.95" customHeight="1">
      <c r="B7313" s="37"/>
    </row>
    <row r="7314" spans="2:2" ht="15.95" customHeight="1">
      <c r="B7314" s="37"/>
    </row>
    <row r="7315" spans="2:2" ht="15.95" customHeight="1">
      <c r="B7315" s="37"/>
    </row>
    <row r="7316" spans="2:2" ht="15.95" customHeight="1">
      <c r="B7316" s="37"/>
    </row>
    <row r="7317" spans="2:2" ht="15.95" customHeight="1">
      <c r="B7317" s="37"/>
    </row>
    <row r="7318" spans="2:2" ht="15.95" customHeight="1">
      <c r="B7318" s="37"/>
    </row>
    <row r="7319" spans="2:2" ht="15.95" customHeight="1">
      <c r="B7319" s="37"/>
    </row>
    <row r="7320" spans="2:2" ht="15.95" customHeight="1">
      <c r="B7320" s="37"/>
    </row>
    <row r="7321" spans="2:2" ht="15.95" customHeight="1">
      <c r="B7321" s="37"/>
    </row>
    <row r="7322" spans="2:2" ht="15.95" customHeight="1">
      <c r="B7322" s="37"/>
    </row>
    <row r="7323" spans="2:2" ht="15.95" customHeight="1">
      <c r="B7323" s="37"/>
    </row>
    <row r="7324" spans="2:2" ht="15.95" customHeight="1">
      <c r="B7324" s="37"/>
    </row>
    <row r="7325" spans="2:2" ht="15.95" customHeight="1">
      <c r="B7325" s="37"/>
    </row>
    <row r="7326" spans="2:2" ht="15.95" customHeight="1">
      <c r="B7326" s="37"/>
    </row>
    <row r="7327" spans="2:2" ht="15.95" customHeight="1">
      <c r="B7327" s="37"/>
    </row>
    <row r="7328" spans="2:2" ht="15.95" customHeight="1">
      <c r="B7328" s="37"/>
    </row>
    <row r="7329" spans="2:2" ht="15.95" customHeight="1">
      <c r="B7329" s="37"/>
    </row>
    <row r="7330" spans="2:2" ht="15.95" customHeight="1">
      <c r="B7330" s="37"/>
    </row>
    <row r="7331" spans="2:2" ht="15.95" customHeight="1">
      <c r="B7331" s="37"/>
    </row>
    <row r="7332" spans="2:2" ht="15.95" customHeight="1">
      <c r="B7332" s="37"/>
    </row>
    <row r="7333" spans="2:2" ht="15.95" customHeight="1">
      <c r="B7333" s="37"/>
    </row>
    <row r="7334" spans="2:2" ht="15.95" customHeight="1">
      <c r="B7334" s="37"/>
    </row>
    <row r="7335" spans="2:2" ht="15.95" customHeight="1">
      <c r="B7335" s="37"/>
    </row>
    <row r="7336" spans="2:2" ht="15.95" customHeight="1">
      <c r="B7336" s="37"/>
    </row>
    <row r="7337" spans="2:2" ht="15.95" customHeight="1">
      <c r="B7337" s="37"/>
    </row>
    <row r="7338" spans="2:2" ht="15.95" customHeight="1">
      <c r="B7338" s="37"/>
    </row>
    <row r="7339" spans="2:2" ht="15.95" customHeight="1">
      <c r="B7339" s="37"/>
    </row>
    <row r="7340" spans="2:2" ht="15.95" customHeight="1">
      <c r="B7340" s="37"/>
    </row>
    <row r="7341" spans="2:2" ht="15.95" customHeight="1">
      <c r="B7341" s="37"/>
    </row>
    <row r="7342" spans="2:2" ht="15.95" customHeight="1">
      <c r="B7342" s="37"/>
    </row>
    <row r="7343" spans="2:2" ht="15.95" customHeight="1">
      <c r="B7343" s="37"/>
    </row>
    <row r="7344" spans="2:2" ht="15.95" customHeight="1">
      <c r="B7344" s="37"/>
    </row>
    <row r="7345" spans="2:2" ht="15.95" customHeight="1">
      <c r="B7345" s="37"/>
    </row>
    <row r="7346" spans="2:2" ht="15.95" customHeight="1">
      <c r="B7346" s="37"/>
    </row>
    <row r="7347" spans="2:2" ht="15.95" customHeight="1">
      <c r="B7347" s="37"/>
    </row>
    <row r="7348" spans="2:2" ht="15.95" customHeight="1">
      <c r="B7348" s="37"/>
    </row>
    <row r="7349" spans="2:2" ht="15.95" customHeight="1">
      <c r="B7349" s="37"/>
    </row>
    <row r="7350" spans="2:2" ht="15.95" customHeight="1">
      <c r="B7350" s="37"/>
    </row>
    <row r="7351" spans="2:2" ht="15.95" customHeight="1">
      <c r="B7351" s="37"/>
    </row>
    <row r="7352" spans="2:2" ht="15.95" customHeight="1">
      <c r="B7352" s="37"/>
    </row>
    <row r="7353" spans="2:2" ht="15.95" customHeight="1">
      <c r="B7353" s="37"/>
    </row>
    <row r="7354" spans="2:2" ht="15.95" customHeight="1">
      <c r="B7354" s="37"/>
    </row>
    <row r="7355" spans="2:2" ht="15.95" customHeight="1">
      <c r="B7355" s="37"/>
    </row>
    <row r="7356" spans="2:2" ht="15.95" customHeight="1">
      <c r="B7356" s="37"/>
    </row>
    <row r="7357" spans="2:2" ht="15.95" customHeight="1">
      <c r="B7357" s="37"/>
    </row>
    <row r="7358" spans="2:2" ht="15.95" customHeight="1">
      <c r="B7358" s="37"/>
    </row>
    <row r="7359" spans="2:2" ht="15.95" customHeight="1">
      <c r="B7359" s="37"/>
    </row>
    <row r="7360" spans="2:2" ht="15.95" customHeight="1">
      <c r="B7360" s="37"/>
    </row>
    <row r="7361" spans="2:2" ht="15.95" customHeight="1">
      <c r="B7361" s="37"/>
    </row>
    <row r="7362" spans="2:2" ht="15.95" customHeight="1">
      <c r="B7362" s="37"/>
    </row>
    <row r="7363" spans="2:2" ht="15.95" customHeight="1">
      <c r="B7363" s="37"/>
    </row>
    <row r="7364" spans="2:2" ht="15.95" customHeight="1">
      <c r="B7364" s="37"/>
    </row>
    <row r="7365" spans="2:2" ht="15.95" customHeight="1">
      <c r="B7365" s="37"/>
    </row>
    <row r="7366" spans="2:2" ht="15.95" customHeight="1">
      <c r="B7366" s="37"/>
    </row>
    <row r="7367" spans="2:2" ht="15.95" customHeight="1">
      <c r="B7367" s="37"/>
    </row>
    <row r="7368" spans="2:2" ht="15.95" customHeight="1">
      <c r="B7368" s="37"/>
    </row>
    <row r="7369" spans="2:2" ht="15.95" customHeight="1">
      <c r="B7369" s="37"/>
    </row>
    <row r="7370" spans="2:2" ht="15.95" customHeight="1">
      <c r="B7370" s="37"/>
    </row>
    <row r="7371" spans="2:2" ht="15.95" customHeight="1">
      <c r="B7371" s="37"/>
    </row>
    <row r="7372" spans="2:2" ht="15.95" customHeight="1">
      <c r="B7372" s="37"/>
    </row>
    <row r="7373" spans="2:2" ht="15.95" customHeight="1">
      <c r="B7373" s="37"/>
    </row>
    <row r="7374" spans="2:2" ht="15.95" customHeight="1">
      <c r="B7374" s="37"/>
    </row>
    <row r="7375" spans="2:2" ht="15.95" customHeight="1">
      <c r="B7375" s="37"/>
    </row>
    <row r="7376" spans="2:2" ht="15.95" customHeight="1">
      <c r="B7376" s="37"/>
    </row>
    <row r="7377" spans="2:2" ht="15.95" customHeight="1">
      <c r="B7377" s="37"/>
    </row>
    <row r="7378" spans="2:2" ht="15.95" customHeight="1">
      <c r="B7378" s="37"/>
    </row>
    <row r="7379" spans="2:2" ht="15.95" customHeight="1">
      <c r="B7379" s="37"/>
    </row>
    <row r="7380" spans="2:2" ht="15.95" customHeight="1">
      <c r="B7380" s="37"/>
    </row>
    <row r="7381" spans="2:2" ht="15.95" customHeight="1">
      <c r="B7381" s="37"/>
    </row>
    <row r="7382" spans="2:2" ht="15.95" customHeight="1">
      <c r="B7382" s="37"/>
    </row>
    <row r="7383" spans="2:2" ht="15.95" customHeight="1">
      <c r="B7383" s="37"/>
    </row>
    <row r="7384" spans="2:2" ht="15.95" customHeight="1">
      <c r="B7384" s="37"/>
    </row>
    <row r="7385" spans="2:2" ht="15.95" customHeight="1">
      <c r="B7385" s="37"/>
    </row>
    <row r="7386" spans="2:2" ht="15.95" customHeight="1">
      <c r="B7386" s="37"/>
    </row>
    <row r="7387" spans="2:2" ht="15.95" customHeight="1">
      <c r="B7387" s="37"/>
    </row>
    <row r="7388" spans="2:2" ht="15.95" customHeight="1">
      <c r="B7388" s="37"/>
    </row>
    <row r="7389" spans="2:2" ht="15.95" customHeight="1">
      <c r="B7389" s="37"/>
    </row>
    <row r="7390" spans="2:2" ht="15.95" customHeight="1">
      <c r="B7390" s="37"/>
    </row>
    <row r="7391" spans="2:2" ht="15.95" customHeight="1">
      <c r="B7391" s="37"/>
    </row>
    <row r="7392" spans="2:2" ht="15.95" customHeight="1">
      <c r="B7392" s="37"/>
    </row>
    <row r="7393" spans="2:2" ht="15.95" customHeight="1">
      <c r="B7393" s="37"/>
    </row>
    <row r="7394" spans="2:2" ht="15.95" customHeight="1">
      <c r="B7394" s="37"/>
    </row>
    <row r="7395" spans="2:2" ht="15.95" customHeight="1">
      <c r="B7395" s="37"/>
    </row>
    <row r="7396" spans="2:2" ht="15.95" customHeight="1">
      <c r="B7396" s="37"/>
    </row>
    <row r="7397" spans="2:2" ht="15.95" customHeight="1">
      <c r="B7397" s="37"/>
    </row>
    <row r="7398" spans="2:2" ht="15.95" customHeight="1">
      <c r="B7398" s="37"/>
    </row>
    <row r="7399" spans="2:2" ht="15.95" customHeight="1">
      <c r="B7399" s="37"/>
    </row>
    <row r="7400" spans="2:2" ht="15.95" customHeight="1">
      <c r="B7400" s="37"/>
    </row>
    <row r="7401" spans="2:2" ht="15.95" customHeight="1">
      <c r="B7401" s="37"/>
    </row>
    <row r="7402" spans="2:2" ht="15.95" customHeight="1">
      <c r="B7402" s="37"/>
    </row>
    <row r="7403" spans="2:2" ht="15.95" customHeight="1">
      <c r="B7403" s="37"/>
    </row>
    <row r="7404" spans="2:2" ht="15.95" customHeight="1">
      <c r="B7404" s="37"/>
    </row>
    <row r="7405" spans="2:2" ht="15.95" customHeight="1">
      <c r="B7405" s="37"/>
    </row>
    <row r="7406" spans="2:2" ht="15.95" customHeight="1">
      <c r="B7406" s="37"/>
    </row>
    <row r="7407" spans="2:2" ht="15.95" customHeight="1">
      <c r="B7407" s="37"/>
    </row>
    <row r="7408" spans="2:2" ht="15.95" customHeight="1">
      <c r="B7408" s="37"/>
    </row>
    <row r="7409" spans="2:2" ht="15.95" customHeight="1">
      <c r="B7409" s="37"/>
    </row>
    <row r="7410" spans="2:2" ht="15.95" customHeight="1">
      <c r="B7410" s="37"/>
    </row>
    <row r="7411" spans="2:2" ht="15.95" customHeight="1">
      <c r="B7411" s="37"/>
    </row>
    <row r="7412" spans="2:2" ht="15.95" customHeight="1">
      <c r="B7412" s="37"/>
    </row>
    <row r="7413" spans="2:2" ht="15.95" customHeight="1">
      <c r="B7413" s="37"/>
    </row>
    <row r="7414" spans="2:2" ht="15.95" customHeight="1">
      <c r="B7414" s="37"/>
    </row>
    <row r="7415" spans="2:2" ht="15.95" customHeight="1">
      <c r="B7415" s="37"/>
    </row>
    <row r="7416" spans="2:2" ht="15.95" customHeight="1">
      <c r="B7416" s="37"/>
    </row>
    <row r="7417" spans="2:2" ht="15.95" customHeight="1">
      <c r="B7417" s="37"/>
    </row>
    <row r="7418" spans="2:2" ht="15.95" customHeight="1">
      <c r="B7418" s="37"/>
    </row>
    <row r="7419" spans="2:2" ht="15.95" customHeight="1">
      <c r="B7419" s="37"/>
    </row>
    <row r="7420" spans="2:2" ht="15.95" customHeight="1">
      <c r="B7420" s="37"/>
    </row>
    <row r="7421" spans="2:2" ht="15.95" customHeight="1">
      <c r="B7421" s="37"/>
    </row>
    <row r="7422" spans="2:2" ht="15.95" customHeight="1">
      <c r="B7422" s="37"/>
    </row>
    <row r="7423" spans="2:2" ht="15.95" customHeight="1">
      <c r="B7423" s="37"/>
    </row>
    <row r="7424" spans="2:2" ht="15.95" customHeight="1">
      <c r="B7424" s="37"/>
    </row>
    <row r="7425" spans="2:2" ht="15.95" customHeight="1">
      <c r="B7425" s="37"/>
    </row>
    <row r="7426" spans="2:2" ht="15.95" customHeight="1">
      <c r="B7426" s="37"/>
    </row>
    <row r="7427" spans="2:2" ht="15.95" customHeight="1">
      <c r="B7427" s="37"/>
    </row>
    <row r="7428" spans="2:2" ht="15.95" customHeight="1">
      <c r="B7428" s="37"/>
    </row>
    <row r="7429" spans="2:2" ht="15.95" customHeight="1">
      <c r="B7429" s="37"/>
    </row>
    <row r="7430" spans="2:2" ht="15.95" customHeight="1">
      <c r="B7430" s="37"/>
    </row>
    <row r="7431" spans="2:2" ht="15.95" customHeight="1">
      <c r="B7431" s="37"/>
    </row>
    <row r="7432" spans="2:2" ht="15.95" customHeight="1">
      <c r="B7432" s="37"/>
    </row>
    <row r="7433" spans="2:2" ht="15.95" customHeight="1">
      <c r="B7433" s="37"/>
    </row>
    <row r="7434" spans="2:2" ht="15.95" customHeight="1">
      <c r="B7434" s="37"/>
    </row>
    <row r="7435" spans="2:2" ht="15.95" customHeight="1">
      <c r="B7435" s="37"/>
    </row>
    <row r="7436" spans="2:2" ht="15.95" customHeight="1">
      <c r="B7436" s="37"/>
    </row>
    <row r="7437" spans="2:2" ht="15.95" customHeight="1">
      <c r="B7437" s="37"/>
    </row>
    <row r="7438" spans="2:2" ht="15.95" customHeight="1">
      <c r="B7438" s="37"/>
    </row>
    <row r="7439" spans="2:2" ht="15.95" customHeight="1">
      <c r="B7439" s="37"/>
    </row>
    <row r="7440" spans="2:2" ht="15.95" customHeight="1">
      <c r="B7440" s="37"/>
    </row>
    <row r="7441" spans="2:2" ht="15.95" customHeight="1">
      <c r="B7441" s="37"/>
    </row>
    <row r="7442" spans="2:2" ht="15.95" customHeight="1">
      <c r="B7442" s="37"/>
    </row>
    <row r="7443" spans="2:2" ht="15.95" customHeight="1">
      <c r="B7443" s="37"/>
    </row>
    <row r="7444" spans="2:2" ht="15.95" customHeight="1">
      <c r="B7444" s="37"/>
    </row>
    <row r="7445" spans="2:2" ht="15.95" customHeight="1">
      <c r="B7445" s="37"/>
    </row>
    <row r="7446" spans="2:2" ht="15.95" customHeight="1">
      <c r="B7446" s="37"/>
    </row>
    <row r="7447" spans="2:2" ht="15.95" customHeight="1">
      <c r="B7447" s="37"/>
    </row>
    <row r="7448" spans="2:2" ht="15.95" customHeight="1">
      <c r="B7448" s="37"/>
    </row>
    <row r="7449" spans="2:2" ht="15.95" customHeight="1">
      <c r="B7449" s="37"/>
    </row>
    <row r="7450" spans="2:2" ht="15.95" customHeight="1">
      <c r="B7450" s="37"/>
    </row>
    <row r="7451" spans="2:2" ht="15.95" customHeight="1">
      <c r="B7451" s="37"/>
    </row>
    <row r="7452" spans="2:2" ht="15.95" customHeight="1">
      <c r="B7452" s="37"/>
    </row>
    <row r="7453" spans="2:2" ht="15.95" customHeight="1">
      <c r="B7453" s="37"/>
    </row>
    <row r="7454" spans="2:2" ht="15.95" customHeight="1">
      <c r="B7454" s="37"/>
    </row>
    <row r="7455" spans="2:2" ht="15.95" customHeight="1">
      <c r="B7455" s="37"/>
    </row>
    <row r="7456" spans="2:2" ht="15.95" customHeight="1">
      <c r="B7456" s="37"/>
    </row>
    <row r="7457" spans="2:2" ht="15.95" customHeight="1">
      <c r="B7457" s="37"/>
    </row>
    <row r="7458" spans="2:2" ht="15.95" customHeight="1">
      <c r="B7458" s="37"/>
    </row>
    <row r="7459" spans="2:2" ht="15.95" customHeight="1">
      <c r="B7459" s="37"/>
    </row>
    <row r="7460" spans="2:2" ht="15.95" customHeight="1">
      <c r="B7460" s="37"/>
    </row>
    <row r="7461" spans="2:2" ht="15.95" customHeight="1">
      <c r="B7461" s="37"/>
    </row>
    <row r="7462" spans="2:2" ht="15.95" customHeight="1">
      <c r="B7462" s="37"/>
    </row>
    <row r="7463" spans="2:2" ht="15.95" customHeight="1">
      <c r="B7463" s="37"/>
    </row>
    <row r="7464" spans="2:2" ht="15.95" customHeight="1">
      <c r="B7464" s="37"/>
    </row>
    <row r="7465" spans="2:2" ht="15.95" customHeight="1">
      <c r="B7465" s="37"/>
    </row>
    <row r="7466" spans="2:2" ht="15.95" customHeight="1">
      <c r="B7466" s="37"/>
    </row>
    <row r="7467" spans="2:2" ht="15.95" customHeight="1">
      <c r="B7467" s="37"/>
    </row>
    <row r="7468" spans="2:2" ht="15.95" customHeight="1">
      <c r="B7468" s="37"/>
    </row>
    <row r="7469" spans="2:2" ht="15.95" customHeight="1">
      <c r="B7469" s="37"/>
    </row>
    <row r="7470" spans="2:2" ht="15.95" customHeight="1">
      <c r="B7470" s="37"/>
    </row>
    <row r="7471" spans="2:2" ht="15.95" customHeight="1">
      <c r="B7471" s="37"/>
    </row>
    <row r="7472" spans="2:2" ht="15.95" customHeight="1">
      <c r="B7472" s="37"/>
    </row>
    <row r="7473" spans="2:2" ht="15.95" customHeight="1">
      <c r="B7473" s="37"/>
    </row>
    <row r="7474" spans="2:2" ht="15.95" customHeight="1">
      <c r="B7474" s="37"/>
    </row>
    <row r="7475" spans="2:2" ht="15.95" customHeight="1">
      <c r="B7475" s="37"/>
    </row>
    <row r="7476" spans="2:2" ht="15.95" customHeight="1">
      <c r="B7476" s="37"/>
    </row>
    <row r="7477" spans="2:2" ht="15.95" customHeight="1">
      <c r="B7477" s="37"/>
    </row>
    <row r="7478" spans="2:2" ht="15.95" customHeight="1">
      <c r="B7478" s="37"/>
    </row>
    <row r="7479" spans="2:2" ht="15.95" customHeight="1">
      <c r="B7479" s="37"/>
    </row>
    <row r="7480" spans="2:2" ht="15.95" customHeight="1">
      <c r="B7480" s="37"/>
    </row>
    <row r="7481" spans="2:2" ht="15.95" customHeight="1">
      <c r="B7481" s="37"/>
    </row>
    <row r="7482" spans="2:2" ht="15.95" customHeight="1">
      <c r="B7482" s="37"/>
    </row>
    <row r="7483" spans="2:2" ht="15.95" customHeight="1">
      <c r="B7483" s="37"/>
    </row>
    <row r="7484" spans="2:2" ht="15.95" customHeight="1">
      <c r="B7484" s="37"/>
    </row>
    <row r="7485" spans="2:2" ht="15.95" customHeight="1">
      <c r="B7485" s="37"/>
    </row>
    <row r="7486" spans="2:2" ht="15.95" customHeight="1">
      <c r="B7486" s="37"/>
    </row>
    <row r="7487" spans="2:2" ht="15.95" customHeight="1">
      <c r="B7487" s="37"/>
    </row>
    <row r="7488" spans="2:2" ht="15.95" customHeight="1">
      <c r="B7488" s="37"/>
    </row>
    <row r="7489" spans="2:2" ht="15.95" customHeight="1">
      <c r="B7489" s="37"/>
    </row>
    <row r="7490" spans="2:2" ht="15.95" customHeight="1">
      <c r="B7490" s="37"/>
    </row>
    <row r="7491" spans="2:2" ht="15.95" customHeight="1">
      <c r="B7491" s="37"/>
    </row>
    <row r="7492" spans="2:2" ht="15.95" customHeight="1">
      <c r="B7492" s="37"/>
    </row>
    <row r="7493" spans="2:2" ht="15.95" customHeight="1">
      <c r="B7493" s="37"/>
    </row>
    <row r="7494" spans="2:2" ht="15.95" customHeight="1">
      <c r="B7494" s="37"/>
    </row>
    <row r="7495" spans="2:2" ht="15.95" customHeight="1">
      <c r="B7495" s="37"/>
    </row>
    <row r="7496" spans="2:2" ht="15.95" customHeight="1">
      <c r="B7496" s="37"/>
    </row>
    <row r="7497" spans="2:2" ht="15.95" customHeight="1">
      <c r="B7497" s="37"/>
    </row>
    <row r="7498" spans="2:2" ht="15.95" customHeight="1">
      <c r="B7498" s="37"/>
    </row>
    <row r="7499" spans="2:2" ht="15.95" customHeight="1">
      <c r="B7499" s="37"/>
    </row>
    <row r="7500" spans="2:2" ht="15.95" customHeight="1">
      <c r="B7500" s="37"/>
    </row>
    <row r="7501" spans="2:2" ht="15.95" customHeight="1">
      <c r="B7501" s="37"/>
    </row>
    <row r="7502" spans="2:2" ht="15.95" customHeight="1">
      <c r="B7502" s="37"/>
    </row>
    <row r="7503" spans="2:2" ht="15.95" customHeight="1">
      <c r="B7503" s="37"/>
    </row>
    <row r="7504" spans="2:2" ht="15.95" customHeight="1">
      <c r="B7504" s="37"/>
    </row>
    <row r="7505" spans="2:2" ht="15.95" customHeight="1">
      <c r="B7505" s="37"/>
    </row>
    <row r="7506" spans="2:2" ht="15.95" customHeight="1">
      <c r="B7506" s="37"/>
    </row>
    <row r="7507" spans="2:2" ht="15.95" customHeight="1">
      <c r="B7507" s="37"/>
    </row>
    <row r="7508" spans="2:2" ht="15.95" customHeight="1">
      <c r="B7508" s="37"/>
    </row>
    <row r="7509" spans="2:2" ht="15.95" customHeight="1">
      <c r="B7509" s="37"/>
    </row>
    <row r="7510" spans="2:2" ht="15.95" customHeight="1">
      <c r="B7510" s="37"/>
    </row>
    <row r="7511" spans="2:2" ht="15.95" customHeight="1">
      <c r="B7511" s="37"/>
    </row>
    <row r="7512" spans="2:2" ht="15.95" customHeight="1">
      <c r="B7512" s="37"/>
    </row>
    <row r="7513" spans="2:2" ht="15.95" customHeight="1">
      <c r="B7513" s="37"/>
    </row>
    <row r="7514" spans="2:2" ht="15.95" customHeight="1">
      <c r="B7514" s="37"/>
    </row>
    <row r="7515" spans="2:2" ht="15.95" customHeight="1">
      <c r="B7515" s="37"/>
    </row>
    <row r="7516" spans="2:2" ht="15.95" customHeight="1">
      <c r="B7516" s="37"/>
    </row>
    <row r="7517" spans="2:2" ht="15.95" customHeight="1">
      <c r="B7517" s="37"/>
    </row>
    <row r="7518" spans="2:2" ht="15.95" customHeight="1">
      <c r="B7518" s="37"/>
    </row>
    <row r="7519" spans="2:2" ht="15.95" customHeight="1">
      <c r="B7519" s="37"/>
    </row>
    <row r="7520" spans="2:2" ht="15.95" customHeight="1">
      <c r="B7520" s="37"/>
    </row>
    <row r="7521" spans="2:2" ht="15.95" customHeight="1">
      <c r="B7521" s="37"/>
    </row>
    <row r="7522" spans="2:2" ht="15.95" customHeight="1">
      <c r="B7522" s="37"/>
    </row>
    <row r="7523" spans="2:2" ht="15.95" customHeight="1">
      <c r="B7523" s="37"/>
    </row>
    <row r="7524" spans="2:2" ht="15.95" customHeight="1">
      <c r="B7524" s="37"/>
    </row>
    <row r="7525" spans="2:2" ht="15.95" customHeight="1">
      <c r="B7525" s="37"/>
    </row>
    <row r="7526" spans="2:2" ht="15.95" customHeight="1">
      <c r="B7526" s="37"/>
    </row>
    <row r="7527" spans="2:2" ht="15.95" customHeight="1">
      <c r="B7527" s="37"/>
    </row>
    <row r="7528" spans="2:2" ht="15.95" customHeight="1">
      <c r="B7528" s="37"/>
    </row>
    <row r="7529" spans="2:2" ht="15.95" customHeight="1">
      <c r="B7529" s="37"/>
    </row>
    <row r="7530" spans="2:2" ht="15.95" customHeight="1">
      <c r="B7530" s="37"/>
    </row>
    <row r="7531" spans="2:2" ht="15.95" customHeight="1">
      <c r="B7531" s="37"/>
    </row>
    <row r="7532" spans="2:2" ht="15.95" customHeight="1">
      <c r="B7532" s="37"/>
    </row>
    <row r="7533" spans="2:2" ht="15.95" customHeight="1">
      <c r="B7533" s="37"/>
    </row>
    <row r="7534" spans="2:2" ht="15.95" customHeight="1">
      <c r="B7534" s="37"/>
    </row>
    <row r="7535" spans="2:2" ht="15.95" customHeight="1">
      <c r="B7535" s="37"/>
    </row>
    <row r="7536" spans="2:2" ht="15.95" customHeight="1">
      <c r="B7536" s="37"/>
    </row>
    <row r="7537" spans="2:2" ht="15.95" customHeight="1">
      <c r="B7537" s="37"/>
    </row>
    <row r="7538" spans="2:2" ht="15.95" customHeight="1">
      <c r="B7538" s="37"/>
    </row>
    <row r="7539" spans="2:2" ht="15.95" customHeight="1">
      <c r="B7539" s="37"/>
    </row>
    <row r="7540" spans="2:2" ht="15.95" customHeight="1">
      <c r="B7540" s="37"/>
    </row>
    <row r="7541" spans="2:2" ht="15.95" customHeight="1">
      <c r="B7541" s="37"/>
    </row>
    <row r="7542" spans="2:2" ht="15.95" customHeight="1">
      <c r="B7542" s="37"/>
    </row>
    <row r="7543" spans="2:2" ht="15.95" customHeight="1">
      <c r="B7543" s="37"/>
    </row>
    <row r="7544" spans="2:2" ht="15.95" customHeight="1">
      <c r="B7544" s="37"/>
    </row>
    <row r="7545" spans="2:2" ht="15.95" customHeight="1">
      <c r="B7545" s="37"/>
    </row>
    <row r="7546" spans="2:2" ht="15.95" customHeight="1">
      <c r="B7546" s="37"/>
    </row>
    <row r="7547" spans="2:2" ht="15.95" customHeight="1">
      <c r="B7547" s="37"/>
    </row>
    <row r="7548" spans="2:2" ht="15.95" customHeight="1">
      <c r="B7548" s="37"/>
    </row>
    <row r="7549" spans="2:2" ht="15.95" customHeight="1">
      <c r="B7549" s="37"/>
    </row>
    <row r="7550" spans="2:2" ht="15.95" customHeight="1">
      <c r="B7550" s="37"/>
    </row>
    <row r="7551" spans="2:2" ht="15.95" customHeight="1">
      <c r="B7551" s="37"/>
    </row>
    <row r="7552" spans="2:2" ht="15.95" customHeight="1">
      <c r="B7552" s="37"/>
    </row>
    <row r="7553" spans="2:2" ht="15.95" customHeight="1">
      <c r="B7553" s="37"/>
    </row>
    <row r="7554" spans="2:2" ht="15.95" customHeight="1">
      <c r="B7554" s="37"/>
    </row>
    <row r="7555" spans="2:2" ht="15.95" customHeight="1">
      <c r="B7555" s="37"/>
    </row>
    <row r="7556" spans="2:2" ht="15.95" customHeight="1">
      <c r="B7556" s="37"/>
    </row>
    <row r="7557" spans="2:2" ht="15.95" customHeight="1">
      <c r="B7557" s="37"/>
    </row>
    <row r="7558" spans="2:2" ht="15.95" customHeight="1">
      <c r="B7558" s="37"/>
    </row>
    <row r="7559" spans="2:2" ht="15.95" customHeight="1">
      <c r="B7559" s="37"/>
    </row>
    <row r="7560" spans="2:2" ht="15.95" customHeight="1">
      <c r="B7560" s="37"/>
    </row>
    <row r="7561" spans="2:2" ht="15.95" customHeight="1">
      <c r="B7561" s="37"/>
    </row>
    <row r="7562" spans="2:2" ht="15.95" customHeight="1">
      <c r="B7562" s="37"/>
    </row>
    <row r="7563" spans="2:2" ht="15.95" customHeight="1">
      <c r="B7563" s="37"/>
    </row>
    <row r="7564" spans="2:2" ht="15.95" customHeight="1">
      <c r="B7564" s="37"/>
    </row>
    <row r="7565" spans="2:2" ht="15.95" customHeight="1">
      <c r="B7565" s="37"/>
    </row>
    <row r="7566" spans="2:2" ht="15.95" customHeight="1">
      <c r="B7566" s="37"/>
    </row>
    <row r="7567" spans="2:2" ht="15.95" customHeight="1">
      <c r="B7567" s="37"/>
    </row>
    <row r="7568" spans="2:2" ht="15.95" customHeight="1">
      <c r="B7568" s="37"/>
    </row>
    <row r="7569" spans="2:2" ht="15.95" customHeight="1">
      <c r="B7569" s="37"/>
    </row>
    <row r="7570" spans="2:2" ht="15.95" customHeight="1">
      <c r="B7570" s="37"/>
    </row>
    <row r="7571" spans="2:2" ht="15.95" customHeight="1">
      <c r="B7571" s="37"/>
    </row>
    <row r="7572" spans="2:2" ht="15.95" customHeight="1">
      <c r="B7572" s="37"/>
    </row>
    <row r="7573" spans="2:2" ht="15.95" customHeight="1">
      <c r="B7573" s="37"/>
    </row>
    <row r="7574" spans="2:2" ht="15.95" customHeight="1">
      <c r="B7574" s="37"/>
    </row>
    <row r="7575" spans="2:2" ht="15.95" customHeight="1">
      <c r="B7575" s="37"/>
    </row>
    <row r="7576" spans="2:2" ht="15.95" customHeight="1">
      <c r="B7576" s="37"/>
    </row>
    <row r="7577" spans="2:2" ht="15.95" customHeight="1">
      <c r="B7577" s="37"/>
    </row>
    <row r="7578" spans="2:2" ht="15.95" customHeight="1">
      <c r="B7578" s="37"/>
    </row>
    <row r="7579" spans="2:2" ht="15.95" customHeight="1">
      <c r="B7579" s="37"/>
    </row>
    <row r="7580" spans="2:2" ht="15.95" customHeight="1">
      <c r="B7580" s="37"/>
    </row>
    <row r="7581" spans="2:2" ht="15.95" customHeight="1">
      <c r="B7581" s="37"/>
    </row>
    <row r="7582" spans="2:2" ht="15.95" customHeight="1">
      <c r="B7582" s="37"/>
    </row>
    <row r="7583" spans="2:2" ht="15.95" customHeight="1">
      <c r="B7583" s="37"/>
    </row>
    <row r="7584" spans="2:2" ht="15.95" customHeight="1">
      <c r="B7584" s="37"/>
    </row>
    <row r="7585" spans="2:2" ht="15.95" customHeight="1">
      <c r="B7585" s="37"/>
    </row>
    <row r="7586" spans="2:2" ht="15.95" customHeight="1">
      <c r="B7586" s="37"/>
    </row>
    <row r="7587" spans="2:2" ht="15.95" customHeight="1">
      <c r="B7587" s="37"/>
    </row>
    <row r="7588" spans="2:2" ht="15.95" customHeight="1">
      <c r="B7588" s="37"/>
    </row>
    <row r="7589" spans="2:2" ht="15.95" customHeight="1">
      <c r="B7589" s="37"/>
    </row>
    <row r="7590" spans="2:2" ht="15.95" customHeight="1">
      <c r="B7590" s="37"/>
    </row>
    <row r="7591" spans="2:2" ht="15.95" customHeight="1">
      <c r="B7591" s="37"/>
    </row>
    <row r="7592" spans="2:2" ht="15.95" customHeight="1">
      <c r="B7592" s="37"/>
    </row>
    <row r="7593" spans="2:2" ht="15.95" customHeight="1">
      <c r="B7593" s="37"/>
    </row>
    <row r="7594" spans="2:2" ht="15.95" customHeight="1">
      <c r="B7594" s="37"/>
    </row>
    <row r="7595" spans="2:2" ht="15.95" customHeight="1">
      <c r="B7595" s="37"/>
    </row>
    <row r="7596" spans="2:2" ht="15.95" customHeight="1">
      <c r="B7596" s="37"/>
    </row>
    <row r="7597" spans="2:2" ht="15.95" customHeight="1">
      <c r="B7597" s="37"/>
    </row>
    <row r="7598" spans="2:2" ht="15.95" customHeight="1">
      <c r="B7598" s="37"/>
    </row>
    <row r="7599" spans="2:2" ht="15.95" customHeight="1">
      <c r="B7599" s="37"/>
    </row>
    <row r="7600" spans="2:2" ht="15.95" customHeight="1">
      <c r="B7600" s="37"/>
    </row>
    <row r="7601" spans="2:2" ht="15.95" customHeight="1">
      <c r="B7601" s="37"/>
    </row>
    <row r="7602" spans="2:2" ht="15.95" customHeight="1">
      <c r="B7602" s="37"/>
    </row>
    <row r="7603" spans="2:2" ht="15.95" customHeight="1">
      <c r="B7603" s="37"/>
    </row>
    <row r="7604" spans="2:2" ht="15.95" customHeight="1">
      <c r="B7604" s="37"/>
    </row>
    <row r="7605" spans="2:2" ht="15.95" customHeight="1">
      <c r="B7605" s="37"/>
    </row>
    <row r="7606" spans="2:2" ht="15.95" customHeight="1">
      <c r="B7606" s="37"/>
    </row>
    <row r="7607" spans="2:2" ht="15.95" customHeight="1">
      <c r="B7607" s="37"/>
    </row>
    <row r="7608" spans="2:2" ht="15.95" customHeight="1">
      <c r="B7608" s="37"/>
    </row>
    <row r="7609" spans="2:2" ht="15.95" customHeight="1">
      <c r="B7609" s="37"/>
    </row>
    <row r="7610" spans="2:2" ht="15.95" customHeight="1">
      <c r="B7610" s="37"/>
    </row>
    <row r="7611" spans="2:2" ht="15.95" customHeight="1">
      <c r="B7611" s="37"/>
    </row>
    <row r="7612" spans="2:2" ht="15.95" customHeight="1">
      <c r="B7612" s="37"/>
    </row>
    <row r="7613" spans="2:2" ht="15.95" customHeight="1">
      <c r="B7613" s="37"/>
    </row>
    <row r="7614" spans="2:2" ht="15.95" customHeight="1">
      <c r="B7614" s="37"/>
    </row>
    <row r="7615" spans="2:2" ht="15.95" customHeight="1">
      <c r="B7615" s="37"/>
    </row>
    <row r="7616" spans="2:2" ht="15.95" customHeight="1">
      <c r="B7616" s="37"/>
    </row>
    <row r="7617" spans="2:2" ht="15.95" customHeight="1">
      <c r="B7617" s="37"/>
    </row>
    <row r="7618" spans="2:2" ht="15.95" customHeight="1">
      <c r="B7618" s="37"/>
    </row>
    <row r="7619" spans="2:2" ht="15.95" customHeight="1">
      <c r="B7619" s="37"/>
    </row>
    <row r="7620" spans="2:2" ht="15.95" customHeight="1">
      <c r="B7620" s="37"/>
    </row>
    <row r="7621" spans="2:2" ht="15.95" customHeight="1">
      <c r="B7621" s="37"/>
    </row>
    <row r="7622" spans="2:2" ht="15.95" customHeight="1">
      <c r="B7622" s="37"/>
    </row>
    <row r="7623" spans="2:2" ht="15.95" customHeight="1">
      <c r="B7623" s="37"/>
    </row>
    <row r="7624" spans="2:2" ht="15.95" customHeight="1">
      <c r="B7624" s="37"/>
    </row>
    <row r="7625" spans="2:2" ht="15.95" customHeight="1">
      <c r="B7625" s="37"/>
    </row>
    <row r="7626" spans="2:2" ht="15.95" customHeight="1">
      <c r="B7626" s="37"/>
    </row>
    <row r="7627" spans="2:2" ht="15.95" customHeight="1">
      <c r="B7627" s="37"/>
    </row>
    <row r="7628" spans="2:2" ht="15.95" customHeight="1">
      <c r="B7628" s="37"/>
    </row>
    <row r="7629" spans="2:2" ht="15.95" customHeight="1">
      <c r="B7629" s="37"/>
    </row>
    <row r="7630" spans="2:2" ht="15.95" customHeight="1">
      <c r="B7630" s="37"/>
    </row>
    <row r="7631" spans="2:2" ht="15.95" customHeight="1">
      <c r="B7631" s="37"/>
    </row>
    <row r="7632" spans="2:2" ht="15.95" customHeight="1">
      <c r="B7632" s="37"/>
    </row>
    <row r="7633" spans="2:2" ht="15.95" customHeight="1">
      <c r="B7633" s="37"/>
    </row>
    <row r="7634" spans="2:2" ht="15.95" customHeight="1">
      <c r="B7634" s="37"/>
    </row>
    <row r="7635" spans="2:2" ht="15.95" customHeight="1">
      <c r="B7635" s="37"/>
    </row>
    <row r="7636" spans="2:2" ht="15.95" customHeight="1">
      <c r="B7636" s="37"/>
    </row>
    <row r="7637" spans="2:2" ht="15.95" customHeight="1">
      <c r="B7637" s="37"/>
    </row>
    <row r="7638" spans="2:2" ht="15.95" customHeight="1">
      <c r="B7638" s="37"/>
    </row>
    <row r="7639" spans="2:2" ht="15.95" customHeight="1">
      <c r="B7639" s="37"/>
    </row>
    <row r="7640" spans="2:2" ht="15.95" customHeight="1">
      <c r="B7640" s="37"/>
    </row>
    <row r="7641" spans="2:2" ht="15.95" customHeight="1">
      <c r="B7641" s="37"/>
    </row>
    <row r="7642" spans="2:2" ht="15.95" customHeight="1">
      <c r="B7642" s="37"/>
    </row>
    <row r="7643" spans="2:2" ht="15.95" customHeight="1">
      <c r="B7643" s="37"/>
    </row>
    <row r="7644" spans="2:2" ht="15.95" customHeight="1">
      <c r="B7644" s="37"/>
    </row>
    <row r="7645" spans="2:2" ht="15.95" customHeight="1">
      <c r="B7645" s="37"/>
    </row>
    <row r="7646" spans="2:2" ht="15.95" customHeight="1">
      <c r="B7646" s="37"/>
    </row>
    <row r="7647" spans="2:2" ht="15.95" customHeight="1">
      <c r="B7647" s="37"/>
    </row>
    <row r="7648" spans="2:2" ht="15.95" customHeight="1">
      <c r="B7648" s="37"/>
    </row>
    <row r="7649" spans="2:2" ht="15.95" customHeight="1">
      <c r="B7649" s="37"/>
    </row>
    <row r="7650" spans="2:2" ht="15.95" customHeight="1">
      <c r="B7650" s="37"/>
    </row>
    <row r="7651" spans="2:2" ht="15.95" customHeight="1">
      <c r="B7651" s="37"/>
    </row>
    <row r="7652" spans="2:2" ht="15.95" customHeight="1">
      <c r="B7652" s="37"/>
    </row>
    <row r="7653" spans="2:2" ht="15.95" customHeight="1">
      <c r="B7653" s="37"/>
    </row>
    <row r="7654" spans="2:2" ht="15.95" customHeight="1">
      <c r="B7654" s="37"/>
    </row>
    <row r="7655" spans="2:2" ht="15.95" customHeight="1">
      <c r="B7655" s="37"/>
    </row>
    <row r="7656" spans="2:2" ht="15.95" customHeight="1">
      <c r="B7656" s="37"/>
    </row>
    <row r="7657" spans="2:2" ht="15.95" customHeight="1">
      <c r="B7657" s="37"/>
    </row>
    <row r="7658" spans="2:2" ht="15.95" customHeight="1">
      <c r="B7658" s="37"/>
    </row>
    <row r="7659" spans="2:2" ht="15.95" customHeight="1">
      <c r="B7659" s="37"/>
    </row>
    <row r="7660" spans="2:2" ht="15.95" customHeight="1">
      <c r="B7660" s="37"/>
    </row>
    <row r="7661" spans="2:2" ht="15.95" customHeight="1">
      <c r="B7661" s="37"/>
    </row>
    <row r="7662" spans="2:2" ht="15.95" customHeight="1">
      <c r="B7662" s="37"/>
    </row>
    <row r="7663" spans="2:2" ht="15.95" customHeight="1">
      <c r="B7663" s="37"/>
    </row>
    <row r="7664" spans="2:2" ht="15.95" customHeight="1">
      <c r="B7664" s="37"/>
    </row>
    <row r="7665" spans="2:2" ht="15.95" customHeight="1">
      <c r="B7665" s="37"/>
    </row>
    <row r="7666" spans="2:2" ht="15.95" customHeight="1">
      <c r="B7666" s="37"/>
    </row>
    <row r="7667" spans="2:2" ht="15.95" customHeight="1">
      <c r="B7667" s="37"/>
    </row>
    <row r="7668" spans="2:2" ht="15.95" customHeight="1">
      <c r="B7668" s="37"/>
    </row>
    <row r="7669" spans="2:2" ht="15.95" customHeight="1">
      <c r="B7669" s="37"/>
    </row>
    <row r="7670" spans="2:2" ht="15.95" customHeight="1">
      <c r="B7670" s="37"/>
    </row>
    <row r="7671" spans="2:2" ht="15.95" customHeight="1">
      <c r="B7671" s="37"/>
    </row>
    <row r="7672" spans="2:2" ht="15.95" customHeight="1">
      <c r="B7672" s="37"/>
    </row>
    <row r="7673" spans="2:2" ht="15.95" customHeight="1">
      <c r="B7673" s="37"/>
    </row>
    <row r="7674" spans="2:2" ht="15.95" customHeight="1">
      <c r="B7674" s="37"/>
    </row>
    <row r="7675" spans="2:2" ht="15.95" customHeight="1">
      <c r="B7675" s="37"/>
    </row>
    <row r="7676" spans="2:2" ht="15.95" customHeight="1">
      <c r="B7676" s="37"/>
    </row>
    <row r="7677" spans="2:2" ht="15.95" customHeight="1">
      <c r="B7677" s="37"/>
    </row>
    <row r="7678" spans="2:2" ht="15.95" customHeight="1">
      <c r="B7678" s="37"/>
    </row>
    <row r="7679" spans="2:2" ht="15.95" customHeight="1">
      <c r="B7679" s="37"/>
    </row>
    <row r="7680" spans="2:2" ht="15.95" customHeight="1">
      <c r="B7680" s="37"/>
    </row>
    <row r="7681" spans="2:2" ht="15.95" customHeight="1">
      <c r="B7681" s="37"/>
    </row>
    <row r="7682" spans="2:2" ht="15.95" customHeight="1">
      <c r="B7682" s="37"/>
    </row>
    <row r="7683" spans="2:2" ht="15.95" customHeight="1">
      <c r="B7683" s="37"/>
    </row>
    <row r="7684" spans="2:2" ht="15.95" customHeight="1">
      <c r="B7684" s="37"/>
    </row>
    <row r="7685" spans="2:2" ht="15.95" customHeight="1">
      <c r="B7685" s="37"/>
    </row>
    <row r="7686" spans="2:2" ht="15.95" customHeight="1">
      <c r="B7686" s="37"/>
    </row>
    <row r="7687" spans="2:2" ht="15.95" customHeight="1">
      <c r="B7687" s="37"/>
    </row>
    <row r="7688" spans="2:2" ht="15.95" customHeight="1">
      <c r="B7688" s="37"/>
    </row>
    <row r="7689" spans="2:2" ht="15.95" customHeight="1">
      <c r="B7689" s="37"/>
    </row>
    <row r="7690" spans="2:2" ht="15.95" customHeight="1">
      <c r="B7690" s="37"/>
    </row>
    <row r="7691" spans="2:2" ht="15.95" customHeight="1">
      <c r="B7691" s="37"/>
    </row>
    <row r="7692" spans="2:2" ht="15.95" customHeight="1">
      <c r="B7692" s="37"/>
    </row>
    <row r="7693" spans="2:2" ht="15.95" customHeight="1">
      <c r="B7693" s="37"/>
    </row>
    <row r="7694" spans="2:2" ht="15.95" customHeight="1">
      <c r="B7694" s="37"/>
    </row>
    <row r="7695" spans="2:2" ht="15.95" customHeight="1">
      <c r="B7695" s="37"/>
    </row>
    <row r="7696" spans="2:2" ht="15.95" customHeight="1">
      <c r="B7696" s="37"/>
    </row>
    <row r="7697" spans="2:2" ht="15.95" customHeight="1">
      <c r="B7697" s="37"/>
    </row>
    <row r="7698" spans="2:2" ht="15.95" customHeight="1">
      <c r="B7698" s="37"/>
    </row>
    <row r="7699" spans="2:2" ht="15.95" customHeight="1">
      <c r="B7699" s="37"/>
    </row>
    <row r="7700" spans="2:2" ht="15.95" customHeight="1">
      <c r="B7700" s="37"/>
    </row>
    <row r="7701" spans="2:2" ht="15.95" customHeight="1">
      <c r="B7701" s="37"/>
    </row>
    <row r="7702" spans="2:2" ht="15.95" customHeight="1">
      <c r="B7702" s="37"/>
    </row>
    <row r="7703" spans="2:2" ht="15.95" customHeight="1">
      <c r="B7703" s="37"/>
    </row>
    <row r="7704" spans="2:2" ht="15.95" customHeight="1">
      <c r="B7704" s="37"/>
    </row>
    <row r="7705" spans="2:2" ht="15.95" customHeight="1">
      <c r="B7705" s="37"/>
    </row>
    <row r="7706" spans="2:2" ht="15.95" customHeight="1">
      <c r="B7706" s="37"/>
    </row>
    <row r="7707" spans="2:2" ht="15.95" customHeight="1">
      <c r="B7707" s="37"/>
    </row>
    <row r="7708" spans="2:2" ht="15.95" customHeight="1">
      <c r="B7708" s="37"/>
    </row>
    <row r="7709" spans="2:2" ht="15.95" customHeight="1">
      <c r="B7709" s="37"/>
    </row>
    <row r="7710" spans="2:2" ht="15.95" customHeight="1">
      <c r="B7710" s="37"/>
    </row>
    <row r="7711" spans="2:2" ht="15.95" customHeight="1">
      <c r="B7711" s="37"/>
    </row>
    <row r="7712" spans="2:2" ht="15.95" customHeight="1">
      <c r="B7712" s="37"/>
    </row>
    <row r="7713" spans="2:2" ht="15.95" customHeight="1">
      <c r="B7713" s="37"/>
    </row>
    <row r="7714" spans="2:2" ht="15.95" customHeight="1">
      <c r="B7714" s="37"/>
    </row>
    <row r="7715" spans="2:2" ht="15.95" customHeight="1">
      <c r="B7715" s="37"/>
    </row>
    <row r="7716" spans="2:2" ht="15.95" customHeight="1">
      <c r="B7716" s="37"/>
    </row>
    <row r="7717" spans="2:2" ht="15.95" customHeight="1">
      <c r="B7717" s="37"/>
    </row>
    <row r="7718" spans="2:2" ht="15.95" customHeight="1">
      <c r="B7718" s="37"/>
    </row>
    <row r="7719" spans="2:2" ht="15.95" customHeight="1">
      <c r="B7719" s="37"/>
    </row>
    <row r="7720" spans="2:2" ht="15.95" customHeight="1">
      <c r="B7720" s="37"/>
    </row>
    <row r="7721" spans="2:2" ht="15.95" customHeight="1">
      <c r="B7721" s="37"/>
    </row>
    <row r="7722" spans="2:2" ht="15.95" customHeight="1">
      <c r="B7722" s="37"/>
    </row>
    <row r="7723" spans="2:2" ht="15.95" customHeight="1">
      <c r="B7723" s="37"/>
    </row>
    <row r="7724" spans="2:2" ht="15.95" customHeight="1">
      <c r="B7724" s="37"/>
    </row>
    <row r="7725" spans="2:2" ht="15.95" customHeight="1">
      <c r="B7725" s="37"/>
    </row>
    <row r="7726" spans="2:2" ht="15.95" customHeight="1">
      <c r="B7726" s="37"/>
    </row>
    <row r="7727" spans="2:2" ht="15.95" customHeight="1">
      <c r="B7727" s="37"/>
    </row>
    <row r="7728" spans="2:2" ht="15.95" customHeight="1">
      <c r="B7728" s="37"/>
    </row>
    <row r="7729" spans="2:2" ht="15.95" customHeight="1">
      <c r="B7729" s="37"/>
    </row>
    <row r="7730" spans="2:2" ht="15.95" customHeight="1">
      <c r="B7730" s="37"/>
    </row>
    <row r="7731" spans="2:2" ht="15.95" customHeight="1">
      <c r="B7731" s="37"/>
    </row>
    <row r="7732" spans="2:2" ht="15.95" customHeight="1">
      <c r="B7732" s="37"/>
    </row>
    <row r="7733" spans="2:2" ht="15.95" customHeight="1">
      <c r="B7733" s="37"/>
    </row>
    <row r="7734" spans="2:2" ht="15.95" customHeight="1">
      <c r="B7734" s="37"/>
    </row>
    <row r="7735" spans="2:2" ht="15.95" customHeight="1">
      <c r="B7735" s="37"/>
    </row>
    <row r="7736" spans="2:2" ht="15.95" customHeight="1">
      <c r="B7736" s="37"/>
    </row>
    <row r="7737" spans="2:2" ht="15.95" customHeight="1">
      <c r="B7737" s="37"/>
    </row>
    <row r="7738" spans="2:2" ht="15.95" customHeight="1">
      <c r="B7738" s="37"/>
    </row>
    <row r="7739" spans="2:2" ht="15.95" customHeight="1">
      <c r="B7739" s="37"/>
    </row>
    <row r="7740" spans="2:2" ht="15.95" customHeight="1">
      <c r="B7740" s="37"/>
    </row>
    <row r="7741" spans="2:2" ht="15.95" customHeight="1">
      <c r="B7741" s="37"/>
    </row>
    <row r="7742" spans="2:2" ht="15.95" customHeight="1">
      <c r="B7742" s="37"/>
    </row>
    <row r="7743" spans="2:2" ht="15.95" customHeight="1">
      <c r="B7743" s="37"/>
    </row>
    <row r="7744" spans="2:2" ht="15.95" customHeight="1">
      <c r="B7744" s="37"/>
    </row>
    <row r="7745" spans="2:2" ht="15.95" customHeight="1">
      <c r="B7745" s="37"/>
    </row>
    <row r="7746" spans="2:2" ht="15.95" customHeight="1">
      <c r="B7746" s="37"/>
    </row>
    <row r="7747" spans="2:2" ht="15.95" customHeight="1">
      <c r="B7747" s="37"/>
    </row>
    <row r="7748" spans="2:2" ht="15.95" customHeight="1">
      <c r="B7748" s="37"/>
    </row>
    <row r="7749" spans="2:2" ht="15.95" customHeight="1">
      <c r="B7749" s="37"/>
    </row>
    <row r="7750" spans="2:2" ht="15.95" customHeight="1">
      <c r="B7750" s="37"/>
    </row>
    <row r="7751" spans="2:2" ht="15.95" customHeight="1">
      <c r="B7751" s="37"/>
    </row>
    <row r="7752" spans="2:2" ht="15.95" customHeight="1">
      <c r="B7752" s="37"/>
    </row>
    <row r="7753" spans="2:2" ht="15.95" customHeight="1">
      <c r="B7753" s="37"/>
    </row>
    <row r="7754" spans="2:2" ht="15.95" customHeight="1">
      <c r="B7754" s="37"/>
    </row>
    <row r="7755" spans="2:2" ht="15.95" customHeight="1">
      <c r="B7755" s="37"/>
    </row>
    <row r="7756" spans="2:2" ht="15.95" customHeight="1">
      <c r="B7756" s="37"/>
    </row>
    <row r="7757" spans="2:2" ht="15.95" customHeight="1">
      <c r="B7757" s="37"/>
    </row>
    <row r="7758" spans="2:2" ht="15.95" customHeight="1">
      <c r="B7758" s="37"/>
    </row>
    <row r="7759" spans="2:2" ht="15.95" customHeight="1">
      <c r="B7759" s="37"/>
    </row>
    <row r="7760" spans="2:2" ht="15.95" customHeight="1">
      <c r="B7760" s="37"/>
    </row>
    <row r="7761" spans="2:2" ht="15.95" customHeight="1">
      <c r="B7761" s="37"/>
    </row>
    <row r="7762" spans="2:2" ht="15.95" customHeight="1">
      <c r="B7762" s="37"/>
    </row>
    <row r="7763" spans="2:2" ht="15.95" customHeight="1">
      <c r="B7763" s="37"/>
    </row>
    <row r="7764" spans="2:2" ht="15.95" customHeight="1">
      <c r="B7764" s="37"/>
    </row>
    <row r="7765" spans="2:2" ht="15.95" customHeight="1">
      <c r="B7765" s="37"/>
    </row>
    <row r="7766" spans="2:2" ht="15.95" customHeight="1">
      <c r="B7766" s="37"/>
    </row>
    <row r="7767" spans="2:2" ht="15.95" customHeight="1">
      <c r="B7767" s="37"/>
    </row>
    <row r="7768" spans="2:2" ht="15.95" customHeight="1">
      <c r="B7768" s="37"/>
    </row>
    <row r="7769" spans="2:2" ht="15.95" customHeight="1">
      <c r="B7769" s="37"/>
    </row>
    <row r="7770" spans="2:2" ht="15.95" customHeight="1">
      <c r="B7770" s="37"/>
    </row>
    <row r="7771" spans="2:2" ht="15.95" customHeight="1">
      <c r="B7771" s="37"/>
    </row>
    <row r="7772" spans="2:2" ht="15.95" customHeight="1">
      <c r="B7772" s="37"/>
    </row>
    <row r="7773" spans="2:2" ht="15.95" customHeight="1">
      <c r="B7773" s="37"/>
    </row>
    <row r="7774" spans="2:2" ht="15.95" customHeight="1">
      <c r="B7774" s="37"/>
    </row>
    <row r="7775" spans="2:2" ht="15.95" customHeight="1">
      <c r="B7775" s="37"/>
    </row>
    <row r="7776" spans="2:2" ht="15.95" customHeight="1">
      <c r="B7776" s="37"/>
    </row>
    <row r="7777" spans="2:2" ht="15.95" customHeight="1">
      <c r="B7777" s="37"/>
    </row>
    <row r="7778" spans="2:2" ht="15.95" customHeight="1">
      <c r="B7778" s="37"/>
    </row>
    <row r="7779" spans="2:2" ht="15.95" customHeight="1">
      <c r="B7779" s="37"/>
    </row>
    <row r="7780" spans="2:2" ht="15.95" customHeight="1">
      <c r="B7780" s="37"/>
    </row>
    <row r="7781" spans="2:2" ht="15.95" customHeight="1">
      <c r="B7781" s="37"/>
    </row>
    <row r="7782" spans="2:2" ht="15.95" customHeight="1">
      <c r="B7782" s="37"/>
    </row>
    <row r="7783" spans="2:2" ht="15.95" customHeight="1">
      <c r="B7783" s="37"/>
    </row>
    <row r="7784" spans="2:2" ht="15.95" customHeight="1">
      <c r="B7784" s="37"/>
    </row>
    <row r="7785" spans="2:2" ht="15.95" customHeight="1">
      <c r="B7785" s="37"/>
    </row>
    <row r="7786" spans="2:2" ht="15.95" customHeight="1">
      <c r="B7786" s="37"/>
    </row>
    <row r="7787" spans="2:2" ht="15.95" customHeight="1">
      <c r="B7787" s="37"/>
    </row>
    <row r="7788" spans="2:2" ht="15.95" customHeight="1">
      <c r="B7788" s="37"/>
    </row>
    <row r="7789" spans="2:2" ht="15.95" customHeight="1">
      <c r="B7789" s="37"/>
    </row>
    <row r="7790" spans="2:2" ht="15.95" customHeight="1">
      <c r="B7790" s="37"/>
    </row>
    <row r="7791" spans="2:2" ht="15.95" customHeight="1">
      <c r="B7791" s="37"/>
    </row>
    <row r="7792" spans="2:2" ht="15.95" customHeight="1">
      <c r="B7792" s="37"/>
    </row>
    <row r="7793" spans="2:2" ht="15.95" customHeight="1">
      <c r="B7793" s="37"/>
    </row>
    <row r="7794" spans="2:2" ht="15.95" customHeight="1">
      <c r="B7794" s="37"/>
    </row>
    <row r="7795" spans="2:2" ht="15.95" customHeight="1">
      <c r="B7795" s="37"/>
    </row>
    <row r="7796" spans="2:2" ht="15.95" customHeight="1">
      <c r="B7796" s="37"/>
    </row>
    <row r="7797" spans="2:2" ht="15.95" customHeight="1">
      <c r="B7797" s="37"/>
    </row>
    <row r="7798" spans="2:2" ht="15.95" customHeight="1">
      <c r="B7798" s="37"/>
    </row>
    <row r="7799" spans="2:2" ht="15.95" customHeight="1">
      <c r="B7799" s="37"/>
    </row>
    <row r="7800" spans="2:2" ht="15.95" customHeight="1">
      <c r="B7800" s="37"/>
    </row>
    <row r="7801" spans="2:2" ht="15.95" customHeight="1">
      <c r="B7801" s="37"/>
    </row>
    <row r="7802" spans="2:2" ht="15.95" customHeight="1">
      <c r="B7802" s="37"/>
    </row>
    <row r="7803" spans="2:2" ht="15.95" customHeight="1">
      <c r="B7803" s="37"/>
    </row>
    <row r="7804" spans="2:2" ht="15.95" customHeight="1">
      <c r="B7804" s="37"/>
    </row>
    <row r="7805" spans="2:2" ht="15.95" customHeight="1">
      <c r="B7805" s="37"/>
    </row>
    <row r="7806" spans="2:2" ht="15.95" customHeight="1">
      <c r="B7806" s="37"/>
    </row>
    <row r="7807" spans="2:2" ht="15.95" customHeight="1">
      <c r="B7807" s="37"/>
    </row>
    <row r="7808" spans="2:2" ht="15.95" customHeight="1">
      <c r="B7808" s="37"/>
    </row>
    <row r="7809" spans="2:2" ht="15.95" customHeight="1">
      <c r="B7809" s="37"/>
    </row>
    <row r="7810" spans="2:2" ht="15.95" customHeight="1">
      <c r="B7810" s="37"/>
    </row>
    <row r="7811" spans="2:2" ht="15.95" customHeight="1">
      <c r="B7811" s="37"/>
    </row>
    <row r="7812" spans="2:2" ht="15.95" customHeight="1">
      <c r="B7812" s="37"/>
    </row>
    <row r="7813" spans="2:2" ht="15.95" customHeight="1">
      <c r="B7813" s="37"/>
    </row>
    <row r="7814" spans="2:2" ht="15.95" customHeight="1">
      <c r="B7814" s="37"/>
    </row>
    <row r="7815" spans="2:2" ht="15.95" customHeight="1">
      <c r="B7815" s="37"/>
    </row>
    <row r="7816" spans="2:2" ht="15.95" customHeight="1">
      <c r="B7816" s="37"/>
    </row>
    <row r="7817" spans="2:2" ht="15.95" customHeight="1">
      <c r="B7817" s="37"/>
    </row>
    <row r="7818" spans="2:2" ht="15.95" customHeight="1">
      <c r="B7818" s="37"/>
    </row>
    <row r="7819" spans="2:2" ht="15.95" customHeight="1">
      <c r="B7819" s="37"/>
    </row>
    <row r="7820" spans="2:2" ht="15.95" customHeight="1">
      <c r="B7820" s="37"/>
    </row>
    <row r="7821" spans="2:2" ht="15.95" customHeight="1">
      <c r="B7821" s="37"/>
    </row>
    <row r="7822" spans="2:2" ht="15.95" customHeight="1">
      <c r="B7822" s="37"/>
    </row>
    <row r="7823" spans="2:2" ht="15.95" customHeight="1">
      <c r="B7823" s="37"/>
    </row>
    <row r="7824" spans="2:2" ht="15.95" customHeight="1">
      <c r="B7824" s="37"/>
    </row>
    <row r="7825" spans="2:2" ht="15.95" customHeight="1">
      <c r="B7825" s="37"/>
    </row>
    <row r="7826" spans="2:2" ht="15.95" customHeight="1">
      <c r="B7826" s="37"/>
    </row>
    <row r="7827" spans="2:2" ht="15.95" customHeight="1">
      <c r="B7827" s="37"/>
    </row>
    <row r="7828" spans="2:2" ht="15.95" customHeight="1">
      <c r="B7828" s="37"/>
    </row>
    <row r="7829" spans="2:2" ht="15.95" customHeight="1">
      <c r="B7829" s="37"/>
    </row>
    <row r="7830" spans="2:2" ht="15.95" customHeight="1">
      <c r="B7830" s="37"/>
    </row>
    <row r="7831" spans="2:2" ht="15.95" customHeight="1">
      <c r="B7831" s="37"/>
    </row>
    <row r="7832" spans="2:2" ht="15.95" customHeight="1">
      <c r="B7832" s="37"/>
    </row>
    <row r="7833" spans="2:2" ht="15.95" customHeight="1">
      <c r="B7833" s="37"/>
    </row>
    <row r="7834" spans="2:2" ht="15.95" customHeight="1">
      <c r="B7834" s="37"/>
    </row>
    <row r="7835" spans="2:2" ht="15.95" customHeight="1">
      <c r="B7835" s="37"/>
    </row>
    <row r="7836" spans="2:2" ht="15.95" customHeight="1">
      <c r="B7836" s="37"/>
    </row>
    <row r="7837" spans="2:2" ht="15.95" customHeight="1">
      <c r="B7837" s="37"/>
    </row>
    <row r="7838" spans="2:2" ht="15.95" customHeight="1">
      <c r="B7838" s="37"/>
    </row>
    <row r="7839" spans="2:2" ht="15.95" customHeight="1">
      <c r="B7839" s="37"/>
    </row>
    <row r="7840" spans="2:2" ht="15.95" customHeight="1">
      <c r="B7840" s="37"/>
    </row>
    <row r="7841" spans="2:2" ht="15.95" customHeight="1">
      <c r="B7841" s="37"/>
    </row>
    <row r="7842" spans="2:2" ht="15.95" customHeight="1">
      <c r="B7842" s="37"/>
    </row>
    <row r="7843" spans="2:2" ht="15.95" customHeight="1">
      <c r="B7843" s="37"/>
    </row>
    <row r="7844" spans="2:2" ht="15.95" customHeight="1">
      <c r="B7844" s="37"/>
    </row>
    <row r="7845" spans="2:2" ht="15.95" customHeight="1">
      <c r="B7845" s="37"/>
    </row>
    <row r="7846" spans="2:2" ht="15.95" customHeight="1">
      <c r="B7846" s="37"/>
    </row>
    <row r="7847" spans="2:2" ht="15.95" customHeight="1">
      <c r="B7847" s="37"/>
    </row>
    <row r="7848" spans="2:2" ht="15.95" customHeight="1">
      <c r="B7848" s="37"/>
    </row>
    <row r="7849" spans="2:2" ht="15.95" customHeight="1">
      <c r="B7849" s="37"/>
    </row>
    <row r="7850" spans="2:2" ht="15.95" customHeight="1">
      <c r="B7850" s="37"/>
    </row>
    <row r="7851" spans="2:2" ht="15.95" customHeight="1">
      <c r="B7851" s="37"/>
    </row>
    <row r="7852" spans="2:2" ht="15.95" customHeight="1">
      <c r="B7852" s="37"/>
    </row>
    <row r="7853" spans="2:2" ht="15.95" customHeight="1">
      <c r="B7853" s="37"/>
    </row>
    <row r="7854" spans="2:2" ht="15.95" customHeight="1">
      <c r="B7854" s="37"/>
    </row>
    <row r="7855" spans="2:2" ht="15.95" customHeight="1">
      <c r="B7855" s="37"/>
    </row>
    <row r="7856" spans="2:2" ht="15.95" customHeight="1">
      <c r="B7856" s="37"/>
    </row>
    <row r="7857" spans="2:2" ht="15.95" customHeight="1">
      <c r="B7857" s="37"/>
    </row>
    <row r="7858" spans="2:2" ht="15.95" customHeight="1">
      <c r="B7858" s="37"/>
    </row>
    <row r="7859" spans="2:2" ht="15.95" customHeight="1">
      <c r="B7859" s="37"/>
    </row>
    <row r="7860" spans="2:2" ht="15.95" customHeight="1">
      <c r="B7860" s="37"/>
    </row>
    <row r="7861" spans="2:2" ht="15.95" customHeight="1">
      <c r="B7861" s="37"/>
    </row>
    <row r="7862" spans="2:2" ht="15.95" customHeight="1">
      <c r="B7862" s="37"/>
    </row>
    <row r="7863" spans="2:2" ht="15.95" customHeight="1">
      <c r="B7863" s="37"/>
    </row>
    <row r="7864" spans="2:2" ht="15.95" customHeight="1">
      <c r="B7864" s="37"/>
    </row>
    <row r="7865" spans="2:2" ht="15.95" customHeight="1">
      <c r="B7865" s="37"/>
    </row>
    <row r="7866" spans="2:2" ht="15.95" customHeight="1">
      <c r="B7866" s="37"/>
    </row>
    <row r="7867" spans="2:2" ht="15.95" customHeight="1">
      <c r="B7867" s="37"/>
    </row>
    <row r="7868" spans="2:2" ht="15.95" customHeight="1">
      <c r="B7868" s="37"/>
    </row>
    <row r="7869" spans="2:2" ht="15.95" customHeight="1">
      <c r="B7869" s="37"/>
    </row>
    <row r="7870" spans="2:2" ht="15.95" customHeight="1">
      <c r="B7870" s="37"/>
    </row>
    <row r="7871" spans="2:2" ht="15.95" customHeight="1">
      <c r="B7871" s="37"/>
    </row>
    <row r="7872" spans="2:2" ht="15.95" customHeight="1">
      <c r="B7872" s="37"/>
    </row>
    <row r="7873" spans="2:2" ht="15.95" customHeight="1">
      <c r="B7873" s="37"/>
    </row>
    <row r="7874" spans="2:2" ht="15.95" customHeight="1">
      <c r="B7874" s="37"/>
    </row>
    <row r="7875" spans="2:2" ht="15.95" customHeight="1">
      <c r="B7875" s="37"/>
    </row>
    <row r="7876" spans="2:2" ht="15.95" customHeight="1">
      <c r="B7876" s="37"/>
    </row>
    <row r="7877" spans="2:2" ht="15.95" customHeight="1">
      <c r="B7877" s="37"/>
    </row>
    <row r="7878" spans="2:2" ht="15.95" customHeight="1">
      <c r="B7878" s="37"/>
    </row>
    <row r="7879" spans="2:2" ht="15.95" customHeight="1">
      <c r="B7879" s="37"/>
    </row>
    <row r="7880" spans="2:2" ht="15.95" customHeight="1">
      <c r="B7880" s="37"/>
    </row>
    <row r="7881" spans="2:2" ht="15.95" customHeight="1">
      <c r="B7881" s="37"/>
    </row>
    <row r="7882" spans="2:2" ht="15.95" customHeight="1">
      <c r="B7882" s="37"/>
    </row>
    <row r="7883" spans="2:2" ht="15.95" customHeight="1">
      <c r="B7883" s="37"/>
    </row>
    <row r="7884" spans="2:2" ht="15.95" customHeight="1">
      <c r="B7884" s="37"/>
    </row>
    <row r="7885" spans="2:2" ht="15.95" customHeight="1">
      <c r="B7885" s="37"/>
    </row>
    <row r="7886" spans="2:2" ht="15.95" customHeight="1">
      <c r="B7886" s="37"/>
    </row>
    <row r="7887" spans="2:2" ht="15.95" customHeight="1">
      <c r="B7887" s="37"/>
    </row>
    <row r="7888" spans="2:2" ht="15.95" customHeight="1">
      <c r="B7888" s="37"/>
    </row>
    <row r="7889" spans="2:2" ht="15.95" customHeight="1">
      <c r="B7889" s="37"/>
    </row>
    <row r="7890" spans="2:2" ht="15.95" customHeight="1">
      <c r="B7890" s="37"/>
    </row>
    <row r="7891" spans="2:2" ht="15.95" customHeight="1">
      <c r="B7891" s="37"/>
    </row>
    <row r="7892" spans="2:2" ht="15.95" customHeight="1">
      <c r="B7892" s="37"/>
    </row>
    <row r="7893" spans="2:2" ht="15.95" customHeight="1">
      <c r="B7893" s="37"/>
    </row>
    <row r="7894" spans="2:2" ht="15.95" customHeight="1">
      <c r="B7894" s="37"/>
    </row>
    <row r="7895" spans="2:2" ht="15.95" customHeight="1">
      <c r="B7895" s="37"/>
    </row>
    <row r="7896" spans="2:2" ht="15.95" customHeight="1">
      <c r="B7896" s="37"/>
    </row>
    <row r="7897" spans="2:2" ht="15.95" customHeight="1">
      <c r="B7897" s="37"/>
    </row>
    <row r="7898" spans="2:2" ht="15.95" customHeight="1">
      <c r="B7898" s="37"/>
    </row>
    <row r="7899" spans="2:2" ht="15.95" customHeight="1">
      <c r="B7899" s="37"/>
    </row>
    <row r="7900" spans="2:2" ht="15.95" customHeight="1">
      <c r="B7900" s="37"/>
    </row>
    <row r="7901" spans="2:2" ht="15.95" customHeight="1">
      <c r="B7901" s="37"/>
    </row>
    <row r="7902" spans="2:2" ht="15.95" customHeight="1">
      <c r="B7902" s="37"/>
    </row>
    <row r="7903" spans="2:2" ht="15.95" customHeight="1">
      <c r="B7903" s="37"/>
    </row>
    <row r="7904" spans="2:2" ht="15.95" customHeight="1">
      <c r="B7904" s="37"/>
    </row>
    <row r="7905" spans="2:2" ht="15.95" customHeight="1">
      <c r="B7905" s="37"/>
    </row>
    <row r="7906" spans="2:2" ht="15.95" customHeight="1">
      <c r="B7906" s="37"/>
    </row>
    <row r="7907" spans="2:2" ht="15.95" customHeight="1">
      <c r="B7907" s="37"/>
    </row>
    <row r="7908" spans="2:2" ht="15.95" customHeight="1">
      <c r="B7908" s="37"/>
    </row>
    <row r="7909" spans="2:2" ht="15.95" customHeight="1">
      <c r="B7909" s="37"/>
    </row>
    <row r="7910" spans="2:2" ht="15.95" customHeight="1">
      <c r="B7910" s="37"/>
    </row>
    <row r="7911" spans="2:2" ht="15.95" customHeight="1">
      <c r="B7911" s="37"/>
    </row>
    <row r="7912" spans="2:2" ht="15.95" customHeight="1">
      <c r="B7912" s="37"/>
    </row>
    <row r="7913" spans="2:2" ht="15.95" customHeight="1">
      <c r="B7913" s="37"/>
    </row>
    <row r="7914" spans="2:2" ht="15.95" customHeight="1">
      <c r="B7914" s="37"/>
    </row>
    <row r="7915" spans="2:2" ht="15.95" customHeight="1">
      <c r="B7915" s="37"/>
    </row>
    <row r="7916" spans="2:2" ht="15.95" customHeight="1">
      <c r="B7916" s="37"/>
    </row>
    <row r="7917" spans="2:2" ht="15.95" customHeight="1">
      <c r="B7917" s="37"/>
    </row>
    <row r="7918" spans="2:2" ht="15.95" customHeight="1">
      <c r="B7918" s="37"/>
    </row>
    <row r="7919" spans="2:2" ht="15.95" customHeight="1">
      <c r="B7919" s="37"/>
    </row>
    <row r="7920" spans="2:2" ht="15.95" customHeight="1">
      <c r="B7920" s="37"/>
    </row>
    <row r="7921" spans="2:2" ht="15.95" customHeight="1">
      <c r="B7921" s="37"/>
    </row>
    <row r="7922" spans="2:2" ht="15.95" customHeight="1">
      <c r="B7922" s="37"/>
    </row>
    <row r="7923" spans="2:2" ht="15.95" customHeight="1">
      <c r="B7923" s="37"/>
    </row>
    <row r="7924" spans="2:2" ht="15.95" customHeight="1">
      <c r="B7924" s="37"/>
    </row>
    <row r="7925" spans="2:2" ht="15.95" customHeight="1">
      <c r="B7925" s="37"/>
    </row>
    <row r="7926" spans="2:2" ht="15.95" customHeight="1">
      <c r="B7926" s="37"/>
    </row>
    <row r="7927" spans="2:2" ht="15.95" customHeight="1">
      <c r="B7927" s="37"/>
    </row>
    <row r="7928" spans="2:2" ht="15.95" customHeight="1">
      <c r="B7928" s="37"/>
    </row>
    <row r="7929" spans="2:2" ht="15.95" customHeight="1">
      <c r="B7929" s="37"/>
    </row>
    <row r="7930" spans="2:2" ht="15.95" customHeight="1">
      <c r="B7930" s="37"/>
    </row>
    <row r="7931" spans="2:2" ht="15.95" customHeight="1">
      <c r="B7931" s="37"/>
    </row>
    <row r="7932" spans="2:2" ht="15.95" customHeight="1">
      <c r="B7932" s="37"/>
    </row>
    <row r="7933" spans="2:2" ht="15.95" customHeight="1">
      <c r="B7933" s="37"/>
    </row>
    <row r="7934" spans="2:2" ht="15.95" customHeight="1">
      <c r="B7934" s="37"/>
    </row>
    <row r="7935" spans="2:2" ht="15.95" customHeight="1">
      <c r="B7935" s="37"/>
    </row>
    <row r="7936" spans="2:2" ht="15.95" customHeight="1">
      <c r="B7936" s="37"/>
    </row>
    <row r="7937" spans="2:2" ht="15.95" customHeight="1">
      <c r="B7937" s="37"/>
    </row>
    <row r="7938" spans="2:2" ht="15.95" customHeight="1">
      <c r="B7938" s="37"/>
    </row>
    <row r="7939" spans="2:2" ht="15.95" customHeight="1">
      <c r="B7939" s="37"/>
    </row>
    <row r="7940" spans="2:2" ht="15.95" customHeight="1">
      <c r="B7940" s="37"/>
    </row>
    <row r="7941" spans="2:2" ht="15.95" customHeight="1">
      <c r="B7941" s="37"/>
    </row>
    <row r="7942" spans="2:2" ht="15.95" customHeight="1">
      <c r="B7942" s="37"/>
    </row>
    <row r="7943" spans="2:2" ht="15.95" customHeight="1">
      <c r="B7943" s="37"/>
    </row>
    <row r="7944" spans="2:2" ht="15.95" customHeight="1">
      <c r="B7944" s="37"/>
    </row>
    <row r="7945" spans="2:2" ht="15.95" customHeight="1">
      <c r="B7945" s="37"/>
    </row>
    <row r="7946" spans="2:2" ht="15.95" customHeight="1">
      <c r="B7946" s="37"/>
    </row>
    <row r="7947" spans="2:2" ht="15.95" customHeight="1">
      <c r="B7947" s="37"/>
    </row>
    <row r="7948" spans="2:2" ht="15.95" customHeight="1">
      <c r="B7948" s="37"/>
    </row>
    <row r="7949" spans="2:2" ht="15.95" customHeight="1">
      <c r="B7949" s="37"/>
    </row>
    <row r="7950" spans="2:2" ht="15.95" customHeight="1">
      <c r="B7950" s="37"/>
    </row>
    <row r="7951" spans="2:2" ht="15.95" customHeight="1">
      <c r="B7951" s="37"/>
    </row>
    <row r="7952" spans="2:2" ht="15.95" customHeight="1">
      <c r="B7952" s="37"/>
    </row>
    <row r="7953" spans="2:2" ht="15.95" customHeight="1">
      <c r="B7953" s="37"/>
    </row>
    <row r="7954" spans="2:2" ht="15.95" customHeight="1">
      <c r="B7954" s="37"/>
    </row>
    <row r="7955" spans="2:2" ht="15.95" customHeight="1">
      <c r="B7955" s="37"/>
    </row>
    <row r="7956" spans="2:2" ht="15.95" customHeight="1">
      <c r="B7956" s="37"/>
    </row>
    <row r="7957" spans="2:2" ht="15.95" customHeight="1">
      <c r="B7957" s="37"/>
    </row>
    <row r="7958" spans="2:2" ht="15.95" customHeight="1">
      <c r="B7958" s="37"/>
    </row>
    <row r="7959" spans="2:2" ht="15.95" customHeight="1">
      <c r="B7959" s="37"/>
    </row>
    <row r="7960" spans="2:2" ht="15.95" customHeight="1">
      <c r="B7960" s="37"/>
    </row>
    <row r="7961" spans="2:2" ht="15.95" customHeight="1">
      <c r="B7961" s="37"/>
    </row>
    <row r="7962" spans="2:2" ht="15.95" customHeight="1">
      <c r="B7962" s="37"/>
    </row>
    <row r="7963" spans="2:2" ht="15.95" customHeight="1">
      <c r="B7963" s="37"/>
    </row>
    <row r="7964" spans="2:2" ht="15.95" customHeight="1">
      <c r="B7964" s="37"/>
    </row>
    <row r="7965" spans="2:2" ht="15.95" customHeight="1">
      <c r="B7965" s="37"/>
    </row>
    <row r="7966" spans="2:2" ht="15.95" customHeight="1">
      <c r="B7966" s="37"/>
    </row>
    <row r="7967" spans="2:2" ht="15.95" customHeight="1">
      <c r="B7967" s="37"/>
    </row>
    <row r="7968" spans="2:2" ht="15.95" customHeight="1">
      <c r="B7968" s="37"/>
    </row>
    <row r="7969" spans="2:2" ht="15.95" customHeight="1">
      <c r="B7969" s="37"/>
    </row>
    <row r="7970" spans="2:2" ht="15.95" customHeight="1">
      <c r="B7970" s="37"/>
    </row>
    <row r="7971" spans="2:2" ht="15.95" customHeight="1">
      <c r="B7971" s="37"/>
    </row>
    <row r="7972" spans="2:2" ht="15.95" customHeight="1">
      <c r="B7972" s="37"/>
    </row>
    <row r="7973" spans="2:2" ht="15.95" customHeight="1">
      <c r="B7973" s="37"/>
    </row>
    <row r="7974" spans="2:2" ht="15.95" customHeight="1">
      <c r="B7974" s="37"/>
    </row>
    <row r="7975" spans="2:2" ht="15.95" customHeight="1">
      <c r="B7975" s="37"/>
    </row>
    <row r="7976" spans="2:2" ht="15.95" customHeight="1">
      <c r="B7976" s="37"/>
    </row>
    <row r="7977" spans="2:2" ht="15.95" customHeight="1">
      <c r="B7977" s="37"/>
    </row>
    <row r="7978" spans="2:2" ht="15.95" customHeight="1">
      <c r="B7978" s="37"/>
    </row>
    <row r="7979" spans="2:2" ht="15.95" customHeight="1">
      <c r="B7979" s="37"/>
    </row>
    <row r="7980" spans="2:2" ht="15.95" customHeight="1">
      <c r="B7980" s="37"/>
    </row>
    <row r="7981" spans="2:2" ht="15.95" customHeight="1">
      <c r="B7981" s="37"/>
    </row>
    <row r="7982" spans="2:2" ht="15.95" customHeight="1">
      <c r="B7982" s="37"/>
    </row>
    <row r="7983" spans="2:2" ht="15.95" customHeight="1">
      <c r="B7983" s="37"/>
    </row>
    <row r="7984" spans="2:2" ht="15.95" customHeight="1">
      <c r="B7984" s="37"/>
    </row>
    <row r="7985" spans="2:2" ht="15.95" customHeight="1">
      <c r="B7985" s="37"/>
    </row>
    <row r="7986" spans="2:2" ht="15.95" customHeight="1">
      <c r="B7986" s="37"/>
    </row>
    <row r="7987" spans="2:2" ht="15.95" customHeight="1">
      <c r="B7987" s="37"/>
    </row>
    <row r="7988" spans="2:2" ht="15.95" customHeight="1">
      <c r="B7988" s="37"/>
    </row>
    <row r="7989" spans="2:2" ht="15.95" customHeight="1">
      <c r="B7989" s="37"/>
    </row>
    <row r="7990" spans="2:2" ht="15.95" customHeight="1">
      <c r="B7990" s="37"/>
    </row>
    <row r="7991" spans="2:2" ht="15.95" customHeight="1">
      <c r="B7991" s="37"/>
    </row>
    <row r="7992" spans="2:2" ht="15.95" customHeight="1">
      <c r="B7992" s="37"/>
    </row>
    <row r="7993" spans="2:2" ht="15.95" customHeight="1">
      <c r="B7993" s="37"/>
    </row>
    <row r="7994" spans="2:2" ht="15.95" customHeight="1">
      <c r="B7994" s="37"/>
    </row>
    <row r="7995" spans="2:2" ht="15.95" customHeight="1">
      <c r="B7995" s="37"/>
    </row>
    <row r="7996" spans="2:2" ht="15.95" customHeight="1">
      <c r="B7996" s="37"/>
    </row>
    <row r="7997" spans="2:2" ht="15.95" customHeight="1">
      <c r="B7997" s="37"/>
    </row>
    <row r="7998" spans="2:2" ht="15.95" customHeight="1">
      <c r="B7998" s="37"/>
    </row>
    <row r="7999" spans="2:2" ht="15.95" customHeight="1">
      <c r="B7999" s="37"/>
    </row>
    <row r="8000" spans="2:2" ht="15.95" customHeight="1">
      <c r="B8000" s="37"/>
    </row>
    <row r="8001" spans="2:2" ht="15.95" customHeight="1">
      <c r="B8001" s="37"/>
    </row>
    <row r="8002" spans="2:2" ht="15.95" customHeight="1">
      <c r="B8002" s="37"/>
    </row>
    <row r="8003" spans="2:2" ht="15.95" customHeight="1">
      <c r="B8003" s="37"/>
    </row>
    <row r="8004" spans="2:2" ht="15.95" customHeight="1">
      <c r="B8004" s="37"/>
    </row>
    <row r="8005" spans="2:2" ht="15.95" customHeight="1">
      <c r="B8005" s="37"/>
    </row>
    <row r="8006" spans="2:2" ht="15.95" customHeight="1">
      <c r="B8006" s="37"/>
    </row>
    <row r="8007" spans="2:2" ht="15.95" customHeight="1">
      <c r="B8007" s="37"/>
    </row>
    <row r="8008" spans="2:2" ht="15.95" customHeight="1">
      <c r="B8008" s="37"/>
    </row>
    <row r="8009" spans="2:2" ht="15.95" customHeight="1">
      <c r="B8009" s="37"/>
    </row>
    <row r="8010" spans="2:2" ht="15.95" customHeight="1">
      <c r="B8010" s="37"/>
    </row>
    <row r="8011" spans="2:2" ht="15.95" customHeight="1">
      <c r="B8011" s="37"/>
    </row>
    <row r="8012" spans="2:2" ht="15.95" customHeight="1">
      <c r="B8012" s="37"/>
    </row>
    <row r="8013" spans="2:2" ht="15.95" customHeight="1">
      <c r="B8013" s="37"/>
    </row>
    <row r="8014" spans="2:2" ht="15.95" customHeight="1">
      <c r="B8014" s="37"/>
    </row>
    <row r="8015" spans="2:2" ht="15.95" customHeight="1">
      <c r="B8015" s="37"/>
    </row>
    <row r="8016" spans="2:2" ht="15.95" customHeight="1">
      <c r="B8016" s="37"/>
    </row>
    <row r="8017" spans="2:2" ht="15.95" customHeight="1">
      <c r="B8017" s="37"/>
    </row>
    <row r="8018" spans="2:2" ht="15.95" customHeight="1">
      <c r="B8018" s="37"/>
    </row>
    <row r="8019" spans="2:2" ht="15.95" customHeight="1">
      <c r="B8019" s="37"/>
    </row>
    <row r="8020" spans="2:2" ht="15.95" customHeight="1">
      <c r="B8020" s="37"/>
    </row>
    <row r="8021" spans="2:2" ht="15.95" customHeight="1">
      <c r="B8021" s="37"/>
    </row>
    <row r="8022" spans="2:2" ht="15.95" customHeight="1">
      <c r="B8022" s="37"/>
    </row>
    <row r="8023" spans="2:2" ht="15.95" customHeight="1">
      <c r="B8023" s="37"/>
    </row>
    <row r="8024" spans="2:2" ht="15.95" customHeight="1">
      <c r="B8024" s="37"/>
    </row>
    <row r="8025" spans="2:2" ht="15.95" customHeight="1">
      <c r="B8025" s="37"/>
    </row>
    <row r="8026" spans="2:2" ht="15.95" customHeight="1">
      <c r="B8026" s="37"/>
    </row>
    <row r="8027" spans="2:2" ht="15.95" customHeight="1">
      <c r="B8027" s="37"/>
    </row>
    <row r="8028" spans="2:2" ht="15.95" customHeight="1">
      <c r="B8028" s="37"/>
    </row>
    <row r="8029" spans="2:2" ht="15.95" customHeight="1">
      <c r="B8029" s="37"/>
    </row>
    <row r="8030" spans="2:2" ht="15.95" customHeight="1">
      <c r="B8030" s="37"/>
    </row>
    <row r="8031" spans="2:2" ht="15.95" customHeight="1">
      <c r="B8031" s="37"/>
    </row>
    <row r="8032" spans="2:2" ht="15.95" customHeight="1">
      <c r="B8032" s="37"/>
    </row>
    <row r="8033" spans="2:2" ht="15.95" customHeight="1">
      <c r="B8033" s="37"/>
    </row>
    <row r="8034" spans="2:2" ht="15.95" customHeight="1">
      <c r="B8034" s="37"/>
    </row>
    <row r="8035" spans="2:2" ht="15.95" customHeight="1">
      <c r="B8035" s="37"/>
    </row>
    <row r="8036" spans="2:2" ht="15.95" customHeight="1">
      <c r="B8036" s="37"/>
    </row>
    <row r="8037" spans="2:2" ht="15.95" customHeight="1">
      <c r="B8037" s="37"/>
    </row>
    <row r="8038" spans="2:2" ht="15.95" customHeight="1">
      <c r="B8038" s="37"/>
    </row>
    <row r="8039" spans="2:2" ht="15.95" customHeight="1">
      <c r="B8039" s="37"/>
    </row>
    <row r="8040" spans="2:2" ht="15.95" customHeight="1">
      <c r="B8040" s="37"/>
    </row>
    <row r="8041" spans="2:2" ht="15.95" customHeight="1">
      <c r="B8041" s="37"/>
    </row>
    <row r="8042" spans="2:2" ht="15.95" customHeight="1">
      <c r="B8042" s="37"/>
    </row>
    <row r="8043" spans="2:2" ht="15.95" customHeight="1">
      <c r="B8043" s="37"/>
    </row>
    <row r="8044" spans="2:2" ht="15.95" customHeight="1">
      <c r="B8044" s="37"/>
    </row>
    <row r="8045" spans="2:2" ht="15.95" customHeight="1">
      <c r="B8045" s="37"/>
    </row>
    <row r="8046" spans="2:2" ht="15.95" customHeight="1">
      <c r="B8046" s="37"/>
    </row>
    <row r="8047" spans="2:2" ht="15.95" customHeight="1">
      <c r="B8047" s="37"/>
    </row>
    <row r="8048" spans="2:2" ht="15.95" customHeight="1">
      <c r="B8048" s="37"/>
    </row>
    <row r="8049" spans="2:2" ht="15.95" customHeight="1">
      <c r="B8049" s="37"/>
    </row>
    <row r="8050" spans="2:2" ht="15.95" customHeight="1">
      <c r="B8050" s="37"/>
    </row>
    <row r="8051" spans="2:2" ht="15.95" customHeight="1">
      <c r="B8051" s="37"/>
    </row>
    <row r="8052" spans="2:2" ht="15.95" customHeight="1">
      <c r="B8052" s="37"/>
    </row>
    <row r="8053" spans="2:2" ht="15.95" customHeight="1">
      <c r="B8053" s="37"/>
    </row>
    <row r="8054" spans="2:2" ht="15.95" customHeight="1">
      <c r="B8054" s="37"/>
    </row>
    <row r="8055" spans="2:2" ht="15.95" customHeight="1">
      <c r="B8055" s="37"/>
    </row>
    <row r="8056" spans="2:2" ht="15.95" customHeight="1">
      <c r="B8056" s="37"/>
    </row>
    <row r="8057" spans="2:2" ht="15.95" customHeight="1">
      <c r="B8057" s="37"/>
    </row>
    <row r="8058" spans="2:2" ht="15.95" customHeight="1">
      <c r="B8058" s="37"/>
    </row>
    <row r="8059" spans="2:2" ht="15.95" customHeight="1">
      <c r="B8059" s="37"/>
    </row>
    <row r="8060" spans="2:2" ht="15.95" customHeight="1">
      <c r="B8060" s="37"/>
    </row>
    <row r="8061" spans="2:2" ht="15.95" customHeight="1">
      <c r="B8061" s="37"/>
    </row>
    <row r="8062" spans="2:2" ht="15.95" customHeight="1">
      <c r="B8062" s="37"/>
    </row>
    <row r="8063" spans="2:2" ht="15.95" customHeight="1">
      <c r="B8063" s="37"/>
    </row>
    <row r="8064" spans="2:2" ht="15.95" customHeight="1">
      <c r="B8064" s="37"/>
    </row>
    <row r="8065" spans="2:2" ht="15.95" customHeight="1">
      <c r="B8065" s="37"/>
    </row>
    <row r="8066" spans="2:2" ht="15.95" customHeight="1">
      <c r="B8066" s="37"/>
    </row>
    <row r="8067" spans="2:2" ht="15.95" customHeight="1">
      <c r="B8067" s="37"/>
    </row>
    <row r="8068" spans="2:2" ht="15.95" customHeight="1">
      <c r="B8068" s="37"/>
    </row>
    <row r="8069" spans="2:2" ht="15.95" customHeight="1">
      <c r="B8069" s="37"/>
    </row>
    <row r="8070" spans="2:2" ht="15.95" customHeight="1">
      <c r="B8070" s="37"/>
    </row>
    <row r="8071" spans="2:2" ht="15.95" customHeight="1">
      <c r="B8071" s="37"/>
    </row>
    <row r="8072" spans="2:2" ht="15.95" customHeight="1">
      <c r="B8072" s="37"/>
    </row>
    <row r="8073" spans="2:2" ht="15.95" customHeight="1">
      <c r="B8073" s="37"/>
    </row>
    <row r="8074" spans="2:2" ht="15.95" customHeight="1">
      <c r="B8074" s="37"/>
    </row>
    <row r="8075" spans="2:2" ht="15.95" customHeight="1">
      <c r="B8075" s="37"/>
    </row>
    <row r="8076" spans="2:2" ht="15.95" customHeight="1">
      <c r="B8076" s="37"/>
    </row>
    <row r="8077" spans="2:2" ht="15.95" customHeight="1">
      <c r="B8077" s="37"/>
    </row>
    <row r="8078" spans="2:2" ht="15.95" customHeight="1">
      <c r="B8078" s="37"/>
    </row>
    <row r="8079" spans="2:2" ht="15.95" customHeight="1">
      <c r="B8079" s="37"/>
    </row>
    <row r="8080" spans="2:2" ht="15.95" customHeight="1">
      <c r="B8080" s="37"/>
    </row>
    <row r="8081" spans="2:2" ht="15.95" customHeight="1">
      <c r="B8081" s="37"/>
    </row>
    <row r="8082" spans="2:2" ht="15.95" customHeight="1">
      <c r="B8082" s="37"/>
    </row>
    <row r="8083" spans="2:2" ht="15.95" customHeight="1">
      <c r="B8083" s="37"/>
    </row>
    <row r="8084" spans="2:2" ht="15.95" customHeight="1">
      <c r="B8084" s="37"/>
    </row>
    <row r="8085" spans="2:2" ht="15.95" customHeight="1">
      <c r="B8085" s="37"/>
    </row>
    <row r="8086" spans="2:2" ht="15.95" customHeight="1">
      <c r="B8086" s="37"/>
    </row>
    <row r="8087" spans="2:2" ht="15.95" customHeight="1">
      <c r="B8087" s="37"/>
    </row>
    <row r="8088" spans="2:2" ht="15.95" customHeight="1">
      <c r="B8088" s="37"/>
    </row>
    <row r="8089" spans="2:2" ht="15.95" customHeight="1">
      <c r="B8089" s="37"/>
    </row>
    <row r="8090" spans="2:2" ht="15.95" customHeight="1">
      <c r="B8090" s="37"/>
    </row>
    <row r="8091" spans="2:2" ht="15.95" customHeight="1">
      <c r="B8091" s="37"/>
    </row>
    <row r="8092" spans="2:2" ht="15.95" customHeight="1">
      <c r="B8092" s="37"/>
    </row>
    <row r="8093" spans="2:2" ht="15.95" customHeight="1">
      <c r="B8093" s="37"/>
    </row>
    <row r="8094" spans="2:2" ht="15.95" customHeight="1">
      <c r="B8094" s="37"/>
    </row>
    <row r="8095" spans="2:2" ht="15.95" customHeight="1">
      <c r="B8095" s="37"/>
    </row>
    <row r="8096" spans="2:2" ht="15.95" customHeight="1">
      <c r="B8096" s="37"/>
    </row>
    <row r="8097" spans="2:2" ht="15.95" customHeight="1">
      <c r="B8097" s="37"/>
    </row>
    <row r="8098" spans="2:2" ht="15.95" customHeight="1">
      <c r="B8098" s="37"/>
    </row>
    <row r="8099" spans="2:2" ht="15.95" customHeight="1">
      <c r="B8099" s="37"/>
    </row>
    <row r="8100" spans="2:2" ht="15.95" customHeight="1">
      <c r="B8100" s="37"/>
    </row>
    <row r="8101" spans="2:2" ht="15.95" customHeight="1">
      <c r="B8101" s="37"/>
    </row>
    <row r="8102" spans="2:2" ht="15.95" customHeight="1">
      <c r="B8102" s="37"/>
    </row>
    <row r="8103" spans="2:2" ht="15.95" customHeight="1">
      <c r="B8103" s="37"/>
    </row>
    <row r="8104" spans="2:2" ht="15.95" customHeight="1">
      <c r="B8104" s="37"/>
    </row>
    <row r="8105" spans="2:2" ht="15.95" customHeight="1">
      <c r="B8105" s="37"/>
    </row>
    <row r="8106" spans="2:2" ht="15.95" customHeight="1">
      <c r="B8106" s="37"/>
    </row>
    <row r="8107" spans="2:2" ht="15.95" customHeight="1">
      <c r="B8107" s="37"/>
    </row>
    <row r="8108" spans="2:2" ht="15.95" customHeight="1">
      <c r="B8108" s="37"/>
    </row>
    <row r="8109" spans="2:2" ht="15.95" customHeight="1">
      <c r="B8109" s="37"/>
    </row>
    <row r="8110" spans="2:2" ht="15.95" customHeight="1">
      <c r="B8110" s="37"/>
    </row>
    <row r="8111" spans="2:2" ht="15.95" customHeight="1">
      <c r="B8111" s="37"/>
    </row>
    <row r="8112" spans="2:2" ht="15.95" customHeight="1">
      <c r="B8112" s="37"/>
    </row>
    <row r="8113" spans="2:2" ht="15.95" customHeight="1">
      <c r="B8113" s="37"/>
    </row>
    <row r="8114" spans="2:2" ht="15.95" customHeight="1">
      <c r="B8114" s="37"/>
    </row>
    <row r="8115" spans="2:2" ht="15.95" customHeight="1">
      <c r="B8115" s="37"/>
    </row>
    <row r="8116" spans="2:2" ht="15.95" customHeight="1">
      <c r="B8116" s="37"/>
    </row>
    <row r="8117" spans="2:2" ht="15.95" customHeight="1">
      <c r="B8117" s="37"/>
    </row>
    <row r="8118" spans="2:2" ht="15.95" customHeight="1">
      <c r="B8118" s="37"/>
    </row>
    <row r="8119" spans="2:2" ht="15.95" customHeight="1">
      <c r="B8119" s="37"/>
    </row>
    <row r="8120" spans="2:2" ht="15.95" customHeight="1">
      <c r="B8120" s="37"/>
    </row>
    <row r="8121" spans="2:2" ht="15.95" customHeight="1">
      <c r="B8121" s="37"/>
    </row>
    <row r="8122" spans="2:2" ht="15.95" customHeight="1">
      <c r="B8122" s="37"/>
    </row>
    <row r="8123" spans="2:2" ht="15.95" customHeight="1">
      <c r="B8123" s="37"/>
    </row>
    <row r="8124" spans="2:2" ht="15.95" customHeight="1">
      <c r="B8124" s="37"/>
    </row>
    <row r="8125" spans="2:2" ht="15.95" customHeight="1">
      <c r="B8125" s="37"/>
    </row>
    <row r="8126" spans="2:2" ht="15.95" customHeight="1">
      <c r="B8126" s="37"/>
    </row>
    <row r="8127" spans="2:2" ht="15.95" customHeight="1">
      <c r="B8127" s="37"/>
    </row>
    <row r="8128" spans="2:2" ht="15.95" customHeight="1">
      <c r="B8128" s="37"/>
    </row>
    <row r="8129" spans="2:2" ht="15.95" customHeight="1">
      <c r="B8129" s="37"/>
    </row>
    <row r="8130" spans="2:2" ht="15.95" customHeight="1">
      <c r="B8130" s="37"/>
    </row>
    <row r="8131" spans="2:2" ht="15.95" customHeight="1">
      <c r="B8131" s="37"/>
    </row>
    <row r="8132" spans="2:2" ht="15.95" customHeight="1">
      <c r="B8132" s="37"/>
    </row>
    <row r="8133" spans="2:2" ht="15.95" customHeight="1">
      <c r="B8133" s="37"/>
    </row>
    <row r="8134" spans="2:2" ht="15.95" customHeight="1">
      <c r="B8134" s="37"/>
    </row>
    <row r="8135" spans="2:2" ht="15.95" customHeight="1">
      <c r="B8135" s="37"/>
    </row>
    <row r="8136" spans="2:2" ht="15.95" customHeight="1">
      <c r="B8136" s="37"/>
    </row>
    <row r="8137" spans="2:2" ht="15.95" customHeight="1">
      <c r="B8137" s="37"/>
    </row>
    <row r="8138" spans="2:2" ht="15.95" customHeight="1">
      <c r="B8138" s="37"/>
    </row>
    <row r="8139" spans="2:2" ht="15.95" customHeight="1">
      <c r="B8139" s="37"/>
    </row>
    <row r="8140" spans="2:2" ht="15.95" customHeight="1">
      <c r="B8140" s="37"/>
    </row>
    <row r="8141" spans="2:2" ht="15.95" customHeight="1">
      <c r="B8141" s="37"/>
    </row>
    <row r="8142" spans="2:2" ht="15.95" customHeight="1">
      <c r="B8142" s="37"/>
    </row>
    <row r="8143" spans="2:2" ht="15.95" customHeight="1">
      <c r="B8143" s="37"/>
    </row>
    <row r="8144" spans="2:2" ht="15.95" customHeight="1">
      <c r="B8144" s="37"/>
    </row>
    <row r="8145" spans="2:2" ht="15.95" customHeight="1">
      <c r="B8145" s="37"/>
    </row>
    <row r="8146" spans="2:2" ht="15.95" customHeight="1">
      <c r="B8146" s="37"/>
    </row>
    <row r="8147" spans="2:2" ht="15.95" customHeight="1">
      <c r="B8147" s="37"/>
    </row>
    <row r="8148" spans="2:2" ht="15.95" customHeight="1">
      <c r="B8148" s="37"/>
    </row>
    <row r="8149" spans="2:2" ht="15.95" customHeight="1">
      <c r="B8149" s="37"/>
    </row>
    <row r="8150" spans="2:2" ht="15.95" customHeight="1">
      <c r="B8150" s="37"/>
    </row>
    <row r="8151" spans="2:2" ht="15.95" customHeight="1">
      <c r="B8151" s="37"/>
    </row>
    <row r="8152" spans="2:2" ht="15.95" customHeight="1">
      <c r="B8152" s="37"/>
    </row>
    <row r="8153" spans="2:2" ht="15.95" customHeight="1">
      <c r="B8153" s="37"/>
    </row>
    <row r="8154" spans="2:2" ht="15.95" customHeight="1">
      <c r="B8154" s="37"/>
    </row>
    <row r="8155" spans="2:2" ht="15.95" customHeight="1">
      <c r="B8155" s="37"/>
    </row>
    <row r="8156" spans="2:2" ht="15.95" customHeight="1">
      <c r="B8156" s="37"/>
    </row>
    <row r="8157" spans="2:2" ht="15.95" customHeight="1">
      <c r="B8157" s="37"/>
    </row>
    <row r="8158" spans="2:2" ht="15.95" customHeight="1">
      <c r="B8158" s="37"/>
    </row>
    <row r="8159" spans="2:2" ht="15.95" customHeight="1">
      <c r="B8159" s="37"/>
    </row>
    <row r="8160" spans="2:2" ht="15.95" customHeight="1">
      <c r="B8160" s="37"/>
    </row>
    <row r="8161" spans="2:2" ht="15.95" customHeight="1">
      <c r="B8161" s="37"/>
    </row>
    <row r="8162" spans="2:2" ht="15.95" customHeight="1">
      <c r="B8162" s="37"/>
    </row>
    <row r="8163" spans="2:2" ht="15.95" customHeight="1">
      <c r="B8163" s="37"/>
    </row>
    <row r="8164" spans="2:2" ht="15.95" customHeight="1">
      <c r="B8164" s="37"/>
    </row>
    <row r="8165" spans="2:2" ht="15.95" customHeight="1">
      <c r="B8165" s="37"/>
    </row>
    <row r="8166" spans="2:2" ht="15.95" customHeight="1">
      <c r="B8166" s="37"/>
    </row>
    <row r="8167" spans="2:2" ht="15.95" customHeight="1">
      <c r="B8167" s="37"/>
    </row>
    <row r="8168" spans="2:2" ht="15.95" customHeight="1">
      <c r="B8168" s="37"/>
    </row>
    <row r="8169" spans="2:2" ht="15.95" customHeight="1">
      <c r="B8169" s="37"/>
    </row>
    <row r="8170" spans="2:2" ht="15.95" customHeight="1">
      <c r="B8170" s="37"/>
    </row>
    <row r="8171" spans="2:2" ht="15.95" customHeight="1">
      <c r="B8171" s="37"/>
    </row>
    <row r="8172" spans="2:2" ht="15.95" customHeight="1">
      <c r="B8172" s="37"/>
    </row>
    <row r="8173" spans="2:2" ht="15.95" customHeight="1">
      <c r="B8173" s="37"/>
    </row>
    <row r="8174" spans="2:2" ht="15.95" customHeight="1">
      <c r="B8174" s="37"/>
    </row>
    <row r="8175" spans="2:2" ht="15.95" customHeight="1">
      <c r="B8175" s="37"/>
    </row>
    <row r="8176" spans="2:2" ht="15.95" customHeight="1">
      <c r="B8176" s="37"/>
    </row>
    <row r="8177" spans="2:2" ht="15.95" customHeight="1">
      <c r="B8177" s="37"/>
    </row>
    <row r="8178" spans="2:2" ht="15.95" customHeight="1">
      <c r="B8178" s="37"/>
    </row>
    <row r="8179" spans="2:2" ht="15.95" customHeight="1">
      <c r="B8179" s="37"/>
    </row>
    <row r="8180" spans="2:2" ht="15.95" customHeight="1">
      <c r="B8180" s="37"/>
    </row>
    <row r="8181" spans="2:2" ht="15.95" customHeight="1">
      <c r="B8181" s="37"/>
    </row>
    <row r="8182" spans="2:2" ht="15.95" customHeight="1">
      <c r="B8182" s="37"/>
    </row>
    <row r="8183" spans="2:2" ht="15.95" customHeight="1">
      <c r="B8183" s="37"/>
    </row>
    <row r="8184" spans="2:2" ht="15.95" customHeight="1">
      <c r="B8184" s="37"/>
    </row>
    <row r="8185" spans="2:2" ht="15.95" customHeight="1">
      <c r="B8185" s="37"/>
    </row>
    <row r="8186" spans="2:2" ht="15.95" customHeight="1">
      <c r="B8186" s="37"/>
    </row>
    <row r="8187" spans="2:2" ht="15.95" customHeight="1">
      <c r="B8187" s="37"/>
    </row>
    <row r="8188" spans="2:2" ht="15.95" customHeight="1">
      <c r="B8188" s="37"/>
    </row>
    <row r="8189" spans="2:2" ht="15.95" customHeight="1">
      <c r="B8189" s="37"/>
    </row>
    <row r="8190" spans="2:2" ht="15.95" customHeight="1">
      <c r="B8190" s="37"/>
    </row>
    <row r="8191" spans="2:2" ht="15.95" customHeight="1">
      <c r="B8191" s="37"/>
    </row>
    <row r="8192" spans="2:2" ht="15.95" customHeight="1">
      <c r="B8192" s="37"/>
    </row>
    <row r="8193" spans="2:2" ht="15.95" customHeight="1">
      <c r="B8193" s="37"/>
    </row>
    <row r="8194" spans="2:2" ht="15.95" customHeight="1">
      <c r="B8194" s="37"/>
    </row>
    <row r="8195" spans="2:2" ht="15.95" customHeight="1">
      <c r="B8195" s="37"/>
    </row>
    <row r="8196" spans="2:2" ht="15.95" customHeight="1">
      <c r="B8196" s="37"/>
    </row>
    <row r="8197" spans="2:2" ht="15.95" customHeight="1">
      <c r="B8197" s="37"/>
    </row>
    <row r="8198" spans="2:2" ht="15.95" customHeight="1">
      <c r="B8198" s="37"/>
    </row>
    <row r="8199" spans="2:2" ht="15.95" customHeight="1">
      <c r="B8199" s="37"/>
    </row>
    <row r="8200" spans="2:2" ht="15.95" customHeight="1">
      <c r="B8200" s="37"/>
    </row>
    <row r="8201" spans="2:2" ht="15.95" customHeight="1">
      <c r="B8201" s="37"/>
    </row>
    <row r="8202" spans="2:2" ht="15.95" customHeight="1">
      <c r="B8202" s="37"/>
    </row>
    <row r="8203" spans="2:2" ht="15.95" customHeight="1">
      <c r="B8203" s="37"/>
    </row>
    <row r="8204" spans="2:2" ht="15.95" customHeight="1">
      <c r="B8204" s="37"/>
    </row>
    <row r="8205" spans="2:2" ht="15.95" customHeight="1">
      <c r="B8205" s="37"/>
    </row>
    <row r="8206" spans="2:2" ht="15.95" customHeight="1">
      <c r="B8206" s="37"/>
    </row>
    <row r="8207" spans="2:2" ht="15.95" customHeight="1">
      <c r="B8207" s="37"/>
    </row>
    <row r="8208" spans="2:2" ht="15.95" customHeight="1">
      <c r="B8208" s="37"/>
    </row>
    <row r="8209" spans="2:2" ht="15.95" customHeight="1">
      <c r="B8209" s="37"/>
    </row>
    <row r="8210" spans="2:2" ht="15.95" customHeight="1">
      <c r="B8210" s="37"/>
    </row>
    <row r="8211" spans="2:2" ht="15.95" customHeight="1">
      <c r="B8211" s="37"/>
    </row>
    <row r="8212" spans="2:2" ht="15.95" customHeight="1">
      <c r="B8212" s="37"/>
    </row>
    <row r="8213" spans="2:2" ht="15.95" customHeight="1">
      <c r="B8213" s="37"/>
    </row>
    <row r="8214" spans="2:2" ht="15.95" customHeight="1">
      <c r="B8214" s="37"/>
    </row>
    <row r="8215" spans="2:2" ht="15.95" customHeight="1">
      <c r="B8215" s="37"/>
    </row>
    <row r="8216" spans="2:2" ht="15.95" customHeight="1">
      <c r="B8216" s="37"/>
    </row>
    <row r="8217" spans="2:2" ht="15.95" customHeight="1">
      <c r="B8217" s="37"/>
    </row>
    <row r="8218" spans="2:2" ht="15.95" customHeight="1">
      <c r="B8218" s="37"/>
    </row>
    <row r="8219" spans="2:2" ht="15.95" customHeight="1">
      <c r="B8219" s="37"/>
    </row>
    <row r="8220" spans="2:2" ht="15.95" customHeight="1">
      <c r="B8220" s="37"/>
    </row>
    <row r="8221" spans="2:2" ht="15.95" customHeight="1">
      <c r="B8221" s="37"/>
    </row>
    <row r="8222" spans="2:2" ht="15.95" customHeight="1">
      <c r="B8222" s="37"/>
    </row>
    <row r="8223" spans="2:2" ht="15.95" customHeight="1">
      <c r="B8223" s="37"/>
    </row>
    <row r="8224" spans="2:2" ht="15.95" customHeight="1">
      <c r="B8224" s="37"/>
    </row>
    <row r="8225" spans="2:2" ht="15.95" customHeight="1">
      <c r="B8225" s="37"/>
    </row>
    <row r="8226" spans="2:2" ht="15.95" customHeight="1">
      <c r="B8226" s="37"/>
    </row>
    <row r="8227" spans="2:2" ht="15.95" customHeight="1">
      <c r="B8227" s="37"/>
    </row>
    <row r="8228" spans="2:2" ht="15.95" customHeight="1">
      <c r="B8228" s="37"/>
    </row>
    <row r="8229" spans="2:2" ht="15.95" customHeight="1">
      <c r="B8229" s="37"/>
    </row>
    <row r="8230" spans="2:2" ht="15.95" customHeight="1">
      <c r="B8230" s="37"/>
    </row>
    <row r="8231" spans="2:2" ht="15.95" customHeight="1">
      <c r="B8231" s="37"/>
    </row>
    <row r="8232" spans="2:2" ht="15.95" customHeight="1">
      <c r="B8232" s="37"/>
    </row>
    <row r="8233" spans="2:2" ht="15.95" customHeight="1">
      <c r="B8233" s="37"/>
    </row>
    <row r="8234" spans="2:2" ht="15.95" customHeight="1">
      <c r="B8234" s="37"/>
    </row>
    <row r="8235" spans="2:2" ht="15.95" customHeight="1">
      <c r="B8235" s="37"/>
    </row>
    <row r="8236" spans="2:2" ht="15.95" customHeight="1">
      <c r="B8236" s="37"/>
    </row>
    <row r="8237" spans="2:2" ht="15.95" customHeight="1">
      <c r="B8237" s="37"/>
    </row>
    <row r="8238" spans="2:2" ht="15.95" customHeight="1">
      <c r="B8238" s="37"/>
    </row>
    <row r="8239" spans="2:2" ht="15.95" customHeight="1">
      <c r="B8239" s="37"/>
    </row>
    <row r="8240" spans="2:2" ht="15.95" customHeight="1">
      <c r="B8240" s="37"/>
    </row>
    <row r="8241" spans="2:2" ht="15.95" customHeight="1">
      <c r="B8241" s="37"/>
    </row>
    <row r="8242" spans="2:2" ht="15.95" customHeight="1">
      <c r="B8242" s="37"/>
    </row>
    <row r="8243" spans="2:2" ht="15.95" customHeight="1">
      <c r="B8243" s="37"/>
    </row>
    <row r="8244" spans="2:2" ht="15.95" customHeight="1">
      <c r="B8244" s="37"/>
    </row>
    <row r="8245" spans="2:2" ht="15.95" customHeight="1">
      <c r="B8245" s="37"/>
    </row>
    <row r="8246" spans="2:2" ht="15.95" customHeight="1">
      <c r="B8246" s="37"/>
    </row>
    <row r="8247" spans="2:2" ht="15.95" customHeight="1">
      <c r="B8247" s="37"/>
    </row>
    <row r="8248" spans="2:2" ht="15.95" customHeight="1">
      <c r="B8248" s="37"/>
    </row>
    <row r="8249" spans="2:2" ht="15.95" customHeight="1">
      <c r="B8249" s="37"/>
    </row>
    <row r="8250" spans="2:2" ht="15.95" customHeight="1">
      <c r="B8250" s="37"/>
    </row>
    <row r="8251" spans="2:2" ht="15.95" customHeight="1">
      <c r="B8251" s="37"/>
    </row>
    <row r="8252" spans="2:2" ht="15.95" customHeight="1">
      <c r="B8252" s="37"/>
    </row>
    <row r="8253" spans="2:2" ht="15.95" customHeight="1">
      <c r="B8253" s="37"/>
    </row>
    <row r="8254" spans="2:2" ht="15.95" customHeight="1">
      <c r="B8254" s="37"/>
    </row>
    <row r="8255" spans="2:2" ht="15.95" customHeight="1">
      <c r="B8255" s="37"/>
    </row>
    <row r="8256" spans="2:2" ht="15.95" customHeight="1">
      <c r="B8256" s="37"/>
    </row>
    <row r="8257" spans="2:2" ht="15.95" customHeight="1">
      <c r="B8257" s="37"/>
    </row>
    <row r="8258" spans="2:2" ht="15.95" customHeight="1">
      <c r="B8258" s="37"/>
    </row>
    <row r="8259" spans="2:2" ht="15.95" customHeight="1">
      <c r="B8259" s="37"/>
    </row>
    <row r="8260" spans="2:2" ht="15.95" customHeight="1">
      <c r="B8260" s="37"/>
    </row>
    <row r="8261" spans="2:2" ht="15.95" customHeight="1">
      <c r="B8261" s="37"/>
    </row>
    <row r="8262" spans="2:2" ht="15.95" customHeight="1">
      <c r="B8262" s="37"/>
    </row>
    <row r="8263" spans="2:2" ht="15.95" customHeight="1">
      <c r="B8263" s="37"/>
    </row>
    <row r="8264" spans="2:2" ht="15.95" customHeight="1">
      <c r="B8264" s="37"/>
    </row>
    <row r="8265" spans="2:2" ht="15.95" customHeight="1">
      <c r="B8265" s="37"/>
    </row>
    <row r="8266" spans="2:2" ht="15.95" customHeight="1">
      <c r="B8266" s="37"/>
    </row>
    <row r="8267" spans="2:2" ht="15.95" customHeight="1">
      <c r="B8267" s="37"/>
    </row>
    <row r="8268" spans="2:2" ht="15.95" customHeight="1">
      <c r="B8268" s="37"/>
    </row>
    <row r="8269" spans="2:2" ht="15.95" customHeight="1">
      <c r="B8269" s="37"/>
    </row>
    <row r="8270" spans="2:2" ht="15.95" customHeight="1">
      <c r="B8270" s="37"/>
    </row>
    <row r="8271" spans="2:2" ht="15.95" customHeight="1">
      <c r="B8271" s="37"/>
    </row>
    <row r="8272" spans="2:2" ht="15.95" customHeight="1">
      <c r="B8272" s="37"/>
    </row>
    <row r="8273" spans="2:2" ht="15.95" customHeight="1">
      <c r="B8273" s="37"/>
    </row>
    <row r="8274" spans="2:2" ht="15.95" customHeight="1">
      <c r="B8274" s="37"/>
    </row>
    <row r="8275" spans="2:2" ht="15.95" customHeight="1">
      <c r="B8275" s="37"/>
    </row>
    <row r="8276" spans="2:2" ht="15.95" customHeight="1">
      <c r="B8276" s="37"/>
    </row>
    <row r="8277" spans="2:2" ht="15.95" customHeight="1">
      <c r="B8277" s="37"/>
    </row>
    <row r="8278" spans="2:2" ht="15.95" customHeight="1">
      <c r="B8278" s="37"/>
    </row>
    <row r="8279" spans="2:2" ht="15.95" customHeight="1">
      <c r="B8279" s="37"/>
    </row>
    <row r="8280" spans="2:2" ht="15.95" customHeight="1">
      <c r="B8280" s="37"/>
    </row>
    <row r="8281" spans="2:2" ht="15.95" customHeight="1">
      <c r="B8281" s="37"/>
    </row>
    <row r="8282" spans="2:2" ht="15.95" customHeight="1">
      <c r="B8282" s="37"/>
    </row>
    <row r="8283" spans="2:2" ht="15.95" customHeight="1">
      <c r="B8283" s="37"/>
    </row>
    <row r="8284" spans="2:2" ht="15.95" customHeight="1">
      <c r="B8284" s="37"/>
    </row>
    <row r="8285" spans="2:2" ht="15.95" customHeight="1">
      <c r="B8285" s="37"/>
    </row>
    <row r="8286" spans="2:2" ht="15.95" customHeight="1">
      <c r="B8286" s="37"/>
    </row>
    <row r="8287" spans="2:2" ht="15.95" customHeight="1">
      <c r="B8287" s="37"/>
    </row>
    <row r="8288" spans="2:2" ht="15.95" customHeight="1">
      <c r="B8288" s="37"/>
    </row>
    <row r="8289" spans="2:2" ht="15.95" customHeight="1">
      <c r="B8289" s="37"/>
    </row>
    <row r="8290" spans="2:2" ht="15.95" customHeight="1">
      <c r="B8290" s="37"/>
    </row>
    <row r="8291" spans="2:2" ht="15.95" customHeight="1">
      <c r="B8291" s="37"/>
    </row>
    <row r="8292" spans="2:2" ht="15.95" customHeight="1">
      <c r="B8292" s="37"/>
    </row>
    <row r="8293" spans="2:2" ht="15.95" customHeight="1">
      <c r="B8293" s="37"/>
    </row>
    <row r="8294" spans="2:2" ht="15.95" customHeight="1">
      <c r="B8294" s="37"/>
    </row>
    <row r="8295" spans="2:2" ht="15.95" customHeight="1">
      <c r="B8295" s="37"/>
    </row>
    <row r="8296" spans="2:2" ht="15.95" customHeight="1">
      <c r="B8296" s="37"/>
    </row>
    <row r="8297" spans="2:2" ht="15.95" customHeight="1">
      <c r="B8297" s="37"/>
    </row>
    <row r="8298" spans="2:2" ht="15.95" customHeight="1">
      <c r="B8298" s="37"/>
    </row>
    <row r="8299" spans="2:2" ht="15.95" customHeight="1">
      <c r="B8299" s="37"/>
    </row>
    <row r="8300" spans="2:2" ht="15.95" customHeight="1">
      <c r="B8300" s="37"/>
    </row>
    <row r="8301" spans="2:2" ht="15.95" customHeight="1">
      <c r="B8301" s="37"/>
    </row>
    <row r="8302" spans="2:2" ht="15.95" customHeight="1">
      <c r="B8302" s="37"/>
    </row>
    <row r="8303" spans="2:2" ht="15.95" customHeight="1">
      <c r="B8303" s="37"/>
    </row>
    <row r="8304" spans="2:2" ht="15.95" customHeight="1">
      <c r="B8304" s="37"/>
    </row>
    <row r="8305" spans="2:2" ht="15.95" customHeight="1">
      <c r="B8305" s="37"/>
    </row>
    <row r="8306" spans="2:2" ht="15.95" customHeight="1">
      <c r="B8306" s="37"/>
    </row>
    <row r="8307" spans="2:2" ht="15.95" customHeight="1">
      <c r="B8307" s="37"/>
    </row>
    <row r="8308" spans="2:2" ht="15.95" customHeight="1">
      <c r="B8308" s="37"/>
    </row>
    <row r="8309" spans="2:2" ht="15.95" customHeight="1">
      <c r="B8309" s="37"/>
    </row>
    <row r="8310" spans="2:2" ht="15.95" customHeight="1">
      <c r="B8310" s="37"/>
    </row>
    <row r="8311" spans="2:2" ht="15.95" customHeight="1">
      <c r="B8311" s="37"/>
    </row>
    <row r="8312" spans="2:2" ht="15.95" customHeight="1">
      <c r="B8312" s="37"/>
    </row>
    <row r="8313" spans="2:2" ht="15.95" customHeight="1">
      <c r="B8313" s="37"/>
    </row>
    <row r="8314" spans="2:2" ht="15.95" customHeight="1">
      <c r="B8314" s="37"/>
    </row>
    <row r="8315" spans="2:2" ht="15.95" customHeight="1">
      <c r="B8315" s="37"/>
    </row>
    <row r="8316" spans="2:2" ht="15.95" customHeight="1">
      <c r="B8316" s="37"/>
    </row>
    <row r="8317" spans="2:2" ht="15.95" customHeight="1">
      <c r="B8317" s="37"/>
    </row>
    <row r="8318" spans="2:2" ht="15.95" customHeight="1">
      <c r="B8318" s="37"/>
    </row>
    <row r="8319" spans="2:2" ht="15.95" customHeight="1">
      <c r="B8319" s="37"/>
    </row>
    <row r="8320" spans="2:2" ht="15.95" customHeight="1">
      <c r="B8320" s="37"/>
    </row>
    <row r="8321" spans="2:2" ht="15.95" customHeight="1">
      <c r="B8321" s="37"/>
    </row>
    <row r="8322" spans="2:2" ht="15.95" customHeight="1">
      <c r="B8322" s="37"/>
    </row>
    <row r="8323" spans="2:2" ht="15.95" customHeight="1">
      <c r="B8323" s="37"/>
    </row>
    <row r="8324" spans="2:2" ht="15.95" customHeight="1">
      <c r="B8324" s="37"/>
    </row>
    <row r="8325" spans="2:2" ht="15.95" customHeight="1">
      <c r="B8325" s="37"/>
    </row>
    <row r="8326" spans="2:2" ht="15.95" customHeight="1">
      <c r="B8326" s="37"/>
    </row>
    <row r="8327" spans="2:2" ht="15.95" customHeight="1">
      <c r="B8327" s="37"/>
    </row>
    <row r="8328" spans="2:2" ht="15.95" customHeight="1">
      <c r="B8328" s="37"/>
    </row>
    <row r="8329" spans="2:2" ht="15.95" customHeight="1">
      <c r="B8329" s="37"/>
    </row>
    <row r="8330" spans="2:2" ht="15.95" customHeight="1">
      <c r="B8330" s="37"/>
    </row>
    <row r="8331" spans="2:2" ht="15.95" customHeight="1">
      <c r="B8331" s="37"/>
    </row>
    <row r="8332" spans="2:2" ht="15.95" customHeight="1">
      <c r="B8332" s="37"/>
    </row>
    <row r="8333" spans="2:2" ht="15.95" customHeight="1">
      <c r="B8333" s="37"/>
    </row>
    <row r="8334" spans="2:2" ht="15.95" customHeight="1">
      <c r="B8334" s="37"/>
    </row>
    <row r="8335" spans="2:2" ht="15.95" customHeight="1">
      <c r="B8335" s="37"/>
    </row>
    <row r="8336" spans="2:2" ht="15.95" customHeight="1">
      <c r="B8336" s="37"/>
    </row>
    <row r="8337" spans="2:2" ht="15.95" customHeight="1">
      <c r="B8337" s="37"/>
    </row>
    <row r="8338" spans="2:2" ht="15.95" customHeight="1">
      <c r="B8338" s="37"/>
    </row>
    <row r="8339" spans="2:2" ht="15.95" customHeight="1">
      <c r="B8339" s="37"/>
    </row>
    <row r="8340" spans="2:2" ht="15.95" customHeight="1">
      <c r="B8340" s="37"/>
    </row>
    <row r="8341" spans="2:2" ht="15.95" customHeight="1">
      <c r="B8341" s="37"/>
    </row>
    <row r="8342" spans="2:2" ht="15.95" customHeight="1">
      <c r="B8342" s="37"/>
    </row>
    <row r="8343" spans="2:2" ht="15.95" customHeight="1">
      <c r="B8343" s="37"/>
    </row>
    <row r="8344" spans="2:2" ht="15.95" customHeight="1">
      <c r="B8344" s="37"/>
    </row>
    <row r="8345" spans="2:2" ht="15.95" customHeight="1">
      <c r="B8345" s="37"/>
    </row>
    <row r="8346" spans="2:2" ht="15.95" customHeight="1">
      <c r="B8346" s="37"/>
    </row>
    <row r="8347" spans="2:2" ht="15.95" customHeight="1">
      <c r="B8347" s="37"/>
    </row>
    <row r="8348" spans="2:2" ht="15.95" customHeight="1">
      <c r="B8348" s="37"/>
    </row>
    <row r="8349" spans="2:2" ht="15.95" customHeight="1">
      <c r="B8349" s="37"/>
    </row>
    <row r="8350" spans="2:2" ht="15.95" customHeight="1">
      <c r="B8350" s="37"/>
    </row>
    <row r="8351" spans="2:2" ht="15.95" customHeight="1">
      <c r="B8351" s="37"/>
    </row>
    <row r="8352" spans="2:2" ht="15.95" customHeight="1">
      <c r="B8352" s="37"/>
    </row>
    <row r="8353" spans="2:2" ht="15.95" customHeight="1">
      <c r="B8353" s="37"/>
    </row>
    <row r="8354" spans="2:2" ht="15.95" customHeight="1">
      <c r="B8354" s="37"/>
    </row>
    <row r="8355" spans="2:2" ht="15.95" customHeight="1">
      <c r="B8355" s="37"/>
    </row>
    <row r="8356" spans="2:2" ht="15.95" customHeight="1">
      <c r="B8356" s="37"/>
    </row>
    <row r="8357" spans="2:2" ht="15.95" customHeight="1">
      <c r="B8357" s="37"/>
    </row>
    <row r="8358" spans="2:2" ht="15.95" customHeight="1">
      <c r="B8358" s="37"/>
    </row>
    <row r="8359" spans="2:2" ht="15.95" customHeight="1">
      <c r="B8359" s="37"/>
    </row>
    <row r="8360" spans="2:2" ht="15.95" customHeight="1">
      <c r="B8360" s="37"/>
    </row>
    <row r="8361" spans="2:2" ht="15.95" customHeight="1">
      <c r="B8361" s="37"/>
    </row>
    <row r="8362" spans="2:2" ht="15.95" customHeight="1">
      <c r="B8362" s="37"/>
    </row>
    <row r="8363" spans="2:2" ht="15.95" customHeight="1">
      <c r="B8363" s="37"/>
    </row>
    <row r="8364" spans="2:2" ht="15.95" customHeight="1">
      <c r="B8364" s="37"/>
    </row>
    <row r="8365" spans="2:2" ht="15.95" customHeight="1">
      <c r="B8365" s="37"/>
    </row>
    <row r="8366" spans="2:2" ht="15.95" customHeight="1">
      <c r="B8366" s="37"/>
    </row>
    <row r="8367" spans="2:2" ht="15.95" customHeight="1">
      <c r="B8367" s="37"/>
    </row>
    <row r="8368" spans="2:2" ht="15.95" customHeight="1">
      <c r="B8368" s="37"/>
    </row>
    <row r="8369" spans="2:2" ht="15.95" customHeight="1">
      <c r="B8369" s="37"/>
    </row>
    <row r="8370" spans="2:2" ht="15.95" customHeight="1">
      <c r="B8370" s="37"/>
    </row>
    <row r="8371" spans="2:2" ht="15.95" customHeight="1">
      <c r="B8371" s="37"/>
    </row>
    <row r="8372" spans="2:2" ht="15.95" customHeight="1">
      <c r="B8372" s="37"/>
    </row>
    <row r="8373" spans="2:2" ht="15.95" customHeight="1">
      <c r="B8373" s="37"/>
    </row>
    <row r="8374" spans="2:2" ht="15.95" customHeight="1">
      <c r="B8374" s="37"/>
    </row>
    <row r="8375" spans="2:2" ht="15.95" customHeight="1">
      <c r="B8375" s="37"/>
    </row>
    <row r="8376" spans="2:2" ht="15.95" customHeight="1">
      <c r="B8376" s="37"/>
    </row>
    <row r="8377" spans="2:2" ht="15.95" customHeight="1">
      <c r="B8377" s="37"/>
    </row>
    <row r="8378" spans="2:2" ht="15.95" customHeight="1">
      <c r="B8378" s="37"/>
    </row>
    <row r="8379" spans="2:2" ht="15.95" customHeight="1">
      <c r="B8379" s="37"/>
    </row>
    <row r="8380" spans="2:2" ht="15.95" customHeight="1">
      <c r="B8380" s="37"/>
    </row>
    <row r="8381" spans="2:2" ht="15.95" customHeight="1">
      <c r="B8381" s="37"/>
    </row>
    <row r="8382" spans="2:2" ht="15.95" customHeight="1">
      <c r="B8382" s="37"/>
    </row>
    <row r="8383" spans="2:2" ht="15.95" customHeight="1">
      <c r="B8383" s="37"/>
    </row>
    <row r="8384" spans="2:2" ht="15.95" customHeight="1">
      <c r="B8384" s="37"/>
    </row>
    <row r="8385" spans="2:2" ht="15.95" customHeight="1">
      <c r="B8385" s="37"/>
    </row>
    <row r="8386" spans="2:2" ht="15.95" customHeight="1">
      <c r="B8386" s="37"/>
    </row>
    <row r="8387" spans="2:2" ht="15.95" customHeight="1">
      <c r="B8387" s="37"/>
    </row>
    <row r="8388" spans="2:2" ht="15.95" customHeight="1">
      <c r="B8388" s="37"/>
    </row>
    <row r="8389" spans="2:2" ht="15.95" customHeight="1">
      <c r="B8389" s="37"/>
    </row>
    <row r="8390" spans="2:2" ht="15.95" customHeight="1">
      <c r="B8390" s="37"/>
    </row>
    <row r="8391" spans="2:2" ht="15.95" customHeight="1">
      <c r="B8391" s="37"/>
    </row>
    <row r="8392" spans="2:2" ht="15.95" customHeight="1">
      <c r="B8392" s="37"/>
    </row>
    <row r="8393" spans="2:2" ht="15.95" customHeight="1">
      <c r="B8393" s="37"/>
    </row>
    <row r="8394" spans="2:2" ht="15.95" customHeight="1">
      <c r="B8394" s="37"/>
    </row>
    <row r="8395" spans="2:2" ht="15.95" customHeight="1">
      <c r="B8395" s="37"/>
    </row>
    <row r="8396" spans="2:2" ht="15.95" customHeight="1">
      <c r="B8396" s="37"/>
    </row>
    <row r="8397" spans="2:2" ht="15.95" customHeight="1">
      <c r="B8397" s="37"/>
    </row>
    <row r="8398" spans="2:2" ht="15.95" customHeight="1">
      <c r="B8398" s="37"/>
    </row>
    <row r="8399" spans="2:2" ht="15.95" customHeight="1">
      <c r="B8399" s="37"/>
    </row>
    <row r="8400" spans="2:2" ht="15.95" customHeight="1">
      <c r="B8400" s="37"/>
    </row>
    <row r="8401" spans="2:2" ht="15.95" customHeight="1">
      <c r="B8401" s="37"/>
    </row>
    <row r="8402" spans="2:2" ht="15.95" customHeight="1">
      <c r="B8402" s="37"/>
    </row>
    <row r="8403" spans="2:2" ht="15.95" customHeight="1">
      <c r="B8403" s="37"/>
    </row>
    <row r="8404" spans="2:2" ht="15.95" customHeight="1">
      <c r="B8404" s="37"/>
    </row>
    <row r="8405" spans="2:2" ht="15.95" customHeight="1">
      <c r="B8405" s="37"/>
    </row>
    <row r="8406" spans="2:2" ht="15.95" customHeight="1">
      <c r="B8406" s="37"/>
    </row>
    <row r="8407" spans="2:2" ht="15.95" customHeight="1">
      <c r="B8407" s="37"/>
    </row>
    <row r="8408" spans="2:2" ht="15.95" customHeight="1">
      <c r="B8408" s="37"/>
    </row>
    <row r="8409" spans="2:2" ht="15.95" customHeight="1">
      <c r="B8409" s="37"/>
    </row>
    <row r="8410" spans="2:2" ht="15.95" customHeight="1">
      <c r="B8410" s="37"/>
    </row>
    <row r="8411" spans="2:2" ht="15.95" customHeight="1">
      <c r="B8411" s="37"/>
    </row>
    <row r="8412" spans="2:2" ht="15.95" customHeight="1">
      <c r="B8412" s="37"/>
    </row>
    <row r="8413" spans="2:2" ht="15.95" customHeight="1">
      <c r="B8413" s="37"/>
    </row>
    <row r="8414" spans="2:2" ht="15.95" customHeight="1">
      <c r="B8414" s="37"/>
    </row>
    <row r="8415" spans="2:2" ht="15.95" customHeight="1">
      <c r="B8415" s="37"/>
    </row>
    <row r="8416" spans="2:2" ht="15.95" customHeight="1">
      <c r="B8416" s="37"/>
    </row>
    <row r="8417" spans="2:2" ht="15.95" customHeight="1">
      <c r="B8417" s="37"/>
    </row>
    <row r="8418" spans="2:2" ht="15.95" customHeight="1">
      <c r="B8418" s="37"/>
    </row>
    <row r="8419" spans="2:2" ht="15.95" customHeight="1">
      <c r="B8419" s="37"/>
    </row>
    <row r="8420" spans="2:2" ht="15.95" customHeight="1">
      <c r="B8420" s="37"/>
    </row>
    <row r="8421" spans="2:2" ht="15.95" customHeight="1">
      <c r="B8421" s="37"/>
    </row>
    <row r="8422" spans="2:2" ht="15.95" customHeight="1">
      <c r="B8422" s="37"/>
    </row>
    <row r="8423" spans="2:2" ht="15.95" customHeight="1">
      <c r="B8423" s="37"/>
    </row>
    <row r="8424" spans="2:2" ht="15.95" customHeight="1">
      <c r="B8424" s="37"/>
    </row>
    <row r="8425" spans="2:2" ht="15.95" customHeight="1">
      <c r="B8425" s="37"/>
    </row>
    <row r="8426" spans="2:2" ht="15.95" customHeight="1">
      <c r="B8426" s="37"/>
    </row>
    <row r="8427" spans="2:2" ht="15.95" customHeight="1">
      <c r="B8427" s="37"/>
    </row>
    <row r="8428" spans="2:2" ht="15.95" customHeight="1">
      <c r="B8428" s="37"/>
    </row>
    <row r="8429" spans="2:2" ht="15.95" customHeight="1">
      <c r="B8429" s="37"/>
    </row>
    <row r="8430" spans="2:2" ht="15.95" customHeight="1">
      <c r="B8430" s="37"/>
    </row>
    <row r="8431" spans="2:2" ht="15.95" customHeight="1">
      <c r="B8431" s="37"/>
    </row>
    <row r="8432" spans="2:2" ht="15.95" customHeight="1">
      <c r="B8432" s="37"/>
    </row>
    <row r="8433" spans="2:2" ht="15.95" customHeight="1">
      <c r="B8433" s="37"/>
    </row>
    <row r="8434" spans="2:2" ht="15.95" customHeight="1">
      <c r="B8434" s="37"/>
    </row>
    <row r="8435" spans="2:2" ht="15.95" customHeight="1">
      <c r="B8435" s="37"/>
    </row>
    <row r="8436" spans="2:2" ht="15.95" customHeight="1">
      <c r="B8436" s="37"/>
    </row>
    <row r="8437" spans="2:2" ht="15.95" customHeight="1">
      <c r="B8437" s="37"/>
    </row>
    <row r="8438" spans="2:2" ht="15.95" customHeight="1">
      <c r="B8438" s="37"/>
    </row>
    <row r="8439" spans="2:2" ht="15.95" customHeight="1">
      <c r="B8439" s="37"/>
    </row>
    <row r="8440" spans="2:2" ht="15.95" customHeight="1">
      <c r="B8440" s="37"/>
    </row>
    <row r="8441" spans="2:2" ht="15.95" customHeight="1">
      <c r="B8441" s="37"/>
    </row>
    <row r="8442" spans="2:2" ht="15.95" customHeight="1">
      <c r="B8442" s="37"/>
    </row>
    <row r="8443" spans="2:2" ht="15.95" customHeight="1">
      <c r="B8443" s="37"/>
    </row>
    <row r="8444" spans="2:2" ht="15.95" customHeight="1">
      <c r="B8444" s="37"/>
    </row>
    <row r="8445" spans="2:2" ht="15.95" customHeight="1">
      <c r="B8445" s="37"/>
    </row>
    <row r="8446" spans="2:2" ht="15.95" customHeight="1">
      <c r="B8446" s="37"/>
    </row>
    <row r="8447" spans="2:2" ht="15.95" customHeight="1">
      <c r="B8447" s="37"/>
    </row>
    <row r="8448" spans="2:2" ht="15.95" customHeight="1">
      <c r="B8448" s="37"/>
    </row>
    <row r="8449" spans="2:2" ht="15.95" customHeight="1">
      <c r="B8449" s="37"/>
    </row>
    <row r="8450" spans="2:2" ht="15.95" customHeight="1">
      <c r="B8450" s="37"/>
    </row>
    <row r="8451" spans="2:2" ht="15.95" customHeight="1">
      <c r="B8451" s="37"/>
    </row>
    <row r="8452" spans="2:2" ht="15.95" customHeight="1">
      <c r="B8452" s="37"/>
    </row>
    <row r="8453" spans="2:2" ht="15.95" customHeight="1">
      <c r="B8453" s="37"/>
    </row>
    <row r="8454" spans="2:2" ht="15.95" customHeight="1">
      <c r="B8454" s="37"/>
    </row>
    <row r="8455" spans="2:2" ht="15.95" customHeight="1">
      <c r="B8455" s="37"/>
    </row>
    <row r="8456" spans="2:2" ht="15.95" customHeight="1">
      <c r="B8456" s="37"/>
    </row>
    <row r="8457" spans="2:2" ht="15.95" customHeight="1">
      <c r="B8457" s="37"/>
    </row>
    <row r="8458" spans="2:2" ht="15.95" customHeight="1">
      <c r="B8458" s="37"/>
    </row>
    <row r="8459" spans="2:2" ht="15.95" customHeight="1">
      <c r="B8459" s="37"/>
    </row>
    <row r="8460" spans="2:2" ht="15.95" customHeight="1">
      <c r="B8460" s="37"/>
    </row>
    <row r="8461" spans="2:2" ht="15.95" customHeight="1">
      <c r="B8461" s="37"/>
    </row>
    <row r="8462" spans="2:2" ht="15.95" customHeight="1">
      <c r="B8462" s="37"/>
    </row>
    <row r="8463" spans="2:2" ht="15.95" customHeight="1">
      <c r="B8463" s="37"/>
    </row>
    <row r="8464" spans="2:2" ht="15.95" customHeight="1">
      <c r="B8464" s="37"/>
    </row>
    <row r="8465" spans="2:2" ht="15.95" customHeight="1">
      <c r="B8465" s="37"/>
    </row>
    <row r="8466" spans="2:2" ht="15.95" customHeight="1">
      <c r="B8466" s="37"/>
    </row>
    <row r="8467" spans="2:2" ht="15.95" customHeight="1">
      <c r="B8467" s="37"/>
    </row>
    <row r="8468" spans="2:2" ht="15.95" customHeight="1">
      <c r="B8468" s="37"/>
    </row>
    <row r="8469" spans="2:2" ht="15.95" customHeight="1">
      <c r="B8469" s="37"/>
    </row>
    <row r="8470" spans="2:2" ht="15.95" customHeight="1">
      <c r="B8470" s="37"/>
    </row>
    <row r="8471" spans="2:2" ht="15.95" customHeight="1">
      <c r="B8471" s="37"/>
    </row>
    <row r="8472" spans="2:2" ht="15.95" customHeight="1">
      <c r="B8472" s="37"/>
    </row>
    <row r="8473" spans="2:2" ht="15.95" customHeight="1">
      <c r="B8473" s="37"/>
    </row>
    <row r="8474" spans="2:2" ht="15.95" customHeight="1">
      <c r="B8474" s="37"/>
    </row>
    <row r="8475" spans="2:2" ht="15.95" customHeight="1">
      <c r="B8475" s="37"/>
    </row>
    <row r="8476" spans="2:2" ht="15.95" customHeight="1">
      <c r="B8476" s="37"/>
    </row>
    <row r="8477" spans="2:2" ht="15.95" customHeight="1">
      <c r="B8477" s="37"/>
    </row>
    <row r="8478" spans="2:2" ht="15.95" customHeight="1">
      <c r="B8478" s="37"/>
    </row>
    <row r="8479" spans="2:2" ht="15.95" customHeight="1">
      <c r="B8479" s="37"/>
    </row>
    <row r="8480" spans="2:2" ht="15.95" customHeight="1">
      <c r="B8480" s="37"/>
    </row>
    <row r="8481" spans="2:2" ht="15.95" customHeight="1">
      <c r="B8481" s="37"/>
    </row>
    <row r="8482" spans="2:2" ht="15.95" customHeight="1">
      <c r="B8482" s="37"/>
    </row>
    <row r="8483" spans="2:2" ht="15.95" customHeight="1">
      <c r="B8483" s="37"/>
    </row>
    <row r="8484" spans="2:2" ht="15.95" customHeight="1">
      <c r="B8484" s="37"/>
    </row>
    <row r="8485" spans="2:2" ht="15.95" customHeight="1">
      <c r="B8485" s="37"/>
    </row>
    <row r="8486" spans="2:2" ht="15.95" customHeight="1">
      <c r="B8486" s="37"/>
    </row>
    <row r="8487" spans="2:2" ht="15.95" customHeight="1">
      <c r="B8487" s="37"/>
    </row>
    <row r="8488" spans="2:2" ht="15.95" customHeight="1">
      <c r="B8488" s="37"/>
    </row>
    <row r="8489" spans="2:2" ht="15.95" customHeight="1">
      <c r="B8489" s="37"/>
    </row>
    <row r="8490" spans="2:2" ht="15.95" customHeight="1">
      <c r="B8490" s="37"/>
    </row>
    <row r="8491" spans="2:2" ht="15.95" customHeight="1">
      <c r="B8491" s="37"/>
    </row>
    <row r="8492" spans="2:2" ht="15.95" customHeight="1">
      <c r="B8492" s="37"/>
    </row>
    <row r="8493" spans="2:2" ht="15.95" customHeight="1">
      <c r="B8493" s="37"/>
    </row>
    <row r="8494" spans="2:2" ht="15.95" customHeight="1">
      <c r="B8494" s="37"/>
    </row>
    <row r="8495" spans="2:2" ht="15.95" customHeight="1">
      <c r="B8495" s="37"/>
    </row>
    <row r="8496" spans="2:2" ht="15.95" customHeight="1">
      <c r="B8496" s="37"/>
    </row>
    <row r="8497" spans="2:2" ht="15.95" customHeight="1">
      <c r="B8497" s="37"/>
    </row>
    <row r="8498" spans="2:2" ht="15.95" customHeight="1">
      <c r="B8498" s="37"/>
    </row>
    <row r="8499" spans="2:2" ht="15.95" customHeight="1">
      <c r="B8499" s="37"/>
    </row>
    <row r="8500" spans="2:2" ht="15.95" customHeight="1">
      <c r="B8500" s="37"/>
    </row>
    <row r="8501" spans="2:2" ht="15.95" customHeight="1">
      <c r="B8501" s="37"/>
    </row>
    <row r="8502" spans="2:2" ht="15.95" customHeight="1">
      <c r="B8502" s="37"/>
    </row>
    <row r="8503" spans="2:2" ht="15.95" customHeight="1">
      <c r="B8503" s="37"/>
    </row>
    <row r="8504" spans="2:2" ht="15.95" customHeight="1">
      <c r="B8504" s="37"/>
    </row>
    <row r="8505" spans="2:2" ht="15.95" customHeight="1">
      <c r="B8505" s="37"/>
    </row>
    <row r="8506" spans="2:2" ht="15.95" customHeight="1">
      <c r="B8506" s="37"/>
    </row>
    <row r="8507" spans="2:2" ht="15.95" customHeight="1">
      <c r="B8507" s="37"/>
    </row>
    <row r="8508" spans="2:2" ht="15.95" customHeight="1">
      <c r="B8508" s="37"/>
    </row>
    <row r="8509" spans="2:2" ht="15.95" customHeight="1">
      <c r="B8509" s="37"/>
    </row>
    <row r="8510" spans="2:2" ht="15.95" customHeight="1">
      <c r="B8510" s="37"/>
    </row>
    <row r="8511" spans="2:2" ht="15.95" customHeight="1">
      <c r="B8511" s="37"/>
    </row>
    <row r="8512" spans="2:2" ht="15.95" customHeight="1">
      <c r="B8512" s="37"/>
    </row>
    <row r="8513" spans="2:2" ht="15.95" customHeight="1">
      <c r="B8513" s="37"/>
    </row>
    <row r="8514" spans="2:2" ht="15.95" customHeight="1">
      <c r="B8514" s="37"/>
    </row>
    <row r="8515" spans="2:2" ht="15.95" customHeight="1">
      <c r="B8515" s="37"/>
    </row>
    <row r="8516" spans="2:2" ht="15.95" customHeight="1">
      <c r="B8516" s="37"/>
    </row>
    <row r="8517" spans="2:2" ht="15.95" customHeight="1">
      <c r="B8517" s="37"/>
    </row>
    <row r="8518" spans="2:2" ht="15.95" customHeight="1">
      <c r="B8518" s="37"/>
    </row>
    <row r="8519" spans="2:2" ht="15.95" customHeight="1">
      <c r="B8519" s="37"/>
    </row>
    <row r="8520" spans="2:2" ht="15.95" customHeight="1">
      <c r="B8520" s="37"/>
    </row>
    <row r="8521" spans="2:2" ht="15.95" customHeight="1">
      <c r="B8521" s="37"/>
    </row>
    <row r="8522" spans="2:2" ht="15.95" customHeight="1">
      <c r="B8522" s="37"/>
    </row>
    <row r="8523" spans="2:2" ht="15.95" customHeight="1">
      <c r="B8523" s="37"/>
    </row>
    <row r="8524" spans="2:2" ht="15.95" customHeight="1">
      <c r="B8524" s="37"/>
    </row>
    <row r="8525" spans="2:2" ht="15.95" customHeight="1">
      <c r="B8525" s="37"/>
    </row>
    <row r="8526" spans="2:2" ht="15.95" customHeight="1">
      <c r="B8526" s="37"/>
    </row>
    <row r="8527" spans="2:2" ht="15.95" customHeight="1">
      <c r="B8527" s="37"/>
    </row>
    <row r="8528" spans="2:2" ht="15.95" customHeight="1">
      <c r="B8528" s="37"/>
    </row>
    <row r="8529" spans="2:2" ht="15.95" customHeight="1">
      <c r="B8529" s="37"/>
    </row>
    <row r="8530" spans="2:2" ht="15.95" customHeight="1">
      <c r="B8530" s="37"/>
    </row>
    <row r="8531" spans="2:2" ht="15.95" customHeight="1">
      <c r="B8531" s="37"/>
    </row>
    <row r="8532" spans="2:2" ht="15.95" customHeight="1">
      <c r="B8532" s="37"/>
    </row>
    <row r="8533" spans="2:2" ht="15.95" customHeight="1">
      <c r="B8533" s="37"/>
    </row>
    <row r="8534" spans="2:2" ht="15.95" customHeight="1">
      <c r="B8534" s="37"/>
    </row>
    <row r="8535" spans="2:2" ht="15.95" customHeight="1">
      <c r="B8535" s="37"/>
    </row>
    <row r="8536" spans="2:2" ht="15.95" customHeight="1">
      <c r="B8536" s="37"/>
    </row>
    <row r="8537" spans="2:2" ht="15.95" customHeight="1">
      <c r="B8537" s="37"/>
    </row>
    <row r="8538" spans="2:2" ht="15.95" customHeight="1">
      <c r="B8538" s="37"/>
    </row>
    <row r="8539" spans="2:2" ht="15.95" customHeight="1">
      <c r="B8539" s="37"/>
    </row>
    <row r="8540" spans="2:2" ht="15.95" customHeight="1">
      <c r="B8540" s="37"/>
    </row>
    <row r="8541" spans="2:2" ht="15.95" customHeight="1">
      <c r="B8541" s="37"/>
    </row>
    <row r="8542" spans="2:2" ht="15.95" customHeight="1">
      <c r="B8542" s="37"/>
    </row>
    <row r="8543" spans="2:2" ht="15.95" customHeight="1">
      <c r="B8543" s="37"/>
    </row>
    <row r="8544" spans="2:2" ht="15.95" customHeight="1">
      <c r="B8544" s="37"/>
    </row>
    <row r="8545" spans="2:2" ht="15.95" customHeight="1">
      <c r="B8545" s="37"/>
    </row>
    <row r="8546" spans="2:2" ht="15.95" customHeight="1">
      <c r="B8546" s="37"/>
    </row>
    <row r="8547" spans="2:2" ht="15.95" customHeight="1">
      <c r="B8547" s="37"/>
    </row>
    <row r="8548" spans="2:2" ht="15.95" customHeight="1">
      <c r="B8548" s="37"/>
    </row>
    <row r="8549" spans="2:2" ht="15.95" customHeight="1">
      <c r="B8549" s="37"/>
    </row>
    <row r="8550" spans="2:2" ht="15.95" customHeight="1">
      <c r="B8550" s="37"/>
    </row>
    <row r="8551" spans="2:2" ht="15.95" customHeight="1">
      <c r="B8551" s="37"/>
    </row>
    <row r="8552" spans="2:2" ht="15.95" customHeight="1">
      <c r="B8552" s="37"/>
    </row>
    <row r="8553" spans="2:2" ht="15.95" customHeight="1">
      <c r="B8553" s="37"/>
    </row>
    <row r="8554" spans="2:2" ht="15.95" customHeight="1">
      <c r="B8554" s="37"/>
    </row>
    <row r="8555" spans="2:2" ht="15.95" customHeight="1">
      <c r="B8555" s="37"/>
    </row>
    <row r="8556" spans="2:2" ht="15.95" customHeight="1">
      <c r="B8556" s="37"/>
    </row>
    <row r="8557" spans="2:2" ht="15.95" customHeight="1">
      <c r="B8557" s="37"/>
    </row>
    <row r="8558" spans="2:2" ht="15.95" customHeight="1">
      <c r="B8558" s="37"/>
    </row>
    <row r="8559" spans="2:2" ht="15.95" customHeight="1">
      <c r="B8559" s="37"/>
    </row>
    <row r="8560" spans="2:2" ht="15.95" customHeight="1">
      <c r="B8560" s="37"/>
    </row>
    <row r="8561" spans="2:2" ht="15.95" customHeight="1">
      <c r="B8561" s="37"/>
    </row>
    <row r="8562" spans="2:2" ht="15.95" customHeight="1">
      <c r="B8562" s="37"/>
    </row>
    <row r="8563" spans="2:2" ht="15.95" customHeight="1">
      <c r="B8563" s="37"/>
    </row>
    <row r="8564" spans="2:2" ht="15.95" customHeight="1">
      <c r="B8564" s="37"/>
    </row>
    <row r="8565" spans="2:2" ht="15.95" customHeight="1">
      <c r="B8565" s="37"/>
    </row>
    <row r="8566" spans="2:2" ht="15.95" customHeight="1">
      <c r="B8566" s="37"/>
    </row>
    <row r="8567" spans="2:2" ht="15.95" customHeight="1">
      <c r="B8567" s="37"/>
    </row>
    <row r="8568" spans="2:2" ht="15.95" customHeight="1">
      <c r="B8568" s="37"/>
    </row>
    <row r="8569" spans="2:2" ht="15.95" customHeight="1">
      <c r="B8569" s="37"/>
    </row>
    <row r="8570" spans="2:2" ht="15.95" customHeight="1">
      <c r="B8570" s="37"/>
    </row>
    <row r="8571" spans="2:2" ht="15.95" customHeight="1">
      <c r="B8571" s="37"/>
    </row>
    <row r="8572" spans="2:2" ht="15.95" customHeight="1">
      <c r="B8572" s="37"/>
    </row>
    <row r="8573" spans="2:2" ht="15.95" customHeight="1">
      <c r="B8573" s="37"/>
    </row>
    <row r="8574" spans="2:2" ht="15.95" customHeight="1">
      <c r="B8574" s="37"/>
    </row>
    <row r="8575" spans="2:2" ht="15.95" customHeight="1">
      <c r="B8575" s="37"/>
    </row>
    <row r="8576" spans="2:2" ht="15.95" customHeight="1">
      <c r="B8576" s="37"/>
    </row>
    <row r="8577" spans="2:2" ht="15.95" customHeight="1">
      <c r="B8577" s="37"/>
    </row>
    <row r="8578" spans="2:2" ht="15.95" customHeight="1">
      <c r="B8578" s="37"/>
    </row>
    <row r="8579" spans="2:2" ht="15.95" customHeight="1">
      <c r="B8579" s="37"/>
    </row>
    <row r="8580" spans="2:2" ht="15.95" customHeight="1">
      <c r="B8580" s="37"/>
    </row>
    <row r="8581" spans="2:2" ht="15.95" customHeight="1">
      <c r="B8581" s="37"/>
    </row>
    <row r="8582" spans="2:2" ht="15.95" customHeight="1">
      <c r="B8582" s="37"/>
    </row>
    <row r="8583" spans="2:2" ht="15.95" customHeight="1">
      <c r="B8583" s="37"/>
    </row>
    <row r="8584" spans="2:2" ht="15.95" customHeight="1">
      <c r="B8584" s="37"/>
    </row>
    <row r="8585" spans="2:2" ht="15.95" customHeight="1">
      <c r="B8585" s="37"/>
    </row>
    <row r="8586" spans="2:2" ht="15.95" customHeight="1">
      <c r="B8586" s="37"/>
    </row>
    <row r="8587" spans="2:2" ht="15.95" customHeight="1">
      <c r="B8587" s="37"/>
    </row>
    <row r="8588" spans="2:2" ht="15.95" customHeight="1">
      <c r="B8588" s="37"/>
    </row>
    <row r="8589" spans="2:2" ht="15.95" customHeight="1">
      <c r="B8589" s="37"/>
    </row>
    <row r="8590" spans="2:2" ht="15.95" customHeight="1">
      <c r="B8590" s="37"/>
    </row>
    <row r="8591" spans="2:2" ht="15.95" customHeight="1">
      <c r="B8591" s="37"/>
    </row>
    <row r="8592" spans="2:2" ht="15.95" customHeight="1">
      <c r="B8592" s="37"/>
    </row>
    <row r="8593" spans="2:2" ht="15.95" customHeight="1">
      <c r="B8593" s="37"/>
    </row>
    <row r="8594" spans="2:2" ht="15.95" customHeight="1">
      <c r="B8594" s="37"/>
    </row>
    <row r="8595" spans="2:2" ht="15.95" customHeight="1">
      <c r="B8595" s="37"/>
    </row>
    <row r="8596" spans="2:2" ht="15.95" customHeight="1">
      <c r="B8596" s="37"/>
    </row>
    <row r="8597" spans="2:2" ht="15.95" customHeight="1">
      <c r="B8597" s="37"/>
    </row>
    <row r="8598" spans="2:2" ht="15.95" customHeight="1">
      <c r="B8598" s="37"/>
    </row>
    <row r="8599" spans="2:2" ht="15.95" customHeight="1">
      <c r="B8599" s="37"/>
    </row>
    <row r="8600" spans="2:2" ht="15.95" customHeight="1">
      <c r="B8600" s="37"/>
    </row>
    <row r="8601" spans="2:2" ht="15.95" customHeight="1">
      <c r="B8601" s="37"/>
    </row>
    <row r="8602" spans="2:2" ht="15.95" customHeight="1">
      <c r="B8602" s="37"/>
    </row>
    <row r="8603" spans="2:2" ht="15.95" customHeight="1">
      <c r="B8603" s="37"/>
    </row>
    <row r="8604" spans="2:2" ht="15.95" customHeight="1">
      <c r="B8604" s="37"/>
    </row>
    <row r="8605" spans="2:2" ht="15.95" customHeight="1">
      <c r="B8605" s="37"/>
    </row>
    <row r="8606" spans="2:2" ht="15.95" customHeight="1">
      <c r="B8606" s="37"/>
    </row>
    <row r="8607" spans="2:2" ht="15.95" customHeight="1">
      <c r="B8607" s="37"/>
    </row>
    <row r="8608" spans="2:2" ht="15.95" customHeight="1">
      <c r="B8608" s="37"/>
    </row>
    <row r="8609" spans="2:2" ht="15.95" customHeight="1">
      <c r="B8609" s="37"/>
    </row>
    <row r="8610" spans="2:2" ht="15.95" customHeight="1">
      <c r="B8610" s="37"/>
    </row>
    <row r="8611" spans="2:2" ht="15.95" customHeight="1">
      <c r="B8611" s="37"/>
    </row>
    <row r="8612" spans="2:2" ht="15.95" customHeight="1">
      <c r="B8612" s="37"/>
    </row>
    <row r="8613" spans="2:2" ht="15.95" customHeight="1">
      <c r="B8613" s="37"/>
    </row>
    <row r="8614" spans="2:2" ht="15.95" customHeight="1">
      <c r="B8614" s="37"/>
    </row>
    <row r="8615" spans="2:2" ht="15.95" customHeight="1">
      <c r="B8615" s="37"/>
    </row>
    <row r="8616" spans="2:2" ht="15.95" customHeight="1">
      <c r="B8616" s="37"/>
    </row>
    <row r="8617" spans="2:2" ht="15.95" customHeight="1">
      <c r="B8617" s="37"/>
    </row>
    <row r="8618" spans="2:2" ht="15.95" customHeight="1">
      <c r="B8618" s="37"/>
    </row>
    <row r="8619" spans="2:2" ht="15.95" customHeight="1">
      <c r="B8619" s="37"/>
    </row>
    <row r="8620" spans="2:2" ht="15.95" customHeight="1">
      <c r="B8620" s="37"/>
    </row>
    <row r="8621" spans="2:2" ht="15.95" customHeight="1">
      <c r="B8621" s="37"/>
    </row>
    <row r="8622" spans="2:2" ht="15.95" customHeight="1">
      <c r="B8622" s="37"/>
    </row>
    <row r="8623" spans="2:2" ht="15.95" customHeight="1">
      <c r="B8623" s="37"/>
    </row>
    <row r="8624" spans="2:2" ht="15.95" customHeight="1">
      <c r="B8624" s="37"/>
    </row>
    <row r="8625" spans="2:2" ht="15.95" customHeight="1">
      <c r="B8625" s="37"/>
    </row>
    <row r="8626" spans="2:2" ht="15.95" customHeight="1">
      <c r="B8626" s="37"/>
    </row>
    <row r="8627" spans="2:2" ht="15.95" customHeight="1">
      <c r="B8627" s="37"/>
    </row>
    <row r="8628" spans="2:2" ht="15.95" customHeight="1">
      <c r="B8628" s="37"/>
    </row>
    <row r="8629" spans="2:2" ht="15.95" customHeight="1">
      <c r="B8629" s="37"/>
    </row>
    <row r="8630" spans="2:2" ht="15.95" customHeight="1">
      <c r="B8630" s="37"/>
    </row>
    <row r="8631" spans="2:2" ht="15.95" customHeight="1">
      <c r="B8631" s="37"/>
    </row>
    <row r="8632" spans="2:2" ht="15.95" customHeight="1">
      <c r="B8632" s="37"/>
    </row>
    <row r="8633" spans="2:2" ht="15.95" customHeight="1">
      <c r="B8633" s="37"/>
    </row>
    <row r="8634" spans="2:2" ht="15.95" customHeight="1">
      <c r="B8634" s="37"/>
    </row>
    <row r="8635" spans="2:2" ht="15.95" customHeight="1">
      <c r="B8635" s="37"/>
    </row>
    <row r="8636" spans="2:2" ht="15.95" customHeight="1">
      <c r="B8636" s="37"/>
    </row>
    <row r="8637" spans="2:2" ht="15.95" customHeight="1">
      <c r="B8637" s="37"/>
    </row>
    <row r="8638" spans="2:2" ht="15.95" customHeight="1">
      <c r="B8638" s="37"/>
    </row>
    <row r="8639" spans="2:2" ht="15.95" customHeight="1">
      <c r="B8639" s="37"/>
    </row>
    <row r="8640" spans="2:2" ht="15.95" customHeight="1">
      <c r="B8640" s="37"/>
    </row>
    <row r="8641" spans="2:2" ht="15.95" customHeight="1">
      <c r="B8641" s="37"/>
    </row>
    <row r="8642" spans="2:2" ht="15.95" customHeight="1">
      <c r="B8642" s="37"/>
    </row>
    <row r="8643" spans="2:2" ht="15.95" customHeight="1">
      <c r="B8643" s="37"/>
    </row>
    <row r="8644" spans="2:2" ht="15.95" customHeight="1">
      <c r="B8644" s="37"/>
    </row>
    <row r="8645" spans="2:2" ht="15.95" customHeight="1">
      <c r="B8645" s="37"/>
    </row>
    <row r="8646" spans="2:2" ht="15.95" customHeight="1">
      <c r="B8646" s="37"/>
    </row>
    <row r="8647" spans="2:2" ht="15.95" customHeight="1">
      <c r="B8647" s="37"/>
    </row>
    <row r="8648" spans="2:2" ht="15.95" customHeight="1">
      <c r="B8648" s="37"/>
    </row>
    <row r="8649" spans="2:2" ht="15.95" customHeight="1">
      <c r="B8649" s="37"/>
    </row>
    <row r="8650" spans="2:2" ht="15.95" customHeight="1">
      <c r="B8650" s="37"/>
    </row>
    <row r="8651" spans="2:2" ht="15.95" customHeight="1">
      <c r="B8651" s="37"/>
    </row>
    <row r="8652" spans="2:2" ht="15.95" customHeight="1">
      <c r="B8652" s="37"/>
    </row>
    <row r="8653" spans="2:2" ht="15.95" customHeight="1">
      <c r="B8653" s="37"/>
    </row>
    <row r="8654" spans="2:2" ht="15.95" customHeight="1">
      <c r="B8654" s="37"/>
    </row>
    <row r="8655" spans="2:2" ht="15.95" customHeight="1">
      <c r="B8655" s="37"/>
    </row>
    <row r="8656" spans="2:2" ht="15.95" customHeight="1">
      <c r="B8656" s="37"/>
    </row>
    <row r="8657" spans="2:2" ht="15.95" customHeight="1">
      <c r="B8657" s="37"/>
    </row>
    <row r="8658" spans="2:2" ht="15.95" customHeight="1">
      <c r="B8658" s="37"/>
    </row>
    <row r="8659" spans="2:2" ht="15.95" customHeight="1">
      <c r="B8659" s="37"/>
    </row>
    <row r="8660" spans="2:2" ht="15.95" customHeight="1">
      <c r="B8660" s="37"/>
    </row>
    <row r="8661" spans="2:2" ht="15.95" customHeight="1">
      <c r="B8661" s="37"/>
    </row>
    <row r="8662" spans="2:2" ht="15.95" customHeight="1">
      <c r="B8662" s="37"/>
    </row>
    <row r="8663" spans="2:2" ht="15.95" customHeight="1">
      <c r="B8663" s="37"/>
    </row>
    <row r="8664" spans="2:2" ht="15.95" customHeight="1">
      <c r="B8664" s="37"/>
    </row>
    <row r="8665" spans="2:2" ht="15.95" customHeight="1">
      <c r="B8665" s="37"/>
    </row>
    <row r="8666" spans="2:2" ht="15.95" customHeight="1">
      <c r="B8666" s="37"/>
    </row>
    <row r="8667" spans="2:2" ht="15.95" customHeight="1">
      <c r="B8667" s="37"/>
    </row>
    <row r="8668" spans="2:2" ht="15.95" customHeight="1">
      <c r="B8668" s="37"/>
    </row>
    <row r="8669" spans="2:2" ht="15.95" customHeight="1">
      <c r="B8669" s="37"/>
    </row>
    <row r="8670" spans="2:2" ht="15.95" customHeight="1">
      <c r="B8670" s="37"/>
    </row>
    <row r="8671" spans="2:2" ht="15.95" customHeight="1">
      <c r="B8671" s="37"/>
    </row>
    <row r="8672" spans="2:2" ht="15.95" customHeight="1">
      <c r="B8672" s="37"/>
    </row>
    <row r="8673" spans="2:2" ht="15.95" customHeight="1">
      <c r="B8673" s="37"/>
    </row>
    <row r="8674" spans="2:2" ht="15.95" customHeight="1">
      <c r="B8674" s="37"/>
    </row>
    <row r="8675" spans="2:2" ht="15.95" customHeight="1">
      <c r="B8675" s="37"/>
    </row>
    <row r="8676" spans="2:2" ht="15.95" customHeight="1">
      <c r="B8676" s="37"/>
    </row>
    <row r="8677" spans="2:2" ht="15.95" customHeight="1">
      <c r="B8677" s="37"/>
    </row>
    <row r="8678" spans="2:2" ht="15.95" customHeight="1">
      <c r="B8678" s="37"/>
    </row>
    <row r="8679" spans="2:2" ht="15.95" customHeight="1">
      <c r="B8679" s="37"/>
    </row>
    <row r="8680" spans="2:2" ht="15.95" customHeight="1">
      <c r="B8680" s="37"/>
    </row>
    <row r="8681" spans="2:2" ht="15.95" customHeight="1">
      <c r="B8681" s="37"/>
    </row>
    <row r="8682" spans="2:2" ht="15.95" customHeight="1">
      <c r="B8682" s="37"/>
    </row>
    <row r="8683" spans="2:2" ht="15.95" customHeight="1">
      <c r="B8683" s="37"/>
    </row>
    <row r="8684" spans="2:2" ht="15.95" customHeight="1">
      <c r="B8684" s="37"/>
    </row>
    <row r="8685" spans="2:2" ht="15.95" customHeight="1">
      <c r="B8685" s="37"/>
    </row>
    <row r="8686" spans="2:2" ht="15.95" customHeight="1">
      <c r="B8686" s="37"/>
    </row>
    <row r="8687" spans="2:2" ht="15.95" customHeight="1">
      <c r="B8687" s="37"/>
    </row>
    <row r="8688" spans="2:2" ht="15.95" customHeight="1">
      <c r="B8688" s="37"/>
    </row>
    <row r="8689" spans="2:2" ht="15.95" customHeight="1">
      <c r="B8689" s="37"/>
    </row>
    <row r="8690" spans="2:2" ht="15.95" customHeight="1">
      <c r="B8690" s="37"/>
    </row>
    <row r="8691" spans="2:2" ht="15.95" customHeight="1">
      <c r="B8691" s="37"/>
    </row>
    <row r="8692" spans="2:2" ht="15.95" customHeight="1">
      <c r="B8692" s="37"/>
    </row>
    <row r="8693" spans="2:2" ht="15.95" customHeight="1">
      <c r="B8693" s="37"/>
    </row>
    <row r="8694" spans="2:2" ht="15.95" customHeight="1">
      <c r="B8694" s="37"/>
    </row>
    <row r="8695" spans="2:2" ht="15.95" customHeight="1">
      <c r="B8695" s="37"/>
    </row>
    <row r="8696" spans="2:2" ht="15.95" customHeight="1">
      <c r="B8696" s="37"/>
    </row>
    <row r="8697" spans="2:2" ht="15.95" customHeight="1">
      <c r="B8697" s="37"/>
    </row>
    <row r="8698" spans="2:2" ht="15.95" customHeight="1">
      <c r="B8698" s="37"/>
    </row>
    <row r="8699" spans="2:2" ht="15.95" customHeight="1">
      <c r="B8699" s="37"/>
    </row>
    <row r="8700" spans="2:2" ht="15.95" customHeight="1">
      <c r="B8700" s="37"/>
    </row>
    <row r="8701" spans="2:2" ht="15.95" customHeight="1">
      <c r="B8701" s="37"/>
    </row>
    <row r="8702" spans="2:2" ht="15.95" customHeight="1">
      <c r="B8702" s="37"/>
    </row>
    <row r="8703" spans="2:2" ht="15.95" customHeight="1">
      <c r="B8703" s="37"/>
    </row>
    <row r="8704" spans="2:2" ht="15.95" customHeight="1">
      <c r="B8704" s="37"/>
    </row>
    <row r="8705" spans="2:2" ht="15.95" customHeight="1">
      <c r="B8705" s="37"/>
    </row>
    <row r="8706" spans="2:2" ht="15.95" customHeight="1">
      <c r="B8706" s="37"/>
    </row>
    <row r="8707" spans="2:2" ht="15.95" customHeight="1">
      <c r="B8707" s="37"/>
    </row>
    <row r="8708" spans="2:2" ht="15.95" customHeight="1">
      <c r="B8708" s="37"/>
    </row>
    <row r="8709" spans="2:2" ht="15.95" customHeight="1">
      <c r="B8709" s="37"/>
    </row>
    <row r="8710" spans="2:2" ht="15.95" customHeight="1">
      <c r="B8710" s="37"/>
    </row>
    <row r="8711" spans="2:2" ht="15.95" customHeight="1">
      <c r="B8711" s="37"/>
    </row>
    <row r="8712" spans="2:2" ht="15.95" customHeight="1">
      <c r="B8712" s="37"/>
    </row>
    <row r="8713" spans="2:2" ht="15.95" customHeight="1">
      <c r="B8713" s="37"/>
    </row>
    <row r="8714" spans="2:2" ht="15.95" customHeight="1">
      <c r="B8714" s="37"/>
    </row>
    <row r="8715" spans="2:2" ht="15.95" customHeight="1">
      <c r="B8715" s="37"/>
    </row>
    <row r="8716" spans="2:2" ht="15.95" customHeight="1">
      <c r="B8716" s="37"/>
    </row>
    <row r="8717" spans="2:2" ht="15.95" customHeight="1">
      <c r="B8717" s="37"/>
    </row>
    <row r="8718" spans="2:2" ht="15.95" customHeight="1">
      <c r="B8718" s="37"/>
    </row>
    <row r="8719" spans="2:2" ht="15.95" customHeight="1">
      <c r="B8719" s="37"/>
    </row>
    <row r="8720" spans="2:2" ht="15.95" customHeight="1">
      <c r="B8720" s="37"/>
    </row>
    <row r="8721" spans="2:2" ht="15.95" customHeight="1">
      <c r="B8721" s="37"/>
    </row>
    <row r="8722" spans="2:2" ht="15.95" customHeight="1">
      <c r="B8722" s="37"/>
    </row>
    <row r="8723" spans="2:2" ht="15.95" customHeight="1">
      <c r="B8723" s="37"/>
    </row>
    <row r="8724" spans="2:2" ht="15.95" customHeight="1">
      <c r="B8724" s="37"/>
    </row>
    <row r="8725" spans="2:2" ht="15.95" customHeight="1">
      <c r="B8725" s="37"/>
    </row>
    <row r="8726" spans="2:2" ht="15.95" customHeight="1">
      <c r="B8726" s="37"/>
    </row>
    <row r="8727" spans="2:2" ht="15.95" customHeight="1">
      <c r="B8727" s="37"/>
    </row>
    <row r="8728" spans="2:2" ht="15.95" customHeight="1">
      <c r="B8728" s="37"/>
    </row>
    <row r="8729" spans="2:2" ht="15.95" customHeight="1">
      <c r="B8729" s="37"/>
    </row>
    <row r="8730" spans="2:2" ht="15.95" customHeight="1">
      <c r="B8730" s="37"/>
    </row>
    <row r="8731" spans="2:2" ht="15.95" customHeight="1">
      <c r="B8731" s="37"/>
    </row>
    <row r="8732" spans="2:2" ht="15.95" customHeight="1">
      <c r="B8732" s="37"/>
    </row>
    <row r="8733" spans="2:2" ht="15.95" customHeight="1">
      <c r="B8733" s="37"/>
    </row>
    <row r="8734" spans="2:2" ht="15.95" customHeight="1">
      <c r="B8734" s="37"/>
    </row>
    <row r="8735" spans="2:2" ht="15.95" customHeight="1">
      <c r="B8735" s="37"/>
    </row>
    <row r="8736" spans="2:2" ht="15.95" customHeight="1">
      <c r="B8736" s="37"/>
    </row>
    <row r="8737" spans="2:2" ht="15.95" customHeight="1">
      <c r="B8737" s="37"/>
    </row>
    <row r="8738" spans="2:2" ht="15.95" customHeight="1">
      <c r="B8738" s="37"/>
    </row>
    <row r="8739" spans="2:2" ht="15.95" customHeight="1">
      <c r="B8739" s="37"/>
    </row>
    <row r="8740" spans="2:2" ht="15.95" customHeight="1">
      <c r="B8740" s="37"/>
    </row>
    <row r="8741" spans="2:2" ht="15.95" customHeight="1">
      <c r="B8741" s="37"/>
    </row>
    <row r="8742" spans="2:2" ht="15.95" customHeight="1">
      <c r="B8742" s="37"/>
    </row>
    <row r="8743" spans="2:2" ht="15.95" customHeight="1">
      <c r="B8743" s="37"/>
    </row>
    <row r="8744" spans="2:2" ht="15.95" customHeight="1">
      <c r="B8744" s="37"/>
    </row>
    <row r="8745" spans="2:2" ht="15.95" customHeight="1">
      <c r="B8745" s="37"/>
    </row>
    <row r="8746" spans="2:2" ht="15.95" customHeight="1">
      <c r="B8746" s="37"/>
    </row>
    <row r="8747" spans="2:2" ht="15.95" customHeight="1">
      <c r="B8747" s="37"/>
    </row>
    <row r="8748" spans="2:2" ht="15.95" customHeight="1">
      <c r="B8748" s="37"/>
    </row>
    <row r="8749" spans="2:2" ht="15.95" customHeight="1">
      <c r="B8749" s="37"/>
    </row>
    <row r="8750" spans="2:2" ht="15.95" customHeight="1">
      <c r="B8750" s="37"/>
    </row>
    <row r="8751" spans="2:2" ht="15.95" customHeight="1">
      <c r="B8751" s="37"/>
    </row>
    <row r="8752" spans="2:2" ht="15.95" customHeight="1">
      <c r="B8752" s="37"/>
    </row>
    <row r="8753" spans="2:2" ht="15.95" customHeight="1">
      <c r="B8753" s="37"/>
    </row>
    <row r="8754" spans="2:2" ht="15.95" customHeight="1">
      <c r="B8754" s="37"/>
    </row>
    <row r="8755" spans="2:2" ht="15.95" customHeight="1">
      <c r="B8755" s="37"/>
    </row>
    <row r="8756" spans="2:2" ht="15.95" customHeight="1">
      <c r="B8756" s="37"/>
    </row>
    <row r="8757" spans="2:2" ht="15.95" customHeight="1">
      <c r="B8757" s="37"/>
    </row>
    <row r="8758" spans="2:2" ht="15.95" customHeight="1">
      <c r="B8758" s="37"/>
    </row>
    <row r="8759" spans="2:2" ht="15.95" customHeight="1">
      <c r="B8759" s="37"/>
    </row>
    <row r="8760" spans="2:2" ht="15.95" customHeight="1">
      <c r="B8760" s="37"/>
    </row>
    <row r="8761" spans="2:2" ht="15.95" customHeight="1">
      <c r="B8761" s="37"/>
    </row>
    <row r="8762" spans="2:2" ht="15.95" customHeight="1">
      <c r="B8762" s="37"/>
    </row>
    <row r="8763" spans="2:2" ht="15.95" customHeight="1">
      <c r="B8763" s="37"/>
    </row>
    <row r="8764" spans="2:2" ht="15.95" customHeight="1">
      <c r="B8764" s="37"/>
    </row>
    <row r="8765" spans="2:2" ht="15.95" customHeight="1">
      <c r="B8765" s="37"/>
    </row>
    <row r="8766" spans="2:2" ht="15.95" customHeight="1">
      <c r="B8766" s="37"/>
    </row>
    <row r="8767" spans="2:2" ht="15.95" customHeight="1">
      <c r="B8767" s="37"/>
    </row>
    <row r="8768" spans="2:2" ht="15.95" customHeight="1">
      <c r="B8768" s="37"/>
    </row>
    <row r="8769" spans="2:2" ht="15.95" customHeight="1">
      <c r="B8769" s="37"/>
    </row>
    <row r="8770" spans="2:2" ht="15.95" customHeight="1">
      <c r="B8770" s="37"/>
    </row>
    <row r="8771" spans="2:2" ht="15.95" customHeight="1">
      <c r="B8771" s="37"/>
    </row>
    <row r="8772" spans="2:2" ht="15.95" customHeight="1">
      <c r="B8772" s="37"/>
    </row>
    <row r="8773" spans="2:2" ht="15.95" customHeight="1">
      <c r="B8773" s="37"/>
    </row>
    <row r="8774" spans="2:2" ht="15.95" customHeight="1">
      <c r="B8774" s="37"/>
    </row>
    <row r="8775" spans="2:2" ht="15.95" customHeight="1">
      <c r="B8775" s="37"/>
    </row>
    <row r="8776" spans="2:2" ht="15.95" customHeight="1">
      <c r="B8776" s="37"/>
    </row>
    <row r="8777" spans="2:2" ht="15.95" customHeight="1">
      <c r="B8777" s="37"/>
    </row>
    <row r="8778" spans="2:2" ht="15.95" customHeight="1">
      <c r="B8778" s="37"/>
    </row>
    <row r="8779" spans="2:2" ht="15.95" customHeight="1">
      <c r="B8779" s="37"/>
    </row>
    <row r="8780" spans="2:2" ht="15.95" customHeight="1">
      <c r="B8780" s="37"/>
    </row>
    <row r="8781" spans="2:2" ht="15.95" customHeight="1">
      <c r="B8781" s="37"/>
    </row>
    <row r="8782" spans="2:2" ht="15.95" customHeight="1">
      <c r="B8782" s="37"/>
    </row>
    <row r="8783" spans="2:2" ht="15.95" customHeight="1">
      <c r="B8783" s="37"/>
    </row>
    <row r="8784" spans="2:2" ht="15.95" customHeight="1">
      <c r="B8784" s="37"/>
    </row>
    <row r="8785" spans="2:2" ht="15.95" customHeight="1">
      <c r="B8785" s="37"/>
    </row>
    <row r="8786" spans="2:2" ht="15.95" customHeight="1">
      <c r="B8786" s="37"/>
    </row>
    <row r="8787" spans="2:2" ht="15.95" customHeight="1">
      <c r="B8787" s="37"/>
    </row>
    <row r="8788" spans="2:2" ht="15.95" customHeight="1">
      <c r="B8788" s="37"/>
    </row>
    <row r="8789" spans="2:2" ht="15.95" customHeight="1">
      <c r="B8789" s="37"/>
    </row>
    <row r="8790" spans="2:2" ht="15.95" customHeight="1">
      <c r="B8790" s="37"/>
    </row>
    <row r="8791" spans="2:2" ht="15.95" customHeight="1">
      <c r="B8791" s="37"/>
    </row>
    <row r="8792" spans="2:2" ht="15.95" customHeight="1">
      <c r="B8792" s="37"/>
    </row>
    <row r="8793" spans="2:2" ht="15.95" customHeight="1">
      <c r="B8793" s="37"/>
    </row>
    <row r="8794" spans="2:2" ht="15.95" customHeight="1">
      <c r="B8794" s="37"/>
    </row>
    <row r="8795" spans="2:2" ht="15.95" customHeight="1">
      <c r="B8795" s="37"/>
    </row>
    <row r="8796" spans="2:2" ht="15.95" customHeight="1">
      <c r="B8796" s="37"/>
    </row>
    <row r="8797" spans="2:2" ht="15.95" customHeight="1">
      <c r="B8797" s="37"/>
    </row>
    <row r="8798" spans="2:2" ht="15.95" customHeight="1">
      <c r="B8798" s="37"/>
    </row>
    <row r="8799" spans="2:2" ht="15.95" customHeight="1">
      <c r="B8799" s="37"/>
    </row>
    <row r="8800" spans="2:2" ht="15.95" customHeight="1">
      <c r="B8800" s="37"/>
    </row>
    <row r="8801" spans="2:2" ht="15.95" customHeight="1">
      <c r="B8801" s="37"/>
    </row>
    <row r="8802" spans="2:2" ht="15.95" customHeight="1">
      <c r="B8802" s="37"/>
    </row>
    <row r="8803" spans="2:2" ht="15.95" customHeight="1">
      <c r="B8803" s="37"/>
    </row>
    <row r="8804" spans="2:2" ht="15.95" customHeight="1">
      <c r="B8804" s="37"/>
    </row>
    <row r="8805" spans="2:2" ht="15.95" customHeight="1">
      <c r="B8805" s="37"/>
    </row>
    <row r="8806" spans="2:2" ht="15.95" customHeight="1">
      <c r="B8806" s="37"/>
    </row>
    <row r="8807" spans="2:2" ht="15.95" customHeight="1">
      <c r="B8807" s="37"/>
    </row>
    <row r="8808" spans="2:2" ht="15.95" customHeight="1">
      <c r="B8808" s="37"/>
    </row>
    <row r="8809" spans="2:2" ht="15.95" customHeight="1">
      <c r="B8809" s="37"/>
    </row>
    <row r="8810" spans="2:2" ht="15.95" customHeight="1">
      <c r="B8810" s="37"/>
    </row>
    <row r="8811" spans="2:2" ht="15.95" customHeight="1">
      <c r="B8811" s="37"/>
    </row>
    <row r="8812" spans="2:2" ht="15.95" customHeight="1">
      <c r="B8812" s="37"/>
    </row>
    <row r="8813" spans="2:2" ht="15.95" customHeight="1">
      <c r="B8813" s="37"/>
    </row>
    <row r="8814" spans="2:2" ht="15.95" customHeight="1">
      <c r="B8814" s="37"/>
    </row>
    <row r="8815" spans="2:2" ht="15.95" customHeight="1">
      <c r="B8815" s="37"/>
    </row>
    <row r="8816" spans="2:2" ht="15.95" customHeight="1">
      <c r="B8816" s="37"/>
    </row>
    <row r="8817" spans="2:2" ht="15.95" customHeight="1">
      <c r="B8817" s="37"/>
    </row>
    <row r="8818" spans="2:2" ht="15.95" customHeight="1">
      <c r="B8818" s="37"/>
    </row>
    <row r="8819" spans="2:2" ht="15.95" customHeight="1">
      <c r="B8819" s="37"/>
    </row>
    <row r="8820" spans="2:2" ht="15.95" customHeight="1">
      <c r="B8820" s="37"/>
    </row>
    <row r="8821" spans="2:2" ht="15.95" customHeight="1">
      <c r="B8821" s="37"/>
    </row>
    <row r="8822" spans="2:2" ht="15.95" customHeight="1">
      <c r="B8822" s="37"/>
    </row>
    <row r="8823" spans="2:2" ht="15.95" customHeight="1">
      <c r="B8823" s="37"/>
    </row>
    <row r="8824" spans="2:2" ht="15.95" customHeight="1">
      <c r="B8824" s="37"/>
    </row>
    <row r="8825" spans="2:2" ht="15.95" customHeight="1">
      <c r="B8825" s="37"/>
    </row>
    <row r="8826" spans="2:2" ht="15.95" customHeight="1">
      <c r="B8826" s="37"/>
    </row>
    <row r="8827" spans="2:2" ht="15.95" customHeight="1">
      <c r="B8827" s="37"/>
    </row>
    <row r="8828" spans="2:2" ht="15.95" customHeight="1">
      <c r="B8828" s="37"/>
    </row>
    <row r="8829" spans="2:2" ht="15.95" customHeight="1">
      <c r="B8829" s="37"/>
    </row>
    <row r="8830" spans="2:2" ht="15.95" customHeight="1">
      <c r="B8830" s="37"/>
    </row>
    <row r="8831" spans="2:2" ht="15.95" customHeight="1">
      <c r="B8831" s="37"/>
    </row>
    <row r="8832" spans="2:2" ht="15.95" customHeight="1">
      <c r="B8832" s="37"/>
    </row>
    <row r="8833" spans="2:2" ht="15.95" customHeight="1">
      <c r="B8833" s="37"/>
    </row>
    <row r="8834" spans="2:2" ht="15.95" customHeight="1">
      <c r="B8834" s="37"/>
    </row>
    <row r="8835" spans="2:2" ht="15.95" customHeight="1">
      <c r="B8835" s="37"/>
    </row>
    <row r="8836" spans="2:2" ht="15.95" customHeight="1">
      <c r="B8836" s="37"/>
    </row>
    <row r="8837" spans="2:2" ht="15.95" customHeight="1">
      <c r="B8837" s="37"/>
    </row>
    <row r="8838" spans="2:2" ht="15.95" customHeight="1">
      <c r="B8838" s="37"/>
    </row>
    <row r="8839" spans="2:2" ht="15.95" customHeight="1">
      <c r="B8839" s="37"/>
    </row>
    <row r="8840" spans="2:2" ht="15.95" customHeight="1">
      <c r="B8840" s="37"/>
    </row>
    <row r="8841" spans="2:2" ht="15.95" customHeight="1">
      <c r="B8841" s="37"/>
    </row>
    <row r="8842" spans="2:2" ht="15.95" customHeight="1">
      <c r="B8842" s="37"/>
    </row>
    <row r="8843" spans="2:2" ht="15.95" customHeight="1">
      <c r="B8843" s="37"/>
    </row>
    <row r="8844" spans="2:2" ht="15.95" customHeight="1">
      <c r="B8844" s="37"/>
    </row>
    <row r="8845" spans="2:2" ht="15.95" customHeight="1">
      <c r="B8845" s="37"/>
    </row>
    <row r="8846" spans="2:2" ht="15.95" customHeight="1">
      <c r="B8846" s="37"/>
    </row>
    <row r="8847" spans="2:2" ht="15.95" customHeight="1">
      <c r="B8847" s="37"/>
    </row>
    <row r="8848" spans="2:2" ht="15.95" customHeight="1">
      <c r="B8848" s="37"/>
    </row>
    <row r="8849" spans="2:2" ht="15.95" customHeight="1">
      <c r="B8849" s="37"/>
    </row>
    <row r="8850" spans="2:2" ht="15.95" customHeight="1">
      <c r="B8850" s="37"/>
    </row>
    <row r="8851" spans="2:2" ht="15.95" customHeight="1">
      <c r="B8851" s="37"/>
    </row>
    <row r="8852" spans="2:2" ht="15.95" customHeight="1">
      <c r="B8852" s="37"/>
    </row>
    <row r="8853" spans="2:2" ht="15.95" customHeight="1">
      <c r="B8853" s="37"/>
    </row>
    <row r="8854" spans="2:2" ht="15.95" customHeight="1">
      <c r="B8854" s="37"/>
    </row>
    <row r="8855" spans="2:2" ht="15.95" customHeight="1">
      <c r="B8855" s="37"/>
    </row>
    <row r="8856" spans="2:2" ht="15.95" customHeight="1">
      <c r="B8856" s="37"/>
    </row>
    <row r="8857" spans="2:2" ht="15.95" customHeight="1">
      <c r="B8857" s="37"/>
    </row>
    <row r="8858" spans="2:2" ht="15.95" customHeight="1">
      <c r="B8858" s="37"/>
    </row>
    <row r="8859" spans="2:2" ht="15.95" customHeight="1">
      <c r="B8859" s="37"/>
    </row>
    <row r="8860" spans="2:2" ht="15.95" customHeight="1">
      <c r="B8860" s="37"/>
    </row>
    <row r="8861" spans="2:2" ht="15.95" customHeight="1">
      <c r="B8861" s="37"/>
    </row>
    <row r="8862" spans="2:2" ht="15.95" customHeight="1">
      <c r="B8862" s="37"/>
    </row>
    <row r="8863" spans="2:2" ht="15.95" customHeight="1">
      <c r="B8863" s="37"/>
    </row>
    <row r="8864" spans="2:2" ht="15.95" customHeight="1">
      <c r="B8864" s="37"/>
    </row>
    <row r="8865" spans="2:2" ht="15.95" customHeight="1">
      <c r="B8865" s="37"/>
    </row>
    <row r="8866" spans="2:2" ht="15.95" customHeight="1">
      <c r="B8866" s="37"/>
    </row>
    <row r="8867" spans="2:2" ht="15.95" customHeight="1">
      <c r="B8867" s="37"/>
    </row>
    <row r="8868" spans="2:2" ht="15.95" customHeight="1">
      <c r="B8868" s="37"/>
    </row>
    <row r="8869" spans="2:2" ht="15.95" customHeight="1">
      <c r="B8869" s="37"/>
    </row>
    <row r="8870" spans="2:2" ht="15.95" customHeight="1">
      <c r="B8870" s="37"/>
    </row>
    <row r="8871" spans="2:2" ht="15.95" customHeight="1">
      <c r="B8871" s="37"/>
    </row>
    <row r="8872" spans="2:2" ht="15.95" customHeight="1">
      <c r="B8872" s="37"/>
    </row>
    <row r="8873" spans="2:2" ht="15.95" customHeight="1">
      <c r="B8873" s="37"/>
    </row>
    <row r="8874" spans="2:2" ht="15.95" customHeight="1">
      <c r="B8874" s="37"/>
    </row>
    <row r="8875" spans="2:2" ht="15.95" customHeight="1">
      <c r="B8875" s="37"/>
    </row>
    <row r="8876" spans="2:2" ht="15.95" customHeight="1">
      <c r="B8876" s="37"/>
    </row>
    <row r="8877" spans="2:2" ht="15.95" customHeight="1">
      <c r="B8877" s="37"/>
    </row>
    <row r="8878" spans="2:2" ht="15.95" customHeight="1">
      <c r="B8878" s="37"/>
    </row>
    <row r="8879" spans="2:2" ht="15.95" customHeight="1">
      <c r="B8879" s="37"/>
    </row>
    <row r="8880" spans="2:2" ht="15.95" customHeight="1">
      <c r="B8880" s="37"/>
    </row>
    <row r="8881" spans="2:2" ht="15.95" customHeight="1">
      <c r="B8881" s="37"/>
    </row>
    <row r="8882" spans="2:2" ht="15.95" customHeight="1">
      <c r="B8882" s="37"/>
    </row>
    <row r="8883" spans="2:2" ht="15.95" customHeight="1">
      <c r="B8883" s="37"/>
    </row>
    <row r="8884" spans="2:2" ht="15.95" customHeight="1">
      <c r="B8884" s="37"/>
    </row>
    <row r="8885" spans="2:2" ht="15.95" customHeight="1">
      <c r="B8885" s="37"/>
    </row>
    <row r="8886" spans="2:2" ht="15.95" customHeight="1">
      <c r="B8886" s="37"/>
    </row>
    <row r="8887" spans="2:2" ht="15.95" customHeight="1">
      <c r="B8887" s="37"/>
    </row>
    <row r="8888" spans="2:2" ht="15.95" customHeight="1">
      <c r="B8888" s="37"/>
    </row>
    <row r="8889" spans="2:2" ht="15.95" customHeight="1">
      <c r="B8889" s="37"/>
    </row>
    <row r="8890" spans="2:2" ht="15.95" customHeight="1">
      <c r="B8890" s="37"/>
    </row>
    <row r="8891" spans="2:2" ht="15.95" customHeight="1">
      <c r="B8891" s="37"/>
    </row>
    <row r="8892" spans="2:2" ht="15.95" customHeight="1">
      <c r="B8892" s="37"/>
    </row>
    <row r="8893" spans="2:2" ht="15.95" customHeight="1">
      <c r="B8893" s="37"/>
    </row>
    <row r="8894" spans="2:2" ht="15.95" customHeight="1">
      <c r="B8894" s="37"/>
    </row>
    <row r="8895" spans="2:2" ht="15.95" customHeight="1">
      <c r="B8895" s="37"/>
    </row>
    <row r="8896" spans="2:2" ht="15.95" customHeight="1">
      <c r="B8896" s="37"/>
    </row>
    <row r="8897" spans="2:2" ht="15.95" customHeight="1">
      <c r="B8897" s="37"/>
    </row>
    <row r="8898" spans="2:2" ht="15.95" customHeight="1">
      <c r="B8898" s="37"/>
    </row>
    <row r="8899" spans="2:2" ht="15.95" customHeight="1">
      <c r="B8899" s="37"/>
    </row>
    <row r="8900" spans="2:2" ht="15.95" customHeight="1">
      <c r="B8900" s="37"/>
    </row>
    <row r="8901" spans="2:2" ht="15.95" customHeight="1">
      <c r="B8901" s="37"/>
    </row>
    <row r="8902" spans="2:2" ht="15.95" customHeight="1">
      <c r="B8902" s="37"/>
    </row>
    <row r="8903" spans="2:2" ht="15.95" customHeight="1">
      <c r="B8903" s="37"/>
    </row>
    <row r="8904" spans="2:2" ht="15.95" customHeight="1">
      <c r="B8904" s="37"/>
    </row>
    <row r="8905" spans="2:2" ht="15.95" customHeight="1">
      <c r="B8905" s="37"/>
    </row>
    <row r="8906" spans="2:2" ht="15.95" customHeight="1">
      <c r="B8906" s="37"/>
    </row>
    <row r="8907" spans="2:2" ht="15.95" customHeight="1">
      <c r="B8907" s="37"/>
    </row>
    <row r="8908" spans="2:2" ht="15.95" customHeight="1">
      <c r="B8908" s="37"/>
    </row>
    <row r="8909" spans="2:2" ht="15.95" customHeight="1">
      <c r="B8909" s="37"/>
    </row>
    <row r="8910" spans="2:2" ht="15.95" customHeight="1">
      <c r="B8910" s="37"/>
    </row>
    <row r="8911" spans="2:2" ht="15.95" customHeight="1">
      <c r="B8911" s="37"/>
    </row>
    <row r="8912" spans="2:2" ht="15.95" customHeight="1">
      <c r="B8912" s="37"/>
    </row>
    <row r="8913" spans="2:2" ht="15.95" customHeight="1">
      <c r="B8913" s="37"/>
    </row>
    <row r="8914" spans="2:2" ht="15.95" customHeight="1">
      <c r="B8914" s="37"/>
    </row>
    <row r="8915" spans="2:2" ht="15.95" customHeight="1">
      <c r="B8915" s="37"/>
    </row>
    <row r="8916" spans="2:2" ht="15.95" customHeight="1">
      <c r="B8916" s="37"/>
    </row>
    <row r="8917" spans="2:2" ht="15.95" customHeight="1">
      <c r="B8917" s="37"/>
    </row>
    <row r="8918" spans="2:2" ht="15.95" customHeight="1">
      <c r="B8918" s="37"/>
    </row>
    <row r="8919" spans="2:2" ht="15.95" customHeight="1">
      <c r="B8919" s="37"/>
    </row>
    <row r="8920" spans="2:2" ht="15.95" customHeight="1">
      <c r="B8920" s="37"/>
    </row>
    <row r="8921" spans="2:2" ht="15.95" customHeight="1">
      <c r="B8921" s="37"/>
    </row>
    <row r="8922" spans="2:2" ht="15.95" customHeight="1">
      <c r="B8922" s="37"/>
    </row>
    <row r="8923" spans="2:2" ht="15.95" customHeight="1">
      <c r="B8923" s="37"/>
    </row>
    <row r="8924" spans="2:2" ht="15.95" customHeight="1">
      <c r="B8924" s="37"/>
    </row>
    <row r="8925" spans="2:2" ht="15.95" customHeight="1">
      <c r="B8925" s="37"/>
    </row>
    <row r="8926" spans="2:2" ht="15.95" customHeight="1">
      <c r="B8926" s="37"/>
    </row>
    <row r="8927" spans="2:2" ht="15.95" customHeight="1">
      <c r="B8927" s="37"/>
    </row>
    <row r="8928" spans="2:2" ht="15.95" customHeight="1">
      <c r="B8928" s="37"/>
    </row>
    <row r="8929" spans="2:2" ht="15.95" customHeight="1">
      <c r="B8929" s="37"/>
    </row>
    <row r="8930" spans="2:2" ht="15.95" customHeight="1">
      <c r="B8930" s="37"/>
    </row>
    <row r="8931" spans="2:2" ht="15.95" customHeight="1">
      <c r="B8931" s="37"/>
    </row>
    <row r="8932" spans="2:2" ht="15.95" customHeight="1">
      <c r="B8932" s="37"/>
    </row>
    <row r="8933" spans="2:2" ht="15.95" customHeight="1">
      <c r="B8933" s="37"/>
    </row>
    <row r="8934" spans="2:2" ht="15.95" customHeight="1">
      <c r="B8934" s="37"/>
    </row>
    <row r="8935" spans="2:2" ht="15.95" customHeight="1">
      <c r="B8935" s="37"/>
    </row>
    <row r="8936" spans="2:2" ht="15.95" customHeight="1">
      <c r="B8936" s="37"/>
    </row>
    <row r="8937" spans="2:2" ht="15.95" customHeight="1">
      <c r="B8937" s="37"/>
    </row>
    <row r="8938" spans="2:2" ht="15.95" customHeight="1">
      <c r="B8938" s="37"/>
    </row>
    <row r="8939" spans="2:2" ht="15.95" customHeight="1">
      <c r="B8939" s="37"/>
    </row>
    <row r="8940" spans="2:2" ht="15.95" customHeight="1">
      <c r="B8940" s="37"/>
    </row>
    <row r="8941" spans="2:2" ht="15.95" customHeight="1">
      <c r="B8941" s="37"/>
    </row>
    <row r="8942" spans="2:2" ht="15.95" customHeight="1">
      <c r="B8942" s="37"/>
    </row>
    <row r="8943" spans="2:2" ht="15.95" customHeight="1">
      <c r="B8943" s="37"/>
    </row>
    <row r="8944" spans="2:2" ht="15.95" customHeight="1">
      <c r="B8944" s="37"/>
    </row>
    <row r="8945" spans="2:2" ht="15.95" customHeight="1">
      <c r="B8945" s="37"/>
    </row>
    <row r="8946" spans="2:2" ht="15.95" customHeight="1">
      <c r="B8946" s="37"/>
    </row>
    <row r="8947" spans="2:2" ht="15.95" customHeight="1">
      <c r="B8947" s="37"/>
    </row>
    <row r="8948" spans="2:2" ht="15.95" customHeight="1">
      <c r="B8948" s="37"/>
    </row>
    <row r="8949" spans="2:2" ht="15.95" customHeight="1">
      <c r="B8949" s="37"/>
    </row>
    <row r="8950" spans="2:2" ht="15.95" customHeight="1">
      <c r="B8950" s="37"/>
    </row>
    <row r="8951" spans="2:2" ht="15.95" customHeight="1">
      <c r="B8951" s="37"/>
    </row>
    <row r="8952" spans="2:2" ht="15.95" customHeight="1">
      <c r="B8952" s="37"/>
    </row>
    <row r="8953" spans="2:2" ht="15.95" customHeight="1">
      <c r="B8953" s="37"/>
    </row>
    <row r="8954" spans="2:2" ht="15.95" customHeight="1">
      <c r="B8954" s="37"/>
    </row>
    <row r="8955" spans="2:2" ht="15.95" customHeight="1">
      <c r="B8955" s="37"/>
    </row>
    <row r="8956" spans="2:2" ht="15.95" customHeight="1">
      <c r="B8956" s="37"/>
    </row>
    <row r="8957" spans="2:2" ht="15.95" customHeight="1">
      <c r="B8957" s="37"/>
    </row>
    <row r="8958" spans="2:2" ht="15.95" customHeight="1">
      <c r="B8958" s="37"/>
    </row>
    <row r="8959" spans="2:2" ht="15.95" customHeight="1">
      <c r="B8959" s="37"/>
    </row>
    <row r="8960" spans="2:2" ht="15.95" customHeight="1">
      <c r="B8960" s="37"/>
    </row>
    <row r="8961" spans="2:2" ht="15.95" customHeight="1">
      <c r="B8961" s="37"/>
    </row>
    <row r="8962" spans="2:2" ht="15.95" customHeight="1">
      <c r="B8962" s="37"/>
    </row>
    <row r="8963" spans="2:2" ht="15.95" customHeight="1">
      <c r="B8963" s="37"/>
    </row>
    <row r="8964" spans="2:2" ht="15.95" customHeight="1">
      <c r="B8964" s="37"/>
    </row>
    <row r="8965" spans="2:2" ht="15.95" customHeight="1">
      <c r="B8965" s="37"/>
    </row>
    <row r="8966" spans="2:2" ht="15.95" customHeight="1">
      <c r="B8966" s="37"/>
    </row>
    <row r="8967" spans="2:2" ht="15.95" customHeight="1">
      <c r="B8967" s="37"/>
    </row>
    <row r="8968" spans="2:2" ht="15.95" customHeight="1">
      <c r="B8968" s="37"/>
    </row>
    <row r="8969" spans="2:2" ht="15.95" customHeight="1">
      <c r="B8969" s="37"/>
    </row>
    <row r="8970" spans="2:2" ht="15.95" customHeight="1">
      <c r="B8970" s="37"/>
    </row>
    <row r="8971" spans="2:2" ht="15.95" customHeight="1">
      <c r="B8971" s="37"/>
    </row>
    <row r="8972" spans="2:2" ht="15.95" customHeight="1">
      <c r="B8972" s="37"/>
    </row>
    <row r="8973" spans="2:2" ht="15.95" customHeight="1">
      <c r="B8973" s="37"/>
    </row>
    <row r="8974" spans="2:2" ht="15.95" customHeight="1">
      <c r="B8974" s="37"/>
    </row>
    <row r="8975" spans="2:2" ht="15.95" customHeight="1">
      <c r="B8975" s="37"/>
    </row>
    <row r="8976" spans="2:2" ht="15.95" customHeight="1">
      <c r="B8976" s="37"/>
    </row>
    <row r="8977" spans="2:2" ht="15.95" customHeight="1">
      <c r="B8977" s="37"/>
    </row>
    <row r="8978" spans="2:2" ht="15.95" customHeight="1">
      <c r="B8978" s="37"/>
    </row>
    <row r="8979" spans="2:2" ht="15.95" customHeight="1">
      <c r="B8979" s="37"/>
    </row>
    <row r="8980" spans="2:2" ht="15.95" customHeight="1">
      <c r="B8980" s="37"/>
    </row>
    <row r="8981" spans="2:2" ht="15.95" customHeight="1">
      <c r="B8981" s="37"/>
    </row>
    <row r="8982" spans="2:2" ht="15.95" customHeight="1">
      <c r="B8982" s="37"/>
    </row>
    <row r="8983" spans="2:2" ht="15.95" customHeight="1">
      <c r="B8983" s="37"/>
    </row>
    <row r="8984" spans="2:2" ht="15.95" customHeight="1">
      <c r="B8984" s="37"/>
    </row>
    <row r="8985" spans="2:2" ht="15.95" customHeight="1">
      <c r="B8985" s="37"/>
    </row>
    <row r="8986" spans="2:2" ht="15.95" customHeight="1">
      <c r="B8986" s="37"/>
    </row>
    <row r="8987" spans="2:2" ht="15.95" customHeight="1">
      <c r="B8987" s="37"/>
    </row>
    <row r="8988" spans="2:2" ht="15.95" customHeight="1">
      <c r="B8988" s="37"/>
    </row>
    <row r="8989" spans="2:2" ht="15.95" customHeight="1">
      <c r="B8989" s="37"/>
    </row>
    <row r="8990" spans="2:2" ht="15.95" customHeight="1">
      <c r="B8990" s="37"/>
    </row>
    <row r="8991" spans="2:2" ht="15.95" customHeight="1">
      <c r="B8991" s="37"/>
    </row>
    <row r="8992" spans="2:2" ht="15.95" customHeight="1">
      <c r="B8992" s="37"/>
    </row>
    <row r="8993" spans="2:2" ht="15.95" customHeight="1">
      <c r="B8993" s="37"/>
    </row>
    <row r="8994" spans="2:2" ht="15.95" customHeight="1">
      <c r="B8994" s="37"/>
    </row>
    <row r="8995" spans="2:2" ht="15.95" customHeight="1">
      <c r="B8995" s="37"/>
    </row>
    <row r="8996" spans="2:2" ht="15.95" customHeight="1">
      <c r="B8996" s="37"/>
    </row>
    <row r="8997" spans="2:2" ht="15.95" customHeight="1">
      <c r="B8997" s="37"/>
    </row>
    <row r="8998" spans="2:2" ht="15.95" customHeight="1">
      <c r="B8998" s="37"/>
    </row>
    <row r="8999" spans="2:2" ht="15.95" customHeight="1">
      <c r="B8999" s="37"/>
    </row>
    <row r="9000" spans="2:2" ht="15.95" customHeight="1">
      <c r="B9000" s="37"/>
    </row>
    <row r="9001" spans="2:2" ht="15.95" customHeight="1">
      <c r="B9001" s="37"/>
    </row>
    <row r="9002" spans="2:2" ht="15.95" customHeight="1">
      <c r="B9002" s="37"/>
    </row>
    <row r="9003" spans="2:2" ht="15.95" customHeight="1">
      <c r="B9003" s="37"/>
    </row>
    <row r="9004" spans="2:2" ht="15.95" customHeight="1">
      <c r="B9004" s="37"/>
    </row>
    <row r="9005" spans="2:2" ht="15.95" customHeight="1">
      <c r="B9005" s="37"/>
    </row>
    <row r="9006" spans="2:2" ht="15.95" customHeight="1">
      <c r="B9006" s="37"/>
    </row>
    <row r="9007" spans="2:2" ht="15.95" customHeight="1">
      <c r="B9007" s="37"/>
    </row>
    <row r="9008" spans="2:2" ht="15.95" customHeight="1">
      <c r="B9008" s="37"/>
    </row>
    <row r="9009" spans="2:2" ht="15.95" customHeight="1">
      <c r="B9009" s="37"/>
    </row>
    <row r="9010" spans="2:2" ht="15.95" customHeight="1">
      <c r="B9010" s="37"/>
    </row>
    <row r="9011" spans="2:2" ht="15.95" customHeight="1">
      <c r="B9011" s="37"/>
    </row>
    <row r="9012" spans="2:2" ht="15.95" customHeight="1">
      <c r="B9012" s="37"/>
    </row>
    <row r="9013" spans="2:2" ht="15.95" customHeight="1">
      <c r="B9013" s="37"/>
    </row>
    <row r="9014" spans="2:2" ht="15.95" customHeight="1">
      <c r="B9014" s="37"/>
    </row>
    <row r="9015" spans="2:2" ht="15.95" customHeight="1">
      <c r="B9015" s="37"/>
    </row>
    <row r="9016" spans="2:2" ht="15.95" customHeight="1">
      <c r="B9016" s="37"/>
    </row>
    <row r="9017" spans="2:2" ht="15.95" customHeight="1">
      <c r="B9017" s="37"/>
    </row>
    <row r="9018" spans="2:2" ht="15.95" customHeight="1">
      <c r="B9018" s="37"/>
    </row>
    <row r="9019" spans="2:2" ht="15.95" customHeight="1">
      <c r="B9019" s="37"/>
    </row>
    <row r="9020" spans="2:2" ht="15.95" customHeight="1">
      <c r="B9020" s="37"/>
    </row>
    <row r="9021" spans="2:2" ht="15.95" customHeight="1">
      <c r="B9021" s="37"/>
    </row>
    <row r="9022" spans="2:2" ht="15.95" customHeight="1">
      <c r="B9022" s="37"/>
    </row>
    <row r="9023" spans="2:2" ht="15.95" customHeight="1">
      <c r="B9023" s="37"/>
    </row>
    <row r="9024" spans="2:2" ht="15.95" customHeight="1">
      <c r="B9024" s="37"/>
    </row>
    <row r="9025" spans="2:2" ht="15.95" customHeight="1">
      <c r="B9025" s="37"/>
    </row>
    <row r="9026" spans="2:2" ht="15.95" customHeight="1">
      <c r="B9026" s="37"/>
    </row>
    <row r="9027" spans="2:2" ht="15.95" customHeight="1">
      <c r="B9027" s="37"/>
    </row>
    <row r="9028" spans="2:2" ht="15.95" customHeight="1">
      <c r="B9028" s="37"/>
    </row>
    <row r="9029" spans="2:2" ht="15.95" customHeight="1">
      <c r="B9029" s="37"/>
    </row>
    <row r="9030" spans="2:2" ht="15.95" customHeight="1">
      <c r="B9030" s="37"/>
    </row>
    <row r="9031" spans="2:2" ht="15.95" customHeight="1">
      <c r="B9031" s="37"/>
    </row>
    <row r="9032" spans="2:2" ht="15.95" customHeight="1">
      <c r="B9032" s="37"/>
    </row>
    <row r="9033" spans="2:2" ht="15.95" customHeight="1">
      <c r="B9033" s="37"/>
    </row>
    <row r="9034" spans="2:2" ht="15.95" customHeight="1">
      <c r="B9034" s="37"/>
    </row>
    <row r="9035" spans="2:2" ht="15.95" customHeight="1">
      <c r="B9035" s="37"/>
    </row>
    <row r="9036" spans="2:2" ht="15.95" customHeight="1">
      <c r="B9036" s="37"/>
    </row>
    <row r="9037" spans="2:2" ht="15.95" customHeight="1">
      <c r="B9037" s="37"/>
    </row>
    <row r="9038" spans="2:2" ht="15.95" customHeight="1">
      <c r="B9038" s="37"/>
    </row>
    <row r="9039" spans="2:2" ht="15.95" customHeight="1">
      <c r="B9039" s="37"/>
    </row>
    <row r="9040" spans="2:2" ht="15.95" customHeight="1">
      <c r="B9040" s="37"/>
    </row>
    <row r="9041" spans="2:2" ht="15.95" customHeight="1">
      <c r="B9041" s="37"/>
    </row>
    <row r="9042" spans="2:2" ht="15.95" customHeight="1">
      <c r="B9042" s="37"/>
    </row>
    <row r="9043" spans="2:2" ht="15.95" customHeight="1">
      <c r="B9043" s="37"/>
    </row>
    <row r="9044" spans="2:2" ht="15.95" customHeight="1">
      <c r="B9044" s="37"/>
    </row>
    <row r="9045" spans="2:2" ht="15.95" customHeight="1">
      <c r="B9045" s="37"/>
    </row>
    <row r="9046" spans="2:2" ht="15.95" customHeight="1">
      <c r="B9046" s="37"/>
    </row>
    <row r="9047" spans="2:2" ht="15.95" customHeight="1">
      <c r="B9047" s="37"/>
    </row>
    <row r="9048" spans="2:2" ht="15.95" customHeight="1">
      <c r="B9048" s="37"/>
    </row>
    <row r="9049" spans="2:2" ht="15.95" customHeight="1">
      <c r="B9049" s="37"/>
    </row>
    <row r="9050" spans="2:2" ht="15.95" customHeight="1">
      <c r="B9050" s="37"/>
    </row>
    <row r="9051" spans="2:2" ht="15.95" customHeight="1">
      <c r="B9051" s="37"/>
    </row>
    <row r="9052" spans="2:2" ht="15.95" customHeight="1">
      <c r="B9052" s="37"/>
    </row>
    <row r="9053" spans="2:2" ht="15.95" customHeight="1">
      <c r="B9053" s="37"/>
    </row>
    <row r="9054" spans="2:2" ht="15.95" customHeight="1">
      <c r="B9054" s="37"/>
    </row>
    <row r="9055" spans="2:2" ht="15.95" customHeight="1">
      <c r="B9055" s="37"/>
    </row>
    <row r="9056" spans="2:2" ht="15.95" customHeight="1">
      <c r="B9056" s="37"/>
    </row>
    <row r="9057" spans="2:2" ht="15.95" customHeight="1">
      <c r="B9057" s="37"/>
    </row>
    <row r="9058" spans="2:2" ht="15.95" customHeight="1">
      <c r="B9058" s="37"/>
    </row>
    <row r="9059" spans="2:2" ht="15.95" customHeight="1">
      <c r="B9059" s="37"/>
    </row>
    <row r="9060" spans="2:2" ht="15.95" customHeight="1">
      <c r="B9060" s="37"/>
    </row>
    <row r="9061" spans="2:2" ht="15.95" customHeight="1">
      <c r="B9061" s="37"/>
    </row>
    <row r="9062" spans="2:2" ht="15.95" customHeight="1">
      <c r="B9062" s="37"/>
    </row>
    <row r="9063" spans="2:2" ht="15.95" customHeight="1">
      <c r="B9063" s="37"/>
    </row>
    <row r="9064" spans="2:2" ht="15.95" customHeight="1">
      <c r="B9064" s="37"/>
    </row>
    <row r="9065" spans="2:2" ht="15.95" customHeight="1">
      <c r="B9065" s="37"/>
    </row>
    <row r="9066" spans="2:2" ht="15.95" customHeight="1">
      <c r="B9066" s="37"/>
    </row>
    <row r="9067" spans="2:2" ht="15.95" customHeight="1">
      <c r="B9067" s="37"/>
    </row>
    <row r="9068" spans="2:2" ht="15.95" customHeight="1">
      <c r="B9068" s="37"/>
    </row>
    <row r="9069" spans="2:2" ht="15.95" customHeight="1">
      <c r="B9069" s="37"/>
    </row>
    <row r="9070" spans="2:2" ht="15.95" customHeight="1">
      <c r="B9070" s="37"/>
    </row>
    <row r="9071" spans="2:2" ht="15.95" customHeight="1">
      <c r="B9071" s="37"/>
    </row>
    <row r="9072" spans="2:2" ht="15.95" customHeight="1">
      <c r="B9072" s="37"/>
    </row>
    <row r="9073" spans="2:2" ht="15.95" customHeight="1">
      <c r="B9073" s="37"/>
    </row>
    <row r="9074" spans="2:2" ht="15.95" customHeight="1">
      <c r="B9074" s="37"/>
    </row>
    <row r="9075" spans="2:2" ht="15.95" customHeight="1">
      <c r="B9075" s="37"/>
    </row>
    <row r="9076" spans="2:2" ht="15.95" customHeight="1">
      <c r="B9076" s="37"/>
    </row>
    <row r="9077" spans="2:2" ht="15.95" customHeight="1">
      <c r="B9077" s="37"/>
    </row>
    <row r="9078" spans="2:2" ht="15.95" customHeight="1">
      <c r="B9078" s="37"/>
    </row>
    <row r="9079" spans="2:2" ht="15.95" customHeight="1">
      <c r="B9079" s="37"/>
    </row>
    <row r="9080" spans="2:2" ht="15.95" customHeight="1">
      <c r="B9080" s="37"/>
    </row>
    <row r="9081" spans="2:2" ht="15.95" customHeight="1">
      <c r="B9081" s="37"/>
    </row>
    <row r="9082" spans="2:2" ht="15.95" customHeight="1">
      <c r="B9082" s="37"/>
    </row>
    <row r="9083" spans="2:2" ht="15.95" customHeight="1">
      <c r="B9083" s="37"/>
    </row>
    <row r="9084" spans="2:2" ht="15.95" customHeight="1">
      <c r="B9084" s="37"/>
    </row>
    <row r="9085" spans="2:2" ht="15.95" customHeight="1">
      <c r="B9085" s="37"/>
    </row>
    <row r="9086" spans="2:2" ht="15.95" customHeight="1">
      <c r="B9086" s="37"/>
    </row>
    <row r="9087" spans="2:2" ht="15.95" customHeight="1">
      <c r="B9087" s="37"/>
    </row>
    <row r="9088" spans="2:2" ht="15.95" customHeight="1">
      <c r="B9088" s="37"/>
    </row>
    <row r="9089" spans="2:2" ht="15.95" customHeight="1">
      <c r="B9089" s="37"/>
    </row>
    <row r="9090" spans="2:2" ht="15.95" customHeight="1">
      <c r="B9090" s="37"/>
    </row>
    <row r="9091" spans="2:2" ht="15.95" customHeight="1">
      <c r="B9091" s="37"/>
    </row>
    <row r="9092" spans="2:2" ht="15.95" customHeight="1">
      <c r="B9092" s="37"/>
    </row>
    <row r="9093" spans="2:2" ht="15.95" customHeight="1">
      <c r="B9093" s="37"/>
    </row>
    <row r="9094" spans="2:2" ht="15.95" customHeight="1">
      <c r="B9094" s="37"/>
    </row>
    <row r="9095" spans="2:2" ht="15.95" customHeight="1">
      <c r="B9095" s="37"/>
    </row>
    <row r="9096" spans="2:2" ht="15.95" customHeight="1">
      <c r="B9096" s="37"/>
    </row>
    <row r="9097" spans="2:2" ht="15.95" customHeight="1">
      <c r="B9097" s="37"/>
    </row>
    <row r="9098" spans="2:2" ht="15.95" customHeight="1">
      <c r="B9098" s="37"/>
    </row>
    <row r="9099" spans="2:2" ht="15.95" customHeight="1">
      <c r="B9099" s="37"/>
    </row>
    <row r="9100" spans="2:2" ht="15.95" customHeight="1">
      <c r="B9100" s="37"/>
    </row>
    <row r="9101" spans="2:2" ht="15.95" customHeight="1">
      <c r="B9101" s="37"/>
    </row>
    <row r="9102" spans="2:2" ht="15.95" customHeight="1">
      <c r="B9102" s="37"/>
    </row>
    <row r="9103" spans="2:2" ht="15.95" customHeight="1">
      <c r="B9103" s="37"/>
    </row>
    <row r="9104" spans="2:2" ht="15.95" customHeight="1">
      <c r="B9104" s="37"/>
    </row>
    <row r="9105" spans="2:2" ht="15.95" customHeight="1">
      <c r="B9105" s="37"/>
    </row>
    <row r="9106" spans="2:2" ht="15.95" customHeight="1">
      <c r="B9106" s="37"/>
    </row>
    <row r="9107" spans="2:2" ht="15.95" customHeight="1">
      <c r="B9107" s="37"/>
    </row>
    <row r="9108" spans="2:2" ht="15.95" customHeight="1">
      <c r="B9108" s="37"/>
    </row>
    <row r="9109" spans="2:2" ht="15.95" customHeight="1">
      <c r="B9109" s="37"/>
    </row>
    <row r="9110" spans="2:2" ht="15.95" customHeight="1">
      <c r="B9110" s="37"/>
    </row>
    <row r="9111" spans="2:2" ht="15.95" customHeight="1">
      <c r="B9111" s="37"/>
    </row>
    <row r="9112" spans="2:2" ht="15.95" customHeight="1">
      <c r="B9112" s="37"/>
    </row>
    <row r="9113" spans="2:2" ht="15.95" customHeight="1">
      <c r="B9113" s="37"/>
    </row>
    <row r="9114" spans="2:2" ht="15.95" customHeight="1">
      <c r="B9114" s="37"/>
    </row>
    <row r="9115" spans="2:2" ht="15.95" customHeight="1">
      <c r="B9115" s="37"/>
    </row>
    <row r="9116" spans="2:2" ht="15.95" customHeight="1">
      <c r="B9116" s="37"/>
    </row>
    <row r="9117" spans="2:2" ht="15.95" customHeight="1">
      <c r="B9117" s="37"/>
    </row>
    <row r="9118" spans="2:2" ht="15.95" customHeight="1">
      <c r="B9118" s="37"/>
    </row>
    <row r="9119" spans="2:2" ht="15.95" customHeight="1">
      <c r="B9119" s="37"/>
    </row>
    <row r="9120" spans="2:2" ht="15.95" customHeight="1">
      <c r="B9120" s="37"/>
    </row>
    <row r="9121" spans="2:2" ht="15.95" customHeight="1">
      <c r="B9121" s="37"/>
    </row>
    <row r="9122" spans="2:2" ht="15.95" customHeight="1">
      <c r="B9122" s="37"/>
    </row>
    <row r="9123" spans="2:2" ht="15.95" customHeight="1">
      <c r="B9123" s="37"/>
    </row>
    <row r="9124" spans="2:2" ht="15.95" customHeight="1">
      <c r="B9124" s="37"/>
    </row>
    <row r="9125" spans="2:2" ht="15.95" customHeight="1">
      <c r="B9125" s="37"/>
    </row>
    <row r="9126" spans="2:2" ht="15.95" customHeight="1">
      <c r="B9126" s="37"/>
    </row>
    <row r="9127" spans="2:2" ht="15.95" customHeight="1">
      <c r="B9127" s="37"/>
    </row>
    <row r="9128" spans="2:2" ht="15.95" customHeight="1">
      <c r="B9128" s="37"/>
    </row>
    <row r="9129" spans="2:2" ht="15.95" customHeight="1">
      <c r="B9129" s="37"/>
    </row>
    <row r="9130" spans="2:2" ht="15.95" customHeight="1">
      <c r="B9130" s="37"/>
    </row>
    <row r="9131" spans="2:2" ht="15.95" customHeight="1">
      <c r="B9131" s="37"/>
    </row>
    <row r="9132" spans="2:2" ht="15.95" customHeight="1">
      <c r="B9132" s="37"/>
    </row>
    <row r="9133" spans="2:2" ht="15.95" customHeight="1">
      <c r="B9133" s="37"/>
    </row>
    <row r="9134" spans="2:2" ht="15.95" customHeight="1">
      <c r="B9134" s="37"/>
    </row>
    <row r="9135" spans="2:2" ht="15.95" customHeight="1">
      <c r="B9135" s="37"/>
    </row>
    <row r="9136" spans="2:2" ht="15.95" customHeight="1">
      <c r="B9136" s="37"/>
    </row>
    <row r="9137" spans="2:2" ht="15.95" customHeight="1">
      <c r="B9137" s="37"/>
    </row>
    <row r="9138" spans="2:2" ht="15.95" customHeight="1">
      <c r="B9138" s="37"/>
    </row>
    <row r="9139" spans="2:2" ht="15.95" customHeight="1">
      <c r="B9139" s="37"/>
    </row>
    <row r="9140" spans="2:2" ht="15.95" customHeight="1">
      <c r="B9140" s="37"/>
    </row>
    <row r="9141" spans="2:2" ht="15.95" customHeight="1">
      <c r="B9141" s="37"/>
    </row>
    <row r="9142" spans="2:2" ht="15.95" customHeight="1">
      <c r="B9142" s="37"/>
    </row>
    <row r="9143" spans="2:2" ht="15.95" customHeight="1">
      <c r="B9143" s="37"/>
    </row>
    <row r="9144" spans="2:2" ht="15.95" customHeight="1">
      <c r="B9144" s="37"/>
    </row>
    <row r="9145" spans="2:2" ht="15.95" customHeight="1">
      <c r="B9145" s="37"/>
    </row>
    <row r="9146" spans="2:2" ht="15.95" customHeight="1">
      <c r="B9146" s="37"/>
    </row>
    <row r="9147" spans="2:2" ht="15.95" customHeight="1">
      <c r="B9147" s="37"/>
    </row>
    <row r="9148" spans="2:2" ht="15.95" customHeight="1">
      <c r="B9148" s="37"/>
    </row>
    <row r="9149" spans="2:2" ht="15.95" customHeight="1">
      <c r="B9149" s="37"/>
    </row>
    <row r="9150" spans="2:2" ht="15.95" customHeight="1">
      <c r="B9150" s="37"/>
    </row>
    <row r="9151" spans="2:2" ht="15.95" customHeight="1">
      <c r="B9151" s="37"/>
    </row>
    <row r="9152" spans="2:2" ht="15.95" customHeight="1">
      <c r="B9152" s="37"/>
    </row>
    <row r="9153" spans="2:2" ht="15.95" customHeight="1">
      <c r="B9153" s="37"/>
    </row>
    <row r="9154" spans="2:2" ht="15.95" customHeight="1">
      <c r="B9154" s="37"/>
    </row>
    <row r="9155" spans="2:2" ht="15.95" customHeight="1">
      <c r="B9155" s="37"/>
    </row>
    <row r="9156" spans="2:2" ht="15.95" customHeight="1">
      <c r="B9156" s="37"/>
    </row>
    <row r="9157" spans="2:2" ht="15.95" customHeight="1">
      <c r="B9157" s="37"/>
    </row>
    <row r="9158" spans="2:2" ht="15.95" customHeight="1">
      <c r="B9158" s="37"/>
    </row>
    <row r="9159" spans="2:2" ht="15.95" customHeight="1">
      <c r="B9159" s="37"/>
    </row>
    <row r="9160" spans="2:2" ht="15.95" customHeight="1">
      <c r="B9160" s="37"/>
    </row>
    <row r="9161" spans="2:2" ht="15.95" customHeight="1">
      <c r="B9161" s="37"/>
    </row>
    <row r="9162" spans="2:2" ht="15.95" customHeight="1">
      <c r="B9162" s="37"/>
    </row>
    <row r="9163" spans="2:2" ht="15.95" customHeight="1">
      <c r="B9163" s="37"/>
    </row>
    <row r="9164" spans="2:2" ht="15.95" customHeight="1">
      <c r="B9164" s="37"/>
    </row>
    <row r="9165" spans="2:2" ht="15.95" customHeight="1">
      <c r="B9165" s="37"/>
    </row>
    <row r="9166" spans="2:2" ht="15.95" customHeight="1">
      <c r="B9166" s="37"/>
    </row>
    <row r="9167" spans="2:2" ht="15.95" customHeight="1">
      <c r="B9167" s="37"/>
    </row>
    <row r="9168" spans="2:2" ht="15.95" customHeight="1">
      <c r="B9168" s="37"/>
    </row>
    <row r="9169" spans="2:2" ht="15.95" customHeight="1">
      <c r="B9169" s="37"/>
    </row>
    <row r="9170" spans="2:2" ht="15.95" customHeight="1">
      <c r="B9170" s="37"/>
    </row>
    <row r="9171" spans="2:2" ht="15.95" customHeight="1">
      <c r="B9171" s="37"/>
    </row>
    <row r="9172" spans="2:2" ht="15.95" customHeight="1">
      <c r="B9172" s="37"/>
    </row>
    <row r="9173" spans="2:2" ht="15.95" customHeight="1">
      <c r="B9173" s="37"/>
    </row>
    <row r="9174" spans="2:2" ht="15.95" customHeight="1">
      <c r="B9174" s="37"/>
    </row>
    <row r="9175" spans="2:2" ht="15.95" customHeight="1">
      <c r="B9175" s="37"/>
    </row>
    <row r="9176" spans="2:2" ht="15.95" customHeight="1">
      <c r="B9176" s="37"/>
    </row>
    <row r="9177" spans="2:2" ht="15.95" customHeight="1">
      <c r="B9177" s="37"/>
    </row>
    <row r="9178" spans="2:2" ht="15.95" customHeight="1">
      <c r="B9178" s="37"/>
    </row>
    <row r="9179" spans="2:2" ht="15.95" customHeight="1">
      <c r="B9179" s="37"/>
    </row>
    <row r="9180" spans="2:2" ht="15.95" customHeight="1">
      <c r="B9180" s="37"/>
    </row>
    <row r="9181" spans="2:2" ht="15.95" customHeight="1">
      <c r="B9181" s="37"/>
    </row>
    <row r="9182" spans="2:2" ht="15.95" customHeight="1">
      <c r="B9182" s="37"/>
    </row>
    <row r="9183" spans="2:2" ht="15.95" customHeight="1">
      <c r="B9183" s="37"/>
    </row>
    <row r="9184" spans="2:2" ht="15.95" customHeight="1">
      <c r="B9184" s="37"/>
    </row>
    <row r="9185" spans="2:2" ht="15.95" customHeight="1">
      <c r="B9185" s="37"/>
    </row>
    <row r="9186" spans="2:2" ht="15.95" customHeight="1">
      <c r="B9186" s="37"/>
    </row>
    <row r="9187" spans="2:2" ht="15.95" customHeight="1">
      <c r="B9187" s="37"/>
    </row>
    <row r="9188" spans="2:2" ht="15.95" customHeight="1">
      <c r="B9188" s="37"/>
    </row>
    <row r="9189" spans="2:2" ht="15.95" customHeight="1">
      <c r="B9189" s="37"/>
    </row>
    <row r="9190" spans="2:2" ht="15.95" customHeight="1">
      <c r="B9190" s="37"/>
    </row>
    <row r="9191" spans="2:2" ht="15.95" customHeight="1">
      <c r="B9191" s="37"/>
    </row>
    <row r="9192" spans="2:2" ht="15.95" customHeight="1">
      <c r="B9192" s="37"/>
    </row>
    <row r="9193" spans="2:2" ht="15.95" customHeight="1">
      <c r="B9193" s="37"/>
    </row>
    <row r="9194" spans="2:2" ht="15.95" customHeight="1">
      <c r="B9194" s="37"/>
    </row>
    <row r="9195" spans="2:2" ht="15.95" customHeight="1">
      <c r="B9195" s="37"/>
    </row>
    <row r="9196" spans="2:2" ht="15.95" customHeight="1">
      <c r="B9196" s="37"/>
    </row>
    <row r="9197" spans="2:2" ht="15.95" customHeight="1">
      <c r="B9197" s="37"/>
    </row>
    <row r="9198" spans="2:2" ht="15.95" customHeight="1">
      <c r="B9198" s="37"/>
    </row>
    <row r="9199" spans="2:2" ht="15.95" customHeight="1">
      <c r="B9199" s="37"/>
    </row>
    <row r="9200" spans="2:2" ht="15.95" customHeight="1">
      <c r="B9200" s="37"/>
    </row>
    <row r="9201" spans="2:2" ht="15.95" customHeight="1">
      <c r="B9201" s="37"/>
    </row>
    <row r="9202" spans="2:2" ht="15.95" customHeight="1">
      <c r="B9202" s="37"/>
    </row>
    <row r="9203" spans="2:2" ht="15.95" customHeight="1">
      <c r="B9203" s="37"/>
    </row>
    <row r="9204" spans="2:2" ht="15.95" customHeight="1">
      <c r="B9204" s="37"/>
    </row>
    <row r="9205" spans="2:2" ht="15.95" customHeight="1">
      <c r="B9205" s="37"/>
    </row>
    <row r="9206" spans="2:2" ht="15.95" customHeight="1">
      <c r="B9206" s="37"/>
    </row>
    <row r="9207" spans="2:2" ht="15.95" customHeight="1">
      <c r="B9207" s="37"/>
    </row>
    <row r="9208" spans="2:2" ht="15.95" customHeight="1">
      <c r="B9208" s="37"/>
    </row>
    <row r="9209" spans="2:2" ht="15.95" customHeight="1">
      <c r="B9209" s="37"/>
    </row>
    <row r="9210" spans="2:2" ht="15.95" customHeight="1">
      <c r="B9210" s="37"/>
    </row>
    <row r="9211" spans="2:2" ht="15.95" customHeight="1">
      <c r="B9211" s="37"/>
    </row>
    <row r="9212" spans="2:2" ht="15.95" customHeight="1">
      <c r="B9212" s="37"/>
    </row>
    <row r="9213" spans="2:2" ht="15.95" customHeight="1">
      <c r="B9213" s="37"/>
    </row>
    <row r="9214" spans="2:2" ht="15.95" customHeight="1">
      <c r="B9214" s="37"/>
    </row>
    <row r="9215" spans="2:2" ht="15.95" customHeight="1">
      <c r="B9215" s="37"/>
    </row>
    <row r="9216" spans="2:2" ht="15.95" customHeight="1">
      <c r="B9216" s="37"/>
    </row>
    <row r="9217" spans="2:2" ht="15.95" customHeight="1">
      <c r="B9217" s="37"/>
    </row>
    <row r="9218" spans="2:2" ht="15.95" customHeight="1">
      <c r="B9218" s="37"/>
    </row>
    <row r="9219" spans="2:2" ht="15.95" customHeight="1">
      <c r="B9219" s="37"/>
    </row>
    <row r="9220" spans="2:2" ht="15.95" customHeight="1">
      <c r="B9220" s="37"/>
    </row>
    <row r="9221" spans="2:2" ht="15.95" customHeight="1">
      <c r="B9221" s="37"/>
    </row>
    <row r="9222" spans="2:2" ht="15.95" customHeight="1">
      <c r="B9222" s="37"/>
    </row>
    <row r="9223" spans="2:2" ht="15.95" customHeight="1">
      <c r="B9223" s="37"/>
    </row>
    <row r="9224" spans="2:2" ht="15.95" customHeight="1">
      <c r="B9224" s="37"/>
    </row>
    <row r="9225" spans="2:2" ht="15.95" customHeight="1">
      <c r="B9225" s="37"/>
    </row>
    <row r="9226" spans="2:2" ht="15.95" customHeight="1">
      <c r="B9226" s="37"/>
    </row>
    <row r="9227" spans="2:2" ht="15.95" customHeight="1">
      <c r="B9227" s="37"/>
    </row>
    <row r="9228" spans="2:2" ht="15.95" customHeight="1">
      <c r="B9228" s="37"/>
    </row>
    <row r="9229" spans="2:2" ht="15.95" customHeight="1">
      <c r="B9229" s="37"/>
    </row>
    <row r="9230" spans="2:2" ht="15.95" customHeight="1">
      <c r="B9230" s="37"/>
    </row>
    <row r="9231" spans="2:2" ht="15.95" customHeight="1">
      <c r="B9231" s="37"/>
    </row>
    <row r="9232" spans="2:2" ht="15.95" customHeight="1">
      <c r="B9232" s="37"/>
    </row>
    <row r="9233" spans="2:2" ht="15.95" customHeight="1">
      <c r="B9233" s="37"/>
    </row>
    <row r="9234" spans="2:2" ht="15.95" customHeight="1">
      <c r="B9234" s="37"/>
    </row>
    <row r="9235" spans="2:2" ht="15.95" customHeight="1">
      <c r="B9235" s="37"/>
    </row>
    <row r="9236" spans="2:2" ht="15.95" customHeight="1">
      <c r="B9236" s="37"/>
    </row>
    <row r="9237" spans="2:2" ht="15.95" customHeight="1">
      <c r="B9237" s="37"/>
    </row>
    <row r="9238" spans="2:2" ht="15.95" customHeight="1">
      <c r="B9238" s="37"/>
    </row>
    <row r="9239" spans="2:2" ht="15.95" customHeight="1">
      <c r="B9239" s="37"/>
    </row>
    <row r="9240" spans="2:2" ht="15.95" customHeight="1">
      <c r="B9240" s="37"/>
    </row>
    <row r="9241" spans="2:2" ht="15.95" customHeight="1">
      <c r="B9241" s="37"/>
    </row>
    <row r="9242" spans="2:2" ht="15.95" customHeight="1">
      <c r="B9242" s="37"/>
    </row>
    <row r="9243" spans="2:2" ht="15.95" customHeight="1">
      <c r="B9243" s="37"/>
    </row>
    <row r="9244" spans="2:2" ht="15.95" customHeight="1">
      <c r="B9244" s="37"/>
    </row>
    <row r="9245" spans="2:2" ht="15.95" customHeight="1">
      <c r="B9245" s="37"/>
    </row>
    <row r="9246" spans="2:2" ht="15.95" customHeight="1">
      <c r="B9246" s="37"/>
    </row>
    <row r="9247" spans="2:2" ht="15.95" customHeight="1">
      <c r="B9247" s="37"/>
    </row>
    <row r="9248" spans="2:2" ht="15.95" customHeight="1">
      <c r="B9248" s="37"/>
    </row>
    <row r="9249" spans="2:2" ht="15.95" customHeight="1">
      <c r="B9249" s="37"/>
    </row>
    <row r="9250" spans="2:2" ht="15.95" customHeight="1">
      <c r="B9250" s="37"/>
    </row>
    <row r="9251" spans="2:2" ht="15.95" customHeight="1">
      <c r="B9251" s="37"/>
    </row>
    <row r="9252" spans="2:2" ht="15.95" customHeight="1">
      <c r="B9252" s="37"/>
    </row>
    <row r="9253" spans="2:2" ht="15.95" customHeight="1">
      <c r="B9253" s="37"/>
    </row>
    <row r="9254" spans="2:2" ht="15.95" customHeight="1">
      <c r="B9254" s="37"/>
    </row>
    <row r="9255" spans="2:2" ht="15.95" customHeight="1">
      <c r="B9255" s="37"/>
    </row>
    <row r="9256" spans="2:2" ht="15.95" customHeight="1">
      <c r="B9256" s="37"/>
    </row>
    <row r="9257" spans="2:2" ht="15.95" customHeight="1">
      <c r="B9257" s="37"/>
    </row>
    <row r="9258" spans="2:2" ht="15.95" customHeight="1">
      <c r="B9258" s="37"/>
    </row>
    <row r="9259" spans="2:2" ht="15.95" customHeight="1">
      <c r="B9259" s="37"/>
    </row>
    <row r="9260" spans="2:2" ht="15.95" customHeight="1">
      <c r="B9260" s="37"/>
    </row>
    <row r="9261" spans="2:2" ht="15.95" customHeight="1">
      <c r="B9261" s="37"/>
    </row>
    <row r="9262" spans="2:2" ht="15.95" customHeight="1">
      <c r="B9262" s="37"/>
    </row>
    <row r="9263" spans="2:2" ht="15.95" customHeight="1">
      <c r="B9263" s="37"/>
    </row>
    <row r="9264" spans="2:2" ht="15.95" customHeight="1">
      <c r="B9264" s="37"/>
    </row>
    <row r="9265" spans="2:2" ht="15.95" customHeight="1">
      <c r="B9265" s="37"/>
    </row>
    <row r="9266" spans="2:2" ht="15.95" customHeight="1">
      <c r="B9266" s="37"/>
    </row>
    <row r="9267" spans="2:2" ht="15.95" customHeight="1">
      <c r="B9267" s="37"/>
    </row>
    <row r="9268" spans="2:2" ht="15.95" customHeight="1">
      <c r="B9268" s="37"/>
    </row>
    <row r="9269" spans="2:2" ht="15.95" customHeight="1">
      <c r="B9269" s="37"/>
    </row>
    <row r="9270" spans="2:2" ht="15.95" customHeight="1">
      <c r="B9270" s="37"/>
    </row>
    <row r="9271" spans="2:2" ht="15.95" customHeight="1">
      <c r="B9271" s="37"/>
    </row>
    <row r="9272" spans="2:2" ht="15.95" customHeight="1">
      <c r="B9272" s="37"/>
    </row>
    <row r="9273" spans="2:2" ht="15.95" customHeight="1">
      <c r="B9273" s="37"/>
    </row>
    <row r="9274" spans="2:2" ht="15.95" customHeight="1">
      <c r="B9274" s="37"/>
    </row>
    <row r="9275" spans="2:2" ht="15.95" customHeight="1">
      <c r="B9275" s="37"/>
    </row>
    <row r="9276" spans="2:2" ht="15.95" customHeight="1">
      <c r="B9276" s="37"/>
    </row>
    <row r="9277" spans="2:2" ht="15.95" customHeight="1">
      <c r="B9277" s="37"/>
    </row>
    <row r="9278" spans="2:2" ht="15.95" customHeight="1">
      <c r="B9278" s="37"/>
    </row>
    <row r="9279" spans="2:2" ht="15.95" customHeight="1">
      <c r="B9279" s="37"/>
    </row>
    <row r="9280" spans="2:2" ht="15.95" customHeight="1">
      <c r="B9280" s="37"/>
    </row>
    <row r="9281" spans="2:2" ht="15.95" customHeight="1">
      <c r="B9281" s="37"/>
    </row>
    <row r="9282" spans="2:2" ht="15.95" customHeight="1">
      <c r="B9282" s="37"/>
    </row>
    <row r="9283" spans="2:2" ht="15.95" customHeight="1">
      <c r="B9283" s="37"/>
    </row>
    <row r="9284" spans="2:2" ht="15.95" customHeight="1">
      <c r="B9284" s="37"/>
    </row>
    <row r="9285" spans="2:2" ht="15.95" customHeight="1">
      <c r="B9285" s="37"/>
    </row>
    <row r="9286" spans="2:2" ht="15.95" customHeight="1">
      <c r="B9286" s="37"/>
    </row>
    <row r="9287" spans="2:2" ht="15.95" customHeight="1">
      <c r="B9287" s="37"/>
    </row>
    <row r="9288" spans="2:2" ht="15.95" customHeight="1">
      <c r="B9288" s="37"/>
    </row>
    <row r="9289" spans="2:2" ht="15.95" customHeight="1">
      <c r="B9289" s="37"/>
    </row>
    <row r="9290" spans="2:2" ht="15.95" customHeight="1">
      <c r="B9290" s="37"/>
    </row>
    <row r="9291" spans="2:2" ht="15.95" customHeight="1">
      <c r="B9291" s="37"/>
    </row>
    <row r="9292" spans="2:2" ht="15.95" customHeight="1">
      <c r="B9292" s="37"/>
    </row>
    <row r="9293" spans="2:2" ht="15.95" customHeight="1">
      <c r="B9293" s="37"/>
    </row>
    <row r="9294" spans="2:2" ht="15.95" customHeight="1">
      <c r="B9294" s="37"/>
    </row>
    <row r="9295" spans="2:2" ht="15.95" customHeight="1">
      <c r="B9295" s="37"/>
    </row>
    <row r="9296" spans="2:2" ht="15.95" customHeight="1">
      <c r="B9296" s="37"/>
    </row>
    <row r="9297" spans="2:2" ht="15.95" customHeight="1">
      <c r="B9297" s="37"/>
    </row>
    <row r="9298" spans="2:2" ht="15.95" customHeight="1">
      <c r="B9298" s="37"/>
    </row>
    <row r="9299" spans="2:2" ht="15.95" customHeight="1">
      <c r="B9299" s="37"/>
    </row>
    <row r="9300" spans="2:2" ht="15.95" customHeight="1">
      <c r="B9300" s="37"/>
    </row>
    <row r="9301" spans="2:2" ht="15.95" customHeight="1">
      <c r="B9301" s="37"/>
    </row>
    <row r="9302" spans="2:2" ht="15.95" customHeight="1">
      <c r="B9302" s="37"/>
    </row>
    <row r="9303" spans="2:2" ht="15.95" customHeight="1">
      <c r="B9303" s="37"/>
    </row>
    <row r="9304" spans="2:2" ht="15.95" customHeight="1">
      <c r="B9304" s="37"/>
    </row>
    <row r="9305" spans="2:2" ht="15.95" customHeight="1">
      <c r="B9305" s="37"/>
    </row>
    <row r="9306" spans="2:2" ht="15.95" customHeight="1">
      <c r="B9306" s="37"/>
    </row>
    <row r="9307" spans="2:2" ht="15.95" customHeight="1">
      <c r="B9307" s="37"/>
    </row>
    <row r="9308" spans="2:2" ht="15.95" customHeight="1">
      <c r="B9308" s="37"/>
    </row>
    <row r="9309" spans="2:2" ht="15.95" customHeight="1">
      <c r="B9309" s="37"/>
    </row>
    <row r="9310" spans="2:2" ht="15.95" customHeight="1">
      <c r="B9310" s="37"/>
    </row>
    <row r="9311" spans="2:2" ht="15.95" customHeight="1">
      <c r="B9311" s="37"/>
    </row>
    <row r="9312" spans="2:2" ht="15.95" customHeight="1">
      <c r="B9312" s="37"/>
    </row>
    <row r="9313" spans="2:2" ht="15.95" customHeight="1">
      <c r="B9313" s="37"/>
    </row>
    <row r="9314" spans="2:2" ht="15.95" customHeight="1">
      <c r="B9314" s="37"/>
    </row>
    <row r="9315" spans="2:2" ht="15.95" customHeight="1">
      <c r="B9315" s="37"/>
    </row>
    <row r="9316" spans="2:2" ht="15.95" customHeight="1">
      <c r="B9316" s="37"/>
    </row>
    <row r="9317" spans="2:2" ht="15.95" customHeight="1">
      <c r="B9317" s="37"/>
    </row>
    <row r="9318" spans="2:2" ht="15.95" customHeight="1">
      <c r="B9318" s="37"/>
    </row>
    <row r="9319" spans="2:2" ht="15.95" customHeight="1">
      <c r="B9319" s="37"/>
    </row>
    <row r="9320" spans="2:2" ht="15.95" customHeight="1">
      <c r="B9320" s="37"/>
    </row>
    <row r="9321" spans="2:2" ht="15.95" customHeight="1">
      <c r="B9321" s="37"/>
    </row>
    <row r="9322" spans="2:2" ht="15.95" customHeight="1">
      <c r="B9322" s="37"/>
    </row>
    <row r="9323" spans="2:2" ht="15.95" customHeight="1">
      <c r="B9323" s="37"/>
    </row>
    <row r="9324" spans="2:2" ht="15.95" customHeight="1">
      <c r="B9324" s="37"/>
    </row>
    <row r="9325" spans="2:2" ht="15.95" customHeight="1">
      <c r="B9325" s="37"/>
    </row>
    <row r="9326" spans="2:2" ht="15.95" customHeight="1">
      <c r="B9326" s="37"/>
    </row>
    <row r="9327" spans="2:2" ht="15.95" customHeight="1">
      <c r="B9327" s="37"/>
    </row>
    <row r="9328" spans="2:2" ht="15.95" customHeight="1">
      <c r="B9328" s="37"/>
    </row>
    <row r="9329" spans="2:2" ht="15.95" customHeight="1">
      <c r="B9329" s="37"/>
    </row>
    <row r="9330" spans="2:2" ht="15.95" customHeight="1">
      <c r="B9330" s="37"/>
    </row>
    <row r="9331" spans="2:2" ht="15.95" customHeight="1">
      <c r="B9331" s="37"/>
    </row>
    <row r="9332" spans="2:2" ht="15.95" customHeight="1">
      <c r="B9332" s="37"/>
    </row>
    <row r="9333" spans="2:2" ht="15.95" customHeight="1">
      <c r="B9333" s="37"/>
    </row>
    <row r="9334" spans="2:2" ht="15.95" customHeight="1">
      <c r="B9334" s="37"/>
    </row>
    <row r="9335" spans="2:2" ht="15.95" customHeight="1">
      <c r="B9335" s="37"/>
    </row>
    <row r="9336" spans="2:2" ht="15.95" customHeight="1">
      <c r="B9336" s="37"/>
    </row>
    <row r="9337" spans="2:2" ht="15.95" customHeight="1">
      <c r="B9337" s="37"/>
    </row>
    <row r="9338" spans="2:2" ht="15.95" customHeight="1">
      <c r="B9338" s="37"/>
    </row>
    <row r="9339" spans="2:2" ht="15.95" customHeight="1">
      <c r="B9339" s="37"/>
    </row>
    <row r="9340" spans="2:2" ht="15.95" customHeight="1">
      <c r="B9340" s="37"/>
    </row>
    <row r="9341" spans="2:2" ht="15.95" customHeight="1">
      <c r="B9341" s="37"/>
    </row>
    <row r="9342" spans="2:2" ht="15.95" customHeight="1">
      <c r="B9342" s="37"/>
    </row>
    <row r="9343" spans="2:2" ht="15.95" customHeight="1">
      <c r="B9343" s="37"/>
    </row>
    <row r="9344" spans="2:2" ht="15.95" customHeight="1">
      <c r="B9344" s="37"/>
    </row>
    <row r="9345" spans="2:2" ht="15.95" customHeight="1">
      <c r="B9345" s="37"/>
    </row>
    <row r="9346" spans="2:2" ht="15.95" customHeight="1">
      <c r="B9346" s="37"/>
    </row>
    <row r="9347" spans="2:2" ht="15.95" customHeight="1">
      <c r="B9347" s="37"/>
    </row>
    <row r="9348" spans="2:2" ht="15.95" customHeight="1">
      <c r="B9348" s="37"/>
    </row>
    <row r="9349" spans="2:2" ht="15.95" customHeight="1">
      <c r="B9349" s="37"/>
    </row>
    <row r="9350" spans="2:2" ht="15.95" customHeight="1">
      <c r="B9350" s="37"/>
    </row>
    <row r="9351" spans="2:2" ht="15.95" customHeight="1">
      <c r="B9351" s="37"/>
    </row>
    <row r="9352" spans="2:2" ht="15.95" customHeight="1">
      <c r="B9352" s="37"/>
    </row>
    <row r="9353" spans="2:2" ht="15.95" customHeight="1">
      <c r="B9353" s="37"/>
    </row>
    <row r="9354" spans="2:2" ht="15.95" customHeight="1">
      <c r="B9354" s="37"/>
    </row>
    <row r="9355" spans="2:2" ht="15.95" customHeight="1">
      <c r="B9355" s="37"/>
    </row>
    <row r="9356" spans="2:2" ht="15.95" customHeight="1">
      <c r="B9356" s="37"/>
    </row>
    <row r="9357" spans="2:2" ht="15.95" customHeight="1">
      <c r="B9357" s="37"/>
    </row>
    <row r="9358" spans="2:2" ht="15.95" customHeight="1">
      <c r="B9358" s="37"/>
    </row>
    <row r="9359" spans="2:2" ht="15.95" customHeight="1">
      <c r="B9359" s="37"/>
    </row>
    <row r="9360" spans="2:2" ht="15.95" customHeight="1">
      <c r="B9360" s="37"/>
    </row>
    <row r="9361" spans="2:2" ht="15.95" customHeight="1">
      <c r="B9361" s="37"/>
    </row>
    <row r="9362" spans="2:2" ht="15.95" customHeight="1">
      <c r="B9362" s="37"/>
    </row>
    <row r="9363" spans="2:2" ht="15.95" customHeight="1">
      <c r="B9363" s="37"/>
    </row>
    <row r="9364" spans="2:2" ht="15.95" customHeight="1">
      <c r="B9364" s="37"/>
    </row>
    <row r="9365" spans="2:2" ht="15.95" customHeight="1">
      <c r="B9365" s="37"/>
    </row>
    <row r="9366" spans="2:2" ht="15.95" customHeight="1">
      <c r="B9366" s="37"/>
    </row>
    <row r="9367" spans="2:2" ht="15.95" customHeight="1">
      <c r="B9367" s="37"/>
    </row>
    <row r="9368" spans="2:2" ht="15.95" customHeight="1">
      <c r="B9368" s="37"/>
    </row>
    <row r="9369" spans="2:2" ht="15.95" customHeight="1">
      <c r="B9369" s="37"/>
    </row>
    <row r="9370" spans="2:2" ht="15.95" customHeight="1">
      <c r="B9370" s="37"/>
    </row>
    <row r="9371" spans="2:2" ht="15.95" customHeight="1">
      <c r="B9371" s="37"/>
    </row>
    <row r="9372" spans="2:2" ht="15.95" customHeight="1">
      <c r="B9372" s="37"/>
    </row>
    <row r="9373" spans="2:2" ht="15.95" customHeight="1">
      <c r="B9373" s="37"/>
    </row>
    <row r="9374" spans="2:2" ht="15.95" customHeight="1">
      <c r="B9374" s="37"/>
    </row>
    <row r="9375" spans="2:2" ht="15.95" customHeight="1">
      <c r="B9375" s="37"/>
    </row>
    <row r="9376" spans="2:2" ht="15.95" customHeight="1">
      <c r="B9376" s="37"/>
    </row>
    <row r="9377" spans="2:2" ht="15.95" customHeight="1">
      <c r="B9377" s="37"/>
    </row>
    <row r="9378" spans="2:2" ht="15.95" customHeight="1">
      <c r="B9378" s="37"/>
    </row>
    <row r="9379" spans="2:2" ht="15.95" customHeight="1">
      <c r="B9379" s="37"/>
    </row>
    <row r="9380" spans="2:2" ht="15.95" customHeight="1">
      <c r="B9380" s="37"/>
    </row>
    <row r="9381" spans="2:2" ht="15.95" customHeight="1">
      <c r="B9381" s="37"/>
    </row>
    <row r="9382" spans="2:2" ht="15.95" customHeight="1">
      <c r="B9382" s="37"/>
    </row>
    <row r="9383" spans="2:2" ht="15.95" customHeight="1">
      <c r="B9383" s="37"/>
    </row>
    <row r="9384" spans="2:2" ht="15.95" customHeight="1">
      <c r="B9384" s="37"/>
    </row>
    <row r="9385" spans="2:2" ht="15.95" customHeight="1">
      <c r="B9385" s="37"/>
    </row>
    <row r="9386" spans="2:2" ht="15.95" customHeight="1">
      <c r="B9386" s="37"/>
    </row>
    <row r="9387" spans="2:2" ht="15.95" customHeight="1">
      <c r="B9387" s="37"/>
    </row>
    <row r="9388" spans="2:2" ht="15.95" customHeight="1">
      <c r="B9388" s="37"/>
    </row>
    <row r="9389" spans="2:2" ht="15.95" customHeight="1">
      <c r="B9389" s="37"/>
    </row>
    <row r="9390" spans="2:2" ht="15.95" customHeight="1">
      <c r="B9390" s="37"/>
    </row>
    <row r="9391" spans="2:2" ht="15.95" customHeight="1">
      <c r="B9391" s="37"/>
    </row>
    <row r="9392" spans="2:2" ht="15.95" customHeight="1">
      <c r="B9392" s="37"/>
    </row>
    <row r="9393" spans="2:2" ht="15.95" customHeight="1">
      <c r="B9393" s="37"/>
    </row>
    <row r="9394" spans="2:2" ht="15.95" customHeight="1">
      <c r="B9394" s="37"/>
    </row>
    <row r="9395" spans="2:2" ht="15.95" customHeight="1">
      <c r="B9395" s="37"/>
    </row>
    <row r="9396" spans="2:2" ht="15.95" customHeight="1">
      <c r="B9396" s="37"/>
    </row>
    <row r="9397" spans="2:2" ht="15.95" customHeight="1">
      <c r="B9397" s="37"/>
    </row>
    <row r="9398" spans="2:2" ht="15.95" customHeight="1">
      <c r="B9398" s="37"/>
    </row>
    <row r="9399" spans="2:2" ht="15.95" customHeight="1">
      <c r="B9399" s="37"/>
    </row>
    <row r="9400" spans="2:2" ht="15.95" customHeight="1">
      <c r="B9400" s="37"/>
    </row>
    <row r="9401" spans="2:2" ht="15.95" customHeight="1">
      <c r="B9401" s="37"/>
    </row>
    <row r="9402" spans="2:2" ht="15.95" customHeight="1">
      <c r="B9402" s="37"/>
    </row>
    <row r="9403" spans="2:2" ht="15.95" customHeight="1">
      <c r="B9403" s="37"/>
    </row>
    <row r="9404" spans="2:2" ht="15.95" customHeight="1">
      <c r="B9404" s="37"/>
    </row>
    <row r="9405" spans="2:2" ht="15.95" customHeight="1">
      <c r="B9405" s="37"/>
    </row>
    <row r="9406" spans="2:2" ht="15.95" customHeight="1">
      <c r="B9406" s="37"/>
    </row>
    <row r="9407" spans="2:2" ht="15.95" customHeight="1">
      <c r="B9407" s="37"/>
    </row>
    <row r="9408" spans="2:2" ht="15.95" customHeight="1">
      <c r="B9408" s="37"/>
    </row>
    <row r="9409" spans="2:2" ht="15.95" customHeight="1">
      <c r="B9409" s="37"/>
    </row>
    <row r="9410" spans="2:2" ht="15.95" customHeight="1">
      <c r="B9410" s="37"/>
    </row>
    <row r="9411" spans="2:2" ht="15.95" customHeight="1">
      <c r="B9411" s="37"/>
    </row>
    <row r="9412" spans="2:2" ht="15.95" customHeight="1">
      <c r="B9412" s="37"/>
    </row>
    <row r="9413" spans="2:2" ht="15.95" customHeight="1">
      <c r="B9413" s="37"/>
    </row>
    <row r="9414" spans="2:2" ht="15.95" customHeight="1">
      <c r="B9414" s="37"/>
    </row>
    <row r="9415" spans="2:2" ht="15.95" customHeight="1">
      <c r="B9415" s="37"/>
    </row>
    <row r="9416" spans="2:2" ht="15.95" customHeight="1">
      <c r="B9416" s="37"/>
    </row>
    <row r="9417" spans="2:2" ht="15.95" customHeight="1">
      <c r="B9417" s="37"/>
    </row>
    <row r="9418" spans="2:2" ht="15.95" customHeight="1">
      <c r="B9418" s="37"/>
    </row>
    <row r="9419" spans="2:2" ht="15.95" customHeight="1">
      <c r="B9419" s="37"/>
    </row>
    <row r="9420" spans="2:2" ht="15.95" customHeight="1">
      <c r="B9420" s="37"/>
    </row>
    <row r="9421" spans="2:2" ht="15.95" customHeight="1">
      <c r="B9421" s="37"/>
    </row>
    <row r="9422" spans="2:2" ht="15.95" customHeight="1">
      <c r="B9422" s="37"/>
    </row>
    <row r="9423" spans="2:2" ht="15.95" customHeight="1">
      <c r="B9423" s="37"/>
    </row>
    <row r="9424" spans="2:2" ht="15.95" customHeight="1">
      <c r="B9424" s="37"/>
    </row>
    <row r="9425" spans="2:2" ht="15.95" customHeight="1">
      <c r="B9425" s="37"/>
    </row>
    <row r="9426" spans="2:2" ht="15.95" customHeight="1">
      <c r="B9426" s="37"/>
    </row>
    <row r="9427" spans="2:2" ht="15.95" customHeight="1">
      <c r="B9427" s="37"/>
    </row>
    <row r="9428" spans="2:2" ht="15.95" customHeight="1">
      <c r="B9428" s="37"/>
    </row>
    <row r="9429" spans="2:2" ht="15.95" customHeight="1">
      <c r="B9429" s="37"/>
    </row>
    <row r="9430" spans="2:2" ht="15.95" customHeight="1">
      <c r="B9430" s="37"/>
    </row>
    <row r="9431" spans="2:2" ht="15.95" customHeight="1">
      <c r="B9431" s="37"/>
    </row>
    <row r="9432" spans="2:2" ht="15.95" customHeight="1">
      <c r="B9432" s="37"/>
    </row>
    <row r="9433" spans="2:2" ht="15.95" customHeight="1">
      <c r="B9433" s="37"/>
    </row>
    <row r="9434" spans="2:2" ht="15.95" customHeight="1">
      <c r="B9434" s="37"/>
    </row>
    <row r="9435" spans="2:2" ht="15.95" customHeight="1">
      <c r="B9435" s="37"/>
    </row>
    <row r="9436" spans="2:2" ht="15.95" customHeight="1">
      <c r="B9436" s="37"/>
    </row>
    <row r="9437" spans="2:2" ht="15.95" customHeight="1">
      <c r="B9437" s="37"/>
    </row>
    <row r="9438" spans="2:2" ht="15.95" customHeight="1">
      <c r="B9438" s="37"/>
    </row>
    <row r="9439" spans="2:2" ht="15.95" customHeight="1">
      <c r="B9439" s="37"/>
    </row>
    <row r="9440" spans="2:2" ht="15.95" customHeight="1">
      <c r="B9440" s="37"/>
    </row>
    <row r="9441" spans="2:2" ht="15.95" customHeight="1">
      <c r="B9441" s="37"/>
    </row>
    <row r="9442" spans="2:2" ht="15.95" customHeight="1">
      <c r="B9442" s="37"/>
    </row>
    <row r="9443" spans="2:2" ht="15.95" customHeight="1">
      <c r="B9443" s="37"/>
    </row>
    <row r="9444" spans="2:2" ht="15.95" customHeight="1">
      <c r="B9444" s="37"/>
    </row>
    <row r="9445" spans="2:2" ht="15.95" customHeight="1">
      <c r="B9445" s="37"/>
    </row>
    <row r="9446" spans="2:2" ht="15.95" customHeight="1">
      <c r="B9446" s="37"/>
    </row>
    <row r="9447" spans="2:2" ht="15.95" customHeight="1">
      <c r="B9447" s="37"/>
    </row>
    <row r="9448" spans="2:2" ht="15.95" customHeight="1">
      <c r="B9448" s="37"/>
    </row>
    <row r="9449" spans="2:2" ht="15.95" customHeight="1">
      <c r="B9449" s="37"/>
    </row>
    <row r="9450" spans="2:2" ht="15.95" customHeight="1">
      <c r="B9450" s="37"/>
    </row>
    <row r="9451" spans="2:2" ht="15.95" customHeight="1">
      <c r="B9451" s="37"/>
    </row>
    <row r="9452" spans="2:2" ht="15.95" customHeight="1">
      <c r="B9452" s="37"/>
    </row>
    <row r="9453" spans="2:2" ht="15.95" customHeight="1">
      <c r="B9453" s="37"/>
    </row>
    <row r="9454" spans="2:2" ht="15.95" customHeight="1">
      <c r="B9454" s="37"/>
    </row>
    <row r="9455" spans="2:2" ht="15.95" customHeight="1">
      <c r="B9455" s="37"/>
    </row>
    <row r="9456" spans="2:2" ht="15.95" customHeight="1">
      <c r="B9456" s="37"/>
    </row>
    <row r="9457" spans="2:2" ht="15.95" customHeight="1">
      <c r="B9457" s="37"/>
    </row>
    <row r="9458" spans="2:2" ht="15.95" customHeight="1">
      <c r="B9458" s="37"/>
    </row>
    <row r="9459" spans="2:2" ht="15.95" customHeight="1">
      <c r="B9459" s="37"/>
    </row>
    <row r="9460" spans="2:2" ht="15.95" customHeight="1">
      <c r="B9460" s="37"/>
    </row>
    <row r="9461" spans="2:2" ht="15.95" customHeight="1">
      <c r="B9461" s="37"/>
    </row>
    <row r="9462" spans="2:2" ht="15.95" customHeight="1">
      <c r="B9462" s="37"/>
    </row>
    <row r="9463" spans="2:2" ht="15.95" customHeight="1">
      <c r="B9463" s="37"/>
    </row>
    <row r="9464" spans="2:2" ht="15.95" customHeight="1">
      <c r="B9464" s="37"/>
    </row>
    <row r="9465" spans="2:2" ht="15.95" customHeight="1">
      <c r="B9465" s="37"/>
    </row>
    <row r="9466" spans="2:2" ht="15.95" customHeight="1">
      <c r="B9466" s="37"/>
    </row>
    <row r="9467" spans="2:2" ht="15.95" customHeight="1">
      <c r="B9467" s="37"/>
    </row>
    <row r="9468" spans="2:2" ht="15.95" customHeight="1">
      <c r="B9468" s="37"/>
    </row>
    <row r="9469" spans="2:2" ht="15.95" customHeight="1">
      <c r="B9469" s="37"/>
    </row>
    <row r="9470" spans="2:2" ht="15.95" customHeight="1">
      <c r="B9470" s="37"/>
    </row>
    <row r="9471" spans="2:2" ht="15.95" customHeight="1">
      <c r="B9471" s="37"/>
    </row>
    <row r="9472" spans="2:2" ht="15.95" customHeight="1">
      <c r="B9472" s="37"/>
    </row>
    <row r="9473" spans="2:2" ht="15.95" customHeight="1">
      <c r="B9473" s="37"/>
    </row>
    <row r="9474" spans="2:2" ht="15.95" customHeight="1">
      <c r="B9474" s="37"/>
    </row>
    <row r="9475" spans="2:2" ht="15.95" customHeight="1">
      <c r="B9475" s="37"/>
    </row>
    <row r="9476" spans="2:2" ht="15.95" customHeight="1">
      <c r="B9476" s="37"/>
    </row>
    <row r="9477" spans="2:2" ht="15.95" customHeight="1">
      <c r="B9477" s="37"/>
    </row>
    <row r="9478" spans="2:2" ht="15.95" customHeight="1">
      <c r="B9478" s="37"/>
    </row>
    <row r="9479" spans="2:2" ht="15.95" customHeight="1">
      <c r="B9479" s="37"/>
    </row>
    <row r="9480" spans="2:2" ht="15.95" customHeight="1">
      <c r="B9480" s="37"/>
    </row>
    <row r="9481" spans="2:2" ht="15.95" customHeight="1">
      <c r="B9481" s="37"/>
    </row>
    <row r="9482" spans="2:2" ht="15.95" customHeight="1">
      <c r="B9482" s="37"/>
    </row>
    <row r="9483" spans="2:2" ht="15.95" customHeight="1">
      <c r="B9483" s="37"/>
    </row>
    <row r="9484" spans="2:2" ht="15.95" customHeight="1">
      <c r="B9484" s="37"/>
    </row>
    <row r="9485" spans="2:2" ht="15.95" customHeight="1">
      <c r="B9485" s="37"/>
    </row>
    <row r="9486" spans="2:2" ht="15.95" customHeight="1">
      <c r="B9486" s="37"/>
    </row>
    <row r="9487" spans="2:2" ht="15.95" customHeight="1">
      <c r="B9487" s="37"/>
    </row>
    <row r="9488" spans="2:2" ht="15.95" customHeight="1">
      <c r="B9488" s="37"/>
    </row>
    <row r="9489" spans="2:2" ht="15.95" customHeight="1">
      <c r="B9489" s="37"/>
    </row>
    <row r="9490" spans="2:2" ht="15.95" customHeight="1">
      <c r="B9490" s="37"/>
    </row>
    <row r="9491" spans="2:2" ht="15.95" customHeight="1">
      <c r="B9491" s="37"/>
    </row>
    <row r="9492" spans="2:2" ht="15.95" customHeight="1">
      <c r="B9492" s="37"/>
    </row>
    <row r="9493" spans="2:2" ht="15.95" customHeight="1">
      <c r="B9493" s="37"/>
    </row>
    <row r="9494" spans="2:2" ht="15.95" customHeight="1">
      <c r="B9494" s="37"/>
    </row>
    <row r="9495" spans="2:2" ht="15.95" customHeight="1">
      <c r="B9495" s="37"/>
    </row>
    <row r="9496" spans="2:2" ht="15.95" customHeight="1">
      <c r="B9496" s="37"/>
    </row>
    <row r="9497" spans="2:2" ht="15.95" customHeight="1">
      <c r="B9497" s="37"/>
    </row>
    <row r="9498" spans="2:2" ht="15.95" customHeight="1">
      <c r="B9498" s="37"/>
    </row>
    <row r="9499" spans="2:2" ht="15.95" customHeight="1">
      <c r="B9499" s="37"/>
    </row>
    <row r="9500" spans="2:2" ht="15.95" customHeight="1">
      <c r="B9500" s="37"/>
    </row>
    <row r="9501" spans="2:2" ht="15.95" customHeight="1">
      <c r="B9501" s="37"/>
    </row>
    <row r="9502" spans="2:2" ht="15.95" customHeight="1">
      <c r="B9502" s="37"/>
    </row>
    <row r="9503" spans="2:2" ht="15.95" customHeight="1">
      <c r="B9503" s="37"/>
    </row>
    <row r="9504" spans="2:2" ht="15.95" customHeight="1">
      <c r="B9504" s="37"/>
    </row>
    <row r="9505" spans="2:2" ht="15.95" customHeight="1">
      <c r="B9505" s="37"/>
    </row>
    <row r="9506" spans="2:2" ht="15.95" customHeight="1">
      <c r="B9506" s="37"/>
    </row>
    <row r="9507" spans="2:2" ht="15.95" customHeight="1">
      <c r="B9507" s="37"/>
    </row>
    <row r="9508" spans="2:2" ht="15.95" customHeight="1">
      <c r="B9508" s="37"/>
    </row>
    <row r="9509" spans="2:2" ht="15.95" customHeight="1">
      <c r="B9509" s="37"/>
    </row>
    <row r="9510" spans="2:2" ht="15.95" customHeight="1">
      <c r="B9510" s="37"/>
    </row>
    <row r="9511" spans="2:2" ht="15.95" customHeight="1">
      <c r="B9511" s="37"/>
    </row>
    <row r="9512" spans="2:2" ht="15.95" customHeight="1">
      <c r="B9512" s="37"/>
    </row>
    <row r="9513" spans="2:2" ht="15.95" customHeight="1">
      <c r="B9513" s="37"/>
    </row>
    <row r="9514" spans="2:2" ht="15.95" customHeight="1">
      <c r="B9514" s="37"/>
    </row>
    <row r="9515" spans="2:2" ht="15.95" customHeight="1">
      <c r="B9515" s="37"/>
    </row>
    <row r="9516" spans="2:2" ht="15.95" customHeight="1">
      <c r="B9516" s="37"/>
    </row>
    <row r="9517" spans="2:2" ht="15.95" customHeight="1">
      <c r="B9517" s="37"/>
    </row>
    <row r="9518" spans="2:2" ht="15.95" customHeight="1">
      <c r="B9518" s="37"/>
    </row>
    <row r="9519" spans="2:2" ht="15.95" customHeight="1">
      <c r="B9519" s="37"/>
    </row>
    <row r="9520" spans="2:2" ht="15.95" customHeight="1">
      <c r="B9520" s="37"/>
    </row>
    <row r="9521" spans="2:2" ht="15.95" customHeight="1">
      <c r="B9521" s="37"/>
    </row>
    <row r="9522" spans="2:2" ht="15.95" customHeight="1">
      <c r="B9522" s="37"/>
    </row>
    <row r="9523" spans="2:2" ht="15.95" customHeight="1">
      <c r="B9523" s="37"/>
    </row>
    <row r="9524" spans="2:2" ht="15.95" customHeight="1">
      <c r="B9524" s="37"/>
    </row>
    <row r="9525" spans="2:2" ht="15.95" customHeight="1">
      <c r="B9525" s="37"/>
    </row>
    <row r="9526" spans="2:2" ht="15.95" customHeight="1">
      <c r="B9526" s="37"/>
    </row>
    <row r="9527" spans="2:2" ht="15.95" customHeight="1">
      <c r="B9527" s="37"/>
    </row>
    <row r="9528" spans="2:2" ht="15.95" customHeight="1">
      <c r="B9528" s="37"/>
    </row>
    <row r="9529" spans="2:2" ht="15.95" customHeight="1">
      <c r="B9529" s="37"/>
    </row>
    <row r="9530" spans="2:2" ht="15.95" customHeight="1">
      <c r="B9530" s="37"/>
    </row>
    <row r="9531" spans="2:2" ht="15.95" customHeight="1">
      <c r="B9531" s="37"/>
    </row>
    <row r="9532" spans="2:2" ht="15.95" customHeight="1">
      <c r="B9532" s="37"/>
    </row>
    <row r="9533" spans="2:2" ht="15.95" customHeight="1">
      <c r="B9533" s="37"/>
    </row>
    <row r="9534" spans="2:2" ht="15.95" customHeight="1">
      <c r="B9534" s="37"/>
    </row>
    <row r="9535" spans="2:2" ht="15.95" customHeight="1">
      <c r="B9535" s="37"/>
    </row>
    <row r="9536" spans="2:2" ht="15.95" customHeight="1">
      <c r="B9536" s="37"/>
    </row>
    <row r="9537" spans="2:2" ht="15.95" customHeight="1">
      <c r="B9537" s="37"/>
    </row>
    <row r="9538" spans="2:2" ht="15.95" customHeight="1">
      <c r="B9538" s="37"/>
    </row>
    <row r="9539" spans="2:2" ht="15.95" customHeight="1">
      <c r="B9539" s="37"/>
    </row>
    <row r="9540" spans="2:2" ht="15.95" customHeight="1">
      <c r="B9540" s="37"/>
    </row>
    <row r="9541" spans="2:2" ht="15.95" customHeight="1">
      <c r="B9541" s="37"/>
    </row>
    <row r="9542" spans="2:2" ht="15.95" customHeight="1">
      <c r="B9542" s="37"/>
    </row>
    <row r="9543" spans="2:2" ht="15.95" customHeight="1">
      <c r="B9543" s="37"/>
    </row>
    <row r="9544" spans="2:2" ht="15.95" customHeight="1">
      <c r="B9544" s="37"/>
    </row>
    <row r="9545" spans="2:2" ht="15.95" customHeight="1">
      <c r="B9545" s="37"/>
    </row>
    <row r="9546" spans="2:2" ht="15.95" customHeight="1">
      <c r="B9546" s="37"/>
    </row>
    <row r="9547" spans="2:2" ht="15.95" customHeight="1">
      <c r="B9547" s="37"/>
    </row>
    <row r="9548" spans="2:2" ht="15.95" customHeight="1">
      <c r="B9548" s="37"/>
    </row>
    <row r="9549" spans="2:2" ht="15.95" customHeight="1">
      <c r="B9549" s="37"/>
    </row>
    <row r="9550" spans="2:2" ht="15.95" customHeight="1">
      <c r="B9550" s="37"/>
    </row>
    <row r="9551" spans="2:2" ht="15.95" customHeight="1">
      <c r="B9551" s="37"/>
    </row>
    <row r="9552" spans="2:2" ht="15.95" customHeight="1">
      <c r="B9552" s="37"/>
    </row>
    <row r="9553" spans="2:2" ht="15.95" customHeight="1">
      <c r="B9553" s="37"/>
    </row>
    <row r="9554" spans="2:2" ht="15.95" customHeight="1">
      <c r="B9554" s="37"/>
    </row>
    <row r="9555" spans="2:2" ht="15.95" customHeight="1">
      <c r="B9555" s="37"/>
    </row>
    <row r="9556" spans="2:2" ht="15.95" customHeight="1">
      <c r="B9556" s="37"/>
    </row>
    <row r="9557" spans="2:2" ht="15.95" customHeight="1">
      <c r="B9557" s="37"/>
    </row>
    <row r="9558" spans="2:2" ht="15.95" customHeight="1">
      <c r="B9558" s="37"/>
    </row>
    <row r="9559" spans="2:2" ht="15.95" customHeight="1">
      <c r="B9559" s="37"/>
    </row>
    <row r="9560" spans="2:2" ht="15.95" customHeight="1">
      <c r="B9560" s="37"/>
    </row>
    <row r="9561" spans="2:2" ht="15.95" customHeight="1">
      <c r="B9561" s="37"/>
    </row>
    <row r="9562" spans="2:2" ht="15.95" customHeight="1">
      <c r="B9562" s="37"/>
    </row>
    <row r="9563" spans="2:2" ht="15.95" customHeight="1">
      <c r="B9563" s="37"/>
    </row>
    <row r="9564" spans="2:2" ht="15.95" customHeight="1">
      <c r="B9564" s="37"/>
    </row>
    <row r="9565" spans="2:2" ht="15.95" customHeight="1">
      <c r="B9565" s="37"/>
    </row>
    <row r="9566" spans="2:2" ht="15.95" customHeight="1">
      <c r="B9566" s="37"/>
    </row>
    <row r="9567" spans="2:2" ht="15.95" customHeight="1">
      <c r="B9567" s="37"/>
    </row>
    <row r="9568" spans="2:2" ht="15.95" customHeight="1">
      <c r="B9568" s="37"/>
    </row>
    <row r="9569" spans="2:2" ht="15.95" customHeight="1">
      <c r="B9569" s="37"/>
    </row>
    <row r="9570" spans="2:2" ht="15.95" customHeight="1">
      <c r="B9570" s="37"/>
    </row>
    <row r="9571" spans="2:2" ht="15.95" customHeight="1">
      <c r="B9571" s="37"/>
    </row>
    <row r="9572" spans="2:2" ht="15.95" customHeight="1">
      <c r="B9572" s="37"/>
    </row>
    <row r="9573" spans="2:2" ht="15.95" customHeight="1">
      <c r="B9573" s="37"/>
    </row>
    <row r="9574" spans="2:2" ht="15.95" customHeight="1">
      <c r="B9574" s="37"/>
    </row>
    <row r="9575" spans="2:2" ht="15.95" customHeight="1">
      <c r="B9575" s="37"/>
    </row>
    <row r="9576" spans="2:2" ht="15.95" customHeight="1">
      <c r="B9576" s="37"/>
    </row>
    <row r="9577" spans="2:2" ht="15.95" customHeight="1">
      <c r="B9577" s="37"/>
    </row>
    <row r="9578" spans="2:2" ht="15.95" customHeight="1">
      <c r="B9578" s="37"/>
    </row>
    <row r="9579" spans="2:2" ht="15.95" customHeight="1">
      <c r="B9579" s="37"/>
    </row>
    <row r="9580" spans="2:2" ht="15.95" customHeight="1">
      <c r="B9580" s="37"/>
    </row>
    <row r="9581" spans="2:2" ht="15.95" customHeight="1">
      <c r="B9581" s="37"/>
    </row>
    <row r="9582" spans="2:2" ht="15.95" customHeight="1">
      <c r="B9582" s="37"/>
    </row>
    <row r="9583" spans="2:2" ht="15.95" customHeight="1">
      <c r="B9583" s="37"/>
    </row>
    <row r="9584" spans="2:2" ht="15.95" customHeight="1">
      <c r="B9584" s="37"/>
    </row>
    <row r="9585" spans="2:2" ht="15.95" customHeight="1">
      <c r="B9585" s="37"/>
    </row>
    <row r="9586" spans="2:2" ht="15.95" customHeight="1">
      <c r="B9586" s="37"/>
    </row>
    <row r="9587" spans="2:2" ht="15.95" customHeight="1">
      <c r="B9587" s="37"/>
    </row>
    <row r="9588" spans="2:2" ht="15.95" customHeight="1">
      <c r="B9588" s="37"/>
    </row>
    <row r="9589" spans="2:2" ht="15.95" customHeight="1">
      <c r="B9589" s="37"/>
    </row>
    <row r="9590" spans="2:2" ht="15.95" customHeight="1">
      <c r="B9590" s="37"/>
    </row>
    <row r="9591" spans="2:2" ht="15.95" customHeight="1">
      <c r="B9591" s="37"/>
    </row>
    <row r="9592" spans="2:2" ht="15.95" customHeight="1">
      <c r="B9592" s="37"/>
    </row>
    <row r="9593" spans="2:2" ht="15.95" customHeight="1">
      <c r="B9593" s="37"/>
    </row>
    <row r="9594" spans="2:2" ht="15.95" customHeight="1">
      <c r="B9594" s="37"/>
    </row>
    <row r="9595" spans="2:2" ht="15.95" customHeight="1">
      <c r="B9595" s="37"/>
    </row>
    <row r="9596" spans="2:2" ht="15.95" customHeight="1">
      <c r="B9596" s="37"/>
    </row>
    <row r="9597" spans="2:2" ht="15.95" customHeight="1">
      <c r="B9597" s="37"/>
    </row>
    <row r="9598" spans="2:2" ht="15.95" customHeight="1">
      <c r="B9598" s="37"/>
    </row>
    <row r="9599" spans="2:2" ht="15.95" customHeight="1">
      <c r="B9599" s="37"/>
    </row>
    <row r="9600" spans="2:2" ht="15.95" customHeight="1">
      <c r="B9600" s="37"/>
    </row>
    <row r="9601" spans="2:2" ht="15.95" customHeight="1">
      <c r="B9601" s="37"/>
    </row>
    <row r="9602" spans="2:2" ht="15.95" customHeight="1">
      <c r="B9602" s="37"/>
    </row>
    <row r="9603" spans="2:2" ht="15.95" customHeight="1">
      <c r="B9603" s="37"/>
    </row>
    <row r="9604" spans="2:2" ht="15.95" customHeight="1">
      <c r="B9604" s="37"/>
    </row>
    <row r="9605" spans="2:2" ht="15.95" customHeight="1">
      <c r="B9605" s="37"/>
    </row>
    <row r="9606" spans="2:2" ht="15.95" customHeight="1">
      <c r="B9606" s="37"/>
    </row>
    <row r="9607" spans="2:2" ht="15.95" customHeight="1">
      <c r="B9607" s="37"/>
    </row>
    <row r="9608" spans="2:2" ht="15.95" customHeight="1">
      <c r="B9608" s="37"/>
    </row>
    <row r="9609" spans="2:2" ht="15.95" customHeight="1">
      <c r="B9609" s="37"/>
    </row>
    <row r="9610" spans="2:2" ht="15.95" customHeight="1">
      <c r="B9610" s="37"/>
    </row>
    <row r="9611" spans="2:2" ht="15.95" customHeight="1">
      <c r="B9611" s="37"/>
    </row>
    <row r="9612" spans="2:2" ht="15.95" customHeight="1">
      <c r="B9612" s="37"/>
    </row>
    <row r="9613" spans="2:2" ht="15.95" customHeight="1">
      <c r="B9613" s="37"/>
    </row>
    <row r="9614" spans="2:2" ht="15.95" customHeight="1">
      <c r="B9614" s="37"/>
    </row>
    <row r="9615" spans="2:2" ht="15.95" customHeight="1">
      <c r="B9615" s="37"/>
    </row>
    <row r="9616" spans="2:2" ht="15.95" customHeight="1">
      <c r="B9616" s="37"/>
    </row>
    <row r="9617" spans="2:2" ht="15.95" customHeight="1">
      <c r="B9617" s="37"/>
    </row>
    <row r="9618" spans="2:2" ht="15.95" customHeight="1">
      <c r="B9618" s="37"/>
    </row>
    <row r="9619" spans="2:2" ht="15.95" customHeight="1">
      <c r="B9619" s="37"/>
    </row>
    <row r="9620" spans="2:2" ht="15.95" customHeight="1">
      <c r="B9620" s="37"/>
    </row>
    <row r="9621" spans="2:2" ht="15.95" customHeight="1">
      <c r="B9621" s="37"/>
    </row>
    <row r="9622" spans="2:2" ht="15.95" customHeight="1">
      <c r="B9622" s="37"/>
    </row>
    <row r="9623" spans="2:2" ht="15.95" customHeight="1">
      <c r="B9623" s="37"/>
    </row>
    <row r="9624" spans="2:2" ht="15.95" customHeight="1">
      <c r="B9624" s="37"/>
    </row>
    <row r="9625" spans="2:2" ht="15.95" customHeight="1">
      <c r="B9625" s="37"/>
    </row>
    <row r="9626" spans="2:2" ht="15.95" customHeight="1">
      <c r="B9626" s="37"/>
    </row>
    <row r="9627" spans="2:2" ht="15.95" customHeight="1">
      <c r="B9627" s="37"/>
    </row>
    <row r="9628" spans="2:2" ht="15.95" customHeight="1">
      <c r="B9628" s="37"/>
    </row>
    <row r="9629" spans="2:2" ht="15.95" customHeight="1">
      <c r="B9629" s="37"/>
    </row>
    <row r="9630" spans="2:2" ht="15.95" customHeight="1">
      <c r="B9630" s="37"/>
    </row>
    <row r="9631" spans="2:2" ht="15.95" customHeight="1">
      <c r="B9631" s="37"/>
    </row>
    <row r="9632" spans="2:2" ht="15.95" customHeight="1">
      <c r="B9632" s="37"/>
    </row>
    <row r="9633" spans="2:2" ht="15.95" customHeight="1">
      <c r="B9633" s="37"/>
    </row>
    <row r="9634" spans="2:2" ht="15.95" customHeight="1">
      <c r="B9634" s="37"/>
    </row>
    <row r="9635" spans="2:2" ht="15.95" customHeight="1">
      <c r="B9635" s="37"/>
    </row>
    <row r="9636" spans="2:2" ht="15.95" customHeight="1">
      <c r="B9636" s="37"/>
    </row>
    <row r="9637" spans="2:2" ht="15.95" customHeight="1">
      <c r="B9637" s="37"/>
    </row>
    <row r="9638" spans="2:2" ht="15.95" customHeight="1">
      <c r="B9638" s="37"/>
    </row>
    <row r="9639" spans="2:2" ht="15.95" customHeight="1">
      <c r="B9639" s="37"/>
    </row>
    <row r="9640" spans="2:2" ht="15.95" customHeight="1">
      <c r="B9640" s="37"/>
    </row>
    <row r="9641" spans="2:2" ht="15.95" customHeight="1">
      <c r="B9641" s="37"/>
    </row>
    <row r="9642" spans="2:2" ht="15.95" customHeight="1">
      <c r="B9642" s="37"/>
    </row>
    <row r="9643" spans="2:2" ht="15.95" customHeight="1">
      <c r="B9643" s="37"/>
    </row>
    <row r="9644" spans="2:2" ht="15.95" customHeight="1">
      <c r="B9644" s="37"/>
    </row>
    <row r="9645" spans="2:2" ht="15.95" customHeight="1">
      <c r="B9645" s="37"/>
    </row>
    <row r="9646" spans="2:2" ht="15.95" customHeight="1">
      <c r="B9646" s="37"/>
    </row>
    <row r="9647" spans="2:2" ht="15.95" customHeight="1">
      <c r="B9647" s="37"/>
    </row>
    <row r="9648" spans="2:2" ht="15.95" customHeight="1">
      <c r="B9648" s="37"/>
    </row>
    <row r="9649" spans="2:2" ht="15.95" customHeight="1">
      <c r="B9649" s="37"/>
    </row>
    <row r="9650" spans="2:2" ht="15.95" customHeight="1">
      <c r="B9650" s="37"/>
    </row>
    <row r="9651" spans="2:2" ht="15.95" customHeight="1">
      <c r="B9651" s="37"/>
    </row>
    <row r="9652" spans="2:2" ht="15.95" customHeight="1">
      <c r="B9652" s="37"/>
    </row>
    <row r="9653" spans="2:2" ht="15.95" customHeight="1">
      <c r="B9653" s="37"/>
    </row>
    <row r="9654" spans="2:2" ht="15.95" customHeight="1">
      <c r="B9654" s="37"/>
    </row>
    <row r="9655" spans="2:2" ht="15.95" customHeight="1">
      <c r="B9655" s="37"/>
    </row>
    <row r="9656" spans="2:2" ht="15.95" customHeight="1">
      <c r="B9656" s="37"/>
    </row>
    <row r="9657" spans="2:2" ht="15.95" customHeight="1">
      <c r="B9657" s="37"/>
    </row>
    <row r="9658" spans="2:2" ht="15.95" customHeight="1">
      <c r="B9658" s="37"/>
    </row>
    <row r="9659" spans="2:2" ht="15.95" customHeight="1">
      <c r="B9659" s="37"/>
    </row>
    <row r="9660" spans="2:2" ht="15.95" customHeight="1">
      <c r="B9660" s="37"/>
    </row>
    <row r="9661" spans="2:2" ht="15.95" customHeight="1">
      <c r="B9661" s="37"/>
    </row>
    <row r="9662" spans="2:2" ht="15.95" customHeight="1">
      <c r="B9662" s="37"/>
    </row>
    <row r="9663" spans="2:2" ht="15.95" customHeight="1">
      <c r="B9663" s="37"/>
    </row>
    <row r="9664" spans="2:2" ht="15.95" customHeight="1">
      <c r="B9664" s="37"/>
    </row>
    <row r="9665" spans="2:2" ht="15.95" customHeight="1">
      <c r="B9665" s="37"/>
    </row>
    <row r="9666" spans="2:2" ht="15.95" customHeight="1">
      <c r="B9666" s="37"/>
    </row>
    <row r="9667" spans="2:2" ht="15.95" customHeight="1">
      <c r="B9667" s="37"/>
    </row>
    <row r="9668" spans="2:2" ht="15.95" customHeight="1">
      <c r="B9668" s="37"/>
    </row>
    <row r="9669" spans="2:2" ht="15.95" customHeight="1">
      <c r="B9669" s="37"/>
    </row>
    <row r="9670" spans="2:2" ht="15.95" customHeight="1">
      <c r="B9670" s="37"/>
    </row>
    <row r="9671" spans="2:2" ht="15.95" customHeight="1">
      <c r="B9671" s="37"/>
    </row>
    <row r="9672" spans="2:2" ht="15.95" customHeight="1">
      <c r="B9672" s="37"/>
    </row>
    <row r="9673" spans="2:2" ht="15.95" customHeight="1">
      <c r="B9673" s="37"/>
    </row>
    <row r="9674" spans="2:2" ht="15.95" customHeight="1">
      <c r="B9674" s="37"/>
    </row>
    <row r="9675" spans="2:2" ht="15.95" customHeight="1">
      <c r="B9675" s="37"/>
    </row>
    <row r="9676" spans="2:2" ht="15.95" customHeight="1">
      <c r="B9676" s="37"/>
    </row>
    <row r="9677" spans="2:2" ht="15.95" customHeight="1">
      <c r="B9677" s="37"/>
    </row>
    <row r="9678" spans="2:2" ht="15.95" customHeight="1">
      <c r="B9678" s="37"/>
    </row>
    <row r="9679" spans="2:2" ht="15.95" customHeight="1">
      <c r="B9679" s="37"/>
    </row>
    <row r="9680" spans="2:2" ht="15.95" customHeight="1">
      <c r="B9680" s="37"/>
    </row>
    <row r="9681" spans="2:2" ht="15.95" customHeight="1">
      <c r="B9681" s="37"/>
    </row>
    <row r="9682" spans="2:2" ht="15.95" customHeight="1">
      <c r="B9682" s="37"/>
    </row>
    <row r="9683" spans="2:2" ht="15.95" customHeight="1">
      <c r="B9683" s="37"/>
    </row>
    <row r="9684" spans="2:2" ht="15.95" customHeight="1">
      <c r="B9684" s="37"/>
    </row>
    <row r="9685" spans="2:2" ht="15.95" customHeight="1">
      <c r="B9685" s="37"/>
    </row>
    <row r="9686" spans="2:2" ht="15.95" customHeight="1">
      <c r="B9686" s="37"/>
    </row>
    <row r="9687" spans="2:2" ht="15.95" customHeight="1">
      <c r="B9687" s="37"/>
    </row>
    <row r="9688" spans="2:2" ht="15.95" customHeight="1">
      <c r="B9688" s="37"/>
    </row>
    <row r="9689" spans="2:2" ht="15.95" customHeight="1">
      <c r="B9689" s="37"/>
    </row>
    <row r="9690" spans="2:2" ht="15.95" customHeight="1">
      <c r="B9690" s="37"/>
    </row>
    <row r="9691" spans="2:2" ht="15.95" customHeight="1">
      <c r="B9691" s="37"/>
    </row>
    <row r="9692" spans="2:2" ht="15.95" customHeight="1">
      <c r="B9692" s="37"/>
    </row>
    <row r="9693" spans="2:2" ht="15.95" customHeight="1">
      <c r="B9693" s="37"/>
    </row>
    <row r="9694" spans="2:2" ht="15.95" customHeight="1">
      <c r="B9694" s="37"/>
    </row>
    <row r="9695" spans="2:2" ht="15.95" customHeight="1">
      <c r="B9695" s="37"/>
    </row>
    <row r="9696" spans="2:2" ht="15.95" customHeight="1">
      <c r="B9696" s="37"/>
    </row>
    <row r="9697" spans="2:2" ht="15.95" customHeight="1">
      <c r="B9697" s="37"/>
    </row>
    <row r="9698" spans="2:2" ht="15.95" customHeight="1">
      <c r="B9698" s="37"/>
    </row>
    <row r="9699" spans="2:2" ht="15.95" customHeight="1">
      <c r="B9699" s="37"/>
    </row>
    <row r="9700" spans="2:2" ht="15.95" customHeight="1">
      <c r="B9700" s="37"/>
    </row>
    <row r="9701" spans="2:2" ht="15.95" customHeight="1">
      <c r="B9701" s="37"/>
    </row>
    <row r="9702" spans="2:2" ht="15.95" customHeight="1">
      <c r="B9702" s="37"/>
    </row>
    <row r="9703" spans="2:2" ht="15.95" customHeight="1">
      <c r="B9703" s="37"/>
    </row>
    <row r="9704" spans="2:2" ht="15.95" customHeight="1">
      <c r="B9704" s="37"/>
    </row>
    <row r="9705" spans="2:2" ht="15.95" customHeight="1">
      <c r="B9705" s="37"/>
    </row>
    <row r="9706" spans="2:2" ht="15.95" customHeight="1">
      <c r="B9706" s="37"/>
    </row>
    <row r="9707" spans="2:2" ht="15.95" customHeight="1">
      <c r="B9707" s="37"/>
    </row>
    <row r="9708" spans="2:2" ht="15.95" customHeight="1">
      <c r="B9708" s="37"/>
    </row>
    <row r="9709" spans="2:2" ht="15.95" customHeight="1">
      <c r="B9709" s="37"/>
    </row>
    <row r="9710" spans="2:2" ht="15.95" customHeight="1">
      <c r="B9710" s="37"/>
    </row>
    <row r="9711" spans="2:2" ht="15.95" customHeight="1">
      <c r="B9711" s="37"/>
    </row>
    <row r="9712" spans="2:2" ht="15.95" customHeight="1">
      <c r="B9712" s="37"/>
    </row>
    <row r="9713" spans="2:2" ht="15.95" customHeight="1">
      <c r="B9713" s="37"/>
    </row>
    <row r="9714" spans="2:2" ht="15.95" customHeight="1">
      <c r="B9714" s="37"/>
    </row>
    <row r="9715" spans="2:2" ht="15.95" customHeight="1">
      <c r="B9715" s="37"/>
    </row>
    <row r="9716" spans="2:2" ht="15.95" customHeight="1">
      <c r="B9716" s="37"/>
    </row>
    <row r="9717" spans="2:2" ht="15.95" customHeight="1">
      <c r="B9717" s="37"/>
    </row>
    <row r="9718" spans="2:2" ht="15.95" customHeight="1">
      <c r="B9718" s="37"/>
    </row>
    <row r="9719" spans="2:2" ht="15.95" customHeight="1">
      <c r="B9719" s="37"/>
    </row>
    <row r="9720" spans="2:2" ht="15.95" customHeight="1">
      <c r="B9720" s="37"/>
    </row>
    <row r="9721" spans="2:2" ht="15.95" customHeight="1">
      <c r="B9721" s="37"/>
    </row>
    <row r="9722" spans="2:2" ht="15.95" customHeight="1">
      <c r="B9722" s="37"/>
    </row>
    <row r="9723" spans="2:2" ht="15.95" customHeight="1">
      <c r="B9723" s="37"/>
    </row>
    <row r="9724" spans="2:2" ht="15.95" customHeight="1">
      <c r="B9724" s="37"/>
    </row>
    <row r="9725" spans="2:2" ht="15.95" customHeight="1">
      <c r="B9725" s="37"/>
    </row>
    <row r="9726" spans="2:2" ht="15.95" customHeight="1">
      <c r="B9726" s="37"/>
    </row>
    <row r="9727" spans="2:2" ht="15.95" customHeight="1">
      <c r="B9727" s="37"/>
    </row>
    <row r="9728" spans="2:2" ht="15.95" customHeight="1">
      <c r="B9728" s="37"/>
    </row>
    <row r="9729" spans="2:2" ht="15.95" customHeight="1">
      <c r="B9729" s="37"/>
    </row>
    <row r="9730" spans="2:2" ht="15.95" customHeight="1">
      <c r="B9730" s="37"/>
    </row>
    <row r="9731" spans="2:2" ht="15.95" customHeight="1">
      <c r="B9731" s="37"/>
    </row>
    <row r="9732" spans="2:2" ht="15.95" customHeight="1">
      <c r="B9732" s="37"/>
    </row>
    <row r="9733" spans="2:2" ht="15.95" customHeight="1">
      <c r="B9733" s="37"/>
    </row>
    <row r="9734" spans="2:2" ht="15.95" customHeight="1">
      <c r="B9734" s="37"/>
    </row>
    <row r="9735" spans="2:2" ht="15.95" customHeight="1">
      <c r="B9735" s="37"/>
    </row>
    <row r="9736" spans="2:2" ht="15.95" customHeight="1">
      <c r="B9736" s="37"/>
    </row>
    <row r="9737" spans="2:2" ht="15.95" customHeight="1">
      <c r="B9737" s="37"/>
    </row>
    <row r="9738" spans="2:2" ht="15.95" customHeight="1">
      <c r="B9738" s="37"/>
    </row>
    <row r="9739" spans="2:2" ht="15.95" customHeight="1">
      <c r="B9739" s="37"/>
    </row>
    <row r="9740" spans="2:2" ht="15.95" customHeight="1">
      <c r="B9740" s="37"/>
    </row>
    <row r="9741" spans="2:2" ht="15.95" customHeight="1">
      <c r="B9741" s="37"/>
    </row>
    <row r="9742" spans="2:2" ht="15.95" customHeight="1">
      <c r="B9742" s="37"/>
    </row>
    <row r="9743" spans="2:2" ht="15.95" customHeight="1">
      <c r="B9743" s="37"/>
    </row>
    <row r="9744" spans="2:2" ht="15.95" customHeight="1">
      <c r="B9744" s="37"/>
    </row>
    <row r="9745" spans="2:2" ht="15.95" customHeight="1">
      <c r="B9745" s="37"/>
    </row>
    <row r="9746" spans="2:2" ht="15.95" customHeight="1">
      <c r="B9746" s="37"/>
    </row>
    <row r="9747" spans="2:2" ht="15.95" customHeight="1">
      <c r="B9747" s="37"/>
    </row>
    <row r="9748" spans="2:2" ht="15.95" customHeight="1">
      <c r="B9748" s="37"/>
    </row>
    <row r="9749" spans="2:2" ht="15.95" customHeight="1">
      <c r="B9749" s="37"/>
    </row>
    <row r="9750" spans="2:2" ht="15.95" customHeight="1">
      <c r="B9750" s="37"/>
    </row>
    <row r="9751" spans="2:2" ht="15.95" customHeight="1">
      <c r="B9751" s="37"/>
    </row>
    <row r="9752" spans="2:2" ht="15.95" customHeight="1">
      <c r="B9752" s="37"/>
    </row>
    <row r="9753" spans="2:2" ht="15.95" customHeight="1">
      <c r="B9753" s="37"/>
    </row>
    <row r="9754" spans="2:2" ht="15.95" customHeight="1">
      <c r="B9754" s="37"/>
    </row>
    <row r="9755" spans="2:2" ht="15.95" customHeight="1">
      <c r="B9755" s="37"/>
    </row>
    <row r="9756" spans="2:2" ht="15.95" customHeight="1">
      <c r="B9756" s="37"/>
    </row>
    <row r="9757" spans="2:2" ht="15.95" customHeight="1">
      <c r="B9757" s="37"/>
    </row>
    <row r="9758" spans="2:2" ht="15.95" customHeight="1">
      <c r="B9758" s="37"/>
    </row>
    <row r="9759" spans="2:2" ht="15.95" customHeight="1">
      <c r="B9759" s="37"/>
    </row>
    <row r="9760" spans="2:2" ht="15.95" customHeight="1">
      <c r="B9760" s="37"/>
    </row>
    <row r="9761" spans="2:2" ht="15.95" customHeight="1">
      <c r="B9761" s="37"/>
    </row>
    <row r="9762" spans="2:2" ht="15.95" customHeight="1">
      <c r="B9762" s="37"/>
    </row>
    <row r="9763" spans="2:2" ht="15.95" customHeight="1">
      <c r="B9763" s="37"/>
    </row>
    <row r="9764" spans="2:2" ht="15.95" customHeight="1">
      <c r="B9764" s="37"/>
    </row>
    <row r="9765" spans="2:2" ht="15.95" customHeight="1">
      <c r="B9765" s="37"/>
    </row>
    <row r="9766" spans="2:2" ht="15.95" customHeight="1">
      <c r="B9766" s="37"/>
    </row>
    <row r="9767" spans="2:2" ht="15.95" customHeight="1">
      <c r="B9767" s="37"/>
    </row>
    <row r="9768" spans="2:2" ht="15.95" customHeight="1">
      <c r="B9768" s="37"/>
    </row>
    <row r="9769" spans="2:2" ht="15.95" customHeight="1">
      <c r="B9769" s="37"/>
    </row>
    <row r="9770" spans="2:2" ht="15.95" customHeight="1">
      <c r="B9770" s="37"/>
    </row>
    <row r="9771" spans="2:2" ht="15.95" customHeight="1">
      <c r="B9771" s="37"/>
    </row>
    <row r="9772" spans="2:2" ht="15.95" customHeight="1">
      <c r="B9772" s="37"/>
    </row>
    <row r="9773" spans="2:2" ht="15.95" customHeight="1">
      <c r="B9773" s="37"/>
    </row>
    <row r="9774" spans="2:2" ht="15.95" customHeight="1">
      <c r="B9774" s="37"/>
    </row>
    <row r="9775" spans="2:2" ht="15.95" customHeight="1">
      <c r="B9775" s="37"/>
    </row>
    <row r="9776" spans="2:2" ht="15.95" customHeight="1">
      <c r="B9776" s="37"/>
    </row>
    <row r="9777" spans="2:2" ht="15.95" customHeight="1">
      <c r="B9777" s="37"/>
    </row>
    <row r="9778" spans="2:2" ht="15.95" customHeight="1">
      <c r="B9778" s="37"/>
    </row>
    <row r="9779" spans="2:2" ht="15.95" customHeight="1">
      <c r="B9779" s="37"/>
    </row>
    <row r="9780" spans="2:2" ht="15.95" customHeight="1">
      <c r="B9780" s="37"/>
    </row>
    <row r="9781" spans="2:2" ht="15.95" customHeight="1">
      <c r="B9781" s="37"/>
    </row>
    <row r="9782" spans="2:2" ht="15.95" customHeight="1">
      <c r="B9782" s="37"/>
    </row>
    <row r="9783" spans="2:2" ht="15.95" customHeight="1">
      <c r="B9783" s="37"/>
    </row>
    <row r="9784" spans="2:2" ht="15.95" customHeight="1">
      <c r="B9784" s="37"/>
    </row>
    <row r="9785" spans="2:2" ht="15.95" customHeight="1">
      <c r="B9785" s="37"/>
    </row>
    <row r="9786" spans="2:2" ht="15.95" customHeight="1">
      <c r="B9786" s="37"/>
    </row>
    <row r="9787" spans="2:2" ht="15.95" customHeight="1">
      <c r="B9787" s="37"/>
    </row>
    <row r="9788" spans="2:2" ht="15.95" customHeight="1">
      <c r="B9788" s="37"/>
    </row>
    <row r="9789" spans="2:2" ht="15.95" customHeight="1">
      <c r="B9789" s="37"/>
    </row>
    <row r="9790" spans="2:2" ht="15.95" customHeight="1">
      <c r="B9790" s="37"/>
    </row>
    <row r="9791" spans="2:2" ht="15.95" customHeight="1">
      <c r="B9791" s="37"/>
    </row>
    <row r="9792" spans="2:2" ht="15.95" customHeight="1">
      <c r="B9792" s="37"/>
    </row>
    <row r="9793" spans="2:2" ht="15.95" customHeight="1">
      <c r="B9793" s="37"/>
    </row>
    <row r="9794" spans="2:2" ht="15.95" customHeight="1">
      <c r="B9794" s="37"/>
    </row>
    <row r="9795" spans="2:2" ht="15.95" customHeight="1">
      <c r="B9795" s="37"/>
    </row>
    <row r="9796" spans="2:2" ht="15.95" customHeight="1">
      <c r="B9796" s="37"/>
    </row>
    <row r="9797" spans="2:2" ht="15.95" customHeight="1">
      <c r="B9797" s="37"/>
    </row>
    <row r="9798" spans="2:2" ht="15.95" customHeight="1">
      <c r="B9798" s="37"/>
    </row>
    <row r="9799" spans="2:2" ht="15.95" customHeight="1">
      <c r="B9799" s="37"/>
    </row>
    <row r="9800" spans="2:2" ht="15.95" customHeight="1">
      <c r="B9800" s="37"/>
    </row>
    <row r="9801" spans="2:2" ht="15.95" customHeight="1">
      <c r="B9801" s="37"/>
    </row>
    <row r="9802" spans="2:2" ht="15.95" customHeight="1">
      <c r="B9802" s="37"/>
    </row>
    <row r="9803" spans="2:2" ht="15.95" customHeight="1">
      <c r="B9803" s="37"/>
    </row>
    <row r="9804" spans="2:2" ht="15.95" customHeight="1">
      <c r="B9804" s="37"/>
    </row>
    <row r="9805" spans="2:2" ht="15.95" customHeight="1">
      <c r="B9805" s="37"/>
    </row>
    <row r="9806" spans="2:2" ht="15.95" customHeight="1">
      <c r="B9806" s="37"/>
    </row>
    <row r="9807" spans="2:2" ht="15.95" customHeight="1">
      <c r="B9807" s="37"/>
    </row>
    <row r="9808" spans="2:2" ht="15.95" customHeight="1">
      <c r="B9808" s="37"/>
    </row>
    <row r="9809" spans="2:2" ht="15.95" customHeight="1">
      <c r="B9809" s="37"/>
    </row>
    <row r="9810" spans="2:2" ht="15.95" customHeight="1">
      <c r="B9810" s="37"/>
    </row>
    <row r="9811" spans="2:2" ht="15.95" customHeight="1">
      <c r="B9811" s="37"/>
    </row>
    <row r="9812" spans="2:2" ht="15.95" customHeight="1">
      <c r="B9812" s="37"/>
    </row>
    <row r="9813" spans="2:2" ht="15.95" customHeight="1">
      <c r="B9813" s="37"/>
    </row>
    <row r="9814" spans="2:2" ht="15.95" customHeight="1">
      <c r="B9814" s="37"/>
    </row>
    <row r="9815" spans="2:2" ht="15.95" customHeight="1">
      <c r="B9815" s="37"/>
    </row>
    <row r="9816" spans="2:2" ht="15.95" customHeight="1">
      <c r="B9816" s="37"/>
    </row>
    <row r="9817" spans="2:2" ht="15.95" customHeight="1">
      <c r="B9817" s="37"/>
    </row>
    <row r="9818" spans="2:2" ht="15.95" customHeight="1">
      <c r="B9818" s="37"/>
    </row>
    <row r="9819" spans="2:2" ht="15.95" customHeight="1">
      <c r="B9819" s="37"/>
    </row>
    <row r="9820" spans="2:2" ht="15.95" customHeight="1">
      <c r="B9820" s="37"/>
    </row>
    <row r="9821" spans="2:2" ht="15.95" customHeight="1">
      <c r="B9821" s="37"/>
    </row>
    <row r="9822" spans="2:2" ht="15.95" customHeight="1">
      <c r="B9822" s="37"/>
    </row>
    <row r="9823" spans="2:2" ht="15.95" customHeight="1">
      <c r="B9823" s="37"/>
    </row>
    <row r="9824" spans="2:2" ht="15.95" customHeight="1">
      <c r="B9824" s="37"/>
    </row>
    <row r="9825" spans="2:2" ht="15.95" customHeight="1">
      <c r="B9825" s="37"/>
    </row>
    <row r="9826" spans="2:2" ht="15.95" customHeight="1">
      <c r="B9826" s="37"/>
    </row>
    <row r="9827" spans="2:2" ht="15.95" customHeight="1">
      <c r="B9827" s="37"/>
    </row>
    <row r="9828" spans="2:2" ht="15.95" customHeight="1">
      <c r="B9828" s="37"/>
    </row>
    <row r="9829" spans="2:2" ht="15.95" customHeight="1">
      <c r="B9829" s="37"/>
    </row>
    <row r="9830" spans="2:2" ht="15.95" customHeight="1">
      <c r="B9830" s="37"/>
    </row>
    <row r="9831" spans="2:2" ht="15.95" customHeight="1">
      <c r="B9831" s="37"/>
    </row>
    <row r="9832" spans="2:2" ht="15.95" customHeight="1">
      <c r="B9832" s="37"/>
    </row>
    <row r="9833" spans="2:2" ht="15.95" customHeight="1">
      <c r="B9833" s="37"/>
    </row>
    <row r="9834" spans="2:2" ht="15.95" customHeight="1">
      <c r="B9834" s="37"/>
    </row>
    <row r="9835" spans="2:2" ht="15.95" customHeight="1">
      <c r="B9835" s="37"/>
    </row>
    <row r="9836" spans="2:2" ht="15.95" customHeight="1">
      <c r="B9836" s="37"/>
    </row>
    <row r="9837" spans="2:2" ht="15.95" customHeight="1">
      <c r="B9837" s="37"/>
    </row>
    <row r="9838" spans="2:2" ht="15.95" customHeight="1">
      <c r="B9838" s="37"/>
    </row>
    <row r="9839" spans="2:2" ht="15.95" customHeight="1">
      <c r="B9839" s="37"/>
    </row>
    <row r="9840" spans="2:2" ht="15.95" customHeight="1">
      <c r="B9840" s="37"/>
    </row>
    <row r="9841" spans="2:2" ht="15.95" customHeight="1">
      <c r="B9841" s="37"/>
    </row>
    <row r="9842" spans="2:2" ht="15.95" customHeight="1">
      <c r="B9842" s="37"/>
    </row>
    <row r="9843" spans="2:2" ht="15.95" customHeight="1">
      <c r="B9843" s="37"/>
    </row>
    <row r="9844" spans="2:2" ht="15.95" customHeight="1">
      <c r="B9844" s="37"/>
    </row>
    <row r="9845" spans="2:2" ht="15.95" customHeight="1">
      <c r="B9845" s="37"/>
    </row>
    <row r="9846" spans="2:2" ht="15.95" customHeight="1">
      <c r="B9846" s="37"/>
    </row>
    <row r="9847" spans="2:2" ht="15.95" customHeight="1">
      <c r="B9847" s="37"/>
    </row>
    <row r="9848" spans="2:2" ht="15.95" customHeight="1">
      <c r="B9848" s="37"/>
    </row>
    <row r="9849" spans="2:2" ht="15.95" customHeight="1">
      <c r="B9849" s="37"/>
    </row>
    <row r="9850" spans="2:2" ht="15.95" customHeight="1">
      <c r="B9850" s="37"/>
    </row>
    <row r="9851" spans="2:2" ht="15.95" customHeight="1">
      <c r="B9851" s="37"/>
    </row>
    <row r="9852" spans="2:2" ht="15.95" customHeight="1">
      <c r="B9852" s="37"/>
    </row>
    <row r="9853" spans="2:2" ht="15.95" customHeight="1">
      <c r="B9853" s="37"/>
    </row>
    <row r="9854" spans="2:2" ht="15.95" customHeight="1">
      <c r="B9854" s="37"/>
    </row>
    <row r="9855" spans="2:2" ht="15.95" customHeight="1">
      <c r="B9855" s="37"/>
    </row>
    <row r="9856" spans="2:2" ht="15.95" customHeight="1">
      <c r="B9856" s="37"/>
    </row>
    <row r="9857" spans="2:2" ht="15.95" customHeight="1">
      <c r="B9857" s="37"/>
    </row>
    <row r="9858" spans="2:2" ht="15.95" customHeight="1">
      <c r="B9858" s="37"/>
    </row>
    <row r="9859" spans="2:2" ht="15.95" customHeight="1">
      <c r="B9859" s="37"/>
    </row>
    <row r="9860" spans="2:2" ht="15.95" customHeight="1">
      <c r="B9860" s="37"/>
    </row>
    <row r="9861" spans="2:2" ht="15.95" customHeight="1">
      <c r="B9861" s="37"/>
    </row>
    <row r="9862" spans="2:2" ht="15.95" customHeight="1">
      <c r="B9862" s="37"/>
    </row>
    <row r="9863" spans="2:2" ht="15.95" customHeight="1">
      <c r="B9863" s="37"/>
    </row>
    <row r="9864" spans="2:2" ht="15.95" customHeight="1">
      <c r="B9864" s="37"/>
    </row>
    <row r="9865" spans="2:2" ht="15.95" customHeight="1">
      <c r="B9865" s="37"/>
    </row>
    <row r="9866" spans="2:2" ht="15.95" customHeight="1">
      <c r="B9866" s="37"/>
    </row>
    <row r="9867" spans="2:2" ht="15.95" customHeight="1">
      <c r="B9867" s="37"/>
    </row>
    <row r="9868" spans="2:2" ht="15.95" customHeight="1">
      <c r="B9868" s="37"/>
    </row>
    <row r="9869" spans="2:2" ht="15.95" customHeight="1">
      <c r="B9869" s="37"/>
    </row>
    <row r="9870" spans="2:2" ht="15.95" customHeight="1">
      <c r="B9870" s="37"/>
    </row>
    <row r="9871" spans="2:2" ht="15.95" customHeight="1">
      <c r="B9871" s="37"/>
    </row>
    <row r="9872" spans="2:2" ht="15.95" customHeight="1">
      <c r="B9872" s="37"/>
    </row>
    <row r="9873" spans="2:2" ht="15.95" customHeight="1">
      <c r="B9873" s="37"/>
    </row>
    <row r="9874" spans="2:2" ht="15.95" customHeight="1">
      <c r="B9874" s="37"/>
    </row>
    <row r="9875" spans="2:2" ht="15.95" customHeight="1">
      <c r="B9875" s="37"/>
    </row>
    <row r="9876" spans="2:2" ht="15.95" customHeight="1">
      <c r="B9876" s="37"/>
    </row>
    <row r="9877" spans="2:2" ht="15.95" customHeight="1">
      <c r="B9877" s="37"/>
    </row>
    <row r="9878" spans="2:2" ht="15.95" customHeight="1">
      <c r="B9878" s="37"/>
    </row>
    <row r="9879" spans="2:2" ht="15.95" customHeight="1">
      <c r="B9879" s="37"/>
    </row>
    <row r="9880" spans="2:2" ht="15.95" customHeight="1">
      <c r="B9880" s="37"/>
    </row>
    <row r="9881" spans="2:2" ht="15.95" customHeight="1">
      <c r="B9881" s="37"/>
    </row>
    <row r="9882" spans="2:2" ht="15.95" customHeight="1">
      <c r="B9882" s="37"/>
    </row>
    <row r="9883" spans="2:2" ht="15.95" customHeight="1">
      <c r="B9883" s="37"/>
    </row>
    <row r="9884" spans="2:2" ht="15.95" customHeight="1">
      <c r="B9884" s="37"/>
    </row>
    <row r="9885" spans="2:2" ht="15.95" customHeight="1">
      <c r="B9885" s="37"/>
    </row>
    <row r="9886" spans="2:2" ht="15.95" customHeight="1">
      <c r="B9886" s="37"/>
    </row>
    <row r="9887" spans="2:2" ht="15.95" customHeight="1">
      <c r="B9887" s="37"/>
    </row>
    <row r="9888" spans="2:2" ht="15.95" customHeight="1">
      <c r="B9888" s="37"/>
    </row>
    <row r="9889" spans="2:2" ht="15.95" customHeight="1">
      <c r="B9889" s="37"/>
    </row>
    <row r="9890" spans="2:2" ht="15.95" customHeight="1">
      <c r="B9890" s="37"/>
    </row>
    <row r="9891" spans="2:2" ht="15.95" customHeight="1">
      <c r="B9891" s="37"/>
    </row>
    <row r="9892" spans="2:2" ht="15.95" customHeight="1">
      <c r="B9892" s="37"/>
    </row>
    <row r="9893" spans="2:2" ht="15.95" customHeight="1">
      <c r="B9893" s="37"/>
    </row>
    <row r="9894" spans="2:2" ht="15.95" customHeight="1">
      <c r="B9894" s="37"/>
    </row>
    <row r="9895" spans="2:2" ht="15.95" customHeight="1">
      <c r="B9895" s="37"/>
    </row>
    <row r="9896" spans="2:2" ht="15.95" customHeight="1">
      <c r="B9896" s="37"/>
    </row>
    <row r="9897" spans="2:2" ht="15.95" customHeight="1">
      <c r="B9897" s="37"/>
    </row>
    <row r="9898" spans="2:2" ht="15.95" customHeight="1">
      <c r="B9898" s="37"/>
    </row>
    <row r="9899" spans="2:2" ht="15.95" customHeight="1">
      <c r="B9899" s="37"/>
    </row>
    <row r="9900" spans="2:2" ht="15.95" customHeight="1">
      <c r="B9900" s="37"/>
    </row>
    <row r="9901" spans="2:2" ht="15.95" customHeight="1">
      <c r="B9901" s="37"/>
    </row>
    <row r="9902" spans="2:2" ht="15.95" customHeight="1">
      <c r="B9902" s="37"/>
    </row>
    <row r="9903" spans="2:2" ht="15.95" customHeight="1">
      <c r="B9903" s="37"/>
    </row>
    <row r="9904" spans="2:2" ht="15.95" customHeight="1">
      <c r="B9904" s="37"/>
    </row>
    <row r="9905" spans="2:2" ht="15.95" customHeight="1">
      <c r="B9905" s="37"/>
    </row>
    <row r="9906" spans="2:2" ht="15.95" customHeight="1">
      <c r="B9906" s="37"/>
    </row>
    <row r="9907" spans="2:2" ht="15.95" customHeight="1">
      <c r="B9907" s="37"/>
    </row>
    <row r="9908" spans="2:2" ht="15.95" customHeight="1">
      <c r="B9908" s="37"/>
    </row>
    <row r="9909" spans="2:2" ht="15.95" customHeight="1">
      <c r="B9909" s="37"/>
    </row>
    <row r="9910" spans="2:2" ht="15.95" customHeight="1">
      <c r="B9910" s="37"/>
    </row>
    <row r="9911" spans="2:2" ht="15.95" customHeight="1">
      <c r="B9911" s="37"/>
    </row>
    <row r="9912" spans="2:2" ht="15.95" customHeight="1">
      <c r="B9912" s="37"/>
    </row>
    <row r="9913" spans="2:2" ht="15.95" customHeight="1">
      <c r="B9913" s="37"/>
    </row>
    <row r="9914" spans="2:2" ht="15.95" customHeight="1">
      <c r="B9914" s="37"/>
    </row>
    <row r="9915" spans="2:2" ht="15.95" customHeight="1">
      <c r="B9915" s="37"/>
    </row>
    <row r="9916" spans="2:2" ht="15.95" customHeight="1">
      <c r="B9916" s="37"/>
    </row>
    <row r="9917" spans="2:2" ht="15.95" customHeight="1">
      <c r="B9917" s="37"/>
    </row>
    <row r="9918" spans="2:2" ht="15.95" customHeight="1">
      <c r="B9918" s="37"/>
    </row>
    <row r="9919" spans="2:2" ht="15.95" customHeight="1">
      <c r="B9919" s="37"/>
    </row>
    <row r="9920" spans="2:2" ht="15.95" customHeight="1">
      <c r="B9920" s="37"/>
    </row>
    <row r="9921" spans="2:2" ht="15.95" customHeight="1">
      <c r="B9921" s="37"/>
    </row>
    <row r="9922" spans="2:2" ht="15.95" customHeight="1">
      <c r="B9922" s="37"/>
    </row>
    <row r="9923" spans="2:2" ht="15.95" customHeight="1">
      <c r="B9923" s="37"/>
    </row>
    <row r="9924" spans="2:2" ht="15.95" customHeight="1">
      <c r="B9924" s="37"/>
    </row>
    <row r="9925" spans="2:2" ht="15.95" customHeight="1">
      <c r="B9925" s="37"/>
    </row>
    <row r="9926" spans="2:2" ht="15.95" customHeight="1">
      <c r="B9926" s="37"/>
    </row>
    <row r="9927" spans="2:2" ht="15.95" customHeight="1">
      <c r="B9927" s="37"/>
    </row>
    <row r="9928" spans="2:2" ht="15.95" customHeight="1">
      <c r="B9928" s="37"/>
    </row>
    <row r="9929" spans="2:2" ht="15.95" customHeight="1">
      <c r="B9929" s="37"/>
    </row>
    <row r="9930" spans="2:2" ht="15.95" customHeight="1">
      <c r="B9930" s="37"/>
    </row>
    <row r="9931" spans="2:2" ht="15.95" customHeight="1">
      <c r="B9931" s="37"/>
    </row>
    <row r="9932" spans="2:2" ht="15.95" customHeight="1">
      <c r="B9932" s="37"/>
    </row>
    <row r="9933" spans="2:2" ht="15.95" customHeight="1">
      <c r="B9933" s="37"/>
    </row>
    <row r="9934" spans="2:2" ht="15.95" customHeight="1">
      <c r="B9934" s="37"/>
    </row>
    <row r="9935" spans="2:2" ht="15.95" customHeight="1">
      <c r="B9935" s="37"/>
    </row>
    <row r="9936" spans="2:2" ht="15.95" customHeight="1">
      <c r="B9936" s="37"/>
    </row>
    <row r="9937" spans="2:2" ht="15.95" customHeight="1">
      <c r="B9937" s="37"/>
    </row>
    <row r="9938" spans="2:2" ht="15.95" customHeight="1">
      <c r="B9938" s="37"/>
    </row>
    <row r="9939" spans="2:2" ht="15.95" customHeight="1">
      <c r="B9939" s="37"/>
    </row>
    <row r="9940" spans="2:2" ht="15.95" customHeight="1">
      <c r="B9940" s="37"/>
    </row>
    <row r="9941" spans="2:2" ht="15.95" customHeight="1">
      <c r="B9941" s="37"/>
    </row>
    <row r="9942" spans="2:2" ht="15.95" customHeight="1">
      <c r="B9942" s="37"/>
    </row>
    <row r="9943" spans="2:2" ht="15.95" customHeight="1">
      <c r="B9943" s="37"/>
    </row>
    <row r="9944" spans="2:2" ht="15.95" customHeight="1">
      <c r="B9944" s="37"/>
    </row>
    <row r="9945" spans="2:2" ht="15.95" customHeight="1">
      <c r="B9945" s="37"/>
    </row>
    <row r="9946" spans="2:2" ht="15.95" customHeight="1">
      <c r="B9946" s="37"/>
    </row>
    <row r="9947" spans="2:2" ht="15.95" customHeight="1">
      <c r="B9947" s="37"/>
    </row>
    <row r="9948" spans="2:2" ht="15.95" customHeight="1">
      <c r="B9948" s="37"/>
    </row>
    <row r="9949" spans="2:2" ht="15.95" customHeight="1">
      <c r="B9949" s="37"/>
    </row>
    <row r="9950" spans="2:2" ht="15.95" customHeight="1">
      <c r="B9950" s="37"/>
    </row>
    <row r="9951" spans="2:2" ht="15.95" customHeight="1">
      <c r="B9951" s="37"/>
    </row>
    <row r="9952" spans="2:2" ht="15.95" customHeight="1">
      <c r="B9952" s="37"/>
    </row>
    <row r="9953" spans="2:2" ht="15.95" customHeight="1">
      <c r="B9953" s="37"/>
    </row>
    <row r="9954" spans="2:2" ht="15.95" customHeight="1">
      <c r="B9954" s="37"/>
    </row>
    <row r="9955" spans="2:2" ht="15.95" customHeight="1">
      <c r="B9955" s="37"/>
    </row>
    <row r="9956" spans="2:2" ht="15.95" customHeight="1">
      <c r="B9956" s="37"/>
    </row>
    <row r="9957" spans="2:2" ht="15.95" customHeight="1">
      <c r="B9957" s="37"/>
    </row>
    <row r="9958" spans="2:2" ht="15.95" customHeight="1">
      <c r="B9958" s="37"/>
    </row>
    <row r="9959" spans="2:2" ht="15.95" customHeight="1">
      <c r="B9959" s="37"/>
    </row>
    <row r="9960" spans="2:2" ht="15.95" customHeight="1">
      <c r="B9960" s="37"/>
    </row>
    <row r="9961" spans="2:2" ht="15.95" customHeight="1">
      <c r="B9961" s="37"/>
    </row>
    <row r="9962" spans="2:2" ht="15.95" customHeight="1">
      <c r="B9962" s="37"/>
    </row>
    <row r="9963" spans="2:2" ht="15.95" customHeight="1">
      <c r="B9963" s="37"/>
    </row>
    <row r="9964" spans="2:2" ht="15.95" customHeight="1">
      <c r="B9964" s="37"/>
    </row>
    <row r="9965" spans="2:2" ht="15.95" customHeight="1">
      <c r="B9965" s="37"/>
    </row>
    <row r="9966" spans="2:2" ht="15.95" customHeight="1">
      <c r="B9966" s="37"/>
    </row>
    <row r="9967" spans="2:2" ht="15.95" customHeight="1">
      <c r="B9967" s="37"/>
    </row>
    <row r="9968" spans="2:2" ht="15.95" customHeight="1">
      <c r="B9968" s="37"/>
    </row>
    <row r="9969" spans="2:2" ht="15.95" customHeight="1">
      <c r="B9969" s="37"/>
    </row>
    <row r="9970" spans="2:2" ht="15.95" customHeight="1">
      <c r="B9970" s="37"/>
    </row>
    <row r="9971" spans="2:2" ht="15.95" customHeight="1">
      <c r="B9971" s="37"/>
    </row>
    <row r="9972" spans="2:2" ht="15.95" customHeight="1">
      <c r="B9972" s="37"/>
    </row>
    <row r="9973" spans="2:2" ht="15.95" customHeight="1">
      <c r="B9973" s="37"/>
    </row>
    <row r="9974" spans="2:2" ht="15.95" customHeight="1">
      <c r="B9974" s="37"/>
    </row>
    <row r="9975" spans="2:2" ht="15.95" customHeight="1">
      <c r="B9975" s="37"/>
    </row>
    <row r="9976" spans="2:2" ht="15.95" customHeight="1">
      <c r="B9976" s="37"/>
    </row>
    <row r="9977" spans="2:2" ht="15.95" customHeight="1">
      <c r="B9977" s="37"/>
    </row>
    <row r="9978" spans="2:2" ht="15.95" customHeight="1">
      <c r="B9978" s="37"/>
    </row>
    <row r="9979" spans="2:2" ht="15.95" customHeight="1">
      <c r="B9979" s="37"/>
    </row>
    <row r="9980" spans="2:2" ht="15.95" customHeight="1">
      <c r="B9980" s="37"/>
    </row>
    <row r="9981" spans="2:2" ht="15.95" customHeight="1">
      <c r="B9981" s="37"/>
    </row>
    <row r="9982" spans="2:2" ht="15.95" customHeight="1">
      <c r="B9982" s="37"/>
    </row>
    <row r="9983" spans="2:2" ht="15.95" customHeight="1">
      <c r="B9983" s="37"/>
    </row>
    <row r="9984" spans="2:2" ht="15.95" customHeight="1">
      <c r="B9984" s="37"/>
    </row>
    <row r="9985" spans="2:2" ht="15.95" customHeight="1">
      <c r="B9985" s="37"/>
    </row>
    <row r="9986" spans="2:2" ht="15.95" customHeight="1">
      <c r="B9986" s="37"/>
    </row>
    <row r="9987" spans="2:2" ht="15.95" customHeight="1">
      <c r="B9987" s="37"/>
    </row>
    <row r="9988" spans="2:2" ht="15.95" customHeight="1">
      <c r="B9988" s="37"/>
    </row>
    <row r="9989" spans="2:2" ht="15.95" customHeight="1">
      <c r="B9989" s="37"/>
    </row>
    <row r="9990" spans="2:2" ht="15.95" customHeight="1">
      <c r="B9990" s="37"/>
    </row>
    <row r="9991" spans="2:2" ht="15.95" customHeight="1">
      <c r="B9991" s="37"/>
    </row>
    <row r="9992" spans="2:2" ht="15.95" customHeight="1">
      <c r="B9992" s="37"/>
    </row>
    <row r="9993" spans="2:2" ht="15.95" customHeight="1">
      <c r="B9993" s="37"/>
    </row>
    <row r="9994" spans="2:2" ht="15.95" customHeight="1">
      <c r="B9994" s="37"/>
    </row>
    <row r="9995" spans="2:2" ht="15.95" customHeight="1">
      <c r="B9995" s="37"/>
    </row>
    <row r="9996" spans="2:2" ht="15.95" customHeight="1">
      <c r="B9996" s="37"/>
    </row>
    <row r="9997" spans="2:2" ht="15.95" customHeight="1">
      <c r="B9997" s="37"/>
    </row>
    <row r="9998" spans="2:2" ht="15.95" customHeight="1">
      <c r="B9998" s="37"/>
    </row>
    <row r="9999" spans="2:2" ht="15.95" customHeight="1">
      <c r="B9999" s="37"/>
    </row>
    <row r="10000" spans="2:2" ht="15.95" customHeight="1">
      <c r="B10000" s="37"/>
    </row>
    <row r="10001" spans="2:2" ht="15.95" customHeight="1">
      <c r="B10001" s="37"/>
    </row>
    <row r="10002" spans="2:2" ht="15.95" customHeight="1">
      <c r="B10002" s="37"/>
    </row>
    <row r="10003" spans="2:2" ht="15.95" customHeight="1">
      <c r="B10003" s="37"/>
    </row>
    <row r="10004" spans="2:2" ht="15.95" customHeight="1">
      <c r="B10004" s="37"/>
    </row>
    <row r="10005" spans="2:2" ht="15.95" customHeight="1">
      <c r="B10005" s="37"/>
    </row>
    <row r="10006" spans="2:2" ht="15.95" customHeight="1">
      <c r="B10006" s="37"/>
    </row>
    <row r="10007" spans="2:2" ht="15.95" customHeight="1">
      <c r="B10007" s="37"/>
    </row>
    <row r="10008" spans="2:2" ht="15.95" customHeight="1">
      <c r="B10008" s="37"/>
    </row>
    <row r="10009" spans="2:2" ht="15.95" customHeight="1">
      <c r="B10009" s="37"/>
    </row>
    <row r="10010" spans="2:2" ht="15.95" customHeight="1">
      <c r="B10010" s="37"/>
    </row>
    <row r="10011" spans="2:2" ht="15.95" customHeight="1">
      <c r="B10011" s="37"/>
    </row>
    <row r="10012" spans="2:2" ht="15.95" customHeight="1">
      <c r="B10012" s="37"/>
    </row>
    <row r="10013" spans="2:2" ht="15.95" customHeight="1">
      <c r="B10013" s="37"/>
    </row>
    <row r="10014" spans="2:2" ht="15.95" customHeight="1">
      <c r="B10014" s="37"/>
    </row>
    <row r="10015" spans="2:2" ht="15.95" customHeight="1">
      <c r="B10015" s="37"/>
    </row>
    <row r="10016" spans="2:2" ht="15.95" customHeight="1">
      <c r="B10016" s="37"/>
    </row>
    <row r="10017" spans="2:2" ht="15.95" customHeight="1">
      <c r="B10017" s="37"/>
    </row>
    <row r="10018" spans="2:2" ht="15.95" customHeight="1">
      <c r="B10018" s="37"/>
    </row>
    <row r="10019" spans="2:2" ht="15.95" customHeight="1">
      <c r="B10019" s="37"/>
    </row>
    <row r="10020" spans="2:2" ht="15.95" customHeight="1">
      <c r="B10020" s="37"/>
    </row>
    <row r="10021" spans="2:2" ht="15.95" customHeight="1">
      <c r="B10021" s="37"/>
    </row>
    <row r="10022" spans="2:2" ht="15.95" customHeight="1">
      <c r="B10022" s="37"/>
    </row>
    <row r="10023" spans="2:2" ht="15.95" customHeight="1">
      <c r="B10023" s="37"/>
    </row>
    <row r="10024" spans="2:2" ht="15.95" customHeight="1">
      <c r="B10024" s="37"/>
    </row>
    <row r="10025" spans="2:2" ht="15.95" customHeight="1">
      <c r="B10025" s="37"/>
    </row>
    <row r="10026" spans="2:2" ht="15.95" customHeight="1">
      <c r="B10026" s="37"/>
    </row>
    <row r="10027" spans="2:2" ht="15.95" customHeight="1">
      <c r="B10027" s="37"/>
    </row>
    <row r="10028" spans="2:2" ht="15.95" customHeight="1">
      <c r="B10028" s="37"/>
    </row>
    <row r="10029" spans="2:2" ht="15.95" customHeight="1">
      <c r="B10029" s="37"/>
    </row>
    <row r="10030" spans="2:2" ht="15.95" customHeight="1">
      <c r="B10030" s="37"/>
    </row>
    <row r="10031" spans="2:2" ht="15.95" customHeight="1">
      <c r="B10031" s="37"/>
    </row>
    <row r="10032" spans="2:2" ht="15.95" customHeight="1">
      <c r="B10032" s="37"/>
    </row>
    <row r="10033" spans="2:2" ht="15.95" customHeight="1">
      <c r="B10033" s="37"/>
    </row>
    <row r="10034" spans="2:2" ht="15.95" customHeight="1">
      <c r="B10034" s="37"/>
    </row>
    <row r="10035" spans="2:2" ht="15.95" customHeight="1">
      <c r="B10035" s="37"/>
    </row>
    <row r="10036" spans="2:2" ht="15.95" customHeight="1">
      <c r="B10036" s="37"/>
    </row>
    <row r="10037" spans="2:2" ht="15.95" customHeight="1">
      <c r="B10037" s="37"/>
    </row>
    <row r="10038" spans="2:2" ht="15.95" customHeight="1">
      <c r="B10038" s="37"/>
    </row>
    <row r="10039" spans="2:2" ht="15.95" customHeight="1">
      <c r="B10039" s="37"/>
    </row>
    <row r="10040" spans="2:2" ht="15.95" customHeight="1">
      <c r="B10040" s="37"/>
    </row>
    <row r="10041" spans="2:2" ht="15.95" customHeight="1">
      <c r="B10041" s="37"/>
    </row>
    <row r="10042" spans="2:2" ht="15.95" customHeight="1">
      <c r="B10042" s="37"/>
    </row>
    <row r="10043" spans="2:2" ht="15.95" customHeight="1">
      <c r="B10043" s="37"/>
    </row>
    <row r="10044" spans="2:2" ht="15.95" customHeight="1">
      <c r="B10044" s="37"/>
    </row>
    <row r="10045" spans="2:2" ht="15.95" customHeight="1">
      <c r="B10045" s="37"/>
    </row>
    <row r="10046" spans="2:2" ht="15.95" customHeight="1">
      <c r="B10046" s="37"/>
    </row>
    <row r="10047" spans="2:2" ht="15.95" customHeight="1">
      <c r="B10047" s="37"/>
    </row>
    <row r="10048" spans="2:2" ht="15.95" customHeight="1">
      <c r="B10048" s="37"/>
    </row>
    <row r="10049" spans="2:2" ht="15.95" customHeight="1">
      <c r="B10049" s="37"/>
    </row>
    <row r="10050" spans="2:2" ht="15.95" customHeight="1">
      <c r="B10050" s="37"/>
    </row>
    <row r="10051" spans="2:2" ht="15.95" customHeight="1">
      <c r="B10051" s="37"/>
    </row>
    <row r="10052" spans="2:2" ht="15.95" customHeight="1">
      <c r="B10052" s="37"/>
    </row>
    <row r="10053" spans="2:2" ht="15.95" customHeight="1">
      <c r="B10053" s="37"/>
    </row>
    <row r="10054" spans="2:2" ht="15.95" customHeight="1">
      <c r="B10054" s="37"/>
    </row>
    <row r="10055" spans="2:2" ht="15.95" customHeight="1">
      <c r="B10055" s="37"/>
    </row>
    <row r="10056" spans="2:2" ht="15.95" customHeight="1">
      <c r="B10056" s="37"/>
    </row>
    <row r="10057" spans="2:2" ht="15.95" customHeight="1">
      <c r="B10057" s="37"/>
    </row>
    <row r="10058" spans="2:2" ht="15.95" customHeight="1">
      <c r="B10058" s="37"/>
    </row>
    <row r="10059" spans="2:2" ht="15.95" customHeight="1">
      <c r="B10059" s="37"/>
    </row>
    <row r="10060" spans="2:2" ht="15.95" customHeight="1">
      <c r="B10060" s="37"/>
    </row>
    <row r="10061" spans="2:2" ht="15.95" customHeight="1">
      <c r="B10061" s="37"/>
    </row>
    <row r="10062" spans="2:2" ht="15.95" customHeight="1">
      <c r="B10062" s="37"/>
    </row>
    <row r="10063" spans="2:2" ht="15.95" customHeight="1">
      <c r="B10063" s="37"/>
    </row>
    <row r="10064" spans="2:2" ht="15.95" customHeight="1">
      <c r="B10064" s="37"/>
    </row>
    <row r="10065" spans="2:2" ht="15.95" customHeight="1">
      <c r="B10065" s="37"/>
    </row>
    <row r="10066" spans="2:2" ht="15.95" customHeight="1">
      <c r="B10066" s="37"/>
    </row>
    <row r="10067" spans="2:2" ht="15.95" customHeight="1">
      <c r="B10067" s="37"/>
    </row>
    <row r="10068" spans="2:2" ht="15.95" customHeight="1">
      <c r="B10068" s="37"/>
    </row>
    <row r="10069" spans="2:2" ht="15.95" customHeight="1">
      <c r="B10069" s="37"/>
    </row>
    <row r="10070" spans="2:2" ht="15.95" customHeight="1">
      <c r="B10070" s="37"/>
    </row>
    <row r="10071" spans="2:2" ht="15.95" customHeight="1">
      <c r="B10071" s="37"/>
    </row>
    <row r="10072" spans="2:2" ht="15.95" customHeight="1">
      <c r="B10072" s="37"/>
    </row>
    <row r="10073" spans="2:2" ht="15.95" customHeight="1">
      <c r="B10073" s="37"/>
    </row>
    <row r="10074" spans="2:2" ht="15.95" customHeight="1">
      <c r="B10074" s="37"/>
    </row>
    <row r="10075" spans="2:2" ht="15.95" customHeight="1">
      <c r="B10075" s="37"/>
    </row>
    <row r="10076" spans="2:2" ht="15.95" customHeight="1">
      <c r="B10076" s="37"/>
    </row>
    <row r="10077" spans="2:2" ht="15.95" customHeight="1">
      <c r="B10077" s="37"/>
    </row>
    <row r="10078" spans="2:2" ht="15.95" customHeight="1">
      <c r="B10078" s="37"/>
    </row>
    <row r="10079" spans="2:2" ht="15.95" customHeight="1">
      <c r="B10079" s="37"/>
    </row>
    <row r="10080" spans="2:2" ht="15.95" customHeight="1">
      <c r="B10080" s="37"/>
    </row>
    <row r="10081" spans="2:2" ht="15.95" customHeight="1">
      <c r="B10081" s="37"/>
    </row>
    <row r="10082" spans="2:2" ht="15.95" customHeight="1">
      <c r="B10082" s="37"/>
    </row>
    <row r="10083" spans="2:2" ht="15.95" customHeight="1">
      <c r="B10083" s="37"/>
    </row>
    <row r="10084" spans="2:2" ht="15.95" customHeight="1">
      <c r="B10084" s="37"/>
    </row>
    <row r="10085" spans="2:2" ht="15.95" customHeight="1">
      <c r="B10085" s="37"/>
    </row>
    <row r="10086" spans="2:2" ht="15.95" customHeight="1">
      <c r="B10086" s="37"/>
    </row>
    <row r="10087" spans="2:2" ht="15.95" customHeight="1">
      <c r="B10087" s="37"/>
    </row>
    <row r="10088" spans="2:2" ht="15.95" customHeight="1">
      <c r="B10088" s="37"/>
    </row>
    <row r="10089" spans="2:2" ht="15.95" customHeight="1">
      <c r="B10089" s="37"/>
    </row>
    <row r="10090" spans="2:2" ht="15.95" customHeight="1">
      <c r="B10090" s="37"/>
    </row>
    <row r="10091" spans="2:2" ht="15.95" customHeight="1">
      <c r="B10091" s="37"/>
    </row>
    <row r="10092" spans="2:2" ht="15.95" customHeight="1">
      <c r="B10092" s="37"/>
    </row>
    <row r="10093" spans="2:2" ht="15.95" customHeight="1">
      <c r="B10093" s="37"/>
    </row>
    <row r="10094" spans="2:2" ht="15.95" customHeight="1">
      <c r="B10094" s="37"/>
    </row>
    <row r="10095" spans="2:2" ht="15.95" customHeight="1">
      <c r="B10095" s="37"/>
    </row>
    <row r="10096" spans="2:2" ht="15.95" customHeight="1">
      <c r="B10096" s="37"/>
    </row>
    <row r="10097" spans="2:2" ht="15.95" customHeight="1">
      <c r="B10097" s="37"/>
    </row>
    <row r="10098" spans="2:2" ht="15.95" customHeight="1">
      <c r="B10098" s="37"/>
    </row>
    <row r="10099" spans="2:2" ht="15.95" customHeight="1">
      <c r="B10099" s="37"/>
    </row>
    <row r="10100" spans="2:2" ht="15.95" customHeight="1">
      <c r="B10100" s="37"/>
    </row>
    <row r="10101" spans="2:2" ht="15.95" customHeight="1">
      <c r="B10101" s="37"/>
    </row>
    <row r="10102" spans="2:2" ht="15.95" customHeight="1">
      <c r="B10102" s="37"/>
    </row>
    <row r="10103" spans="2:2" ht="15.95" customHeight="1">
      <c r="B10103" s="37"/>
    </row>
    <row r="10104" spans="2:2" ht="15.95" customHeight="1">
      <c r="B10104" s="37"/>
    </row>
    <row r="10105" spans="2:2" ht="15.95" customHeight="1">
      <c r="B10105" s="37"/>
    </row>
    <row r="10106" spans="2:2" ht="15.95" customHeight="1">
      <c r="B10106" s="37"/>
    </row>
    <row r="10107" spans="2:2" ht="15.95" customHeight="1">
      <c r="B10107" s="37"/>
    </row>
    <row r="10108" spans="2:2" ht="15.95" customHeight="1">
      <c r="B10108" s="37"/>
    </row>
    <row r="10109" spans="2:2" ht="15.95" customHeight="1">
      <c r="B10109" s="37"/>
    </row>
    <row r="10110" spans="2:2" ht="15.95" customHeight="1">
      <c r="B10110" s="37"/>
    </row>
    <row r="10111" spans="2:2" ht="15.95" customHeight="1">
      <c r="B10111" s="37"/>
    </row>
    <row r="10112" spans="2:2" ht="15.95" customHeight="1">
      <c r="B10112" s="37"/>
    </row>
    <row r="10113" spans="2:2" ht="15.95" customHeight="1">
      <c r="B10113" s="37"/>
    </row>
    <row r="10114" spans="2:2" ht="15.95" customHeight="1">
      <c r="B10114" s="37"/>
    </row>
    <row r="10115" spans="2:2" ht="15.95" customHeight="1">
      <c r="B10115" s="37"/>
    </row>
    <row r="10116" spans="2:2" ht="15.95" customHeight="1">
      <c r="B10116" s="37"/>
    </row>
    <row r="10117" spans="2:2" ht="15.95" customHeight="1">
      <c r="B10117" s="37"/>
    </row>
    <row r="10118" spans="2:2" ht="15.95" customHeight="1">
      <c r="B10118" s="37"/>
    </row>
    <row r="10119" spans="2:2" ht="15.95" customHeight="1">
      <c r="B10119" s="37"/>
    </row>
    <row r="10120" spans="2:2" ht="15.95" customHeight="1">
      <c r="B10120" s="37"/>
    </row>
    <row r="10121" spans="2:2" ht="15.95" customHeight="1">
      <c r="B10121" s="37"/>
    </row>
    <row r="10122" spans="2:2" ht="15.95" customHeight="1">
      <c r="B10122" s="37"/>
    </row>
    <row r="10123" spans="2:2" ht="15.95" customHeight="1">
      <c r="B10123" s="37"/>
    </row>
    <row r="10124" spans="2:2" ht="15.95" customHeight="1">
      <c r="B10124" s="37"/>
    </row>
    <row r="10125" spans="2:2" ht="15.95" customHeight="1">
      <c r="B10125" s="37"/>
    </row>
    <row r="10126" spans="2:2" ht="15.95" customHeight="1">
      <c r="B10126" s="37"/>
    </row>
    <row r="10127" spans="2:2" ht="15.95" customHeight="1">
      <c r="B10127" s="37"/>
    </row>
    <row r="10128" spans="2:2" ht="15.95" customHeight="1">
      <c r="B10128" s="37"/>
    </row>
    <row r="10129" spans="2:2" ht="15.95" customHeight="1">
      <c r="B10129" s="37"/>
    </row>
    <row r="10130" spans="2:2" ht="15.95" customHeight="1">
      <c r="B10130" s="37"/>
    </row>
    <row r="10131" spans="2:2" ht="15.95" customHeight="1">
      <c r="B10131" s="37"/>
    </row>
    <row r="10132" spans="2:2" ht="15.95" customHeight="1">
      <c r="B10132" s="37"/>
    </row>
    <row r="10133" spans="2:2" ht="15.95" customHeight="1">
      <c r="B10133" s="37"/>
    </row>
    <row r="10134" spans="2:2" ht="15.95" customHeight="1">
      <c r="B10134" s="37"/>
    </row>
    <row r="10135" spans="2:2" ht="15.95" customHeight="1">
      <c r="B10135" s="37"/>
    </row>
    <row r="10136" spans="2:2" ht="15.95" customHeight="1">
      <c r="B10136" s="37"/>
    </row>
    <row r="10137" spans="2:2" ht="15.95" customHeight="1">
      <c r="B10137" s="37"/>
    </row>
    <row r="10138" spans="2:2" ht="15.95" customHeight="1">
      <c r="B10138" s="37"/>
    </row>
    <row r="10139" spans="2:2" ht="15.95" customHeight="1">
      <c r="B10139" s="37"/>
    </row>
    <row r="10140" spans="2:2" ht="15.95" customHeight="1">
      <c r="B10140" s="37"/>
    </row>
    <row r="10141" spans="2:2" ht="15.95" customHeight="1">
      <c r="B10141" s="37"/>
    </row>
    <row r="10142" spans="2:2" ht="15.95" customHeight="1">
      <c r="B10142" s="37"/>
    </row>
    <row r="10143" spans="2:2" ht="15.95" customHeight="1">
      <c r="B10143" s="37"/>
    </row>
    <row r="10144" spans="2:2" ht="15.95" customHeight="1">
      <c r="B10144" s="37"/>
    </row>
    <row r="10145" spans="2:2" ht="15.95" customHeight="1">
      <c r="B10145" s="37"/>
    </row>
    <row r="10146" spans="2:2" ht="15.95" customHeight="1">
      <c r="B10146" s="37"/>
    </row>
    <row r="10147" spans="2:2" ht="15.95" customHeight="1">
      <c r="B10147" s="37"/>
    </row>
    <row r="10148" spans="2:2" ht="15.95" customHeight="1">
      <c r="B10148" s="37"/>
    </row>
    <row r="10149" spans="2:2" ht="15.95" customHeight="1">
      <c r="B10149" s="37"/>
    </row>
    <row r="10150" spans="2:2" ht="15.95" customHeight="1">
      <c r="B10150" s="37"/>
    </row>
    <row r="10151" spans="2:2" ht="15.95" customHeight="1">
      <c r="B10151" s="37"/>
    </row>
    <row r="10152" spans="2:2" ht="15.95" customHeight="1">
      <c r="B10152" s="37"/>
    </row>
    <row r="10153" spans="2:2" ht="15.95" customHeight="1">
      <c r="B10153" s="37"/>
    </row>
    <row r="10154" spans="2:2" ht="15.95" customHeight="1">
      <c r="B10154" s="37"/>
    </row>
    <row r="10155" spans="2:2" ht="15.95" customHeight="1">
      <c r="B10155" s="37"/>
    </row>
    <row r="10156" spans="2:2" ht="15.95" customHeight="1">
      <c r="B10156" s="37"/>
    </row>
    <row r="10157" spans="2:2" ht="15.95" customHeight="1">
      <c r="B10157" s="37"/>
    </row>
    <row r="10158" spans="2:2" ht="15.95" customHeight="1">
      <c r="B10158" s="37"/>
    </row>
    <row r="10159" spans="2:2" ht="15.95" customHeight="1">
      <c r="B10159" s="37"/>
    </row>
    <row r="10160" spans="2:2" ht="15.95" customHeight="1">
      <c r="B10160" s="37"/>
    </row>
    <row r="10161" spans="2:2" ht="15.95" customHeight="1">
      <c r="B10161" s="37"/>
    </row>
    <row r="10162" spans="2:2" ht="15.95" customHeight="1">
      <c r="B10162" s="37"/>
    </row>
    <row r="10163" spans="2:2" ht="15.95" customHeight="1">
      <c r="B10163" s="37"/>
    </row>
    <row r="10164" spans="2:2" ht="15.95" customHeight="1">
      <c r="B10164" s="37"/>
    </row>
    <row r="10165" spans="2:2" ht="15.95" customHeight="1">
      <c r="B10165" s="37"/>
    </row>
    <row r="10166" spans="2:2" ht="15.95" customHeight="1">
      <c r="B10166" s="37"/>
    </row>
    <row r="10167" spans="2:2" ht="15.95" customHeight="1">
      <c r="B10167" s="37"/>
    </row>
    <row r="10168" spans="2:2" ht="15.95" customHeight="1">
      <c r="B10168" s="37"/>
    </row>
    <row r="10169" spans="2:2" ht="15.95" customHeight="1">
      <c r="B10169" s="37"/>
    </row>
    <row r="10170" spans="2:2" ht="15.95" customHeight="1">
      <c r="B10170" s="37"/>
    </row>
    <row r="10171" spans="2:2" ht="15.95" customHeight="1">
      <c r="B10171" s="37"/>
    </row>
    <row r="10172" spans="2:2" ht="15.95" customHeight="1">
      <c r="B10172" s="37"/>
    </row>
    <row r="10173" spans="2:2" ht="15.95" customHeight="1">
      <c r="B10173" s="37"/>
    </row>
    <row r="10174" spans="2:2" ht="15.95" customHeight="1">
      <c r="B10174" s="37"/>
    </row>
    <row r="10175" spans="2:2" ht="15.95" customHeight="1">
      <c r="B10175" s="37"/>
    </row>
    <row r="10176" spans="2:2" ht="15.95" customHeight="1">
      <c r="B10176" s="37"/>
    </row>
    <row r="10177" spans="2:2" ht="15.95" customHeight="1">
      <c r="B10177" s="37"/>
    </row>
    <row r="10178" spans="2:2" ht="15.95" customHeight="1">
      <c r="B10178" s="37"/>
    </row>
    <row r="10179" spans="2:2" ht="15.95" customHeight="1">
      <c r="B10179" s="37"/>
    </row>
    <row r="10180" spans="2:2" ht="15.95" customHeight="1">
      <c r="B10180" s="37"/>
    </row>
    <row r="10181" spans="2:2" ht="15.95" customHeight="1">
      <c r="B10181" s="37"/>
    </row>
    <row r="10182" spans="2:2" ht="15.95" customHeight="1">
      <c r="B10182" s="37"/>
    </row>
    <row r="10183" spans="2:2" ht="15.95" customHeight="1">
      <c r="B10183" s="37"/>
    </row>
    <row r="10184" spans="2:2" ht="15.95" customHeight="1">
      <c r="B10184" s="37"/>
    </row>
    <row r="10185" spans="2:2" ht="15.95" customHeight="1">
      <c r="B10185" s="37"/>
    </row>
    <row r="10186" spans="2:2" ht="15.95" customHeight="1">
      <c r="B10186" s="37"/>
    </row>
    <row r="10187" spans="2:2" ht="15.95" customHeight="1">
      <c r="B10187" s="37"/>
    </row>
    <row r="10188" spans="2:2" ht="15.95" customHeight="1">
      <c r="B10188" s="37"/>
    </row>
    <row r="10189" spans="2:2" ht="15.95" customHeight="1">
      <c r="B10189" s="37"/>
    </row>
    <row r="10190" spans="2:2" ht="15.95" customHeight="1">
      <c r="B10190" s="37"/>
    </row>
    <row r="10191" spans="2:2" ht="15.95" customHeight="1">
      <c r="B10191" s="37"/>
    </row>
    <row r="10192" spans="2:2" ht="15.95" customHeight="1">
      <c r="B10192" s="37"/>
    </row>
    <row r="10193" spans="2:2" ht="15.95" customHeight="1">
      <c r="B10193" s="37"/>
    </row>
    <row r="10194" spans="2:2" ht="15.95" customHeight="1">
      <c r="B10194" s="37"/>
    </row>
    <row r="10195" spans="2:2" ht="15.95" customHeight="1">
      <c r="B10195" s="37"/>
    </row>
    <row r="10196" spans="2:2" ht="15.95" customHeight="1">
      <c r="B10196" s="37"/>
    </row>
    <row r="10197" spans="2:2" ht="15.95" customHeight="1">
      <c r="B10197" s="37"/>
    </row>
    <row r="10198" spans="2:2" ht="15.95" customHeight="1">
      <c r="B10198" s="37"/>
    </row>
    <row r="10199" spans="2:2" ht="15.95" customHeight="1">
      <c r="B10199" s="37"/>
    </row>
    <row r="10200" spans="2:2" ht="15.95" customHeight="1">
      <c r="B10200" s="37"/>
    </row>
    <row r="10201" spans="2:2" ht="15.95" customHeight="1">
      <c r="B10201" s="37"/>
    </row>
    <row r="10202" spans="2:2" ht="15.95" customHeight="1">
      <c r="B10202" s="37"/>
    </row>
    <row r="10203" spans="2:2" ht="15.95" customHeight="1">
      <c r="B10203" s="37"/>
    </row>
    <row r="10204" spans="2:2" ht="15.95" customHeight="1">
      <c r="B10204" s="37"/>
    </row>
    <row r="10205" spans="2:2" ht="15.95" customHeight="1">
      <c r="B10205" s="37"/>
    </row>
    <row r="10206" spans="2:2" ht="15.95" customHeight="1">
      <c r="B10206" s="37"/>
    </row>
    <row r="10207" spans="2:2" ht="15.95" customHeight="1">
      <c r="B10207" s="37"/>
    </row>
    <row r="10208" spans="2:2" ht="15.95" customHeight="1">
      <c r="B10208" s="37"/>
    </row>
    <row r="10209" spans="2:2" ht="15.95" customHeight="1">
      <c r="B10209" s="37"/>
    </row>
    <row r="10210" spans="2:2" ht="15.95" customHeight="1">
      <c r="B10210" s="37"/>
    </row>
    <row r="10211" spans="2:2" ht="15.95" customHeight="1">
      <c r="B10211" s="37"/>
    </row>
    <row r="10212" spans="2:2" ht="15.95" customHeight="1">
      <c r="B10212" s="37"/>
    </row>
    <row r="10213" spans="2:2" ht="15.95" customHeight="1">
      <c r="B10213" s="37"/>
    </row>
    <row r="10214" spans="2:2" ht="15.95" customHeight="1">
      <c r="B10214" s="37"/>
    </row>
    <row r="10215" spans="2:2" ht="15.95" customHeight="1">
      <c r="B10215" s="37"/>
    </row>
    <row r="10216" spans="2:2" ht="15.95" customHeight="1">
      <c r="B10216" s="37"/>
    </row>
    <row r="10217" spans="2:2" ht="15.95" customHeight="1">
      <c r="B10217" s="37"/>
    </row>
    <row r="10218" spans="2:2" ht="15.95" customHeight="1">
      <c r="B10218" s="37"/>
    </row>
    <row r="10219" spans="2:2" ht="15.95" customHeight="1">
      <c r="B10219" s="37"/>
    </row>
    <row r="10220" spans="2:2" ht="15.95" customHeight="1">
      <c r="B10220" s="37"/>
    </row>
    <row r="10221" spans="2:2" ht="15.95" customHeight="1">
      <c r="B10221" s="37"/>
    </row>
    <row r="10222" spans="2:2" ht="15.95" customHeight="1">
      <c r="B10222" s="37"/>
    </row>
    <row r="10223" spans="2:2" ht="15.95" customHeight="1">
      <c r="B10223" s="37"/>
    </row>
    <row r="10224" spans="2:2" ht="15.95" customHeight="1">
      <c r="B10224" s="37"/>
    </row>
    <row r="10225" spans="2:2" ht="15.95" customHeight="1">
      <c r="B10225" s="37"/>
    </row>
    <row r="10226" spans="2:2" ht="15.95" customHeight="1">
      <c r="B10226" s="37"/>
    </row>
    <row r="10227" spans="2:2" ht="15.95" customHeight="1">
      <c r="B10227" s="37"/>
    </row>
    <row r="10228" spans="2:2" ht="15.95" customHeight="1">
      <c r="B10228" s="37"/>
    </row>
    <row r="10229" spans="2:2" ht="15.95" customHeight="1">
      <c r="B10229" s="37"/>
    </row>
    <row r="10230" spans="2:2" ht="15.95" customHeight="1">
      <c r="B10230" s="37"/>
    </row>
    <row r="10231" spans="2:2" ht="15.95" customHeight="1">
      <c r="B10231" s="37"/>
    </row>
    <row r="10232" spans="2:2" ht="15.95" customHeight="1">
      <c r="B10232" s="37"/>
    </row>
    <row r="10233" spans="2:2" ht="15.95" customHeight="1">
      <c r="B10233" s="37"/>
    </row>
    <row r="10234" spans="2:2" ht="15.95" customHeight="1">
      <c r="B10234" s="37"/>
    </row>
    <row r="10235" spans="2:2" ht="15.95" customHeight="1">
      <c r="B10235" s="37"/>
    </row>
    <row r="10236" spans="2:2" ht="15.95" customHeight="1">
      <c r="B10236" s="37"/>
    </row>
    <row r="10237" spans="2:2" ht="15.95" customHeight="1">
      <c r="B10237" s="37"/>
    </row>
    <row r="10238" spans="2:2" ht="15.95" customHeight="1">
      <c r="B10238" s="37"/>
    </row>
    <row r="10239" spans="2:2" ht="15.95" customHeight="1">
      <c r="B10239" s="37"/>
    </row>
    <row r="10240" spans="2:2" ht="15.95" customHeight="1">
      <c r="B10240" s="37"/>
    </row>
    <row r="10241" spans="2:2" ht="15.95" customHeight="1">
      <c r="B10241" s="37"/>
    </row>
    <row r="10242" spans="2:2" ht="15.95" customHeight="1">
      <c r="B10242" s="37"/>
    </row>
    <row r="10243" spans="2:2" ht="15.95" customHeight="1">
      <c r="B10243" s="37"/>
    </row>
    <row r="10244" spans="2:2" ht="15.95" customHeight="1">
      <c r="B10244" s="37"/>
    </row>
    <row r="10245" spans="2:2" ht="15.95" customHeight="1">
      <c r="B10245" s="37"/>
    </row>
    <row r="10246" spans="2:2" ht="15.95" customHeight="1">
      <c r="B10246" s="37"/>
    </row>
    <row r="10247" spans="2:2" ht="15.95" customHeight="1">
      <c r="B10247" s="37"/>
    </row>
    <row r="10248" spans="2:2" ht="15.95" customHeight="1">
      <c r="B10248" s="37"/>
    </row>
    <row r="10249" spans="2:2" ht="15.95" customHeight="1">
      <c r="B10249" s="37"/>
    </row>
    <row r="10250" spans="2:2" ht="15.95" customHeight="1">
      <c r="B10250" s="37"/>
    </row>
    <row r="10251" spans="2:2" ht="15.95" customHeight="1">
      <c r="B10251" s="37"/>
    </row>
    <row r="10252" spans="2:2" ht="15.95" customHeight="1">
      <c r="B10252" s="37"/>
    </row>
    <row r="10253" spans="2:2" ht="15.95" customHeight="1">
      <c r="B10253" s="37"/>
    </row>
    <row r="10254" spans="2:2" ht="15.95" customHeight="1">
      <c r="B10254" s="37"/>
    </row>
    <row r="10255" spans="2:2" ht="15.95" customHeight="1">
      <c r="B10255" s="37"/>
    </row>
    <row r="10256" spans="2:2" ht="15.95" customHeight="1">
      <c r="B10256" s="37"/>
    </row>
    <row r="10257" spans="2:2" ht="15.95" customHeight="1">
      <c r="B10257" s="37"/>
    </row>
    <row r="10258" spans="2:2" ht="15.95" customHeight="1">
      <c r="B10258" s="37"/>
    </row>
    <row r="10259" spans="2:2" ht="15.95" customHeight="1">
      <c r="B10259" s="37"/>
    </row>
    <row r="10260" spans="2:2" ht="15.95" customHeight="1">
      <c r="B10260" s="37"/>
    </row>
    <row r="10261" spans="2:2" ht="15.95" customHeight="1">
      <c r="B10261" s="37"/>
    </row>
    <row r="10262" spans="2:2" ht="15.95" customHeight="1">
      <c r="B10262" s="37"/>
    </row>
    <row r="10263" spans="2:2" ht="15.95" customHeight="1">
      <c r="B10263" s="37"/>
    </row>
    <row r="10264" spans="2:2" ht="15.95" customHeight="1">
      <c r="B10264" s="37"/>
    </row>
    <row r="10265" spans="2:2" ht="15.95" customHeight="1">
      <c r="B10265" s="37"/>
    </row>
    <row r="10266" spans="2:2" ht="15.95" customHeight="1">
      <c r="B10266" s="37"/>
    </row>
    <row r="10267" spans="2:2" ht="15.95" customHeight="1">
      <c r="B10267" s="37"/>
    </row>
    <row r="10268" spans="2:2" ht="15.95" customHeight="1">
      <c r="B10268" s="37"/>
    </row>
    <row r="10269" spans="2:2" ht="15.95" customHeight="1">
      <c r="B10269" s="37"/>
    </row>
    <row r="10270" spans="2:2" ht="15.95" customHeight="1">
      <c r="B10270" s="37"/>
    </row>
    <row r="10271" spans="2:2" ht="15.95" customHeight="1">
      <c r="B10271" s="37"/>
    </row>
    <row r="10272" spans="2:2" ht="15.95" customHeight="1">
      <c r="B10272" s="37"/>
    </row>
    <row r="10273" spans="2:2" ht="15.95" customHeight="1">
      <c r="B10273" s="37"/>
    </row>
    <row r="10274" spans="2:2" ht="15.95" customHeight="1">
      <c r="B10274" s="37"/>
    </row>
    <row r="10275" spans="2:2" ht="15.95" customHeight="1">
      <c r="B10275" s="37"/>
    </row>
    <row r="10276" spans="2:2" ht="15.95" customHeight="1">
      <c r="B10276" s="37"/>
    </row>
    <row r="10277" spans="2:2" ht="15.95" customHeight="1">
      <c r="B10277" s="37"/>
    </row>
    <row r="10278" spans="2:2" ht="15.95" customHeight="1">
      <c r="B10278" s="37"/>
    </row>
    <row r="10279" spans="2:2" ht="15.95" customHeight="1">
      <c r="B10279" s="37"/>
    </row>
    <row r="10280" spans="2:2" ht="15.95" customHeight="1">
      <c r="B10280" s="37"/>
    </row>
    <row r="10281" spans="2:2" ht="15.95" customHeight="1">
      <c r="B10281" s="37"/>
    </row>
    <row r="10282" spans="2:2" ht="15.95" customHeight="1">
      <c r="B10282" s="37"/>
    </row>
    <row r="10283" spans="2:2" ht="15.95" customHeight="1">
      <c r="B10283" s="37"/>
    </row>
    <row r="10284" spans="2:2" ht="15.95" customHeight="1">
      <c r="B10284" s="37"/>
    </row>
    <row r="10285" spans="2:2" ht="15.95" customHeight="1">
      <c r="B10285" s="37"/>
    </row>
    <row r="10286" spans="2:2" ht="15.95" customHeight="1">
      <c r="B10286" s="37"/>
    </row>
    <row r="10287" spans="2:2" ht="15.95" customHeight="1">
      <c r="B10287" s="37"/>
    </row>
    <row r="10288" spans="2:2" ht="15.95" customHeight="1">
      <c r="B10288" s="37"/>
    </row>
    <row r="10289" spans="2:2" ht="15.95" customHeight="1">
      <c r="B10289" s="37"/>
    </row>
    <row r="10290" spans="2:2" ht="15.95" customHeight="1">
      <c r="B10290" s="37"/>
    </row>
    <row r="10291" spans="2:2" ht="15.95" customHeight="1">
      <c r="B10291" s="37"/>
    </row>
    <row r="10292" spans="2:2" ht="15.95" customHeight="1">
      <c r="B10292" s="37"/>
    </row>
    <row r="10293" spans="2:2" ht="15.95" customHeight="1">
      <c r="B10293" s="37"/>
    </row>
    <row r="10294" spans="2:2" ht="15.95" customHeight="1">
      <c r="B10294" s="37"/>
    </row>
    <row r="10295" spans="2:2" ht="15.95" customHeight="1">
      <c r="B10295" s="37"/>
    </row>
    <row r="10296" spans="2:2" ht="15.95" customHeight="1">
      <c r="B10296" s="37"/>
    </row>
    <row r="10297" spans="2:2" ht="15.95" customHeight="1">
      <c r="B10297" s="37"/>
    </row>
    <row r="10298" spans="2:2" ht="15.95" customHeight="1">
      <c r="B10298" s="37"/>
    </row>
    <row r="10299" spans="2:2" ht="15.95" customHeight="1">
      <c r="B10299" s="37"/>
    </row>
    <row r="10300" spans="2:2" ht="15.95" customHeight="1">
      <c r="B10300" s="37"/>
    </row>
    <row r="10301" spans="2:2" ht="15.95" customHeight="1">
      <c r="B10301" s="37"/>
    </row>
    <row r="10302" spans="2:2" ht="15.95" customHeight="1">
      <c r="B10302" s="37"/>
    </row>
    <row r="10303" spans="2:2" ht="15.95" customHeight="1">
      <c r="B10303" s="37"/>
    </row>
    <row r="10304" spans="2:2" ht="15.95" customHeight="1">
      <c r="B10304" s="37"/>
    </row>
    <row r="10305" spans="2:2" ht="15.95" customHeight="1">
      <c r="B10305" s="37"/>
    </row>
    <row r="10306" spans="2:2" ht="15.95" customHeight="1">
      <c r="B10306" s="37"/>
    </row>
    <row r="10307" spans="2:2" ht="15.95" customHeight="1">
      <c r="B10307" s="37"/>
    </row>
    <row r="10308" spans="2:2" ht="15.95" customHeight="1">
      <c r="B10308" s="37"/>
    </row>
    <row r="10309" spans="2:2" ht="15.95" customHeight="1">
      <c r="B10309" s="37"/>
    </row>
    <row r="10310" spans="2:2" ht="15.95" customHeight="1">
      <c r="B10310" s="37"/>
    </row>
    <row r="10311" spans="2:2" ht="15.95" customHeight="1">
      <c r="B10311" s="37"/>
    </row>
    <row r="10312" spans="2:2" ht="15.95" customHeight="1">
      <c r="B10312" s="37"/>
    </row>
    <row r="10313" spans="2:2" ht="15.95" customHeight="1">
      <c r="B10313" s="37"/>
    </row>
    <row r="10314" spans="2:2" ht="15.95" customHeight="1">
      <c r="B10314" s="37"/>
    </row>
    <row r="10315" spans="2:2" ht="15.95" customHeight="1">
      <c r="B10315" s="37"/>
    </row>
    <row r="10316" spans="2:2" ht="15.95" customHeight="1">
      <c r="B10316" s="37"/>
    </row>
    <row r="10317" spans="2:2" ht="15.95" customHeight="1">
      <c r="B10317" s="37"/>
    </row>
    <row r="10318" spans="2:2" ht="15.95" customHeight="1">
      <c r="B10318" s="37"/>
    </row>
    <row r="10319" spans="2:2" ht="15.95" customHeight="1">
      <c r="B10319" s="37"/>
    </row>
    <row r="10320" spans="2:2" ht="15.95" customHeight="1">
      <c r="B10320" s="37"/>
    </row>
    <row r="10321" spans="2:2" ht="15.95" customHeight="1">
      <c r="B10321" s="37"/>
    </row>
    <row r="10322" spans="2:2" ht="15.95" customHeight="1">
      <c r="B10322" s="37"/>
    </row>
    <row r="10323" spans="2:2" ht="15.95" customHeight="1">
      <c r="B10323" s="37"/>
    </row>
    <row r="10324" spans="2:2" ht="15.95" customHeight="1">
      <c r="B10324" s="37"/>
    </row>
    <row r="10325" spans="2:2" ht="15.95" customHeight="1">
      <c r="B10325" s="37"/>
    </row>
    <row r="10326" spans="2:2" ht="15.95" customHeight="1">
      <c r="B10326" s="37"/>
    </row>
    <row r="10327" spans="2:2" ht="15.95" customHeight="1">
      <c r="B10327" s="37"/>
    </row>
    <row r="10328" spans="2:2" ht="15.95" customHeight="1">
      <c r="B10328" s="37"/>
    </row>
    <row r="10329" spans="2:2" ht="15.95" customHeight="1">
      <c r="B10329" s="37"/>
    </row>
    <row r="10330" spans="2:2" ht="15.95" customHeight="1">
      <c r="B10330" s="37"/>
    </row>
    <row r="10331" spans="2:2" ht="15.95" customHeight="1">
      <c r="B10331" s="37"/>
    </row>
    <row r="10332" spans="2:2" ht="15.95" customHeight="1">
      <c r="B10332" s="37"/>
    </row>
    <row r="10333" spans="2:2" ht="15.95" customHeight="1">
      <c r="B10333" s="37"/>
    </row>
    <row r="10334" spans="2:2" ht="15.95" customHeight="1">
      <c r="B10334" s="37"/>
    </row>
    <row r="10335" spans="2:2" ht="15.95" customHeight="1">
      <c r="B10335" s="37"/>
    </row>
    <row r="10336" spans="2:2" ht="15.95" customHeight="1">
      <c r="B10336" s="37"/>
    </row>
    <row r="10337" spans="2:2" ht="15.95" customHeight="1">
      <c r="B10337" s="37"/>
    </row>
    <row r="10338" spans="2:2" ht="15.95" customHeight="1">
      <c r="B10338" s="37"/>
    </row>
    <row r="10339" spans="2:2" ht="15.95" customHeight="1">
      <c r="B10339" s="37"/>
    </row>
    <row r="10340" spans="2:2" ht="15.95" customHeight="1">
      <c r="B10340" s="37"/>
    </row>
    <row r="10341" spans="2:2" ht="15.95" customHeight="1">
      <c r="B10341" s="37"/>
    </row>
    <row r="10342" spans="2:2" ht="15.95" customHeight="1">
      <c r="B10342" s="37"/>
    </row>
    <row r="10343" spans="2:2" ht="15.95" customHeight="1">
      <c r="B10343" s="37"/>
    </row>
    <row r="10344" spans="2:2" ht="15.95" customHeight="1">
      <c r="B10344" s="37"/>
    </row>
    <row r="10345" spans="2:2" ht="15.95" customHeight="1">
      <c r="B10345" s="37"/>
    </row>
    <row r="10346" spans="2:2" ht="15.95" customHeight="1">
      <c r="B10346" s="37"/>
    </row>
    <row r="10347" spans="2:2" ht="15.95" customHeight="1">
      <c r="B10347" s="37"/>
    </row>
    <row r="10348" spans="2:2" ht="15.95" customHeight="1">
      <c r="B10348" s="37"/>
    </row>
    <row r="10349" spans="2:2" ht="15.95" customHeight="1">
      <c r="B10349" s="37"/>
    </row>
    <row r="10350" spans="2:2" ht="15.95" customHeight="1">
      <c r="B10350" s="37"/>
    </row>
    <row r="10351" spans="2:2" ht="15.95" customHeight="1">
      <c r="B10351" s="37"/>
    </row>
    <row r="10352" spans="2:2" ht="15.95" customHeight="1">
      <c r="B10352" s="37"/>
    </row>
    <row r="10353" spans="2:2" ht="15.95" customHeight="1">
      <c r="B10353" s="37"/>
    </row>
    <row r="10354" spans="2:2" ht="15.95" customHeight="1">
      <c r="B10354" s="37"/>
    </row>
    <row r="10355" spans="2:2" ht="15.95" customHeight="1">
      <c r="B10355" s="37"/>
    </row>
    <row r="10356" spans="2:2" ht="15.95" customHeight="1">
      <c r="B10356" s="37"/>
    </row>
    <row r="10357" spans="2:2" ht="15.95" customHeight="1">
      <c r="B10357" s="37"/>
    </row>
    <row r="10358" spans="2:2" ht="15.95" customHeight="1">
      <c r="B10358" s="37"/>
    </row>
    <row r="10359" spans="2:2" ht="15.95" customHeight="1">
      <c r="B10359" s="37"/>
    </row>
    <row r="10360" spans="2:2" ht="15.95" customHeight="1">
      <c r="B10360" s="37"/>
    </row>
    <row r="10361" spans="2:2" ht="15.95" customHeight="1">
      <c r="B10361" s="37"/>
    </row>
    <row r="10362" spans="2:2" ht="15.95" customHeight="1">
      <c r="B10362" s="37"/>
    </row>
    <row r="10363" spans="2:2" ht="15.95" customHeight="1">
      <c r="B10363" s="37"/>
    </row>
    <row r="10364" spans="2:2" ht="15.95" customHeight="1">
      <c r="B10364" s="37"/>
    </row>
    <row r="10365" spans="2:2" ht="15.95" customHeight="1">
      <c r="B10365" s="37"/>
    </row>
    <row r="10366" spans="2:2" ht="15.95" customHeight="1">
      <c r="B10366" s="37"/>
    </row>
    <row r="10367" spans="2:2" ht="15.95" customHeight="1">
      <c r="B10367" s="37"/>
    </row>
    <row r="10368" spans="2:2" ht="15.95" customHeight="1">
      <c r="B10368" s="37"/>
    </row>
    <row r="10369" spans="2:2" ht="15.95" customHeight="1">
      <c r="B10369" s="37"/>
    </row>
    <row r="10370" spans="2:2" ht="15.95" customHeight="1">
      <c r="B10370" s="37"/>
    </row>
    <row r="10371" spans="2:2" ht="15.95" customHeight="1">
      <c r="B10371" s="37"/>
    </row>
    <row r="10372" spans="2:2" ht="15.95" customHeight="1">
      <c r="B10372" s="37"/>
    </row>
    <row r="10373" spans="2:2" ht="15.95" customHeight="1">
      <c r="B10373" s="37"/>
    </row>
    <row r="10374" spans="2:2" ht="15.95" customHeight="1">
      <c r="B10374" s="37"/>
    </row>
    <row r="10375" spans="2:2" ht="15.95" customHeight="1">
      <c r="B10375" s="37"/>
    </row>
    <row r="10376" spans="2:2" ht="15.95" customHeight="1">
      <c r="B10376" s="37"/>
    </row>
    <row r="10377" spans="2:2" ht="15.95" customHeight="1">
      <c r="B10377" s="37"/>
    </row>
    <row r="10378" spans="2:2" ht="15.95" customHeight="1">
      <c r="B10378" s="37"/>
    </row>
    <row r="10379" spans="2:2" ht="15.95" customHeight="1">
      <c r="B10379" s="37"/>
    </row>
    <row r="10380" spans="2:2" ht="15.95" customHeight="1">
      <c r="B10380" s="37"/>
    </row>
    <row r="10381" spans="2:2" ht="15.95" customHeight="1">
      <c r="B10381" s="37"/>
    </row>
    <row r="10382" spans="2:2" ht="15.95" customHeight="1">
      <c r="B10382" s="37"/>
    </row>
    <row r="10383" spans="2:2" ht="15.95" customHeight="1">
      <c r="B10383" s="37"/>
    </row>
    <row r="10384" spans="2:2" ht="15.95" customHeight="1">
      <c r="B10384" s="37"/>
    </row>
    <row r="10385" spans="2:2" ht="15.95" customHeight="1">
      <c r="B10385" s="37"/>
    </row>
    <row r="10386" spans="2:2" ht="15.95" customHeight="1">
      <c r="B10386" s="37"/>
    </row>
    <row r="10387" spans="2:2" ht="15.95" customHeight="1">
      <c r="B10387" s="37"/>
    </row>
    <row r="10388" spans="2:2" ht="15.95" customHeight="1">
      <c r="B10388" s="37"/>
    </row>
    <row r="10389" spans="2:2" ht="15.95" customHeight="1">
      <c r="B10389" s="37"/>
    </row>
    <row r="10390" spans="2:2" ht="15.95" customHeight="1">
      <c r="B10390" s="37"/>
    </row>
    <row r="10391" spans="2:2" ht="15.95" customHeight="1">
      <c r="B10391" s="37"/>
    </row>
    <row r="10392" spans="2:2" ht="15.95" customHeight="1">
      <c r="B10392" s="37"/>
    </row>
    <row r="10393" spans="2:2" ht="15.95" customHeight="1">
      <c r="B10393" s="37"/>
    </row>
    <row r="10394" spans="2:2" ht="15.95" customHeight="1">
      <c r="B10394" s="37"/>
    </row>
    <row r="10395" spans="2:2" ht="15.95" customHeight="1">
      <c r="B10395" s="37"/>
    </row>
    <row r="10396" spans="2:2" ht="15.95" customHeight="1">
      <c r="B10396" s="37"/>
    </row>
    <row r="10397" spans="2:2" ht="15.95" customHeight="1">
      <c r="B10397" s="37"/>
    </row>
    <row r="10398" spans="2:2" ht="15.95" customHeight="1">
      <c r="B10398" s="37"/>
    </row>
    <row r="10399" spans="2:2" ht="15.95" customHeight="1">
      <c r="B10399" s="37"/>
    </row>
    <row r="10400" spans="2:2" ht="15.95" customHeight="1">
      <c r="B10400" s="37"/>
    </row>
    <row r="10401" spans="2:2" ht="15.95" customHeight="1">
      <c r="B10401" s="37"/>
    </row>
    <row r="10402" spans="2:2" ht="15.95" customHeight="1">
      <c r="B10402" s="37"/>
    </row>
    <row r="10403" spans="2:2" ht="15.95" customHeight="1">
      <c r="B10403" s="37"/>
    </row>
    <row r="10404" spans="2:2" ht="15.95" customHeight="1">
      <c r="B10404" s="37"/>
    </row>
    <row r="10405" spans="2:2" ht="15.95" customHeight="1">
      <c r="B10405" s="37"/>
    </row>
    <row r="10406" spans="2:2" ht="15.95" customHeight="1">
      <c r="B10406" s="37"/>
    </row>
    <row r="10407" spans="2:2" ht="15.95" customHeight="1">
      <c r="B10407" s="37"/>
    </row>
    <row r="10408" spans="2:2" ht="15.95" customHeight="1">
      <c r="B10408" s="37"/>
    </row>
    <row r="10409" spans="2:2" ht="15.95" customHeight="1">
      <c r="B10409" s="37"/>
    </row>
    <row r="10410" spans="2:2" ht="15.95" customHeight="1">
      <c r="B10410" s="37"/>
    </row>
    <row r="10411" spans="2:2" ht="15.95" customHeight="1">
      <c r="B10411" s="37"/>
    </row>
    <row r="10412" spans="2:2" ht="15.95" customHeight="1">
      <c r="B10412" s="37"/>
    </row>
    <row r="10413" spans="2:2" ht="15.95" customHeight="1">
      <c r="B10413" s="37"/>
    </row>
    <row r="10414" spans="2:2" ht="15.95" customHeight="1">
      <c r="B10414" s="37"/>
    </row>
    <row r="10415" spans="2:2" ht="15.95" customHeight="1">
      <c r="B10415" s="37"/>
    </row>
    <row r="10416" spans="2:2" ht="15.95" customHeight="1">
      <c r="B10416" s="37"/>
    </row>
    <row r="10417" spans="2:2" ht="15.95" customHeight="1">
      <c r="B10417" s="37"/>
    </row>
    <row r="10418" spans="2:2" ht="15.95" customHeight="1">
      <c r="B10418" s="37"/>
    </row>
    <row r="10419" spans="2:2" ht="15.95" customHeight="1">
      <c r="B10419" s="37"/>
    </row>
    <row r="10420" spans="2:2" ht="15.95" customHeight="1">
      <c r="B10420" s="37"/>
    </row>
    <row r="10421" spans="2:2" ht="15.95" customHeight="1">
      <c r="B10421" s="37"/>
    </row>
    <row r="10422" spans="2:2" ht="15.95" customHeight="1">
      <c r="B10422" s="37"/>
    </row>
    <row r="10423" spans="2:2" ht="15.95" customHeight="1">
      <c r="B10423" s="37"/>
    </row>
    <row r="10424" spans="2:2" ht="15.95" customHeight="1">
      <c r="B10424" s="37"/>
    </row>
    <row r="10425" spans="2:2" ht="15.95" customHeight="1">
      <c r="B10425" s="37"/>
    </row>
    <row r="10426" spans="2:2" ht="15.95" customHeight="1">
      <c r="B10426" s="37"/>
    </row>
    <row r="10427" spans="2:2" ht="15.95" customHeight="1">
      <c r="B10427" s="37"/>
    </row>
    <row r="10428" spans="2:2" ht="15.95" customHeight="1">
      <c r="B10428" s="37"/>
    </row>
    <row r="10429" spans="2:2" ht="15.95" customHeight="1">
      <c r="B10429" s="37"/>
    </row>
    <row r="10430" spans="2:2" ht="15.95" customHeight="1">
      <c r="B10430" s="37"/>
    </row>
    <row r="10431" spans="2:2" ht="15.95" customHeight="1">
      <c r="B10431" s="37"/>
    </row>
    <row r="10432" spans="2:2" ht="15.95" customHeight="1">
      <c r="B10432" s="37"/>
    </row>
    <row r="10433" spans="2:2" ht="15.95" customHeight="1">
      <c r="B10433" s="37"/>
    </row>
    <row r="10434" spans="2:2" ht="15.95" customHeight="1">
      <c r="B10434" s="37"/>
    </row>
    <row r="10435" spans="2:2" ht="15.95" customHeight="1">
      <c r="B10435" s="37"/>
    </row>
    <row r="10436" spans="2:2" ht="15.95" customHeight="1">
      <c r="B10436" s="37"/>
    </row>
    <row r="10437" spans="2:2" ht="15.95" customHeight="1">
      <c r="B10437" s="37"/>
    </row>
    <row r="10438" spans="2:2" ht="15.95" customHeight="1">
      <c r="B10438" s="37"/>
    </row>
    <row r="10439" spans="2:2" ht="15.95" customHeight="1">
      <c r="B10439" s="37"/>
    </row>
    <row r="10440" spans="2:2" ht="15.95" customHeight="1">
      <c r="B10440" s="37"/>
    </row>
    <row r="10441" spans="2:2" ht="15.95" customHeight="1">
      <c r="B10441" s="37"/>
    </row>
    <row r="10442" spans="2:2" ht="15.95" customHeight="1">
      <c r="B10442" s="37"/>
    </row>
    <row r="10443" spans="2:2" ht="15.95" customHeight="1">
      <c r="B10443" s="37"/>
    </row>
    <row r="10444" spans="2:2" ht="15.95" customHeight="1">
      <c r="B10444" s="37"/>
    </row>
    <row r="10445" spans="2:2" ht="15.95" customHeight="1">
      <c r="B10445" s="37"/>
    </row>
    <row r="10446" spans="2:2" ht="15.95" customHeight="1">
      <c r="B10446" s="37"/>
    </row>
    <row r="10447" spans="2:2" ht="15.95" customHeight="1">
      <c r="B10447" s="37"/>
    </row>
    <row r="10448" spans="2:2" ht="15.95" customHeight="1">
      <c r="B10448" s="37"/>
    </row>
    <row r="10449" spans="2:2" ht="15.95" customHeight="1">
      <c r="B10449" s="37"/>
    </row>
    <row r="10450" spans="2:2" ht="15.95" customHeight="1">
      <c r="B10450" s="37"/>
    </row>
    <row r="10451" spans="2:2" ht="15.95" customHeight="1">
      <c r="B10451" s="37"/>
    </row>
    <row r="10452" spans="2:2" ht="15.95" customHeight="1">
      <c r="B10452" s="37"/>
    </row>
    <row r="10453" spans="2:2" ht="15.95" customHeight="1">
      <c r="B10453" s="37"/>
    </row>
    <row r="10454" spans="2:2" ht="15.95" customHeight="1">
      <c r="B10454" s="37"/>
    </row>
    <row r="10455" spans="2:2" ht="15.95" customHeight="1">
      <c r="B10455" s="37"/>
    </row>
    <row r="10456" spans="2:2" ht="15.95" customHeight="1">
      <c r="B10456" s="37"/>
    </row>
    <row r="10457" spans="2:2" ht="15.95" customHeight="1">
      <c r="B10457" s="37"/>
    </row>
    <row r="10458" spans="2:2" ht="15.95" customHeight="1">
      <c r="B10458" s="37"/>
    </row>
    <row r="10459" spans="2:2" ht="15.95" customHeight="1">
      <c r="B10459" s="37"/>
    </row>
    <row r="10460" spans="2:2" ht="15.95" customHeight="1">
      <c r="B10460" s="37"/>
    </row>
    <row r="10461" spans="2:2" ht="15.95" customHeight="1">
      <c r="B10461" s="37"/>
    </row>
    <row r="10462" spans="2:2" ht="15.95" customHeight="1">
      <c r="B10462" s="37"/>
    </row>
    <row r="10463" spans="2:2" ht="15.95" customHeight="1">
      <c r="B10463" s="37"/>
    </row>
    <row r="10464" spans="2:2" ht="15.95" customHeight="1">
      <c r="B10464" s="37"/>
    </row>
    <row r="10465" spans="2:2" ht="15.95" customHeight="1">
      <c r="B10465" s="37"/>
    </row>
    <row r="10466" spans="2:2" ht="15.95" customHeight="1">
      <c r="B10466" s="37"/>
    </row>
    <row r="10467" spans="2:2" ht="15.95" customHeight="1">
      <c r="B10467" s="37"/>
    </row>
    <row r="10468" spans="2:2" ht="15.95" customHeight="1">
      <c r="B10468" s="37"/>
    </row>
    <row r="10469" spans="2:2" ht="15.95" customHeight="1">
      <c r="B10469" s="37"/>
    </row>
    <row r="10470" spans="2:2" ht="15.95" customHeight="1">
      <c r="B10470" s="37"/>
    </row>
    <row r="10471" spans="2:2" ht="15.95" customHeight="1">
      <c r="B10471" s="37"/>
    </row>
    <row r="10472" spans="2:2" ht="15.95" customHeight="1">
      <c r="B10472" s="37"/>
    </row>
    <row r="10473" spans="2:2" ht="15.95" customHeight="1">
      <c r="B10473" s="37"/>
    </row>
    <row r="10474" spans="2:2" ht="15.95" customHeight="1">
      <c r="B10474" s="37"/>
    </row>
    <row r="10475" spans="2:2" ht="15.95" customHeight="1">
      <c r="B10475" s="37"/>
    </row>
    <row r="10476" spans="2:2" ht="15.95" customHeight="1">
      <c r="B10476" s="37"/>
    </row>
    <row r="10477" spans="2:2" ht="15.95" customHeight="1">
      <c r="B10477" s="37"/>
    </row>
    <row r="10478" spans="2:2" ht="15.95" customHeight="1">
      <c r="B10478" s="37"/>
    </row>
    <row r="10479" spans="2:2" ht="15.95" customHeight="1">
      <c r="B10479" s="37"/>
    </row>
    <row r="10480" spans="2:2" ht="15.95" customHeight="1">
      <c r="B10480" s="37"/>
    </row>
    <row r="10481" spans="2:2" ht="15.95" customHeight="1">
      <c r="B10481" s="37"/>
    </row>
    <row r="10482" spans="2:2" ht="15.95" customHeight="1">
      <c r="B10482" s="37"/>
    </row>
    <row r="10483" spans="2:2" ht="15.95" customHeight="1">
      <c r="B10483" s="37"/>
    </row>
    <row r="10484" spans="2:2" ht="15.95" customHeight="1">
      <c r="B10484" s="37"/>
    </row>
    <row r="10485" spans="2:2" ht="15.95" customHeight="1">
      <c r="B10485" s="37"/>
    </row>
    <row r="10486" spans="2:2" ht="15.95" customHeight="1">
      <c r="B10486" s="37"/>
    </row>
    <row r="10487" spans="2:2" ht="15.95" customHeight="1">
      <c r="B10487" s="37"/>
    </row>
    <row r="10488" spans="2:2" ht="15.95" customHeight="1">
      <c r="B10488" s="37"/>
    </row>
    <row r="10489" spans="2:2" ht="15.95" customHeight="1">
      <c r="B10489" s="37"/>
    </row>
    <row r="10490" spans="2:2" ht="15.95" customHeight="1">
      <c r="B10490" s="37"/>
    </row>
    <row r="10491" spans="2:2" ht="15.95" customHeight="1">
      <c r="B10491" s="37"/>
    </row>
    <row r="10492" spans="2:2" ht="15.95" customHeight="1">
      <c r="B10492" s="37"/>
    </row>
    <row r="10493" spans="2:2" ht="15.95" customHeight="1">
      <c r="B10493" s="37"/>
    </row>
    <row r="10494" spans="2:2" ht="15.95" customHeight="1">
      <c r="B10494" s="37"/>
    </row>
    <row r="10495" spans="2:2" ht="15.95" customHeight="1">
      <c r="B10495" s="37"/>
    </row>
    <row r="10496" spans="2:2" ht="15.95" customHeight="1">
      <c r="B10496" s="37"/>
    </row>
    <row r="10497" spans="2:2" ht="15.95" customHeight="1">
      <c r="B10497" s="37"/>
    </row>
    <row r="10498" spans="2:2" ht="15.95" customHeight="1">
      <c r="B10498" s="37"/>
    </row>
    <row r="10499" spans="2:2" ht="15.95" customHeight="1">
      <c r="B10499" s="37"/>
    </row>
    <row r="10500" spans="2:2" ht="15.95" customHeight="1">
      <c r="B10500" s="37"/>
    </row>
    <row r="10501" spans="2:2" ht="15.95" customHeight="1">
      <c r="B10501" s="37"/>
    </row>
    <row r="10502" spans="2:2" ht="15.95" customHeight="1">
      <c r="B10502" s="37"/>
    </row>
    <row r="10503" spans="2:2" ht="15.95" customHeight="1">
      <c r="B10503" s="37"/>
    </row>
    <row r="10504" spans="2:2" ht="15.95" customHeight="1">
      <c r="B10504" s="37"/>
    </row>
    <row r="10505" spans="2:2" ht="15.95" customHeight="1">
      <c r="B10505" s="37"/>
    </row>
    <row r="10506" spans="2:2" ht="15.95" customHeight="1">
      <c r="B10506" s="37"/>
    </row>
    <row r="10507" spans="2:2" ht="15.95" customHeight="1">
      <c r="B10507" s="37"/>
    </row>
    <row r="10508" spans="2:2" ht="15.95" customHeight="1">
      <c r="B10508" s="37"/>
    </row>
    <row r="10509" spans="2:2" ht="15.95" customHeight="1">
      <c r="B10509" s="37"/>
    </row>
    <row r="10510" spans="2:2" ht="15.95" customHeight="1">
      <c r="B10510" s="37"/>
    </row>
    <row r="10511" spans="2:2" ht="15.95" customHeight="1">
      <c r="B10511" s="37"/>
    </row>
    <row r="10512" spans="2:2" ht="15.95" customHeight="1">
      <c r="B10512" s="37"/>
    </row>
    <row r="10513" spans="2:2" ht="15.95" customHeight="1">
      <c r="B10513" s="37"/>
    </row>
    <row r="10514" spans="2:2" ht="15.95" customHeight="1">
      <c r="B10514" s="37"/>
    </row>
    <row r="10515" spans="2:2" ht="15.95" customHeight="1">
      <c r="B10515" s="37"/>
    </row>
    <row r="10516" spans="2:2" ht="15.95" customHeight="1">
      <c r="B10516" s="37"/>
    </row>
    <row r="10517" spans="2:2" ht="15.95" customHeight="1">
      <c r="B10517" s="37"/>
    </row>
    <row r="10518" spans="2:2" ht="15.95" customHeight="1">
      <c r="B10518" s="37"/>
    </row>
    <row r="10519" spans="2:2" ht="15.95" customHeight="1">
      <c r="B10519" s="37"/>
    </row>
    <row r="10520" spans="2:2" ht="15.95" customHeight="1">
      <c r="B10520" s="37"/>
    </row>
    <row r="10521" spans="2:2" ht="15.95" customHeight="1">
      <c r="B10521" s="37"/>
    </row>
    <row r="10522" spans="2:2" ht="15.95" customHeight="1">
      <c r="B10522" s="37"/>
    </row>
    <row r="10523" spans="2:2" ht="15.95" customHeight="1">
      <c r="B10523" s="37"/>
    </row>
    <row r="10524" spans="2:2" ht="15.95" customHeight="1">
      <c r="B10524" s="37"/>
    </row>
    <row r="10525" spans="2:2" ht="15.95" customHeight="1">
      <c r="B10525" s="37"/>
    </row>
    <row r="10526" spans="2:2" ht="15.95" customHeight="1">
      <c r="B10526" s="37"/>
    </row>
    <row r="10527" spans="2:2" ht="15.95" customHeight="1">
      <c r="B10527" s="37"/>
    </row>
    <row r="10528" spans="2:2" ht="15.95" customHeight="1">
      <c r="B10528" s="37"/>
    </row>
    <row r="10529" spans="2:2" ht="15.95" customHeight="1">
      <c r="B10529" s="37"/>
    </row>
    <row r="10530" spans="2:2" ht="15.95" customHeight="1">
      <c r="B10530" s="37"/>
    </row>
    <row r="10531" spans="2:2" ht="15.95" customHeight="1">
      <c r="B10531" s="37"/>
    </row>
    <row r="10532" spans="2:2" ht="15.95" customHeight="1">
      <c r="B10532" s="37"/>
    </row>
    <row r="10533" spans="2:2" ht="15.95" customHeight="1">
      <c r="B10533" s="37"/>
    </row>
    <row r="10534" spans="2:2" ht="15.95" customHeight="1">
      <c r="B10534" s="37"/>
    </row>
    <row r="10535" spans="2:2" ht="15.95" customHeight="1">
      <c r="B10535" s="37"/>
    </row>
    <row r="10536" spans="2:2" ht="15.95" customHeight="1">
      <c r="B10536" s="37"/>
    </row>
    <row r="10537" spans="2:2" ht="15.95" customHeight="1">
      <c r="B10537" s="37"/>
    </row>
    <row r="10538" spans="2:2" ht="15.95" customHeight="1">
      <c r="B10538" s="37"/>
    </row>
    <row r="10539" spans="2:2" ht="15.95" customHeight="1">
      <c r="B10539" s="37"/>
    </row>
    <row r="10540" spans="2:2" ht="15.95" customHeight="1">
      <c r="B10540" s="37"/>
    </row>
    <row r="10541" spans="2:2" ht="15.95" customHeight="1">
      <c r="B10541" s="37"/>
    </row>
    <row r="10542" spans="2:2" ht="15.95" customHeight="1">
      <c r="B10542" s="37"/>
    </row>
    <row r="10543" spans="2:2" ht="15.95" customHeight="1">
      <c r="B10543" s="37"/>
    </row>
    <row r="10544" spans="2:2" ht="15.95" customHeight="1">
      <c r="B10544" s="37"/>
    </row>
    <row r="10545" spans="2:2" ht="15.95" customHeight="1">
      <c r="B10545" s="37"/>
    </row>
    <row r="10546" spans="2:2" ht="15.95" customHeight="1">
      <c r="B10546" s="37"/>
    </row>
    <row r="10547" spans="2:2" ht="15.95" customHeight="1">
      <c r="B10547" s="37"/>
    </row>
    <row r="10548" spans="2:2" ht="15.95" customHeight="1">
      <c r="B10548" s="37"/>
    </row>
    <row r="10549" spans="2:2" ht="15.95" customHeight="1">
      <c r="B10549" s="37"/>
    </row>
    <row r="10550" spans="2:2" ht="15.95" customHeight="1">
      <c r="B10550" s="37"/>
    </row>
    <row r="10551" spans="2:2" ht="15.95" customHeight="1">
      <c r="B10551" s="37"/>
    </row>
    <row r="10552" spans="2:2" ht="15.95" customHeight="1">
      <c r="B10552" s="37"/>
    </row>
    <row r="10553" spans="2:2" ht="15.95" customHeight="1">
      <c r="B10553" s="37"/>
    </row>
    <row r="10554" spans="2:2" ht="15.95" customHeight="1">
      <c r="B10554" s="37"/>
    </row>
    <row r="10555" spans="2:2" ht="15.95" customHeight="1">
      <c r="B10555" s="37"/>
    </row>
    <row r="10556" spans="2:2" ht="15.95" customHeight="1">
      <c r="B10556" s="37"/>
    </row>
    <row r="10557" spans="2:2" ht="15.95" customHeight="1">
      <c r="B10557" s="37"/>
    </row>
    <row r="10558" spans="2:2" ht="15.95" customHeight="1">
      <c r="B10558" s="37"/>
    </row>
    <row r="10559" spans="2:2" ht="15.95" customHeight="1">
      <c r="B10559" s="37"/>
    </row>
    <row r="10560" spans="2:2" ht="15.95" customHeight="1">
      <c r="B10560" s="37"/>
    </row>
    <row r="10561" spans="2:2" ht="15.95" customHeight="1">
      <c r="B10561" s="37"/>
    </row>
    <row r="10562" spans="2:2" ht="15.95" customHeight="1">
      <c r="B10562" s="37"/>
    </row>
    <row r="10563" spans="2:2" ht="15.95" customHeight="1">
      <c r="B10563" s="37"/>
    </row>
    <row r="10564" spans="2:2" ht="15.95" customHeight="1">
      <c r="B10564" s="37"/>
    </row>
    <row r="10565" spans="2:2" ht="15.95" customHeight="1">
      <c r="B10565" s="37"/>
    </row>
    <row r="10566" spans="2:2" ht="15.95" customHeight="1">
      <c r="B10566" s="37"/>
    </row>
    <row r="10567" spans="2:2" ht="15.95" customHeight="1">
      <c r="B10567" s="37"/>
    </row>
    <row r="10568" spans="2:2" ht="15.95" customHeight="1">
      <c r="B10568" s="37"/>
    </row>
    <row r="10569" spans="2:2" ht="15.95" customHeight="1">
      <c r="B10569" s="37"/>
    </row>
    <row r="10570" spans="2:2" ht="15.95" customHeight="1">
      <c r="B10570" s="37"/>
    </row>
    <row r="10571" spans="2:2" ht="15.95" customHeight="1">
      <c r="B10571" s="37"/>
    </row>
    <row r="10572" spans="2:2" ht="15.95" customHeight="1">
      <c r="B10572" s="37"/>
    </row>
    <row r="10573" spans="2:2" ht="15.95" customHeight="1">
      <c r="B10573" s="37"/>
    </row>
    <row r="10574" spans="2:2" ht="15.95" customHeight="1">
      <c r="B10574" s="37"/>
    </row>
    <row r="10575" spans="2:2" ht="15.95" customHeight="1">
      <c r="B10575" s="37"/>
    </row>
    <row r="10576" spans="2:2" ht="15.95" customHeight="1">
      <c r="B10576" s="37"/>
    </row>
    <row r="10577" spans="2:2" ht="15.95" customHeight="1">
      <c r="B10577" s="37"/>
    </row>
    <row r="10578" spans="2:2" ht="15.95" customHeight="1">
      <c r="B10578" s="37"/>
    </row>
    <row r="10579" spans="2:2" ht="15.95" customHeight="1">
      <c r="B10579" s="37"/>
    </row>
    <row r="10580" spans="2:2" ht="15.95" customHeight="1">
      <c r="B10580" s="37"/>
    </row>
    <row r="10581" spans="2:2" ht="15.95" customHeight="1">
      <c r="B10581" s="37"/>
    </row>
    <row r="10582" spans="2:2" ht="15.95" customHeight="1">
      <c r="B10582" s="37"/>
    </row>
    <row r="10583" spans="2:2" ht="15.95" customHeight="1">
      <c r="B10583" s="37"/>
    </row>
    <row r="10584" spans="2:2" ht="15.95" customHeight="1">
      <c r="B10584" s="37"/>
    </row>
    <row r="10585" spans="2:2" ht="15.95" customHeight="1">
      <c r="B10585" s="37"/>
    </row>
    <row r="10586" spans="2:2" ht="15.95" customHeight="1">
      <c r="B10586" s="37"/>
    </row>
    <row r="10587" spans="2:2" ht="15.95" customHeight="1">
      <c r="B10587" s="37"/>
    </row>
    <row r="10588" spans="2:2" ht="15.95" customHeight="1">
      <c r="B10588" s="37"/>
    </row>
    <row r="10589" spans="2:2" ht="15.95" customHeight="1">
      <c r="B10589" s="37"/>
    </row>
    <row r="10590" spans="2:2" ht="15.95" customHeight="1">
      <c r="B10590" s="37"/>
    </row>
    <row r="10591" spans="2:2" ht="15.95" customHeight="1">
      <c r="B10591" s="37"/>
    </row>
    <row r="10592" spans="2:2" ht="15.95" customHeight="1">
      <c r="B10592" s="37"/>
    </row>
    <row r="10593" spans="2:2" ht="15.95" customHeight="1">
      <c r="B10593" s="37"/>
    </row>
    <row r="10594" spans="2:2" ht="15.95" customHeight="1">
      <c r="B10594" s="37"/>
    </row>
    <row r="10595" spans="2:2" ht="15.95" customHeight="1">
      <c r="B10595" s="37"/>
    </row>
    <row r="10596" spans="2:2" ht="15.95" customHeight="1">
      <c r="B10596" s="37"/>
    </row>
    <row r="10597" spans="2:2" ht="15.95" customHeight="1">
      <c r="B10597" s="37"/>
    </row>
    <row r="10598" spans="2:2" ht="15.95" customHeight="1">
      <c r="B10598" s="37"/>
    </row>
    <row r="10599" spans="2:2" ht="15.95" customHeight="1">
      <c r="B10599" s="37"/>
    </row>
    <row r="10600" spans="2:2" ht="15.95" customHeight="1">
      <c r="B10600" s="37"/>
    </row>
    <row r="10601" spans="2:2" ht="15.95" customHeight="1">
      <c r="B10601" s="37"/>
    </row>
    <row r="10602" spans="2:2" ht="15.95" customHeight="1">
      <c r="B10602" s="37"/>
    </row>
    <row r="10603" spans="2:2" ht="15.95" customHeight="1">
      <c r="B10603" s="37"/>
    </row>
    <row r="10604" spans="2:2" ht="15.95" customHeight="1">
      <c r="B10604" s="37"/>
    </row>
    <row r="10605" spans="2:2" ht="15.95" customHeight="1">
      <c r="B10605" s="37"/>
    </row>
    <row r="10606" spans="2:2" ht="15.95" customHeight="1">
      <c r="B10606" s="37"/>
    </row>
    <row r="10607" spans="2:2" ht="15.95" customHeight="1">
      <c r="B10607" s="37"/>
    </row>
    <row r="10608" spans="2:2" ht="15.95" customHeight="1">
      <c r="B10608" s="37"/>
    </row>
    <row r="10609" spans="2:2" ht="15.95" customHeight="1">
      <c r="B10609" s="37"/>
    </row>
    <row r="10610" spans="2:2" ht="15.95" customHeight="1">
      <c r="B10610" s="37"/>
    </row>
    <row r="10611" spans="2:2" ht="15.95" customHeight="1">
      <c r="B10611" s="37"/>
    </row>
    <row r="10612" spans="2:2" ht="15.95" customHeight="1">
      <c r="B10612" s="37"/>
    </row>
    <row r="10613" spans="2:2" ht="15.95" customHeight="1">
      <c r="B10613" s="37"/>
    </row>
    <row r="10614" spans="2:2" ht="15.95" customHeight="1">
      <c r="B10614" s="37"/>
    </row>
    <row r="10615" spans="2:2" ht="15.95" customHeight="1">
      <c r="B10615" s="37"/>
    </row>
    <row r="10616" spans="2:2" ht="15.95" customHeight="1">
      <c r="B10616" s="37"/>
    </row>
    <row r="10617" spans="2:2" ht="15.95" customHeight="1">
      <c r="B10617" s="37"/>
    </row>
    <row r="10618" spans="2:2" ht="15.95" customHeight="1">
      <c r="B10618" s="37"/>
    </row>
    <row r="10619" spans="2:2" ht="15.95" customHeight="1">
      <c r="B10619" s="37"/>
    </row>
    <row r="10620" spans="2:2" ht="15.95" customHeight="1">
      <c r="B10620" s="37"/>
    </row>
    <row r="10621" spans="2:2" ht="15.95" customHeight="1">
      <c r="B10621" s="37"/>
    </row>
    <row r="10622" spans="2:2" ht="15.95" customHeight="1">
      <c r="B10622" s="37"/>
    </row>
    <row r="10623" spans="2:2" ht="15.95" customHeight="1">
      <c r="B10623" s="37"/>
    </row>
    <row r="10624" spans="2:2" ht="15.95" customHeight="1">
      <c r="B10624" s="37"/>
    </row>
    <row r="10625" spans="2:2" ht="15.95" customHeight="1">
      <c r="B10625" s="37"/>
    </row>
    <row r="10626" spans="2:2" ht="15.95" customHeight="1">
      <c r="B10626" s="37"/>
    </row>
    <row r="10627" spans="2:2" ht="15.95" customHeight="1">
      <c r="B10627" s="37"/>
    </row>
    <row r="10628" spans="2:2" ht="15.95" customHeight="1">
      <c r="B10628" s="37"/>
    </row>
    <row r="10629" spans="2:2" ht="15.95" customHeight="1">
      <c r="B10629" s="37"/>
    </row>
    <row r="10630" spans="2:2" ht="15.95" customHeight="1">
      <c r="B10630" s="37"/>
    </row>
    <row r="10631" spans="2:2" ht="15.95" customHeight="1">
      <c r="B10631" s="37"/>
    </row>
    <row r="10632" spans="2:2" ht="15.95" customHeight="1">
      <c r="B10632" s="37"/>
    </row>
    <row r="10633" spans="2:2" ht="15.95" customHeight="1">
      <c r="B10633" s="37"/>
    </row>
    <row r="10634" spans="2:2" ht="15.95" customHeight="1">
      <c r="B10634" s="37"/>
    </row>
    <row r="10635" spans="2:2" ht="15.95" customHeight="1">
      <c r="B10635" s="37"/>
    </row>
    <row r="10636" spans="2:2" ht="15.95" customHeight="1">
      <c r="B10636" s="37"/>
    </row>
    <row r="10637" spans="2:2" ht="15.95" customHeight="1">
      <c r="B10637" s="37"/>
    </row>
    <row r="10638" spans="2:2" ht="15.95" customHeight="1">
      <c r="B10638" s="37"/>
    </row>
    <row r="10639" spans="2:2" ht="15.95" customHeight="1">
      <c r="B10639" s="37"/>
    </row>
    <row r="10640" spans="2:2" ht="15.95" customHeight="1">
      <c r="B10640" s="37"/>
    </row>
    <row r="10641" spans="2:2" ht="15.95" customHeight="1">
      <c r="B10641" s="37"/>
    </row>
    <row r="10642" spans="2:2" ht="15.95" customHeight="1">
      <c r="B10642" s="37"/>
    </row>
    <row r="10643" spans="2:2" ht="15.95" customHeight="1">
      <c r="B10643" s="37"/>
    </row>
    <row r="10644" spans="2:2" ht="15.95" customHeight="1">
      <c r="B10644" s="37"/>
    </row>
    <row r="10645" spans="2:2" ht="15.95" customHeight="1">
      <c r="B10645" s="37"/>
    </row>
    <row r="10646" spans="2:2" ht="15.95" customHeight="1">
      <c r="B10646" s="37"/>
    </row>
    <row r="10647" spans="2:2" ht="15.95" customHeight="1">
      <c r="B10647" s="37"/>
    </row>
    <row r="10648" spans="2:2" ht="15.95" customHeight="1">
      <c r="B10648" s="37"/>
    </row>
    <row r="10649" spans="2:2" ht="15.95" customHeight="1">
      <c r="B10649" s="37"/>
    </row>
    <row r="10650" spans="2:2" ht="15.95" customHeight="1">
      <c r="B10650" s="37"/>
    </row>
    <row r="10651" spans="2:2" ht="15.95" customHeight="1">
      <c r="B10651" s="37"/>
    </row>
    <row r="10652" spans="2:2" ht="15.95" customHeight="1">
      <c r="B10652" s="37"/>
    </row>
    <row r="10653" spans="2:2" ht="15.95" customHeight="1">
      <c r="B10653" s="37"/>
    </row>
    <row r="10654" spans="2:2" ht="15.95" customHeight="1">
      <c r="B10654" s="37"/>
    </row>
    <row r="10655" spans="2:2" ht="15.95" customHeight="1">
      <c r="B10655" s="37"/>
    </row>
    <row r="10656" spans="2:2" ht="15.95" customHeight="1">
      <c r="B10656" s="37"/>
    </row>
    <row r="10657" spans="2:2" ht="15.95" customHeight="1">
      <c r="B10657" s="37"/>
    </row>
    <row r="10658" spans="2:2" ht="15.95" customHeight="1">
      <c r="B10658" s="37"/>
    </row>
    <row r="10659" spans="2:2" ht="15.95" customHeight="1">
      <c r="B10659" s="37"/>
    </row>
    <row r="10660" spans="2:2" ht="15.95" customHeight="1">
      <c r="B10660" s="37"/>
    </row>
    <row r="10661" spans="2:2" ht="15.95" customHeight="1">
      <c r="B10661" s="37"/>
    </row>
    <row r="10662" spans="2:2" ht="15.95" customHeight="1">
      <c r="B10662" s="37"/>
    </row>
    <row r="10663" spans="2:2" ht="15.95" customHeight="1">
      <c r="B10663" s="37"/>
    </row>
    <row r="10664" spans="2:2" ht="15.95" customHeight="1">
      <c r="B10664" s="37"/>
    </row>
    <row r="10665" spans="2:2" ht="15.95" customHeight="1">
      <c r="B10665" s="37"/>
    </row>
    <row r="10666" spans="2:2" ht="15.95" customHeight="1">
      <c r="B10666" s="37"/>
    </row>
    <row r="10667" spans="2:2" ht="15.95" customHeight="1">
      <c r="B10667" s="37"/>
    </row>
    <row r="10668" spans="2:2" ht="15.95" customHeight="1">
      <c r="B10668" s="37"/>
    </row>
    <row r="10669" spans="2:2" ht="15.95" customHeight="1">
      <c r="B10669" s="37"/>
    </row>
    <row r="10670" spans="2:2" ht="15.95" customHeight="1">
      <c r="B10670" s="37"/>
    </row>
    <row r="10671" spans="2:2" ht="15.95" customHeight="1">
      <c r="B10671" s="37"/>
    </row>
    <row r="10672" spans="2:2" ht="15.95" customHeight="1">
      <c r="B10672" s="37"/>
    </row>
    <row r="10673" spans="2:2" ht="15.95" customHeight="1">
      <c r="B10673" s="37"/>
    </row>
    <row r="10674" spans="2:2" ht="15.95" customHeight="1">
      <c r="B10674" s="37"/>
    </row>
    <row r="10675" spans="2:2" ht="15.95" customHeight="1">
      <c r="B10675" s="37"/>
    </row>
    <row r="10676" spans="2:2" ht="15.95" customHeight="1">
      <c r="B10676" s="37"/>
    </row>
    <row r="10677" spans="2:2" ht="15.95" customHeight="1">
      <c r="B10677" s="37"/>
    </row>
    <row r="10678" spans="2:2" ht="15.95" customHeight="1">
      <c r="B10678" s="37"/>
    </row>
    <row r="10679" spans="2:2" ht="15.95" customHeight="1">
      <c r="B10679" s="37"/>
    </row>
    <row r="10680" spans="2:2" ht="15.95" customHeight="1">
      <c r="B10680" s="37"/>
    </row>
    <row r="10681" spans="2:2" ht="15.95" customHeight="1">
      <c r="B10681" s="37"/>
    </row>
    <row r="10682" spans="2:2" ht="15.95" customHeight="1">
      <c r="B10682" s="37"/>
    </row>
    <row r="10683" spans="2:2" ht="15.95" customHeight="1">
      <c r="B10683" s="37"/>
    </row>
    <row r="10684" spans="2:2" ht="15.95" customHeight="1">
      <c r="B10684" s="37"/>
    </row>
    <row r="10685" spans="2:2" ht="15.95" customHeight="1">
      <c r="B10685" s="37"/>
    </row>
    <row r="10686" spans="2:2" ht="15.95" customHeight="1">
      <c r="B10686" s="37"/>
    </row>
    <row r="10687" spans="2:2" ht="15.95" customHeight="1">
      <c r="B10687" s="37"/>
    </row>
    <row r="10688" spans="2:2" ht="15.95" customHeight="1">
      <c r="B10688" s="37"/>
    </row>
    <row r="10689" spans="2:2" ht="15.95" customHeight="1">
      <c r="B10689" s="37"/>
    </row>
    <row r="10690" spans="2:2" ht="15.95" customHeight="1">
      <c r="B10690" s="37"/>
    </row>
    <row r="10691" spans="2:2" ht="15.95" customHeight="1">
      <c r="B10691" s="37"/>
    </row>
    <row r="10692" spans="2:2" ht="15.95" customHeight="1">
      <c r="B10692" s="37"/>
    </row>
    <row r="10693" spans="2:2" ht="15.95" customHeight="1">
      <c r="B10693" s="37"/>
    </row>
    <row r="10694" spans="2:2" ht="15.95" customHeight="1">
      <c r="B10694" s="37"/>
    </row>
    <row r="10695" spans="2:2" ht="15.95" customHeight="1">
      <c r="B10695" s="37"/>
    </row>
    <row r="10696" spans="2:2" ht="15.95" customHeight="1">
      <c r="B10696" s="37"/>
    </row>
    <row r="10697" spans="2:2" ht="15.95" customHeight="1">
      <c r="B10697" s="37"/>
    </row>
    <row r="10698" spans="2:2" ht="15.95" customHeight="1">
      <c r="B10698" s="37"/>
    </row>
    <row r="10699" spans="2:2" ht="15.95" customHeight="1">
      <c r="B10699" s="37"/>
    </row>
    <row r="10700" spans="2:2" ht="15.95" customHeight="1">
      <c r="B10700" s="37"/>
    </row>
    <row r="10701" spans="2:2" ht="15.95" customHeight="1">
      <c r="B10701" s="37"/>
    </row>
    <row r="10702" spans="2:2" ht="15.95" customHeight="1">
      <c r="B10702" s="37"/>
    </row>
    <row r="10703" spans="2:2" ht="15.95" customHeight="1">
      <c r="B10703" s="37"/>
    </row>
    <row r="10704" spans="2:2" ht="15.95" customHeight="1">
      <c r="B10704" s="37"/>
    </row>
    <row r="10705" spans="2:2" ht="15.95" customHeight="1">
      <c r="B10705" s="37"/>
    </row>
    <row r="10706" spans="2:2" ht="15.95" customHeight="1">
      <c r="B10706" s="37"/>
    </row>
    <row r="10707" spans="2:2" ht="15.95" customHeight="1">
      <c r="B10707" s="37"/>
    </row>
    <row r="10708" spans="2:2" ht="15.95" customHeight="1">
      <c r="B10708" s="37"/>
    </row>
    <row r="10709" spans="2:2" ht="15.95" customHeight="1">
      <c r="B10709" s="37"/>
    </row>
    <row r="10710" spans="2:2" ht="15.95" customHeight="1">
      <c r="B10710" s="37"/>
    </row>
    <row r="10711" spans="2:2" ht="15.95" customHeight="1">
      <c r="B10711" s="37"/>
    </row>
    <row r="10712" spans="2:2" ht="15.95" customHeight="1">
      <c r="B10712" s="37"/>
    </row>
    <row r="10713" spans="2:2" ht="15.95" customHeight="1">
      <c r="B10713" s="37"/>
    </row>
    <row r="10714" spans="2:2" ht="15.95" customHeight="1">
      <c r="B10714" s="37"/>
    </row>
    <row r="10715" spans="2:2" ht="15.95" customHeight="1">
      <c r="B10715" s="37"/>
    </row>
    <row r="10716" spans="2:2" ht="15.95" customHeight="1">
      <c r="B10716" s="37"/>
    </row>
    <row r="10717" spans="2:2" ht="15.95" customHeight="1">
      <c r="B10717" s="37"/>
    </row>
    <row r="10718" spans="2:2" ht="15.95" customHeight="1">
      <c r="B10718" s="37"/>
    </row>
    <row r="10719" spans="2:2" ht="15.95" customHeight="1">
      <c r="B10719" s="37"/>
    </row>
    <row r="10720" spans="2:2" ht="15.95" customHeight="1">
      <c r="B10720" s="37"/>
    </row>
    <row r="10721" spans="2:2" ht="15.95" customHeight="1">
      <c r="B10721" s="37"/>
    </row>
    <row r="10722" spans="2:2" ht="15.95" customHeight="1">
      <c r="B10722" s="37"/>
    </row>
    <row r="10723" spans="2:2" ht="15.95" customHeight="1">
      <c r="B10723" s="37"/>
    </row>
    <row r="10724" spans="2:2" ht="15.95" customHeight="1">
      <c r="B10724" s="37"/>
    </row>
    <row r="10725" spans="2:2" ht="15.95" customHeight="1">
      <c r="B10725" s="37"/>
    </row>
    <row r="10726" spans="2:2" ht="15.95" customHeight="1">
      <c r="B10726" s="37"/>
    </row>
    <row r="10727" spans="2:2" ht="15.95" customHeight="1">
      <c r="B10727" s="37"/>
    </row>
    <row r="10728" spans="2:2" ht="15.95" customHeight="1">
      <c r="B10728" s="37"/>
    </row>
    <row r="10729" spans="2:2" ht="15.95" customHeight="1">
      <c r="B10729" s="37"/>
    </row>
    <row r="10730" spans="2:2" ht="15.95" customHeight="1">
      <c r="B10730" s="37"/>
    </row>
    <row r="10731" spans="2:2" ht="15.95" customHeight="1">
      <c r="B10731" s="37"/>
    </row>
    <row r="10732" spans="2:2" ht="15.95" customHeight="1">
      <c r="B10732" s="37"/>
    </row>
    <row r="10733" spans="2:2" ht="15.95" customHeight="1">
      <c r="B10733" s="37"/>
    </row>
    <row r="10734" spans="2:2" ht="15.95" customHeight="1">
      <c r="B10734" s="37"/>
    </row>
    <row r="10735" spans="2:2" ht="15.95" customHeight="1">
      <c r="B10735" s="37"/>
    </row>
    <row r="10736" spans="2:2" ht="15.95" customHeight="1">
      <c r="B10736" s="37"/>
    </row>
    <row r="10737" spans="2:2" ht="15.95" customHeight="1">
      <c r="B10737" s="37"/>
    </row>
    <row r="10738" spans="2:2" ht="15.95" customHeight="1">
      <c r="B10738" s="37"/>
    </row>
    <row r="10739" spans="2:2" ht="15.95" customHeight="1">
      <c r="B10739" s="37"/>
    </row>
    <row r="10740" spans="2:2" ht="15.95" customHeight="1">
      <c r="B10740" s="37"/>
    </row>
    <row r="10741" spans="2:2" ht="15.95" customHeight="1">
      <c r="B10741" s="37"/>
    </row>
    <row r="10742" spans="2:2" ht="15.95" customHeight="1">
      <c r="B10742" s="37"/>
    </row>
    <row r="10743" spans="2:2" ht="15.95" customHeight="1">
      <c r="B10743" s="37"/>
    </row>
    <row r="10744" spans="2:2" ht="15.95" customHeight="1">
      <c r="B10744" s="37"/>
    </row>
    <row r="10745" spans="2:2" ht="15.95" customHeight="1">
      <c r="B10745" s="37"/>
    </row>
    <row r="10746" spans="2:2" ht="15.95" customHeight="1">
      <c r="B10746" s="37"/>
    </row>
    <row r="10747" spans="2:2" ht="15.95" customHeight="1">
      <c r="B10747" s="37"/>
    </row>
    <row r="10748" spans="2:2" ht="15.95" customHeight="1">
      <c r="B10748" s="37"/>
    </row>
    <row r="10749" spans="2:2" ht="15.95" customHeight="1">
      <c r="B10749" s="37"/>
    </row>
    <row r="10750" spans="2:2" ht="15.95" customHeight="1">
      <c r="B10750" s="37"/>
    </row>
    <row r="10751" spans="2:2" ht="15.95" customHeight="1">
      <c r="B10751" s="37"/>
    </row>
    <row r="10752" spans="2:2" ht="15.95" customHeight="1">
      <c r="B10752" s="37"/>
    </row>
    <row r="10753" spans="2:2" ht="15.95" customHeight="1">
      <c r="B10753" s="37"/>
    </row>
    <row r="10754" spans="2:2" ht="15.95" customHeight="1">
      <c r="B10754" s="37"/>
    </row>
    <row r="10755" spans="2:2" ht="15.95" customHeight="1">
      <c r="B10755" s="37"/>
    </row>
    <row r="10756" spans="2:2" ht="15.95" customHeight="1">
      <c r="B10756" s="37"/>
    </row>
    <row r="10757" spans="2:2" ht="15.95" customHeight="1">
      <c r="B10757" s="37"/>
    </row>
    <row r="10758" spans="2:2" ht="15.95" customHeight="1">
      <c r="B10758" s="37"/>
    </row>
    <row r="10759" spans="2:2" ht="15.95" customHeight="1">
      <c r="B10759" s="37"/>
    </row>
    <row r="10760" spans="2:2" ht="15.95" customHeight="1">
      <c r="B10760" s="37"/>
    </row>
    <row r="10761" spans="2:2" ht="15.95" customHeight="1">
      <c r="B10761" s="37"/>
    </row>
    <row r="10762" spans="2:2" ht="15.95" customHeight="1">
      <c r="B10762" s="37"/>
    </row>
    <row r="10763" spans="2:2" ht="15.95" customHeight="1">
      <c r="B10763" s="37"/>
    </row>
    <row r="10764" spans="2:2" ht="15.95" customHeight="1">
      <c r="B10764" s="37"/>
    </row>
    <row r="10765" spans="2:2" ht="15.95" customHeight="1">
      <c r="B10765" s="37"/>
    </row>
    <row r="10766" spans="2:2" ht="15.95" customHeight="1">
      <c r="B10766" s="37"/>
    </row>
    <row r="10767" spans="2:2" ht="15.95" customHeight="1">
      <c r="B10767" s="37"/>
    </row>
    <row r="10768" spans="2:2" ht="15.95" customHeight="1">
      <c r="B10768" s="37"/>
    </row>
    <row r="10769" spans="2:2" ht="15.95" customHeight="1">
      <c r="B10769" s="37"/>
    </row>
    <row r="10770" spans="2:2" ht="15.95" customHeight="1">
      <c r="B10770" s="37"/>
    </row>
    <row r="10771" spans="2:2" ht="15.95" customHeight="1">
      <c r="B10771" s="37"/>
    </row>
    <row r="10772" spans="2:2" ht="15.95" customHeight="1">
      <c r="B10772" s="37"/>
    </row>
    <row r="10773" spans="2:2" ht="15.95" customHeight="1">
      <c r="B10773" s="37"/>
    </row>
    <row r="10774" spans="2:2" ht="15.95" customHeight="1">
      <c r="B10774" s="37"/>
    </row>
    <row r="10775" spans="2:2" ht="15.95" customHeight="1">
      <c r="B10775" s="37"/>
    </row>
    <row r="10776" spans="2:2" ht="15.95" customHeight="1">
      <c r="B10776" s="37"/>
    </row>
    <row r="10777" spans="2:2" ht="15.95" customHeight="1">
      <c r="B10777" s="37"/>
    </row>
    <row r="10778" spans="2:2" ht="15.95" customHeight="1">
      <c r="B10778" s="37"/>
    </row>
    <row r="10779" spans="2:2" ht="15.95" customHeight="1">
      <c r="B10779" s="37"/>
    </row>
    <row r="10780" spans="2:2" ht="15.95" customHeight="1">
      <c r="B10780" s="37"/>
    </row>
    <row r="10781" spans="2:2" ht="15.95" customHeight="1">
      <c r="B10781" s="37"/>
    </row>
    <row r="10782" spans="2:2" ht="15.95" customHeight="1">
      <c r="B10782" s="37"/>
    </row>
    <row r="10783" spans="2:2" ht="15.95" customHeight="1">
      <c r="B10783" s="37"/>
    </row>
    <row r="10784" spans="2:2" ht="15.95" customHeight="1">
      <c r="B10784" s="37"/>
    </row>
    <row r="10785" spans="2:2" ht="15.95" customHeight="1">
      <c r="B10785" s="37"/>
    </row>
    <row r="10786" spans="2:2" ht="15.95" customHeight="1">
      <c r="B10786" s="37"/>
    </row>
    <row r="10787" spans="2:2" ht="15.95" customHeight="1">
      <c r="B10787" s="37"/>
    </row>
    <row r="10788" spans="2:2" ht="15.95" customHeight="1">
      <c r="B10788" s="37"/>
    </row>
    <row r="10789" spans="2:2" ht="15.95" customHeight="1">
      <c r="B10789" s="37"/>
    </row>
    <row r="10790" spans="2:2" ht="15.95" customHeight="1">
      <c r="B10790" s="37"/>
    </row>
    <row r="10791" spans="2:2" ht="15.95" customHeight="1">
      <c r="B10791" s="37"/>
    </row>
    <row r="10792" spans="2:2" ht="15.95" customHeight="1">
      <c r="B10792" s="37"/>
    </row>
    <row r="10793" spans="2:2" ht="15.95" customHeight="1">
      <c r="B10793" s="37"/>
    </row>
    <row r="10794" spans="2:2" ht="15.95" customHeight="1">
      <c r="B10794" s="37"/>
    </row>
    <row r="10795" spans="2:2" ht="15.95" customHeight="1">
      <c r="B10795" s="37"/>
    </row>
    <row r="10796" spans="2:2" ht="15.95" customHeight="1">
      <c r="B10796" s="37"/>
    </row>
    <row r="10797" spans="2:2" ht="15.95" customHeight="1">
      <c r="B10797" s="37"/>
    </row>
    <row r="10798" spans="2:2" ht="15.95" customHeight="1">
      <c r="B10798" s="37"/>
    </row>
    <row r="10799" spans="2:2" ht="15.95" customHeight="1">
      <c r="B10799" s="37"/>
    </row>
    <row r="10800" spans="2:2" ht="15.95" customHeight="1">
      <c r="B10800" s="37"/>
    </row>
    <row r="10801" spans="2:2" ht="15.95" customHeight="1">
      <c r="B10801" s="37"/>
    </row>
    <row r="10802" spans="2:2" ht="15.95" customHeight="1">
      <c r="B10802" s="37"/>
    </row>
    <row r="10803" spans="2:2" ht="15.95" customHeight="1">
      <c r="B10803" s="37"/>
    </row>
    <row r="10804" spans="2:2" ht="15.95" customHeight="1">
      <c r="B10804" s="37"/>
    </row>
    <row r="10805" spans="2:2" ht="15.95" customHeight="1">
      <c r="B10805" s="37"/>
    </row>
    <row r="10806" spans="2:2" ht="15.95" customHeight="1">
      <c r="B10806" s="37"/>
    </row>
    <row r="10807" spans="2:2" ht="15.95" customHeight="1">
      <c r="B10807" s="37"/>
    </row>
    <row r="10808" spans="2:2" ht="15.95" customHeight="1">
      <c r="B10808" s="37"/>
    </row>
    <row r="10809" spans="2:2" ht="15.95" customHeight="1">
      <c r="B10809" s="37"/>
    </row>
    <row r="10810" spans="2:2" ht="15.95" customHeight="1">
      <c r="B10810" s="37"/>
    </row>
    <row r="10811" spans="2:2" ht="15.95" customHeight="1">
      <c r="B10811" s="37"/>
    </row>
    <row r="10812" spans="2:2" ht="15.95" customHeight="1">
      <c r="B10812" s="37"/>
    </row>
    <row r="10813" spans="2:2" ht="15.95" customHeight="1">
      <c r="B10813" s="37"/>
    </row>
    <row r="10814" spans="2:2" ht="15.95" customHeight="1">
      <c r="B10814" s="37"/>
    </row>
    <row r="10815" spans="2:2" ht="15.95" customHeight="1">
      <c r="B10815" s="37"/>
    </row>
    <row r="10816" spans="2:2" ht="15.95" customHeight="1">
      <c r="B10816" s="37"/>
    </row>
    <row r="10817" spans="2:2" ht="15.95" customHeight="1">
      <c r="B10817" s="37"/>
    </row>
    <row r="10818" spans="2:2" ht="15.95" customHeight="1">
      <c r="B10818" s="37"/>
    </row>
    <row r="10819" spans="2:2" ht="15.95" customHeight="1">
      <c r="B10819" s="37"/>
    </row>
    <row r="10820" spans="2:2" ht="15.95" customHeight="1">
      <c r="B10820" s="37"/>
    </row>
    <row r="10821" spans="2:2" ht="15.95" customHeight="1">
      <c r="B10821" s="37"/>
    </row>
    <row r="10822" spans="2:2" ht="15.95" customHeight="1">
      <c r="B10822" s="37"/>
    </row>
    <row r="10823" spans="2:2" ht="15.95" customHeight="1">
      <c r="B10823" s="37"/>
    </row>
    <row r="10824" spans="2:2" ht="15.95" customHeight="1">
      <c r="B10824" s="37"/>
    </row>
    <row r="10825" spans="2:2" ht="15.95" customHeight="1">
      <c r="B10825" s="37"/>
    </row>
    <row r="10826" spans="2:2" ht="15.95" customHeight="1">
      <c r="B10826" s="37"/>
    </row>
    <row r="10827" spans="2:2" ht="15.95" customHeight="1">
      <c r="B10827" s="37"/>
    </row>
    <row r="10828" spans="2:2" ht="15.95" customHeight="1">
      <c r="B10828" s="37"/>
    </row>
    <row r="10829" spans="2:2" ht="15.95" customHeight="1">
      <c r="B10829" s="37"/>
    </row>
    <row r="10830" spans="2:2" ht="15.95" customHeight="1">
      <c r="B10830" s="37"/>
    </row>
    <row r="10831" spans="2:2" ht="15.95" customHeight="1">
      <c r="B10831" s="37"/>
    </row>
    <row r="10832" spans="2:2" ht="15.95" customHeight="1">
      <c r="B10832" s="37"/>
    </row>
    <row r="10833" spans="2:2" ht="15.95" customHeight="1">
      <c r="B10833" s="37"/>
    </row>
    <row r="10834" spans="2:2" ht="15.95" customHeight="1">
      <c r="B10834" s="37"/>
    </row>
    <row r="10835" spans="2:2" ht="15.95" customHeight="1">
      <c r="B10835" s="37"/>
    </row>
    <row r="10836" spans="2:2" ht="15.95" customHeight="1">
      <c r="B10836" s="37"/>
    </row>
    <row r="10837" spans="2:2" ht="15.95" customHeight="1">
      <c r="B10837" s="37"/>
    </row>
    <row r="10838" spans="2:2" ht="15.95" customHeight="1">
      <c r="B10838" s="37"/>
    </row>
    <row r="10839" spans="2:2" ht="15.95" customHeight="1">
      <c r="B10839" s="37"/>
    </row>
    <row r="10840" spans="2:2" ht="15.95" customHeight="1">
      <c r="B10840" s="37"/>
    </row>
    <row r="10841" spans="2:2" ht="15.95" customHeight="1">
      <c r="B10841" s="37"/>
    </row>
    <row r="10842" spans="2:2" ht="15.95" customHeight="1">
      <c r="B10842" s="37"/>
    </row>
    <row r="10843" spans="2:2" ht="15.95" customHeight="1">
      <c r="B10843" s="37"/>
    </row>
    <row r="10844" spans="2:2" ht="15.95" customHeight="1">
      <c r="B10844" s="37"/>
    </row>
    <row r="10845" spans="2:2" ht="15.95" customHeight="1">
      <c r="B10845" s="37"/>
    </row>
    <row r="10846" spans="2:2" ht="15.95" customHeight="1">
      <c r="B10846" s="37"/>
    </row>
    <row r="10847" spans="2:2" ht="15.95" customHeight="1">
      <c r="B10847" s="37"/>
    </row>
    <row r="10848" spans="2:2" ht="15.95" customHeight="1">
      <c r="B10848" s="37"/>
    </row>
    <row r="10849" spans="2:2" ht="15.95" customHeight="1">
      <c r="B10849" s="37"/>
    </row>
    <row r="10850" spans="2:2" ht="15.95" customHeight="1">
      <c r="B10850" s="37"/>
    </row>
    <row r="10851" spans="2:2" ht="15.95" customHeight="1">
      <c r="B10851" s="37"/>
    </row>
    <row r="10852" spans="2:2" ht="15.95" customHeight="1">
      <c r="B10852" s="37"/>
    </row>
    <row r="10853" spans="2:2" ht="15.95" customHeight="1">
      <c r="B10853" s="37"/>
    </row>
    <row r="10854" spans="2:2" ht="15.95" customHeight="1">
      <c r="B10854" s="37"/>
    </row>
    <row r="10855" spans="2:2" ht="15.95" customHeight="1">
      <c r="B10855" s="37"/>
    </row>
    <row r="10856" spans="2:2" ht="15.95" customHeight="1">
      <c r="B10856" s="37"/>
    </row>
    <row r="10857" spans="2:2" ht="15.95" customHeight="1">
      <c r="B10857" s="37"/>
    </row>
    <row r="10858" spans="2:2" ht="15.95" customHeight="1">
      <c r="B10858" s="37"/>
    </row>
    <row r="10859" spans="2:2" ht="15.95" customHeight="1">
      <c r="B10859" s="37"/>
    </row>
    <row r="10860" spans="2:2" ht="15.95" customHeight="1">
      <c r="B10860" s="37"/>
    </row>
    <row r="10861" spans="2:2" ht="15.95" customHeight="1">
      <c r="B10861" s="37"/>
    </row>
    <row r="10862" spans="2:2" ht="15.95" customHeight="1">
      <c r="B10862" s="37"/>
    </row>
    <row r="10863" spans="2:2" ht="15.95" customHeight="1">
      <c r="B10863" s="37"/>
    </row>
    <row r="10864" spans="2:2" ht="15.95" customHeight="1">
      <c r="B10864" s="37"/>
    </row>
    <row r="10865" spans="2:2" ht="15.95" customHeight="1">
      <c r="B10865" s="37"/>
    </row>
    <row r="10866" spans="2:2" ht="15.95" customHeight="1">
      <c r="B10866" s="37"/>
    </row>
    <row r="10867" spans="2:2" ht="15.95" customHeight="1">
      <c r="B10867" s="37"/>
    </row>
    <row r="10868" spans="2:2" ht="15.95" customHeight="1">
      <c r="B10868" s="37"/>
    </row>
    <row r="10869" spans="2:2" ht="15.95" customHeight="1">
      <c r="B10869" s="37"/>
    </row>
    <row r="10870" spans="2:2" ht="15.95" customHeight="1">
      <c r="B10870" s="37"/>
    </row>
    <row r="10871" spans="2:2" ht="15.95" customHeight="1">
      <c r="B10871" s="37"/>
    </row>
    <row r="10872" spans="2:2" ht="15.95" customHeight="1">
      <c r="B10872" s="37"/>
    </row>
    <row r="10873" spans="2:2" ht="15.95" customHeight="1">
      <c r="B10873" s="37"/>
    </row>
    <row r="10874" spans="2:2" ht="15.95" customHeight="1">
      <c r="B10874" s="37"/>
    </row>
    <row r="10875" spans="2:2" ht="15.95" customHeight="1">
      <c r="B10875" s="37"/>
    </row>
    <row r="10876" spans="2:2" ht="15.95" customHeight="1">
      <c r="B10876" s="37"/>
    </row>
    <row r="10877" spans="2:2" ht="15.95" customHeight="1">
      <c r="B10877" s="37"/>
    </row>
    <row r="10878" spans="2:2" ht="15.95" customHeight="1">
      <c r="B10878" s="37"/>
    </row>
    <row r="10879" spans="2:2" ht="15.95" customHeight="1">
      <c r="B10879" s="37"/>
    </row>
    <row r="10880" spans="2:2" ht="15.95" customHeight="1">
      <c r="B10880" s="37"/>
    </row>
    <row r="10881" spans="2:2" ht="15.95" customHeight="1">
      <c r="B10881" s="37"/>
    </row>
    <row r="10882" spans="2:2" ht="15.95" customHeight="1">
      <c r="B10882" s="37"/>
    </row>
    <row r="10883" spans="2:2" ht="15.95" customHeight="1">
      <c r="B10883" s="37"/>
    </row>
    <row r="10884" spans="2:2" ht="15.95" customHeight="1">
      <c r="B10884" s="37"/>
    </row>
    <row r="10885" spans="2:2" ht="15.95" customHeight="1">
      <c r="B10885" s="37"/>
    </row>
    <row r="10886" spans="2:2" ht="15.95" customHeight="1">
      <c r="B10886" s="37"/>
    </row>
    <row r="10887" spans="2:2" ht="15.95" customHeight="1">
      <c r="B10887" s="37"/>
    </row>
    <row r="10888" spans="2:2" ht="15.95" customHeight="1">
      <c r="B10888" s="37"/>
    </row>
    <row r="10889" spans="2:2" ht="15.95" customHeight="1">
      <c r="B10889" s="37"/>
    </row>
    <row r="10890" spans="2:2" ht="15.95" customHeight="1">
      <c r="B10890" s="37"/>
    </row>
    <row r="10891" spans="2:2" ht="15.95" customHeight="1">
      <c r="B10891" s="37"/>
    </row>
    <row r="10892" spans="2:2" ht="15.95" customHeight="1">
      <c r="B10892" s="37"/>
    </row>
    <row r="10893" spans="2:2" ht="15.95" customHeight="1">
      <c r="B10893" s="37"/>
    </row>
    <row r="10894" spans="2:2" ht="15.95" customHeight="1">
      <c r="B10894" s="37"/>
    </row>
    <row r="10895" spans="2:2" ht="15.95" customHeight="1">
      <c r="B10895" s="37"/>
    </row>
    <row r="10896" spans="2:2" ht="15.95" customHeight="1">
      <c r="B10896" s="37"/>
    </row>
    <row r="10897" spans="2:2" ht="15.95" customHeight="1">
      <c r="B10897" s="37"/>
    </row>
    <row r="10898" spans="2:2" ht="15.95" customHeight="1">
      <c r="B10898" s="37"/>
    </row>
    <row r="10899" spans="2:2" ht="15.95" customHeight="1">
      <c r="B10899" s="37"/>
    </row>
    <row r="10900" spans="2:2" ht="15.95" customHeight="1">
      <c r="B10900" s="37"/>
    </row>
    <row r="10901" spans="2:2" ht="15.95" customHeight="1">
      <c r="B10901" s="37"/>
    </row>
    <row r="10902" spans="2:2" ht="15.95" customHeight="1">
      <c r="B10902" s="37"/>
    </row>
    <row r="10903" spans="2:2" ht="15.95" customHeight="1">
      <c r="B10903" s="37"/>
    </row>
    <row r="10904" spans="2:2" ht="15.95" customHeight="1">
      <c r="B10904" s="37"/>
    </row>
    <row r="10905" spans="2:2" ht="15.95" customHeight="1">
      <c r="B10905" s="37"/>
    </row>
    <row r="10906" spans="2:2" ht="15.95" customHeight="1">
      <c r="B10906" s="37"/>
    </row>
    <row r="10907" spans="2:2" ht="15.95" customHeight="1">
      <c r="B10907" s="37"/>
    </row>
    <row r="10908" spans="2:2" ht="15.95" customHeight="1">
      <c r="B10908" s="37"/>
    </row>
    <row r="10909" spans="2:2" ht="15.95" customHeight="1">
      <c r="B10909" s="37"/>
    </row>
    <row r="10910" spans="2:2" ht="15.95" customHeight="1">
      <c r="B10910" s="37"/>
    </row>
    <row r="10911" spans="2:2" ht="15.95" customHeight="1">
      <c r="B10911" s="37"/>
    </row>
    <row r="10912" spans="2:2" ht="15.95" customHeight="1">
      <c r="B10912" s="37"/>
    </row>
    <row r="10913" spans="2:2" ht="15.95" customHeight="1">
      <c r="B10913" s="37"/>
    </row>
    <row r="10914" spans="2:2" ht="15.95" customHeight="1">
      <c r="B10914" s="37"/>
    </row>
    <row r="10915" spans="2:2" ht="15.95" customHeight="1">
      <c r="B10915" s="37"/>
    </row>
    <row r="10916" spans="2:2" ht="15.95" customHeight="1">
      <c r="B10916" s="37"/>
    </row>
    <row r="10917" spans="2:2" ht="15.95" customHeight="1">
      <c r="B10917" s="37"/>
    </row>
    <row r="10918" spans="2:2" ht="15.95" customHeight="1">
      <c r="B10918" s="37"/>
    </row>
    <row r="10919" spans="2:2" ht="15.95" customHeight="1">
      <c r="B10919" s="37"/>
    </row>
    <row r="10920" spans="2:2" ht="15.95" customHeight="1">
      <c r="B10920" s="37"/>
    </row>
    <row r="10921" spans="2:2" ht="15.95" customHeight="1">
      <c r="B10921" s="37"/>
    </row>
    <row r="10922" spans="2:2" ht="15.95" customHeight="1">
      <c r="B10922" s="37"/>
    </row>
    <row r="10923" spans="2:2" ht="15.95" customHeight="1">
      <c r="B10923" s="37"/>
    </row>
    <row r="10924" spans="2:2" ht="15.95" customHeight="1">
      <c r="B10924" s="37"/>
    </row>
    <row r="10925" spans="2:2" ht="15.95" customHeight="1">
      <c r="B10925" s="37"/>
    </row>
    <row r="10926" spans="2:2" ht="15.95" customHeight="1">
      <c r="B10926" s="37"/>
    </row>
    <row r="10927" spans="2:2" ht="15.95" customHeight="1">
      <c r="B10927" s="37"/>
    </row>
    <row r="10928" spans="2:2" ht="15.95" customHeight="1">
      <c r="B10928" s="37"/>
    </row>
    <row r="10929" spans="2:2" ht="15.95" customHeight="1">
      <c r="B10929" s="37"/>
    </row>
    <row r="10930" spans="2:2" ht="15.95" customHeight="1">
      <c r="B10930" s="37"/>
    </row>
    <row r="10931" spans="2:2" ht="15.95" customHeight="1">
      <c r="B10931" s="37"/>
    </row>
    <row r="10932" spans="2:2" ht="15.95" customHeight="1">
      <c r="B10932" s="37"/>
    </row>
    <row r="10933" spans="2:2" ht="15.95" customHeight="1">
      <c r="B10933" s="37"/>
    </row>
    <row r="10934" spans="2:2" ht="15.95" customHeight="1">
      <c r="B10934" s="37"/>
    </row>
    <row r="10935" spans="2:2" ht="15.95" customHeight="1">
      <c r="B10935" s="37"/>
    </row>
    <row r="10936" spans="2:2" ht="15.95" customHeight="1">
      <c r="B10936" s="37"/>
    </row>
    <row r="10937" spans="2:2" ht="15.95" customHeight="1">
      <c r="B10937" s="37"/>
    </row>
    <row r="10938" spans="2:2" ht="15.95" customHeight="1">
      <c r="B10938" s="37"/>
    </row>
    <row r="10939" spans="2:2" ht="15.95" customHeight="1">
      <c r="B10939" s="37"/>
    </row>
    <row r="10940" spans="2:2" ht="15.95" customHeight="1">
      <c r="B10940" s="37"/>
    </row>
    <row r="10941" spans="2:2" ht="15.95" customHeight="1">
      <c r="B10941" s="37"/>
    </row>
    <row r="10942" spans="2:2" ht="15.95" customHeight="1">
      <c r="B10942" s="37"/>
    </row>
    <row r="10943" spans="2:2" ht="15.95" customHeight="1">
      <c r="B10943" s="37"/>
    </row>
    <row r="10944" spans="2:2" ht="15.95" customHeight="1">
      <c r="B10944" s="37"/>
    </row>
    <row r="10945" spans="2:2" ht="15.95" customHeight="1">
      <c r="B10945" s="37"/>
    </row>
    <row r="10946" spans="2:2" ht="15.95" customHeight="1">
      <c r="B10946" s="37"/>
    </row>
    <row r="10947" spans="2:2" ht="15.95" customHeight="1">
      <c r="B10947" s="37"/>
    </row>
    <row r="10948" spans="2:2" ht="15.95" customHeight="1">
      <c r="B10948" s="37"/>
    </row>
    <row r="10949" spans="2:2" ht="15.95" customHeight="1">
      <c r="B10949" s="37"/>
    </row>
    <row r="10950" spans="2:2" ht="15.95" customHeight="1">
      <c r="B10950" s="37"/>
    </row>
    <row r="10951" spans="2:2" ht="15.95" customHeight="1">
      <c r="B10951" s="37"/>
    </row>
    <row r="10952" spans="2:2" ht="15.95" customHeight="1">
      <c r="B10952" s="37"/>
    </row>
    <row r="10953" spans="2:2" ht="15.95" customHeight="1">
      <c r="B10953" s="37"/>
    </row>
    <row r="10954" spans="2:2" ht="15.95" customHeight="1">
      <c r="B10954" s="37"/>
    </row>
    <row r="10955" spans="2:2" ht="15.95" customHeight="1">
      <c r="B10955" s="37"/>
    </row>
    <row r="10956" spans="2:2" ht="15.95" customHeight="1">
      <c r="B10956" s="37"/>
    </row>
    <row r="10957" spans="2:2" ht="15.95" customHeight="1">
      <c r="B10957" s="37"/>
    </row>
    <row r="10958" spans="2:2" ht="15.95" customHeight="1">
      <c r="B10958" s="37"/>
    </row>
    <row r="10959" spans="2:2" ht="15.95" customHeight="1">
      <c r="B10959" s="37"/>
    </row>
    <row r="10960" spans="2:2" ht="15.95" customHeight="1">
      <c r="B10960" s="37"/>
    </row>
    <row r="10961" spans="2:2" ht="15.95" customHeight="1">
      <c r="B10961" s="37"/>
    </row>
    <row r="10962" spans="2:2" ht="15.95" customHeight="1">
      <c r="B10962" s="37"/>
    </row>
    <row r="10963" spans="2:2" ht="15.95" customHeight="1">
      <c r="B10963" s="37"/>
    </row>
    <row r="10964" spans="2:2" ht="15.95" customHeight="1">
      <c r="B10964" s="37"/>
    </row>
    <row r="10965" spans="2:2" ht="15.95" customHeight="1">
      <c r="B10965" s="37"/>
    </row>
    <row r="10966" spans="2:2" ht="15.95" customHeight="1">
      <c r="B10966" s="37"/>
    </row>
    <row r="10967" spans="2:2" ht="15.95" customHeight="1">
      <c r="B10967" s="37"/>
    </row>
    <row r="10968" spans="2:2" ht="15.95" customHeight="1">
      <c r="B10968" s="37"/>
    </row>
    <row r="10969" spans="2:2" ht="15.95" customHeight="1">
      <c r="B10969" s="37"/>
    </row>
    <row r="10970" spans="2:2" ht="15.95" customHeight="1">
      <c r="B10970" s="37"/>
    </row>
    <row r="10971" spans="2:2" ht="15.95" customHeight="1">
      <c r="B10971" s="37"/>
    </row>
    <row r="10972" spans="2:2" ht="15.95" customHeight="1">
      <c r="B10972" s="37"/>
    </row>
    <row r="10973" spans="2:2" ht="15.95" customHeight="1">
      <c r="B10973" s="37"/>
    </row>
    <row r="10974" spans="2:2" ht="15.95" customHeight="1">
      <c r="B10974" s="37"/>
    </row>
    <row r="10975" spans="2:2" ht="15.95" customHeight="1">
      <c r="B10975" s="37"/>
    </row>
    <row r="10976" spans="2:2" ht="15.95" customHeight="1">
      <c r="B10976" s="37"/>
    </row>
    <row r="10977" spans="2:2" ht="15.95" customHeight="1">
      <c r="B10977" s="37"/>
    </row>
    <row r="10978" spans="2:2" ht="15.95" customHeight="1">
      <c r="B10978" s="37"/>
    </row>
    <row r="10979" spans="2:2" ht="15.95" customHeight="1">
      <c r="B10979" s="37"/>
    </row>
    <row r="10980" spans="2:2" ht="15.95" customHeight="1">
      <c r="B10980" s="37"/>
    </row>
    <row r="10981" spans="2:2" ht="15.95" customHeight="1">
      <c r="B10981" s="37"/>
    </row>
    <row r="10982" spans="2:2" ht="15.95" customHeight="1">
      <c r="B10982" s="37"/>
    </row>
    <row r="10983" spans="2:2" ht="15.95" customHeight="1">
      <c r="B10983" s="37"/>
    </row>
    <row r="10984" spans="2:2" ht="15.95" customHeight="1">
      <c r="B10984" s="37"/>
    </row>
    <row r="10985" spans="2:2" ht="15.95" customHeight="1">
      <c r="B10985" s="37"/>
    </row>
    <row r="10986" spans="2:2" ht="15.95" customHeight="1">
      <c r="B10986" s="37"/>
    </row>
    <row r="10987" spans="2:2" ht="15.95" customHeight="1">
      <c r="B10987" s="37"/>
    </row>
    <row r="10988" spans="2:2" ht="15.95" customHeight="1">
      <c r="B10988" s="37"/>
    </row>
    <row r="10989" spans="2:2" ht="15.95" customHeight="1">
      <c r="B10989" s="37"/>
    </row>
    <row r="10990" spans="2:2" ht="15.95" customHeight="1">
      <c r="B10990" s="37"/>
    </row>
    <row r="10991" spans="2:2" ht="15.95" customHeight="1">
      <c r="B10991" s="37"/>
    </row>
    <row r="10992" spans="2:2" ht="15.95" customHeight="1">
      <c r="B10992" s="37"/>
    </row>
    <row r="10993" spans="2:2" ht="15.95" customHeight="1">
      <c r="B10993" s="37"/>
    </row>
    <row r="10994" spans="2:2" ht="15.95" customHeight="1">
      <c r="B10994" s="37"/>
    </row>
    <row r="10995" spans="2:2" ht="15.95" customHeight="1">
      <c r="B10995" s="37"/>
    </row>
    <row r="10996" spans="2:2" ht="15.95" customHeight="1">
      <c r="B10996" s="37"/>
    </row>
    <row r="10997" spans="2:2" ht="15.95" customHeight="1">
      <c r="B10997" s="37"/>
    </row>
    <row r="10998" spans="2:2" ht="15.95" customHeight="1">
      <c r="B10998" s="37"/>
    </row>
    <row r="10999" spans="2:2" ht="15.95" customHeight="1">
      <c r="B10999" s="37"/>
    </row>
    <row r="11000" spans="2:2" ht="15.95" customHeight="1">
      <c r="B11000" s="37"/>
    </row>
    <row r="11001" spans="2:2" ht="15.95" customHeight="1">
      <c r="B11001" s="37"/>
    </row>
    <row r="11002" spans="2:2" ht="15.95" customHeight="1">
      <c r="B11002" s="37"/>
    </row>
    <row r="11003" spans="2:2" ht="15.95" customHeight="1">
      <c r="B11003" s="37"/>
    </row>
    <row r="11004" spans="2:2" ht="15.95" customHeight="1">
      <c r="B11004" s="37"/>
    </row>
    <row r="11005" spans="2:2" ht="15.95" customHeight="1">
      <c r="B11005" s="37"/>
    </row>
    <row r="11006" spans="2:2" ht="15.95" customHeight="1">
      <c r="B11006" s="37"/>
    </row>
    <row r="11007" spans="2:2" ht="15.95" customHeight="1">
      <c r="B11007" s="37"/>
    </row>
    <row r="11008" spans="2:2" ht="15.95" customHeight="1">
      <c r="B11008" s="37"/>
    </row>
    <row r="11009" spans="2:2" ht="15.95" customHeight="1">
      <c r="B11009" s="37"/>
    </row>
    <row r="11010" spans="2:2" ht="15.95" customHeight="1">
      <c r="B11010" s="37"/>
    </row>
    <row r="11011" spans="2:2" ht="15.95" customHeight="1">
      <c r="B11011" s="37"/>
    </row>
    <row r="11012" spans="2:2" ht="15.95" customHeight="1">
      <c r="B11012" s="37"/>
    </row>
    <row r="11013" spans="2:2" ht="15.95" customHeight="1">
      <c r="B11013" s="37"/>
    </row>
    <row r="11014" spans="2:2" ht="15.95" customHeight="1">
      <c r="B11014" s="37"/>
    </row>
    <row r="11015" spans="2:2" ht="15.95" customHeight="1">
      <c r="B11015" s="37"/>
    </row>
    <row r="11016" spans="2:2" ht="15.95" customHeight="1">
      <c r="B11016" s="37"/>
    </row>
    <row r="11017" spans="2:2" ht="15.95" customHeight="1">
      <c r="B11017" s="37"/>
    </row>
    <row r="11018" spans="2:2" ht="15.95" customHeight="1">
      <c r="B11018" s="37"/>
    </row>
    <row r="11019" spans="2:2" ht="15.95" customHeight="1">
      <c r="B11019" s="37"/>
    </row>
    <row r="11020" spans="2:2" ht="15.95" customHeight="1">
      <c r="B11020" s="37"/>
    </row>
    <row r="11021" spans="2:2" ht="15.95" customHeight="1">
      <c r="B11021" s="37"/>
    </row>
    <row r="11022" spans="2:2" ht="15.95" customHeight="1">
      <c r="B11022" s="37"/>
    </row>
    <row r="11023" spans="2:2" ht="15.95" customHeight="1">
      <c r="B11023" s="37"/>
    </row>
    <row r="11024" spans="2:2" ht="15.95" customHeight="1">
      <c r="B11024" s="37"/>
    </row>
    <row r="11025" spans="2:2" ht="15.95" customHeight="1">
      <c r="B11025" s="37"/>
    </row>
    <row r="11026" spans="2:2" ht="15.95" customHeight="1">
      <c r="B11026" s="37"/>
    </row>
    <row r="11027" spans="2:2" ht="15.95" customHeight="1">
      <c r="B11027" s="37"/>
    </row>
    <row r="11028" spans="2:2" ht="15.95" customHeight="1">
      <c r="B11028" s="37"/>
    </row>
    <row r="11029" spans="2:2" ht="15.95" customHeight="1">
      <c r="B11029" s="37"/>
    </row>
    <row r="11030" spans="2:2" ht="15.95" customHeight="1">
      <c r="B11030" s="37"/>
    </row>
    <row r="11031" spans="2:2" ht="15.95" customHeight="1">
      <c r="B11031" s="37"/>
    </row>
    <row r="11032" spans="2:2" ht="15.95" customHeight="1">
      <c r="B11032" s="37"/>
    </row>
    <row r="11033" spans="2:2" ht="15.95" customHeight="1">
      <c r="B11033" s="37"/>
    </row>
    <row r="11034" spans="2:2" ht="15.95" customHeight="1">
      <c r="B11034" s="37"/>
    </row>
    <row r="11035" spans="2:2" ht="15.95" customHeight="1">
      <c r="B11035" s="37"/>
    </row>
    <row r="11036" spans="2:2" ht="15.95" customHeight="1">
      <c r="B11036" s="37"/>
    </row>
    <row r="11037" spans="2:2" ht="15.95" customHeight="1">
      <c r="B11037" s="37"/>
    </row>
    <row r="11038" spans="2:2" ht="15.95" customHeight="1">
      <c r="B11038" s="37"/>
    </row>
    <row r="11039" spans="2:2" ht="15.95" customHeight="1">
      <c r="B11039" s="37"/>
    </row>
    <row r="11040" spans="2:2" ht="15.95" customHeight="1">
      <c r="B11040" s="37"/>
    </row>
    <row r="11041" spans="2:2" ht="15.95" customHeight="1">
      <c r="B11041" s="37"/>
    </row>
    <row r="11042" spans="2:2" ht="15.95" customHeight="1">
      <c r="B11042" s="37"/>
    </row>
    <row r="11043" spans="2:2" ht="15.95" customHeight="1">
      <c r="B11043" s="37"/>
    </row>
    <row r="11044" spans="2:2" ht="15.95" customHeight="1">
      <c r="B11044" s="37"/>
    </row>
    <row r="11045" spans="2:2" ht="15.95" customHeight="1">
      <c r="B11045" s="37"/>
    </row>
    <row r="11046" spans="2:2" ht="15.95" customHeight="1">
      <c r="B11046" s="37"/>
    </row>
    <row r="11047" spans="2:2" ht="15.95" customHeight="1">
      <c r="B11047" s="37"/>
    </row>
    <row r="11048" spans="2:2" ht="15.95" customHeight="1">
      <c r="B11048" s="37"/>
    </row>
    <row r="11049" spans="2:2" ht="15.95" customHeight="1">
      <c r="B11049" s="37"/>
    </row>
    <row r="11050" spans="2:2" ht="15.95" customHeight="1">
      <c r="B11050" s="37"/>
    </row>
    <row r="11051" spans="2:2" ht="15.95" customHeight="1">
      <c r="B11051" s="37"/>
    </row>
    <row r="11052" spans="2:2" ht="15.95" customHeight="1">
      <c r="B11052" s="37"/>
    </row>
    <row r="11053" spans="2:2" ht="15.95" customHeight="1">
      <c r="B11053" s="37"/>
    </row>
    <row r="11054" spans="2:2" ht="15.95" customHeight="1">
      <c r="B11054" s="37"/>
    </row>
    <row r="11055" spans="2:2" ht="15.95" customHeight="1">
      <c r="B11055" s="37"/>
    </row>
    <row r="11056" spans="2:2" ht="15.95" customHeight="1">
      <c r="B11056" s="37"/>
    </row>
    <row r="11057" spans="2:2" ht="15.95" customHeight="1">
      <c r="B11057" s="37"/>
    </row>
    <row r="11058" spans="2:2" ht="15.95" customHeight="1">
      <c r="B11058" s="37"/>
    </row>
    <row r="11059" spans="2:2" ht="15.95" customHeight="1">
      <c r="B11059" s="37"/>
    </row>
    <row r="11060" spans="2:2" ht="15.95" customHeight="1">
      <c r="B11060" s="37"/>
    </row>
    <row r="11061" spans="2:2" ht="15.95" customHeight="1">
      <c r="B11061" s="37"/>
    </row>
    <row r="11062" spans="2:2" ht="15.95" customHeight="1">
      <c r="B11062" s="37"/>
    </row>
    <row r="11063" spans="2:2" ht="15.95" customHeight="1">
      <c r="B11063" s="37"/>
    </row>
    <row r="11064" spans="2:2" ht="15.95" customHeight="1">
      <c r="B11064" s="37"/>
    </row>
    <row r="11065" spans="2:2" ht="15.95" customHeight="1">
      <c r="B11065" s="37"/>
    </row>
    <row r="11066" spans="2:2" ht="15.95" customHeight="1">
      <c r="B11066" s="37"/>
    </row>
    <row r="11067" spans="2:2" ht="15.95" customHeight="1">
      <c r="B11067" s="37"/>
    </row>
    <row r="11068" spans="2:2" ht="15.95" customHeight="1">
      <c r="B11068" s="37"/>
    </row>
    <row r="11069" spans="2:2" ht="15.95" customHeight="1">
      <c r="B11069" s="37"/>
    </row>
    <row r="11070" spans="2:2" ht="15.95" customHeight="1">
      <c r="B11070" s="37"/>
    </row>
    <row r="11071" spans="2:2" ht="15.95" customHeight="1">
      <c r="B11071" s="37"/>
    </row>
    <row r="11072" spans="2:2" ht="15.95" customHeight="1">
      <c r="B11072" s="37"/>
    </row>
    <row r="11073" spans="2:2" ht="15.95" customHeight="1">
      <c r="B11073" s="37"/>
    </row>
    <row r="11074" spans="2:2" ht="15.95" customHeight="1">
      <c r="B11074" s="37"/>
    </row>
    <row r="11075" spans="2:2" ht="15.95" customHeight="1">
      <c r="B11075" s="37"/>
    </row>
    <row r="11076" spans="2:2" ht="15.95" customHeight="1">
      <c r="B11076" s="37"/>
    </row>
    <row r="11077" spans="2:2" ht="15.95" customHeight="1">
      <c r="B11077" s="37"/>
    </row>
    <row r="11078" spans="2:2" ht="15.95" customHeight="1">
      <c r="B11078" s="37"/>
    </row>
    <row r="11079" spans="2:2" ht="15.95" customHeight="1">
      <c r="B11079" s="37"/>
    </row>
    <row r="11080" spans="2:2" ht="15.95" customHeight="1">
      <c r="B11080" s="37"/>
    </row>
    <row r="11081" spans="2:2" ht="15.95" customHeight="1">
      <c r="B11081" s="37"/>
    </row>
    <row r="11082" spans="2:2" ht="15.95" customHeight="1">
      <c r="B11082" s="37"/>
    </row>
    <row r="11083" spans="2:2" ht="15.95" customHeight="1">
      <c r="B11083" s="37"/>
    </row>
    <row r="11084" spans="2:2" ht="15.95" customHeight="1">
      <c r="B11084" s="37"/>
    </row>
    <row r="11085" spans="2:2" ht="15.95" customHeight="1">
      <c r="B11085" s="37"/>
    </row>
    <row r="11086" spans="2:2" ht="15.95" customHeight="1">
      <c r="B11086" s="37"/>
    </row>
    <row r="11087" spans="2:2" ht="15.95" customHeight="1">
      <c r="B11087" s="37"/>
    </row>
    <row r="11088" spans="2:2" ht="15.95" customHeight="1">
      <c r="B11088" s="37"/>
    </row>
    <row r="11089" spans="2:2" ht="15.95" customHeight="1">
      <c r="B11089" s="37"/>
    </row>
    <row r="11090" spans="2:2" ht="15.95" customHeight="1">
      <c r="B11090" s="37"/>
    </row>
    <row r="11091" spans="2:2" ht="15.95" customHeight="1">
      <c r="B11091" s="37"/>
    </row>
    <row r="11092" spans="2:2" ht="15.95" customHeight="1">
      <c r="B11092" s="37"/>
    </row>
    <row r="11093" spans="2:2" ht="15.95" customHeight="1">
      <c r="B11093" s="37"/>
    </row>
    <row r="11094" spans="2:2" ht="15.95" customHeight="1">
      <c r="B11094" s="37"/>
    </row>
    <row r="11095" spans="2:2" ht="15.95" customHeight="1">
      <c r="B11095" s="37"/>
    </row>
    <row r="11096" spans="2:2" ht="15.95" customHeight="1">
      <c r="B11096" s="37"/>
    </row>
    <row r="11097" spans="2:2" ht="15.95" customHeight="1">
      <c r="B11097" s="37"/>
    </row>
    <row r="11098" spans="2:2" ht="15.95" customHeight="1">
      <c r="B11098" s="37"/>
    </row>
    <row r="11099" spans="2:2" ht="15.95" customHeight="1">
      <c r="B11099" s="37"/>
    </row>
    <row r="11100" spans="2:2" ht="15.95" customHeight="1">
      <c r="B11100" s="37"/>
    </row>
    <row r="11101" spans="2:2" ht="15.95" customHeight="1">
      <c r="B11101" s="37"/>
    </row>
    <row r="11102" spans="2:2" ht="15.95" customHeight="1">
      <c r="B11102" s="37"/>
    </row>
    <row r="11103" spans="2:2" ht="15.95" customHeight="1">
      <c r="B11103" s="37"/>
    </row>
    <row r="11104" spans="2:2" ht="15.95" customHeight="1">
      <c r="B11104" s="37"/>
    </row>
    <row r="11105" spans="2:2" ht="15.95" customHeight="1">
      <c r="B11105" s="37"/>
    </row>
    <row r="11106" spans="2:2" ht="15.95" customHeight="1">
      <c r="B11106" s="37"/>
    </row>
    <row r="11107" spans="2:2" ht="15.95" customHeight="1">
      <c r="B11107" s="37"/>
    </row>
    <row r="11108" spans="2:2" ht="15.95" customHeight="1">
      <c r="B11108" s="37"/>
    </row>
    <row r="11109" spans="2:2" ht="15.95" customHeight="1">
      <c r="B11109" s="37"/>
    </row>
    <row r="11110" spans="2:2" ht="15.95" customHeight="1">
      <c r="B11110" s="37"/>
    </row>
    <row r="11111" spans="2:2" ht="15.95" customHeight="1">
      <c r="B11111" s="37"/>
    </row>
    <row r="11112" spans="2:2" ht="15.95" customHeight="1">
      <c r="B11112" s="37"/>
    </row>
    <row r="11113" spans="2:2" ht="15.95" customHeight="1">
      <c r="B11113" s="37"/>
    </row>
    <row r="11114" spans="2:2" ht="15.95" customHeight="1">
      <c r="B11114" s="37"/>
    </row>
    <row r="11115" spans="2:2" ht="15.95" customHeight="1">
      <c r="B11115" s="37"/>
    </row>
    <row r="11116" spans="2:2" ht="15.95" customHeight="1">
      <c r="B11116" s="37"/>
    </row>
    <row r="11117" spans="2:2" ht="15.95" customHeight="1">
      <c r="B11117" s="37"/>
    </row>
    <row r="11118" spans="2:2" ht="15.95" customHeight="1">
      <c r="B11118" s="37"/>
    </row>
    <row r="11119" spans="2:2" ht="15.95" customHeight="1">
      <c r="B11119" s="37"/>
    </row>
    <row r="11120" spans="2:2" ht="15.95" customHeight="1">
      <c r="B11120" s="37"/>
    </row>
    <row r="11121" spans="2:2" ht="15.95" customHeight="1">
      <c r="B11121" s="37"/>
    </row>
    <row r="11122" spans="2:2" ht="15.95" customHeight="1">
      <c r="B11122" s="37"/>
    </row>
    <row r="11123" spans="2:2" ht="15.95" customHeight="1">
      <c r="B11123" s="37"/>
    </row>
    <row r="11124" spans="2:2" ht="15.95" customHeight="1">
      <c r="B11124" s="37"/>
    </row>
    <row r="11125" spans="2:2" ht="15.95" customHeight="1">
      <c r="B11125" s="37"/>
    </row>
    <row r="11126" spans="2:2" ht="15.95" customHeight="1">
      <c r="B11126" s="37"/>
    </row>
    <row r="11127" spans="2:2" ht="15.95" customHeight="1">
      <c r="B11127" s="37"/>
    </row>
    <row r="11128" spans="2:2" ht="15.95" customHeight="1">
      <c r="B11128" s="37"/>
    </row>
    <row r="11129" spans="2:2" ht="15.95" customHeight="1">
      <c r="B11129" s="37"/>
    </row>
    <row r="11130" spans="2:2" ht="15.95" customHeight="1">
      <c r="B11130" s="37"/>
    </row>
    <row r="11131" spans="2:2" ht="15.95" customHeight="1">
      <c r="B11131" s="37"/>
    </row>
    <row r="11132" spans="2:2" ht="15.95" customHeight="1">
      <c r="B11132" s="37"/>
    </row>
    <row r="11133" spans="2:2" ht="15.95" customHeight="1">
      <c r="B11133" s="37"/>
    </row>
    <row r="11134" spans="2:2" ht="15.95" customHeight="1">
      <c r="B11134" s="37"/>
    </row>
    <row r="11135" spans="2:2" ht="15.95" customHeight="1">
      <c r="B11135" s="37"/>
    </row>
    <row r="11136" spans="2:2" ht="15.95" customHeight="1">
      <c r="B11136" s="37"/>
    </row>
    <row r="11137" spans="2:2" ht="15.95" customHeight="1">
      <c r="B11137" s="37"/>
    </row>
    <row r="11138" spans="2:2" ht="15.95" customHeight="1">
      <c r="B11138" s="37"/>
    </row>
    <row r="11139" spans="2:2" ht="15.95" customHeight="1">
      <c r="B11139" s="37"/>
    </row>
    <row r="11140" spans="2:2" ht="15.95" customHeight="1">
      <c r="B11140" s="37"/>
    </row>
    <row r="11141" spans="2:2" ht="15.95" customHeight="1">
      <c r="B11141" s="37"/>
    </row>
    <row r="11142" spans="2:2" ht="15.95" customHeight="1">
      <c r="B11142" s="37"/>
    </row>
    <row r="11143" spans="2:2" ht="15.95" customHeight="1">
      <c r="B11143" s="37"/>
    </row>
    <row r="11144" spans="2:2" ht="15.95" customHeight="1">
      <c r="B11144" s="37"/>
    </row>
    <row r="11145" spans="2:2" ht="15.95" customHeight="1">
      <c r="B11145" s="37"/>
    </row>
    <row r="11146" spans="2:2" ht="15.95" customHeight="1">
      <c r="B11146" s="37"/>
    </row>
    <row r="11147" spans="2:2" ht="15.95" customHeight="1">
      <c r="B11147" s="37"/>
    </row>
    <row r="11148" spans="2:2" ht="15.95" customHeight="1">
      <c r="B11148" s="37"/>
    </row>
    <row r="11149" spans="2:2" ht="15.95" customHeight="1">
      <c r="B11149" s="37"/>
    </row>
    <row r="11150" spans="2:2" ht="15.95" customHeight="1">
      <c r="B11150" s="37"/>
    </row>
    <row r="11151" spans="2:2" ht="15.95" customHeight="1">
      <c r="B11151" s="37"/>
    </row>
    <row r="11152" spans="2:2" ht="15.95" customHeight="1">
      <c r="B11152" s="37"/>
    </row>
    <row r="11153" spans="2:2" ht="15.95" customHeight="1">
      <c r="B11153" s="37"/>
    </row>
    <row r="11154" spans="2:2" ht="15.95" customHeight="1">
      <c r="B11154" s="37"/>
    </row>
    <row r="11155" spans="2:2" ht="15.95" customHeight="1">
      <c r="B11155" s="37"/>
    </row>
    <row r="11156" spans="2:2" ht="15.95" customHeight="1">
      <c r="B11156" s="37"/>
    </row>
    <row r="11157" spans="2:2" ht="15.95" customHeight="1">
      <c r="B11157" s="37"/>
    </row>
    <row r="11158" spans="2:2" ht="15.95" customHeight="1">
      <c r="B11158" s="37"/>
    </row>
    <row r="11159" spans="2:2" ht="15.95" customHeight="1">
      <c r="B11159" s="37"/>
    </row>
    <row r="11160" spans="2:2" ht="15.95" customHeight="1">
      <c r="B11160" s="37"/>
    </row>
    <row r="11161" spans="2:2" ht="15.95" customHeight="1">
      <c r="B11161" s="37"/>
    </row>
    <row r="11162" spans="2:2" ht="15.95" customHeight="1">
      <c r="B11162" s="37"/>
    </row>
    <row r="11163" spans="2:2" ht="15.95" customHeight="1">
      <c r="B11163" s="37"/>
    </row>
    <row r="11164" spans="2:2" ht="15.95" customHeight="1">
      <c r="B11164" s="37"/>
    </row>
    <row r="11165" spans="2:2" ht="15.95" customHeight="1">
      <c r="B11165" s="37"/>
    </row>
    <row r="11166" spans="2:2" ht="15.95" customHeight="1">
      <c r="B11166" s="37"/>
    </row>
    <row r="11167" spans="2:2" ht="15.95" customHeight="1">
      <c r="B11167" s="37"/>
    </row>
    <row r="11168" spans="2:2" ht="15.95" customHeight="1">
      <c r="B11168" s="37"/>
    </row>
    <row r="11169" spans="2:2" ht="15.95" customHeight="1">
      <c r="B11169" s="37"/>
    </row>
    <row r="11170" spans="2:2" ht="15.95" customHeight="1">
      <c r="B11170" s="37"/>
    </row>
    <row r="11171" spans="2:2" ht="15.95" customHeight="1">
      <c r="B11171" s="37"/>
    </row>
    <row r="11172" spans="2:2" ht="15.95" customHeight="1">
      <c r="B11172" s="37"/>
    </row>
    <row r="11173" spans="2:2" ht="15.95" customHeight="1">
      <c r="B11173" s="37"/>
    </row>
    <row r="11174" spans="2:2" ht="15.95" customHeight="1">
      <c r="B11174" s="37"/>
    </row>
    <row r="11175" spans="2:2" ht="15.95" customHeight="1">
      <c r="B11175" s="37"/>
    </row>
    <row r="11176" spans="2:2" ht="15.95" customHeight="1">
      <c r="B11176" s="37"/>
    </row>
    <row r="11177" spans="2:2" ht="15.95" customHeight="1">
      <c r="B11177" s="37"/>
    </row>
    <row r="11178" spans="2:2" ht="15.95" customHeight="1">
      <c r="B11178" s="37"/>
    </row>
    <row r="11179" spans="2:2" ht="15.95" customHeight="1">
      <c r="B11179" s="37"/>
    </row>
    <row r="11180" spans="2:2" ht="15.95" customHeight="1">
      <c r="B11180" s="37"/>
    </row>
    <row r="11181" spans="2:2" ht="15.95" customHeight="1">
      <c r="B11181" s="37"/>
    </row>
    <row r="11182" spans="2:2" ht="15.95" customHeight="1">
      <c r="B11182" s="37"/>
    </row>
    <row r="11183" spans="2:2" ht="15.95" customHeight="1">
      <c r="B11183" s="37"/>
    </row>
    <row r="11184" spans="2:2" ht="15.95" customHeight="1">
      <c r="B11184" s="37"/>
    </row>
    <row r="11185" spans="2:2" ht="15.95" customHeight="1">
      <c r="B11185" s="37"/>
    </row>
    <row r="11186" spans="2:2" ht="15.95" customHeight="1">
      <c r="B11186" s="37"/>
    </row>
    <row r="11187" spans="2:2" ht="15.95" customHeight="1">
      <c r="B11187" s="37"/>
    </row>
    <row r="11188" spans="2:2" ht="15.95" customHeight="1">
      <c r="B11188" s="37"/>
    </row>
    <row r="11189" spans="2:2" ht="15.95" customHeight="1">
      <c r="B11189" s="37"/>
    </row>
    <row r="11190" spans="2:2" ht="15.95" customHeight="1">
      <c r="B11190" s="37"/>
    </row>
    <row r="11191" spans="2:2" ht="15.95" customHeight="1">
      <c r="B11191" s="37"/>
    </row>
    <row r="11192" spans="2:2" ht="15.95" customHeight="1">
      <c r="B11192" s="37"/>
    </row>
    <row r="11193" spans="2:2" ht="15.95" customHeight="1">
      <c r="B11193" s="37"/>
    </row>
    <row r="11194" spans="2:2" ht="15.95" customHeight="1">
      <c r="B11194" s="37"/>
    </row>
    <row r="11195" spans="2:2" ht="15.95" customHeight="1">
      <c r="B11195" s="37"/>
    </row>
    <row r="11196" spans="2:2" ht="15.95" customHeight="1">
      <c r="B11196" s="37"/>
    </row>
    <row r="11197" spans="2:2" ht="15.95" customHeight="1">
      <c r="B11197" s="37"/>
    </row>
    <row r="11198" spans="2:2" ht="15.95" customHeight="1">
      <c r="B11198" s="37"/>
    </row>
    <row r="11199" spans="2:2" ht="15.95" customHeight="1">
      <c r="B11199" s="37"/>
    </row>
    <row r="11200" spans="2:2" ht="15.95" customHeight="1">
      <c r="B11200" s="37"/>
    </row>
    <row r="11201" spans="2:2" ht="15.95" customHeight="1">
      <c r="B11201" s="37"/>
    </row>
    <row r="11202" spans="2:2" ht="15.95" customHeight="1">
      <c r="B11202" s="37"/>
    </row>
    <row r="11203" spans="2:2" ht="15.95" customHeight="1">
      <c r="B11203" s="37"/>
    </row>
    <row r="11204" spans="2:2" ht="15.95" customHeight="1">
      <c r="B11204" s="37"/>
    </row>
    <row r="11205" spans="2:2" ht="15.95" customHeight="1">
      <c r="B11205" s="37"/>
    </row>
    <row r="11206" spans="2:2" ht="15.95" customHeight="1">
      <c r="B11206" s="37"/>
    </row>
    <row r="11207" spans="2:2" ht="15.95" customHeight="1">
      <c r="B11207" s="37"/>
    </row>
    <row r="11208" spans="2:2" ht="15.95" customHeight="1">
      <c r="B11208" s="37"/>
    </row>
    <row r="11209" spans="2:2" ht="15.95" customHeight="1">
      <c r="B11209" s="37"/>
    </row>
    <row r="11210" spans="2:2" ht="15.95" customHeight="1">
      <c r="B11210" s="37"/>
    </row>
    <row r="11211" spans="2:2" ht="15.95" customHeight="1">
      <c r="B11211" s="37"/>
    </row>
    <row r="11212" spans="2:2" ht="15.95" customHeight="1">
      <c r="B11212" s="37"/>
    </row>
    <row r="11213" spans="2:2" ht="15.95" customHeight="1">
      <c r="B11213" s="37"/>
    </row>
    <row r="11214" spans="2:2" ht="15.95" customHeight="1">
      <c r="B11214" s="37"/>
    </row>
    <row r="11215" spans="2:2" ht="15.95" customHeight="1">
      <c r="B11215" s="37"/>
    </row>
    <row r="11216" spans="2:2" ht="15.95" customHeight="1">
      <c r="B11216" s="37"/>
    </row>
    <row r="11217" spans="2:2" ht="15.95" customHeight="1">
      <c r="B11217" s="37"/>
    </row>
    <row r="11218" spans="2:2" ht="15.95" customHeight="1">
      <c r="B11218" s="37"/>
    </row>
    <row r="11219" spans="2:2" ht="15.95" customHeight="1">
      <c r="B11219" s="37"/>
    </row>
    <row r="11220" spans="2:2" ht="15.95" customHeight="1">
      <c r="B11220" s="37"/>
    </row>
    <row r="11221" spans="2:2" ht="15.95" customHeight="1">
      <c r="B11221" s="37"/>
    </row>
    <row r="11222" spans="2:2" ht="15.95" customHeight="1">
      <c r="B11222" s="37"/>
    </row>
    <row r="11223" spans="2:2" ht="15.95" customHeight="1">
      <c r="B11223" s="37"/>
    </row>
    <row r="11224" spans="2:2" ht="15.95" customHeight="1">
      <c r="B11224" s="37"/>
    </row>
    <row r="11225" spans="2:2" ht="15.95" customHeight="1">
      <c r="B11225" s="37"/>
    </row>
    <row r="11226" spans="2:2" ht="15.95" customHeight="1">
      <c r="B11226" s="37"/>
    </row>
    <row r="11227" spans="2:2" ht="15.95" customHeight="1">
      <c r="B11227" s="37"/>
    </row>
    <row r="11228" spans="2:2" ht="15.95" customHeight="1">
      <c r="B11228" s="37"/>
    </row>
    <row r="11229" spans="2:2" ht="15.95" customHeight="1">
      <c r="B11229" s="37"/>
    </row>
    <row r="11230" spans="2:2" ht="15.95" customHeight="1">
      <c r="B11230" s="37"/>
    </row>
    <row r="11231" spans="2:2" ht="15.95" customHeight="1">
      <c r="B11231" s="37"/>
    </row>
    <row r="11232" spans="2:2" ht="15.95" customHeight="1">
      <c r="B11232" s="37"/>
    </row>
    <row r="11233" spans="2:2" ht="15.95" customHeight="1">
      <c r="B11233" s="37"/>
    </row>
    <row r="11234" spans="2:2" ht="15.95" customHeight="1">
      <c r="B11234" s="37"/>
    </row>
    <row r="11235" spans="2:2" ht="15.95" customHeight="1">
      <c r="B11235" s="37"/>
    </row>
    <row r="11236" spans="2:2" ht="15.95" customHeight="1">
      <c r="B11236" s="37"/>
    </row>
    <row r="11237" spans="2:2" ht="15.95" customHeight="1">
      <c r="B11237" s="37"/>
    </row>
    <row r="11238" spans="2:2" ht="15.95" customHeight="1">
      <c r="B11238" s="37"/>
    </row>
    <row r="11239" spans="2:2" ht="15.95" customHeight="1">
      <c r="B11239" s="37"/>
    </row>
    <row r="11240" spans="2:2" ht="15.95" customHeight="1">
      <c r="B11240" s="37"/>
    </row>
    <row r="11241" spans="2:2" ht="15.95" customHeight="1">
      <c r="B11241" s="37"/>
    </row>
    <row r="11242" spans="2:2" ht="15.95" customHeight="1">
      <c r="B11242" s="37"/>
    </row>
    <row r="11243" spans="2:2" ht="15.95" customHeight="1">
      <c r="B11243" s="37"/>
    </row>
    <row r="11244" spans="2:2" ht="15.95" customHeight="1">
      <c r="B11244" s="37"/>
    </row>
    <row r="11245" spans="2:2" ht="15.95" customHeight="1">
      <c r="B11245" s="37"/>
    </row>
    <row r="11246" spans="2:2" ht="15.95" customHeight="1">
      <c r="B11246" s="37"/>
    </row>
    <row r="11247" spans="2:2" ht="15.95" customHeight="1">
      <c r="B11247" s="37"/>
    </row>
    <row r="11248" spans="2:2" ht="15.95" customHeight="1">
      <c r="B11248" s="37"/>
    </row>
    <row r="11249" spans="2:2" ht="15.95" customHeight="1">
      <c r="B11249" s="37"/>
    </row>
    <row r="11250" spans="2:2" ht="15.95" customHeight="1">
      <c r="B11250" s="37"/>
    </row>
    <row r="11251" spans="2:2" ht="15.95" customHeight="1">
      <c r="B11251" s="37"/>
    </row>
    <row r="11252" spans="2:2" ht="15.95" customHeight="1">
      <c r="B11252" s="37"/>
    </row>
    <row r="11253" spans="2:2" ht="15.95" customHeight="1">
      <c r="B11253" s="37"/>
    </row>
    <row r="11254" spans="2:2" ht="15.95" customHeight="1">
      <c r="B11254" s="37"/>
    </row>
    <row r="11255" spans="2:2" ht="15.95" customHeight="1">
      <c r="B11255" s="37"/>
    </row>
    <row r="11256" spans="2:2" ht="15.95" customHeight="1">
      <c r="B11256" s="37"/>
    </row>
    <row r="11257" spans="2:2" ht="15.95" customHeight="1">
      <c r="B11257" s="37"/>
    </row>
    <row r="11258" spans="2:2" ht="15.95" customHeight="1">
      <c r="B11258" s="37"/>
    </row>
    <row r="11259" spans="2:2" ht="15.95" customHeight="1">
      <c r="B11259" s="37"/>
    </row>
    <row r="11260" spans="2:2" ht="15.95" customHeight="1">
      <c r="B11260" s="37"/>
    </row>
    <row r="11261" spans="2:2" ht="15.95" customHeight="1">
      <c r="B11261" s="37"/>
    </row>
    <row r="11262" spans="2:2" ht="15.95" customHeight="1">
      <c r="B11262" s="37"/>
    </row>
    <row r="11263" spans="2:2" ht="15.95" customHeight="1">
      <c r="B11263" s="37"/>
    </row>
    <row r="11264" spans="2:2" ht="15.95" customHeight="1">
      <c r="B11264" s="37"/>
    </row>
    <row r="11265" spans="2:2" ht="15.95" customHeight="1">
      <c r="B11265" s="37"/>
    </row>
    <row r="11266" spans="2:2" ht="15.95" customHeight="1">
      <c r="B11266" s="37"/>
    </row>
    <row r="11267" spans="2:2" ht="15.95" customHeight="1">
      <c r="B11267" s="37"/>
    </row>
    <row r="11268" spans="2:2" ht="15.95" customHeight="1">
      <c r="B11268" s="37"/>
    </row>
    <row r="11269" spans="2:2" ht="15.95" customHeight="1">
      <c r="B11269" s="37"/>
    </row>
    <row r="11270" spans="2:2" ht="15.95" customHeight="1">
      <c r="B11270" s="37"/>
    </row>
    <row r="11271" spans="2:2" ht="15.95" customHeight="1">
      <c r="B11271" s="37"/>
    </row>
    <row r="11272" spans="2:2" ht="15.95" customHeight="1">
      <c r="B11272" s="37"/>
    </row>
    <row r="11273" spans="2:2" ht="15.95" customHeight="1">
      <c r="B11273" s="37"/>
    </row>
    <row r="11274" spans="2:2" ht="15.95" customHeight="1">
      <c r="B11274" s="37"/>
    </row>
    <row r="11275" spans="2:2" ht="15.95" customHeight="1">
      <c r="B11275" s="37"/>
    </row>
    <row r="11276" spans="2:2" ht="15.95" customHeight="1">
      <c r="B11276" s="37"/>
    </row>
    <row r="11277" spans="2:2" ht="15.95" customHeight="1">
      <c r="B11277" s="37"/>
    </row>
    <row r="11278" spans="2:2" ht="15.95" customHeight="1">
      <c r="B11278" s="37"/>
    </row>
    <row r="11279" spans="2:2" ht="15.95" customHeight="1">
      <c r="B11279" s="37"/>
    </row>
    <row r="11280" spans="2:2" ht="15.95" customHeight="1">
      <c r="B11280" s="37"/>
    </row>
    <row r="11281" spans="2:2" ht="15.95" customHeight="1">
      <c r="B11281" s="37"/>
    </row>
    <row r="11282" spans="2:2" ht="15.95" customHeight="1">
      <c r="B11282" s="37"/>
    </row>
    <row r="11283" spans="2:2" ht="15.95" customHeight="1">
      <c r="B11283" s="37"/>
    </row>
    <row r="11284" spans="2:2" ht="15.95" customHeight="1">
      <c r="B11284" s="37"/>
    </row>
    <row r="11285" spans="2:2" ht="15.95" customHeight="1">
      <c r="B11285" s="37"/>
    </row>
    <row r="11286" spans="2:2" ht="15.95" customHeight="1">
      <c r="B11286" s="37"/>
    </row>
    <row r="11287" spans="2:2" ht="15.95" customHeight="1">
      <c r="B11287" s="37"/>
    </row>
    <row r="11288" spans="2:2" ht="15.95" customHeight="1">
      <c r="B11288" s="37"/>
    </row>
    <row r="11289" spans="2:2" ht="15.95" customHeight="1">
      <c r="B11289" s="37"/>
    </row>
    <row r="11290" spans="2:2" ht="15.95" customHeight="1">
      <c r="B11290" s="37"/>
    </row>
    <row r="11291" spans="2:2" ht="15.95" customHeight="1">
      <c r="B11291" s="37"/>
    </row>
    <row r="11292" spans="2:2" ht="15.95" customHeight="1">
      <c r="B11292" s="37"/>
    </row>
    <row r="11293" spans="2:2" ht="15.95" customHeight="1">
      <c r="B11293" s="37"/>
    </row>
    <row r="11294" spans="2:2" ht="15.95" customHeight="1">
      <c r="B11294" s="37"/>
    </row>
    <row r="11295" spans="2:2" ht="15.95" customHeight="1">
      <c r="B11295" s="37"/>
    </row>
    <row r="11296" spans="2:2" ht="15.95" customHeight="1">
      <c r="B11296" s="37"/>
    </row>
    <row r="11297" spans="2:2" ht="15.95" customHeight="1">
      <c r="B11297" s="37"/>
    </row>
    <row r="11298" spans="2:2" ht="15.95" customHeight="1">
      <c r="B11298" s="37"/>
    </row>
    <row r="11299" spans="2:2" ht="15.95" customHeight="1">
      <c r="B11299" s="37"/>
    </row>
    <row r="11300" spans="2:2" ht="15.95" customHeight="1">
      <c r="B11300" s="37"/>
    </row>
    <row r="11301" spans="2:2" ht="15.95" customHeight="1">
      <c r="B11301" s="37"/>
    </row>
    <row r="11302" spans="2:2" ht="15.95" customHeight="1">
      <c r="B11302" s="37"/>
    </row>
    <row r="11303" spans="2:2" ht="15.95" customHeight="1">
      <c r="B11303" s="37"/>
    </row>
    <row r="11304" spans="2:2" ht="15.95" customHeight="1">
      <c r="B11304" s="37"/>
    </row>
    <row r="11305" spans="2:2" ht="15.95" customHeight="1">
      <c r="B11305" s="37"/>
    </row>
    <row r="11306" spans="2:2" ht="15.95" customHeight="1">
      <c r="B11306" s="37"/>
    </row>
    <row r="11307" spans="2:2" ht="15.95" customHeight="1">
      <c r="B11307" s="37"/>
    </row>
    <row r="11308" spans="2:2" ht="15.95" customHeight="1">
      <c r="B11308" s="37"/>
    </row>
    <row r="11309" spans="2:2" ht="15.95" customHeight="1">
      <c r="B11309" s="37"/>
    </row>
    <row r="11310" spans="2:2" ht="15.95" customHeight="1">
      <c r="B11310" s="37"/>
    </row>
    <row r="11311" spans="2:2" ht="15.95" customHeight="1">
      <c r="B11311" s="37"/>
    </row>
    <row r="11312" spans="2:2" ht="15.95" customHeight="1">
      <c r="B11312" s="37"/>
    </row>
    <row r="11313" spans="2:2" ht="15.95" customHeight="1">
      <c r="B11313" s="37"/>
    </row>
    <row r="11314" spans="2:2" ht="15.95" customHeight="1">
      <c r="B11314" s="37"/>
    </row>
    <row r="11315" spans="2:2" ht="15.95" customHeight="1">
      <c r="B11315" s="37"/>
    </row>
    <row r="11316" spans="2:2" ht="15.95" customHeight="1">
      <c r="B11316" s="37"/>
    </row>
    <row r="11317" spans="2:2" ht="15.95" customHeight="1">
      <c r="B11317" s="37"/>
    </row>
    <row r="11318" spans="2:2" ht="15.95" customHeight="1">
      <c r="B11318" s="37"/>
    </row>
    <row r="11319" spans="2:2" ht="15.95" customHeight="1">
      <c r="B11319" s="37"/>
    </row>
    <row r="11320" spans="2:2" ht="15.95" customHeight="1">
      <c r="B11320" s="37"/>
    </row>
    <row r="11321" spans="2:2" ht="15.95" customHeight="1">
      <c r="B11321" s="37"/>
    </row>
    <row r="11322" spans="2:2" ht="15.95" customHeight="1">
      <c r="B11322" s="37"/>
    </row>
    <row r="11323" spans="2:2" ht="15.95" customHeight="1">
      <c r="B11323" s="37"/>
    </row>
    <row r="11324" spans="2:2" ht="15.95" customHeight="1">
      <c r="B11324" s="37"/>
    </row>
    <row r="11325" spans="2:2" ht="15.95" customHeight="1">
      <c r="B11325" s="37"/>
    </row>
    <row r="11326" spans="2:2" ht="15.95" customHeight="1">
      <c r="B11326" s="37"/>
    </row>
    <row r="11327" spans="2:2" ht="15.95" customHeight="1">
      <c r="B11327" s="37"/>
    </row>
    <row r="11328" spans="2:2" ht="15.95" customHeight="1">
      <c r="B11328" s="37"/>
    </row>
    <row r="11329" spans="2:2" ht="15.95" customHeight="1">
      <c r="B11329" s="37"/>
    </row>
    <row r="11330" spans="2:2" ht="15.95" customHeight="1">
      <c r="B11330" s="37"/>
    </row>
    <row r="11331" spans="2:2" ht="15.95" customHeight="1">
      <c r="B11331" s="37"/>
    </row>
    <row r="11332" spans="2:2" ht="15.95" customHeight="1">
      <c r="B11332" s="37"/>
    </row>
    <row r="11333" spans="2:2" ht="15.95" customHeight="1">
      <c r="B11333" s="37"/>
    </row>
    <row r="11334" spans="2:2" ht="15.95" customHeight="1">
      <c r="B11334" s="37"/>
    </row>
    <row r="11335" spans="2:2" ht="15.95" customHeight="1">
      <c r="B11335" s="37"/>
    </row>
    <row r="11336" spans="2:2" ht="15.95" customHeight="1">
      <c r="B11336" s="37"/>
    </row>
    <row r="11337" spans="2:2" ht="15.95" customHeight="1">
      <c r="B11337" s="37"/>
    </row>
    <row r="11338" spans="2:2" ht="15.95" customHeight="1">
      <c r="B11338" s="37"/>
    </row>
    <row r="11339" spans="2:2" ht="15.95" customHeight="1">
      <c r="B11339" s="37"/>
    </row>
    <row r="11340" spans="2:2" ht="15.95" customHeight="1">
      <c r="B11340" s="37"/>
    </row>
    <row r="11341" spans="2:2" ht="15.95" customHeight="1">
      <c r="B11341" s="37"/>
    </row>
    <row r="11342" spans="2:2" ht="15.95" customHeight="1">
      <c r="B11342" s="37"/>
    </row>
    <row r="11343" spans="2:2" ht="15.95" customHeight="1">
      <c r="B11343" s="37"/>
    </row>
    <row r="11344" spans="2:2" ht="15.95" customHeight="1">
      <c r="B11344" s="37"/>
    </row>
    <row r="11345" spans="2:2" ht="15.95" customHeight="1">
      <c r="B11345" s="37"/>
    </row>
    <row r="11346" spans="2:2" ht="15.95" customHeight="1">
      <c r="B11346" s="37"/>
    </row>
    <row r="11347" spans="2:2" ht="15.95" customHeight="1">
      <c r="B11347" s="37"/>
    </row>
    <row r="11348" spans="2:2" ht="15.95" customHeight="1">
      <c r="B11348" s="37"/>
    </row>
    <row r="11349" spans="2:2" ht="15.95" customHeight="1">
      <c r="B11349" s="37"/>
    </row>
    <row r="11350" spans="2:2" ht="15.95" customHeight="1">
      <c r="B11350" s="37"/>
    </row>
    <row r="11351" spans="2:2" ht="15.95" customHeight="1">
      <c r="B11351" s="37"/>
    </row>
    <row r="11352" spans="2:2" ht="15.95" customHeight="1">
      <c r="B11352" s="37"/>
    </row>
    <row r="11353" spans="2:2" ht="15.95" customHeight="1">
      <c r="B11353" s="37"/>
    </row>
    <row r="11354" spans="2:2" ht="15.95" customHeight="1">
      <c r="B11354" s="37"/>
    </row>
    <row r="11355" spans="2:2" ht="15.95" customHeight="1">
      <c r="B11355" s="37"/>
    </row>
    <row r="11356" spans="2:2" ht="15.95" customHeight="1">
      <c r="B11356" s="37"/>
    </row>
    <row r="11357" spans="2:2" ht="15.95" customHeight="1">
      <c r="B11357" s="37"/>
    </row>
    <row r="11358" spans="2:2" ht="15.95" customHeight="1">
      <c r="B11358" s="37"/>
    </row>
    <row r="11359" spans="2:2" ht="15.95" customHeight="1">
      <c r="B11359" s="37"/>
    </row>
    <row r="11360" spans="2:2" ht="15.95" customHeight="1">
      <c r="B11360" s="37"/>
    </row>
    <row r="11361" spans="2:2" ht="15.95" customHeight="1">
      <c r="B11361" s="37"/>
    </row>
    <row r="11362" spans="2:2" ht="15.95" customHeight="1">
      <c r="B11362" s="37"/>
    </row>
    <row r="11363" spans="2:2" ht="15.95" customHeight="1">
      <c r="B11363" s="37"/>
    </row>
    <row r="11364" spans="2:2" ht="15.95" customHeight="1">
      <c r="B11364" s="37"/>
    </row>
    <row r="11365" spans="2:2" ht="15.95" customHeight="1">
      <c r="B11365" s="37"/>
    </row>
    <row r="11366" spans="2:2" ht="15.95" customHeight="1">
      <c r="B11366" s="37"/>
    </row>
    <row r="11367" spans="2:2" ht="15.95" customHeight="1">
      <c r="B11367" s="37"/>
    </row>
    <row r="11368" spans="2:2" ht="15.95" customHeight="1">
      <c r="B11368" s="37"/>
    </row>
    <row r="11369" spans="2:2" ht="15.95" customHeight="1">
      <c r="B11369" s="37"/>
    </row>
    <row r="11370" spans="2:2" ht="15.95" customHeight="1">
      <c r="B11370" s="37"/>
    </row>
    <row r="11371" spans="2:2" ht="15.95" customHeight="1">
      <c r="B11371" s="37"/>
    </row>
    <row r="11372" spans="2:2" ht="15.95" customHeight="1">
      <c r="B11372" s="37"/>
    </row>
    <row r="11373" spans="2:2" ht="15.95" customHeight="1">
      <c r="B11373" s="37"/>
    </row>
    <row r="11374" spans="2:2" ht="15.95" customHeight="1">
      <c r="B11374" s="37"/>
    </row>
    <row r="11375" spans="2:2" ht="15.95" customHeight="1">
      <c r="B11375" s="37"/>
    </row>
    <row r="11376" spans="2:2" ht="15.95" customHeight="1">
      <c r="B11376" s="37"/>
    </row>
    <row r="11377" spans="2:2" ht="15.95" customHeight="1">
      <c r="B11377" s="37"/>
    </row>
    <row r="11378" spans="2:2" ht="15.95" customHeight="1">
      <c r="B11378" s="37"/>
    </row>
    <row r="11379" spans="2:2" ht="15.95" customHeight="1">
      <c r="B11379" s="37"/>
    </row>
    <row r="11380" spans="2:2" ht="15.95" customHeight="1">
      <c r="B11380" s="37"/>
    </row>
    <row r="11381" spans="2:2" ht="15.95" customHeight="1">
      <c r="B11381" s="37"/>
    </row>
    <row r="11382" spans="2:2" ht="15.95" customHeight="1">
      <c r="B11382" s="37"/>
    </row>
    <row r="11383" spans="2:2" ht="15.95" customHeight="1">
      <c r="B11383" s="37"/>
    </row>
    <row r="11384" spans="2:2" ht="15.95" customHeight="1">
      <c r="B11384" s="37"/>
    </row>
    <row r="11385" spans="2:2" ht="15.95" customHeight="1">
      <c r="B11385" s="37"/>
    </row>
    <row r="11386" spans="2:2" ht="15.95" customHeight="1">
      <c r="B11386" s="37"/>
    </row>
    <row r="11387" spans="2:2" ht="15.95" customHeight="1">
      <c r="B11387" s="37"/>
    </row>
    <row r="11388" spans="2:2" ht="15.95" customHeight="1">
      <c r="B11388" s="37"/>
    </row>
    <row r="11389" spans="2:2" ht="15.95" customHeight="1">
      <c r="B11389" s="37"/>
    </row>
    <row r="11390" spans="2:2" ht="15.95" customHeight="1">
      <c r="B11390" s="37"/>
    </row>
    <row r="11391" spans="2:2" ht="15.95" customHeight="1">
      <c r="B11391" s="37"/>
    </row>
    <row r="11392" spans="2:2" ht="15.95" customHeight="1">
      <c r="B11392" s="37"/>
    </row>
    <row r="11393" spans="2:2" ht="15.95" customHeight="1">
      <c r="B11393" s="37"/>
    </row>
    <row r="11394" spans="2:2" ht="15.95" customHeight="1">
      <c r="B11394" s="37"/>
    </row>
    <row r="11395" spans="2:2" ht="15.95" customHeight="1">
      <c r="B11395" s="37"/>
    </row>
    <row r="11396" spans="2:2" ht="15.95" customHeight="1">
      <c r="B11396" s="37"/>
    </row>
    <row r="11397" spans="2:2" ht="15.95" customHeight="1">
      <c r="B11397" s="37"/>
    </row>
    <row r="11398" spans="2:2" ht="15.95" customHeight="1">
      <c r="B11398" s="37"/>
    </row>
    <row r="11399" spans="2:2" ht="15.95" customHeight="1">
      <c r="B11399" s="37"/>
    </row>
    <row r="11400" spans="2:2" ht="15.95" customHeight="1">
      <c r="B11400" s="37"/>
    </row>
    <row r="11401" spans="2:2" ht="15.95" customHeight="1">
      <c r="B11401" s="37"/>
    </row>
    <row r="11402" spans="2:2" ht="15.95" customHeight="1">
      <c r="B11402" s="37"/>
    </row>
    <row r="11403" spans="2:2" ht="15.95" customHeight="1">
      <c r="B11403" s="37"/>
    </row>
    <row r="11404" spans="2:2" ht="15.95" customHeight="1">
      <c r="B11404" s="37"/>
    </row>
    <row r="11405" spans="2:2" ht="15.95" customHeight="1">
      <c r="B11405" s="37"/>
    </row>
    <row r="11406" spans="2:2" ht="15.95" customHeight="1">
      <c r="B11406" s="37"/>
    </row>
    <row r="11407" spans="2:2" ht="15.95" customHeight="1">
      <c r="B11407" s="37"/>
    </row>
    <row r="11408" spans="2:2" ht="15.95" customHeight="1">
      <c r="B11408" s="37"/>
    </row>
    <row r="11409" spans="2:2" ht="15.95" customHeight="1">
      <c r="B11409" s="37"/>
    </row>
    <row r="11410" spans="2:2" ht="15.95" customHeight="1">
      <c r="B11410" s="37"/>
    </row>
    <row r="11411" spans="2:2" ht="15.95" customHeight="1">
      <c r="B11411" s="37"/>
    </row>
    <row r="11412" spans="2:2" ht="15.95" customHeight="1">
      <c r="B11412" s="37"/>
    </row>
    <row r="11413" spans="2:2" ht="15.95" customHeight="1">
      <c r="B11413" s="37"/>
    </row>
    <row r="11414" spans="2:2" ht="15.95" customHeight="1">
      <c r="B11414" s="37"/>
    </row>
    <row r="11415" spans="2:2" ht="15.95" customHeight="1">
      <c r="B11415" s="37"/>
    </row>
    <row r="11416" spans="2:2" ht="15.95" customHeight="1">
      <c r="B11416" s="37"/>
    </row>
    <row r="11417" spans="2:2" ht="15.95" customHeight="1">
      <c r="B11417" s="37"/>
    </row>
    <row r="11418" spans="2:2" ht="15.95" customHeight="1">
      <c r="B11418" s="37"/>
    </row>
    <row r="11419" spans="2:2" ht="15.95" customHeight="1">
      <c r="B11419" s="37"/>
    </row>
    <row r="11420" spans="2:2" ht="15.95" customHeight="1">
      <c r="B11420" s="37"/>
    </row>
    <row r="11421" spans="2:2" ht="15.95" customHeight="1">
      <c r="B11421" s="37"/>
    </row>
    <row r="11422" spans="2:2" ht="15.95" customHeight="1">
      <c r="B11422" s="37"/>
    </row>
    <row r="11423" spans="2:2" ht="15.95" customHeight="1">
      <c r="B11423" s="37"/>
    </row>
    <row r="11424" spans="2:2" ht="15.95" customHeight="1">
      <c r="B11424" s="37"/>
    </row>
    <row r="11425" spans="2:2" ht="15.95" customHeight="1">
      <c r="B11425" s="37"/>
    </row>
    <row r="11426" spans="2:2" ht="15.95" customHeight="1">
      <c r="B11426" s="37"/>
    </row>
    <row r="11427" spans="2:2" ht="15.95" customHeight="1">
      <c r="B11427" s="37"/>
    </row>
    <row r="11428" spans="2:2" ht="15.95" customHeight="1">
      <c r="B11428" s="37"/>
    </row>
    <row r="11429" spans="2:2" ht="15.95" customHeight="1">
      <c r="B11429" s="37"/>
    </row>
    <row r="11430" spans="2:2" ht="15.95" customHeight="1">
      <c r="B11430" s="37"/>
    </row>
    <row r="11431" spans="2:2" ht="15.95" customHeight="1">
      <c r="B11431" s="37"/>
    </row>
    <row r="11432" spans="2:2" ht="15.95" customHeight="1">
      <c r="B11432" s="37"/>
    </row>
    <row r="11433" spans="2:2" ht="15.95" customHeight="1">
      <c r="B11433" s="37"/>
    </row>
    <row r="11434" spans="2:2" ht="15.95" customHeight="1">
      <c r="B11434" s="37"/>
    </row>
    <row r="11435" spans="2:2" ht="15.95" customHeight="1">
      <c r="B11435" s="37"/>
    </row>
    <row r="11436" spans="2:2" ht="15.95" customHeight="1">
      <c r="B11436" s="37"/>
    </row>
    <row r="11437" spans="2:2" ht="15.95" customHeight="1">
      <c r="B11437" s="37"/>
    </row>
    <row r="11438" spans="2:2" ht="15.95" customHeight="1">
      <c r="B11438" s="37"/>
    </row>
    <row r="11439" spans="2:2" ht="15.95" customHeight="1">
      <c r="B11439" s="37"/>
    </row>
    <row r="11440" spans="2:2" ht="15.95" customHeight="1">
      <c r="B11440" s="37"/>
    </row>
    <row r="11441" spans="2:2" ht="15.95" customHeight="1">
      <c r="B11441" s="37"/>
    </row>
    <row r="11442" spans="2:2" ht="15.95" customHeight="1">
      <c r="B11442" s="37"/>
    </row>
    <row r="11443" spans="2:2" ht="15.95" customHeight="1">
      <c r="B11443" s="37"/>
    </row>
    <row r="11444" spans="2:2" ht="15.95" customHeight="1">
      <c r="B11444" s="37"/>
    </row>
    <row r="11445" spans="2:2" ht="15.95" customHeight="1">
      <c r="B11445" s="37"/>
    </row>
    <row r="11446" spans="2:2" ht="15.95" customHeight="1">
      <c r="B11446" s="37"/>
    </row>
    <row r="11447" spans="2:2" ht="15.95" customHeight="1">
      <c r="B11447" s="37"/>
    </row>
    <row r="11448" spans="2:2" ht="15.95" customHeight="1">
      <c r="B11448" s="37"/>
    </row>
    <row r="11449" spans="2:2" ht="15.95" customHeight="1">
      <c r="B11449" s="37"/>
    </row>
    <row r="11450" spans="2:2" ht="15.95" customHeight="1">
      <c r="B11450" s="37"/>
    </row>
    <row r="11451" spans="2:2" ht="15.95" customHeight="1">
      <c r="B11451" s="37"/>
    </row>
    <row r="11452" spans="2:2" ht="15.95" customHeight="1">
      <c r="B11452" s="37"/>
    </row>
    <row r="11453" spans="2:2" ht="15.95" customHeight="1">
      <c r="B11453" s="37"/>
    </row>
    <row r="11454" spans="2:2" ht="15.95" customHeight="1">
      <c r="B11454" s="37"/>
    </row>
    <row r="11455" spans="2:2" ht="15.95" customHeight="1">
      <c r="B11455" s="37"/>
    </row>
    <row r="11456" spans="2:2" ht="15.95" customHeight="1">
      <c r="B11456" s="37"/>
    </row>
    <row r="11457" spans="2:2" ht="15.95" customHeight="1">
      <c r="B11457" s="37"/>
    </row>
    <row r="11458" spans="2:2" ht="15.95" customHeight="1">
      <c r="B11458" s="37"/>
    </row>
    <row r="11459" spans="2:2" ht="15.95" customHeight="1">
      <c r="B11459" s="37"/>
    </row>
    <row r="11460" spans="2:2" ht="15.95" customHeight="1">
      <c r="B11460" s="37"/>
    </row>
    <row r="11461" spans="2:2" ht="15.95" customHeight="1">
      <c r="B11461" s="37"/>
    </row>
    <row r="11462" spans="2:2" ht="15.95" customHeight="1">
      <c r="B11462" s="37"/>
    </row>
    <row r="11463" spans="2:2" ht="15.95" customHeight="1">
      <c r="B11463" s="37"/>
    </row>
    <row r="11464" spans="2:2" ht="15.95" customHeight="1">
      <c r="B11464" s="37"/>
    </row>
    <row r="11465" spans="2:2" ht="15.95" customHeight="1">
      <c r="B11465" s="37"/>
    </row>
    <row r="11466" spans="2:2" ht="15.95" customHeight="1">
      <c r="B11466" s="37"/>
    </row>
    <row r="11467" spans="2:2" ht="15.95" customHeight="1">
      <c r="B11467" s="37"/>
    </row>
    <row r="11468" spans="2:2" ht="15.95" customHeight="1">
      <c r="B11468" s="37"/>
    </row>
    <row r="11469" spans="2:2" ht="15.95" customHeight="1">
      <c r="B11469" s="37"/>
    </row>
    <row r="11470" spans="2:2" ht="15.95" customHeight="1">
      <c r="B11470" s="37"/>
    </row>
    <row r="11471" spans="2:2" ht="15.95" customHeight="1">
      <c r="B11471" s="37"/>
    </row>
    <row r="11472" spans="2:2" ht="15.95" customHeight="1">
      <c r="B11472" s="37"/>
    </row>
    <row r="11473" spans="2:2" ht="15.95" customHeight="1">
      <c r="B11473" s="37"/>
    </row>
    <row r="11474" spans="2:2" ht="15.95" customHeight="1">
      <c r="B11474" s="37"/>
    </row>
    <row r="11475" spans="2:2" ht="15.95" customHeight="1">
      <c r="B11475" s="37"/>
    </row>
    <row r="11476" spans="2:2" ht="15.95" customHeight="1">
      <c r="B11476" s="37"/>
    </row>
    <row r="11477" spans="2:2" ht="15.95" customHeight="1">
      <c r="B11477" s="37"/>
    </row>
    <row r="11478" spans="2:2" ht="15.95" customHeight="1">
      <c r="B11478" s="37"/>
    </row>
    <row r="11479" spans="2:2" ht="15.95" customHeight="1">
      <c r="B11479" s="37"/>
    </row>
    <row r="11480" spans="2:2" ht="15.95" customHeight="1">
      <c r="B11480" s="37"/>
    </row>
    <row r="11481" spans="2:2" ht="15.95" customHeight="1">
      <c r="B11481" s="37"/>
    </row>
    <row r="11482" spans="2:2" ht="15.95" customHeight="1">
      <c r="B11482" s="37"/>
    </row>
    <row r="11483" spans="2:2" ht="15.95" customHeight="1">
      <c r="B11483" s="37"/>
    </row>
    <row r="11484" spans="2:2" ht="15.95" customHeight="1">
      <c r="B11484" s="37"/>
    </row>
    <row r="11485" spans="2:2" ht="15.95" customHeight="1">
      <c r="B11485" s="37"/>
    </row>
    <row r="11486" spans="2:2" ht="15.95" customHeight="1">
      <c r="B11486" s="37"/>
    </row>
    <row r="11487" spans="2:2" ht="15.95" customHeight="1">
      <c r="B11487" s="37"/>
    </row>
    <row r="11488" spans="2:2" ht="15.95" customHeight="1">
      <c r="B11488" s="37"/>
    </row>
    <row r="11489" spans="2:2" ht="15.95" customHeight="1">
      <c r="B11489" s="37"/>
    </row>
    <row r="11490" spans="2:2" ht="15.95" customHeight="1">
      <c r="B11490" s="37"/>
    </row>
    <row r="11491" spans="2:2" ht="15.95" customHeight="1">
      <c r="B11491" s="37"/>
    </row>
    <row r="11492" spans="2:2" ht="15.95" customHeight="1">
      <c r="B11492" s="37"/>
    </row>
    <row r="11493" spans="2:2" ht="15.95" customHeight="1">
      <c r="B11493" s="37"/>
    </row>
    <row r="11494" spans="2:2" ht="15.95" customHeight="1">
      <c r="B11494" s="37"/>
    </row>
    <row r="11495" spans="2:2" ht="15.95" customHeight="1">
      <c r="B11495" s="37"/>
    </row>
    <row r="11496" spans="2:2" ht="15.95" customHeight="1">
      <c r="B11496" s="37"/>
    </row>
    <row r="11497" spans="2:2" ht="15.95" customHeight="1">
      <c r="B11497" s="37"/>
    </row>
    <row r="11498" spans="2:2" ht="15.95" customHeight="1">
      <c r="B11498" s="37"/>
    </row>
    <row r="11499" spans="2:2" ht="15.95" customHeight="1">
      <c r="B11499" s="37"/>
    </row>
    <row r="11500" spans="2:2" ht="15.95" customHeight="1">
      <c r="B11500" s="37"/>
    </row>
    <row r="11501" spans="2:2" ht="15.95" customHeight="1">
      <c r="B11501" s="37"/>
    </row>
    <row r="11502" spans="2:2" ht="15.95" customHeight="1">
      <c r="B11502" s="37"/>
    </row>
    <row r="11503" spans="2:2" ht="15.95" customHeight="1">
      <c r="B11503" s="37"/>
    </row>
    <row r="11504" spans="2:2" ht="15.95" customHeight="1">
      <c r="B11504" s="37"/>
    </row>
    <row r="11505" spans="2:2" ht="15.95" customHeight="1">
      <c r="B11505" s="37"/>
    </row>
    <row r="11506" spans="2:2" ht="15.95" customHeight="1">
      <c r="B11506" s="37"/>
    </row>
    <row r="11507" spans="2:2" ht="15.95" customHeight="1">
      <c r="B11507" s="37"/>
    </row>
    <row r="11508" spans="2:2" ht="15.95" customHeight="1">
      <c r="B11508" s="37"/>
    </row>
    <row r="11509" spans="2:2" ht="15.95" customHeight="1">
      <c r="B11509" s="37"/>
    </row>
    <row r="11510" spans="2:2" ht="15.95" customHeight="1">
      <c r="B11510" s="37"/>
    </row>
    <row r="11511" spans="2:2" ht="15.95" customHeight="1">
      <c r="B11511" s="37"/>
    </row>
    <row r="11512" spans="2:2" ht="15.95" customHeight="1">
      <c r="B11512" s="37"/>
    </row>
    <row r="11513" spans="2:2" ht="15.95" customHeight="1">
      <c r="B11513" s="37"/>
    </row>
    <row r="11514" spans="2:2" ht="15.95" customHeight="1">
      <c r="B11514" s="37"/>
    </row>
    <row r="11515" spans="2:2" ht="15.95" customHeight="1">
      <c r="B11515" s="37"/>
    </row>
    <row r="11516" spans="2:2" ht="15.95" customHeight="1">
      <c r="B11516" s="37"/>
    </row>
    <row r="11517" spans="2:2" ht="15.95" customHeight="1">
      <c r="B11517" s="37"/>
    </row>
    <row r="11518" spans="2:2" ht="15.95" customHeight="1">
      <c r="B11518" s="37"/>
    </row>
    <row r="11519" spans="2:2" ht="15.95" customHeight="1">
      <c r="B11519" s="37"/>
    </row>
    <row r="11520" spans="2:2" ht="15.95" customHeight="1">
      <c r="B11520" s="37"/>
    </row>
    <row r="11521" spans="2:2" ht="15.95" customHeight="1">
      <c r="B11521" s="37"/>
    </row>
    <row r="11522" spans="2:2" ht="15.95" customHeight="1">
      <c r="B11522" s="37"/>
    </row>
    <row r="11523" spans="2:2" ht="15.95" customHeight="1">
      <c r="B11523" s="37"/>
    </row>
    <row r="11524" spans="2:2" ht="15.95" customHeight="1">
      <c r="B11524" s="37"/>
    </row>
    <row r="11525" spans="2:2" ht="15.95" customHeight="1">
      <c r="B11525" s="37"/>
    </row>
    <row r="11526" spans="2:2" ht="15.95" customHeight="1">
      <c r="B11526" s="37"/>
    </row>
    <row r="11527" spans="2:2" ht="15.95" customHeight="1">
      <c r="B11527" s="37"/>
    </row>
    <row r="11528" spans="2:2" ht="15.95" customHeight="1">
      <c r="B11528" s="37"/>
    </row>
    <row r="11529" spans="2:2" ht="15.95" customHeight="1">
      <c r="B11529" s="37"/>
    </row>
    <row r="11530" spans="2:2" ht="15.95" customHeight="1">
      <c r="B11530" s="37"/>
    </row>
    <row r="11531" spans="2:2" ht="15.95" customHeight="1">
      <c r="B11531" s="37"/>
    </row>
    <row r="11532" spans="2:2" ht="15.95" customHeight="1">
      <c r="B11532" s="37"/>
    </row>
    <row r="11533" spans="2:2" ht="15.95" customHeight="1">
      <c r="B11533" s="37"/>
    </row>
    <row r="11534" spans="2:2" ht="15.95" customHeight="1">
      <c r="B11534" s="37"/>
    </row>
    <row r="11535" spans="2:2" ht="15.95" customHeight="1">
      <c r="B11535" s="37"/>
    </row>
    <row r="11536" spans="2:2" ht="15.95" customHeight="1">
      <c r="B11536" s="37"/>
    </row>
    <row r="11537" spans="2:2" ht="15.95" customHeight="1">
      <c r="B11537" s="37"/>
    </row>
    <row r="11538" spans="2:2" ht="15.95" customHeight="1">
      <c r="B11538" s="37"/>
    </row>
    <row r="11539" spans="2:2" ht="15.95" customHeight="1">
      <c r="B11539" s="37"/>
    </row>
    <row r="11540" spans="2:2" ht="15.95" customHeight="1">
      <c r="B11540" s="37"/>
    </row>
    <row r="11541" spans="2:2" ht="15.95" customHeight="1">
      <c r="B11541" s="37"/>
    </row>
    <row r="11542" spans="2:2" ht="15.95" customHeight="1">
      <c r="B11542" s="37"/>
    </row>
    <row r="11543" spans="2:2" ht="15.95" customHeight="1">
      <c r="B11543" s="37"/>
    </row>
    <row r="11544" spans="2:2" ht="15.95" customHeight="1">
      <c r="B11544" s="37"/>
    </row>
    <row r="11545" spans="2:2" ht="15.95" customHeight="1">
      <c r="B11545" s="37"/>
    </row>
    <row r="11546" spans="2:2" ht="15.95" customHeight="1">
      <c r="B11546" s="37"/>
    </row>
    <row r="11547" spans="2:2" ht="15.95" customHeight="1">
      <c r="B11547" s="37"/>
    </row>
    <row r="11548" spans="2:2" ht="15.95" customHeight="1">
      <c r="B11548" s="37"/>
    </row>
    <row r="11549" spans="2:2" ht="15.95" customHeight="1">
      <c r="B11549" s="37"/>
    </row>
    <row r="11550" spans="2:2" ht="15.95" customHeight="1">
      <c r="B11550" s="37"/>
    </row>
    <row r="11551" spans="2:2" ht="15.95" customHeight="1">
      <c r="B11551" s="37"/>
    </row>
    <row r="11552" spans="2:2" ht="15.95" customHeight="1">
      <c r="B11552" s="37"/>
    </row>
    <row r="11553" spans="2:2" ht="15.95" customHeight="1">
      <c r="B11553" s="37"/>
    </row>
    <row r="11554" spans="2:2" ht="15.95" customHeight="1">
      <c r="B11554" s="37"/>
    </row>
    <row r="11555" spans="2:2" ht="15.95" customHeight="1">
      <c r="B11555" s="37"/>
    </row>
    <row r="11556" spans="2:2" ht="15.95" customHeight="1">
      <c r="B11556" s="37"/>
    </row>
    <row r="11557" spans="2:2" ht="15.95" customHeight="1">
      <c r="B11557" s="37"/>
    </row>
    <row r="11558" spans="2:2" ht="15.95" customHeight="1">
      <c r="B11558" s="37"/>
    </row>
    <row r="11559" spans="2:2" ht="15.95" customHeight="1">
      <c r="B11559" s="37"/>
    </row>
    <row r="11560" spans="2:2" ht="15.95" customHeight="1">
      <c r="B11560" s="37"/>
    </row>
    <row r="11561" spans="2:2" ht="15.95" customHeight="1">
      <c r="B11561" s="37"/>
    </row>
    <row r="11562" spans="2:2" ht="15.95" customHeight="1">
      <c r="B11562" s="37"/>
    </row>
    <row r="11563" spans="2:2" ht="15.95" customHeight="1">
      <c r="B11563" s="37"/>
    </row>
    <row r="11564" spans="2:2" ht="15.95" customHeight="1">
      <c r="B11564" s="37"/>
    </row>
    <row r="11565" spans="2:2" ht="15.95" customHeight="1">
      <c r="B11565" s="37"/>
    </row>
    <row r="11566" spans="2:2" ht="15.95" customHeight="1">
      <c r="B11566" s="37"/>
    </row>
    <row r="11567" spans="2:2" ht="15.95" customHeight="1">
      <c r="B11567" s="37"/>
    </row>
    <row r="11568" spans="2:2" ht="15.95" customHeight="1">
      <c r="B11568" s="37"/>
    </row>
    <row r="11569" spans="2:2" ht="15.95" customHeight="1">
      <c r="B11569" s="37"/>
    </row>
    <row r="11570" spans="2:2" ht="15.95" customHeight="1">
      <c r="B11570" s="37"/>
    </row>
    <row r="11571" spans="2:2" ht="15.95" customHeight="1">
      <c r="B11571" s="37"/>
    </row>
    <row r="11572" spans="2:2" ht="15.95" customHeight="1">
      <c r="B11572" s="37"/>
    </row>
    <row r="11573" spans="2:2" ht="15.95" customHeight="1">
      <c r="B11573" s="37"/>
    </row>
    <row r="11574" spans="2:2" ht="15.95" customHeight="1">
      <c r="B11574" s="37"/>
    </row>
    <row r="11575" spans="2:2" ht="15.95" customHeight="1">
      <c r="B11575" s="37"/>
    </row>
    <row r="11576" spans="2:2" ht="15.95" customHeight="1">
      <c r="B11576" s="37"/>
    </row>
    <row r="11577" spans="2:2" ht="15.95" customHeight="1">
      <c r="B11577" s="37"/>
    </row>
    <row r="11578" spans="2:2" ht="15.95" customHeight="1">
      <c r="B11578" s="37"/>
    </row>
    <row r="11579" spans="2:2" ht="15.95" customHeight="1">
      <c r="B11579" s="37"/>
    </row>
    <row r="11580" spans="2:2" ht="15.95" customHeight="1">
      <c r="B11580" s="37"/>
    </row>
    <row r="11581" spans="2:2" ht="15.95" customHeight="1">
      <c r="B11581" s="37"/>
    </row>
    <row r="11582" spans="2:2" ht="15.95" customHeight="1">
      <c r="B11582" s="37"/>
    </row>
    <row r="11583" spans="2:2" ht="15.95" customHeight="1">
      <c r="B11583" s="37"/>
    </row>
    <row r="11584" spans="2:2" ht="15.95" customHeight="1">
      <c r="B11584" s="37"/>
    </row>
    <row r="11585" spans="2:2" ht="15.95" customHeight="1">
      <c r="B11585" s="37"/>
    </row>
    <row r="11586" spans="2:2" ht="15.95" customHeight="1">
      <c r="B11586" s="37"/>
    </row>
    <row r="11587" spans="2:2" ht="15.95" customHeight="1">
      <c r="B11587" s="37"/>
    </row>
    <row r="11588" spans="2:2" ht="15.95" customHeight="1">
      <c r="B11588" s="37"/>
    </row>
    <row r="11589" spans="2:2" ht="15.95" customHeight="1">
      <c r="B11589" s="37"/>
    </row>
    <row r="11590" spans="2:2" ht="15.95" customHeight="1">
      <c r="B11590" s="37"/>
    </row>
    <row r="11591" spans="2:2" ht="15.95" customHeight="1">
      <c r="B11591" s="37"/>
    </row>
    <row r="11592" spans="2:2" ht="15.95" customHeight="1">
      <c r="B11592" s="37"/>
    </row>
    <row r="11593" spans="2:2" ht="15.95" customHeight="1">
      <c r="B11593" s="37"/>
    </row>
    <row r="11594" spans="2:2" ht="15.95" customHeight="1">
      <c r="B11594" s="37"/>
    </row>
    <row r="11595" spans="2:2" ht="15.95" customHeight="1">
      <c r="B11595" s="37"/>
    </row>
    <row r="11596" spans="2:2" ht="15.95" customHeight="1">
      <c r="B11596" s="37"/>
    </row>
    <row r="11597" spans="2:2" ht="15.95" customHeight="1">
      <c r="B11597" s="37"/>
    </row>
    <row r="11598" spans="2:2" ht="15.95" customHeight="1">
      <c r="B11598" s="37"/>
    </row>
    <row r="11599" spans="2:2" ht="15.95" customHeight="1">
      <c r="B11599" s="37"/>
    </row>
    <row r="11600" spans="2:2" ht="15.95" customHeight="1">
      <c r="B11600" s="37"/>
    </row>
    <row r="11601" spans="2:2" ht="15.95" customHeight="1">
      <c r="B11601" s="37"/>
    </row>
    <row r="11602" spans="2:2" ht="15.95" customHeight="1">
      <c r="B11602" s="37"/>
    </row>
    <row r="11603" spans="2:2" ht="15.95" customHeight="1">
      <c r="B11603" s="37"/>
    </row>
    <row r="11604" spans="2:2" ht="15.95" customHeight="1">
      <c r="B11604" s="37"/>
    </row>
    <row r="11605" spans="2:2" ht="15.95" customHeight="1">
      <c r="B11605" s="37"/>
    </row>
    <row r="11606" spans="2:2" ht="15.95" customHeight="1">
      <c r="B11606" s="37"/>
    </row>
    <row r="11607" spans="2:2" ht="15.95" customHeight="1">
      <c r="B11607" s="37"/>
    </row>
    <row r="11608" spans="2:2" ht="15.95" customHeight="1">
      <c r="B11608" s="37"/>
    </row>
    <row r="11609" spans="2:2" ht="15.95" customHeight="1">
      <c r="B11609" s="37"/>
    </row>
    <row r="11610" spans="2:2" ht="15.95" customHeight="1">
      <c r="B11610" s="37"/>
    </row>
    <row r="11611" spans="2:2" ht="15.95" customHeight="1">
      <c r="B11611" s="37"/>
    </row>
    <row r="11612" spans="2:2" ht="15.95" customHeight="1">
      <c r="B11612" s="37"/>
    </row>
    <row r="11613" spans="2:2" ht="15.95" customHeight="1">
      <c r="B11613" s="37"/>
    </row>
    <row r="11614" spans="2:2" ht="15.95" customHeight="1">
      <c r="B11614" s="37"/>
    </row>
    <row r="11615" spans="2:2" ht="15.95" customHeight="1">
      <c r="B11615" s="37"/>
    </row>
    <row r="11616" spans="2:2" ht="15.95" customHeight="1">
      <c r="B11616" s="37"/>
    </row>
    <row r="11617" spans="2:2" ht="15.95" customHeight="1">
      <c r="B11617" s="37"/>
    </row>
    <row r="11618" spans="2:2" ht="15.95" customHeight="1">
      <c r="B11618" s="37"/>
    </row>
    <row r="11619" spans="2:2" ht="15.95" customHeight="1">
      <c r="B11619" s="37"/>
    </row>
    <row r="11620" spans="2:2" ht="15.95" customHeight="1">
      <c r="B11620" s="37"/>
    </row>
    <row r="11621" spans="2:2" ht="15.95" customHeight="1">
      <c r="B11621" s="37"/>
    </row>
    <row r="11622" spans="2:2" ht="15.95" customHeight="1">
      <c r="B11622" s="37"/>
    </row>
    <row r="11623" spans="2:2" ht="15.95" customHeight="1">
      <c r="B11623" s="37"/>
    </row>
    <row r="11624" spans="2:2" ht="15.95" customHeight="1">
      <c r="B11624" s="37"/>
    </row>
    <row r="11625" spans="2:2" ht="15.95" customHeight="1">
      <c r="B11625" s="37"/>
    </row>
    <row r="11626" spans="2:2" ht="15.95" customHeight="1">
      <c r="B11626" s="37"/>
    </row>
    <row r="11627" spans="2:2" ht="15.95" customHeight="1">
      <c r="B11627" s="37"/>
    </row>
    <row r="11628" spans="2:2" ht="15.95" customHeight="1">
      <c r="B11628" s="37"/>
    </row>
    <row r="11629" spans="2:2" ht="15.95" customHeight="1">
      <c r="B11629" s="37"/>
    </row>
    <row r="11630" spans="2:2" ht="15.95" customHeight="1">
      <c r="B11630" s="37"/>
    </row>
    <row r="11631" spans="2:2" ht="15.95" customHeight="1">
      <c r="B11631" s="37"/>
    </row>
    <row r="11632" spans="2:2" ht="15.95" customHeight="1">
      <c r="B11632" s="37"/>
    </row>
    <row r="11633" spans="2:2" ht="15.95" customHeight="1">
      <c r="B11633" s="37"/>
    </row>
    <row r="11634" spans="2:2" ht="15.95" customHeight="1">
      <c r="B11634" s="37"/>
    </row>
    <row r="11635" spans="2:2" ht="15.95" customHeight="1">
      <c r="B11635" s="37"/>
    </row>
    <row r="11636" spans="2:2" ht="15.95" customHeight="1">
      <c r="B11636" s="37"/>
    </row>
    <row r="11637" spans="2:2" ht="15.95" customHeight="1">
      <c r="B11637" s="37"/>
    </row>
    <row r="11638" spans="2:2" ht="15.95" customHeight="1">
      <c r="B11638" s="37"/>
    </row>
    <row r="11639" spans="2:2" ht="15.95" customHeight="1">
      <c r="B11639" s="37"/>
    </row>
    <row r="11640" spans="2:2" ht="15.95" customHeight="1">
      <c r="B11640" s="37"/>
    </row>
    <row r="11641" spans="2:2" ht="15.95" customHeight="1">
      <c r="B11641" s="37"/>
    </row>
    <row r="11642" spans="2:2" ht="15.95" customHeight="1">
      <c r="B11642" s="37"/>
    </row>
    <row r="11643" spans="2:2" ht="15.95" customHeight="1">
      <c r="B11643" s="37"/>
    </row>
    <row r="11644" spans="2:2" ht="15.95" customHeight="1">
      <c r="B11644" s="37"/>
    </row>
    <row r="11645" spans="2:2" ht="15.95" customHeight="1">
      <c r="B11645" s="37"/>
    </row>
    <row r="11646" spans="2:2" ht="15.95" customHeight="1">
      <c r="B11646" s="37"/>
    </row>
    <row r="11647" spans="2:2" ht="15.95" customHeight="1">
      <c r="B11647" s="37"/>
    </row>
    <row r="11648" spans="2:2" ht="15.95" customHeight="1">
      <c r="B11648" s="37"/>
    </row>
    <row r="11649" spans="2:2" ht="15.95" customHeight="1">
      <c r="B11649" s="37"/>
    </row>
    <row r="11650" spans="2:2" ht="15.95" customHeight="1">
      <c r="B11650" s="37"/>
    </row>
    <row r="11651" spans="2:2" ht="15.95" customHeight="1">
      <c r="B11651" s="37"/>
    </row>
    <row r="11652" spans="2:2" ht="15.95" customHeight="1">
      <c r="B11652" s="37"/>
    </row>
    <row r="11653" spans="2:2" ht="15.95" customHeight="1">
      <c r="B11653" s="37"/>
    </row>
    <row r="11654" spans="2:2" ht="15.95" customHeight="1">
      <c r="B11654" s="37"/>
    </row>
    <row r="11655" spans="2:2" ht="15.95" customHeight="1">
      <c r="B11655" s="37"/>
    </row>
    <row r="11656" spans="2:2" ht="15.95" customHeight="1">
      <c r="B11656" s="37"/>
    </row>
    <row r="11657" spans="2:2" ht="15.95" customHeight="1">
      <c r="B11657" s="37"/>
    </row>
    <row r="11658" spans="2:2" ht="15.95" customHeight="1">
      <c r="B11658" s="37"/>
    </row>
    <row r="11659" spans="2:2" ht="15.95" customHeight="1">
      <c r="B11659" s="37"/>
    </row>
    <row r="11660" spans="2:2" ht="15.95" customHeight="1">
      <c r="B11660" s="37"/>
    </row>
    <row r="11661" spans="2:2" ht="15.95" customHeight="1">
      <c r="B11661" s="37"/>
    </row>
    <row r="11662" spans="2:2" ht="15.95" customHeight="1">
      <c r="B11662" s="37"/>
    </row>
    <row r="11663" spans="2:2" ht="15.95" customHeight="1">
      <c r="B11663" s="37"/>
    </row>
    <row r="11664" spans="2:2" ht="15.95" customHeight="1">
      <c r="B11664" s="37"/>
    </row>
    <row r="11665" spans="2:2" ht="15.95" customHeight="1">
      <c r="B11665" s="37"/>
    </row>
    <row r="11666" spans="2:2" ht="15.95" customHeight="1">
      <c r="B11666" s="37"/>
    </row>
    <row r="11667" spans="2:2" ht="15.95" customHeight="1">
      <c r="B11667" s="37"/>
    </row>
    <row r="11668" spans="2:2" ht="15.95" customHeight="1">
      <c r="B11668" s="37"/>
    </row>
    <row r="11669" spans="2:2" ht="15.95" customHeight="1">
      <c r="B11669" s="37"/>
    </row>
    <row r="11670" spans="2:2" ht="15.95" customHeight="1">
      <c r="B11670" s="37"/>
    </row>
    <row r="11671" spans="2:2" ht="15.95" customHeight="1">
      <c r="B11671" s="37"/>
    </row>
    <row r="11672" spans="2:2" ht="15.95" customHeight="1">
      <c r="B11672" s="37"/>
    </row>
    <row r="11673" spans="2:2" ht="15.95" customHeight="1">
      <c r="B11673" s="37"/>
    </row>
    <row r="11674" spans="2:2" ht="15.95" customHeight="1">
      <c r="B11674" s="37"/>
    </row>
    <row r="11675" spans="2:2" ht="15.95" customHeight="1">
      <c r="B11675" s="37"/>
    </row>
    <row r="11676" spans="2:2" ht="15.95" customHeight="1">
      <c r="B11676" s="37"/>
    </row>
    <row r="11677" spans="2:2" ht="15.95" customHeight="1">
      <c r="B11677" s="37"/>
    </row>
    <row r="11678" spans="2:2" ht="15.95" customHeight="1">
      <c r="B11678" s="37"/>
    </row>
    <row r="11679" spans="2:2" ht="15.95" customHeight="1">
      <c r="B11679" s="37"/>
    </row>
    <row r="11680" spans="2:2" ht="15.95" customHeight="1">
      <c r="B11680" s="37"/>
    </row>
    <row r="11681" spans="2:2" ht="15.95" customHeight="1">
      <c r="B11681" s="37"/>
    </row>
    <row r="11682" spans="2:2" ht="15.95" customHeight="1">
      <c r="B11682" s="37"/>
    </row>
    <row r="11683" spans="2:2" ht="15.95" customHeight="1">
      <c r="B11683" s="37"/>
    </row>
    <row r="11684" spans="2:2" ht="15.95" customHeight="1">
      <c r="B11684" s="37"/>
    </row>
    <row r="11685" spans="2:2" ht="15.95" customHeight="1">
      <c r="B11685" s="37"/>
    </row>
    <row r="11686" spans="2:2" ht="15.95" customHeight="1">
      <c r="B11686" s="37"/>
    </row>
    <row r="11687" spans="2:2" ht="15.95" customHeight="1">
      <c r="B11687" s="37"/>
    </row>
    <row r="11688" spans="2:2" ht="15.95" customHeight="1">
      <c r="B11688" s="37"/>
    </row>
    <row r="11689" spans="2:2" ht="15.95" customHeight="1">
      <c r="B11689" s="37"/>
    </row>
    <row r="11690" spans="2:2" ht="15.95" customHeight="1">
      <c r="B11690" s="37"/>
    </row>
    <row r="11691" spans="2:2" ht="15.95" customHeight="1">
      <c r="B11691" s="37"/>
    </row>
    <row r="11692" spans="2:2" ht="15.95" customHeight="1">
      <c r="B11692" s="37"/>
    </row>
    <row r="11693" spans="2:2" ht="15.95" customHeight="1">
      <c r="B11693" s="37"/>
    </row>
    <row r="11694" spans="2:2" ht="15.95" customHeight="1">
      <c r="B11694" s="37"/>
    </row>
    <row r="11695" spans="2:2" ht="15.95" customHeight="1">
      <c r="B11695" s="37"/>
    </row>
    <row r="11696" spans="2:2" ht="15.95" customHeight="1">
      <c r="B11696" s="37"/>
    </row>
    <row r="11697" spans="2:2" ht="15.95" customHeight="1">
      <c r="B11697" s="37"/>
    </row>
    <row r="11698" spans="2:2" ht="15.95" customHeight="1">
      <c r="B11698" s="37"/>
    </row>
    <row r="11699" spans="2:2" ht="15.95" customHeight="1">
      <c r="B11699" s="37"/>
    </row>
    <row r="11700" spans="2:2" ht="15.95" customHeight="1">
      <c r="B11700" s="37"/>
    </row>
    <row r="11701" spans="2:2" ht="15.95" customHeight="1">
      <c r="B11701" s="37"/>
    </row>
    <row r="11702" spans="2:2" ht="15.95" customHeight="1">
      <c r="B11702" s="37"/>
    </row>
    <row r="11703" spans="2:2" ht="15.95" customHeight="1">
      <c r="B11703" s="37"/>
    </row>
    <row r="11704" spans="2:2" ht="15.95" customHeight="1">
      <c r="B11704" s="37"/>
    </row>
    <row r="11705" spans="2:2" ht="15.95" customHeight="1">
      <c r="B11705" s="37"/>
    </row>
    <row r="11706" spans="2:2" ht="15.95" customHeight="1">
      <c r="B11706" s="37"/>
    </row>
    <row r="11707" spans="2:2" ht="15.95" customHeight="1">
      <c r="B11707" s="37"/>
    </row>
    <row r="11708" spans="2:2" ht="15.95" customHeight="1">
      <c r="B11708" s="37"/>
    </row>
    <row r="11709" spans="2:2" ht="15.95" customHeight="1">
      <c r="B11709" s="37"/>
    </row>
    <row r="11710" spans="2:2" ht="15.95" customHeight="1">
      <c r="B11710" s="37"/>
    </row>
    <row r="11711" spans="2:2" ht="15.95" customHeight="1">
      <c r="B11711" s="37"/>
    </row>
    <row r="11712" spans="2:2" ht="15.95" customHeight="1">
      <c r="B11712" s="37"/>
    </row>
    <row r="11713" spans="2:2" ht="15.95" customHeight="1">
      <c r="B11713" s="37"/>
    </row>
    <row r="11714" spans="2:2" ht="15.95" customHeight="1">
      <c r="B11714" s="37"/>
    </row>
    <row r="11715" spans="2:2" ht="15.95" customHeight="1">
      <c r="B11715" s="37"/>
    </row>
    <row r="11716" spans="2:2" ht="15.95" customHeight="1">
      <c r="B11716" s="37"/>
    </row>
    <row r="11717" spans="2:2" ht="15.95" customHeight="1">
      <c r="B11717" s="37"/>
    </row>
    <row r="11718" spans="2:2" ht="15.95" customHeight="1">
      <c r="B11718" s="37"/>
    </row>
    <row r="11719" spans="2:2" ht="15.95" customHeight="1">
      <c r="B11719" s="37"/>
    </row>
    <row r="11720" spans="2:2" ht="15.95" customHeight="1">
      <c r="B11720" s="37"/>
    </row>
    <row r="11721" spans="2:2" ht="15.95" customHeight="1">
      <c r="B11721" s="37"/>
    </row>
    <row r="11722" spans="2:2" ht="15.95" customHeight="1">
      <c r="B11722" s="37"/>
    </row>
    <row r="11723" spans="2:2" ht="15.95" customHeight="1">
      <c r="B11723" s="37"/>
    </row>
    <row r="11724" spans="2:2" ht="15.95" customHeight="1">
      <c r="B11724" s="37"/>
    </row>
    <row r="11725" spans="2:2" ht="15.95" customHeight="1">
      <c r="B11725" s="37"/>
    </row>
    <row r="11726" spans="2:2" ht="15.95" customHeight="1">
      <c r="B11726" s="37"/>
    </row>
    <row r="11727" spans="2:2" ht="15.95" customHeight="1">
      <c r="B11727" s="37"/>
    </row>
    <row r="11728" spans="2:2" ht="15.95" customHeight="1">
      <c r="B11728" s="37"/>
    </row>
    <row r="11729" spans="2:2" ht="15.95" customHeight="1">
      <c r="B11729" s="37"/>
    </row>
    <row r="11730" spans="2:2" ht="15.95" customHeight="1">
      <c r="B11730" s="37"/>
    </row>
    <row r="11731" spans="2:2" ht="15.95" customHeight="1">
      <c r="B11731" s="37"/>
    </row>
    <row r="11732" spans="2:2" ht="15.95" customHeight="1">
      <c r="B11732" s="37"/>
    </row>
    <row r="11733" spans="2:2" ht="15.95" customHeight="1">
      <c r="B11733" s="37"/>
    </row>
    <row r="11734" spans="2:2" ht="15.95" customHeight="1">
      <c r="B11734" s="37"/>
    </row>
    <row r="11735" spans="2:2" ht="15.95" customHeight="1">
      <c r="B11735" s="37"/>
    </row>
    <row r="11736" spans="2:2" ht="15.95" customHeight="1">
      <c r="B11736" s="37"/>
    </row>
    <row r="11737" spans="2:2" ht="15.95" customHeight="1">
      <c r="B11737" s="37"/>
    </row>
    <row r="11738" spans="2:2" ht="15.95" customHeight="1">
      <c r="B11738" s="37"/>
    </row>
    <row r="11739" spans="2:2" ht="15.95" customHeight="1">
      <c r="B11739" s="37"/>
    </row>
    <row r="11740" spans="2:2" ht="15.95" customHeight="1">
      <c r="B11740" s="37"/>
    </row>
    <row r="11741" spans="2:2" ht="15.95" customHeight="1">
      <c r="B11741" s="37"/>
    </row>
    <row r="11742" spans="2:2" ht="15.95" customHeight="1">
      <c r="B11742" s="37"/>
    </row>
    <row r="11743" spans="2:2" ht="15.95" customHeight="1">
      <c r="B11743" s="37"/>
    </row>
    <row r="11744" spans="2:2" ht="15.95" customHeight="1">
      <c r="B11744" s="37"/>
    </row>
    <row r="11745" spans="2:2" ht="15.95" customHeight="1">
      <c r="B11745" s="37"/>
    </row>
    <row r="11746" spans="2:2" ht="15.95" customHeight="1">
      <c r="B11746" s="37"/>
    </row>
    <row r="11747" spans="2:2" ht="15.95" customHeight="1">
      <c r="B11747" s="37"/>
    </row>
    <row r="11748" spans="2:2" ht="15.95" customHeight="1">
      <c r="B11748" s="37"/>
    </row>
    <row r="11749" spans="2:2" ht="15.95" customHeight="1">
      <c r="B11749" s="37"/>
    </row>
    <row r="11750" spans="2:2" ht="15.95" customHeight="1">
      <c r="B11750" s="37"/>
    </row>
    <row r="11751" spans="2:2" ht="15.95" customHeight="1">
      <c r="B11751" s="37"/>
    </row>
    <row r="11752" spans="2:2" ht="15.95" customHeight="1">
      <c r="B11752" s="37"/>
    </row>
    <row r="11753" spans="2:2" ht="15.95" customHeight="1">
      <c r="B11753" s="37"/>
    </row>
    <row r="11754" spans="2:2" ht="15.95" customHeight="1">
      <c r="B11754" s="37"/>
    </row>
    <row r="11755" spans="2:2" ht="15.95" customHeight="1">
      <c r="B11755" s="37"/>
    </row>
    <row r="11756" spans="2:2" ht="15.95" customHeight="1">
      <c r="B11756" s="37"/>
    </row>
    <row r="11757" spans="2:2" ht="15.95" customHeight="1">
      <c r="B11757" s="37"/>
    </row>
    <row r="11758" spans="2:2" ht="15.95" customHeight="1">
      <c r="B11758" s="37"/>
    </row>
    <row r="11759" spans="2:2" ht="15.95" customHeight="1">
      <c r="B11759" s="37"/>
    </row>
    <row r="11760" spans="2:2" ht="15.95" customHeight="1">
      <c r="B11760" s="37"/>
    </row>
    <row r="11761" spans="2:2" ht="15.95" customHeight="1">
      <c r="B11761" s="37"/>
    </row>
    <row r="11762" spans="2:2" ht="15.95" customHeight="1">
      <c r="B11762" s="37"/>
    </row>
    <row r="11763" spans="2:2" ht="15.95" customHeight="1">
      <c r="B11763" s="37"/>
    </row>
    <row r="11764" spans="2:2" ht="15.95" customHeight="1">
      <c r="B11764" s="37"/>
    </row>
    <row r="11765" spans="2:2" ht="15.95" customHeight="1">
      <c r="B11765" s="37"/>
    </row>
    <row r="11766" spans="2:2" ht="15.95" customHeight="1">
      <c r="B11766" s="37"/>
    </row>
    <row r="11767" spans="2:2" ht="15.95" customHeight="1">
      <c r="B11767" s="37"/>
    </row>
    <row r="11768" spans="2:2" ht="15.95" customHeight="1">
      <c r="B11768" s="37"/>
    </row>
    <row r="11769" spans="2:2" ht="15.95" customHeight="1">
      <c r="B11769" s="37"/>
    </row>
    <row r="11770" spans="2:2" ht="15.95" customHeight="1">
      <c r="B11770" s="37"/>
    </row>
    <row r="11771" spans="2:2" ht="15.95" customHeight="1">
      <c r="B11771" s="37"/>
    </row>
    <row r="11772" spans="2:2" ht="15.95" customHeight="1">
      <c r="B11772" s="37"/>
    </row>
    <row r="11773" spans="2:2" ht="15.95" customHeight="1">
      <c r="B11773" s="37"/>
    </row>
    <row r="11774" spans="2:2" ht="15.95" customHeight="1">
      <c r="B11774" s="37"/>
    </row>
    <row r="11775" spans="2:2" ht="15.95" customHeight="1">
      <c r="B11775" s="37"/>
    </row>
    <row r="11776" spans="2:2" ht="15.95" customHeight="1">
      <c r="B11776" s="37"/>
    </row>
    <row r="11777" spans="2:2" ht="15.95" customHeight="1">
      <c r="B11777" s="37"/>
    </row>
    <row r="11778" spans="2:2" ht="15.95" customHeight="1">
      <c r="B11778" s="37"/>
    </row>
    <row r="11779" spans="2:2" ht="15.95" customHeight="1">
      <c r="B11779" s="37"/>
    </row>
    <row r="11780" spans="2:2" ht="15.95" customHeight="1">
      <c r="B11780" s="37"/>
    </row>
    <row r="11781" spans="2:2" ht="15.95" customHeight="1">
      <c r="B11781" s="37"/>
    </row>
    <row r="11782" spans="2:2" ht="15.95" customHeight="1">
      <c r="B11782" s="37"/>
    </row>
    <row r="11783" spans="2:2" ht="15.95" customHeight="1">
      <c r="B11783" s="37"/>
    </row>
    <row r="11784" spans="2:2" ht="15.95" customHeight="1">
      <c r="B11784" s="37"/>
    </row>
    <row r="11785" spans="2:2" ht="15.95" customHeight="1">
      <c r="B11785" s="37"/>
    </row>
    <row r="11786" spans="2:2" ht="15.95" customHeight="1">
      <c r="B11786" s="37"/>
    </row>
    <row r="11787" spans="2:2" ht="15.95" customHeight="1">
      <c r="B11787" s="37"/>
    </row>
    <row r="11788" spans="2:2" ht="15.95" customHeight="1">
      <c r="B11788" s="37"/>
    </row>
    <row r="11789" spans="2:2" ht="15.95" customHeight="1">
      <c r="B11789" s="37"/>
    </row>
    <row r="11790" spans="2:2" ht="15.95" customHeight="1">
      <c r="B11790" s="37"/>
    </row>
    <row r="11791" spans="2:2" ht="15.95" customHeight="1">
      <c r="B11791" s="37"/>
    </row>
    <row r="11792" spans="2:2" ht="15.95" customHeight="1">
      <c r="B11792" s="37"/>
    </row>
    <row r="11793" spans="2:2" ht="15.95" customHeight="1">
      <c r="B11793" s="37"/>
    </row>
    <row r="11794" spans="2:2" ht="15.95" customHeight="1">
      <c r="B11794" s="37"/>
    </row>
    <row r="11795" spans="2:2" ht="15.95" customHeight="1">
      <c r="B11795" s="37"/>
    </row>
    <row r="11796" spans="2:2" ht="15.95" customHeight="1">
      <c r="B11796" s="37"/>
    </row>
    <row r="11797" spans="2:2" ht="15.95" customHeight="1">
      <c r="B11797" s="37"/>
    </row>
    <row r="11798" spans="2:2" ht="15.95" customHeight="1">
      <c r="B11798" s="37"/>
    </row>
    <row r="11799" spans="2:2" ht="15.95" customHeight="1">
      <c r="B11799" s="37"/>
    </row>
    <row r="11800" spans="2:2" ht="15.95" customHeight="1">
      <c r="B11800" s="37"/>
    </row>
    <row r="11801" spans="2:2" ht="15.95" customHeight="1">
      <c r="B11801" s="37"/>
    </row>
    <row r="11802" spans="2:2" ht="15.95" customHeight="1">
      <c r="B11802" s="37"/>
    </row>
    <row r="11803" spans="2:2" ht="15.95" customHeight="1">
      <c r="B11803" s="37"/>
    </row>
    <row r="11804" spans="2:2" ht="15.95" customHeight="1">
      <c r="B11804" s="37"/>
    </row>
    <row r="11805" spans="2:2" ht="15.95" customHeight="1">
      <c r="B11805" s="37"/>
    </row>
    <row r="11806" spans="2:2" ht="15.95" customHeight="1">
      <c r="B11806" s="37"/>
    </row>
    <row r="11807" spans="2:2" ht="15.95" customHeight="1">
      <c r="B11807" s="37"/>
    </row>
    <row r="11808" spans="2:2" ht="15.95" customHeight="1">
      <c r="B11808" s="37"/>
    </row>
    <row r="11809" spans="2:2" ht="15.95" customHeight="1">
      <c r="B11809" s="37"/>
    </row>
    <row r="11810" spans="2:2" ht="15.95" customHeight="1">
      <c r="B11810" s="37"/>
    </row>
    <row r="11811" spans="2:2" ht="15.95" customHeight="1">
      <c r="B11811" s="37"/>
    </row>
    <row r="11812" spans="2:2" ht="15.95" customHeight="1">
      <c r="B11812" s="37"/>
    </row>
    <row r="11813" spans="2:2" ht="15.95" customHeight="1">
      <c r="B11813" s="37"/>
    </row>
    <row r="11814" spans="2:2" ht="15.95" customHeight="1">
      <c r="B11814" s="37"/>
    </row>
    <row r="11815" spans="2:2" ht="15.95" customHeight="1">
      <c r="B11815" s="37"/>
    </row>
    <row r="11816" spans="2:2" ht="15.95" customHeight="1">
      <c r="B11816" s="37"/>
    </row>
    <row r="11817" spans="2:2" ht="15.95" customHeight="1">
      <c r="B11817" s="37"/>
    </row>
    <row r="11818" spans="2:2" ht="15.95" customHeight="1">
      <c r="B11818" s="37"/>
    </row>
    <row r="11819" spans="2:2" ht="15.95" customHeight="1">
      <c r="B11819" s="37"/>
    </row>
    <row r="11820" spans="2:2" ht="15.95" customHeight="1">
      <c r="B11820" s="37"/>
    </row>
    <row r="11821" spans="2:2" ht="15.95" customHeight="1">
      <c r="B11821" s="37"/>
    </row>
    <row r="11822" spans="2:2" ht="15.95" customHeight="1">
      <c r="B11822" s="37"/>
    </row>
    <row r="11823" spans="2:2" ht="15.95" customHeight="1">
      <c r="B11823" s="37"/>
    </row>
    <row r="11824" spans="2:2" ht="15.95" customHeight="1">
      <c r="B11824" s="37"/>
    </row>
    <row r="11825" spans="2:2" ht="15.95" customHeight="1">
      <c r="B11825" s="37"/>
    </row>
    <row r="11826" spans="2:2" ht="15.95" customHeight="1">
      <c r="B11826" s="37"/>
    </row>
    <row r="11827" spans="2:2" ht="15.95" customHeight="1">
      <c r="B11827" s="37"/>
    </row>
    <row r="11828" spans="2:2" ht="15.95" customHeight="1">
      <c r="B11828" s="37"/>
    </row>
    <row r="11829" spans="2:2" ht="15.95" customHeight="1">
      <c r="B11829" s="37"/>
    </row>
    <row r="11830" spans="2:2" ht="15.95" customHeight="1">
      <c r="B11830" s="37"/>
    </row>
    <row r="11831" spans="2:2" ht="15.95" customHeight="1">
      <c r="B11831" s="37"/>
    </row>
    <row r="11832" spans="2:2" ht="15.95" customHeight="1">
      <c r="B11832" s="37"/>
    </row>
    <row r="11833" spans="2:2" ht="15.95" customHeight="1">
      <c r="B11833" s="37"/>
    </row>
    <row r="11834" spans="2:2" ht="15.95" customHeight="1">
      <c r="B11834" s="37"/>
    </row>
    <row r="11835" spans="2:2" ht="15.95" customHeight="1">
      <c r="B11835" s="37"/>
    </row>
    <row r="11836" spans="2:2" ht="15.95" customHeight="1">
      <c r="B11836" s="37"/>
    </row>
    <row r="11837" spans="2:2" ht="15.95" customHeight="1">
      <c r="B11837" s="37"/>
    </row>
    <row r="11838" spans="2:2" ht="15.95" customHeight="1">
      <c r="B11838" s="37"/>
    </row>
    <row r="11839" spans="2:2" ht="15.95" customHeight="1">
      <c r="B11839" s="37"/>
    </row>
    <row r="11840" spans="2:2" ht="15.95" customHeight="1">
      <c r="B11840" s="37"/>
    </row>
    <row r="11841" spans="2:2" ht="15.95" customHeight="1">
      <c r="B11841" s="37"/>
    </row>
    <row r="11842" spans="2:2" ht="15.95" customHeight="1">
      <c r="B11842" s="37"/>
    </row>
    <row r="11843" spans="2:2" ht="15.95" customHeight="1">
      <c r="B11843" s="37"/>
    </row>
    <row r="11844" spans="2:2" ht="15.95" customHeight="1">
      <c r="B11844" s="37"/>
    </row>
    <row r="11845" spans="2:2" ht="15.95" customHeight="1">
      <c r="B11845" s="37"/>
    </row>
    <row r="11846" spans="2:2" ht="15.95" customHeight="1">
      <c r="B11846" s="37"/>
    </row>
    <row r="11847" spans="2:2" ht="15.95" customHeight="1">
      <c r="B11847" s="37"/>
    </row>
    <row r="11848" spans="2:2" ht="15.95" customHeight="1">
      <c r="B11848" s="37"/>
    </row>
    <row r="11849" spans="2:2" ht="15.95" customHeight="1">
      <c r="B11849" s="37"/>
    </row>
    <row r="11850" spans="2:2" ht="15.95" customHeight="1">
      <c r="B11850" s="37"/>
    </row>
    <row r="11851" spans="2:2" ht="15.95" customHeight="1">
      <c r="B11851" s="37"/>
    </row>
    <row r="11852" spans="2:2" ht="15.95" customHeight="1">
      <c r="B11852" s="37"/>
    </row>
    <row r="11853" spans="2:2" ht="15.95" customHeight="1">
      <c r="B11853" s="37"/>
    </row>
    <row r="11854" spans="2:2" ht="15.95" customHeight="1">
      <c r="B11854" s="37"/>
    </row>
    <row r="11855" spans="2:2" ht="15.95" customHeight="1">
      <c r="B11855" s="37"/>
    </row>
    <row r="11856" spans="2:2" ht="15.95" customHeight="1">
      <c r="B11856" s="37"/>
    </row>
    <row r="11857" spans="2:2" ht="15.95" customHeight="1">
      <c r="B11857" s="37"/>
    </row>
    <row r="11858" spans="2:2" ht="15.95" customHeight="1">
      <c r="B11858" s="37"/>
    </row>
    <row r="11859" spans="2:2" ht="15.95" customHeight="1">
      <c r="B11859" s="37"/>
    </row>
    <row r="11860" spans="2:2" ht="15.95" customHeight="1">
      <c r="B11860" s="37"/>
    </row>
    <row r="11861" spans="2:2" ht="15.95" customHeight="1">
      <c r="B11861" s="37"/>
    </row>
    <row r="11862" spans="2:2" ht="15.95" customHeight="1">
      <c r="B11862" s="37"/>
    </row>
    <row r="11863" spans="2:2" ht="15.95" customHeight="1">
      <c r="B11863" s="37"/>
    </row>
    <row r="11864" spans="2:2" ht="15.95" customHeight="1">
      <c r="B11864" s="37"/>
    </row>
    <row r="11865" spans="2:2" ht="15.95" customHeight="1">
      <c r="B11865" s="37"/>
    </row>
    <row r="11866" spans="2:2" ht="15.95" customHeight="1">
      <c r="B11866" s="37"/>
    </row>
    <row r="11867" spans="2:2" ht="15.95" customHeight="1">
      <c r="B11867" s="37"/>
    </row>
    <row r="11868" spans="2:2" ht="15.95" customHeight="1">
      <c r="B11868" s="37"/>
    </row>
    <row r="11869" spans="2:2" ht="15.95" customHeight="1">
      <c r="B11869" s="37"/>
    </row>
    <row r="11870" spans="2:2" ht="15.95" customHeight="1">
      <c r="B11870" s="37"/>
    </row>
    <row r="11871" spans="2:2" ht="15.95" customHeight="1">
      <c r="B11871" s="37"/>
    </row>
    <row r="11872" spans="2:2" ht="15.95" customHeight="1">
      <c r="B11872" s="37"/>
    </row>
    <row r="11873" spans="2:2" ht="15.95" customHeight="1">
      <c r="B11873" s="37"/>
    </row>
    <row r="11874" spans="2:2" ht="15.95" customHeight="1">
      <c r="B11874" s="37"/>
    </row>
    <row r="11875" spans="2:2" ht="15.95" customHeight="1">
      <c r="B11875" s="37"/>
    </row>
    <row r="11876" spans="2:2" ht="15.95" customHeight="1">
      <c r="B11876" s="37"/>
    </row>
    <row r="11877" spans="2:2" ht="15.95" customHeight="1">
      <c r="B11877" s="37"/>
    </row>
    <row r="11878" spans="2:2" ht="15.95" customHeight="1">
      <c r="B11878" s="37"/>
    </row>
    <row r="11879" spans="2:2" ht="15.95" customHeight="1">
      <c r="B11879" s="37"/>
    </row>
    <row r="11880" spans="2:2" ht="15.95" customHeight="1">
      <c r="B11880" s="37"/>
    </row>
    <row r="11881" spans="2:2" ht="15.95" customHeight="1">
      <c r="B11881" s="37"/>
    </row>
    <row r="11882" spans="2:2" ht="15.95" customHeight="1">
      <c r="B11882" s="37"/>
    </row>
    <row r="11883" spans="2:2" ht="15.95" customHeight="1">
      <c r="B11883" s="37"/>
    </row>
    <row r="11884" spans="2:2" ht="15.95" customHeight="1">
      <c r="B11884" s="37"/>
    </row>
    <row r="11885" spans="2:2" ht="15.95" customHeight="1">
      <c r="B11885" s="37"/>
    </row>
    <row r="11886" spans="2:2" ht="15.95" customHeight="1">
      <c r="B11886" s="37"/>
    </row>
    <row r="11887" spans="2:2" ht="15.95" customHeight="1">
      <c r="B11887" s="37"/>
    </row>
    <row r="11888" spans="2:2" ht="15.95" customHeight="1">
      <c r="B11888" s="37"/>
    </row>
    <row r="11889" spans="2:2" ht="15.95" customHeight="1">
      <c r="B11889" s="37"/>
    </row>
    <row r="11890" spans="2:2" ht="15.95" customHeight="1">
      <c r="B11890" s="37"/>
    </row>
    <row r="11891" spans="2:2" ht="15.95" customHeight="1">
      <c r="B11891" s="37"/>
    </row>
    <row r="11892" spans="2:2" ht="15.95" customHeight="1">
      <c r="B11892" s="37"/>
    </row>
    <row r="11893" spans="2:2" ht="15.95" customHeight="1">
      <c r="B11893" s="37"/>
    </row>
    <row r="11894" spans="2:2" ht="15.95" customHeight="1">
      <c r="B11894" s="37"/>
    </row>
    <row r="11895" spans="2:2" ht="15.95" customHeight="1">
      <c r="B11895" s="37"/>
    </row>
    <row r="11896" spans="2:2" ht="15.95" customHeight="1">
      <c r="B11896" s="37"/>
    </row>
    <row r="11897" spans="2:2" ht="15.95" customHeight="1">
      <c r="B11897" s="37"/>
    </row>
    <row r="11898" spans="2:2" ht="15.95" customHeight="1">
      <c r="B11898" s="37"/>
    </row>
    <row r="11899" spans="2:2" ht="15.95" customHeight="1">
      <c r="B11899" s="37"/>
    </row>
    <row r="11900" spans="2:2" ht="15.95" customHeight="1">
      <c r="B11900" s="37"/>
    </row>
    <row r="11901" spans="2:2" ht="15.95" customHeight="1">
      <c r="B11901" s="37"/>
    </row>
    <row r="11902" spans="2:2" ht="15.95" customHeight="1">
      <c r="B11902" s="37"/>
    </row>
    <row r="11903" spans="2:2" ht="15.95" customHeight="1">
      <c r="B11903" s="37"/>
    </row>
    <row r="11904" spans="2:2" ht="15.95" customHeight="1">
      <c r="B11904" s="37"/>
    </row>
    <row r="11905" spans="2:2" ht="15.95" customHeight="1">
      <c r="B11905" s="37"/>
    </row>
    <row r="11906" spans="2:2" ht="15.95" customHeight="1">
      <c r="B11906" s="37"/>
    </row>
    <row r="11907" spans="2:2" ht="15.95" customHeight="1">
      <c r="B11907" s="37"/>
    </row>
    <row r="11908" spans="2:2" ht="15.95" customHeight="1">
      <c r="B11908" s="37"/>
    </row>
    <row r="11909" spans="2:2" ht="15.95" customHeight="1">
      <c r="B11909" s="37"/>
    </row>
    <row r="11910" spans="2:2" ht="15.95" customHeight="1">
      <c r="B11910" s="37"/>
    </row>
    <row r="11911" spans="2:2" ht="15.95" customHeight="1">
      <c r="B11911" s="37"/>
    </row>
    <row r="11912" spans="2:2" ht="15.95" customHeight="1">
      <c r="B11912" s="37"/>
    </row>
    <row r="11913" spans="2:2" ht="15.95" customHeight="1">
      <c r="B11913" s="37"/>
    </row>
    <row r="11914" spans="2:2" ht="15.95" customHeight="1">
      <c r="B11914" s="37"/>
    </row>
    <row r="11915" spans="2:2" ht="15.95" customHeight="1">
      <c r="B11915" s="37"/>
    </row>
    <row r="11916" spans="2:2" ht="15.95" customHeight="1">
      <c r="B11916" s="37"/>
    </row>
    <row r="11917" spans="2:2" ht="15.95" customHeight="1">
      <c r="B11917" s="37"/>
    </row>
    <row r="11918" spans="2:2" ht="15.95" customHeight="1">
      <c r="B11918" s="37"/>
    </row>
    <row r="11919" spans="2:2" ht="15.95" customHeight="1">
      <c r="B11919" s="37"/>
    </row>
    <row r="11920" spans="2:2" ht="15.95" customHeight="1">
      <c r="B11920" s="37"/>
    </row>
    <row r="11921" spans="2:2" ht="15.95" customHeight="1">
      <c r="B11921" s="37"/>
    </row>
    <row r="11922" spans="2:2" ht="15.95" customHeight="1">
      <c r="B11922" s="37"/>
    </row>
    <row r="11923" spans="2:2" ht="15.95" customHeight="1">
      <c r="B11923" s="37"/>
    </row>
    <row r="11924" spans="2:2" ht="15.95" customHeight="1">
      <c r="B11924" s="37"/>
    </row>
    <row r="11925" spans="2:2" ht="15.95" customHeight="1">
      <c r="B11925" s="37"/>
    </row>
    <row r="11926" spans="2:2" ht="15.95" customHeight="1">
      <c r="B11926" s="37"/>
    </row>
    <row r="11927" spans="2:2" ht="15.95" customHeight="1">
      <c r="B11927" s="37"/>
    </row>
    <row r="11928" spans="2:2" ht="15.95" customHeight="1">
      <c r="B11928" s="37"/>
    </row>
    <row r="11929" spans="2:2" ht="15.95" customHeight="1">
      <c r="B11929" s="37"/>
    </row>
    <row r="11930" spans="2:2" ht="15.95" customHeight="1">
      <c r="B11930" s="37"/>
    </row>
    <row r="11931" spans="2:2" ht="15.95" customHeight="1">
      <c r="B11931" s="37"/>
    </row>
    <row r="11932" spans="2:2" ht="15.95" customHeight="1">
      <c r="B11932" s="37"/>
    </row>
    <row r="11933" spans="2:2" ht="15.95" customHeight="1">
      <c r="B11933" s="37"/>
    </row>
    <row r="11934" spans="2:2" ht="15.95" customHeight="1">
      <c r="B11934" s="37"/>
    </row>
    <row r="11935" spans="2:2" ht="15.95" customHeight="1">
      <c r="B11935" s="37"/>
    </row>
    <row r="11936" spans="2:2" ht="15.95" customHeight="1">
      <c r="B11936" s="37"/>
    </row>
    <row r="11937" spans="2:2" ht="15.95" customHeight="1">
      <c r="B11937" s="37"/>
    </row>
    <row r="11938" spans="2:2" ht="15.95" customHeight="1">
      <c r="B11938" s="37"/>
    </row>
    <row r="11939" spans="2:2" ht="15.95" customHeight="1">
      <c r="B11939" s="37"/>
    </row>
    <row r="11940" spans="2:2" ht="15.95" customHeight="1">
      <c r="B11940" s="37"/>
    </row>
    <row r="11941" spans="2:2" ht="15.95" customHeight="1">
      <c r="B11941" s="37"/>
    </row>
    <row r="11942" spans="2:2" ht="15.95" customHeight="1">
      <c r="B11942" s="37"/>
    </row>
    <row r="11943" spans="2:2" ht="15.95" customHeight="1">
      <c r="B11943" s="37"/>
    </row>
    <row r="11944" spans="2:2" ht="15.95" customHeight="1">
      <c r="B11944" s="37"/>
    </row>
    <row r="11945" spans="2:2" ht="15.95" customHeight="1">
      <c r="B11945" s="37"/>
    </row>
    <row r="11946" spans="2:2" ht="15.95" customHeight="1">
      <c r="B11946" s="37"/>
    </row>
    <row r="11947" spans="2:2" ht="15.95" customHeight="1">
      <c r="B11947" s="37"/>
    </row>
    <row r="11948" spans="2:2" ht="15.95" customHeight="1">
      <c r="B11948" s="37"/>
    </row>
    <row r="11949" spans="2:2" ht="15.95" customHeight="1">
      <c r="B11949" s="37"/>
    </row>
    <row r="11950" spans="2:2" ht="15.95" customHeight="1">
      <c r="B11950" s="37"/>
    </row>
    <row r="11951" spans="2:2" ht="15.95" customHeight="1">
      <c r="B11951" s="37"/>
    </row>
    <row r="11952" spans="2:2" ht="15.95" customHeight="1">
      <c r="B11952" s="37"/>
    </row>
    <row r="11953" spans="2:2" ht="15.95" customHeight="1">
      <c r="B11953" s="37"/>
    </row>
    <row r="11954" spans="2:2" ht="15.95" customHeight="1">
      <c r="B11954" s="37"/>
    </row>
    <row r="11955" spans="2:2" ht="15.95" customHeight="1">
      <c r="B11955" s="37"/>
    </row>
    <row r="11956" spans="2:2" ht="15.95" customHeight="1">
      <c r="B11956" s="37"/>
    </row>
    <row r="11957" spans="2:2" ht="15.95" customHeight="1">
      <c r="B11957" s="37"/>
    </row>
    <row r="11958" spans="2:2" ht="15.95" customHeight="1">
      <c r="B11958" s="37"/>
    </row>
    <row r="11959" spans="2:2" ht="15.95" customHeight="1">
      <c r="B11959" s="37"/>
    </row>
    <row r="11960" spans="2:2" ht="15.95" customHeight="1">
      <c r="B11960" s="37"/>
    </row>
    <row r="11961" spans="2:2" ht="15.95" customHeight="1">
      <c r="B11961" s="37"/>
    </row>
    <row r="11962" spans="2:2" ht="15.95" customHeight="1">
      <c r="B11962" s="37"/>
    </row>
    <row r="11963" spans="2:2" ht="15.95" customHeight="1">
      <c r="B11963" s="37"/>
    </row>
    <row r="11964" spans="2:2" ht="15.95" customHeight="1">
      <c r="B11964" s="37"/>
    </row>
    <row r="11965" spans="2:2" ht="15.95" customHeight="1">
      <c r="B11965" s="37"/>
    </row>
    <row r="11966" spans="2:2" ht="15.95" customHeight="1">
      <c r="B11966" s="37"/>
    </row>
    <row r="11967" spans="2:2" ht="15.95" customHeight="1">
      <c r="B11967" s="37"/>
    </row>
    <row r="11968" spans="2:2" ht="15.95" customHeight="1">
      <c r="B11968" s="37"/>
    </row>
    <row r="11969" spans="2:2" ht="15.95" customHeight="1">
      <c r="B11969" s="37"/>
    </row>
    <row r="11970" spans="2:2" ht="15.95" customHeight="1">
      <c r="B11970" s="37"/>
    </row>
    <row r="11971" spans="2:2" ht="15.95" customHeight="1">
      <c r="B11971" s="37"/>
    </row>
    <row r="11972" spans="2:2" ht="15.95" customHeight="1">
      <c r="B11972" s="37"/>
    </row>
    <row r="11973" spans="2:2" ht="15.95" customHeight="1">
      <c r="B11973" s="37"/>
    </row>
    <row r="11974" spans="2:2" ht="15.95" customHeight="1">
      <c r="B11974" s="37"/>
    </row>
    <row r="11975" spans="2:2" ht="15.95" customHeight="1">
      <c r="B11975" s="37"/>
    </row>
    <row r="11976" spans="2:2" ht="15.95" customHeight="1">
      <c r="B11976" s="37"/>
    </row>
    <row r="11977" spans="2:2" ht="15.95" customHeight="1">
      <c r="B11977" s="37"/>
    </row>
    <row r="11978" spans="2:2" ht="15.95" customHeight="1">
      <c r="B11978" s="37"/>
    </row>
    <row r="11979" spans="2:2" ht="15.95" customHeight="1">
      <c r="B11979" s="37"/>
    </row>
    <row r="11980" spans="2:2" ht="15.95" customHeight="1">
      <c r="B11980" s="37"/>
    </row>
    <row r="11981" spans="2:2" ht="15.95" customHeight="1">
      <c r="B11981" s="37"/>
    </row>
    <row r="11982" spans="2:2" ht="15.95" customHeight="1">
      <c r="B11982" s="37"/>
    </row>
    <row r="11983" spans="2:2" ht="15.95" customHeight="1">
      <c r="B11983" s="37"/>
    </row>
    <row r="11984" spans="2:2" ht="15.95" customHeight="1">
      <c r="B11984" s="37"/>
    </row>
    <row r="11985" spans="2:2" ht="15.95" customHeight="1">
      <c r="B11985" s="37"/>
    </row>
    <row r="11986" spans="2:2" ht="15.95" customHeight="1">
      <c r="B11986" s="37"/>
    </row>
    <row r="11987" spans="2:2" ht="15.95" customHeight="1">
      <c r="B11987" s="37"/>
    </row>
    <row r="11988" spans="2:2" ht="15.95" customHeight="1">
      <c r="B11988" s="37"/>
    </row>
    <row r="11989" spans="2:2" ht="15.95" customHeight="1">
      <c r="B11989" s="37"/>
    </row>
    <row r="11990" spans="2:2" ht="15.95" customHeight="1">
      <c r="B11990" s="37"/>
    </row>
    <row r="11991" spans="2:2" ht="15.95" customHeight="1">
      <c r="B11991" s="37"/>
    </row>
    <row r="11992" spans="2:2" ht="15.95" customHeight="1">
      <c r="B11992" s="37"/>
    </row>
    <row r="11993" spans="2:2" ht="15.95" customHeight="1">
      <c r="B11993" s="37"/>
    </row>
    <row r="11994" spans="2:2" ht="15.95" customHeight="1">
      <c r="B11994" s="37"/>
    </row>
    <row r="11995" spans="2:2" ht="15.95" customHeight="1">
      <c r="B11995" s="37"/>
    </row>
    <row r="11996" spans="2:2" ht="15.95" customHeight="1">
      <c r="B11996" s="37"/>
    </row>
    <row r="11997" spans="2:2" ht="15.95" customHeight="1">
      <c r="B11997" s="37"/>
    </row>
    <row r="11998" spans="2:2" ht="15.95" customHeight="1">
      <c r="B11998" s="37"/>
    </row>
    <row r="11999" spans="2:2" ht="15.95" customHeight="1">
      <c r="B11999" s="37"/>
    </row>
    <row r="12000" spans="2:2" ht="15.95" customHeight="1">
      <c r="B12000" s="37"/>
    </row>
    <row r="12001" spans="2:2" ht="15.95" customHeight="1">
      <c r="B12001" s="37"/>
    </row>
    <row r="12002" spans="2:2" ht="15.95" customHeight="1">
      <c r="B12002" s="37"/>
    </row>
    <row r="12003" spans="2:2" ht="15.95" customHeight="1">
      <c r="B12003" s="37"/>
    </row>
    <row r="12004" spans="2:2" ht="15.95" customHeight="1">
      <c r="B12004" s="37"/>
    </row>
    <row r="12005" spans="2:2" ht="15.95" customHeight="1">
      <c r="B12005" s="37"/>
    </row>
    <row r="12006" spans="2:2" ht="15.95" customHeight="1">
      <c r="B12006" s="37"/>
    </row>
    <row r="12007" spans="2:2" ht="15.95" customHeight="1">
      <c r="B12007" s="37"/>
    </row>
    <row r="12008" spans="2:2" ht="15.95" customHeight="1">
      <c r="B12008" s="37"/>
    </row>
    <row r="12009" spans="2:2" ht="15.95" customHeight="1">
      <c r="B12009" s="37"/>
    </row>
    <row r="12010" spans="2:2" ht="15.95" customHeight="1">
      <c r="B12010" s="37"/>
    </row>
    <row r="12011" spans="2:2" ht="15.95" customHeight="1">
      <c r="B12011" s="37"/>
    </row>
    <row r="12012" spans="2:2" ht="15.95" customHeight="1">
      <c r="B12012" s="37"/>
    </row>
    <row r="12013" spans="2:2" ht="15.95" customHeight="1">
      <c r="B12013" s="37"/>
    </row>
    <row r="12014" spans="2:2" ht="15.95" customHeight="1">
      <c r="B12014" s="37"/>
    </row>
    <row r="12015" spans="2:2" ht="15.95" customHeight="1">
      <c r="B12015" s="37"/>
    </row>
    <row r="12016" spans="2:2" ht="15.95" customHeight="1">
      <c r="B12016" s="37"/>
    </row>
    <row r="12017" spans="2:2" ht="15.95" customHeight="1">
      <c r="B12017" s="37"/>
    </row>
    <row r="12018" spans="2:2" ht="15.95" customHeight="1">
      <c r="B12018" s="37"/>
    </row>
    <row r="12019" spans="2:2" ht="15.95" customHeight="1">
      <c r="B12019" s="37"/>
    </row>
    <row r="12020" spans="2:2" ht="15.95" customHeight="1">
      <c r="B12020" s="37"/>
    </row>
    <row r="12021" spans="2:2" ht="15.95" customHeight="1">
      <c r="B12021" s="37"/>
    </row>
    <row r="12022" spans="2:2" ht="15.95" customHeight="1">
      <c r="B12022" s="37"/>
    </row>
    <row r="12023" spans="2:2" ht="15.95" customHeight="1">
      <c r="B12023" s="37"/>
    </row>
    <row r="12024" spans="2:2" ht="15.95" customHeight="1">
      <c r="B12024" s="37"/>
    </row>
    <row r="12025" spans="2:2" ht="15.95" customHeight="1">
      <c r="B12025" s="37"/>
    </row>
    <row r="12026" spans="2:2" ht="15.95" customHeight="1">
      <c r="B12026" s="37"/>
    </row>
    <row r="12027" spans="2:2" ht="15.95" customHeight="1">
      <c r="B12027" s="37"/>
    </row>
    <row r="12028" spans="2:2" ht="15.95" customHeight="1">
      <c r="B12028" s="37"/>
    </row>
    <row r="12029" spans="2:2" ht="15.95" customHeight="1">
      <c r="B12029" s="37"/>
    </row>
    <row r="12030" spans="2:2" ht="15.95" customHeight="1">
      <c r="B12030" s="37"/>
    </row>
    <row r="12031" spans="2:2" ht="15.95" customHeight="1">
      <c r="B12031" s="37"/>
    </row>
    <row r="12032" spans="2:2" ht="15.95" customHeight="1">
      <c r="B12032" s="37"/>
    </row>
    <row r="12033" spans="2:2" ht="15.95" customHeight="1">
      <c r="B12033" s="37"/>
    </row>
    <row r="12034" spans="2:2" ht="15.95" customHeight="1">
      <c r="B12034" s="37"/>
    </row>
    <row r="12035" spans="2:2" ht="15.95" customHeight="1">
      <c r="B12035" s="37"/>
    </row>
    <row r="12036" spans="2:2" ht="15.95" customHeight="1">
      <c r="B12036" s="37"/>
    </row>
    <row r="12037" spans="2:2" ht="15.95" customHeight="1">
      <c r="B12037" s="37"/>
    </row>
    <row r="12038" spans="2:2" ht="15.95" customHeight="1">
      <c r="B12038" s="37"/>
    </row>
    <row r="12039" spans="2:2" ht="15.95" customHeight="1">
      <c r="B12039" s="37"/>
    </row>
    <row r="12040" spans="2:2" ht="15.95" customHeight="1">
      <c r="B12040" s="37"/>
    </row>
    <row r="12041" spans="2:2" ht="15.95" customHeight="1">
      <c r="B12041" s="37"/>
    </row>
    <row r="12042" spans="2:2" ht="15.95" customHeight="1">
      <c r="B12042" s="37"/>
    </row>
    <row r="12043" spans="2:2" ht="15.95" customHeight="1">
      <c r="B12043" s="37"/>
    </row>
    <row r="12044" spans="2:2" ht="15.95" customHeight="1">
      <c r="B12044" s="37"/>
    </row>
    <row r="12045" spans="2:2" ht="15.95" customHeight="1">
      <c r="B12045" s="37"/>
    </row>
    <row r="12046" spans="2:2" ht="15.95" customHeight="1">
      <c r="B12046" s="37"/>
    </row>
    <row r="12047" spans="2:2" ht="15.95" customHeight="1">
      <c r="B12047" s="37"/>
    </row>
    <row r="12048" spans="2:2" ht="15.95" customHeight="1">
      <c r="B12048" s="37"/>
    </row>
    <row r="12049" spans="2:2" ht="15.95" customHeight="1">
      <c r="B12049" s="37"/>
    </row>
    <row r="12050" spans="2:2" ht="15.95" customHeight="1">
      <c r="B12050" s="37"/>
    </row>
    <row r="12051" spans="2:2" ht="15.95" customHeight="1">
      <c r="B12051" s="37"/>
    </row>
    <row r="12052" spans="2:2" ht="15.95" customHeight="1">
      <c r="B12052" s="37"/>
    </row>
    <row r="12053" spans="2:2" ht="15.95" customHeight="1">
      <c r="B12053" s="37"/>
    </row>
    <row r="12054" spans="2:2" ht="15.95" customHeight="1">
      <c r="B12054" s="37"/>
    </row>
    <row r="12055" spans="2:2" ht="15.95" customHeight="1">
      <c r="B12055" s="37"/>
    </row>
    <row r="12056" spans="2:2" ht="15.95" customHeight="1">
      <c r="B12056" s="37"/>
    </row>
    <row r="12057" spans="2:2" ht="15.95" customHeight="1">
      <c r="B12057" s="37"/>
    </row>
    <row r="12058" spans="2:2" ht="15.95" customHeight="1">
      <c r="B12058" s="37"/>
    </row>
    <row r="12059" spans="2:2" ht="15.95" customHeight="1">
      <c r="B12059" s="37"/>
    </row>
    <row r="12060" spans="2:2" ht="15.95" customHeight="1">
      <c r="B12060" s="37"/>
    </row>
    <row r="12061" spans="2:2" ht="15.95" customHeight="1">
      <c r="B12061" s="37"/>
    </row>
    <row r="12062" spans="2:2" ht="15.95" customHeight="1">
      <c r="B12062" s="37"/>
    </row>
    <row r="12063" spans="2:2" ht="15.95" customHeight="1">
      <c r="B12063" s="37"/>
    </row>
    <row r="12064" spans="2:2" ht="15.95" customHeight="1">
      <c r="B12064" s="37"/>
    </row>
    <row r="12065" spans="2:2" ht="15.95" customHeight="1">
      <c r="B12065" s="37"/>
    </row>
    <row r="12066" spans="2:2" ht="15.95" customHeight="1">
      <c r="B12066" s="37"/>
    </row>
    <row r="12067" spans="2:2" ht="15.95" customHeight="1">
      <c r="B12067" s="37"/>
    </row>
    <row r="12068" spans="2:2" ht="15.95" customHeight="1">
      <c r="B12068" s="37"/>
    </row>
    <row r="12069" spans="2:2" ht="15.95" customHeight="1">
      <c r="B12069" s="37"/>
    </row>
    <row r="12070" spans="2:2" ht="15.95" customHeight="1">
      <c r="B12070" s="37"/>
    </row>
    <row r="12071" spans="2:2" ht="15.95" customHeight="1">
      <c r="B12071" s="37"/>
    </row>
    <row r="12072" spans="2:2" ht="15.95" customHeight="1">
      <c r="B12072" s="37"/>
    </row>
    <row r="12073" spans="2:2" ht="15.95" customHeight="1">
      <c r="B12073" s="37"/>
    </row>
    <row r="12074" spans="2:2" ht="15.95" customHeight="1">
      <c r="B12074" s="37"/>
    </row>
    <row r="12075" spans="2:2" ht="15.95" customHeight="1">
      <c r="B12075" s="37"/>
    </row>
    <row r="12076" spans="2:2" ht="15.95" customHeight="1">
      <c r="B12076" s="37"/>
    </row>
    <row r="12077" spans="2:2" ht="15.95" customHeight="1">
      <c r="B12077" s="37"/>
    </row>
    <row r="12078" spans="2:2" ht="15.95" customHeight="1">
      <c r="B12078" s="37"/>
    </row>
    <row r="12079" spans="2:2" ht="15.95" customHeight="1">
      <c r="B12079" s="37"/>
    </row>
    <row r="12080" spans="2:2" ht="15.95" customHeight="1">
      <c r="B12080" s="37"/>
    </row>
    <row r="12081" spans="2:2" ht="15.95" customHeight="1">
      <c r="B12081" s="37"/>
    </row>
    <row r="12082" spans="2:2" ht="15.95" customHeight="1">
      <c r="B12082" s="37"/>
    </row>
    <row r="12083" spans="2:2" ht="15.95" customHeight="1">
      <c r="B12083" s="37"/>
    </row>
    <row r="12084" spans="2:2" ht="15.95" customHeight="1">
      <c r="B12084" s="37"/>
    </row>
    <row r="12085" spans="2:2" ht="15.95" customHeight="1">
      <c r="B12085" s="37"/>
    </row>
    <row r="12086" spans="2:2" ht="15.95" customHeight="1">
      <c r="B12086" s="37"/>
    </row>
    <row r="12087" spans="2:2" ht="15.95" customHeight="1">
      <c r="B12087" s="37"/>
    </row>
    <row r="12088" spans="2:2" ht="15.95" customHeight="1">
      <c r="B12088" s="37"/>
    </row>
    <row r="12089" spans="2:2" ht="15.95" customHeight="1">
      <c r="B12089" s="37"/>
    </row>
    <row r="12090" spans="2:2" ht="15.95" customHeight="1">
      <c r="B12090" s="37"/>
    </row>
    <row r="12091" spans="2:2" ht="15.95" customHeight="1">
      <c r="B12091" s="37"/>
    </row>
    <row r="12092" spans="2:2" ht="15.95" customHeight="1">
      <c r="B12092" s="37"/>
    </row>
    <row r="12093" spans="2:2" ht="15.95" customHeight="1">
      <c r="B12093" s="37"/>
    </row>
    <row r="12094" spans="2:2" ht="15.95" customHeight="1">
      <c r="B12094" s="37"/>
    </row>
    <row r="12095" spans="2:2" ht="15.95" customHeight="1">
      <c r="B12095" s="37"/>
    </row>
    <row r="12096" spans="2:2" ht="15.95" customHeight="1">
      <c r="B12096" s="37"/>
    </row>
    <row r="12097" spans="2:2" ht="15.95" customHeight="1">
      <c r="B12097" s="37"/>
    </row>
    <row r="12098" spans="2:2" ht="15.95" customHeight="1">
      <c r="B12098" s="37"/>
    </row>
    <row r="12099" spans="2:2" ht="15.95" customHeight="1">
      <c r="B12099" s="37"/>
    </row>
    <row r="12100" spans="2:2" ht="15.95" customHeight="1">
      <c r="B12100" s="37"/>
    </row>
    <row r="12101" spans="2:2" ht="15.95" customHeight="1">
      <c r="B12101" s="37"/>
    </row>
    <row r="12102" spans="2:2" ht="15.95" customHeight="1">
      <c r="B12102" s="37"/>
    </row>
    <row r="12103" spans="2:2" ht="15.95" customHeight="1">
      <c r="B12103" s="37"/>
    </row>
    <row r="12104" spans="2:2" ht="15.95" customHeight="1">
      <c r="B12104" s="37"/>
    </row>
    <row r="12105" spans="2:2" ht="15.95" customHeight="1">
      <c r="B12105" s="37"/>
    </row>
    <row r="12106" spans="2:2" ht="15.95" customHeight="1">
      <c r="B12106" s="37"/>
    </row>
    <row r="12107" spans="2:2" ht="15.95" customHeight="1">
      <c r="B12107" s="37"/>
    </row>
    <row r="12108" spans="2:2" ht="15.95" customHeight="1">
      <c r="B12108" s="37"/>
    </row>
    <row r="12109" spans="2:2" ht="15.95" customHeight="1">
      <c r="B12109" s="37"/>
    </row>
    <row r="12110" spans="2:2" ht="15.95" customHeight="1">
      <c r="B12110" s="37"/>
    </row>
    <row r="12111" spans="2:2" ht="15.95" customHeight="1">
      <c r="B12111" s="37"/>
    </row>
    <row r="12112" spans="2:2" ht="15.95" customHeight="1">
      <c r="B12112" s="37"/>
    </row>
    <row r="12113" spans="2:2" ht="15.95" customHeight="1">
      <c r="B12113" s="37"/>
    </row>
    <row r="12114" spans="2:2" ht="15.95" customHeight="1">
      <c r="B12114" s="37"/>
    </row>
    <row r="12115" spans="2:2" ht="15.95" customHeight="1">
      <c r="B12115" s="37"/>
    </row>
    <row r="12116" spans="2:2" ht="15.95" customHeight="1">
      <c r="B12116" s="37"/>
    </row>
    <row r="12117" spans="2:2" ht="15.95" customHeight="1">
      <c r="B12117" s="37"/>
    </row>
    <row r="12118" spans="2:2" ht="15.95" customHeight="1">
      <c r="B12118" s="37"/>
    </row>
    <row r="12119" spans="2:2" ht="15.95" customHeight="1">
      <c r="B12119" s="37"/>
    </row>
    <row r="12120" spans="2:2" ht="15.95" customHeight="1">
      <c r="B12120" s="37"/>
    </row>
    <row r="12121" spans="2:2" ht="15.95" customHeight="1">
      <c r="B12121" s="37"/>
    </row>
    <row r="12122" spans="2:2" ht="15.95" customHeight="1">
      <c r="B12122" s="37"/>
    </row>
    <row r="12123" spans="2:2" ht="15.95" customHeight="1">
      <c r="B12123" s="37"/>
    </row>
    <row r="12124" spans="2:2" ht="15.95" customHeight="1">
      <c r="B12124" s="37"/>
    </row>
    <row r="12125" spans="2:2" ht="15.95" customHeight="1">
      <c r="B12125" s="37"/>
    </row>
    <row r="12126" spans="2:2" ht="15.95" customHeight="1">
      <c r="B12126" s="37"/>
    </row>
    <row r="12127" spans="2:2" ht="15.95" customHeight="1">
      <c r="B12127" s="37"/>
    </row>
    <row r="12128" spans="2:2" ht="15.95" customHeight="1">
      <c r="B12128" s="37"/>
    </row>
    <row r="12129" spans="2:2" ht="15.95" customHeight="1">
      <c r="B12129" s="37"/>
    </row>
    <row r="12130" spans="2:2" ht="15.95" customHeight="1">
      <c r="B12130" s="37"/>
    </row>
    <row r="12131" spans="2:2" ht="15.95" customHeight="1">
      <c r="B12131" s="37"/>
    </row>
    <row r="12132" spans="2:2" ht="15.95" customHeight="1">
      <c r="B12132" s="37"/>
    </row>
    <row r="12133" spans="2:2" ht="15.95" customHeight="1">
      <c r="B12133" s="37"/>
    </row>
    <row r="12134" spans="2:2" ht="15.95" customHeight="1">
      <c r="B12134" s="37"/>
    </row>
    <row r="12135" spans="2:2" ht="15.95" customHeight="1">
      <c r="B12135" s="37"/>
    </row>
    <row r="12136" spans="2:2" ht="15.95" customHeight="1">
      <c r="B12136" s="37"/>
    </row>
    <row r="12137" spans="2:2" ht="15.95" customHeight="1">
      <c r="B12137" s="37"/>
    </row>
    <row r="12138" spans="2:2" ht="15.95" customHeight="1">
      <c r="B12138" s="37"/>
    </row>
    <row r="12139" spans="2:2" ht="15.95" customHeight="1">
      <c r="B12139" s="37"/>
    </row>
    <row r="12140" spans="2:2" ht="15.95" customHeight="1">
      <c r="B12140" s="37"/>
    </row>
    <row r="12141" spans="2:2" ht="15.95" customHeight="1">
      <c r="B12141" s="37"/>
    </row>
    <row r="12142" spans="2:2" ht="15.95" customHeight="1">
      <c r="B12142" s="37"/>
    </row>
    <row r="12143" spans="2:2" ht="15.95" customHeight="1">
      <c r="B12143" s="37"/>
    </row>
    <row r="12144" spans="2:2" ht="15.95" customHeight="1">
      <c r="B12144" s="37"/>
    </row>
    <row r="12145" spans="2:2" ht="15.95" customHeight="1">
      <c r="B12145" s="37"/>
    </row>
    <row r="12146" spans="2:2" ht="15.95" customHeight="1">
      <c r="B12146" s="37"/>
    </row>
    <row r="12147" spans="2:2" ht="15.95" customHeight="1">
      <c r="B12147" s="37"/>
    </row>
    <row r="12148" spans="2:2" ht="15.95" customHeight="1">
      <c r="B12148" s="37"/>
    </row>
    <row r="12149" spans="2:2" ht="15.95" customHeight="1">
      <c r="B12149" s="37"/>
    </row>
    <row r="12150" spans="2:2" ht="15.95" customHeight="1">
      <c r="B12150" s="37"/>
    </row>
    <row r="12151" spans="2:2" ht="15.95" customHeight="1">
      <c r="B12151" s="37"/>
    </row>
    <row r="12152" spans="2:2" ht="15.95" customHeight="1">
      <c r="B12152" s="37"/>
    </row>
    <row r="12153" spans="2:2" ht="15.95" customHeight="1">
      <c r="B12153" s="37"/>
    </row>
    <row r="12154" spans="2:2" ht="15.95" customHeight="1">
      <c r="B12154" s="37"/>
    </row>
    <row r="12155" spans="2:2" ht="15.95" customHeight="1">
      <c r="B12155" s="37"/>
    </row>
    <row r="12156" spans="2:2" ht="15.95" customHeight="1">
      <c r="B12156" s="37"/>
    </row>
    <row r="12157" spans="2:2" ht="15.95" customHeight="1">
      <c r="B12157" s="37"/>
    </row>
    <row r="12158" spans="2:2" ht="15.95" customHeight="1">
      <c r="B12158" s="37"/>
    </row>
    <row r="12159" spans="2:2" ht="15.95" customHeight="1">
      <c r="B12159" s="37"/>
    </row>
    <row r="12160" spans="2:2" ht="15.95" customHeight="1">
      <c r="B12160" s="37"/>
    </row>
    <row r="12161" spans="2:2" ht="15.95" customHeight="1">
      <c r="B12161" s="37"/>
    </row>
    <row r="12162" spans="2:2" ht="15.95" customHeight="1">
      <c r="B12162" s="37"/>
    </row>
    <row r="12163" spans="2:2" ht="15.95" customHeight="1">
      <c r="B12163" s="37"/>
    </row>
    <row r="12164" spans="2:2" ht="15.95" customHeight="1">
      <c r="B12164" s="37"/>
    </row>
    <row r="12165" spans="2:2" ht="15.95" customHeight="1">
      <c r="B12165" s="37"/>
    </row>
    <row r="12166" spans="2:2" ht="15.95" customHeight="1">
      <c r="B12166" s="37"/>
    </row>
    <row r="12167" spans="2:2" ht="15.95" customHeight="1">
      <c r="B12167" s="37"/>
    </row>
    <row r="12168" spans="2:2" ht="15.95" customHeight="1">
      <c r="B12168" s="37"/>
    </row>
    <row r="12169" spans="2:2" ht="15.95" customHeight="1">
      <c r="B12169" s="37"/>
    </row>
    <row r="12170" spans="2:2" ht="15.95" customHeight="1">
      <c r="B12170" s="37"/>
    </row>
    <row r="12171" spans="2:2" ht="15.95" customHeight="1">
      <c r="B12171" s="37"/>
    </row>
    <row r="12172" spans="2:2" ht="15.95" customHeight="1">
      <c r="B12172" s="37"/>
    </row>
    <row r="12173" spans="2:2" ht="15.95" customHeight="1">
      <c r="B12173" s="37"/>
    </row>
    <row r="12174" spans="2:2" ht="15.95" customHeight="1">
      <c r="B12174" s="37"/>
    </row>
    <row r="12175" spans="2:2" ht="15.95" customHeight="1">
      <c r="B12175" s="37"/>
    </row>
    <row r="12176" spans="2:2" ht="15.95" customHeight="1">
      <c r="B12176" s="37"/>
    </row>
    <row r="12177" spans="2:2" ht="15.95" customHeight="1">
      <c r="B12177" s="37"/>
    </row>
    <row r="12178" spans="2:2" ht="15.95" customHeight="1">
      <c r="B12178" s="37"/>
    </row>
    <row r="12179" spans="2:2" ht="15.95" customHeight="1">
      <c r="B12179" s="37"/>
    </row>
    <row r="12180" spans="2:2" ht="15.95" customHeight="1">
      <c r="B12180" s="37"/>
    </row>
    <row r="12181" spans="2:2" ht="15.95" customHeight="1">
      <c r="B12181" s="37"/>
    </row>
    <row r="12182" spans="2:2" ht="15.95" customHeight="1">
      <c r="B12182" s="37"/>
    </row>
    <row r="12183" spans="2:2" ht="15.95" customHeight="1">
      <c r="B12183" s="37"/>
    </row>
    <row r="12184" spans="2:2" ht="15.95" customHeight="1">
      <c r="B12184" s="37"/>
    </row>
    <row r="12185" spans="2:2" ht="15.95" customHeight="1">
      <c r="B12185" s="37"/>
    </row>
    <row r="12186" spans="2:2" ht="15.95" customHeight="1">
      <c r="B12186" s="37"/>
    </row>
    <row r="12187" spans="2:2" ht="15.95" customHeight="1">
      <c r="B12187" s="37"/>
    </row>
    <row r="12188" spans="2:2" ht="15.95" customHeight="1">
      <c r="B12188" s="37"/>
    </row>
    <row r="12189" spans="2:2" ht="15.95" customHeight="1">
      <c r="B12189" s="37"/>
    </row>
    <row r="12190" spans="2:2" ht="15.95" customHeight="1">
      <c r="B12190" s="37"/>
    </row>
    <row r="12191" spans="2:2" ht="15.95" customHeight="1">
      <c r="B12191" s="37"/>
    </row>
    <row r="12192" spans="2:2" ht="15.95" customHeight="1">
      <c r="B12192" s="37"/>
    </row>
    <row r="12193" spans="2:2" ht="15.95" customHeight="1">
      <c r="B12193" s="37"/>
    </row>
    <row r="12194" spans="2:2" ht="15.95" customHeight="1">
      <c r="B12194" s="37"/>
    </row>
    <row r="12195" spans="2:2" ht="15.95" customHeight="1">
      <c r="B12195" s="37"/>
    </row>
    <row r="12196" spans="2:2" ht="15.95" customHeight="1">
      <c r="B12196" s="37"/>
    </row>
    <row r="12197" spans="2:2" ht="15.95" customHeight="1">
      <c r="B12197" s="37"/>
    </row>
    <row r="12198" spans="2:2" ht="15.95" customHeight="1">
      <c r="B12198" s="37"/>
    </row>
    <row r="12199" spans="2:2" ht="15.95" customHeight="1">
      <c r="B12199" s="37"/>
    </row>
    <row r="12200" spans="2:2" ht="15.95" customHeight="1">
      <c r="B12200" s="37"/>
    </row>
    <row r="12201" spans="2:2" ht="15.95" customHeight="1">
      <c r="B12201" s="37"/>
    </row>
    <row r="12202" spans="2:2" ht="15.95" customHeight="1">
      <c r="B12202" s="37"/>
    </row>
    <row r="12203" spans="2:2" ht="15.95" customHeight="1">
      <c r="B12203" s="37"/>
    </row>
    <row r="12204" spans="2:2" ht="15.95" customHeight="1">
      <c r="B12204" s="37"/>
    </row>
    <row r="12205" spans="2:2" ht="15.95" customHeight="1">
      <c r="B12205" s="37"/>
    </row>
    <row r="12206" spans="2:2" ht="15.95" customHeight="1">
      <c r="B12206" s="37"/>
    </row>
    <row r="12207" spans="2:2" ht="15.95" customHeight="1">
      <c r="B12207" s="37"/>
    </row>
    <row r="12208" spans="2:2" ht="15.95" customHeight="1">
      <c r="B12208" s="37"/>
    </row>
    <row r="12209" spans="2:2" ht="15.95" customHeight="1">
      <c r="B12209" s="37"/>
    </row>
    <row r="12210" spans="2:2" ht="15.95" customHeight="1">
      <c r="B12210" s="37"/>
    </row>
    <row r="12211" spans="2:2" ht="15.95" customHeight="1">
      <c r="B12211" s="37"/>
    </row>
    <row r="12212" spans="2:2" ht="15.95" customHeight="1">
      <c r="B12212" s="37"/>
    </row>
    <row r="12213" spans="2:2" ht="15.95" customHeight="1">
      <c r="B12213" s="37"/>
    </row>
    <row r="12214" spans="2:2" ht="15.95" customHeight="1">
      <c r="B12214" s="37"/>
    </row>
    <row r="12215" spans="2:2" ht="15.95" customHeight="1">
      <c r="B12215" s="37"/>
    </row>
    <row r="12216" spans="2:2" ht="15.95" customHeight="1">
      <c r="B12216" s="37"/>
    </row>
    <row r="12217" spans="2:2" ht="15.95" customHeight="1">
      <c r="B12217" s="37"/>
    </row>
    <row r="12218" spans="2:2" ht="15.95" customHeight="1">
      <c r="B12218" s="37"/>
    </row>
    <row r="12219" spans="2:2" ht="15.95" customHeight="1">
      <c r="B12219" s="37"/>
    </row>
    <row r="12220" spans="2:2" ht="15.95" customHeight="1">
      <c r="B12220" s="37"/>
    </row>
    <row r="12221" spans="2:2" ht="15.95" customHeight="1">
      <c r="B12221" s="37"/>
    </row>
    <row r="12222" spans="2:2" ht="15.95" customHeight="1">
      <c r="B12222" s="37"/>
    </row>
    <row r="12223" spans="2:2" ht="15.95" customHeight="1">
      <c r="B12223" s="37"/>
    </row>
    <row r="12224" spans="2:2" ht="15.95" customHeight="1">
      <c r="B12224" s="37"/>
    </row>
    <row r="12225" spans="2:2" ht="15.95" customHeight="1">
      <c r="B12225" s="37"/>
    </row>
    <row r="12226" spans="2:2" ht="15.95" customHeight="1">
      <c r="B12226" s="37"/>
    </row>
    <row r="12227" spans="2:2" ht="15.95" customHeight="1">
      <c r="B12227" s="37"/>
    </row>
    <row r="12228" spans="2:2" ht="15.95" customHeight="1">
      <c r="B12228" s="37"/>
    </row>
    <row r="12229" spans="2:2" ht="15.95" customHeight="1">
      <c r="B12229" s="37"/>
    </row>
    <row r="12230" spans="2:2" ht="15.95" customHeight="1">
      <c r="B12230" s="37"/>
    </row>
    <row r="12231" spans="2:2" ht="15.95" customHeight="1">
      <c r="B12231" s="37"/>
    </row>
    <row r="12232" spans="2:2" ht="15.95" customHeight="1">
      <c r="B12232" s="37"/>
    </row>
    <row r="12233" spans="2:2" ht="15.95" customHeight="1">
      <c r="B12233" s="37"/>
    </row>
    <row r="12234" spans="2:2" ht="15.95" customHeight="1">
      <c r="B12234" s="37"/>
    </row>
    <row r="12235" spans="2:2" ht="15.95" customHeight="1">
      <c r="B12235" s="37"/>
    </row>
    <row r="12236" spans="2:2" ht="15.95" customHeight="1">
      <c r="B12236" s="37"/>
    </row>
    <row r="12237" spans="2:2" ht="15.95" customHeight="1">
      <c r="B12237" s="37"/>
    </row>
    <row r="12238" spans="2:2" ht="15.95" customHeight="1">
      <c r="B12238" s="37"/>
    </row>
    <row r="12239" spans="2:2" ht="15.95" customHeight="1">
      <c r="B12239" s="37"/>
    </row>
    <row r="12240" spans="2:2" ht="15.95" customHeight="1">
      <c r="B12240" s="37"/>
    </row>
    <row r="12241" spans="2:2" ht="15.95" customHeight="1">
      <c r="B12241" s="37"/>
    </row>
    <row r="12242" spans="2:2" ht="15.95" customHeight="1">
      <c r="B12242" s="37"/>
    </row>
    <row r="12243" spans="2:2" ht="15.95" customHeight="1">
      <c r="B12243" s="37"/>
    </row>
    <row r="12244" spans="2:2" ht="15.95" customHeight="1">
      <c r="B12244" s="37"/>
    </row>
    <row r="12245" spans="2:2" ht="15.95" customHeight="1">
      <c r="B12245" s="37"/>
    </row>
    <row r="12246" spans="2:2" ht="15.95" customHeight="1">
      <c r="B12246" s="37"/>
    </row>
    <row r="12247" spans="2:2" ht="15.95" customHeight="1">
      <c r="B12247" s="37"/>
    </row>
    <row r="12248" spans="2:2" ht="15.95" customHeight="1">
      <c r="B12248" s="37"/>
    </row>
    <row r="12249" spans="2:2" ht="15.95" customHeight="1">
      <c r="B12249" s="37"/>
    </row>
    <row r="12250" spans="2:2" ht="15.95" customHeight="1">
      <c r="B12250" s="37"/>
    </row>
    <row r="12251" spans="2:2" ht="15.95" customHeight="1">
      <c r="B12251" s="37"/>
    </row>
    <row r="12252" spans="2:2" ht="15.95" customHeight="1">
      <c r="B12252" s="37"/>
    </row>
    <row r="12253" spans="2:2" ht="15.95" customHeight="1">
      <c r="B12253" s="37"/>
    </row>
    <row r="12254" spans="2:2" ht="15.95" customHeight="1">
      <c r="B12254" s="37"/>
    </row>
    <row r="12255" spans="2:2" ht="15.95" customHeight="1">
      <c r="B12255" s="37"/>
    </row>
    <row r="12256" spans="2:2" ht="15.95" customHeight="1">
      <c r="B12256" s="37"/>
    </row>
    <row r="12257" spans="2:2" ht="15.95" customHeight="1">
      <c r="B12257" s="37"/>
    </row>
    <row r="12258" spans="2:2" ht="15.95" customHeight="1">
      <c r="B12258" s="37"/>
    </row>
    <row r="12259" spans="2:2" ht="15.95" customHeight="1">
      <c r="B12259" s="37"/>
    </row>
    <row r="12260" spans="2:2" ht="15.95" customHeight="1">
      <c r="B12260" s="37"/>
    </row>
    <row r="12261" spans="2:2" ht="15.95" customHeight="1">
      <c r="B12261" s="37"/>
    </row>
    <row r="12262" spans="2:2" ht="15.95" customHeight="1">
      <c r="B12262" s="37"/>
    </row>
    <row r="12263" spans="2:2" ht="15.95" customHeight="1">
      <c r="B12263" s="37"/>
    </row>
    <row r="12264" spans="2:2" ht="15.95" customHeight="1">
      <c r="B12264" s="37"/>
    </row>
    <row r="12265" spans="2:2" ht="15.95" customHeight="1">
      <c r="B12265" s="37"/>
    </row>
    <row r="12266" spans="2:2" ht="15.95" customHeight="1">
      <c r="B12266" s="37"/>
    </row>
    <row r="12267" spans="2:2" ht="15.95" customHeight="1">
      <c r="B12267" s="37"/>
    </row>
    <row r="12268" spans="2:2" ht="15.95" customHeight="1">
      <c r="B12268" s="37"/>
    </row>
    <row r="12269" spans="2:2" ht="15.95" customHeight="1">
      <c r="B12269" s="37"/>
    </row>
    <row r="12270" spans="2:2" ht="15.95" customHeight="1">
      <c r="B12270" s="37"/>
    </row>
    <row r="12271" spans="2:2" ht="15.95" customHeight="1">
      <c r="B12271" s="37"/>
    </row>
    <row r="12272" spans="2:2" ht="15.95" customHeight="1">
      <c r="B12272" s="37"/>
    </row>
    <row r="12273" spans="2:2" ht="15.95" customHeight="1">
      <c r="B12273" s="37"/>
    </row>
    <row r="12274" spans="2:2" ht="15.95" customHeight="1">
      <c r="B12274" s="37"/>
    </row>
    <row r="12275" spans="2:2" ht="15.95" customHeight="1">
      <c r="B12275" s="37"/>
    </row>
    <row r="12276" spans="2:2" ht="15.95" customHeight="1">
      <c r="B12276" s="37"/>
    </row>
    <row r="12277" spans="2:2" ht="15.95" customHeight="1">
      <c r="B12277" s="37"/>
    </row>
    <row r="12278" spans="2:2" ht="15.95" customHeight="1">
      <c r="B12278" s="37"/>
    </row>
    <row r="12279" spans="2:2" ht="15.95" customHeight="1">
      <c r="B12279" s="37"/>
    </row>
    <row r="12280" spans="2:2" ht="15.95" customHeight="1">
      <c r="B12280" s="37"/>
    </row>
    <row r="12281" spans="2:2" ht="15.95" customHeight="1">
      <c r="B12281" s="37"/>
    </row>
    <row r="12282" spans="2:2" ht="15.95" customHeight="1">
      <c r="B12282" s="37"/>
    </row>
    <row r="12283" spans="2:2" ht="15.95" customHeight="1">
      <c r="B12283" s="37"/>
    </row>
    <row r="12284" spans="2:2" ht="15.95" customHeight="1">
      <c r="B12284" s="37"/>
    </row>
    <row r="12285" spans="2:2" ht="15.95" customHeight="1">
      <c r="B12285" s="37"/>
    </row>
    <row r="12286" spans="2:2" ht="15.95" customHeight="1">
      <c r="B12286" s="37"/>
    </row>
    <row r="12287" spans="2:2" ht="15.95" customHeight="1">
      <c r="B12287" s="37"/>
    </row>
    <row r="12288" spans="2:2" ht="15.95" customHeight="1">
      <c r="B12288" s="37"/>
    </row>
    <row r="12289" spans="2:2" ht="15.95" customHeight="1">
      <c r="B12289" s="37"/>
    </row>
    <row r="12290" spans="2:2" ht="15.95" customHeight="1">
      <c r="B12290" s="37"/>
    </row>
    <row r="12291" spans="2:2" ht="15.95" customHeight="1">
      <c r="B12291" s="37"/>
    </row>
    <row r="12292" spans="2:2" ht="15.95" customHeight="1">
      <c r="B12292" s="37"/>
    </row>
    <row r="12293" spans="2:2" ht="15.95" customHeight="1">
      <c r="B12293" s="37"/>
    </row>
    <row r="12294" spans="2:2" ht="15.95" customHeight="1">
      <c r="B12294" s="37"/>
    </row>
    <row r="12295" spans="2:2" ht="15.95" customHeight="1">
      <c r="B12295" s="37"/>
    </row>
    <row r="12296" spans="2:2" ht="15.95" customHeight="1">
      <c r="B12296" s="37"/>
    </row>
    <row r="12297" spans="2:2" ht="15.95" customHeight="1">
      <c r="B12297" s="37"/>
    </row>
    <row r="12298" spans="2:2" ht="15.95" customHeight="1">
      <c r="B12298" s="37"/>
    </row>
    <row r="12299" spans="2:2" ht="15.95" customHeight="1">
      <c r="B12299" s="37"/>
    </row>
    <row r="12300" spans="2:2" ht="15.95" customHeight="1">
      <c r="B12300" s="37"/>
    </row>
    <row r="12301" spans="2:2" ht="15.95" customHeight="1">
      <c r="B12301" s="37"/>
    </row>
    <row r="12302" spans="2:2" ht="15.95" customHeight="1">
      <c r="B12302" s="37"/>
    </row>
    <row r="12303" spans="2:2" ht="15.95" customHeight="1">
      <c r="B12303" s="37"/>
    </row>
    <row r="12304" spans="2:2" ht="15.95" customHeight="1">
      <c r="B12304" s="37"/>
    </row>
    <row r="12305" spans="2:2" ht="15.95" customHeight="1">
      <c r="B12305" s="37"/>
    </row>
    <row r="12306" spans="2:2" ht="15.95" customHeight="1">
      <c r="B12306" s="37"/>
    </row>
    <row r="12307" spans="2:2" ht="15.95" customHeight="1">
      <c r="B12307" s="37"/>
    </row>
    <row r="12308" spans="2:2" ht="15.95" customHeight="1">
      <c r="B12308" s="37"/>
    </row>
    <row r="12309" spans="2:2" ht="15.95" customHeight="1">
      <c r="B12309" s="37"/>
    </row>
    <row r="12310" spans="2:2" ht="15.95" customHeight="1">
      <c r="B12310" s="37"/>
    </row>
    <row r="12311" spans="2:2" ht="15.95" customHeight="1">
      <c r="B12311" s="37"/>
    </row>
    <row r="12312" spans="2:2" ht="15.95" customHeight="1">
      <c r="B12312" s="37"/>
    </row>
    <row r="12313" spans="2:2" ht="15.95" customHeight="1">
      <c r="B12313" s="37"/>
    </row>
    <row r="12314" spans="2:2" ht="15.95" customHeight="1">
      <c r="B12314" s="37"/>
    </row>
    <row r="12315" spans="2:2" ht="15.95" customHeight="1">
      <c r="B12315" s="37"/>
    </row>
    <row r="12316" spans="2:2" ht="15.95" customHeight="1">
      <c r="B12316" s="37"/>
    </row>
    <row r="12317" spans="2:2" ht="15.95" customHeight="1">
      <c r="B12317" s="37"/>
    </row>
    <row r="12318" spans="2:2" ht="15.95" customHeight="1">
      <c r="B12318" s="37"/>
    </row>
    <row r="12319" spans="2:2" ht="15.95" customHeight="1">
      <c r="B12319" s="37"/>
    </row>
    <row r="12320" spans="2:2" ht="15.95" customHeight="1">
      <c r="B12320" s="37"/>
    </row>
    <row r="12321" spans="2:2" ht="15.95" customHeight="1">
      <c r="B12321" s="37"/>
    </row>
    <row r="12322" spans="2:2" ht="15.95" customHeight="1">
      <c r="B12322" s="37"/>
    </row>
    <row r="12323" spans="2:2" ht="15.95" customHeight="1">
      <c r="B12323" s="37"/>
    </row>
    <row r="12324" spans="2:2" ht="15.95" customHeight="1">
      <c r="B12324" s="37"/>
    </row>
    <row r="12325" spans="2:2" ht="15.95" customHeight="1">
      <c r="B12325" s="37"/>
    </row>
    <row r="12326" spans="2:2" ht="15.95" customHeight="1">
      <c r="B12326" s="37"/>
    </row>
    <row r="12327" spans="2:2" ht="15.95" customHeight="1">
      <c r="B12327" s="37"/>
    </row>
    <row r="12328" spans="2:2" ht="15.95" customHeight="1">
      <c r="B12328" s="37"/>
    </row>
    <row r="12329" spans="2:2" ht="15.95" customHeight="1">
      <c r="B12329" s="37"/>
    </row>
    <row r="12330" spans="2:2" ht="15.95" customHeight="1">
      <c r="B12330" s="37"/>
    </row>
    <row r="12331" spans="2:2" ht="15.95" customHeight="1">
      <c r="B12331" s="37"/>
    </row>
    <row r="12332" spans="2:2" ht="15.95" customHeight="1">
      <c r="B12332" s="37"/>
    </row>
    <row r="12333" spans="2:2" ht="15.95" customHeight="1">
      <c r="B12333" s="37"/>
    </row>
    <row r="12334" spans="2:2" ht="15.95" customHeight="1">
      <c r="B12334" s="37"/>
    </row>
    <row r="12335" spans="2:2" ht="15.95" customHeight="1">
      <c r="B12335" s="37"/>
    </row>
    <row r="12336" spans="2:2" ht="15.95" customHeight="1">
      <c r="B12336" s="37"/>
    </row>
    <row r="12337" spans="2:2" ht="15.95" customHeight="1">
      <c r="B12337" s="37"/>
    </row>
    <row r="12338" spans="2:2" ht="15.95" customHeight="1">
      <c r="B12338" s="37"/>
    </row>
    <row r="12339" spans="2:2" ht="15.95" customHeight="1">
      <c r="B12339" s="37"/>
    </row>
    <row r="12340" spans="2:2" ht="15.95" customHeight="1">
      <c r="B12340" s="37"/>
    </row>
    <row r="12341" spans="2:2" ht="15.95" customHeight="1">
      <c r="B12341" s="37"/>
    </row>
    <row r="12342" spans="2:2" ht="15.95" customHeight="1">
      <c r="B12342" s="37"/>
    </row>
    <row r="12343" spans="2:2" ht="15.95" customHeight="1">
      <c r="B12343" s="37"/>
    </row>
    <row r="12344" spans="2:2" ht="15.95" customHeight="1">
      <c r="B12344" s="37"/>
    </row>
    <row r="12345" spans="2:2" ht="15.95" customHeight="1">
      <c r="B12345" s="37"/>
    </row>
    <row r="12346" spans="2:2" ht="15.95" customHeight="1">
      <c r="B12346" s="37"/>
    </row>
    <row r="12347" spans="2:2" ht="15.95" customHeight="1">
      <c r="B12347" s="37"/>
    </row>
    <row r="12348" spans="2:2" ht="15.95" customHeight="1">
      <c r="B12348" s="37"/>
    </row>
    <row r="12349" spans="2:2" ht="15.95" customHeight="1">
      <c r="B12349" s="37"/>
    </row>
    <row r="12350" spans="2:2" ht="15.95" customHeight="1">
      <c r="B12350" s="37"/>
    </row>
    <row r="12351" spans="2:2" ht="15.95" customHeight="1">
      <c r="B12351" s="37"/>
    </row>
    <row r="12352" spans="2:2" ht="15.95" customHeight="1">
      <c r="B12352" s="37"/>
    </row>
    <row r="12353" spans="2:2" ht="15.95" customHeight="1">
      <c r="B12353" s="37"/>
    </row>
    <row r="12354" spans="2:2" ht="15.95" customHeight="1">
      <c r="B12354" s="37"/>
    </row>
    <row r="12355" spans="2:2" ht="15.95" customHeight="1">
      <c r="B12355" s="37"/>
    </row>
    <row r="12356" spans="2:2" ht="15.95" customHeight="1">
      <c r="B12356" s="37"/>
    </row>
    <row r="12357" spans="2:2" ht="15.95" customHeight="1">
      <c r="B12357" s="37"/>
    </row>
    <row r="12358" spans="2:2" ht="15.95" customHeight="1">
      <c r="B12358" s="37"/>
    </row>
    <row r="12359" spans="2:2" ht="15.95" customHeight="1">
      <c r="B12359" s="37"/>
    </row>
    <row r="12360" spans="2:2" ht="15.95" customHeight="1">
      <c r="B12360" s="37"/>
    </row>
    <row r="12361" spans="2:2" ht="15.95" customHeight="1">
      <c r="B12361" s="37"/>
    </row>
    <row r="12362" spans="2:2" ht="15.95" customHeight="1">
      <c r="B12362" s="37"/>
    </row>
    <row r="12363" spans="2:2" ht="15.95" customHeight="1">
      <c r="B12363" s="37"/>
    </row>
    <row r="12364" spans="2:2" ht="15.95" customHeight="1">
      <c r="B12364" s="37"/>
    </row>
    <row r="12365" spans="2:2" ht="15.95" customHeight="1">
      <c r="B12365" s="37"/>
    </row>
    <row r="12366" spans="2:2" ht="15.95" customHeight="1">
      <c r="B12366" s="37"/>
    </row>
    <row r="12367" spans="2:2" ht="15.95" customHeight="1">
      <c r="B12367" s="37"/>
    </row>
    <row r="12368" spans="2:2" ht="15.95" customHeight="1">
      <c r="B12368" s="37"/>
    </row>
    <row r="12369" spans="2:2" ht="15.95" customHeight="1">
      <c r="B12369" s="37"/>
    </row>
    <row r="12370" spans="2:2" ht="15.95" customHeight="1">
      <c r="B12370" s="37"/>
    </row>
    <row r="12371" spans="2:2" ht="15.95" customHeight="1">
      <c r="B12371" s="37"/>
    </row>
    <row r="12372" spans="2:2" ht="15.95" customHeight="1">
      <c r="B12372" s="37"/>
    </row>
    <row r="12373" spans="2:2" ht="15.95" customHeight="1">
      <c r="B12373" s="37"/>
    </row>
    <row r="12374" spans="2:2" ht="15.95" customHeight="1">
      <c r="B12374" s="37"/>
    </row>
    <row r="12375" spans="2:2" ht="15.95" customHeight="1">
      <c r="B12375" s="37"/>
    </row>
    <row r="12376" spans="2:2" ht="15.95" customHeight="1">
      <c r="B12376" s="37"/>
    </row>
    <row r="12377" spans="2:2" ht="15.95" customHeight="1">
      <c r="B12377" s="37"/>
    </row>
    <row r="12378" spans="2:2" ht="15.95" customHeight="1">
      <c r="B12378" s="37"/>
    </row>
    <row r="12379" spans="2:2" ht="15.95" customHeight="1">
      <c r="B12379" s="37"/>
    </row>
    <row r="12380" spans="2:2" ht="15.95" customHeight="1">
      <c r="B12380" s="37"/>
    </row>
    <row r="12381" spans="2:2" ht="15.95" customHeight="1">
      <c r="B12381" s="37"/>
    </row>
    <row r="12382" spans="2:2" ht="15.95" customHeight="1">
      <c r="B12382" s="37"/>
    </row>
    <row r="12383" spans="2:2" ht="15.95" customHeight="1">
      <c r="B12383" s="37"/>
    </row>
    <row r="12384" spans="2:2" ht="15.95" customHeight="1">
      <c r="B12384" s="37"/>
    </row>
    <row r="12385" spans="2:2" ht="15.95" customHeight="1">
      <c r="B12385" s="37"/>
    </row>
    <row r="12386" spans="2:2" ht="15.95" customHeight="1">
      <c r="B12386" s="37"/>
    </row>
    <row r="12387" spans="2:2" ht="15.95" customHeight="1">
      <c r="B12387" s="37"/>
    </row>
    <row r="12388" spans="2:2" ht="15.95" customHeight="1">
      <c r="B12388" s="37"/>
    </row>
    <row r="12389" spans="2:2" ht="15.95" customHeight="1">
      <c r="B12389" s="37"/>
    </row>
    <row r="12390" spans="2:2" ht="15.95" customHeight="1">
      <c r="B12390" s="37"/>
    </row>
    <row r="12391" spans="2:2" ht="15.95" customHeight="1">
      <c r="B12391" s="37"/>
    </row>
    <row r="12392" spans="2:2" ht="15.95" customHeight="1">
      <c r="B12392" s="37"/>
    </row>
    <row r="12393" spans="2:2" ht="15.95" customHeight="1">
      <c r="B12393" s="37"/>
    </row>
    <row r="12394" spans="2:2" ht="15.95" customHeight="1">
      <c r="B12394" s="37"/>
    </row>
    <row r="12395" spans="2:2" ht="15.95" customHeight="1">
      <c r="B12395" s="37"/>
    </row>
    <row r="12396" spans="2:2" ht="15.95" customHeight="1">
      <c r="B12396" s="37"/>
    </row>
    <row r="12397" spans="2:2" ht="15.95" customHeight="1">
      <c r="B12397" s="37"/>
    </row>
    <row r="12398" spans="2:2" ht="15.95" customHeight="1">
      <c r="B12398" s="37"/>
    </row>
    <row r="12399" spans="2:2" ht="15.95" customHeight="1">
      <c r="B12399" s="37"/>
    </row>
    <row r="12400" spans="2:2" ht="15.95" customHeight="1">
      <c r="B12400" s="37"/>
    </row>
    <row r="12401" spans="2:2" ht="15.95" customHeight="1">
      <c r="B12401" s="37"/>
    </row>
    <row r="12402" spans="2:2" ht="15.95" customHeight="1">
      <c r="B12402" s="37"/>
    </row>
    <row r="12403" spans="2:2" ht="15.95" customHeight="1">
      <c r="B12403" s="37"/>
    </row>
    <row r="12404" spans="2:2" ht="15.95" customHeight="1">
      <c r="B12404" s="37"/>
    </row>
    <row r="12405" spans="2:2" ht="15.95" customHeight="1">
      <c r="B12405" s="37"/>
    </row>
    <row r="12406" spans="2:2" ht="15.95" customHeight="1">
      <c r="B12406" s="37"/>
    </row>
    <row r="12407" spans="2:2" ht="15.95" customHeight="1">
      <c r="B12407" s="37"/>
    </row>
    <row r="12408" spans="2:2" ht="15.95" customHeight="1">
      <c r="B12408" s="37"/>
    </row>
    <row r="12409" spans="2:2" ht="15.95" customHeight="1">
      <c r="B12409" s="37"/>
    </row>
    <row r="12410" spans="2:2" ht="15.95" customHeight="1">
      <c r="B12410" s="37"/>
    </row>
    <row r="12411" spans="2:2" ht="15.95" customHeight="1">
      <c r="B12411" s="37"/>
    </row>
    <row r="12412" spans="2:2" ht="15.95" customHeight="1">
      <c r="B12412" s="37"/>
    </row>
    <row r="12413" spans="2:2" ht="15.95" customHeight="1">
      <c r="B12413" s="37"/>
    </row>
    <row r="12414" spans="2:2" ht="15.95" customHeight="1">
      <c r="B12414" s="37"/>
    </row>
    <row r="12415" spans="2:2" ht="15.95" customHeight="1">
      <c r="B12415" s="37"/>
    </row>
    <row r="12416" spans="2:2" ht="15.95" customHeight="1">
      <c r="B12416" s="37"/>
    </row>
    <row r="12417" spans="2:2" ht="15.95" customHeight="1">
      <c r="B12417" s="37"/>
    </row>
    <row r="12418" spans="2:2" ht="15.95" customHeight="1">
      <c r="B12418" s="37"/>
    </row>
    <row r="12419" spans="2:2" ht="15.95" customHeight="1">
      <c r="B12419" s="37"/>
    </row>
    <row r="12420" spans="2:2" ht="15.95" customHeight="1">
      <c r="B12420" s="37"/>
    </row>
    <row r="12421" spans="2:2" ht="15.95" customHeight="1">
      <c r="B12421" s="37"/>
    </row>
    <row r="12422" spans="2:2" ht="15.95" customHeight="1">
      <c r="B12422" s="37"/>
    </row>
    <row r="12423" spans="2:2" ht="15.95" customHeight="1">
      <c r="B12423" s="37"/>
    </row>
    <row r="12424" spans="2:2" ht="15.95" customHeight="1">
      <c r="B12424" s="37"/>
    </row>
    <row r="12425" spans="2:2" ht="15.95" customHeight="1">
      <c r="B12425" s="37"/>
    </row>
    <row r="12426" spans="2:2" ht="15.95" customHeight="1">
      <c r="B12426" s="37"/>
    </row>
    <row r="12427" spans="2:2" ht="15.95" customHeight="1">
      <c r="B12427" s="37"/>
    </row>
    <row r="12428" spans="2:2" ht="15.95" customHeight="1">
      <c r="B12428" s="37"/>
    </row>
    <row r="12429" spans="2:2" ht="15.95" customHeight="1">
      <c r="B12429" s="37"/>
    </row>
    <row r="12430" spans="2:2" ht="15.95" customHeight="1">
      <c r="B12430" s="37"/>
    </row>
    <row r="12431" spans="2:2" ht="15.95" customHeight="1">
      <c r="B12431" s="37"/>
    </row>
    <row r="12432" spans="2:2" ht="15.95" customHeight="1">
      <c r="B12432" s="37"/>
    </row>
    <row r="12433" spans="2:2" ht="15.95" customHeight="1">
      <c r="B12433" s="37"/>
    </row>
    <row r="12434" spans="2:2" ht="15.95" customHeight="1">
      <c r="B12434" s="37"/>
    </row>
    <row r="12435" spans="2:2" ht="15.95" customHeight="1">
      <c r="B12435" s="37"/>
    </row>
    <row r="12436" spans="2:2" ht="15.95" customHeight="1">
      <c r="B12436" s="37"/>
    </row>
    <row r="12437" spans="2:2" ht="15.95" customHeight="1">
      <c r="B12437" s="37"/>
    </row>
    <row r="12438" spans="2:2" ht="15.95" customHeight="1">
      <c r="B12438" s="37"/>
    </row>
    <row r="12439" spans="2:2" ht="15.95" customHeight="1">
      <c r="B12439" s="37"/>
    </row>
    <row r="12440" spans="2:2" ht="15.95" customHeight="1">
      <c r="B12440" s="37"/>
    </row>
    <row r="12441" spans="2:2" ht="15.95" customHeight="1">
      <c r="B12441" s="37"/>
    </row>
    <row r="12442" spans="2:2" ht="15.95" customHeight="1">
      <c r="B12442" s="37"/>
    </row>
    <row r="12443" spans="2:2" ht="15.95" customHeight="1">
      <c r="B12443" s="37"/>
    </row>
    <row r="12444" spans="2:2" ht="15.95" customHeight="1">
      <c r="B12444" s="37"/>
    </row>
    <row r="12445" spans="2:2" ht="15.95" customHeight="1">
      <c r="B12445" s="37"/>
    </row>
    <row r="12446" spans="2:2" ht="15.95" customHeight="1">
      <c r="B12446" s="37"/>
    </row>
    <row r="12447" spans="2:2" ht="15.95" customHeight="1">
      <c r="B12447" s="37"/>
    </row>
    <row r="12448" spans="2:2" ht="15.95" customHeight="1">
      <c r="B12448" s="37"/>
    </row>
    <row r="12449" spans="2:2" ht="15.95" customHeight="1">
      <c r="B12449" s="37"/>
    </row>
    <row r="12450" spans="2:2" ht="15.95" customHeight="1">
      <c r="B12450" s="37"/>
    </row>
    <row r="12451" spans="2:2" ht="15.95" customHeight="1">
      <c r="B12451" s="37"/>
    </row>
    <row r="12452" spans="2:2" ht="15.95" customHeight="1">
      <c r="B12452" s="37"/>
    </row>
    <row r="12453" spans="2:2" ht="15.95" customHeight="1">
      <c r="B12453" s="37"/>
    </row>
    <row r="12454" spans="2:2" ht="15.95" customHeight="1">
      <c r="B12454" s="37"/>
    </row>
    <row r="12455" spans="2:2" ht="15.95" customHeight="1">
      <c r="B12455" s="37"/>
    </row>
    <row r="12456" spans="2:2" ht="15.95" customHeight="1">
      <c r="B12456" s="37"/>
    </row>
    <row r="12457" spans="2:2" ht="15.95" customHeight="1">
      <c r="B12457" s="37"/>
    </row>
    <row r="12458" spans="2:2" ht="15.95" customHeight="1">
      <c r="B12458" s="37"/>
    </row>
    <row r="12459" spans="2:2" ht="15.95" customHeight="1">
      <c r="B12459" s="37"/>
    </row>
    <row r="12460" spans="2:2" ht="15.95" customHeight="1">
      <c r="B12460" s="37"/>
    </row>
    <row r="12461" spans="2:2" ht="15.95" customHeight="1">
      <c r="B12461" s="37"/>
    </row>
    <row r="12462" spans="2:2" ht="15.95" customHeight="1">
      <c r="B12462" s="37"/>
    </row>
    <row r="12463" spans="2:2" ht="15.95" customHeight="1">
      <c r="B12463" s="37"/>
    </row>
    <row r="12464" spans="2:2" ht="15.95" customHeight="1">
      <c r="B12464" s="37"/>
    </row>
    <row r="12465" spans="2:2" ht="15.95" customHeight="1">
      <c r="B12465" s="37"/>
    </row>
    <row r="12466" spans="2:2" ht="15.95" customHeight="1">
      <c r="B12466" s="37"/>
    </row>
    <row r="12467" spans="2:2" ht="15.95" customHeight="1">
      <c r="B12467" s="37"/>
    </row>
    <row r="12468" spans="2:2" ht="15.95" customHeight="1">
      <c r="B12468" s="37"/>
    </row>
    <row r="12469" spans="2:2" ht="15.95" customHeight="1">
      <c r="B12469" s="37"/>
    </row>
    <row r="12470" spans="2:2" ht="15.95" customHeight="1">
      <c r="B12470" s="37"/>
    </row>
    <row r="12471" spans="2:2" ht="15.95" customHeight="1">
      <c r="B12471" s="37"/>
    </row>
    <row r="12472" spans="2:2" ht="15.95" customHeight="1">
      <c r="B12472" s="37"/>
    </row>
    <row r="12473" spans="2:2" ht="15.95" customHeight="1">
      <c r="B12473" s="37"/>
    </row>
    <row r="12474" spans="2:2" ht="15.95" customHeight="1">
      <c r="B12474" s="37"/>
    </row>
    <row r="12475" spans="2:2" ht="15.95" customHeight="1">
      <c r="B12475" s="37"/>
    </row>
    <row r="12476" spans="2:2" ht="15.95" customHeight="1">
      <c r="B12476" s="37"/>
    </row>
    <row r="12477" spans="2:2" ht="15.95" customHeight="1">
      <c r="B12477" s="37"/>
    </row>
    <row r="12478" spans="2:2" ht="15.95" customHeight="1">
      <c r="B12478" s="37"/>
    </row>
    <row r="12479" spans="2:2" ht="15.95" customHeight="1">
      <c r="B12479" s="37"/>
    </row>
    <row r="12480" spans="2:2" ht="15.95" customHeight="1">
      <c r="B12480" s="37"/>
    </row>
    <row r="12481" spans="2:2" ht="15.95" customHeight="1">
      <c r="B12481" s="37"/>
    </row>
    <row r="12482" spans="2:2" ht="15.95" customHeight="1">
      <c r="B12482" s="37"/>
    </row>
    <row r="12483" spans="2:2" ht="15.95" customHeight="1">
      <c r="B12483" s="37"/>
    </row>
    <row r="12484" spans="2:2" ht="15.95" customHeight="1">
      <c r="B12484" s="37"/>
    </row>
    <row r="12485" spans="2:2" ht="15.95" customHeight="1">
      <c r="B12485" s="37"/>
    </row>
    <row r="12486" spans="2:2" ht="15.95" customHeight="1">
      <c r="B12486" s="37"/>
    </row>
    <row r="12487" spans="2:2" ht="15.95" customHeight="1">
      <c r="B12487" s="37"/>
    </row>
    <row r="12488" spans="2:2" ht="15.95" customHeight="1">
      <c r="B12488" s="37"/>
    </row>
    <row r="12489" spans="2:2" ht="15.95" customHeight="1">
      <c r="B12489" s="37"/>
    </row>
    <row r="12490" spans="2:2" ht="15.95" customHeight="1">
      <c r="B12490" s="37"/>
    </row>
    <row r="12491" spans="2:2" ht="15.95" customHeight="1">
      <c r="B12491" s="37"/>
    </row>
    <row r="12492" spans="2:2" ht="15.95" customHeight="1">
      <c r="B12492" s="37"/>
    </row>
    <row r="12493" spans="2:2" ht="15.95" customHeight="1">
      <c r="B12493" s="37"/>
    </row>
    <row r="12494" spans="2:2" ht="15.95" customHeight="1">
      <c r="B12494" s="37"/>
    </row>
    <row r="12495" spans="2:2" ht="15.95" customHeight="1">
      <c r="B12495" s="37"/>
    </row>
    <row r="12496" spans="2:2" ht="15.95" customHeight="1">
      <c r="B12496" s="37"/>
    </row>
    <row r="12497" spans="2:2" ht="15.95" customHeight="1">
      <c r="B12497" s="37"/>
    </row>
    <row r="12498" spans="2:2" ht="15.95" customHeight="1">
      <c r="B12498" s="37"/>
    </row>
    <row r="12499" spans="2:2" ht="15.95" customHeight="1">
      <c r="B12499" s="37"/>
    </row>
    <row r="12500" spans="2:2" ht="15.95" customHeight="1">
      <c r="B12500" s="37"/>
    </row>
    <row r="12501" spans="2:2" ht="15.95" customHeight="1">
      <c r="B12501" s="37"/>
    </row>
    <row r="12502" spans="2:2" ht="15.95" customHeight="1">
      <c r="B12502" s="37"/>
    </row>
    <row r="12503" spans="2:2" ht="15.95" customHeight="1">
      <c r="B12503" s="37"/>
    </row>
    <row r="12504" spans="2:2" ht="15.95" customHeight="1">
      <c r="B12504" s="37"/>
    </row>
    <row r="12505" spans="2:2" ht="15.95" customHeight="1">
      <c r="B12505" s="37"/>
    </row>
    <row r="12506" spans="2:2" ht="15.95" customHeight="1">
      <c r="B12506" s="37"/>
    </row>
    <row r="12507" spans="2:2" ht="15.95" customHeight="1">
      <c r="B12507" s="37"/>
    </row>
    <row r="12508" spans="2:2" ht="15.95" customHeight="1">
      <c r="B12508" s="37"/>
    </row>
    <row r="12509" spans="2:2" ht="15.95" customHeight="1">
      <c r="B12509" s="37"/>
    </row>
    <row r="12510" spans="2:2" ht="15.95" customHeight="1">
      <c r="B12510" s="37"/>
    </row>
    <row r="12511" spans="2:2" ht="15.95" customHeight="1">
      <c r="B12511" s="37"/>
    </row>
    <row r="12512" spans="2:2" ht="15.95" customHeight="1">
      <c r="B12512" s="37"/>
    </row>
    <row r="12513" spans="2:2" ht="15.95" customHeight="1">
      <c r="B12513" s="37"/>
    </row>
    <row r="12514" spans="2:2" ht="15.95" customHeight="1">
      <c r="B12514" s="37"/>
    </row>
    <row r="12515" spans="2:2" ht="15.95" customHeight="1">
      <c r="B12515" s="37"/>
    </row>
    <row r="12516" spans="2:2" ht="15.95" customHeight="1">
      <c r="B12516" s="37"/>
    </row>
    <row r="12517" spans="2:2" ht="15.95" customHeight="1">
      <c r="B12517" s="37"/>
    </row>
    <row r="12518" spans="2:2" ht="15.95" customHeight="1">
      <c r="B12518" s="37"/>
    </row>
    <row r="12519" spans="2:2" ht="15.95" customHeight="1">
      <c r="B12519" s="37"/>
    </row>
    <row r="12520" spans="2:2" ht="15.95" customHeight="1">
      <c r="B12520" s="37"/>
    </row>
    <row r="12521" spans="2:2" ht="15.95" customHeight="1">
      <c r="B12521" s="37"/>
    </row>
    <row r="12522" spans="2:2" ht="15.95" customHeight="1">
      <c r="B12522" s="37"/>
    </row>
    <row r="12523" spans="2:2" ht="15.95" customHeight="1">
      <c r="B12523" s="37"/>
    </row>
    <row r="12524" spans="2:2" ht="15.95" customHeight="1">
      <c r="B12524" s="37"/>
    </row>
    <row r="12525" spans="2:2" ht="15.95" customHeight="1">
      <c r="B12525" s="37"/>
    </row>
    <row r="12526" spans="2:2" ht="15.95" customHeight="1">
      <c r="B12526" s="37"/>
    </row>
    <row r="12527" spans="2:2" ht="15.95" customHeight="1">
      <c r="B12527" s="37"/>
    </row>
    <row r="12528" spans="2:2" ht="15.95" customHeight="1">
      <c r="B12528" s="37"/>
    </row>
    <row r="12529" spans="2:2" ht="15.95" customHeight="1">
      <c r="B12529" s="37"/>
    </row>
    <row r="12530" spans="2:2" ht="15.95" customHeight="1">
      <c r="B12530" s="37"/>
    </row>
    <row r="12531" spans="2:2" ht="15.95" customHeight="1">
      <c r="B12531" s="37"/>
    </row>
    <row r="12532" spans="2:2" ht="15.95" customHeight="1">
      <c r="B12532" s="37"/>
    </row>
    <row r="12533" spans="2:2" ht="15.95" customHeight="1">
      <c r="B12533" s="37"/>
    </row>
    <row r="12534" spans="2:2" ht="15.95" customHeight="1">
      <c r="B12534" s="37"/>
    </row>
    <row r="12535" spans="2:2" ht="15.95" customHeight="1">
      <c r="B12535" s="37"/>
    </row>
    <row r="12536" spans="2:2" ht="15.95" customHeight="1">
      <c r="B12536" s="37"/>
    </row>
    <row r="12537" spans="2:2" ht="15.95" customHeight="1">
      <c r="B12537" s="37"/>
    </row>
    <row r="12538" spans="2:2" ht="15.95" customHeight="1">
      <c r="B12538" s="37"/>
    </row>
    <row r="12539" spans="2:2" ht="15.95" customHeight="1">
      <c r="B12539" s="37"/>
    </row>
    <row r="12540" spans="2:2" ht="15.95" customHeight="1">
      <c r="B12540" s="37"/>
    </row>
    <row r="12541" spans="2:2" ht="15.95" customHeight="1">
      <c r="B12541" s="37"/>
    </row>
    <row r="12542" spans="2:2" ht="15.95" customHeight="1">
      <c r="B12542" s="37"/>
    </row>
    <row r="12543" spans="2:2" ht="15.95" customHeight="1">
      <c r="B12543" s="37"/>
    </row>
    <row r="12544" spans="2:2" ht="15.95" customHeight="1">
      <c r="B12544" s="37"/>
    </row>
    <row r="12545" spans="2:2" ht="15.95" customHeight="1">
      <c r="B12545" s="37"/>
    </row>
    <row r="12546" spans="2:2" ht="15.95" customHeight="1">
      <c r="B12546" s="37"/>
    </row>
    <row r="12547" spans="2:2" ht="15.95" customHeight="1">
      <c r="B12547" s="37"/>
    </row>
    <row r="12548" spans="2:2" ht="15.95" customHeight="1">
      <c r="B12548" s="37"/>
    </row>
    <row r="12549" spans="2:2" ht="15.95" customHeight="1">
      <c r="B12549" s="37"/>
    </row>
    <row r="12550" spans="2:2" ht="15.95" customHeight="1">
      <c r="B12550" s="37"/>
    </row>
    <row r="12551" spans="2:2" ht="15.95" customHeight="1">
      <c r="B12551" s="37"/>
    </row>
    <row r="12552" spans="2:2" ht="15.95" customHeight="1">
      <c r="B12552" s="37"/>
    </row>
    <row r="12553" spans="2:2" ht="15.95" customHeight="1">
      <c r="B12553" s="37"/>
    </row>
    <row r="12554" spans="2:2" ht="15.95" customHeight="1">
      <c r="B12554" s="37"/>
    </row>
    <row r="12555" spans="2:2" ht="15.95" customHeight="1">
      <c r="B12555" s="37"/>
    </row>
    <row r="12556" spans="2:2" ht="15.95" customHeight="1">
      <c r="B12556" s="37"/>
    </row>
    <row r="12557" spans="2:2" ht="15.95" customHeight="1">
      <c r="B12557" s="37"/>
    </row>
    <row r="12558" spans="2:2" ht="15.95" customHeight="1">
      <c r="B12558" s="37"/>
    </row>
    <row r="12559" spans="2:2" ht="15.95" customHeight="1">
      <c r="B12559" s="37"/>
    </row>
    <row r="12560" spans="2:2" ht="15.95" customHeight="1">
      <c r="B12560" s="37"/>
    </row>
    <row r="12561" spans="2:2" ht="15.95" customHeight="1">
      <c r="B12561" s="37"/>
    </row>
    <row r="12562" spans="2:2" ht="15.95" customHeight="1">
      <c r="B12562" s="37"/>
    </row>
    <row r="12563" spans="2:2" ht="15.95" customHeight="1">
      <c r="B12563" s="37"/>
    </row>
    <row r="12564" spans="2:2" ht="15.95" customHeight="1">
      <c r="B12564" s="37"/>
    </row>
    <row r="12565" spans="2:2" ht="15.95" customHeight="1">
      <c r="B12565" s="37"/>
    </row>
    <row r="12566" spans="2:2" ht="15.95" customHeight="1">
      <c r="B12566" s="37"/>
    </row>
    <row r="12567" spans="2:2" ht="15.95" customHeight="1">
      <c r="B12567" s="37"/>
    </row>
    <row r="12568" spans="2:2" ht="15.95" customHeight="1">
      <c r="B12568" s="37"/>
    </row>
    <row r="12569" spans="2:2" ht="15.95" customHeight="1">
      <c r="B12569" s="37"/>
    </row>
    <row r="12570" spans="2:2" ht="15.95" customHeight="1">
      <c r="B12570" s="37"/>
    </row>
    <row r="12571" spans="2:2" ht="15.95" customHeight="1">
      <c r="B12571" s="37"/>
    </row>
    <row r="12572" spans="2:2" ht="15.95" customHeight="1">
      <c r="B12572" s="37"/>
    </row>
    <row r="12573" spans="2:2" ht="15.95" customHeight="1">
      <c r="B12573" s="37"/>
    </row>
    <row r="12574" spans="2:2" ht="15.95" customHeight="1">
      <c r="B12574" s="37"/>
    </row>
    <row r="12575" spans="2:2" ht="15.95" customHeight="1">
      <c r="B12575" s="37"/>
    </row>
    <row r="12576" spans="2:2" ht="15.95" customHeight="1">
      <c r="B12576" s="37"/>
    </row>
    <row r="12577" spans="2:2" ht="15.95" customHeight="1">
      <c r="B12577" s="37"/>
    </row>
    <row r="12578" spans="2:2" ht="15.95" customHeight="1">
      <c r="B12578" s="37"/>
    </row>
    <row r="12579" spans="2:2" ht="15.95" customHeight="1">
      <c r="B12579" s="37"/>
    </row>
    <row r="12580" spans="2:2" ht="15.95" customHeight="1">
      <c r="B12580" s="37"/>
    </row>
    <row r="12581" spans="2:2" ht="15.95" customHeight="1">
      <c r="B12581" s="37"/>
    </row>
    <row r="12582" spans="2:2" ht="15.95" customHeight="1">
      <c r="B12582" s="37"/>
    </row>
    <row r="12583" spans="2:2" ht="15.95" customHeight="1">
      <c r="B12583" s="37"/>
    </row>
    <row r="12584" spans="2:2" ht="15.95" customHeight="1">
      <c r="B12584" s="37"/>
    </row>
    <row r="12585" spans="2:2" ht="15.95" customHeight="1">
      <c r="B12585" s="37"/>
    </row>
    <row r="12586" spans="2:2" ht="15.95" customHeight="1">
      <c r="B12586" s="37"/>
    </row>
    <row r="12587" spans="2:2" ht="15.95" customHeight="1">
      <c r="B12587" s="37"/>
    </row>
    <row r="12588" spans="2:2" ht="15.95" customHeight="1">
      <c r="B12588" s="37"/>
    </row>
    <row r="12589" spans="2:2" ht="15.95" customHeight="1">
      <c r="B12589" s="37"/>
    </row>
    <row r="12590" spans="2:2" ht="15.95" customHeight="1">
      <c r="B12590" s="37"/>
    </row>
    <row r="12591" spans="2:2" ht="15.95" customHeight="1">
      <c r="B12591" s="37"/>
    </row>
    <row r="12592" spans="2:2" ht="15.95" customHeight="1">
      <c r="B12592" s="37"/>
    </row>
    <row r="12593" spans="2:2" ht="15.95" customHeight="1">
      <c r="B12593" s="37"/>
    </row>
    <row r="12594" spans="2:2" ht="15.95" customHeight="1">
      <c r="B12594" s="37"/>
    </row>
    <row r="12595" spans="2:2" ht="15.95" customHeight="1">
      <c r="B12595" s="37"/>
    </row>
    <row r="12596" spans="2:2" ht="15.95" customHeight="1">
      <c r="B12596" s="37"/>
    </row>
    <row r="12597" spans="2:2" ht="15.95" customHeight="1">
      <c r="B12597" s="37"/>
    </row>
    <row r="12598" spans="2:2" ht="15.95" customHeight="1">
      <c r="B12598" s="37"/>
    </row>
    <row r="12599" spans="2:2" ht="15.95" customHeight="1">
      <c r="B12599" s="37"/>
    </row>
    <row r="12600" spans="2:2" ht="15.95" customHeight="1">
      <c r="B12600" s="37"/>
    </row>
    <row r="12601" spans="2:2" ht="15.95" customHeight="1">
      <c r="B12601" s="37"/>
    </row>
    <row r="12602" spans="2:2" ht="15.95" customHeight="1">
      <c r="B12602" s="37"/>
    </row>
    <row r="12603" spans="2:2" ht="15.95" customHeight="1">
      <c r="B12603" s="37"/>
    </row>
    <row r="12604" spans="2:2" ht="15.95" customHeight="1">
      <c r="B12604" s="37"/>
    </row>
    <row r="12605" spans="2:2" ht="15.95" customHeight="1">
      <c r="B12605" s="37"/>
    </row>
    <row r="12606" spans="2:2" ht="15.95" customHeight="1">
      <c r="B12606" s="37"/>
    </row>
    <row r="12607" spans="2:2" ht="15.95" customHeight="1">
      <c r="B12607" s="37"/>
    </row>
    <row r="12608" spans="2:2" ht="15.95" customHeight="1">
      <c r="B12608" s="37"/>
    </row>
    <row r="12609" spans="2:2" ht="15.95" customHeight="1">
      <c r="B12609" s="37"/>
    </row>
    <row r="12610" spans="2:2" ht="15.95" customHeight="1">
      <c r="B12610" s="37"/>
    </row>
    <row r="12611" spans="2:2" ht="15.95" customHeight="1">
      <c r="B12611" s="37"/>
    </row>
    <row r="12612" spans="2:2" ht="15.95" customHeight="1">
      <c r="B12612" s="37"/>
    </row>
    <row r="12613" spans="2:2" ht="15.95" customHeight="1">
      <c r="B12613" s="37"/>
    </row>
    <row r="12614" spans="2:2" ht="15.95" customHeight="1">
      <c r="B12614" s="37"/>
    </row>
    <row r="12615" spans="2:2" ht="15.95" customHeight="1">
      <c r="B12615" s="37"/>
    </row>
    <row r="12616" spans="2:2" ht="15.95" customHeight="1">
      <c r="B12616" s="37"/>
    </row>
    <row r="12617" spans="2:2" ht="15.95" customHeight="1">
      <c r="B12617" s="37"/>
    </row>
    <row r="12618" spans="2:2" ht="15.95" customHeight="1">
      <c r="B12618" s="37"/>
    </row>
    <row r="12619" spans="2:2" ht="15.95" customHeight="1">
      <c r="B12619" s="37"/>
    </row>
    <row r="12620" spans="2:2" ht="15.95" customHeight="1">
      <c r="B12620" s="37"/>
    </row>
    <row r="12621" spans="2:2" ht="15.95" customHeight="1">
      <c r="B12621" s="37"/>
    </row>
    <row r="12622" spans="2:2" ht="15.95" customHeight="1">
      <c r="B12622" s="37"/>
    </row>
    <row r="12623" spans="2:2" ht="15.95" customHeight="1">
      <c r="B12623" s="37"/>
    </row>
    <row r="12624" spans="2:2" ht="15.95" customHeight="1">
      <c r="B12624" s="37"/>
    </row>
    <row r="12625" spans="2:2" ht="15.95" customHeight="1">
      <c r="B12625" s="37"/>
    </row>
    <row r="12626" spans="2:2" ht="15.95" customHeight="1">
      <c r="B12626" s="37"/>
    </row>
    <row r="12627" spans="2:2" ht="15.95" customHeight="1">
      <c r="B12627" s="37"/>
    </row>
    <row r="12628" spans="2:2" ht="15.95" customHeight="1">
      <c r="B12628" s="37"/>
    </row>
    <row r="12629" spans="2:2" ht="15.95" customHeight="1">
      <c r="B12629" s="37"/>
    </row>
    <row r="12630" spans="2:2" ht="15.95" customHeight="1">
      <c r="B12630" s="37"/>
    </row>
    <row r="12631" spans="2:2" ht="15.95" customHeight="1">
      <c r="B12631" s="37"/>
    </row>
    <row r="12632" spans="2:2" ht="15.95" customHeight="1">
      <c r="B12632" s="37"/>
    </row>
    <row r="12633" spans="2:2" ht="15.95" customHeight="1">
      <c r="B12633" s="37"/>
    </row>
    <row r="12634" spans="2:2" ht="15.95" customHeight="1">
      <c r="B12634" s="37"/>
    </row>
    <row r="12635" spans="2:2" ht="15.95" customHeight="1">
      <c r="B12635" s="37"/>
    </row>
    <row r="12636" spans="2:2" ht="15.95" customHeight="1">
      <c r="B12636" s="37"/>
    </row>
    <row r="12637" spans="2:2" ht="15.95" customHeight="1">
      <c r="B12637" s="37"/>
    </row>
    <row r="12638" spans="2:2" ht="15.95" customHeight="1">
      <c r="B12638" s="37"/>
    </row>
    <row r="12639" spans="2:2" ht="15.95" customHeight="1">
      <c r="B12639" s="37"/>
    </row>
    <row r="12640" spans="2:2" ht="15.95" customHeight="1">
      <c r="B12640" s="37"/>
    </row>
    <row r="12641" spans="2:2" ht="15.95" customHeight="1">
      <c r="B12641" s="37"/>
    </row>
    <row r="12642" spans="2:2" ht="15.95" customHeight="1">
      <c r="B12642" s="37"/>
    </row>
    <row r="12643" spans="2:2" ht="15.95" customHeight="1">
      <c r="B12643" s="37"/>
    </row>
    <row r="12644" spans="2:2" ht="15.95" customHeight="1">
      <c r="B12644" s="37"/>
    </row>
    <row r="12645" spans="2:2" ht="15.95" customHeight="1">
      <c r="B12645" s="37"/>
    </row>
    <row r="12646" spans="2:2" ht="15.95" customHeight="1">
      <c r="B12646" s="37"/>
    </row>
    <row r="12647" spans="2:2" ht="15.95" customHeight="1">
      <c r="B12647" s="37"/>
    </row>
    <row r="12648" spans="2:2" ht="15.95" customHeight="1">
      <c r="B12648" s="37"/>
    </row>
    <row r="12649" spans="2:2" ht="15.95" customHeight="1">
      <c r="B12649" s="37"/>
    </row>
    <row r="12650" spans="2:2" ht="15.95" customHeight="1">
      <c r="B12650" s="37"/>
    </row>
    <row r="12651" spans="2:2" ht="15.95" customHeight="1">
      <c r="B12651" s="37"/>
    </row>
    <row r="12652" spans="2:2" ht="15.95" customHeight="1">
      <c r="B12652" s="37"/>
    </row>
    <row r="12653" spans="2:2" ht="15.95" customHeight="1">
      <c r="B12653" s="37"/>
    </row>
    <row r="12654" spans="2:2" ht="15.95" customHeight="1">
      <c r="B12654" s="37"/>
    </row>
    <row r="12655" spans="2:2" ht="15.95" customHeight="1">
      <c r="B12655" s="37"/>
    </row>
    <row r="12656" spans="2:2" ht="15.95" customHeight="1">
      <c r="B12656" s="37"/>
    </row>
    <row r="12657" spans="2:2" ht="15.95" customHeight="1">
      <c r="B12657" s="37"/>
    </row>
    <row r="12658" spans="2:2" ht="15.95" customHeight="1">
      <c r="B12658" s="37"/>
    </row>
    <row r="12659" spans="2:2" ht="15.95" customHeight="1">
      <c r="B12659" s="37"/>
    </row>
    <row r="12660" spans="2:2" ht="15.95" customHeight="1">
      <c r="B12660" s="37"/>
    </row>
    <row r="12661" spans="2:2" ht="15.95" customHeight="1">
      <c r="B12661" s="37"/>
    </row>
    <row r="12662" spans="2:2" ht="15.95" customHeight="1">
      <c r="B12662" s="37"/>
    </row>
    <row r="12663" spans="2:2" ht="15.95" customHeight="1">
      <c r="B12663" s="37"/>
    </row>
    <row r="12664" spans="2:2" ht="15.95" customHeight="1">
      <c r="B12664" s="37"/>
    </row>
    <row r="12665" spans="2:2" ht="15.95" customHeight="1">
      <c r="B12665" s="37"/>
    </row>
    <row r="12666" spans="2:2" ht="15.95" customHeight="1">
      <c r="B12666" s="37"/>
    </row>
    <row r="12667" spans="2:2" ht="15.95" customHeight="1">
      <c r="B12667" s="37"/>
    </row>
    <row r="12668" spans="2:2" ht="15.95" customHeight="1">
      <c r="B12668" s="37"/>
    </row>
    <row r="12669" spans="2:2" ht="15.95" customHeight="1">
      <c r="B12669" s="37"/>
    </row>
    <row r="12670" spans="2:2" ht="15.95" customHeight="1">
      <c r="B12670" s="37"/>
    </row>
    <row r="12671" spans="2:2" ht="15.95" customHeight="1">
      <c r="B12671" s="37"/>
    </row>
    <row r="12672" spans="2:2" ht="15.95" customHeight="1">
      <c r="B12672" s="37"/>
    </row>
    <row r="12673" spans="2:2" ht="15.95" customHeight="1">
      <c r="B12673" s="37"/>
    </row>
    <row r="12674" spans="2:2" ht="15.95" customHeight="1">
      <c r="B12674" s="37"/>
    </row>
    <row r="12675" spans="2:2" ht="15.95" customHeight="1">
      <c r="B12675" s="37"/>
    </row>
    <row r="12676" spans="2:2" ht="15.95" customHeight="1">
      <c r="B12676" s="37"/>
    </row>
    <row r="12677" spans="2:2" ht="15.95" customHeight="1">
      <c r="B12677" s="37"/>
    </row>
    <row r="12678" spans="2:2" ht="15.95" customHeight="1">
      <c r="B12678" s="37"/>
    </row>
    <row r="12679" spans="2:2" ht="15.95" customHeight="1">
      <c r="B12679" s="37"/>
    </row>
    <row r="12680" spans="2:2" ht="15.95" customHeight="1">
      <c r="B12680" s="37"/>
    </row>
    <row r="12681" spans="2:2" ht="15.95" customHeight="1">
      <c r="B12681" s="37"/>
    </row>
    <row r="12682" spans="2:2" ht="15.95" customHeight="1">
      <c r="B12682" s="37"/>
    </row>
    <row r="12683" spans="2:2" ht="15.95" customHeight="1">
      <c r="B12683" s="37"/>
    </row>
    <row r="12684" spans="2:2" ht="15.95" customHeight="1">
      <c r="B12684" s="37"/>
    </row>
    <row r="12685" spans="2:2" ht="15.95" customHeight="1">
      <c r="B12685" s="37"/>
    </row>
    <row r="12686" spans="2:2" ht="15.95" customHeight="1">
      <c r="B12686" s="37"/>
    </row>
    <row r="12687" spans="2:2" ht="15.95" customHeight="1">
      <c r="B12687" s="37"/>
    </row>
    <row r="12688" spans="2:2" ht="15.95" customHeight="1">
      <c r="B12688" s="37"/>
    </row>
    <row r="12689" spans="2:2" ht="15.95" customHeight="1">
      <c r="B12689" s="37"/>
    </row>
    <row r="12690" spans="2:2" ht="15.95" customHeight="1">
      <c r="B12690" s="37"/>
    </row>
    <row r="12691" spans="2:2" ht="15.95" customHeight="1">
      <c r="B12691" s="37"/>
    </row>
    <row r="12692" spans="2:2" ht="15.95" customHeight="1">
      <c r="B12692" s="37"/>
    </row>
    <row r="12693" spans="2:2" ht="15.95" customHeight="1">
      <c r="B12693" s="37"/>
    </row>
    <row r="12694" spans="2:2" ht="15.95" customHeight="1">
      <c r="B12694" s="37"/>
    </row>
    <row r="12695" spans="2:2" ht="15.95" customHeight="1">
      <c r="B12695" s="37"/>
    </row>
    <row r="12696" spans="2:2" ht="15.95" customHeight="1">
      <c r="B12696" s="37"/>
    </row>
    <row r="12697" spans="2:2" ht="15.95" customHeight="1">
      <c r="B12697" s="37"/>
    </row>
    <row r="12698" spans="2:2" ht="15.95" customHeight="1">
      <c r="B12698" s="37"/>
    </row>
    <row r="12699" spans="2:2" ht="15.95" customHeight="1">
      <c r="B12699" s="37"/>
    </row>
    <row r="12700" spans="2:2" ht="15.95" customHeight="1">
      <c r="B12700" s="37"/>
    </row>
    <row r="12701" spans="2:2" ht="15.95" customHeight="1">
      <c r="B12701" s="37"/>
    </row>
    <row r="12702" spans="2:2" ht="15.95" customHeight="1">
      <c r="B12702" s="37"/>
    </row>
    <row r="12703" spans="2:2" ht="15.95" customHeight="1">
      <c r="B12703" s="37"/>
    </row>
    <row r="12704" spans="2:2" ht="15.95" customHeight="1">
      <c r="B12704" s="37"/>
    </row>
    <row r="12705" spans="2:2" ht="15.95" customHeight="1">
      <c r="B12705" s="37"/>
    </row>
    <row r="12706" spans="2:2" ht="15.95" customHeight="1">
      <c r="B12706" s="37"/>
    </row>
    <row r="12707" spans="2:2" ht="15.95" customHeight="1">
      <c r="B12707" s="37"/>
    </row>
    <row r="12708" spans="2:2" ht="15.95" customHeight="1">
      <c r="B12708" s="37"/>
    </row>
    <row r="12709" spans="2:2" ht="15.95" customHeight="1">
      <c r="B12709" s="37"/>
    </row>
    <row r="12710" spans="2:2" ht="15.95" customHeight="1">
      <c r="B12710" s="37"/>
    </row>
    <row r="12711" spans="2:2" ht="15.95" customHeight="1">
      <c r="B12711" s="37"/>
    </row>
    <row r="12712" spans="2:2" ht="15.95" customHeight="1">
      <c r="B12712" s="37"/>
    </row>
    <row r="12713" spans="2:2" ht="15.95" customHeight="1">
      <c r="B12713" s="37"/>
    </row>
    <row r="12714" spans="2:2" ht="15.95" customHeight="1">
      <c r="B12714" s="37"/>
    </row>
    <row r="12715" spans="2:2" ht="15.95" customHeight="1">
      <c r="B12715" s="37"/>
    </row>
    <row r="12716" spans="2:2" ht="15.95" customHeight="1">
      <c r="B12716" s="37"/>
    </row>
    <row r="12717" spans="2:2" ht="15.95" customHeight="1">
      <c r="B12717" s="37"/>
    </row>
    <row r="12718" spans="2:2" ht="15.95" customHeight="1">
      <c r="B12718" s="37"/>
    </row>
    <row r="12719" spans="2:2" ht="15.95" customHeight="1">
      <c r="B12719" s="37"/>
    </row>
    <row r="12720" spans="2:2" ht="15.95" customHeight="1">
      <c r="B12720" s="37"/>
    </row>
    <row r="12721" spans="2:2" ht="15.95" customHeight="1">
      <c r="B12721" s="37"/>
    </row>
    <row r="12722" spans="2:2" ht="15.95" customHeight="1">
      <c r="B12722" s="37"/>
    </row>
    <row r="12723" spans="2:2" ht="15.95" customHeight="1">
      <c r="B12723" s="37"/>
    </row>
    <row r="12724" spans="2:2" ht="15.95" customHeight="1">
      <c r="B12724" s="37"/>
    </row>
    <row r="12725" spans="2:2" ht="15.95" customHeight="1">
      <c r="B12725" s="37"/>
    </row>
    <row r="12726" spans="2:2" ht="15.95" customHeight="1">
      <c r="B12726" s="37"/>
    </row>
    <row r="12727" spans="2:2" ht="15.95" customHeight="1">
      <c r="B12727" s="37"/>
    </row>
    <row r="12728" spans="2:2" ht="15.95" customHeight="1">
      <c r="B12728" s="37"/>
    </row>
    <row r="12729" spans="2:2" ht="15.95" customHeight="1">
      <c r="B12729" s="37"/>
    </row>
    <row r="12730" spans="2:2" ht="15.95" customHeight="1">
      <c r="B12730" s="37"/>
    </row>
    <row r="12731" spans="2:2" ht="15.95" customHeight="1">
      <c r="B12731" s="37"/>
    </row>
    <row r="12732" spans="2:2" ht="15.95" customHeight="1">
      <c r="B12732" s="37"/>
    </row>
    <row r="12733" spans="2:2" ht="15.95" customHeight="1">
      <c r="B12733" s="37"/>
    </row>
    <row r="12734" spans="2:2" ht="15.95" customHeight="1">
      <c r="B12734" s="37"/>
    </row>
    <row r="12735" spans="2:2" ht="15.95" customHeight="1">
      <c r="B12735" s="37"/>
    </row>
    <row r="12736" spans="2:2" ht="15.95" customHeight="1">
      <c r="B12736" s="37"/>
    </row>
    <row r="12737" spans="2:2" ht="15.95" customHeight="1">
      <c r="B12737" s="37"/>
    </row>
    <row r="12738" spans="2:2" ht="15.95" customHeight="1">
      <c r="B12738" s="37"/>
    </row>
    <row r="12739" spans="2:2" ht="15.95" customHeight="1">
      <c r="B12739" s="37"/>
    </row>
    <row r="12740" spans="2:2" ht="15.95" customHeight="1">
      <c r="B12740" s="37"/>
    </row>
    <row r="12741" spans="2:2" ht="15.95" customHeight="1">
      <c r="B12741" s="37"/>
    </row>
    <row r="12742" spans="2:2" ht="15.95" customHeight="1">
      <c r="B12742" s="37"/>
    </row>
    <row r="12743" spans="2:2" ht="15.95" customHeight="1">
      <c r="B12743" s="37"/>
    </row>
    <row r="12744" spans="2:2" ht="15.95" customHeight="1">
      <c r="B12744" s="37"/>
    </row>
    <row r="12745" spans="2:2" ht="15.95" customHeight="1">
      <c r="B12745" s="37"/>
    </row>
    <row r="12746" spans="2:2" ht="15.95" customHeight="1">
      <c r="B12746" s="37"/>
    </row>
    <row r="12747" spans="2:2" ht="15.95" customHeight="1">
      <c r="B12747" s="37"/>
    </row>
    <row r="12748" spans="2:2" ht="15.95" customHeight="1">
      <c r="B12748" s="37"/>
    </row>
    <row r="12749" spans="2:2" ht="15.95" customHeight="1">
      <c r="B12749" s="37"/>
    </row>
    <row r="12750" spans="2:2" ht="15.95" customHeight="1">
      <c r="B12750" s="37"/>
    </row>
    <row r="12751" spans="2:2" ht="15.95" customHeight="1">
      <c r="B12751" s="37"/>
    </row>
    <row r="12752" spans="2:2" ht="15.95" customHeight="1">
      <c r="B12752" s="37"/>
    </row>
    <row r="12753" spans="2:2" ht="15.95" customHeight="1">
      <c r="B12753" s="37"/>
    </row>
    <row r="12754" spans="2:2" ht="15.95" customHeight="1">
      <c r="B12754" s="37"/>
    </row>
    <row r="12755" spans="2:2" ht="15.95" customHeight="1">
      <c r="B12755" s="37"/>
    </row>
    <row r="12756" spans="2:2" ht="15.95" customHeight="1">
      <c r="B12756" s="37"/>
    </row>
    <row r="12757" spans="2:2" ht="15.95" customHeight="1">
      <c r="B12757" s="37"/>
    </row>
    <row r="12758" spans="2:2" ht="15.95" customHeight="1">
      <c r="B12758" s="37"/>
    </row>
    <row r="12759" spans="2:2" ht="15.95" customHeight="1">
      <c r="B12759" s="37"/>
    </row>
    <row r="12760" spans="2:2" ht="15.95" customHeight="1">
      <c r="B12760" s="37"/>
    </row>
    <row r="12761" spans="2:2" ht="15.95" customHeight="1">
      <c r="B12761" s="37"/>
    </row>
    <row r="12762" spans="2:2" ht="15.95" customHeight="1">
      <c r="B12762" s="37"/>
    </row>
    <row r="12763" spans="2:2" ht="15.95" customHeight="1">
      <c r="B12763" s="37"/>
    </row>
    <row r="12764" spans="2:2" ht="15.95" customHeight="1">
      <c r="B12764" s="37"/>
    </row>
    <row r="12765" spans="2:2" ht="15.95" customHeight="1">
      <c r="B12765" s="37"/>
    </row>
    <row r="12766" spans="2:2" ht="15.95" customHeight="1">
      <c r="B12766" s="37"/>
    </row>
    <row r="12767" spans="2:2" ht="15.95" customHeight="1">
      <c r="B12767" s="37"/>
    </row>
    <row r="12768" spans="2:2" ht="15.95" customHeight="1">
      <c r="B12768" s="37"/>
    </row>
    <row r="12769" spans="2:2" ht="15.95" customHeight="1">
      <c r="B12769" s="37"/>
    </row>
    <row r="12770" spans="2:2" ht="15.95" customHeight="1">
      <c r="B12770" s="37"/>
    </row>
    <row r="12771" spans="2:2" ht="15.95" customHeight="1">
      <c r="B12771" s="37"/>
    </row>
    <row r="12772" spans="2:2" ht="15.95" customHeight="1">
      <c r="B12772" s="37"/>
    </row>
    <row r="12773" spans="2:2" ht="15.95" customHeight="1">
      <c r="B12773" s="37"/>
    </row>
    <row r="12774" spans="2:2" ht="15.95" customHeight="1">
      <c r="B12774" s="37"/>
    </row>
    <row r="12775" spans="2:2" ht="15.95" customHeight="1">
      <c r="B12775" s="37"/>
    </row>
    <row r="12776" spans="2:2" ht="15.95" customHeight="1">
      <c r="B12776" s="37"/>
    </row>
    <row r="12777" spans="2:2" ht="15.95" customHeight="1">
      <c r="B12777" s="37"/>
    </row>
    <row r="12778" spans="2:2" ht="15.95" customHeight="1">
      <c r="B12778" s="37"/>
    </row>
    <row r="12779" spans="2:2" ht="15.95" customHeight="1">
      <c r="B12779" s="37"/>
    </row>
    <row r="12780" spans="2:2" ht="15.95" customHeight="1">
      <c r="B12780" s="37"/>
    </row>
    <row r="12781" spans="2:2" ht="15.95" customHeight="1">
      <c r="B12781" s="37"/>
    </row>
    <row r="12782" spans="2:2" ht="15.95" customHeight="1">
      <c r="B12782" s="37"/>
    </row>
    <row r="12783" spans="2:2" ht="15.95" customHeight="1">
      <c r="B12783" s="37"/>
    </row>
    <row r="12784" spans="2:2" ht="15.95" customHeight="1">
      <c r="B12784" s="37"/>
    </row>
    <row r="12785" spans="2:2" ht="15.95" customHeight="1">
      <c r="B12785" s="37"/>
    </row>
    <row r="12786" spans="2:2" ht="15.95" customHeight="1">
      <c r="B12786" s="37"/>
    </row>
    <row r="12787" spans="2:2" ht="15.95" customHeight="1">
      <c r="B12787" s="37"/>
    </row>
    <row r="12788" spans="2:2" ht="15.95" customHeight="1">
      <c r="B12788" s="37"/>
    </row>
    <row r="12789" spans="2:2" ht="15.95" customHeight="1">
      <c r="B12789" s="37"/>
    </row>
    <row r="12790" spans="2:2" ht="15.95" customHeight="1">
      <c r="B12790" s="37"/>
    </row>
    <row r="12791" spans="2:2" ht="15.95" customHeight="1">
      <c r="B12791" s="37"/>
    </row>
    <row r="12792" spans="2:2" ht="15.95" customHeight="1">
      <c r="B12792" s="37"/>
    </row>
    <row r="12793" spans="2:2" ht="15.95" customHeight="1">
      <c r="B12793" s="37"/>
    </row>
    <row r="12794" spans="2:2" ht="15.95" customHeight="1">
      <c r="B12794" s="37"/>
    </row>
    <row r="12795" spans="2:2" ht="15.95" customHeight="1">
      <c r="B12795" s="37"/>
    </row>
    <row r="12796" spans="2:2" ht="15.95" customHeight="1">
      <c r="B12796" s="37"/>
    </row>
    <row r="12797" spans="2:2" ht="15.95" customHeight="1">
      <c r="B12797" s="37"/>
    </row>
    <row r="12798" spans="2:2" ht="15.95" customHeight="1">
      <c r="B12798" s="37"/>
    </row>
    <row r="12799" spans="2:2" ht="15.95" customHeight="1">
      <c r="B12799" s="37"/>
    </row>
    <row r="12800" spans="2:2" ht="15.95" customHeight="1">
      <c r="B12800" s="37"/>
    </row>
    <row r="12801" spans="2:2" ht="15.95" customHeight="1">
      <c r="B12801" s="37"/>
    </row>
    <row r="12802" spans="2:2" ht="15.95" customHeight="1">
      <c r="B12802" s="37"/>
    </row>
    <row r="12803" spans="2:2" ht="15.95" customHeight="1">
      <c r="B12803" s="37"/>
    </row>
    <row r="12804" spans="2:2" ht="15.95" customHeight="1">
      <c r="B12804" s="37"/>
    </row>
    <row r="12805" spans="2:2" ht="15.95" customHeight="1">
      <c r="B12805" s="37"/>
    </row>
    <row r="12806" spans="2:2" ht="15.95" customHeight="1">
      <c r="B12806" s="37"/>
    </row>
    <row r="12807" spans="2:2" ht="15.95" customHeight="1">
      <c r="B12807" s="37"/>
    </row>
    <row r="12808" spans="2:2" ht="15.95" customHeight="1">
      <c r="B12808" s="37"/>
    </row>
    <row r="12809" spans="2:2" ht="15.95" customHeight="1">
      <c r="B12809" s="37"/>
    </row>
    <row r="12810" spans="2:2" ht="15.95" customHeight="1">
      <c r="B12810" s="37"/>
    </row>
    <row r="12811" spans="2:2" ht="15.95" customHeight="1">
      <c r="B12811" s="37"/>
    </row>
    <row r="12812" spans="2:2" ht="15.95" customHeight="1">
      <c r="B12812" s="37"/>
    </row>
    <row r="12813" spans="2:2" ht="15.95" customHeight="1">
      <c r="B12813" s="37"/>
    </row>
    <row r="12814" spans="2:2" ht="15.95" customHeight="1">
      <c r="B12814" s="37"/>
    </row>
    <row r="12815" spans="2:2" ht="15.95" customHeight="1">
      <c r="B12815" s="37"/>
    </row>
    <row r="12816" spans="2:2" ht="15.95" customHeight="1">
      <c r="B12816" s="37"/>
    </row>
    <row r="12817" spans="2:2" ht="15.95" customHeight="1">
      <c r="B12817" s="37"/>
    </row>
    <row r="12818" spans="2:2" ht="15.95" customHeight="1">
      <c r="B12818" s="37"/>
    </row>
    <row r="12819" spans="2:2" ht="15.95" customHeight="1">
      <c r="B12819" s="37"/>
    </row>
    <row r="12820" spans="2:2" ht="15.95" customHeight="1">
      <c r="B12820" s="37"/>
    </row>
    <row r="12821" spans="2:2" ht="15.95" customHeight="1">
      <c r="B12821" s="37"/>
    </row>
    <row r="12822" spans="2:2" ht="15.95" customHeight="1">
      <c r="B12822" s="37"/>
    </row>
    <row r="12823" spans="2:2" ht="15.95" customHeight="1">
      <c r="B12823" s="37"/>
    </row>
    <row r="12824" spans="2:2" ht="15.95" customHeight="1">
      <c r="B12824" s="37"/>
    </row>
    <row r="12825" spans="2:2" ht="15.95" customHeight="1">
      <c r="B12825" s="37"/>
    </row>
    <row r="12826" spans="2:2" ht="15.95" customHeight="1">
      <c r="B12826" s="37"/>
    </row>
    <row r="12827" spans="2:2" ht="15.95" customHeight="1">
      <c r="B12827" s="37"/>
    </row>
    <row r="12828" spans="2:2" ht="15.95" customHeight="1">
      <c r="B12828" s="37"/>
    </row>
    <row r="12829" spans="2:2" ht="15.95" customHeight="1">
      <c r="B12829" s="37"/>
    </row>
    <row r="12830" spans="2:2" ht="15.95" customHeight="1">
      <c r="B12830" s="37"/>
    </row>
    <row r="12831" spans="2:2" ht="15.95" customHeight="1">
      <c r="B12831" s="37"/>
    </row>
    <row r="12832" spans="2:2" ht="15.95" customHeight="1">
      <c r="B12832" s="37"/>
    </row>
    <row r="12833" spans="2:2" ht="15.95" customHeight="1">
      <c r="B12833" s="37"/>
    </row>
    <row r="12834" spans="2:2" ht="15.95" customHeight="1">
      <c r="B12834" s="37"/>
    </row>
    <row r="12835" spans="2:2" ht="15.95" customHeight="1">
      <c r="B12835" s="37"/>
    </row>
    <row r="12836" spans="2:2" ht="15.95" customHeight="1">
      <c r="B12836" s="37"/>
    </row>
    <row r="12837" spans="2:2" ht="15.95" customHeight="1">
      <c r="B12837" s="37"/>
    </row>
    <row r="12838" spans="2:2" ht="15.95" customHeight="1">
      <c r="B12838" s="37"/>
    </row>
    <row r="12839" spans="2:2" ht="15.95" customHeight="1">
      <c r="B12839" s="37"/>
    </row>
    <row r="12840" spans="2:2" ht="15.95" customHeight="1">
      <c r="B12840" s="37"/>
    </row>
    <row r="12841" spans="2:2" ht="15.95" customHeight="1">
      <c r="B12841" s="37"/>
    </row>
    <row r="12842" spans="2:2" ht="15.95" customHeight="1">
      <c r="B12842" s="37"/>
    </row>
    <row r="12843" spans="2:2" ht="15.95" customHeight="1">
      <c r="B12843" s="37"/>
    </row>
    <row r="12844" spans="2:2" ht="15.95" customHeight="1">
      <c r="B12844" s="37"/>
    </row>
    <row r="12845" spans="2:2" ht="15.95" customHeight="1">
      <c r="B12845" s="37"/>
    </row>
    <row r="12846" spans="2:2" ht="15.95" customHeight="1">
      <c r="B12846" s="37"/>
    </row>
    <row r="12847" spans="2:2" ht="15.95" customHeight="1">
      <c r="B12847" s="37"/>
    </row>
    <row r="12848" spans="2:2" ht="15.95" customHeight="1">
      <c r="B12848" s="37"/>
    </row>
    <row r="12849" spans="2:2" ht="15.95" customHeight="1">
      <c r="B12849" s="37"/>
    </row>
    <row r="12850" spans="2:2" ht="15.95" customHeight="1">
      <c r="B12850" s="37"/>
    </row>
    <row r="12851" spans="2:2" ht="15.95" customHeight="1">
      <c r="B12851" s="37"/>
    </row>
    <row r="12852" spans="2:2" ht="15.95" customHeight="1">
      <c r="B12852" s="37"/>
    </row>
    <row r="12853" spans="2:2" ht="15.95" customHeight="1">
      <c r="B12853" s="37"/>
    </row>
    <row r="12854" spans="2:2" ht="15.95" customHeight="1">
      <c r="B12854" s="37"/>
    </row>
    <row r="12855" spans="2:2" ht="15.95" customHeight="1">
      <c r="B12855" s="37"/>
    </row>
    <row r="12856" spans="2:2" ht="15.95" customHeight="1">
      <c r="B12856" s="37"/>
    </row>
    <row r="12857" spans="2:2" ht="15.95" customHeight="1">
      <c r="B12857" s="37"/>
    </row>
    <row r="12858" spans="2:2" ht="15.95" customHeight="1">
      <c r="B12858" s="37"/>
    </row>
    <row r="12859" spans="2:2" ht="15.95" customHeight="1">
      <c r="B12859" s="37"/>
    </row>
    <row r="12860" spans="2:2" ht="15.95" customHeight="1">
      <c r="B12860" s="37"/>
    </row>
    <row r="12861" spans="2:2" ht="15.95" customHeight="1">
      <c r="B12861" s="37"/>
    </row>
    <row r="12862" spans="2:2" ht="15.95" customHeight="1">
      <c r="B12862" s="37"/>
    </row>
    <row r="12863" spans="2:2" ht="15.95" customHeight="1">
      <c r="B12863" s="37"/>
    </row>
    <row r="12864" spans="2:2" ht="15.95" customHeight="1">
      <c r="B12864" s="37"/>
    </row>
    <row r="12865" spans="2:2" ht="15.95" customHeight="1">
      <c r="B12865" s="37"/>
    </row>
    <row r="12866" spans="2:2" ht="15.95" customHeight="1">
      <c r="B12866" s="37"/>
    </row>
    <row r="12867" spans="2:2" ht="15.95" customHeight="1">
      <c r="B12867" s="37"/>
    </row>
    <row r="12868" spans="2:2" ht="15.95" customHeight="1">
      <c r="B12868" s="37"/>
    </row>
    <row r="12869" spans="2:2" ht="15.95" customHeight="1">
      <c r="B12869" s="37"/>
    </row>
    <row r="12870" spans="2:2" ht="15.95" customHeight="1">
      <c r="B12870" s="37"/>
    </row>
    <row r="12871" spans="2:2" ht="15.95" customHeight="1">
      <c r="B12871" s="37"/>
    </row>
    <row r="12872" spans="2:2" ht="15.95" customHeight="1">
      <c r="B12872" s="37"/>
    </row>
    <row r="12873" spans="2:2" ht="15.95" customHeight="1">
      <c r="B12873" s="37"/>
    </row>
    <row r="12874" spans="2:2" ht="15.95" customHeight="1">
      <c r="B12874" s="37"/>
    </row>
    <row r="12875" spans="2:2" ht="15.95" customHeight="1">
      <c r="B12875" s="37"/>
    </row>
    <row r="12876" spans="2:2" ht="15.95" customHeight="1">
      <c r="B12876" s="37"/>
    </row>
    <row r="12877" spans="2:2" ht="15.95" customHeight="1">
      <c r="B12877" s="37"/>
    </row>
    <row r="12878" spans="2:2" ht="15.95" customHeight="1">
      <c r="B12878" s="37"/>
    </row>
    <row r="12879" spans="2:2" ht="15.95" customHeight="1">
      <c r="B12879" s="37"/>
    </row>
    <row r="12880" spans="2:2" ht="15.95" customHeight="1">
      <c r="B12880" s="37"/>
    </row>
    <row r="12881" spans="2:2" ht="15.95" customHeight="1">
      <c r="B12881" s="37"/>
    </row>
    <row r="12882" spans="2:2" ht="15.95" customHeight="1">
      <c r="B12882" s="37"/>
    </row>
    <row r="12883" spans="2:2" ht="15.95" customHeight="1">
      <c r="B12883" s="37"/>
    </row>
    <row r="12884" spans="2:2" ht="15.95" customHeight="1">
      <c r="B12884" s="37"/>
    </row>
    <row r="12885" spans="2:2" ht="15.95" customHeight="1">
      <c r="B12885" s="37"/>
    </row>
    <row r="12886" spans="2:2" ht="15.95" customHeight="1">
      <c r="B12886" s="37"/>
    </row>
    <row r="12887" spans="2:2" ht="15.95" customHeight="1">
      <c r="B12887" s="37"/>
    </row>
    <row r="12888" spans="2:2" ht="15.95" customHeight="1">
      <c r="B12888" s="37"/>
    </row>
    <row r="12889" spans="2:2" ht="15.95" customHeight="1">
      <c r="B12889" s="37"/>
    </row>
    <row r="12890" spans="2:2" ht="15.95" customHeight="1">
      <c r="B12890" s="37"/>
    </row>
    <row r="12891" spans="2:2" ht="15.95" customHeight="1">
      <c r="B12891" s="37"/>
    </row>
    <row r="12892" spans="2:2" ht="15.95" customHeight="1">
      <c r="B12892" s="37"/>
    </row>
    <row r="12893" spans="2:2" ht="15.95" customHeight="1">
      <c r="B12893" s="37"/>
    </row>
    <row r="12894" spans="2:2" ht="15.95" customHeight="1">
      <c r="B12894" s="37"/>
    </row>
    <row r="12895" spans="2:2" ht="15.95" customHeight="1">
      <c r="B12895" s="37"/>
    </row>
    <row r="12896" spans="2:2" ht="15.95" customHeight="1">
      <c r="B12896" s="37"/>
    </row>
    <row r="12897" spans="2:2" ht="15.95" customHeight="1">
      <c r="B12897" s="37"/>
    </row>
    <row r="12898" spans="2:2" ht="15.95" customHeight="1">
      <c r="B12898" s="37"/>
    </row>
    <row r="12899" spans="2:2" ht="15.95" customHeight="1">
      <c r="B12899" s="37"/>
    </row>
    <row r="12900" spans="2:2" ht="15.95" customHeight="1">
      <c r="B12900" s="37"/>
    </row>
    <row r="12901" spans="2:2" ht="15.95" customHeight="1">
      <c r="B12901" s="37"/>
    </row>
    <row r="12902" spans="2:2" ht="15.95" customHeight="1">
      <c r="B12902" s="37"/>
    </row>
    <row r="12903" spans="2:2" ht="15.95" customHeight="1">
      <c r="B12903" s="37"/>
    </row>
    <row r="12904" spans="2:2" ht="15.95" customHeight="1">
      <c r="B12904" s="37"/>
    </row>
    <row r="12905" spans="2:2" ht="15.95" customHeight="1">
      <c r="B12905" s="37"/>
    </row>
    <row r="12906" spans="2:2" ht="15.95" customHeight="1">
      <c r="B12906" s="37"/>
    </row>
    <row r="12907" spans="2:2" ht="15.95" customHeight="1">
      <c r="B12907" s="37"/>
    </row>
    <row r="12908" spans="2:2" ht="15.95" customHeight="1">
      <c r="B12908" s="37"/>
    </row>
    <row r="12909" spans="2:2" ht="15.95" customHeight="1">
      <c r="B12909" s="37"/>
    </row>
    <row r="12910" spans="2:2" ht="15.95" customHeight="1">
      <c r="B12910" s="37"/>
    </row>
    <row r="12911" spans="2:2" ht="15.95" customHeight="1">
      <c r="B12911" s="37"/>
    </row>
    <row r="12912" spans="2:2" ht="15.95" customHeight="1">
      <c r="B12912" s="37"/>
    </row>
    <row r="12913" spans="2:2" ht="15.95" customHeight="1">
      <c r="B12913" s="37"/>
    </row>
    <row r="12914" spans="2:2" ht="15.95" customHeight="1">
      <c r="B12914" s="37"/>
    </row>
    <row r="12915" spans="2:2" ht="15.95" customHeight="1">
      <c r="B12915" s="37"/>
    </row>
    <row r="12916" spans="2:2" ht="15.95" customHeight="1">
      <c r="B12916" s="37"/>
    </row>
    <row r="12917" spans="2:2" ht="15.95" customHeight="1">
      <c r="B12917" s="37"/>
    </row>
    <row r="12918" spans="2:2" ht="15.95" customHeight="1">
      <c r="B12918" s="37"/>
    </row>
    <row r="12919" spans="2:2" ht="15.95" customHeight="1">
      <c r="B12919" s="37"/>
    </row>
    <row r="12920" spans="2:2" ht="15.95" customHeight="1">
      <c r="B12920" s="37"/>
    </row>
    <row r="12921" spans="2:2" ht="15.95" customHeight="1">
      <c r="B12921" s="37"/>
    </row>
    <row r="12922" spans="2:2" ht="15.95" customHeight="1">
      <c r="B12922" s="37"/>
    </row>
    <row r="12923" spans="2:2" ht="15.95" customHeight="1">
      <c r="B12923" s="37"/>
    </row>
    <row r="12924" spans="2:2" ht="15.95" customHeight="1">
      <c r="B12924" s="37"/>
    </row>
    <row r="12925" spans="2:2" ht="15.95" customHeight="1">
      <c r="B12925" s="37"/>
    </row>
    <row r="12926" spans="2:2" ht="15.95" customHeight="1">
      <c r="B12926" s="37"/>
    </row>
    <row r="12927" spans="2:2" ht="15.95" customHeight="1">
      <c r="B12927" s="37"/>
    </row>
    <row r="12928" spans="2:2" ht="15.95" customHeight="1">
      <c r="B12928" s="37"/>
    </row>
    <row r="12929" spans="2:2" ht="15.95" customHeight="1">
      <c r="B12929" s="37"/>
    </row>
    <row r="12930" spans="2:2" ht="15.95" customHeight="1">
      <c r="B12930" s="37"/>
    </row>
    <row r="12931" spans="2:2" ht="15.95" customHeight="1">
      <c r="B12931" s="37"/>
    </row>
    <row r="12932" spans="2:2" ht="15.95" customHeight="1">
      <c r="B12932" s="37"/>
    </row>
    <row r="12933" spans="2:2" ht="15.95" customHeight="1">
      <c r="B12933" s="37"/>
    </row>
    <row r="12934" spans="2:2" ht="15.95" customHeight="1">
      <c r="B12934" s="37"/>
    </row>
    <row r="12935" spans="2:2" ht="15.95" customHeight="1">
      <c r="B12935" s="37"/>
    </row>
    <row r="12936" spans="2:2" ht="15.95" customHeight="1">
      <c r="B12936" s="37"/>
    </row>
    <row r="12937" spans="2:2" ht="15.95" customHeight="1">
      <c r="B12937" s="37"/>
    </row>
    <row r="12938" spans="2:2" ht="15.95" customHeight="1">
      <c r="B12938" s="37"/>
    </row>
    <row r="12939" spans="2:2" ht="15.95" customHeight="1">
      <c r="B12939" s="37"/>
    </row>
    <row r="12940" spans="2:2" ht="15.95" customHeight="1">
      <c r="B12940" s="37"/>
    </row>
    <row r="12941" spans="2:2" ht="15.95" customHeight="1">
      <c r="B12941" s="37"/>
    </row>
    <row r="12942" spans="2:2" ht="15.95" customHeight="1">
      <c r="B12942" s="37"/>
    </row>
    <row r="12943" spans="2:2" ht="15.95" customHeight="1">
      <c r="B12943" s="37"/>
    </row>
    <row r="12944" spans="2:2" ht="15.95" customHeight="1">
      <c r="B12944" s="37"/>
    </row>
    <row r="12945" spans="2:2" ht="15.95" customHeight="1">
      <c r="B12945" s="37"/>
    </row>
    <row r="12946" spans="2:2" ht="15.95" customHeight="1">
      <c r="B12946" s="37"/>
    </row>
    <row r="12947" spans="2:2" ht="15.95" customHeight="1">
      <c r="B12947" s="37"/>
    </row>
    <row r="12948" spans="2:2" ht="15.95" customHeight="1">
      <c r="B12948" s="37"/>
    </row>
    <row r="12949" spans="2:2" ht="15.95" customHeight="1">
      <c r="B12949" s="37"/>
    </row>
    <row r="12950" spans="2:2" ht="15.95" customHeight="1">
      <c r="B12950" s="37"/>
    </row>
    <row r="12951" spans="2:2" ht="15.95" customHeight="1">
      <c r="B12951" s="37"/>
    </row>
    <row r="12952" spans="2:2" ht="15.95" customHeight="1">
      <c r="B12952" s="37"/>
    </row>
    <row r="12953" spans="2:2" ht="15.95" customHeight="1">
      <c r="B12953" s="37"/>
    </row>
    <row r="12954" spans="2:2" ht="15.95" customHeight="1">
      <c r="B12954" s="37"/>
    </row>
    <row r="12955" spans="2:2" ht="15.95" customHeight="1">
      <c r="B12955" s="37"/>
    </row>
    <row r="12956" spans="2:2" ht="15.95" customHeight="1">
      <c r="B12956" s="37"/>
    </row>
    <row r="12957" spans="2:2" ht="15.95" customHeight="1">
      <c r="B12957" s="37"/>
    </row>
    <row r="12958" spans="2:2" ht="15.95" customHeight="1">
      <c r="B12958" s="37"/>
    </row>
    <row r="12959" spans="2:2" ht="15.95" customHeight="1">
      <c r="B12959" s="37"/>
    </row>
    <row r="12960" spans="2:2" ht="15.95" customHeight="1">
      <c r="B12960" s="37"/>
    </row>
    <row r="12961" spans="2:2" ht="15.95" customHeight="1">
      <c r="B12961" s="37"/>
    </row>
    <row r="12962" spans="2:2" ht="15.95" customHeight="1">
      <c r="B12962" s="37"/>
    </row>
    <row r="12963" spans="2:2" ht="15.95" customHeight="1">
      <c r="B12963" s="37"/>
    </row>
    <row r="12964" spans="2:2" ht="15.95" customHeight="1">
      <c r="B12964" s="37"/>
    </row>
    <row r="12965" spans="2:2" ht="15.95" customHeight="1">
      <c r="B12965" s="37"/>
    </row>
    <row r="12966" spans="2:2" ht="15.95" customHeight="1">
      <c r="B12966" s="37"/>
    </row>
    <row r="12967" spans="2:2" ht="15.95" customHeight="1">
      <c r="B12967" s="37"/>
    </row>
    <row r="12968" spans="2:2" ht="15.95" customHeight="1">
      <c r="B12968" s="37"/>
    </row>
    <row r="12969" spans="2:2" ht="15.95" customHeight="1">
      <c r="B12969" s="37"/>
    </row>
    <row r="12970" spans="2:2" ht="15.95" customHeight="1">
      <c r="B12970" s="37"/>
    </row>
    <row r="12971" spans="2:2" ht="15.95" customHeight="1">
      <c r="B12971" s="37"/>
    </row>
    <row r="12972" spans="2:2" ht="15.95" customHeight="1">
      <c r="B12972" s="37"/>
    </row>
    <row r="12973" spans="2:2" ht="15.95" customHeight="1">
      <c r="B12973" s="37"/>
    </row>
    <row r="12974" spans="2:2" ht="15.95" customHeight="1">
      <c r="B12974" s="37"/>
    </row>
    <row r="12975" spans="2:2" ht="15.95" customHeight="1">
      <c r="B12975" s="37"/>
    </row>
    <row r="12976" spans="2:2" ht="15.95" customHeight="1">
      <c r="B12976" s="37"/>
    </row>
    <row r="12977" spans="2:2" ht="15.95" customHeight="1">
      <c r="B12977" s="37"/>
    </row>
    <row r="12978" spans="2:2" ht="15.95" customHeight="1">
      <c r="B12978" s="37"/>
    </row>
    <row r="12979" spans="2:2" ht="15.95" customHeight="1">
      <c r="B12979" s="37"/>
    </row>
    <row r="12980" spans="2:2" ht="15.95" customHeight="1">
      <c r="B12980" s="37"/>
    </row>
    <row r="12981" spans="2:2" ht="15.95" customHeight="1">
      <c r="B12981" s="37"/>
    </row>
    <row r="12982" spans="2:2" ht="15.95" customHeight="1">
      <c r="B12982" s="37"/>
    </row>
    <row r="12983" spans="2:2" ht="15.95" customHeight="1">
      <c r="B12983" s="37"/>
    </row>
    <row r="12984" spans="2:2" ht="15.95" customHeight="1">
      <c r="B12984" s="37"/>
    </row>
    <row r="12985" spans="2:2" ht="15.95" customHeight="1">
      <c r="B12985" s="37"/>
    </row>
    <row r="12986" spans="2:2" ht="15.95" customHeight="1">
      <c r="B12986" s="37"/>
    </row>
    <row r="12987" spans="2:2" ht="15.95" customHeight="1">
      <c r="B12987" s="37"/>
    </row>
    <row r="12988" spans="2:2" ht="15.95" customHeight="1">
      <c r="B12988" s="37"/>
    </row>
    <row r="12989" spans="2:2" ht="15.95" customHeight="1">
      <c r="B12989" s="37"/>
    </row>
    <row r="12990" spans="2:2" ht="15.95" customHeight="1">
      <c r="B12990" s="37"/>
    </row>
    <row r="12991" spans="2:2" ht="15.95" customHeight="1">
      <c r="B12991" s="37"/>
    </row>
    <row r="12992" spans="2:2" ht="15.95" customHeight="1">
      <c r="B12992" s="37"/>
    </row>
    <row r="12993" spans="2:2" ht="15.95" customHeight="1">
      <c r="B12993" s="37"/>
    </row>
    <row r="12994" spans="2:2" ht="15.95" customHeight="1">
      <c r="B12994" s="37"/>
    </row>
    <row r="12995" spans="2:2" ht="15.95" customHeight="1">
      <c r="B12995" s="37"/>
    </row>
    <row r="12996" spans="2:2" ht="15.95" customHeight="1">
      <c r="B12996" s="37"/>
    </row>
    <row r="12997" spans="2:2" ht="15.95" customHeight="1">
      <c r="B12997" s="37"/>
    </row>
    <row r="12998" spans="2:2" ht="15.95" customHeight="1">
      <c r="B12998" s="37"/>
    </row>
    <row r="12999" spans="2:2" ht="15.95" customHeight="1">
      <c r="B12999" s="37"/>
    </row>
    <row r="13000" spans="2:2" ht="15.95" customHeight="1">
      <c r="B13000" s="37"/>
    </row>
    <row r="13001" spans="2:2" ht="15.95" customHeight="1">
      <c r="B13001" s="37"/>
    </row>
    <row r="13002" spans="2:2" ht="15.95" customHeight="1">
      <c r="B13002" s="37"/>
    </row>
    <row r="13003" spans="2:2" ht="15.95" customHeight="1">
      <c r="B13003" s="37"/>
    </row>
    <row r="13004" spans="2:2" ht="15.95" customHeight="1">
      <c r="B13004" s="37"/>
    </row>
    <row r="13005" spans="2:2" ht="15.95" customHeight="1">
      <c r="B13005" s="37"/>
    </row>
    <row r="13006" spans="2:2" ht="15.95" customHeight="1">
      <c r="B13006" s="37"/>
    </row>
    <row r="13007" spans="2:2" ht="15.95" customHeight="1">
      <c r="B13007" s="37"/>
    </row>
    <row r="13008" spans="2:2" ht="15.95" customHeight="1">
      <c r="B13008" s="37"/>
    </row>
    <row r="13009" spans="2:2" ht="15.95" customHeight="1">
      <c r="B13009" s="37"/>
    </row>
    <row r="13010" spans="2:2" ht="15.95" customHeight="1">
      <c r="B13010" s="37"/>
    </row>
    <row r="13011" spans="2:2" ht="15.95" customHeight="1">
      <c r="B13011" s="37"/>
    </row>
    <row r="13012" spans="2:2" ht="15.95" customHeight="1">
      <c r="B13012" s="37"/>
    </row>
    <row r="13013" spans="2:2" ht="15.95" customHeight="1">
      <c r="B13013" s="37"/>
    </row>
    <row r="13014" spans="2:2" ht="15.95" customHeight="1">
      <c r="B13014" s="37"/>
    </row>
    <row r="13015" spans="2:2" ht="15.95" customHeight="1">
      <c r="B13015" s="37"/>
    </row>
    <row r="13016" spans="2:2" ht="15.95" customHeight="1">
      <c r="B13016" s="37"/>
    </row>
    <row r="13017" spans="2:2" ht="15.95" customHeight="1">
      <c r="B13017" s="37"/>
    </row>
    <row r="13018" spans="2:2" ht="15.95" customHeight="1">
      <c r="B13018" s="37"/>
    </row>
    <row r="13019" spans="2:2" ht="15.95" customHeight="1">
      <c r="B13019" s="37"/>
    </row>
    <row r="13020" spans="2:2" ht="15.95" customHeight="1">
      <c r="B13020" s="37"/>
    </row>
    <row r="13021" spans="2:2" ht="15.95" customHeight="1">
      <c r="B13021" s="37"/>
    </row>
    <row r="13022" spans="2:2" ht="15.95" customHeight="1">
      <c r="B13022" s="37"/>
    </row>
    <row r="13023" spans="2:2" ht="15.95" customHeight="1">
      <c r="B13023" s="37"/>
    </row>
    <row r="13024" spans="2:2" ht="15.95" customHeight="1">
      <c r="B13024" s="37"/>
    </row>
    <row r="13025" spans="2:2" ht="15.95" customHeight="1">
      <c r="B13025" s="37"/>
    </row>
    <row r="13026" spans="2:2" ht="15.95" customHeight="1">
      <c r="B13026" s="37"/>
    </row>
    <row r="13027" spans="2:2" ht="15.95" customHeight="1">
      <c r="B13027" s="37"/>
    </row>
    <row r="13028" spans="2:2" ht="15.95" customHeight="1">
      <c r="B13028" s="37"/>
    </row>
    <row r="13029" spans="2:2" ht="15.95" customHeight="1">
      <c r="B13029" s="37"/>
    </row>
    <row r="13030" spans="2:2" ht="15.95" customHeight="1">
      <c r="B13030" s="37"/>
    </row>
    <row r="13031" spans="2:2" ht="15.95" customHeight="1">
      <c r="B13031" s="37"/>
    </row>
    <row r="13032" spans="2:2" ht="15.95" customHeight="1">
      <c r="B13032" s="37"/>
    </row>
    <row r="13033" spans="2:2" ht="15.95" customHeight="1">
      <c r="B13033" s="37"/>
    </row>
    <row r="13034" spans="2:2" ht="15.95" customHeight="1">
      <c r="B13034" s="37"/>
    </row>
    <row r="13035" spans="2:2" ht="15.95" customHeight="1">
      <c r="B13035" s="37"/>
    </row>
    <row r="13036" spans="2:2" ht="15.95" customHeight="1">
      <c r="B13036" s="37"/>
    </row>
    <row r="13037" spans="2:2" ht="15.95" customHeight="1">
      <c r="B13037" s="37"/>
    </row>
    <row r="13038" spans="2:2" ht="15.95" customHeight="1">
      <c r="B13038" s="37"/>
    </row>
    <row r="13039" spans="2:2" ht="15.95" customHeight="1">
      <c r="B13039" s="37"/>
    </row>
    <row r="13040" spans="2:2" ht="15.95" customHeight="1">
      <c r="B13040" s="37"/>
    </row>
    <row r="13041" spans="2:2" ht="15.95" customHeight="1">
      <c r="B13041" s="37"/>
    </row>
    <row r="13042" spans="2:2" ht="15.95" customHeight="1">
      <c r="B13042" s="37"/>
    </row>
    <row r="13043" spans="2:2" ht="15.95" customHeight="1">
      <c r="B13043" s="37"/>
    </row>
    <row r="13044" spans="2:2" ht="15.95" customHeight="1">
      <c r="B13044" s="37"/>
    </row>
    <row r="13045" spans="2:2" ht="15.95" customHeight="1">
      <c r="B13045" s="37"/>
    </row>
    <row r="13046" spans="2:2" ht="15.95" customHeight="1">
      <c r="B13046" s="37"/>
    </row>
    <row r="13047" spans="2:2" ht="15.95" customHeight="1">
      <c r="B13047" s="37"/>
    </row>
    <row r="13048" spans="2:2" ht="15.95" customHeight="1">
      <c r="B13048" s="37"/>
    </row>
    <row r="13049" spans="2:2" ht="15.95" customHeight="1">
      <c r="B13049" s="37"/>
    </row>
    <row r="13050" spans="2:2" ht="15.95" customHeight="1">
      <c r="B13050" s="37"/>
    </row>
    <row r="13051" spans="2:2" ht="15.95" customHeight="1">
      <c r="B13051" s="37"/>
    </row>
    <row r="13052" spans="2:2" ht="15.95" customHeight="1">
      <c r="B13052" s="37"/>
    </row>
    <row r="13053" spans="2:2" ht="15.95" customHeight="1">
      <c r="B13053" s="37"/>
    </row>
    <row r="13054" spans="2:2" ht="15.95" customHeight="1">
      <c r="B13054" s="37"/>
    </row>
    <row r="13055" spans="2:2" ht="15.95" customHeight="1">
      <c r="B13055" s="37"/>
    </row>
    <row r="13056" spans="2:2" ht="15.95" customHeight="1">
      <c r="B13056" s="37"/>
    </row>
    <row r="13057" spans="2:2" ht="15.95" customHeight="1">
      <c r="B13057" s="37"/>
    </row>
    <row r="13058" spans="2:2" ht="15.95" customHeight="1">
      <c r="B13058" s="37"/>
    </row>
    <row r="13059" spans="2:2" ht="15.95" customHeight="1">
      <c r="B13059" s="37"/>
    </row>
    <row r="13060" spans="2:2" ht="15.95" customHeight="1">
      <c r="B13060" s="37"/>
    </row>
    <row r="13061" spans="2:2" ht="15.95" customHeight="1">
      <c r="B13061" s="37"/>
    </row>
    <row r="13062" spans="2:2" ht="15.95" customHeight="1">
      <c r="B13062" s="37"/>
    </row>
    <row r="13063" spans="2:2" ht="15.95" customHeight="1">
      <c r="B13063" s="37"/>
    </row>
    <row r="13064" spans="2:2" ht="15.95" customHeight="1">
      <c r="B13064" s="37"/>
    </row>
    <row r="13065" spans="2:2" ht="15.95" customHeight="1">
      <c r="B13065" s="37"/>
    </row>
    <row r="13066" spans="2:2" ht="15.95" customHeight="1">
      <c r="B13066" s="37"/>
    </row>
    <row r="13067" spans="2:2" ht="15.95" customHeight="1">
      <c r="B13067" s="37"/>
    </row>
    <row r="13068" spans="2:2" ht="15.95" customHeight="1">
      <c r="B13068" s="37"/>
    </row>
    <row r="13069" spans="2:2" ht="15.95" customHeight="1">
      <c r="B13069" s="37"/>
    </row>
    <row r="13070" spans="2:2" ht="15.95" customHeight="1">
      <c r="B13070" s="37"/>
    </row>
    <row r="13071" spans="2:2" ht="15.95" customHeight="1">
      <c r="B13071" s="37"/>
    </row>
    <row r="13072" spans="2:2" ht="15.95" customHeight="1">
      <c r="B13072" s="37"/>
    </row>
    <row r="13073" spans="2:2" ht="15.95" customHeight="1">
      <c r="B13073" s="37"/>
    </row>
    <row r="13074" spans="2:2" ht="15.95" customHeight="1">
      <c r="B13074" s="37"/>
    </row>
    <row r="13075" spans="2:2" ht="15.95" customHeight="1">
      <c r="B13075" s="37"/>
    </row>
    <row r="13076" spans="2:2" ht="15.95" customHeight="1">
      <c r="B13076" s="37"/>
    </row>
    <row r="13077" spans="2:2" ht="15.95" customHeight="1">
      <c r="B13077" s="37"/>
    </row>
    <row r="13078" spans="2:2" ht="15.95" customHeight="1">
      <c r="B13078" s="37"/>
    </row>
    <row r="13079" spans="2:2" ht="15.95" customHeight="1">
      <c r="B13079" s="37"/>
    </row>
    <row r="13080" spans="2:2" ht="15.95" customHeight="1">
      <c r="B13080" s="37"/>
    </row>
    <row r="13081" spans="2:2" ht="15.95" customHeight="1">
      <c r="B13081" s="37"/>
    </row>
    <row r="13082" spans="2:2" ht="15.95" customHeight="1">
      <c r="B13082" s="37"/>
    </row>
    <row r="13083" spans="2:2" ht="15.95" customHeight="1">
      <c r="B13083" s="37"/>
    </row>
    <row r="13084" spans="2:2" ht="15.95" customHeight="1">
      <c r="B13084" s="37"/>
    </row>
    <row r="13085" spans="2:2" ht="15.95" customHeight="1">
      <c r="B13085" s="37"/>
    </row>
    <row r="13086" spans="2:2" ht="15.95" customHeight="1">
      <c r="B13086" s="37"/>
    </row>
    <row r="13087" spans="2:2" ht="15.95" customHeight="1">
      <c r="B13087" s="37"/>
    </row>
    <row r="13088" spans="2:2" ht="15.95" customHeight="1">
      <c r="B13088" s="37"/>
    </row>
    <row r="13089" spans="2:2" ht="15.95" customHeight="1">
      <c r="B13089" s="37"/>
    </row>
    <row r="13090" spans="2:2" ht="15.95" customHeight="1">
      <c r="B13090" s="37"/>
    </row>
    <row r="13091" spans="2:2" ht="15.95" customHeight="1">
      <c r="B13091" s="37"/>
    </row>
    <row r="13092" spans="2:2" ht="15.95" customHeight="1">
      <c r="B13092" s="37"/>
    </row>
    <row r="13093" spans="2:2" ht="15.95" customHeight="1">
      <c r="B13093" s="37"/>
    </row>
    <row r="13094" spans="2:2" ht="15.95" customHeight="1">
      <c r="B13094" s="37"/>
    </row>
    <row r="13095" spans="2:2" ht="15.95" customHeight="1">
      <c r="B13095" s="37"/>
    </row>
    <row r="13096" spans="2:2" ht="15.95" customHeight="1">
      <c r="B13096" s="37"/>
    </row>
    <row r="13097" spans="2:2" ht="15.95" customHeight="1">
      <c r="B13097" s="37"/>
    </row>
    <row r="13098" spans="2:2" ht="15.95" customHeight="1">
      <c r="B13098" s="37"/>
    </row>
    <row r="13099" spans="2:2" ht="15.95" customHeight="1">
      <c r="B13099" s="37"/>
    </row>
    <row r="13100" spans="2:2" ht="15.95" customHeight="1">
      <c r="B13100" s="37"/>
    </row>
    <row r="13101" spans="2:2" ht="15.95" customHeight="1">
      <c r="B13101" s="37"/>
    </row>
    <row r="13102" spans="2:2" ht="15.95" customHeight="1">
      <c r="B13102" s="37"/>
    </row>
    <row r="13103" spans="2:2" ht="15.95" customHeight="1">
      <c r="B13103" s="37"/>
    </row>
    <row r="13104" spans="2:2" ht="15.95" customHeight="1">
      <c r="B13104" s="37"/>
    </row>
    <row r="13105" spans="2:2" ht="15.95" customHeight="1">
      <c r="B13105" s="37"/>
    </row>
    <row r="13106" spans="2:2" ht="15.95" customHeight="1">
      <c r="B13106" s="37"/>
    </row>
    <row r="13107" spans="2:2" ht="15.95" customHeight="1">
      <c r="B13107" s="37"/>
    </row>
    <row r="13108" spans="2:2" ht="15.95" customHeight="1">
      <c r="B13108" s="37"/>
    </row>
    <row r="13109" spans="2:2" ht="15.95" customHeight="1">
      <c r="B13109" s="37"/>
    </row>
    <row r="13110" spans="2:2" ht="15.95" customHeight="1">
      <c r="B13110" s="37"/>
    </row>
    <row r="13111" spans="2:2" ht="15.95" customHeight="1">
      <c r="B13111" s="37"/>
    </row>
    <row r="13112" spans="2:2" ht="15.95" customHeight="1">
      <c r="B13112" s="37"/>
    </row>
    <row r="13113" spans="2:2" ht="15.95" customHeight="1">
      <c r="B13113" s="37"/>
    </row>
    <row r="13114" spans="2:2" ht="15.95" customHeight="1">
      <c r="B13114" s="37"/>
    </row>
    <row r="13115" spans="2:2" ht="15.95" customHeight="1">
      <c r="B13115" s="37"/>
    </row>
    <row r="13116" spans="2:2" ht="15.95" customHeight="1">
      <c r="B13116" s="37"/>
    </row>
    <row r="13117" spans="2:2" ht="15.95" customHeight="1">
      <c r="B13117" s="37"/>
    </row>
    <row r="13118" spans="2:2" ht="15.95" customHeight="1">
      <c r="B13118" s="37"/>
    </row>
    <row r="13119" spans="2:2" ht="15.95" customHeight="1">
      <c r="B13119" s="37"/>
    </row>
    <row r="13120" spans="2:2" ht="15.95" customHeight="1">
      <c r="B13120" s="37"/>
    </row>
    <row r="13121" spans="2:2" ht="15.95" customHeight="1">
      <c r="B13121" s="37"/>
    </row>
    <row r="13122" spans="2:2" ht="15.95" customHeight="1">
      <c r="B13122" s="37"/>
    </row>
    <row r="13123" spans="2:2" ht="15.95" customHeight="1">
      <c r="B13123" s="37"/>
    </row>
    <row r="13124" spans="2:2" ht="15.95" customHeight="1">
      <c r="B13124" s="37"/>
    </row>
    <row r="13125" spans="2:2" ht="15.95" customHeight="1">
      <c r="B13125" s="37"/>
    </row>
    <row r="13126" spans="2:2" ht="15.95" customHeight="1">
      <c r="B13126" s="37"/>
    </row>
    <row r="13127" spans="2:2" ht="15.95" customHeight="1">
      <c r="B13127" s="37"/>
    </row>
    <row r="13128" spans="2:2" ht="15.95" customHeight="1">
      <c r="B13128" s="37"/>
    </row>
    <row r="13129" spans="2:2" ht="15.95" customHeight="1">
      <c r="B13129" s="37"/>
    </row>
    <row r="13130" spans="2:2" ht="15.95" customHeight="1">
      <c r="B13130" s="37"/>
    </row>
    <row r="13131" spans="2:2" ht="15.95" customHeight="1">
      <c r="B13131" s="37"/>
    </row>
    <row r="13132" spans="2:2" ht="15.95" customHeight="1">
      <c r="B13132" s="37"/>
    </row>
    <row r="13133" spans="2:2" ht="15.95" customHeight="1">
      <c r="B13133" s="37"/>
    </row>
    <row r="13134" spans="2:2" ht="15.95" customHeight="1">
      <c r="B13134" s="37"/>
    </row>
    <row r="13135" spans="2:2" ht="15.95" customHeight="1">
      <c r="B13135" s="37"/>
    </row>
    <row r="13136" spans="2:2" ht="15.95" customHeight="1">
      <c r="B13136" s="37"/>
    </row>
    <row r="13137" spans="2:2" ht="15.95" customHeight="1">
      <c r="B13137" s="37"/>
    </row>
    <row r="13138" spans="2:2" ht="15.95" customHeight="1">
      <c r="B13138" s="37"/>
    </row>
    <row r="13139" spans="2:2" ht="15.95" customHeight="1">
      <c r="B13139" s="37"/>
    </row>
    <row r="13140" spans="2:2" ht="15.95" customHeight="1">
      <c r="B13140" s="37"/>
    </row>
    <row r="13141" spans="2:2" ht="15.95" customHeight="1">
      <c r="B13141" s="37"/>
    </row>
    <row r="13142" spans="2:2" ht="15.95" customHeight="1">
      <c r="B13142" s="37"/>
    </row>
    <row r="13143" spans="2:2" ht="15.95" customHeight="1">
      <c r="B13143" s="37"/>
    </row>
    <row r="13144" spans="2:2" ht="15.95" customHeight="1">
      <c r="B13144" s="37"/>
    </row>
    <row r="13145" spans="2:2" ht="15.95" customHeight="1">
      <c r="B13145" s="37"/>
    </row>
    <row r="13146" spans="2:2" ht="15.95" customHeight="1">
      <c r="B13146" s="37"/>
    </row>
    <row r="13147" spans="2:2" ht="15.95" customHeight="1">
      <c r="B13147" s="37"/>
    </row>
    <row r="13148" spans="2:2" ht="15.95" customHeight="1">
      <c r="B13148" s="37"/>
    </row>
    <row r="13149" spans="2:2" ht="15.95" customHeight="1">
      <c r="B13149" s="37"/>
    </row>
    <row r="13150" spans="2:2" ht="15.95" customHeight="1">
      <c r="B13150" s="37"/>
    </row>
    <row r="13151" spans="2:2" ht="15.95" customHeight="1">
      <c r="B13151" s="37"/>
    </row>
    <row r="13152" spans="2:2" ht="15.95" customHeight="1">
      <c r="B13152" s="37"/>
    </row>
    <row r="13153" spans="2:2" ht="15.95" customHeight="1">
      <c r="B13153" s="37"/>
    </row>
    <row r="13154" spans="2:2" ht="15.95" customHeight="1">
      <c r="B13154" s="37"/>
    </row>
    <row r="13155" spans="2:2" ht="15.95" customHeight="1">
      <c r="B13155" s="37"/>
    </row>
    <row r="13156" spans="2:2" ht="15.95" customHeight="1">
      <c r="B13156" s="37"/>
    </row>
    <row r="13157" spans="2:2" ht="15.95" customHeight="1">
      <c r="B13157" s="37"/>
    </row>
    <row r="13158" spans="2:2" ht="15.95" customHeight="1">
      <c r="B13158" s="37"/>
    </row>
    <row r="13159" spans="2:2" ht="15.95" customHeight="1">
      <c r="B13159" s="37"/>
    </row>
    <row r="13160" spans="2:2" ht="15.95" customHeight="1">
      <c r="B13160" s="37"/>
    </row>
    <row r="13161" spans="2:2" ht="15.95" customHeight="1">
      <c r="B13161" s="37"/>
    </row>
    <row r="13162" spans="2:2" ht="15.95" customHeight="1">
      <c r="B13162" s="37"/>
    </row>
    <row r="13163" spans="2:2" ht="15.95" customHeight="1">
      <c r="B13163" s="37"/>
    </row>
    <row r="13164" spans="2:2" ht="15.95" customHeight="1">
      <c r="B13164" s="37"/>
    </row>
    <row r="13165" spans="2:2" ht="15.95" customHeight="1">
      <c r="B13165" s="37"/>
    </row>
    <row r="13166" spans="2:2" ht="15.95" customHeight="1">
      <c r="B13166" s="37"/>
    </row>
    <row r="13167" spans="2:2" ht="15.95" customHeight="1">
      <c r="B13167" s="37"/>
    </row>
    <row r="13168" spans="2:2" ht="15.95" customHeight="1">
      <c r="B13168" s="37"/>
    </row>
    <row r="13169" spans="2:2" ht="15.95" customHeight="1">
      <c r="B13169" s="37"/>
    </row>
    <row r="13170" spans="2:2" ht="15.95" customHeight="1">
      <c r="B13170" s="37"/>
    </row>
    <row r="13171" spans="2:2" ht="15.95" customHeight="1">
      <c r="B13171" s="37"/>
    </row>
    <row r="13172" spans="2:2" ht="15.95" customHeight="1">
      <c r="B13172" s="37"/>
    </row>
    <row r="13173" spans="2:2" ht="15.95" customHeight="1">
      <c r="B13173" s="37"/>
    </row>
    <row r="13174" spans="2:2" ht="15.95" customHeight="1">
      <c r="B13174" s="37"/>
    </row>
    <row r="13175" spans="2:2" ht="15.95" customHeight="1">
      <c r="B13175" s="37"/>
    </row>
    <row r="13176" spans="2:2" ht="15.95" customHeight="1">
      <c r="B13176" s="37"/>
    </row>
    <row r="13177" spans="2:2" ht="15.95" customHeight="1">
      <c r="B13177" s="37"/>
    </row>
    <row r="13178" spans="2:2" ht="15.95" customHeight="1">
      <c r="B13178" s="37"/>
    </row>
    <row r="13179" spans="2:2" ht="15.95" customHeight="1">
      <c r="B13179" s="37"/>
    </row>
    <row r="13180" spans="2:2" ht="15.95" customHeight="1">
      <c r="B13180" s="37"/>
    </row>
    <row r="13181" spans="2:2" ht="15.95" customHeight="1">
      <c r="B13181" s="37"/>
    </row>
    <row r="13182" spans="2:2" ht="15.95" customHeight="1">
      <c r="B13182" s="37"/>
    </row>
    <row r="13183" spans="2:2" ht="15.95" customHeight="1">
      <c r="B13183" s="37"/>
    </row>
    <row r="13184" spans="2:2" ht="15.95" customHeight="1">
      <c r="B13184" s="37"/>
    </row>
    <row r="13185" spans="2:2" ht="15.95" customHeight="1">
      <c r="B13185" s="37"/>
    </row>
    <row r="13186" spans="2:2" ht="15.95" customHeight="1">
      <c r="B13186" s="37"/>
    </row>
    <row r="13187" spans="2:2" ht="15.95" customHeight="1">
      <c r="B13187" s="37"/>
    </row>
    <row r="13188" spans="2:2" ht="15.95" customHeight="1">
      <c r="B13188" s="37"/>
    </row>
    <row r="13189" spans="2:2" ht="15.95" customHeight="1">
      <c r="B13189" s="37"/>
    </row>
    <row r="13190" spans="2:2" ht="15.95" customHeight="1">
      <c r="B13190" s="37"/>
    </row>
    <row r="13191" spans="2:2" ht="15.95" customHeight="1">
      <c r="B13191" s="37"/>
    </row>
    <row r="13192" spans="2:2" ht="15.95" customHeight="1">
      <c r="B13192" s="37"/>
    </row>
    <row r="13193" spans="2:2" ht="15.95" customHeight="1">
      <c r="B13193" s="37"/>
    </row>
    <row r="13194" spans="2:2" ht="15.95" customHeight="1">
      <c r="B13194" s="37"/>
    </row>
    <row r="13195" spans="2:2" ht="15.95" customHeight="1">
      <c r="B13195" s="37"/>
    </row>
    <row r="13196" spans="2:2" ht="15.95" customHeight="1">
      <c r="B13196" s="37"/>
    </row>
    <row r="13197" spans="2:2" ht="15.95" customHeight="1">
      <c r="B13197" s="37"/>
    </row>
    <row r="13198" spans="2:2" ht="15.95" customHeight="1">
      <c r="B13198" s="37"/>
    </row>
    <row r="13199" spans="2:2" ht="15.95" customHeight="1">
      <c r="B13199" s="37"/>
    </row>
    <row r="13200" spans="2:2" ht="15.95" customHeight="1">
      <c r="B13200" s="37"/>
    </row>
    <row r="13201" spans="2:2" ht="15.95" customHeight="1">
      <c r="B13201" s="37"/>
    </row>
    <row r="13202" spans="2:2" ht="15.95" customHeight="1">
      <c r="B13202" s="37"/>
    </row>
    <row r="13203" spans="2:2" ht="15.95" customHeight="1">
      <c r="B13203" s="37"/>
    </row>
    <row r="13204" spans="2:2" ht="15.95" customHeight="1">
      <c r="B13204" s="37"/>
    </row>
    <row r="13205" spans="2:2" ht="15.95" customHeight="1">
      <c r="B13205" s="37"/>
    </row>
    <row r="13206" spans="2:2" ht="15.95" customHeight="1">
      <c r="B13206" s="37"/>
    </row>
    <row r="13207" spans="2:2" ht="15.95" customHeight="1">
      <c r="B13207" s="37"/>
    </row>
    <row r="13208" spans="2:2" ht="15.95" customHeight="1">
      <c r="B13208" s="37"/>
    </row>
    <row r="13209" spans="2:2" ht="15.95" customHeight="1">
      <c r="B13209" s="37"/>
    </row>
    <row r="13210" spans="2:2" ht="15.95" customHeight="1">
      <c r="B13210" s="37"/>
    </row>
    <row r="13211" spans="2:2" ht="15.95" customHeight="1">
      <c r="B13211" s="37"/>
    </row>
    <row r="13212" spans="2:2" ht="15.95" customHeight="1">
      <c r="B13212" s="37"/>
    </row>
    <row r="13213" spans="2:2" ht="15.95" customHeight="1">
      <c r="B13213" s="37"/>
    </row>
    <row r="13214" spans="2:2" ht="15.95" customHeight="1">
      <c r="B13214" s="37"/>
    </row>
    <row r="13215" spans="2:2" ht="15.95" customHeight="1">
      <c r="B13215" s="37"/>
    </row>
    <row r="13216" spans="2:2" ht="15.95" customHeight="1">
      <c r="B13216" s="37"/>
    </row>
    <row r="13217" spans="2:2" ht="15.95" customHeight="1">
      <c r="B13217" s="37"/>
    </row>
    <row r="13218" spans="2:2" ht="15.95" customHeight="1">
      <c r="B13218" s="37"/>
    </row>
    <row r="13219" spans="2:2" ht="15.95" customHeight="1">
      <c r="B13219" s="37"/>
    </row>
    <row r="13220" spans="2:2" ht="15.95" customHeight="1">
      <c r="B13220" s="37"/>
    </row>
    <row r="13221" spans="2:2" ht="15.95" customHeight="1">
      <c r="B13221" s="37"/>
    </row>
    <row r="13222" spans="2:2" ht="15.95" customHeight="1">
      <c r="B13222" s="37"/>
    </row>
    <row r="13223" spans="2:2" ht="15.95" customHeight="1">
      <c r="B13223" s="37"/>
    </row>
    <row r="13224" spans="2:2" ht="15.95" customHeight="1">
      <c r="B13224" s="37"/>
    </row>
    <row r="13225" spans="2:2" ht="15.95" customHeight="1">
      <c r="B13225" s="37"/>
    </row>
    <row r="13226" spans="2:2" ht="15.95" customHeight="1">
      <c r="B13226" s="37"/>
    </row>
    <row r="13227" spans="2:2" ht="15.95" customHeight="1">
      <c r="B13227" s="37"/>
    </row>
    <row r="13228" spans="2:2" ht="15.95" customHeight="1">
      <c r="B13228" s="37"/>
    </row>
    <row r="13229" spans="2:2" ht="15.95" customHeight="1">
      <c r="B13229" s="37"/>
    </row>
    <row r="13230" spans="2:2" ht="15.95" customHeight="1">
      <c r="B13230" s="37"/>
    </row>
    <row r="13231" spans="2:2" ht="15.95" customHeight="1">
      <c r="B13231" s="37"/>
    </row>
    <row r="13232" spans="2:2" ht="15.95" customHeight="1">
      <c r="B13232" s="37"/>
    </row>
    <row r="13233" spans="2:2" ht="15.95" customHeight="1">
      <c r="B13233" s="37"/>
    </row>
    <row r="13234" spans="2:2" ht="15.95" customHeight="1">
      <c r="B13234" s="37"/>
    </row>
    <row r="13235" spans="2:2" ht="15.95" customHeight="1">
      <c r="B13235" s="37"/>
    </row>
    <row r="13236" spans="2:2" ht="15.95" customHeight="1">
      <c r="B13236" s="37"/>
    </row>
    <row r="13237" spans="2:2" ht="15.95" customHeight="1">
      <c r="B13237" s="37"/>
    </row>
    <row r="13238" spans="2:2" ht="15.95" customHeight="1">
      <c r="B13238" s="37"/>
    </row>
    <row r="13239" spans="2:2" ht="15.95" customHeight="1">
      <c r="B13239" s="37"/>
    </row>
    <row r="13240" spans="2:2" ht="15.95" customHeight="1">
      <c r="B13240" s="37"/>
    </row>
    <row r="13241" spans="2:2" ht="15.95" customHeight="1">
      <c r="B13241" s="37"/>
    </row>
    <row r="13242" spans="2:2" ht="15.95" customHeight="1">
      <c r="B13242" s="37"/>
    </row>
    <row r="13243" spans="2:2" ht="15.95" customHeight="1">
      <c r="B13243" s="37"/>
    </row>
    <row r="13244" spans="2:2" ht="15.95" customHeight="1">
      <c r="B13244" s="37"/>
    </row>
    <row r="13245" spans="2:2" ht="15.95" customHeight="1">
      <c r="B13245" s="37"/>
    </row>
    <row r="13246" spans="2:2" ht="15.95" customHeight="1">
      <c r="B13246" s="37"/>
    </row>
    <row r="13247" spans="2:2" ht="15.95" customHeight="1">
      <c r="B13247" s="37"/>
    </row>
    <row r="13248" spans="2:2" ht="15.95" customHeight="1">
      <c r="B13248" s="37"/>
    </row>
    <row r="13249" spans="2:2" ht="15.95" customHeight="1">
      <c r="B13249" s="37"/>
    </row>
    <row r="13250" spans="2:2" ht="15.95" customHeight="1">
      <c r="B13250" s="37"/>
    </row>
    <row r="13251" spans="2:2" ht="15.95" customHeight="1">
      <c r="B13251" s="37"/>
    </row>
    <row r="13252" spans="2:2" ht="15.95" customHeight="1">
      <c r="B13252" s="37"/>
    </row>
    <row r="13253" spans="2:2" ht="15.95" customHeight="1">
      <c r="B13253" s="37"/>
    </row>
    <row r="13254" spans="2:2" ht="15.95" customHeight="1">
      <c r="B13254" s="37"/>
    </row>
    <row r="13255" spans="2:2" ht="15.95" customHeight="1">
      <c r="B13255" s="37"/>
    </row>
    <row r="13256" spans="2:2" ht="15.95" customHeight="1">
      <c r="B13256" s="37"/>
    </row>
    <row r="13257" spans="2:2" ht="15.95" customHeight="1">
      <c r="B13257" s="37"/>
    </row>
    <row r="13258" spans="2:2" ht="15.95" customHeight="1">
      <c r="B13258" s="37"/>
    </row>
    <row r="13259" spans="2:2" ht="15.95" customHeight="1">
      <c r="B13259" s="37"/>
    </row>
    <row r="13260" spans="2:2" ht="15.95" customHeight="1">
      <c r="B13260" s="37"/>
    </row>
    <row r="13261" spans="2:2" ht="15.95" customHeight="1">
      <c r="B13261" s="37"/>
    </row>
    <row r="13262" spans="2:2" ht="15.95" customHeight="1">
      <c r="B13262" s="37"/>
    </row>
    <row r="13263" spans="2:2" ht="15.95" customHeight="1">
      <c r="B13263" s="37"/>
    </row>
    <row r="13264" spans="2:2" ht="15.95" customHeight="1">
      <c r="B13264" s="37"/>
    </row>
    <row r="13265" spans="2:2" ht="15.95" customHeight="1">
      <c r="B13265" s="37"/>
    </row>
    <row r="13266" spans="2:2" ht="15.95" customHeight="1">
      <c r="B13266" s="37"/>
    </row>
    <row r="13267" spans="2:2" ht="15.95" customHeight="1">
      <c r="B13267" s="37"/>
    </row>
    <row r="13268" spans="2:2" ht="15.95" customHeight="1">
      <c r="B13268" s="37"/>
    </row>
    <row r="13269" spans="2:2" ht="15.95" customHeight="1">
      <c r="B13269" s="37"/>
    </row>
    <row r="13270" spans="2:2" ht="15.95" customHeight="1">
      <c r="B13270" s="37"/>
    </row>
    <row r="13271" spans="2:2" ht="15.95" customHeight="1">
      <c r="B13271" s="37"/>
    </row>
    <row r="13272" spans="2:2" ht="15.95" customHeight="1">
      <c r="B13272" s="37"/>
    </row>
    <row r="13273" spans="2:2" ht="15.95" customHeight="1">
      <c r="B13273" s="37"/>
    </row>
    <row r="13274" spans="2:2" ht="15.95" customHeight="1">
      <c r="B13274" s="37"/>
    </row>
    <row r="13275" spans="2:2" ht="15.95" customHeight="1">
      <c r="B13275" s="37"/>
    </row>
    <row r="13276" spans="2:2" ht="15.95" customHeight="1">
      <c r="B13276" s="37"/>
    </row>
    <row r="13277" spans="2:2" ht="15.95" customHeight="1">
      <c r="B13277" s="37"/>
    </row>
    <row r="13278" spans="2:2" ht="15.95" customHeight="1">
      <c r="B13278" s="37"/>
    </row>
    <row r="13279" spans="2:2" ht="15.95" customHeight="1">
      <c r="B13279" s="37"/>
    </row>
    <row r="13280" spans="2:2" ht="15.95" customHeight="1">
      <c r="B13280" s="37"/>
    </row>
    <row r="13281" spans="2:2" ht="15.95" customHeight="1">
      <c r="B13281" s="37"/>
    </row>
    <row r="13282" spans="2:2" ht="15.95" customHeight="1">
      <c r="B13282" s="37"/>
    </row>
    <row r="13283" spans="2:2" ht="15.95" customHeight="1">
      <c r="B13283" s="37"/>
    </row>
    <row r="13284" spans="2:2" ht="15.95" customHeight="1">
      <c r="B13284" s="37"/>
    </row>
    <row r="13285" spans="2:2" ht="15.95" customHeight="1">
      <c r="B13285" s="37"/>
    </row>
    <row r="13286" spans="2:2" ht="15.95" customHeight="1">
      <c r="B13286" s="37"/>
    </row>
    <row r="13287" spans="2:2" ht="15.95" customHeight="1">
      <c r="B13287" s="37"/>
    </row>
    <row r="13288" spans="2:2" ht="15.95" customHeight="1">
      <c r="B13288" s="37"/>
    </row>
    <row r="13289" spans="2:2" ht="15.95" customHeight="1">
      <c r="B13289" s="37"/>
    </row>
    <row r="13290" spans="2:2" ht="15.95" customHeight="1">
      <c r="B13290" s="37"/>
    </row>
    <row r="13291" spans="2:2" ht="15.95" customHeight="1">
      <c r="B13291" s="37"/>
    </row>
    <row r="13292" spans="2:2" ht="15.95" customHeight="1">
      <c r="B13292" s="37"/>
    </row>
    <row r="13293" spans="2:2" ht="15.95" customHeight="1">
      <c r="B13293" s="37"/>
    </row>
    <row r="13294" spans="2:2" ht="15.95" customHeight="1">
      <c r="B13294" s="37"/>
    </row>
    <row r="13295" spans="2:2" ht="15.95" customHeight="1">
      <c r="B13295" s="37"/>
    </row>
    <row r="13296" spans="2:2" ht="15.95" customHeight="1">
      <c r="B13296" s="37"/>
    </row>
    <row r="13297" spans="2:2" ht="15.95" customHeight="1">
      <c r="B13297" s="37"/>
    </row>
    <row r="13298" spans="2:2" ht="15.95" customHeight="1">
      <c r="B13298" s="37"/>
    </row>
    <row r="13299" spans="2:2" ht="15.95" customHeight="1">
      <c r="B13299" s="37"/>
    </row>
    <row r="13300" spans="2:2" ht="15.95" customHeight="1">
      <c r="B13300" s="37"/>
    </row>
    <row r="13301" spans="2:2" ht="15.95" customHeight="1">
      <c r="B13301" s="37"/>
    </row>
    <row r="13302" spans="2:2" ht="15.95" customHeight="1">
      <c r="B13302" s="37"/>
    </row>
    <row r="13303" spans="2:2" ht="15.95" customHeight="1">
      <c r="B13303" s="37"/>
    </row>
    <row r="13304" spans="2:2" ht="15.95" customHeight="1">
      <c r="B13304" s="37"/>
    </row>
    <row r="13305" spans="2:2" ht="15.95" customHeight="1">
      <c r="B13305" s="37"/>
    </row>
    <row r="13306" spans="2:2" ht="15.95" customHeight="1">
      <c r="B13306" s="37"/>
    </row>
    <row r="13307" spans="2:2" ht="15.95" customHeight="1">
      <c r="B13307" s="37"/>
    </row>
    <row r="13308" spans="2:2" ht="15.95" customHeight="1">
      <c r="B13308" s="37"/>
    </row>
    <row r="13309" spans="2:2" ht="15.95" customHeight="1">
      <c r="B13309" s="37"/>
    </row>
    <row r="13310" spans="2:2" ht="15.95" customHeight="1">
      <c r="B13310" s="37"/>
    </row>
    <row r="13311" spans="2:2" ht="15.95" customHeight="1">
      <c r="B13311" s="37"/>
    </row>
    <row r="13312" spans="2:2" ht="15.95" customHeight="1">
      <c r="B13312" s="37"/>
    </row>
    <row r="13313" spans="2:2" ht="15.95" customHeight="1">
      <c r="B13313" s="37"/>
    </row>
    <row r="13314" spans="2:2" ht="15.95" customHeight="1">
      <c r="B13314" s="37"/>
    </row>
    <row r="13315" spans="2:2" ht="15.95" customHeight="1">
      <c r="B13315" s="37"/>
    </row>
    <row r="13316" spans="2:2" ht="15.95" customHeight="1">
      <c r="B13316" s="37"/>
    </row>
    <row r="13317" spans="2:2" ht="15.95" customHeight="1">
      <c r="B13317" s="37"/>
    </row>
    <row r="13318" spans="2:2" ht="15.95" customHeight="1">
      <c r="B13318" s="37"/>
    </row>
    <row r="13319" spans="2:2" ht="15.95" customHeight="1">
      <c r="B13319" s="37"/>
    </row>
    <row r="13320" spans="2:2" ht="15.95" customHeight="1">
      <c r="B13320" s="37"/>
    </row>
    <row r="13321" spans="2:2" ht="15.95" customHeight="1">
      <c r="B13321" s="37"/>
    </row>
    <row r="13322" spans="2:2" ht="15.95" customHeight="1">
      <c r="B13322" s="37"/>
    </row>
    <row r="13323" spans="2:2" ht="15.95" customHeight="1">
      <c r="B13323" s="37"/>
    </row>
    <row r="13324" spans="2:2" ht="15.95" customHeight="1">
      <c r="B13324" s="37"/>
    </row>
    <row r="13325" spans="2:2" ht="15.95" customHeight="1">
      <c r="B13325" s="37"/>
    </row>
    <row r="13326" spans="2:2" ht="15.95" customHeight="1">
      <c r="B13326" s="37"/>
    </row>
    <row r="13327" spans="2:2" ht="15.95" customHeight="1">
      <c r="B13327" s="37"/>
    </row>
    <row r="13328" spans="2:2" ht="15.95" customHeight="1">
      <c r="B13328" s="37"/>
    </row>
    <row r="13329" spans="2:2" ht="15.95" customHeight="1">
      <c r="B13329" s="37"/>
    </row>
    <row r="13330" spans="2:2" ht="15.95" customHeight="1">
      <c r="B13330" s="37"/>
    </row>
    <row r="13331" spans="2:2" ht="15.95" customHeight="1">
      <c r="B13331" s="37"/>
    </row>
    <row r="13332" spans="2:2" ht="15.95" customHeight="1">
      <c r="B13332" s="37"/>
    </row>
    <row r="13333" spans="2:2" ht="15.95" customHeight="1">
      <c r="B13333" s="37"/>
    </row>
    <row r="13334" spans="2:2" ht="15.95" customHeight="1">
      <c r="B13334" s="37"/>
    </row>
    <row r="13335" spans="2:2" ht="15.95" customHeight="1">
      <c r="B13335" s="37"/>
    </row>
    <row r="13336" spans="2:2" ht="15.95" customHeight="1">
      <c r="B13336" s="37"/>
    </row>
    <row r="13337" spans="2:2" ht="15.95" customHeight="1">
      <c r="B13337" s="37"/>
    </row>
    <row r="13338" spans="2:2" ht="15.95" customHeight="1">
      <c r="B13338" s="37"/>
    </row>
    <row r="13339" spans="2:2" ht="15.95" customHeight="1">
      <c r="B13339" s="37"/>
    </row>
    <row r="13340" spans="2:2" ht="15.95" customHeight="1">
      <c r="B13340" s="37"/>
    </row>
    <row r="13341" spans="2:2" ht="15.95" customHeight="1">
      <c r="B13341" s="37"/>
    </row>
    <row r="13342" spans="2:2" ht="15.95" customHeight="1">
      <c r="B13342" s="37"/>
    </row>
    <row r="13343" spans="2:2" ht="15.95" customHeight="1">
      <c r="B13343" s="37"/>
    </row>
    <row r="13344" spans="2:2" ht="15.95" customHeight="1">
      <c r="B13344" s="37"/>
    </row>
    <row r="13345" spans="2:2" ht="15.95" customHeight="1">
      <c r="B13345" s="37"/>
    </row>
    <row r="13346" spans="2:2" ht="15.95" customHeight="1">
      <c r="B13346" s="37"/>
    </row>
    <row r="13347" spans="2:2" ht="15.95" customHeight="1">
      <c r="B13347" s="37"/>
    </row>
    <row r="13348" spans="2:2" ht="15.95" customHeight="1">
      <c r="B13348" s="37"/>
    </row>
    <row r="13349" spans="2:2" ht="15.95" customHeight="1">
      <c r="B13349" s="37"/>
    </row>
    <row r="13350" spans="2:2" ht="15.95" customHeight="1">
      <c r="B13350" s="37"/>
    </row>
    <row r="13351" spans="2:2" ht="15.95" customHeight="1">
      <c r="B13351" s="37"/>
    </row>
    <row r="13352" spans="2:2" ht="15.95" customHeight="1">
      <c r="B13352" s="37"/>
    </row>
    <row r="13353" spans="2:2" ht="15.95" customHeight="1">
      <c r="B13353" s="37"/>
    </row>
    <row r="13354" spans="2:2" ht="15.95" customHeight="1">
      <c r="B13354" s="37"/>
    </row>
    <row r="13355" spans="2:2" ht="15.95" customHeight="1">
      <c r="B13355" s="37"/>
    </row>
    <row r="13356" spans="2:2" ht="15.95" customHeight="1">
      <c r="B13356" s="37"/>
    </row>
    <row r="13357" spans="2:2" ht="15.95" customHeight="1">
      <c r="B13357" s="37"/>
    </row>
    <row r="13358" spans="2:2" ht="15.95" customHeight="1">
      <c r="B13358" s="37"/>
    </row>
    <row r="13359" spans="2:2" ht="15.95" customHeight="1">
      <c r="B13359" s="37"/>
    </row>
    <row r="13360" spans="2:2" ht="15.95" customHeight="1">
      <c r="B13360" s="37"/>
    </row>
    <row r="13361" spans="2:2" ht="15.95" customHeight="1">
      <c r="B13361" s="37"/>
    </row>
    <row r="13362" spans="2:2" ht="15.95" customHeight="1">
      <c r="B13362" s="37"/>
    </row>
    <row r="13363" spans="2:2" ht="15.95" customHeight="1">
      <c r="B13363" s="37"/>
    </row>
    <row r="13364" spans="2:2" ht="15.95" customHeight="1">
      <c r="B13364" s="37"/>
    </row>
    <row r="13365" spans="2:2" ht="15.95" customHeight="1">
      <c r="B13365" s="37"/>
    </row>
    <row r="13366" spans="2:2" ht="15.95" customHeight="1">
      <c r="B13366" s="37"/>
    </row>
    <row r="13367" spans="2:2" ht="15.95" customHeight="1">
      <c r="B13367" s="37"/>
    </row>
    <row r="13368" spans="2:2" ht="15.95" customHeight="1">
      <c r="B13368" s="37"/>
    </row>
    <row r="13369" spans="2:2" ht="15.95" customHeight="1">
      <c r="B13369" s="37"/>
    </row>
    <row r="13370" spans="2:2" ht="15.95" customHeight="1">
      <c r="B13370" s="37"/>
    </row>
    <row r="13371" spans="2:2" ht="15.95" customHeight="1">
      <c r="B13371" s="37"/>
    </row>
    <row r="13372" spans="2:2" ht="15.95" customHeight="1">
      <c r="B13372" s="37"/>
    </row>
    <row r="13373" spans="2:2" ht="15.95" customHeight="1">
      <c r="B13373" s="37"/>
    </row>
    <row r="13374" spans="2:2" ht="15.95" customHeight="1">
      <c r="B13374" s="37"/>
    </row>
    <row r="13375" spans="2:2" ht="15.95" customHeight="1">
      <c r="B13375" s="37"/>
    </row>
    <row r="13376" spans="2:2" ht="15.95" customHeight="1">
      <c r="B13376" s="37"/>
    </row>
    <row r="13377" spans="2:2" ht="15.95" customHeight="1">
      <c r="B13377" s="37"/>
    </row>
    <row r="13378" spans="2:2" ht="15.95" customHeight="1">
      <c r="B13378" s="37"/>
    </row>
    <row r="13379" spans="2:2" ht="15.95" customHeight="1">
      <c r="B13379" s="37"/>
    </row>
    <row r="13380" spans="2:2" ht="15.95" customHeight="1">
      <c r="B13380" s="37"/>
    </row>
    <row r="13381" spans="2:2" ht="15.95" customHeight="1">
      <c r="B13381" s="37"/>
    </row>
    <row r="13382" spans="2:2" ht="15.95" customHeight="1">
      <c r="B13382" s="37"/>
    </row>
    <row r="13383" spans="2:2" ht="15.95" customHeight="1">
      <c r="B13383" s="37"/>
    </row>
    <row r="13384" spans="2:2" ht="15.95" customHeight="1">
      <c r="B13384" s="37"/>
    </row>
    <row r="13385" spans="2:2" ht="15.95" customHeight="1">
      <c r="B13385" s="37"/>
    </row>
    <row r="13386" spans="2:2" ht="15.95" customHeight="1">
      <c r="B13386" s="37"/>
    </row>
    <row r="13387" spans="2:2" ht="15.95" customHeight="1">
      <c r="B13387" s="37"/>
    </row>
    <row r="13388" spans="2:2" ht="15.95" customHeight="1">
      <c r="B13388" s="37"/>
    </row>
    <row r="13389" spans="2:2" ht="15.95" customHeight="1">
      <c r="B13389" s="37"/>
    </row>
    <row r="13390" spans="2:2" ht="15.95" customHeight="1">
      <c r="B13390" s="37"/>
    </row>
    <row r="13391" spans="2:2" ht="15.95" customHeight="1">
      <c r="B13391" s="37"/>
    </row>
    <row r="13392" spans="2:2" ht="15.95" customHeight="1">
      <c r="B13392" s="37"/>
    </row>
    <row r="13393" spans="2:2" ht="15.95" customHeight="1">
      <c r="B13393" s="37"/>
    </row>
    <row r="13394" spans="2:2" ht="15.95" customHeight="1">
      <c r="B13394" s="37"/>
    </row>
    <row r="13395" spans="2:2" ht="15.95" customHeight="1">
      <c r="B13395" s="37"/>
    </row>
    <row r="13396" spans="2:2" ht="15.95" customHeight="1">
      <c r="B13396" s="37"/>
    </row>
    <row r="13397" spans="2:2" ht="15.95" customHeight="1">
      <c r="B13397" s="37"/>
    </row>
    <row r="13398" spans="2:2" ht="15.95" customHeight="1">
      <c r="B13398" s="37"/>
    </row>
    <row r="13399" spans="2:2" ht="15.95" customHeight="1">
      <c r="B13399" s="37"/>
    </row>
    <row r="13400" spans="2:2" ht="15.95" customHeight="1">
      <c r="B13400" s="37"/>
    </row>
    <row r="13401" spans="2:2" ht="15.95" customHeight="1">
      <c r="B13401" s="37"/>
    </row>
    <row r="13402" spans="2:2" ht="15.95" customHeight="1">
      <c r="B13402" s="37"/>
    </row>
    <row r="13403" spans="2:2" ht="15.95" customHeight="1">
      <c r="B13403" s="37"/>
    </row>
    <row r="13404" spans="2:2" ht="15.95" customHeight="1">
      <c r="B13404" s="37"/>
    </row>
    <row r="13405" spans="2:2" ht="15.95" customHeight="1">
      <c r="B13405" s="37"/>
    </row>
    <row r="13406" spans="2:2" ht="15.95" customHeight="1">
      <c r="B13406" s="37"/>
    </row>
    <row r="13407" spans="2:2" ht="15.95" customHeight="1">
      <c r="B13407" s="37"/>
    </row>
    <row r="13408" spans="2:2" ht="15.95" customHeight="1">
      <c r="B13408" s="37"/>
    </row>
    <row r="13409" spans="2:2" ht="15.95" customHeight="1">
      <c r="B13409" s="37"/>
    </row>
    <row r="13410" spans="2:2" ht="15.95" customHeight="1">
      <c r="B13410" s="37"/>
    </row>
    <row r="13411" spans="2:2" ht="15.95" customHeight="1">
      <c r="B13411" s="37"/>
    </row>
    <row r="13412" spans="2:2" ht="15.95" customHeight="1">
      <c r="B13412" s="37"/>
    </row>
    <row r="13413" spans="2:2" ht="15.95" customHeight="1">
      <c r="B13413" s="37"/>
    </row>
    <row r="13414" spans="2:2" ht="15.95" customHeight="1">
      <c r="B13414" s="37"/>
    </row>
    <row r="13415" spans="2:2" ht="15.95" customHeight="1">
      <c r="B13415" s="37"/>
    </row>
    <row r="13416" spans="2:2" ht="15.95" customHeight="1">
      <c r="B13416" s="37"/>
    </row>
    <row r="13417" spans="2:2" ht="15.95" customHeight="1">
      <c r="B13417" s="37"/>
    </row>
    <row r="13418" spans="2:2" ht="15.95" customHeight="1">
      <c r="B13418" s="37"/>
    </row>
    <row r="13419" spans="2:2" ht="15.95" customHeight="1">
      <c r="B13419" s="37"/>
    </row>
    <row r="13420" spans="2:2" ht="15.95" customHeight="1">
      <c r="B13420" s="37"/>
    </row>
    <row r="13421" spans="2:2" ht="15.95" customHeight="1">
      <c r="B13421" s="37"/>
    </row>
    <row r="13422" spans="2:2" ht="15.95" customHeight="1">
      <c r="B13422" s="37"/>
    </row>
    <row r="13423" spans="2:2" ht="15.95" customHeight="1">
      <c r="B13423" s="37"/>
    </row>
    <row r="13424" spans="2:2" ht="15.95" customHeight="1">
      <c r="B13424" s="37"/>
    </row>
    <row r="13425" spans="2:2" ht="15.95" customHeight="1">
      <c r="B13425" s="37"/>
    </row>
    <row r="13426" spans="2:2" ht="15.95" customHeight="1">
      <c r="B13426" s="37"/>
    </row>
    <row r="13427" spans="2:2" ht="15.95" customHeight="1">
      <c r="B13427" s="37"/>
    </row>
    <row r="13428" spans="2:2" ht="15.95" customHeight="1">
      <c r="B13428" s="37"/>
    </row>
    <row r="13429" spans="2:2" ht="15.95" customHeight="1">
      <c r="B13429" s="37"/>
    </row>
    <row r="13430" spans="2:2" ht="15.95" customHeight="1">
      <c r="B13430" s="37"/>
    </row>
    <row r="13431" spans="2:2" ht="15.95" customHeight="1">
      <c r="B13431" s="37"/>
    </row>
    <row r="13432" spans="2:2" ht="15.95" customHeight="1">
      <c r="B13432" s="37"/>
    </row>
    <row r="13433" spans="2:2" ht="15.95" customHeight="1">
      <c r="B13433" s="37"/>
    </row>
    <row r="13434" spans="2:2" ht="15.95" customHeight="1">
      <c r="B13434" s="37"/>
    </row>
    <row r="13435" spans="2:2" ht="15.95" customHeight="1">
      <c r="B13435" s="37"/>
    </row>
    <row r="13436" spans="2:2" ht="15.95" customHeight="1">
      <c r="B13436" s="37"/>
    </row>
    <row r="13437" spans="2:2" ht="15.95" customHeight="1">
      <c r="B13437" s="37"/>
    </row>
    <row r="13438" spans="2:2" ht="15.95" customHeight="1">
      <c r="B13438" s="37"/>
    </row>
    <row r="13439" spans="2:2" ht="15.95" customHeight="1">
      <c r="B13439" s="37"/>
    </row>
    <row r="13440" spans="2:2" ht="15.95" customHeight="1">
      <c r="B13440" s="37"/>
    </row>
    <row r="13441" spans="2:2" ht="15.95" customHeight="1">
      <c r="B13441" s="37"/>
    </row>
    <row r="13442" spans="2:2" ht="15.95" customHeight="1">
      <c r="B13442" s="37"/>
    </row>
    <row r="13443" spans="2:2" ht="15.95" customHeight="1">
      <c r="B13443" s="37"/>
    </row>
    <row r="13444" spans="2:2" ht="15.95" customHeight="1">
      <c r="B13444" s="37"/>
    </row>
    <row r="13445" spans="2:2" ht="15.95" customHeight="1">
      <c r="B13445" s="37"/>
    </row>
    <row r="13446" spans="2:2" ht="15.95" customHeight="1">
      <c r="B13446" s="37"/>
    </row>
    <row r="13447" spans="2:2" ht="15.95" customHeight="1">
      <c r="B13447" s="37"/>
    </row>
    <row r="13448" spans="2:2" ht="15.95" customHeight="1">
      <c r="B13448" s="37"/>
    </row>
    <row r="13449" spans="2:2" ht="15.95" customHeight="1">
      <c r="B13449" s="37"/>
    </row>
    <row r="13450" spans="2:2" ht="15.95" customHeight="1">
      <c r="B13450" s="37"/>
    </row>
    <row r="13451" spans="2:2" ht="15.95" customHeight="1">
      <c r="B13451" s="37"/>
    </row>
    <row r="13452" spans="2:2" ht="15.95" customHeight="1">
      <c r="B13452" s="37"/>
    </row>
    <row r="13453" spans="2:2" ht="15.95" customHeight="1">
      <c r="B13453" s="37"/>
    </row>
    <row r="13454" spans="2:2" ht="15.95" customHeight="1">
      <c r="B13454" s="37"/>
    </row>
    <row r="13455" spans="2:2" ht="15.95" customHeight="1">
      <c r="B13455" s="37"/>
    </row>
    <row r="13456" spans="2:2" ht="15.95" customHeight="1">
      <c r="B13456" s="37"/>
    </row>
    <row r="13457" spans="2:2" ht="15.95" customHeight="1">
      <c r="B13457" s="37"/>
    </row>
    <row r="13458" spans="2:2" ht="15.95" customHeight="1">
      <c r="B13458" s="37"/>
    </row>
    <row r="13459" spans="2:2" ht="15.95" customHeight="1">
      <c r="B13459" s="37"/>
    </row>
    <row r="13460" spans="2:2" ht="15.95" customHeight="1">
      <c r="B13460" s="37"/>
    </row>
    <row r="13461" spans="2:2" ht="15.95" customHeight="1">
      <c r="B13461" s="37"/>
    </row>
    <row r="13462" spans="2:2" ht="15.95" customHeight="1">
      <c r="B13462" s="37"/>
    </row>
    <row r="13463" spans="2:2" ht="15.95" customHeight="1">
      <c r="B13463" s="37"/>
    </row>
    <row r="13464" spans="2:2" ht="15.95" customHeight="1">
      <c r="B13464" s="37"/>
    </row>
    <row r="13465" spans="2:2" ht="15.95" customHeight="1">
      <c r="B13465" s="37"/>
    </row>
    <row r="13466" spans="2:2" ht="15.95" customHeight="1">
      <c r="B13466" s="37"/>
    </row>
    <row r="13467" spans="2:2" ht="15.95" customHeight="1">
      <c r="B13467" s="37"/>
    </row>
    <row r="13468" spans="2:2" ht="15.95" customHeight="1">
      <c r="B13468" s="37"/>
    </row>
    <row r="13469" spans="2:2" ht="15.95" customHeight="1">
      <c r="B13469" s="37"/>
    </row>
    <row r="13470" spans="2:2" ht="15.95" customHeight="1">
      <c r="B13470" s="37"/>
    </row>
    <row r="13471" spans="2:2" ht="15.95" customHeight="1">
      <c r="B13471" s="37"/>
    </row>
    <row r="13472" spans="2:2" ht="15.95" customHeight="1">
      <c r="B13472" s="37"/>
    </row>
    <row r="13473" spans="2:2" ht="15.95" customHeight="1">
      <c r="B13473" s="37"/>
    </row>
    <row r="13474" spans="2:2" ht="15.95" customHeight="1">
      <c r="B13474" s="37"/>
    </row>
    <row r="13475" spans="2:2" ht="15.95" customHeight="1">
      <c r="B13475" s="37"/>
    </row>
    <row r="13476" spans="2:2" ht="15.95" customHeight="1">
      <c r="B13476" s="37"/>
    </row>
    <row r="13477" spans="2:2" ht="15.95" customHeight="1">
      <c r="B13477" s="37"/>
    </row>
    <row r="13478" spans="2:2" ht="15.95" customHeight="1">
      <c r="B13478" s="37"/>
    </row>
    <row r="13479" spans="2:2" ht="15.95" customHeight="1">
      <c r="B13479" s="37"/>
    </row>
    <row r="13480" spans="2:2" ht="15.95" customHeight="1">
      <c r="B13480" s="37"/>
    </row>
    <row r="13481" spans="2:2" ht="15.95" customHeight="1">
      <c r="B13481" s="37"/>
    </row>
    <row r="13482" spans="2:2" ht="15.95" customHeight="1">
      <c r="B13482" s="37"/>
    </row>
    <row r="13483" spans="2:2" ht="15.95" customHeight="1">
      <c r="B13483" s="37"/>
    </row>
    <row r="13484" spans="2:2" ht="15.95" customHeight="1">
      <c r="B13484" s="37"/>
    </row>
    <row r="13485" spans="2:2" ht="15.95" customHeight="1">
      <c r="B13485" s="37"/>
    </row>
    <row r="13486" spans="2:2" ht="15.95" customHeight="1">
      <c r="B13486" s="37"/>
    </row>
    <row r="13487" spans="2:2" ht="15.95" customHeight="1">
      <c r="B13487" s="37"/>
    </row>
    <row r="13488" spans="2:2" ht="15.95" customHeight="1">
      <c r="B13488" s="37"/>
    </row>
    <row r="13489" spans="2:2" ht="15.95" customHeight="1">
      <c r="B13489" s="37"/>
    </row>
    <row r="13490" spans="2:2" ht="15.95" customHeight="1">
      <c r="B13490" s="37"/>
    </row>
    <row r="13491" spans="2:2" ht="15.95" customHeight="1">
      <c r="B13491" s="37"/>
    </row>
    <row r="13492" spans="2:2" ht="15.95" customHeight="1">
      <c r="B13492" s="37"/>
    </row>
    <row r="13493" spans="2:2" ht="15.95" customHeight="1">
      <c r="B13493" s="37"/>
    </row>
    <row r="13494" spans="2:2" ht="15.95" customHeight="1">
      <c r="B13494" s="37"/>
    </row>
    <row r="13495" spans="2:2" ht="15.95" customHeight="1">
      <c r="B13495" s="37"/>
    </row>
    <row r="13496" spans="2:2" ht="15.95" customHeight="1">
      <c r="B13496" s="37"/>
    </row>
    <row r="13497" spans="2:2" ht="15.95" customHeight="1">
      <c r="B13497" s="37"/>
    </row>
    <row r="13498" spans="2:2" ht="15.95" customHeight="1">
      <c r="B13498" s="37"/>
    </row>
    <row r="13499" spans="2:2" ht="15.95" customHeight="1">
      <c r="B13499" s="37"/>
    </row>
    <row r="13500" spans="2:2" ht="15.95" customHeight="1">
      <c r="B13500" s="37"/>
    </row>
    <row r="13501" spans="2:2" ht="15.95" customHeight="1">
      <c r="B13501" s="37"/>
    </row>
    <row r="13502" spans="2:2" ht="15.95" customHeight="1">
      <c r="B13502" s="37"/>
    </row>
    <row r="13503" spans="2:2" ht="15.95" customHeight="1">
      <c r="B13503" s="37"/>
    </row>
    <row r="13504" spans="2:2" ht="15.95" customHeight="1">
      <c r="B13504" s="37"/>
    </row>
    <row r="13505" spans="2:2" ht="15.95" customHeight="1">
      <c r="B13505" s="37"/>
    </row>
    <row r="13506" spans="2:2" ht="15.95" customHeight="1">
      <c r="B13506" s="37"/>
    </row>
    <row r="13507" spans="2:2" ht="15.95" customHeight="1">
      <c r="B13507" s="37"/>
    </row>
    <row r="13508" spans="2:2" ht="15.95" customHeight="1">
      <c r="B13508" s="37"/>
    </row>
    <row r="13509" spans="2:2" ht="15.95" customHeight="1">
      <c r="B13509" s="37"/>
    </row>
    <row r="13510" spans="2:2" ht="15.95" customHeight="1">
      <c r="B13510" s="37"/>
    </row>
    <row r="13511" spans="2:2" ht="15.95" customHeight="1">
      <c r="B13511" s="37"/>
    </row>
    <row r="13512" spans="2:2" ht="15.95" customHeight="1">
      <c r="B13512" s="37"/>
    </row>
    <row r="13513" spans="2:2" ht="15.95" customHeight="1">
      <c r="B13513" s="37"/>
    </row>
    <row r="13514" spans="2:2" ht="15.95" customHeight="1">
      <c r="B13514" s="37"/>
    </row>
    <row r="13515" spans="2:2" ht="15.95" customHeight="1">
      <c r="B13515" s="37"/>
    </row>
    <row r="13516" spans="2:2" ht="15.95" customHeight="1">
      <c r="B13516" s="37"/>
    </row>
    <row r="13517" spans="2:2" ht="15.95" customHeight="1">
      <c r="B13517" s="37"/>
    </row>
    <row r="13518" spans="2:2" ht="15.95" customHeight="1">
      <c r="B13518" s="37"/>
    </row>
    <row r="13519" spans="2:2" ht="15.95" customHeight="1">
      <c r="B13519" s="37"/>
    </row>
    <row r="13520" spans="2:2" ht="15.95" customHeight="1">
      <c r="B13520" s="37"/>
    </row>
    <row r="13521" spans="2:2" ht="15.95" customHeight="1">
      <c r="B13521" s="37"/>
    </row>
    <row r="13522" spans="2:2" ht="15.95" customHeight="1">
      <c r="B13522" s="37"/>
    </row>
    <row r="13523" spans="2:2" ht="15.95" customHeight="1">
      <c r="B13523" s="37"/>
    </row>
    <row r="13524" spans="2:2" ht="15.95" customHeight="1">
      <c r="B13524" s="37"/>
    </row>
    <row r="13525" spans="2:2" ht="15.95" customHeight="1">
      <c r="B13525" s="37"/>
    </row>
    <row r="13526" spans="2:2" ht="15.95" customHeight="1">
      <c r="B13526" s="37"/>
    </row>
    <row r="13527" spans="2:2" ht="15.95" customHeight="1">
      <c r="B13527" s="37"/>
    </row>
    <row r="13528" spans="2:2" ht="15.95" customHeight="1">
      <c r="B13528" s="37"/>
    </row>
    <row r="13529" spans="2:2" ht="15.95" customHeight="1">
      <c r="B13529" s="37"/>
    </row>
    <row r="13530" spans="2:2" ht="15.95" customHeight="1">
      <c r="B13530" s="37"/>
    </row>
    <row r="13531" spans="2:2" ht="15.95" customHeight="1">
      <c r="B13531" s="37"/>
    </row>
    <row r="13532" spans="2:2" ht="15.95" customHeight="1">
      <c r="B13532" s="37"/>
    </row>
    <row r="13533" spans="2:2" ht="15.95" customHeight="1">
      <c r="B13533" s="37"/>
    </row>
    <row r="13534" spans="2:2" ht="15.95" customHeight="1">
      <c r="B13534" s="37"/>
    </row>
    <row r="13535" spans="2:2" ht="15.95" customHeight="1">
      <c r="B13535" s="37"/>
    </row>
    <row r="13536" spans="2:2" ht="15.95" customHeight="1">
      <c r="B13536" s="37"/>
    </row>
    <row r="13537" spans="2:2" ht="15.95" customHeight="1">
      <c r="B13537" s="37"/>
    </row>
    <row r="13538" spans="2:2" ht="15.95" customHeight="1">
      <c r="B13538" s="37"/>
    </row>
    <row r="13539" spans="2:2" ht="15.95" customHeight="1">
      <c r="B13539" s="37"/>
    </row>
    <row r="13540" spans="2:2" ht="15.95" customHeight="1">
      <c r="B13540" s="37"/>
    </row>
    <row r="13541" spans="2:2" ht="15.95" customHeight="1">
      <c r="B13541" s="37"/>
    </row>
    <row r="13542" spans="2:2" ht="15.95" customHeight="1">
      <c r="B13542" s="37"/>
    </row>
    <row r="13543" spans="2:2" ht="15.95" customHeight="1">
      <c r="B13543" s="37"/>
    </row>
    <row r="13544" spans="2:2" ht="15.95" customHeight="1">
      <c r="B13544" s="37"/>
    </row>
    <row r="13545" spans="2:2" ht="15.95" customHeight="1">
      <c r="B13545" s="37"/>
    </row>
    <row r="13546" spans="2:2" ht="15.95" customHeight="1">
      <c r="B13546" s="37"/>
    </row>
    <row r="13547" spans="2:2" ht="15.95" customHeight="1">
      <c r="B13547" s="37"/>
    </row>
    <row r="13548" spans="2:2" ht="15.95" customHeight="1">
      <c r="B13548" s="37"/>
    </row>
    <row r="13549" spans="2:2" ht="15.95" customHeight="1">
      <c r="B13549" s="37"/>
    </row>
    <row r="13550" spans="2:2" ht="15.95" customHeight="1">
      <c r="B13550" s="37"/>
    </row>
    <row r="13551" spans="2:2" ht="15.95" customHeight="1">
      <c r="B13551" s="37"/>
    </row>
    <row r="13552" spans="2:2" ht="15.95" customHeight="1">
      <c r="B13552" s="37"/>
    </row>
    <row r="13553" spans="2:2" ht="15.95" customHeight="1">
      <c r="B13553" s="37"/>
    </row>
    <row r="13554" spans="2:2" ht="15.95" customHeight="1">
      <c r="B13554" s="37"/>
    </row>
    <row r="13555" spans="2:2" ht="15.95" customHeight="1">
      <c r="B13555" s="37"/>
    </row>
    <row r="13556" spans="2:2" ht="15.95" customHeight="1">
      <c r="B13556" s="37"/>
    </row>
    <row r="13557" spans="2:2" ht="15.95" customHeight="1">
      <c r="B13557" s="37"/>
    </row>
    <row r="13558" spans="2:2" ht="15.95" customHeight="1">
      <c r="B13558" s="37"/>
    </row>
    <row r="13559" spans="2:2" ht="15.95" customHeight="1">
      <c r="B13559" s="37"/>
    </row>
    <row r="13560" spans="2:2" ht="15.95" customHeight="1">
      <c r="B13560" s="37"/>
    </row>
    <row r="13561" spans="2:2" ht="15.95" customHeight="1">
      <c r="B13561" s="37"/>
    </row>
    <row r="13562" spans="2:2" ht="15.95" customHeight="1">
      <c r="B13562" s="37"/>
    </row>
    <row r="13563" spans="2:2" ht="15.95" customHeight="1">
      <c r="B13563" s="37"/>
    </row>
    <row r="13564" spans="2:2" ht="15.95" customHeight="1">
      <c r="B13564" s="37"/>
    </row>
    <row r="13565" spans="2:2" ht="15.95" customHeight="1">
      <c r="B13565" s="37"/>
    </row>
    <row r="13566" spans="2:2" ht="15.95" customHeight="1">
      <c r="B13566" s="37"/>
    </row>
    <row r="13567" spans="2:2" ht="15.95" customHeight="1">
      <c r="B13567" s="37"/>
    </row>
    <row r="13568" spans="2:2" ht="15.95" customHeight="1">
      <c r="B13568" s="37"/>
    </row>
    <row r="13569" spans="2:2" ht="15.95" customHeight="1">
      <c r="B13569" s="37"/>
    </row>
    <row r="13570" spans="2:2" ht="15.95" customHeight="1">
      <c r="B13570" s="37"/>
    </row>
    <row r="13571" spans="2:2" ht="15.95" customHeight="1">
      <c r="B13571" s="37"/>
    </row>
    <row r="13572" spans="2:2" ht="15.95" customHeight="1">
      <c r="B13572" s="37"/>
    </row>
    <row r="13573" spans="2:2" ht="15.95" customHeight="1">
      <c r="B13573" s="37"/>
    </row>
    <row r="13574" spans="2:2" ht="15.95" customHeight="1">
      <c r="B13574" s="37"/>
    </row>
    <row r="13575" spans="2:2" ht="15.95" customHeight="1">
      <c r="B13575" s="37"/>
    </row>
    <row r="13576" spans="2:2" ht="15.95" customHeight="1">
      <c r="B13576" s="37"/>
    </row>
    <row r="13577" spans="2:2" ht="15.95" customHeight="1">
      <c r="B13577" s="37"/>
    </row>
    <row r="13578" spans="2:2" ht="15.95" customHeight="1">
      <c r="B13578" s="37"/>
    </row>
    <row r="13579" spans="2:2" ht="15.95" customHeight="1">
      <c r="B13579" s="37"/>
    </row>
    <row r="13580" spans="2:2" ht="15.95" customHeight="1">
      <c r="B13580" s="37"/>
    </row>
    <row r="13581" spans="2:2" ht="15.95" customHeight="1">
      <c r="B13581" s="37"/>
    </row>
    <row r="13582" spans="2:2" ht="15.95" customHeight="1">
      <c r="B13582" s="37"/>
    </row>
    <row r="13583" spans="2:2" ht="15.95" customHeight="1">
      <c r="B13583" s="37"/>
    </row>
    <row r="13584" spans="2:2" ht="15.95" customHeight="1">
      <c r="B13584" s="37"/>
    </row>
    <row r="13585" spans="2:2" ht="15.95" customHeight="1">
      <c r="B13585" s="37"/>
    </row>
    <row r="13586" spans="2:2" ht="15.95" customHeight="1">
      <c r="B13586" s="37"/>
    </row>
    <row r="13587" spans="2:2" ht="15.95" customHeight="1">
      <c r="B13587" s="37"/>
    </row>
    <row r="13588" spans="2:2" ht="15.95" customHeight="1">
      <c r="B13588" s="37"/>
    </row>
    <row r="13589" spans="2:2" ht="15.95" customHeight="1">
      <c r="B13589" s="37"/>
    </row>
    <row r="13590" spans="2:2" ht="15.95" customHeight="1">
      <c r="B13590" s="37"/>
    </row>
    <row r="13591" spans="2:2" ht="15.95" customHeight="1">
      <c r="B13591" s="37"/>
    </row>
    <row r="13592" spans="2:2" ht="15.95" customHeight="1">
      <c r="B13592" s="37"/>
    </row>
    <row r="13593" spans="2:2" ht="15.95" customHeight="1">
      <c r="B13593" s="37"/>
    </row>
    <row r="13594" spans="2:2" ht="15.95" customHeight="1">
      <c r="B13594" s="37"/>
    </row>
    <row r="13595" spans="2:2" ht="15.95" customHeight="1">
      <c r="B13595" s="37"/>
    </row>
    <row r="13596" spans="2:2" ht="15.95" customHeight="1">
      <c r="B13596" s="37"/>
    </row>
    <row r="13597" spans="2:2" ht="15.95" customHeight="1">
      <c r="B13597" s="37"/>
    </row>
    <row r="13598" spans="2:2" ht="15.95" customHeight="1">
      <c r="B13598" s="37"/>
    </row>
    <row r="13599" spans="2:2" ht="15.95" customHeight="1">
      <c r="B13599" s="37"/>
    </row>
    <row r="13600" spans="2:2" ht="15.95" customHeight="1">
      <c r="B13600" s="37"/>
    </row>
    <row r="13601" spans="2:2" ht="15.95" customHeight="1">
      <c r="B13601" s="37"/>
    </row>
    <row r="13602" spans="2:2" ht="15.95" customHeight="1">
      <c r="B13602" s="37"/>
    </row>
    <row r="13603" spans="2:2" ht="15.95" customHeight="1">
      <c r="B13603" s="37"/>
    </row>
    <row r="13604" spans="2:2" ht="15.95" customHeight="1">
      <c r="B13604" s="37"/>
    </row>
    <row r="13605" spans="2:2" ht="15.95" customHeight="1">
      <c r="B13605" s="37"/>
    </row>
    <row r="13606" spans="2:2" ht="15.95" customHeight="1">
      <c r="B13606" s="37"/>
    </row>
    <row r="13607" spans="2:2" ht="15.95" customHeight="1">
      <c r="B13607" s="37"/>
    </row>
    <row r="13608" spans="2:2" ht="15.95" customHeight="1">
      <c r="B13608" s="37"/>
    </row>
    <row r="13609" spans="2:2" ht="15.95" customHeight="1">
      <c r="B13609" s="37"/>
    </row>
    <row r="13610" spans="2:2" ht="15.95" customHeight="1">
      <c r="B13610" s="37"/>
    </row>
    <row r="13611" spans="2:2" ht="15.95" customHeight="1">
      <c r="B13611" s="37"/>
    </row>
    <row r="13612" spans="2:2" ht="15.95" customHeight="1">
      <c r="B13612" s="37"/>
    </row>
    <row r="13613" spans="2:2" ht="15.95" customHeight="1">
      <c r="B13613" s="37"/>
    </row>
    <row r="13614" spans="2:2" ht="15.95" customHeight="1">
      <c r="B13614" s="37"/>
    </row>
    <row r="13615" spans="2:2" ht="15.95" customHeight="1">
      <c r="B13615" s="37"/>
    </row>
    <row r="13616" spans="2:2" ht="15.95" customHeight="1">
      <c r="B13616" s="37"/>
    </row>
    <row r="13617" spans="2:2" ht="15.95" customHeight="1">
      <c r="B13617" s="37"/>
    </row>
    <row r="13618" spans="2:2" ht="15.95" customHeight="1">
      <c r="B13618" s="37"/>
    </row>
    <row r="13619" spans="2:2" ht="15.95" customHeight="1">
      <c r="B13619" s="37"/>
    </row>
    <row r="13620" spans="2:2" ht="15.95" customHeight="1">
      <c r="B13620" s="37"/>
    </row>
    <row r="13621" spans="2:2" ht="15.95" customHeight="1">
      <c r="B13621" s="37"/>
    </row>
    <row r="13622" spans="2:2" ht="15.95" customHeight="1">
      <c r="B13622" s="37"/>
    </row>
    <row r="13623" spans="2:2" ht="15.95" customHeight="1">
      <c r="B13623" s="37"/>
    </row>
    <row r="13624" spans="2:2" ht="15.95" customHeight="1">
      <c r="B13624" s="37"/>
    </row>
    <row r="13625" spans="2:2" ht="15.95" customHeight="1">
      <c r="B13625" s="37"/>
    </row>
    <row r="13626" spans="2:2" ht="15.95" customHeight="1">
      <c r="B13626" s="37"/>
    </row>
    <row r="13627" spans="2:2" ht="15.95" customHeight="1">
      <c r="B13627" s="37"/>
    </row>
    <row r="13628" spans="2:2" ht="15.95" customHeight="1">
      <c r="B13628" s="37"/>
    </row>
    <row r="13629" spans="2:2" ht="15.95" customHeight="1">
      <c r="B13629" s="37"/>
    </row>
    <row r="13630" spans="2:2" ht="15.95" customHeight="1">
      <c r="B13630" s="37"/>
    </row>
    <row r="13631" spans="2:2" ht="15.95" customHeight="1">
      <c r="B13631" s="37"/>
    </row>
    <row r="13632" spans="2:2" ht="15.95" customHeight="1">
      <c r="B13632" s="37"/>
    </row>
    <row r="13633" spans="2:2" ht="15.95" customHeight="1">
      <c r="B13633" s="37"/>
    </row>
    <row r="13634" spans="2:2" ht="15.95" customHeight="1">
      <c r="B13634" s="37"/>
    </row>
    <row r="13635" spans="2:2" ht="15.95" customHeight="1">
      <c r="B13635" s="37"/>
    </row>
    <row r="13636" spans="2:2" ht="15.95" customHeight="1">
      <c r="B13636" s="37"/>
    </row>
    <row r="13637" spans="2:2" ht="15.95" customHeight="1">
      <c r="B13637" s="37"/>
    </row>
    <row r="13638" spans="2:2" ht="15.95" customHeight="1">
      <c r="B13638" s="37"/>
    </row>
    <row r="13639" spans="2:2" ht="15.95" customHeight="1">
      <c r="B13639" s="37"/>
    </row>
    <row r="13640" spans="2:2" ht="15.95" customHeight="1">
      <c r="B13640" s="37"/>
    </row>
    <row r="13641" spans="2:2" ht="15.95" customHeight="1">
      <c r="B13641" s="37"/>
    </row>
    <row r="13642" spans="2:2" ht="15.95" customHeight="1">
      <c r="B13642" s="37"/>
    </row>
    <row r="13643" spans="2:2" ht="15.95" customHeight="1">
      <c r="B13643" s="37"/>
    </row>
    <row r="13644" spans="2:2" ht="15.95" customHeight="1">
      <c r="B13644" s="37"/>
    </row>
    <row r="13645" spans="2:2" ht="15.95" customHeight="1">
      <c r="B13645" s="37"/>
    </row>
    <row r="13646" spans="2:2" ht="15.95" customHeight="1">
      <c r="B13646" s="37"/>
    </row>
    <row r="13647" spans="2:2" ht="15.95" customHeight="1">
      <c r="B13647" s="37"/>
    </row>
    <row r="13648" spans="2:2" ht="15.95" customHeight="1">
      <c r="B13648" s="37"/>
    </row>
    <row r="13649" spans="2:2" ht="15.95" customHeight="1">
      <c r="B13649" s="37"/>
    </row>
    <row r="13650" spans="2:2" ht="15.95" customHeight="1">
      <c r="B13650" s="37"/>
    </row>
    <row r="13651" spans="2:2" ht="15.95" customHeight="1">
      <c r="B13651" s="37"/>
    </row>
    <row r="13652" spans="2:2" ht="15.95" customHeight="1">
      <c r="B13652" s="37"/>
    </row>
    <row r="13653" spans="2:2" ht="15.95" customHeight="1">
      <c r="B13653" s="37"/>
    </row>
    <row r="13654" spans="2:2" ht="15.95" customHeight="1">
      <c r="B13654" s="37"/>
    </row>
    <row r="13655" spans="2:2" ht="15.95" customHeight="1">
      <c r="B13655" s="37"/>
    </row>
    <row r="13656" spans="2:2" ht="15.95" customHeight="1">
      <c r="B13656" s="37"/>
    </row>
    <row r="13657" spans="2:2" ht="15.95" customHeight="1">
      <c r="B13657" s="37"/>
    </row>
    <row r="13658" spans="2:2" ht="15.95" customHeight="1">
      <c r="B13658" s="37"/>
    </row>
    <row r="13659" spans="2:2" ht="15.95" customHeight="1">
      <c r="B13659" s="37"/>
    </row>
    <row r="13660" spans="2:2" ht="15.95" customHeight="1">
      <c r="B13660" s="37"/>
    </row>
    <row r="13661" spans="2:2" ht="15.95" customHeight="1">
      <c r="B13661" s="37"/>
    </row>
    <row r="13662" spans="2:2" ht="15.95" customHeight="1">
      <c r="B13662" s="37"/>
    </row>
    <row r="13663" spans="2:2" ht="15.95" customHeight="1">
      <c r="B13663" s="37"/>
    </row>
    <row r="13664" spans="2:2" ht="15.95" customHeight="1">
      <c r="B13664" s="37"/>
    </row>
    <row r="13665" spans="2:2" ht="15.95" customHeight="1">
      <c r="B13665" s="37"/>
    </row>
    <row r="13666" spans="2:2" ht="15.95" customHeight="1">
      <c r="B13666" s="37"/>
    </row>
    <row r="13667" spans="2:2" ht="15.95" customHeight="1">
      <c r="B13667" s="37"/>
    </row>
    <row r="13668" spans="2:2" ht="15.95" customHeight="1">
      <c r="B13668" s="37"/>
    </row>
    <row r="13669" spans="2:2" ht="15.95" customHeight="1">
      <c r="B13669" s="37"/>
    </row>
    <row r="13670" spans="2:2" ht="15.95" customHeight="1">
      <c r="B13670" s="37"/>
    </row>
    <row r="13671" spans="2:2" ht="15.95" customHeight="1">
      <c r="B13671" s="37"/>
    </row>
    <row r="13672" spans="2:2" ht="15.95" customHeight="1">
      <c r="B13672" s="37"/>
    </row>
    <row r="13673" spans="2:2" ht="15.95" customHeight="1">
      <c r="B13673" s="37"/>
    </row>
    <row r="13674" spans="2:2" ht="15.95" customHeight="1">
      <c r="B13674" s="37"/>
    </row>
    <row r="13675" spans="2:2" ht="15.95" customHeight="1">
      <c r="B13675" s="37"/>
    </row>
    <row r="13676" spans="2:2" ht="15.95" customHeight="1">
      <c r="B13676" s="37"/>
    </row>
    <row r="13677" spans="2:2" ht="15.95" customHeight="1">
      <c r="B13677" s="37"/>
    </row>
    <row r="13678" spans="2:2" ht="15.95" customHeight="1">
      <c r="B13678" s="37"/>
    </row>
    <row r="13679" spans="2:2" ht="15.95" customHeight="1">
      <c r="B13679" s="37"/>
    </row>
    <row r="13680" spans="2:2" ht="15.95" customHeight="1">
      <c r="B13680" s="37"/>
    </row>
    <row r="13681" spans="2:2" ht="15.95" customHeight="1">
      <c r="B13681" s="37"/>
    </row>
    <row r="13682" spans="2:2" ht="15.95" customHeight="1">
      <c r="B13682" s="37"/>
    </row>
    <row r="13683" spans="2:2" ht="15.95" customHeight="1">
      <c r="B13683" s="37"/>
    </row>
    <row r="13684" spans="2:2" ht="15.95" customHeight="1">
      <c r="B13684" s="37"/>
    </row>
    <row r="13685" spans="2:2" ht="15.95" customHeight="1">
      <c r="B13685" s="37"/>
    </row>
    <row r="13686" spans="2:2" ht="15.95" customHeight="1">
      <c r="B13686" s="37"/>
    </row>
    <row r="13687" spans="2:2" ht="15.95" customHeight="1">
      <c r="B13687" s="37"/>
    </row>
    <row r="13688" spans="2:2" ht="15.95" customHeight="1">
      <c r="B13688" s="37"/>
    </row>
    <row r="13689" spans="2:2" ht="15.95" customHeight="1">
      <c r="B13689" s="37"/>
    </row>
    <row r="13690" spans="2:2" ht="15.95" customHeight="1">
      <c r="B13690" s="37"/>
    </row>
    <row r="13691" spans="2:2" ht="15.95" customHeight="1">
      <c r="B13691" s="37"/>
    </row>
    <row r="13692" spans="2:2" ht="15.95" customHeight="1">
      <c r="B13692" s="37"/>
    </row>
    <row r="13693" spans="2:2" ht="15.95" customHeight="1">
      <c r="B13693" s="37"/>
    </row>
    <row r="13694" spans="2:2" ht="15.95" customHeight="1">
      <c r="B13694" s="37"/>
    </row>
    <row r="13695" spans="2:2" ht="15.95" customHeight="1">
      <c r="B13695" s="37"/>
    </row>
    <row r="13696" spans="2:2" ht="15.95" customHeight="1">
      <c r="B13696" s="37"/>
    </row>
    <row r="13697" spans="2:2" ht="15.95" customHeight="1">
      <c r="B13697" s="37"/>
    </row>
    <row r="13698" spans="2:2" ht="15.95" customHeight="1">
      <c r="B13698" s="37"/>
    </row>
    <row r="13699" spans="2:2" ht="15.95" customHeight="1">
      <c r="B13699" s="37"/>
    </row>
    <row r="13700" spans="2:2" ht="15.95" customHeight="1">
      <c r="B13700" s="37"/>
    </row>
    <row r="13701" spans="2:2" ht="15.95" customHeight="1">
      <c r="B13701" s="37"/>
    </row>
    <row r="13702" spans="2:2" ht="15.95" customHeight="1">
      <c r="B13702" s="37"/>
    </row>
    <row r="13703" spans="2:2" ht="15.95" customHeight="1">
      <c r="B13703" s="37"/>
    </row>
    <row r="13704" spans="2:2" ht="15.95" customHeight="1">
      <c r="B13704" s="37"/>
    </row>
    <row r="13705" spans="2:2" ht="15.95" customHeight="1">
      <c r="B13705" s="37"/>
    </row>
    <row r="13706" spans="2:2" ht="15.95" customHeight="1">
      <c r="B13706" s="37"/>
    </row>
    <row r="13707" spans="2:2" ht="15.95" customHeight="1">
      <c r="B13707" s="37"/>
    </row>
    <row r="13708" spans="2:2" ht="15.95" customHeight="1">
      <c r="B13708" s="37"/>
    </row>
    <row r="13709" spans="2:2" ht="15.95" customHeight="1">
      <c r="B13709" s="37"/>
    </row>
    <row r="13710" spans="2:2" ht="15.95" customHeight="1">
      <c r="B13710" s="37"/>
    </row>
    <row r="13711" spans="2:2" ht="15.95" customHeight="1">
      <c r="B13711" s="37"/>
    </row>
    <row r="13712" spans="2:2" ht="15.95" customHeight="1">
      <c r="B13712" s="37"/>
    </row>
    <row r="13713" spans="2:2" ht="15.95" customHeight="1">
      <c r="B13713" s="37"/>
    </row>
    <row r="13714" spans="2:2" ht="15.95" customHeight="1">
      <c r="B13714" s="37"/>
    </row>
    <row r="13715" spans="2:2" ht="15.95" customHeight="1">
      <c r="B13715" s="37"/>
    </row>
    <row r="13716" spans="2:2" ht="15.95" customHeight="1">
      <c r="B13716" s="37"/>
    </row>
    <row r="13717" spans="2:2" ht="15.95" customHeight="1">
      <c r="B13717" s="37"/>
    </row>
    <row r="13718" spans="2:2" ht="15.95" customHeight="1">
      <c r="B13718" s="37"/>
    </row>
    <row r="13719" spans="2:2" ht="15.95" customHeight="1">
      <c r="B13719" s="37"/>
    </row>
    <row r="13720" spans="2:2" ht="15.95" customHeight="1">
      <c r="B13720" s="37"/>
    </row>
    <row r="13721" spans="2:2" ht="15.95" customHeight="1">
      <c r="B13721" s="37"/>
    </row>
    <row r="13722" spans="2:2" ht="15.95" customHeight="1">
      <c r="B13722" s="37"/>
    </row>
    <row r="13723" spans="2:2" ht="15.95" customHeight="1">
      <c r="B13723" s="37"/>
    </row>
    <row r="13724" spans="2:2" ht="15.95" customHeight="1">
      <c r="B13724" s="37"/>
    </row>
    <row r="13725" spans="2:2" ht="15.95" customHeight="1">
      <c r="B13725" s="37"/>
    </row>
    <row r="13726" spans="2:2" ht="15.95" customHeight="1">
      <c r="B13726" s="37"/>
    </row>
    <row r="13727" spans="2:2" ht="15.95" customHeight="1">
      <c r="B13727" s="37"/>
    </row>
    <row r="13728" spans="2:2" ht="15.95" customHeight="1">
      <c r="B13728" s="37"/>
    </row>
    <row r="13729" spans="2:2" ht="15.95" customHeight="1">
      <c r="B13729" s="37"/>
    </row>
    <row r="13730" spans="2:2" ht="15.95" customHeight="1">
      <c r="B13730" s="37"/>
    </row>
    <row r="13731" spans="2:2" ht="15.95" customHeight="1">
      <c r="B13731" s="37"/>
    </row>
    <row r="13732" spans="2:2" ht="15.95" customHeight="1">
      <c r="B13732" s="37"/>
    </row>
    <row r="13733" spans="2:2" ht="15.95" customHeight="1">
      <c r="B13733" s="37"/>
    </row>
    <row r="13734" spans="2:2" ht="15.95" customHeight="1">
      <c r="B13734" s="37"/>
    </row>
    <row r="13735" spans="2:2" ht="15.95" customHeight="1">
      <c r="B13735" s="37"/>
    </row>
    <row r="13736" spans="2:2" ht="15.95" customHeight="1">
      <c r="B13736" s="37"/>
    </row>
    <row r="13737" spans="2:2" ht="15.95" customHeight="1">
      <c r="B13737" s="37"/>
    </row>
    <row r="13738" spans="2:2" ht="15.95" customHeight="1">
      <c r="B13738" s="37"/>
    </row>
    <row r="13739" spans="2:2" ht="15.95" customHeight="1">
      <c r="B13739" s="37"/>
    </row>
    <row r="13740" spans="2:2" ht="15.95" customHeight="1">
      <c r="B13740" s="37"/>
    </row>
    <row r="13741" spans="2:2" ht="15.95" customHeight="1">
      <c r="B13741" s="37"/>
    </row>
    <row r="13742" spans="2:2" ht="15.95" customHeight="1">
      <c r="B13742" s="37"/>
    </row>
    <row r="13743" spans="2:2" ht="15.95" customHeight="1">
      <c r="B13743" s="37"/>
    </row>
    <row r="13744" spans="2:2" ht="15.95" customHeight="1">
      <c r="B13744" s="37"/>
    </row>
    <row r="13745" spans="2:2" ht="15.95" customHeight="1">
      <c r="B13745" s="37"/>
    </row>
    <row r="13746" spans="2:2" ht="15.95" customHeight="1">
      <c r="B13746" s="37"/>
    </row>
    <row r="13747" spans="2:2" ht="15.95" customHeight="1">
      <c r="B13747" s="37"/>
    </row>
    <row r="13748" spans="2:2" ht="15.95" customHeight="1">
      <c r="B13748" s="37"/>
    </row>
    <row r="13749" spans="2:2" ht="15.95" customHeight="1">
      <c r="B13749" s="37"/>
    </row>
    <row r="13750" spans="2:2" ht="15.95" customHeight="1">
      <c r="B13750" s="37"/>
    </row>
    <row r="13751" spans="2:2" ht="15.95" customHeight="1">
      <c r="B13751" s="37"/>
    </row>
    <row r="13752" spans="2:2" ht="15.95" customHeight="1">
      <c r="B13752" s="37"/>
    </row>
    <row r="13753" spans="2:2" ht="15.95" customHeight="1">
      <c r="B13753" s="37"/>
    </row>
    <row r="13754" spans="2:2" ht="15.95" customHeight="1">
      <c r="B13754" s="37"/>
    </row>
    <row r="13755" spans="2:2" ht="15.95" customHeight="1">
      <c r="B13755" s="37"/>
    </row>
    <row r="13756" spans="2:2" ht="15.95" customHeight="1">
      <c r="B13756" s="37"/>
    </row>
    <row r="13757" spans="2:2" ht="15.95" customHeight="1">
      <c r="B13757" s="37"/>
    </row>
    <row r="13758" spans="2:2" ht="15.95" customHeight="1">
      <c r="B13758" s="37"/>
    </row>
    <row r="13759" spans="2:2" ht="15.95" customHeight="1">
      <c r="B13759" s="37"/>
    </row>
    <row r="13760" spans="2:2" ht="15.95" customHeight="1">
      <c r="B13760" s="37"/>
    </row>
    <row r="13761" spans="2:2" ht="15.95" customHeight="1">
      <c r="B13761" s="37"/>
    </row>
    <row r="13762" spans="2:2" ht="15.95" customHeight="1">
      <c r="B13762" s="37"/>
    </row>
    <row r="13763" spans="2:2" ht="15.95" customHeight="1">
      <c r="B13763" s="37"/>
    </row>
    <row r="13764" spans="2:2" ht="15.95" customHeight="1">
      <c r="B13764" s="37"/>
    </row>
    <row r="13765" spans="2:2" ht="15.95" customHeight="1">
      <c r="B13765" s="37"/>
    </row>
    <row r="13766" spans="2:2" ht="15.95" customHeight="1">
      <c r="B13766" s="37"/>
    </row>
    <row r="13767" spans="2:2" ht="15.95" customHeight="1">
      <c r="B13767" s="37"/>
    </row>
    <row r="13768" spans="2:2" ht="15.95" customHeight="1">
      <c r="B13768" s="37"/>
    </row>
    <row r="13769" spans="2:2" ht="15.95" customHeight="1">
      <c r="B13769" s="37"/>
    </row>
    <row r="13770" spans="2:2" ht="15.95" customHeight="1">
      <c r="B13770" s="37"/>
    </row>
    <row r="13771" spans="2:2" ht="15.95" customHeight="1">
      <c r="B13771" s="37"/>
    </row>
    <row r="13772" spans="2:2" ht="15.95" customHeight="1">
      <c r="B13772" s="37"/>
    </row>
    <row r="13773" spans="2:2" ht="15.95" customHeight="1">
      <c r="B13773" s="37"/>
    </row>
    <row r="13774" spans="2:2" ht="15.95" customHeight="1">
      <c r="B13774" s="37"/>
    </row>
    <row r="13775" spans="2:2" ht="15.95" customHeight="1">
      <c r="B13775" s="37"/>
    </row>
    <row r="13776" spans="2:2" ht="15.95" customHeight="1">
      <c r="B13776" s="37"/>
    </row>
    <row r="13777" spans="2:2" ht="15.95" customHeight="1">
      <c r="B13777" s="37"/>
    </row>
    <row r="13778" spans="2:2" ht="15.95" customHeight="1">
      <c r="B13778" s="37"/>
    </row>
    <row r="13779" spans="2:2" ht="15.95" customHeight="1">
      <c r="B13779" s="37"/>
    </row>
    <row r="13780" spans="2:2" ht="15.95" customHeight="1">
      <c r="B13780" s="37"/>
    </row>
    <row r="13781" spans="2:2" ht="15.95" customHeight="1">
      <c r="B13781" s="37"/>
    </row>
    <row r="13782" spans="2:2" ht="15.95" customHeight="1">
      <c r="B13782" s="37"/>
    </row>
    <row r="13783" spans="2:2" ht="15.95" customHeight="1">
      <c r="B13783" s="37"/>
    </row>
    <row r="13784" spans="2:2" ht="15.95" customHeight="1">
      <c r="B13784" s="37"/>
    </row>
    <row r="13785" spans="2:2" ht="15.95" customHeight="1">
      <c r="B13785" s="37"/>
    </row>
    <row r="13786" spans="2:2" ht="15.95" customHeight="1">
      <c r="B13786" s="37"/>
    </row>
    <row r="13787" spans="2:2" ht="15.95" customHeight="1">
      <c r="B13787" s="37"/>
    </row>
    <row r="13788" spans="2:2" ht="15.95" customHeight="1">
      <c r="B13788" s="37"/>
    </row>
    <row r="13789" spans="2:2" ht="15.95" customHeight="1">
      <c r="B13789" s="37"/>
    </row>
    <row r="13790" spans="2:2" ht="15.95" customHeight="1">
      <c r="B13790" s="37"/>
    </row>
    <row r="13791" spans="2:2" ht="15.95" customHeight="1">
      <c r="B13791" s="37"/>
    </row>
    <row r="13792" spans="2:2" ht="15.95" customHeight="1">
      <c r="B13792" s="37"/>
    </row>
    <row r="13793" spans="2:2" ht="15.95" customHeight="1">
      <c r="B13793" s="37"/>
    </row>
    <row r="13794" spans="2:2" ht="15.95" customHeight="1">
      <c r="B13794" s="37"/>
    </row>
    <row r="13795" spans="2:2" ht="15.95" customHeight="1">
      <c r="B13795" s="37"/>
    </row>
    <row r="13796" spans="2:2" ht="15.95" customHeight="1">
      <c r="B13796" s="37"/>
    </row>
    <row r="13797" spans="2:2" ht="15.95" customHeight="1">
      <c r="B13797" s="37"/>
    </row>
    <row r="13798" spans="2:2" ht="15.95" customHeight="1">
      <c r="B13798" s="37"/>
    </row>
    <row r="13799" spans="2:2" ht="15.95" customHeight="1">
      <c r="B13799" s="37"/>
    </row>
    <row r="13800" spans="2:2" ht="15.95" customHeight="1">
      <c r="B13800" s="37"/>
    </row>
    <row r="13801" spans="2:2" ht="15.95" customHeight="1">
      <c r="B13801" s="37"/>
    </row>
    <row r="13802" spans="2:2" ht="15.95" customHeight="1">
      <c r="B13802" s="37"/>
    </row>
    <row r="13803" spans="2:2" ht="15.95" customHeight="1">
      <c r="B13803" s="37"/>
    </row>
    <row r="13804" spans="2:2" ht="15.95" customHeight="1">
      <c r="B13804" s="37"/>
    </row>
    <row r="13805" spans="2:2" ht="15.95" customHeight="1">
      <c r="B13805" s="37"/>
    </row>
    <row r="13806" spans="2:2" ht="15.95" customHeight="1">
      <c r="B13806" s="37"/>
    </row>
    <row r="13807" spans="2:2" ht="15.95" customHeight="1">
      <c r="B13807" s="37"/>
    </row>
    <row r="13808" spans="2:2" ht="15.95" customHeight="1">
      <c r="B13808" s="37"/>
    </row>
    <row r="13809" spans="2:2" ht="15.95" customHeight="1">
      <c r="B13809" s="37"/>
    </row>
    <row r="13810" spans="2:2" ht="15.95" customHeight="1">
      <c r="B13810" s="37"/>
    </row>
    <row r="13811" spans="2:2" ht="15.95" customHeight="1">
      <c r="B13811" s="37"/>
    </row>
    <row r="13812" spans="2:2" ht="15.95" customHeight="1">
      <c r="B13812" s="37"/>
    </row>
    <row r="13813" spans="2:2" ht="15.95" customHeight="1">
      <c r="B13813" s="37"/>
    </row>
    <row r="13814" spans="2:2" ht="15.95" customHeight="1">
      <c r="B13814" s="37"/>
    </row>
    <row r="13815" spans="2:2" ht="15.95" customHeight="1">
      <c r="B13815" s="37"/>
    </row>
    <row r="13816" spans="2:2" ht="15.95" customHeight="1">
      <c r="B13816" s="37"/>
    </row>
    <row r="13817" spans="2:2" ht="15.95" customHeight="1">
      <c r="B13817" s="37"/>
    </row>
    <row r="13818" spans="2:2" ht="15.95" customHeight="1">
      <c r="B13818" s="37"/>
    </row>
    <row r="13819" spans="2:2" ht="15.95" customHeight="1">
      <c r="B13819" s="37"/>
    </row>
    <row r="13820" spans="2:2" ht="15.95" customHeight="1">
      <c r="B13820" s="37"/>
    </row>
    <row r="13821" spans="2:2" ht="15.95" customHeight="1">
      <c r="B13821" s="37"/>
    </row>
    <row r="13822" spans="2:2" ht="15.95" customHeight="1">
      <c r="B13822" s="37"/>
    </row>
    <row r="13823" spans="2:2" ht="15.95" customHeight="1">
      <c r="B13823" s="37"/>
    </row>
    <row r="13824" spans="2:2" ht="15.95" customHeight="1">
      <c r="B13824" s="37"/>
    </row>
    <row r="13825" spans="2:2" ht="15.95" customHeight="1">
      <c r="B13825" s="37"/>
    </row>
    <row r="13826" spans="2:2" ht="15.95" customHeight="1">
      <c r="B13826" s="37"/>
    </row>
    <row r="13827" spans="2:2" ht="15.95" customHeight="1">
      <c r="B13827" s="37"/>
    </row>
    <row r="13828" spans="2:2" ht="15.95" customHeight="1">
      <c r="B13828" s="37"/>
    </row>
    <row r="13829" spans="2:2" ht="15.95" customHeight="1">
      <c r="B13829" s="37"/>
    </row>
    <row r="13830" spans="2:2" ht="15.95" customHeight="1">
      <c r="B13830" s="37"/>
    </row>
    <row r="13831" spans="2:2" ht="15.95" customHeight="1">
      <c r="B13831" s="37"/>
    </row>
    <row r="13832" spans="2:2" ht="15.95" customHeight="1">
      <c r="B13832" s="37"/>
    </row>
    <row r="13833" spans="2:2" ht="15.95" customHeight="1">
      <c r="B13833" s="37"/>
    </row>
    <row r="13834" spans="2:2" ht="15.95" customHeight="1">
      <c r="B13834" s="37"/>
    </row>
    <row r="13835" spans="2:2" ht="15.95" customHeight="1">
      <c r="B13835" s="37"/>
    </row>
    <row r="13836" spans="2:2" ht="15.95" customHeight="1">
      <c r="B13836" s="37"/>
    </row>
    <row r="13837" spans="2:2" ht="15.95" customHeight="1">
      <c r="B13837" s="37"/>
    </row>
    <row r="13838" spans="2:2" ht="15.95" customHeight="1">
      <c r="B13838" s="37"/>
    </row>
    <row r="13839" spans="2:2" ht="15.95" customHeight="1">
      <c r="B13839" s="37"/>
    </row>
    <row r="13840" spans="2:2" ht="15.95" customHeight="1">
      <c r="B13840" s="37"/>
    </row>
    <row r="13841" spans="2:2" ht="15.95" customHeight="1">
      <c r="B13841" s="37"/>
    </row>
    <row r="13842" spans="2:2" ht="15.95" customHeight="1">
      <c r="B13842" s="37"/>
    </row>
    <row r="13843" spans="2:2" ht="15.95" customHeight="1">
      <c r="B13843" s="37"/>
    </row>
    <row r="13844" spans="2:2" ht="15.95" customHeight="1">
      <c r="B13844" s="37"/>
    </row>
    <row r="13845" spans="2:2" ht="15.95" customHeight="1">
      <c r="B13845" s="37"/>
    </row>
    <row r="13846" spans="2:2" ht="15.95" customHeight="1">
      <c r="B13846" s="37"/>
    </row>
    <row r="13847" spans="2:2" ht="15.95" customHeight="1">
      <c r="B13847" s="37"/>
    </row>
    <row r="13848" spans="2:2" ht="15.95" customHeight="1">
      <c r="B13848" s="37"/>
    </row>
    <row r="13849" spans="2:2" ht="15.95" customHeight="1">
      <c r="B13849" s="37"/>
    </row>
    <row r="13850" spans="2:2" ht="15.95" customHeight="1">
      <c r="B13850" s="37"/>
    </row>
    <row r="13851" spans="2:2" ht="15.95" customHeight="1">
      <c r="B13851" s="37"/>
    </row>
    <row r="13852" spans="2:2" ht="15.95" customHeight="1">
      <c r="B13852" s="37"/>
    </row>
    <row r="13853" spans="2:2" ht="15.95" customHeight="1">
      <c r="B13853" s="37"/>
    </row>
    <row r="13854" spans="2:2" ht="15.95" customHeight="1">
      <c r="B13854" s="37"/>
    </row>
    <row r="13855" spans="2:2" ht="15.95" customHeight="1">
      <c r="B13855" s="37"/>
    </row>
    <row r="13856" spans="2:2" ht="15.95" customHeight="1">
      <c r="B13856" s="37"/>
    </row>
    <row r="13857" spans="2:2" ht="15.95" customHeight="1">
      <c r="B13857" s="37"/>
    </row>
    <row r="13858" spans="2:2" ht="15.95" customHeight="1">
      <c r="B13858" s="37"/>
    </row>
    <row r="13859" spans="2:2" ht="15.95" customHeight="1">
      <c r="B13859" s="37"/>
    </row>
    <row r="13860" spans="2:2" ht="15.95" customHeight="1">
      <c r="B13860" s="37"/>
    </row>
    <row r="13861" spans="2:2" ht="15.95" customHeight="1">
      <c r="B13861" s="37"/>
    </row>
    <row r="13862" spans="2:2" ht="15.95" customHeight="1">
      <c r="B13862" s="37"/>
    </row>
    <row r="13863" spans="2:2" ht="15.95" customHeight="1">
      <c r="B13863" s="37"/>
    </row>
    <row r="13864" spans="2:2" ht="15.95" customHeight="1">
      <c r="B13864" s="37"/>
    </row>
    <row r="13865" spans="2:2" ht="15.95" customHeight="1">
      <c r="B13865" s="37"/>
    </row>
    <row r="13866" spans="2:2" ht="15.95" customHeight="1">
      <c r="B13866" s="37"/>
    </row>
    <row r="13867" spans="2:2" ht="15.95" customHeight="1">
      <c r="B13867" s="37"/>
    </row>
    <row r="13868" spans="2:2" ht="15.95" customHeight="1">
      <c r="B13868" s="37"/>
    </row>
    <row r="13869" spans="2:2" ht="15.95" customHeight="1">
      <c r="B13869" s="37"/>
    </row>
    <row r="13870" spans="2:2" ht="15.95" customHeight="1">
      <c r="B13870" s="37"/>
    </row>
    <row r="13871" spans="2:2" ht="15.95" customHeight="1">
      <c r="B13871" s="37"/>
    </row>
    <row r="13872" spans="2:2" ht="15.95" customHeight="1">
      <c r="B13872" s="37"/>
    </row>
    <row r="13873" spans="2:2" ht="15.95" customHeight="1">
      <c r="B13873" s="37"/>
    </row>
    <row r="13874" spans="2:2" ht="15.95" customHeight="1">
      <c r="B13874" s="37"/>
    </row>
    <row r="13875" spans="2:2" ht="15.95" customHeight="1">
      <c r="B13875" s="37"/>
    </row>
    <row r="13876" spans="2:2" ht="15.95" customHeight="1">
      <c r="B13876" s="37"/>
    </row>
    <row r="13877" spans="2:2" ht="15.95" customHeight="1">
      <c r="B13877" s="37"/>
    </row>
    <row r="13878" spans="2:2" ht="15.95" customHeight="1">
      <c r="B13878" s="37"/>
    </row>
    <row r="13879" spans="2:2" ht="15.95" customHeight="1">
      <c r="B13879" s="37"/>
    </row>
    <row r="13880" spans="2:2" ht="15.95" customHeight="1">
      <c r="B13880" s="37"/>
    </row>
    <row r="13881" spans="2:2" ht="15.95" customHeight="1">
      <c r="B13881" s="37"/>
    </row>
    <row r="13882" spans="2:2" ht="15.95" customHeight="1">
      <c r="B13882" s="37"/>
    </row>
    <row r="13883" spans="2:2" ht="15.95" customHeight="1">
      <c r="B13883" s="37"/>
    </row>
    <row r="13884" spans="2:2" ht="15.95" customHeight="1">
      <c r="B13884" s="37"/>
    </row>
    <row r="13885" spans="2:2" ht="15.95" customHeight="1">
      <c r="B13885" s="37"/>
    </row>
    <row r="13886" spans="2:2" ht="15.95" customHeight="1">
      <c r="B13886" s="37"/>
    </row>
    <row r="13887" spans="2:2" ht="15.95" customHeight="1">
      <c r="B13887" s="37"/>
    </row>
    <row r="13888" spans="2:2" ht="15.95" customHeight="1">
      <c r="B13888" s="37"/>
    </row>
    <row r="13889" spans="2:2" ht="15.95" customHeight="1">
      <c r="B13889" s="37"/>
    </row>
    <row r="13890" spans="2:2" ht="15.95" customHeight="1">
      <c r="B13890" s="37"/>
    </row>
    <row r="13891" spans="2:2" ht="15.95" customHeight="1">
      <c r="B13891" s="37"/>
    </row>
    <row r="13892" spans="2:2" ht="15.95" customHeight="1">
      <c r="B13892" s="37"/>
    </row>
    <row r="13893" spans="2:2" ht="15.95" customHeight="1">
      <c r="B13893" s="37"/>
    </row>
    <row r="13894" spans="2:2" ht="15.95" customHeight="1">
      <c r="B13894" s="37"/>
    </row>
    <row r="13895" spans="2:2" ht="15.95" customHeight="1">
      <c r="B13895" s="37"/>
    </row>
    <row r="13896" spans="2:2" ht="15.95" customHeight="1">
      <c r="B13896" s="37"/>
    </row>
    <row r="13897" spans="2:2" ht="15.95" customHeight="1">
      <c r="B13897" s="37"/>
    </row>
    <row r="13898" spans="2:2" ht="15.95" customHeight="1">
      <c r="B13898" s="37"/>
    </row>
    <row r="13899" spans="2:2" ht="15.95" customHeight="1">
      <c r="B13899" s="37"/>
    </row>
    <row r="13900" spans="2:2" ht="15.95" customHeight="1">
      <c r="B13900" s="37"/>
    </row>
    <row r="13901" spans="2:2" ht="15.95" customHeight="1">
      <c r="B13901" s="37"/>
    </row>
    <row r="13902" spans="2:2" ht="15.95" customHeight="1">
      <c r="B13902" s="37"/>
    </row>
    <row r="13903" spans="2:2" ht="15.95" customHeight="1">
      <c r="B13903" s="37"/>
    </row>
    <row r="13904" spans="2:2" ht="15.95" customHeight="1">
      <c r="B13904" s="37"/>
    </row>
    <row r="13905" spans="2:2" ht="15.95" customHeight="1">
      <c r="B13905" s="37"/>
    </row>
    <row r="13906" spans="2:2" ht="15.95" customHeight="1">
      <c r="B13906" s="37"/>
    </row>
    <row r="13907" spans="2:2" ht="15.95" customHeight="1">
      <c r="B13907" s="37"/>
    </row>
    <row r="13908" spans="2:2" ht="15.95" customHeight="1">
      <c r="B13908" s="37"/>
    </row>
    <row r="13909" spans="2:2" ht="15.95" customHeight="1">
      <c r="B13909" s="37"/>
    </row>
    <row r="13910" spans="2:2" ht="15.95" customHeight="1">
      <c r="B13910" s="37"/>
    </row>
    <row r="13911" spans="2:2" ht="15.95" customHeight="1">
      <c r="B13911" s="37"/>
    </row>
    <row r="13912" spans="2:2" ht="15.95" customHeight="1">
      <c r="B13912" s="37"/>
    </row>
    <row r="13913" spans="2:2" ht="15.95" customHeight="1">
      <c r="B13913" s="37"/>
    </row>
    <row r="13914" spans="2:2" ht="15.95" customHeight="1">
      <c r="B13914" s="37"/>
    </row>
    <row r="13915" spans="2:2" ht="15.95" customHeight="1">
      <c r="B13915" s="37"/>
    </row>
    <row r="13916" spans="2:2" ht="15.95" customHeight="1">
      <c r="B13916" s="37"/>
    </row>
    <row r="13917" spans="2:2" ht="15.95" customHeight="1">
      <c r="B13917" s="37"/>
    </row>
    <row r="13918" spans="2:2" ht="15.95" customHeight="1">
      <c r="B13918" s="37"/>
    </row>
    <row r="13919" spans="2:2" ht="15.95" customHeight="1">
      <c r="B13919" s="37"/>
    </row>
    <row r="13920" spans="2:2" ht="15.95" customHeight="1">
      <c r="B13920" s="37"/>
    </row>
    <row r="13921" spans="2:2" ht="15.95" customHeight="1">
      <c r="B13921" s="37"/>
    </row>
    <row r="13922" spans="2:2" ht="15.95" customHeight="1">
      <c r="B13922" s="37"/>
    </row>
    <row r="13923" spans="2:2" ht="15.95" customHeight="1">
      <c r="B13923" s="37"/>
    </row>
    <row r="13924" spans="2:2" ht="15.95" customHeight="1">
      <c r="B13924" s="37"/>
    </row>
    <row r="13925" spans="2:2" ht="15.95" customHeight="1">
      <c r="B13925" s="37"/>
    </row>
    <row r="13926" spans="2:2" ht="15.95" customHeight="1">
      <c r="B13926" s="37"/>
    </row>
    <row r="13927" spans="2:2" ht="15.95" customHeight="1">
      <c r="B13927" s="37"/>
    </row>
    <row r="13928" spans="2:2" ht="15.95" customHeight="1">
      <c r="B13928" s="37"/>
    </row>
    <row r="13929" spans="2:2" ht="15.95" customHeight="1">
      <c r="B13929" s="37"/>
    </row>
    <row r="13930" spans="2:2" ht="15.95" customHeight="1">
      <c r="B13930" s="37"/>
    </row>
    <row r="13931" spans="2:2" ht="15.95" customHeight="1">
      <c r="B13931" s="37"/>
    </row>
    <row r="13932" spans="2:2" ht="15.95" customHeight="1">
      <c r="B13932" s="37"/>
    </row>
    <row r="13933" spans="2:2" ht="15.95" customHeight="1">
      <c r="B13933" s="37"/>
    </row>
    <row r="13934" spans="2:2" ht="15.95" customHeight="1">
      <c r="B13934" s="37"/>
    </row>
    <row r="13935" spans="2:2" ht="15.95" customHeight="1">
      <c r="B13935" s="37"/>
    </row>
    <row r="13936" spans="2:2" ht="15.95" customHeight="1">
      <c r="B13936" s="37"/>
    </row>
    <row r="13937" spans="2:2" ht="15.95" customHeight="1">
      <c r="B13937" s="37"/>
    </row>
    <row r="13938" spans="2:2" ht="15.95" customHeight="1">
      <c r="B13938" s="37"/>
    </row>
    <row r="13939" spans="2:2" ht="15.95" customHeight="1">
      <c r="B13939" s="37"/>
    </row>
    <row r="13940" spans="2:2" ht="15.95" customHeight="1">
      <c r="B13940" s="37"/>
    </row>
    <row r="13941" spans="2:2" ht="15.95" customHeight="1">
      <c r="B13941" s="37"/>
    </row>
    <row r="13942" spans="2:2" ht="15.95" customHeight="1">
      <c r="B13942" s="37"/>
    </row>
    <row r="13943" spans="2:2" ht="15.95" customHeight="1">
      <c r="B13943" s="37"/>
    </row>
    <row r="13944" spans="2:2" ht="15.95" customHeight="1">
      <c r="B13944" s="37"/>
    </row>
    <row r="13945" spans="2:2" ht="15.95" customHeight="1">
      <c r="B13945" s="37"/>
    </row>
    <row r="13946" spans="2:2" ht="15.95" customHeight="1">
      <c r="B13946" s="37"/>
    </row>
    <row r="13947" spans="2:2" ht="15.95" customHeight="1">
      <c r="B13947" s="37"/>
    </row>
    <row r="13948" spans="2:2" ht="15.95" customHeight="1">
      <c r="B13948" s="37"/>
    </row>
    <row r="13949" spans="2:2" ht="15.95" customHeight="1">
      <c r="B13949" s="37"/>
    </row>
    <row r="13950" spans="2:2" ht="15.95" customHeight="1">
      <c r="B13950" s="37"/>
    </row>
    <row r="13951" spans="2:2" ht="15.95" customHeight="1">
      <c r="B13951" s="37"/>
    </row>
    <row r="13952" spans="2:2" ht="15.95" customHeight="1">
      <c r="B13952" s="37"/>
    </row>
    <row r="13953" spans="2:2" ht="15.95" customHeight="1">
      <c r="B13953" s="37"/>
    </row>
    <row r="13954" spans="2:2" ht="15.95" customHeight="1">
      <c r="B13954" s="37"/>
    </row>
    <row r="13955" spans="2:2" ht="15.95" customHeight="1">
      <c r="B13955" s="37"/>
    </row>
    <row r="13956" spans="2:2" ht="15.95" customHeight="1">
      <c r="B13956" s="37"/>
    </row>
    <row r="13957" spans="2:2" ht="15.95" customHeight="1">
      <c r="B13957" s="37"/>
    </row>
    <row r="13958" spans="2:2" ht="15.95" customHeight="1">
      <c r="B13958" s="37"/>
    </row>
    <row r="13959" spans="2:2" ht="15.95" customHeight="1">
      <c r="B13959" s="37"/>
    </row>
    <row r="13960" spans="2:2" ht="15.95" customHeight="1">
      <c r="B13960" s="37"/>
    </row>
    <row r="13961" spans="2:2" ht="15.95" customHeight="1">
      <c r="B13961" s="37"/>
    </row>
    <row r="13962" spans="2:2" ht="15.95" customHeight="1">
      <c r="B13962" s="37"/>
    </row>
    <row r="13963" spans="2:2" ht="15.95" customHeight="1">
      <c r="B13963" s="37"/>
    </row>
    <row r="13964" spans="2:2" ht="15.95" customHeight="1">
      <c r="B13964" s="37"/>
    </row>
    <row r="13965" spans="2:2" ht="15.95" customHeight="1">
      <c r="B13965" s="37"/>
    </row>
    <row r="13966" spans="2:2" ht="15.95" customHeight="1">
      <c r="B13966" s="37"/>
    </row>
    <row r="13967" spans="2:2" ht="15.95" customHeight="1">
      <c r="B13967" s="37"/>
    </row>
    <row r="13968" spans="2:2" ht="15.95" customHeight="1">
      <c r="B13968" s="37"/>
    </row>
    <row r="13969" spans="2:2" ht="15.95" customHeight="1">
      <c r="B13969" s="37"/>
    </row>
    <row r="13970" spans="2:2" ht="15.95" customHeight="1">
      <c r="B13970" s="37"/>
    </row>
    <row r="13971" spans="2:2" ht="15.95" customHeight="1">
      <c r="B13971" s="37"/>
    </row>
    <row r="13972" spans="2:2" ht="15.95" customHeight="1">
      <c r="B13972" s="37"/>
    </row>
    <row r="13973" spans="2:2" ht="15.95" customHeight="1">
      <c r="B13973" s="37"/>
    </row>
    <row r="13974" spans="2:2" ht="15.95" customHeight="1">
      <c r="B13974" s="37"/>
    </row>
    <row r="13975" spans="2:2" ht="15.95" customHeight="1">
      <c r="B13975" s="37"/>
    </row>
    <row r="13976" spans="2:2" ht="15.95" customHeight="1">
      <c r="B13976" s="37"/>
    </row>
    <row r="13977" spans="2:2" ht="15.95" customHeight="1">
      <c r="B13977" s="37"/>
    </row>
    <row r="13978" spans="2:2" ht="15.95" customHeight="1">
      <c r="B13978" s="37"/>
    </row>
    <row r="13979" spans="2:2" ht="15.95" customHeight="1">
      <c r="B13979" s="37"/>
    </row>
    <row r="13980" spans="2:2" ht="15.95" customHeight="1">
      <c r="B13980" s="37"/>
    </row>
    <row r="13981" spans="2:2" ht="15.95" customHeight="1">
      <c r="B13981" s="37"/>
    </row>
    <row r="13982" spans="2:2" ht="15.95" customHeight="1">
      <c r="B13982" s="37"/>
    </row>
    <row r="13983" spans="2:2" ht="15.95" customHeight="1">
      <c r="B13983" s="37"/>
    </row>
    <row r="13984" spans="2:2" ht="15.95" customHeight="1">
      <c r="B13984" s="37"/>
    </row>
    <row r="13985" spans="2:2" ht="15.95" customHeight="1">
      <c r="B13985" s="37"/>
    </row>
    <row r="13986" spans="2:2" ht="15.95" customHeight="1">
      <c r="B13986" s="37"/>
    </row>
    <row r="13987" spans="2:2" ht="15.95" customHeight="1">
      <c r="B13987" s="37"/>
    </row>
    <row r="13988" spans="2:2" ht="15.95" customHeight="1">
      <c r="B13988" s="37"/>
    </row>
    <row r="13989" spans="2:2" ht="15.95" customHeight="1">
      <c r="B13989" s="37"/>
    </row>
    <row r="13990" spans="2:2" ht="15.95" customHeight="1">
      <c r="B13990" s="37"/>
    </row>
    <row r="13991" spans="2:2" ht="15.95" customHeight="1">
      <c r="B13991" s="37"/>
    </row>
    <row r="13992" spans="2:2" ht="15.95" customHeight="1">
      <c r="B13992" s="37"/>
    </row>
    <row r="13993" spans="2:2" ht="15.95" customHeight="1">
      <c r="B13993" s="37"/>
    </row>
    <row r="13994" spans="2:2" ht="15.95" customHeight="1">
      <c r="B13994" s="37"/>
    </row>
    <row r="13995" spans="2:2" ht="15.95" customHeight="1">
      <c r="B13995" s="37"/>
    </row>
    <row r="13996" spans="2:2" ht="15.95" customHeight="1">
      <c r="B13996" s="37"/>
    </row>
    <row r="13997" spans="2:2" ht="15.95" customHeight="1">
      <c r="B13997" s="37"/>
    </row>
    <row r="13998" spans="2:2" ht="15.95" customHeight="1">
      <c r="B13998" s="37"/>
    </row>
    <row r="13999" spans="2:2" ht="15.95" customHeight="1">
      <c r="B13999" s="37"/>
    </row>
    <row r="14000" spans="2:2" ht="15.95" customHeight="1">
      <c r="B14000" s="37"/>
    </row>
    <row r="14001" spans="2:2" ht="15.95" customHeight="1">
      <c r="B14001" s="37"/>
    </row>
    <row r="14002" spans="2:2" ht="15.95" customHeight="1">
      <c r="B14002" s="37"/>
    </row>
    <row r="14003" spans="2:2" ht="15.95" customHeight="1">
      <c r="B14003" s="37"/>
    </row>
    <row r="14004" spans="2:2" ht="15.95" customHeight="1">
      <c r="B14004" s="37"/>
    </row>
    <row r="14005" spans="2:2" ht="15.95" customHeight="1">
      <c r="B14005" s="37"/>
    </row>
    <row r="14006" spans="2:2" ht="15.95" customHeight="1">
      <c r="B14006" s="37"/>
    </row>
    <row r="14007" spans="2:2" ht="15.95" customHeight="1">
      <c r="B14007" s="37"/>
    </row>
    <row r="14008" spans="2:2" ht="15.95" customHeight="1">
      <c r="B14008" s="37"/>
    </row>
    <row r="14009" spans="2:2" ht="15.95" customHeight="1">
      <c r="B14009" s="37"/>
    </row>
    <row r="14010" spans="2:2" ht="15.95" customHeight="1">
      <c r="B14010" s="37"/>
    </row>
    <row r="14011" spans="2:2" ht="15.95" customHeight="1">
      <c r="B14011" s="37"/>
    </row>
    <row r="14012" spans="2:2" ht="15.95" customHeight="1">
      <c r="B14012" s="37"/>
    </row>
    <row r="14013" spans="2:2" ht="15.95" customHeight="1">
      <c r="B14013" s="37"/>
    </row>
    <row r="14014" spans="2:2" ht="15.95" customHeight="1">
      <c r="B14014" s="37"/>
    </row>
    <row r="14015" spans="2:2" ht="15.95" customHeight="1">
      <c r="B14015" s="37"/>
    </row>
    <row r="14016" spans="2:2" ht="15.95" customHeight="1">
      <c r="B14016" s="37"/>
    </row>
    <row r="14017" spans="2:2" ht="15.95" customHeight="1">
      <c r="B14017" s="37"/>
    </row>
    <row r="14018" spans="2:2" ht="15.95" customHeight="1">
      <c r="B14018" s="37"/>
    </row>
    <row r="14019" spans="2:2" ht="15.95" customHeight="1">
      <c r="B14019" s="37"/>
    </row>
    <row r="14020" spans="2:2" ht="15.95" customHeight="1">
      <c r="B14020" s="37"/>
    </row>
    <row r="14021" spans="2:2" ht="15.95" customHeight="1">
      <c r="B14021" s="37"/>
    </row>
    <row r="14022" spans="2:2" ht="15.95" customHeight="1">
      <c r="B14022" s="37"/>
    </row>
    <row r="14023" spans="2:2" ht="15.95" customHeight="1">
      <c r="B14023" s="37"/>
    </row>
    <row r="14024" spans="2:2" ht="15.95" customHeight="1">
      <c r="B14024" s="37"/>
    </row>
    <row r="14025" spans="2:2" ht="15.95" customHeight="1">
      <c r="B14025" s="37"/>
    </row>
    <row r="14026" spans="2:2" ht="15.95" customHeight="1">
      <c r="B14026" s="37"/>
    </row>
    <row r="14027" spans="2:2" ht="15.95" customHeight="1">
      <c r="B14027" s="37"/>
    </row>
    <row r="14028" spans="2:2" ht="15.95" customHeight="1">
      <c r="B14028" s="37"/>
    </row>
    <row r="14029" spans="2:2" ht="15.95" customHeight="1">
      <c r="B14029" s="37"/>
    </row>
    <row r="14030" spans="2:2" ht="15.95" customHeight="1">
      <c r="B14030" s="37"/>
    </row>
    <row r="14031" spans="2:2" ht="15.95" customHeight="1">
      <c r="B14031" s="37"/>
    </row>
    <row r="14032" spans="2:2" ht="15.95" customHeight="1">
      <c r="B14032" s="37"/>
    </row>
    <row r="14033" spans="2:2" ht="15.95" customHeight="1">
      <c r="B14033" s="37"/>
    </row>
    <row r="14034" spans="2:2" ht="15.95" customHeight="1">
      <c r="B14034" s="37"/>
    </row>
    <row r="14035" spans="2:2" ht="15.95" customHeight="1">
      <c r="B14035" s="37"/>
    </row>
    <row r="14036" spans="2:2" ht="15.95" customHeight="1">
      <c r="B14036" s="37"/>
    </row>
    <row r="14037" spans="2:2" ht="15.95" customHeight="1">
      <c r="B14037" s="37"/>
    </row>
    <row r="14038" spans="2:2" ht="15.95" customHeight="1">
      <c r="B14038" s="37"/>
    </row>
    <row r="14039" spans="2:2" ht="15.95" customHeight="1">
      <c r="B14039" s="37"/>
    </row>
    <row r="14040" spans="2:2" ht="15.95" customHeight="1">
      <c r="B14040" s="37"/>
    </row>
    <row r="14041" spans="2:2" ht="15.95" customHeight="1">
      <c r="B14041" s="37"/>
    </row>
    <row r="14042" spans="2:2" ht="15.95" customHeight="1">
      <c r="B14042" s="37"/>
    </row>
    <row r="14043" spans="2:2" ht="15.95" customHeight="1">
      <c r="B14043" s="37"/>
    </row>
    <row r="14044" spans="2:2" ht="15.95" customHeight="1">
      <c r="B14044" s="37"/>
    </row>
    <row r="14045" spans="2:2" ht="15.95" customHeight="1">
      <c r="B14045" s="37"/>
    </row>
    <row r="14046" spans="2:2" ht="15.95" customHeight="1">
      <c r="B14046" s="37"/>
    </row>
    <row r="14047" spans="2:2" ht="15.95" customHeight="1">
      <c r="B14047" s="37"/>
    </row>
    <row r="14048" spans="2:2" ht="15.95" customHeight="1">
      <c r="B14048" s="37"/>
    </row>
    <row r="14049" spans="2:2" ht="15.95" customHeight="1">
      <c r="B14049" s="37"/>
    </row>
    <row r="14050" spans="2:2" ht="15.95" customHeight="1">
      <c r="B14050" s="37"/>
    </row>
    <row r="14051" spans="2:2" ht="15.95" customHeight="1">
      <c r="B14051" s="37"/>
    </row>
    <row r="14052" spans="2:2" ht="15.95" customHeight="1">
      <c r="B14052" s="37"/>
    </row>
    <row r="14053" spans="2:2" ht="15.95" customHeight="1">
      <c r="B14053" s="37"/>
    </row>
    <row r="14054" spans="2:2" ht="15.95" customHeight="1">
      <c r="B14054" s="37"/>
    </row>
    <row r="14055" spans="2:2" ht="15.95" customHeight="1">
      <c r="B14055" s="37"/>
    </row>
    <row r="14056" spans="2:2" ht="15.95" customHeight="1">
      <c r="B14056" s="37"/>
    </row>
    <row r="14057" spans="2:2" ht="15.95" customHeight="1">
      <c r="B14057" s="37"/>
    </row>
    <row r="14058" spans="2:2" ht="15.95" customHeight="1">
      <c r="B14058" s="37"/>
    </row>
    <row r="14059" spans="2:2" ht="15.95" customHeight="1">
      <c r="B14059" s="37"/>
    </row>
    <row r="14060" spans="2:2" ht="15.95" customHeight="1">
      <c r="B14060" s="37"/>
    </row>
    <row r="14061" spans="2:2" ht="15.95" customHeight="1">
      <c r="B14061" s="37"/>
    </row>
    <row r="14062" spans="2:2" ht="15.95" customHeight="1">
      <c r="B14062" s="37"/>
    </row>
    <row r="14063" spans="2:2" ht="15.95" customHeight="1">
      <c r="B14063" s="37"/>
    </row>
    <row r="14064" spans="2:2" ht="15.95" customHeight="1">
      <c r="B14064" s="37"/>
    </row>
    <row r="14065" spans="2:2" ht="15.95" customHeight="1">
      <c r="B14065" s="37"/>
    </row>
    <row r="14066" spans="2:2" ht="15.95" customHeight="1">
      <c r="B14066" s="37"/>
    </row>
    <row r="14067" spans="2:2" ht="15.95" customHeight="1">
      <c r="B14067" s="37"/>
    </row>
    <row r="14068" spans="2:2" ht="15.95" customHeight="1">
      <c r="B14068" s="37"/>
    </row>
    <row r="14069" spans="2:2" ht="15.95" customHeight="1">
      <c r="B14069" s="37"/>
    </row>
    <row r="14070" spans="2:2" ht="15.95" customHeight="1">
      <c r="B14070" s="37"/>
    </row>
    <row r="14071" spans="2:2" ht="15.95" customHeight="1">
      <c r="B14071" s="37"/>
    </row>
    <row r="14072" spans="2:2" ht="15.95" customHeight="1">
      <c r="B14072" s="37"/>
    </row>
    <row r="14073" spans="2:2" ht="15.95" customHeight="1">
      <c r="B14073" s="37"/>
    </row>
    <row r="14074" spans="2:2" ht="15.95" customHeight="1">
      <c r="B14074" s="37"/>
    </row>
    <row r="14075" spans="2:2" ht="15.95" customHeight="1">
      <c r="B14075" s="37"/>
    </row>
    <row r="14076" spans="2:2" ht="15.95" customHeight="1">
      <c r="B14076" s="37"/>
    </row>
    <row r="14077" spans="2:2" ht="15.95" customHeight="1">
      <c r="B14077" s="37"/>
    </row>
    <row r="14078" spans="2:2" ht="15.95" customHeight="1">
      <c r="B14078" s="37"/>
    </row>
    <row r="14079" spans="2:2" ht="15.95" customHeight="1">
      <c r="B14079" s="37"/>
    </row>
    <row r="14080" spans="2:2" ht="15.95" customHeight="1">
      <c r="B14080" s="37"/>
    </row>
    <row r="14081" spans="2:2" ht="15.95" customHeight="1">
      <c r="B14081" s="37"/>
    </row>
    <row r="14082" spans="2:2" ht="15.95" customHeight="1">
      <c r="B14082" s="37"/>
    </row>
    <row r="14083" spans="2:2" ht="15.95" customHeight="1">
      <c r="B14083" s="37"/>
    </row>
    <row r="14084" spans="2:2" ht="15.95" customHeight="1">
      <c r="B14084" s="37"/>
    </row>
    <row r="14085" spans="2:2" ht="15.95" customHeight="1">
      <c r="B14085" s="37"/>
    </row>
    <row r="14086" spans="2:2" ht="15.95" customHeight="1">
      <c r="B14086" s="37"/>
    </row>
    <row r="14087" spans="2:2" ht="15.95" customHeight="1">
      <c r="B14087" s="37"/>
    </row>
    <row r="14088" spans="2:2" ht="15.95" customHeight="1">
      <c r="B14088" s="37"/>
    </row>
    <row r="14089" spans="2:2" ht="15.95" customHeight="1">
      <c r="B14089" s="37"/>
    </row>
    <row r="14090" spans="2:2" ht="15.95" customHeight="1">
      <c r="B14090" s="37"/>
    </row>
    <row r="14091" spans="2:2" ht="15.95" customHeight="1">
      <c r="B14091" s="37"/>
    </row>
    <row r="14092" spans="2:2" ht="15.95" customHeight="1">
      <c r="B14092" s="37"/>
    </row>
    <row r="14093" spans="2:2" ht="15.95" customHeight="1">
      <c r="B14093" s="37"/>
    </row>
    <row r="14094" spans="2:2" ht="15.95" customHeight="1">
      <c r="B14094" s="37"/>
    </row>
    <row r="14095" spans="2:2" ht="15.95" customHeight="1">
      <c r="B14095" s="37"/>
    </row>
    <row r="14096" spans="2:2" ht="15.95" customHeight="1">
      <c r="B14096" s="37"/>
    </row>
    <row r="14097" spans="2:2" ht="15.95" customHeight="1">
      <c r="B14097" s="37"/>
    </row>
    <row r="14098" spans="2:2" ht="15.95" customHeight="1">
      <c r="B14098" s="37"/>
    </row>
    <row r="14099" spans="2:2" ht="15.95" customHeight="1">
      <c r="B14099" s="37"/>
    </row>
    <row r="14100" spans="2:2" ht="15.95" customHeight="1">
      <c r="B14100" s="37"/>
    </row>
    <row r="14101" spans="2:2" ht="15.95" customHeight="1">
      <c r="B14101" s="37"/>
    </row>
    <row r="14102" spans="2:2" ht="15.95" customHeight="1">
      <c r="B14102" s="37"/>
    </row>
    <row r="14103" spans="2:2" ht="15.95" customHeight="1">
      <c r="B14103" s="37"/>
    </row>
    <row r="14104" spans="2:2" ht="15.95" customHeight="1">
      <c r="B14104" s="37"/>
    </row>
    <row r="14105" spans="2:2" ht="15.95" customHeight="1">
      <c r="B14105" s="37"/>
    </row>
    <row r="14106" spans="2:2" ht="15.95" customHeight="1">
      <c r="B14106" s="37"/>
    </row>
    <row r="14107" spans="2:2" ht="15.95" customHeight="1">
      <c r="B14107" s="37"/>
    </row>
    <row r="14108" spans="2:2" ht="15.95" customHeight="1">
      <c r="B14108" s="37"/>
    </row>
    <row r="14109" spans="2:2" ht="15.95" customHeight="1">
      <c r="B14109" s="37"/>
    </row>
    <row r="14110" spans="2:2" ht="15.95" customHeight="1">
      <c r="B14110" s="37"/>
    </row>
    <row r="14111" spans="2:2" ht="15.95" customHeight="1">
      <c r="B14111" s="37"/>
    </row>
    <row r="14112" spans="2:2" ht="15.95" customHeight="1">
      <c r="B14112" s="37"/>
    </row>
    <row r="14113" spans="2:2" ht="15.95" customHeight="1">
      <c r="B14113" s="37"/>
    </row>
    <row r="14114" spans="2:2" ht="15.95" customHeight="1">
      <c r="B14114" s="37"/>
    </row>
    <row r="14115" spans="2:2" ht="15.95" customHeight="1">
      <c r="B14115" s="37"/>
    </row>
    <row r="14116" spans="2:2" ht="15.95" customHeight="1">
      <c r="B14116" s="37"/>
    </row>
    <row r="14117" spans="2:2" ht="15.95" customHeight="1">
      <c r="B14117" s="37"/>
    </row>
    <row r="14118" spans="2:2" ht="15.95" customHeight="1">
      <c r="B14118" s="37"/>
    </row>
    <row r="14119" spans="2:2" ht="15.95" customHeight="1">
      <c r="B14119" s="37"/>
    </row>
    <row r="14120" spans="2:2" ht="15.95" customHeight="1">
      <c r="B14120" s="37"/>
    </row>
    <row r="14121" spans="2:2" ht="15.95" customHeight="1">
      <c r="B14121" s="37"/>
    </row>
    <row r="14122" spans="2:2" ht="15.95" customHeight="1">
      <c r="B14122" s="37"/>
    </row>
    <row r="14123" spans="2:2" ht="15.95" customHeight="1">
      <c r="B14123" s="37"/>
    </row>
    <row r="14124" spans="2:2" ht="15.95" customHeight="1">
      <c r="B14124" s="37"/>
    </row>
    <row r="14125" spans="2:2" ht="15.95" customHeight="1">
      <c r="B14125" s="37"/>
    </row>
    <row r="14126" spans="2:2" ht="15.95" customHeight="1">
      <c r="B14126" s="37"/>
    </row>
    <row r="14127" spans="2:2" ht="15.95" customHeight="1">
      <c r="B14127" s="37"/>
    </row>
    <row r="14128" spans="2:2" ht="15.95" customHeight="1">
      <c r="B14128" s="37"/>
    </row>
    <row r="14129" spans="2:2" ht="15.95" customHeight="1">
      <c r="B14129" s="37"/>
    </row>
    <row r="14130" spans="2:2" ht="15.95" customHeight="1">
      <c r="B14130" s="37"/>
    </row>
    <row r="14131" spans="2:2" ht="15.95" customHeight="1">
      <c r="B14131" s="37"/>
    </row>
    <row r="14132" spans="2:2" ht="15.95" customHeight="1">
      <c r="B14132" s="37"/>
    </row>
    <row r="14133" spans="2:2" ht="15.95" customHeight="1">
      <c r="B14133" s="37"/>
    </row>
    <row r="14134" spans="2:2" ht="15.95" customHeight="1">
      <c r="B14134" s="37"/>
    </row>
    <row r="14135" spans="2:2" ht="15.95" customHeight="1">
      <c r="B14135" s="37"/>
    </row>
    <row r="14136" spans="2:2" ht="15.95" customHeight="1">
      <c r="B14136" s="37"/>
    </row>
    <row r="14137" spans="2:2" ht="15.95" customHeight="1">
      <c r="B14137" s="37"/>
    </row>
    <row r="14138" spans="2:2" ht="15.95" customHeight="1">
      <c r="B14138" s="37"/>
    </row>
    <row r="14139" spans="2:2" ht="15.95" customHeight="1">
      <c r="B14139" s="37"/>
    </row>
    <row r="14140" spans="2:2" ht="15.95" customHeight="1">
      <c r="B14140" s="37"/>
    </row>
    <row r="14141" spans="2:2" ht="15.95" customHeight="1">
      <c r="B14141" s="37"/>
    </row>
    <row r="14142" spans="2:2" ht="15.95" customHeight="1">
      <c r="B14142" s="37"/>
    </row>
    <row r="14143" spans="2:2" ht="15.95" customHeight="1">
      <c r="B14143" s="37"/>
    </row>
    <row r="14144" spans="2:2" ht="15.95" customHeight="1">
      <c r="B14144" s="37"/>
    </row>
    <row r="14145" spans="2:2" ht="15.95" customHeight="1">
      <c r="B14145" s="37"/>
    </row>
    <row r="14146" spans="2:2" ht="15.95" customHeight="1">
      <c r="B14146" s="37"/>
    </row>
    <row r="14147" spans="2:2" ht="15.95" customHeight="1">
      <c r="B14147" s="37"/>
    </row>
    <row r="14148" spans="2:2" ht="15.95" customHeight="1">
      <c r="B14148" s="37"/>
    </row>
    <row r="14149" spans="2:2" ht="15.95" customHeight="1">
      <c r="B14149" s="37"/>
    </row>
    <row r="14150" spans="2:2" ht="15.95" customHeight="1">
      <c r="B14150" s="37"/>
    </row>
    <row r="14151" spans="2:2" ht="15.95" customHeight="1">
      <c r="B14151" s="37"/>
    </row>
    <row r="14152" spans="2:2" ht="15.95" customHeight="1">
      <c r="B14152" s="37"/>
    </row>
    <row r="14153" spans="2:2" ht="15.95" customHeight="1">
      <c r="B14153" s="37"/>
    </row>
    <row r="14154" spans="2:2" ht="15.95" customHeight="1">
      <c r="B14154" s="37"/>
    </row>
    <row r="14155" spans="2:2" ht="15.95" customHeight="1">
      <c r="B14155" s="37"/>
    </row>
    <row r="14156" spans="2:2" ht="15.95" customHeight="1">
      <c r="B14156" s="37"/>
    </row>
    <row r="14157" spans="2:2" ht="15.95" customHeight="1">
      <c r="B14157" s="37"/>
    </row>
    <row r="14158" spans="2:2" ht="15.95" customHeight="1">
      <c r="B14158" s="37"/>
    </row>
    <row r="14159" spans="2:2" ht="15.95" customHeight="1">
      <c r="B14159" s="37"/>
    </row>
    <row r="14160" spans="2:2" ht="15.95" customHeight="1">
      <c r="B14160" s="37"/>
    </row>
    <row r="14161" spans="2:2" ht="15.95" customHeight="1">
      <c r="B14161" s="37"/>
    </row>
    <row r="14162" spans="2:2" ht="15.95" customHeight="1">
      <c r="B14162" s="37"/>
    </row>
    <row r="14163" spans="2:2" ht="15.95" customHeight="1">
      <c r="B14163" s="37"/>
    </row>
    <row r="14164" spans="2:2" ht="15.95" customHeight="1">
      <c r="B14164" s="37"/>
    </row>
    <row r="14165" spans="2:2" ht="15.95" customHeight="1">
      <c r="B14165" s="37"/>
    </row>
    <row r="14166" spans="2:2" ht="15.95" customHeight="1">
      <c r="B14166" s="37"/>
    </row>
    <row r="14167" spans="2:2" ht="15.95" customHeight="1">
      <c r="B14167" s="37"/>
    </row>
    <row r="14168" spans="2:2" ht="15.95" customHeight="1">
      <c r="B14168" s="37"/>
    </row>
    <row r="14169" spans="2:2" ht="15.95" customHeight="1">
      <c r="B14169" s="37"/>
    </row>
    <row r="14170" spans="2:2" ht="15.95" customHeight="1">
      <c r="B14170" s="37"/>
    </row>
    <row r="14171" spans="2:2" ht="15.95" customHeight="1">
      <c r="B14171" s="37"/>
    </row>
    <row r="14172" spans="2:2" ht="15.95" customHeight="1">
      <c r="B14172" s="37"/>
    </row>
    <row r="14173" spans="2:2" ht="15.95" customHeight="1">
      <c r="B14173" s="37"/>
    </row>
    <row r="14174" spans="2:2" ht="15.95" customHeight="1">
      <c r="B14174" s="37"/>
    </row>
    <row r="14175" spans="2:2" ht="15.95" customHeight="1">
      <c r="B14175" s="37"/>
    </row>
    <row r="14176" spans="2:2" ht="15.95" customHeight="1">
      <c r="B14176" s="37"/>
    </row>
    <row r="14177" spans="2:2" ht="15.95" customHeight="1">
      <c r="B14177" s="37"/>
    </row>
    <row r="14178" spans="2:2" ht="15.95" customHeight="1">
      <c r="B14178" s="37"/>
    </row>
    <row r="14179" spans="2:2" ht="15.95" customHeight="1">
      <c r="B14179" s="37"/>
    </row>
    <row r="14180" spans="2:2" ht="15.95" customHeight="1">
      <c r="B14180" s="37"/>
    </row>
    <row r="14181" spans="2:2" ht="15.95" customHeight="1">
      <c r="B14181" s="37"/>
    </row>
    <row r="14182" spans="2:2" ht="15.95" customHeight="1">
      <c r="B14182" s="37"/>
    </row>
    <row r="14183" spans="2:2" ht="15.95" customHeight="1">
      <c r="B14183" s="37"/>
    </row>
    <row r="14184" spans="2:2" ht="15.95" customHeight="1">
      <c r="B14184" s="37"/>
    </row>
    <row r="14185" spans="2:2" ht="15.95" customHeight="1">
      <c r="B14185" s="37"/>
    </row>
    <row r="14186" spans="2:2" ht="15.95" customHeight="1">
      <c r="B14186" s="37"/>
    </row>
    <row r="14187" spans="2:2" ht="15.95" customHeight="1">
      <c r="B14187" s="37"/>
    </row>
    <row r="14188" spans="2:2" ht="15.95" customHeight="1">
      <c r="B14188" s="37"/>
    </row>
    <row r="14189" spans="2:2" ht="15.95" customHeight="1">
      <c r="B14189" s="37"/>
    </row>
    <row r="14190" spans="2:2" ht="15.95" customHeight="1">
      <c r="B14190" s="37"/>
    </row>
    <row r="14191" spans="2:2" ht="15.95" customHeight="1">
      <c r="B14191" s="37"/>
    </row>
    <row r="14192" spans="2:2" ht="15.95" customHeight="1">
      <c r="B14192" s="37"/>
    </row>
    <row r="14193" spans="2:2" ht="15.95" customHeight="1">
      <c r="B14193" s="37"/>
    </row>
    <row r="14194" spans="2:2" ht="15.95" customHeight="1">
      <c r="B14194" s="37"/>
    </row>
    <row r="14195" spans="2:2" ht="15.95" customHeight="1">
      <c r="B14195" s="37"/>
    </row>
    <row r="14196" spans="2:2" ht="15.95" customHeight="1">
      <c r="B14196" s="37"/>
    </row>
    <row r="14197" spans="2:2" ht="15.95" customHeight="1">
      <c r="B14197" s="37"/>
    </row>
    <row r="14198" spans="2:2" ht="15.95" customHeight="1">
      <c r="B14198" s="37"/>
    </row>
    <row r="14199" spans="2:2" ht="15.95" customHeight="1">
      <c r="B14199" s="37"/>
    </row>
    <row r="14200" spans="2:2" ht="15.95" customHeight="1">
      <c r="B14200" s="37"/>
    </row>
    <row r="14201" spans="2:2" ht="15.95" customHeight="1">
      <c r="B14201" s="37"/>
    </row>
    <row r="14202" spans="2:2" ht="15.95" customHeight="1">
      <c r="B14202" s="37"/>
    </row>
    <row r="14203" spans="2:2" ht="15.95" customHeight="1">
      <c r="B14203" s="37"/>
    </row>
    <row r="14204" spans="2:2" ht="15.95" customHeight="1">
      <c r="B14204" s="37"/>
    </row>
    <row r="14205" spans="2:2" ht="15.95" customHeight="1">
      <c r="B14205" s="37"/>
    </row>
    <row r="14206" spans="2:2" ht="15.95" customHeight="1">
      <c r="B14206" s="37"/>
    </row>
    <row r="14207" spans="2:2" ht="15.95" customHeight="1">
      <c r="B14207" s="37"/>
    </row>
    <row r="14208" spans="2:2" ht="15.95" customHeight="1">
      <c r="B14208" s="37"/>
    </row>
    <row r="14209" spans="2:2" ht="15.95" customHeight="1">
      <c r="B14209" s="37"/>
    </row>
    <row r="14210" spans="2:2" ht="15.95" customHeight="1">
      <c r="B14210" s="37"/>
    </row>
    <row r="14211" spans="2:2" ht="15.95" customHeight="1">
      <c r="B14211" s="37"/>
    </row>
    <row r="14212" spans="2:2" ht="15.95" customHeight="1">
      <c r="B14212" s="37"/>
    </row>
    <row r="14213" spans="2:2" ht="15.95" customHeight="1">
      <c r="B14213" s="37"/>
    </row>
    <row r="14214" spans="2:2" ht="15.95" customHeight="1">
      <c r="B14214" s="37"/>
    </row>
    <row r="14215" spans="2:2" ht="15.95" customHeight="1">
      <c r="B14215" s="37"/>
    </row>
    <row r="14216" spans="2:2" ht="15.95" customHeight="1">
      <c r="B14216" s="37"/>
    </row>
    <row r="14217" spans="2:2" ht="15.95" customHeight="1">
      <c r="B14217" s="37"/>
    </row>
    <row r="14218" spans="2:2" ht="15.95" customHeight="1">
      <c r="B14218" s="37"/>
    </row>
    <row r="14219" spans="2:2" ht="15.95" customHeight="1">
      <c r="B14219" s="37"/>
    </row>
    <row r="14220" spans="2:2" ht="15.95" customHeight="1">
      <c r="B14220" s="37"/>
    </row>
    <row r="14221" spans="2:2" ht="15.95" customHeight="1">
      <c r="B14221" s="37"/>
    </row>
    <row r="14222" spans="2:2" ht="15.95" customHeight="1">
      <c r="B14222" s="37"/>
    </row>
    <row r="14223" spans="2:2" ht="15.95" customHeight="1">
      <c r="B14223" s="37"/>
    </row>
    <row r="14224" spans="2:2" ht="15.95" customHeight="1">
      <c r="B14224" s="37"/>
    </row>
    <row r="14225" spans="2:2" ht="15.95" customHeight="1">
      <c r="B14225" s="37"/>
    </row>
    <row r="14226" spans="2:2" ht="15.95" customHeight="1">
      <c r="B14226" s="37"/>
    </row>
    <row r="14227" spans="2:2" ht="15.95" customHeight="1">
      <c r="B14227" s="37"/>
    </row>
    <row r="14228" spans="2:2" ht="15.95" customHeight="1">
      <c r="B14228" s="37"/>
    </row>
    <row r="14229" spans="2:2" ht="15.95" customHeight="1">
      <c r="B14229" s="37"/>
    </row>
    <row r="14230" spans="2:2" ht="15.95" customHeight="1">
      <c r="B14230" s="37"/>
    </row>
    <row r="14231" spans="2:2" ht="15.95" customHeight="1">
      <c r="B14231" s="37"/>
    </row>
    <row r="14232" spans="2:2" ht="15.95" customHeight="1">
      <c r="B14232" s="37"/>
    </row>
    <row r="14233" spans="2:2" ht="15.95" customHeight="1">
      <c r="B14233" s="37"/>
    </row>
    <row r="14234" spans="2:2" ht="15.95" customHeight="1">
      <c r="B14234" s="37"/>
    </row>
    <row r="14235" spans="2:2" ht="15.95" customHeight="1">
      <c r="B14235" s="37"/>
    </row>
    <row r="14236" spans="2:2" ht="15.95" customHeight="1">
      <c r="B14236" s="37"/>
    </row>
    <row r="14237" spans="2:2" ht="15.95" customHeight="1">
      <c r="B14237" s="37"/>
    </row>
    <row r="14238" spans="2:2" ht="15.95" customHeight="1">
      <c r="B14238" s="37"/>
    </row>
    <row r="14239" spans="2:2" ht="15.95" customHeight="1">
      <c r="B14239" s="37"/>
    </row>
    <row r="14240" spans="2:2" ht="15.95" customHeight="1">
      <c r="B14240" s="37"/>
    </row>
    <row r="14241" spans="2:2" ht="15.95" customHeight="1">
      <c r="B14241" s="37"/>
    </row>
    <row r="14242" spans="2:2" ht="15.95" customHeight="1">
      <c r="B14242" s="37"/>
    </row>
    <row r="14243" spans="2:2" ht="15.95" customHeight="1">
      <c r="B14243" s="37"/>
    </row>
    <row r="14244" spans="2:2" ht="15.95" customHeight="1">
      <c r="B14244" s="37"/>
    </row>
    <row r="14245" spans="2:2" ht="15.95" customHeight="1">
      <c r="B14245" s="37"/>
    </row>
    <row r="14246" spans="2:2" ht="15.95" customHeight="1">
      <c r="B14246" s="37"/>
    </row>
    <row r="14247" spans="2:2" ht="15.95" customHeight="1">
      <c r="B14247" s="37"/>
    </row>
    <row r="14248" spans="2:2" ht="15.95" customHeight="1">
      <c r="B14248" s="37"/>
    </row>
    <row r="14249" spans="2:2" ht="15.95" customHeight="1">
      <c r="B14249" s="37"/>
    </row>
    <row r="14250" spans="2:2" ht="15.95" customHeight="1">
      <c r="B14250" s="37"/>
    </row>
    <row r="14251" spans="2:2" ht="15.95" customHeight="1">
      <c r="B14251" s="37"/>
    </row>
    <row r="14252" spans="2:2" ht="15.95" customHeight="1">
      <c r="B14252" s="37"/>
    </row>
    <row r="14253" spans="2:2" ht="15.95" customHeight="1">
      <c r="B14253" s="37"/>
    </row>
    <row r="14254" spans="2:2" ht="15.95" customHeight="1">
      <c r="B14254" s="37"/>
    </row>
    <row r="14255" spans="2:2" ht="15.95" customHeight="1">
      <c r="B14255" s="37"/>
    </row>
    <row r="14256" spans="2:2" ht="15.95" customHeight="1">
      <c r="B14256" s="37"/>
    </row>
    <row r="14257" spans="2:2" ht="15.95" customHeight="1">
      <c r="B14257" s="37"/>
    </row>
    <row r="14258" spans="2:2" ht="15.95" customHeight="1">
      <c r="B14258" s="37"/>
    </row>
    <row r="14259" spans="2:2" ht="15.95" customHeight="1">
      <c r="B14259" s="37"/>
    </row>
    <row r="14260" spans="2:2" ht="15.95" customHeight="1">
      <c r="B14260" s="37"/>
    </row>
    <row r="14261" spans="2:2" ht="15.95" customHeight="1">
      <c r="B14261" s="37"/>
    </row>
    <row r="14262" spans="2:2" ht="15.95" customHeight="1">
      <c r="B14262" s="37"/>
    </row>
    <row r="14263" spans="2:2" ht="15.95" customHeight="1">
      <c r="B14263" s="37"/>
    </row>
    <row r="14264" spans="2:2" ht="15.95" customHeight="1">
      <c r="B14264" s="37"/>
    </row>
    <row r="14265" spans="2:2" ht="15.95" customHeight="1">
      <c r="B14265" s="37"/>
    </row>
    <row r="14266" spans="2:2" ht="15.95" customHeight="1">
      <c r="B14266" s="37"/>
    </row>
    <row r="14267" spans="2:2" ht="15.95" customHeight="1">
      <c r="B14267" s="37"/>
    </row>
    <row r="14268" spans="2:2" ht="15.95" customHeight="1">
      <c r="B14268" s="37"/>
    </row>
    <row r="14269" spans="2:2" ht="15.95" customHeight="1">
      <c r="B14269" s="37"/>
    </row>
    <row r="14270" spans="2:2" ht="15.95" customHeight="1">
      <c r="B14270" s="37"/>
    </row>
    <row r="14271" spans="2:2" ht="15.95" customHeight="1">
      <c r="B14271" s="37"/>
    </row>
    <row r="14272" spans="2:2" ht="15.95" customHeight="1">
      <c r="B14272" s="37"/>
    </row>
    <row r="14273" spans="2:2" ht="15.95" customHeight="1">
      <c r="B14273" s="37"/>
    </row>
    <row r="14274" spans="2:2" ht="15.95" customHeight="1">
      <c r="B14274" s="37"/>
    </row>
    <row r="14275" spans="2:2" ht="15.95" customHeight="1">
      <c r="B14275" s="37"/>
    </row>
    <row r="14276" spans="2:2" ht="15.95" customHeight="1">
      <c r="B14276" s="37"/>
    </row>
    <row r="14277" spans="2:2" ht="15.95" customHeight="1">
      <c r="B14277" s="37"/>
    </row>
    <row r="14278" spans="2:2" ht="15.95" customHeight="1">
      <c r="B14278" s="37"/>
    </row>
    <row r="14279" spans="2:2" ht="15.95" customHeight="1">
      <c r="B14279" s="37"/>
    </row>
    <row r="14280" spans="2:2" ht="15.95" customHeight="1">
      <c r="B14280" s="37"/>
    </row>
    <row r="14281" spans="2:2" ht="15.95" customHeight="1">
      <c r="B14281" s="37"/>
    </row>
    <row r="14282" spans="2:2" ht="15.95" customHeight="1">
      <c r="B14282" s="37"/>
    </row>
    <row r="14283" spans="2:2" ht="15.95" customHeight="1">
      <c r="B14283" s="37"/>
    </row>
    <row r="14284" spans="2:2" ht="15.95" customHeight="1">
      <c r="B14284" s="37"/>
    </row>
    <row r="14285" spans="2:2" ht="15.95" customHeight="1">
      <c r="B14285" s="37"/>
    </row>
    <row r="14286" spans="2:2" ht="15.95" customHeight="1">
      <c r="B14286" s="37"/>
    </row>
    <row r="14287" spans="2:2" ht="15.95" customHeight="1">
      <c r="B14287" s="37"/>
    </row>
    <row r="14288" spans="2:2" ht="15.95" customHeight="1">
      <c r="B14288" s="37"/>
    </row>
    <row r="14289" spans="2:2" ht="15.95" customHeight="1">
      <c r="B14289" s="37"/>
    </row>
    <row r="14290" spans="2:2" ht="15.95" customHeight="1">
      <c r="B14290" s="37"/>
    </row>
    <row r="14291" spans="2:2" ht="15.95" customHeight="1">
      <c r="B14291" s="37"/>
    </row>
    <row r="14292" spans="2:2" ht="15.95" customHeight="1">
      <c r="B14292" s="37"/>
    </row>
    <row r="14293" spans="2:2" ht="15.95" customHeight="1">
      <c r="B14293" s="37"/>
    </row>
    <row r="14294" spans="2:2" ht="15.95" customHeight="1">
      <c r="B14294" s="37"/>
    </row>
    <row r="14295" spans="2:2" ht="15.95" customHeight="1">
      <c r="B14295" s="37"/>
    </row>
    <row r="14296" spans="2:2" ht="15.95" customHeight="1">
      <c r="B14296" s="37"/>
    </row>
    <row r="14297" spans="2:2" ht="15.95" customHeight="1">
      <c r="B14297" s="37"/>
    </row>
    <row r="14298" spans="2:2" ht="15.95" customHeight="1">
      <c r="B14298" s="37"/>
    </row>
    <row r="14299" spans="2:2" ht="15.95" customHeight="1">
      <c r="B14299" s="37"/>
    </row>
    <row r="14300" spans="2:2" ht="15.95" customHeight="1">
      <c r="B14300" s="37"/>
    </row>
    <row r="14301" spans="2:2" ht="15.95" customHeight="1">
      <c r="B14301" s="37"/>
    </row>
    <row r="14302" spans="2:2" ht="15.95" customHeight="1">
      <c r="B14302" s="37"/>
    </row>
    <row r="14303" spans="2:2" ht="15.95" customHeight="1">
      <c r="B14303" s="37"/>
    </row>
    <row r="14304" spans="2:2" ht="15.95" customHeight="1">
      <c r="B14304" s="37"/>
    </row>
    <row r="14305" spans="2:2" ht="15.95" customHeight="1">
      <c r="B14305" s="37"/>
    </row>
    <row r="14306" spans="2:2" ht="15.95" customHeight="1">
      <c r="B14306" s="37"/>
    </row>
    <row r="14307" spans="2:2" ht="15.95" customHeight="1">
      <c r="B14307" s="37"/>
    </row>
    <row r="14308" spans="2:2" ht="15.95" customHeight="1">
      <c r="B14308" s="37"/>
    </row>
    <row r="14309" spans="2:2" ht="15.95" customHeight="1">
      <c r="B14309" s="37"/>
    </row>
    <row r="14310" spans="2:2" ht="15.95" customHeight="1">
      <c r="B14310" s="37"/>
    </row>
    <row r="14311" spans="2:2" ht="15.95" customHeight="1">
      <c r="B14311" s="37"/>
    </row>
    <row r="14312" spans="2:2" ht="15.95" customHeight="1">
      <c r="B14312" s="37"/>
    </row>
    <row r="14313" spans="2:2" ht="15.95" customHeight="1">
      <c r="B14313" s="37"/>
    </row>
    <row r="14314" spans="2:2" ht="15.95" customHeight="1">
      <c r="B14314" s="37"/>
    </row>
    <row r="14315" spans="2:2" ht="15.95" customHeight="1">
      <c r="B14315" s="37"/>
    </row>
    <row r="14316" spans="2:2" ht="15.95" customHeight="1">
      <c r="B14316" s="37"/>
    </row>
    <row r="14317" spans="2:2" ht="15.95" customHeight="1">
      <c r="B14317" s="37"/>
    </row>
    <row r="14318" spans="2:2" ht="15.95" customHeight="1">
      <c r="B14318" s="37"/>
    </row>
    <row r="14319" spans="2:2" ht="15.95" customHeight="1">
      <c r="B14319" s="37"/>
    </row>
    <row r="14320" spans="2:2" ht="15.95" customHeight="1">
      <c r="B14320" s="37"/>
    </row>
    <row r="14321" spans="2:2" ht="15.95" customHeight="1">
      <c r="B14321" s="37"/>
    </row>
    <row r="14322" spans="2:2" ht="15.95" customHeight="1">
      <c r="B14322" s="37"/>
    </row>
    <row r="14323" spans="2:2" ht="15.95" customHeight="1">
      <c r="B14323" s="37"/>
    </row>
    <row r="14324" spans="2:2" ht="15.95" customHeight="1">
      <c r="B14324" s="37"/>
    </row>
    <row r="14325" spans="2:2" ht="15.95" customHeight="1">
      <c r="B14325" s="37"/>
    </row>
    <row r="14326" spans="2:2" ht="15.95" customHeight="1">
      <c r="B14326" s="37"/>
    </row>
    <row r="14327" spans="2:2" ht="15.95" customHeight="1">
      <c r="B14327" s="37"/>
    </row>
    <row r="14328" spans="2:2" ht="15.95" customHeight="1">
      <c r="B14328" s="37"/>
    </row>
    <row r="14329" spans="2:2" ht="15.95" customHeight="1">
      <c r="B14329" s="37"/>
    </row>
    <row r="14330" spans="2:2" ht="15.95" customHeight="1">
      <c r="B14330" s="37"/>
    </row>
    <row r="14331" spans="2:2" ht="15.95" customHeight="1">
      <c r="B14331" s="37"/>
    </row>
    <row r="14332" spans="2:2" ht="15.95" customHeight="1">
      <c r="B14332" s="37"/>
    </row>
    <row r="14333" spans="2:2" ht="15.95" customHeight="1">
      <c r="B14333" s="37"/>
    </row>
    <row r="14334" spans="2:2" ht="15.95" customHeight="1">
      <c r="B14334" s="37"/>
    </row>
    <row r="14335" spans="2:2" ht="15.95" customHeight="1">
      <c r="B14335" s="37"/>
    </row>
    <row r="14336" spans="2:2" ht="15.95" customHeight="1">
      <c r="B14336" s="37"/>
    </row>
    <row r="14337" spans="2:2" ht="15.95" customHeight="1">
      <c r="B14337" s="37"/>
    </row>
    <row r="14338" spans="2:2" ht="15.95" customHeight="1">
      <c r="B14338" s="37"/>
    </row>
    <row r="14339" spans="2:2" ht="15.95" customHeight="1">
      <c r="B14339" s="37"/>
    </row>
    <row r="14340" spans="2:2" ht="15.95" customHeight="1">
      <c r="B14340" s="37"/>
    </row>
    <row r="14341" spans="2:2" ht="15.95" customHeight="1">
      <c r="B14341" s="37"/>
    </row>
    <row r="14342" spans="2:2" ht="15.95" customHeight="1">
      <c r="B14342" s="37"/>
    </row>
    <row r="14343" spans="2:2" ht="15.95" customHeight="1">
      <c r="B14343" s="37"/>
    </row>
    <row r="14344" spans="2:2" ht="15.95" customHeight="1">
      <c r="B14344" s="37"/>
    </row>
    <row r="14345" spans="2:2" ht="15.95" customHeight="1">
      <c r="B14345" s="37"/>
    </row>
    <row r="14346" spans="2:2" ht="15.95" customHeight="1">
      <c r="B14346" s="37"/>
    </row>
    <row r="14347" spans="2:2" ht="15.95" customHeight="1">
      <c r="B14347" s="37"/>
    </row>
    <row r="14348" spans="2:2" ht="15.95" customHeight="1">
      <c r="B14348" s="37"/>
    </row>
    <row r="14349" spans="2:2" ht="15.95" customHeight="1">
      <c r="B14349" s="37"/>
    </row>
    <row r="14350" spans="2:2" ht="15.95" customHeight="1">
      <c r="B14350" s="37"/>
    </row>
    <row r="14351" spans="2:2" ht="15.95" customHeight="1">
      <c r="B14351" s="37"/>
    </row>
    <row r="14352" spans="2:2" ht="15.95" customHeight="1">
      <c r="B14352" s="37"/>
    </row>
    <row r="14353" spans="2:2" ht="15.95" customHeight="1">
      <c r="B14353" s="37"/>
    </row>
    <row r="14354" spans="2:2" ht="15.95" customHeight="1">
      <c r="B14354" s="37"/>
    </row>
    <row r="14355" spans="2:2" ht="15.95" customHeight="1">
      <c r="B14355" s="37"/>
    </row>
    <row r="14356" spans="2:2" ht="15.95" customHeight="1">
      <c r="B14356" s="37"/>
    </row>
    <row r="14357" spans="2:2" ht="15.95" customHeight="1">
      <c r="B14357" s="37"/>
    </row>
    <row r="14358" spans="2:2" ht="15.95" customHeight="1">
      <c r="B14358" s="37"/>
    </row>
    <row r="14359" spans="2:2" ht="15.95" customHeight="1">
      <c r="B14359" s="37"/>
    </row>
    <row r="14360" spans="2:2" ht="15.95" customHeight="1">
      <c r="B14360" s="37"/>
    </row>
    <row r="14361" spans="2:2" ht="15.95" customHeight="1">
      <c r="B14361" s="37"/>
    </row>
    <row r="14362" spans="2:2" ht="15.95" customHeight="1">
      <c r="B14362" s="37"/>
    </row>
    <row r="14363" spans="2:2" ht="15.95" customHeight="1">
      <c r="B14363" s="37"/>
    </row>
    <row r="14364" spans="2:2" ht="15.95" customHeight="1">
      <c r="B14364" s="37"/>
    </row>
    <row r="14365" spans="2:2" ht="15.95" customHeight="1">
      <c r="B14365" s="37"/>
    </row>
    <row r="14366" spans="2:2" ht="15.95" customHeight="1">
      <c r="B14366" s="37"/>
    </row>
    <row r="14367" spans="2:2" ht="15.95" customHeight="1">
      <c r="B14367" s="37"/>
    </row>
    <row r="14368" spans="2:2" ht="15.95" customHeight="1">
      <c r="B14368" s="37"/>
    </row>
    <row r="14369" spans="2:2" ht="15.95" customHeight="1">
      <c r="B14369" s="37"/>
    </row>
    <row r="14370" spans="2:2" ht="15.95" customHeight="1">
      <c r="B14370" s="37"/>
    </row>
    <row r="14371" spans="2:2" ht="15.95" customHeight="1">
      <c r="B14371" s="37"/>
    </row>
    <row r="14372" spans="2:2" ht="15.95" customHeight="1">
      <c r="B14372" s="37"/>
    </row>
    <row r="14373" spans="2:2" ht="15.95" customHeight="1">
      <c r="B14373" s="37"/>
    </row>
    <row r="14374" spans="2:2" ht="15.95" customHeight="1">
      <c r="B14374" s="37"/>
    </row>
    <row r="14375" spans="2:2" ht="15.95" customHeight="1">
      <c r="B14375" s="37"/>
    </row>
    <row r="14376" spans="2:2" ht="15.95" customHeight="1">
      <c r="B14376" s="37"/>
    </row>
    <row r="14377" spans="2:2" ht="15.95" customHeight="1">
      <c r="B14377" s="37"/>
    </row>
    <row r="14378" spans="2:2" ht="15.95" customHeight="1">
      <c r="B14378" s="37"/>
    </row>
    <row r="14379" spans="2:2" ht="15.95" customHeight="1">
      <c r="B14379" s="37"/>
    </row>
    <row r="14380" spans="2:2" ht="15.95" customHeight="1">
      <c r="B14380" s="37"/>
    </row>
    <row r="14381" spans="2:2" ht="15.95" customHeight="1">
      <c r="B14381" s="37"/>
    </row>
    <row r="14382" spans="2:2" ht="15.95" customHeight="1">
      <c r="B14382" s="37"/>
    </row>
    <row r="14383" spans="2:2" ht="15.95" customHeight="1">
      <c r="B14383" s="37"/>
    </row>
    <row r="14384" spans="2:2" ht="15.95" customHeight="1">
      <c r="B14384" s="37"/>
    </row>
    <row r="14385" spans="2:2" ht="15.95" customHeight="1">
      <c r="B14385" s="37"/>
    </row>
    <row r="14386" spans="2:2" ht="15.95" customHeight="1">
      <c r="B14386" s="37"/>
    </row>
    <row r="14387" spans="2:2" ht="15.95" customHeight="1">
      <c r="B14387" s="37"/>
    </row>
    <row r="14388" spans="2:2" ht="15.95" customHeight="1">
      <c r="B14388" s="37"/>
    </row>
    <row r="14389" spans="2:2" ht="15.95" customHeight="1">
      <c r="B14389" s="37"/>
    </row>
    <row r="14390" spans="2:2" ht="15.95" customHeight="1">
      <c r="B14390" s="37"/>
    </row>
    <row r="14391" spans="2:2" ht="15.95" customHeight="1">
      <c r="B14391" s="37"/>
    </row>
    <row r="14392" spans="2:2" ht="15.95" customHeight="1">
      <c r="B14392" s="37"/>
    </row>
    <row r="14393" spans="2:2" ht="15.95" customHeight="1">
      <c r="B14393" s="37"/>
    </row>
    <row r="14394" spans="2:2" ht="15.95" customHeight="1">
      <c r="B14394" s="37"/>
    </row>
    <row r="14395" spans="2:2" ht="15.95" customHeight="1">
      <c r="B14395" s="37"/>
    </row>
    <row r="14396" spans="2:2" ht="15.95" customHeight="1">
      <c r="B14396" s="37"/>
    </row>
    <row r="14397" spans="2:2" ht="15.95" customHeight="1">
      <c r="B14397" s="37"/>
    </row>
    <row r="14398" spans="2:2" ht="15.95" customHeight="1">
      <c r="B14398" s="37"/>
    </row>
    <row r="14399" spans="2:2" ht="15.95" customHeight="1">
      <c r="B14399" s="37"/>
    </row>
    <row r="14400" spans="2:2" ht="15.95" customHeight="1">
      <c r="B14400" s="37"/>
    </row>
    <row r="14401" spans="2:2" ht="15.95" customHeight="1">
      <c r="B14401" s="37"/>
    </row>
    <row r="14402" spans="2:2" ht="15.95" customHeight="1">
      <c r="B14402" s="37"/>
    </row>
    <row r="14403" spans="2:2" ht="15.95" customHeight="1">
      <c r="B14403" s="37"/>
    </row>
    <row r="14404" spans="2:2" ht="15.95" customHeight="1">
      <c r="B14404" s="37"/>
    </row>
    <row r="14405" spans="2:2" ht="15.95" customHeight="1">
      <c r="B14405" s="37"/>
    </row>
    <row r="14406" spans="2:2" ht="15.95" customHeight="1">
      <c r="B14406" s="37"/>
    </row>
    <row r="14407" spans="2:2" ht="15.95" customHeight="1">
      <c r="B14407" s="37"/>
    </row>
    <row r="14408" spans="2:2" ht="15.95" customHeight="1">
      <c r="B14408" s="37"/>
    </row>
    <row r="14409" spans="2:2" ht="15.95" customHeight="1">
      <c r="B14409" s="37"/>
    </row>
    <row r="14410" spans="2:2" ht="15.95" customHeight="1">
      <c r="B14410" s="37"/>
    </row>
    <row r="14411" spans="2:2" ht="15.95" customHeight="1">
      <c r="B14411" s="37"/>
    </row>
    <row r="14412" spans="2:2" ht="15.95" customHeight="1">
      <c r="B14412" s="37"/>
    </row>
    <row r="14413" spans="2:2" ht="15.95" customHeight="1">
      <c r="B14413" s="37"/>
    </row>
    <row r="14414" spans="2:2" ht="15.95" customHeight="1">
      <c r="B14414" s="37"/>
    </row>
    <row r="14415" spans="2:2" ht="15.95" customHeight="1">
      <c r="B14415" s="37"/>
    </row>
    <row r="14416" spans="2:2" ht="15.95" customHeight="1">
      <c r="B14416" s="37"/>
    </row>
    <row r="14417" spans="2:2" ht="15.95" customHeight="1">
      <c r="B14417" s="37"/>
    </row>
    <row r="14418" spans="2:2" ht="15.95" customHeight="1">
      <c r="B14418" s="37"/>
    </row>
    <row r="14419" spans="2:2" ht="15.95" customHeight="1">
      <c r="B14419" s="37"/>
    </row>
    <row r="14420" spans="2:2" ht="15.95" customHeight="1">
      <c r="B14420" s="37"/>
    </row>
    <row r="14421" spans="2:2" ht="15.95" customHeight="1">
      <c r="B14421" s="37"/>
    </row>
    <row r="14422" spans="2:2" ht="15.95" customHeight="1">
      <c r="B14422" s="37"/>
    </row>
    <row r="14423" spans="2:2" ht="15.95" customHeight="1">
      <c r="B14423" s="37"/>
    </row>
    <row r="14424" spans="2:2" ht="15.95" customHeight="1">
      <c r="B14424" s="37"/>
    </row>
    <row r="14425" spans="2:2" ht="15.95" customHeight="1">
      <c r="B14425" s="37"/>
    </row>
    <row r="14426" spans="2:2" ht="15.95" customHeight="1">
      <c r="B14426" s="37"/>
    </row>
    <row r="14427" spans="2:2" ht="15.95" customHeight="1">
      <c r="B14427" s="37"/>
    </row>
    <row r="14428" spans="2:2" ht="15.95" customHeight="1">
      <c r="B14428" s="37"/>
    </row>
    <row r="14429" spans="2:2" ht="15.95" customHeight="1">
      <c r="B14429" s="37"/>
    </row>
    <row r="14430" spans="2:2" ht="15.95" customHeight="1">
      <c r="B14430" s="37"/>
    </row>
    <row r="14431" spans="2:2" ht="15.95" customHeight="1">
      <c r="B14431" s="37"/>
    </row>
    <row r="14432" spans="2:2" ht="15.95" customHeight="1">
      <c r="B14432" s="37"/>
    </row>
    <row r="14433" spans="2:2" ht="15.95" customHeight="1">
      <c r="B14433" s="37"/>
    </row>
    <row r="14434" spans="2:2" ht="15.95" customHeight="1">
      <c r="B14434" s="37"/>
    </row>
    <row r="14435" spans="2:2" ht="15.95" customHeight="1">
      <c r="B14435" s="37"/>
    </row>
    <row r="14436" spans="2:2" ht="15.95" customHeight="1">
      <c r="B14436" s="37"/>
    </row>
    <row r="14437" spans="2:2" ht="15.95" customHeight="1">
      <c r="B14437" s="37"/>
    </row>
    <row r="14438" spans="2:2" ht="15.95" customHeight="1">
      <c r="B14438" s="37"/>
    </row>
    <row r="14439" spans="2:2" ht="15.95" customHeight="1">
      <c r="B14439" s="37"/>
    </row>
    <row r="14440" spans="2:2" ht="15.95" customHeight="1">
      <c r="B14440" s="37"/>
    </row>
    <row r="14441" spans="2:2" ht="15.95" customHeight="1">
      <c r="B14441" s="37"/>
    </row>
    <row r="14442" spans="2:2" ht="15.95" customHeight="1">
      <c r="B14442" s="37"/>
    </row>
    <row r="14443" spans="2:2" ht="15.95" customHeight="1">
      <c r="B14443" s="37"/>
    </row>
    <row r="14444" spans="2:2" ht="15.95" customHeight="1">
      <c r="B14444" s="37"/>
    </row>
    <row r="14445" spans="2:2" ht="15.95" customHeight="1">
      <c r="B14445" s="37"/>
    </row>
    <row r="14446" spans="2:2" ht="15.95" customHeight="1">
      <c r="B14446" s="37"/>
    </row>
    <row r="14447" spans="2:2" ht="15.95" customHeight="1">
      <c r="B14447" s="37"/>
    </row>
    <row r="14448" spans="2:2" ht="15.95" customHeight="1">
      <c r="B14448" s="37"/>
    </row>
    <row r="14449" spans="2:2" ht="15.95" customHeight="1">
      <c r="B14449" s="37"/>
    </row>
    <row r="14450" spans="2:2" ht="15.95" customHeight="1">
      <c r="B14450" s="37"/>
    </row>
    <row r="14451" spans="2:2" ht="15.95" customHeight="1">
      <c r="B14451" s="37"/>
    </row>
    <row r="14452" spans="2:2" ht="15.95" customHeight="1">
      <c r="B14452" s="37"/>
    </row>
    <row r="14453" spans="2:2" ht="15.95" customHeight="1">
      <c r="B14453" s="37"/>
    </row>
    <row r="14454" spans="2:2" ht="15.95" customHeight="1">
      <c r="B14454" s="37"/>
    </row>
    <row r="14455" spans="2:2" ht="15.95" customHeight="1">
      <c r="B14455" s="37"/>
    </row>
    <row r="14456" spans="2:2" ht="15.95" customHeight="1">
      <c r="B14456" s="37"/>
    </row>
    <row r="14457" spans="2:2" ht="15.95" customHeight="1">
      <c r="B14457" s="37"/>
    </row>
    <row r="14458" spans="2:2" ht="15.95" customHeight="1">
      <c r="B14458" s="37"/>
    </row>
    <row r="14459" spans="2:2" ht="15.95" customHeight="1">
      <c r="B14459" s="37"/>
    </row>
    <row r="14460" spans="2:2" ht="15.95" customHeight="1">
      <c r="B14460" s="37"/>
    </row>
    <row r="14461" spans="2:2" ht="15.95" customHeight="1">
      <c r="B14461" s="37"/>
    </row>
    <row r="14462" spans="2:2" ht="15.95" customHeight="1">
      <c r="B14462" s="37"/>
    </row>
    <row r="14463" spans="2:2" ht="15.95" customHeight="1">
      <c r="B14463" s="37"/>
    </row>
    <row r="14464" spans="2:2" ht="15.95" customHeight="1">
      <c r="B14464" s="37"/>
    </row>
    <row r="14465" spans="2:2" ht="15.95" customHeight="1">
      <c r="B14465" s="37"/>
    </row>
    <row r="14466" spans="2:2" ht="15.95" customHeight="1">
      <c r="B14466" s="37"/>
    </row>
    <row r="14467" spans="2:2" ht="15.95" customHeight="1">
      <c r="B14467" s="37"/>
    </row>
    <row r="14468" spans="2:2" ht="15.95" customHeight="1">
      <c r="B14468" s="37"/>
    </row>
    <row r="14469" spans="2:2" ht="15.95" customHeight="1">
      <c r="B14469" s="37"/>
    </row>
    <row r="14470" spans="2:2" ht="15.95" customHeight="1">
      <c r="B14470" s="37"/>
    </row>
    <row r="14471" spans="2:2" ht="15.95" customHeight="1">
      <c r="B14471" s="37"/>
    </row>
    <row r="14472" spans="2:2" ht="15.95" customHeight="1">
      <c r="B14472" s="37"/>
    </row>
    <row r="14473" spans="2:2" ht="15.95" customHeight="1">
      <c r="B14473" s="37"/>
    </row>
    <row r="14474" spans="2:2" ht="15.95" customHeight="1">
      <c r="B14474" s="37"/>
    </row>
    <row r="14475" spans="2:2" ht="15.95" customHeight="1">
      <c r="B14475" s="37"/>
    </row>
    <row r="14476" spans="2:2" ht="15.95" customHeight="1">
      <c r="B14476" s="37"/>
    </row>
    <row r="14477" spans="2:2" ht="15.95" customHeight="1">
      <c r="B14477" s="37"/>
    </row>
    <row r="14478" spans="2:2" ht="15.95" customHeight="1">
      <c r="B14478" s="37"/>
    </row>
    <row r="14479" spans="2:2" ht="15.95" customHeight="1">
      <c r="B14479" s="37"/>
    </row>
    <row r="14480" spans="2:2" ht="15.95" customHeight="1">
      <c r="B14480" s="37"/>
    </row>
    <row r="14481" spans="2:2" ht="15.95" customHeight="1">
      <c r="B14481" s="37"/>
    </row>
    <row r="14482" spans="2:2" ht="15.95" customHeight="1">
      <c r="B14482" s="37"/>
    </row>
    <row r="14483" spans="2:2" ht="15.95" customHeight="1">
      <c r="B14483" s="37"/>
    </row>
    <row r="14484" spans="2:2" ht="15.95" customHeight="1">
      <c r="B14484" s="37"/>
    </row>
    <row r="14485" spans="2:2" ht="15.95" customHeight="1">
      <c r="B14485" s="37"/>
    </row>
    <row r="14486" spans="2:2" ht="15.95" customHeight="1">
      <c r="B14486" s="37"/>
    </row>
    <row r="14487" spans="2:2" ht="15.95" customHeight="1">
      <c r="B14487" s="37"/>
    </row>
    <row r="14488" spans="2:2" ht="15.95" customHeight="1">
      <c r="B14488" s="37"/>
    </row>
    <row r="14489" spans="2:2" ht="15.95" customHeight="1">
      <c r="B14489" s="37"/>
    </row>
    <row r="14490" spans="2:2" ht="15.95" customHeight="1">
      <c r="B14490" s="37"/>
    </row>
    <row r="14491" spans="2:2" ht="15.95" customHeight="1">
      <c r="B14491" s="37"/>
    </row>
    <row r="14492" spans="2:2" ht="15.95" customHeight="1">
      <c r="B14492" s="37"/>
    </row>
    <row r="14493" spans="2:2" ht="15.95" customHeight="1">
      <c r="B14493" s="37"/>
    </row>
    <row r="14494" spans="2:2" ht="15.95" customHeight="1">
      <c r="B14494" s="37"/>
    </row>
    <row r="14495" spans="2:2" ht="15.95" customHeight="1">
      <c r="B14495" s="37"/>
    </row>
    <row r="14496" spans="2:2" ht="15.95" customHeight="1">
      <c r="B14496" s="37"/>
    </row>
    <row r="14497" spans="2:2" ht="15.95" customHeight="1">
      <c r="B14497" s="37"/>
    </row>
    <row r="14498" spans="2:2" ht="15.95" customHeight="1">
      <c r="B14498" s="37"/>
    </row>
    <row r="14499" spans="2:2" ht="15.95" customHeight="1">
      <c r="B14499" s="37"/>
    </row>
    <row r="14500" spans="2:2" ht="15.95" customHeight="1">
      <c r="B14500" s="37"/>
    </row>
    <row r="14501" spans="2:2" ht="15.95" customHeight="1">
      <c r="B14501" s="37"/>
    </row>
    <row r="14502" spans="2:2" ht="15.95" customHeight="1">
      <c r="B14502" s="37"/>
    </row>
    <row r="14503" spans="2:2" ht="15.95" customHeight="1">
      <c r="B14503" s="37"/>
    </row>
    <row r="14504" spans="2:2" ht="15.95" customHeight="1">
      <c r="B14504" s="37"/>
    </row>
    <row r="14505" spans="2:2" ht="15.95" customHeight="1">
      <c r="B14505" s="37"/>
    </row>
    <row r="14506" spans="2:2" ht="15.95" customHeight="1">
      <c r="B14506" s="37"/>
    </row>
    <row r="14507" spans="2:2" ht="15.95" customHeight="1">
      <c r="B14507" s="37"/>
    </row>
    <row r="14508" spans="2:2" ht="15.95" customHeight="1">
      <c r="B14508" s="37"/>
    </row>
    <row r="14509" spans="2:2" ht="15.95" customHeight="1">
      <c r="B14509" s="37"/>
    </row>
    <row r="14510" spans="2:2" ht="15.95" customHeight="1">
      <c r="B14510" s="37"/>
    </row>
    <row r="14511" spans="2:2" ht="15.95" customHeight="1">
      <c r="B14511" s="37"/>
    </row>
    <row r="14512" spans="2:2" ht="15.95" customHeight="1">
      <c r="B14512" s="37"/>
    </row>
    <row r="14513" spans="2:2" ht="15.95" customHeight="1">
      <c r="B14513" s="37"/>
    </row>
    <row r="14514" spans="2:2" ht="15.95" customHeight="1">
      <c r="B14514" s="37"/>
    </row>
    <row r="14515" spans="2:2" ht="15.95" customHeight="1">
      <c r="B14515" s="37"/>
    </row>
    <row r="14516" spans="2:2" ht="15.95" customHeight="1">
      <c r="B14516" s="37"/>
    </row>
    <row r="14517" spans="2:2" ht="15.95" customHeight="1">
      <c r="B14517" s="37"/>
    </row>
    <row r="14518" spans="2:2" ht="15.95" customHeight="1">
      <c r="B14518" s="37"/>
    </row>
    <row r="14519" spans="2:2" ht="15.95" customHeight="1">
      <c r="B14519" s="37"/>
    </row>
    <row r="14520" spans="2:2" ht="15.95" customHeight="1">
      <c r="B14520" s="37"/>
    </row>
    <row r="14521" spans="2:2" ht="15.95" customHeight="1">
      <c r="B14521" s="37"/>
    </row>
    <row r="14522" spans="2:2" ht="15.95" customHeight="1">
      <c r="B14522" s="37"/>
    </row>
    <row r="14523" spans="2:2" ht="15.95" customHeight="1">
      <c r="B14523" s="37"/>
    </row>
    <row r="14524" spans="2:2" ht="15.95" customHeight="1">
      <c r="B14524" s="37"/>
    </row>
    <row r="14525" spans="2:2" ht="15.95" customHeight="1">
      <c r="B14525" s="37"/>
    </row>
    <row r="14526" spans="2:2" ht="15.95" customHeight="1">
      <c r="B14526" s="37"/>
    </row>
    <row r="14527" spans="2:2" ht="15.95" customHeight="1">
      <c r="B14527" s="37"/>
    </row>
    <row r="14528" spans="2:2" ht="15.95" customHeight="1">
      <c r="B14528" s="37"/>
    </row>
    <row r="14529" spans="2:2" ht="15.95" customHeight="1">
      <c r="B14529" s="37"/>
    </row>
    <row r="14530" spans="2:2" ht="15.95" customHeight="1">
      <c r="B14530" s="37"/>
    </row>
    <row r="14531" spans="2:2" ht="15.95" customHeight="1">
      <c r="B14531" s="37"/>
    </row>
    <row r="14532" spans="2:2" ht="15.95" customHeight="1">
      <c r="B14532" s="37"/>
    </row>
    <row r="14533" spans="2:2" ht="15.95" customHeight="1">
      <c r="B14533" s="37"/>
    </row>
    <row r="14534" spans="2:2" ht="15.95" customHeight="1">
      <c r="B14534" s="37"/>
    </row>
    <row r="14535" spans="2:2" ht="15.95" customHeight="1">
      <c r="B14535" s="37"/>
    </row>
    <row r="14536" spans="2:2" ht="15.95" customHeight="1">
      <c r="B14536" s="37"/>
    </row>
    <row r="14537" spans="2:2" ht="15.95" customHeight="1">
      <c r="B14537" s="37"/>
    </row>
    <row r="14538" spans="2:2" ht="15.95" customHeight="1">
      <c r="B14538" s="37"/>
    </row>
    <row r="14539" spans="2:2" ht="15.95" customHeight="1">
      <c r="B14539" s="37"/>
    </row>
    <row r="14540" spans="2:2" ht="15.95" customHeight="1">
      <c r="B14540" s="37"/>
    </row>
    <row r="14541" spans="2:2" ht="15.95" customHeight="1">
      <c r="B14541" s="37"/>
    </row>
    <row r="14542" spans="2:2" ht="15.95" customHeight="1">
      <c r="B14542" s="37"/>
    </row>
    <row r="14543" spans="2:2" ht="15.95" customHeight="1">
      <c r="B14543" s="37"/>
    </row>
    <row r="14544" spans="2:2" ht="15.95" customHeight="1">
      <c r="B14544" s="37"/>
    </row>
    <row r="14545" spans="2:2" ht="15.95" customHeight="1">
      <c r="B14545" s="37"/>
    </row>
    <row r="14546" spans="2:2" ht="15.95" customHeight="1">
      <c r="B14546" s="37"/>
    </row>
    <row r="14547" spans="2:2" ht="15.95" customHeight="1">
      <c r="B14547" s="37"/>
    </row>
    <row r="14548" spans="2:2" ht="15.95" customHeight="1">
      <c r="B14548" s="37"/>
    </row>
    <row r="14549" spans="2:2" ht="15.95" customHeight="1">
      <c r="B14549" s="37"/>
    </row>
    <row r="14550" spans="2:2" ht="15.95" customHeight="1">
      <c r="B14550" s="37"/>
    </row>
    <row r="14551" spans="2:2" ht="15.95" customHeight="1">
      <c r="B14551" s="37"/>
    </row>
    <row r="14552" spans="2:2" ht="15.95" customHeight="1">
      <c r="B14552" s="37"/>
    </row>
    <row r="14553" spans="2:2" ht="15.95" customHeight="1">
      <c r="B14553" s="37"/>
    </row>
    <row r="14554" spans="2:2" ht="15.95" customHeight="1">
      <c r="B14554" s="37"/>
    </row>
    <row r="14555" spans="2:2" ht="15.95" customHeight="1">
      <c r="B14555" s="37"/>
    </row>
    <row r="14556" spans="2:2" ht="15.95" customHeight="1">
      <c r="B14556" s="37"/>
    </row>
    <row r="14557" spans="2:2" ht="15.95" customHeight="1">
      <c r="B14557" s="37"/>
    </row>
    <row r="14558" spans="2:2" ht="15.95" customHeight="1">
      <c r="B14558" s="37"/>
    </row>
    <row r="14559" spans="2:2" ht="15.95" customHeight="1">
      <c r="B14559" s="37"/>
    </row>
    <row r="14560" spans="2:2" ht="15.95" customHeight="1">
      <c r="B14560" s="37"/>
    </row>
    <row r="14561" spans="2:2" ht="15.95" customHeight="1">
      <c r="B14561" s="37"/>
    </row>
    <row r="14562" spans="2:2" ht="15.95" customHeight="1">
      <c r="B14562" s="37"/>
    </row>
    <row r="14563" spans="2:2" ht="15.95" customHeight="1">
      <c r="B14563" s="37"/>
    </row>
    <row r="14564" spans="2:2" ht="15.95" customHeight="1">
      <c r="B14564" s="37"/>
    </row>
    <row r="14565" spans="2:2" ht="15.95" customHeight="1">
      <c r="B14565" s="37"/>
    </row>
    <row r="14566" spans="2:2" ht="15.95" customHeight="1">
      <c r="B14566" s="37"/>
    </row>
    <row r="14567" spans="2:2" ht="15.95" customHeight="1">
      <c r="B14567" s="37"/>
    </row>
    <row r="14568" spans="2:2" ht="15.95" customHeight="1">
      <c r="B14568" s="37"/>
    </row>
    <row r="14569" spans="2:2" ht="15.95" customHeight="1">
      <c r="B14569" s="37"/>
    </row>
    <row r="14570" spans="2:2" ht="15.95" customHeight="1">
      <c r="B14570" s="37"/>
    </row>
    <row r="14571" spans="2:2" ht="15.95" customHeight="1">
      <c r="B14571" s="37"/>
    </row>
    <row r="14572" spans="2:2" ht="15.95" customHeight="1">
      <c r="B14572" s="37"/>
    </row>
    <row r="14573" spans="2:2" ht="15.95" customHeight="1">
      <c r="B14573" s="37"/>
    </row>
    <row r="14574" spans="2:2" ht="15.95" customHeight="1">
      <c r="B14574" s="37"/>
    </row>
    <row r="14575" spans="2:2" ht="15.95" customHeight="1">
      <c r="B14575" s="37"/>
    </row>
    <row r="14576" spans="2:2" ht="15.95" customHeight="1">
      <c r="B14576" s="37"/>
    </row>
    <row r="14577" spans="2:2" ht="15.95" customHeight="1">
      <c r="B14577" s="37"/>
    </row>
    <row r="14578" spans="2:2" ht="15.95" customHeight="1">
      <c r="B14578" s="37"/>
    </row>
    <row r="14579" spans="2:2" ht="15.95" customHeight="1">
      <c r="B14579" s="37"/>
    </row>
    <row r="14580" spans="2:2" ht="15.95" customHeight="1">
      <c r="B14580" s="37"/>
    </row>
    <row r="14581" spans="2:2" ht="15.95" customHeight="1">
      <c r="B14581" s="37"/>
    </row>
    <row r="14582" spans="2:2" ht="15.95" customHeight="1">
      <c r="B14582" s="37"/>
    </row>
    <row r="14583" spans="2:2" ht="15.95" customHeight="1">
      <c r="B14583" s="37"/>
    </row>
    <row r="14584" spans="2:2" ht="15.95" customHeight="1">
      <c r="B14584" s="37"/>
    </row>
    <row r="14585" spans="2:2" ht="15.95" customHeight="1">
      <c r="B14585" s="37"/>
    </row>
    <row r="14586" spans="2:2" ht="15.95" customHeight="1">
      <c r="B14586" s="37"/>
    </row>
    <row r="14587" spans="2:2" ht="15.95" customHeight="1">
      <c r="B14587" s="37"/>
    </row>
    <row r="14588" spans="2:2" ht="15.95" customHeight="1">
      <c r="B14588" s="37"/>
    </row>
    <row r="14589" spans="2:2" ht="15.95" customHeight="1">
      <c r="B14589" s="37"/>
    </row>
    <row r="14590" spans="2:2" ht="15.95" customHeight="1">
      <c r="B14590" s="37"/>
    </row>
    <row r="14591" spans="2:2" ht="15.95" customHeight="1">
      <c r="B14591" s="37"/>
    </row>
    <row r="14592" spans="2:2" ht="15.95" customHeight="1">
      <c r="B14592" s="37"/>
    </row>
    <row r="14593" spans="2:2" ht="15.95" customHeight="1">
      <c r="B14593" s="37"/>
    </row>
    <row r="14594" spans="2:2" ht="15.95" customHeight="1">
      <c r="B14594" s="37"/>
    </row>
    <row r="14595" spans="2:2" ht="15.95" customHeight="1">
      <c r="B14595" s="37"/>
    </row>
    <row r="14596" spans="2:2" ht="15.95" customHeight="1">
      <c r="B14596" s="37"/>
    </row>
    <row r="14597" spans="2:2" ht="15.95" customHeight="1">
      <c r="B14597" s="37"/>
    </row>
    <row r="14598" spans="2:2" ht="15.95" customHeight="1">
      <c r="B14598" s="37"/>
    </row>
    <row r="14599" spans="2:2" ht="15.95" customHeight="1">
      <c r="B14599" s="37"/>
    </row>
    <row r="14600" spans="2:2" ht="15.95" customHeight="1">
      <c r="B14600" s="37"/>
    </row>
    <row r="14601" spans="2:2" ht="15.95" customHeight="1">
      <c r="B14601" s="37"/>
    </row>
    <row r="14602" spans="2:2" ht="15.95" customHeight="1">
      <c r="B14602" s="37"/>
    </row>
    <row r="14603" spans="2:2" ht="15.95" customHeight="1">
      <c r="B14603" s="37"/>
    </row>
    <row r="14604" spans="2:2" ht="15.95" customHeight="1">
      <c r="B14604" s="37"/>
    </row>
    <row r="14605" spans="2:2" ht="15.95" customHeight="1">
      <c r="B14605" s="37"/>
    </row>
    <row r="14606" spans="2:2" ht="15.95" customHeight="1">
      <c r="B14606" s="37"/>
    </row>
    <row r="14607" spans="2:2" ht="15.95" customHeight="1">
      <c r="B14607" s="37"/>
    </row>
    <row r="14608" spans="2:2" ht="15.95" customHeight="1">
      <c r="B14608" s="37"/>
    </row>
    <row r="14609" spans="2:2" ht="15.95" customHeight="1">
      <c r="B14609" s="37"/>
    </row>
    <row r="14610" spans="2:2" ht="15.95" customHeight="1">
      <c r="B14610" s="37"/>
    </row>
    <row r="14611" spans="2:2" ht="15.95" customHeight="1">
      <c r="B14611" s="37"/>
    </row>
    <row r="14612" spans="2:2" ht="15.95" customHeight="1">
      <c r="B14612" s="37"/>
    </row>
    <row r="14613" spans="2:2" ht="15.95" customHeight="1">
      <c r="B14613" s="37"/>
    </row>
    <row r="14614" spans="2:2" ht="15.95" customHeight="1">
      <c r="B14614" s="37"/>
    </row>
    <row r="14615" spans="2:2" ht="15.95" customHeight="1">
      <c r="B14615" s="37"/>
    </row>
    <row r="14616" spans="2:2" ht="15.95" customHeight="1">
      <c r="B14616" s="37"/>
    </row>
    <row r="14617" spans="2:2" ht="15.95" customHeight="1">
      <c r="B14617" s="37"/>
    </row>
    <row r="14618" spans="2:2" ht="15.95" customHeight="1">
      <c r="B14618" s="37"/>
    </row>
    <row r="14619" spans="2:2" ht="15.95" customHeight="1">
      <c r="B14619" s="37"/>
    </row>
    <row r="14620" spans="2:2" ht="15.95" customHeight="1">
      <c r="B14620" s="37"/>
    </row>
    <row r="14621" spans="2:2" ht="15.95" customHeight="1">
      <c r="B14621" s="37"/>
    </row>
    <row r="14622" spans="2:2" ht="15.95" customHeight="1">
      <c r="B14622" s="37"/>
    </row>
    <row r="14623" spans="2:2" ht="15.95" customHeight="1">
      <c r="B14623" s="37"/>
    </row>
    <row r="14624" spans="2:2" ht="15.95" customHeight="1">
      <c r="B14624" s="37"/>
    </row>
    <row r="14625" spans="2:2" ht="15.95" customHeight="1">
      <c r="B14625" s="37"/>
    </row>
    <row r="14626" spans="2:2" ht="15.95" customHeight="1">
      <c r="B14626" s="37"/>
    </row>
    <row r="14627" spans="2:2" ht="15.95" customHeight="1">
      <c r="B14627" s="37"/>
    </row>
    <row r="14628" spans="2:2" ht="15.95" customHeight="1">
      <c r="B14628" s="37"/>
    </row>
    <row r="14629" spans="2:2" ht="15.95" customHeight="1">
      <c r="B14629" s="37"/>
    </row>
    <row r="14630" spans="2:2" ht="15.95" customHeight="1">
      <c r="B14630" s="37"/>
    </row>
    <row r="14631" spans="2:2" ht="15.95" customHeight="1">
      <c r="B14631" s="37"/>
    </row>
    <row r="14632" spans="2:2" ht="15.95" customHeight="1">
      <c r="B14632" s="37"/>
    </row>
    <row r="14633" spans="2:2" ht="15.95" customHeight="1">
      <c r="B14633" s="37"/>
    </row>
    <row r="14634" spans="2:2" ht="15.95" customHeight="1">
      <c r="B14634" s="37"/>
    </row>
    <row r="14635" spans="2:2" ht="15.95" customHeight="1">
      <c r="B14635" s="37"/>
    </row>
    <row r="14636" spans="2:2" ht="15.95" customHeight="1">
      <c r="B14636" s="37"/>
    </row>
    <row r="14637" spans="2:2" ht="15.95" customHeight="1">
      <c r="B14637" s="37"/>
    </row>
    <row r="14638" spans="2:2" ht="15.95" customHeight="1">
      <c r="B14638" s="37"/>
    </row>
    <row r="14639" spans="2:2" ht="15.95" customHeight="1">
      <c r="B14639" s="37"/>
    </row>
    <row r="14640" spans="2:2" ht="15.95" customHeight="1">
      <c r="B14640" s="37"/>
    </row>
    <row r="14641" spans="2:2" ht="15.95" customHeight="1">
      <c r="B14641" s="37"/>
    </row>
    <row r="14642" spans="2:2" ht="15.95" customHeight="1">
      <c r="B14642" s="37"/>
    </row>
    <row r="14643" spans="2:2" ht="15.95" customHeight="1">
      <c r="B14643" s="37"/>
    </row>
    <row r="14644" spans="2:2" ht="15.95" customHeight="1">
      <c r="B14644" s="37"/>
    </row>
    <row r="14645" spans="2:2" ht="15.95" customHeight="1">
      <c r="B14645" s="37"/>
    </row>
    <row r="14646" spans="2:2" ht="15.95" customHeight="1">
      <c r="B14646" s="37"/>
    </row>
    <row r="14647" spans="2:2" ht="15.95" customHeight="1">
      <c r="B14647" s="37"/>
    </row>
    <row r="14648" spans="2:2" ht="15.95" customHeight="1">
      <c r="B14648" s="37"/>
    </row>
    <row r="14649" spans="2:2" ht="15.95" customHeight="1">
      <c r="B14649" s="37"/>
    </row>
    <row r="14650" spans="2:2" ht="15.95" customHeight="1">
      <c r="B14650" s="37"/>
    </row>
    <row r="14651" spans="2:2" ht="15.95" customHeight="1">
      <c r="B14651" s="37"/>
    </row>
    <row r="14652" spans="2:2" ht="15.95" customHeight="1">
      <c r="B14652" s="37"/>
    </row>
    <row r="14653" spans="2:2" ht="15.95" customHeight="1">
      <c r="B14653" s="37"/>
    </row>
    <row r="14654" spans="2:2" ht="15.95" customHeight="1">
      <c r="B14654" s="37"/>
    </row>
    <row r="14655" spans="2:2" ht="15.95" customHeight="1">
      <c r="B14655" s="37"/>
    </row>
    <row r="14656" spans="2:2" ht="15.95" customHeight="1">
      <c r="B14656" s="37"/>
    </row>
    <row r="14657" spans="2:2" ht="15.95" customHeight="1">
      <c r="B14657" s="37"/>
    </row>
    <row r="14658" spans="2:2" ht="15.95" customHeight="1">
      <c r="B14658" s="37"/>
    </row>
    <row r="14659" spans="2:2" ht="15.95" customHeight="1">
      <c r="B14659" s="37"/>
    </row>
    <row r="14660" spans="2:2" ht="15.95" customHeight="1">
      <c r="B14660" s="37"/>
    </row>
    <row r="14661" spans="2:2" ht="15.95" customHeight="1">
      <c r="B14661" s="37"/>
    </row>
    <row r="14662" spans="2:2" ht="15.95" customHeight="1">
      <c r="B14662" s="37"/>
    </row>
    <row r="14663" spans="2:2" ht="15.95" customHeight="1">
      <c r="B14663" s="37"/>
    </row>
    <row r="14664" spans="2:2" ht="15.95" customHeight="1">
      <c r="B14664" s="37"/>
    </row>
    <row r="14665" spans="2:2" ht="15.95" customHeight="1">
      <c r="B14665" s="37"/>
    </row>
    <row r="14666" spans="2:2" ht="15.95" customHeight="1">
      <c r="B14666" s="37"/>
    </row>
    <row r="14667" spans="2:2" ht="15.95" customHeight="1">
      <c r="B14667" s="37"/>
    </row>
    <row r="14668" spans="2:2" ht="15.95" customHeight="1">
      <c r="B14668" s="37"/>
    </row>
    <row r="14669" spans="2:2" ht="15.95" customHeight="1">
      <c r="B14669" s="37"/>
    </row>
    <row r="14670" spans="2:2" ht="15.95" customHeight="1">
      <c r="B14670" s="37"/>
    </row>
    <row r="14671" spans="2:2" ht="15.95" customHeight="1">
      <c r="B14671" s="37"/>
    </row>
    <row r="14672" spans="2:2" ht="15.95" customHeight="1">
      <c r="B14672" s="37"/>
    </row>
    <row r="14673" spans="2:2" ht="15.95" customHeight="1">
      <c r="B14673" s="37"/>
    </row>
    <row r="14674" spans="2:2" ht="15.95" customHeight="1">
      <c r="B14674" s="37"/>
    </row>
    <row r="14675" spans="2:2" ht="15.95" customHeight="1">
      <c r="B14675" s="37"/>
    </row>
    <row r="14676" spans="2:2" ht="15.95" customHeight="1">
      <c r="B14676" s="37"/>
    </row>
    <row r="14677" spans="2:2" ht="15.95" customHeight="1">
      <c r="B14677" s="37"/>
    </row>
    <row r="14678" spans="2:2" ht="15.95" customHeight="1">
      <c r="B14678" s="37"/>
    </row>
    <row r="14679" spans="2:2" ht="15.95" customHeight="1">
      <c r="B14679" s="37"/>
    </row>
    <row r="14680" spans="2:2" ht="15.95" customHeight="1">
      <c r="B14680" s="37"/>
    </row>
    <row r="14681" spans="2:2" ht="15.95" customHeight="1">
      <c r="B14681" s="37"/>
    </row>
    <row r="14682" spans="2:2" ht="15.95" customHeight="1">
      <c r="B14682" s="37"/>
    </row>
    <row r="14683" spans="2:2" ht="15.95" customHeight="1">
      <c r="B14683" s="37"/>
    </row>
    <row r="14684" spans="2:2" ht="15.95" customHeight="1">
      <c r="B14684" s="37"/>
    </row>
    <row r="14685" spans="2:2" ht="15.95" customHeight="1">
      <c r="B14685" s="37"/>
    </row>
    <row r="14686" spans="2:2" ht="15.95" customHeight="1">
      <c r="B14686" s="37"/>
    </row>
    <row r="14687" spans="2:2" ht="15.95" customHeight="1">
      <c r="B14687" s="37"/>
    </row>
    <row r="14688" spans="2:2" ht="15.95" customHeight="1">
      <c r="B14688" s="37"/>
    </row>
    <row r="14689" spans="2:2" ht="15.95" customHeight="1">
      <c r="B14689" s="37"/>
    </row>
    <row r="14690" spans="2:2" ht="15.95" customHeight="1">
      <c r="B14690" s="37"/>
    </row>
    <row r="14691" spans="2:2" ht="15.95" customHeight="1">
      <c r="B14691" s="37"/>
    </row>
    <row r="14692" spans="2:2" ht="15.95" customHeight="1">
      <c r="B14692" s="37"/>
    </row>
    <row r="14693" spans="2:2" ht="15.95" customHeight="1">
      <c r="B14693" s="37"/>
    </row>
    <row r="14694" spans="2:2" ht="15.95" customHeight="1">
      <c r="B14694" s="37"/>
    </row>
    <row r="14695" spans="2:2" ht="15.95" customHeight="1">
      <c r="B14695" s="37"/>
    </row>
    <row r="14696" spans="2:2" ht="15.95" customHeight="1">
      <c r="B14696" s="37"/>
    </row>
    <row r="14697" spans="2:2" ht="15.95" customHeight="1">
      <c r="B14697" s="37"/>
    </row>
    <row r="14698" spans="2:2" ht="15.95" customHeight="1">
      <c r="B14698" s="37"/>
    </row>
    <row r="14699" spans="2:2" ht="15.95" customHeight="1">
      <c r="B14699" s="37"/>
    </row>
    <row r="14700" spans="2:2" ht="15.95" customHeight="1">
      <c r="B14700" s="37"/>
    </row>
    <row r="14701" spans="2:2" ht="15.95" customHeight="1">
      <c r="B14701" s="37"/>
    </row>
    <row r="14702" spans="2:2" ht="15.95" customHeight="1">
      <c r="B14702" s="37"/>
    </row>
    <row r="14703" spans="2:2" ht="15.95" customHeight="1">
      <c r="B14703" s="37"/>
    </row>
    <row r="14704" spans="2:2" ht="15.95" customHeight="1">
      <c r="B14704" s="37"/>
    </row>
    <row r="14705" spans="2:2" ht="15.95" customHeight="1">
      <c r="B14705" s="37"/>
    </row>
    <row r="14706" spans="2:2" ht="15.95" customHeight="1">
      <c r="B14706" s="37"/>
    </row>
    <row r="14707" spans="2:2" ht="15.95" customHeight="1">
      <c r="B14707" s="37"/>
    </row>
    <row r="14708" spans="2:2" ht="15.95" customHeight="1">
      <c r="B14708" s="37"/>
    </row>
    <row r="14709" spans="2:2" ht="15.95" customHeight="1">
      <c r="B14709" s="37"/>
    </row>
    <row r="14710" spans="2:2" ht="15.95" customHeight="1">
      <c r="B14710" s="37"/>
    </row>
    <row r="14711" spans="2:2" ht="15.95" customHeight="1">
      <c r="B14711" s="37"/>
    </row>
    <row r="14712" spans="2:2" ht="15.95" customHeight="1">
      <c r="B14712" s="37"/>
    </row>
    <row r="14713" spans="2:2" ht="15.95" customHeight="1">
      <c r="B14713" s="37"/>
    </row>
    <row r="14714" spans="2:2" ht="15.95" customHeight="1">
      <c r="B14714" s="37"/>
    </row>
    <row r="14715" spans="2:2" ht="15.95" customHeight="1">
      <c r="B14715" s="37"/>
    </row>
    <row r="14716" spans="2:2" ht="15.95" customHeight="1">
      <c r="B14716" s="37"/>
    </row>
    <row r="14717" spans="2:2" ht="15.95" customHeight="1">
      <c r="B14717" s="37"/>
    </row>
    <row r="14718" spans="2:2" ht="15.95" customHeight="1">
      <c r="B14718" s="37"/>
    </row>
    <row r="14719" spans="2:2" ht="15.95" customHeight="1">
      <c r="B14719" s="37"/>
    </row>
    <row r="14720" spans="2:2" ht="15.95" customHeight="1">
      <c r="B14720" s="37"/>
    </row>
    <row r="14721" spans="2:2" ht="15.95" customHeight="1">
      <c r="B14721" s="37"/>
    </row>
    <row r="14722" spans="2:2" ht="15.95" customHeight="1">
      <c r="B14722" s="37"/>
    </row>
    <row r="14723" spans="2:2" ht="15.95" customHeight="1">
      <c r="B14723" s="37"/>
    </row>
    <row r="14724" spans="2:2" ht="15.95" customHeight="1">
      <c r="B14724" s="37"/>
    </row>
    <row r="14725" spans="2:2" ht="15.95" customHeight="1">
      <c r="B14725" s="37"/>
    </row>
    <row r="14726" spans="2:2" ht="15.95" customHeight="1">
      <c r="B14726" s="37"/>
    </row>
    <row r="14727" spans="2:2" ht="15.95" customHeight="1">
      <c r="B14727" s="37"/>
    </row>
    <row r="14728" spans="2:2" ht="15.95" customHeight="1">
      <c r="B14728" s="37"/>
    </row>
    <row r="14729" spans="2:2" ht="15.95" customHeight="1">
      <c r="B14729" s="37"/>
    </row>
    <row r="14730" spans="2:2" ht="15.95" customHeight="1">
      <c r="B14730" s="37"/>
    </row>
    <row r="14731" spans="2:2" ht="15.95" customHeight="1">
      <c r="B14731" s="37"/>
    </row>
    <row r="14732" spans="2:2" ht="15.95" customHeight="1">
      <c r="B14732" s="37"/>
    </row>
    <row r="14733" spans="2:2" ht="15.95" customHeight="1">
      <c r="B14733" s="37"/>
    </row>
    <row r="14734" spans="2:2" ht="15.95" customHeight="1">
      <c r="B14734" s="37"/>
    </row>
    <row r="14735" spans="2:2" ht="15.95" customHeight="1">
      <c r="B14735" s="37"/>
    </row>
    <row r="14736" spans="2:2" ht="15.95" customHeight="1">
      <c r="B14736" s="37"/>
    </row>
    <row r="14737" spans="2:2" ht="15.95" customHeight="1">
      <c r="B14737" s="37"/>
    </row>
    <row r="14738" spans="2:2" ht="15.95" customHeight="1">
      <c r="B14738" s="37"/>
    </row>
    <row r="14739" spans="2:2" ht="15.95" customHeight="1">
      <c r="B14739" s="37"/>
    </row>
    <row r="14740" spans="2:2" ht="15.95" customHeight="1">
      <c r="B14740" s="37"/>
    </row>
    <row r="14741" spans="2:2" ht="15.95" customHeight="1">
      <c r="B14741" s="37"/>
    </row>
    <row r="14742" spans="2:2" ht="15.95" customHeight="1">
      <c r="B14742" s="37"/>
    </row>
    <row r="14743" spans="2:2" ht="15.95" customHeight="1">
      <c r="B14743" s="37"/>
    </row>
    <row r="14744" spans="2:2" ht="15.95" customHeight="1">
      <c r="B14744" s="37"/>
    </row>
    <row r="14745" spans="2:2" ht="15.95" customHeight="1">
      <c r="B14745" s="37"/>
    </row>
    <row r="14746" spans="2:2" ht="15.95" customHeight="1">
      <c r="B14746" s="37"/>
    </row>
    <row r="14747" spans="2:2" ht="15.95" customHeight="1">
      <c r="B14747" s="37"/>
    </row>
    <row r="14748" spans="2:2" ht="15.95" customHeight="1">
      <c r="B14748" s="37"/>
    </row>
    <row r="14749" spans="2:2" ht="15.95" customHeight="1">
      <c r="B14749" s="37"/>
    </row>
    <row r="14750" spans="2:2" ht="15.95" customHeight="1">
      <c r="B14750" s="37"/>
    </row>
    <row r="14751" spans="2:2" ht="15.95" customHeight="1">
      <c r="B14751" s="37"/>
    </row>
    <row r="14752" spans="2:2" ht="15.95" customHeight="1">
      <c r="B14752" s="37"/>
    </row>
    <row r="14753" spans="2:2" ht="15.95" customHeight="1">
      <c r="B14753" s="37"/>
    </row>
    <row r="14754" spans="2:2" ht="15.95" customHeight="1">
      <c r="B14754" s="37"/>
    </row>
    <row r="14755" spans="2:2" ht="15.95" customHeight="1">
      <c r="B14755" s="37"/>
    </row>
    <row r="14756" spans="2:2" ht="15.95" customHeight="1">
      <c r="B14756" s="37"/>
    </row>
    <row r="14757" spans="2:2" ht="15.95" customHeight="1">
      <c r="B14757" s="37"/>
    </row>
    <row r="14758" spans="2:2" ht="15.95" customHeight="1">
      <c r="B14758" s="37"/>
    </row>
    <row r="14759" spans="2:2" ht="15.95" customHeight="1">
      <c r="B14759" s="37"/>
    </row>
    <row r="14760" spans="2:2" ht="15.95" customHeight="1">
      <c r="B14760" s="37"/>
    </row>
    <row r="14761" spans="2:2" ht="15.95" customHeight="1">
      <c r="B14761" s="37"/>
    </row>
    <row r="14762" spans="2:2" ht="15.95" customHeight="1">
      <c r="B14762" s="37"/>
    </row>
    <row r="14763" spans="2:2" ht="15.95" customHeight="1">
      <c r="B14763" s="37"/>
    </row>
    <row r="14764" spans="2:2" ht="15.95" customHeight="1">
      <c r="B14764" s="37"/>
    </row>
    <row r="14765" spans="2:2" ht="15.95" customHeight="1">
      <c r="B14765" s="37"/>
    </row>
    <row r="14766" spans="2:2" ht="15.95" customHeight="1">
      <c r="B14766" s="37"/>
    </row>
    <row r="14767" spans="2:2" ht="15.95" customHeight="1">
      <c r="B14767" s="37"/>
    </row>
    <row r="14768" spans="2:2" ht="15.95" customHeight="1">
      <c r="B14768" s="37"/>
    </row>
    <row r="14769" spans="2:2" ht="15.95" customHeight="1">
      <c r="B14769" s="37"/>
    </row>
    <row r="14770" spans="2:2" ht="15.95" customHeight="1">
      <c r="B14770" s="37"/>
    </row>
    <row r="14771" spans="2:2" ht="15.95" customHeight="1">
      <c r="B14771" s="37"/>
    </row>
    <row r="14772" spans="2:2" ht="15.95" customHeight="1">
      <c r="B14772" s="37"/>
    </row>
    <row r="14773" spans="2:2" ht="15.95" customHeight="1">
      <c r="B14773" s="37"/>
    </row>
    <row r="14774" spans="2:2" ht="15.95" customHeight="1">
      <c r="B14774" s="37"/>
    </row>
    <row r="14775" spans="2:2" ht="15.95" customHeight="1">
      <c r="B14775" s="37"/>
    </row>
    <row r="14776" spans="2:2" ht="15.95" customHeight="1">
      <c r="B14776" s="37"/>
    </row>
    <row r="14777" spans="2:2" ht="15.95" customHeight="1">
      <c r="B14777" s="37"/>
    </row>
    <row r="14778" spans="2:2" ht="15.95" customHeight="1">
      <c r="B14778" s="37"/>
    </row>
    <row r="14779" spans="2:2" ht="15.95" customHeight="1">
      <c r="B14779" s="37"/>
    </row>
    <row r="14780" spans="2:2" ht="15.95" customHeight="1">
      <c r="B14780" s="37"/>
    </row>
    <row r="14781" spans="2:2" ht="15.95" customHeight="1">
      <c r="B14781" s="37"/>
    </row>
    <row r="14782" spans="2:2" ht="15.95" customHeight="1">
      <c r="B14782" s="37"/>
    </row>
    <row r="14783" spans="2:2" ht="15.95" customHeight="1">
      <c r="B14783" s="37"/>
    </row>
    <row r="14784" spans="2:2" ht="15.95" customHeight="1">
      <c r="B14784" s="37"/>
    </row>
    <row r="14785" spans="2:2" ht="15.95" customHeight="1">
      <c r="B14785" s="37"/>
    </row>
    <row r="14786" spans="2:2" ht="15.95" customHeight="1">
      <c r="B14786" s="37"/>
    </row>
    <row r="14787" spans="2:2" ht="15.95" customHeight="1">
      <c r="B14787" s="37"/>
    </row>
    <row r="14788" spans="2:2" ht="15.95" customHeight="1">
      <c r="B14788" s="37"/>
    </row>
    <row r="14789" spans="2:2" ht="15.95" customHeight="1">
      <c r="B14789" s="37"/>
    </row>
    <row r="14790" spans="2:2" ht="15.95" customHeight="1">
      <c r="B14790" s="37"/>
    </row>
    <row r="14791" spans="2:2" ht="15.95" customHeight="1">
      <c r="B14791" s="37"/>
    </row>
    <row r="14792" spans="2:2" ht="15.95" customHeight="1">
      <c r="B14792" s="37"/>
    </row>
    <row r="14793" spans="2:2" ht="15.95" customHeight="1">
      <c r="B14793" s="37"/>
    </row>
    <row r="14794" spans="2:2" ht="15.95" customHeight="1">
      <c r="B14794" s="37"/>
    </row>
    <row r="14795" spans="2:2" ht="15.95" customHeight="1">
      <c r="B14795" s="37"/>
    </row>
    <row r="14796" spans="2:2" ht="15.95" customHeight="1">
      <c r="B14796" s="37"/>
    </row>
    <row r="14797" spans="2:2" ht="15.95" customHeight="1">
      <c r="B14797" s="37"/>
    </row>
    <row r="14798" spans="2:2" ht="15.95" customHeight="1">
      <c r="B14798" s="37"/>
    </row>
    <row r="14799" spans="2:2" ht="15.95" customHeight="1">
      <c r="B14799" s="37"/>
    </row>
    <row r="14800" spans="2:2" ht="15.95" customHeight="1">
      <c r="B14800" s="37"/>
    </row>
    <row r="14801" spans="2:2" ht="15.95" customHeight="1">
      <c r="B14801" s="37"/>
    </row>
    <row r="14802" spans="2:2" ht="15.95" customHeight="1">
      <c r="B14802" s="37"/>
    </row>
    <row r="14803" spans="2:2" ht="15.95" customHeight="1">
      <c r="B14803" s="37"/>
    </row>
    <row r="14804" spans="2:2" ht="15.95" customHeight="1">
      <c r="B14804" s="37"/>
    </row>
    <row r="14805" spans="2:2" ht="15.95" customHeight="1">
      <c r="B14805" s="37"/>
    </row>
    <row r="14806" spans="2:2" ht="15.95" customHeight="1">
      <c r="B14806" s="37"/>
    </row>
    <row r="14807" spans="2:2" ht="15.95" customHeight="1">
      <c r="B14807" s="37"/>
    </row>
    <row r="14808" spans="2:2" ht="15.95" customHeight="1">
      <c r="B14808" s="37"/>
    </row>
    <row r="14809" spans="2:2" ht="15.95" customHeight="1">
      <c r="B14809" s="37"/>
    </row>
    <row r="14810" spans="2:2" ht="15.95" customHeight="1">
      <c r="B14810" s="37"/>
    </row>
    <row r="14811" spans="2:2" ht="15.95" customHeight="1">
      <c r="B14811" s="37"/>
    </row>
    <row r="14812" spans="2:2" ht="15.95" customHeight="1">
      <c r="B14812" s="37"/>
    </row>
    <row r="14813" spans="2:2" ht="15.95" customHeight="1">
      <c r="B14813" s="37"/>
    </row>
    <row r="14814" spans="2:2" ht="15.95" customHeight="1">
      <c r="B14814" s="37"/>
    </row>
    <row r="14815" spans="2:2" ht="15.95" customHeight="1">
      <c r="B14815" s="37"/>
    </row>
    <row r="14816" spans="2:2" ht="15.95" customHeight="1">
      <c r="B14816" s="37"/>
    </row>
    <row r="14817" spans="2:2" ht="15.95" customHeight="1">
      <c r="B14817" s="37"/>
    </row>
    <row r="14818" spans="2:2" ht="15.95" customHeight="1">
      <c r="B14818" s="37"/>
    </row>
    <row r="14819" spans="2:2" ht="15.95" customHeight="1">
      <c r="B14819" s="37"/>
    </row>
    <row r="14820" spans="2:2" ht="15.95" customHeight="1">
      <c r="B14820" s="37"/>
    </row>
    <row r="14821" spans="2:2" ht="15.95" customHeight="1">
      <c r="B14821" s="37"/>
    </row>
    <row r="14822" spans="2:2" ht="15.95" customHeight="1">
      <c r="B14822" s="37"/>
    </row>
    <row r="14823" spans="2:2" ht="15.95" customHeight="1">
      <c r="B14823" s="37"/>
    </row>
    <row r="14824" spans="2:2" ht="15.95" customHeight="1">
      <c r="B14824" s="37"/>
    </row>
    <row r="14825" spans="2:2" ht="15.95" customHeight="1">
      <c r="B14825" s="37"/>
    </row>
    <row r="14826" spans="2:2" ht="15.95" customHeight="1">
      <c r="B14826" s="37"/>
    </row>
    <row r="14827" spans="2:2" ht="15.95" customHeight="1">
      <c r="B14827" s="37"/>
    </row>
    <row r="14828" spans="2:2" ht="15.95" customHeight="1">
      <c r="B14828" s="37"/>
    </row>
    <row r="14829" spans="2:2" ht="15.95" customHeight="1">
      <c r="B14829" s="37"/>
    </row>
    <row r="14830" spans="2:2" ht="15.95" customHeight="1">
      <c r="B14830" s="37"/>
    </row>
    <row r="14831" spans="2:2" ht="15.95" customHeight="1">
      <c r="B14831" s="37"/>
    </row>
    <row r="14832" spans="2:2" ht="15.95" customHeight="1">
      <c r="B14832" s="37"/>
    </row>
    <row r="14833" spans="2:2" ht="15.95" customHeight="1">
      <c r="B14833" s="37"/>
    </row>
    <row r="14834" spans="2:2" ht="15.95" customHeight="1">
      <c r="B14834" s="37"/>
    </row>
    <row r="14835" spans="2:2" ht="15.95" customHeight="1">
      <c r="B14835" s="37"/>
    </row>
    <row r="14836" spans="2:2" ht="15.95" customHeight="1">
      <c r="B14836" s="37"/>
    </row>
    <row r="14837" spans="2:2" ht="15.95" customHeight="1">
      <c r="B14837" s="37"/>
    </row>
    <row r="14838" spans="2:2" ht="15.95" customHeight="1">
      <c r="B14838" s="37"/>
    </row>
    <row r="14839" spans="2:2" ht="15.95" customHeight="1">
      <c r="B14839" s="37"/>
    </row>
    <row r="14840" spans="2:2" ht="15.95" customHeight="1">
      <c r="B14840" s="37"/>
    </row>
    <row r="14841" spans="2:2" ht="15.95" customHeight="1">
      <c r="B14841" s="37"/>
    </row>
    <row r="14842" spans="2:2" ht="15.95" customHeight="1">
      <c r="B14842" s="37"/>
    </row>
    <row r="14843" spans="2:2" ht="15.95" customHeight="1">
      <c r="B14843" s="37"/>
    </row>
    <row r="14844" spans="2:2" ht="15.95" customHeight="1">
      <c r="B14844" s="37"/>
    </row>
    <row r="14845" spans="2:2" ht="15.95" customHeight="1">
      <c r="B14845" s="37"/>
    </row>
    <row r="14846" spans="2:2" ht="15.95" customHeight="1">
      <c r="B14846" s="37"/>
    </row>
    <row r="14847" spans="2:2" ht="15.95" customHeight="1">
      <c r="B14847" s="37"/>
    </row>
    <row r="14848" spans="2:2" ht="15.95" customHeight="1">
      <c r="B14848" s="37"/>
    </row>
    <row r="14849" spans="2:2" ht="15.95" customHeight="1">
      <c r="B14849" s="37"/>
    </row>
    <row r="14850" spans="2:2" ht="15.95" customHeight="1">
      <c r="B14850" s="37"/>
    </row>
    <row r="14851" spans="2:2" ht="15.95" customHeight="1">
      <c r="B14851" s="37"/>
    </row>
    <row r="14852" spans="2:2" ht="15.95" customHeight="1">
      <c r="B14852" s="37"/>
    </row>
    <row r="14853" spans="2:2" ht="15.95" customHeight="1">
      <c r="B14853" s="37"/>
    </row>
    <row r="14854" spans="2:2" ht="15.95" customHeight="1">
      <c r="B14854" s="37"/>
    </row>
    <row r="14855" spans="2:2" ht="15.95" customHeight="1">
      <c r="B14855" s="37"/>
    </row>
    <row r="14856" spans="2:2" ht="15.95" customHeight="1">
      <c r="B14856" s="37"/>
    </row>
    <row r="14857" spans="2:2" ht="15.95" customHeight="1">
      <c r="B14857" s="37"/>
    </row>
    <row r="14858" spans="2:2" ht="15.95" customHeight="1">
      <c r="B14858" s="37"/>
    </row>
    <row r="14859" spans="2:2" ht="15.95" customHeight="1">
      <c r="B14859" s="37"/>
    </row>
    <row r="14860" spans="2:2" ht="15.95" customHeight="1">
      <c r="B14860" s="37"/>
    </row>
    <row r="14861" spans="2:2" ht="15.95" customHeight="1">
      <c r="B14861" s="37"/>
    </row>
    <row r="14862" spans="2:2" ht="15.95" customHeight="1">
      <c r="B14862" s="37"/>
    </row>
    <row r="14863" spans="2:2" ht="15.95" customHeight="1">
      <c r="B14863" s="37"/>
    </row>
    <row r="14864" spans="2:2" ht="15.95" customHeight="1">
      <c r="B14864" s="37"/>
    </row>
    <row r="14865" spans="2:2" ht="15.95" customHeight="1">
      <c r="B14865" s="37"/>
    </row>
    <row r="14866" spans="2:2" ht="15.95" customHeight="1">
      <c r="B14866" s="37"/>
    </row>
    <row r="14867" spans="2:2" ht="15.95" customHeight="1">
      <c r="B14867" s="37"/>
    </row>
    <row r="14868" spans="2:2" ht="15.95" customHeight="1">
      <c r="B14868" s="37"/>
    </row>
    <row r="14869" spans="2:2" ht="15.95" customHeight="1">
      <c r="B14869" s="37"/>
    </row>
    <row r="14870" spans="2:2" ht="15.95" customHeight="1">
      <c r="B14870" s="37"/>
    </row>
    <row r="14871" spans="2:2" ht="15.95" customHeight="1">
      <c r="B14871" s="37"/>
    </row>
    <row r="14872" spans="2:2" ht="15.95" customHeight="1">
      <c r="B14872" s="37"/>
    </row>
    <row r="14873" spans="2:2" ht="15.95" customHeight="1">
      <c r="B14873" s="37"/>
    </row>
    <row r="14874" spans="2:2" ht="15.95" customHeight="1">
      <c r="B14874" s="37"/>
    </row>
    <row r="14875" spans="2:2" ht="15.95" customHeight="1">
      <c r="B14875" s="37"/>
    </row>
    <row r="14876" spans="2:2" ht="15.95" customHeight="1">
      <c r="B14876" s="37"/>
    </row>
    <row r="14877" spans="2:2" ht="15.95" customHeight="1">
      <c r="B14877" s="37"/>
    </row>
    <row r="14878" spans="2:2" ht="15.95" customHeight="1">
      <c r="B14878" s="37"/>
    </row>
    <row r="14879" spans="2:2" ht="15.95" customHeight="1">
      <c r="B14879" s="37"/>
    </row>
    <row r="14880" spans="2:2" ht="15.95" customHeight="1">
      <c r="B14880" s="37"/>
    </row>
    <row r="14881" spans="2:2" ht="15.95" customHeight="1">
      <c r="B14881" s="37"/>
    </row>
    <row r="14882" spans="2:2" ht="15.95" customHeight="1">
      <c r="B14882" s="37"/>
    </row>
    <row r="14883" spans="2:2" ht="15.95" customHeight="1">
      <c r="B14883" s="37"/>
    </row>
    <row r="14884" spans="2:2" ht="15.95" customHeight="1">
      <c r="B14884" s="37"/>
    </row>
    <row r="14885" spans="2:2" ht="15.95" customHeight="1">
      <c r="B14885" s="37"/>
    </row>
    <row r="14886" spans="2:2" ht="15.95" customHeight="1">
      <c r="B14886" s="37"/>
    </row>
    <row r="14887" spans="2:2" ht="15.95" customHeight="1">
      <c r="B14887" s="37"/>
    </row>
    <row r="14888" spans="2:2" ht="15.95" customHeight="1">
      <c r="B14888" s="37"/>
    </row>
    <row r="14889" spans="2:2" ht="15.95" customHeight="1">
      <c r="B14889" s="37"/>
    </row>
    <row r="14890" spans="2:2" ht="15.95" customHeight="1">
      <c r="B14890" s="37"/>
    </row>
    <row r="14891" spans="2:2" ht="15.95" customHeight="1">
      <c r="B14891" s="37"/>
    </row>
    <row r="14892" spans="2:2" ht="15.95" customHeight="1">
      <c r="B14892" s="37"/>
    </row>
    <row r="14893" spans="2:2" ht="15.95" customHeight="1">
      <c r="B14893" s="37"/>
    </row>
    <row r="14894" spans="2:2" ht="15.95" customHeight="1">
      <c r="B14894" s="37"/>
    </row>
    <row r="14895" spans="2:2" ht="15.95" customHeight="1">
      <c r="B14895" s="37"/>
    </row>
    <row r="14896" spans="2:2" ht="15.95" customHeight="1">
      <c r="B14896" s="37"/>
    </row>
    <row r="14897" spans="2:2" ht="15.95" customHeight="1">
      <c r="B14897" s="37"/>
    </row>
    <row r="14898" spans="2:2" ht="15.95" customHeight="1">
      <c r="B14898" s="37"/>
    </row>
    <row r="14899" spans="2:2" ht="15.95" customHeight="1">
      <c r="B14899" s="37"/>
    </row>
    <row r="14900" spans="2:2" ht="15.95" customHeight="1">
      <c r="B14900" s="37"/>
    </row>
    <row r="14901" spans="2:2" ht="15.95" customHeight="1">
      <c r="B14901" s="37"/>
    </row>
    <row r="14902" spans="2:2" ht="15.95" customHeight="1">
      <c r="B14902" s="37"/>
    </row>
    <row r="14903" spans="2:2" ht="15.95" customHeight="1">
      <c r="B14903" s="37"/>
    </row>
    <row r="14904" spans="2:2" ht="15.95" customHeight="1">
      <c r="B14904" s="37"/>
    </row>
    <row r="14905" spans="2:2" ht="15.95" customHeight="1">
      <c r="B14905" s="37"/>
    </row>
    <row r="14906" spans="2:2" ht="15.95" customHeight="1">
      <c r="B14906" s="37"/>
    </row>
    <row r="14907" spans="2:2" ht="15.95" customHeight="1">
      <c r="B14907" s="37"/>
    </row>
    <row r="14908" spans="2:2" ht="15.95" customHeight="1">
      <c r="B14908" s="37"/>
    </row>
    <row r="14909" spans="2:2" ht="15.95" customHeight="1">
      <c r="B14909" s="37"/>
    </row>
    <row r="14910" spans="2:2" ht="15.95" customHeight="1">
      <c r="B14910" s="37"/>
    </row>
    <row r="14911" spans="2:2" ht="15.95" customHeight="1">
      <c r="B14911" s="37"/>
    </row>
    <row r="14912" spans="2:2" ht="15.95" customHeight="1">
      <c r="B14912" s="37"/>
    </row>
    <row r="14913" spans="2:2" ht="15.95" customHeight="1">
      <c r="B14913" s="37"/>
    </row>
    <row r="14914" spans="2:2" ht="15.95" customHeight="1">
      <c r="B14914" s="37"/>
    </row>
    <row r="14915" spans="2:2" ht="15.95" customHeight="1">
      <c r="B14915" s="37"/>
    </row>
    <row r="14916" spans="2:2" ht="15.95" customHeight="1">
      <c r="B14916" s="37"/>
    </row>
    <row r="14917" spans="2:2" ht="15.95" customHeight="1">
      <c r="B14917" s="37"/>
    </row>
    <row r="14918" spans="2:2" ht="15.95" customHeight="1">
      <c r="B14918" s="37"/>
    </row>
    <row r="14919" spans="2:2" ht="15.95" customHeight="1">
      <c r="B14919" s="37"/>
    </row>
    <row r="14920" spans="2:2" ht="15.95" customHeight="1">
      <c r="B14920" s="37"/>
    </row>
    <row r="14921" spans="2:2" ht="15.95" customHeight="1">
      <c r="B14921" s="37"/>
    </row>
    <row r="14922" spans="2:2" ht="15.95" customHeight="1">
      <c r="B14922" s="37"/>
    </row>
    <row r="14923" spans="2:2" ht="15.95" customHeight="1">
      <c r="B14923" s="37"/>
    </row>
    <row r="14924" spans="2:2" ht="15.95" customHeight="1">
      <c r="B14924" s="37"/>
    </row>
    <row r="14925" spans="2:2" ht="15.95" customHeight="1">
      <c r="B14925" s="37"/>
    </row>
    <row r="14926" spans="2:2" ht="15.95" customHeight="1">
      <c r="B14926" s="37"/>
    </row>
    <row r="14927" spans="2:2" ht="15.95" customHeight="1">
      <c r="B14927" s="37"/>
    </row>
    <row r="14928" spans="2:2" ht="15.95" customHeight="1">
      <c r="B14928" s="37"/>
    </row>
    <row r="14929" spans="2:2" ht="15.95" customHeight="1">
      <c r="B14929" s="37"/>
    </row>
    <row r="14930" spans="2:2" ht="15.95" customHeight="1">
      <c r="B14930" s="37"/>
    </row>
    <row r="14931" spans="2:2" ht="15.95" customHeight="1">
      <c r="B14931" s="37"/>
    </row>
    <row r="14932" spans="2:2" ht="15.95" customHeight="1">
      <c r="B14932" s="37"/>
    </row>
    <row r="14933" spans="2:2" ht="15.95" customHeight="1">
      <c r="B14933" s="37"/>
    </row>
    <row r="14934" spans="2:2" ht="15.95" customHeight="1">
      <c r="B14934" s="37"/>
    </row>
    <row r="14935" spans="2:2" ht="15.95" customHeight="1">
      <c r="B14935" s="37"/>
    </row>
    <row r="14936" spans="2:2" ht="15.95" customHeight="1">
      <c r="B14936" s="37"/>
    </row>
    <row r="14937" spans="2:2" ht="15.95" customHeight="1">
      <c r="B14937" s="37"/>
    </row>
    <row r="14938" spans="2:2" ht="15.95" customHeight="1">
      <c r="B14938" s="37"/>
    </row>
    <row r="14939" spans="2:2" ht="15.95" customHeight="1">
      <c r="B14939" s="37"/>
    </row>
    <row r="14940" spans="2:2" ht="15.95" customHeight="1">
      <c r="B14940" s="37"/>
    </row>
    <row r="14941" spans="2:2" ht="15.95" customHeight="1">
      <c r="B14941" s="37"/>
    </row>
    <row r="14942" spans="2:2" ht="15.95" customHeight="1">
      <c r="B14942" s="37"/>
    </row>
    <row r="14943" spans="2:2" ht="15.95" customHeight="1">
      <c r="B14943" s="37"/>
    </row>
    <row r="14944" spans="2:2" ht="15.95" customHeight="1">
      <c r="B14944" s="37"/>
    </row>
    <row r="14945" spans="2:2" ht="15.95" customHeight="1">
      <c r="B14945" s="37"/>
    </row>
    <row r="14946" spans="2:2" ht="15.95" customHeight="1">
      <c r="B14946" s="37"/>
    </row>
    <row r="14947" spans="2:2" ht="15.95" customHeight="1">
      <c r="B14947" s="37"/>
    </row>
    <row r="14948" spans="2:2" ht="15.95" customHeight="1">
      <c r="B14948" s="37"/>
    </row>
    <row r="14949" spans="2:2" ht="15.95" customHeight="1">
      <c r="B14949" s="37"/>
    </row>
    <row r="14950" spans="2:2" ht="15.95" customHeight="1">
      <c r="B14950" s="37"/>
    </row>
    <row r="14951" spans="2:2" ht="15.95" customHeight="1">
      <c r="B14951" s="37"/>
    </row>
    <row r="14952" spans="2:2" ht="15.95" customHeight="1">
      <c r="B14952" s="37"/>
    </row>
    <row r="14953" spans="2:2" ht="15.95" customHeight="1">
      <c r="B14953" s="37"/>
    </row>
    <row r="14954" spans="2:2" ht="15.95" customHeight="1">
      <c r="B14954" s="37"/>
    </row>
    <row r="14955" spans="2:2" ht="15.95" customHeight="1">
      <c r="B14955" s="37"/>
    </row>
    <row r="14956" spans="2:2" ht="15.95" customHeight="1">
      <c r="B14956" s="37"/>
    </row>
    <row r="14957" spans="2:2" ht="15.95" customHeight="1">
      <c r="B14957" s="37"/>
    </row>
    <row r="14958" spans="2:2" ht="15.95" customHeight="1">
      <c r="B14958" s="37"/>
    </row>
    <row r="14959" spans="2:2" ht="15.95" customHeight="1">
      <c r="B14959" s="37"/>
    </row>
    <row r="14960" spans="2:2" ht="15.95" customHeight="1">
      <c r="B14960" s="37"/>
    </row>
    <row r="14961" spans="2:2" ht="15.95" customHeight="1">
      <c r="B14961" s="37"/>
    </row>
    <row r="14962" spans="2:2" ht="15.95" customHeight="1">
      <c r="B14962" s="37"/>
    </row>
    <row r="14963" spans="2:2" ht="15.95" customHeight="1">
      <c r="B14963" s="37"/>
    </row>
    <row r="14964" spans="2:2" ht="15.95" customHeight="1">
      <c r="B14964" s="37"/>
    </row>
    <row r="14965" spans="2:2" ht="15.95" customHeight="1">
      <c r="B14965" s="37"/>
    </row>
    <row r="14966" spans="2:2" ht="15.95" customHeight="1">
      <c r="B14966" s="37"/>
    </row>
    <row r="14967" spans="2:2" ht="15.95" customHeight="1">
      <c r="B14967" s="37"/>
    </row>
    <row r="14968" spans="2:2" ht="15.95" customHeight="1">
      <c r="B14968" s="37"/>
    </row>
    <row r="14969" spans="2:2" ht="15.95" customHeight="1">
      <c r="B14969" s="37"/>
    </row>
    <row r="14970" spans="2:2" ht="15.95" customHeight="1">
      <c r="B14970" s="37"/>
    </row>
    <row r="14971" spans="2:2" ht="15.95" customHeight="1">
      <c r="B14971" s="37"/>
    </row>
    <row r="14972" spans="2:2" ht="15.95" customHeight="1">
      <c r="B14972" s="37"/>
    </row>
    <row r="14973" spans="2:2" ht="15.95" customHeight="1">
      <c r="B14973" s="37"/>
    </row>
    <row r="14974" spans="2:2" ht="15.95" customHeight="1">
      <c r="B14974" s="37"/>
    </row>
    <row r="14975" spans="2:2" ht="15.95" customHeight="1">
      <c r="B14975" s="37"/>
    </row>
    <row r="14976" spans="2:2" ht="15.95" customHeight="1">
      <c r="B14976" s="37"/>
    </row>
    <row r="14977" spans="2:2" ht="15.95" customHeight="1">
      <c r="B14977" s="37"/>
    </row>
    <row r="14978" spans="2:2" ht="15.95" customHeight="1">
      <c r="B14978" s="37"/>
    </row>
    <row r="14979" spans="2:2" ht="15.95" customHeight="1">
      <c r="B14979" s="37"/>
    </row>
    <row r="14980" spans="2:2" ht="15.95" customHeight="1">
      <c r="B14980" s="37"/>
    </row>
    <row r="14981" spans="2:2" ht="15.95" customHeight="1">
      <c r="B14981" s="37"/>
    </row>
    <row r="14982" spans="2:2" ht="15.95" customHeight="1">
      <c r="B14982" s="37"/>
    </row>
    <row r="14983" spans="2:2" ht="15.95" customHeight="1">
      <c r="B14983" s="37"/>
    </row>
    <row r="14984" spans="2:2" ht="15.95" customHeight="1">
      <c r="B14984" s="37"/>
    </row>
    <row r="14985" spans="2:2" ht="15.95" customHeight="1">
      <c r="B14985" s="37"/>
    </row>
    <row r="14986" spans="2:2" ht="15.95" customHeight="1">
      <c r="B14986" s="37"/>
    </row>
    <row r="14987" spans="2:2" ht="15.95" customHeight="1">
      <c r="B14987" s="37"/>
    </row>
    <row r="14988" spans="2:2" ht="15.95" customHeight="1">
      <c r="B14988" s="37"/>
    </row>
    <row r="14989" spans="2:2" ht="15.95" customHeight="1">
      <c r="B14989" s="37"/>
    </row>
    <row r="14990" spans="2:2" ht="15.95" customHeight="1">
      <c r="B14990" s="37"/>
    </row>
    <row r="14991" spans="2:2" ht="15.95" customHeight="1">
      <c r="B14991" s="37"/>
    </row>
    <row r="14992" spans="2:2" ht="15.95" customHeight="1">
      <c r="B14992" s="37"/>
    </row>
    <row r="14993" spans="2:2" ht="15.95" customHeight="1">
      <c r="B14993" s="37"/>
    </row>
    <row r="14994" spans="2:2" ht="15.95" customHeight="1">
      <c r="B14994" s="37"/>
    </row>
    <row r="14995" spans="2:2" ht="15.95" customHeight="1">
      <c r="B14995" s="37"/>
    </row>
    <row r="14996" spans="2:2" ht="15.95" customHeight="1">
      <c r="B14996" s="37"/>
    </row>
    <row r="14997" spans="2:2" ht="15.95" customHeight="1">
      <c r="B14997" s="37"/>
    </row>
    <row r="14998" spans="2:2" ht="15.95" customHeight="1">
      <c r="B14998" s="37"/>
    </row>
    <row r="14999" spans="2:2" ht="15.95" customHeight="1">
      <c r="B14999" s="37"/>
    </row>
    <row r="15000" spans="2:2" ht="15.95" customHeight="1">
      <c r="B15000" s="37"/>
    </row>
    <row r="15001" spans="2:2" ht="15.95" customHeight="1">
      <c r="B15001" s="37"/>
    </row>
    <row r="15002" spans="2:2" ht="15.95" customHeight="1">
      <c r="B15002" s="37"/>
    </row>
    <row r="15003" spans="2:2" ht="15.95" customHeight="1">
      <c r="B15003" s="37"/>
    </row>
    <row r="15004" spans="2:2" ht="15.95" customHeight="1">
      <c r="B15004" s="37"/>
    </row>
    <row r="15005" spans="2:2" ht="15.95" customHeight="1">
      <c r="B15005" s="37"/>
    </row>
    <row r="15006" spans="2:2" ht="15.95" customHeight="1">
      <c r="B15006" s="37"/>
    </row>
    <row r="15007" spans="2:2" ht="15.95" customHeight="1">
      <c r="B15007" s="37"/>
    </row>
    <row r="15008" spans="2:2" ht="15.95" customHeight="1">
      <c r="B15008" s="37"/>
    </row>
    <row r="15009" spans="2:2" ht="15.95" customHeight="1">
      <c r="B15009" s="37"/>
    </row>
    <row r="15010" spans="2:2" ht="15.95" customHeight="1">
      <c r="B15010" s="37"/>
    </row>
    <row r="15011" spans="2:2" ht="15.95" customHeight="1">
      <c r="B15011" s="37"/>
    </row>
    <row r="15012" spans="2:2" ht="15.95" customHeight="1">
      <c r="B15012" s="37"/>
    </row>
    <row r="15013" spans="2:2" ht="15.95" customHeight="1">
      <c r="B15013" s="37"/>
    </row>
    <row r="15014" spans="2:2" ht="15.95" customHeight="1">
      <c r="B15014" s="37"/>
    </row>
    <row r="15015" spans="2:2" ht="15.95" customHeight="1">
      <c r="B15015" s="37"/>
    </row>
    <row r="15016" spans="2:2" ht="15.95" customHeight="1">
      <c r="B15016" s="37"/>
    </row>
    <row r="15017" spans="2:2" ht="15.95" customHeight="1">
      <c r="B15017" s="37"/>
    </row>
    <row r="15018" spans="2:2" ht="15.95" customHeight="1">
      <c r="B15018" s="37"/>
    </row>
    <row r="15019" spans="2:2" ht="15.95" customHeight="1">
      <c r="B15019" s="37"/>
    </row>
    <row r="15020" spans="2:2" ht="15.95" customHeight="1">
      <c r="B15020" s="37"/>
    </row>
    <row r="15021" spans="2:2" ht="15.95" customHeight="1">
      <c r="B15021" s="37"/>
    </row>
    <row r="15022" spans="2:2" ht="15.95" customHeight="1">
      <c r="B15022" s="37"/>
    </row>
    <row r="15023" spans="2:2" ht="15.95" customHeight="1">
      <c r="B15023" s="37"/>
    </row>
    <row r="15024" spans="2:2" ht="15.95" customHeight="1">
      <c r="B15024" s="37"/>
    </row>
    <row r="15025" spans="2:2" ht="15.95" customHeight="1">
      <c r="B15025" s="37"/>
    </row>
    <row r="15026" spans="2:2" ht="15.95" customHeight="1">
      <c r="B15026" s="37"/>
    </row>
    <row r="15027" spans="2:2" ht="15.95" customHeight="1">
      <c r="B15027" s="37"/>
    </row>
    <row r="15028" spans="2:2" ht="15.95" customHeight="1">
      <c r="B15028" s="37"/>
    </row>
    <row r="15029" spans="2:2" ht="15.95" customHeight="1">
      <c r="B15029" s="37"/>
    </row>
    <row r="15030" spans="2:2" ht="15.95" customHeight="1">
      <c r="B15030" s="37"/>
    </row>
    <row r="15031" spans="2:2" ht="15.95" customHeight="1">
      <c r="B15031" s="37"/>
    </row>
    <row r="15032" spans="2:2" ht="15.95" customHeight="1">
      <c r="B15032" s="37"/>
    </row>
    <row r="15033" spans="2:2" ht="15.95" customHeight="1">
      <c r="B15033" s="37"/>
    </row>
    <row r="15034" spans="2:2" ht="15.95" customHeight="1">
      <c r="B15034" s="37"/>
    </row>
    <row r="15035" spans="2:2" ht="15.95" customHeight="1">
      <c r="B15035" s="37"/>
    </row>
    <row r="15036" spans="2:2" ht="15.95" customHeight="1">
      <c r="B15036" s="37"/>
    </row>
    <row r="15037" spans="2:2" ht="15.95" customHeight="1">
      <c r="B15037" s="37"/>
    </row>
    <row r="15038" spans="2:2" ht="15.95" customHeight="1">
      <c r="B15038" s="37"/>
    </row>
    <row r="15039" spans="2:2" ht="15.95" customHeight="1">
      <c r="B15039" s="37"/>
    </row>
    <row r="15040" spans="2:2" ht="15.95" customHeight="1">
      <c r="B15040" s="37"/>
    </row>
    <row r="15041" spans="2:2" ht="15.95" customHeight="1">
      <c r="B15041" s="37"/>
    </row>
    <row r="15042" spans="2:2" ht="15.95" customHeight="1">
      <c r="B15042" s="37"/>
    </row>
    <row r="15043" spans="2:2" ht="15.95" customHeight="1">
      <c r="B15043" s="37"/>
    </row>
    <row r="15044" spans="2:2" ht="15.95" customHeight="1">
      <c r="B15044" s="37"/>
    </row>
    <row r="15045" spans="2:2" ht="15.95" customHeight="1">
      <c r="B15045" s="37"/>
    </row>
    <row r="15046" spans="2:2" ht="15.95" customHeight="1">
      <c r="B15046" s="37"/>
    </row>
    <row r="15047" spans="2:2" ht="15.95" customHeight="1">
      <c r="B15047" s="37"/>
    </row>
    <row r="15048" spans="2:2" ht="15.95" customHeight="1">
      <c r="B15048" s="37"/>
    </row>
    <row r="15049" spans="2:2" ht="15.95" customHeight="1">
      <c r="B15049" s="37"/>
    </row>
    <row r="15050" spans="2:2" ht="15.95" customHeight="1">
      <c r="B15050" s="37"/>
    </row>
    <row r="15051" spans="2:2" ht="15.95" customHeight="1">
      <c r="B15051" s="37"/>
    </row>
    <row r="15052" spans="2:2" ht="15.95" customHeight="1">
      <c r="B15052" s="37"/>
    </row>
    <row r="15053" spans="2:2" ht="15.95" customHeight="1">
      <c r="B15053" s="37"/>
    </row>
    <row r="15054" spans="2:2" ht="15.95" customHeight="1">
      <c r="B15054" s="37"/>
    </row>
    <row r="15055" spans="2:2" ht="15.95" customHeight="1">
      <c r="B15055" s="37"/>
    </row>
    <row r="15056" spans="2:2" ht="15.95" customHeight="1">
      <c r="B15056" s="37"/>
    </row>
    <row r="15057" spans="2:2" ht="15.95" customHeight="1">
      <c r="B15057" s="37"/>
    </row>
    <row r="15058" spans="2:2" ht="15.95" customHeight="1">
      <c r="B15058" s="37"/>
    </row>
    <row r="15059" spans="2:2" ht="15.95" customHeight="1">
      <c r="B15059" s="37"/>
    </row>
    <row r="15060" spans="2:2" ht="15.95" customHeight="1">
      <c r="B15060" s="37"/>
    </row>
    <row r="15061" spans="2:2" ht="15.95" customHeight="1">
      <c r="B15061" s="37"/>
    </row>
    <row r="15062" spans="2:2" ht="15.95" customHeight="1">
      <c r="B15062" s="37"/>
    </row>
    <row r="15063" spans="2:2" ht="15.95" customHeight="1">
      <c r="B15063" s="37"/>
    </row>
    <row r="15064" spans="2:2" ht="15.95" customHeight="1">
      <c r="B15064" s="37"/>
    </row>
    <row r="15065" spans="2:2" ht="15.95" customHeight="1">
      <c r="B15065" s="37"/>
    </row>
    <row r="15066" spans="2:2" ht="15.95" customHeight="1">
      <c r="B15066" s="37"/>
    </row>
    <row r="15067" spans="2:2" ht="15.95" customHeight="1">
      <c r="B15067" s="37"/>
    </row>
    <row r="15068" spans="2:2" ht="15.95" customHeight="1">
      <c r="B15068" s="37"/>
    </row>
    <row r="15069" spans="2:2" ht="15.95" customHeight="1">
      <c r="B15069" s="37"/>
    </row>
    <row r="15070" spans="2:2" ht="15.95" customHeight="1">
      <c r="B15070" s="37"/>
    </row>
    <row r="15071" spans="2:2" ht="15.95" customHeight="1">
      <c r="B15071" s="37"/>
    </row>
    <row r="15072" spans="2:2" ht="15.95" customHeight="1">
      <c r="B15072" s="37"/>
    </row>
    <row r="15073" spans="2:2" ht="15.95" customHeight="1">
      <c r="B15073" s="37"/>
    </row>
    <row r="15074" spans="2:2" ht="15.95" customHeight="1">
      <c r="B15074" s="37"/>
    </row>
    <row r="15075" spans="2:2" ht="15.95" customHeight="1">
      <c r="B15075" s="37"/>
    </row>
    <row r="15076" spans="2:2" ht="15.95" customHeight="1">
      <c r="B15076" s="37"/>
    </row>
    <row r="15077" spans="2:2" ht="15.95" customHeight="1">
      <c r="B15077" s="37"/>
    </row>
    <row r="15078" spans="2:2" ht="15.95" customHeight="1">
      <c r="B15078" s="37"/>
    </row>
    <row r="15079" spans="2:2" ht="15.95" customHeight="1">
      <c r="B15079" s="37"/>
    </row>
    <row r="15080" spans="2:2" ht="15.95" customHeight="1">
      <c r="B15080" s="37"/>
    </row>
    <row r="15081" spans="2:2" ht="15.95" customHeight="1">
      <c r="B15081" s="37"/>
    </row>
    <row r="15082" spans="2:2" ht="15.95" customHeight="1">
      <c r="B15082" s="37"/>
    </row>
    <row r="15083" spans="2:2" ht="15.95" customHeight="1">
      <c r="B15083" s="37"/>
    </row>
    <row r="15084" spans="2:2" ht="15.95" customHeight="1">
      <c r="B15084" s="37"/>
    </row>
    <row r="15085" spans="2:2" ht="15.95" customHeight="1">
      <c r="B15085" s="37"/>
    </row>
    <row r="15086" spans="2:2" ht="15.95" customHeight="1">
      <c r="B15086" s="37"/>
    </row>
    <row r="15087" spans="2:2" ht="15.95" customHeight="1">
      <c r="B15087" s="37"/>
    </row>
    <row r="15088" spans="2:2" ht="15.95" customHeight="1">
      <c r="B15088" s="37"/>
    </row>
    <row r="15089" spans="2:2" ht="15.95" customHeight="1">
      <c r="B15089" s="37"/>
    </row>
    <row r="15090" spans="2:2" ht="15.95" customHeight="1">
      <c r="B15090" s="37"/>
    </row>
    <row r="15091" spans="2:2" ht="15.95" customHeight="1">
      <c r="B15091" s="37"/>
    </row>
    <row r="15092" spans="2:2" ht="15.95" customHeight="1">
      <c r="B15092" s="37"/>
    </row>
    <row r="15093" spans="2:2" ht="15.95" customHeight="1">
      <c r="B15093" s="37"/>
    </row>
    <row r="15094" spans="2:2" ht="15.95" customHeight="1">
      <c r="B15094" s="37"/>
    </row>
    <row r="15095" spans="2:2" ht="15.95" customHeight="1">
      <c r="B15095" s="37"/>
    </row>
    <row r="15096" spans="2:2" ht="15.95" customHeight="1">
      <c r="B15096" s="37"/>
    </row>
    <row r="15097" spans="2:2" ht="15.95" customHeight="1">
      <c r="B15097" s="37"/>
    </row>
    <row r="15098" spans="2:2" ht="15.95" customHeight="1">
      <c r="B15098" s="37"/>
    </row>
    <row r="15099" spans="2:2" ht="15.95" customHeight="1">
      <c r="B15099" s="37"/>
    </row>
    <row r="15100" spans="2:2" ht="15.95" customHeight="1">
      <c r="B15100" s="37"/>
    </row>
    <row r="15101" spans="2:2" ht="15.95" customHeight="1">
      <c r="B15101" s="37"/>
    </row>
    <row r="15102" spans="2:2" ht="15.95" customHeight="1">
      <c r="B15102" s="37"/>
    </row>
    <row r="15103" spans="2:2" ht="15.95" customHeight="1">
      <c r="B15103" s="37"/>
    </row>
    <row r="15104" spans="2:2" ht="15.95" customHeight="1">
      <c r="B15104" s="37"/>
    </row>
    <row r="15105" spans="2:2" ht="15.95" customHeight="1">
      <c r="B15105" s="37"/>
    </row>
    <row r="15106" spans="2:2" ht="15.95" customHeight="1">
      <c r="B15106" s="37"/>
    </row>
    <row r="15107" spans="2:2" ht="15.95" customHeight="1">
      <c r="B15107" s="37"/>
    </row>
    <row r="15108" spans="2:2" ht="15.95" customHeight="1">
      <c r="B15108" s="37"/>
    </row>
    <row r="15109" spans="2:2" ht="15.95" customHeight="1">
      <c r="B15109" s="37"/>
    </row>
    <row r="15110" spans="2:2" ht="15.95" customHeight="1">
      <c r="B15110" s="37"/>
    </row>
    <row r="15111" spans="2:2" ht="15.95" customHeight="1">
      <c r="B15111" s="37"/>
    </row>
    <row r="15112" spans="2:2" ht="15.95" customHeight="1">
      <c r="B15112" s="37"/>
    </row>
    <row r="15113" spans="2:2" ht="15.95" customHeight="1">
      <c r="B15113" s="37"/>
    </row>
    <row r="15114" spans="2:2" ht="15.95" customHeight="1">
      <c r="B15114" s="37"/>
    </row>
    <row r="15115" spans="2:2" ht="15.95" customHeight="1">
      <c r="B15115" s="37"/>
    </row>
    <row r="15116" spans="2:2" ht="15.95" customHeight="1">
      <c r="B15116" s="37"/>
    </row>
    <row r="15117" spans="2:2" ht="15.95" customHeight="1">
      <c r="B15117" s="37"/>
    </row>
    <row r="15118" spans="2:2" ht="15.95" customHeight="1">
      <c r="B15118" s="37"/>
    </row>
    <row r="15119" spans="2:2" ht="15.95" customHeight="1">
      <c r="B15119" s="37"/>
    </row>
    <row r="15120" spans="2:2" ht="15.95" customHeight="1">
      <c r="B15120" s="37"/>
    </row>
    <row r="15121" spans="2:2" ht="15.95" customHeight="1">
      <c r="B15121" s="37"/>
    </row>
    <row r="15122" spans="2:2" ht="15.95" customHeight="1">
      <c r="B15122" s="37"/>
    </row>
    <row r="15123" spans="2:2" ht="15.95" customHeight="1">
      <c r="B15123" s="37"/>
    </row>
    <row r="15124" spans="2:2" ht="15.95" customHeight="1">
      <c r="B15124" s="37"/>
    </row>
    <row r="15125" spans="2:2" ht="15.95" customHeight="1">
      <c r="B15125" s="37"/>
    </row>
    <row r="15126" spans="2:2" ht="15.95" customHeight="1">
      <c r="B15126" s="37"/>
    </row>
    <row r="15127" spans="2:2" ht="15.95" customHeight="1">
      <c r="B15127" s="37"/>
    </row>
    <row r="15128" spans="2:2" ht="15.95" customHeight="1">
      <c r="B15128" s="37"/>
    </row>
    <row r="15129" spans="2:2" ht="15.95" customHeight="1">
      <c r="B15129" s="37"/>
    </row>
    <row r="15130" spans="2:2" ht="15.95" customHeight="1">
      <c r="B15130" s="37"/>
    </row>
    <row r="15131" spans="2:2" ht="15.95" customHeight="1">
      <c r="B15131" s="37"/>
    </row>
    <row r="15132" spans="2:2" ht="15.95" customHeight="1">
      <c r="B15132" s="37"/>
    </row>
    <row r="15133" spans="2:2" ht="15.95" customHeight="1">
      <c r="B15133" s="37"/>
    </row>
    <row r="15134" spans="2:2" ht="15.95" customHeight="1">
      <c r="B15134" s="37"/>
    </row>
    <row r="15135" spans="2:2" ht="15.95" customHeight="1">
      <c r="B15135" s="37"/>
    </row>
    <row r="15136" spans="2:2" ht="15.95" customHeight="1">
      <c r="B15136" s="37"/>
    </row>
    <row r="15137" spans="2:2" ht="15.95" customHeight="1">
      <c r="B15137" s="37"/>
    </row>
    <row r="15138" spans="2:2" ht="15.95" customHeight="1">
      <c r="B15138" s="37"/>
    </row>
    <row r="15139" spans="2:2" ht="15.95" customHeight="1">
      <c r="B15139" s="37"/>
    </row>
    <row r="15140" spans="2:2" ht="15.95" customHeight="1">
      <c r="B15140" s="37"/>
    </row>
    <row r="15141" spans="2:2" ht="15.95" customHeight="1">
      <c r="B15141" s="37"/>
    </row>
    <row r="15142" spans="2:2" ht="15.95" customHeight="1">
      <c r="B15142" s="37"/>
    </row>
    <row r="15143" spans="2:2" ht="15.95" customHeight="1">
      <c r="B15143" s="37"/>
    </row>
    <row r="15144" spans="2:2" ht="15.95" customHeight="1">
      <c r="B15144" s="37"/>
    </row>
    <row r="15145" spans="2:2" ht="15.95" customHeight="1">
      <c r="B15145" s="37"/>
    </row>
    <row r="15146" spans="2:2" ht="15.95" customHeight="1">
      <c r="B15146" s="37"/>
    </row>
    <row r="15147" spans="2:2" ht="15.95" customHeight="1">
      <c r="B15147" s="37"/>
    </row>
    <row r="15148" spans="2:2" ht="15.95" customHeight="1">
      <c r="B15148" s="37"/>
    </row>
    <row r="15149" spans="2:2" ht="15.95" customHeight="1">
      <c r="B15149" s="37"/>
    </row>
    <row r="15150" spans="2:2" ht="15.95" customHeight="1">
      <c r="B15150" s="37"/>
    </row>
    <row r="15151" spans="2:2" ht="15.95" customHeight="1">
      <c r="B15151" s="37"/>
    </row>
    <row r="15152" spans="2:2" ht="15.95" customHeight="1">
      <c r="B15152" s="37"/>
    </row>
    <row r="15153" spans="2:2" ht="15.95" customHeight="1">
      <c r="B15153" s="37"/>
    </row>
    <row r="15154" spans="2:2" ht="15.95" customHeight="1">
      <c r="B15154" s="37"/>
    </row>
    <row r="15155" spans="2:2" ht="15.95" customHeight="1">
      <c r="B15155" s="37"/>
    </row>
    <row r="15156" spans="2:2" ht="15.95" customHeight="1">
      <c r="B15156" s="37"/>
    </row>
    <row r="15157" spans="2:2" ht="15.95" customHeight="1">
      <c r="B15157" s="37"/>
    </row>
    <row r="15158" spans="2:2" ht="15.95" customHeight="1">
      <c r="B15158" s="37"/>
    </row>
    <row r="15159" spans="2:2" ht="15.95" customHeight="1">
      <c r="B15159" s="37"/>
    </row>
    <row r="15160" spans="2:2" ht="15.95" customHeight="1">
      <c r="B15160" s="37"/>
    </row>
    <row r="15161" spans="2:2" ht="15.95" customHeight="1">
      <c r="B15161" s="37"/>
    </row>
    <row r="15162" spans="2:2" ht="15.95" customHeight="1">
      <c r="B15162" s="37"/>
    </row>
    <row r="15163" spans="2:2" ht="15.95" customHeight="1">
      <c r="B15163" s="37"/>
    </row>
    <row r="15164" spans="2:2" ht="15.95" customHeight="1">
      <c r="B15164" s="37"/>
    </row>
    <row r="15165" spans="2:2" ht="15.95" customHeight="1">
      <c r="B15165" s="37"/>
    </row>
    <row r="15166" spans="2:2" ht="15.95" customHeight="1">
      <c r="B15166" s="37"/>
    </row>
    <row r="15167" spans="2:2" ht="15.95" customHeight="1">
      <c r="B15167" s="37"/>
    </row>
    <row r="15168" spans="2:2" ht="15.95" customHeight="1">
      <c r="B15168" s="37"/>
    </row>
    <row r="15169" spans="2:2" ht="15.95" customHeight="1">
      <c r="B15169" s="37"/>
    </row>
    <row r="15170" spans="2:2" ht="15.95" customHeight="1">
      <c r="B15170" s="37"/>
    </row>
    <row r="15171" spans="2:2" ht="15.95" customHeight="1">
      <c r="B15171" s="37"/>
    </row>
    <row r="15172" spans="2:2" ht="15.95" customHeight="1">
      <c r="B15172" s="37"/>
    </row>
    <row r="15173" spans="2:2" ht="15.95" customHeight="1">
      <c r="B15173" s="37"/>
    </row>
    <row r="15174" spans="2:2" ht="15.95" customHeight="1">
      <c r="B15174" s="37"/>
    </row>
    <row r="15175" spans="2:2" ht="15.95" customHeight="1">
      <c r="B15175" s="37"/>
    </row>
    <row r="15176" spans="2:2" ht="15.95" customHeight="1">
      <c r="B15176" s="37"/>
    </row>
    <row r="15177" spans="2:2" ht="15.95" customHeight="1">
      <c r="B15177" s="37"/>
    </row>
    <row r="15178" spans="2:2" ht="15.95" customHeight="1">
      <c r="B15178" s="37"/>
    </row>
    <row r="15179" spans="2:2" ht="15.95" customHeight="1">
      <c r="B15179" s="37"/>
    </row>
    <row r="15180" spans="2:2" ht="15.95" customHeight="1">
      <c r="B15180" s="37"/>
    </row>
    <row r="15181" spans="2:2" ht="15.95" customHeight="1">
      <c r="B15181" s="37"/>
    </row>
    <row r="15182" spans="2:2" ht="15.95" customHeight="1">
      <c r="B15182" s="37"/>
    </row>
    <row r="15183" spans="2:2" ht="15.95" customHeight="1">
      <c r="B15183" s="37"/>
    </row>
    <row r="15184" spans="2:2" ht="15.95" customHeight="1">
      <c r="B15184" s="37"/>
    </row>
    <row r="15185" spans="2:2" ht="15.95" customHeight="1">
      <c r="B15185" s="37"/>
    </row>
    <row r="15186" spans="2:2" ht="15.95" customHeight="1">
      <c r="B15186" s="37"/>
    </row>
    <row r="15187" spans="2:2" ht="15.95" customHeight="1">
      <c r="B15187" s="37"/>
    </row>
    <row r="15188" spans="2:2" ht="15.95" customHeight="1">
      <c r="B15188" s="37"/>
    </row>
    <row r="15189" spans="2:2" ht="15.95" customHeight="1">
      <c r="B15189" s="37"/>
    </row>
    <row r="15190" spans="2:2" ht="15.95" customHeight="1">
      <c r="B15190" s="37"/>
    </row>
    <row r="15191" spans="2:2" ht="15.95" customHeight="1">
      <c r="B15191" s="37"/>
    </row>
    <row r="15192" spans="2:2" ht="15.95" customHeight="1">
      <c r="B15192" s="37"/>
    </row>
    <row r="15193" spans="2:2" ht="15.95" customHeight="1">
      <c r="B15193" s="37"/>
    </row>
    <row r="15194" spans="2:2" ht="15.95" customHeight="1">
      <c r="B15194" s="37"/>
    </row>
    <row r="15195" spans="2:2" ht="15.95" customHeight="1">
      <c r="B15195" s="37"/>
    </row>
    <row r="15196" spans="2:2" ht="15.95" customHeight="1">
      <c r="B15196" s="37"/>
    </row>
    <row r="15197" spans="2:2" ht="15.95" customHeight="1">
      <c r="B15197" s="37"/>
    </row>
    <row r="15198" spans="2:2" ht="15.95" customHeight="1">
      <c r="B15198" s="37"/>
    </row>
    <row r="15199" spans="2:2" ht="15.95" customHeight="1">
      <c r="B15199" s="37"/>
    </row>
    <row r="15200" spans="2:2" ht="15.95" customHeight="1">
      <c r="B15200" s="37"/>
    </row>
    <row r="15201" spans="2:2" ht="15.95" customHeight="1">
      <c r="B15201" s="37"/>
    </row>
    <row r="15202" spans="2:2" ht="15.95" customHeight="1">
      <c r="B15202" s="37"/>
    </row>
    <row r="15203" spans="2:2" ht="15.95" customHeight="1">
      <c r="B15203" s="37"/>
    </row>
    <row r="15204" spans="2:2" ht="15.95" customHeight="1">
      <c r="B15204" s="37"/>
    </row>
    <row r="15205" spans="2:2" ht="15.95" customHeight="1">
      <c r="B15205" s="37"/>
    </row>
    <row r="15206" spans="2:2" ht="15.95" customHeight="1">
      <c r="B15206" s="37"/>
    </row>
    <row r="15207" spans="2:2" ht="15.95" customHeight="1">
      <c r="B15207" s="37"/>
    </row>
    <row r="15208" spans="2:2" ht="15.95" customHeight="1">
      <c r="B15208" s="37"/>
    </row>
    <row r="15209" spans="2:2" ht="15.95" customHeight="1">
      <c r="B15209" s="37"/>
    </row>
    <row r="15210" spans="2:2" ht="15.95" customHeight="1">
      <c r="B15210" s="37"/>
    </row>
    <row r="15211" spans="2:2" ht="15.95" customHeight="1">
      <c r="B15211" s="37"/>
    </row>
    <row r="15212" spans="2:2" ht="15.95" customHeight="1">
      <c r="B15212" s="37"/>
    </row>
    <row r="15213" spans="2:2" ht="15.95" customHeight="1">
      <c r="B15213" s="37"/>
    </row>
    <row r="15214" spans="2:2" ht="15.95" customHeight="1">
      <c r="B15214" s="37"/>
    </row>
    <row r="15215" spans="2:2" ht="15.95" customHeight="1">
      <c r="B15215" s="37"/>
    </row>
    <row r="15216" spans="2:2" ht="15.95" customHeight="1">
      <c r="B15216" s="37"/>
    </row>
    <row r="15217" spans="2:2" ht="15.95" customHeight="1">
      <c r="B15217" s="37"/>
    </row>
    <row r="15218" spans="2:2" ht="15.95" customHeight="1">
      <c r="B15218" s="37"/>
    </row>
    <row r="15219" spans="2:2" ht="15.95" customHeight="1">
      <c r="B15219" s="37"/>
    </row>
    <row r="15220" spans="2:2" ht="15.95" customHeight="1">
      <c r="B15220" s="37"/>
    </row>
    <row r="15221" spans="2:2" ht="15.95" customHeight="1">
      <c r="B15221" s="37"/>
    </row>
    <row r="15222" spans="2:2" ht="15.95" customHeight="1">
      <c r="B15222" s="37"/>
    </row>
    <row r="15223" spans="2:2" ht="15.95" customHeight="1">
      <c r="B15223" s="37"/>
    </row>
    <row r="15224" spans="2:2" ht="15.95" customHeight="1">
      <c r="B15224" s="37"/>
    </row>
    <row r="15225" spans="2:2" ht="15.95" customHeight="1">
      <c r="B15225" s="37"/>
    </row>
    <row r="15226" spans="2:2" ht="15.95" customHeight="1">
      <c r="B15226" s="37"/>
    </row>
    <row r="15227" spans="2:2" ht="15.95" customHeight="1">
      <c r="B15227" s="37"/>
    </row>
    <row r="15228" spans="2:2" ht="15.95" customHeight="1">
      <c r="B15228" s="37"/>
    </row>
    <row r="15229" spans="2:2" ht="15.95" customHeight="1">
      <c r="B15229" s="37"/>
    </row>
    <row r="15230" spans="2:2" ht="15.95" customHeight="1">
      <c r="B15230" s="37"/>
    </row>
    <row r="15231" spans="2:2" ht="15.95" customHeight="1">
      <c r="B15231" s="37"/>
    </row>
    <row r="15232" spans="2:2" ht="15.95" customHeight="1">
      <c r="B15232" s="37"/>
    </row>
    <row r="15233" spans="2:2" ht="15.95" customHeight="1">
      <c r="B15233" s="37"/>
    </row>
    <row r="15234" spans="2:2" ht="15.95" customHeight="1">
      <c r="B15234" s="37"/>
    </row>
    <row r="15235" spans="2:2" ht="15.95" customHeight="1">
      <c r="B15235" s="37"/>
    </row>
    <row r="15236" spans="2:2" ht="15.95" customHeight="1">
      <c r="B15236" s="37"/>
    </row>
    <row r="15237" spans="2:2" ht="15.95" customHeight="1">
      <c r="B15237" s="37"/>
    </row>
    <row r="15238" spans="2:2" ht="15.95" customHeight="1">
      <c r="B15238" s="37"/>
    </row>
    <row r="15239" spans="2:2" ht="15.95" customHeight="1">
      <c r="B15239" s="37"/>
    </row>
    <row r="15240" spans="2:2" ht="15.95" customHeight="1">
      <c r="B15240" s="37"/>
    </row>
    <row r="15241" spans="2:2" ht="15.95" customHeight="1">
      <c r="B15241" s="37"/>
    </row>
    <row r="15242" spans="2:2" ht="15.95" customHeight="1">
      <c r="B15242" s="37"/>
    </row>
    <row r="15243" spans="2:2" ht="15.95" customHeight="1">
      <c r="B15243" s="37"/>
    </row>
    <row r="15244" spans="2:2" ht="15.95" customHeight="1">
      <c r="B15244" s="37"/>
    </row>
    <row r="15245" spans="2:2" ht="15.95" customHeight="1">
      <c r="B15245" s="37"/>
    </row>
    <row r="15246" spans="2:2" ht="15.95" customHeight="1">
      <c r="B15246" s="37"/>
    </row>
    <row r="15247" spans="2:2" ht="15.95" customHeight="1">
      <c r="B15247" s="37"/>
    </row>
    <row r="15248" spans="2:2" ht="15.95" customHeight="1">
      <c r="B15248" s="37"/>
    </row>
    <row r="15249" spans="2:2" ht="15.95" customHeight="1">
      <c r="B15249" s="37"/>
    </row>
    <row r="15250" spans="2:2" ht="15.95" customHeight="1">
      <c r="B15250" s="37"/>
    </row>
    <row r="15251" spans="2:2" ht="15.95" customHeight="1">
      <c r="B15251" s="37"/>
    </row>
    <row r="15252" spans="2:2" ht="15.95" customHeight="1">
      <c r="B15252" s="37"/>
    </row>
    <row r="15253" spans="2:2" ht="15.95" customHeight="1">
      <c r="B15253" s="37"/>
    </row>
    <row r="15254" spans="2:2" ht="15.95" customHeight="1">
      <c r="B15254" s="37"/>
    </row>
    <row r="15255" spans="2:2" ht="15.95" customHeight="1">
      <c r="B15255" s="37"/>
    </row>
    <row r="15256" spans="2:2" ht="15.95" customHeight="1">
      <c r="B15256" s="37"/>
    </row>
    <row r="15257" spans="2:2" ht="15.95" customHeight="1">
      <c r="B15257" s="37"/>
    </row>
    <row r="15258" spans="2:2" ht="15.95" customHeight="1">
      <c r="B15258" s="37"/>
    </row>
    <row r="15259" spans="2:2" ht="15.95" customHeight="1">
      <c r="B15259" s="37"/>
    </row>
    <row r="15260" spans="2:2" ht="15.95" customHeight="1">
      <c r="B15260" s="37"/>
    </row>
    <row r="15261" spans="2:2" ht="15.95" customHeight="1">
      <c r="B15261" s="37"/>
    </row>
    <row r="15262" spans="2:2" ht="15.95" customHeight="1">
      <c r="B15262" s="37"/>
    </row>
    <row r="15263" spans="2:2" ht="15.95" customHeight="1">
      <c r="B15263" s="37"/>
    </row>
    <row r="15264" spans="2:2" ht="15.95" customHeight="1">
      <c r="B15264" s="37"/>
    </row>
    <row r="15265" spans="2:2" ht="15.95" customHeight="1">
      <c r="B15265" s="37"/>
    </row>
    <row r="15266" spans="2:2" ht="15.95" customHeight="1">
      <c r="B15266" s="37"/>
    </row>
    <row r="15267" spans="2:2" ht="15.95" customHeight="1">
      <c r="B15267" s="37"/>
    </row>
    <row r="15268" spans="2:2" ht="15.95" customHeight="1">
      <c r="B15268" s="37"/>
    </row>
    <row r="15269" spans="2:2" ht="15.95" customHeight="1">
      <c r="B15269" s="37"/>
    </row>
    <row r="15270" spans="2:2" ht="15.95" customHeight="1">
      <c r="B15270" s="37"/>
    </row>
    <row r="15271" spans="2:2" ht="15.95" customHeight="1">
      <c r="B15271" s="37"/>
    </row>
    <row r="15272" spans="2:2" ht="15.95" customHeight="1">
      <c r="B15272" s="37"/>
    </row>
    <row r="15273" spans="2:2" ht="15.95" customHeight="1">
      <c r="B15273" s="37"/>
    </row>
    <row r="15274" spans="2:2" ht="15.95" customHeight="1">
      <c r="B15274" s="37"/>
    </row>
    <row r="15275" spans="2:2" ht="15.95" customHeight="1">
      <c r="B15275" s="37"/>
    </row>
    <row r="15276" spans="2:2" ht="15.95" customHeight="1">
      <c r="B15276" s="37"/>
    </row>
    <row r="15277" spans="2:2" ht="15.95" customHeight="1">
      <c r="B15277" s="37"/>
    </row>
    <row r="15278" spans="2:2" ht="15.95" customHeight="1">
      <c r="B15278" s="37"/>
    </row>
    <row r="15279" spans="2:2" ht="15.95" customHeight="1">
      <c r="B15279" s="37"/>
    </row>
    <row r="15280" spans="2:2" ht="15.95" customHeight="1">
      <c r="B15280" s="37"/>
    </row>
    <row r="15281" spans="2:2" ht="15.95" customHeight="1">
      <c r="B15281" s="37"/>
    </row>
    <row r="15282" spans="2:2" ht="15.95" customHeight="1">
      <c r="B15282" s="37"/>
    </row>
    <row r="15283" spans="2:2" ht="15.95" customHeight="1">
      <c r="B15283" s="37"/>
    </row>
    <row r="15284" spans="2:2" ht="15.95" customHeight="1">
      <c r="B15284" s="37"/>
    </row>
    <row r="15285" spans="2:2" ht="15.95" customHeight="1">
      <c r="B15285" s="37"/>
    </row>
    <row r="15286" spans="2:2" ht="15.95" customHeight="1">
      <c r="B15286" s="37"/>
    </row>
    <row r="15287" spans="2:2" ht="15.95" customHeight="1">
      <c r="B15287" s="37"/>
    </row>
    <row r="15288" spans="2:2" ht="15.95" customHeight="1">
      <c r="B15288" s="37"/>
    </row>
    <row r="15289" spans="2:2" ht="15.95" customHeight="1">
      <c r="B15289" s="37"/>
    </row>
    <row r="15290" spans="2:2" ht="15.95" customHeight="1">
      <c r="B15290" s="37"/>
    </row>
    <row r="15291" spans="2:2" ht="15.95" customHeight="1">
      <c r="B15291" s="37"/>
    </row>
    <row r="15292" spans="2:2" ht="15.95" customHeight="1">
      <c r="B15292" s="37"/>
    </row>
    <row r="15293" spans="2:2" ht="15.95" customHeight="1">
      <c r="B15293" s="37"/>
    </row>
    <row r="15294" spans="2:2" ht="15.95" customHeight="1">
      <c r="B15294" s="37"/>
    </row>
    <row r="15295" spans="2:2" ht="15.95" customHeight="1">
      <c r="B15295" s="37"/>
    </row>
    <row r="15296" spans="2:2" ht="15.95" customHeight="1">
      <c r="B15296" s="37"/>
    </row>
    <row r="15297" spans="2:2" ht="15.95" customHeight="1">
      <c r="B15297" s="37"/>
    </row>
    <row r="15298" spans="2:2" ht="15.95" customHeight="1">
      <c r="B15298" s="37"/>
    </row>
    <row r="15299" spans="2:2" ht="15.95" customHeight="1">
      <c r="B15299" s="37"/>
    </row>
    <row r="15300" spans="2:2" ht="15.95" customHeight="1">
      <c r="B15300" s="37"/>
    </row>
    <row r="15301" spans="2:2" ht="15.95" customHeight="1">
      <c r="B15301" s="37"/>
    </row>
    <row r="15302" spans="2:2" ht="15.95" customHeight="1">
      <c r="B15302" s="37"/>
    </row>
    <row r="15303" spans="2:2" ht="15.95" customHeight="1">
      <c r="B15303" s="37"/>
    </row>
    <row r="15304" spans="2:2" ht="15.95" customHeight="1">
      <c r="B15304" s="37"/>
    </row>
    <row r="15305" spans="2:2" ht="15.95" customHeight="1">
      <c r="B15305" s="37"/>
    </row>
    <row r="15306" spans="2:2" ht="15.95" customHeight="1">
      <c r="B15306" s="37"/>
    </row>
    <row r="15307" spans="2:2" ht="15.95" customHeight="1">
      <c r="B15307" s="37"/>
    </row>
    <row r="15308" spans="2:2" ht="15.95" customHeight="1">
      <c r="B15308" s="37"/>
    </row>
    <row r="15309" spans="2:2" ht="15.95" customHeight="1">
      <c r="B15309" s="37"/>
    </row>
    <row r="15310" spans="2:2" ht="15.95" customHeight="1">
      <c r="B15310" s="37"/>
    </row>
    <row r="15311" spans="2:2" ht="15.95" customHeight="1">
      <c r="B15311" s="37"/>
    </row>
    <row r="15312" spans="2:2" ht="15.95" customHeight="1">
      <c r="B15312" s="37"/>
    </row>
    <row r="15313" spans="2:2" ht="15.95" customHeight="1">
      <c r="B15313" s="37"/>
    </row>
    <row r="15314" spans="2:2" ht="15.95" customHeight="1">
      <c r="B15314" s="37"/>
    </row>
    <row r="15315" spans="2:2" ht="15.95" customHeight="1">
      <c r="B15315" s="37"/>
    </row>
    <row r="15316" spans="2:2" ht="15.95" customHeight="1">
      <c r="B15316" s="37"/>
    </row>
    <row r="15317" spans="2:2" ht="15.95" customHeight="1">
      <c r="B15317" s="37"/>
    </row>
    <row r="15318" spans="2:2" ht="15.95" customHeight="1">
      <c r="B15318" s="37"/>
    </row>
    <row r="15319" spans="2:2" ht="15.95" customHeight="1">
      <c r="B15319" s="37"/>
    </row>
    <row r="15320" spans="2:2" ht="15.95" customHeight="1">
      <c r="B15320" s="37"/>
    </row>
    <row r="15321" spans="2:2" ht="15.95" customHeight="1">
      <c r="B15321" s="37"/>
    </row>
    <row r="15322" spans="2:2" ht="15.95" customHeight="1">
      <c r="B15322" s="37"/>
    </row>
    <row r="15323" spans="2:2" ht="15.95" customHeight="1">
      <c r="B15323" s="37"/>
    </row>
    <row r="15324" spans="2:2" ht="15.95" customHeight="1">
      <c r="B15324" s="37"/>
    </row>
    <row r="15325" spans="2:2" ht="15.95" customHeight="1">
      <c r="B15325" s="37"/>
    </row>
    <row r="15326" spans="2:2" ht="15.95" customHeight="1">
      <c r="B15326" s="37"/>
    </row>
    <row r="15327" spans="2:2" ht="15.95" customHeight="1">
      <c r="B15327" s="37"/>
    </row>
    <row r="15328" spans="2:2" ht="15.95" customHeight="1">
      <c r="B15328" s="37"/>
    </row>
    <row r="15329" spans="2:2" ht="15.95" customHeight="1">
      <c r="B15329" s="37"/>
    </row>
    <row r="15330" spans="2:2" ht="15.95" customHeight="1">
      <c r="B15330" s="37"/>
    </row>
    <row r="15331" spans="2:2" ht="15.95" customHeight="1">
      <c r="B15331" s="37"/>
    </row>
    <row r="15332" spans="2:2" ht="15.95" customHeight="1">
      <c r="B15332" s="37"/>
    </row>
    <row r="15333" spans="2:2" ht="15.95" customHeight="1">
      <c r="B15333" s="37"/>
    </row>
    <row r="15334" spans="2:2" ht="15.95" customHeight="1">
      <c r="B15334" s="37"/>
    </row>
    <row r="15335" spans="2:2" ht="15.95" customHeight="1">
      <c r="B15335" s="37"/>
    </row>
    <row r="15336" spans="2:2" ht="15.95" customHeight="1">
      <c r="B15336" s="37"/>
    </row>
    <row r="15337" spans="2:2" ht="15.95" customHeight="1">
      <c r="B15337" s="37"/>
    </row>
    <row r="15338" spans="2:2" ht="15.95" customHeight="1">
      <c r="B15338" s="37"/>
    </row>
    <row r="15339" spans="2:2" ht="15.95" customHeight="1">
      <c r="B15339" s="37"/>
    </row>
    <row r="15340" spans="2:2" ht="15.95" customHeight="1">
      <c r="B15340" s="37"/>
    </row>
    <row r="15341" spans="2:2" ht="15.95" customHeight="1">
      <c r="B15341" s="37"/>
    </row>
    <row r="15342" spans="2:2" ht="15.95" customHeight="1">
      <c r="B15342" s="37"/>
    </row>
    <row r="15343" spans="2:2" ht="15.95" customHeight="1">
      <c r="B15343" s="37"/>
    </row>
    <row r="15344" spans="2:2" ht="15.95" customHeight="1">
      <c r="B15344" s="37"/>
    </row>
    <row r="15345" spans="2:2" ht="15.95" customHeight="1">
      <c r="B15345" s="37"/>
    </row>
    <row r="15346" spans="2:2" ht="15.95" customHeight="1">
      <c r="B15346" s="37"/>
    </row>
    <row r="15347" spans="2:2" ht="15.95" customHeight="1">
      <c r="B15347" s="37"/>
    </row>
    <row r="15348" spans="2:2" ht="15.95" customHeight="1">
      <c r="B15348" s="37"/>
    </row>
    <row r="15349" spans="2:2" ht="15.95" customHeight="1">
      <c r="B15349" s="37"/>
    </row>
    <row r="15350" spans="2:2" ht="15.95" customHeight="1">
      <c r="B15350" s="37"/>
    </row>
    <row r="15351" spans="2:2" ht="15.95" customHeight="1">
      <c r="B15351" s="37"/>
    </row>
    <row r="15352" spans="2:2" ht="15.95" customHeight="1">
      <c r="B15352" s="37"/>
    </row>
    <row r="15353" spans="2:2" ht="15.95" customHeight="1">
      <c r="B15353" s="37"/>
    </row>
    <row r="15354" spans="2:2" ht="15.95" customHeight="1">
      <c r="B15354" s="37"/>
    </row>
    <row r="15355" spans="2:2" ht="15.95" customHeight="1">
      <c r="B15355" s="37"/>
    </row>
    <row r="15356" spans="2:2" ht="15.95" customHeight="1">
      <c r="B15356" s="37"/>
    </row>
    <row r="15357" spans="2:2" ht="15.95" customHeight="1">
      <c r="B15357" s="37"/>
    </row>
    <row r="15358" spans="2:2" ht="15.95" customHeight="1">
      <c r="B15358" s="37"/>
    </row>
    <row r="15359" spans="2:2" ht="15.95" customHeight="1">
      <c r="B15359" s="37"/>
    </row>
    <row r="15360" spans="2:2" ht="15.95" customHeight="1">
      <c r="B15360" s="37"/>
    </row>
    <row r="15361" spans="2:2" ht="15.95" customHeight="1">
      <c r="B15361" s="37"/>
    </row>
    <row r="15362" spans="2:2" ht="15.95" customHeight="1">
      <c r="B15362" s="37"/>
    </row>
    <row r="15363" spans="2:2" ht="15.95" customHeight="1">
      <c r="B15363" s="37"/>
    </row>
    <row r="15364" spans="2:2" ht="15.95" customHeight="1">
      <c r="B15364" s="37"/>
    </row>
    <row r="15365" spans="2:2" ht="15.95" customHeight="1">
      <c r="B15365" s="37"/>
    </row>
    <row r="15366" spans="2:2" ht="15.95" customHeight="1">
      <c r="B15366" s="37"/>
    </row>
    <row r="15367" spans="2:2" ht="15.95" customHeight="1">
      <c r="B15367" s="37"/>
    </row>
    <row r="15368" spans="2:2" ht="15.95" customHeight="1">
      <c r="B15368" s="37"/>
    </row>
    <row r="15369" spans="2:2" ht="15.95" customHeight="1">
      <c r="B15369" s="37"/>
    </row>
    <row r="15370" spans="2:2" ht="15.95" customHeight="1">
      <c r="B15370" s="37"/>
    </row>
    <row r="15371" spans="2:2" ht="15.95" customHeight="1">
      <c r="B15371" s="37"/>
    </row>
    <row r="15372" spans="2:2" ht="15.95" customHeight="1">
      <c r="B15372" s="37"/>
    </row>
    <row r="15373" spans="2:2" ht="15.95" customHeight="1">
      <c r="B15373" s="37"/>
    </row>
    <row r="15374" spans="2:2" ht="15.95" customHeight="1">
      <c r="B15374" s="37"/>
    </row>
    <row r="15375" spans="2:2" ht="15.95" customHeight="1">
      <c r="B15375" s="37"/>
    </row>
    <row r="15376" spans="2:2" ht="15.95" customHeight="1">
      <c r="B15376" s="37"/>
    </row>
    <row r="15377" spans="2:2" ht="15.95" customHeight="1">
      <c r="B15377" s="37"/>
    </row>
    <row r="15378" spans="2:2" ht="15.95" customHeight="1">
      <c r="B15378" s="37"/>
    </row>
    <row r="15379" spans="2:2" ht="15.95" customHeight="1">
      <c r="B15379" s="37"/>
    </row>
    <row r="15380" spans="2:2" ht="15.95" customHeight="1">
      <c r="B15380" s="37"/>
    </row>
    <row r="15381" spans="2:2" ht="15.95" customHeight="1">
      <c r="B15381" s="37"/>
    </row>
    <row r="15382" spans="2:2" ht="15.95" customHeight="1">
      <c r="B15382" s="37"/>
    </row>
    <row r="15383" spans="2:2" ht="15.95" customHeight="1">
      <c r="B15383" s="37"/>
    </row>
    <row r="15384" spans="2:2" ht="15.95" customHeight="1">
      <c r="B15384" s="37"/>
    </row>
    <row r="15385" spans="2:2" ht="15.95" customHeight="1">
      <c r="B15385" s="37"/>
    </row>
    <row r="15386" spans="2:2" ht="15.95" customHeight="1">
      <c r="B15386" s="37"/>
    </row>
    <row r="15387" spans="2:2" ht="15.95" customHeight="1">
      <c r="B15387" s="37"/>
    </row>
    <row r="15388" spans="2:2" ht="15.95" customHeight="1">
      <c r="B15388" s="37"/>
    </row>
    <row r="15389" spans="2:2" ht="15.95" customHeight="1">
      <c r="B15389" s="37"/>
    </row>
    <row r="15390" spans="2:2" ht="15.95" customHeight="1">
      <c r="B15390" s="37"/>
    </row>
    <row r="15391" spans="2:2" ht="15.95" customHeight="1">
      <c r="B15391" s="37"/>
    </row>
    <row r="15392" spans="2:2" ht="15.95" customHeight="1">
      <c r="B15392" s="37"/>
    </row>
    <row r="15393" spans="2:2" ht="15.95" customHeight="1">
      <c r="B15393" s="37"/>
    </row>
    <row r="15394" spans="2:2" ht="15.95" customHeight="1">
      <c r="B15394" s="37"/>
    </row>
    <row r="15395" spans="2:2" ht="15.95" customHeight="1">
      <c r="B15395" s="37"/>
    </row>
    <row r="15396" spans="2:2" ht="15.95" customHeight="1">
      <c r="B15396" s="37"/>
    </row>
    <row r="15397" spans="2:2" ht="15.95" customHeight="1">
      <c r="B15397" s="37"/>
    </row>
    <row r="15398" spans="2:2" ht="15.95" customHeight="1">
      <c r="B15398" s="37"/>
    </row>
    <row r="15399" spans="2:2" ht="15.95" customHeight="1">
      <c r="B15399" s="37"/>
    </row>
    <row r="15400" spans="2:2" ht="15.95" customHeight="1">
      <c r="B15400" s="37"/>
    </row>
    <row r="15401" spans="2:2" ht="15.95" customHeight="1">
      <c r="B15401" s="37"/>
    </row>
    <row r="15402" spans="2:2" ht="15.95" customHeight="1">
      <c r="B15402" s="37"/>
    </row>
    <row r="15403" spans="2:2" ht="15.95" customHeight="1">
      <c r="B15403" s="37"/>
    </row>
    <row r="15404" spans="2:2" ht="15.95" customHeight="1">
      <c r="B15404" s="37"/>
    </row>
    <row r="15405" spans="2:2" ht="15.95" customHeight="1">
      <c r="B15405" s="37"/>
    </row>
    <row r="15406" spans="2:2" ht="15.95" customHeight="1">
      <c r="B15406" s="37"/>
    </row>
    <row r="15407" spans="2:2" ht="15.95" customHeight="1">
      <c r="B15407" s="37"/>
    </row>
    <row r="15408" spans="2:2" ht="15.95" customHeight="1">
      <c r="B15408" s="37"/>
    </row>
    <row r="15409" spans="2:2" ht="15.95" customHeight="1">
      <c r="B15409" s="37"/>
    </row>
    <row r="15410" spans="2:2" ht="15.95" customHeight="1">
      <c r="B15410" s="37"/>
    </row>
    <row r="15411" spans="2:2" ht="15.95" customHeight="1">
      <c r="B15411" s="37"/>
    </row>
    <row r="15412" spans="2:2" ht="15.95" customHeight="1">
      <c r="B15412" s="37"/>
    </row>
    <row r="15413" spans="2:2" ht="15.95" customHeight="1">
      <c r="B15413" s="37"/>
    </row>
    <row r="15414" spans="2:2" ht="15.95" customHeight="1">
      <c r="B15414" s="37"/>
    </row>
    <row r="15415" spans="2:2" ht="15.95" customHeight="1">
      <c r="B15415" s="37"/>
    </row>
    <row r="15416" spans="2:2" ht="15.95" customHeight="1">
      <c r="B15416" s="37"/>
    </row>
    <row r="15417" spans="2:2" ht="15.95" customHeight="1">
      <c r="B15417" s="37"/>
    </row>
    <row r="15418" spans="2:2" ht="15.95" customHeight="1">
      <c r="B15418" s="37"/>
    </row>
    <row r="15419" spans="2:2" ht="15.95" customHeight="1">
      <c r="B15419" s="37"/>
    </row>
    <row r="15420" spans="2:2" ht="15.95" customHeight="1">
      <c r="B15420" s="37"/>
    </row>
    <row r="15421" spans="2:2" ht="15.95" customHeight="1">
      <c r="B15421" s="37"/>
    </row>
    <row r="15422" spans="2:2" ht="15.95" customHeight="1">
      <c r="B15422" s="37"/>
    </row>
    <row r="15423" spans="2:2" ht="15.95" customHeight="1">
      <c r="B15423" s="37"/>
    </row>
    <row r="15424" spans="2:2" ht="15.95" customHeight="1">
      <c r="B15424" s="37"/>
    </row>
    <row r="15425" spans="2:2" ht="15.95" customHeight="1">
      <c r="B15425" s="37"/>
    </row>
    <row r="15426" spans="2:2" ht="15.95" customHeight="1">
      <c r="B15426" s="37"/>
    </row>
    <row r="15427" spans="2:2" ht="15.95" customHeight="1">
      <c r="B15427" s="37"/>
    </row>
    <row r="15428" spans="2:2" ht="15.95" customHeight="1">
      <c r="B15428" s="37"/>
    </row>
    <row r="15429" spans="2:2" ht="15.95" customHeight="1">
      <c r="B15429" s="37"/>
    </row>
    <row r="15430" spans="2:2" ht="15.95" customHeight="1">
      <c r="B15430" s="37"/>
    </row>
    <row r="15431" spans="2:2" ht="15.95" customHeight="1">
      <c r="B15431" s="37"/>
    </row>
    <row r="15432" spans="2:2" ht="15.95" customHeight="1">
      <c r="B15432" s="37"/>
    </row>
    <row r="15433" spans="2:2" ht="15.95" customHeight="1">
      <c r="B15433" s="37"/>
    </row>
    <row r="15434" spans="2:2" ht="15.95" customHeight="1">
      <c r="B15434" s="37"/>
    </row>
    <row r="15435" spans="2:2" ht="15.95" customHeight="1">
      <c r="B15435" s="37"/>
    </row>
    <row r="15436" spans="2:2" ht="15.95" customHeight="1">
      <c r="B15436" s="37"/>
    </row>
    <row r="15437" spans="2:2" ht="15.95" customHeight="1">
      <c r="B15437" s="37"/>
    </row>
    <row r="15438" spans="2:2" ht="15.95" customHeight="1">
      <c r="B15438" s="37"/>
    </row>
    <row r="15439" spans="2:2" ht="15.95" customHeight="1">
      <c r="B15439" s="37"/>
    </row>
    <row r="15440" spans="2:2" ht="15.95" customHeight="1">
      <c r="B15440" s="37"/>
    </row>
    <row r="15441" spans="2:2" ht="15.95" customHeight="1">
      <c r="B15441" s="37"/>
    </row>
    <row r="15442" spans="2:2" ht="15.95" customHeight="1">
      <c r="B15442" s="37"/>
    </row>
    <row r="15443" spans="2:2" ht="15.95" customHeight="1">
      <c r="B15443" s="37"/>
    </row>
    <row r="15444" spans="2:2" ht="15.95" customHeight="1">
      <c r="B15444" s="37"/>
    </row>
    <row r="15445" spans="2:2" ht="15.95" customHeight="1">
      <c r="B15445" s="37"/>
    </row>
    <row r="15446" spans="2:2" ht="15.95" customHeight="1">
      <c r="B15446" s="37"/>
    </row>
    <row r="15447" spans="2:2" ht="15.95" customHeight="1">
      <c r="B15447" s="37"/>
    </row>
    <row r="15448" spans="2:2" ht="15.95" customHeight="1">
      <c r="B15448" s="37"/>
    </row>
    <row r="15449" spans="2:2" ht="15.95" customHeight="1">
      <c r="B15449" s="37"/>
    </row>
    <row r="15450" spans="2:2" ht="15.95" customHeight="1">
      <c r="B15450" s="37"/>
    </row>
    <row r="15451" spans="2:2" ht="15.95" customHeight="1">
      <c r="B15451" s="37"/>
    </row>
    <row r="15452" spans="2:2" ht="15.95" customHeight="1">
      <c r="B15452" s="37"/>
    </row>
    <row r="15453" spans="2:2" ht="15.95" customHeight="1">
      <c r="B15453" s="37"/>
    </row>
    <row r="15454" spans="2:2" ht="15.95" customHeight="1">
      <c r="B15454" s="37"/>
    </row>
    <row r="15455" spans="2:2" ht="15.95" customHeight="1">
      <c r="B15455" s="37"/>
    </row>
    <row r="15456" spans="2:2" ht="15.95" customHeight="1">
      <c r="B15456" s="37"/>
    </row>
    <row r="15457" spans="2:2" ht="15.95" customHeight="1">
      <c r="B15457" s="37"/>
    </row>
    <row r="15458" spans="2:2" ht="15.95" customHeight="1">
      <c r="B15458" s="37"/>
    </row>
    <row r="15459" spans="2:2" ht="15.95" customHeight="1">
      <c r="B15459" s="37"/>
    </row>
    <row r="15460" spans="2:2" ht="15.95" customHeight="1">
      <c r="B15460" s="37"/>
    </row>
    <row r="15461" spans="2:2" ht="15.95" customHeight="1">
      <c r="B15461" s="37"/>
    </row>
    <row r="15462" spans="2:2" ht="15.95" customHeight="1">
      <c r="B15462" s="37"/>
    </row>
    <row r="15463" spans="2:2" ht="15.95" customHeight="1">
      <c r="B15463" s="37"/>
    </row>
    <row r="15464" spans="2:2" ht="15.95" customHeight="1">
      <c r="B15464" s="37"/>
    </row>
    <row r="15465" spans="2:2" ht="15.95" customHeight="1">
      <c r="B15465" s="37"/>
    </row>
    <row r="15466" spans="2:2" ht="15.95" customHeight="1">
      <c r="B15466" s="37"/>
    </row>
    <row r="15467" spans="2:2" ht="15.95" customHeight="1">
      <c r="B15467" s="37"/>
    </row>
    <row r="15468" spans="2:2" ht="15.95" customHeight="1">
      <c r="B15468" s="37"/>
    </row>
    <row r="15469" spans="2:2" ht="15.95" customHeight="1">
      <c r="B15469" s="37"/>
    </row>
    <row r="15470" spans="2:2" ht="15.95" customHeight="1">
      <c r="B15470" s="37"/>
    </row>
    <row r="15471" spans="2:2" ht="15.95" customHeight="1">
      <c r="B15471" s="37"/>
    </row>
    <row r="15472" spans="2:2" ht="15.95" customHeight="1">
      <c r="B15472" s="37"/>
    </row>
    <row r="15473" spans="2:2" ht="15.95" customHeight="1">
      <c r="B15473" s="37"/>
    </row>
    <row r="15474" spans="2:2" ht="15.95" customHeight="1">
      <c r="B15474" s="37"/>
    </row>
    <row r="15475" spans="2:2" ht="15.95" customHeight="1">
      <c r="B15475" s="37"/>
    </row>
    <row r="15476" spans="2:2" ht="15.95" customHeight="1">
      <c r="B15476" s="37"/>
    </row>
    <row r="15477" spans="2:2" ht="15.95" customHeight="1">
      <c r="B15477" s="37"/>
    </row>
    <row r="15478" spans="2:2" ht="15.95" customHeight="1">
      <c r="B15478" s="37"/>
    </row>
    <row r="15479" spans="2:2" ht="15.95" customHeight="1">
      <c r="B15479" s="37"/>
    </row>
    <row r="15480" spans="2:2" ht="15.95" customHeight="1">
      <c r="B15480" s="37"/>
    </row>
    <row r="15481" spans="2:2" ht="15.95" customHeight="1">
      <c r="B15481" s="37"/>
    </row>
    <row r="15482" spans="2:2" ht="15.95" customHeight="1">
      <c r="B15482" s="37"/>
    </row>
    <row r="15483" spans="2:2" ht="15.95" customHeight="1">
      <c r="B15483" s="37"/>
    </row>
    <row r="15484" spans="2:2" ht="15.95" customHeight="1">
      <c r="B15484" s="37"/>
    </row>
    <row r="15485" spans="2:2" ht="15.95" customHeight="1">
      <c r="B15485" s="37"/>
    </row>
    <row r="15486" spans="2:2" ht="15.95" customHeight="1">
      <c r="B15486" s="37"/>
    </row>
    <row r="15487" spans="2:2" ht="15.95" customHeight="1">
      <c r="B15487" s="37"/>
    </row>
    <row r="15488" spans="2:2" ht="15.95" customHeight="1">
      <c r="B15488" s="37"/>
    </row>
    <row r="15489" spans="2:2" ht="15.95" customHeight="1">
      <c r="B15489" s="37"/>
    </row>
    <row r="15490" spans="2:2" ht="15.95" customHeight="1">
      <c r="B15490" s="37"/>
    </row>
    <row r="15491" spans="2:2" ht="15.95" customHeight="1">
      <c r="B15491" s="37"/>
    </row>
    <row r="15492" spans="2:2" ht="15.95" customHeight="1">
      <c r="B15492" s="37"/>
    </row>
    <row r="15493" spans="2:2" ht="15.95" customHeight="1">
      <c r="B15493" s="37"/>
    </row>
    <row r="15494" spans="2:2" ht="15.95" customHeight="1">
      <c r="B15494" s="37"/>
    </row>
    <row r="15495" spans="2:2" ht="15.95" customHeight="1">
      <c r="B15495" s="37"/>
    </row>
    <row r="15496" spans="2:2" ht="15.95" customHeight="1">
      <c r="B15496" s="37"/>
    </row>
    <row r="15497" spans="2:2" ht="15.95" customHeight="1">
      <c r="B15497" s="37"/>
    </row>
    <row r="15498" spans="2:2" ht="15.95" customHeight="1">
      <c r="B15498" s="37"/>
    </row>
    <row r="15499" spans="2:2" ht="15.95" customHeight="1">
      <c r="B15499" s="37"/>
    </row>
    <row r="15500" spans="2:2" ht="15.95" customHeight="1">
      <c r="B15500" s="37"/>
    </row>
    <row r="15501" spans="2:2" ht="15.95" customHeight="1">
      <c r="B15501" s="37"/>
    </row>
    <row r="15502" spans="2:2" ht="15.95" customHeight="1">
      <c r="B15502" s="37"/>
    </row>
    <row r="15503" spans="2:2" ht="15.95" customHeight="1">
      <c r="B15503" s="37"/>
    </row>
    <row r="15504" spans="2:2" ht="15.95" customHeight="1">
      <c r="B15504" s="37"/>
    </row>
    <row r="15505" spans="2:2" ht="15.95" customHeight="1">
      <c r="B15505" s="37"/>
    </row>
    <row r="15506" spans="2:2" ht="15.95" customHeight="1">
      <c r="B15506" s="37"/>
    </row>
    <row r="15507" spans="2:2" ht="15.95" customHeight="1">
      <c r="B15507" s="37"/>
    </row>
    <row r="15508" spans="2:2" ht="15.95" customHeight="1">
      <c r="B15508" s="37"/>
    </row>
    <row r="15509" spans="2:2" ht="15.95" customHeight="1">
      <c r="B15509" s="37"/>
    </row>
    <row r="15510" spans="2:2" ht="15.95" customHeight="1">
      <c r="B15510" s="37"/>
    </row>
    <row r="15511" spans="2:2" ht="15.95" customHeight="1">
      <c r="B15511" s="37"/>
    </row>
    <row r="15512" spans="2:2" ht="15.95" customHeight="1">
      <c r="B15512" s="37"/>
    </row>
    <row r="15513" spans="2:2" ht="15.95" customHeight="1">
      <c r="B15513" s="37"/>
    </row>
    <row r="15514" spans="2:2" ht="15.95" customHeight="1">
      <c r="B15514" s="37"/>
    </row>
    <row r="15515" spans="2:2" ht="15.95" customHeight="1">
      <c r="B15515" s="37"/>
    </row>
    <row r="15516" spans="2:2" ht="15.95" customHeight="1">
      <c r="B15516" s="37"/>
    </row>
    <row r="15517" spans="2:2" ht="15.95" customHeight="1">
      <c r="B15517" s="37"/>
    </row>
    <row r="15518" spans="2:2" ht="15.95" customHeight="1">
      <c r="B15518" s="37"/>
    </row>
    <row r="15519" spans="2:2" ht="15.95" customHeight="1">
      <c r="B15519" s="37"/>
    </row>
    <row r="15520" spans="2:2" ht="15.95" customHeight="1">
      <c r="B15520" s="37"/>
    </row>
    <row r="15521" spans="2:2" ht="15.95" customHeight="1">
      <c r="B15521" s="37"/>
    </row>
    <row r="15522" spans="2:2" ht="15.95" customHeight="1">
      <c r="B15522" s="37"/>
    </row>
    <row r="15523" spans="2:2" ht="15.95" customHeight="1">
      <c r="B15523" s="37"/>
    </row>
    <row r="15524" spans="2:2" ht="15.95" customHeight="1">
      <c r="B15524" s="37"/>
    </row>
    <row r="15525" spans="2:2" ht="15.95" customHeight="1">
      <c r="B15525" s="37"/>
    </row>
    <row r="15526" spans="2:2" ht="15.95" customHeight="1">
      <c r="B15526" s="37"/>
    </row>
    <row r="15527" spans="2:2" ht="15.95" customHeight="1">
      <c r="B15527" s="37"/>
    </row>
    <row r="15528" spans="2:2" ht="15.95" customHeight="1">
      <c r="B15528" s="37"/>
    </row>
    <row r="15529" spans="2:2" ht="15.95" customHeight="1">
      <c r="B15529" s="37"/>
    </row>
    <row r="15530" spans="2:2" ht="15.95" customHeight="1">
      <c r="B15530" s="37"/>
    </row>
    <row r="15531" spans="2:2" ht="15.95" customHeight="1">
      <c r="B15531" s="37"/>
    </row>
    <row r="15532" spans="2:2" ht="15.95" customHeight="1">
      <c r="B15532" s="37"/>
    </row>
    <row r="15533" spans="2:2" ht="15.95" customHeight="1">
      <c r="B15533" s="37"/>
    </row>
    <row r="15534" spans="2:2" ht="15.95" customHeight="1">
      <c r="B15534" s="37"/>
    </row>
    <row r="15535" spans="2:2" ht="15.95" customHeight="1">
      <c r="B15535" s="37"/>
    </row>
    <row r="15536" spans="2:2" ht="15.95" customHeight="1">
      <c r="B15536" s="37"/>
    </row>
    <row r="15537" spans="2:2" ht="15.95" customHeight="1">
      <c r="B15537" s="37"/>
    </row>
    <row r="15538" spans="2:2" ht="15.95" customHeight="1">
      <c r="B15538" s="37"/>
    </row>
    <row r="15539" spans="2:2" ht="15.95" customHeight="1">
      <c r="B15539" s="37"/>
    </row>
    <row r="15540" spans="2:2" ht="15.95" customHeight="1">
      <c r="B15540" s="37"/>
    </row>
    <row r="15541" spans="2:2" ht="15.95" customHeight="1">
      <c r="B15541" s="37"/>
    </row>
    <row r="15542" spans="2:2" ht="15.95" customHeight="1">
      <c r="B15542" s="37"/>
    </row>
    <row r="15543" spans="2:2" ht="15.95" customHeight="1">
      <c r="B15543" s="37"/>
    </row>
    <row r="15544" spans="2:2" ht="15.95" customHeight="1">
      <c r="B15544" s="37"/>
    </row>
    <row r="15545" spans="2:2" ht="15.95" customHeight="1">
      <c r="B15545" s="37"/>
    </row>
    <row r="15546" spans="2:2" ht="15.95" customHeight="1">
      <c r="B15546" s="37"/>
    </row>
    <row r="15547" spans="2:2" ht="15.95" customHeight="1">
      <c r="B15547" s="37"/>
    </row>
    <row r="15548" spans="2:2" ht="15.95" customHeight="1">
      <c r="B15548" s="37"/>
    </row>
    <row r="15549" spans="2:2" ht="15.95" customHeight="1">
      <c r="B15549" s="37"/>
    </row>
    <row r="15550" spans="2:2" ht="15.95" customHeight="1">
      <c r="B15550" s="37"/>
    </row>
    <row r="15551" spans="2:2" ht="15.95" customHeight="1">
      <c r="B15551" s="37"/>
    </row>
    <row r="15552" spans="2:2" ht="15.95" customHeight="1">
      <c r="B15552" s="37"/>
    </row>
    <row r="15553" spans="2:2" ht="15.95" customHeight="1">
      <c r="B15553" s="37"/>
    </row>
    <row r="15554" spans="2:2" ht="15.95" customHeight="1">
      <c r="B15554" s="37"/>
    </row>
    <row r="15555" spans="2:2" ht="15.95" customHeight="1">
      <c r="B15555" s="37"/>
    </row>
    <row r="15556" spans="2:2" ht="15.95" customHeight="1">
      <c r="B15556" s="37"/>
    </row>
    <row r="15557" spans="2:2" ht="15.95" customHeight="1">
      <c r="B15557" s="37"/>
    </row>
    <row r="15558" spans="2:2" ht="15.95" customHeight="1">
      <c r="B15558" s="37"/>
    </row>
    <row r="15559" spans="2:2" ht="15.95" customHeight="1">
      <c r="B15559" s="37"/>
    </row>
    <row r="15560" spans="2:2" ht="15.95" customHeight="1">
      <c r="B15560" s="37"/>
    </row>
    <row r="15561" spans="2:2" ht="15.95" customHeight="1">
      <c r="B15561" s="37"/>
    </row>
    <row r="15562" spans="2:2" ht="15.95" customHeight="1">
      <c r="B15562" s="37"/>
    </row>
    <row r="15563" spans="2:2" ht="15.95" customHeight="1">
      <c r="B15563" s="37"/>
    </row>
    <row r="15564" spans="2:2" ht="15.95" customHeight="1">
      <c r="B15564" s="37"/>
    </row>
    <row r="15565" spans="2:2" ht="15.95" customHeight="1">
      <c r="B15565" s="37"/>
    </row>
    <row r="15566" spans="2:2" ht="15.95" customHeight="1">
      <c r="B15566" s="37"/>
    </row>
    <row r="15567" spans="2:2" ht="15.95" customHeight="1">
      <c r="B15567" s="37"/>
    </row>
    <row r="15568" spans="2:2" ht="15.95" customHeight="1">
      <c r="B15568" s="37"/>
    </row>
    <row r="15569" spans="2:2" ht="15.95" customHeight="1">
      <c r="B15569" s="37"/>
    </row>
    <row r="15570" spans="2:2" ht="15.95" customHeight="1">
      <c r="B15570" s="37"/>
    </row>
    <row r="15571" spans="2:2" ht="15.95" customHeight="1">
      <c r="B15571" s="37"/>
    </row>
    <row r="15572" spans="2:2" ht="15.95" customHeight="1">
      <c r="B15572" s="37"/>
    </row>
    <row r="15573" spans="2:2" ht="15.95" customHeight="1">
      <c r="B15573" s="37"/>
    </row>
    <row r="15574" spans="2:2" ht="15.95" customHeight="1">
      <c r="B15574" s="37"/>
    </row>
    <row r="15575" spans="2:2" ht="15.95" customHeight="1">
      <c r="B15575" s="37"/>
    </row>
    <row r="15576" spans="2:2" ht="15.95" customHeight="1">
      <c r="B15576" s="37"/>
    </row>
    <row r="15577" spans="2:2" ht="15.95" customHeight="1">
      <c r="B15577" s="37"/>
    </row>
    <row r="15578" spans="2:2" ht="15.95" customHeight="1">
      <c r="B15578" s="37"/>
    </row>
    <row r="15579" spans="2:2" ht="15.95" customHeight="1">
      <c r="B15579" s="37"/>
    </row>
    <row r="15580" spans="2:2" ht="15.95" customHeight="1">
      <c r="B15580" s="37"/>
    </row>
    <row r="15581" spans="2:2" ht="15.95" customHeight="1">
      <c r="B15581" s="37"/>
    </row>
    <row r="15582" spans="2:2" ht="15.95" customHeight="1">
      <c r="B15582" s="37"/>
    </row>
    <row r="15583" spans="2:2" ht="15.95" customHeight="1">
      <c r="B15583" s="37"/>
    </row>
    <row r="15584" spans="2:2" ht="15.95" customHeight="1">
      <c r="B15584" s="37"/>
    </row>
    <row r="15585" spans="2:2" ht="15.95" customHeight="1">
      <c r="B15585" s="37"/>
    </row>
    <row r="15586" spans="2:2" ht="15.95" customHeight="1">
      <c r="B15586" s="37"/>
    </row>
    <row r="15587" spans="2:2" ht="15.95" customHeight="1">
      <c r="B15587" s="37"/>
    </row>
    <row r="15588" spans="2:2" ht="15.95" customHeight="1">
      <c r="B15588" s="37"/>
    </row>
    <row r="15589" spans="2:2" ht="15.95" customHeight="1">
      <c r="B15589" s="37"/>
    </row>
    <row r="15590" spans="2:2" ht="15.95" customHeight="1">
      <c r="B15590" s="37"/>
    </row>
    <row r="15591" spans="2:2" ht="15.95" customHeight="1">
      <c r="B15591" s="37"/>
    </row>
    <row r="15592" spans="2:2" ht="15.95" customHeight="1">
      <c r="B15592" s="37"/>
    </row>
    <row r="15593" spans="2:2" ht="15.95" customHeight="1">
      <c r="B15593" s="37"/>
    </row>
    <row r="15594" spans="2:2" ht="15.95" customHeight="1">
      <c r="B15594" s="37"/>
    </row>
    <row r="15595" spans="2:2" ht="15.95" customHeight="1">
      <c r="B15595" s="37"/>
    </row>
    <row r="15596" spans="2:2" ht="15.95" customHeight="1">
      <c r="B15596" s="37"/>
    </row>
    <row r="15597" spans="2:2" ht="15.95" customHeight="1">
      <c r="B15597" s="37"/>
    </row>
    <row r="15598" spans="2:2" ht="15.95" customHeight="1">
      <c r="B15598" s="37"/>
    </row>
    <row r="15599" spans="2:2" ht="15.95" customHeight="1">
      <c r="B15599" s="37"/>
    </row>
    <row r="15600" spans="2:2" ht="15.95" customHeight="1">
      <c r="B15600" s="37"/>
    </row>
    <row r="15601" spans="2:2" ht="15.95" customHeight="1">
      <c r="B15601" s="37"/>
    </row>
    <row r="15602" spans="2:2" ht="15.95" customHeight="1">
      <c r="B15602" s="37"/>
    </row>
    <row r="15603" spans="2:2" ht="15.95" customHeight="1">
      <c r="B15603" s="37"/>
    </row>
    <row r="15604" spans="2:2" ht="15.95" customHeight="1">
      <c r="B15604" s="37"/>
    </row>
    <row r="15605" spans="2:2" ht="15.95" customHeight="1">
      <c r="B15605" s="37"/>
    </row>
    <row r="15606" spans="2:2" ht="15.95" customHeight="1">
      <c r="B15606" s="37"/>
    </row>
    <row r="15607" spans="2:2" ht="15.95" customHeight="1">
      <c r="B15607" s="37"/>
    </row>
    <row r="15608" spans="2:2" ht="15.95" customHeight="1">
      <c r="B15608" s="37"/>
    </row>
    <row r="15609" spans="2:2" ht="15.95" customHeight="1">
      <c r="B15609" s="37"/>
    </row>
    <row r="15610" spans="2:2" ht="15.95" customHeight="1">
      <c r="B15610" s="37"/>
    </row>
    <row r="15611" spans="2:2" ht="15.95" customHeight="1">
      <c r="B15611" s="37"/>
    </row>
    <row r="15612" spans="2:2" ht="15.95" customHeight="1">
      <c r="B15612" s="37"/>
    </row>
    <row r="15613" spans="2:2" ht="15.95" customHeight="1">
      <c r="B15613" s="37"/>
    </row>
    <row r="15614" spans="2:2" ht="15.95" customHeight="1">
      <c r="B15614" s="37"/>
    </row>
    <row r="15615" spans="2:2" ht="15.95" customHeight="1">
      <c r="B15615" s="37"/>
    </row>
    <row r="15616" spans="2:2" ht="15.95" customHeight="1">
      <c r="B15616" s="37"/>
    </row>
    <row r="15617" spans="2:2" ht="15.95" customHeight="1">
      <c r="B15617" s="37"/>
    </row>
    <row r="15618" spans="2:2" ht="15.95" customHeight="1">
      <c r="B15618" s="37"/>
    </row>
    <row r="15619" spans="2:2" ht="15.95" customHeight="1">
      <c r="B15619" s="37"/>
    </row>
    <row r="15620" spans="2:2" ht="15.95" customHeight="1">
      <c r="B15620" s="37"/>
    </row>
    <row r="15621" spans="2:2" ht="15.95" customHeight="1">
      <c r="B15621" s="37"/>
    </row>
    <row r="15622" spans="2:2" ht="15.95" customHeight="1">
      <c r="B15622" s="37"/>
    </row>
    <row r="15623" spans="2:2" ht="15.95" customHeight="1">
      <c r="B15623" s="37"/>
    </row>
    <row r="15624" spans="2:2" ht="15.95" customHeight="1">
      <c r="B15624" s="37"/>
    </row>
    <row r="15625" spans="2:2" ht="15.95" customHeight="1">
      <c r="B15625" s="37"/>
    </row>
    <row r="15626" spans="2:2" ht="15.95" customHeight="1">
      <c r="B15626" s="37"/>
    </row>
    <row r="15627" spans="2:2" ht="15.95" customHeight="1">
      <c r="B15627" s="37"/>
    </row>
    <row r="15628" spans="2:2" ht="15.95" customHeight="1">
      <c r="B15628" s="37"/>
    </row>
    <row r="15629" spans="2:2" ht="15.95" customHeight="1">
      <c r="B15629" s="37"/>
    </row>
    <row r="15630" spans="2:2" ht="15.95" customHeight="1">
      <c r="B15630" s="37"/>
    </row>
    <row r="15631" spans="2:2" ht="15.95" customHeight="1">
      <c r="B15631" s="37"/>
    </row>
    <row r="15632" spans="2:2" ht="15.95" customHeight="1">
      <c r="B15632" s="37"/>
    </row>
    <row r="15633" spans="2:2" ht="15.95" customHeight="1">
      <c r="B15633" s="37"/>
    </row>
    <row r="15634" spans="2:2" ht="15.95" customHeight="1">
      <c r="B15634" s="37"/>
    </row>
    <row r="15635" spans="2:2" ht="15.95" customHeight="1">
      <c r="B15635" s="37"/>
    </row>
    <row r="15636" spans="2:2" ht="15.95" customHeight="1">
      <c r="B15636" s="37"/>
    </row>
    <row r="15637" spans="2:2" ht="15.95" customHeight="1">
      <c r="B15637" s="37"/>
    </row>
    <row r="15638" spans="2:2" ht="15.95" customHeight="1">
      <c r="B15638" s="37"/>
    </row>
    <row r="15639" spans="2:2" ht="15.95" customHeight="1">
      <c r="B15639" s="37"/>
    </row>
    <row r="15640" spans="2:2" ht="15.95" customHeight="1">
      <c r="B15640" s="37"/>
    </row>
    <row r="15641" spans="2:2" ht="15.95" customHeight="1">
      <c r="B15641" s="37"/>
    </row>
    <row r="15642" spans="2:2" ht="15.95" customHeight="1">
      <c r="B15642" s="37"/>
    </row>
    <row r="15643" spans="2:2" ht="15.95" customHeight="1">
      <c r="B15643" s="37"/>
    </row>
    <row r="15644" spans="2:2" ht="15.95" customHeight="1">
      <c r="B15644" s="37"/>
    </row>
    <row r="15645" spans="2:2" ht="15.95" customHeight="1">
      <c r="B15645" s="37"/>
    </row>
    <row r="15646" spans="2:2" ht="15.95" customHeight="1">
      <c r="B15646" s="37"/>
    </row>
    <row r="15647" spans="2:2" ht="15.95" customHeight="1">
      <c r="B15647" s="37"/>
    </row>
    <row r="15648" spans="2:2" ht="15.95" customHeight="1">
      <c r="B15648" s="37"/>
    </row>
    <row r="15649" spans="2:2" ht="15.95" customHeight="1">
      <c r="B15649" s="37"/>
    </row>
    <row r="15650" spans="2:2" ht="15.95" customHeight="1">
      <c r="B15650" s="37"/>
    </row>
    <row r="15651" spans="2:2" ht="15.95" customHeight="1">
      <c r="B15651" s="37"/>
    </row>
    <row r="15652" spans="2:2" ht="15.95" customHeight="1">
      <c r="B15652" s="37"/>
    </row>
    <row r="15653" spans="2:2" ht="15.95" customHeight="1">
      <c r="B15653" s="37"/>
    </row>
    <row r="15654" spans="2:2" ht="15.95" customHeight="1">
      <c r="B15654" s="37"/>
    </row>
    <row r="15655" spans="2:2" ht="15.95" customHeight="1">
      <c r="B15655" s="37"/>
    </row>
    <row r="15656" spans="2:2" ht="15.95" customHeight="1">
      <c r="B15656" s="37"/>
    </row>
    <row r="15657" spans="2:2" ht="15.95" customHeight="1">
      <c r="B15657" s="37"/>
    </row>
    <row r="15658" spans="2:2" ht="15.95" customHeight="1">
      <c r="B15658" s="37"/>
    </row>
    <row r="15659" spans="2:2" ht="15.95" customHeight="1">
      <c r="B15659" s="37"/>
    </row>
    <row r="15660" spans="2:2" ht="15.95" customHeight="1">
      <c r="B15660" s="37"/>
    </row>
    <row r="15661" spans="2:2" ht="15.95" customHeight="1">
      <c r="B15661" s="37"/>
    </row>
    <row r="15662" spans="2:2" ht="15.95" customHeight="1">
      <c r="B15662" s="37"/>
    </row>
    <row r="15663" spans="2:2" ht="15.95" customHeight="1">
      <c r="B15663" s="37"/>
    </row>
    <row r="15664" spans="2:2" ht="15.95" customHeight="1">
      <c r="B15664" s="37"/>
    </row>
    <row r="15665" spans="2:2" ht="15.95" customHeight="1">
      <c r="B15665" s="37"/>
    </row>
    <row r="15666" spans="2:2" ht="15.95" customHeight="1">
      <c r="B15666" s="37"/>
    </row>
    <row r="15667" spans="2:2" ht="15.95" customHeight="1">
      <c r="B15667" s="37"/>
    </row>
    <row r="15668" spans="2:2" ht="15.95" customHeight="1">
      <c r="B15668" s="37"/>
    </row>
    <row r="15669" spans="2:2" ht="15.95" customHeight="1">
      <c r="B15669" s="37"/>
    </row>
    <row r="15670" spans="2:2" ht="15.95" customHeight="1">
      <c r="B15670" s="37"/>
    </row>
    <row r="15671" spans="2:2" ht="15.95" customHeight="1">
      <c r="B15671" s="37"/>
    </row>
    <row r="15672" spans="2:2" ht="15.95" customHeight="1">
      <c r="B15672" s="37"/>
    </row>
    <row r="15673" spans="2:2" ht="15.95" customHeight="1">
      <c r="B15673" s="37"/>
    </row>
    <row r="15674" spans="2:2" ht="15.95" customHeight="1">
      <c r="B15674" s="37"/>
    </row>
    <row r="15675" spans="2:2" ht="15.95" customHeight="1">
      <c r="B15675" s="37"/>
    </row>
    <row r="15676" spans="2:2" ht="15.95" customHeight="1">
      <c r="B15676" s="37"/>
    </row>
    <row r="15677" spans="2:2" ht="15.95" customHeight="1">
      <c r="B15677" s="37"/>
    </row>
    <row r="15678" spans="2:2" ht="15.95" customHeight="1">
      <c r="B15678" s="37"/>
    </row>
    <row r="15679" spans="2:2" ht="15.95" customHeight="1">
      <c r="B15679" s="37"/>
    </row>
    <row r="15680" spans="2:2" ht="15.95" customHeight="1">
      <c r="B15680" s="37"/>
    </row>
    <row r="15681" spans="2:2" ht="15.95" customHeight="1">
      <c r="B15681" s="37"/>
    </row>
    <row r="15682" spans="2:2" ht="15.95" customHeight="1">
      <c r="B15682" s="37"/>
    </row>
    <row r="15683" spans="2:2" ht="15.95" customHeight="1">
      <c r="B15683" s="37"/>
    </row>
    <row r="15684" spans="2:2" ht="15.95" customHeight="1">
      <c r="B15684" s="37"/>
    </row>
    <row r="15685" spans="2:2" ht="15.95" customHeight="1">
      <c r="B15685" s="37"/>
    </row>
    <row r="15686" spans="2:2" ht="15.95" customHeight="1">
      <c r="B15686" s="37"/>
    </row>
    <row r="15687" spans="2:2" ht="15.95" customHeight="1">
      <c r="B15687" s="37"/>
    </row>
    <row r="15688" spans="2:2" ht="15.95" customHeight="1">
      <c r="B15688" s="37"/>
    </row>
    <row r="15689" spans="2:2" ht="15.95" customHeight="1">
      <c r="B15689" s="37"/>
    </row>
    <row r="15690" spans="2:2" ht="15.95" customHeight="1">
      <c r="B15690" s="37"/>
    </row>
    <row r="15691" spans="2:2" ht="15.95" customHeight="1">
      <c r="B15691" s="37"/>
    </row>
    <row r="15692" spans="2:2" ht="15.95" customHeight="1">
      <c r="B15692" s="37"/>
    </row>
    <row r="15693" spans="2:2" ht="15.95" customHeight="1">
      <c r="B15693" s="37"/>
    </row>
    <row r="15694" spans="2:2" ht="15.95" customHeight="1">
      <c r="B15694" s="37"/>
    </row>
    <row r="15695" spans="2:2" ht="15.95" customHeight="1">
      <c r="B15695" s="37"/>
    </row>
    <row r="15696" spans="2:2" ht="15.95" customHeight="1">
      <c r="B15696" s="37"/>
    </row>
    <row r="15697" spans="2:2" ht="15.95" customHeight="1">
      <c r="B15697" s="37"/>
    </row>
    <row r="15698" spans="2:2" ht="15.95" customHeight="1">
      <c r="B15698" s="37"/>
    </row>
    <row r="15699" spans="2:2" ht="15.95" customHeight="1">
      <c r="B15699" s="37"/>
    </row>
    <row r="15700" spans="2:2" ht="15.95" customHeight="1">
      <c r="B15700" s="37"/>
    </row>
    <row r="15701" spans="2:2" ht="15.95" customHeight="1">
      <c r="B15701" s="37"/>
    </row>
    <row r="15702" spans="2:2" ht="15.95" customHeight="1">
      <c r="B15702" s="37"/>
    </row>
    <row r="15703" spans="2:2" ht="15.95" customHeight="1">
      <c r="B15703" s="37"/>
    </row>
    <row r="15704" spans="2:2" ht="15.95" customHeight="1">
      <c r="B15704" s="37"/>
    </row>
    <row r="15705" spans="2:2" ht="15.95" customHeight="1">
      <c r="B15705" s="37"/>
    </row>
    <row r="15706" spans="2:2" ht="15.95" customHeight="1">
      <c r="B15706" s="37"/>
    </row>
    <row r="15707" spans="2:2" ht="15.95" customHeight="1">
      <c r="B15707" s="37"/>
    </row>
    <row r="15708" spans="2:2" ht="15.95" customHeight="1">
      <c r="B15708" s="37"/>
    </row>
    <row r="15709" spans="2:2" ht="15.95" customHeight="1">
      <c r="B15709" s="37"/>
    </row>
    <row r="15710" spans="2:2" ht="15.95" customHeight="1">
      <c r="B15710" s="37"/>
    </row>
    <row r="15711" spans="2:2" ht="15.95" customHeight="1">
      <c r="B15711" s="37"/>
    </row>
    <row r="15712" spans="2:2" ht="15.95" customHeight="1">
      <c r="B15712" s="37"/>
    </row>
    <row r="15713" spans="2:2" ht="15.95" customHeight="1">
      <c r="B15713" s="37"/>
    </row>
    <row r="15714" spans="2:2" ht="15.95" customHeight="1">
      <c r="B15714" s="37"/>
    </row>
    <row r="15715" spans="2:2" ht="15.95" customHeight="1">
      <c r="B15715" s="37"/>
    </row>
    <row r="15716" spans="2:2" ht="15.95" customHeight="1">
      <c r="B15716" s="37"/>
    </row>
    <row r="15717" spans="2:2" ht="15.95" customHeight="1">
      <c r="B15717" s="37"/>
    </row>
    <row r="15718" spans="2:2" ht="15.95" customHeight="1">
      <c r="B15718" s="37"/>
    </row>
    <row r="15719" spans="2:2" ht="15.95" customHeight="1">
      <c r="B15719" s="37"/>
    </row>
    <row r="15720" spans="2:2" ht="15.95" customHeight="1">
      <c r="B15720" s="37"/>
    </row>
    <row r="15721" spans="2:2" ht="15.95" customHeight="1">
      <c r="B15721" s="37"/>
    </row>
    <row r="15722" spans="2:2" ht="15.95" customHeight="1">
      <c r="B15722" s="37"/>
    </row>
    <row r="15723" spans="2:2" ht="15.95" customHeight="1">
      <c r="B15723" s="37"/>
    </row>
    <row r="15724" spans="2:2" ht="15.95" customHeight="1">
      <c r="B15724" s="37"/>
    </row>
    <row r="15725" spans="2:2" ht="15.95" customHeight="1">
      <c r="B15725" s="37"/>
    </row>
    <row r="15726" spans="2:2" ht="15.95" customHeight="1">
      <c r="B15726" s="37"/>
    </row>
    <row r="15727" spans="2:2" ht="15.95" customHeight="1">
      <c r="B15727" s="37"/>
    </row>
    <row r="15728" spans="2:2" ht="15.95" customHeight="1">
      <c r="B15728" s="37"/>
    </row>
    <row r="15729" spans="2:2" ht="15.95" customHeight="1">
      <c r="B15729" s="37"/>
    </row>
    <row r="15730" spans="2:2" ht="15.95" customHeight="1">
      <c r="B15730" s="37"/>
    </row>
    <row r="15731" spans="2:2" ht="15.95" customHeight="1">
      <c r="B15731" s="37"/>
    </row>
    <row r="15732" spans="2:2" ht="15.95" customHeight="1">
      <c r="B15732" s="37"/>
    </row>
    <row r="15733" spans="2:2" ht="15.95" customHeight="1">
      <c r="B15733" s="37"/>
    </row>
    <row r="15734" spans="2:2" ht="15.95" customHeight="1">
      <c r="B15734" s="37"/>
    </row>
    <row r="15735" spans="2:2" ht="15.95" customHeight="1">
      <c r="B15735" s="37"/>
    </row>
    <row r="15736" spans="2:2" ht="15.95" customHeight="1">
      <c r="B15736" s="37"/>
    </row>
    <row r="15737" spans="2:2" ht="15.95" customHeight="1">
      <c r="B15737" s="37"/>
    </row>
    <row r="15738" spans="2:2" ht="15.95" customHeight="1">
      <c r="B15738" s="37"/>
    </row>
    <row r="15739" spans="2:2" ht="15.95" customHeight="1">
      <c r="B15739" s="37"/>
    </row>
    <row r="15740" spans="2:2" ht="15.95" customHeight="1">
      <c r="B15740" s="37"/>
    </row>
    <row r="15741" spans="2:2" ht="15.95" customHeight="1">
      <c r="B15741" s="37"/>
    </row>
    <row r="15742" spans="2:2" ht="15.95" customHeight="1">
      <c r="B15742" s="37"/>
    </row>
    <row r="15743" spans="2:2" ht="15.95" customHeight="1">
      <c r="B15743" s="37"/>
    </row>
    <row r="15744" spans="2:2" ht="15.95" customHeight="1">
      <c r="B15744" s="37"/>
    </row>
    <row r="15745" spans="2:2" ht="15.95" customHeight="1">
      <c r="B15745" s="37"/>
    </row>
    <row r="15746" spans="2:2" ht="15.95" customHeight="1">
      <c r="B15746" s="37"/>
    </row>
    <row r="15747" spans="2:2" ht="15.95" customHeight="1">
      <c r="B15747" s="37"/>
    </row>
    <row r="15748" spans="2:2" ht="15.95" customHeight="1">
      <c r="B15748" s="37"/>
    </row>
    <row r="15749" spans="2:2" ht="15.95" customHeight="1">
      <c r="B15749" s="37"/>
    </row>
    <row r="15750" spans="2:2" ht="15.95" customHeight="1">
      <c r="B15750" s="37"/>
    </row>
    <row r="15751" spans="2:2" ht="15.95" customHeight="1">
      <c r="B15751" s="37"/>
    </row>
    <row r="15752" spans="2:2" ht="15.95" customHeight="1">
      <c r="B15752" s="37"/>
    </row>
    <row r="15753" spans="2:2" ht="15.95" customHeight="1">
      <c r="B15753" s="37"/>
    </row>
    <row r="15754" spans="2:2" ht="15.95" customHeight="1">
      <c r="B15754" s="37"/>
    </row>
    <row r="15755" spans="2:2" ht="15.95" customHeight="1">
      <c r="B15755" s="37"/>
    </row>
    <row r="15756" spans="2:2" ht="15.95" customHeight="1">
      <c r="B15756" s="37"/>
    </row>
    <row r="15757" spans="2:2" ht="15.95" customHeight="1">
      <c r="B15757" s="37"/>
    </row>
    <row r="15758" spans="2:2" ht="15.95" customHeight="1">
      <c r="B15758" s="37"/>
    </row>
    <row r="15759" spans="2:2" ht="15.95" customHeight="1">
      <c r="B15759" s="37"/>
    </row>
    <row r="15760" spans="2:2" ht="15.95" customHeight="1">
      <c r="B15760" s="37"/>
    </row>
    <row r="15761" spans="2:2" ht="15.95" customHeight="1">
      <c r="B15761" s="37"/>
    </row>
    <row r="15762" spans="2:2" ht="15.95" customHeight="1">
      <c r="B15762" s="37"/>
    </row>
    <row r="15763" spans="2:2" ht="15.95" customHeight="1">
      <c r="B15763" s="37"/>
    </row>
    <row r="15764" spans="2:2" ht="15.95" customHeight="1">
      <c r="B15764" s="37"/>
    </row>
    <row r="15765" spans="2:2" ht="15.95" customHeight="1">
      <c r="B15765" s="37"/>
    </row>
    <row r="15766" spans="2:2" ht="15.95" customHeight="1">
      <c r="B15766" s="37"/>
    </row>
    <row r="15767" spans="2:2" ht="15.95" customHeight="1">
      <c r="B15767" s="37"/>
    </row>
    <row r="15768" spans="2:2" ht="15.95" customHeight="1">
      <c r="B15768" s="37"/>
    </row>
    <row r="15769" spans="2:2" ht="15.95" customHeight="1">
      <c r="B15769" s="37"/>
    </row>
    <row r="15770" spans="2:2" ht="15.95" customHeight="1">
      <c r="B15770" s="37"/>
    </row>
    <row r="15771" spans="2:2" ht="15.95" customHeight="1">
      <c r="B15771" s="37"/>
    </row>
    <row r="15772" spans="2:2" ht="15.95" customHeight="1">
      <c r="B15772" s="37"/>
    </row>
    <row r="15773" spans="2:2" ht="15.95" customHeight="1">
      <c r="B15773" s="37"/>
    </row>
    <row r="15774" spans="2:2" ht="15.95" customHeight="1">
      <c r="B15774" s="37"/>
    </row>
    <row r="15775" spans="2:2" ht="15.95" customHeight="1">
      <c r="B15775" s="37"/>
    </row>
    <row r="15776" spans="2:2" ht="15.95" customHeight="1">
      <c r="B15776" s="37"/>
    </row>
    <row r="15777" spans="2:2" ht="15.95" customHeight="1">
      <c r="B15777" s="37"/>
    </row>
    <row r="15778" spans="2:2" ht="15.95" customHeight="1">
      <c r="B15778" s="37"/>
    </row>
    <row r="15779" spans="2:2" ht="15.95" customHeight="1">
      <c r="B15779" s="37"/>
    </row>
    <row r="15780" spans="2:2" ht="15.95" customHeight="1">
      <c r="B15780" s="37"/>
    </row>
    <row r="15781" spans="2:2" ht="15.95" customHeight="1">
      <c r="B15781" s="37"/>
    </row>
    <row r="15782" spans="2:2" ht="15.95" customHeight="1">
      <c r="B15782" s="37"/>
    </row>
    <row r="15783" spans="2:2" ht="15.95" customHeight="1">
      <c r="B15783" s="37"/>
    </row>
    <row r="15784" spans="2:2" ht="15.95" customHeight="1">
      <c r="B15784" s="37"/>
    </row>
    <row r="15785" spans="2:2" ht="15.95" customHeight="1">
      <c r="B15785" s="37"/>
    </row>
    <row r="15786" spans="2:2" ht="15.95" customHeight="1">
      <c r="B15786" s="37"/>
    </row>
    <row r="15787" spans="2:2" ht="15.95" customHeight="1">
      <c r="B15787" s="37"/>
    </row>
    <row r="15788" spans="2:2" ht="15.95" customHeight="1">
      <c r="B15788" s="37"/>
    </row>
    <row r="15789" spans="2:2" ht="15.95" customHeight="1">
      <c r="B15789" s="37"/>
    </row>
    <row r="15790" spans="2:2" ht="15.95" customHeight="1">
      <c r="B15790" s="37"/>
    </row>
    <row r="15791" spans="2:2" ht="15.95" customHeight="1">
      <c r="B15791" s="37"/>
    </row>
    <row r="15792" spans="2:2" ht="15.95" customHeight="1">
      <c r="B15792" s="37"/>
    </row>
    <row r="15793" spans="2:2" ht="15.95" customHeight="1">
      <c r="B15793" s="37"/>
    </row>
    <row r="15794" spans="2:2" ht="15.95" customHeight="1">
      <c r="B15794" s="37"/>
    </row>
    <row r="15795" spans="2:2" ht="15.95" customHeight="1">
      <c r="B15795" s="37"/>
    </row>
    <row r="15796" spans="2:2" ht="15.95" customHeight="1">
      <c r="B15796" s="37"/>
    </row>
    <row r="15797" spans="2:2" ht="15.95" customHeight="1">
      <c r="B15797" s="37"/>
    </row>
    <row r="15798" spans="2:2" ht="15.95" customHeight="1">
      <c r="B15798" s="37"/>
    </row>
    <row r="15799" spans="2:2" ht="15.95" customHeight="1">
      <c r="B15799" s="37"/>
    </row>
    <row r="15800" spans="2:2" ht="15.95" customHeight="1">
      <c r="B15800" s="37"/>
    </row>
    <row r="15801" spans="2:2" ht="15.95" customHeight="1">
      <c r="B15801" s="37"/>
    </row>
    <row r="15802" spans="2:2" ht="15.95" customHeight="1">
      <c r="B15802" s="37"/>
    </row>
    <row r="15803" spans="2:2" ht="15.95" customHeight="1">
      <c r="B15803" s="37"/>
    </row>
    <row r="15804" spans="2:2" ht="15.95" customHeight="1">
      <c r="B15804" s="37"/>
    </row>
    <row r="15805" spans="2:2" ht="15.95" customHeight="1">
      <c r="B15805" s="37"/>
    </row>
    <row r="15806" spans="2:2" ht="15.95" customHeight="1">
      <c r="B15806" s="37"/>
    </row>
    <row r="15807" spans="2:2" ht="15.95" customHeight="1">
      <c r="B15807" s="37"/>
    </row>
    <row r="15808" spans="2:2" ht="15.95" customHeight="1">
      <c r="B15808" s="37"/>
    </row>
    <row r="15809" spans="2:2" ht="15.95" customHeight="1">
      <c r="B15809" s="37"/>
    </row>
    <row r="15810" spans="2:2" ht="15.95" customHeight="1">
      <c r="B15810" s="37"/>
    </row>
    <row r="15811" spans="2:2" ht="15.95" customHeight="1">
      <c r="B15811" s="37"/>
    </row>
    <row r="15812" spans="2:2" ht="15.95" customHeight="1">
      <c r="B15812" s="37"/>
    </row>
    <row r="15813" spans="2:2" ht="15.95" customHeight="1">
      <c r="B15813" s="37"/>
    </row>
    <row r="15814" spans="2:2" ht="15.95" customHeight="1">
      <c r="B15814" s="37"/>
    </row>
    <row r="15815" spans="2:2" ht="15.95" customHeight="1">
      <c r="B15815" s="37"/>
    </row>
    <row r="15816" spans="2:2" ht="15.95" customHeight="1">
      <c r="B15816" s="37"/>
    </row>
    <row r="15817" spans="2:2" ht="15.95" customHeight="1">
      <c r="B15817" s="37"/>
    </row>
    <row r="15818" spans="2:2" ht="15.95" customHeight="1">
      <c r="B15818" s="37"/>
    </row>
    <row r="15819" spans="2:2" ht="15.95" customHeight="1">
      <c r="B15819" s="37"/>
    </row>
    <row r="15820" spans="2:2" ht="15.95" customHeight="1">
      <c r="B15820" s="37"/>
    </row>
    <row r="15821" spans="2:2" ht="15.95" customHeight="1">
      <c r="B15821" s="37"/>
    </row>
    <row r="15822" spans="2:2" ht="15.95" customHeight="1">
      <c r="B15822" s="37"/>
    </row>
    <row r="15823" spans="2:2" ht="15.95" customHeight="1">
      <c r="B15823" s="37"/>
    </row>
    <row r="15824" spans="2:2" ht="15.95" customHeight="1">
      <c r="B15824" s="37"/>
    </row>
    <row r="15825" spans="2:2" ht="15.95" customHeight="1">
      <c r="B15825" s="37"/>
    </row>
    <row r="15826" spans="2:2" ht="15.95" customHeight="1">
      <c r="B15826" s="37"/>
    </row>
    <row r="15827" spans="2:2" ht="15.95" customHeight="1">
      <c r="B15827" s="37"/>
    </row>
    <row r="15828" spans="2:2" ht="15.95" customHeight="1">
      <c r="B15828" s="37"/>
    </row>
    <row r="15829" spans="2:2" ht="15.95" customHeight="1">
      <c r="B15829" s="37"/>
    </row>
    <row r="15830" spans="2:2" ht="15.95" customHeight="1">
      <c r="B15830" s="37"/>
    </row>
    <row r="15831" spans="2:2" ht="15.95" customHeight="1">
      <c r="B15831" s="37"/>
    </row>
    <row r="15832" spans="2:2" ht="15.95" customHeight="1">
      <c r="B15832" s="37"/>
    </row>
    <row r="15833" spans="2:2" ht="15.95" customHeight="1">
      <c r="B15833" s="37"/>
    </row>
    <row r="15834" spans="2:2" ht="15.95" customHeight="1">
      <c r="B15834" s="37"/>
    </row>
    <row r="15835" spans="2:2" ht="15.95" customHeight="1">
      <c r="B15835" s="37"/>
    </row>
    <row r="15836" spans="2:2" ht="15.95" customHeight="1">
      <c r="B15836" s="37"/>
    </row>
    <row r="15837" spans="2:2" ht="15.95" customHeight="1">
      <c r="B15837" s="37"/>
    </row>
    <row r="15838" spans="2:2" ht="15.95" customHeight="1">
      <c r="B15838" s="37"/>
    </row>
    <row r="15839" spans="2:2" ht="15.95" customHeight="1">
      <c r="B15839" s="37"/>
    </row>
    <row r="15840" spans="2:2" ht="15.95" customHeight="1">
      <c r="B15840" s="37"/>
    </row>
    <row r="15841" spans="2:2" ht="15.95" customHeight="1">
      <c r="B15841" s="37"/>
    </row>
    <row r="15842" spans="2:2" ht="15.95" customHeight="1">
      <c r="B15842" s="37"/>
    </row>
    <row r="15843" spans="2:2" ht="15.95" customHeight="1">
      <c r="B15843" s="37"/>
    </row>
    <row r="15844" spans="2:2" ht="15.95" customHeight="1">
      <c r="B15844" s="37"/>
    </row>
    <row r="15845" spans="2:2" ht="15.95" customHeight="1">
      <c r="B15845" s="37"/>
    </row>
    <row r="15846" spans="2:2" ht="15.95" customHeight="1">
      <c r="B15846" s="37"/>
    </row>
    <row r="15847" spans="2:2" ht="15.95" customHeight="1">
      <c r="B15847" s="37"/>
    </row>
    <row r="15848" spans="2:2" ht="15.95" customHeight="1">
      <c r="B15848" s="37"/>
    </row>
    <row r="15849" spans="2:2" ht="15.95" customHeight="1">
      <c r="B15849" s="37"/>
    </row>
    <row r="15850" spans="2:2" ht="15.95" customHeight="1">
      <c r="B15850" s="37"/>
    </row>
    <row r="15851" spans="2:2" ht="15.95" customHeight="1">
      <c r="B15851" s="37"/>
    </row>
    <row r="15852" spans="2:2" ht="15.95" customHeight="1">
      <c r="B15852" s="37"/>
    </row>
    <row r="15853" spans="2:2" ht="15.95" customHeight="1">
      <c r="B15853" s="37"/>
    </row>
    <row r="15854" spans="2:2" ht="15.95" customHeight="1">
      <c r="B15854" s="37"/>
    </row>
    <row r="15855" spans="2:2" ht="15.95" customHeight="1">
      <c r="B15855" s="37"/>
    </row>
    <row r="15856" spans="2:2" ht="15.95" customHeight="1">
      <c r="B15856" s="37"/>
    </row>
    <row r="15857" spans="2:2" ht="15.95" customHeight="1">
      <c r="B15857" s="37"/>
    </row>
    <row r="15858" spans="2:2" ht="15.95" customHeight="1">
      <c r="B15858" s="37"/>
    </row>
    <row r="15859" spans="2:2" ht="15.95" customHeight="1">
      <c r="B15859" s="37"/>
    </row>
    <row r="15860" spans="2:2" ht="15.95" customHeight="1">
      <c r="B15860" s="37"/>
    </row>
    <row r="15861" spans="2:2" ht="15.95" customHeight="1">
      <c r="B15861" s="37"/>
    </row>
    <row r="15862" spans="2:2" ht="15.95" customHeight="1">
      <c r="B15862" s="37"/>
    </row>
    <row r="15863" spans="2:2" ht="15.95" customHeight="1">
      <c r="B15863" s="37"/>
    </row>
    <row r="15864" spans="2:2" ht="15.95" customHeight="1">
      <c r="B15864" s="37"/>
    </row>
    <row r="15865" spans="2:2" ht="15.95" customHeight="1">
      <c r="B15865" s="37"/>
    </row>
    <row r="15866" spans="2:2" ht="15.95" customHeight="1">
      <c r="B15866" s="37"/>
    </row>
    <row r="15867" spans="2:2" ht="15.95" customHeight="1">
      <c r="B15867" s="37"/>
    </row>
    <row r="15868" spans="2:2" ht="15.95" customHeight="1">
      <c r="B15868" s="37"/>
    </row>
    <row r="15869" spans="2:2" ht="15.95" customHeight="1">
      <c r="B15869" s="37"/>
    </row>
    <row r="15870" spans="2:2" ht="15.95" customHeight="1">
      <c r="B15870" s="37"/>
    </row>
    <row r="15871" spans="2:2" ht="15.95" customHeight="1">
      <c r="B15871" s="37"/>
    </row>
    <row r="15872" spans="2:2" ht="15.95" customHeight="1">
      <c r="B15872" s="37"/>
    </row>
    <row r="15873" spans="2:2" ht="15.95" customHeight="1">
      <c r="B15873" s="37"/>
    </row>
    <row r="15874" spans="2:2" ht="15.95" customHeight="1">
      <c r="B15874" s="37"/>
    </row>
    <row r="15875" spans="2:2" ht="15.95" customHeight="1">
      <c r="B15875" s="37"/>
    </row>
    <row r="15876" spans="2:2" ht="15.95" customHeight="1">
      <c r="B15876" s="37"/>
    </row>
    <row r="15877" spans="2:2" ht="15.95" customHeight="1">
      <c r="B15877" s="37"/>
    </row>
    <row r="15878" spans="2:2" ht="15.95" customHeight="1">
      <c r="B15878" s="37"/>
    </row>
    <row r="15879" spans="2:2" ht="15.95" customHeight="1">
      <c r="B15879" s="37"/>
    </row>
    <row r="15880" spans="2:2" ht="15.95" customHeight="1">
      <c r="B15880" s="37"/>
    </row>
    <row r="15881" spans="2:2" ht="15.95" customHeight="1">
      <c r="B15881" s="37"/>
    </row>
    <row r="15882" spans="2:2" ht="15.95" customHeight="1">
      <c r="B15882" s="37"/>
    </row>
    <row r="15883" spans="2:2" ht="15.95" customHeight="1">
      <c r="B15883" s="37"/>
    </row>
    <row r="15884" spans="2:2" ht="15.95" customHeight="1">
      <c r="B15884" s="37"/>
    </row>
    <row r="15885" spans="2:2" ht="15.95" customHeight="1">
      <c r="B15885" s="37"/>
    </row>
    <row r="15886" spans="2:2" ht="15.95" customHeight="1">
      <c r="B15886" s="37"/>
    </row>
    <row r="15887" spans="2:2" ht="15.95" customHeight="1">
      <c r="B15887" s="37"/>
    </row>
    <row r="15888" spans="2:2" ht="15.95" customHeight="1">
      <c r="B15888" s="37"/>
    </row>
    <row r="15889" spans="2:2" ht="15.95" customHeight="1">
      <c r="B15889" s="37"/>
    </row>
    <row r="15890" spans="2:2" ht="15.95" customHeight="1">
      <c r="B15890" s="37"/>
    </row>
    <row r="15891" spans="2:2" ht="15.95" customHeight="1">
      <c r="B15891" s="37"/>
    </row>
    <row r="15892" spans="2:2" ht="15.95" customHeight="1">
      <c r="B15892" s="37"/>
    </row>
    <row r="15893" spans="2:2" ht="15.95" customHeight="1">
      <c r="B15893" s="37"/>
    </row>
    <row r="15894" spans="2:2" ht="15.95" customHeight="1">
      <c r="B15894" s="37"/>
    </row>
    <row r="15895" spans="2:2" ht="15.95" customHeight="1">
      <c r="B15895" s="37"/>
    </row>
    <row r="15896" spans="2:2" ht="15.95" customHeight="1">
      <c r="B15896" s="37"/>
    </row>
    <row r="15897" spans="2:2" ht="15.95" customHeight="1">
      <c r="B15897" s="37"/>
    </row>
    <row r="15898" spans="2:2" ht="15.95" customHeight="1">
      <c r="B15898" s="37"/>
    </row>
    <row r="15899" spans="2:2" ht="15.95" customHeight="1">
      <c r="B15899" s="37"/>
    </row>
    <row r="15900" spans="2:2" ht="15.95" customHeight="1">
      <c r="B15900" s="37"/>
    </row>
    <row r="15901" spans="2:2" ht="15.95" customHeight="1">
      <c r="B15901" s="37"/>
    </row>
    <row r="15902" spans="2:2" ht="15.95" customHeight="1">
      <c r="B15902" s="37"/>
    </row>
    <row r="15903" spans="2:2" ht="15.95" customHeight="1">
      <c r="B15903" s="37"/>
    </row>
    <row r="15904" spans="2:2" ht="15.95" customHeight="1">
      <c r="B15904" s="37"/>
    </row>
    <row r="15905" spans="2:2" ht="15.95" customHeight="1">
      <c r="B15905" s="37"/>
    </row>
    <row r="15906" spans="2:2" ht="15.95" customHeight="1">
      <c r="B15906" s="37"/>
    </row>
    <row r="15907" spans="2:2" ht="15.95" customHeight="1">
      <c r="B15907" s="37"/>
    </row>
    <row r="15908" spans="2:2" ht="15.95" customHeight="1">
      <c r="B15908" s="37"/>
    </row>
    <row r="15909" spans="2:2" ht="15.95" customHeight="1">
      <c r="B15909" s="37"/>
    </row>
    <row r="15910" spans="2:2" ht="15.95" customHeight="1">
      <c r="B15910" s="37"/>
    </row>
    <row r="15911" spans="2:2" ht="15.95" customHeight="1">
      <c r="B15911" s="37"/>
    </row>
    <row r="15912" spans="2:2" ht="15.95" customHeight="1">
      <c r="B15912" s="37"/>
    </row>
    <row r="15913" spans="2:2" ht="15.95" customHeight="1">
      <c r="B15913" s="37"/>
    </row>
    <row r="15914" spans="2:2" ht="15.95" customHeight="1">
      <c r="B15914" s="37"/>
    </row>
    <row r="15915" spans="2:2" ht="15.95" customHeight="1">
      <c r="B15915" s="37"/>
    </row>
    <row r="15916" spans="2:2" ht="15.95" customHeight="1">
      <c r="B15916" s="37"/>
    </row>
    <row r="15917" spans="2:2" ht="15.95" customHeight="1">
      <c r="B15917" s="37"/>
    </row>
    <row r="15918" spans="2:2" ht="15.95" customHeight="1">
      <c r="B15918" s="37"/>
    </row>
    <row r="15919" spans="2:2" ht="15.95" customHeight="1">
      <c r="B15919" s="37"/>
    </row>
    <row r="15920" spans="2:2" ht="15.95" customHeight="1">
      <c r="B15920" s="37"/>
    </row>
    <row r="15921" spans="2:2" ht="15.95" customHeight="1">
      <c r="B15921" s="37"/>
    </row>
    <row r="15922" spans="2:2" ht="15.95" customHeight="1">
      <c r="B15922" s="37"/>
    </row>
    <row r="15923" spans="2:2" ht="15.95" customHeight="1">
      <c r="B15923" s="37"/>
    </row>
    <row r="15924" spans="2:2" ht="15.95" customHeight="1">
      <c r="B15924" s="37"/>
    </row>
    <row r="15925" spans="2:2" ht="15.95" customHeight="1">
      <c r="B15925" s="37"/>
    </row>
    <row r="15926" spans="2:2" ht="15.95" customHeight="1">
      <c r="B15926" s="37"/>
    </row>
    <row r="15927" spans="2:2" ht="15.95" customHeight="1">
      <c r="B15927" s="37"/>
    </row>
    <row r="15928" spans="2:2" ht="15.95" customHeight="1">
      <c r="B15928" s="37"/>
    </row>
    <row r="15929" spans="2:2" ht="15.95" customHeight="1">
      <c r="B15929" s="37"/>
    </row>
    <row r="15930" spans="2:2" ht="15.95" customHeight="1">
      <c r="B15930" s="37"/>
    </row>
    <row r="15931" spans="2:2" ht="15.95" customHeight="1">
      <c r="B15931" s="37"/>
    </row>
    <row r="15932" spans="2:2" ht="15.95" customHeight="1">
      <c r="B15932" s="37"/>
    </row>
    <row r="15933" spans="2:2" ht="15.95" customHeight="1">
      <c r="B15933" s="37"/>
    </row>
    <row r="15934" spans="2:2" ht="15.95" customHeight="1">
      <c r="B15934" s="37"/>
    </row>
    <row r="15935" spans="2:2" ht="15.95" customHeight="1">
      <c r="B15935" s="37"/>
    </row>
    <row r="15936" spans="2:2" ht="15.95" customHeight="1">
      <c r="B15936" s="37"/>
    </row>
    <row r="15937" spans="2:2" ht="15.95" customHeight="1">
      <c r="B15937" s="37"/>
    </row>
    <row r="15938" spans="2:2" ht="15.95" customHeight="1">
      <c r="B15938" s="37"/>
    </row>
    <row r="15939" spans="2:2" ht="15.95" customHeight="1">
      <c r="B15939" s="37"/>
    </row>
    <row r="15940" spans="2:2" ht="15.95" customHeight="1">
      <c r="B15940" s="37"/>
    </row>
    <row r="15941" spans="2:2" ht="15.95" customHeight="1">
      <c r="B15941" s="37"/>
    </row>
    <row r="15942" spans="2:2" ht="15.95" customHeight="1">
      <c r="B15942" s="37"/>
    </row>
    <row r="15943" spans="2:2" ht="15.95" customHeight="1">
      <c r="B15943" s="37"/>
    </row>
    <row r="15944" spans="2:2" ht="15.95" customHeight="1">
      <c r="B15944" s="37"/>
    </row>
    <row r="15945" spans="2:2" ht="15.95" customHeight="1">
      <c r="B15945" s="37"/>
    </row>
    <row r="15946" spans="2:2" ht="15.95" customHeight="1">
      <c r="B15946" s="37"/>
    </row>
    <row r="15947" spans="2:2" ht="15.95" customHeight="1">
      <c r="B15947" s="37"/>
    </row>
    <row r="15948" spans="2:2" ht="15.95" customHeight="1">
      <c r="B15948" s="37"/>
    </row>
    <row r="15949" spans="2:2" ht="15.95" customHeight="1">
      <c r="B15949" s="37"/>
    </row>
    <row r="15950" spans="2:2" ht="15.95" customHeight="1">
      <c r="B15950" s="37"/>
    </row>
    <row r="15951" spans="2:2" ht="15.95" customHeight="1">
      <c r="B15951" s="37"/>
    </row>
    <row r="15952" spans="2:2" ht="15.95" customHeight="1">
      <c r="B15952" s="37"/>
    </row>
    <row r="15953" spans="2:2" ht="15.95" customHeight="1">
      <c r="B15953" s="37"/>
    </row>
    <row r="15954" spans="2:2" ht="15.95" customHeight="1">
      <c r="B15954" s="37"/>
    </row>
    <row r="15955" spans="2:2" ht="15.95" customHeight="1">
      <c r="B15955" s="37"/>
    </row>
    <row r="15956" spans="2:2" ht="15.95" customHeight="1">
      <c r="B15956" s="37"/>
    </row>
    <row r="15957" spans="2:2" ht="15.95" customHeight="1">
      <c r="B15957" s="37"/>
    </row>
    <row r="15958" spans="2:2" ht="15.95" customHeight="1">
      <c r="B15958" s="37"/>
    </row>
    <row r="15959" spans="2:2" ht="15.95" customHeight="1">
      <c r="B15959" s="37"/>
    </row>
    <row r="15960" spans="2:2" ht="15.95" customHeight="1">
      <c r="B15960" s="37"/>
    </row>
    <row r="15961" spans="2:2" ht="15.95" customHeight="1">
      <c r="B15961" s="37"/>
    </row>
    <row r="15962" spans="2:2" ht="15.95" customHeight="1">
      <c r="B15962" s="37"/>
    </row>
    <row r="15963" spans="2:2" ht="15.95" customHeight="1">
      <c r="B15963" s="37"/>
    </row>
    <row r="15964" spans="2:2" ht="15.95" customHeight="1">
      <c r="B15964" s="37"/>
    </row>
    <row r="15965" spans="2:2" ht="15.95" customHeight="1">
      <c r="B15965" s="37"/>
    </row>
    <row r="15966" spans="2:2" ht="15.95" customHeight="1">
      <c r="B15966" s="37"/>
    </row>
    <row r="15967" spans="2:2" ht="15.95" customHeight="1">
      <c r="B15967" s="37"/>
    </row>
    <row r="15968" spans="2:2" ht="15.95" customHeight="1">
      <c r="B15968" s="37"/>
    </row>
    <row r="15969" spans="2:2" ht="15.95" customHeight="1">
      <c r="B15969" s="37"/>
    </row>
    <row r="15970" spans="2:2" ht="15.95" customHeight="1">
      <c r="B15970" s="37"/>
    </row>
    <row r="15971" spans="2:2" ht="15.95" customHeight="1">
      <c r="B15971" s="37"/>
    </row>
    <row r="15972" spans="2:2" ht="15.95" customHeight="1">
      <c r="B15972" s="37"/>
    </row>
    <row r="15973" spans="2:2" ht="15.95" customHeight="1">
      <c r="B15973" s="37"/>
    </row>
    <row r="15974" spans="2:2" ht="15.95" customHeight="1">
      <c r="B15974" s="37"/>
    </row>
    <row r="15975" spans="2:2" ht="15.95" customHeight="1">
      <c r="B15975" s="37"/>
    </row>
    <row r="15976" spans="2:2" ht="15.95" customHeight="1">
      <c r="B15976" s="37"/>
    </row>
    <row r="15977" spans="2:2" ht="15.95" customHeight="1">
      <c r="B15977" s="37"/>
    </row>
    <row r="15978" spans="2:2" ht="15.95" customHeight="1">
      <c r="B15978" s="37"/>
    </row>
    <row r="15979" spans="2:2" ht="15.95" customHeight="1">
      <c r="B15979" s="37"/>
    </row>
    <row r="15980" spans="2:2" ht="15.95" customHeight="1">
      <c r="B15980" s="37"/>
    </row>
    <row r="15981" spans="2:2" ht="15.95" customHeight="1">
      <c r="B15981" s="37"/>
    </row>
    <row r="15982" spans="2:2" ht="15.95" customHeight="1">
      <c r="B15982" s="37"/>
    </row>
    <row r="15983" spans="2:2" ht="15.95" customHeight="1">
      <c r="B15983" s="37"/>
    </row>
    <row r="15984" spans="2:2" ht="15.95" customHeight="1">
      <c r="B15984" s="37"/>
    </row>
    <row r="15985" spans="2:2" ht="15.95" customHeight="1">
      <c r="B15985" s="37"/>
    </row>
    <row r="15986" spans="2:2" ht="15.95" customHeight="1">
      <c r="B15986" s="37"/>
    </row>
    <row r="15987" spans="2:2" ht="15.95" customHeight="1">
      <c r="B15987" s="37"/>
    </row>
    <row r="15988" spans="2:2" ht="15.95" customHeight="1">
      <c r="B15988" s="37"/>
    </row>
    <row r="15989" spans="2:2" ht="15.95" customHeight="1">
      <c r="B15989" s="37"/>
    </row>
    <row r="15990" spans="2:2" ht="15.95" customHeight="1">
      <c r="B15990" s="37"/>
    </row>
    <row r="15991" spans="2:2" ht="15.95" customHeight="1">
      <c r="B15991" s="37"/>
    </row>
    <row r="15992" spans="2:2" ht="15.95" customHeight="1">
      <c r="B15992" s="37"/>
    </row>
    <row r="15993" spans="2:2" ht="15.95" customHeight="1">
      <c r="B15993" s="37"/>
    </row>
    <row r="15994" spans="2:2" ht="15.95" customHeight="1">
      <c r="B15994" s="37"/>
    </row>
    <row r="15995" spans="2:2" ht="15.95" customHeight="1">
      <c r="B15995" s="37"/>
    </row>
    <row r="15996" spans="2:2" ht="15.95" customHeight="1">
      <c r="B15996" s="37"/>
    </row>
    <row r="15997" spans="2:2" ht="15.95" customHeight="1">
      <c r="B15997" s="37"/>
    </row>
    <row r="15998" spans="2:2" ht="15.95" customHeight="1">
      <c r="B15998" s="37"/>
    </row>
    <row r="15999" spans="2:2" ht="15.95" customHeight="1">
      <c r="B15999" s="37"/>
    </row>
    <row r="16000" spans="2:2" ht="15.95" customHeight="1">
      <c r="B16000" s="37"/>
    </row>
    <row r="16001" spans="2:2" ht="15.95" customHeight="1">
      <c r="B16001" s="37"/>
    </row>
    <row r="16002" spans="2:2" ht="15.95" customHeight="1">
      <c r="B16002" s="37"/>
    </row>
    <row r="16003" spans="2:2" ht="15.95" customHeight="1">
      <c r="B16003" s="37"/>
    </row>
    <row r="16004" spans="2:2" ht="15.95" customHeight="1">
      <c r="B16004" s="37"/>
    </row>
    <row r="16005" spans="2:2" ht="15.95" customHeight="1">
      <c r="B16005" s="37"/>
    </row>
    <row r="16006" spans="2:2" ht="15.95" customHeight="1">
      <c r="B16006" s="37"/>
    </row>
    <row r="16007" spans="2:2" ht="15.95" customHeight="1">
      <c r="B16007" s="37"/>
    </row>
    <row r="16008" spans="2:2" ht="15.95" customHeight="1">
      <c r="B16008" s="37"/>
    </row>
    <row r="16009" spans="2:2" ht="15.95" customHeight="1">
      <c r="B16009" s="37"/>
    </row>
    <row r="16010" spans="2:2" ht="15.95" customHeight="1">
      <c r="B16010" s="37"/>
    </row>
    <row r="16011" spans="2:2" ht="15.95" customHeight="1">
      <c r="B16011" s="37"/>
    </row>
    <row r="16012" spans="2:2" ht="15.95" customHeight="1">
      <c r="B16012" s="37"/>
    </row>
    <row r="16013" spans="2:2" ht="15.95" customHeight="1">
      <c r="B16013" s="37"/>
    </row>
    <row r="16014" spans="2:2" ht="15.95" customHeight="1">
      <c r="B16014" s="37"/>
    </row>
    <row r="16015" spans="2:2" ht="15.95" customHeight="1">
      <c r="B16015" s="37"/>
    </row>
    <row r="16016" spans="2:2" ht="15.95" customHeight="1">
      <c r="B16016" s="37"/>
    </row>
    <row r="16017" spans="2:2" ht="15.95" customHeight="1">
      <c r="B16017" s="37"/>
    </row>
    <row r="16018" spans="2:2" ht="15.95" customHeight="1">
      <c r="B16018" s="37"/>
    </row>
    <row r="16019" spans="2:2" ht="15.95" customHeight="1">
      <c r="B16019" s="37"/>
    </row>
    <row r="16020" spans="2:2" ht="15.95" customHeight="1">
      <c r="B16020" s="37"/>
    </row>
    <row r="16021" spans="2:2" ht="15.95" customHeight="1">
      <c r="B16021" s="37"/>
    </row>
    <row r="16022" spans="2:2" ht="15.95" customHeight="1">
      <c r="B16022" s="37"/>
    </row>
    <row r="16023" spans="2:2" ht="15.95" customHeight="1">
      <c r="B16023" s="37"/>
    </row>
    <row r="16024" spans="2:2" ht="15.95" customHeight="1">
      <c r="B16024" s="37"/>
    </row>
    <row r="16025" spans="2:2" ht="15.95" customHeight="1">
      <c r="B16025" s="37"/>
    </row>
    <row r="16026" spans="2:2" ht="15.95" customHeight="1">
      <c r="B16026" s="37"/>
    </row>
    <row r="16027" spans="2:2" ht="15.95" customHeight="1">
      <c r="B16027" s="37"/>
    </row>
    <row r="16028" spans="2:2" ht="15.95" customHeight="1">
      <c r="B16028" s="37"/>
    </row>
    <row r="16029" spans="2:2" ht="15.95" customHeight="1">
      <c r="B16029" s="37"/>
    </row>
    <row r="16030" spans="2:2" ht="15.95" customHeight="1">
      <c r="B16030" s="37"/>
    </row>
    <row r="16031" spans="2:2" ht="15.95" customHeight="1">
      <c r="B16031" s="37"/>
    </row>
    <row r="16032" spans="2:2" ht="15.95" customHeight="1">
      <c r="B16032" s="37"/>
    </row>
    <row r="16033" spans="2:2" ht="15.95" customHeight="1">
      <c r="B16033" s="37"/>
    </row>
    <row r="16034" spans="2:2" ht="15.95" customHeight="1">
      <c r="B16034" s="37"/>
    </row>
    <row r="16035" spans="2:2" ht="15.95" customHeight="1">
      <c r="B16035" s="37"/>
    </row>
    <row r="16036" spans="2:2" ht="15.95" customHeight="1">
      <c r="B16036" s="37"/>
    </row>
    <row r="16037" spans="2:2" ht="15.95" customHeight="1">
      <c r="B16037" s="37"/>
    </row>
    <row r="16038" spans="2:2" ht="15.95" customHeight="1">
      <c r="B16038" s="37"/>
    </row>
    <row r="16039" spans="2:2" ht="15.95" customHeight="1">
      <c r="B16039" s="37"/>
    </row>
    <row r="16040" spans="2:2" ht="15.95" customHeight="1">
      <c r="B16040" s="37"/>
    </row>
    <row r="16041" spans="2:2" ht="15.95" customHeight="1">
      <c r="B16041" s="37"/>
    </row>
    <row r="16042" spans="2:2" ht="15.95" customHeight="1">
      <c r="B16042" s="37"/>
    </row>
    <row r="16043" spans="2:2" ht="15.95" customHeight="1">
      <c r="B16043" s="37"/>
    </row>
    <row r="16044" spans="2:2" ht="15.95" customHeight="1">
      <c r="B16044" s="37"/>
    </row>
    <row r="16045" spans="2:2" ht="15.95" customHeight="1">
      <c r="B16045" s="37"/>
    </row>
    <row r="16046" spans="2:2" ht="15.95" customHeight="1">
      <c r="B16046" s="37"/>
    </row>
    <row r="16047" spans="2:2" ht="15.95" customHeight="1">
      <c r="B16047" s="37"/>
    </row>
    <row r="16048" spans="2:2" ht="15.95" customHeight="1">
      <c r="B16048" s="37"/>
    </row>
    <row r="16049" spans="2:2" ht="15.95" customHeight="1">
      <c r="B16049" s="37"/>
    </row>
    <row r="16050" spans="2:2" ht="15.95" customHeight="1">
      <c r="B16050" s="37"/>
    </row>
    <row r="16051" spans="2:2" ht="15.95" customHeight="1">
      <c r="B16051" s="37"/>
    </row>
    <row r="16052" spans="2:2" ht="15.95" customHeight="1">
      <c r="B16052" s="37"/>
    </row>
    <row r="16053" spans="2:2" ht="15.95" customHeight="1">
      <c r="B16053" s="37"/>
    </row>
    <row r="16054" spans="2:2" ht="15.95" customHeight="1">
      <c r="B16054" s="37"/>
    </row>
    <row r="16055" spans="2:2" ht="15.95" customHeight="1">
      <c r="B16055" s="37"/>
    </row>
    <row r="16056" spans="2:2" ht="15.95" customHeight="1">
      <c r="B16056" s="37"/>
    </row>
    <row r="16057" spans="2:2" ht="15.95" customHeight="1">
      <c r="B16057" s="37"/>
    </row>
    <row r="16058" spans="2:2" ht="15.95" customHeight="1">
      <c r="B16058" s="37"/>
    </row>
    <row r="16059" spans="2:2" ht="15.95" customHeight="1">
      <c r="B16059" s="37"/>
    </row>
    <row r="16060" spans="2:2" ht="15.95" customHeight="1">
      <c r="B16060" s="37"/>
    </row>
    <row r="16061" spans="2:2" ht="15.95" customHeight="1">
      <c r="B16061" s="37"/>
    </row>
    <row r="16062" spans="2:2" ht="15.95" customHeight="1">
      <c r="B16062" s="37"/>
    </row>
    <row r="16063" spans="2:2" ht="15.95" customHeight="1">
      <c r="B16063" s="37"/>
    </row>
    <row r="16064" spans="2:2" ht="15.95" customHeight="1">
      <c r="B16064" s="37"/>
    </row>
    <row r="16065" spans="2:2" ht="15.95" customHeight="1">
      <c r="B16065" s="37"/>
    </row>
    <row r="16066" spans="2:2" ht="15.95" customHeight="1">
      <c r="B16066" s="37"/>
    </row>
    <row r="16067" spans="2:2" ht="15.95" customHeight="1">
      <c r="B16067" s="37"/>
    </row>
    <row r="16068" spans="2:2" ht="15.95" customHeight="1">
      <c r="B16068" s="37"/>
    </row>
    <row r="16069" spans="2:2" ht="15.95" customHeight="1">
      <c r="B16069" s="37"/>
    </row>
    <row r="16070" spans="2:2" ht="15.95" customHeight="1">
      <c r="B16070" s="37"/>
    </row>
    <row r="16071" spans="2:2" ht="15.95" customHeight="1">
      <c r="B16071" s="37"/>
    </row>
    <row r="16072" spans="2:2" ht="15.95" customHeight="1">
      <c r="B16072" s="37"/>
    </row>
    <row r="16073" spans="2:2" ht="15.95" customHeight="1">
      <c r="B16073" s="37"/>
    </row>
    <row r="16074" spans="2:2" ht="15.95" customHeight="1">
      <c r="B16074" s="37"/>
    </row>
    <row r="16075" spans="2:2" ht="15.95" customHeight="1">
      <c r="B16075" s="37"/>
    </row>
    <row r="16076" spans="2:2" ht="15.95" customHeight="1">
      <c r="B16076" s="37"/>
    </row>
    <row r="16077" spans="2:2" ht="15.95" customHeight="1">
      <c r="B16077" s="37"/>
    </row>
    <row r="16078" spans="2:2" ht="15.95" customHeight="1">
      <c r="B16078" s="37"/>
    </row>
    <row r="16079" spans="2:2" ht="15.95" customHeight="1">
      <c r="B16079" s="37"/>
    </row>
    <row r="16080" spans="2:2" ht="15.95" customHeight="1">
      <c r="B16080" s="37"/>
    </row>
    <row r="16081" spans="2:2" ht="15.95" customHeight="1">
      <c r="B16081" s="37"/>
    </row>
    <row r="16082" spans="2:2" ht="15.95" customHeight="1">
      <c r="B16082" s="37"/>
    </row>
    <row r="16083" spans="2:2" ht="15.95" customHeight="1">
      <c r="B16083" s="37"/>
    </row>
    <row r="16084" spans="2:2" ht="15.95" customHeight="1">
      <c r="B16084" s="37"/>
    </row>
    <row r="16085" spans="2:2" ht="15.95" customHeight="1">
      <c r="B16085" s="37"/>
    </row>
    <row r="16086" spans="2:2" ht="15.95" customHeight="1">
      <c r="B16086" s="37"/>
    </row>
    <row r="16087" spans="2:2" ht="15.95" customHeight="1">
      <c r="B16087" s="37"/>
    </row>
    <row r="16088" spans="2:2" ht="15.95" customHeight="1">
      <c r="B16088" s="37"/>
    </row>
    <row r="16089" spans="2:2" ht="15.95" customHeight="1">
      <c r="B16089" s="37"/>
    </row>
    <row r="16090" spans="2:2" ht="15.95" customHeight="1">
      <c r="B16090" s="37"/>
    </row>
    <row r="16091" spans="2:2" ht="15.95" customHeight="1">
      <c r="B16091" s="37"/>
    </row>
    <row r="16092" spans="2:2" ht="15.95" customHeight="1">
      <c r="B16092" s="37"/>
    </row>
    <row r="16093" spans="2:2" ht="15.95" customHeight="1">
      <c r="B16093" s="37"/>
    </row>
    <row r="16094" spans="2:2" ht="15.95" customHeight="1">
      <c r="B16094" s="37"/>
    </row>
    <row r="16095" spans="2:2" ht="15.95" customHeight="1">
      <c r="B16095" s="37"/>
    </row>
    <row r="16096" spans="2:2" ht="15.95" customHeight="1">
      <c r="B16096" s="37"/>
    </row>
    <row r="16097" spans="2:2" ht="15.95" customHeight="1">
      <c r="B16097" s="37"/>
    </row>
    <row r="16098" spans="2:2" ht="15.95" customHeight="1">
      <c r="B16098" s="37"/>
    </row>
    <row r="16099" spans="2:2" ht="15.95" customHeight="1">
      <c r="B16099" s="37"/>
    </row>
    <row r="16100" spans="2:2" ht="15.95" customHeight="1">
      <c r="B16100" s="37"/>
    </row>
    <row r="16101" spans="2:2" ht="15.95" customHeight="1">
      <c r="B16101" s="37"/>
    </row>
    <row r="16102" spans="2:2" ht="15.95" customHeight="1">
      <c r="B16102" s="37"/>
    </row>
    <row r="16103" spans="2:2" ht="15.95" customHeight="1">
      <c r="B16103" s="37"/>
    </row>
    <row r="16104" spans="2:2" ht="15.95" customHeight="1">
      <c r="B16104" s="37"/>
    </row>
    <row r="16105" spans="2:2" ht="15.95" customHeight="1">
      <c r="B16105" s="37"/>
    </row>
    <row r="16106" spans="2:2" ht="15.95" customHeight="1">
      <c r="B16106" s="37"/>
    </row>
    <row r="16107" spans="2:2" ht="15.95" customHeight="1">
      <c r="B16107" s="37"/>
    </row>
    <row r="16108" spans="2:2" ht="15.95" customHeight="1">
      <c r="B16108" s="37"/>
    </row>
    <row r="16109" spans="2:2" ht="15.95" customHeight="1">
      <c r="B16109" s="37"/>
    </row>
    <row r="16110" spans="2:2" ht="15.95" customHeight="1">
      <c r="B16110" s="37"/>
    </row>
    <row r="16111" spans="2:2" ht="15.95" customHeight="1">
      <c r="B16111" s="37"/>
    </row>
    <row r="16112" spans="2:2" ht="15.95" customHeight="1">
      <c r="B16112" s="37"/>
    </row>
    <row r="16113" spans="2:2" ht="15.95" customHeight="1">
      <c r="B16113" s="37"/>
    </row>
    <row r="16114" spans="2:2" ht="15.95" customHeight="1">
      <c r="B16114" s="37"/>
    </row>
    <row r="16115" spans="2:2" ht="15.95" customHeight="1">
      <c r="B16115" s="37"/>
    </row>
    <row r="16116" spans="2:2" ht="15.95" customHeight="1">
      <c r="B16116" s="37"/>
    </row>
    <row r="16117" spans="2:2" ht="15.95" customHeight="1">
      <c r="B16117" s="37"/>
    </row>
    <row r="16118" spans="2:2" ht="15.95" customHeight="1">
      <c r="B16118" s="37"/>
    </row>
    <row r="16119" spans="2:2" ht="15.95" customHeight="1">
      <c r="B16119" s="37"/>
    </row>
    <row r="16120" spans="2:2" ht="15.95" customHeight="1">
      <c r="B16120" s="37"/>
    </row>
    <row r="16121" spans="2:2" ht="15.95" customHeight="1">
      <c r="B16121" s="37"/>
    </row>
    <row r="16122" spans="2:2" ht="15.95" customHeight="1">
      <c r="B16122" s="37"/>
    </row>
    <row r="16123" spans="2:2" ht="15.95" customHeight="1">
      <c r="B16123" s="37"/>
    </row>
    <row r="16124" spans="2:2" ht="15.95" customHeight="1">
      <c r="B16124" s="37"/>
    </row>
    <row r="16125" spans="2:2" ht="15.95" customHeight="1">
      <c r="B16125" s="37"/>
    </row>
    <row r="16126" spans="2:2" ht="15.95" customHeight="1">
      <c r="B16126" s="37"/>
    </row>
    <row r="16127" spans="2:2" ht="15.95" customHeight="1">
      <c r="B16127" s="37"/>
    </row>
    <row r="16128" spans="2:2" ht="15.95" customHeight="1">
      <c r="B16128" s="37"/>
    </row>
    <row r="16129" spans="2:2" ht="15.95" customHeight="1">
      <c r="B16129" s="37"/>
    </row>
    <row r="16130" spans="2:2" ht="15.95" customHeight="1">
      <c r="B16130" s="37"/>
    </row>
    <row r="16131" spans="2:2" ht="15.95" customHeight="1">
      <c r="B16131" s="37"/>
    </row>
    <row r="16132" spans="2:2" ht="15.95" customHeight="1">
      <c r="B16132" s="37"/>
    </row>
    <row r="16133" spans="2:2" ht="15.95" customHeight="1">
      <c r="B16133" s="37"/>
    </row>
    <row r="16134" spans="2:2" ht="15.95" customHeight="1">
      <c r="B16134" s="37"/>
    </row>
    <row r="16135" spans="2:2" ht="15.95" customHeight="1">
      <c r="B16135" s="37"/>
    </row>
    <row r="16136" spans="2:2" ht="15.95" customHeight="1">
      <c r="B16136" s="37"/>
    </row>
    <row r="16137" spans="2:2" ht="15.95" customHeight="1">
      <c r="B16137" s="37"/>
    </row>
    <row r="16138" spans="2:2" ht="15.95" customHeight="1">
      <c r="B16138" s="37"/>
    </row>
    <row r="16139" spans="2:2" ht="15.95" customHeight="1">
      <c r="B16139" s="37"/>
    </row>
    <row r="16140" spans="2:2" ht="15.95" customHeight="1">
      <c r="B16140" s="37"/>
    </row>
    <row r="16141" spans="2:2" ht="15.95" customHeight="1">
      <c r="B16141" s="37"/>
    </row>
    <row r="16142" spans="2:2" ht="15.95" customHeight="1">
      <c r="B16142" s="37"/>
    </row>
    <row r="16143" spans="2:2" ht="15.95" customHeight="1">
      <c r="B16143" s="37"/>
    </row>
    <row r="16144" spans="2:2" ht="15.95" customHeight="1">
      <c r="B16144" s="37"/>
    </row>
    <row r="16145" spans="2:2" ht="15.95" customHeight="1">
      <c r="B16145" s="37"/>
    </row>
    <row r="16146" spans="2:2" ht="15.95" customHeight="1">
      <c r="B16146" s="37"/>
    </row>
    <row r="16147" spans="2:2" ht="15.95" customHeight="1">
      <c r="B16147" s="37"/>
    </row>
    <row r="16148" spans="2:2" ht="15.95" customHeight="1">
      <c r="B16148" s="37"/>
    </row>
    <row r="16149" spans="2:2" ht="15.95" customHeight="1">
      <c r="B16149" s="37"/>
    </row>
    <row r="16150" spans="2:2" ht="15.95" customHeight="1">
      <c r="B16150" s="37"/>
    </row>
    <row r="16151" spans="2:2" ht="15.95" customHeight="1">
      <c r="B16151" s="37"/>
    </row>
    <row r="16152" spans="2:2" ht="15.95" customHeight="1">
      <c r="B16152" s="37"/>
    </row>
    <row r="16153" spans="2:2" ht="15.95" customHeight="1">
      <c r="B16153" s="37"/>
    </row>
    <row r="16154" spans="2:2" ht="15.95" customHeight="1">
      <c r="B16154" s="37"/>
    </row>
    <row r="16155" spans="2:2" ht="15.95" customHeight="1">
      <c r="B16155" s="37"/>
    </row>
    <row r="16156" spans="2:2" ht="15.95" customHeight="1">
      <c r="B16156" s="37"/>
    </row>
    <row r="16157" spans="2:2" ht="15.95" customHeight="1">
      <c r="B16157" s="37"/>
    </row>
    <row r="16158" spans="2:2" ht="15.95" customHeight="1">
      <c r="B16158" s="37"/>
    </row>
    <row r="16159" spans="2:2" ht="15.95" customHeight="1">
      <c r="B16159" s="37"/>
    </row>
    <row r="16160" spans="2:2" ht="15.95" customHeight="1">
      <c r="B16160" s="37"/>
    </row>
    <row r="16161" spans="2:2" ht="15.95" customHeight="1">
      <c r="B16161" s="37"/>
    </row>
    <row r="16162" spans="2:2" ht="15.95" customHeight="1">
      <c r="B16162" s="37"/>
    </row>
    <row r="16163" spans="2:2" ht="15.95" customHeight="1">
      <c r="B16163" s="37"/>
    </row>
    <row r="16164" spans="2:2" ht="15.95" customHeight="1">
      <c r="B16164" s="37"/>
    </row>
    <row r="16165" spans="2:2" ht="15.95" customHeight="1">
      <c r="B16165" s="37"/>
    </row>
    <row r="16166" spans="2:2" ht="15.95" customHeight="1">
      <c r="B16166" s="37"/>
    </row>
    <row r="16167" spans="2:2" ht="15.95" customHeight="1">
      <c r="B16167" s="37"/>
    </row>
    <row r="16168" spans="2:2" ht="15.95" customHeight="1">
      <c r="B16168" s="37"/>
    </row>
    <row r="16169" spans="2:2" ht="15.95" customHeight="1">
      <c r="B16169" s="37"/>
    </row>
    <row r="16170" spans="2:2" ht="15.95" customHeight="1">
      <c r="B16170" s="37"/>
    </row>
    <row r="16171" spans="2:2" ht="15.95" customHeight="1">
      <c r="B16171" s="37"/>
    </row>
    <row r="16172" spans="2:2" ht="15.95" customHeight="1">
      <c r="B16172" s="37"/>
    </row>
    <row r="16173" spans="2:2" ht="15.95" customHeight="1">
      <c r="B16173" s="37"/>
    </row>
    <row r="16174" spans="2:2" ht="15.95" customHeight="1">
      <c r="B16174" s="37"/>
    </row>
    <row r="16175" spans="2:2" ht="15.95" customHeight="1">
      <c r="B16175" s="37"/>
    </row>
    <row r="16176" spans="2:2" ht="15.95" customHeight="1">
      <c r="B16176" s="37"/>
    </row>
    <row r="16177" spans="2:2" ht="15.95" customHeight="1">
      <c r="B16177" s="37"/>
    </row>
    <row r="16178" spans="2:2" ht="15.95" customHeight="1">
      <c r="B16178" s="37"/>
    </row>
    <row r="16179" spans="2:2" ht="15.95" customHeight="1">
      <c r="B16179" s="37"/>
    </row>
    <row r="16180" spans="2:2" ht="15.95" customHeight="1">
      <c r="B16180" s="37"/>
    </row>
    <row r="16181" spans="2:2" ht="15.95" customHeight="1">
      <c r="B16181" s="37"/>
    </row>
    <row r="16182" spans="2:2" ht="15.95" customHeight="1">
      <c r="B16182" s="37"/>
    </row>
    <row r="16183" spans="2:2" ht="15.95" customHeight="1">
      <c r="B16183" s="37"/>
    </row>
    <row r="16184" spans="2:2" ht="15.95" customHeight="1">
      <c r="B16184" s="37"/>
    </row>
    <row r="16185" spans="2:2" ht="15.95" customHeight="1">
      <c r="B16185" s="37"/>
    </row>
    <row r="16186" spans="2:2" ht="15.95" customHeight="1">
      <c r="B16186" s="37"/>
    </row>
    <row r="16187" spans="2:2" ht="15.95" customHeight="1">
      <c r="B16187" s="37"/>
    </row>
    <row r="16188" spans="2:2" ht="15.95" customHeight="1">
      <c r="B16188" s="37"/>
    </row>
    <row r="16189" spans="2:2" ht="15.95" customHeight="1">
      <c r="B16189" s="37"/>
    </row>
    <row r="16190" spans="2:2" ht="15.95" customHeight="1">
      <c r="B16190" s="37"/>
    </row>
    <row r="16191" spans="2:2" ht="15.95" customHeight="1">
      <c r="B16191" s="37"/>
    </row>
    <row r="16192" spans="2:2" ht="15.95" customHeight="1">
      <c r="B16192" s="37"/>
    </row>
    <row r="16193" spans="2:2" ht="15.95" customHeight="1">
      <c r="B16193" s="37"/>
    </row>
    <row r="16194" spans="2:2" ht="15.95" customHeight="1">
      <c r="B16194" s="37"/>
    </row>
    <row r="16195" spans="2:2" ht="15.95" customHeight="1">
      <c r="B16195" s="37"/>
    </row>
    <row r="16196" spans="2:2" ht="15.95" customHeight="1">
      <c r="B16196" s="37"/>
    </row>
    <row r="16197" spans="2:2" ht="15.95" customHeight="1">
      <c r="B16197" s="37"/>
    </row>
    <row r="16198" spans="2:2" ht="15.95" customHeight="1">
      <c r="B16198" s="37"/>
    </row>
    <row r="16199" spans="2:2" ht="15.95" customHeight="1">
      <c r="B16199" s="37"/>
    </row>
    <row r="16200" spans="2:2" ht="15.95" customHeight="1">
      <c r="B16200" s="37"/>
    </row>
    <row r="16201" spans="2:2" ht="15.95" customHeight="1">
      <c r="B16201" s="37"/>
    </row>
    <row r="16202" spans="2:2" ht="15.95" customHeight="1">
      <c r="B16202" s="37"/>
    </row>
    <row r="16203" spans="2:2" ht="15.95" customHeight="1">
      <c r="B16203" s="37"/>
    </row>
    <row r="16204" spans="2:2" ht="15.95" customHeight="1">
      <c r="B16204" s="37"/>
    </row>
    <row r="16205" spans="2:2" ht="15.95" customHeight="1">
      <c r="B16205" s="37"/>
    </row>
    <row r="16206" spans="2:2" ht="15.95" customHeight="1">
      <c r="B16206" s="37"/>
    </row>
    <row r="16207" spans="2:2" ht="15.95" customHeight="1">
      <c r="B16207" s="37"/>
    </row>
    <row r="16208" spans="2:2" ht="15.95" customHeight="1">
      <c r="B16208" s="37"/>
    </row>
    <row r="16209" spans="2:2" ht="15.95" customHeight="1">
      <c r="B16209" s="37"/>
    </row>
    <row r="16210" spans="2:2" ht="15.95" customHeight="1">
      <c r="B16210" s="37"/>
    </row>
    <row r="16211" spans="2:2" ht="15.95" customHeight="1">
      <c r="B16211" s="37"/>
    </row>
    <row r="16212" spans="2:2" ht="15.95" customHeight="1">
      <c r="B16212" s="37"/>
    </row>
    <row r="16213" spans="2:2" ht="15.95" customHeight="1">
      <c r="B16213" s="37"/>
    </row>
    <row r="16214" spans="2:2" ht="15.95" customHeight="1">
      <c r="B16214" s="37"/>
    </row>
    <row r="16215" spans="2:2" ht="15.95" customHeight="1">
      <c r="B16215" s="37"/>
    </row>
    <row r="16216" spans="2:2" ht="15.95" customHeight="1">
      <c r="B16216" s="37"/>
    </row>
    <row r="16217" spans="2:2" ht="15.95" customHeight="1">
      <c r="B16217" s="37"/>
    </row>
    <row r="16218" spans="2:2" ht="15.95" customHeight="1">
      <c r="B16218" s="37"/>
    </row>
    <row r="16219" spans="2:2" ht="15.95" customHeight="1">
      <c r="B16219" s="37"/>
    </row>
    <row r="16220" spans="2:2" ht="15.95" customHeight="1">
      <c r="B16220" s="37"/>
    </row>
    <row r="16221" spans="2:2" ht="15.95" customHeight="1">
      <c r="B16221" s="37"/>
    </row>
  </sheetData>
  <mergeCells count="12">
    <mergeCell ref="C29:R29"/>
    <mergeCell ref="C31:R31"/>
    <mergeCell ref="B2:M3"/>
    <mergeCell ref="B6:M6"/>
    <mergeCell ref="B4:M4"/>
    <mergeCell ref="B17:R19"/>
    <mergeCell ref="C21:R23"/>
    <mergeCell ref="C25:R27"/>
    <mergeCell ref="B12:P13"/>
    <mergeCell ref="B7:M7"/>
    <mergeCell ref="B8:M8"/>
    <mergeCell ref="B25:B27"/>
  </mergeCells>
  <hyperlinks>
    <hyperlink ref="B8:M8" r:id="rId1" display="www.ifw-kiel.de/feedback-ust" xr:uid="{BA005E11-E69B-4F5F-BB02-2032AE5B57A0}"/>
    <hyperlink ref="B8" r:id="rId2" xr:uid="{8EBDEDE5-5E94-4305-9B7D-A3245BF65DA5}"/>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N68"/>
  <sheetViews>
    <sheetView showGridLines="0" zoomScaleNormal="100" workbookViewId="0"/>
  </sheetViews>
  <sheetFormatPr defaultColWidth="8.625" defaultRowHeight="15.95" customHeight="1"/>
  <cols>
    <col min="1" max="1" width="8.625" style="2" customWidth="1"/>
    <col min="2" max="2" width="25.5" style="39" customWidth="1"/>
    <col min="3" max="5" width="19.125" style="146" customWidth="1"/>
    <col min="6" max="6" width="17.125" style="146" customWidth="1"/>
    <col min="7" max="7" width="13.625" style="39" customWidth="1"/>
    <col min="8" max="16384" width="8.625" style="39"/>
  </cols>
  <sheetData>
    <row r="1" spans="1:8" s="35" customFormat="1" ht="15.95" customHeight="1">
      <c r="B1" s="39"/>
      <c r="C1" s="146"/>
      <c r="D1" s="146"/>
      <c r="E1" s="146"/>
      <c r="F1" s="146"/>
    </row>
    <row r="2" spans="1:8" s="469" customFormat="1" ht="24.75" customHeight="1">
      <c r="A2" s="465"/>
      <c r="B2" s="651" t="s">
        <v>4566</v>
      </c>
      <c r="C2" s="468"/>
      <c r="D2" s="468"/>
      <c r="E2" s="468"/>
      <c r="F2" s="468"/>
    </row>
    <row r="3" spans="1:8" s="43" customFormat="1" ht="15.95" customHeight="1">
      <c r="A3" s="35"/>
      <c r="B3" s="42"/>
      <c r="C3" s="145"/>
      <c r="D3" s="145"/>
      <c r="E3" s="145"/>
      <c r="F3" s="145"/>
      <c r="H3" s="165"/>
    </row>
    <row r="4" spans="1:8" s="43" customFormat="1" ht="15.95" customHeight="1">
      <c r="A4" s="35"/>
      <c r="B4" s="1433" t="s">
        <v>4567</v>
      </c>
      <c r="C4" s="1433"/>
      <c r="D4" s="1433"/>
      <c r="E4" s="1433"/>
      <c r="F4" s="1433"/>
      <c r="G4" s="1433"/>
      <c r="H4" s="1433"/>
    </row>
    <row r="5" spans="1:8" s="43" customFormat="1" ht="15.95" customHeight="1">
      <c r="A5" s="35"/>
      <c r="B5" s="1433"/>
      <c r="C5" s="1433"/>
      <c r="D5" s="1433"/>
      <c r="E5" s="1433"/>
      <c r="F5" s="1433"/>
      <c r="G5" s="1433"/>
      <c r="H5" s="1433"/>
    </row>
    <row r="6" spans="1:8" s="43" customFormat="1" ht="15.95" customHeight="1">
      <c r="A6" s="35"/>
      <c r="B6" s="1433"/>
      <c r="C6" s="1433"/>
      <c r="D6" s="1433"/>
      <c r="E6" s="1433"/>
      <c r="F6" s="1433"/>
      <c r="G6" s="1433"/>
      <c r="H6" s="1433"/>
    </row>
    <row r="7" spans="1:8" s="43" customFormat="1" ht="15.95" customHeight="1">
      <c r="A7" s="35"/>
      <c r="B7" s="1433"/>
      <c r="C7" s="1433"/>
      <c r="D7" s="1433"/>
      <c r="E7" s="1433"/>
      <c r="F7" s="1433"/>
      <c r="G7" s="1433"/>
      <c r="H7" s="1433"/>
    </row>
    <row r="8" spans="1:8" s="43" customFormat="1" ht="15.95" customHeight="1">
      <c r="A8" s="35"/>
      <c r="B8" s="1433"/>
      <c r="C8" s="1433"/>
      <c r="D8" s="1433"/>
      <c r="E8" s="1433"/>
      <c r="F8" s="1433"/>
      <c r="G8" s="1433"/>
      <c r="H8" s="1433"/>
    </row>
    <row r="9" spans="1:8" s="43" customFormat="1" ht="15.95" customHeight="1">
      <c r="A9" s="35"/>
      <c r="B9" s="1433"/>
      <c r="C9" s="1433"/>
      <c r="D9" s="1433"/>
      <c r="E9" s="1433"/>
      <c r="F9" s="1433"/>
      <c r="G9" s="1433"/>
      <c r="H9" s="1433"/>
    </row>
    <row r="10" spans="1:8" ht="15.95" customHeight="1">
      <c r="B10" s="24"/>
    </row>
    <row r="11" spans="1:8" s="361" customFormat="1" ht="24.75" customHeight="1">
      <c r="A11" s="1355"/>
      <c r="B11" s="436" t="s">
        <v>4512</v>
      </c>
      <c r="C11" s="434" t="s">
        <v>544</v>
      </c>
      <c r="D11" s="434" t="s">
        <v>360</v>
      </c>
      <c r="E11" s="434" t="s">
        <v>389</v>
      </c>
      <c r="F11" s="434" t="s">
        <v>4530</v>
      </c>
      <c r="H11" s="391" t="s">
        <v>4568</v>
      </c>
    </row>
    <row r="12" spans="1:8" ht="15.95" customHeight="1">
      <c r="B12" s="44" t="s">
        <v>3949</v>
      </c>
      <c r="C12" s="260">
        <f>VLOOKUP(B12,'Country Summary (€)'!B:J,3,0)</f>
        <v>24.263894000736109</v>
      </c>
      <c r="D12" s="260">
        <f>VLOOKUP(B12,'Country Summary (€)'!B:J,4,0)</f>
        <v>3.5981956128082446</v>
      </c>
      <c r="E12" s="260">
        <f>VLOOKUP(B12,'Country Summary (€)'!B:J,5,0)</f>
        <v>42.836768494663232</v>
      </c>
      <c r="F12" s="260">
        <f>VLOOKUP(B12,'Country Summary (€)'!B:J,6,0)</f>
        <v>70.698858108207588</v>
      </c>
    </row>
    <row r="13" spans="1:8" ht="15.95" customHeight="1">
      <c r="B13" s="39" t="s">
        <v>4569</v>
      </c>
      <c r="C13" s="260">
        <f>VLOOKUP(B13,'Aggregates by Country Group'!B:F,2,0)</f>
        <v>27.322500000000002</v>
      </c>
      <c r="D13" s="260">
        <f>VLOOKUP(B13,'Aggregates by Country Group'!B:F,3,0)</f>
        <v>2.14</v>
      </c>
      <c r="E13" s="260">
        <f>VLOOKUP(B13,'Aggregates by Country Group'!B:F,4,0)</f>
        <v>5.6</v>
      </c>
      <c r="F13" s="260">
        <f>VLOOKUP(B13,'Aggregates by Country Group'!B:F,5,0)</f>
        <v>35.0625</v>
      </c>
    </row>
    <row r="14" spans="1:8" ht="15.95" customHeight="1">
      <c r="B14" s="44" t="s">
        <v>3748</v>
      </c>
      <c r="C14" s="260">
        <f>VLOOKUP(B14,'Country Summary (€)'!B:J,3,0)</f>
        <v>3.8866162922313756</v>
      </c>
      <c r="D14" s="260">
        <f>VLOOKUP(B14,'Country Summary (€)'!B:J,4,0)</f>
        <v>0.26985659464374639</v>
      </c>
      <c r="E14" s="260">
        <f>VLOOKUP(B14,'Country Summary (€)'!B:J,5,0)</f>
        <v>6.5786757252947297</v>
      </c>
      <c r="F14" s="260">
        <f>VLOOKUP(B14,'Country Summary (€)'!B:J,6,0)</f>
        <v>10.735148612169851</v>
      </c>
    </row>
    <row r="15" spans="1:8" ht="15.95" customHeight="1">
      <c r="B15" s="44" t="s">
        <v>1711</v>
      </c>
      <c r="C15" s="260">
        <f>VLOOKUP(B15,'Country Summary (€)'!B:J,3,0)</f>
        <v>1.3</v>
      </c>
      <c r="D15" s="260">
        <f>VLOOKUP(B15,'Country Summary (€)'!B:J,4,0)</f>
        <v>1.8791060500000001</v>
      </c>
      <c r="E15" s="260">
        <f>VLOOKUP(B15,'Country Summary (€)'!B:J,5,0)</f>
        <v>7.5023</v>
      </c>
      <c r="F15" s="260">
        <f>VLOOKUP(B15,'Country Summary (€)'!B:J,6,0)</f>
        <v>10.68140605</v>
      </c>
    </row>
    <row r="16" spans="1:8" ht="15.95" customHeight="1">
      <c r="B16" s="44" t="s">
        <v>2312</v>
      </c>
      <c r="C16" s="260">
        <f>VLOOKUP(B16,'Country Summary (€)'!B:J,3,0)</f>
        <v>5.5866304747883699</v>
      </c>
      <c r="D16" s="260">
        <f>VLOOKUP(B16,'Country Summary (€)'!B:J,4,0)</f>
        <v>1.0007732517482517</v>
      </c>
      <c r="E16" s="260">
        <f>VLOOKUP(B16,'Country Summary (€)'!B:J,5,0)</f>
        <v>2.9860139860139859E-2</v>
      </c>
      <c r="F16" s="260">
        <f>VLOOKUP(B16,'Country Summary (€)'!B:J,6,0)</f>
        <v>6.6172638663967609</v>
      </c>
    </row>
    <row r="17" spans="2:6" ht="15.95" customHeight="1">
      <c r="B17" s="44" t="s">
        <v>713</v>
      </c>
      <c r="C17" s="260">
        <f>VLOOKUP(B17,'Country Summary (€)'!B:J,3,0)</f>
        <v>3.4181925057648148</v>
      </c>
      <c r="D17" s="260">
        <f>VLOOKUP(B17,'Country Summary (€)'!B:J,4,0)</f>
        <v>0.3511268468713829</v>
      </c>
      <c r="E17" s="260">
        <f>VLOOKUP(B17,'Country Summary (€)'!B:J,5,0)</f>
        <v>1.4998221822208855</v>
      </c>
      <c r="F17" s="260">
        <f>VLOOKUP(B17,'Country Summary (€)'!B:J,6,0)</f>
        <v>5.2691415348570834</v>
      </c>
    </row>
    <row r="18" spans="2:6" ht="15.95" customHeight="1">
      <c r="B18" s="44" t="s">
        <v>2989</v>
      </c>
      <c r="C18" s="260">
        <f>VLOOKUP(B18,'Country Summary (€)'!B:J,3,0)</f>
        <v>0.92674858941155414</v>
      </c>
      <c r="D18" s="260">
        <f>VLOOKUP(B18,'Country Summary (€)'!B:J,4,0)</f>
        <v>0.33987242236276521</v>
      </c>
      <c r="E18" s="260">
        <f>VLOOKUP(B18,'Country Summary (€)'!B:J,5,0)</f>
        <v>3</v>
      </c>
      <c r="F18" s="260">
        <f>VLOOKUP(B18,'Country Summary (€)'!B:J,6,0)</f>
        <v>4.2666210117743191</v>
      </c>
    </row>
    <row r="19" spans="2:6" ht="15.95" customHeight="1">
      <c r="B19" s="44" t="s">
        <v>2693</v>
      </c>
      <c r="C19" s="260">
        <f>VLOOKUP(B19,'Country Summary (€)'!B:J,3,0)</f>
        <v>0.99282278248067724</v>
      </c>
      <c r="D19" s="260">
        <f>VLOOKUP(B19,'Country Summary (€)'!B:J,4,0)</f>
        <v>0.58681891792418106</v>
      </c>
      <c r="E19" s="260">
        <f>VLOOKUP(B19,'Country Summary (€)'!B:J,5,0)</f>
        <v>2.4834999999999998</v>
      </c>
      <c r="F19" s="260">
        <f>VLOOKUP(B19,'Country Summary (€)'!B:J,6,0)</f>
        <v>4.0631417004048576</v>
      </c>
    </row>
    <row r="20" spans="2:6" ht="15.95" customHeight="1">
      <c r="B20" s="40" t="s">
        <v>2882</v>
      </c>
      <c r="C20" s="260">
        <f>VLOOKUP(B20,'Country Summary (€)'!B:J,3,0)</f>
        <v>0.88724111480439782</v>
      </c>
      <c r="D20" s="260">
        <f>VLOOKUP(B20,'Country Summary (€)'!B:J,4,0)</f>
        <v>0.1888046003579647</v>
      </c>
      <c r="E20" s="260">
        <f>VLOOKUP(B20,'Country Summary (€)'!B:J,5,0)</f>
        <v>1.0133810619619874</v>
      </c>
      <c r="F20" s="260">
        <f>VLOOKUP(B20,'Country Summary (€)'!B:J,6,0)</f>
        <v>2.0894267771243502</v>
      </c>
    </row>
    <row r="21" spans="2:6" ht="15.95" customHeight="1">
      <c r="B21" s="44" t="s">
        <v>1194</v>
      </c>
      <c r="C21" s="260">
        <f>VLOOKUP(B21,'Country Summary (€)'!B:J,3,0)</f>
        <v>5.7500000000000002E-2</v>
      </c>
      <c r="D21" s="260">
        <f>VLOOKUP(B21,'Country Summary (€)'!B:J,4,0)</f>
        <v>0.26024304222326644</v>
      </c>
      <c r="E21" s="260">
        <f>VLOOKUP(B21,'Country Summary (€)'!B:J,5,0)</f>
        <v>1.5690784453245619</v>
      </c>
      <c r="F21" s="260">
        <f>VLOOKUP(B21,'Country Summary (€)'!B:J,6,0)</f>
        <v>1.8868214875478282</v>
      </c>
    </row>
    <row r="22" spans="2:6" ht="15.95" customHeight="1">
      <c r="B22" s="44" t="s">
        <v>3548</v>
      </c>
      <c r="C22" s="260">
        <f>VLOOKUP(B22,'Country Summary (€)'!B:J,3,0)</f>
        <v>0.19906842957504756</v>
      </c>
      <c r="D22" s="260">
        <f>VLOOKUP(B22,'Country Summary (€)'!B:J,4,0)</f>
        <v>0.14222605672350075</v>
      </c>
      <c r="E22" s="260">
        <f>VLOOKUP(B22,'Country Summary (€)'!B:J,5,0)</f>
        <v>1.4866003500532117</v>
      </c>
      <c r="F22" s="260">
        <f>VLOOKUP(B22,'Country Summary (€)'!B:J,6,0)</f>
        <v>1.82789483635176</v>
      </c>
    </row>
    <row r="23" spans="2:6" ht="15.95" customHeight="1">
      <c r="B23" s="44" t="s">
        <v>1523</v>
      </c>
      <c r="C23" s="260">
        <f>VLOOKUP(B23,'Country Summary (€)'!B:J,3,0)</f>
        <v>0.69940000000000002</v>
      </c>
      <c r="D23" s="260">
        <f>VLOOKUP(B23,'Country Summary (€)'!B:J,4,0)</f>
        <v>0.3162660251048951</v>
      </c>
      <c r="E23" s="260">
        <f>VLOOKUP(B23,'Country Summary (€)'!B:J,5,0)</f>
        <v>0.44573671433132461</v>
      </c>
      <c r="F23" s="260">
        <f>VLOOKUP(B23,'Country Summary (€)'!B:J,6,0)</f>
        <v>1.4614027394362197</v>
      </c>
    </row>
    <row r="24" spans="2:6" ht="15.95" customHeight="1">
      <c r="B24" s="44" t="s">
        <v>2204</v>
      </c>
      <c r="C24" s="260">
        <f>VLOOKUP(B24,'Country Summary (€)'!B:J,3,0)</f>
        <v>0.41</v>
      </c>
      <c r="D24" s="260">
        <f>VLOOKUP(B24,'Country Summary (€)'!B:J,4,0)</f>
        <v>0.2213535931174089</v>
      </c>
      <c r="E24" s="260">
        <f>VLOOKUP(B24,'Country Summary (€)'!B:J,5,0)</f>
        <v>0.71296199986253783</v>
      </c>
      <c r="F24" s="260">
        <f>VLOOKUP(B24,'Country Summary (€)'!B:J,6,0)</f>
        <v>1.3443155929799468</v>
      </c>
    </row>
    <row r="25" spans="2:6" ht="15.95" customHeight="1">
      <c r="B25" s="44" t="s">
        <v>1432</v>
      </c>
      <c r="C25" s="260">
        <f>VLOOKUP(B25,'Country Summary (€)'!B:J,3,0)</f>
        <v>7.5499999999999998E-2</v>
      </c>
      <c r="D25" s="260">
        <f>VLOOKUP(B25,'Country Summary (€)'!B:J,4,0)</f>
        <v>2.3E-2</v>
      </c>
      <c r="E25" s="260">
        <f>VLOOKUP(B25,'Country Summary (€)'!B:J,5,0)</f>
        <v>1.1147</v>
      </c>
      <c r="F25" s="260">
        <f>VLOOKUP(B25,'Country Summary (€)'!B:J,6,0)</f>
        <v>1.2132000000000001</v>
      </c>
    </row>
    <row r="26" spans="2:6" ht="15.95" customHeight="1">
      <c r="B26" s="44" t="s">
        <v>1012</v>
      </c>
      <c r="C26" s="260">
        <f>VLOOKUP(B26,'Country Summary (€)'!B:J,3,0)</f>
        <v>0</v>
      </c>
      <c r="D26" s="260">
        <f>VLOOKUP(B26,'Country Summary (€)'!B:J,4,0)</f>
        <v>0.37011219482272112</v>
      </c>
      <c r="E26" s="260">
        <f>VLOOKUP(B26,'Country Summary (€)'!B:J,5,0)</f>
        <v>0.56546297988460215</v>
      </c>
      <c r="F26" s="260">
        <f>VLOOKUP(B26,'Country Summary (€)'!B:J,6,0)</f>
        <v>0.93557517470732332</v>
      </c>
    </row>
    <row r="27" spans="2:6" ht="15.95" customHeight="1">
      <c r="B27" s="44" t="s">
        <v>454</v>
      </c>
      <c r="C27" s="260">
        <f>VLOOKUP(B27,'Country Summary (€)'!B:J,3,0)</f>
        <v>0.04</v>
      </c>
      <c r="D27" s="260">
        <f>VLOOKUP(B27,'Country Summary (€)'!B:J,4,0)</f>
        <v>0.82266856780677222</v>
      </c>
      <c r="E27" s="260">
        <f>VLOOKUP(B27,'Country Summary (€)'!B:J,5,0)</f>
        <v>3.3008594497607653E-3</v>
      </c>
      <c r="F27" s="260">
        <f>VLOOKUP(B27,'Country Summary (€)'!B:J,6,0)</f>
        <v>0.86596942725653303</v>
      </c>
    </row>
    <row r="28" spans="2:6" ht="15.95" customHeight="1">
      <c r="B28" s="44" t="s">
        <v>3412</v>
      </c>
      <c r="C28" s="260">
        <f>VLOOKUP(B28,'Country Summary (€)'!B:J,3,0)</f>
        <v>0.45419999999999999</v>
      </c>
      <c r="D28" s="260">
        <f>VLOOKUP(B28,'Country Summary (€)'!B:J,4,0)</f>
        <v>5.2958190509385356E-2</v>
      </c>
      <c r="E28" s="260">
        <f>VLOOKUP(B28,'Country Summary (€)'!B:J,5,0)</f>
        <v>0.3283765566618333</v>
      </c>
      <c r="F28" s="260">
        <f>VLOOKUP(B28,'Country Summary (€)'!B:J,6,0)</f>
        <v>0.83553474717121867</v>
      </c>
    </row>
    <row r="29" spans="2:6" ht="15.95" customHeight="1">
      <c r="B29" s="44" t="s">
        <v>3261</v>
      </c>
      <c r="C29" s="260">
        <f>VLOOKUP(B29,'Country Summary (€)'!B:J,3,0)</f>
        <v>0</v>
      </c>
      <c r="D29" s="260">
        <f>VLOOKUP(B29,'Country Summary (€)'!B:J,4,0)</f>
        <v>8.9999999999999993E-3</v>
      </c>
      <c r="E29" s="260">
        <f>VLOOKUP(B29,'Country Summary (€)'!B:J,5,0)</f>
        <v>0.66799999980934854</v>
      </c>
      <c r="F29" s="260">
        <f>VLOOKUP(B29,'Country Summary (€)'!B:J,6,0)</f>
        <v>0.67699999980934855</v>
      </c>
    </row>
    <row r="30" spans="2:6" ht="15.95" customHeight="1">
      <c r="B30" s="40" t="s">
        <v>3162</v>
      </c>
      <c r="C30" s="260">
        <f>VLOOKUP(B30,'Country Summary (€)'!B:J,3,0)</f>
        <v>0.39565697460434307</v>
      </c>
      <c r="D30" s="260">
        <f>VLOOKUP(B30,'Country Summary (€)'!B:J,4,0)</f>
        <v>0.21163047478836949</v>
      </c>
      <c r="E30" s="260">
        <f>VLOOKUP(B30,'Country Summary (€)'!B:J,5,0)</f>
        <v>3.2940743467059263E-3</v>
      </c>
      <c r="F30" s="260">
        <f>VLOOKUP(B30,'Country Summary (€)'!B:J,6,0)</f>
        <v>0.61058152373941843</v>
      </c>
    </row>
    <row r="31" spans="2:6" ht="15.95" customHeight="1">
      <c r="B31" s="44" t="s">
        <v>2488</v>
      </c>
      <c r="C31" s="260">
        <f>VLOOKUP(B31,'Country Summary (€)'!B:J,3,0)</f>
        <v>0.03</v>
      </c>
      <c r="D31" s="260">
        <f>VLOOKUP(B31,'Country Summary (€)'!B:J,4,0)</f>
        <v>6.0999999999999999E-2</v>
      </c>
      <c r="E31" s="260">
        <f>VLOOKUP(B31,'Country Summary (€)'!B:J,5,0)</f>
        <v>0.49099999999999999</v>
      </c>
      <c r="F31" s="260">
        <f>VLOOKUP(B31,'Country Summary (€)'!B:J,6,0)</f>
        <v>0.58199999999999996</v>
      </c>
    </row>
    <row r="32" spans="2:6" ht="15.95" customHeight="1">
      <c r="B32" s="44" t="s">
        <v>558</v>
      </c>
      <c r="C32" s="260">
        <f>VLOOKUP(B32,'Country Summary (€)'!B:J,3,0)</f>
        <v>1.6060000000000001E-2</v>
      </c>
      <c r="D32" s="260">
        <f>VLOOKUP(B32,'Country Summary (€)'!B:J,4,0)</f>
        <v>8.9630000000000001E-2</v>
      </c>
      <c r="E32" s="260">
        <f>VLOOKUP(B32,'Country Summary (€)'!B:J,5,0)</f>
        <v>0.38505152839999995</v>
      </c>
      <c r="F32" s="260">
        <f>VLOOKUP(B32,'Country Summary (€)'!B:J,6,0)</f>
        <v>0.49074152839999996</v>
      </c>
    </row>
    <row r="33" spans="2:10" ht="15.95" customHeight="1">
      <c r="B33" s="44" t="s">
        <v>1305</v>
      </c>
      <c r="C33" s="260">
        <f>VLOOKUP(B33,'Country Summary (€)'!B:J,3,0)</f>
        <v>0</v>
      </c>
      <c r="D33" s="260">
        <f>VLOOKUP(B33,'Country Summary (€)'!B:J,4,0)</f>
        <v>1.01E-2</v>
      </c>
      <c r="E33" s="260">
        <f>VLOOKUP(B33,'Country Summary (€)'!B:J,5,0)</f>
        <v>0.42129430000000001</v>
      </c>
      <c r="F33" s="260">
        <f>VLOOKUP(B33,'Country Summary (€)'!B:J,6,0)</f>
        <v>0.43139430000000001</v>
      </c>
    </row>
    <row r="34" spans="2:10" ht="15.95" customHeight="1">
      <c r="B34" s="40" t="s">
        <v>359</v>
      </c>
      <c r="C34" s="260">
        <f>VLOOKUP(B34,'Country Summary (€)'!B:J,3,0)</f>
        <v>0</v>
      </c>
      <c r="D34" s="260">
        <f>VLOOKUP(B34,'Country Summary (€)'!B:J,4,0)</f>
        <v>6.5214731432766418E-2</v>
      </c>
      <c r="E34" s="260">
        <f>VLOOKUP(B34,'Country Summary (€)'!B:J,5,0)</f>
        <v>0.35868102288021536</v>
      </c>
      <c r="F34" s="260">
        <f>VLOOKUP(B34,'Country Summary (€)'!B:J,6,0)</f>
        <v>0.42389575431298177</v>
      </c>
    </row>
    <row r="35" spans="2:10" ht="15.95" customHeight="1">
      <c r="B35" s="44" t="s">
        <v>2392</v>
      </c>
      <c r="C35" s="260">
        <f>VLOOKUP(B35,'Country Summary (€)'!B:J,3,0)</f>
        <v>2.5000000000000001E-2</v>
      </c>
      <c r="D35" s="260">
        <f>VLOOKUP(B35,'Country Summary (€)'!B:J,4,0)</f>
        <v>5.158735482E-3</v>
      </c>
      <c r="E35" s="260">
        <f>VLOOKUP(B35,'Country Summary (€)'!B:J,5,0)</f>
        <v>0.37</v>
      </c>
      <c r="F35" s="260">
        <f>VLOOKUP(B35,'Country Summary (€)'!B:J,6,0)</f>
        <v>0.40015873548199998</v>
      </c>
    </row>
    <row r="36" spans="2:10" ht="15.95" customHeight="1">
      <c r="B36" s="40" t="s">
        <v>3649</v>
      </c>
      <c r="C36" s="260">
        <f>VLOOKUP(B36,'Country Summary (€)'!B:J,3,0)</f>
        <v>3.8970362014152396E-2</v>
      </c>
      <c r="D36" s="260">
        <f>VLOOKUP(B36,'Country Summary (€)'!B:J,4,0)</f>
        <v>0.35155368680135374</v>
      </c>
      <c r="E36" s="260">
        <f>VLOOKUP(B36,'Country Summary (€)'!B:J,5,0)</f>
        <v>0</v>
      </c>
      <c r="F36" s="260">
        <f>VLOOKUP(B36,'Country Summary (€)'!B:J,6,0)</f>
        <v>0.39052404881550612</v>
      </c>
    </row>
    <row r="37" spans="2:10" ht="15.95" customHeight="1">
      <c r="B37" s="44" t="s">
        <v>3079</v>
      </c>
      <c r="C37" s="260">
        <f>VLOOKUP(B37,'Country Summary (€)'!B:J,3,0)</f>
        <v>0.25</v>
      </c>
      <c r="D37" s="260">
        <f>VLOOKUP(B37,'Country Summary (€)'!B:J,4,0)</f>
        <v>1.7054655870445343E-3</v>
      </c>
      <c r="E37" s="260">
        <f>VLOOKUP(B37,'Country Summary (€)'!B:J,5,0)</f>
        <v>7.5487033291490521E-2</v>
      </c>
      <c r="F37" s="260">
        <f>VLOOKUP(B37,'Country Summary (€)'!B:J,6,0)</f>
        <v>0.32719249887853508</v>
      </c>
    </row>
    <row r="38" spans="2:10" ht="15.95" customHeight="1">
      <c r="B38" s="39" t="s">
        <v>673</v>
      </c>
      <c r="C38" s="260">
        <f>VLOOKUP(B38,'Country Summary (€)'!B:J,3,0)</f>
        <v>0</v>
      </c>
      <c r="D38" s="260">
        <f>VLOOKUP(B38,'Country Summary (€)'!B:J,4,0)</f>
        <v>7.0600000000000003E-4</v>
      </c>
      <c r="E38" s="260">
        <f>VLOOKUP(B38,'Country Summary (€)'!B:J,5,0)</f>
        <v>0.23928827078433376</v>
      </c>
      <c r="F38" s="260">
        <f>VLOOKUP(B38,'Country Summary (€)'!B:J,6,0)</f>
        <v>0.23999427078433377</v>
      </c>
    </row>
    <row r="39" spans="2:10" ht="15.95" customHeight="1">
      <c r="B39" s="44" t="s">
        <v>918</v>
      </c>
      <c r="C39" s="260">
        <f>VLOOKUP(B39,'Country Summary (€)'!B:J,3,0)</f>
        <v>0</v>
      </c>
      <c r="D39" s="260">
        <f>VLOOKUP(B39,'Country Summary (€)'!B:J,4,0)</f>
        <v>3.7212078660477453E-2</v>
      </c>
      <c r="E39" s="260">
        <f>VLOOKUP(B39,'Country Summary (€)'!B:J,5,0)</f>
        <v>0.15278792179361764</v>
      </c>
      <c r="F39" s="260">
        <f>VLOOKUP(B39,'Country Summary (€)'!B:J,6,0)</f>
        <v>0.1900000004540951</v>
      </c>
    </row>
    <row r="40" spans="2:10" ht="15.95" customHeight="1">
      <c r="B40" s="44" t="s">
        <v>1973</v>
      </c>
      <c r="C40" s="260">
        <f>VLOOKUP(B40,'Country Summary (€)'!B:J,3,0)</f>
        <v>0</v>
      </c>
      <c r="D40" s="260">
        <f>VLOOKUP(B40,'Country Summary (€)'!B:J,4,0)</f>
        <v>0</v>
      </c>
      <c r="E40" s="260">
        <f>VLOOKUP(B40,'Country Summary (€)'!B:J,5,0)</f>
        <v>0.18684970463746781</v>
      </c>
      <c r="F40" s="260">
        <f>VLOOKUP(B40,'Country Summary (€)'!B:J,6,0)</f>
        <v>0.18684970463746781</v>
      </c>
    </row>
    <row r="41" spans="2:10" ht="15.95" customHeight="1">
      <c r="B41" s="44" t="s">
        <v>3214</v>
      </c>
      <c r="C41" s="260">
        <f>VLOOKUP(B41,'Country Summary (€)'!B:J,3,0)</f>
        <v>0</v>
      </c>
      <c r="D41" s="260">
        <f>VLOOKUP(B41,'Country Summary (€)'!B:J,4,0)</f>
        <v>0.12215739044124546</v>
      </c>
      <c r="E41" s="260">
        <f>VLOOKUP(B41,'Country Summary (€)'!B:J,5,0)</f>
        <v>3.7637099742362898E-3</v>
      </c>
      <c r="F41" s="260">
        <f>VLOOKUP(B41,'Country Summary (€)'!B:J,6,0)</f>
        <v>0.12592110041548174</v>
      </c>
    </row>
    <row r="42" spans="2:10" ht="15.95" customHeight="1">
      <c r="B42" s="44" t="s">
        <v>3337</v>
      </c>
      <c r="C42" s="260">
        <f>VLOOKUP(B42,'Country Summary (€)'!B:J,3,0)</f>
        <v>0</v>
      </c>
      <c r="D42" s="260">
        <f>VLOOKUP(B42,'Country Summary (€)'!B:J,4,0)</f>
        <v>4.7347009996319472E-3</v>
      </c>
      <c r="E42" s="260">
        <f>VLOOKUP(B42,'Country Summary (€)'!B:J,5,0)</f>
        <v>5.6390898987854259E-2</v>
      </c>
      <c r="F42" s="260">
        <f>VLOOKUP(B42,'Country Summary (€)'!B:J,6,0)</f>
        <v>6.1125599987486207E-2</v>
      </c>
    </row>
    <row r="43" spans="2:10" ht="15.95" customHeight="1">
      <c r="B43" s="44" t="s">
        <v>2625</v>
      </c>
      <c r="C43" s="260">
        <f>VLOOKUP(B43,'Country Summary (€)'!B:J,3,0)</f>
        <v>0</v>
      </c>
      <c r="D43" s="260">
        <f>VLOOKUP(B43,'Country Summary (€)'!B:J,4,0)</f>
        <v>4.032E-3</v>
      </c>
      <c r="E43" s="260">
        <f>VLOOKUP(B43,'Country Summary (€)'!B:J,5,0)</f>
        <v>9.1600000000000001E-2</v>
      </c>
      <c r="F43" s="260">
        <f>VLOOKUP(B43,'Country Summary (€)'!B:J,6,0)</f>
        <v>9.5631999999999995E-2</v>
      </c>
    </row>
    <row r="44" spans="2:10" ht="15.95" customHeight="1">
      <c r="B44" s="44" t="s">
        <v>2096</v>
      </c>
      <c r="C44" s="260">
        <f>VLOOKUP(B44,'Country Summary (€)'!B:J,3,0)</f>
        <v>2.5000000000000001E-2</v>
      </c>
      <c r="D44" s="260">
        <f>VLOOKUP(B44,'Country Summary (€)'!B:J,4,0)</f>
        <v>6.1557853882959139E-2</v>
      </c>
      <c r="E44" s="260">
        <f>VLOOKUP(B44,'Country Summary (€)'!B:J,5,0)</f>
        <v>3.8500000000000001E-3</v>
      </c>
      <c r="F44" s="260">
        <f>VLOOKUP(B44,'Country Summary (€)'!B:J,6,0)</f>
        <v>9.0407853882959147E-2</v>
      </c>
    </row>
    <row r="45" spans="2:10" ht="15.95" customHeight="1">
      <c r="B45" s="40" t="s">
        <v>3685</v>
      </c>
      <c r="C45" s="260">
        <f>VLOOKUP(B45,'Country Summary (€)'!B:J,3,0)</f>
        <v>0</v>
      </c>
      <c r="D45" s="260">
        <f>VLOOKUP(B45,'Country Summary (€)'!B:J,4,0)</f>
        <v>4.6114114832535892E-3</v>
      </c>
      <c r="E45" s="260">
        <f>VLOOKUP(B45,'Country Summary (€)'!B:J,5,0)</f>
        <v>6.1735369893264627E-2</v>
      </c>
      <c r="F45" s="260">
        <f>VLOOKUP(B45,'Country Summary (€)'!B:J,6,0)</f>
        <v>6.6346781376518213E-2</v>
      </c>
    </row>
    <row r="46" spans="2:10" ht="15.95" customHeight="1">
      <c r="B46" s="39" t="s">
        <v>3713</v>
      </c>
      <c r="C46" s="260">
        <f>VLOOKUP(B46,'Country Summary (€)'!B:J,3,0)</f>
        <v>0</v>
      </c>
      <c r="D46" s="260">
        <f>VLOOKUP(B46,'Country Summary (€)'!B:J,4,0)</f>
        <v>6.3029076186970928E-2</v>
      </c>
      <c r="E46" s="260">
        <f>VLOOKUP(B46,'Country Summary (€)'!B:J,5,0)</f>
        <v>0</v>
      </c>
      <c r="F46" s="260">
        <f>VLOOKUP(B46,'Country Summary (€)'!B:J,6,0)</f>
        <v>6.3029076186970928E-2</v>
      </c>
    </row>
    <row r="47" spans="2:10" ht="15.95" customHeight="1">
      <c r="B47" s="44" t="s">
        <v>2028</v>
      </c>
      <c r="C47" s="260">
        <f>VLOOKUP(B47,'Country Summary (€)'!B:J,3,0)</f>
        <v>0</v>
      </c>
      <c r="D47" s="260">
        <f>VLOOKUP(B47,'Country Summary (€)'!B:J,4,0)</f>
        <v>4.7109803475361152E-2</v>
      </c>
      <c r="E47" s="260">
        <f>VLOOKUP(B47,'Country Summary (€)'!B:J,5,0)</f>
        <v>0</v>
      </c>
      <c r="F47" s="260">
        <f>VLOOKUP(B47,'Country Summary (€)'!B:J,6,0)</f>
        <v>4.7109803475361152E-2</v>
      </c>
      <c r="I47" s="45"/>
      <c r="J47" s="45"/>
    </row>
    <row r="48" spans="2:10" ht="15.95" customHeight="1">
      <c r="B48" s="44" t="s">
        <v>2139</v>
      </c>
      <c r="C48" s="260">
        <f>VLOOKUP(B48,'Country Summary (€)'!B:J,3,0)</f>
        <v>9.4038678806406591E-3</v>
      </c>
      <c r="D48" s="260">
        <f>VLOOKUP(B48,'Country Summary (€)'!B:J,4,0)</f>
        <v>1.1032099421811657E-2</v>
      </c>
      <c r="E48" s="260">
        <f>VLOOKUP(B48,'Country Summary (€)'!B:J,5,0)</f>
        <v>9.1497376714291794E-3</v>
      </c>
      <c r="F48" s="260">
        <f>VLOOKUP(B48,'Country Summary (€)'!B:J,6,0)</f>
        <v>2.9585704973881494E-2</v>
      </c>
      <c r="H48" s="45"/>
      <c r="I48" s="45"/>
      <c r="J48" s="45"/>
    </row>
    <row r="49" spans="1:14" ht="15.95" customHeight="1">
      <c r="B49" s="40" t="s">
        <v>2832</v>
      </c>
      <c r="C49" s="260">
        <f>VLOOKUP(B49,'Country Summary (€)'!B:J,3,0)</f>
        <v>0</v>
      </c>
      <c r="D49" s="260">
        <f>VLOOKUP(B49,'Country Summary (€)'!B:J,4,0)</f>
        <v>6.0065213660545728E-3</v>
      </c>
      <c r="E49" s="260">
        <f>VLOOKUP(B49,'Country Summary (€)'!B:J,5,0)</f>
        <v>1.9192265888679141E-2</v>
      </c>
      <c r="F49" s="260">
        <f>VLOOKUP(B49,'Country Summary (€)'!B:J,6,0)</f>
        <v>2.5198787254733714E-2</v>
      </c>
      <c r="H49" s="45"/>
      <c r="I49" s="45"/>
      <c r="J49" s="45"/>
    </row>
    <row r="50" spans="1:14" ht="15.95" customHeight="1">
      <c r="B50" s="44" t="s">
        <v>981</v>
      </c>
      <c r="C50" s="260">
        <f>VLOOKUP(B50,'Country Summary (€)'!B:J,3,0)</f>
        <v>0</v>
      </c>
      <c r="D50" s="260">
        <f>VLOOKUP(B50,'Country Summary (€)'!B:J,4,0)</f>
        <v>3.0000000000000001E-3</v>
      </c>
      <c r="E50" s="260">
        <f>VLOOKUP(B50,'Country Summary (€)'!B:J,5,0)</f>
        <v>0</v>
      </c>
      <c r="F50" s="260">
        <f>VLOOKUP(B50,'Country Summary (€)'!B:J,6,0)</f>
        <v>3.0000000000000001E-3</v>
      </c>
      <c r="H50" s="45"/>
      <c r="I50" s="45"/>
      <c r="J50" s="45"/>
    </row>
    <row r="51" spans="1:14" ht="15.95" customHeight="1">
      <c r="B51" s="39" t="s">
        <v>905</v>
      </c>
      <c r="C51" s="260">
        <f>VLOOKUP(B51,'Country Summary (€)'!B:J,3,0)</f>
        <v>0</v>
      </c>
      <c r="D51" s="260">
        <f>VLOOKUP(B51,'Country Summary (€)'!B:J,4,0)</f>
        <v>2.1750355506399113E-3</v>
      </c>
      <c r="E51" s="260">
        <f>VLOOKUP(B51,'Country Summary (€)'!B:J,5,0)</f>
        <v>0</v>
      </c>
      <c r="F51" s="260">
        <f>VLOOKUP(B51,'Country Summary (€)'!B:J,6,0)</f>
        <v>2.1750355506399113E-3</v>
      </c>
    </row>
    <row r="52" spans="1:14" ht="15.95" customHeight="1">
      <c r="B52" s="44" t="s">
        <v>2678</v>
      </c>
      <c r="C52" s="260">
        <f>VLOOKUP(B52,'Country Summary (€)'!B:J,3,0)</f>
        <v>0</v>
      </c>
      <c r="D52" s="260">
        <f>VLOOKUP(B52,'Country Summary (€)'!B:J,4,0)</f>
        <v>2.0699999999999998E-3</v>
      </c>
      <c r="E52" s="260">
        <f>VLOOKUP(B52,'Country Summary (€)'!B:J,5,0)</f>
        <v>0</v>
      </c>
      <c r="F52" s="260">
        <f>VLOOKUP(B52,'Country Summary (€)'!B:J,6,0)</f>
        <v>2.0699999999999998E-3</v>
      </c>
      <c r="I52" s="1441"/>
      <c r="J52" s="1441"/>
      <c r="K52" s="1441"/>
    </row>
    <row r="53" spans="1:14" s="43" customFormat="1" ht="15.95" customHeight="1">
      <c r="A53" s="2"/>
      <c r="B53" s="811" t="s">
        <v>2076</v>
      </c>
      <c r="C53" s="389">
        <f>VLOOKUP(B53,'Country Summary (€)'!B:J,3,0)</f>
        <v>0</v>
      </c>
      <c r="D53" s="389">
        <f>VLOOKUP(B53,'Country Summary (€)'!B:J,4,0)</f>
        <v>1.7917280088332722E-3</v>
      </c>
      <c r="E53" s="389">
        <f>VLOOKUP(B53,'Country Summary (€)'!B:J,5,0)</f>
        <v>0</v>
      </c>
      <c r="F53" s="389">
        <f>VLOOKUP(B53,'Country Summary (€)'!B:J,6,0)</f>
        <v>1.7917280088332722E-3</v>
      </c>
      <c r="I53" s="1441"/>
      <c r="J53" s="1441"/>
      <c r="K53" s="1441"/>
    </row>
    <row r="54" spans="1:14" ht="15.95" customHeight="1">
      <c r="I54" s="1441"/>
      <c r="J54" s="1441"/>
      <c r="K54" s="1441"/>
    </row>
    <row r="55" spans="1:14" ht="15.95" customHeight="1">
      <c r="B55" s="257" t="s">
        <v>4530</v>
      </c>
      <c r="C55" s="257">
        <f>SUM(C12:C53)</f>
        <v>71.310405394291507</v>
      </c>
      <c r="D55" s="257">
        <f>SUM(D12:D53)</f>
        <v>13.739600760593257</v>
      </c>
      <c r="E55" s="257">
        <f>SUM(E12:E53)</f>
        <v>80.367941347927498</v>
      </c>
      <c r="F55" s="257">
        <f>SUM(F12:F53)</f>
        <v>165.41794750281215</v>
      </c>
    </row>
    <row r="56" spans="1:14" ht="15.95" customHeight="1">
      <c r="B56" s="47"/>
      <c r="C56" s="147"/>
    </row>
    <row r="57" spans="1:14" ht="15.95" customHeight="1">
      <c r="B57" s="48"/>
      <c r="C57" s="148"/>
    </row>
    <row r="58" spans="1:14" ht="15.95" customHeight="1">
      <c r="B58" s="48"/>
      <c r="C58" s="148"/>
    </row>
    <row r="59" spans="1:14" ht="15.95" customHeight="1">
      <c r="B59" s="48"/>
      <c r="C59" s="148"/>
    </row>
    <row r="60" spans="1:14" ht="15.95" customHeight="1">
      <c r="B60" s="48"/>
      <c r="C60" s="148"/>
    </row>
    <row r="61" spans="1:14" ht="15.95" customHeight="1">
      <c r="B61" s="48"/>
      <c r="C61" s="148"/>
    </row>
    <row r="62" spans="1:14" ht="15.95" customHeight="1">
      <c r="B62" s="48"/>
      <c r="C62" s="148"/>
      <c r="H62" s="1442"/>
      <c r="I62" s="1442"/>
      <c r="J62" s="1442"/>
      <c r="K62" s="1442"/>
      <c r="L62" s="1442"/>
      <c r="M62" s="1442"/>
      <c r="N62" s="1442"/>
    </row>
    <row r="63" spans="1:14" ht="15.95" customHeight="1">
      <c r="B63" s="48"/>
      <c r="C63" s="148"/>
      <c r="H63" s="1442"/>
      <c r="I63" s="1442"/>
      <c r="J63" s="1442"/>
      <c r="K63" s="1442"/>
      <c r="L63" s="1442"/>
      <c r="M63" s="1442"/>
      <c r="N63" s="1442"/>
    </row>
    <row r="64" spans="1:14" ht="15.95" customHeight="1">
      <c r="B64" s="48"/>
      <c r="C64" s="148"/>
      <c r="H64" s="1442"/>
      <c r="I64" s="1442"/>
      <c r="J64" s="1442"/>
      <c r="K64" s="1442"/>
      <c r="L64" s="1442"/>
      <c r="M64" s="1442"/>
      <c r="N64" s="1442"/>
    </row>
    <row r="65" spans="2:14" ht="15.95" customHeight="1">
      <c r="B65" s="48"/>
      <c r="C65" s="148"/>
      <c r="H65" s="1442"/>
      <c r="I65" s="1442"/>
      <c r="J65" s="1442"/>
      <c r="K65" s="1442"/>
      <c r="L65" s="1442"/>
      <c r="M65" s="1442"/>
      <c r="N65" s="1442"/>
    </row>
    <row r="66" spans="2:14" ht="15.95" customHeight="1">
      <c r="B66" s="48"/>
      <c r="C66" s="148"/>
      <c r="H66" s="1442"/>
      <c r="I66" s="1442"/>
      <c r="J66" s="1442"/>
      <c r="K66" s="1442"/>
      <c r="L66" s="1442"/>
      <c r="M66" s="1442"/>
      <c r="N66" s="1442"/>
    </row>
    <row r="67" spans="2:14" ht="15.95" customHeight="1">
      <c r="B67" s="48"/>
      <c r="C67" s="148"/>
    </row>
    <row r="68" spans="2:14" ht="15.95" customHeight="1">
      <c r="C68" s="148"/>
    </row>
  </sheetData>
  <autoFilter ref="B11:F11" xr:uid="{00000000-0001-0000-0800-000000000000}">
    <sortState xmlns:xlrd2="http://schemas.microsoft.com/office/spreadsheetml/2017/richdata2" ref="B12:F53">
      <sortCondition descending="1" ref="F11"/>
    </sortState>
  </autoFilter>
  <sortState xmlns:xlrd2="http://schemas.microsoft.com/office/spreadsheetml/2017/richdata2" ref="B12:F53">
    <sortCondition descending="1" ref="F12:F53"/>
  </sortState>
  <mergeCells count="3">
    <mergeCell ref="I52:K54"/>
    <mergeCell ref="H62:N66"/>
    <mergeCell ref="B4:H9"/>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K67"/>
  <sheetViews>
    <sheetView showGridLines="0" zoomScaleNormal="100" workbookViewId="0"/>
  </sheetViews>
  <sheetFormatPr defaultColWidth="8.625" defaultRowHeight="15.95" customHeight="1"/>
  <cols>
    <col min="1" max="1" width="8.625" style="2" customWidth="1"/>
    <col min="2" max="2" width="25.5" style="39" customWidth="1"/>
    <col min="3" max="3" width="30.125" style="49" customWidth="1"/>
    <col min="4" max="4" width="13.625" style="40" customWidth="1"/>
    <col min="5" max="16384" width="8.625" style="40"/>
  </cols>
  <sheetData>
    <row r="1" spans="1:11" s="35" customFormat="1" ht="15.95" customHeight="1">
      <c r="B1" s="39"/>
      <c r="C1" s="146"/>
    </row>
    <row r="2" spans="1:11" s="469" customFormat="1" ht="24.75" customHeight="1">
      <c r="A2" s="465"/>
      <c r="B2" s="391" t="s">
        <v>4570</v>
      </c>
      <c r="C2" s="468"/>
      <c r="D2" s="468"/>
      <c r="E2" s="468"/>
    </row>
    <row r="3" spans="1:11" s="43" customFormat="1" ht="15.95" customHeight="1">
      <c r="A3" s="35"/>
      <c r="B3" s="42"/>
      <c r="C3" s="145"/>
      <c r="D3" s="145"/>
      <c r="E3" s="145"/>
      <c r="G3" s="165"/>
    </row>
    <row r="4" spans="1:11" s="43" customFormat="1" ht="15.95" customHeight="1">
      <c r="A4" s="35"/>
      <c r="B4" s="1433" t="s">
        <v>4571</v>
      </c>
      <c r="C4" s="1433"/>
      <c r="D4" s="1433"/>
      <c r="E4" s="1433"/>
      <c r="F4" s="1433"/>
      <c r="G4" s="1433"/>
      <c r="H4" s="1433"/>
      <c r="I4" s="1433"/>
      <c r="J4" s="1433"/>
      <c r="K4" s="1433"/>
    </row>
    <row r="5" spans="1:11" s="43" customFormat="1" ht="15.95" customHeight="1">
      <c r="A5" s="35"/>
      <c r="B5" s="1433"/>
      <c r="C5" s="1433"/>
      <c r="D5" s="1433"/>
      <c r="E5" s="1433"/>
      <c r="F5" s="1433"/>
      <c r="G5" s="1433"/>
      <c r="H5" s="1433"/>
      <c r="I5" s="1433"/>
      <c r="J5" s="1433"/>
      <c r="K5" s="1433"/>
    </row>
    <row r="6" spans="1:11" s="43" customFormat="1" ht="15.95" customHeight="1">
      <c r="A6" s="35"/>
      <c r="B6" s="1433"/>
      <c r="C6" s="1433"/>
      <c r="D6" s="1433"/>
      <c r="E6" s="1433"/>
      <c r="F6" s="1433"/>
      <c r="G6" s="1433"/>
      <c r="H6" s="1433"/>
      <c r="I6" s="1433"/>
      <c r="J6" s="1433"/>
      <c r="K6" s="1433"/>
    </row>
    <row r="7" spans="1:11" s="43" customFormat="1" ht="15.95" customHeight="1">
      <c r="A7" s="35"/>
      <c r="B7" s="1433"/>
      <c r="C7" s="1433"/>
      <c r="D7" s="1433"/>
      <c r="E7" s="1433"/>
      <c r="F7" s="1433"/>
      <c r="G7" s="1433"/>
      <c r="H7" s="1433"/>
      <c r="I7" s="1433"/>
      <c r="J7" s="1433"/>
      <c r="K7" s="1433"/>
    </row>
    <row r="8" spans="1:11" s="43" customFormat="1" ht="15.95" customHeight="1">
      <c r="A8" s="35"/>
      <c r="B8" s="1433"/>
      <c r="C8" s="1433"/>
      <c r="D8" s="1433"/>
      <c r="E8" s="1433"/>
      <c r="F8" s="1433"/>
      <c r="G8" s="1433"/>
      <c r="H8" s="1433"/>
      <c r="I8" s="1433"/>
      <c r="J8" s="1433"/>
      <c r="K8" s="1433"/>
    </row>
    <row r="9" spans="1:11" s="43" customFormat="1" ht="15.95" customHeight="1">
      <c r="A9" s="35"/>
      <c r="B9" s="1433"/>
      <c r="C9" s="1433"/>
      <c r="D9" s="1433"/>
      <c r="E9" s="1433"/>
      <c r="F9" s="1433"/>
      <c r="G9" s="1433"/>
      <c r="H9" s="1433"/>
      <c r="I9" s="1433"/>
      <c r="J9" s="1433"/>
      <c r="K9" s="1433"/>
    </row>
    <row r="11" spans="1:11" ht="24.75" customHeight="1">
      <c r="B11" s="367" t="s">
        <v>4512</v>
      </c>
      <c r="C11" s="434" t="s">
        <v>4517</v>
      </c>
      <c r="E11" s="390" t="s">
        <v>4572</v>
      </c>
    </row>
    <row r="12" spans="1:11" ht="15.95" customHeight="1">
      <c r="B12" s="44" t="s">
        <v>1305</v>
      </c>
      <c r="C12" s="49">
        <f>VLOOKUP(B12,'Country Summary (€)'!B:J,9,0)</f>
        <v>1.2606201250160036</v>
      </c>
    </row>
    <row r="13" spans="1:11" ht="15.95" customHeight="1">
      <c r="B13" s="39" t="s">
        <v>2392</v>
      </c>
      <c r="C13" s="49">
        <f>VLOOKUP(B13,'Country Summary (€)'!B:J,9,0)</f>
        <v>1.0912278632551458</v>
      </c>
    </row>
    <row r="14" spans="1:11" ht="15.95" customHeight="1">
      <c r="B14" s="44" t="s">
        <v>2488</v>
      </c>
      <c r="C14" s="49">
        <f>VLOOKUP(B14,'Country Summary (€)'!B:J,9,0)</f>
        <v>0.95193792981649195</v>
      </c>
    </row>
    <row r="15" spans="1:11" ht="15.95" customHeight="1">
      <c r="B15" s="44" t="s">
        <v>2989</v>
      </c>
      <c r="C15" s="49">
        <f>VLOOKUP(B15,'Country Summary (€)'!B:J,9,0)</f>
        <v>0.68246360725370525</v>
      </c>
    </row>
    <row r="16" spans="1:11" ht="15.95" customHeight="1">
      <c r="B16" s="44" t="s">
        <v>3261</v>
      </c>
      <c r="C16" s="49">
        <f>VLOOKUP(B16,'Country Summary (€)'!B:J,9,0)</f>
        <v>0.63140985475637346</v>
      </c>
    </row>
    <row r="17" spans="2:3" ht="15.95" customHeight="1">
      <c r="B17" s="44" t="s">
        <v>1194</v>
      </c>
      <c r="C17" s="49">
        <f>VLOOKUP(B17,'Country Summary (€)'!B:J,9,0)</f>
        <v>0.5148332270620376</v>
      </c>
    </row>
    <row r="18" spans="2:3" ht="15.95" customHeight="1">
      <c r="B18" s="44" t="s">
        <v>2882</v>
      </c>
      <c r="C18" s="49">
        <f>VLOOKUP(B18,'Country Summary (€)'!B:J,9,0)</f>
        <v>0.47094720935177292</v>
      </c>
    </row>
    <row r="19" spans="2:3" ht="15.95" customHeight="1">
      <c r="B19" s="44" t="s">
        <v>1432</v>
      </c>
      <c r="C19" s="49">
        <f>VLOOKUP(B19,'Country Summary (€)'!B:J,9,0)</f>
        <v>0.44349055053897235</v>
      </c>
    </row>
    <row r="20" spans="2:3" ht="15.95" customHeight="1">
      <c r="B20" s="44" t="s">
        <v>2693</v>
      </c>
      <c r="C20" s="49">
        <f>VLOOKUP(B20,'Country Summary (€)'!B:J,9,0)</f>
        <v>0.43598129254435675</v>
      </c>
    </row>
    <row r="21" spans="2:3" ht="15.95" customHeight="1">
      <c r="B21" s="44" t="s">
        <v>3748</v>
      </c>
      <c r="C21" s="49">
        <f>VLOOKUP(B21,'Country Summary (€)'!B:J,9,0)</f>
        <v>0.37258230705466278</v>
      </c>
    </row>
    <row r="22" spans="2:3" ht="15.95" customHeight="1">
      <c r="B22" s="44" t="s">
        <v>1012</v>
      </c>
      <c r="C22" s="49">
        <f>VLOOKUP(B22,'Country Summary (€)'!B:J,9,0)</f>
        <v>0.36084559731036259</v>
      </c>
    </row>
    <row r="23" spans="2:3" ht="15.95" customHeight="1">
      <c r="B23" s="44" t="s">
        <v>3949</v>
      </c>
      <c r="C23" s="49">
        <f>VLOOKUP(B23,'Country Summary (€)'!B:J,9,0)</f>
        <v>0.3295528779935728</v>
      </c>
    </row>
    <row r="24" spans="2:3" ht="15.95" customHeight="1">
      <c r="B24" s="44" t="s">
        <v>3548</v>
      </c>
      <c r="C24" s="49">
        <f>VLOOKUP(B24,'Country Summary (€)'!B:J,9,0)</f>
        <v>0.31251679022643342</v>
      </c>
    </row>
    <row r="25" spans="2:3" ht="15.95" customHeight="1">
      <c r="B25" s="44" t="s">
        <v>673</v>
      </c>
      <c r="C25" s="49">
        <f>VLOOKUP(B25,'Country Summary (€)'!B:J,9,0)</f>
        <v>0.31029885204797214</v>
      </c>
    </row>
    <row r="26" spans="2:3" ht="15.95" customHeight="1">
      <c r="B26" s="44" t="s">
        <v>918</v>
      </c>
      <c r="C26" s="49">
        <f>VLOOKUP(B26,'Country Summary (€)'!B:J,9,0)</f>
        <v>0.29945870655314943</v>
      </c>
    </row>
    <row r="27" spans="2:3" ht="15.95" customHeight="1">
      <c r="B27" s="40" t="s">
        <v>713</v>
      </c>
      <c r="C27" s="49">
        <f>VLOOKUP(B27,'Country Summary (€)'!B:J,9,0)</f>
        <v>0.28800474692007605</v>
      </c>
    </row>
    <row r="28" spans="2:3" ht="15.95" customHeight="1">
      <c r="B28" s="44" t="s">
        <v>1711</v>
      </c>
      <c r="C28" s="49">
        <f>VLOOKUP(B28,'Country Summary (€)'!B:J,9,0)</f>
        <v>0.27250538647727673</v>
      </c>
    </row>
    <row r="29" spans="2:3" ht="15.95" customHeight="1">
      <c r="B29" s="44" t="s">
        <v>454</v>
      </c>
      <c r="C29" s="49">
        <f>VLOOKUP(B29,'Country Summary (€)'!B:J,9,0)</f>
        <v>0.19591954131756775</v>
      </c>
    </row>
    <row r="30" spans="2:3" ht="15.95" customHeight="1">
      <c r="B30" s="39" t="s">
        <v>2312</v>
      </c>
      <c r="C30" s="49">
        <f>VLOOKUP(B30,'Country Summary (€)'!B:J,9,0)</f>
        <v>0.14555394181194639</v>
      </c>
    </row>
    <row r="31" spans="2:3" ht="15.95" customHeight="1">
      <c r="B31" s="44" t="s">
        <v>3079</v>
      </c>
      <c r="C31" s="49">
        <f>VLOOKUP(B31,'Country Summary (€)'!B:J,9,0)</f>
        <v>0.14018307955675754</v>
      </c>
    </row>
    <row r="32" spans="2:3" ht="15.95" customHeight="1">
      <c r="B32" s="40" t="s">
        <v>2139</v>
      </c>
      <c r="C32" s="49">
        <f>VLOOKUP(B32,'Country Summary (€)'!B:J,9,0)</f>
        <v>0.12558869496454383</v>
      </c>
    </row>
    <row r="33" spans="2:3" ht="15.95" customHeight="1">
      <c r="B33" s="44" t="s">
        <v>2625</v>
      </c>
      <c r="C33" s="49">
        <f>VLOOKUP(B33,'Country Summary (€)'!B:J,9,0)</f>
        <v>0.12155002130843041</v>
      </c>
    </row>
    <row r="34" spans="2:3" ht="15.95" customHeight="1">
      <c r="B34" s="44" t="s">
        <v>3337</v>
      </c>
      <c r="C34" s="49">
        <f>VLOOKUP(B34,'Country Summary (€)'!B:J,9,0)</f>
        <v>0.10758351857801417</v>
      </c>
    </row>
    <row r="35" spans="2:3" ht="15.95" customHeight="1">
      <c r="B35" s="40" t="s">
        <v>1973</v>
      </c>
      <c r="C35" s="49">
        <f>VLOOKUP(B35,'Country Summary (€)'!B:J,9,0)</f>
        <v>9.4505790632724782E-2</v>
      </c>
    </row>
    <row r="36" spans="2:3" ht="15.95" customHeight="1">
      <c r="B36" s="44" t="s">
        <v>558</v>
      </c>
      <c r="C36" s="49">
        <f>VLOOKUP(B36,'Country Summary (€)'!B:J,9,0)</f>
        <v>8.9771779635338056E-2</v>
      </c>
    </row>
    <row r="37" spans="2:3" ht="15.95" customHeight="1">
      <c r="B37" s="44" t="s">
        <v>2204</v>
      </c>
      <c r="C37" s="49">
        <f>VLOOKUP(B37,'Country Summary (€)'!B:J,9,0)</f>
        <v>6.9317275513089985E-2</v>
      </c>
    </row>
    <row r="38" spans="2:3" ht="15.95" customHeight="1">
      <c r="B38" s="44" t="s">
        <v>3412</v>
      </c>
      <c r="C38" s="49">
        <f>VLOOKUP(B38,'Country Summary (€)'!B:J,9,0)</f>
        <v>6.361716780432565E-2</v>
      </c>
    </row>
    <row r="39" spans="2:3" ht="15.95" customHeight="1">
      <c r="B39" s="44" t="s">
        <v>1523</v>
      </c>
      <c r="C39" s="49">
        <f>VLOOKUP(B39,'Country Summary (€)'!B:J,9,0)</f>
        <v>5.3695641016007399E-2</v>
      </c>
    </row>
    <row r="40" spans="2:3" ht="15.95" customHeight="1">
      <c r="B40" s="40" t="s">
        <v>3649</v>
      </c>
      <c r="C40" s="49">
        <f>VLOOKUP(B40,'Country Summary (€)'!B:J,9,0)</f>
        <v>5.3010273516371956E-2</v>
      </c>
    </row>
    <row r="41" spans="2:3" ht="15.95" customHeight="1">
      <c r="B41" s="44" t="s">
        <v>3214</v>
      </c>
      <c r="C41" s="49">
        <f>VLOOKUP(B41,'Country Summary (€)'!B:J,9,0)</f>
        <v>4.8172137544917719E-2</v>
      </c>
    </row>
    <row r="42" spans="2:3" ht="15.95" customHeight="1">
      <c r="B42" s="39" t="s">
        <v>3162</v>
      </c>
      <c r="C42" s="49">
        <f>VLOOKUP(B42,'Country Summary (€)'!B:J,9,0)</f>
        <v>3.6642527324201112E-2</v>
      </c>
    </row>
    <row r="43" spans="2:3" ht="15.95" customHeight="1">
      <c r="B43" s="44" t="s">
        <v>359</v>
      </c>
      <c r="C43" s="49">
        <f>VLOOKUP(B43,'Country Summary (€)'!B:J,9,0)</f>
        <v>2.9670869414501082E-2</v>
      </c>
    </row>
    <row r="44" spans="2:3" ht="15.95" customHeight="1">
      <c r="B44" s="40" t="s">
        <v>2028</v>
      </c>
      <c r="C44" s="49">
        <f>VLOOKUP(B44,'Country Summary (€)'!B:J,9,0)</f>
        <v>2.8154793100345764E-2</v>
      </c>
    </row>
    <row r="45" spans="2:3" ht="15.95" customHeight="1">
      <c r="B45" s="44" t="s">
        <v>2096</v>
      </c>
      <c r="C45" s="49">
        <f>VLOOKUP(B45,'Country Summary (€)'!B:J,9,0)</f>
        <v>1.9488029726067776E-2</v>
      </c>
    </row>
    <row r="46" spans="2:3" ht="15.95" customHeight="1">
      <c r="B46" s="40" t="s">
        <v>2678</v>
      </c>
      <c r="C46" s="49">
        <f>VLOOKUP(B46,'Country Summary (€)'!B:J,9,0)</f>
        <v>1.2955944350977111E-2</v>
      </c>
    </row>
    <row r="47" spans="2:3" ht="15.95" customHeight="1">
      <c r="B47" s="44" t="s">
        <v>981</v>
      </c>
      <c r="C47" s="49">
        <f>VLOOKUP(B47,'Country Summary (€)'!B:J,9,0)</f>
        <v>1.147710223619349E-2</v>
      </c>
    </row>
    <row r="48" spans="2:3" ht="15.95" customHeight="1">
      <c r="B48" s="44" t="s">
        <v>2832</v>
      </c>
      <c r="C48" s="49">
        <f>VLOOKUP(B48,'Country Summary (€)'!B:J,9,0)</f>
        <v>1.0959428014457219E-2</v>
      </c>
    </row>
    <row r="49" spans="2:7" ht="15.95" customHeight="1">
      <c r="B49" s="40" t="s">
        <v>3713</v>
      </c>
      <c r="C49" s="49">
        <f>VLOOKUP(B49,'Country Summary (€)'!B:J,9,0)</f>
        <v>8.8387096774193569E-3</v>
      </c>
    </row>
    <row r="50" spans="2:7" ht="15.95" customHeight="1">
      <c r="B50" s="44" t="s">
        <v>3685</v>
      </c>
      <c r="C50" s="49">
        <f>VLOOKUP(B50,'Country Summary (€)'!B:J,9,0)</f>
        <v>8.8037343819696631E-3</v>
      </c>
    </row>
    <row r="51" spans="2:7" ht="15.95" customHeight="1">
      <c r="B51" s="39" t="s">
        <v>2076</v>
      </c>
      <c r="C51" s="49">
        <f>VLOOKUP(B51,'Country Summary (€)'!B:J,9,0)</f>
        <v>6.1305702393715236E-5</v>
      </c>
      <c r="D51" s="50"/>
      <c r="E51" s="50"/>
      <c r="F51" s="50"/>
      <c r="G51" s="50"/>
    </row>
    <row r="52" spans="2:7" ht="15.95" customHeight="1">
      <c r="B52" s="51" t="s">
        <v>905</v>
      </c>
      <c r="C52" s="51">
        <f>VLOOKUP(B52,'Country Summary (€)'!B:J,9,0)</f>
        <v>1.3329312542224588E-5</v>
      </c>
      <c r="D52" s="50"/>
      <c r="E52" s="50"/>
      <c r="F52" s="50"/>
      <c r="G52" s="50"/>
    </row>
    <row r="53" spans="2:7" ht="15.95" customHeight="1">
      <c r="B53" s="49"/>
      <c r="D53" s="50"/>
      <c r="E53" s="50"/>
      <c r="F53" s="50"/>
      <c r="G53" s="50"/>
    </row>
    <row r="54" spans="2:7" ht="15.95" customHeight="1">
      <c r="B54" s="49"/>
      <c r="D54" s="50"/>
      <c r="E54" s="50"/>
      <c r="F54" s="50"/>
      <c r="G54" s="50"/>
    </row>
    <row r="55" spans="2:7" ht="15.95" customHeight="1">
      <c r="B55" s="49"/>
      <c r="D55" s="50"/>
      <c r="E55" s="50"/>
      <c r="F55" s="50"/>
      <c r="G55" s="50"/>
    </row>
    <row r="56" spans="2:7" ht="15.95" customHeight="1">
      <c r="B56" s="49"/>
      <c r="D56" s="50"/>
      <c r="E56" s="50"/>
      <c r="F56" s="50"/>
      <c r="G56" s="50"/>
    </row>
    <row r="57" spans="2:7" ht="15.95" customHeight="1">
      <c r="B57" s="48"/>
    </row>
    <row r="58" spans="2:7" ht="15.95" customHeight="1">
      <c r="B58" s="48"/>
    </row>
    <row r="59" spans="2:7" ht="15.95" customHeight="1">
      <c r="B59" s="48"/>
    </row>
    <row r="60" spans="2:7" ht="15.95" customHeight="1">
      <c r="B60" s="48"/>
    </row>
    <row r="61" spans="2:7" ht="15.95" customHeight="1">
      <c r="B61" s="48"/>
    </row>
    <row r="62" spans="2:7" ht="15.95" customHeight="1">
      <c r="B62" s="48"/>
    </row>
    <row r="63" spans="2:7" ht="15.95" customHeight="1">
      <c r="B63" s="48"/>
    </row>
    <row r="64" spans="2:7" ht="15.95" customHeight="1">
      <c r="B64" s="48"/>
    </row>
    <row r="65" spans="2:2" ht="15.95" customHeight="1">
      <c r="B65" s="48"/>
    </row>
    <row r="66" spans="2:2" ht="15.95" customHeight="1">
      <c r="B66" s="48"/>
    </row>
    <row r="67" spans="2:2" ht="15.95" customHeight="1">
      <c r="B67" s="48"/>
    </row>
  </sheetData>
  <autoFilter ref="B11:C11" xr:uid="{00000000-0001-0000-0900-000000000000}">
    <sortState xmlns:xlrd2="http://schemas.microsoft.com/office/spreadsheetml/2017/richdata2" ref="B12:C52">
      <sortCondition descending="1" ref="C11"/>
    </sortState>
  </autoFilter>
  <sortState xmlns:xlrd2="http://schemas.microsoft.com/office/spreadsheetml/2017/richdata2" ref="B13:C52">
    <sortCondition descending="1" ref="C13:C52"/>
  </sortState>
  <mergeCells count="1">
    <mergeCell ref="B4:K9"/>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4C6E7"/>
  </sheetPr>
  <dimension ref="A1:AC61"/>
  <sheetViews>
    <sheetView showGridLines="0" zoomScaleNormal="100" workbookViewId="0"/>
  </sheetViews>
  <sheetFormatPr defaultColWidth="8.625" defaultRowHeight="15.95" customHeight="1"/>
  <cols>
    <col min="1" max="1" width="8.625" style="13" customWidth="1"/>
    <col min="2" max="2" width="25.5" style="40" customWidth="1"/>
    <col min="3" max="3" width="27.875" style="40" bestFit="1" customWidth="1"/>
    <col min="4" max="4" width="50.625" style="40" bestFit="1" customWidth="1"/>
    <col min="5" max="5" width="18.625" style="40" customWidth="1"/>
    <col min="6" max="6" width="13.625" style="40" customWidth="1"/>
    <col min="7" max="18" width="8.625" style="40" customWidth="1"/>
    <col min="19" max="19" width="8.625" style="85" customWidth="1"/>
    <col min="20" max="28" width="8.625" style="82" customWidth="1"/>
    <col min="29" max="29" width="8.625" style="83" customWidth="1"/>
    <col min="30" max="30" width="8.625" style="40" customWidth="1"/>
    <col min="31" max="16384" width="8.625" style="40"/>
  </cols>
  <sheetData>
    <row r="1" spans="1:29" s="35" customFormat="1" ht="15.95" customHeight="1">
      <c r="B1" s="39"/>
      <c r="C1" s="146"/>
      <c r="D1" s="146"/>
      <c r="E1" s="146"/>
    </row>
    <row r="2" spans="1:29" s="473" customFormat="1" ht="24.75" customHeight="1">
      <c r="B2" s="472" t="s">
        <v>4573</v>
      </c>
    </row>
    <row r="3" spans="1:29" s="114" customFormat="1" ht="15.95" customHeight="1"/>
    <row r="4" spans="1:29" s="114" customFormat="1" ht="15.95" customHeight="1">
      <c r="B4" s="1438" t="s">
        <v>4574</v>
      </c>
      <c r="C4" s="1438"/>
      <c r="D4" s="1438"/>
      <c r="E4" s="1438"/>
      <c r="F4" s="393"/>
    </row>
    <row r="5" spans="1:29" s="114" customFormat="1" ht="15.95" customHeight="1">
      <c r="B5" s="1438"/>
      <c r="C5" s="1438"/>
      <c r="D5" s="1438"/>
      <c r="E5" s="1438"/>
      <c r="F5" s="393"/>
    </row>
    <row r="6" spans="1:29" s="114" customFormat="1" ht="15.95" customHeight="1">
      <c r="B6" s="1438"/>
      <c r="C6" s="1438"/>
      <c r="D6" s="1438"/>
      <c r="E6" s="1438"/>
      <c r="F6" s="393"/>
    </row>
    <row r="7" spans="1:29" s="114" customFormat="1" ht="15.95" customHeight="1">
      <c r="B7" s="1438"/>
      <c r="C7" s="1438"/>
      <c r="D7" s="1438"/>
      <c r="E7" s="1438"/>
      <c r="F7" s="393"/>
    </row>
    <row r="8" spans="1:29" s="114" customFormat="1" ht="15.95" customHeight="1">
      <c r="B8" s="1438"/>
      <c r="C8" s="1438"/>
      <c r="D8" s="1438"/>
      <c r="E8" s="1438"/>
      <c r="F8" s="393"/>
    </row>
    <row r="9" spans="1:29" s="114" customFormat="1" ht="15.95" customHeight="1">
      <c r="B9" s="1438"/>
      <c r="C9" s="1438"/>
      <c r="D9" s="1438"/>
      <c r="E9" s="1438"/>
      <c r="F9" s="393"/>
    </row>
    <row r="10" spans="1:29" ht="15.95" customHeight="1">
      <c r="A10" s="20"/>
      <c r="S10" s="86"/>
      <c r="U10" s="89"/>
      <c r="V10" s="90"/>
      <c r="W10" s="91"/>
      <c r="Y10" s="86"/>
      <c r="Z10" s="90"/>
      <c r="AA10" s="91"/>
      <c r="AB10" s="92"/>
    </row>
    <row r="11" spans="1:29" s="477" customFormat="1" ht="24.75" customHeight="1">
      <c r="A11" s="179"/>
      <c r="B11" s="367" t="s">
        <v>4512</v>
      </c>
      <c r="C11" s="434" t="s">
        <v>4517</v>
      </c>
      <c r="D11" s="435" t="s">
        <v>4575</v>
      </c>
      <c r="E11" s="434" t="s">
        <v>4530</v>
      </c>
      <c r="G11" s="475" t="s">
        <v>4576</v>
      </c>
      <c r="S11" s="478"/>
      <c r="T11" s="479"/>
      <c r="U11" s="89"/>
      <c r="V11" s="480"/>
      <c r="W11" s="481"/>
      <c r="X11" s="479"/>
      <c r="Y11" s="478"/>
      <c r="Z11" s="480"/>
      <c r="AA11" s="481"/>
      <c r="AB11" s="482"/>
      <c r="AC11" s="483"/>
    </row>
    <row r="12" spans="1:29" ht="15.95" customHeight="1">
      <c r="B12" s="40" t="s">
        <v>3949</v>
      </c>
      <c r="C12" s="49">
        <f>VLOOKUP(B12,'Country Summary (€)'!B:J,6,0)</f>
        <v>70.698858108207588</v>
      </c>
      <c r="D12" s="49">
        <f>VLOOKUP(B12,'Country Summary (€)'!B:N,13,0)</f>
        <v>0</v>
      </c>
      <c r="E12" s="49">
        <f>VLOOKUP(B12,'Country Summary (€)'!B:P,15,0)</f>
        <v>70.698858108207588</v>
      </c>
      <c r="S12" s="86"/>
      <c r="U12" s="89"/>
      <c r="V12" s="90"/>
      <c r="W12" s="91"/>
      <c r="Y12" s="86"/>
      <c r="Z12" s="90"/>
      <c r="AA12" s="91"/>
      <c r="AB12" s="92"/>
    </row>
    <row r="13" spans="1:29" ht="15.95" customHeight="1">
      <c r="B13" s="40" t="s">
        <v>1711</v>
      </c>
      <c r="C13" s="49">
        <f>VLOOKUP(B13,'Country Summary (€)'!B:J,6,0)</f>
        <v>10.68140605</v>
      </c>
      <c r="D13" s="49">
        <f>VLOOKUP(B13,'Country Summary (€)'!B:N,13,0)</f>
        <v>7.3305651091944712</v>
      </c>
      <c r="E13" s="49">
        <f>VLOOKUP(B13,'Country Summary (€)'!B:P,15,0)</f>
        <v>18.01197115919447</v>
      </c>
      <c r="S13" s="86"/>
      <c r="U13" s="89"/>
      <c r="V13" s="90"/>
      <c r="W13" s="91"/>
      <c r="Y13" s="86"/>
      <c r="Z13" s="90"/>
      <c r="AA13" s="91"/>
      <c r="AB13" s="92"/>
    </row>
    <row r="14" spans="1:29" ht="15.95" customHeight="1">
      <c r="B14" s="40" t="s">
        <v>3748</v>
      </c>
      <c r="C14" s="49">
        <f>VLOOKUP(B14,'Country Summary (€)'!B:J,6,0)</f>
        <v>10.735148612169851</v>
      </c>
      <c r="D14" s="49">
        <f>VLOOKUP(B14,'Country Summary (€)'!B:N,13,0)</f>
        <v>0</v>
      </c>
      <c r="E14" s="49">
        <f>VLOOKUP(B14,'Country Summary (€)'!B:P,15,0)</f>
        <v>10.735148612169851</v>
      </c>
      <c r="S14" s="86"/>
      <c r="U14" s="89"/>
      <c r="V14" s="90"/>
      <c r="W14" s="91"/>
      <c r="Y14" s="86"/>
      <c r="Z14" s="90"/>
      <c r="AA14" s="91"/>
      <c r="AB14" s="92"/>
    </row>
    <row r="15" spans="1:29" ht="15.95" customHeight="1">
      <c r="B15" s="40" t="s">
        <v>1523</v>
      </c>
      <c r="C15" s="49">
        <f>VLOOKUP(B15,'Country Summary (€)'!B:J,6,0)</f>
        <v>1.4614027394362197</v>
      </c>
      <c r="D15" s="49">
        <f>VLOOKUP(B15,'Country Summary (€)'!B:N,13,0)</f>
        <v>6.0000291126026886</v>
      </c>
      <c r="E15" s="49">
        <f>VLOOKUP(B15,'Country Summary (€)'!B:P,15,0)</f>
        <v>7.461431852038908</v>
      </c>
      <c r="S15" s="86"/>
      <c r="U15" s="89"/>
      <c r="V15" s="90"/>
      <c r="W15" s="91"/>
      <c r="Y15" s="86"/>
      <c r="Z15" s="90"/>
      <c r="AA15" s="91"/>
      <c r="AB15" s="92"/>
    </row>
    <row r="16" spans="1:29" ht="15.95" customHeight="1">
      <c r="B16" s="40" t="s">
        <v>2693</v>
      </c>
      <c r="C16" s="49">
        <f>VLOOKUP(B16,'Country Summary (€)'!B:J,6,0)</f>
        <v>4.0631417004048576</v>
      </c>
      <c r="D16" s="49">
        <f>VLOOKUP(B16,'Country Summary (€)'!B:N,13,0)</f>
        <v>2.5976114349161747</v>
      </c>
      <c r="E16" s="49">
        <f>VLOOKUP(B16,'Country Summary (€)'!B:P,15,0)</f>
        <v>6.6607531353210323</v>
      </c>
      <c r="S16" s="86"/>
      <c r="U16" s="89"/>
      <c r="V16" s="90"/>
      <c r="W16" s="91"/>
      <c r="Y16" s="86"/>
      <c r="Z16" s="90"/>
      <c r="AA16" s="91"/>
      <c r="AB16" s="92"/>
    </row>
    <row r="17" spans="2:28" ht="15.95" customHeight="1">
      <c r="B17" s="40" t="s">
        <v>2312</v>
      </c>
      <c r="C17" s="49">
        <f>VLOOKUP(B17,'Country Summary (€)'!B:J,6,0)</f>
        <v>6.6172638663967609</v>
      </c>
      <c r="D17" s="49">
        <f>VLOOKUP(B17,'Country Summary (€)'!B:N,13,0)</f>
        <v>0</v>
      </c>
      <c r="E17" s="49">
        <f>VLOOKUP(B17,'Country Summary (€)'!B:P,15,0)</f>
        <v>6.6172638663967609</v>
      </c>
      <c r="S17" s="86"/>
      <c r="U17" s="89"/>
      <c r="V17" s="90"/>
      <c r="W17" s="91"/>
      <c r="Y17" s="86"/>
      <c r="Z17" s="90"/>
      <c r="AA17" s="91"/>
      <c r="AB17" s="92"/>
    </row>
    <row r="18" spans="2:28" ht="15.95" customHeight="1">
      <c r="B18" s="40" t="s">
        <v>2204</v>
      </c>
      <c r="C18" s="49">
        <f>VLOOKUP(B18,'Country Summary (€)'!B:J,6,0)</f>
        <v>1.3443155929799468</v>
      </c>
      <c r="D18" s="49">
        <f>VLOOKUP(B18,'Country Summary (€)'!B:N,13,0)</f>
        <v>4.4317863486732367</v>
      </c>
      <c r="E18" s="49">
        <f>VLOOKUP(B18,'Country Summary (€)'!B:P,15,0)</f>
        <v>5.7761019416531836</v>
      </c>
      <c r="S18" s="86"/>
      <c r="U18" s="89"/>
      <c r="V18" s="90"/>
      <c r="W18" s="91"/>
      <c r="Y18" s="86"/>
      <c r="Z18" s="90"/>
      <c r="AA18" s="91"/>
      <c r="AB18" s="92"/>
    </row>
    <row r="19" spans="2:28" ht="15.95" customHeight="1">
      <c r="B19" s="40" t="s">
        <v>2989</v>
      </c>
      <c r="C19" s="49">
        <f>VLOOKUP(B19,'Country Summary (€)'!B:J,6,0)</f>
        <v>4.2666210117743191</v>
      </c>
      <c r="D19" s="49">
        <f>VLOOKUP(B19,'Country Summary (€)'!B:N,13,0)</f>
        <v>1.4507287302592136</v>
      </c>
      <c r="E19" s="49">
        <f>VLOOKUP(B19,'Country Summary (€)'!B:P,15,0)</f>
        <v>5.7173497420335329</v>
      </c>
      <c r="S19" s="86"/>
      <c r="U19" s="89"/>
      <c r="V19" s="90"/>
      <c r="W19" s="91"/>
      <c r="Y19" s="86"/>
      <c r="Z19" s="90"/>
      <c r="AA19" s="91"/>
      <c r="AB19" s="92"/>
    </row>
    <row r="20" spans="2:28" ht="15.95" customHeight="1">
      <c r="B20" s="40" t="s">
        <v>713</v>
      </c>
      <c r="C20" s="49">
        <f>VLOOKUP(B20,'Country Summary (€)'!B:J,6,0)</f>
        <v>5.2691415348570834</v>
      </c>
      <c r="D20" s="49">
        <f>VLOOKUP(B20,'Country Summary (€)'!B:N,13,0)</f>
        <v>0</v>
      </c>
      <c r="E20" s="49">
        <f>VLOOKUP(B20,'Country Summary (€)'!B:P,15,0)</f>
        <v>5.2691415348570834</v>
      </c>
      <c r="S20" s="86"/>
      <c r="U20" s="89"/>
      <c r="V20" s="90"/>
      <c r="W20" s="91"/>
      <c r="Y20" s="86"/>
      <c r="Z20" s="90"/>
      <c r="AA20" s="91"/>
      <c r="AB20" s="92"/>
    </row>
    <row r="21" spans="2:28" ht="15.95" customHeight="1">
      <c r="B21" s="40" t="s">
        <v>3412</v>
      </c>
      <c r="C21" s="49">
        <f>VLOOKUP(B21,'Country Summary (€)'!B:J,6,0)</f>
        <v>0.83553474717121867</v>
      </c>
      <c r="D21" s="49">
        <f>VLOOKUP(B21,'Country Summary (€)'!B:N,13,0)</f>
        <v>3.9582486572924247</v>
      </c>
      <c r="E21" s="49">
        <f>VLOOKUP(B21,'Country Summary (€)'!B:P,15,0)</f>
        <v>4.7937834044636434</v>
      </c>
      <c r="S21" s="86"/>
      <c r="U21" s="89"/>
      <c r="V21" s="90"/>
      <c r="W21" s="91"/>
      <c r="Y21" s="86"/>
      <c r="Z21" s="90"/>
      <c r="AA21" s="91"/>
      <c r="AB21" s="92"/>
    </row>
    <row r="22" spans="2:28" ht="15.95" customHeight="1">
      <c r="B22" s="40" t="s">
        <v>3548</v>
      </c>
      <c r="C22" s="49">
        <f>VLOOKUP(B22,'Country Summary (€)'!B:J,6,0)</f>
        <v>1.82789483635176</v>
      </c>
      <c r="D22" s="49">
        <f>VLOOKUP(B22,'Country Summary (€)'!B:N,13,0)</f>
        <v>1.1901851989659173</v>
      </c>
      <c r="E22" s="49">
        <f>VLOOKUP(B22,'Country Summary (€)'!B:P,15,0)</f>
        <v>3.0180800353176771</v>
      </c>
      <c r="S22" s="86"/>
      <c r="U22" s="89"/>
      <c r="V22" s="90"/>
      <c r="W22" s="91"/>
      <c r="Y22" s="86"/>
      <c r="Z22" s="90"/>
      <c r="AA22" s="91"/>
      <c r="AB22" s="92"/>
    </row>
    <row r="23" spans="2:28" ht="15.95" customHeight="1">
      <c r="B23" s="40" t="s">
        <v>1194</v>
      </c>
      <c r="C23" s="49">
        <f>VLOOKUP(B23,'Country Summary (€)'!B:J,6,0)</f>
        <v>1.8868214875478282</v>
      </c>
      <c r="D23" s="49">
        <f>VLOOKUP(B23,'Country Summary (€)'!B:N,13,0)</f>
        <v>0.88412180177597288</v>
      </c>
      <c r="E23" s="49">
        <f>VLOOKUP(B23,'Country Summary (€)'!B:P,15,0)</f>
        <v>2.7709432893238013</v>
      </c>
      <c r="S23" s="86"/>
      <c r="U23" s="89"/>
      <c r="V23" s="90"/>
      <c r="W23" s="91"/>
      <c r="Y23" s="86"/>
      <c r="Z23" s="90"/>
      <c r="AA23" s="91"/>
      <c r="AB23" s="92"/>
    </row>
    <row r="24" spans="2:28" ht="15.95" customHeight="1">
      <c r="B24" s="40" t="s">
        <v>2882</v>
      </c>
      <c r="C24" s="49">
        <f>VLOOKUP(B24,'Country Summary (€)'!B:J,6,0)</f>
        <v>2.0894267771243502</v>
      </c>
      <c r="D24" s="49">
        <f>VLOOKUP(B24,'Country Summary (€)'!B:N,13,0)</f>
        <v>0</v>
      </c>
      <c r="E24" s="49">
        <f>VLOOKUP(B24,'Country Summary (€)'!B:P,15,0)</f>
        <v>2.0894267771243502</v>
      </c>
      <c r="S24" s="86"/>
      <c r="U24" s="89"/>
      <c r="V24" s="90"/>
      <c r="W24" s="91"/>
      <c r="Y24" s="86"/>
      <c r="Z24" s="90"/>
      <c r="AA24" s="91"/>
      <c r="AB24" s="92"/>
    </row>
    <row r="25" spans="2:28" ht="15.95" customHeight="1">
      <c r="B25" s="40" t="s">
        <v>454</v>
      </c>
      <c r="C25" s="49">
        <f>VLOOKUP(B25,'Country Summary (€)'!B:J,6,0)</f>
        <v>0.86596942725653303</v>
      </c>
      <c r="D25" s="49">
        <f>VLOOKUP(B25,'Country Summary (€)'!B:N,13,0)</f>
        <v>1.0138520029424272</v>
      </c>
      <c r="E25" s="49">
        <f>VLOOKUP(B25,'Country Summary (€)'!B:P,15,0)</f>
        <v>1.8798214301989602</v>
      </c>
      <c r="S25" s="86"/>
      <c r="U25" s="89"/>
      <c r="V25" s="90"/>
      <c r="W25" s="91"/>
      <c r="Y25" s="86"/>
      <c r="Z25" s="90"/>
      <c r="AA25" s="91"/>
      <c r="AB25" s="92"/>
    </row>
    <row r="26" spans="2:28" ht="15.95" customHeight="1">
      <c r="B26" s="40" t="s">
        <v>1432</v>
      </c>
      <c r="C26" s="49">
        <f>VLOOKUP(B26,'Country Summary (€)'!B:J,6,0)</f>
        <v>1.2132000000000001</v>
      </c>
      <c r="D26" s="49">
        <f>VLOOKUP(B26,'Country Summary (€)'!B:N,13,0)</f>
        <v>0.59772133835945529</v>
      </c>
      <c r="E26" s="49">
        <f>VLOOKUP(B26,'Country Summary (€)'!B:P,15,0)</f>
        <v>1.8109213383594553</v>
      </c>
      <c r="S26" s="86"/>
      <c r="U26" s="89"/>
      <c r="V26" s="90"/>
      <c r="W26" s="91"/>
      <c r="Y26" s="86"/>
      <c r="Z26" s="90"/>
      <c r="AA26" s="91"/>
      <c r="AB26" s="92"/>
    </row>
    <row r="27" spans="2:28" ht="15.95" customHeight="1">
      <c r="B27" s="40" t="s">
        <v>558</v>
      </c>
      <c r="C27" s="49">
        <f>VLOOKUP(B27,'Country Summary (€)'!B:J,6,0)</f>
        <v>0.49074152839999996</v>
      </c>
      <c r="D27" s="49">
        <f>VLOOKUP(B27,'Country Summary (€)'!B:N,13,0)</f>
        <v>1.2558707452401001</v>
      </c>
      <c r="E27" s="49">
        <f>VLOOKUP(B27,'Country Summary (€)'!B:P,15,0)</f>
        <v>1.7466122736401002</v>
      </c>
      <c r="S27" s="86"/>
      <c r="U27" s="89"/>
      <c r="V27" s="90"/>
      <c r="W27" s="91"/>
      <c r="Y27" s="86"/>
      <c r="Z27" s="90"/>
      <c r="AA27" s="91"/>
      <c r="AB27" s="92"/>
    </row>
    <row r="28" spans="2:28" ht="15.95" customHeight="1">
      <c r="B28" s="40" t="s">
        <v>1012</v>
      </c>
      <c r="C28" s="49">
        <f>VLOOKUP(B28,'Country Summary (€)'!B:J,6,0)</f>
        <v>0.93557517470732332</v>
      </c>
      <c r="D28" s="49">
        <f>VLOOKUP(B28,'Country Summary (€)'!B:N,13,0)</f>
        <v>0.50702937506829104</v>
      </c>
      <c r="E28" s="49">
        <f>VLOOKUP(B28,'Country Summary (€)'!B:P,15,0)</f>
        <v>1.4426045497756144</v>
      </c>
      <c r="S28" s="86"/>
      <c r="U28" s="89"/>
      <c r="V28" s="90"/>
      <c r="W28" s="91"/>
      <c r="Y28" s="86"/>
      <c r="Z28" s="90"/>
      <c r="AA28" s="91"/>
      <c r="AB28" s="92"/>
    </row>
    <row r="29" spans="2:28" ht="15.95" customHeight="1">
      <c r="B29" s="40" t="s">
        <v>3261</v>
      </c>
      <c r="C29" s="49">
        <f>VLOOKUP(B29,'Country Summary (€)'!B:J,6,0)</f>
        <v>0.67699999980934855</v>
      </c>
      <c r="D29" s="49">
        <f>VLOOKUP(B29,'Country Summary (€)'!B:N,13,0)</f>
        <v>0.29876165985970593</v>
      </c>
      <c r="E29" s="49">
        <f>VLOOKUP(B29,'Country Summary (€)'!B:P,15,0)</f>
        <v>0.97576165966905448</v>
      </c>
      <c r="S29" s="86"/>
      <c r="U29" s="89"/>
      <c r="V29" s="90"/>
      <c r="W29" s="91"/>
      <c r="Y29" s="86"/>
      <c r="Z29" s="90"/>
      <c r="AA29" s="91"/>
      <c r="AB29" s="92"/>
    </row>
    <row r="30" spans="2:28" ht="15.95" customHeight="1">
      <c r="B30" s="40" t="s">
        <v>3079</v>
      </c>
      <c r="C30" s="49">
        <f>VLOOKUP(B30,'Country Summary (€)'!B:J,6,0)</f>
        <v>0.32719249887853508</v>
      </c>
      <c r="D30" s="49">
        <f>VLOOKUP(B30,'Country Summary (€)'!B:N,13,0)</f>
        <v>0.49771876200181259</v>
      </c>
      <c r="E30" s="49">
        <f>VLOOKUP(B30,'Country Summary (€)'!B:P,15,0)</f>
        <v>0.82491126088034772</v>
      </c>
      <c r="S30" s="86"/>
      <c r="U30" s="89"/>
      <c r="V30" s="90"/>
      <c r="W30" s="91"/>
      <c r="Y30" s="86"/>
      <c r="Z30" s="90"/>
      <c r="AA30" s="91"/>
      <c r="AB30" s="92"/>
    </row>
    <row r="31" spans="2:28" ht="15.95" customHeight="1">
      <c r="B31" s="40" t="s">
        <v>2096</v>
      </c>
      <c r="C31" s="49">
        <f>VLOOKUP(B31,'Country Summary (€)'!B:J,6,0)</f>
        <v>9.0407853882959147E-2</v>
      </c>
      <c r="D31" s="49">
        <f>VLOOKUP(B31,'Country Summary (€)'!B:N,13,0)</f>
        <v>0.68659482539499217</v>
      </c>
      <c r="E31" s="49">
        <f>VLOOKUP(B31,'Country Summary (€)'!B:P,15,0)</f>
        <v>0.7770026792779513</v>
      </c>
      <c r="S31" s="86"/>
      <c r="U31" s="89"/>
      <c r="V31" s="90"/>
      <c r="W31" s="91"/>
      <c r="Y31" s="86"/>
      <c r="Z31" s="90"/>
      <c r="AA31" s="91"/>
      <c r="AB31" s="92"/>
    </row>
    <row r="32" spans="2:28" ht="15.95" customHeight="1">
      <c r="B32" s="40" t="s">
        <v>2488</v>
      </c>
      <c r="C32" s="49">
        <f>VLOOKUP(B32,'Country Summary (€)'!B:J,6,0)</f>
        <v>0.58199999999999996</v>
      </c>
      <c r="D32" s="49">
        <f>VLOOKUP(B32,'Country Summary (€)'!B:N,13,0)</f>
        <v>0.11319522088093531</v>
      </c>
      <c r="E32" s="49">
        <f>VLOOKUP(B32,'Country Summary (€)'!B:P,15,0)</f>
        <v>0.69519522088093533</v>
      </c>
      <c r="S32" s="86"/>
      <c r="U32" s="89"/>
      <c r="V32" s="90"/>
      <c r="W32" s="91"/>
      <c r="Y32" s="86"/>
      <c r="Z32" s="90"/>
      <c r="AA32" s="91"/>
      <c r="AB32" s="92"/>
    </row>
    <row r="33" spans="2:28" ht="15.95" customHeight="1">
      <c r="B33" s="40" t="s">
        <v>3214</v>
      </c>
      <c r="C33" s="49">
        <f>VLOOKUP(B33,'Country Summary (€)'!B:J,6,0)</f>
        <v>0.12592110041548174</v>
      </c>
      <c r="D33" s="49">
        <f>VLOOKUP(B33,'Country Summary (€)'!B:N,13,0)</f>
        <v>0.55709328537044944</v>
      </c>
      <c r="E33" s="49">
        <f>VLOOKUP(B33,'Country Summary (€)'!B:P,15,0)</f>
        <v>0.68301438578593121</v>
      </c>
      <c r="S33" s="86"/>
      <c r="U33" s="89"/>
      <c r="V33" s="90"/>
      <c r="W33" s="91"/>
      <c r="Y33" s="86"/>
      <c r="Z33" s="90"/>
      <c r="AA33" s="91"/>
      <c r="AB33" s="92"/>
    </row>
    <row r="34" spans="2:28" ht="15.95" customHeight="1">
      <c r="B34" s="40" t="s">
        <v>1973</v>
      </c>
      <c r="C34" s="49">
        <f>VLOOKUP(B34,'Country Summary (€)'!B:J,6,0)</f>
        <v>0.18684970463746781</v>
      </c>
      <c r="D34" s="49">
        <f>VLOOKUP(B34,'Country Summary (€)'!B:N,13,0)</f>
        <v>0.49299476036770773</v>
      </c>
      <c r="E34" s="49">
        <f>VLOOKUP(B34,'Country Summary (€)'!B:P,15,0)</f>
        <v>0.67984446500517559</v>
      </c>
      <c r="S34" s="86"/>
      <c r="U34" s="89"/>
      <c r="V34" s="90"/>
      <c r="W34" s="91"/>
      <c r="Y34" s="86"/>
      <c r="Z34" s="90"/>
      <c r="AA34" s="91"/>
      <c r="AB34" s="92"/>
    </row>
    <row r="35" spans="2:28" ht="15.95" customHeight="1">
      <c r="B35" s="40" t="s">
        <v>3162</v>
      </c>
      <c r="C35" s="49">
        <f>VLOOKUP(B35,'Country Summary (€)'!B:J,6,0)</f>
        <v>0.61058152373941843</v>
      </c>
      <c r="D35" s="49">
        <f>VLOOKUP(B35,'Country Summary (€)'!B:N,13,0)</f>
        <v>0</v>
      </c>
      <c r="E35" s="49">
        <f>VLOOKUP(B35,'Country Summary (€)'!B:P,15,0)</f>
        <v>0.61058152373941843</v>
      </c>
      <c r="S35" s="86"/>
      <c r="U35" s="89"/>
      <c r="V35" s="90"/>
      <c r="W35" s="91"/>
      <c r="Y35" s="86"/>
      <c r="Z35" s="90"/>
      <c r="AA35" s="91"/>
      <c r="AB35" s="92"/>
    </row>
    <row r="36" spans="2:28" ht="15.95" customHeight="1">
      <c r="B36" s="40" t="s">
        <v>1305</v>
      </c>
      <c r="C36" s="49">
        <f>VLOOKUP(B36,'Country Summary (€)'!B:J,6,0)</f>
        <v>0.43139430000000001</v>
      </c>
      <c r="D36" s="49">
        <f>VLOOKUP(B36,'Country Summary (€)'!B:N,13,0)</f>
        <v>6.7589379582307624E-2</v>
      </c>
      <c r="E36" s="49">
        <f>VLOOKUP(B36,'Country Summary (€)'!B:P,15,0)</f>
        <v>0.4989836795823076</v>
      </c>
      <c r="S36" s="86"/>
      <c r="U36" s="89"/>
      <c r="V36" s="90"/>
      <c r="W36" s="91"/>
      <c r="Y36" s="86"/>
      <c r="Z36" s="90"/>
      <c r="AA36" s="91"/>
      <c r="AB36" s="92"/>
    </row>
    <row r="37" spans="2:28" ht="15.95" customHeight="1">
      <c r="B37" s="40" t="s">
        <v>2392</v>
      </c>
      <c r="C37" s="49">
        <f>VLOOKUP(B37,'Country Summary (€)'!B:J,6,0)</f>
        <v>0.40015873548199998</v>
      </c>
      <c r="D37" s="49">
        <f>VLOOKUP(B37,'Country Summary (€)'!B:N,13,0)</f>
        <v>7.0556738882932776E-2</v>
      </c>
      <c r="E37" s="49">
        <f>VLOOKUP(B37,'Country Summary (€)'!B:P,15,0)</f>
        <v>0.47071547436493277</v>
      </c>
      <c r="S37" s="87"/>
      <c r="T37" s="84"/>
      <c r="U37" s="93"/>
      <c r="V37" s="90"/>
      <c r="W37" s="91"/>
      <c r="Y37" s="88"/>
      <c r="Z37" s="94"/>
      <c r="AA37" s="91"/>
      <c r="AB37" s="92"/>
    </row>
    <row r="38" spans="2:28" ht="15.95" customHeight="1">
      <c r="B38" s="40" t="s">
        <v>2028</v>
      </c>
      <c r="C38" s="49">
        <f>VLOOKUP(B38,'Country Summary (€)'!B:J,6,0)</f>
        <v>4.7109803475361152E-2</v>
      </c>
      <c r="D38" s="49">
        <f>VLOOKUP(B38,'Country Summary (€)'!B:N,13,0)</f>
        <v>0.39829064119170099</v>
      </c>
      <c r="E38" s="49">
        <f>VLOOKUP(B38,'Country Summary (€)'!B:P,15,0)</f>
        <v>0.44540044466706213</v>
      </c>
      <c r="S38" s="82"/>
      <c r="V38" s="90"/>
      <c r="W38" s="91"/>
      <c r="Y38" s="86"/>
      <c r="Z38" s="91"/>
      <c r="AA38" s="91"/>
      <c r="AB38" s="92"/>
    </row>
    <row r="39" spans="2:28" ht="15.95" customHeight="1">
      <c r="B39" s="40" t="s">
        <v>673</v>
      </c>
      <c r="C39" s="49">
        <f>VLOOKUP(B39,'Country Summary (€)'!B:J,6,0)</f>
        <v>0.23999427078433377</v>
      </c>
      <c r="D39" s="49">
        <f>VLOOKUP(B39,'Country Summary (€)'!B:N,13,0)</f>
        <v>0.20079868570904283</v>
      </c>
      <c r="E39" s="49">
        <f>VLOOKUP(B39,'Country Summary (€)'!B:P,15,0)</f>
        <v>0.44079295649337658</v>
      </c>
      <c r="S39" s="82"/>
      <c r="V39" s="90"/>
      <c r="W39" s="91"/>
      <c r="Y39" s="86"/>
      <c r="Z39" s="91"/>
      <c r="AA39" s="91"/>
      <c r="AB39" s="92"/>
    </row>
    <row r="40" spans="2:28" ht="15.95" customHeight="1">
      <c r="B40" s="40" t="s">
        <v>359</v>
      </c>
      <c r="C40" s="49">
        <f>VLOOKUP(B40,'Country Summary (€)'!B:J,6,0)</f>
        <v>0.42389575431298177</v>
      </c>
      <c r="D40" s="49">
        <f>VLOOKUP(B40,'Country Summary (€)'!B:N,13,0)</f>
        <v>0</v>
      </c>
      <c r="E40" s="49">
        <f>VLOOKUP(B40,'Country Summary (€)'!B:P,15,0)</f>
        <v>0.42389575431298177</v>
      </c>
      <c r="S40" s="82"/>
      <c r="V40" s="91"/>
      <c r="W40" s="91"/>
      <c r="Z40" s="91"/>
      <c r="AA40" s="91"/>
      <c r="AB40" s="92"/>
    </row>
    <row r="41" spans="2:28" ht="15.95" customHeight="1">
      <c r="B41" s="40" t="s">
        <v>3649</v>
      </c>
      <c r="C41" s="49">
        <f>VLOOKUP(B41,'Country Summary (€)'!B:J,6,0)</f>
        <v>0.39052404881550612</v>
      </c>
      <c r="D41" s="49">
        <f>VLOOKUP(B41,'Country Summary (€)'!B:N,13,0)</f>
        <v>0</v>
      </c>
      <c r="E41" s="49">
        <f>VLOOKUP(B41,'Country Summary (€)'!B:P,15,0)</f>
        <v>0.39052404881550612</v>
      </c>
      <c r="S41" s="82"/>
      <c r="V41" s="91"/>
      <c r="W41" s="91"/>
      <c r="Z41" s="91"/>
      <c r="AA41" s="91"/>
      <c r="AB41" s="92"/>
    </row>
    <row r="42" spans="2:28" ht="15.95" customHeight="1">
      <c r="B42" s="40" t="s">
        <v>918</v>
      </c>
      <c r="C42" s="49">
        <f>VLOOKUP(B42,'Country Summary (€)'!B:J,6,0)</f>
        <v>0.1900000004540951</v>
      </c>
      <c r="D42" s="49">
        <f>VLOOKUP(B42,'Country Summary (€)'!B:N,13,0)</f>
        <v>0.14506236751758189</v>
      </c>
      <c r="E42" s="49">
        <f>VLOOKUP(B42,'Country Summary (€)'!B:P,15,0)</f>
        <v>0.33506236797167699</v>
      </c>
      <c r="S42" s="82"/>
      <c r="V42" s="91"/>
      <c r="W42" s="91"/>
      <c r="Z42" s="91"/>
      <c r="AA42" s="91"/>
      <c r="AB42" s="92"/>
    </row>
    <row r="43" spans="2:28" ht="15.95" customHeight="1">
      <c r="B43" s="40" t="s">
        <v>3337</v>
      </c>
      <c r="C43" s="49">
        <f>VLOOKUP(B43,'Country Summary (€)'!B:J,6,0)</f>
        <v>6.1125599987486207E-2</v>
      </c>
      <c r="D43" s="49">
        <f>VLOOKUP(B43,'Country Summary (€)'!B:N,13,0)</f>
        <v>0.12388484609167702</v>
      </c>
      <c r="E43" s="49">
        <f>VLOOKUP(B43,'Country Summary (€)'!B:P,15,0)</f>
        <v>0.18501044607916323</v>
      </c>
      <c r="S43" s="82"/>
      <c r="V43" s="91"/>
      <c r="W43" s="91"/>
      <c r="Z43" s="91"/>
      <c r="AA43" s="91"/>
      <c r="AB43" s="92"/>
    </row>
    <row r="44" spans="2:28" ht="15.95" customHeight="1">
      <c r="B44" s="40" t="s">
        <v>2625</v>
      </c>
      <c r="C44" s="49">
        <f>VLOOKUP(B44,'Country Summary (€)'!B:J,6,0)</f>
        <v>9.5631999999999995E-2</v>
      </c>
      <c r="D44" s="49">
        <f>VLOOKUP(B44,'Country Summary (€)'!B:N,13,0)</f>
        <v>0.10919255818822249</v>
      </c>
      <c r="E44" s="49">
        <f>VLOOKUP(B44,'Country Summary (€)'!B:P,15,0)</f>
        <v>0.20482455818822248</v>
      </c>
    </row>
    <row r="45" spans="2:28" ht="15.95" customHeight="1">
      <c r="B45" s="40" t="s">
        <v>3685</v>
      </c>
      <c r="C45" s="49">
        <f>VLOOKUP(B45,'Country Summary (€)'!B:J,6,0)</f>
        <v>6.6346781376518213E-2</v>
      </c>
      <c r="D45" s="49">
        <f>VLOOKUP(B45,'Country Summary (€)'!B:N,13,0)</f>
        <v>0</v>
      </c>
      <c r="E45" s="49">
        <f>VLOOKUP(B45,'Country Summary (€)'!B:P,15,0)</f>
        <v>6.6346781376518213E-2</v>
      </c>
    </row>
    <row r="46" spans="2:28" ht="15.95" customHeight="1">
      <c r="B46" s="40" t="s">
        <v>3713</v>
      </c>
      <c r="C46" s="49">
        <f>VLOOKUP(B46,'Country Summary (€)'!B:J,6,0)</f>
        <v>6.3029076186970928E-2</v>
      </c>
      <c r="D46" s="49">
        <f>VLOOKUP(B46,'Country Summary (€)'!B:N,13,0)</f>
        <v>0</v>
      </c>
      <c r="E46" s="49">
        <f>VLOOKUP(B46,'Country Summary (€)'!B:P,15,0)</f>
        <v>6.3029076186970928E-2</v>
      </c>
    </row>
    <row r="47" spans="2:28" ht="15.95" customHeight="1">
      <c r="B47" s="40" t="s">
        <v>981</v>
      </c>
      <c r="C47" s="49">
        <f>VLOOKUP(B47,'Country Summary (€)'!B:J,6,0)</f>
        <v>3.0000000000000001E-3</v>
      </c>
      <c r="D47" s="49">
        <f>VLOOKUP(B47,'Country Summary (€)'!B:N,13,0)</f>
        <v>5.4286708984091152E-2</v>
      </c>
      <c r="E47" s="49">
        <f>VLOOKUP(B47,'Country Summary (€)'!B:P,15,0)</f>
        <v>5.7286708984091154E-2</v>
      </c>
    </row>
    <row r="48" spans="2:28" ht="15.95" customHeight="1">
      <c r="B48" s="40" t="s">
        <v>2678</v>
      </c>
      <c r="C48" s="49">
        <f>VLOOKUP(B48,'Country Summary (€)'!B:J,6,0)</f>
        <v>2.0699999999999998E-3</v>
      </c>
      <c r="D48" s="49">
        <f>VLOOKUP(B48,'Country Summary (€)'!B:N,13,0)</f>
        <v>2.8729704686463284E-2</v>
      </c>
      <c r="E48" s="49">
        <f>VLOOKUP(B48,'Country Summary (€)'!B:P,15,0)</f>
        <v>3.0799704686463283E-2</v>
      </c>
    </row>
    <row r="49" spans="2:14" ht="15.95" customHeight="1">
      <c r="B49" s="40" t="s">
        <v>2139</v>
      </c>
      <c r="C49" s="49">
        <f>VLOOKUP(B49,'Country Summary (€)'!B:J,6,0)</f>
        <v>2.9585704973881494E-2</v>
      </c>
      <c r="D49" s="49">
        <f>VLOOKUP(B49,'Country Summary (€)'!B:N,13,0)</f>
        <v>0</v>
      </c>
      <c r="E49" s="49">
        <f>VLOOKUP(B49,'Country Summary (€)'!B:P,15,0)</f>
        <v>2.9585704973881494E-2</v>
      </c>
    </row>
    <row r="50" spans="2:14" ht="15.95" customHeight="1">
      <c r="B50" s="40" t="s">
        <v>2832</v>
      </c>
      <c r="C50" s="49">
        <f>VLOOKUP(B50,'Country Summary (€)'!B:J,6,0)</f>
        <v>2.5198787254733714E-2</v>
      </c>
      <c r="D50" s="49">
        <f>VLOOKUP(B50,'Country Summary (€)'!B:N,13,0)</f>
        <v>0</v>
      </c>
      <c r="E50" s="49">
        <f>VLOOKUP(B50,'Country Summary (€)'!B:P,15,0)</f>
        <v>2.5198787254733714E-2</v>
      </c>
    </row>
    <row r="51" spans="2:14" ht="15.95" customHeight="1">
      <c r="B51" s="40" t="s">
        <v>905</v>
      </c>
      <c r="C51" s="49">
        <f>VLOOKUP(B51,'Country Summary (€)'!B:J,6,0)</f>
        <v>2.1750355506399113E-3</v>
      </c>
      <c r="D51" s="49">
        <f>VLOOKUP(B51,'Country Summary (€)'!B:N,13,0)</f>
        <v>0</v>
      </c>
      <c r="E51" s="49">
        <f>VLOOKUP(B51,'Country Summary (€)'!B:P,15,0)</f>
        <v>2.1750355506399113E-3</v>
      </c>
    </row>
    <row r="52" spans="2:14" ht="15.95" customHeight="1">
      <c r="B52" s="46" t="s">
        <v>2076</v>
      </c>
      <c r="C52" s="51">
        <f>VLOOKUP(B52,'Country Summary (€)'!B:J,6,0)</f>
        <v>1.7917280088332722E-3</v>
      </c>
      <c r="D52" s="51">
        <f>VLOOKUP(B52,'Country Summary (€)'!B:N,13,0)</f>
        <v>0</v>
      </c>
      <c r="E52" s="51">
        <f>VLOOKUP(B52,'Country Summary (€)'!B:P,15,0)</f>
        <v>1.7917280088332722E-3</v>
      </c>
    </row>
    <row r="53" spans="2:14" ht="15.95" customHeight="1">
      <c r="F53" s="50"/>
      <c r="G53" s="50"/>
      <c r="H53" s="50"/>
      <c r="I53" s="50"/>
      <c r="J53" s="50"/>
      <c r="K53" s="50"/>
      <c r="L53" s="50"/>
      <c r="M53" s="50"/>
      <c r="N53" s="50"/>
    </row>
    <row r="54" spans="2:14" ht="15.95" customHeight="1">
      <c r="B54" s="386" t="s">
        <v>4530</v>
      </c>
      <c r="C54" s="783">
        <f>SUM(C12:C52)</f>
        <v>130.35544750281218</v>
      </c>
      <c r="D54" s="783">
        <f>SUM(D12:D52)</f>
        <v>35.0625</v>
      </c>
      <c r="E54" s="783">
        <f>SUM(E12:E52)</f>
        <v>165.41794750281221</v>
      </c>
    </row>
    <row r="55" spans="2:14" ht="15.95" customHeight="1">
      <c r="F55" s="50"/>
      <c r="G55" s="50"/>
      <c r="H55" s="50"/>
      <c r="I55" s="50"/>
      <c r="J55" s="50"/>
      <c r="K55" s="50"/>
      <c r="L55" s="50"/>
      <c r="M55" s="50"/>
      <c r="N55" s="50"/>
    </row>
    <row r="56" spans="2:14" ht="15.95" customHeight="1">
      <c r="F56" s="50"/>
      <c r="G56" s="50"/>
      <c r="H56" s="50"/>
      <c r="I56" s="50"/>
      <c r="J56" s="50"/>
      <c r="K56" s="50"/>
      <c r="L56" s="50"/>
      <c r="M56" s="50"/>
      <c r="N56" s="50"/>
    </row>
    <row r="57" spans="2:14" ht="15.95" customHeight="1">
      <c r="F57" s="50"/>
      <c r="G57" s="50"/>
      <c r="H57" s="50"/>
      <c r="I57" s="50"/>
      <c r="J57" s="50"/>
      <c r="K57" s="50"/>
      <c r="L57" s="50"/>
      <c r="M57" s="50"/>
      <c r="N57" s="50"/>
    </row>
    <row r="61" spans="2:14" ht="15.95" customHeight="1">
      <c r="D61" s="49"/>
    </row>
  </sheetData>
  <sortState xmlns:xlrd2="http://schemas.microsoft.com/office/spreadsheetml/2017/richdata2" ref="B12:E52">
    <sortCondition descending="1" ref="E12:E52"/>
  </sortState>
  <mergeCells count="1">
    <mergeCell ref="B4:E9"/>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L90"/>
  <sheetViews>
    <sheetView showGridLines="0" zoomScaleNormal="100" workbookViewId="0"/>
  </sheetViews>
  <sheetFormatPr defaultColWidth="8.625" defaultRowHeight="15.95" customHeight="1"/>
  <cols>
    <col min="1" max="1" width="8.625" style="2" customWidth="1"/>
    <col min="2" max="2" width="25.5" style="54" customWidth="1"/>
    <col min="3" max="3" width="17.875" style="54" customWidth="1"/>
    <col min="4" max="4" width="17.625" style="54" customWidth="1"/>
    <col min="5" max="5" width="15.875" style="54" customWidth="1"/>
    <col min="6" max="6" width="24.875" style="54" customWidth="1"/>
    <col min="7" max="7" width="12.625" style="54" customWidth="1"/>
    <col min="8" max="8" width="13.625" style="54" customWidth="1"/>
    <col min="9" max="16384" width="8.625" style="54"/>
  </cols>
  <sheetData>
    <row r="1" spans="1:9" s="35" customFormat="1" ht="15.95" customHeight="1">
      <c r="B1" s="39"/>
      <c r="C1" s="146"/>
      <c r="D1" s="146"/>
      <c r="E1" s="146"/>
      <c r="F1" s="39"/>
      <c r="G1" s="39"/>
    </row>
    <row r="2" spans="1:9" s="469" customFormat="1" ht="24.75" customHeight="1">
      <c r="A2" s="465"/>
      <c r="B2" s="391" t="s">
        <v>4577</v>
      </c>
      <c r="C2" s="468"/>
      <c r="D2" s="468"/>
      <c r="E2" s="468"/>
    </row>
    <row r="3" spans="1:9" s="43" customFormat="1" ht="15.95" customHeight="1">
      <c r="A3" s="35"/>
      <c r="B3" s="365"/>
      <c r="C3" s="145"/>
      <c r="D3" s="145"/>
      <c r="E3" s="145"/>
    </row>
    <row r="4" spans="1:9" s="43" customFormat="1" ht="15.95" customHeight="1">
      <c r="A4" s="35"/>
      <c r="B4" s="1438" t="s">
        <v>4578</v>
      </c>
      <c r="C4" s="1438"/>
      <c r="D4" s="1438"/>
      <c r="E4" s="1438"/>
      <c r="F4" s="1438"/>
      <c r="G4" s="1438"/>
      <c r="H4" s="1438"/>
    </row>
    <row r="5" spans="1:9" s="43" customFormat="1" ht="15.95" customHeight="1">
      <c r="A5" s="35"/>
      <c r="B5" s="1438"/>
      <c r="C5" s="1438"/>
      <c r="D5" s="1438"/>
      <c r="E5" s="1438"/>
      <c r="F5" s="1438"/>
      <c r="G5" s="1438"/>
      <c r="H5" s="1438"/>
    </row>
    <row r="6" spans="1:9" s="114" customFormat="1" ht="15.95" customHeight="1">
      <c r="B6" s="1438"/>
      <c r="C6" s="1438"/>
      <c r="D6" s="1438"/>
      <c r="E6" s="1438"/>
      <c r="F6" s="1438"/>
      <c r="G6" s="1438"/>
      <c r="H6" s="1438"/>
    </row>
    <row r="7" spans="1:9" s="114" customFormat="1" ht="15.95" customHeight="1">
      <c r="B7" s="1438"/>
      <c r="C7" s="1438"/>
      <c r="D7" s="1438"/>
      <c r="E7" s="1438"/>
      <c r="F7" s="1438"/>
      <c r="G7" s="1438"/>
      <c r="H7" s="1438"/>
    </row>
    <row r="8" spans="1:9" s="114" customFormat="1" ht="15.95" customHeight="1">
      <c r="B8" s="1438"/>
      <c r="C8" s="1438"/>
      <c r="D8" s="1438"/>
      <c r="E8" s="1438"/>
      <c r="F8" s="1438"/>
      <c r="G8" s="1438"/>
      <c r="H8" s="1438"/>
    </row>
    <row r="9" spans="1:9" s="114" customFormat="1" ht="15.95" customHeight="1">
      <c r="B9" s="1438"/>
      <c r="C9" s="1438"/>
      <c r="D9" s="1438"/>
      <c r="E9" s="1438"/>
      <c r="F9" s="1438"/>
      <c r="G9" s="1438"/>
      <c r="H9" s="1438"/>
    </row>
    <row r="11" spans="1:9" s="476" customFormat="1" ht="24.75" customHeight="1">
      <c r="A11" s="11"/>
      <c r="B11" s="367" t="s">
        <v>4512</v>
      </c>
      <c r="C11" s="434" t="s">
        <v>544</v>
      </c>
      <c r="D11" s="435" t="s">
        <v>360</v>
      </c>
      <c r="E11" s="434" t="s">
        <v>389</v>
      </c>
      <c r="F11" s="434" t="s">
        <v>4579</v>
      </c>
      <c r="G11" s="435" t="s">
        <v>4530</v>
      </c>
      <c r="I11" s="391" t="s">
        <v>4580</v>
      </c>
    </row>
    <row r="12" spans="1:9" ht="15.95" customHeight="1">
      <c r="B12" s="44" t="s">
        <v>3949</v>
      </c>
      <c r="C12" s="121">
        <f>VLOOKUP(B12,'Country Summary (€)'!B:J,3,0)</f>
        <v>24.263894000736109</v>
      </c>
      <c r="D12" s="121">
        <f>VLOOKUP(B12,'Country Summary (€)'!B:J,4,0)</f>
        <v>3.5981956128082446</v>
      </c>
      <c r="E12" s="121">
        <f>VLOOKUP(B12,'Country Summary (€)'!B:J,5,0)</f>
        <v>42.836768494663232</v>
      </c>
      <c r="F12" s="121">
        <f>VLOOKUP(B12,'Refugee Cost Calculations'!B:D,2,0)</f>
        <v>0</v>
      </c>
      <c r="G12" s="121">
        <f t="shared" ref="G12:G52" si="0">SUM(C12:E12,F12)</f>
        <v>70.698858108207588</v>
      </c>
    </row>
    <row r="13" spans="1:9" ht="15.95" customHeight="1">
      <c r="B13" s="44" t="s">
        <v>1711</v>
      </c>
      <c r="C13" s="121">
        <f>VLOOKUP(B13,'Country Summary (€)'!B:J,3,0)</f>
        <v>1.3</v>
      </c>
      <c r="D13" s="121">
        <f>VLOOKUP(B13,'Country Summary (€)'!B:J,4,0)</f>
        <v>1.8791060500000001</v>
      </c>
      <c r="E13" s="121">
        <f>VLOOKUP(B13,'Country Summary (€)'!B:J,5,0)</f>
        <v>7.5023</v>
      </c>
      <c r="F13" s="121">
        <f>VLOOKUP(B13,'Refugee Cost Calculations'!B:D,2,0)</f>
        <v>13.899756883309282</v>
      </c>
      <c r="G13" s="121">
        <f t="shared" si="0"/>
        <v>24.58116293330928</v>
      </c>
    </row>
    <row r="14" spans="1:9" ht="15.95" customHeight="1">
      <c r="B14" s="44" t="s">
        <v>2989</v>
      </c>
      <c r="C14" s="121">
        <f>VLOOKUP(B14,'Country Summary (€)'!B:J,3,0)</f>
        <v>0.92674858941155414</v>
      </c>
      <c r="D14" s="121">
        <f>VLOOKUP(B14,'Country Summary (€)'!B:J,4,0)</f>
        <v>0.33987242236276521</v>
      </c>
      <c r="E14" s="121">
        <f>VLOOKUP(B14,'Country Summary (€)'!B:J,5,0)</f>
        <v>3</v>
      </c>
      <c r="F14" s="121">
        <f>VLOOKUP(B14,'Refugee Cost Calculations'!B:D,2,0)</f>
        <v>15.423050158100741</v>
      </c>
      <c r="G14" s="121">
        <f t="shared" si="0"/>
        <v>19.689671169875062</v>
      </c>
    </row>
    <row r="15" spans="1:9" ht="15.95" customHeight="1">
      <c r="B15" s="44" t="s">
        <v>3748</v>
      </c>
      <c r="C15" s="121">
        <f>VLOOKUP(B15,'Country Summary (€)'!B:J,3,0)</f>
        <v>3.8866162922313756</v>
      </c>
      <c r="D15" s="121">
        <f>VLOOKUP(B15,'Country Summary (€)'!B:J,4,0)</f>
        <v>0.26985659464374639</v>
      </c>
      <c r="E15" s="121">
        <f>VLOOKUP(B15,'Country Summary (€)'!B:J,5,0)</f>
        <v>6.5786757252947297</v>
      </c>
      <c r="F15" s="121">
        <f>VLOOKUP(B15,'Refugee Cost Calculations'!B:D,2,0)</f>
        <v>1.0385338054812834</v>
      </c>
      <c r="G15" s="121">
        <f t="shared" si="0"/>
        <v>11.773682417651134</v>
      </c>
    </row>
    <row r="16" spans="1:9" ht="15.95" customHeight="1">
      <c r="B16" s="44" t="s">
        <v>2312</v>
      </c>
      <c r="C16" s="121">
        <f>VLOOKUP(B16,'Country Summary (€)'!B:J,3,0)</f>
        <v>5.5866304747883699</v>
      </c>
      <c r="D16" s="121">
        <f>VLOOKUP(B16,'Country Summary (€)'!B:J,4,0)</f>
        <v>1.0007732517482517</v>
      </c>
      <c r="E16" s="121">
        <f>VLOOKUP(B16,'Country Summary (€)'!B:J,5,0)</f>
        <v>2.9860139860139859E-2</v>
      </c>
      <c r="F16" s="121">
        <f>VLOOKUP(B16,'Refugee Cost Calculations'!B:D,2,0)</f>
        <v>0</v>
      </c>
      <c r="G16" s="121">
        <f t="shared" si="0"/>
        <v>6.6172638663967609</v>
      </c>
    </row>
    <row r="17" spans="2:7" ht="15.95" customHeight="1">
      <c r="B17" s="44" t="s">
        <v>713</v>
      </c>
      <c r="C17" s="121">
        <f>VLOOKUP(B17,'Country Summary (€)'!B:J,3,0)</f>
        <v>3.4181925057648148</v>
      </c>
      <c r="D17" s="121">
        <f>VLOOKUP(B17,'Country Summary (€)'!B:J,4,0)</f>
        <v>0.3511268468713829</v>
      </c>
      <c r="E17" s="121">
        <f>VLOOKUP(B17,'Country Summary (€)'!B:J,5,0)</f>
        <v>1.4998221822208855</v>
      </c>
      <c r="F17" s="121">
        <f>VLOOKUP(B17,'Refugee Cost Calculations'!B:D,2,0)</f>
        <v>0</v>
      </c>
      <c r="G17" s="121">
        <f t="shared" si="0"/>
        <v>5.2691415348570834</v>
      </c>
    </row>
    <row r="18" spans="2:7" ht="15.95" customHeight="1">
      <c r="B18" s="44" t="s">
        <v>2693</v>
      </c>
      <c r="C18" s="121">
        <f>VLOOKUP(B18,'Country Summary (€)'!B:J,3,0)</f>
        <v>0.99282278248067724</v>
      </c>
      <c r="D18" s="121">
        <f>VLOOKUP(B18,'Country Summary (€)'!B:J,4,0)</f>
        <v>0.58681891792418106</v>
      </c>
      <c r="E18" s="121">
        <f>VLOOKUP(B18,'Country Summary (€)'!B:J,5,0)</f>
        <v>2.4834999999999998</v>
      </c>
      <c r="F18" s="121">
        <f>VLOOKUP(B18,'Refugee Cost Calculations'!B:D,2,0)</f>
        <v>1.0268097504310736</v>
      </c>
      <c r="G18" s="121">
        <f t="shared" si="0"/>
        <v>5.0899514508359314</v>
      </c>
    </row>
    <row r="19" spans="2:7" ht="15.95" customHeight="1">
      <c r="B19" s="44" t="s">
        <v>1012</v>
      </c>
      <c r="C19" s="121">
        <f>VLOOKUP(B19,'Country Summary (€)'!B:J,3,0)</f>
        <v>0</v>
      </c>
      <c r="D19" s="121">
        <f>VLOOKUP(B19,'Country Summary (€)'!B:J,4,0)</f>
        <v>0.37011219482272112</v>
      </c>
      <c r="E19" s="121">
        <f>VLOOKUP(B19,'Country Summary (€)'!B:J,5,0)</f>
        <v>0.56546297988460215</v>
      </c>
      <c r="F19" s="121">
        <f>VLOOKUP(B19,'Refugee Cost Calculations'!B:D,2,0)</f>
        <v>3.8457418680440227</v>
      </c>
      <c r="G19" s="121">
        <f t="shared" si="0"/>
        <v>4.7813170427513461</v>
      </c>
    </row>
    <row r="20" spans="2:7" ht="15.95" customHeight="1">
      <c r="B20" s="44" t="s">
        <v>1523</v>
      </c>
      <c r="C20" s="121">
        <f>VLOOKUP(B20,'Country Summary (€)'!B:J,3,0)</f>
        <v>0.69940000000000002</v>
      </c>
      <c r="D20" s="121">
        <f>VLOOKUP(B20,'Country Summary (€)'!B:J,4,0)</f>
        <v>0.3162660251048951</v>
      </c>
      <c r="E20" s="121">
        <f>VLOOKUP(B20,'Country Summary (€)'!B:J,5,0)</f>
        <v>0.44573671433132461</v>
      </c>
      <c r="F20" s="121">
        <f>VLOOKUP(B20,'Refugee Cost Calculations'!B:D,2,0)</f>
        <v>3.0290440854503466</v>
      </c>
      <c r="G20" s="121">
        <f t="shared" si="0"/>
        <v>4.4904468248865665</v>
      </c>
    </row>
    <row r="21" spans="2:7" ht="15.95" customHeight="1">
      <c r="B21" s="44" t="s">
        <v>3412</v>
      </c>
      <c r="C21" s="121">
        <f>VLOOKUP(B21,'Country Summary (€)'!B:J,3,0)</f>
        <v>0.45419999999999999</v>
      </c>
      <c r="D21" s="121">
        <f>VLOOKUP(B21,'Country Summary (€)'!B:J,4,0)</f>
        <v>5.2958190509385356E-2</v>
      </c>
      <c r="E21" s="121">
        <f>VLOOKUP(B21,'Country Summary (€)'!B:J,5,0)</f>
        <v>0.3283765566618333</v>
      </c>
      <c r="F21" s="121">
        <f>VLOOKUP(B21,'Refugee Cost Calculations'!B:D,2,0)</f>
        <v>2.9712913916832537</v>
      </c>
      <c r="G21" s="121">
        <f t="shared" si="0"/>
        <v>3.8068261388544724</v>
      </c>
    </row>
    <row r="22" spans="2:7" ht="15.95" customHeight="1">
      <c r="B22" s="44" t="s">
        <v>2204</v>
      </c>
      <c r="C22" s="121">
        <f>VLOOKUP(B22,'Country Summary (€)'!B:J,3,0)</f>
        <v>0.41</v>
      </c>
      <c r="D22" s="121">
        <f>VLOOKUP(B22,'Country Summary (€)'!B:J,4,0)</f>
        <v>0.2213535931174089</v>
      </c>
      <c r="E22" s="121">
        <f>VLOOKUP(B22,'Country Summary (€)'!B:J,5,0)</f>
        <v>0.71296199986253783</v>
      </c>
      <c r="F22" s="121">
        <f>VLOOKUP(B22,'Refugee Cost Calculations'!B:D,2,0)</f>
        <v>1.5020308887716507</v>
      </c>
      <c r="G22" s="121">
        <f t="shared" si="0"/>
        <v>2.8463464817515973</v>
      </c>
    </row>
    <row r="23" spans="2:7" ht="15.95" customHeight="1">
      <c r="B23" s="35" t="s">
        <v>2882</v>
      </c>
      <c r="C23" s="121">
        <f>VLOOKUP(B23,'Country Summary (€)'!B:J,3,0)</f>
        <v>0.88724111480439782</v>
      </c>
      <c r="D23" s="121">
        <f>VLOOKUP(B23,'Country Summary (€)'!B:J,4,0)</f>
        <v>0.1888046003579647</v>
      </c>
      <c r="E23" s="121">
        <f>VLOOKUP(B23,'Country Summary (€)'!B:J,5,0)</f>
        <v>1.0133810619619874</v>
      </c>
      <c r="F23" s="121">
        <f>VLOOKUP(B23,'Refugee Cost Calculations'!B:D,2,0)</f>
        <v>0.72874948688342878</v>
      </c>
      <c r="G23" s="121">
        <f t="shared" si="0"/>
        <v>2.818176264007779</v>
      </c>
    </row>
    <row r="24" spans="2:7" ht="15.95" customHeight="1">
      <c r="B24" s="44" t="s">
        <v>3548</v>
      </c>
      <c r="C24" s="121">
        <f>VLOOKUP(B24,'Country Summary (€)'!B:J,3,0)</f>
        <v>0.19906842957504756</v>
      </c>
      <c r="D24" s="121">
        <f>VLOOKUP(B24,'Country Summary (€)'!B:J,4,0)</f>
        <v>0.14222605672350075</v>
      </c>
      <c r="E24" s="121">
        <f>VLOOKUP(B24,'Country Summary (€)'!B:J,5,0)</f>
        <v>1.4866003500532117</v>
      </c>
      <c r="F24" s="121">
        <f>VLOOKUP(B24,'Refugee Cost Calculations'!B:D,2,0)</f>
        <v>0.58089694393973157</v>
      </c>
      <c r="G24" s="121">
        <f t="shared" si="0"/>
        <v>2.4087917802914918</v>
      </c>
    </row>
    <row r="25" spans="2:7" ht="15.95" customHeight="1">
      <c r="B25" s="44" t="s">
        <v>1194</v>
      </c>
      <c r="C25" s="121">
        <f>VLOOKUP(B25,'Country Summary (€)'!B:J,3,0)</f>
        <v>5.7500000000000002E-2</v>
      </c>
      <c r="D25" s="121">
        <f>VLOOKUP(B25,'Country Summary (€)'!B:J,4,0)</f>
        <v>0.26024304222326644</v>
      </c>
      <c r="E25" s="121">
        <f>VLOOKUP(B25,'Country Summary (€)'!B:J,5,0)</f>
        <v>1.5690784453245619</v>
      </c>
      <c r="F25" s="121">
        <f>VLOOKUP(B25,'Refugee Cost Calculations'!B:D,2,0)</f>
        <v>0.48983726095354646</v>
      </c>
      <c r="G25" s="121">
        <f t="shared" si="0"/>
        <v>2.3766587485013746</v>
      </c>
    </row>
    <row r="26" spans="2:7" ht="15.95" customHeight="1">
      <c r="B26" s="44" t="s">
        <v>454</v>
      </c>
      <c r="C26" s="121">
        <f>VLOOKUP(B26,'Country Summary (€)'!B:J,3,0)</f>
        <v>0.04</v>
      </c>
      <c r="D26" s="121">
        <f>VLOOKUP(B26,'Country Summary (€)'!B:J,4,0)</f>
        <v>0.82266856780677222</v>
      </c>
      <c r="E26" s="121">
        <f>VLOOKUP(B26,'Country Summary (€)'!B:J,5,0)</f>
        <v>3.3008594497607653E-3</v>
      </c>
      <c r="F26" s="121">
        <f>VLOOKUP(B26,'Refugee Cost Calculations'!B:D,2,0)</f>
        <v>1.1540411741616718</v>
      </c>
      <c r="G26" s="121">
        <f t="shared" si="0"/>
        <v>2.0200106014182051</v>
      </c>
    </row>
    <row r="27" spans="2:7" ht="15.95" customHeight="1">
      <c r="B27" s="35" t="s">
        <v>3649</v>
      </c>
      <c r="C27" s="121">
        <f>VLOOKUP(B27,'Country Summary (€)'!B:J,3,0)</f>
        <v>3.8970362014152396E-2</v>
      </c>
      <c r="D27" s="121">
        <f>VLOOKUP(B27,'Country Summary (€)'!B:J,4,0)</f>
        <v>0.35155368680135374</v>
      </c>
      <c r="E27" s="121">
        <f>VLOOKUP(B27,'Country Summary (€)'!B:J,5,0)</f>
        <v>0</v>
      </c>
      <c r="F27" s="121">
        <f>VLOOKUP(B27,'Refugee Cost Calculations'!B:D,2,0)</f>
        <v>1.4953931580888626</v>
      </c>
      <c r="G27" s="121">
        <f t="shared" si="0"/>
        <v>1.8859172069043688</v>
      </c>
    </row>
    <row r="28" spans="2:7" ht="15.95" customHeight="1">
      <c r="B28" s="44" t="s">
        <v>3261</v>
      </c>
      <c r="C28" s="121">
        <f>VLOOKUP(B28,'Country Summary (€)'!B:J,3,0)</f>
        <v>0</v>
      </c>
      <c r="D28" s="121">
        <f>VLOOKUP(B28,'Country Summary (€)'!B:J,4,0)</f>
        <v>8.9999999999999993E-3</v>
      </c>
      <c r="E28" s="121">
        <f>VLOOKUP(B28,'Country Summary (€)'!B:J,5,0)</f>
        <v>0.66799999980934854</v>
      </c>
      <c r="F28" s="121">
        <f>VLOOKUP(B28,'Refugee Cost Calculations'!B:D,2,0)</f>
        <v>1.1691218057869828</v>
      </c>
      <c r="G28" s="121">
        <f t="shared" si="0"/>
        <v>1.8461218055963313</v>
      </c>
    </row>
    <row r="29" spans="2:7" ht="15.95" customHeight="1">
      <c r="B29" s="44" t="s">
        <v>3214</v>
      </c>
      <c r="C29" s="121">
        <f>VLOOKUP(B29,'Country Summary (€)'!B:J,3,0)</f>
        <v>0</v>
      </c>
      <c r="D29" s="121">
        <f>VLOOKUP(B29,'Country Summary (€)'!B:J,4,0)</f>
        <v>0.12215739044124546</v>
      </c>
      <c r="E29" s="121">
        <f>VLOOKUP(B29,'Country Summary (€)'!B:J,5,0)</f>
        <v>3.7637099742362898E-3</v>
      </c>
      <c r="F29" s="121">
        <f>VLOOKUP(B29,'Refugee Cost Calculations'!B:D,2,0)</f>
        <v>1.6102589153649423</v>
      </c>
      <c r="G29" s="121">
        <f t="shared" si="0"/>
        <v>1.7361800157804239</v>
      </c>
    </row>
    <row r="30" spans="2:7" ht="15.95" customHeight="1">
      <c r="B30" s="44" t="s">
        <v>558</v>
      </c>
      <c r="C30" s="121">
        <f>VLOOKUP(B30,'Country Summary (€)'!B:J,3,0)</f>
        <v>1.6060000000000001E-2</v>
      </c>
      <c r="D30" s="121">
        <f>VLOOKUP(B30,'Country Summary (€)'!B:J,4,0)</f>
        <v>8.9630000000000001E-2</v>
      </c>
      <c r="E30" s="121">
        <f>VLOOKUP(B30,'Country Summary (€)'!B:J,5,0)</f>
        <v>0.38505152839999995</v>
      </c>
      <c r="F30" s="121">
        <f>VLOOKUP(B30,'Refugee Cost Calculations'!B:D,2,0)</f>
        <v>1.1912503658050217</v>
      </c>
      <c r="G30" s="121">
        <f t="shared" si="0"/>
        <v>1.6819918942050216</v>
      </c>
    </row>
    <row r="31" spans="2:7" ht="15.95" customHeight="1">
      <c r="B31" s="44" t="s">
        <v>1432</v>
      </c>
      <c r="C31" s="121">
        <f>VLOOKUP(B31,'Country Summary (€)'!B:J,3,0)</f>
        <v>7.5499999999999998E-2</v>
      </c>
      <c r="D31" s="121">
        <f>VLOOKUP(B31,'Country Summary (€)'!B:J,4,0)</f>
        <v>2.3E-2</v>
      </c>
      <c r="E31" s="121">
        <f>VLOOKUP(B31,'Country Summary (€)'!B:J,5,0)</f>
        <v>1.1147</v>
      </c>
      <c r="F31" s="121">
        <f>VLOOKUP(B31,'Refugee Cost Calculations'!B:D,2,0)</f>
        <v>0.36984372161627144</v>
      </c>
      <c r="G31" s="121">
        <f t="shared" si="0"/>
        <v>1.5830437216162716</v>
      </c>
    </row>
    <row r="32" spans="2:7" ht="15.95" customHeight="1">
      <c r="B32" s="35" t="s">
        <v>3685</v>
      </c>
      <c r="C32" s="121">
        <f>VLOOKUP(B32,'Country Summary (€)'!B:J,3,0)</f>
        <v>0</v>
      </c>
      <c r="D32" s="121">
        <f>VLOOKUP(B32,'Country Summary (€)'!B:J,4,0)</f>
        <v>4.6114114832535892E-3</v>
      </c>
      <c r="E32" s="121">
        <f>VLOOKUP(B32,'Country Summary (€)'!B:J,5,0)</f>
        <v>6.1735369893264627E-2</v>
      </c>
      <c r="F32" s="121">
        <f>VLOOKUP(B32,'Refugee Cost Calculations'!B:D,2,0)</f>
        <v>1.3178182601321753</v>
      </c>
      <c r="G32" s="121">
        <f t="shared" si="0"/>
        <v>1.3841650415086935</v>
      </c>
    </row>
    <row r="33" spans="2:11" ht="15.95" customHeight="1">
      <c r="B33" s="54" t="s">
        <v>673</v>
      </c>
      <c r="C33" s="121">
        <f>VLOOKUP(B33,'Country Summary (€)'!B:J,3,0)</f>
        <v>0</v>
      </c>
      <c r="D33" s="121">
        <f>VLOOKUP(B33,'Country Summary (€)'!B:J,4,0)</f>
        <v>7.0600000000000003E-4</v>
      </c>
      <c r="E33" s="121">
        <f>VLOOKUP(B33,'Country Summary (€)'!B:J,5,0)</f>
        <v>0.23928827078433376</v>
      </c>
      <c r="F33" s="121">
        <f>VLOOKUP(B33,'Refugee Cost Calculations'!B:D,2,0)</f>
        <v>1.0629093328347565</v>
      </c>
      <c r="G33" s="121">
        <f t="shared" si="0"/>
        <v>1.3029036036190904</v>
      </c>
    </row>
    <row r="34" spans="2:11" ht="15.95" customHeight="1">
      <c r="B34" s="44" t="s">
        <v>2488</v>
      </c>
      <c r="C34" s="121">
        <f>VLOOKUP(B34,'Country Summary (€)'!B:J,3,0)</f>
        <v>0.03</v>
      </c>
      <c r="D34" s="121">
        <f>VLOOKUP(B34,'Country Summary (€)'!B:J,4,0)</f>
        <v>6.0999999999999999E-2</v>
      </c>
      <c r="E34" s="121">
        <f>VLOOKUP(B34,'Country Summary (€)'!B:J,5,0)</f>
        <v>0.49099999999999999</v>
      </c>
      <c r="F34" s="121">
        <f>VLOOKUP(B34,'Refugee Cost Calculations'!B:D,2,0)</f>
        <v>0.43298596097330055</v>
      </c>
      <c r="G34" s="121">
        <f t="shared" si="0"/>
        <v>1.0149859609733005</v>
      </c>
    </row>
    <row r="35" spans="2:11" ht="15.95" customHeight="1">
      <c r="B35" s="44" t="s">
        <v>2096</v>
      </c>
      <c r="C35" s="121">
        <f>VLOOKUP(B35,'Country Summary (€)'!B:J,3,0)</f>
        <v>2.5000000000000001E-2</v>
      </c>
      <c r="D35" s="121">
        <f>VLOOKUP(B35,'Country Summary (€)'!B:J,4,0)</f>
        <v>6.1557853882959139E-2</v>
      </c>
      <c r="E35" s="121">
        <f>VLOOKUP(B35,'Country Summary (€)'!B:J,5,0)</f>
        <v>3.8500000000000001E-3</v>
      </c>
      <c r="F35" s="121">
        <f>VLOOKUP(B35,'Refugee Cost Calculations'!B:D,2,0)</f>
        <v>0.85015138444653515</v>
      </c>
      <c r="G35" s="121">
        <f t="shared" si="0"/>
        <v>0.94055923832949428</v>
      </c>
    </row>
    <row r="36" spans="2:11" ht="15.95" customHeight="1">
      <c r="B36" s="44" t="s">
        <v>2028</v>
      </c>
      <c r="C36" s="121">
        <f>VLOOKUP(B36,'Country Summary (€)'!B:J,3,0)</f>
        <v>0</v>
      </c>
      <c r="D36" s="121">
        <f>VLOOKUP(B36,'Country Summary (€)'!B:J,4,0)</f>
        <v>4.7109803475361152E-2</v>
      </c>
      <c r="E36" s="121">
        <f>VLOOKUP(B36,'Country Summary (€)'!B:J,5,0)</f>
        <v>0</v>
      </c>
      <c r="F36" s="121">
        <f>VLOOKUP(B36,'Refugee Cost Calculations'!B:D,2,0)</f>
        <v>0.84245265988488527</v>
      </c>
      <c r="G36" s="121">
        <f t="shared" si="0"/>
        <v>0.88956246336024647</v>
      </c>
    </row>
    <row r="37" spans="2:11" ht="15.95" customHeight="1">
      <c r="B37" s="44" t="s">
        <v>1305</v>
      </c>
      <c r="C37" s="121">
        <f>VLOOKUP(B37,'Country Summary (€)'!B:J,3,0)</f>
        <v>0</v>
      </c>
      <c r="D37" s="121">
        <f>VLOOKUP(B37,'Country Summary (€)'!B:J,4,0)</f>
        <v>1.01E-2</v>
      </c>
      <c r="E37" s="121">
        <f>VLOOKUP(B37,'Country Summary (€)'!B:J,5,0)</f>
        <v>0.42129430000000001</v>
      </c>
      <c r="F37" s="121">
        <f>VLOOKUP(B37,'Refugee Cost Calculations'!B:D,2,0)</f>
        <v>0.37902305407032982</v>
      </c>
      <c r="G37" s="121">
        <f t="shared" si="0"/>
        <v>0.81041735407032989</v>
      </c>
    </row>
    <row r="38" spans="2:11" ht="15.95" customHeight="1">
      <c r="B38" s="44" t="s">
        <v>2392</v>
      </c>
      <c r="C38" s="121">
        <f>VLOOKUP(B38,'Country Summary (€)'!B:J,3,0)</f>
        <v>2.5000000000000001E-2</v>
      </c>
      <c r="D38" s="121">
        <f>VLOOKUP(B38,'Country Summary (€)'!B:J,4,0)</f>
        <v>5.158735482E-3</v>
      </c>
      <c r="E38" s="121">
        <f>VLOOKUP(B38,'Country Summary (€)'!B:J,5,0)</f>
        <v>0.37</v>
      </c>
      <c r="F38" s="121">
        <f>VLOOKUP(B38,'Refugee Cost Calculations'!B:D,2,0)</f>
        <v>0.36258026883010902</v>
      </c>
      <c r="G38" s="121">
        <f t="shared" si="0"/>
        <v>0.76273900431210895</v>
      </c>
    </row>
    <row r="39" spans="2:11" ht="15.95" customHeight="1">
      <c r="B39" s="44" t="s">
        <v>3079</v>
      </c>
      <c r="C39" s="121">
        <f>VLOOKUP(B39,'Country Summary (€)'!B:J,3,0)</f>
        <v>0.25</v>
      </c>
      <c r="D39" s="121">
        <f>VLOOKUP(B39,'Country Summary (€)'!B:J,4,0)</f>
        <v>1.7054655870445343E-3</v>
      </c>
      <c r="E39" s="121">
        <f>VLOOKUP(B39,'Country Summary (€)'!B:J,5,0)</f>
        <v>7.5487033291490521E-2</v>
      </c>
      <c r="F39" s="121">
        <f>VLOOKUP(B39,'Refugee Cost Calculations'!B:D,2,0)</f>
        <v>0.34800390839191114</v>
      </c>
      <c r="G39" s="121">
        <f t="shared" si="0"/>
        <v>0.67519640727044616</v>
      </c>
    </row>
    <row r="40" spans="2:11" ht="15.95" customHeight="1">
      <c r="B40" s="35" t="s">
        <v>3162</v>
      </c>
      <c r="C40" s="121">
        <f>VLOOKUP(B40,'Country Summary (€)'!B:J,3,0)</f>
        <v>0.39565697460434307</v>
      </c>
      <c r="D40" s="121">
        <f>VLOOKUP(B40,'Country Summary (€)'!B:J,4,0)</f>
        <v>0.21163047478836949</v>
      </c>
      <c r="E40" s="121">
        <f>VLOOKUP(B40,'Country Summary (€)'!B:J,5,0)</f>
        <v>3.2940743467059263E-3</v>
      </c>
      <c r="F40" s="121">
        <f>VLOOKUP(B40,'Refugee Cost Calculations'!B:D,2,0)</f>
        <v>0</v>
      </c>
      <c r="G40" s="121">
        <f t="shared" si="0"/>
        <v>0.61058152373941843</v>
      </c>
    </row>
    <row r="41" spans="2:11" ht="15.95" customHeight="1">
      <c r="B41" s="35" t="s">
        <v>359</v>
      </c>
      <c r="C41" s="121">
        <f>VLOOKUP(B41,'Country Summary (€)'!B:J,3,0)</f>
        <v>0</v>
      </c>
      <c r="D41" s="121">
        <f>VLOOKUP(B41,'Country Summary (€)'!B:J,4,0)</f>
        <v>6.5214731432766418E-2</v>
      </c>
      <c r="E41" s="121">
        <f>VLOOKUP(B41,'Country Summary (€)'!B:J,5,0)</f>
        <v>0.35868102288021536</v>
      </c>
      <c r="F41" s="121">
        <f>VLOOKUP(B41,'Refugee Cost Calculations'!B:D,2,0)</f>
        <v>0</v>
      </c>
      <c r="G41" s="121">
        <f t="shared" si="0"/>
        <v>0.42389575431298177</v>
      </c>
    </row>
    <row r="42" spans="2:11" ht="15.95" customHeight="1">
      <c r="B42" s="44" t="s">
        <v>1973</v>
      </c>
      <c r="C42" s="121">
        <f>VLOOKUP(B42,'Country Summary (€)'!B:J,3,0)</f>
        <v>0</v>
      </c>
      <c r="D42" s="121">
        <f>VLOOKUP(B42,'Country Summary (€)'!B:J,4,0)</f>
        <v>0</v>
      </c>
      <c r="E42" s="121">
        <f>VLOOKUP(B42,'Country Summary (€)'!B:J,5,0)</f>
        <v>0.18684970463746781</v>
      </c>
      <c r="F42" s="121">
        <f>VLOOKUP(B42,'Refugee Cost Calculations'!B:D,2,0)</f>
        <v>0.18895663988249528</v>
      </c>
      <c r="G42" s="121">
        <f t="shared" si="0"/>
        <v>0.37580634451996309</v>
      </c>
    </row>
    <row r="43" spans="2:11" ht="15.95" customHeight="1">
      <c r="B43" s="44" t="s">
        <v>918</v>
      </c>
      <c r="C43" s="121">
        <f>VLOOKUP(B43,'Country Summary (€)'!B:J,3,0)</f>
        <v>0</v>
      </c>
      <c r="D43" s="121">
        <f>VLOOKUP(B43,'Country Summary (€)'!B:J,4,0)</f>
        <v>3.7212078660477453E-2</v>
      </c>
      <c r="E43" s="121">
        <f>VLOOKUP(B43,'Country Summary (€)'!B:J,5,0)</f>
        <v>0.15278792179361764</v>
      </c>
      <c r="F43" s="121">
        <f>VLOOKUP(B43,'Refugee Cost Calculations'!B:D,2,0)</f>
        <v>0.18119740711462451</v>
      </c>
      <c r="G43" s="121">
        <f t="shared" si="0"/>
        <v>0.37119740756871961</v>
      </c>
    </row>
    <row r="44" spans="2:11" ht="15.95" customHeight="1">
      <c r="B44" s="44" t="s">
        <v>2625</v>
      </c>
      <c r="C44" s="121">
        <f>VLOOKUP(B44,'Country Summary (€)'!B:J,3,0)</f>
        <v>0</v>
      </c>
      <c r="D44" s="121">
        <f>VLOOKUP(B44,'Country Summary (€)'!B:J,4,0)</f>
        <v>4.032E-3</v>
      </c>
      <c r="E44" s="121">
        <f>VLOOKUP(B44,'Country Summary (€)'!B:J,5,0)</f>
        <v>9.1600000000000001E-2</v>
      </c>
      <c r="F44" s="121">
        <f>VLOOKUP(B44,'Refugee Cost Calculations'!B:D,2,0)</f>
        <v>0.10830480377906976</v>
      </c>
      <c r="G44" s="121">
        <f t="shared" si="0"/>
        <v>0.20393680377906975</v>
      </c>
    </row>
    <row r="45" spans="2:11" ht="15.95" customHeight="1">
      <c r="B45" s="44" t="s">
        <v>3337</v>
      </c>
      <c r="C45" s="121">
        <f>VLOOKUP(B45,'Country Summary (€)'!B:J,3,0)</f>
        <v>0</v>
      </c>
      <c r="D45" s="121">
        <f>VLOOKUP(B45,'Country Summary (€)'!B:J,4,0)</f>
        <v>4.7347009996319472E-3</v>
      </c>
      <c r="E45" s="121">
        <f>VLOOKUP(B45,'Country Summary (€)'!B:J,5,0)</f>
        <v>5.6390898987854259E-2</v>
      </c>
      <c r="F45" s="121">
        <f>VLOOKUP(B45,'Refugee Cost Calculations'!B:D,2,0)</f>
        <v>8.5382230761535671E-2</v>
      </c>
      <c r="G45" s="121">
        <f t="shared" si="0"/>
        <v>0.14650783074902188</v>
      </c>
    </row>
    <row r="46" spans="2:11" ht="15.95" customHeight="1">
      <c r="B46" s="44" t="s">
        <v>981</v>
      </c>
      <c r="C46" s="121">
        <f>VLOOKUP(B46,'Country Summary (€)'!B:J,3,0)</f>
        <v>0</v>
      </c>
      <c r="D46" s="121">
        <f>VLOOKUP(B46,'Country Summary (€)'!B:J,4,0)</f>
        <v>3.0000000000000001E-3</v>
      </c>
      <c r="E46" s="121">
        <f>VLOOKUP(B46,'Country Summary (€)'!B:J,5,0)</f>
        <v>0</v>
      </c>
      <c r="F46" s="121">
        <f>VLOOKUP(B46,'Refugee Cost Calculations'!B:D,2,0)</f>
        <v>0.10592762878522398</v>
      </c>
      <c r="G46" s="121">
        <f t="shared" si="0"/>
        <v>0.10892762878522398</v>
      </c>
    </row>
    <row r="47" spans="2:11" ht="15.95" customHeight="1">
      <c r="B47" s="54" t="s">
        <v>3713</v>
      </c>
      <c r="C47" s="121">
        <f>VLOOKUP(B47,'Country Summary (€)'!B:J,3,0)</f>
        <v>0</v>
      </c>
      <c r="D47" s="121">
        <f>VLOOKUP(B47,'Country Summary (€)'!B:J,4,0)</f>
        <v>6.3029076186970928E-2</v>
      </c>
      <c r="E47" s="121">
        <f>VLOOKUP(B47,'Country Summary (€)'!B:J,5,0)</f>
        <v>0</v>
      </c>
      <c r="F47" s="121">
        <f>VLOOKUP(B47,'Refugee Cost Calculations'!B:D,2,0)</f>
        <v>0</v>
      </c>
      <c r="G47" s="121">
        <f t="shared" si="0"/>
        <v>6.3029076186970928E-2</v>
      </c>
    </row>
    <row r="48" spans="2:11" ht="15.95" customHeight="1">
      <c r="B48" s="44" t="s">
        <v>2139</v>
      </c>
      <c r="C48" s="121">
        <f>VLOOKUP(B48,'Country Summary (€)'!B:J,3,0)</f>
        <v>9.4038678806406591E-3</v>
      </c>
      <c r="D48" s="121">
        <f>VLOOKUP(B48,'Country Summary (€)'!B:J,4,0)</f>
        <v>1.1032099421811657E-2</v>
      </c>
      <c r="E48" s="121">
        <f>VLOOKUP(B48,'Country Summary (€)'!B:J,5,0)</f>
        <v>9.1497376714291794E-3</v>
      </c>
      <c r="F48" s="121">
        <f>VLOOKUP(B48,'Refugee Cost Calculations'!B:D,2,0)</f>
        <v>2.5705819746376812E-2</v>
      </c>
      <c r="G48" s="121">
        <f t="shared" si="0"/>
        <v>5.5291524720258306E-2</v>
      </c>
      <c r="J48" s="45"/>
      <c r="K48" s="45"/>
    </row>
    <row r="49" spans="2:12" ht="15.95" customHeight="1">
      <c r="B49" s="44" t="s">
        <v>2678</v>
      </c>
      <c r="C49" s="121">
        <f>VLOOKUP(B49,'Country Summary (€)'!B:J,3,0)</f>
        <v>0</v>
      </c>
      <c r="D49" s="121">
        <f>VLOOKUP(B49,'Country Summary (€)'!B:J,4,0)</f>
        <v>2.0699999999999998E-3</v>
      </c>
      <c r="E49" s="121">
        <f>VLOOKUP(B49,'Country Summary (€)'!B:J,5,0)</f>
        <v>0</v>
      </c>
      <c r="F49" s="121">
        <f>VLOOKUP(B49,'Refugee Cost Calculations'!B:D,2,0)</f>
        <v>3.0695856228337804E-2</v>
      </c>
      <c r="G49" s="121">
        <f t="shared" si="0"/>
        <v>3.2765856228337803E-2</v>
      </c>
      <c r="I49" s="45"/>
      <c r="J49" s="45"/>
      <c r="K49" s="45"/>
    </row>
    <row r="50" spans="2:12" ht="15.95" customHeight="1">
      <c r="B50" s="35" t="s">
        <v>2832</v>
      </c>
      <c r="C50" s="121">
        <f>VLOOKUP(B50,'Country Summary (€)'!B:J,3,0)</f>
        <v>0</v>
      </c>
      <c r="D50" s="121">
        <f>VLOOKUP(B50,'Country Summary (€)'!B:J,4,0)</f>
        <v>6.0065213660545728E-3</v>
      </c>
      <c r="E50" s="121">
        <f>VLOOKUP(B50,'Country Summary (€)'!B:J,5,0)</f>
        <v>1.9192265888679141E-2</v>
      </c>
      <c r="F50" s="121">
        <f>VLOOKUP(B50,'Refugee Cost Calculations'!B:D,2,0)</f>
        <v>0</v>
      </c>
      <c r="G50" s="121">
        <f t="shared" si="0"/>
        <v>2.5198787254733714E-2</v>
      </c>
      <c r="I50" s="45"/>
      <c r="J50" s="45"/>
      <c r="K50" s="45"/>
    </row>
    <row r="51" spans="2:12" ht="15.95" customHeight="1">
      <c r="B51" s="54" t="s">
        <v>905</v>
      </c>
      <c r="C51" s="121">
        <f>VLOOKUP(B51,'Country Summary (€)'!B:J,3,0)</f>
        <v>0</v>
      </c>
      <c r="D51" s="121">
        <f>VLOOKUP(B51,'Country Summary (€)'!B:J,4,0)</f>
        <v>2.1750355506399113E-3</v>
      </c>
      <c r="E51" s="121">
        <f>VLOOKUP(B51,'Country Summary (€)'!B:J,5,0)</f>
        <v>0</v>
      </c>
      <c r="F51" s="121">
        <f>VLOOKUP(B51,'Refugee Cost Calculations'!B:D,2,0)</f>
        <v>0</v>
      </c>
      <c r="G51" s="121">
        <f t="shared" si="0"/>
        <v>2.1750355506399113E-3</v>
      </c>
    </row>
    <row r="52" spans="2:12" ht="15.95" customHeight="1">
      <c r="B52" s="66" t="s">
        <v>2076</v>
      </c>
      <c r="C52" s="121">
        <f>VLOOKUP(B52,'Country Summary (€)'!B:J,3,0)</f>
        <v>0</v>
      </c>
      <c r="D52" s="121">
        <f>VLOOKUP(B52,'Country Summary (€)'!B:J,4,0)</f>
        <v>1.7917280088332722E-3</v>
      </c>
      <c r="E52" s="121">
        <f>VLOOKUP(B52,'Country Summary (€)'!B:J,5,0)</f>
        <v>0</v>
      </c>
      <c r="F52" s="121">
        <f>VLOOKUP(B52,'Refugee Cost Calculations'!B:D,2,0)</f>
        <v>0</v>
      </c>
      <c r="G52" s="121">
        <f t="shared" si="0"/>
        <v>1.7917280088332722E-3</v>
      </c>
      <c r="I52" s="67"/>
      <c r="J52" s="67"/>
      <c r="K52" s="67"/>
      <c r="L52" s="67"/>
    </row>
    <row r="53" spans="2:12" ht="15.95" customHeight="1">
      <c r="I53" s="67"/>
      <c r="J53" s="67"/>
      <c r="K53" s="67"/>
      <c r="L53" s="67"/>
    </row>
    <row r="54" spans="2:12" ht="15.95" customHeight="1">
      <c r="B54" s="383" t="s">
        <v>4530</v>
      </c>
      <c r="C54" s="384">
        <f t="shared" ref="C54:G54" si="1">SUM(C12:C52)</f>
        <v>43.987905394291481</v>
      </c>
      <c r="D54" s="384">
        <f t="shared" si="1"/>
        <v>11.599600760593257</v>
      </c>
      <c r="E54" s="384">
        <f t="shared" si="1"/>
        <v>74.76794134792749</v>
      </c>
      <c r="F54" s="384">
        <f t="shared" si="1"/>
        <v>57.847746879733783</v>
      </c>
      <c r="G54" s="385">
        <f t="shared" si="1"/>
        <v>188.20319438254589</v>
      </c>
      <c r="I54" s="67"/>
      <c r="J54" s="67"/>
      <c r="K54" s="67"/>
      <c r="L54" s="67"/>
    </row>
    <row r="55" spans="2:12" ht="15.95" customHeight="1">
      <c r="B55" s="68"/>
      <c r="C55" s="19"/>
      <c r="D55" s="69"/>
      <c r="E55" s="70"/>
      <c r="I55" s="67"/>
      <c r="J55" s="67"/>
      <c r="K55" s="67"/>
      <c r="L55" s="67"/>
    </row>
    <row r="56" spans="2:12" ht="15.95" customHeight="1">
      <c r="B56" s="68"/>
      <c r="C56" s="19"/>
      <c r="D56" s="69"/>
      <c r="E56" s="70"/>
    </row>
    <row r="57" spans="2:12" ht="15.95" customHeight="1">
      <c r="B57" s="71"/>
      <c r="C57" s="19"/>
      <c r="D57" s="66"/>
      <c r="E57" s="70"/>
    </row>
    <row r="58" spans="2:12" ht="15.95" customHeight="1">
      <c r="B58" s="71"/>
      <c r="C58" s="19"/>
      <c r="D58" s="72"/>
      <c r="E58" s="70"/>
    </row>
    <row r="59" spans="2:12" ht="15.95" customHeight="1">
      <c r="B59" s="71"/>
      <c r="C59" s="19"/>
      <c r="D59" s="72"/>
      <c r="E59" s="70"/>
    </row>
    <row r="60" spans="2:12" ht="15.95" customHeight="1">
      <c r="B60" s="71"/>
      <c r="C60" s="19"/>
      <c r="D60" s="72"/>
      <c r="E60" s="70"/>
    </row>
    <row r="61" spans="2:12" ht="15.95" customHeight="1">
      <c r="B61" s="71"/>
      <c r="C61" s="19"/>
      <c r="D61" s="72"/>
      <c r="E61" s="70"/>
    </row>
    <row r="62" spans="2:12" ht="15.95" customHeight="1">
      <c r="B62" s="71"/>
      <c r="C62" s="19"/>
      <c r="D62" s="72"/>
      <c r="E62" s="70"/>
    </row>
    <row r="63" spans="2:12" ht="15.95" customHeight="1">
      <c r="B63" s="71"/>
      <c r="C63" s="19"/>
      <c r="D63" s="72"/>
      <c r="E63" s="70"/>
    </row>
    <row r="64" spans="2:12" ht="15.95" customHeight="1">
      <c r="B64" s="71"/>
      <c r="C64" s="19"/>
      <c r="D64" s="72"/>
      <c r="E64" s="70"/>
    </row>
    <row r="65" spans="2:5" ht="15.95" customHeight="1">
      <c r="B65" s="71"/>
      <c r="C65" s="19"/>
      <c r="D65" s="72"/>
      <c r="E65" s="70"/>
    </row>
    <row r="66" spans="2:5" ht="15.95" customHeight="1">
      <c r="B66" s="71"/>
      <c r="C66" s="19"/>
      <c r="D66" s="66"/>
      <c r="E66" s="70"/>
    </row>
    <row r="67" spans="2:5" ht="15.95" customHeight="1">
      <c r="B67" s="71"/>
      <c r="C67" s="19"/>
      <c r="D67" s="72"/>
      <c r="E67" s="70"/>
    </row>
    <row r="68" spans="2:5" ht="15.95" customHeight="1">
      <c r="B68" s="71"/>
      <c r="C68" s="19"/>
      <c r="D68" s="72"/>
      <c r="E68" s="70"/>
    </row>
    <row r="69" spans="2:5" ht="15.95" customHeight="1">
      <c r="B69" s="71"/>
      <c r="C69" s="19"/>
      <c r="D69" s="72"/>
      <c r="E69" s="70"/>
    </row>
    <row r="70" spans="2:5" ht="15.95" customHeight="1">
      <c r="B70" s="71"/>
      <c r="C70" s="19"/>
      <c r="D70" s="72"/>
      <c r="E70" s="70"/>
    </row>
    <row r="71" spans="2:5" ht="15.95" customHeight="1">
      <c r="B71" s="71"/>
      <c r="C71" s="19"/>
      <c r="D71" s="72"/>
      <c r="E71" s="70"/>
    </row>
    <row r="72" spans="2:5" ht="15.95" customHeight="1">
      <c r="B72" s="71"/>
      <c r="C72" s="19"/>
      <c r="D72" s="72"/>
      <c r="E72" s="70"/>
    </row>
    <row r="73" spans="2:5" ht="15.95" customHeight="1">
      <c r="B73" s="71"/>
      <c r="C73" s="19"/>
      <c r="D73" s="72"/>
      <c r="E73" s="70"/>
    </row>
    <row r="74" spans="2:5" ht="15.95" customHeight="1">
      <c r="B74" s="71"/>
      <c r="C74" s="19"/>
      <c r="D74" s="72"/>
      <c r="E74" s="70"/>
    </row>
    <row r="75" spans="2:5" ht="15.95" customHeight="1">
      <c r="B75" s="71"/>
      <c r="C75" s="19"/>
      <c r="D75" s="72"/>
      <c r="E75" s="70"/>
    </row>
    <row r="76" spans="2:5" ht="15.95" customHeight="1">
      <c r="B76" s="71"/>
      <c r="C76" s="19"/>
      <c r="D76" s="72"/>
      <c r="E76" s="70"/>
    </row>
    <row r="77" spans="2:5" ht="15.95" customHeight="1">
      <c r="B77" s="71"/>
      <c r="C77" s="19"/>
      <c r="D77" s="72"/>
      <c r="E77" s="70"/>
    </row>
    <row r="78" spans="2:5" ht="15.95" customHeight="1">
      <c r="B78" s="71"/>
      <c r="C78" s="19"/>
      <c r="D78" s="72"/>
      <c r="E78" s="70"/>
    </row>
    <row r="79" spans="2:5" ht="15.95" customHeight="1">
      <c r="B79" s="71"/>
      <c r="C79" s="19"/>
      <c r="D79" s="72"/>
      <c r="E79" s="70"/>
    </row>
    <row r="80" spans="2:5" ht="15.95" customHeight="1">
      <c r="B80" s="71"/>
      <c r="C80" s="19"/>
      <c r="D80" s="66"/>
      <c r="E80" s="70"/>
    </row>
    <row r="81" spans="2:5" ht="15.95" customHeight="1">
      <c r="B81" s="71"/>
      <c r="C81" s="19"/>
      <c r="D81" s="72"/>
      <c r="E81" s="70"/>
    </row>
    <row r="82" spans="2:5" ht="15.95" customHeight="1">
      <c r="B82" s="48"/>
      <c r="C82" s="37"/>
      <c r="D82" s="36"/>
      <c r="E82" s="36"/>
    </row>
    <row r="83" spans="2:5" ht="15.95" customHeight="1">
      <c r="B83" s="48"/>
      <c r="C83" s="37"/>
      <c r="D83" s="36"/>
      <c r="E83" s="36"/>
    </row>
    <row r="84" spans="2:5" ht="15.95" customHeight="1">
      <c r="C84" s="37"/>
      <c r="D84" s="73"/>
      <c r="E84" s="36"/>
    </row>
    <row r="85" spans="2:5" ht="15.95" customHeight="1">
      <c r="B85" s="48"/>
      <c r="C85" s="37"/>
      <c r="D85" s="36"/>
      <c r="E85" s="36"/>
    </row>
    <row r="86" spans="2:5" ht="15.95" customHeight="1">
      <c r="B86" s="48"/>
      <c r="C86" s="37"/>
      <c r="D86" s="36"/>
      <c r="E86" s="36"/>
    </row>
    <row r="87" spans="2:5" ht="15.95" customHeight="1">
      <c r="C87" s="37"/>
      <c r="D87" s="36"/>
      <c r="E87" s="36"/>
    </row>
    <row r="88" spans="2:5" ht="15.95" customHeight="1">
      <c r="C88" s="37"/>
      <c r="D88" s="36"/>
      <c r="E88" s="36"/>
    </row>
    <row r="89" spans="2:5" ht="15.95" customHeight="1">
      <c r="C89" s="37"/>
      <c r="D89" s="36"/>
      <c r="E89" s="36"/>
    </row>
    <row r="90" spans="2:5" ht="15.95" customHeight="1">
      <c r="C90" s="37"/>
      <c r="D90" s="36"/>
      <c r="E90" s="36"/>
    </row>
  </sheetData>
  <sortState xmlns:xlrd2="http://schemas.microsoft.com/office/spreadsheetml/2017/richdata2" ref="B12:G52">
    <sortCondition descending="1" ref="G12:G52"/>
  </sortState>
  <mergeCells count="1">
    <mergeCell ref="B4:H9"/>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Z83"/>
  <sheetViews>
    <sheetView zoomScaleNormal="100" workbookViewId="0"/>
  </sheetViews>
  <sheetFormatPr defaultColWidth="8.625" defaultRowHeight="15.95" customHeight="1"/>
  <cols>
    <col min="1" max="1" width="8.625" style="2" customWidth="1"/>
    <col min="2" max="2" width="25.5" style="35" customWidth="1"/>
    <col min="3" max="3" width="27.875" style="74" bestFit="1" customWidth="1"/>
    <col min="4" max="4" width="23.5" style="74" bestFit="1" customWidth="1"/>
    <col min="5" max="5" width="15.5" style="74" customWidth="1"/>
    <col min="6" max="6" width="13.625" style="35" customWidth="1"/>
    <col min="7" max="16384" width="8.625" style="35"/>
  </cols>
  <sheetData>
    <row r="1" spans="1:8" ht="15.95" customHeight="1">
      <c r="A1" s="35"/>
      <c r="B1" s="39"/>
      <c r="C1" s="146"/>
      <c r="D1" s="146"/>
      <c r="E1" s="146"/>
    </row>
    <row r="2" spans="1:8" s="465" customFormat="1" ht="24.75" customHeight="1">
      <c r="B2" s="470" t="s">
        <v>4581</v>
      </c>
    </row>
    <row r="3" spans="1:8" s="114" customFormat="1" ht="15.95" customHeight="1"/>
    <row r="4" spans="1:8" s="114" customFormat="1" ht="15.95" customHeight="1">
      <c r="B4" s="1438" t="s">
        <v>4582</v>
      </c>
      <c r="C4" s="1438"/>
      <c r="D4" s="1438"/>
      <c r="E4" s="1438"/>
      <c r="F4" s="1438"/>
      <c r="G4" s="1438"/>
      <c r="H4" s="1438"/>
    </row>
    <row r="5" spans="1:8" s="114" customFormat="1" ht="15.95" customHeight="1">
      <c r="B5" s="1438"/>
      <c r="C5" s="1438"/>
      <c r="D5" s="1438"/>
      <c r="E5" s="1438"/>
      <c r="F5" s="1438"/>
      <c r="G5" s="1438"/>
      <c r="H5" s="1438"/>
    </row>
    <row r="6" spans="1:8" s="114" customFormat="1" ht="15.95" customHeight="1">
      <c r="B6" s="1438"/>
      <c r="C6" s="1438"/>
      <c r="D6" s="1438"/>
      <c r="E6" s="1438"/>
      <c r="F6" s="1438"/>
      <c r="G6" s="1438"/>
      <c r="H6" s="1438"/>
    </row>
    <row r="7" spans="1:8" s="114" customFormat="1" ht="15.95" customHeight="1">
      <c r="B7" s="1438"/>
      <c r="C7" s="1438"/>
      <c r="D7" s="1438"/>
      <c r="E7" s="1438"/>
      <c r="F7" s="1438"/>
      <c r="G7" s="1438"/>
      <c r="H7" s="1438"/>
    </row>
    <row r="8" spans="1:8" s="114" customFormat="1" ht="15.95" customHeight="1">
      <c r="B8" s="1438"/>
      <c r="C8" s="1438"/>
      <c r="D8" s="1438"/>
      <c r="E8" s="1438"/>
      <c r="F8" s="1438"/>
      <c r="G8" s="1438"/>
      <c r="H8" s="1438"/>
    </row>
    <row r="9" spans="1:8" s="114" customFormat="1" ht="15.95" customHeight="1">
      <c r="B9" s="1438"/>
      <c r="C9" s="1438"/>
      <c r="D9" s="1438"/>
      <c r="E9" s="1438"/>
      <c r="F9" s="1438"/>
      <c r="G9" s="1438"/>
      <c r="H9" s="1438"/>
    </row>
    <row r="11" spans="1:8" s="465" customFormat="1" ht="24.75" customHeight="1">
      <c r="A11" s="11"/>
      <c r="B11" s="367" t="s">
        <v>4512</v>
      </c>
      <c r="C11" s="434" t="s">
        <v>4517</v>
      </c>
      <c r="D11" s="435" t="s">
        <v>4579</v>
      </c>
      <c r="E11" s="434" t="s">
        <v>4530</v>
      </c>
      <c r="G11" s="470" t="s">
        <v>4583</v>
      </c>
    </row>
    <row r="12" spans="1:8" ht="15.95" customHeight="1">
      <c r="B12" s="24" t="s">
        <v>2989</v>
      </c>
      <c r="C12" s="74">
        <f>VLOOKUP(B12,'Country Summary (€)'!B:J,9,0)</f>
        <v>0.68246360725370525</v>
      </c>
      <c r="D12" s="74">
        <f>VLOOKUP(B12,'Refugee Cost Calculations'!B:D,3,0)</f>
        <v>2.4669804083149747</v>
      </c>
      <c r="E12" s="74">
        <f t="shared" ref="E12:E52" si="0">SUM(C12,D12)</f>
        <v>3.14944401556868</v>
      </c>
    </row>
    <row r="13" spans="1:8" ht="15.95" customHeight="1">
      <c r="B13" s="24" t="s">
        <v>1305</v>
      </c>
      <c r="C13" s="74">
        <f>VLOOKUP(B13,'Country Summary (€)'!B:J,9,0)</f>
        <v>1.2606201250160036</v>
      </c>
      <c r="D13" s="74">
        <f>VLOOKUP(B13,'Refugee Cost Calculations'!B:D,3,0)</f>
        <v>1.1075809063914073</v>
      </c>
      <c r="E13" s="74">
        <f t="shared" si="0"/>
        <v>2.3682010314074109</v>
      </c>
    </row>
    <row r="14" spans="1:8" ht="15.95" customHeight="1">
      <c r="B14" s="24" t="s">
        <v>2392</v>
      </c>
      <c r="C14" s="74">
        <f>VLOOKUP(B14,'Country Summary (€)'!B:J,9,0)</f>
        <v>1.0912278632551458</v>
      </c>
      <c r="D14" s="74">
        <f>VLOOKUP(B14,'Refugee Cost Calculations'!B:D,3,0)</f>
        <v>0.9887518550291744</v>
      </c>
      <c r="E14" s="74">
        <f t="shared" si="0"/>
        <v>2.0799797182843203</v>
      </c>
    </row>
    <row r="15" spans="1:8" ht="15.95" customHeight="1">
      <c r="B15" s="24" t="s">
        <v>1012</v>
      </c>
      <c r="C15" s="74">
        <f>VLOOKUP(B15,'Country Summary (€)'!B:J,9,0)</f>
        <v>0.36084559731036259</v>
      </c>
      <c r="D15" s="74">
        <f>VLOOKUP(B15,'Refugee Cost Calculations'!B:D,3,0)</f>
        <v>1.4832790127313245</v>
      </c>
      <c r="E15" s="74">
        <f t="shared" si="0"/>
        <v>1.844124610041687</v>
      </c>
    </row>
    <row r="16" spans="1:8" ht="15.95" customHeight="1">
      <c r="B16" s="24" t="s">
        <v>3261</v>
      </c>
      <c r="C16" s="74">
        <f>VLOOKUP(B16,'Country Summary (€)'!B:J,9,0)</f>
        <v>0.63140985475637346</v>
      </c>
      <c r="D16" s="74">
        <f>VLOOKUP(B16,'Refugee Cost Calculations'!B:D,3,0)</f>
        <v>1.0903914767981575</v>
      </c>
      <c r="E16" s="74">
        <f t="shared" si="0"/>
        <v>1.7218013315545311</v>
      </c>
    </row>
    <row r="17" spans="2:5" ht="15.95" customHeight="1">
      <c r="B17" s="24" t="s">
        <v>673</v>
      </c>
      <c r="C17" s="74">
        <f>VLOOKUP(B17,'Country Summary (€)'!B:J,9,0)</f>
        <v>0.31029885204797214</v>
      </c>
      <c r="D17" s="74">
        <f>VLOOKUP(B17,'Refugee Cost Calculations'!B:D,3,0)</f>
        <v>1.3742809140060135</v>
      </c>
      <c r="E17" s="74">
        <f t="shared" si="0"/>
        <v>1.6845797660539856</v>
      </c>
    </row>
    <row r="18" spans="2:5" ht="15.95" customHeight="1">
      <c r="B18" s="24" t="s">
        <v>2488</v>
      </c>
      <c r="C18" s="74">
        <f>VLOOKUP(B18,'Country Summary (€)'!B:J,9,0)</f>
        <v>0.95193792981649195</v>
      </c>
      <c r="D18" s="74">
        <f>VLOOKUP(B18,'Refugee Cost Calculations'!B:D,3,0)</f>
        <v>0.70820577204214463</v>
      </c>
      <c r="E18" s="74">
        <f t="shared" si="0"/>
        <v>1.6601437018586367</v>
      </c>
    </row>
    <row r="19" spans="2:5" ht="15.95" customHeight="1">
      <c r="B19" s="24" t="s">
        <v>3214</v>
      </c>
      <c r="C19" s="74">
        <f>VLOOKUP(B19,'Country Summary (€)'!B:J,9,0)</f>
        <v>4.8172137544917719E-2</v>
      </c>
      <c r="D19" s="74">
        <f>VLOOKUP(B19,'Refugee Cost Calculations'!B:D,3,0)</f>
        <v>0.61601759909932441</v>
      </c>
      <c r="E19" s="74">
        <f t="shared" si="0"/>
        <v>0.66418973664424208</v>
      </c>
    </row>
    <row r="20" spans="2:5" ht="15.95" customHeight="1">
      <c r="B20" s="24" t="s">
        <v>1194</v>
      </c>
      <c r="C20" s="74">
        <f>VLOOKUP(B20,'Country Summary (€)'!B:J,9,0)</f>
        <v>0.5148332270620376</v>
      </c>
      <c r="D20" s="74">
        <f>VLOOKUP(B20,'Refugee Cost Calculations'!B:D,3,0)</f>
        <v>0.13365572708189294</v>
      </c>
      <c r="E20" s="74">
        <f t="shared" si="0"/>
        <v>0.64848895414393048</v>
      </c>
    </row>
    <row r="21" spans="2:5" ht="15.95" customHeight="1">
      <c r="B21" s="35" t="s">
        <v>2882</v>
      </c>
      <c r="C21" s="74">
        <f>VLOOKUP(B21,'Country Summary (€)'!B:J,9,0)</f>
        <v>0.47094720935177292</v>
      </c>
      <c r="D21" s="74">
        <f>VLOOKUP(B21,'Refugee Cost Calculations'!B:D,3,0)</f>
        <v>0.16425679086808309</v>
      </c>
      <c r="E21" s="74">
        <f t="shared" si="0"/>
        <v>0.63520400021985601</v>
      </c>
    </row>
    <row r="22" spans="2:5" ht="15.95" customHeight="1">
      <c r="B22" s="24" t="s">
        <v>1711</v>
      </c>
      <c r="C22" s="74">
        <f>VLOOKUP(B22,'Country Summary (€)'!B:J,9,0)</f>
        <v>0.27250538647727673</v>
      </c>
      <c r="D22" s="74">
        <f>VLOOKUP(B22,'Refugee Cost Calculations'!B:D,3,0)</f>
        <v>0.35461236130297508</v>
      </c>
      <c r="E22" s="74">
        <f t="shared" si="0"/>
        <v>0.62711774778025187</v>
      </c>
    </row>
    <row r="23" spans="2:5" ht="15.95" customHeight="1">
      <c r="B23" s="24" t="s">
        <v>918</v>
      </c>
      <c r="C23" s="74">
        <f>VLOOKUP(B23,'Country Summary (€)'!B:J,9,0)</f>
        <v>0.29945870655314943</v>
      </c>
      <c r="D23" s="74">
        <f>VLOOKUP(B23,'Refugee Cost Calculations'!B:D,3,0)</f>
        <v>0.2855849528191956</v>
      </c>
      <c r="E23" s="74">
        <f t="shared" si="0"/>
        <v>0.58504365937234504</v>
      </c>
    </row>
    <row r="24" spans="2:5" ht="15.95" customHeight="1">
      <c r="B24" s="24" t="s">
        <v>1432</v>
      </c>
      <c r="C24" s="74">
        <f>VLOOKUP(B24,'Country Summary (€)'!B:J,9,0)</f>
        <v>0.44349055053897235</v>
      </c>
      <c r="D24" s="74">
        <f>VLOOKUP(B24,'Refugee Cost Calculations'!B:D,3,0)</f>
        <v>0.13519798525633253</v>
      </c>
      <c r="E24" s="74">
        <f t="shared" si="0"/>
        <v>0.57868853579530488</v>
      </c>
    </row>
    <row r="25" spans="2:5" ht="15.95" customHeight="1">
      <c r="B25" s="24" t="s">
        <v>2693</v>
      </c>
      <c r="C25" s="74">
        <f>VLOOKUP(B25,'Country Summary (€)'!B:J,9,0)</f>
        <v>0.43598129254435675</v>
      </c>
      <c r="D25" s="74">
        <f>VLOOKUP(B25,'Refugee Cost Calculations'!B:D,3,0)</f>
        <v>0.11017825003383006</v>
      </c>
      <c r="E25" s="74">
        <f t="shared" si="0"/>
        <v>0.54615954257818677</v>
      </c>
    </row>
    <row r="26" spans="2:5" ht="15.95" customHeight="1">
      <c r="B26" s="24" t="s">
        <v>2028</v>
      </c>
      <c r="C26" s="74">
        <f>VLOOKUP(B26,'Country Summary (€)'!B:J,9,0)</f>
        <v>2.8154793100345764E-2</v>
      </c>
      <c r="D26" s="74">
        <f>VLOOKUP(B26,'Refugee Cost Calculations'!B:D,3,0)</f>
        <v>0.50348501980697491</v>
      </c>
      <c r="E26" s="74">
        <f t="shared" si="0"/>
        <v>0.53163981290732065</v>
      </c>
    </row>
    <row r="27" spans="2:5" ht="15.95" customHeight="1">
      <c r="B27" s="24" t="s">
        <v>454</v>
      </c>
      <c r="C27" s="74">
        <f>VLOOKUP(B27,'Country Summary (€)'!B:J,9,0)</f>
        <v>0.19591954131756775</v>
      </c>
      <c r="D27" s="74">
        <f>VLOOKUP(B27,'Refugee Cost Calculations'!B:D,3,0)</f>
        <v>0.26109376426791903</v>
      </c>
      <c r="E27" s="74">
        <f t="shared" si="0"/>
        <v>0.45701330558548681</v>
      </c>
    </row>
    <row r="28" spans="2:5" ht="15.95" customHeight="1">
      <c r="B28" s="24" t="s">
        <v>981</v>
      </c>
      <c r="C28" s="74">
        <f>VLOOKUP(B28,'Country Summary (€)'!B:J,9,0)</f>
        <v>1.147710223619349E-2</v>
      </c>
      <c r="D28" s="74">
        <f>VLOOKUP(B28,'Refugee Cost Calculations'!B:D,3,0)</f>
        <v>0.40524740840185597</v>
      </c>
      <c r="E28" s="74">
        <f t="shared" si="0"/>
        <v>0.41672451063804944</v>
      </c>
    </row>
    <row r="29" spans="2:5" ht="15.95" customHeight="1">
      <c r="B29" s="24" t="s">
        <v>3548</v>
      </c>
      <c r="C29" s="74">
        <f>VLOOKUP(B29,'Country Summary (€)'!B:J,9,0)</f>
        <v>0.31251679022643342</v>
      </c>
      <c r="D29" s="74">
        <f>VLOOKUP(B29,'Refugee Cost Calculations'!B:D,3,0)</f>
        <v>9.9316462173895975E-2</v>
      </c>
      <c r="E29" s="74">
        <f t="shared" si="0"/>
        <v>0.41183325240032942</v>
      </c>
    </row>
    <row r="30" spans="2:5" ht="15.95" customHeight="1">
      <c r="B30" s="35" t="s">
        <v>3748</v>
      </c>
      <c r="C30" s="74">
        <f>VLOOKUP(B30,'Country Summary (€)'!B:J,9,0)</f>
        <v>0.37258230705466278</v>
      </c>
      <c r="D30" s="74">
        <f>VLOOKUP(B30,'Refugee Cost Calculations'!B:D,3,0)</f>
        <v>3.6044151336835986E-2</v>
      </c>
      <c r="E30" s="74">
        <f t="shared" si="0"/>
        <v>0.40862645839149875</v>
      </c>
    </row>
    <row r="31" spans="2:5" ht="15.95" customHeight="1">
      <c r="B31" s="24" t="s">
        <v>3949</v>
      </c>
      <c r="C31" s="74">
        <f>VLOOKUP(B31,'Country Summary (€)'!B:J,9,0)</f>
        <v>0.3295528779935728</v>
      </c>
      <c r="D31" s="74">
        <f>VLOOKUP(B31,'Refugee Cost Calculations'!B:D,3,0)</f>
        <v>0</v>
      </c>
      <c r="E31" s="74">
        <f t="shared" si="0"/>
        <v>0.3295528779935728</v>
      </c>
    </row>
    <row r="32" spans="2:5" ht="15.95" customHeight="1">
      <c r="B32" s="24" t="s">
        <v>3337</v>
      </c>
      <c r="C32" s="74">
        <f>VLOOKUP(B32,'Country Summary (€)'!B:J,9,0)</f>
        <v>0.10758351857801417</v>
      </c>
      <c r="D32" s="74">
        <f>VLOOKUP(B32,'Refugee Cost Calculations'!B:D,3,0)</f>
        <v>0.15027616598031743</v>
      </c>
      <c r="E32" s="74">
        <f t="shared" si="0"/>
        <v>0.25785968455833158</v>
      </c>
    </row>
    <row r="33" spans="2:26" ht="15.95" customHeight="1">
      <c r="B33" s="24" t="s">
        <v>558</v>
      </c>
      <c r="C33" s="74">
        <f>VLOOKUP(B33,'Country Summary (€)'!B:J,9,0)</f>
        <v>8.9771779635338056E-2</v>
      </c>
      <c r="D33" s="74">
        <f>VLOOKUP(B33,'Refugee Cost Calculations'!B:D,3,0)</f>
        <v>0.21791647769902545</v>
      </c>
      <c r="E33" s="74">
        <f t="shared" si="0"/>
        <v>0.3076882573343635</v>
      </c>
    </row>
    <row r="34" spans="2:26" ht="15.95" customHeight="1">
      <c r="B34" s="24" t="s">
        <v>3412</v>
      </c>
      <c r="C34" s="74">
        <f>VLOOKUP(B34,'Country Summary (€)'!B:J,9,0)</f>
        <v>6.361716780432565E-2</v>
      </c>
      <c r="D34" s="74">
        <f>VLOOKUP(B34,'Refugee Cost Calculations'!B:D,3,0)</f>
        <v>0.22623253395531928</v>
      </c>
      <c r="E34" s="74">
        <f t="shared" si="0"/>
        <v>0.28984970175964492</v>
      </c>
    </row>
    <row r="35" spans="2:26" ht="15.95" customHeight="1">
      <c r="B35" s="24" t="s">
        <v>3079</v>
      </c>
      <c r="C35" s="74">
        <f>VLOOKUP(B35,'Country Summary (€)'!B:J,9,0)</f>
        <v>0.14018307955675754</v>
      </c>
      <c r="D35" s="74">
        <f>VLOOKUP(B35,'Refugee Cost Calculations'!B:D,3,0)</f>
        <v>0.14909956598447635</v>
      </c>
      <c r="E35" s="74">
        <f t="shared" si="0"/>
        <v>0.2892826455412339</v>
      </c>
    </row>
    <row r="36" spans="2:26" ht="15.95" customHeight="1">
      <c r="B36" s="24" t="s">
        <v>713</v>
      </c>
      <c r="C36" s="74">
        <f>VLOOKUP(B36,'Country Summary (€)'!B:J,9,0)</f>
        <v>0.28800474692007605</v>
      </c>
      <c r="D36" s="74">
        <f>VLOOKUP(B36,'Refugee Cost Calculations'!B:D,3,0)</f>
        <v>0</v>
      </c>
      <c r="E36" s="74">
        <f t="shared" si="0"/>
        <v>0.28800474692007605</v>
      </c>
    </row>
    <row r="37" spans="2:26" ht="15.95" customHeight="1">
      <c r="B37" s="24" t="s">
        <v>2625</v>
      </c>
      <c r="C37" s="74">
        <f>VLOOKUP(B37,'Country Summary (€)'!B:J,9,0)</f>
        <v>0.12155002130843041</v>
      </c>
      <c r="D37" s="74">
        <f>VLOOKUP(B37,'Refugee Cost Calculations'!B:D,3,0)</f>
        <v>0.13765738672359989</v>
      </c>
      <c r="E37" s="74">
        <f t="shared" si="0"/>
        <v>0.2592074080320303</v>
      </c>
    </row>
    <row r="38" spans="2:26" ht="15.95" customHeight="1">
      <c r="B38" s="35" t="s">
        <v>3649</v>
      </c>
      <c r="C38" s="74">
        <f>VLOOKUP(B38,'Country Summary (€)'!B:J,9,0)</f>
        <v>5.3010273516371956E-2</v>
      </c>
      <c r="D38" s="74">
        <f>VLOOKUP(B38,'Refugee Cost Calculations'!B:D,3,0)</f>
        <v>0.20298673171406068</v>
      </c>
      <c r="E38" s="74">
        <f t="shared" si="0"/>
        <v>0.25599700523043262</v>
      </c>
    </row>
    <row r="39" spans="2:26" ht="15.95" customHeight="1">
      <c r="B39" s="24" t="s">
        <v>2139</v>
      </c>
      <c r="C39" s="74">
        <f>VLOOKUP(B39,'Country Summary (€)'!B:J,9,0)</f>
        <v>0.12558869496454383</v>
      </c>
      <c r="D39" s="74">
        <f>VLOOKUP(B39,'Refugee Cost Calculations'!B:D,3,0)</f>
        <v>0.10911892610946025</v>
      </c>
      <c r="E39" s="74">
        <f t="shared" si="0"/>
        <v>0.23470762107400409</v>
      </c>
    </row>
    <row r="40" spans="2:26" ht="15.95" customHeight="1">
      <c r="B40" s="24" t="s">
        <v>2678</v>
      </c>
      <c r="C40" s="74">
        <f>VLOOKUP(B40,'Country Summary (€)'!B:J,9,0)</f>
        <v>1.2955944350977111E-2</v>
      </c>
      <c r="D40" s="74">
        <f>VLOOKUP(B40,'Refugee Cost Calculations'!B:D,3,0)</f>
        <v>0.19212261115939072</v>
      </c>
      <c r="E40" s="74">
        <f t="shared" si="0"/>
        <v>0.20507855551036783</v>
      </c>
    </row>
    <row r="41" spans="2:26" ht="15.95" customHeight="1">
      <c r="B41" s="24" t="s">
        <v>2096</v>
      </c>
      <c r="C41" s="74">
        <f>VLOOKUP(B41,'Country Summary (€)'!B:J,9,0)</f>
        <v>1.9488029726067776E-2</v>
      </c>
      <c r="D41" s="74">
        <f>VLOOKUP(B41,'Refugee Cost Calculations'!B:D,3,0)</f>
        <v>0.18325593120704076</v>
      </c>
      <c r="E41" s="74">
        <f t="shared" si="0"/>
        <v>0.20274396093310854</v>
      </c>
    </row>
    <row r="42" spans="2:26" ht="15.95" customHeight="1">
      <c r="B42" s="24" t="s">
        <v>1973</v>
      </c>
      <c r="C42" s="74">
        <f>VLOOKUP(B42,'Country Summary (€)'!B:J,9,0)</f>
        <v>9.4505790632724782E-2</v>
      </c>
      <c r="D42" s="74">
        <f>VLOOKUP(B42,'Refugee Cost Calculations'!B:D,3,0)</f>
        <v>9.5571447019656766E-2</v>
      </c>
      <c r="E42" s="74">
        <f t="shared" si="0"/>
        <v>0.19007723765238155</v>
      </c>
    </row>
    <row r="43" spans="2:26" ht="15.95" customHeight="1">
      <c r="B43" s="35" t="s">
        <v>3685</v>
      </c>
      <c r="C43" s="74">
        <f>VLOOKUP(B43,'Country Summary (€)'!B:J,9,0)</f>
        <v>8.8037343819696631E-3</v>
      </c>
      <c r="D43" s="74">
        <f>VLOOKUP(B43,'Refugee Cost Calculations'!B:D,3,0)</f>
        <v>0.17486487942909032</v>
      </c>
      <c r="E43" s="74">
        <f t="shared" si="0"/>
        <v>0.18366861381105998</v>
      </c>
    </row>
    <row r="44" spans="2:26" ht="15.95" customHeight="1">
      <c r="B44" s="24" t="s">
        <v>1523</v>
      </c>
      <c r="C44" s="74">
        <f>VLOOKUP(B44,'Country Summary (€)'!B:J,9,0)</f>
        <v>5.3695641016007399E-2</v>
      </c>
      <c r="D44" s="74">
        <f>VLOOKUP(B44,'Refugee Cost Calculations'!B:D,3,0)</f>
        <v>0.11129475773170375</v>
      </c>
      <c r="E44" s="74">
        <f t="shared" si="0"/>
        <v>0.16499039874771115</v>
      </c>
    </row>
    <row r="45" spans="2:26" ht="15.95" customHeight="1">
      <c r="B45" s="24" t="s">
        <v>2204</v>
      </c>
      <c r="C45" s="74">
        <f>VLOOKUP(B45,'Country Summary (€)'!B:J,9,0)</f>
        <v>6.9317275513089985E-2</v>
      </c>
      <c r="D45" s="74">
        <f>VLOOKUP(B45,'Refugee Cost Calculations'!B:D,3,0)</f>
        <v>7.7449588095128974E-2</v>
      </c>
      <c r="E45" s="74">
        <f t="shared" si="0"/>
        <v>0.14676686360821894</v>
      </c>
    </row>
    <row r="46" spans="2:26" ht="15.95" customHeight="1">
      <c r="B46" s="24" t="s">
        <v>2312</v>
      </c>
      <c r="C46" s="74">
        <f>VLOOKUP(B46,'Country Summary (€)'!B:J,9,0)</f>
        <v>0.14555394181194639</v>
      </c>
      <c r="D46" s="74">
        <f>VLOOKUP(B46,'Refugee Cost Calculations'!B:D,3,0)</f>
        <v>0</v>
      </c>
      <c r="E46" s="74">
        <f t="shared" si="0"/>
        <v>0.14555394181194639</v>
      </c>
    </row>
    <row r="47" spans="2:26" ht="15.95" customHeight="1">
      <c r="B47" s="35" t="s">
        <v>3162</v>
      </c>
      <c r="C47" s="74">
        <f>VLOOKUP(B47,'Country Summary (€)'!B:J,9,0)</f>
        <v>3.6642527324201112E-2</v>
      </c>
      <c r="D47" s="74">
        <f>VLOOKUP(B47,'Refugee Cost Calculations'!B:D,3,0)</f>
        <v>0</v>
      </c>
      <c r="E47" s="74">
        <f t="shared" si="0"/>
        <v>3.6642527324201112E-2</v>
      </c>
    </row>
    <row r="48" spans="2:26" ht="15.95" customHeight="1">
      <c r="B48" s="35" t="s">
        <v>359</v>
      </c>
      <c r="C48" s="74">
        <f>VLOOKUP(B48,'Country Summary (€)'!B:J,9,0)</f>
        <v>2.9670869414501082E-2</v>
      </c>
      <c r="D48" s="74">
        <f>VLOOKUP(B48,'Refugee Cost Calculations'!B:D,3,0)</f>
        <v>0</v>
      </c>
      <c r="E48" s="74">
        <f t="shared" si="0"/>
        <v>2.9670869414501082E-2</v>
      </c>
      <c r="Z48" s="13"/>
    </row>
    <row r="49" spans="2:15" ht="15.95" customHeight="1">
      <c r="B49" s="35" t="s">
        <v>2832</v>
      </c>
      <c r="C49" s="74">
        <f>VLOOKUP(B49,'Country Summary (€)'!B:J,9,0)</f>
        <v>1.0959428014457219E-2</v>
      </c>
      <c r="D49" s="74">
        <f>VLOOKUP(B49,'Refugee Cost Calculations'!B:D,3,0)</f>
        <v>0</v>
      </c>
      <c r="E49" s="74">
        <f t="shared" si="0"/>
        <v>1.0959428014457219E-2</v>
      </c>
    </row>
    <row r="50" spans="2:15" ht="15.95" customHeight="1">
      <c r="B50" s="35" t="s">
        <v>3713</v>
      </c>
      <c r="C50" s="74">
        <f>VLOOKUP(B50,'Country Summary (€)'!B:J,9,0)</f>
        <v>8.8387096774193569E-3</v>
      </c>
      <c r="D50" s="74">
        <f>VLOOKUP(B50,'Refugee Cost Calculations'!B:D,3,0)</f>
        <v>0</v>
      </c>
      <c r="E50" s="74">
        <f t="shared" si="0"/>
        <v>8.8387096774193569E-3</v>
      </c>
    </row>
    <row r="51" spans="2:15" ht="15.95" customHeight="1">
      <c r="B51" s="35" t="s">
        <v>2076</v>
      </c>
      <c r="C51" s="74">
        <f>VLOOKUP(B51,'Country Summary (€)'!B:J,9,0)</f>
        <v>6.1305702393715236E-5</v>
      </c>
      <c r="D51" s="74">
        <f>VLOOKUP(B51,'Refugee Cost Calculations'!B:D,3,0)</f>
        <v>0</v>
      </c>
      <c r="E51" s="74">
        <f t="shared" si="0"/>
        <v>6.1305702393715236E-5</v>
      </c>
      <c r="F51" s="75"/>
      <c r="G51" s="75"/>
      <c r="H51" s="76"/>
      <c r="I51" s="76"/>
      <c r="J51" s="76"/>
      <c r="K51" s="76"/>
      <c r="L51" s="76"/>
      <c r="M51" s="76"/>
      <c r="N51" s="76"/>
      <c r="O51" s="76"/>
    </row>
    <row r="52" spans="2:15" ht="15.95" customHeight="1">
      <c r="B52" s="38" t="s">
        <v>905</v>
      </c>
      <c r="C52" s="77">
        <f>VLOOKUP(B52,'Country Summary (€)'!B:J,9,0)</f>
        <v>1.3329312542224588E-5</v>
      </c>
      <c r="D52" s="122">
        <f>VLOOKUP(B52,'Refugee Cost Calculations'!B:D,3,0)</f>
        <v>0</v>
      </c>
      <c r="E52" s="122">
        <f t="shared" si="0"/>
        <v>1.3329312542224588E-5</v>
      </c>
      <c r="F52" s="75"/>
      <c r="G52" s="75"/>
      <c r="H52" s="76"/>
      <c r="I52" s="76"/>
      <c r="J52" s="76"/>
      <c r="K52" s="76"/>
      <c r="L52" s="76"/>
      <c r="M52" s="76"/>
      <c r="N52" s="76"/>
      <c r="O52" s="76"/>
    </row>
    <row r="53" spans="2:15" ht="15.95" customHeight="1">
      <c r="C53" s="79"/>
      <c r="D53" s="79"/>
      <c r="E53" s="78"/>
      <c r="F53" s="75"/>
      <c r="G53" s="75"/>
      <c r="H53" s="76"/>
      <c r="I53" s="76"/>
      <c r="J53" s="76"/>
      <c r="K53" s="76"/>
      <c r="L53" s="76"/>
      <c r="M53" s="76"/>
      <c r="N53" s="76"/>
      <c r="O53" s="76"/>
    </row>
    <row r="54" spans="2:15" ht="15.95" customHeight="1">
      <c r="C54" s="80"/>
      <c r="D54" s="80"/>
      <c r="E54" s="78"/>
      <c r="F54" s="75"/>
      <c r="G54" s="75"/>
      <c r="H54" s="76"/>
      <c r="I54" s="76"/>
      <c r="J54" s="76"/>
      <c r="K54" s="76"/>
      <c r="L54" s="76"/>
      <c r="M54" s="76"/>
      <c r="N54" s="76"/>
      <c r="O54" s="76"/>
    </row>
    <row r="55" spans="2:15" ht="15.95" customHeight="1">
      <c r="C55" s="80"/>
      <c r="D55" s="80"/>
      <c r="E55" s="78"/>
      <c r="F55" s="75"/>
      <c r="G55" s="75"/>
      <c r="H55" s="76"/>
      <c r="I55" s="76"/>
      <c r="J55" s="76"/>
      <c r="K55" s="76"/>
      <c r="L55" s="76"/>
      <c r="M55" s="76"/>
      <c r="N55" s="76"/>
      <c r="O55" s="76"/>
    </row>
    <row r="56" spans="2:15" ht="15.95" customHeight="1">
      <c r="C56" s="80"/>
      <c r="D56" s="80"/>
      <c r="E56" s="78"/>
      <c r="F56" s="75"/>
      <c r="G56" s="75"/>
      <c r="H56" s="76"/>
      <c r="I56" s="76"/>
      <c r="J56" s="76"/>
      <c r="K56" s="76"/>
      <c r="L56" s="76"/>
      <c r="M56" s="76"/>
      <c r="N56" s="76"/>
      <c r="O56" s="76"/>
    </row>
    <row r="57" spans="2:15" ht="15.95" customHeight="1">
      <c r="C57" s="80"/>
      <c r="D57" s="80"/>
      <c r="E57" s="78"/>
      <c r="F57" s="75"/>
      <c r="G57" s="75"/>
      <c r="H57" s="76"/>
      <c r="I57" s="76"/>
      <c r="J57" s="76"/>
      <c r="K57" s="76"/>
      <c r="L57" s="76"/>
      <c r="M57" s="76"/>
      <c r="N57" s="76"/>
      <c r="O57" s="76"/>
    </row>
    <row r="58" spans="2:15" ht="15.95" customHeight="1">
      <c r="C58" s="80"/>
      <c r="D58" s="80"/>
    </row>
    <row r="59" spans="2:15" ht="15.95" customHeight="1">
      <c r="C59" s="81"/>
      <c r="D59" s="81"/>
    </row>
    <row r="60" spans="2:15" ht="15.95" customHeight="1">
      <c r="C60" s="81"/>
      <c r="D60" s="81"/>
    </row>
    <row r="61" spans="2:15" ht="15.95" customHeight="1">
      <c r="C61" s="81"/>
      <c r="D61" s="81"/>
    </row>
    <row r="62" spans="2:15" ht="15.95" customHeight="1">
      <c r="C62" s="81"/>
      <c r="D62" s="81"/>
    </row>
    <row r="63" spans="2:15" ht="15.95" customHeight="1">
      <c r="C63" s="81"/>
      <c r="D63" s="81"/>
    </row>
    <row r="64" spans="2:15" ht="15.95" customHeight="1">
      <c r="C64" s="81"/>
      <c r="D64" s="81"/>
    </row>
    <row r="65" spans="3:4" ht="15.95" customHeight="1">
      <c r="C65" s="81"/>
      <c r="D65" s="81"/>
    </row>
    <row r="66" spans="3:4" ht="15.95" customHeight="1">
      <c r="C66" s="81"/>
      <c r="D66" s="81"/>
    </row>
    <row r="67" spans="3:4" ht="15.95" customHeight="1">
      <c r="C67" s="81"/>
      <c r="D67" s="81"/>
    </row>
    <row r="68" spans="3:4" ht="15.95" customHeight="1">
      <c r="C68" s="81"/>
      <c r="D68" s="81"/>
    </row>
    <row r="69" spans="3:4" ht="15.95" customHeight="1">
      <c r="C69" s="81"/>
      <c r="D69" s="81"/>
    </row>
    <row r="70" spans="3:4" ht="15.95" customHeight="1">
      <c r="C70" s="81"/>
      <c r="D70" s="81"/>
    </row>
    <row r="71" spans="3:4" ht="15.95" customHeight="1">
      <c r="C71" s="81"/>
      <c r="D71" s="81"/>
    </row>
    <row r="72" spans="3:4" ht="15.95" customHeight="1">
      <c r="C72" s="81"/>
      <c r="D72" s="81"/>
    </row>
    <row r="73" spans="3:4" ht="15.95" customHeight="1">
      <c r="C73" s="81"/>
      <c r="D73" s="81"/>
    </row>
    <row r="74" spans="3:4" ht="15.95" customHeight="1">
      <c r="C74" s="81"/>
      <c r="D74" s="81"/>
    </row>
    <row r="75" spans="3:4" ht="15.95" customHeight="1">
      <c r="C75" s="81"/>
      <c r="D75" s="81"/>
    </row>
    <row r="76" spans="3:4" ht="15.95" customHeight="1">
      <c r="C76" s="81"/>
      <c r="D76" s="81"/>
    </row>
    <row r="77" spans="3:4" ht="15.95" customHeight="1">
      <c r="C77" s="81"/>
      <c r="D77" s="81"/>
    </row>
    <row r="78" spans="3:4" ht="15.95" customHeight="1">
      <c r="C78" s="81"/>
      <c r="D78" s="81"/>
    </row>
    <row r="79" spans="3:4" ht="15.95" customHeight="1">
      <c r="C79" s="81"/>
      <c r="D79" s="81"/>
    </row>
    <row r="80" spans="3:4" ht="15.95" customHeight="1">
      <c r="C80" s="81"/>
      <c r="D80" s="81"/>
    </row>
    <row r="81" spans="3:4" ht="15.95" customHeight="1">
      <c r="C81" s="81"/>
      <c r="D81" s="81"/>
    </row>
    <row r="82" spans="3:4" ht="15.95" customHeight="1">
      <c r="C82" s="81"/>
      <c r="D82" s="81"/>
    </row>
    <row r="83" spans="3:4" ht="15.95" customHeight="1">
      <c r="C83" s="81"/>
      <c r="D83" s="81"/>
    </row>
  </sheetData>
  <sortState xmlns:xlrd2="http://schemas.microsoft.com/office/spreadsheetml/2017/richdata2" ref="B12:E52">
    <sortCondition descending="1" ref="E12:E52"/>
  </sortState>
  <mergeCells count="1">
    <mergeCell ref="B4:H9"/>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sheetPr>
  <dimension ref="A1:Z60"/>
  <sheetViews>
    <sheetView showGridLines="0" zoomScaleNormal="100" workbookViewId="0"/>
  </sheetViews>
  <sheetFormatPr defaultColWidth="8.625" defaultRowHeight="15.95" customHeight="1"/>
  <cols>
    <col min="1" max="1" width="8.625" style="2" customWidth="1"/>
    <col min="2" max="2" width="25.5" style="13" customWidth="1"/>
    <col min="3" max="3" width="13.125" style="13" customWidth="1"/>
    <col min="4" max="4" width="16.625" style="13" customWidth="1"/>
    <col min="5" max="5" width="18.125" style="13" customWidth="1"/>
    <col min="6" max="6" width="23.125" style="13" bestFit="1" customWidth="1"/>
    <col min="7" max="7" width="19.875" style="13" bestFit="1" customWidth="1"/>
    <col min="8" max="8" width="13.625" style="13" customWidth="1"/>
    <col min="9" max="16384" width="8.625" style="13"/>
  </cols>
  <sheetData>
    <row r="1" spans="1:9" s="35" customFormat="1" ht="15.95" customHeight="1">
      <c r="B1" s="39"/>
      <c r="C1" s="146"/>
      <c r="D1" s="146"/>
      <c r="E1" s="146"/>
      <c r="F1" s="146"/>
      <c r="G1" s="39"/>
    </row>
    <row r="2" spans="1:9" s="469" customFormat="1" ht="24.75" customHeight="1">
      <c r="A2" s="465"/>
      <c r="B2" s="391" t="s">
        <v>4584</v>
      </c>
      <c r="C2" s="468"/>
      <c r="D2" s="468"/>
      <c r="E2" s="468"/>
      <c r="F2" s="468"/>
    </row>
    <row r="3" spans="1:9" s="43" customFormat="1" ht="15.95" customHeight="1">
      <c r="A3" s="35"/>
      <c r="B3" s="42"/>
      <c r="C3" s="145"/>
      <c r="D3" s="145"/>
      <c r="E3" s="145"/>
      <c r="F3" s="145"/>
      <c r="H3" s="165"/>
    </row>
    <row r="4" spans="1:9" s="43" customFormat="1" ht="15.95" customHeight="1">
      <c r="A4" s="35"/>
      <c r="B4" s="1433" t="s">
        <v>4585</v>
      </c>
      <c r="C4" s="1433"/>
      <c r="D4" s="1433"/>
      <c r="E4" s="1433"/>
      <c r="F4" s="1433"/>
      <c r="G4" s="1433"/>
      <c r="H4" s="1433"/>
    </row>
    <row r="5" spans="1:9" s="43" customFormat="1" ht="15.95" customHeight="1">
      <c r="A5" s="35"/>
      <c r="B5" s="1433"/>
      <c r="C5" s="1433"/>
      <c r="D5" s="1433"/>
      <c r="E5" s="1433"/>
      <c r="F5" s="1433"/>
      <c r="G5" s="1433"/>
      <c r="H5" s="1433"/>
    </row>
    <row r="6" spans="1:9" s="43" customFormat="1" ht="15.95" customHeight="1">
      <c r="A6" s="35"/>
      <c r="B6" s="1433"/>
      <c r="C6" s="1433"/>
      <c r="D6" s="1433"/>
      <c r="E6" s="1433"/>
      <c r="F6" s="1433"/>
      <c r="G6" s="1433"/>
      <c r="H6" s="1433"/>
    </row>
    <row r="7" spans="1:9" s="43" customFormat="1" ht="15.95" customHeight="1">
      <c r="A7" s="35"/>
      <c r="B7" s="1433"/>
      <c r="C7" s="1433"/>
      <c r="D7" s="1433"/>
      <c r="E7" s="1433"/>
      <c r="F7" s="1433"/>
      <c r="G7" s="1433"/>
      <c r="H7" s="1433"/>
    </row>
    <row r="8" spans="1:9" s="43" customFormat="1" ht="15.95" customHeight="1">
      <c r="A8" s="35"/>
      <c r="B8" s="1433"/>
      <c r="C8" s="1433"/>
      <c r="D8" s="1433"/>
      <c r="E8" s="1433"/>
      <c r="F8" s="1433"/>
      <c r="G8" s="1433"/>
      <c r="H8" s="1433"/>
    </row>
    <row r="9" spans="1:9" s="43" customFormat="1" ht="15.95" customHeight="1">
      <c r="A9" s="35"/>
      <c r="B9" s="1433"/>
      <c r="C9" s="1433"/>
      <c r="D9" s="1433"/>
      <c r="E9" s="1433"/>
      <c r="F9" s="1433"/>
      <c r="G9" s="1433"/>
      <c r="H9" s="1433"/>
    </row>
    <row r="11" spans="1:9" s="3" customFormat="1" ht="24.75" customHeight="1">
      <c r="A11" s="11"/>
      <c r="B11" s="367" t="s">
        <v>4512</v>
      </c>
      <c r="C11" s="434" t="s">
        <v>714</v>
      </c>
      <c r="D11" s="435" t="s">
        <v>481</v>
      </c>
      <c r="E11" s="434" t="s">
        <v>495</v>
      </c>
      <c r="F11" s="435" t="s">
        <v>4586</v>
      </c>
      <c r="G11" s="434" t="s">
        <v>4587</v>
      </c>
      <c r="I11" s="390" t="s">
        <v>4588</v>
      </c>
    </row>
    <row r="12" spans="1:9" ht="15.95" customHeight="1">
      <c r="B12" s="24" t="s">
        <v>4569</v>
      </c>
      <c r="C12" s="113">
        <f>SUMIFS('Bilateral Assistance, MAIN DATA'!S:S,'Bilateral Assistance, MAIN DATA'!E:E,$C$11,'Bilateral Assistance, MAIN DATA'!B:B,"European Investment Bank")/1000000000+SUMIFS('Bilateral Assistance, MAIN DATA'!S:S,'Bilateral Assistance, MAIN DATA'!E:E,$C$11,'Bilateral Assistance, MAIN DATA'!B:B,"EU (Commission and Council)")/1000000000</f>
        <v>27.2</v>
      </c>
      <c r="D12" s="113">
        <f>SUMIFS('Bilateral Assistance, MAIN DATA'!S:S,'Bilateral Assistance, MAIN DATA'!E:E,$D$11,'Bilateral Assistance, MAIN DATA'!B:B,"European Investment Bank")/1000000000+SUMIFS('Bilateral Assistance, MAIN DATA'!S:S,'Bilateral Assistance, MAIN DATA'!E:E,$D$11,'Bilateral Assistance, MAIN DATA'!B:B,"EU (Commission and Council)")/1000000000</f>
        <v>0.1225</v>
      </c>
      <c r="E12" s="113">
        <f>SUMIFS('Bilateral Assistance, MAIN DATA'!S:S,'Bilateral Assistance, MAIN DATA'!E:E,$E$11,'Bilateral Assistance, MAIN DATA'!B:B,"European Investment Bank")/1000000000+SUMIFS('Bilateral Assistance, MAIN DATA'!S:S,'Bilateral Assistance, MAIN DATA'!E:E,$E$11,'Bilateral Assistance, MAIN DATA'!B:B,"EU (Commission and Council)")/1000000000</f>
        <v>0</v>
      </c>
      <c r="F12" s="113">
        <f>SUMIFS('Bilateral Assistance, MAIN DATA'!S:S,'Bilateral Assistance, MAIN DATA'!E:E,"Swap-line",'Bilateral Assistance, MAIN DATA'!B:B,"European Investment Bank")/1000000000+SUMIFS('Bilateral Assistance, MAIN DATA'!S:S,'Bilateral Assistance, MAIN DATA'!E:E,"Swap line",'Bilateral Assistance, MAIN DATA'!B:B,"EU (Commission and Council)")/1000000000</f>
        <v>0</v>
      </c>
      <c r="G12" s="113">
        <f t="shared" ref="G12:G53" si="0">SUM(C12:F12)</f>
        <v>27.322499999999998</v>
      </c>
    </row>
    <row r="13" spans="1:9" ht="15.95" customHeight="1">
      <c r="B13" s="24" t="s">
        <v>3949</v>
      </c>
      <c r="C13" s="113">
        <f>SUMIFS('Bilateral Assistance, MAIN DATA'!S:S,'Bilateral Assistance, MAIN DATA'!E:E,$C$11,'Bilateral Assistance, MAIN DATA'!B:B,B13)/1000000000</f>
        <v>0</v>
      </c>
      <c r="D13" s="113">
        <f>SUMIFS('Bilateral Assistance, MAIN DATA'!S:S,'Bilateral Assistance, MAIN DATA'!E:E,$D$11,'Bilateral Assistance, MAIN DATA'!B:B,B13)/1000000000</f>
        <v>24.263894000736109</v>
      </c>
      <c r="E13" s="113">
        <f>SUMIFS('Bilateral Assistance, MAIN DATA'!S:S,'Bilateral Assistance, MAIN DATA'!E:E,$E$11,'Bilateral Assistance, MAIN DATA'!B:B,B13)/1000000000</f>
        <v>0</v>
      </c>
      <c r="F13" s="113">
        <f>SUMIFS('Bilateral Assistance, MAIN DATA'!S:S,'Bilateral Assistance, MAIN DATA'!E:E,"Swap-line",'Bilateral Assistance, MAIN DATA'!B:B,B13)/1000000000</f>
        <v>0</v>
      </c>
      <c r="G13" s="113">
        <f t="shared" si="0"/>
        <v>24.263894000736109</v>
      </c>
    </row>
    <row r="14" spans="1:9" ht="15.95" customHeight="1">
      <c r="B14" s="13" t="s">
        <v>2312</v>
      </c>
      <c r="C14" s="113">
        <f>SUMIFS('Bilateral Assistance, MAIN DATA'!S:S,'Bilateral Assistance, MAIN DATA'!E:E,$C$11,'Bilateral Assistance, MAIN DATA'!B:B,B14)/1000000000</f>
        <v>5.1527419948472586</v>
      </c>
      <c r="D14" s="113">
        <f>SUMIFS('Bilateral Assistance, MAIN DATA'!S:S,'Bilateral Assistance, MAIN DATA'!E:E,$D$11,'Bilateral Assistance, MAIN DATA'!B:B,B14)/1000000000</f>
        <v>0.8663507545086494</v>
      </c>
      <c r="E14" s="113">
        <f>SUMIFS('Bilateral Assistance, MAIN DATA'!S:S,'Bilateral Assistance, MAIN DATA'!E:E,$E$11,'Bilateral Assistance, MAIN DATA'!B:B,B14)/1000000000</f>
        <v>0</v>
      </c>
      <c r="F14" s="113">
        <f>SUMIFS('Bilateral Assistance, MAIN DATA'!S:S,'Bilateral Assistance, MAIN DATA'!E:E,"Swap-line",'Bilateral Assistance, MAIN DATA'!B:B,B14)/1000000000</f>
        <v>0</v>
      </c>
      <c r="G14" s="113">
        <f t="shared" si="0"/>
        <v>6.0190927493559077</v>
      </c>
    </row>
    <row r="15" spans="1:9" ht="15.95" customHeight="1">
      <c r="B15" s="24" t="s">
        <v>3748</v>
      </c>
      <c r="C15" s="113">
        <f>SUMIFS('Bilateral Assistance, MAIN DATA'!S:S,'Bilateral Assistance, MAIN DATA'!E:E,$C$11,'Bilateral Assistance, MAIN DATA'!B:B,B15)/1000000000</f>
        <v>0.57444852941176472</v>
      </c>
      <c r="D15" s="113">
        <f>SUMIFS('Bilateral Assistance, MAIN DATA'!S:S,'Bilateral Assistance, MAIN DATA'!E:E,$D$11,'Bilateral Assistance, MAIN DATA'!B:B,B15)/1000000000</f>
        <v>0.6504413676010522</v>
      </c>
      <c r="E15" s="113">
        <f>SUMIFS('Bilateral Assistance, MAIN DATA'!S:S,'Bilateral Assistance, MAIN DATA'!E:E,$E$11,'Bilateral Assistance, MAIN DATA'!B:B,B15)/1000000000</f>
        <v>2.6789598511009118</v>
      </c>
      <c r="F15" s="113">
        <f>SUMIFS('Bilateral Assistance, MAIN DATA'!S:S,'Bilateral Assistance, MAIN DATA'!E:E,"Swap-line",'Bilateral Assistance, MAIN DATA'!B:B,B15)/1000000000</f>
        <v>0</v>
      </c>
      <c r="G15" s="113">
        <f t="shared" si="0"/>
        <v>3.9038497481137289</v>
      </c>
    </row>
    <row r="16" spans="1:9" ht="15.95" customHeight="1">
      <c r="B16" s="24" t="s">
        <v>713</v>
      </c>
      <c r="C16" s="113">
        <f>SUMIFS('Bilateral Assistance, MAIN DATA'!S:S,'Bilateral Assistance, MAIN DATA'!E:E,$C$11,'Bilateral Assistance, MAIN DATA'!B:B,B16)/1000000000</f>
        <v>2.9618029549942131</v>
      </c>
      <c r="D16" s="113">
        <f>SUMIFS('Bilateral Assistance, MAIN DATA'!S:S,'Bilateral Assistance, MAIN DATA'!E:E,$D$11,'Bilateral Assistance, MAIN DATA'!B:B,B16)/1000000000</f>
        <v>0.49819008866125369</v>
      </c>
      <c r="E16" s="113">
        <f>SUMIFS('Bilateral Assistance, MAIN DATA'!S:S,'Bilateral Assistance, MAIN DATA'!E:E,$E$11,'Bilateral Assistance, MAIN DATA'!B:B,B16)/1000000000</f>
        <v>3.6499999999999998E-2</v>
      </c>
      <c r="F16" s="113">
        <f>SUMIFS('Bilateral Assistance, MAIN DATA'!S:S,'Bilateral Assistance, MAIN DATA'!E:E,"Swap-line",'Bilateral Assistance, MAIN DATA'!B:B,B16)/1000000000</f>
        <v>0</v>
      </c>
      <c r="G16" s="113">
        <f t="shared" si="0"/>
        <v>3.4964930436554669</v>
      </c>
    </row>
    <row r="17" spans="2:7" ht="15.95" customHeight="1">
      <c r="B17" s="24" t="s">
        <v>1711</v>
      </c>
      <c r="C17" s="113">
        <f>SUMIFS('Bilateral Assistance, MAIN DATA'!S:S,'Bilateral Assistance, MAIN DATA'!E:E,$C$11,'Bilateral Assistance, MAIN DATA'!B:B,B17)/1000000000</f>
        <v>0.3</v>
      </c>
      <c r="D17" s="113">
        <f>SUMIFS('Bilateral Assistance, MAIN DATA'!S:S,'Bilateral Assistance, MAIN DATA'!E:E,$D$11,'Bilateral Assistance, MAIN DATA'!B:B,B17)/1000000000</f>
        <v>1.3792519999999999</v>
      </c>
      <c r="E17" s="113">
        <f>SUMIFS('Bilateral Assistance, MAIN DATA'!S:S,'Bilateral Assistance, MAIN DATA'!E:E,$E$11,'Bilateral Assistance, MAIN DATA'!B:B,B17)/1000000000</f>
        <v>0</v>
      </c>
      <c r="F17" s="113">
        <f>SUMIFS('Bilateral Assistance, MAIN DATA'!S:S,'Bilateral Assistance, MAIN DATA'!E:E,"Swap-line",'Bilateral Assistance, MAIN DATA'!B:B,B17)/1000000000</f>
        <v>0</v>
      </c>
      <c r="G17" s="113">
        <f t="shared" si="0"/>
        <v>1.679252</v>
      </c>
    </row>
    <row r="18" spans="2:7" ht="15.95" customHeight="1">
      <c r="B18" s="24" t="s">
        <v>2693</v>
      </c>
      <c r="C18" s="113">
        <f>SUMIFS('Bilateral Assistance, MAIN DATA'!S:S,'Bilateral Assistance, MAIN DATA'!E:E,$C$11,'Bilateral Assistance, MAIN DATA'!B:B,B18)/1000000000</f>
        <v>0.2</v>
      </c>
      <c r="D18" s="113">
        <f>SUMIFS('Bilateral Assistance, MAIN DATA'!S:S,'Bilateral Assistance, MAIN DATA'!E:E,$D$11,'Bilateral Assistance, MAIN DATA'!B:B,B18)/1000000000</f>
        <v>0.87350000000000005</v>
      </c>
      <c r="E18" s="113">
        <f>SUMIFS('Bilateral Assistance, MAIN DATA'!S:S,'Bilateral Assistance, MAIN DATA'!E:E,$E$11,'Bilateral Assistance, MAIN DATA'!B:B,B18)/1000000000</f>
        <v>9.9322782480677219E-2</v>
      </c>
      <c r="F18" s="113">
        <f>SUMIFS('Bilateral Assistance, MAIN DATA'!S:S,'Bilateral Assistance, MAIN DATA'!E:E,"Swap-line",'Bilateral Assistance, MAIN DATA'!B:B,B18)/1000000000</f>
        <v>0</v>
      </c>
      <c r="G18" s="113">
        <f t="shared" si="0"/>
        <v>1.1728227824806774</v>
      </c>
    </row>
    <row r="19" spans="2:7" ht="15.95" customHeight="1">
      <c r="B19" s="2" t="s">
        <v>2882</v>
      </c>
      <c r="C19" s="113">
        <f>SUMIFS('Bilateral Assistance, MAIN DATA'!S:S,'Bilateral Assistance, MAIN DATA'!E:E,$C$11,'Bilateral Assistance, MAIN DATA'!B:B,B19)/1000000000</f>
        <v>0</v>
      </c>
      <c r="D19" s="113">
        <f>SUMIFS('Bilateral Assistance, MAIN DATA'!S:S,'Bilateral Assistance, MAIN DATA'!E:E,$D$11,'Bilateral Assistance, MAIN DATA'!B:B,B19)/1000000000</f>
        <v>1.1429301968805934</v>
      </c>
      <c r="E19" s="113">
        <f>SUMIFS('Bilateral Assistance, MAIN DATA'!S:S,'Bilateral Assistance, MAIN DATA'!E:E,$E$11,'Bilateral Assistance, MAIN DATA'!B:B,B19)/1000000000</f>
        <v>0</v>
      </c>
      <c r="F19" s="113">
        <f>SUMIFS('Bilateral Assistance, MAIN DATA'!S:S,'Bilateral Assistance, MAIN DATA'!E:E,"Swap-line",'Bilateral Assistance, MAIN DATA'!B:B,B19)/1000000000</f>
        <v>0</v>
      </c>
      <c r="G19" s="113">
        <f t="shared" si="0"/>
        <v>1.1429301968805934</v>
      </c>
    </row>
    <row r="20" spans="2:7" ht="15.95" customHeight="1">
      <c r="B20" s="24" t="s">
        <v>2989</v>
      </c>
      <c r="C20" s="113">
        <f>SUMIFS('Bilateral Assistance, MAIN DATA'!S:S,'Bilateral Assistance, MAIN DATA'!E:E,$C$11,'Bilateral Assistance, MAIN DATA'!B:B,B20)/1000000000</f>
        <v>0</v>
      </c>
      <c r="D20" s="113">
        <f>SUMIFS('Bilateral Assistance, MAIN DATA'!S:S,'Bilateral Assistance, MAIN DATA'!E:E,$D$11,'Bilateral Assistance, MAIN DATA'!B:B,B20)/1000000000</f>
        <v>6.6160903316866623E-3</v>
      </c>
      <c r="E20" s="113">
        <f>SUMIFS('Bilateral Assistance, MAIN DATA'!S:S,'Bilateral Assistance, MAIN DATA'!E:E,$E$11,'Bilateral Assistance, MAIN DATA'!B:B,B20)/1000000000</f>
        <v>0</v>
      </c>
      <c r="F20" s="113">
        <f>SUMIFS('Bilateral Assistance, MAIN DATA'!S:S,'Bilateral Assistance, MAIN DATA'!E:E,"Swap-line",'Bilateral Assistance, MAIN DATA'!B:B,B20)/1000000000</f>
        <v>0.92013249907986749</v>
      </c>
      <c r="G20" s="113">
        <f t="shared" si="0"/>
        <v>0.92674858941155414</v>
      </c>
    </row>
    <row r="21" spans="2:7" ht="15.95" customHeight="1">
      <c r="B21" s="24" t="s">
        <v>1523</v>
      </c>
      <c r="C21" s="113">
        <f>SUMIFS('Bilateral Assistance, MAIN DATA'!S:S,'Bilateral Assistance, MAIN DATA'!E:E,$C$11,'Bilateral Assistance, MAIN DATA'!B:B,B21)/1000000000</f>
        <v>0.69940000000000002</v>
      </c>
      <c r="D21" s="113">
        <f>SUMIFS('Bilateral Assistance, MAIN DATA'!S:S,'Bilateral Assistance, MAIN DATA'!E:E,$D$11,'Bilateral Assistance, MAIN DATA'!B:B,B21)/1000000000</f>
        <v>0</v>
      </c>
      <c r="E21" s="113">
        <f>SUMIFS('Bilateral Assistance, MAIN DATA'!S:S,'Bilateral Assistance, MAIN DATA'!E:E,$E$11,'Bilateral Assistance, MAIN DATA'!B:B,B21)/1000000000</f>
        <v>0</v>
      </c>
      <c r="F21" s="113">
        <f>SUMIFS('Bilateral Assistance, MAIN DATA'!S:S,'Bilateral Assistance, MAIN DATA'!E:E,"Swap-line",'Bilateral Assistance, MAIN DATA'!B:B,B21)/1000000000</f>
        <v>0</v>
      </c>
      <c r="G21" s="113">
        <f t="shared" si="0"/>
        <v>0.69940000000000002</v>
      </c>
    </row>
    <row r="22" spans="2:7" ht="15.95" customHeight="1">
      <c r="B22" s="24" t="s">
        <v>454</v>
      </c>
      <c r="C22" s="113">
        <f>SUMIFS('Bilateral Assistance, MAIN DATA'!S:S,'Bilateral Assistance, MAIN DATA'!E:E,$C$11,'Bilateral Assistance, MAIN DATA'!B:B,B22)/1000000000</f>
        <v>0</v>
      </c>
      <c r="D22" s="113">
        <f>SUMIFS('Bilateral Assistance, MAIN DATA'!S:S,'Bilateral Assistance, MAIN DATA'!E:E,$D$11,'Bilateral Assistance, MAIN DATA'!B:B,B22)/1000000000</f>
        <v>8.6900000000000005E-2</v>
      </c>
      <c r="E22" s="113">
        <f>SUMIFS('Bilateral Assistance, MAIN DATA'!S:S,'Bilateral Assistance, MAIN DATA'!E:E,$E$11,'Bilateral Assistance, MAIN DATA'!B:B,B22)/1000000000</f>
        <v>0.6</v>
      </c>
      <c r="F22" s="113">
        <f>SUMIFS('Bilateral Assistance, MAIN DATA'!S:S,'Bilateral Assistance, MAIN DATA'!E:E,"Swap-line",'Bilateral Assistance, MAIN DATA'!B:B,B22)/1000000000</f>
        <v>0</v>
      </c>
      <c r="G22" s="113">
        <f t="shared" si="0"/>
        <v>0.68689999999999996</v>
      </c>
    </row>
    <row r="23" spans="2:7" ht="15.95" customHeight="1">
      <c r="B23" s="24" t="s">
        <v>3412</v>
      </c>
      <c r="C23" s="113">
        <f>SUMIFS('Bilateral Assistance, MAIN DATA'!S:S,'Bilateral Assistance, MAIN DATA'!E:E,$C$11,'Bilateral Assistance, MAIN DATA'!B:B,B23)/1000000000</f>
        <v>0</v>
      </c>
      <c r="D23" s="113">
        <f>SUMIFS('Bilateral Assistance, MAIN DATA'!S:S,'Bilateral Assistance, MAIN DATA'!E:E,$D$11,'Bilateral Assistance, MAIN DATA'!B:B,B23)/1000000000</f>
        <v>5.4199999999999998E-2</v>
      </c>
      <c r="E23" s="113">
        <f>SUMIFS('Bilateral Assistance, MAIN DATA'!S:S,'Bilateral Assistance, MAIN DATA'!E:E,$E$11,'Bilateral Assistance, MAIN DATA'!B:B,B23)/1000000000</f>
        <v>0.4</v>
      </c>
      <c r="F23" s="113">
        <f>SUMIFS('Bilateral Assistance, MAIN DATA'!S:S,'Bilateral Assistance, MAIN DATA'!E:E,"Swap-line",'Bilateral Assistance, MAIN DATA'!B:B,B23)/1000000000</f>
        <v>0</v>
      </c>
      <c r="G23" s="113">
        <f t="shared" si="0"/>
        <v>0.45420000000000005</v>
      </c>
    </row>
    <row r="24" spans="2:7" ht="15.95" customHeight="1">
      <c r="B24" s="24" t="s">
        <v>2204</v>
      </c>
      <c r="C24" s="113">
        <f>SUMIFS('Bilateral Assistance, MAIN DATA'!S:S,'Bilateral Assistance, MAIN DATA'!E:E,$C$11,'Bilateral Assistance, MAIN DATA'!B:B,B24)/1000000000</f>
        <v>0.2</v>
      </c>
      <c r="D24" s="113">
        <f>SUMIFS('Bilateral Assistance, MAIN DATA'!S:S,'Bilateral Assistance, MAIN DATA'!E:E,$D$11,'Bilateral Assistance, MAIN DATA'!B:B,B24)/1000000000</f>
        <v>0.127</v>
      </c>
      <c r="E24" s="113">
        <f>SUMIFS('Bilateral Assistance, MAIN DATA'!S:S,'Bilateral Assistance, MAIN DATA'!E:E,$E$11,'Bilateral Assistance, MAIN DATA'!B:B,B24)/1000000000</f>
        <v>0.1</v>
      </c>
      <c r="F24" s="113">
        <f>SUMIFS('Bilateral Assistance, MAIN DATA'!S:S,'Bilateral Assistance, MAIN DATA'!E:E,"Swap-line",'Bilateral Assistance, MAIN DATA'!B:B,B24)/1000000000</f>
        <v>0</v>
      </c>
      <c r="G24" s="113">
        <f t="shared" si="0"/>
        <v>0.42700000000000005</v>
      </c>
    </row>
    <row r="25" spans="2:7" ht="15.95" customHeight="1">
      <c r="B25" s="24" t="s">
        <v>3162</v>
      </c>
      <c r="C25" s="113">
        <f>SUMIFS('Bilateral Assistance, MAIN DATA'!S:S,'Bilateral Assistance, MAIN DATA'!E:E,$C$11,'Bilateral Assistance, MAIN DATA'!B:B,B25)/1000000000</f>
        <v>0.27603974972396028</v>
      </c>
      <c r="D25" s="113">
        <f>SUMIFS('Bilateral Assistance, MAIN DATA'!S:S,'Bilateral Assistance, MAIN DATA'!E:E,$D$11,'Bilateral Assistance, MAIN DATA'!B:B,B25)/1000000000</f>
        <v>0.11961722488038277</v>
      </c>
      <c r="E25" s="113">
        <f>SUMIFS('Bilateral Assistance, MAIN DATA'!S:S,'Bilateral Assistance, MAIN DATA'!E:E,$E$11,'Bilateral Assistance, MAIN DATA'!B:B,B25)/1000000000</f>
        <v>0</v>
      </c>
      <c r="F25" s="113">
        <f>SUMIFS('Bilateral Assistance, MAIN DATA'!S:S,'Bilateral Assistance, MAIN DATA'!E:E,"Swap-line",'Bilateral Assistance, MAIN DATA'!B:B,B25)/1000000000</f>
        <v>0</v>
      </c>
      <c r="G25" s="113">
        <f t="shared" si="0"/>
        <v>0.39565697460434307</v>
      </c>
    </row>
    <row r="26" spans="2:7" ht="15.95" customHeight="1">
      <c r="B26" s="24" t="s">
        <v>3548</v>
      </c>
      <c r="C26" s="113">
        <f>SUMIFS('Bilateral Assistance, MAIN DATA'!S:S,'Bilateral Assistance, MAIN DATA'!E:E,$C$11,'Bilateral Assistance, MAIN DATA'!B:B,B26)/1000000000</f>
        <v>0</v>
      </c>
      <c r="D26" s="113">
        <f>SUMIFS('Bilateral Assistance, MAIN DATA'!S:S,'Bilateral Assistance, MAIN DATA'!E:E,$D$11,'Bilateral Assistance, MAIN DATA'!B:B,B26)/1000000000</f>
        <v>0.25996288380520155</v>
      </c>
      <c r="E26" s="113">
        <f>SUMIFS('Bilateral Assistance, MAIN DATA'!S:S,'Bilateral Assistance, MAIN DATA'!E:E,$E$11,'Bilateral Assistance, MAIN DATA'!B:B,B26)/1000000000</f>
        <v>9.0006624953993378E-2</v>
      </c>
      <c r="F26" s="113">
        <f>SUMIFS('Bilateral Assistance, MAIN DATA'!S:S,'Bilateral Assistance, MAIN DATA'!E:E,"Swap-line",'Bilateral Assistance, MAIN DATA'!B:B,B26)/1000000000</f>
        <v>0</v>
      </c>
      <c r="G26" s="113">
        <f t="shared" si="0"/>
        <v>0.34996950875919491</v>
      </c>
    </row>
    <row r="27" spans="2:7" ht="15.95" customHeight="1">
      <c r="B27" s="24" t="s">
        <v>3079</v>
      </c>
      <c r="C27" s="113">
        <f>SUMIFS('Bilateral Assistance, MAIN DATA'!S:S,'Bilateral Assistance, MAIN DATA'!E:E,$C$11,'Bilateral Assistance, MAIN DATA'!B:B,B27)/1000000000</f>
        <v>0</v>
      </c>
      <c r="D27" s="113">
        <f>SUMIFS('Bilateral Assistance, MAIN DATA'!S:S,'Bilateral Assistance, MAIN DATA'!E:E,$D$11,'Bilateral Assistance, MAIN DATA'!B:B,B27)/1000000000</f>
        <v>0.25</v>
      </c>
      <c r="E27" s="113">
        <f>SUMIFS('Bilateral Assistance, MAIN DATA'!S:S,'Bilateral Assistance, MAIN DATA'!E:E,$E$11,'Bilateral Assistance, MAIN DATA'!B:B,B27)/1000000000</f>
        <v>0</v>
      </c>
      <c r="F27" s="113">
        <f>SUMIFS('Bilateral Assistance, MAIN DATA'!S:S,'Bilateral Assistance, MAIN DATA'!E:E,"Swap-line",'Bilateral Assistance, MAIN DATA'!B:B,B27)/1000000000</f>
        <v>0</v>
      </c>
      <c r="G27" s="113">
        <f t="shared" si="0"/>
        <v>0.25</v>
      </c>
    </row>
    <row r="28" spans="2:7" ht="15.95" customHeight="1">
      <c r="B28" s="13" t="s">
        <v>1432</v>
      </c>
      <c r="C28" s="113">
        <f>SUMIFS('Bilateral Assistance, MAIN DATA'!S:S,'Bilateral Assistance, MAIN DATA'!E:E,$C$11,'Bilateral Assistance, MAIN DATA'!B:B,B28)/1000000000</f>
        <v>0</v>
      </c>
      <c r="D28" s="113">
        <f>SUMIFS('Bilateral Assistance, MAIN DATA'!S:S,'Bilateral Assistance, MAIN DATA'!E:E,$D$11,'Bilateral Assistance, MAIN DATA'!B:B,B28)/1000000000</f>
        <v>7.5499999999999998E-2</v>
      </c>
      <c r="E28" s="113">
        <f>SUMIFS('Bilateral Assistance, MAIN DATA'!S:S,'Bilateral Assistance, MAIN DATA'!E:E,$E$11,'Bilateral Assistance, MAIN DATA'!B:B,B28)/1000000000</f>
        <v>0</v>
      </c>
      <c r="F28" s="113">
        <f>SUMIFS('Bilateral Assistance, MAIN DATA'!S:S,'Bilateral Assistance, MAIN DATA'!E:E,"Swap-line",'Bilateral Assistance, MAIN DATA'!B:B,B28)/1000000000</f>
        <v>0</v>
      </c>
      <c r="G28" s="113">
        <f t="shared" si="0"/>
        <v>7.5499999999999998E-2</v>
      </c>
    </row>
    <row r="29" spans="2:7" ht="15.95" customHeight="1">
      <c r="B29" s="24" t="s">
        <v>1194</v>
      </c>
      <c r="C29" s="113">
        <f>SUMIFS('Bilateral Assistance, MAIN DATA'!S:S,'Bilateral Assistance, MAIN DATA'!E:E,$C$11,'Bilateral Assistance, MAIN DATA'!B:B,B29)/1000000000</f>
        <v>0</v>
      </c>
      <c r="D29" s="113">
        <f>SUMIFS('Bilateral Assistance, MAIN DATA'!S:S,'Bilateral Assistance, MAIN DATA'!E:E,$D$11,'Bilateral Assistance, MAIN DATA'!B:B,B29)/1000000000</f>
        <v>5.7500000000000002E-2</v>
      </c>
      <c r="E29" s="113">
        <f>SUMIFS('Bilateral Assistance, MAIN DATA'!S:S,'Bilateral Assistance, MAIN DATA'!E:E,$E$11,'Bilateral Assistance, MAIN DATA'!B:B,B29)/1000000000</f>
        <v>0</v>
      </c>
      <c r="F29" s="113">
        <f>SUMIFS('Bilateral Assistance, MAIN DATA'!S:S,'Bilateral Assistance, MAIN DATA'!E:E,"Swap-line",'Bilateral Assistance, MAIN DATA'!B:B,B29)/1000000000</f>
        <v>0</v>
      </c>
      <c r="G29" s="113">
        <f t="shared" si="0"/>
        <v>5.7500000000000002E-2</v>
      </c>
    </row>
    <row r="30" spans="2:7" ht="15.95" customHeight="1">
      <c r="B30" s="24" t="s">
        <v>2488</v>
      </c>
      <c r="C30" s="113">
        <f>SUMIFS('Bilateral Assistance, MAIN DATA'!S:S,'Bilateral Assistance, MAIN DATA'!E:E,$C$11,'Bilateral Assistance, MAIN DATA'!B:B,B30)/1000000000</f>
        <v>0</v>
      </c>
      <c r="D30" s="113">
        <f>SUMIFS('Bilateral Assistance, MAIN DATA'!S:S,'Bilateral Assistance, MAIN DATA'!E:E,$D$11,'Bilateral Assistance, MAIN DATA'!B:B,B30)/1000000000</f>
        <v>3.2000000000000001E-2</v>
      </c>
      <c r="E30" s="113">
        <f>SUMIFS('Bilateral Assistance, MAIN DATA'!S:S,'Bilateral Assistance, MAIN DATA'!E:E,$E$11,'Bilateral Assistance, MAIN DATA'!B:B,B30)/1000000000</f>
        <v>0.01</v>
      </c>
      <c r="F30" s="113">
        <f>SUMIFS('Bilateral Assistance, MAIN DATA'!S:S,'Bilateral Assistance, MAIN DATA'!E:E,"Swap-line",'Bilateral Assistance, MAIN DATA'!B:B,B30)/1000000000</f>
        <v>0</v>
      </c>
      <c r="G30" s="113">
        <f t="shared" si="0"/>
        <v>4.2000000000000003E-2</v>
      </c>
    </row>
    <row r="31" spans="2:7" ht="15.95" customHeight="1">
      <c r="B31" s="2" t="s">
        <v>3649</v>
      </c>
      <c r="C31" s="113">
        <f>SUMIFS('Bilateral Assistance, MAIN DATA'!S:S,'Bilateral Assistance, MAIN DATA'!E:E,$C$11,'Bilateral Assistance, MAIN DATA'!B:B,B31)/1000000000</f>
        <v>0</v>
      </c>
      <c r="D31" s="113">
        <f>SUMIFS('Bilateral Assistance, MAIN DATA'!S:S,'Bilateral Assistance, MAIN DATA'!E:E,$D$11,'Bilateral Assistance, MAIN DATA'!B:B,B31)/1000000000</f>
        <v>3.8970362014152396E-2</v>
      </c>
      <c r="E31" s="113">
        <f>SUMIFS('Bilateral Assistance, MAIN DATA'!S:S,'Bilateral Assistance, MAIN DATA'!E:E,$E$11,'Bilateral Assistance, MAIN DATA'!B:B,B31)/1000000000</f>
        <v>0</v>
      </c>
      <c r="F31" s="113">
        <f>SUMIFS('Bilateral Assistance, MAIN DATA'!S:S,'Bilateral Assistance, MAIN DATA'!E:E,"Swap-line",'Bilateral Assistance, MAIN DATA'!B:B,B31)/1000000000</f>
        <v>0</v>
      </c>
      <c r="G31" s="113">
        <f t="shared" si="0"/>
        <v>3.8970362014152396E-2</v>
      </c>
    </row>
    <row r="32" spans="2:7" ht="15.95" customHeight="1">
      <c r="B32" s="24" t="s">
        <v>2392</v>
      </c>
      <c r="C32" s="113">
        <f>SUMIFS('Bilateral Assistance, MAIN DATA'!S:S,'Bilateral Assistance, MAIN DATA'!E:E,$C$11,'Bilateral Assistance, MAIN DATA'!B:B,B32)/1000000000</f>
        <v>0.02</v>
      </c>
      <c r="D32" s="113">
        <f>SUMIFS('Bilateral Assistance, MAIN DATA'!S:S,'Bilateral Assistance, MAIN DATA'!E:E,$D$11,'Bilateral Assistance, MAIN DATA'!B:B,B32)/1000000000</f>
        <v>5.365E-3</v>
      </c>
      <c r="E32" s="113">
        <f>SUMIFS('Bilateral Assistance, MAIN DATA'!S:S,'Bilateral Assistance, MAIN DATA'!E:E,$E$11,'Bilateral Assistance, MAIN DATA'!B:B,B32)/1000000000</f>
        <v>0</v>
      </c>
      <c r="F32" s="113">
        <f>SUMIFS('Bilateral Assistance, MAIN DATA'!S:S,'Bilateral Assistance, MAIN DATA'!E:E,"Swap-line",'Bilateral Assistance, MAIN DATA'!B:B,B32)/1000000000</f>
        <v>0</v>
      </c>
      <c r="G32" s="113">
        <f t="shared" si="0"/>
        <v>2.5364999999999999E-2</v>
      </c>
    </row>
    <row r="33" spans="2:7" ht="15.95" customHeight="1">
      <c r="B33" s="2" t="s">
        <v>2096</v>
      </c>
      <c r="C33" s="113">
        <f>SUMIFS('Bilateral Assistance, MAIN DATA'!S:S,'Bilateral Assistance, MAIN DATA'!E:E,$C$11,'Bilateral Assistance, MAIN DATA'!B:B,B33)/1000000000</f>
        <v>0</v>
      </c>
      <c r="D33" s="113">
        <f>SUMIFS('Bilateral Assistance, MAIN DATA'!S:S,'Bilateral Assistance, MAIN DATA'!E:E,$D$11,'Bilateral Assistance, MAIN DATA'!B:B,B33)/1000000000</f>
        <v>2.5000000000000001E-2</v>
      </c>
      <c r="E33" s="113">
        <f>SUMIFS('Bilateral Assistance, MAIN DATA'!S:S,'Bilateral Assistance, MAIN DATA'!E:E,$E$11,'Bilateral Assistance, MAIN DATA'!B:B,B33)/1000000000</f>
        <v>0</v>
      </c>
      <c r="F33" s="113">
        <f>SUMIFS('Bilateral Assistance, MAIN DATA'!S:S,'Bilateral Assistance, MAIN DATA'!E:E,"Swap-line",'Bilateral Assistance, MAIN DATA'!B:B,B33)/1000000000</f>
        <v>0</v>
      </c>
      <c r="G33" s="113">
        <f t="shared" si="0"/>
        <v>2.5000000000000001E-2</v>
      </c>
    </row>
    <row r="34" spans="2:7" ht="15.95" customHeight="1">
      <c r="B34" s="13" t="s">
        <v>558</v>
      </c>
      <c r="C34" s="113">
        <f>SUMIFS('Bilateral Assistance, MAIN DATA'!S:S,'Bilateral Assistance, MAIN DATA'!E:E,$C$11,'Bilateral Assistance, MAIN DATA'!B:B,B34)/1000000000</f>
        <v>0</v>
      </c>
      <c r="D34" s="113">
        <f>SUMIFS('Bilateral Assistance, MAIN DATA'!S:S,'Bilateral Assistance, MAIN DATA'!E:E,$D$11,'Bilateral Assistance, MAIN DATA'!B:B,B34)/1000000000</f>
        <v>1.6060000000000001E-2</v>
      </c>
      <c r="E34" s="113">
        <f>SUMIFS('Bilateral Assistance, MAIN DATA'!S:S,'Bilateral Assistance, MAIN DATA'!E:E,$E$11,'Bilateral Assistance, MAIN DATA'!B:B,B34)/1000000000</f>
        <v>0</v>
      </c>
      <c r="F34" s="113">
        <f>SUMIFS('Bilateral Assistance, MAIN DATA'!S:S,'Bilateral Assistance, MAIN DATA'!E:E,"Swap-line",'Bilateral Assistance, MAIN DATA'!B:B,B34)/1000000000</f>
        <v>0</v>
      </c>
      <c r="G34" s="113">
        <f t="shared" si="0"/>
        <v>1.6060000000000001E-2</v>
      </c>
    </row>
    <row r="35" spans="2:7" ht="15.95" customHeight="1">
      <c r="B35" s="24" t="s">
        <v>3713</v>
      </c>
      <c r="C35" s="113">
        <f>SUMIFS('Bilateral Assistance, MAIN DATA'!S:S,'Bilateral Assistance, MAIN DATA'!E:E,$C$11,'Bilateral Assistance, MAIN DATA'!B:B,B35)/1000000000</f>
        <v>0</v>
      </c>
      <c r="D35" s="113">
        <f>SUMIFS('Bilateral Assistance, MAIN DATA'!S:S,'Bilateral Assistance, MAIN DATA'!E:E,$D$11,'Bilateral Assistance, MAIN DATA'!B:B,B35)/1000000000</f>
        <v>1.1501656238498345E-2</v>
      </c>
      <c r="E35" s="113">
        <f>SUMIFS('Bilateral Assistance, MAIN DATA'!S:S,'Bilateral Assistance, MAIN DATA'!E:E,$E$11,'Bilateral Assistance, MAIN DATA'!B:B,B35)/1000000000</f>
        <v>0</v>
      </c>
      <c r="F35" s="113">
        <f>SUMIFS('Bilateral Assistance, MAIN DATA'!S:S,'Bilateral Assistance, MAIN DATA'!E:E,"Swap-line",'Bilateral Assistance, MAIN DATA'!B:B,B35)/1000000000</f>
        <v>0</v>
      </c>
      <c r="G35" s="113">
        <f t="shared" si="0"/>
        <v>1.1501656238498345E-2</v>
      </c>
    </row>
    <row r="36" spans="2:7" ht="15.95" customHeight="1">
      <c r="B36" s="24" t="s">
        <v>2139</v>
      </c>
      <c r="C36" s="113">
        <f>SUMIFS('Bilateral Assistance, MAIN DATA'!S:S,'Bilateral Assistance, MAIN DATA'!E:E,$C$11,'Bilateral Assistance, MAIN DATA'!B:B,B36)/1000000000</f>
        <v>0</v>
      </c>
      <c r="D36" s="113">
        <f>SUMIFS('Bilateral Assistance, MAIN DATA'!S:S,'Bilateral Assistance, MAIN DATA'!E:E,$D$11,'Bilateral Assistance, MAIN DATA'!B:B,B36)/1000000000</f>
        <v>9.4038678806406591E-3</v>
      </c>
      <c r="E36" s="113">
        <f>SUMIFS('Bilateral Assistance, MAIN DATA'!S:S,'Bilateral Assistance, MAIN DATA'!E:E,$E$11,'Bilateral Assistance, MAIN DATA'!B:B,B36)/1000000000</f>
        <v>0</v>
      </c>
      <c r="F36" s="113">
        <f>SUMIFS('Bilateral Assistance, MAIN DATA'!S:S,'Bilateral Assistance, MAIN DATA'!E:E,"Swap-line",'Bilateral Assistance, MAIN DATA'!B:B,B36)/1000000000</f>
        <v>0</v>
      </c>
      <c r="G36" s="113">
        <f t="shared" si="0"/>
        <v>9.4038678806406591E-3</v>
      </c>
    </row>
    <row r="37" spans="2:7" ht="15.95" customHeight="1">
      <c r="B37" s="24" t="s">
        <v>1012</v>
      </c>
      <c r="C37" s="113">
        <f>SUMIFS('Bilateral Assistance, MAIN DATA'!S:S,'Bilateral Assistance, MAIN DATA'!E:E,$C$11,'Bilateral Assistance, MAIN DATA'!B:B,B37)/1000000000</f>
        <v>0</v>
      </c>
      <c r="D37" s="113">
        <f>SUMIFS('Bilateral Assistance, MAIN DATA'!S:S,'Bilateral Assistance, MAIN DATA'!E:E,$D$11,'Bilateral Assistance, MAIN DATA'!B:B,B37)/1000000000</f>
        <v>4.2381860563678748E-4</v>
      </c>
      <c r="E37" s="113">
        <f>SUMIFS('Bilateral Assistance, MAIN DATA'!S:S,'Bilateral Assistance, MAIN DATA'!E:E,$E$11,'Bilateral Assistance, MAIN DATA'!B:B,B37)/1000000000</f>
        <v>0</v>
      </c>
      <c r="F37" s="113">
        <f>SUMIFS('Bilateral Assistance, MAIN DATA'!S:S,'Bilateral Assistance, MAIN DATA'!E:E,"Swap-line",'Bilateral Assistance, MAIN DATA'!B:B,B37)/1000000000</f>
        <v>0</v>
      </c>
      <c r="G37" s="113">
        <f t="shared" si="0"/>
        <v>4.2381860563678748E-4</v>
      </c>
    </row>
    <row r="38" spans="2:7" ht="15.95" customHeight="1">
      <c r="B38" s="24" t="s">
        <v>3337</v>
      </c>
      <c r="C38" s="113">
        <f>SUMIFS('Bilateral Assistance, MAIN DATA'!S:S,'Bilateral Assistance, MAIN DATA'!E:E,$C$11,'Bilateral Assistance, MAIN DATA'!B:B,B38)/1000000000</f>
        <v>0</v>
      </c>
      <c r="D38" s="113">
        <f>SUMIFS('Bilateral Assistance, MAIN DATA'!S:S,'Bilateral Assistance, MAIN DATA'!E:E,$D$11,'Bilateral Assistance, MAIN DATA'!B:B,B38)/1000000000</f>
        <v>1E-4</v>
      </c>
      <c r="E38" s="113">
        <f>SUMIFS('Bilateral Assistance, MAIN DATA'!S:S,'Bilateral Assistance, MAIN DATA'!E:E,$E$11,'Bilateral Assistance, MAIN DATA'!B:B,B38)/1000000000</f>
        <v>0</v>
      </c>
      <c r="F38" s="113">
        <f>SUMIFS('Bilateral Assistance, MAIN DATA'!S:S,'Bilateral Assistance, MAIN DATA'!E:E,"Swap-line",'Bilateral Assistance, MAIN DATA'!B:B,B38)/1000000000</f>
        <v>0</v>
      </c>
      <c r="G38" s="113">
        <f t="shared" si="0"/>
        <v>1E-4</v>
      </c>
    </row>
    <row r="39" spans="2:7" ht="15.95" customHeight="1">
      <c r="B39" s="24" t="s">
        <v>359</v>
      </c>
      <c r="C39" s="113">
        <f>SUMIFS('Bilateral Assistance, MAIN DATA'!S:S,'Bilateral Assistance, MAIN DATA'!E:E,$C$11,'Bilateral Assistance, MAIN DATA'!B:B,B39)/1000000000</f>
        <v>0</v>
      </c>
      <c r="D39" s="113">
        <f>SUMIFS('Bilateral Assistance, MAIN DATA'!S:S,'Bilateral Assistance, MAIN DATA'!E:E,$D$11,'Bilateral Assistance, MAIN DATA'!B:B,B39)/1000000000</f>
        <v>0</v>
      </c>
      <c r="E39" s="113">
        <f>SUMIFS('Bilateral Assistance, MAIN DATA'!S:S,'Bilateral Assistance, MAIN DATA'!E:E,$E$11,'Bilateral Assistance, MAIN DATA'!B:B,B39)/1000000000</f>
        <v>0</v>
      </c>
      <c r="F39" s="113">
        <f>SUMIFS('Bilateral Assistance, MAIN DATA'!S:S,'Bilateral Assistance, MAIN DATA'!E:E,"Swap-line",'Bilateral Assistance, MAIN DATA'!B:B,B39)/1000000000</f>
        <v>0</v>
      </c>
      <c r="G39" s="113">
        <f t="shared" si="0"/>
        <v>0</v>
      </c>
    </row>
    <row r="40" spans="2:7" ht="15.95" customHeight="1">
      <c r="B40" s="24" t="s">
        <v>1305</v>
      </c>
      <c r="C40" s="113">
        <f>SUMIFS('Bilateral Assistance, MAIN DATA'!S:S,'Bilateral Assistance, MAIN DATA'!E:E,$C$11,'Bilateral Assistance, MAIN DATA'!B:B,B40)/1000000000</f>
        <v>0</v>
      </c>
      <c r="D40" s="113">
        <f>SUMIFS('Bilateral Assistance, MAIN DATA'!S:S,'Bilateral Assistance, MAIN DATA'!E:E,$D$11,'Bilateral Assistance, MAIN DATA'!B:B,B40)/1000000000</f>
        <v>0</v>
      </c>
      <c r="E40" s="113">
        <f>SUMIFS('Bilateral Assistance, MAIN DATA'!S:S,'Bilateral Assistance, MAIN DATA'!E:E,$E$11,'Bilateral Assistance, MAIN DATA'!B:B,B40)/1000000000</f>
        <v>0</v>
      </c>
      <c r="F40" s="113">
        <f>SUMIFS('Bilateral Assistance, MAIN DATA'!S:S,'Bilateral Assistance, MAIN DATA'!E:E,"Swap-line",'Bilateral Assistance, MAIN DATA'!B:B,B40)/1000000000</f>
        <v>0</v>
      </c>
      <c r="G40" s="113">
        <f t="shared" si="0"/>
        <v>0</v>
      </c>
    </row>
    <row r="41" spans="2:7" ht="15.95" customHeight="1">
      <c r="B41" s="24" t="s">
        <v>673</v>
      </c>
      <c r="C41" s="113">
        <f>SUMIFS('Bilateral Assistance, MAIN DATA'!S:S,'Bilateral Assistance, MAIN DATA'!E:E,$C$11,'Bilateral Assistance, MAIN DATA'!B:B,B41)/1000000000</f>
        <v>0</v>
      </c>
      <c r="D41" s="113">
        <f>SUMIFS('Bilateral Assistance, MAIN DATA'!S:S,'Bilateral Assistance, MAIN DATA'!E:E,$D$11,'Bilateral Assistance, MAIN DATA'!B:B,B41)/1000000000</f>
        <v>0</v>
      </c>
      <c r="E41" s="113">
        <f>SUMIFS('Bilateral Assistance, MAIN DATA'!S:S,'Bilateral Assistance, MAIN DATA'!E:E,$E$11,'Bilateral Assistance, MAIN DATA'!B:B,B41)/1000000000</f>
        <v>0</v>
      </c>
      <c r="F41" s="113">
        <f>SUMIFS('Bilateral Assistance, MAIN DATA'!S:S,'Bilateral Assistance, MAIN DATA'!E:E,"Swap-line",'Bilateral Assistance, MAIN DATA'!B:B,B41)/1000000000</f>
        <v>0</v>
      </c>
      <c r="G41" s="113">
        <f t="shared" si="0"/>
        <v>0</v>
      </c>
    </row>
    <row r="42" spans="2:7" ht="15.95" customHeight="1">
      <c r="B42" s="24" t="s">
        <v>3261</v>
      </c>
      <c r="C42" s="113">
        <f>SUMIFS('Bilateral Assistance, MAIN DATA'!S:S,'Bilateral Assistance, MAIN DATA'!E:E,$C$11,'Bilateral Assistance, MAIN DATA'!B:B,B42)/1000000000</f>
        <v>0</v>
      </c>
      <c r="D42" s="113">
        <f>SUMIFS('Bilateral Assistance, MAIN DATA'!S:S,'Bilateral Assistance, MAIN DATA'!E:E,$D$11,'Bilateral Assistance, MAIN DATA'!B:B,B42)/1000000000</f>
        <v>0</v>
      </c>
      <c r="E42" s="113">
        <f>SUMIFS('Bilateral Assistance, MAIN DATA'!S:S,'Bilateral Assistance, MAIN DATA'!E:E,$E$11,'Bilateral Assistance, MAIN DATA'!B:B,B42)/1000000000</f>
        <v>0</v>
      </c>
      <c r="F42" s="113">
        <f>SUMIFS('Bilateral Assistance, MAIN DATA'!S:S,'Bilateral Assistance, MAIN DATA'!E:E,"Swap-line",'Bilateral Assistance, MAIN DATA'!B:B,B42)/1000000000</f>
        <v>0</v>
      </c>
      <c r="G42" s="113">
        <f t="shared" si="0"/>
        <v>0</v>
      </c>
    </row>
    <row r="43" spans="2:7" ht="15.95" customHeight="1">
      <c r="B43" s="24" t="s">
        <v>1973</v>
      </c>
      <c r="C43" s="113">
        <f>SUMIFS('Bilateral Assistance, MAIN DATA'!S:S,'Bilateral Assistance, MAIN DATA'!E:E,$C$11,'Bilateral Assistance, MAIN DATA'!B:B,B43)/1000000000</f>
        <v>0</v>
      </c>
      <c r="D43" s="113">
        <f>SUMIFS('Bilateral Assistance, MAIN DATA'!S:S,'Bilateral Assistance, MAIN DATA'!E:E,$D$11,'Bilateral Assistance, MAIN DATA'!B:B,B43)/1000000000</f>
        <v>0</v>
      </c>
      <c r="E43" s="113">
        <f>SUMIFS('Bilateral Assistance, MAIN DATA'!S:S,'Bilateral Assistance, MAIN DATA'!E:E,$E$11,'Bilateral Assistance, MAIN DATA'!B:B,B43)/1000000000</f>
        <v>0</v>
      </c>
      <c r="F43" s="113">
        <f>SUMIFS('Bilateral Assistance, MAIN DATA'!S:S,'Bilateral Assistance, MAIN DATA'!E:E,"Swap-line",'Bilateral Assistance, MAIN DATA'!B:B,B43)/1000000000</f>
        <v>0</v>
      </c>
      <c r="G43" s="113">
        <f t="shared" si="0"/>
        <v>0</v>
      </c>
    </row>
    <row r="44" spans="2:7" ht="15.95" customHeight="1">
      <c r="B44" s="2" t="s">
        <v>2625</v>
      </c>
      <c r="C44" s="113">
        <f>SUMIFS('Bilateral Assistance, MAIN DATA'!S:S,'Bilateral Assistance, MAIN DATA'!E:E,$C$11,'Bilateral Assistance, MAIN DATA'!B:B,B44)/1000000000</f>
        <v>0</v>
      </c>
      <c r="D44" s="113">
        <f>SUMIFS('Bilateral Assistance, MAIN DATA'!S:S,'Bilateral Assistance, MAIN DATA'!E:E,$D$11,'Bilateral Assistance, MAIN DATA'!B:B,B44)/1000000000</f>
        <v>0</v>
      </c>
      <c r="E44" s="113">
        <f>SUMIFS('Bilateral Assistance, MAIN DATA'!S:S,'Bilateral Assistance, MAIN DATA'!E:E,$E$11,'Bilateral Assistance, MAIN DATA'!B:B,B44)/1000000000</f>
        <v>0</v>
      </c>
      <c r="F44" s="113">
        <f>SUMIFS('Bilateral Assistance, MAIN DATA'!S:S,'Bilateral Assistance, MAIN DATA'!E:E,"Swap-line",'Bilateral Assistance, MAIN DATA'!B:B,B44)/1000000000</f>
        <v>0</v>
      </c>
      <c r="G44" s="113">
        <f t="shared" si="0"/>
        <v>0</v>
      </c>
    </row>
    <row r="45" spans="2:7" ht="15.95" customHeight="1">
      <c r="B45" s="24" t="s">
        <v>3685</v>
      </c>
      <c r="C45" s="113">
        <f>SUMIFS('Bilateral Assistance, MAIN DATA'!S:S,'Bilateral Assistance, MAIN DATA'!E:E,$C$11,'Bilateral Assistance, MAIN DATA'!B:B,B45)/1000000000</f>
        <v>0</v>
      </c>
      <c r="D45" s="113">
        <f>SUMIFS('Bilateral Assistance, MAIN DATA'!S:S,'Bilateral Assistance, MAIN DATA'!E:E,$D$11,'Bilateral Assistance, MAIN DATA'!B:B,B45)/1000000000</f>
        <v>0</v>
      </c>
      <c r="E45" s="113">
        <f>SUMIFS('Bilateral Assistance, MAIN DATA'!S:S,'Bilateral Assistance, MAIN DATA'!E:E,$E$11,'Bilateral Assistance, MAIN DATA'!B:B,B45)/1000000000</f>
        <v>0</v>
      </c>
      <c r="F45" s="113">
        <f>SUMIFS('Bilateral Assistance, MAIN DATA'!S:S,'Bilateral Assistance, MAIN DATA'!E:E,"Swap-line",'Bilateral Assistance, MAIN DATA'!B:B,B45)/1000000000</f>
        <v>0</v>
      </c>
      <c r="G45" s="113">
        <f t="shared" si="0"/>
        <v>0</v>
      </c>
    </row>
    <row r="46" spans="2:7" ht="15.95" customHeight="1">
      <c r="B46" s="24" t="s">
        <v>918</v>
      </c>
      <c r="C46" s="113">
        <f>SUMIFS('Bilateral Assistance, MAIN DATA'!S:S,'Bilateral Assistance, MAIN DATA'!E:E,$C$11,'Bilateral Assistance, MAIN DATA'!B:B,B46)/1000000000</f>
        <v>0</v>
      </c>
      <c r="D46" s="113">
        <f>SUMIFS('Bilateral Assistance, MAIN DATA'!S:S,'Bilateral Assistance, MAIN DATA'!E:E,$D$11,'Bilateral Assistance, MAIN DATA'!B:B,B46)/1000000000</f>
        <v>0</v>
      </c>
      <c r="E46" s="113">
        <f>SUMIFS('Bilateral Assistance, MAIN DATA'!S:S,'Bilateral Assistance, MAIN DATA'!E:E,$E$11,'Bilateral Assistance, MAIN DATA'!B:B,B46)/1000000000</f>
        <v>0</v>
      </c>
      <c r="F46" s="113">
        <f>SUMIFS('Bilateral Assistance, MAIN DATA'!S:S,'Bilateral Assistance, MAIN DATA'!E:E,"Swap-line",'Bilateral Assistance, MAIN DATA'!B:B,B46)/1000000000</f>
        <v>0</v>
      </c>
      <c r="G46" s="113">
        <f t="shared" si="0"/>
        <v>0</v>
      </c>
    </row>
    <row r="47" spans="2:7" ht="15.95" customHeight="1">
      <c r="B47" s="24" t="s">
        <v>2832</v>
      </c>
      <c r="C47" s="113">
        <f>SUMIFS('Bilateral Assistance, MAIN DATA'!S:S,'Bilateral Assistance, MAIN DATA'!E:E,$C$11,'Bilateral Assistance, MAIN DATA'!B:B,B47)/1000000000</f>
        <v>0</v>
      </c>
      <c r="D47" s="113">
        <f>SUMIFS('Bilateral Assistance, MAIN DATA'!S:S,'Bilateral Assistance, MAIN DATA'!E:E,$D$11,'Bilateral Assistance, MAIN DATA'!B:B,B47)/1000000000</f>
        <v>0</v>
      </c>
      <c r="E47" s="113">
        <f>SUMIFS('Bilateral Assistance, MAIN DATA'!S:S,'Bilateral Assistance, MAIN DATA'!E:E,$E$11,'Bilateral Assistance, MAIN DATA'!B:B,B47)/1000000000</f>
        <v>0</v>
      </c>
      <c r="F47" s="113">
        <f>SUMIFS('Bilateral Assistance, MAIN DATA'!S:S,'Bilateral Assistance, MAIN DATA'!E:E,"Swap-line",'Bilateral Assistance, MAIN DATA'!B:B,B47)/1000000000</f>
        <v>0</v>
      </c>
      <c r="G47" s="113">
        <f t="shared" si="0"/>
        <v>0</v>
      </c>
    </row>
    <row r="48" spans="2:7" ht="15.95" customHeight="1">
      <c r="B48" s="24" t="s">
        <v>3214</v>
      </c>
      <c r="C48" s="113">
        <f>SUMIFS('Bilateral Assistance, MAIN DATA'!S:S,'Bilateral Assistance, MAIN DATA'!E:E,$C$11,'Bilateral Assistance, MAIN DATA'!B:B,B48)/1000000000</f>
        <v>0</v>
      </c>
      <c r="D48" s="113">
        <f>SUMIFS('Bilateral Assistance, MAIN DATA'!S:S,'Bilateral Assistance, MAIN DATA'!E:E,$D$11,'Bilateral Assistance, MAIN DATA'!B:B,B48)/1000000000</f>
        <v>0</v>
      </c>
      <c r="E48" s="113">
        <f>SUMIFS('Bilateral Assistance, MAIN DATA'!S:S,'Bilateral Assistance, MAIN DATA'!E:E,$E$11,'Bilateral Assistance, MAIN DATA'!B:B,B48)/1000000000</f>
        <v>0</v>
      </c>
      <c r="F48" s="113">
        <f>SUMIFS('Bilateral Assistance, MAIN DATA'!S:S,'Bilateral Assistance, MAIN DATA'!E:E,"Swap-line",'Bilateral Assistance, MAIN DATA'!B:B,B48)/1000000000</f>
        <v>0</v>
      </c>
      <c r="G48" s="113">
        <f t="shared" si="0"/>
        <v>0</v>
      </c>
    </row>
    <row r="49" spans="2:26" ht="15.95" customHeight="1">
      <c r="B49" s="24" t="s">
        <v>2028</v>
      </c>
      <c r="C49" s="113">
        <f>SUMIFS('Bilateral Assistance, MAIN DATA'!S:S,'Bilateral Assistance, MAIN DATA'!E:E,$C$11,'Bilateral Assistance, MAIN DATA'!B:B,B49)/1000000000</f>
        <v>0</v>
      </c>
      <c r="D49" s="113">
        <f>SUMIFS('Bilateral Assistance, MAIN DATA'!S:S,'Bilateral Assistance, MAIN DATA'!E:E,$D$11,'Bilateral Assistance, MAIN DATA'!B:B,B49)/1000000000</f>
        <v>0</v>
      </c>
      <c r="E49" s="113">
        <f>SUMIFS('Bilateral Assistance, MAIN DATA'!S:S,'Bilateral Assistance, MAIN DATA'!E:E,$E$11,'Bilateral Assistance, MAIN DATA'!B:B,B49)/1000000000</f>
        <v>0</v>
      </c>
      <c r="F49" s="113">
        <f>SUMIFS('Bilateral Assistance, MAIN DATA'!S:S,'Bilateral Assistance, MAIN DATA'!E:E,"Swap-line",'Bilateral Assistance, MAIN DATA'!B:B,B49)/1000000000</f>
        <v>0</v>
      </c>
      <c r="G49" s="113">
        <f t="shared" si="0"/>
        <v>0</v>
      </c>
    </row>
    <row r="50" spans="2:26" ht="15.95" customHeight="1">
      <c r="B50" s="2" t="s">
        <v>981</v>
      </c>
      <c r="C50" s="113">
        <f>SUMIFS('Bilateral Assistance, MAIN DATA'!S:S,'Bilateral Assistance, MAIN DATA'!E:E,$C$11,'Bilateral Assistance, MAIN DATA'!B:B,B50)/1000000000</f>
        <v>0</v>
      </c>
      <c r="D50" s="113">
        <f>SUMIFS('Bilateral Assistance, MAIN DATA'!S:S,'Bilateral Assistance, MAIN DATA'!E:E,$D$11,'Bilateral Assistance, MAIN DATA'!B:B,B50)/1000000000</f>
        <v>0</v>
      </c>
      <c r="E50" s="113">
        <f>SUMIFS('Bilateral Assistance, MAIN DATA'!S:S,'Bilateral Assistance, MAIN DATA'!E:E,$E$11,'Bilateral Assistance, MAIN DATA'!B:B,B50)/1000000000</f>
        <v>0</v>
      </c>
      <c r="F50" s="113">
        <f>SUMIFS('Bilateral Assistance, MAIN DATA'!S:S,'Bilateral Assistance, MAIN DATA'!E:E,"Swap-line",'Bilateral Assistance, MAIN DATA'!B:B,B50)/1000000000</f>
        <v>0</v>
      </c>
      <c r="G50" s="113">
        <f t="shared" si="0"/>
        <v>0</v>
      </c>
    </row>
    <row r="51" spans="2:26" ht="15.95" customHeight="1">
      <c r="B51" s="2" t="s">
        <v>905</v>
      </c>
      <c r="C51" s="113">
        <f>SUMIFS('Bilateral Assistance, MAIN DATA'!S:S,'Bilateral Assistance, MAIN DATA'!E:E,$C$11,'Bilateral Assistance, MAIN DATA'!B:B,B51)/1000000000</f>
        <v>0</v>
      </c>
      <c r="D51" s="113">
        <f>SUMIFS('Bilateral Assistance, MAIN DATA'!S:S,'Bilateral Assistance, MAIN DATA'!E:E,$D$11,'Bilateral Assistance, MAIN DATA'!B:B,B51)/1000000000</f>
        <v>0</v>
      </c>
      <c r="E51" s="113">
        <f>SUMIFS('Bilateral Assistance, MAIN DATA'!S:S,'Bilateral Assistance, MAIN DATA'!E:E,$E$11,'Bilateral Assistance, MAIN DATA'!B:B,B51)/1000000000</f>
        <v>0</v>
      </c>
      <c r="F51" s="113">
        <f>SUMIFS('Bilateral Assistance, MAIN DATA'!S:S,'Bilateral Assistance, MAIN DATA'!E:E,"Swap-line",'Bilateral Assistance, MAIN DATA'!B:B,B51)/1000000000</f>
        <v>0</v>
      </c>
      <c r="G51" s="113">
        <f t="shared" si="0"/>
        <v>0</v>
      </c>
    </row>
    <row r="52" spans="2:26" ht="15.95" customHeight="1">
      <c r="B52" s="13" t="s">
        <v>2076</v>
      </c>
      <c r="C52" s="113">
        <f>SUMIFS('Bilateral Assistance, MAIN DATA'!S:S,'Bilateral Assistance, MAIN DATA'!E:E,$C$11,'Bilateral Assistance, MAIN DATA'!B:B,B52)/1000000000</f>
        <v>0</v>
      </c>
      <c r="D52" s="113">
        <f>SUMIFS('Bilateral Assistance, MAIN DATA'!S:S,'Bilateral Assistance, MAIN DATA'!E:E,$D$11,'Bilateral Assistance, MAIN DATA'!B:B,B52)/1000000000</f>
        <v>0</v>
      </c>
      <c r="E52" s="113">
        <f>SUMIFS('Bilateral Assistance, MAIN DATA'!S:S,'Bilateral Assistance, MAIN DATA'!E:E,$E$11,'Bilateral Assistance, MAIN DATA'!B:B,B52)/1000000000</f>
        <v>0</v>
      </c>
      <c r="F52" s="113">
        <f>SUMIFS('Bilateral Assistance, MAIN DATA'!S:S,'Bilateral Assistance, MAIN DATA'!E:E,"Swap-line",'Bilateral Assistance, MAIN DATA'!B:B,B52)/1000000000</f>
        <v>0</v>
      </c>
      <c r="G52" s="113">
        <f t="shared" si="0"/>
        <v>0</v>
      </c>
    </row>
    <row r="53" spans="2:26" ht="15.95" customHeight="1">
      <c r="B53" s="2" t="s">
        <v>2678</v>
      </c>
      <c r="C53" s="113">
        <f>SUMIFS('Bilateral Assistance, MAIN DATA'!S:S,'Bilateral Assistance, MAIN DATA'!E:E,$C$11,'Bilateral Assistance, MAIN DATA'!B:B,B53)/1000000000</f>
        <v>0</v>
      </c>
      <c r="D53" s="113">
        <f>SUMIFS('Bilateral Assistance, MAIN DATA'!S:S,'Bilateral Assistance, MAIN DATA'!E:E,$D$11,'Bilateral Assistance, MAIN DATA'!B:B,B53)/1000000000</f>
        <v>0</v>
      </c>
      <c r="E53" s="113">
        <f>SUMIFS('Bilateral Assistance, MAIN DATA'!S:S,'Bilateral Assistance, MAIN DATA'!E:E,$E$11,'Bilateral Assistance, MAIN DATA'!B:B,B53)/1000000000</f>
        <v>0</v>
      </c>
      <c r="F53" s="113">
        <f>SUMIFS('Bilateral Assistance, MAIN DATA'!S:S,'Bilateral Assistance, MAIN DATA'!E:E,"Swap-line",'Bilateral Assistance, MAIN DATA'!B:B,B53)/1000000000</f>
        <v>0</v>
      </c>
      <c r="G53" s="113">
        <f t="shared" si="0"/>
        <v>0</v>
      </c>
      <c r="L53" s="58"/>
      <c r="M53" s="58"/>
      <c r="N53" s="58"/>
      <c r="O53" s="58"/>
      <c r="P53" s="58"/>
      <c r="Q53" s="58"/>
      <c r="R53" s="58"/>
      <c r="S53" s="58"/>
      <c r="T53" s="58"/>
      <c r="U53" s="58"/>
      <c r="V53" s="58"/>
      <c r="W53" s="58"/>
      <c r="X53" s="58"/>
      <c r="Y53" s="58"/>
      <c r="Z53" s="58"/>
    </row>
    <row r="54" spans="2:26" ht="15.95" customHeight="1">
      <c r="L54" s="58"/>
      <c r="M54" s="58"/>
      <c r="N54" s="58"/>
      <c r="O54" s="58"/>
      <c r="P54" s="58"/>
      <c r="Q54" s="58"/>
      <c r="R54" s="58"/>
      <c r="S54" s="58"/>
      <c r="T54" s="58"/>
      <c r="U54" s="58"/>
      <c r="V54" s="58"/>
      <c r="W54" s="58"/>
      <c r="X54" s="58"/>
      <c r="Y54" s="58"/>
      <c r="Z54" s="58"/>
    </row>
    <row r="55" spans="2:26" ht="15.95" customHeight="1">
      <c r="B55" s="387" t="s">
        <v>4530</v>
      </c>
      <c r="C55" s="388">
        <f>SUM(C12:C53)</f>
        <v>37.584433228977204</v>
      </c>
      <c r="D55" s="388">
        <f t="shared" ref="D55:G55" si="1">SUM(D12:D53)</f>
        <v>30.973179312143852</v>
      </c>
      <c r="E55" s="388">
        <f t="shared" si="1"/>
        <v>4.0147892585355827</v>
      </c>
      <c r="F55" s="388">
        <f t="shared" si="1"/>
        <v>0.92013249907986749</v>
      </c>
      <c r="G55" s="388">
        <f t="shared" si="1"/>
        <v>73.49253429873653</v>
      </c>
      <c r="L55" s="58"/>
      <c r="M55" s="58"/>
      <c r="N55" s="58"/>
      <c r="O55" s="58"/>
      <c r="P55" s="58"/>
      <c r="Q55" s="58"/>
      <c r="R55" s="58"/>
      <c r="S55" s="58"/>
      <c r="T55" s="58"/>
      <c r="U55" s="58"/>
      <c r="V55" s="58"/>
      <c r="W55" s="58"/>
      <c r="X55" s="58"/>
      <c r="Y55" s="58"/>
      <c r="Z55" s="58"/>
    </row>
    <row r="60" spans="2:26" ht="15.95" customHeight="1">
      <c r="D60" s="113"/>
    </row>
  </sheetData>
  <sortState xmlns:xlrd2="http://schemas.microsoft.com/office/spreadsheetml/2017/richdata2" ref="B12:G53">
    <sortCondition descending="1" ref="G12:G53"/>
  </sortState>
  <mergeCells count="1">
    <mergeCell ref="B4:H9"/>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sheetPr>
  <dimension ref="A1:X167"/>
  <sheetViews>
    <sheetView showGridLines="0" zoomScaleNormal="100" workbookViewId="0"/>
  </sheetViews>
  <sheetFormatPr defaultColWidth="8.625" defaultRowHeight="15.95" customHeight="1"/>
  <cols>
    <col min="1" max="1" width="8.625" style="2" customWidth="1"/>
    <col min="2" max="2" width="29.25" style="13" customWidth="1"/>
    <col min="3" max="3" width="50.75" style="113" bestFit="1" customWidth="1"/>
    <col min="4" max="4" width="15.625" style="113" bestFit="1" customWidth="1"/>
    <col min="5" max="5" width="16.625" style="113" bestFit="1" customWidth="1"/>
    <col min="6" max="6" width="17" style="13" bestFit="1" customWidth="1"/>
    <col min="7" max="7" width="13.625" style="13" customWidth="1"/>
    <col min="8" max="16384" width="8.625" style="13"/>
  </cols>
  <sheetData>
    <row r="1" spans="1:24" s="39" customFormat="1" ht="15.95" customHeight="1">
      <c r="A1" s="35" t="s">
        <v>38</v>
      </c>
      <c r="B1" s="39" t="s">
        <v>38</v>
      </c>
      <c r="C1" s="146"/>
      <c r="D1" s="146"/>
      <c r="E1" s="260" t="s">
        <v>38</v>
      </c>
      <c r="F1" s="146"/>
      <c r="G1" s="35" t="s">
        <v>38</v>
      </c>
      <c r="H1" s="35" t="s">
        <v>38</v>
      </c>
      <c r="I1" s="35" t="s">
        <v>38</v>
      </c>
      <c r="J1" s="35" t="s">
        <v>38</v>
      </c>
      <c r="K1" s="35" t="s">
        <v>38</v>
      </c>
      <c r="L1" s="35" t="s">
        <v>38</v>
      </c>
      <c r="M1" s="35" t="s">
        <v>38</v>
      </c>
      <c r="N1" s="35" t="s">
        <v>38</v>
      </c>
      <c r="O1" s="35" t="s">
        <v>38</v>
      </c>
      <c r="P1" s="35" t="s">
        <v>38</v>
      </c>
      <c r="Q1" s="35" t="s">
        <v>38</v>
      </c>
      <c r="R1" s="35" t="s">
        <v>38</v>
      </c>
      <c r="S1" s="35" t="s">
        <v>38</v>
      </c>
      <c r="T1" s="35" t="s">
        <v>38</v>
      </c>
      <c r="U1" s="35" t="s">
        <v>38</v>
      </c>
      <c r="V1" s="35" t="s">
        <v>38</v>
      </c>
      <c r="W1" s="35" t="s">
        <v>38</v>
      </c>
      <c r="X1" s="35" t="s">
        <v>38</v>
      </c>
    </row>
    <row r="2" spans="1:24" s="469" customFormat="1" ht="24.75" customHeight="1">
      <c r="A2" s="465" t="s">
        <v>38</v>
      </c>
      <c r="B2" s="391" t="s">
        <v>4589</v>
      </c>
      <c r="C2" s="468"/>
      <c r="D2" s="468"/>
      <c r="E2" s="471"/>
      <c r="F2" s="468"/>
      <c r="P2" s="469" t="s">
        <v>38</v>
      </c>
      <c r="Q2" s="469" t="s">
        <v>38</v>
      </c>
      <c r="R2" s="469" t="s">
        <v>38</v>
      </c>
      <c r="S2" s="469" t="s">
        <v>38</v>
      </c>
      <c r="T2" s="469" t="s">
        <v>38</v>
      </c>
      <c r="U2" s="469" t="s">
        <v>38</v>
      </c>
      <c r="V2" s="469" t="s">
        <v>38</v>
      </c>
      <c r="W2" s="469" t="s">
        <v>38</v>
      </c>
      <c r="X2" s="469" t="s">
        <v>38</v>
      </c>
    </row>
    <row r="3" spans="1:24" s="43" customFormat="1" ht="15.95" customHeight="1">
      <c r="A3" s="35"/>
      <c r="B3" s="42"/>
      <c r="C3" s="145"/>
      <c r="D3" s="145"/>
      <c r="E3" s="430"/>
      <c r="F3" s="145"/>
      <c r="G3" s="165"/>
    </row>
    <row r="4" spans="1:24" s="43" customFormat="1" ht="15.95" customHeight="1">
      <c r="A4" s="35"/>
      <c r="B4" s="1443" t="s">
        <v>4590</v>
      </c>
      <c r="C4" s="1443"/>
      <c r="D4" s="1443"/>
      <c r="E4" s="1443"/>
      <c r="F4" s="1443"/>
      <c r="G4" s="1443"/>
    </row>
    <row r="5" spans="1:24" s="43" customFormat="1" ht="15.95" customHeight="1">
      <c r="A5" s="35"/>
      <c r="B5" s="1443"/>
      <c r="C5" s="1443"/>
      <c r="D5" s="1443"/>
      <c r="E5" s="1443"/>
      <c r="F5" s="1443"/>
      <c r="G5" s="1443"/>
    </row>
    <row r="6" spans="1:24" s="43" customFormat="1" ht="15.95" customHeight="1">
      <c r="A6" s="35"/>
      <c r="B6" s="1443"/>
      <c r="C6" s="1443"/>
      <c r="D6" s="1443"/>
      <c r="E6" s="1443"/>
      <c r="F6" s="1443"/>
      <c r="G6" s="1443"/>
    </row>
    <row r="7" spans="1:24" s="43" customFormat="1" ht="15.95" customHeight="1">
      <c r="A7" s="35"/>
      <c r="B7" s="1443"/>
      <c r="C7" s="1443"/>
      <c r="D7" s="1443"/>
      <c r="E7" s="1443"/>
      <c r="F7" s="1443"/>
      <c r="G7" s="1443"/>
    </row>
    <row r="8" spans="1:24" s="43" customFormat="1" ht="15.95" customHeight="1">
      <c r="A8" s="35"/>
      <c r="B8" s="1443"/>
      <c r="C8" s="1443"/>
      <c r="D8" s="1443"/>
      <c r="E8" s="1443"/>
      <c r="F8" s="1443"/>
      <c r="G8" s="1443"/>
    </row>
    <row r="9" spans="1:24" s="43" customFormat="1" ht="15.95" customHeight="1">
      <c r="A9" s="35"/>
      <c r="B9" s="1443"/>
      <c r="C9" s="1443"/>
      <c r="D9" s="1443"/>
      <c r="E9" s="1443"/>
      <c r="F9" s="1443"/>
      <c r="G9" s="1443"/>
    </row>
    <row r="10" spans="1:24" ht="15.95" customHeight="1">
      <c r="A10" s="2" t="s">
        <v>38</v>
      </c>
      <c r="B10" s="48" t="s">
        <v>38</v>
      </c>
      <c r="C10" s="118"/>
      <c r="D10" s="62"/>
      <c r="E10" s="118"/>
      <c r="F10" s="19"/>
      <c r="I10" s="48" t="s">
        <v>38</v>
      </c>
      <c r="J10" s="48" t="s">
        <v>38</v>
      </c>
      <c r="K10" s="48" t="s">
        <v>38</v>
      </c>
      <c r="L10" s="19"/>
      <c r="M10" s="48" t="s">
        <v>38</v>
      </c>
      <c r="N10" s="48" t="s">
        <v>38</v>
      </c>
      <c r="O10" s="48" t="s">
        <v>38</v>
      </c>
      <c r="P10" s="30" t="s">
        <v>38</v>
      </c>
      <c r="Q10" s="30" t="s">
        <v>38</v>
      </c>
      <c r="R10" s="30" t="s">
        <v>38</v>
      </c>
      <c r="S10" s="30" t="s">
        <v>38</v>
      </c>
      <c r="T10" s="30" t="s">
        <v>38</v>
      </c>
      <c r="U10" s="30" t="s">
        <v>38</v>
      </c>
      <c r="V10" s="30" t="s">
        <v>38</v>
      </c>
      <c r="W10" s="30" t="s">
        <v>38</v>
      </c>
      <c r="X10" s="30" t="s">
        <v>38</v>
      </c>
    </row>
    <row r="11" spans="1:24" ht="24.75" customHeight="1">
      <c r="A11" s="2" t="s">
        <v>38</v>
      </c>
      <c r="B11" s="367" t="s">
        <v>4512</v>
      </c>
      <c r="C11" s="434" t="s">
        <v>4591</v>
      </c>
      <c r="D11" s="435" t="s">
        <v>4592</v>
      </c>
      <c r="E11" s="463" t="s">
        <v>4593</v>
      </c>
      <c r="F11" s="435" t="s">
        <v>4594</v>
      </c>
      <c r="H11" s="376" t="s">
        <v>4595</v>
      </c>
      <c r="I11" s="390"/>
      <c r="J11" s="390"/>
      <c r="K11" s="390"/>
      <c r="L11" s="390"/>
      <c r="M11" s="390"/>
      <c r="N11" s="390"/>
      <c r="O11" s="390"/>
      <c r="P11" s="30"/>
      <c r="Q11" s="30"/>
      <c r="R11" s="30"/>
      <c r="S11" s="30"/>
      <c r="T11" s="30" t="s">
        <v>38</v>
      </c>
      <c r="U11" s="30" t="s">
        <v>38</v>
      </c>
      <c r="V11" s="30" t="s">
        <v>38</v>
      </c>
      <c r="W11" s="30" t="s">
        <v>38</v>
      </c>
      <c r="X11" s="30" t="s">
        <v>38</v>
      </c>
    </row>
    <row r="12" spans="1:24" ht="15.95" customHeight="1">
      <c r="A12" s="2" t="s">
        <v>38</v>
      </c>
      <c r="B12" s="48" t="s">
        <v>3949</v>
      </c>
      <c r="C12" s="118">
        <f>SUM(VLOOKUP(B12,'Fig 9. Financial Aid'!B:E,2,0),VLOOKUP(B12,'Fig 9. Financial Aid'!B:E,3,0),VLOOKUP(B12,'Fig 9. Financial Aid'!B:E,4,0))</f>
        <v>24.263894000736109</v>
      </c>
      <c r="D12" s="62">
        <f>VLOOKUP(B12,'Financial disb per Month (€)'!B:U,20,0)</f>
        <v>16.553183658446819</v>
      </c>
      <c r="E12" s="117">
        <f t="shared" ref="E12:E36" si="0">C12-D12</f>
        <v>7.7107103422892891</v>
      </c>
      <c r="F12" s="119">
        <f t="shared" ref="F12:F36" si="1">D12/C12*100</f>
        <v>68.221463784603714</v>
      </c>
      <c r="I12" s="48" t="s">
        <v>38</v>
      </c>
      <c r="J12" s="48" t="s">
        <v>38</v>
      </c>
      <c r="K12" s="48" t="s">
        <v>38</v>
      </c>
      <c r="L12" s="19"/>
      <c r="M12" s="48" t="s">
        <v>38</v>
      </c>
      <c r="N12" s="48" t="s">
        <v>38</v>
      </c>
      <c r="O12" s="48" t="s">
        <v>38</v>
      </c>
      <c r="P12" s="30" t="s">
        <v>38</v>
      </c>
      <c r="Q12" s="30" t="s">
        <v>38</v>
      </c>
      <c r="R12" s="30" t="s">
        <v>38</v>
      </c>
      <c r="S12" s="30" t="s">
        <v>38</v>
      </c>
      <c r="T12" s="30" t="s">
        <v>38</v>
      </c>
      <c r="U12" s="30" t="s">
        <v>38</v>
      </c>
      <c r="V12" s="30" t="s">
        <v>38</v>
      </c>
      <c r="W12" s="30" t="s">
        <v>38</v>
      </c>
      <c r="X12" s="30" t="s">
        <v>38</v>
      </c>
    </row>
    <row r="13" spans="1:24" ht="15.95" customHeight="1">
      <c r="A13" s="2" t="s">
        <v>38</v>
      </c>
      <c r="B13" s="48" t="s">
        <v>4596</v>
      </c>
      <c r="C13" s="118">
        <f>'Aggregates by Country Group'!C16</f>
        <v>27.322500000000002</v>
      </c>
      <c r="D13" s="62">
        <f>VLOOKUP(B13,'Financial disb per Month (€)'!B:U,20,0)</f>
        <v>15.462826647037177</v>
      </c>
      <c r="E13" s="117">
        <f t="shared" si="0"/>
        <v>11.859673352962824</v>
      </c>
      <c r="F13" s="119">
        <f t="shared" si="1"/>
        <v>56.593747450039992</v>
      </c>
      <c r="I13" s="48" t="s">
        <v>38</v>
      </c>
      <c r="J13" s="48" t="s">
        <v>38</v>
      </c>
      <c r="K13" s="48" t="s">
        <v>38</v>
      </c>
      <c r="L13" s="19"/>
      <c r="M13" s="48" t="s">
        <v>38</v>
      </c>
      <c r="N13" s="48" t="s">
        <v>38</v>
      </c>
      <c r="O13" s="48" t="s">
        <v>38</v>
      </c>
      <c r="P13" s="30" t="s">
        <v>38</v>
      </c>
      <c r="Q13" s="30" t="s">
        <v>38</v>
      </c>
      <c r="R13" s="30" t="s">
        <v>38</v>
      </c>
      <c r="S13" s="30" t="s">
        <v>38</v>
      </c>
      <c r="T13" s="30" t="s">
        <v>38</v>
      </c>
      <c r="U13" s="30" t="s">
        <v>38</v>
      </c>
      <c r="V13" s="30" t="s">
        <v>38</v>
      </c>
      <c r="W13" s="30" t="s">
        <v>38</v>
      </c>
      <c r="X13" s="30" t="s">
        <v>38</v>
      </c>
    </row>
    <row r="14" spans="1:24" ht="15.95" customHeight="1">
      <c r="A14" s="2" t="s">
        <v>38</v>
      </c>
      <c r="B14" s="48" t="s">
        <v>713</v>
      </c>
      <c r="C14" s="118">
        <f>SUM(VLOOKUP(B14,'Fig 9. Financial Aid'!B:E,2,0),VLOOKUP(B14,'Fig 9. Financial Aid'!B:E,3,0),VLOOKUP(B14,'Fig 9. Financial Aid'!B:E,4,0))</f>
        <v>3.4964930436554669</v>
      </c>
      <c r="D14" s="62">
        <f>VLOOKUP(B14,'Financial disb per Month (€)'!B:U,20,0)</f>
        <v>3.3548030916451967</v>
      </c>
      <c r="E14" s="117">
        <f t="shared" si="0"/>
        <v>0.14168995201027013</v>
      </c>
      <c r="F14" s="119">
        <f t="shared" si="1"/>
        <v>95.947655257962765</v>
      </c>
      <c r="I14" s="48" t="s">
        <v>38</v>
      </c>
      <c r="J14" s="48" t="s">
        <v>38</v>
      </c>
      <c r="K14" s="48" t="s">
        <v>38</v>
      </c>
      <c r="L14" s="19"/>
      <c r="M14" s="48" t="s">
        <v>38</v>
      </c>
      <c r="N14" s="48" t="s">
        <v>38</v>
      </c>
      <c r="O14" s="48" t="s">
        <v>38</v>
      </c>
      <c r="P14" s="30" t="s">
        <v>38</v>
      </c>
      <c r="Q14" s="30" t="s">
        <v>38</v>
      </c>
      <c r="R14" s="30" t="s">
        <v>38</v>
      </c>
      <c r="S14" s="30" t="s">
        <v>38</v>
      </c>
      <c r="T14" s="30" t="s">
        <v>38</v>
      </c>
      <c r="U14" s="30" t="s">
        <v>38</v>
      </c>
      <c r="V14" s="30" t="s">
        <v>38</v>
      </c>
      <c r="W14" s="30" t="s">
        <v>38</v>
      </c>
      <c r="X14" s="30" t="s">
        <v>38</v>
      </c>
    </row>
    <row r="15" spans="1:24" ht="15.95" customHeight="1">
      <c r="A15" s="2" t="s">
        <v>38</v>
      </c>
      <c r="B15" s="48" t="s">
        <v>1711</v>
      </c>
      <c r="C15" s="118">
        <f>SUM(VLOOKUP(B15,'Fig 9. Financial Aid'!B:E,2,0),VLOOKUP(B15,'Fig 9. Financial Aid'!B:E,3,0),VLOOKUP(B15,'Fig 9. Financial Aid'!B:E,4,0))</f>
        <v>1.679252</v>
      </c>
      <c r="D15" s="62">
        <f>VLOOKUP(B15,'Financial disb per Month (€)'!B:U,20,0)</f>
        <v>1.5048767022451233</v>
      </c>
      <c r="E15" s="117">
        <f t="shared" si="0"/>
        <v>0.1743752977548767</v>
      </c>
      <c r="F15" s="119">
        <f t="shared" si="1"/>
        <v>89.615894591468304</v>
      </c>
      <c r="I15" s="48" t="s">
        <v>38</v>
      </c>
      <c r="J15" s="48" t="s">
        <v>38</v>
      </c>
      <c r="K15" s="48" t="s">
        <v>38</v>
      </c>
      <c r="L15" s="19"/>
      <c r="M15" s="48" t="s">
        <v>38</v>
      </c>
      <c r="N15" s="48" t="s">
        <v>38</v>
      </c>
      <c r="O15" s="48" t="s">
        <v>38</v>
      </c>
      <c r="P15" s="30" t="s">
        <v>38</v>
      </c>
      <c r="Q15" s="30" t="s">
        <v>38</v>
      </c>
      <c r="R15" s="30" t="s">
        <v>38</v>
      </c>
      <c r="S15" s="30" t="s">
        <v>38</v>
      </c>
      <c r="T15" s="30" t="s">
        <v>38</v>
      </c>
      <c r="U15" s="30" t="s">
        <v>38</v>
      </c>
      <c r="V15" s="30" t="s">
        <v>38</v>
      </c>
      <c r="W15" s="30" t="s">
        <v>38</v>
      </c>
      <c r="X15" s="30" t="s">
        <v>38</v>
      </c>
    </row>
    <row r="16" spans="1:24" ht="15.95" customHeight="1">
      <c r="A16" s="2" t="s">
        <v>38</v>
      </c>
      <c r="B16" s="48" t="s">
        <v>3748</v>
      </c>
      <c r="C16" s="118">
        <f>SUM(VLOOKUP(B16,'Fig 9. Financial Aid'!B:E,2,0),VLOOKUP(B16,'Fig 9. Financial Aid'!B:E,3,0),VLOOKUP(B16,'Fig 9. Financial Aid'!B:E,4,0))</f>
        <v>3.9038497481137289</v>
      </c>
      <c r="D16" s="62">
        <f>VLOOKUP(B16,'Financial disb per Month (€)'!B:U,20,0)</f>
        <v>1.4492086860507916</v>
      </c>
      <c r="E16" s="117">
        <f t="shared" si="0"/>
        <v>2.4546410620629375</v>
      </c>
      <c r="F16" s="119">
        <f t="shared" si="1"/>
        <v>37.122552853142551</v>
      </c>
      <c r="I16" s="48" t="s">
        <v>38</v>
      </c>
      <c r="J16" s="48" t="s">
        <v>38</v>
      </c>
      <c r="K16" s="48" t="s">
        <v>38</v>
      </c>
      <c r="L16" s="19"/>
      <c r="M16" s="48" t="s">
        <v>38</v>
      </c>
      <c r="N16" s="48" t="s">
        <v>38</v>
      </c>
      <c r="O16" s="48" t="s">
        <v>38</v>
      </c>
      <c r="P16" s="30" t="s">
        <v>38</v>
      </c>
      <c r="Q16" s="30" t="s">
        <v>38</v>
      </c>
      <c r="R16" s="30" t="s">
        <v>38</v>
      </c>
      <c r="S16" s="30" t="s">
        <v>38</v>
      </c>
      <c r="T16" s="30" t="s">
        <v>38</v>
      </c>
      <c r="U16" s="30" t="s">
        <v>38</v>
      </c>
      <c r="V16" s="30" t="s">
        <v>38</v>
      </c>
      <c r="W16" s="30" t="s">
        <v>38</v>
      </c>
      <c r="X16" s="30" t="s">
        <v>38</v>
      </c>
    </row>
    <row r="17" spans="1:24" ht="15.95" customHeight="1">
      <c r="A17" s="2" t="s">
        <v>38</v>
      </c>
      <c r="B17" s="48" t="s">
        <v>2312</v>
      </c>
      <c r="C17" s="118">
        <f>SUM(VLOOKUP(B17,'Fig 9. Financial Aid'!B:E,2,0),VLOOKUP(B17,'Fig 9. Financial Aid'!B:E,3,0),VLOOKUP(B17,'Fig 9. Financial Aid'!B:E,4,0))</f>
        <v>6.0190927493559077</v>
      </c>
      <c r="D17" s="62">
        <f>VLOOKUP(B17,'Financial disb per Month (€)'!B:U,20,0)</f>
        <v>0.53459698196540306</v>
      </c>
      <c r="E17" s="117">
        <f t="shared" si="0"/>
        <v>5.4844957673905048</v>
      </c>
      <c r="F17" s="119">
        <f t="shared" si="1"/>
        <v>8.881687061934862</v>
      </c>
      <c r="I17" s="48" t="s">
        <v>38</v>
      </c>
      <c r="J17" s="48" t="s">
        <v>38</v>
      </c>
      <c r="K17" s="48" t="s">
        <v>38</v>
      </c>
      <c r="L17" s="19"/>
      <c r="M17" s="48" t="s">
        <v>38</v>
      </c>
      <c r="N17" s="48" t="s">
        <v>38</v>
      </c>
      <c r="O17" s="48" t="s">
        <v>38</v>
      </c>
      <c r="P17" s="30" t="s">
        <v>38</v>
      </c>
      <c r="Q17" s="30" t="s">
        <v>38</v>
      </c>
      <c r="R17" s="30" t="s">
        <v>38</v>
      </c>
      <c r="S17" s="30" t="s">
        <v>38</v>
      </c>
      <c r="T17" s="30" t="s">
        <v>38</v>
      </c>
      <c r="U17" s="30" t="s">
        <v>38</v>
      </c>
      <c r="V17" s="30" t="s">
        <v>38</v>
      </c>
      <c r="W17" s="30" t="s">
        <v>38</v>
      </c>
      <c r="X17" s="30" t="s">
        <v>38</v>
      </c>
    </row>
    <row r="18" spans="1:24" ht="15.95" customHeight="1">
      <c r="A18" s="2" t="s">
        <v>38</v>
      </c>
      <c r="B18" s="48" t="s">
        <v>1523</v>
      </c>
      <c r="C18" s="118">
        <f>SUM(VLOOKUP(B18,'Fig 9. Financial Aid'!B:E,2,0),VLOOKUP(B18,'Fig 9. Financial Aid'!B:E,3,0),VLOOKUP(B18,'Fig 9. Financial Aid'!B:E,4,0))</f>
        <v>0.69940000000000002</v>
      </c>
      <c r="D18" s="62">
        <f>VLOOKUP(B18,'Financial disb per Month (€)'!B:U,20,0)</f>
        <v>0.40209790209790208</v>
      </c>
      <c r="E18" s="117">
        <f t="shared" si="0"/>
        <v>0.29730209790209794</v>
      </c>
      <c r="F18" s="119">
        <f t="shared" si="1"/>
        <v>57.491836159265375</v>
      </c>
      <c r="I18" s="48" t="s">
        <v>38</v>
      </c>
      <c r="J18" s="48" t="s">
        <v>38</v>
      </c>
      <c r="K18" s="48" t="s">
        <v>38</v>
      </c>
      <c r="L18" s="19"/>
      <c r="M18" s="48" t="s">
        <v>38</v>
      </c>
      <c r="N18" s="48" t="s">
        <v>38</v>
      </c>
      <c r="O18" s="48" t="s">
        <v>38</v>
      </c>
      <c r="P18" s="30" t="s">
        <v>38</v>
      </c>
      <c r="Q18" s="30" t="s">
        <v>38</v>
      </c>
      <c r="R18" s="30" t="s">
        <v>38</v>
      </c>
      <c r="S18" s="30" t="s">
        <v>38</v>
      </c>
      <c r="T18" s="30" t="s">
        <v>38</v>
      </c>
      <c r="U18" s="30" t="s">
        <v>38</v>
      </c>
      <c r="V18" s="30" t="s">
        <v>38</v>
      </c>
      <c r="W18" s="30" t="s">
        <v>38</v>
      </c>
      <c r="X18" s="30" t="s">
        <v>38</v>
      </c>
    </row>
    <row r="19" spans="1:24" ht="15.95" customHeight="1">
      <c r="A19" s="2" t="s">
        <v>38</v>
      </c>
      <c r="B19" s="48" t="s">
        <v>2204</v>
      </c>
      <c r="C19" s="118">
        <f>SUM(VLOOKUP(B19,'Fig 9. Financial Aid'!B:E,2,0),VLOOKUP(B19,'Fig 9. Financial Aid'!B:E,3,0),VLOOKUP(B19,'Fig 9. Financial Aid'!B:E,4,0))</f>
        <v>0.42700000000000005</v>
      </c>
      <c r="D19" s="62">
        <f>VLOOKUP(B19,'Financial disb per Month (€)'!B:U,20,0)</f>
        <v>0.30078658183921347</v>
      </c>
      <c r="E19" s="117">
        <f t="shared" si="0"/>
        <v>0.12621341816078657</v>
      </c>
      <c r="F19" s="119">
        <f t="shared" si="1"/>
        <v>70.441822444780669</v>
      </c>
      <c r="I19" s="48" t="s">
        <v>38</v>
      </c>
      <c r="J19" s="48" t="s">
        <v>38</v>
      </c>
      <c r="K19" s="48" t="s">
        <v>38</v>
      </c>
      <c r="L19" s="19"/>
      <c r="M19" s="48" t="s">
        <v>38</v>
      </c>
      <c r="N19" s="48" t="s">
        <v>38</v>
      </c>
      <c r="O19" s="48" t="s">
        <v>38</v>
      </c>
      <c r="P19" s="30" t="s">
        <v>38</v>
      </c>
      <c r="Q19" s="30" t="s">
        <v>38</v>
      </c>
      <c r="R19" s="30" t="s">
        <v>38</v>
      </c>
      <c r="S19" s="30" t="s">
        <v>38</v>
      </c>
      <c r="T19" s="30" t="s">
        <v>38</v>
      </c>
      <c r="U19" s="30" t="s">
        <v>38</v>
      </c>
      <c r="V19" s="30" t="s">
        <v>38</v>
      </c>
      <c r="W19" s="30" t="s">
        <v>38</v>
      </c>
      <c r="X19" s="30" t="s">
        <v>38</v>
      </c>
    </row>
    <row r="20" spans="1:24" ht="15.95" customHeight="1">
      <c r="A20" s="2" t="s">
        <v>38</v>
      </c>
      <c r="B20" s="48" t="s">
        <v>2693</v>
      </c>
      <c r="C20" s="118">
        <f>SUM(VLOOKUP(B20,'Fig 9. Financial Aid'!B:E,2,0),VLOOKUP(B20,'Fig 9. Financial Aid'!B:E,3,0),VLOOKUP(B20,'Fig 9. Financial Aid'!B:E,4,0))</f>
        <v>1.1728227824806774</v>
      </c>
      <c r="D20" s="62">
        <f>VLOOKUP(B20,'Financial disb per Month (€)'!B:U,20,0)</f>
        <v>0.29260213470739788</v>
      </c>
      <c r="E20" s="117">
        <f t="shared" si="0"/>
        <v>0.88022064777327946</v>
      </c>
      <c r="F20" s="119">
        <f t="shared" si="1"/>
        <v>24.948537756787527</v>
      </c>
      <c r="I20" s="48" t="s">
        <v>38</v>
      </c>
      <c r="J20" s="48" t="s">
        <v>38</v>
      </c>
      <c r="K20" s="48" t="s">
        <v>38</v>
      </c>
      <c r="L20" s="19"/>
      <c r="M20" s="48" t="s">
        <v>38</v>
      </c>
      <c r="N20" s="48" t="s">
        <v>38</v>
      </c>
      <c r="O20" s="48" t="s">
        <v>38</v>
      </c>
      <c r="P20" s="30" t="s">
        <v>38</v>
      </c>
      <c r="Q20" s="30" t="s">
        <v>38</v>
      </c>
      <c r="R20" s="30" t="s">
        <v>38</v>
      </c>
      <c r="S20" s="30" t="s">
        <v>38</v>
      </c>
      <c r="T20" s="30" t="s">
        <v>38</v>
      </c>
      <c r="U20" s="30" t="s">
        <v>38</v>
      </c>
      <c r="V20" s="30" t="s">
        <v>38</v>
      </c>
      <c r="W20" s="30" t="s">
        <v>38</v>
      </c>
      <c r="X20" s="30" t="s">
        <v>38</v>
      </c>
    </row>
    <row r="21" spans="1:24" ht="15.95" customHeight="1">
      <c r="A21" s="2" t="s">
        <v>38</v>
      </c>
      <c r="B21" s="48" t="s">
        <v>1194</v>
      </c>
      <c r="C21" s="118">
        <f>SUM(VLOOKUP(B21,'Fig 9. Financial Aid'!B:E,2,0),VLOOKUP(B21,'Fig 9. Financial Aid'!B:E,3,0),VLOOKUP(B21,'Fig 9. Financial Aid'!B:E,4,0))</f>
        <v>5.7500000000000002E-2</v>
      </c>
      <c r="D21" s="62">
        <f>VLOOKUP(B21,'Financial disb per Month (€)'!B:U,20,0)</f>
        <v>4.8767022451232975E-2</v>
      </c>
      <c r="E21" s="117">
        <f t="shared" si="0"/>
        <v>8.7329775487670278E-3</v>
      </c>
      <c r="F21" s="119">
        <f t="shared" si="1"/>
        <v>84.812212958666038</v>
      </c>
      <c r="I21" s="48" t="s">
        <v>38</v>
      </c>
      <c r="J21" s="48" t="s">
        <v>38</v>
      </c>
      <c r="K21" s="48" t="s">
        <v>38</v>
      </c>
      <c r="L21" s="19"/>
      <c r="M21" s="48" t="s">
        <v>38</v>
      </c>
      <c r="N21" s="48" t="s">
        <v>38</v>
      </c>
      <c r="O21" s="48" t="s">
        <v>38</v>
      </c>
      <c r="P21" s="30" t="s">
        <v>38</v>
      </c>
      <c r="Q21" s="30" t="s">
        <v>38</v>
      </c>
      <c r="R21" s="30" t="s">
        <v>38</v>
      </c>
      <c r="S21" s="30" t="s">
        <v>38</v>
      </c>
      <c r="T21" s="30" t="s">
        <v>38</v>
      </c>
      <c r="U21" s="30" t="s">
        <v>38</v>
      </c>
      <c r="V21" s="30" t="s">
        <v>38</v>
      </c>
      <c r="W21" s="30" t="s">
        <v>38</v>
      </c>
      <c r="X21" s="30" t="s">
        <v>38</v>
      </c>
    </row>
    <row r="22" spans="1:24" ht="15.95" customHeight="1">
      <c r="B22" s="48" t="s">
        <v>3412</v>
      </c>
      <c r="C22" s="118">
        <f>SUM(VLOOKUP(B22,'Fig 9. Financial Aid'!B:E,2,0),VLOOKUP(B22,'Fig 9. Financial Aid'!B:E,3,0),VLOOKUP(B22,'Fig 9. Financial Aid'!B:E,4,0))</f>
        <v>0.45420000000000005</v>
      </c>
      <c r="D22" s="62">
        <f>VLOOKUP(B22,'Financial disb per Month (€)'!B:U,20,0)</f>
        <v>4.6098638203901358E-2</v>
      </c>
      <c r="E22" s="117">
        <f t="shared" si="0"/>
        <v>0.40810136179609868</v>
      </c>
      <c r="F22" s="119">
        <f t="shared" si="1"/>
        <v>10.149413959467493</v>
      </c>
      <c r="I22" s="48" t="s">
        <v>38</v>
      </c>
      <c r="J22" s="48" t="s">
        <v>38</v>
      </c>
      <c r="K22" s="48" t="s">
        <v>38</v>
      </c>
      <c r="L22" s="19"/>
      <c r="M22" s="48" t="s">
        <v>38</v>
      </c>
      <c r="N22" s="48" t="s">
        <v>38</v>
      </c>
      <c r="O22" s="48" t="s">
        <v>38</v>
      </c>
      <c r="P22" s="30" t="s">
        <v>38</v>
      </c>
      <c r="Q22" s="30" t="s">
        <v>38</v>
      </c>
      <c r="R22" s="30" t="s">
        <v>38</v>
      </c>
      <c r="S22" s="30" t="s">
        <v>38</v>
      </c>
      <c r="T22" s="30" t="s">
        <v>38</v>
      </c>
      <c r="U22" s="30" t="s">
        <v>38</v>
      </c>
      <c r="V22" s="30" t="s">
        <v>38</v>
      </c>
      <c r="W22" s="30" t="s">
        <v>38</v>
      </c>
      <c r="X22" s="30" t="s">
        <v>38</v>
      </c>
    </row>
    <row r="23" spans="1:24" ht="15.95" customHeight="1">
      <c r="A23" s="2" t="s">
        <v>38</v>
      </c>
      <c r="B23" s="48" t="s">
        <v>3548</v>
      </c>
      <c r="C23" s="118">
        <f>SUM(VLOOKUP(B23,'Fig 9. Financial Aid'!B:E,2,0),VLOOKUP(B23,'Fig 9. Financial Aid'!B:E,3,0),VLOOKUP(B23,'Fig 9. Financial Aid'!B:E,4,0))</f>
        <v>0.34996950875919491</v>
      </c>
      <c r="D23" s="62">
        <f>VLOOKUP(B23,'Financial disb per Month (€)'!B:U,20,0)</f>
        <v>4.5086492454913515E-2</v>
      </c>
      <c r="E23" s="117">
        <f t="shared" si="0"/>
        <v>0.30488301630428138</v>
      </c>
      <c r="F23" s="119">
        <f t="shared" si="1"/>
        <v>12.882977324157796</v>
      </c>
      <c r="I23" s="48" t="s">
        <v>38</v>
      </c>
      <c r="J23" s="48" t="s">
        <v>38</v>
      </c>
      <c r="K23" s="48" t="s">
        <v>38</v>
      </c>
      <c r="L23" s="19"/>
      <c r="M23" s="48" t="s">
        <v>38</v>
      </c>
      <c r="N23" s="48" t="s">
        <v>38</v>
      </c>
      <c r="O23" s="48" t="s">
        <v>38</v>
      </c>
      <c r="P23" s="30" t="s">
        <v>38</v>
      </c>
      <c r="Q23" s="30" t="s">
        <v>38</v>
      </c>
      <c r="R23" s="30" t="s">
        <v>38</v>
      </c>
      <c r="S23" s="30" t="s">
        <v>38</v>
      </c>
      <c r="T23" s="30" t="s">
        <v>38</v>
      </c>
      <c r="U23" s="30" t="s">
        <v>38</v>
      </c>
      <c r="V23" s="30" t="s">
        <v>38</v>
      </c>
      <c r="W23" s="30" t="s">
        <v>38</v>
      </c>
      <c r="X23" s="30" t="s">
        <v>38</v>
      </c>
    </row>
    <row r="24" spans="1:24" ht="15.95" customHeight="1">
      <c r="A24" s="2" t="s">
        <v>38</v>
      </c>
      <c r="B24" s="30" t="s">
        <v>2882</v>
      </c>
      <c r="C24" s="118">
        <f>SUM(VLOOKUP(B24,'Fig 9. Financial Aid'!B:E,2,0),VLOOKUP(B24,'Fig 9. Financial Aid'!B:E,3,0),VLOOKUP(B24,'Fig 9. Financial Aid'!B:E,4,0))</f>
        <v>1.1429301968805934</v>
      </c>
      <c r="D24" s="62">
        <f>VLOOKUP(B24,'Financial disb per Month (€)'!B:U,20,0)</f>
        <v>2.0242914979757085E-2</v>
      </c>
      <c r="E24" s="117">
        <f t="shared" si="0"/>
        <v>1.1226872819008362</v>
      </c>
      <c r="F24" s="119">
        <f t="shared" si="1"/>
        <v>1.7711418453205805</v>
      </c>
      <c r="I24" s="48" t="s">
        <v>38</v>
      </c>
      <c r="J24" s="48" t="s">
        <v>38</v>
      </c>
      <c r="K24" s="48" t="s">
        <v>38</v>
      </c>
      <c r="L24" s="19"/>
      <c r="M24" s="48" t="s">
        <v>38</v>
      </c>
      <c r="N24" s="48" t="s">
        <v>38</v>
      </c>
      <c r="O24" s="48" t="s">
        <v>38</v>
      </c>
      <c r="P24" s="30" t="s">
        <v>38</v>
      </c>
      <c r="Q24" s="30" t="s">
        <v>38</v>
      </c>
      <c r="R24" s="30" t="s">
        <v>38</v>
      </c>
      <c r="S24" s="30" t="s">
        <v>38</v>
      </c>
      <c r="T24" s="30" t="s">
        <v>38</v>
      </c>
      <c r="U24" s="30" t="s">
        <v>38</v>
      </c>
      <c r="V24" s="30" t="s">
        <v>38</v>
      </c>
      <c r="W24" s="30" t="s">
        <v>38</v>
      </c>
      <c r="X24" s="30" t="s">
        <v>38</v>
      </c>
    </row>
    <row r="25" spans="1:24" ht="15.95" customHeight="1">
      <c r="B25" s="48" t="s">
        <v>2488</v>
      </c>
      <c r="C25" s="118">
        <f>SUM(VLOOKUP(B25,'Fig 9. Financial Aid'!B:E,2,0),VLOOKUP(B25,'Fig 9. Financial Aid'!B:E,3,0),VLOOKUP(B25,'Fig 9. Financial Aid'!B:E,4,0))</f>
        <v>4.2000000000000003E-2</v>
      </c>
      <c r="D25" s="62">
        <f>VLOOKUP(B25,'Financial disb per Month (€)'!B:U,20,0)</f>
        <v>2.0242914979757085E-2</v>
      </c>
      <c r="E25" s="117">
        <f t="shared" si="0"/>
        <v>2.1757085020242917E-2</v>
      </c>
      <c r="F25" s="119">
        <f t="shared" si="1"/>
        <v>48.197416618469248</v>
      </c>
      <c r="I25" s="48"/>
      <c r="J25" s="48"/>
      <c r="K25" s="48"/>
      <c r="L25" s="19"/>
      <c r="M25" s="48"/>
      <c r="N25" s="48"/>
      <c r="O25" s="48"/>
      <c r="P25" s="30"/>
      <c r="Q25" s="30"/>
      <c r="R25" s="30"/>
      <c r="S25" s="30"/>
      <c r="T25" s="30"/>
      <c r="U25" s="30"/>
      <c r="V25" s="30"/>
      <c r="W25" s="30"/>
      <c r="X25" s="30"/>
    </row>
    <row r="26" spans="1:24" ht="15.95" customHeight="1">
      <c r="A26" s="2" t="s">
        <v>38</v>
      </c>
      <c r="B26" s="48" t="s">
        <v>1432</v>
      </c>
      <c r="C26" s="118">
        <f>SUM(VLOOKUP(B26,'Fig 9. Financial Aid'!B:E,2,0),VLOOKUP(B26,'Fig 9. Financial Aid'!B:E,3,0),VLOOKUP(B26,'Fig 9. Financial Aid'!B:E,4,0))</f>
        <v>7.5499999999999998E-2</v>
      </c>
      <c r="D26" s="62">
        <f>VLOOKUP(B26,'Financial disb per Month (€)'!B:U,20,0)</f>
        <v>1.9598822230401179E-2</v>
      </c>
      <c r="E26" s="117">
        <f t="shared" si="0"/>
        <v>5.5901177769598819E-2</v>
      </c>
      <c r="F26" s="119">
        <f t="shared" si="1"/>
        <v>25.958704940928719</v>
      </c>
      <c r="I26" s="48"/>
      <c r="J26" s="48"/>
      <c r="K26" s="48"/>
      <c r="L26" s="19"/>
      <c r="M26" s="48" t="s">
        <v>38</v>
      </c>
      <c r="N26" s="48" t="s">
        <v>38</v>
      </c>
      <c r="O26" s="48" t="s">
        <v>38</v>
      </c>
      <c r="P26" s="30" t="s">
        <v>38</v>
      </c>
      <c r="Q26" s="30" t="s">
        <v>38</v>
      </c>
      <c r="R26" s="30" t="s">
        <v>38</v>
      </c>
      <c r="S26" s="30" t="s">
        <v>38</v>
      </c>
      <c r="T26" s="30" t="s">
        <v>38</v>
      </c>
      <c r="U26" s="30" t="s">
        <v>38</v>
      </c>
      <c r="V26" s="30" t="s">
        <v>38</v>
      </c>
      <c r="W26" s="30" t="s">
        <v>38</v>
      </c>
      <c r="X26" s="30" t="s">
        <v>38</v>
      </c>
    </row>
    <row r="27" spans="1:24" ht="15.95" customHeight="1">
      <c r="A27" s="2" t="s">
        <v>38</v>
      </c>
      <c r="B27" s="48" t="s">
        <v>2096</v>
      </c>
      <c r="C27" s="118">
        <f>SUM(VLOOKUP(B27,'Fig 9. Financial Aid'!B:E,2,0),VLOOKUP(B27,'Fig 9. Financial Aid'!B:E,3,0),VLOOKUP(B27,'Fig 9. Financial Aid'!B:E,4,0))</f>
        <v>2.5000000000000001E-2</v>
      </c>
      <c r="D27" s="62">
        <f>VLOOKUP(B27,'Financial disb per Month (€)'!B:U,20,0)</f>
        <v>1.9414795730585205E-2</v>
      </c>
      <c r="E27" s="117">
        <f t="shared" si="0"/>
        <v>5.5852042694147959E-3</v>
      </c>
      <c r="F27" s="119">
        <f t="shared" si="1"/>
        <v>77.659182922340818</v>
      </c>
      <c r="I27" s="48" t="s">
        <v>38</v>
      </c>
      <c r="J27" s="48" t="s">
        <v>38</v>
      </c>
      <c r="K27" s="48" t="s">
        <v>38</v>
      </c>
      <c r="L27" s="19"/>
      <c r="M27" s="48" t="s">
        <v>38</v>
      </c>
      <c r="N27" s="48" t="s">
        <v>38</v>
      </c>
      <c r="O27" s="48" t="s">
        <v>38</v>
      </c>
      <c r="P27" s="30" t="s">
        <v>38</v>
      </c>
      <c r="Q27" s="30" t="s">
        <v>38</v>
      </c>
      <c r="R27" s="48" t="s">
        <v>38</v>
      </c>
      <c r="S27" s="48" t="s">
        <v>38</v>
      </c>
      <c r="T27" s="30" t="s">
        <v>38</v>
      </c>
      <c r="U27" s="30" t="s">
        <v>38</v>
      </c>
      <c r="V27" s="30" t="s">
        <v>38</v>
      </c>
      <c r="W27" s="30" t="s">
        <v>38</v>
      </c>
      <c r="X27" s="30" t="s">
        <v>38</v>
      </c>
    </row>
    <row r="28" spans="1:24" ht="15.95" customHeight="1">
      <c r="B28" s="48" t="s">
        <v>2392</v>
      </c>
      <c r="C28" s="118">
        <f>SUM(VLOOKUP(B28,'Fig 9. Financial Aid'!B:E,2,0),VLOOKUP(B28,'Fig 9. Financial Aid'!B:E,3,0),VLOOKUP(B28,'Fig 9. Financial Aid'!B:E,4,0))</f>
        <v>2.5364999999999999E-2</v>
      </c>
      <c r="D28" s="62">
        <f>VLOOKUP(B28,'Financial disb per Month (€)'!B:U,20,0)</f>
        <v>1.4722119985277881E-2</v>
      </c>
      <c r="E28" s="117">
        <f t="shared" si="0"/>
        <v>1.0642880014722118E-2</v>
      </c>
      <c r="F28" s="119">
        <f t="shared" si="1"/>
        <v>58.041080170620461</v>
      </c>
      <c r="I28" s="48"/>
      <c r="J28" s="48"/>
      <c r="K28" s="48"/>
      <c r="L28" s="19"/>
      <c r="M28" s="48"/>
      <c r="N28" s="48"/>
      <c r="O28" s="48"/>
      <c r="P28" s="30"/>
      <c r="Q28" s="30"/>
      <c r="R28" s="48"/>
      <c r="S28" s="48"/>
      <c r="T28" s="30"/>
      <c r="U28" s="30"/>
      <c r="V28" s="30"/>
      <c r="W28" s="30"/>
      <c r="X28" s="30"/>
    </row>
    <row r="29" spans="1:24" ht="15.95" customHeight="1">
      <c r="B29" s="48" t="s">
        <v>454</v>
      </c>
      <c r="C29" s="118">
        <f>SUM(VLOOKUP(B29,'Fig 9. Financial Aid'!B:E,2,0),VLOOKUP(B29,'Fig 9. Financial Aid'!B:E,3,0),VLOOKUP(B29,'Fig 9. Financial Aid'!B:E,4,0))</f>
        <v>0.68689999999999996</v>
      </c>
      <c r="D29" s="62">
        <f>VLOOKUP(B29,'Financial disb per Month (€)'!B:U,20,0)</f>
        <v>1.0121457489878543E-2</v>
      </c>
      <c r="E29" s="117">
        <f t="shared" si="0"/>
        <v>0.67677854251012137</v>
      </c>
      <c r="F29" s="119">
        <f t="shared" si="1"/>
        <v>1.4734979603841232</v>
      </c>
      <c r="I29" s="48"/>
      <c r="J29" s="48"/>
      <c r="K29" s="48"/>
      <c r="L29" s="19"/>
      <c r="M29" s="48"/>
      <c r="N29" s="48"/>
      <c r="O29" s="48"/>
      <c r="P29" s="30"/>
      <c r="Q29" s="30"/>
      <c r="R29" s="48"/>
      <c r="S29" s="48"/>
      <c r="T29" s="30"/>
      <c r="U29" s="30"/>
      <c r="V29" s="30"/>
      <c r="W29" s="30"/>
      <c r="X29" s="30"/>
    </row>
    <row r="30" spans="1:24" ht="15.95" customHeight="1">
      <c r="A30" s="2" t="s">
        <v>38</v>
      </c>
      <c r="B30" s="48" t="s">
        <v>3649</v>
      </c>
      <c r="C30" s="118">
        <f>SUM(VLOOKUP(B30,'Fig 9. Financial Aid'!B:E,2,0),VLOOKUP(B30,'Fig 9. Financial Aid'!B:E,3,0),VLOOKUP(B30,'Fig 9. Financial Aid'!B:E,4,0))</f>
        <v>3.8970362014152396E-2</v>
      </c>
      <c r="D30" s="62">
        <f>VLOOKUP(B30,'Financial disb per Month (€)'!B:U,20,0)</f>
        <v>9.4773647405226348E-3</v>
      </c>
      <c r="E30" s="117">
        <f t="shared" si="0"/>
        <v>2.9492997273629761E-2</v>
      </c>
      <c r="F30" s="119">
        <f t="shared" si="1"/>
        <v>24.319416732851636</v>
      </c>
      <c r="I30" s="48" t="s">
        <v>38</v>
      </c>
      <c r="J30" s="48" t="s">
        <v>38</v>
      </c>
      <c r="K30" s="48" t="s">
        <v>38</v>
      </c>
      <c r="L30" s="19"/>
      <c r="M30" s="48" t="s">
        <v>38</v>
      </c>
      <c r="N30" s="48" t="s">
        <v>38</v>
      </c>
      <c r="O30" s="48" t="s">
        <v>38</v>
      </c>
      <c r="P30" s="30" t="s">
        <v>38</v>
      </c>
      <c r="Q30" s="48" t="s">
        <v>38</v>
      </c>
      <c r="R30" s="48" t="s">
        <v>38</v>
      </c>
      <c r="S30" s="48" t="s">
        <v>38</v>
      </c>
      <c r="T30" s="30" t="s">
        <v>38</v>
      </c>
      <c r="U30" s="30" t="s">
        <v>38</v>
      </c>
      <c r="V30" s="30" t="s">
        <v>38</v>
      </c>
      <c r="W30" s="30" t="s">
        <v>38</v>
      </c>
      <c r="X30" s="30" t="s">
        <v>38</v>
      </c>
    </row>
    <row r="31" spans="1:24" ht="15.95" customHeight="1">
      <c r="B31" s="48" t="s">
        <v>558</v>
      </c>
      <c r="C31" s="118">
        <f>SUM(VLOOKUP(B31,'Fig 9. Financial Aid'!B:E,2,0),VLOOKUP(B31,'Fig 9. Financial Aid'!B:E,3,0),VLOOKUP(B31,'Fig 9. Financial Aid'!B:E,4,0))</f>
        <v>1.6060000000000001E-2</v>
      </c>
      <c r="D31" s="62">
        <f>VLOOKUP(B31,'Financial disb per Month (€)'!B:U,20,0)</f>
        <v>2.8524107471475891E-3</v>
      </c>
      <c r="E31" s="117">
        <f t="shared" si="0"/>
        <v>1.3207589252852411E-2</v>
      </c>
      <c r="F31" s="119">
        <f t="shared" si="1"/>
        <v>17.760963556336172</v>
      </c>
      <c r="I31" s="48"/>
      <c r="J31" s="48"/>
      <c r="K31" s="48"/>
      <c r="L31" s="19"/>
      <c r="M31" s="48"/>
      <c r="N31" s="48"/>
      <c r="O31" s="48"/>
      <c r="P31" s="30"/>
      <c r="Q31" s="48"/>
      <c r="R31" s="48"/>
      <c r="S31" s="48"/>
      <c r="T31" s="30"/>
      <c r="U31" s="30"/>
      <c r="V31" s="30"/>
      <c r="W31" s="30"/>
      <c r="X31" s="30"/>
    </row>
    <row r="32" spans="1:24" ht="15.95" customHeight="1">
      <c r="A32" s="2" t="s">
        <v>38</v>
      </c>
      <c r="B32" s="48" t="s">
        <v>2139</v>
      </c>
      <c r="C32" s="118">
        <f>SUM(VLOOKUP(B32,'Fig 9. Financial Aid'!B:E,2,0),VLOOKUP(B32,'Fig 9. Financial Aid'!B:E,3,0),VLOOKUP(B32,'Fig 9. Financial Aid'!B:E,4,0))</f>
        <v>9.4038678806406591E-3</v>
      </c>
      <c r="D32" s="62">
        <f>VLOOKUP(B32,'Financial disb per Month (€)'!B:U,20,0)</f>
        <v>2.1000000000000003E-3</v>
      </c>
      <c r="E32" s="117">
        <f t="shared" si="0"/>
        <v>7.3038678806406588E-3</v>
      </c>
      <c r="F32" s="119">
        <f t="shared" si="1"/>
        <v>22.331236749116613</v>
      </c>
      <c r="I32" s="48" t="s">
        <v>38</v>
      </c>
      <c r="J32" s="48" t="s">
        <v>38</v>
      </c>
      <c r="K32" s="48" t="s">
        <v>38</v>
      </c>
      <c r="L32" s="19"/>
      <c r="M32" s="48"/>
      <c r="N32" s="48"/>
      <c r="O32" s="48"/>
      <c r="P32" s="30"/>
      <c r="Q32" s="48"/>
      <c r="R32" s="48"/>
      <c r="S32" s="48"/>
      <c r="T32" s="30"/>
      <c r="U32" s="30"/>
      <c r="V32" s="30"/>
      <c r="W32" s="30"/>
      <c r="X32" s="30"/>
    </row>
    <row r="33" spans="1:24" ht="15.95" customHeight="1">
      <c r="B33" s="30" t="s">
        <v>2989</v>
      </c>
      <c r="C33" s="118">
        <f>SUM(VLOOKUP(B33,'Fig 9. Financial Aid'!B:E,2,0),VLOOKUP(B33,'Fig 9. Financial Aid'!B:E,3,0),VLOOKUP(B33,'Fig 9. Financial Aid'!B:E,4,0))</f>
        <v>6.6160903316866623E-3</v>
      </c>
      <c r="D33" s="62">
        <f>VLOOKUP(B33,'Financial disb per Month (€)'!B:U,20,0)</f>
        <v>0</v>
      </c>
      <c r="E33" s="117">
        <f t="shared" si="0"/>
        <v>6.6160903316866623E-3</v>
      </c>
      <c r="F33" s="119">
        <f t="shared" si="1"/>
        <v>0</v>
      </c>
      <c r="I33" s="48"/>
      <c r="J33" s="48"/>
      <c r="K33" s="48"/>
      <c r="L33" s="19"/>
      <c r="M33" s="48"/>
      <c r="N33" s="48"/>
      <c r="O33" s="48"/>
      <c r="P33" s="30"/>
      <c r="Q33" s="48"/>
      <c r="R33" s="48"/>
      <c r="S33" s="48"/>
      <c r="T33" s="30"/>
      <c r="U33" s="30"/>
      <c r="V33" s="30"/>
      <c r="W33" s="30"/>
      <c r="X33" s="30"/>
    </row>
    <row r="34" spans="1:24" ht="15.95" customHeight="1">
      <c r="B34" s="48" t="s">
        <v>3713</v>
      </c>
      <c r="C34" s="118">
        <f>SUM(VLOOKUP(B34,'Fig 9. Financial Aid'!B:E,2,0),VLOOKUP(B34,'Fig 9. Financial Aid'!B:E,3,0),VLOOKUP(B34,'Fig 9. Financial Aid'!B:E,4,0))</f>
        <v>1.1501656238498345E-2</v>
      </c>
      <c r="D34" s="62">
        <f>VLOOKUP(B34,'Financial disb per Month (€)'!B:U,20,0)</f>
        <v>0</v>
      </c>
      <c r="E34" s="117">
        <f t="shared" si="0"/>
        <v>1.1501656238498345E-2</v>
      </c>
      <c r="F34" s="119">
        <f t="shared" si="1"/>
        <v>0</v>
      </c>
      <c r="I34" s="48"/>
      <c r="J34" s="48"/>
      <c r="K34" s="48"/>
      <c r="L34" s="19"/>
      <c r="M34" s="48"/>
      <c r="N34" s="48"/>
      <c r="O34" s="48"/>
      <c r="P34" s="30"/>
      <c r="Q34" s="48"/>
      <c r="R34" s="48"/>
      <c r="S34" s="48"/>
      <c r="T34" s="30"/>
      <c r="U34" s="30"/>
      <c r="V34" s="30"/>
      <c r="W34" s="30"/>
      <c r="X34" s="30"/>
    </row>
    <row r="35" spans="1:24" ht="15.95" customHeight="1">
      <c r="B35" s="48" t="s">
        <v>3162</v>
      </c>
      <c r="C35" s="118">
        <f>SUM(VLOOKUP(B35,'Fig 9. Financial Aid'!B:E,2,0),VLOOKUP(B35,'Fig 9. Financial Aid'!B:E,3,0),VLOOKUP(B35,'Fig 9. Financial Aid'!B:E,4,0))</f>
        <v>0.39565697460434307</v>
      </c>
      <c r="D35" s="62">
        <f>VLOOKUP(B35,'Financial disb per Month (€)'!B:U,20,0)</f>
        <v>0</v>
      </c>
      <c r="E35" s="117">
        <f t="shared" si="0"/>
        <v>0.39565697460434307</v>
      </c>
      <c r="F35" s="119">
        <f t="shared" si="1"/>
        <v>0</v>
      </c>
      <c r="I35" s="48"/>
      <c r="J35" s="48"/>
      <c r="K35" s="48"/>
      <c r="L35" s="19"/>
      <c r="M35" s="48"/>
      <c r="N35" s="48"/>
      <c r="O35" s="48"/>
      <c r="P35" s="30"/>
      <c r="Q35" s="48"/>
      <c r="R35" s="48"/>
      <c r="S35" s="48"/>
      <c r="T35" s="30"/>
      <c r="U35" s="30"/>
      <c r="V35" s="30"/>
      <c r="W35" s="30"/>
      <c r="X35" s="30"/>
    </row>
    <row r="36" spans="1:24" ht="15.95" customHeight="1">
      <c r="A36" s="2" t="s">
        <v>38</v>
      </c>
      <c r="B36" s="379" t="s">
        <v>3079</v>
      </c>
      <c r="C36" s="395">
        <f>SUM(VLOOKUP(B36,'Fig 9. Financial Aid'!B:E,2,0),VLOOKUP(B36,'Fig 9. Financial Aid'!B:E,3,0),VLOOKUP(B36,'Fig 9. Financial Aid'!B:E,4,0))</f>
        <v>0.25</v>
      </c>
      <c r="D36" s="1204">
        <f>VLOOKUP(B36,'Financial disb per Month (€)'!B:U,20,0)</f>
        <v>0</v>
      </c>
      <c r="E36" s="380">
        <f t="shared" si="0"/>
        <v>0.25</v>
      </c>
      <c r="F36" s="381">
        <f t="shared" si="1"/>
        <v>0</v>
      </c>
      <c r="I36" s="48" t="s">
        <v>38</v>
      </c>
      <c r="J36" s="48" t="s">
        <v>38</v>
      </c>
      <c r="K36" s="48" t="s">
        <v>38</v>
      </c>
      <c r="L36" s="19"/>
      <c r="M36" s="48" t="s">
        <v>38</v>
      </c>
      <c r="N36" s="48" t="s">
        <v>38</v>
      </c>
      <c r="O36" s="48" t="s">
        <v>38</v>
      </c>
      <c r="P36" s="30" t="s">
        <v>38</v>
      </c>
      <c r="Q36" s="30" t="s">
        <v>38</v>
      </c>
      <c r="R36" s="30" t="s">
        <v>38</v>
      </c>
      <c r="S36" s="30" t="s">
        <v>38</v>
      </c>
      <c r="T36" s="30" t="s">
        <v>38</v>
      </c>
      <c r="U36" s="30" t="s">
        <v>38</v>
      </c>
      <c r="V36" s="30" t="s">
        <v>38</v>
      </c>
      <c r="W36" s="30" t="s">
        <v>38</v>
      </c>
      <c r="X36" s="30" t="s">
        <v>38</v>
      </c>
    </row>
    <row r="37" spans="1:24" ht="15.95" customHeight="1">
      <c r="A37" s="2" t="s">
        <v>38</v>
      </c>
      <c r="I37" s="48" t="s">
        <v>38</v>
      </c>
      <c r="J37" s="48" t="s">
        <v>38</v>
      </c>
      <c r="K37" s="48" t="s">
        <v>38</v>
      </c>
      <c r="L37" s="19"/>
      <c r="M37" s="48" t="s">
        <v>38</v>
      </c>
      <c r="N37" s="48" t="s">
        <v>38</v>
      </c>
      <c r="O37" s="48" t="s">
        <v>38</v>
      </c>
      <c r="P37" s="30" t="s">
        <v>38</v>
      </c>
      <c r="Q37" s="30" t="s">
        <v>38</v>
      </c>
      <c r="R37" s="30" t="s">
        <v>38</v>
      </c>
      <c r="S37" s="30" t="s">
        <v>38</v>
      </c>
      <c r="T37" s="30" t="s">
        <v>38</v>
      </c>
      <c r="U37" s="30" t="s">
        <v>38</v>
      </c>
      <c r="V37" s="30" t="s">
        <v>38</v>
      </c>
      <c r="W37" s="30" t="s">
        <v>38</v>
      </c>
      <c r="X37" s="30" t="s">
        <v>38</v>
      </c>
    </row>
    <row r="38" spans="1:24" ht="15.95" customHeight="1">
      <c r="A38" s="2" t="s">
        <v>38</v>
      </c>
      <c r="B38" s="377" t="s">
        <v>4530</v>
      </c>
      <c r="C38" s="378">
        <f>SUM(C12:C36)</f>
        <v>72.571877981051017</v>
      </c>
      <c r="D38" s="378">
        <f>SUM(D12:D36)</f>
        <v>40.113707340028377</v>
      </c>
      <c r="E38" s="378">
        <f>SUM(E12:E36)</f>
        <v>32.458170641022605</v>
      </c>
      <c r="F38" s="382" t="s">
        <v>364</v>
      </c>
      <c r="I38" s="13" t="s">
        <v>38</v>
      </c>
      <c r="J38" s="13" t="s">
        <v>38</v>
      </c>
      <c r="K38" s="13" t="s">
        <v>38</v>
      </c>
      <c r="M38" s="13" t="s">
        <v>38</v>
      </c>
      <c r="N38" s="13" t="s">
        <v>38</v>
      </c>
      <c r="O38" s="13" t="s">
        <v>38</v>
      </c>
      <c r="P38" s="13" t="s">
        <v>38</v>
      </c>
      <c r="Q38" s="13" t="s">
        <v>38</v>
      </c>
      <c r="R38" s="13" t="s">
        <v>38</v>
      </c>
      <c r="S38" s="13" t="s">
        <v>38</v>
      </c>
      <c r="T38" s="13" t="s">
        <v>38</v>
      </c>
      <c r="U38" s="13" t="s">
        <v>38</v>
      </c>
      <c r="V38" s="13" t="s">
        <v>38</v>
      </c>
      <c r="W38" s="30" t="s">
        <v>38</v>
      </c>
      <c r="X38" s="30" t="s">
        <v>38</v>
      </c>
    </row>
    <row r="39" spans="1:24" ht="15.95" customHeight="1">
      <c r="A39" s="2" t="s">
        <v>38</v>
      </c>
      <c r="C39" s="13"/>
      <c r="D39" s="13"/>
      <c r="E39" s="13"/>
      <c r="I39" s="13" t="s">
        <v>38</v>
      </c>
      <c r="J39" s="13" t="s">
        <v>38</v>
      </c>
      <c r="K39" s="13" t="s">
        <v>38</v>
      </c>
      <c r="M39" s="13" t="s">
        <v>38</v>
      </c>
      <c r="N39" s="13" t="s">
        <v>38</v>
      </c>
      <c r="O39" s="13" t="s">
        <v>38</v>
      </c>
      <c r="P39" s="13" t="s">
        <v>38</v>
      </c>
      <c r="Q39" s="13" t="s">
        <v>38</v>
      </c>
      <c r="R39" s="13" t="s">
        <v>38</v>
      </c>
      <c r="S39" s="13" t="s">
        <v>38</v>
      </c>
      <c r="T39" s="13" t="s">
        <v>38</v>
      </c>
      <c r="U39" s="13" t="s">
        <v>38</v>
      </c>
      <c r="V39" s="13" t="s">
        <v>38</v>
      </c>
      <c r="W39" s="30" t="s">
        <v>38</v>
      </c>
      <c r="X39" s="30" t="s">
        <v>38</v>
      </c>
    </row>
    <row r="40" spans="1:24" ht="15.95" customHeight="1">
      <c r="A40" s="2" t="s">
        <v>38</v>
      </c>
      <c r="B40" s="48" t="s">
        <v>38</v>
      </c>
      <c r="C40" s="118"/>
      <c r="D40" s="62"/>
      <c r="E40" s="118" t="s">
        <v>38</v>
      </c>
      <c r="F40" s="19"/>
      <c r="I40" s="13" t="s">
        <v>38</v>
      </c>
      <c r="J40" s="13" t="s">
        <v>38</v>
      </c>
      <c r="K40" s="13" t="s">
        <v>38</v>
      </c>
      <c r="M40" s="13" t="s">
        <v>38</v>
      </c>
      <c r="N40" s="13" t="s">
        <v>38</v>
      </c>
      <c r="O40" s="13" t="s">
        <v>38</v>
      </c>
      <c r="P40" s="13" t="s">
        <v>38</v>
      </c>
      <c r="Q40" s="13" t="s">
        <v>38</v>
      </c>
      <c r="R40" s="13" t="s">
        <v>38</v>
      </c>
      <c r="S40" s="13" t="s">
        <v>38</v>
      </c>
      <c r="T40" s="13" t="s">
        <v>38</v>
      </c>
      <c r="U40" s="13" t="s">
        <v>38</v>
      </c>
      <c r="V40" s="13" t="s">
        <v>38</v>
      </c>
      <c r="W40" s="30" t="s">
        <v>38</v>
      </c>
      <c r="X40" s="30" t="s">
        <v>38</v>
      </c>
    </row>
    <row r="41" spans="1:24" ht="15.95" customHeight="1">
      <c r="A41" s="2" t="s">
        <v>38</v>
      </c>
      <c r="B41" s="48" t="s">
        <v>38</v>
      </c>
      <c r="C41" s="118"/>
      <c r="D41" s="62"/>
      <c r="E41" s="118" t="s">
        <v>38</v>
      </c>
      <c r="F41" s="19"/>
      <c r="I41" s="13" t="s">
        <v>38</v>
      </c>
      <c r="J41" s="13" t="s">
        <v>38</v>
      </c>
      <c r="K41" s="13" t="s">
        <v>38</v>
      </c>
      <c r="M41" s="13" t="s">
        <v>38</v>
      </c>
      <c r="N41" s="13" t="s">
        <v>38</v>
      </c>
      <c r="O41" s="13" t="s">
        <v>38</v>
      </c>
      <c r="P41" s="13" t="s">
        <v>38</v>
      </c>
      <c r="Q41" s="13" t="s">
        <v>38</v>
      </c>
      <c r="R41" s="13" t="s">
        <v>38</v>
      </c>
      <c r="S41" s="13" t="s">
        <v>38</v>
      </c>
      <c r="T41" s="13" t="s">
        <v>38</v>
      </c>
      <c r="U41" s="13" t="s">
        <v>38</v>
      </c>
      <c r="V41" s="13" t="s">
        <v>38</v>
      </c>
      <c r="W41" s="30" t="s">
        <v>38</v>
      </c>
      <c r="X41" s="30" t="s">
        <v>38</v>
      </c>
    </row>
    <row r="43" spans="1:24" ht="15.95" customHeight="1">
      <c r="A43" s="2" t="s">
        <v>38</v>
      </c>
      <c r="B43" s="48" t="s">
        <v>38</v>
      </c>
      <c r="C43" s="118"/>
      <c r="D43" s="62"/>
      <c r="E43" s="118" t="s">
        <v>38</v>
      </c>
      <c r="F43" s="19"/>
      <c r="I43" s="13" t="s">
        <v>38</v>
      </c>
      <c r="J43" s="13" t="s">
        <v>38</v>
      </c>
      <c r="K43" s="13" t="s">
        <v>38</v>
      </c>
      <c r="M43" s="13" t="s">
        <v>38</v>
      </c>
      <c r="N43" s="13" t="s">
        <v>38</v>
      </c>
      <c r="O43" s="13" t="s">
        <v>38</v>
      </c>
      <c r="P43" s="13" t="s">
        <v>38</v>
      </c>
      <c r="Q43" s="13" t="s">
        <v>38</v>
      </c>
      <c r="R43" s="13" t="s">
        <v>38</v>
      </c>
      <c r="S43" s="13" t="s">
        <v>38</v>
      </c>
      <c r="T43" s="13" t="s">
        <v>38</v>
      </c>
      <c r="U43" s="13" t="s">
        <v>38</v>
      </c>
      <c r="V43" s="13" t="s">
        <v>38</v>
      </c>
      <c r="W43" s="30" t="s">
        <v>38</v>
      </c>
      <c r="X43" s="30" t="s">
        <v>38</v>
      </c>
    </row>
    <row r="44" spans="1:24" ht="15.95" customHeight="1">
      <c r="A44" s="2" t="s">
        <v>38</v>
      </c>
      <c r="B44" s="48" t="s">
        <v>38</v>
      </c>
      <c r="C44" s="118"/>
      <c r="D44" s="62"/>
      <c r="E44" s="118" t="s">
        <v>38</v>
      </c>
      <c r="F44" s="19"/>
      <c r="I44" s="13" t="s">
        <v>38</v>
      </c>
      <c r="J44" s="13" t="s">
        <v>38</v>
      </c>
      <c r="K44" s="13" t="s">
        <v>38</v>
      </c>
      <c r="L44" s="13" t="s">
        <v>38</v>
      </c>
      <c r="M44" s="13" t="s">
        <v>38</v>
      </c>
      <c r="N44" s="13" t="s">
        <v>38</v>
      </c>
      <c r="O44" s="13" t="s">
        <v>38</v>
      </c>
      <c r="P44" s="13" t="s">
        <v>38</v>
      </c>
      <c r="Q44" s="13" t="s">
        <v>38</v>
      </c>
      <c r="R44" s="13" t="s">
        <v>38</v>
      </c>
      <c r="S44" s="13" t="s">
        <v>38</v>
      </c>
      <c r="T44" s="13" t="s">
        <v>38</v>
      </c>
      <c r="U44" s="13" t="s">
        <v>38</v>
      </c>
      <c r="V44" s="13" t="s">
        <v>38</v>
      </c>
      <c r="W44" s="30" t="s">
        <v>38</v>
      </c>
      <c r="X44" s="30" t="s">
        <v>38</v>
      </c>
    </row>
    <row r="45" spans="1:24" ht="15.95" customHeight="1">
      <c r="B45" s="48" t="s">
        <v>38</v>
      </c>
      <c r="C45" s="118"/>
      <c r="D45" s="62"/>
      <c r="E45" s="118" t="s">
        <v>38</v>
      </c>
      <c r="F45" s="19"/>
    </row>
    <row r="46" spans="1:24" ht="15.95" customHeight="1">
      <c r="A46" s="2" t="s">
        <v>38</v>
      </c>
      <c r="B46" s="48" t="s">
        <v>38</v>
      </c>
      <c r="C46" s="118"/>
      <c r="D46" s="62"/>
      <c r="E46" s="118" t="s">
        <v>38</v>
      </c>
      <c r="F46" s="19"/>
      <c r="I46" s="13" t="s">
        <v>38</v>
      </c>
      <c r="J46" s="13" t="s">
        <v>38</v>
      </c>
      <c r="K46" s="13" t="s">
        <v>38</v>
      </c>
      <c r="M46" s="13" t="s">
        <v>38</v>
      </c>
      <c r="N46" s="13" t="s">
        <v>38</v>
      </c>
      <c r="O46" s="13" t="s">
        <v>38</v>
      </c>
      <c r="P46" s="13" t="s">
        <v>38</v>
      </c>
      <c r="Q46" s="13" t="s">
        <v>38</v>
      </c>
      <c r="R46" s="13" t="s">
        <v>38</v>
      </c>
      <c r="S46" s="13" t="s">
        <v>38</v>
      </c>
      <c r="T46" s="13" t="s">
        <v>38</v>
      </c>
      <c r="U46" s="13" t="s">
        <v>38</v>
      </c>
      <c r="V46" s="13" t="s">
        <v>38</v>
      </c>
      <c r="W46" s="30" t="s">
        <v>38</v>
      </c>
      <c r="X46" s="30" t="s">
        <v>38</v>
      </c>
    </row>
    <row r="47" spans="1:24" ht="15.95" customHeight="1">
      <c r="A47" s="2" t="s">
        <v>38</v>
      </c>
      <c r="C47" s="13"/>
      <c r="D47" s="13"/>
      <c r="E47" s="13"/>
      <c r="I47" s="13" t="s">
        <v>38</v>
      </c>
      <c r="J47" s="13" t="s">
        <v>38</v>
      </c>
      <c r="K47" s="13" t="s">
        <v>38</v>
      </c>
      <c r="M47" s="13" t="s">
        <v>38</v>
      </c>
      <c r="N47" s="13" t="s">
        <v>38</v>
      </c>
      <c r="O47" s="13" t="s">
        <v>38</v>
      </c>
      <c r="P47" s="13" t="s">
        <v>38</v>
      </c>
      <c r="Q47" s="13" t="s">
        <v>38</v>
      </c>
      <c r="R47" s="13" t="s">
        <v>38</v>
      </c>
      <c r="S47" s="13" t="s">
        <v>38</v>
      </c>
      <c r="T47" s="13" t="s">
        <v>38</v>
      </c>
      <c r="U47" s="13" t="s">
        <v>38</v>
      </c>
      <c r="V47" s="13" t="s">
        <v>38</v>
      </c>
      <c r="W47" s="30" t="s">
        <v>38</v>
      </c>
      <c r="X47" s="30" t="s">
        <v>38</v>
      </c>
    </row>
    <row r="48" spans="1:24" ht="15.95" customHeight="1">
      <c r="A48" s="2" t="s">
        <v>38</v>
      </c>
      <c r="I48" s="13" t="s">
        <v>38</v>
      </c>
      <c r="J48" s="13" t="s">
        <v>38</v>
      </c>
      <c r="K48" s="13" t="s">
        <v>38</v>
      </c>
      <c r="M48" s="13" t="s">
        <v>38</v>
      </c>
      <c r="N48" s="13" t="s">
        <v>38</v>
      </c>
      <c r="O48" s="13" t="s">
        <v>38</v>
      </c>
      <c r="P48" s="13" t="s">
        <v>38</v>
      </c>
      <c r="Q48" s="13" t="s">
        <v>38</v>
      </c>
      <c r="R48" s="13" t="s">
        <v>38</v>
      </c>
      <c r="S48" s="13" t="s">
        <v>38</v>
      </c>
      <c r="T48" s="13" t="s">
        <v>38</v>
      </c>
      <c r="U48" s="13" t="s">
        <v>38</v>
      </c>
      <c r="V48" s="13" t="s">
        <v>38</v>
      </c>
      <c r="W48" s="30" t="s">
        <v>38</v>
      </c>
      <c r="X48" s="30" t="s">
        <v>38</v>
      </c>
    </row>
    <row r="49" spans="1:24" ht="15.95" customHeight="1">
      <c r="A49" s="2" t="s">
        <v>38</v>
      </c>
      <c r="B49" s="48" t="s">
        <v>38</v>
      </c>
      <c r="C49" s="118"/>
      <c r="D49" s="62"/>
      <c r="E49" s="118" t="s">
        <v>38</v>
      </c>
      <c r="F49" s="19"/>
      <c r="I49" s="13" t="s">
        <v>38</v>
      </c>
      <c r="J49" s="13" t="s">
        <v>38</v>
      </c>
      <c r="K49" s="13" t="s">
        <v>38</v>
      </c>
      <c r="M49" s="13" t="s">
        <v>38</v>
      </c>
      <c r="N49" s="13" t="s">
        <v>38</v>
      </c>
      <c r="O49" s="13" t="s">
        <v>38</v>
      </c>
      <c r="P49" s="13" t="s">
        <v>38</v>
      </c>
      <c r="Q49" s="13" t="s">
        <v>38</v>
      </c>
      <c r="R49" s="13" t="s">
        <v>38</v>
      </c>
      <c r="S49" s="13" t="s">
        <v>38</v>
      </c>
      <c r="T49" s="13" t="s">
        <v>38</v>
      </c>
      <c r="U49" s="13" t="s">
        <v>38</v>
      </c>
      <c r="V49" s="13" t="s">
        <v>38</v>
      </c>
      <c r="W49" s="30" t="s">
        <v>38</v>
      </c>
      <c r="X49" s="30" t="s">
        <v>38</v>
      </c>
    </row>
    <row r="50" spans="1:24" ht="15.95" customHeight="1">
      <c r="A50" s="2" t="s">
        <v>38</v>
      </c>
      <c r="B50" s="48" t="s">
        <v>38</v>
      </c>
      <c r="C50" s="118"/>
      <c r="D50" s="62"/>
      <c r="E50" s="118" t="s">
        <v>38</v>
      </c>
      <c r="F50" s="19"/>
      <c r="I50" s="13" t="s">
        <v>38</v>
      </c>
      <c r="J50" s="13" t="s">
        <v>38</v>
      </c>
      <c r="K50" s="13" t="s">
        <v>38</v>
      </c>
      <c r="M50" s="13" t="s">
        <v>38</v>
      </c>
      <c r="N50" s="13" t="s">
        <v>38</v>
      </c>
      <c r="O50" s="13" t="s">
        <v>38</v>
      </c>
      <c r="P50" s="13" t="s">
        <v>38</v>
      </c>
      <c r="Q50" s="13" t="s">
        <v>38</v>
      </c>
      <c r="R50" s="13" t="s">
        <v>38</v>
      </c>
      <c r="S50" s="13" t="s">
        <v>38</v>
      </c>
      <c r="T50" s="13" t="s">
        <v>38</v>
      </c>
      <c r="U50" s="13" t="s">
        <v>38</v>
      </c>
      <c r="V50" s="13" t="s">
        <v>38</v>
      </c>
      <c r="W50" s="30" t="s">
        <v>38</v>
      </c>
      <c r="X50" s="30" t="s">
        <v>38</v>
      </c>
    </row>
    <row r="51" spans="1:24" ht="15.95" customHeight="1">
      <c r="A51" s="2" t="s">
        <v>38</v>
      </c>
      <c r="B51" s="48" t="s">
        <v>38</v>
      </c>
      <c r="C51" s="118"/>
      <c r="D51" s="62"/>
      <c r="E51" s="118" t="s">
        <v>38</v>
      </c>
      <c r="F51" s="19"/>
      <c r="I51" s="13" t="s">
        <v>38</v>
      </c>
      <c r="J51" s="13" t="s">
        <v>38</v>
      </c>
      <c r="K51" s="13" t="s">
        <v>38</v>
      </c>
      <c r="M51" s="13" t="s">
        <v>38</v>
      </c>
      <c r="N51" s="13" t="s">
        <v>38</v>
      </c>
      <c r="O51" s="13" t="s">
        <v>38</v>
      </c>
      <c r="P51" s="13" t="s">
        <v>38</v>
      </c>
      <c r="Q51" s="13" t="s">
        <v>38</v>
      </c>
      <c r="R51" s="13" t="s">
        <v>38</v>
      </c>
      <c r="S51" s="13" t="s">
        <v>38</v>
      </c>
      <c r="T51" s="13" t="s">
        <v>38</v>
      </c>
      <c r="U51" s="13" t="s">
        <v>38</v>
      </c>
      <c r="V51" s="13" t="s">
        <v>38</v>
      </c>
      <c r="W51" s="30" t="s">
        <v>38</v>
      </c>
      <c r="X51" s="30" t="s">
        <v>38</v>
      </c>
    </row>
    <row r="52" spans="1:24" ht="15.95" customHeight="1">
      <c r="A52" s="2" t="s">
        <v>38</v>
      </c>
      <c r="B52" s="48" t="s">
        <v>38</v>
      </c>
      <c r="C52" s="118"/>
      <c r="D52" s="62"/>
      <c r="E52" s="118" t="s">
        <v>38</v>
      </c>
      <c r="F52" s="19"/>
      <c r="I52" s="13" t="s">
        <v>38</v>
      </c>
      <c r="J52" s="13" t="s">
        <v>38</v>
      </c>
      <c r="W52" s="63"/>
      <c r="X52" s="63"/>
    </row>
    <row r="53" spans="1:24" ht="15.95" customHeight="1">
      <c r="A53" s="2" t="s">
        <v>38</v>
      </c>
      <c r="B53" s="48" t="s">
        <v>38</v>
      </c>
      <c r="C53" s="118"/>
      <c r="D53" s="62"/>
      <c r="E53" s="118" t="s">
        <v>38</v>
      </c>
      <c r="F53" s="19"/>
      <c r="I53" s="13" t="s">
        <v>38</v>
      </c>
      <c r="J53" s="13" t="s">
        <v>38</v>
      </c>
      <c r="W53" s="63"/>
      <c r="X53" s="63"/>
    </row>
    <row r="54" spans="1:24" ht="15.95" customHeight="1">
      <c r="A54" s="2" t="s">
        <v>38</v>
      </c>
      <c r="B54" s="48" t="s">
        <v>38</v>
      </c>
      <c r="C54" s="118"/>
      <c r="D54" s="62"/>
      <c r="E54" s="118" t="s">
        <v>38</v>
      </c>
      <c r="F54" s="19"/>
      <c r="I54" s="13" t="s">
        <v>38</v>
      </c>
      <c r="J54" s="13" t="s">
        <v>38</v>
      </c>
      <c r="W54" s="63"/>
      <c r="X54" s="63"/>
    </row>
    <row r="55" spans="1:24" ht="15.95" customHeight="1">
      <c r="A55" s="2" t="s">
        <v>38</v>
      </c>
      <c r="B55" s="48" t="s">
        <v>38</v>
      </c>
      <c r="C55" s="118"/>
      <c r="D55" s="62"/>
      <c r="E55" s="118" t="s">
        <v>38</v>
      </c>
      <c r="F55" s="19"/>
      <c r="I55" s="13" t="s">
        <v>38</v>
      </c>
      <c r="J55" s="13" t="s">
        <v>38</v>
      </c>
      <c r="W55" s="63"/>
      <c r="X55" s="63"/>
    </row>
    <row r="56" spans="1:24" ht="15.95" customHeight="1">
      <c r="A56" s="2" t="s">
        <v>38</v>
      </c>
      <c r="B56" s="48" t="s">
        <v>38</v>
      </c>
      <c r="C56" s="118"/>
      <c r="D56" s="62"/>
      <c r="E56" s="118" t="s">
        <v>38</v>
      </c>
      <c r="F56" s="19"/>
      <c r="I56" s="13" t="s">
        <v>38</v>
      </c>
      <c r="J56" s="13" t="s">
        <v>38</v>
      </c>
      <c r="W56" s="63"/>
      <c r="X56" s="63"/>
    </row>
    <row r="57" spans="1:24" ht="15.95" customHeight="1">
      <c r="A57" s="2" t="s">
        <v>38</v>
      </c>
      <c r="B57" s="48" t="s">
        <v>38</v>
      </c>
      <c r="C57" s="118"/>
      <c r="D57" s="62"/>
      <c r="E57" s="118" t="s">
        <v>38</v>
      </c>
      <c r="F57" s="19"/>
      <c r="I57" s="13" t="s">
        <v>38</v>
      </c>
      <c r="J57" s="13" t="s">
        <v>38</v>
      </c>
      <c r="K57" s="13" t="s">
        <v>38</v>
      </c>
      <c r="M57" s="13" t="s">
        <v>38</v>
      </c>
      <c r="N57" s="13" t="s">
        <v>38</v>
      </c>
      <c r="O57" s="13" t="s">
        <v>38</v>
      </c>
      <c r="P57" s="13" t="s">
        <v>38</v>
      </c>
      <c r="Q57" s="13" t="s">
        <v>38</v>
      </c>
      <c r="R57" s="13" t="s">
        <v>38</v>
      </c>
      <c r="S57" s="13" t="s">
        <v>38</v>
      </c>
      <c r="T57" s="13" t="s">
        <v>38</v>
      </c>
      <c r="U57" s="13" t="s">
        <v>38</v>
      </c>
      <c r="V57" s="13" t="s">
        <v>38</v>
      </c>
      <c r="W57" s="30" t="s">
        <v>38</v>
      </c>
      <c r="X57" s="30" t="s">
        <v>38</v>
      </c>
    </row>
    <row r="58" spans="1:24" ht="15.95" customHeight="1">
      <c r="A58" s="2" t="s">
        <v>38</v>
      </c>
      <c r="B58" s="48" t="s">
        <v>38</v>
      </c>
      <c r="C58" s="118"/>
      <c r="D58" s="62"/>
      <c r="E58" s="118" t="s">
        <v>38</v>
      </c>
      <c r="F58" s="19"/>
      <c r="I58" s="13" t="s">
        <v>38</v>
      </c>
      <c r="J58" s="13" t="s">
        <v>38</v>
      </c>
      <c r="K58" s="13" t="s">
        <v>38</v>
      </c>
      <c r="M58" s="13" t="s">
        <v>38</v>
      </c>
      <c r="N58" s="13" t="s">
        <v>38</v>
      </c>
      <c r="O58" s="13" t="s">
        <v>38</v>
      </c>
      <c r="P58" s="13" t="s">
        <v>38</v>
      </c>
      <c r="Q58" s="13" t="s">
        <v>38</v>
      </c>
      <c r="R58" s="13" t="s">
        <v>38</v>
      </c>
      <c r="S58" s="13" t="s">
        <v>38</v>
      </c>
      <c r="T58" s="13" t="s">
        <v>38</v>
      </c>
      <c r="U58" s="13" t="s">
        <v>38</v>
      </c>
      <c r="V58" s="13" t="s">
        <v>38</v>
      </c>
      <c r="W58" s="30" t="s">
        <v>38</v>
      </c>
      <c r="X58" s="30" t="s">
        <v>38</v>
      </c>
    </row>
    <row r="59" spans="1:24" ht="15.95" customHeight="1">
      <c r="A59" s="2" t="s">
        <v>38</v>
      </c>
      <c r="B59" s="48" t="s">
        <v>38</v>
      </c>
      <c r="C59" s="118"/>
      <c r="D59" s="62"/>
      <c r="E59" s="118" t="s">
        <v>38</v>
      </c>
      <c r="F59" s="19"/>
      <c r="I59" s="13" t="s">
        <v>38</v>
      </c>
      <c r="J59" s="13" t="s">
        <v>38</v>
      </c>
      <c r="K59" s="13" t="s">
        <v>38</v>
      </c>
      <c r="M59" s="13" t="s">
        <v>38</v>
      </c>
      <c r="N59" s="13" t="s">
        <v>38</v>
      </c>
      <c r="O59" s="13" t="s">
        <v>38</v>
      </c>
      <c r="P59" s="13" t="s">
        <v>38</v>
      </c>
      <c r="Q59" s="13" t="s">
        <v>38</v>
      </c>
      <c r="R59" s="13" t="s">
        <v>38</v>
      </c>
      <c r="S59" s="13" t="s">
        <v>38</v>
      </c>
      <c r="T59" s="13" t="s">
        <v>38</v>
      </c>
      <c r="U59" s="13" t="s">
        <v>38</v>
      </c>
      <c r="V59" s="13" t="s">
        <v>38</v>
      </c>
      <c r="W59" s="30" t="s">
        <v>38</v>
      </c>
      <c r="X59" s="30" t="s">
        <v>38</v>
      </c>
    </row>
    <row r="60" spans="1:24" ht="15.95" customHeight="1">
      <c r="A60" s="2" t="s">
        <v>38</v>
      </c>
      <c r="B60" s="48" t="s">
        <v>38</v>
      </c>
      <c r="C60" s="118"/>
      <c r="D60" s="62"/>
      <c r="E60" s="118" t="s">
        <v>38</v>
      </c>
      <c r="F60" s="19"/>
      <c r="I60" s="13" t="s">
        <v>38</v>
      </c>
      <c r="J60" s="13" t="s">
        <v>38</v>
      </c>
      <c r="K60" s="13" t="s">
        <v>38</v>
      </c>
      <c r="M60" s="13" t="s">
        <v>38</v>
      </c>
      <c r="N60" s="13" t="s">
        <v>38</v>
      </c>
      <c r="O60" s="13" t="s">
        <v>38</v>
      </c>
      <c r="P60" s="13" t="s">
        <v>38</v>
      </c>
      <c r="Q60" s="13" t="s">
        <v>38</v>
      </c>
      <c r="R60" s="13" t="s">
        <v>38</v>
      </c>
      <c r="S60" s="13" t="s">
        <v>38</v>
      </c>
      <c r="T60" s="13" t="s">
        <v>38</v>
      </c>
      <c r="U60" s="13" t="s">
        <v>38</v>
      </c>
      <c r="V60" s="13" t="s">
        <v>38</v>
      </c>
      <c r="W60" s="30" t="s">
        <v>38</v>
      </c>
      <c r="X60" s="30" t="s">
        <v>38</v>
      </c>
    </row>
    <row r="61" spans="1:24" ht="15.95" customHeight="1">
      <c r="A61" s="2" t="s">
        <v>38</v>
      </c>
      <c r="B61" s="48" t="s">
        <v>38</v>
      </c>
      <c r="C61" s="118"/>
      <c r="D61" s="62"/>
      <c r="E61" s="118" t="s">
        <v>38</v>
      </c>
      <c r="F61" s="19"/>
      <c r="I61" s="13" t="s">
        <v>38</v>
      </c>
      <c r="J61" s="13" t="s">
        <v>38</v>
      </c>
      <c r="K61" s="13" t="s">
        <v>38</v>
      </c>
      <c r="M61" s="13" t="s">
        <v>38</v>
      </c>
      <c r="N61" s="13" t="s">
        <v>38</v>
      </c>
      <c r="O61" s="13" t="s">
        <v>38</v>
      </c>
      <c r="P61" s="13" t="s">
        <v>38</v>
      </c>
      <c r="Q61" s="13" t="s">
        <v>38</v>
      </c>
      <c r="R61" s="13" t="s">
        <v>38</v>
      </c>
      <c r="S61" s="13" t="s">
        <v>38</v>
      </c>
      <c r="T61" s="13" t="s">
        <v>38</v>
      </c>
      <c r="U61" s="13" t="s">
        <v>38</v>
      </c>
      <c r="V61" s="13" t="s">
        <v>38</v>
      </c>
      <c r="W61" s="30" t="s">
        <v>38</v>
      </c>
      <c r="X61" s="30" t="s">
        <v>38</v>
      </c>
    </row>
    <row r="62" spans="1:24" ht="15.95" customHeight="1">
      <c r="A62" s="2" t="s">
        <v>38</v>
      </c>
      <c r="B62" s="48" t="s">
        <v>38</v>
      </c>
      <c r="C62" s="118"/>
      <c r="D62" s="62"/>
      <c r="E62" s="118" t="s">
        <v>38</v>
      </c>
      <c r="F62" s="19"/>
      <c r="I62" s="13" t="s">
        <v>38</v>
      </c>
      <c r="J62" s="13" t="s">
        <v>38</v>
      </c>
      <c r="K62" s="13" t="s">
        <v>38</v>
      </c>
      <c r="M62" s="13" t="s">
        <v>38</v>
      </c>
      <c r="N62" s="13" t="s">
        <v>38</v>
      </c>
      <c r="O62" s="13" t="s">
        <v>38</v>
      </c>
      <c r="P62" s="13" t="s">
        <v>38</v>
      </c>
      <c r="Q62" s="13" t="s">
        <v>38</v>
      </c>
      <c r="R62" s="13" t="s">
        <v>38</v>
      </c>
      <c r="S62" s="13" t="s">
        <v>38</v>
      </c>
      <c r="T62" s="13" t="s">
        <v>38</v>
      </c>
      <c r="U62" s="13" t="s">
        <v>38</v>
      </c>
      <c r="V62" s="13" t="s">
        <v>38</v>
      </c>
      <c r="W62" s="30" t="s">
        <v>38</v>
      </c>
      <c r="X62" s="30" t="s">
        <v>38</v>
      </c>
    </row>
    <row r="63" spans="1:24" ht="15.95" customHeight="1">
      <c r="A63" s="2" t="s">
        <v>38</v>
      </c>
      <c r="B63" s="48" t="s">
        <v>38</v>
      </c>
      <c r="C63" s="118"/>
      <c r="D63" s="62"/>
      <c r="E63" s="118" t="s">
        <v>38</v>
      </c>
      <c r="F63" s="19"/>
      <c r="I63" s="13" t="s">
        <v>38</v>
      </c>
      <c r="J63" s="13" t="s">
        <v>38</v>
      </c>
      <c r="K63" s="13" t="s">
        <v>38</v>
      </c>
      <c r="M63" s="13" t="s">
        <v>38</v>
      </c>
      <c r="N63" s="13" t="s">
        <v>38</v>
      </c>
      <c r="O63" s="13" t="s">
        <v>38</v>
      </c>
      <c r="P63" s="13" t="s">
        <v>38</v>
      </c>
      <c r="Q63" s="13" t="s">
        <v>38</v>
      </c>
      <c r="R63" s="13" t="s">
        <v>38</v>
      </c>
      <c r="S63" s="13" t="s">
        <v>38</v>
      </c>
      <c r="T63" s="13" t="s">
        <v>38</v>
      </c>
      <c r="U63" s="13" t="s">
        <v>38</v>
      </c>
      <c r="V63" s="13" t="s">
        <v>38</v>
      </c>
      <c r="W63" s="30" t="s">
        <v>38</v>
      </c>
      <c r="X63" s="30" t="s">
        <v>38</v>
      </c>
    </row>
    <row r="64" spans="1:24" ht="15.95" customHeight="1">
      <c r="A64" s="2" t="s">
        <v>38</v>
      </c>
      <c r="B64" s="48" t="s">
        <v>38</v>
      </c>
      <c r="C64" s="118"/>
      <c r="D64" s="62"/>
      <c r="E64" s="118" t="s">
        <v>38</v>
      </c>
      <c r="F64" s="19"/>
      <c r="I64" s="48" t="s">
        <v>38</v>
      </c>
      <c r="J64" s="48" t="s">
        <v>38</v>
      </c>
      <c r="K64" s="48" t="s">
        <v>38</v>
      </c>
      <c r="L64" s="19"/>
      <c r="M64" s="48" t="s">
        <v>38</v>
      </c>
      <c r="N64" s="48" t="s">
        <v>38</v>
      </c>
      <c r="O64" s="48" t="s">
        <v>38</v>
      </c>
      <c r="P64" s="30" t="s">
        <v>38</v>
      </c>
      <c r="Q64" s="30" t="s">
        <v>38</v>
      </c>
      <c r="R64" s="30" t="s">
        <v>38</v>
      </c>
      <c r="S64" s="30" t="s">
        <v>38</v>
      </c>
      <c r="T64" s="30" t="s">
        <v>38</v>
      </c>
      <c r="U64" s="30" t="s">
        <v>38</v>
      </c>
      <c r="V64" s="30" t="s">
        <v>38</v>
      </c>
      <c r="W64" s="30" t="s">
        <v>38</v>
      </c>
      <c r="X64" s="30" t="s">
        <v>38</v>
      </c>
    </row>
    <row r="65" spans="1:24" ht="15.95" customHeight="1">
      <c r="A65" s="2" t="s">
        <v>38</v>
      </c>
      <c r="B65" s="48" t="s">
        <v>38</v>
      </c>
      <c r="C65" s="118"/>
      <c r="D65" s="62"/>
      <c r="E65" s="118" t="s">
        <v>38</v>
      </c>
      <c r="F65" s="19"/>
      <c r="I65" s="48" t="s">
        <v>38</v>
      </c>
      <c r="J65" s="48" t="s">
        <v>38</v>
      </c>
      <c r="K65" s="48" t="s">
        <v>38</v>
      </c>
      <c r="L65" s="19"/>
      <c r="M65" s="48" t="s">
        <v>38</v>
      </c>
      <c r="N65" s="48" t="s">
        <v>38</v>
      </c>
      <c r="O65" s="48" t="s">
        <v>38</v>
      </c>
      <c r="P65" s="30" t="s">
        <v>38</v>
      </c>
      <c r="Q65" s="30" t="s">
        <v>38</v>
      </c>
      <c r="R65" s="30" t="s">
        <v>38</v>
      </c>
      <c r="S65" s="30" t="s">
        <v>38</v>
      </c>
      <c r="T65" s="30" t="s">
        <v>38</v>
      </c>
      <c r="U65" s="30" t="s">
        <v>38</v>
      </c>
      <c r="V65" s="30" t="s">
        <v>38</v>
      </c>
      <c r="W65" s="30" t="s">
        <v>38</v>
      </c>
      <c r="X65" s="30" t="s">
        <v>38</v>
      </c>
    </row>
    <row r="66" spans="1:24" ht="15.95" customHeight="1">
      <c r="A66" s="2" t="s">
        <v>38</v>
      </c>
      <c r="B66" s="48" t="s">
        <v>38</v>
      </c>
      <c r="C66" s="118"/>
      <c r="D66" s="62"/>
      <c r="E66" s="118" t="s">
        <v>38</v>
      </c>
      <c r="F66" s="19"/>
      <c r="I66" s="48" t="s">
        <v>38</v>
      </c>
      <c r="J66" s="48" t="s">
        <v>38</v>
      </c>
      <c r="K66" s="48" t="s">
        <v>38</v>
      </c>
      <c r="L66" s="19"/>
      <c r="M66" s="48" t="s">
        <v>38</v>
      </c>
      <c r="N66" s="48" t="s">
        <v>38</v>
      </c>
      <c r="O66" s="48" t="s">
        <v>38</v>
      </c>
      <c r="P66" s="30" t="s">
        <v>38</v>
      </c>
      <c r="Q66" s="30" t="s">
        <v>38</v>
      </c>
      <c r="R66" s="30" t="s">
        <v>38</v>
      </c>
      <c r="S66" s="30" t="s">
        <v>38</v>
      </c>
      <c r="T66" s="30" t="s">
        <v>38</v>
      </c>
      <c r="U66" s="30" t="s">
        <v>38</v>
      </c>
      <c r="V66" s="30" t="s">
        <v>38</v>
      </c>
      <c r="W66" s="30" t="s">
        <v>38</v>
      </c>
      <c r="X66" s="30" t="s">
        <v>38</v>
      </c>
    </row>
    <row r="67" spans="1:24" ht="15.95" customHeight="1">
      <c r="A67" s="2" t="s">
        <v>38</v>
      </c>
      <c r="B67" s="48" t="s">
        <v>38</v>
      </c>
      <c r="C67" s="118"/>
      <c r="D67" s="62"/>
      <c r="E67" s="118" t="s">
        <v>38</v>
      </c>
      <c r="F67" s="19"/>
      <c r="I67" s="48" t="s">
        <v>38</v>
      </c>
      <c r="J67" s="48" t="s">
        <v>38</v>
      </c>
      <c r="K67" s="48" t="s">
        <v>38</v>
      </c>
      <c r="L67" s="19"/>
      <c r="M67" s="48" t="s">
        <v>38</v>
      </c>
      <c r="N67" s="48" t="s">
        <v>38</v>
      </c>
      <c r="O67" s="48" t="s">
        <v>38</v>
      </c>
      <c r="P67" s="30" t="s">
        <v>38</v>
      </c>
      <c r="Q67" s="30" t="s">
        <v>38</v>
      </c>
      <c r="R67" s="30" t="s">
        <v>38</v>
      </c>
      <c r="S67" s="30" t="s">
        <v>38</v>
      </c>
      <c r="T67" s="30" t="s">
        <v>38</v>
      </c>
      <c r="U67" s="30" t="s">
        <v>38</v>
      </c>
      <c r="V67" s="30" t="s">
        <v>38</v>
      </c>
      <c r="W67" s="30" t="s">
        <v>38</v>
      </c>
      <c r="X67" s="30" t="s">
        <v>38</v>
      </c>
    </row>
    <row r="68" spans="1:24" ht="15.95" customHeight="1">
      <c r="A68" s="2" t="s">
        <v>38</v>
      </c>
      <c r="B68" s="48" t="s">
        <v>38</v>
      </c>
      <c r="C68" s="118"/>
      <c r="D68" s="62"/>
      <c r="E68" s="118" t="s">
        <v>38</v>
      </c>
      <c r="F68" s="19"/>
      <c r="I68" s="48" t="s">
        <v>38</v>
      </c>
      <c r="J68" s="48" t="s">
        <v>38</v>
      </c>
      <c r="K68" s="48" t="s">
        <v>38</v>
      </c>
      <c r="L68" s="19"/>
      <c r="M68" s="48" t="s">
        <v>38</v>
      </c>
      <c r="N68" s="48" t="s">
        <v>38</v>
      </c>
      <c r="O68" s="48" t="s">
        <v>38</v>
      </c>
      <c r="P68" s="30" t="s">
        <v>38</v>
      </c>
      <c r="Q68" s="30" t="s">
        <v>38</v>
      </c>
      <c r="R68" s="30" t="s">
        <v>38</v>
      </c>
      <c r="S68" s="30" t="s">
        <v>38</v>
      </c>
      <c r="T68" s="30" t="s">
        <v>38</v>
      </c>
      <c r="U68" s="30" t="s">
        <v>38</v>
      </c>
      <c r="V68" s="30" t="s">
        <v>38</v>
      </c>
      <c r="W68" s="30" t="s">
        <v>38</v>
      </c>
      <c r="X68" s="30" t="s">
        <v>38</v>
      </c>
    </row>
    <row r="69" spans="1:24" ht="15.95" customHeight="1">
      <c r="A69" s="2" t="s">
        <v>38</v>
      </c>
      <c r="B69" s="48" t="s">
        <v>38</v>
      </c>
      <c r="C69" s="118"/>
      <c r="D69" s="62"/>
      <c r="E69" s="118" t="s">
        <v>38</v>
      </c>
      <c r="F69" s="19"/>
      <c r="I69" s="48" t="s">
        <v>38</v>
      </c>
      <c r="J69" s="48" t="s">
        <v>38</v>
      </c>
      <c r="K69" s="48" t="s">
        <v>38</v>
      </c>
      <c r="L69" s="19"/>
      <c r="M69" s="48" t="s">
        <v>38</v>
      </c>
      <c r="N69" s="48" t="s">
        <v>38</v>
      </c>
      <c r="O69" s="48" t="s">
        <v>38</v>
      </c>
      <c r="P69" s="30" t="s">
        <v>38</v>
      </c>
      <c r="Q69" s="30" t="s">
        <v>38</v>
      </c>
      <c r="R69" s="30" t="s">
        <v>38</v>
      </c>
      <c r="S69" s="30" t="s">
        <v>38</v>
      </c>
      <c r="T69" s="30" t="s">
        <v>38</v>
      </c>
      <c r="U69" s="30" t="s">
        <v>38</v>
      </c>
      <c r="V69" s="30" t="s">
        <v>38</v>
      </c>
      <c r="W69" s="30" t="s">
        <v>38</v>
      </c>
      <c r="X69" s="30" t="s">
        <v>38</v>
      </c>
    </row>
    <row r="70" spans="1:24" ht="15.95" customHeight="1">
      <c r="A70" s="2" t="s">
        <v>38</v>
      </c>
      <c r="B70" s="48" t="s">
        <v>38</v>
      </c>
      <c r="C70" s="118"/>
      <c r="D70" s="62"/>
      <c r="E70" s="118" t="s">
        <v>38</v>
      </c>
      <c r="F70" s="19"/>
      <c r="I70" s="48" t="s">
        <v>38</v>
      </c>
      <c r="J70" s="48" t="s">
        <v>38</v>
      </c>
      <c r="K70" s="48" t="s">
        <v>38</v>
      </c>
      <c r="L70" s="19"/>
      <c r="M70" s="48" t="s">
        <v>38</v>
      </c>
      <c r="N70" s="48" t="s">
        <v>38</v>
      </c>
      <c r="O70" s="48" t="s">
        <v>38</v>
      </c>
      <c r="P70" s="30" t="s">
        <v>38</v>
      </c>
      <c r="Q70" s="30" t="s">
        <v>38</v>
      </c>
      <c r="R70" s="30" t="s">
        <v>38</v>
      </c>
      <c r="S70" s="30" t="s">
        <v>38</v>
      </c>
      <c r="T70" s="30" t="s">
        <v>38</v>
      </c>
      <c r="U70" s="30" t="s">
        <v>38</v>
      </c>
      <c r="V70" s="30" t="s">
        <v>38</v>
      </c>
      <c r="W70" s="30" t="s">
        <v>38</v>
      </c>
      <c r="X70" s="30" t="s">
        <v>38</v>
      </c>
    </row>
    <row r="71" spans="1:24" ht="15.95" customHeight="1">
      <c r="A71" s="2" t="s">
        <v>38</v>
      </c>
      <c r="B71" s="48" t="s">
        <v>38</v>
      </c>
      <c r="C71" s="118"/>
      <c r="D71" s="62"/>
      <c r="E71" s="118"/>
      <c r="F71" s="19"/>
      <c r="I71" s="48"/>
      <c r="J71" s="48"/>
      <c r="K71" s="48"/>
      <c r="L71" s="19"/>
      <c r="M71" s="48"/>
      <c r="N71" s="48"/>
      <c r="O71" s="48"/>
      <c r="P71" s="30"/>
      <c r="Q71" s="30"/>
      <c r="R71" s="30"/>
      <c r="S71" s="30"/>
      <c r="T71" s="30"/>
      <c r="U71" s="30"/>
      <c r="V71" s="30"/>
      <c r="W71" s="30"/>
      <c r="X71" s="30"/>
    </row>
    <row r="72" spans="1:24" ht="15.95" customHeight="1">
      <c r="A72" s="2" t="s">
        <v>38</v>
      </c>
      <c r="B72" s="48" t="s">
        <v>38</v>
      </c>
      <c r="C72" s="118"/>
      <c r="D72" s="62"/>
      <c r="E72" s="118"/>
      <c r="F72" s="19"/>
      <c r="I72" s="48"/>
      <c r="J72" s="48"/>
      <c r="K72" s="48"/>
      <c r="L72" s="19"/>
      <c r="M72" s="48"/>
      <c r="N72" s="48"/>
      <c r="O72" s="48"/>
      <c r="P72" s="30"/>
      <c r="Q72" s="30"/>
      <c r="R72" s="30"/>
      <c r="S72" s="30"/>
      <c r="T72" s="30"/>
      <c r="U72" s="30"/>
      <c r="V72" s="30"/>
      <c r="W72" s="30"/>
      <c r="X72" s="30"/>
    </row>
    <row r="73" spans="1:24" ht="15.95" customHeight="1">
      <c r="A73" s="2" t="s">
        <v>38</v>
      </c>
      <c r="B73" s="48" t="s">
        <v>38</v>
      </c>
      <c r="C73" s="118"/>
      <c r="D73" s="62"/>
      <c r="E73" s="118"/>
      <c r="F73" s="19"/>
      <c r="I73" s="48"/>
      <c r="J73" s="48"/>
      <c r="K73" s="48"/>
      <c r="L73" s="19"/>
      <c r="M73" s="48"/>
      <c r="N73" s="48"/>
      <c r="O73" s="48"/>
      <c r="P73" s="30"/>
      <c r="Q73" s="30"/>
      <c r="R73" s="30"/>
      <c r="S73" s="30"/>
      <c r="T73" s="30"/>
      <c r="U73" s="30"/>
      <c r="V73" s="30"/>
      <c r="W73" s="30"/>
      <c r="X73" s="30"/>
    </row>
    <row r="74" spans="1:24" ht="15.95" customHeight="1">
      <c r="A74" s="2" t="s">
        <v>38</v>
      </c>
      <c r="B74" s="48" t="s">
        <v>38</v>
      </c>
      <c r="C74" s="118"/>
      <c r="D74" s="62"/>
      <c r="E74" s="118"/>
      <c r="F74" s="19"/>
      <c r="I74" s="48"/>
      <c r="J74" s="48"/>
      <c r="K74" s="48"/>
      <c r="L74" s="19"/>
      <c r="M74" s="48"/>
      <c r="N74" s="48"/>
      <c r="O74" s="48"/>
      <c r="P74" s="30"/>
      <c r="Q74" s="30"/>
      <c r="R74" s="30"/>
      <c r="S74" s="30"/>
      <c r="T74" s="30"/>
      <c r="U74" s="30"/>
      <c r="V74" s="30"/>
      <c r="W74" s="30"/>
      <c r="X74" s="30"/>
    </row>
    <row r="75" spans="1:24" ht="15.95" customHeight="1">
      <c r="A75" s="2" t="s">
        <v>38</v>
      </c>
      <c r="B75" s="48" t="s">
        <v>38</v>
      </c>
      <c r="C75" s="118"/>
      <c r="D75" s="62"/>
      <c r="E75" s="118"/>
      <c r="F75" s="19"/>
      <c r="I75" s="48"/>
      <c r="J75" s="48"/>
      <c r="K75" s="48"/>
      <c r="L75" s="19"/>
      <c r="M75" s="48"/>
      <c r="N75" s="48"/>
      <c r="O75" s="48"/>
      <c r="P75" s="30"/>
      <c r="Q75" s="30"/>
      <c r="R75" s="30"/>
      <c r="S75" s="30"/>
      <c r="T75" s="30"/>
      <c r="U75" s="30"/>
      <c r="V75" s="30"/>
      <c r="W75" s="30"/>
      <c r="X75" s="30"/>
    </row>
    <row r="76" spans="1:24" ht="15.95" customHeight="1">
      <c r="A76" s="2" t="s">
        <v>38</v>
      </c>
      <c r="B76" s="48" t="s">
        <v>38</v>
      </c>
      <c r="C76" s="118"/>
      <c r="D76" s="62"/>
      <c r="E76" s="118"/>
      <c r="F76" s="19"/>
      <c r="I76" s="48"/>
      <c r="J76" s="48"/>
      <c r="K76" s="48"/>
      <c r="L76" s="19"/>
      <c r="M76" s="48"/>
      <c r="N76" s="48"/>
      <c r="O76" s="48"/>
      <c r="P76" s="30"/>
      <c r="Q76" s="30"/>
      <c r="R76" s="30"/>
      <c r="S76" s="30"/>
      <c r="T76" s="30"/>
      <c r="U76" s="30"/>
      <c r="V76" s="30"/>
      <c r="W76" s="30"/>
      <c r="X76" s="30"/>
    </row>
    <row r="77" spans="1:24" ht="15.95" customHeight="1">
      <c r="A77" s="2" t="s">
        <v>38</v>
      </c>
      <c r="B77" s="48" t="s">
        <v>38</v>
      </c>
      <c r="C77" s="118"/>
      <c r="D77" s="62"/>
      <c r="E77" s="118"/>
      <c r="F77" s="19"/>
      <c r="I77" s="48"/>
      <c r="J77" s="48"/>
      <c r="K77" s="48"/>
      <c r="L77" s="19"/>
      <c r="M77" s="48"/>
      <c r="N77" s="48"/>
      <c r="O77" s="48"/>
      <c r="P77" s="30"/>
      <c r="Q77" s="30"/>
      <c r="R77" s="30"/>
      <c r="S77" s="30"/>
      <c r="T77" s="30"/>
      <c r="U77" s="30"/>
      <c r="V77" s="30"/>
      <c r="W77" s="30"/>
      <c r="X77" s="30"/>
    </row>
    <row r="78" spans="1:24" ht="15.95" customHeight="1">
      <c r="A78" s="2" t="s">
        <v>38</v>
      </c>
      <c r="B78" s="48" t="s">
        <v>38</v>
      </c>
      <c r="C78" s="118"/>
      <c r="D78" s="62"/>
      <c r="E78" s="118"/>
      <c r="F78" s="19"/>
      <c r="I78" s="48"/>
      <c r="J78" s="48"/>
      <c r="K78" s="48"/>
      <c r="L78" s="19"/>
      <c r="M78" s="48"/>
      <c r="N78" s="48"/>
      <c r="O78" s="48"/>
      <c r="P78" s="30"/>
      <c r="Q78" s="30"/>
      <c r="R78" s="30"/>
      <c r="S78" s="30"/>
      <c r="T78" s="30"/>
      <c r="U78" s="30"/>
      <c r="V78" s="30"/>
      <c r="W78" s="30"/>
      <c r="X78" s="30"/>
    </row>
    <row r="79" spans="1:24" ht="15.95" customHeight="1">
      <c r="A79" s="2" t="s">
        <v>38</v>
      </c>
      <c r="B79" s="48" t="s">
        <v>38</v>
      </c>
      <c r="C79" s="118"/>
      <c r="D79" s="62"/>
      <c r="E79" s="118"/>
      <c r="F79" s="19"/>
      <c r="I79" s="48"/>
      <c r="J79" s="48"/>
      <c r="K79" s="48"/>
      <c r="L79" s="19"/>
      <c r="M79" s="48"/>
      <c r="N79" s="48"/>
      <c r="O79" s="48"/>
      <c r="P79" s="30"/>
      <c r="Q79" s="30"/>
      <c r="R79" s="30"/>
      <c r="S79" s="30"/>
      <c r="T79" s="30"/>
      <c r="U79" s="30"/>
      <c r="V79" s="30"/>
      <c r="W79" s="30"/>
      <c r="X79" s="30"/>
    </row>
    <row r="80" spans="1:24" ht="15.95" customHeight="1">
      <c r="A80" s="2" t="s">
        <v>38</v>
      </c>
      <c r="B80" s="48" t="s">
        <v>38</v>
      </c>
      <c r="C80" s="118"/>
      <c r="D80" s="62"/>
      <c r="E80" s="118"/>
      <c r="F80" s="19"/>
      <c r="I80" s="48"/>
      <c r="J80" s="48"/>
      <c r="K80" s="48"/>
      <c r="L80" s="19"/>
      <c r="M80" s="48"/>
      <c r="N80" s="48"/>
      <c r="O80" s="48"/>
      <c r="P80" s="30"/>
      <c r="Q80" s="30"/>
      <c r="R80" s="30"/>
      <c r="S80" s="30"/>
      <c r="T80" s="30"/>
      <c r="U80" s="30"/>
      <c r="V80" s="30"/>
      <c r="W80" s="30"/>
      <c r="X80" s="30"/>
    </row>
    <row r="81" spans="1:24" ht="15.95" customHeight="1">
      <c r="A81" s="2" t="s">
        <v>38</v>
      </c>
      <c r="B81" s="48" t="s">
        <v>38</v>
      </c>
      <c r="C81" s="118"/>
      <c r="D81" s="62"/>
      <c r="E81" s="118"/>
      <c r="F81" s="19"/>
      <c r="I81" s="48"/>
      <c r="J81" s="48"/>
      <c r="K81" s="48"/>
      <c r="L81" s="19"/>
      <c r="M81" s="48"/>
      <c r="N81" s="48"/>
      <c r="O81" s="48"/>
      <c r="P81" s="30"/>
      <c r="Q81" s="30"/>
      <c r="R81" s="30"/>
      <c r="S81" s="30"/>
      <c r="T81" s="30"/>
      <c r="U81" s="30"/>
      <c r="V81" s="30"/>
      <c r="W81" s="30"/>
      <c r="X81" s="30"/>
    </row>
    <row r="82" spans="1:24" ht="15.95" customHeight="1">
      <c r="A82" s="2" t="s">
        <v>38</v>
      </c>
      <c r="B82" s="48" t="s">
        <v>38</v>
      </c>
      <c r="C82" s="118"/>
      <c r="D82" s="62"/>
      <c r="E82" s="118"/>
      <c r="F82" s="19"/>
      <c r="I82" s="48"/>
      <c r="J82" s="48"/>
      <c r="K82" s="48"/>
      <c r="L82" s="19"/>
      <c r="M82" s="48"/>
      <c r="N82" s="48"/>
      <c r="O82" s="48"/>
      <c r="P82" s="30"/>
      <c r="Q82" s="30"/>
      <c r="R82" s="30"/>
      <c r="S82" s="30"/>
      <c r="T82" s="30"/>
      <c r="U82" s="30"/>
      <c r="V82" s="30"/>
      <c r="W82" s="30"/>
      <c r="X82" s="30"/>
    </row>
    <row r="83" spans="1:24" ht="15.95" customHeight="1">
      <c r="A83" s="2" t="s">
        <v>38</v>
      </c>
      <c r="B83" s="48" t="s">
        <v>38</v>
      </c>
      <c r="C83" s="118"/>
      <c r="D83" s="62"/>
      <c r="E83" s="118"/>
      <c r="F83" s="19"/>
      <c r="I83" s="48"/>
      <c r="J83" s="48"/>
      <c r="K83" s="48"/>
      <c r="L83" s="19"/>
      <c r="M83" s="48"/>
      <c r="N83" s="48"/>
      <c r="O83" s="48"/>
      <c r="P83" s="30"/>
      <c r="Q83" s="30"/>
      <c r="R83" s="30"/>
      <c r="S83" s="30"/>
      <c r="T83" s="30"/>
      <c r="U83" s="30"/>
      <c r="V83" s="30"/>
      <c r="W83" s="30"/>
      <c r="X83" s="30"/>
    </row>
    <row r="84" spans="1:24" ht="15.95" customHeight="1">
      <c r="A84" s="2" t="s">
        <v>38</v>
      </c>
      <c r="B84" s="48" t="s">
        <v>38</v>
      </c>
      <c r="C84" s="118"/>
      <c r="D84" s="62"/>
      <c r="E84" s="118"/>
      <c r="F84" s="19"/>
      <c r="I84" s="48"/>
      <c r="J84" s="48"/>
      <c r="K84" s="48"/>
      <c r="L84" s="19"/>
      <c r="M84" s="48"/>
      <c r="N84" s="48"/>
      <c r="O84" s="48"/>
      <c r="P84" s="30"/>
      <c r="Q84" s="30"/>
      <c r="R84" s="30"/>
      <c r="S84" s="30"/>
      <c r="T84" s="30"/>
      <c r="U84" s="30"/>
      <c r="V84" s="30"/>
      <c r="W84" s="30"/>
      <c r="X84" s="30"/>
    </row>
    <row r="85" spans="1:24" ht="15.95" customHeight="1">
      <c r="A85" s="2" t="s">
        <v>38</v>
      </c>
      <c r="B85" s="48" t="s">
        <v>38</v>
      </c>
      <c r="C85" s="118"/>
      <c r="D85" s="62"/>
      <c r="E85" s="118"/>
      <c r="F85" s="19"/>
      <c r="I85" s="48"/>
      <c r="J85" s="48"/>
      <c r="K85" s="48"/>
      <c r="L85" s="19"/>
      <c r="M85" s="48"/>
      <c r="N85" s="48"/>
      <c r="O85" s="48"/>
      <c r="P85" s="30"/>
      <c r="Q85" s="30"/>
      <c r="R85" s="30"/>
      <c r="S85" s="30"/>
      <c r="T85" s="30"/>
      <c r="U85" s="30"/>
      <c r="V85" s="30"/>
      <c r="W85" s="30"/>
      <c r="X85" s="30"/>
    </row>
    <row r="86" spans="1:24" ht="15.95" customHeight="1">
      <c r="A86" s="2" t="s">
        <v>38</v>
      </c>
      <c r="B86" s="48" t="s">
        <v>38</v>
      </c>
      <c r="C86" s="118"/>
      <c r="D86" s="62"/>
      <c r="E86" s="118"/>
      <c r="F86" s="19"/>
      <c r="I86" s="48"/>
      <c r="J86" s="48"/>
      <c r="K86" s="48"/>
      <c r="L86" s="19"/>
      <c r="M86" s="48"/>
      <c r="N86" s="48"/>
      <c r="O86" s="48"/>
      <c r="P86" s="30"/>
      <c r="Q86" s="30"/>
      <c r="R86" s="30"/>
      <c r="S86" s="30"/>
      <c r="T86" s="30"/>
      <c r="U86" s="30"/>
      <c r="V86" s="30"/>
      <c r="W86" s="30"/>
      <c r="X86" s="30"/>
    </row>
    <row r="87" spans="1:24" ht="15.95" customHeight="1">
      <c r="A87" s="2" t="s">
        <v>38</v>
      </c>
      <c r="B87" s="48" t="s">
        <v>38</v>
      </c>
      <c r="C87" s="118"/>
      <c r="D87" s="62"/>
      <c r="E87" s="118"/>
      <c r="F87" s="19"/>
      <c r="I87" s="48"/>
      <c r="J87" s="48"/>
      <c r="K87" s="48"/>
      <c r="L87" s="19"/>
      <c r="M87" s="48"/>
      <c r="N87" s="48"/>
      <c r="O87" s="48"/>
      <c r="P87" s="30"/>
      <c r="Q87" s="30"/>
      <c r="R87" s="30"/>
      <c r="S87" s="30"/>
      <c r="T87" s="30"/>
      <c r="U87" s="30"/>
      <c r="V87" s="30"/>
      <c r="W87" s="30"/>
      <c r="X87" s="30"/>
    </row>
    <row r="88" spans="1:24" ht="15.95" customHeight="1">
      <c r="A88" s="2" t="s">
        <v>38</v>
      </c>
      <c r="B88" s="48" t="s">
        <v>38</v>
      </c>
      <c r="C88" s="118"/>
      <c r="D88" s="62"/>
      <c r="E88" s="118"/>
      <c r="F88" s="19"/>
      <c r="I88" s="48"/>
      <c r="J88" s="48"/>
      <c r="K88" s="48"/>
      <c r="L88" s="19"/>
      <c r="M88" s="48"/>
      <c r="N88" s="48"/>
      <c r="O88" s="48"/>
      <c r="P88" s="30"/>
      <c r="Q88" s="30"/>
      <c r="R88" s="30"/>
      <c r="S88" s="30"/>
      <c r="T88" s="30"/>
      <c r="U88" s="30"/>
      <c r="V88" s="30"/>
      <c r="W88" s="30"/>
      <c r="X88" s="30"/>
    </row>
    <row r="89" spans="1:24" ht="15.95" customHeight="1">
      <c r="A89" s="2" t="s">
        <v>38</v>
      </c>
      <c r="B89" s="48" t="s">
        <v>38</v>
      </c>
      <c r="C89" s="118"/>
      <c r="D89" s="62"/>
      <c r="E89" s="118"/>
      <c r="F89" s="19"/>
      <c r="I89" s="48"/>
      <c r="J89" s="48"/>
      <c r="K89" s="48"/>
      <c r="L89" s="19"/>
      <c r="M89" s="48"/>
      <c r="N89" s="48"/>
      <c r="O89" s="48"/>
      <c r="P89" s="30"/>
      <c r="Q89" s="30"/>
      <c r="R89" s="30"/>
      <c r="S89" s="30"/>
      <c r="T89" s="30"/>
      <c r="U89" s="30"/>
      <c r="V89" s="30"/>
      <c r="W89" s="30"/>
      <c r="X89" s="30"/>
    </row>
    <row r="90" spans="1:24" ht="15.95" customHeight="1">
      <c r="A90" s="2" t="s">
        <v>38</v>
      </c>
      <c r="B90" s="48" t="s">
        <v>38</v>
      </c>
      <c r="C90" s="118"/>
      <c r="D90" s="62"/>
      <c r="E90" s="118"/>
      <c r="F90" s="19"/>
      <c r="I90" s="48"/>
      <c r="J90" s="48"/>
      <c r="K90" s="48"/>
      <c r="L90" s="19"/>
      <c r="M90" s="48"/>
      <c r="N90" s="48"/>
      <c r="O90" s="48"/>
      <c r="P90" s="30"/>
      <c r="Q90" s="30"/>
      <c r="R90" s="30"/>
      <c r="S90" s="30"/>
      <c r="T90" s="30"/>
      <c r="U90" s="30"/>
      <c r="V90" s="30"/>
      <c r="W90" s="30"/>
      <c r="X90" s="30"/>
    </row>
    <row r="91" spans="1:24" ht="15.95" customHeight="1">
      <c r="A91" s="2" t="s">
        <v>38</v>
      </c>
      <c r="B91" s="48" t="s">
        <v>38</v>
      </c>
      <c r="C91" s="118"/>
      <c r="D91" s="62"/>
      <c r="E91" s="118"/>
      <c r="F91" s="19"/>
      <c r="I91" s="48"/>
      <c r="J91" s="48"/>
      <c r="K91" s="48"/>
      <c r="L91" s="19"/>
      <c r="M91" s="48"/>
      <c r="N91" s="48"/>
      <c r="O91" s="48"/>
      <c r="P91" s="30"/>
      <c r="Q91" s="30"/>
      <c r="R91" s="30"/>
      <c r="S91" s="30"/>
      <c r="T91" s="30"/>
      <c r="U91" s="30"/>
      <c r="V91" s="30"/>
      <c r="W91" s="30"/>
      <c r="X91" s="30"/>
    </row>
    <row r="92" spans="1:24" ht="15.95" customHeight="1">
      <c r="A92" s="2" t="s">
        <v>38</v>
      </c>
      <c r="B92" s="48" t="s">
        <v>38</v>
      </c>
      <c r="C92" s="118"/>
      <c r="D92" s="62"/>
      <c r="E92" s="118"/>
      <c r="F92" s="19"/>
      <c r="I92" s="48"/>
      <c r="J92" s="48"/>
      <c r="K92" s="48"/>
      <c r="L92" s="19"/>
      <c r="M92" s="48"/>
      <c r="N92" s="48"/>
      <c r="O92" s="48"/>
      <c r="P92" s="30"/>
      <c r="Q92" s="30"/>
      <c r="R92" s="30"/>
      <c r="S92" s="30"/>
      <c r="T92" s="30"/>
      <c r="U92" s="30"/>
      <c r="V92" s="30"/>
      <c r="W92" s="30"/>
      <c r="X92" s="30"/>
    </row>
    <row r="93" spans="1:24" ht="15.95" customHeight="1">
      <c r="A93" s="2" t="s">
        <v>38</v>
      </c>
      <c r="B93" s="48" t="s">
        <v>38</v>
      </c>
      <c r="C93" s="118"/>
      <c r="D93" s="62"/>
      <c r="E93" s="118"/>
      <c r="F93" s="19"/>
      <c r="I93" s="48"/>
      <c r="J93" s="48"/>
      <c r="K93" s="48"/>
      <c r="L93" s="19"/>
      <c r="M93" s="48"/>
      <c r="N93" s="48"/>
      <c r="O93" s="48"/>
      <c r="P93" s="30"/>
      <c r="Q93" s="30"/>
      <c r="R93" s="30"/>
      <c r="S93" s="30"/>
      <c r="T93" s="30"/>
      <c r="U93" s="30"/>
      <c r="V93" s="30"/>
      <c r="W93" s="30"/>
      <c r="X93" s="30"/>
    </row>
    <row r="94" spans="1:24" ht="15.95" customHeight="1">
      <c r="A94" s="2" t="s">
        <v>38</v>
      </c>
      <c r="B94" s="48" t="s">
        <v>38</v>
      </c>
      <c r="C94" s="118"/>
      <c r="D94" s="62"/>
      <c r="E94" s="118"/>
      <c r="F94" s="19"/>
      <c r="I94" s="48"/>
      <c r="J94" s="48"/>
      <c r="K94" s="48"/>
      <c r="L94" s="19"/>
      <c r="M94" s="48"/>
      <c r="N94" s="48"/>
      <c r="O94" s="48"/>
      <c r="P94" s="30"/>
      <c r="Q94" s="30"/>
      <c r="R94" s="30"/>
      <c r="S94" s="30"/>
      <c r="T94" s="30"/>
      <c r="U94" s="30"/>
      <c r="V94" s="30"/>
      <c r="W94" s="30"/>
      <c r="X94" s="30"/>
    </row>
    <row r="95" spans="1:24" ht="15.95" customHeight="1">
      <c r="A95" s="2" t="s">
        <v>38</v>
      </c>
      <c r="B95" s="48" t="s">
        <v>38</v>
      </c>
      <c r="C95" s="118"/>
      <c r="D95" s="62"/>
      <c r="E95" s="118"/>
      <c r="F95" s="19"/>
      <c r="I95" s="48"/>
      <c r="J95" s="48"/>
      <c r="K95" s="48"/>
      <c r="L95" s="19"/>
      <c r="M95" s="48"/>
      <c r="N95" s="48"/>
      <c r="O95" s="48"/>
      <c r="P95" s="30"/>
      <c r="Q95" s="30"/>
      <c r="R95" s="30"/>
      <c r="S95" s="30"/>
      <c r="T95" s="30"/>
      <c r="U95" s="30"/>
      <c r="V95" s="30"/>
      <c r="W95" s="30"/>
      <c r="X95" s="30"/>
    </row>
    <row r="96" spans="1:24" ht="15.95" customHeight="1">
      <c r="A96" s="2" t="s">
        <v>38</v>
      </c>
      <c r="B96" s="48" t="s">
        <v>38</v>
      </c>
      <c r="C96" s="118"/>
      <c r="D96" s="62"/>
      <c r="E96" s="118"/>
      <c r="F96" s="19"/>
      <c r="I96" s="48"/>
      <c r="J96" s="48"/>
      <c r="K96" s="48"/>
      <c r="L96" s="19"/>
      <c r="M96" s="48"/>
      <c r="N96" s="48"/>
      <c r="O96" s="48"/>
      <c r="P96" s="30"/>
      <c r="Q96" s="30"/>
      <c r="R96" s="30"/>
      <c r="S96" s="30"/>
      <c r="T96" s="30"/>
      <c r="U96" s="30"/>
      <c r="V96" s="30"/>
      <c r="W96" s="30"/>
      <c r="X96" s="30"/>
    </row>
    <row r="97" spans="1:24" ht="15.95" customHeight="1">
      <c r="A97" s="2" t="s">
        <v>38</v>
      </c>
      <c r="B97" s="48" t="s">
        <v>38</v>
      </c>
      <c r="C97" s="118"/>
      <c r="D97" s="62"/>
      <c r="E97" s="118"/>
      <c r="F97" s="19"/>
      <c r="I97" s="48"/>
      <c r="J97" s="48"/>
      <c r="K97" s="48"/>
      <c r="L97" s="19"/>
      <c r="M97" s="48"/>
      <c r="N97" s="48"/>
      <c r="O97" s="48"/>
      <c r="P97" s="30"/>
      <c r="Q97" s="30"/>
      <c r="R97" s="30"/>
      <c r="S97" s="30"/>
      <c r="T97" s="30"/>
      <c r="U97" s="30"/>
      <c r="V97" s="30"/>
      <c r="W97" s="30"/>
      <c r="X97" s="30"/>
    </row>
    <row r="98" spans="1:24" ht="15.95" customHeight="1">
      <c r="A98" s="2" t="s">
        <v>38</v>
      </c>
      <c r="B98" s="48" t="s">
        <v>38</v>
      </c>
      <c r="C98" s="118"/>
      <c r="D98" s="62"/>
      <c r="E98" s="118"/>
      <c r="F98" s="19"/>
      <c r="I98" s="48"/>
      <c r="J98" s="48"/>
      <c r="K98" s="48"/>
      <c r="L98" s="19"/>
      <c r="M98" s="48"/>
      <c r="N98" s="48"/>
      <c r="O98" s="48"/>
      <c r="P98" s="30"/>
      <c r="Q98" s="30"/>
      <c r="R98" s="30"/>
      <c r="S98" s="30"/>
      <c r="T98" s="30"/>
      <c r="U98" s="30"/>
      <c r="V98" s="30"/>
      <c r="W98" s="30"/>
      <c r="X98" s="30"/>
    </row>
    <row r="99" spans="1:24" ht="15.95" customHeight="1">
      <c r="A99" s="2" t="s">
        <v>38</v>
      </c>
      <c r="B99" s="48" t="s">
        <v>38</v>
      </c>
      <c r="C99" s="118"/>
      <c r="D99" s="62"/>
      <c r="E99" s="118"/>
      <c r="F99" s="19"/>
      <c r="I99" s="48"/>
      <c r="J99" s="48"/>
      <c r="K99" s="48"/>
      <c r="L99" s="19"/>
      <c r="M99" s="48"/>
      <c r="N99" s="48"/>
      <c r="O99" s="48"/>
      <c r="P99" s="30"/>
      <c r="Q99" s="30"/>
      <c r="R99" s="30"/>
      <c r="S99" s="30"/>
      <c r="T99" s="30"/>
      <c r="U99" s="30"/>
      <c r="V99" s="30"/>
      <c r="W99" s="30"/>
      <c r="X99" s="30"/>
    </row>
    <row r="100" spans="1:24" ht="15.95" customHeight="1">
      <c r="A100" s="2" t="s">
        <v>38</v>
      </c>
      <c r="B100" s="48" t="s">
        <v>38</v>
      </c>
      <c r="C100" s="118"/>
      <c r="D100" s="62"/>
      <c r="E100" s="118"/>
      <c r="F100" s="19"/>
      <c r="I100" s="48"/>
      <c r="J100" s="48"/>
      <c r="K100" s="48"/>
      <c r="L100" s="19"/>
      <c r="M100" s="48"/>
      <c r="N100" s="48"/>
      <c r="O100" s="48"/>
      <c r="P100" s="30"/>
      <c r="Q100" s="30"/>
      <c r="R100" s="30"/>
      <c r="S100" s="30"/>
      <c r="T100" s="30"/>
      <c r="U100" s="30"/>
      <c r="V100" s="30"/>
      <c r="W100" s="30"/>
      <c r="X100" s="30"/>
    </row>
    <row r="101" spans="1:24" ht="15.95" customHeight="1">
      <c r="A101" s="2" t="s">
        <v>38</v>
      </c>
      <c r="B101" s="48" t="s">
        <v>38</v>
      </c>
      <c r="C101" s="118"/>
      <c r="D101" s="62"/>
      <c r="E101" s="118"/>
      <c r="F101" s="19"/>
      <c r="I101" s="48"/>
      <c r="J101" s="48"/>
      <c r="K101" s="48"/>
      <c r="L101" s="19"/>
      <c r="M101" s="48"/>
      <c r="N101" s="48"/>
      <c r="O101" s="48"/>
      <c r="P101" s="30"/>
      <c r="Q101" s="30"/>
      <c r="R101" s="30"/>
      <c r="S101" s="30"/>
      <c r="T101" s="30"/>
      <c r="U101" s="30"/>
      <c r="V101" s="30"/>
      <c r="W101" s="30"/>
      <c r="X101" s="30"/>
    </row>
    <row r="102" spans="1:24" ht="15.95" customHeight="1">
      <c r="A102" s="2" t="s">
        <v>38</v>
      </c>
      <c r="B102" s="48" t="s">
        <v>38</v>
      </c>
      <c r="C102" s="118"/>
      <c r="D102" s="62"/>
      <c r="E102" s="118"/>
      <c r="F102" s="19"/>
      <c r="I102" s="48"/>
      <c r="J102" s="48"/>
      <c r="K102" s="48"/>
      <c r="L102" s="19"/>
      <c r="M102" s="48"/>
      <c r="N102" s="48"/>
      <c r="O102" s="48"/>
      <c r="P102" s="30"/>
      <c r="Q102" s="30"/>
      <c r="R102" s="30"/>
      <c r="S102" s="30"/>
      <c r="T102" s="30"/>
      <c r="U102" s="30"/>
      <c r="V102" s="30"/>
      <c r="W102" s="30"/>
      <c r="X102" s="30"/>
    </row>
    <row r="103" spans="1:24" ht="15.95" customHeight="1">
      <c r="A103" s="2" t="s">
        <v>38</v>
      </c>
      <c r="B103" s="48" t="s">
        <v>38</v>
      </c>
      <c r="C103" s="118"/>
      <c r="D103" s="62"/>
      <c r="E103" s="118"/>
      <c r="F103" s="19"/>
      <c r="I103" s="48"/>
      <c r="J103" s="48"/>
      <c r="K103" s="48"/>
      <c r="L103" s="19"/>
      <c r="M103" s="48"/>
      <c r="N103" s="48"/>
      <c r="O103" s="48"/>
      <c r="P103" s="30"/>
      <c r="Q103" s="30"/>
      <c r="R103" s="30"/>
      <c r="S103" s="30"/>
      <c r="T103" s="30"/>
      <c r="U103" s="30"/>
      <c r="V103" s="30"/>
      <c r="W103" s="30"/>
      <c r="X103" s="30"/>
    </row>
    <row r="104" spans="1:24" ht="15.95" customHeight="1">
      <c r="A104" s="2" t="s">
        <v>38</v>
      </c>
      <c r="B104" s="48" t="s">
        <v>38</v>
      </c>
      <c r="C104" s="118"/>
      <c r="D104" s="62"/>
      <c r="E104" s="118"/>
      <c r="F104" s="19"/>
      <c r="I104" s="48"/>
      <c r="J104" s="48"/>
      <c r="K104" s="48"/>
      <c r="L104" s="19"/>
      <c r="M104" s="48"/>
      <c r="N104" s="48"/>
      <c r="O104" s="48"/>
      <c r="P104" s="30"/>
      <c r="Q104" s="30"/>
      <c r="R104" s="30"/>
      <c r="S104" s="30"/>
      <c r="T104" s="30"/>
      <c r="U104" s="30"/>
      <c r="V104" s="30"/>
      <c r="W104" s="30"/>
      <c r="X104" s="30"/>
    </row>
    <row r="105" spans="1:24" ht="15.95" customHeight="1">
      <c r="A105" s="2" t="s">
        <v>38</v>
      </c>
      <c r="B105" s="48" t="s">
        <v>38</v>
      </c>
      <c r="C105" s="118"/>
      <c r="D105" s="62"/>
      <c r="E105" s="118"/>
      <c r="F105" s="19"/>
      <c r="I105" s="48"/>
      <c r="J105" s="48"/>
      <c r="K105" s="48"/>
      <c r="L105" s="19"/>
      <c r="M105" s="48"/>
      <c r="N105" s="48"/>
      <c r="O105" s="48"/>
      <c r="P105" s="30"/>
      <c r="Q105" s="30"/>
      <c r="R105" s="30"/>
      <c r="S105" s="30"/>
      <c r="T105" s="30"/>
      <c r="U105" s="30"/>
      <c r="V105" s="30"/>
      <c r="W105" s="30"/>
      <c r="X105" s="30"/>
    </row>
    <row r="106" spans="1:24" ht="15.95" customHeight="1">
      <c r="A106" s="2" t="s">
        <v>38</v>
      </c>
      <c r="B106" s="48" t="s">
        <v>38</v>
      </c>
      <c r="C106" s="118"/>
      <c r="D106" s="62"/>
      <c r="E106" s="118"/>
      <c r="F106" s="19"/>
      <c r="I106" s="48"/>
      <c r="J106" s="48"/>
      <c r="K106" s="48"/>
      <c r="L106" s="19"/>
      <c r="M106" s="48"/>
      <c r="N106" s="48"/>
      <c r="O106" s="48"/>
      <c r="P106" s="30"/>
      <c r="Q106" s="30"/>
      <c r="R106" s="30"/>
      <c r="S106" s="30"/>
      <c r="T106" s="30"/>
      <c r="U106" s="30"/>
      <c r="V106" s="30"/>
      <c r="W106" s="30"/>
      <c r="X106" s="30"/>
    </row>
    <row r="107" spans="1:24" ht="15.95" customHeight="1">
      <c r="A107" s="2" t="s">
        <v>38</v>
      </c>
      <c r="B107" s="48" t="s">
        <v>38</v>
      </c>
      <c r="C107" s="118"/>
      <c r="D107" s="62"/>
      <c r="E107" s="118"/>
      <c r="F107" s="19"/>
      <c r="I107" s="48"/>
      <c r="J107" s="48"/>
      <c r="K107" s="48"/>
      <c r="L107" s="19"/>
      <c r="M107" s="48"/>
      <c r="N107" s="48"/>
      <c r="O107" s="48"/>
      <c r="P107" s="30"/>
      <c r="Q107" s="30"/>
      <c r="R107" s="30"/>
      <c r="S107" s="30"/>
      <c r="T107" s="30"/>
      <c r="U107" s="30"/>
      <c r="V107" s="30"/>
      <c r="W107" s="30"/>
      <c r="X107" s="30"/>
    </row>
    <row r="108" spans="1:24" ht="15.95" customHeight="1">
      <c r="A108" s="2" t="s">
        <v>38</v>
      </c>
      <c r="B108" s="48" t="s">
        <v>38</v>
      </c>
      <c r="C108" s="118"/>
      <c r="D108" s="62"/>
      <c r="E108" s="118"/>
      <c r="F108" s="19"/>
      <c r="I108" s="48"/>
      <c r="J108" s="48"/>
      <c r="K108" s="48"/>
      <c r="L108" s="19"/>
      <c r="M108" s="48"/>
      <c r="N108" s="48"/>
      <c r="O108" s="48"/>
      <c r="P108" s="30"/>
      <c r="Q108" s="30"/>
      <c r="R108" s="30"/>
      <c r="S108" s="30"/>
      <c r="T108" s="30"/>
      <c r="U108" s="30"/>
      <c r="V108" s="30"/>
      <c r="W108" s="30"/>
      <c r="X108" s="30"/>
    </row>
    <row r="109" spans="1:24" ht="15.95" customHeight="1">
      <c r="A109" s="2" t="s">
        <v>38</v>
      </c>
      <c r="B109" s="48" t="s">
        <v>38</v>
      </c>
      <c r="C109" s="118"/>
      <c r="D109" s="62"/>
      <c r="E109" s="118"/>
      <c r="F109" s="19"/>
      <c r="I109" s="48"/>
      <c r="J109" s="48"/>
      <c r="K109" s="48"/>
      <c r="L109" s="19"/>
      <c r="M109" s="48"/>
      <c r="N109" s="48"/>
      <c r="O109" s="48"/>
      <c r="P109" s="30"/>
      <c r="Q109" s="30"/>
      <c r="R109" s="30"/>
      <c r="S109" s="30"/>
      <c r="T109" s="30"/>
      <c r="U109" s="30"/>
      <c r="V109" s="30"/>
      <c r="W109" s="30"/>
      <c r="X109" s="30"/>
    </row>
    <row r="110" spans="1:24" ht="15.95" customHeight="1">
      <c r="A110" s="2" t="s">
        <v>38</v>
      </c>
      <c r="B110" s="48" t="s">
        <v>38</v>
      </c>
      <c r="C110" s="118"/>
      <c r="D110" s="62"/>
      <c r="E110" s="118"/>
      <c r="F110" s="19"/>
      <c r="I110" s="48"/>
      <c r="J110" s="48"/>
      <c r="K110" s="48"/>
      <c r="L110" s="19"/>
      <c r="M110" s="48"/>
      <c r="N110" s="48"/>
      <c r="O110" s="48"/>
      <c r="P110" s="30"/>
      <c r="Q110" s="30"/>
      <c r="R110" s="30"/>
      <c r="S110" s="30"/>
      <c r="T110" s="30"/>
      <c r="U110" s="30"/>
      <c r="V110" s="30"/>
      <c r="W110" s="30"/>
      <c r="X110" s="30"/>
    </row>
    <row r="111" spans="1:24" ht="15.95" customHeight="1">
      <c r="A111" s="2" t="s">
        <v>38</v>
      </c>
      <c r="B111" s="48" t="s">
        <v>38</v>
      </c>
      <c r="C111" s="118"/>
      <c r="D111" s="62"/>
      <c r="E111" s="118"/>
      <c r="F111" s="19"/>
      <c r="I111" s="48"/>
      <c r="J111" s="48"/>
      <c r="K111" s="48"/>
      <c r="L111" s="19"/>
      <c r="M111" s="48"/>
      <c r="N111" s="48"/>
      <c r="O111" s="48"/>
      <c r="P111" s="30"/>
      <c r="Q111" s="30"/>
      <c r="R111" s="30"/>
      <c r="S111" s="30"/>
      <c r="T111" s="30"/>
      <c r="U111" s="30"/>
      <c r="V111" s="30"/>
      <c r="W111" s="30"/>
      <c r="X111" s="30"/>
    </row>
    <row r="112" spans="1:24" ht="15.95" customHeight="1">
      <c r="A112" s="2" t="s">
        <v>38</v>
      </c>
      <c r="B112" s="48" t="s">
        <v>38</v>
      </c>
      <c r="C112" s="118"/>
      <c r="D112" s="62"/>
      <c r="E112" s="118"/>
      <c r="F112" s="19"/>
      <c r="I112" s="48"/>
      <c r="J112" s="48"/>
      <c r="K112" s="48"/>
      <c r="L112" s="19"/>
      <c r="M112" s="48"/>
      <c r="N112" s="48"/>
      <c r="O112" s="48"/>
      <c r="P112" s="30"/>
      <c r="Q112" s="30"/>
      <c r="R112" s="30"/>
      <c r="S112" s="30"/>
      <c r="T112" s="30"/>
      <c r="U112" s="30"/>
      <c r="V112" s="30"/>
      <c r="W112" s="30"/>
      <c r="X112" s="30"/>
    </row>
    <row r="113" spans="1:24" ht="15.95" customHeight="1">
      <c r="A113" s="2" t="s">
        <v>38</v>
      </c>
      <c r="B113" s="48" t="s">
        <v>38</v>
      </c>
      <c r="C113" s="118"/>
      <c r="D113" s="62"/>
      <c r="E113" s="118"/>
      <c r="F113" s="19"/>
      <c r="I113" s="48"/>
      <c r="J113" s="48"/>
      <c r="K113" s="48"/>
      <c r="L113" s="19"/>
      <c r="M113" s="48"/>
      <c r="N113" s="48"/>
      <c r="O113" s="48"/>
      <c r="P113" s="30"/>
      <c r="Q113" s="30"/>
      <c r="R113" s="30"/>
      <c r="S113" s="30"/>
      <c r="T113" s="30"/>
      <c r="U113" s="30"/>
      <c r="V113" s="30"/>
      <c r="W113" s="30"/>
      <c r="X113" s="30"/>
    </row>
    <row r="114" spans="1:24" ht="15.95" customHeight="1">
      <c r="A114" s="2" t="s">
        <v>38</v>
      </c>
      <c r="B114" s="48" t="s">
        <v>38</v>
      </c>
      <c r="C114" s="118"/>
      <c r="D114" s="62"/>
      <c r="E114" s="118"/>
      <c r="F114" s="19"/>
      <c r="I114" s="48"/>
      <c r="J114" s="48"/>
      <c r="K114" s="48"/>
      <c r="L114" s="19"/>
      <c r="M114" s="48"/>
      <c r="N114" s="48"/>
      <c r="O114" s="48"/>
      <c r="P114" s="30"/>
      <c r="Q114" s="30"/>
      <c r="R114" s="30"/>
      <c r="S114" s="30"/>
      <c r="T114" s="30"/>
      <c r="U114" s="30"/>
      <c r="V114" s="30"/>
      <c r="W114" s="30"/>
      <c r="X114" s="30"/>
    </row>
    <row r="115" spans="1:24" ht="15.95" customHeight="1">
      <c r="A115" s="2" t="s">
        <v>38</v>
      </c>
      <c r="B115" s="48" t="s">
        <v>38</v>
      </c>
      <c r="C115" s="118"/>
      <c r="D115" s="62"/>
      <c r="E115" s="118"/>
      <c r="F115" s="19"/>
      <c r="I115" s="48"/>
      <c r="J115" s="48"/>
      <c r="K115" s="48"/>
      <c r="L115" s="19"/>
      <c r="M115" s="48"/>
      <c r="N115" s="48"/>
      <c r="O115" s="48"/>
      <c r="P115" s="30"/>
      <c r="Q115" s="30"/>
      <c r="R115" s="30"/>
      <c r="S115" s="30"/>
      <c r="T115" s="30"/>
      <c r="U115" s="30"/>
      <c r="V115" s="30"/>
      <c r="W115" s="30"/>
      <c r="X115" s="30"/>
    </row>
    <row r="116" spans="1:24" ht="15.95" customHeight="1">
      <c r="A116" s="2" t="s">
        <v>38</v>
      </c>
      <c r="B116" s="48" t="s">
        <v>38</v>
      </c>
      <c r="C116" s="118"/>
      <c r="D116" s="62"/>
      <c r="E116" s="118"/>
      <c r="F116" s="19"/>
      <c r="I116" s="48"/>
      <c r="J116" s="48"/>
      <c r="K116" s="48"/>
      <c r="L116" s="19"/>
      <c r="M116" s="48"/>
      <c r="N116" s="48"/>
      <c r="O116" s="48"/>
      <c r="P116" s="30"/>
      <c r="Q116" s="30"/>
      <c r="R116" s="30"/>
      <c r="S116" s="30"/>
      <c r="T116" s="30"/>
      <c r="U116" s="30"/>
      <c r="V116" s="30"/>
      <c r="W116" s="30"/>
      <c r="X116" s="30"/>
    </row>
    <row r="117" spans="1:24" ht="15.95" customHeight="1">
      <c r="A117" s="2" t="s">
        <v>38</v>
      </c>
      <c r="B117" s="48" t="s">
        <v>38</v>
      </c>
      <c r="C117" s="118"/>
      <c r="D117" s="62"/>
      <c r="E117" s="118"/>
      <c r="F117" s="19"/>
      <c r="I117" s="48"/>
      <c r="J117" s="48"/>
      <c r="K117" s="48"/>
      <c r="L117" s="19"/>
      <c r="M117" s="48"/>
      <c r="N117" s="48"/>
      <c r="O117" s="48"/>
      <c r="P117" s="30"/>
      <c r="Q117" s="30"/>
      <c r="R117" s="30"/>
      <c r="S117" s="30"/>
      <c r="T117" s="30"/>
      <c r="U117" s="30"/>
      <c r="V117" s="30"/>
      <c r="W117" s="30"/>
      <c r="X117" s="30"/>
    </row>
    <row r="118" spans="1:24" ht="15.95" customHeight="1">
      <c r="A118" s="2" t="s">
        <v>38</v>
      </c>
      <c r="B118" s="48" t="s">
        <v>38</v>
      </c>
      <c r="C118" s="118"/>
      <c r="D118" s="62"/>
      <c r="E118" s="118"/>
      <c r="F118" s="19"/>
      <c r="I118" s="48"/>
      <c r="J118" s="48"/>
      <c r="K118" s="48"/>
      <c r="L118" s="19"/>
      <c r="M118" s="48"/>
      <c r="N118" s="48"/>
      <c r="O118" s="48"/>
      <c r="P118" s="30"/>
      <c r="Q118" s="30"/>
      <c r="R118" s="30"/>
      <c r="S118" s="30"/>
      <c r="T118" s="30"/>
      <c r="U118" s="30"/>
      <c r="V118" s="30"/>
      <c r="W118" s="30"/>
      <c r="X118" s="30"/>
    </row>
    <row r="119" spans="1:24" ht="15.95" customHeight="1">
      <c r="A119" s="2" t="s">
        <v>38</v>
      </c>
      <c r="B119" s="48" t="s">
        <v>38</v>
      </c>
      <c r="C119" s="118"/>
      <c r="D119" s="62"/>
      <c r="E119" s="118"/>
      <c r="F119" s="19"/>
      <c r="I119" s="48"/>
      <c r="J119" s="48"/>
      <c r="K119" s="48"/>
      <c r="L119" s="19"/>
      <c r="M119" s="48"/>
      <c r="N119" s="48"/>
      <c r="O119" s="48"/>
      <c r="P119" s="30"/>
      <c r="Q119" s="30"/>
      <c r="R119" s="30"/>
      <c r="S119" s="30"/>
      <c r="T119" s="30"/>
      <c r="U119" s="30"/>
      <c r="V119" s="30"/>
      <c r="W119" s="30"/>
      <c r="X119" s="30"/>
    </row>
    <row r="120" spans="1:24" ht="15.95" customHeight="1">
      <c r="A120" s="2" t="s">
        <v>38</v>
      </c>
      <c r="B120" s="48" t="s">
        <v>38</v>
      </c>
      <c r="C120" s="118"/>
      <c r="D120" s="62"/>
      <c r="E120" s="118"/>
      <c r="F120" s="19"/>
      <c r="I120" s="48"/>
      <c r="J120" s="48"/>
      <c r="K120" s="48"/>
      <c r="L120" s="19"/>
      <c r="M120" s="48"/>
      <c r="N120" s="48"/>
      <c r="O120" s="48"/>
      <c r="P120" s="30"/>
      <c r="Q120" s="30"/>
      <c r="R120" s="30"/>
      <c r="S120" s="64"/>
      <c r="T120" s="30"/>
      <c r="U120" s="30"/>
      <c r="V120" s="30"/>
      <c r="W120" s="30"/>
      <c r="X120" s="30"/>
    </row>
    <row r="121" spans="1:24" ht="15.95" customHeight="1">
      <c r="A121" s="2" t="s">
        <v>38</v>
      </c>
      <c r="B121" s="48" t="s">
        <v>38</v>
      </c>
      <c r="C121" s="118"/>
      <c r="D121" s="62"/>
      <c r="E121" s="118"/>
      <c r="F121" s="19"/>
      <c r="I121" s="48"/>
      <c r="J121" s="48"/>
      <c r="K121" s="48"/>
      <c r="L121" s="19"/>
      <c r="M121" s="48"/>
      <c r="N121" s="48"/>
      <c r="O121" s="48"/>
      <c r="P121" s="30"/>
      <c r="Q121" s="30"/>
      <c r="R121" s="30"/>
      <c r="S121" s="30"/>
      <c r="T121" s="30"/>
      <c r="U121" s="30"/>
      <c r="V121" s="30"/>
      <c r="W121" s="30"/>
      <c r="X121" s="30"/>
    </row>
    <row r="122" spans="1:24" ht="15.95" customHeight="1">
      <c r="A122" s="2" t="s">
        <v>38</v>
      </c>
      <c r="B122" s="48" t="s">
        <v>38</v>
      </c>
      <c r="C122" s="118"/>
      <c r="D122" s="62"/>
      <c r="E122" s="118"/>
      <c r="F122" s="19"/>
      <c r="I122" s="48"/>
      <c r="J122" s="48"/>
      <c r="K122" s="48"/>
      <c r="L122" s="19"/>
      <c r="M122" s="48"/>
      <c r="N122" s="48"/>
      <c r="O122" s="48"/>
      <c r="P122" s="30"/>
      <c r="Q122" s="30"/>
      <c r="R122" s="30"/>
      <c r="S122" s="30"/>
      <c r="T122" s="30"/>
      <c r="U122" s="30"/>
      <c r="V122" s="30"/>
      <c r="W122" s="30"/>
      <c r="X122" s="30"/>
    </row>
    <row r="123" spans="1:24" ht="15.95" customHeight="1">
      <c r="A123" s="2" t="s">
        <v>38</v>
      </c>
      <c r="B123" s="48" t="s">
        <v>38</v>
      </c>
      <c r="C123" s="118"/>
      <c r="D123" s="62"/>
      <c r="E123" s="118"/>
      <c r="F123" s="19"/>
      <c r="I123" s="48"/>
      <c r="J123" s="48"/>
      <c r="K123" s="48"/>
      <c r="L123" s="19"/>
      <c r="M123" s="48"/>
      <c r="N123" s="48"/>
      <c r="O123" s="48"/>
      <c r="P123" s="30"/>
      <c r="Q123" s="30"/>
      <c r="R123" s="30"/>
      <c r="S123" s="30"/>
      <c r="T123" s="30"/>
      <c r="U123" s="30"/>
      <c r="V123" s="30"/>
      <c r="W123" s="30"/>
      <c r="X123" s="30"/>
    </row>
    <row r="124" spans="1:24" ht="15.95" customHeight="1">
      <c r="A124" s="2" t="s">
        <v>38</v>
      </c>
      <c r="B124" s="48" t="s">
        <v>38</v>
      </c>
      <c r="C124" s="118"/>
      <c r="D124" s="62"/>
      <c r="E124" s="118"/>
      <c r="F124" s="19"/>
      <c r="I124" s="48"/>
      <c r="J124" s="48"/>
      <c r="K124" s="48"/>
      <c r="L124" s="19"/>
      <c r="M124" s="48"/>
      <c r="N124" s="48"/>
      <c r="O124" s="48"/>
      <c r="P124" s="48"/>
      <c r="Q124" s="48"/>
      <c r="R124" s="48"/>
      <c r="S124" s="48"/>
      <c r="T124" s="30"/>
      <c r="U124" s="30"/>
      <c r="V124" s="30"/>
      <c r="W124" s="30"/>
      <c r="X124" s="30"/>
    </row>
    <row r="125" spans="1:24" ht="15.95" customHeight="1">
      <c r="A125" s="2" t="s">
        <v>38</v>
      </c>
      <c r="B125" s="48" t="s">
        <v>38</v>
      </c>
      <c r="C125" s="118"/>
      <c r="D125" s="62"/>
      <c r="E125" s="118"/>
      <c r="F125" s="19"/>
      <c r="I125" s="48"/>
      <c r="J125" s="48"/>
      <c r="K125" s="48"/>
      <c r="L125" s="19"/>
      <c r="M125" s="48"/>
      <c r="N125" s="48"/>
      <c r="O125" s="48"/>
      <c r="P125" s="30"/>
      <c r="Q125" s="30"/>
      <c r="R125" s="30"/>
      <c r="S125" s="30"/>
      <c r="T125" s="30"/>
      <c r="U125" s="30"/>
      <c r="V125" s="30"/>
      <c r="W125" s="30"/>
      <c r="X125" s="30"/>
    </row>
    <row r="126" spans="1:24" ht="15.95" customHeight="1">
      <c r="A126" s="2" t="s">
        <v>38</v>
      </c>
      <c r="B126" s="48" t="s">
        <v>38</v>
      </c>
      <c r="C126" s="118"/>
      <c r="D126" s="62"/>
      <c r="E126" s="118"/>
      <c r="F126" s="19"/>
      <c r="I126" s="48"/>
      <c r="J126" s="48"/>
      <c r="K126" s="48"/>
      <c r="L126" s="19"/>
      <c r="M126" s="48"/>
      <c r="N126" s="48"/>
      <c r="O126" s="48"/>
      <c r="P126" s="30"/>
      <c r="Q126" s="30"/>
      <c r="R126" s="30"/>
      <c r="S126" s="30"/>
      <c r="T126" s="30"/>
      <c r="U126" s="30"/>
      <c r="V126" s="30"/>
      <c r="W126" s="30"/>
      <c r="X126" s="30"/>
    </row>
    <row r="127" spans="1:24" ht="15.95" customHeight="1">
      <c r="A127" s="2" t="s">
        <v>38</v>
      </c>
      <c r="B127" s="48" t="s">
        <v>38</v>
      </c>
      <c r="C127" s="118"/>
      <c r="D127" s="62"/>
      <c r="E127" s="118"/>
      <c r="F127" s="19"/>
      <c r="I127" s="48"/>
      <c r="J127" s="48"/>
      <c r="K127" s="48"/>
      <c r="L127" s="19"/>
      <c r="M127" s="48"/>
      <c r="N127" s="48"/>
      <c r="O127" s="48"/>
      <c r="P127" s="30"/>
      <c r="Q127" s="30"/>
      <c r="R127" s="30"/>
      <c r="S127" s="30"/>
      <c r="T127" s="30"/>
      <c r="U127" s="30"/>
      <c r="V127" s="30"/>
      <c r="W127" s="30"/>
      <c r="X127" s="30"/>
    </row>
    <row r="128" spans="1:24" ht="15.95" customHeight="1">
      <c r="A128" s="2" t="s">
        <v>38</v>
      </c>
      <c r="B128" s="48" t="s">
        <v>38</v>
      </c>
      <c r="C128" s="118"/>
      <c r="D128" s="62"/>
      <c r="E128" s="118"/>
      <c r="F128" s="19"/>
      <c r="I128" s="48"/>
      <c r="J128" s="48"/>
      <c r="K128" s="48"/>
      <c r="L128" s="19"/>
      <c r="M128" s="48"/>
      <c r="N128" s="48"/>
      <c r="O128" s="48"/>
      <c r="P128" s="30"/>
      <c r="Q128" s="30"/>
      <c r="R128" s="30"/>
      <c r="S128" s="30"/>
      <c r="T128" s="30"/>
      <c r="U128" s="30"/>
      <c r="V128" s="30"/>
      <c r="W128" s="30"/>
      <c r="X128" s="30"/>
    </row>
    <row r="129" spans="1:24" ht="15.95" customHeight="1">
      <c r="A129" s="2" t="s">
        <v>38</v>
      </c>
      <c r="B129" s="48" t="s">
        <v>38</v>
      </c>
      <c r="C129" s="118"/>
      <c r="D129" s="62"/>
      <c r="E129" s="118"/>
      <c r="F129" s="19"/>
      <c r="I129" s="48"/>
      <c r="J129" s="48"/>
      <c r="K129" s="48"/>
      <c r="L129" s="19"/>
      <c r="M129" s="48"/>
      <c r="N129" s="48"/>
      <c r="O129" s="48"/>
      <c r="P129" s="30"/>
      <c r="Q129" s="30"/>
      <c r="R129" s="30"/>
      <c r="S129" s="30"/>
      <c r="T129" s="30"/>
      <c r="U129" s="30"/>
      <c r="V129" s="30"/>
      <c r="W129" s="30"/>
      <c r="X129" s="30"/>
    </row>
    <row r="130" spans="1:24" ht="15.95" customHeight="1">
      <c r="A130" s="2" t="s">
        <v>38</v>
      </c>
      <c r="B130" s="48" t="s">
        <v>38</v>
      </c>
      <c r="C130" s="118"/>
      <c r="D130" s="62"/>
      <c r="E130" s="118"/>
      <c r="F130" s="19"/>
      <c r="I130" s="48"/>
      <c r="J130" s="48"/>
      <c r="K130" s="48"/>
      <c r="L130" s="19"/>
      <c r="M130" s="48"/>
      <c r="N130" s="48"/>
      <c r="O130" s="48"/>
      <c r="P130" s="30"/>
      <c r="Q130" s="30"/>
      <c r="R130" s="30"/>
      <c r="S130" s="30"/>
      <c r="T130" s="30"/>
      <c r="U130" s="30"/>
      <c r="V130" s="30"/>
      <c r="W130" s="30"/>
      <c r="X130" s="30"/>
    </row>
    <row r="131" spans="1:24" ht="15.95" customHeight="1">
      <c r="A131" s="2" t="s">
        <v>38</v>
      </c>
      <c r="B131" s="48" t="s">
        <v>38</v>
      </c>
      <c r="C131" s="118"/>
      <c r="D131" s="62"/>
      <c r="E131" s="118"/>
      <c r="F131" s="19"/>
      <c r="I131" s="48"/>
      <c r="J131" s="48"/>
      <c r="K131" s="48"/>
      <c r="L131" s="19"/>
      <c r="M131" s="48"/>
      <c r="N131" s="48"/>
      <c r="O131" s="48"/>
      <c r="P131" s="30"/>
      <c r="Q131" s="30"/>
      <c r="R131" s="30"/>
      <c r="S131" s="30"/>
      <c r="T131" s="30"/>
      <c r="U131" s="30"/>
      <c r="V131" s="30"/>
      <c r="W131" s="30"/>
      <c r="X131" s="30"/>
    </row>
    <row r="132" spans="1:24" ht="15.95" customHeight="1">
      <c r="A132" s="2" t="s">
        <v>38</v>
      </c>
      <c r="B132" s="48" t="s">
        <v>38</v>
      </c>
      <c r="C132" s="118"/>
      <c r="D132" s="62"/>
      <c r="E132" s="118"/>
      <c r="F132" s="19"/>
      <c r="I132" s="48"/>
      <c r="J132" s="48"/>
      <c r="K132" s="48"/>
      <c r="L132" s="19"/>
      <c r="M132" s="48"/>
      <c r="N132" s="48"/>
      <c r="O132" s="48"/>
      <c r="P132" s="30"/>
      <c r="Q132" s="30"/>
      <c r="R132" s="30"/>
      <c r="S132" s="30"/>
      <c r="T132" s="30"/>
      <c r="U132" s="30"/>
      <c r="V132" s="30"/>
      <c r="W132" s="30"/>
      <c r="X132" s="30"/>
    </row>
    <row r="133" spans="1:24" ht="15.95" customHeight="1">
      <c r="A133" s="2" t="s">
        <v>38</v>
      </c>
      <c r="B133" s="48" t="s">
        <v>38</v>
      </c>
      <c r="C133" s="118"/>
      <c r="D133" s="62"/>
      <c r="E133" s="118"/>
      <c r="F133" s="19"/>
      <c r="I133" s="48"/>
      <c r="J133" s="48"/>
      <c r="K133" s="48"/>
      <c r="L133" s="19"/>
      <c r="M133" s="48"/>
      <c r="N133" s="48"/>
      <c r="O133" s="48"/>
      <c r="P133" s="30"/>
      <c r="Q133" s="30"/>
      <c r="R133" s="30"/>
      <c r="S133" s="30"/>
      <c r="T133" s="30"/>
      <c r="U133" s="30"/>
      <c r="V133" s="30"/>
      <c r="W133" s="30"/>
      <c r="X133" s="30"/>
    </row>
    <row r="134" spans="1:24" ht="15.95" customHeight="1">
      <c r="A134" s="2" t="s">
        <v>38</v>
      </c>
      <c r="B134" s="48" t="s">
        <v>38</v>
      </c>
      <c r="C134" s="118"/>
      <c r="D134" s="62"/>
      <c r="E134" s="118"/>
      <c r="F134" s="19"/>
      <c r="I134" s="48"/>
      <c r="J134" s="48"/>
      <c r="K134" s="48"/>
      <c r="L134" s="19"/>
      <c r="M134" s="48"/>
      <c r="N134" s="48"/>
      <c r="O134" s="48"/>
      <c r="P134" s="30"/>
      <c r="Q134" s="30"/>
      <c r="R134" s="30"/>
      <c r="S134" s="30"/>
      <c r="T134" s="30"/>
      <c r="U134" s="30"/>
      <c r="V134" s="30"/>
      <c r="W134" s="30"/>
      <c r="X134" s="30"/>
    </row>
    <row r="135" spans="1:24" ht="15.95" customHeight="1">
      <c r="A135" s="2" t="s">
        <v>38</v>
      </c>
      <c r="B135" s="48" t="s">
        <v>38</v>
      </c>
      <c r="C135" s="118"/>
      <c r="D135" s="62"/>
      <c r="E135" s="118"/>
      <c r="F135" s="19"/>
      <c r="I135" s="48"/>
      <c r="J135" s="48"/>
      <c r="K135" s="48"/>
      <c r="L135" s="19"/>
      <c r="M135" s="48"/>
      <c r="N135" s="48"/>
      <c r="O135" s="48"/>
      <c r="P135" s="30"/>
      <c r="Q135" s="30"/>
      <c r="R135" s="30"/>
      <c r="S135" s="30"/>
      <c r="T135" s="30"/>
      <c r="U135" s="30"/>
      <c r="V135" s="30"/>
      <c r="W135" s="30"/>
      <c r="X135" s="30"/>
    </row>
    <row r="136" spans="1:24" ht="15.95" customHeight="1">
      <c r="A136" s="2" t="s">
        <v>38</v>
      </c>
      <c r="I136" s="48"/>
      <c r="J136" s="48"/>
      <c r="K136" s="48"/>
      <c r="L136" s="19"/>
      <c r="M136" s="48"/>
      <c r="N136" s="48"/>
      <c r="O136" s="48"/>
      <c r="P136" s="30"/>
      <c r="Q136" s="30"/>
      <c r="R136" s="30"/>
      <c r="S136" s="30"/>
      <c r="T136" s="30"/>
      <c r="U136" s="30"/>
      <c r="V136" s="30"/>
      <c r="W136" s="30"/>
      <c r="X136" s="30"/>
    </row>
    <row r="137" spans="1:24" ht="15.95" customHeight="1">
      <c r="A137" s="2" t="s">
        <v>38</v>
      </c>
      <c r="I137" s="48"/>
      <c r="J137" s="48"/>
      <c r="K137" s="48"/>
      <c r="L137" s="19"/>
      <c r="M137" s="48"/>
      <c r="N137" s="48"/>
      <c r="O137" s="48"/>
      <c r="P137" s="30"/>
      <c r="Q137" s="30"/>
      <c r="R137" s="30"/>
      <c r="S137" s="30"/>
      <c r="T137" s="30"/>
      <c r="U137" s="30"/>
      <c r="V137" s="30"/>
      <c r="W137" s="30"/>
      <c r="X137" s="30"/>
    </row>
    <row r="138" spans="1:24" ht="15.95" customHeight="1">
      <c r="A138" s="2" t="s">
        <v>38</v>
      </c>
      <c r="I138" s="48"/>
      <c r="J138" s="48"/>
      <c r="K138" s="48"/>
      <c r="L138" s="19"/>
      <c r="M138" s="48"/>
      <c r="N138" s="48"/>
      <c r="O138" s="48"/>
      <c r="P138" s="30"/>
      <c r="Q138" s="30"/>
      <c r="R138" s="30"/>
      <c r="S138" s="30"/>
      <c r="T138" s="30"/>
      <c r="U138" s="30"/>
      <c r="V138" s="30"/>
      <c r="W138" s="30"/>
      <c r="X138" s="30"/>
    </row>
    <row r="139" spans="1:24" ht="15.95" customHeight="1">
      <c r="A139" s="2" t="s">
        <v>38</v>
      </c>
      <c r="I139" s="48"/>
      <c r="J139" s="48"/>
      <c r="K139" s="48"/>
      <c r="L139" s="19"/>
      <c r="M139" s="48"/>
      <c r="N139" s="48"/>
      <c r="O139" s="48"/>
      <c r="P139" s="30"/>
      <c r="Q139" s="30"/>
      <c r="R139" s="30"/>
      <c r="S139" s="30"/>
      <c r="T139" s="30"/>
      <c r="U139" s="30"/>
      <c r="V139" s="30"/>
      <c r="W139" s="30"/>
      <c r="X139" s="30"/>
    </row>
    <row r="140" spans="1:24" ht="15.95" customHeight="1">
      <c r="A140" s="2" t="s">
        <v>38</v>
      </c>
      <c r="I140" s="48"/>
      <c r="J140" s="48"/>
      <c r="K140" s="48"/>
      <c r="L140" s="19"/>
      <c r="M140" s="48"/>
      <c r="N140" s="48"/>
      <c r="O140" s="48"/>
      <c r="P140" s="30"/>
      <c r="Q140" s="30"/>
      <c r="R140" s="30"/>
      <c r="S140" s="30"/>
      <c r="T140" s="30"/>
      <c r="U140" s="30"/>
      <c r="V140" s="30"/>
      <c r="W140" s="30"/>
      <c r="X140" s="30"/>
    </row>
    <row r="141" spans="1:24" ht="15.95" customHeight="1">
      <c r="A141" s="2" t="s">
        <v>38</v>
      </c>
      <c r="I141" s="48"/>
      <c r="J141" s="48"/>
      <c r="K141" s="48"/>
      <c r="L141" s="19"/>
      <c r="M141" s="48"/>
      <c r="N141" s="48"/>
      <c r="O141" s="48"/>
      <c r="P141" s="30"/>
      <c r="Q141" s="30"/>
      <c r="R141" s="30"/>
      <c r="S141" s="30"/>
      <c r="T141" s="30"/>
      <c r="U141" s="30"/>
      <c r="V141" s="30"/>
      <c r="W141" s="30"/>
      <c r="X141" s="30"/>
    </row>
    <row r="142" spans="1:24" ht="15.95" customHeight="1">
      <c r="A142" s="2" t="s">
        <v>38</v>
      </c>
      <c r="I142" s="48"/>
      <c r="J142" s="48"/>
      <c r="K142" s="48"/>
      <c r="L142" s="19"/>
      <c r="M142" s="48"/>
      <c r="N142" s="48"/>
      <c r="O142" s="48"/>
      <c r="P142" s="30"/>
      <c r="Q142" s="30"/>
      <c r="R142" s="30"/>
      <c r="S142" s="30"/>
      <c r="T142" s="30"/>
      <c r="U142" s="30"/>
      <c r="V142" s="30"/>
      <c r="W142" s="30"/>
      <c r="X142" s="30"/>
    </row>
    <row r="143" spans="1:24" ht="15.95" customHeight="1">
      <c r="A143" s="2" t="s">
        <v>38</v>
      </c>
      <c r="I143" s="48"/>
      <c r="J143" s="48"/>
      <c r="K143" s="48"/>
      <c r="L143" s="19"/>
      <c r="M143" s="48"/>
      <c r="N143" s="48"/>
      <c r="O143" s="48"/>
      <c r="P143" s="30"/>
      <c r="Q143" s="30"/>
      <c r="R143" s="30"/>
      <c r="S143" s="30"/>
      <c r="T143" s="30"/>
      <c r="U143" s="30"/>
      <c r="V143" s="30"/>
      <c r="W143" s="30"/>
      <c r="X143" s="30"/>
    </row>
    <row r="144" spans="1:24" ht="15.95" customHeight="1">
      <c r="A144" s="2" t="s">
        <v>38</v>
      </c>
      <c r="I144" s="48"/>
      <c r="J144" s="48"/>
      <c r="K144" s="48"/>
      <c r="L144" s="19"/>
      <c r="M144" s="48"/>
      <c r="N144" s="48"/>
      <c r="O144" s="48"/>
      <c r="P144" s="30"/>
      <c r="Q144" s="30"/>
      <c r="R144" s="30"/>
      <c r="S144" s="30"/>
      <c r="T144" s="30"/>
      <c r="U144" s="30"/>
      <c r="V144" s="30"/>
      <c r="W144" s="30"/>
      <c r="X144" s="30"/>
    </row>
    <row r="145" spans="1:24" ht="15.95" customHeight="1">
      <c r="A145" s="2" t="s">
        <v>38</v>
      </c>
      <c r="I145" s="48"/>
      <c r="J145" s="48"/>
      <c r="K145" s="48"/>
      <c r="L145" s="19"/>
      <c r="M145" s="48"/>
      <c r="N145" s="48"/>
      <c r="O145" s="48"/>
      <c r="P145" s="30"/>
      <c r="Q145" s="30"/>
      <c r="R145" s="30"/>
      <c r="S145" s="30"/>
      <c r="T145" s="30"/>
      <c r="U145" s="30"/>
      <c r="V145" s="30"/>
      <c r="W145" s="30"/>
      <c r="X145" s="30"/>
    </row>
    <row r="146" spans="1:24" ht="15.95" customHeight="1">
      <c r="A146" s="2" t="s">
        <v>38</v>
      </c>
      <c r="I146" s="48"/>
      <c r="J146" s="48"/>
      <c r="K146" s="48"/>
      <c r="L146" s="19"/>
      <c r="M146" s="48"/>
      <c r="N146" s="48"/>
      <c r="O146" s="48"/>
      <c r="P146" s="30"/>
      <c r="Q146" s="30"/>
      <c r="R146" s="30"/>
      <c r="S146" s="30"/>
      <c r="T146" s="30"/>
      <c r="U146" s="30"/>
      <c r="V146" s="30"/>
      <c r="W146" s="30"/>
      <c r="X146" s="30"/>
    </row>
    <row r="147" spans="1:24" ht="15.95" customHeight="1">
      <c r="A147" s="2" t="s">
        <v>38</v>
      </c>
      <c r="I147" s="48"/>
      <c r="J147" s="48"/>
      <c r="K147" s="48"/>
      <c r="L147" s="19"/>
      <c r="M147" s="48"/>
      <c r="N147" s="48"/>
      <c r="O147" s="48"/>
      <c r="P147" s="30"/>
      <c r="Q147" s="30"/>
      <c r="R147" s="30"/>
      <c r="S147" s="30"/>
      <c r="T147" s="30"/>
      <c r="U147" s="30"/>
      <c r="V147" s="30"/>
      <c r="W147" s="30"/>
      <c r="X147" s="30"/>
    </row>
    <row r="148" spans="1:24" ht="15.95" customHeight="1">
      <c r="A148" s="2" t="s">
        <v>38</v>
      </c>
      <c r="I148" s="48"/>
      <c r="J148" s="48"/>
      <c r="K148" s="48"/>
      <c r="L148" s="19"/>
      <c r="M148" s="48"/>
      <c r="N148" s="48"/>
      <c r="O148" s="48"/>
      <c r="P148" s="30"/>
      <c r="Q148" s="30"/>
      <c r="R148" s="30"/>
      <c r="S148" s="30"/>
      <c r="T148" s="30"/>
      <c r="U148" s="30"/>
      <c r="V148" s="30"/>
      <c r="W148" s="30"/>
      <c r="X148" s="30"/>
    </row>
    <row r="149" spans="1:24" ht="15.95" customHeight="1">
      <c r="A149" s="2" t="s">
        <v>38</v>
      </c>
      <c r="I149" s="48"/>
      <c r="J149" s="48"/>
      <c r="K149" s="48"/>
      <c r="L149" s="19"/>
      <c r="M149" s="48"/>
      <c r="N149" s="48"/>
      <c r="O149" s="48"/>
      <c r="P149" s="30"/>
      <c r="Q149" s="30"/>
      <c r="R149" s="30"/>
      <c r="S149" s="30"/>
      <c r="T149" s="30"/>
      <c r="U149" s="30"/>
      <c r="V149" s="30"/>
      <c r="W149" s="30"/>
      <c r="X149" s="30"/>
    </row>
    <row r="150" spans="1:24" ht="15.95" customHeight="1">
      <c r="A150" s="2" t="s">
        <v>38</v>
      </c>
      <c r="I150" s="48"/>
      <c r="J150" s="48"/>
      <c r="K150" s="48"/>
      <c r="L150" s="19"/>
      <c r="M150" s="48"/>
      <c r="N150" s="48"/>
      <c r="O150" s="48"/>
      <c r="P150" s="30"/>
      <c r="Q150" s="30"/>
      <c r="R150" s="30"/>
      <c r="S150" s="30"/>
      <c r="T150" s="30"/>
      <c r="U150" s="30"/>
      <c r="V150" s="30"/>
      <c r="W150" s="30"/>
      <c r="X150" s="30"/>
    </row>
    <row r="151" spans="1:24" ht="15.95" customHeight="1">
      <c r="A151" s="2" t="s">
        <v>38</v>
      </c>
      <c r="I151" s="48"/>
      <c r="J151" s="48"/>
      <c r="K151" s="48"/>
      <c r="L151" s="19"/>
      <c r="M151" s="48"/>
      <c r="N151" s="48"/>
      <c r="O151" s="48"/>
      <c r="P151" s="30"/>
      <c r="Q151" s="30"/>
      <c r="R151" s="30"/>
      <c r="S151" s="30"/>
      <c r="T151" s="30"/>
      <c r="U151" s="30"/>
      <c r="V151" s="30"/>
      <c r="W151" s="30"/>
      <c r="X151" s="30"/>
    </row>
    <row r="152" spans="1:24" ht="15.95" customHeight="1">
      <c r="A152" s="2" t="s">
        <v>38</v>
      </c>
      <c r="I152" s="48"/>
      <c r="J152" s="48"/>
      <c r="K152" s="48"/>
      <c r="L152" s="19"/>
      <c r="M152" s="48"/>
      <c r="N152" s="48"/>
      <c r="O152" s="48"/>
      <c r="P152" s="30"/>
      <c r="Q152" s="30"/>
      <c r="R152" s="30"/>
      <c r="S152" s="30"/>
      <c r="T152" s="30"/>
      <c r="U152" s="30"/>
      <c r="V152" s="30"/>
      <c r="W152" s="30"/>
      <c r="X152" s="30"/>
    </row>
    <row r="153" spans="1:24" ht="15.95" customHeight="1">
      <c r="A153" s="2" t="s">
        <v>38</v>
      </c>
      <c r="I153" s="48"/>
      <c r="J153" s="48"/>
      <c r="K153" s="48"/>
      <c r="L153" s="19"/>
      <c r="M153" s="48"/>
      <c r="N153" s="48"/>
      <c r="O153" s="48"/>
      <c r="P153" s="30"/>
      <c r="Q153" s="30"/>
      <c r="R153" s="30"/>
      <c r="S153" s="30"/>
      <c r="T153" s="30"/>
      <c r="U153" s="30"/>
      <c r="V153" s="30"/>
      <c r="W153" s="30"/>
      <c r="X153" s="30"/>
    </row>
    <row r="154" spans="1:24" ht="15.95" customHeight="1">
      <c r="A154" s="2" t="s">
        <v>38</v>
      </c>
      <c r="I154" s="48"/>
      <c r="J154" s="48"/>
      <c r="K154" s="48"/>
      <c r="L154" s="19"/>
      <c r="M154" s="48"/>
      <c r="N154" s="48"/>
      <c r="O154" s="48"/>
      <c r="P154" s="30"/>
      <c r="Q154" s="30"/>
      <c r="R154" s="30"/>
      <c r="S154" s="30"/>
      <c r="T154" s="30"/>
      <c r="U154" s="30"/>
      <c r="V154" s="30"/>
      <c r="W154" s="30"/>
      <c r="X154" s="30"/>
    </row>
    <row r="155" spans="1:24" ht="15.95" customHeight="1">
      <c r="A155" s="2" t="s">
        <v>38</v>
      </c>
      <c r="I155" s="48"/>
      <c r="J155" s="48"/>
      <c r="K155" s="48"/>
      <c r="L155" s="19"/>
      <c r="M155" s="48"/>
      <c r="N155" s="48"/>
      <c r="O155" s="48"/>
      <c r="P155" s="30"/>
      <c r="Q155" s="30"/>
      <c r="R155" s="30"/>
      <c r="S155" s="30"/>
      <c r="T155" s="30"/>
      <c r="U155" s="30"/>
      <c r="V155" s="30"/>
      <c r="W155" s="30"/>
      <c r="X155" s="30"/>
    </row>
    <row r="156" spans="1:24" ht="15.95" customHeight="1">
      <c r="A156" s="2" t="s">
        <v>38</v>
      </c>
      <c r="I156" s="48"/>
      <c r="J156" s="48"/>
      <c r="K156" s="48"/>
      <c r="L156" s="19"/>
      <c r="M156" s="48"/>
      <c r="N156" s="48"/>
      <c r="O156" s="48"/>
      <c r="P156" s="30"/>
      <c r="Q156" s="30"/>
      <c r="R156" s="30"/>
      <c r="S156" s="30"/>
      <c r="T156" s="30"/>
      <c r="U156" s="30"/>
      <c r="V156" s="30"/>
      <c r="W156" s="30"/>
      <c r="X156" s="30"/>
    </row>
    <row r="157" spans="1:24" ht="15.95" customHeight="1">
      <c r="A157" s="2" t="s">
        <v>38</v>
      </c>
      <c r="I157" s="48"/>
      <c r="J157" s="48"/>
      <c r="K157" s="48"/>
      <c r="L157" s="19"/>
      <c r="M157" s="48"/>
      <c r="N157" s="48"/>
      <c r="O157" s="48"/>
      <c r="P157" s="30"/>
      <c r="Q157" s="30"/>
      <c r="R157" s="30"/>
      <c r="S157" s="30"/>
      <c r="T157" s="30"/>
      <c r="U157" s="30"/>
      <c r="V157" s="30"/>
      <c r="W157" s="30"/>
      <c r="X157" s="30"/>
    </row>
    <row r="158" spans="1:24" ht="15.95" customHeight="1">
      <c r="A158" s="2" t="s">
        <v>38</v>
      </c>
      <c r="I158" s="48"/>
      <c r="J158" s="48"/>
      <c r="K158" s="48"/>
      <c r="L158" s="19"/>
      <c r="M158" s="48"/>
      <c r="N158" s="48"/>
      <c r="O158" s="48"/>
      <c r="P158" s="30"/>
      <c r="Q158" s="30"/>
      <c r="R158" s="30"/>
      <c r="S158" s="30"/>
      <c r="T158" s="30"/>
      <c r="U158" s="30"/>
      <c r="V158" s="30"/>
      <c r="W158" s="30"/>
      <c r="X158" s="30"/>
    </row>
    <row r="159" spans="1:24" ht="15.95" customHeight="1">
      <c r="A159" s="2" t="s">
        <v>38</v>
      </c>
      <c r="I159" s="48"/>
      <c r="J159" s="48"/>
      <c r="K159" s="48"/>
      <c r="L159" s="19"/>
      <c r="M159" s="48"/>
      <c r="N159" s="48"/>
      <c r="O159" s="48"/>
      <c r="P159" s="48"/>
      <c r="Q159" s="48"/>
      <c r="R159" s="48"/>
      <c r="S159" s="48"/>
      <c r="T159" s="30"/>
      <c r="U159" s="30"/>
      <c r="V159" s="30"/>
      <c r="W159" s="30"/>
      <c r="X159" s="30"/>
    </row>
    <row r="160" spans="1:24" ht="15.95" customHeight="1">
      <c r="A160" s="2" t="s">
        <v>38</v>
      </c>
      <c r="I160" s="48"/>
      <c r="J160" s="48"/>
      <c r="K160" s="48"/>
      <c r="L160" s="19"/>
      <c r="M160" s="48"/>
      <c r="N160" s="48"/>
      <c r="O160" s="48"/>
      <c r="P160" s="48"/>
      <c r="Q160" s="48"/>
      <c r="R160" s="48"/>
      <c r="S160" s="48"/>
      <c r="T160" s="30"/>
      <c r="U160" s="30"/>
      <c r="V160" s="30"/>
      <c r="W160" s="30"/>
      <c r="X160" s="30"/>
    </row>
    <row r="161" spans="1:24" ht="15.95" customHeight="1">
      <c r="A161" s="2" t="s">
        <v>38</v>
      </c>
      <c r="I161" s="48"/>
      <c r="J161" s="48"/>
      <c r="K161" s="48"/>
      <c r="L161" s="19"/>
      <c r="M161" s="48"/>
      <c r="N161" s="48"/>
      <c r="O161" s="48"/>
      <c r="P161" s="48"/>
      <c r="Q161" s="48"/>
      <c r="R161" s="48"/>
      <c r="S161" s="48"/>
      <c r="T161" s="30"/>
      <c r="U161" s="30"/>
      <c r="V161" s="30"/>
      <c r="W161" s="30"/>
      <c r="X161" s="30"/>
    </row>
    <row r="162" spans="1:24" ht="15.95" customHeight="1">
      <c r="A162" s="2" t="s">
        <v>38</v>
      </c>
      <c r="I162" s="48"/>
      <c r="J162" s="48"/>
      <c r="K162" s="48"/>
      <c r="L162" s="19"/>
      <c r="M162" s="48"/>
      <c r="N162" s="48"/>
      <c r="O162" s="48"/>
      <c r="P162" s="48"/>
      <c r="Q162" s="48"/>
      <c r="R162" s="48"/>
      <c r="S162" s="48"/>
      <c r="T162" s="30"/>
      <c r="U162" s="30"/>
      <c r="V162" s="30"/>
      <c r="W162" s="30"/>
      <c r="X162" s="30"/>
    </row>
    <row r="163" spans="1:24" ht="15.95" customHeight="1">
      <c r="A163" s="2" t="s">
        <v>38</v>
      </c>
      <c r="I163" s="48"/>
      <c r="J163" s="48"/>
      <c r="K163" s="48"/>
      <c r="L163" s="19"/>
      <c r="M163" s="48"/>
      <c r="N163" s="48"/>
      <c r="O163" s="48"/>
      <c r="P163" s="48"/>
      <c r="Q163" s="48"/>
      <c r="R163" s="48"/>
      <c r="S163" s="48"/>
      <c r="T163" s="30"/>
      <c r="U163" s="30"/>
      <c r="V163" s="30"/>
      <c r="W163" s="30"/>
      <c r="X163" s="30"/>
    </row>
    <row r="164" spans="1:24" ht="15.95" customHeight="1">
      <c r="A164" s="2" t="s">
        <v>38</v>
      </c>
      <c r="I164" s="48"/>
      <c r="J164" s="48"/>
      <c r="K164" s="48"/>
      <c r="L164" s="19"/>
      <c r="M164" s="48"/>
      <c r="N164" s="48"/>
      <c r="O164" s="48"/>
      <c r="P164" s="48"/>
      <c r="Q164" s="48"/>
      <c r="R164" s="48"/>
      <c r="S164" s="48"/>
      <c r="T164" s="30"/>
      <c r="U164" s="30"/>
      <c r="V164" s="30"/>
      <c r="W164" s="30"/>
      <c r="X164" s="30"/>
    </row>
    <row r="165" spans="1:24" ht="15.95" customHeight="1">
      <c r="A165" s="2" t="s">
        <v>38</v>
      </c>
      <c r="I165" s="48"/>
      <c r="J165" s="48"/>
      <c r="K165" s="48"/>
      <c r="L165" s="19"/>
      <c r="M165" s="48"/>
      <c r="N165" s="48"/>
      <c r="O165" s="48"/>
      <c r="P165" s="48"/>
      <c r="Q165" s="48"/>
      <c r="R165" s="48"/>
      <c r="S165" s="48"/>
      <c r="T165" s="30"/>
      <c r="U165" s="30"/>
      <c r="V165" s="30"/>
      <c r="W165" s="30"/>
      <c r="X165" s="30"/>
    </row>
    <row r="166" spans="1:24" ht="15.95" customHeight="1">
      <c r="A166" s="2" t="s">
        <v>38</v>
      </c>
      <c r="I166" s="48"/>
      <c r="J166" s="48"/>
      <c r="K166" s="48"/>
      <c r="L166" s="19"/>
      <c r="M166" s="48"/>
      <c r="N166" s="48"/>
      <c r="O166" s="48"/>
      <c r="P166" s="48"/>
      <c r="Q166" s="48"/>
      <c r="R166" s="48"/>
      <c r="S166" s="48"/>
      <c r="T166" s="30"/>
      <c r="U166" s="30"/>
      <c r="V166" s="30"/>
      <c r="W166" s="30"/>
      <c r="X166" s="30"/>
    </row>
    <row r="167" spans="1:24" ht="15.95" customHeight="1">
      <c r="A167" s="2" t="s">
        <v>38</v>
      </c>
      <c r="I167" s="48"/>
      <c r="J167" s="48"/>
      <c r="K167" s="48"/>
      <c r="L167" s="19"/>
      <c r="M167" s="48"/>
      <c r="N167" s="48"/>
      <c r="O167" s="48"/>
      <c r="P167" s="48"/>
      <c r="Q167" s="48"/>
      <c r="R167" s="48"/>
      <c r="S167" s="48"/>
      <c r="T167" s="30"/>
      <c r="U167" s="30"/>
      <c r="V167" s="30"/>
      <c r="W167" s="30"/>
      <c r="X167" s="30"/>
    </row>
  </sheetData>
  <sortState xmlns:xlrd2="http://schemas.microsoft.com/office/spreadsheetml/2017/richdata2" ref="B12:F36">
    <sortCondition descending="1" ref="D12:D36"/>
  </sortState>
  <mergeCells count="1">
    <mergeCell ref="B4:G9"/>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B4C6E7"/>
  </sheetPr>
  <dimension ref="A1:T44"/>
  <sheetViews>
    <sheetView showGridLines="0" zoomScaleNormal="100" workbookViewId="0"/>
  </sheetViews>
  <sheetFormatPr defaultColWidth="11.5" defaultRowHeight="15.75" customHeight="1"/>
  <cols>
    <col min="1" max="1" width="8.625" style="2" customWidth="1"/>
    <col min="2" max="2" width="45.625" style="166" customWidth="1"/>
    <col min="3" max="3" width="42.625" style="166" customWidth="1"/>
    <col min="4" max="4" width="46" style="166" customWidth="1"/>
    <col min="5" max="5" width="41.625" style="166" customWidth="1"/>
    <col min="6" max="6" width="40.625" style="167" customWidth="1"/>
    <col min="7" max="11" width="13.625" style="166" customWidth="1"/>
    <col min="12" max="12" width="14.5" style="166" customWidth="1"/>
    <col min="13" max="13" width="14.625" style="166" customWidth="1"/>
    <col min="14" max="14" width="12.5" style="166" customWidth="1"/>
    <col min="15" max="15" width="12.625" style="166" customWidth="1"/>
    <col min="16" max="16" width="12.125" style="166" customWidth="1"/>
    <col min="17" max="17" width="11.5" style="166" customWidth="1"/>
    <col min="18" max="16384" width="11.5" style="166"/>
  </cols>
  <sheetData>
    <row r="1" spans="1:20" ht="15.6">
      <c r="A1" s="35"/>
    </row>
    <row r="2" spans="1:20" s="467" customFormat="1" ht="24.75" customHeight="1">
      <c r="A2" s="465"/>
      <c r="B2" s="466" t="s">
        <v>4597</v>
      </c>
      <c r="F2" s="706"/>
    </row>
    <row r="3" spans="1:20" s="162" customFormat="1" ht="15.95" customHeight="1">
      <c r="A3" s="35"/>
      <c r="B3" s="163"/>
      <c r="E3" s="164"/>
      <c r="F3" s="707"/>
      <c r="G3" s="164"/>
      <c r="H3" s="164"/>
      <c r="I3" s="164"/>
      <c r="J3" s="164"/>
      <c r="K3" s="164"/>
    </row>
    <row r="4" spans="1:20" s="162" customFormat="1" ht="15.95" customHeight="1">
      <c r="A4" s="35"/>
      <c r="B4" s="1433" t="s">
        <v>4598</v>
      </c>
      <c r="C4" s="1433"/>
      <c r="D4" s="1433"/>
      <c r="E4" s="393"/>
      <c r="F4" s="708"/>
      <c r="G4" s="393"/>
      <c r="H4" s="393"/>
      <c r="I4" s="164"/>
      <c r="J4" s="164"/>
      <c r="K4" s="164"/>
    </row>
    <row r="5" spans="1:20" s="162" customFormat="1" ht="15.95" customHeight="1">
      <c r="A5" s="35"/>
      <c r="B5" s="1433"/>
      <c r="C5" s="1433"/>
      <c r="D5" s="1433"/>
      <c r="E5" s="393"/>
      <c r="F5" s="708"/>
      <c r="G5" s="393"/>
      <c r="H5" s="393"/>
      <c r="I5" s="164"/>
      <c r="J5" s="164"/>
      <c r="K5" s="164"/>
    </row>
    <row r="6" spans="1:20" s="162" customFormat="1" ht="15.95" customHeight="1">
      <c r="A6" s="35"/>
      <c r="B6" s="1433"/>
      <c r="C6" s="1433"/>
      <c r="D6" s="1433"/>
      <c r="E6" s="393"/>
      <c r="F6" s="708"/>
      <c r="G6" s="393"/>
      <c r="H6" s="393"/>
      <c r="I6" s="164"/>
      <c r="J6" s="164"/>
      <c r="K6" s="164"/>
    </row>
    <row r="7" spans="1:20" s="162" customFormat="1" ht="15.95" customHeight="1">
      <c r="A7" s="35"/>
      <c r="B7" s="1433"/>
      <c r="C7" s="1433"/>
      <c r="D7" s="1433"/>
      <c r="E7" s="393"/>
      <c r="F7" s="708"/>
      <c r="G7" s="393"/>
      <c r="H7" s="393"/>
      <c r="I7" s="164"/>
      <c r="J7" s="164"/>
      <c r="K7" s="164"/>
    </row>
    <row r="8" spans="1:20" s="162" customFormat="1" ht="15.95" customHeight="1">
      <c r="A8" s="35"/>
      <c r="B8" s="1433"/>
      <c r="C8" s="1433"/>
      <c r="D8" s="1433"/>
      <c r="E8" s="393"/>
      <c r="F8" s="708"/>
      <c r="G8" s="393"/>
      <c r="H8" s="393"/>
      <c r="I8" s="164"/>
      <c r="J8" s="164"/>
      <c r="K8" s="164"/>
    </row>
    <row r="9" spans="1:20" s="162" customFormat="1" ht="15.95" customHeight="1">
      <c r="A9" s="35"/>
      <c r="B9" s="1433"/>
      <c r="C9" s="1433"/>
      <c r="D9" s="1433"/>
      <c r="E9" s="393"/>
      <c r="F9" s="708"/>
      <c r="G9" s="393"/>
      <c r="H9" s="393"/>
      <c r="I9" s="164"/>
      <c r="J9" s="164"/>
      <c r="K9" s="164"/>
    </row>
    <row r="10" spans="1:20" s="162" customFormat="1" ht="15.95" customHeight="1">
      <c r="A10" s="35"/>
      <c r="B10" s="163"/>
      <c r="E10" s="164"/>
      <c r="F10" s="707"/>
      <c r="G10" s="164"/>
      <c r="H10" s="164"/>
      <c r="I10" s="164"/>
      <c r="J10" s="164"/>
      <c r="K10" s="164"/>
    </row>
    <row r="11" spans="1:20" s="374" customFormat="1" ht="24.75" customHeight="1">
      <c r="A11" s="371"/>
      <c r="B11" s="240" t="s">
        <v>4599</v>
      </c>
      <c r="C11" s="432" t="s">
        <v>4600</v>
      </c>
      <c r="D11" s="432" t="s">
        <v>4601</v>
      </c>
      <c r="E11" s="432" t="s">
        <v>4602</v>
      </c>
      <c r="F11" s="709" t="s">
        <v>4603</v>
      </c>
      <c r="G11" s="372"/>
      <c r="H11" s="373" t="s">
        <v>4604</v>
      </c>
      <c r="K11" s="375"/>
      <c r="L11" s="375"/>
      <c r="M11" s="375"/>
      <c r="N11" s="375"/>
      <c r="O11" s="375"/>
      <c r="P11" s="375"/>
      <c r="Q11" s="375"/>
      <c r="R11" s="375"/>
      <c r="S11" s="375"/>
      <c r="T11" s="375"/>
    </row>
    <row r="12" spans="1:20" ht="15.6" customHeight="1">
      <c r="A12" s="566">
        <v>2</v>
      </c>
      <c r="B12" s="561" t="s">
        <v>4605</v>
      </c>
      <c r="C12" s="167">
        <f>SUMIFS('Bilateral Assistance, MAIN DATA'!S:S,'Bilateral Assistance, MAIN DATA'!AG:AG,1,'Bilateral Assistance, MAIN DATA'!AH:AH,A12, 'Bilateral Assistance, MAIN DATA'!D:D,"Financial")/1000000000</f>
        <v>3.7461210909318057</v>
      </c>
      <c r="D12" s="167">
        <f>SUMIFS('Bilateral Assistance, MAIN DATA'!S:S,'Bilateral Assistance, MAIN DATA'!AG:AG,1,'Bilateral Assistance, MAIN DATA'!AH:AH,A12, 'Bilateral Assistance, MAIN DATA'!D:D,"Humanitarian")/1000000000</f>
        <v>0.2063351678746933</v>
      </c>
      <c r="E12" s="167">
        <f>(SUMIFS('Bilateral Assistance, MAIN DATA'!S:S,'Bilateral Assistance, MAIN DATA'!AG:AG,1,'Bilateral Assistance, MAIN DATA'!AH:AH,A12, 'Bilateral Assistance, MAIN DATA'!D:D,"Military")/1000000000)</f>
        <v>1.113243086216948</v>
      </c>
      <c r="F12" s="167">
        <f t="shared" ref="F12:F27" si="0">SUM(C12:E12)</f>
        <v>5.0656993450234467</v>
      </c>
      <c r="G12" s="167"/>
    </row>
    <row r="13" spans="1:20" ht="15.6" customHeight="1">
      <c r="A13" s="566">
        <v>3</v>
      </c>
      <c r="B13" s="561" t="s">
        <v>4606</v>
      </c>
      <c r="C13" s="167">
        <f>SUMIFS('Bilateral Assistance, MAIN DATA'!S:S,'Bilateral Assistance, MAIN DATA'!AG:AG,1,'Bilateral Assistance, MAIN DATA'!AH:AH,A13, 'Bilateral Assistance, MAIN DATA'!D:D,"Financial")/1000000000</f>
        <v>3.4557197510382403</v>
      </c>
      <c r="D13" s="167">
        <f>SUMIFS('Bilateral Assistance, MAIN DATA'!S:S,'Bilateral Assistance, MAIN DATA'!AG:AG,1,'Bilateral Assistance, MAIN DATA'!AH:AH,A13, 'Bilateral Assistance, MAIN DATA'!D:D,"Humanitarian")/1000000000</f>
        <v>1.2069601774141903</v>
      </c>
      <c r="E13" s="167">
        <f>(SUMIFS('Bilateral Assistance, MAIN DATA'!S:S,'Bilateral Assistance, MAIN DATA'!AG:AG,1,'Bilateral Assistance, MAIN DATA'!AH:AH,A13, 'Bilateral Assistance, MAIN DATA'!D:D,"Military")/1000000000)</f>
        <v>9.7481265940351882</v>
      </c>
      <c r="F13" s="167">
        <f t="shared" si="0"/>
        <v>14.410806522487619</v>
      </c>
      <c r="H13" s="168"/>
      <c r="I13" s="168"/>
      <c r="J13" s="168"/>
      <c r="K13" s="168"/>
      <c r="L13" s="168"/>
    </row>
    <row r="14" spans="1:20" ht="15.6">
      <c r="A14" s="566">
        <v>4</v>
      </c>
      <c r="B14" s="561" t="s">
        <v>4607</v>
      </c>
      <c r="C14" s="167">
        <f>SUMIFS('Bilateral Assistance, MAIN DATA'!S:S,'Bilateral Assistance, MAIN DATA'!AG:AG,1,'Bilateral Assistance, MAIN DATA'!AH:AH,A14, 'Bilateral Assistance, MAIN DATA'!D:D,"Financial")/1000000000</f>
        <v>2.282606613701359</v>
      </c>
      <c r="D14" s="167">
        <f>SUMIFS('Bilateral Assistance, MAIN DATA'!S:S,'Bilateral Assistance, MAIN DATA'!AG:AG,1,'Bilateral Assistance, MAIN DATA'!AH:AH,A14, 'Bilateral Assistance, MAIN DATA'!D:D,"Humanitarian")/1000000000</f>
        <v>1.3982216207924825</v>
      </c>
      <c r="E14" s="167">
        <f>(SUMIFS('Bilateral Assistance, MAIN DATA'!S:S,'Bilateral Assistance, MAIN DATA'!AG:AG,1,'Bilateral Assistance, MAIN DATA'!AH:AH,A14, 'Bilateral Assistance, MAIN DATA'!D:D,"Military")/1000000000)</f>
        <v>11.39221766410215</v>
      </c>
      <c r="F14" s="167">
        <f t="shared" si="0"/>
        <v>15.073045898595991</v>
      </c>
      <c r="J14" s="30"/>
    </row>
    <row r="15" spans="1:20" ht="15.6">
      <c r="A15" s="566">
        <v>5</v>
      </c>
      <c r="B15" s="561" t="s">
        <v>4608</v>
      </c>
      <c r="C15" s="167">
        <f>SUMIFS('Bilateral Assistance, MAIN DATA'!S:S,'Bilateral Assistance, MAIN DATA'!AG:AG,1,'Bilateral Assistance, MAIN DATA'!AH:AH,A15, 'Bilateral Assistance, MAIN DATA'!D:D,"Financial")/1000000000</f>
        <v>14.833953030910974</v>
      </c>
      <c r="D15" s="167">
        <f>SUMIFS('Bilateral Assistance, MAIN DATA'!S:S,'Bilateral Assistance, MAIN DATA'!AG:AG,1,'Bilateral Assistance, MAIN DATA'!AH:AH,A15, 'Bilateral Assistance, MAIN DATA'!D:D,"Humanitarian")/1000000000</f>
        <v>1.1922341683069444</v>
      </c>
      <c r="E15" s="167">
        <f>(SUMIFS('Bilateral Assistance, MAIN DATA'!S:S,'Bilateral Assistance, MAIN DATA'!AG:AG,1,'Bilateral Assistance, MAIN DATA'!AH:AH,A15, 'Bilateral Assistance, MAIN DATA'!D:D,"Military")/1000000000)</f>
        <v>2.6779986122087518</v>
      </c>
      <c r="F15" s="167">
        <f t="shared" si="0"/>
        <v>18.704185811426669</v>
      </c>
      <c r="G15" s="167"/>
      <c r="J15" s="30"/>
    </row>
    <row r="16" spans="1:20" ht="15.6">
      <c r="A16" s="566">
        <v>6</v>
      </c>
      <c r="B16" s="561" t="s">
        <v>4609</v>
      </c>
      <c r="C16" s="167">
        <f>SUMIFS('Bilateral Assistance, MAIN DATA'!S:S,'Bilateral Assistance, MAIN DATA'!AG:AG,1,'Bilateral Assistance, MAIN DATA'!AH:AH,A16, 'Bilateral Assistance, MAIN DATA'!D:D,"Financial")/1000000000</f>
        <v>0.16549763098615825</v>
      </c>
      <c r="D16" s="167">
        <f>SUMIFS('Bilateral Assistance, MAIN DATA'!S:S,'Bilateral Assistance, MAIN DATA'!AG:AG,1,'Bilateral Assistance, MAIN DATA'!AH:AH,A16, 'Bilateral Assistance, MAIN DATA'!D:D,"Humanitarian")/1000000000</f>
        <v>0.684534666329913</v>
      </c>
      <c r="E16" s="167">
        <f>(SUMIFS('Bilateral Assistance, MAIN DATA'!S:S,'Bilateral Assistance, MAIN DATA'!AG:AG,1,'Bilateral Assistance, MAIN DATA'!AH:AH,A16, 'Bilateral Assistance, MAIN DATA'!D:D,"Military")/1000000000)</f>
        <v>3.8340576114965792</v>
      </c>
      <c r="F16" s="167">
        <f t="shared" si="0"/>
        <v>4.6840899088126502</v>
      </c>
      <c r="J16" s="30"/>
    </row>
    <row r="17" spans="1:7" ht="15.6">
      <c r="A17" s="566">
        <v>7</v>
      </c>
      <c r="B17" s="561" t="s">
        <v>4610</v>
      </c>
      <c r="C17" s="167">
        <f>SUMIFS('Bilateral Assistance, MAIN DATA'!S:S,'Bilateral Assistance, MAIN DATA'!AG:AG,1,'Bilateral Assistance, MAIN DATA'!AH:AH,A17, 'Bilateral Assistance, MAIN DATA'!D:D,"Financial")/1000000000</f>
        <v>0.44969999999999999</v>
      </c>
      <c r="D17" s="167">
        <f>SUMIFS('Bilateral Assistance, MAIN DATA'!S:S,'Bilateral Assistance, MAIN DATA'!AG:AG,1,'Bilateral Assistance, MAIN DATA'!AH:AH,A17, 'Bilateral Assistance, MAIN DATA'!D:D,"Humanitarian")/1000000000</f>
        <v>0.87692280109599785</v>
      </c>
      <c r="E17" s="167">
        <f>(SUMIFS('Bilateral Assistance, MAIN DATA'!S:S,'Bilateral Assistance, MAIN DATA'!AG:AG,1,'Bilateral Assistance, MAIN DATA'!AH:AH,A17, 'Bilateral Assistance, MAIN DATA'!D:D,"Military")/1000000000)</f>
        <v>0.72209168253676292</v>
      </c>
      <c r="F17" s="167">
        <f t="shared" si="0"/>
        <v>2.0487144836327609</v>
      </c>
      <c r="G17" s="167"/>
    </row>
    <row r="18" spans="1:7" ht="15.6">
      <c r="A18" s="566">
        <v>8</v>
      </c>
      <c r="B18" s="561" t="s">
        <v>4611</v>
      </c>
      <c r="C18" s="167">
        <f>SUMIFS('Bilateral Assistance, MAIN DATA'!S:S,'Bilateral Assistance, MAIN DATA'!AG:AG,1,'Bilateral Assistance, MAIN DATA'!AH:AH,A18, 'Bilateral Assistance, MAIN DATA'!D:D,"Financial")/1000000000</f>
        <v>0.31819789995512338</v>
      </c>
      <c r="D18" s="167">
        <f>SUMIFS('Bilateral Assistance, MAIN DATA'!S:S,'Bilateral Assistance, MAIN DATA'!AG:AG,1,'Bilateral Assistance, MAIN DATA'!AH:AH,A18, 'Bilateral Assistance, MAIN DATA'!D:D,"Humanitarian")/1000000000</f>
        <v>8.7916681203332125E-2</v>
      </c>
      <c r="E18" s="167">
        <f>(SUMIFS('Bilateral Assistance, MAIN DATA'!S:S,'Bilateral Assistance, MAIN DATA'!AG:AG,1,'Bilateral Assistance, MAIN DATA'!AH:AH,A18, 'Bilateral Assistance, MAIN DATA'!D:D,"Military")/1000000000)</f>
        <v>0.77679538472841569</v>
      </c>
      <c r="F18" s="167">
        <f t="shared" si="0"/>
        <v>1.1829099658868711</v>
      </c>
    </row>
    <row r="19" spans="1:7" ht="15.6">
      <c r="A19" s="566">
        <v>9</v>
      </c>
      <c r="B19" s="561" t="s">
        <v>4612</v>
      </c>
      <c r="C19" s="167">
        <f>SUMIFS('Bilateral Assistance, MAIN DATA'!S:S,'Bilateral Assistance, MAIN DATA'!AG:AG,1,'Bilateral Assistance, MAIN DATA'!AH:AH,A19, 'Bilateral Assistance, MAIN DATA'!D:D,"Financial")/1000000000</f>
        <v>4.6531624953993376</v>
      </c>
      <c r="D19" s="167">
        <f>SUMIFS('Bilateral Assistance, MAIN DATA'!S:S,'Bilateral Assistance, MAIN DATA'!AG:AG,1,'Bilateral Assistance, MAIN DATA'!AH:AH,A19, 'Bilateral Assistance, MAIN DATA'!D:D,"Humanitarian")/1000000000</f>
        <v>0.74271723186648575</v>
      </c>
      <c r="E19" s="167">
        <f>(SUMIFS('Bilateral Assistance, MAIN DATA'!S:S,'Bilateral Assistance, MAIN DATA'!AG:AG,1,'Bilateral Assistance, MAIN DATA'!AH:AH,A19, 'Bilateral Assistance, MAIN DATA'!D:D,"Military")/1000000000)</f>
        <v>6.6700058112946117</v>
      </c>
      <c r="F19" s="167">
        <f t="shared" si="0"/>
        <v>12.065885538560435</v>
      </c>
      <c r="G19" s="169"/>
    </row>
    <row r="20" spans="1:7" ht="15.6">
      <c r="A20" s="566">
        <v>10</v>
      </c>
      <c r="B20" s="561" t="s">
        <v>4613</v>
      </c>
      <c r="C20" s="167">
        <f>SUMIFS('Bilateral Assistance, MAIN DATA'!S:S,'Bilateral Assistance, MAIN DATA'!AG:AG,1,'Bilateral Assistance, MAIN DATA'!AH:AH,A20, 'Bilateral Assistance, MAIN DATA'!D:D,"Financial")/1000000000</f>
        <v>0.63262620333989794</v>
      </c>
      <c r="D20" s="167">
        <f>SUMIFS('Bilateral Assistance, MAIN DATA'!S:S,'Bilateral Assistance, MAIN DATA'!AG:AG,1,'Bilateral Assistance, MAIN DATA'!AH:AH,A20, 'Bilateral Assistance, MAIN DATA'!D:D,"Humanitarian")/1000000000</f>
        <v>0.42035769946565443</v>
      </c>
      <c r="E20" s="167">
        <f>(SUMIFS('Bilateral Assistance, MAIN DATA'!S:S,'Bilateral Assistance, MAIN DATA'!AG:AG,1,'Bilateral Assistance, MAIN DATA'!AH:AH,A20, 'Bilateral Assistance, MAIN DATA'!D:D,"Military")/1000000000)</f>
        <v>1.6337914517488383</v>
      </c>
      <c r="F20" s="167">
        <f t="shared" si="0"/>
        <v>2.6867753545543906</v>
      </c>
    </row>
    <row r="21" spans="1:7" ht="15.6">
      <c r="A21" s="566">
        <v>11</v>
      </c>
      <c r="B21" s="561" t="s">
        <v>4614</v>
      </c>
      <c r="C21" s="167">
        <f>SUMIFS('Bilateral Assistance, MAIN DATA'!S:S,'Bilateral Assistance, MAIN DATA'!AG:AG,1,'Bilateral Assistance, MAIN DATA'!AH:AH,A21, 'Bilateral Assistance, MAIN DATA'!D:D,"Financial")/1000000000</f>
        <v>18.157273429553989</v>
      </c>
      <c r="D21" s="167">
        <f>SUMIFS('Bilateral Assistance, MAIN DATA'!S:S,'Bilateral Assistance, MAIN DATA'!AG:AG,1,'Bilateral Assistance, MAIN DATA'!AH:AH,A21, 'Bilateral Assistance, MAIN DATA'!D:D,"Humanitarian")/1000000000</f>
        <v>0.40502395956479198</v>
      </c>
      <c r="E21" s="167">
        <f>(SUMIFS('Bilateral Assistance, MAIN DATA'!S:S,'Bilateral Assistance, MAIN DATA'!AG:AG,1,'Bilateral Assistance, MAIN DATA'!AH:AH,A21, 'Bilateral Assistance, MAIN DATA'!D:D,"Military")/1000000000)</f>
        <v>1.2057871785529384</v>
      </c>
      <c r="F21" s="167">
        <f t="shared" si="0"/>
        <v>19.768084567671721</v>
      </c>
      <c r="G21" s="169"/>
    </row>
    <row r="22" spans="1:7" ht="15.6">
      <c r="A22" s="566">
        <v>12</v>
      </c>
      <c r="B22" s="561" t="s">
        <v>4615</v>
      </c>
      <c r="C22" s="167">
        <f>SUMIFS('Bilateral Assistance, MAIN DATA'!S:S,'Bilateral Assistance, MAIN DATA'!AG:AG,1,'Bilateral Assistance, MAIN DATA'!AH:AH,A22, 'Bilateral Assistance, MAIN DATA'!D:D,"Financial")/1000000000</f>
        <v>13.775211028870753</v>
      </c>
      <c r="D22" s="167">
        <f>SUMIFS('Bilateral Assistance, MAIN DATA'!S:S,'Bilateral Assistance, MAIN DATA'!AG:AG,1,'Bilateral Assistance, MAIN DATA'!AH:AH,A22, 'Bilateral Assistance, MAIN DATA'!D:D,"Humanitarian")/1000000000</f>
        <v>3.8008646686282979</v>
      </c>
      <c r="E22" s="167">
        <f>(SUMIFS('Bilateral Assistance, MAIN DATA'!S:S,'Bilateral Assistance, MAIN DATA'!AG:AG,1,'Bilateral Assistance, MAIN DATA'!AH:AH,A22, 'Bilateral Assistance, MAIN DATA'!D:D,"Military")/1000000000)</f>
        <v>23.437003598379327</v>
      </c>
      <c r="F22" s="167">
        <f t="shared" si="0"/>
        <v>41.013079295878377</v>
      </c>
      <c r="G22" s="169"/>
    </row>
    <row r="23" spans="1:7" ht="15.6">
      <c r="A23" s="566">
        <v>13</v>
      </c>
      <c r="B23" s="561" t="s">
        <v>4616</v>
      </c>
      <c r="C23" s="167">
        <f>SUMIFS('Bilateral Assistance, MAIN DATA'!S:S,'Bilateral Assistance, MAIN DATA'!AG:AG,1,'Bilateral Assistance, MAIN DATA'!AH:AH,A23, 'Bilateral Assistance, MAIN DATA'!D:D,"Financial")/1000000000</f>
        <v>4.4999999999999997E-3</v>
      </c>
      <c r="D23" s="167">
        <f>SUMIFS('Bilateral Assistance, MAIN DATA'!S:S,'Bilateral Assistance, MAIN DATA'!AG:AG,1,'Bilateral Assistance, MAIN DATA'!AH:AH,A23, 'Bilateral Assistance, MAIN DATA'!D:D,"Humanitarian")/1000000000</f>
        <v>6.4743928283651192E-2</v>
      </c>
      <c r="E23" s="167">
        <f>(SUMIFS('Bilateral Assistance, MAIN DATA'!S:S,'Bilateral Assistance, MAIN DATA'!AG:AG,1,'Bilateral Assistance, MAIN DATA'!AH:AH,A23, 'Bilateral Assistance, MAIN DATA'!D:D,"Military")/1000000000)</f>
        <v>6.8790172033181456</v>
      </c>
      <c r="F23" s="167">
        <f t="shared" si="0"/>
        <v>6.9482611316017966</v>
      </c>
      <c r="G23" s="169"/>
    </row>
    <row r="24" spans="1:7" ht="15.6">
      <c r="A24" s="566">
        <v>14</v>
      </c>
      <c r="B24" s="561" t="s">
        <v>4617</v>
      </c>
      <c r="C24" s="167">
        <f>SUMIFS('Bilateral Assistance, MAIN DATA'!S:S,'Bilateral Assistance, MAIN DATA'!AG:AG,1,'Bilateral Assistance, MAIN DATA'!AH:AH,A24, 'Bilateral Assistance, MAIN DATA'!D:D,"Financial")/1000000000</f>
        <v>5.2028902080931445</v>
      </c>
      <c r="D24" s="167">
        <f>SUMIFS('Bilateral Assistance, MAIN DATA'!S:S,'Bilateral Assistance, MAIN DATA'!AG:AG,1,'Bilateral Assistance, MAIN DATA'!AH:AH,A24, 'Bilateral Assistance, MAIN DATA'!D:D,"Humanitarian")/1000000000</f>
        <v>1.181240719388762</v>
      </c>
      <c r="E24" s="167">
        <f>(SUMIFS('Bilateral Assistance, MAIN DATA'!S:S,'Bilateral Assistance, MAIN DATA'!AG:AG,1,'Bilateral Assistance, MAIN DATA'!AH:AH,A24, 'Bilateral Assistance, MAIN DATA'!D:D,"Military")/1000000000)</f>
        <v>0.98444490744554258</v>
      </c>
      <c r="F24" s="167">
        <f t="shared" si="0"/>
        <v>7.3685758349274488</v>
      </c>
      <c r="G24" s="169"/>
    </row>
    <row r="25" spans="1:7" ht="15.6">
      <c r="A25" s="566">
        <v>15</v>
      </c>
      <c r="B25" s="561" t="s">
        <v>4618</v>
      </c>
      <c r="C25" s="167">
        <f>SUMIFS('Bilateral Assistance, MAIN DATA'!S:S,'Bilateral Assistance, MAIN DATA'!AG:AG,1,'Bilateral Assistance, MAIN DATA'!AH:AH,A25, 'Bilateral Assistance, MAIN DATA'!D:D,"Financial")/1000000000</f>
        <v>0.47709010811639418</v>
      </c>
      <c r="D25" s="167">
        <f>SUMIFS('Bilateral Assistance, MAIN DATA'!S:S,'Bilateral Assistance, MAIN DATA'!AG:AG,1,'Bilateral Assistance, MAIN DATA'!AH:AH,A25, 'Bilateral Assistance, MAIN DATA'!D:D,"Humanitarian")/1000000000</f>
        <v>0.68578862759653192</v>
      </c>
      <c r="E25" s="167">
        <f>(SUMIFS('Bilateral Assistance, MAIN DATA'!S:S,'Bilateral Assistance, MAIN DATA'!AG:AG,1,'Bilateral Assistance, MAIN DATA'!AH:AH,A25, 'Bilateral Assistance, MAIN DATA'!D:D,"Military")/1000000000)</f>
        <v>0.71305085307912297</v>
      </c>
      <c r="F25" s="167">
        <f t="shared" si="0"/>
        <v>1.8759295887920491</v>
      </c>
      <c r="G25" s="169"/>
    </row>
    <row r="26" spans="1:7" ht="15.6">
      <c r="A26" s="566">
        <v>16</v>
      </c>
      <c r="B26" s="561" t="s">
        <v>4619</v>
      </c>
      <c r="C26" s="167">
        <f>SUMIFS('Bilateral Assistance, MAIN DATA'!S:S,'Bilateral Assistance, MAIN DATA'!AG:AG,1,'Bilateral Assistance, MAIN DATA'!AH:AH,A26, 'Bilateral Assistance, MAIN DATA'!D:D,"Financial")/1000000000</f>
        <v>2.7475468386723239</v>
      </c>
      <c r="D26" s="167">
        <f>SUMIFS('Bilateral Assistance, MAIN DATA'!S:S,'Bilateral Assistance, MAIN DATA'!AG:AG,1,'Bilateral Assistance, MAIN DATA'!AH:AH,A26, 'Bilateral Assistance, MAIN DATA'!D:D,"Humanitarian")/1000000000</f>
        <v>0.39183420200266339</v>
      </c>
      <c r="E26" s="167">
        <f>(SUMIFS('Bilateral Assistance, MAIN DATA'!S:S,'Bilateral Assistance, MAIN DATA'!AG:AG,1,'Bilateral Assistance, MAIN DATA'!AH:AH,A26, 'Bilateral Assistance, MAIN DATA'!D:D,"Military")/1000000000)</f>
        <v>4.8413606831623746</v>
      </c>
      <c r="F26" s="167">
        <f t="shared" si="0"/>
        <v>7.9807417238373617</v>
      </c>
      <c r="G26" s="169"/>
    </row>
    <row r="27" spans="1:7" ht="15.6">
      <c r="A27" s="566">
        <v>17</v>
      </c>
      <c r="B27" s="561" t="s">
        <v>4620</v>
      </c>
      <c r="C27" s="167">
        <f>SUMIFS('Bilateral Assistance, MAIN DATA'!S:S,'Bilateral Assistance, MAIN DATA'!AG:AG,1,'Bilateral Assistance, MAIN DATA'!AH:AH,A27, 'Bilateral Assistance, MAIN DATA'!D:D,"Financial")/1000000000</f>
        <v>0.40830906472197448</v>
      </c>
      <c r="D27" s="167">
        <f>SUMIFS('Bilateral Assistance, MAIN DATA'!S:S,'Bilateral Assistance, MAIN DATA'!AG:AG,1,'Bilateral Assistance, MAIN DATA'!AH:AH,A27, 'Bilateral Assistance, MAIN DATA'!D:D,"Humanitarian")/1000000000</f>
        <v>0.2130595898484241</v>
      </c>
      <c r="E27" s="167">
        <f>SUMIFS('Bilateral Assistance, MAIN DATA'!S:S,'Bilateral Assistance, MAIN DATA'!AG:AG,1,'Bilateral Assistance, MAIN DATA'!AH:AH,A27, 'Bilateral Assistance, MAIN DATA'!D:D,"Military")/1000000000</f>
        <v>3.2557517393703876</v>
      </c>
      <c r="F27" s="167">
        <f t="shared" si="0"/>
        <v>3.8771203939407863</v>
      </c>
      <c r="G27" s="169"/>
    </row>
    <row r="28" spans="1:7" ht="15.6">
      <c r="B28" s="433" t="s">
        <v>4621</v>
      </c>
      <c r="C28" s="248">
        <f>SUM(C12:C27)</f>
        <v>71.310405394291479</v>
      </c>
      <c r="D28" s="248">
        <f>SUM(D12:D27)</f>
        <v>13.558755909662816</v>
      </c>
      <c r="E28" s="248">
        <f>SUM(E12:E27)</f>
        <v>79.884744061676102</v>
      </c>
      <c r="F28" s="248">
        <f>SUM(F12:F27)</f>
        <v>164.75390536563037</v>
      </c>
      <c r="G28" s="167"/>
    </row>
    <row r="29" spans="1:7" ht="15.6">
      <c r="B29" s="168" t="s">
        <v>4622</v>
      </c>
      <c r="C29" s="249"/>
      <c r="D29" s="249"/>
      <c r="E29" s="249"/>
      <c r="F29" s="249">
        <f>('Commitments per Month'!U55+'Commitments per Month'!V55)-'Commitments per Month'!D55</f>
        <v>165.15240654822651</v>
      </c>
      <c r="G29" s="167"/>
    </row>
    <row r="30" spans="1:7" ht="15.6">
      <c r="B30" s="394" t="s">
        <v>4623</v>
      </c>
      <c r="C30" s="250"/>
      <c r="D30" s="250"/>
      <c r="E30" s="250"/>
      <c r="F30" s="250">
        <f>F29-F28</f>
        <v>0.3985011825961351</v>
      </c>
    </row>
    <row r="31" spans="1:7" ht="15.6">
      <c r="B31" s="37"/>
      <c r="C31" s="167"/>
      <c r="F31" s="266"/>
    </row>
    <row r="32" spans="1:7" ht="15.6">
      <c r="B32" s="37"/>
      <c r="F32" s="266"/>
    </row>
    <row r="33" spans="2:12" ht="15.6">
      <c r="B33" s="37"/>
      <c r="F33" s="266"/>
    </row>
    <row r="34" spans="2:12" ht="15.6">
      <c r="B34" s="37"/>
      <c r="F34" s="266"/>
    </row>
    <row r="35" spans="2:12" ht="15.6">
      <c r="B35" s="37"/>
      <c r="F35" s="266"/>
    </row>
    <row r="36" spans="2:12" ht="15.6">
      <c r="B36" s="37"/>
      <c r="F36" s="266"/>
    </row>
    <row r="37" spans="2:12" ht="15.6">
      <c r="B37" s="37"/>
    </row>
    <row r="38" spans="2:12" ht="15.6">
      <c r="B38" s="37"/>
    </row>
    <row r="39" spans="2:12" ht="15.6">
      <c r="B39" s="37"/>
    </row>
    <row r="40" spans="2:12" ht="15.6">
      <c r="B40" s="37"/>
    </row>
    <row r="41" spans="2:12" ht="15.6">
      <c r="B41" s="37"/>
    </row>
    <row r="42" spans="2:12" ht="15.6">
      <c r="B42" s="37"/>
    </row>
    <row r="44" spans="2:12" ht="20.45">
      <c r="L44" s="366"/>
    </row>
  </sheetData>
  <mergeCells count="1">
    <mergeCell ref="B4:D9"/>
  </mergeCell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B4C6E7"/>
  </sheetPr>
  <dimension ref="A1:R45"/>
  <sheetViews>
    <sheetView showGridLines="0" zoomScaleNormal="100" workbookViewId="0"/>
  </sheetViews>
  <sheetFormatPr defaultColWidth="11.5" defaultRowHeight="15.75" customHeight="1"/>
  <cols>
    <col min="1" max="1" width="8.625" style="2" customWidth="1"/>
    <col min="2" max="2" width="39.875" style="510" bestFit="1" customWidth="1"/>
    <col min="3" max="3" width="40.875" style="503" bestFit="1" customWidth="1"/>
    <col min="4" max="4" width="21" style="503" customWidth="1"/>
    <col min="5" max="9" width="13.625" style="503" customWidth="1"/>
    <col min="10" max="10" width="66.5" style="503" bestFit="1" customWidth="1"/>
    <col min="11" max="11" width="44.5" style="503" bestFit="1" customWidth="1"/>
    <col min="12" max="14" width="42" style="503" bestFit="1" customWidth="1"/>
    <col min="15" max="15" width="11.5" style="503" customWidth="1"/>
    <col min="16" max="16384" width="11.5" style="503"/>
  </cols>
  <sheetData>
    <row r="1" spans="1:18" ht="15.6">
      <c r="A1" s="502"/>
    </row>
    <row r="2" spans="1:18" s="505" customFormat="1" ht="24.75" customHeight="1">
      <c r="A2" s="502"/>
      <c r="B2" s="536" t="s">
        <v>4624</v>
      </c>
      <c r="C2" s="504"/>
    </row>
    <row r="3" spans="1:18" s="505" customFormat="1" ht="15.95" customHeight="1">
      <c r="A3" s="502"/>
      <c r="B3" s="537"/>
      <c r="C3" s="506"/>
      <c r="E3" s="507"/>
      <c r="F3" s="507"/>
      <c r="G3" s="507"/>
      <c r="H3" s="507"/>
      <c r="I3" s="507"/>
    </row>
    <row r="4" spans="1:18" s="505" customFormat="1" ht="15.95" customHeight="1">
      <c r="A4" s="502"/>
      <c r="B4" s="1433" t="s">
        <v>4625</v>
      </c>
      <c r="C4" s="1433"/>
      <c r="D4" s="1433"/>
      <c r="E4" s="1350"/>
      <c r="F4" s="1350"/>
      <c r="G4" s="507"/>
      <c r="H4" s="507"/>
      <c r="I4" s="507"/>
    </row>
    <row r="5" spans="1:18" s="505" customFormat="1" ht="15.95" customHeight="1">
      <c r="A5" s="502"/>
      <c r="B5" s="1433"/>
      <c r="C5" s="1433"/>
      <c r="D5" s="1433"/>
      <c r="E5" s="1350"/>
      <c r="F5" s="1350"/>
      <c r="G5" s="507"/>
      <c r="H5" s="507"/>
      <c r="I5" s="507"/>
    </row>
    <row r="6" spans="1:18" s="505" customFormat="1" ht="15.95" customHeight="1">
      <c r="A6" s="502"/>
      <c r="B6" s="1433"/>
      <c r="C6" s="1433"/>
      <c r="D6" s="1433"/>
      <c r="E6" s="1350"/>
      <c r="F6" s="1350"/>
      <c r="G6" s="507"/>
      <c r="H6" s="507"/>
      <c r="I6" s="507"/>
    </row>
    <row r="7" spans="1:18" s="505" customFormat="1" ht="15.95" customHeight="1">
      <c r="A7" s="502"/>
      <c r="B7" s="1433"/>
      <c r="C7" s="1433"/>
      <c r="D7" s="1433"/>
      <c r="E7" s="1350"/>
      <c r="F7" s="1350"/>
      <c r="G7" s="507"/>
      <c r="H7" s="507"/>
      <c r="I7" s="507"/>
    </row>
    <row r="8" spans="1:18" s="505" customFormat="1" ht="15.95" customHeight="1">
      <c r="A8" s="502"/>
      <c r="B8" s="1433"/>
      <c r="C8" s="1433"/>
      <c r="D8" s="1433"/>
      <c r="E8" s="1350"/>
      <c r="F8" s="1350"/>
      <c r="G8" s="507"/>
      <c r="H8" s="507"/>
      <c r="I8" s="507"/>
    </row>
    <row r="9" spans="1:18" s="505" customFormat="1" ht="15.95" customHeight="1">
      <c r="A9" s="502"/>
      <c r="B9" s="1433"/>
      <c r="C9" s="1433"/>
      <c r="D9" s="1433"/>
      <c r="E9" s="1350"/>
      <c r="F9" s="1350"/>
      <c r="G9" s="507"/>
      <c r="H9" s="507"/>
      <c r="I9" s="507"/>
    </row>
    <row r="10" spans="1:18" s="505" customFormat="1" ht="15.95" customHeight="1">
      <c r="A10" s="502"/>
      <c r="B10" s="537"/>
      <c r="E10" s="507"/>
      <c r="F10" s="507"/>
      <c r="G10" s="507"/>
      <c r="H10" s="507"/>
      <c r="I10" s="507"/>
    </row>
    <row r="11" spans="1:18" s="512" customFormat="1" ht="24.75" customHeight="1">
      <c r="A11" s="371"/>
      <c r="B11" s="508" t="s">
        <v>4599</v>
      </c>
      <c r="C11" s="509" t="s">
        <v>4591</v>
      </c>
      <c r="D11" s="509" t="s">
        <v>4592</v>
      </c>
      <c r="E11" s="510" t="s">
        <v>4626</v>
      </c>
      <c r="F11" s="511" t="s">
        <v>4627</v>
      </c>
      <c r="I11" s="513"/>
      <c r="J11" s="513"/>
      <c r="K11" s="513"/>
      <c r="L11" s="513"/>
      <c r="M11" s="513"/>
      <c r="N11" s="513"/>
      <c r="O11" s="513"/>
      <c r="P11" s="513"/>
      <c r="Q11" s="513"/>
      <c r="R11" s="513"/>
    </row>
    <row r="12" spans="1:18" ht="15.6" customHeight="1">
      <c r="A12" s="566">
        <v>2</v>
      </c>
      <c r="B12" s="561" t="s">
        <v>4605</v>
      </c>
      <c r="C12" s="514">
        <f>(SUMIFS('Bilateral Assistance, MAIN DATA'!$S:$S,'Bilateral Assistance, MAIN DATA'!$AH:$AH,A12,'Bilateral Assistance, MAIN DATA'!$AD:$AD,1, 'Bilateral Assistance, MAIN DATA'!$E:$E,"Grant") + SUMIFS('Bilateral Assistance, MAIN DATA'!$S:$S,'Bilateral Assistance, MAIN DATA'!$AH:$AH,A12,'Bilateral Assistance, MAIN DATA'!$AD:$AD,1, 'Bilateral Assistance, MAIN DATA'!$E:$E,"Loan")+SUMIFS('Bilateral Assistance, MAIN DATA'!$S:$S,'Bilateral Assistance, MAIN DATA'!$AH:$AH,A12,'Bilateral Assistance, MAIN DATA'!$AD:$AD,1, 'Bilateral Assistance, MAIN DATA'!$E:$E,"Guarantee"))/1000000000</f>
        <v>2.8710651259733311</v>
      </c>
      <c r="D12" s="514">
        <f>SUM('Financial disb per Month (€)'!E13:E54)</f>
        <v>0</v>
      </c>
    </row>
    <row r="13" spans="1:18" ht="15.6" customHeight="1">
      <c r="A13" s="566">
        <v>3</v>
      </c>
      <c r="B13" s="561" t="s">
        <v>4606</v>
      </c>
      <c r="C13" s="514">
        <f>(SUMIFS('Bilateral Assistance, MAIN DATA'!$S:$S,'Bilateral Assistance, MAIN DATA'!$AH:$AH,A13,'Bilateral Assistance, MAIN DATA'!$AD:$AD,1, 'Bilateral Assistance, MAIN DATA'!$E:$E,"Grant") + SUMIFS('Bilateral Assistance, MAIN DATA'!$S:$S,'Bilateral Assistance, MAIN DATA'!$AH:$AH,A13,'Bilateral Assistance, MAIN DATA'!$AD:$AD,1, 'Bilateral Assistance, MAIN DATA'!$E:$E,"Loan")+SUMIFS('Bilateral Assistance, MAIN DATA'!$S:$S,'Bilateral Assistance, MAIN DATA'!$AH:$AH,A13,'Bilateral Assistance, MAIN DATA'!$AD:$AD,1, 'Bilateral Assistance, MAIN DATA'!$E:$E,"Guarantee"))/1000000000</f>
        <v>3.4561435696438765</v>
      </c>
      <c r="D13" s="514">
        <f>SUM('Financial disb per Month (€)'!F13:F54)</f>
        <v>0</v>
      </c>
      <c r="F13" s="516"/>
      <c r="G13" s="516"/>
      <c r="H13" s="516"/>
      <c r="I13" s="516"/>
      <c r="J13" s="516"/>
    </row>
    <row r="14" spans="1:18" ht="15.6">
      <c r="A14" s="566">
        <v>4</v>
      </c>
      <c r="B14" s="561" t="s">
        <v>4607</v>
      </c>
      <c r="C14" s="514">
        <f>(SUMIFS('Bilateral Assistance, MAIN DATA'!$S:$S,'Bilateral Assistance, MAIN DATA'!$AH:$AH,A14,'Bilateral Assistance, MAIN DATA'!$AD:$AD,1, 'Bilateral Assistance, MAIN DATA'!$E:$E,"Grant") + SUMIFS('Bilateral Assistance, MAIN DATA'!$S:$S,'Bilateral Assistance, MAIN DATA'!$AH:$AH,A14,'Bilateral Assistance, MAIN DATA'!$AD:$AD,1, 'Bilateral Assistance, MAIN DATA'!$E:$E,"Loan")+SUMIFS('Bilateral Assistance, MAIN DATA'!$S:$S,'Bilateral Assistance, MAIN DATA'!$AH:$AH,A14,'Bilateral Assistance, MAIN DATA'!$AD:$AD,1, 'Bilateral Assistance, MAIN DATA'!$E:$E,"Guarantee"))/1000000000</f>
        <v>2.3059676736939978</v>
      </c>
      <c r="D14" s="514">
        <f>SUM('Financial disb per Month (€)'!G13:G54)</f>
        <v>2.0564961354435036</v>
      </c>
      <c r="H14" s="30"/>
    </row>
    <row r="15" spans="1:18" ht="15.6">
      <c r="A15" s="566">
        <v>5</v>
      </c>
      <c r="B15" s="561" t="s">
        <v>4608</v>
      </c>
      <c r="C15" s="514">
        <f>(SUMIFS('Bilateral Assistance, MAIN DATA'!$S:$S,'Bilateral Assistance, MAIN DATA'!$AH:$AH,A15,'Bilateral Assistance, MAIN DATA'!$AD:$AD,1, 'Bilateral Assistance, MAIN DATA'!$E:$E,"Grant") + SUMIFS('Bilateral Assistance, MAIN DATA'!$S:$S,'Bilateral Assistance, MAIN DATA'!$AH:$AH,A15,'Bilateral Assistance, MAIN DATA'!$AD:$AD,1, 'Bilateral Assistance, MAIN DATA'!$E:$E,"Loan")+SUMIFS('Bilateral Assistance, MAIN DATA'!$S:$S,'Bilateral Assistance, MAIN DATA'!$AH:$AH,A15,'Bilateral Assistance, MAIN DATA'!$AD:$AD,1, 'Bilateral Assistance, MAIN DATA'!$E:$E,"Guarantee"))/1000000000</f>
        <v>14.872853030910976</v>
      </c>
      <c r="D15" s="514">
        <f>SUM('Financial disb per Month (€)'!H13:H54)</f>
        <v>2.0881838950523162</v>
      </c>
      <c r="H15" s="30"/>
    </row>
    <row r="16" spans="1:18" ht="15.6">
      <c r="A16" s="566">
        <v>6</v>
      </c>
      <c r="B16" s="561" t="s">
        <v>4609</v>
      </c>
      <c r="C16" s="514">
        <f>(SUMIFS('Bilateral Assistance, MAIN DATA'!$S:$S,'Bilateral Assistance, MAIN DATA'!$AH:$AH,A16,'Bilateral Assistance, MAIN DATA'!$AD:$AD,1, 'Bilateral Assistance, MAIN DATA'!$E:$E,"Grant") + SUMIFS('Bilateral Assistance, MAIN DATA'!$S:$S,'Bilateral Assistance, MAIN DATA'!$AH:$AH,A16,'Bilateral Assistance, MAIN DATA'!$AD:$AD,1, 'Bilateral Assistance, MAIN DATA'!$E:$E,"Loan")+SUMIFS('Bilateral Assistance, MAIN DATA'!$S:$S,'Bilateral Assistance, MAIN DATA'!$AH:$AH,A16,'Bilateral Assistance, MAIN DATA'!$AD:$AD,1, 'Bilateral Assistance, MAIN DATA'!$E:$E,"Guarantee"))/1000000000</f>
        <v>0.22575228477091491</v>
      </c>
      <c r="D16" s="514">
        <f>SUM('Financial disb per Month (€)'!I13:I54)</f>
        <v>1.357195436142804</v>
      </c>
      <c r="H16" s="30"/>
    </row>
    <row r="17" spans="1:4" ht="15.6">
      <c r="A17" s="566">
        <v>7</v>
      </c>
      <c r="B17" s="561" t="s">
        <v>4610</v>
      </c>
      <c r="C17" s="514">
        <f>(SUMIFS('Bilateral Assistance, MAIN DATA'!$S:$S,'Bilateral Assistance, MAIN DATA'!$AH:$AH,A17,'Bilateral Assistance, MAIN DATA'!$AD:$AD,1, 'Bilateral Assistance, MAIN DATA'!$E:$E,"Grant") + SUMIFS('Bilateral Assistance, MAIN DATA'!$S:$S,'Bilateral Assistance, MAIN DATA'!$AH:$AH,A17,'Bilateral Assistance, MAIN DATA'!$AD:$AD,1, 'Bilateral Assistance, MAIN DATA'!$E:$E,"Loan")+SUMIFS('Bilateral Assistance, MAIN DATA'!$S:$S,'Bilateral Assistance, MAIN DATA'!$AH:$AH,A17,'Bilateral Assistance, MAIN DATA'!$AD:$AD,1, 'Bilateral Assistance, MAIN DATA'!$E:$E,"Guarantee"))/1000000000</f>
        <v>0.80111997281797498</v>
      </c>
      <c r="D17" s="514">
        <f>SUM('Financial disb per Month (€)'!J13:J54)</f>
        <v>4.1387559808612444</v>
      </c>
    </row>
    <row r="18" spans="1:4" ht="15.6">
      <c r="A18" s="566">
        <v>8</v>
      </c>
      <c r="B18" s="561" t="s">
        <v>4611</v>
      </c>
      <c r="C18" s="514">
        <f>(SUMIFS('Bilateral Assistance, MAIN DATA'!$S:$S,'Bilateral Assistance, MAIN DATA'!$AH:$AH,A18,'Bilateral Assistance, MAIN DATA'!$AD:$AD,1, 'Bilateral Assistance, MAIN DATA'!$E:$E,"Grant") + SUMIFS('Bilateral Assistance, MAIN DATA'!$S:$S,'Bilateral Assistance, MAIN DATA'!$AH:$AH,A18,'Bilateral Assistance, MAIN DATA'!$AD:$AD,1, 'Bilateral Assistance, MAIN DATA'!$E:$E,"Loan")+SUMIFS('Bilateral Assistance, MAIN DATA'!$S:$S,'Bilateral Assistance, MAIN DATA'!$AH:$AH,A18,'Bilateral Assistance, MAIN DATA'!$AD:$AD,1, 'Bilateral Assistance, MAIN DATA'!$E:$E,"Guarantee"))/1000000000</f>
        <v>0.31819789995512332</v>
      </c>
      <c r="D18" s="514">
        <f>SUM('Financial disb per Month (€)'!K13:K54)</f>
        <v>4.2335296282664707</v>
      </c>
    </row>
    <row r="19" spans="1:4" ht="15.6">
      <c r="A19" s="566">
        <v>9</v>
      </c>
      <c r="B19" s="561" t="s">
        <v>4612</v>
      </c>
      <c r="C19" s="514">
        <f>(SUMIFS('Bilateral Assistance, MAIN DATA'!$S:$S,'Bilateral Assistance, MAIN DATA'!$AH:$AH,A19,'Bilateral Assistance, MAIN DATA'!$AD:$AD,1, 'Bilateral Assistance, MAIN DATA'!$E:$E,"Grant") + SUMIFS('Bilateral Assistance, MAIN DATA'!$S:$S,'Bilateral Assistance, MAIN DATA'!$AH:$AH,A19,'Bilateral Assistance, MAIN DATA'!$AD:$AD,1, 'Bilateral Assistance, MAIN DATA'!$E:$E,"Loan")+SUMIFS('Bilateral Assistance, MAIN DATA'!$S:$S,'Bilateral Assistance, MAIN DATA'!$AH:$AH,A19,'Bilateral Assistance, MAIN DATA'!$AD:$AD,1, 'Bilateral Assistance, MAIN DATA'!$E:$E,"Guarantee"))/1000000000</f>
        <v>5.5088515774755322</v>
      </c>
      <c r="D19" s="514">
        <f>SUM('Financial disb per Month (€)'!L13:L54)</f>
        <v>1.3801987486198013</v>
      </c>
    </row>
    <row r="20" spans="1:4" ht="15.6">
      <c r="A20" s="566">
        <v>10</v>
      </c>
      <c r="B20" s="561" t="s">
        <v>4613</v>
      </c>
      <c r="C20" s="514">
        <f>(SUMIFS('Bilateral Assistance, MAIN DATA'!$S:$S,'Bilateral Assistance, MAIN DATA'!$AH:$AH,A20,'Bilateral Assistance, MAIN DATA'!$AD:$AD,1, 'Bilateral Assistance, MAIN DATA'!$E:$E,"Grant") + SUMIFS('Bilateral Assistance, MAIN DATA'!$S:$S,'Bilateral Assistance, MAIN DATA'!$AH:$AH,A20,'Bilateral Assistance, MAIN DATA'!$AD:$AD,1, 'Bilateral Assistance, MAIN DATA'!$E:$E,"Loan")+SUMIFS('Bilateral Assistance, MAIN DATA'!$S:$S,'Bilateral Assistance, MAIN DATA'!$AH:$AH,A20,'Bilateral Assistance, MAIN DATA'!$AD:$AD,1, 'Bilateral Assistance, MAIN DATA'!$E:$E,"Guarantee"))/1000000000</f>
        <v>0.81262620333989799</v>
      </c>
      <c r="D20" s="514">
        <f>SUM('Financial disb per Month (€)'!M13:M54)</f>
        <v>2.2258005152741998</v>
      </c>
    </row>
    <row r="21" spans="1:4" ht="15.6">
      <c r="A21" s="566">
        <v>11</v>
      </c>
      <c r="B21" s="561" t="s">
        <v>4614</v>
      </c>
      <c r="C21" s="514">
        <f>(SUMIFS('Bilateral Assistance, MAIN DATA'!$S:$S,'Bilateral Assistance, MAIN DATA'!$AH:$AH,A21,'Bilateral Assistance, MAIN DATA'!$AD:$AD,1, 'Bilateral Assistance, MAIN DATA'!$E:$E,"Grant") + SUMIFS('Bilateral Assistance, MAIN DATA'!$S:$S,'Bilateral Assistance, MAIN DATA'!$AH:$AH,A21,'Bilateral Assistance, MAIN DATA'!$AD:$AD,1, 'Bilateral Assistance, MAIN DATA'!$E:$E,"Loan")+SUMIFS('Bilateral Assistance, MAIN DATA'!$S:$S,'Bilateral Assistance, MAIN DATA'!$AH:$AH,A21,'Bilateral Assistance, MAIN DATA'!$AD:$AD,1, 'Bilateral Assistance, MAIN DATA'!$E:$E,"Guarantee"))/1000000000</f>
        <v>18.208762400142227</v>
      </c>
      <c r="D21" s="514">
        <f>SUM('Financial disb per Month (€)'!N13:N54)</f>
        <v>2.77972027972028</v>
      </c>
    </row>
    <row r="22" spans="1:4" ht="15.6">
      <c r="A22" s="566">
        <v>12</v>
      </c>
      <c r="B22" s="561" t="s">
        <v>4615</v>
      </c>
      <c r="C22" s="514">
        <f>(SUMIFS('Bilateral Assistance, MAIN DATA'!$S:$S,'Bilateral Assistance, MAIN DATA'!$AH:$AH,A22,'Bilateral Assistance, MAIN DATA'!$AD:$AD,1, 'Bilateral Assistance, MAIN DATA'!$E:$E,"Grant") + SUMIFS('Bilateral Assistance, MAIN DATA'!$S:$S,'Bilateral Assistance, MAIN DATA'!$AH:$AH,A22,'Bilateral Assistance, MAIN DATA'!$AD:$AD,1, 'Bilateral Assistance, MAIN DATA'!$E:$E,"Loan")+SUMIFS('Bilateral Assistance, MAIN DATA'!$S:$S,'Bilateral Assistance, MAIN DATA'!$AH:$AH,A22,'Bilateral Assistance, MAIN DATA'!$AD:$AD,1, 'Bilateral Assistance, MAIN DATA'!$E:$E,"Guarantee"))/1000000000</f>
        <v>13.908511566761408</v>
      </c>
      <c r="D22" s="514">
        <f>SUM('Financial disb per Month (€)'!O13:O54)</f>
        <v>4.6356275303643741</v>
      </c>
    </row>
    <row r="23" spans="1:4" ht="15.6">
      <c r="A23" s="566">
        <v>13</v>
      </c>
      <c r="B23" s="561" t="s">
        <v>4616</v>
      </c>
      <c r="C23" s="514">
        <f>(SUMIFS('Bilateral Assistance, MAIN DATA'!$S:$S,'Bilateral Assistance, MAIN DATA'!$AH:$AH,A23,'Bilateral Assistance, MAIN DATA'!$AD:$AD,1, 'Bilateral Assistance, MAIN DATA'!$E:$E,"Grant") + SUMIFS('Bilateral Assistance, MAIN DATA'!$S:$S,'Bilateral Assistance, MAIN DATA'!$AH:$AH,A23,'Bilateral Assistance, MAIN DATA'!$AD:$AD,1, 'Bilateral Assistance, MAIN DATA'!$E:$E,"Loan")+SUMIFS('Bilateral Assistance, MAIN DATA'!$S:$S,'Bilateral Assistance, MAIN DATA'!$AH:$AH,A23,'Bilateral Assistance, MAIN DATA'!$AD:$AD,1, 'Bilateral Assistance, MAIN DATA'!$E:$E,"Guarantee"))/1000000000</f>
        <v>9.4999999999999998E-3</v>
      </c>
      <c r="D23" s="514">
        <f>SUM('Financial disb per Month (€)'!P13:P54)</f>
        <v>3.9059624585940376</v>
      </c>
    </row>
    <row r="24" spans="1:4" ht="15.6">
      <c r="A24" s="566">
        <v>14</v>
      </c>
      <c r="B24" s="561" t="s">
        <v>4617</v>
      </c>
      <c r="C24" s="514">
        <f>(SUMIFS('Bilateral Assistance, MAIN DATA'!$S:$S,'Bilateral Assistance, MAIN DATA'!$AH:$AH,A24,'Bilateral Assistance, MAIN DATA'!$AD:$AD,1, 'Bilateral Assistance, MAIN DATA'!$E:$E,"Grant") + SUMIFS('Bilateral Assistance, MAIN DATA'!$S:$S,'Bilateral Assistance, MAIN DATA'!$AH:$AH,A24,'Bilateral Assistance, MAIN DATA'!$AD:$AD,1, 'Bilateral Assistance, MAIN DATA'!$E:$E,"Loan")+SUMIFS('Bilateral Assistance, MAIN DATA'!$S:$S,'Bilateral Assistance, MAIN DATA'!$AH:$AH,A24,'Bilateral Assistance, MAIN DATA'!$AD:$AD,1, 'Bilateral Assistance, MAIN DATA'!$E:$E,"Guarantee"))/1000000000</f>
        <v>5.2028902080931445</v>
      </c>
      <c r="D24" s="514">
        <f>SUM('Financial disb per Month (€)'!Q13:Q54)</f>
        <v>1.7521520794994478</v>
      </c>
    </row>
    <row r="25" spans="1:4" ht="15.6">
      <c r="A25" s="566">
        <v>15</v>
      </c>
      <c r="B25" s="561" t="s">
        <v>4618</v>
      </c>
      <c r="C25" s="514">
        <f>(SUMIFS('Bilateral Assistance, MAIN DATA'!$S:$S,'Bilateral Assistance, MAIN DATA'!$AH:$AH,A25,'Bilateral Assistance, MAIN DATA'!$AD:$AD,1, 'Bilateral Assistance, MAIN DATA'!$E:$E,"Grant") + SUMIFS('Bilateral Assistance, MAIN DATA'!$S:$S,'Bilateral Assistance, MAIN DATA'!$AH:$AH,A25,'Bilateral Assistance, MAIN DATA'!$AD:$AD,1, 'Bilateral Assistance, MAIN DATA'!$E:$E,"Loan")+SUMIFS('Bilateral Assistance, MAIN DATA'!$S:$S,'Bilateral Assistance, MAIN DATA'!$AH:$AH,A25,'Bilateral Assistance, MAIN DATA'!$AD:$AD,1, 'Bilateral Assistance, MAIN DATA'!$E:$E,"Guarantee"))/1000000000</f>
        <v>0.90955238268393179</v>
      </c>
      <c r="D25" s="514">
        <f>SUM('Financial disb per Month (€)'!R13:R54)</f>
        <v>2.6306588148693413</v>
      </c>
    </row>
    <row r="26" spans="1:4" ht="15.6">
      <c r="A26" s="566">
        <v>16</v>
      </c>
      <c r="B26" s="561" t="s">
        <v>4619</v>
      </c>
      <c r="C26" s="514">
        <f>(SUMIFS('Bilateral Assistance, MAIN DATA'!$S:$S,'Bilateral Assistance, MAIN DATA'!$AH:$AH,A26,'Bilateral Assistance, MAIN DATA'!$AD:$AD,1, 'Bilateral Assistance, MAIN DATA'!$E:$E,"Grant") + SUMIFS('Bilateral Assistance, MAIN DATA'!$S:$S,'Bilateral Assistance, MAIN DATA'!$AH:$AH,A26,'Bilateral Assistance, MAIN DATA'!$AD:$AD,1, 'Bilateral Assistance, MAIN DATA'!$E:$E,"Loan")+SUMIFS('Bilateral Assistance, MAIN DATA'!$S:$S,'Bilateral Assistance, MAIN DATA'!$AH:$AH,A26,'Bilateral Assistance, MAIN DATA'!$AD:$AD,1, 'Bilateral Assistance, MAIN DATA'!$E:$E,"Guarantee"))/1000000000</f>
        <v>2.7522988386723237</v>
      </c>
      <c r="D26" s="514">
        <f>SUM('Financial disb per Month (€)'!S13:S54)</f>
        <v>3.1348914243651089</v>
      </c>
    </row>
    <row r="27" spans="1:4" ht="15.6">
      <c r="A27" s="566">
        <v>17</v>
      </c>
      <c r="B27" s="561" t="s">
        <v>4620</v>
      </c>
      <c r="C27" s="514">
        <f>(SUMIFS('Bilateral Assistance, MAIN DATA'!$S:$S,'Bilateral Assistance, MAIN DATA'!$AH:$AH,A27,'Bilateral Assistance, MAIN DATA'!$AD:$AD,1, 'Bilateral Assistance, MAIN DATA'!$E:$E,"Grant") + SUMIFS('Bilateral Assistance, MAIN DATA'!$S:$S,'Bilateral Assistance, MAIN DATA'!$AH:$AH,A27,'Bilateral Assistance, MAIN DATA'!$AD:$AD,1, 'Bilateral Assistance, MAIN DATA'!$E:$E,"Loan")+SUMIFS('Bilateral Assistance, MAIN DATA'!$S:$S,'Bilateral Assistance, MAIN DATA'!$AH:$AH,A27,'Bilateral Assistance, MAIN DATA'!$AD:$AD,1, 'Bilateral Assistance, MAIN DATA'!$E:$E,"Guarantee"))/1000000000</f>
        <v>0.40830906472197448</v>
      </c>
      <c r="D27" s="514">
        <f>SUM('Financial disb per Month (€)'!T13:T54)</f>
        <v>3.7946264262053737</v>
      </c>
    </row>
    <row r="28" spans="1:4" ht="15.6">
      <c r="B28" s="433" t="s">
        <v>4621</v>
      </c>
      <c r="C28" s="370">
        <f>SUM(C12:C27)</f>
        <v>72.572401799656632</v>
      </c>
      <c r="D28" s="517">
        <f>SUM(D12:D27)</f>
        <v>40.113799353278303</v>
      </c>
    </row>
    <row r="29" spans="1:4" ht="15.6">
      <c r="B29" s="538"/>
      <c r="C29" s="518"/>
      <c r="D29" s="518"/>
    </row>
    <row r="30" spans="1:4" ht="15.6">
      <c r="B30" s="538"/>
      <c r="C30" s="37"/>
      <c r="D30" s="37"/>
    </row>
    <row r="31" spans="1:4" ht="15.6">
      <c r="B31" s="538"/>
      <c r="C31" s="37"/>
      <c r="D31" s="37"/>
    </row>
    <row r="32" spans="1:4" ht="15.6">
      <c r="B32" s="538"/>
      <c r="C32" s="37"/>
      <c r="D32" s="37"/>
    </row>
    <row r="33" spans="2:10" ht="15.6">
      <c r="B33" s="538"/>
      <c r="C33" s="37"/>
    </row>
    <row r="34" spans="2:10" ht="15.6">
      <c r="B34" s="538"/>
      <c r="C34" s="37"/>
      <c r="D34" s="37"/>
    </row>
    <row r="35" spans="2:10" ht="15.6">
      <c r="B35" s="538"/>
      <c r="C35" s="37"/>
    </row>
    <row r="36" spans="2:10" ht="15.6">
      <c r="B36" s="538"/>
      <c r="C36" s="37"/>
    </row>
    <row r="37" spans="2:10" ht="15.6">
      <c r="B37" s="538"/>
    </row>
    <row r="38" spans="2:10" ht="15.75" customHeight="1">
      <c r="B38" s="538"/>
    </row>
    <row r="39" spans="2:10" ht="15.75" customHeight="1">
      <c r="B39" s="538"/>
    </row>
    <row r="40" spans="2:10" ht="15.75" customHeight="1">
      <c r="B40" s="538"/>
    </row>
    <row r="45" spans="2:10" ht="20.45">
      <c r="J45" s="519"/>
    </row>
  </sheetData>
  <mergeCells count="1">
    <mergeCell ref="B4:D9"/>
  </mergeCell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59999389629810485"/>
  </sheetPr>
  <dimension ref="A1:J75"/>
  <sheetViews>
    <sheetView showGridLines="0" zoomScaleNormal="100" workbookViewId="0"/>
  </sheetViews>
  <sheetFormatPr defaultColWidth="8.625" defaultRowHeight="15.95" customHeight="1"/>
  <cols>
    <col min="1" max="1" width="8.625" style="2" customWidth="1"/>
    <col min="2" max="2" width="25.5" style="54" customWidth="1"/>
    <col min="3" max="3" width="31.375" style="121" bestFit="1" customWidth="1"/>
    <col min="4" max="4" width="13.625" style="54" customWidth="1"/>
    <col min="5" max="16384" width="8.625" style="54"/>
  </cols>
  <sheetData>
    <row r="1" spans="1:5" s="35" customFormat="1" ht="15.95" customHeight="1">
      <c r="B1" s="39"/>
      <c r="C1" s="260"/>
    </row>
    <row r="2" spans="1:5" s="469" customFormat="1" ht="24.75" customHeight="1">
      <c r="A2" s="465"/>
      <c r="B2" s="391" t="s">
        <v>4628</v>
      </c>
      <c r="C2" s="471"/>
      <c r="D2" s="468"/>
    </row>
    <row r="3" spans="1:5" s="43" customFormat="1" ht="15.95" customHeight="1">
      <c r="A3" s="35"/>
      <c r="B3" s="365"/>
      <c r="C3" s="430"/>
      <c r="D3" s="145"/>
    </row>
    <row r="4" spans="1:5" s="43" customFormat="1" ht="15.95" customHeight="1">
      <c r="A4" s="35"/>
      <c r="B4" s="1433" t="s">
        <v>4629</v>
      </c>
      <c r="C4" s="1433"/>
      <c r="D4" s="392"/>
    </row>
    <row r="5" spans="1:5" s="43" customFormat="1" ht="15.95" customHeight="1">
      <c r="A5" s="35"/>
      <c r="B5" s="1433"/>
      <c r="C5" s="1433"/>
      <c r="D5" s="392"/>
    </row>
    <row r="6" spans="1:5" s="43" customFormat="1" ht="15.95" customHeight="1">
      <c r="A6" s="35"/>
      <c r="B6" s="1433"/>
      <c r="C6" s="1433"/>
      <c r="D6" s="392"/>
    </row>
    <row r="7" spans="1:5" s="43" customFormat="1" ht="15.95" customHeight="1">
      <c r="A7" s="35"/>
      <c r="B7" s="1433"/>
      <c r="C7" s="1433"/>
      <c r="D7" s="392"/>
    </row>
    <row r="8" spans="1:5" s="43" customFormat="1" ht="15.95" customHeight="1">
      <c r="A8" s="35"/>
      <c r="B8" s="1433"/>
      <c r="C8" s="1433"/>
      <c r="D8" s="392"/>
      <c r="E8" s="165"/>
    </row>
    <row r="9" spans="1:5" s="43" customFormat="1" ht="15.95" customHeight="1">
      <c r="A9" s="35"/>
      <c r="B9" s="1433"/>
      <c r="C9" s="1433"/>
      <c r="D9" s="392"/>
      <c r="E9" s="165"/>
    </row>
    <row r="11" spans="1:5" ht="24.75" customHeight="1">
      <c r="B11" s="367" t="s">
        <v>4512</v>
      </c>
      <c r="C11" s="463" t="s">
        <v>4516</v>
      </c>
      <c r="D11" s="54" t="s">
        <v>4626</v>
      </c>
      <c r="E11" s="391" t="s">
        <v>4630</v>
      </c>
    </row>
    <row r="12" spans="1:5" ht="15.95" customHeight="1">
      <c r="B12" s="55" t="s">
        <v>3949</v>
      </c>
      <c r="C12" s="112">
        <f>VLOOKUP(B12,'Country Summary (€)'!B:R,5,0)</f>
        <v>42.836768494663232</v>
      </c>
    </row>
    <row r="13" spans="1:5" ht="15.95" customHeight="1">
      <c r="B13" s="48" t="s">
        <v>4631</v>
      </c>
      <c r="C13" s="112">
        <f>VLOOKUP("EU members and institutions",'Aggregates by Country Group'!B:F,4,0)</f>
        <v>27.957381273246185</v>
      </c>
    </row>
    <row r="14" spans="1:5" ht="15.95" customHeight="1">
      <c r="B14" s="48" t="s">
        <v>1711</v>
      </c>
      <c r="C14" s="112">
        <f>VLOOKUP(B14,'Country Summary (€)'!B:R,5,0)</f>
        <v>7.5023</v>
      </c>
    </row>
    <row r="15" spans="1:5" ht="15.95" customHeight="1">
      <c r="B15" s="48" t="s">
        <v>3748</v>
      </c>
      <c r="C15" s="112">
        <f>VLOOKUP(B15,'Country Summary (€)'!B:R,5,0)</f>
        <v>6.5786757252947297</v>
      </c>
    </row>
    <row r="16" spans="1:5" ht="15.95" customHeight="1">
      <c r="B16" s="48" t="s">
        <v>2989</v>
      </c>
      <c r="C16" s="112">
        <f>VLOOKUP(B16,'Country Summary (€)'!B:R,5,0)</f>
        <v>3</v>
      </c>
    </row>
    <row r="17" spans="2:3" ht="15.95" customHeight="1">
      <c r="B17" s="48" t="s">
        <v>2693</v>
      </c>
      <c r="C17" s="112">
        <f>VLOOKUP(B17,'Country Summary (€)'!B:R,5,0)</f>
        <v>2.4834999999999998</v>
      </c>
    </row>
    <row r="18" spans="2:3" ht="15.95" customHeight="1">
      <c r="B18" s="35" t="s">
        <v>1194</v>
      </c>
      <c r="C18" s="112">
        <f>VLOOKUP(B18,'Country Summary (€)'!B:R,5,0)</f>
        <v>1.5690784453245619</v>
      </c>
    </row>
    <row r="19" spans="2:3" ht="15.95" customHeight="1">
      <c r="B19" s="48" t="s">
        <v>713</v>
      </c>
      <c r="C19" s="112">
        <f>VLOOKUP(B19,'Country Summary (€)'!B:R,5,0)</f>
        <v>1.4998221822208855</v>
      </c>
    </row>
    <row r="20" spans="2:3" ht="15.95" customHeight="1">
      <c r="B20" s="48" t="s">
        <v>3548</v>
      </c>
      <c r="C20" s="112">
        <f>VLOOKUP(B20,'Country Summary (€)'!B:R,5,0)</f>
        <v>1.4866003500532117</v>
      </c>
    </row>
    <row r="21" spans="2:3" ht="15.95" customHeight="1">
      <c r="B21" s="48" t="s">
        <v>1432</v>
      </c>
      <c r="C21" s="112">
        <f>VLOOKUP(B21,'Country Summary (€)'!B:R,5,0)</f>
        <v>1.1147</v>
      </c>
    </row>
    <row r="22" spans="2:3" ht="15.95" customHeight="1">
      <c r="B22" s="48" t="s">
        <v>2882</v>
      </c>
      <c r="C22" s="112">
        <f>VLOOKUP(B22,'Country Summary (€)'!B:R,5,0)</f>
        <v>1.0133810619619874</v>
      </c>
    </row>
    <row r="23" spans="2:3" ht="15.95" customHeight="1">
      <c r="B23" s="48" t="s">
        <v>2204</v>
      </c>
      <c r="C23" s="112">
        <f>VLOOKUP(B23,'Country Summary (€)'!B:R,5,0)</f>
        <v>0.71296199986253783</v>
      </c>
    </row>
    <row r="24" spans="2:3" ht="15.95" customHeight="1">
      <c r="B24" s="48" t="s">
        <v>3261</v>
      </c>
      <c r="C24" s="112">
        <f>VLOOKUP(B24,'Country Summary (€)'!B:R,5,0)</f>
        <v>0.66799999980934854</v>
      </c>
    </row>
    <row r="25" spans="2:3" ht="15.95" customHeight="1">
      <c r="B25" s="48" t="s">
        <v>1012</v>
      </c>
      <c r="C25" s="112">
        <f>VLOOKUP(B25,'Country Summary (€)'!B:R,5,0)</f>
        <v>0.56546297988460215</v>
      </c>
    </row>
    <row r="26" spans="2:3" ht="15.95" customHeight="1">
      <c r="B26" s="48" t="s">
        <v>2488</v>
      </c>
      <c r="C26" s="112">
        <f>VLOOKUP(B26,'Country Summary (€)'!B:R,5,0)</f>
        <v>0.49099999999999999</v>
      </c>
    </row>
    <row r="27" spans="2:3" ht="15.95" customHeight="1">
      <c r="B27" s="48" t="s">
        <v>1523</v>
      </c>
      <c r="C27" s="112">
        <f>VLOOKUP(B27,'Country Summary (€)'!B:R,5,0)</f>
        <v>0.44573671433132461</v>
      </c>
    </row>
    <row r="28" spans="2:3" ht="15.95" customHeight="1">
      <c r="B28" s="54" t="s">
        <v>1305</v>
      </c>
      <c r="C28" s="112">
        <f>VLOOKUP(B28,'Country Summary (€)'!B:R,5,0)</f>
        <v>0.42129430000000001</v>
      </c>
    </row>
    <row r="29" spans="2:3" ht="15.95" customHeight="1">
      <c r="B29" s="48" t="s">
        <v>558</v>
      </c>
      <c r="C29" s="112">
        <f>VLOOKUP(B29,'Country Summary (€)'!B:R,5,0)</f>
        <v>0.38505152839999995</v>
      </c>
    </row>
    <row r="30" spans="2:3" ht="15.95" customHeight="1">
      <c r="B30" s="48" t="s">
        <v>2392</v>
      </c>
      <c r="C30" s="112">
        <f>VLOOKUP(B30,'Country Summary (€)'!B:R,5,0)</f>
        <v>0.37</v>
      </c>
    </row>
    <row r="31" spans="2:3" ht="15.95" customHeight="1">
      <c r="B31" s="48" t="s">
        <v>359</v>
      </c>
      <c r="C31" s="112">
        <f>VLOOKUP(B31,'Country Summary (€)'!B:R,5,0)</f>
        <v>0.35868102288021536</v>
      </c>
    </row>
    <row r="32" spans="2:3" ht="15.95" customHeight="1">
      <c r="B32" s="48" t="s">
        <v>3412</v>
      </c>
      <c r="C32" s="112">
        <f>VLOOKUP(B32,'Country Summary (€)'!B:R,5,0)</f>
        <v>0.3283765566618333</v>
      </c>
    </row>
    <row r="33" spans="2:10" ht="15.95" customHeight="1">
      <c r="B33" s="35" t="s">
        <v>673</v>
      </c>
      <c r="C33" s="112">
        <f>VLOOKUP(B33,'Country Summary (€)'!B:R,5,0)</f>
        <v>0.23928827078433376</v>
      </c>
    </row>
    <row r="34" spans="2:10" ht="15.95" customHeight="1">
      <c r="B34" s="35" t="s">
        <v>1973</v>
      </c>
      <c r="C34" s="112">
        <f>VLOOKUP(B34,'Country Summary (€)'!B:R,5,0)</f>
        <v>0.18684970463746781</v>
      </c>
    </row>
    <row r="35" spans="2:10" ht="15.95" customHeight="1">
      <c r="B35" s="35" t="s">
        <v>918</v>
      </c>
      <c r="C35" s="112">
        <f>VLOOKUP(B35,'Country Summary (€)'!B:R,5,0)</f>
        <v>0.15278792179361764</v>
      </c>
    </row>
    <row r="36" spans="2:10" ht="15.95" customHeight="1">
      <c r="B36" s="48" t="s">
        <v>2625</v>
      </c>
      <c r="C36" s="112">
        <f>VLOOKUP(B36,'Country Summary (€)'!B:R,5,0)</f>
        <v>9.1600000000000001E-2</v>
      </c>
    </row>
    <row r="37" spans="2:10" ht="15.95" customHeight="1">
      <c r="B37" s="48" t="s">
        <v>3079</v>
      </c>
      <c r="C37" s="112">
        <f>VLOOKUP(B37,'Country Summary (€)'!B:R,5,0)</f>
        <v>7.5487033291490521E-2</v>
      </c>
    </row>
    <row r="38" spans="2:10" ht="15.95" customHeight="1">
      <c r="B38" s="48" t="s">
        <v>3337</v>
      </c>
      <c r="C38" s="112">
        <f>VLOOKUP(B38,'Country Summary (€)'!B:R,5,0)</f>
        <v>5.6390898987854259E-2</v>
      </c>
    </row>
    <row r="39" spans="2:10" ht="15.95" customHeight="1">
      <c r="B39" s="48" t="s">
        <v>3685</v>
      </c>
      <c r="C39" s="112">
        <f>VLOOKUP(B39,'Country Summary (€)'!B:R,5,0)</f>
        <v>6.1735369893264627E-2</v>
      </c>
    </row>
    <row r="40" spans="2:10" ht="15.95" customHeight="1">
      <c r="B40" s="35" t="s">
        <v>2312</v>
      </c>
      <c r="C40" s="112">
        <f>VLOOKUP(B40,'Country Summary (€)'!B:R,5,0)</f>
        <v>2.9860139860139859E-2</v>
      </c>
    </row>
    <row r="41" spans="2:10" ht="15.95" customHeight="1">
      <c r="B41" s="54" t="s">
        <v>2832</v>
      </c>
      <c r="C41" s="112">
        <f>VLOOKUP(B41,'Country Summary (€)'!B:R,5,0)</f>
        <v>1.9192265888679141E-2</v>
      </c>
    </row>
    <row r="42" spans="2:10" ht="15.95" customHeight="1">
      <c r="B42" s="35" t="s">
        <v>2139</v>
      </c>
      <c r="C42" s="112">
        <f>VLOOKUP(B42,'Country Summary (€)'!B:R,5,0)</f>
        <v>9.1497376714291794E-3</v>
      </c>
    </row>
    <row r="43" spans="2:10" ht="15.95" customHeight="1">
      <c r="B43" s="35" t="s">
        <v>2096</v>
      </c>
      <c r="C43" s="112">
        <f>VLOOKUP(B43,'Country Summary (€)'!B:R,5,0)</f>
        <v>3.8500000000000001E-3</v>
      </c>
      <c r="H43" s="56"/>
      <c r="I43" s="56"/>
    </row>
    <row r="44" spans="2:10" ht="15.95" customHeight="1">
      <c r="B44" s="48" t="s">
        <v>3214</v>
      </c>
      <c r="C44" s="112">
        <f>VLOOKUP(B44,'Country Summary (€)'!B:R,5,0)</f>
        <v>3.7637099742362898E-3</v>
      </c>
      <c r="G44" s="56"/>
      <c r="H44" s="56"/>
      <c r="I44" s="56"/>
      <c r="J44" s="57"/>
    </row>
    <row r="45" spans="2:10" ht="15.95" customHeight="1">
      <c r="B45" s="48" t="s">
        <v>454</v>
      </c>
      <c r="C45" s="112">
        <f>VLOOKUP(B45,'Country Summary (€)'!B:R,5,0)</f>
        <v>3.3008594497607653E-3</v>
      </c>
      <c r="G45" s="56"/>
      <c r="H45" s="56"/>
      <c r="I45" s="56"/>
      <c r="J45" s="57"/>
    </row>
    <row r="46" spans="2:10" ht="15.95" customHeight="1">
      <c r="B46" s="54" t="s">
        <v>3162</v>
      </c>
      <c r="C46" s="112">
        <f>VLOOKUP(B46,'Country Summary (€)'!B:R,5,0)</f>
        <v>3.2940743467059263E-3</v>
      </c>
      <c r="H46" s="56"/>
      <c r="I46" s="56"/>
      <c r="J46" s="57"/>
    </row>
    <row r="47" spans="2:10" ht="15.95" customHeight="1">
      <c r="B47" s="48" t="s">
        <v>3649</v>
      </c>
      <c r="C47" s="112">
        <f>VLOOKUP(B47,'Country Summary (€)'!B:R,5,0)</f>
        <v>0</v>
      </c>
      <c r="H47" s="56"/>
      <c r="I47" s="56"/>
      <c r="J47" s="57"/>
    </row>
    <row r="48" spans="2:10" ht="15.95" customHeight="1">
      <c r="B48" s="48" t="s">
        <v>3713</v>
      </c>
      <c r="C48" s="112">
        <f>VLOOKUP(B48,'Country Summary (€)'!B:R,5,0)</f>
        <v>0</v>
      </c>
      <c r="H48" s="56"/>
      <c r="I48" s="56"/>
      <c r="J48" s="57"/>
    </row>
    <row r="49" spans="2:10" ht="15.95" customHeight="1">
      <c r="B49" s="48" t="s">
        <v>2028</v>
      </c>
      <c r="C49" s="112">
        <f>VLOOKUP(B49,'Country Summary (€)'!B:R,5,0)</f>
        <v>0</v>
      </c>
      <c r="H49" s="57"/>
      <c r="I49" s="57"/>
      <c r="J49" s="57"/>
    </row>
    <row r="50" spans="2:10" ht="15.95" customHeight="1">
      <c r="B50" s="54" t="s">
        <v>981</v>
      </c>
      <c r="C50" s="112">
        <f>VLOOKUP(B50,'Country Summary (€)'!B:R,5,0)</f>
        <v>0</v>
      </c>
      <c r="H50" s="57"/>
      <c r="I50" s="57"/>
      <c r="J50" s="57"/>
    </row>
    <row r="51" spans="2:10" ht="15.95" customHeight="1">
      <c r="B51" s="54" t="s">
        <v>905</v>
      </c>
      <c r="C51" s="112">
        <f>VLOOKUP(B51,'Country Summary (€)'!B:R,5,0)</f>
        <v>0</v>
      </c>
    </row>
    <row r="52" spans="2:10" ht="15.95" customHeight="1">
      <c r="B52" s="54" t="s">
        <v>2076</v>
      </c>
      <c r="C52" s="112">
        <f>VLOOKUP(B52,'Country Summary (€)'!B:R,5,0)</f>
        <v>0</v>
      </c>
    </row>
    <row r="53" spans="2:10" ht="15.95" customHeight="1">
      <c r="B53" s="54" t="s">
        <v>2678</v>
      </c>
      <c r="C53" s="112">
        <f>VLOOKUP(B53,'Country Summary (€)'!B:R,5,0)</f>
        <v>0</v>
      </c>
    </row>
    <row r="55" spans="2:10" ht="15.95" customHeight="1">
      <c r="B55" s="387" t="s">
        <v>4530</v>
      </c>
      <c r="C55" s="388">
        <f>SUM(C12:C53)</f>
        <v>102.72532262117367</v>
      </c>
    </row>
    <row r="56" spans="2:10" ht="15.95" customHeight="1">
      <c r="B56" s="48"/>
      <c r="C56" s="112"/>
      <c r="G56" s="56"/>
    </row>
    <row r="57" spans="2:10" ht="15.95" customHeight="1">
      <c r="B57" s="48"/>
      <c r="C57" s="112"/>
      <c r="G57" s="56"/>
    </row>
    <row r="58" spans="2:10" ht="15.95" customHeight="1">
      <c r="B58" s="48"/>
      <c r="C58" s="112"/>
      <c r="G58" s="57"/>
    </row>
    <row r="59" spans="2:10" ht="15.95" customHeight="1">
      <c r="B59" s="48"/>
      <c r="C59" s="112"/>
      <c r="G59" s="57"/>
    </row>
    <row r="60" spans="2:10" ht="15.95" customHeight="1">
      <c r="B60" s="48"/>
      <c r="C60" s="112"/>
    </row>
    <row r="61" spans="2:10" ht="15.95" customHeight="1">
      <c r="B61" s="48"/>
      <c r="C61" s="112"/>
    </row>
    <row r="62" spans="2:10" ht="15.95" customHeight="1">
      <c r="B62" s="48"/>
      <c r="C62" s="112"/>
    </row>
    <row r="63" spans="2:10" ht="15.95" customHeight="1">
      <c r="B63" s="48"/>
      <c r="C63" s="112"/>
    </row>
    <row r="64" spans="2:10" ht="15.95" customHeight="1">
      <c r="B64" s="48"/>
      <c r="C64" s="112"/>
    </row>
    <row r="65" spans="2:3" ht="15.95" customHeight="1">
      <c r="B65" s="48"/>
      <c r="C65" s="112"/>
    </row>
    <row r="66" spans="2:3" ht="15.95" customHeight="1">
      <c r="B66" s="48"/>
      <c r="C66" s="112"/>
    </row>
    <row r="67" spans="2:3" ht="15.95" customHeight="1">
      <c r="B67" s="48"/>
      <c r="C67" s="112"/>
    </row>
    <row r="68" spans="2:3" ht="15.95" customHeight="1">
      <c r="B68" s="48"/>
      <c r="C68" s="112"/>
    </row>
    <row r="69" spans="2:3" ht="15.95" customHeight="1">
      <c r="B69" s="48"/>
      <c r="C69" s="112"/>
    </row>
    <row r="70" spans="2:3" ht="15.95" customHeight="1">
      <c r="B70" s="48"/>
      <c r="C70" s="112"/>
    </row>
    <row r="71" spans="2:3" ht="15.95" customHeight="1">
      <c r="B71" s="48"/>
      <c r="C71" s="112"/>
    </row>
    <row r="72" spans="2:3" ht="15.95" customHeight="1">
      <c r="C72" s="112"/>
    </row>
    <row r="73" spans="2:3" ht="15.95" customHeight="1">
      <c r="B73" s="48"/>
      <c r="C73" s="112"/>
    </row>
    <row r="74" spans="2:3" ht="15.95" customHeight="1">
      <c r="B74" s="48"/>
      <c r="C74" s="112"/>
    </row>
    <row r="75" spans="2:3" ht="15.95" customHeight="1">
      <c r="C75" s="112"/>
    </row>
  </sheetData>
  <autoFilter ref="B11:C11" xr:uid="{00000000-0001-0000-0F00-000000000000}">
    <sortState xmlns:xlrd2="http://schemas.microsoft.com/office/spreadsheetml/2017/richdata2" ref="B12:C53">
      <sortCondition descending="1" ref="C11"/>
    </sortState>
  </autoFilter>
  <sortState xmlns:xlrd2="http://schemas.microsoft.com/office/spreadsheetml/2017/richdata2" ref="B12:E53">
    <sortCondition descending="1" ref="C12:C53"/>
  </sortState>
  <mergeCells count="1">
    <mergeCell ref="B4:C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P581"/>
  <sheetViews>
    <sheetView showGridLines="0" zoomScaleNormal="100" workbookViewId="0"/>
  </sheetViews>
  <sheetFormatPr defaultColWidth="10.5" defaultRowHeight="15.95" customHeight="1"/>
  <cols>
    <col min="1" max="1" width="8.625" style="13" customWidth="1"/>
    <col min="2" max="2" width="13.5" style="13" customWidth="1"/>
    <col min="3" max="3" width="67.125" style="13" bestFit="1" customWidth="1"/>
    <col min="4" max="4" width="81" style="13" customWidth="1"/>
    <col min="5" max="16384" width="10.5" style="13"/>
  </cols>
  <sheetData>
    <row r="1" spans="1:8" ht="15.95" customHeight="1">
      <c r="A1" s="36"/>
      <c r="B1" s="34"/>
    </row>
    <row r="2" spans="1:8" ht="20.45">
      <c r="A2" s="36"/>
      <c r="B2" s="1426" t="s">
        <v>27</v>
      </c>
      <c r="C2" s="1426"/>
    </row>
    <row r="3" spans="1:8" ht="15.75" customHeight="1">
      <c r="A3" s="36"/>
      <c r="B3" s="1344"/>
      <c r="C3" s="1344"/>
    </row>
    <row r="4" spans="1:8" ht="15.6">
      <c r="A4" s="36"/>
      <c r="B4" s="1427" t="s">
        <v>28</v>
      </c>
      <c r="C4" s="1428"/>
      <c r="D4" s="1428"/>
      <c r="E4" s="1428"/>
      <c r="F4" s="1428"/>
      <c r="G4" s="1428"/>
    </row>
    <row r="5" spans="1:8" ht="15.6">
      <c r="A5" s="36"/>
      <c r="B5" s="1428"/>
      <c r="C5" s="1428"/>
      <c r="D5" s="1428"/>
      <c r="E5" s="1428"/>
      <c r="F5" s="1428"/>
      <c r="G5" s="1428"/>
    </row>
    <row r="6" spans="1:8" ht="15.6">
      <c r="A6" s="36"/>
      <c r="B6" s="1428"/>
      <c r="C6" s="1428"/>
      <c r="D6" s="1428"/>
      <c r="E6" s="1428"/>
      <c r="F6" s="1428"/>
      <c r="G6" s="1428"/>
    </row>
    <row r="7" spans="1:8" ht="15.6">
      <c r="A7" s="36"/>
      <c r="B7" s="1428"/>
      <c r="C7" s="1428"/>
      <c r="D7" s="1428"/>
      <c r="E7" s="1428"/>
      <c r="F7" s="1428"/>
      <c r="G7" s="1428"/>
      <c r="H7" s="1144"/>
    </row>
    <row r="8" spans="1:8" ht="15.95" customHeight="1">
      <c r="A8" s="36"/>
      <c r="B8" s="1428"/>
      <c r="C8" s="1428"/>
      <c r="D8" s="1428"/>
      <c r="E8" s="1428"/>
      <c r="F8" s="1428"/>
      <c r="G8" s="1428"/>
    </row>
    <row r="9" spans="1:8" ht="15.95" customHeight="1">
      <c r="A9" s="36"/>
      <c r="B9" s="1428"/>
      <c r="C9" s="1428"/>
      <c r="D9" s="1428"/>
      <c r="E9" s="1428"/>
      <c r="F9" s="1428"/>
      <c r="G9" s="1428"/>
    </row>
    <row r="10" spans="1:8" ht="15.95" customHeight="1">
      <c r="A10" s="36"/>
      <c r="B10" s="1145"/>
      <c r="C10" s="1145"/>
    </row>
    <row r="11" spans="1:8" s="19" customFormat="1" ht="23.25" customHeight="1">
      <c r="A11" s="1146"/>
      <c r="B11" s="1169" t="s">
        <v>29</v>
      </c>
      <c r="C11" s="1170"/>
      <c r="D11" s="1171"/>
      <c r="E11" s="1171"/>
      <c r="F11" s="1171"/>
      <c r="G11" s="1171"/>
    </row>
    <row r="12" spans="1:8" ht="15.95" customHeight="1">
      <c r="C12" s="1155"/>
    </row>
    <row r="13" spans="1:8" ht="15.95" customHeight="1">
      <c r="B13" s="1155" t="s">
        <v>30</v>
      </c>
      <c r="C13" s="1155"/>
    </row>
    <row r="14" spans="1:8" ht="15.95" customHeight="1">
      <c r="B14" s="1155"/>
      <c r="C14" s="1155"/>
    </row>
    <row r="15" spans="1:8" ht="15.95" customHeight="1">
      <c r="B15" s="1048" t="s">
        <v>31</v>
      </c>
      <c r="C15" s="1155"/>
    </row>
    <row r="16" spans="1:8" ht="15.95" customHeight="1">
      <c r="B16" s="1155"/>
      <c r="C16" s="1155"/>
    </row>
    <row r="17" spans="1:16" ht="15.95" customHeight="1">
      <c r="B17" s="1048" t="s">
        <v>32</v>
      </c>
      <c r="C17" s="1155"/>
    </row>
    <row r="18" spans="1:16" ht="15.95" customHeight="1">
      <c r="B18" s="1156"/>
      <c r="C18" s="1155"/>
    </row>
    <row r="19" spans="1:16" ht="15.95" customHeight="1">
      <c r="B19" s="1048" t="s">
        <v>33</v>
      </c>
      <c r="C19" s="1155"/>
    </row>
    <row r="20" spans="1:16" ht="15.95" customHeight="1">
      <c r="B20" s="1048"/>
      <c r="C20" s="1155"/>
    </row>
    <row r="21" spans="1:16" ht="15.95" customHeight="1">
      <c r="B21" s="1050" t="s">
        <v>34</v>
      </c>
      <c r="C21" s="1155"/>
    </row>
    <row r="22" spans="1:16" ht="15.95" customHeight="1">
      <c r="B22" s="1048" t="s">
        <v>35</v>
      </c>
      <c r="C22" s="1155"/>
    </row>
    <row r="23" spans="1:16" ht="15.95" customHeight="1">
      <c r="B23" s="1048"/>
      <c r="C23" s="1155"/>
    </row>
    <row r="24" spans="1:16" ht="15.95" customHeight="1">
      <c r="B24" s="1049" t="s">
        <v>36</v>
      </c>
      <c r="C24" s="1155"/>
    </row>
    <row r="25" spans="1:16" ht="15.95" customHeight="1">
      <c r="B25" s="1048"/>
      <c r="C25" s="1155"/>
    </row>
    <row r="26" spans="1:16" ht="15.95" customHeight="1">
      <c r="B26" s="1218" t="s">
        <v>37</v>
      </c>
      <c r="C26" s="1155"/>
    </row>
    <row r="27" spans="1:16" ht="15.95" customHeight="1">
      <c r="B27" s="1048"/>
      <c r="C27" s="1155"/>
    </row>
    <row r="28" spans="1:16" ht="15.95" customHeight="1">
      <c r="A28" s="19" t="s">
        <v>38</v>
      </c>
      <c r="B28" s="1048" t="s">
        <v>39</v>
      </c>
      <c r="C28" s="19"/>
      <c r="D28" s="19"/>
      <c r="E28" s="19"/>
      <c r="F28" s="19"/>
      <c r="G28" s="19"/>
      <c r="H28" s="19" t="s">
        <v>38</v>
      </c>
      <c r="I28" s="19" t="s">
        <v>38</v>
      </c>
      <c r="J28" s="19" t="s">
        <v>38</v>
      </c>
      <c r="K28" s="19" t="s">
        <v>38</v>
      </c>
      <c r="L28" s="19" t="s">
        <v>38</v>
      </c>
      <c r="M28" s="19" t="s">
        <v>38</v>
      </c>
      <c r="N28" s="19" t="s">
        <v>38</v>
      </c>
      <c r="O28" s="19" t="s">
        <v>38</v>
      </c>
      <c r="P28" s="19" t="s">
        <v>38</v>
      </c>
    </row>
    <row r="29" spans="1:16" ht="15.95" customHeight="1">
      <c r="A29" s="19" t="s">
        <v>38</v>
      </c>
      <c r="B29" s="1048" t="s">
        <v>40</v>
      </c>
      <c r="C29" s="19"/>
      <c r="D29" s="19"/>
      <c r="E29" s="19"/>
      <c r="F29" s="19"/>
      <c r="G29" s="19"/>
      <c r="H29" s="19"/>
      <c r="I29" s="19"/>
      <c r="J29" s="19" t="s">
        <v>38</v>
      </c>
      <c r="K29" s="19" t="s">
        <v>38</v>
      </c>
      <c r="L29" s="19" t="s">
        <v>38</v>
      </c>
      <c r="M29" s="19" t="s">
        <v>38</v>
      </c>
      <c r="N29" s="19" t="s">
        <v>38</v>
      </c>
      <c r="O29" s="19" t="s">
        <v>38</v>
      </c>
      <c r="P29" s="19" t="s">
        <v>38</v>
      </c>
    </row>
    <row r="30" spans="1:16" ht="15.95" customHeight="1">
      <c r="B30" s="1048" t="s">
        <v>41</v>
      </c>
      <c r="C30" s="1155"/>
    </row>
    <row r="31" spans="1:16" ht="15.95" customHeight="1">
      <c r="A31" s="19" t="s">
        <v>38</v>
      </c>
      <c r="C31" s="19"/>
      <c r="D31" s="19"/>
      <c r="E31" s="19"/>
      <c r="F31" s="19" t="s">
        <v>38</v>
      </c>
      <c r="G31" s="19" t="s">
        <v>38</v>
      </c>
      <c r="H31" s="19" t="s">
        <v>38</v>
      </c>
      <c r="I31" s="19" t="s">
        <v>38</v>
      </c>
      <c r="J31" s="19" t="s">
        <v>38</v>
      </c>
      <c r="K31" s="19" t="s">
        <v>38</v>
      </c>
      <c r="L31" s="19" t="s">
        <v>38</v>
      </c>
      <c r="M31" s="19" t="s">
        <v>38</v>
      </c>
      <c r="N31" s="19" t="s">
        <v>38</v>
      </c>
      <c r="O31" s="19" t="s">
        <v>38</v>
      </c>
      <c r="P31" s="19" t="s">
        <v>38</v>
      </c>
    </row>
    <row r="32" spans="1:16" ht="15.95" customHeight="1">
      <c r="B32" s="1050" t="s">
        <v>42</v>
      </c>
      <c r="C32" s="1155"/>
    </row>
    <row r="33" spans="2:3" ht="15.95" customHeight="1">
      <c r="B33" s="1050" t="s">
        <v>43</v>
      </c>
      <c r="C33" s="1155"/>
    </row>
    <row r="34" spans="2:3" ht="15.95" customHeight="1">
      <c r="C34" s="1155"/>
    </row>
    <row r="35" spans="2:3" ht="15.95" customHeight="1">
      <c r="B35" s="1050" t="s">
        <v>44</v>
      </c>
      <c r="C35" s="1155"/>
    </row>
    <row r="36" spans="2:3" ht="15.95" customHeight="1">
      <c r="B36" s="1048"/>
      <c r="C36" s="1155"/>
    </row>
    <row r="37" spans="2:3" ht="15.95" customHeight="1">
      <c r="B37" s="1048" t="s">
        <v>45</v>
      </c>
      <c r="C37" s="1155"/>
    </row>
    <row r="38" spans="2:3" ht="15.95" customHeight="1">
      <c r="B38" s="1156"/>
      <c r="C38" s="1155"/>
    </row>
    <row r="39" spans="2:3" ht="15.95" customHeight="1">
      <c r="B39" s="1048" t="s">
        <v>46</v>
      </c>
      <c r="C39" s="1155"/>
    </row>
    <row r="40" spans="2:3" ht="15.95" customHeight="1">
      <c r="B40" s="1048" t="s">
        <v>47</v>
      </c>
      <c r="C40" s="1155"/>
    </row>
    <row r="41" spans="2:3" ht="15.95" customHeight="1">
      <c r="B41" s="1048"/>
      <c r="C41" s="1155"/>
    </row>
    <row r="42" spans="2:3" ht="15.95" customHeight="1">
      <c r="B42" s="1048" t="s">
        <v>48</v>
      </c>
      <c r="C42" s="1155"/>
    </row>
    <row r="43" spans="2:3" ht="15.95" customHeight="1">
      <c r="B43" s="1048"/>
      <c r="C43" s="1155"/>
    </row>
    <row r="44" spans="2:3" ht="15.95" customHeight="1">
      <c r="B44" s="1049" t="s">
        <v>49</v>
      </c>
      <c r="C44" s="1155"/>
    </row>
    <row r="45" spans="2:3" ht="15.95" customHeight="1">
      <c r="B45" s="1048"/>
      <c r="C45" s="1155"/>
    </row>
    <row r="46" spans="2:3" ht="15.95" customHeight="1">
      <c r="B46" s="1050" t="s">
        <v>50</v>
      </c>
      <c r="C46" s="1155"/>
    </row>
    <row r="47" spans="2:3" ht="15.95" customHeight="1">
      <c r="B47" s="1048"/>
      <c r="C47" s="1155"/>
    </row>
    <row r="48" spans="2:3" ht="15.95" customHeight="1">
      <c r="B48" s="1048" t="s">
        <v>51</v>
      </c>
      <c r="C48" s="1155"/>
    </row>
    <row r="49" spans="1:16" ht="15.95" customHeight="1">
      <c r="B49" s="1050"/>
      <c r="C49" s="1155"/>
    </row>
    <row r="50" spans="1:16" ht="15.95" customHeight="1">
      <c r="B50" s="1050" t="s">
        <v>52</v>
      </c>
      <c r="C50" s="1155"/>
    </row>
    <row r="51" spans="1:16" ht="15.95" customHeight="1">
      <c r="B51" s="1156"/>
      <c r="C51" s="1155"/>
    </row>
    <row r="52" spans="1:16" ht="15.95" customHeight="1">
      <c r="B52" s="1048" t="s">
        <v>53</v>
      </c>
      <c r="C52" s="1155"/>
    </row>
    <row r="53" spans="1:16" ht="15.95" customHeight="1">
      <c r="C53" s="1155"/>
    </row>
    <row r="54" spans="1:16" ht="15.95" customHeight="1">
      <c r="A54" s="19" t="s">
        <v>38</v>
      </c>
      <c r="B54" s="1218" t="s">
        <v>54</v>
      </c>
      <c r="C54" s="19"/>
      <c r="D54" s="19"/>
      <c r="E54" s="19"/>
      <c r="F54" s="19"/>
      <c r="G54" s="19"/>
      <c r="H54" s="19"/>
      <c r="I54" s="19"/>
      <c r="J54" s="19" t="s">
        <v>38</v>
      </c>
      <c r="K54" s="19" t="s">
        <v>38</v>
      </c>
      <c r="L54" s="19" t="s">
        <v>38</v>
      </c>
      <c r="M54" s="19" t="s">
        <v>38</v>
      </c>
      <c r="N54" s="19" t="s">
        <v>38</v>
      </c>
      <c r="O54" s="19" t="s">
        <v>38</v>
      </c>
      <c r="P54" s="19" t="s">
        <v>38</v>
      </c>
    </row>
    <row r="55" spans="1:16" ht="15.95" customHeight="1">
      <c r="A55" s="19" t="s">
        <v>38</v>
      </c>
      <c r="B55" s="1048" t="s">
        <v>55</v>
      </c>
      <c r="C55" s="19"/>
      <c r="D55" s="19" t="s">
        <v>38</v>
      </c>
      <c r="E55" s="19" t="s">
        <v>38</v>
      </c>
      <c r="F55" s="19" t="s">
        <v>38</v>
      </c>
      <c r="G55" s="19" t="s">
        <v>38</v>
      </c>
      <c r="H55" s="19" t="s">
        <v>38</v>
      </c>
      <c r="I55" s="19" t="s">
        <v>38</v>
      </c>
      <c r="J55" s="19" t="s">
        <v>38</v>
      </c>
      <c r="K55" s="19" t="s">
        <v>38</v>
      </c>
      <c r="L55" s="19" t="s">
        <v>38</v>
      </c>
      <c r="M55" s="19" t="s">
        <v>38</v>
      </c>
      <c r="N55" s="19" t="s">
        <v>38</v>
      </c>
      <c r="O55" s="19" t="s">
        <v>38</v>
      </c>
      <c r="P55" s="19" t="s">
        <v>38</v>
      </c>
    </row>
    <row r="56" spans="1:16" ht="15.95" customHeight="1">
      <c r="C56" s="1155"/>
    </row>
    <row r="57" spans="1:16" ht="15.95" customHeight="1">
      <c r="B57" s="1048" t="s">
        <v>56</v>
      </c>
      <c r="C57" s="1155"/>
    </row>
    <row r="58" spans="1:16" ht="15.95" customHeight="1">
      <c r="B58" s="1048"/>
      <c r="C58" s="1155"/>
    </row>
    <row r="59" spans="1:16" ht="15.95" customHeight="1">
      <c r="C59" s="1155"/>
    </row>
    <row r="60" spans="1:16" ht="15.95" customHeight="1">
      <c r="B60" s="1157" t="s">
        <v>57</v>
      </c>
      <c r="C60" s="1155"/>
    </row>
    <row r="61" spans="1:16" ht="15.95" customHeight="1">
      <c r="B61" s="1157"/>
      <c r="C61" s="1155"/>
    </row>
    <row r="62" spans="1:16" ht="15.95" customHeight="1">
      <c r="B62" s="1048" t="s">
        <v>58</v>
      </c>
      <c r="C62" s="1155"/>
    </row>
    <row r="63" spans="1:16" ht="15.95" customHeight="1">
      <c r="C63" s="1155"/>
    </row>
    <row r="64" spans="1:16" ht="15.95" customHeight="1">
      <c r="B64" s="1050" t="s">
        <v>59</v>
      </c>
      <c r="C64" s="1155"/>
    </row>
    <row r="65" spans="2:3" ht="15.95" customHeight="1">
      <c r="B65" s="1050" t="s">
        <v>60</v>
      </c>
      <c r="C65" s="1155"/>
    </row>
    <row r="66" spans="2:3" ht="15.95" customHeight="1">
      <c r="B66" s="1157"/>
      <c r="C66" s="1155"/>
    </row>
    <row r="67" spans="2:3" ht="15.95" customHeight="1">
      <c r="B67" s="1048" t="s">
        <v>61</v>
      </c>
      <c r="C67" s="1155"/>
    </row>
    <row r="68" spans="2:3" ht="15.95" customHeight="1">
      <c r="B68" s="1157"/>
      <c r="C68" s="1155"/>
    </row>
    <row r="69" spans="2:3" ht="15.95" customHeight="1">
      <c r="B69" s="1048" t="s">
        <v>62</v>
      </c>
      <c r="C69" s="1155"/>
    </row>
    <row r="70" spans="2:3" ht="15.95" customHeight="1">
      <c r="B70" s="1048" t="s">
        <v>63</v>
      </c>
      <c r="C70" s="1155"/>
    </row>
    <row r="71" spans="2:3" ht="15.95" customHeight="1">
      <c r="B71" s="1157"/>
      <c r="C71" s="1155"/>
    </row>
    <row r="72" spans="2:3" ht="15.95" customHeight="1">
      <c r="B72" s="1048" t="s">
        <v>64</v>
      </c>
      <c r="C72" s="1155"/>
    </row>
    <row r="73" spans="2:3" ht="15.95" customHeight="1">
      <c r="B73" s="1149" t="s">
        <v>65</v>
      </c>
      <c r="C73" s="1155"/>
    </row>
    <row r="74" spans="2:3" ht="15.95" customHeight="1">
      <c r="B74" s="1048" t="s">
        <v>66</v>
      </c>
      <c r="C74" s="1155"/>
    </row>
    <row r="75" spans="2:3" ht="15.95" customHeight="1">
      <c r="B75" s="1157"/>
      <c r="C75" s="1155"/>
    </row>
    <row r="76" spans="2:3" ht="15.95" customHeight="1">
      <c r="B76" s="1048" t="s">
        <v>67</v>
      </c>
      <c r="C76" s="1155"/>
    </row>
    <row r="77" spans="2:3" ht="15.95" customHeight="1">
      <c r="B77" s="1048" t="s">
        <v>68</v>
      </c>
      <c r="C77" s="1155"/>
    </row>
    <row r="78" spans="2:3" ht="15.95" customHeight="1">
      <c r="C78" s="1155"/>
    </row>
    <row r="79" spans="2:3" ht="15.95" customHeight="1">
      <c r="B79" s="1050" t="s">
        <v>69</v>
      </c>
      <c r="C79" s="1155"/>
    </row>
    <row r="80" spans="2:3" ht="15.95" customHeight="1">
      <c r="B80" s="1050" t="s">
        <v>70</v>
      </c>
      <c r="C80" s="1155"/>
    </row>
    <row r="81" spans="2:9" ht="15.95" customHeight="1">
      <c r="B81" s="1048"/>
      <c r="C81" s="1155"/>
    </row>
    <row r="82" spans="2:9" ht="15.95" customHeight="1">
      <c r="B82" s="1048" t="s">
        <v>71</v>
      </c>
      <c r="C82" s="1155"/>
    </row>
    <row r="83" spans="2:9" ht="15.95" customHeight="1">
      <c r="B83" s="1048" t="s">
        <v>72</v>
      </c>
      <c r="C83" s="1155"/>
    </row>
    <row r="84" spans="2:9" ht="15.95" customHeight="1">
      <c r="B84" s="1048"/>
      <c r="C84" s="1155"/>
    </row>
    <row r="85" spans="2:9" ht="15.95" customHeight="1">
      <c r="B85" s="1238" t="s">
        <v>73</v>
      </c>
      <c r="C85" s="1155"/>
    </row>
    <row r="86" spans="2:9" ht="15.95" customHeight="1">
      <c r="C86" s="1155"/>
    </row>
    <row r="87" spans="2:9" ht="15.95" customHeight="1">
      <c r="B87" s="1149"/>
      <c r="C87" s="1155"/>
    </row>
    <row r="88" spans="2:9" ht="15.95" customHeight="1">
      <c r="B88" s="1153" t="s">
        <v>74</v>
      </c>
      <c r="C88" s="1152"/>
      <c r="D88" s="1152"/>
      <c r="E88" s="1152"/>
      <c r="F88" s="1152"/>
      <c r="G88" s="1152"/>
      <c r="H88" s="1152"/>
      <c r="I88" s="1152"/>
    </row>
    <row r="89" spans="2:9" ht="15.95" customHeight="1">
      <c r="B89" s="1153"/>
      <c r="C89" s="1152"/>
      <c r="D89" s="1152"/>
      <c r="E89" s="1152"/>
      <c r="F89" s="1152"/>
      <c r="G89" s="1152"/>
      <c r="H89" s="1152"/>
      <c r="I89" s="1152"/>
    </row>
    <row r="90" spans="2:9" ht="15.95" customHeight="1">
      <c r="B90" s="1048" t="s">
        <v>75</v>
      </c>
      <c r="C90" s="1152"/>
      <c r="D90" s="1152"/>
      <c r="E90" s="1152"/>
      <c r="F90" s="1152"/>
      <c r="G90" s="1152"/>
      <c r="H90" s="1152"/>
      <c r="I90" s="1152"/>
    </row>
    <row r="91" spans="2:9" ht="15.95" customHeight="1">
      <c r="B91" s="1048"/>
      <c r="C91" s="1152"/>
      <c r="D91" s="1152"/>
      <c r="E91" s="1152"/>
      <c r="F91" s="1152"/>
      <c r="G91" s="1152"/>
      <c r="H91" s="1152"/>
      <c r="I91" s="1152"/>
    </row>
    <row r="92" spans="2:9" ht="15.95" customHeight="1">
      <c r="B92" s="1048" t="s">
        <v>76</v>
      </c>
      <c r="C92" s="1152"/>
      <c r="D92" s="1152"/>
      <c r="E92" s="1152"/>
      <c r="F92" s="1152"/>
      <c r="G92" s="1152"/>
      <c r="H92" s="1152"/>
      <c r="I92" s="1152"/>
    </row>
    <row r="93" spans="2:9" ht="15.95" customHeight="1">
      <c r="B93" s="1048"/>
      <c r="C93" s="1152"/>
      <c r="D93" s="1152"/>
      <c r="E93" s="1152"/>
      <c r="F93" s="1152"/>
      <c r="G93" s="1152"/>
      <c r="H93" s="1152"/>
      <c r="I93" s="1152"/>
    </row>
    <row r="94" spans="2:9" ht="15.95" customHeight="1">
      <c r="B94" s="1048" t="s">
        <v>77</v>
      </c>
      <c r="C94" s="1152"/>
      <c r="D94" s="1152"/>
      <c r="E94" s="1152"/>
      <c r="F94" s="1152"/>
      <c r="G94" s="1152"/>
      <c r="H94" s="1152"/>
      <c r="I94" s="1152"/>
    </row>
    <row r="95" spans="2:9" ht="15.95" customHeight="1">
      <c r="B95" s="1048"/>
      <c r="C95" s="1152"/>
      <c r="D95" s="1152"/>
      <c r="E95" s="1152"/>
      <c r="F95" s="1152"/>
      <c r="G95" s="1152"/>
      <c r="H95" s="1152"/>
      <c r="I95" s="1152"/>
    </row>
    <row r="96" spans="2:9" ht="15.95" customHeight="1">
      <c r="B96" s="1048" t="s">
        <v>78</v>
      </c>
    </row>
    <row r="97" spans="1:9" ht="15.95" customHeight="1">
      <c r="C97" s="1152"/>
      <c r="D97" s="1152"/>
      <c r="E97" s="1152"/>
      <c r="F97" s="1152"/>
      <c r="G97" s="1152"/>
      <c r="H97" s="1152"/>
      <c r="I97" s="1152"/>
    </row>
    <row r="98" spans="1:9" ht="15.95" customHeight="1">
      <c r="B98" s="1048" t="s">
        <v>79</v>
      </c>
      <c r="C98" s="1152"/>
      <c r="D98" s="1152"/>
      <c r="E98" s="1152"/>
      <c r="F98" s="1152"/>
      <c r="G98" s="1152"/>
      <c r="H98" s="1152"/>
      <c r="I98" s="1152"/>
    </row>
    <row r="99" spans="1:9" ht="15.95" customHeight="1">
      <c r="B99" s="1048" t="s">
        <v>80</v>
      </c>
      <c r="C99" s="1152"/>
      <c r="D99" s="1152"/>
      <c r="E99" s="1152"/>
      <c r="F99" s="1152"/>
      <c r="G99" s="1152"/>
      <c r="H99" s="1152"/>
      <c r="I99" s="1152"/>
    </row>
    <row r="100" spans="1:9" ht="15.95" customHeight="1">
      <c r="C100" s="1152"/>
      <c r="D100" s="1152"/>
      <c r="E100" s="1152"/>
      <c r="F100" s="1152"/>
      <c r="G100" s="1152"/>
      <c r="H100" s="1152"/>
      <c r="I100" s="1152"/>
    </row>
    <row r="101" spans="1:9" ht="15.95" customHeight="1">
      <c r="B101" s="1048" t="s">
        <v>81</v>
      </c>
      <c r="C101" s="1152"/>
      <c r="D101" s="1152"/>
      <c r="E101" s="1152"/>
      <c r="F101" s="1152"/>
      <c r="G101" s="1152"/>
      <c r="H101" s="1152"/>
      <c r="I101" s="1152"/>
    </row>
    <row r="102" spans="1:9" ht="15.95" customHeight="1">
      <c r="C102" s="1152"/>
      <c r="D102" s="1152"/>
      <c r="E102" s="1152"/>
      <c r="F102" s="1152"/>
      <c r="G102" s="1152"/>
      <c r="H102" s="1152"/>
      <c r="I102" s="1152"/>
    </row>
    <row r="103" spans="1:9" ht="15.95" customHeight="1">
      <c r="B103" s="1048" t="s">
        <v>82</v>
      </c>
      <c r="C103" s="1152"/>
      <c r="D103" s="1152"/>
      <c r="E103" s="1152"/>
      <c r="F103" s="1152"/>
      <c r="G103" s="1152"/>
      <c r="H103" s="1152"/>
      <c r="I103" s="1152"/>
    </row>
    <row r="104" spans="1:9" ht="15.95" customHeight="1">
      <c r="C104" s="1152"/>
      <c r="D104" s="1152"/>
      <c r="E104" s="1152"/>
      <c r="F104" s="1152"/>
      <c r="G104" s="1152"/>
      <c r="H104" s="1152"/>
      <c r="I104" s="1152"/>
    </row>
    <row r="105" spans="1:9" ht="15.95" customHeight="1">
      <c r="B105" s="1154"/>
      <c r="C105" s="1152"/>
      <c r="D105" s="1152"/>
      <c r="E105" s="1152"/>
      <c r="F105" s="1152"/>
      <c r="G105" s="1152"/>
      <c r="H105" s="1152"/>
      <c r="I105" s="1152"/>
    </row>
    <row r="106" spans="1:9" ht="15.95" customHeight="1">
      <c r="B106" s="1153" t="s">
        <v>83</v>
      </c>
      <c r="C106" s="1152"/>
      <c r="D106" s="1152"/>
      <c r="E106" s="1152"/>
      <c r="F106" s="1152"/>
      <c r="G106" s="1152"/>
      <c r="H106" s="1152"/>
      <c r="I106" s="1152"/>
    </row>
    <row r="107" spans="1:9" ht="15.95" customHeight="1">
      <c r="B107" s="1154"/>
      <c r="C107" s="1152"/>
      <c r="D107" s="1152"/>
      <c r="E107" s="1152"/>
      <c r="F107" s="1152"/>
      <c r="G107" s="1152"/>
      <c r="H107" s="1152"/>
      <c r="I107" s="1152"/>
    </row>
    <row r="108" spans="1:9" ht="15.95" customHeight="1">
      <c r="B108" s="1048" t="s">
        <v>84</v>
      </c>
      <c r="C108" s="1152"/>
      <c r="D108" s="1152"/>
      <c r="E108" s="1152"/>
      <c r="F108" s="1152"/>
      <c r="G108" s="1152"/>
      <c r="H108" s="1152"/>
      <c r="I108" s="1152"/>
    </row>
    <row r="109" spans="1:9" ht="15.95" customHeight="1">
      <c r="B109" s="1154"/>
      <c r="C109" s="1152"/>
      <c r="D109" s="1152"/>
      <c r="E109" s="1152"/>
      <c r="F109" s="1152"/>
      <c r="G109" s="1152"/>
      <c r="H109" s="1152"/>
      <c r="I109" s="1152"/>
    </row>
    <row r="110" spans="1:9" ht="15.95" customHeight="1">
      <c r="B110" s="20"/>
      <c r="C110" s="1155"/>
    </row>
    <row r="111" spans="1:9" s="19" customFormat="1" ht="23.25" customHeight="1">
      <c r="A111" s="1146"/>
      <c r="B111" s="1169" t="s">
        <v>85</v>
      </c>
      <c r="C111" s="1170"/>
      <c r="D111" s="1171"/>
      <c r="E111" s="1171"/>
      <c r="F111" s="1171"/>
      <c r="G111" s="1171"/>
    </row>
    <row r="112" spans="1:9" ht="15.95" customHeight="1">
      <c r="A112" s="36"/>
      <c r="B112" s="1145"/>
      <c r="C112" s="1145"/>
    </row>
    <row r="113" spans="1:3" ht="15.95" customHeight="1">
      <c r="A113" s="36"/>
      <c r="B113" s="291" t="s">
        <v>57</v>
      </c>
      <c r="C113" s="1145"/>
    </row>
    <row r="114" spans="1:3" ht="15.95" customHeight="1">
      <c r="A114" s="36"/>
      <c r="B114" s="291"/>
      <c r="C114" s="1145"/>
    </row>
    <row r="115" spans="1:3" ht="15.95" customHeight="1">
      <c r="A115" s="36"/>
      <c r="B115" s="1048" t="s">
        <v>86</v>
      </c>
      <c r="C115" s="1145"/>
    </row>
    <row r="116" spans="1:3" ht="15.95" customHeight="1">
      <c r="A116" s="36"/>
      <c r="B116" s="1048"/>
      <c r="C116" s="1145"/>
    </row>
    <row r="117" spans="1:3" ht="15.95" customHeight="1">
      <c r="A117" s="36"/>
      <c r="B117" s="1048" t="s">
        <v>87</v>
      </c>
      <c r="C117" s="1145"/>
    </row>
    <row r="118" spans="1:3" ht="15.95" customHeight="1">
      <c r="A118" s="36"/>
      <c r="B118" s="1048"/>
      <c r="C118" s="1145"/>
    </row>
    <row r="119" spans="1:3" ht="15.95" customHeight="1">
      <c r="A119" s="36"/>
      <c r="B119" s="1048" t="s">
        <v>88</v>
      </c>
      <c r="C119" s="1145"/>
    </row>
    <row r="120" spans="1:3" ht="15.95" customHeight="1">
      <c r="B120" s="1048" t="s">
        <v>89</v>
      </c>
    </row>
    <row r="121" spans="1:3" ht="15.95" customHeight="1">
      <c r="B121" s="1048"/>
    </row>
    <row r="122" spans="1:3" ht="15.95" customHeight="1">
      <c r="A122" s="36"/>
      <c r="B122" s="1048" t="s">
        <v>90</v>
      </c>
      <c r="C122" s="1145"/>
    </row>
    <row r="123" spans="1:3" ht="15.95" customHeight="1">
      <c r="B123" s="1048"/>
    </row>
    <row r="124" spans="1:3" ht="15.95" customHeight="1">
      <c r="A124" s="36"/>
      <c r="B124" s="1049" t="s">
        <v>91</v>
      </c>
      <c r="C124" s="1145"/>
    </row>
    <row r="125" spans="1:3" ht="15.95" customHeight="1">
      <c r="A125" s="36"/>
      <c r="B125" s="1048" t="s">
        <v>92</v>
      </c>
      <c r="C125" s="1145"/>
    </row>
    <row r="127" spans="1:3" ht="15.95" customHeight="1">
      <c r="A127" s="36"/>
      <c r="B127" s="1048" t="s">
        <v>93</v>
      </c>
      <c r="C127" s="1145"/>
    </row>
    <row r="128" spans="1:3" ht="15.95" customHeight="1">
      <c r="A128" s="36"/>
      <c r="B128" s="1048"/>
      <c r="C128" s="1145"/>
    </row>
    <row r="129" spans="1:3" ht="15.95" customHeight="1">
      <c r="A129" s="36"/>
      <c r="B129" s="1048" t="s">
        <v>94</v>
      </c>
      <c r="C129" s="1145"/>
    </row>
    <row r="130" spans="1:3" ht="15.95" customHeight="1">
      <c r="A130" s="36"/>
      <c r="B130" s="1048"/>
      <c r="C130" s="1145"/>
    </row>
    <row r="131" spans="1:3" ht="15.95" customHeight="1">
      <c r="A131" s="36"/>
      <c r="B131" s="1048" t="s">
        <v>95</v>
      </c>
      <c r="C131" s="1145"/>
    </row>
    <row r="132" spans="1:3" ht="15.95" customHeight="1">
      <c r="A132" s="36"/>
      <c r="B132" s="1048"/>
      <c r="C132" s="1145"/>
    </row>
    <row r="133" spans="1:3" ht="15.95" customHeight="1">
      <c r="A133" s="36"/>
      <c r="B133" s="1048" t="s">
        <v>96</v>
      </c>
      <c r="C133" s="1145"/>
    </row>
    <row r="135" spans="1:3" ht="15.95" customHeight="1">
      <c r="A135" s="36"/>
      <c r="B135" s="1048" t="s">
        <v>97</v>
      </c>
      <c r="C135" s="1145"/>
    </row>
    <row r="136" spans="1:3" ht="15.95" customHeight="1">
      <c r="A136" s="36"/>
      <c r="B136" s="1048"/>
      <c r="C136" s="1145"/>
    </row>
    <row r="137" spans="1:3" ht="15.95" customHeight="1">
      <c r="A137" s="36"/>
      <c r="B137" s="1050" t="s">
        <v>98</v>
      </c>
      <c r="C137" s="1145"/>
    </row>
    <row r="138" spans="1:3" ht="15.95" customHeight="1">
      <c r="A138" s="36"/>
      <c r="B138" s="1048"/>
      <c r="C138" s="1145"/>
    </row>
    <row r="139" spans="1:3" ht="15.95" customHeight="1">
      <c r="A139" s="36"/>
      <c r="B139" s="1048" t="s">
        <v>99</v>
      </c>
      <c r="C139" s="1145"/>
    </row>
    <row r="140" spans="1:3" ht="15.95" customHeight="1">
      <c r="A140" s="36"/>
      <c r="B140" s="1048"/>
      <c r="C140" s="1145"/>
    </row>
    <row r="141" spans="1:3" ht="15.95" customHeight="1">
      <c r="A141" s="36"/>
      <c r="B141" s="1048"/>
      <c r="C141" s="1145"/>
    </row>
    <row r="142" spans="1:3" s="1158" customFormat="1" ht="15.95" customHeight="1">
      <c r="A142" s="1167"/>
      <c r="B142" s="1153" t="s">
        <v>83</v>
      </c>
      <c r="C142" s="1155"/>
    </row>
    <row r="143" spans="1:3" ht="15.95" customHeight="1">
      <c r="A143" s="36"/>
      <c r="B143" s="1048"/>
      <c r="C143" s="1145"/>
    </row>
    <row r="144" spans="1:3" ht="15.95" customHeight="1">
      <c r="A144" s="36"/>
      <c r="B144" s="1048" t="s">
        <v>100</v>
      </c>
      <c r="C144" s="1145"/>
    </row>
    <row r="145" spans="1:7" ht="15.95" customHeight="1">
      <c r="A145" s="36"/>
      <c r="B145" s="1048"/>
      <c r="C145" s="1145"/>
    </row>
    <row r="146" spans="1:7" ht="15.95" customHeight="1">
      <c r="A146" s="36"/>
      <c r="B146" s="1048" t="s">
        <v>101</v>
      </c>
      <c r="C146" s="1145"/>
    </row>
    <row r="147" spans="1:7" ht="15.95" customHeight="1">
      <c r="A147" s="36"/>
      <c r="B147" s="1048"/>
      <c r="C147" s="1145"/>
    </row>
    <row r="148" spans="1:7" ht="15.95" customHeight="1">
      <c r="A148" s="36"/>
      <c r="B148" s="1048" t="s">
        <v>102</v>
      </c>
      <c r="C148" s="1145"/>
    </row>
    <row r="149" spans="1:7" ht="15.95" customHeight="1">
      <c r="A149" s="36"/>
      <c r="B149" s="1048" t="s">
        <v>103</v>
      </c>
      <c r="C149" s="1145"/>
    </row>
    <row r="151" spans="1:7" ht="15.95" customHeight="1">
      <c r="A151" s="36"/>
      <c r="B151" s="1048" t="s">
        <v>104</v>
      </c>
      <c r="C151" s="1145"/>
    </row>
    <row r="152" spans="1:7" ht="15.95" customHeight="1">
      <c r="A152" s="36"/>
      <c r="B152" s="1145"/>
      <c r="C152" s="1145"/>
    </row>
    <row r="153" spans="1:7" ht="15.95" customHeight="1">
      <c r="B153" s="1048" t="s">
        <v>105</v>
      </c>
    </row>
    <row r="154" spans="1:7" ht="15.95" customHeight="1">
      <c r="A154" s="36"/>
      <c r="B154" s="1048"/>
      <c r="C154" s="1145"/>
    </row>
    <row r="155" spans="1:7" ht="15.95" customHeight="1">
      <c r="A155" s="36"/>
      <c r="B155" s="1145"/>
      <c r="C155" s="1145"/>
    </row>
    <row r="156" spans="1:7" ht="24.75" customHeight="1">
      <c r="A156" s="36"/>
      <c r="B156" s="1172" t="s">
        <v>106</v>
      </c>
      <c r="C156" s="1173"/>
      <c r="D156" s="1174"/>
      <c r="E156" s="1174"/>
      <c r="F156" s="1174"/>
      <c r="G156" s="1174"/>
    </row>
    <row r="157" spans="1:7" ht="15.95" customHeight="1">
      <c r="A157" s="36"/>
      <c r="B157" s="292" t="s">
        <v>38</v>
      </c>
      <c r="C157" s="1145"/>
    </row>
    <row r="158" spans="1:7" ht="15.95" customHeight="1">
      <c r="A158" s="36"/>
      <c r="B158" s="291" t="s">
        <v>30</v>
      </c>
      <c r="C158" s="1145"/>
    </row>
    <row r="159" spans="1:7" ht="15.95" customHeight="1">
      <c r="A159" s="36"/>
      <c r="B159" s="291"/>
      <c r="C159" s="1145"/>
    </row>
    <row r="160" spans="1:7" ht="15.95" customHeight="1">
      <c r="A160" s="36"/>
      <c r="B160" s="1048" t="s">
        <v>107</v>
      </c>
      <c r="C160" s="1145"/>
    </row>
    <row r="161" spans="1:3" ht="15.95" customHeight="1">
      <c r="A161" s="36"/>
      <c r="B161" s="291"/>
      <c r="C161" s="1145"/>
    </row>
    <row r="162" spans="1:3" ht="15.95" customHeight="1">
      <c r="A162" s="36"/>
      <c r="B162" s="1048" t="s">
        <v>108</v>
      </c>
      <c r="C162" s="1145"/>
    </row>
    <row r="163" spans="1:3" ht="15.95" customHeight="1">
      <c r="A163" s="36"/>
      <c r="B163" s="1147"/>
      <c r="C163" s="1145"/>
    </row>
    <row r="164" spans="1:3" ht="15.95" customHeight="1">
      <c r="A164" s="36"/>
      <c r="B164" s="1048" t="s">
        <v>109</v>
      </c>
      <c r="C164" s="1145"/>
    </row>
    <row r="165" spans="1:3" ht="15.95" customHeight="1">
      <c r="A165" s="36"/>
      <c r="B165" s="1148"/>
      <c r="C165" s="1145"/>
    </row>
    <row r="166" spans="1:3" ht="15.95" customHeight="1">
      <c r="A166" s="36"/>
      <c r="B166" s="1048" t="s">
        <v>110</v>
      </c>
      <c r="C166" s="1145"/>
    </row>
    <row r="167" spans="1:3" ht="15.95" customHeight="1">
      <c r="A167" s="36"/>
      <c r="B167" s="1049" t="s">
        <v>38</v>
      </c>
      <c r="C167" s="1145"/>
    </row>
    <row r="168" spans="1:3" ht="15.95" customHeight="1">
      <c r="A168" s="36"/>
      <c r="B168" s="1048" t="s">
        <v>111</v>
      </c>
      <c r="C168" s="1145"/>
    </row>
    <row r="169" spans="1:3" ht="15.95" customHeight="1">
      <c r="A169" s="36"/>
      <c r="B169" s="1049"/>
      <c r="C169" s="1145"/>
    </row>
    <row r="170" spans="1:3" ht="15.95" customHeight="1">
      <c r="A170" s="36"/>
      <c r="B170" s="1048" t="s">
        <v>112</v>
      </c>
      <c r="C170" s="1145"/>
    </row>
    <row r="171" spans="1:3" ht="15.95" customHeight="1">
      <c r="A171" s="36"/>
      <c r="B171" s="1049"/>
      <c r="C171" s="1145"/>
    </row>
    <row r="172" spans="1:3" ht="15.95" customHeight="1">
      <c r="A172" s="36"/>
      <c r="B172" s="1048" t="s">
        <v>113</v>
      </c>
      <c r="C172" s="1145"/>
    </row>
    <row r="173" spans="1:3" ht="15.95" customHeight="1">
      <c r="A173" s="36"/>
      <c r="B173" s="1049" t="s">
        <v>38</v>
      </c>
      <c r="C173" s="1145"/>
    </row>
    <row r="174" spans="1:3" ht="15.95" customHeight="1">
      <c r="A174" s="36"/>
      <c r="B174" s="1048" t="s">
        <v>114</v>
      </c>
      <c r="C174" s="1145"/>
    </row>
    <row r="175" spans="1:3" ht="15.95" customHeight="1">
      <c r="A175" s="36"/>
      <c r="B175" s="1049"/>
      <c r="C175" s="1145"/>
    </row>
    <row r="176" spans="1:3" ht="15.95" customHeight="1">
      <c r="A176" s="36"/>
      <c r="B176" s="1048" t="s">
        <v>115</v>
      </c>
      <c r="C176" s="1145"/>
    </row>
    <row r="177" spans="1:3" ht="15.95" customHeight="1">
      <c r="A177" s="36"/>
      <c r="B177" s="1048" t="s">
        <v>116</v>
      </c>
      <c r="C177" s="1145"/>
    </row>
    <row r="178" spans="1:3" ht="15.95" customHeight="1">
      <c r="A178" s="36"/>
      <c r="B178" s="1049"/>
      <c r="C178" s="1145"/>
    </row>
    <row r="179" spans="1:3" ht="15.95" customHeight="1">
      <c r="A179" s="36"/>
      <c r="B179" s="1048" t="s">
        <v>117</v>
      </c>
      <c r="C179" s="1145"/>
    </row>
    <row r="180" spans="1:3" ht="15.95" customHeight="1">
      <c r="A180" s="36"/>
      <c r="B180" s="1048"/>
      <c r="C180" s="1145"/>
    </row>
    <row r="181" spans="1:3" ht="15.95" customHeight="1">
      <c r="A181" s="36"/>
      <c r="B181" s="1048" t="s">
        <v>118</v>
      </c>
      <c r="C181" s="1145"/>
    </row>
    <row r="182" spans="1:3" ht="15.95" customHeight="1">
      <c r="A182" s="36"/>
      <c r="B182" s="1049"/>
      <c r="C182" s="1145"/>
    </row>
    <row r="183" spans="1:3" ht="15.95" customHeight="1">
      <c r="A183" s="36"/>
      <c r="B183" s="1048" t="s">
        <v>119</v>
      </c>
      <c r="C183" s="1145"/>
    </row>
    <row r="184" spans="1:3" ht="15.95" customHeight="1">
      <c r="A184" s="36"/>
      <c r="B184" s="1049"/>
      <c r="C184" s="1145"/>
    </row>
    <row r="185" spans="1:3" ht="15.95" customHeight="1">
      <c r="A185" s="36"/>
      <c r="B185" s="1048" t="s">
        <v>120</v>
      </c>
      <c r="C185" s="1145"/>
    </row>
    <row r="186" spans="1:3" ht="15.95" customHeight="1">
      <c r="A186" s="36"/>
      <c r="B186" s="1048"/>
      <c r="C186" s="1145"/>
    </row>
    <row r="187" spans="1:3" ht="15.95" customHeight="1">
      <c r="A187" s="36"/>
      <c r="B187" s="1048" t="s">
        <v>121</v>
      </c>
      <c r="C187" s="1145"/>
    </row>
    <row r="188" spans="1:3" ht="15.95" customHeight="1">
      <c r="A188" s="36"/>
      <c r="B188" s="1048"/>
      <c r="C188" s="1145"/>
    </row>
    <row r="189" spans="1:3" ht="15.95" customHeight="1">
      <c r="A189" s="36"/>
      <c r="B189" s="1048"/>
      <c r="C189" s="1145"/>
    </row>
    <row r="190" spans="1:3" ht="15.95" customHeight="1">
      <c r="A190" s="36"/>
      <c r="B190" s="291" t="s">
        <v>57</v>
      </c>
      <c r="C190" s="1145"/>
    </row>
    <row r="191" spans="1:3" ht="15.95" customHeight="1">
      <c r="A191" s="36"/>
      <c r="B191" s="292" t="s">
        <v>38</v>
      </c>
      <c r="C191" s="1145"/>
    </row>
    <row r="192" spans="1:3" ht="15.95" customHeight="1">
      <c r="A192" s="36"/>
      <c r="B192" s="1048" t="s">
        <v>122</v>
      </c>
      <c r="C192" s="1145"/>
    </row>
    <row r="193" spans="1:3" ht="15.95" customHeight="1">
      <c r="A193" s="36"/>
      <c r="B193" s="1148" t="s">
        <v>38</v>
      </c>
      <c r="C193" s="1145"/>
    </row>
    <row r="194" spans="1:3" ht="15.95" customHeight="1">
      <c r="A194" s="36"/>
      <c r="B194" s="1048" t="s">
        <v>123</v>
      </c>
      <c r="C194" s="1145"/>
    </row>
    <row r="195" spans="1:3" ht="15.95" customHeight="1">
      <c r="A195" s="36"/>
      <c r="B195" s="1049"/>
      <c r="C195" s="1145"/>
    </row>
    <row r="196" spans="1:3" ht="15.95" customHeight="1">
      <c r="A196" s="36"/>
      <c r="B196" s="1048" t="s">
        <v>124</v>
      </c>
      <c r="C196" s="1145"/>
    </row>
    <row r="197" spans="1:3" ht="15.95" customHeight="1">
      <c r="A197" s="36"/>
      <c r="B197" s="1049"/>
      <c r="C197" s="1145"/>
    </row>
    <row r="198" spans="1:3" ht="15.95" customHeight="1">
      <c r="A198" s="36"/>
      <c r="B198" s="1048" t="s">
        <v>125</v>
      </c>
      <c r="C198" s="1145"/>
    </row>
    <row r="199" spans="1:3" ht="15.95" customHeight="1">
      <c r="A199" s="36"/>
      <c r="B199" s="1049"/>
      <c r="C199" s="1145"/>
    </row>
    <row r="200" spans="1:3" ht="15.95" customHeight="1">
      <c r="A200" s="36"/>
      <c r="B200" s="1048" t="s">
        <v>126</v>
      </c>
      <c r="C200" s="1145"/>
    </row>
    <row r="201" spans="1:3" ht="15.95" customHeight="1">
      <c r="A201" s="36"/>
      <c r="B201" s="19"/>
      <c r="C201" s="1145"/>
    </row>
    <row r="202" spans="1:3" ht="15.95" customHeight="1">
      <c r="A202" s="36"/>
      <c r="B202" s="1048" t="s">
        <v>127</v>
      </c>
      <c r="C202" s="1145"/>
    </row>
    <row r="203" spans="1:3" ht="15.95" customHeight="1">
      <c r="A203" s="36"/>
      <c r="B203" s="1048"/>
      <c r="C203" s="1145"/>
    </row>
    <row r="204" spans="1:3" ht="15.95" customHeight="1">
      <c r="A204" s="36"/>
      <c r="B204" s="1049" t="s">
        <v>128</v>
      </c>
      <c r="C204" s="1145"/>
    </row>
    <row r="205" spans="1:3" ht="15.95" customHeight="1">
      <c r="A205" s="36"/>
      <c r="B205" s="1048"/>
      <c r="C205" s="1145"/>
    </row>
    <row r="206" spans="1:3" ht="15.95" customHeight="1">
      <c r="A206" s="36"/>
      <c r="B206" s="1049" t="s">
        <v>129</v>
      </c>
      <c r="C206" s="1145"/>
    </row>
    <row r="207" spans="1:3" ht="15.95" customHeight="1">
      <c r="A207" s="36"/>
      <c r="B207" s="1049" t="s">
        <v>130</v>
      </c>
      <c r="C207" s="1145"/>
    </row>
    <row r="208" spans="1:3" ht="15.95" customHeight="1">
      <c r="A208" s="36"/>
      <c r="B208" s="1049" t="s">
        <v>131</v>
      </c>
      <c r="C208" s="1145"/>
    </row>
    <row r="209" spans="1:16" ht="15.95" customHeight="1">
      <c r="A209" s="36"/>
      <c r="B209" s="1048"/>
      <c r="C209" s="1145"/>
    </row>
    <row r="210" spans="1:16" ht="15.95" customHeight="1">
      <c r="A210" s="36"/>
      <c r="B210" s="1049" t="s">
        <v>132</v>
      </c>
      <c r="C210" s="1145"/>
    </row>
    <row r="211" spans="1:16" ht="15.95" customHeight="1">
      <c r="A211" s="36"/>
      <c r="B211" s="1049"/>
      <c r="C211" s="1145"/>
    </row>
    <row r="212" spans="1:16" ht="15.95" customHeight="1">
      <c r="A212" s="36"/>
      <c r="B212" s="1145"/>
      <c r="C212" s="1145"/>
    </row>
    <row r="213" spans="1:16" ht="23.25" customHeight="1">
      <c r="A213" s="36"/>
      <c r="B213" s="1175" t="s">
        <v>133</v>
      </c>
      <c r="C213" s="1173"/>
      <c r="D213" s="1174"/>
      <c r="E213" s="1174"/>
      <c r="F213" s="1174"/>
      <c r="G213" s="1174"/>
    </row>
    <row r="214" spans="1:16" ht="15.95" customHeight="1">
      <c r="A214" s="36"/>
      <c r="C214" s="20"/>
    </row>
    <row r="215" spans="1:16" ht="15.95" customHeight="1">
      <c r="A215" s="19" t="s">
        <v>38</v>
      </c>
      <c r="B215" s="291" t="s">
        <v>30</v>
      </c>
      <c r="C215" s="291"/>
      <c r="D215" s="19" t="s">
        <v>38</v>
      </c>
      <c r="E215" s="19" t="s">
        <v>38</v>
      </c>
      <c r="F215" s="19" t="s">
        <v>38</v>
      </c>
      <c r="G215" s="19" t="s">
        <v>38</v>
      </c>
      <c r="H215" s="19" t="s">
        <v>38</v>
      </c>
      <c r="I215" s="19" t="s">
        <v>38</v>
      </c>
      <c r="J215" s="19" t="s">
        <v>38</v>
      </c>
      <c r="K215" s="19" t="s">
        <v>38</v>
      </c>
      <c r="L215" s="19" t="s">
        <v>38</v>
      </c>
      <c r="M215" s="19" t="s">
        <v>38</v>
      </c>
      <c r="N215" s="19" t="s">
        <v>38</v>
      </c>
      <c r="O215" s="19" t="s">
        <v>38</v>
      </c>
      <c r="P215" s="19" t="s">
        <v>38</v>
      </c>
    </row>
    <row r="216" spans="1:16" ht="15.95" customHeight="1">
      <c r="A216" s="19" t="s">
        <v>38</v>
      </c>
      <c r="B216" s="19" t="s">
        <v>38</v>
      </c>
      <c r="C216" s="19" t="s">
        <v>38</v>
      </c>
      <c r="D216" s="19" t="s">
        <v>38</v>
      </c>
      <c r="E216" s="19" t="s">
        <v>38</v>
      </c>
      <c r="F216" s="19" t="s">
        <v>38</v>
      </c>
      <c r="G216" s="19" t="s">
        <v>38</v>
      </c>
      <c r="H216" s="19" t="s">
        <v>38</v>
      </c>
      <c r="I216" s="19" t="s">
        <v>38</v>
      </c>
      <c r="J216" s="19" t="s">
        <v>38</v>
      </c>
      <c r="K216" s="19" t="s">
        <v>38</v>
      </c>
      <c r="L216" s="19" t="s">
        <v>38</v>
      </c>
      <c r="M216" s="19" t="s">
        <v>38</v>
      </c>
      <c r="N216" s="19" t="s">
        <v>38</v>
      </c>
      <c r="O216" s="19" t="s">
        <v>38</v>
      </c>
      <c r="P216" s="19" t="s">
        <v>38</v>
      </c>
    </row>
    <row r="217" spans="1:16" ht="15.95" customHeight="1">
      <c r="A217" s="19" t="s">
        <v>38</v>
      </c>
      <c r="B217" s="1049" t="s">
        <v>134</v>
      </c>
      <c r="C217" s="19"/>
      <c r="D217" s="19"/>
      <c r="E217" s="19"/>
      <c r="F217" s="19"/>
      <c r="G217" s="19"/>
      <c r="H217" s="19"/>
      <c r="I217" s="19"/>
      <c r="J217" s="19"/>
      <c r="K217" s="19"/>
      <c r="L217" s="19"/>
      <c r="M217" s="19"/>
      <c r="N217" s="19" t="s">
        <v>38</v>
      </c>
      <c r="O217" s="19" t="s">
        <v>38</v>
      </c>
      <c r="P217" s="19" t="s">
        <v>38</v>
      </c>
    </row>
    <row r="218" spans="1:16" ht="15.95" customHeight="1">
      <c r="A218" s="19" t="s">
        <v>38</v>
      </c>
      <c r="B218" s="1049" t="s">
        <v>38</v>
      </c>
      <c r="C218" s="19" t="s">
        <v>38</v>
      </c>
      <c r="D218" s="19" t="s">
        <v>38</v>
      </c>
      <c r="E218" s="19" t="s">
        <v>38</v>
      </c>
      <c r="F218" s="19" t="s">
        <v>38</v>
      </c>
      <c r="G218" s="19" t="s">
        <v>38</v>
      </c>
      <c r="H218" s="19" t="s">
        <v>38</v>
      </c>
      <c r="I218" s="19" t="s">
        <v>38</v>
      </c>
      <c r="J218" s="19" t="s">
        <v>38</v>
      </c>
      <c r="K218" s="19" t="s">
        <v>38</v>
      </c>
      <c r="L218" s="19" t="s">
        <v>38</v>
      </c>
      <c r="M218" s="19" t="s">
        <v>38</v>
      </c>
      <c r="N218" s="19" t="s">
        <v>38</v>
      </c>
      <c r="O218" s="19" t="s">
        <v>38</v>
      </c>
      <c r="P218" s="19" t="s">
        <v>38</v>
      </c>
    </row>
    <row r="219" spans="1:16" ht="15.95" customHeight="1">
      <c r="A219" s="19" t="s">
        <v>38</v>
      </c>
      <c r="B219" s="1049" t="s">
        <v>135</v>
      </c>
      <c r="C219" s="19"/>
      <c r="D219" s="19"/>
      <c r="E219" s="19"/>
      <c r="F219" s="19"/>
      <c r="G219" s="19"/>
      <c r="H219" s="19"/>
      <c r="I219" s="19"/>
      <c r="J219" s="19"/>
      <c r="K219" s="19"/>
      <c r="L219" s="19" t="s">
        <v>38</v>
      </c>
      <c r="M219" s="19" t="s">
        <v>38</v>
      </c>
      <c r="N219" s="19" t="s">
        <v>38</v>
      </c>
      <c r="O219" s="19" t="s">
        <v>38</v>
      </c>
      <c r="P219" s="19" t="s">
        <v>38</v>
      </c>
    </row>
    <row r="220" spans="1:16" ht="15.95" customHeight="1">
      <c r="A220" s="19" t="s">
        <v>38</v>
      </c>
      <c r="B220" s="1049" t="s">
        <v>38</v>
      </c>
      <c r="C220" s="19" t="s">
        <v>38</v>
      </c>
      <c r="D220" s="19" t="s">
        <v>38</v>
      </c>
      <c r="E220" s="19" t="s">
        <v>38</v>
      </c>
      <c r="F220" s="19" t="s">
        <v>38</v>
      </c>
      <c r="G220" s="19" t="s">
        <v>38</v>
      </c>
      <c r="H220" s="19" t="s">
        <v>38</v>
      </c>
      <c r="I220" s="19" t="s">
        <v>38</v>
      </c>
      <c r="J220" s="19" t="s">
        <v>38</v>
      </c>
      <c r="K220" s="19" t="s">
        <v>38</v>
      </c>
      <c r="L220" s="19" t="s">
        <v>38</v>
      </c>
      <c r="M220" s="19" t="s">
        <v>38</v>
      </c>
      <c r="N220" s="19" t="s">
        <v>38</v>
      </c>
      <c r="O220" s="19" t="s">
        <v>38</v>
      </c>
      <c r="P220" s="19" t="s">
        <v>38</v>
      </c>
    </row>
    <row r="221" spans="1:16" ht="15.95" customHeight="1">
      <c r="A221" s="19"/>
      <c r="B221" s="1049" t="s">
        <v>136</v>
      </c>
      <c r="C221" s="19"/>
      <c r="D221" s="19"/>
      <c r="E221" s="19"/>
      <c r="F221" s="19"/>
      <c r="G221" s="19"/>
      <c r="H221" s="19"/>
      <c r="I221" s="19"/>
      <c r="J221" s="19"/>
      <c r="K221" s="19"/>
      <c r="L221" s="19"/>
      <c r="M221" s="19"/>
      <c r="N221" s="19"/>
      <c r="O221" s="19"/>
      <c r="P221" s="19"/>
    </row>
    <row r="222" spans="1:16" ht="15.95" customHeight="1">
      <c r="A222" s="19"/>
      <c r="B222" s="1049" t="s">
        <v>137</v>
      </c>
      <c r="C222" s="19"/>
      <c r="D222" s="19"/>
      <c r="E222" s="19"/>
      <c r="F222" s="19"/>
      <c r="G222" s="19"/>
      <c r="H222" s="19"/>
      <c r="I222" s="19"/>
      <c r="J222" s="19"/>
      <c r="K222" s="19"/>
      <c r="L222" s="19"/>
      <c r="M222" s="19"/>
      <c r="N222" s="19"/>
      <c r="O222" s="19"/>
      <c r="P222" s="19"/>
    </row>
    <row r="223" spans="1:16" ht="15.95" customHeight="1">
      <c r="A223" s="19"/>
      <c r="B223" s="1049" t="s">
        <v>138</v>
      </c>
      <c r="C223" s="19"/>
      <c r="D223" s="19"/>
      <c r="E223" s="19"/>
      <c r="F223" s="19"/>
      <c r="G223" s="19"/>
      <c r="H223" s="19"/>
      <c r="I223" s="19"/>
      <c r="J223" s="19"/>
      <c r="K223" s="19"/>
      <c r="L223" s="19"/>
      <c r="M223" s="19"/>
      <c r="N223" s="19"/>
      <c r="O223" s="19"/>
      <c r="P223" s="19"/>
    </row>
    <row r="224" spans="1:16" ht="15.95" customHeight="1">
      <c r="A224" s="19"/>
      <c r="B224" s="1049"/>
      <c r="C224" s="19"/>
      <c r="D224" s="19"/>
      <c r="E224" s="19"/>
      <c r="F224" s="19"/>
      <c r="G224" s="19"/>
      <c r="H224" s="19"/>
      <c r="I224" s="19"/>
      <c r="J224" s="19"/>
      <c r="K224" s="19"/>
      <c r="L224" s="19"/>
      <c r="M224" s="19"/>
      <c r="N224" s="19"/>
      <c r="O224" s="19"/>
      <c r="P224" s="19"/>
    </row>
    <row r="225" spans="1:16" ht="15.95" customHeight="1">
      <c r="A225" s="19"/>
      <c r="B225" s="1049" t="s">
        <v>139</v>
      </c>
      <c r="C225" s="19"/>
      <c r="D225" s="19"/>
      <c r="E225" s="19"/>
      <c r="F225" s="19"/>
      <c r="G225" s="19"/>
      <c r="H225" s="19"/>
      <c r="I225" s="19"/>
      <c r="J225" s="19"/>
      <c r="K225" s="19"/>
      <c r="L225" s="19"/>
      <c r="M225" s="19"/>
      <c r="N225" s="19"/>
      <c r="O225" s="19"/>
      <c r="P225" s="19"/>
    </row>
    <row r="226" spans="1:16" ht="15.95" customHeight="1">
      <c r="A226" s="19"/>
      <c r="B226" s="1049"/>
      <c r="C226" s="19"/>
      <c r="D226" s="19"/>
      <c r="E226" s="19"/>
      <c r="F226" s="19"/>
      <c r="G226" s="19"/>
      <c r="H226" s="19"/>
      <c r="I226" s="19"/>
      <c r="J226" s="19"/>
      <c r="K226" s="19"/>
      <c r="L226" s="19"/>
      <c r="M226" s="19"/>
      <c r="N226" s="19"/>
      <c r="O226" s="19"/>
      <c r="P226" s="19"/>
    </row>
    <row r="227" spans="1:16" ht="15.95" customHeight="1">
      <c r="A227" s="19"/>
      <c r="B227" s="1049" t="s">
        <v>140</v>
      </c>
      <c r="C227" s="19"/>
      <c r="D227" s="19"/>
      <c r="E227" s="19"/>
      <c r="F227" s="19"/>
      <c r="G227" s="19"/>
      <c r="H227" s="19"/>
      <c r="I227" s="19"/>
      <c r="J227" s="19"/>
      <c r="K227" s="19"/>
      <c r="L227" s="19"/>
      <c r="M227" s="19"/>
      <c r="N227" s="19"/>
      <c r="O227" s="19"/>
      <c r="P227" s="19"/>
    </row>
    <row r="228" spans="1:16" ht="15.95" customHeight="1">
      <c r="A228" s="19"/>
      <c r="B228" s="1049"/>
      <c r="C228" s="19"/>
      <c r="D228" s="19"/>
      <c r="E228" s="19"/>
      <c r="F228" s="19"/>
      <c r="G228" s="19"/>
      <c r="H228" s="19"/>
      <c r="I228" s="19"/>
      <c r="J228" s="19"/>
      <c r="K228" s="19"/>
      <c r="L228" s="19"/>
      <c r="M228" s="19"/>
      <c r="N228" s="19"/>
      <c r="O228" s="19"/>
      <c r="P228" s="19"/>
    </row>
    <row r="229" spans="1:16" ht="15.95" customHeight="1">
      <c r="A229" s="19" t="s">
        <v>38</v>
      </c>
      <c r="B229" s="1049" t="s">
        <v>141</v>
      </c>
      <c r="C229" s="19"/>
      <c r="D229" s="19"/>
      <c r="E229" s="19"/>
      <c r="F229" s="19"/>
      <c r="G229" s="19"/>
      <c r="H229" s="19"/>
      <c r="I229" s="19"/>
      <c r="J229" s="19"/>
      <c r="K229" s="19"/>
      <c r="L229" s="19"/>
      <c r="M229" s="19" t="s">
        <v>38</v>
      </c>
      <c r="N229" s="19" t="s">
        <v>38</v>
      </c>
      <c r="O229" s="19" t="s">
        <v>38</v>
      </c>
      <c r="P229" s="19" t="s">
        <v>38</v>
      </c>
    </row>
    <row r="230" spans="1:16" ht="15.95" customHeight="1">
      <c r="A230" s="19"/>
      <c r="B230" s="1049"/>
      <c r="C230" s="19"/>
      <c r="D230" s="19"/>
      <c r="E230" s="19"/>
      <c r="F230" s="19"/>
      <c r="G230" s="19"/>
      <c r="H230" s="19"/>
      <c r="I230" s="19"/>
      <c r="J230" s="19"/>
      <c r="K230" s="19"/>
      <c r="L230" s="19"/>
      <c r="M230" s="19"/>
      <c r="N230" s="19"/>
      <c r="O230" s="19"/>
      <c r="P230" s="19"/>
    </row>
    <row r="231" spans="1:16" ht="15.95" customHeight="1">
      <c r="A231" s="19"/>
      <c r="B231" s="1049" t="s">
        <v>142</v>
      </c>
      <c r="C231" s="19"/>
      <c r="D231" s="19"/>
      <c r="E231" s="19"/>
      <c r="F231" s="19"/>
      <c r="G231" s="19"/>
      <c r="H231" s="19"/>
      <c r="I231" s="19"/>
      <c r="J231" s="19"/>
      <c r="K231" s="19"/>
      <c r="L231" s="19"/>
      <c r="M231" s="19"/>
      <c r="N231" s="19"/>
      <c r="O231" s="19"/>
      <c r="P231" s="19"/>
    </row>
    <row r="232" spans="1:16" ht="15.95" customHeight="1">
      <c r="A232" s="19"/>
      <c r="B232" s="1049" t="s">
        <v>143</v>
      </c>
      <c r="C232" s="19"/>
      <c r="D232" s="19"/>
      <c r="E232" s="19"/>
      <c r="F232" s="19"/>
      <c r="G232" s="19"/>
      <c r="H232" s="19"/>
      <c r="I232" s="19"/>
      <c r="J232" s="19"/>
      <c r="K232" s="19"/>
      <c r="L232" s="19"/>
      <c r="M232" s="19"/>
      <c r="N232" s="19"/>
      <c r="O232" s="19"/>
      <c r="P232" s="19"/>
    </row>
    <row r="233" spans="1:16" ht="15.95" customHeight="1">
      <c r="A233" s="19"/>
      <c r="B233" s="1049"/>
      <c r="C233" s="19"/>
      <c r="D233" s="19"/>
      <c r="E233" s="19"/>
      <c r="F233" s="19"/>
      <c r="G233" s="19"/>
      <c r="H233" s="19"/>
      <c r="I233" s="19"/>
      <c r="J233" s="19"/>
      <c r="K233" s="19"/>
      <c r="L233" s="19"/>
      <c r="M233" s="19"/>
      <c r="N233" s="19"/>
      <c r="O233" s="19"/>
      <c r="P233" s="19"/>
    </row>
    <row r="234" spans="1:16" ht="15.95" customHeight="1">
      <c r="A234" s="19"/>
      <c r="B234" s="1049" t="s">
        <v>144</v>
      </c>
      <c r="C234" s="19"/>
      <c r="D234" s="19"/>
      <c r="E234" s="19"/>
      <c r="F234" s="19"/>
      <c r="G234" s="19"/>
      <c r="H234" s="19"/>
      <c r="I234" s="19"/>
      <c r="J234" s="19"/>
      <c r="K234" s="19"/>
      <c r="L234" s="19"/>
      <c r="M234" s="19"/>
      <c r="N234" s="19"/>
      <c r="O234" s="19"/>
      <c r="P234" s="19"/>
    </row>
    <row r="235" spans="1:16" ht="15.95" customHeight="1">
      <c r="A235" s="19"/>
      <c r="B235" s="1049" t="s">
        <v>145</v>
      </c>
      <c r="C235" s="19"/>
      <c r="D235" s="19"/>
      <c r="E235" s="19"/>
      <c r="F235" s="19"/>
      <c r="G235" s="19"/>
      <c r="H235" s="19"/>
      <c r="I235" s="19"/>
      <c r="J235" s="19"/>
      <c r="K235" s="19"/>
      <c r="L235" s="19"/>
      <c r="M235" s="19"/>
      <c r="N235" s="19"/>
      <c r="O235" s="19"/>
      <c r="P235" s="19"/>
    </row>
    <row r="236" spans="1:16" ht="15.95" customHeight="1">
      <c r="A236" s="19"/>
      <c r="B236" s="1049" t="s">
        <v>146</v>
      </c>
      <c r="C236" s="19"/>
      <c r="D236" s="19"/>
      <c r="E236" s="19"/>
      <c r="F236" s="19"/>
      <c r="G236" s="19"/>
      <c r="H236" s="19"/>
      <c r="I236" s="19"/>
      <c r="J236" s="19"/>
      <c r="K236" s="19"/>
      <c r="L236" s="19"/>
      <c r="M236" s="19"/>
      <c r="N236" s="19"/>
      <c r="O236" s="19"/>
      <c r="P236" s="19"/>
    </row>
    <row r="237" spans="1:16" ht="15.95" customHeight="1">
      <c r="A237" s="19"/>
      <c r="B237" s="19"/>
      <c r="C237" s="19"/>
      <c r="D237" s="19"/>
      <c r="E237" s="19"/>
      <c r="F237" s="19"/>
      <c r="G237" s="19"/>
      <c r="H237" s="19"/>
      <c r="I237" s="19"/>
      <c r="J237" s="19"/>
      <c r="K237" s="19"/>
      <c r="L237" s="19"/>
      <c r="M237" s="19"/>
      <c r="N237" s="19"/>
      <c r="O237" s="19"/>
      <c r="P237" s="19"/>
    </row>
    <row r="238" spans="1:16" ht="15.95" customHeight="1">
      <c r="A238" s="19"/>
      <c r="B238" s="19"/>
      <c r="C238" s="19"/>
      <c r="D238" s="19"/>
      <c r="E238" s="19"/>
      <c r="F238" s="19"/>
      <c r="G238" s="19"/>
      <c r="H238" s="19"/>
      <c r="I238" s="19"/>
      <c r="J238" s="19"/>
      <c r="K238" s="19"/>
      <c r="L238" s="19"/>
      <c r="M238" s="19"/>
      <c r="N238" s="19"/>
      <c r="O238" s="19"/>
      <c r="P238" s="19"/>
    </row>
    <row r="239" spans="1:16" ht="15.95" customHeight="1">
      <c r="A239" s="19" t="s">
        <v>38</v>
      </c>
      <c r="B239" s="291" t="s">
        <v>57</v>
      </c>
      <c r="C239" s="291"/>
      <c r="D239" s="19" t="s">
        <v>38</v>
      </c>
      <c r="E239" s="19" t="s">
        <v>38</v>
      </c>
      <c r="F239" s="19" t="s">
        <v>38</v>
      </c>
      <c r="G239" s="19" t="s">
        <v>38</v>
      </c>
      <c r="H239" s="19" t="s">
        <v>38</v>
      </c>
      <c r="I239" s="19" t="s">
        <v>38</v>
      </c>
      <c r="J239" s="19" t="s">
        <v>38</v>
      </c>
      <c r="K239" s="19" t="s">
        <v>38</v>
      </c>
      <c r="L239" s="19" t="s">
        <v>38</v>
      </c>
      <c r="M239" s="19" t="s">
        <v>38</v>
      </c>
      <c r="N239" s="19" t="s">
        <v>38</v>
      </c>
      <c r="O239" s="19" t="s">
        <v>38</v>
      </c>
      <c r="P239" s="19" t="s">
        <v>38</v>
      </c>
    </row>
    <row r="240" spans="1:16" ht="15.95" customHeight="1">
      <c r="A240" s="19" t="s">
        <v>38</v>
      </c>
      <c r="B240" s="19" t="s">
        <v>38</v>
      </c>
      <c r="C240" s="19" t="s">
        <v>38</v>
      </c>
      <c r="D240" s="19" t="s">
        <v>38</v>
      </c>
      <c r="E240" s="19" t="s">
        <v>38</v>
      </c>
      <c r="F240" s="19" t="s">
        <v>38</v>
      </c>
      <c r="G240" s="19" t="s">
        <v>38</v>
      </c>
      <c r="H240" s="19" t="s">
        <v>38</v>
      </c>
      <c r="I240" s="19" t="s">
        <v>38</v>
      </c>
      <c r="J240" s="19" t="s">
        <v>38</v>
      </c>
      <c r="K240" s="19" t="s">
        <v>38</v>
      </c>
      <c r="L240" s="19" t="s">
        <v>38</v>
      </c>
      <c r="M240" s="19" t="s">
        <v>38</v>
      </c>
      <c r="N240" s="19" t="s">
        <v>38</v>
      </c>
      <c r="O240" s="19" t="s">
        <v>38</v>
      </c>
      <c r="P240" s="19" t="s">
        <v>38</v>
      </c>
    </row>
    <row r="241" spans="1:16" ht="15.95" customHeight="1">
      <c r="A241" s="19"/>
      <c r="B241" s="1049" t="s">
        <v>147</v>
      </c>
      <c r="C241" s="19"/>
      <c r="D241" s="19"/>
      <c r="E241" s="19"/>
      <c r="F241" s="19"/>
      <c r="G241" s="19"/>
      <c r="H241" s="19"/>
      <c r="I241" s="19"/>
      <c r="J241" s="19"/>
      <c r="K241" s="19"/>
      <c r="L241" s="19"/>
      <c r="M241" s="19"/>
      <c r="N241" s="19"/>
      <c r="O241" s="19"/>
      <c r="P241" s="19"/>
    </row>
    <row r="242" spans="1:16" ht="15.95" customHeight="1">
      <c r="A242" s="19"/>
      <c r="B242" s="19"/>
      <c r="C242" s="19"/>
      <c r="D242" s="19"/>
      <c r="E242" s="19"/>
      <c r="F242" s="19"/>
      <c r="G242" s="19"/>
      <c r="H242" s="19"/>
      <c r="I242" s="19"/>
      <c r="J242" s="19"/>
      <c r="K242" s="19"/>
      <c r="L242" s="19"/>
      <c r="M242" s="19"/>
      <c r="N242" s="19"/>
      <c r="O242" s="19"/>
      <c r="P242" s="19"/>
    </row>
    <row r="243" spans="1:16" ht="15.95" customHeight="1">
      <c r="A243" s="36"/>
      <c r="B243" s="1049" t="s">
        <v>148</v>
      </c>
      <c r="C243" s="20"/>
    </row>
    <row r="244" spans="1:16" ht="15.95" customHeight="1">
      <c r="A244" s="36"/>
      <c r="B244" s="1149"/>
      <c r="C244" s="20"/>
    </row>
    <row r="245" spans="1:16" ht="15.95" customHeight="1">
      <c r="A245" s="36"/>
      <c r="B245" s="1150" t="s">
        <v>149</v>
      </c>
      <c r="C245" s="20"/>
    </row>
    <row r="246" spans="1:16" ht="15.95" customHeight="1">
      <c r="A246" s="36"/>
      <c r="B246" s="1049" t="s">
        <v>150</v>
      </c>
      <c r="C246" s="20"/>
    </row>
    <row r="247" spans="1:16" ht="15.95" customHeight="1">
      <c r="A247" s="36"/>
      <c r="B247" s="1149"/>
      <c r="C247" s="20"/>
    </row>
    <row r="248" spans="1:16" ht="15.95" customHeight="1">
      <c r="A248" s="36"/>
      <c r="B248" s="1149" t="s">
        <v>151</v>
      </c>
      <c r="C248" s="20"/>
    </row>
    <row r="249" spans="1:16" ht="15.95" customHeight="1">
      <c r="A249" s="36"/>
      <c r="B249" s="1149" t="s">
        <v>152</v>
      </c>
      <c r="C249" s="20"/>
    </row>
    <row r="250" spans="1:16" ht="15.95" customHeight="1">
      <c r="A250" s="36"/>
      <c r="B250" s="1149"/>
      <c r="C250" s="20"/>
    </row>
    <row r="251" spans="1:16" ht="15.95" customHeight="1">
      <c r="B251" s="1150" t="s">
        <v>153</v>
      </c>
      <c r="C251" s="5"/>
      <c r="D251" s="5"/>
      <c r="E251" s="5"/>
      <c r="F251" s="5"/>
      <c r="G251" s="5"/>
      <c r="H251" s="5"/>
      <c r="I251" s="5"/>
      <c r="J251" s="5"/>
      <c r="K251" s="5"/>
      <c r="L251" s="5"/>
    </row>
    <row r="252" spans="1:16" ht="15.95" customHeight="1">
      <c r="B252" s="1150"/>
      <c r="C252" s="5"/>
      <c r="D252" s="5"/>
      <c r="E252" s="5"/>
      <c r="F252" s="5"/>
      <c r="G252" s="5"/>
      <c r="H252" s="5"/>
      <c r="I252" s="5"/>
      <c r="J252" s="5"/>
      <c r="K252" s="5"/>
      <c r="L252" s="5"/>
    </row>
    <row r="253" spans="1:16" ht="15.95" customHeight="1">
      <c r="B253" s="1150" t="s">
        <v>154</v>
      </c>
      <c r="C253" s="5"/>
      <c r="D253" s="5"/>
      <c r="E253" s="5"/>
      <c r="F253" s="5"/>
      <c r="G253" s="5"/>
      <c r="H253" s="5"/>
      <c r="I253" s="5"/>
      <c r="J253" s="5"/>
      <c r="K253" s="5"/>
      <c r="L253" s="5"/>
    </row>
    <row r="254" spans="1:16" ht="15.95" customHeight="1">
      <c r="B254" s="1151"/>
      <c r="C254" s="1152"/>
      <c r="D254" s="1152"/>
      <c r="E254" s="1152"/>
      <c r="F254" s="1152"/>
      <c r="G254" s="1152"/>
      <c r="H254" s="1152"/>
      <c r="I254" s="1152"/>
    </row>
    <row r="255" spans="1:16" ht="15.95" customHeight="1">
      <c r="B255" s="1049" t="s">
        <v>155</v>
      </c>
      <c r="C255" s="1152"/>
      <c r="D255" s="1152"/>
      <c r="E255" s="1152"/>
      <c r="F255" s="1152"/>
      <c r="G255" s="1152"/>
      <c r="H255" s="1152"/>
      <c r="I255" s="1152"/>
    </row>
    <row r="256" spans="1:16" ht="15.95" customHeight="1">
      <c r="B256" s="1049"/>
      <c r="C256" s="1152"/>
      <c r="D256" s="1152"/>
      <c r="E256" s="1152"/>
      <c r="F256" s="1152"/>
      <c r="G256" s="1152"/>
      <c r="H256" s="1152"/>
      <c r="I256" s="1152"/>
    </row>
    <row r="257" spans="2:9" ht="15.95" customHeight="1">
      <c r="B257" s="1151"/>
      <c r="C257" s="1152"/>
      <c r="D257" s="1152"/>
      <c r="E257" s="1152"/>
      <c r="F257" s="1152"/>
      <c r="G257" s="1152"/>
      <c r="H257" s="1152"/>
      <c r="I257" s="1152"/>
    </row>
    <row r="258" spans="2:9" ht="15.95" customHeight="1">
      <c r="B258" s="1153" t="s">
        <v>74</v>
      </c>
      <c r="C258" s="1152"/>
      <c r="D258" s="1152"/>
      <c r="E258" s="1152"/>
      <c r="F258" s="1152"/>
      <c r="G258" s="1152"/>
      <c r="H258" s="1152"/>
      <c r="I258" s="1152"/>
    </row>
    <row r="259" spans="2:9" ht="15.95" customHeight="1">
      <c r="B259" s="1149"/>
      <c r="C259" s="1152"/>
      <c r="D259" s="1152"/>
      <c r="E259" s="1152"/>
      <c r="F259" s="1152"/>
      <c r="G259" s="1152"/>
      <c r="H259" s="1152"/>
      <c r="I259" s="1152"/>
    </row>
    <row r="260" spans="2:9" ht="15.95" customHeight="1">
      <c r="B260" s="1049" t="s">
        <v>156</v>
      </c>
      <c r="C260" s="1152"/>
      <c r="D260" s="1152"/>
      <c r="E260" s="1152"/>
      <c r="F260" s="1152"/>
      <c r="G260" s="1152"/>
      <c r="H260" s="1152"/>
      <c r="I260" s="1152"/>
    </row>
    <row r="261" spans="2:9" ht="15.95" customHeight="1">
      <c r="B261" s="1154"/>
      <c r="C261" s="1152"/>
      <c r="D261" s="1152"/>
      <c r="E261" s="1152"/>
      <c r="F261" s="1152"/>
      <c r="G261" s="1152"/>
      <c r="H261" s="1152"/>
      <c r="I261" s="1152"/>
    </row>
    <row r="262" spans="2:9" ht="15.95" customHeight="1">
      <c r="B262" s="1049" t="s">
        <v>157</v>
      </c>
      <c r="C262" s="1152"/>
      <c r="D262" s="1152"/>
      <c r="E262" s="1152"/>
      <c r="F262" s="1152"/>
      <c r="G262" s="1152"/>
      <c r="H262" s="1152"/>
      <c r="I262" s="1152"/>
    </row>
    <row r="263" spans="2:9" ht="15.95" customHeight="1">
      <c r="B263" s="1049"/>
      <c r="C263" s="1152"/>
      <c r="D263" s="1152"/>
      <c r="E263" s="1152"/>
      <c r="F263" s="1152"/>
      <c r="G263" s="1152"/>
      <c r="H263" s="1152"/>
      <c r="I263" s="1152"/>
    </row>
    <row r="264" spans="2:9" ht="15.95" customHeight="1">
      <c r="B264" s="1049"/>
      <c r="C264" s="1152"/>
      <c r="D264" s="1152"/>
      <c r="E264" s="1152"/>
      <c r="F264" s="1152"/>
      <c r="G264" s="1152"/>
      <c r="H264" s="1152"/>
      <c r="I264" s="1152"/>
    </row>
    <row r="265" spans="2:9" ht="24.75" customHeight="1">
      <c r="B265" s="1175" t="s">
        <v>158</v>
      </c>
      <c r="C265" s="1176"/>
      <c r="D265" s="1174"/>
      <c r="E265" s="1174"/>
      <c r="F265" s="1174"/>
      <c r="G265" s="1174"/>
    </row>
    <row r="266" spans="2:9" ht="15.95" customHeight="1">
      <c r="C266" s="1155"/>
    </row>
    <row r="267" spans="2:9" ht="15.95" customHeight="1">
      <c r="B267" s="1155" t="s">
        <v>30</v>
      </c>
      <c r="C267" s="1155"/>
    </row>
    <row r="268" spans="2:9" ht="15.95" customHeight="1">
      <c r="B268" s="1156"/>
      <c r="C268" s="1155"/>
    </row>
    <row r="269" spans="2:9" ht="15.95" customHeight="1">
      <c r="B269" s="1049" t="s">
        <v>159</v>
      </c>
      <c r="C269" s="1155"/>
    </row>
    <row r="270" spans="2:9" ht="15.95" customHeight="1">
      <c r="B270" s="1156"/>
      <c r="C270" s="1155"/>
    </row>
    <row r="271" spans="2:9" ht="15.95" customHeight="1">
      <c r="B271" s="1049" t="s">
        <v>160</v>
      </c>
      <c r="C271" s="1155"/>
    </row>
    <row r="272" spans="2:9" ht="15.95" customHeight="1">
      <c r="B272" s="1049"/>
      <c r="C272" s="1155"/>
    </row>
    <row r="273" spans="2:3" ht="15.95" customHeight="1">
      <c r="B273" s="1049" t="s">
        <v>161</v>
      </c>
      <c r="C273" s="1155"/>
    </row>
    <row r="274" spans="2:3" ht="15.95" customHeight="1">
      <c r="B274" s="1049"/>
      <c r="C274" s="1155"/>
    </row>
    <row r="275" spans="2:3" ht="15.95" customHeight="1">
      <c r="B275" s="1049" t="s">
        <v>162</v>
      </c>
      <c r="C275" s="1155"/>
    </row>
    <row r="276" spans="2:3" ht="15.95" customHeight="1">
      <c r="B276" s="1148"/>
      <c r="C276" s="1155"/>
    </row>
    <row r="277" spans="2:3" ht="15.95" customHeight="1">
      <c r="B277" s="1049" t="s">
        <v>163</v>
      </c>
      <c r="C277" s="1155"/>
    </row>
    <row r="278" spans="2:3" ht="15.95" customHeight="1">
      <c r="B278" s="1149"/>
      <c r="C278" s="1155"/>
    </row>
    <row r="279" spans="2:3" ht="15.95" customHeight="1">
      <c r="B279" s="1049" t="s">
        <v>164</v>
      </c>
      <c r="C279" s="1155"/>
    </row>
    <row r="280" spans="2:3" ht="15.95" customHeight="1">
      <c r="B280" s="1049"/>
      <c r="C280" s="1155"/>
    </row>
    <row r="281" spans="2:3" ht="15.95" customHeight="1">
      <c r="B281" s="1049" t="s">
        <v>165</v>
      </c>
      <c r="C281" s="1155"/>
    </row>
    <row r="282" spans="2:3" ht="15.95" customHeight="1">
      <c r="B282" s="1049"/>
      <c r="C282" s="1155"/>
    </row>
    <row r="283" spans="2:3" ht="15.95" customHeight="1">
      <c r="B283" s="1049" t="s">
        <v>166</v>
      </c>
      <c r="C283" s="1155"/>
    </row>
    <row r="284" spans="2:3" ht="15.95" customHeight="1">
      <c r="B284" s="1049"/>
      <c r="C284" s="1155"/>
    </row>
    <row r="285" spans="2:3" ht="15.95" customHeight="1">
      <c r="B285" s="1049" t="s">
        <v>167</v>
      </c>
      <c r="C285" s="1155"/>
    </row>
    <row r="286" spans="2:3" ht="15.95" customHeight="1">
      <c r="B286" s="1149"/>
      <c r="C286" s="1155"/>
    </row>
    <row r="287" spans="2:3" ht="15.95" customHeight="1">
      <c r="B287" s="1049" t="s">
        <v>168</v>
      </c>
      <c r="C287" s="1155"/>
    </row>
    <row r="288" spans="2:3" ht="15.95" customHeight="1">
      <c r="B288" s="1149"/>
      <c r="C288" s="1155"/>
    </row>
    <row r="289" spans="2:3" ht="15.95" customHeight="1">
      <c r="B289" s="1049" t="s">
        <v>169</v>
      </c>
      <c r="C289" s="1155"/>
    </row>
    <row r="290" spans="2:3" ht="15.95" customHeight="1">
      <c r="B290" s="1049"/>
      <c r="C290" s="1155"/>
    </row>
    <row r="291" spans="2:3" ht="15.95" customHeight="1">
      <c r="B291" s="1049" t="s">
        <v>170</v>
      </c>
      <c r="C291" s="1155"/>
    </row>
    <row r="292" spans="2:3" ht="15.95" customHeight="1">
      <c r="B292" s="1149"/>
      <c r="C292" s="1155"/>
    </row>
    <row r="293" spans="2:3" ht="15.95" customHeight="1">
      <c r="B293" s="1049" t="s">
        <v>171</v>
      </c>
      <c r="C293" s="1155"/>
    </row>
    <row r="294" spans="2:3" ht="15.95" customHeight="1">
      <c r="B294" s="1049"/>
      <c r="C294" s="1155"/>
    </row>
    <row r="295" spans="2:3" ht="15.95" customHeight="1">
      <c r="B295" s="1049" t="s">
        <v>172</v>
      </c>
      <c r="C295" s="1155"/>
    </row>
    <row r="296" spans="2:3" ht="15.95" customHeight="1">
      <c r="B296" s="1049"/>
      <c r="C296" s="1155"/>
    </row>
    <row r="297" spans="2:3" ht="15.95" customHeight="1">
      <c r="B297" s="1049" t="s">
        <v>173</v>
      </c>
      <c r="C297" s="1155"/>
    </row>
    <row r="298" spans="2:3" ht="15.95" customHeight="1">
      <c r="B298" s="1149"/>
      <c r="C298" s="1155"/>
    </row>
    <row r="299" spans="2:3" ht="15.95" customHeight="1">
      <c r="B299" s="1049" t="s">
        <v>174</v>
      </c>
      <c r="C299" s="1155"/>
    </row>
    <row r="300" spans="2:3" ht="15.95" customHeight="1">
      <c r="B300" s="1149"/>
      <c r="C300" s="1155"/>
    </row>
    <row r="301" spans="2:3" ht="15.95" customHeight="1">
      <c r="B301" s="1049" t="s">
        <v>175</v>
      </c>
      <c r="C301" s="1155"/>
    </row>
    <row r="302" spans="2:3" ht="15.95" customHeight="1">
      <c r="C302" s="1155"/>
    </row>
    <row r="303" spans="2:3" ht="15.95" customHeight="1">
      <c r="C303" s="1155"/>
    </row>
    <row r="304" spans="2:3" ht="15.95" customHeight="1">
      <c r="B304" s="1157" t="s">
        <v>57</v>
      </c>
      <c r="C304" s="1155"/>
    </row>
    <row r="305" spans="2:3" ht="15.95" customHeight="1">
      <c r="B305" s="20"/>
      <c r="C305" s="1155"/>
    </row>
    <row r="306" spans="2:3" ht="15.95" customHeight="1">
      <c r="B306" s="1149" t="s">
        <v>176</v>
      </c>
      <c r="C306" s="1155"/>
    </row>
    <row r="307" spans="2:3" ht="15.95" customHeight="1">
      <c r="B307" s="1149"/>
      <c r="C307" s="1155"/>
    </row>
    <row r="308" spans="2:3" ht="15.95" customHeight="1">
      <c r="B308" s="1149" t="s">
        <v>177</v>
      </c>
      <c r="C308" s="1155"/>
    </row>
    <row r="309" spans="2:3" ht="15.95" customHeight="1">
      <c r="B309" s="1149"/>
      <c r="C309" s="1155"/>
    </row>
    <row r="310" spans="2:3" ht="15.95" customHeight="1">
      <c r="B310" s="1149" t="s">
        <v>178</v>
      </c>
      <c r="C310" s="1155"/>
    </row>
    <row r="311" spans="2:3" ht="15.95" customHeight="1">
      <c r="B311" s="1149"/>
      <c r="C311" s="1155"/>
    </row>
    <row r="312" spans="2:3" ht="15.95" customHeight="1">
      <c r="B312" s="1149" t="s">
        <v>179</v>
      </c>
      <c r="C312" s="1155"/>
    </row>
    <row r="313" spans="2:3" ht="15.95" customHeight="1">
      <c r="B313" s="1149"/>
      <c r="C313" s="1155"/>
    </row>
    <row r="314" spans="2:3" ht="15.95" customHeight="1">
      <c r="B314" s="1049" t="s">
        <v>180</v>
      </c>
      <c r="C314" s="1155"/>
    </row>
    <row r="315" spans="2:3" ht="15.95" customHeight="1">
      <c r="B315" s="1149"/>
      <c r="C315" s="1155"/>
    </row>
    <row r="316" spans="2:3" ht="15.95" customHeight="1">
      <c r="B316" s="1049" t="s">
        <v>181</v>
      </c>
      <c r="C316" s="1155"/>
    </row>
    <row r="317" spans="2:3" ht="15.95" customHeight="1">
      <c r="B317" s="1149"/>
      <c r="C317" s="1155"/>
    </row>
    <row r="318" spans="2:3" ht="15.95" customHeight="1">
      <c r="B318" s="1049" t="s">
        <v>182</v>
      </c>
      <c r="C318" s="1155"/>
    </row>
    <row r="319" spans="2:3" ht="15.95" customHeight="1">
      <c r="B319" s="1049" t="s">
        <v>183</v>
      </c>
      <c r="C319" s="1155"/>
    </row>
    <row r="320" spans="2:3" ht="15.95" customHeight="1">
      <c r="B320" s="1049"/>
      <c r="C320" s="1155"/>
    </row>
    <row r="321" spans="1:7" ht="15.95" customHeight="1">
      <c r="B321" s="1049" t="s">
        <v>184</v>
      </c>
      <c r="C321" s="1155"/>
    </row>
    <row r="322" spans="1:7" ht="15.95" customHeight="1">
      <c r="B322" s="1049"/>
      <c r="C322" s="1155"/>
    </row>
    <row r="323" spans="1:7" ht="15.95" customHeight="1">
      <c r="B323" s="1049" t="s">
        <v>185</v>
      </c>
      <c r="C323" s="1155"/>
    </row>
    <row r="324" spans="1:7" ht="15.95" customHeight="1">
      <c r="B324" s="1049"/>
      <c r="C324" s="1155"/>
    </row>
    <row r="325" spans="1:7" ht="15.95" customHeight="1">
      <c r="B325" s="1049" t="s">
        <v>186</v>
      </c>
      <c r="C325" s="1155"/>
    </row>
    <row r="326" spans="1:7" ht="15.95" customHeight="1">
      <c r="B326" s="1049"/>
      <c r="C326" s="1155"/>
    </row>
    <row r="327" spans="1:7" ht="15.95" customHeight="1">
      <c r="B327" s="1049" t="s">
        <v>187</v>
      </c>
      <c r="C327" s="1155"/>
    </row>
    <row r="328" spans="1:7" ht="15.95" customHeight="1">
      <c r="B328" s="1049"/>
      <c r="C328" s="1155"/>
    </row>
    <row r="329" spans="1:7" s="19" customFormat="1" ht="15.95" customHeight="1">
      <c r="A329" s="13"/>
      <c r="B329" s="1049" t="s">
        <v>188</v>
      </c>
      <c r="C329" s="1153"/>
    </row>
    <row r="330" spans="1:7" ht="15.95" customHeight="1">
      <c r="B330" s="1149"/>
      <c r="C330" s="1155"/>
    </row>
    <row r="331" spans="1:7" ht="15.95" customHeight="1">
      <c r="B331" s="1049" t="s">
        <v>189</v>
      </c>
      <c r="C331" s="1155"/>
    </row>
    <row r="332" spans="1:7" ht="15.95" customHeight="1">
      <c r="B332" s="1149"/>
      <c r="C332" s="1155"/>
    </row>
    <row r="333" spans="1:7" ht="15.95" customHeight="1">
      <c r="B333" s="1049" t="s">
        <v>190</v>
      </c>
      <c r="C333" s="1155"/>
    </row>
    <row r="334" spans="1:7" ht="15.95" customHeight="1">
      <c r="B334" s="19"/>
      <c r="C334" s="1155"/>
    </row>
    <row r="335" spans="1:7" ht="15.95" customHeight="1">
      <c r="B335" s="20"/>
      <c r="C335" s="1155"/>
    </row>
    <row r="336" spans="1:7" ht="27" customHeight="1">
      <c r="B336" s="1175" t="s">
        <v>191</v>
      </c>
      <c r="C336" s="1176"/>
      <c r="D336" s="1174"/>
      <c r="E336" s="1174"/>
      <c r="F336" s="1174"/>
      <c r="G336" s="1174"/>
    </row>
    <row r="337" spans="2:3" ht="15.95" customHeight="1">
      <c r="B337" s="1155"/>
      <c r="C337" s="1155"/>
    </row>
    <row r="338" spans="2:3" ht="15.95" customHeight="1">
      <c r="B338" s="1157" t="s">
        <v>30</v>
      </c>
      <c r="C338" s="1155"/>
    </row>
    <row r="339" spans="2:3" ht="15.95" customHeight="1">
      <c r="B339" s="1158"/>
      <c r="C339" s="1155"/>
    </row>
    <row r="340" spans="2:3" ht="15.95" customHeight="1">
      <c r="B340" s="1149" t="s">
        <v>192</v>
      </c>
      <c r="C340" s="1155"/>
    </row>
    <row r="341" spans="2:3" ht="15.95" customHeight="1">
      <c r="B341" s="1149"/>
      <c r="C341" s="1155"/>
    </row>
    <row r="342" spans="2:3" ht="15.95" customHeight="1">
      <c r="B342" s="1149" t="s">
        <v>193</v>
      </c>
      <c r="C342" s="1155"/>
    </row>
    <row r="343" spans="2:3" ht="15.95" customHeight="1">
      <c r="B343" s="1149"/>
      <c r="C343" s="1155"/>
    </row>
    <row r="344" spans="2:3" ht="15.95" customHeight="1">
      <c r="B344" s="1049" t="s">
        <v>194</v>
      </c>
      <c r="C344" s="1155"/>
    </row>
    <row r="345" spans="2:3" ht="15.95" customHeight="1">
      <c r="B345" s="1149"/>
      <c r="C345" s="1155"/>
    </row>
    <row r="346" spans="2:3" ht="15.95" customHeight="1">
      <c r="B346" s="1149" t="s">
        <v>195</v>
      </c>
      <c r="C346" s="1155"/>
    </row>
    <row r="347" spans="2:3" ht="15.95" customHeight="1">
      <c r="B347" s="1149"/>
      <c r="C347" s="1155"/>
    </row>
    <row r="348" spans="2:3" ht="15.95" customHeight="1">
      <c r="B348" s="1149" t="s">
        <v>196</v>
      </c>
      <c r="C348" s="1155"/>
    </row>
    <row r="349" spans="2:3" ht="15.95" customHeight="1">
      <c r="B349" s="1149"/>
      <c r="C349" s="182" t="s">
        <v>197</v>
      </c>
    </row>
    <row r="350" spans="2:3" ht="15.95" customHeight="1">
      <c r="B350" s="1149"/>
      <c r="C350" s="182" t="s">
        <v>198</v>
      </c>
    </row>
    <row r="351" spans="2:3" ht="15.95" customHeight="1">
      <c r="B351" s="1149"/>
      <c r="C351" s="182" t="s">
        <v>199</v>
      </c>
    </row>
    <row r="352" spans="2:3" ht="15.95" customHeight="1">
      <c r="B352" s="1149"/>
      <c r="C352" s="182"/>
    </row>
    <row r="353" spans="2:3" ht="15.95" customHeight="1">
      <c r="B353" s="1149" t="s">
        <v>200</v>
      </c>
      <c r="C353" s="182"/>
    </row>
    <row r="354" spans="2:3" ht="15.95" customHeight="1">
      <c r="C354" s="182" t="s">
        <v>201</v>
      </c>
    </row>
    <row r="355" spans="2:3" ht="15.95" customHeight="1">
      <c r="C355" s="182"/>
    </row>
    <row r="356" spans="2:3" ht="15.95" customHeight="1">
      <c r="B356" s="1158"/>
      <c r="C356" s="1155"/>
    </row>
    <row r="357" spans="2:3" ht="15.95" customHeight="1">
      <c r="B357" s="1157" t="s">
        <v>202</v>
      </c>
      <c r="C357" s="1155"/>
    </row>
    <row r="358" spans="2:3" ht="15.95" customHeight="1">
      <c r="B358" s="1158"/>
      <c r="C358" s="1155"/>
    </row>
    <row r="359" spans="2:3" ht="15.95" customHeight="1">
      <c r="B359" s="1149" t="s">
        <v>203</v>
      </c>
      <c r="C359" s="1155"/>
    </row>
    <row r="360" spans="2:3" ht="15.95" customHeight="1">
      <c r="B360" s="1156"/>
      <c r="C360" s="1155"/>
    </row>
    <row r="361" spans="2:3" ht="15.95" customHeight="1">
      <c r="B361" s="1149" t="s">
        <v>204</v>
      </c>
      <c r="C361" s="1155"/>
    </row>
    <row r="362" spans="2:3" ht="15.95" customHeight="1">
      <c r="B362" s="1149"/>
      <c r="C362" s="1155"/>
    </row>
    <row r="363" spans="2:3" ht="15.95" customHeight="1">
      <c r="B363" s="1149" t="s">
        <v>205</v>
      </c>
      <c r="C363" s="1155"/>
    </row>
    <row r="364" spans="2:3" ht="15.95" customHeight="1">
      <c r="B364" s="1149"/>
      <c r="C364" s="1155"/>
    </row>
    <row r="365" spans="2:3" ht="15.95" customHeight="1">
      <c r="B365" s="1149" t="s">
        <v>206</v>
      </c>
      <c r="C365" s="1155"/>
    </row>
    <row r="366" spans="2:3" ht="15.95" customHeight="1">
      <c r="C366" s="1155"/>
    </row>
    <row r="367" spans="2:3" ht="15.95" customHeight="1">
      <c r="B367" s="1158"/>
      <c r="C367" s="1155"/>
    </row>
    <row r="368" spans="2:3" ht="15.95" customHeight="1">
      <c r="B368" s="1157" t="s">
        <v>57</v>
      </c>
      <c r="C368" s="1155"/>
    </row>
    <row r="369" spans="1:7" s="1158" customFormat="1" ht="15.95" customHeight="1">
      <c r="A369" s="13"/>
      <c r="C369" s="1155"/>
    </row>
    <row r="370" spans="1:7" s="1158" customFormat="1" ht="15.95" customHeight="1">
      <c r="A370" s="13"/>
      <c r="B370" s="1149" t="s">
        <v>207</v>
      </c>
      <c r="C370" s="1155"/>
    </row>
    <row r="371" spans="1:7" s="1158" customFormat="1" ht="15.95" customHeight="1">
      <c r="A371" s="13"/>
      <c r="B371" s="13" t="s">
        <v>208</v>
      </c>
      <c r="C371" s="1155"/>
    </row>
    <row r="372" spans="1:7" s="1158" customFormat="1" ht="15.95" customHeight="1">
      <c r="A372" s="13"/>
      <c r="B372" s="13" t="s">
        <v>209</v>
      </c>
      <c r="C372" s="1155"/>
    </row>
    <row r="373" spans="1:7" s="1158" customFormat="1" ht="15.95" customHeight="1">
      <c r="A373" s="13"/>
      <c r="B373" s="13" t="s">
        <v>210</v>
      </c>
      <c r="C373" s="1155"/>
    </row>
    <row r="374" spans="1:7" s="1158" customFormat="1" ht="15.95" customHeight="1">
      <c r="A374" s="13"/>
      <c r="B374" s="1157"/>
    </row>
    <row r="375" spans="1:7" s="1158" customFormat="1" ht="15.95" customHeight="1">
      <c r="A375" s="13"/>
      <c r="B375" s="1157"/>
    </row>
    <row r="376" spans="1:7" ht="26.25" customHeight="1">
      <c r="B376" s="1175" t="s">
        <v>211</v>
      </c>
      <c r="C376" s="1174"/>
      <c r="D376" s="1174"/>
      <c r="E376" s="1174"/>
      <c r="F376" s="1174"/>
      <c r="G376" s="1174"/>
    </row>
    <row r="378" spans="1:7" ht="15.95" customHeight="1">
      <c r="B378" s="1157" t="s">
        <v>30</v>
      </c>
    </row>
    <row r="379" spans="1:7" ht="15.95" customHeight="1">
      <c r="B379" s="1158"/>
    </row>
    <row r="380" spans="1:7" ht="15.95" customHeight="1">
      <c r="B380" s="1149" t="s">
        <v>212</v>
      </c>
    </row>
    <row r="381" spans="1:7" ht="15.95" customHeight="1">
      <c r="B381" s="1149"/>
    </row>
    <row r="382" spans="1:7" ht="15.95" customHeight="1">
      <c r="B382" s="1149" t="s">
        <v>213</v>
      </c>
    </row>
    <row r="383" spans="1:7" ht="15.95" customHeight="1">
      <c r="B383" s="1149"/>
    </row>
    <row r="384" spans="1:7" ht="15.95" customHeight="1">
      <c r="B384" s="1149" t="s">
        <v>214</v>
      </c>
    </row>
    <row r="385" spans="2:2" ht="15.95" customHeight="1">
      <c r="B385" s="1149"/>
    </row>
    <row r="386" spans="2:2" ht="15.95" customHeight="1">
      <c r="B386" s="1156" t="s">
        <v>202</v>
      </c>
    </row>
    <row r="387" spans="2:2" ht="15.95" customHeight="1">
      <c r="B387" s="1156"/>
    </row>
    <row r="388" spans="2:2" ht="15.95" customHeight="1">
      <c r="B388" s="1149" t="s">
        <v>215</v>
      </c>
    </row>
    <row r="389" spans="2:2" ht="15.95" customHeight="1">
      <c r="B389" s="1156"/>
    </row>
    <row r="390" spans="2:2" ht="15.95" customHeight="1">
      <c r="B390" s="1149" t="s">
        <v>216</v>
      </c>
    </row>
    <row r="391" spans="2:2" ht="15.95" customHeight="1">
      <c r="B391" s="1149"/>
    </row>
    <row r="392" spans="2:2" ht="15.95" customHeight="1">
      <c r="B392" s="1149" t="s">
        <v>217</v>
      </c>
    </row>
    <row r="393" spans="2:2" ht="15.95" customHeight="1">
      <c r="B393" s="1149"/>
    </row>
    <row r="394" spans="2:2" ht="15.95" customHeight="1">
      <c r="B394" s="1149" t="s">
        <v>218</v>
      </c>
    </row>
    <row r="397" spans="2:2" ht="15.95" customHeight="1">
      <c r="B397" s="1157" t="s">
        <v>219</v>
      </c>
    </row>
    <row r="398" spans="2:2" ht="15.95" customHeight="1">
      <c r="B398" s="1158"/>
    </row>
    <row r="399" spans="2:2" ht="15.95" customHeight="1">
      <c r="B399" s="1149" t="s">
        <v>220</v>
      </c>
    </row>
    <row r="400" spans="2:2" ht="15.95" customHeight="1">
      <c r="B400" s="1149" t="s">
        <v>221</v>
      </c>
    </row>
    <row r="401" spans="2:7" ht="15.95" customHeight="1">
      <c r="B401" s="1149"/>
    </row>
    <row r="402" spans="2:7" ht="15.95" customHeight="1">
      <c r="B402" s="1149" t="s">
        <v>222</v>
      </c>
    </row>
    <row r="403" spans="2:7" ht="15.95" customHeight="1">
      <c r="B403" s="1149" t="s">
        <v>221</v>
      </c>
    </row>
    <row r="406" spans="2:7" ht="15.95" customHeight="1">
      <c r="B406" s="1157" t="s">
        <v>57</v>
      </c>
    </row>
    <row r="407" spans="2:7" ht="15.95" customHeight="1">
      <c r="B407" s="1158"/>
    </row>
    <row r="408" spans="2:7" ht="15.95" customHeight="1">
      <c r="B408" s="1149" t="s">
        <v>223</v>
      </c>
    </row>
    <row r="409" spans="2:7" ht="15.95" customHeight="1">
      <c r="B409" s="1149"/>
    </row>
    <row r="410" spans="2:7" ht="15.95" customHeight="1">
      <c r="B410" s="1149" t="s">
        <v>224</v>
      </c>
    </row>
    <row r="411" spans="2:7" ht="15.95" customHeight="1">
      <c r="B411" s="1149"/>
    </row>
    <row r="412" spans="2:7" ht="15.95" customHeight="1">
      <c r="B412" s="1149" t="s">
        <v>225</v>
      </c>
    </row>
    <row r="415" spans="2:7" ht="27" customHeight="1">
      <c r="B415" s="1175" t="s">
        <v>226</v>
      </c>
      <c r="C415" s="1174"/>
      <c r="D415" s="1174"/>
      <c r="E415" s="1174"/>
      <c r="F415" s="1174"/>
      <c r="G415" s="1174"/>
    </row>
    <row r="417" spans="2:2" ht="15.95" customHeight="1">
      <c r="B417" s="1157" t="s">
        <v>30</v>
      </c>
    </row>
    <row r="419" spans="2:2" ht="15.95" customHeight="1">
      <c r="B419" s="1149" t="s">
        <v>227</v>
      </c>
    </row>
    <row r="420" spans="2:2" ht="15.95" customHeight="1">
      <c r="B420" s="1149" t="s">
        <v>228</v>
      </c>
    </row>
    <row r="421" spans="2:2" ht="15.95" customHeight="1">
      <c r="B421" s="1149"/>
    </row>
    <row r="422" spans="2:2" ht="15.95" customHeight="1">
      <c r="B422" s="1149" t="s">
        <v>229</v>
      </c>
    </row>
    <row r="423" spans="2:2" ht="15.95" customHeight="1">
      <c r="B423" s="1149"/>
    </row>
    <row r="424" spans="2:2" ht="15.95" customHeight="1">
      <c r="B424" s="1149" t="s">
        <v>230</v>
      </c>
    </row>
    <row r="425" spans="2:2" ht="15.95" customHeight="1">
      <c r="B425" s="1149"/>
    </row>
    <row r="426" spans="2:2" ht="15.95" customHeight="1">
      <c r="B426" s="1149" t="s">
        <v>231</v>
      </c>
    </row>
    <row r="427" spans="2:2" ht="15.95" customHeight="1">
      <c r="B427" s="1149"/>
    </row>
    <row r="428" spans="2:2" ht="15.95" customHeight="1">
      <c r="B428" s="1149" t="s">
        <v>232</v>
      </c>
    </row>
    <row r="431" spans="2:2" ht="15.95" customHeight="1">
      <c r="B431" s="1157" t="s">
        <v>202</v>
      </c>
    </row>
    <row r="432" spans="2:2" ht="15.95" customHeight="1">
      <c r="B432" s="1158"/>
    </row>
    <row r="433" spans="2:2" ht="15.95" customHeight="1">
      <c r="B433" s="1049" t="s">
        <v>233</v>
      </c>
    </row>
    <row r="434" spans="2:2" ht="15.95" customHeight="1">
      <c r="B434" s="1049"/>
    </row>
    <row r="435" spans="2:2" ht="15.95" customHeight="1">
      <c r="B435" s="1049" t="s">
        <v>234</v>
      </c>
    </row>
    <row r="436" spans="2:2" ht="15.95" customHeight="1">
      <c r="B436" s="1049"/>
    </row>
    <row r="437" spans="2:2" ht="15.95" customHeight="1">
      <c r="B437" s="1049" t="s">
        <v>235</v>
      </c>
    </row>
    <row r="438" spans="2:2" ht="15.95" customHeight="1">
      <c r="B438" s="1049"/>
    </row>
    <row r="439" spans="2:2" ht="15.95" customHeight="1">
      <c r="B439" s="1049" t="s">
        <v>236</v>
      </c>
    </row>
    <row r="440" spans="2:2" ht="15.95" customHeight="1">
      <c r="B440" s="1049"/>
    </row>
    <row r="441" spans="2:2" ht="15.95" customHeight="1">
      <c r="B441" s="1049" t="s">
        <v>237</v>
      </c>
    </row>
    <row r="442" spans="2:2" ht="15.95" customHeight="1">
      <c r="B442" s="19"/>
    </row>
    <row r="443" spans="2:2" ht="15.95" customHeight="1">
      <c r="B443" s="19"/>
    </row>
    <row r="444" spans="2:2" ht="15.95" customHeight="1">
      <c r="B444" s="1157" t="s">
        <v>219</v>
      </c>
    </row>
    <row r="445" spans="2:2" ht="15.95" customHeight="1">
      <c r="B445" s="1158"/>
    </row>
    <row r="446" spans="2:2" ht="15.95" customHeight="1">
      <c r="B446" s="1049" t="s">
        <v>238</v>
      </c>
    </row>
    <row r="447" spans="2:2" ht="15.95" customHeight="1">
      <c r="B447" s="1149" t="s">
        <v>239</v>
      </c>
    </row>
    <row r="450" spans="2:7" ht="15.95" customHeight="1">
      <c r="B450" s="1157" t="s">
        <v>57</v>
      </c>
    </row>
    <row r="451" spans="2:7" ht="15.95" customHeight="1">
      <c r="B451" s="1157"/>
    </row>
    <row r="452" spans="2:7" ht="15.95" customHeight="1">
      <c r="B452" s="1049" t="s">
        <v>240</v>
      </c>
    </row>
    <row r="455" spans="2:7" ht="26.25" customHeight="1">
      <c r="B455" s="1175" t="s">
        <v>241</v>
      </c>
      <c r="C455" s="1174"/>
      <c r="D455" s="1174"/>
      <c r="E455" s="1174"/>
      <c r="F455" s="1174"/>
      <c r="G455" s="1174"/>
    </row>
    <row r="457" spans="2:7" ht="15.95" customHeight="1">
      <c r="B457" s="1157" t="s">
        <v>30</v>
      </c>
    </row>
    <row r="459" spans="2:7" ht="15.95" customHeight="1">
      <c r="B459" s="1149" t="s">
        <v>242</v>
      </c>
    </row>
    <row r="460" spans="2:7" ht="15.95" customHeight="1">
      <c r="B460" s="1149"/>
      <c r="C460" s="13" t="s">
        <v>243</v>
      </c>
    </row>
    <row r="461" spans="2:7" ht="15.95" customHeight="1">
      <c r="B461" s="1149"/>
      <c r="C461" s="13" t="s">
        <v>244</v>
      </c>
    </row>
    <row r="462" spans="2:7" ht="15.95" customHeight="1">
      <c r="B462" s="1149"/>
    </row>
    <row r="463" spans="2:7" ht="15.95" customHeight="1">
      <c r="B463" s="1149" t="s">
        <v>245</v>
      </c>
    </row>
    <row r="464" spans="2:7" ht="15.95" customHeight="1">
      <c r="B464" s="1149"/>
    </row>
    <row r="465" spans="2:2" ht="15.95" customHeight="1">
      <c r="B465" s="1149" t="s">
        <v>246</v>
      </c>
    </row>
    <row r="466" spans="2:2" ht="15.95" customHeight="1">
      <c r="B466" s="1149"/>
    </row>
    <row r="467" spans="2:2" ht="15.95" customHeight="1">
      <c r="B467" s="1149" t="s">
        <v>247</v>
      </c>
    </row>
    <row r="468" spans="2:2" ht="15.95" customHeight="1">
      <c r="B468" s="1149"/>
    </row>
    <row r="469" spans="2:2" ht="15.95" customHeight="1">
      <c r="B469" s="1149" t="s">
        <v>248</v>
      </c>
    </row>
    <row r="470" spans="2:2" ht="15.95" customHeight="1">
      <c r="B470" s="1149" t="s">
        <v>249</v>
      </c>
    </row>
    <row r="471" spans="2:2" ht="15.95" customHeight="1">
      <c r="B471" s="1149"/>
    </row>
    <row r="472" spans="2:2" ht="15.95" customHeight="1">
      <c r="B472" s="1149" t="s">
        <v>250</v>
      </c>
    </row>
    <row r="473" spans="2:2" ht="15.95" customHeight="1">
      <c r="B473" s="1149"/>
    </row>
    <row r="474" spans="2:2" ht="15.95" customHeight="1">
      <c r="B474" s="1149" t="s">
        <v>251</v>
      </c>
    </row>
    <row r="475" spans="2:2" ht="15.95" customHeight="1">
      <c r="B475" s="1149"/>
    </row>
    <row r="476" spans="2:2" ht="15.95" customHeight="1">
      <c r="B476" s="1149" t="s">
        <v>252</v>
      </c>
    </row>
    <row r="477" spans="2:2" ht="15.95" customHeight="1">
      <c r="B477" s="1159"/>
    </row>
    <row r="478" spans="2:2" ht="15.95" customHeight="1">
      <c r="B478" s="1159"/>
    </row>
    <row r="479" spans="2:2" ht="15.95" customHeight="1">
      <c r="B479" s="1157" t="s">
        <v>219</v>
      </c>
    </row>
    <row r="480" spans="2:2" ht="15.95" customHeight="1">
      <c r="B480" s="1157"/>
    </row>
    <row r="481" spans="2:7" ht="15.95" customHeight="1">
      <c r="B481" s="13" t="s">
        <v>253</v>
      </c>
    </row>
    <row r="484" spans="2:7" ht="15.95" customHeight="1">
      <c r="B484" s="1157" t="s">
        <v>57</v>
      </c>
    </row>
    <row r="486" spans="2:7" ht="15.95" customHeight="1">
      <c r="B486" s="1149" t="s">
        <v>254</v>
      </c>
    </row>
    <row r="487" spans="2:7" ht="15.95" customHeight="1">
      <c r="B487" s="1149" t="s">
        <v>255</v>
      </c>
    </row>
    <row r="488" spans="2:7" ht="15.95" customHeight="1">
      <c r="B488" s="1149" t="s">
        <v>256</v>
      </c>
    </row>
    <row r="489" spans="2:7" ht="15.95" customHeight="1">
      <c r="B489" s="1149" t="s">
        <v>257</v>
      </c>
    </row>
    <row r="492" spans="2:7" ht="30" customHeight="1">
      <c r="B492" s="1175" t="s">
        <v>258</v>
      </c>
      <c r="C492" s="1174"/>
      <c r="D492" s="1174"/>
      <c r="E492" s="1174"/>
      <c r="F492" s="1174"/>
      <c r="G492" s="1174"/>
    </row>
    <row r="494" spans="2:7" ht="15.95" customHeight="1">
      <c r="B494" s="1157" t="s">
        <v>30</v>
      </c>
    </row>
    <row r="495" spans="2:7" ht="15.95" customHeight="1">
      <c r="B495" s="1158"/>
    </row>
    <row r="496" spans="2:7" ht="15.95" customHeight="1">
      <c r="B496" s="1149" t="s">
        <v>259</v>
      </c>
    </row>
    <row r="497" spans="2:3" ht="15.95" customHeight="1">
      <c r="B497" s="1149"/>
      <c r="C497" s="13" t="s">
        <v>260</v>
      </c>
    </row>
    <row r="498" spans="2:3" ht="15.95" customHeight="1">
      <c r="B498" s="1149"/>
      <c r="C498" s="13" t="s">
        <v>261</v>
      </c>
    </row>
    <row r="499" spans="2:3" ht="15.95" customHeight="1">
      <c r="B499" s="1149"/>
      <c r="C499" s="13" t="s">
        <v>262</v>
      </c>
    </row>
    <row r="500" spans="2:3" ht="15.95" customHeight="1">
      <c r="B500" s="1149"/>
      <c r="C500" s="13" t="s">
        <v>263</v>
      </c>
    </row>
    <row r="501" spans="2:3" ht="15.95" customHeight="1">
      <c r="B501" s="1149"/>
    </row>
    <row r="502" spans="2:3" ht="15.95" customHeight="1">
      <c r="B502" s="1149" t="s">
        <v>264</v>
      </c>
    </row>
    <row r="503" spans="2:3" ht="15.95" customHeight="1">
      <c r="B503" s="1149"/>
      <c r="C503" s="13" t="s">
        <v>265</v>
      </c>
    </row>
    <row r="504" spans="2:3" ht="15.95" customHeight="1">
      <c r="B504" s="1149"/>
      <c r="C504" s="13" t="s">
        <v>266</v>
      </c>
    </row>
    <row r="505" spans="2:3" ht="15.95" customHeight="1">
      <c r="B505" s="1149"/>
    </row>
    <row r="506" spans="2:3" ht="15.95" customHeight="1">
      <c r="B506" s="1149" t="s">
        <v>267</v>
      </c>
    </row>
    <row r="507" spans="2:3" ht="15.95" customHeight="1">
      <c r="B507" s="1149"/>
      <c r="C507" s="13" t="s">
        <v>268</v>
      </c>
    </row>
    <row r="508" spans="2:3" ht="15.95" customHeight="1">
      <c r="B508" s="1149"/>
      <c r="C508" s="13" t="s">
        <v>269</v>
      </c>
    </row>
    <row r="509" spans="2:3" ht="15.95" customHeight="1">
      <c r="B509" s="1149"/>
      <c r="C509" s="13" t="s">
        <v>270</v>
      </c>
    </row>
    <row r="510" spans="2:3" ht="15.95" customHeight="1">
      <c r="B510" s="1149"/>
    </row>
    <row r="511" spans="2:3" ht="15.95" customHeight="1">
      <c r="B511" s="1149" t="s">
        <v>271</v>
      </c>
    </row>
    <row r="512" spans="2:3" ht="15.95" customHeight="1">
      <c r="B512" s="1149"/>
    </row>
    <row r="513" spans="2:2" ht="15.95" customHeight="1">
      <c r="B513" s="1149" t="s">
        <v>272</v>
      </c>
    </row>
    <row r="514" spans="2:2" ht="15.95" customHeight="1">
      <c r="B514" s="1149"/>
    </row>
    <row r="515" spans="2:2" ht="15.95" customHeight="1">
      <c r="B515" s="1149" t="s">
        <v>273</v>
      </c>
    </row>
    <row r="516" spans="2:2" ht="15.95" customHeight="1">
      <c r="B516" s="1149"/>
    </row>
    <row r="517" spans="2:2" ht="15.95" customHeight="1">
      <c r="B517" s="1149" t="s">
        <v>274</v>
      </c>
    </row>
    <row r="519" spans="2:2" ht="15.95" customHeight="1">
      <c r="B519" s="1157" t="s">
        <v>219</v>
      </c>
    </row>
    <row r="521" spans="2:2" ht="15.95" customHeight="1">
      <c r="B521" s="1149" t="s">
        <v>275</v>
      </c>
    </row>
    <row r="522" spans="2:2" ht="15.95" customHeight="1">
      <c r="B522" s="1149" t="s">
        <v>276</v>
      </c>
    </row>
    <row r="524" spans="2:2" ht="15.95" customHeight="1">
      <c r="B524" s="1157" t="s">
        <v>57</v>
      </c>
    </row>
    <row r="525" spans="2:2" ht="15.95" customHeight="1">
      <c r="B525" s="1158"/>
    </row>
    <row r="526" spans="2:2" ht="15.95" customHeight="1">
      <c r="B526" s="1149" t="s">
        <v>277</v>
      </c>
    </row>
    <row r="527" spans="2:2" ht="15.95" customHeight="1">
      <c r="B527" s="1149"/>
    </row>
    <row r="528" spans="2:2" ht="15.95" customHeight="1">
      <c r="B528" s="1149" t="s">
        <v>278</v>
      </c>
    </row>
    <row r="529" spans="2:7" ht="15.95" customHeight="1">
      <c r="B529" s="1149"/>
    </row>
    <row r="530" spans="2:7" ht="15.95" customHeight="1">
      <c r="B530" s="1149" t="s">
        <v>279</v>
      </c>
    </row>
    <row r="531" spans="2:7" ht="15.95" customHeight="1">
      <c r="B531" s="1149" t="s">
        <v>280</v>
      </c>
    </row>
    <row r="532" spans="2:7" ht="15.95" customHeight="1">
      <c r="B532" s="1149"/>
    </row>
    <row r="533" spans="2:7" ht="15.95" customHeight="1">
      <c r="B533" s="1149" t="s">
        <v>281</v>
      </c>
    </row>
    <row r="534" spans="2:7" ht="15.95" customHeight="1">
      <c r="C534" s="13" t="s">
        <v>282</v>
      </c>
    </row>
    <row r="535" spans="2:7" ht="15.95" customHeight="1">
      <c r="C535" s="13" t="s">
        <v>283</v>
      </c>
    </row>
    <row r="538" spans="2:7" ht="30.75" customHeight="1">
      <c r="B538" s="1175" t="s">
        <v>284</v>
      </c>
      <c r="C538" s="1174"/>
      <c r="D538" s="1174"/>
      <c r="E538" s="1174"/>
      <c r="F538" s="1174"/>
      <c r="G538" s="1174"/>
    </row>
    <row r="539" spans="2:7" ht="15.95" customHeight="1">
      <c r="B539" s="1160"/>
    </row>
    <row r="540" spans="2:7" ht="15.95" customHeight="1">
      <c r="B540" s="290" t="s">
        <v>30</v>
      </c>
    </row>
    <row r="541" spans="2:7" ht="15.95" customHeight="1">
      <c r="B541" s="155"/>
    </row>
    <row r="542" spans="2:7" ht="15.95" customHeight="1">
      <c r="B542" s="1154" t="s">
        <v>285</v>
      </c>
    </row>
    <row r="543" spans="2:7" ht="15.95" customHeight="1">
      <c r="B543" s="1154" t="s">
        <v>286</v>
      </c>
    </row>
    <row r="544" spans="2:7" ht="15.95" customHeight="1">
      <c r="B544" s="1149"/>
    </row>
    <row r="545" spans="2:3" ht="15.95" customHeight="1">
      <c r="B545" s="1149" t="s">
        <v>287</v>
      </c>
    </row>
    <row r="546" spans="2:3" ht="15.95" customHeight="1">
      <c r="B546" s="1154"/>
      <c r="C546" s="13" t="s">
        <v>288</v>
      </c>
    </row>
    <row r="547" spans="2:3" ht="15.95" customHeight="1">
      <c r="B547" s="1149"/>
      <c r="C547" s="13" t="s">
        <v>289</v>
      </c>
    </row>
    <row r="548" spans="2:3" ht="15.95" customHeight="1">
      <c r="B548" s="1149"/>
    </row>
    <row r="549" spans="2:3" ht="15.95" customHeight="1">
      <c r="B549" s="1149" t="s">
        <v>290</v>
      </c>
    </row>
    <row r="550" spans="2:3" ht="15.95" customHeight="1">
      <c r="B550" s="1149"/>
      <c r="C550" s="13" t="s">
        <v>291</v>
      </c>
    </row>
    <row r="551" spans="2:3" ht="15.95" customHeight="1">
      <c r="B551" s="1149"/>
      <c r="C551" s="13" t="s">
        <v>292</v>
      </c>
    </row>
    <row r="552" spans="2:3" ht="15.95" customHeight="1">
      <c r="B552" s="1149"/>
    </row>
    <row r="553" spans="2:3" ht="15.95" customHeight="1">
      <c r="B553" s="1149" t="s">
        <v>293</v>
      </c>
    </row>
    <row r="554" spans="2:3" ht="15.95" customHeight="1">
      <c r="B554" s="1149"/>
      <c r="C554" s="13" t="s">
        <v>294</v>
      </c>
    </row>
    <row r="555" spans="2:3" ht="15.95" customHeight="1">
      <c r="B555" s="1149"/>
      <c r="C555" s="13" t="s">
        <v>295</v>
      </c>
    </row>
    <row r="556" spans="2:3" ht="15.95" customHeight="1">
      <c r="B556" s="1149"/>
      <c r="C556" s="13" t="s">
        <v>296</v>
      </c>
    </row>
    <row r="557" spans="2:3" ht="15.95" customHeight="1">
      <c r="B557" s="1149"/>
    </row>
    <row r="558" spans="2:3" ht="15.95" customHeight="1">
      <c r="B558" s="1149" t="s">
        <v>297</v>
      </c>
    </row>
    <row r="561" spans="2:2" ht="15.95" customHeight="1">
      <c r="B561" s="1157" t="s">
        <v>219</v>
      </c>
    </row>
    <row r="563" spans="2:2" ht="15.95" customHeight="1">
      <c r="B563" s="1149" t="s">
        <v>298</v>
      </c>
    </row>
    <row r="566" spans="2:2" ht="15.95" customHeight="1">
      <c r="B566" s="1157" t="s">
        <v>57</v>
      </c>
    </row>
    <row r="568" spans="2:2" ht="15.95" customHeight="1">
      <c r="B568" s="1149" t="s">
        <v>299</v>
      </c>
    </row>
    <row r="569" spans="2:2" ht="15.95" customHeight="1">
      <c r="B569" s="1149"/>
    </row>
    <row r="570" spans="2:2" ht="15.95" customHeight="1">
      <c r="B570" s="1149" t="s">
        <v>300</v>
      </c>
    </row>
    <row r="571" spans="2:2" ht="15.95" customHeight="1">
      <c r="B571" s="1149"/>
    </row>
    <row r="572" spans="2:2" ht="15.95" customHeight="1">
      <c r="B572" s="1149" t="s">
        <v>301</v>
      </c>
    </row>
    <row r="573" spans="2:2" ht="15.95" customHeight="1">
      <c r="B573" s="1149"/>
    </row>
    <row r="574" spans="2:2" ht="15.95" customHeight="1">
      <c r="B574" s="1149" t="s">
        <v>302</v>
      </c>
    </row>
    <row r="575" spans="2:2" ht="15.95" customHeight="1">
      <c r="B575" s="1149"/>
    </row>
    <row r="576" spans="2:2" ht="15.95" customHeight="1">
      <c r="B576" s="1149" t="s">
        <v>303</v>
      </c>
    </row>
    <row r="577" spans="2:2" ht="15.95" customHeight="1">
      <c r="B577" s="1149"/>
    </row>
    <row r="578" spans="2:2" ht="15.95" customHeight="1">
      <c r="B578" s="1149" t="s">
        <v>304</v>
      </c>
    </row>
    <row r="579" spans="2:2" ht="15.95" customHeight="1">
      <c r="B579" s="1149"/>
    </row>
    <row r="580" spans="2:2" ht="15.95" customHeight="1">
      <c r="B580" s="1149" t="s">
        <v>305</v>
      </c>
    </row>
    <row r="581" spans="2:2" ht="15.95" customHeight="1">
      <c r="B581" s="1149" t="s">
        <v>306</v>
      </c>
    </row>
  </sheetData>
  <mergeCells count="2">
    <mergeCell ref="B2:C2"/>
    <mergeCell ref="B4:G9"/>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sheetPr>
  <dimension ref="A1:J72"/>
  <sheetViews>
    <sheetView showGridLines="0" zoomScaleNormal="100" workbookViewId="0"/>
  </sheetViews>
  <sheetFormatPr defaultColWidth="8.625" defaultRowHeight="15.95" customHeight="1"/>
  <cols>
    <col min="1" max="1" width="8.625" style="2" customWidth="1"/>
    <col min="2" max="2" width="25.5" style="54" customWidth="1"/>
    <col min="3" max="3" width="31.375" style="54" bestFit="1" customWidth="1"/>
    <col min="4" max="4" width="13.625" style="54" customWidth="1"/>
    <col min="5" max="16384" width="8.625" style="54"/>
  </cols>
  <sheetData>
    <row r="1" spans="1:6" s="35" customFormat="1" ht="15.95" customHeight="1">
      <c r="B1" s="39"/>
      <c r="C1" s="146"/>
    </row>
    <row r="2" spans="1:6" s="469" customFormat="1" ht="24.75" customHeight="1">
      <c r="A2" s="465"/>
      <c r="B2" s="391" t="s">
        <v>4632</v>
      </c>
      <c r="C2" s="468"/>
      <c r="D2" s="468"/>
    </row>
    <row r="3" spans="1:6" s="43" customFormat="1" ht="15.95" customHeight="1">
      <c r="A3" s="35"/>
      <c r="B3" s="365"/>
      <c r="C3" s="145"/>
      <c r="D3" s="145"/>
    </row>
    <row r="4" spans="1:6" s="43" customFormat="1" ht="15.95" customHeight="1">
      <c r="A4" s="35"/>
      <c r="B4" s="1433" t="s">
        <v>4633</v>
      </c>
      <c r="C4" s="1433"/>
      <c r="D4" s="1433"/>
      <c r="E4" s="1433"/>
      <c r="F4" s="1433"/>
    </row>
    <row r="5" spans="1:6" s="43" customFormat="1" ht="15.95" customHeight="1">
      <c r="A5" s="35"/>
      <c r="B5" s="1433"/>
      <c r="C5" s="1433"/>
      <c r="D5" s="1433"/>
      <c r="E5" s="1433"/>
      <c r="F5" s="1433"/>
    </row>
    <row r="6" spans="1:6" s="43" customFormat="1" ht="15.95" customHeight="1">
      <c r="A6" s="35"/>
      <c r="B6" s="1433"/>
      <c r="C6" s="1433"/>
      <c r="D6" s="1433"/>
      <c r="E6" s="1433"/>
      <c r="F6" s="1433"/>
    </row>
    <row r="7" spans="1:6" s="43" customFormat="1" ht="15.95" customHeight="1">
      <c r="A7" s="35"/>
      <c r="B7" s="1433"/>
      <c r="C7" s="1433"/>
      <c r="D7" s="1433"/>
      <c r="E7" s="1433"/>
      <c r="F7" s="1433"/>
    </row>
    <row r="8" spans="1:6" s="43" customFormat="1" ht="15.95" customHeight="1">
      <c r="A8" s="35"/>
      <c r="B8" s="1433"/>
      <c r="C8" s="1433"/>
      <c r="D8" s="1433"/>
      <c r="E8" s="1433"/>
      <c r="F8" s="1433"/>
    </row>
    <row r="9" spans="1:6" s="43" customFormat="1" ht="15.95" customHeight="1">
      <c r="A9" s="35"/>
      <c r="B9" s="1433"/>
      <c r="C9" s="1433"/>
      <c r="D9" s="1433"/>
      <c r="E9" s="1433"/>
      <c r="F9" s="1433"/>
    </row>
    <row r="11" spans="1:6" ht="24.75" customHeight="1">
      <c r="B11" s="367" t="s">
        <v>4512</v>
      </c>
      <c r="C11" s="434" t="s">
        <v>4634</v>
      </c>
      <c r="D11" s="54" t="s">
        <v>4626</v>
      </c>
      <c r="E11" s="391" t="s">
        <v>4635</v>
      </c>
    </row>
    <row r="12" spans="1:6" ht="15.95" customHeight="1">
      <c r="B12" s="55" t="s">
        <v>3949</v>
      </c>
      <c r="C12" s="112">
        <f>VLOOKUP(B12,'Comm. per Month (Heavy Weapons)'!B:S,18,0)</f>
        <v>8.5836593288596177</v>
      </c>
    </row>
    <row r="13" spans="1:6" ht="15.95" customHeight="1">
      <c r="B13" s="54" t="s">
        <v>4631</v>
      </c>
      <c r="C13" s="121">
        <f>SUMIFS('Comm. per Month (Heavy Weapons)'!S13:S54,'Comm. per Month (Heavy Weapons)'!C13:C54,1)</f>
        <v>6.1351838549453461</v>
      </c>
    </row>
    <row r="14" spans="1:6" ht="15.95" customHeight="1">
      <c r="B14" s="48" t="s">
        <v>1711</v>
      </c>
      <c r="C14" s="112">
        <f>VLOOKUP(B14,'Comm. per Month (Heavy Weapons)'!B:S,18,0)</f>
        <v>1.764403298827127</v>
      </c>
    </row>
    <row r="15" spans="1:6" ht="15.95" customHeight="1">
      <c r="B15" s="48" t="s">
        <v>2989</v>
      </c>
      <c r="C15" s="112">
        <f>VLOOKUP(B15,'Comm. per Month (Heavy Weapons)'!B:S,18,0)</f>
        <v>1.2079251250430754</v>
      </c>
    </row>
    <row r="16" spans="1:6" ht="15.95" customHeight="1">
      <c r="B16" s="48" t="s">
        <v>2693</v>
      </c>
      <c r="C16" s="112">
        <f>VLOOKUP(B16,'Comm. per Month (Heavy Weapons)'!B:S,18,0)</f>
        <v>0.96236744709975075</v>
      </c>
    </row>
    <row r="17" spans="2:3" ht="15.95" customHeight="1">
      <c r="B17" s="48" t="s">
        <v>3748</v>
      </c>
      <c r="C17" s="112">
        <f>VLOOKUP(B17,'Comm. per Month (Heavy Weapons)'!B:S,18,0)</f>
        <v>0.80505817094466425</v>
      </c>
    </row>
    <row r="18" spans="2:3" ht="15.95" customHeight="1">
      <c r="B18" s="48" t="s">
        <v>2204</v>
      </c>
      <c r="C18" s="112">
        <f>VLOOKUP(B18,'Comm. per Month (Heavy Weapons)'!B:S,18,0)</f>
        <v>0.47011260639092167</v>
      </c>
    </row>
    <row r="19" spans="2:3" ht="15.95" customHeight="1">
      <c r="B19" s="48" t="s">
        <v>3548</v>
      </c>
      <c r="C19" s="112">
        <f>VLOOKUP(B19,'Comm. per Month (Heavy Weapons)'!B:S,18,0)</f>
        <v>0.34340402097902095</v>
      </c>
    </row>
    <row r="20" spans="2:3" ht="15.95" customHeight="1">
      <c r="B20" s="48" t="s">
        <v>1523</v>
      </c>
      <c r="C20" s="112">
        <f>VLOOKUP(B20,'Comm. per Month (Heavy Weapons)'!B:S,18,0)</f>
        <v>0.2858692544031724</v>
      </c>
    </row>
    <row r="21" spans="2:3" ht="15.95" customHeight="1">
      <c r="B21" s="48" t="s">
        <v>1012</v>
      </c>
      <c r="C21" s="112">
        <f>VLOOKUP(B21,'Comm. per Month (Heavy Weapons)'!B:S,18,0)</f>
        <v>0.28135966863444895</v>
      </c>
    </row>
    <row r="22" spans="2:3" ht="15.95" customHeight="1">
      <c r="B22" s="48" t="s">
        <v>713</v>
      </c>
      <c r="C22" s="112">
        <f>VLOOKUP(B22,'Comm. per Month (Heavy Weapons)'!B:S,18,0)</f>
        <v>0.2958678329676086</v>
      </c>
    </row>
    <row r="23" spans="2:3" ht="15.95" customHeight="1">
      <c r="B23" s="48" t="s">
        <v>3261</v>
      </c>
      <c r="C23" s="112">
        <f>VLOOKUP(B23,'Comm. per Month (Heavy Weapons)'!B:S,18,0)</f>
        <v>0.27596050334008099</v>
      </c>
    </row>
    <row r="24" spans="2:3" ht="15.95" customHeight="1">
      <c r="B24" s="35" t="s">
        <v>1194</v>
      </c>
      <c r="C24" s="112">
        <f>VLOOKUP(B24,'Comm. per Month (Heavy Weapons)'!B:S,18,0)</f>
        <v>0.21947391661003776</v>
      </c>
    </row>
    <row r="25" spans="2:3" ht="15.95" customHeight="1">
      <c r="B25" s="48" t="s">
        <v>359</v>
      </c>
      <c r="C25" s="112">
        <f>VLOOKUP(B25,'Comm. per Month (Heavy Weapons)'!B:S,18,0)</f>
        <v>0.1729112992270887</v>
      </c>
    </row>
    <row r="26" spans="2:3" ht="15.95" customHeight="1">
      <c r="B26" s="48" t="s">
        <v>2882</v>
      </c>
      <c r="C26" s="112">
        <f>VLOOKUP(B26,'Comm. per Month (Heavy Weapons)'!B:S,18,0)</f>
        <v>0.16154115158264709</v>
      </c>
    </row>
    <row r="27" spans="2:3" ht="15.95" customHeight="1">
      <c r="B27" s="48" t="s">
        <v>3412</v>
      </c>
      <c r="C27" s="112">
        <f>VLOOKUP(B27,'Comm. per Month (Heavy Weapons)'!B:S,18,0)</f>
        <v>0.10722157521087662</v>
      </c>
    </row>
    <row r="28" spans="2:3" ht="15.95" customHeight="1">
      <c r="B28" s="48" t="s">
        <v>3337</v>
      </c>
      <c r="C28" s="112">
        <f>VLOOKUP(B28,'Comm. per Month (Heavy Weapons)'!B:S,18,0)</f>
        <v>4.7784303507545089E-2</v>
      </c>
    </row>
    <row r="29" spans="2:3" ht="15.95" customHeight="1">
      <c r="B29" s="48" t="s">
        <v>558</v>
      </c>
      <c r="C29" s="112">
        <f>VLOOKUP(B29,'Comm. per Month (Heavy Weapons)'!B:S,18,0)</f>
        <v>3.9241810820758186E-2</v>
      </c>
    </row>
    <row r="30" spans="2:3" ht="15.95" customHeight="1">
      <c r="B30" s="48" t="s">
        <v>2488</v>
      </c>
      <c r="C30" s="112">
        <f>VLOOKUP(B30,'Comm. per Month (Heavy Weapons)'!B:S,18,0)</f>
        <v>2.433156637833888E-2</v>
      </c>
    </row>
    <row r="31" spans="2:3" ht="15.95" customHeight="1">
      <c r="B31" s="54" t="s">
        <v>1305</v>
      </c>
      <c r="C31" s="112">
        <f>VLOOKUP(B31,'Comm. per Month (Heavy Weapons)'!B:S,18,0)</f>
        <v>2.2151535737946263E-2</v>
      </c>
    </row>
    <row r="32" spans="2:3" ht="15.95" customHeight="1">
      <c r="B32" s="35" t="s">
        <v>1973</v>
      </c>
      <c r="C32" s="112">
        <f>VLOOKUP(B32,'Comm. per Month (Heavy Weapons)'!B:S,18,0)</f>
        <v>2.0667741258741264E-2</v>
      </c>
    </row>
    <row r="33" spans="2:10" ht="15.95" customHeight="1">
      <c r="B33" s="48" t="s">
        <v>3685</v>
      </c>
      <c r="C33" s="112">
        <f>VLOOKUP(B33,'Comm. per Month (Heavy Weapons)'!B:S,18,0)</f>
        <v>6.1735369893264627E-2</v>
      </c>
    </row>
    <row r="34" spans="2:10" ht="15.95" customHeight="1">
      <c r="B34" s="48" t="s">
        <v>3079</v>
      </c>
      <c r="C34" s="112">
        <f>VLOOKUP(B34,'Comm. per Month (Heavy Weapons)'!B:S,18,0)</f>
        <v>1.1712572489134994E-2</v>
      </c>
    </row>
    <row r="35" spans="2:10" ht="15.95" customHeight="1">
      <c r="B35" s="48" t="s">
        <v>2392</v>
      </c>
      <c r="C35" s="112">
        <f>VLOOKUP(B35,'Comm. per Month (Heavy Weapons)'!B:S,18,0)</f>
        <v>4.4634453300862013E-2</v>
      </c>
    </row>
    <row r="36" spans="2:10" ht="15.95" customHeight="1">
      <c r="B36" s="48" t="s">
        <v>2625</v>
      </c>
      <c r="C36" s="112">
        <f>VLOOKUP(B36,'Comm. per Month (Heavy Weapons)'!B:S,18,0)</f>
        <v>6.5624549135075453E-3</v>
      </c>
    </row>
    <row r="37" spans="2:10" ht="15.95" customHeight="1">
      <c r="B37" s="35" t="s">
        <v>673</v>
      </c>
      <c r="C37" s="112">
        <f>VLOOKUP(B37,'Comm. per Month (Heavy Weapons)'!B:S,18,0)</f>
        <v>0</v>
      </c>
    </row>
    <row r="38" spans="2:10" ht="15.95" customHeight="1">
      <c r="B38" s="48" t="s">
        <v>1432</v>
      </c>
      <c r="C38" s="112">
        <f>VLOOKUP(B38,'Comm. per Month (Heavy Weapons)'!B:S,18,0)</f>
        <v>0</v>
      </c>
    </row>
    <row r="39" spans="2:10" ht="15.95" customHeight="1">
      <c r="B39" s="35" t="s">
        <v>918</v>
      </c>
      <c r="C39" s="112">
        <f>VLOOKUP(B39,'Comm. per Month (Heavy Weapons)'!B:S,18,0)</f>
        <v>0</v>
      </c>
    </row>
    <row r="40" spans="2:10" ht="15.95" customHeight="1">
      <c r="B40" s="54" t="s">
        <v>2832</v>
      </c>
      <c r="C40" s="112">
        <f>VLOOKUP(B40,'Comm. per Month (Heavy Weapons)'!B:S,18,0)</f>
        <v>0</v>
      </c>
    </row>
    <row r="41" spans="2:10" ht="15.95" customHeight="1">
      <c r="B41" s="48" t="s">
        <v>454</v>
      </c>
      <c r="C41" s="112">
        <f>VLOOKUP(B41,'Comm. per Month (Heavy Weapons)'!B:S,18,0)</f>
        <v>0</v>
      </c>
    </row>
    <row r="42" spans="2:10" ht="15.95" customHeight="1">
      <c r="B42" s="54" t="s">
        <v>3162</v>
      </c>
      <c r="C42" s="112">
        <f>VLOOKUP(B42,'Comm. per Month (Heavy Weapons)'!B:S,18,0)</f>
        <v>0</v>
      </c>
      <c r="H42" s="56"/>
      <c r="I42" s="56"/>
    </row>
    <row r="43" spans="2:10" ht="15.95" customHeight="1">
      <c r="B43" s="48" t="s">
        <v>3214</v>
      </c>
      <c r="C43" s="112">
        <f>VLOOKUP(B43,'Comm. per Month (Heavy Weapons)'!B:S,18,0)</f>
        <v>0</v>
      </c>
      <c r="G43" s="56"/>
      <c r="H43" s="56"/>
      <c r="I43" s="56"/>
      <c r="J43" s="57"/>
    </row>
    <row r="44" spans="2:10" ht="15.95" customHeight="1">
      <c r="B44" s="35" t="s">
        <v>2312</v>
      </c>
      <c r="C44" s="112">
        <f>VLOOKUP(B44,'Comm. per Month (Heavy Weapons)'!B:S,18,0)</f>
        <v>0</v>
      </c>
      <c r="G44" s="56"/>
      <c r="H44" s="56"/>
      <c r="I44" s="56"/>
      <c r="J44" s="57"/>
    </row>
    <row r="45" spans="2:10" ht="15.95" customHeight="1">
      <c r="B45" s="48" t="s">
        <v>3649</v>
      </c>
      <c r="C45" s="112">
        <f>VLOOKUP(B45,'Comm. per Month (Heavy Weapons)'!B:S,18,0)</f>
        <v>0</v>
      </c>
      <c r="H45" s="56"/>
      <c r="I45" s="56"/>
      <c r="J45" s="57"/>
    </row>
    <row r="46" spans="2:10" ht="15.95" customHeight="1">
      <c r="B46" s="35" t="s">
        <v>2096</v>
      </c>
      <c r="C46" s="112">
        <f>VLOOKUP(B46,'Comm. per Month (Heavy Weapons)'!B:S,18,0)</f>
        <v>0</v>
      </c>
      <c r="H46" s="56"/>
      <c r="I46" s="56"/>
      <c r="J46" s="57"/>
    </row>
    <row r="47" spans="2:10" ht="15.95" customHeight="1">
      <c r="B47" s="48" t="s">
        <v>3713</v>
      </c>
      <c r="C47" s="112">
        <f>VLOOKUP(B47,'Comm. per Month (Heavy Weapons)'!B:S,18,0)</f>
        <v>0</v>
      </c>
      <c r="H47" s="57"/>
      <c r="I47" s="57"/>
      <c r="J47" s="57"/>
    </row>
    <row r="48" spans="2:10" ht="15.95" customHeight="1">
      <c r="B48" s="48" t="s">
        <v>2028</v>
      </c>
      <c r="C48" s="112">
        <f>VLOOKUP(B48,'Comm. per Month (Heavy Weapons)'!B:S,18,0)</f>
        <v>0</v>
      </c>
      <c r="H48" s="57"/>
      <c r="I48" s="57"/>
      <c r="J48" s="57"/>
    </row>
    <row r="49" spans="2:10" ht="15.95" customHeight="1">
      <c r="B49" s="48" t="s">
        <v>2139</v>
      </c>
      <c r="C49" s="112">
        <f>VLOOKUP(B49,'Comm. per Month (Heavy Weapons)'!B:S,18,0)</f>
        <v>0</v>
      </c>
      <c r="H49" s="57"/>
      <c r="I49" s="57"/>
      <c r="J49" s="57"/>
    </row>
    <row r="50" spans="2:10" ht="15.95" customHeight="1">
      <c r="B50" s="54" t="s">
        <v>981</v>
      </c>
      <c r="C50" s="112">
        <f>VLOOKUP(B50,'Comm. per Month (Heavy Weapons)'!B:S,18,0)</f>
        <v>0</v>
      </c>
    </row>
    <row r="51" spans="2:10" ht="15.95" customHeight="1">
      <c r="B51" s="54" t="s">
        <v>905</v>
      </c>
      <c r="C51" s="112">
        <f>VLOOKUP(B51,'Comm. per Month (Heavy Weapons)'!B:S,18,0)</f>
        <v>0</v>
      </c>
    </row>
    <row r="52" spans="2:10" ht="15.95" customHeight="1">
      <c r="B52" s="54" t="s">
        <v>2076</v>
      </c>
      <c r="C52" s="112">
        <f>VLOOKUP(B52,'Comm. per Month (Heavy Weapons)'!B:S,18,0)</f>
        <v>0</v>
      </c>
    </row>
    <row r="53" spans="2:10" ht="15.95" customHeight="1">
      <c r="B53" s="54" t="s">
        <v>2678</v>
      </c>
      <c r="C53" s="112">
        <f>VLOOKUP(B53,'Comm. per Month (Heavy Weapons)'!B:S,18,0)</f>
        <v>0</v>
      </c>
    </row>
    <row r="55" spans="2:10" ht="15.95" customHeight="1">
      <c r="B55" s="387" t="s">
        <v>4530</v>
      </c>
      <c r="C55" s="388">
        <f>SUM(C12:C52)</f>
        <v>22.351140863365583</v>
      </c>
      <c r="D55" s="121"/>
    </row>
    <row r="56" spans="2:10" ht="15.95" customHeight="1">
      <c r="B56" s="48"/>
      <c r="C56" s="30"/>
      <c r="G56" s="57"/>
    </row>
    <row r="57" spans="2:10" ht="15.95" customHeight="1">
      <c r="B57" s="48"/>
      <c r="C57" s="30"/>
    </row>
    <row r="58" spans="2:10" ht="15.95" customHeight="1">
      <c r="B58" s="48"/>
      <c r="C58" s="30"/>
    </row>
    <row r="59" spans="2:10" ht="15.95" customHeight="1">
      <c r="B59" s="48"/>
      <c r="C59" s="30"/>
    </row>
    <row r="60" spans="2:10" ht="15.95" customHeight="1">
      <c r="B60" s="48"/>
      <c r="C60" s="30"/>
    </row>
    <row r="61" spans="2:10" ht="15.95" customHeight="1">
      <c r="B61" s="48"/>
      <c r="C61" s="30"/>
    </row>
    <row r="62" spans="2:10" ht="15.95" customHeight="1">
      <c r="B62" s="48"/>
      <c r="C62" s="30"/>
    </row>
    <row r="63" spans="2:10" ht="15.95" customHeight="1">
      <c r="B63" s="48"/>
      <c r="C63" s="30"/>
    </row>
    <row r="64" spans="2:10" ht="15.95" customHeight="1">
      <c r="B64" s="48"/>
      <c r="C64" s="30"/>
    </row>
    <row r="65" spans="2:3" ht="15.95" customHeight="1">
      <c r="B65" s="48"/>
      <c r="C65" s="30"/>
    </row>
    <row r="66" spans="2:3" ht="15.95" customHeight="1">
      <c r="B66" s="48"/>
      <c r="C66" s="30"/>
    </row>
    <row r="67" spans="2:3" ht="15.95" customHeight="1">
      <c r="B67" s="48"/>
      <c r="C67" s="30"/>
    </row>
    <row r="68" spans="2:3" ht="15.95" customHeight="1">
      <c r="B68" s="48"/>
      <c r="C68" s="30"/>
    </row>
    <row r="69" spans="2:3" ht="15.95" customHeight="1">
      <c r="C69" s="30"/>
    </row>
    <row r="70" spans="2:3" ht="15.95" customHeight="1">
      <c r="B70" s="48"/>
      <c r="C70" s="30"/>
    </row>
    <row r="71" spans="2:3" ht="15.95" customHeight="1">
      <c r="B71" s="48"/>
      <c r="C71" s="30"/>
    </row>
    <row r="72" spans="2:3" ht="15.95" customHeight="1">
      <c r="C72" s="30"/>
    </row>
  </sheetData>
  <sortState xmlns:xlrd2="http://schemas.microsoft.com/office/spreadsheetml/2017/richdata2" ref="B12:E53">
    <sortCondition descending="1" ref="C12:C53"/>
  </sortState>
  <mergeCells count="1">
    <mergeCell ref="B4:F9"/>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B4C6E7"/>
  </sheetPr>
  <dimension ref="A2:Z59"/>
  <sheetViews>
    <sheetView zoomScaleNormal="100" workbookViewId="0"/>
  </sheetViews>
  <sheetFormatPr defaultColWidth="8.625" defaultRowHeight="15.95" customHeight="1"/>
  <cols>
    <col min="1" max="1" width="8.625" style="2" customWidth="1"/>
    <col min="2" max="2" width="30.5" style="733" bestFit="1" customWidth="1"/>
    <col min="3" max="3" width="20" style="733" bestFit="1" customWidth="1"/>
    <col min="4" max="4" width="13.375" style="733" customWidth="1"/>
    <col min="5" max="5" width="12.5" style="733" customWidth="1"/>
    <col min="6" max="6" width="17.5" style="733" customWidth="1"/>
    <col min="7" max="7" width="27" style="733" customWidth="1"/>
    <col min="8" max="8" width="22.5" style="733" bestFit="1" customWidth="1"/>
    <col min="9" max="9" width="13.625" style="733" customWidth="1"/>
    <col min="10" max="16384" width="8.625" style="733"/>
  </cols>
  <sheetData>
    <row r="2" spans="1:19" s="729" customFormat="1" ht="24.75" customHeight="1">
      <c r="B2" s="730" t="s">
        <v>4636</v>
      </c>
    </row>
    <row r="3" spans="1:19" s="731" customFormat="1" ht="15.95" customHeight="1">
      <c r="B3" s="732"/>
    </row>
    <row r="4" spans="1:19" ht="15.95" customHeight="1">
      <c r="A4" s="733"/>
      <c r="B4" s="1444" t="s">
        <v>4637</v>
      </c>
      <c r="C4" s="1444"/>
      <c r="D4" s="1444"/>
      <c r="E4" s="1444"/>
      <c r="F4" s="1444"/>
      <c r="G4" s="1444"/>
      <c r="H4" s="1444"/>
      <c r="I4" s="1444"/>
    </row>
    <row r="5" spans="1:19" ht="15.95" customHeight="1">
      <c r="A5" s="733"/>
      <c r="B5" s="1444"/>
      <c r="C5" s="1444"/>
      <c r="D5" s="1444"/>
      <c r="E5" s="1444"/>
      <c r="F5" s="1444"/>
      <c r="G5" s="1444"/>
      <c r="H5" s="1444"/>
      <c r="I5" s="1444"/>
    </row>
    <row r="6" spans="1:19" ht="15.95" customHeight="1">
      <c r="A6" s="733"/>
      <c r="B6" s="1444"/>
      <c r="C6" s="1444"/>
      <c r="D6" s="1444"/>
      <c r="E6" s="1444"/>
      <c r="F6" s="1444"/>
      <c r="G6" s="1444"/>
      <c r="H6" s="1444"/>
      <c r="I6" s="1444"/>
    </row>
    <row r="7" spans="1:19" ht="15.95" customHeight="1">
      <c r="A7" s="733"/>
      <c r="B7" s="1444"/>
      <c r="C7" s="1444"/>
      <c r="D7" s="1444"/>
      <c r="E7" s="1444"/>
      <c r="F7" s="1444"/>
      <c r="G7" s="1444"/>
      <c r="H7" s="1444"/>
      <c r="I7" s="1444"/>
    </row>
    <row r="8" spans="1:19" ht="15.95" customHeight="1">
      <c r="A8" s="733"/>
      <c r="B8" s="1444"/>
      <c r="C8" s="1444"/>
      <c r="D8" s="1444"/>
      <c r="E8" s="1444"/>
      <c r="F8" s="1444"/>
      <c r="G8" s="1444"/>
      <c r="H8" s="1444"/>
      <c r="I8" s="1444"/>
    </row>
    <row r="9" spans="1:19" ht="15.95" customHeight="1">
      <c r="A9" s="733"/>
      <c r="B9" s="1444"/>
      <c r="C9" s="1444"/>
      <c r="D9" s="1444"/>
      <c r="E9" s="1444"/>
      <c r="F9" s="1444"/>
      <c r="G9" s="1444"/>
      <c r="H9" s="1444"/>
      <c r="I9" s="1444"/>
    </row>
    <row r="11" spans="1:19" ht="24.75" customHeight="1">
      <c r="B11" s="734" t="s">
        <v>4638</v>
      </c>
      <c r="C11" s="735" t="s">
        <v>4639</v>
      </c>
      <c r="D11" s="735" t="s">
        <v>4640</v>
      </c>
      <c r="E11" s="735" t="s">
        <v>4641</v>
      </c>
      <c r="F11" s="735" t="s">
        <v>4642</v>
      </c>
      <c r="G11" s="735" t="s">
        <v>4643</v>
      </c>
      <c r="I11" s="736" t="s">
        <v>4644</v>
      </c>
    </row>
    <row r="12" spans="1:19" ht="15.95" customHeight="1">
      <c r="B12" s="737" t="s">
        <v>4645</v>
      </c>
      <c r="C12" s="738">
        <f>86+1758+60+150+100+150</f>
        <v>2304</v>
      </c>
      <c r="D12" s="738">
        <f>1056</f>
        <v>1056</v>
      </c>
      <c r="E12" s="738">
        <f>2927+330+160</f>
        <v>3417</v>
      </c>
      <c r="F12" s="738"/>
      <c r="G12" s="739" t="s">
        <v>4646</v>
      </c>
    </row>
    <row r="13" spans="1:19" ht="15.95" customHeight="1">
      <c r="B13" s="740" t="s">
        <v>4647</v>
      </c>
      <c r="C13" s="741">
        <f>302+13+18+440</f>
        <v>773</v>
      </c>
      <c r="D13" s="741">
        <v>354</v>
      </c>
      <c r="E13" s="741">
        <f>858+69+60</f>
        <v>987</v>
      </c>
      <c r="F13" s="741"/>
      <c r="G13" s="742" t="s">
        <v>4646</v>
      </c>
      <c r="J13" s="60"/>
      <c r="K13" s="743"/>
      <c r="L13" s="743"/>
    </row>
    <row r="14" spans="1:19" ht="15.95" customHeight="1">
      <c r="B14" s="737" t="s">
        <v>4648</v>
      </c>
      <c r="C14" s="738">
        <f>SUM('Share, Heavy Weapons to Ukraine'!AR12:AR48)</f>
        <v>556</v>
      </c>
      <c r="D14" s="738">
        <f>SUM('Share, Heavy Weapons to Ukraine'!AS12:AS48)</f>
        <v>89</v>
      </c>
      <c r="E14" s="738">
        <f>SUM('Share, Heavy Weapons to Ukraine'!AL12:AL48)</f>
        <v>757.33333333333326</v>
      </c>
      <c r="F14" s="738">
        <f>SUM('Share, Heavy Weapons to Ukraine'!AP12:AP48)</f>
        <v>590</v>
      </c>
      <c r="G14" s="744" t="s">
        <v>4649</v>
      </c>
      <c r="K14" s="743"/>
      <c r="L14" s="743"/>
      <c r="S14" s="115"/>
    </row>
    <row r="15" spans="1:19" ht="15.95" customHeight="1">
      <c r="B15" s="737" t="s">
        <v>4650</v>
      </c>
      <c r="C15" s="738">
        <f>SUM('Share, Heavy Weapons to Ukraine'!BF12:BF48)</f>
        <v>379</v>
      </c>
      <c r="D15" s="738">
        <f>SUM('Share, Heavy Weapons to Ukraine'!BG12:BG48)</f>
        <v>66</v>
      </c>
      <c r="E15" s="738">
        <f>SUM('Share, Heavy Weapons to Ukraine'!AZ12:AZ48)</f>
        <v>471</v>
      </c>
      <c r="F15" s="738">
        <f>SUM('Share, Heavy Weapons to Ukraine'!BD12:BD48)</f>
        <v>407</v>
      </c>
      <c r="G15" s="744" t="s">
        <v>4649</v>
      </c>
    </row>
    <row r="16" spans="1:19" ht="15.95" customHeight="1">
      <c r="B16" s="740" t="s">
        <v>4651</v>
      </c>
      <c r="C16" s="745">
        <f>C14-C15</f>
        <v>177</v>
      </c>
      <c r="D16" s="745">
        <f t="shared" ref="D16:F16" si="0">D14-D15</f>
        <v>23</v>
      </c>
      <c r="E16" s="745">
        <f t="shared" si="0"/>
        <v>286.33333333333326</v>
      </c>
      <c r="F16" s="745">
        <f t="shared" si="0"/>
        <v>183</v>
      </c>
      <c r="G16" s="746" t="s">
        <v>4649</v>
      </c>
    </row>
    <row r="17" spans="2:11" ht="15.95" customHeight="1">
      <c r="H17" s="747"/>
      <c r="I17" s="59"/>
      <c r="K17" s="59"/>
    </row>
    <row r="18" spans="2:11" ht="15.95" customHeight="1">
      <c r="H18" s="747"/>
      <c r="I18" s="59"/>
      <c r="K18" s="59"/>
    </row>
    <row r="19" spans="2:11" ht="15.95" customHeight="1">
      <c r="K19" s="59"/>
    </row>
    <row r="20" spans="2:11" ht="24.75" customHeight="1">
      <c r="B20" s="734" t="s">
        <v>4638</v>
      </c>
      <c r="C20" s="734" t="s">
        <v>4652</v>
      </c>
      <c r="D20" s="734" t="s">
        <v>4653</v>
      </c>
      <c r="E20" s="735" t="s">
        <v>4650</v>
      </c>
      <c r="F20" s="735" t="s">
        <v>4654</v>
      </c>
      <c r="G20" s="735" t="s">
        <v>4655</v>
      </c>
      <c r="H20" s="116"/>
      <c r="I20" s="748"/>
    </row>
    <row r="21" spans="2:11" ht="15.95" customHeight="1">
      <c r="B21" s="737" t="s">
        <v>4656</v>
      </c>
      <c r="C21" s="766" t="s">
        <v>4657</v>
      </c>
      <c r="D21" s="738" t="s">
        <v>364</v>
      </c>
      <c r="E21" s="738">
        <f>$D$15</f>
        <v>66</v>
      </c>
      <c r="F21" s="738">
        <f>$D$14-$D$15</f>
        <v>23</v>
      </c>
      <c r="G21" s="738">
        <f>D13</f>
        <v>354</v>
      </c>
      <c r="H21" s="737"/>
      <c r="I21" s="737"/>
    </row>
    <row r="22" spans="2:11" ht="15.95" customHeight="1">
      <c r="B22" s="737"/>
      <c r="C22" s="737" t="s">
        <v>4658</v>
      </c>
      <c r="D22" s="738" t="s">
        <v>364</v>
      </c>
      <c r="E22" s="738">
        <f>$D$12</f>
        <v>1056</v>
      </c>
      <c r="F22" s="738" t="s">
        <v>364</v>
      </c>
      <c r="G22" s="738" t="s">
        <v>364</v>
      </c>
      <c r="H22" s="737"/>
      <c r="I22" s="737"/>
    </row>
    <row r="23" spans="2:11" ht="15.95" customHeight="1">
      <c r="B23" s="737" t="s">
        <v>4659</v>
      </c>
      <c r="C23" s="766" t="s">
        <v>4657</v>
      </c>
      <c r="D23" s="738" t="s">
        <v>364</v>
      </c>
      <c r="E23" s="738">
        <f>$C$15</f>
        <v>379</v>
      </c>
      <c r="F23" s="738">
        <f>$C$14-$C$15</f>
        <v>177</v>
      </c>
      <c r="G23" s="738">
        <f>C13</f>
        <v>773</v>
      </c>
      <c r="H23" s="737"/>
      <c r="I23" s="737"/>
    </row>
    <row r="24" spans="2:11" ht="15.95" customHeight="1">
      <c r="B24" s="737"/>
      <c r="C24" s="737" t="s">
        <v>4658</v>
      </c>
      <c r="D24" s="738" t="s">
        <v>364</v>
      </c>
      <c r="E24" s="738">
        <f>$C$12</f>
        <v>2304</v>
      </c>
      <c r="F24" s="738" t="s">
        <v>364</v>
      </c>
      <c r="G24" s="738" t="s">
        <v>364</v>
      </c>
      <c r="H24" s="737"/>
      <c r="I24" s="737"/>
    </row>
    <row r="25" spans="2:11" ht="15.95" customHeight="1">
      <c r="B25" s="737" t="s">
        <v>4660</v>
      </c>
      <c r="C25" s="766" t="s">
        <v>4657</v>
      </c>
      <c r="D25" s="738" t="s">
        <v>364</v>
      </c>
      <c r="E25" s="749">
        <f>$E$15</f>
        <v>471</v>
      </c>
      <c r="F25" s="738">
        <f>E14-E15</f>
        <v>286.33333333333326</v>
      </c>
      <c r="G25" s="738">
        <f>E13</f>
        <v>987</v>
      </c>
      <c r="H25" s="737"/>
      <c r="I25" s="737"/>
    </row>
    <row r="26" spans="2:11" ht="15.95" customHeight="1">
      <c r="B26" s="737"/>
      <c r="C26" s="737" t="s">
        <v>4658</v>
      </c>
      <c r="D26" s="738" t="s">
        <v>364</v>
      </c>
      <c r="E26" s="749">
        <f>$E$12</f>
        <v>3417</v>
      </c>
      <c r="F26" s="738" t="s">
        <v>364</v>
      </c>
      <c r="G26" s="738" t="s">
        <v>364</v>
      </c>
      <c r="H26" s="737"/>
      <c r="I26" s="737"/>
    </row>
    <row r="27" spans="2:11" ht="15.95" customHeight="1">
      <c r="E27" s="750"/>
      <c r="G27" s="737"/>
      <c r="H27" s="737"/>
      <c r="I27" s="737"/>
    </row>
    <row r="28" spans="2:11" ht="15.95" customHeight="1">
      <c r="E28" s="750"/>
      <c r="H28" s="737"/>
      <c r="I28" s="737"/>
    </row>
    <row r="29" spans="2:11" ht="15.95" customHeight="1">
      <c r="K29" s="59"/>
    </row>
    <row r="30" spans="2:11" ht="15.95" customHeight="1">
      <c r="K30" s="59"/>
    </row>
    <row r="31" spans="2:11" ht="15.95" customHeight="1">
      <c r="C31" s="750"/>
      <c r="D31" s="750"/>
    </row>
    <row r="32" spans="2:11" ht="15.95" customHeight="1">
      <c r="C32" s="750"/>
      <c r="D32" s="750"/>
    </row>
    <row r="33" spans="3:4" ht="15.95" customHeight="1">
      <c r="C33" s="750"/>
      <c r="D33" s="750"/>
    </row>
    <row r="53" spans="13:26" ht="15.95" customHeight="1">
      <c r="M53" s="751"/>
      <c r="N53" s="751"/>
      <c r="O53" s="751"/>
      <c r="P53" s="751"/>
      <c r="Q53" s="751"/>
      <c r="R53" s="751"/>
      <c r="S53" s="751"/>
      <c r="T53" s="751"/>
      <c r="U53" s="751"/>
      <c r="V53" s="751"/>
      <c r="W53" s="751"/>
      <c r="X53" s="751"/>
      <c r="Y53" s="751"/>
      <c r="Z53" s="751"/>
    </row>
    <row r="54" spans="13:26" ht="15.95" customHeight="1">
      <c r="M54" s="751"/>
      <c r="N54" s="751"/>
      <c r="O54" s="751"/>
      <c r="P54" s="751"/>
      <c r="Q54" s="751"/>
      <c r="R54" s="751"/>
      <c r="S54" s="751"/>
      <c r="T54" s="751"/>
      <c r="U54" s="751"/>
      <c r="V54" s="751"/>
      <c r="W54" s="751"/>
      <c r="X54" s="751"/>
      <c r="Y54" s="751"/>
      <c r="Z54" s="751"/>
    </row>
    <row r="55" spans="13:26" ht="15.95" customHeight="1">
      <c r="M55" s="751"/>
      <c r="N55" s="751"/>
      <c r="O55" s="751"/>
      <c r="P55" s="751"/>
      <c r="Q55" s="751"/>
      <c r="R55" s="751"/>
      <c r="S55" s="751"/>
      <c r="T55" s="751"/>
      <c r="U55" s="751"/>
      <c r="V55" s="751"/>
      <c r="W55" s="751"/>
      <c r="X55" s="751"/>
      <c r="Y55" s="751"/>
      <c r="Z55" s="751"/>
    </row>
    <row r="56" spans="13:26" ht="15.95" customHeight="1">
      <c r="M56" s="751"/>
      <c r="N56" s="751"/>
      <c r="O56" s="751"/>
      <c r="P56" s="751"/>
      <c r="Q56" s="751"/>
      <c r="R56" s="751"/>
      <c r="S56" s="751"/>
      <c r="T56" s="751"/>
      <c r="U56" s="751"/>
      <c r="V56" s="751"/>
      <c r="W56" s="751"/>
      <c r="X56" s="751"/>
      <c r="Y56" s="751"/>
      <c r="Z56" s="751"/>
    </row>
    <row r="57" spans="13:26" ht="15.95" customHeight="1">
      <c r="M57" s="751"/>
      <c r="N57" s="751"/>
      <c r="O57" s="751"/>
      <c r="P57" s="751"/>
      <c r="Q57" s="751"/>
      <c r="R57" s="751"/>
      <c r="S57" s="751"/>
      <c r="T57" s="751"/>
      <c r="U57" s="751"/>
      <c r="V57" s="751"/>
      <c r="W57" s="751"/>
      <c r="X57" s="751"/>
      <c r="Y57" s="751"/>
      <c r="Z57" s="751"/>
    </row>
    <row r="58" spans="13:26" ht="15.95" customHeight="1">
      <c r="M58" s="751"/>
      <c r="N58" s="751"/>
      <c r="O58" s="751"/>
      <c r="P58" s="751"/>
      <c r="Q58" s="751"/>
      <c r="R58" s="751"/>
      <c r="S58" s="751"/>
      <c r="T58" s="751"/>
      <c r="U58" s="751"/>
      <c r="V58" s="751"/>
      <c r="W58" s="751"/>
      <c r="X58" s="751"/>
      <c r="Y58" s="751"/>
      <c r="Z58" s="751"/>
    </row>
    <row r="59" spans="13:26" ht="15.95" customHeight="1">
      <c r="M59" s="751"/>
      <c r="N59" s="751"/>
      <c r="O59" s="751"/>
      <c r="P59" s="751"/>
      <c r="Q59" s="751"/>
      <c r="R59" s="751"/>
      <c r="S59" s="751"/>
      <c r="T59" s="751"/>
      <c r="U59" s="751"/>
      <c r="V59" s="751"/>
      <c r="W59" s="751"/>
      <c r="X59" s="751"/>
      <c r="Y59" s="751"/>
      <c r="Z59" s="751"/>
    </row>
  </sheetData>
  <mergeCells count="1">
    <mergeCell ref="B4:I9"/>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59999389629810485"/>
  </sheetPr>
  <dimension ref="B1:AC21"/>
  <sheetViews>
    <sheetView zoomScaleNormal="100" workbookViewId="0"/>
  </sheetViews>
  <sheetFormatPr defaultColWidth="8.625" defaultRowHeight="15.95" customHeight="1"/>
  <cols>
    <col min="1" max="1" width="8.625" style="2" customWidth="1"/>
    <col min="2" max="2" width="25.5" style="2" customWidth="1"/>
    <col min="3" max="11" width="14.125" style="2" customWidth="1"/>
    <col min="12" max="12" width="16.375" style="2" customWidth="1"/>
    <col min="13" max="14" width="14.125" style="2" customWidth="1"/>
    <col min="15" max="15" width="22.375" style="2" customWidth="1"/>
    <col min="16" max="16" width="20.375" style="2" customWidth="1"/>
    <col min="17" max="17" width="12.625" style="2" bestFit="1" customWidth="1"/>
    <col min="18" max="19" width="13.625" style="2" customWidth="1"/>
    <col min="20" max="27" width="8.625" style="2"/>
    <col min="28" max="28" width="8.625" style="2" customWidth="1"/>
    <col min="29" max="16384" width="8.625" style="2"/>
  </cols>
  <sheetData>
    <row r="1" spans="2:29" s="661" customFormat="1" ht="15.95" customHeight="1">
      <c r="B1" s="662"/>
      <c r="C1" s="663"/>
      <c r="D1" s="663"/>
      <c r="E1" s="663"/>
      <c r="F1" s="663"/>
      <c r="G1" s="663"/>
      <c r="H1" s="663"/>
      <c r="I1" s="662"/>
      <c r="J1" s="662"/>
      <c r="K1" s="662"/>
      <c r="L1" s="662"/>
      <c r="M1" s="662"/>
      <c r="N1" s="662"/>
      <c r="O1" s="662"/>
      <c r="P1" s="662"/>
      <c r="Q1" s="662"/>
    </row>
    <row r="2" spans="2:29" s="659" customFormat="1" ht="24.75" customHeight="1">
      <c r="B2" s="660" t="s">
        <v>4661</v>
      </c>
    </row>
    <row r="3" spans="2:29" s="658" customFormat="1" ht="15.95" customHeight="1"/>
    <row r="4" spans="2:29" s="658" customFormat="1" ht="15.95" customHeight="1">
      <c r="B4" s="1451" t="s">
        <v>4662</v>
      </c>
      <c r="C4" s="1451"/>
      <c r="D4" s="1451"/>
      <c r="E4" s="1451"/>
      <c r="F4" s="1451"/>
      <c r="G4" s="1451"/>
      <c r="H4" s="1451"/>
    </row>
    <row r="5" spans="2:29" s="658" customFormat="1" ht="15.95" customHeight="1">
      <c r="B5" s="1451"/>
      <c r="C5" s="1451"/>
      <c r="D5" s="1451"/>
      <c r="E5" s="1451"/>
      <c r="F5" s="1451"/>
      <c r="G5" s="1451"/>
      <c r="H5" s="1451"/>
    </row>
    <row r="6" spans="2:29" s="658" customFormat="1" ht="15.95" customHeight="1">
      <c r="B6" s="1451"/>
      <c r="C6" s="1451"/>
      <c r="D6" s="1451"/>
      <c r="E6" s="1451"/>
      <c r="F6" s="1451"/>
      <c r="G6" s="1451"/>
      <c r="H6" s="1451"/>
    </row>
    <row r="7" spans="2:29" s="658" customFormat="1" ht="15.95" customHeight="1">
      <c r="B7" s="1451"/>
      <c r="C7" s="1451"/>
      <c r="D7" s="1451"/>
      <c r="E7" s="1451"/>
      <c r="F7" s="1451"/>
      <c r="G7" s="1451"/>
      <c r="H7" s="1451"/>
    </row>
    <row r="8" spans="2:29" s="658" customFormat="1" ht="15.95" customHeight="1">
      <c r="B8" s="1451"/>
      <c r="C8" s="1451"/>
      <c r="D8" s="1451"/>
      <c r="E8" s="1451"/>
      <c r="F8" s="1451"/>
      <c r="G8" s="1451"/>
      <c r="H8" s="1451"/>
    </row>
    <row r="9" spans="2:29" s="658" customFormat="1" ht="15.95" customHeight="1">
      <c r="B9" s="1451"/>
      <c r="C9" s="1451"/>
      <c r="D9" s="1451"/>
      <c r="E9" s="1451"/>
      <c r="F9" s="1451"/>
      <c r="G9" s="1451"/>
      <c r="H9" s="1451"/>
    </row>
    <row r="11" spans="2:29" s="11" customFormat="1" ht="24.75" customHeight="1">
      <c r="B11" s="657" t="s">
        <v>4512</v>
      </c>
      <c r="C11" s="656"/>
      <c r="D11" s="654" t="s">
        <v>1973</v>
      </c>
      <c r="E11" s="655" t="s">
        <v>2989</v>
      </c>
      <c r="F11" s="654" t="s">
        <v>1711</v>
      </c>
      <c r="G11" s="654" t="s">
        <v>3214</v>
      </c>
      <c r="H11" s="654" t="s">
        <v>2204</v>
      </c>
      <c r="I11" s="655" t="s">
        <v>4663</v>
      </c>
      <c r="J11" s="654" t="s">
        <v>3949</v>
      </c>
      <c r="K11" s="655" t="s">
        <v>3685</v>
      </c>
      <c r="L11" s="654" t="s">
        <v>3748</v>
      </c>
      <c r="M11" s="654" t="s">
        <v>2882</v>
      </c>
      <c r="N11" s="655" t="s">
        <v>4664</v>
      </c>
      <c r="O11" s="655" t="s">
        <v>4665</v>
      </c>
      <c r="P11" s="655" t="s">
        <v>4666</v>
      </c>
      <c r="Q11" s="655" t="s">
        <v>324</v>
      </c>
      <c r="R11" s="654" t="s">
        <v>4667</v>
      </c>
      <c r="S11" s="2"/>
      <c r="T11" s="653" t="s">
        <v>4668</v>
      </c>
      <c r="AB11" s="3"/>
      <c r="AC11" s="3"/>
    </row>
    <row r="12" spans="2:29" ht="15.95" customHeight="1">
      <c r="B12" s="1445" t="s">
        <v>4669</v>
      </c>
      <c r="C12" s="268" t="s">
        <v>4670</v>
      </c>
      <c r="D12" s="569"/>
      <c r="E12" s="569"/>
      <c r="F12" s="569"/>
      <c r="G12" s="569"/>
      <c r="H12" s="569"/>
      <c r="I12" s="569"/>
      <c r="J12" s="569">
        <f>VLOOKUP(J11,'Share, Heavy Weapons to Ukraine'!$B:$AX,COLUMN('Share, Heavy Weapons to Ukraine'!$W$12)-1,FALSE)</f>
        <v>6140</v>
      </c>
      <c r="K12" s="569">
        <f>VLOOKUP(K11,'Share, Heavy Weapons to Ukraine'!$B:$AX,COLUMN('Share, Heavy Weapons to Ukraine'!$W$12)-1,FALSE)</f>
        <v>4378</v>
      </c>
      <c r="L12" s="569">
        <f>VLOOKUP(L11,'Share, Heavy Weapons to Ukraine'!$B:$AX,COLUMN('Share, Heavy Weapons to Ukraine'!$W$12)-1,FALSE)</f>
        <v>227</v>
      </c>
      <c r="M12" s="569"/>
      <c r="N12" s="569">
        <f>'Share, Heavy Weapons to Ukraine'!W51-SUM(J12:L12)</f>
        <v>186</v>
      </c>
      <c r="O12" s="569"/>
      <c r="P12" s="569"/>
      <c r="Q12" s="569">
        <f>SUM(D12:N12)</f>
        <v>10931</v>
      </c>
      <c r="R12" s="569"/>
    </row>
    <row r="13" spans="2:29" ht="15.95" customHeight="1">
      <c r="B13" s="1446"/>
      <c r="C13" s="268" t="s">
        <v>355</v>
      </c>
      <c r="D13" s="569">
        <f>VLOOKUP(D11,'Share, Heavy Weapons to Ukraine'!$B:$AX,COLUMN('Share, Heavy Weapons to Ukraine'!$W$12)-1,FALSE)</f>
        <v>1228</v>
      </c>
      <c r="E13" s="569">
        <f>VLOOKUP(E11,'Share, Heavy Weapons to Ukraine'!$B:$AX,COLUMN('Share, Heavy Weapons to Ukraine'!$W$12)-1,FALSE)</f>
        <v>797</v>
      </c>
      <c r="F13" s="348">
        <f>VLOOKUP(F11,'Share, Heavy Weapons to Ukraine'!$B:$AX,COLUMN('Share, Heavy Weapons to Ukraine'!$W$12)-1,FALSE)</f>
        <v>375.66666666666669</v>
      </c>
      <c r="G13" s="569"/>
      <c r="H13" s="569"/>
      <c r="I13" s="348">
        <f>'Share, Heavy Weapons to Ukraine'!W52-SUM(D13:H13)</f>
        <v>2240.3333333333335</v>
      </c>
      <c r="J13" s="569"/>
      <c r="K13" s="569"/>
      <c r="L13" s="569"/>
      <c r="M13" s="569"/>
      <c r="N13" s="569"/>
      <c r="O13" s="569"/>
      <c r="P13" s="569"/>
      <c r="Q13" s="348">
        <f>SUM(D13:N13)</f>
        <v>4641</v>
      </c>
      <c r="R13" s="569"/>
    </row>
    <row r="14" spans="2:29" ht="15.95" customHeight="1">
      <c r="B14" s="1447"/>
      <c r="C14" s="565" t="s">
        <v>4671</v>
      </c>
      <c r="D14" s="570"/>
      <c r="E14" s="570"/>
      <c r="F14" s="570"/>
      <c r="G14" s="570"/>
      <c r="H14" s="570"/>
      <c r="I14" s="570"/>
      <c r="J14" s="570"/>
      <c r="K14" s="570"/>
      <c r="L14" s="570"/>
      <c r="M14" s="570"/>
      <c r="N14" s="570"/>
      <c r="O14" s="572">
        <f>SUM('Share, Heavy Weapons to Ukraine'!AL12:AL49)-P14</f>
        <v>286.33333333333326</v>
      </c>
      <c r="P14" s="570">
        <f>SUM('Share, Heavy Weapons to Ukraine'!AZ12:AZ49)</f>
        <v>471</v>
      </c>
      <c r="Q14" s="572">
        <f>SUM(O14:P14)</f>
        <v>757.33333333333326</v>
      </c>
      <c r="R14" s="571">
        <f>Q14/SUM(Q12:Q13)</f>
        <v>4.8634300881924816E-2</v>
      </c>
      <c r="S14" s="564"/>
    </row>
    <row r="15" spans="2:29" ht="15.95" customHeight="1">
      <c r="B15" s="1448" t="s">
        <v>4672</v>
      </c>
      <c r="C15" s="268" t="s">
        <v>4670</v>
      </c>
      <c r="D15" s="569"/>
      <c r="E15" s="569"/>
      <c r="F15" s="569"/>
      <c r="G15" s="569"/>
      <c r="H15" s="569"/>
      <c r="I15" s="569"/>
      <c r="J15" s="569">
        <f>VLOOKUP(J11,'Share, Heavy Weapons to Ukraine'!$B:$AX,COLUMN('Share, Heavy Weapons to Ukraine'!$AC$12)-1,FALSE)</f>
        <v>2538</v>
      </c>
      <c r="K15" s="569">
        <f>VLOOKUP(K11,'Share, Heavy Weapons to Ukraine'!$B:$AX,COLUMN('Share, Heavy Weapons to Ukraine'!$AC$12)-1,FALSE)</f>
        <v>1385</v>
      </c>
      <c r="L15" s="569">
        <f>VLOOKUP(L11,'Share, Heavy Weapons to Ukraine'!$B:$AX,COLUMN('Share, Heavy Weapons to Ukraine'!$AC$12)-1,FALSE)</f>
        <v>117</v>
      </c>
      <c r="M15" s="569"/>
      <c r="N15" s="348">
        <f>'Share, Heavy Weapons to Ukraine'!AC51-SUM(J15:L15)</f>
        <v>90.33333333333303</v>
      </c>
      <c r="O15" s="569"/>
      <c r="P15" s="569"/>
      <c r="Q15" s="348">
        <f>SUM(D15:N15)</f>
        <v>4130.333333333333</v>
      </c>
      <c r="R15" s="569"/>
    </row>
    <row r="16" spans="2:29" ht="15.95" customHeight="1">
      <c r="B16" s="1449"/>
      <c r="C16" s="268" t="s">
        <v>355</v>
      </c>
      <c r="D16" s="569">
        <f>VLOOKUP(D11,'Share, Heavy Weapons to Ukraine'!$B:$AX,COLUMN('Share, Heavy Weapons to Ukraine'!$AC$12)-1,FALSE)</f>
        <v>672</v>
      </c>
      <c r="G16" s="569">
        <f>VLOOKUP(G11,'Share, Heavy Weapons to Ukraine'!$B:$AX,COLUMN('Share, Heavy Weapons to Ukraine'!$AC$12)-1,FALSE)</f>
        <v>351</v>
      </c>
      <c r="H16" s="569">
        <f>VLOOKUP(H11,'Share, Heavy Weapons to Ukraine'!$B:$AX,COLUMN('Share, Heavy Weapons to Ukraine'!$AC$12)-1,FALSE)</f>
        <v>357</v>
      </c>
      <c r="I16" s="348">
        <f>'Share, Heavy Weapons to Ukraine'!AC52-SUM(D16:H16)</f>
        <v>1276.666666666667</v>
      </c>
      <c r="J16" s="569"/>
      <c r="K16" s="569"/>
      <c r="L16" s="569"/>
      <c r="M16" s="569"/>
      <c r="N16" s="569"/>
      <c r="O16" s="569"/>
      <c r="P16" s="569"/>
      <c r="Q16" s="348">
        <f>SUM(D16:N16)</f>
        <v>2656.666666666667</v>
      </c>
      <c r="R16" s="569"/>
    </row>
    <row r="17" spans="2:19" ht="15.95" customHeight="1">
      <c r="B17" s="1450"/>
      <c r="C17" s="565" t="s">
        <v>4671</v>
      </c>
      <c r="D17" s="570"/>
      <c r="E17" s="570"/>
      <c r="F17" s="570"/>
      <c r="G17" s="570"/>
      <c r="H17" s="570"/>
      <c r="I17" s="570"/>
      <c r="J17" s="570"/>
      <c r="K17" s="570"/>
      <c r="L17" s="570"/>
      <c r="M17" s="570"/>
      <c r="N17" s="570"/>
      <c r="O17" s="570">
        <f>SUM('Share, Heavy Weapons to Ukraine'!AR12:AR49)-P17</f>
        <v>177</v>
      </c>
      <c r="P17" s="570">
        <f>SUM('Share, Heavy Weapons to Ukraine'!BF12:BF49)</f>
        <v>379</v>
      </c>
      <c r="Q17" s="570">
        <f>SUM(O17:P17)</f>
        <v>556</v>
      </c>
      <c r="R17" s="571">
        <f>Q17/SUM(Q15:Q16)</f>
        <v>8.1921320170914982E-2</v>
      </c>
      <c r="S17" s="564"/>
    </row>
    <row r="18" spans="2:19" ht="15.95" customHeight="1">
      <c r="B18" s="1445" t="s">
        <v>4640</v>
      </c>
      <c r="C18" s="268" t="s">
        <v>4670</v>
      </c>
      <c r="D18" s="569"/>
      <c r="E18" s="569"/>
      <c r="F18" s="569"/>
      <c r="G18" s="569"/>
      <c r="H18" s="569"/>
      <c r="I18" s="569"/>
      <c r="J18" s="569">
        <f>VLOOKUP(J11,'Share, Heavy Weapons to Ukraine'!$B:$AX,COLUMN('Share, Heavy Weapons to Ukraine'!$AD$12)-1,FALSE)</f>
        <v>635</v>
      </c>
      <c r="K18" s="569">
        <f>VLOOKUP(K11,'Share, Heavy Weapons to Ukraine'!$B:$AX,COLUMN('Share, Heavy Weapons to Ukraine'!$AD$12)-1,FALSE)</f>
        <v>146</v>
      </c>
      <c r="L18" s="569">
        <f>VLOOKUP(L11,'Share, Heavy Weapons to Ukraine'!$B:$AX,COLUMN('Share, Heavy Weapons to Ukraine'!$AD$12)-1,FALSE)</f>
        <v>35</v>
      </c>
      <c r="M18" s="569"/>
      <c r="N18" s="569">
        <f>'Share, Heavy Weapons to Ukraine'!AD51-SUM(J18:L18)</f>
        <v>12</v>
      </c>
      <c r="O18" s="569"/>
      <c r="P18" s="569"/>
      <c r="Q18" s="569">
        <f>SUM(D18:N18)</f>
        <v>828</v>
      </c>
      <c r="R18" s="569"/>
    </row>
    <row r="19" spans="2:19" ht="15.95" customHeight="1">
      <c r="B19" s="1446"/>
      <c r="C19" s="268" t="s">
        <v>355</v>
      </c>
      <c r="D19" s="569">
        <f>VLOOKUP(D11,'Share, Heavy Weapons to Ukraine'!$B:$AX,COLUMN('Share, Heavy Weapons to Ukraine'!$AD$12)-1,FALSE)</f>
        <v>145</v>
      </c>
      <c r="E19" s="569">
        <f>VLOOKUP(E11,'Share, Heavy Weapons to Ukraine'!$B:$AX,COLUMN('Share, Heavy Weapons to Ukraine'!$AD$12)-1,FALSE)</f>
        <v>179</v>
      </c>
      <c r="F19" s="569"/>
      <c r="G19" s="569">
        <f>VLOOKUP(G11,'Share, Heavy Weapons to Ukraine'!$B:$AX,COLUMN('Share, Heavy Weapons to Ukraine'!$AD$12)-1,FALSE)</f>
        <v>188</v>
      </c>
      <c r="H19" s="569"/>
      <c r="I19" s="569">
        <f>'Share, Heavy Weapons to Ukraine'!AD52-SUM(D19:H19)</f>
        <v>312</v>
      </c>
      <c r="J19" s="569"/>
      <c r="K19" s="569"/>
      <c r="L19" s="569"/>
      <c r="M19" s="569"/>
      <c r="N19" s="569"/>
      <c r="O19" s="569"/>
      <c r="P19" s="569"/>
      <c r="Q19" s="569">
        <f>SUM(D19:N19)</f>
        <v>824</v>
      </c>
      <c r="R19" s="569"/>
    </row>
    <row r="20" spans="2:19" ht="15.95" customHeight="1">
      <c r="B20" s="1447"/>
      <c r="C20" s="565" t="s">
        <v>4671</v>
      </c>
      <c r="D20" s="570"/>
      <c r="E20" s="570"/>
      <c r="F20" s="570"/>
      <c r="G20" s="570"/>
      <c r="H20" s="570"/>
      <c r="J20" s="570"/>
      <c r="K20" s="570"/>
      <c r="L20" s="570"/>
      <c r="M20" s="570"/>
      <c r="N20" s="570"/>
      <c r="O20" s="572">
        <f>SUM('Share, Heavy Weapons to Ukraine'!AS12:AS49)-P20</f>
        <v>23</v>
      </c>
      <c r="P20" s="572">
        <f>SUM('Share, Heavy Weapons to Ukraine'!BG12:BG49)</f>
        <v>66</v>
      </c>
      <c r="Q20" s="572">
        <f>SUM(O20:P20)</f>
        <v>89</v>
      </c>
      <c r="R20" s="571">
        <f>Q20/SUM(Q18:Q19)</f>
        <v>5.387409200968523E-2</v>
      </c>
      <c r="S20" s="564"/>
    </row>
    <row r="21" spans="2:19" s="11" customFormat="1" ht="15.95" customHeight="1">
      <c r="B21" s="562" t="s">
        <v>4673</v>
      </c>
      <c r="C21" s="563"/>
      <c r="D21" s="652" t="s">
        <v>4674</v>
      </c>
      <c r="E21" s="652" t="s">
        <v>4675</v>
      </c>
      <c r="F21" s="652" t="s">
        <v>4676</v>
      </c>
      <c r="G21" s="652" t="s">
        <v>4677</v>
      </c>
      <c r="H21" s="652" t="s">
        <v>4678</v>
      </c>
      <c r="I21" s="652" t="s">
        <v>4679</v>
      </c>
      <c r="J21" s="652" t="s">
        <v>4680</v>
      </c>
      <c r="K21" s="652" t="s">
        <v>4681</v>
      </c>
      <c r="L21" s="652" t="s">
        <v>4682</v>
      </c>
      <c r="M21" s="652" t="s">
        <v>4683</v>
      </c>
      <c r="N21" s="573"/>
      <c r="O21" s="573"/>
      <c r="P21" s="573"/>
      <c r="Q21" s="573"/>
      <c r="R21" s="574"/>
      <c r="S21" s="335"/>
    </row>
  </sheetData>
  <mergeCells count="4">
    <mergeCell ref="B12:B14"/>
    <mergeCell ref="B15:B17"/>
    <mergeCell ref="B18:B20"/>
    <mergeCell ref="B4:H9"/>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59999389629810485"/>
  </sheetPr>
  <dimension ref="B1:P44"/>
  <sheetViews>
    <sheetView zoomScaleNormal="100" workbookViewId="0"/>
  </sheetViews>
  <sheetFormatPr defaultColWidth="8.625" defaultRowHeight="15.95" customHeight="1"/>
  <cols>
    <col min="1" max="1" width="8.625" style="2" customWidth="1"/>
    <col min="2" max="2" width="25.5" style="2" customWidth="1"/>
    <col min="3" max="3" width="35.625" style="261" bestFit="1" customWidth="1"/>
    <col min="4" max="4" width="23.625" style="261" bestFit="1" customWidth="1"/>
    <col min="5" max="5" width="24.625" style="261" bestFit="1" customWidth="1"/>
    <col min="6" max="6" width="29.375" style="261" bestFit="1" customWidth="1"/>
    <col min="7" max="7" width="25.625" style="261" bestFit="1" customWidth="1"/>
    <col min="8" max="8" width="18.5" style="261" customWidth="1"/>
    <col min="9" max="9" width="25.375" style="261" bestFit="1" customWidth="1"/>
    <col min="10" max="10" width="17.625" style="261" customWidth="1"/>
    <col min="11" max="11" width="57.375" style="261" bestFit="1" customWidth="1"/>
    <col min="12" max="12" width="48.375" style="261" customWidth="1"/>
    <col min="13" max="14" width="38" style="261" customWidth="1"/>
    <col min="15" max="15" width="8.625" style="2" customWidth="1"/>
    <col min="16" max="25" width="8.625" style="2"/>
    <col min="26" max="26" width="15" style="2" customWidth="1"/>
    <col min="27" max="16384" width="8.625" style="2"/>
  </cols>
  <sheetData>
    <row r="1" spans="2:16" s="35" customFormat="1" ht="15.95" customHeight="1">
      <c r="B1" s="39"/>
      <c r="C1" s="146"/>
      <c r="D1" s="146"/>
      <c r="E1" s="146"/>
      <c r="F1" s="146"/>
      <c r="G1" s="39"/>
      <c r="H1" s="39"/>
      <c r="I1" s="39"/>
      <c r="J1" s="39"/>
      <c r="K1" s="39"/>
      <c r="L1" s="39"/>
      <c r="M1" s="39"/>
      <c r="N1" s="39"/>
    </row>
    <row r="2" spans="2:16" s="473" customFormat="1" ht="24.75" customHeight="1">
      <c r="B2" s="472" t="s">
        <v>4684</v>
      </c>
    </row>
    <row r="3" spans="2:16" s="39" customFormat="1" ht="15.95" customHeight="1">
      <c r="B3" s="369"/>
    </row>
    <row r="4" spans="2:16" s="39" customFormat="1" ht="15.95" customHeight="1">
      <c r="B4" s="1438" t="s">
        <v>4685</v>
      </c>
      <c r="C4" s="1438"/>
      <c r="D4" s="1438"/>
      <c r="E4" s="1438"/>
      <c r="F4" s="393"/>
      <c r="G4" s="393"/>
    </row>
    <row r="5" spans="2:16" s="114" customFormat="1" ht="15.95" customHeight="1">
      <c r="B5" s="1438"/>
      <c r="C5" s="1438"/>
      <c r="D5" s="1438"/>
      <c r="E5" s="1438"/>
      <c r="F5" s="393"/>
      <c r="G5" s="393"/>
    </row>
    <row r="6" spans="2:16" s="114" customFormat="1" ht="15.95" customHeight="1">
      <c r="B6" s="1438"/>
      <c r="C6" s="1438"/>
      <c r="D6" s="1438"/>
      <c r="E6" s="1438"/>
      <c r="F6" s="393"/>
      <c r="G6" s="393"/>
    </row>
    <row r="7" spans="2:16" s="114" customFormat="1" ht="15.95" customHeight="1">
      <c r="B7" s="1438"/>
      <c r="C7" s="1438"/>
      <c r="D7" s="1438"/>
      <c r="E7" s="1438"/>
      <c r="F7" s="393"/>
      <c r="G7" s="393"/>
    </row>
    <row r="8" spans="2:16" s="114" customFormat="1" ht="15.95" customHeight="1">
      <c r="B8" s="1438"/>
      <c r="C8" s="1438"/>
      <c r="D8" s="1438"/>
      <c r="E8" s="1438"/>
      <c r="F8" s="393"/>
      <c r="G8" s="393"/>
    </row>
    <row r="9" spans="2:16" s="114" customFormat="1" ht="15.95" customHeight="1">
      <c r="B9" s="1438"/>
      <c r="C9" s="1438"/>
      <c r="D9" s="1438"/>
      <c r="E9" s="1438"/>
      <c r="F9" s="393"/>
      <c r="G9" s="393"/>
    </row>
    <row r="11" spans="2:16" s="11" customFormat="1" ht="24.75" customHeight="1">
      <c r="B11" s="368" t="s">
        <v>4512</v>
      </c>
      <c r="C11" s="437" t="s">
        <v>4686</v>
      </c>
      <c r="D11" s="437" t="s">
        <v>4687</v>
      </c>
      <c r="E11" s="437" t="s">
        <v>4688</v>
      </c>
      <c r="F11" s="437" t="s">
        <v>4689</v>
      </c>
      <c r="G11" s="437" t="s">
        <v>4690</v>
      </c>
      <c r="H11" s="437" t="s">
        <v>4691</v>
      </c>
      <c r="I11" s="437" t="s">
        <v>4692</v>
      </c>
      <c r="J11" s="437" t="s">
        <v>4693</v>
      </c>
      <c r="K11" s="437" t="s">
        <v>4694</v>
      </c>
      <c r="L11" s="437" t="s">
        <v>4695</v>
      </c>
      <c r="M11" s="437" t="s">
        <v>4696</v>
      </c>
      <c r="N11" s="437" t="s">
        <v>4697</v>
      </c>
      <c r="P11" s="470" t="s">
        <v>4698</v>
      </c>
    </row>
    <row r="12" spans="2:16" ht="15.95" customHeight="1">
      <c r="B12" s="2" t="s">
        <v>1012</v>
      </c>
      <c r="C12" s="261">
        <f>(VLOOKUP(B12,'Share, Heavy Weapons to Ukraine'!B:CK,COLUMN('Share, Heavy Weapons to Ukraine'!$BN$11)-1,FALSE)+VLOOKUP(B12,'Share, Heavy Weapons to Ukraine'!B:CK,COLUMN('Share, Heavy Weapons to Ukraine'!$BS$11)-1,FALSE)+VLOOKUP(B12,'Share, Heavy Weapons to Ukraine'!B:CK,COLUMN('Share, Heavy Weapons to Ukraine'!$BT$11)-1,FALSE)+VLOOKUP(B12,'Share, Heavy Weapons to Ukraine'!B:CK,COLUMN('Share, Heavy Weapons to Ukraine'!$BU$11)-1,FALSE))/4</f>
        <v>0.43915011391773273</v>
      </c>
      <c r="D12" s="261">
        <f>(VLOOKUP(B12,'Share, Heavy Weapons to Ukraine'!B:CK,COLUMN('Share, Heavy Weapons to Ukraine'!$BN$11)-1,FALSE)+VLOOKUP(B12,'Share, Heavy Weapons to Ukraine'!B:CK,COLUMN('Share, Heavy Weapons to Ukraine'!$BR$11)-1,FALSE)+VLOOKUP(B12,'Share, Heavy Weapons to Ukraine'!B:CK,COLUMN('Share, Heavy Weapons to Ukraine'!$BT$11)-1,FALSE)+VLOOKUP(B12,'Share, Heavy Weapons to Ukraine'!B:CK,COLUMN('Share, Heavy Weapons to Ukraine'!$BU$11)-1,FALSE))/4</f>
        <v>0.43983451723371492</v>
      </c>
      <c r="E12" s="261">
        <f>(VLOOKUP(B12,'Share, Heavy Weapons to Ukraine'!B:CK,COLUMN('Share, Heavy Weapons to Ukraine'!$CB$11)-1,FALSE)+VLOOKUP(B12,'Share, Heavy Weapons to Ukraine'!B:CK,COLUMN('Share, Heavy Weapons to Ukraine'!$CH$11)-1,FALSE)+VLOOKUP(B12,'Share, Heavy Weapons to Ukraine'!B:CK,COLUMN('Share, Heavy Weapons to Ukraine'!$CI$11)-1,FALSE))/3</f>
        <v>0.58302721955948311</v>
      </c>
      <c r="F12" s="261">
        <f>G12-E12</f>
        <v>0</v>
      </c>
      <c r="G12" s="261">
        <f>(VLOOKUP(B12,'Share, Heavy Weapons to Ukraine'!B:CK,COLUMN('Share, Heavy Weapons to Ukraine'!$BN$11)-1,FALSE)+VLOOKUP(B12,'Share, Heavy Weapons to Ukraine'!B:CK,COLUMN('Share, Heavy Weapons to Ukraine'!$BT$11)-1,FALSE)+VLOOKUP(B12,'Share, Heavy Weapons to Ukraine'!B:CK,COLUMN('Share, Heavy Weapons to Ukraine'!$BU$11)-1,FALSE))/3</f>
        <v>0.58302721955948311</v>
      </c>
      <c r="H12" s="261">
        <f>(VLOOKUP(B12,'Share, Heavy Weapons to Ukraine'!B:CK,COLUMN('Share, Heavy Weapons to Ukraine'!$BN$11)-1,FALSE))</f>
        <v>0.74789915966386555</v>
      </c>
      <c r="I12" s="261">
        <f>VLOOKUP(B12,'Share, Heavy Weapons to Ukraine'!B:CK,COLUMN('Share, Heavy Weapons to Ukraine'!$BT$11)-1,FALSE)</f>
        <v>0.44186046511627908</v>
      </c>
      <c r="J12" s="261">
        <f>VLOOKUP(B12,'Share, Heavy Weapons to Ukraine'!B:CK,COLUMN('Share, Heavy Weapons to Ukraine'!$BU$11)-1,FALSE)</f>
        <v>0.55932203389830504</v>
      </c>
      <c r="K12" s="261">
        <f>VLOOKUP(B12,'Share, Heavy Weapons to Ukraine'!B:CK,COLUMN('Share, Heavy Weapons to Ukraine'!$BW$11)-1,FALSE)</f>
        <v>0</v>
      </c>
      <c r="L12" s="261">
        <f>VLOOKUP(B12,'Share, Heavy Weapons to Ukraine'!B:CK,COLUMN('Share, Heavy Weapons to Ukraine'!$BX$11)-1,FALSE)</f>
        <v>0</v>
      </c>
      <c r="M12" s="261">
        <f>VLOOKUP(B12,'Share, Heavy Weapons to Ukraine'!B:CK,COLUMN('Share, Heavy Weapons to Ukraine'!$BY$11)-1,FALSE)</f>
        <v>1</v>
      </c>
      <c r="N12" s="261">
        <f>VLOOKUP(B12,'Share, Heavy Weapons to Ukraine'!B:CK,COLUMN('Share, Heavy Weapons to Ukraine'!$BZ$11)-1,FALSE)</f>
        <v>0</v>
      </c>
    </row>
    <row r="13" spans="2:16" ht="15.95" customHeight="1">
      <c r="B13" s="2" t="s">
        <v>2693</v>
      </c>
      <c r="C13" s="261">
        <f>(VLOOKUP(B13,'Share, Heavy Weapons to Ukraine'!B:CK,COLUMN('Share, Heavy Weapons to Ukraine'!$BN$11)-1,FALSE)+VLOOKUP(B13,'Share, Heavy Weapons to Ukraine'!B:CK,COLUMN('Share, Heavy Weapons to Ukraine'!$BS$11)-1,FALSE)+VLOOKUP(B13,'Share, Heavy Weapons to Ukraine'!B:CK,COLUMN('Share, Heavy Weapons to Ukraine'!$BT$11)-1,FALSE)+VLOOKUP(B13,'Share, Heavy Weapons to Ukraine'!B:CK,COLUMN('Share, Heavy Weapons to Ukraine'!$BU$11)-1,FALSE))/4</f>
        <v>0.33956043956043958</v>
      </c>
      <c r="D13" s="261">
        <f>(VLOOKUP(B13,'Share, Heavy Weapons to Ukraine'!B:CK,COLUMN('Share, Heavy Weapons to Ukraine'!$BN$11)-1,FALSE)+VLOOKUP(B13,'Share, Heavy Weapons to Ukraine'!B:CK,COLUMN('Share, Heavy Weapons to Ukraine'!$BR$11)-1,FALSE)+VLOOKUP(B13,'Share, Heavy Weapons to Ukraine'!B:CK,COLUMN('Share, Heavy Weapons to Ukraine'!$BT$11)-1,FALSE)+VLOOKUP(B13,'Share, Heavy Weapons to Ukraine'!B:CK,COLUMN('Share, Heavy Weapons to Ukraine'!$BU$11)-1,FALSE))/4</f>
        <v>0.40913997840949978</v>
      </c>
      <c r="E13" s="261">
        <f>(VLOOKUP(B13,'Share, Heavy Weapons to Ukraine'!B:CK,COLUMN('Share, Heavy Weapons to Ukraine'!$CB$11)-1,FALSE)+VLOOKUP(B13,'Share, Heavy Weapons to Ukraine'!B:CK,COLUMN('Share, Heavy Weapons to Ukraine'!$CH$11)-1,FALSE)+VLOOKUP(B13,'Share, Heavy Weapons to Ukraine'!B:CK,COLUMN('Share, Heavy Weapons to Ukraine'!$CI$11)-1,FALSE))/3</f>
        <v>0.11716791979949875</v>
      </c>
      <c r="F13" s="261">
        <f>G13-E13</f>
        <v>0.26378446115288218</v>
      </c>
      <c r="G13" s="261">
        <f>(VLOOKUP(B13,'Share, Heavy Weapons to Ukraine'!B:CK,COLUMN('Share, Heavy Weapons to Ukraine'!$BN$11)-1,FALSE)+VLOOKUP(B13,'Share, Heavy Weapons to Ukraine'!B:CK,COLUMN('Share, Heavy Weapons to Ukraine'!$BT$11)-1,FALSE)+VLOOKUP(B13,'Share, Heavy Weapons to Ukraine'!B:CK,COLUMN('Share, Heavy Weapons to Ukraine'!$BU$11)-1,FALSE))/3</f>
        <v>0.38095238095238093</v>
      </c>
      <c r="H13" s="261">
        <f>(VLOOKUP(B13,'Share, Heavy Weapons to Ukraine'!B:CK,COLUMN('Share, Heavy Weapons to Ukraine'!$BN$11)-1,FALSE))</f>
        <v>1</v>
      </c>
      <c r="I13" s="261">
        <f>VLOOKUP(B13,'Share, Heavy Weapons to Ukraine'!B:CK,COLUMN('Share, Heavy Weapons to Ukraine'!$BT$11)-1,FALSE)</f>
        <v>0.14285714285714285</v>
      </c>
      <c r="J13" s="261">
        <f>VLOOKUP(B13,'Share, Heavy Weapons to Ukraine'!B:CK,COLUMN('Share, Heavy Weapons to Ukraine'!$BU$11)-1,FALSE)</f>
        <v>0</v>
      </c>
      <c r="K13" s="261">
        <f>VLOOKUP(B13,'Share, Heavy Weapons to Ukraine'!B:CK,COLUMN('Share, Heavy Weapons to Ukraine'!$BW$11)-1,FALSE)</f>
        <v>0.1111111111111111</v>
      </c>
      <c r="L13" s="261">
        <f>VLOOKUP(B13,'Share, Heavy Weapons to Ukraine'!B:CK,COLUMN('Share, Heavy Weapons to Ukraine'!$BX$11)-1,FALSE)</f>
        <v>0</v>
      </c>
      <c r="M13" s="261">
        <f>VLOOKUP(B13,'Share, Heavy Weapons to Ukraine'!B:CK,COLUMN('Share, Heavy Weapons to Ukraine'!$BY$11)-1,FALSE)</f>
        <v>0</v>
      </c>
      <c r="N13" s="261">
        <f>VLOOKUP(B13,'Share, Heavy Weapons to Ukraine'!B:CK,COLUMN('Share, Heavy Weapons to Ukraine'!$BZ$11)-1,FALSE)</f>
        <v>0</v>
      </c>
    </row>
    <row r="14" spans="2:16" ht="15.95" customHeight="1">
      <c r="B14" s="2" t="s">
        <v>1194</v>
      </c>
      <c r="C14" s="261">
        <f>(VLOOKUP(B14,'Share, Heavy Weapons to Ukraine'!B:CK,COLUMN('Share, Heavy Weapons to Ukraine'!$BN$11)-1,FALSE)+VLOOKUP(B14,'Share, Heavy Weapons to Ukraine'!B:CK,COLUMN('Share, Heavy Weapons to Ukraine'!$BS$11)-1,FALSE)+VLOOKUP(B14,'Share, Heavy Weapons to Ukraine'!B:CK,COLUMN('Share, Heavy Weapons to Ukraine'!$BT$11)-1,FALSE)+VLOOKUP(B14,'Share, Heavy Weapons to Ukraine'!B:CK,COLUMN('Share, Heavy Weapons to Ukraine'!$BU$11)-1,FALSE))/4</f>
        <v>0.30572500990968471</v>
      </c>
      <c r="D14" s="261">
        <f>(VLOOKUP(B14,'Share, Heavy Weapons to Ukraine'!B:CK,COLUMN('Share, Heavy Weapons to Ukraine'!$BN$11)-1,FALSE)+VLOOKUP(B14,'Share, Heavy Weapons to Ukraine'!B:CK,COLUMN('Share, Heavy Weapons to Ukraine'!$BR$11)-1,FALSE)+VLOOKUP(B14,'Share, Heavy Weapons to Ukraine'!B:CK,COLUMN('Share, Heavy Weapons to Ukraine'!$BT$11)-1,FALSE)+VLOOKUP(B14,'Share, Heavy Weapons to Ukraine'!B:CK,COLUMN('Share, Heavy Weapons to Ukraine'!$BU$11)-1,FALSE))/4</f>
        <v>0.27918573177804989</v>
      </c>
      <c r="E14" s="261">
        <f>(VLOOKUP(B14,'Share, Heavy Weapons to Ukraine'!B:CK,COLUMN('Share, Heavy Weapons to Ukraine'!$CB$11)-1,FALSE)+VLOOKUP(B14,'Share, Heavy Weapons to Ukraine'!B:CK,COLUMN('Share, Heavy Weapons to Ukraine'!$CH$11)-1,FALSE)+VLOOKUP(B14,'Share, Heavy Weapons to Ukraine'!B:CK,COLUMN('Share, Heavy Weapons to Ukraine'!$CI$11)-1,FALSE))/3</f>
        <v>0.16101694915254239</v>
      </c>
      <c r="F14" s="261">
        <f>G14-E14</f>
        <v>0.21123069321819082</v>
      </c>
      <c r="G14" s="261">
        <f>(VLOOKUP(B14,'Share, Heavy Weapons to Ukraine'!B:CK,COLUMN('Share, Heavy Weapons to Ukraine'!$BN$11)-1,FALSE)+VLOOKUP(B14,'Share, Heavy Weapons to Ukraine'!B:CK,COLUMN('Share, Heavy Weapons to Ukraine'!$BT$11)-1,FALSE)+VLOOKUP(B14,'Share, Heavy Weapons to Ukraine'!B:CK,COLUMN('Share, Heavy Weapons to Ukraine'!$BU$11)-1,FALSE))/3</f>
        <v>0.37224764237073321</v>
      </c>
      <c r="H14" s="261">
        <f>(VLOOKUP(B14,'Share, Heavy Weapons to Ukraine'!B:CK,COLUMN('Share, Heavy Weapons to Ukraine'!$BN$11)-1,FALSE))</f>
        <v>0.49809885931558939</v>
      </c>
      <c r="I14" s="261">
        <f>VLOOKUP(B14,'Share, Heavy Weapons to Ukraine'!B:CK,COLUMN('Share, Heavy Weapons to Ukraine'!$BT$11)-1,FALSE)</f>
        <v>0.61864406779661019</v>
      </c>
      <c r="J14" s="261">
        <f>VLOOKUP(B14,'Share, Heavy Weapons to Ukraine'!B:CK,COLUMN('Share, Heavy Weapons to Ukraine'!$BU$11)-1,FALSE)</f>
        <v>0</v>
      </c>
      <c r="K14" s="261">
        <f>VLOOKUP(B14,'Share, Heavy Weapons to Ukraine'!B:CK,COLUMN('Share, Heavy Weapons to Ukraine'!$BW$11)-1,FALSE)</f>
        <v>0</v>
      </c>
      <c r="L14" s="261">
        <f>VLOOKUP(B14,'Share, Heavy Weapons to Ukraine'!B:CK,COLUMN('Share, Heavy Weapons to Ukraine'!$BX$11)-1,FALSE)</f>
        <v>0</v>
      </c>
      <c r="M14" s="261">
        <f>VLOOKUP(B14,'Share, Heavy Weapons to Ukraine'!B:CK,COLUMN('Share, Heavy Weapons to Ukraine'!$BY$11)-1,FALSE)</f>
        <v>0</v>
      </c>
      <c r="N14" s="261">
        <f>VLOOKUP(B14,'Share, Heavy Weapons to Ukraine'!B:CK,COLUMN('Share, Heavy Weapons to Ukraine'!$BZ$11)-1,FALSE)</f>
        <v>0</v>
      </c>
    </row>
    <row r="15" spans="2:16" ht="15.95" customHeight="1">
      <c r="B15" s="2" t="s">
        <v>2882</v>
      </c>
      <c r="C15" s="261">
        <f>(VLOOKUP(B15,'Share, Heavy Weapons to Ukraine'!B:CK,COLUMN('Share, Heavy Weapons to Ukraine'!$BN$11)-1,FALSE)+VLOOKUP(B15,'Share, Heavy Weapons to Ukraine'!B:CK,COLUMN('Share, Heavy Weapons to Ukraine'!$BS$11)-1,FALSE)+VLOOKUP(B15,'Share, Heavy Weapons to Ukraine'!B:CK,COLUMN('Share, Heavy Weapons to Ukraine'!$BT$11)-1,FALSE)+VLOOKUP(B15,'Share, Heavy Weapons to Ukraine'!B:CK,COLUMN('Share, Heavy Weapons to Ukraine'!$BU$11)-1,FALSE))/4</f>
        <v>0.23430263384156824</v>
      </c>
      <c r="D15" s="261">
        <f>(VLOOKUP(B15,'Share, Heavy Weapons to Ukraine'!B:CK,COLUMN('Share, Heavy Weapons to Ukraine'!$BN$11)-1,FALSE)+VLOOKUP(B15,'Share, Heavy Weapons to Ukraine'!B:CK,COLUMN('Share, Heavy Weapons to Ukraine'!$BR$11)-1,FALSE)+VLOOKUP(B15,'Share, Heavy Weapons to Ukraine'!B:CK,COLUMN('Share, Heavy Weapons to Ukraine'!$BT$11)-1,FALSE)+VLOOKUP(B15,'Share, Heavy Weapons to Ukraine'!B:CK,COLUMN('Share, Heavy Weapons to Ukraine'!$BU$11)-1,FALSE))/4</f>
        <v>0.22908653846153845</v>
      </c>
      <c r="E15" s="261">
        <f>(VLOOKUP(B15,'Share, Heavy Weapons to Ukraine'!B:CK,COLUMN('Share, Heavy Weapons to Ukraine'!$CB$11)-1,FALSE)+VLOOKUP(B15,'Share, Heavy Weapons to Ukraine'!B:CK,COLUMN('Share, Heavy Weapons to Ukraine'!$CH$11)-1,FALSE)+VLOOKUP(B15,'Share, Heavy Weapons to Ukraine'!B:CK,COLUMN('Share, Heavy Weapons to Ukraine'!$CI$11)-1,FALSE))/3</f>
        <v>0.22083333333333333</v>
      </c>
      <c r="F15" s="261">
        <f>G15-E15</f>
        <v>8.4615384615384592E-2</v>
      </c>
      <c r="G15" s="261">
        <f>(VLOOKUP(B15,'Share, Heavy Weapons to Ukraine'!B:CK,COLUMN('Share, Heavy Weapons to Ukraine'!$BN$11)-1,FALSE)+VLOOKUP(B15,'Share, Heavy Weapons to Ukraine'!B:CK,COLUMN('Share, Heavy Weapons to Ukraine'!$BT$11)-1,FALSE)+VLOOKUP(B15,'Share, Heavy Weapons to Ukraine'!B:CK,COLUMN('Share, Heavy Weapons to Ukraine'!$BU$11)-1,FALSE))/3</f>
        <v>0.30544871794871792</v>
      </c>
      <c r="H15" s="261">
        <f>(VLOOKUP(B15,'Share, Heavy Weapons to Ukraine'!B:CK,COLUMN('Share, Heavy Weapons to Ukraine'!$BN$11)-1,FALSE))</f>
        <v>0.15384615384615385</v>
      </c>
      <c r="I15" s="261">
        <f>VLOOKUP(B15,'Share, Heavy Weapons to Ukraine'!B:CK,COLUMN('Share, Heavy Weapons to Ukraine'!$BT$11)-1,FALSE)</f>
        <v>0.51249999999999996</v>
      </c>
      <c r="J15" s="261">
        <f>VLOOKUP(B15,'Share, Heavy Weapons to Ukraine'!B:CK,COLUMN('Share, Heavy Weapons to Ukraine'!$BU$11)-1,FALSE)</f>
        <v>0.25</v>
      </c>
      <c r="K15" s="261">
        <f>VLOOKUP(B15,'Share, Heavy Weapons to Ukraine'!B:CK,COLUMN('Share, Heavy Weapons to Ukraine'!$BW$11)-1,FALSE)</f>
        <v>0</v>
      </c>
      <c r="L15" s="261">
        <f>VLOOKUP(B15,'Share, Heavy Weapons to Ukraine'!B:CK,COLUMN('Share, Heavy Weapons to Ukraine'!$BX$11)-1,FALSE)</f>
        <v>0</v>
      </c>
      <c r="M15" s="261">
        <f>VLOOKUP(B15,'Share, Heavy Weapons to Ukraine'!B:CK,COLUMN('Share, Heavy Weapons to Ukraine'!$BY$11)-1,FALSE)</f>
        <v>8.3333333333333329E-2</v>
      </c>
      <c r="N15" s="261" t="str">
        <f>VLOOKUP(B15,'Share, Heavy Weapons to Ukraine'!B:CK,COLUMN('Share, Heavy Weapons to Ukraine'!$BZ$11)-1,FALSE)</f>
        <v>unknown</v>
      </c>
    </row>
    <row r="16" spans="2:16" ht="15.95" customHeight="1">
      <c r="B16" s="2" t="s">
        <v>1305</v>
      </c>
      <c r="C16" s="261">
        <f>(VLOOKUP(B16,'Share, Heavy Weapons to Ukraine'!B:CK,COLUMN('Share, Heavy Weapons to Ukraine'!$BN$11)-1,FALSE)+VLOOKUP(B16,'Share, Heavy Weapons to Ukraine'!B:CK,COLUMN('Share, Heavy Weapons to Ukraine'!$BS$11)-1,FALSE)+VLOOKUP(B16,'Share, Heavy Weapons to Ukraine'!B:CK,COLUMN('Share, Heavy Weapons to Ukraine'!$BT$11)-1,FALSE)+VLOOKUP(B16,'Share, Heavy Weapons to Ukraine'!B:CK,COLUMN('Share, Heavy Weapons to Ukraine'!$BU$11)-1,FALSE))/4</f>
        <v>0.20940860215053764</v>
      </c>
      <c r="D16" s="261">
        <f>(VLOOKUP(B16,'Share, Heavy Weapons to Ukraine'!B:CK,COLUMN('Share, Heavy Weapons to Ukraine'!$BN$11)-1,FALSE)+VLOOKUP(B16,'Share, Heavy Weapons to Ukraine'!B:CK,COLUMN('Share, Heavy Weapons to Ukraine'!$BR$11)-1,FALSE)+VLOOKUP(B16,'Share, Heavy Weapons to Ukraine'!B:CK,COLUMN('Share, Heavy Weapons to Ukraine'!$BT$11)-1,FALSE)+VLOOKUP(B16,'Share, Heavy Weapons to Ukraine'!B:CK,COLUMN('Share, Heavy Weapons to Ukraine'!$BU$11)-1,FALSE))/4</f>
        <v>0.2</v>
      </c>
      <c r="E16" s="261">
        <f>(VLOOKUP(B16,'Share, Heavy Weapons to Ukraine'!B:CK,COLUMN('Share, Heavy Weapons to Ukraine'!$CB$11)-1,FALSE)+VLOOKUP(B16,'Share, Heavy Weapons to Ukraine'!B:CK,COLUMN('Share, Heavy Weapons to Ukraine'!$CH$11)-1,FALSE)+VLOOKUP(B16,'Share, Heavy Weapons to Ukraine'!B:CK,COLUMN('Share, Heavy Weapons to Ukraine'!$CI$11)-1,FALSE))/3</f>
        <v>0</v>
      </c>
      <c r="F16" s="261">
        <f>G16-E16</f>
        <v>0.26666666666666666</v>
      </c>
      <c r="G16" s="261">
        <f>(VLOOKUP(B16,'Share, Heavy Weapons to Ukraine'!B:CK,COLUMN('Share, Heavy Weapons to Ukraine'!$BN$11)-1,FALSE)+VLOOKUP(B16,'Share, Heavy Weapons to Ukraine'!B:CK,COLUMN('Share, Heavy Weapons to Ukraine'!$BT$11)-1,FALSE)+VLOOKUP(B16,'Share, Heavy Weapons to Ukraine'!B:CK,COLUMN('Share, Heavy Weapons to Ukraine'!$BU$11)-1,FALSE))/3</f>
        <v>0.26666666666666666</v>
      </c>
      <c r="H16" s="261">
        <f>(VLOOKUP(B16,'Share, Heavy Weapons to Ukraine'!B:CK,COLUMN('Share, Heavy Weapons to Ukraine'!$BN$11)-1,FALSE))</f>
        <v>0</v>
      </c>
      <c r="I16" s="261">
        <f>VLOOKUP(B16,'Share, Heavy Weapons to Ukraine'!B:CK,COLUMN('Share, Heavy Weapons to Ukraine'!$BT$11)-1,FALSE)</f>
        <v>0.8</v>
      </c>
      <c r="J16" s="261">
        <f>VLOOKUP(B16,'Share, Heavy Weapons to Ukraine'!B:CK,COLUMN('Share, Heavy Weapons to Ukraine'!$BU$11)-1,FALSE)</f>
        <v>0</v>
      </c>
      <c r="K16" s="261">
        <f>VLOOKUP(B16,'Share, Heavy Weapons to Ukraine'!B:CK,COLUMN('Share, Heavy Weapons to Ukraine'!$BW$11)-1,FALSE)</f>
        <v>0</v>
      </c>
      <c r="L16" s="261">
        <f>VLOOKUP(B16,'Share, Heavy Weapons to Ukraine'!B:CK,COLUMN('Share, Heavy Weapons to Ukraine'!$BX$11)-1,FALSE)</f>
        <v>0</v>
      </c>
      <c r="M16" s="261">
        <f>VLOOKUP(B16,'Share, Heavy Weapons to Ukraine'!B:CK,COLUMN('Share, Heavy Weapons to Ukraine'!$BY$11)-1,FALSE)</f>
        <v>0</v>
      </c>
      <c r="N16" s="261">
        <f>VLOOKUP(B16,'Share, Heavy Weapons to Ukraine'!B:CK,COLUMN('Share, Heavy Weapons to Ukraine'!$BZ$11)-1,FALSE)</f>
        <v>0</v>
      </c>
    </row>
    <row r="17" spans="2:14" ht="15.95" customHeight="1">
      <c r="B17" s="2" t="s">
        <v>3748</v>
      </c>
      <c r="C17" s="261">
        <f>(VLOOKUP(B17,'Share, Heavy Weapons to Ukraine'!B:CK,COLUMN('Share, Heavy Weapons to Ukraine'!$BN$11)-1,FALSE)+VLOOKUP(B17,'Share, Heavy Weapons to Ukraine'!B:CK,COLUMN('Share, Heavy Weapons to Ukraine'!$BS$11)-1,FALSE)+VLOOKUP(B17,'Share, Heavy Weapons to Ukraine'!B:CK,COLUMN('Share, Heavy Weapons to Ukraine'!$BT$11)-1,FALSE)+VLOOKUP(B17,'Share, Heavy Weapons to Ukraine'!B:CK,COLUMN('Share, Heavy Weapons to Ukraine'!$BU$11)-1,FALSE))/4</f>
        <v>0.1944272282582124</v>
      </c>
      <c r="D17" s="261">
        <f>(VLOOKUP(B17,'Share, Heavy Weapons to Ukraine'!B:CK,COLUMN('Share, Heavy Weapons to Ukraine'!$BN$11)-1,FALSE)+VLOOKUP(B17,'Share, Heavy Weapons to Ukraine'!B:CK,COLUMN('Share, Heavy Weapons to Ukraine'!$BR$11)-1,FALSE)+VLOOKUP(B17,'Share, Heavy Weapons to Ukraine'!B:CK,COLUMN('Share, Heavy Weapons to Ukraine'!$BT$11)-1,FALSE)+VLOOKUP(B17,'Share, Heavy Weapons to Ukraine'!B:CK,COLUMN('Share, Heavy Weapons to Ukraine'!$BU$11)-1,FALSE))/4</f>
        <v>0.18220726899140999</v>
      </c>
      <c r="E17" s="261">
        <f>(VLOOKUP(B17,'Share, Heavy Weapons to Ukraine'!B:CK,COLUMN('Share, Heavy Weapons to Ukraine'!$CB$11)-1,FALSE)+VLOOKUP(B17,'Share, Heavy Weapons to Ukraine'!B:CK,COLUMN('Share, Heavy Weapons to Ukraine'!$CH$11)-1,FALSE)+VLOOKUP(B17,'Share, Heavy Weapons to Ukraine'!B:CK,COLUMN('Share, Heavy Weapons to Ukraine'!$CI$11)-1,FALSE))/3</f>
        <v>0.12890151128036589</v>
      </c>
      <c r="F17" s="261">
        <f>G17-E17</f>
        <v>0.11404151404151408</v>
      </c>
      <c r="G17" s="261">
        <f>(VLOOKUP(B17,'Share, Heavy Weapons to Ukraine'!B:CK,COLUMN('Share, Heavy Weapons to Ukraine'!$BN$11)-1,FALSE)+VLOOKUP(B17,'Share, Heavy Weapons to Ukraine'!B:CK,COLUMN('Share, Heavy Weapons to Ukraine'!$BT$11)-1,FALSE)+VLOOKUP(B17,'Share, Heavy Weapons to Ukraine'!B:CK,COLUMN('Share, Heavy Weapons to Ukraine'!$BU$11)-1,FALSE))/3</f>
        <v>0.24294302532187997</v>
      </c>
      <c r="H17" s="261">
        <f>(VLOOKUP(B17,'Share, Heavy Weapons to Ukraine'!B:CK,COLUMN('Share, Heavy Weapons to Ukraine'!$BN$11)-1,FALSE))</f>
        <v>6.1674008810572688E-2</v>
      </c>
      <c r="I17" s="261">
        <f>VLOOKUP(B17,'Share, Heavy Weapons to Ukraine'!B:CK,COLUMN('Share, Heavy Weapons to Ukraine'!$BT$11)-1,FALSE)</f>
        <v>0.49572649572649574</v>
      </c>
      <c r="J17" s="261">
        <f>VLOOKUP(B17,'Share, Heavy Weapons to Ukraine'!B:CK,COLUMN('Share, Heavy Weapons to Ukraine'!$BU$11)-1,FALSE)</f>
        <v>0.17142857142857143</v>
      </c>
      <c r="K17" s="261">
        <f>VLOOKUP(B17,'Share, Heavy Weapons to Ukraine'!B:CK,COLUMN('Share, Heavy Weapons to Ukraine'!$BW$11)-1,FALSE)</f>
        <v>0</v>
      </c>
      <c r="L17" s="261">
        <f>VLOOKUP(B17,'Share, Heavy Weapons to Ukraine'!B:CK,COLUMN('Share, Heavy Weapons to Ukraine'!$BX$11)-1,FALSE)</f>
        <v>0</v>
      </c>
      <c r="M17" s="261">
        <f>VLOOKUP(B17,'Share, Heavy Weapons to Ukraine'!B:CK,COLUMN('Share, Heavy Weapons to Ukraine'!$BY$11)-1,FALSE)</f>
        <v>0</v>
      </c>
      <c r="N17" s="261">
        <f>VLOOKUP(B17,'Share, Heavy Weapons to Ukraine'!B:CK,COLUMN('Share, Heavy Weapons to Ukraine'!$BZ$11)-1,FALSE)</f>
        <v>8.1081081081081086E-2</v>
      </c>
    </row>
    <row r="18" spans="2:14" ht="15.95" customHeight="1">
      <c r="B18" s="2" t="s">
        <v>2989</v>
      </c>
      <c r="C18" s="261">
        <f>(VLOOKUP(B18,'Share, Heavy Weapons to Ukraine'!B:CK,COLUMN('Share, Heavy Weapons to Ukraine'!$BN$11)-1,FALSE)+VLOOKUP(B18,'Share, Heavy Weapons to Ukraine'!B:CK,COLUMN('Share, Heavy Weapons to Ukraine'!$BS$11)-1,FALSE)+VLOOKUP(B18,'Share, Heavy Weapons to Ukraine'!B:CK,COLUMN('Share, Heavy Weapons to Ukraine'!$BT$11)-1,FALSE)+VLOOKUP(B18,'Share, Heavy Weapons to Ukraine'!B:CK,COLUMN('Share, Heavy Weapons to Ukraine'!$BU$11)-1,FALSE))/4</f>
        <v>0.18047897792992867</v>
      </c>
      <c r="D18" s="261">
        <f>(VLOOKUP(B18,'Share, Heavy Weapons to Ukraine'!B:CK,COLUMN('Share, Heavy Weapons to Ukraine'!$BN$11)-1,FALSE)+VLOOKUP(B18,'Share, Heavy Weapons to Ukraine'!B:CK,COLUMN('Share, Heavy Weapons to Ukraine'!$BR$11)-1,FALSE)+VLOOKUP(B18,'Share, Heavy Weapons to Ukraine'!B:CK,COLUMN('Share, Heavy Weapons to Ukraine'!$BT$11)-1,FALSE)+VLOOKUP(B18,'Share, Heavy Weapons to Ukraine'!B:CK,COLUMN('Share, Heavy Weapons to Ukraine'!$BU$11)-1,FALSE))/4</f>
        <v>0.18191929936608989</v>
      </c>
      <c r="E18" s="261">
        <f>(VLOOKUP(B18,'Share, Heavy Weapons to Ukraine'!B:CK,COLUMN('Share, Heavy Weapons to Ukraine'!$CB$11)-1,FALSE)+VLOOKUP(B18,'Share, Heavy Weapons to Ukraine'!B:CK,COLUMN('Share, Heavy Weapons to Ukraine'!$CH$11)-1,FALSE)+VLOOKUP(B18,'Share, Heavy Weapons to Ukraine'!B:CK,COLUMN('Share, Heavy Weapons to Ukraine'!$CI$11)-1,FALSE))/3</f>
        <v>0.20877470843532098</v>
      </c>
      <c r="F18" s="261">
        <f>G18-E18</f>
        <v>2.509410288582184E-2</v>
      </c>
      <c r="G18" s="261">
        <f>(VLOOKUP(B18,'Share, Heavy Weapons to Ukraine'!B:CK,COLUMN('Share, Heavy Weapons to Ukraine'!$BN$11)-1,FALSE)+VLOOKUP(B18,'Share, Heavy Weapons to Ukraine'!B:CK,COLUMN('Share, Heavy Weapons to Ukraine'!$BT$11)-1,FALSE)+VLOOKUP(B18,'Share, Heavy Weapons to Ukraine'!B:CK,COLUMN('Share, Heavy Weapons to Ukraine'!$BU$11)-1,FALSE))/3</f>
        <v>0.23386881132114282</v>
      </c>
      <c r="H18" s="261">
        <f>(VLOOKUP(B18,'Share, Heavy Weapons to Ukraine'!B:CK,COLUMN('Share, Heavy Weapons to Ukraine'!$BN$11)-1,FALSE))</f>
        <v>0.40652446675031367</v>
      </c>
      <c r="I18" s="261">
        <f>VLOOKUP(B18,'Share, Heavy Weapons to Ukraine'!B:CK,COLUMN('Share, Heavy Weapons to Ukraine'!$BT$11)-1,FALSE)</f>
        <v>0.29508196721311475</v>
      </c>
      <c r="J18" s="261">
        <f>VLOOKUP(B18,'Share, Heavy Weapons to Ukraine'!B:CK,COLUMN('Share, Heavy Weapons to Ukraine'!$BU$11)-1,FALSE)</f>
        <v>0</v>
      </c>
      <c r="K18" s="261">
        <f>VLOOKUP(B18,'Share, Heavy Weapons to Ukraine'!B:CK,COLUMN('Share, Heavy Weapons to Ukraine'!$BW$11)-1,FALSE)</f>
        <v>0</v>
      </c>
      <c r="L18" s="261">
        <f>VLOOKUP(B18,'Share, Heavy Weapons to Ukraine'!B:CK,COLUMN('Share, Heavy Weapons to Ukraine'!$BX$11)-1,FALSE)</f>
        <v>0</v>
      </c>
      <c r="M18" s="261">
        <f>VLOOKUP(B18,'Share, Heavy Weapons to Ukraine'!B:CK,COLUMN('Share, Heavy Weapons to Ukraine'!$BY$11)-1,FALSE)</f>
        <v>0</v>
      </c>
      <c r="N18" s="261">
        <f>VLOOKUP(B18,'Share, Heavy Weapons to Ukraine'!B:CK,COLUMN('Share, Heavy Weapons to Ukraine'!$BZ$11)-1,FALSE)</f>
        <v>0</v>
      </c>
    </row>
    <row r="19" spans="2:14" ht="15.95" customHeight="1">
      <c r="B19" s="2" t="s">
        <v>1711</v>
      </c>
      <c r="C19" s="261">
        <f>(VLOOKUP(B19,'Share, Heavy Weapons to Ukraine'!B:CK,COLUMN('Share, Heavy Weapons to Ukraine'!$BN$11)-1,FALSE)+VLOOKUP(B19,'Share, Heavy Weapons to Ukraine'!B:CK,COLUMN('Share, Heavy Weapons to Ukraine'!$BS$11)-1,FALSE)+VLOOKUP(B19,'Share, Heavy Weapons to Ukraine'!B:CK,COLUMN('Share, Heavy Weapons to Ukraine'!$BT$11)-1,FALSE)+VLOOKUP(B19,'Share, Heavy Weapons to Ukraine'!B:CK,COLUMN('Share, Heavy Weapons to Ukraine'!$BU$11)-1,FALSE))/4</f>
        <v>0.18047247777738609</v>
      </c>
      <c r="D19" s="261">
        <f>(VLOOKUP(B19,'Share, Heavy Weapons to Ukraine'!B:CK,COLUMN('Share, Heavy Weapons to Ukraine'!$BN$11)-1,FALSE)+VLOOKUP(B19,'Share, Heavy Weapons to Ukraine'!B:CK,COLUMN('Share, Heavy Weapons to Ukraine'!$BR$11)-1,FALSE)+VLOOKUP(B19,'Share, Heavy Weapons to Ukraine'!B:CK,COLUMN('Share, Heavy Weapons to Ukraine'!$BT$11)-1,FALSE)+VLOOKUP(B19,'Share, Heavy Weapons to Ukraine'!B:CK,COLUMN('Share, Heavy Weapons to Ukraine'!$BU$11)-1,FALSE))/4</f>
        <v>0.15219049636188969</v>
      </c>
      <c r="E19" s="261">
        <f>(VLOOKUP(B19,'Share, Heavy Weapons to Ukraine'!B:CK,COLUMN('Share, Heavy Weapons to Ukraine'!$CB$11)-1,FALSE)+VLOOKUP(B19,'Share, Heavy Weapons to Ukraine'!B:CK,COLUMN('Share, Heavy Weapons to Ukraine'!$CH$11)-1,FALSE)+VLOOKUP(B19,'Share, Heavy Weapons to Ukraine'!B:CK,COLUMN('Share, Heavy Weapons to Ukraine'!$CI$11)-1,FALSE))/3</f>
        <v>8.8954576048175471E-2</v>
      </c>
      <c r="F19" s="261">
        <f>G19-E19</f>
        <v>8.6718129364407676E-2</v>
      </c>
      <c r="G19" s="261">
        <f>(VLOOKUP(B19,'Share, Heavy Weapons to Ukraine'!B:CK,COLUMN('Share, Heavy Weapons to Ukraine'!$BN$11)-1,FALSE)+VLOOKUP(B19,'Share, Heavy Weapons to Ukraine'!B:CK,COLUMN('Share, Heavy Weapons to Ukraine'!$BT$11)-1,FALSE)+VLOOKUP(B19,'Share, Heavy Weapons to Ukraine'!B:CK,COLUMN('Share, Heavy Weapons to Ukraine'!$BU$11)-1,FALSE))/3</f>
        <v>0.17567270541258315</v>
      </c>
      <c r="H19" s="261">
        <f>(VLOOKUP(B19,'Share, Heavy Weapons to Ukraine'!B:CK,COLUMN('Share, Heavy Weapons to Ukraine'!$BN$11)-1,FALSE))</f>
        <v>0.14640638864241348</v>
      </c>
      <c r="I19" s="261">
        <f>VLOOKUP(B19,'Share, Heavy Weapons to Ukraine'!B:CK,COLUMN('Share, Heavy Weapons to Ukraine'!$BT$11)-1,FALSE)</f>
        <v>0.25866050808314084</v>
      </c>
      <c r="J19" s="261">
        <f>VLOOKUP(B19,'Share, Heavy Weapons to Ukraine'!B:CK,COLUMN('Share, Heavy Weapons to Ukraine'!$BU$11)-1,FALSE)</f>
        <v>0.12195121951219512</v>
      </c>
      <c r="K19" s="261">
        <f>VLOOKUP(B19,'Share, Heavy Weapons to Ukraine'!B:CK,COLUMN('Share, Heavy Weapons to Ukraine'!$BW$11)-1,FALSE)</f>
        <v>3.3333333333333333E-2</v>
      </c>
      <c r="L19" s="261">
        <f>VLOOKUP(B19,'Share, Heavy Weapons to Ukraine'!B:CK,COLUMN('Share, Heavy Weapons to Ukraine'!$BX$11)-1,FALSE)</f>
        <v>1.1428571428571428</v>
      </c>
      <c r="M19" s="261">
        <f>VLOOKUP(B19,'Share, Heavy Weapons to Ukraine'!B:CK,COLUMN('Share, Heavy Weapons to Ukraine'!$BY$11)-1,FALSE)</f>
        <v>1</v>
      </c>
      <c r="N19" s="261">
        <f>VLOOKUP(B19,'Share, Heavy Weapons to Ukraine'!B:CK,COLUMN('Share, Heavy Weapons to Ukraine'!$BZ$11)-1,FALSE)</f>
        <v>0</v>
      </c>
    </row>
    <row r="20" spans="2:14" ht="15.95" customHeight="1">
      <c r="B20" s="2" t="s">
        <v>1523</v>
      </c>
      <c r="C20" s="261">
        <f>(VLOOKUP(B20,'Share, Heavy Weapons to Ukraine'!B:CK,COLUMN('Share, Heavy Weapons to Ukraine'!$BN$11)-1,FALSE)+VLOOKUP(B20,'Share, Heavy Weapons to Ukraine'!B:CK,COLUMN('Share, Heavy Weapons to Ukraine'!$BS$11)-1,FALSE)+VLOOKUP(B20,'Share, Heavy Weapons to Ukraine'!B:CK,COLUMN('Share, Heavy Weapons to Ukraine'!$BT$11)-1,FALSE)+VLOOKUP(B20,'Share, Heavy Weapons to Ukraine'!B:CK,COLUMN('Share, Heavy Weapons to Ukraine'!$BU$11)-1,FALSE))/4</f>
        <v>0.10547689065900986</v>
      </c>
      <c r="D20" s="261">
        <f>(VLOOKUP(B20,'Share, Heavy Weapons to Ukraine'!B:CK,COLUMN('Share, Heavy Weapons to Ukraine'!$BN$11)-1,FALSE)+VLOOKUP(B20,'Share, Heavy Weapons to Ukraine'!B:CK,COLUMN('Share, Heavy Weapons to Ukraine'!$BR$11)-1,FALSE)+VLOOKUP(B20,'Share, Heavy Weapons to Ukraine'!B:CK,COLUMN('Share, Heavy Weapons to Ukraine'!$BT$11)-1,FALSE)+VLOOKUP(B20,'Share, Heavy Weapons to Ukraine'!B:CK,COLUMN('Share, Heavy Weapons to Ukraine'!$BU$11)-1,FALSE))/4</f>
        <v>0.10096153846153846</v>
      </c>
      <c r="E20" s="261">
        <f>(VLOOKUP(B20,'Share, Heavy Weapons to Ukraine'!B:CK,COLUMN('Share, Heavy Weapons to Ukraine'!$CB$11)-1,FALSE)+VLOOKUP(B20,'Share, Heavy Weapons to Ukraine'!B:CK,COLUMN('Share, Heavy Weapons to Ukraine'!$CH$11)-1,FALSE)+VLOOKUP(B20,'Share, Heavy Weapons to Ukraine'!B:CK,COLUMN('Share, Heavy Weapons to Ukraine'!$CI$11)-1,FALSE))/3</f>
        <v>0.1012820512820513</v>
      </c>
      <c r="F20" s="261">
        <f>G20-E20</f>
        <v>3.3333333333333312E-2</v>
      </c>
      <c r="G20" s="261">
        <f>(VLOOKUP(B20,'Share, Heavy Weapons to Ukraine'!B:CK,COLUMN('Share, Heavy Weapons to Ukraine'!$BN$11)-1,FALSE)+VLOOKUP(B20,'Share, Heavy Weapons to Ukraine'!B:CK,COLUMN('Share, Heavy Weapons to Ukraine'!$BT$11)-1,FALSE)+VLOOKUP(B20,'Share, Heavy Weapons to Ukraine'!B:CK,COLUMN('Share, Heavy Weapons to Ukraine'!$BU$11)-1,FALSE))/3</f>
        <v>0.13461538461538461</v>
      </c>
      <c r="H20" s="261">
        <f>(VLOOKUP(B20,'Share, Heavy Weapons to Ukraine'!B:CK,COLUMN('Share, Heavy Weapons to Ukraine'!$BN$11)-1,FALSE))</f>
        <v>0</v>
      </c>
      <c r="I20" s="261">
        <f>VLOOKUP(B20,'Share, Heavy Weapons to Ukraine'!B:CK,COLUMN('Share, Heavy Weapons to Ukraine'!$BT$11)-1,FALSE)</f>
        <v>0.25</v>
      </c>
      <c r="J20" s="261">
        <f>VLOOKUP(B20,'Share, Heavy Weapons to Ukraine'!B:CK,COLUMN('Share, Heavy Weapons to Ukraine'!$BU$11)-1,FALSE)</f>
        <v>0.15384615384615385</v>
      </c>
      <c r="K20" s="261">
        <f>VLOOKUP(B20,'Share, Heavy Weapons to Ukraine'!B:CK,COLUMN('Share, Heavy Weapons to Ukraine'!$BW$11)-1,FALSE)</f>
        <v>0</v>
      </c>
      <c r="L20" s="261">
        <f>VLOOKUP(B20,'Share, Heavy Weapons to Ukraine'!B:CK,COLUMN('Share, Heavy Weapons to Ukraine'!$BX$11)-1,FALSE)</f>
        <v>0</v>
      </c>
      <c r="M20" s="261">
        <f>VLOOKUP(B20,'Share, Heavy Weapons to Ukraine'!B:CK,COLUMN('Share, Heavy Weapons to Ukraine'!$BY$11)-1,FALSE)</f>
        <v>8.3333333333333329E-2</v>
      </c>
      <c r="N20" s="261">
        <f>VLOOKUP(B20,'Share, Heavy Weapons to Ukraine'!B:CK,COLUMN('Share, Heavy Weapons to Ukraine'!$BZ$11)-1,FALSE)</f>
        <v>0</v>
      </c>
    </row>
    <row r="21" spans="2:14" ht="15.95" customHeight="1">
      <c r="B21" s="2" t="s">
        <v>3337</v>
      </c>
      <c r="C21" s="261">
        <f>(VLOOKUP(B21,'Share, Heavy Weapons to Ukraine'!B:CK,COLUMN('Share, Heavy Weapons to Ukraine'!$BN$11)-1,FALSE)+VLOOKUP(B21,'Share, Heavy Weapons to Ukraine'!B:CK,COLUMN('Share, Heavy Weapons to Ukraine'!$BS$11)-1,FALSE)+VLOOKUP(B21,'Share, Heavy Weapons to Ukraine'!B:CK,COLUMN('Share, Heavy Weapons to Ukraine'!$BT$11)-1,FALSE)+VLOOKUP(B21,'Share, Heavy Weapons to Ukraine'!B:CK,COLUMN('Share, Heavy Weapons to Ukraine'!$BU$11)-1,FALSE))/4</f>
        <v>0.13791678148250205</v>
      </c>
      <c r="D21" s="261">
        <f>(VLOOKUP(B21,'Share, Heavy Weapons to Ukraine'!B:CK,COLUMN('Share, Heavy Weapons to Ukraine'!$BN$11)-1,FALSE)+VLOOKUP(B21,'Share, Heavy Weapons to Ukraine'!B:CK,COLUMN('Share, Heavy Weapons to Ukraine'!$BR$11)-1,FALSE)+VLOOKUP(B21,'Share, Heavy Weapons to Ukraine'!B:CK,COLUMN('Share, Heavy Weapons to Ukraine'!$BT$11)-1,FALSE)+VLOOKUP(B21,'Share, Heavy Weapons to Ukraine'!B:CK,COLUMN('Share, Heavy Weapons to Ukraine'!$BU$11)-1,FALSE))/4</f>
        <v>0.26037449392712553</v>
      </c>
      <c r="E21" s="261">
        <f>(VLOOKUP(B21,'Share, Heavy Weapons to Ukraine'!B:CK,COLUMN('Share, Heavy Weapons to Ukraine'!$CB$11)-1,FALSE)+VLOOKUP(B21,'Share, Heavy Weapons to Ukraine'!B:CK,COLUMN('Share, Heavy Weapons to Ukraine'!$CH$11)-1,FALSE)+VLOOKUP(B21,'Share, Heavy Weapons to Ukraine'!B:CK,COLUMN('Share, Heavy Weapons to Ukraine'!$CI$11)-1,FALSE))/3</f>
        <v>0.12280701754385964</v>
      </c>
      <c r="F21" s="261">
        <f>G21-E21</f>
        <v>0</v>
      </c>
      <c r="G21" s="261">
        <f>(VLOOKUP(B21,'Share, Heavy Weapons to Ukraine'!B:CK,COLUMN('Share, Heavy Weapons to Ukraine'!$BN$11)-1,FALSE)+VLOOKUP(B21,'Share, Heavy Weapons to Ukraine'!B:CK,COLUMN('Share, Heavy Weapons to Ukraine'!$BT$11)-1,FALSE)+VLOOKUP(B21,'Share, Heavy Weapons to Ukraine'!B:CK,COLUMN('Share, Heavy Weapons to Ukraine'!$BU$11)-1,FALSE))/3</f>
        <v>0.12280701754385964</v>
      </c>
      <c r="H21" s="261">
        <f>(VLOOKUP(B21,'Share, Heavy Weapons to Ukraine'!B:CK,COLUMN('Share, Heavy Weapons to Ukraine'!$BN$11)-1,FALSE))</f>
        <v>0.36842105263157893</v>
      </c>
      <c r="I21" s="261">
        <f>VLOOKUP(B21,'Share, Heavy Weapons to Ukraine'!B:CK,COLUMN('Share, Heavy Weapons to Ukraine'!$BT$11)-1,FALSE)</f>
        <v>0</v>
      </c>
      <c r="J21" s="261">
        <f>VLOOKUP(B21,'Share, Heavy Weapons to Ukraine'!B:CK,COLUMN('Share, Heavy Weapons to Ukraine'!$BU$11)-1,FALSE)</f>
        <v>0</v>
      </c>
      <c r="K21" s="261">
        <f>VLOOKUP(B21,'Share, Heavy Weapons to Ukraine'!B:CK,COLUMN('Share, Heavy Weapons to Ukraine'!$BW$11)-1,FALSE)</f>
        <v>0</v>
      </c>
      <c r="L21" s="261">
        <f>VLOOKUP(B21,'Share, Heavy Weapons to Ukraine'!B:CK,COLUMN('Share, Heavy Weapons to Ukraine'!$BX$11)-1,FALSE)</f>
        <v>0</v>
      </c>
      <c r="M21" s="261">
        <f>VLOOKUP(B21,'Share, Heavy Weapons to Ukraine'!B:CK,COLUMN('Share, Heavy Weapons to Ukraine'!$BY$11)-1,FALSE)</f>
        <v>0</v>
      </c>
      <c r="N21" s="261">
        <f>VLOOKUP(B21,'Share, Heavy Weapons to Ukraine'!B:CK,COLUMN('Share, Heavy Weapons to Ukraine'!$BZ$11)-1,FALSE)</f>
        <v>0</v>
      </c>
    </row>
    <row r="22" spans="2:14" ht="15.95" customHeight="1">
      <c r="B22" s="2" t="s">
        <v>3548</v>
      </c>
      <c r="C22" s="261">
        <f>(VLOOKUP(B22,'Share, Heavy Weapons to Ukraine'!B:CK,COLUMN('Share, Heavy Weapons to Ukraine'!$BN$11)-1,FALSE)+VLOOKUP(B22,'Share, Heavy Weapons to Ukraine'!B:CK,COLUMN('Share, Heavy Weapons to Ukraine'!$BS$11)-1,FALSE)+VLOOKUP(B22,'Share, Heavy Weapons to Ukraine'!B:CK,COLUMN('Share, Heavy Weapons to Ukraine'!$BT$11)-1,FALSE)+VLOOKUP(B22,'Share, Heavy Weapons to Ukraine'!B:CK,COLUMN('Share, Heavy Weapons to Ukraine'!$BU$11)-1,FALSE))/4</f>
        <v>8.6450766747376923E-2</v>
      </c>
      <c r="D22" s="261">
        <f>(VLOOKUP(B22,'Share, Heavy Weapons to Ukraine'!B:CK,COLUMN('Share, Heavy Weapons to Ukraine'!$BN$11)-1,FALSE)+VLOOKUP(B22,'Share, Heavy Weapons to Ukraine'!B:CK,COLUMN('Share, Heavy Weapons to Ukraine'!$BR$11)-1,FALSE)+VLOOKUP(B22,'Share, Heavy Weapons to Ukraine'!B:CK,COLUMN('Share, Heavy Weapons to Ukraine'!$BT$11)-1,FALSE)+VLOOKUP(B22,'Share, Heavy Weapons to Ukraine'!B:CK,COLUMN('Share, Heavy Weapons to Ukraine'!$BU$11)-1,FALSE))/4</f>
        <v>0.10838981578032672</v>
      </c>
      <c r="E22" s="261">
        <f>(VLOOKUP(B22,'Share, Heavy Weapons to Ukraine'!B:CK,COLUMN('Share, Heavy Weapons to Ukraine'!$CB$11)-1,FALSE)+VLOOKUP(B22,'Share, Heavy Weapons to Ukraine'!B:CK,COLUMN('Share, Heavy Weapons to Ukraine'!$CH$11)-1,FALSE)+VLOOKUP(B22,'Share, Heavy Weapons to Ukraine'!B:CK,COLUMN('Share, Heavy Weapons to Ukraine'!$CI$11)-1,FALSE))/3</f>
        <v>0</v>
      </c>
      <c r="F22" s="261">
        <f>G22-E22</f>
        <v>0.10396825396825397</v>
      </c>
      <c r="G22" s="261">
        <f>(VLOOKUP(B22,'Share, Heavy Weapons to Ukraine'!B:CK,COLUMN('Share, Heavy Weapons to Ukraine'!$BN$11)-1,FALSE)+VLOOKUP(B22,'Share, Heavy Weapons to Ukraine'!B:CK,COLUMN('Share, Heavy Weapons to Ukraine'!$BT$11)-1,FALSE)+VLOOKUP(B22,'Share, Heavy Weapons to Ukraine'!B:CK,COLUMN('Share, Heavy Weapons to Ukraine'!$BU$11)-1,FALSE))/3</f>
        <v>0.10396825396825397</v>
      </c>
      <c r="H22" s="261">
        <f>(VLOOKUP(B22,'Share, Heavy Weapons to Ukraine'!B:CK,COLUMN('Share, Heavy Weapons to Ukraine'!$BN$11)-1,FALSE))</f>
        <v>8.3333333333333329E-2</v>
      </c>
      <c r="I22" s="261">
        <f>VLOOKUP(B22,'Share, Heavy Weapons to Ukraine'!B:CK,COLUMN('Share, Heavy Weapons to Ukraine'!$BT$11)-1,FALSE)</f>
        <v>0.22857142857142856</v>
      </c>
      <c r="J22" s="261">
        <f>VLOOKUP(B22,'Share, Heavy Weapons to Ukraine'!B:CK,COLUMN('Share, Heavy Weapons to Ukraine'!$BU$11)-1,FALSE)</f>
        <v>0</v>
      </c>
      <c r="K22" s="261">
        <f>VLOOKUP(B22,'Share, Heavy Weapons to Ukraine'!B:CK,COLUMN('Share, Heavy Weapons to Ukraine'!$BW$11)-1,FALSE)</f>
        <v>0</v>
      </c>
      <c r="L22" s="261">
        <f>VLOOKUP(B22,'Share, Heavy Weapons to Ukraine'!B:CK,COLUMN('Share, Heavy Weapons to Ukraine'!$BX$11)-1,FALSE)</f>
        <v>0</v>
      </c>
      <c r="M22" s="261">
        <f>VLOOKUP(B22,'Share, Heavy Weapons to Ukraine'!B:CK,COLUMN('Share, Heavy Weapons to Ukraine'!$BY$11)-1,FALSE)</f>
        <v>0</v>
      </c>
      <c r="N22" s="261">
        <f>VLOOKUP(B22,'Share, Heavy Weapons to Ukraine'!B:CK,COLUMN('Share, Heavy Weapons to Ukraine'!$BZ$11)-1,FALSE)</f>
        <v>0</v>
      </c>
    </row>
    <row r="23" spans="2:14" ht="15.95" customHeight="1">
      <c r="B23" s="2" t="s">
        <v>4699</v>
      </c>
      <c r="C23" s="261">
        <f>(VLOOKUP(B23,'Share, Heavy Weapons to Ukraine'!B:CK,COLUMN('Share, Heavy Weapons to Ukraine'!$BN$11)-1,FALSE)+VLOOKUP(B23,'Share, Heavy Weapons to Ukraine'!B:CK,COLUMN('Share, Heavy Weapons to Ukraine'!$BS$11)-1,FALSE)+VLOOKUP(B23,'Share, Heavy Weapons to Ukraine'!B:CK,COLUMN('Share, Heavy Weapons to Ukraine'!$BT$11)-1,FALSE)+VLOOKUP(B23,'Share, Heavy Weapons to Ukraine'!B:CK,COLUMN('Share, Heavy Weapons to Ukraine'!$BU$11)-1,FALSE))/4</f>
        <v>8.9310772032632074E-2</v>
      </c>
      <c r="D23" s="261">
        <f>(VLOOKUP(B23,'Share, Heavy Weapons to Ukraine'!B:CK,COLUMN('Share, Heavy Weapons to Ukraine'!$BN$11)-1,FALSE)+VLOOKUP(B23,'Share, Heavy Weapons to Ukraine'!B:CK,COLUMN('Share, Heavy Weapons to Ukraine'!$BR$11)-1,FALSE)+VLOOKUP(B23,'Share, Heavy Weapons to Ukraine'!B:CK,COLUMN('Share, Heavy Weapons to Ukraine'!$BT$11)-1,FALSE)+VLOOKUP(B23,'Share, Heavy Weapons to Ukraine'!B:CK,COLUMN('Share, Heavy Weapons to Ukraine'!$BU$11)-1,FALSE))/4</f>
        <v>9.451924831444089E-2</v>
      </c>
      <c r="E23" s="261">
        <f>(VLOOKUP(B23,'Share, Heavy Weapons to Ukraine'!B:CK,COLUMN('Share, Heavy Weapons to Ukraine'!$CB$11)-1,FALSE)+VLOOKUP(B23,'Share, Heavy Weapons to Ukraine'!B:CK,COLUMN('Share, Heavy Weapons to Ukraine'!$CH$11)-1,FALSE)+VLOOKUP(B23,'Share, Heavy Weapons to Ukraine'!B:CK,COLUMN('Share, Heavy Weapons to Ukraine'!$CI$11)-1,FALSE))/3</f>
        <v>7.1317099390105887E-2</v>
      </c>
      <c r="F23" s="261">
        <f>G23-E23</f>
        <v>3.017909881501718E-2</v>
      </c>
      <c r="G23" s="261">
        <f>(VLOOKUP(B23,'Share, Heavy Weapons to Ukraine'!B:CK,COLUMN('Share, Heavy Weapons to Ukraine'!$BN$11)-1,FALSE)+VLOOKUP(B23,'Share, Heavy Weapons to Ukraine'!B:CK,COLUMN('Share, Heavy Weapons to Ukraine'!$BT$11)-1,FALSE)+VLOOKUP(B23,'Share, Heavy Weapons to Ukraine'!B:CK,COLUMN('Share, Heavy Weapons to Ukraine'!$BU$11)-1,FALSE))/3</f>
        <v>0.10149619820512307</v>
      </c>
      <c r="H23" s="261">
        <f>(VLOOKUP(B23,'Share, Heavy Weapons to Ukraine'!B:CK,COLUMN('Share, Heavy Weapons to Ukraine'!$BN$11)-1,FALSE))</f>
        <v>0.14034331681390502</v>
      </c>
      <c r="I23" s="261">
        <f>VLOOKUP(B23,'Share, Heavy Weapons to Ukraine'!B:CK,COLUMN('Share, Heavy Weapons to Ukraine'!$BT$11)-1,FALSE)</f>
        <v>0.11317440401505643</v>
      </c>
      <c r="J23" s="261">
        <f>VLOOKUP(B23,'Share, Heavy Weapons to Ukraine'!B:CK,COLUMN('Share, Heavy Weapons to Ukraine'!$BU$11)-1,FALSE)</f>
        <v>5.0970873786407765E-2</v>
      </c>
      <c r="K23" s="261">
        <f>VLOOKUP(B23,'Share, Heavy Weapons to Ukraine'!B:CK,COLUMN('Share, Heavy Weapons to Ukraine'!$BW$11)-1,FALSE)</f>
        <v>2.4630541871921183E-2</v>
      </c>
      <c r="L23" s="261">
        <f>VLOOKUP(B23,'Share, Heavy Weapons to Ukraine'!B:CK,COLUMN('Share, Heavy Weapons to Ukraine'!$BX$11)-1,FALSE)</f>
        <v>0.125</v>
      </c>
      <c r="M23" s="261">
        <f>VLOOKUP(B23,'Share, Heavy Weapons to Ukraine'!B:CK,COLUMN('Share, Heavy Weapons to Ukraine'!$BY$11)-1,FALSE)</f>
        <v>6.25E-2</v>
      </c>
      <c r="N23" s="261">
        <f>VLOOKUP(B23,'Share, Heavy Weapons to Ukraine'!B:CK,COLUMN('Share, Heavy Weapons to Ukraine'!$BZ$11)-1,FALSE)</f>
        <v>0</v>
      </c>
    </row>
    <row r="24" spans="2:14" ht="15.95" customHeight="1">
      <c r="B24" s="2" t="s">
        <v>2204</v>
      </c>
      <c r="C24" s="261">
        <f>(VLOOKUP(B24,'Share, Heavy Weapons to Ukraine'!B:CK,COLUMN('Share, Heavy Weapons to Ukraine'!$BN$11)-1,FALSE)+VLOOKUP(B24,'Share, Heavy Weapons to Ukraine'!B:CK,COLUMN('Share, Heavy Weapons to Ukraine'!$BS$11)-1,FALSE)+VLOOKUP(B24,'Share, Heavy Weapons to Ukraine'!B:CK,COLUMN('Share, Heavy Weapons to Ukraine'!$BT$11)-1,FALSE)+VLOOKUP(B24,'Share, Heavy Weapons to Ukraine'!B:CK,COLUMN('Share, Heavy Weapons to Ukraine'!$BU$11)-1,FALSE))/4</f>
        <v>7.1177072877901967E-2</v>
      </c>
      <c r="D24" s="261">
        <f>(VLOOKUP(B24,'Share, Heavy Weapons to Ukraine'!B:CK,COLUMN('Share, Heavy Weapons to Ukraine'!$BN$11)-1,FALSE)+VLOOKUP(B24,'Share, Heavy Weapons to Ukraine'!B:CK,COLUMN('Share, Heavy Weapons to Ukraine'!$BR$11)-1,FALSE)+VLOOKUP(B24,'Share, Heavy Weapons to Ukraine'!B:CK,COLUMN('Share, Heavy Weapons to Ukraine'!$BT$11)-1,FALSE)+VLOOKUP(B24,'Share, Heavy Weapons to Ukraine'!B:CK,COLUMN('Share, Heavy Weapons to Ukraine'!$BU$11)-1,FALSE))/4</f>
        <v>6.894576012223072E-2</v>
      </c>
      <c r="E24" s="261">
        <f>(VLOOKUP(B24,'Share, Heavy Weapons to Ukraine'!B:CK,COLUMN('Share, Heavy Weapons to Ukraine'!$CB$11)-1,FALSE)+VLOOKUP(B24,'Share, Heavy Weapons to Ukraine'!B:CK,COLUMN('Share, Heavy Weapons to Ukraine'!$CH$11)-1,FALSE)+VLOOKUP(B24,'Share, Heavy Weapons to Ukraine'!B:CK,COLUMN('Share, Heavy Weapons to Ukraine'!$CI$11)-1,FALSE))/3</f>
        <v>3.3613445378151259E-2</v>
      </c>
      <c r="F24" s="261">
        <f>G24-E24</f>
        <v>5.8314234784823039E-2</v>
      </c>
      <c r="G24" s="261">
        <f>(VLOOKUP(B24,'Share, Heavy Weapons to Ukraine'!B:CK,COLUMN('Share, Heavy Weapons to Ukraine'!$BN$11)-1,FALSE)+VLOOKUP(B24,'Share, Heavy Weapons to Ukraine'!B:CK,COLUMN('Share, Heavy Weapons to Ukraine'!$BT$11)-1,FALSE)+VLOOKUP(B24,'Share, Heavy Weapons to Ukraine'!B:CK,COLUMN('Share, Heavy Weapons to Ukraine'!$BU$11)-1,FALSE))/3</f>
        <v>9.1927680162974298E-2</v>
      </c>
      <c r="H24" s="261">
        <f>(VLOOKUP(B24,'Share, Heavy Weapons to Ukraine'!B:CK,COLUMN('Share, Heavy Weapons to Ukraine'!$BN$11)-1,FALSE))</f>
        <v>0</v>
      </c>
      <c r="I24" s="261">
        <f>VLOOKUP(B24,'Share, Heavy Weapons to Ukraine'!B:CK,COLUMN('Share, Heavy Weapons to Ukraine'!$BT$11)-1,FALSE)</f>
        <v>0.18487394957983194</v>
      </c>
      <c r="J24" s="261">
        <f>VLOOKUP(B24,'Share, Heavy Weapons to Ukraine'!B:CK,COLUMN('Share, Heavy Weapons to Ukraine'!$BU$11)-1,FALSE)</f>
        <v>9.0909090909090912E-2</v>
      </c>
      <c r="K24" s="261">
        <f>VLOOKUP(B24,'Share, Heavy Weapons to Ukraine'!B:CK,COLUMN('Share, Heavy Weapons to Ukraine'!$BW$11)-1,FALSE)</f>
        <v>0.05</v>
      </c>
      <c r="L24" s="261">
        <f>VLOOKUP(B24,'Share, Heavy Weapons to Ukraine'!B:CK,COLUMN('Share, Heavy Weapons to Ukraine'!$BX$11)-1,FALSE)</f>
        <v>0</v>
      </c>
      <c r="M24" s="261">
        <f>VLOOKUP(B24,'Share, Heavy Weapons to Ukraine'!B:CK,COLUMN('Share, Heavy Weapons to Ukraine'!$BY$11)-1,FALSE)</f>
        <v>0</v>
      </c>
      <c r="N24" s="261">
        <f>VLOOKUP(B24,'Share, Heavy Weapons to Ukraine'!B:CK,COLUMN('Share, Heavy Weapons to Ukraine'!$BZ$11)-1,FALSE)</f>
        <v>0</v>
      </c>
    </row>
    <row r="25" spans="2:14" ht="15.95" customHeight="1">
      <c r="B25" s="2" t="s">
        <v>3079</v>
      </c>
      <c r="C25" s="261">
        <f>(VLOOKUP(B25,'Share, Heavy Weapons to Ukraine'!B:CK,COLUMN('Share, Heavy Weapons to Ukraine'!$BN$11)-1,FALSE)+VLOOKUP(B25,'Share, Heavy Weapons to Ukraine'!B:CK,COLUMN('Share, Heavy Weapons to Ukraine'!$BS$11)-1,FALSE)+VLOOKUP(B25,'Share, Heavy Weapons to Ukraine'!B:CK,COLUMN('Share, Heavy Weapons to Ukraine'!$BT$11)-1,FALSE)+VLOOKUP(B25,'Share, Heavy Weapons to Ukraine'!B:CK,COLUMN('Share, Heavy Weapons to Ukraine'!$BU$11)-1,FALSE))/4</f>
        <v>6.752753326721217E-2</v>
      </c>
      <c r="D25" s="261">
        <f>(VLOOKUP(B25,'Share, Heavy Weapons to Ukraine'!B:CK,COLUMN('Share, Heavy Weapons to Ukraine'!$BN$11)-1,FALSE)+VLOOKUP(B25,'Share, Heavy Weapons to Ukraine'!B:CK,COLUMN('Share, Heavy Weapons to Ukraine'!$BR$11)-1,FALSE)+VLOOKUP(B25,'Share, Heavy Weapons to Ukraine'!B:CK,COLUMN('Share, Heavy Weapons to Ukraine'!$BT$11)-1,FALSE)+VLOOKUP(B25,'Share, Heavy Weapons to Ukraine'!B:CK,COLUMN('Share, Heavy Weapons to Ukraine'!$BU$11)-1,FALSE))/4</f>
        <v>4.6311936936936943E-2</v>
      </c>
      <c r="E25" s="261">
        <f>(VLOOKUP(B25,'Share, Heavy Weapons to Ukraine'!B:CK,COLUMN('Share, Heavy Weapons to Ukraine'!$CB$11)-1,FALSE)+VLOOKUP(B25,'Share, Heavy Weapons to Ukraine'!B:CK,COLUMN('Share, Heavy Weapons to Ukraine'!$CH$11)-1,FALSE)+VLOOKUP(B25,'Share, Heavy Weapons to Ukraine'!B:CK,COLUMN('Share, Heavy Weapons to Ukraine'!$CI$11)-1,FALSE))/3</f>
        <v>2.7027027027027029E-2</v>
      </c>
      <c r="F25" s="261">
        <f>G25-E25</f>
        <v>3.4722222222222231E-2</v>
      </c>
      <c r="G25" s="261">
        <f>(VLOOKUP(B25,'Share, Heavy Weapons to Ukraine'!B:CK,COLUMN('Share, Heavy Weapons to Ukraine'!$BN$11)-1,FALSE)+VLOOKUP(B25,'Share, Heavy Weapons to Ukraine'!B:CK,COLUMN('Share, Heavy Weapons to Ukraine'!$BT$11)-1,FALSE)+VLOOKUP(B25,'Share, Heavy Weapons to Ukraine'!B:CK,COLUMN('Share, Heavy Weapons to Ukraine'!$BU$11)-1,FALSE))/3</f>
        <v>6.1749249249249259E-2</v>
      </c>
      <c r="H25" s="261">
        <f>(VLOOKUP(B25,'Share, Heavy Weapons to Ukraine'!B:CK,COLUMN('Share, Heavy Weapons to Ukraine'!$BN$11)-1,FALSE))</f>
        <v>8.1081081081081086E-2</v>
      </c>
      <c r="I25" s="261">
        <f>VLOOKUP(B25,'Share, Heavy Weapons to Ukraine'!B:CK,COLUMN('Share, Heavy Weapons to Ukraine'!$BT$11)-1,FALSE)</f>
        <v>0.10416666666666667</v>
      </c>
      <c r="J25" s="261">
        <f>VLOOKUP(B25,'Share, Heavy Weapons to Ukraine'!B:CK,COLUMN('Share, Heavy Weapons to Ukraine'!$BU$11)-1,FALSE)</f>
        <v>0</v>
      </c>
      <c r="K25" s="261">
        <f>VLOOKUP(B25,'Share, Heavy Weapons to Ukraine'!B:CK,COLUMN('Share, Heavy Weapons to Ukraine'!$BW$11)-1,FALSE)</f>
        <v>0</v>
      </c>
      <c r="L25" s="261">
        <f>VLOOKUP(B25,'Share, Heavy Weapons to Ukraine'!B:CK,COLUMN('Share, Heavy Weapons to Ukraine'!$BX$11)-1,FALSE)</f>
        <v>0</v>
      </c>
      <c r="M25" s="261">
        <f>VLOOKUP(B25,'Share, Heavy Weapons to Ukraine'!B:CK,COLUMN('Share, Heavy Weapons to Ukraine'!$BY$11)-1,FALSE)</f>
        <v>0</v>
      </c>
      <c r="N25" s="261">
        <f>VLOOKUP(B25,'Share, Heavy Weapons to Ukraine'!B:CK,COLUMN('Share, Heavy Weapons to Ukraine'!$BZ$11)-1,FALSE)</f>
        <v>0</v>
      </c>
    </row>
    <row r="26" spans="2:14" ht="15.95" customHeight="1">
      <c r="B26" s="2" t="s">
        <v>713</v>
      </c>
      <c r="C26" s="261">
        <f>(VLOOKUP(B26,'Share, Heavy Weapons to Ukraine'!B:CK,COLUMN('Share, Heavy Weapons to Ukraine'!$BN$11)-1,FALSE)+VLOOKUP(B26,'Share, Heavy Weapons to Ukraine'!B:CK,COLUMN('Share, Heavy Weapons to Ukraine'!$BS$11)-1,FALSE)+VLOOKUP(B26,'Share, Heavy Weapons to Ukraine'!B:CK,COLUMN('Share, Heavy Weapons to Ukraine'!$BT$11)-1,FALSE)+VLOOKUP(B26,'Share, Heavy Weapons to Ukraine'!B:CK,COLUMN('Share, Heavy Weapons to Ukraine'!$BU$11)-1,FALSE))/4</f>
        <v>8.3119066828022059E-2</v>
      </c>
      <c r="D26" s="261">
        <f>(VLOOKUP(B26,'Share, Heavy Weapons to Ukraine'!B:CK,COLUMN('Share, Heavy Weapons to Ukraine'!$BN$11)-1,FALSE)+VLOOKUP(B26,'Share, Heavy Weapons to Ukraine'!B:CK,COLUMN('Share, Heavy Weapons to Ukraine'!$BR$11)-1,FALSE)+VLOOKUP(B26,'Share, Heavy Weapons to Ukraine'!B:CK,COLUMN('Share, Heavy Weapons to Ukraine'!$BT$11)-1,FALSE)+VLOOKUP(B26,'Share, Heavy Weapons to Ukraine'!B:CK,COLUMN('Share, Heavy Weapons to Ukraine'!$BU$11)-1,FALSE))/4</f>
        <v>4.1952400161355388E-2</v>
      </c>
      <c r="E26" s="261">
        <f>(VLOOKUP(B26,'Share, Heavy Weapons to Ukraine'!B:CK,COLUMN('Share, Heavy Weapons to Ukraine'!$CB$11)-1,FALSE)+VLOOKUP(B26,'Share, Heavy Weapons to Ukraine'!B:CK,COLUMN('Share, Heavy Weapons to Ukraine'!$CH$11)-1,FALSE)+VLOOKUP(B26,'Share, Heavy Weapons to Ukraine'!B:CK,COLUMN('Share, Heavy Weapons to Ukraine'!$CI$11)-1,FALSE))/3</f>
        <v>5.5936533548473853E-2</v>
      </c>
      <c r="F26" s="261">
        <f>G26-E26</f>
        <v>0</v>
      </c>
      <c r="G26" s="261">
        <f>(VLOOKUP(B26,'Share, Heavy Weapons to Ukraine'!B:CK,COLUMN('Share, Heavy Weapons to Ukraine'!$BN$11)-1,FALSE)+VLOOKUP(B26,'Share, Heavy Weapons to Ukraine'!B:CK,COLUMN('Share, Heavy Weapons to Ukraine'!$BT$11)-1,FALSE)+VLOOKUP(B26,'Share, Heavy Weapons to Ukraine'!B:CK,COLUMN('Share, Heavy Weapons to Ukraine'!$BU$11)-1,FALSE))/3</f>
        <v>5.5936533548473853E-2</v>
      </c>
      <c r="H26" s="261">
        <f>(VLOOKUP(B26,'Share, Heavy Weapons to Ukraine'!B:CK,COLUMN('Share, Heavy Weapons to Ukraine'!$BN$11)-1,FALSE))</f>
        <v>5.9701492537313432E-2</v>
      </c>
      <c r="I26" s="261">
        <f>VLOOKUP(B26,'Share, Heavy Weapons to Ukraine'!B:CK,COLUMN('Share, Heavy Weapons to Ukraine'!$BT$11)-1,FALSE)</f>
        <v>0.10810810810810811</v>
      </c>
      <c r="J26" s="261">
        <f>VLOOKUP(B26,'Share, Heavy Weapons to Ukraine'!B:CK,COLUMN('Share, Heavy Weapons to Ukraine'!$BU$11)-1,FALSE)</f>
        <v>0</v>
      </c>
      <c r="K26" s="261">
        <f>VLOOKUP(B26,'Share, Heavy Weapons to Ukraine'!B:CK,COLUMN('Share, Heavy Weapons to Ukraine'!$BW$11)-1,FALSE)</f>
        <v>0</v>
      </c>
      <c r="L26" s="261">
        <f>VLOOKUP(B26,'Share, Heavy Weapons to Ukraine'!B:CK,COLUMN('Share, Heavy Weapons to Ukraine'!$BX$11)-1,FALSE)</f>
        <v>0</v>
      </c>
      <c r="M26" s="261">
        <f>VLOOKUP(B26,'Share, Heavy Weapons to Ukraine'!B:CK,COLUMN('Share, Heavy Weapons to Ukraine'!$BY$11)-1,FALSE)</f>
        <v>0</v>
      </c>
      <c r="N26" s="261">
        <f>VLOOKUP(B26,'Share, Heavy Weapons to Ukraine'!B:CK,COLUMN('Share, Heavy Weapons to Ukraine'!$BZ$11)-1,FALSE)</f>
        <v>0</v>
      </c>
    </row>
    <row r="27" spans="2:14" ht="15.95" customHeight="1">
      <c r="B27" s="2" t="s">
        <v>3949</v>
      </c>
      <c r="C27" s="261">
        <f>(VLOOKUP(B27,'Share, Heavy Weapons to Ukraine'!B:CK,COLUMN('Share, Heavy Weapons to Ukraine'!$BN$11)-1,FALSE)+VLOOKUP(B27,'Share, Heavy Weapons to Ukraine'!B:CK,COLUMN('Share, Heavy Weapons to Ukraine'!$BS$11)-1,FALSE)+VLOOKUP(B27,'Share, Heavy Weapons to Ukraine'!B:CK,COLUMN('Share, Heavy Weapons to Ukraine'!$BT$11)-1,FALSE)+VLOOKUP(B27,'Share, Heavy Weapons to Ukraine'!B:CK,COLUMN('Share, Heavy Weapons to Ukraine'!$BU$11)-1,FALSE))/4</f>
        <v>4.8470501506479198E-2</v>
      </c>
      <c r="D27" s="261">
        <f>(VLOOKUP(B27,'Share, Heavy Weapons to Ukraine'!B:CK,COLUMN('Share, Heavy Weapons to Ukraine'!$BN$11)-1,FALSE)+VLOOKUP(B27,'Share, Heavy Weapons to Ukraine'!B:CK,COLUMN('Share, Heavy Weapons to Ukraine'!$BR$11)-1,FALSE)+VLOOKUP(B27,'Share, Heavy Weapons to Ukraine'!B:CK,COLUMN('Share, Heavy Weapons to Ukraine'!$BT$11)-1,FALSE)+VLOOKUP(B27,'Share, Heavy Weapons to Ukraine'!B:CK,COLUMN('Share, Heavy Weapons to Ukraine'!$BU$11)-1,FALSE))/4</f>
        <v>3.9028672709859491E-2</v>
      </c>
      <c r="E27" s="261">
        <f>(VLOOKUP(B27,'Share, Heavy Weapons to Ukraine'!B:CK,COLUMN('Share, Heavy Weapons to Ukraine'!$CB$11)-1,FALSE)+VLOOKUP(B27,'Share, Heavy Weapons to Ukraine'!B:CK,COLUMN('Share, Heavy Weapons to Ukraine'!$CH$11)-1,FALSE)+VLOOKUP(B27,'Share, Heavy Weapons to Ukraine'!B:CK,COLUMN('Share, Heavy Weapons to Ukraine'!$CI$11)-1,FALSE))/3</f>
        <v>2.8051494126336295E-2</v>
      </c>
      <c r="F27" s="261">
        <f>G27-E27</f>
        <v>1.7035884212773893E-2</v>
      </c>
      <c r="G27" s="261">
        <f>(VLOOKUP(B27,'Share, Heavy Weapons to Ukraine'!B:CK,COLUMN('Share, Heavy Weapons to Ukraine'!$BN$11)-1,FALSE)+VLOOKUP(B27,'Share, Heavy Weapons to Ukraine'!B:CK,COLUMN('Share, Heavy Weapons to Ukraine'!$BT$11)-1,FALSE)+VLOOKUP(B27,'Share, Heavy Weapons to Ukraine'!B:CK,COLUMN('Share, Heavy Weapons to Ukraine'!$BU$11)-1,FALSE))/3</f>
        <v>4.5087378339110189E-2</v>
      </c>
      <c r="H27" s="261">
        <f>(VLOOKUP(B27,'Share, Heavy Weapons to Ukraine'!B:CK,COLUMN('Share, Heavy Weapons to Ukraine'!$BN$11)-1,FALSE))</f>
        <v>1.2377850162866449E-2</v>
      </c>
      <c r="I27" s="261">
        <f>VLOOKUP(B27,'Share, Heavy Weapons to Ukraine'!B:CK,COLUMN('Share, Heavy Weapons to Ukraine'!$BT$11)-1,FALSE)</f>
        <v>6.3041765169424738E-2</v>
      </c>
      <c r="J27" s="261">
        <f>VLOOKUP(B27,'Share, Heavy Weapons to Ukraine'!B:CK,COLUMN('Share, Heavy Weapons to Ukraine'!$BU$11)-1,FALSE)</f>
        <v>5.9842519685039369E-2</v>
      </c>
      <c r="K27" s="261">
        <f>VLOOKUP(B27,'Share, Heavy Weapons to Ukraine'!B:CK,COLUMN('Share, Heavy Weapons to Ukraine'!$BW$11)-1,FALSE)</f>
        <v>2.0833333333333333E-3</v>
      </c>
      <c r="L27" s="128">
        <f>VLOOKUP(B27,'Share, Heavy Weapons to Ukraine'!B:CK,COLUMN('Share, Heavy Weapons to Ukraine'!$BX$11)-1,FALSE)</f>
        <v>4.7732696897374704E-3</v>
      </c>
      <c r="M27" s="261">
        <f>VLOOKUP(B27,'Share, Heavy Weapons to Ukraine'!B:CK,COLUMN('Share, Heavy Weapons to Ukraine'!$BY$11)-1,FALSE)</f>
        <v>9.8765432098765427E-2</v>
      </c>
      <c r="N27" s="261">
        <f>VLOOKUP(B27,'Share, Heavy Weapons to Ukraine'!B:CK,COLUMN('Share, Heavy Weapons to Ukraine'!$BZ$11)-1,FALSE)</f>
        <v>2.6258205689277898E-2</v>
      </c>
    </row>
    <row r="28" spans="2:14" ht="15.95" customHeight="1">
      <c r="B28" s="2" t="s">
        <v>2392</v>
      </c>
      <c r="C28" s="261">
        <f>(VLOOKUP(B28,'Share, Heavy Weapons to Ukraine'!B:CK,COLUMN('Share, Heavy Weapons to Ukraine'!$BN$11)-1,FALSE)+VLOOKUP(B28,'Share, Heavy Weapons to Ukraine'!B:CK,COLUMN('Share, Heavy Weapons to Ukraine'!$BS$11)-1,FALSE)+VLOOKUP(B28,'Share, Heavy Weapons to Ukraine'!B:CK,COLUMN('Share, Heavy Weapons to Ukraine'!$BT$11)-1,FALSE)+VLOOKUP(B28,'Share, Heavy Weapons to Ukraine'!B:CK,COLUMN('Share, Heavy Weapons to Ukraine'!$BU$11)-1,FALSE))/4</f>
        <v>3.1914893617021274E-2</v>
      </c>
      <c r="D28" s="261">
        <f>(VLOOKUP(B28,'Share, Heavy Weapons to Ukraine'!B:CK,COLUMN('Share, Heavy Weapons to Ukraine'!$BN$11)-1,FALSE)+VLOOKUP(B28,'Share, Heavy Weapons to Ukraine'!B:CK,COLUMN('Share, Heavy Weapons to Ukraine'!$BR$11)-1,FALSE)+VLOOKUP(B28,'Share, Heavy Weapons to Ukraine'!B:CK,COLUMN('Share, Heavy Weapons to Ukraine'!$BT$11)-1,FALSE)+VLOOKUP(B28,'Share, Heavy Weapons to Ukraine'!B:CK,COLUMN('Share, Heavy Weapons to Ukraine'!$BU$11)-1,FALSE))/4</f>
        <v>3.1914893617021274E-2</v>
      </c>
      <c r="E28" s="261">
        <f>(VLOOKUP(B28,'Share, Heavy Weapons to Ukraine'!B:CK,COLUMN('Share, Heavy Weapons to Ukraine'!$CB$11)-1,FALSE)+VLOOKUP(B28,'Share, Heavy Weapons to Ukraine'!B:CK,COLUMN('Share, Heavy Weapons to Ukraine'!$CH$11)-1,FALSE)+VLOOKUP(B28,'Share, Heavy Weapons to Ukraine'!B:CK,COLUMN('Share, Heavy Weapons to Ukraine'!$CI$11)-1,FALSE))/3</f>
        <v>4.2553191489361701E-2</v>
      </c>
      <c r="F28" s="261">
        <f>G28-E28</f>
        <v>0</v>
      </c>
      <c r="G28" s="261">
        <f>(VLOOKUP(B28,'Share, Heavy Weapons to Ukraine'!B:CK,COLUMN('Share, Heavy Weapons to Ukraine'!$BN$11)-1,FALSE)+VLOOKUP(B28,'Share, Heavy Weapons to Ukraine'!B:CK,COLUMN('Share, Heavy Weapons to Ukraine'!$BT$11)-1,FALSE)+VLOOKUP(B28,'Share, Heavy Weapons to Ukraine'!B:CK,COLUMN('Share, Heavy Weapons to Ukraine'!$BU$11)-1,FALSE))/3</f>
        <v>4.2553191489361701E-2</v>
      </c>
      <c r="H28" s="261">
        <f>(VLOOKUP(B28,'Share, Heavy Weapons to Ukraine'!B:CK,COLUMN('Share, Heavy Weapons to Ukraine'!$BN$11)-1,FALSE))</f>
        <v>0</v>
      </c>
      <c r="I28" s="261">
        <f>VLOOKUP(B28,'Share, Heavy Weapons to Ukraine'!B:CK,COLUMN('Share, Heavy Weapons to Ukraine'!$BT$11)-1,FALSE)</f>
        <v>0.1276595744680851</v>
      </c>
      <c r="J28" s="261">
        <f>VLOOKUP(B28,'Share, Heavy Weapons to Ukraine'!B:CK,COLUMN('Share, Heavy Weapons to Ukraine'!$BU$11)-1,FALSE)</f>
        <v>0</v>
      </c>
      <c r="K28" s="261">
        <f>VLOOKUP(B28,'Share, Heavy Weapons to Ukraine'!B:CK,COLUMN('Share, Heavy Weapons to Ukraine'!$BW$11)-1,FALSE)</f>
        <v>0</v>
      </c>
      <c r="L28" s="261">
        <f>VLOOKUP(B28,'Share, Heavy Weapons to Ukraine'!B:CK,COLUMN('Share, Heavy Weapons to Ukraine'!$BX$11)-1,FALSE)</f>
        <v>0</v>
      </c>
      <c r="M28" s="261">
        <f>VLOOKUP(B28,'Share, Heavy Weapons to Ukraine'!B:CK,COLUMN('Share, Heavy Weapons to Ukraine'!$BY$11)-1,FALSE)</f>
        <v>0</v>
      </c>
      <c r="N28" s="261">
        <f>VLOOKUP(B28,'Share, Heavy Weapons to Ukraine'!B:CK,COLUMN('Share, Heavy Weapons to Ukraine'!$BZ$11)-1,FALSE)</f>
        <v>0</v>
      </c>
    </row>
    <row r="29" spans="2:14" ht="15.95" customHeight="1">
      <c r="B29" s="2" t="s">
        <v>4700</v>
      </c>
      <c r="C29" s="261">
        <f>(VLOOKUP(B29,'Share, Heavy Weapons to Ukraine'!B:CK,COLUMN('Share, Heavy Weapons to Ukraine'!$BN$11)-1,FALSE)+VLOOKUP(B29,'Share, Heavy Weapons to Ukraine'!B:CK,COLUMN('Share, Heavy Weapons to Ukraine'!$BS$11)-1,FALSE)+VLOOKUP(B29,'Share, Heavy Weapons to Ukraine'!B:CK,COLUMN('Share, Heavy Weapons to Ukraine'!$BT$11)-1,FALSE)+VLOOKUP(B29,'Share, Heavy Weapons to Ukraine'!B:CK,COLUMN('Share, Heavy Weapons to Ukraine'!$BU$11)-1,FALSE))/4</f>
        <v>4.5921153700004373E-2</v>
      </c>
      <c r="D29" s="261">
        <f>(VLOOKUP(B29,'Share, Heavy Weapons to Ukraine'!B:CK,COLUMN('Share, Heavy Weapons to Ukraine'!$BN$11)-1,FALSE)+VLOOKUP(B29,'Share, Heavy Weapons to Ukraine'!B:CK,COLUMN('Share, Heavy Weapons to Ukraine'!$BR$11)-1,FALSE)+VLOOKUP(B29,'Share, Heavy Weapons to Ukraine'!B:CK,COLUMN('Share, Heavy Weapons to Ukraine'!$BT$11)-1,FALSE)+VLOOKUP(B29,'Share, Heavy Weapons to Ukraine'!B:CK,COLUMN('Share, Heavy Weapons to Ukraine'!$BU$11)-1,FALSE))/4</f>
        <v>3.5689517809114266E-2</v>
      </c>
      <c r="E29" s="261">
        <f>(VLOOKUP(B29,'Share, Heavy Weapons to Ukraine'!B:CK,COLUMN('Share, Heavy Weapons to Ukraine'!$CB$11)-1,FALSE)+VLOOKUP(B29,'Share, Heavy Weapons to Ukraine'!B:CK,COLUMN('Share, Heavy Weapons to Ukraine'!$CH$11)-1,FALSE)+VLOOKUP(B29,'Share, Heavy Weapons to Ukraine'!B:CK,COLUMN('Share, Heavy Weapons to Ukraine'!$CI$11)-1,FALSE))/3</f>
        <v>2.6228680981630739E-2</v>
      </c>
      <c r="F29" s="261">
        <f>G29-E29</f>
        <v>1.6046942839046459E-2</v>
      </c>
      <c r="G29" s="261">
        <f>(VLOOKUP(B29,'Share, Heavy Weapons to Ukraine'!B:CK,COLUMN('Share, Heavy Weapons to Ukraine'!$BN$11)-1,FALSE)+VLOOKUP(B29,'Share, Heavy Weapons to Ukraine'!B:CK,COLUMN('Share, Heavy Weapons to Ukraine'!$BT$11)-1,FALSE)+VLOOKUP(B29,'Share, Heavy Weapons to Ukraine'!B:CK,COLUMN('Share, Heavy Weapons to Ukraine'!$BU$11)-1,FALSE))/3</f>
        <v>4.2275623820677198E-2</v>
      </c>
      <c r="H29" s="261">
        <f>(VLOOKUP(B29,'Share, Heavy Weapons to Ukraine'!B:CK,COLUMN('Share, Heavy Weapons to Ukraine'!$BN$11)-1,FALSE))</f>
        <v>9.6971914737901382E-3</v>
      </c>
      <c r="I29" s="261">
        <f>VLOOKUP(B29,'Share, Heavy Weapons to Ukraine'!B:CK,COLUMN('Share, Heavy Weapons to Ukraine'!$BT$11)-1,FALSE)</f>
        <v>6.0366394964086842E-2</v>
      </c>
      <c r="J29" s="261">
        <f>VLOOKUP(B29,'Share, Heavy Weapons to Ukraine'!B:CK,COLUMN('Share, Heavy Weapons to Ukraine'!$BU$11)-1,FALSE)</f>
        <v>5.6763285024154592E-2</v>
      </c>
      <c r="K29" s="261">
        <f>VLOOKUP(B29,'Share, Heavy Weapons to Ukraine'!B:CK,COLUMN('Share, Heavy Weapons to Ukraine'!$BW$11)-1,FALSE)</f>
        <v>1.953125E-3</v>
      </c>
      <c r="L29" s="128">
        <f>VLOOKUP(B29,'Share, Heavy Weapons to Ukraine'!B:CK,COLUMN('Share, Heavy Weapons to Ukraine'!$BX$11)-1,FALSE)</f>
        <v>4.7732696897374704E-3</v>
      </c>
      <c r="M29" s="261">
        <f>VLOOKUP(B29,'Share, Heavy Weapons to Ukraine'!B:CK,COLUMN('Share, Heavy Weapons to Ukraine'!$BY$11)-1,FALSE)</f>
        <v>9.4339622641509441E-2</v>
      </c>
      <c r="N29" s="261">
        <f>VLOOKUP(B29,'Share, Heavy Weapons to Ukraine'!B:CK,COLUMN('Share, Heavy Weapons to Ukraine'!$BZ$11)-1,FALSE)</f>
        <v>6.3328424153166418E-2</v>
      </c>
    </row>
    <row r="30" spans="2:14" ht="15.95" customHeight="1">
      <c r="B30" s="2" t="s">
        <v>3412</v>
      </c>
      <c r="C30" s="261">
        <f>(VLOOKUP(B30,'Share, Heavy Weapons to Ukraine'!B:CK,COLUMN('Share, Heavy Weapons to Ukraine'!$BN$11)-1,FALSE)+VLOOKUP(B30,'Share, Heavy Weapons to Ukraine'!B:CK,COLUMN('Share, Heavy Weapons to Ukraine'!$BS$11)-1,FALSE)+VLOOKUP(B30,'Share, Heavy Weapons to Ukraine'!B:CK,COLUMN('Share, Heavy Weapons to Ukraine'!$BT$11)-1,FALSE)+VLOOKUP(B30,'Share, Heavy Weapons to Ukraine'!B:CK,COLUMN('Share, Heavy Weapons to Ukraine'!$BU$11)-1,FALSE))/4</f>
        <v>1.8632291639126105E-2</v>
      </c>
      <c r="D30" s="261">
        <f>(VLOOKUP(B30,'Share, Heavy Weapons to Ukraine'!B:CK,COLUMN('Share, Heavy Weapons to Ukraine'!$BN$11)-1,FALSE)+VLOOKUP(B30,'Share, Heavy Weapons to Ukraine'!B:CK,COLUMN('Share, Heavy Weapons to Ukraine'!$BR$11)-1,FALSE)+VLOOKUP(B30,'Share, Heavy Weapons to Ukraine'!B:CK,COLUMN('Share, Heavy Weapons to Ukraine'!$BT$11)-1,FALSE)+VLOOKUP(B30,'Share, Heavy Weapons to Ukraine'!B:CK,COLUMN('Share, Heavy Weapons to Ukraine'!$BU$11)-1,FALSE))/4</f>
        <v>7.6452599388379203E-3</v>
      </c>
      <c r="E30" s="261">
        <f>(VLOOKUP(B30,'Share, Heavy Weapons to Ukraine'!B:CK,COLUMN('Share, Heavy Weapons to Ukraine'!$CB$11)-1,FALSE)+VLOOKUP(B30,'Share, Heavy Weapons to Ukraine'!B:CK,COLUMN('Share, Heavy Weapons to Ukraine'!$CH$11)-1,FALSE)+VLOOKUP(B30,'Share, Heavy Weapons to Ukraine'!B:CK,COLUMN('Share, Heavy Weapons to Ukraine'!$CI$11)-1,FALSE))/3</f>
        <v>1.0193679918450561E-2</v>
      </c>
      <c r="F30" s="261">
        <f>G30-E30</f>
        <v>0</v>
      </c>
      <c r="G30" s="261">
        <f>(VLOOKUP(B30,'Share, Heavy Weapons to Ukraine'!B:CK,COLUMN('Share, Heavy Weapons to Ukraine'!$BN$11)-1,FALSE)+VLOOKUP(B30,'Share, Heavy Weapons to Ukraine'!B:CK,COLUMN('Share, Heavy Weapons to Ukraine'!$BT$11)-1,FALSE)+VLOOKUP(B30,'Share, Heavy Weapons to Ukraine'!B:CK,COLUMN('Share, Heavy Weapons to Ukraine'!$BU$11)-1,FALSE))/3</f>
        <v>1.0193679918450561E-2</v>
      </c>
      <c r="H30" s="261">
        <f>(VLOOKUP(B30,'Share, Heavy Weapons to Ukraine'!B:CK,COLUMN('Share, Heavy Weapons to Ukraine'!$BN$11)-1,FALSE))</f>
        <v>3.0581039755351681E-2</v>
      </c>
      <c r="I30" s="261">
        <f>VLOOKUP(B30,'Share, Heavy Weapons to Ukraine'!B:CK,COLUMN('Share, Heavy Weapons to Ukraine'!$BT$11)-1,FALSE)</f>
        <v>0</v>
      </c>
      <c r="J30" s="261">
        <f>VLOOKUP(B30,'Share, Heavy Weapons to Ukraine'!B:CK,COLUMN('Share, Heavy Weapons to Ukraine'!$BU$11)-1,FALSE)</f>
        <v>0</v>
      </c>
      <c r="K30" s="261">
        <f>VLOOKUP(B30,'Share, Heavy Weapons to Ukraine'!B:CK,COLUMN('Share, Heavy Weapons to Ukraine'!$BW$11)-1,FALSE)</f>
        <v>0</v>
      </c>
      <c r="L30" s="261">
        <f>VLOOKUP(B30,'Share, Heavy Weapons to Ukraine'!B:CK,COLUMN('Share, Heavy Weapons to Ukraine'!$BX$11)-1,FALSE)</f>
        <v>0.15789473684210525</v>
      </c>
      <c r="M30" s="261">
        <f>VLOOKUP(B30,'Share, Heavy Weapons to Ukraine'!B:CK,COLUMN('Share, Heavy Weapons to Ukraine'!$BY$11)-1,FALSE)</f>
        <v>4.7619047619047616E-2</v>
      </c>
      <c r="N30" s="261">
        <f>VLOOKUP(B30,'Share, Heavy Weapons to Ukraine'!B:CK,COLUMN('Share, Heavy Weapons to Ukraine'!$BZ$11)-1,FALSE)</f>
        <v>0</v>
      </c>
    </row>
    <row r="31" spans="2:14" ht="15.95" customHeight="1">
      <c r="B31" s="2" t="s">
        <v>1432</v>
      </c>
      <c r="C31" s="261">
        <f>(VLOOKUP(B31,'Share, Heavy Weapons to Ukraine'!B:CK,COLUMN('Share, Heavy Weapons to Ukraine'!$BN$11)-1,FALSE)+VLOOKUP(B31,'Share, Heavy Weapons to Ukraine'!B:CK,COLUMN('Share, Heavy Weapons to Ukraine'!$BS$11)-1,FALSE)+VLOOKUP(B31,'Share, Heavy Weapons to Ukraine'!B:CK,COLUMN('Share, Heavy Weapons to Ukraine'!$BT$11)-1,FALSE)+VLOOKUP(B31,'Share, Heavy Weapons to Ukraine'!B:CK,COLUMN('Share, Heavy Weapons to Ukraine'!$BU$11)-1,FALSE))/4</f>
        <v>0</v>
      </c>
      <c r="D31" s="261">
        <f>(VLOOKUP(B31,'Share, Heavy Weapons to Ukraine'!B:CK,COLUMN('Share, Heavy Weapons to Ukraine'!$BN$11)-1,FALSE)+VLOOKUP(B31,'Share, Heavy Weapons to Ukraine'!B:CK,COLUMN('Share, Heavy Weapons to Ukraine'!$BR$11)-1,FALSE)+VLOOKUP(B31,'Share, Heavy Weapons to Ukraine'!B:CK,COLUMN('Share, Heavy Weapons to Ukraine'!$BT$11)-1,FALSE)+VLOOKUP(B31,'Share, Heavy Weapons to Ukraine'!B:CK,COLUMN('Share, Heavy Weapons to Ukraine'!$BU$11)-1,FALSE))/4</f>
        <v>0</v>
      </c>
      <c r="E31" s="261">
        <f>(VLOOKUP(B31,'Share, Heavy Weapons to Ukraine'!B:CK,COLUMN('Share, Heavy Weapons to Ukraine'!$CB$11)-1,FALSE)+VLOOKUP(B31,'Share, Heavy Weapons to Ukraine'!B:CK,COLUMN('Share, Heavy Weapons to Ukraine'!$CH$11)-1,FALSE)+VLOOKUP(B31,'Share, Heavy Weapons to Ukraine'!B:CK,COLUMN('Share, Heavy Weapons to Ukraine'!$CI$11)-1,FALSE))/3</f>
        <v>0</v>
      </c>
      <c r="F31" s="261">
        <f>G31-E31</f>
        <v>0</v>
      </c>
      <c r="G31" s="261">
        <f>(VLOOKUP(B31,'Share, Heavy Weapons to Ukraine'!B:CK,COLUMN('Share, Heavy Weapons to Ukraine'!$BN$11)-1,FALSE)+VLOOKUP(B31,'Share, Heavy Weapons to Ukraine'!B:CK,COLUMN('Share, Heavy Weapons to Ukraine'!$BT$11)-1,FALSE)+VLOOKUP(B31,'Share, Heavy Weapons to Ukraine'!B:CK,COLUMN('Share, Heavy Weapons to Ukraine'!$BU$11)-1,FALSE))/3</f>
        <v>0</v>
      </c>
      <c r="H31" s="261">
        <f>(VLOOKUP(B31,'Share, Heavy Weapons to Ukraine'!B:CK,COLUMN('Share, Heavy Weapons to Ukraine'!$BN$11)-1,FALSE))</f>
        <v>0</v>
      </c>
      <c r="I31" s="261">
        <f>VLOOKUP(B31,'Share, Heavy Weapons to Ukraine'!B:CK,COLUMN('Share, Heavy Weapons to Ukraine'!$BT$11)-1,FALSE)</f>
        <v>0</v>
      </c>
      <c r="J31" s="261">
        <f>VLOOKUP(B31,'Share, Heavy Weapons to Ukraine'!B:CK,COLUMN('Share, Heavy Weapons to Ukraine'!$BU$11)-1,FALSE)</f>
        <v>0</v>
      </c>
      <c r="K31" s="261">
        <f>VLOOKUP(B31,'Share, Heavy Weapons to Ukraine'!B:CK,COLUMN('Share, Heavy Weapons to Ukraine'!$BW$11)-1,FALSE)</f>
        <v>0</v>
      </c>
      <c r="L31" s="261">
        <f>VLOOKUP(B31,'Share, Heavy Weapons to Ukraine'!B:CK,COLUMN('Share, Heavy Weapons to Ukraine'!$BX$11)-1,FALSE)</f>
        <v>0</v>
      </c>
      <c r="M31" s="261">
        <f>VLOOKUP(B31,'Share, Heavy Weapons to Ukraine'!B:CK,COLUMN('Share, Heavy Weapons to Ukraine'!$BY$11)-1,FALSE)</f>
        <v>0</v>
      </c>
      <c r="N31" s="261">
        <f>VLOOKUP(B31,'Share, Heavy Weapons to Ukraine'!B:CK,COLUMN('Share, Heavy Weapons to Ukraine'!$BZ$11)-1,FALSE)</f>
        <v>0</v>
      </c>
    </row>
    <row r="32" spans="2:14" ht="15.95" customHeight="1">
      <c r="B32" s="2" t="s">
        <v>3261</v>
      </c>
      <c r="C32" s="261">
        <f>(VLOOKUP(B32,'Share, Heavy Weapons to Ukraine'!B:CK,COLUMN('Share, Heavy Weapons to Ukraine'!$BN$11)-1,FALSE)+VLOOKUP(B32,'Share, Heavy Weapons to Ukraine'!B:CK,COLUMN('Share, Heavy Weapons to Ukraine'!$BS$11)-1,FALSE)+VLOOKUP(B32,'Share, Heavy Weapons to Ukraine'!B:CK,COLUMN('Share, Heavy Weapons to Ukraine'!$BT$11)-1,FALSE)+VLOOKUP(B32,'Share, Heavy Weapons to Ukraine'!B:CK,COLUMN('Share, Heavy Weapons to Ukraine'!$BU$11)-1,FALSE))/4</f>
        <v>2.100840336134454E-2</v>
      </c>
      <c r="D32" s="261">
        <f>(VLOOKUP(B32,'Share, Heavy Weapons to Ukraine'!B:CK,COLUMN('Share, Heavy Weapons to Ukraine'!$BN$11)-1,FALSE)+VLOOKUP(B32,'Share, Heavy Weapons to Ukraine'!B:CK,COLUMN('Share, Heavy Weapons to Ukraine'!$BR$11)-1,FALSE)+VLOOKUP(B32,'Share, Heavy Weapons to Ukraine'!B:CK,COLUMN('Share, Heavy Weapons to Ukraine'!$BT$11)-1,FALSE)+VLOOKUP(B32,'Share, Heavy Weapons to Ukraine'!B:CK,COLUMN('Share, Heavy Weapons to Ukraine'!$BU$11)-1,FALSE))/4</f>
        <v>2.9296875E-2</v>
      </c>
      <c r="E32" s="261">
        <f>(VLOOKUP(B32,'Share, Heavy Weapons to Ukraine'!B:CK,COLUMN('Share, Heavy Weapons to Ukraine'!$CB$11)-1,FALSE)+VLOOKUP(B32,'Share, Heavy Weapons to Ukraine'!B:CK,COLUMN('Share, Heavy Weapons to Ukraine'!$CH$11)-1,FALSE)+VLOOKUP(B32,'Share, Heavy Weapons to Ukraine'!B:CK,COLUMN('Share, Heavy Weapons to Ukraine'!$CI$11)-1,FALSE))/3</f>
        <v>0</v>
      </c>
      <c r="F32" s="261">
        <f>G32-E32</f>
        <v>0</v>
      </c>
      <c r="G32" s="261">
        <f>(VLOOKUP(B32,'Share, Heavy Weapons to Ukraine'!B:CK,COLUMN('Share, Heavy Weapons to Ukraine'!$BN$11)-1,FALSE)+VLOOKUP(B32,'Share, Heavy Weapons to Ukraine'!B:CK,COLUMN('Share, Heavy Weapons to Ukraine'!$BT$11)-1,FALSE)+VLOOKUP(B32,'Share, Heavy Weapons to Ukraine'!B:CK,COLUMN('Share, Heavy Weapons to Ukraine'!$BU$11)-1,FALSE))/3</f>
        <v>0</v>
      </c>
      <c r="H32" s="261">
        <f>(VLOOKUP(B32,'Share, Heavy Weapons to Ukraine'!B:CK,COLUMN('Share, Heavy Weapons to Ukraine'!$BN$11)-1,FALSE))</f>
        <v>0</v>
      </c>
      <c r="I32" s="261">
        <f>VLOOKUP(B32,'Share, Heavy Weapons to Ukraine'!B:CK,COLUMN('Share, Heavy Weapons to Ukraine'!$BT$11)-1,FALSE)</f>
        <v>0</v>
      </c>
      <c r="J32" s="261">
        <f>VLOOKUP(B32,'Share, Heavy Weapons to Ukraine'!B:CK,COLUMN('Share, Heavy Weapons to Ukraine'!$BU$11)-1,FALSE)</f>
        <v>0</v>
      </c>
      <c r="K32" s="261">
        <f>VLOOKUP(B32,'Share, Heavy Weapons to Ukraine'!B:CK,COLUMN('Share, Heavy Weapons to Ukraine'!$BW$11)-1,FALSE)</f>
        <v>1</v>
      </c>
      <c r="L32" s="261">
        <f>VLOOKUP(B32,'Share, Heavy Weapons to Ukraine'!B:CK,COLUMN('Share, Heavy Weapons to Ukraine'!$BX$11)-1,FALSE)</f>
        <v>0</v>
      </c>
      <c r="M32" s="261">
        <f>VLOOKUP(B32,'Share, Heavy Weapons to Ukraine'!B:CK,COLUMN('Share, Heavy Weapons to Ukraine'!$BY$11)-1,FALSE)</f>
        <v>1</v>
      </c>
      <c r="N32" s="261">
        <f>VLOOKUP(B32,'Share, Heavy Weapons to Ukraine'!B:CK,COLUMN('Share, Heavy Weapons to Ukraine'!$BZ$11)-1,FALSE)</f>
        <v>0</v>
      </c>
    </row>
    <row r="33" spans="2:14" ht="15.95" customHeight="1">
      <c r="B33" s="2" t="s">
        <v>2488</v>
      </c>
      <c r="C33" s="261">
        <f>(VLOOKUP(B33,'Share, Heavy Weapons to Ukraine'!B:CK,COLUMN('Share, Heavy Weapons to Ukraine'!$BN$11)-1,FALSE)+VLOOKUP(B33,'Share, Heavy Weapons to Ukraine'!B:CK,COLUMN('Share, Heavy Weapons to Ukraine'!$BS$11)-1,FALSE)+VLOOKUP(B33,'Share, Heavy Weapons to Ukraine'!B:CK,COLUMN('Share, Heavy Weapons to Ukraine'!$BT$11)-1,FALSE)+VLOOKUP(B33,'Share, Heavy Weapons to Ukraine'!B:CK,COLUMN('Share, Heavy Weapons to Ukraine'!$BU$11)-1,FALSE))/4</f>
        <v>4.6130952380952384E-2</v>
      </c>
      <c r="D33" s="261">
        <f>(VLOOKUP(B33,'Share, Heavy Weapons to Ukraine'!B:CK,COLUMN('Share, Heavy Weapons to Ukraine'!$BN$11)-1,FALSE)+VLOOKUP(B33,'Share, Heavy Weapons to Ukraine'!B:CK,COLUMN('Share, Heavy Weapons to Ukraine'!$BR$11)-1,FALSE)+VLOOKUP(B33,'Share, Heavy Weapons to Ukraine'!B:CK,COLUMN('Share, Heavy Weapons to Ukraine'!$BT$11)-1,FALSE)+VLOOKUP(B33,'Share, Heavy Weapons to Ukraine'!B:CK,COLUMN('Share, Heavy Weapons to Ukraine'!$BU$11)-1,FALSE))/4</f>
        <v>0</v>
      </c>
      <c r="E33" s="261">
        <f>(VLOOKUP(B33,'Share, Heavy Weapons to Ukraine'!B:CK,COLUMN('Share, Heavy Weapons to Ukraine'!$CB$11)-1,FALSE)+VLOOKUP(B33,'Share, Heavy Weapons to Ukraine'!B:CK,COLUMN('Share, Heavy Weapons to Ukraine'!$CH$11)-1,FALSE)+VLOOKUP(B33,'Share, Heavy Weapons to Ukraine'!B:CK,COLUMN('Share, Heavy Weapons to Ukraine'!$CI$11)-1,FALSE))/3</f>
        <v>0</v>
      </c>
      <c r="F33" s="261">
        <f>G33-E33</f>
        <v>0</v>
      </c>
      <c r="G33" s="261">
        <f>(VLOOKUP(B33,'Share, Heavy Weapons to Ukraine'!B:CK,COLUMN('Share, Heavy Weapons to Ukraine'!$BN$11)-1,FALSE)+VLOOKUP(B33,'Share, Heavy Weapons to Ukraine'!B:CK,COLUMN('Share, Heavy Weapons to Ukraine'!$BT$11)-1,FALSE)+VLOOKUP(B33,'Share, Heavy Weapons to Ukraine'!B:CK,COLUMN('Share, Heavy Weapons to Ukraine'!$BU$11)-1,FALSE))/3</f>
        <v>0</v>
      </c>
      <c r="H33" s="261">
        <f>(VLOOKUP(B33,'Share, Heavy Weapons to Ukraine'!B:CK,COLUMN('Share, Heavy Weapons to Ukraine'!$BN$11)-1,FALSE))</f>
        <v>0</v>
      </c>
      <c r="I33" s="261">
        <f>VLOOKUP(B33,'Share, Heavy Weapons to Ukraine'!B:CK,COLUMN('Share, Heavy Weapons to Ukraine'!$BT$11)-1,FALSE)</f>
        <v>0</v>
      </c>
      <c r="J33" s="261">
        <f>VLOOKUP(B33,'Share, Heavy Weapons to Ukraine'!B:CK,COLUMN('Share, Heavy Weapons to Ukraine'!$BU$11)-1,FALSE)</f>
        <v>0</v>
      </c>
      <c r="K33" s="261">
        <f>VLOOKUP(B33,'Share, Heavy Weapons to Ukraine'!B:CK,COLUMN('Share, Heavy Weapons to Ukraine'!$BW$11)-1,FALSE)</f>
        <v>0</v>
      </c>
      <c r="L33" s="261">
        <f>VLOOKUP(B33,'Share, Heavy Weapons to Ukraine'!B:CK,COLUMN('Share, Heavy Weapons to Ukraine'!$BX$11)-1,FALSE)</f>
        <v>0</v>
      </c>
      <c r="M33" s="261">
        <f>VLOOKUP(B33,'Share, Heavy Weapons to Ukraine'!B:CK,COLUMN('Share, Heavy Weapons to Ukraine'!$BY$11)-1,FALSE)</f>
        <v>0</v>
      </c>
      <c r="N33" s="261">
        <f>VLOOKUP(B33,'Share, Heavy Weapons to Ukraine'!B:CK,COLUMN('Share, Heavy Weapons to Ukraine'!$BZ$11)-1,FALSE)</f>
        <v>0</v>
      </c>
    </row>
    <row r="34" spans="2:14" ht="15.95" customHeight="1">
      <c r="B34" s="2" t="s">
        <v>1973</v>
      </c>
      <c r="C34" s="261">
        <f>(VLOOKUP(B34,'Share, Heavy Weapons to Ukraine'!B:CK,COLUMN('Share, Heavy Weapons to Ukraine'!$BN$11)-1,FALSE)+VLOOKUP(B34,'Share, Heavy Weapons to Ukraine'!B:CK,COLUMN('Share, Heavy Weapons to Ukraine'!$BS$11)-1,FALSE)+VLOOKUP(B34,'Share, Heavy Weapons to Ukraine'!B:CK,COLUMN('Share, Heavy Weapons to Ukraine'!$BT$11)-1,FALSE)+VLOOKUP(B34,'Share, Heavy Weapons to Ukraine'!B:CK,COLUMN('Share, Heavy Weapons to Ukraine'!$BU$11)-1,FALSE))/4</f>
        <v>6.5245759025663328E-3</v>
      </c>
      <c r="D34" s="261">
        <f>(VLOOKUP(B34,'Share, Heavy Weapons to Ukraine'!B:CK,COLUMN('Share, Heavy Weapons to Ukraine'!$BN$11)-1,FALSE)+VLOOKUP(B34,'Share, Heavy Weapons to Ukraine'!B:CK,COLUMN('Share, Heavy Weapons to Ukraine'!$BR$11)-1,FALSE)+VLOOKUP(B34,'Share, Heavy Weapons to Ukraine'!B:CK,COLUMN('Share, Heavy Weapons to Ukraine'!$BT$11)-1,FALSE)+VLOOKUP(B34,'Share, Heavy Weapons to Ukraine'!B:CK,COLUMN('Share, Heavy Weapons to Ukraine'!$BU$11)-1,FALSE))/4</f>
        <v>8.8757396449704137E-2</v>
      </c>
      <c r="E34" s="261">
        <f>(VLOOKUP(B34,'Share, Heavy Weapons to Ukraine'!B:CK,COLUMN('Share, Heavy Weapons to Ukraine'!$CB$11)-1,FALSE)+VLOOKUP(B34,'Share, Heavy Weapons to Ukraine'!B:CK,COLUMN('Share, Heavy Weapons to Ukraine'!$CH$11)-1,FALSE)+VLOOKUP(B34,'Share, Heavy Weapons to Ukraine'!B:CK,COLUMN('Share, Heavy Weapons to Ukraine'!$CI$11)-1,FALSE))/3</f>
        <v>0</v>
      </c>
      <c r="F34" s="261">
        <f>G34-E34</f>
        <v>0</v>
      </c>
      <c r="G34" s="261">
        <f>(VLOOKUP(B34,'Share, Heavy Weapons to Ukraine'!B:CK,COLUMN('Share, Heavy Weapons to Ukraine'!$BN$11)-1,FALSE)+VLOOKUP(B34,'Share, Heavy Weapons to Ukraine'!B:CK,COLUMN('Share, Heavy Weapons to Ukraine'!$BT$11)-1,FALSE)+VLOOKUP(B34,'Share, Heavy Weapons to Ukraine'!B:CK,COLUMN('Share, Heavy Weapons to Ukraine'!$BU$11)-1,FALSE))/3</f>
        <v>0</v>
      </c>
      <c r="H34" s="261">
        <f>(VLOOKUP(B34,'Share, Heavy Weapons to Ukraine'!B:CK,COLUMN('Share, Heavy Weapons to Ukraine'!$BN$11)-1,FALSE))</f>
        <v>0</v>
      </c>
      <c r="I34" s="261">
        <f>VLOOKUP(B34,'Share, Heavy Weapons to Ukraine'!B:CK,COLUMN('Share, Heavy Weapons to Ukraine'!$BT$11)-1,FALSE)</f>
        <v>0</v>
      </c>
      <c r="J34" s="261">
        <f>VLOOKUP(B34,'Share, Heavy Weapons to Ukraine'!B:CK,COLUMN('Share, Heavy Weapons to Ukraine'!$BU$11)-1,FALSE)</f>
        <v>0</v>
      </c>
      <c r="K34" s="261">
        <f>VLOOKUP(B34,'Share, Heavy Weapons to Ukraine'!B:CK,COLUMN('Share, Heavy Weapons to Ukraine'!$BW$11)-1,FALSE)</f>
        <v>0</v>
      </c>
      <c r="L34" s="261">
        <f>VLOOKUP(B34,'Share, Heavy Weapons to Ukraine'!B:CK,COLUMN('Share, Heavy Weapons to Ukraine'!$BX$11)-1,FALSE)</f>
        <v>0</v>
      </c>
      <c r="M34" s="261">
        <f>VLOOKUP(B34,'Share, Heavy Weapons to Ukraine'!B:CK,COLUMN('Share, Heavy Weapons to Ukraine'!$BY$11)-1,FALSE)</f>
        <v>0</v>
      </c>
      <c r="N34" s="261">
        <f>VLOOKUP(B34,'Share, Heavy Weapons to Ukraine'!B:CK,COLUMN('Share, Heavy Weapons to Ukraine'!$BZ$11)-1,FALSE)</f>
        <v>0</v>
      </c>
    </row>
    <row r="35" spans="2:14" ht="15.95" customHeight="1">
      <c r="B35" s="2" t="s">
        <v>3685</v>
      </c>
      <c r="C35" s="261">
        <f>(VLOOKUP(B35,'Share, Heavy Weapons to Ukraine'!B:CK,COLUMN('Share, Heavy Weapons to Ukraine'!$BN$11)-1,FALSE)+VLOOKUP(B35,'Share, Heavy Weapons to Ukraine'!B:CK,COLUMN('Share, Heavy Weapons to Ukraine'!$BS$11)-1,FALSE)+VLOOKUP(B35,'Share, Heavy Weapons to Ukraine'!B:CK,COLUMN('Share, Heavy Weapons to Ukraine'!$BT$11)-1,FALSE)+VLOOKUP(B35,'Share, Heavy Weapons to Ukraine'!B:CK,COLUMN('Share, Heavy Weapons to Ukraine'!$BU$11)-1,FALSE))/4</f>
        <v>7.0313598649978902E-3</v>
      </c>
      <c r="D35" s="261">
        <f>(VLOOKUP(B35,'Share, Heavy Weapons to Ukraine'!B:CK,COLUMN('Share, Heavy Weapons to Ukraine'!$BN$11)-1,FALSE)+VLOOKUP(B35,'Share, Heavy Weapons to Ukraine'!B:CK,COLUMN('Share, Heavy Weapons to Ukraine'!$BR$11)-1,FALSE)+VLOOKUP(B35,'Share, Heavy Weapons to Ukraine'!B:CK,COLUMN('Share, Heavy Weapons to Ukraine'!$BT$11)-1,FALSE)+VLOOKUP(B35,'Share, Heavy Weapons to Ukraine'!B:CK,COLUMN('Share, Heavy Weapons to Ukraine'!$BU$11)-1,FALSE))/4</f>
        <v>0</v>
      </c>
      <c r="E35" s="261">
        <f>(VLOOKUP(B35,'Share, Heavy Weapons to Ukraine'!B:CK,COLUMN('Share, Heavy Weapons to Ukraine'!$CB$11)-1,FALSE)+VLOOKUP(B35,'Share, Heavy Weapons to Ukraine'!B:CK,COLUMN('Share, Heavy Weapons to Ukraine'!$CH$11)-1,FALSE)+VLOOKUP(B35,'Share, Heavy Weapons to Ukraine'!B:CK,COLUMN('Share, Heavy Weapons to Ukraine'!$CI$11)-1,FALSE))/3</f>
        <v>0</v>
      </c>
      <c r="F35" s="261">
        <f>G35-E35</f>
        <v>0</v>
      </c>
      <c r="G35" s="261">
        <f>(VLOOKUP(B35,'Share, Heavy Weapons to Ukraine'!B:CK,COLUMN('Share, Heavy Weapons to Ukraine'!$BN$11)-1,FALSE)+VLOOKUP(B35,'Share, Heavy Weapons to Ukraine'!B:CK,COLUMN('Share, Heavy Weapons to Ukraine'!$BT$11)-1,FALSE)+VLOOKUP(B35,'Share, Heavy Weapons to Ukraine'!B:CK,COLUMN('Share, Heavy Weapons to Ukraine'!$BU$11)-1,FALSE))/3</f>
        <v>0</v>
      </c>
      <c r="H35" s="261">
        <f>(VLOOKUP(B35,'Share, Heavy Weapons to Ukraine'!B:CK,COLUMN('Share, Heavy Weapons to Ukraine'!$BN$11)-1,FALSE))</f>
        <v>0</v>
      </c>
      <c r="I35" s="261">
        <f>VLOOKUP(B35,'Share, Heavy Weapons to Ukraine'!B:CK,COLUMN('Share, Heavy Weapons to Ukraine'!$BT$11)-1,FALSE)</f>
        <v>0</v>
      </c>
      <c r="J35" s="261">
        <f>VLOOKUP(B35,'Share, Heavy Weapons to Ukraine'!B:CK,COLUMN('Share, Heavy Weapons to Ukraine'!$BU$11)-1,FALSE)</f>
        <v>0</v>
      </c>
      <c r="K35" s="261">
        <f>VLOOKUP(B35,'Share, Heavy Weapons to Ukraine'!B:CK,COLUMN('Share, Heavy Weapons to Ukraine'!$BW$11)-1,FALSE)</f>
        <v>0</v>
      </c>
      <c r="L35" s="261">
        <f>VLOOKUP(B35,'Share, Heavy Weapons to Ukraine'!B:CK,COLUMN('Share, Heavy Weapons to Ukraine'!$BX$11)-1,FALSE)</f>
        <v>0</v>
      </c>
      <c r="M35" s="261">
        <f>VLOOKUP(B35,'Share, Heavy Weapons to Ukraine'!B:CK,COLUMN('Share, Heavy Weapons to Ukraine'!$BY$11)-1,FALSE)</f>
        <v>0</v>
      </c>
      <c r="N35" s="261">
        <f>VLOOKUP(B35,'Share, Heavy Weapons to Ukraine'!B:CK,COLUMN('Share, Heavy Weapons to Ukraine'!$BZ$11)-1,FALSE)</f>
        <v>0</v>
      </c>
    </row>
    <row r="36" spans="2:14" ht="15.95" customHeight="1">
      <c r="B36" s="2" t="s">
        <v>454</v>
      </c>
      <c r="C36" s="261">
        <f>(VLOOKUP(B36,'Share, Heavy Weapons to Ukraine'!B:CK,COLUMN('Share, Heavy Weapons to Ukraine'!$BN$11)-1,FALSE)+VLOOKUP(B36,'Share, Heavy Weapons to Ukraine'!B:CK,COLUMN('Share, Heavy Weapons to Ukraine'!$BS$11)-1,FALSE)+VLOOKUP(B36,'Share, Heavy Weapons to Ukraine'!B:CK,COLUMN('Share, Heavy Weapons to Ukraine'!$BT$11)-1,FALSE)+VLOOKUP(B36,'Share, Heavy Weapons to Ukraine'!B:CK,COLUMN('Share, Heavy Weapons to Ukraine'!$BU$11)-1,FALSE))/4</f>
        <v>0</v>
      </c>
      <c r="D36" s="261">
        <f>(VLOOKUP(B36,'Share, Heavy Weapons to Ukraine'!B:CK,COLUMN('Share, Heavy Weapons to Ukraine'!$BN$11)-1,FALSE)+VLOOKUP(B36,'Share, Heavy Weapons to Ukraine'!B:CK,COLUMN('Share, Heavy Weapons to Ukraine'!$BR$11)-1,FALSE)+VLOOKUP(B36,'Share, Heavy Weapons to Ukraine'!B:CK,COLUMN('Share, Heavy Weapons to Ukraine'!$BT$11)-1,FALSE)+VLOOKUP(B36,'Share, Heavy Weapons to Ukraine'!B:CK,COLUMN('Share, Heavy Weapons to Ukraine'!$BU$11)-1,FALSE))/4</f>
        <v>0</v>
      </c>
      <c r="E36" s="261">
        <f>(VLOOKUP(B36,'Share, Heavy Weapons to Ukraine'!B:CK,COLUMN('Share, Heavy Weapons to Ukraine'!$CB$11)-1,FALSE)+VLOOKUP(B36,'Share, Heavy Weapons to Ukraine'!B:CK,COLUMN('Share, Heavy Weapons to Ukraine'!$CH$11)-1,FALSE)+VLOOKUP(B36,'Share, Heavy Weapons to Ukraine'!B:CK,COLUMN('Share, Heavy Weapons to Ukraine'!$CI$11)-1,FALSE))/3</f>
        <v>0</v>
      </c>
      <c r="F36" s="261">
        <f>G36-E36</f>
        <v>0</v>
      </c>
      <c r="G36" s="261">
        <f>(VLOOKUP(B36,'Share, Heavy Weapons to Ukraine'!B:CK,COLUMN('Share, Heavy Weapons to Ukraine'!$BN$11)-1,FALSE)+VLOOKUP(B36,'Share, Heavy Weapons to Ukraine'!B:CK,COLUMN('Share, Heavy Weapons to Ukraine'!$BT$11)-1,FALSE)+VLOOKUP(B36,'Share, Heavy Weapons to Ukraine'!B:CK,COLUMN('Share, Heavy Weapons to Ukraine'!$BU$11)-1,FALSE))/3</f>
        <v>0</v>
      </c>
      <c r="H36" s="261">
        <f>(VLOOKUP(B36,'Share, Heavy Weapons to Ukraine'!B:CK,COLUMN('Share, Heavy Weapons to Ukraine'!$BN$11)-1,FALSE))</f>
        <v>0</v>
      </c>
      <c r="I36" s="261">
        <f>VLOOKUP(B36,'Share, Heavy Weapons to Ukraine'!B:CK,COLUMN('Share, Heavy Weapons to Ukraine'!$BT$11)-1,FALSE)</f>
        <v>0</v>
      </c>
      <c r="J36" s="261">
        <f>VLOOKUP(B36,'Share, Heavy Weapons to Ukraine'!B:CK,COLUMN('Share, Heavy Weapons to Ukraine'!$BU$11)-1,FALSE)</f>
        <v>0</v>
      </c>
      <c r="K36" s="261">
        <f>VLOOKUP(B36,'Share, Heavy Weapons to Ukraine'!B:CK,COLUMN('Share, Heavy Weapons to Ukraine'!$BW$11)-1,FALSE)</f>
        <v>0</v>
      </c>
      <c r="L36" s="261">
        <f>VLOOKUP(B36,'Share, Heavy Weapons to Ukraine'!B:CK,COLUMN('Share, Heavy Weapons to Ukraine'!$BX$11)-1,FALSE)</f>
        <v>0</v>
      </c>
      <c r="M36" s="261">
        <f>VLOOKUP(B36,'Share, Heavy Weapons to Ukraine'!B:CK,COLUMN('Share, Heavy Weapons to Ukraine'!$BY$11)-1,FALSE)</f>
        <v>0</v>
      </c>
      <c r="N36" s="261">
        <f>VLOOKUP(B36,'Share, Heavy Weapons to Ukraine'!B:CK,COLUMN('Share, Heavy Weapons to Ukraine'!$BZ$11)-1,FALSE)</f>
        <v>0</v>
      </c>
    </row>
    <row r="37" spans="2:14" ht="15.95" customHeight="1">
      <c r="B37" s="2" t="s">
        <v>558</v>
      </c>
      <c r="C37" s="261">
        <f>(VLOOKUP(B37,'Share, Heavy Weapons to Ukraine'!B:CK,COLUMN('Share, Heavy Weapons to Ukraine'!$BN$11)-1,FALSE)+VLOOKUP(B37,'Share, Heavy Weapons to Ukraine'!B:CK,COLUMN('Share, Heavy Weapons to Ukraine'!$BS$11)-1,FALSE)+VLOOKUP(B37,'Share, Heavy Weapons to Ukraine'!B:CK,COLUMN('Share, Heavy Weapons to Ukraine'!$BT$11)-1,FALSE)+VLOOKUP(B37,'Share, Heavy Weapons to Ukraine'!B:CK,COLUMN('Share, Heavy Weapons to Ukraine'!$BU$11)-1,FALSE))/4</f>
        <v>2.5906735751295335E-2</v>
      </c>
      <c r="D37" s="261">
        <f>(VLOOKUP(B37,'Share, Heavy Weapons to Ukraine'!B:CK,COLUMN('Share, Heavy Weapons to Ukraine'!$BN$11)-1,FALSE)+VLOOKUP(B37,'Share, Heavy Weapons to Ukraine'!B:CK,COLUMN('Share, Heavy Weapons to Ukraine'!$BR$11)-1,FALSE)+VLOOKUP(B37,'Share, Heavy Weapons to Ukraine'!B:CK,COLUMN('Share, Heavy Weapons to Ukraine'!$BT$11)-1,FALSE)+VLOOKUP(B37,'Share, Heavy Weapons to Ukraine'!B:CK,COLUMN('Share, Heavy Weapons to Ukraine'!$BU$11)-1,FALSE))/4</f>
        <v>0</v>
      </c>
      <c r="E37" s="261">
        <f>(VLOOKUP(B37,'Share, Heavy Weapons to Ukraine'!B:CK,COLUMN('Share, Heavy Weapons to Ukraine'!$CB$11)-1,FALSE)+VLOOKUP(B37,'Share, Heavy Weapons to Ukraine'!B:CK,COLUMN('Share, Heavy Weapons to Ukraine'!$CH$11)-1,FALSE)+VLOOKUP(B37,'Share, Heavy Weapons to Ukraine'!B:CK,COLUMN('Share, Heavy Weapons to Ukraine'!$CI$11)-1,FALSE))/3</f>
        <v>0</v>
      </c>
      <c r="F37" s="261">
        <f>G37-E37</f>
        <v>0</v>
      </c>
      <c r="G37" s="261">
        <f>(VLOOKUP(B37,'Share, Heavy Weapons to Ukraine'!B:CK,COLUMN('Share, Heavy Weapons to Ukraine'!$BN$11)-1,FALSE)+VLOOKUP(B37,'Share, Heavy Weapons to Ukraine'!B:CK,COLUMN('Share, Heavy Weapons to Ukraine'!$BT$11)-1,FALSE)+VLOOKUP(B37,'Share, Heavy Weapons to Ukraine'!B:CK,COLUMN('Share, Heavy Weapons to Ukraine'!$BU$11)-1,FALSE))/3</f>
        <v>0</v>
      </c>
      <c r="H37" s="261">
        <f>(VLOOKUP(B37,'Share, Heavy Weapons to Ukraine'!B:CK,COLUMN('Share, Heavy Weapons to Ukraine'!$BN$11)-1,FALSE))</f>
        <v>0</v>
      </c>
      <c r="I37" s="261">
        <f>VLOOKUP(B37,'Share, Heavy Weapons to Ukraine'!B:CK,COLUMN('Share, Heavy Weapons to Ukraine'!$BT$11)-1,FALSE)</f>
        <v>0</v>
      </c>
      <c r="J37" s="261">
        <f>VLOOKUP(B37,'Share, Heavy Weapons to Ukraine'!B:CK,COLUMN('Share, Heavy Weapons to Ukraine'!$BU$11)-1,FALSE)</f>
        <v>0</v>
      </c>
      <c r="K37" s="261">
        <f>VLOOKUP(B37,'Share, Heavy Weapons to Ukraine'!B:CK,COLUMN('Share, Heavy Weapons to Ukraine'!$BW$11)-1,FALSE)</f>
        <v>0</v>
      </c>
      <c r="L37" s="261">
        <f>VLOOKUP(B37,'Share, Heavy Weapons to Ukraine'!B:CK,COLUMN('Share, Heavy Weapons to Ukraine'!$BX$11)-1,FALSE)</f>
        <v>0</v>
      </c>
      <c r="M37" s="261">
        <f>VLOOKUP(B37,'Share, Heavy Weapons to Ukraine'!B:CK,COLUMN('Share, Heavy Weapons to Ukraine'!$BY$11)-1,FALSE)</f>
        <v>0</v>
      </c>
      <c r="N37" s="261">
        <f>VLOOKUP(B37,'Share, Heavy Weapons to Ukraine'!B:CK,COLUMN('Share, Heavy Weapons to Ukraine'!$BZ$11)-1,FALSE)</f>
        <v>0</v>
      </c>
    </row>
    <row r="38" spans="2:14" ht="15.95" customHeight="1">
      <c r="B38" s="2" t="s">
        <v>673</v>
      </c>
      <c r="C38" s="261">
        <f>(VLOOKUP(B38,'Share, Heavy Weapons to Ukraine'!B:CK,COLUMN('Share, Heavy Weapons to Ukraine'!$BN$11)-1,FALSE)+VLOOKUP(B38,'Share, Heavy Weapons to Ukraine'!B:CK,COLUMN('Share, Heavy Weapons to Ukraine'!$BS$11)-1,FALSE)+VLOOKUP(B38,'Share, Heavy Weapons to Ukraine'!B:CK,COLUMN('Share, Heavy Weapons to Ukraine'!$BT$11)-1,FALSE)+VLOOKUP(B38,'Share, Heavy Weapons to Ukraine'!B:CK,COLUMN('Share, Heavy Weapons to Ukraine'!$BU$11)-1,FALSE))/4</f>
        <v>0</v>
      </c>
      <c r="D38" s="261">
        <f>(VLOOKUP(B38,'Share, Heavy Weapons to Ukraine'!B:CK,COLUMN('Share, Heavy Weapons to Ukraine'!$BN$11)-1,FALSE)+VLOOKUP(B38,'Share, Heavy Weapons to Ukraine'!B:CK,COLUMN('Share, Heavy Weapons to Ukraine'!$BR$11)-1,FALSE)+VLOOKUP(B38,'Share, Heavy Weapons to Ukraine'!B:CK,COLUMN('Share, Heavy Weapons to Ukraine'!$BT$11)-1,FALSE)+VLOOKUP(B38,'Share, Heavy Weapons to Ukraine'!B:CK,COLUMN('Share, Heavy Weapons to Ukraine'!$BU$11)-1,FALSE))/4</f>
        <v>0</v>
      </c>
      <c r="E38" s="261">
        <f>(VLOOKUP(B38,'Share, Heavy Weapons to Ukraine'!B:CK,COLUMN('Share, Heavy Weapons to Ukraine'!$CB$11)-1,FALSE)+VLOOKUP(B38,'Share, Heavy Weapons to Ukraine'!B:CK,COLUMN('Share, Heavy Weapons to Ukraine'!$CH$11)-1,FALSE)+VLOOKUP(B38,'Share, Heavy Weapons to Ukraine'!B:CK,COLUMN('Share, Heavy Weapons to Ukraine'!$CI$11)-1,FALSE))/3</f>
        <v>0</v>
      </c>
      <c r="F38" s="261">
        <f>G38-E38</f>
        <v>0</v>
      </c>
      <c r="G38" s="261">
        <f>(VLOOKUP(B38,'Share, Heavy Weapons to Ukraine'!B:CK,COLUMN('Share, Heavy Weapons to Ukraine'!$BN$11)-1,FALSE)+VLOOKUP(B38,'Share, Heavy Weapons to Ukraine'!B:CK,COLUMN('Share, Heavy Weapons to Ukraine'!$BT$11)-1,FALSE)+VLOOKUP(B38,'Share, Heavy Weapons to Ukraine'!B:CK,COLUMN('Share, Heavy Weapons to Ukraine'!$BU$11)-1,FALSE))/3</f>
        <v>0</v>
      </c>
      <c r="H38" s="261">
        <f>(VLOOKUP(B38,'Share, Heavy Weapons to Ukraine'!B:CK,COLUMN('Share, Heavy Weapons to Ukraine'!$BN$11)-1,FALSE))</f>
        <v>0</v>
      </c>
      <c r="I38" s="261">
        <f>VLOOKUP(B38,'Share, Heavy Weapons to Ukraine'!B:CK,COLUMN('Share, Heavy Weapons to Ukraine'!$BT$11)-1,FALSE)</f>
        <v>0</v>
      </c>
      <c r="J38" s="261">
        <f>VLOOKUP(B38,'Share, Heavy Weapons to Ukraine'!B:CK,COLUMN('Share, Heavy Weapons to Ukraine'!$BU$11)-1,FALSE)</f>
        <v>0</v>
      </c>
      <c r="K38" s="261">
        <f>VLOOKUP(B38,'Share, Heavy Weapons to Ukraine'!B:CK,COLUMN('Share, Heavy Weapons to Ukraine'!$BW$11)-1,FALSE)</f>
        <v>0</v>
      </c>
      <c r="L38" s="261">
        <f>VLOOKUP(B38,'Share, Heavy Weapons to Ukraine'!B:CK,COLUMN('Share, Heavy Weapons to Ukraine'!$BX$11)-1,FALSE)</f>
        <v>0</v>
      </c>
      <c r="M38" s="261">
        <f>VLOOKUP(B38,'Share, Heavy Weapons to Ukraine'!B:CK,COLUMN('Share, Heavy Weapons to Ukraine'!$BY$11)-1,FALSE)</f>
        <v>0</v>
      </c>
      <c r="N38" s="261">
        <f>VLOOKUP(B38,'Share, Heavy Weapons to Ukraine'!B:CK,COLUMN('Share, Heavy Weapons to Ukraine'!$BZ$11)-1,FALSE)</f>
        <v>0</v>
      </c>
    </row>
    <row r="39" spans="2:14" ht="15.95" customHeight="1">
      <c r="B39" s="2" t="s">
        <v>918</v>
      </c>
      <c r="C39" s="261">
        <f>(VLOOKUP(B39,'Share, Heavy Weapons to Ukraine'!B:CK,COLUMN('Share, Heavy Weapons to Ukraine'!$BN$11)-1,FALSE)+VLOOKUP(B39,'Share, Heavy Weapons to Ukraine'!B:CK,COLUMN('Share, Heavy Weapons to Ukraine'!$BS$11)-1,FALSE)+VLOOKUP(B39,'Share, Heavy Weapons to Ukraine'!B:CK,COLUMN('Share, Heavy Weapons to Ukraine'!$BT$11)-1,FALSE)+VLOOKUP(B39,'Share, Heavy Weapons to Ukraine'!B:CK,COLUMN('Share, Heavy Weapons to Ukraine'!$BU$11)-1,FALSE))/4</f>
        <v>0</v>
      </c>
      <c r="D39" s="261">
        <f>(VLOOKUP(B39,'Share, Heavy Weapons to Ukraine'!B:CK,COLUMN('Share, Heavy Weapons to Ukraine'!$BN$11)-1,FALSE)+VLOOKUP(B39,'Share, Heavy Weapons to Ukraine'!B:CK,COLUMN('Share, Heavy Weapons to Ukraine'!$BR$11)-1,FALSE)+VLOOKUP(B39,'Share, Heavy Weapons to Ukraine'!B:CK,COLUMN('Share, Heavy Weapons to Ukraine'!$BT$11)-1,FALSE)+VLOOKUP(B39,'Share, Heavy Weapons to Ukraine'!B:CK,COLUMN('Share, Heavy Weapons to Ukraine'!$BU$11)-1,FALSE))/4</f>
        <v>0</v>
      </c>
      <c r="E39" s="261">
        <f>(VLOOKUP(B39,'Share, Heavy Weapons to Ukraine'!B:CK,COLUMN('Share, Heavy Weapons to Ukraine'!$CB$11)-1,FALSE)+VLOOKUP(B39,'Share, Heavy Weapons to Ukraine'!B:CK,COLUMN('Share, Heavy Weapons to Ukraine'!$CH$11)-1,FALSE)+VLOOKUP(B39,'Share, Heavy Weapons to Ukraine'!B:CK,COLUMN('Share, Heavy Weapons to Ukraine'!$CI$11)-1,FALSE))/3</f>
        <v>0</v>
      </c>
      <c r="F39" s="261">
        <f>G39-E39</f>
        <v>0</v>
      </c>
      <c r="G39" s="261">
        <f>(VLOOKUP(B39,'Share, Heavy Weapons to Ukraine'!B:CK,COLUMN('Share, Heavy Weapons to Ukraine'!$BN$11)-1,FALSE)+VLOOKUP(B39,'Share, Heavy Weapons to Ukraine'!B:CK,COLUMN('Share, Heavy Weapons to Ukraine'!$BT$11)-1,FALSE)+VLOOKUP(B39,'Share, Heavy Weapons to Ukraine'!B:CK,COLUMN('Share, Heavy Weapons to Ukraine'!$BU$11)-1,FALSE))/3</f>
        <v>0</v>
      </c>
      <c r="H39" s="261">
        <f>(VLOOKUP(B39,'Share, Heavy Weapons to Ukraine'!B:CK,COLUMN('Share, Heavy Weapons to Ukraine'!$BN$11)-1,FALSE))</f>
        <v>0</v>
      </c>
      <c r="I39" s="261">
        <f>VLOOKUP(B39,'Share, Heavy Weapons to Ukraine'!B:CK,COLUMN('Share, Heavy Weapons to Ukraine'!$BT$11)-1,FALSE)</f>
        <v>0</v>
      </c>
      <c r="J39" s="261">
        <f>VLOOKUP(B39,'Share, Heavy Weapons to Ukraine'!B:CK,COLUMN('Share, Heavy Weapons to Ukraine'!$BU$11)-1,FALSE)</f>
        <v>0</v>
      </c>
      <c r="K39" s="261">
        <f>VLOOKUP(B39,'Share, Heavy Weapons to Ukraine'!B:CK,COLUMN('Share, Heavy Weapons to Ukraine'!$BW$11)-1,FALSE)</f>
        <v>0</v>
      </c>
      <c r="L39" s="261">
        <f>VLOOKUP(B39,'Share, Heavy Weapons to Ukraine'!B:CK,COLUMN('Share, Heavy Weapons to Ukraine'!$BX$11)-1,FALSE)</f>
        <v>0</v>
      </c>
      <c r="M39" s="261">
        <f>VLOOKUP(B39,'Share, Heavy Weapons to Ukraine'!B:CK,COLUMN('Share, Heavy Weapons to Ukraine'!$BY$11)-1,FALSE)</f>
        <v>0</v>
      </c>
      <c r="N39" s="261">
        <f>VLOOKUP(B39,'Share, Heavy Weapons to Ukraine'!B:CK,COLUMN('Share, Heavy Weapons to Ukraine'!$BZ$11)-1,FALSE)</f>
        <v>0</v>
      </c>
    </row>
    <row r="40" spans="2:14" ht="15.95" customHeight="1">
      <c r="B40" s="2" t="s">
        <v>981</v>
      </c>
      <c r="C40" s="261">
        <f>(VLOOKUP(B40,'Share, Heavy Weapons to Ukraine'!B:CK,COLUMN('Share, Heavy Weapons to Ukraine'!$BN$11)-1,FALSE)+VLOOKUP(B40,'Share, Heavy Weapons to Ukraine'!B:CK,COLUMN('Share, Heavy Weapons to Ukraine'!$BS$11)-1,FALSE)+VLOOKUP(B40,'Share, Heavy Weapons to Ukraine'!B:CK,COLUMN('Share, Heavy Weapons to Ukraine'!$BT$11)-1,FALSE)+VLOOKUP(B40,'Share, Heavy Weapons to Ukraine'!B:CK,COLUMN('Share, Heavy Weapons to Ukraine'!$BU$11)-1,FALSE))/4</f>
        <v>0</v>
      </c>
      <c r="D40" s="261">
        <f>(VLOOKUP(B40,'Share, Heavy Weapons to Ukraine'!B:CK,COLUMN('Share, Heavy Weapons to Ukraine'!$BN$11)-1,FALSE)+VLOOKUP(B40,'Share, Heavy Weapons to Ukraine'!B:CK,COLUMN('Share, Heavy Weapons to Ukraine'!$BR$11)-1,FALSE)+VLOOKUP(B40,'Share, Heavy Weapons to Ukraine'!B:CK,COLUMN('Share, Heavy Weapons to Ukraine'!$BT$11)-1,FALSE)+VLOOKUP(B40,'Share, Heavy Weapons to Ukraine'!B:CK,COLUMN('Share, Heavy Weapons to Ukraine'!$BU$11)-1,FALSE))/4</f>
        <v>0</v>
      </c>
      <c r="E40" s="261">
        <f>(VLOOKUP(B40,'Share, Heavy Weapons to Ukraine'!B:CK,COLUMN('Share, Heavy Weapons to Ukraine'!$CB$11)-1,FALSE)+VLOOKUP(B40,'Share, Heavy Weapons to Ukraine'!B:CK,COLUMN('Share, Heavy Weapons to Ukraine'!$CH$11)-1,FALSE)+VLOOKUP(B40,'Share, Heavy Weapons to Ukraine'!B:CK,COLUMN('Share, Heavy Weapons to Ukraine'!$CI$11)-1,FALSE))/3</f>
        <v>0</v>
      </c>
      <c r="F40" s="261">
        <f>G40-E40</f>
        <v>0</v>
      </c>
      <c r="G40" s="261">
        <f>(VLOOKUP(B40,'Share, Heavy Weapons to Ukraine'!B:CK,COLUMN('Share, Heavy Weapons to Ukraine'!$BN$11)-1,FALSE)+VLOOKUP(B40,'Share, Heavy Weapons to Ukraine'!B:CK,COLUMN('Share, Heavy Weapons to Ukraine'!$BT$11)-1,FALSE)+VLOOKUP(B40,'Share, Heavy Weapons to Ukraine'!B:CK,COLUMN('Share, Heavy Weapons to Ukraine'!$BU$11)-1,FALSE))/3</f>
        <v>0</v>
      </c>
      <c r="H40" s="261">
        <f>(VLOOKUP(B40,'Share, Heavy Weapons to Ukraine'!B:CK,COLUMN('Share, Heavy Weapons to Ukraine'!$BN$11)-1,FALSE))</f>
        <v>0</v>
      </c>
      <c r="I40" s="261">
        <f>VLOOKUP(B40,'Share, Heavy Weapons to Ukraine'!B:CK,COLUMN('Share, Heavy Weapons to Ukraine'!$BT$11)-1,FALSE)</f>
        <v>0</v>
      </c>
      <c r="J40" s="261">
        <f>VLOOKUP(B40,'Share, Heavy Weapons to Ukraine'!B:CK,COLUMN('Share, Heavy Weapons to Ukraine'!$BU$11)-1,FALSE)</f>
        <v>0</v>
      </c>
      <c r="K40" s="261">
        <f>VLOOKUP(B40,'Share, Heavy Weapons to Ukraine'!B:CK,COLUMN('Share, Heavy Weapons to Ukraine'!$BW$11)-1,FALSE)</f>
        <v>0</v>
      </c>
      <c r="L40" s="261">
        <f>VLOOKUP(B40,'Share, Heavy Weapons to Ukraine'!B:CK,COLUMN('Share, Heavy Weapons to Ukraine'!$BX$11)-1,FALSE)</f>
        <v>0</v>
      </c>
      <c r="M40" s="261">
        <f>VLOOKUP(B40,'Share, Heavy Weapons to Ukraine'!B:CK,COLUMN('Share, Heavy Weapons to Ukraine'!$BY$11)-1,FALSE)</f>
        <v>0</v>
      </c>
      <c r="N40" s="261">
        <f>VLOOKUP(B40,'Share, Heavy Weapons to Ukraine'!B:CK,COLUMN('Share, Heavy Weapons to Ukraine'!$BZ$11)-1,FALSE)</f>
        <v>0</v>
      </c>
    </row>
    <row r="41" spans="2:14" ht="15.95" customHeight="1">
      <c r="B41" s="2" t="s">
        <v>2028</v>
      </c>
      <c r="C41" s="261">
        <f>(VLOOKUP(B41,'Share, Heavy Weapons to Ukraine'!B:CK,COLUMN('Share, Heavy Weapons to Ukraine'!$BN$11)-1,FALSE)+VLOOKUP(B41,'Share, Heavy Weapons to Ukraine'!B:CK,COLUMN('Share, Heavy Weapons to Ukraine'!$BS$11)-1,FALSE)+VLOOKUP(B41,'Share, Heavy Weapons to Ukraine'!B:CK,COLUMN('Share, Heavy Weapons to Ukraine'!$BT$11)-1,FALSE)+VLOOKUP(B41,'Share, Heavy Weapons to Ukraine'!B:CK,COLUMN('Share, Heavy Weapons to Ukraine'!$BU$11)-1,FALSE))/4</f>
        <v>0</v>
      </c>
      <c r="D41" s="261">
        <f>(VLOOKUP(B41,'Share, Heavy Weapons to Ukraine'!B:CK,COLUMN('Share, Heavy Weapons to Ukraine'!$BN$11)-1,FALSE)+VLOOKUP(B41,'Share, Heavy Weapons to Ukraine'!B:CK,COLUMN('Share, Heavy Weapons to Ukraine'!$BR$11)-1,FALSE)+VLOOKUP(B41,'Share, Heavy Weapons to Ukraine'!B:CK,COLUMN('Share, Heavy Weapons to Ukraine'!$BT$11)-1,FALSE)+VLOOKUP(B41,'Share, Heavy Weapons to Ukraine'!B:CK,COLUMN('Share, Heavy Weapons to Ukraine'!$BU$11)-1,FALSE))/4</f>
        <v>0</v>
      </c>
      <c r="E41" s="261">
        <f>(VLOOKUP(B41,'Share, Heavy Weapons to Ukraine'!B:CK,COLUMN('Share, Heavy Weapons to Ukraine'!$CB$11)-1,FALSE)+VLOOKUP(B41,'Share, Heavy Weapons to Ukraine'!B:CK,COLUMN('Share, Heavy Weapons to Ukraine'!$CH$11)-1,FALSE)+VLOOKUP(B41,'Share, Heavy Weapons to Ukraine'!B:CK,COLUMN('Share, Heavy Weapons to Ukraine'!$CI$11)-1,FALSE))/3</f>
        <v>0</v>
      </c>
      <c r="F41" s="261">
        <f>G41-E41</f>
        <v>0</v>
      </c>
      <c r="G41" s="261">
        <f>(VLOOKUP(B41,'Share, Heavy Weapons to Ukraine'!B:CK,COLUMN('Share, Heavy Weapons to Ukraine'!$BN$11)-1,FALSE)+VLOOKUP(B41,'Share, Heavy Weapons to Ukraine'!B:CK,COLUMN('Share, Heavy Weapons to Ukraine'!$BT$11)-1,FALSE)+VLOOKUP(B41,'Share, Heavy Weapons to Ukraine'!B:CK,COLUMN('Share, Heavy Weapons to Ukraine'!$BU$11)-1,FALSE))/3</f>
        <v>0</v>
      </c>
      <c r="H41" s="261">
        <f>(VLOOKUP(B41,'Share, Heavy Weapons to Ukraine'!B:CK,COLUMN('Share, Heavy Weapons to Ukraine'!$BN$11)-1,FALSE))</f>
        <v>0</v>
      </c>
      <c r="I41" s="261">
        <f>VLOOKUP(B41,'Share, Heavy Weapons to Ukraine'!B:CK,COLUMN('Share, Heavy Weapons to Ukraine'!$BT$11)-1,FALSE)</f>
        <v>0</v>
      </c>
      <c r="J41" s="261">
        <f>VLOOKUP(B41,'Share, Heavy Weapons to Ukraine'!B:CK,COLUMN('Share, Heavy Weapons to Ukraine'!$BU$11)-1,FALSE)</f>
        <v>0</v>
      </c>
      <c r="K41" s="261">
        <f>VLOOKUP(B41,'Share, Heavy Weapons to Ukraine'!B:CK,COLUMN('Share, Heavy Weapons to Ukraine'!$BW$11)-1,FALSE)</f>
        <v>0</v>
      </c>
      <c r="L41" s="261">
        <f>VLOOKUP(B41,'Share, Heavy Weapons to Ukraine'!B:CK,COLUMN('Share, Heavy Weapons to Ukraine'!$BX$11)-1,FALSE)</f>
        <v>0</v>
      </c>
      <c r="M41" s="261">
        <f>VLOOKUP(B41,'Share, Heavy Weapons to Ukraine'!B:CK,COLUMN('Share, Heavy Weapons to Ukraine'!$BY$11)-1,FALSE)</f>
        <v>0</v>
      </c>
      <c r="N41" s="261">
        <f>VLOOKUP(B41,'Share, Heavy Weapons to Ukraine'!B:CK,COLUMN('Share, Heavy Weapons to Ukraine'!$BZ$11)-1,FALSE)</f>
        <v>0</v>
      </c>
    </row>
    <row r="42" spans="2:14" ht="15.95" customHeight="1">
      <c r="B42" s="2" t="s">
        <v>2096</v>
      </c>
      <c r="C42" s="261">
        <f>(VLOOKUP(B42,'Share, Heavy Weapons to Ukraine'!B:CK,COLUMN('Share, Heavy Weapons to Ukraine'!$BN$11)-1,FALSE)+VLOOKUP(B42,'Share, Heavy Weapons to Ukraine'!B:CK,COLUMN('Share, Heavy Weapons to Ukraine'!$BS$11)-1,FALSE)+VLOOKUP(B42,'Share, Heavy Weapons to Ukraine'!B:CK,COLUMN('Share, Heavy Weapons to Ukraine'!$BT$11)-1,FALSE)+VLOOKUP(B42,'Share, Heavy Weapons to Ukraine'!B:CK,COLUMN('Share, Heavy Weapons to Ukraine'!$BU$11)-1,FALSE))/4</f>
        <v>0</v>
      </c>
      <c r="D42" s="261">
        <f>(VLOOKUP(B42,'Share, Heavy Weapons to Ukraine'!B:CK,COLUMN('Share, Heavy Weapons to Ukraine'!$BN$11)-1,FALSE)+VLOOKUP(B42,'Share, Heavy Weapons to Ukraine'!B:CK,COLUMN('Share, Heavy Weapons to Ukraine'!$BR$11)-1,FALSE)+VLOOKUP(B42,'Share, Heavy Weapons to Ukraine'!B:CK,COLUMN('Share, Heavy Weapons to Ukraine'!$BT$11)-1,FALSE)+VLOOKUP(B42,'Share, Heavy Weapons to Ukraine'!B:CK,COLUMN('Share, Heavy Weapons to Ukraine'!$BU$11)-1,FALSE))/4</f>
        <v>0</v>
      </c>
      <c r="E42" s="261">
        <f>(VLOOKUP(B42,'Share, Heavy Weapons to Ukraine'!B:CK,COLUMN('Share, Heavy Weapons to Ukraine'!$CB$11)-1,FALSE)+VLOOKUP(B42,'Share, Heavy Weapons to Ukraine'!B:CK,COLUMN('Share, Heavy Weapons to Ukraine'!$CH$11)-1,FALSE)+VLOOKUP(B42,'Share, Heavy Weapons to Ukraine'!B:CK,COLUMN('Share, Heavy Weapons to Ukraine'!$CI$11)-1,FALSE))/3</f>
        <v>0</v>
      </c>
      <c r="F42" s="261">
        <f>G42-E42</f>
        <v>0</v>
      </c>
      <c r="G42" s="261">
        <f>(VLOOKUP(B42,'Share, Heavy Weapons to Ukraine'!B:CK,COLUMN('Share, Heavy Weapons to Ukraine'!$BN$11)-1,FALSE)+VLOOKUP(B42,'Share, Heavy Weapons to Ukraine'!B:CK,COLUMN('Share, Heavy Weapons to Ukraine'!$BT$11)-1,FALSE)+VLOOKUP(B42,'Share, Heavy Weapons to Ukraine'!B:CK,COLUMN('Share, Heavy Weapons to Ukraine'!$BU$11)-1,FALSE))/3</f>
        <v>0</v>
      </c>
      <c r="H42" s="261">
        <f>(VLOOKUP(B42,'Share, Heavy Weapons to Ukraine'!B:CK,COLUMN('Share, Heavy Weapons to Ukraine'!$BN$11)-1,FALSE))</f>
        <v>0</v>
      </c>
      <c r="I42" s="261">
        <f>VLOOKUP(B42,'Share, Heavy Weapons to Ukraine'!B:CK,COLUMN('Share, Heavy Weapons to Ukraine'!$BT$11)-1,FALSE)</f>
        <v>0</v>
      </c>
      <c r="J42" s="261">
        <f>VLOOKUP(B42,'Share, Heavy Weapons to Ukraine'!B:CK,COLUMN('Share, Heavy Weapons to Ukraine'!$BU$11)-1,FALSE)</f>
        <v>0</v>
      </c>
      <c r="K42" s="261">
        <f>VLOOKUP(B42,'Share, Heavy Weapons to Ukraine'!B:CK,COLUMN('Share, Heavy Weapons to Ukraine'!$BW$11)-1,FALSE)</f>
        <v>0</v>
      </c>
      <c r="L42" s="261">
        <f>VLOOKUP(B42,'Share, Heavy Weapons to Ukraine'!B:CK,COLUMN('Share, Heavy Weapons to Ukraine'!$BX$11)-1,FALSE)</f>
        <v>0</v>
      </c>
      <c r="M42" s="261">
        <f>VLOOKUP(B42,'Share, Heavy Weapons to Ukraine'!B:CK,COLUMN('Share, Heavy Weapons to Ukraine'!$BY$11)-1,FALSE)</f>
        <v>0</v>
      </c>
      <c r="N42" s="261">
        <f>VLOOKUP(B42,'Share, Heavy Weapons to Ukraine'!B:CK,COLUMN('Share, Heavy Weapons to Ukraine'!$BZ$11)-1,FALSE)</f>
        <v>0</v>
      </c>
    </row>
    <row r="43" spans="2:14" ht="15.95" customHeight="1">
      <c r="B43" s="2" t="s">
        <v>2625</v>
      </c>
      <c r="C43" s="261">
        <f>(VLOOKUP(B43,'Share, Heavy Weapons to Ukraine'!B:CK,COLUMN('Share, Heavy Weapons to Ukraine'!$BN$11)-1,FALSE)+VLOOKUP(B43,'Share, Heavy Weapons to Ukraine'!B:CK,COLUMN('Share, Heavy Weapons to Ukraine'!$BS$11)-1,FALSE)+VLOOKUP(B43,'Share, Heavy Weapons to Ukraine'!B:CK,COLUMN('Share, Heavy Weapons to Ukraine'!$BT$11)-1,FALSE)+VLOOKUP(B43,'Share, Heavy Weapons to Ukraine'!B:CK,COLUMN('Share, Heavy Weapons to Ukraine'!$BU$11)-1,FALSE))/4</f>
        <v>0.25520833333333331</v>
      </c>
      <c r="D43" s="261">
        <f>(VLOOKUP(B43,'Share, Heavy Weapons to Ukraine'!B:CK,COLUMN('Share, Heavy Weapons to Ukraine'!$BN$11)-1,FALSE)+VLOOKUP(B43,'Share, Heavy Weapons to Ukraine'!B:CK,COLUMN('Share, Heavy Weapons to Ukraine'!$BR$11)-1,FALSE)+VLOOKUP(B43,'Share, Heavy Weapons to Ukraine'!B:CK,COLUMN('Share, Heavy Weapons to Ukraine'!$BT$11)-1,FALSE)+VLOOKUP(B43,'Share, Heavy Weapons to Ukraine'!B:CK,COLUMN('Share, Heavy Weapons to Ukraine'!$BU$11)-1,FALSE))/4</f>
        <v>0</v>
      </c>
      <c r="E43" s="261">
        <f>(VLOOKUP(B43,'Share, Heavy Weapons to Ukraine'!B:CK,COLUMN('Share, Heavy Weapons to Ukraine'!$CB$11)-1,FALSE)+VLOOKUP(B43,'Share, Heavy Weapons to Ukraine'!B:CK,COLUMN('Share, Heavy Weapons to Ukraine'!$CH$11)-1,FALSE)+VLOOKUP(B43,'Share, Heavy Weapons to Ukraine'!B:CK,COLUMN('Share, Heavy Weapons to Ukraine'!$CI$11)-1,FALSE))/3</f>
        <v>0</v>
      </c>
      <c r="F43" s="261">
        <f>G43-E43</f>
        <v>0</v>
      </c>
      <c r="G43" s="261">
        <f>(VLOOKUP(B43,'Share, Heavy Weapons to Ukraine'!B:CK,COLUMN('Share, Heavy Weapons to Ukraine'!$BN$11)-1,FALSE)+VLOOKUP(B43,'Share, Heavy Weapons to Ukraine'!B:CK,COLUMN('Share, Heavy Weapons to Ukraine'!$BT$11)-1,FALSE)+VLOOKUP(B43,'Share, Heavy Weapons to Ukraine'!B:CK,COLUMN('Share, Heavy Weapons to Ukraine'!$BU$11)-1,FALSE))/3</f>
        <v>0</v>
      </c>
      <c r="H43" s="261">
        <f>(VLOOKUP(B43,'Share, Heavy Weapons to Ukraine'!B:CK,COLUMN('Share, Heavy Weapons to Ukraine'!$BN$11)-1,FALSE))</f>
        <v>0</v>
      </c>
      <c r="I43" s="261">
        <f>VLOOKUP(B43,'Share, Heavy Weapons to Ukraine'!B:CK,COLUMN('Share, Heavy Weapons to Ukraine'!$BT$11)-1,FALSE)</f>
        <v>0</v>
      </c>
      <c r="J43" s="261">
        <f>VLOOKUP(B43,'Share, Heavy Weapons to Ukraine'!B:CK,COLUMN('Share, Heavy Weapons to Ukraine'!$BU$11)-1,FALSE)</f>
        <v>0</v>
      </c>
      <c r="K43" s="261">
        <f>VLOOKUP(B43,'Share, Heavy Weapons to Ukraine'!B:CK,COLUMN('Share, Heavy Weapons to Ukraine'!$BW$11)-1,FALSE)</f>
        <v>0</v>
      </c>
      <c r="L43" s="261">
        <f>VLOOKUP(B43,'Share, Heavy Weapons to Ukraine'!B:CK,COLUMN('Share, Heavy Weapons to Ukraine'!$BX$11)-1,FALSE)</f>
        <v>0</v>
      </c>
      <c r="M43" s="261">
        <f>VLOOKUP(B43,'Share, Heavy Weapons to Ukraine'!B:CK,COLUMN('Share, Heavy Weapons to Ukraine'!$BY$11)-1,FALSE)</f>
        <v>0</v>
      </c>
      <c r="N43" s="261">
        <f>VLOOKUP(B43,'Share, Heavy Weapons to Ukraine'!B:CK,COLUMN('Share, Heavy Weapons to Ukraine'!$BZ$11)-1,FALSE)</f>
        <v>0</v>
      </c>
    </row>
    <row r="44" spans="2:14" ht="15.95" customHeight="1">
      <c r="B44" s="130" t="s">
        <v>3214</v>
      </c>
      <c r="C44" s="262">
        <f>(VLOOKUP(B44,'Share, Heavy Weapons to Ukraine'!B:CK,COLUMN('Share, Heavy Weapons to Ukraine'!$BN$11)-1,FALSE)+VLOOKUP(B44,'Share, Heavy Weapons to Ukraine'!B:CK,COLUMN('Share, Heavy Weapons to Ukraine'!$BS$11)-1,FALSE)+VLOOKUP(B44,'Share, Heavy Weapons to Ukraine'!B:CK,COLUMN('Share, Heavy Weapons to Ukraine'!$BT$11)-1,FALSE)+VLOOKUP(B44,'Share, Heavy Weapons to Ukraine'!B:CK,COLUMN('Share, Heavy Weapons to Ukraine'!$BU$11)-1,FALSE))/4</f>
        <v>0</v>
      </c>
      <c r="D44" s="262">
        <f>(VLOOKUP(B44,'Share, Heavy Weapons to Ukraine'!B:CK,COLUMN('Share, Heavy Weapons to Ukraine'!$BN$11)-1,FALSE)+VLOOKUP(B44,'Share, Heavy Weapons to Ukraine'!B:CK,COLUMN('Share, Heavy Weapons to Ukraine'!$BR$11)-1,FALSE)+VLOOKUP(B44,'Share, Heavy Weapons to Ukraine'!B:CK,COLUMN('Share, Heavy Weapons to Ukraine'!$BT$11)-1,FALSE)+VLOOKUP(B44,'Share, Heavy Weapons to Ukraine'!B:CK,COLUMN('Share, Heavy Weapons to Ukraine'!$BU$11)-1,FALSE))/4</f>
        <v>0</v>
      </c>
      <c r="E44" s="262">
        <f>(VLOOKUP(B44,'Share, Heavy Weapons to Ukraine'!B:CK,COLUMN('Share, Heavy Weapons to Ukraine'!$CB$11)-1,FALSE)+VLOOKUP(B44,'Share, Heavy Weapons to Ukraine'!B:CK,COLUMN('Share, Heavy Weapons to Ukraine'!$CH$11)-1,FALSE)+VLOOKUP(B44,'Share, Heavy Weapons to Ukraine'!B:CK,COLUMN('Share, Heavy Weapons to Ukraine'!$CI$11)-1,FALSE))/3</f>
        <v>0</v>
      </c>
      <c r="F44" s="262">
        <f>G44-E44</f>
        <v>0</v>
      </c>
      <c r="G44" s="262">
        <f>(VLOOKUP(B44,'Share, Heavy Weapons to Ukraine'!B:CK,COLUMN('Share, Heavy Weapons to Ukraine'!$BN$11)-1,FALSE)+VLOOKUP(B44,'Share, Heavy Weapons to Ukraine'!B:CK,COLUMN('Share, Heavy Weapons to Ukraine'!$BT$11)-1,FALSE)+VLOOKUP(B44,'Share, Heavy Weapons to Ukraine'!B:CK,COLUMN('Share, Heavy Weapons to Ukraine'!$BU$11)-1,FALSE))/3</f>
        <v>0</v>
      </c>
      <c r="H44" s="262">
        <f>(VLOOKUP(B44,'Share, Heavy Weapons to Ukraine'!B:CK,COLUMN('Share, Heavy Weapons to Ukraine'!$BN$11)-1,FALSE))</f>
        <v>0</v>
      </c>
      <c r="I44" s="262">
        <f>VLOOKUP(B44,'Share, Heavy Weapons to Ukraine'!B:CK,COLUMN('Share, Heavy Weapons to Ukraine'!$BT$11)-1,FALSE)</f>
        <v>0</v>
      </c>
      <c r="J44" s="262">
        <f>VLOOKUP(B44,'Share, Heavy Weapons to Ukraine'!B:CK,COLUMN('Share, Heavy Weapons to Ukraine'!$BU$11)-1,FALSE)</f>
        <v>0</v>
      </c>
      <c r="K44" s="263">
        <f>VLOOKUP(B44,'Share, Heavy Weapons to Ukraine'!B:CK,COLUMN('Share, Heavy Weapons to Ukraine'!$BW$11)-1,FALSE)</f>
        <v>0</v>
      </c>
      <c r="L44" s="263">
        <f>VLOOKUP(B44,'Share, Heavy Weapons to Ukraine'!B:CK,COLUMN('Share, Heavy Weapons to Ukraine'!$BX$11)-1,FALSE)</f>
        <v>0</v>
      </c>
      <c r="M44" s="263">
        <f>VLOOKUP(B44,'Share, Heavy Weapons to Ukraine'!B:CK,COLUMN('Share, Heavy Weapons to Ukraine'!$BY$11)-1,FALSE)</f>
        <v>0</v>
      </c>
      <c r="N44" s="263">
        <f>VLOOKUP(B44,'Share, Heavy Weapons to Ukraine'!B:CK,COLUMN('Share, Heavy Weapons to Ukraine'!$BZ$11)-1,FALSE)</f>
        <v>0</v>
      </c>
    </row>
  </sheetData>
  <sortState xmlns:xlrd2="http://schemas.microsoft.com/office/spreadsheetml/2017/richdata2" ref="B12:N44">
    <sortCondition descending="1" ref="G12:G44"/>
  </sortState>
  <mergeCells count="1">
    <mergeCell ref="B4:E9"/>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B4C6E7"/>
  </sheetPr>
  <dimension ref="B2:X45"/>
  <sheetViews>
    <sheetView zoomScaleNormal="100" workbookViewId="0"/>
  </sheetViews>
  <sheetFormatPr defaultColWidth="8.125" defaultRowHeight="15.95" customHeight="1"/>
  <cols>
    <col min="1" max="1" width="8.125" style="664"/>
    <col min="2" max="2" width="19.875" style="664" customWidth="1"/>
    <col min="3" max="3" width="22.875" style="664" customWidth="1"/>
    <col min="4" max="4" width="13.875" style="664" customWidth="1"/>
    <col min="5" max="5" width="18.875" style="664" customWidth="1"/>
    <col min="6" max="17" width="8.125" style="664"/>
    <col min="18" max="18" width="7.875" style="664" customWidth="1"/>
    <col min="19" max="19" width="8.125" style="664"/>
    <col min="20" max="20" width="31" style="664" customWidth="1"/>
    <col min="21" max="16384" width="8.125" style="664"/>
  </cols>
  <sheetData>
    <row r="2" spans="2:21" ht="24.75" customHeight="1">
      <c r="B2" s="605" t="s">
        <v>4701</v>
      </c>
    </row>
    <row r="4" spans="2:21" ht="15.95" customHeight="1">
      <c r="B4" s="1453" t="s">
        <v>4702</v>
      </c>
      <c r="C4" s="1453"/>
      <c r="D4" s="1453"/>
      <c r="E4" s="1453"/>
      <c r="F4" s="1453"/>
      <c r="G4" s="1453"/>
      <c r="H4" s="1453"/>
    </row>
    <row r="5" spans="2:21" ht="15.95" customHeight="1">
      <c r="B5" s="1453"/>
      <c r="C5" s="1453"/>
      <c r="D5" s="1453"/>
      <c r="E5" s="1453"/>
      <c r="F5" s="1453"/>
      <c r="G5" s="1453"/>
      <c r="H5" s="1453"/>
    </row>
    <row r="6" spans="2:21" ht="15.95" customHeight="1">
      <c r="B6" s="1453"/>
      <c r="C6" s="1453"/>
      <c r="D6" s="1453"/>
      <c r="E6" s="1453"/>
      <c r="F6" s="1453"/>
      <c r="G6" s="1453"/>
      <c r="H6" s="1453"/>
    </row>
    <row r="7" spans="2:21" ht="15.95" customHeight="1">
      <c r="B7" s="1453"/>
      <c r="C7" s="1453"/>
      <c r="D7" s="1453"/>
      <c r="E7" s="1453"/>
      <c r="F7" s="1453"/>
      <c r="G7" s="1453"/>
      <c r="H7" s="1453"/>
    </row>
    <row r="8" spans="2:21" ht="15.95" customHeight="1">
      <c r="B8" s="1453"/>
      <c r="C8" s="1453"/>
      <c r="D8" s="1453"/>
      <c r="E8" s="1453"/>
      <c r="F8" s="1453"/>
      <c r="G8" s="1453"/>
      <c r="H8" s="1453"/>
    </row>
    <row r="9" spans="2:21" ht="15.95" customHeight="1">
      <c r="B9" s="1453"/>
      <c r="C9" s="1453"/>
      <c r="D9" s="1453"/>
      <c r="E9" s="1453"/>
      <c r="F9" s="1453"/>
      <c r="G9" s="1453"/>
      <c r="H9" s="1453"/>
    </row>
    <row r="11" spans="2:21" ht="24.75" customHeight="1">
      <c r="B11" s="699" t="s">
        <v>4703</v>
      </c>
      <c r="C11" s="699" t="s">
        <v>4704</v>
      </c>
      <c r="D11" s="700" t="s">
        <v>4650</v>
      </c>
      <c r="E11" s="700" t="s">
        <v>4651</v>
      </c>
      <c r="G11" s="605" t="s">
        <v>4705</v>
      </c>
    </row>
    <row r="12" spans="2:21" ht="15.95" customHeight="1">
      <c r="B12" s="1452" t="s">
        <v>4706</v>
      </c>
      <c r="C12" s="698" t="s">
        <v>4691</v>
      </c>
      <c r="D12" s="664">
        <v>37323</v>
      </c>
      <c r="E12" s="697" t="s">
        <v>364</v>
      </c>
    </row>
    <row r="13" spans="2:21" ht="15.95" customHeight="1">
      <c r="B13" s="1452"/>
      <c r="C13" s="698" t="s">
        <v>4707</v>
      </c>
      <c r="D13" s="664">
        <v>29571</v>
      </c>
      <c r="E13" s="697" t="s">
        <v>364</v>
      </c>
      <c r="U13" s="665"/>
    </row>
    <row r="14" spans="2:21" ht="15.95" customHeight="1">
      <c r="B14" s="1452"/>
      <c r="C14" s="698" t="s">
        <v>4708</v>
      </c>
      <c r="D14" s="664">
        <v>11610</v>
      </c>
      <c r="E14" s="697" t="s">
        <v>364</v>
      </c>
      <c r="U14" s="665"/>
    </row>
    <row r="15" spans="2:21" ht="15.95" customHeight="1">
      <c r="B15" s="1452"/>
      <c r="C15" s="698" t="s">
        <v>4709</v>
      </c>
      <c r="D15" s="664">
        <v>7096</v>
      </c>
      <c r="E15" s="697" t="s">
        <v>364</v>
      </c>
    </row>
    <row r="16" spans="2:21" ht="15.95" customHeight="1">
      <c r="B16" s="1452" t="s">
        <v>4710</v>
      </c>
      <c r="C16" s="698" t="s">
        <v>4691</v>
      </c>
      <c r="D16" s="664">
        <v>27751</v>
      </c>
      <c r="E16" s="697" t="s">
        <v>364</v>
      </c>
      <c r="U16" s="665"/>
    </row>
    <row r="17" spans="2:24" ht="15.95" customHeight="1">
      <c r="B17" s="1452"/>
      <c r="C17" s="698" t="s">
        <v>4707</v>
      </c>
      <c r="D17" s="664">
        <v>16076</v>
      </c>
      <c r="E17" s="697" t="s">
        <v>364</v>
      </c>
      <c r="U17" s="665"/>
    </row>
    <row r="18" spans="2:24" ht="15.95" customHeight="1">
      <c r="B18" s="1452"/>
      <c r="C18" s="698" t="s">
        <v>4709</v>
      </c>
      <c r="D18" s="664">
        <v>4356</v>
      </c>
      <c r="E18" s="697" t="s">
        <v>364</v>
      </c>
    </row>
    <row r="19" spans="2:24" ht="15.95" customHeight="1">
      <c r="B19" s="1452"/>
      <c r="C19" s="698" t="s">
        <v>4708</v>
      </c>
      <c r="D19" s="664">
        <v>1162</v>
      </c>
      <c r="E19" s="697" t="s">
        <v>364</v>
      </c>
    </row>
    <row r="20" spans="2:24" ht="15.95" customHeight="1">
      <c r="B20" s="1452" t="s">
        <v>4711</v>
      </c>
      <c r="C20" s="698" t="s">
        <v>4707</v>
      </c>
      <c r="D20" s="664">
        <v>10627</v>
      </c>
      <c r="E20" s="697" t="s">
        <v>364</v>
      </c>
    </row>
    <row r="21" spans="2:24" ht="15.95" customHeight="1">
      <c r="B21" s="1452"/>
      <c r="C21" s="698" t="s">
        <v>4691</v>
      </c>
      <c r="D21" s="664">
        <v>7172</v>
      </c>
      <c r="E21" s="697" t="s">
        <v>364</v>
      </c>
    </row>
    <row r="22" spans="2:24" ht="15.95" customHeight="1">
      <c r="B22" s="1452"/>
      <c r="C22" s="698" t="s">
        <v>4708</v>
      </c>
      <c r="D22" s="664">
        <v>2540</v>
      </c>
      <c r="E22" s="697" t="s">
        <v>364</v>
      </c>
      <c r="U22" s="665"/>
      <c r="X22" s="666"/>
    </row>
    <row r="23" spans="2:24" ht="15.95" customHeight="1">
      <c r="B23" s="1452"/>
      <c r="C23" s="698" t="s">
        <v>4709</v>
      </c>
      <c r="D23" s="664">
        <v>961</v>
      </c>
      <c r="E23" s="697" t="s">
        <v>364</v>
      </c>
      <c r="U23" s="665"/>
      <c r="X23" s="666"/>
    </row>
    <row r="24" spans="2:24" ht="15.95" customHeight="1">
      <c r="B24" s="1452" t="s">
        <v>4712</v>
      </c>
      <c r="C24" s="695" t="s">
        <v>4709</v>
      </c>
      <c r="D24" s="664">
        <v>2639</v>
      </c>
      <c r="E24" s="697" t="s">
        <v>364</v>
      </c>
      <c r="J24" s="665"/>
      <c r="K24" s="665"/>
      <c r="L24" s="665"/>
      <c r="U24" s="665"/>
      <c r="X24" s="666"/>
    </row>
    <row r="25" spans="2:24" ht="15.95" customHeight="1">
      <c r="B25" s="1452"/>
      <c r="C25" s="698" t="s">
        <v>4707</v>
      </c>
      <c r="D25" s="664">
        <v>1376</v>
      </c>
      <c r="E25" s="697" t="s">
        <v>364</v>
      </c>
      <c r="J25" s="665"/>
      <c r="K25" s="665"/>
      <c r="L25" s="665"/>
      <c r="U25" s="665"/>
      <c r="X25" s="666"/>
    </row>
    <row r="26" spans="2:24" ht="15.95" customHeight="1">
      <c r="B26" s="1452"/>
      <c r="C26" s="695" t="s">
        <v>4641</v>
      </c>
      <c r="D26" s="664">
        <v>234</v>
      </c>
      <c r="E26" s="697" t="s">
        <v>364</v>
      </c>
      <c r="J26" s="665"/>
      <c r="K26" s="665"/>
      <c r="L26" s="665"/>
    </row>
    <row r="27" spans="2:24" ht="15.95" customHeight="1">
      <c r="B27" s="1452" t="s">
        <v>4713</v>
      </c>
      <c r="C27" s="695" t="s">
        <v>4709</v>
      </c>
      <c r="D27" s="664">
        <v>1886</v>
      </c>
      <c r="E27" s="697" t="s">
        <v>364</v>
      </c>
      <c r="J27" s="665"/>
      <c r="K27" s="665"/>
      <c r="L27" s="665"/>
    </row>
    <row r="28" spans="2:24" ht="15.95" customHeight="1">
      <c r="B28" s="1452"/>
      <c r="C28" s="698" t="s">
        <v>4707</v>
      </c>
      <c r="D28" s="664">
        <v>648</v>
      </c>
      <c r="E28" s="697" t="s">
        <v>364</v>
      </c>
    </row>
    <row r="29" spans="2:24" ht="15.95" customHeight="1">
      <c r="B29" s="1452"/>
      <c r="C29" s="695" t="s">
        <v>4641</v>
      </c>
      <c r="D29" s="664">
        <v>347</v>
      </c>
      <c r="E29" s="697" t="s">
        <v>364</v>
      </c>
      <c r="J29" s="665"/>
    </row>
    <row r="30" spans="2:24" ht="15.95" customHeight="1">
      <c r="B30" s="1452" t="s">
        <v>4714</v>
      </c>
      <c r="C30" s="695" t="s">
        <v>4641</v>
      </c>
      <c r="D30" s="862">
        <f>SUM('In-kind Military per Country'!Q20:Q61)</f>
        <v>471</v>
      </c>
      <c r="E30" s="862">
        <f>SUM('In-kind Military per Country'!P20:P61)-SUM('In-kind Military per Country'!Q20:Q61)</f>
        <v>286.33333333333326</v>
      </c>
      <c r="J30" s="665"/>
    </row>
    <row r="31" spans="2:24" ht="15.95" customHeight="1">
      <c r="B31" s="1452"/>
      <c r="C31" s="695" t="s">
        <v>4639</v>
      </c>
      <c r="D31" s="862">
        <f>SUM('In-kind Military per Country'!E20:E61)</f>
        <v>379</v>
      </c>
      <c r="E31" s="862">
        <f>SUM('In-kind Military per Country'!D20:D61)-SUM('In-kind Military per Country'!E20:E61)</f>
        <v>177</v>
      </c>
      <c r="J31" s="665"/>
    </row>
    <row r="32" spans="2:24" ht="15.95" customHeight="1">
      <c r="B32" s="1452"/>
      <c r="C32" s="695" t="s">
        <v>4640</v>
      </c>
      <c r="D32" s="862">
        <f>SUM('In-kind Military per Country'!K20:K61)</f>
        <v>66</v>
      </c>
      <c r="E32" s="862">
        <f>SUM('In-kind Military per Country'!J20:J61)-SUM('In-kind Military per Country'!K20:K61)</f>
        <v>23</v>
      </c>
      <c r="J32" s="665"/>
    </row>
    <row r="33" spans="2:20" ht="15.95" hidden="1" customHeight="1">
      <c r="B33" s="779"/>
      <c r="C33" s="780" t="s">
        <v>4715</v>
      </c>
      <c r="D33" s="781">
        <v>1086</v>
      </c>
      <c r="E33" s="781">
        <v>1473</v>
      </c>
    </row>
    <row r="34" spans="2:20" ht="15.95" customHeight="1">
      <c r="J34" s="665"/>
    </row>
    <row r="36" spans="2:20" ht="15.95" customHeight="1">
      <c r="J36" s="665"/>
    </row>
    <row r="37" spans="2:20" ht="15.95" customHeight="1">
      <c r="J37" s="665"/>
    </row>
    <row r="38" spans="2:20" ht="15.95" customHeight="1">
      <c r="J38" s="665"/>
    </row>
    <row r="39" spans="2:20" ht="15.95" customHeight="1">
      <c r="J39" s="665"/>
    </row>
    <row r="45" spans="2:20" ht="15.95" customHeight="1">
      <c r="T45" s="668"/>
    </row>
  </sheetData>
  <mergeCells count="7">
    <mergeCell ref="B27:B29"/>
    <mergeCell ref="B30:B32"/>
    <mergeCell ref="B4:H9"/>
    <mergeCell ref="B12:B15"/>
    <mergeCell ref="B16:B19"/>
    <mergeCell ref="B20:B23"/>
    <mergeCell ref="B24:B26"/>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B4C6E7"/>
  </sheetPr>
  <dimension ref="B2:P23"/>
  <sheetViews>
    <sheetView showGridLines="0" zoomScaleNormal="100" workbookViewId="0"/>
  </sheetViews>
  <sheetFormatPr defaultColWidth="8.125" defaultRowHeight="15.95" customHeight="1"/>
  <cols>
    <col min="1" max="1" width="8.125" style="767"/>
    <col min="2" max="2" width="32.5" style="767" bestFit="1" customWidth="1"/>
    <col min="3" max="3" width="41.375" style="767" customWidth="1"/>
    <col min="4" max="5" width="30.875" style="767" customWidth="1"/>
    <col min="6" max="6" width="31.625" style="767" customWidth="1"/>
    <col min="7" max="7" width="41.375" style="767" customWidth="1"/>
    <col min="8" max="8" width="23.125" style="880" bestFit="1" customWidth="1"/>
    <col min="9" max="11" width="8.125" style="767"/>
    <col min="17" max="16384" width="8.125" style="767"/>
  </cols>
  <sheetData>
    <row r="2" spans="2:9" ht="24.75" customHeight="1">
      <c r="B2" s="605" t="s">
        <v>4716</v>
      </c>
    </row>
    <row r="4" spans="2:9" ht="15.95" customHeight="1">
      <c r="B4" s="1454" t="s">
        <v>4717</v>
      </c>
      <c r="C4" s="1454"/>
      <c r="D4" s="1454"/>
      <c r="E4" s="772"/>
      <c r="F4" s="772"/>
      <c r="G4" s="772"/>
      <c r="H4" s="881"/>
      <c r="I4" s="772"/>
    </row>
    <row r="5" spans="2:9" ht="15.95" customHeight="1">
      <c r="B5" s="1454"/>
      <c r="C5" s="1454"/>
      <c r="D5" s="1454"/>
      <c r="E5" s="772"/>
      <c r="F5" s="772"/>
      <c r="G5" s="772"/>
      <c r="H5" s="881"/>
      <c r="I5" s="772"/>
    </row>
    <row r="6" spans="2:9" ht="15.95" customHeight="1">
      <c r="B6" s="1454"/>
      <c r="C6" s="1454"/>
      <c r="D6" s="1454"/>
      <c r="E6" s="772"/>
      <c r="F6" s="772"/>
      <c r="G6" s="772"/>
      <c r="H6" s="881"/>
      <c r="I6" s="772"/>
    </row>
    <row r="7" spans="2:9" ht="15.95" customHeight="1">
      <c r="B7" s="1454"/>
      <c r="C7" s="1454"/>
      <c r="D7" s="1454"/>
      <c r="E7" s="772"/>
      <c r="F7" s="772"/>
      <c r="G7" s="772"/>
      <c r="H7" s="881"/>
      <c r="I7" s="772"/>
    </row>
    <row r="8" spans="2:9" ht="15.95" customHeight="1">
      <c r="B8" s="1454"/>
      <c r="C8" s="1454"/>
      <c r="D8" s="1454"/>
      <c r="E8" s="772"/>
      <c r="F8" s="772"/>
      <c r="G8" s="772"/>
      <c r="H8" s="881"/>
      <c r="I8" s="772"/>
    </row>
    <row r="10" spans="2:9" ht="15.6"/>
    <row r="11" spans="2:9" ht="24.75" customHeight="1">
      <c r="B11" s="768" t="s">
        <v>4718</v>
      </c>
      <c r="C11" s="768" t="s">
        <v>4703</v>
      </c>
      <c r="D11" s="769" t="s">
        <v>4719</v>
      </c>
      <c r="F11" s="768" t="s">
        <v>4718</v>
      </c>
      <c r="G11" s="768" t="s">
        <v>4703</v>
      </c>
      <c r="H11" s="769" t="s">
        <v>4720</v>
      </c>
    </row>
    <row r="12" spans="2:9" ht="15.95" customHeight="1">
      <c r="B12" s="767" t="s">
        <v>4721</v>
      </c>
      <c r="C12" s="767" t="s">
        <v>4722</v>
      </c>
      <c r="D12" s="773">
        <f>VLOOKUP(C12,'Historical comparison (data) '!B:K,COLUMN('Historical comparison (data) '!$F$11)-1,FALSE)</f>
        <v>3.1566041513497249</v>
      </c>
      <c r="F12" s="767" t="s">
        <v>4721</v>
      </c>
      <c r="G12" s="767" t="s">
        <v>4722</v>
      </c>
      <c r="H12" s="883">
        <f>VLOOKUP(G12,'Historical comparison (data) '!B:D,COLUMN('Historical comparison (data) '!$D$11)-1,FALSE)</f>
        <v>67.949377875955378</v>
      </c>
    </row>
    <row r="13" spans="2:9" ht="15.95" customHeight="1">
      <c r="B13" s="767" t="s">
        <v>4723</v>
      </c>
      <c r="C13" s="767" t="s">
        <v>4724</v>
      </c>
      <c r="D13" s="773">
        <f>VLOOKUP(C13,'Historical comparison (data) '!B:K,COLUMN('Historical comparison (data) '!$F$11)-1,FALSE)</f>
        <v>1.4021791467181386</v>
      </c>
      <c r="F13" s="767" t="s">
        <v>4725</v>
      </c>
      <c r="G13" s="767" t="s">
        <v>4726</v>
      </c>
      <c r="H13" s="883">
        <f>VLOOKUP("United States",'Historical comparison (data) '!$C$33:$D$33,COLUMN('Historical comparison (data) '!$D$11)-2,FALSE)</f>
        <v>42.836768494663232</v>
      </c>
    </row>
    <row r="14" spans="2:9" ht="15.95" customHeight="1">
      <c r="B14" s="767" t="s">
        <v>4727</v>
      </c>
      <c r="C14" s="767" t="s">
        <v>4728</v>
      </c>
      <c r="D14" s="773">
        <f>VLOOKUP(C14,'Historical comparison (data) '!B:K,COLUMN('Historical comparison (data) '!$F$11)-1,FALSE)</f>
        <v>0.82428412049088873</v>
      </c>
      <c r="F14" s="767" t="s">
        <v>4723</v>
      </c>
      <c r="G14" s="767" t="s">
        <v>4724</v>
      </c>
      <c r="H14" s="883">
        <f>VLOOKUP(G14,'Historical comparison (data) '!B:D,COLUMN('Historical comparison (data) '!$D$11)-1,FALSE)</f>
        <v>30.183449087018438</v>
      </c>
    </row>
    <row r="15" spans="2:9" ht="15.95" customHeight="1">
      <c r="B15" s="767" t="s">
        <v>4729</v>
      </c>
      <c r="C15" s="767" t="s">
        <v>4730</v>
      </c>
      <c r="D15" s="773">
        <f>VLOOKUP(C15,'Historical comparison (data) '!B:K,COLUMN('Historical comparison (data) '!$F$11)-1,FALSE)</f>
        <v>0.35508309874754701</v>
      </c>
      <c r="F15" s="767" t="s">
        <v>4729</v>
      </c>
      <c r="G15" s="767" t="s">
        <v>4730</v>
      </c>
      <c r="H15" s="883">
        <f>VLOOKUP(G15,'Historical comparison (data) '!B:D,COLUMN('Historical comparison (data) '!$D$11)-1,FALSE)</f>
        <v>9.0948805967706825</v>
      </c>
    </row>
    <row r="16" spans="2:9" ht="15.95" customHeight="1">
      <c r="B16" s="767" t="s">
        <v>4731</v>
      </c>
      <c r="C16" s="767" t="s">
        <v>4732</v>
      </c>
      <c r="D16" s="847">
        <f>'Historical comparison (data) '!F32</f>
        <v>0.21008885619560747</v>
      </c>
      <c r="F16" s="767" t="s">
        <v>4731</v>
      </c>
      <c r="G16" s="767" t="s">
        <v>4732</v>
      </c>
      <c r="H16" s="883">
        <f>'Historical comparison (data) '!D32</f>
        <v>6.5786757252947297</v>
      </c>
    </row>
    <row r="17" spans="2:9" ht="15.95" customHeight="1">
      <c r="B17" s="771" t="s">
        <v>4725</v>
      </c>
      <c r="C17" s="771" t="s">
        <v>4726</v>
      </c>
      <c r="D17" s="774">
        <f>'Historical comparison (data) '!F33</f>
        <v>0.18372987553881837</v>
      </c>
      <c r="F17" s="771" t="s">
        <v>4727</v>
      </c>
      <c r="G17" s="771" t="s">
        <v>4728</v>
      </c>
      <c r="H17" s="884">
        <f>VLOOKUP(G17,'Historical comparison (data) '!B:D,COLUMN('Historical comparison (data) '!$D$11)-1,FALSE)</f>
        <v>3.5112375205970729</v>
      </c>
    </row>
    <row r="18" spans="2:9" ht="15.95" customHeight="1">
      <c r="H18" s="882"/>
      <c r="I18" s="770"/>
    </row>
    <row r="19" spans="2:9" ht="15.95" customHeight="1">
      <c r="H19" s="882"/>
      <c r="I19" s="770"/>
    </row>
    <row r="20" spans="2:9" ht="15.95" customHeight="1">
      <c r="H20" s="882"/>
      <c r="I20" s="770"/>
    </row>
    <row r="22" spans="2:9" ht="15.6"/>
    <row r="23" spans="2:9" ht="24.75" customHeight="1">
      <c r="B23" s="605" t="s">
        <v>4733</v>
      </c>
      <c r="F23" s="605" t="s">
        <v>4734</v>
      </c>
    </row>
  </sheetData>
  <sortState xmlns:xlrd2="http://schemas.microsoft.com/office/spreadsheetml/2017/richdata2" ref="B12:D17">
    <sortCondition descending="1" ref="D12:D17"/>
  </sortState>
  <mergeCells count="1">
    <mergeCell ref="B4:D8"/>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B4C6E7"/>
  </sheetPr>
  <dimension ref="B2:I23"/>
  <sheetViews>
    <sheetView zoomScaleNormal="100" workbookViewId="0"/>
  </sheetViews>
  <sheetFormatPr defaultColWidth="8.125" defaultRowHeight="15.95" customHeight="1"/>
  <cols>
    <col min="1" max="1" width="8.125" style="759"/>
    <col min="2" max="2" width="41.375" style="759" customWidth="1"/>
    <col min="3" max="3" width="33.875" style="759" customWidth="1"/>
    <col min="4" max="4" width="28.25" style="759" customWidth="1"/>
    <col min="5" max="6" width="12.375" style="759" customWidth="1"/>
    <col min="7" max="7" width="41.375" style="759" customWidth="1"/>
    <col min="8" max="8" width="31.625" style="759" bestFit="1" customWidth="1"/>
    <col min="9" max="9" width="30.75" style="759" customWidth="1"/>
    <col min="10" max="16384" width="8.125" style="759"/>
  </cols>
  <sheetData>
    <row r="2" spans="2:9" ht="24.75" customHeight="1">
      <c r="B2" s="605" t="s">
        <v>4735</v>
      </c>
    </row>
    <row r="4" spans="2:9" ht="15.95" customHeight="1">
      <c r="B4" s="1455" t="s">
        <v>4736</v>
      </c>
      <c r="C4" s="1455"/>
      <c r="D4" s="1455"/>
      <c r="E4" s="1455"/>
      <c r="F4" s="1455"/>
      <c r="H4" s="1455"/>
    </row>
    <row r="5" spans="2:9" ht="15.95" customHeight="1">
      <c r="B5" s="1455"/>
      <c r="C5" s="1455"/>
      <c r="D5" s="1455"/>
      <c r="E5" s="1455"/>
      <c r="F5" s="1455"/>
      <c r="H5" s="1455"/>
    </row>
    <row r="6" spans="2:9" ht="15.95" customHeight="1">
      <c r="B6" s="1455"/>
      <c r="C6" s="1455"/>
      <c r="D6" s="1455"/>
      <c r="E6" s="1455"/>
      <c r="F6" s="1455"/>
      <c r="H6" s="1455"/>
    </row>
    <row r="7" spans="2:9" ht="15.95" customHeight="1">
      <c r="B7" s="1455"/>
      <c r="C7" s="1455"/>
      <c r="D7" s="1455"/>
      <c r="E7" s="1455"/>
      <c r="F7" s="1455"/>
      <c r="H7" s="1455"/>
    </row>
    <row r="8" spans="2:9" ht="15.6">
      <c r="B8" s="1455"/>
      <c r="C8" s="1455"/>
      <c r="D8" s="1455"/>
      <c r="E8" s="1455"/>
      <c r="F8" s="1455"/>
      <c r="H8" s="1455"/>
    </row>
    <row r="9" spans="2:9" ht="15.95" customHeight="1">
      <c r="H9" s="1455"/>
    </row>
    <row r="11" spans="2:9" ht="24.75" customHeight="1">
      <c r="B11" s="768" t="s">
        <v>4718</v>
      </c>
      <c r="C11" s="760" t="s">
        <v>4703</v>
      </c>
      <c r="D11" s="761" t="s">
        <v>4719</v>
      </c>
      <c r="G11" s="768" t="s">
        <v>4718</v>
      </c>
      <c r="H11" s="760" t="s">
        <v>4703</v>
      </c>
      <c r="I11" s="761" t="s">
        <v>4720</v>
      </c>
    </row>
    <row r="12" spans="2:9" ht="15.95" customHeight="1">
      <c r="B12" s="763" t="s">
        <v>4737</v>
      </c>
      <c r="C12" s="763" t="s">
        <v>4738</v>
      </c>
      <c r="D12" s="762">
        <f>VLOOKUP(C12,'Historical comparison (data) '!B:K,COLUMN('Historical comparison (data) '!$F$11)-1,FALSE)</f>
        <v>2.7702269854736219</v>
      </c>
      <c r="G12" s="763" t="s">
        <v>4737</v>
      </c>
      <c r="H12" s="763" t="s">
        <v>4738</v>
      </c>
      <c r="I12" s="762">
        <f>VLOOKUP(H12,'Historical comparison (data) '!B:D,COLUMN('Historical comparison (data) '!$D$11)-1,FALSE)</f>
        <v>127.19151878898714</v>
      </c>
    </row>
    <row r="13" spans="2:9" ht="15.95" customHeight="1">
      <c r="B13" s="763" t="s">
        <v>4739</v>
      </c>
      <c r="C13" s="763" t="s">
        <v>4740</v>
      </c>
      <c r="D13" s="762">
        <f>VLOOKUP(C13,'Historical comparison (data) '!B:K,COLUMN('Historical comparison (data) '!$F$11)-1,FALSE)</f>
        <v>0.95649177707132027</v>
      </c>
      <c r="G13" s="763" t="s">
        <v>4741</v>
      </c>
      <c r="H13" s="763" t="s">
        <v>4742</v>
      </c>
      <c r="I13" s="762">
        <f>VLOOKUP(H13,'Historical comparison (data) '!B:D,COLUMN('Historical comparison (data) '!$D$11)-1,FALSE)</f>
        <v>115.1048723101934</v>
      </c>
    </row>
    <row r="14" spans="2:9" ht="15.95" customHeight="1">
      <c r="B14" s="763" t="s">
        <v>4741</v>
      </c>
      <c r="C14" s="763" t="s">
        <v>4742</v>
      </c>
      <c r="D14" s="762">
        <f>VLOOKUP(C14,'Historical comparison (data) '!B:K,COLUMN('Historical comparison (data) '!$F$11)-1,FALSE)</f>
        <v>0.66802009510332705</v>
      </c>
      <c r="G14" s="763" t="s">
        <v>4739</v>
      </c>
      <c r="H14" s="763" t="s">
        <v>4740</v>
      </c>
      <c r="I14" s="762">
        <f>VLOOKUP(H14,'Historical comparison (data) '!B:D,COLUMN('Historical comparison (data) '!$D$11)-1,FALSE)</f>
        <v>83.615206419623306</v>
      </c>
    </row>
    <row r="15" spans="2:9" ht="15.95" customHeight="1">
      <c r="B15" s="763" t="s">
        <v>4743</v>
      </c>
      <c r="C15" s="763" t="s">
        <v>4744</v>
      </c>
      <c r="D15" s="762">
        <f>VLOOKUP(C15,'Historical comparison (data) '!B:K,COLUMN('Historical comparison (data) '!$F$11)-1,FALSE)</f>
        <v>0.24557769851390659</v>
      </c>
      <c r="G15" s="759" t="s">
        <v>4745</v>
      </c>
      <c r="H15" s="759" t="s">
        <v>4726</v>
      </c>
      <c r="I15" s="762">
        <f>VLOOKUP("United States",'Historical comparison (data) '!$C$33:$D$33,COLUMN('Historical comparison (data) '!$D$11)-2,FALSE)</f>
        <v>42.836768494663232</v>
      </c>
    </row>
    <row r="16" spans="2:9" ht="15.95" customHeight="1">
      <c r="B16" s="764" t="s">
        <v>4745</v>
      </c>
      <c r="C16" s="764" t="s">
        <v>4726</v>
      </c>
      <c r="D16" s="765">
        <f>'Historical comparison (data) '!F33</f>
        <v>0.18372987553881837</v>
      </c>
      <c r="G16" s="792" t="s">
        <v>4743</v>
      </c>
      <c r="H16" s="792" t="s">
        <v>4744</v>
      </c>
      <c r="I16" s="765">
        <f>VLOOKUP(H16,'Historical comparison (data) '!B:D,COLUMN('Historical comparison (data) '!$D$11)-1,FALSE)</f>
        <v>39.96083764546308</v>
      </c>
    </row>
    <row r="23" spans="2:7" ht="24.75" customHeight="1">
      <c r="B23" s="605" t="s">
        <v>4746</v>
      </c>
      <c r="G23" s="605" t="s">
        <v>4747</v>
      </c>
    </row>
  </sheetData>
  <sortState xmlns:xlrd2="http://schemas.microsoft.com/office/spreadsheetml/2017/richdata2" ref="G12:I16">
    <sortCondition descending="1" ref="I15"/>
  </sortState>
  <mergeCells count="2">
    <mergeCell ref="H4:H9"/>
    <mergeCell ref="B4:F8"/>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B4C6E7"/>
  </sheetPr>
  <dimension ref="B2:AH47"/>
  <sheetViews>
    <sheetView showGridLines="0" zoomScaleNormal="100" workbookViewId="0"/>
  </sheetViews>
  <sheetFormatPr defaultColWidth="9" defaultRowHeight="15.75" customHeight="1"/>
  <cols>
    <col min="1" max="1" width="8.625" style="582" customWidth="1"/>
    <col min="2" max="2" width="15.625" style="582" customWidth="1"/>
    <col min="3" max="3" width="40.625" style="590" customWidth="1"/>
    <col min="4" max="4" width="33.625" style="590" bestFit="1" customWidth="1"/>
    <col min="5" max="5" width="27.5" style="582" customWidth="1"/>
    <col min="6" max="6" width="15.625" style="582" customWidth="1"/>
    <col min="7" max="7" width="40.625" style="582" customWidth="1"/>
    <col min="8" max="8" width="33.625" style="582" customWidth="1"/>
    <col min="9" max="9" width="13.875" style="582" bestFit="1" customWidth="1"/>
    <col min="10" max="10" width="9" style="582" customWidth="1"/>
    <col min="11" max="22" width="9" style="582"/>
    <col min="23" max="23" width="9" style="582" customWidth="1"/>
    <col min="24" max="16384" width="9" style="582"/>
  </cols>
  <sheetData>
    <row r="2" spans="2:34" ht="24.75" customHeight="1">
      <c r="B2" s="605" t="s">
        <v>4748</v>
      </c>
    </row>
    <row r="4" spans="2:34" ht="15.75" customHeight="1">
      <c r="B4" s="1456" t="s">
        <v>4749</v>
      </c>
      <c r="C4" s="1456"/>
      <c r="D4" s="1456"/>
      <c r="E4" s="1456"/>
    </row>
    <row r="5" spans="2:34" s="583" customFormat="1" ht="15.75" customHeight="1">
      <c r="B5" s="1456"/>
      <c r="C5" s="1456"/>
      <c r="D5" s="1456"/>
      <c r="E5" s="1456"/>
    </row>
    <row r="6" spans="2:34" ht="15.75" customHeight="1">
      <c r="B6" s="1456"/>
      <c r="C6" s="1456"/>
      <c r="D6" s="1456"/>
      <c r="E6" s="1456"/>
    </row>
    <row r="7" spans="2:34" ht="15.75" customHeight="1">
      <c r="B7" s="1456"/>
      <c r="C7" s="1456"/>
      <c r="D7" s="1456"/>
      <c r="E7" s="1456"/>
    </row>
    <row r="8" spans="2:34" ht="15.75" customHeight="1">
      <c r="B8" s="1456"/>
      <c r="C8" s="1456"/>
      <c r="D8" s="1456"/>
      <c r="E8" s="1456"/>
    </row>
    <row r="9" spans="2:34" ht="15.75" customHeight="1">
      <c r="B9" s="1456"/>
      <c r="C9" s="1456"/>
      <c r="D9" s="1456"/>
      <c r="E9" s="1456"/>
    </row>
    <row r="11" spans="2:34" s="594" customFormat="1" ht="24.75" customHeight="1">
      <c r="B11" s="617" t="s">
        <v>308</v>
      </c>
      <c r="C11" s="616" t="s">
        <v>4750</v>
      </c>
      <c r="D11" s="616" t="s">
        <v>4751</v>
      </c>
      <c r="G11" s="617" t="s">
        <v>308</v>
      </c>
      <c r="H11" s="616" t="s">
        <v>4750</v>
      </c>
      <c r="I11" s="616" t="s">
        <v>4752</v>
      </c>
    </row>
    <row r="12" spans="2:34" ht="15.75" customHeight="1">
      <c r="B12" s="602" t="s">
        <v>3949</v>
      </c>
      <c r="C12" s="607">
        <f>(VLOOKUP(B12,'Table Gulf War'!C5:U18,2,0)/VLOOKUP(B12,'Table Gulf War'!C5:V18,8,0))*100</f>
        <v>0.99056060696357617</v>
      </c>
      <c r="D12" s="607">
        <f>VLOOKUP(B12,'Country Summary (€)'!B:J,9,0)</f>
        <v>0.3295528779935728</v>
      </c>
      <c r="G12" s="602" t="s">
        <v>3949</v>
      </c>
      <c r="H12" s="607">
        <f>VLOOKUP(G12,'Table Gulf War'!C5:U18,2,0)</f>
        <v>114.41413183198536</v>
      </c>
      <c r="I12" s="607">
        <f>VLOOKUP(G12,'Country Summary (€)'!B:G,6,0)</f>
        <v>70.698858108207588</v>
      </c>
    </row>
    <row r="13" spans="2:34" ht="15.75" customHeight="1">
      <c r="B13" s="602" t="s">
        <v>1711</v>
      </c>
      <c r="C13" s="607">
        <f>(VLOOKUP(B13,'Table Gulf War'!C6:U19,2,0)/VLOOKUP(B13,'Table Gulf War'!C6:U19,8,0))*100</f>
        <v>0.54521540145099512</v>
      </c>
      <c r="D13" s="607">
        <f>VLOOKUP(B13,'Country Summary (€)'!B:J,9,0)</f>
        <v>0.27250538647727673</v>
      </c>
      <c r="G13" s="602" t="s">
        <v>2312</v>
      </c>
      <c r="H13" s="607">
        <f>VLOOKUP(G13,'Table Gulf War'!C6:U19,2,0)</f>
        <v>21.588633727641827</v>
      </c>
      <c r="I13" s="607">
        <f>VLOOKUP(G13,'Country Summary (€)'!B:G,6,0)</f>
        <v>6.6172638663967609</v>
      </c>
      <c r="J13" s="710"/>
      <c r="K13" s="710"/>
      <c r="L13" s="710"/>
      <c r="Q13" s="710"/>
      <c r="R13" s="710"/>
      <c r="S13" s="710"/>
      <c r="T13" s="710"/>
      <c r="U13" s="710"/>
      <c r="V13" s="710"/>
      <c r="W13" s="710"/>
      <c r="X13" s="710"/>
      <c r="Y13" s="710"/>
      <c r="Z13" s="710"/>
      <c r="AA13" s="710"/>
      <c r="AB13" s="710"/>
      <c r="AC13" s="710"/>
      <c r="AD13" s="710"/>
      <c r="AE13" s="710"/>
      <c r="AF13" s="710"/>
      <c r="AG13" s="710"/>
      <c r="AH13" s="710"/>
    </row>
    <row r="14" spans="2:34" ht="15.75" customHeight="1">
      <c r="B14" s="602" t="s">
        <v>2312</v>
      </c>
      <c r="C14" s="607">
        <f>(VLOOKUP(B14,'Table Gulf War'!C7:U20,2,0)/VLOOKUP(B14,'Table Gulf War'!C7:U20,8,0))*100</f>
        <v>0.32111191636080633</v>
      </c>
      <c r="D14" s="607">
        <f>VLOOKUP(B14,'Country Summary (€)'!B:J,9,0)</f>
        <v>0.14555394181194639</v>
      </c>
      <c r="G14" s="602" t="s">
        <v>1711</v>
      </c>
      <c r="H14" s="607">
        <f>VLOOKUP(G14,'Table Gulf War'!C7:U20,2,0)</f>
        <v>19.112368786708835</v>
      </c>
      <c r="I14" s="607">
        <f>VLOOKUP(G14,'Country Summary (€)'!B:G,6,0)</f>
        <v>10.68140605</v>
      </c>
      <c r="J14" s="710"/>
      <c r="K14" s="710"/>
      <c r="L14" s="710"/>
      <c r="Q14" s="710"/>
      <c r="R14" s="710"/>
      <c r="S14" s="710"/>
      <c r="T14" s="710"/>
      <c r="U14" s="710"/>
      <c r="V14" s="710"/>
      <c r="W14" s="710"/>
      <c r="X14" s="710"/>
      <c r="Y14" s="710"/>
      <c r="Z14" s="710"/>
      <c r="AA14" s="710"/>
      <c r="AB14" s="710"/>
      <c r="AC14" s="710"/>
      <c r="AD14" s="710"/>
      <c r="AE14" s="710"/>
      <c r="AF14" s="710"/>
      <c r="AG14" s="710"/>
      <c r="AH14" s="710"/>
    </row>
    <row r="15" spans="2:34" ht="15.75" customHeight="1">
      <c r="B15" s="602" t="s">
        <v>3162</v>
      </c>
      <c r="C15" s="607">
        <f>(VLOOKUP(B15,'Table Gulf War'!C8:U21,2,0)/VLOOKUP(B15,'Table Gulf War'!C8:U21,8,0))*100</f>
        <v>0.10736475956270405</v>
      </c>
      <c r="D15" s="607">
        <f>VLOOKUP(B15,'Country Summary (€)'!B:J,9,0)</f>
        <v>3.6642527324201112E-2</v>
      </c>
      <c r="G15" s="782" t="s">
        <v>3162</v>
      </c>
      <c r="H15" s="711">
        <f>VLOOKUP(G15,'Table Gulf War'!C8:U21,2,0)</f>
        <v>0.66585273443204596</v>
      </c>
      <c r="I15" s="711">
        <f>VLOOKUP(G15,'Country Summary (€)'!B:G,6,0)</f>
        <v>0.61058152373941843</v>
      </c>
      <c r="J15" s="710"/>
      <c r="K15" s="710"/>
      <c r="L15" s="710"/>
      <c r="Q15" s="710"/>
      <c r="R15" s="710"/>
      <c r="S15" s="710"/>
      <c r="T15" s="710"/>
      <c r="U15" s="710"/>
      <c r="V15" s="710"/>
      <c r="W15" s="710"/>
      <c r="X15" s="710"/>
      <c r="Y15" s="710"/>
      <c r="Z15" s="710"/>
      <c r="AA15" s="710"/>
      <c r="AB15" s="710"/>
      <c r="AC15" s="710"/>
      <c r="AD15" s="710"/>
      <c r="AE15" s="710"/>
      <c r="AF15" s="710"/>
      <c r="AG15" s="710"/>
      <c r="AH15" s="710"/>
    </row>
    <row r="16" spans="2:34" ht="15.75" customHeight="1">
      <c r="B16" s="712"/>
      <c r="C16" s="713"/>
      <c r="D16" s="713"/>
      <c r="H16" s="590"/>
      <c r="I16" s="590"/>
      <c r="J16" s="710"/>
      <c r="K16" s="710"/>
      <c r="L16" s="710"/>
      <c r="Q16" s="710"/>
      <c r="R16" s="710"/>
      <c r="S16" s="710"/>
      <c r="T16" s="710"/>
      <c r="U16" s="710"/>
      <c r="V16" s="710"/>
      <c r="W16" s="710"/>
      <c r="X16" s="710"/>
      <c r="Y16" s="710"/>
      <c r="Z16" s="710"/>
      <c r="AA16" s="710"/>
      <c r="AB16" s="710"/>
      <c r="AC16" s="710"/>
      <c r="AD16" s="710"/>
      <c r="AE16" s="710"/>
      <c r="AF16" s="710"/>
      <c r="AG16" s="710"/>
      <c r="AH16" s="710"/>
    </row>
    <row r="17" spans="2:15" ht="15.75" customHeight="1">
      <c r="B17" s="627" t="s">
        <v>4530</v>
      </c>
      <c r="C17" s="644" t="s">
        <v>364</v>
      </c>
      <c r="D17" s="644" t="s">
        <v>364</v>
      </c>
      <c r="G17" s="627" t="s">
        <v>4530</v>
      </c>
      <c r="H17" s="644">
        <f>SUM(H12:H15)</f>
        <v>155.78098708076806</v>
      </c>
      <c r="I17" s="644">
        <f>SUM(I12:I15)</f>
        <v>88.608109548343762</v>
      </c>
    </row>
    <row r="18" spans="2:15" ht="15.75" customHeight="1">
      <c r="F18" s="602"/>
      <c r="G18" s="604"/>
      <c r="H18" s="604"/>
      <c r="M18" s="602"/>
      <c r="N18" s="604"/>
      <c r="O18" s="604"/>
    </row>
    <row r="19" spans="2:15" ht="15.75" customHeight="1">
      <c r="F19" s="602"/>
      <c r="G19" s="604"/>
      <c r="H19" s="604"/>
      <c r="M19" s="602"/>
      <c r="N19" s="604"/>
      <c r="O19" s="604"/>
    </row>
    <row r="20" spans="2:15" ht="15.75" customHeight="1">
      <c r="F20" s="602"/>
      <c r="G20" s="604"/>
      <c r="H20" s="604"/>
      <c r="M20" s="602"/>
      <c r="N20" s="604"/>
      <c r="O20" s="604"/>
    </row>
    <row r="21" spans="2:15" ht="15.75" customHeight="1">
      <c r="N21" s="590"/>
      <c r="O21" s="590"/>
    </row>
    <row r="22" spans="2:15" ht="15.75" customHeight="1">
      <c r="N22" s="590"/>
      <c r="O22" s="590"/>
    </row>
    <row r="23" spans="2:15" ht="24.75" customHeight="1">
      <c r="B23" s="605" t="s">
        <v>4753</v>
      </c>
      <c r="G23" s="605" t="s">
        <v>4754</v>
      </c>
      <c r="N23" s="590"/>
      <c r="O23" s="590"/>
    </row>
    <row r="24" spans="2:15" ht="15.75" customHeight="1">
      <c r="N24" s="590"/>
      <c r="O24" s="590"/>
    </row>
    <row r="25" spans="2:15" ht="13.15">
      <c r="N25" s="590"/>
      <c r="O25" s="590"/>
    </row>
    <row r="26" spans="2:15" ht="15.75" customHeight="1">
      <c r="N26" s="590"/>
      <c r="O26" s="590"/>
    </row>
    <row r="27" spans="2:15" ht="15.75" customHeight="1">
      <c r="N27" s="590"/>
      <c r="O27" s="590"/>
    </row>
    <row r="29" spans="2:15" ht="15.75" customHeight="1">
      <c r="N29" s="590"/>
      <c r="O29" s="590"/>
    </row>
    <row r="30" spans="2:15" ht="15.75" customHeight="1">
      <c r="N30" s="590"/>
      <c r="O30" s="590"/>
    </row>
    <row r="31" spans="2:15" ht="15.75" customHeight="1">
      <c r="N31" s="590"/>
      <c r="O31" s="590"/>
    </row>
    <row r="32" spans="2:15" ht="15.75" customHeight="1">
      <c r="N32" s="590"/>
      <c r="O32" s="590"/>
    </row>
    <row r="33" spans="14:15" ht="15.75" customHeight="1">
      <c r="N33" s="590"/>
      <c r="O33" s="590"/>
    </row>
    <row r="34" spans="14:15" ht="15.75" customHeight="1">
      <c r="N34" s="590"/>
      <c r="O34" s="590"/>
    </row>
    <row r="35" spans="14:15" ht="15.75" customHeight="1">
      <c r="N35" s="590"/>
      <c r="O35" s="590"/>
    </row>
    <row r="36" spans="14:15" ht="15.75" customHeight="1">
      <c r="N36" s="590"/>
      <c r="O36" s="590"/>
    </row>
    <row r="37" spans="14:15" ht="15.75" customHeight="1">
      <c r="N37" s="590"/>
      <c r="O37" s="590"/>
    </row>
    <row r="38" spans="14:15" ht="15.75" customHeight="1">
      <c r="N38" s="590"/>
      <c r="O38" s="590"/>
    </row>
    <row r="39" spans="14:15" ht="15.75" customHeight="1">
      <c r="N39" s="590"/>
      <c r="O39" s="590"/>
    </row>
    <row r="40" spans="14:15" ht="15.75" customHeight="1">
      <c r="N40" s="590"/>
      <c r="O40" s="590"/>
    </row>
    <row r="41" spans="14:15" ht="15.75" customHeight="1">
      <c r="N41" s="590"/>
      <c r="O41" s="590"/>
    </row>
    <row r="42" spans="14:15" ht="15.75" customHeight="1">
      <c r="N42" s="590"/>
      <c r="O42" s="590"/>
    </row>
    <row r="43" spans="14:15" ht="15.75" customHeight="1">
      <c r="N43" s="590"/>
      <c r="O43" s="590"/>
    </row>
    <row r="44" spans="14:15" ht="15.75" customHeight="1">
      <c r="N44" s="590"/>
      <c r="O44" s="590"/>
    </row>
    <row r="45" spans="14:15" ht="15.75" customHeight="1">
      <c r="N45" s="590"/>
      <c r="O45" s="590"/>
    </row>
    <row r="46" spans="14:15" ht="15.75" customHeight="1">
      <c r="N46" s="590"/>
      <c r="O46" s="590"/>
    </row>
    <row r="47" spans="14:15" ht="15.75" customHeight="1">
      <c r="N47" s="590"/>
      <c r="O47" s="590"/>
    </row>
  </sheetData>
  <mergeCells count="1">
    <mergeCell ref="B4:E9"/>
  </mergeCells>
  <pageMargins left="0.7" right="0.7" top="0.78740157499999996" bottom="0.78740157499999996"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B4C6E7"/>
  </sheetPr>
  <dimension ref="B2:I48"/>
  <sheetViews>
    <sheetView showGridLines="0" zoomScaleNormal="100" workbookViewId="0"/>
  </sheetViews>
  <sheetFormatPr defaultColWidth="11" defaultRowHeight="15.75" customHeight="1"/>
  <cols>
    <col min="1" max="1" width="8.625" style="582" customWidth="1"/>
    <col min="2" max="2" width="46.625" style="582" customWidth="1"/>
    <col min="3" max="3" width="22" style="582" bestFit="1" customWidth="1"/>
    <col min="4" max="8" width="13.625" style="582" customWidth="1"/>
    <col min="9" max="16384" width="11" style="582"/>
  </cols>
  <sheetData>
    <row r="2" spans="2:8" s="594" customFormat="1" ht="24.75" customHeight="1">
      <c r="B2" s="605" t="s">
        <v>4755</v>
      </c>
    </row>
    <row r="4" spans="2:8" ht="15.75" customHeight="1">
      <c r="B4" s="1456" t="s">
        <v>4756</v>
      </c>
      <c r="C4" s="1456"/>
      <c r="D4" s="1456"/>
      <c r="E4" s="1456"/>
      <c r="F4" s="1456"/>
      <c r="G4" s="1456"/>
      <c r="H4" s="1456"/>
    </row>
    <row r="5" spans="2:8" ht="15.75" customHeight="1">
      <c r="B5" s="1456"/>
      <c r="C5" s="1456"/>
      <c r="D5" s="1456"/>
      <c r="E5" s="1456"/>
      <c r="F5" s="1456"/>
      <c r="G5" s="1456"/>
      <c r="H5" s="1456"/>
    </row>
    <row r="6" spans="2:8" ht="15.75" customHeight="1">
      <c r="B6" s="1456"/>
      <c r="C6" s="1456"/>
      <c r="D6" s="1456"/>
      <c r="E6" s="1456"/>
      <c r="F6" s="1456"/>
      <c r="G6" s="1456"/>
      <c r="H6" s="1456"/>
    </row>
    <row r="7" spans="2:8" ht="15.75" customHeight="1">
      <c r="B7" s="1456"/>
      <c r="C7" s="1456"/>
      <c r="D7" s="1456"/>
      <c r="E7" s="1456"/>
      <c r="F7" s="1456"/>
      <c r="G7" s="1456"/>
      <c r="H7" s="1456"/>
    </row>
    <row r="8" spans="2:8" ht="15.75" customHeight="1">
      <c r="B8" s="1456"/>
      <c r="C8" s="1456"/>
      <c r="D8" s="1456"/>
      <c r="E8" s="1456"/>
      <c r="F8" s="1456"/>
      <c r="G8" s="1456"/>
      <c r="H8" s="1456"/>
    </row>
    <row r="9" spans="2:8" ht="15.75" customHeight="1">
      <c r="B9" s="1456"/>
      <c r="C9" s="1456"/>
      <c r="D9" s="1456"/>
      <c r="E9" s="1456"/>
      <c r="F9" s="1456"/>
      <c r="G9" s="1456"/>
      <c r="H9" s="1456"/>
    </row>
    <row r="11" spans="2:8" s="594" customFormat="1" ht="24.75" customHeight="1">
      <c r="B11" s="617" t="s">
        <v>4757</v>
      </c>
      <c r="C11" s="621" t="s">
        <v>4758</v>
      </c>
      <c r="E11" s="605" t="s">
        <v>4759</v>
      </c>
    </row>
    <row r="12" spans="2:8" ht="15.75" customHeight="1">
      <c r="B12" s="602" t="s">
        <v>4760</v>
      </c>
      <c r="C12" s="607">
        <v>806.9</v>
      </c>
    </row>
    <row r="13" spans="2:8" ht="15.75" customHeight="1">
      <c r="B13" s="602" t="s">
        <v>4761</v>
      </c>
      <c r="C13" s="607">
        <f>'Table European Crisis'!E21</f>
        <v>394.6</v>
      </c>
    </row>
    <row r="14" spans="2:8" ht="15.75" customHeight="1">
      <c r="B14" s="633" t="s">
        <v>4762</v>
      </c>
      <c r="C14" s="634">
        <f>'Table Aid vs Energy'!E43</f>
        <v>68.352480163837072</v>
      </c>
    </row>
    <row r="16" spans="2:8" ht="15.75" customHeight="1">
      <c r="B16" s="627" t="s">
        <v>4763</v>
      </c>
      <c r="C16" s="644">
        <f>C12+C13</f>
        <v>1201.5</v>
      </c>
    </row>
    <row r="48" spans="9:9" ht="15.75" customHeight="1">
      <c r="I48" s="590"/>
    </row>
  </sheetData>
  <mergeCells count="1">
    <mergeCell ref="B4:H9"/>
  </mergeCells>
  <pageMargins left="0.7" right="0.7" top="0.78740157499999996" bottom="0.78740157499999996"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B4C6E7"/>
  </sheetPr>
  <dimension ref="B2:W23"/>
  <sheetViews>
    <sheetView showGridLines="0" zoomScaleNormal="100" workbookViewId="0"/>
  </sheetViews>
  <sheetFormatPr defaultColWidth="9" defaultRowHeight="15.75" customHeight="1"/>
  <cols>
    <col min="1" max="1" width="8.625" style="582" customWidth="1"/>
    <col min="2" max="2" width="15" style="582" customWidth="1"/>
    <col min="3" max="3" width="37.625" style="590" bestFit="1" customWidth="1"/>
    <col min="4" max="4" width="33.625" style="590" bestFit="1" customWidth="1"/>
    <col min="5" max="7" width="13.625" style="582" customWidth="1"/>
    <col min="8" max="8" width="37.625" style="590" bestFit="1" customWidth="1"/>
    <col min="9" max="9" width="17.875" style="582" customWidth="1"/>
    <col min="10" max="10" width="26.125" style="585" customWidth="1"/>
    <col min="11" max="11" width="49.25" style="582" bestFit="1" customWidth="1"/>
    <col min="12" max="12" width="41.125" style="582" bestFit="1" customWidth="1"/>
    <col min="13" max="16384" width="9" style="582"/>
  </cols>
  <sheetData>
    <row r="2" spans="2:23" ht="24.75" customHeight="1">
      <c r="B2" s="605" t="s">
        <v>4764</v>
      </c>
      <c r="G2" s="605"/>
      <c r="H2" s="620"/>
      <c r="I2" s="594"/>
      <c r="J2" s="618"/>
      <c r="K2" s="594"/>
      <c r="L2" s="594"/>
      <c r="M2" s="594"/>
      <c r="N2" s="594"/>
      <c r="O2" s="594"/>
      <c r="P2" s="594"/>
      <c r="Q2" s="594"/>
      <c r="R2" s="594"/>
      <c r="S2" s="594"/>
      <c r="T2" s="594"/>
      <c r="U2" s="594"/>
      <c r="V2" s="594"/>
      <c r="W2" s="594"/>
    </row>
    <row r="4" spans="2:23" ht="15.75" customHeight="1">
      <c r="B4" s="1456" t="s">
        <v>4765</v>
      </c>
      <c r="C4" s="1456"/>
      <c r="D4" s="1456"/>
      <c r="E4" s="1456"/>
      <c r="F4" s="1456"/>
      <c r="L4" s="793"/>
      <c r="M4" s="793"/>
      <c r="N4" s="793"/>
      <c r="O4" s="793"/>
      <c r="P4" s="793"/>
    </row>
    <row r="5" spans="2:23" s="583" customFormat="1" ht="15.75" customHeight="1">
      <c r="B5" s="1456"/>
      <c r="C5" s="1456"/>
      <c r="D5" s="1456"/>
      <c r="E5" s="1456"/>
      <c r="F5" s="1456"/>
      <c r="L5" s="793"/>
      <c r="M5" s="793"/>
      <c r="N5" s="793"/>
      <c r="O5" s="793"/>
      <c r="P5" s="793"/>
    </row>
    <row r="6" spans="2:23" ht="15.75" customHeight="1">
      <c r="B6" s="1456"/>
      <c r="C6" s="1456"/>
      <c r="D6" s="1456"/>
      <c r="E6" s="1456"/>
      <c r="F6" s="1456"/>
      <c r="L6" s="793"/>
      <c r="M6" s="793"/>
      <c r="N6" s="793"/>
      <c r="O6" s="793"/>
      <c r="P6" s="793"/>
    </row>
    <row r="7" spans="2:23" ht="15.75" customHeight="1">
      <c r="B7" s="1456"/>
      <c r="C7" s="1456"/>
      <c r="D7" s="1456"/>
      <c r="E7" s="1456"/>
      <c r="F7" s="1456"/>
      <c r="L7" s="793"/>
      <c r="M7" s="793"/>
      <c r="N7" s="793"/>
      <c r="O7" s="793"/>
      <c r="P7" s="793"/>
    </row>
    <row r="8" spans="2:23" ht="15.75" customHeight="1">
      <c r="B8" s="1456"/>
      <c r="C8" s="1456"/>
      <c r="D8" s="1456"/>
      <c r="E8" s="1456"/>
      <c r="F8" s="1456"/>
      <c r="L8" s="793"/>
      <c r="M8" s="793"/>
      <c r="N8" s="793"/>
      <c r="O8" s="793"/>
      <c r="P8" s="793"/>
    </row>
    <row r="9" spans="2:23" ht="15.75" customHeight="1">
      <c r="B9" s="1456"/>
      <c r="C9" s="1456"/>
      <c r="D9" s="1456"/>
      <c r="E9" s="1456"/>
      <c r="F9" s="1456"/>
      <c r="L9" s="793"/>
      <c r="M9" s="793"/>
      <c r="N9" s="793"/>
      <c r="O9" s="793"/>
      <c r="P9" s="793"/>
    </row>
    <row r="10" spans="2:23" ht="15.75" customHeight="1">
      <c r="M10" s="590"/>
      <c r="O10" s="585"/>
    </row>
    <row r="11" spans="2:23" s="594" customFormat="1" ht="24.75" customHeight="1">
      <c r="B11" s="617" t="s">
        <v>308</v>
      </c>
      <c r="C11" s="616" t="s">
        <v>4766</v>
      </c>
      <c r="D11" s="616" t="s">
        <v>4767</v>
      </c>
      <c r="J11" s="617" t="s">
        <v>308</v>
      </c>
      <c r="K11" s="619" t="s">
        <v>4766</v>
      </c>
      <c r="L11" s="619" t="s">
        <v>4768</v>
      </c>
      <c r="O11" s="618"/>
    </row>
    <row r="12" spans="2:23" ht="15.75" customHeight="1">
      <c r="B12" s="602" t="s">
        <v>1711</v>
      </c>
      <c r="C12" s="607">
        <f>VLOOKUP(B12,'Table Aid vs Energy'!B11:J45,3,0)</f>
        <v>264.2</v>
      </c>
      <c r="D12" s="607">
        <f>VLOOKUP(B12,'Country Summary (€)'!B:Q,15,0)</f>
        <v>18.01197115919447</v>
      </c>
      <c r="J12" s="602" t="s">
        <v>1711</v>
      </c>
      <c r="K12" s="604">
        <f>VLOOKUP($J12,'Table Aid vs Energy'!B11:J45,6,0)</f>
        <v>6.7403039234985833</v>
      </c>
      <c r="L12" s="604">
        <f>VLOOKUP($J12,'Table Aid vs Energy'!B11:J45,8,0)</f>
        <v>0.45952369369516211</v>
      </c>
      <c r="O12" s="585"/>
    </row>
    <row r="13" spans="2:23" ht="15.75" customHeight="1">
      <c r="B13" s="602" t="s">
        <v>3748</v>
      </c>
      <c r="C13" s="607">
        <f>VLOOKUP(B13,'Table Aid vs Energy'!B12:J46,3,0)</f>
        <v>96.65</v>
      </c>
      <c r="D13" s="607">
        <f>VLOOKUP(B13,'Country Summary (€)'!B:Q,15,0)</f>
        <v>10.735148612169851</v>
      </c>
      <c r="J13" s="602" t="s">
        <v>2693</v>
      </c>
      <c r="K13" s="604">
        <f>VLOOKUP($J13,'Table Aid vs Energy'!B12:J46,6,0)</f>
        <v>4.7051717827525232</v>
      </c>
      <c r="L13" s="604">
        <f>VLOOKUP($J13,'Table Aid vs Energy'!B12:J46,8,0)</f>
        <v>0.71470895562583625</v>
      </c>
      <c r="O13" s="585"/>
    </row>
    <row r="14" spans="2:23" ht="15.75" customHeight="1">
      <c r="B14" s="602" t="s">
        <v>2204</v>
      </c>
      <c r="C14" s="607">
        <f>VLOOKUP(B14,'Table Aid vs Energy'!B13:J47,3,0)</f>
        <v>83.44</v>
      </c>
      <c r="D14" s="607">
        <f>VLOOKUP(B14,'Country Summary (€)'!B:Q,15,0)</f>
        <v>5.7761019416531836</v>
      </c>
      <c r="J14" s="602" t="s">
        <v>2204</v>
      </c>
      <c r="K14" s="604">
        <f>VLOOKUP($J14,'Table Aid vs Energy'!B13:J47,6,0)</f>
        <v>4.3024372394514847</v>
      </c>
      <c r="L14" s="604">
        <f>VLOOKUP($J14,'Table Aid vs Energy'!B13:J47,8,0)</f>
        <v>0.29783456486860843</v>
      </c>
      <c r="O14" s="585"/>
    </row>
    <row r="15" spans="2:23" ht="15.75" customHeight="1">
      <c r="B15" s="602" t="s">
        <v>1523</v>
      </c>
      <c r="C15" s="607">
        <f>VLOOKUP(B15,'Table Aid vs Energy'!B14:J48,3,0)</f>
        <v>49.43</v>
      </c>
      <c r="D15" s="607">
        <f>VLOOKUP(B15,'Country Summary (€)'!B:Q,15,0)</f>
        <v>7.461431852038908</v>
      </c>
      <c r="J15" s="603" t="s">
        <v>4769</v>
      </c>
      <c r="K15" s="604">
        <f>'Table Aid vs Energy'!G43</f>
        <v>3.6055790721622709</v>
      </c>
      <c r="L15" s="604">
        <f>'Table Aid vs Energy'!H43</f>
        <v>0.43246003883544376</v>
      </c>
      <c r="O15" s="585"/>
    </row>
    <row r="16" spans="2:23" ht="15.75" customHeight="1">
      <c r="B16" s="602" t="s">
        <v>2693</v>
      </c>
      <c r="C16" s="607">
        <f>VLOOKUP(B16,'Table Aid vs Energy'!B15:J49,3,0)</f>
        <v>43.85</v>
      </c>
      <c r="D16" s="607">
        <f>VLOOKUP(B16,'Country Summary (€)'!B:Q,15,0)</f>
        <v>6.6607531353210323</v>
      </c>
      <c r="J16" s="602" t="s">
        <v>3748</v>
      </c>
      <c r="K16" s="604">
        <f>VLOOKUP($J16,'Table Aid vs Energy'!B15:J49,6,0)</f>
        <v>3.3544090797225201</v>
      </c>
      <c r="L16" s="604">
        <f>VLOOKUP($J16,'Table Aid vs Energy'!B15:J49,8,0)</f>
        <v>0.37258230705466278</v>
      </c>
      <c r="O16" s="585"/>
    </row>
    <row r="17" spans="2:15" ht="15.75" customHeight="1">
      <c r="B17" s="602" t="s">
        <v>3412</v>
      </c>
      <c r="C17" s="607">
        <f>VLOOKUP(B17,'Table Aid vs Energy'!B16:J50,3,0)</f>
        <v>35.799999999999997</v>
      </c>
      <c r="D17" s="607">
        <f>VLOOKUP(B17,'Country Summary (€)'!B:Q,15,0)</f>
        <v>4.7937834044636434</v>
      </c>
      <c r="J17" s="602" t="s">
        <v>3412</v>
      </c>
      <c r="K17" s="604">
        <f>VLOOKUP($J17,'Table Aid vs Energy'!B16:J50,6,0)</f>
        <v>2.7257928112571377</v>
      </c>
      <c r="L17" s="604">
        <f>VLOOKUP($J17,'Table Aid vs Energy'!B16:J50,8,0)</f>
        <v>0.36499609895560808</v>
      </c>
      <c r="O17" s="585"/>
    </row>
    <row r="18" spans="2:15" ht="15.75" customHeight="1">
      <c r="B18" s="642" t="s">
        <v>4769</v>
      </c>
      <c r="C18" s="634">
        <f>'Table Aid vs Energy'!D43/27</f>
        <v>21.106661962962956</v>
      </c>
      <c r="D18" s="634">
        <f>(SUMIFS('Country Summary (€)'!G:G,'Country Summary (€)'!C:C,1)+29.9+2+3.1)/27</f>
        <v>2.5308325986606319</v>
      </c>
      <c r="J18" s="633" t="s">
        <v>1523</v>
      </c>
      <c r="K18" s="643">
        <f>VLOOKUP($J18,'Table Aid vs Energy'!B17:J51,6,0)</f>
        <v>1.8161834953485678</v>
      </c>
      <c r="L18" s="705">
        <f>VLOOKUP($J18,'Table Aid vs Energy'!B17:J51,8,0)</f>
        <v>0.27415191950922846</v>
      </c>
      <c r="O18" s="585"/>
    </row>
    <row r="19" spans="2:15" ht="15.75" customHeight="1">
      <c r="J19" s="582"/>
      <c r="K19" s="590"/>
      <c r="O19" s="585"/>
    </row>
    <row r="20" spans="2:15" ht="15.75" customHeight="1">
      <c r="B20" s="627" t="s">
        <v>4530</v>
      </c>
      <c r="C20" s="644">
        <f>SUM(C12:C17)</f>
        <v>573.37</v>
      </c>
      <c r="D20" s="644">
        <f>SUM(D12:D17)</f>
        <v>53.439190104841089</v>
      </c>
      <c r="J20" s="627" t="s">
        <v>4530</v>
      </c>
      <c r="K20" s="644">
        <f>SUM(K12:K18)-K15</f>
        <v>23.644298332030814</v>
      </c>
      <c r="L20" s="644">
        <f>SUM(L12:L17)</f>
        <v>2.6421056590353218</v>
      </c>
      <c r="O20" s="585"/>
    </row>
    <row r="21" spans="2:15" ht="15.75" customHeight="1">
      <c r="J21" s="582"/>
      <c r="K21" s="590"/>
      <c r="O21" s="585"/>
    </row>
    <row r="22" spans="2:15" ht="15.75" customHeight="1">
      <c r="J22" s="582"/>
      <c r="K22" s="590"/>
      <c r="O22" s="585"/>
    </row>
    <row r="23" spans="2:15" ht="24.75" customHeight="1">
      <c r="B23" s="605" t="s">
        <v>4770</v>
      </c>
      <c r="J23" s="605" t="s">
        <v>4771</v>
      </c>
      <c r="K23" s="590"/>
      <c r="O23" s="585"/>
    </row>
  </sheetData>
  <mergeCells count="1">
    <mergeCell ref="B4:F9"/>
  </mergeCells>
  <pageMargins left="0.7" right="0.7" top="0.78740157499999996" bottom="0.78740157499999996"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BT2000"/>
  <sheetViews>
    <sheetView zoomScaleNormal="100" workbookViewId="0">
      <pane xSplit="1" ySplit="1" topLeftCell="B2" activePane="bottomRight" state="frozen"/>
      <selection pane="bottomRight"/>
      <selection pane="bottomLeft" activeCell="B9" sqref="B9"/>
      <selection pane="topRight" activeCell="B9" sqref="B9"/>
    </sheetView>
  </sheetViews>
  <sheetFormatPr defaultColWidth="10.5" defaultRowHeight="15.95" customHeight="1"/>
  <cols>
    <col min="1" max="1" width="8" style="1180" customWidth="1"/>
    <col min="2" max="2" width="16.5" style="1180" customWidth="1"/>
    <col min="3" max="3" width="18.5" style="1181" customWidth="1"/>
    <col min="4" max="4" width="19.5" style="1182" customWidth="1"/>
    <col min="5" max="5" width="37" style="1182" customWidth="1"/>
    <col min="6" max="6" width="55" style="1183" customWidth="1"/>
    <col min="7" max="7" width="19" style="1184" customWidth="1"/>
    <col min="8" max="8" width="31.5" style="1185" customWidth="1"/>
    <col min="9" max="9" width="76.375" style="1180" customWidth="1"/>
    <col min="10" max="10" width="34" style="1186" customWidth="1"/>
    <col min="11" max="11" width="55.5" style="1186" customWidth="1"/>
    <col min="12" max="12" width="7.5" style="1187" customWidth="1"/>
    <col min="13" max="13" width="16.5" style="1188" customWidth="1"/>
    <col min="14" max="14" width="15" style="1188" customWidth="1"/>
    <col min="15" max="15" width="18.5" style="1188" customWidth="1"/>
    <col min="16" max="16" width="38" style="1185" customWidth="1"/>
    <col min="17" max="17" width="37" style="1185" customWidth="1"/>
    <col min="18" max="18" width="24.5" style="1185" customWidth="1"/>
    <col min="19" max="19" width="24" style="1185" customWidth="1"/>
    <col min="20" max="20" width="39.5" style="1185" customWidth="1"/>
    <col min="21" max="21" width="17" style="1184" customWidth="1"/>
    <col min="22" max="22" width="37.5" style="1219" customWidth="1"/>
    <col min="23" max="23" width="32.5" style="1219" customWidth="1"/>
    <col min="24" max="25" width="36" style="1219" customWidth="1"/>
    <col min="26" max="26" width="44.5" style="1184" customWidth="1"/>
    <col min="27" max="27" width="27" style="1194" customWidth="1"/>
    <col min="28" max="28" width="24.5" style="1212" customWidth="1"/>
    <col min="29" max="29" width="32" style="1192" customWidth="1"/>
    <col min="30" max="39" width="20.5" style="1194" customWidth="1"/>
    <col min="40" max="40" width="15" style="1194" customWidth="1"/>
    <col min="41" max="41" width="26.5" style="1194" customWidth="1"/>
    <col min="42" max="42" width="18.375" style="1195" bestFit="1" customWidth="1"/>
    <col min="43" max="43" width="12.5" style="1194" customWidth="1"/>
    <col min="44" max="44" width="10.5" style="1194" customWidth="1"/>
    <col min="45" max="45" width="14.375" style="1194" bestFit="1" customWidth="1"/>
    <col min="46" max="46" width="29" style="1194" bestFit="1" customWidth="1"/>
    <col min="47" max="47" width="27.125" style="1194" bestFit="1" customWidth="1"/>
    <col min="48" max="48" width="27.125" style="1194" customWidth="1"/>
    <col min="49" max="49" width="42.125" style="1264" bestFit="1" customWidth="1"/>
    <col min="50" max="50" width="10.5" style="1264"/>
    <col min="51" max="51" width="10.5" style="1196"/>
    <col min="52" max="52" width="11.375" style="1196" bestFit="1" customWidth="1"/>
    <col min="53" max="53" width="32.625" style="1196" customWidth="1"/>
    <col min="54" max="16384" width="10.5" style="1196"/>
  </cols>
  <sheetData>
    <row r="1" spans="1:53" s="1255" customFormat="1" ht="15.95" customHeight="1">
      <c r="A1" s="1242" t="s">
        <v>307</v>
      </c>
      <c r="B1" s="1243" t="s">
        <v>308</v>
      </c>
      <c r="C1" s="1244" t="s">
        <v>309</v>
      </c>
      <c r="D1" s="1243" t="s">
        <v>310</v>
      </c>
      <c r="E1" s="1243" t="s">
        <v>311</v>
      </c>
      <c r="F1" s="1245" t="s">
        <v>312</v>
      </c>
      <c r="G1" s="1242" t="s">
        <v>313</v>
      </c>
      <c r="H1" s="1246" t="s">
        <v>314</v>
      </c>
      <c r="I1" s="1247" t="s">
        <v>315</v>
      </c>
      <c r="J1" s="1248" t="s">
        <v>316</v>
      </c>
      <c r="K1" s="1249" t="s">
        <v>317</v>
      </c>
      <c r="L1" s="1250" t="s">
        <v>318</v>
      </c>
      <c r="M1" s="1251" t="s">
        <v>319</v>
      </c>
      <c r="N1" s="1251" t="s">
        <v>320</v>
      </c>
      <c r="O1" s="1252" t="s">
        <v>321</v>
      </c>
      <c r="P1" s="1253" t="s">
        <v>322</v>
      </c>
      <c r="Q1" s="1253" t="s">
        <v>323</v>
      </c>
      <c r="R1" s="1253" t="s">
        <v>324</v>
      </c>
      <c r="S1" s="1254" t="s">
        <v>325</v>
      </c>
      <c r="T1" s="1246" t="s">
        <v>326</v>
      </c>
      <c r="U1" s="1242" t="s">
        <v>327</v>
      </c>
      <c r="V1" s="1242" t="s">
        <v>328</v>
      </c>
      <c r="W1" s="1242" t="s">
        <v>329</v>
      </c>
      <c r="X1" s="1242" t="s">
        <v>330</v>
      </c>
      <c r="Y1" s="1242" t="s">
        <v>331</v>
      </c>
      <c r="Z1" s="1242" t="s">
        <v>332</v>
      </c>
      <c r="AA1" s="1255" t="s">
        <v>333</v>
      </c>
      <c r="AB1" s="1256" t="s">
        <v>334</v>
      </c>
      <c r="AC1" s="1257" t="s">
        <v>335</v>
      </c>
      <c r="AD1" s="1258" t="s">
        <v>336</v>
      </c>
      <c r="AE1" s="1259" t="s">
        <v>337</v>
      </c>
      <c r="AF1" s="1259" t="s">
        <v>338</v>
      </c>
      <c r="AG1" s="1259" t="s">
        <v>339</v>
      </c>
      <c r="AH1" s="1259" t="s">
        <v>340</v>
      </c>
      <c r="AI1" s="1259" t="s">
        <v>341</v>
      </c>
      <c r="AJ1" s="1259" t="s">
        <v>342</v>
      </c>
      <c r="AK1" s="1259" t="s">
        <v>343</v>
      </c>
      <c r="AL1" s="1259" t="s">
        <v>344</v>
      </c>
      <c r="AM1" s="1259" t="s">
        <v>345</v>
      </c>
      <c r="AN1" s="1255" t="s">
        <v>346</v>
      </c>
      <c r="AO1" s="1255" t="s">
        <v>317</v>
      </c>
      <c r="AP1" s="1255" t="s">
        <v>347</v>
      </c>
      <c r="AQ1" s="1255" t="str">
        <f>'Price List, Weapons &amp; Items'!L11</f>
        <v>Relative importance(2=very imporant, 1=important, 0=less important)</v>
      </c>
      <c r="AR1" s="1255" t="s">
        <v>348</v>
      </c>
      <c r="AS1" s="1255" t="s">
        <v>349</v>
      </c>
      <c r="AT1" s="1255" t="s">
        <v>350</v>
      </c>
      <c r="AU1" s="1255" t="s">
        <v>351</v>
      </c>
      <c r="AV1" s="1255" t="s">
        <v>352</v>
      </c>
      <c r="AW1" s="1260" t="s">
        <v>353</v>
      </c>
      <c r="AX1" s="1260" t="s">
        <v>354</v>
      </c>
      <c r="AY1" s="1255" t="s">
        <v>355</v>
      </c>
      <c r="AZ1" s="1255" t="s">
        <v>356</v>
      </c>
      <c r="BA1" s="1255" t="s">
        <v>357</v>
      </c>
    </row>
    <row r="2" spans="1:53" ht="15.95" customHeight="1">
      <c r="A2" s="1180" t="s">
        <v>358</v>
      </c>
      <c r="B2" s="1180" t="s">
        <v>359</v>
      </c>
      <c r="C2" s="1181">
        <v>44621</v>
      </c>
      <c r="D2" s="1182" t="s">
        <v>360</v>
      </c>
      <c r="E2" s="1182" t="s">
        <v>361</v>
      </c>
      <c r="F2" s="1183" t="s">
        <v>362</v>
      </c>
      <c r="G2" s="1184" t="s">
        <v>363</v>
      </c>
      <c r="H2" s="1185">
        <v>35000000</v>
      </c>
      <c r="I2" s="1201" t="s">
        <v>364</v>
      </c>
      <c r="J2" s="1186" t="str">
        <f>VLOOKUP($I2,'Price List, Weapons &amp; Items'!B:C,2,0)</f>
        <v>.</v>
      </c>
      <c r="K2" s="1186" t="str">
        <f>IF(I2=".",I2,VLOOKUP($I2,'Price List, Weapons &amp; Items'!B:D,3,0))</f>
        <v>.</v>
      </c>
      <c r="L2" s="1187">
        <f>VLOOKUP(I2,'Price List, Weapons &amp; Items'!B:E,4,0)</f>
        <v>0</v>
      </c>
      <c r="M2" s="1188" t="s">
        <v>364</v>
      </c>
      <c r="N2" s="1188" t="s">
        <v>364</v>
      </c>
      <c r="O2" s="1189" t="str">
        <f>VLOOKUP($I2,'Price List, Weapons &amp; Items'!B:G,6,0)</f>
        <v>.</v>
      </c>
      <c r="P2" s="1185" t="str">
        <f t="shared" ref="P2" si="0">IF(TYPE(M2)=1,IF(TYPE(O2)=1,M2*O2,"No price"),".")</f>
        <v>.</v>
      </c>
      <c r="Q2" s="1185" t="str">
        <f t="shared" ref="Q2" si="1">IF(TYPE(N2)=1,IF(TYPE(O2)=1,N2*O2,"No price"),".")</f>
        <v>.</v>
      </c>
      <c r="R2" s="1185">
        <f t="shared" ref="R2:R65" si="2">IF(AD2=1,IF(H2&lt;&gt;"Not given",H2,IF(TYPE(H2)=2,IF(SUMIFS(P:P,A:A,A2)&gt;0,SUMIFS(P:P,A:A,A2),"."),"Format error")),"")</f>
        <v>35000000</v>
      </c>
      <c r="S2" s="1185">
        <f>IF(AND(AD2=1,R2&lt;&gt;".")=TRUE,R2/VLOOKUP(G2,'Exchange Rates'!B:C,2,0),IF(R2=".",".",""))</f>
        <v>21411966.230270401</v>
      </c>
      <c r="T2" s="1185" t="str">
        <f>IF(AD2=1,IF(AF2="Value is not given at all",".",IF(AF2="Value is given by the source",S2,IF(AF2="Value is calculated with prices",(IF(SUMIFS(Q:Q,A:A,A2)&gt;0,SUMIFS(Q:Q,A:A,A2),"."))/VLOOKUP("USD",'Exchange Rates'!B:C,2,0),"Error with coding"))),"")</f>
        <v>.</v>
      </c>
      <c r="U2" s="1184" t="s">
        <v>365</v>
      </c>
      <c r="V2" s="971" t="s">
        <v>366</v>
      </c>
      <c r="W2" s="971" t="s">
        <v>367</v>
      </c>
      <c r="X2" s="1190" t="s">
        <v>364</v>
      </c>
      <c r="Y2" s="1190" t="s">
        <v>364</v>
      </c>
      <c r="Z2" s="1184">
        <v>0</v>
      </c>
      <c r="AA2" s="1194">
        <v>0</v>
      </c>
      <c r="AB2" s="1201" t="s">
        <v>364</v>
      </c>
      <c r="AC2" s="1192" t="str">
        <f>""</f>
        <v/>
      </c>
      <c r="AD2" s="1193">
        <v>1</v>
      </c>
      <c r="AE2" s="1193" t="s">
        <v>368</v>
      </c>
      <c r="AF2" s="1193" t="s">
        <v>369</v>
      </c>
      <c r="AG2" s="1193">
        <v>1</v>
      </c>
      <c r="AH2" s="1193">
        <v>3</v>
      </c>
      <c r="AI2" s="1193">
        <v>0</v>
      </c>
      <c r="AJ2" s="1193">
        <f>VLOOKUP($I2,'Price List, Weapons &amp; Items'!B:F,5,0)</f>
        <v>0</v>
      </c>
      <c r="AK2" s="1193">
        <f t="shared" ref="AK2" si="3">IF(AND(AJ2=1,M2="undisclosed")=TRUE,1,0)</f>
        <v>0</v>
      </c>
      <c r="AL2" s="1193">
        <f t="shared" ref="AL2" si="4">IF(AND(AJ2=1,N2="undisclosed")=TRUE,1,0)</f>
        <v>0</v>
      </c>
      <c r="AM2" s="1193">
        <f t="shared" ref="AM2" si="5">IFERROR(IF(SEARCH("ammuni",I2,1)&gt;0,1,0),0)</f>
        <v>0</v>
      </c>
      <c r="AN2" s="1194" t="str">
        <f>VLOOKUP($I2,'Price List, Weapons &amp; Items'!B:L,COLUMN('Price List, Weapons &amp; Items'!$J$11)-1,0)</f>
        <v>.</v>
      </c>
      <c r="AO2" s="1194" t="str">
        <f>IF(I2=".",".",VLOOKUP($I2,'Price List, Weapons &amp; Items'!B:J,3,0))</f>
        <v>.</v>
      </c>
      <c r="AP2" s="1195" t="str">
        <f t="shared" ref="AP2:AP65" ca="1" si="6">IF(AD2=1,(OFFSET(I2,0,0,COUNTIF(A:A,A2),1)),"")</f>
        <v>.</v>
      </c>
      <c r="AQ2" s="1194">
        <f>VLOOKUP($I2,'Price List, Weapons &amp; Items'!B:L,COLUMN('Price List, Weapons &amp; Items'!$L$11)-1,0)</f>
        <v>0</v>
      </c>
      <c r="AR2" s="1194">
        <f t="shared" ref="AR2" si="7">IF(U2="Yes",1,0)</f>
        <v>1</v>
      </c>
      <c r="AS2" s="1194">
        <f t="shared" ref="AS2" si="8">IF(D2="Military",IF(OR(IFERROR(SEARCH("equipment",E2,1),0)&gt;0,IFERROR(SEARCH("weapons",E2,1),0)&gt;0),1,0),0)</f>
        <v>0</v>
      </c>
      <c r="AT2" s="1194">
        <f t="shared" ref="AT2" si="9">IFERROR(IF(VALUE(TEXT(C2,"mm"))=IF(AH2&gt;12,AH2-12,AH2),".",IF(TEXT(C2,"mm")="01",".",1)),"Value is not in date format")</f>
        <v>1</v>
      </c>
      <c r="AU2" s="1194" t="str">
        <f t="shared" ref="AU2" si="10">IF(AND(A2=A1,C2=C1)=TRUE,IF(F2=F1,".","1"),".")</f>
        <v>.</v>
      </c>
      <c r="AV2" s="1194" t="str">
        <f t="shared" ref="AV2:AV65" si="11">IF(AND(_xlfn.ISFORMULA(R2),_xlfn.ISFORMULA(S2),_xlfn.ISFORMULA(T2))=TRUE,".",1)</f>
        <v>.</v>
      </c>
      <c r="AW2" s="1194" t="str">
        <f t="shared" ref="AW2" si="12">IF(T2&lt;&gt;".",IF(T2&gt;S2,1,"."),".")</f>
        <v>.</v>
      </c>
      <c r="AX2" s="1194">
        <f>IFERROR(VLOOKUP(B2,'Share, Heavy Weapons to Ukraine'!B:Z,COLUMN('Share, Heavy Weapons to Ukraine'!C12)-1,0),0)</f>
        <v>0</v>
      </c>
      <c r="AY2" s="1194">
        <f>VLOOKUP('Bilateral Assistance, MAIN DATA'!B2,'Country Summary (€)'!B:F,COLUMN('Country Summary (€)'!C13)-1,FALSE)</f>
        <v>0</v>
      </c>
      <c r="AZ2" s="1194" t="str">
        <f>IF(AND(AD2=1,D2="Military",H2&lt;&gt;"Not given")=TRUE,IF(SUMIFS(P:P,A:A,A2)&gt;0,ABS((SUMIFS(P:P,A:A,A2)/VLOOKUP("USD",'Exchange Rates'!B:C,2,0)))/S2,"."),".")</f>
        <v>.</v>
      </c>
      <c r="BA2" s="1196" t="str">
        <f>IF(AND(AD2=1,D2="Military",H2&lt;&gt;"Not given")=TRUE,IF(SUMIFS(P:P,A:A,A2)&gt;0,IF((ABS((SUMIFS(P:P,A:A,A2)/VLOOKUP("USD",'Exchange Rates'!B:C,2,0)))/S2)&gt;1,(SUMIFS(P:P,A:A,A2)-S2)/S2,(S2-SUMIFS(P:P,A:A,A2))/SUMIFS(P:P,A:A,A2)),"."),".")</f>
        <v>.</v>
      </c>
    </row>
    <row r="3" spans="1:53" ht="15.95" customHeight="1">
      <c r="A3" s="1180" t="s">
        <v>370</v>
      </c>
      <c r="B3" s="1180" t="s">
        <v>359</v>
      </c>
      <c r="C3" s="1181">
        <v>44640</v>
      </c>
      <c r="D3" s="1182" t="s">
        <v>360</v>
      </c>
      <c r="E3" s="1182" t="s">
        <v>371</v>
      </c>
      <c r="F3" s="1183" t="s">
        <v>372</v>
      </c>
      <c r="G3" s="1184" t="s">
        <v>363</v>
      </c>
      <c r="H3" s="1185">
        <v>32600000</v>
      </c>
      <c r="I3" s="1180" t="s">
        <v>373</v>
      </c>
      <c r="J3" s="1186" t="str">
        <f>VLOOKUP($I3,'Price List, Weapons &amp; Items'!B:C,2,0)</f>
        <v>Humanitarian</v>
      </c>
      <c r="K3" s="1186" t="str">
        <f>IF(I3=".",I3,VLOOKUP($I3,'Price List, Weapons &amp; Items'!B:D,3,0))</f>
        <v>Humanitarian</v>
      </c>
      <c r="L3" s="1187">
        <f>VLOOKUP(I3,'Price List, Weapons &amp; Items'!B:E,4,0)</f>
        <v>0</v>
      </c>
      <c r="M3" s="1188">
        <v>70000</v>
      </c>
      <c r="N3" s="1188" t="s">
        <v>374</v>
      </c>
      <c r="O3" s="1188">
        <f>VLOOKUP($I3,'Price List, Weapons &amp; Items'!B:G,6,0)</f>
        <v>329</v>
      </c>
      <c r="P3" s="1185">
        <f t="shared" ref="P3:P66" si="13">IF(TYPE(M3)=1,IF(TYPE(O3)=1,M3*O3,"No price"),".")</f>
        <v>23030000</v>
      </c>
      <c r="Q3" s="1185" t="str">
        <f t="shared" ref="Q3:Q66" si="14">IF(TYPE(N3)=1,IF(TYPE(O3)=1,N3*O3,"No price"),".")</f>
        <v>.</v>
      </c>
      <c r="R3" s="1185">
        <f t="shared" si="2"/>
        <v>32600000</v>
      </c>
      <c r="S3" s="1185">
        <f>IF(AND(AD3=1,R3&lt;&gt;".")=TRUE,R3/VLOOKUP(G3,'Exchange Rates'!B:C,2,0),IF(R3=".",".",""))</f>
        <v>19943717.117337573</v>
      </c>
      <c r="T3" s="1185" t="str">
        <f>IF(AD3=1,IF(AF3="Value is not given at all",".",IF(AF3="Value is given by the source",S3,IF(AF3="Value is calculated with prices",(IF(SUMIFS(Q:Q,A:A,A3)&gt;0,SUMIFS(Q:Q,A:A,A3),"."))/VLOOKUP("USD",'Exchange Rates'!B:C,2,0),"Error with coding"))),"")</f>
        <v>.</v>
      </c>
      <c r="U3" s="1184" t="s">
        <v>365</v>
      </c>
      <c r="V3" s="971" t="s">
        <v>375</v>
      </c>
      <c r="W3" s="971" t="s">
        <v>376</v>
      </c>
      <c r="X3" s="971" t="s">
        <v>377</v>
      </c>
      <c r="Y3" s="972" t="s">
        <v>378</v>
      </c>
      <c r="Z3" s="1184">
        <v>0</v>
      </c>
      <c r="AA3" s="1194">
        <v>0</v>
      </c>
      <c r="AB3" s="1201" t="s">
        <v>364</v>
      </c>
      <c r="AC3" s="1192" t="str">
        <f>""</f>
        <v/>
      </c>
      <c r="AD3" s="1193">
        <v>1</v>
      </c>
      <c r="AE3" s="1193" t="s">
        <v>368</v>
      </c>
      <c r="AF3" s="1193" t="s">
        <v>369</v>
      </c>
      <c r="AG3" s="1193">
        <v>1</v>
      </c>
      <c r="AH3" s="1193">
        <v>3</v>
      </c>
      <c r="AI3" s="1193">
        <v>0</v>
      </c>
      <c r="AJ3" s="1193">
        <f>VLOOKUP($I3,'Price List, Weapons &amp; Items'!B:F,5,0)</f>
        <v>0</v>
      </c>
      <c r="AK3" s="1193">
        <f t="shared" ref="AK3:AK66" si="15">IF(AND(AJ3=1,M3="undisclosed")=TRUE,1,0)</f>
        <v>0</v>
      </c>
      <c r="AL3" s="1193">
        <f t="shared" ref="AL3:AL66" si="16">IF(AND(AJ3=1,N3="undisclosed")=TRUE,1,0)</f>
        <v>0</v>
      </c>
      <c r="AM3" s="1193">
        <f t="shared" ref="AM3:AM66" si="17">IFERROR(IF(SEARCH("ammuni",I3,1)&gt;0,1,0),0)</f>
        <v>0</v>
      </c>
      <c r="AN3" s="1194" t="str">
        <f>VLOOKUP($I3,'Price List, Weapons &amp; Items'!B:L,COLUMN('Price List, Weapons &amp; Items'!$J$11)-1,0)</f>
        <v>Media reports (incl. social media)</v>
      </c>
      <c r="AO3" s="1194" t="str">
        <f>IF(I3=".",".",VLOOKUP($I3,'Price List, Weapons &amp; Items'!B:J,3,0))</f>
        <v>Humanitarian</v>
      </c>
      <c r="AP3" s="1195" t="str">
        <f t="shared" ca="1" si="6"/>
        <v>ton of coal</v>
      </c>
      <c r="AQ3" s="1194">
        <f>VLOOKUP($I3,'Price List, Weapons &amp; Items'!B:L,COLUMN('Price List, Weapons &amp; Items'!$L$11)-1,0)</f>
        <v>0</v>
      </c>
      <c r="AR3" s="1194">
        <f t="shared" ref="AR3:AR66" si="18">IF(U3="Yes",1,0)</f>
        <v>1</v>
      </c>
      <c r="AS3" s="1194">
        <f t="shared" ref="AS3:AS66" si="19">IF(D3="Military",IF(OR(IFERROR(SEARCH("equipment",E3,1),0)&gt;0,IFERROR(SEARCH("weapons",E3,1),0)&gt;0),1,0),0)</f>
        <v>0</v>
      </c>
      <c r="AT3" s="1194">
        <f t="shared" ref="AT3:AT66" si="20">IFERROR(IF(VALUE(TEXT(C3,"mm"))=IF(AH3&gt;12,AH3-12,AH3),".",IF(TEXT(C3,"mm")="01",".",1)),"Value is not in date format")</f>
        <v>1</v>
      </c>
      <c r="AU3" s="1194" t="str">
        <f t="shared" ref="AU3:AU66" si="21">IF(AND(A3=A2,C3=C2)=TRUE,IF(F3=F2,".","1"),".")</f>
        <v>.</v>
      </c>
      <c r="AV3" s="1194" t="str">
        <f t="shared" si="11"/>
        <v>.</v>
      </c>
      <c r="AW3" s="1194" t="str">
        <f t="shared" ref="AW3:AW66" si="22">IF(T3&lt;&gt;".",IF(T3&gt;S3,1,"."),".")</f>
        <v>.</v>
      </c>
      <c r="AX3" s="1194">
        <f>IFERROR(VLOOKUP(B3,'Share, Heavy Weapons to Ukraine'!B:Z,COLUMN('Share, Heavy Weapons to Ukraine'!C13)-1,0),0)</f>
        <v>0</v>
      </c>
      <c r="AY3" s="1194">
        <f>VLOOKUP('Bilateral Assistance, MAIN DATA'!B3,'Country Summary (€)'!B:F,COLUMN('Country Summary (€)'!C14)-1,FALSE)</f>
        <v>0</v>
      </c>
      <c r="AZ3" s="1194" t="str">
        <f>IF(AND(AD3=1,D3="Military",H3&lt;&gt;"Not given")=TRUE,IF(SUMIFS(P:P,A:A,A3)&gt;0,ABS((SUMIFS(P:P,A:A,A3)/VLOOKUP("USD",'Exchange Rates'!B:C,2,0)))/S3,"."),".")</f>
        <v>.</v>
      </c>
      <c r="BA3" s="1196" t="str">
        <f>IF(AND(AD3=1,D3="Military",H3&lt;&gt;"Not given")=TRUE,IF(SUMIFS(P:P,A:A,A3)&gt;0,IF((ABS((SUMIFS(P:P,A:A,A3)/VLOOKUP("USD",'Exchange Rates'!B:C,2,0)))/S3)&gt;1,(SUMIFS(P:P,A:A,A3)-S3)/S3,(S3-SUMIFS(P:P,A:A,A3))/SUMIFS(P:P,A:A,A3)),"."),".")</f>
        <v>.</v>
      </c>
    </row>
    <row r="4" spans="1:53" ht="15.95" customHeight="1">
      <c r="A4" s="1180" t="s">
        <v>379</v>
      </c>
      <c r="B4" s="1180" t="s">
        <v>359</v>
      </c>
      <c r="C4" s="1181">
        <v>44640</v>
      </c>
      <c r="D4" s="1182" t="s">
        <v>360</v>
      </c>
      <c r="E4" s="1182" t="s">
        <v>361</v>
      </c>
      <c r="F4" s="1183" t="s">
        <v>380</v>
      </c>
      <c r="G4" s="1184" t="s">
        <v>363</v>
      </c>
      <c r="H4" s="1185">
        <v>12000000</v>
      </c>
      <c r="I4" s="1201" t="s">
        <v>364</v>
      </c>
      <c r="J4" s="1186" t="str">
        <f>VLOOKUP($I4,'Price List, Weapons &amp; Items'!B:C,2,0)</f>
        <v>.</v>
      </c>
      <c r="K4" s="1186" t="str">
        <f>IF(I4=".",I4,VLOOKUP($I4,'Price List, Weapons &amp; Items'!B:D,3,0))</f>
        <v>.</v>
      </c>
      <c r="L4" s="1187">
        <f>VLOOKUP(I4,'Price List, Weapons &amp; Items'!B:E,4,0)</f>
        <v>0</v>
      </c>
      <c r="M4" s="1188" t="s">
        <v>364</v>
      </c>
      <c r="N4" s="1188" t="s">
        <v>364</v>
      </c>
      <c r="O4" s="1188" t="str">
        <f>VLOOKUP($I4,'Price List, Weapons &amp; Items'!B:G,6,0)</f>
        <v>.</v>
      </c>
      <c r="P4" s="1185" t="str">
        <f t="shared" si="13"/>
        <v>.</v>
      </c>
      <c r="Q4" s="1185" t="str">
        <f t="shared" si="14"/>
        <v>.</v>
      </c>
      <c r="R4" s="1185">
        <f t="shared" si="2"/>
        <v>12000000</v>
      </c>
      <c r="S4" s="1185">
        <f>IF(AND(AD4=1,R4&lt;&gt;".")=TRUE,R4/VLOOKUP(G4,'Exchange Rates'!B:C,2,0),IF(R4=".",".",""))</f>
        <v>7341245.5646641375</v>
      </c>
      <c r="T4" s="1185" t="str">
        <f>IF(AD4=1,IF(AF4="Value is not given at all",".",IF(AF4="Value is given by the source",S4,IF(AF4="Value is calculated with prices",(IF(SUMIFS(Q:Q,A:A,A4)&gt;0,SUMIFS(Q:Q,A:A,A4),"."))/VLOOKUP("USD",'Exchange Rates'!B:C,2,0),"Error with coding"))),"")</f>
        <v>.</v>
      </c>
      <c r="U4" s="1184" t="s">
        <v>365</v>
      </c>
      <c r="V4" s="971" t="s">
        <v>381</v>
      </c>
      <c r="W4" s="973" t="s">
        <v>382</v>
      </c>
      <c r="X4" s="973" t="s">
        <v>383</v>
      </c>
      <c r="Y4" s="1190" t="s">
        <v>364</v>
      </c>
      <c r="Z4" s="1184">
        <v>0</v>
      </c>
      <c r="AA4" s="1194">
        <v>0</v>
      </c>
      <c r="AB4" s="1201" t="s">
        <v>364</v>
      </c>
      <c r="AC4" s="1192" t="str">
        <f>""</f>
        <v/>
      </c>
      <c r="AD4" s="1193">
        <v>1</v>
      </c>
      <c r="AE4" s="1193" t="s">
        <v>368</v>
      </c>
      <c r="AF4" s="1193" t="s">
        <v>369</v>
      </c>
      <c r="AG4" s="1193">
        <v>1</v>
      </c>
      <c r="AH4" s="1193">
        <v>3</v>
      </c>
      <c r="AI4" s="1193">
        <v>0</v>
      </c>
      <c r="AJ4" s="1193">
        <f>VLOOKUP($I4,'Price List, Weapons &amp; Items'!B:F,5,0)</f>
        <v>0</v>
      </c>
      <c r="AK4" s="1193">
        <f t="shared" si="15"/>
        <v>0</v>
      </c>
      <c r="AL4" s="1193">
        <f t="shared" si="16"/>
        <v>0</v>
      </c>
      <c r="AM4" s="1193">
        <f t="shared" si="17"/>
        <v>0</v>
      </c>
      <c r="AN4" s="1194" t="str">
        <f>VLOOKUP($I4,'Price List, Weapons &amp; Items'!B:L,COLUMN('Price List, Weapons &amp; Items'!$J$11)-1,0)</f>
        <v>.</v>
      </c>
      <c r="AO4" s="1194" t="str">
        <f>IF(I4=".",".",VLOOKUP($I4,'Price List, Weapons &amp; Items'!B:J,3,0))</f>
        <v>.</v>
      </c>
      <c r="AP4" s="1195" t="str">
        <f t="shared" ca="1" si="6"/>
        <v>.</v>
      </c>
      <c r="AQ4" s="1194">
        <f>VLOOKUP($I4,'Price List, Weapons &amp; Items'!B:L,COLUMN('Price List, Weapons &amp; Items'!$L$11)-1,0)</f>
        <v>0</v>
      </c>
      <c r="AR4" s="1194">
        <f t="shared" si="18"/>
        <v>1</v>
      </c>
      <c r="AS4" s="1194">
        <f t="shared" si="19"/>
        <v>0</v>
      </c>
      <c r="AT4" s="1194">
        <f t="shared" si="20"/>
        <v>1</v>
      </c>
      <c r="AU4" s="1194" t="str">
        <f t="shared" si="21"/>
        <v>.</v>
      </c>
      <c r="AV4" s="1194" t="str">
        <f t="shared" si="11"/>
        <v>.</v>
      </c>
      <c r="AW4" s="1194" t="str">
        <f t="shared" si="22"/>
        <v>.</v>
      </c>
      <c r="AX4" s="1194">
        <f>IFERROR(VLOOKUP(B4,'Share, Heavy Weapons to Ukraine'!B:Z,COLUMN('Share, Heavy Weapons to Ukraine'!C14)-1,0),0)</f>
        <v>0</v>
      </c>
      <c r="AY4" s="1194">
        <f>VLOOKUP('Bilateral Assistance, MAIN DATA'!B4,'Country Summary (€)'!B:F,COLUMN('Country Summary (€)'!C15)-1,FALSE)</f>
        <v>0</v>
      </c>
      <c r="AZ4" s="1194" t="str">
        <f>IF(AND(AD4=1,D4="Military",H4&lt;&gt;"Not given")=TRUE,IF(SUMIFS(P:P,A:A,A4)&gt;0,ABS((SUMIFS(P:P,A:A,A4)/VLOOKUP("USD",'Exchange Rates'!B:C,2,0)))/S4,"."),".")</f>
        <v>.</v>
      </c>
      <c r="BA4" s="1196" t="str">
        <f>IF(AND(AD4=1,D4="Military",H4&lt;&gt;"Not given")=TRUE,IF(SUMIFS(P:P,A:A,A4)&gt;0,IF((ABS((SUMIFS(P:P,A:A,A4)/VLOOKUP("USD",'Exchange Rates'!B:C,2,0)))/S4)&gt;1,(SUMIFS(P:P,A:A,A4)-S4)/S4,(S4-SUMIFS(P:P,A:A,A4))/SUMIFS(P:P,A:A,A4)),"."),".")</f>
        <v>.</v>
      </c>
    </row>
    <row r="5" spans="1:53" ht="15.95" customHeight="1">
      <c r="A5" s="1180" t="s">
        <v>384</v>
      </c>
      <c r="B5" s="1180" t="s">
        <v>359</v>
      </c>
      <c r="C5" s="1181">
        <v>44859</v>
      </c>
      <c r="D5" s="1182" t="s">
        <v>360</v>
      </c>
      <c r="E5" s="1182" t="s">
        <v>361</v>
      </c>
      <c r="F5" s="1183" t="s">
        <v>385</v>
      </c>
      <c r="G5" s="1184" t="s">
        <v>363</v>
      </c>
      <c r="H5" s="1185">
        <v>27000000</v>
      </c>
      <c r="I5" s="1201" t="s">
        <v>364</v>
      </c>
      <c r="J5" s="1186" t="str">
        <f>VLOOKUP($I5,'Price List, Weapons &amp; Items'!B:C,2,0)</f>
        <v>.</v>
      </c>
      <c r="K5" s="1186" t="str">
        <f>IF(I5=".",I5,VLOOKUP($I5,'Price List, Weapons &amp; Items'!B:D,3,0))</f>
        <v>.</v>
      </c>
      <c r="L5" s="1187">
        <f>VLOOKUP(I5,'Price List, Weapons &amp; Items'!B:E,4,0)</f>
        <v>0</v>
      </c>
      <c r="M5" s="1188" t="s">
        <v>364</v>
      </c>
      <c r="N5" s="1188" t="s">
        <v>364</v>
      </c>
      <c r="O5" s="1188" t="str">
        <f>VLOOKUP($I5,'Price List, Weapons &amp; Items'!B:G,6,0)</f>
        <v>.</v>
      </c>
      <c r="P5" s="1185" t="str">
        <f t="shared" si="13"/>
        <v>.</v>
      </c>
      <c r="Q5" s="1185" t="str">
        <f t="shared" si="14"/>
        <v>.</v>
      </c>
      <c r="R5" s="1185">
        <f t="shared" si="2"/>
        <v>27000000</v>
      </c>
      <c r="S5" s="1185">
        <f>IF(AND(AD5=1,R5&lt;&gt;".")=TRUE,R5/VLOOKUP(G5,'Exchange Rates'!B:C,2,0),IF(R5=".",".",""))</f>
        <v>16517802.52049431</v>
      </c>
      <c r="T5" s="1185" t="str">
        <f>IF(AD5=1,IF(AF5="Value is not given at all",".",IF(AF5="Value is given by the source",S5,IF(AF5="Value is calculated with prices",(IF(SUMIFS(Q:Q,A:A,A5)&gt;0,SUMIFS(Q:Q,A:A,A5),"."))/VLOOKUP("USD",'Exchange Rates'!B:C,2,0),"Error with coding"))),"")</f>
        <v>.</v>
      </c>
      <c r="U5" s="1184" t="s">
        <v>365</v>
      </c>
      <c r="V5" s="973" t="s">
        <v>386</v>
      </c>
      <c r="W5" s="973" t="s">
        <v>387</v>
      </c>
      <c r="X5" s="1190" t="s">
        <v>364</v>
      </c>
      <c r="Y5" s="1190" t="s">
        <v>364</v>
      </c>
      <c r="Z5" s="1184">
        <v>0</v>
      </c>
      <c r="AA5" s="1194">
        <v>0</v>
      </c>
      <c r="AB5" s="1201" t="s">
        <v>364</v>
      </c>
      <c r="AC5" s="1192" t="str">
        <f>""</f>
        <v/>
      </c>
      <c r="AD5" s="1193">
        <v>1</v>
      </c>
      <c r="AE5" s="1193" t="s">
        <v>368</v>
      </c>
      <c r="AF5" s="1193" t="s">
        <v>369</v>
      </c>
      <c r="AG5" s="1193">
        <v>1</v>
      </c>
      <c r="AH5" s="1193">
        <v>10</v>
      </c>
      <c r="AI5" s="1193">
        <v>0</v>
      </c>
      <c r="AJ5" s="1193">
        <f>VLOOKUP($I5,'Price List, Weapons &amp; Items'!B:F,5,0)</f>
        <v>0</v>
      </c>
      <c r="AK5" s="1193">
        <f t="shared" si="15"/>
        <v>0</v>
      </c>
      <c r="AL5" s="1193">
        <f t="shared" si="16"/>
        <v>0</v>
      </c>
      <c r="AM5" s="1193">
        <f t="shared" si="17"/>
        <v>0</v>
      </c>
      <c r="AN5" s="1194" t="str">
        <f>VLOOKUP($I5,'Price List, Weapons &amp; Items'!B:L,COLUMN('Price List, Weapons &amp; Items'!$J$11)-1,0)</f>
        <v>.</v>
      </c>
      <c r="AO5" s="1194" t="str">
        <f>IF(I5=".",".",VLOOKUP($I5,'Price List, Weapons &amp; Items'!B:J,3,0))</f>
        <v>.</v>
      </c>
      <c r="AP5" s="1195" t="str">
        <f t="shared" ca="1" si="6"/>
        <v>.</v>
      </c>
      <c r="AQ5" s="1194">
        <f>VLOOKUP($I5,'Price List, Weapons &amp; Items'!B:L,COLUMN('Price List, Weapons &amp; Items'!$L$11)-1,0)</f>
        <v>0</v>
      </c>
      <c r="AR5" s="1194">
        <f t="shared" si="18"/>
        <v>1</v>
      </c>
      <c r="AS5" s="1194">
        <f t="shared" si="19"/>
        <v>0</v>
      </c>
      <c r="AT5" s="1194">
        <f t="shared" si="20"/>
        <v>1</v>
      </c>
      <c r="AU5" s="1194" t="str">
        <f t="shared" si="21"/>
        <v>.</v>
      </c>
      <c r="AV5" s="1194" t="str">
        <f t="shared" si="11"/>
        <v>.</v>
      </c>
      <c r="AW5" s="1194" t="str">
        <f t="shared" si="22"/>
        <v>.</v>
      </c>
      <c r="AX5" s="1194">
        <f>IFERROR(VLOOKUP(B5,'Share, Heavy Weapons to Ukraine'!B:Z,COLUMN('Share, Heavy Weapons to Ukraine'!C15)-1,0),0)</f>
        <v>0</v>
      </c>
      <c r="AY5" s="1194">
        <f>VLOOKUP('Bilateral Assistance, MAIN DATA'!B5,'Country Summary (€)'!B:F,COLUMN('Country Summary (€)'!C16)-1,FALSE)</f>
        <v>0</v>
      </c>
      <c r="AZ5" s="1194" t="str">
        <f>IF(AND(AD5=1,D5="Military",H5&lt;&gt;"Not given")=TRUE,IF(SUMIFS(P:P,A:A,A5)&gt;0,ABS((SUMIFS(P:P,A:A,A5)/VLOOKUP("USD",'Exchange Rates'!B:C,2,0)))/S5,"."),".")</f>
        <v>.</v>
      </c>
      <c r="BA5" s="1196" t="str">
        <f>IF(AND(AD5=1,D5="Military",H5&lt;&gt;"Not given")=TRUE,IF(SUMIFS(P:P,A:A,A5)&gt;0,IF((ABS((SUMIFS(P:P,A:A,A5)/VLOOKUP("USD",'Exchange Rates'!B:C,2,0)))/S5)&gt;1,(SUMIFS(P:P,A:A,A5)-S5)/S5,(S5-SUMIFS(P:P,A:A,A5))/SUMIFS(P:P,A:A,A5)),"."),".")</f>
        <v>.</v>
      </c>
    </row>
    <row r="6" spans="1:53" ht="15.95" customHeight="1">
      <c r="A6" s="1180" t="s">
        <v>388</v>
      </c>
      <c r="B6" s="1180" t="s">
        <v>359</v>
      </c>
      <c r="C6" s="1181">
        <v>44621</v>
      </c>
      <c r="D6" s="1182" t="s">
        <v>389</v>
      </c>
      <c r="E6" s="1182" t="s">
        <v>390</v>
      </c>
      <c r="F6" s="1183" t="s">
        <v>391</v>
      </c>
      <c r="G6" s="1184" t="s">
        <v>363</v>
      </c>
      <c r="H6" s="1185">
        <v>70000000</v>
      </c>
      <c r="I6" s="1201" t="s">
        <v>364</v>
      </c>
      <c r="J6" s="1186" t="str">
        <f>VLOOKUP($I6,'Price List, Weapons &amp; Items'!B:C,2,0)</f>
        <v>.</v>
      </c>
      <c r="K6" s="1186" t="str">
        <f>IF(I6=".",I6,VLOOKUP($I6,'Price List, Weapons &amp; Items'!B:D,3,0))</f>
        <v>.</v>
      </c>
      <c r="L6" s="1187">
        <f>VLOOKUP(I6,'Price List, Weapons &amp; Items'!B:E,4,0)</f>
        <v>0</v>
      </c>
      <c r="M6" s="1188" t="s">
        <v>364</v>
      </c>
      <c r="N6" s="1188" t="s">
        <v>364</v>
      </c>
      <c r="O6" s="1188" t="str">
        <f>VLOOKUP($I6,'Price List, Weapons &amp; Items'!B:G,6,0)</f>
        <v>.</v>
      </c>
      <c r="P6" s="1185" t="str">
        <f t="shared" si="13"/>
        <v>.</v>
      </c>
      <c r="Q6" s="1185" t="str">
        <f t="shared" si="14"/>
        <v>.</v>
      </c>
      <c r="R6" s="1185">
        <f t="shared" si="2"/>
        <v>70000000</v>
      </c>
      <c r="S6" s="1185">
        <f>IF(AND(AD6=1,R6&lt;&gt;".")=TRUE,R6/VLOOKUP(G6,'Exchange Rates'!B:C,2,0),IF(R6=".",".",""))</f>
        <v>42823932.460540801</v>
      </c>
      <c r="T6" s="1185" t="str">
        <f>IF(AD6=1,IF(AF6="Value is not given at all",".",IF(AF6="Value is given by the source",S6,IF(AF6="Value is calculated with prices",(IF(SUMIFS(Q:Q,A:A,A6)&gt;0,SUMIFS(Q:Q,A:A,A6),"."))/VLOOKUP("USD",'Exchange Rates'!B:C,2,0),"Error with coding"))),"")</f>
        <v>.</v>
      </c>
      <c r="U6" s="1184" t="s">
        <v>365</v>
      </c>
      <c r="V6" s="971" t="s">
        <v>366</v>
      </c>
      <c r="W6" s="973" t="s">
        <v>381</v>
      </c>
      <c r="X6" s="971" t="s">
        <v>392</v>
      </c>
      <c r="Y6" s="1190" t="s">
        <v>364</v>
      </c>
      <c r="Z6" s="1184">
        <v>0</v>
      </c>
      <c r="AA6" s="1194">
        <v>0</v>
      </c>
      <c r="AB6" s="1201" t="s">
        <v>364</v>
      </c>
      <c r="AC6" s="1192" t="str">
        <f>""</f>
        <v/>
      </c>
      <c r="AD6" s="1193">
        <v>1</v>
      </c>
      <c r="AE6" s="1193" t="s">
        <v>368</v>
      </c>
      <c r="AF6" s="1193" t="s">
        <v>369</v>
      </c>
      <c r="AG6" s="1193">
        <v>1</v>
      </c>
      <c r="AH6" s="1193">
        <v>3</v>
      </c>
      <c r="AI6" s="1193">
        <v>0</v>
      </c>
      <c r="AJ6" s="1193">
        <f>VLOOKUP($I6,'Price List, Weapons &amp; Items'!B:F,5,0)</f>
        <v>0</v>
      </c>
      <c r="AK6" s="1193">
        <f t="shared" si="15"/>
        <v>0</v>
      </c>
      <c r="AL6" s="1193">
        <f t="shared" si="16"/>
        <v>0</v>
      </c>
      <c r="AM6" s="1193">
        <f t="shared" si="17"/>
        <v>0</v>
      </c>
      <c r="AN6" s="1194" t="str">
        <f>VLOOKUP($I6,'Price List, Weapons &amp; Items'!B:L,COLUMN('Price List, Weapons &amp; Items'!$J$11)-1,0)</f>
        <v>.</v>
      </c>
      <c r="AO6" s="1194" t="str">
        <f>IF(I6=".",".",VLOOKUP($I6,'Price List, Weapons &amp; Items'!B:J,3,0))</f>
        <v>.</v>
      </c>
      <c r="AP6" s="1195" t="str">
        <f t="shared" ca="1" si="6"/>
        <v>.</v>
      </c>
      <c r="AQ6" s="1194">
        <f>VLOOKUP($I6,'Price List, Weapons &amp; Items'!B:L,COLUMN('Price List, Weapons &amp; Items'!$L$11)-1,0)</f>
        <v>0</v>
      </c>
      <c r="AR6" s="1194">
        <f t="shared" si="18"/>
        <v>1</v>
      </c>
      <c r="AS6" s="1194">
        <f t="shared" si="19"/>
        <v>1</v>
      </c>
      <c r="AT6" s="1194">
        <f t="shared" si="20"/>
        <v>1</v>
      </c>
      <c r="AU6" s="1194" t="str">
        <f t="shared" si="21"/>
        <v>.</v>
      </c>
      <c r="AV6" s="1194" t="str">
        <f t="shared" si="11"/>
        <v>.</v>
      </c>
      <c r="AW6" s="1194" t="str">
        <f t="shared" si="22"/>
        <v>.</v>
      </c>
      <c r="AX6" s="1194">
        <f>IFERROR(VLOOKUP(B6,'Share, Heavy Weapons to Ukraine'!B:Z,COLUMN('Share, Heavy Weapons to Ukraine'!C16)-1,0),0)</f>
        <v>0</v>
      </c>
      <c r="AY6" s="1194">
        <f>VLOOKUP('Bilateral Assistance, MAIN DATA'!B6,'Country Summary (€)'!B:F,COLUMN('Country Summary (€)'!C17)-1,FALSE)</f>
        <v>0</v>
      </c>
      <c r="AZ6" s="1194" t="str">
        <f>IF(AND(AD6=1,D6="Military",H6&lt;&gt;"Not given")=TRUE,IF(SUMIFS(P:P,A:A,A6)&gt;0,ABS((SUMIFS(P:P,A:A,A6)/VLOOKUP("USD",'Exchange Rates'!B:C,2,0)))/S6,"."),".")</f>
        <v>.</v>
      </c>
      <c r="BA6" s="1196" t="str">
        <f>IF(AND(AD6=1,D6="Military",H6&lt;&gt;"Not given")=TRUE,IF(SUMIFS(P:P,A:A,A6)&gt;0,IF((ABS((SUMIFS(P:P,A:A,A6)/VLOOKUP("USD",'Exchange Rates'!B:C,2,0)))/S6)&gt;1,(SUMIFS(P:P,A:A,A6)-S6)/S6,(S6-SUMIFS(P:P,A:A,A6))/SUMIFS(P:P,A:A,A6)),"."),".")</f>
        <v>.</v>
      </c>
    </row>
    <row r="7" spans="1:53" ht="15.95" customHeight="1">
      <c r="A7" s="1180" t="s">
        <v>393</v>
      </c>
      <c r="B7" s="1180" t="s">
        <v>359</v>
      </c>
      <c r="C7" s="1181">
        <v>44640</v>
      </c>
      <c r="D7" s="1182" t="s">
        <v>389</v>
      </c>
      <c r="E7" s="1182" t="s">
        <v>390</v>
      </c>
      <c r="F7" s="1183" t="s">
        <v>394</v>
      </c>
      <c r="G7" s="1184" t="s">
        <v>363</v>
      </c>
      <c r="H7" s="1185">
        <v>21000000</v>
      </c>
      <c r="I7" s="1201" t="s">
        <v>364</v>
      </c>
      <c r="J7" s="1186" t="str">
        <f>VLOOKUP($I7,'Price List, Weapons &amp; Items'!B:C,2,0)</f>
        <v>.</v>
      </c>
      <c r="K7" s="1186" t="str">
        <f>IF(I7=".",I7,VLOOKUP($I7,'Price List, Weapons &amp; Items'!B:D,3,0))</f>
        <v>.</v>
      </c>
      <c r="L7" s="1187">
        <f>VLOOKUP(I7,'Price List, Weapons &amp; Items'!B:E,4,0)</f>
        <v>0</v>
      </c>
      <c r="M7" s="1188" t="s">
        <v>364</v>
      </c>
      <c r="N7" s="1188" t="s">
        <v>364</v>
      </c>
      <c r="O7" s="1188" t="str">
        <f>VLOOKUP($I7,'Price List, Weapons &amp; Items'!B:G,6,0)</f>
        <v>.</v>
      </c>
      <c r="P7" s="1185" t="str">
        <f t="shared" si="13"/>
        <v>.</v>
      </c>
      <c r="Q7" s="1185" t="str">
        <f t="shared" si="14"/>
        <v>.</v>
      </c>
      <c r="R7" s="1185">
        <f t="shared" si="2"/>
        <v>21000000</v>
      </c>
      <c r="S7" s="1185">
        <f>IF(AND(AD7=1,R7&lt;&gt;".")=TRUE,R7/VLOOKUP(G7,'Exchange Rates'!B:C,2,0),IF(R7=".",".",""))</f>
        <v>12847179.738162242</v>
      </c>
      <c r="T7" s="1185" t="str">
        <f>IF(AD7=1,IF(AF7="Value is not given at all",".",IF(AF7="Value is given by the source",S7,IF(AF7="Value is calculated with prices",(IF(SUMIFS(Q:Q,A:A,A7)&gt;0,SUMIFS(Q:Q,A:A,A7),"."))/VLOOKUP("USD",'Exchange Rates'!B:C,2,0),"Error with coding"))),"")</f>
        <v>.</v>
      </c>
      <c r="U7" s="1184" t="s">
        <v>365</v>
      </c>
      <c r="V7" s="971" t="s">
        <v>395</v>
      </c>
      <c r="W7" s="971" t="s">
        <v>396</v>
      </c>
      <c r="X7" s="973" t="s">
        <v>383</v>
      </c>
      <c r="Y7" s="1190" t="s">
        <v>364</v>
      </c>
      <c r="Z7" s="1184">
        <v>0</v>
      </c>
      <c r="AA7" s="1194">
        <v>0</v>
      </c>
      <c r="AB7" s="1201" t="s">
        <v>364</v>
      </c>
      <c r="AC7" s="1192" t="str">
        <f>""</f>
        <v/>
      </c>
      <c r="AD7" s="1193">
        <v>1</v>
      </c>
      <c r="AE7" s="1193" t="s">
        <v>368</v>
      </c>
      <c r="AF7" s="1193" t="s">
        <v>369</v>
      </c>
      <c r="AG7" s="1193">
        <v>1</v>
      </c>
      <c r="AH7" s="1193">
        <v>3</v>
      </c>
      <c r="AI7" s="1193">
        <v>0</v>
      </c>
      <c r="AJ7" s="1193">
        <f>VLOOKUP($I7,'Price List, Weapons &amp; Items'!B:F,5,0)</f>
        <v>0</v>
      </c>
      <c r="AK7" s="1193">
        <f t="shared" si="15"/>
        <v>0</v>
      </c>
      <c r="AL7" s="1193">
        <f t="shared" si="16"/>
        <v>0</v>
      </c>
      <c r="AM7" s="1193">
        <f t="shared" si="17"/>
        <v>0</v>
      </c>
      <c r="AN7" s="1194" t="str">
        <f>VLOOKUP($I7,'Price List, Weapons &amp; Items'!B:L,COLUMN('Price List, Weapons &amp; Items'!$J$11)-1,0)</f>
        <v>.</v>
      </c>
      <c r="AO7" s="1194" t="str">
        <f>IF(I7=".",".",VLOOKUP($I7,'Price List, Weapons &amp; Items'!B:J,3,0))</f>
        <v>.</v>
      </c>
      <c r="AP7" s="1195" t="str">
        <f t="shared" ca="1" si="6"/>
        <v>.</v>
      </c>
      <c r="AQ7" s="1194">
        <f>VLOOKUP($I7,'Price List, Weapons &amp; Items'!B:L,COLUMN('Price List, Weapons &amp; Items'!$L$11)-1,0)</f>
        <v>0</v>
      </c>
      <c r="AR7" s="1194">
        <f t="shared" si="18"/>
        <v>1</v>
      </c>
      <c r="AS7" s="1194">
        <f t="shared" si="19"/>
        <v>1</v>
      </c>
      <c r="AT7" s="1194">
        <f t="shared" si="20"/>
        <v>1</v>
      </c>
      <c r="AU7" s="1194" t="str">
        <f t="shared" si="21"/>
        <v>.</v>
      </c>
      <c r="AV7" s="1194" t="str">
        <f t="shared" si="11"/>
        <v>.</v>
      </c>
      <c r="AW7" s="1194" t="str">
        <f t="shared" si="22"/>
        <v>.</v>
      </c>
      <c r="AX7" s="1194">
        <f>IFERROR(VLOOKUP(B7,'Share, Heavy Weapons to Ukraine'!B:Z,COLUMN('Share, Heavy Weapons to Ukraine'!C17)-1,0),0)</f>
        <v>0</v>
      </c>
      <c r="AY7" s="1194">
        <f>VLOOKUP('Bilateral Assistance, MAIN DATA'!B7,'Country Summary (€)'!B:F,COLUMN('Country Summary (€)'!C18)-1,FALSE)</f>
        <v>0</v>
      </c>
      <c r="AZ7" s="1194" t="str">
        <f>IF(AND(AD7=1,D7="Military",H7&lt;&gt;"Not given")=TRUE,IF(SUMIFS(P:P,A:A,A7)&gt;0,ABS((SUMIFS(P:P,A:A,A7)/VLOOKUP("USD",'Exchange Rates'!B:C,2,0)))/S7,"."),".")</f>
        <v>.</v>
      </c>
      <c r="BA7" s="1196" t="str">
        <f>IF(AND(AD7=1,D7="Military",H7&lt;&gt;"Not given")=TRUE,IF(SUMIFS(P:P,A:A,A7)&gt;0,IF((ABS((SUMIFS(P:P,A:A,A7)/VLOOKUP("USD",'Exchange Rates'!B:C,2,0)))/S7)&gt;1,(SUMIFS(P:P,A:A,A7)-S7)/S7,(S7-SUMIFS(P:P,A:A,A7))/SUMIFS(P:P,A:A,A7)),"."),".")</f>
        <v>.</v>
      </c>
    </row>
    <row r="8" spans="1:53" ht="15.95" customHeight="1">
      <c r="A8" s="1182" t="s">
        <v>397</v>
      </c>
      <c r="B8" s="1182" t="s">
        <v>359</v>
      </c>
      <c r="C8" s="1181">
        <v>44651</v>
      </c>
      <c r="D8" s="1182" t="s">
        <v>389</v>
      </c>
      <c r="E8" s="1182" t="s">
        <v>398</v>
      </c>
      <c r="F8" s="1183" t="s">
        <v>399</v>
      </c>
      <c r="G8" s="1184" t="s">
        <v>363</v>
      </c>
      <c r="H8" s="1185">
        <v>25000000</v>
      </c>
      <c r="I8" s="1201" t="s">
        <v>400</v>
      </c>
      <c r="J8" s="1186" t="str">
        <f>VLOOKUP($I8,'Price List, Weapons &amp; Items'!B:C,2,0)</f>
        <v>Military equipment</v>
      </c>
      <c r="K8" s="1186" t="str">
        <f>IF(I8=".",I8,VLOOKUP($I8,'Price List, Weapons &amp; Items'!B:D,3,0))</f>
        <v>Military equipment</v>
      </c>
      <c r="L8" s="1187">
        <f>VLOOKUP(I8,'Price List, Weapons &amp; Items'!B:E,4,0)</f>
        <v>0</v>
      </c>
      <c r="M8" s="1188" t="s">
        <v>374</v>
      </c>
      <c r="N8" s="1188" t="s">
        <v>374</v>
      </c>
      <c r="O8" s="1188" t="str">
        <f>VLOOKUP($I8,'Price List, Weapons &amp; Items'!B:G,6,0)</f>
        <v>.</v>
      </c>
      <c r="P8" s="1185" t="str">
        <f t="shared" si="13"/>
        <v>.</v>
      </c>
      <c r="Q8" s="1185" t="str">
        <f t="shared" si="14"/>
        <v>.</v>
      </c>
      <c r="R8" s="1185">
        <f t="shared" si="2"/>
        <v>25000000</v>
      </c>
      <c r="S8" s="1185">
        <f>IF(AND(AD8=1,R8&lt;&gt;".")=TRUE,R8/VLOOKUP(G8,'Exchange Rates'!B:C,2,0),IF(R8=".",".",""))</f>
        <v>15294261.593050286</v>
      </c>
      <c r="T8" s="1185" t="str">
        <f>IF(AD8=1,IF(AF8="Value is not given at all",".",IF(AF8="Value is given by the source",S8,IF(AF8="Value is calculated with prices",(IF(SUMIFS(Q:Q,A:A,A8)&gt;0,SUMIFS(Q:Q,A:A,A8),"."))/VLOOKUP("USD",'Exchange Rates'!B:C,2,0),"Error with coding"))),"")</f>
        <v>.</v>
      </c>
      <c r="U8" s="1184" t="s">
        <v>365</v>
      </c>
      <c r="V8" s="974" t="s">
        <v>401</v>
      </c>
      <c r="W8" s="1261" t="s">
        <v>402</v>
      </c>
      <c r="X8" s="974" t="s">
        <v>403</v>
      </c>
      <c r="Y8" s="1183" t="s">
        <v>364</v>
      </c>
      <c r="Z8" s="1184">
        <v>0</v>
      </c>
      <c r="AA8" s="1194">
        <v>0</v>
      </c>
      <c r="AB8" s="1201" t="s">
        <v>364</v>
      </c>
      <c r="AC8" s="1192" t="str">
        <f>""</f>
        <v/>
      </c>
      <c r="AD8" s="1193">
        <v>1</v>
      </c>
      <c r="AE8" s="1193" t="s">
        <v>368</v>
      </c>
      <c r="AF8" s="1193" t="s">
        <v>369</v>
      </c>
      <c r="AG8" s="1193">
        <v>1</v>
      </c>
      <c r="AH8" s="1193">
        <v>3</v>
      </c>
      <c r="AI8" s="1193">
        <v>0</v>
      </c>
      <c r="AJ8" s="1193">
        <f>VLOOKUP($I8,'Price List, Weapons &amp; Items'!B:F,5,0)</f>
        <v>0</v>
      </c>
      <c r="AK8" s="1193">
        <f t="shared" si="15"/>
        <v>0</v>
      </c>
      <c r="AL8" s="1193">
        <f t="shared" si="16"/>
        <v>0</v>
      </c>
      <c r="AM8" s="1193">
        <f t="shared" si="17"/>
        <v>0</v>
      </c>
      <c r="AN8" s="1194" t="str">
        <f>VLOOKUP($I8,'Price List, Weapons &amp; Items'!B:L,COLUMN('Price List, Weapons &amp; Items'!$J$11)-1,0)</f>
        <v>.</v>
      </c>
      <c r="AO8" s="1194" t="str">
        <f>IF(I8=".",".",VLOOKUP($I8,'Price List, Weapons &amp; Items'!B:J,3,0))</f>
        <v>Military equipment</v>
      </c>
      <c r="AP8" s="1195" t="str">
        <f t="shared" ca="1" si="6"/>
        <v>tactical decoy</v>
      </c>
      <c r="AQ8" s="1194" t="str">
        <f>VLOOKUP($I8,'Price List, Weapons &amp; Items'!B:L,COLUMN('Price List, Weapons &amp; Items'!$L$11)-1,0)</f>
        <v>no price, 0 count</v>
      </c>
      <c r="AR8" s="1194">
        <f t="shared" si="18"/>
        <v>1</v>
      </c>
      <c r="AS8" s="1194">
        <f t="shared" si="19"/>
        <v>1</v>
      </c>
      <c r="AT8" s="1194">
        <f t="shared" si="20"/>
        <v>1</v>
      </c>
      <c r="AU8" s="1194" t="str">
        <f t="shared" si="21"/>
        <v>.</v>
      </c>
      <c r="AV8" s="1194" t="str">
        <f t="shared" si="11"/>
        <v>.</v>
      </c>
      <c r="AW8" s="1194" t="str">
        <f t="shared" si="22"/>
        <v>.</v>
      </c>
      <c r="AX8" s="1194">
        <f>IFERROR(VLOOKUP(B8,'Share, Heavy Weapons to Ukraine'!B:Z,COLUMN('Share, Heavy Weapons to Ukraine'!C18)-1,0),0)</f>
        <v>0</v>
      </c>
      <c r="AY8" s="1194">
        <f>VLOOKUP('Bilateral Assistance, MAIN DATA'!B8,'Country Summary (€)'!B:F,COLUMN('Country Summary (€)'!C19)-1,FALSE)</f>
        <v>0</v>
      </c>
      <c r="AZ8" s="1194" t="str">
        <f>IF(AND(AD8=1,D8="Military",H8&lt;&gt;"Not given")=TRUE,IF(SUMIFS(P:P,A:A,A8)&gt;0,ABS((SUMIFS(P:P,A:A,A8)/VLOOKUP("USD",'Exchange Rates'!B:C,2,0)))/S8,"."),".")</f>
        <v>.</v>
      </c>
      <c r="BA8" s="1196" t="str">
        <f>IF(AND(AD8=1,D8="Military",H8&lt;&gt;"Not given")=TRUE,IF(SUMIFS(P:P,A:A,A8)&gt;0,IF((ABS((SUMIFS(P:P,A:A,A8)/VLOOKUP("USD",'Exchange Rates'!B:C,2,0)))/S8)&gt;1,(SUMIFS(P:P,A:A,A8)-S8)/S8,(S8-SUMIFS(P:P,A:A,A8))/SUMIFS(P:P,A:A,A8)),"."),".")</f>
        <v>.</v>
      </c>
    </row>
    <row r="9" spans="1:53" ht="15.95" customHeight="1">
      <c r="A9" s="1182" t="s">
        <v>397</v>
      </c>
      <c r="B9" s="1182" t="s">
        <v>359</v>
      </c>
      <c r="C9" s="1181">
        <v>44651</v>
      </c>
      <c r="D9" s="1182" t="s">
        <v>389</v>
      </c>
      <c r="E9" s="1182" t="s">
        <v>398</v>
      </c>
      <c r="F9" s="1183" t="s">
        <v>399</v>
      </c>
      <c r="G9" s="1184" t="s">
        <v>363</v>
      </c>
      <c r="H9" s="1185">
        <v>25000000</v>
      </c>
      <c r="I9" s="1201" t="s">
        <v>404</v>
      </c>
      <c r="J9" s="1186" t="str">
        <f>VLOOKUP($I9,'Price List, Weapons &amp; Items'!B:C,2,0)</f>
        <v>Aviation and drones</v>
      </c>
      <c r="K9" s="1186" t="str">
        <f>IF(I9=".",I9,VLOOKUP($I9,'Price List, Weapons &amp; Items'!B:D,3,0))</f>
        <v>Unknown drone</v>
      </c>
      <c r="L9" s="1187">
        <f>VLOOKUP(I9,'Price List, Weapons &amp; Items'!B:E,4,0)</f>
        <v>0</v>
      </c>
      <c r="M9" s="1188" t="s">
        <v>374</v>
      </c>
      <c r="N9" s="1188" t="s">
        <v>374</v>
      </c>
      <c r="O9" s="1188" t="str">
        <f>VLOOKUP($I9,'Price List, Weapons &amp; Items'!B:G,6,0)</f>
        <v>.</v>
      </c>
      <c r="P9" s="1185" t="str">
        <f t="shared" si="13"/>
        <v>.</v>
      </c>
      <c r="Q9" s="1185" t="str">
        <f t="shared" si="14"/>
        <v>.</v>
      </c>
      <c r="R9" s="1185" t="str">
        <f t="shared" si="2"/>
        <v/>
      </c>
      <c r="S9" s="1185" t="str">
        <f>IF(AND(AD9=1,R9&lt;&gt;".")=TRUE,R9/VLOOKUP(G9,'Exchange Rates'!B:C,2,0),IF(R9=".",".",""))</f>
        <v/>
      </c>
      <c r="T9" s="1185" t="str">
        <f>IF(AD9=1,IF(AF9="Value is not given at all",".",IF(AF9="Value is given by the source",S9,IF(AF9="Value is calculated with prices",(IF(SUMIFS(Q:Q,A:A,A9)&gt;0,SUMIFS(Q:Q,A:A,A9),"."))/VLOOKUP("USD",'Exchange Rates'!B:C,2,0),"Error with coding"))),"")</f>
        <v/>
      </c>
      <c r="U9" s="1184" t="s">
        <v>365</v>
      </c>
      <c r="V9" s="974" t="s">
        <v>401</v>
      </c>
      <c r="W9" s="1261" t="s">
        <v>402</v>
      </c>
      <c r="X9" s="974" t="s">
        <v>403</v>
      </c>
      <c r="Y9" s="1183" t="s">
        <v>364</v>
      </c>
      <c r="Z9" s="1184">
        <v>0</v>
      </c>
      <c r="AA9" s="1194">
        <v>0</v>
      </c>
      <c r="AB9" s="1201" t="s">
        <v>364</v>
      </c>
      <c r="AC9" s="1192" t="str">
        <f>""</f>
        <v/>
      </c>
      <c r="AD9" s="1193">
        <v>0</v>
      </c>
      <c r="AE9" s="1193" t="s">
        <v>368</v>
      </c>
      <c r="AF9" s="1193" t="s">
        <v>369</v>
      </c>
      <c r="AG9" s="1193">
        <v>1</v>
      </c>
      <c r="AH9" s="1193">
        <v>3</v>
      </c>
      <c r="AI9" s="1193">
        <v>0</v>
      </c>
      <c r="AJ9" s="1193">
        <f>VLOOKUP($I9,'Price List, Weapons &amp; Items'!B:F,5,0)</f>
        <v>0</v>
      </c>
      <c r="AK9" s="1193">
        <f t="shared" si="15"/>
        <v>0</v>
      </c>
      <c r="AL9" s="1193">
        <f t="shared" si="16"/>
        <v>0</v>
      </c>
      <c r="AM9" s="1193">
        <f t="shared" si="17"/>
        <v>0</v>
      </c>
      <c r="AN9" s="1194" t="str">
        <f>VLOOKUP($I9,'Price List, Weapons &amp; Items'!B:L,COLUMN('Price List, Weapons &amp; Items'!$J$11)-1,0)</f>
        <v>.</v>
      </c>
      <c r="AO9" s="1194" t="str">
        <f>IF(I9=".",".",VLOOKUP($I9,'Price List, Weapons &amp; Items'!B:J,3,0))</f>
        <v>Unknown drone</v>
      </c>
      <c r="AP9" s="1195" t="str">
        <f t="shared" ca="1" si="6"/>
        <v/>
      </c>
      <c r="AQ9" s="1194" t="str">
        <f>VLOOKUP($I9,'Price List, Weapons &amp; Items'!B:L,COLUMN('Price List, Weapons &amp; Items'!$L$11)-1,0)</f>
        <v>no price, 0 count</v>
      </c>
      <c r="AR9" s="1194">
        <f t="shared" si="18"/>
        <v>1</v>
      </c>
      <c r="AS9" s="1194">
        <f t="shared" si="19"/>
        <v>1</v>
      </c>
      <c r="AT9" s="1194">
        <f t="shared" si="20"/>
        <v>1</v>
      </c>
      <c r="AU9" s="1194" t="str">
        <f t="shared" si="21"/>
        <v>.</v>
      </c>
      <c r="AV9" s="1194" t="str">
        <f t="shared" si="11"/>
        <v>.</v>
      </c>
      <c r="AW9" s="1194" t="str">
        <f t="shared" si="22"/>
        <v>.</v>
      </c>
      <c r="AX9" s="1194">
        <f>IFERROR(VLOOKUP(B9,'Share, Heavy Weapons to Ukraine'!B:Z,COLUMN('Share, Heavy Weapons to Ukraine'!C19)-1,0),0)</f>
        <v>0</v>
      </c>
      <c r="AY9" s="1194">
        <f>VLOOKUP('Bilateral Assistance, MAIN DATA'!B9,'Country Summary (€)'!B:F,COLUMN('Country Summary (€)'!C20)-1,FALSE)</f>
        <v>0</v>
      </c>
      <c r="AZ9" s="1194" t="str">
        <f>IF(AND(AD9=1,D9="Military",H9&lt;&gt;"Not given")=TRUE,IF(SUMIFS(P:P,A:A,A9)&gt;0,ABS((SUMIFS(P:P,A:A,A9)/VLOOKUP("USD",'Exchange Rates'!B:C,2,0)))/S9,"."),".")</f>
        <v>.</v>
      </c>
      <c r="BA9" s="1196" t="str">
        <f>IF(AND(AD9=1,D9="Military",H9&lt;&gt;"Not given")=TRUE,IF(SUMIFS(P:P,A:A,A9)&gt;0,IF((ABS((SUMIFS(P:P,A:A,A9)/VLOOKUP("USD",'Exchange Rates'!B:C,2,0)))/S9)&gt;1,(SUMIFS(P:P,A:A,A9)-S9)/S9,(S9-SUMIFS(P:P,A:A,A9))/SUMIFS(P:P,A:A,A9)),"."),".")</f>
        <v>.</v>
      </c>
    </row>
    <row r="10" spans="1:53" ht="15.95" customHeight="1">
      <c r="A10" s="1182" t="s">
        <v>397</v>
      </c>
      <c r="B10" s="1182" t="s">
        <v>359</v>
      </c>
      <c r="C10" s="1181">
        <v>44651</v>
      </c>
      <c r="D10" s="1182" t="s">
        <v>389</v>
      </c>
      <c r="E10" s="1182" t="s">
        <v>398</v>
      </c>
      <c r="F10" s="1183" t="s">
        <v>399</v>
      </c>
      <c r="G10" s="1184" t="s">
        <v>363</v>
      </c>
      <c r="H10" s="1185">
        <v>25000000</v>
      </c>
      <c r="I10" s="1201" t="s">
        <v>405</v>
      </c>
      <c r="J10" s="1186" t="str">
        <f>VLOOKUP($I10,'Price List, Weapons &amp; Items'!B:C,2,0)</f>
        <v>Portable defence system</v>
      </c>
      <c r="K10" s="1186" t="str">
        <f>IF(I10=".",I10,VLOOKUP($I10,'Price List, Weapons &amp; Items'!B:D,3,0))</f>
        <v>Unknown drone</v>
      </c>
      <c r="L10" s="1187">
        <f>VLOOKUP(I10,'Price List, Weapons &amp; Items'!B:E,4,0)</f>
        <v>0</v>
      </c>
      <c r="M10" s="1188" t="s">
        <v>374</v>
      </c>
      <c r="N10" s="1188" t="s">
        <v>374</v>
      </c>
      <c r="O10" s="1188" t="str">
        <f>VLOOKUP($I10,'Price List, Weapons &amp; Items'!B:G,6,0)</f>
        <v>.</v>
      </c>
      <c r="P10" s="1185" t="str">
        <f t="shared" si="13"/>
        <v>.</v>
      </c>
      <c r="Q10" s="1185" t="str">
        <f t="shared" si="14"/>
        <v>.</v>
      </c>
      <c r="R10" s="1185" t="str">
        <f t="shared" si="2"/>
        <v/>
      </c>
      <c r="S10" s="1185" t="str">
        <f>IF(AND(AD10=1,R10&lt;&gt;".")=TRUE,R10/VLOOKUP(G10,'Exchange Rates'!B:C,2,0),IF(R10=".",".",""))</f>
        <v/>
      </c>
      <c r="T10" s="1185" t="str">
        <f>IF(AD10=1,IF(AF10="Value is not given at all",".",IF(AF10="Value is given by the source",S10,IF(AF10="Value is calculated with prices",(IF(SUMIFS(Q:Q,A:A,A10)&gt;0,SUMIFS(Q:Q,A:A,A10),"."))/VLOOKUP("USD",'Exchange Rates'!B:C,2,0),"Error with coding"))),"")</f>
        <v/>
      </c>
      <c r="U10" s="1184" t="s">
        <v>365</v>
      </c>
      <c r="V10" s="974" t="s">
        <v>401</v>
      </c>
      <c r="W10" s="1261" t="s">
        <v>402</v>
      </c>
      <c r="X10" s="974" t="s">
        <v>403</v>
      </c>
      <c r="Y10" s="1183" t="s">
        <v>364</v>
      </c>
      <c r="Z10" s="1184">
        <v>0</v>
      </c>
      <c r="AA10" s="1194">
        <v>0</v>
      </c>
      <c r="AB10" s="1201" t="s">
        <v>364</v>
      </c>
      <c r="AC10" s="1192" t="str">
        <f>""</f>
        <v/>
      </c>
      <c r="AD10" s="1193">
        <v>0</v>
      </c>
      <c r="AE10" s="1193" t="s">
        <v>368</v>
      </c>
      <c r="AF10" s="1193" t="s">
        <v>369</v>
      </c>
      <c r="AG10" s="1193">
        <v>1</v>
      </c>
      <c r="AH10" s="1193">
        <v>3</v>
      </c>
      <c r="AI10" s="1193">
        <v>0</v>
      </c>
      <c r="AJ10" s="1193">
        <f>VLOOKUP($I10,'Price List, Weapons &amp; Items'!B:F,5,0)</f>
        <v>0</v>
      </c>
      <c r="AK10" s="1193">
        <f t="shared" si="15"/>
        <v>0</v>
      </c>
      <c r="AL10" s="1193">
        <f t="shared" si="16"/>
        <v>0</v>
      </c>
      <c r="AM10" s="1193">
        <f t="shared" si="17"/>
        <v>0</v>
      </c>
      <c r="AN10" s="1194" t="str">
        <f>VLOOKUP($I10,'Price List, Weapons &amp; Items'!B:L,COLUMN('Price List, Weapons &amp; Items'!$J$11)-1,0)</f>
        <v>.</v>
      </c>
      <c r="AO10" s="1194" t="str">
        <f>IF(I10=".",".",VLOOKUP($I10,'Price List, Weapons &amp; Items'!B:J,3,0))</f>
        <v>Unknown drone</v>
      </c>
      <c r="AP10" s="1195" t="str">
        <f t="shared" ca="1" si="6"/>
        <v/>
      </c>
      <c r="AQ10" s="1194" t="str">
        <f>VLOOKUP($I10,'Price List, Weapons &amp; Items'!B:L,COLUMN('Price List, Weapons &amp; Items'!$L$11)-1,0)</f>
        <v>no price, 0 count</v>
      </c>
      <c r="AR10" s="1194">
        <f t="shared" si="18"/>
        <v>1</v>
      </c>
      <c r="AS10" s="1194">
        <f t="shared" si="19"/>
        <v>1</v>
      </c>
      <c r="AT10" s="1194">
        <f t="shared" si="20"/>
        <v>1</v>
      </c>
      <c r="AU10" s="1194" t="str">
        <f t="shared" si="21"/>
        <v>.</v>
      </c>
      <c r="AV10" s="1194" t="str">
        <f t="shared" si="11"/>
        <v>.</v>
      </c>
      <c r="AW10" s="1194" t="str">
        <f t="shared" si="22"/>
        <v>.</v>
      </c>
      <c r="AX10" s="1194">
        <f>IFERROR(VLOOKUP(B10,'Share, Heavy Weapons to Ukraine'!B:Z,COLUMN('Share, Heavy Weapons to Ukraine'!C20)-1,0),0)</f>
        <v>0</v>
      </c>
      <c r="AY10" s="1194">
        <f>VLOOKUP('Bilateral Assistance, MAIN DATA'!B10,'Country Summary (€)'!B:F,COLUMN('Country Summary (€)'!C21)-1,FALSE)</f>
        <v>0</v>
      </c>
      <c r="AZ10" s="1194" t="str">
        <f>IF(AND(AD10=1,D10="Military",H10&lt;&gt;"Not given")=TRUE,IF(SUMIFS(P:P,A:A,A10)&gt;0,ABS((SUMIFS(P:P,A:A,A10)/VLOOKUP("USD",'Exchange Rates'!B:C,2,0)))/S10,"."),".")</f>
        <v>.</v>
      </c>
      <c r="BA10" s="1196" t="str">
        <f>IF(AND(AD10=1,D10="Military",H10&lt;&gt;"Not given")=TRUE,IF(SUMIFS(P:P,A:A,A10)&gt;0,IF((ABS((SUMIFS(P:P,A:A,A10)/VLOOKUP("USD",'Exchange Rates'!B:C,2,0)))/S10)&gt;1,(SUMIFS(P:P,A:A,A10)-S10)/S10,(S10-SUMIFS(P:P,A:A,A10))/SUMIFS(P:P,A:A,A10)),"."),".")</f>
        <v>.</v>
      </c>
    </row>
    <row r="11" spans="1:53" ht="15.95" customHeight="1">
      <c r="A11" s="1182" t="s">
        <v>397</v>
      </c>
      <c r="B11" s="1182" t="s">
        <v>359</v>
      </c>
      <c r="C11" s="1181">
        <v>44651</v>
      </c>
      <c r="D11" s="1182" t="s">
        <v>389</v>
      </c>
      <c r="E11" s="1182" t="s">
        <v>398</v>
      </c>
      <c r="F11" s="1183" t="s">
        <v>399</v>
      </c>
      <c r="G11" s="1184" t="s">
        <v>363</v>
      </c>
      <c r="H11" s="1185">
        <v>25000000</v>
      </c>
      <c r="I11" s="1201" t="s">
        <v>406</v>
      </c>
      <c r="J11" s="1186" t="str">
        <f>VLOOKUP($I11,'Price List, Weapons &amp; Items'!B:C,2,0)</f>
        <v>Military equipment</v>
      </c>
      <c r="K11" s="1186" t="str">
        <f>IF(I11=".",I11,VLOOKUP($I11,'Price List, Weapons &amp; Items'!B:D,3,0))</f>
        <v>Military equipment</v>
      </c>
      <c r="L11" s="1187">
        <f>VLOOKUP(I11,'Price List, Weapons &amp; Items'!B:E,4,0)</f>
        <v>0</v>
      </c>
      <c r="M11" s="1188" t="s">
        <v>374</v>
      </c>
      <c r="N11" s="1188" t="s">
        <v>374</v>
      </c>
      <c r="O11" s="1188">
        <f>VLOOKUP($I11,'Price List, Weapons &amp; Items'!B:G,6,0)</f>
        <v>22</v>
      </c>
      <c r="P11" s="1185" t="str">
        <f t="shared" si="13"/>
        <v>.</v>
      </c>
      <c r="Q11" s="1185" t="str">
        <f t="shared" si="14"/>
        <v>.</v>
      </c>
      <c r="R11" s="1185" t="str">
        <f t="shared" si="2"/>
        <v/>
      </c>
      <c r="S11" s="1185" t="str">
        <f>IF(AND(AD11=1,R11&lt;&gt;".")=TRUE,R11/VLOOKUP(G11,'Exchange Rates'!B:C,2,0),IF(R11=".",".",""))</f>
        <v/>
      </c>
      <c r="T11" s="1185" t="str">
        <f>IF(AD11=1,IF(AF11="Value is not given at all",".",IF(AF11="Value is given by the source",S11,IF(AF11="Value is calculated with prices",(IF(SUMIFS(Q:Q,A:A,A11)&gt;0,SUMIFS(Q:Q,A:A,A11),"."))/VLOOKUP("USD",'Exchange Rates'!B:C,2,0),"Error with coding"))),"")</f>
        <v/>
      </c>
      <c r="U11" s="1184" t="s">
        <v>365</v>
      </c>
      <c r="V11" s="974" t="s">
        <v>401</v>
      </c>
      <c r="W11" s="1261" t="s">
        <v>402</v>
      </c>
      <c r="X11" s="974" t="s">
        <v>403</v>
      </c>
      <c r="Y11" s="1183" t="s">
        <v>364</v>
      </c>
      <c r="Z11" s="1184">
        <v>0</v>
      </c>
      <c r="AA11" s="1194">
        <v>0</v>
      </c>
      <c r="AB11" s="1201" t="s">
        <v>364</v>
      </c>
      <c r="AC11" s="1192" t="str">
        <f>""</f>
        <v/>
      </c>
      <c r="AD11" s="1193">
        <v>0</v>
      </c>
      <c r="AE11" s="1193" t="s">
        <v>368</v>
      </c>
      <c r="AF11" s="1193" t="s">
        <v>369</v>
      </c>
      <c r="AG11" s="1193">
        <v>1</v>
      </c>
      <c r="AH11" s="1193">
        <v>3</v>
      </c>
      <c r="AI11" s="1193">
        <v>0</v>
      </c>
      <c r="AJ11" s="1193">
        <f>VLOOKUP($I11,'Price List, Weapons &amp; Items'!B:F,5,0)</f>
        <v>0</v>
      </c>
      <c r="AK11" s="1193">
        <f t="shared" si="15"/>
        <v>0</v>
      </c>
      <c r="AL11" s="1193">
        <f t="shared" si="16"/>
        <v>0</v>
      </c>
      <c r="AM11" s="1193">
        <f t="shared" si="17"/>
        <v>0</v>
      </c>
      <c r="AN11" s="1194" t="str">
        <f>VLOOKUP($I11,'Price List, Weapons &amp; Items'!B:L,COLUMN('Price List, Weapons &amp; Items'!$J$11)-1,0)</f>
        <v>Online marketplaces and stores</v>
      </c>
      <c r="AO11" s="1194" t="str">
        <f>IF(I11=".",".",VLOOKUP($I11,'Price List, Weapons &amp; Items'!B:J,3,0))</f>
        <v>Military equipment</v>
      </c>
      <c r="AP11" s="1195" t="str">
        <f t="shared" ca="1" si="6"/>
        <v/>
      </c>
      <c r="AQ11" s="1194">
        <f>VLOOKUP($I11,'Price List, Weapons &amp; Items'!B:L,COLUMN('Price List, Weapons &amp; Items'!$L$11)-1,0)</f>
        <v>2</v>
      </c>
      <c r="AR11" s="1194">
        <f t="shared" si="18"/>
        <v>1</v>
      </c>
      <c r="AS11" s="1194">
        <f t="shared" si="19"/>
        <v>1</v>
      </c>
      <c r="AT11" s="1194">
        <f t="shared" si="20"/>
        <v>1</v>
      </c>
      <c r="AU11" s="1194" t="str">
        <f t="shared" si="21"/>
        <v>.</v>
      </c>
      <c r="AV11" s="1194" t="str">
        <f t="shared" si="11"/>
        <v>.</v>
      </c>
      <c r="AW11" s="1194" t="str">
        <f t="shared" si="22"/>
        <v>.</v>
      </c>
      <c r="AX11" s="1194">
        <f>IFERROR(VLOOKUP(B11,'Share, Heavy Weapons to Ukraine'!B:Z,COLUMN('Share, Heavy Weapons to Ukraine'!C21)-1,0),0)</f>
        <v>0</v>
      </c>
      <c r="AY11" s="1194">
        <f>VLOOKUP('Bilateral Assistance, MAIN DATA'!B11,'Country Summary (€)'!B:F,COLUMN('Country Summary (€)'!C22)-1,FALSE)</f>
        <v>0</v>
      </c>
      <c r="AZ11" s="1194" t="str">
        <f>IF(AND(AD11=1,D11="Military",H11&lt;&gt;"Not given")=TRUE,IF(SUMIFS(P:P,A:A,A11)&gt;0,ABS((SUMIFS(P:P,A:A,A11)/VLOOKUP("USD",'Exchange Rates'!B:C,2,0)))/S11,"."),".")</f>
        <v>.</v>
      </c>
      <c r="BA11" s="1196" t="str">
        <f>IF(AND(AD11=1,D11="Military",H11&lt;&gt;"Not given")=TRUE,IF(SUMIFS(P:P,A:A,A11)&gt;0,IF((ABS((SUMIFS(P:P,A:A,A11)/VLOOKUP("USD",'Exchange Rates'!B:C,2,0)))/S11)&gt;1,(SUMIFS(P:P,A:A,A11)-S11)/S11,(S11-SUMIFS(P:P,A:A,A11))/SUMIFS(P:P,A:A,A11)),"."),".")</f>
        <v>.</v>
      </c>
    </row>
    <row r="12" spans="1:53" ht="15.95" customHeight="1">
      <c r="A12" s="1182" t="s">
        <v>397</v>
      </c>
      <c r="B12" s="1182" t="s">
        <v>359</v>
      </c>
      <c r="C12" s="1181">
        <v>44651</v>
      </c>
      <c r="D12" s="1182" t="s">
        <v>389</v>
      </c>
      <c r="E12" s="1182" t="s">
        <v>398</v>
      </c>
      <c r="F12" s="1183" t="s">
        <v>399</v>
      </c>
      <c r="G12" s="1184" t="s">
        <v>363</v>
      </c>
      <c r="H12" s="1185">
        <v>25000000</v>
      </c>
      <c r="I12" s="1201" t="s">
        <v>407</v>
      </c>
      <c r="J12" s="1186" t="str">
        <f>VLOOKUP($I12,'Price List, Weapons &amp; Items'!B:C,2,0)</f>
        <v>Humanitarian</v>
      </c>
      <c r="K12" s="1186" t="str">
        <f>IF(I12=".",I12,VLOOKUP($I12,'Price List, Weapons &amp; Items'!B:D,3,0))</f>
        <v>Humanitarian</v>
      </c>
      <c r="L12" s="1187">
        <f>VLOOKUP(I12,'Price List, Weapons &amp; Items'!B:E,4,0)</f>
        <v>0</v>
      </c>
      <c r="M12" s="1188" t="s">
        <v>374</v>
      </c>
      <c r="N12" s="1188" t="s">
        <v>374</v>
      </c>
      <c r="O12" s="1188" t="str">
        <f>VLOOKUP($I12,'Price List, Weapons &amp; Items'!B:G,6,0)</f>
        <v>.</v>
      </c>
      <c r="P12" s="1185" t="str">
        <f t="shared" si="13"/>
        <v>.</v>
      </c>
      <c r="Q12" s="1185" t="str">
        <f t="shared" si="14"/>
        <v>.</v>
      </c>
      <c r="R12" s="1185" t="str">
        <f t="shared" si="2"/>
        <v/>
      </c>
      <c r="S12" s="1185" t="str">
        <f>IF(AND(AD12=1,R12&lt;&gt;".")=TRUE,R12/VLOOKUP(G12,'Exchange Rates'!B:C,2,0),IF(R12=".",".",""))</f>
        <v/>
      </c>
      <c r="T12" s="1185" t="str">
        <f>IF(AD12=1,IF(AF12="Value is not given at all",".",IF(AF12="Value is given by the source",S12,IF(AF12="Value is calculated with prices",(IF(SUMIFS(Q:Q,A:A,A12)&gt;0,SUMIFS(Q:Q,A:A,A12),"."))/VLOOKUP("USD",'Exchange Rates'!B:C,2,0),"Error with coding"))),"")</f>
        <v/>
      </c>
      <c r="U12" s="1184" t="s">
        <v>365</v>
      </c>
      <c r="V12" s="974" t="s">
        <v>401</v>
      </c>
      <c r="W12" s="1261" t="s">
        <v>402</v>
      </c>
      <c r="X12" s="974" t="s">
        <v>403</v>
      </c>
      <c r="Y12" s="1183" t="s">
        <v>364</v>
      </c>
      <c r="Z12" s="1184">
        <v>0</v>
      </c>
      <c r="AA12" s="1194">
        <v>0</v>
      </c>
      <c r="AB12" s="1201" t="s">
        <v>364</v>
      </c>
      <c r="AC12" s="1192" t="str">
        <f>""</f>
        <v/>
      </c>
      <c r="AD12" s="1193">
        <v>0</v>
      </c>
      <c r="AE12" s="1193" t="s">
        <v>368</v>
      </c>
      <c r="AF12" s="1193" t="s">
        <v>369</v>
      </c>
      <c r="AG12" s="1193">
        <v>1</v>
      </c>
      <c r="AH12" s="1193">
        <v>3</v>
      </c>
      <c r="AI12" s="1193">
        <v>0</v>
      </c>
      <c r="AJ12" s="1193">
        <f>VLOOKUP($I12,'Price List, Weapons &amp; Items'!B:F,5,0)</f>
        <v>0</v>
      </c>
      <c r="AK12" s="1193">
        <f t="shared" si="15"/>
        <v>0</v>
      </c>
      <c r="AL12" s="1193">
        <f t="shared" si="16"/>
        <v>0</v>
      </c>
      <c r="AM12" s="1193">
        <f t="shared" si="17"/>
        <v>0</v>
      </c>
      <c r="AN12" s="1194" t="str">
        <f>VLOOKUP($I12,'Price List, Weapons &amp; Items'!B:L,COLUMN('Price List, Weapons &amp; Items'!$J$11)-1,0)</f>
        <v>.</v>
      </c>
      <c r="AO12" s="1194" t="str">
        <f>IF(I12=".",".",VLOOKUP($I12,'Price List, Weapons &amp; Items'!B:J,3,0))</f>
        <v>Humanitarian</v>
      </c>
      <c r="AP12" s="1195" t="str">
        <f t="shared" ca="1" si="6"/>
        <v/>
      </c>
      <c r="AQ12" s="1194">
        <f>VLOOKUP($I12,'Price List, Weapons &amp; Items'!B:L,COLUMN('Price List, Weapons &amp; Items'!$L$11)-1,0)</f>
        <v>0</v>
      </c>
      <c r="AR12" s="1194">
        <f t="shared" si="18"/>
        <v>1</v>
      </c>
      <c r="AS12" s="1194">
        <f t="shared" si="19"/>
        <v>1</v>
      </c>
      <c r="AT12" s="1194">
        <f t="shared" si="20"/>
        <v>1</v>
      </c>
      <c r="AU12" s="1194" t="str">
        <f t="shared" si="21"/>
        <v>.</v>
      </c>
      <c r="AV12" s="1194" t="str">
        <f t="shared" si="11"/>
        <v>.</v>
      </c>
      <c r="AW12" s="1194" t="str">
        <f t="shared" si="22"/>
        <v>.</v>
      </c>
      <c r="AX12" s="1194">
        <f>IFERROR(VLOOKUP(B12,'Share, Heavy Weapons to Ukraine'!B:Z,COLUMN('Share, Heavy Weapons to Ukraine'!C22)-1,0),0)</f>
        <v>0</v>
      </c>
      <c r="AY12" s="1194">
        <f>VLOOKUP('Bilateral Assistance, MAIN DATA'!B12,'Country Summary (€)'!B:F,COLUMN('Country Summary (€)'!C23)-1,FALSE)</f>
        <v>0</v>
      </c>
      <c r="AZ12" s="1194" t="str">
        <f>IF(AND(AD12=1,D12="Military",H12&lt;&gt;"Not given")=TRUE,IF(SUMIFS(P:P,A:A,A12)&gt;0,ABS((SUMIFS(P:P,A:A,A12)/VLOOKUP("USD",'Exchange Rates'!B:C,2,0)))/S12,"."),".")</f>
        <v>.</v>
      </c>
      <c r="BA12" s="1196" t="str">
        <f>IF(AND(AD12=1,D12="Military",H12&lt;&gt;"Not given")=TRUE,IF(SUMIFS(P:P,A:A,A12)&gt;0,IF((ABS((SUMIFS(P:P,A:A,A12)/VLOOKUP("USD",'Exchange Rates'!B:C,2,0)))/S12)&gt;1,(SUMIFS(P:P,A:A,A12)-S12)/S12,(S12-SUMIFS(P:P,A:A,A12))/SUMIFS(P:P,A:A,A12)),"."),".")</f>
        <v>.</v>
      </c>
    </row>
    <row r="13" spans="1:53" ht="15.95" customHeight="1">
      <c r="A13" s="1180" t="s">
        <v>408</v>
      </c>
      <c r="B13" s="1180" t="s">
        <v>359</v>
      </c>
      <c r="C13" s="1181">
        <v>44659</v>
      </c>
      <c r="D13" s="1182" t="s">
        <v>389</v>
      </c>
      <c r="E13" s="1182" t="s">
        <v>398</v>
      </c>
      <c r="F13" s="1183" t="s">
        <v>409</v>
      </c>
      <c r="G13" s="1187" t="s">
        <v>363</v>
      </c>
      <c r="H13" s="1185">
        <v>49000000</v>
      </c>
      <c r="I13" s="1201" t="s">
        <v>410</v>
      </c>
      <c r="J13" s="1186" t="str">
        <f>VLOOKUP($I13,'Price List, Weapons &amp; Items'!B:C,2,0)</f>
        <v>Heavy weapon</v>
      </c>
      <c r="K13" s="1186" t="str">
        <f>IF(I13=".",I13,VLOOKUP($I13,'Price List, Weapons &amp; Items'!B:D,3,0))</f>
        <v>Armored Utility Vehicle (AUV)</v>
      </c>
      <c r="L13" s="1187">
        <f>VLOOKUP(I13,'Price List, Weapons &amp; Items'!B:E,4,0)</f>
        <v>0</v>
      </c>
      <c r="M13" s="1188">
        <v>20</v>
      </c>
      <c r="N13" s="1188">
        <v>20</v>
      </c>
      <c r="O13" s="1188">
        <f>VLOOKUP($I13,'Price List, Weapons &amp; Items'!B:G,6,0)</f>
        <v>1650000</v>
      </c>
      <c r="P13" s="1185">
        <f t="shared" si="13"/>
        <v>33000000</v>
      </c>
      <c r="Q13" s="1185">
        <f t="shared" si="14"/>
        <v>33000000</v>
      </c>
      <c r="R13" s="1185">
        <f t="shared" si="2"/>
        <v>49000000</v>
      </c>
      <c r="S13" s="1185">
        <f>IF(AND(AD13=1,R13&lt;&gt;".")=TRUE,R13/VLOOKUP(G13,'Exchange Rates'!B:C,2,0),IF(R13=".",".",""))</f>
        <v>29976752.722378563</v>
      </c>
      <c r="T13" s="1185">
        <f>IF(AD13=1,IF(AF13="Value is not given at all",".",IF(AF13="Value is given by the source",S13,IF(AF13="Value is calculated with prices",(IF(SUMIFS(Q:Q,A:A,A13)&gt;0,SUMIFS(Q:Q,A:A,A13),"."))/VLOOKUP("USD",'Exchange Rates'!B:C,2,0),"Error with coding"))),"")</f>
        <v>29976752.722378563</v>
      </c>
      <c r="U13" s="1184" t="s">
        <v>365</v>
      </c>
      <c r="V13" s="972" t="s">
        <v>411</v>
      </c>
      <c r="W13" s="972" t="s">
        <v>412</v>
      </c>
      <c r="X13" s="1190" t="s">
        <v>364</v>
      </c>
      <c r="Y13" s="1190" t="s">
        <v>364</v>
      </c>
      <c r="Z13" s="1184">
        <v>0</v>
      </c>
      <c r="AA13" s="1194">
        <v>0</v>
      </c>
      <c r="AB13" s="975" t="s">
        <v>413</v>
      </c>
      <c r="AC13" s="1192" t="str">
        <f>""</f>
        <v/>
      </c>
      <c r="AD13" s="1193">
        <v>1</v>
      </c>
      <c r="AE13" s="1193" t="s">
        <v>368</v>
      </c>
      <c r="AF13" s="1193" t="s">
        <v>368</v>
      </c>
      <c r="AG13" s="1193">
        <v>1</v>
      </c>
      <c r="AH13" s="1193">
        <v>4</v>
      </c>
      <c r="AI13" s="1193">
        <v>0</v>
      </c>
      <c r="AJ13" s="1193">
        <f>VLOOKUP($I13,'Price List, Weapons &amp; Items'!B:F,5,0)</f>
        <v>1</v>
      </c>
      <c r="AK13" s="1193">
        <f t="shared" si="15"/>
        <v>0</v>
      </c>
      <c r="AL13" s="1193">
        <f t="shared" si="16"/>
        <v>0</v>
      </c>
      <c r="AM13" s="1193">
        <f t="shared" si="17"/>
        <v>0</v>
      </c>
      <c r="AN13" s="1194" t="str">
        <f>VLOOKUP($I13,'Price List, Weapons &amp; Items'!B:L,COLUMN('Price List, Weapons &amp; Items'!$J$11)-1,0)</f>
        <v>Miscellaneous</v>
      </c>
      <c r="AO13" s="1194" t="str">
        <f>IF(I13=".",".",VLOOKUP($I13,'Price List, Weapons &amp; Items'!B:J,3,0))</f>
        <v>Armored Utility Vehicle (AUV)</v>
      </c>
      <c r="AP13" s="1195" t="str">
        <f t="shared" ca="1" si="6"/>
        <v>Bushmaster Protected Mobility Vehicles</v>
      </c>
      <c r="AQ13" s="1194">
        <f>VLOOKUP($I13,'Price List, Weapons &amp; Items'!B:L,COLUMN('Price List, Weapons &amp; Items'!$L$11)-1,0)</f>
        <v>2</v>
      </c>
      <c r="AR13" s="1194">
        <f t="shared" si="18"/>
        <v>1</v>
      </c>
      <c r="AS13" s="1194">
        <f t="shared" si="19"/>
        <v>1</v>
      </c>
      <c r="AT13" s="1194">
        <f t="shared" si="20"/>
        <v>1</v>
      </c>
      <c r="AU13" s="1194" t="str">
        <f t="shared" si="21"/>
        <v>.</v>
      </c>
      <c r="AV13" s="1194" t="str">
        <f t="shared" si="11"/>
        <v>.</v>
      </c>
      <c r="AW13" s="1194" t="str">
        <f t="shared" si="22"/>
        <v>.</v>
      </c>
      <c r="AX13" s="1194">
        <f>IFERROR(VLOOKUP(B13,'Share, Heavy Weapons to Ukraine'!B:Z,COLUMN('Share, Heavy Weapons to Ukraine'!C23)-1,0),0)</f>
        <v>0</v>
      </c>
      <c r="AY13" s="1194">
        <f>VLOOKUP('Bilateral Assistance, MAIN DATA'!B13,'Country Summary (€)'!B:F,COLUMN('Country Summary (€)'!C24)-1,FALSE)</f>
        <v>0</v>
      </c>
      <c r="AZ13" s="1194">
        <f>IF(AND(AD13=1,D13="Military",H13&lt;&gt;"Not given")=TRUE,IF(SUMIFS(P:P,A:A,A13)&gt;0,ABS((SUMIFS(P:P,A:A,A13)/VLOOKUP("USD",'Exchange Rates'!B:C,2,0)))/S13,"."),".")</f>
        <v>1.0129306783442122</v>
      </c>
      <c r="BA13" s="1196">
        <f>IF(AND(AD13=1,D13="Military",H13&lt;&gt;"Not given")=TRUE,IF(SUMIFS(P:P,A:A,A13)&gt;0,IF((ABS((SUMIFS(P:P,A:A,A13)/VLOOKUP("USD",'Exchange Rates'!B:C,2,0)))/S13)&gt;1,(SUMIFS(P:P,A:A,A13)-S13)/S13,(S13-SUMIFS(P:P,A:A,A13))/SUMIFS(P:P,A:A,A13)),"."),".")</f>
        <v>0.10085306122448981</v>
      </c>
    </row>
    <row r="14" spans="1:53" ht="15.95" customHeight="1">
      <c r="A14" s="1182" t="s">
        <v>414</v>
      </c>
      <c r="B14" s="1182" t="s">
        <v>359</v>
      </c>
      <c r="C14" s="1181">
        <v>44659</v>
      </c>
      <c r="D14" s="1182" t="s">
        <v>389</v>
      </c>
      <c r="E14" s="1182" t="s">
        <v>390</v>
      </c>
      <c r="F14" s="1183" t="s">
        <v>415</v>
      </c>
      <c r="G14" s="1187" t="s">
        <v>363</v>
      </c>
      <c r="H14" s="1185">
        <v>26500000</v>
      </c>
      <c r="I14" s="1201" t="s">
        <v>416</v>
      </c>
      <c r="J14" s="1186" t="str">
        <f>VLOOKUP($I14,'Price List, Weapons &amp; Items'!B:C,2,0)</f>
        <v>Portable defence system</v>
      </c>
      <c r="K14" s="1186" t="str">
        <f>IF(I14=".",I14,VLOOKUP($I14,'Price List, Weapons &amp; Items'!B:D,3,0))</f>
        <v>Light Anti-armor Weapon (LAW)</v>
      </c>
      <c r="L14" s="1187">
        <f>VLOOKUP(I14,'Price List, Weapons &amp; Items'!B:E,4,0)</f>
        <v>0</v>
      </c>
      <c r="M14" s="1188" t="s">
        <v>374</v>
      </c>
      <c r="N14" s="1188" t="s">
        <v>374</v>
      </c>
      <c r="O14" s="1188">
        <f>VLOOKUP($I14,'Price List, Weapons &amp; Items'!B:G,6,0)</f>
        <v>1475</v>
      </c>
      <c r="P14" s="1185" t="str">
        <f t="shared" si="13"/>
        <v>.</v>
      </c>
      <c r="Q14" s="1185" t="str">
        <f t="shared" si="14"/>
        <v>.</v>
      </c>
      <c r="R14" s="1185">
        <f t="shared" si="2"/>
        <v>26500000</v>
      </c>
      <c r="S14" s="1185">
        <f>IF(AND(AD14=1,R14&lt;&gt;".")=TRUE,R14/VLOOKUP(G14,'Exchange Rates'!B:C,2,0),IF(R14=".",".",""))</f>
        <v>16211917.288633304</v>
      </c>
      <c r="T14" s="1185">
        <f>IF(AD14=1,IF(AF14="Value is not given at all",".",IF(AF14="Value is given by the source",S14,IF(AF14="Value is calculated with prices",(IF(SUMIFS(Q:Q,A:A,A14)&gt;0,SUMIFS(Q:Q,A:A,A14),"."))/VLOOKUP("USD",'Exchange Rates'!B:C,2,0),"Error with coding"))),"")</f>
        <v>16211917.288633304</v>
      </c>
      <c r="U14" s="1184" t="s">
        <v>365</v>
      </c>
      <c r="V14" s="974" t="s">
        <v>417</v>
      </c>
      <c r="W14" s="976" t="s">
        <v>418</v>
      </c>
      <c r="X14" s="1183" t="s">
        <v>364</v>
      </c>
      <c r="Y14" s="1183" t="s">
        <v>364</v>
      </c>
      <c r="Z14" s="1194">
        <v>0</v>
      </c>
      <c r="AA14" s="1194">
        <v>0</v>
      </c>
      <c r="AB14" s="977" t="s">
        <v>419</v>
      </c>
      <c r="AC14" s="1192" t="str">
        <f>""</f>
        <v/>
      </c>
      <c r="AD14" s="1193">
        <v>1</v>
      </c>
      <c r="AE14" s="1193" t="s">
        <v>368</v>
      </c>
      <c r="AF14" s="1193" t="s">
        <v>368</v>
      </c>
      <c r="AG14" s="1193">
        <v>1</v>
      </c>
      <c r="AH14" s="1193">
        <v>4</v>
      </c>
      <c r="AI14" s="1193">
        <v>0</v>
      </c>
      <c r="AJ14" s="1193">
        <f>VLOOKUP($I14,'Price List, Weapons &amp; Items'!B:F,5,0)</f>
        <v>0</v>
      </c>
      <c r="AK14" s="1193">
        <f t="shared" si="15"/>
        <v>0</v>
      </c>
      <c r="AL14" s="1193">
        <f t="shared" si="16"/>
        <v>0</v>
      </c>
      <c r="AM14" s="1193">
        <f t="shared" si="17"/>
        <v>0</v>
      </c>
      <c r="AN14" s="1194" t="str">
        <f>VLOOKUP($I14,'Price List, Weapons &amp; Items'!B:L,COLUMN('Price List, Weapons &amp; Items'!$J$11)-1,0)</f>
        <v>Military media (incl. websites)</v>
      </c>
      <c r="AO14" s="1194" t="str">
        <f>IF(I14=".",".",VLOOKUP($I14,'Price List, Weapons &amp; Items'!B:J,3,0))</f>
        <v>Light Anti-armor Weapon (LAW)</v>
      </c>
      <c r="AP14" s="1195" t="str">
        <f t="shared" ca="1" si="6"/>
        <v>light anti-armor weapon</v>
      </c>
      <c r="AQ14" s="1194">
        <f>VLOOKUP($I14,'Price List, Weapons &amp; Items'!B:L,COLUMN('Price List, Weapons &amp; Items'!$L$11)-1,0)</f>
        <v>1</v>
      </c>
      <c r="AR14" s="1194">
        <f t="shared" si="18"/>
        <v>1</v>
      </c>
      <c r="AS14" s="1194">
        <f t="shared" si="19"/>
        <v>1</v>
      </c>
      <c r="AT14" s="1194">
        <f t="shared" si="20"/>
        <v>1</v>
      </c>
      <c r="AU14" s="1194" t="str">
        <f t="shared" si="21"/>
        <v>.</v>
      </c>
      <c r="AV14" s="1194" t="str">
        <f t="shared" si="11"/>
        <v>.</v>
      </c>
      <c r="AW14" s="1194" t="str">
        <f t="shared" si="22"/>
        <v>.</v>
      </c>
      <c r="AX14" s="1194">
        <f>IFERROR(VLOOKUP(B14,'Share, Heavy Weapons to Ukraine'!B:Z,COLUMN('Share, Heavy Weapons to Ukraine'!C24)-1,0),0)</f>
        <v>0</v>
      </c>
      <c r="AY14" s="1194">
        <f>VLOOKUP('Bilateral Assistance, MAIN DATA'!B14,'Country Summary (€)'!B:F,COLUMN('Country Summary (€)'!C25)-1,FALSE)</f>
        <v>0</v>
      </c>
      <c r="AZ14" s="1194" t="str">
        <f>IF(AND(AD14=1,D14="Military",H14&lt;&gt;"Not given")=TRUE,IF(SUMIFS(P:P,A:A,A14)&gt;0,ABS((SUMIFS(P:P,A:A,A14)/VLOOKUP("USD",'Exchange Rates'!B:C,2,0)))/S14,"."),".")</f>
        <v>.</v>
      </c>
      <c r="BA14" s="1196" t="str">
        <f>IF(AND(AD14=1,D14="Military",H14&lt;&gt;"Not given")=TRUE,IF(SUMIFS(P:P,A:A,A14)&gt;0,IF((ABS((SUMIFS(P:P,A:A,A14)/VLOOKUP("USD",'Exchange Rates'!B:C,2,0)))/S14)&gt;1,(SUMIFS(P:P,A:A,A14)-S14)/S14,(S14-SUMIFS(P:P,A:A,A14))/SUMIFS(P:P,A:A,A14)),"."),".")</f>
        <v>.</v>
      </c>
    </row>
    <row r="15" spans="1:53" ht="15.95" customHeight="1">
      <c r="A15" s="1182" t="s">
        <v>414</v>
      </c>
      <c r="B15" s="1182" t="s">
        <v>359</v>
      </c>
      <c r="C15" s="1181">
        <v>44659</v>
      </c>
      <c r="D15" s="1182" t="s">
        <v>389</v>
      </c>
      <c r="E15" s="1182" t="s">
        <v>390</v>
      </c>
      <c r="F15" s="1183" t="s">
        <v>415</v>
      </c>
      <c r="G15" s="1187" t="s">
        <v>363</v>
      </c>
      <c r="H15" s="1185">
        <v>26500000</v>
      </c>
      <c r="I15" s="1201" t="s">
        <v>420</v>
      </c>
      <c r="J15" s="1186" t="str">
        <f>VLOOKUP($I15,'Price List, Weapons &amp; Items'!B:C,2,0)</f>
        <v>Ammunition for portable defence system</v>
      </c>
      <c r="K15" s="1186" t="str">
        <f>IF(I15=".",I15,VLOOKUP($I15,'Price List, Weapons &amp; Items'!B:D,3,0))</f>
        <v>Light Anti-armor Weapon (LAW) ammunition</v>
      </c>
      <c r="L15" s="1187">
        <f>VLOOKUP(I15,'Price List, Weapons &amp; Items'!B:E,4,0)</f>
        <v>0</v>
      </c>
      <c r="M15" s="1188" t="s">
        <v>374</v>
      </c>
      <c r="N15" s="1188" t="s">
        <v>374</v>
      </c>
      <c r="O15" s="1188">
        <f>VLOOKUP($I15,'Price List, Weapons &amp; Items'!B:G,6,0)</f>
        <v>3661.76</v>
      </c>
      <c r="P15" s="1185" t="str">
        <f t="shared" si="13"/>
        <v>.</v>
      </c>
      <c r="Q15" s="1185" t="str">
        <f t="shared" si="14"/>
        <v>.</v>
      </c>
      <c r="R15" s="1185" t="str">
        <f t="shared" si="2"/>
        <v/>
      </c>
      <c r="S15" s="1185" t="str">
        <f>IF(AND(AD15=1,R15&lt;&gt;".")=TRUE,R15/VLOOKUP(G15,'Exchange Rates'!B:C,2,0),IF(R15=".",".",""))</f>
        <v/>
      </c>
      <c r="T15" s="1185" t="str">
        <f>IF(AD15=1,IF(AF15="Value is not given at all",".",IF(AF15="Value is given by the source",S15,IF(AF15="Value is calculated with prices",(IF(SUMIFS(Q:Q,A:A,A15)&gt;0,SUMIFS(Q:Q,A:A,A15),"."))/VLOOKUP("USD",'Exchange Rates'!B:C,2,0),"Error with coding"))),"")</f>
        <v/>
      </c>
      <c r="U15" s="1184" t="s">
        <v>365</v>
      </c>
      <c r="V15" s="974" t="s">
        <v>417</v>
      </c>
      <c r="W15" s="976" t="s">
        <v>418</v>
      </c>
      <c r="X15" s="1183" t="s">
        <v>364</v>
      </c>
      <c r="Y15" s="1183" t="s">
        <v>364</v>
      </c>
      <c r="Z15" s="1194">
        <v>0</v>
      </c>
      <c r="AA15" s="1194">
        <v>0</v>
      </c>
      <c r="AB15" s="977" t="s">
        <v>419</v>
      </c>
      <c r="AC15" s="1192" t="str">
        <f>""</f>
        <v/>
      </c>
      <c r="AD15" s="1193">
        <v>0</v>
      </c>
      <c r="AE15" s="1193" t="s">
        <v>368</v>
      </c>
      <c r="AF15" s="1193" t="s">
        <v>368</v>
      </c>
      <c r="AG15" s="1193">
        <v>1</v>
      </c>
      <c r="AH15" s="1193">
        <v>4</v>
      </c>
      <c r="AI15" s="1193">
        <v>0</v>
      </c>
      <c r="AJ15" s="1193">
        <f>VLOOKUP($I15,'Price List, Weapons &amp; Items'!B:F,5,0)</f>
        <v>0</v>
      </c>
      <c r="AK15" s="1193">
        <f t="shared" si="15"/>
        <v>0</v>
      </c>
      <c r="AL15" s="1193">
        <f t="shared" si="16"/>
        <v>0</v>
      </c>
      <c r="AM15" s="1193">
        <f t="shared" si="17"/>
        <v>1</v>
      </c>
      <c r="AN15" s="1194" t="str">
        <f>VLOOKUP($I15,'Price List, Weapons &amp; Items'!B:L,COLUMN('Price List, Weapons &amp; Items'!$J$11)-1,0)</f>
        <v>Miscellaneous</v>
      </c>
      <c r="AO15" s="1194" t="str">
        <f>IF(I15=".",".",VLOOKUP($I15,'Price List, Weapons &amp; Items'!B:J,3,0))</f>
        <v>Light Anti-armor Weapon (LAW) ammunition</v>
      </c>
      <c r="AP15" s="1195" t="str">
        <f t="shared" ca="1" si="6"/>
        <v/>
      </c>
      <c r="AQ15" s="1194" t="str">
        <f>VLOOKUP($I15,'Price List, Weapons &amp; Items'!B:L,COLUMN('Price List, Weapons &amp; Items'!$L$11)-1,0)</f>
        <v>no price, 0 count</v>
      </c>
      <c r="AR15" s="1194">
        <f t="shared" si="18"/>
        <v>1</v>
      </c>
      <c r="AS15" s="1194">
        <f t="shared" si="19"/>
        <v>1</v>
      </c>
      <c r="AT15" s="1194">
        <f t="shared" si="20"/>
        <v>1</v>
      </c>
      <c r="AU15" s="1194" t="str">
        <f t="shared" si="21"/>
        <v>.</v>
      </c>
      <c r="AV15" s="1194" t="str">
        <f t="shared" si="11"/>
        <v>.</v>
      </c>
      <c r="AW15" s="1194" t="str">
        <f t="shared" si="22"/>
        <v>.</v>
      </c>
      <c r="AX15" s="1194">
        <f>IFERROR(VLOOKUP(B15,'Share, Heavy Weapons to Ukraine'!B:Z,COLUMN('Share, Heavy Weapons to Ukraine'!C25)-1,0),0)</f>
        <v>0</v>
      </c>
      <c r="AY15" s="1194">
        <f>VLOOKUP('Bilateral Assistance, MAIN DATA'!B15,'Country Summary (€)'!B:F,COLUMN('Country Summary (€)'!C26)-1,FALSE)</f>
        <v>0</v>
      </c>
      <c r="AZ15" s="1194" t="str">
        <f>IF(AND(AD15=1,D15="Military",H15&lt;&gt;"Not given")=TRUE,IF(SUMIFS(P:P,A:A,A15)&gt;0,ABS((SUMIFS(P:P,A:A,A15)/VLOOKUP("USD",'Exchange Rates'!B:C,2,0)))/S15,"."),".")</f>
        <v>.</v>
      </c>
      <c r="BA15" s="1196" t="str">
        <f>IF(AND(AD15=1,D15="Military",H15&lt;&gt;"Not given")=TRUE,IF(SUMIFS(P:P,A:A,A15)&gt;0,IF((ABS((SUMIFS(P:P,A:A,A15)/VLOOKUP("USD",'Exchange Rates'!B:C,2,0)))/S15)&gt;1,(SUMIFS(P:P,A:A,A15)-S15)/S15,(S15-SUMIFS(P:P,A:A,A15))/SUMIFS(P:P,A:A,A15)),"."),".")</f>
        <v>.</v>
      </c>
    </row>
    <row r="16" spans="1:53" ht="15.95" customHeight="1">
      <c r="A16" s="1182" t="s">
        <v>421</v>
      </c>
      <c r="B16" s="1182" t="s">
        <v>359</v>
      </c>
      <c r="C16" s="1181">
        <v>44678</v>
      </c>
      <c r="D16" s="1182" t="s">
        <v>389</v>
      </c>
      <c r="E16" s="1182" t="s">
        <v>390</v>
      </c>
      <c r="F16" s="1183" t="s">
        <v>422</v>
      </c>
      <c r="G16" s="1184" t="s">
        <v>363</v>
      </c>
      <c r="H16" s="1185">
        <v>26700000</v>
      </c>
      <c r="I16" s="1201" t="s">
        <v>423</v>
      </c>
      <c r="J16" s="1186" t="str">
        <f>VLOOKUP($I16,'Price List, Weapons &amp; Items'!B:C,2,0)</f>
        <v>Heavy weapon</v>
      </c>
      <c r="K16" s="1186" t="str">
        <f>IF(I16=".",I16,VLOOKUP($I16,'Price List, Weapons &amp; Items'!B:D,3,0))</f>
        <v>155mm howitzer</v>
      </c>
      <c r="L16" s="1187">
        <f>VLOOKUP(I16,'Price List, Weapons &amp; Items'!B:E,4,0)</f>
        <v>0</v>
      </c>
      <c r="M16" s="1188">
        <v>6</v>
      </c>
      <c r="N16" s="1188">
        <v>6</v>
      </c>
      <c r="O16" s="1188">
        <f>VLOOKUP($I16,'Price List, Weapons &amp; Items'!B:G,6,0)</f>
        <v>5170000</v>
      </c>
      <c r="P16" s="1185">
        <f t="shared" si="13"/>
        <v>31020000</v>
      </c>
      <c r="Q16" s="1185">
        <f t="shared" si="14"/>
        <v>31020000</v>
      </c>
      <c r="R16" s="1185">
        <f t="shared" si="2"/>
        <v>26700000</v>
      </c>
      <c r="S16" s="1185">
        <f>IF(AND(AD16=1,R16&lt;&gt;".")=TRUE,R16/VLOOKUP(G16,'Exchange Rates'!B:C,2,0),IF(R16=".",".",""))</f>
        <v>16334271.381377706</v>
      </c>
      <c r="T16" s="1185">
        <f>IF(AD16=1,IF(AF16="Value is not given at all",".",IF(AF16="Value is given by the source",S16,IF(AF16="Value is calculated with prices",(IF(SUMIFS(Q:Q,A:A,A16)&gt;0,SUMIFS(Q:Q,A:A,A16),"."))/VLOOKUP("USD",'Exchange Rates'!B:C,2,0),"Error with coding"))),"")</f>
        <v>16334271.381377706</v>
      </c>
      <c r="U16" s="978" t="s">
        <v>365</v>
      </c>
      <c r="V16" s="974" t="s">
        <v>382</v>
      </c>
      <c r="W16" s="974" t="s">
        <v>424</v>
      </c>
      <c r="X16" s="1183" t="s">
        <v>364</v>
      </c>
      <c r="Y16" s="1183" t="s">
        <v>364</v>
      </c>
      <c r="Z16" s="1194">
        <v>0</v>
      </c>
      <c r="AA16" s="1194">
        <v>0</v>
      </c>
      <c r="AB16" s="977" t="s">
        <v>413</v>
      </c>
      <c r="AC16" s="1192" t="str">
        <f>""</f>
        <v/>
      </c>
      <c r="AD16" s="1193">
        <v>1</v>
      </c>
      <c r="AE16" s="1193" t="s">
        <v>368</v>
      </c>
      <c r="AF16" s="1193" t="s">
        <v>368</v>
      </c>
      <c r="AG16" s="1193">
        <v>1</v>
      </c>
      <c r="AH16" s="1193">
        <v>4</v>
      </c>
      <c r="AI16" s="1193">
        <v>0</v>
      </c>
      <c r="AJ16" s="1193">
        <f>VLOOKUP($I16,'Price List, Weapons &amp; Items'!B:F,5,0)</f>
        <v>1</v>
      </c>
      <c r="AK16" s="1193">
        <f t="shared" si="15"/>
        <v>0</v>
      </c>
      <c r="AL16" s="1193">
        <f t="shared" si="16"/>
        <v>0</v>
      </c>
      <c r="AM16" s="1193">
        <f t="shared" si="17"/>
        <v>0</v>
      </c>
      <c r="AN16" s="1194" t="str">
        <f>VLOOKUP($I16,'Price List, Weapons &amp; Items'!B:L,COLUMN('Price List, Weapons &amp; Items'!$J$11)-1,0)</f>
        <v>Military media (incl. websites)</v>
      </c>
      <c r="AO16" s="1194" t="str">
        <f>IF(I16=".",".",VLOOKUP($I16,'Price List, Weapons &amp; Items'!B:J,3,0))</f>
        <v>155mm howitzer</v>
      </c>
      <c r="AP16" s="1195" t="str">
        <f t="shared" ca="1" si="6"/>
        <v>M777 howitzer</v>
      </c>
      <c r="AQ16" s="1194">
        <f>VLOOKUP($I16,'Price List, Weapons &amp; Items'!B:L,COLUMN('Price List, Weapons &amp; Items'!$L$11)-1,0)</f>
        <v>2</v>
      </c>
      <c r="AR16" s="1194">
        <f t="shared" si="18"/>
        <v>1</v>
      </c>
      <c r="AS16" s="1194">
        <f t="shared" si="19"/>
        <v>1</v>
      </c>
      <c r="AT16" s="1194">
        <f t="shared" si="20"/>
        <v>1</v>
      </c>
      <c r="AU16" s="1194" t="str">
        <f t="shared" si="21"/>
        <v>.</v>
      </c>
      <c r="AV16" s="1194" t="str">
        <f t="shared" si="11"/>
        <v>.</v>
      </c>
      <c r="AW16" s="1194" t="str">
        <f t="shared" si="22"/>
        <v>.</v>
      </c>
      <c r="AX16" s="1194">
        <f>IFERROR(VLOOKUP(B16,'Share, Heavy Weapons to Ukraine'!B:Z,COLUMN('Share, Heavy Weapons to Ukraine'!C26)-1,0),0)</f>
        <v>0</v>
      </c>
      <c r="AY16" s="1194">
        <f>VLOOKUP('Bilateral Assistance, MAIN DATA'!B16,'Country Summary (€)'!B:F,COLUMN('Country Summary (€)'!C27)-1,FALSE)</f>
        <v>0</v>
      </c>
      <c r="AZ16" s="1194">
        <f>IF(AND(AD16=1,D16="Military",H16&lt;&gt;"Not given")=TRUE,IF(SUMIFS(P:P,A:A,A16)&gt;0,ABS((SUMIFS(P:P,A:A,A16)/VLOOKUP("USD",'Exchange Rates'!B:C,2,0)))/S16,"."),".")</f>
        <v>1.7474002638402404</v>
      </c>
      <c r="BA16" s="1196">
        <f>IF(AND(AD16=1,D16="Military",H16&lt;&gt;"Not given")=TRUE,IF(SUMIFS(P:P,A:A,A16)&gt;0,IF((ABS((SUMIFS(P:P,A:A,A16)/VLOOKUP("USD",'Exchange Rates'!B:C,2,0)))/S16)&gt;1,(SUMIFS(P:P,A:A,A16)-S16)/S16,(S16-SUMIFS(P:P,A:A,A16))/SUMIFS(P:P,A:A,A16)),"."),".")</f>
        <v>0.89907460674157313</v>
      </c>
    </row>
    <row r="17" spans="1:71" ht="15.95" customHeight="1">
      <c r="A17" s="1182" t="s">
        <v>421</v>
      </c>
      <c r="B17" s="1182" t="s">
        <v>359</v>
      </c>
      <c r="C17" s="1181">
        <v>44678</v>
      </c>
      <c r="D17" s="1182" t="s">
        <v>389</v>
      </c>
      <c r="E17" s="1182" t="s">
        <v>390</v>
      </c>
      <c r="F17" s="1183" t="s">
        <v>422</v>
      </c>
      <c r="G17" s="1184" t="s">
        <v>363</v>
      </c>
      <c r="H17" s="1185">
        <v>26700000</v>
      </c>
      <c r="I17" s="1201" t="s">
        <v>425</v>
      </c>
      <c r="J17" s="1186" t="str">
        <f>VLOOKUP($I17,'Price List, Weapons &amp; Items'!B:C,2,0)</f>
        <v>Ammunition for heavy weapon</v>
      </c>
      <c r="K17" s="1186" t="str">
        <f>IF(I17=".",I17,VLOOKUP($I17,'Price List, Weapons &amp; Items'!B:D,3,0))</f>
        <v>155mm howitzer ammunition</v>
      </c>
      <c r="L17" s="1187">
        <f>VLOOKUP(I17,'Price List, Weapons &amp; Items'!B:E,4,0)</f>
        <v>0</v>
      </c>
      <c r="M17" s="1188" t="s">
        <v>374</v>
      </c>
      <c r="N17" s="1188" t="s">
        <v>374</v>
      </c>
      <c r="O17" s="1188">
        <f>VLOOKUP($I17,'Price List, Weapons &amp; Items'!B:G,6,0)</f>
        <v>3800</v>
      </c>
      <c r="P17" s="1185" t="str">
        <f t="shared" si="13"/>
        <v>.</v>
      </c>
      <c r="Q17" s="1185" t="str">
        <f t="shared" si="14"/>
        <v>.</v>
      </c>
      <c r="R17" s="1185" t="str">
        <f t="shared" si="2"/>
        <v/>
      </c>
      <c r="S17" s="1185" t="str">
        <f>IF(AND(AD17=1,R17&lt;&gt;".")=TRUE,R17/VLOOKUP(G17,'Exchange Rates'!B:C,2,0),IF(R17=".",".",""))</f>
        <v/>
      </c>
      <c r="T17" s="1185" t="str">
        <f>IF(AD17=1,IF(AF17="Value is not given at all",".",IF(AF17="Value is given by the source",S17,IF(AF17="Value is calculated with prices",(IF(SUMIFS(Q:Q,A:A,A17)&gt;0,SUMIFS(Q:Q,A:A,A17),"."))/VLOOKUP("USD",'Exchange Rates'!B:C,2,0),"Error with coding"))),"")</f>
        <v/>
      </c>
      <c r="U17" s="978" t="s">
        <v>365</v>
      </c>
      <c r="V17" s="974" t="s">
        <v>382</v>
      </c>
      <c r="W17" s="974" t="s">
        <v>424</v>
      </c>
      <c r="X17" s="1183" t="s">
        <v>364</v>
      </c>
      <c r="Y17" s="1183" t="s">
        <v>364</v>
      </c>
      <c r="Z17" s="1194">
        <v>0</v>
      </c>
      <c r="AA17" s="1194">
        <v>0</v>
      </c>
      <c r="AB17" s="977" t="s">
        <v>413</v>
      </c>
      <c r="AC17" s="1192" t="str">
        <f>""</f>
        <v/>
      </c>
      <c r="AD17" s="1193">
        <v>0</v>
      </c>
      <c r="AE17" s="1193" t="s">
        <v>368</v>
      </c>
      <c r="AF17" s="1193" t="s">
        <v>368</v>
      </c>
      <c r="AG17" s="1193">
        <v>1</v>
      </c>
      <c r="AH17" s="1193">
        <v>4</v>
      </c>
      <c r="AI17" s="1193">
        <v>0</v>
      </c>
      <c r="AJ17" s="1193">
        <f>VLOOKUP($I17,'Price List, Weapons &amp; Items'!B:F,5,0)</f>
        <v>1</v>
      </c>
      <c r="AK17" s="1193">
        <f t="shared" si="15"/>
        <v>1</v>
      </c>
      <c r="AL17" s="1193">
        <f t="shared" si="16"/>
        <v>1</v>
      </c>
      <c r="AM17" s="1193">
        <f t="shared" si="17"/>
        <v>1</v>
      </c>
      <c r="AN17" s="1194" t="str">
        <f>VLOOKUP($I17,'Price List, Weapons &amp; Items'!B:L,COLUMN('Price List, Weapons &amp; Items'!$J$11)-1,0)</f>
        <v>Government information</v>
      </c>
      <c r="AO17" s="1194" t="str">
        <f>IF(I17=".",".",VLOOKUP($I17,'Price List, Weapons &amp; Items'!B:J,3,0))</f>
        <v>155mm howitzer ammunition</v>
      </c>
      <c r="AP17" s="1195" t="str">
        <f t="shared" ca="1" si="6"/>
        <v/>
      </c>
      <c r="AQ17" s="1194" t="str">
        <f>VLOOKUP($I17,'Price List, Weapons &amp; Items'!B:L,COLUMN('Price List, Weapons &amp; Items'!$L$11)-1,0)</f>
        <v>no price, 0 count</v>
      </c>
      <c r="AR17" s="1194">
        <f t="shared" si="18"/>
        <v>1</v>
      </c>
      <c r="AS17" s="1194">
        <f t="shared" si="19"/>
        <v>1</v>
      </c>
      <c r="AT17" s="1194">
        <f t="shared" si="20"/>
        <v>1</v>
      </c>
      <c r="AU17" s="1194" t="str">
        <f t="shared" si="21"/>
        <v>.</v>
      </c>
      <c r="AV17" s="1194" t="str">
        <f t="shared" si="11"/>
        <v>.</v>
      </c>
      <c r="AW17" s="1194" t="str">
        <f t="shared" si="22"/>
        <v>.</v>
      </c>
      <c r="AX17" s="1194">
        <f>IFERROR(VLOOKUP(B17,'Share, Heavy Weapons to Ukraine'!B:Z,COLUMN('Share, Heavy Weapons to Ukraine'!C27)-1,0),0)</f>
        <v>0</v>
      </c>
      <c r="AY17" s="1194">
        <f>VLOOKUP('Bilateral Assistance, MAIN DATA'!B17,'Country Summary (€)'!B:F,COLUMN('Country Summary (€)'!C28)-1,FALSE)</f>
        <v>0</v>
      </c>
      <c r="AZ17" s="1194" t="str">
        <f>IF(AND(AD17=1,D17="Military",H17&lt;&gt;"Not given")=TRUE,IF(SUMIFS(P:P,A:A,A17)&gt;0,ABS((SUMIFS(P:P,A:A,A17)/VLOOKUP("USD",'Exchange Rates'!B:C,2,0)))/S17,"."),".")</f>
        <v>.</v>
      </c>
      <c r="BA17" s="1196" t="str">
        <f>IF(AND(AD17=1,D17="Military",H17&lt;&gt;"Not given")=TRUE,IF(SUMIFS(P:P,A:A,A17)&gt;0,IF((ABS((SUMIFS(P:P,A:A,A17)/VLOOKUP("USD",'Exchange Rates'!B:C,2,0)))/S17)&gt;1,(SUMIFS(P:P,A:A,A17)-S17)/S17,(S17-SUMIFS(P:P,A:A,A17))/SUMIFS(P:P,A:A,A17)),"."),".")</f>
        <v>.</v>
      </c>
    </row>
    <row r="18" spans="1:71" ht="15.95" customHeight="1">
      <c r="A18" s="1182" t="s">
        <v>426</v>
      </c>
      <c r="B18" s="1182" t="s">
        <v>359</v>
      </c>
      <c r="C18" s="1181">
        <v>44700</v>
      </c>
      <c r="D18" s="1182" t="s">
        <v>389</v>
      </c>
      <c r="E18" s="1182" t="s">
        <v>390</v>
      </c>
      <c r="F18" s="1183" t="s">
        <v>427</v>
      </c>
      <c r="G18" s="1184" t="s">
        <v>363</v>
      </c>
      <c r="H18" s="1185">
        <v>60900000</v>
      </c>
      <c r="I18" s="1180" t="s">
        <v>428</v>
      </c>
      <c r="J18" s="1186" t="str">
        <f>VLOOKUP($I18,'Price List, Weapons &amp; Items'!B:C,2,0)</f>
        <v>Heavy weapon</v>
      </c>
      <c r="K18" s="1186" t="str">
        <f>IF(I18=".",I18,VLOOKUP($I18,'Price List, Weapons &amp; Items'!B:D,3,0))</f>
        <v>Armored Personnel Carrier (APC)</v>
      </c>
      <c r="L18" s="1187">
        <f>VLOOKUP(I18,'Price List, Weapons &amp; Items'!B:E,4,0)</f>
        <v>0</v>
      </c>
      <c r="M18" s="1188">
        <v>14</v>
      </c>
      <c r="N18" s="1188">
        <v>14</v>
      </c>
      <c r="O18" s="1188">
        <f>VLOOKUP($I18,'Price List, Weapons &amp; Items'!B:G,6,0)</f>
        <v>300000</v>
      </c>
      <c r="P18" s="1185">
        <f t="shared" si="13"/>
        <v>4200000</v>
      </c>
      <c r="Q18" s="1185">
        <f t="shared" si="14"/>
        <v>4200000</v>
      </c>
      <c r="R18" s="1185">
        <f t="shared" si="2"/>
        <v>60900000</v>
      </c>
      <c r="S18" s="1185">
        <f>IF(AND(AD18=1,R18&lt;&gt;".")=TRUE,R18/VLOOKUP(G18,'Exchange Rates'!B:C,2,0),IF(R18=".",".",""))</f>
        <v>37256821.240670502</v>
      </c>
      <c r="T18" s="1185">
        <f>IF(AD18=1,IF(AF18="Value is not given at all",".",IF(AF18="Value is given by the source",S18,IF(AF18="Value is calculated with prices",(IF(SUMIFS(Q:Q,A:A,A18)&gt;0,SUMIFS(Q:Q,A:A,A18),"."))/VLOOKUP("USD",'Exchange Rates'!B:C,2,0),"Error with coding"))),"")</f>
        <v>37256821.240670502</v>
      </c>
      <c r="U18" s="1184" t="s">
        <v>365</v>
      </c>
      <c r="V18" s="974" t="s">
        <v>429</v>
      </c>
      <c r="W18" s="974" t="s">
        <v>430</v>
      </c>
      <c r="X18" s="974" t="s">
        <v>431</v>
      </c>
      <c r="Y18" s="1183" t="s">
        <v>364</v>
      </c>
      <c r="Z18" s="1184">
        <v>0</v>
      </c>
      <c r="AA18" s="1194">
        <v>0</v>
      </c>
      <c r="AB18" s="977" t="s">
        <v>419</v>
      </c>
      <c r="AC18" s="1192" t="str">
        <f>""</f>
        <v/>
      </c>
      <c r="AD18" s="1193">
        <v>1</v>
      </c>
      <c r="AE18" s="1193" t="s">
        <v>368</v>
      </c>
      <c r="AF18" s="1193" t="s">
        <v>368</v>
      </c>
      <c r="AG18" s="1193">
        <v>1</v>
      </c>
      <c r="AH18" s="1193">
        <v>5</v>
      </c>
      <c r="AI18" s="1193">
        <v>0</v>
      </c>
      <c r="AJ18" s="1193">
        <f>VLOOKUP($I18,'Price List, Weapons &amp; Items'!B:F,5,0)</f>
        <v>1</v>
      </c>
      <c r="AK18" s="1193">
        <f t="shared" si="15"/>
        <v>0</v>
      </c>
      <c r="AL18" s="1193">
        <f t="shared" si="16"/>
        <v>0</v>
      </c>
      <c r="AM18" s="1193">
        <f t="shared" si="17"/>
        <v>0</v>
      </c>
      <c r="AN18" s="1194" t="str">
        <f>VLOOKUP($I18,'Price List, Weapons &amp; Items'!B:L,COLUMN('Price List, Weapons &amp; Items'!$J$11)-1,0)</f>
        <v>Military media (incl. websites)</v>
      </c>
      <c r="AO18" s="1194" t="str">
        <f>IF(I18=".",".",VLOOKUP($I18,'Price List, Weapons &amp; Items'!B:J,3,0))</f>
        <v>Armored Personnel Carrier (APC)</v>
      </c>
      <c r="AP18" s="1195" t="str">
        <f t="shared" ca="1" si="6"/>
        <v>M113 armored personnel carrier</v>
      </c>
      <c r="AQ18" s="1194">
        <f>VLOOKUP($I18,'Price List, Weapons &amp; Items'!B:L,COLUMN('Price List, Weapons &amp; Items'!$L$11)-1,0)</f>
        <v>2</v>
      </c>
      <c r="AR18" s="1194">
        <f t="shared" si="18"/>
        <v>1</v>
      </c>
      <c r="AS18" s="1194">
        <f t="shared" si="19"/>
        <v>1</v>
      </c>
      <c r="AT18" s="1194">
        <f t="shared" si="20"/>
        <v>1</v>
      </c>
      <c r="AU18" s="1194" t="str">
        <f t="shared" si="21"/>
        <v>.</v>
      </c>
      <c r="AV18" s="1194" t="str">
        <f t="shared" si="11"/>
        <v>.</v>
      </c>
      <c r="AW18" s="1194" t="str">
        <f t="shared" si="22"/>
        <v>.</v>
      </c>
      <c r="AX18" s="1194">
        <f>IFERROR(VLOOKUP(B18,'Share, Heavy Weapons to Ukraine'!B:Z,COLUMN('Share, Heavy Weapons to Ukraine'!C28)-1,0),0)</f>
        <v>0</v>
      </c>
      <c r="AY18" s="1194">
        <f>VLOOKUP('Bilateral Assistance, MAIN DATA'!B18,'Country Summary (€)'!B:F,COLUMN('Country Summary (€)'!C29)-1,FALSE)</f>
        <v>0</v>
      </c>
      <c r="AZ18" s="1194">
        <f>IF(AND(AD18=1,D18="Military",H18&lt;&gt;"Not given")=TRUE,IF(SUMIFS(P:P,A:A,A18)&gt;0,ABS((SUMIFS(P:P,A:A,A18)/VLOOKUP("USD",'Exchange Rates'!B:C,2,0)))/S18,"."),".")</f>
        <v>0.91872918370196044</v>
      </c>
      <c r="BA18" s="1196">
        <f>IF(AND(AD18=1,D18="Military",H18&lt;&gt;"Not given")=TRUE,IF(SUMIFS(P:P,A:A,A18)&gt;0,IF((ABS((SUMIFS(P:P,A:A,A18)/VLOOKUP("USD",'Exchange Rates'!B:C,2,0)))/S18)&gt;1,(SUMIFS(P:P,A:A,A18)-S18)/S18,(S18-SUMIFS(P:P,A:A,A18))/SUMIFS(P:P,A:A,A18)),"."),".")</f>
        <v>1.5274527061962953E-3</v>
      </c>
    </row>
    <row r="19" spans="1:71" ht="15.95" customHeight="1">
      <c r="A19" s="1182" t="s">
        <v>426</v>
      </c>
      <c r="B19" s="1182" t="s">
        <v>359</v>
      </c>
      <c r="C19" s="1181">
        <v>44700</v>
      </c>
      <c r="D19" s="1182" t="s">
        <v>389</v>
      </c>
      <c r="E19" s="1182" t="s">
        <v>390</v>
      </c>
      <c r="F19" s="1183" t="s">
        <v>427</v>
      </c>
      <c r="G19" s="1184" t="s">
        <v>363</v>
      </c>
      <c r="H19" s="1185">
        <v>60900000</v>
      </c>
      <c r="I19" s="1180" t="s">
        <v>410</v>
      </c>
      <c r="J19" s="1186" t="str">
        <f>VLOOKUP($I19,'Price List, Weapons &amp; Items'!B:C,2,0)</f>
        <v>Heavy weapon</v>
      </c>
      <c r="K19" s="1186" t="str">
        <f>IF(I19=".",I19,VLOOKUP($I19,'Price List, Weapons &amp; Items'!B:D,3,0))</f>
        <v>Armored Utility Vehicle (AUV)</v>
      </c>
      <c r="L19" s="1187">
        <f>VLOOKUP(I19,'Price List, Weapons &amp; Items'!B:E,4,0)</f>
        <v>0</v>
      </c>
      <c r="M19" s="1188">
        <v>20</v>
      </c>
      <c r="N19" s="1188">
        <v>20</v>
      </c>
      <c r="O19" s="1188">
        <f>VLOOKUP($I19,'Price List, Weapons &amp; Items'!B:G,6,0)</f>
        <v>1650000</v>
      </c>
      <c r="P19" s="1185">
        <f t="shared" si="13"/>
        <v>33000000</v>
      </c>
      <c r="Q19" s="1185">
        <f t="shared" si="14"/>
        <v>33000000</v>
      </c>
      <c r="R19" s="1185" t="str">
        <f t="shared" si="2"/>
        <v/>
      </c>
      <c r="S19" s="1185" t="str">
        <f>IF(AND(AD19=1,R19&lt;&gt;".")=TRUE,R19/VLOOKUP(G19,'Exchange Rates'!B:C,2,0),IF(R19=".",".",""))</f>
        <v/>
      </c>
      <c r="T19" s="1185" t="str">
        <f>IF(AD19=1,IF(AF19="Value is not given at all",".",IF(AF19="Value is given by the source",S19,IF(AF19="Value is calculated with prices",(IF(SUMIFS(Q:Q,A:A,A19)&gt;0,SUMIFS(Q:Q,A:A,A19),"."))/VLOOKUP("USD",'Exchange Rates'!B:C,2,0),"Error with coding"))),"")</f>
        <v/>
      </c>
      <c r="U19" s="1184" t="s">
        <v>365</v>
      </c>
      <c r="V19" s="974" t="s">
        <v>429</v>
      </c>
      <c r="W19" s="974" t="s">
        <v>430</v>
      </c>
      <c r="X19" s="974" t="s">
        <v>431</v>
      </c>
      <c r="Y19" s="1183" t="s">
        <v>364</v>
      </c>
      <c r="Z19" s="1184">
        <v>0</v>
      </c>
      <c r="AA19" s="1194">
        <v>0</v>
      </c>
      <c r="AB19" s="977" t="s">
        <v>419</v>
      </c>
      <c r="AC19" s="1192" t="str">
        <f>""</f>
        <v/>
      </c>
      <c r="AD19" s="1193">
        <v>0</v>
      </c>
      <c r="AE19" s="1193" t="s">
        <v>368</v>
      </c>
      <c r="AF19" s="1193" t="s">
        <v>368</v>
      </c>
      <c r="AG19" s="1193">
        <v>1</v>
      </c>
      <c r="AH19" s="1193">
        <v>5</v>
      </c>
      <c r="AI19" s="1193">
        <v>0</v>
      </c>
      <c r="AJ19" s="1193">
        <f>VLOOKUP($I19,'Price List, Weapons &amp; Items'!B:F,5,0)</f>
        <v>1</v>
      </c>
      <c r="AK19" s="1193">
        <f t="shared" si="15"/>
        <v>0</v>
      </c>
      <c r="AL19" s="1193">
        <f t="shared" si="16"/>
        <v>0</v>
      </c>
      <c r="AM19" s="1193">
        <f t="shared" si="17"/>
        <v>0</v>
      </c>
      <c r="AN19" s="1194" t="str">
        <f>VLOOKUP($I19,'Price List, Weapons &amp; Items'!B:L,COLUMN('Price List, Weapons &amp; Items'!$J$11)-1,0)</f>
        <v>Miscellaneous</v>
      </c>
      <c r="AO19" s="1194" t="str">
        <f>IF(I19=".",".",VLOOKUP($I19,'Price List, Weapons &amp; Items'!B:J,3,0))</f>
        <v>Armored Utility Vehicle (AUV)</v>
      </c>
      <c r="AP19" s="1195" t="str">
        <f t="shared" ca="1" si="6"/>
        <v/>
      </c>
      <c r="AQ19" s="1194">
        <f>VLOOKUP($I19,'Price List, Weapons &amp; Items'!B:L,COLUMN('Price List, Weapons &amp; Items'!$L$11)-1,0)</f>
        <v>2</v>
      </c>
      <c r="AR19" s="1194">
        <f t="shared" si="18"/>
        <v>1</v>
      </c>
      <c r="AS19" s="1194">
        <f t="shared" si="19"/>
        <v>1</v>
      </c>
      <c r="AT19" s="1194">
        <f t="shared" si="20"/>
        <v>1</v>
      </c>
      <c r="AU19" s="1194" t="str">
        <f t="shared" si="21"/>
        <v>.</v>
      </c>
      <c r="AV19" s="1194" t="str">
        <f t="shared" si="11"/>
        <v>.</v>
      </c>
      <c r="AW19" s="1194" t="str">
        <f t="shared" si="22"/>
        <v>.</v>
      </c>
      <c r="AX19" s="1194">
        <f>IFERROR(VLOOKUP(B19,'Share, Heavy Weapons to Ukraine'!B:Z,COLUMN('Share, Heavy Weapons to Ukraine'!C29)-1,0),0)</f>
        <v>0</v>
      </c>
      <c r="AY19" s="1194">
        <f>VLOOKUP('Bilateral Assistance, MAIN DATA'!B19,'Country Summary (€)'!B:F,COLUMN('Country Summary (€)'!C30)-1,FALSE)</f>
        <v>0</v>
      </c>
      <c r="AZ19" s="1194" t="str">
        <f>IF(AND(AD19=1,D19="Military",H19&lt;&gt;"Not given")=TRUE,IF(SUMIFS(P:P,A:A,A19)&gt;0,ABS((SUMIFS(P:P,A:A,A19)/VLOOKUP("USD",'Exchange Rates'!B:C,2,0)))/S19,"."),".")</f>
        <v>.</v>
      </c>
      <c r="BA19" s="1196" t="str">
        <f>IF(AND(AD19=1,D19="Military",H19&lt;&gt;"Not given")=TRUE,IF(SUMIFS(P:P,A:A,A19)&gt;0,IF((ABS((SUMIFS(P:P,A:A,A19)/VLOOKUP("USD",'Exchange Rates'!B:C,2,0)))/S19)&gt;1,(SUMIFS(P:P,A:A,A19)-S19)/S19,(S19-SUMIFS(P:P,A:A,A19))/SUMIFS(P:P,A:A,A19)),"."),".")</f>
        <v>.</v>
      </c>
    </row>
    <row r="20" spans="1:71" ht="15.95" customHeight="1">
      <c r="A20" s="1208" t="s">
        <v>432</v>
      </c>
      <c r="B20" s="1208" t="s">
        <v>359</v>
      </c>
      <c r="C20" s="1181">
        <v>44746</v>
      </c>
      <c r="D20" s="1208" t="s">
        <v>389</v>
      </c>
      <c r="E20" s="1208" t="s">
        <v>390</v>
      </c>
      <c r="F20" s="1208" t="s">
        <v>433</v>
      </c>
      <c r="G20" s="1184" t="s">
        <v>363</v>
      </c>
      <c r="H20" s="1185">
        <v>79500000</v>
      </c>
      <c r="I20" s="1208" t="s">
        <v>410</v>
      </c>
      <c r="J20" s="1186" t="str">
        <f>VLOOKUP($I20,'Price List, Weapons &amp; Items'!B:C,2,0)</f>
        <v>Heavy weapon</v>
      </c>
      <c r="K20" s="1186" t="str">
        <f>IF(I20=".",I20,VLOOKUP($I20,'Price List, Weapons &amp; Items'!B:D,3,0))</f>
        <v>Armored Utility Vehicle (AUV)</v>
      </c>
      <c r="L20" s="1187">
        <f>VLOOKUP(I20,'Price List, Weapons &amp; Items'!B:E,4,0)</f>
        <v>0</v>
      </c>
      <c r="M20" s="1241">
        <v>20</v>
      </c>
      <c r="N20" s="1211">
        <v>20</v>
      </c>
      <c r="O20" s="1188">
        <f>VLOOKUP($I20,'Price List, Weapons &amp; Items'!B:G,6,0)</f>
        <v>1650000</v>
      </c>
      <c r="P20" s="1185">
        <f t="shared" si="13"/>
        <v>33000000</v>
      </c>
      <c r="Q20" s="1185">
        <f t="shared" si="14"/>
        <v>33000000</v>
      </c>
      <c r="R20" s="1185">
        <f t="shared" si="2"/>
        <v>79500000</v>
      </c>
      <c r="S20" s="1185">
        <f>IF(AND(AD20=1,R20&lt;&gt;".")=TRUE,R20/VLOOKUP(G20,'Exchange Rates'!B:C,2,0),IF(R20=".",".",""))</f>
        <v>48635751.865899913</v>
      </c>
      <c r="T20" s="1185">
        <f>IF(AD20=1,IF(AF20="Value is not given at all",".",IF(AF20="Value is given by the source",S20,IF(AF20="Value is calculated with prices",(IF(SUMIFS(Q:Q,A:A,A20)&gt;0,SUMIFS(Q:Q,A:A,A20),"."))/VLOOKUP("USD",'Exchange Rates'!B:C,2,0),"Error with coding"))),"")</f>
        <v>34228928.965771072</v>
      </c>
      <c r="U20" s="1184" t="s">
        <v>365</v>
      </c>
      <c r="V20" s="979" t="s">
        <v>434</v>
      </c>
      <c r="W20" s="979" t="s">
        <v>435</v>
      </c>
      <c r="X20" s="1262" t="s">
        <v>431</v>
      </c>
      <c r="Y20" s="1208" t="s">
        <v>364</v>
      </c>
      <c r="Z20" s="1191">
        <v>0</v>
      </c>
      <c r="AA20" s="1194">
        <v>0</v>
      </c>
      <c r="AB20" s="979" t="s">
        <v>419</v>
      </c>
      <c r="AC20" s="1192" t="str">
        <f>""</f>
        <v/>
      </c>
      <c r="AD20" s="1191">
        <v>1</v>
      </c>
      <c r="AE20" s="1191" t="s">
        <v>368</v>
      </c>
      <c r="AF20" s="1191" t="s">
        <v>436</v>
      </c>
      <c r="AG20" s="1184">
        <v>1</v>
      </c>
      <c r="AH20" s="1184">
        <v>7</v>
      </c>
      <c r="AI20" s="1184">
        <v>0</v>
      </c>
      <c r="AJ20" s="1193">
        <f>VLOOKUP($I20,'Price List, Weapons &amp; Items'!B:F,5,0)</f>
        <v>1</v>
      </c>
      <c r="AK20" s="1193">
        <f t="shared" si="15"/>
        <v>0</v>
      </c>
      <c r="AL20" s="1193">
        <f t="shared" si="16"/>
        <v>0</v>
      </c>
      <c r="AM20" s="1193">
        <f t="shared" si="17"/>
        <v>0</v>
      </c>
      <c r="AN20" s="1194" t="str">
        <f>VLOOKUP($I20,'Price List, Weapons &amp; Items'!B:L,COLUMN('Price List, Weapons &amp; Items'!$J$11)-1,0)</f>
        <v>Miscellaneous</v>
      </c>
      <c r="AO20" s="1194" t="str">
        <f>IF(I20=".",".",VLOOKUP($I20,'Price List, Weapons &amp; Items'!B:J,3,0))</f>
        <v>Armored Utility Vehicle (AUV)</v>
      </c>
      <c r="AP20" s="1195" t="str">
        <f t="shared" ca="1" si="6"/>
        <v>Bushmaster Protected Mobility Vehicles</v>
      </c>
      <c r="AQ20" s="1194">
        <f>VLOOKUP($I20,'Price List, Weapons &amp; Items'!B:L,COLUMN('Price List, Weapons &amp; Items'!$L$11)-1,0)</f>
        <v>2</v>
      </c>
      <c r="AR20" s="1194">
        <f t="shared" si="18"/>
        <v>1</v>
      </c>
      <c r="AS20" s="1194">
        <f t="shared" si="19"/>
        <v>1</v>
      </c>
      <c r="AT20" s="1194">
        <f t="shared" si="20"/>
        <v>1</v>
      </c>
      <c r="AU20" s="1194" t="str">
        <f t="shared" si="21"/>
        <v>.</v>
      </c>
      <c r="AV20" s="1194" t="str">
        <f t="shared" si="11"/>
        <v>.</v>
      </c>
      <c r="AW20" s="1194" t="str">
        <f t="shared" si="22"/>
        <v>.</v>
      </c>
      <c r="AX20" s="1194">
        <f>IFERROR(VLOOKUP(B20,'Share, Heavy Weapons to Ukraine'!B:Z,COLUMN('Share, Heavy Weapons to Ukraine'!C30)-1,0),0)</f>
        <v>0</v>
      </c>
      <c r="AY20" s="1194">
        <f>VLOOKUP('Bilateral Assistance, MAIN DATA'!B20,'Country Summary (€)'!B:F,COLUMN('Country Summary (€)'!C31)-1,FALSE)</f>
        <v>0</v>
      </c>
      <c r="AZ20" s="1194">
        <f>IF(AND(AD20=1,D20="Military",H20&lt;&gt;"Not given")=TRUE,IF(SUMIFS(P:P,A:A,A20)&gt;0,ABS((SUMIFS(P:P,A:A,A20)/VLOOKUP("USD",'Exchange Rates'!B:C,2,0)))/S20,"."),".")</f>
        <v>0.70378122374150187</v>
      </c>
      <c r="BA20" s="1196">
        <f>IF(AND(AD20=1,D20="Military",H20&lt;&gt;"Not given")=TRUE,IF(SUMIFS(P:P,A:A,A20)&gt;0,IF((ABS((SUMIFS(P:P,A:A,A20)/VLOOKUP("USD",'Exchange Rates'!B:C,2,0)))/S20)&gt;1,(SUMIFS(P:P,A:A,A20)-S20)/S20,(S20-SUMIFS(P:P,A:A,A20))/SUMIFS(P:P,A:A,A20)),"."),".")</f>
        <v>0.30741268456720194</v>
      </c>
    </row>
    <row r="21" spans="1:71" ht="15.95" customHeight="1">
      <c r="A21" s="1182" t="s">
        <v>432</v>
      </c>
      <c r="B21" s="1182" t="s">
        <v>359</v>
      </c>
      <c r="C21" s="1181">
        <v>44746</v>
      </c>
      <c r="D21" s="1182" t="s">
        <v>389</v>
      </c>
      <c r="E21" s="1182" t="s">
        <v>390</v>
      </c>
      <c r="F21" s="1183" t="s">
        <v>433</v>
      </c>
      <c r="G21" s="1184" t="s">
        <v>363</v>
      </c>
      <c r="H21" s="1185">
        <v>79500000</v>
      </c>
      <c r="I21" s="1180" t="s">
        <v>428</v>
      </c>
      <c r="J21" s="1186" t="str">
        <f>VLOOKUP($I21,'Price List, Weapons &amp; Items'!B:C,2,0)</f>
        <v>Heavy weapon</v>
      </c>
      <c r="K21" s="1186" t="str">
        <f>IF(I21=".",I21,VLOOKUP($I21,'Price List, Weapons &amp; Items'!B:D,3,0))</f>
        <v>Armored Personnel Carrier (APC)</v>
      </c>
      <c r="L21" s="1187">
        <f>VLOOKUP(I21,'Price List, Weapons &amp; Items'!B:E,4,0)</f>
        <v>0</v>
      </c>
      <c r="M21" s="1188">
        <v>14</v>
      </c>
      <c r="N21" s="1188">
        <v>14</v>
      </c>
      <c r="O21" s="1188">
        <f>VLOOKUP($I21,'Price List, Weapons &amp; Items'!B:G,6,0)</f>
        <v>300000</v>
      </c>
      <c r="P21" s="1185">
        <f t="shared" si="13"/>
        <v>4200000</v>
      </c>
      <c r="Q21" s="1185">
        <f t="shared" si="14"/>
        <v>4200000</v>
      </c>
      <c r="R21" s="1185" t="str">
        <f t="shared" si="2"/>
        <v/>
      </c>
      <c r="S21" s="1185" t="str">
        <f>IF(AND(AD21=1,R21&lt;&gt;".")=TRUE,R21/VLOOKUP(G21,'Exchange Rates'!B:C,2,0),IF(R21=".",".",""))</f>
        <v/>
      </c>
      <c r="T21" s="1185" t="str">
        <f>IF(AD21=1,IF(AF21="Value is not given at all",".",IF(AF21="Value is given by the source",S21,IF(AF21="Value is calculated with prices",(IF(SUMIFS(Q:Q,A:A,A21)&gt;0,SUMIFS(Q:Q,A:A,A21),"."))/VLOOKUP("USD",'Exchange Rates'!B:C,2,0),"Error with coding"))),"")</f>
        <v/>
      </c>
      <c r="U21" s="1184" t="s">
        <v>365</v>
      </c>
      <c r="V21" s="974" t="s">
        <v>434</v>
      </c>
      <c r="W21" s="974" t="s">
        <v>435</v>
      </c>
      <c r="X21" s="974" t="s">
        <v>431</v>
      </c>
      <c r="Y21" s="1183" t="s">
        <v>364</v>
      </c>
      <c r="Z21" s="1184">
        <v>0</v>
      </c>
      <c r="AA21" s="1194">
        <v>0</v>
      </c>
      <c r="AB21" s="977" t="s">
        <v>419</v>
      </c>
      <c r="AC21" s="1192" t="str">
        <f>""</f>
        <v/>
      </c>
      <c r="AD21" s="1193">
        <v>0</v>
      </c>
      <c r="AE21" s="1193" t="s">
        <v>368</v>
      </c>
      <c r="AF21" s="1193" t="s">
        <v>369</v>
      </c>
      <c r="AG21" s="1193">
        <v>1</v>
      </c>
      <c r="AH21" s="1193">
        <v>7</v>
      </c>
      <c r="AI21" s="1193">
        <v>0</v>
      </c>
      <c r="AJ21" s="1193">
        <f>VLOOKUP($I21,'Price List, Weapons &amp; Items'!B:F,5,0)</f>
        <v>1</v>
      </c>
      <c r="AK21" s="1193">
        <f t="shared" si="15"/>
        <v>0</v>
      </c>
      <c r="AL21" s="1193">
        <f t="shared" si="16"/>
        <v>0</v>
      </c>
      <c r="AM21" s="1193">
        <f t="shared" si="17"/>
        <v>0</v>
      </c>
      <c r="AN21" s="1194" t="str">
        <f>VLOOKUP($I21,'Price List, Weapons &amp; Items'!B:L,COLUMN('Price List, Weapons &amp; Items'!$J$11)-1,0)</f>
        <v>Military media (incl. websites)</v>
      </c>
      <c r="AO21" s="1194" t="str">
        <f>IF(I21=".",".",VLOOKUP($I21,'Price List, Weapons &amp; Items'!B:J,3,0))</f>
        <v>Armored Personnel Carrier (APC)</v>
      </c>
      <c r="AP21" s="1195" t="str">
        <f t="shared" ca="1" si="6"/>
        <v/>
      </c>
      <c r="AQ21" s="1194">
        <f>VLOOKUP($I21,'Price List, Weapons &amp; Items'!B:L,COLUMN('Price List, Weapons &amp; Items'!$L$11)-1,0)</f>
        <v>2</v>
      </c>
      <c r="AR21" s="1194">
        <f t="shared" si="18"/>
        <v>1</v>
      </c>
      <c r="AS21" s="1194">
        <f t="shared" si="19"/>
        <v>1</v>
      </c>
      <c r="AT21" s="1194">
        <f t="shared" si="20"/>
        <v>1</v>
      </c>
      <c r="AU21" s="1194" t="str">
        <f t="shared" si="21"/>
        <v>.</v>
      </c>
      <c r="AV21" s="1194" t="str">
        <f t="shared" si="11"/>
        <v>.</v>
      </c>
      <c r="AW21" s="1194" t="str">
        <f t="shared" si="22"/>
        <v>.</v>
      </c>
      <c r="AX21" s="1194">
        <f>IFERROR(VLOOKUP(B21,'Share, Heavy Weapons to Ukraine'!B:Z,COLUMN('Share, Heavy Weapons to Ukraine'!C31)-1,0),0)</f>
        <v>0</v>
      </c>
      <c r="AY21" s="1194">
        <f>VLOOKUP('Bilateral Assistance, MAIN DATA'!B21,'Country Summary (€)'!B:F,COLUMN('Country Summary (€)'!C32)-1,FALSE)</f>
        <v>0</v>
      </c>
      <c r="AZ21" s="1194" t="str">
        <f>IF(AND(AD21=1,D21="Military",H21&lt;&gt;"Not given")=TRUE,IF(SUMIFS(P:P,A:A,A21)&gt;0,ABS((SUMIFS(P:P,A:A,A21)/VLOOKUP("USD",'Exchange Rates'!B:C,2,0)))/S21,"."),".")</f>
        <v>.</v>
      </c>
      <c r="BA21" s="1196" t="str">
        <f>IF(AND(AD21=1,D21="Military",H21&lt;&gt;"Not given")=TRUE,IF(SUMIFS(P:P,A:A,A21)&gt;0,IF((ABS((SUMIFS(P:P,A:A,A21)/VLOOKUP("USD",'Exchange Rates'!B:C,2,0)))/S21)&gt;1,(SUMIFS(P:P,A:A,A21)-S21)/S21,(S21-SUMIFS(P:P,A:A,A21))/SUMIFS(P:P,A:A,A21)),"."),".")</f>
        <v>.</v>
      </c>
    </row>
    <row r="22" spans="1:71" ht="15.95" customHeight="1">
      <c r="A22" s="1182" t="s">
        <v>432</v>
      </c>
      <c r="B22" s="1182" t="s">
        <v>359</v>
      </c>
      <c r="C22" s="1181">
        <v>44746</v>
      </c>
      <c r="D22" s="1182" t="s">
        <v>389</v>
      </c>
      <c r="E22" s="1182" t="s">
        <v>390</v>
      </c>
      <c r="F22" s="1183" t="s">
        <v>433</v>
      </c>
      <c r="G22" s="1184" t="s">
        <v>363</v>
      </c>
      <c r="H22" s="1185">
        <v>79500000</v>
      </c>
      <c r="I22" s="1180" t="s">
        <v>437</v>
      </c>
      <c r="J22" s="1186" t="str">
        <f>VLOOKUP($I22,'Price List, Weapons &amp; Items'!B:C,2,0)</f>
        <v>Military equipment</v>
      </c>
      <c r="K22" s="1186" t="str">
        <f>IF(I22=".",I22,VLOOKUP($I22,'Price List, Weapons &amp; Items'!B:D,3,0))</f>
        <v>Military equipment</v>
      </c>
      <c r="L22" s="1187">
        <f>VLOOKUP(I22,'Price List, Weapons &amp; Items'!B:E,4,0)</f>
        <v>0</v>
      </c>
      <c r="M22" s="1188" t="s">
        <v>374</v>
      </c>
      <c r="N22" s="1188" t="s">
        <v>374</v>
      </c>
      <c r="O22" s="1188" t="str">
        <f>VLOOKUP($I22,'Price List, Weapons &amp; Items'!B:G,6,0)</f>
        <v>.</v>
      </c>
      <c r="P22" s="1185" t="str">
        <f t="shared" si="13"/>
        <v>.</v>
      </c>
      <c r="Q22" s="1185" t="str">
        <f t="shared" si="14"/>
        <v>.</v>
      </c>
      <c r="R22" s="1185" t="str">
        <f t="shared" si="2"/>
        <v/>
      </c>
      <c r="S22" s="1185" t="str">
        <f>IF(AND(AD22=1,R22&lt;&gt;".")=TRUE,R22/VLOOKUP(G22,'Exchange Rates'!B:C,2,0),IF(R22=".",".",""))</f>
        <v/>
      </c>
      <c r="T22" s="1185" t="str">
        <f>IF(AD22=1,IF(AF22="Value is not given at all",".",IF(AF22="Value is given by the source",S22,IF(AF22="Value is calculated with prices",(IF(SUMIFS(Q:Q,A:A,A22)&gt;0,SUMIFS(Q:Q,A:A,A22),"."))/VLOOKUP("USD",'Exchange Rates'!B:C,2,0),"Error with coding"))),"")</f>
        <v/>
      </c>
      <c r="U22" s="1184" t="s">
        <v>365</v>
      </c>
      <c r="V22" s="974" t="s">
        <v>434</v>
      </c>
      <c r="W22" s="974" t="s">
        <v>435</v>
      </c>
      <c r="X22" s="974" t="s">
        <v>431</v>
      </c>
      <c r="Y22" s="1183" t="s">
        <v>364</v>
      </c>
      <c r="Z22" s="1184">
        <v>0</v>
      </c>
      <c r="AA22" s="1194">
        <v>0</v>
      </c>
      <c r="AB22" s="977" t="s">
        <v>419</v>
      </c>
      <c r="AC22" s="1192" t="str">
        <f>""</f>
        <v/>
      </c>
      <c r="AD22" s="1193">
        <v>0</v>
      </c>
      <c r="AE22" s="1193" t="s">
        <v>368</v>
      </c>
      <c r="AF22" s="1193" t="s">
        <v>369</v>
      </c>
      <c r="AG22" s="1193">
        <v>1</v>
      </c>
      <c r="AH22" s="1193">
        <v>7</v>
      </c>
      <c r="AI22" s="1193">
        <v>0</v>
      </c>
      <c r="AJ22" s="1193">
        <f>VLOOKUP($I22,'Price List, Weapons &amp; Items'!B:F,5,0)</f>
        <v>0</v>
      </c>
      <c r="AK22" s="1193">
        <f t="shared" si="15"/>
        <v>0</v>
      </c>
      <c r="AL22" s="1193">
        <f t="shared" si="16"/>
        <v>0</v>
      </c>
      <c r="AM22" s="1193">
        <f t="shared" si="17"/>
        <v>0</v>
      </c>
      <c r="AN22" s="1194" t="str">
        <f>VLOOKUP($I22,'Price List, Weapons &amp; Items'!B:L,COLUMN('Price List, Weapons &amp; Items'!$J$11)-1,0)</f>
        <v>.</v>
      </c>
      <c r="AO22" s="1194" t="str">
        <f>IF(I22=".",".",VLOOKUP($I22,'Price List, Weapons &amp; Items'!B:J,3,0))</f>
        <v>Military equipment</v>
      </c>
      <c r="AP22" s="1195" t="str">
        <f t="shared" ca="1" si="6"/>
        <v/>
      </c>
      <c r="AQ22" s="1194" t="str">
        <f>VLOOKUP($I22,'Price List, Weapons &amp; Items'!B:L,COLUMN('Price List, Weapons &amp; Items'!$L$11)-1,0)</f>
        <v>no price, 0 count</v>
      </c>
      <c r="AR22" s="1194">
        <f t="shared" si="18"/>
        <v>1</v>
      </c>
      <c r="AS22" s="1194">
        <f t="shared" si="19"/>
        <v>1</v>
      </c>
      <c r="AT22" s="1194">
        <f t="shared" si="20"/>
        <v>1</v>
      </c>
      <c r="AU22" s="1194" t="str">
        <f t="shared" si="21"/>
        <v>.</v>
      </c>
      <c r="AV22" s="1194" t="str">
        <f t="shared" si="11"/>
        <v>.</v>
      </c>
      <c r="AW22" s="1194" t="str">
        <f t="shared" si="22"/>
        <v>.</v>
      </c>
      <c r="AX22" s="1194">
        <f>IFERROR(VLOOKUP(B22,'Share, Heavy Weapons to Ukraine'!B:Z,COLUMN('Share, Heavy Weapons to Ukraine'!C32)-1,0),0)</f>
        <v>0</v>
      </c>
      <c r="AY22" s="1194">
        <f>VLOOKUP('Bilateral Assistance, MAIN DATA'!B22,'Country Summary (€)'!B:F,COLUMN('Country Summary (€)'!C33)-1,FALSE)</f>
        <v>0</v>
      </c>
      <c r="AZ22" s="1194" t="str">
        <f>IF(AND(AD22=1,D22="Military",H22&lt;&gt;"Not given")=TRUE,IF(SUMIFS(P:P,A:A,A22)&gt;0,ABS((SUMIFS(P:P,A:A,A22)/VLOOKUP("USD",'Exchange Rates'!B:C,2,0)))/S22,"."),".")</f>
        <v>.</v>
      </c>
      <c r="BA22" s="1196" t="str">
        <f>IF(AND(AD22=1,D22="Military",H22&lt;&gt;"Not given")=TRUE,IF(SUMIFS(P:P,A:A,A22)&gt;0,IF((ABS((SUMIFS(P:P,A:A,A22)/VLOOKUP("USD",'Exchange Rates'!B:C,2,0)))/S22)&gt;1,(SUMIFS(P:P,A:A,A22)-S22)/S22,(S22-SUMIFS(P:P,A:A,A22))/SUMIFS(P:P,A:A,A22)),"."),".")</f>
        <v>.</v>
      </c>
    </row>
    <row r="23" spans="1:71" ht="15.95" customHeight="1">
      <c r="A23" s="1182" t="s">
        <v>432</v>
      </c>
      <c r="B23" s="1182" t="s">
        <v>359</v>
      </c>
      <c r="C23" s="1181">
        <v>44746</v>
      </c>
      <c r="D23" s="1182" t="s">
        <v>389</v>
      </c>
      <c r="E23" s="1182" t="s">
        <v>390</v>
      </c>
      <c r="F23" s="1183" t="s">
        <v>433</v>
      </c>
      <c r="G23" s="1184" t="s">
        <v>363</v>
      </c>
      <c r="H23" s="1185">
        <v>79500000</v>
      </c>
      <c r="I23" s="1180" t="s">
        <v>438</v>
      </c>
      <c r="J23" s="1186" t="str">
        <f>VLOOKUP($I23,'Price List, Weapons &amp; Items'!B:C,2,0)</f>
        <v>Military equipment</v>
      </c>
      <c r="K23" s="1186" t="str">
        <f>IF(I23=".",I23,VLOOKUP($I23,'Price List, Weapons &amp; Items'!B:D,3,0))</f>
        <v>Military equipment</v>
      </c>
      <c r="L23" s="1187">
        <f>VLOOKUP(I23,'Price List, Weapons &amp; Items'!B:E,4,0)</f>
        <v>0</v>
      </c>
      <c r="M23" s="1188" t="s">
        <v>374</v>
      </c>
      <c r="N23" s="1188" t="s">
        <v>374</v>
      </c>
      <c r="O23" s="1188" t="str">
        <f>VLOOKUP($I23,'Price List, Weapons &amp; Items'!B:G,6,0)</f>
        <v>.</v>
      </c>
      <c r="P23" s="1185" t="str">
        <f t="shared" si="13"/>
        <v>.</v>
      </c>
      <c r="Q23" s="1185" t="str">
        <f t="shared" si="14"/>
        <v>.</v>
      </c>
      <c r="R23" s="1185" t="str">
        <f t="shared" si="2"/>
        <v/>
      </c>
      <c r="S23" s="1185" t="str">
        <f>IF(AND(AD23=1,R23&lt;&gt;".")=TRUE,R23/VLOOKUP(G23,'Exchange Rates'!B:C,2,0),IF(R23=".",".",""))</f>
        <v/>
      </c>
      <c r="T23" s="1185" t="str">
        <f>IF(AD23=1,IF(AF23="Value is not given at all",".",IF(AF23="Value is given by the source",S23,IF(AF23="Value is calculated with prices",(IF(SUMIFS(Q:Q,A:A,A23)&gt;0,SUMIFS(Q:Q,A:A,A23),"."))/VLOOKUP("USD",'Exchange Rates'!B:C,2,0),"Error with coding"))),"")</f>
        <v/>
      </c>
      <c r="U23" s="1184" t="s">
        <v>365</v>
      </c>
      <c r="V23" s="974" t="s">
        <v>434</v>
      </c>
      <c r="W23" s="974" t="s">
        <v>435</v>
      </c>
      <c r="X23" s="974" t="s">
        <v>431</v>
      </c>
      <c r="Y23" s="1183" t="s">
        <v>364</v>
      </c>
      <c r="Z23" s="1184">
        <v>0</v>
      </c>
      <c r="AA23" s="1194">
        <v>0</v>
      </c>
      <c r="AB23" s="977" t="s">
        <v>419</v>
      </c>
      <c r="AC23" s="1192" t="str">
        <f>""</f>
        <v/>
      </c>
      <c r="AD23" s="1193">
        <v>0</v>
      </c>
      <c r="AE23" s="1193" t="s">
        <v>368</v>
      </c>
      <c r="AF23" s="1193" t="s">
        <v>369</v>
      </c>
      <c r="AG23" s="1193">
        <v>1</v>
      </c>
      <c r="AH23" s="1193">
        <v>7</v>
      </c>
      <c r="AI23" s="1193">
        <v>0</v>
      </c>
      <c r="AJ23" s="1193">
        <f>VLOOKUP($I23,'Price List, Weapons &amp; Items'!B:F,5,0)</f>
        <v>0</v>
      </c>
      <c r="AK23" s="1193">
        <f t="shared" si="15"/>
        <v>0</v>
      </c>
      <c r="AL23" s="1193">
        <f t="shared" si="16"/>
        <v>0</v>
      </c>
      <c r="AM23" s="1193">
        <f t="shared" si="17"/>
        <v>0</v>
      </c>
      <c r="AN23" s="1194" t="str">
        <f>VLOOKUP($I23,'Price List, Weapons &amp; Items'!B:L,COLUMN('Price List, Weapons &amp; Items'!$J$11)-1,0)</f>
        <v>.</v>
      </c>
      <c r="AO23" s="1194" t="str">
        <f>IF(I23=".",".",VLOOKUP($I23,'Price List, Weapons &amp; Items'!B:J,3,0))</f>
        <v>Military equipment</v>
      </c>
      <c r="AP23" s="1195" t="str">
        <f t="shared" ca="1" si="6"/>
        <v/>
      </c>
      <c r="AQ23" s="1194" t="str">
        <f>VLOOKUP($I23,'Price List, Weapons &amp; Items'!B:L,COLUMN('Price List, Weapons &amp; Items'!$L$11)-1,0)</f>
        <v>no price, 0 count</v>
      </c>
      <c r="AR23" s="1194">
        <f t="shared" si="18"/>
        <v>1</v>
      </c>
      <c r="AS23" s="1194">
        <f t="shared" si="19"/>
        <v>1</v>
      </c>
      <c r="AT23" s="1194">
        <f t="shared" si="20"/>
        <v>1</v>
      </c>
      <c r="AU23" s="1194" t="str">
        <f t="shared" si="21"/>
        <v>.</v>
      </c>
      <c r="AV23" s="1194" t="str">
        <f t="shared" si="11"/>
        <v>.</v>
      </c>
      <c r="AW23" s="1194" t="str">
        <f t="shared" si="22"/>
        <v>.</v>
      </c>
      <c r="AX23" s="1194">
        <f>IFERROR(VLOOKUP(B23,'Share, Heavy Weapons to Ukraine'!B:Z,COLUMN('Share, Heavy Weapons to Ukraine'!C33)-1,0),0)</f>
        <v>0</v>
      </c>
      <c r="AY23" s="1194">
        <f>VLOOKUP('Bilateral Assistance, MAIN DATA'!B23,'Country Summary (€)'!B:F,COLUMN('Country Summary (€)'!C34)-1,FALSE)</f>
        <v>0</v>
      </c>
      <c r="AZ23" s="1194" t="str">
        <f>IF(AND(AD23=1,D23="Military",H23&lt;&gt;"Not given")=TRUE,IF(SUMIFS(P:P,A:A,A23)&gt;0,ABS((SUMIFS(P:P,A:A,A23)/VLOOKUP("USD",'Exchange Rates'!B:C,2,0)))/S23,"."),".")</f>
        <v>.</v>
      </c>
      <c r="BA23" s="1196" t="str">
        <f>IF(AND(AD23=1,D23="Military",H23&lt;&gt;"Not given")=TRUE,IF(SUMIFS(P:P,A:A,A23)&gt;0,IF((ABS((SUMIFS(P:P,A:A,A23)/VLOOKUP("USD",'Exchange Rates'!B:C,2,0)))/S23)&gt;1,(SUMIFS(P:P,A:A,A23)-S23)/S23,(S23-SUMIFS(P:P,A:A,A23))/SUMIFS(P:P,A:A,A23)),"."),".")</f>
        <v>.</v>
      </c>
    </row>
    <row r="24" spans="1:71" ht="15.95" customHeight="1">
      <c r="A24" s="1180" t="s">
        <v>439</v>
      </c>
      <c r="B24" s="1180" t="s">
        <v>359</v>
      </c>
      <c r="C24" s="1181">
        <v>44746</v>
      </c>
      <c r="D24" s="1182" t="s">
        <v>389</v>
      </c>
      <c r="E24" s="1182" t="s">
        <v>361</v>
      </c>
      <c r="F24" s="1183" t="s">
        <v>440</v>
      </c>
      <c r="G24" s="1184" t="s">
        <v>363</v>
      </c>
      <c r="H24" s="1185">
        <v>8700000</v>
      </c>
      <c r="I24" s="1180" t="s">
        <v>364</v>
      </c>
      <c r="J24" s="1186" t="str">
        <f>VLOOKUP($I24,'Price List, Weapons &amp; Items'!B:C,2,0)</f>
        <v>.</v>
      </c>
      <c r="K24" s="1186" t="str">
        <f>IF(I24=".",I24,VLOOKUP($I24,'Price List, Weapons &amp; Items'!B:D,3,0))</f>
        <v>.</v>
      </c>
      <c r="L24" s="1187">
        <f>VLOOKUP(I24,'Price List, Weapons &amp; Items'!B:E,4,0)</f>
        <v>0</v>
      </c>
      <c r="M24" s="1188" t="s">
        <v>364</v>
      </c>
      <c r="N24" s="1188" t="s">
        <v>364</v>
      </c>
      <c r="O24" s="1188" t="str">
        <f>VLOOKUP($I24,'Price List, Weapons &amp; Items'!B:G,6,0)</f>
        <v>.</v>
      </c>
      <c r="P24" s="1185" t="str">
        <f t="shared" si="13"/>
        <v>.</v>
      </c>
      <c r="Q24" s="1185" t="str">
        <f t="shared" si="14"/>
        <v>.</v>
      </c>
      <c r="R24" s="1185">
        <f t="shared" si="2"/>
        <v>8700000</v>
      </c>
      <c r="S24" s="1185">
        <f>IF(AND(AD24=1,R24&lt;&gt;".")=TRUE,R24/VLOOKUP(G24,'Exchange Rates'!B:C,2,0),IF(R24=".",".",""))</f>
        <v>5322403.0343814995</v>
      </c>
      <c r="T24" s="1185" t="str">
        <f>IF(AD24=1,IF(AF24="Value is not given at all",".",IF(AF24="Value is given by the source",S24,IF(AF24="Value is calculated with prices",(IF(SUMIFS(Q:Q,A:A,A24)&gt;0,SUMIFS(Q:Q,A:A,A24),"."))/VLOOKUP("USD",'Exchange Rates'!B:C,2,0),"Error with coding"))),"")</f>
        <v>.</v>
      </c>
      <c r="U24" s="1184" t="s">
        <v>365</v>
      </c>
      <c r="V24" s="971" t="s">
        <v>434</v>
      </c>
      <c r="W24" s="971" t="s">
        <v>435</v>
      </c>
      <c r="X24" s="971" t="s">
        <v>431</v>
      </c>
      <c r="Y24" s="972" t="s">
        <v>378</v>
      </c>
      <c r="Z24" s="1184">
        <v>0</v>
      </c>
      <c r="AA24" s="1194">
        <v>0</v>
      </c>
      <c r="AB24" s="977" t="s">
        <v>419</v>
      </c>
      <c r="AC24" s="1192" t="str">
        <f>""</f>
        <v/>
      </c>
      <c r="AD24" s="1193">
        <v>1</v>
      </c>
      <c r="AE24" s="1193" t="s">
        <v>368</v>
      </c>
      <c r="AF24" s="1193" t="s">
        <v>369</v>
      </c>
      <c r="AG24" s="1193">
        <v>1</v>
      </c>
      <c r="AH24" s="1193">
        <v>7</v>
      </c>
      <c r="AI24" s="1193">
        <v>0</v>
      </c>
      <c r="AJ24" s="1193">
        <f>VLOOKUP($I24,'Price List, Weapons &amp; Items'!B:F,5,0)</f>
        <v>0</v>
      </c>
      <c r="AK24" s="1193">
        <f t="shared" si="15"/>
        <v>0</v>
      </c>
      <c r="AL24" s="1193">
        <f t="shared" si="16"/>
        <v>0</v>
      </c>
      <c r="AM24" s="1193">
        <f t="shared" si="17"/>
        <v>0</v>
      </c>
      <c r="AN24" s="1194" t="str">
        <f>VLOOKUP($I24,'Price List, Weapons &amp; Items'!B:L,COLUMN('Price List, Weapons &amp; Items'!$J$11)-1,0)</f>
        <v>.</v>
      </c>
      <c r="AO24" s="1194" t="str">
        <f>IF(I24=".",".",VLOOKUP($I24,'Price List, Weapons &amp; Items'!B:J,3,0))</f>
        <v>.</v>
      </c>
      <c r="AP24" s="1195" t="str">
        <f t="shared" ca="1" si="6"/>
        <v>.</v>
      </c>
      <c r="AQ24" s="1194">
        <f>VLOOKUP($I24,'Price List, Weapons &amp; Items'!B:L,COLUMN('Price List, Weapons &amp; Items'!$L$11)-1,0)</f>
        <v>0</v>
      </c>
      <c r="AR24" s="1194">
        <f t="shared" si="18"/>
        <v>1</v>
      </c>
      <c r="AS24" s="1194">
        <f t="shared" si="19"/>
        <v>0</v>
      </c>
      <c r="AT24" s="1194">
        <f t="shared" si="20"/>
        <v>1</v>
      </c>
      <c r="AU24" s="1194" t="str">
        <f t="shared" si="21"/>
        <v>.</v>
      </c>
      <c r="AV24" s="1194" t="str">
        <f t="shared" si="11"/>
        <v>.</v>
      </c>
      <c r="AW24" s="1194" t="str">
        <f t="shared" si="22"/>
        <v>.</v>
      </c>
      <c r="AX24" s="1194">
        <f>IFERROR(VLOOKUP(B24,'Share, Heavy Weapons to Ukraine'!B:Z,COLUMN('Share, Heavy Weapons to Ukraine'!C34)-1,0),0)</f>
        <v>0</v>
      </c>
      <c r="AY24" s="1194">
        <f>VLOOKUP('Bilateral Assistance, MAIN DATA'!B24,'Country Summary (€)'!B:F,COLUMN('Country Summary (€)'!C35)-1,FALSE)</f>
        <v>0</v>
      </c>
      <c r="AZ24" s="1194" t="str">
        <f>IF(AND(AD24=1,D24="Military",H24&lt;&gt;"Not given")=TRUE,IF(SUMIFS(P:P,A:A,A24)&gt;0,ABS((SUMIFS(P:P,A:A,A24)/VLOOKUP("USD",'Exchange Rates'!B:C,2,0)))/S24,"."),".")</f>
        <v>.</v>
      </c>
      <c r="BA24" s="1196" t="str">
        <f>IF(AND(AD24=1,D24="Military",H24&lt;&gt;"Not given")=TRUE,IF(SUMIFS(P:P,A:A,A24)&gt;0,IF((ABS((SUMIFS(P:P,A:A,A24)/VLOOKUP("USD",'Exchange Rates'!B:C,2,0)))/S24)&gt;1,(SUMIFS(P:P,A:A,A24)-S24)/S24,(S24-SUMIFS(P:P,A:A,A24))/SUMIFS(P:P,A:A,A24)),"."),".")</f>
        <v>.</v>
      </c>
    </row>
    <row r="25" spans="1:71" ht="15.95" customHeight="1">
      <c r="A25" s="1180" t="s">
        <v>441</v>
      </c>
      <c r="B25" s="1180" t="s">
        <v>359</v>
      </c>
      <c r="C25" s="1181">
        <v>44859</v>
      </c>
      <c r="D25" s="1182" t="s">
        <v>389</v>
      </c>
      <c r="E25" s="1182" t="s">
        <v>390</v>
      </c>
      <c r="F25" s="1183" t="s">
        <v>442</v>
      </c>
      <c r="G25" s="1184" t="s">
        <v>363</v>
      </c>
      <c r="H25" s="1185">
        <v>186000000</v>
      </c>
      <c r="I25" s="1180" t="s">
        <v>364</v>
      </c>
      <c r="J25" s="1186" t="str">
        <f>VLOOKUP($I25,'Price List, Weapons &amp; Items'!B:C,2,0)</f>
        <v>.</v>
      </c>
      <c r="K25" s="1186" t="str">
        <f>IF(I25=".",I25,VLOOKUP($I25,'Price List, Weapons &amp; Items'!B:D,3,0))</f>
        <v>.</v>
      </c>
      <c r="L25" s="1187">
        <f>VLOOKUP(I25,'Price List, Weapons &amp; Items'!B:E,4,0)</f>
        <v>0</v>
      </c>
      <c r="M25" s="1188" t="s">
        <v>364</v>
      </c>
      <c r="N25" s="1188" t="s">
        <v>364</v>
      </c>
      <c r="O25" s="1188" t="str">
        <f>VLOOKUP($I25,'Price List, Weapons &amp; Items'!B:G,6,0)</f>
        <v>.</v>
      </c>
      <c r="P25" s="1185" t="str">
        <f t="shared" si="13"/>
        <v>.</v>
      </c>
      <c r="Q25" s="1185" t="str">
        <f t="shared" si="14"/>
        <v>.</v>
      </c>
      <c r="R25" s="1185">
        <f t="shared" si="2"/>
        <v>186000000</v>
      </c>
      <c r="S25" s="1185">
        <f>IF(AND(AD25=1,R25&lt;&gt;".")=TRUE,R25/VLOOKUP(G25,'Exchange Rates'!B:C,2,0),IF(R25=".",".",""))</f>
        <v>113789306.25229414</v>
      </c>
      <c r="T25" s="1185" t="str">
        <f>IF(AD25=1,IF(AF25="Value is not given at all",".",IF(AF25="Value is given by the source",S25,IF(AF25="Value is calculated with prices",(IF(SUMIFS(Q:Q,A:A,A25)&gt;0,SUMIFS(Q:Q,A:A,A25),"."))/VLOOKUP("USD",'Exchange Rates'!B:C,2,0),"Error with coding"))),"")</f>
        <v>.</v>
      </c>
      <c r="U25" s="1184" t="s">
        <v>365</v>
      </c>
      <c r="V25" s="972" t="s">
        <v>386</v>
      </c>
      <c r="W25" s="980" t="s">
        <v>387</v>
      </c>
      <c r="X25" s="1190" t="s">
        <v>364</v>
      </c>
      <c r="Y25" s="1190" t="s">
        <v>364</v>
      </c>
      <c r="Z25" s="1184">
        <v>0</v>
      </c>
      <c r="AA25" s="1194">
        <v>0</v>
      </c>
      <c r="AB25" s="1201" t="s">
        <v>364</v>
      </c>
      <c r="AC25" s="1192" t="str">
        <f>""</f>
        <v/>
      </c>
      <c r="AD25" s="1194">
        <v>1</v>
      </c>
      <c r="AE25" s="1193" t="s">
        <v>368</v>
      </c>
      <c r="AF25" s="1193" t="s">
        <v>369</v>
      </c>
      <c r="AG25" s="1194">
        <v>1</v>
      </c>
      <c r="AH25" s="1194">
        <v>10</v>
      </c>
      <c r="AI25" s="1194">
        <v>0</v>
      </c>
      <c r="AJ25" s="1193">
        <f>VLOOKUP($I25,'Price List, Weapons &amp; Items'!B:F,5,0)</f>
        <v>0</v>
      </c>
      <c r="AK25" s="1193">
        <f t="shared" si="15"/>
        <v>0</v>
      </c>
      <c r="AL25" s="1193">
        <f t="shared" si="16"/>
        <v>0</v>
      </c>
      <c r="AM25" s="1193">
        <f t="shared" si="17"/>
        <v>0</v>
      </c>
      <c r="AN25" s="1194" t="str">
        <f>VLOOKUP($I25,'Price List, Weapons &amp; Items'!B:L,COLUMN('Price List, Weapons &amp; Items'!$J$11)-1,0)</f>
        <v>.</v>
      </c>
      <c r="AO25" s="1194" t="str">
        <f>IF(I25=".",".",VLOOKUP($I25,'Price List, Weapons &amp; Items'!B:J,3,0))</f>
        <v>.</v>
      </c>
      <c r="AP25" s="1195" t="str">
        <f t="shared" ca="1" si="6"/>
        <v>.</v>
      </c>
      <c r="AQ25" s="1194">
        <f>VLOOKUP($I25,'Price List, Weapons &amp; Items'!B:L,COLUMN('Price List, Weapons &amp; Items'!$L$11)-1,0)</f>
        <v>0</v>
      </c>
      <c r="AR25" s="1194">
        <f t="shared" si="18"/>
        <v>1</v>
      </c>
      <c r="AS25" s="1194">
        <f t="shared" si="19"/>
        <v>1</v>
      </c>
      <c r="AT25" s="1194">
        <f t="shared" si="20"/>
        <v>1</v>
      </c>
      <c r="AU25" s="1194" t="str">
        <f t="shared" si="21"/>
        <v>.</v>
      </c>
      <c r="AV25" s="1194" t="str">
        <f t="shared" si="11"/>
        <v>.</v>
      </c>
      <c r="AW25" s="1194" t="str">
        <f t="shared" si="22"/>
        <v>.</v>
      </c>
      <c r="AX25" s="1194">
        <f>IFERROR(VLOOKUP(B25,'Share, Heavy Weapons to Ukraine'!B:Z,COLUMN('Share, Heavy Weapons to Ukraine'!C35)-1,0),0)</f>
        <v>0</v>
      </c>
      <c r="AY25" s="1194">
        <f>VLOOKUP('Bilateral Assistance, MAIN DATA'!B25,'Country Summary (€)'!B:F,COLUMN('Country Summary (€)'!C36)-1,FALSE)</f>
        <v>0</v>
      </c>
      <c r="AZ25" s="1194">
        <f>IF(AND(AD25=1,D25="Military",H25&lt;&gt;"Not given")=TRUE,IF(SUMIFS(P:P,A:A,A25)&gt;0,ABS((SUMIFS(P:P,A:A,A25)/VLOOKUP("USD",'Exchange Rates'!B:C,2,0)))/S25,"."),".")</f>
        <v>0.40027099386182574</v>
      </c>
      <c r="BA25" s="1196">
        <f>IF(AND(AD25=1,D25="Military",H25&lt;&gt;"Not given")=TRUE,IF(SUMIFS(P:P,A:A,A25)&gt;0,IF((ABS((SUMIFS(P:P,A:A,A25)/VLOOKUP("USD",'Exchange Rates'!B:C,2,0)))/S25)&gt;1,(SUMIFS(P:P,A:A,A25)-S25)/S25,(S25-SUMIFS(P:P,A:A,A25))/SUMIFS(P:P,A:A,A25)),"."),".")</f>
        <v>1.2987738636827098</v>
      </c>
    </row>
    <row r="26" spans="1:71" ht="15.95" customHeight="1">
      <c r="A26" s="1180" t="s">
        <v>441</v>
      </c>
      <c r="B26" s="1180" t="s">
        <v>359</v>
      </c>
      <c r="C26" s="1181">
        <v>44861</v>
      </c>
      <c r="D26" s="1182" t="s">
        <v>389</v>
      </c>
      <c r="E26" s="1182" t="s">
        <v>443</v>
      </c>
      <c r="F26" s="1183" t="s">
        <v>444</v>
      </c>
      <c r="G26" s="1184" t="s">
        <v>363</v>
      </c>
      <c r="H26" s="1185">
        <v>186000000</v>
      </c>
      <c r="I26" s="1180" t="s">
        <v>410</v>
      </c>
      <c r="J26" s="1186" t="str">
        <f>VLOOKUP($I26,'Price List, Weapons &amp; Items'!B:C,2,0)</f>
        <v>Heavy weapon</v>
      </c>
      <c r="K26" s="1186" t="str">
        <f>IF(I26=".",I26,VLOOKUP($I26,'Price List, Weapons &amp; Items'!B:D,3,0))</f>
        <v>Armored Utility Vehicle (AUV)</v>
      </c>
      <c r="L26" s="1187">
        <f>VLOOKUP(I26,'Price List, Weapons &amp; Items'!B:E,4,0)</f>
        <v>0</v>
      </c>
      <c r="M26" s="1188">
        <v>30</v>
      </c>
      <c r="N26" s="1188">
        <v>30</v>
      </c>
      <c r="O26" s="1188">
        <f>VLOOKUP($I26,'Price List, Weapons &amp; Items'!B:G,6,0)</f>
        <v>1650000</v>
      </c>
      <c r="P26" s="1185">
        <f t="shared" si="13"/>
        <v>49500000</v>
      </c>
      <c r="Q26" s="1185">
        <f t="shared" si="14"/>
        <v>49500000</v>
      </c>
      <c r="R26" s="1185" t="str">
        <f t="shared" si="2"/>
        <v/>
      </c>
      <c r="S26" s="1185" t="str">
        <f>IF(AND(AD26=1,R26&lt;&gt;".")=TRUE,R26/VLOOKUP(G26,'Exchange Rates'!B:C,2,0),IF(R26=".",".",""))</f>
        <v/>
      </c>
      <c r="T26" s="1185" t="str">
        <f>IF(AD26=1,IF(AF26="Value is not given at all",".",IF(AF26="Value is given by the source",S26,IF(AF26="Value is calculated with prices",(IF(SUMIFS(Q:Q,A:A,A26)&gt;0,SUMIFS(Q:Q,A:A,A26),"."))/VLOOKUP("USD",'Exchange Rates'!B:C,2,0),"Error with coding"))),"")</f>
        <v/>
      </c>
      <c r="U26" s="1184" t="s">
        <v>365</v>
      </c>
      <c r="V26" s="966" t="s">
        <v>386</v>
      </c>
      <c r="W26" s="973" t="s">
        <v>445</v>
      </c>
      <c r="X26" s="973" t="s">
        <v>446</v>
      </c>
      <c r="Y26" s="981" t="s">
        <v>364</v>
      </c>
      <c r="Z26" s="1184">
        <v>0</v>
      </c>
      <c r="AA26" s="1194">
        <v>0</v>
      </c>
      <c r="AB26" s="982" t="s">
        <v>447</v>
      </c>
      <c r="AC26" s="1192" t="str">
        <f>""</f>
        <v/>
      </c>
      <c r="AD26" s="1193">
        <v>0</v>
      </c>
      <c r="AE26" s="1193" t="s">
        <v>436</v>
      </c>
      <c r="AF26" s="1193" t="s">
        <v>369</v>
      </c>
      <c r="AG26" s="1193">
        <v>1</v>
      </c>
      <c r="AH26" s="1193">
        <v>10</v>
      </c>
      <c r="AI26" s="1193">
        <v>0</v>
      </c>
      <c r="AJ26" s="1193">
        <f>VLOOKUP($I26,'Price List, Weapons &amp; Items'!B:F,5,0)</f>
        <v>1</v>
      </c>
      <c r="AK26" s="1193">
        <f t="shared" si="15"/>
        <v>0</v>
      </c>
      <c r="AL26" s="1193">
        <f t="shared" si="16"/>
        <v>0</v>
      </c>
      <c r="AM26" s="1193">
        <f t="shared" si="17"/>
        <v>0</v>
      </c>
      <c r="AN26" s="1194" t="str">
        <f>VLOOKUP($I26,'Price List, Weapons &amp; Items'!B:L,COLUMN('Price List, Weapons &amp; Items'!$J$11)-1,0)</f>
        <v>Miscellaneous</v>
      </c>
      <c r="AO26" s="1194" t="str">
        <f>IF(I26=".",".",VLOOKUP($I26,'Price List, Weapons &amp; Items'!B:J,3,0))</f>
        <v>Armored Utility Vehicle (AUV)</v>
      </c>
      <c r="AP26" s="1195" t="str">
        <f t="shared" ca="1" si="6"/>
        <v/>
      </c>
      <c r="AQ26" s="1194">
        <f>VLOOKUP($I26,'Price List, Weapons &amp; Items'!B:L,COLUMN('Price List, Weapons &amp; Items'!$L$11)-1,0)</f>
        <v>2</v>
      </c>
      <c r="AR26" s="1194">
        <f t="shared" si="18"/>
        <v>1</v>
      </c>
      <c r="AS26" s="1194">
        <f t="shared" si="19"/>
        <v>1</v>
      </c>
      <c r="AT26" s="1194">
        <f t="shared" si="20"/>
        <v>1</v>
      </c>
      <c r="AU26" s="1194" t="str">
        <f t="shared" si="21"/>
        <v>.</v>
      </c>
      <c r="AV26" s="1194" t="str">
        <f t="shared" si="11"/>
        <v>.</v>
      </c>
      <c r="AW26" s="1194" t="str">
        <f t="shared" si="22"/>
        <v>.</v>
      </c>
      <c r="AX26" s="1194">
        <f>IFERROR(VLOOKUP(B26,'Share, Heavy Weapons to Ukraine'!B:Z,COLUMN('Share, Heavy Weapons to Ukraine'!C36)-1,0),0)</f>
        <v>0</v>
      </c>
      <c r="AY26" s="1194">
        <f>VLOOKUP('Bilateral Assistance, MAIN DATA'!B26,'Country Summary (€)'!B:F,COLUMN('Country Summary (€)'!C37)-1,FALSE)</f>
        <v>0</v>
      </c>
      <c r="AZ26" s="1194" t="str">
        <f>IF(AND(AD26=1,D26="Military",H26&lt;&gt;"Not given")=TRUE,IF(SUMIFS(P:P,A:A,A26)&gt;0,ABS((SUMIFS(P:P,A:A,A26)/VLOOKUP("USD",'Exchange Rates'!B:C,2,0)))/S26,"."),".")</f>
        <v>.</v>
      </c>
      <c r="BA26" s="1196" t="str">
        <f>IF(AND(AD26=1,D26="Military",H26&lt;&gt;"Not given")=TRUE,IF(SUMIFS(P:P,A:A,A26)&gt;0,IF((ABS((SUMIFS(P:P,A:A,A26)/VLOOKUP("USD",'Exchange Rates'!B:C,2,0)))/S26)&gt;1,(SUMIFS(P:P,A:A,A26)-S26)/S26,(S26-SUMIFS(P:P,A:A,A26))/SUMIFS(P:P,A:A,A26)),"."),".")</f>
        <v>.</v>
      </c>
    </row>
    <row r="27" spans="1:71" ht="15.95" customHeight="1">
      <c r="A27" s="1208" t="s">
        <v>448</v>
      </c>
      <c r="B27" s="1208" t="s">
        <v>359</v>
      </c>
      <c r="C27" s="1209">
        <v>44981</v>
      </c>
      <c r="D27" s="1208" t="s">
        <v>389</v>
      </c>
      <c r="E27" s="1208" t="s">
        <v>443</v>
      </c>
      <c r="F27" s="1208" t="s">
        <v>449</v>
      </c>
      <c r="G27" s="1184" t="s">
        <v>363</v>
      </c>
      <c r="H27" s="1210">
        <v>33000000</v>
      </c>
      <c r="I27" s="1208" t="s">
        <v>404</v>
      </c>
      <c r="J27" s="1186" t="str">
        <f>VLOOKUP($I27,'Price List, Weapons &amp; Items'!B:C,2,0)</f>
        <v>Aviation and drones</v>
      </c>
      <c r="K27" s="1186" t="str">
        <f>IF(I27=".",I27,VLOOKUP($I27,'Price List, Weapons &amp; Items'!B:D,3,0))</f>
        <v>Unknown drone</v>
      </c>
      <c r="L27" s="1187">
        <f>VLOOKUP(I27,'Price List, Weapons &amp; Items'!B:E,4,0)</f>
        <v>0</v>
      </c>
      <c r="M27" s="1241" t="s">
        <v>374</v>
      </c>
      <c r="N27" s="1211" t="s">
        <v>374</v>
      </c>
      <c r="O27" s="1188" t="str">
        <f>VLOOKUP($I27,'Price List, Weapons &amp; Items'!B:G,6,0)</f>
        <v>.</v>
      </c>
      <c r="P27" s="1185" t="str">
        <f t="shared" si="13"/>
        <v>.</v>
      </c>
      <c r="Q27" s="1185" t="str">
        <f t="shared" si="14"/>
        <v>.</v>
      </c>
      <c r="R27" s="1185">
        <f t="shared" si="2"/>
        <v>33000000</v>
      </c>
      <c r="S27" s="1185">
        <f>IF(AND(AD27=1,R27&lt;&gt;".")=TRUE,R27/VLOOKUP(G27,'Exchange Rates'!B:C,2,0),IF(R27=".",".",""))</f>
        <v>20188425.302826378</v>
      </c>
      <c r="T27" s="1185" t="str">
        <f>IF(AD27=1,IF(AF27="Value is not given at all",".",IF(AF27="Value is given by the source",S27,IF(AF27="Value is calculated with prices",(IF(SUMIFS(Q:Q,A:A,A27)&gt;0,SUMIFS(Q:Q,A:A,A27),"."))/VLOOKUP("USD",'Exchange Rates'!B:C,2,0),"Error with coding"))),"")</f>
        <v>.</v>
      </c>
      <c r="U27" s="1191" t="s">
        <v>365</v>
      </c>
      <c r="V27" s="983" t="s">
        <v>450</v>
      </c>
      <c r="W27" s="983" t="s">
        <v>451</v>
      </c>
      <c r="X27" s="983" t="s">
        <v>452</v>
      </c>
      <c r="Y27" s="1208" t="s">
        <v>364</v>
      </c>
      <c r="Z27" s="1191">
        <v>0</v>
      </c>
      <c r="AA27" s="1191">
        <v>0</v>
      </c>
      <c r="AB27" s="1208" t="s">
        <v>364</v>
      </c>
      <c r="AC27" s="1192" t="str">
        <f>""</f>
        <v/>
      </c>
      <c r="AD27" s="1191">
        <v>1</v>
      </c>
      <c r="AE27" s="1191" t="s">
        <v>368</v>
      </c>
      <c r="AF27" s="1191" t="s">
        <v>369</v>
      </c>
      <c r="AG27" s="1191">
        <v>1</v>
      </c>
      <c r="AH27" s="1191">
        <v>14</v>
      </c>
      <c r="AI27" s="1191">
        <v>0</v>
      </c>
      <c r="AJ27" s="1193">
        <f>VLOOKUP($I27,'Price List, Weapons &amp; Items'!B:F,5,0)</f>
        <v>0</v>
      </c>
      <c r="AK27" s="1193">
        <f t="shared" si="15"/>
        <v>0</v>
      </c>
      <c r="AL27" s="1193">
        <f t="shared" si="16"/>
        <v>0</v>
      </c>
      <c r="AM27" s="1193">
        <f t="shared" si="17"/>
        <v>0</v>
      </c>
      <c r="AN27" s="1194" t="str">
        <f>VLOOKUP($I27,'Price List, Weapons &amp; Items'!B:L,COLUMN('Price List, Weapons &amp; Items'!$J$11)-1,0)</f>
        <v>.</v>
      </c>
      <c r="AO27" s="1194" t="str">
        <f>IF(I27=".",".",VLOOKUP($I27,'Price List, Weapons &amp; Items'!B:J,3,0))</f>
        <v>Unknown drone</v>
      </c>
      <c r="AP27" s="1195" t="str">
        <f t="shared" ca="1" si="6"/>
        <v>unmanned aerial system</v>
      </c>
      <c r="AQ27" s="1194" t="str">
        <f>VLOOKUP($I27,'Price List, Weapons &amp; Items'!B:L,COLUMN('Price List, Weapons &amp; Items'!$L$11)-1,0)</f>
        <v>no price, 0 count</v>
      </c>
      <c r="AR27" s="1194">
        <f t="shared" si="18"/>
        <v>1</v>
      </c>
      <c r="AS27" s="1194">
        <f t="shared" si="19"/>
        <v>1</v>
      </c>
      <c r="AT27" s="1194">
        <f t="shared" si="20"/>
        <v>1</v>
      </c>
      <c r="AU27" s="1194" t="str">
        <f t="shared" si="21"/>
        <v>.</v>
      </c>
      <c r="AV27" s="1194" t="str">
        <f t="shared" si="11"/>
        <v>.</v>
      </c>
      <c r="AW27" s="1194" t="str">
        <f t="shared" si="22"/>
        <v>.</v>
      </c>
      <c r="AX27" s="1194">
        <f>IFERROR(VLOOKUP(B27,'Share, Heavy Weapons to Ukraine'!B:Z,COLUMN('Share, Heavy Weapons to Ukraine'!C37)-1,0),0)</f>
        <v>0</v>
      </c>
      <c r="AY27" s="1194">
        <f>VLOOKUP('Bilateral Assistance, MAIN DATA'!B27,'Country Summary (€)'!B:F,COLUMN('Country Summary (€)'!C38)-1,FALSE)</f>
        <v>0</v>
      </c>
      <c r="AZ27" s="1194" t="str">
        <f>IF(AND(AD27=1,D27="Military",H27&lt;&gt;"Not given")=TRUE,IF(SUMIFS(P:P,A:A,A27)&gt;0,ABS((SUMIFS(P:P,A:A,A27)/VLOOKUP("USD",'Exchange Rates'!B:C,2,0)))/S27,"."),".")</f>
        <v>.</v>
      </c>
      <c r="BA27" s="1196" t="str">
        <f>IF(AND(AD27=1,D27="Military",H27&lt;&gt;"Not given")=TRUE,IF(SUMIFS(P:P,A:A,A27)&gt;0,IF((ABS((SUMIFS(P:P,A:A,A27)/VLOOKUP("USD",'Exchange Rates'!B:C,2,0)))/S27)&gt;1,(SUMIFS(P:P,A:A,A27)-S27)/S27,(S27-SUMIFS(P:P,A:A,A27))/SUMIFS(P:P,A:A,A27)),"."),".")</f>
        <v>.</v>
      </c>
      <c r="BB27" s="1208" t="s">
        <v>38</v>
      </c>
      <c r="BC27" s="1208" t="s">
        <v>38</v>
      </c>
      <c r="BD27" s="1208" t="s">
        <v>38</v>
      </c>
      <c r="BE27" s="1208" t="s">
        <v>38</v>
      </c>
      <c r="BF27" s="1208" t="s">
        <v>38</v>
      </c>
      <c r="BG27" s="1208" t="s">
        <v>38</v>
      </c>
      <c r="BH27" s="1208" t="s">
        <v>38</v>
      </c>
      <c r="BI27" s="1208" t="s">
        <v>38</v>
      </c>
      <c r="BJ27" s="1208" t="s">
        <v>38</v>
      </c>
      <c r="BK27" s="1208" t="s">
        <v>38</v>
      </c>
      <c r="BL27" s="1208" t="s">
        <v>38</v>
      </c>
      <c r="BM27" s="1208" t="s">
        <v>38</v>
      </c>
      <c r="BN27" s="1208" t="s">
        <v>38</v>
      </c>
      <c r="BO27" s="1208" t="s">
        <v>38</v>
      </c>
      <c r="BP27" s="1208" t="s">
        <v>38</v>
      </c>
      <c r="BQ27" s="1208" t="s">
        <v>38</v>
      </c>
      <c r="BR27" s="1208" t="s">
        <v>38</v>
      </c>
      <c r="BS27" s="1208" t="s">
        <v>38</v>
      </c>
    </row>
    <row r="28" spans="1:71" ht="15.95" customHeight="1">
      <c r="A28" s="1182" t="s">
        <v>453</v>
      </c>
      <c r="B28" s="1182" t="s">
        <v>454</v>
      </c>
      <c r="C28" s="1181">
        <v>44617</v>
      </c>
      <c r="D28" s="1182" t="s">
        <v>360</v>
      </c>
      <c r="E28" s="1182" t="s">
        <v>371</v>
      </c>
      <c r="F28" s="1183" t="s">
        <v>455</v>
      </c>
      <c r="G28" s="1184" t="s">
        <v>456</v>
      </c>
      <c r="H28" s="1185" t="s">
        <v>457</v>
      </c>
      <c r="I28" s="1180" t="s">
        <v>458</v>
      </c>
      <c r="J28" s="1186" t="str">
        <f>VLOOKUP($I28,'Price List, Weapons &amp; Items'!B:C,2,0)</f>
        <v>Humanitarian</v>
      </c>
      <c r="K28" s="1186" t="str">
        <f>IF(I28=".",I28,VLOOKUP($I28,'Price List, Weapons &amp; Items'!B:D,3,0))</f>
        <v>Humanitarian</v>
      </c>
      <c r="L28" s="1187">
        <f>VLOOKUP(I28,'Price List, Weapons &amp; Items'!B:E,4,0)</f>
        <v>0</v>
      </c>
      <c r="M28" s="1188">
        <v>50000</v>
      </c>
      <c r="N28" s="1188" t="s">
        <v>374</v>
      </c>
      <c r="O28" s="1188">
        <f>VLOOKUP($I28,'Price List, Weapons &amp; Items'!B:G,6,0)</f>
        <v>6.2309999999999999</v>
      </c>
      <c r="P28" s="1185">
        <f t="shared" si="13"/>
        <v>311550</v>
      </c>
      <c r="Q28" s="1185" t="str">
        <f t="shared" si="14"/>
        <v>.</v>
      </c>
      <c r="R28" s="1185">
        <f t="shared" si="2"/>
        <v>1081150</v>
      </c>
      <c r="S28" s="1185">
        <f>IF(AND(AD28=1,R28&lt;&gt;".")=TRUE,R28/VLOOKUP(G28,'Exchange Rates'!B:C,2,0),IF(R28=".",".",""))</f>
        <v>994801.25138019875</v>
      </c>
      <c r="T28" s="1185" t="str">
        <f>IF(AD28=1,IF(AF28="Value is not given at all",".",IF(AF28="Value is given by the source",S28,IF(AF28="Value is calculated with prices",(IF(SUMIFS(Q:Q,A:A,A28)&gt;0,SUMIFS(Q:Q,A:A,A28),"."))/VLOOKUP("USD",'Exchange Rates'!B:C,2,0),"Error with coding"))),"")</f>
        <v>.</v>
      </c>
      <c r="U28" s="1184" t="s">
        <v>365</v>
      </c>
      <c r="V28" s="974" t="s">
        <v>459</v>
      </c>
      <c r="W28" s="976" t="s">
        <v>460</v>
      </c>
      <c r="X28" s="1183" t="s">
        <v>364</v>
      </c>
      <c r="Y28" s="1183" t="s">
        <v>364</v>
      </c>
      <c r="Z28" s="1184">
        <v>0</v>
      </c>
      <c r="AA28" s="1194">
        <v>0</v>
      </c>
      <c r="AB28" s="1201" t="s">
        <v>364</v>
      </c>
      <c r="AC28" s="1192" t="str">
        <f>""</f>
        <v/>
      </c>
      <c r="AD28" s="1193">
        <v>1</v>
      </c>
      <c r="AE28" s="1193" t="s">
        <v>436</v>
      </c>
      <c r="AF28" s="1193" t="s">
        <v>369</v>
      </c>
      <c r="AG28" s="1193">
        <v>1</v>
      </c>
      <c r="AH28" s="1193">
        <v>2</v>
      </c>
      <c r="AI28" s="1193">
        <v>0</v>
      </c>
      <c r="AJ28" s="1193">
        <f>VLOOKUP($I28,'Price List, Weapons &amp; Items'!B:F,5,0)</f>
        <v>0</v>
      </c>
      <c r="AK28" s="1193">
        <f t="shared" si="15"/>
        <v>0</v>
      </c>
      <c r="AL28" s="1193">
        <f t="shared" si="16"/>
        <v>0</v>
      </c>
      <c r="AM28" s="1193">
        <f t="shared" si="17"/>
        <v>0</v>
      </c>
      <c r="AN28" s="1194" t="str">
        <f>VLOOKUP($I28,'Price List, Weapons &amp; Items'!B:L,COLUMN('Price List, Weapons &amp; Items'!$J$11)-1,0)</f>
        <v>Online marketplaces and stores</v>
      </c>
      <c r="AO28" s="1194" t="str">
        <f>IF(I28=".",".",VLOOKUP($I28,'Price List, Weapons &amp; Items'!B:J,3,0))</f>
        <v>Humanitarian</v>
      </c>
      <c r="AP28" s="1195" t="str">
        <f t="shared" ca="1" si="6"/>
        <v>liter of hand disinfectant</v>
      </c>
      <c r="AQ28" s="1194">
        <f>VLOOKUP($I28,'Price List, Weapons &amp; Items'!B:L,COLUMN('Price List, Weapons &amp; Items'!$L$11)-1,0)</f>
        <v>0</v>
      </c>
      <c r="AR28" s="1194">
        <f t="shared" si="18"/>
        <v>1</v>
      </c>
      <c r="AS28" s="1194">
        <f t="shared" si="19"/>
        <v>0</v>
      </c>
      <c r="AT28" s="1194">
        <f t="shared" si="20"/>
        <v>1</v>
      </c>
      <c r="AU28" s="1194" t="str">
        <f t="shared" si="21"/>
        <v>.</v>
      </c>
      <c r="AV28" s="1194" t="str">
        <f t="shared" si="11"/>
        <v>.</v>
      </c>
      <c r="AW28" s="1194" t="str">
        <f t="shared" si="22"/>
        <v>.</v>
      </c>
      <c r="AX28" s="1194">
        <f>IFERROR(VLOOKUP(B28,'Share, Heavy Weapons to Ukraine'!B:Z,COLUMN('Share, Heavy Weapons to Ukraine'!C38)-1,0),0)</f>
        <v>0</v>
      </c>
      <c r="AY28" s="1194">
        <f>VLOOKUP('Bilateral Assistance, MAIN DATA'!B28,'Country Summary (€)'!B:F,COLUMN('Country Summary (€)'!C39)-1,FALSE)</f>
        <v>1</v>
      </c>
      <c r="AZ28" s="1194" t="str">
        <f>IF(AND(AD28=1,D28="Military",H28&lt;&gt;"Not given")=TRUE,IF(SUMIFS(P:P,A:A,A28)&gt;0,ABS((SUMIFS(P:P,A:A,A28)/VLOOKUP("USD",'Exchange Rates'!B:C,2,0)))/S28,"."),".")</f>
        <v>.</v>
      </c>
      <c r="BA28" s="1196" t="str">
        <f>IF(AND(AD28=1,D28="Military",H28&lt;&gt;"Not given")=TRUE,IF(SUMIFS(P:P,A:A,A28)&gt;0,IF((ABS((SUMIFS(P:P,A:A,A28)/VLOOKUP("USD",'Exchange Rates'!B:C,2,0)))/S28)&gt;1,(SUMIFS(P:P,A:A,A28)-S28)/S28,(S28-SUMIFS(P:P,A:A,A28))/SUMIFS(P:P,A:A,A28)),"."),".")</f>
        <v>.</v>
      </c>
    </row>
    <row r="29" spans="1:71" ht="15.95" customHeight="1">
      <c r="A29" s="1182" t="s">
        <v>453</v>
      </c>
      <c r="B29" s="1182" t="s">
        <v>454</v>
      </c>
      <c r="C29" s="1181">
        <v>44617</v>
      </c>
      <c r="D29" s="1182" t="s">
        <v>360</v>
      </c>
      <c r="E29" s="1182" t="s">
        <v>371</v>
      </c>
      <c r="F29" s="1183" t="s">
        <v>455</v>
      </c>
      <c r="G29" s="1184" t="s">
        <v>456</v>
      </c>
      <c r="H29" s="1185" t="s">
        <v>457</v>
      </c>
      <c r="I29" s="1180" t="s">
        <v>461</v>
      </c>
      <c r="J29" s="1186" t="str">
        <f>VLOOKUP($I29,'Price List, Weapons &amp; Items'!B:C,2,0)</f>
        <v>Humanitarian</v>
      </c>
      <c r="K29" s="1186" t="str">
        <f>IF(I29=".",I29,VLOOKUP($I29,'Price List, Weapons &amp; Items'!B:D,3,0))</f>
        <v>Humanitarian</v>
      </c>
      <c r="L29" s="1187">
        <f>VLOOKUP(I29,'Price List, Weapons &amp; Items'!B:E,4,0)</f>
        <v>0</v>
      </c>
      <c r="M29" s="1188">
        <v>9000</v>
      </c>
      <c r="N29" s="1188" t="s">
        <v>374</v>
      </c>
      <c r="O29" s="1188">
        <f>VLOOKUP($I29,'Price List, Weapons &amp; Items'!B:G,6,0)</f>
        <v>12</v>
      </c>
      <c r="P29" s="1185">
        <f t="shared" si="13"/>
        <v>108000</v>
      </c>
      <c r="Q29" s="1185" t="str">
        <f t="shared" si="14"/>
        <v>.</v>
      </c>
      <c r="R29" s="1185" t="str">
        <f t="shared" si="2"/>
        <v/>
      </c>
      <c r="S29" s="1185" t="str">
        <f>IF(AND(AD29=1,R29&lt;&gt;".")=TRUE,R29/VLOOKUP(G29,'Exchange Rates'!B:C,2,0),IF(R29=".",".",""))</f>
        <v/>
      </c>
      <c r="T29" s="1185" t="str">
        <f>IF(AD29=1,IF(AF29="Value is not given at all",".",IF(AF29="Value is given by the source",S29,IF(AF29="Value is calculated with prices",(IF(SUMIFS(Q:Q,A:A,A29)&gt;0,SUMIFS(Q:Q,A:A,A29),"."))/VLOOKUP("USD",'Exchange Rates'!B:C,2,0),"Error with coding"))),"")</f>
        <v/>
      </c>
      <c r="U29" s="1184" t="s">
        <v>365</v>
      </c>
      <c r="V29" s="974" t="s">
        <v>459</v>
      </c>
      <c r="W29" s="976" t="s">
        <v>462</v>
      </c>
      <c r="X29" s="1183" t="s">
        <v>364</v>
      </c>
      <c r="Y29" s="1183" t="s">
        <v>364</v>
      </c>
      <c r="Z29" s="1184">
        <v>0</v>
      </c>
      <c r="AA29" s="1194">
        <v>0</v>
      </c>
      <c r="AB29" s="1201" t="s">
        <v>364</v>
      </c>
      <c r="AC29" s="1192" t="str">
        <f>""</f>
        <v/>
      </c>
      <c r="AD29" s="1193">
        <v>0</v>
      </c>
      <c r="AE29" s="1193" t="s">
        <v>436</v>
      </c>
      <c r="AF29" s="1193" t="s">
        <v>369</v>
      </c>
      <c r="AG29" s="1193">
        <v>1</v>
      </c>
      <c r="AH29" s="1193">
        <v>2</v>
      </c>
      <c r="AI29" s="1193">
        <v>0</v>
      </c>
      <c r="AJ29" s="1193">
        <f>VLOOKUP($I29,'Price List, Weapons &amp; Items'!B:F,5,0)</f>
        <v>0</v>
      </c>
      <c r="AK29" s="1193">
        <f t="shared" si="15"/>
        <v>0</v>
      </c>
      <c r="AL29" s="1193">
        <f t="shared" si="16"/>
        <v>0</v>
      </c>
      <c r="AM29" s="1193">
        <f t="shared" si="17"/>
        <v>0</v>
      </c>
      <c r="AN29" s="1194" t="str">
        <f>VLOOKUP($I29,'Price List, Weapons &amp; Items'!B:L,COLUMN('Price List, Weapons &amp; Items'!$J$11)-1,0)</f>
        <v>Online marketplaces and stores</v>
      </c>
      <c r="AO29" s="1194" t="str">
        <f>IF(I29=".",".",VLOOKUP($I29,'Price List, Weapons &amp; Items'!B:J,3,0))</f>
        <v>Humanitarian</v>
      </c>
      <c r="AP29" s="1195" t="str">
        <f t="shared" ca="1" si="6"/>
        <v/>
      </c>
      <c r="AQ29" s="1194">
        <f>VLOOKUP($I29,'Price List, Weapons &amp; Items'!B:L,COLUMN('Price List, Weapons &amp; Items'!$L$11)-1,0)</f>
        <v>0</v>
      </c>
      <c r="AR29" s="1194">
        <f t="shared" si="18"/>
        <v>1</v>
      </c>
      <c r="AS29" s="1194">
        <f t="shared" si="19"/>
        <v>0</v>
      </c>
      <c r="AT29" s="1194">
        <f t="shared" si="20"/>
        <v>1</v>
      </c>
      <c r="AU29" s="1194" t="str">
        <f t="shared" si="21"/>
        <v>.</v>
      </c>
      <c r="AV29" s="1194" t="str">
        <f t="shared" si="11"/>
        <v>.</v>
      </c>
      <c r="AW29" s="1194" t="str">
        <f t="shared" si="22"/>
        <v>.</v>
      </c>
      <c r="AX29" s="1194">
        <f>IFERROR(VLOOKUP(B29,'Share, Heavy Weapons to Ukraine'!B:Z,COLUMN('Share, Heavy Weapons to Ukraine'!C39)-1,0),0)</f>
        <v>0</v>
      </c>
      <c r="AY29" s="1194">
        <f>VLOOKUP('Bilateral Assistance, MAIN DATA'!B29,'Country Summary (€)'!B:F,COLUMN('Country Summary (€)'!C40)-1,FALSE)</f>
        <v>1</v>
      </c>
      <c r="AZ29" s="1194" t="str">
        <f>IF(AND(AD29=1,D29="Military",H29&lt;&gt;"Not given")=TRUE,IF(SUMIFS(P:P,A:A,A29)&gt;0,ABS((SUMIFS(P:P,A:A,A29)/VLOOKUP("USD",'Exchange Rates'!B:C,2,0)))/S29,"."),".")</f>
        <v>.</v>
      </c>
      <c r="BA29" s="1196" t="str">
        <f>IF(AND(AD29=1,D29="Military",H29&lt;&gt;"Not given")=TRUE,IF(SUMIFS(P:P,A:A,A29)&gt;0,IF((ABS((SUMIFS(P:P,A:A,A29)/VLOOKUP("USD",'Exchange Rates'!B:C,2,0)))/S29)&gt;1,(SUMIFS(P:P,A:A,A29)-S29)/S29,(S29-SUMIFS(P:P,A:A,A29))/SUMIFS(P:P,A:A,A29)),"."),".")</f>
        <v>.</v>
      </c>
    </row>
    <row r="30" spans="1:71" ht="15.95" customHeight="1">
      <c r="A30" s="1182" t="s">
        <v>453</v>
      </c>
      <c r="B30" s="1182" t="s">
        <v>454</v>
      </c>
      <c r="C30" s="1181">
        <v>44617</v>
      </c>
      <c r="D30" s="1182" t="s">
        <v>360</v>
      </c>
      <c r="E30" s="1182" t="s">
        <v>371</v>
      </c>
      <c r="F30" s="1183" t="s">
        <v>455</v>
      </c>
      <c r="G30" s="1184" t="s">
        <v>456</v>
      </c>
      <c r="H30" s="1185" t="s">
        <v>457</v>
      </c>
      <c r="I30" s="1180" t="s">
        <v>463</v>
      </c>
      <c r="J30" s="1186" t="str">
        <f>VLOOKUP($I30,'Price List, Weapons &amp; Items'!B:C,2,0)</f>
        <v>Humanitarian</v>
      </c>
      <c r="K30" s="1186" t="str">
        <f>IF(I30=".",I30,VLOOKUP($I30,'Price List, Weapons &amp; Items'!B:D,3,0))</f>
        <v>Humanitarian</v>
      </c>
      <c r="L30" s="1187">
        <f>VLOOKUP(I30,'Price List, Weapons &amp; Items'!B:E,4,0)</f>
        <v>0</v>
      </c>
      <c r="M30" s="1188">
        <v>50000</v>
      </c>
      <c r="N30" s="1188" t="s">
        <v>374</v>
      </c>
      <c r="O30" s="1188">
        <f>VLOOKUP($I30,'Price List, Weapons &amp; Items'!B:G,6,0)</f>
        <v>10</v>
      </c>
      <c r="P30" s="1185">
        <f t="shared" si="13"/>
        <v>500000</v>
      </c>
      <c r="Q30" s="1185" t="str">
        <f t="shared" si="14"/>
        <v>.</v>
      </c>
      <c r="R30" s="1185" t="str">
        <f t="shared" si="2"/>
        <v/>
      </c>
      <c r="S30" s="1185" t="str">
        <f>IF(AND(AD30=1,R30&lt;&gt;".")=TRUE,R30/VLOOKUP(G30,'Exchange Rates'!B:C,2,0),IF(R30=".",".",""))</f>
        <v/>
      </c>
      <c r="T30" s="1185" t="str">
        <f>IF(AD30=1,IF(AF30="Value is not given at all",".",IF(AF30="Value is given by the source",S30,IF(AF30="Value is calculated with prices",(IF(SUMIFS(Q:Q,A:A,A30)&gt;0,SUMIFS(Q:Q,A:A,A30),"."))/VLOOKUP("USD",'Exchange Rates'!B:C,2,0),"Error with coding"))),"")</f>
        <v/>
      </c>
      <c r="U30" s="1184" t="s">
        <v>365</v>
      </c>
      <c r="V30" s="974" t="s">
        <v>459</v>
      </c>
      <c r="W30" s="976" t="s">
        <v>464</v>
      </c>
      <c r="X30" s="1183" t="s">
        <v>364</v>
      </c>
      <c r="Y30" s="1183" t="s">
        <v>364</v>
      </c>
      <c r="Z30" s="1184">
        <v>0</v>
      </c>
      <c r="AA30" s="1194">
        <v>0</v>
      </c>
      <c r="AB30" s="1201" t="s">
        <v>364</v>
      </c>
      <c r="AC30" s="1192" t="str">
        <f>""</f>
        <v/>
      </c>
      <c r="AD30" s="1193">
        <v>0</v>
      </c>
      <c r="AE30" s="1193" t="s">
        <v>436</v>
      </c>
      <c r="AF30" s="1193" t="s">
        <v>369</v>
      </c>
      <c r="AG30" s="1193">
        <v>1</v>
      </c>
      <c r="AH30" s="1193">
        <v>2</v>
      </c>
      <c r="AI30" s="1193">
        <v>0</v>
      </c>
      <c r="AJ30" s="1193">
        <f>VLOOKUP($I30,'Price List, Weapons &amp; Items'!B:F,5,0)</f>
        <v>0</v>
      </c>
      <c r="AK30" s="1193">
        <f t="shared" si="15"/>
        <v>0</v>
      </c>
      <c r="AL30" s="1193">
        <f t="shared" si="16"/>
        <v>0</v>
      </c>
      <c r="AM30" s="1193">
        <f t="shared" si="17"/>
        <v>0</v>
      </c>
      <c r="AN30" s="1194" t="str">
        <f>VLOOKUP($I30,'Price List, Weapons &amp; Items'!B:L,COLUMN('Price List, Weapons &amp; Items'!$J$11)-1,0)</f>
        <v>Online marketplaces and stores</v>
      </c>
      <c r="AO30" s="1194" t="str">
        <f>IF(I30=".",".",VLOOKUP($I30,'Price List, Weapons &amp; Items'!B:J,3,0))</f>
        <v>Humanitarian</v>
      </c>
      <c r="AP30" s="1195" t="str">
        <f t="shared" ca="1" si="6"/>
        <v/>
      </c>
      <c r="AQ30" s="1194">
        <f>VLOOKUP($I30,'Price List, Weapons &amp; Items'!B:L,COLUMN('Price List, Weapons &amp; Items'!$L$11)-1,0)</f>
        <v>0</v>
      </c>
      <c r="AR30" s="1194">
        <f t="shared" si="18"/>
        <v>1</v>
      </c>
      <c r="AS30" s="1194">
        <f t="shared" si="19"/>
        <v>0</v>
      </c>
      <c r="AT30" s="1194">
        <f t="shared" si="20"/>
        <v>1</v>
      </c>
      <c r="AU30" s="1194" t="str">
        <f t="shared" si="21"/>
        <v>.</v>
      </c>
      <c r="AV30" s="1194" t="str">
        <f t="shared" si="11"/>
        <v>.</v>
      </c>
      <c r="AW30" s="1194" t="str">
        <f t="shared" si="22"/>
        <v>.</v>
      </c>
      <c r="AX30" s="1194">
        <f>IFERROR(VLOOKUP(B30,'Share, Heavy Weapons to Ukraine'!B:Z,COLUMN('Share, Heavy Weapons to Ukraine'!C40)-1,0),0)</f>
        <v>0</v>
      </c>
      <c r="AY30" s="1194">
        <f>VLOOKUP('Bilateral Assistance, MAIN DATA'!B30,'Country Summary (€)'!B:F,COLUMN('Country Summary (€)'!C41)-1,FALSE)</f>
        <v>1</v>
      </c>
      <c r="AZ30" s="1194" t="str">
        <f>IF(AND(AD30=1,D30="Military",H30&lt;&gt;"Not given")=TRUE,IF(SUMIFS(P:P,A:A,A30)&gt;0,ABS((SUMIFS(P:P,A:A,A30)/VLOOKUP("USD",'Exchange Rates'!B:C,2,0)))/S30,"."),".")</f>
        <v>.</v>
      </c>
      <c r="BA30" s="1196" t="str">
        <f>IF(AND(AD30=1,D30="Military",H30&lt;&gt;"Not given")=TRUE,IF(SUMIFS(P:P,A:A,A30)&gt;0,IF((ABS((SUMIFS(P:P,A:A,A30)/VLOOKUP("USD",'Exchange Rates'!B:C,2,0)))/S30)&gt;1,(SUMIFS(P:P,A:A,A30)-S30)/S30,(S30-SUMIFS(P:P,A:A,A30))/SUMIFS(P:P,A:A,A30)),"."),".")</f>
        <v>.</v>
      </c>
    </row>
    <row r="31" spans="1:71" ht="15.95" customHeight="1">
      <c r="A31" s="1182" t="s">
        <v>453</v>
      </c>
      <c r="B31" s="1182" t="s">
        <v>454</v>
      </c>
      <c r="C31" s="1181">
        <v>44617</v>
      </c>
      <c r="D31" s="1182" t="s">
        <v>360</v>
      </c>
      <c r="E31" s="1182" t="s">
        <v>371</v>
      </c>
      <c r="F31" s="1183" t="s">
        <v>455</v>
      </c>
      <c r="G31" s="1184" t="s">
        <v>456</v>
      </c>
      <c r="H31" s="1185" t="s">
        <v>457</v>
      </c>
      <c r="I31" s="1180" t="s">
        <v>465</v>
      </c>
      <c r="J31" s="1186" t="str">
        <f>VLOOKUP($I31,'Price List, Weapons &amp; Items'!B:C,2,0)</f>
        <v>Humanitarian</v>
      </c>
      <c r="K31" s="1186" t="str">
        <f>IF(I31=".",I31,VLOOKUP($I31,'Price List, Weapons &amp; Items'!B:D,3,0))</f>
        <v>Humanitarian</v>
      </c>
      <c r="L31" s="1187">
        <f>VLOOKUP(I31,'Price List, Weapons &amp; Items'!B:E,4,0)</f>
        <v>0</v>
      </c>
      <c r="M31" s="1188">
        <v>50000</v>
      </c>
      <c r="N31" s="1188" t="s">
        <v>374</v>
      </c>
      <c r="O31" s="1188">
        <f>VLOOKUP($I31,'Price List, Weapons &amp; Items'!B:G,6,0)</f>
        <v>0.24</v>
      </c>
      <c r="P31" s="1185">
        <f t="shared" si="13"/>
        <v>12000</v>
      </c>
      <c r="Q31" s="1185" t="str">
        <f t="shared" si="14"/>
        <v>.</v>
      </c>
      <c r="R31" s="1185" t="str">
        <f t="shared" si="2"/>
        <v/>
      </c>
      <c r="S31" s="1185" t="str">
        <f>IF(AND(AD31=1,R31&lt;&gt;".")=TRUE,R31/VLOOKUP(G31,'Exchange Rates'!B:C,2,0),IF(R31=".",".",""))</f>
        <v/>
      </c>
      <c r="T31" s="1185" t="str">
        <f>IF(AD31=1,IF(AF31="Value is not given at all",".",IF(AF31="Value is given by the source",S31,IF(AF31="Value is calculated with prices",(IF(SUMIFS(Q:Q,A:A,A31)&gt;0,SUMIFS(Q:Q,A:A,A31),"."))/VLOOKUP("USD",'Exchange Rates'!B:C,2,0),"Error with coding"))),"")</f>
        <v/>
      </c>
      <c r="U31" s="1184" t="s">
        <v>365</v>
      </c>
      <c r="V31" s="974" t="s">
        <v>459</v>
      </c>
      <c r="W31" s="976" t="s">
        <v>466</v>
      </c>
      <c r="X31" s="1183" t="s">
        <v>364</v>
      </c>
      <c r="Y31" s="1183" t="s">
        <v>364</v>
      </c>
      <c r="Z31" s="1184">
        <v>0</v>
      </c>
      <c r="AA31" s="1194">
        <v>0</v>
      </c>
      <c r="AB31" s="1201" t="s">
        <v>364</v>
      </c>
      <c r="AC31" s="1192" t="str">
        <f>""</f>
        <v/>
      </c>
      <c r="AD31" s="1193">
        <v>0</v>
      </c>
      <c r="AE31" s="1193" t="s">
        <v>436</v>
      </c>
      <c r="AF31" s="1193" t="s">
        <v>369</v>
      </c>
      <c r="AG31" s="1193">
        <v>1</v>
      </c>
      <c r="AH31" s="1193">
        <v>2</v>
      </c>
      <c r="AI31" s="1193">
        <v>0</v>
      </c>
      <c r="AJ31" s="1193">
        <f>VLOOKUP($I31,'Price List, Weapons &amp; Items'!B:F,5,0)</f>
        <v>0</v>
      </c>
      <c r="AK31" s="1193">
        <f t="shared" si="15"/>
        <v>0</v>
      </c>
      <c r="AL31" s="1193">
        <f t="shared" si="16"/>
        <v>0</v>
      </c>
      <c r="AM31" s="1193">
        <f t="shared" si="17"/>
        <v>0</v>
      </c>
      <c r="AN31" s="1194" t="str">
        <f>VLOOKUP($I31,'Price List, Weapons &amp; Items'!B:L,COLUMN('Price List, Weapons &amp; Items'!$J$11)-1,0)</f>
        <v>Online marketplaces and stores</v>
      </c>
      <c r="AO31" s="1194" t="str">
        <f>IF(I31=".",".",VLOOKUP($I31,'Price List, Weapons &amp; Items'!B:J,3,0))</f>
        <v>Humanitarian</v>
      </c>
      <c r="AP31" s="1195" t="str">
        <f t="shared" ca="1" si="6"/>
        <v/>
      </c>
      <c r="AQ31" s="1194">
        <f>VLOOKUP($I31,'Price List, Weapons &amp; Items'!B:L,COLUMN('Price List, Weapons &amp; Items'!$L$11)-1,0)</f>
        <v>0</v>
      </c>
      <c r="AR31" s="1194">
        <f t="shared" si="18"/>
        <v>1</v>
      </c>
      <c r="AS31" s="1194">
        <f t="shared" si="19"/>
        <v>0</v>
      </c>
      <c r="AT31" s="1194">
        <f t="shared" si="20"/>
        <v>1</v>
      </c>
      <c r="AU31" s="1194" t="str">
        <f t="shared" si="21"/>
        <v>.</v>
      </c>
      <c r="AV31" s="1194" t="str">
        <f t="shared" si="11"/>
        <v>.</v>
      </c>
      <c r="AW31" s="1194" t="str">
        <f t="shared" si="22"/>
        <v>.</v>
      </c>
      <c r="AX31" s="1194">
        <f>IFERROR(VLOOKUP(B31,'Share, Heavy Weapons to Ukraine'!B:Z,COLUMN('Share, Heavy Weapons to Ukraine'!C41)-1,0),0)</f>
        <v>0</v>
      </c>
      <c r="AY31" s="1194">
        <f>VLOOKUP('Bilateral Assistance, MAIN DATA'!B31,'Country Summary (€)'!B:F,COLUMN('Country Summary (€)'!C42)-1,FALSE)</f>
        <v>1</v>
      </c>
      <c r="AZ31" s="1194" t="str">
        <f>IF(AND(AD31=1,D31="Military",H31&lt;&gt;"Not given")=TRUE,IF(SUMIFS(P:P,A:A,A31)&gt;0,ABS((SUMIFS(P:P,A:A,A31)/VLOOKUP("USD",'Exchange Rates'!B:C,2,0)))/S31,"."),".")</f>
        <v>.</v>
      </c>
      <c r="BA31" s="1196" t="str">
        <f>IF(AND(AD31=1,D31="Military",H31&lt;&gt;"Not given")=TRUE,IF(SUMIFS(P:P,A:A,A31)&gt;0,IF((ABS((SUMIFS(P:P,A:A,A31)/VLOOKUP("USD",'Exchange Rates'!B:C,2,0)))/S31)&gt;1,(SUMIFS(P:P,A:A,A31)-S31)/S31,(S31-SUMIFS(P:P,A:A,A31))/SUMIFS(P:P,A:A,A31)),"."),".")</f>
        <v>.</v>
      </c>
    </row>
    <row r="32" spans="1:71" ht="15.95" customHeight="1">
      <c r="A32" s="1182" t="s">
        <v>453</v>
      </c>
      <c r="B32" s="1182" t="s">
        <v>454</v>
      </c>
      <c r="C32" s="1181">
        <v>44617</v>
      </c>
      <c r="D32" s="1182" t="s">
        <v>360</v>
      </c>
      <c r="E32" s="1182" t="s">
        <v>371</v>
      </c>
      <c r="F32" s="1183" t="s">
        <v>455</v>
      </c>
      <c r="G32" s="1184" t="s">
        <v>456</v>
      </c>
      <c r="H32" s="1185" t="s">
        <v>457</v>
      </c>
      <c r="I32" s="1180" t="s">
        <v>467</v>
      </c>
      <c r="J32" s="1186" t="str">
        <f>VLOOKUP($I32,'Price List, Weapons &amp; Items'!B:C,2,0)</f>
        <v>Humanitarian</v>
      </c>
      <c r="K32" s="1186" t="str">
        <f>IF(I32=".",I32,VLOOKUP($I32,'Price List, Weapons &amp; Items'!B:D,3,0))</f>
        <v>Humanitarian</v>
      </c>
      <c r="L32" s="1187">
        <f>VLOOKUP(I32,'Price List, Weapons &amp; Items'!B:E,4,0)</f>
        <v>0</v>
      </c>
      <c r="M32" s="1188">
        <v>20000</v>
      </c>
      <c r="N32" s="1188" t="s">
        <v>374</v>
      </c>
      <c r="O32" s="1188">
        <f>VLOOKUP($I32,'Price List, Weapons &amp; Items'!B:G,6,0)</f>
        <v>0.13</v>
      </c>
      <c r="P32" s="1185">
        <f t="shared" si="13"/>
        <v>2600</v>
      </c>
      <c r="Q32" s="1185" t="str">
        <f t="shared" si="14"/>
        <v>.</v>
      </c>
      <c r="R32" s="1185" t="str">
        <f t="shared" si="2"/>
        <v/>
      </c>
      <c r="S32" s="1185" t="str">
        <f>IF(AND(AD32=1,R32&lt;&gt;".")=TRUE,R32/VLOOKUP(G32,'Exchange Rates'!B:C,2,0),IF(R32=".",".",""))</f>
        <v/>
      </c>
      <c r="T32" s="1185" t="str">
        <f>IF(AD32=1,IF(AF32="Value is not given at all",".",IF(AF32="Value is given by the source",S32,IF(AF32="Value is calculated with prices",(IF(SUMIFS(Q:Q,A:A,A32)&gt;0,SUMIFS(Q:Q,A:A,A32),"."))/VLOOKUP("USD",'Exchange Rates'!B:C,2,0),"Error with coding"))),"")</f>
        <v/>
      </c>
      <c r="U32" s="1184" t="s">
        <v>365</v>
      </c>
      <c r="V32" s="974" t="s">
        <v>459</v>
      </c>
      <c r="W32" s="976" t="s">
        <v>468</v>
      </c>
      <c r="X32" s="1183" t="s">
        <v>364</v>
      </c>
      <c r="Y32" s="1183" t="s">
        <v>364</v>
      </c>
      <c r="Z32" s="1184">
        <v>0</v>
      </c>
      <c r="AA32" s="1194">
        <v>0</v>
      </c>
      <c r="AB32" s="1201" t="s">
        <v>364</v>
      </c>
      <c r="AC32" s="1192" t="str">
        <f>""</f>
        <v/>
      </c>
      <c r="AD32" s="1193">
        <v>0</v>
      </c>
      <c r="AE32" s="1193" t="s">
        <v>436</v>
      </c>
      <c r="AF32" s="1193" t="s">
        <v>369</v>
      </c>
      <c r="AG32" s="1193">
        <v>1</v>
      </c>
      <c r="AH32" s="1193">
        <v>2</v>
      </c>
      <c r="AI32" s="1193">
        <v>0</v>
      </c>
      <c r="AJ32" s="1193">
        <f>VLOOKUP($I32,'Price List, Weapons &amp; Items'!B:F,5,0)</f>
        <v>0</v>
      </c>
      <c r="AK32" s="1193">
        <f t="shared" si="15"/>
        <v>0</v>
      </c>
      <c r="AL32" s="1193">
        <f t="shared" si="16"/>
        <v>0</v>
      </c>
      <c r="AM32" s="1193">
        <f t="shared" si="17"/>
        <v>0</v>
      </c>
      <c r="AN32" s="1194" t="str">
        <f>VLOOKUP($I32,'Price List, Weapons &amp; Items'!B:L,COLUMN('Price List, Weapons &amp; Items'!$J$11)-1,0)</f>
        <v>Online marketplaces and stores</v>
      </c>
      <c r="AO32" s="1194" t="str">
        <f>IF(I32=".",".",VLOOKUP($I32,'Price List, Weapons &amp; Items'!B:J,3,0))</f>
        <v>Humanitarian</v>
      </c>
      <c r="AP32" s="1195" t="str">
        <f t="shared" ca="1" si="6"/>
        <v/>
      </c>
      <c r="AQ32" s="1194">
        <f>VLOOKUP($I32,'Price List, Weapons &amp; Items'!B:L,COLUMN('Price List, Weapons &amp; Items'!$L$11)-1,0)</f>
        <v>0</v>
      </c>
      <c r="AR32" s="1194">
        <f t="shared" si="18"/>
        <v>1</v>
      </c>
      <c r="AS32" s="1194">
        <f t="shared" si="19"/>
        <v>0</v>
      </c>
      <c r="AT32" s="1194">
        <f t="shared" si="20"/>
        <v>1</v>
      </c>
      <c r="AU32" s="1194" t="str">
        <f t="shared" si="21"/>
        <v>.</v>
      </c>
      <c r="AV32" s="1194" t="str">
        <f t="shared" si="11"/>
        <v>.</v>
      </c>
      <c r="AW32" s="1194" t="str">
        <f t="shared" si="22"/>
        <v>.</v>
      </c>
      <c r="AX32" s="1194">
        <f>IFERROR(VLOOKUP(B32,'Share, Heavy Weapons to Ukraine'!B:Z,COLUMN('Share, Heavy Weapons to Ukraine'!C42)-1,0),0)</f>
        <v>0</v>
      </c>
      <c r="AY32" s="1194">
        <f>VLOOKUP('Bilateral Assistance, MAIN DATA'!B32,'Country Summary (€)'!B:F,COLUMN('Country Summary (€)'!C43)-1,FALSE)</f>
        <v>1</v>
      </c>
      <c r="AZ32" s="1194" t="str">
        <f>IF(AND(AD32=1,D32="Military",H32&lt;&gt;"Not given")=TRUE,IF(SUMIFS(P:P,A:A,A32)&gt;0,ABS((SUMIFS(P:P,A:A,A32)/VLOOKUP("USD",'Exchange Rates'!B:C,2,0)))/S32,"."),".")</f>
        <v>.</v>
      </c>
      <c r="BA32" s="1196" t="str">
        <f>IF(AND(AD32=1,D32="Military",H32&lt;&gt;"Not given")=TRUE,IF(SUMIFS(P:P,A:A,A32)&gt;0,IF((ABS((SUMIFS(P:P,A:A,A32)/VLOOKUP("USD",'Exchange Rates'!B:C,2,0)))/S32)&gt;1,(SUMIFS(P:P,A:A,A32)-S32)/S32,(S32-SUMIFS(P:P,A:A,A32))/SUMIFS(P:P,A:A,A32)),"."),".")</f>
        <v>.</v>
      </c>
    </row>
    <row r="33" spans="1:53" ht="15.95" customHeight="1">
      <c r="A33" s="1182" t="s">
        <v>453</v>
      </c>
      <c r="B33" s="1182" t="s">
        <v>454</v>
      </c>
      <c r="C33" s="1181">
        <v>44617</v>
      </c>
      <c r="D33" s="1182" t="s">
        <v>360</v>
      </c>
      <c r="E33" s="1182" t="s">
        <v>371</v>
      </c>
      <c r="F33" s="1183" t="s">
        <v>455</v>
      </c>
      <c r="G33" s="1184" t="s">
        <v>456</v>
      </c>
      <c r="H33" s="1185" t="s">
        <v>457</v>
      </c>
      <c r="I33" s="1180" t="s">
        <v>469</v>
      </c>
      <c r="J33" s="1186" t="str">
        <f>VLOOKUP($I33,'Price List, Weapons &amp; Items'!B:C,2,0)</f>
        <v>Humanitarian</v>
      </c>
      <c r="K33" s="1186" t="str">
        <f>IF(I33=".",I33,VLOOKUP($I33,'Price List, Weapons &amp; Items'!B:D,3,0))</f>
        <v>Humanitarian</v>
      </c>
      <c r="L33" s="1187">
        <f>VLOOKUP(I33,'Price List, Weapons &amp; Items'!B:E,4,0)</f>
        <v>0</v>
      </c>
      <c r="M33" s="1188">
        <v>5</v>
      </c>
      <c r="N33" s="1188" t="s">
        <v>374</v>
      </c>
      <c r="O33" s="1188" t="str">
        <f>VLOOKUP($I33,'Price List, Weapons &amp; Items'!B:G,6,0)</f>
        <v>.</v>
      </c>
      <c r="P33" s="1185" t="str">
        <f t="shared" si="13"/>
        <v>No price</v>
      </c>
      <c r="Q33" s="1185" t="str">
        <f t="shared" si="14"/>
        <v>.</v>
      </c>
      <c r="R33" s="1185" t="str">
        <f t="shared" si="2"/>
        <v/>
      </c>
      <c r="S33" s="1185" t="str">
        <f>IF(AND(AD33=1,R33&lt;&gt;".")=TRUE,R33/VLOOKUP(G33,'Exchange Rates'!B:C,2,0),IF(R33=".",".",""))</f>
        <v/>
      </c>
      <c r="T33" s="1185" t="str">
        <f>IF(AD33=1,IF(AF33="Value is not given at all",".",IF(AF33="Value is given by the source",S33,IF(AF33="Value is calculated with prices",(IF(SUMIFS(Q:Q,A:A,A33)&gt;0,SUMIFS(Q:Q,A:A,A33),"."))/VLOOKUP("USD",'Exchange Rates'!B:C,2,0),"Error with coding"))),"")</f>
        <v/>
      </c>
      <c r="U33" s="1184" t="s">
        <v>365</v>
      </c>
      <c r="V33" s="974" t="s">
        <v>459</v>
      </c>
      <c r="W33" s="976" t="s">
        <v>470</v>
      </c>
      <c r="X33" s="1183" t="s">
        <v>364</v>
      </c>
      <c r="Y33" s="1183" t="s">
        <v>364</v>
      </c>
      <c r="Z33" s="1184">
        <v>0</v>
      </c>
      <c r="AA33" s="1194">
        <v>0</v>
      </c>
      <c r="AB33" s="1201" t="s">
        <v>364</v>
      </c>
      <c r="AC33" s="1192" t="str">
        <f>""</f>
        <v/>
      </c>
      <c r="AD33" s="1193">
        <v>0</v>
      </c>
      <c r="AE33" s="1193" t="s">
        <v>436</v>
      </c>
      <c r="AF33" s="1193" t="s">
        <v>369</v>
      </c>
      <c r="AG33" s="1193">
        <v>1</v>
      </c>
      <c r="AH33" s="1193">
        <v>2</v>
      </c>
      <c r="AI33" s="1193">
        <v>0</v>
      </c>
      <c r="AJ33" s="1193">
        <f>VLOOKUP($I33,'Price List, Weapons &amp; Items'!B:F,5,0)</f>
        <v>0</v>
      </c>
      <c r="AK33" s="1193">
        <f t="shared" si="15"/>
        <v>0</v>
      </c>
      <c r="AL33" s="1193">
        <f t="shared" si="16"/>
        <v>0</v>
      </c>
      <c r="AM33" s="1193">
        <f t="shared" si="17"/>
        <v>0</v>
      </c>
      <c r="AN33" s="1194" t="str">
        <f>VLOOKUP($I33,'Price List, Weapons &amp; Items'!B:L,COLUMN('Price List, Weapons &amp; Items'!$J$11)-1,0)</f>
        <v>Media reports (incl. social media)</v>
      </c>
      <c r="AO33" s="1194" t="str">
        <f>IF(I33=".",".",VLOOKUP($I33,'Price List, Weapons &amp; Items'!B:J,3,0))</f>
        <v>Humanitarian</v>
      </c>
      <c r="AP33" s="1195" t="str">
        <f t="shared" ca="1" si="6"/>
        <v/>
      </c>
      <c r="AQ33" s="1194">
        <f>VLOOKUP($I33,'Price List, Weapons &amp; Items'!B:L,COLUMN('Price List, Weapons &amp; Items'!$L$11)-1,0)</f>
        <v>0</v>
      </c>
      <c r="AR33" s="1194">
        <f t="shared" si="18"/>
        <v>1</v>
      </c>
      <c r="AS33" s="1194">
        <f t="shared" si="19"/>
        <v>0</v>
      </c>
      <c r="AT33" s="1194">
        <f t="shared" si="20"/>
        <v>1</v>
      </c>
      <c r="AU33" s="1194" t="str">
        <f t="shared" si="21"/>
        <v>.</v>
      </c>
      <c r="AV33" s="1194" t="str">
        <f t="shared" si="11"/>
        <v>.</v>
      </c>
      <c r="AW33" s="1194" t="str">
        <f t="shared" si="22"/>
        <v>.</v>
      </c>
      <c r="AX33" s="1194">
        <f>IFERROR(VLOOKUP(B33,'Share, Heavy Weapons to Ukraine'!B:Z,COLUMN('Share, Heavy Weapons to Ukraine'!C43)-1,0),0)</f>
        <v>0</v>
      </c>
      <c r="AY33" s="1194">
        <f>VLOOKUP('Bilateral Assistance, MAIN DATA'!B33,'Country Summary (€)'!B:F,COLUMN('Country Summary (€)'!C44)-1,FALSE)</f>
        <v>1</v>
      </c>
      <c r="AZ33" s="1194" t="str">
        <f>IF(AND(AD33=1,D33="Military",H33&lt;&gt;"Not given")=TRUE,IF(SUMIFS(P:P,A:A,A33)&gt;0,ABS((SUMIFS(P:P,A:A,A33)/VLOOKUP("USD",'Exchange Rates'!B:C,2,0)))/S33,"."),".")</f>
        <v>.</v>
      </c>
      <c r="BA33" s="1196" t="str">
        <f>IF(AND(AD33=1,D33="Military",H33&lt;&gt;"Not given")=TRUE,IF(SUMIFS(P:P,A:A,A33)&gt;0,IF((ABS((SUMIFS(P:P,A:A,A33)/VLOOKUP("USD",'Exchange Rates'!B:C,2,0)))/S33)&gt;1,(SUMIFS(P:P,A:A,A33)-S33)/S33,(S33-SUMIFS(P:P,A:A,A33))/SUMIFS(P:P,A:A,A33)),"."),".")</f>
        <v>.</v>
      </c>
    </row>
    <row r="34" spans="1:53" ht="15.95" customHeight="1">
      <c r="A34" s="1182" t="s">
        <v>453</v>
      </c>
      <c r="B34" s="1182" t="s">
        <v>454</v>
      </c>
      <c r="C34" s="1181">
        <v>44617</v>
      </c>
      <c r="D34" s="1182" t="s">
        <v>360</v>
      </c>
      <c r="E34" s="1182" t="s">
        <v>371</v>
      </c>
      <c r="F34" s="1183" t="s">
        <v>455</v>
      </c>
      <c r="G34" s="1184" t="s">
        <v>456</v>
      </c>
      <c r="H34" s="1185" t="s">
        <v>457</v>
      </c>
      <c r="I34" s="1180" t="s">
        <v>471</v>
      </c>
      <c r="J34" s="1186" t="str">
        <f>VLOOKUP($I34,'Price List, Weapons &amp; Items'!B:C,2,0)</f>
        <v>Humanitarian</v>
      </c>
      <c r="K34" s="1186" t="str">
        <f>IF(I34=".",I34,VLOOKUP($I34,'Price List, Weapons &amp; Items'!B:D,3,0))</f>
        <v>Humanitarian</v>
      </c>
      <c r="L34" s="1187">
        <f>VLOOKUP(I34,'Price List, Weapons &amp; Items'!B:E,4,0)</f>
        <v>0</v>
      </c>
      <c r="M34" s="1188">
        <v>700</v>
      </c>
      <c r="N34" s="1188" t="s">
        <v>374</v>
      </c>
      <c r="O34" s="1188">
        <f>VLOOKUP($I34,'Price List, Weapons &amp; Items'!B:G,6,0)</f>
        <v>150</v>
      </c>
      <c r="P34" s="1185">
        <f t="shared" si="13"/>
        <v>105000</v>
      </c>
      <c r="Q34" s="1185" t="str">
        <f t="shared" si="14"/>
        <v>.</v>
      </c>
      <c r="R34" s="1185" t="str">
        <f t="shared" si="2"/>
        <v/>
      </c>
      <c r="S34" s="1185" t="str">
        <f>IF(AND(AD34=1,R34&lt;&gt;".")=TRUE,R34/VLOOKUP(G34,'Exchange Rates'!B:C,2,0),IF(R34=".",".",""))</f>
        <v/>
      </c>
      <c r="T34" s="1185" t="str">
        <f>IF(AD34=1,IF(AF34="Value is not given at all",".",IF(AF34="Value is given by the source",S34,IF(AF34="Value is calculated with prices",(IF(SUMIFS(Q:Q,A:A,A34)&gt;0,SUMIFS(Q:Q,A:A,A34),"."))/VLOOKUP("USD",'Exchange Rates'!B:C,2,0),"Error with coding"))),"")</f>
        <v/>
      </c>
      <c r="U34" s="1184" t="s">
        <v>365</v>
      </c>
      <c r="V34" s="974" t="s">
        <v>459</v>
      </c>
      <c r="W34" s="976" t="s">
        <v>472</v>
      </c>
      <c r="X34" s="1183" t="s">
        <v>364</v>
      </c>
      <c r="Y34" s="1183" t="s">
        <v>364</v>
      </c>
      <c r="Z34" s="1184">
        <v>0</v>
      </c>
      <c r="AA34" s="1194">
        <v>0</v>
      </c>
      <c r="AB34" s="1201" t="s">
        <v>364</v>
      </c>
      <c r="AC34" s="1192" t="str">
        <f>""</f>
        <v/>
      </c>
      <c r="AD34" s="1193">
        <v>0</v>
      </c>
      <c r="AE34" s="1193" t="s">
        <v>436</v>
      </c>
      <c r="AF34" s="1193" t="s">
        <v>369</v>
      </c>
      <c r="AG34" s="1193">
        <v>1</v>
      </c>
      <c r="AH34" s="1193">
        <v>2</v>
      </c>
      <c r="AI34" s="1193">
        <v>0</v>
      </c>
      <c r="AJ34" s="1193">
        <f>VLOOKUP($I34,'Price List, Weapons &amp; Items'!B:F,5,0)</f>
        <v>0</v>
      </c>
      <c r="AK34" s="1193">
        <f t="shared" si="15"/>
        <v>0</v>
      </c>
      <c r="AL34" s="1193">
        <f t="shared" si="16"/>
        <v>0</v>
      </c>
      <c r="AM34" s="1193">
        <f t="shared" si="17"/>
        <v>0</v>
      </c>
      <c r="AN34" s="1194" t="str">
        <f>VLOOKUP($I34,'Price List, Weapons &amp; Items'!B:L,COLUMN('Price List, Weapons &amp; Items'!$J$11)-1,0)</f>
        <v>Miscellaneous</v>
      </c>
      <c r="AO34" s="1194" t="str">
        <f>IF(I34=".",".",VLOOKUP($I34,'Price List, Weapons &amp; Items'!B:J,3,0))</f>
        <v>Humanitarian</v>
      </c>
      <c r="AP34" s="1195" t="str">
        <f t="shared" ca="1" si="6"/>
        <v/>
      </c>
      <c r="AQ34" s="1194">
        <f>VLOOKUP($I34,'Price List, Weapons &amp; Items'!B:L,COLUMN('Price List, Weapons &amp; Items'!$L$11)-1,0)</f>
        <v>0</v>
      </c>
      <c r="AR34" s="1194">
        <f t="shared" si="18"/>
        <v>1</v>
      </c>
      <c r="AS34" s="1194">
        <f t="shared" si="19"/>
        <v>0</v>
      </c>
      <c r="AT34" s="1194">
        <f t="shared" si="20"/>
        <v>1</v>
      </c>
      <c r="AU34" s="1194" t="str">
        <f t="shared" si="21"/>
        <v>.</v>
      </c>
      <c r="AV34" s="1194" t="str">
        <f t="shared" si="11"/>
        <v>.</v>
      </c>
      <c r="AW34" s="1194" t="str">
        <f t="shared" si="22"/>
        <v>.</v>
      </c>
      <c r="AX34" s="1194">
        <f>IFERROR(VLOOKUP(B34,'Share, Heavy Weapons to Ukraine'!B:Z,COLUMN('Share, Heavy Weapons to Ukraine'!C44)-1,0),0)</f>
        <v>0</v>
      </c>
      <c r="AY34" s="1194">
        <f>VLOOKUP('Bilateral Assistance, MAIN DATA'!B34,'Country Summary (€)'!B:F,COLUMN('Country Summary (€)'!C45)-1,FALSE)</f>
        <v>1</v>
      </c>
      <c r="AZ34" s="1194" t="str">
        <f>IF(AND(AD34=1,D34="Military",H34&lt;&gt;"Not given")=TRUE,IF(SUMIFS(P:P,A:A,A34)&gt;0,ABS((SUMIFS(P:P,A:A,A34)/VLOOKUP("USD",'Exchange Rates'!B:C,2,0)))/S34,"."),".")</f>
        <v>.</v>
      </c>
      <c r="BA34" s="1196" t="str">
        <f>IF(AND(AD34=1,D34="Military",H34&lt;&gt;"Not given")=TRUE,IF(SUMIFS(P:P,A:A,A34)&gt;0,IF((ABS((SUMIFS(P:P,A:A,A34)/VLOOKUP("USD",'Exchange Rates'!B:C,2,0)))/S34)&gt;1,(SUMIFS(P:P,A:A,A34)-S34)/S34,(S34-SUMIFS(P:P,A:A,A34))/SUMIFS(P:P,A:A,A34)),"."),".")</f>
        <v>.</v>
      </c>
    </row>
    <row r="35" spans="1:53" ht="15.95" customHeight="1">
      <c r="A35" s="1182" t="s">
        <v>453</v>
      </c>
      <c r="B35" s="1182" t="s">
        <v>454</v>
      </c>
      <c r="C35" s="1181">
        <v>44617</v>
      </c>
      <c r="D35" s="1182" t="s">
        <v>360</v>
      </c>
      <c r="E35" s="1182" t="s">
        <v>371</v>
      </c>
      <c r="F35" s="1183" t="s">
        <v>455</v>
      </c>
      <c r="G35" s="1184" t="s">
        <v>456</v>
      </c>
      <c r="H35" s="1185" t="s">
        <v>457</v>
      </c>
      <c r="I35" s="1180" t="s">
        <v>473</v>
      </c>
      <c r="J35" s="1186" t="str">
        <f>VLOOKUP($I35,'Price List, Weapons &amp; Items'!B:C,2,0)</f>
        <v>Humanitarian</v>
      </c>
      <c r="K35" s="1186" t="str">
        <f>IF(I35=".",I35,VLOOKUP($I35,'Price List, Weapons &amp; Items'!B:D,3,0))</f>
        <v>Humanitarian</v>
      </c>
      <c r="L35" s="1187">
        <f>VLOOKUP(I35,'Price List, Weapons &amp; Items'!B:E,4,0)</f>
        <v>0</v>
      </c>
      <c r="M35" s="1188">
        <v>28000</v>
      </c>
      <c r="N35" s="1188" t="s">
        <v>374</v>
      </c>
      <c r="O35" s="1188">
        <f>VLOOKUP($I35,'Price List, Weapons &amp; Items'!B:G,6,0)</f>
        <v>1.5</v>
      </c>
      <c r="P35" s="1185">
        <f t="shared" si="13"/>
        <v>42000</v>
      </c>
      <c r="Q35" s="1185" t="str">
        <f t="shared" si="14"/>
        <v>.</v>
      </c>
      <c r="R35" s="1185" t="str">
        <f t="shared" si="2"/>
        <v/>
      </c>
      <c r="S35" s="1185" t="str">
        <f>IF(AND(AD35=1,R35&lt;&gt;".")=TRUE,R35/VLOOKUP(G35,'Exchange Rates'!B:C,2,0),IF(R35=".",".",""))</f>
        <v/>
      </c>
      <c r="T35" s="1185" t="str">
        <f>IF(AD35=1,IF(AF35="Value is not given at all",".",IF(AF35="Value is given by the source",S35,IF(AF35="Value is calculated with prices",(IF(SUMIFS(Q:Q,A:A,A35)&gt;0,SUMIFS(Q:Q,A:A,A35),"."))/VLOOKUP("USD",'Exchange Rates'!B:C,2,0),"Error with coding"))),"")</f>
        <v/>
      </c>
      <c r="U35" s="1184" t="s">
        <v>365</v>
      </c>
      <c r="V35" s="974" t="s">
        <v>459</v>
      </c>
      <c r="W35" s="976" t="s">
        <v>474</v>
      </c>
      <c r="X35" s="1183" t="s">
        <v>364</v>
      </c>
      <c r="Y35" s="1183" t="s">
        <v>364</v>
      </c>
      <c r="Z35" s="1184">
        <v>0</v>
      </c>
      <c r="AA35" s="1194">
        <v>0</v>
      </c>
      <c r="AB35" s="1201" t="s">
        <v>364</v>
      </c>
      <c r="AC35" s="1192" t="str">
        <f>""</f>
        <v/>
      </c>
      <c r="AD35" s="1193">
        <v>0</v>
      </c>
      <c r="AE35" s="1193" t="s">
        <v>436</v>
      </c>
      <c r="AF35" s="1193" t="s">
        <v>369</v>
      </c>
      <c r="AG35" s="1193">
        <v>1</v>
      </c>
      <c r="AH35" s="1193">
        <v>2</v>
      </c>
      <c r="AI35" s="1193">
        <v>0</v>
      </c>
      <c r="AJ35" s="1193">
        <f>VLOOKUP($I35,'Price List, Weapons &amp; Items'!B:F,5,0)</f>
        <v>0</v>
      </c>
      <c r="AK35" s="1193">
        <f t="shared" si="15"/>
        <v>0</v>
      </c>
      <c r="AL35" s="1193">
        <f t="shared" si="16"/>
        <v>0</v>
      </c>
      <c r="AM35" s="1193">
        <f t="shared" si="17"/>
        <v>0</v>
      </c>
      <c r="AN35" s="1194" t="str">
        <f>VLOOKUP($I35,'Price List, Weapons &amp; Items'!B:L,COLUMN('Price List, Weapons &amp; Items'!$J$11)-1,0)</f>
        <v>Online marketplaces and stores</v>
      </c>
      <c r="AO35" s="1194" t="str">
        <f>IF(I35=".",".",VLOOKUP($I35,'Price List, Weapons &amp; Items'!B:J,3,0))</f>
        <v>Humanitarian</v>
      </c>
      <c r="AP35" s="1195" t="str">
        <f t="shared" ca="1" si="6"/>
        <v/>
      </c>
      <c r="AQ35" s="1194">
        <f>VLOOKUP($I35,'Price List, Weapons &amp; Items'!B:L,COLUMN('Price List, Weapons &amp; Items'!$L$11)-1,0)</f>
        <v>0</v>
      </c>
      <c r="AR35" s="1194">
        <f t="shared" si="18"/>
        <v>1</v>
      </c>
      <c r="AS35" s="1194">
        <f t="shared" si="19"/>
        <v>0</v>
      </c>
      <c r="AT35" s="1194">
        <f t="shared" si="20"/>
        <v>1</v>
      </c>
      <c r="AU35" s="1194" t="str">
        <f t="shared" si="21"/>
        <v>.</v>
      </c>
      <c r="AV35" s="1194" t="str">
        <f t="shared" si="11"/>
        <v>.</v>
      </c>
      <c r="AW35" s="1194" t="str">
        <f t="shared" si="22"/>
        <v>.</v>
      </c>
      <c r="AX35" s="1194">
        <f>IFERROR(VLOOKUP(B35,'Share, Heavy Weapons to Ukraine'!B:Z,COLUMN('Share, Heavy Weapons to Ukraine'!C45)-1,0),0)</f>
        <v>0</v>
      </c>
      <c r="AY35" s="1194">
        <f>VLOOKUP('Bilateral Assistance, MAIN DATA'!B35,'Country Summary (€)'!B:F,COLUMN('Country Summary (€)'!C46)-1,FALSE)</f>
        <v>1</v>
      </c>
      <c r="AZ35" s="1194" t="str">
        <f>IF(AND(AD35=1,D35="Military",H35&lt;&gt;"Not given")=TRUE,IF(SUMIFS(P:P,A:A,A35)&gt;0,ABS((SUMIFS(P:P,A:A,A35)/VLOOKUP("USD",'Exchange Rates'!B:C,2,0)))/S35,"."),".")</f>
        <v>.</v>
      </c>
      <c r="BA35" s="1196" t="str">
        <f>IF(AND(AD35=1,D35="Military",H35&lt;&gt;"Not given")=TRUE,IF(SUMIFS(P:P,A:A,A35)&gt;0,IF((ABS((SUMIFS(P:P,A:A,A35)/VLOOKUP("USD",'Exchange Rates'!B:C,2,0)))/S35)&gt;1,(SUMIFS(P:P,A:A,A35)-S35)/S35,(S35-SUMIFS(P:P,A:A,A35))/SUMIFS(P:P,A:A,A35)),"."),".")</f>
        <v>.</v>
      </c>
    </row>
    <row r="36" spans="1:53" s="1180" customFormat="1" ht="15.95" customHeight="1">
      <c r="A36" s="1180" t="s">
        <v>475</v>
      </c>
      <c r="B36" s="1180" t="s">
        <v>454</v>
      </c>
      <c r="C36" s="1181">
        <v>44715</v>
      </c>
      <c r="D36" s="1182" t="s">
        <v>360</v>
      </c>
      <c r="E36" s="1182" t="s">
        <v>371</v>
      </c>
      <c r="F36" s="1183" t="s">
        <v>476</v>
      </c>
      <c r="G36" s="1184" t="s">
        <v>456</v>
      </c>
      <c r="H36" s="1185" t="s">
        <v>457</v>
      </c>
      <c r="I36" s="1180" t="s">
        <v>477</v>
      </c>
      <c r="J36" s="1186" t="str">
        <f>VLOOKUP($I36,'Price List, Weapons &amp; Items'!B:C,2,0)</f>
        <v>Humanitarian</v>
      </c>
      <c r="K36" s="1186" t="str">
        <f>IF(I36=".",I36,VLOOKUP($I36,'Price List, Weapons &amp; Items'!B:D,3,0))</f>
        <v>Humanitarian</v>
      </c>
      <c r="L36" s="1187">
        <f>VLOOKUP(I36,'Price List, Weapons &amp; Items'!B:E,4,0)</f>
        <v>0</v>
      </c>
      <c r="M36" s="984">
        <v>36</v>
      </c>
      <c r="N36" s="1188" t="s">
        <v>374</v>
      </c>
      <c r="O36" s="1188">
        <f>VLOOKUP($I36,'Price List, Weapons &amp; Items'!B:G,6,0)</f>
        <v>317500</v>
      </c>
      <c r="P36" s="1185">
        <f t="shared" si="13"/>
        <v>11430000</v>
      </c>
      <c r="Q36" s="1185" t="str">
        <f t="shared" si="14"/>
        <v>.</v>
      </c>
      <c r="R36" s="1185">
        <f t="shared" si="2"/>
        <v>11430000</v>
      </c>
      <c r="S36" s="1185">
        <f>IF(AND(AD36=1,R36&lt;&gt;".")=TRUE,R36/VLOOKUP(G36,'Exchange Rates'!B:C,2,0),IF(R36=".",".",""))</f>
        <v>10517114.464482885</v>
      </c>
      <c r="T36" s="1185" t="str">
        <f>IF(AD36=1,IF(AF36="Value is not given at all",".",IF(AF36="Value is given by the source",S36,IF(AF36="Value is calculated with prices",(IF(SUMIFS(Q:Q,A:A,A36)&gt;0,SUMIFS(Q:Q,A:A,A36),"."))/VLOOKUP("USD",'Exchange Rates'!B:C,2,0),"Error with coding"))),"")</f>
        <v>.</v>
      </c>
      <c r="U36" s="1187" t="s">
        <v>365</v>
      </c>
      <c r="V36" s="971" t="s">
        <v>478</v>
      </c>
      <c r="W36" s="971" t="s">
        <v>479</v>
      </c>
      <c r="X36" s="1190" t="s">
        <v>364</v>
      </c>
      <c r="Y36" s="1190" t="s">
        <v>364</v>
      </c>
      <c r="Z36" s="1194">
        <v>0</v>
      </c>
      <c r="AA36" s="1194">
        <v>0</v>
      </c>
      <c r="AB36" s="1180" t="s">
        <v>364</v>
      </c>
      <c r="AC36" s="1192" t="str">
        <f>""</f>
        <v/>
      </c>
      <c r="AD36" s="985">
        <v>1</v>
      </c>
      <c r="AE36" s="985" t="s">
        <v>436</v>
      </c>
      <c r="AF36" s="985" t="s">
        <v>369</v>
      </c>
      <c r="AG36" s="985">
        <v>1</v>
      </c>
      <c r="AH36" s="1193">
        <v>6</v>
      </c>
      <c r="AI36" s="1193">
        <v>0</v>
      </c>
      <c r="AJ36" s="1193">
        <f>VLOOKUP($I36,'Price List, Weapons &amp; Items'!B:F,5,0)</f>
        <v>0</v>
      </c>
      <c r="AK36" s="1193">
        <f t="shared" si="15"/>
        <v>0</v>
      </c>
      <c r="AL36" s="1193">
        <f t="shared" si="16"/>
        <v>0</v>
      </c>
      <c r="AM36" s="1193">
        <f t="shared" si="17"/>
        <v>0</v>
      </c>
      <c r="AN36" s="1194" t="str">
        <f>VLOOKUP($I36,'Price List, Weapons &amp; Items'!B:L,COLUMN('Price List, Weapons &amp; Items'!$J$11)-1,0)</f>
        <v>Media reports (incl. social media)</v>
      </c>
      <c r="AO36" s="1194" t="str">
        <f>IF(I36=".",".",VLOOKUP($I36,'Price List, Weapons &amp; Items'!B:J,3,0))</f>
        <v>Humanitarian</v>
      </c>
      <c r="AP36" s="1195" t="str">
        <f t="shared" ca="1" si="6"/>
        <v>ambulance H</v>
      </c>
      <c r="AQ36" s="1194">
        <f>VLOOKUP($I36,'Price List, Weapons &amp; Items'!B:L,COLUMN('Price List, Weapons &amp; Items'!$L$11)-1,0)</f>
        <v>0</v>
      </c>
      <c r="AR36" s="1194">
        <f t="shared" si="18"/>
        <v>1</v>
      </c>
      <c r="AS36" s="1194">
        <f t="shared" si="19"/>
        <v>0</v>
      </c>
      <c r="AT36" s="1194">
        <f t="shared" si="20"/>
        <v>1</v>
      </c>
      <c r="AU36" s="1194" t="str">
        <f t="shared" si="21"/>
        <v>.</v>
      </c>
      <c r="AV36" s="1194" t="str">
        <f t="shared" si="11"/>
        <v>.</v>
      </c>
      <c r="AW36" s="1194" t="str">
        <f t="shared" si="22"/>
        <v>.</v>
      </c>
      <c r="AX36" s="1194">
        <f>IFERROR(VLOOKUP(B36,'Share, Heavy Weapons to Ukraine'!B:Z,COLUMN('Share, Heavy Weapons to Ukraine'!C46)-1,0),0)</f>
        <v>0</v>
      </c>
      <c r="AY36" s="1194">
        <f>VLOOKUP('Bilateral Assistance, MAIN DATA'!B36,'Country Summary (€)'!B:F,COLUMN('Country Summary (€)'!C47)-1,FALSE)</f>
        <v>1</v>
      </c>
      <c r="AZ36" s="1194" t="str">
        <f>IF(AND(AD36=1,D36="Military",H36&lt;&gt;"Not given")=TRUE,IF(SUMIFS(P:P,A:A,A36)&gt;0,ABS((SUMIFS(P:P,A:A,A36)/VLOOKUP("USD",'Exchange Rates'!B:C,2,0)))/S36,"."),".")</f>
        <v>.</v>
      </c>
      <c r="BA36" s="1196" t="str">
        <f>IF(AND(AD36=1,D36="Military",H36&lt;&gt;"Not given")=TRUE,IF(SUMIFS(P:P,A:A,A36)&gt;0,IF((ABS((SUMIFS(P:P,A:A,A36)/VLOOKUP("USD",'Exchange Rates'!B:C,2,0)))/S36)&gt;1,(SUMIFS(P:P,A:A,A36)-S36)/S36,(S36-SUMIFS(P:P,A:A,A36))/SUMIFS(P:P,A:A,A36)),"."),".")</f>
        <v>.</v>
      </c>
    </row>
    <row r="37" spans="1:53" s="1180" customFormat="1" ht="15.95" customHeight="1">
      <c r="A37" s="1180" t="s">
        <v>480</v>
      </c>
      <c r="B37" s="1180" t="s">
        <v>454</v>
      </c>
      <c r="C37" s="1181">
        <v>44685</v>
      </c>
      <c r="D37" s="1182" t="s">
        <v>360</v>
      </c>
      <c r="E37" s="1182" t="s">
        <v>481</v>
      </c>
      <c r="F37" s="1183" t="s">
        <v>482</v>
      </c>
      <c r="G37" s="1184" t="s">
        <v>483</v>
      </c>
      <c r="H37" s="1185">
        <v>36900000</v>
      </c>
      <c r="I37" s="1180" t="s">
        <v>364</v>
      </c>
      <c r="J37" s="1186" t="str">
        <f>VLOOKUP($I37,'Price List, Weapons &amp; Items'!B:C,2,0)</f>
        <v>.</v>
      </c>
      <c r="K37" s="1186" t="str">
        <f>IF(I37=".",I37,VLOOKUP($I37,'Price List, Weapons &amp; Items'!B:D,3,0))</f>
        <v>.</v>
      </c>
      <c r="L37" s="1187">
        <f>VLOOKUP(I37,'Price List, Weapons &amp; Items'!B:E,4,0)</f>
        <v>0</v>
      </c>
      <c r="M37" s="984" t="s">
        <v>364</v>
      </c>
      <c r="N37" s="1188" t="s">
        <v>364</v>
      </c>
      <c r="O37" s="1188" t="str">
        <f>VLOOKUP($I37,'Price List, Weapons &amp; Items'!B:G,6,0)</f>
        <v>.</v>
      </c>
      <c r="P37" s="1185" t="str">
        <f t="shared" si="13"/>
        <v>.</v>
      </c>
      <c r="Q37" s="1185" t="str">
        <f t="shared" si="14"/>
        <v>.</v>
      </c>
      <c r="R37" s="1185">
        <f t="shared" si="2"/>
        <v>36900000</v>
      </c>
      <c r="S37" s="1185">
        <f>IF(AND(AD37=1,R37&lt;&gt;".")=TRUE,R37/VLOOKUP(G37,'Exchange Rates'!B:C,2,0),IF(R37=".",".",""))</f>
        <v>36900000</v>
      </c>
      <c r="T37" s="1185" t="str">
        <f>IF(AD37=1,IF(AF37="Value is not given at all",".",IF(AF37="Value is given by the source",S37,IF(AF37="Value is calculated with prices",(IF(SUMIFS(Q:Q,A:A,A37)&gt;0,SUMIFS(Q:Q,A:A,A37),"."))/VLOOKUP("USD",'Exchange Rates'!B:C,2,0),"Error with coding"))),"")</f>
        <v>.</v>
      </c>
      <c r="U37" s="1184" t="s">
        <v>365</v>
      </c>
      <c r="V37" s="971" t="s">
        <v>484</v>
      </c>
      <c r="W37" s="971" t="s">
        <v>485</v>
      </c>
      <c r="X37" s="971" t="s">
        <v>486</v>
      </c>
      <c r="Y37" s="972" t="s">
        <v>487</v>
      </c>
      <c r="Z37" s="1194">
        <v>0</v>
      </c>
      <c r="AA37" s="1194">
        <v>0</v>
      </c>
      <c r="AB37" s="1201" t="s">
        <v>364</v>
      </c>
      <c r="AC37" s="1192" t="str">
        <f>""</f>
        <v/>
      </c>
      <c r="AD37" s="985">
        <v>1</v>
      </c>
      <c r="AE37" s="985" t="s">
        <v>368</v>
      </c>
      <c r="AF37" s="985" t="s">
        <v>369</v>
      </c>
      <c r="AG37" s="985">
        <v>1</v>
      </c>
      <c r="AH37" s="1193">
        <v>5</v>
      </c>
      <c r="AI37" s="1193">
        <v>0</v>
      </c>
      <c r="AJ37" s="1193">
        <f>VLOOKUP($I37,'Price List, Weapons &amp; Items'!B:F,5,0)</f>
        <v>0</v>
      </c>
      <c r="AK37" s="1193">
        <f t="shared" si="15"/>
        <v>0</v>
      </c>
      <c r="AL37" s="1193">
        <f t="shared" si="16"/>
        <v>0</v>
      </c>
      <c r="AM37" s="1193">
        <f t="shared" si="17"/>
        <v>0</v>
      </c>
      <c r="AN37" s="1194" t="str">
        <f>VLOOKUP($I37,'Price List, Weapons &amp; Items'!B:L,COLUMN('Price List, Weapons &amp; Items'!$J$11)-1,0)</f>
        <v>.</v>
      </c>
      <c r="AO37" s="1194" t="str">
        <f>IF(I37=".",".",VLOOKUP($I37,'Price List, Weapons &amp; Items'!B:J,3,0))</f>
        <v>.</v>
      </c>
      <c r="AP37" s="1195" t="str">
        <f t="shared" ca="1" si="6"/>
        <v>.</v>
      </c>
      <c r="AQ37" s="1194">
        <f>VLOOKUP($I37,'Price List, Weapons &amp; Items'!B:L,COLUMN('Price List, Weapons &amp; Items'!$L$11)-1,0)</f>
        <v>0</v>
      </c>
      <c r="AR37" s="1194">
        <f t="shared" si="18"/>
        <v>1</v>
      </c>
      <c r="AS37" s="1194">
        <f t="shared" si="19"/>
        <v>0</v>
      </c>
      <c r="AT37" s="1194">
        <f t="shared" si="20"/>
        <v>1</v>
      </c>
      <c r="AU37" s="1194" t="str">
        <f t="shared" si="21"/>
        <v>.</v>
      </c>
      <c r="AV37" s="1194" t="str">
        <f t="shared" si="11"/>
        <v>.</v>
      </c>
      <c r="AW37" s="1194" t="str">
        <f t="shared" si="22"/>
        <v>.</v>
      </c>
      <c r="AX37" s="1194">
        <f>IFERROR(VLOOKUP(B37,'Share, Heavy Weapons to Ukraine'!B:Z,COLUMN('Share, Heavy Weapons to Ukraine'!C47)-1,0),0)</f>
        <v>0</v>
      </c>
      <c r="AY37" s="1194">
        <f>VLOOKUP('Bilateral Assistance, MAIN DATA'!B37,'Country Summary (€)'!B:F,COLUMN('Country Summary (€)'!C48)-1,FALSE)</f>
        <v>1</v>
      </c>
      <c r="AZ37" s="1194" t="str">
        <f>IF(AND(AD37=1,D37="Military",H37&lt;&gt;"Not given")=TRUE,IF(SUMIFS(P:P,A:A,A37)&gt;0,ABS((SUMIFS(P:P,A:A,A37)/VLOOKUP("USD",'Exchange Rates'!B:C,2,0)))/S37,"."),".")</f>
        <v>.</v>
      </c>
      <c r="BA37" s="1196" t="str">
        <f>IF(AND(AD37=1,D37="Military",H37&lt;&gt;"Not given")=TRUE,IF(SUMIFS(P:P,A:A,A37)&gt;0,IF((ABS((SUMIFS(P:P,A:A,A37)/VLOOKUP("USD",'Exchange Rates'!B:C,2,0)))/S37)&gt;1,(SUMIFS(P:P,A:A,A37)-S37)/S37,(S37-SUMIFS(P:P,A:A,A37))/SUMIFS(P:P,A:A,A37)),"."),".")</f>
        <v>.</v>
      </c>
    </row>
    <row r="38" spans="1:53" s="1180" customFormat="1" ht="15.95" customHeight="1">
      <c r="A38" s="1180" t="s">
        <v>488</v>
      </c>
      <c r="B38" s="1180" t="s">
        <v>454</v>
      </c>
      <c r="C38" s="1181">
        <v>44815</v>
      </c>
      <c r="D38" s="1182" t="s">
        <v>360</v>
      </c>
      <c r="E38" s="1182" t="s">
        <v>371</v>
      </c>
      <c r="F38" s="1183" t="s">
        <v>489</v>
      </c>
      <c r="G38" s="1184" t="s">
        <v>456</v>
      </c>
      <c r="H38" s="1185" t="s">
        <v>457</v>
      </c>
      <c r="I38" s="1180" t="s">
        <v>477</v>
      </c>
      <c r="J38" s="1186" t="str">
        <f>VLOOKUP($I38,'Price List, Weapons &amp; Items'!B:C,2,0)</f>
        <v>Humanitarian</v>
      </c>
      <c r="K38" s="1186" t="str">
        <f>IF(I38=".",I38,VLOOKUP($I38,'Price List, Weapons &amp; Items'!B:D,3,0))</f>
        <v>Humanitarian</v>
      </c>
      <c r="L38" s="1187">
        <f>VLOOKUP(I38,'Price List, Weapons &amp; Items'!B:E,4,0)</f>
        <v>0</v>
      </c>
      <c r="M38" s="984">
        <v>1</v>
      </c>
      <c r="N38" s="1188" t="s">
        <v>374</v>
      </c>
      <c r="O38" s="1188">
        <f>VLOOKUP($I38,'Price List, Weapons &amp; Items'!B:G,6,0)</f>
        <v>317500</v>
      </c>
      <c r="P38" s="1185">
        <f t="shared" si="13"/>
        <v>317500</v>
      </c>
      <c r="Q38" s="1185" t="str">
        <f t="shared" si="14"/>
        <v>.</v>
      </c>
      <c r="R38" s="1185">
        <f t="shared" si="2"/>
        <v>1817500</v>
      </c>
      <c r="S38" s="1185">
        <f>IF(AND(AD38=1,R38&lt;&gt;".")=TRUE,R38/VLOOKUP(G38,'Exchange Rates'!B:C,2,0),IF(R38=".",".",""))</f>
        <v>1672340.8170776593</v>
      </c>
      <c r="T38" s="1185" t="str">
        <f>IF(AD38=1,IF(AF38="Value is not given at all",".",IF(AF38="Value is given by the source",S38,IF(AF38="Value is calculated with prices",(IF(SUMIFS(Q:Q,A:A,A38)&gt;0,SUMIFS(Q:Q,A:A,A38),"."))/VLOOKUP("USD",'Exchange Rates'!B:C,2,0),"Error with coding"))),"")</f>
        <v>.</v>
      </c>
      <c r="U38" s="1184" t="s">
        <v>365</v>
      </c>
      <c r="V38" s="971" t="s">
        <v>490</v>
      </c>
      <c r="W38" s="971" t="s">
        <v>491</v>
      </c>
      <c r="X38" s="986" t="s">
        <v>364</v>
      </c>
      <c r="Y38" s="1190" t="s">
        <v>364</v>
      </c>
      <c r="Z38" s="1194">
        <v>0</v>
      </c>
      <c r="AA38" s="1194">
        <v>0</v>
      </c>
      <c r="AB38" s="1201" t="s">
        <v>364</v>
      </c>
      <c r="AC38" s="1192" t="str">
        <f>""</f>
        <v/>
      </c>
      <c r="AD38" s="985">
        <v>1</v>
      </c>
      <c r="AE38" s="985" t="s">
        <v>436</v>
      </c>
      <c r="AF38" s="985" t="s">
        <v>369</v>
      </c>
      <c r="AG38" s="985">
        <v>1</v>
      </c>
      <c r="AH38" s="1193">
        <v>9</v>
      </c>
      <c r="AI38" s="1193">
        <v>0</v>
      </c>
      <c r="AJ38" s="1193">
        <f>VLOOKUP($I38,'Price List, Weapons &amp; Items'!B:F,5,0)</f>
        <v>0</v>
      </c>
      <c r="AK38" s="1193">
        <f t="shared" si="15"/>
        <v>0</v>
      </c>
      <c r="AL38" s="1193">
        <f t="shared" si="16"/>
        <v>0</v>
      </c>
      <c r="AM38" s="1193">
        <f t="shared" si="17"/>
        <v>0</v>
      </c>
      <c r="AN38" s="1194" t="str">
        <f>VLOOKUP($I38,'Price List, Weapons &amp; Items'!B:L,COLUMN('Price List, Weapons &amp; Items'!$J$11)-1,0)</f>
        <v>Media reports (incl. social media)</v>
      </c>
      <c r="AO38" s="1194" t="str">
        <f>IF(I38=".",".",VLOOKUP($I38,'Price List, Weapons &amp; Items'!B:J,3,0))</f>
        <v>Humanitarian</v>
      </c>
      <c r="AP38" s="1195" t="str">
        <f t="shared" ca="1" si="6"/>
        <v>ambulance H</v>
      </c>
      <c r="AQ38" s="1194">
        <f>VLOOKUP($I38,'Price List, Weapons &amp; Items'!B:L,COLUMN('Price List, Weapons &amp; Items'!$L$11)-1,0)</f>
        <v>0</v>
      </c>
      <c r="AR38" s="1194">
        <f t="shared" si="18"/>
        <v>1</v>
      </c>
      <c r="AS38" s="1194">
        <f t="shared" si="19"/>
        <v>0</v>
      </c>
      <c r="AT38" s="1194">
        <f t="shared" si="20"/>
        <v>1</v>
      </c>
      <c r="AU38" s="1194" t="str">
        <f t="shared" si="21"/>
        <v>.</v>
      </c>
      <c r="AV38" s="1194" t="str">
        <f t="shared" si="11"/>
        <v>.</v>
      </c>
      <c r="AW38" s="1194" t="str">
        <f t="shared" si="22"/>
        <v>.</v>
      </c>
      <c r="AX38" s="1194">
        <f>IFERROR(VLOOKUP(B38,'Share, Heavy Weapons to Ukraine'!B:Z,COLUMN('Share, Heavy Weapons to Ukraine'!C48)-1,0),0)</f>
        <v>0</v>
      </c>
      <c r="AY38" s="1194">
        <f>VLOOKUP('Bilateral Assistance, MAIN DATA'!B38,'Country Summary (€)'!B:F,COLUMN('Country Summary (€)'!C49)-1,FALSE)</f>
        <v>1</v>
      </c>
      <c r="AZ38" s="1194" t="str">
        <f>IF(AND(AD38=1,D38="Military",H38&lt;&gt;"Not given")=TRUE,IF(SUMIFS(P:P,A:A,A38)&gt;0,ABS((SUMIFS(P:P,A:A,A38)/VLOOKUP("USD",'Exchange Rates'!B:C,2,0)))/S38,"."),".")</f>
        <v>.</v>
      </c>
      <c r="BA38" s="1196" t="str">
        <f>IF(AND(AD38=1,D38="Military",H38&lt;&gt;"Not given")=TRUE,IF(SUMIFS(P:P,A:A,A38)&gt;0,IF((ABS((SUMIFS(P:P,A:A,A38)/VLOOKUP("USD",'Exchange Rates'!B:C,2,0)))/S38)&gt;1,(SUMIFS(P:P,A:A,A38)-S38)/S38,(S38-SUMIFS(P:P,A:A,A38))/SUMIFS(P:P,A:A,A38)),"."),".")</f>
        <v>.</v>
      </c>
    </row>
    <row r="39" spans="1:53" s="1180" customFormat="1" ht="15.95" customHeight="1">
      <c r="A39" s="1180" t="s">
        <v>488</v>
      </c>
      <c r="B39" s="1180" t="s">
        <v>454</v>
      </c>
      <c r="C39" s="1181">
        <v>44815</v>
      </c>
      <c r="D39" s="1182" t="s">
        <v>360</v>
      </c>
      <c r="E39" s="1182" t="s">
        <v>371</v>
      </c>
      <c r="F39" s="1183" t="s">
        <v>489</v>
      </c>
      <c r="G39" s="1184" t="s">
        <v>456</v>
      </c>
      <c r="H39" s="1185" t="s">
        <v>457</v>
      </c>
      <c r="I39" s="1180" t="s">
        <v>492</v>
      </c>
      <c r="J39" s="1186" t="str">
        <f>VLOOKUP($I39,'Price List, Weapons &amp; Items'!B:C,2,0)</f>
        <v>Humanitarian</v>
      </c>
      <c r="K39" s="1186" t="str">
        <f>IF(I39=".",I39,VLOOKUP($I39,'Price List, Weapons &amp; Items'!B:D,3,0))</f>
        <v>Humanitarian</v>
      </c>
      <c r="L39" s="1187">
        <f>VLOOKUP(I39,'Price List, Weapons &amp; Items'!B:E,4,0)</f>
        <v>0</v>
      </c>
      <c r="M39" s="984">
        <v>3</v>
      </c>
      <c r="N39" s="1188" t="s">
        <v>374</v>
      </c>
      <c r="O39" s="1188">
        <f>VLOOKUP($I39,'Price List, Weapons &amp; Items'!B:G,6,0)</f>
        <v>400000</v>
      </c>
      <c r="P39" s="1185">
        <f t="shared" si="13"/>
        <v>1200000</v>
      </c>
      <c r="Q39" s="1185" t="str">
        <f t="shared" si="14"/>
        <v>.</v>
      </c>
      <c r="R39" s="1185" t="str">
        <f t="shared" si="2"/>
        <v/>
      </c>
      <c r="S39" s="1185" t="str">
        <f>IF(AND(AD39=1,R39&lt;&gt;".")=TRUE,R39/VLOOKUP(G39,'Exchange Rates'!B:C,2,0),IF(R39=".",".",""))</f>
        <v/>
      </c>
      <c r="T39" s="1185" t="str">
        <f>IF(AD39=1,IF(AF39="Value is not given at all",".",IF(AF39="Value is given by the source",S39,IF(AF39="Value is calculated with prices",(IF(SUMIFS(Q:Q,A:A,A39)&gt;0,SUMIFS(Q:Q,A:A,A39),"."))/VLOOKUP("USD",'Exchange Rates'!B:C,2,0),"Error with coding"))),"")</f>
        <v/>
      </c>
      <c r="U39" s="1184" t="s">
        <v>365</v>
      </c>
      <c r="V39" s="971" t="s">
        <v>490</v>
      </c>
      <c r="W39" s="971" t="s">
        <v>491</v>
      </c>
      <c r="X39" s="986" t="s">
        <v>364</v>
      </c>
      <c r="Y39" s="1190" t="s">
        <v>364</v>
      </c>
      <c r="Z39" s="1194">
        <v>0</v>
      </c>
      <c r="AA39" s="1194">
        <v>0</v>
      </c>
      <c r="AB39" s="1201" t="s">
        <v>364</v>
      </c>
      <c r="AC39" s="1192" t="str">
        <f>""</f>
        <v/>
      </c>
      <c r="AD39" s="985">
        <v>0</v>
      </c>
      <c r="AE39" s="985" t="s">
        <v>436</v>
      </c>
      <c r="AF39" s="985" t="s">
        <v>369</v>
      </c>
      <c r="AG39" s="985">
        <v>1</v>
      </c>
      <c r="AH39" s="1193">
        <v>9</v>
      </c>
      <c r="AI39" s="1193">
        <v>0</v>
      </c>
      <c r="AJ39" s="1193">
        <f>VLOOKUP($I39,'Price List, Weapons &amp; Items'!B:F,5,0)</f>
        <v>0</v>
      </c>
      <c r="AK39" s="1193">
        <f t="shared" si="15"/>
        <v>0</v>
      </c>
      <c r="AL39" s="1193">
        <f t="shared" si="16"/>
        <v>0</v>
      </c>
      <c r="AM39" s="1193">
        <f t="shared" si="17"/>
        <v>0</v>
      </c>
      <c r="AN39" s="1194" t="str">
        <f>VLOOKUP($I39,'Price List, Weapons &amp; Items'!B:L,COLUMN('Price List, Weapons &amp; Items'!$J$11)-1,0)</f>
        <v>Media reports (incl. social media)</v>
      </c>
      <c r="AO39" s="1194" t="str">
        <f>IF(I39=".",".",VLOOKUP($I39,'Price List, Weapons &amp; Items'!B:J,3,0))</f>
        <v>Humanitarian</v>
      </c>
      <c r="AP39" s="1195" t="str">
        <f t="shared" ca="1" si="6"/>
        <v/>
      </c>
      <c r="AQ39" s="1194">
        <f>VLOOKUP($I39,'Price List, Weapons &amp; Items'!B:L,COLUMN('Price List, Weapons &amp; Items'!$L$11)-1,0)</f>
        <v>0</v>
      </c>
      <c r="AR39" s="1194">
        <f t="shared" si="18"/>
        <v>1</v>
      </c>
      <c r="AS39" s="1194">
        <f t="shared" si="19"/>
        <v>0</v>
      </c>
      <c r="AT39" s="1194">
        <f t="shared" si="20"/>
        <v>1</v>
      </c>
      <c r="AU39" s="1194" t="str">
        <f t="shared" si="21"/>
        <v>.</v>
      </c>
      <c r="AV39" s="1194" t="str">
        <f t="shared" si="11"/>
        <v>.</v>
      </c>
      <c r="AW39" s="1194" t="str">
        <f t="shared" si="22"/>
        <v>.</v>
      </c>
      <c r="AX39" s="1194">
        <f>IFERROR(VLOOKUP(B39,'Share, Heavy Weapons to Ukraine'!B:Z,COLUMN('Share, Heavy Weapons to Ukraine'!C49)-1,0),0)</f>
        <v>0</v>
      </c>
      <c r="AY39" s="1194">
        <f>VLOOKUP('Bilateral Assistance, MAIN DATA'!B39,'Country Summary (€)'!B:F,COLUMN('Country Summary (€)'!C50)-1,FALSE)</f>
        <v>1</v>
      </c>
      <c r="AZ39" s="1194" t="str">
        <f>IF(AND(AD39=1,D39="Military",H39&lt;&gt;"Not given")=TRUE,IF(SUMIFS(P:P,A:A,A39)&gt;0,ABS((SUMIFS(P:P,A:A,A39)/VLOOKUP("USD",'Exchange Rates'!B:C,2,0)))/S39,"."),".")</f>
        <v>.</v>
      </c>
      <c r="BA39" s="1196" t="str">
        <f>IF(AND(AD39=1,D39="Military",H39&lt;&gt;"Not given")=TRUE,IF(SUMIFS(P:P,A:A,A39)&gt;0,IF((ABS((SUMIFS(P:P,A:A,A39)/VLOOKUP("USD",'Exchange Rates'!B:C,2,0)))/S39)&gt;1,(SUMIFS(P:P,A:A,A39)-S39)/S39,(S39-SUMIFS(P:P,A:A,A39))/SUMIFS(P:P,A:A,A39)),"."),".")</f>
        <v>.</v>
      </c>
    </row>
    <row r="40" spans="1:53" s="1180" customFormat="1" ht="15.95" customHeight="1">
      <c r="A40" s="1180" t="s">
        <v>488</v>
      </c>
      <c r="B40" s="1180" t="s">
        <v>454</v>
      </c>
      <c r="C40" s="1181">
        <v>44815</v>
      </c>
      <c r="D40" s="1182" t="s">
        <v>360</v>
      </c>
      <c r="E40" s="1182" t="s">
        <v>371</v>
      </c>
      <c r="F40" s="1183" t="s">
        <v>489</v>
      </c>
      <c r="G40" s="1184" t="s">
        <v>456</v>
      </c>
      <c r="H40" s="1185" t="s">
        <v>457</v>
      </c>
      <c r="I40" s="1180" t="s">
        <v>493</v>
      </c>
      <c r="J40" s="1186" t="str">
        <f>VLOOKUP($I40,'Price List, Weapons &amp; Items'!B:C,2,0)</f>
        <v>Humanitarian</v>
      </c>
      <c r="K40" s="1186" t="str">
        <f>IF(I40=".",I40,VLOOKUP($I40,'Price List, Weapons &amp; Items'!B:D,3,0))</f>
        <v>Humanitarian</v>
      </c>
      <c r="L40" s="1187">
        <f>VLOOKUP(I40,'Price List, Weapons &amp; Items'!B:E,4,0)</f>
        <v>0</v>
      </c>
      <c r="M40" s="984">
        <v>1</v>
      </c>
      <c r="N40" s="1188" t="s">
        <v>374</v>
      </c>
      <c r="O40" s="1188">
        <f>VLOOKUP($I40,'Price List, Weapons &amp; Items'!B:G,6,0)</f>
        <v>300000</v>
      </c>
      <c r="P40" s="1185">
        <f t="shared" si="13"/>
        <v>300000</v>
      </c>
      <c r="Q40" s="1185" t="str">
        <f t="shared" si="14"/>
        <v>.</v>
      </c>
      <c r="R40" s="1185" t="str">
        <f t="shared" si="2"/>
        <v/>
      </c>
      <c r="S40" s="1185" t="str">
        <f>IF(AND(AD40=1,R40&lt;&gt;".")=TRUE,R40/VLOOKUP(G40,'Exchange Rates'!B:C,2,0),IF(R40=".",".",""))</f>
        <v/>
      </c>
      <c r="T40" s="1185" t="str">
        <f>IF(AD40=1,IF(AF40="Value is not given at all",".",IF(AF40="Value is given by the source",S40,IF(AF40="Value is calculated with prices",(IF(SUMIFS(Q:Q,A:A,A40)&gt;0,SUMIFS(Q:Q,A:A,A40),"."))/VLOOKUP("USD",'Exchange Rates'!B:C,2,0),"Error with coding"))),"")</f>
        <v/>
      </c>
      <c r="U40" s="1184" t="s">
        <v>365</v>
      </c>
      <c r="V40" s="971" t="s">
        <v>490</v>
      </c>
      <c r="W40" s="971" t="s">
        <v>491</v>
      </c>
      <c r="X40" s="986" t="s">
        <v>364</v>
      </c>
      <c r="Y40" s="1190" t="s">
        <v>364</v>
      </c>
      <c r="Z40" s="1194">
        <v>0</v>
      </c>
      <c r="AA40" s="1194">
        <v>0</v>
      </c>
      <c r="AB40" s="1201" t="s">
        <v>364</v>
      </c>
      <c r="AC40" s="1192" t="str">
        <f>""</f>
        <v/>
      </c>
      <c r="AD40" s="985">
        <v>0</v>
      </c>
      <c r="AE40" s="985" t="s">
        <v>436</v>
      </c>
      <c r="AF40" s="985" t="s">
        <v>369</v>
      </c>
      <c r="AG40" s="985">
        <v>1</v>
      </c>
      <c r="AH40" s="1193">
        <v>9</v>
      </c>
      <c r="AI40" s="1193">
        <v>0</v>
      </c>
      <c r="AJ40" s="1193">
        <f>VLOOKUP($I40,'Price List, Weapons &amp; Items'!B:F,5,0)</f>
        <v>0</v>
      </c>
      <c r="AK40" s="1193">
        <f t="shared" si="15"/>
        <v>0</v>
      </c>
      <c r="AL40" s="1193">
        <f t="shared" si="16"/>
        <v>0</v>
      </c>
      <c r="AM40" s="1193">
        <f t="shared" si="17"/>
        <v>0</v>
      </c>
      <c r="AN40" s="1194" t="str">
        <f>VLOOKUP($I40,'Price List, Weapons &amp; Items'!B:L,COLUMN('Price List, Weapons &amp; Items'!$J$11)-1,0)</f>
        <v>Online marketplaces and stores</v>
      </c>
      <c r="AO40" s="1194" t="str">
        <f>IF(I40=".",".",VLOOKUP($I40,'Price List, Weapons &amp; Items'!B:J,3,0))</f>
        <v>Humanitarian</v>
      </c>
      <c r="AP40" s="1195" t="str">
        <f t="shared" ca="1" si="6"/>
        <v/>
      </c>
      <c r="AQ40" s="1194">
        <f>VLOOKUP($I40,'Price List, Weapons &amp; Items'!B:L,COLUMN('Price List, Weapons &amp; Items'!$L$11)-1,0)</f>
        <v>0</v>
      </c>
      <c r="AR40" s="1194">
        <f t="shared" si="18"/>
        <v>1</v>
      </c>
      <c r="AS40" s="1194">
        <f t="shared" si="19"/>
        <v>0</v>
      </c>
      <c r="AT40" s="1194">
        <f t="shared" si="20"/>
        <v>1</v>
      </c>
      <c r="AU40" s="1194" t="str">
        <f t="shared" si="21"/>
        <v>.</v>
      </c>
      <c r="AV40" s="1194" t="str">
        <f t="shared" si="11"/>
        <v>.</v>
      </c>
      <c r="AW40" s="1194" t="str">
        <f t="shared" si="22"/>
        <v>.</v>
      </c>
      <c r="AX40" s="1194">
        <f>IFERROR(VLOOKUP(B40,'Share, Heavy Weapons to Ukraine'!B:Z,COLUMN('Share, Heavy Weapons to Ukraine'!C50)-1,0),0)</f>
        <v>0</v>
      </c>
      <c r="AY40" s="1194">
        <f>VLOOKUP('Bilateral Assistance, MAIN DATA'!B40,'Country Summary (€)'!B:F,COLUMN('Country Summary (€)'!C51)-1,FALSE)</f>
        <v>1</v>
      </c>
      <c r="AZ40" s="1194" t="str">
        <f>IF(AND(AD40=1,D40="Military",H40&lt;&gt;"Not given")=TRUE,IF(SUMIFS(P:P,A:A,A40)&gt;0,ABS((SUMIFS(P:P,A:A,A40)/VLOOKUP("USD",'Exchange Rates'!B:C,2,0)))/S40,"."),".")</f>
        <v>.</v>
      </c>
      <c r="BA40" s="1196" t="str">
        <f>IF(AND(AD40=1,D40="Military",H40&lt;&gt;"Not given")=TRUE,IF(SUMIFS(P:P,A:A,A40)&gt;0,IF((ABS((SUMIFS(P:P,A:A,A40)/VLOOKUP("USD",'Exchange Rates'!B:C,2,0)))/S40)&gt;1,(SUMIFS(P:P,A:A,A40)-S40)/S40,(S40-SUMIFS(P:P,A:A,A40))/SUMIFS(P:P,A:A,A40)),"."),".")</f>
        <v>.</v>
      </c>
    </row>
    <row r="41" spans="1:53" s="1180" customFormat="1" ht="15.95" customHeight="1">
      <c r="A41" s="1180" t="s">
        <v>494</v>
      </c>
      <c r="B41" s="1180" t="s">
        <v>454</v>
      </c>
      <c r="C41" s="1181">
        <v>44808</v>
      </c>
      <c r="D41" s="1182" t="s">
        <v>360</v>
      </c>
      <c r="E41" s="1182" t="s">
        <v>495</v>
      </c>
      <c r="F41" s="1183" t="s">
        <v>496</v>
      </c>
      <c r="G41" s="1184" t="s">
        <v>483</v>
      </c>
      <c r="H41" s="1185">
        <v>600000000</v>
      </c>
      <c r="I41" s="1180" t="s">
        <v>364</v>
      </c>
      <c r="J41" s="1186" t="str">
        <f>VLOOKUP($I41,'Price List, Weapons &amp; Items'!B:C,2,0)</f>
        <v>.</v>
      </c>
      <c r="K41" s="1186" t="str">
        <f>IF(I41=".",I41,VLOOKUP($I41,'Price List, Weapons &amp; Items'!B:D,3,0))</f>
        <v>.</v>
      </c>
      <c r="L41" s="1187">
        <f>VLOOKUP(I41,'Price List, Weapons &amp; Items'!B:E,4,0)</f>
        <v>0</v>
      </c>
      <c r="M41" s="984" t="s">
        <v>364</v>
      </c>
      <c r="N41" s="1188" t="s">
        <v>364</v>
      </c>
      <c r="O41" s="1188" t="str">
        <f>VLOOKUP($I41,'Price List, Weapons &amp; Items'!B:G,6,0)</f>
        <v>.</v>
      </c>
      <c r="P41" s="1185" t="str">
        <f t="shared" si="13"/>
        <v>.</v>
      </c>
      <c r="Q41" s="1185" t="str">
        <f t="shared" si="14"/>
        <v>.</v>
      </c>
      <c r="R41" s="1185">
        <f t="shared" si="2"/>
        <v>600000000</v>
      </c>
      <c r="S41" s="1185">
        <f>IF(AND(AD41=1,R41&lt;&gt;".")=TRUE,R41/VLOOKUP(G41,'Exchange Rates'!B:C,2,0),IF(R41=".",".",""))</f>
        <v>600000000</v>
      </c>
      <c r="T41" s="1185" t="str">
        <f>IF(AD41=1,IF(AF41="Value is not given at all",".",IF(AF41="Value is given by the source",S41,IF(AF41="Value is calculated with prices",(IF(SUMIFS(Q:Q,A:A,A41)&gt;0,SUMIFS(Q:Q,A:A,A41),"."))/VLOOKUP("USD",'Exchange Rates'!B:C,2,0),"Error with coding"))),"")</f>
        <v>.</v>
      </c>
      <c r="U41" s="1184" t="s">
        <v>365</v>
      </c>
      <c r="V41" s="971" t="s">
        <v>497</v>
      </c>
      <c r="W41" s="971" t="s">
        <v>498</v>
      </c>
      <c r="X41" s="973" t="s">
        <v>499</v>
      </c>
      <c r="Y41" s="1190" t="s">
        <v>364</v>
      </c>
      <c r="Z41" s="1194">
        <v>0</v>
      </c>
      <c r="AA41" s="1194">
        <v>0</v>
      </c>
      <c r="AB41" s="1201" t="s">
        <v>364</v>
      </c>
      <c r="AC41" s="1192" t="str">
        <f>""</f>
        <v/>
      </c>
      <c r="AD41" s="985">
        <v>1</v>
      </c>
      <c r="AE41" s="985" t="s">
        <v>368</v>
      </c>
      <c r="AF41" s="985" t="s">
        <v>369</v>
      </c>
      <c r="AG41" s="985">
        <v>1</v>
      </c>
      <c r="AH41" s="1193">
        <v>9</v>
      </c>
      <c r="AI41" s="1193">
        <v>0</v>
      </c>
      <c r="AJ41" s="1193">
        <f>VLOOKUP($I41,'Price List, Weapons &amp; Items'!B:F,5,0)</f>
        <v>0</v>
      </c>
      <c r="AK41" s="1193">
        <f t="shared" si="15"/>
        <v>0</v>
      </c>
      <c r="AL41" s="1193">
        <f t="shared" si="16"/>
        <v>0</v>
      </c>
      <c r="AM41" s="1193">
        <f t="shared" si="17"/>
        <v>0</v>
      </c>
      <c r="AN41" s="1194" t="str">
        <f>VLOOKUP($I41,'Price List, Weapons &amp; Items'!B:L,COLUMN('Price List, Weapons &amp; Items'!$J$11)-1,0)</f>
        <v>.</v>
      </c>
      <c r="AO41" s="1194" t="str">
        <f>IF(I41=".",".",VLOOKUP($I41,'Price List, Weapons &amp; Items'!B:J,3,0))</f>
        <v>.</v>
      </c>
      <c r="AP41" s="1195" t="str">
        <f t="shared" ca="1" si="6"/>
        <v>.</v>
      </c>
      <c r="AQ41" s="1194">
        <f>VLOOKUP($I41,'Price List, Weapons &amp; Items'!B:L,COLUMN('Price List, Weapons &amp; Items'!$L$11)-1,0)</f>
        <v>0</v>
      </c>
      <c r="AR41" s="1194">
        <f t="shared" si="18"/>
        <v>1</v>
      </c>
      <c r="AS41" s="1194">
        <f t="shared" si="19"/>
        <v>0</v>
      </c>
      <c r="AT41" s="1194">
        <f t="shared" si="20"/>
        <v>1</v>
      </c>
      <c r="AU41" s="1194" t="str">
        <f t="shared" si="21"/>
        <v>.</v>
      </c>
      <c r="AV41" s="1194" t="str">
        <f t="shared" si="11"/>
        <v>.</v>
      </c>
      <c r="AW41" s="1194" t="str">
        <f t="shared" si="22"/>
        <v>.</v>
      </c>
      <c r="AX41" s="1194">
        <f>IFERROR(VLOOKUP(B41,'Share, Heavy Weapons to Ukraine'!B:Z,COLUMN('Share, Heavy Weapons to Ukraine'!C51)-1,0),0)</f>
        <v>0</v>
      </c>
      <c r="AY41" s="1194">
        <f>VLOOKUP('Bilateral Assistance, MAIN DATA'!B41,'Country Summary (€)'!B:F,COLUMN('Country Summary (€)'!C52)-1,FALSE)</f>
        <v>1</v>
      </c>
      <c r="AZ41" s="1194" t="str">
        <f>IF(AND(AD41=1,D41="Military",H41&lt;&gt;"Not given")=TRUE,IF(SUMIFS(P:P,A:A,A41)&gt;0,ABS((SUMIFS(P:P,A:A,A41)/VLOOKUP("USD",'Exchange Rates'!B:C,2,0)))/S41,"."),".")</f>
        <v>.</v>
      </c>
      <c r="BA41" s="1196" t="str">
        <f>IF(AND(AD41=1,D41="Military",H41&lt;&gt;"Not given")=TRUE,IF(SUMIFS(P:P,A:A,A41)&gt;0,IF((ABS((SUMIFS(P:P,A:A,A41)/VLOOKUP("USD",'Exchange Rates'!B:C,2,0)))/S41)&gt;1,(SUMIFS(P:P,A:A,A41)-S41)/S41,(S41-SUMIFS(P:P,A:A,A41))/SUMIFS(P:P,A:A,A41)),"."),".")</f>
        <v>.</v>
      </c>
    </row>
    <row r="42" spans="1:53" s="1180" customFormat="1" ht="15.95" customHeight="1">
      <c r="A42" s="1180" t="s">
        <v>500</v>
      </c>
      <c r="B42" s="1180" t="s">
        <v>454</v>
      </c>
      <c r="C42" s="1181">
        <v>44866</v>
      </c>
      <c r="D42" s="1182" t="s">
        <v>360</v>
      </c>
      <c r="E42" s="1182" t="s">
        <v>371</v>
      </c>
      <c r="F42" s="1183" t="s">
        <v>501</v>
      </c>
      <c r="G42" s="1184" t="s">
        <v>483</v>
      </c>
      <c r="H42" s="1185">
        <v>5005199</v>
      </c>
      <c r="I42" s="1180" t="s">
        <v>364</v>
      </c>
      <c r="J42" s="1186" t="str">
        <f>VLOOKUP($I42,'Price List, Weapons &amp; Items'!B:C,2,0)</f>
        <v>.</v>
      </c>
      <c r="K42" s="1186" t="str">
        <f>IF(I42=".",I42,VLOOKUP($I42,'Price List, Weapons &amp; Items'!B:D,3,0))</f>
        <v>.</v>
      </c>
      <c r="L42" s="1187">
        <f>VLOOKUP(I42,'Price List, Weapons &amp; Items'!B:E,4,0)</f>
        <v>0</v>
      </c>
      <c r="M42" s="984" t="s">
        <v>364</v>
      </c>
      <c r="N42" s="1188" t="s">
        <v>364</v>
      </c>
      <c r="O42" s="1188" t="str">
        <f>VLOOKUP($I42,'Price List, Weapons &amp; Items'!B:G,6,0)</f>
        <v>.</v>
      </c>
      <c r="P42" s="1185" t="str">
        <f t="shared" si="13"/>
        <v>.</v>
      </c>
      <c r="Q42" s="1185" t="str">
        <f t="shared" si="14"/>
        <v>.</v>
      </c>
      <c r="R42" s="1185">
        <f t="shared" si="2"/>
        <v>5005199</v>
      </c>
      <c r="S42" s="1185">
        <f>IF(AND(AD42=1,R42&lt;&gt;".")=TRUE,R42/VLOOKUP(G42,'Exchange Rates'!B:C,2,0),IF(R42=".",".",""))</f>
        <v>5005199</v>
      </c>
      <c r="T42" s="1185" t="str">
        <f>IF(AD42=1,IF(AF42="Value is not given at all",".",IF(AF42="Value is given by the source",S42,IF(AF42="Value is calculated with prices",(IF(SUMIFS(Q:Q,A:A,A42)&gt;0,SUMIFS(Q:Q,A:A,A42),"."))/VLOOKUP("USD",'Exchange Rates'!B:C,2,0),"Error with coding"))),"")</f>
        <v>.</v>
      </c>
      <c r="U42" s="1184" t="s">
        <v>365</v>
      </c>
      <c r="V42" s="973" t="s">
        <v>502</v>
      </c>
      <c r="W42" s="986" t="s">
        <v>364</v>
      </c>
      <c r="X42" s="986" t="s">
        <v>364</v>
      </c>
      <c r="Y42" s="1190" t="s">
        <v>364</v>
      </c>
      <c r="Z42" s="1194">
        <v>0</v>
      </c>
      <c r="AA42" s="1194">
        <v>0</v>
      </c>
      <c r="AB42" s="1201" t="s">
        <v>364</v>
      </c>
      <c r="AC42" s="1192" t="str">
        <f>""</f>
        <v/>
      </c>
      <c r="AD42" s="985">
        <v>1</v>
      </c>
      <c r="AE42" s="985" t="s">
        <v>368</v>
      </c>
      <c r="AF42" s="985" t="s">
        <v>369</v>
      </c>
      <c r="AG42" s="985">
        <v>1</v>
      </c>
      <c r="AH42" s="1193">
        <v>11</v>
      </c>
      <c r="AI42" s="1193">
        <v>0</v>
      </c>
      <c r="AJ42" s="1193">
        <f>VLOOKUP($I42,'Price List, Weapons &amp; Items'!B:F,5,0)</f>
        <v>0</v>
      </c>
      <c r="AK42" s="1193">
        <f t="shared" si="15"/>
        <v>0</v>
      </c>
      <c r="AL42" s="1193">
        <f t="shared" si="16"/>
        <v>0</v>
      </c>
      <c r="AM42" s="1193">
        <f t="shared" si="17"/>
        <v>0</v>
      </c>
      <c r="AN42" s="1194" t="str">
        <f>VLOOKUP($I42,'Price List, Weapons &amp; Items'!B:L,COLUMN('Price List, Weapons &amp; Items'!$J$11)-1,0)</f>
        <v>.</v>
      </c>
      <c r="AO42" s="1194" t="str">
        <f>IF(I42=".",".",VLOOKUP($I42,'Price List, Weapons &amp; Items'!B:J,3,0))</f>
        <v>.</v>
      </c>
      <c r="AP42" s="1195" t="str">
        <f t="shared" ca="1" si="6"/>
        <v>.</v>
      </c>
      <c r="AQ42" s="1194">
        <f>VLOOKUP($I42,'Price List, Weapons &amp; Items'!B:L,COLUMN('Price List, Weapons &amp; Items'!$L$11)-1,0)</f>
        <v>0</v>
      </c>
      <c r="AR42" s="1194">
        <f t="shared" si="18"/>
        <v>1</v>
      </c>
      <c r="AS42" s="1194">
        <f t="shared" si="19"/>
        <v>0</v>
      </c>
      <c r="AT42" s="1194">
        <f t="shared" si="20"/>
        <v>1</v>
      </c>
      <c r="AU42" s="1194" t="str">
        <f t="shared" si="21"/>
        <v>.</v>
      </c>
      <c r="AV42" s="1194" t="str">
        <f t="shared" si="11"/>
        <v>.</v>
      </c>
      <c r="AW42" s="1194" t="str">
        <f t="shared" si="22"/>
        <v>.</v>
      </c>
      <c r="AX42" s="1194">
        <f>IFERROR(VLOOKUP(B42,'Share, Heavy Weapons to Ukraine'!B:Z,COLUMN('Share, Heavy Weapons to Ukraine'!C52)-1,0),0)</f>
        <v>0</v>
      </c>
      <c r="AY42" s="1194">
        <f>VLOOKUP('Bilateral Assistance, MAIN DATA'!B42,'Country Summary (€)'!B:F,COLUMN('Country Summary (€)'!C53)-1,FALSE)</f>
        <v>1</v>
      </c>
      <c r="AZ42" s="1194" t="str">
        <f>IF(AND(AD42=1,D42="Military",H42&lt;&gt;"Not given")=TRUE,IF(SUMIFS(P:P,A:A,A42)&gt;0,ABS((SUMIFS(P:P,A:A,A42)/VLOOKUP("USD",'Exchange Rates'!B:C,2,0)))/S42,"."),".")</f>
        <v>.</v>
      </c>
      <c r="BA42" s="1196" t="str">
        <f>IF(AND(AD42=1,D42="Military",H42&lt;&gt;"Not given")=TRUE,IF(SUMIFS(P:P,A:A,A42)&gt;0,IF((ABS((SUMIFS(P:P,A:A,A42)/VLOOKUP("USD",'Exchange Rates'!B:C,2,0)))/S42)&gt;1,(SUMIFS(P:P,A:A,A42)-S42)/S42,(S42-SUMIFS(P:P,A:A,A42))/SUMIFS(P:P,A:A,A42)),"."),".")</f>
        <v>.</v>
      </c>
    </row>
    <row r="43" spans="1:53" s="1180" customFormat="1" ht="15.95" customHeight="1">
      <c r="A43" s="1180" t="s">
        <v>503</v>
      </c>
      <c r="B43" s="1180" t="s">
        <v>454</v>
      </c>
      <c r="C43" s="1181">
        <v>44866</v>
      </c>
      <c r="D43" s="1182" t="s">
        <v>360</v>
      </c>
      <c r="E43" s="1182" t="s">
        <v>504</v>
      </c>
      <c r="F43" s="1183" t="s">
        <v>505</v>
      </c>
      <c r="G43" s="1184" t="s">
        <v>483</v>
      </c>
      <c r="H43" s="1185">
        <v>5000000</v>
      </c>
      <c r="I43" s="1180" t="s">
        <v>364</v>
      </c>
      <c r="J43" s="1186" t="str">
        <f>VLOOKUP($I43,'Price List, Weapons &amp; Items'!B:C,2,0)</f>
        <v>.</v>
      </c>
      <c r="K43" s="1186" t="str">
        <f>IF(I43=".",I43,VLOOKUP($I43,'Price List, Weapons &amp; Items'!B:D,3,0))</f>
        <v>.</v>
      </c>
      <c r="L43" s="1187">
        <f>VLOOKUP(I43,'Price List, Weapons &amp; Items'!B:E,4,0)</f>
        <v>0</v>
      </c>
      <c r="M43" s="984" t="s">
        <v>364</v>
      </c>
      <c r="N43" s="1188" t="s">
        <v>364</v>
      </c>
      <c r="O43" s="1188" t="str">
        <f>VLOOKUP($I43,'Price List, Weapons &amp; Items'!B:G,6,0)</f>
        <v>.</v>
      </c>
      <c r="P43" s="1185" t="str">
        <f t="shared" si="13"/>
        <v>.</v>
      </c>
      <c r="Q43" s="1185" t="str">
        <f t="shared" si="14"/>
        <v>.</v>
      </c>
      <c r="R43" s="1185">
        <f t="shared" si="2"/>
        <v>5000000</v>
      </c>
      <c r="S43" s="1185">
        <f>IF(AND(AD43=1,R43&lt;&gt;".")=TRUE,R43/VLOOKUP(G43,'Exchange Rates'!B:C,2,0),IF(R43=".",".",""))</f>
        <v>5000000</v>
      </c>
      <c r="T43" s="1185" t="str">
        <f>IF(AD43=1,IF(AF43="Value is not given at all",".",IF(AF43="Value is given by the source",S43,IF(AF43="Value is calculated with prices",(IF(SUMIFS(Q:Q,A:A,A43)&gt;0,SUMIFS(Q:Q,A:A,A43),"."))/VLOOKUP("USD",'Exchange Rates'!B:C,2,0),"Error with coding"))),"")</f>
        <v>.</v>
      </c>
      <c r="U43" s="1184" t="s">
        <v>365</v>
      </c>
      <c r="V43" s="973" t="s">
        <v>502</v>
      </c>
      <c r="W43" s="986" t="s">
        <v>364</v>
      </c>
      <c r="X43" s="986" t="s">
        <v>364</v>
      </c>
      <c r="Y43" s="1190" t="s">
        <v>364</v>
      </c>
      <c r="Z43" s="1194">
        <v>0</v>
      </c>
      <c r="AA43" s="1194">
        <v>0</v>
      </c>
      <c r="AB43" s="1201" t="s">
        <v>364</v>
      </c>
      <c r="AC43" s="1192" t="str">
        <f>""</f>
        <v/>
      </c>
      <c r="AD43" s="985">
        <v>1</v>
      </c>
      <c r="AE43" s="985" t="s">
        <v>368</v>
      </c>
      <c r="AF43" s="985" t="s">
        <v>369</v>
      </c>
      <c r="AG43" s="985">
        <v>1</v>
      </c>
      <c r="AH43" s="1193">
        <v>11</v>
      </c>
      <c r="AI43" s="1193">
        <v>0</v>
      </c>
      <c r="AJ43" s="1193">
        <f>VLOOKUP($I43,'Price List, Weapons &amp; Items'!B:F,5,0)</f>
        <v>0</v>
      </c>
      <c r="AK43" s="1193">
        <f t="shared" si="15"/>
        <v>0</v>
      </c>
      <c r="AL43" s="1193">
        <f t="shared" si="16"/>
        <v>0</v>
      </c>
      <c r="AM43" s="1193">
        <f t="shared" si="17"/>
        <v>0</v>
      </c>
      <c r="AN43" s="1194" t="str">
        <f>VLOOKUP($I43,'Price List, Weapons &amp; Items'!B:L,COLUMN('Price List, Weapons &amp; Items'!$J$11)-1,0)</f>
        <v>.</v>
      </c>
      <c r="AO43" s="1194" t="str">
        <f>IF(I43=".",".",VLOOKUP($I43,'Price List, Weapons &amp; Items'!B:J,3,0))</f>
        <v>.</v>
      </c>
      <c r="AP43" s="1195" t="str">
        <f t="shared" ca="1" si="6"/>
        <v>.</v>
      </c>
      <c r="AQ43" s="1194">
        <f>VLOOKUP($I43,'Price List, Weapons &amp; Items'!B:L,COLUMN('Price List, Weapons &amp; Items'!$L$11)-1,0)</f>
        <v>0</v>
      </c>
      <c r="AR43" s="1194">
        <f t="shared" si="18"/>
        <v>1</v>
      </c>
      <c r="AS43" s="1194">
        <f t="shared" si="19"/>
        <v>0</v>
      </c>
      <c r="AT43" s="1194">
        <f t="shared" si="20"/>
        <v>1</v>
      </c>
      <c r="AU43" s="1194" t="str">
        <f t="shared" si="21"/>
        <v>.</v>
      </c>
      <c r="AV43" s="1194" t="str">
        <f t="shared" si="11"/>
        <v>.</v>
      </c>
      <c r="AW43" s="1194" t="str">
        <f t="shared" si="22"/>
        <v>.</v>
      </c>
      <c r="AX43" s="1194">
        <f>IFERROR(VLOOKUP(B43,'Share, Heavy Weapons to Ukraine'!B:Z,COLUMN('Share, Heavy Weapons to Ukraine'!C53)-1,0),0)</f>
        <v>0</v>
      </c>
      <c r="AY43" s="1194">
        <f>VLOOKUP('Bilateral Assistance, MAIN DATA'!B43,'Country Summary (€)'!B:F,COLUMN('Country Summary (€)'!C54)-1,FALSE)</f>
        <v>1</v>
      </c>
      <c r="AZ43" s="1194" t="str">
        <f>IF(AND(AD43=1,D43="Military",H43&lt;&gt;"Not given")=TRUE,IF(SUMIFS(P:P,A:A,A43)&gt;0,ABS((SUMIFS(P:P,A:A,A43)/VLOOKUP("USD",'Exchange Rates'!B:C,2,0)))/S43,"."),".")</f>
        <v>.</v>
      </c>
      <c r="BA43" s="1196" t="str">
        <f>IF(AND(AD43=1,D43="Military",H43&lt;&gt;"Not given")=TRUE,IF(SUMIFS(P:P,A:A,A43)&gt;0,IF((ABS((SUMIFS(P:P,A:A,A43)/VLOOKUP("USD",'Exchange Rates'!B:C,2,0)))/S43)&gt;1,(SUMIFS(P:P,A:A,A43)-S43)/S43,(S43-SUMIFS(P:P,A:A,A43))/SUMIFS(P:P,A:A,A43)),"."),".")</f>
        <v>.</v>
      </c>
    </row>
    <row r="44" spans="1:53" s="1180" customFormat="1" ht="15.95" customHeight="1">
      <c r="A44" s="1180" t="s">
        <v>506</v>
      </c>
      <c r="B44" s="1180" t="s">
        <v>454</v>
      </c>
      <c r="C44" s="1181">
        <v>44866</v>
      </c>
      <c r="D44" s="1182" t="s">
        <v>360</v>
      </c>
      <c r="E44" s="1182" t="s">
        <v>504</v>
      </c>
      <c r="F44" s="1183" t="s">
        <v>507</v>
      </c>
      <c r="G44" s="1184" t="s">
        <v>483</v>
      </c>
      <c r="H44" s="1185" t="s">
        <v>457</v>
      </c>
      <c r="I44" s="1180" t="s">
        <v>477</v>
      </c>
      <c r="J44" s="1186" t="str">
        <f>VLOOKUP($I44,'Price List, Weapons &amp; Items'!B:C,2,0)</f>
        <v>Humanitarian</v>
      </c>
      <c r="K44" s="1186" t="str">
        <f>IF(I44=".",I44,VLOOKUP($I44,'Price List, Weapons &amp; Items'!B:D,3,0))</f>
        <v>Humanitarian</v>
      </c>
      <c r="L44" s="1187">
        <f>VLOOKUP(I44,'Price List, Weapons &amp; Items'!B:E,4,0)</f>
        <v>0</v>
      </c>
      <c r="M44" s="984">
        <v>7</v>
      </c>
      <c r="N44" s="1188" t="s">
        <v>374</v>
      </c>
      <c r="O44" s="1188">
        <f>VLOOKUP($I44,'Price List, Weapons &amp; Items'!B:G,6,0)</f>
        <v>317500</v>
      </c>
      <c r="P44" s="1185">
        <f t="shared" si="13"/>
        <v>2222500</v>
      </c>
      <c r="Q44" s="1185" t="str">
        <f t="shared" si="14"/>
        <v>.</v>
      </c>
      <c r="R44" s="1185">
        <f t="shared" si="2"/>
        <v>5422500</v>
      </c>
      <c r="S44" s="1185">
        <f>IF(AND(AD44=1,R44&lt;&gt;".")=TRUE,R44/VLOOKUP(G44,'Exchange Rates'!B:C,2,0),IF(R44=".",".",""))</f>
        <v>5422500</v>
      </c>
      <c r="T44" s="1185" t="str">
        <f>IF(AD44=1,IF(AF44="Value is not given at all",".",IF(AF44="Value is given by the source",S44,IF(AF44="Value is calculated with prices",(IF(SUMIFS(Q:Q,A:A,A44)&gt;0,SUMIFS(Q:Q,A:A,A44),"."))/VLOOKUP("USD",'Exchange Rates'!B:C,2,0),"Error with coding"))),"")</f>
        <v>.</v>
      </c>
      <c r="U44" s="1184" t="s">
        <v>365</v>
      </c>
      <c r="V44" s="973" t="s">
        <v>502</v>
      </c>
      <c r="W44" s="986" t="s">
        <v>364</v>
      </c>
      <c r="X44" s="986" t="s">
        <v>364</v>
      </c>
      <c r="Y44" s="1190" t="s">
        <v>364</v>
      </c>
      <c r="Z44" s="1194">
        <v>0</v>
      </c>
      <c r="AA44" s="1194">
        <v>0</v>
      </c>
      <c r="AB44" s="1201" t="s">
        <v>364</v>
      </c>
      <c r="AC44" s="1192" t="str">
        <f>""</f>
        <v/>
      </c>
      <c r="AD44" s="985">
        <v>1</v>
      </c>
      <c r="AE44" s="985" t="s">
        <v>368</v>
      </c>
      <c r="AF44" s="985" t="s">
        <v>369</v>
      </c>
      <c r="AG44" s="985">
        <v>1</v>
      </c>
      <c r="AH44" s="1193">
        <v>11</v>
      </c>
      <c r="AI44" s="1193">
        <v>0</v>
      </c>
      <c r="AJ44" s="1193">
        <f>VLOOKUP($I44,'Price List, Weapons &amp; Items'!B:F,5,0)</f>
        <v>0</v>
      </c>
      <c r="AK44" s="1193">
        <f t="shared" si="15"/>
        <v>0</v>
      </c>
      <c r="AL44" s="1193">
        <f t="shared" si="16"/>
        <v>0</v>
      </c>
      <c r="AM44" s="1193">
        <f t="shared" si="17"/>
        <v>0</v>
      </c>
      <c r="AN44" s="1194" t="str">
        <f>VLOOKUP($I44,'Price List, Weapons &amp; Items'!B:L,COLUMN('Price List, Weapons &amp; Items'!$J$11)-1,0)</f>
        <v>Media reports (incl. social media)</v>
      </c>
      <c r="AO44" s="1194" t="str">
        <f>IF(I44=".",".",VLOOKUP($I44,'Price List, Weapons &amp; Items'!B:J,3,0))</f>
        <v>Humanitarian</v>
      </c>
      <c r="AP44" s="1195" t="str">
        <f t="shared" ca="1" si="6"/>
        <v>ambulance H</v>
      </c>
      <c r="AQ44" s="1194">
        <f>VLOOKUP($I44,'Price List, Weapons &amp; Items'!B:L,COLUMN('Price List, Weapons &amp; Items'!$L$11)-1,0)</f>
        <v>0</v>
      </c>
      <c r="AR44" s="1194">
        <f t="shared" si="18"/>
        <v>1</v>
      </c>
      <c r="AS44" s="1194">
        <f t="shared" si="19"/>
        <v>0</v>
      </c>
      <c r="AT44" s="1194">
        <f t="shared" si="20"/>
        <v>1</v>
      </c>
      <c r="AU44" s="1194" t="str">
        <f t="shared" si="21"/>
        <v>.</v>
      </c>
      <c r="AV44" s="1194" t="str">
        <f t="shared" si="11"/>
        <v>.</v>
      </c>
      <c r="AW44" s="1194" t="str">
        <f t="shared" si="22"/>
        <v>.</v>
      </c>
      <c r="AX44" s="1194">
        <f>IFERROR(VLOOKUP(B44,'Share, Heavy Weapons to Ukraine'!B:Z,COLUMN('Share, Heavy Weapons to Ukraine'!C54)-1,0),0)</f>
        <v>0</v>
      </c>
      <c r="AY44" s="1194">
        <f>VLOOKUP('Bilateral Assistance, MAIN DATA'!B44,'Country Summary (€)'!B:F,COLUMN('Country Summary (€)'!C55)-1,FALSE)</f>
        <v>1</v>
      </c>
      <c r="AZ44" s="1194" t="str">
        <f>IF(AND(AD44=1,D44="Military",H44&lt;&gt;"Not given")=TRUE,IF(SUMIFS(P:P,A:A,A44)&gt;0,ABS((SUMIFS(P:P,A:A,A44)/VLOOKUP("USD",'Exchange Rates'!B:C,2,0)))/S44,"."),".")</f>
        <v>.</v>
      </c>
      <c r="BA44" s="1196" t="str">
        <f>IF(AND(AD44=1,D44="Military",H44&lt;&gt;"Not given")=TRUE,IF(SUMIFS(P:P,A:A,A44)&gt;0,IF((ABS((SUMIFS(P:P,A:A,A44)/VLOOKUP("USD",'Exchange Rates'!B:C,2,0)))/S44)&gt;1,(SUMIFS(P:P,A:A,A44)-S44)/S44,(S44-SUMIFS(P:P,A:A,A44))/SUMIFS(P:P,A:A,A44)),"."),".")</f>
        <v>.</v>
      </c>
    </row>
    <row r="45" spans="1:53" s="1180" customFormat="1" ht="15.95" customHeight="1">
      <c r="A45" s="1180" t="s">
        <v>506</v>
      </c>
      <c r="B45" s="1180" t="s">
        <v>454</v>
      </c>
      <c r="C45" s="1181">
        <v>44866</v>
      </c>
      <c r="D45" s="1182" t="s">
        <v>360</v>
      </c>
      <c r="E45" s="1182" t="s">
        <v>504</v>
      </c>
      <c r="F45" s="1183" t="s">
        <v>507</v>
      </c>
      <c r="G45" s="1184" t="s">
        <v>483</v>
      </c>
      <c r="H45" s="1185" t="s">
        <v>457</v>
      </c>
      <c r="I45" s="1180" t="s">
        <v>492</v>
      </c>
      <c r="J45" s="1186" t="str">
        <f>VLOOKUP($I45,'Price List, Weapons &amp; Items'!B:C,2,0)</f>
        <v>Humanitarian</v>
      </c>
      <c r="K45" s="1186" t="str">
        <f>IF(I45=".",I45,VLOOKUP($I45,'Price List, Weapons &amp; Items'!B:D,3,0))</f>
        <v>Humanitarian</v>
      </c>
      <c r="L45" s="1187">
        <f>VLOOKUP(I45,'Price List, Weapons &amp; Items'!B:E,4,0)</f>
        <v>0</v>
      </c>
      <c r="M45" s="984">
        <v>8</v>
      </c>
      <c r="N45" s="1188" t="s">
        <v>374</v>
      </c>
      <c r="O45" s="1188">
        <f>VLOOKUP($I45,'Price List, Weapons &amp; Items'!B:G,6,0)</f>
        <v>400000</v>
      </c>
      <c r="P45" s="1185">
        <f t="shared" si="13"/>
        <v>3200000</v>
      </c>
      <c r="Q45" s="1185" t="str">
        <f t="shared" si="14"/>
        <v>.</v>
      </c>
      <c r="R45" s="1185" t="str">
        <f t="shared" si="2"/>
        <v/>
      </c>
      <c r="S45" s="1185" t="str">
        <f>IF(AND(AD45=1,R45&lt;&gt;".")=TRUE,R45/VLOOKUP(G45,'Exchange Rates'!B:C,2,0),IF(R45=".",".",""))</f>
        <v/>
      </c>
      <c r="T45" s="1185" t="str">
        <f>IF(AD45=1,IF(AF45="Value is not given at all",".",IF(AF45="Value is given by the source",S45,IF(AF45="Value is calculated with prices",(IF(SUMIFS(Q:Q,A:A,A45)&gt;0,SUMIFS(Q:Q,A:A,A45),"."))/VLOOKUP("USD",'Exchange Rates'!B:C,2,0),"Error with coding"))),"")</f>
        <v/>
      </c>
      <c r="U45" s="1184" t="s">
        <v>365</v>
      </c>
      <c r="V45" s="973" t="s">
        <v>502</v>
      </c>
      <c r="W45" s="986" t="s">
        <v>364</v>
      </c>
      <c r="X45" s="986" t="s">
        <v>364</v>
      </c>
      <c r="Y45" s="1190" t="s">
        <v>364</v>
      </c>
      <c r="Z45" s="1194">
        <v>0</v>
      </c>
      <c r="AA45" s="1194">
        <v>0</v>
      </c>
      <c r="AB45" s="1201" t="s">
        <v>364</v>
      </c>
      <c r="AC45" s="1192" t="str">
        <f>""</f>
        <v/>
      </c>
      <c r="AD45" s="985">
        <v>0</v>
      </c>
      <c r="AE45" s="985" t="s">
        <v>368</v>
      </c>
      <c r="AF45" s="985" t="s">
        <v>369</v>
      </c>
      <c r="AG45" s="985">
        <v>1</v>
      </c>
      <c r="AH45" s="1193">
        <v>11</v>
      </c>
      <c r="AI45" s="1193">
        <v>0</v>
      </c>
      <c r="AJ45" s="1193">
        <f>VLOOKUP($I45,'Price List, Weapons &amp; Items'!B:F,5,0)</f>
        <v>0</v>
      </c>
      <c r="AK45" s="1193">
        <f t="shared" si="15"/>
        <v>0</v>
      </c>
      <c r="AL45" s="1193">
        <f t="shared" si="16"/>
        <v>0</v>
      </c>
      <c r="AM45" s="1193">
        <f t="shared" si="17"/>
        <v>0</v>
      </c>
      <c r="AN45" s="1194" t="str">
        <f>VLOOKUP($I45,'Price List, Weapons &amp; Items'!B:L,COLUMN('Price List, Weapons &amp; Items'!$J$11)-1,0)</f>
        <v>Media reports (incl. social media)</v>
      </c>
      <c r="AO45" s="1194" t="str">
        <f>IF(I45=".",".",VLOOKUP($I45,'Price List, Weapons &amp; Items'!B:J,3,0))</f>
        <v>Humanitarian</v>
      </c>
      <c r="AP45" s="1195" t="str">
        <f t="shared" ca="1" si="6"/>
        <v/>
      </c>
      <c r="AQ45" s="1194">
        <f>VLOOKUP($I45,'Price List, Weapons &amp; Items'!B:L,COLUMN('Price List, Weapons &amp; Items'!$L$11)-1,0)</f>
        <v>0</v>
      </c>
      <c r="AR45" s="1194">
        <f t="shared" si="18"/>
        <v>1</v>
      </c>
      <c r="AS45" s="1194">
        <f t="shared" si="19"/>
        <v>0</v>
      </c>
      <c r="AT45" s="1194">
        <f t="shared" si="20"/>
        <v>1</v>
      </c>
      <c r="AU45" s="1194" t="str">
        <f t="shared" si="21"/>
        <v>.</v>
      </c>
      <c r="AV45" s="1194" t="str">
        <f t="shared" si="11"/>
        <v>.</v>
      </c>
      <c r="AW45" s="1194" t="str">
        <f t="shared" si="22"/>
        <v>.</v>
      </c>
      <c r="AX45" s="1194">
        <f>IFERROR(VLOOKUP(B45,'Share, Heavy Weapons to Ukraine'!B:Z,COLUMN('Share, Heavy Weapons to Ukraine'!C55)-1,0),0)</f>
        <v>0</v>
      </c>
      <c r="AY45" s="1194">
        <f>VLOOKUP('Bilateral Assistance, MAIN DATA'!B45,'Country Summary (€)'!B:F,COLUMN('Country Summary (€)'!C56)-1,FALSE)</f>
        <v>1</v>
      </c>
      <c r="AZ45" s="1194" t="str">
        <f>IF(AND(AD45=1,D45="Military",H45&lt;&gt;"Not given")=TRUE,IF(SUMIFS(P:P,A:A,A45)&gt;0,ABS((SUMIFS(P:P,A:A,A45)/VLOOKUP("USD",'Exchange Rates'!B:C,2,0)))/S45,"."),".")</f>
        <v>.</v>
      </c>
      <c r="BA45" s="1196" t="str">
        <f>IF(AND(AD45=1,D45="Military",H45&lt;&gt;"Not given")=TRUE,IF(SUMIFS(P:P,A:A,A45)&gt;0,IF((ABS((SUMIFS(P:P,A:A,A45)/VLOOKUP("USD",'Exchange Rates'!B:C,2,0)))/S45)&gt;1,(SUMIFS(P:P,A:A,A45)-S45)/S45,(S45-SUMIFS(P:P,A:A,A45))/SUMIFS(P:P,A:A,A45)),"."),".")</f>
        <v>.</v>
      </c>
    </row>
    <row r="46" spans="1:53" s="1180" customFormat="1" ht="15.95" customHeight="1">
      <c r="A46" s="1180" t="s">
        <v>508</v>
      </c>
      <c r="B46" s="1180" t="s">
        <v>454</v>
      </c>
      <c r="C46" s="1181">
        <v>44866</v>
      </c>
      <c r="D46" s="1182" t="s">
        <v>360</v>
      </c>
      <c r="E46" s="1182" t="s">
        <v>504</v>
      </c>
      <c r="F46" s="1263" t="s">
        <v>509</v>
      </c>
      <c r="G46" s="1184" t="s">
        <v>483</v>
      </c>
      <c r="H46" s="1185">
        <v>21488044</v>
      </c>
      <c r="I46" s="1180" t="s">
        <v>364</v>
      </c>
      <c r="J46" s="1186" t="str">
        <f>VLOOKUP($I46,'Price List, Weapons &amp; Items'!B:C,2,0)</f>
        <v>.</v>
      </c>
      <c r="K46" s="1186" t="str">
        <f>IF(I46=".",I46,VLOOKUP($I46,'Price List, Weapons &amp; Items'!B:D,3,0))</f>
        <v>.</v>
      </c>
      <c r="L46" s="1187">
        <f>VLOOKUP(I46,'Price List, Weapons &amp; Items'!B:E,4,0)</f>
        <v>0</v>
      </c>
      <c r="M46" s="984" t="s">
        <v>364</v>
      </c>
      <c r="N46" s="1188" t="s">
        <v>364</v>
      </c>
      <c r="O46" s="1188" t="str">
        <f>VLOOKUP($I46,'Price List, Weapons &amp; Items'!B:G,6,0)</f>
        <v>.</v>
      </c>
      <c r="P46" s="1185" t="str">
        <f t="shared" si="13"/>
        <v>.</v>
      </c>
      <c r="Q46" s="1185" t="str">
        <f t="shared" si="14"/>
        <v>.</v>
      </c>
      <c r="R46" s="1185">
        <f t="shared" si="2"/>
        <v>21488044</v>
      </c>
      <c r="S46" s="1185">
        <f>IF(AND(AD46=1,R46&lt;&gt;".")=TRUE,R46/VLOOKUP(G46,'Exchange Rates'!B:C,2,0),IF(R46=".",".",""))</f>
        <v>21488044</v>
      </c>
      <c r="T46" s="1185" t="str">
        <f>IF(AD46=1,IF(AF46="Value is not given at all",".",IF(AF46="Value is given by the source",S46,IF(AF46="Value is calculated with prices",(IF(SUMIFS(Q:Q,A:A,A46)&gt;0,SUMIFS(Q:Q,A:A,A46),"."))/VLOOKUP("USD",'Exchange Rates'!B:C,2,0),"Error with coding"))),"")</f>
        <v>.</v>
      </c>
      <c r="U46" s="1184" t="s">
        <v>365</v>
      </c>
      <c r="V46" s="971" t="s">
        <v>510</v>
      </c>
      <c r="W46" s="971" t="s">
        <v>511</v>
      </c>
      <c r="X46" s="986" t="s">
        <v>364</v>
      </c>
      <c r="Y46" s="1190" t="s">
        <v>364</v>
      </c>
      <c r="Z46" s="1184">
        <v>0</v>
      </c>
      <c r="AA46" s="1191">
        <v>0</v>
      </c>
      <c r="AB46" s="1201" t="s">
        <v>364</v>
      </c>
      <c r="AC46" s="1192" t="str">
        <f>""</f>
        <v/>
      </c>
      <c r="AD46" s="985">
        <v>1</v>
      </c>
      <c r="AE46" s="985" t="s">
        <v>368</v>
      </c>
      <c r="AF46" s="985" t="s">
        <v>369</v>
      </c>
      <c r="AG46" s="985">
        <v>1</v>
      </c>
      <c r="AH46" s="985">
        <v>11</v>
      </c>
      <c r="AI46" s="985">
        <v>0</v>
      </c>
      <c r="AJ46" s="1193">
        <f>VLOOKUP($I46,'Price List, Weapons &amp; Items'!B:F,5,0)</f>
        <v>0</v>
      </c>
      <c r="AK46" s="1193">
        <f t="shared" si="15"/>
        <v>0</v>
      </c>
      <c r="AL46" s="1193">
        <f t="shared" si="16"/>
        <v>0</v>
      </c>
      <c r="AM46" s="1193">
        <f t="shared" si="17"/>
        <v>0</v>
      </c>
      <c r="AN46" s="1194" t="str">
        <f>VLOOKUP($I46,'Price List, Weapons &amp; Items'!B:L,COLUMN('Price List, Weapons &amp; Items'!$J$11)-1,0)</f>
        <v>.</v>
      </c>
      <c r="AO46" s="1194" t="str">
        <f>IF(I46=".",".",VLOOKUP($I46,'Price List, Weapons &amp; Items'!B:J,3,0))</f>
        <v>.</v>
      </c>
      <c r="AP46" s="1195" t="str">
        <f t="shared" ca="1" si="6"/>
        <v>.</v>
      </c>
      <c r="AQ46" s="1194">
        <f>VLOOKUP($I46,'Price List, Weapons &amp; Items'!B:L,COLUMN('Price List, Weapons &amp; Items'!$L$11)-1,0)</f>
        <v>0</v>
      </c>
      <c r="AR46" s="1194">
        <f t="shared" si="18"/>
        <v>1</v>
      </c>
      <c r="AS46" s="1194">
        <f t="shared" si="19"/>
        <v>0</v>
      </c>
      <c r="AT46" s="1194">
        <f t="shared" si="20"/>
        <v>1</v>
      </c>
      <c r="AU46" s="1194" t="str">
        <f t="shared" si="21"/>
        <v>.</v>
      </c>
      <c r="AV46" s="1194" t="str">
        <f t="shared" si="11"/>
        <v>.</v>
      </c>
      <c r="AW46" s="1194" t="str">
        <f t="shared" si="22"/>
        <v>.</v>
      </c>
      <c r="AX46" s="1194">
        <f>IFERROR(VLOOKUP(B46,'Share, Heavy Weapons to Ukraine'!B:Z,COLUMN('Share, Heavy Weapons to Ukraine'!C56)-1,0),0)</f>
        <v>0</v>
      </c>
      <c r="AY46" s="1194">
        <f>VLOOKUP('Bilateral Assistance, MAIN DATA'!B46,'Country Summary (€)'!B:F,COLUMN('Country Summary (€)'!C57)-1,FALSE)</f>
        <v>1</v>
      </c>
      <c r="AZ46" s="1194" t="str">
        <f>IF(AND(AD46=1,D46="Military",H46&lt;&gt;"Not given")=TRUE,IF(SUMIFS(P:P,A:A,A46)&gt;0,ABS((SUMIFS(P:P,A:A,A46)/VLOOKUP("USD",'Exchange Rates'!B:C,2,0)))/S46,"."),".")</f>
        <v>.</v>
      </c>
      <c r="BA46" s="1196" t="str">
        <f>IF(AND(AD46=1,D46="Military",H46&lt;&gt;"Not given")=TRUE,IF(SUMIFS(P:P,A:A,A46)&gt;0,IF((ABS((SUMIFS(P:P,A:A,A46)/VLOOKUP("USD",'Exchange Rates'!B:C,2,0)))/S46)&gt;1,(SUMIFS(P:P,A:A,A46)-S46)/S46,(S46-SUMIFS(P:P,A:A,A46))/SUMIFS(P:P,A:A,A46)),"."),".")</f>
        <v>.</v>
      </c>
    </row>
    <row r="47" spans="1:53" s="1180" customFormat="1" ht="15.95" customHeight="1">
      <c r="A47" s="1180" t="s">
        <v>512</v>
      </c>
      <c r="B47" s="1180" t="s">
        <v>454</v>
      </c>
      <c r="C47" s="1181">
        <v>44911</v>
      </c>
      <c r="D47" s="1182" t="s">
        <v>360</v>
      </c>
      <c r="E47" s="1182" t="s">
        <v>481</v>
      </c>
      <c r="F47" s="1183" t="s">
        <v>513</v>
      </c>
      <c r="G47" s="1184" t="s">
        <v>483</v>
      </c>
      <c r="H47" s="1185">
        <v>5000000</v>
      </c>
      <c r="I47" s="1180" t="s">
        <v>364</v>
      </c>
      <c r="J47" s="1186" t="str">
        <f>VLOOKUP($I47,'Price List, Weapons &amp; Items'!B:C,2,0)</f>
        <v>.</v>
      </c>
      <c r="K47" s="1186" t="str">
        <f>IF(I47=".",I47,VLOOKUP($I47,'Price List, Weapons &amp; Items'!B:D,3,0))</f>
        <v>.</v>
      </c>
      <c r="L47" s="1187">
        <f>VLOOKUP(I47,'Price List, Weapons &amp; Items'!B:E,4,0)</f>
        <v>0</v>
      </c>
      <c r="M47" s="984" t="s">
        <v>364</v>
      </c>
      <c r="N47" s="1188" t="s">
        <v>364</v>
      </c>
      <c r="O47" s="1188" t="str">
        <f>VLOOKUP($I47,'Price List, Weapons &amp; Items'!B:G,6,0)</f>
        <v>.</v>
      </c>
      <c r="P47" s="1185" t="str">
        <f t="shared" si="13"/>
        <v>.</v>
      </c>
      <c r="Q47" s="1185" t="str">
        <f t="shared" si="14"/>
        <v>.</v>
      </c>
      <c r="R47" s="1185">
        <f t="shared" si="2"/>
        <v>5000000</v>
      </c>
      <c r="S47" s="1185">
        <f>IF(AND(AD47=1,R47&lt;&gt;".")=TRUE,R47/VLOOKUP(G47,'Exchange Rates'!B:C,2,0),IF(R47=".",".",""))</f>
        <v>5000000</v>
      </c>
      <c r="T47" s="1185" t="str">
        <f>IF(AD47=1,IF(AF47="Value is not given at all",".",IF(AF47="Value is given by the source",S47,IF(AF47="Value is calculated with prices",(IF(SUMIFS(Q:Q,A:A,A47)&gt;0,SUMIFS(Q:Q,A:A,A47),"."))/VLOOKUP("USD",'Exchange Rates'!B:C,2,0),"Error with coding"))),"")</f>
        <v>.</v>
      </c>
      <c r="U47" s="1184" t="s">
        <v>365</v>
      </c>
      <c r="V47" s="971" t="s">
        <v>514</v>
      </c>
      <c r="W47" s="973" t="s">
        <v>515</v>
      </c>
      <c r="X47" s="986" t="s">
        <v>364</v>
      </c>
      <c r="Y47" s="1190" t="s">
        <v>364</v>
      </c>
      <c r="Z47" s="1184">
        <v>0</v>
      </c>
      <c r="AA47" s="1191">
        <v>0</v>
      </c>
      <c r="AB47" s="1201" t="s">
        <v>364</v>
      </c>
      <c r="AC47" s="1192" t="str">
        <f>""</f>
        <v/>
      </c>
      <c r="AD47" s="985">
        <v>1</v>
      </c>
      <c r="AE47" s="985" t="s">
        <v>368</v>
      </c>
      <c r="AF47" s="985" t="s">
        <v>369</v>
      </c>
      <c r="AG47" s="985">
        <v>1</v>
      </c>
      <c r="AH47" s="985">
        <v>12</v>
      </c>
      <c r="AI47" s="985">
        <v>0</v>
      </c>
      <c r="AJ47" s="1193">
        <f>VLOOKUP($I47,'Price List, Weapons &amp; Items'!B:F,5,0)</f>
        <v>0</v>
      </c>
      <c r="AK47" s="1193">
        <f t="shared" si="15"/>
        <v>0</v>
      </c>
      <c r="AL47" s="1193">
        <f t="shared" si="16"/>
        <v>0</v>
      </c>
      <c r="AM47" s="1193">
        <f t="shared" si="17"/>
        <v>0</v>
      </c>
      <c r="AN47" s="1194" t="str">
        <f>VLOOKUP($I47,'Price List, Weapons &amp; Items'!B:L,COLUMN('Price List, Weapons &amp; Items'!$J$11)-1,0)</f>
        <v>.</v>
      </c>
      <c r="AO47" s="1194" t="str">
        <f>IF(I47=".",".",VLOOKUP($I47,'Price List, Weapons &amp; Items'!B:J,3,0))</f>
        <v>.</v>
      </c>
      <c r="AP47" s="1195" t="str">
        <f t="shared" ca="1" si="6"/>
        <v>.</v>
      </c>
      <c r="AQ47" s="1194">
        <f>VLOOKUP($I47,'Price List, Weapons &amp; Items'!B:L,COLUMN('Price List, Weapons &amp; Items'!$L$11)-1,0)</f>
        <v>0</v>
      </c>
      <c r="AR47" s="1194">
        <f t="shared" si="18"/>
        <v>1</v>
      </c>
      <c r="AS47" s="1194">
        <f t="shared" si="19"/>
        <v>0</v>
      </c>
      <c r="AT47" s="1194">
        <f t="shared" si="20"/>
        <v>1</v>
      </c>
      <c r="AU47" s="1194" t="str">
        <f t="shared" si="21"/>
        <v>.</v>
      </c>
      <c r="AV47" s="1194" t="str">
        <f t="shared" si="11"/>
        <v>.</v>
      </c>
      <c r="AW47" s="1194" t="str">
        <f t="shared" si="22"/>
        <v>.</v>
      </c>
      <c r="AX47" s="1194">
        <f>IFERROR(VLOOKUP(B47,'Share, Heavy Weapons to Ukraine'!B:Z,COLUMN('Share, Heavy Weapons to Ukraine'!C57)-1,0),0)</f>
        <v>0</v>
      </c>
      <c r="AY47" s="1194">
        <f>VLOOKUP('Bilateral Assistance, MAIN DATA'!B47,'Country Summary (€)'!B:F,COLUMN('Country Summary (€)'!C58)-1,FALSE)</f>
        <v>1</v>
      </c>
      <c r="AZ47" s="1194" t="str">
        <f>IF(AND(AD47=1,D47="Military",H47&lt;&gt;"Not given")=TRUE,IF(SUMIFS(P:P,A:A,A47)&gt;0,ABS((SUMIFS(P:P,A:A,A47)/VLOOKUP("USD",'Exchange Rates'!B:C,2,0)))/S47,"."),".")</f>
        <v>.</v>
      </c>
      <c r="BA47" s="1196" t="str">
        <f>IF(AND(AD47=1,D47="Military",H47&lt;&gt;"Not given")=TRUE,IF(SUMIFS(P:P,A:A,A47)&gt;0,IF((ABS((SUMIFS(P:P,A:A,A47)/VLOOKUP("USD",'Exchange Rates'!B:C,2,0)))/S47)&gt;1,(SUMIFS(P:P,A:A,A47)-S47)/S47,(S47-SUMIFS(P:P,A:A,A47))/SUMIFS(P:P,A:A,A47)),"."),".")</f>
        <v>.</v>
      </c>
    </row>
    <row r="48" spans="1:53" s="1180" customFormat="1" ht="15.95" customHeight="1">
      <c r="A48" s="1180" t="s">
        <v>516</v>
      </c>
      <c r="B48" s="1180" t="s">
        <v>454</v>
      </c>
      <c r="C48" s="1181">
        <v>44957</v>
      </c>
      <c r="D48" s="1182" t="s">
        <v>360</v>
      </c>
      <c r="E48" s="1182" t="s">
        <v>481</v>
      </c>
      <c r="F48" s="1183" t="s">
        <v>517</v>
      </c>
      <c r="G48" s="1184" t="s">
        <v>483</v>
      </c>
      <c r="H48" s="1185">
        <v>5000000</v>
      </c>
      <c r="I48" s="1180" t="s">
        <v>364</v>
      </c>
      <c r="J48" s="1186" t="str">
        <f>VLOOKUP($I48,'Price List, Weapons &amp; Items'!B:C,2,0)</f>
        <v>.</v>
      </c>
      <c r="K48" s="1186" t="str">
        <f>IF(I48=".",I48,VLOOKUP($I48,'Price List, Weapons &amp; Items'!B:D,3,0))</f>
        <v>.</v>
      </c>
      <c r="L48" s="1187">
        <f>VLOOKUP(I48,'Price List, Weapons &amp; Items'!B:E,4,0)</f>
        <v>0</v>
      </c>
      <c r="M48" s="984" t="s">
        <v>364</v>
      </c>
      <c r="N48" s="1188" t="s">
        <v>364</v>
      </c>
      <c r="O48" s="1188" t="str">
        <f>VLOOKUP($I48,'Price List, Weapons &amp; Items'!B:G,6,0)</f>
        <v>.</v>
      </c>
      <c r="P48" s="1185" t="str">
        <f t="shared" si="13"/>
        <v>.</v>
      </c>
      <c r="Q48" s="1185" t="str">
        <f t="shared" si="14"/>
        <v>.</v>
      </c>
      <c r="R48" s="1185">
        <f t="shared" si="2"/>
        <v>5000000</v>
      </c>
      <c r="S48" s="1185">
        <f>IF(AND(AD48=1,R48&lt;&gt;".")=TRUE,R48/VLOOKUP(G48,'Exchange Rates'!B:C,2,0),IF(R48=".",".",""))</f>
        <v>5000000</v>
      </c>
      <c r="T48" s="1185" t="str">
        <f>IF(AD48=1,IF(AF48="Value is not given at all",".",IF(AF48="Value is given by the source",S48,IF(AF48="Value is calculated with prices",(IF(SUMIFS(Q:Q,A:A,A48)&gt;0,SUMIFS(Q:Q,A:A,A48),"."))/VLOOKUP("USD",'Exchange Rates'!B:C,2,0),"Error with coding"))),"")</f>
        <v>.</v>
      </c>
      <c r="U48" s="1184" t="s">
        <v>365</v>
      </c>
      <c r="V48" s="966" t="s">
        <v>518</v>
      </c>
      <c r="W48" s="973" t="s">
        <v>519</v>
      </c>
      <c r="X48" s="986" t="s">
        <v>364</v>
      </c>
      <c r="Y48" s="1190" t="s">
        <v>364</v>
      </c>
      <c r="Z48" s="1184">
        <v>0</v>
      </c>
      <c r="AA48" s="1191">
        <v>1</v>
      </c>
      <c r="AB48" s="1201" t="s">
        <v>364</v>
      </c>
      <c r="AC48" s="1192" t="str">
        <f>""</f>
        <v/>
      </c>
      <c r="AD48" s="985">
        <v>1</v>
      </c>
      <c r="AE48" s="985" t="s">
        <v>368</v>
      </c>
      <c r="AF48" s="985" t="s">
        <v>369</v>
      </c>
      <c r="AG48" s="985">
        <v>1</v>
      </c>
      <c r="AH48" s="985">
        <v>13</v>
      </c>
      <c r="AI48" s="985">
        <v>0</v>
      </c>
      <c r="AJ48" s="1193">
        <f>VLOOKUP($I48,'Price List, Weapons &amp; Items'!B:F,5,0)</f>
        <v>0</v>
      </c>
      <c r="AK48" s="1193">
        <f t="shared" si="15"/>
        <v>0</v>
      </c>
      <c r="AL48" s="1193">
        <f t="shared" si="16"/>
        <v>0</v>
      </c>
      <c r="AM48" s="1193">
        <f t="shared" si="17"/>
        <v>0</v>
      </c>
      <c r="AN48" s="1194" t="str">
        <f>VLOOKUP($I48,'Price List, Weapons &amp; Items'!B:L,COLUMN('Price List, Weapons &amp; Items'!$J$11)-1,0)</f>
        <v>.</v>
      </c>
      <c r="AO48" s="1194" t="str">
        <f>IF(I48=".",".",VLOOKUP($I48,'Price List, Weapons &amp; Items'!B:J,3,0))</f>
        <v>.</v>
      </c>
      <c r="AP48" s="1195" t="str">
        <f t="shared" ca="1" si="6"/>
        <v>.</v>
      </c>
      <c r="AQ48" s="1194">
        <f>VLOOKUP($I48,'Price List, Weapons &amp; Items'!B:L,COLUMN('Price List, Weapons &amp; Items'!$L$11)-1,0)</f>
        <v>0</v>
      </c>
      <c r="AR48" s="1194">
        <f t="shared" si="18"/>
        <v>1</v>
      </c>
      <c r="AS48" s="1194">
        <f t="shared" si="19"/>
        <v>0</v>
      </c>
      <c r="AT48" s="1194">
        <f t="shared" si="20"/>
        <v>1</v>
      </c>
      <c r="AU48" s="1194" t="str">
        <f t="shared" si="21"/>
        <v>.</v>
      </c>
      <c r="AV48" s="1194" t="str">
        <f t="shared" si="11"/>
        <v>.</v>
      </c>
      <c r="AW48" s="1194" t="str">
        <f t="shared" si="22"/>
        <v>.</v>
      </c>
      <c r="AX48" s="1194">
        <f>IFERROR(VLOOKUP(B48,'Share, Heavy Weapons to Ukraine'!B:Z,COLUMN('Share, Heavy Weapons to Ukraine'!C58)-1,0),0)</f>
        <v>0</v>
      </c>
      <c r="AY48" s="1194">
        <f>VLOOKUP('Bilateral Assistance, MAIN DATA'!B48,'Country Summary (€)'!B:F,COLUMN('Country Summary (€)'!C59)-1,FALSE)</f>
        <v>1</v>
      </c>
      <c r="AZ48" s="1194" t="str">
        <f>IF(AND(AD48=1,D48="Military",H48&lt;&gt;"Not given")=TRUE,IF(SUMIFS(P:P,A:A,A48)&gt;0,ABS((SUMIFS(P:P,A:A,A48)/VLOOKUP("USD",'Exchange Rates'!B:C,2,0)))/S48,"."),".")</f>
        <v>.</v>
      </c>
      <c r="BA48" s="1196" t="str">
        <f>IF(AND(AD48=1,D48="Military",H48&lt;&gt;"Not given")=TRUE,IF(SUMIFS(P:P,A:A,A48)&gt;0,IF((ABS((SUMIFS(P:P,A:A,A48)/VLOOKUP("USD",'Exchange Rates'!B:C,2,0)))/S48)&gt;1,(SUMIFS(P:P,A:A,A48)-S48)/S48,(S48-SUMIFS(P:P,A:A,A48))/SUMIFS(P:P,A:A,A48)),"."),".")</f>
        <v>.</v>
      </c>
    </row>
    <row r="49" spans="1:71" s="1180" customFormat="1" ht="15.95" customHeight="1">
      <c r="A49" s="1180" t="s">
        <v>520</v>
      </c>
      <c r="B49" s="1180" t="s">
        <v>454</v>
      </c>
      <c r="C49" s="1181">
        <v>44981</v>
      </c>
      <c r="D49" s="1182" t="s">
        <v>360</v>
      </c>
      <c r="E49" s="1182" t="s">
        <v>504</v>
      </c>
      <c r="F49" s="1183" t="s">
        <v>521</v>
      </c>
      <c r="G49" s="1184" t="s">
        <v>483</v>
      </c>
      <c r="H49" s="1185">
        <v>27000000</v>
      </c>
      <c r="I49" s="1180" t="s">
        <v>364</v>
      </c>
      <c r="J49" s="1186" t="str">
        <f>VLOOKUP($I49,'Price List, Weapons &amp; Items'!B:C,2,0)</f>
        <v>.</v>
      </c>
      <c r="K49" s="1186" t="str">
        <f>IF(I49=".",I49,VLOOKUP($I49,'Price List, Weapons &amp; Items'!B:D,3,0))</f>
        <v>.</v>
      </c>
      <c r="L49" s="1187">
        <f>VLOOKUP(I49,'Price List, Weapons &amp; Items'!B:E,4,0)</f>
        <v>0</v>
      </c>
      <c r="M49" s="984" t="s">
        <v>364</v>
      </c>
      <c r="N49" s="1188" t="s">
        <v>364</v>
      </c>
      <c r="O49" s="1188" t="str">
        <f>VLOOKUP($I49,'Price List, Weapons &amp; Items'!B:G,6,0)</f>
        <v>.</v>
      </c>
      <c r="P49" s="1185" t="str">
        <f t="shared" si="13"/>
        <v>.</v>
      </c>
      <c r="Q49" s="1185" t="str">
        <f t="shared" si="14"/>
        <v>.</v>
      </c>
      <c r="R49" s="1185">
        <f t="shared" si="2"/>
        <v>27000000</v>
      </c>
      <c r="S49" s="1185">
        <f>IF(AND(AD49=1,R49&lt;&gt;".")=TRUE,R49/VLOOKUP(G49,'Exchange Rates'!B:C,2,0),IF(R49=".",".",""))</f>
        <v>27000000</v>
      </c>
      <c r="T49" s="1185" t="str">
        <f>IF(AD49=1,IF(AF49="Value is not given at all",".",IF(AF49="Value is given by the source",S49,IF(AF49="Value is calculated with prices",(IF(SUMIFS(Q:Q,A:A,A49)&gt;0,SUMIFS(Q:Q,A:A,A49),"."))/VLOOKUP("USD",'Exchange Rates'!B:C,2,0),"Error with coding"))),"")</f>
        <v>.</v>
      </c>
      <c r="U49" s="1184" t="s">
        <v>365</v>
      </c>
      <c r="V49" s="973" t="s">
        <v>499</v>
      </c>
      <c r="W49" s="973" t="s">
        <v>522</v>
      </c>
      <c r="X49" s="973" t="s">
        <v>523</v>
      </c>
      <c r="Y49" s="1190" t="s">
        <v>364</v>
      </c>
      <c r="Z49" s="1184">
        <v>0</v>
      </c>
      <c r="AA49" s="1191">
        <v>0</v>
      </c>
      <c r="AB49" s="1201" t="s">
        <v>364</v>
      </c>
      <c r="AC49" s="1192" t="str">
        <f>""</f>
        <v/>
      </c>
      <c r="AD49" s="985">
        <v>1</v>
      </c>
      <c r="AE49" s="985" t="s">
        <v>368</v>
      </c>
      <c r="AF49" s="985" t="s">
        <v>369</v>
      </c>
      <c r="AG49" s="985">
        <v>1</v>
      </c>
      <c r="AH49" s="985">
        <v>14</v>
      </c>
      <c r="AI49" s="985">
        <v>0</v>
      </c>
      <c r="AJ49" s="1193">
        <f>VLOOKUP($I49,'Price List, Weapons &amp; Items'!B:F,5,0)</f>
        <v>0</v>
      </c>
      <c r="AK49" s="1193">
        <f t="shared" si="15"/>
        <v>0</v>
      </c>
      <c r="AL49" s="1193">
        <f t="shared" si="16"/>
        <v>0</v>
      </c>
      <c r="AM49" s="1193">
        <f t="shared" si="17"/>
        <v>0</v>
      </c>
      <c r="AN49" s="1194" t="str">
        <f>VLOOKUP($I49,'Price List, Weapons &amp; Items'!B:L,COLUMN('Price List, Weapons &amp; Items'!$J$11)-1,0)</f>
        <v>.</v>
      </c>
      <c r="AO49" s="1194" t="str">
        <f>IF(I49=".",".",VLOOKUP($I49,'Price List, Weapons &amp; Items'!B:J,3,0))</f>
        <v>.</v>
      </c>
      <c r="AP49" s="1195" t="str">
        <f t="shared" ca="1" si="6"/>
        <v>.</v>
      </c>
      <c r="AQ49" s="1194">
        <f>VLOOKUP($I49,'Price List, Weapons &amp; Items'!B:L,COLUMN('Price List, Weapons &amp; Items'!$L$11)-1,0)</f>
        <v>0</v>
      </c>
      <c r="AR49" s="1194">
        <f t="shared" si="18"/>
        <v>1</v>
      </c>
      <c r="AS49" s="1194">
        <f t="shared" si="19"/>
        <v>0</v>
      </c>
      <c r="AT49" s="1194">
        <f t="shared" si="20"/>
        <v>1</v>
      </c>
      <c r="AU49" s="1194" t="str">
        <f t="shared" si="21"/>
        <v>.</v>
      </c>
      <c r="AV49" s="1194" t="str">
        <f t="shared" si="11"/>
        <v>.</v>
      </c>
      <c r="AW49" s="1194" t="str">
        <f t="shared" si="22"/>
        <v>.</v>
      </c>
      <c r="AX49" s="1194">
        <f>IFERROR(VLOOKUP(B49,'Share, Heavy Weapons to Ukraine'!B:Z,COLUMN('Share, Heavy Weapons to Ukraine'!C59)-1,0),0)</f>
        <v>0</v>
      </c>
      <c r="AY49" s="1194">
        <f>VLOOKUP('Bilateral Assistance, MAIN DATA'!B49,'Country Summary (€)'!B:F,COLUMN('Country Summary (€)'!C60)-1,FALSE)</f>
        <v>1</v>
      </c>
      <c r="AZ49" s="1194" t="str">
        <f>IF(AND(AD49=1,D49="Military",H49&lt;&gt;"Not given")=TRUE,IF(SUMIFS(P:P,A:A,A49)&gt;0,ABS((SUMIFS(P:P,A:A,A49)/VLOOKUP("USD",'Exchange Rates'!B:C,2,0)))/S49,"."),".")</f>
        <v>.</v>
      </c>
      <c r="BA49" s="1196" t="str">
        <f>IF(AND(AD49=1,D49="Military",H49&lt;&gt;"Not given")=TRUE,IF(SUMIFS(P:P,A:A,A49)&gt;0,IF((ABS((SUMIFS(P:P,A:A,A49)/VLOOKUP("USD",'Exchange Rates'!B:C,2,0)))/S49)&gt;1,(SUMIFS(P:P,A:A,A49)-S49)/S49,(S49-SUMIFS(P:P,A:A,A49))/SUMIFS(P:P,A:A,A49)),"."),".")</f>
        <v>.</v>
      </c>
    </row>
    <row r="50" spans="1:71" s="1180" customFormat="1" ht="15.95" customHeight="1">
      <c r="A50" s="1180" t="s">
        <v>524</v>
      </c>
      <c r="B50" s="1180" t="s">
        <v>454</v>
      </c>
      <c r="C50" s="1181">
        <v>45005</v>
      </c>
      <c r="D50" s="1182" t="s">
        <v>360</v>
      </c>
      <c r="E50" s="1182" t="s">
        <v>361</v>
      </c>
      <c r="F50" s="1183" t="s">
        <v>525</v>
      </c>
      <c r="G50" s="1184" t="s">
        <v>483</v>
      </c>
      <c r="H50" s="1185">
        <v>97500000</v>
      </c>
      <c r="I50" s="1180" t="s">
        <v>364</v>
      </c>
      <c r="J50" s="1186" t="str">
        <f>VLOOKUP($I50,'Price List, Weapons &amp; Items'!B:C,2,0)</f>
        <v>.</v>
      </c>
      <c r="K50" s="1186" t="str">
        <f>IF(I50=".",I50,VLOOKUP($I50,'Price List, Weapons &amp; Items'!B:D,3,0))</f>
        <v>.</v>
      </c>
      <c r="L50" s="1187">
        <f>VLOOKUP(I50,'Price List, Weapons &amp; Items'!B:E,4,0)</f>
        <v>0</v>
      </c>
      <c r="M50" s="984" t="s">
        <v>364</v>
      </c>
      <c r="N50" s="1188" t="s">
        <v>364</v>
      </c>
      <c r="O50" s="1188" t="str">
        <f>VLOOKUP($I50,'Price List, Weapons &amp; Items'!B:G,6,0)</f>
        <v>.</v>
      </c>
      <c r="P50" s="1185" t="str">
        <f t="shared" si="13"/>
        <v>.</v>
      </c>
      <c r="Q50" s="1185" t="str">
        <f t="shared" si="14"/>
        <v>.</v>
      </c>
      <c r="R50" s="1185">
        <f t="shared" si="2"/>
        <v>97500000</v>
      </c>
      <c r="S50" s="1185">
        <f>IF(AND(AD50=1,R50&lt;&gt;".")=TRUE,R50/VLOOKUP(G50,'Exchange Rates'!B:C,2,0),IF(R50=".",".",""))</f>
        <v>97500000</v>
      </c>
      <c r="T50" s="1185" t="str">
        <f>IF(AD50=1,IF(AF50="Value is not given at all",".",IF(AF50="Value is given by the source",S50,IF(AF50="Value is calculated with prices",(IF(SUMIFS(Q:Q,A:A,A50)&gt;0,SUMIFS(Q:Q,A:A,A50),"."))/VLOOKUP("USD",'Exchange Rates'!B:C,2,0),"Error with coding"))),"")</f>
        <v>.</v>
      </c>
      <c r="U50" s="1184" t="s">
        <v>365</v>
      </c>
      <c r="V50" s="973" t="s">
        <v>526</v>
      </c>
      <c r="W50" s="973" t="s">
        <v>527</v>
      </c>
      <c r="X50" s="973" t="s">
        <v>364</v>
      </c>
      <c r="Y50" s="1190" t="s">
        <v>364</v>
      </c>
      <c r="Z50" s="1184">
        <v>0</v>
      </c>
      <c r="AA50" s="1191">
        <v>1</v>
      </c>
      <c r="AB50" s="1201" t="s">
        <v>364</v>
      </c>
      <c r="AC50" s="1192" t="str">
        <f>""</f>
        <v/>
      </c>
      <c r="AD50" s="985">
        <v>1</v>
      </c>
      <c r="AE50" s="985" t="s">
        <v>368</v>
      </c>
      <c r="AF50" s="985" t="s">
        <v>369</v>
      </c>
      <c r="AG50" s="985">
        <v>1</v>
      </c>
      <c r="AH50" s="985">
        <v>15</v>
      </c>
      <c r="AI50" s="985">
        <v>0</v>
      </c>
      <c r="AJ50" s="1193">
        <f>VLOOKUP($I50,'Price List, Weapons &amp; Items'!B:F,5,0)</f>
        <v>0</v>
      </c>
      <c r="AK50" s="1193">
        <f t="shared" si="15"/>
        <v>0</v>
      </c>
      <c r="AL50" s="1193">
        <f t="shared" si="16"/>
        <v>0</v>
      </c>
      <c r="AM50" s="1193">
        <f t="shared" si="17"/>
        <v>0</v>
      </c>
      <c r="AN50" s="1194" t="str">
        <f>VLOOKUP($I50,'Price List, Weapons &amp; Items'!B:L,COLUMN('Price List, Weapons &amp; Items'!$J$11)-1,0)</f>
        <v>.</v>
      </c>
      <c r="AO50" s="1194" t="str">
        <f>IF(I50=".",".",VLOOKUP($I50,'Price List, Weapons &amp; Items'!B:J,3,0))</f>
        <v>.</v>
      </c>
      <c r="AP50" s="1195" t="str">
        <f t="shared" ca="1" si="6"/>
        <v>.</v>
      </c>
      <c r="AQ50" s="1194">
        <f>VLOOKUP($I50,'Price List, Weapons &amp; Items'!B:L,COLUMN('Price List, Weapons &amp; Items'!$L$11)-1,0)</f>
        <v>0</v>
      </c>
      <c r="AR50" s="1194">
        <f t="shared" si="18"/>
        <v>1</v>
      </c>
      <c r="AS50" s="1194">
        <f t="shared" si="19"/>
        <v>0</v>
      </c>
      <c r="AT50" s="1194">
        <f t="shared" si="20"/>
        <v>1</v>
      </c>
      <c r="AU50" s="1194" t="str">
        <f t="shared" si="21"/>
        <v>.</v>
      </c>
      <c r="AV50" s="1194" t="str">
        <f t="shared" si="11"/>
        <v>.</v>
      </c>
      <c r="AW50" s="1194" t="str">
        <f t="shared" si="22"/>
        <v>.</v>
      </c>
      <c r="AX50" s="1194">
        <f>IFERROR(VLOOKUP(B50,'Share, Heavy Weapons to Ukraine'!B:Z,COLUMN('Share, Heavy Weapons to Ukraine'!C60)-1,0),0)</f>
        <v>0</v>
      </c>
      <c r="AY50" s="1194">
        <f>VLOOKUP('Bilateral Assistance, MAIN DATA'!B50,'Country Summary (€)'!B:F,COLUMN('Country Summary (€)'!C61)-1,FALSE)</f>
        <v>1</v>
      </c>
      <c r="AZ50" s="1194" t="str">
        <f>IF(AND(AD50=1,D50="Military",H50&lt;&gt;"Not given")=TRUE,IF(SUMIFS(P:P,A:A,A50)&gt;0,ABS((SUMIFS(P:P,A:A,A50)/VLOOKUP("USD",'Exchange Rates'!B:C,2,0)))/S50,"."),".")</f>
        <v>.</v>
      </c>
      <c r="BA50" s="1196" t="str">
        <f>IF(AND(AD50=1,D50="Military",H50&lt;&gt;"Not given")=TRUE,IF(SUMIFS(P:P,A:A,A50)&gt;0,IF((ABS((SUMIFS(P:P,A:A,A50)/VLOOKUP("USD",'Exchange Rates'!B:C,2,0)))/S50)&gt;1,(SUMIFS(P:P,A:A,A50)-S50)/S50,(S50-SUMIFS(P:P,A:A,A50))/SUMIFS(P:P,A:A,A50)),"."),".")</f>
        <v>.</v>
      </c>
    </row>
    <row r="51" spans="1:71" ht="15.95" customHeight="1">
      <c r="A51" s="1208" t="s">
        <v>524</v>
      </c>
      <c r="B51" s="1180" t="s">
        <v>454</v>
      </c>
      <c r="C51" s="1209">
        <v>45073</v>
      </c>
      <c r="D51" s="1182" t="s">
        <v>360</v>
      </c>
      <c r="E51" s="1182" t="s">
        <v>361</v>
      </c>
      <c r="F51" s="1208" t="s">
        <v>528</v>
      </c>
      <c r="G51" s="1184" t="s">
        <v>483</v>
      </c>
      <c r="H51" s="1210">
        <v>2000000</v>
      </c>
      <c r="I51" s="1208" t="s">
        <v>364</v>
      </c>
      <c r="J51" s="1186" t="str">
        <f>VLOOKUP($I51,'Price List, Weapons &amp; Items'!B:C,2,0)</f>
        <v>.</v>
      </c>
      <c r="K51" s="1186" t="str">
        <f>IF(I51=".",I51,VLOOKUP($I51,'Price List, Weapons &amp; Items'!B:D,3,0))</f>
        <v>.</v>
      </c>
      <c r="L51" s="1187">
        <f>VLOOKUP(I51,'Price List, Weapons &amp; Items'!B:E,4,0)</f>
        <v>0</v>
      </c>
      <c r="M51" s="1241" t="s">
        <v>364</v>
      </c>
      <c r="N51" s="1211" t="s">
        <v>364</v>
      </c>
      <c r="O51" s="1188" t="str">
        <f>VLOOKUP($I51,'Price List, Weapons &amp; Items'!B:G,6,0)</f>
        <v>.</v>
      </c>
      <c r="P51" s="1185" t="str">
        <f t="shared" si="13"/>
        <v>.</v>
      </c>
      <c r="Q51" s="1185" t="str">
        <f t="shared" si="14"/>
        <v>.</v>
      </c>
      <c r="R51" s="1185" t="str">
        <f t="shared" si="2"/>
        <v/>
      </c>
      <c r="S51" s="1185" t="str">
        <f>IF(AND(AD51=1,R51&lt;&gt;".")=TRUE,R51/VLOOKUP(G51,'Exchange Rates'!B:C,2,0),IF(R51=".",".",""))</f>
        <v/>
      </c>
      <c r="T51" s="1185" t="str">
        <f>IF(AD51=1,IF(AF51="Value is not given at all",".",IF(AF51="Value is given by the source",S51,IF(AF51="Value is calculated with prices",(IF(SUMIFS(Q:Q,A:A,A51)&gt;0,SUMIFS(Q:Q,A:A,A51),"."))/VLOOKUP("USD",'Exchange Rates'!B:C,2,0),"Error with coding"))),"")</f>
        <v/>
      </c>
      <c r="U51" s="1191" t="s">
        <v>365</v>
      </c>
      <c r="V51" s="983" t="s">
        <v>529</v>
      </c>
      <c r="W51" s="983" t="s">
        <v>364</v>
      </c>
      <c r="X51" s="983" t="s">
        <v>364</v>
      </c>
      <c r="Y51" s="1208" t="s">
        <v>364</v>
      </c>
      <c r="Z51" s="1191">
        <v>0</v>
      </c>
      <c r="AA51" s="1191">
        <v>1</v>
      </c>
      <c r="AB51" s="1208" t="s">
        <v>364</v>
      </c>
      <c r="AC51" s="1192" t="str">
        <f>""</f>
        <v/>
      </c>
      <c r="AD51" s="1191">
        <v>0</v>
      </c>
      <c r="AE51" s="1191" t="s">
        <v>368</v>
      </c>
      <c r="AF51" s="1191" t="s">
        <v>369</v>
      </c>
      <c r="AG51" s="1191">
        <v>1</v>
      </c>
      <c r="AH51" s="1191">
        <v>17</v>
      </c>
      <c r="AI51" s="1191">
        <v>0</v>
      </c>
      <c r="AJ51" s="1193">
        <f>VLOOKUP($I51,'Price List, Weapons &amp; Items'!B:F,5,0)</f>
        <v>0</v>
      </c>
      <c r="AK51" s="1193">
        <f t="shared" si="15"/>
        <v>0</v>
      </c>
      <c r="AL51" s="1193">
        <f t="shared" si="16"/>
        <v>0</v>
      </c>
      <c r="AM51" s="1193">
        <f t="shared" si="17"/>
        <v>0</v>
      </c>
      <c r="AN51" s="1194" t="str">
        <f>VLOOKUP($I51,'Price List, Weapons &amp; Items'!B:L,COLUMN('Price List, Weapons &amp; Items'!$J$11)-1,0)</f>
        <v>.</v>
      </c>
      <c r="AO51" s="1194" t="str">
        <f>IF(I51=".",".",VLOOKUP($I51,'Price List, Weapons &amp; Items'!B:J,3,0))</f>
        <v>.</v>
      </c>
      <c r="AP51" s="1195" t="str">
        <f t="shared" ca="1" si="6"/>
        <v/>
      </c>
      <c r="AQ51" s="1194">
        <f>VLOOKUP($I51,'Price List, Weapons &amp; Items'!B:L,COLUMN('Price List, Weapons &amp; Items'!$L$11)-1,0)</f>
        <v>0</v>
      </c>
      <c r="AR51" s="1194">
        <f t="shared" si="18"/>
        <v>1</v>
      </c>
      <c r="AS51" s="1194">
        <f t="shared" si="19"/>
        <v>0</v>
      </c>
      <c r="AT51" s="1194">
        <f t="shared" si="20"/>
        <v>1</v>
      </c>
      <c r="AU51" s="1194" t="str">
        <f t="shared" si="21"/>
        <v>.</v>
      </c>
      <c r="AV51" s="1194" t="str">
        <f t="shared" si="11"/>
        <v>.</v>
      </c>
      <c r="AW51" s="1194" t="str">
        <f t="shared" si="22"/>
        <v>.</v>
      </c>
      <c r="AX51" s="1194">
        <f>IFERROR(VLOOKUP(B51,'Share, Heavy Weapons to Ukraine'!B:Z,COLUMN('Share, Heavy Weapons to Ukraine'!C61)-1,0),0)</f>
        <v>0</v>
      </c>
      <c r="AY51" s="1194">
        <f>VLOOKUP('Bilateral Assistance, MAIN DATA'!B51,'Country Summary (€)'!B:F,COLUMN('Country Summary (€)'!C62)-1,FALSE)</f>
        <v>1</v>
      </c>
      <c r="AZ51" s="1194" t="str">
        <f>IF(AND(AD51=1,D51="Military",H51&lt;&gt;"Not given")=TRUE,IF(SUMIFS(P:P,A:A,A51)&gt;0,ABS((SUMIFS(P:P,A:A,A51)/VLOOKUP("USD",'Exchange Rates'!B:C,2,0)))/S51,"."),".")</f>
        <v>.</v>
      </c>
      <c r="BA51" s="1196" t="str">
        <f>IF(AND(AD51=1,D51="Military",H51&lt;&gt;"Not given")=TRUE,IF(SUMIFS(P:P,A:A,A51)&gt;0,IF((ABS((SUMIFS(P:P,A:A,A51)/VLOOKUP("USD",'Exchange Rates'!B:C,2,0)))/S51)&gt;1,(SUMIFS(P:P,A:A,A51)-S51)/S51,(S51-SUMIFS(P:P,A:A,A51))/SUMIFS(P:P,A:A,A51)),"."),".")</f>
        <v>.</v>
      </c>
      <c r="BB51" s="1208" t="s">
        <v>38</v>
      </c>
      <c r="BC51" s="1208" t="s">
        <v>38</v>
      </c>
      <c r="BD51" s="1208" t="s">
        <v>38</v>
      </c>
      <c r="BE51" s="1208" t="s">
        <v>38</v>
      </c>
      <c r="BF51" s="1208" t="s">
        <v>38</v>
      </c>
      <c r="BG51" s="1208" t="s">
        <v>38</v>
      </c>
      <c r="BH51" s="1208" t="s">
        <v>38</v>
      </c>
      <c r="BI51" s="1208" t="s">
        <v>38</v>
      </c>
      <c r="BJ51" s="1208" t="s">
        <v>38</v>
      </c>
      <c r="BK51" s="1208" t="s">
        <v>38</v>
      </c>
      <c r="BL51" s="1208" t="s">
        <v>38</v>
      </c>
      <c r="BM51" s="1208" t="s">
        <v>38</v>
      </c>
      <c r="BN51" s="1208" t="s">
        <v>38</v>
      </c>
      <c r="BO51" s="1208" t="s">
        <v>38</v>
      </c>
      <c r="BP51" s="1208" t="s">
        <v>38</v>
      </c>
      <c r="BQ51" s="1208" t="s">
        <v>38</v>
      </c>
      <c r="BR51" s="1208" t="s">
        <v>38</v>
      </c>
      <c r="BS51" s="1208" t="s">
        <v>38</v>
      </c>
    </row>
    <row r="52" spans="1:71" s="1180" customFormat="1" ht="15.95" customHeight="1">
      <c r="A52" s="1180" t="s">
        <v>530</v>
      </c>
      <c r="B52" s="1180" t="s">
        <v>454</v>
      </c>
      <c r="C52" s="1181">
        <v>45035</v>
      </c>
      <c r="D52" s="1182" t="s">
        <v>360</v>
      </c>
      <c r="E52" s="1182" t="s">
        <v>371</v>
      </c>
      <c r="F52" s="1183" t="s">
        <v>531</v>
      </c>
      <c r="G52" s="1184" t="s">
        <v>456</v>
      </c>
      <c r="H52" s="1185" t="s">
        <v>457</v>
      </c>
      <c r="I52" s="1180" t="s">
        <v>477</v>
      </c>
      <c r="J52" s="1186" t="str">
        <f>VLOOKUP($I52,'Price List, Weapons &amp; Items'!B:C,2,0)</f>
        <v>Humanitarian</v>
      </c>
      <c r="K52" s="1186" t="str">
        <f>IF(I52=".",I52,VLOOKUP($I52,'Price List, Weapons &amp; Items'!B:D,3,0))</f>
        <v>Humanitarian</v>
      </c>
      <c r="L52" s="1187">
        <f>VLOOKUP(I52,'Price List, Weapons &amp; Items'!B:E,4,0)</f>
        <v>0</v>
      </c>
      <c r="M52" s="984">
        <v>4</v>
      </c>
      <c r="N52" s="1188" t="s">
        <v>374</v>
      </c>
      <c r="O52" s="1188">
        <f>VLOOKUP($I52,'Price List, Weapons &amp; Items'!B:G,6,0)</f>
        <v>317500</v>
      </c>
      <c r="P52" s="1185">
        <f t="shared" si="13"/>
        <v>1270000</v>
      </c>
      <c r="Q52" s="1185" t="str">
        <f t="shared" si="14"/>
        <v>.</v>
      </c>
      <c r="R52" s="1185">
        <f t="shared" si="2"/>
        <v>1270000</v>
      </c>
      <c r="S52" s="1185">
        <f>IF(AND(AD52=1,R52&lt;&gt;".")=TRUE,R52/VLOOKUP(G52,'Exchange Rates'!B:C,2,0),IF(R52=".",".",""))</f>
        <v>1168568.2738314318</v>
      </c>
      <c r="T52" s="1185" t="str">
        <f>IF(AD52=1,IF(AF52="Value is not given at all",".",IF(AF52="Value is given by the source",S52,IF(AF52="Value is calculated with prices",(IF(SUMIFS(Q:Q,A:A,A52)&gt;0,SUMIFS(Q:Q,A:A,A52),"."))/VLOOKUP("USD",'Exchange Rates'!B:C,2,0),"Error with coding"))),"")</f>
        <v>.</v>
      </c>
      <c r="U52" s="1184" t="s">
        <v>365</v>
      </c>
      <c r="V52" s="973" t="s">
        <v>532</v>
      </c>
      <c r="W52" s="973" t="s">
        <v>533</v>
      </c>
      <c r="X52" s="973" t="s">
        <v>364</v>
      </c>
      <c r="Y52" s="1190" t="s">
        <v>364</v>
      </c>
      <c r="Z52" s="1184">
        <v>0</v>
      </c>
      <c r="AA52" s="1191">
        <v>1</v>
      </c>
      <c r="AB52" s="1201" t="s">
        <v>364</v>
      </c>
      <c r="AC52" s="1192" t="str">
        <f>""</f>
        <v/>
      </c>
      <c r="AD52" s="985">
        <v>1</v>
      </c>
      <c r="AE52" s="985" t="s">
        <v>436</v>
      </c>
      <c r="AF52" s="985" t="s">
        <v>369</v>
      </c>
      <c r="AG52" s="985">
        <v>1</v>
      </c>
      <c r="AH52" s="985">
        <v>16</v>
      </c>
      <c r="AI52" s="985">
        <v>0</v>
      </c>
      <c r="AJ52" s="1193">
        <f>VLOOKUP($I52,'Price List, Weapons &amp; Items'!B:F,5,0)</f>
        <v>0</v>
      </c>
      <c r="AK52" s="1193">
        <f t="shared" si="15"/>
        <v>0</v>
      </c>
      <c r="AL52" s="1193">
        <f t="shared" si="16"/>
        <v>0</v>
      </c>
      <c r="AM52" s="1193">
        <f t="shared" si="17"/>
        <v>0</v>
      </c>
      <c r="AN52" s="1194" t="str">
        <f>VLOOKUP($I52,'Price List, Weapons &amp; Items'!B:L,COLUMN('Price List, Weapons &amp; Items'!$J$11)-1,0)</f>
        <v>Media reports (incl. social media)</v>
      </c>
      <c r="AO52" s="1194" t="str">
        <f>IF(I52=".",".",VLOOKUP($I52,'Price List, Weapons &amp; Items'!B:J,3,0))</f>
        <v>Humanitarian</v>
      </c>
      <c r="AP52" s="1195" t="str">
        <f t="shared" ca="1" si="6"/>
        <v>ambulance H</v>
      </c>
      <c r="AQ52" s="1194">
        <f>VLOOKUP($I52,'Price List, Weapons &amp; Items'!B:L,COLUMN('Price List, Weapons &amp; Items'!$L$11)-1,0)</f>
        <v>0</v>
      </c>
      <c r="AR52" s="1194">
        <f t="shared" si="18"/>
        <v>1</v>
      </c>
      <c r="AS52" s="1194">
        <f t="shared" si="19"/>
        <v>0</v>
      </c>
      <c r="AT52" s="1194">
        <f t="shared" si="20"/>
        <v>1</v>
      </c>
      <c r="AU52" s="1194" t="str">
        <f t="shared" si="21"/>
        <v>.</v>
      </c>
      <c r="AV52" s="1194" t="str">
        <f t="shared" si="11"/>
        <v>.</v>
      </c>
      <c r="AW52" s="1194" t="str">
        <f t="shared" si="22"/>
        <v>.</v>
      </c>
      <c r="AX52" s="1194">
        <f>IFERROR(VLOOKUP(B52,'Share, Heavy Weapons to Ukraine'!B:Z,COLUMN('Share, Heavy Weapons to Ukraine'!C62)-1,0),0)</f>
        <v>0</v>
      </c>
      <c r="AY52" s="1194">
        <f>VLOOKUP('Bilateral Assistance, MAIN DATA'!B52,'Country Summary (€)'!B:F,COLUMN('Country Summary (€)'!C63)-1,FALSE)</f>
        <v>1</v>
      </c>
      <c r="AZ52" s="1194" t="str">
        <f>IF(AND(AD52=1,D52="Military",H52&lt;&gt;"Not given")=TRUE,IF(SUMIFS(P:P,A:A,A52)&gt;0,ABS((SUMIFS(P:P,A:A,A52)/VLOOKUP("USD",'Exchange Rates'!B:C,2,0)))/S52,"."),".")</f>
        <v>.</v>
      </c>
      <c r="BA52" s="1196" t="str">
        <f>IF(AND(AD52=1,D52="Military",H52&lt;&gt;"Not given")=TRUE,IF(SUMIFS(P:P,A:A,A52)&gt;0,IF((ABS((SUMIFS(P:P,A:A,A52)/VLOOKUP("USD",'Exchange Rates'!B:C,2,0)))/S52)&gt;1,(SUMIFS(P:P,A:A,A52)-S52)/S52,(S52-SUMIFS(P:P,A:A,A52))/SUMIFS(P:P,A:A,A52)),"."),".")</f>
        <v>.</v>
      </c>
    </row>
    <row r="53" spans="1:71" s="1264" customFormat="1" ht="15.95" customHeight="1">
      <c r="A53" s="1182" t="s">
        <v>534</v>
      </c>
      <c r="B53" s="1182" t="s">
        <v>454</v>
      </c>
      <c r="C53" s="1181">
        <v>44633</v>
      </c>
      <c r="D53" s="1182" t="s">
        <v>389</v>
      </c>
      <c r="E53" s="1182" t="s">
        <v>398</v>
      </c>
      <c r="F53" s="1183" t="s">
        <v>535</v>
      </c>
      <c r="G53" s="1184" t="s">
        <v>456</v>
      </c>
      <c r="H53" s="1185" t="s">
        <v>457</v>
      </c>
      <c r="I53" s="1180" t="s">
        <v>536</v>
      </c>
      <c r="J53" s="1186" t="str">
        <f>VLOOKUP($I53,'Price List, Weapons &amp; Items'!B:C,2,0)</f>
        <v>Military equipment</v>
      </c>
      <c r="K53" s="1186" t="str">
        <f>IF(I53=".",I53,VLOOKUP($I53,'Price List, Weapons &amp; Items'!B:D,3,0))</f>
        <v>Military equipment</v>
      </c>
      <c r="L53" s="1187">
        <f>VLOOKUP(I53,'Price List, Weapons &amp; Items'!B:E,4,0)</f>
        <v>0</v>
      </c>
      <c r="M53" s="984">
        <v>200000</v>
      </c>
      <c r="N53" s="1188">
        <v>200000</v>
      </c>
      <c r="O53" s="1188">
        <f>VLOOKUP($I53,'Price List, Weapons &amp; Items'!B:G,6,0)</f>
        <v>1.35</v>
      </c>
      <c r="P53" s="1185">
        <f t="shared" si="13"/>
        <v>270000</v>
      </c>
      <c r="Q53" s="1185">
        <f t="shared" si="14"/>
        <v>270000</v>
      </c>
      <c r="R53" s="1185">
        <f t="shared" si="2"/>
        <v>3587374.05</v>
      </c>
      <c r="S53" s="1185">
        <f>IF(AND(AD53=1,R53&lt;&gt;".")=TRUE,R53/VLOOKUP(G53,'Exchange Rates'!B:C,2,0),IF(R53=".",".",""))</f>
        <v>3300859.4497607653</v>
      </c>
      <c r="T53" s="1185">
        <f>IF(AD53=1,IF(AF53="Value is not given at all",".",IF(AF53="Value is given by the source",S53,IF(AF53="Value is calculated with prices",(IF(SUMIFS(Q:Q,A:A,A53)&gt;0,SUMIFS(Q:Q,A:A,A53),"."))/VLOOKUP("USD",'Exchange Rates'!B:C,2,0),"Error with coding"))),"")</f>
        <v>3300859.4497607653</v>
      </c>
      <c r="U53" s="1184" t="s">
        <v>365</v>
      </c>
      <c r="V53" s="974" t="s">
        <v>537</v>
      </c>
      <c r="W53" s="974" t="s">
        <v>538</v>
      </c>
      <c r="X53" s="1183" t="s">
        <v>364</v>
      </c>
      <c r="Y53" s="1183" t="s">
        <v>364</v>
      </c>
      <c r="Z53" s="1184">
        <v>0</v>
      </c>
      <c r="AA53" s="1194">
        <v>0</v>
      </c>
      <c r="AB53" s="975" t="s">
        <v>539</v>
      </c>
      <c r="AC53" s="1192" t="str">
        <f>""</f>
        <v/>
      </c>
      <c r="AD53" s="1193">
        <v>1</v>
      </c>
      <c r="AE53" s="1193" t="s">
        <v>436</v>
      </c>
      <c r="AF53" s="1193" t="s">
        <v>436</v>
      </c>
      <c r="AG53" s="1193">
        <v>1</v>
      </c>
      <c r="AH53" s="1193">
        <v>3</v>
      </c>
      <c r="AI53" s="1193">
        <v>0</v>
      </c>
      <c r="AJ53" s="1193">
        <f>VLOOKUP($I53,'Price List, Weapons &amp; Items'!B:F,5,0)</f>
        <v>0</v>
      </c>
      <c r="AK53" s="1193">
        <f t="shared" si="15"/>
        <v>0</v>
      </c>
      <c r="AL53" s="1193">
        <f t="shared" si="16"/>
        <v>0</v>
      </c>
      <c r="AM53" s="1193">
        <f t="shared" si="17"/>
        <v>0</v>
      </c>
      <c r="AN53" s="1194" t="str">
        <f>VLOOKUP($I53,'Price List, Weapons &amp; Items'!B:L,COLUMN('Price List, Weapons &amp; Items'!$J$11)-1,0)</f>
        <v>Miscellaneous</v>
      </c>
      <c r="AO53" s="1194" t="str">
        <f>IF(I53=".",".",VLOOKUP($I53,'Price List, Weapons &amp; Items'!B:J,3,0))</f>
        <v>Military equipment</v>
      </c>
      <c r="AP53" s="1195" t="str">
        <f t="shared" ca="1" si="6"/>
        <v>liter of diesel M</v>
      </c>
      <c r="AQ53" s="1194">
        <f>VLOOKUP($I53,'Price List, Weapons &amp; Items'!B:L,COLUMN('Price List, Weapons &amp; Items'!$L$11)-1,0)</f>
        <v>1</v>
      </c>
      <c r="AR53" s="1194">
        <f t="shared" si="18"/>
        <v>1</v>
      </c>
      <c r="AS53" s="1194">
        <f t="shared" si="19"/>
        <v>1</v>
      </c>
      <c r="AT53" s="1194">
        <f t="shared" si="20"/>
        <v>1</v>
      </c>
      <c r="AU53" s="1194" t="str">
        <f t="shared" si="21"/>
        <v>.</v>
      </c>
      <c r="AV53" s="1194" t="str">
        <f t="shared" si="11"/>
        <v>.</v>
      </c>
      <c r="AW53" s="1194" t="str">
        <f t="shared" si="22"/>
        <v>.</v>
      </c>
      <c r="AX53" s="1194">
        <f>IFERROR(VLOOKUP(B53,'Share, Heavy Weapons to Ukraine'!B:Z,COLUMN('Share, Heavy Weapons to Ukraine'!C63)-1,0),0)</f>
        <v>0</v>
      </c>
      <c r="AY53" s="1194">
        <f>VLOOKUP('Bilateral Assistance, MAIN DATA'!B53,'Country Summary (€)'!B:F,COLUMN('Country Summary (€)'!C64)-1,FALSE)</f>
        <v>1</v>
      </c>
      <c r="AZ53" s="1194" t="str">
        <f>IF(AND(AD53=1,D53="Military",H53&lt;&gt;"Not given")=TRUE,IF(SUMIFS(P:P,A:A,A53)&gt;0,ABS((SUMIFS(P:P,A:A,A53)/VLOOKUP("USD",'Exchange Rates'!B:C,2,0)))/S53,"."),".")</f>
        <v>.</v>
      </c>
      <c r="BA53" s="1196" t="str">
        <f>IF(AND(AD53=1,D53="Military",H53&lt;&gt;"Not given")=TRUE,IF(SUMIFS(P:P,A:A,A53)&gt;0,IF((ABS((SUMIFS(P:P,A:A,A53)/VLOOKUP("USD",'Exchange Rates'!B:C,2,0)))/S53)&gt;1,(SUMIFS(P:P,A:A,A53)-S53)/S53,(S53-SUMIFS(P:P,A:A,A53))/SUMIFS(P:P,A:A,A53)),"."),".")</f>
        <v>.</v>
      </c>
    </row>
    <row r="54" spans="1:71" s="1264" customFormat="1" ht="15.95" customHeight="1">
      <c r="A54" s="1182" t="s">
        <v>534</v>
      </c>
      <c r="B54" s="1182" t="s">
        <v>454</v>
      </c>
      <c r="C54" s="1181">
        <v>44633</v>
      </c>
      <c r="D54" s="1182" t="s">
        <v>389</v>
      </c>
      <c r="E54" s="1182" t="s">
        <v>398</v>
      </c>
      <c r="F54" s="1183" t="s">
        <v>535</v>
      </c>
      <c r="G54" s="1184" t="s">
        <v>456</v>
      </c>
      <c r="H54" s="1185" t="s">
        <v>457</v>
      </c>
      <c r="I54" s="1180" t="s">
        <v>540</v>
      </c>
      <c r="J54" s="1186" t="str">
        <f>VLOOKUP($I54,'Price List, Weapons &amp; Items'!B:C,2,0)</f>
        <v>Military equipment</v>
      </c>
      <c r="K54" s="1186" t="str">
        <f>IF(I54=".",I54,VLOOKUP($I54,'Price List, Weapons &amp; Items'!B:D,3,0))</f>
        <v>Military equipment</v>
      </c>
      <c r="L54" s="1187">
        <f>VLOOKUP(I54,'Price List, Weapons &amp; Items'!B:E,4,0)</f>
        <v>0</v>
      </c>
      <c r="M54" s="984">
        <v>10059</v>
      </c>
      <c r="N54" s="984">
        <v>10059</v>
      </c>
      <c r="O54" s="1188">
        <f>VLOOKUP($I54,'Price List, Weapons &amp; Items'!B:G,6,0)</f>
        <v>36.950000000000003</v>
      </c>
      <c r="P54" s="1185">
        <f t="shared" si="13"/>
        <v>371680.05000000005</v>
      </c>
      <c r="Q54" s="1185">
        <f t="shared" si="14"/>
        <v>371680.05000000005</v>
      </c>
      <c r="R54" s="1185" t="str">
        <f t="shared" si="2"/>
        <v/>
      </c>
      <c r="S54" s="1185" t="str">
        <f>IF(AND(AD54=1,R54&lt;&gt;".")=TRUE,R54/VLOOKUP(G54,'Exchange Rates'!B:C,2,0),IF(R54=".",".",""))</f>
        <v/>
      </c>
      <c r="T54" s="1185" t="str">
        <f>IF(AD54=1,IF(AF54="Value is not given at all",".",IF(AF54="Value is given by the source",S54,IF(AF54="Value is calculated with prices",(IF(SUMIFS(Q:Q,A:A,A54)&gt;0,SUMIFS(Q:Q,A:A,A54),"."))/VLOOKUP("USD",'Exchange Rates'!B:C,2,0),"Error with coding"))),"")</f>
        <v/>
      </c>
      <c r="U54" s="1184" t="s">
        <v>365</v>
      </c>
      <c r="V54" s="974" t="s">
        <v>537</v>
      </c>
      <c r="W54" s="974" t="s">
        <v>538</v>
      </c>
      <c r="X54" s="1183" t="s">
        <v>364</v>
      </c>
      <c r="Y54" s="1183" t="s">
        <v>364</v>
      </c>
      <c r="Z54" s="1184">
        <v>0</v>
      </c>
      <c r="AA54" s="1194">
        <v>0</v>
      </c>
      <c r="AB54" s="975" t="s">
        <v>537</v>
      </c>
      <c r="AC54" s="1192" t="str">
        <f>""</f>
        <v/>
      </c>
      <c r="AD54" s="1193">
        <v>0</v>
      </c>
      <c r="AE54" s="1193" t="s">
        <v>436</v>
      </c>
      <c r="AF54" s="1193" t="s">
        <v>436</v>
      </c>
      <c r="AG54" s="1193">
        <v>1</v>
      </c>
      <c r="AH54" s="1193">
        <v>3</v>
      </c>
      <c r="AI54" s="1193">
        <v>0</v>
      </c>
      <c r="AJ54" s="1193">
        <f>VLOOKUP($I54,'Price List, Weapons &amp; Items'!B:F,5,0)</f>
        <v>0</v>
      </c>
      <c r="AK54" s="1193">
        <f t="shared" si="15"/>
        <v>0</v>
      </c>
      <c r="AL54" s="1193">
        <f t="shared" si="16"/>
        <v>0</v>
      </c>
      <c r="AM54" s="1193">
        <f t="shared" si="17"/>
        <v>0</v>
      </c>
      <c r="AN54" s="1194" t="str">
        <f>VLOOKUP($I54,'Price List, Weapons &amp; Items'!B:L,COLUMN('Price List, Weapons &amp; Items'!$J$11)-1,0)</f>
        <v>Government information</v>
      </c>
      <c r="AO54" s="1194" t="str">
        <f>IF(I54=".",".",VLOOKUP($I54,'Price List, Weapons &amp; Items'!B:J,3,0))</f>
        <v>Military equipment</v>
      </c>
      <c r="AP54" s="1195" t="str">
        <f t="shared" ca="1" si="6"/>
        <v/>
      </c>
      <c r="AQ54" s="1194">
        <f>VLOOKUP($I54,'Price List, Weapons &amp; Items'!B:L,COLUMN('Price List, Weapons &amp; Items'!$L$11)-1,0)</f>
        <v>1</v>
      </c>
      <c r="AR54" s="1194">
        <f t="shared" si="18"/>
        <v>1</v>
      </c>
      <c r="AS54" s="1194">
        <f t="shared" si="19"/>
        <v>1</v>
      </c>
      <c r="AT54" s="1194">
        <f t="shared" si="20"/>
        <v>1</v>
      </c>
      <c r="AU54" s="1194" t="str">
        <f t="shared" si="21"/>
        <v>.</v>
      </c>
      <c r="AV54" s="1194" t="str">
        <f t="shared" si="11"/>
        <v>.</v>
      </c>
      <c r="AW54" s="1194" t="str">
        <f t="shared" si="22"/>
        <v>.</v>
      </c>
      <c r="AX54" s="1194">
        <f>IFERROR(VLOOKUP(B54,'Share, Heavy Weapons to Ukraine'!B:Z,COLUMN('Share, Heavy Weapons to Ukraine'!C64)-1,0),0)</f>
        <v>0</v>
      </c>
      <c r="AY54" s="1194">
        <f>VLOOKUP('Bilateral Assistance, MAIN DATA'!B54,'Country Summary (€)'!B:F,COLUMN('Country Summary (€)'!C65)-1,FALSE)</f>
        <v>1</v>
      </c>
      <c r="AZ54" s="1194" t="str">
        <f>IF(AND(AD54=1,D54="Military",H54&lt;&gt;"Not given")=TRUE,IF(SUMIFS(P:P,A:A,A54)&gt;0,ABS((SUMIFS(P:P,A:A,A54)/VLOOKUP("USD",'Exchange Rates'!B:C,2,0)))/S54,"."),".")</f>
        <v>.</v>
      </c>
      <c r="BA54" s="1196" t="str">
        <f>IF(AND(AD54=1,D54="Military",H54&lt;&gt;"Not given")=TRUE,IF(SUMIFS(P:P,A:A,A54)&gt;0,IF((ABS((SUMIFS(P:P,A:A,A54)/VLOOKUP("USD",'Exchange Rates'!B:C,2,0)))/S54)&gt;1,(SUMIFS(P:P,A:A,A54)-S54)/S54,(S54-SUMIFS(P:P,A:A,A54))/SUMIFS(P:P,A:A,A54)),"."),".")</f>
        <v>.</v>
      </c>
    </row>
    <row r="55" spans="1:71" s="1264" customFormat="1" ht="15.95" customHeight="1">
      <c r="A55" s="1182" t="s">
        <v>534</v>
      </c>
      <c r="B55" s="1182" t="s">
        <v>454</v>
      </c>
      <c r="C55" s="1181">
        <v>44633</v>
      </c>
      <c r="D55" s="1182" t="s">
        <v>389</v>
      </c>
      <c r="E55" s="1182" t="s">
        <v>398</v>
      </c>
      <c r="F55" s="1183" t="s">
        <v>535</v>
      </c>
      <c r="G55" s="1184" t="s">
        <v>456</v>
      </c>
      <c r="H55" s="1185" t="s">
        <v>457</v>
      </c>
      <c r="I55" s="1180" t="s">
        <v>541</v>
      </c>
      <c r="J55" s="1186" t="str">
        <f>VLOOKUP($I55,'Price List, Weapons &amp; Items'!B:C,2,0)</f>
        <v>Military equipment</v>
      </c>
      <c r="K55" s="1186" t="str">
        <f>IF(I55=".",I55,VLOOKUP($I55,'Price List, Weapons &amp; Items'!B:D,3,0))</f>
        <v>Military equipment</v>
      </c>
      <c r="L55" s="1187">
        <f>VLOOKUP(I55,'Price List, Weapons &amp; Items'!B:E,4,0)</f>
        <v>0</v>
      </c>
      <c r="M55" s="984">
        <v>9300</v>
      </c>
      <c r="N55" s="984">
        <v>9300</v>
      </c>
      <c r="O55" s="1188">
        <f>VLOOKUP($I55,'Price List, Weapons &amp; Items'!B:G,6,0)</f>
        <v>316.68</v>
      </c>
      <c r="P55" s="1185">
        <f t="shared" si="13"/>
        <v>2945124</v>
      </c>
      <c r="Q55" s="1185">
        <f t="shared" si="14"/>
        <v>2945124</v>
      </c>
      <c r="R55" s="1185" t="str">
        <f t="shared" si="2"/>
        <v/>
      </c>
      <c r="S55" s="1185" t="str">
        <f>IF(AND(AD55=1,R55&lt;&gt;".")=TRUE,R55/VLOOKUP(G55,'Exchange Rates'!B:C,2,0),IF(R55=".",".",""))</f>
        <v/>
      </c>
      <c r="T55" s="1185" t="str">
        <f>IF(AD55=1,IF(AF55="Value is not given at all",".",IF(AF55="Value is given by the source",S55,IF(AF55="Value is calculated with prices",(IF(SUMIFS(Q:Q,A:A,A55)&gt;0,SUMIFS(Q:Q,A:A,A55),"."))/VLOOKUP("USD",'Exchange Rates'!B:C,2,0),"Error with coding"))),"")</f>
        <v/>
      </c>
      <c r="U55" s="1184" t="s">
        <v>365</v>
      </c>
      <c r="V55" s="974" t="s">
        <v>537</v>
      </c>
      <c r="W55" s="974" t="s">
        <v>538</v>
      </c>
      <c r="X55" s="1183" t="s">
        <v>364</v>
      </c>
      <c r="Y55" s="1183" t="s">
        <v>364</v>
      </c>
      <c r="Z55" s="1184">
        <v>0</v>
      </c>
      <c r="AA55" s="1194">
        <v>0</v>
      </c>
      <c r="AB55" s="975" t="s">
        <v>537</v>
      </c>
      <c r="AC55" s="1192" t="str">
        <f>""</f>
        <v/>
      </c>
      <c r="AD55" s="1193">
        <v>0</v>
      </c>
      <c r="AE55" s="1193" t="s">
        <v>436</v>
      </c>
      <c r="AF55" s="1193" t="s">
        <v>436</v>
      </c>
      <c r="AG55" s="1193">
        <v>1</v>
      </c>
      <c r="AH55" s="1193">
        <v>3</v>
      </c>
      <c r="AI55" s="1193">
        <v>0</v>
      </c>
      <c r="AJ55" s="1193">
        <f>VLOOKUP($I55,'Price List, Weapons &amp; Items'!B:F,5,0)</f>
        <v>0</v>
      </c>
      <c r="AK55" s="1193">
        <f t="shared" si="15"/>
        <v>0</v>
      </c>
      <c r="AL55" s="1193">
        <f t="shared" si="16"/>
        <v>0</v>
      </c>
      <c r="AM55" s="1193">
        <f t="shared" si="17"/>
        <v>0</v>
      </c>
      <c r="AN55" s="1194" t="str">
        <f>VLOOKUP($I55,'Price List, Weapons &amp; Items'!B:L,COLUMN('Price List, Weapons &amp; Items'!$J$11)-1,0)</f>
        <v>Online marketplaces and stores</v>
      </c>
      <c r="AO55" s="1194" t="str">
        <f>IF(I55=".",".",VLOOKUP($I55,'Price List, Weapons &amp; Items'!B:J,3,0))</f>
        <v>Military equipment</v>
      </c>
      <c r="AP55" s="1195" t="str">
        <f t="shared" ca="1" si="6"/>
        <v/>
      </c>
      <c r="AQ55" s="1194">
        <f>VLOOKUP($I55,'Price List, Weapons &amp; Items'!B:L,COLUMN('Price List, Weapons &amp; Items'!$L$11)-1,0)</f>
        <v>2</v>
      </c>
      <c r="AR55" s="1194">
        <f t="shared" si="18"/>
        <v>1</v>
      </c>
      <c r="AS55" s="1194">
        <f t="shared" si="19"/>
        <v>1</v>
      </c>
      <c r="AT55" s="1194">
        <f t="shared" si="20"/>
        <v>1</v>
      </c>
      <c r="AU55" s="1194" t="str">
        <f t="shared" si="21"/>
        <v>.</v>
      </c>
      <c r="AV55" s="1194" t="str">
        <f t="shared" si="11"/>
        <v>.</v>
      </c>
      <c r="AW55" s="1194" t="str">
        <f t="shared" si="22"/>
        <v>.</v>
      </c>
      <c r="AX55" s="1194">
        <f>IFERROR(VLOOKUP(B55,'Share, Heavy Weapons to Ukraine'!B:Z,COLUMN('Share, Heavy Weapons to Ukraine'!C65)-1,0),0)</f>
        <v>0</v>
      </c>
      <c r="AY55" s="1194">
        <f>VLOOKUP('Bilateral Assistance, MAIN DATA'!B55,'Country Summary (€)'!B:F,COLUMN('Country Summary (€)'!C66)-1,FALSE)</f>
        <v>1</v>
      </c>
      <c r="AZ55" s="1194" t="str">
        <f>IF(AND(AD55=1,D55="Military",H55&lt;&gt;"Not given")=TRUE,IF(SUMIFS(P:P,A:A,A55)&gt;0,ABS((SUMIFS(P:P,A:A,A55)/VLOOKUP("USD",'Exchange Rates'!B:C,2,0)))/S55,"."),".")</f>
        <v>.</v>
      </c>
      <c r="BA55" s="1196" t="str">
        <f>IF(AND(AD55=1,D55="Military",H55&lt;&gt;"Not given")=TRUE,IF(SUMIFS(P:P,A:A,A55)&gt;0,IF((ABS((SUMIFS(P:P,A:A,A55)/VLOOKUP("USD",'Exchange Rates'!B:C,2,0)))/S55)&gt;1,(SUMIFS(P:P,A:A,A55)-S55)/S55,(S55-SUMIFS(P:P,A:A,A55))/SUMIFS(P:P,A:A,A55)),"."),".")</f>
        <v>.</v>
      </c>
    </row>
    <row r="56" spans="1:71" s="1264" customFormat="1" ht="15.95" customHeight="1">
      <c r="A56" s="1182" t="s">
        <v>534</v>
      </c>
      <c r="B56" s="1182" t="s">
        <v>454</v>
      </c>
      <c r="C56" s="1181">
        <v>44633</v>
      </c>
      <c r="D56" s="1182" t="s">
        <v>389</v>
      </c>
      <c r="E56" s="1182" t="s">
        <v>398</v>
      </c>
      <c r="F56" s="1183" t="s">
        <v>535</v>
      </c>
      <c r="G56" s="1184" t="s">
        <v>456</v>
      </c>
      <c r="H56" s="1185" t="s">
        <v>457</v>
      </c>
      <c r="I56" s="1180" t="s">
        <v>542</v>
      </c>
      <c r="J56" s="1186" t="str">
        <f>VLOOKUP($I56,'Price List, Weapons &amp; Items'!B:C,2,0)</f>
        <v>Military equipment</v>
      </c>
      <c r="K56" s="1186" t="str">
        <f>IF(I56=".",I56,VLOOKUP($I56,'Price List, Weapons &amp; Items'!B:D,3,0))</f>
        <v>Military equipment</v>
      </c>
      <c r="L56" s="1187">
        <f>VLOOKUP(I56,'Price List, Weapons &amp; Items'!B:E,4,0)</f>
        <v>0</v>
      </c>
      <c r="M56" s="984">
        <v>1500</v>
      </c>
      <c r="N56" s="984">
        <v>1500</v>
      </c>
      <c r="O56" s="1188">
        <f>VLOOKUP($I56,'Price List, Weapons &amp; Items'!B:G,6,0)</f>
        <v>0.38</v>
      </c>
      <c r="P56" s="1185">
        <f t="shared" si="13"/>
        <v>570</v>
      </c>
      <c r="Q56" s="1185">
        <f t="shared" si="14"/>
        <v>570</v>
      </c>
      <c r="R56" s="1185" t="str">
        <f t="shared" si="2"/>
        <v/>
      </c>
      <c r="S56" s="1185" t="str">
        <f>IF(AND(AD56=1,R56&lt;&gt;".")=TRUE,R56/VLOOKUP(G56,'Exchange Rates'!B:C,2,0),IF(R56=".",".",""))</f>
        <v/>
      </c>
      <c r="T56" s="1185" t="str">
        <f>IF(AD56=1,IF(AF56="Value is not given at all",".",IF(AF56="Value is given by the source",S56,IF(AF56="Value is calculated with prices",(IF(SUMIFS(Q:Q,A:A,A56)&gt;0,SUMIFS(Q:Q,A:A,A56),"."))/VLOOKUP("USD",'Exchange Rates'!B:C,2,0),"Error with coding"))),"")</f>
        <v/>
      </c>
      <c r="U56" s="1184" t="s">
        <v>365</v>
      </c>
      <c r="V56" s="974" t="s">
        <v>537</v>
      </c>
      <c r="W56" s="974" t="s">
        <v>538</v>
      </c>
      <c r="X56" s="1183" t="s">
        <v>364</v>
      </c>
      <c r="Y56" s="1183" t="s">
        <v>364</v>
      </c>
      <c r="Z56" s="1184">
        <v>0</v>
      </c>
      <c r="AA56" s="1194">
        <v>0</v>
      </c>
      <c r="AB56" s="975" t="s">
        <v>537</v>
      </c>
      <c r="AC56" s="1192" t="str">
        <f>""</f>
        <v/>
      </c>
      <c r="AD56" s="1193">
        <v>0</v>
      </c>
      <c r="AE56" s="1193" t="s">
        <v>436</v>
      </c>
      <c r="AF56" s="1193" t="s">
        <v>436</v>
      </c>
      <c r="AG56" s="1193">
        <v>1</v>
      </c>
      <c r="AH56" s="1193">
        <v>3</v>
      </c>
      <c r="AI56" s="1193">
        <v>0</v>
      </c>
      <c r="AJ56" s="1193">
        <f>VLOOKUP($I56,'Price List, Weapons &amp; Items'!B:F,5,0)</f>
        <v>0</v>
      </c>
      <c r="AK56" s="1193">
        <f t="shared" si="15"/>
        <v>0</v>
      </c>
      <c r="AL56" s="1193">
        <f t="shared" si="16"/>
        <v>0</v>
      </c>
      <c r="AM56" s="1193">
        <f t="shared" si="17"/>
        <v>0</v>
      </c>
      <c r="AN56" s="1194" t="str">
        <f>VLOOKUP($I56,'Price List, Weapons &amp; Items'!B:L,COLUMN('Price List, Weapons &amp; Items'!$J$11)-1,0)</f>
        <v>Online marketplaces and stores</v>
      </c>
      <c r="AO56" s="1194" t="str">
        <f>IF(I56=".",".",VLOOKUP($I56,'Price List, Weapons &amp; Items'!B:J,3,0))</f>
        <v>Military equipment</v>
      </c>
      <c r="AP56" s="1195" t="str">
        <f t="shared" ca="1" si="6"/>
        <v/>
      </c>
      <c r="AQ56" s="1194">
        <f>VLOOKUP($I56,'Price List, Weapons &amp; Items'!B:L,COLUMN('Price List, Weapons &amp; Items'!$L$11)-1,0)</f>
        <v>1</v>
      </c>
      <c r="AR56" s="1194">
        <f t="shared" si="18"/>
        <v>1</v>
      </c>
      <c r="AS56" s="1194">
        <f t="shared" si="19"/>
        <v>1</v>
      </c>
      <c r="AT56" s="1194">
        <f t="shared" si="20"/>
        <v>1</v>
      </c>
      <c r="AU56" s="1194" t="str">
        <f t="shared" si="21"/>
        <v>.</v>
      </c>
      <c r="AV56" s="1194" t="str">
        <f t="shared" si="11"/>
        <v>.</v>
      </c>
      <c r="AW56" s="1194" t="str">
        <f t="shared" si="22"/>
        <v>.</v>
      </c>
      <c r="AX56" s="1194">
        <f>IFERROR(VLOOKUP(B56,'Share, Heavy Weapons to Ukraine'!B:Z,COLUMN('Share, Heavy Weapons to Ukraine'!C66)-1,0),0)</f>
        <v>0</v>
      </c>
      <c r="AY56" s="1194">
        <f>VLOOKUP('Bilateral Assistance, MAIN DATA'!B56,'Country Summary (€)'!B:F,COLUMN('Country Summary (€)'!C67)-1,FALSE)</f>
        <v>1</v>
      </c>
      <c r="AZ56" s="1194" t="str">
        <f>IF(AND(AD56=1,D56="Military",H56&lt;&gt;"Not given")=TRUE,IF(SUMIFS(P:P,A:A,A56)&gt;0,ABS((SUMIFS(P:P,A:A,A56)/VLOOKUP("USD",'Exchange Rates'!B:C,2,0)))/S56,"."),".")</f>
        <v>.</v>
      </c>
      <c r="BA56" s="1196" t="str">
        <f>IF(AND(AD56=1,D56="Military",H56&lt;&gt;"Not given")=TRUE,IF(SUMIFS(P:P,A:A,A56)&gt;0,IF((ABS((SUMIFS(P:P,A:A,A56)/VLOOKUP("USD",'Exchange Rates'!B:C,2,0)))/S56)&gt;1,(SUMIFS(P:P,A:A,A56)-S56)/S56,(S56-SUMIFS(P:P,A:A,A56))/SUMIFS(P:P,A:A,A56)),"."),".")</f>
        <v>.</v>
      </c>
    </row>
    <row r="57" spans="1:71" s="1264" customFormat="1" ht="15.95" customHeight="1">
      <c r="A57" s="1180" t="s">
        <v>543</v>
      </c>
      <c r="B57" s="1180" t="s">
        <v>454</v>
      </c>
      <c r="C57" s="1181">
        <v>44627</v>
      </c>
      <c r="D57" s="1182" t="s">
        <v>544</v>
      </c>
      <c r="E57" s="1182" t="s">
        <v>481</v>
      </c>
      <c r="F57" s="1183" t="s">
        <v>545</v>
      </c>
      <c r="G57" s="1184" t="s">
        <v>483</v>
      </c>
      <c r="H57" s="1185">
        <v>10000000</v>
      </c>
      <c r="I57" s="1180" t="s">
        <v>364</v>
      </c>
      <c r="J57" s="1186" t="str">
        <f>VLOOKUP($I57,'Price List, Weapons &amp; Items'!B:C,2,0)</f>
        <v>.</v>
      </c>
      <c r="K57" s="1186" t="str">
        <f>IF(I57=".",I57,VLOOKUP($I57,'Price List, Weapons &amp; Items'!B:D,3,0))</f>
        <v>.</v>
      </c>
      <c r="L57" s="1187">
        <f>VLOOKUP(I57,'Price List, Weapons &amp; Items'!B:E,4,0)</f>
        <v>0</v>
      </c>
      <c r="M57" s="984" t="s">
        <v>364</v>
      </c>
      <c r="N57" s="1188" t="s">
        <v>364</v>
      </c>
      <c r="O57" s="1188" t="str">
        <f>VLOOKUP($I57,'Price List, Weapons &amp; Items'!B:G,6,0)</f>
        <v>.</v>
      </c>
      <c r="P57" s="1185" t="str">
        <f t="shared" si="13"/>
        <v>.</v>
      </c>
      <c r="Q57" s="1185" t="str">
        <f t="shared" si="14"/>
        <v>.</v>
      </c>
      <c r="R57" s="1185">
        <f t="shared" si="2"/>
        <v>10000000</v>
      </c>
      <c r="S57" s="1185">
        <f>IF(AND(AD57=1,R57&lt;&gt;".")=TRUE,R57/VLOOKUP(G57,'Exchange Rates'!B:C,2,0),IF(R57=".",".",""))</f>
        <v>10000000</v>
      </c>
      <c r="T57" s="1185" t="str">
        <f>IF(AD57=1,IF(AF57="Value is not given at all",".",IF(AF57="Value is given by the source",S57,IF(AF57="Value is calculated with prices",(IF(SUMIFS(Q:Q,A:A,A57)&gt;0,SUMIFS(Q:Q,A:A,A57),"."))/VLOOKUP("USD",'Exchange Rates'!B:C,2,0),"Error with coding"))),"")</f>
        <v>.</v>
      </c>
      <c r="U57" s="1184" t="s">
        <v>365</v>
      </c>
      <c r="V57" s="971" t="s">
        <v>546</v>
      </c>
      <c r="W57" s="980" t="s">
        <v>547</v>
      </c>
      <c r="X57" s="980" t="s">
        <v>548</v>
      </c>
      <c r="Y57" s="1190" t="s">
        <v>364</v>
      </c>
      <c r="Z57" s="1184">
        <v>1</v>
      </c>
      <c r="AA57" s="1194">
        <v>0</v>
      </c>
      <c r="AB57" s="1201" t="s">
        <v>364</v>
      </c>
      <c r="AC57" s="1192" t="str">
        <f>""</f>
        <v/>
      </c>
      <c r="AD57" s="1193">
        <v>1</v>
      </c>
      <c r="AE57" s="1193" t="s">
        <v>368</v>
      </c>
      <c r="AF57" s="1193" t="s">
        <v>369</v>
      </c>
      <c r="AG57" s="1193">
        <v>1</v>
      </c>
      <c r="AH57" s="1193">
        <v>3</v>
      </c>
      <c r="AI57" s="1193">
        <v>0</v>
      </c>
      <c r="AJ57" s="1193">
        <f>VLOOKUP($I57,'Price List, Weapons &amp; Items'!B:F,5,0)</f>
        <v>0</v>
      </c>
      <c r="AK57" s="1193">
        <f t="shared" si="15"/>
        <v>0</v>
      </c>
      <c r="AL57" s="1193">
        <f t="shared" si="16"/>
        <v>0</v>
      </c>
      <c r="AM57" s="1193">
        <f t="shared" si="17"/>
        <v>0</v>
      </c>
      <c r="AN57" s="1194" t="str">
        <f>VLOOKUP($I57,'Price List, Weapons &amp; Items'!B:L,COLUMN('Price List, Weapons &amp; Items'!$J$11)-1,0)</f>
        <v>.</v>
      </c>
      <c r="AO57" s="1194" t="str">
        <f>IF(I57=".",".",VLOOKUP($I57,'Price List, Weapons &amp; Items'!B:J,3,0))</f>
        <v>.</v>
      </c>
      <c r="AP57" s="1195" t="str">
        <f t="shared" ca="1" si="6"/>
        <v>.</v>
      </c>
      <c r="AQ57" s="1194">
        <f>VLOOKUP($I57,'Price List, Weapons &amp; Items'!B:L,COLUMN('Price List, Weapons &amp; Items'!$L$11)-1,0)</f>
        <v>0</v>
      </c>
      <c r="AR57" s="1194">
        <f t="shared" si="18"/>
        <v>1</v>
      </c>
      <c r="AS57" s="1194">
        <f t="shared" si="19"/>
        <v>0</v>
      </c>
      <c r="AT57" s="1194">
        <f t="shared" si="20"/>
        <v>1</v>
      </c>
      <c r="AU57" s="1194" t="str">
        <f t="shared" si="21"/>
        <v>.</v>
      </c>
      <c r="AV57" s="1194" t="str">
        <f t="shared" si="11"/>
        <v>.</v>
      </c>
      <c r="AW57" s="1194" t="str">
        <f t="shared" si="22"/>
        <v>.</v>
      </c>
      <c r="AX57" s="1194">
        <f>IFERROR(VLOOKUP(B57,'Share, Heavy Weapons to Ukraine'!B:Z,COLUMN('Share, Heavy Weapons to Ukraine'!C67)-1,0),0)</f>
        <v>0</v>
      </c>
      <c r="AY57" s="1194">
        <f>VLOOKUP('Bilateral Assistance, MAIN DATA'!B57,'Country Summary (€)'!B:F,COLUMN('Country Summary (€)'!C68)-1,FALSE)</f>
        <v>1</v>
      </c>
      <c r="AZ57" s="1194" t="str">
        <f>IF(AND(AD57=1,D57="Military",H57&lt;&gt;"Not given")=TRUE,IF(SUMIFS(P:P,A:A,A57)&gt;0,ABS((SUMIFS(P:P,A:A,A57)/VLOOKUP("USD",'Exchange Rates'!B:C,2,0)))/S57,"."),".")</f>
        <v>.</v>
      </c>
      <c r="BA57" s="1196" t="str">
        <f>IF(AND(AD57=1,D57="Military",H57&lt;&gt;"Not given")=TRUE,IF(SUMIFS(P:P,A:A,A57)&gt;0,IF((ABS((SUMIFS(P:P,A:A,A57)/VLOOKUP("USD",'Exchange Rates'!B:C,2,0)))/S57)&gt;1,(SUMIFS(P:P,A:A,A57)-S57)/S57,(S57-SUMIFS(P:P,A:A,A57))/SUMIFS(P:P,A:A,A57)),"."),".")</f>
        <v>.</v>
      </c>
    </row>
    <row r="58" spans="1:71" s="1264" customFormat="1" ht="15.95" customHeight="1">
      <c r="A58" s="1180" t="s">
        <v>549</v>
      </c>
      <c r="B58" s="1180" t="s">
        <v>454</v>
      </c>
      <c r="C58" s="1181">
        <v>44900</v>
      </c>
      <c r="D58" s="1182" t="s">
        <v>544</v>
      </c>
      <c r="E58" s="1182" t="s">
        <v>481</v>
      </c>
      <c r="F58" s="1183" t="s">
        <v>550</v>
      </c>
      <c r="G58" s="1184" t="s">
        <v>483</v>
      </c>
      <c r="H58" s="1185">
        <v>20000000</v>
      </c>
      <c r="I58" s="1180" t="s">
        <v>364</v>
      </c>
      <c r="J58" s="1186" t="str">
        <f>VLOOKUP($I58,'Price List, Weapons &amp; Items'!B:C,2,0)</f>
        <v>.</v>
      </c>
      <c r="K58" s="1186" t="str">
        <f>IF(I58=".",I58,VLOOKUP($I58,'Price List, Weapons &amp; Items'!B:D,3,0))</f>
        <v>.</v>
      </c>
      <c r="L58" s="1187">
        <f>VLOOKUP(I58,'Price List, Weapons &amp; Items'!B:E,4,0)</f>
        <v>0</v>
      </c>
      <c r="M58" s="984" t="s">
        <v>364</v>
      </c>
      <c r="N58" s="1188" t="s">
        <v>364</v>
      </c>
      <c r="O58" s="1188" t="str">
        <f>VLOOKUP($I58,'Price List, Weapons &amp; Items'!B:G,6,0)</f>
        <v>.</v>
      </c>
      <c r="P58" s="1185" t="str">
        <f t="shared" si="13"/>
        <v>.</v>
      </c>
      <c r="Q58" s="1185" t="str">
        <f t="shared" si="14"/>
        <v>.</v>
      </c>
      <c r="R58" s="1185">
        <f t="shared" si="2"/>
        <v>20000000</v>
      </c>
      <c r="S58" s="1185">
        <f>IF(AND(AD58=1,R58&lt;&gt;".")=TRUE,R58/VLOOKUP(G58,'Exchange Rates'!B:C,2,0),IF(R58=".",".",""))</f>
        <v>20000000</v>
      </c>
      <c r="T58" s="1185" t="str">
        <f>IF(AD58=1,IF(AF58="Value is not given at all",".",IF(AF58="Value is given by the source",S58,IF(AF58="Value is calculated with prices",(IF(SUMIFS(Q:Q,A:A,A58)&gt;0,SUMIFS(Q:Q,A:A,A58),"."))/VLOOKUP("USD",'Exchange Rates'!B:C,2,0),"Error with coding"))),"")</f>
        <v>.</v>
      </c>
      <c r="U58" s="1184" t="s">
        <v>365</v>
      </c>
      <c r="V58" s="971" t="s">
        <v>551</v>
      </c>
      <c r="W58" s="972" t="s">
        <v>552</v>
      </c>
      <c r="X58" s="1190" t="s">
        <v>364</v>
      </c>
      <c r="Y58" s="1190" t="s">
        <v>364</v>
      </c>
      <c r="Z58" s="1184">
        <v>1</v>
      </c>
      <c r="AA58" s="1191">
        <v>0</v>
      </c>
      <c r="AB58" s="1201" t="s">
        <v>364</v>
      </c>
      <c r="AC58" s="1192" t="str">
        <f>""</f>
        <v/>
      </c>
      <c r="AD58" s="1193">
        <v>1</v>
      </c>
      <c r="AE58" s="1193" t="s">
        <v>368</v>
      </c>
      <c r="AF58" s="1193" t="s">
        <v>369</v>
      </c>
      <c r="AG58" s="1193">
        <v>1</v>
      </c>
      <c r="AH58" s="1193">
        <v>12</v>
      </c>
      <c r="AI58" s="1193">
        <v>0</v>
      </c>
      <c r="AJ58" s="1193">
        <f>VLOOKUP($I58,'Price List, Weapons &amp; Items'!B:F,5,0)</f>
        <v>0</v>
      </c>
      <c r="AK58" s="1193">
        <f t="shared" si="15"/>
        <v>0</v>
      </c>
      <c r="AL58" s="1193">
        <f t="shared" si="16"/>
        <v>0</v>
      </c>
      <c r="AM58" s="1193">
        <f t="shared" si="17"/>
        <v>0</v>
      </c>
      <c r="AN58" s="1194" t="str">
        <f>VLOOKUP($I58,'Price List, Weapons &amp; Items'!B:L,COLUMN('Price List, Weapons &amp; Items'!$J$11)-1,0)</f>
        <v>.</v>
      </c>
      <c r="AO58" s="1194" t="str">
        <f>IF(I58=".",".",VLOOKUP($I58,'Price List, Weapons &amp; Items'!B:J,3,0))</f>
        <v>.</v>
      </c>
      <c r="AP58" s="1195" t="str">
        <f t="shared" ca="1" si="6"/>
        <v>.</v>
      </c>
      <c r="AQ58" s="1194">
        <f>VLOOKUP($I58,'Price List, Weapons &amp; Items'!B:L,COLUMN('Price List, Weapons &amp; Items'!$L$11)-1,0)</f>
        <v>0</v>
      </c>
      <c r="AR58" s="1194">
        <f t="shared" si="18"/>
        <v>1</v>
      </c>
      <c r="AS58" s="1194">
        <f t="shared" si="19"/>
        <v>0</v>
      </c>
      <c r="AT58" s="1194">
        <f t="shared" si="20"/>
        <v>1</v>
      </c>
      <c r="AU58" s="1194" t="str">
        <f t="shared" si="21"/>
        <v>.</v>
      </c>
      <c r="AV58" s="1194" t="str">
        <f t="shared" si="11"/>
        <v>.</v>
      </c>
      <c r="AW58" s="1194" t="str">
        <f t="shared" si="22"/>
        <v>.</v>
      </c>
      <c r="AX58" s="1194">
        <f>IFERROR(VLOOKUP(B58,'Share, Heavy Weapons to Ukraine'!B:Z,COLUMN('Share, Heavy Weapons to Ukraine'!C68)-1,0),0)</f>
        <v>0</v>
      </c>
      <c r="AY58" s="1194">
        <f>VLOOKUP('Bilateral Assistance, MAIN DATA'!B58,'Country Summary (€)'!B:F,COLUMN('Country Summary (€)'!C69)-1,FALSE)</f>
        <v>1</v>
      </c>
      <c r="AZ58" s="1194" t="str">
        <f>IF(AND(AD58=1,D58="Military",H58&lt;&gt;"Not given")=TRUE,IF(SUMIFS(P:P,A:A,A58)&gt;0,ABS((SUMIFS(P:P,A:A,A58)/VLOOKUP("USD",'Exchange Rates'!B:C,2,0)))/S58,"."),".")</f>
        <v>.</v>
      </c>
      <c r="BA58" s="1196" t="str">
        <f>IF(AND(AD58=1,D58="Military",H58&lt;&gt;"Not given")=TRUE,IF(SUMIFS(P:P,A:A,A58)&gt;0,IF((ABS((SUMIFS(P:P,A:A,A58)/VLOOKUP("USD",'Exchange Rates'!B:C,2,0)))/S58)&gt;1,(SUMIFS(P:P,A:A,A58)-S58)/S58,(S58-SUMIFS(P:P,A:A,A58))/SUMIFS(P:P,A:A,A58)),"."),".")</f>
        <v>.</v>
      </c>
    </row>
    <row r="59" spans="1:71" s="1264" customFormat="1" ht="15.95" customHeight="1">
      <c r="A59" s="1180" t="s">
        <v>553</v>
      </c>
      <c r="B59" s="1180" t="s">
        <v>454</v>
      </c>
      <c r="C59" s="1181">
        <v>44874</v>
      </c>
      <c r="D59" s="1182" t="s">
        <v>544</v>
      </c>
      <c r="E59" s="1182" t="s">
        <v>481</v>
      </c>
      <c r="F59" s="1183" t="s">
        <v>554</v>
      </c>
      <c r="G59" s="1184" t="s">
        <v>483</v>
      </c>
      <c r="H59" s="1185">
        <v>10000000</v>
      </c>
      <c r="I59" s="1180" t="s">
        <v>364</v>
      </c>
      <c r="J59" s="1186" t="str">
        <f>VLOOKUP($I59,'Price List, Weapons &amp; Items'!B:C,2,0)</f>
        <v>.</v>
      </c>
      <c r="K59" s="1186" t="str">
        <f>IF(I59=".",I59,VLOOKUP($I59,'Price List, Weapons &amp; Items'!B:D,3,0))</f>
        <v>.</v>
      </c>
      <c r="L59" s="1187">
        <f>VLOOKUP(I59,'Price List, Weapons &amp; Items'!B:E,4,0)</f>
        <v>0</v>
      </c>
      <c r="M59" s="984" t="s">
        <v>364</v>
      </c>
      <c r="N59" s="1188" t="s">
        <v>364</v>
      </c>
      <c r="O59" s="1188" t="str">
        <f>VLOOKUP($I59,'Price List, Weapons &amp; Items'!B:G,6,0)</f>
        <v>.</v>
      </c>
      <c r="P59" s="1185" t="str">
        <f t="shared" si="13"/>
        <v>.</v>
      </c>
      <c r="Q59" s="1185" t="str">
        <f t="shared" si="14"/>
        <v>.</v>
      </c>
      <c r="R59" s="1185">
        <f t="shared" si="2"/>
        <v>10000000</v>
      </c>
      <c r="S59" s="1185">
        <f>IF(AND(AD59=1,R59&lt;&gt;".")=TRUE,R59/VLOOKUP(G59,'Exchange Rates'!B:C,2,0),IF(R59=".",".",""))</f>
        <v>10000000</v>
      </c>
      <c r="T59" s="1185" t="str">
        <f>IF(AD59=1,IF(AF59="Value is not given at all",".",IF(AF59="Value is given by the source",S59,IF(AF59="Value is calculated with prices",(IF(SUMIFS(Q:Q,A:A,A59)&gt;0,SUMIFS(Q:Q,A:A,A59),"."))/VLOOKUP("USD",'Exchange Rates'!B:C,2,0),"Error with coding"))),"")</f>
        <v>.</v>
      </c>
      <c r="U59" s="1184" t="s">
        <v>365</v>
      </c>
      <c r="V59" s="973" t="s">
        <v>555</v>
      </c>
      <c r="W59" s="980" t="s">
        <v>556</v>
      </c>
      <c r="X59" s="1190" t="s">
        <v>364</v>
      </c>
      <c r="Y59" s="1190" t="s">
        <v>364</v>
      </c>
      <c r="Z59" s="1184">
        <v>1</v>
      </c>
      <c r="AA59" s="1191">
        <v>0</v>
      </c>
      <c r="AB59" s="1201" t="s">
        <v>364</v>
      </c>
      <c r="AC59" s="1192" t="str">
        <f>""</f>
        <v/>
      </c>
      <c r="AD59" s="1193">
        <v>1</v>
      </c>
      <c r="AE59" s="1193" t="s">
        <v>368</v>
      </c>
      <c r="AF59" s="1193" t="s">
        <v>369</v>
      </c>
      <c r="AG59" s="1193">
        <v>1</v>
      </c>
      <c r="AH59" s="1193">
        <v>11</v>
      </c>
      <c r="AI59" s="1193">
        <v>0</v>
      </c>
      <c r="AJ59" s="1193">
        <f>VLOOKUP($I59,'Price List, Weapons &amp; Items'!B:F,5,0)</f>
        <v>0</v>
      </c>
      <c r="AK59" s="1193">
        <f t="shared" si="15"/>
        <v>0</v>
      </c>
      <c r="AL59" s="1193">
        <f t="shared" si="16"/>
        <v>0</v>
      </c>
      <c r="AM59" s="1193">
        <f t="shared" si="17"/>
        <v>0</v>
      </c>
      <c r="AN59" s="1194" t="str">
        <f>VLOOKUP($I59,'Price List, Weapons &amp; Items'!B:L,COLUMN('Price List, Weapons &amp; Items'!$J$11)-1,0)</f>
        <v>.</v>
      </c>
      <c r="AO59" s="1194" t="str">
        <f>IF(I59=".",".",VLOOKUP($I59,'Price List, Weapons &amp; Items'!B:J,3,0))</f>
        <v>.</v>
      </c>
      <c r="AP59" s="1195" t="str">
        <f t="shared" ca="1" si="6"/>
        <v>.</v>
      </c>
      <c r="AQ59" s="1194">
        <f>VLOOKUP($I59,'Price List, Weapons &amp; Items'!B:L,COLUMN('Price List, Weapons &amp; Items'!$L$11)-1,0)</f>
        <v>0</v>
      </c>
      <c r="AR59" s="1194">
        <f t="shared" si="18"/>
        <v>1</v>
      </c>
      <c r="AS59" s="1194">
        <f t="shared" si="19"/>
        <v>0</v>
      </c>
      <c r="AT59" s="1194">
        <f t="shared" si="20"/>
        <v>1</v>
      </c>
      <c r="AU59" s="1194" t="str">
        <f t="shared" si="21"/>
        <v>.</v>
      </c>
      <c r="AV59" s="1194" t="str">
        <f t="shared" si="11"/>
        <v>.</v>
      </c>
      <c r="AW59" s="1194" t="str">
        <f t="shared" si="22"/>
        <v>.</v>
      </c>
      <c r="AX59" s="1194">
        <f>IFERROR(VLOOKUP(B59,'Share, Heavy Weapons to Ukraine'!B:Z,COLUMN('Share, Heavy Weapons to Ukraine'!C69)-1,0),0)</f>
        <v>0</v>
      </c>
      <c r="AY59" s="1194">
        <f>VLOOKUP('Bilateral Assistance, MAIN DATA'!B59,'Country Summary (€)'!B:F,COLUMN('Country Summary (€)'!C70)-1,FALSE)</f>
        <v>1</v>
      </c>
      <c r="AZ59" s="1194" t="str">
        <f>IF(AND(AD59=1,D59="Military",H59&lt;&gt;"Not given")=TRUE,IF(SUMIFS(P:P,A:A,A59)&gt;0,ABS((SUMIFS(P:P,A:A,A59)/VLOOKUP("USD",'Exchange Rates'!B:C,2,0)))/S59,"."),".")</f>
        <v>.</v>
      </c>
      <c r="BA59" s="1196" t="str">
        <f>IF(AND(AD59=1,D59="Military",H59&lt;&gt;"Not given")=TRUE,IF(SUMIFS(P:P,A:A,A59)&gt;0,IF((ABS((SUMIFS(P:P,A:A,A59)/VLOOKUP("USD",'Exchange Rates'!B:C,2,0)))/S59)&gt;1,(SUMIFS(P:P,A:A,A59)-S59)/S59,(S59-SUMIFS(P:P,A:A,A59))/SUMIFS(P:P,A:A,A59)),"."),".")</f>
        <v>.</v>
      </c>
    </row>
    <row r="60" spans="1:71" s="1264" customFormat="1" ht="15.95" customHeight="1">
      <c r="A60" s="1182" t="s">
        <v>557</v>
      </c>
      <c r="B60" s="1182" t="s">
        <v>558</v>
      </c>
      <c r="C60" s="1181">
        <v>44621</v>
      </c>
      <c r="D60" s="1182" t="s">
        <v>360</v>
      </c>
      <c r="E60" s="1182" t="s">
        <v>371</v>
      </c>
      <c r="F60" s="1183" t="s">
        <v>559</v>
      </c>
      <c r="G60" s="1184" t="s">
        <v>483</v>
      </c>
      <c r="H60" s="1185">
        <v>3400000</v>
      </c>
      <c r="I60" s="1180" t="s">
        <v>467</v>
      </c>
      <c r="J60" s="1186" t="str">
        <f>VLOOKUP($I60,'Price List, Weapons &amp; Items'!B:C,2,0)</f>
        <v>Humanitarian</v>
      </c>
      <c r="K60" s="1186" t="str">
        <f>IF(I60=".",I60,VLOOKUP($I60,'Price List, Weapons &amp; Items'!B:D,3,0))</f>
        <v>Humanitarian</v>
      </c>
      <c r="L60" s="1187">
        <f>VLOOKUP(I60,'Price List, Weapons &amp; Items'!B:E,4,0)</f>
        <v>0</v>
      </c>
      <c r="M60" s="984">
        <v>400000</v>
      </c>
      <c r="N60" s="1188" t="s">
        <v>374</v>
      </c>
      <c r="O60" s="1188">
        <f>VLOOKUP($I60,'Price List, Weapons &amp; Items'!B:G,6,0)</f>
        <v>0.13</v>
      </c>
      <c r="P60" s="1185">
        <f t="shared" si="13"/>
        <v>52000</v>
      </c>
      <c r="Q60" s="1185" t="str">
        <f t="shared" si="14"/>
        <v>.</v>
      </c>
      <c r="R60" s="1185">
        <f t="shared" si="2"/>
        <v>3400000</v>
      </c>
      <c r="S60" s="1185">
        <f>IF(AND(AD60=1,R60&lt;&gt;".")=TRUE,R60/VLOOKUP(G60,'Exchange Rates'!B:C,2,0),IF(R60=".",".",""))</f>
        <v>3400000</v>
      </c>
      <c r="T60" s="1185" t="str">
        <f>IF(AD60=1,IF(AF60="Value is not given at all",".",IF(AF60="Value is given by the source",S60,IF(AF60="Value is calculated with prices",(IF(SUMIFS(Q:Q,A:A,A60)&gt;0,SUMIFS(Q:Q,A:A,A60),"."))/VLOOKUP("USD",'Exchange Rates'!B:C,2,0),"Error with coding"))),"")</f>
        <v>.</v>
      </c>
      <c r="U60" s="1184" t="s">
        <v>365</v>
      </c>
      <c r="V60" s="976" t="s">
        <v>560</v>
      </c>
      <c r="W60" s="976" t="s">
        <v>561</v>
      </c>
      <c r="X60" s="974" t="s">
        <v>562</v>
      </c>
      <c r="Y60" s="1264" t="s">
        <v>364</v>
      </c>
      <c r="Z60" s="1184">
        <v>0</v>
      </c>
      <c r="AA60" s="1194">
        <v>0</v>
      </c>
      <c r="AB60" s="1201" t="s">
        <v>364</v>
      </c>
      <c r="AC60" s="1192" t="str">
        <f>""</f>
        <v/>
      </c>
      <c r="AD60" s="1193">
        <v>1</v>
      </c>
      <c r="AE60" s="1193" t="s">
        <v>368</v>
      </c>
      <c r="AF60" s="1193" t="s">
        <v>369</v>
      </c>
      <c r="AG60" s="1193">
        <v>1</v>
      </c>
      <c r="AH60" s="1193">
        <v>3</v>
      </c>
      <c r="AI60" s="1193">
        <v>0</v>
      </c>
      <c r="AJ60" s="1193">
        <f>VLOOKUP($I60,'Price List, Weapons &amp; Items'!B:F,5,0)</f>
        <v>0</v>
      </c>
      <c r="AK60" s="1193">
        <f t="shared" si="15"/>
        <v>0</v>
      </c>
      <c r="AL60" s="1193">
        <f t="shared" si="16"/>
        <v>0</v>
      </c>
      <c r="AM60" s="1193">
        <f t="shared" si="17"/>
        <v>0</v>
      </c>
      <c r="AN60" s="1194" t="str">
        <f>VLOOKUP($I60,'Price List, Weapons &amp; Items'!B:L,COLUMN('Price List, Weapons &amp; Items'!$J$11)-1,0)</f>
        <v>Online marketplaces and stores</v>
      </c>
      <c r="AO60" s="1194" t="str">
        <f>IF(I60=".",".",VLOOKUP($I60,'Price List, Weapons &amp; Items'!B:J,3,0))</f>
        <v>Humanitarian</v>
      </c>
      <c r="AP60" s="1195" t="str">
        <f t="shared" ca="1" si="6"/>
        <v>gloves</v>
      </c>
      <c r="AQ60" s="1194">
        <f>VLOOKUP($I60,'Price List, Weapons &amp; Items'!B:L,COLUMN('Price List, Weapons &amp; Items'!$L$11)-1,0)</f>
        <v>0</v>
      </c>
      <c r="AR60" s="1194">
        <f t="shared" si="18"/>
        <v>1</v>
      </c>
      <c r="AS60" s="1194">
        <f t="shared" si="19"/>
        <v>0</v>
      </c>
      <c r="AT60" s="1194">
        <f t="shared" si="20"/>
        <v>1</v>
      </c>
      <c r="AU60" s="1194" t="str">
        <f t="shared" si="21"/>
        <v>.</v>
      </c>
      <c r="AV60" s="1194" t="str">
        <f t="shared" si="11"/>
        <v>.</v>
      </c>
      <c r="AW60" s="1194" t="str">
        <f t="shared" si="22"/>
        <v>.</v>
      </c>
      <c r="AX60" s="1194">
        <f>IFERROR(VLOOKUP(B60,'Share, Heavy Weapons to Ukraine'!B:Z,COLUMN('Share, Heavy Weapons to Ukraine'!C70)-1,0),0)</f>
        <v>0</v>
      </c>
      <c r="AY60" s="1194">
        <f>VLOOKUP('Bilateral Assistance, MAIN DATA'!B60,'Country Summary (€)'!B:F,COLUMN('Country Summary (€)'!C71)-1,FALSE)</f>
        <v>1</v>
      </c>
      <c r="AZ60" s="1194" t="str">
        <f>IF(AND(AD60=1,D60="Military",H60&lt;&gt;"Not given")=TRUE,IF(SUMIFS(P:P,A:A,A60)&gt;0,ABS((SUMIFS(P:P,A:A,A60)/VLOOKUP("USD",'Exchange Rates'!B:C,2,0)))/S60,"."),".")</f>
        <v>.</v>
      </c>
      <c r="BA60" s="1196" t="str">
        <f>IF(AND(AD60=1,D60="Military",H60&lt;&gt;"Not given")=TRUE,IF(SUMIFS(P:P,A:A,A60)&gt;0,IF((ABS((SUMIFS(P:P,A:A,A60)/VLOOKUP("USD",'Exchange Rates'!B:C,2,0)))/S60)&gt;1,(SUMIFS(P:P,A:A,A60)-S60)/S60,(S60-SUMIFS(P:P,A:A,A60))/SUMIFS(P:P,A:A,A60)),"."),".")</f>
        <v>.</v>
      </c>
    </row>
    <row r="61" spans="1:71" s="1264" customFormat="1" ht="15.95" customHeight="1">
      <c r="A61" s="1182" t="s">
        <v>557</v>
      </c>
      <c r="B61" s="1182" t="s">
        <v>558</v>
      </c>
      <c r="C61" s="1181">
        <v>44621</v>
      </c>
      <c r="D61" s="1182" t="s">
        <v>360</v>
      </c>
      <c r="E61" s="1182" t="s">
        <v>371</v>
      </c>
      <c r="F61" s="1183" t="s">
        <v>559</v>
      </c>
      <c r="G61" s="1184" t="s">
        <v>483</v>
      </c>
      <c r="H61" s="1185">
        <v>3400000</v>
      </c>
      <c r="I61" s="1180" t="s">
        <v>563</v>
      </c>
      <c r="J61" s="1186" t="str">
        <f>VLOOKUP($I61,'Price List, Weapons &amp; Items'!B:C,2,0)</f>
        <v>Humanitarian</v>
      </c>
      <c r="K61" s="1186" t="str">
        <f>IF(I61=".",I61,VLOOKUP($I61,'Price List, Weapons &amp; Items'!B:D,3,0))</f>
        <v>Humanitarian</v>
      </c>
      <c r="L61" s="1187">
        <f>VLOOKUP(I61,'Price List, Weapons &amp; Items'!B:E,4,0)</f>
        <v>0</v>
      </c>
      <c r="M61" s="984">
        <v>600000</v>
      </c>
      <c r="N61" s="1188" t="s">
        <v>374</v>
      </c>
      <c r="O61" s="1188" t="str">
        <f>VLOOKUP($I61,'Price List, Weapons &amp; Items'!B:G,6,0)</f>
        <v>.</v>
      </c>
      <c r="P61" s="1185" t="str">
        <f t="shared" si="13"/>
        <v>No price</v>
      </c>
      <c r="Q61" s="1185" t="str">
        <f t="shared" si="14"/>
        <v>.</v>
      </c>
      <c r="R61" s="1185" t="str">
        <f t="shared" si="2"/>
        <v/>
      </c>
      <c r="S61" s="1185" t="str">
        <f>IF(AND(AD61=1,R61&lt;&gt;".")=TRUE,R61/VLOOKUP(G61,'Exchange Rates'!B:C,2,0),IF(R61=".",".",""))</f>
        <v/>
      </c>
      <c r="T61" s="1185" t="str">
        <f>IF(AD61=1,IF(AF61="Value is not given at all",".",IF(AF61="Value is given by the source",S61,IF(AF61="Value is calculated with prices",(IF(SUMIFS(Q:Q,A:A,A61)&gt;0,SUMIFS(Q:Q,A:A,A61),"."))/VLOOKUP("USD",'Exchange Rates'!B:C,2,0),"Error with coding"))),"")</f>
        <v/>
      </c>
      <c r="U61" s="1184" t="s">
        <v>365</v>
      </c>
      <c r="V61" s="976" t="s">
        <v>560</v>
      </c>
      <c r="W61" s="976" t="s">
        <v>561</v>
      </c>
      <c r="X61" s="987" t="s">
        <v>562</v>
      </c>
      <c r="Y61" s="976" t="s">
        <v>364</v>
      </c>
      <c r="Z61" s="1184">
        <v>0</v>
      </c>
      <c r="AA61" s="1194">
        <v>0</v>
      </c>
      <c r="AB61" s="1201" t="s">
        <v>364</v>
      </c>
      <c r="AC61" s="1192" t="str">
        <f>""</f>
        <v/>
      </c>
      <c r="AD61" s="1193">
        <v>0</v>
      </c>
      <c r="AE61" s="1193" t="s">
        <v>368</v>
      </c>
      <c r="AF61" s="1193" t="s">
        <v>369</v>
      </c>
      <c r="AG61" s="1193">
        <v>1</v>
      </c>
      <c r="AH61" s="1193">
        <v>3</v>
      </c>
      <c r="AI61" s="1193">
        <v>0</v>
      </c>
      <c r="AJ61" s="1193">
        <f>VLOOKUP($I61,'Price List, Weapons &amp; Items'!B:F,5,0)</f>
        <v>0</v>
      </c>
      <c r="AK61" s="1193">
        <f t="shared" si="15"/>
        <v>0</v>
      </c>
      <c r="AL61" s="1193">
        <f t="shared" si="16"/>
        <v>0</v>
      </c>
      <c r="AM61" s="1193">
        <f t="shared" si="17"/>
        <v>0</v>
      </c>
      <c r="AN61" s="1194" t="str">
        <f>VLOOKUP($I61,'Price List, Weapons &amp; Items'!B:L,COLUMN('Price List, Weapons &amp; Items'!$J$11)-1,0)</f>
        <v>.</v>
      </c>
      <c r="AO61" s="1194" t="str">
        <f>IF(I61=".",".",VLOOKUP($I61,'Price List, Weapons &amp; Items'!B:J,3,0))</f>
        <v>Humanitarian</v>
      </c>
      <c r="AP61" s="1195" t="str">
        <f t="shared" ca="1" si="6"/>
        <v/>
      </c>
      <c r="AQ61" s="1194">
        <f>VLOOKUP($I61,'Price List, Weapons &amp; Items'!B:L,COLUMN('Price List, Weapons &amp; Items'!$L$11)-1,0)</f>
        <v>0</v>
      </c>
      <c r="AR61" s="1194">
        <f t="shared" si="18"/>
        <v>1</v>
      </c>
      <c r="AS61" s="1194">
        <f t="shared" si="19"/>
        <v>0</v>
      </c>
      <c r="AT61" s="1194">
        <f t="shared" si="20"/>
        <v>1</v>
      </c>
      <c r="AU61" s="1194" t="str">
        <f t="shared" si="21"/>
        <v>.</v>
      </c>
      <c r="AV61" s="1194" t="str">
        <f t="shared" si="11"/>
        <v>.</v>
      </c>
      <c r="AW61" s="1194" t="str">
        <f t="shared" si="22"/>
        <v>.</v>
      </c>
      <c r="AX61" s="1194">
        <f>IFERROR(VLOOKUP(B61,'Share, Heavy Weapons to Ukraine'!B:Z,COLUMN('Share, Heavy Weapons to Ukraine'!C71)-1,0),0)</f>
        <v>0</v>
      </c>
      <c r="AY61" s="1194">
        <f>VLOOKUP('Bilateral Assistance, MAIN DATA'!B61,'Country Summary (€)'!B:F,COLUMN('Country Summary (€)'!C72)-1,FALSE)</f>
        <v>1</v>
      </c>
      <c r="AZ61" s="1194" t="str">
        <f>IF(AND(AD61=1,D61="Military",H61&lt;&gt;"Not given")=TRUE,IF(SUMIFS(P:P,A:A,A61)&gt;0,ABS((SUMIFS(P:P,A:A,A61)/VLOOKUP("USD",'Exchange Rates'!B:C,2,0)))/S61,"."),".")</f>
        <v>.</v>
      </c>
      <c r="BA61" s="1196" t="str">
        <f>IF(AND(AD61=1,D61="Military",H61&lt;&gt;"Not given")=TRUE,IF(SUMIFS(P:P,A:A,A61)&gt;0,IF((ABS((SUMIFS(P:P,A:A,A61)/VLOOKUP("USD",'Exchange Rates'!B:C,2,0)))/S61)&gt;1,(SUMIFS(P:P,A:A,A61)-S61)/S61,(S61-SUMIFS(P:P,A:A,A61))/SUMIFS(P:P,A:A,A61)),"."),".")</f>
        <v>.</v>
      </c>
    </row>
    <row r="62" spans="1:71" s="1264" customFormat="1" ht="15.95" customHeight="1">
      <c r="A62" s="1182" t="s">
        <v>557</v>
      </c>
      <c r="B62" s="1182" t="s">
        <v>558</v>
      </c>
      <c r="C62" s="1181">
        <v>44621</v>
      </c>
      <c r="D62" s="1182" t="s">
        <v>360</v>
      </c>
      <c r="E62" s="1182" t="s">
        <v>371</v>
      </c>
      <c r="F62" s="1183" t="s">
        <v>559</v>
      </c>
      <c r="G62" s="1184" t="s">
        <v>483</v>
      </c>
      <c r="H62" s="1185">
        <v>3400000</v>
      </c>
      <c r="I62" s="1180" t="s">
        <v>564</v>
      </c>
      <c r="J62" s="1186" t="str">
        <f>VLOOKUP($I62,'Price List, Weapons &amp; Items'!B:C,2,0)</f>
        <v>Humanitarian</v>
      </c>
      <c r="K62" s="1186" t="str">
        <f>IF(I62=".",I62,VLOOKUP($I62,'Price List, Weapons &amp; Items'!B:D,3,0))</f>
        <v>Humanitarian</v>
      </c>
      <c r="L62" s="1187">
        <f>VLOOKUP(I62,'Price List, Weapons &amp; Items'!B:E,4,0)</f>
        <v>0</v>
      </c>
      <c r="M62" s="984">
        <v>10000000</v>
      </c>
      <c r="N62" s="1188" t="s">
        <v>374</v>
      </c>
      <c r="O62" s="1188">
        <f>VLOOKUP($I62,'Price List, Weapons &amp; Items'!B:G,6,0)</f>
        <v>4.4999999999999998E-2</v>
      </c>
      <c r="P62" s="1185">
        <f t="shared" si="13"/>
        <v>450000</v>
      </c>
      <c r="Q62" s="1185" t="str">
        <f t="shared" si="14"/>
        <v>.</v>
      </c>
      <c r="R62" s="1185" t="str">
        <f t="shared" si="2"/>
        <v/>
      </c>
      <c r="S62" s="1185" t="str">
        <f>IF(AND(AD62=1,R62&lt;&gt;".")=TRUE,R62/VLOOKUP(G62,'Exchange Rates'!B:C,2,0),IF(R62=".",".",""))</f>
        <v/>
      </c>
      <c r="T62" s="1185" t="str">
        <f>IF(AD62=1,IF(AF62="Value is not given at all",".",IF(AF62="Value is given by the source",S62,IF(AF62="Value is calculated with prices",(IF(SUMIFS(Q:Q,A:A,A62)&gt;0,SUMIFS(Q:Q,A:A,A62),"."))/VLOOKUP("USD",'Exchange Rates'!B:C,2,0),"Error with coding"))),"")</f>
        <v/>
      </c>
      <c r="U62" s="1184" t="s">
        <v>365</v>
      </c>
      <c r="V62" s="976" t="s">
        <v>560</v>
      </c>
      <c r="W62" s="976" t="s">
        <v>561</v>
      </c>
      <c r="X62" s="974" t="s">
        <v>562</v>
      </c>
      <c r="Y62" s="1183" t="s">
        <v>364</v>
      </c>
      <c r="Z62" s="1184">
        <v>0</v>
      </c>
      <c r="AA62" s="1194">
        <v>0</v>
      </c>
      <c r="AB62" s="1201" t="s">
        <v>364</v>
      </c>
      <c r="AC62" s="1192" t="str">
        <f>""</f>
        <v/>
      </c>
      <c r="AD62" s="1193">
        <v>0</v>
      </c>
      <c r="AE62" s="1193" t="s">
        <v>368</v>
      </c>
      <c r="AF62" s="1193" t="s">
        <v>369</v>
      </c>
      <c r="AG62" s="1193">
        <v>1</v>
      </c>
      <c r="AH62" s="1193">
        <v>3</v>
      </c>
      <c r="AI62" s="1193">
        <v>0</v>
      </c>
      <c r="AJ62" s="1193">
        <f>VLOOKUP($I62,'Price List, Weapons &amp; Items'!B:F,5,0)</f>
        <v>0</v>
      </c>
      <c r="AK62" s="1193">
        <f t="shared" si="15"/>
        <v>0</v>
      </c>
      <c r="AL62" s="1193">
        <f t="shared" si="16"/>
        <v>0</v>
      </c>
      <c r="AM62" s="1193">
        <f t="shared" si="17"/>
        <v>0</v>
      </c>
      <c r="AN62" s="1194" t="str">
        <f>VLOOKUP($I62,'Price List, Weapons &amp; Items'!B:L,COLUMN('Price List, Weapons &amp; Items'!$J$11)-1,0)</f>
        <v>Miscellaneous</v>
      </c>
      <c r="AO62" s="1194" t="str">
        <f>IF(I62=".",".",VLOOKUP($I62,'Price List, Weapons &amp; Items'!B:J,3,0))</f>
        <v>Humanitarian</v>
      </c>
      <c r="AP62" s="1195" t="str">
        <f t="shared" ca="1" si="6"/>
        <v/>
      </c>
      <c r="AQ62" s="1194">
        <f>VLOOKUP($I62,'Price List, Weapons &amp; Items'!B:L,COLUMN('Price List, Weapons &amp; Items'!$L$11)-1,0)</f>
        <v>0</v>
      </c>
      <c r="AR62" s="1194">
        <f t="shared" si="18"/>
        <v>1</v>
      </c>
      <c r="AS62" s="1194">
        <f t="shared" si="19"/>
        <v>0</v>
      </c>
      <c r="AT62" s="1194">
        <f t="shared" si="20"/>
        <v>1</v>
      </c>
      <c r="AU62" s="1194" t="str">
        <f t="shared" si="21"/>
        <v>.</v>
      </c>
      <c r="AV62" s="1194" t="str">
        <f t="shared" si="11"/>
        <v>.</v>
      </c>
      <c r="AW62" s="1194" t="str">
        <f t="shared" si="22"/>
        <v>.</v>
      </c>
      <c r="AX62" s="1194">
        <f>IFERROR(VLOOKUP(B62,'Share, Heavy Weapons to Ukraine'!B:Z,COLUMN('Share, Heavy Weapons to Ukraine'!C72)-1,0),0)</f>
        <v>0</v>
      </c>
      <c r="AY62" s="1194">
        <f>VLOOKUP('Bilateral Assistance, MAIN DATA'!B62,'Country Summary (€)'!B:F,COLUMN('Country Summary (€)'!C73)-1,FALSE)</f>
        <v>1</v>
      </c>
      <c r="AZ62" s="1194" t="str">
        <f>IF(AND(AD62=1,D62="Military",H62&lt;&gt;"Not given")=TRUE,IF(SUMIFS(P:P,A:A,A62)&gt;0,ABS((SUMIFS(P:P,A:A,A62)/VLOOKUP("USD",'Exchange Rates'!B:C,2,0)))/S62,"."),".")</f>
        <v>.</v>
      </c>
      <c r="BA62" s="1196" t="str">
        <f>IF(AND(AD62=1,D62="Military",H62&lt;&gt;"Not given")=TRUE,IF(SUMIFS(P:P,A:A,A62)&gt;0,IF((ABS((SUMIFS(P:P,A:A,A62)/VLOOKUP("USD",'Exchange Rates'!B:C,2,0)))/S62)&gt;1,(SUMIFS(P:P,A:A,A62)-S62)/S62,(S62-SUMIFS(P:P,A:A,A62))/SUMIFS(P:P,A:A,A62)),"."),".")</f>
        <v>.</v>
      </c>
    </row>
    <row r="63" spans="1:71" ht="15.95" customHeight="1">
      <c r="A63" s="1180" t="s">
        <v>565</v>
      </c>
      <c r="B63" s="1180" t="s">
        <v>558</v>
      </c>
      <c r="C63" s="1181">
        <v>44622</v>
      </c>
      <c r="D63" s="1182" t="s">
        <v>360</v>
      </c>
      <c r="E63" s="1182" t="s">
        <v>371</v>
      </c>
      <c r="F63" s="1183" t="s">
        <v>566</v>
      </c>
      <c r="G63" s="1184" t="s">
        <v>483</v>
      </c>
      <c r="H63" s="1185">
        <v>230000</v>
      </c>
      <c r="I63" s="1180" t="s">
        <v>364</v>
      </c>
      <c r="J63" s="1186" t="str">
        <f>VLOOKUP($I63,'Price List, Weapons &amp; Items'!B:C,2,0)</f>
        <v>.</v>
      </c>
      <c r="K63" s="1186" t="str">
        <f>IF(I63=".",I63,VLOOKUP($I63,'Price List, Weapons &amp; Items'!B:D,3,0))</f>
        <v>.</v>
      </c>
      <c r="L63" s="1187">
        <f>VLOOKUP(I63,'Price List, Weapons &amp; Items'!B:E,4,0)</f>
        <v>0</v>
      </c>
      <c r="M63" s="1188" t="s">
        <v>364</v>
      </c>
      <c r="N63" s="1188" t="s">
        <v>364</v>
      </c>
      <c r="O63" s="1188" t="str">
        <f>VLOOKUP($I63,'Price List, Weapons &amp; Items'!B:G,6,0)</f>
        <v>.</v>
      </c>
      <c r="P63" s="1185" t="str">
        <f t="shared" si="13"/>
        <v>.</v>
      </c>
      <c r="Q63" s="1185" t="str">
        <f t="shared" si="14"/>
        <v>.</v>
      </c>
      <c r="R63" s="1185">
        <f t="shared" si="2"/>
        <v>230000</v>
      </c>
      <c r="S63" s="1185">
        <f>IF(AND(AD63=1,R63&lt;&gt;".")=TRUE,R63/VLOOKUP(G63,'Exchange Rates'!B:C,2,0),IF(R63=".",".",""))</f>
        <v>230000</v>
      </c>
      <c r="T63" s="1185" t="str">
        <f>IF(AD63=1,IF(AF63="Value is not given at all",".",IF(AF63="Value is given by the source",S63,IF(AF63="Value is calculated with prices",(IF(SUMIFS(Q:Q,A:A,A63)&gt;0,SUMIFS(Q:Q,A:A,A63),"."))/VLOOKUP("USD",'Exchange Rates'!B:C,2,0),"Error with coding"))),"")</f>
        <v>.</v>
      </c>
      <c r="U63" s="1184" t="s">
        <v>365</v>
      </c>
      <c r="V63" s="971" t="s">
        <v>567</v>
      </c>
      <c r="W63" s="980" t="s">
        <v>568</v>
      </c>
      <c r="X63" s="1190" t="s">
        <v>364</v>
      </c>
      <c r="Y63" s="1190" t="s">
        <v>364</v>
      </c>
      <c r="Z63" s="1184">
        <v>0</v>
      </c>
      <c r="AA63" s="1194">
        <v>0</v>
      </c>
      <c r="AB63" s="1201" t="s">
        <v>364</v>
      </c>
      <c r="AC63" s="1192" t="str">
        <f>""</f>
        <v/>
      </c>
      <c r="AD63" s="1193">
        <v>1</v>
      </c>
      <c r="AE63" s="1193" t="s">
        <v>368</v>
      </c>
      <c r="AF63" s="1193" t="s">
        <v>369</v>
      </c>
      <c r="AG63" s="1193">
        <v>1</v>
      </c>
      <c r="AH63" s="1193">
        <v>3</v>
      </c>
      <c r="AI63" s="1193">
        <v>0</v>
      </c>
      <c r="AJ63" s="1193">
        <f>VLOOKUP($I63,'Price List, Weapons &amp; Items'!B:F,5,0)</f>
        <v>0</v>
      </c>
      <c r="AK63" s="1193">
        <f t="shared" si="15"/>
        <v>0</v>
      </c>
      <c r="AL63" s="1193">
        <f t="shared" si="16"/>
        <v>0</v>
      </c>
      <c r="AM63" s="1193">
        <f t="shared" si="17"/>
        <v>0</v>
      </c>
      <c r="AN63" s="1194" t="str">
        <f>VLOOKUP($I63,'Price List, Weapons &amp; Items'!B:L,COLUMN('Price List, Weapons &amp; Items'!$J$11)-1,0)</f>
        <v>.</v>
      </c>
      <c r="AO63" s="1194" t="str">
        <f>IF(I63=".",".",VLOOKUP($I63,'Price List, Weapons &amp; Items'!B:J,3,0))</f>
        <v>.</v>
      </c>
      <c r="AP63" s="1195" t="str">
        <f t="shared" ca="1" si="6"/>
        <v>.</v>
      </c>
      <c r="AQ63" s="1194">
        <f>VLOOKUP($I63,'Price List, Weapons &amp; Items'!B:L,COLUMN('Price List, Weapons &amp; Items'!$L$11)-1,0)</f>
        <v>0</v>
      </c>
      <c r="AR63" s="1194">
        <f t="shared" si="18"/>
        <v>1</v>
      </c>
      <c r="AS63" s="1194">
        <f t="shared" si="19"/>
        <v>0</v>
      </c>
      <c r="AT63" s="1194">
        <f t="shared" si="20"/>
        <v>1</v>
      </c>
      <c r="AU63" s="1194" t="str">
        <f t="shared" si="21"/>
        <v>.</v>
      </c>
      <c r="AV63" s="1194" t="str">
        <f t="shared" si="11"/>
        <v>.</v>
      </c>
      <c r="AW63" s="1194" t="str">
        <f t="shared" si="22"/>
        <v>.</v>
      </c>
      <c r="AX63" s="1194">
        <f>IFERROR(VLOOKUP(B63,'Share, Heavy Weapons to Ukraine'!B:Z,COLUMN('Share, Heavy Weapons to Ukraine'!C73)-1,0),0)</f>
        <v>0</v>
      </c>
      <c r="AY63" s="1194">
        <f>VLOOKUP('Bilateral Assistance, MAIN DATA'!B63,'Country Summary (€)'!B:F,COLUMN('Country Summary (€)'!C74)-1,FALSE)</f>
        <v>1</v>
      </c>
      <c r="AZ63" s="1194" t="str">
        <f>IF(AND(AD63=1,D63="Military",H63&lt;&gt;"Not given")=TRUE,IF(SUMIFS(P:P,A:A,A63)&gt;0,ABS((SUMIFS(P:P,A:A,A63)/VLOOKUP("USD",'Exchange Rates'!B:C,2,0)))/S63,"."),".")</f>
        <v>.</v>
      </c>
      <c r="BA63" s="1196" t="str">
        <f>IF(AND(AD63=1,D63="Military",H63&lt;&gt;"Not given")=TRUE,IF(SUMIFS(P:P,A:A,A63)&gt;0,IF((ABS((SUMIFS(P:P,A:A,A63)/VLOOKUP("USD",'Exchange Rates'!B:C,2,0)))/S63)&gt;1,(SUMIFS(P:P,A:A,A63)-S63)/S63,(S63-SUMIFS(P:P,A:A,A63))/SUMIFS(P:P,A:A,A63)),"."),".")</f>
        <v>.</v>
      </c>
    </row>
    <row r="64" spans="1:71" ht="15.95" customHeight="1">
      <c r="A64" s="1180" t="s">
        <v>569</v>
      </c>
      <c r="B64" s="1180" t="s">
        <v>558</v>
      </c>
      <c r="C64" s="1181">
        <v>44660</v>
      </c>
      <c r="D64" s="1182" t="s">
        <v>360</v>
      </c>
      <c r="E64" s="1182" t="s">
        <v>361</v>
      </c>
      <c r="F64" s="1183" t="s">
        <v>570</v>
      </c>
      <c r="G64" s="1184" t="s">
        <v>483</v>
      </c>
      <c r="H64" s="1185">
        <v>60600000</v>
      </c>
      <c r="I64" s="1180" t="s">
        <v>364</v>
      </c>
      <c r="J64" s="1186" t="str">
        <f>VLOOKUP($I64,'Price List, Weapons &amp; Items'!B:C,2,0)</f>
        <v>.</v>
      </c>
      <c r="K64" s="1186" t="str">
        <f>IF(I64=".",I64,VLOOKUP($I64,'Price List, Weapons &amp; Items'!B:D,3,0))</f>
        <v>.</v>
      </c>
      <c r="L64" s="1187">
        <f>VLOOKUP(I64,'Price List, Weapons &amp; Items'!B:E,4,0)</f>
        <v>0</v>
      </c>
      <c r="M64" s="1188" t="s">
        <v>364</v>
      </c>
      <c r="N64" s="1188" t="s">
        <v>364</v>
      </c>
      <c r="O64" s="1188" t="str">
        <f>VLOOKUP($I64,'Price List, Weapons &amp; Items'!B:G,6,0)</f>
        <v>.</v>
      </c>
      <c r="P64" s="1185" t="str">
        <f t="shared" si="13"/>
        <v>.</v>
      </c>
      <c r="Q64" s="1185" t="str">
        <f t="shared" si="14"/>
        <v>.</v>
      </c>
      <c r="R64" s="1185">
        <f t="shared" si="2"/>
        <v>60600000</v>
      </c>
      <c r="S64" s="1185">
        <f>IF(AND(AD64=1,R64&lt;&gt;".")=TRUE,R64/VLOOKUP(G64,'Exchange Rates'!B:C,2,0),IF(R64=".",".",""))</f>
        <v>60600000</v>
      </c>
      <c r="T64" s="1185" t="str">
        <f>IF(AD64=1,IF(AF64="Value is not given at all",".",IF(AF64="Value is given by the source",S64,IF(AF64="Value is calculated with prices",(IF(SUMIFS(Q:Q,A:A,A64)&gt;0,SUMIFS(Q:Q,A:A,A64),"."))/VLOOKUP("USD",'Exchange Rates'!B:C,2,0),"Error with coding"))),"")</f>
        <v>.</v>
      </c>
      <c r="U64" s="1184" t="s">
        <v>365</v>
      </c>
      <c r="V64" s="972" t="s">
        <v>571</v>
      </c>
      <c r="W64" s="971" t="s">
        <v>572</v>
      </c>
      <c r="X64" s="971" t="s">
        <v>573</v>
      </c>
      <c r="Y64" s="1190" t="s">
        <v>364</v>
      </c>
      <c r="Z64" s="1184">
        <v>0</v>
      </c>
      <c r="AA64" s="1194">
        <v>0</v>
      </c>
      <c r="AB64" s="1201" t="s">
        <v>364</v>
      </c>
      <c r="AC64" s="1192" t="str">
        <f>""</f>
        <v/>
      </c>
      <c r="AD64" s="1193">
        <v>1</v>
      </c>
      <c r="AE64" s="1193" t="s">
        <v>368</v>
      </c>
      <c r="AF64" s="1193" t="s">
        <v>369</v>
      </c>
      <c r="AG64" s="1193">
        <v>1</v>
      </c>
      <c r="AH64" s="1193">
        <v>4</v>
      </c>
      <c r="AI64" s="1193">
        <v>0</v>
      </c>
      <c r="AJ64" s="1193">
        <f>VLOOKUP($I64,'Price List, Weapons &amp; Items'!B:F,5,0)</f>
        <v>0</v>
      </c>
      <c r="AK64" s="1193">
        <f t="shared" si="15"/>
        <v>0</v>
      </c>
      <c r="AL64" s="1193">
        <f t="shared" si="16"/>
        <v>0</v>
      </c>
      <c r="AM64" s="1193">
        <f t="shared" si="17"/>
        <v>0</v>
      </c>
      <c r="AN64" s="1194" t="str">
        <f>VLOOKUP($I64,'Price List, Weapons &amp; Items'!B:L,COLUMN('Price List, Weapons &amp; Items'!$J$11)-1,0)</f>
        <v>.</v>
      </c>
      <c r="AO64" s="1194" t="str">
        <f>IF(I64=".",".",VLOOKUP($I64,'Price List, Weapons &amp; Items'!B:J,3,0))</f>
        <v>.</v>
      </c>
      <c r="AP64" s="1195" t="str">
        <f t="shared" ca="1" si="6"/>
        <v>.</v>
      </c>
      <c r="AQ64" s="1194">
        <f>VLOOKUP($I64,'Price List, Weapons &amp; Items'!B:L,COLUMN('Price List, Weapons &amp; Items'!$L$11)-1,0)</f>
        <v>0</v>
      </c>
      <c r="AR64" s="1194">
        <f t="shared" si="18"/>
        <v>1</v>
      </c>
      <c r="AS64" s="1194">
        <f t="shared" si="19"/>
        <v>0</v>
      </c>
      <c r="AT64" s="1194">
        <f t="shared" si="20"/>
        <v>1</v>
      </c>
      <c r="AU64" s="1194" t="str">
        <f t="shared" si="21"/>
        <v>.</v>
      </c>
      <c r="AV64" s="1194" t="str">
        <f t="shared" si="11"/>
        <v>.</v>
      </c>
      <c r="AW64" s="1194" t="str">
        <f t="shared" si="22"/>
        <v>.</v>
      </c>
      <c r="AX64" s="1194">
        <f>IFERROR(VLOOKUP(B64,'Share, Heavy Weapons to Ukraine'!B:Z,COLUMN('Share, Heavy Weapons to Ukraine'!C74)-1,0),0)</f>
        <v>0</v>
      </c>
      <c r="AY64" s="1194">
        <f>VLOOKUP('Bilateral Assistance, MAIN DATA'!B64,'Country Summary (€)'!B:F,COLUMN('Country Summary (€)'!C75)-1,FALSE)</f>
        <v>1</v>
      </c>
      <c r="AZ64" s="1194" t="str">
        <f>IF(AND(AD64=1,D64="Military",H64&lt;&gt;"Not given")=TRUE,IF(SUMIFS(P:P,A:A,A64)&gt;0,ABS((SUMIFS(P:P,A:A,A64)/VLOOKUP("USD",'Exchange Rates'!B:C,2,0)))/S64,"."),".")</f>
        <v>.</v>
      </c>
      <c r="BA64" s="1196" t="str">
        <f>IF(AND(AD64=1,D64="Military",H64&lt;&gt;"Not given")=TRUE,IF(SUMIFS(P:P,A:A,A64)&gt;0,IF((ABS((SUMIFS(P:P,A:A,A64)/VLOOKUP("USD",'Exchange Rates'!B:C,2,0)))/S64)&gt;1,(SUMIFS(P:P,A:A,A64)-S64)/S64,(S64-SUMIFS(P:P,A:A,A64))/SUMIFS(P:P,A:A,A64)),"."),".")</f>
        <v>.</v>
      </c>
    </row>
    <row r="65" spans="1:53" ht="15.95" customHeight="1">
      <c r="A65" s="1180" t="s">
        <v>574</v>
      </c>
      <c r="B65" s="1180" t="s">
        <v>558</v>
      </c>
      <c r="C65" s="1181">
        <v>44757</v>
      </c>
      <c r="D65" s="1182" t="s">
        <v>360</v>
      </c>
      <c r="E65" s="1182" t="s">
        <v>371</v>
      </c>
      <c r="F65" s="1183" t="s">
        <v>575</v>
      </c>
      <c r="G65" s="1184" t="s">
        <v>483</v>
      </c>
      <c r="H65" s="1185">
        <v>800000</v>
      </c>
      <c r="I65" s="1180" t="s">
        <v>364</v>
      </c>
      <c r="J65" s="1186" t="str">
        <f>VLOOKUP($I65,'Price List, Weapons &amp; Items'!B:C,2,0)</f>
        <v>.</v>
      </c>
      <c r="K65" s="1186" t="str">
        <f>IF(I65=".",I65,VLOOKUP($I65,'Price List, Weapons &amp; Items'!B:D,3,0))</f>
        <v>.</v>
      </c>
      <c r="L65" s="1187">
        <f>VLOOKUP(I65,'Price List, Weapons &amp; Items'!B:E,4,0)</f>
        <v>0</v>
      </c>
      <c r="M65" s="1188" t="s">
        <v>364</v>
      </c>
      <c r="N65" s="1188" t="s">
        <v>364</v>
      </c>
      <c r="O65" s="1188" t="str">
        <f>VLOOKUP($I65,'Price List, Weapons &amp; Items'!B:G,6,0)</f>
        <v>.</v>
      </c>
      <c r="P65" s="1185" t="str">
        <f t="shared" si="13"/>
        <v>.</v>
      </c>
      <c r="Q65" s="1185" t="str">
        <f t="shared" si="14"/>
        <v>.</v>
      </c>
      <c r="R65" s="1185">
        <f t="shared" si="2"/>
        <v>800000</v>
      </c>
      <c r="S65" s="1185">
        <f>IF(AND(AD65=1,R65&lt;&gt;".")=TRUE,R65/VLOOKUP(G65,'Exchange Rates'!B:C,2,0),IF(R65=".",".",""))</f>
        <v>800000</v>
      </c>
      <c r="T65" s="1185" t="str">
        <f>IF(AD65=1,IF(AF65="Value is not given at all",".",IF(AF65="Value is given by the source",S65,IF(AF65="Value is calculated with prices",(IF(SUMIFS(Q:Q,A:A,A65)&gt;0,SUMIFS(Q:Q,A:A,A65),"."))/VLOOKUP("USD",'Exchange Rates'!B:C,2,0),"Error with coding"))),"")</f>
        <v>.</v>
      </c>
      <c r="U65" s="1184" t="s">
        <v>365</v>
      </c>
      <c r="V65" s="980" t="s">
        <v>560</v>
      </c>
      <c r="W65" s="971" t="s">
        <v>576</v>
      </c>
      <c r="X65" s="1219" t="s">
        <v>364</v>
      </c>
      <c r="Y65" s="1190" t="s">
        <v>364</v>
      </c>
      <c r="Z65" s="1184">
        <v>0</v>
      </c>
      <c r="AA65" s="1194">
        <v>0</v>
      </c>
      <c r="AB65" s="1201" t="s">
        <v>364</v>
      </c>
      <c r="AC65" s="1192" t="str">
        <f>""</f>
        <v/>
      </c>
      <c r="AD65" s="1193">
        <v>1</v>
      </c>
      <c r="AE65" s="1193" t="s">
        <v>368</v>
      </c>
      <c r="AF65" s="1193" t="s">
        <v>369</v>
      </c>
      <c r="AG65" s="1193">
        <v>1</v>
      </c>
      <c r="AH65" s="1193">
        <v>7</v>
      </c>
      <c r="AI65" s="1193">
        <v>0</v>
      </c>
      <c r="AJ65" s="1193">
        <f>VLOOKUP($I65,'Price List, Weapons &amp; Items'!B:F,5,0)</f>
        <v>0</v>
      </c>
      <c r="AK65" s="1193">
        <f t="shared" si="15"/>
        <v>0</v>
      </c>
      <c r="AL65" s="1193">
        <f t="shared" si="16"/>
        <v>0</v>
      </c>
      <c r="AM65" s="1193">
        <f t="shared" si="17"/>
        <v>0</v>
      </c>
      <c r="AN65" s="1194" t="str">
        <f>VLOOKUP($I65,'Price List, Weapons &amp; Items'!B:L,COLUMN('Price List, Weapons &amp; Items'!$J$11)-1,0)</f>
        <v>.</v>
      </c>
      <c r="AO65" s="1194" t="str">
        <f>IF(I65=".",".",VLOOKUP($I65,'Price List, Weapons &amp; Items'!B:J,3,0))</f>
        <v>.</v>
      </c>
      <c r="AP65" s="1195" t="str">
        <f t="shared" ca="1" si="6"/>
        <v>.</v>
      </c>
      <c r="AQ65" s="1194">
        <f>VLOOKUP($I65,'Price List, Weapons &amp; Items'!B:L,COLUMN('Price List, Weapons &amp; Items'!$L$11)-1,0)</f>
        <v>0</v>
      </c>
      <c r="AR65" s="1194">
        <f t="shared" si="18"/>
        <v>1</v>
      </c>
      <c r="AS65" s="1194">
        <f t="shared" si="19"/>
        <v>0</v>
      </c>
      <c r="AT65" s="1194">
        <f t="shared" si="20"/>
        <v>1</v>
      </c>
      <c r="AU65" s="1194" t="str">
        <f t="shared" si="21"/>
        <v>.</v>
      </c>
      <c r="AV65" s="1194" t="str">
        <f t="shared" si="11"/>
        <v>.</v>
      </c>
      <c r="AW65" s="1194" t="str">
        <f t="shared" si="22"/>
        <v>.</v>
      </c>
      <c r="AX65" s="1194">
        <f>IFERROR(VLOOKUP(B65,'Share, Heavy Weapons to Ukraine'!B:Z,COLUMN('Share, Heavy Weapons to Ukraine'!C75)-1,0),0)</f>
        <v>0</v>
      </c>
      <c r="AY65" s="1194">
        <f>VLOOKUP('Bilateral Assistance, MAIN DATA'!B65,'Country Summary (€)'!B:F,COLUMN('Country Summary (€)'!C76)-1,FALSE)</f>
        <v>1</v>
      </c>
      <c r="AZ65" s="1194" t="str">
        <f>IF(AND(AD65=1,D65="Military",H65&lt;&gt;"Not given")=TRUE,IF(SUMIFS(P:P,A:A,A65)&gt;0,ABS((SUMIFS(P:P,A:A,A65)/VLOOKUP("USD",'Exchange Rates'!B:C,2,0)))/S65,"."),".")</f>
        <v>.</v>
      </c>
      <c r="BA65" s="1196" t="str">
        <f>IF(AND(AD65=1,D65="Military",H65&lt;&gt;"Not given")=TRUE,IF(SUMIFS(P:P,A:A,A65)&gt;0,IF((ABS((SUMIFS(P:P,A:A,A65)/VLOOKUP("USD",'Exchange Rates'!B:C,2,0)))/S65)&gt;1,(SUMIFS(P:P,A:A,A65)-S65)/S65,(S65-SUMIFS(P:P,A:A,A65))/SUMIFS(P:P,A:A,A65)),"."),".")</f>
        <v>.</v>
      </c>
    </row>
    <row r="66" spans="1:53" ht="15.95" customHeight="1">
      <c r="A66" s="1180" t="s">
        <v>577</v>
      </c>
      <c r="B66" s="1180" t="s">
        <v>558</v>
      </c>
      <c r="C66" s="1181">
        <v>44945</v>
      </c>
      <c r="D66" s="1182" t="s">
        <v>360</v>
      </c>
      <c r="E66" s="1182" t="s">
        <v>371</v>
      </c>
      <c r="F66" s="1183" t="s">
        <v>578</v>
      </c>
      <c r="G66" s="1184" t="s">
        <v>483</v>
      </c>
      <c r="H66" s="1185">
        <v>600000</v>
      </c>
      <c r="I66" s="1180" t="s">
        <v>364</v>
      </c>
      <c r="J66" s="1186" t="str">
        <f>VLOOKUP($I66,'Price List, Weapons &amp; Items'!B:C,2,0)</f>
        <v>.</v>
      </c>
      <c r="K66" s="1186" t="str">
        <f>IF(I66=".",I66,VLOOKUP($I66,'Price List, Weapons &amp; Items'!B:D,3,0))</f>
        <v>.</v>
      </c>
      <c r="L66" s="1187">
        <f>VLOOKUP(I66,'Price List, Weapons &amp; Items'!B:E,4,0)</f>
        <v>0</v>
      </c>
      <c r="M66" s="1188" t="s">
        <v>364</v>
      </c>
      <c r="N66" s="1188" t="s">
        <v>364</v>
      </c>
      <c r="O66" s="1188" t="str">
        <f>VLOOKUP($I66,'Price List, Weapons &amp; Items'!B:G,6,0)</f>
        <v>.</v>
      </c>
      <c r="P66" s="1185" t="str">
        <f t="shared" si="13"/>
        <v>.</v>
      </c>
      <c r="Q66" s="1185" t="str">
        <f t="shared" si="14"/>
        <v>.</v>
      </c>
      <c r="R66" s="1185">
        <f t="shared" ref="R66:R129" si="23">IF(AD66=1,IF(H66&lt;&gt;"Not given",H66,IF(TYPE(H66)=2,IF(SUMIFS(P:P,A:A,A66)&gt;0,SUMIFS(P:P,A:A,A66),"."),"Format error")),"")</f>
        <v>600000</v>
      </c>
      <c r="S66" s="1185">
        <f>IF(AND(AD66=1,R66&lt;&gt;".")=TRUE,R66/VLOOKUP(G66,'Exchange Rates'!B:C,2,0),IF(R66=".",".",""))</f>
        <v>600000</v>
      </c>
      <c r="T66" s="1185" t="str">
        <f>IF(AD66=1,IF(AF66="Value is not given at all",".",IF(AF66="Value is given by the source",S66,IF(AF66="Value is calculated with prices",(IF(SUMIFS(Q:Q,A:A,A66)&gt;0,SUMIFS(Q:Q,A:A,A66),"."))/VLOOKUP("USD",'Exchange Rates'!B:C,2,0),"Error with coding"))),"")</f>
        <v>.</v>
      </c>
      <c r="U66" s="1184" t="s">
        <v>365</v>
      </c>
      <c r="V66" s="973" t="s">
        <v>579</v>
      </c>
      <c r="W66" s="973" t="s">
        <v>580</v>
      </c>
      <c r="X66" s="1190" t="s">
        <v>364</v>
      </c>
      <c r="Y66" s="1190" t="s">
        <v>364</v>
      </c>
      <c r="Z66" s="1184">
        <v>0</v>
      </c>
      <c r="AA66" s="1194">
        <v>0</v>
      </c>
      <c r="AB66" s="1201" t="s">
        <v>364</v>
      </c>
      <c r="AC66" s="1192" t="str">
        <f>""</f>
        <v/>
      </c>
      <c r="AD66" s="1193">
        <v>1</v>
      </c>
      <c r="AE66" s="1193" t="s">
        <v>368</v>
      </c>
      <c r="AF66" s="1193" t="s">
        <v>369</v>
      </c>
      <c r="AG66" s="1193">
        <v>1</v>
      </c>
      <c r="AH66" s="1193">
        <v>13</v>
      </c>
      <c r="AI66" s="1193">
        <v>0</v>
      </c>
      <c r="AJ66" s="1193">
        <f>VLOOKUP($I66,'Price List, Weapons &amp; Items'!B:F,5,0)</f>
        <v>0</v>
      </c>
      <c r="AK66" s="1193">
        <f t="shared" si="15"/>
        <v>0</v>
      </c>
      <c r="AL66" s="1193">
        <f t="shared" si="16"/>
        <v>0</v>
      </c>
      <c r="AM66" s="1193">
        <f t="shared" si="17"/>
        <v>0</v>
      </c>
      <c r="AN66" s="1194" t="str">
        <f>VLOOKUP($I66,'Price List, Weapons &amp; Items'!B:L,COLUMN('Price List, Weapons &amp; Items'!$J$11)-1,0)</f>
        <v>.</v>
      </c>
      <c r="AO66" s="1194" t="str">
        <f>IF(I66=".",".",VLOOKUP($I66,'Price List, Weapons &amp; Items'!B:J,3,0))</f>
        <v>.</v>
      </c>
      <c r="AP66" s="1195" t="str">
        <f t="shared" ref="AP66:AP129" ca="1" si="24">IF(AD66=1,(OFFSET(I66,0,0,COUNTIF(A:A,A66),1)),"")</f>
        <v>.</v>
      </c>
      <c r="AQ66" s="1194">
        <f>VLOOKUP($I66,'Price List, Weapons &amp; Items'!B:L,COLUMN('Price List, Weapons &amp; Items'!$L$11)-1,0)</f>
        <v>0</v>
      </c>
      <c r="AR66" s="1194">
        <f t="shared" si="18"/>
        <v>1</v>
      </c>
      <c r="AS66" s="1194">
        <f t="shared" si="19"/>
        <v>0</v>
      </c>
      <c r="AT66" s="1194">
        <f t="shared" si="20"/>
        <v>1</v>
      </c>
      <c r="AU66" s="1194" t="str">
        <f t="shared" si="21"/>
        <v>.</v>
      </c>
      <c r="AV66" s="1194" t="str">
        <f t="shared" ref="AV66:AV129" si="25">IF(AND(_xlfn.ISFORMULA(R66),_xlfn.ISFORMULA(S66),_xlfn.ISFORMULA(T66))=TRUE,".",1)</f>
        <v>.</v>
      </c>
      <c r="AW66" s="1194" t="str">
        <f t="shared" si="22"/>
        <v>.</v>
      </c>
      <c r="AX66" s="1194">
        <f>IFERROR(VLOOKUP(B66,'Share, Heavy Weapons to Ukraine'!B:Z,COLUMN('Share, Heavy Weapons to Ukraine'!C76)-1,0),0)</f>
        <v>0</v>
      </c>
      <c r="AY66" s="1194">
        <f>VLOOKUP('Bilateral Assistance, MAIN DATA'!B66,'Country Summary (€)'!B:F,COLUMN('Country Summary (€)'!C77)-1,FALSE)</f>
        <v>1</v>
      </c>
      <c r="AZ66" s="1194" t="str">
        <f>IF(AND(AD66=1,D66="Military",H66&lt;&gt;"Not given")=TRUE,IF(SUMIFS(P:P,A:A,A66)&gt;0,ABS((SUMIFS(P:P,A:A,A66)/VLOOKUP("USD",'Exchange Rates'!B:C,2,0)))/S66,"."),".")</f>
        <v>.</v>
      </c>
      <c r="BA66" s="1196" t="str">
        <f>IF(AND(AD66=1,D66="Military",H66&lt;&gt;"Not given")=TRUE,IF(SUMIFS(P:P,A:A,A66)&gt;0,IF((ABS((SUMIFS(P:P,A:A,A66)/VLOOKUP("USD",'Exchange Rates'!B:C,2,0)))/S66)&gt;1,(SUMIFS(P:P,A:A,A66)-S66)/S66,(S66-SUMIFS(P:P,A:A,A66))/SUMIFS(P:P,A:A,A66)),"."),".")</f>
        <v>.</v>
      </c>
    </row>
    <row r="67" spans="1:53" ht="14.45" customHeight="1">
      <c r="A67" s="1180" t="s">
        <v>581</v>
      </c>
      <c r="B67" s="1180" t="s">
        <v>558</v>
      </c>
      <c r="C67" s="1181">
        <v>45058</v>
      </c>
      <c r="D67" s="1182" t="s">
        <v>360</v>
      </c>
      <c r="E67" s="1182" t="s">
        <v>361</v>
      </c>
      <c r="F67" s="1183" t="s">
        <v>582</v>
      </c>
      <c r="G67" s="1184" t="s">
        <v>483</v>
      </c>
      <c r="H67" s="1185">
        <v>24000000</v>
      </c>
      <c r="I67" s="1180" t="s">
        <v>364</v>
      </c>
      <c r="J67" s="1186" t="str">
        <f>VLOOKUP($I67,'Price List, Weapons &amp; Items'!B:C,2,0)</f>
        <v>.</v>
      </c>
      <c r="K67" s="1186" t="str">
        <f>IF(I67=".",I67,VLOOKUP($I67,'Price List, Weapons &amp; Items'!B:D,3,0))</f>
        <v>.</v>
      </c>
      <c r="L67" s="1187">
        <f>VLOOKUP(I67,'Price List, Weapons &amp; Items'!B:E,4,0)</f>
        <v>0</v>
      </c>
      <c r="M67" s="1188" t="s">
        <v>364</v>
      </c>
      <c r="N67" s="1188" t="s">
        <v>364</v>
      </c>
      <c r="O67" s="1188" t="str">
        <f>VLOOKUP($I67,'Price List, Weapons &amp; Items'!B:G,6,0)</f>
        <v>.</v>
      </c>
      <c r="P67" s="1185" t="str">
        <f t="shared" ref="P67:P130" si="26">IF(TYPE(M67)=1,IF(TYPE(O67)=1,M67*O67,"No price"),".")</f>
        <v>.</v>
      </c>
      <c r="Q67" s="1185" t="str">
        <f t="shared" ref="Q67:Q130" si="27">IF(TYPE(N67)=1,IF(TYPE(O67)=1,N67*O67,"No price"),".")</f>
        <v>.</v>
      </c>
      <c r="R67" s="1185">
        <f t="shared" si="23"/>
        <v>24000000</v>
      </c>
      <c r="S67" s="1185">
        <f>IF(AND(AD67=1,R67&lt;&gt;".")=TRUE,R67/VLOOKUP(G67,'Exchange Rates'!B:C,2,0),IF(R67=".",".",""))</f>
        <v>24000000</v>
      </c>
      <c r="T67" s="1185" t="str">
        <f>IF(AD67=1,IF(AF67="Value is not given at all",".",IF(AF67="Value is given by the source",S67,IF(AF67="Value is calculated with prices",(IF(SUMIFS(Q:Q,A:A,A67)&gt;0,SUMIFS(Q:Q,A:A,A67),"."))/VLOOKUP("USD",'Exchange Rates'!B:C,2,0),"Error with coding"))),"")</f>
        <v>.</v>
      </c>
      <c r="U67" s="1184" t="s">
        <v>365</v>
      </c>
      <c r="V67" s="973" t="s">
        <v>583</v>
      </c>
      <c r="W67" s="973" t="s">
        <v>584</v>
      </c>
      <c r="X67" s="1190" t="s">
        <v>364</v>
      </c>
      <c r="Y67" s="1190" t="s">
        <v>364</v>
      </c>
      <c r="Z67" s="1184">
        <v>0</v>
      </c>
      <c r="AA67" s="1191">
        <v>1</v>
      </c>
      <c r="AB67" s="1201" t="s">
        <v>364</v>
      </c>
      <c r="AC67" s="1192" t="str">
        <f>""</f>
        <v/>
      </c>
      <c r="AD67" s="1193">
        <v>1</v>
      </c>
      <c r="AE67" s="1193" t="s">
        <v>368</v>
      </c>
      <c r="AF67" s="1193" t="s">
        <v>369</v>
      </c>
      <c r="AG67" s="1193">
        <v>1</v>
      </c>
      <c r="AH67" s="1193">
        <v>17</v>
      </c>
      <c r="AI67" s="1193">
        <v>0</v>
      </c>
      <c r="AJ67" s="1193">
        <f>VLOOKUP($I67,'Price List, Weapons &amp; Items'!B:F,5,0)</f>
        <v>0</v>
      </c>
      <c r="AK67" s="1193">
        <f t="shared" ref="AK67:AK130" si="28">IF(AND(AJ67=1,M67="undisclosed")=TRUE,1,0)</f>
        <v>0</v>
      </c>
      <c r="AL67" s="1193">
        <f t="shared" ref="AL67:AL130" si="29">IF(AND(AJ67=1,N67="undisclosed")=TRUE,1,0)</f>
        <v>0</v>
      </c>
      <c r="AM67" s="1193">
        <f t="shared" ref="AM67:AM130" si="30">IFERROR(IF(SEARCH("ammuni",I67,1)&gt;0,1,0),0)</f>
        <v>0</v>
      </c>
      <c r="AN67" s="1194" t="str">
        <f>VLOOKUP($I67,'Price List, Weapons &amp; Items'!B:L,COLUMN('Price List, Weapons &amp; Items'!$J$11)-1,0)</f>
        <v>.</v>
      </c>
      <c r="AO67" s="1194" t="str">
        <f>IF(I67=".",".",VLOOKUP($I67,'Price List, Weapons &amp; Items'!B:J,3,0))</f>
        <v>.</v>
      </c>
      <c r="AP67" s="1195" t="str">
        <f t="shared" ca="1" si="24"/>
        <v>.</v>
      </c>
      <c r="AQ67" s="1194">
        <f>VLOOKUP($I67,'Price List, Weapons &amp; Items'!B:L,COLUMN('Price List, Weapons &amp; Items'!$L$11)-1,0)</f>
        <v>0</v>
      </c>
      <c r="AR67" s="1194">
        <f t="shared" ref="AR67:AR130" si="31">IF(U67="Yes",1,0)</f>
        <v>1</v>
      </c>
      <c r="AS67" s="1194">
        <f t="shared" ref="AS67:AS130" si="32">IF(D67="Military",IF(OR(IFERROR(SEARCH("equipment",E67,1),0)&gt;0,IFERROR(SEARCH("weapons",E67,1),0)&gt;0),1,0),0)</f>
        <v>0</v>
      </c>
      <c r="AT67" s="1194">
        <f t="shared" ref="AT67:AT130" si="33">IFERROR(IF(VALUE(TEXT(C67,"mm"))=IF(AH67&gt;12,AH67-12,AH67),".",IF(TEXT(C67,"mm")="01",".",1)),"Value is not in date format")</f>
        <v>1</v>
      </c>
      <c r="AU67" s="1194" t="str">
        <f t="shared" ref="AU67:AU130" si="34">IF(AND(A67=A66,C67=C66)=TRUE,IF(F67=F66,".","1"),".")</f>
        <v>.</v>
      </c>
      <c r="AV67" s="1194" t="str">
        <f t="shared" si="25"/>
        <v>.</v>
      </c>
      <c r="AW67" s="1194" t="str">
        <f t="shared" ref="AW67:AW130" si="35">IF(T67&lt;&gt;".",IF(T67&gt;S67,1,"."),".")</f>
        <v>.</v>
      </c>
      <c r="AX67" s="1194">
        <f>IFERROR(VLOOKUP(B67,'Share, Heavy Weapons to Ukraine'!B:Z,COLUMN('Share, Heavy Weapons to Ukraine'!C77)-1,0),0)</f>
        <v>0</v>
      </c>
      <c r="AY67" s="1194">
        <f>VLOOKUP('Bilateral Assistance, MAIN DATA'!B67,'Country Summary (€)'!B:F,COLUMN('Country Summary (€)'!C78)-1,FALSE)</f>
        <v>1</v>
      </c>
      <c r="AZ67" s="1194" t="str">
        <f>IF(AND(AD67=1,D67="Military",H67&lt;&gt;"Not given")=TRUE,IF(SUMIFS(P:P,A:A,A67)&gt;0,ABS((SUMIFS(P:P,A:A,A67)/VLOOKUP("USD",'Exchange Rates'!B:C,2,0)))/S67,"."),".")</f>
        <v>.</v>
      </c>
      <c r="BA67" s="1196" t="str">
        <f>IF(AND(AD67=1,D67="Military",H67&lt;&gt;"Not given")=TRUE,IF(SUMIFS(P:P,A:A,A67)&gt;0,IF((ABS((SUMIFS(P:P,A:A,A67)/VLOOKUP("USD",'Exchange Rates'!B:C,2,0)))/S67)&gt;1,(SUMIFS(P:P,A:A,A67)-S67)/S67,(S67-SUMIFS(P:P,A:A,A67))/SUMIFS(P:P,A:A,A67)),"."),".")</f>
        <v>.</v>
      </c>
    </row>
    <row r="68" spans="1:53" ht="15.95" customHeight="1">
      <c r="A68" s="1182" t="s">
        <v>585</v>
      </c>
      <c r="B68" s="1182" t="s">
        <v>558</v>
      </c>
      <c r="C68" s="1181">
        <v>44618</v>
      </c>
      <c r="D68" s="1182" t="s">
        <v>389</v>
      </c>
      <c r="E68" s="1182" t="s">
        <v>390</v>
      </c>
      <c r="F68" s="1183" t="s">
        <v>586</v>
      </c>
      <c r="G68" s="1184" t="s">
        <v>483</v>
      </c>
      <c r="H68" s="1185">
        <v>76000000</v>
      </c>
      <c r="I68" s="1180" t="s">
        <v>587</v>
      </c>
      <c r="J68" s="1186" t="str">
        <f>VLOOKUP($I68,'Price List, Weapons &amp; Items'!B:C,2,0)</f>
        <v>Light armaments &amp; infantry</v>
      </c>
      <c r="K68" s="1186" t="str">
        <f>IF(I68=".",I68,VLOOKUP($I68,'Price List, Weapons &amp; Items'!B:D,3,0))</f>
        <v>Small Arms and Light Weapons (SALW)</v>
      </c>
      <c r="L68" s="1187">
        <f>VLOOKUP(I68,'Price List, Weapons &amp; Items'!B:E,4,0)</f>
        <v>0</v>
      </c>
      <c r="M68" s="1188">
        <v>2000</v>
      </c>
      <c r="N68" s="1188">
        <v>2000</v>
      </c>
      <c r="O68" s="1188">
        <f>VLOOKUP($I68,'Price List, Weapons &amp; Items'!B:G,6,0)</f>
        <v>3000</v>
      </c>
      <c r="P68" s="1185">
        <f t="shared" si="26"/>
        <v>6000000</v>
      </c>
      <c r="Q68" s="1185">
        <f t="shared" si="27"/>
        <v>6000000</v>
      </c>
      <c r="R68" s="1185">
        <f t="shared" si="23"/>
        <v>76000000</v>
      </c>
      <c r="S68" s="1185">
        <f>IF(AND(AD68=1,R68&lt;&gt;".")=TRUE,R68/VLOOKUP(G68,'Exchange Rates'!B:C,2,0),IF(R68=".",".",""))</f>
        <v>76000000</v>
      </c>
      <c r="T68" s="1185">
        <f>IF(AD68=1,IF(AF68="Value is not given at all",".",IF(AF68="Value is given by the source",S68,IF(AF68="Value is calculated with prices",(IF(SUMIFS(Q:Q,A:A,A68)&gt;0,SUMIFS(Q:Q,A:A,A68),"."))/VLOOKUP("USD",'Exchange Rates'!B:C,2,0),"Error with coding"))),"")</f>
        <v>76000000</v>
      </c>
      <c r="U68" s="1184" t="s">
        <v>365</v>
      </c>
      <c r="V68" s="980" t="s">
        <v>588</v>
      </c>
      <c r="W68" s="974" t="s">
        <v>589</v>
      </c>
      <c r="X68" s="974" t="s">
        <v>590</v>
      </c>
      <c r="Y68" s="1190" t="s">
        <v>364</v>
      </c>
      <c r="Z68" s="1184">
        <v>0</v>
      </c>
      <c r="AA68" s="1194">
        <v>0</v>
      </c>
      <c r="AB68" s="975" t="s">
        <v>589</v>
      </c>
      <c r="AC68" s="1192" t="str">
        <f>""</f>
        <v/>
      </c>
      <c r="AD68" s="1193">
        <v>1</v>
      </c>
      <c r="AE68" s="1193" t="s">
        <v>368</v>
      </c>
      <c r="AF68" s="1193" t="s">
        <v>368</v>
      </c>
      <c r="AG68" s="1193">
        <v>1</v>
      </c>
      <c r="AH68" s="1193">
        <v>2</v>
      </c>
      <c r="AI68" s="1193">
        <v>0</v>
      </c>
      <c r="AJ68" s="1193">
        <f>VLOOKUP($I68,'Price List, Weapons &amp; Items'!B:F,5,0)</f>
        <v>0</v>
      </c>
      <c r="AK68" s="1193">
        <f t="shared" si="28"/>
        <v>0</v>
      </c>
      <c r="AL68" s="1193">
        <f t="shared" si="29"/>
        <v>0</v>
      </c>
      <c r="AM68" s="1193">
        <f t="shared" si="30"/>
        <v>0</v>
      </c>
      <c r="AN68" s="1194" t="str">
        <f>VLOOKUP($I68,'Price List, Weapons &amp; Items'!B:L,COLUMN('Price List, Weapons &amp; Items'!$J$11)-1,0)</f>
        <v>Military media (incl. websites)</v>
      </c>
      <c r="AO68" s="1194" t="str">
        <f>IF(I68=".",".",VLOOKUP($I68,'Price List, Weapons &amp; Items'!B:J,3,0))</f>
        <v>Small Arms and Light Weapons (SALW)</v>
      </c>
      <c r="AP68" s="1195" t="str">
        <f t="shared" ca="1" si="24"/>
        <v>FNC-type automatic rifle</v>
      </c>
      <c r="AQ68" s="1194">
        <f>VLOOKUP($I68,'Price List, Weapons &amp; Items'!B:L,COLUMN('Price List, Weapons &amp; Items'!$L$11)-1,0)</f>
        <v>2</v>
      </c>
      <c r="AR68" s="1194">
        <f t="shared" si="31"/>
        <v>1</v>
      </c>
      <c r="AS68" s="1194">
        <f t="shared" si="32"/>
        <v>1</v>
      </c>
      <c r="AT68" s="1194">
        <f t="shared" si="33"/>
        <v>1</v>
      </c>
      <c r="AU68" s="1194" t="str">
        <f t="shared" si="34"/>
        <v>.</v>
      </c>
      <c r="AV68" s="1194" t="str">
        <f t="shared" si="25"/>
        <v>.</v>
      </c>
      <c r="AW68" s="1194" t="str">
        <f t="shared" si="35"/>
        <v>.</v>
      </c>
      <c r="AX68" s="1194">
        <f>IFERROR(VLOOKUP(B68,'Share, Heavy Weapons to Ukraine'!B:Z,COLUMN('Share, Heavy Weapons to Ukraine'!C78)-1,0),0)</f>
        <v>0</v>
      </c>
      <c r="AY68" s="1194">
        <f>VLOOKUP('Bilateral Assistance, MAIN DATA'!B68,'Country Summary (€)'!B:F,COLUMN('Country Summary (€)'!C79)-1,FALSE)</f>
        <v>1</v>
      </c>
      <c r="AZ68" s="1194">
        <f>IF(AND(AD68=1,D68="Military",H68&lt;&gt;"Not given")=TRUE,IF(SUMIFS(P:P,A:A,A68)&gt;0,ABS((SUMIFS(P:P,A:A,A68)/VLOOKUP("USD",'Exchange Rates'!B:C,2,0)))/S68,"."),".")</f>
        <v>1.0455304805997327</v>
      </c>
      <c r="BA68" s="1196">
        <f>IF(AND(AD68=1,D68="Military",H68&lt;&gt;"Not given")=TRUE,IF(SUMIFS(P:P,A:A,A68)&gt;0,IF((ABS((SUMIFS(P:P,A:A,A68)/VLOOKUP("USD",'Exchange Rates'!B:C,2,0)))/S68)&gt;1,(SUMIFS(P:P,A:A,A68)-S68)/S68,(S68-SUMIFS(P:P,A:A,A68))/SUMIFS(P:P,A:A,A68)),"."),".")</f>
        <v>0.13628252631578947</v>
      </c>
    </row>
    <row r="69" spans="1:53" ht="15.95" customHeight="1">
      <c r="A69" s="1182" t="s">
        <v>585</v>
      </c>
      <c r="B69" s="1182" t="s">
        <v>558</v>
      </c>
      <c r="C69" s="1181">
        <v>44618</v>
      </c>
      <c r="D69" s="1182" t="s">
        <v>389</v>
      </c>
      <c r="E69" s="1182" t="s">
        <v>390</v>
      </c>
      <c r="F69" s="1183" t="s">
        <v>586</v>
      </c>
      <c r="G69" s="1184" t="s">
        <v>483</v>
      </c>
      <c r="H69" s="1185">
        <v>76000000</v>
      </c>
      <c r="I69" s="1180" t="s">
        <v>591</v>
      </c>
      <c r="J69" s="1186" t="str">
        <f>VLOOKUP($I69,'Price List, Weapons &amp; Items'!B:C,2,0)</f>
        <v>Military equipment</v>
      </c>
      <c r="K69" s="1186" t="str">
        <f>IF(I69=".",I69,VLOOKUP($I69,'Price List, Weapons &amp; Items'!B:D,3,0))</f>
        <v>Military equipment</v>
      </c>
      <c r="L69" s="1187">
        <f>VLOOKUP(I69,'Price List, Weapons &amp; Items'!B:E,4,0)</f>
        <v>0</v>
      </c>
      <c r="M69" s="1188">
        <v>3800</v>
      </c>
      <c r="N69" s="1188">
        <v>3800</v>
      </c>
      <c r="O69" s="1188">
        <f>VLOOKUP($I69,'Price List, Weapons &amp; Items'!B:G,6,0)</f>
        <v>1612.5</v>
      </c>
      <c r="P69" s="1185">
        <f t="shared" si="26"/>
        <v>6127500</v>
      </c>
      <c r="Q69" s="1185">
        <f t="shared" si="27"/>
        <v>6127500</v>
      </c>
      <c r="R69" s="1185" t="str">
        <f t="shared" si="23"/>
        <v/>
      </c>
      <c r="S69" s="1185" t="str">
        <f>IF(AND(AD69=1,R69&lt;&gt;".")=TRUE,R69/VLOOKUP(G69,'Exchange Rates'!B:C,2,0),IF(R69=".",".",""))</f>
        <v/>
      </c>
      <c r="T69" s="1185" t="str">
        <f>IF(AD69=1,IF(AF69="Value is not given at all",".",IF(AF69="Value is given by the source",S69,IF(AF69="Value is calculated with prices",(IF(SUMIFS(Q:Q,A:A,A69)&gt;0,SUMIFS(Q:Q,A:A,A69),"."))/VLOOKUP("USD",'Exchange Rates'!B:C,2,0),"Error with coding"))),"")</f>
        <v/>
      </c>
      <c r="U69" s="1184" t="s">
        <v>365</v>
      </c>
      <c r="V69" s="980" t="s">
        <v>588</v>
      </c>
      <c r="W69" s="974" t="s">
        <v>589</v>
      </c>
      <c r="X69" s="974" t="s">
        <v>590</v>
      </c>
      <c r="Y69" s="1190" t="s">
        <v>364</v>
      </c>
      <c r="Z69" s="1184">
        <v>0</v>
      </c>
      <c r="AA69" s="1194">
        <v>0</v>
      </c>
      <c r="AB69" s="975" t="s">
        <v>589</v>
      </c>
      <c r="AC69" s="1192" t="str">
        <f>""</f>
        <v/>
      </c>
      <c r="AD69" s="1193">
        <v>0</v>
      </c>
      <c r="AE69" s="1193" t="s">
        <v>368</v>
      </c>
      <c r="AF69" s="1193" t="s">
        <v>368</v>
      </c>
      <c r="AG69" s="1193">
        <v>1</v>
      </c>
      <c r="AH69" s="1193">
        <v>2</v>
      </c>
      <c r="AI69" s="1193">
        <v>0</v>
      </c>
      <c r="AJ69" s="1193">
        <f>VLOOKUP($I69,'Price List, Weapons &amp; Items'!B:F,5,0)</f>
        <v>0</v>
      </c>
      <c r="AK69" s="1193">
        <f t="shared" si="28"/>
        <v>0</v>
      </c>
      <c r="AL69" s="1193">
        <f t="shared" si="29"/>
        <v>0</v>
      </c>
      <c r="AM69" s="1193">
        <f t="shared" si="30"/>
        <v>0</v>
      </c>
      <c r="AN69" s="1194" t="str">
        <f>VLOOKUP($I69,'Price List, Weapons &amp; Items'!B:L,COLUMN('Price List, Weapons &amp; Items'!$J$11)-1,0)</f>
        <v>Miscellaneous</v>
      </c>
      <c r="AO69" s="1194" t="str">
        <f>IF(I69=".",".",VLOOKUP($I69,'Price List, Weapons &amp; Items'!B:J,3,0))</f>
        <v>Military equipment</v>
      </c>
      <c r="AP69" s="1195" t="str">
        <f t="shared" ca="1" si="24"/>
        <v/>
      </c>
      <c r="AQ69" s="1194">
        <f>VLOOKUP($I69,'Price List, Weapons &amp; Items'!B:L,COLUMN('Price List, Weapons &amp; Items'!$L$11)-1,0)</f>
        <v>2</v>
      </c>
      <c r="AR69" s="1194">
        <f t="shared" si="31"/>
        <v>1</v>
      </c>
      <c r="AS69" s="1194">
        <f t="shared" si="32"/>
        <v>1</v>
      </c>
      <c r="AT69" s="1194">
        <f t="shared" si="33"/>
        <v>1</v>
      </c>
      <c r="AU69" s="1194" t="str">
        <f t="shared" si="34"/>
        <v>.</v>
      </c>
      <c r="AV69" s="1194" t="str">
        <f t="shared" si="25"/>
        <v>.</v>
      </c>
      <c r="AW69" s="1194" t="str">
        <f t="shared" si="35"/>
        <v>.</v>
      </c>
      <c r="AX69" s="1194">
        <f>IFERROR(VLOOKUP(B69,'Share, Heavy Weapons to Ukraine'!B:Z,COLUMN('Share, Heavy Weapons to Ukraine'!C79)-1,0),0)</f>
        <v>0</v>
      </c>
      <c r="AY69" s="1194">
        <f>VLOOKUP('Bilateral Assistance, MAIN DATA'!B69,'Country Summary (€)'!B:F,COLUMN('Country Summary (€)'!C80)-1,FALSE)</f>
        <v>1</v>
      </c>
      <c r="AZ69" s="1194" t="str">
        <f>IF(AND(AD69=1,D69="Military",H69&lt;&gt;"Not given")=TRUE,IF(SUMIFS(P:P,A:A,A69)&gt;0,ABS((SUMIFS(P:P,A:A,A69)/VLOOKUP("USD",'Exchange Rates'!B:C,2,0)))/S69,"."),".")</f>
        <v>.</v>
      </c>
      <c r="BA69" s="1196" t="str">
        <f>IF(AND(AD69=1,D69="Military",H69&lt;&gt;"Not given")=TRUE,IF(SUMIFS(P:P,A:A,A69)&gt;0,IF((ABS((SUMIFS(P:P,A:A,A69)/VLOOKUP("USD",'Exchange Rates'!B:C,2,0)))/S69)&gt;1,(SUMIFS(P:P,A:A,A69)-S69)/S69,(S69-SUMIFS(P:P,A:A,A69))/SUMIFS(P:P,A:A,A69)),"."),".")</f>
        <v>.</v>
      </c>
    </row>
    <row r="70" spans="1:53" ht="15.95" customHeight="1">
      <c r="A70" s="1182" t="s">
        <v>585</v>
      </c>
      <c r="B70" s="1182" t="s">
        <v>558</v>
      </c>
      <c r="C70" s="1181">
        <v>44619</v>
      </c>
      <c r="D70" s="1182" t="s">
        <v>389</v>
      </c>
      <c r="E70" s="1208" t="s">
        <v>390</v>
      </c>
      <c r="F70" s="1183" t="s">
        <v>586</v>
      </c>
      <c r="G70" s="1184" t="s">
        <v>483</v>
      </c>
      <c r="H70" s="1185">
        <v>76000000</v>
      </c>
      <c r="I70" s="1180" t="s">
        <v>587</v>
      </c>
      <c r="J70" s="1186" t="str">
        <f>VLOOKUP($I70,'Price List, Weapons &amp; Items'!B:C,2,0)</f>
        <v>Light armaments &amp; infantry</v>
      </c>
      <c r="K70" s="1186" t="str">
        <f>IF(I70=".",I70,VLOOKUP($I70,'Price List, Weapons &amp; Items'!B:D,3,0))</f>
        <v>Small Arms and Light Weapons (SALW)</v>
      </c>
      <c r="L70" s="1187">
        <f>VLOOKUP(I70,'Price List, Weapons &amp; Items'!B:E,4,0)</f>
        <v>0</v>
      </c>
      <c r="M70" s="1188">
        <v>3000</v>
      </c>
      <c r="N70" s="1188">
        <v>3000</v>
      </c>
      <c r="O70" s="1188">
        <f>VLOOKUP($I70,'Price List, Weapons &amp; Items'!B:G,6,0)</f>
        <v>3000</v>
      </c>
      <c r="P70" s="1185">
        <f t="shared" si="26"/>
        <v>9000000</v>
      </c>
      <c r="Q70" s="1185">
        <f t="shared" si="27"/>
        <v>9000000</v>
      </c>
      <c r="R70" s="1185" t="str">
        <f t="shared" si="23"/>
        <v/>
      </c>
      <c r="S70" s="1185" t="str">
        <f>IF(AND(AD70=1,R70&lt;&gt;".")=TRUE,R70/VLOOKUP(G70,'Exchange Rates'!B:C,2,0),IF(R70=".",".",""))</f>
        <v/>
      </c>
      <c r="T70" s="1185" t="str">
        <f>IF(AD70=1,IF(AF70="Value is not given at all",".",IF(AF70="Value is given by the source",S70,IF(AF70="Value is calculated with prices",(IF(SUMIFS(Q:Q,A:A,A70)&gt;0,SUMIFS(Q:Q,A:A,A70),"."))/VLOOKUP("USD",'Exchange Rates'!B:C,2,0),"Error with coding"))),"")</f>
        <v/>
      </c>
      <c r="U70" s="1184" t="s">
        <v>365</v>
      </c>
      <c r="V70" s="980" t="s">
        <v>588</v>
      </c>
      <c r="W70" s="974" t="s">
        <v>589</v>
      </c>
      <c r="X70" s="974" t="s">
        <v>592</v>
      </c>
      <c r="Y70" s="1190" t="s">
        <v>364</v>
      </c>
      <c r="Z70" s="1184">
        <v>0</v>
      </c>
      <c r="AA70" s="1194">
        <v>0</v>
      </c>
      <c r="AB70" s="975" t="s">
        <v>589</v>
      </c>
      <c r="AC70" s="1192" t="str">
        <f>""</f>
        <v/>
      </c>
      <c r="AD70" s="1193">
        <v>0</v>
      </c>
      <c r="AE70" s="1193" t="s">
        <v>368</v>
      </c>
      <c r="AF70" s="1193" t="s">
        <v>368</v>
      </c>
      <c r="AG70" s="1193">
        <v>1</v>
      </c>
      <c r="AH70" s="1193">
        <v>2</v>
      </c>
      <c r="AI70" s="1193">
        <v>0</v>
      </c>
      <c r="AJ70" s="1193">
        <f>VLOOKUP($I70,'Price List, Weapons &amp; Items'!B:F,5,0)</f>
        <v>0</v>
      </c>
      <c r="AK70" s="1193">
        <f t="shared" si="28"/>
        <v>0</v>
      </c>
      <c r="AL70" s="1193">
        <f t="shared" si="29"/>
        <v>0</v>
      </c>
      <c r="AM70" s="1193">
        <f t="shared" si="30"/>
        <v>0</v>
      </c>
      <c r="AN70" s="1194" t="str">
        <f>VLOOKUP($I70,'Price List, Weapons &amp; Items'!B:L,COLUMN('Price List, Weapons &amp; Items'!$J$11)-1,0)</f>
        <v>Military media (incl. websites)</v>
      </c>
      <c r="AO70" s="1194" t="str">
        <f>IF(I70=".",".",VLOOKUP($I70,'Price List, Weapons &amp; Items'!B:J,3,0))</f>
        <v>Small Arms and Light Weapons (SALW)</v>
      </c>
      <c r="AP70" s="1195" t="str">
        <f t="shared" ca="1" si="24"/>
        <v/>
      </c>
      <c r="AQ70" s="1194">
        <f>VLOOKUP($I70,'Price List, Weapons &amp; Items'!B:L,COLUMN('Price List, Weapons &amp; Items'!$L$11)-1,0)</f>
        <v>2</v>
      </c>
      <c r="AR70" s="1194">
        <f t="shared" si="31"/>
        <v>1</v>
      </c>
      <c r="AS70" s="1194">
        <f t="shared" si="32"/>
        <v>1</v>
      </c>
      <c r="AT70" s="1194">
        <f t="shared" si="33"/>
        <v>1</v>
      </c>
      <c r="AU70" s="1194" t="str">
        <f t="shared" si="34"/>
        <v>.</v>
      </c>
      <c r="AV70" s="1194" t="str">
        <f t="shared" si="25"/>
        <v>.</v>
      </c>
      <c r="AW70" s="1194" t="str">
        <f t="shared" si="35"/>
        <v>.</v>
      </c>
      <c r="AX70" s="1194">
        <f>IFERROR(VLOOKUP(B70,'Share, Heavy Weapons to Ukraine'!B:Z,COLUMN('Share, Heavy Weapons to Ukraine'!C80)-1,0),0)</f>
        <v>0</v>
      </c>
      <c r="AY70" s="1194">
        <f>VLOOKUP('Bilateral Assistance, MAIN DATA'!B70,'Country Summary (€)'!B:F,COLUMN('Country Summary (€)'!C81)-1,FALSE)</f>
        <v>1</v>
      </c>
      <c r="AZ70" s="1194" t="str">
        <f>IF(AND(AD70=1,D70="Military",H70&lt;&gt;"Not given")=TRUE,IF(SUMIFS(P:P,A:A,A70)&gt;0,ABS((SUMIFS(P:P,A:A,A70)/VLOOKUP("USD",'Exchange Rates'!B:C,2,0)))/S70,"."),".")</f>
        <v>.</v>
      </c>
      <c r="BA70" s="1196" t="str">
        <f>IF(AND(AD70=1,D70="Military",H70&lt;&gt;"Not given")=TRUE,IF(SUMIFS(P:P,A:A,A70)&gt;0,IF((ABS((SUMIFS(P:P,A:A,A70)/VLOOKUP("USD",'Exchange Rates'!B:C,2,0)))/S70)&gt;1,(SUMIFS(P:P,A:A,A70)-S70)/S70,(S70-SUMIFS(P:P,A:A,A70))/SUMIFS(P:P,A:A,A70)),"."),".")</f>
        <v>.</v>
      </c>
    </row>
    <row r="71" spans="1:53" ht="15.95" customHeight="1">
      <c r="A71" s="1182" t="s">
        <v>585</v>
      </c>
      <c r="B71" s="1182" t="s">
        <v>558</v>
      </c>
      <c r="C71" s="1181">
        <v>44619</v>
      </c>
      <c r="D71" s="1182" t="s">
        <v>389</v>
      </c>
      <c r="E71" s="1208" t="s">
        <v>390</v>
      </c>
      <c r="F71" s="1183" t="s">
        <v>586</v>
      </c>
      <c r="G71" s="1184" t="s">
        <v>483</v>
      </c>
      <c r="H71" s="1185">
        <v>76000000</v>
      </c>
      <c r="I71" s="1180" t="s">
        <v>593</v>
      </c>
      <c r="J71" s="1186" t="str">
        <f>VLOOKUP($I71,'Price List, Weapons &amp; Items'!B:C,2,0)</f>
        <v>Portable defence system</v>
      </c>
      <c r="K71" s="1186" t="str">
        <f>IF(I71=".",I71,VLOOKUP($I71,'Price List, Weapons &amp; Items'!B:D,3,0))</f>
        <v>Light Anti-armor Weapon (LAW)</v>
      </c>
      <c r="L71" s="1187">
        <f>VLOOKUP(I71,'Price List, Weapons &amp; Items'!B:E,4,0)</f>
        <v>0</v>
      </c>
      <c r="M71" s="1188">
        <v>200</v>
      </c>
      <c r="N71" s="1188">
        <v>200</v>
      </c>
      <c r="O71" s="1188">
        <f>VLOOKUP($I71,'Price List, Weapons &amp; Items'!B:G,6,0)</f>
        <v>1475</v>
      </c>
      <c r="P71" s="1185">
        <f t="shared" si="26"/>
        <v>295000</v>
      </c>
      <c r="Q71" s="1185">
        <f t="shared" si="27"/>
        <v>295000</v>
      </c>
      <c r="R71" s="1185" t="str">
        <f t="shared" si="23"/>
        <v/>
      </c>
      <c r="S71" s="1185" t="str">
        <f>IF(AND(AD71=1,R71&lt;&gt;".")=TRUE,R71/VLOOKUP(G71,'Exchange Rates'!B:C,2,0),IF(R71=".",".",""))</f>
        <v/>
      </c>
      <c r="T71" s="1185" t="str">
        <f>IF(AD71=1,IF(AF71="Value is not given at all",".",IF(AF71="Value is given by the source",S71,IF(AF71="Value is calculated with prices",(IF(SUMIFS(Q:Q,A:A,A71)&gt;0,SUMIFS(Q:Q,A:A,A71),"."))/VLOOKUP("USD",'Exchange Rates'!B:C,2,0),"Error with coding"))),"")</f>
        <v/>
      </c>
      <c r="U71" s="1184" t="s">
        <v>365</v>
      </c>
      <c r="V71" s="980" t="s">
        <v>588</v>
      </c>
      <c r="W71" s="974" t="s">
        <v>589</v>
      </c>
      <c r="X71" s="974" t="s">
        <v>592</v>
      </c>
      <c r="Y71" s="1183" t="s">
        <v>364</v>
      </c>
      <c r="Z71" s="1184">
        <v>0</v>
      </c>
      <c r="AA71" s="1194">
        <v>0</v>
      </c>
      <c r="AB71" s="975" t="s">
        <v>589</v>
      </c>
      <c r="AC71" s="1192" t="str">
        <f>""</f>
        <v/>
      </c>
      <c r="AD71" s="1193">
        <v>0</v>
      </c>
      <c r="AE71" s="1193" t="s">
        <v>368</v>
      </c>
      <c r="AF71" s="1193" t="s">
        <v>368</v>
      </c>
      <c r="AG71" s="1193">
        <v>1</v>
      </c>
      <c r="AH71" s="1193">
        <v>2</v>
      </c>
      <c r="AI71" s="1193">
        <v>0</v>
      </c>
      <c r="AJ71" s="1193">
        <f>VLOOKUP($I71,'Price List, Weapons &amp; Items'!B:F,5,0)</f>
        <v>0</v>
      </c>
      <c r="AK71" s="1193">
        <f t="shared" si="28"/>
        <v>0</v>
      </c>
      <c r="AL71" s="1193">
        <f t="shared" si="29"/>
        <v>0</v>
      </c>
      <c r="AM71" s="1193">
        <f t="shared" si="30"/>
        <v>0</v>
      </c>
      <c r="AN71" s="1194" t="str">
        <f>VLOOKUP($I71,'Price List, Weapons &amp; Items'!B:L,COLUMN('Price List, Weapons &amp; Items'!$J$11)-1,0)</f>
        <v>Military media (incl. websites)</v>
      </c>
      <c r="AO71" s="1194" t="str">
        <f>IF(I71=".",".",VLOOKUP($I71,'Price List, Weapons &amp; Items'!B:J,3,0))</f>
        <v>Light Anti-armor Weapon (LAW)</v>
      </c>
      <c r="AP71" s="1195" t="str">
        <f t="shared" ca="1" si="24"/>
        <v/>
      </c>
      <c r="AQ71" s="1194">
        <f>VLOOKUP($I71,'Price List, Weapons &amp; Items'!B:L,COLUMN('Price List, Weapons &amp; Items'!$L$11)-1,0)</f>
        <v>2</v>
      </c>
      <c r="AR71" s="1194">
        <f t="shared" si="31"/>
        <v>1</v>
      </c>
      <c r="AS71" s="1194">
        <f t="shared" si="32"/>
        <v>1</v>
      </c>
      <c r="AT71" s="1194">
        <f t="shared" si="33"/>
        <v>1</v>
      </c>
      <c r="AU71" s="1194" t="str">
        <f t="shared" si="34"/>
        <v>.</v>
      </c>
      <c r="AV71" s="1194" t="str">
        <f t="shared" si="25"/>
        <v>.</v>
      </c>
      <c r="AW71" s="1194" t="str">
        <f t="shared" si="35"/>
        <v>.</v>
      </c>
      <c r="AX71" s="1194">
        <f>IFERROR(VLOOKUP(B71,'Share, Heavy Weapons to Ukraine'!B:Z,COLUMN('Share, Heavy Weapons to Ukraine'!C81)-1,0),0)</f>
        <v>0</v>
      </c>
      <c r="AY71" s="1194">
        <f>VLOOKUP('Bilateral Assistance, MAIN DATA'!B71,'Country Summary (€)'!B:F,COLUMN('Country Summary (€)'!C82)-1,FALSE)</f>
        <v>1</v>
      </c>
      <c r="AZ71" s="1194" t="str">
        <f>IF(AND(AD71=1,D71="Military",H71&lt;&gt;"Not given")=TRUE,IF(SUMIFS(P:P,A:A,A71)&gt;0,ABS((SUMIFS(P:P,A:A,A71)/VLOOKUP("USD",'Exchange Rates'!B:C,2,0)))/S71,"."),".")</f>
        <v>.</v>
      </c>
      <c r="BA71" s="1196" t="str">
        <f>IF(AND(AD71=1,D71="Military",H71&lt;&gt;"Not given")=TRUE,IF(SUMIFS(P:P,A:A,A71)&gt;0,IF((ABS((SUMIFS(P:P,A:A,A71)/VLOOKUP("USD",'Exchange Rates'!B:C,2,0)))/S71)&gt;1,(SUMIFS(P:P,A:A,A71)-S71)/S71,(S71-SUMIFS(P:P,A:A,A71))/SUMIFS(P:P,A:A,A71)),"."),".")</f>
        <v>.</v>
      </c>
    </row>
    <row r="72" spans="1:53" ht="15.95" customHeight="1">
      <c r="A72" s="1182" t="s">
        <v>585</v>
      </c>
      <c r="B72" s="1182" t="s">
        <v>558</v>
      </c>
      <c r="C72" s="1181">
        <v>44619</v>
      </c>
      <c r="D72" s="1182" t="s">
        <v>389</v>
      </c>
      <c r="E72" s="1208" t="s">
        <v>390</v>
      </c>
      <c r="F72" s="1183" t="s">
        <v>586</v>
      </c>
      <c r="G72" s="1184" t="s">
        <v>483</v>
      </c>
      <c r="H72" s="1185">
        <v>76000000</v>
      </c>
      <c r="I72" s="1180" t="s">
        <v>594</v>
      </c>
      <c r="J72" s="1186" t="str">
        <f>VLOOKUP($I72,'Price List, Weapons &amp; Items'!B:C,2,0)</f>
        <v>Military equipment</v>
      </c>
      <c r="K72" s="1186" t="str">
        <f>IF(I72=".",I72,VLOOKUP($I72,'Price List, Weapons &amp; Items'!B:D,3,0))</f>
        <v>Military equipment</v>
      </c>
      <c r="L72" s="1187">
        <f>VLOOKUP(I72,'Price List, Weapons &amp; Items'!B:E,4,0)</f>
        <v>0</v>
      </c>
      <c r="M72" s="1188">
        <v>5000</v>
      </c>
      <c r="N72" s="1188">
        <v>5000</v>
      </c>
      <c r="O72" s="1188">
        <f>VLOOKUP($I72,'Price List, Weapons &amp; Items'!B:G,6,0)</f>
        <v>1400</v>
      </c>
      <c r="P72" s="1185">
        <f t="shared" si="26"/>
        <v>7000000</v>
      </c>
      <c r="Q72" s="1185">
        <f t="shared" si="27"/>
        <v>7000000</v>
      </c>
      <c r="R72" s="1185" t="str">
        <f t="shared" si="23"/>
        <v/>
      </c>
      <c r="S72" s="1185" t="str">
        <f>IF(AND(AD72=1,R72&lt;&gt;".")=TRUE,R72/VLOOKUP(G72,'Exchange Rates'!B:C,2,0),IF(R72=".",".",""))</f>
        <v/>
      </c>
      <c r="T72" s="1185" t="str">
        <f>IF(AD72=1,IF(AF72="Value is not given at all",".",IF(AF72="Value is given by the source",S72,IF(AF72="Value is calculated with prices",(IF(SUMIFS(Q:Q,A:A,A72)&gt;0,SUMIFS(Q:Q,A:A,A72),"."))/VLOOKUP("USD",'Exchange Rates'!B:C,2,0),"Error with coding"))),"")</f>
        <v/>
      </c>
      <c r="U72" s="1184" t="s">
        <v>365</v>
      </c>
      <c r="V72" s="980" t="s">
        <v>588</v>
      </c>
      <c r="W72" s="974" t="s">
        <v>589</v>
      </c>
      <c r="X72" s="974" t="s">
        <v>592</v>
      </c>
      <c r="Y72" s="1183" t="s">
        <v>364</v>
      </c>
      <c r="Z72" s="1184">
        <v>0</v>
      </c>
      <c r="AA72" s="1194">
        <v>0</v>
      </c>
      <c r="AB72" s="975" t="s">
        <v>589</v>
      </c>
      <c r="AC72" s="1192" t="str">
        <f>""</f>
        <v/>
      </c>
      <c r="AD72" s="1193">
        <v>0</v>
      </c>
      <c r="AE72" s="1193" t="s">
        <v>368</v>
      </c>
      <c r="AF72" s="1193" t="s">
        <v>368</v>
      </c>
      <c r="AG72" s="1193">
        <v>1</v>
      </c>
      <c r="AH72" s="1193">
        <v>2</v>
      </c>
      <c r="AI72" s="1193">
        <v>0</v>
      </c>
      <c r="AJ72" s="1193">
        <f>VLOOKUP($I72,'Price List, Weapons &amp; Items'!B:F,5,0)</f>
        <v>0</v>
      </c>
      <c r="AK72" s="1193">
        <f t="shared" si="28"/>
        <v>0</v>
      </c>
      <c r="AL72" s="1193">
        <f t="shared" si="29"/>
        <v>0</v>
      </c>
      <c r="AM72" s="1193">
        <f t="shared" si="30"/>
        <v>0</v>
      </c>
      <c r="AN72" s="1194" t="str">
        <f>VLOOKUP($I72,'Price List, Weapons &amp; Items'!B:L,COLUMN('Price List, Weapons &amp; Items'!$J$11)-1,0)</f>
        <v>Military media (incl. websites)</v>
      </c>
      <c r="AO72" s="1194" t="str">
        <f>IF(I72=".",".",VLOOKUP($I72,'Price List, Weapons &amp; Items'!B:J,3,0))</f>
        <v>Military equipment</v>
      </c>
      <c r="AP72" s="1195" t="str">
        <f t="shared" ca="1" si="24"/>
        <v/>
      </c>
      <c r="AQ72" s="1194">
        <f>VLOOKUP($I72,'Price List, Weapons &amp; Items'!B:L,COLUMN('Price List, Weapons &amp; Items'!$L$11)-1,0)</f>
        <v>2</v>
      </c>
      <c r="AR72" s="1194">
        <f t="shared" si="31"/>
        <v>1</v>
      </c>
      <c r="AS72" s="1194">
        <f t="shared" si="32"/>
        <v>1</v>
      </c>
      <c r="AT72" s="1194">
        <f t="shared" si="33"/>
        <v>1</v>
      </c>
      <c r="AU72" s="1194" t="str">
        <f t="shared" si="34"/>
        <v>.</v>
      </c>
      <c r="AV72" s="1194" t="str">
        <f t="shared" si="25"/>
        <v>.</v>
      </c>
      <c r="AW72" s="1194" t="str">
        <f t="shared" si="35"/>
        <v>.</v>
      </c>
      <c r="AX72" s="1194">
        <f>IFERROR(VLOOKUP(B72,'Share, Heavy Weapons to Ukraine'!B:Z,COLUMN('Share, Heavy Weapons to Ukraine'!C82)-1,0),0)</f>
        <v>0</v>
      </c>
      <c r="AY72" s="1194">
        <f>VLOOKUP('Bilateral Assistance, MAIN DATA'!B72,'Country Summary (€)'!B:F,COLUMN('Country Summary (€)'!C83)-1,FALSE)</f>
        <v>1</v>
      </c>
      <c r="AZ72" s="1194" t="str">
        <f>IF(AND(AD72=1,D72="Military",H72&lt;&gt;"Not given")=TRUE,IF(SUMIFS(P:P,A:A,A72)&gt;0,ABS((SUMIFS(P:P,A:A,A72)/VLOOKUP("USD",'Exchange Rates'!B:C,2,0)))/S72,"."),".")</f>
        <v>.</v>
      </c>
      <c r="BA72" s="1196" t="str">
        <f>IF(AND(AD72=1,D72="Military",H72&lt;&gt;"Not given")=TRUE,IF(SUMIFS(P:P,A:A,A72)&gt;0,IF((ABS((SUMIFS(P:P,A:A,A72)/VLOOKUP("USD",'Exchange Rates'!B:C,2,0)))/S72)&gt;1,(SUMIFS(P:P,A:A,A72)-S72)/S72,(S72-SUMIFS(P:P,A:A,A72))/SUMIFS(P:P,A:A,A72)),"."),".")</f>
        <v>.</v>
      </c>
    </row>
    <row r="73" spans="1:53" ht="15.95" customHeight="1">
      <c r="A73" s="1182" t="s">
        <v>585</v>
      </c>
      <c r="B73" s="1182" t="s">
        <v>558</v>
      </c>
      <c r="C73" s="1181">
        <v>44619</v>
      </c>
      <c r="D73" s="1182" t="s">
        <v>389</v>
      </c>
      <c r="E73" s="1208" t="s">
        <v>390</v>
      </c>
      <c r="F73" s="1183" t="s">
        <v>586</v>
      </c>
      <c r="G73" s="1184" t="s">
        <v>483</v>
      </c>
      <c r="H73" s="1185">
        <v>76000000</v>
      </c>
      <c r="I73" s="1180" t="s">
        <v>595</v>
      </c>
      <c r="J73" s="1186" t="str">
        <f>VLOOKUP($I73,'Price List, Weapons &amp; Items'!B:C,2,0)</f>
        <v>Military equipment</v>
      </c>
      <c r="K73" s="1186" t="str">
        <f>IF(I73=".",I73,VLOOKUP($I73,'Price List, Weapons &amp; Items'!B:D,3,0))</f>
        <v>Military equipment</v>
      </c>
      <c r="L73" s="1187">
        <f>VLOOKUP(I73,'Price List, Weapons &amp; Items'!B:E,4,0)</f>
        <v>0</v>
      </c>
      <c r="M73" s="1188">
        <v>200</v>
      </c>
      <c r="N73" s="1188">
        <v>200</v>
      </c>
      <c r="O73" s="1188">
        <f>VLOOKUP($I73,'Price List, Weapons &amp; Items'!B:G,6,0)</f>
        <v>45</v>
      </c>
      <c r="P73" s="1185">
        <f t="shared" si="26"/>
        <v>9000</v>
      </c>
      <c r="Q73" s="1185">
        <f t="shared" si="27"/>
        <v>9000</v>
      </c>
      <c r="R73" s="1185" t="str">
        <f t="shared" si="23"/>
        <v/>
      </c>
      <c r="S73" s="1185" t="str">
        <f>IF(AND(AD73=1,R73&lt;&gt;".")=TRUE,R73/VLOOKUP(G73,'Exchange Rates'!B:C,2,0),IF(R73=".",".",""))</f>
        <v/>
      </c>
      <c r="T73" s="1185" t="str">
        <f>IF(AD73=1,IF(AF73="Value is not given at all",".",IF(AF73="Value is given by the source",S73,IF(AF73="Value is calculated with prices",(IF(SUMIFS(Q:Q,A:A,A73)&gt;0,SUMIFS(Q:Q,A:A,A73),"."))/VLOOKUP("USD",'Exchange Rates'!B:C,2,0),"Error with coding"))),"")</f>
        <v/>
      </c>
      <c r="U73" s="1184" t="s">
        <v>365</v>
      </c>
      <c r="V73" s="980" t="s">
        <v>588</v>
      </c>
      <c r="W73" s="974" t="s">
        <v>589</v>
      </c>
      <c r="X73" s="974" t="s">
        <v>592</v>
      </c>
      <c r="Y73" s="1183" t="s">
        <v>364</v>
      </c>
      <c r="Z73" s="1184">
        <v>0</v>
      </c>
      <c r="AA73" s="1194">
        <v>0</v>
      </c>
      <c r="AB73" s="975" t="s">
        <v>589</v>
      </c>
      <c r="AC73" s="1192" t="str">
        <f>""</f>
        <v/>
      </c>
      <c r="AD73" s="1193">
        <v>0</v>
      </c>
      <c r="AE73" s="1193" t="s">
        <v>368</v>
      </c>
      <c r="AF73" s="1193" t="s">
        <v>368</v>
      </c>
      <c r="AG73" s="1193">
        <v>1</v>
      </c>
      <c r="AH73" s="1193">
        <v>2</v>
      </c>
      <c r="AI73" s="1193">
        <v>0</v>
      </c>
      <c r="AJ73" s="1193">
        <f>VLOOKUP($I73,'Price List, Weapons &amp; Items'!B:F,5,0)</f>
        <v>0</v>
      </c>
      <c r="AK73" s="1193">
        <f t="shared" si="28"/>
        <v>0</v>
      </c>
      <c r="AL73" s="1193">
        <f t="shared" si="29"/>
        <v>0</v>
      </c>
      <c r="AM73" s="1193">
        <f t="shared" si="30"/>
        <v>0</v>
      </c>
      <c r="AN73" s="1194" t="str">
        <f>VLOOKUP($I73,'Price List, Weapons &amp; Items'!B:L,COLUMN('Price List, Weapons &amp; Items'!$J$11)-1,0)</f>
        <v>Online marketplaces and stores</v>
      </c>
      <c r="AO73" s="1194" t="str">
        <f>IF(I73=".",".",VLOOKUP($I73,'Price List, Weapons &amp; Items'!B:J,3,0))</f>
        <v>Military equipment</v>
      </c>
      <c r="AP73" s="1195" t="str">
        <f t="shared" ca="1" si="24"/>
        <v/>
      </c>
      <c r="AQ73" s="1194">
        <f>VLOOKUP($I73,'Price List, Weapons &amp; Items'!B:L,COLUMN('Price List, Weapons &amp; Items'!$L$11)-1,0)</f>
        <v>1</v>
      </c>
      <c r="AR73" s="1194">
        <f t="shared" si="31"/>
        <v>1</v>
      </c>
      <c r="AS73" s="1194">
        <f t="shared" si="32"/>
        <v>1</v>
      </c>
      <c r="AT73" s="1194">
        <f t="shared" si="33"/>
        <v>1</v>
      </c>
      <c r="AU73" s="1194" t="str">
        <f t="shared" si="34"/>
        <v>.</v>
      </c>
      <c r="AV73" s="1194" t="str">
        <f t="shared" si="25"/>
        <v>.</v>
      </c>
      <c r="AW73" s="1194" t="str">
        <f t="shared" si="35"/>
        <v>.</v>
      </c>
      <c r="AX73" s="1194">
        <f>IFERROR(VLOOKUP(B73,'Share, Heavy Weapons to Ukraine'!B:Z,COLUMN('Share, Heavy Weapons to Ukraine'!C83)-1,0),0)</f>
        <v>0</v>
      </c>
      <c r="AY73" s="1194">
        <f>VLOOKUP('Bilateral Assistance, MAIN DATA'!B73,'Country Summary (€)'!B:F,COLUMN('Country Summary (€)'!C84)-1,FALSE)</f>
        <v>1</v>
      </c>
      <c r="AZ73" s="1194" t="str">
        <f>IF(AND(AD73=1,D73="Military",H73&lt;&gt;"Not given")=TRUE,IF(SUMIFS(P:P,A:A,A73)&gt;0,ABS((SUMIFS(P:P,A:A,A73)/VLOOKUP("USD",'Exchange Rates'!B:C,2,0)))/S73,"."),".")</f>
        <v>.</v>
      </c>
      <c r="BA73" s="1196" t="str">
        <f>IF(AND(AD73=1,D73="Military",H73&lt;&gt;"Not given")=TRUE,IF(SUMIFS(P:P,A:A,A73)&gt;0,IF((ABS((SUMIFS(P:P,A:A,A73)/VLOOKUP("USD",'Exchange Rates'!B:C,2,0)))/S73)&gt;1,(SUMIFS(P:P,A:A,A73)-S73)/S73,(S73-SUMIFS(P:P,A:A,A73))/SUMIFS(P:P,A:A,A73)),"."),".")</f>
        <v>.</v>
      </c>
    </row>
    <row r="74" spans="1:53" ht="15.95" customHeight="1">
      <c r="A74" s="1182" t="s">
        <v>585</v>
      </c>
      <c r="B74" s="1182" t="s">
        <v>558</v>
      </c>
      <c r="C74" s="1181">
        <v>44619</v>
      </c>
      <c r="D74" s="1182" t="s">
        <v>389</v>
      </c>
      <c r="E74" s="1208" t="s">
        <v>390</v>
      </c>
      <c r="F74" s="1183" t="s">
        <v>586</v>
      </c>
      <c r="G74" s="1184" t="s">
        <v>483</v>
      </c>
      <c r="H74" s="1185">
        <v>76000000</v>
      </c>
      <c r="I74" s="1180" t="s">
        <v>596</v>
      </c>
      <c r="J74" s="1186" t="str">
        <f>VLOOKUP($I74,'Price List, Weapons &amp; Items'!B:C,2,0)</f>
        <v>Military equipment</v>
      </c>
      <c r="K74" s="1186" t="str">
        <f>IF(I74=".",I74,VLOOKUP($I74,'Price List, Weapons &amp; Items'!B:D,3,0))</f>
        <v>Military equipment</v>
      </c>
      <c r="L74" s="1187">
        <f>VLOOKUP(I74,'Price List, Weapons &amp; Items'!B:E,4,0)</f>
        <v>0</v>
      </c>
      <c r="M74" s="1188">
        <v>67</v>
      </c>
      <c r="N74" s="1188">
        <v>67</v>
      </c>
      <c r="O74" s="1188">
        <f>VLOOKUP($I74,'Price List, Weapons &amp; Items'!B:G,6,0)</f>
        <v>22216</v>
      </c>
      <c r="P74" s="1185">
        <f t="shared" si="26"/>
        <v>1488472</v>
      </c>
      <c r="Q74" s="1185">
        <f t="shared" si="27"/>
        <v>1488472</v>
      </c>
      <c r="R74" s="1185" t="str">
        <f t="shared" si="23"/>
        <v/>
      </c>
      <c r="S74" s="1185" t="str">
        <f>IF(AND(AD74=1,R74&lt;&gt;".")=TRUE,R74/VLOOKUP(G74,'Exchange Rates'!B:C,2,0),IF(R74=".",".",""))</f>
        <v/>
      </c>
      <c r="T74" s="1185" t="str">
        <f>IF(AD74=1,IF(AF74="Value is not given at all",".",IF(AF74="Value is given by the source",S74,IF(AF74="Value is calculated with prices",(IF(SUMIFS(Q:Q,A:A,A74)&gt;0,SUMIFS(Q:Q,A:A,A74),"."))/VLOOKUP("USD",'Exchange Rates'!B:C,2,0),"Error with coding"))),"")</f>
        <v/>
      </c>
      <c r="U74" s="1184" t="s">
        <v>365</v>
      </c>
      <c r="V74" s="980" t="s">
        <v>588</v>
      </c>
      <c r="W74" s="974" t="s">
        <v>589</v>
      </c>
      <c r="X74" s="974" t="s">
        <v>592</v>
      </c>
      <c r="Y74" s="1190" t="s">
        <v>364</v>
      </c>
      <c r="Z74" s="1184">
        <v>0</v>
      </c>
      <c r="AA74" s="1194">
        <v>0</v>
      </c>
      <c r="AB74" s="975" t="s">
        <v>589</v>
      </c>
      <c r="AC74" s="1192" t="str">
        <f>""</f>
        <v/>
      </c>
      <c r="AD74" s="1193">
        <v>0</v>
      </c>
      <c r="AE74" s="1193" t="s">
        <v>368</v>
      </c>
      <c r="AF74" s="1193" t="s">
        <v>368</v>
      </c>
      <c r="AG74" s="1193">
        <v>1</v>
      </c>
      <c r="AH74" s="1193">
        <v>2</v>
      </c>
      <c r="AI74" s="1193">
        <v>0</v>
      </c>
      <c r="AJ74" s="1193">
        <f>VLOOKUP($I74,'Price List, Weapons &amp; Items'!B:F,5,0)</f>
        <v>0</v>
      </c>
      <c r="AK74" s="1193">
        <f t="shared" si="28"/>
        <v>0</v>
      </c>
      <c r="AL74" s="1193">
        <f t="shared" si="29"/>
        <v>0</v>
      </c>
      <c r="AM74" s="1193">
        <f t="shared" si="30"/>
        <v>0</v>
      </c>
      <c r="AN74" s="1194" t="str">
        <f>VLOOKUP($I74,'Price List, Weapons &amp; Items'!B:L,COLUMN('Price List, Weapons &amp; Items'!$J$11)-1,0)</f>
        <v>Government information</v>
      </c>
      <c r="AO74" s="1194" t="str">
        <f>IF(I74=".",".",VLOOKUP($I74,'Price List, Weapons &amp; Items'!B:J,3,0))</f>
        <v>Military equipment</v>
      </c>
      <c r="AP74" s="1195" t="str">
        <f t="shared" ca="1" si="24"/>
        <v/>
      </c>
      <c r="AQ74" s="1194">
        <f>VLOOKUP($I74,'Price List, Weapons &amp; Items'!B:L,COLUMN('Price List, Weapons &amp; Items'!$L$11)-1,0)</f>
        <v>2</v>
      </c>
      <c r="AR74" s="1194">
        <f t="shared" si="31"/>
        <v>1</v>
      </c>
      <c r="AS74" s="1194">
        <f t="shared" si="32"/>
        <v>1</v>
      </c>
      <c r="AT74" s="1194">
        <f t="shared" si="33"/>
        <v>1</v>
      </c>
      <c r="AU74" s="1194" t="str">
        <f t="shared" si="34"/>
        <v>.</v>
      </c>
      <c r="AV74" s="1194" t="str">
        <f t="shared" si="25"/>
        <v>.</v>
      </c>
      <c r="AW74" s="1194" t="str">
        <f t="shared" si="35"/>
        <v>.</v>
      </c>
      <c r="AX74" s="1194">
        <f>IFERROR(VLOOKUP(B74,'Share, Heavy Weapons to Ukraine'!B:Z,COLUMN('Share, Heavy Weapons to Ukraine'!C84)-1,0),0)</f>
        <v>0</v>
      </c>
      <c r="AY74" s="1194">
        <f>VLOOKUP('Bilateral Assistance, MAIN DATA'!B74,'Country Summary (€)'!B:F,COLUMN('Country Summary (€)'!C85)-1,FALSE)</f>
        <v>1</v>
      </c>
      <c r="AZ74" s="1194" t="str">
        <f>IF(AND(AD74=1,D74="Military",H74&lt;&gt;"Not given")=TRUE,IF(SUMIFS(P:P,A:A,A74)&gt;0,ABS((SUMIFS(P:P,A:A,A74)/VLOOKUP("USD",'Exchange Rates'!B:C,2,0)))/S74,"."),".")</f>
        <v>.</v>
      </c>
      <c r="BA74" s="1196" t="str">
        <f>IF(AND(AD74=1,D74="Military",H74&lt;&gt;"Not given")=TRUE,IF(SUMIFS(P:P,A:A,A74)&gt;0,IF((ABS((SUMIFS(P:P,A:A,A74)/VLOOKUP("USD",'Exchange Rates'!B:C,2,0)))/S74)&gt;1,(SUMIFS(P:P,A:A,A74)-S74)/S74,(S74-SUMIFS(P:P,A:A,A74))/SUMIFS(P:P,A:A,A74)),"."),".")</f>
        <v>.</v>
      </c>
    </row>
    <row r="75" spans="1:53" ht="15.95" customHeight="1">
      <c r="A75" s="1182" t="s">
        <v>585</v>
      </c>
      <c r="B75" s="1182" t="s">
        <v>558</v>
      </c>
      <c r="C75" s="1181">
        <v>44619</v>
      </c>
      <c r="D75" s="1182" t="s">
        <v>389</v>
      </c>
      <c r="E75" s="1208" t="s">
        <v>390</v>
      </c>
      <c r="F75" s="1183" t="s">
        <v>586</v>
      </c>
      <c r="G75" s="1184" t="s">
        <v>483</v>
      </c>
      <c r="H75" s="1185">
        <v>76000000</v>
      </c>
      <c r="I75" s="1180" t="s">
        <v>591</v>
      </c>
      <c r="J75" s="1186" t="str">
        <f>VLOOKUP($I75,'Price List, Weapons &amp; Items'!B:C,2,0)</f>
        <v>Military equipment</v>
      </c>
      <c r="K75" s="1186" t="str">
        <f>IF(I75=".",I75,VLOOKUP($I75,'Price List, Weapons &amp; Items'!B:D,3,0))</f>
        <v>Military equipment</v>
      </c>
      <c r="L75" s="1187">
        <f>VLOOKUP(I75,'Price List, Weapons &amp; Items'!B:E,4,0)</f>
        <v>0</v>
      </c>
      <c r="M75" s="1188">
        <v>35000</v>
      </c>
      <c r="N75" s="1188">
        <v>35000</v>
      </c>
      <c r="O75" s="1188">
        <f>VLOOKUP($I75,'Price List, Weapons &amp; Items'!B:G,6,0)</f>
        <v>1612.5</v>
      </c>
      <c r="P75" s="1185">
        <f t="shared" si="26"/>
        <v>56437500</v>
      </c>
      <c r="Q75" s="1185">
        <f t="shared" si="27"/>
        <v>56437500</v>
      </c>
      <c r="R75" s="1185" t="str">
        <f t="shared" si="23"/>
        <v/>
      </c>
      <c r="S75" s="1185" t="str">
        <f>IF(AND(AD75=1,R75&lt;&gt;".")=TRUE,R75/VLOOKUP(G75,'Exchange Rates'!B:C,2,0),IF(R75=".",".",""))</f>
        <v/>
      </c>
      <c r="T75" s="1185" t="str">
        <f>IF(AD75=1,IF(AF75="Value is not given at all",".",IF(AF75="Value is given by the source",S75,IF(AF75="Value is calculated with prices",(IF(SUMIFS(Q:Q,A:A,A75)&gt;0,SUMIFS(Q:Q,A:A,A75),"."))/VLOOKUP("USD",'Exchange Rates'!B:C,2,0),"Error with coding"))),"")</f>
        <v/>
      </c>
      <c r="U75" s="1184" t="s">
        <v>365</v>
      </c>
      <c r="V75" s="980" t="s">
        <v>588</v>
      </c>
      <c r="W75" s="974" t="s">
        <v>589</v>
      </c>
      <c r="X75" s="974" t="s">
        <v>592</v>
      </c>
      <c r="Y75" s="1190" t="s">
        <v>364</v>
      </c>
      <c r="Z75" s="1184">
        <v>0</v>
      </c>
      <c r="AA75" s="1194">
        <v>0</v>
      </c>
      <c r="AB75" s="975" t="s">
        <v>589</v>
      </c>
      <c r="AC75" s="1192" t="str">
        <f>""</f>
        <v/>
      </c>
      <c r="AD75" s="1193">
        <v>0</v>
      </c>
      <c r="AE75" s="1193" t="s">
        <v>368</v>
      </c>
      <c r="AF75" s="1193" t="s">
        <v>368</v>
      </c>
      <c r="AG75" s="1193">
        <v>1</v>
      </c>
      <c r="AH75" s="1193">
        <v>2</v>
      </c>
      <c r="AI75" s="1193">
        <v>0</v>
      </c>
      <c r="AJ75" s="1193">
        <f>VLOOKUP($I75,'Price List, Weapons &amp; Items'!B:F,5,0)</f>
        <v>0</v>
      </c>
      <c r="AK75" s="1193">
        <f t="shared" si="28"/>
        <v>0</v>
      </c>
      <c r="AL75" s="1193">
        <f t="shared" si="29"/>
        <v>0</v>
      </c>
      <c r="AM75" s="1193">
        <f t="shared" si="30"/>
        <v>0</v>
      </c>
      <c r="AN75" s="1194" t="str">
        <f>VLOOKUP($I75,'Price List, Weapons &amp; Items'!B:L,COLUMN('Price List, Weapons &amp; Items'!$J$11)-1,0)</f>
        <v>Miscellaneous</v>
      </c>
      <c r="AO75" s="1194" t="str">
        <f>IF(I75=".",".",VLOOKUP($I75,'Price List, Weapons &amp; Items'!B:J,3,0))</f>
        <v>Military equipment</v>
      </c>
      <c r="AP75" s="1195" t="str">
        <f t="shared" ca="1" si="24"/>
        <v/>
      </c>
      <c r="AQ75" s="1194">
        <f>VLOOKUP($I75,'Price List, Weapons &amp; Items'!B:L,COLUMN('Price List, Weapons &amp; Items'!$L$11)-1,0)</f>
        <v>2</v>
      </c>
      <c r="AR75" s="1194">
        <f t="shared" si="31"/>
        <v>1</v>
      </c>
      <c r="AS75" s="1194">
        <f t="shared" si="32"/>
        <v>1</v>
      </c>
      <c r="AT75" s="1194">
        <f t="shared" si="33"/>
        <v>1</v>
      </c>
      <c r="AU75" s="1194" t="str">
        <f t="shared" si="34"/>
        <v>.</v>
      </c>
      <c r="AV75" s="1194" t="str">
        <f t="shared" si="25"/>
        <v>.</v>
      </c>
      <c r="AW75" s="1194" t="str">
        <f t="shared" si="35"/>
        <v>.</v>
      </c>
      <c r="AX75" s="1194">
        <f>IFERROR(VLOOKUP(B75,'Share, Heavy Weapons to Ukraine'!B:Z,COLUMN('Share, Heavy Weapons to Ukraine'!C85)-1,0),0)</f>
        <v>0</v>
      </c>
      <c r="AY75" s="1194">
        <f>VLOOKUP('Bilateral Assistance, MAIN DATA'!B75,'Country Summary (€)'!B:F,COLUMN('Country Summary (€)'!C86)-1,FALSE)</f>
        <v>1</v>
      </c>
      <c r="AZ75" s="1194" t="str">
        <f>IF(AND(AD75=1,D75="Military",H75&lt;&gt;"Not given")=TRUE,IF(SUMIFS(P:P,A:A,A75)&gt;0,ABS((SUMIFS(P:P,A:A,A75)/VLOOKUP("USD",'Exchange Rates'!B:C,2,0)))/S75,"."),".")</f>
        <v>.</v>
      </c>
      <c r="BA75" s="1196" t="str">
        <f>IF(AND(AD75=1,D75="Military",H75&lt;&gt;"Not given")=TRUE,IF(SUMIFS(P:P,A:A,A75)&gt;0,IF((ABS((SUMIFS(P:P,A:A,A75)/VLOOKUP("USD",'Exchange Rates'!B:C,2,0)))/S75)&gt;1,(SUMIFS(P:P,A:A,A75)-S75)/S75,(S75-SUMIFS(P:P,A:A,A75))/SUMIFS(P:P,A:A,A75)),"."),".")</f>
        <v>.</v>
      </c>
    </row>
    <row r="76" spans="1:53" ht="15.95" customHeight="1">
      <c r="A76" s="1182" t="s">
        <v>597</v>
      </c>
      <c r="B76" s="1182" t="s">
        <v>558</v>
      </c>
      <c r="C76" s="1181">
        <v>44642</v>
      </c>
      <c r="D76" s="1182" t="s">
        <v>389</v>
      </c>
      <c r="E76" s="1208" t="s">
        <v>390</v>
      </c>
      <c r="F76" s="1183" t="s">
        <v>598</v>
      </c>
      <c r="G76" s="1184" t="s">
        <v>483</v>
      </c>
      <c r="H76" s="1185">
        <v>11000000</v>
      </c>
      <c r="I76" s="1180" t="s">
        <v>599</v>
      </c>
      <c r="J76" s="1186" t="str">
        <f>VLOOKUP($I76,'Price List, Weapons &amp; Items'!B:C,2,0)</f>
        <v>Humanitarian</v>
      </c>
      <c r="K76" s="1186" t="str">
        <f>IF(I76=".",I76,VLOOKUP($I76,'Price List, Weapons &amp; Items'!B:D,3,0))</f>
        <v>Humanitarian</v>
      </c>
      <c r="L76" s="1187">
        <f>VLOOKUP(I76,'Price List, Weapons &amp; Items'!B:E,4,0)</f>
        <v>0</v>
      </c>
      <c r="M76" s="1188" t="s">
        <v>374</v>
      </c>
      <c r="N76" s="1188" t="s">
        <v>374</v>
      </c>
      <c r="O76" s="1188">
        <f>VLOOKUP($I76,'Price List, Weapons &amp; Items'!B:G,6,0)</f>
        <v>200</v>
      </c>
      <c r="P76" s="1185" t="str">
        <f t="shared" si="26"/>
        <v>.</v>
      </c>
      <c r="Q76" s="1185" t="str">
        <f t="shared" si="27"/>
        <v>.</v>
      </c>
      <c r="R76" s="1185">
        <f t="shared" si="23"/>
        <v>11000000</v>
      </c>
      <c r="S76" s="1185">
        <f>IF(AND(AD76=1,R76&lt;&gt;".")=TRUE,R76/VLOOKUP(G76,'Exchange Rates'!B:C,2,0),IF(R76=".",".",""))</f>
        <v>11000000</v>
      </c>
      <c r="T76" s="1185">
        <f>IF(AD76=1,IF(AF76="Value is not given at all",".",IF(AF76="Value is given by the source",S76,IF(AF76="Value is calculated with prices",(IF(SUMIFS(Q:Q,A:A,A76)&gt;0,SUMIFS(Q:Q,A:A,A76),"."))/VLOOKUP("USD",'Exchange Rates'!B:C,2,0),"Error with coding"))),"")</f>
        <v>11000000</v>
      </c>
      <c r="U76" s="1184" t="s">
        <v>365</v>
      </c>
      <c r="V76" s="980" t="s">
        <v>588</v>
      </c>
      <c r="W76" s="974" t="s">
        <v>589</v>
      </c>
      <c r="X76" s="971" t="s">
        <v>600</v>
      </c>
      <c r="Y76" s="1190" t="s">
        <v>364</v>
      </c>
      <c r="Z76" s="1184">
        <v>0</v>
      </c>
      <c r="AA76" s="1194">
        <v>0</v>
      </c>
      <c r="AB76" s="975" t="s">
        <v>589</v>
      </c>
      <c r="AC76" s="1192" t="str">
        <f>""</f>
        <v/>
      </c>
      <c r="AD76" s="1193">
        <v>1</v>
      </c>
      <c r="AE76" s="1193" t="s">
        <v>368</v>
      </c>
      <c r="AF76" s="1193" t="s">
        <v>368</v>
      </c>
      <c r="AG76" s="1193">
        <v>1</v>
      </c>
      <c r="AH76" s="1193">
        <v>3</v>
      </c>
      <c r="AI76" s="1193">
        <v>0</v>
      </c>
      <c r="AJ76" s="1193">
        <f>VLOOKUP($I76,'Price List, Weapons &amp; Items'!B:F,5,0)</f>
        <v>0</v>
      </c>
      <c r="AK76" s="1193">
        <f t="shared" si="28"/>
        <v>0</v>
      </c>
      <c r="AL76" s="1193">
        <f t="shared" si="29"/>
        <v>0</v>
      </c>
      <c r="AM76" s="1193">
        <f t="shared" si="30"/>
        <v>0</v>
      </c>
      <c r="AN76" s="1194" t="str">
        <f>VLOOKUP($I76,'Price List, Weapons &amp; Items'!B:L,COLUMN('Price List, Weapons &amp; Items'!$J$11)-1,0)</f>
        <v>Online marketplaces and stores</v>
      </c>
      <c r="AO76" s="1194" t="str">
        <f>IF(I76=".",".",VLOOKUP($I76,'Price List, Weapons &amp; Items'!B:J,3,0))</f>
        <v>Humanitarian</v>
      </c>
      <c r="AP76" s="1195" t="str">
        <f t="shared" ca="1" si="24"/>
        <v>bed</v>
      </c>
      <c r="AQ76" s="1194">
        <f>VLOOKUP($I76,'Price List, Weapons &amp; Items'!B:L,COLUMN('Price List, Weapons &amp; Items'!$L$11)-1,0)</f>
        <v>0</v>
      </c>
      <c r="AR76" s="1194">
        <f t="shared" si="31"/>
        <v>1</v>
      </c>
      <c r="AS76" s="1194">
        <f t="shared" si="32"/>
        <v>1</v>
      </c>
      <c r="AT76" s="1194">
        <f t="shared" si="33"/>
        <v>1</v>
      </c>
      <c r="AU76" s="1194" t="str">
        <f t="shared" si="34"/>
        <v>.</v>
      </c>
      <c r="AV76" s="1194" t="str">
        <f t="shared" si="25"/>
        <v>.</v>
      </c>
      <c r="AW76" s="1194" t="str">
        <f t="shared" si="35"/>
        <v>.</v>
      </c>
      <c r="AX76" s="1194">
        <f>IFERROR(VLOOKUP(B76,'Share, Heavy Weapons to Ukraine'!B:Z,COLUMN('Share, Heavy Weapons to Ukraine'!C86)-1,0),0)</f>
        <v>0</v>
      </c>
      <c r="AY76" s="1194">
        <f>VLOOKUP('Bilateral Assistance, MAIN DATA'!B76,'Country Summary (€)'!B:F,COLUMN('Country Summary (€)'!C87)-1,FALSE)</f>
        <v>1</v>
      </c>
      <c r="AZ76" s="1194" t="str">
        <f>IF(AND(AD76=1,D76="Military",H76&lt;&gt;"Not given")=TRUE,IF(SUMIFS(P:P,A:A,A76)&gt;0,ABS((SUMIFS(P:P,A:A,A76)/VLOOKUP("USD",'Exchange Rates'!B:C,2,0)))/S76,"."),".")</f>
        <v>.</v>
      </c>
      <c r="BA76" s="1196" t="str">
        <f>IF(AND(AD76=1,D76="Military",H76&lt;&gt;"Not given")=TRUE,IF(SUMIFS(P:P,A:A,A76)&gt;0,IF((ABS((SUMIFS(P:P,A:A,A76)/VLOOKUP("USD",'Exchange Rates'!B:C,2,0)))/S76)&gt;1,(SUMIFS(P:P,A:A,A76)-S76)/S76,(S76-SUMIFS(P:P,A:A,A76))/SUMIFS(P:P,A:A,A76)),"."),".")</f>
        <v>.</v>
      </c>
    </row>
    <row r="77" spans="1:53" ht="15.95" customHeight="1">
      <c r="A77" s="1182" t="s">
        <v>597</v>
      </c>
      <c r="B77" s="1182" t="s">
        <v>558</v>
      </c>
      <c r="C77" s="1181">
        <v>44642</v>
      </c>
      <c r="D77" s="1182" t="s">
        <v>389</v>
      </c>
      <c r="E77" s="1208" t="s">
        <v>390</v>
      </c>
      <c r="F77" s="1183" t="s">
        <v>598</v>
      </c>
      <c r="G77" s="1184" t="s">
        <v>483</v>
      </c>
      <c r="H77" s="1185">
        <v>11000000</v>
      </c>
      <c r="I77" s="1180" t="s">
        <v>601</v>
      </c>
      <c r="J77" s="1186" t="str">
        <f>VLOOKUP($I77,'Price List, Weapons &amp; Items'!B:C,2,0)</f>
        <v>Humanitarian</v>
      </c>
      <c r="K77" s="1186" t="str">
        <f>IF(I77=".",I77,VLOOKUP($I77,'Price List, Weapons &amp; Items'!B:D,3,0))</f>
        <v>Humanitarian</v>
      </c>
      <c r="L77" s="1187">
        <f>VLOOKUP(I77,'Price List, Weapons &amp; Items'!B:E,4,0)</f>
        <v>0</v>
      </c>
      <c r="M77" s="1188" t="s">
        <v>374</v>
      </c>
      <c r="N77" s="1188" t="s">
        <v>374</v>
      </c>
      <c r="O77" s="1188">
        <f>VLOOKUP($I77,'Price List, Weapons &amp; Items'!B:G,6,0)</f>
        <v>300</v>
      </c>
      <c r="P77" s="1185" t="str">
        <f t="shared" si="26"/>
        <v>.</v>
      </c>
      <c r="Q77" s="1185" t="str">
        <f t="shared" si="27"/>
        <v>.</v>
      </c>
      <c r="R77" s="1185" t="str">
        <f t="shared" si="23"/>
        <v/>
      </c>
      <c r="S77" s="1185" t="str">
        <f>IF(AND(AD77=1,R77&lt;&gt;".")=TRUE,R77/VLOOKUP(G77,'Exchange Rates'!B:C,2,0),IF(R77=".",".",""))</f>
        <v/>
      </c>
      <c r="T77" s="1185" t="str">
        <f>IF(AD77=1,IF(AF77="Value is not given at all",".",IF(AF77="Value is given by the source",S77,IF(AF77="Value is calculated with prices",(IF(SUMIFS(Q:Q,A:A,A77)&gt;0,SUMIFS(Q:Q,A:A,A77),"."))/VLOOKUP("USD",'Exchange Rates'!B:C,2,0),"Error with coding"))),"")</f>
        <v/>
      </c>
      <c r="U77" s="1184" t="s">
        <v>365</v>
      </c>
      <c r="V77" s="980" t="s">
        <v>588</v>
      </c>
      <c r="W77" s="974" t="s">
        <v>589</v>
      </c>
      <c r="X77" s="971" t="s">
        <v>600</v>
      </c>
      <c r="Y77" s="1190" t="s">
        <v>364</v>
      </c>
      <c r="Z77" s="1184">
        <v>0</v>
      </c>
      <c r="AA77" s="1194">
        <v>0</v>
      </c>
      <c r="AB77" s="975" t="s">
        <v>589</v>
      </c>
      <c r="AC77" s="1192" t="str">
        <f>""</f>
        <v/>
      </c>
      <c r="AD77" s="1193">
        <v>0</v>
      </c>
      <c r="AE77" s="1193" t="s">
        <v>368</v>
      </c>
      <c r="AF77" s="1193" t="s">
        <v>368</v>
      </c>
      <c r="AG77" s="1193">
        <v>1</v>
      </c>
      <c r="AH77" s="1193">
        <v>3</v>
      </c>
      <c r="AI77" s="1193">
        <v>0</v>
      </c>
      <c r="AJ77" s="1193">
        <f>VLOOKUP($I77,'Price List, Weapons &amp; Items'!B:F,5,0)</f>
        <v>0</v>
      </c>
      <c r="AK77" s="1193">
        <f t="shared" si="28"/>
        <v>0</v>
      </c>
      <c r="AL77" s="1193">
        <f t="shared" si="29"/>
        <v>0</v>
      </c>
      <c r="AM77" s="1193">
        <f t="shared" si="30"/>
        <v>0</v>
      </c>
      <c r="AN77" s="1194" t="str">
        <f>VLOOKUP($I77,'Price List, Weapons &amp; Items'!B:L,COLUMN('Price List, Weapons &amp; Items'!$J$11)-1,0)</f>
        <v>Miscellaneous</v>
      </c>
      <c r="AO77" s="1194" t="str">
        <f>IF(I77=".",".",VLOOKUP($I77,'Price List, Weapons &amp; Items'!B:J,3,0))</f>
        <v>Humanitarian</v>
      </c>
      <c r="AP77" s="1195" t="str">
        <f t="shared" ca="1" si="24"/>
        <v/>
      </c>
      <c r="AQ77" s="1194">
        <f>VLOOKUP($I77,'Price List, Weapons &amp; Items'!B:L,COLUMN('Price List, Weapons &amp; Items'!$L$11)-1,0)</f>
        <v>0</v>
      </c>
      <c r="AR77" s="1194">
        <f t="shared" si="31"/>
        <v>1</v>
      </c>
      <c r="AS77" s="1194">
        <f t="shared" si="32"/>
        <v>1</v>
      </c>
      <c r="AT77" s="1194">
        <f t="shared" si="33"/>
        <v>1</v>
      </c>
      <c r="AU77" s="1194" t="str">
        <f t="shared" si="34"/>
        <v>.</v>
      </c>
      <c r="AV77" s="1194" t="str">
        <f t="shared" si="25"/>
        <v>.</v>
      </c>
      <c r="AW77" s="1194" t="str">
        <f t="shared" si="35"/>
        <v>.</v>
      </c>
      <c r="AX77" s="1194">
        <f>IFERROR(VLOOKUP(B77,'Share, Heavy Weapons to Ukraine'!B:Z,COLUMN('Share, Heavy Weapons to Ukraine'!C87)-1,0),0)</f>
        <v>0</v>
      </c>
      <c r="AY77" s="1194">
        <f>VLOOKUP('Bilateral Assistance, MAIN DATA'!B77,'Country Summary (€)'!B:F,COLUMN('Country Summary (€)'!C88)-1,FALSE)</f>
        <v>1</v>
      </c>
      <c r="AZ77" s="1194" t="str">
        <f>IF(AND(AD77=1,D77="Military",H77&lt;&gt;"Not given")=TRUE,IF(SUMIFS(P:P,A:A,A77)&gt;0,ABS((SUMIFS(P:P,A:A,A77)/VLOOKUP("USD",'Exchange Rates'!B:C,2,0)))/S77,"."),".")</f>
        <v>.</v>
      </c>
      <c r="BA77" s="1196" t="str">
        <f>IF(AND(AD77=1,D77="Military",H77&lt;&gt;"Not given")=TRUE,IF(SUMIFS(P:P,A:A,A77)&gt;0,IF((ABS((SUMIFS(P:P,A:A,A77)/VLOOKUP("USD",'Exchange Rates'!B:C,2,0)))/S77)&gt;1,(SUMIFS(P:P,A:A,A77)-S77)/S77,(S77-SUMIFS(P:P,A:A,A77))/SUMIFS(P:P,A:A,A77)),"."),".")</f>
        <v>.</v>
      </c>
    </row>
    <row r="78" spans="1:53" ht="15.95" customHeight="1">
      <c r="A78" s="1182" t="s">
        <v>597</v>
      </c>
      <c r="B78" s="1182" t="s">
        <v>558</v>
      </c>
      <c r="C78" s="1181">
        <v>44642</v>
      </c>
      <c r="D78" s="1182" t="s">
        <v>389</v>
      </c>
      <c r="E78" s="1208" t="s">
        <v>390</v>
      </c>
      <c r="F78" s="1183" t="s">
        <v>598</v>
      </c>
      <c r="G78" s="1184" t="s">
        <v>483</v>
      </c>
      <c r="H78" s="1185">
        <v>11000000</v>
      </c>
      <c r="I78" s="1180" t="s">
        <v>602</v>
      </c>
      <c r="J78" s="1186" t="str">
        <f>VLOOKUP($I78,'Price List, Weapons &amp; Items'!B:C,2,0)</f>
        <v>Ammunition</v>
      </c>
      <c r="K78" s="1186" t="str">
        <f>IF(I78=".",I78,VLOOKUP($I78,'Price List, Weapons &amp; Items'!B:D,3,0))</f>
        <v>Military equipment</v>
      </c>
      <c r="L78" s="1187">
        <f>VLOOKUP(I78,'Price List, Weapons &amp; Items'!B:E,4,0)</f>
        <v>0</v>
      </c>
      <c r="M78" s="1188" t="s">
        <v>374</v>
      </c>
      <c r="N78" s="1188" t="s">
        <v>374</v>
      </c>
      <c r="O78" s="1188" t="str">
        <f>VLOOKUP($I78,'Price List, Weapons &amp; Items'!B:G,6,0)</f>
        <v>.</v>
      </c>
      <c r="P78" s="1185" t="str">
        <f t="shared" si="26"/>
        <v>.</v>
      </c>
      <c r="Q78" s="1185" t="str">
        <f t="shared" si="27"/>
        <v>.</v>
      </c>
      <c r="R78" s="1185" t="str">
        <f t="shared" si="23"/>
        <v/>
      </c>
      <c r="S78" s="1185" t="str">
        <f>IF(AND(AD78=1,R78&lt;&gt;".")=TRUE,R78/VLOOKUP(G78,'Exchange Rates'!B:C,2,0),IF(R78=".",".",""))</f>
        <v/>
      </c>
      <c r="T78" s="1185" t="str">
        <f>IF(AD78=1,IF(AF78="Value is not given at all",".",IF(AF78="Value is given by the source",S78,IF(AF78="Value is calculated with prices",(IF(SUMIFS(Q:Q,A:A,A78)&gt;0,SUMIFS(Q:Q,A:A,A78),"."))/VLOOKUP("USD",'Exchange Rates'!B:C,2,0),"Error with coding"))),"")</f>
        <v/>
      </c>
      <c r="U78" s="1184" t="s">
        <v>365</v>
      </c>
      <c r="V78" s="980" t="s">
        <v>588</v>
      </c>
      <c r="W78" s="974" t="s">
        <v>589</v>
      </c>
      <c r="X78" s="971" t="s">
        <v>600</v>
      </c>
      <c r="Y78" s="1190" t="s">
        <v>364</v>
      </c>
      <c r="Z78" s="1184">
        <v>0</v>
      </c>
      <c r="AA78" s="1194">
        <v>0</v>
      </c>
      <c r="AB78" s="975" t="s">
        <v>589</v>
      </c>
      <c r="AC78" s="1192" t="str">
        <f>""</f>
        <v/>
      </c>
      <c r="AD78" s="1193">
        <v>0</v>
      </c>
      <c r="AE78" s="1193" t="s">
        <v>368</v>
      </c>
      <c r="AF78" s="1193" t="s">
        <v>368</v>
      </c>
      <c r="AG78" s="1193">
        <v>1</v>
      </c>
      <c r="AH78" s="1193">
        <v>3</v>
      </c>
      <c r="AI78" s="1193">
        <v>0</v>
      </c>
      <c r="AJ78" s="1193">
        <f>VLOOKUP($I78,'Price List, Weapons &amp; Items'!B:F,5,0)</f>
        <v>0</v>
      </c>
      <c r="AK78" s="1193">
        <f t="shared" si="28"/>
        <v>0</v>
      </c>
      <c r="AL78" s="1193">
        <f t="shared" si="29"/>
        <v>0</v>
      </c>
      <c r="AM78" s="1193">
        <f t="shared" si="30"/>
        <v>1</v>
      </c>
      <c r="AN78" s="1194" t="str">
        <f>VLOOKUP($I78,'Price List, Weapons &amp; Items'!B:L,COLUMN('Price List, Weapons &amp; Items'!$J$11)-1,0)</f>
        <v>.</v>
      </c>
      <c r="AO78" s="1194" t="str">
        <f>IF(I78=".",".",VLOOKUP($I78,'Price List, Weapons &amp; Items'!B:J,3,0))</f>
        <v>Military equipment</v>
      </c>
      <c r="AP78" s="1195" t="str">
        <f t="shared" ca="1" si="24"/>
        <v/>
      </c>
      <c r="AQ78" s="1194">
        <f>VLOOKUP($I78,'Price List, Weapons &amp; Items'!B:L,COLUMN('Price List, Weapons &amp; Items'!$L$11)-1,0)</f>
        <v>0</v>
      </c>
      <c r="AR78" s="1194">
        <f t="shared" si="31"/>
        <v>1</v>
      </c>
      <c r="AS78" s="1194">
        <f t="shared" si="32"/>
        <v>1</v>
      </c>
      <c r="AT78" s="1194">
        <f t="shared" si="33"/>
        <v>1</v>
      </c>
      <c r="AU78" s="1194" t="str">
        <f t="shared" si="34"/>
        <v>.</v>
      </c>
      <c r="AV78" s="1194" t="str">
        <f t="shared" si="25"/>
        <v>.</v>
      </c>
      <c r="AW78" s="1194" t="str">
        <f t="shared" si="35"/>
        <v>.</v>
      </c>
      <c r="AX78" s="1194">
        <f>IFERROR(VLOOKUP(B78,'Share, Heavy Weapons to Ukraine'!B:Z,COLUMN('Share, Heavy Weapons to Ukraine'!C88)-1,0),0)</f>
        <v>0</v>
      </c>
      <c r="AY78" s="1194">
        <f>VLOOKUP('Bilateral Assistance, MAIN DATA'!B78,'Country Summary (€)'!B:F,COLUMN('Country Summary (€)'!C89)-1,FALSE)</f>
        <v>1</v>
      </c>
      <c r="AZ78" s="1194" t="str">
        <f>IF(AND(AD78=1,D78="Military",H78&lt;&gt;"Not given")=TRUE,IF(SUMIFS(P:P,A:A,A78)&gt;0,ABS((SUMIFS(P:P,A:A,A78)/VLOOKUP("USD",'Exchange Rates'!B:C,2,0)))/S78,"."),".")</f>
        <v>.</v>
      </c>
      <c r="BA78" s="1196" t="str">
        <f>IF(AND(AD78=1,D78="Military",H78&lt;&gt;"Not given")=TRUE,IF(SUMIFS(P:P,A:A,A78)&gt;0,IF((ABS((SUMIFS(P:P,A:A,A78)/VLOOKUP("USD",'Exchange Rates'!B:C,2,0)))/S78)&gt;1,(SUMIFS(P:P,A:A,A78)-S78)/S78,(S78-SUMIFS(P:P,A:A,A78))/SUMIFS(P:P,A:A,A78)),"."),".")</f>
        <v>.</v>
      </c>
    </row>
    <row r="79" spans="1:53" ht="15.95" customHeight="1">
      <c r="A79" s="1182" t="s">
        <v>597</v>
      </c>
      <c r="B79" s="1182" t="s">
        <v>558</v>
      </c>
      <c r="C79" s="1181">
        <v>44642</v>
      </c>
      <c r="D79" s="1182" t="s">
        <v>389</v>
      </c>
      <c r="E79" s="1208" t="s">
        <v>390</v>
      </c>
      <c r="F79" s="1183" t="s">
        <v>598</v>
      </c>
      <c r="G79" s="1184" t="s">
        <v>483</v>
      </c>
      <c r="H79" s="1185">
        <v>11000000</v>
      </c>
      <c r="I79" s="1180" t="s">
        <v>603</v>
      </c>
      <c r="J79" s="1186" t="str">
        <f>VLOOKUP($I79,'Price List, Weapons &amp; Items'!B:C,2,0)</f>
        <v>Light armaments &amp; infantry</v>
      </c>
      <c r="K79" s="1186" t="str">
        <f>IF(I79=".",I79,VLOOKUP($I79,'Price List, Weapons &amp; Items'!B:D,3,0))</f>
        <v>Small Arms and Light Weapons (SALW)</v>
      </c>
      <c r="L79" s="1187">
        <f>VLOOKUP(I79,'Price List, Weapons &amp; Items'!B:E,4,0)</f>
        <v>0</v>
      </c>
      <c r="M79" s="1188" t="s">
        <v>374</v>
      </c>
      <c r="N79" s="1188" t="s">
        <v>374</v>
      </c>
      <c r="O79" s="1188">
        <f>VLOOKUP($I79,'Price List, Weapons &amp; Items'!B:G,6,0)</f>
        <v>800</v>
      </c>
      <c r="P79" s="1185" t="str">
        <f t="shared" si="26"/>
        <v>.</v>
      </c>
      <c r="Q79" s="1185" t="str">
        <f t="shared" si="27"/>
        <v>.</v>
      </c>
      <c r="R79" s="1185" t="str">
        <f t="shared" si="23"/>
        <v/>
      </c>
      <c r="S79" s="1185" t="str">
        <f>IF(AND(AD79=1,R79&lt;&gt;".")=TRUE,R79/VLOOKUP(G79,'Exchange Rates'!B:C,2,0),IF(R79=".",".",""))</f>
        <v/>
      </c>
      <c r="T79" s="1185" t="str">
        <f>IF(AD79=1,IF(AF79="Value is not given at all",".",IF(AF79="Value is given by the source",S79,IF(AF79="Value is calculated with prices",(IF(SUMIFS(Q:Q,A:A,A79)&gt;0,SUMIFS(Q:Q,A:A,A79),"."))/VLOOKUP("USD",'Exchange Rates'!B:C,2,0),"Error with coding"))),"")</f>
        <v/>
      </c>
      <c r="U79" s="1184" t="s">
        <v>365</v>
      </c>
      <c r="V79" s="980" t="s">
        <v>588</v>
      </c>
      <c r="W79" s="974" t="s">
        <v>589</v>
      </c>
      <c r="X79" s="971" t="s">
        <v>600</v>
      </c>
      <c r="Y79" s="1196" t="s">
        <v>364</v>
      </c>
      <c r="Z79" s="1184">
        <v>0</v>
      </c>
      <c r="AA79" s="1194">
        <v>0</v>
      </c>
      <c r="AB79" s="975" t="s">
        <v>589</v>
      </c>
      <c r="AC79" s="1192" t="str">
        <f>""</f>
        <v/>
      </c>
      <c r="AD79" s="1193">
        <v>0</v>
      </c>
      <c r="AE79" s="1193" t="s">
        <v>368</v>
      </c>
      <c r="AF79" s="1193" t="s">
        <v>368</v>
      </c>
      <c r="AG79" s="1193">
        <v>1</v>
      </c>
      <c r="AH79" s="1193">
        <v>3</v>
      </c>
      <c r="AI79" s="1193">
        <v>0</v>
      </c>
      <c r="AJ79" s="1193">
        <f>VLOOKUP($I79,'Price List, Weapons &amp; Items'!B:F,5,0)</f>
        <v>0</v>
      </c>
      <c r="AK79" s="1193">
        <f t="shared" si="28"/>
        <v>0</v>
      </c>
      <c r="AL79" s="1193">
        <f t="shared" si="29"/>
        <v>0</v>
      </c>
      <c r="AM79" s="1193">
        <f t="shared" si="30"/>
        <v>0</v>
      </c>
      <c r="AN79" s="1194" t="str">
        <f>VLOOKUP($I79,'Price List, Weapons &amp; Items'!B:L,COLUMN('Price List, Weapons &amp; Items'!$J$11)-1,0)</f>
        <v>Military media (incl. websites)</v>
      </c>
      <c r="AO79" s="1194" t="str">
        <f>IF(I79=".",".",VLOOKUP($I79,'Price List, Weapons &amp; Items'!B:J,3,0))</f>
        <v>Small Arms and Light Weapons (SALW)</v>
      </c>
      <c r="AP79" s="1195" t="str">
        <f t="shared" ca="1" si="24"/>
        <v/>
      </c>
      <c r="AQ79" s="1194" t="str">
        <f>VLOOKUP($I79,'Price List, Weapons &amp; Items'!B:L,COLUMN('Price List, Weapons &amp; Items'!$L$11)-1,0)</f>
        <v>no price, 0 count</v>
      </c>
      <c r="AR79" s="1194">
        <f t="shared" si="31"/>
        <v>1</v>
      </c>
      <c r="AS79" s="1194">
        <f t="shared" si="32"/>
        <v>1</v>
      </c>
      <c r="AT79" s="1194">
        <f t="shared" si="33"/>
        <v>1</v>
      </c>
      <c r="AU79" s="1194" t="str">
        <f t="shared" si="34"/>
        <v>.</v>
      </c>
      <c r="AV79" s="1194" t="str">
        <f t="shared" si="25"/>
        <v>.</v>
      </c>
      <c r="AW79" s="1194" t="str">
        <f t="shared" si="35"/>
        <v>.</v>
      </c>
      <c r="AX79" s="1194">
        <f>IFERROR(VLOOKUP(B79,'Share, Heavy Weapons to Ukraine'!B:Z,COLUMN('Share, Heavy Weapons to Ukraine'!C89)-1,0),0)</f>
        <v>0</v>
      </c>
      <c r="AY79" s="1194">
        <f>VLOOKUP('Bilateral Assistance, MAIN DATA'!B79,'Country Summary (€)'!B:F,COLUMN('Country Summary (€)'!C90)-1,FALSE)</f>
        <v>1</v>
      </c>
      <c r="AZ79" s="1194" t="str">
        <f>IF(AND(AD79=1,D79="Military",H79&lt;&gt;"Not given")=TRUE,IF(SUMIFS(P:P,A:A,A79)&gt;0,ABS((SUMIFS(P:P,A:A,A79)/VLOOKUP("USD",'Exchange Rates'!B:C,2,0)))/S79,"."),".")</f>
        <v>.</v>
      </c>
      <c r="BA79" s="1196" t="str">
        <f>IF(AND(AD79=1,D79="Military",H79&lt;&gt;"Not given")=TRUE,IF(SUMIFS(P:P,A:A,A79)&gt;0,IF((ABS((SUMIFS(P:P,A:A,A79)/VLOOKUP("USD",'Exchange Rates'!B:C,2,0)))/S79)&gt;1,(SUMIFS(P:P,A:A,A79)-S79)/S79,(S79-SUMIFS(P:P,A:A,A79))/SUMIFS(P:P,A:A,A79)),"."),".")</f>
        <v>.</v>
      </c>
    </row>
    <row r="80" spans="1:53" ht="15.95" customHeight="1">
      <c r="A80" s="1182" t="s">
        <v>597</v>
      </c>
      <c r="B80" s="1182" t="s">
        <v>558</v>
      </c>
      <c r="C80" s="1181">
        <v>44642</v>
      </c>
      <c r="D80" s="1182" t="s">
        <v>389</v>
      </c>
      <c r="E80" s="1208" t="s">
        <v>390</v>
      </c>
      <c r="F80" s="1183" t="s">
        <v>598</v>
      </c>
      <c r="G80" s="1184" t="s">
        <v>483</v>
      </c>
      <c r="H80" s="1185">
        <v>11000000</v>
      </c>
      <c r="I80" s="1180" t="s">
        <v>604</v>
      </c>
      <c r="J80" s="1186" t="str">
        <f>VLOOKUP($I80,'Price List, Weapons &amp; Items'!B:C,2,0)</f>
        <v>Military equipment</v>
      </c>
      <c r="K80" s="1186" t="str">
        <f>IF(I80=".",I80,VLOOKUP($I80,'Price List, Weapons &amp; Items'!B:D,3,0))</f>
        <v>Military equipment</v>
      </c>
      <c r="L80" s="1187">
        <f>VLOOKUP(I80,'Price List, Weapons &amp; Items'!B:E,4,0)</f>
        <v>0</v>
      </c>
      <c r="M80" s="1188" t="s">
        <v>374</v>
      </c>
      <c r="N80" s="1188" t="s">
        <v>374</v>
      </c>
      <c r="O80" s="1188">
        <f>VLOOKUP($I80,'Price List, Weapons &amp; Items'!B:G,6,0)</f>
        <v>500</v>
      </c>
      <c r="P80" s="1185" t="str">
        <f t="shared" si="26"/>
        <v>.</v>
      </c>
      <c r="Q80" s="1185" t="str">
        <f t="shared" si="27"/>
        <v>.</v>
      </c>
      <c r="R80" s="1185" t="str">
        <f t="shared" si="23"/>
        <v/>
      </c>
      <c r="S80" s="1185" t="str">
        <f>IF(AND(AD80=1,R80&lt;&gt;".")=TRUE,R80/VLOOKUP(G80,'Exchange Rates'!B:C,2,0),IF(R80=".",".",""))</f>
        <v/>
      </c>
      <c r="T80" s="1185" t="str">
        <f>IF(AD80=1,IF(AF80="Value is not given at all",".",IF(AF80="Value is given by the source",S80,IF(AF80="Value is calculated with prices",(IF(SUMIFS(Q:Q,A:A,A80)&gt;0,SUMIFS(Q:Q,A:A,A80),"."))/VLOOKUP("USD",'Exchange Rates'!B:C,2,0),"Error with coding"))),"")</f>
        <v/>
      </c>
      <c r="U80" s="1184" t="s">
        <v>365</v>
      </c>
      <c r="V80" s="980" t="s">
        <v>588</v>
      </c>
      <c r="W80" s="974" t="s">
        <v>589</v>
      </c>
      <c r="X80" s="971" t="s">
        <v>600</v>
      </c>
      <c r="Y80" s="1196" t="s">
        <v>364</v>
      </c>
      <c r="Z80" s="1184">
        <v>0</v>
      </c>
      <c r="AA80" s="1194">
        <v>0</v>
      </c>
      <c r="AB80" s="975" t="s">
        <v>589</v>
      </c>
      <c r="AC80" s="1192" t="str">
        <f>""</f>
        <v/>
      </c>
      <c r="AD80" s="1193">
        <v>0</v>
      </c>
      <c r="AE80" s="1193" t="s">
        <v>368</v>
      </c>
      <c r="AF80" s="1193" t="s">
        <v>368</v>
      </c>
      <c r="AG80" s="1193">
        <v>1</v>
      </c>
      <c r="AH80" s="1193">
        <v>3</v>
      </c>
      <c r="AI80" s="1193">
        <v>0</v>
      </c>
      <c r="AJ80" s="1193">
        <f>VLOOKUP($I80,'Price List, Weapons &amp; Items'!B:F,5,0)</f>
        <v>0</v>
      </c>
      <c r="AK80" s="1193">
        <f t="shared" si="28"/>
        <v>0</v>
      </c>
      <c r="AL80" s="1193">
        <f t="shared" si="29"/>
        <v>0</v>
      </c>
      <c r="AM80" s="1193">
        <f t="shared" si="30"/>
        <v>0</v>
      </c>
      <c r="AN80" s="1194" t="str">
        <f>VLOOKUP($I80,'Price List, Weapons &amp; Items'!B:L,COLUMN('Price List, Weapons &amp; Items'!$J$11)-1,0)</f>
        <v>Military media (incl. websites)</v>
      </c>
      <c r="AO80" s="1194" t="str">
        <f>IF(I80=".",".",VLOOKUP($I80,'Price List, Weapons &amp; Items'!B:J,3,0))</f>
        <v>Military equipment</v>
      </c>
      <c r="AP80" s="1195" t="str">
        <f t="shared" ca="1" si="24"/>
        <v/>
      </c>
      <c r="AQ80" s="1194">
        <f>VLOOKUP($I80,'Price List, Weapons &amp; Items'!B:L,COLUMN('Price List, Weapons &amp; Items'!$L$11)-1,0)</f>
        <v>2</v>
      </c>
      <c r="AR80" s="1194">
        <f t="shared" si="31"/>
        <v>1</v>
      </c>
      <c r="AS80" s="1194">
        <f t="shared" si="32"/>
        <v>1</v>
      </c>
      <c r="AT80" s="1194">
        <f t="shared" si="33"/>
        <v>1</v>
      </c>
      <c r="AU80" s="1194" t="str">
        <f t="shared" si="34"/>
        <v>.</v>
      </c>
      <c r="AV80" s="1194" t="str">
        <f t="shared" si="25"/>
        <v>.</v>
      </c>
      <c r="AW80" s="1194" t="str">
        <f t="shared" si="35"/>
        <v>.</v>
      </c>
      <c r="AX80" s="1194">
        <f>IFERROR(VLOOKUP(B80,'Share, Heavy Weapons to Ukraine'!B:Z,COLUMN('Share, Heavy Weapons to Ukraine'!C90)-1,0),0)</f>
        <v>0</v>
      </c>
      <c r="AY80" s="1194">
        <f>VLOOKUP('Bilateral Assistance, MAIN DATA'!B80,'Country Summary (€)'!B:F,COLUMN('Country Summary (€)'!C91)-1,FALSE)</f>
        <v>1</v>
      </c>
      <c r="AZ80" s="1194" t="str">
        <f>IF(AND(AD80=1,D80="Military",H80&lt;&gt;"Not given")=TRUE,IF(SUMIFS(P:P,A:A,A80)&gt;0,ABS((SUMIFS(P:P,A:A,A80)/VLOOKUP("USD",'Exchange Rates'!B:C,2,0)))/S80,"."),".")</f>
        <v>.</v>
      </c>
      <c r="BA80" s="1196" t="str">
        <f>IF(AND(AD80=1,D80="Military",H80&lt;&gt;"Not given")=TRUE,IF(SUMIFS(P:P,A:A,A80)&gt;0,IF((ABS((SUMIFS(P:P,A:A,A80)/VLOOKUP("USD",'Exchange Rates'!B:C,2,0)))/S80)&gt;1,(SUMIFS(P:P,A:A,A80)-S80)/S80,(S80-SUMIFS(P:P,A:A,A80))/SUMIFS(P:P,A:A,A80)),"."),".")</f>
        <v>.</v>
      </c>
    </row>
    <row r="81" spans="1:53" ht="15.95" customHeight="1">
      <c r="A81" s="1182" t="s">
        <v>597</v>
      </c>
      <c r="B81" s="1182" t="s">
        <v>558</v>
      </c>
      <c r="C81" s="1181">
        <v>44642</v>
      </c>
      <c r="D81" s="1182" t="s">
        <v>389</v>
      </c>
      <c r="E81" s="1208" t="s">
        <v>390</v>
      </c>
      <c r="F81" s="1183" t="s">
        <v>598</v>
      </c>
      <c r="G81" s="1184" t="s">
        <v>483</v>
      </c>
      <c r="H81" s="1185">
        <v>11000000</v>
      </c>
      <c r="I81" s="1180" t="s">
        <v>596</v>
      </c>
      <c r="J81" s="1186" t="str">
        <f>VLOOKUP($I81,'Price List, Weapons &amp; Items'!B:C,2,0)</f>
        <v>Military equipment</v>
      </c>
      <c r="K81" s="1186" t="str">
        <f>IF(I81=".",I81,VLOOKUP($I81,'Price List, Weapons &amp; Items'!B:D,3,0))</f>
        <v>Military equipment</v>
      </c>
      <c r="L81" s="1187">
        <f>VLOOKUP(I81,'Price List, Weapons &amp; Items'!B:E,4,0)</f>
        <v>0</v>
      </c>
      <c r="M81" s="1188" t="s">
        <v>374</v>
      </c>
      <c r="N81" s="1188" t="s">
        <v>374</v>
      </c>
      <c r="O81" s="1188">
        <f>VLOOKUP($I81,'Price List, Weapons &amp; Items'!B:G,6,0)</f>
        <v>22216</v>
      </c>
      <c r="P81" s="1185" t="str">
        <f t="shared" si="26"/>
        <v>.</v>
      </c>
      <c r="Q81" s="1185" t="str">
        <f t="shared" si="27"/>
        <v>.</v>
      </c>
      <c r="R81" s="1185" t="str">
        <f t="shared" si="23"/>
        <v/>
      </c>
      <c r="S81" s="1185" t="str">
        <f>IF(AND(AD81=1,R81&lt;&gt;".")=TRUE,R81/VLOOKUP(G81,'Exchange Rates'!B:C,2,0),IF(R81=".",".",""))</f>
        <v/>
      </c>
      <c r="T81" s="1185" t="str">
        <f>IF(AD81=1,IF(AF81="Value is not given at all",".",IF(AF81="Value is given by the source",S81,IF(AF81="Value is calculated with prices",(IF(SUMIFS(Q:Q,A:A,A81)&gt;0,SUMIFS(Q:Q,A:A,A81),"."))/VLOOKUP("USD",'Exchange Rates'!B:C,2,0),"Error with coding"))),"")</f>
        <v/>
      </c>
      <c r="U81" s="1184" t="s">
        <v>365</v>
      </c>
      <c r="V81" s="980" t="s">
        <v>588</v>
      </c>
      <c r="W81" s="974" t="s">
        <v>589</v>
      </c>
      <c r="X81" s="971" t="s">
        <v>600</v>
      </c>
      <c r="Y81" s="1196" t="s">
        <v>364</v>
      </c>
      <c r="Z81" s="1184">
        <v>0</v>
      </c>
      <c r="AA81" s="1194">
        <v>0</v>
      </c>
      <c r="AB81" s="975" t="s">
        <v>589</v>
      </c>
      <c r="AC81" s="1192" t="str">
        <f>""</f>
        <v/>
      </c>
      <c r="AD81" s="1193">
        <v>0</v>
      </c>
      <c r="AE81" s="1193" t="s">
        <v>368</v>
      </c>
      <c r="AF81" s="1193" t="s">
        <v>368</v>
      </c>
      <c r="AG81" s="1193">
        <v>1</v>
      </c>
      <c r="AH81" s="1193">
        <v>3</v>
      </c>
      <c r="AI81" s="1193">
        <v>0</v>
      </c>
      <c r="AJ81" s="1193">
        <f>VLOOKUP($I81,'Price List, Weapons &amp; Items'!B:F,5,0)</f>
        <v>0</v>
      </c>
      <c r="AK81" s="1193">
        <f t="shared" si="28"/>
        <v>0</v>
      </c>
      <c r="AL81" s="1193">
        <f t="shared" si="29"/>
        <v>0</v>
      </c>
      <c r="AM81" s="1193">
        <f t="shared" si="30"/>
        <v>0</v>
      </c>
      <c r="AN81" s="1194" t="str">
        <f>VLOOKUP($I81,'Price List, Weapons &amp; Items'!B:L,COLUMN('Price List, Weapons &amp; Items'!$J$11)-1,0)</f>
        <v>Government information</v>
      </c>
      <c r="AO81" s="1194" t="str">
        <f>IF(I81=".",".",VLOOKUP($I81,'Price List, Weapons &amp; Items'!B:J,3,0))</f>
        <v>Military equipment</v>
      </c>
      <c r="AP81" s="1195" t="str">
        <f t="shared" ca="1" si="24"/>
        <v/>
      </c>
      <c r="AQ81" s="1194">
        <f>VLOOKUP($I81,'Price List, Weapons &amp; Items'!B:L,COLUMN('Price List, Weapons &amp; Items'!$L$11)-1,0)</f>
        <v>2</v>
      </c>
      <c r="AR81" s="1194">
        <f t="shared" si="31"/>
        <v>1</v>
      </c>
      <c r="AS81" s="1194">
        <f t="shared" si="32"/>
        <v>1</v>
      </c>
      <c r="AT81" s="1194">
        <f t="shared" si="33"/>
        <v>1</v>
      </c>
      <c r="AU81" s="1194" t="str">
        <f t="shared" si="34"/>
        <v>.</v>
      </c>
      <c r="AV81" s="1194" t="str">
        <f t="shared" si="25"/>
        <v>.</v>
      </c>
      <c r="AW81" s="1194" t="str">
        <f t="shared" si="35"/>
        <v>.</v>
      </c>
      <c r="AX81" s="1194">
        <f>IFERROR(VLOOKUP(B81,'Share, Heavy Weapons to Ukraine'!B:Z,COLUMN('Share, Heavy Weapons to Ukraine'!C91)-1,0),0)</f>
        <v>0</v>
      </c>
      <c r="AY81" s="1194">
        <f>VLOOKUP('Bilateral Assistance, MAIN DATA'!B81,'Country Summary (€)'!B:F,COLUMN('Country Summary (€)'!C92)-1,FALSE)</f>
        <v>1</v>
      </c>
      <c r="AZ81" s="1194" t="str">
        <f>IF(AND(AD81=1,D81="Military",H81&lt;&gt;"Not given")=TRUE,IF(SUMIFS(P:P,A:A,A81)&gt;0,ABS((SUMIFS(P:P,A:A,A81)/VLOOKUP("USD",'Exchange Rates'!B:C,2,0)))/S81,"."),".")</f>
        <v>.</v>
      </c>
      <c r="BA81" s="1196" t="str">
        <f>IF(AND(AD81=1,D81="Military",H81&lt;&gt;"Not given")=TRUE,IF(SUMIFS(P:P,A:A,A81)&gt;0,IF((ABS((SUMIFS(P:P,A:A,A81)/VLOOKUP("USD",'Exchange Rates'!B:C,2,0)))/S81)&gt;1,(SUMIFS(P:P,A:A,A81)-S81)/S81,(S81-SUMIFS(P:P,A:A,A81))/SUMIFS(P:P,A:A,A81)),"."),".")</f>
        <v>.</v>
      </c>
    </row>
    <row r="82" spans="1:53" ht="15.95" customHeight="1">
      <c r="A82" s="1182" t="s">
        <v>597</v>
      </c>
      <c r="B82" s="1182" t="s">
        <v>558</v>
      </c>
      <c r="C82" s="1181">
        <v>44642</v>
      </c>
      <c r="D82" s="1182" t="s">
        <v>389</v>
      </c>
      <c r="E82" s="1208" t="s">
        <v>390</v>
      </c>
      <c r="F82" s="1183" t="s">
        <v>598</v>
      </c>
      <c r="G82" s="1184" t="s">
        <v>483</v>
      </c>
      <c r="H82" s="1185">
        <v>11000000</v>
      </c>
      <c r="I82" s="1180" t="s">
        <v>605</v>
      </c>
      <c r="J82" s="1186" t="str">
        <f>VLOOKUP($I82,'Price List, Weapons &amp; Items'!B:C,2,0)</f>
        <v>Military equipment</v>
      </c>
      <c r="K82" s="1186" t="str">
        <f>IF(I82=".",I82,VLOOKUP($I82,'Price List, Weapons &amp; Items'!B:D,3,0))</f>
        <v>Military equipment</v>
      </c>
      <c r="L82" s="1187">
        <f>VLOOKUP(I82,'Price List, Weapons &amp; Items'!B:E,4,0)</f>
        <v>0</v>
      </c>
      <c r="M82" s="1188" t="s">
        <v>374</v>
      </c>
      <c r="N82" s="1188" t="s">
        <v>374</v>
      </c>
      <c r="O82" s="1188">
        <f>VLOOKUP($I82,'Price List, Weapons &amp; Items'!B:G,6,0)</f>
        <v>2320</v>
      </c>
      <c r="P82" s="1185" t="str">
        <f t="shared" si="26"/>
        <v>.</v>
      </c>
      <c r="Q82" s="1185" t="str">
        <f t="shared" si="27"/>
        <v>.</v>
      </c>
      <c r="R82" s="1185" t="str">
        <f t="shared" si="23"/>
        <v/>
      </c>
      <c r="S82" s="1185" t="str">
        <f>IF(AND(AD82=1,R82&lt;&gt;".")=TRUE,R82/VLOOKUP(G82,'Exchange Rates'!B:C,2,0),IF(R82=".",".",""))</f>
        <v/>
      </c>
      <c r="T82" s="1185" t="str">
        <f>IF(AD82=1,IF(AF82="Value is not given at all",".",IF(AF82="Value is given by the source",S82,IF(AF82="Value is calculated with prices",(IF(SUMIFS(Q:Q,A:A,A82)&gt;0,SUMIFS(Q:Q,A:A,A82),"."))/VLOOKUP("USD",'Exchange Rates'!B:C,2,0),"Error with coding"))),"")</f>
        <v/>
      </c>
      <c r="U82" s="1184" t="s">
        <v>365</v>
      </c>
      <c r="V82" s="980" t="s">
        <v>588</v>
      </c>
      <c r="W82" s="974" t="s">
        <v>589</v>
      </c>
      <c r="X82" s="971" t="s">
        <v>600</v>
      </c>
      <c r="Y82" s="1196" t="s">
        <v>364</v>
      </c>
      <c r="Z82" s="1184">
        <v>0</v>
      </c>
      <c r="AA82" s="1194">
        <v>0</v>
      </c>
      <c r="AB82" s="975" t="s">
        <v>589</v>
      </c>
      <c r="AC82" s="1192" t="str">
        <f>""</f>
        <v/>
      </c>
      <c r="AD82" s="1193">
        <v>0</v>
      </c>
      <c r="AE82" s="1193" t="s">
        <v>368</v>
      </c>
      <c r="AF82" s="1193" t="s">
        <v>368</v>
      </c>
      <c r="AG82" s="1193">
        <v>1</v>
      </c>
      <c r="AH82" s="1193">
        <v>3</v>
      </c>
      <c r="AI82" s="1193">
        <v>0</v>
      </c>
      <c r="AJ82" s="1193">
        <f>VLOOKUP($I82,'Price List, Weapons &amp; Items'!B:F,5,0)</f>
        <v>0</v>
      </c>
      <c r="AK82" s="1193">
        <f t="shared" si="28"/>
        <v>0</v>
      </c>
      <c r="AL82" s="1193">
        <f t="shared" si="29"/>
        <v>0</v>
      </c>
      <c r="AM82" s="1193">
        <f t="shared" si="30"/>
        <v>0</v>
      </c>
      <c r="AN82" s="1194" t="str">
        <f>VLOOKUP($I82,'Price List, Weapons &amp; Items'!B:L,COLUMN('Price List, Weapons &amp; Items'!$J$11)-1,0)</f>
        <v>Media reports (incl. social media)</v>
      </c>
      <c r="AO82" s="1194" t="str">
        <f>IF(I82=".",".",VLOOKUP($I82,'Price List, Weapons &amp; Items'!B:J,3,0))</f>
        <v>Military equipment</v>
      </c>
      <c r="AP82" s="1195" t="str">
        <f t="shared" ca="1" si="24"/>
        <v/>
      </c>
      <c r="AQ82" s="1194">
        <f>VLOOKUP($I82,'Price List, Weapons &amp; Items'!B:L,COLUMN('Price List, Weapons &amp; Items'!$L$11)-1,0)</f>
        <v>2</v>
      </c>
      <c r="AR82" s="1194">
        <f t="shared" si="31"/>
        <v>1</v>
      </c>
      <c r="AS82" s="1194">
        <f t="shared" si="32"/>
        <v>1</v>
      </c>
      <c r="AT82" s="1194">
        <f t="shared" si="33"/>
        <v>1</v>
      </c>
      <c r="AU82" s="1194" t="str">
        <f t="shared" si="34"/>
        <v>.</v>
      </c>
      <c r="AV82" s="1194" t="str">
        <f t="shared" si="25"/>
        <v>.</v>
      </c>
      <c r="AW82" s="1194" t="str">
        <f t="shared" si="35"/>
        <v>.</v>
      </c>
      <c r="AX82" s="1194">
        <f>IFERROR(VLOOKUP(B82,'Share, Heavy Weapons to Ukraine'!B:Z,COLUMN('Share, Heavy Weapons to Ukraine'!C92)-1,0),0)</f>
        <v>0</v>
      </c>
      <c r="AY82" s="1194">
        <f>VLOOKUP('Bilateral Assistance, MAIN DATA'!B82,'Country Summary (€)'!B:F,COLUMN('Country Summary (€)'!C93)-1,FALSE)</f>
        <v>1</v>
      </c>
      <c r="AZ82" s="1194" t="str">
        <f>IF(AND(AD82=1,D82="Military",H82&lt;&gt;"Not given")=TRUE,IF(SUMIFS(P:P,A:A,A82)&gt;0,ABS((SUMIFS(P:P,A:A,A82)/VLOOKUP("USD",'Exchange Rates'!B:C,2,0)))/S82,"."),".")</f>
        <v>.</v>
      </c>
      <c r="BA82" s="1196" t="str">
        <f>IF(AND(AD82=1,D82="Military",H82&lt;&gt;"Not given")=TRUE,IF(SUMIFS(P:P,A:A,A82)&gt;0,IF((ABS((SUMIFS(P:P,A:A,A82)/VLOOKUP("USD",'Exchange Rates'!B:C,2,0)))/S82)&gt;1,(SUMIFS(P:P,A:A,A82)-S82)/S82,(S82-SUMIFS(P:P,A:A,A82))/SUMIFS(P:P,A:A,A82)),"."),".")</f>
        <v>.</v>
      </c>
    </row>
    <row r="83" spans="1:53" ht="15.95" customHeight="1">
      <c r="A83" s="1182" t="s">
        <v>606</v>
      </c>
      <c r="B83" s="1182" t="s">
        <v>558</v>
      </c>
      <c r="C83" s="1181">
        <v>44687</v>
      </c>
      <c r="D83" s="1182" t="s">
        <v>389</v>
      </c>
      <c r="E83" s="1208" t="s">
        <v>390</v>
      </c>
      <c r="F83" s="1183" t="s">
        <v>607</v>
      </c>
      <c r="G83" s="1184" t="s">
        <v>483</v>
      </c>
      <c r="H83" s="1185">
        <v>2646400</v>
      </c>
      <c r="I83" s="1180" t="s">
        <v>608</v>
      </c>
      <c r="J83" s="1186" t="str">
        <f>VLOOKUP($I83,'Price List, Weapons &amp; Items'!B:C,2,0)</f>
        <v>Ammunition for light infantry</v>
      </c>
      <c r="K83" s="1186" t="str">
        <f>IF(I83=".",I83,VLOOKUP($I83,'Price List, Weapons &amp; Items'!B:D,3,0))</f>
        <v>Small Arms and Light Weapons (SALW) ammunition</v>
      </c>
      <c r="L83" s="1187">
        <f>VLOOKUP(I83,'Price List, Weapons &amp; Items'!B:E,4,0)</f>
        <v>0</v>
      </c>
      <c r="M83" s="1188" t="s">
        <v>374</v>
      </c>
      <c r="N83" s="1188" t="s">
        <v>374</v>
      </c>
      <c r="O83" s="1188">
        <f>VLOOKUP($I83,'Price List, Weapons &amp; Items'!B:G,6,0)</f>
        <v>5</v>
      </c>
      <c r="P83" s="1185" t="str">
        <f t="shared" si="26"/>
        <v>.</v>
      </c>
      <c r="Q83" s="1185" t="str">
        <f t="shared" si="27"/>
        <v>.</v>
      </c>
      <c r="R83" s="1185">
        <f t="shared" si="23"/>
        <v>2646400</v>
      </c>
      <c r="S83" s="1185">
        <f>IF(AND(AD83=1,R83&lt;&gt;".")=TRUE,R83/VLOOKUP(G83,'Exchange Rates'!B:C,2,0),IF(R83=".",".",""))</f>
        <v>2646400</v>
      </c>
      <c r="T83" s="1185">
        <f>IF(AD83=1,IF(AF83="Value is not given at all",".",IF(AF83="Value is given by the source",S83,IF(AF83="Value is calculated with prices",(IF(SUMIFS(Q:Q,A:A,A83)&gt;0,SUMIFS(Q:Q,A:A,A83),"."))/VLOOKUP("USD",'Exchange Rates'!B:C,2,0),"Error with coding"))),"")</f>
        <v>2646400</v>
      </c>
      <c r="U83" s="1184" t="s">
        <v>365</v>
      </c>
      <c r="V83" s="980" t="s">
        <v>588</v>
      </c>
      <c r="W83" s="988" t="s">
        <v>364</v>
      </c>
      <c r="X83" s="988" t="s">
        <v>364</v>
      </c>
      <c r="Y83" s="989" t="s">
        <v>364</v>
      </c>
      <c r="Z83" s="1184">
        <v>0</v>
      </c>
      <c r="AA83" s="1194">
        <v>0</v>
      </c>
      <c r="AB83" s="980" t="s">
        <v>588</v>
      </c>
      <c r="AC83" s="1192" t="str">
        <f>""</f>
        <v/>
      </c>
      <c r="AD83" s="1193">
        <v>1</v>
      </c>
      <c r="AE83" s="1193" t="s">
        <v>368</v>
      </c>
      <c r="AF83" s="1193" t="s">
        <v>368</v>
      </c>
      <c r="AG83" s="1193">
        <v>1</v>
      </c>
      <c r="AH83" s="1193">
        <v>5</v>
      </c>
      <c r="AI83" s="1193">
        <v>0</v>
      </c>
      <c r="AJ83" s="1193">
        <f>VLOOKUP($I83,'Price List, Weapons &amp; Items'!B:F,5,0)</f>
        <v>0</v>
      </c>
      <c r="AK83" s="1193">
        <f t="shared" si="28"/>
        <v>0</v>
      </c>
      <c r="AL83" s="1193">
        <f t="shared" si="29"/>
        <v>0</v>
      </c>
      <c r="AM83" s="1193">
        <f t="shared" si="30"/>
        <v>1</v>
      </c>
      <c r="AN83" s="1194" t="str">
        <f>VLOOKUP($I83,'Price List, Weapons &amp; Items'!B:L,COLUMN('Price List, Weapons &amp; Items'!$J$11)-1,0)</f>
        <v>Miscellaneous</v>
      </c>
      <c r="AO83" s="1194" t="str">
        <f>IF(I83=".",".",VLOOKUP($I83,'Price List, Weapons &amp; Items'!B:J,3,0))</f>
        <v>Small Arms and Light Weapons (SALW) ammunition</v>
      </c>
      <c r="AP83" s="1195" t="str">
        <f t="shared" ca="1" si="24"/>
        <v>Round of small arms ammunitions, grenade launchers and mortar rounds</v>
      </c>
      <c r="AQ83" s="1194">
        <f>VLOOKUP($I83,'Price List, Weapons &amp; Items'!B:L,COLUMN('Price List, Weapons &amp; Items'!$L$11)-1,0)</f>
        <v>2</v>
      </c>
      <c r="AR83" s="1194">
        <f t="shared" si="31"/>
        <v>1</v>
      </c>
      <c r="AS83" s="1194">
        <f t="shared" si="32"/>
        <v>1</v>
      </c>
      <c r="AT83" s="1194">
        <f t="shared" si="33"/>
        <v>1</v>
      </c>
      <c r="AU83" s="1194" t="str">
        <f t="shared" si="34"/>
        <v>.</v>
      </c>
      <c r="AV83" s="1194" t="str">
        <f t="shared" si="25"/>
        <v>.</v>
      </c>
      <c r="AW83" s="1194" t="str">
        <f t="shared" si="35"/>
        <v>.</v>
      </c>
      <c r="AX83" s="1194">
        <f>IFERROR(VLOOKUP(B83,'Share, Heavy Weapons to Ukraine'!B:Z,COLUMN('Share, Heavy Weapons to Ukraine'!C93)-1,0),0)</f>
        <v>0</v>
      </c>
      <c r="AY83" s="1194">
        <f>VLOOKUP('Bilateral Assistance, MAIN DATA'!B83,'Country Summary (€)'!B:F,COLUMN('Country Summary (€)'!C94)-1,FALSE)</f>
        <v>1</v>
      </c>
      <c r="AZ83" s="1194" t="str">
        <f>IF(AND(AD83=1,D83="Military",H83&lt;&gt;"Not given")=TRUE,IF(SUMIFS(P:P,A:A,A83)&gt;0,ABS((SUMIFS(P:P,A:A,A83)/VLOOKUP("USD",'Exchange Rates'!B:C,2,0)))/S83,"."),".")</f>
        <v>.</v>
      </c>
      <c r="BA83" s="1196" t="str">
        <f>IF(AND(AD83=1,D83="Military",H83&lt;&gt;"Not given")=TRUE,IF(SUMIFS(P:P,A:A,A83)&gt;0,IF((ABS((SUMIFS(P:P,A:A,A83)/VLOOKUP("USD",'Exchange Rates'!B:C,2,0)))/S83)&gt;1,(SUMIFS(P:P,A:A,A83)-S83)/S83,(S83-SUMIFS(P:P,A:A,A83))/SUMIFS(P:P,A:A,A83)),"."),".")</f>
        <v>.</v>
      </c>
    </row>
    <row r="84" spans="1:53" ht="15.95" customHeight="1">
      <c r="A84" s="1182" t="s">
        <v>606</v>
      </c>
      <c r="B84" s="1182" t="s">
        <v>558</v>
      </c>
      <c r="C84" s="1181">
        <v>44687</v>
      </c>
      <c r="D84" s="1182" t="s">
        <v>389</v>
      </c>
      <c r="E84" s="1208" t="s">
        <v>390</v>
      </c>
      <c r="F84" s="1183" t="s">
        <v>607</v>
      </c>
      <c r="G84" s="1184" t="s">
        <v>483</v>
      </c>
      <c r="H84" s="1185">
        <v>2646400</v>
      </c>
      <c r="I84" s="1180" t="s">
        <v>604</v>
      </c>
      <c r="J84" s="1186" t="str">
        <f>VLOOKUP($I84,'Price List, Weapons &amp; Items'!B:C,2,0)</f>
        <v>Military equipment</v>
      </c>
      <c r="K84" s="1186" t="str">
        <f>IF(I84=".",I84,VLOOKUP($I84,'Price List, Weapons &amp; Items'!B:D,3,0))</f>
        <v>Military equipment</v>
      </c>
      <c r="L84" s="1187">
        <f>VLOOKUP(I84,'Price List, Weapons &amp; Items'!B:E,4,0)</f>
        <v>0</v>
      </c>
      <c r="M84" s="1188" t="s">
        <v>374</v>
      </c>
      <c r="N84" s="1188" t="s">
        <v>374</v>
      </c>
      <c r="O84" s="1188">
        <f>VLOOKUP($I84,'Price List, Weapons &amp; Items'!B:G,6,0)</f>
        <v>500</v>
      </c>
      <c r="P84" s="1185" t="str">
        <f t="shared" si="26"/>
        <v>.</v>
      </c>
      <c r="Q84" s="1185" t="str">
        <f t="shared" si="27"/>
        <v>.</v>
      </c>
      <c r="R84" s="1185" t="str">
        <f t="shared" si="23"/>
        <v/>
      </c>
      <c r="S84" s="1185" t="str">
        <f>IF(AND(AD84=1,R84&lt;&gt;".")=TRUE,R84/VLOOKUP(G84,'Exchange Rates'!B:C,2,0),IF(R84=".",".",""))</f>
        <v/>
      </c>
      <c r="T84" s="1185" t="str">
        <f>IF(AD84=1,IF(AF84="Value is not given at all",".",IF(AF84="Value is given by the source",S84,IF(AF84="Value is calculated with prices",(IF(SUMIFS(Q:Q,A:A,A84)&gt;0,SUMIFS(Q:Q,A:A,A84),"."))/VLOOKUP("USD",'Exchange Rates'!B:C,2,0),"Error with coding"))),"")</f>
        <v/>
      </c>
      <c r="U84" s="1184" t="s">
        <v>365</v>
      </c>
      <c r="V84" s="980" t="s">
        <v>588</v>
      </c>
      <c r="W84" s="988" t="s">
        <v>364</v>
      </c>
      <c r="X84" s="988" t="s">
        <v>364</v>
      </c>
      <c r="Y84" s="989" t="s">
        <v>364</v>
      </c>
      <c r="Z84" s="1184">
        <v>0</v>
      </c>
      <c r="AA84" s="1194">
        <v>0</v>
      </c>
      <c r="AB84" s="980" t="s">
        <v>588</v>
      </c>
      <c r="AC84" s="1192" t="str">
        <f>""</f>
        <v/>
      </c>
      <c r="AD84" s="1193">
        <v>0</v>
      </c>
      <c r="AE84" s="1193" t="s">
        <v>368</v>
      </c>
      <c r="AF84" s="1193" t="s">
        <v>368</v>
      </c>
      <c r="AG84" s="1193">
        <v>1</v>
      </c>
      <c r="AH84" s="1193">
        <v>5</v>
      </c>
      <c r="AI84" s="1193">
        <v>0</v>
      </c>
      <c r="AJ84" s="1193">
        <f>VLOOKUP($I84,'Price List, Weapons &amp; Items'!B:F,5,0)</f>
        <v>0</v>
      </c>
      <c r="AK84" s="1193">
        <f t="shared" si="28"/>
        <v>0</v>
      </c>
      <c r="AL84" s="1193">
        <f t="shared" si="29"/>
        <v>0</v>
      </c>
      <c r="AM84" s="1193">
        <f t="shared" si="30"/>
        <v>0</v>
      </c>
      <c r="AN84" s="1194" t="str">
        <f>VLOOKUP($I84,'Price List, Weapons &amp; Items'!B:L,COLUMN('Price List, Weapons &amp; Items'!$J$11)-1,0)</f>
        <v>Military media (incl. websites)</v>
      </c>
      <c r="AO84" s="1194" t="str">
        <f>IF(I84=".",".",VLOOKUP($I84,'Price List, Weapons &amp; Items'!B:J,3,0))</f>
        <v>Military equipment</v>
      </c>
      <c r="AP84" s="1195" t="str">
        <f t="shared" ca="1" si="24"/>
        <v/>
      </c>
      <c r="AQ84" s="1194">
        <f>VLOOKUP($I84,'Price List, Weapons &amp; Items'!B:L,COLUMN('Price List, Weapons &amp; Items'!$L$11)-1,0)</f>
        <v>2</v>
      </c>
      <c r="AR84" s="1194">
        <f t="shared" si="31"/>
        <v>1</v>
      </c>
      <c r="AS84" s="1194">
        <f t="shared" si="32"/>
        <v>1</v>
      </c>
      <c r="AT84" s="1194">
        <f t="shared" si="33"/>
        <v>1</v>
      </c>
      <c r="AU84" s="1194" t="str">
        <f t="shared" si="34"/>
        <v>.</v>
      </c>
      <c r="AV84" s="1194" t="str">
        <f t="shared" si="25"/>
        <v>.</v>
      </c>
      <c r="AW84" s="1194" t="str">
        <f t="shared" si="35"/>
        <v>.</v>
      </c>
      <c r="AX84" s="1194">
        <f>IFERROR(VLOOKUP(B84,'Share, Heavy Weapons to Ukraine'!B:Z,COLUMN('Share, Heavy Weapons to Ukraine'!C94)-1,0),0)</f>
        <v>0</v>
      </c>
      <c r="AY84" s="1194">
        <f>VLOOKUP('Bilateral Assistance, MAIN DATA'!B84,'Country Summary (€)'!B:F,COLUMN('Country Summary (€)'!C95)-1,FALSE)</f>
        <v>1</v>
      </c>
      <c r="AZ84" s="1194" t="str">
        <f>IF(AND(AD84=1,D84="Military",H84&lt;&gt;"Not given")=TRUE,IF(SUMIFS(P:P,A:A,A84)&gt;0,ABS((SUMIFS(P:P,A:A,A84)/VLOOKUP("USD",'Exchange Rates'!B:C,2,0)))/S84,"."),".")</f>
        <v>.</v>
      </c>
      <c r="BA84" s="1196" t="str">
        <f>IF(AND(AD84=1,D84="Military",H84&lt;&gt;"Not given")=TRUE,IF(SUMIFS(P:P,A:A,A84)&gt;0,IF((ABS((SUMIFS(P:P,A:A,A84)/VLOOKUP("USD",'Exchange Rates'!B:C,2,0)))/S84)&gt;1,(SUMIFS(P:P,A:A,A84)-S84)/S84,(S84-SUMIFS(P:P,A:A,A84))/SUMIFS(P:P,A:A,A84)),"."),".")</f>
        <v>.</v>
      </c>
    </row>
    <row r="85" spans="1:53" ht="15.95" customHeight="1">
      <c r="A85" s="1182" t="s">
        <v>609</v>
      </c>
      <c r="B85" s="1182" t="s">
        <v>558</v>
      </c>
      <c r="C85" s="1181">
        <v>44757</v>
      </c>
      <c r="D85" s="1182" t="s">
        <v>389</v>
      </c>
      <c r="E85" s="1208" t="s">
        <v>390</v>
      </c>
      <c r="F85" s="1183" t="s">
        <v>607</v>
      </c>
      <c r="G85" s="1184" t="s">
        <v>483</v>
      </c>
      <c r="H85" s="1185">
        <v>10639008</v>
      </c>
      <c r="I85" s="1180" t="s">
        <v>610</v>
      </c>
      <c r="J85" s="1186" t="str">
        <f>VLOOKUP($I85,'Price List, Weapons &amp; Items'!B:C,2,0)</f>
        <v>Light armaments &amp; infantry</v>
      </c>
      <c r="K85" s="1186" t="str">
        <f>IF(I85=".",I85,VLOOKUP($I85,'Price List, Weapons &amp; Items'!B:D,3,0))</f>
        <v>Small Arms and Light Weapons (SALW)</v>
      </c>
      <c r="L85" s="1187">
        <f>VLOOKUP(I85,'Price List, Weapons &amp; Items'!B:E,4,0)</f>
        <v>0</v>
      </c>
      <c r="M85" s="1188" t="s">
        <v>374</v>
      </c>
      <c r="N85" s="1188" t="s">
        <v>374</v>
      </c>
      <c r="O85" s="1188">
        <f>VLOOKUP($I85,'Price List, Weapons &amp; Items'!B:G,6,0)</f>
        <v>5300</v>
      </c>
      <c r="P85" s="1185" t="str">
        <f t="shared" si="26"/>
        <v>.</v>
      </c>
      <c r="Q85" s="1185" t="str">
        <f t="shared" si="27"/>
        <v>.</v>
      </c>
      <c r="R85" s="1185">
        <f t="shared" si="23"/>
        <v>10639008</v>
      </c>
      <c r="S85" s="1185">
        <f>IF(AND(AD85=1,R85&lt;&gt;".")=TRUE,R85/VLOOKUP(G85,'Exchange Rates'!B:C,2,0),IF(R85=".",".",""))</f>
        <v>10639008</v>
      </c>
      <c r="T85" s="1185">
        <f>IF(AD85=1,IF(AF85="Value is not given at all",".",IF(AF85="Value is given by the source",S85,IF(AF85="Value is calculated with prices",(IF(SUMIFS(Q:Q,A:A,A85)&gt;0,SUMIFS(Q:Q,A:A,A85),"."))/VLOOKUP("USD",'Exchange Rates'!B:C,2,0),"Error with coding"))),"")</f>
        <v>10639008</v>
      </c>
      <c r="U85" s="1184" t="s">
        <v>365</v>
      </c>
      <c r="V85" s="980" t="s">
        <v>588</v>
      </c>
      <c r="W85" s="988" t="s">
        <v>364</v>
      </c>
      <c r="X85" s="988" t="s">
        <v>364</v>
      </c>
      <c r="Y85" s="989" t="s">
        <v>364</v>
      </c>
      <c r="Z85" s="1184">
        <v>0</v>
      </c>
      <c r="AA85" s="1194">
        <v>0</v>
      </c>
      <c r="AB85" s="980" t="s">
        <v>588</v>
      </c>
      <c r="AC85" s="1192" t="str">
        <f>""</f>
        <v/>
      </c>
      <c r="AD85" s="1193">
        <v>1</v>
      </c>
      <c r="AE85" s="1193" t="s">
        <v>368</v>
      </c>
      <c r="AF85" s="1193" t="s">
        <v>368</v>
      </c>
      <c r="AG85" s="1193">
        <v>1</v>
      </c>
      <c r="AH85" s="1193">
        <v>7</v>
      </c>
      <c r="AI85" s="1193">
        <v>0</v>
      </c>
      <c r="AJ85" s="1193">
        <f>VLOOKUP($I85,'Price List, Weapons &amp; Items'!B:F,5,0)</f>
        <v>0</v>
      </c>
      <c r="AK85" s="1193">
        <f t="shared" si="28"/>
        <v>0</v>
      </c>
      <c r="AL85" s="1193">
        <f t="shared" si="29"/>
        <v>0</v>
      </c>
      <c r="AM85" s="1193">
        <f t="shared" si="30"/>
        <v>0</v>
      </c>
      <c r="AN85" s="1194" t="str">
        <f>VLOOKUP($I85,'Price List, Weapons &amp; Items'!B:L,COLUMN('Price List, Weapons &amp; Items'!$J$11)-1,0)</f>
        <v>Miscellaneous</v>
      </c>
      <c r="AO85" s="1194" t="str">
        <f>IF(I85=".",".",VLOOKUP($I85,'Price List, Weapons &amp; Items'!B:J,3,0))</f>
        <v>Small Arms and Light Weapons (SALW)</v>
      </c>
      <c r="AP85" s="1195" t="str">
        <f t="shared" ca="1" si="24"/>
        <v>machine gun</v>
      </c>
      <c r="AQ85" s="1194">
        <f>VLOOKUP($I85,'Price List, Weapons &amp; Items'!B:L,COLUMN('Price List, Weapons &amp; Items'!$L$11)-1,0)</f>
        <v>2</v>
      </c>
      <c r="AR85" s="1194">
        <f t="shared" si="31"/>
        <v>1</v>
      </c>
      <c r="AS85" s="1194">
        <f t="shared" si="32"/>
        <v>1</v>
      </c>
      <c r="AT85" s="1194">
        <f t="shared" si="33"/>
        <v>1</v>
      </c>
      <c r="AU85" s="1194" t="str">
        <f t="shared" si="34"/>
        <v>.</v>
      </c>
      <c r="AV85" s="1194" t="str">
        <f t="shared" si="25"/>
        <v>.</v>
      </c>
      <c r="AW85" s="1194" t="str">
        <f t="shared" si="35"/>
        <v>.</v>
      </c>
      <c r="AX85" s="1194">
        <f>IFERROR(VLOOKUP(B85,'Share, Heavy Weapons to Ukraine'!B:Z,COLUMN('Share, Heavy Weapons to Ukraine'!C95)-1,0),0)</f>
        <v>0</v>
      </c>
      <c r="AY85" s="1194">
        <f>VLOOKUP('Bilateral Assistance, MAIN DATA'!B85,'Country Summary (€)'!B:F,COLUMN('Country Summary (€)'!C96)-1,FALSE)</f>
        <v>1</v>
      </c>
      <c r="AZ85" s="1194">
        <f>IF(AND(AD85=1,D85="Military",H85&lt;&gt;"Not given")=TRUE,IF(SUMIFS(P:P,A:A,A85)&gt;0,ABS((SUMIFS(P:P,A:A,A85)/VLOOKUP("USD",'Exchange Rates'!B:C,2,0)))/S85,"."),".")</f>
        <v>3.7615652495496456E-2</v>
      </c>
      <c r="BA85" s="1196">
        <f>IF(AND(AD85=1,D85="Military",H85&lt;&gt;"Not given")=TRUE,IF(SUMIFS(P:P,A:A,A85)&gt;0,IF((ABS((SUMIFS(P:P,A:A,A85)/VLOOKUP("USD",'Exchange Rates'!B:C,2,0)))/S85)&gt;1,(SUMIFS(P:P,A:A,A85)-S85)/S85,(S85-SUMIFS(P:P,A:A,A85))/SUMIFS(P:P,A:A,A85)),"."),".")</f>
        <v>23.461425976593933</v>
      </c>
    </row>
    <row r="86" spans="1:53" ht="15.95" customHeight="1">
      <c r="A86" s="1182" t="s">
        <v>609</v>
      </c>
      <c r="B86" s="1182" t="s">
        <v>558</v>
      </c>
      <c r="C86" s="1181">
        <v>44757</v>
      </c>
      <c r="D86" s="1182" t="s">
        <v>389</v>
      </c>
      <c r="E86" s="1208" t="s">
        <v>390</v>
      </c>
      <c r="F86" s="1183" t="s">
        <v>607</v>
      </c>
      <c r="G86" s="1184" t="s">
        <v>483</v>
      </c>
      <c r="H86" s="1185">
        <v>10639008</v>
      </c>
      <c r="I86" s="1208" t="s">
        <v>611</v>
      </c>
      <c r="J86" s="1186" t="str">
        <f>VLOOKUP($I86,'Price List, Weapons &amp; Items'!B:C,2,0)</f>
        <v>Military equipment</v>
      </c>
      <c r="K86" s="1186" t="str">
        <f>IF(I86=".",I86,VLOOKUP($I86,'Price List, Weapons &amp; Items'!B:D,3,0))</f>
        <v>Military equipment</v>
      </c>
      <c r="L86" s="1187">
        <f>VLOOKUP(I86,'Price List, Weapons &amp; Items'!B:E,4,0)</f>
        <v>0</v>
      </c>
      <c r="M86" s="1188">
        <v>11500</v>
      </c>
      <c r="N86" s="1188">
        <v>11500</v>
      </c>
      <c r="O86" s="1188">
        <f>VLOOKUP($I86,'Price List, Weapons &amp; Items'!B:G,6,0)</f>
        <v>37.82</v>
      </c>
      <c r="P86" s="1185">
        <f t="shared" si="26"/>
        <v>434930</v>
      </c>
      <c r="Q86" s="1185">
        <f t="shared" si="27"/>
        <v>434930</v>
      </c>
      <c r="R86" s="1185" t="str">
        <f t="shared" si="23"/>
        <v/>
      </c>
      <c r="S86" s="1185" t="str">
        <f>IF(AND(AD86=1,R86&lt;&gt;".")=TRUE,R86/VLOOKUP(G86,'Exchange Rates'!B:C,2,0),IF(R86=".",".",""))</f>
        <v/>
      </c>
      <c r="T86" s="1185" t="str">
        <f>IF(AD86=1,IF(AF86="Value is not given at all",".",IF(AF86="Value is given by the source",S86,IF(AF86="Value is calculated with prices",(IF(SUMIFS(Q:Q,A:A,A86)&gt;0,SUMIFS(Q:Q,A:A,A86),"."))/VLOOKUP("USD",'Exchange Rates'!B:C,2,0),"Error with coding"))),"")</f>
        <v/>
      </c>
      <c r="U86" s="1184" t="s">
        <v>365</v>
      </c>
      <c r="V86" s="980" t="s">
        <v>588</v>
      </c>
      <c r="W86" s="988" t="s">
        <v>364</v>
      </c>
      <c r="X86" s="988" t="s">
        <v>364</v>
      </c>
      <c r="Y86" s="989" t="s">
        <v>364</v>
      </c>
      <c r="Z86" s="1184">
        <v>0</v>
      </c>
      <c r="AA86" s="1194">
        <v>0</v>
      </c>
      <c r="AB86" s="980" t="s">
        <v>588</v>
      </c>
      <c r="AC86" s="1192" t="str">
        <f>""</f>
        <v/>
      </c>
      <c r="AD86" s="1193">
        <v>0</v>
      </c>
      <c r="AE86" s="1193" t="s">
        <v>368</v>
      </c>
      <c r="AF86" s="1193" t="s">
        <v>368</v>
      </c>
      <c r="AG86" s="1193">
        <v>1</v>
      </c>
      <c r="AH86" s="1193">
        <v>7</v>
      </c>
      <c r="AI86" s="1193">
        <v>0</v>
      </c>
      <c r="AJ86" s="1193">
        <f>VLOOKUP($I86,'Price List, Weapons &amp; Items'!B:F,5,0)</f>
        <v>0</v>
      </c>
      <c r="AK86" s="1193">
        <f t="shared" si="28"/>
        <v>0</v>
      </c>
      <c r="AL86" s="1193">
        <f t="shared" si="29"/>
        <v>0</v>
      </c>
      <c r="AM86" s="1193">
        <f t="shared" si="30"/>
        <v>0</v>
      </c>
      <c r="AN86" s="1194" t="str">
        <f>VLOOKUP($I86,'Price List, Weapons &amp; Items'!B:L,COLUMN('Price List, Weapons &amp; Items'!$J$11)-1,0)</f>
        <v>Online marketplaces and stores</v>
      </c>
      <c r="AO86" s="1194" t="str">
        <f>IF(I86=".",".",VLOOKUP($I86,'Price List, Weapons &amp; Items'!B:J,3,0))</f>
        <v>Military equipment</v>
      </c>
      <c r="AP86" s="1195" t="str">
        <f t="shared" ca="1" si="24"/>
        <v/>
      </c>
      <c r="AQ86" s="1194">
        <f>VLOOKUP($I86,'Price List, Weapons &amp; Items'!B:L,COLUMN('Price List, Weapons &amp; Items'!$L$11)-1,0)</f>
        <v>2</v>
      </c>
      <c r="AR86" s="1194">
        <f t="shared" si="31"/>
        <v>1</v>
      </c>
      <c r="AS86" s="1194">
        <f t="shared" si="32"/>
        <v>1</v>
      </c>
      <c r="AT86" s="1194">
        <f t="shared" si="33"/>
        <v>1</v>
      </c>
      <c r="AU86" s="1194" t="str">
        <f t="shared" si="34"/>
        <v>.</v>
      </c>
      <c r="AV86" s="1194" t="str">
        <f t="shared" si="25"/>
        <v>.</v>
      </c>
      <c r="AW86" s="1194" t="str">
        <f t="shared" si="35"/>
        <v>.</v>
      </c>
      <c r="AX86" s="1194">
        <f>IFERROR(VLOOKUP(B86,'Share, Heavy Weapons to Ukraine'!B:Z,COLUMN('Share, Heavy Weapons to Ukraine'!C96)-1,0),0)</f>
        <v>0</v>
      </c>
      <c r="AY86" s="1194">
        <f>VLOOKUP('Bilateral Assistance, MAIN DATA'!B86,'Country Summary (€)'!B:F,COLUMN('Country Summary (€)'!C97)-1,FALSE)</f>
        <v>1</v>
      </c>
      <c r="AZ86" s="1194" t="str">
        <f>IF(AND(AD86=1,D86="Military",H86&lt;&gt;"Not given")=TRUE,IF(SUMIFS(P:P,A:A,A86)&gt;0,ABS((SUMIFS(P:P,A:A,A86)/VLOOKUP("USD",'Exchange Rates'!B:C,2,0)))/S86,"."),".")</f>
        <v>.</v>
      </c>
      <c r="BA86" s="1196" t="str">
        <f>IF(AND(AD86=1,D86="Military",H86&lt;&gt;"Not given")=TRUE,IF(SUMIFS(P:P,A:A,A86)&gt;0,IF((ABS((SUMIFS(P:P,A:A,A86)/VLOOKUP("USD",'Exchange Rates'!B:C,2,0)))/S86)&gt;1,(SUMIFS(P:P,A:A,A86)-S86)/S86,(S86-SUMIFS(P:P,A:A,A86))/SUMIFS(P:P,A:A,A86)),"."),".")</f>
        <v>.</v>
      </c>
    </row>
    <row r="87" spans="1:53" ht="15.95" customHeight="1">
      <c r="A87" s="1182" t="s">
        <v>612</v>
      </c>
      <c r="B87" s="1182" t="s">
        <v>558</v>
      </c>
      <c r="C87" s="1220">
        <v>44798</v>
      </c>
      <c r="D87" s="1208" t="s">
        <v>389</v>
      </c>
      <c r="E87" s="1208" t="s">
        <v>398</v>
      </c>
      <c r="F87" s="1208" t="s">
        <v>613</v>
      </c>
      <c r="G87" s="1184" t="s">
        <v>483</v>
      </c>
      <c r="H87" s="1185">
        <v>8000000</v>
      </c>
      <c r="I87" s="1208" t="s">
        <v>611</v>
      </c>
      <c r="J87" s="1186" t="str">
        <f>VLOOKUP($I87,'Price List, Weapons &amp; Items'!B:C,2,0)</f>
        <v>Military equipment</v>
      </c>
      <c r="K87" s="1186" t="str">
        <f>IF(I87=".",I87,VLOOKUP($I87,'Price List, Weapons &amp; Items'!B:D,3,0))</f>
        <v>Military equipment</v>
      </c>
      <c r="L87" s="1187">
        <f>VLOOKUP(I87,'Price List, Weapons &amp; Items'!B:E,4,0)</f>
        <v>0</v>
      </c>
      <c r="M87" s="1188" t="s">
        <v>374</v>
      </c>
      <c r="N87" s="1188" t="s">
        <v>374</v>
      </c>
      <c r="O87" s="1188">
        <f>VLOOKUP($I87,'Price List, Weapons &amp; Items'!B:G,6,0)</f>
        <v>37.82</v>
      </c>
      <c r="P87" s="1185" t="str">
        <f t="shared" si="26"/>
        <v>.</v>
      </c>
      <c r="Q87" s="1185" t="str">
        <f t="shared" si="27"/>
        <v>.</v>
      </c>
      <c r="R87" s="1185">
        <f t="shared" si="23"/>
        <v>8000000</v>
      </c>
      <c r="S87" s="1185">
        <f>IF(AND(AD87=1,R87&lt;&gt;".")=TRUE,R87/VLOOKUP(G87,'Exchange Rates'!B:C,2,0),IF(R87=".",".",""))</f>
        <v>8000000</v>
      </c>
      <c r="T87" s="1185">
        <f>IF(AD87=1,IF(AF87="Value is not given at all",".",IF(AF87="Value is given by the source",S87,IF(AF87="Value is calculated with prices",(IF(SUMIFS(Q:Q,A:A,A87)&gt;0,SUMIFS(Q:Q,A:A,A87),"."))/VLOOKUP("USD",'Exchange Rates'!B:C,2,0),"Error with coding"))),"")</f>
        <v>8000000</v>
      </c>
      <c r="U87" s="1184" t="s">
        <v>365</v>
      </c>
      <c r="V87" s="979" t="s">
        <v>614</v>
      </c>
      <c r="W87" s="979" t="s">
        <v>615</v>
      </c>
      <c r="X87" s="971" t="s">
        <v>616</v>
      </c>
      <c r="Y87" s="972" t="s">
        <v>617</v>
      </c>
      <c r="Z87" s="1184">
        <v>0</v>
      </c>
      <c r="AA87" s="1194">
        <v>0</v>
      </c>
      <c r="AB87" s="979" t="s">
        <v>571</v>
      </c>
      <c r="AC87" s="1192" t="str">
        <f>""</f>
        <v/>
      </c>
      <c r="AD87" s="1193">
        <v>1</v>
      </c>
      <c r="AE87" s="1193" t="s">
        <v>368</v>
      </c>
      <c r="AF87" s="1193" t="s">
        <v>368</v>
      </c>
      <c r="AG87" s="1193">
        <v>1</v>
      </c>
      <c r="AH87" s="1193">
        <v>8</v>
      </c>
      <c r="AI87" s="1193">
        <v>0</v>
      </c>
      <c r="AJ87" s="1193">
        <f>VLOOKUP($I87,'Price List, Weapons &amp; Items'!B:F,5,0)</f>
        <v>0</v>
      </c>
      <c r="AK87" s="1193">
        <f t="shared" si="28"/>
        <v>0</v>
      </c>
      <c r="AL87" s="1193">
        <f t="shared" si="29"/>
        <v>0</v>
      </c>
      <c r="AM87" s="1193">
        <f t="shared" si="30"/>
        <v>0</v>
      </c>
      <c r="AN87" s="1194" t="str">
        <f>VLOOKUP($I87,'Price List, Weapons &amp; Items'!B:L,COLUMN('Price List, Weapons &amp; Items'!$J$11)-1,0)</f>
        <v>Online marketplaces and stores</v>
      </c>
      <c r="AO87" s="1194" t="str">
        <f>IF(I87=".",".",VLOOKUP($I87,'Price List, Weapons &amp; Items'!B:J,3,0))</f>
        <v>Military equipment</v>
      </c>
      <c r="AP87" s="1195" t="str">
        <f t="shared" ca="1" si="24"/>
        <v>First aid kit</v>
      </c>
      <c r="AQ87" s="1194">
        <f>VLOOKUP($I87,'Price List, Weapons &amp; Items'!B:L,COLUMN('Price List, Weapons &amp; Items'!$L$11)-1,0)</f>
        <v>2</v>
      </c>
      <c r="AR87" s="1194">
        <f t="shared" si="31"/>
        <v>1</v>
      </c>
      <c r="AS87" s="1194">
        <f t="shared" si="32"/>
        <v>1</v>
      </c>
      <c r="AT87" s="1194">
        <f t="shared" si="33"/>
        <v>1</v>
      </c>
      <c r="AU87" s="1194" t="str">
        <f t="shared" si="34"/>
        <v>.</v>
      </c>
      <c r="AV87" s="1194" t="str">
        <f t="shared" si="25"/>
        <v>.</v>
      </c>
      <c r="AW87" s="1194" t="str">
        <f t="shared" si="35"/>
        <v>.</v>
      </c>
      <c r="AX87" s="1194">
        <f>IFERROR(VLOOKUP(B87,'Share, Heavy Weapons to Ukraine'!B:Z,COLUMN('Share, Heavy Weapons to Ukraine'!C97)-1,0),0)</f>
        <v>0</v>
      </c>
      <c r="AY87" s="1194">
        <f>VLOOKUP('Bilateral Assistance, MAIN DATA'!B87,'Country Summary (€)'!B:F,COLUMN('Country Summary (€)'!C98)-1,FALSE)</f>
        <v>1</v>
      </c>
      <c r="AZ87" s="1194" t="str">
        <f>IF(AND(AD87=1,D87="Military",H87&lt;&gt;"Not given")=TRUE,IF(SUMIFS(P:P,A:A,A87)&gt;0,ABS((SUMIFS(P:P,A:A,A87)/VLOOKUP("USD",'Exchange Rates'!B:C,2,0)))/S87,"."),".")</f>
        <v>.</v>
      </c>
      <c r="BA87" s="1196" t="str">
        <f>IF(AND(AD87=1,D87="Military",H87&lt;&gt;"Not given")=TRUE,IF(SUMIFS(P:P,A:A,A87)&gt;0,IF((ABS((SUMIFS(P:P,A:A,A87)/VLOOKUP("USD",'Exchange Rates'!B:C,2,0)))/S87)&gt;1,(SUMIFS(P:P,A:A,A87)-S87)/S87,(S87-SUMIFS(P:P,A:A,A87))/SUMIFS(P:P,A:A,A87)),"."),".")</f>
        <v>.</v>
      </c>
    </row>
    <row r="88" spans="1:53" ht="15.95" customHeight="1">
      <c r="A88" s="1182" t="s">
        <v>612</v>
      </c>
      <c r="B88" s="1182" t="s">
        <v>558</v>
      </c>
      <c r="C88" s="1220">
        <v>44798</v>
      </c>
      <c r="D88" s="1208" t="s">
        <v>389</v>
      </c>
      <c r="E88" s="1208" t="s">
        <v>398</v>
      </c>
      <c r="F88" s="1208" t="s">
        <v>613</v>
      </c>
      <c r="G88" s="1184" t="s">
        <v>483</v>
      </c>
      <c r="H88" s="1185">
        <v>8000000</v>
      </c>
      <c r="I88" s="1208" t="s">
        <v>618</v>
      </c>
      <c r="J88" s="1186" t="str">
        <f>VLOOKUP($I88,'Price List, Weapons &amp; Items'!B:C,2,0)</f>
        <v>Military equipment</v>
      </c>
      <c r="K88" s="1186" t="str">
        <f>IF(I88=".",I88,VLOOKUP($I88,'Price List, Weapons &amp; Items'!B:D,3,0))</f>
        <v>Military equipment</v>
      </c>
      <c r="L88" s="1187">
        <f>VLOOKUP(I88,'Price List, Weapons &amp; Items'!B:E,4,0)</f>
        <v>0</v>
      </c>
      <c r="M88" s="1188" t="s">
        <v>374</v>
      </c>
      <c r="N88" s="1188" t="s">
        <v>374</v>
      </c>
      <c r="O88" s="1188">
        <f>VLOOKUP($I88,'Price List, Weapons &amp; Items'!B:G,6,0)</f>
        <v>59.234999999999999</v>
      </c>
      <c r="P88" s="1185" t="str">
        <f t="shared" si="26"/>
        <v>.</v>
      </c>
      <c r="Q88" s="1185" t="str">
        <f t="shared" si="27"/>
        <v>.</v>
      </c>
      <c r="R88" s="1185" t="str">
        <f t="shared" si="23"/>
        <v/>
      </c>
      <c r="S88" s="1185" t="str">
        <f>IF(AND(AD88=1,R88&lt;&gt;".")=TRUE,R88/VLOOKUP(G88,'Exchange Rates'!B:C,2,0),IF(R88=".",".",""))</f>
        <v/>
      </c>
      <c r="T88" s="1185" t="str">
        <f>IF(AD88=1,IF(AF88="Value is not given at all",".",IF(AF88="Value is given by the source",S88,IF(AF88="Value is calculated with prices",(IF(SUMIFS(Q:Q,A:A,A88)&gt;0,SUMIFS(Q:Q,A:A,A88),"."))/VLOOKUP("USD",'Exchange Rates'!B:C,2,0),"Error with coding"))),"")</f>
        <v/>
      </c>
      <c r="U88" s="1184" t="s">
        <v>365</v>
      </c>
      <c r="V88" s="979" t="s">
        <v>614</v>
      </c>
      <c r="W88" s="1262" t="s">
        <v>615</v>
      </c>
      <c r="X88" s="971" t="s">
        <v>616</v>
      </c>
      <c r="Y88" s="972" t="s">
        <v>617</v>
      </c>
      <c r="Z88" s="1184">
        <v>0</v>
      </c>
      <c r="AA88" s="1194">
        <v>0</v>
      </c>
      <c r="AB88" s="979" t="s">
        <v>571</v>
      </c>
      <c r="AC88" s="1192" t="str">
        <f>""</f>
        <v/>
      </c>
      <c r="AD88" s="1193">
        <v>0</v>
      </c>
      <c r="AE88" s="1193" t="s">
        <v>368</v>
      </c>
      <c r="AF88" s="1193" t="s">
        <v>368</v>
      </c>
      <c r="AG88" s="1193">
        <v>1</v>
      </c>
      <c r="AH88" s="1193">
        <v>8</v>
      </c>
      <c r="AI88" s="1193">
        <v>0</v>
      </c>
      <c r="AJ88" s="1193">
        <f>VLOOKUP($I88,'Price List, Weapons &amp; Items'!B:F,5,0)</f>
        <v>0</v>
      </c>
      <c r="AK88" s="1193">
        <f t="shared" si="28"/>
        <v>0</v>
      </c>
      <c r="AL88" s="1193">
        <f t="shared" si="29"/>
        <v>0</v>
      </c>
      <c r="AM88" s="1193">
        <f t="shared" si="30"/>
        <v>0</v>
      </c>
      <c r="AN88" s="1194" t="str">
        <f>VLOOKUP($I88,'Price List, Weapons &amp; Items'!B:L,COLUMN('Price List, Weapons &amp; Items'!$J$11)-1,0)</f>
        <v>Government information</v>
      </c>
      <c r="AO88" s="1194" t="str">
        <f>IF(I88=".",".",VLOOKUP($I88,'Price List, Weapons &amp; Items'!B:J,3,0))</f>
        <v>Military equipment</v>
      </c>
      <c r="AP88" s="1195" t="str">
        <f t="shared" ca="1" si="24"/>
        <v/>
      </c>
      <c r="AQ88" s="1194">
        <f>VLOOKUP($I88,'Price List, Weapons &amp; Items'!B:L,COLUMN('Price List, Weapons &amp; Items'!$L$11)-1,0)</f>
        <v>2</v>
      </c>
      <c r="AR88" s="1194">
        <f t="shared" si="31"/>
        <v>1</v>
      </c>
      <c r="AS88" s="1194">
        <f t="shared" si="32"/>
        <v>1</v>
      </c>
      <c r="AT88" s="1194">
        <f t="shared" si="33"/>
        <v>1</v>
      </c>
      <c r="AU88" s="1194" t="str">
        <f t="shared" si="34"/>
        <v>.</v>
      </c>
      <c r="AV88" s="1194" t="str">
        <f t="shared" si="25"/>
        <v>.</v>
      </c>
      <c r="AW88" s="1194" t="str">
        <f t="shared" si="35"/>
        <v>.</v>
      </c>
      <c r="AX88" s="1194">
        <f>IFERROR(VLOOKUP(B88,'Share, Heavy Weapons to Ukraine'!B:Z,COLUMN('Share, Heavy Weapons to Ukraine'!C98)-1,0),0)</f>
        <v>0</v>
      </c>
      <c r="AY88" s="1194">
        <f>VLOOKUP('Bilateral Assistance, MAIN DATA'!B88,'Country Summary (€)'!B:F,COLUMN('Country Summary (€)'!C99)-1,FALSE)</f>
        <v>1</v>
      </c>
      <c r="AZ88" s="1194" t="str">
        <f>IF(AND(AD88=1,D88="Military",H88&lt;&gt;"Not given")=TRUE,IF(SUMIFS(P:P,A:A,A88)&gt;0,ABS((SUMIFS(P:P,A:A,A88)/VLOOKUP("USD",'Exchange Rates'!B:C,2,0)))/S88,"."),".")</f>
        <v>.</v>
      </c>
      <c r="BA88" s="1196" t="str">
        <f>IF(AND(AD88=1,D88="Military",H88&lt;&gt;"Not given")=TRUE,IF(SUMIFS(P:P,A:A,A88)&gt;0,IF((ABS((SUMIFS(P:P,A:A,A88)/VLOOKUP("USD",'Exchange Rates'!B:C,2,0)))/S88)&gt;1,(SUMIFS(P:P,A:A,A88)-S88)/S88,(S88-SUMIFS(P:P,A:A,A88))/SUMIFS(P:P,A:A,A88)),"."),".")</f>
        <v>.</v>
      </c>
    </row>
    <row r="89" spans="1:53" ht="15.95" customHeight="1">
      <c r="A89" s="1182" t="s">
        <v>612</v>
      </c>
      <c r="B89" s="1182" t="s">
        <v>558</v>
      </c>
      <c r="C89" s="1220">
        <v>44798</v>
      </c>
      <c r="D89" s="1208" t="s">
        <v>389</v>
      </c>
      <c r="E89" s="1208" t="s">
        <v>398</v>
      </c>
      <c r="F89" s="1208" t="s">
        <v>613</v>
      </c>
      <c r="G89" s="1184" t="s">
        <v>483</v>
      </c>
      <c r="H89" s="1185">
        <v>8000000</v>
      </c>
      <c r="I89" s="1208" t="s">
        <v>619</v>
      </c>
      <c r="J89" s="1186" t="str">
        <f>VLOOKUP($I89,'Price List, Weapons &amp; Items'!B:C,2,0)</f>
        <v>Military equipment</v>
      </c>
      <c r="K89" s="1186" t="str">
        <f>IF(I89=".",I89,VLOOKUP($I89,'Price List, Weapons &amp; Items'!B:D,3,0))</f>
        <v>Military equipment</v>
      </c>
      <c r="L89" s="1187">
        <f>VLOOKUP(I89,'Price List, Weapons &amp; Items'!B:E,4,0)</f>
        <v>0</v>
      </c>
      <c r="M89" s="1188" t="s">
        <v>374</v>
      </c>
      <c r="N89" s="1188" t="s">
        <v>374</v>
      </c>
      <c r="O89" s="1188">
        <f>VLOOKUP($I89,'Price List, Weapons &amp; Items'!B:G,6,0)</f>
        <v>2320</v>
      </c>
      <c r="P89" s="1185" t="str">
        <f t="shared" si="26"/>
        <v>.</v>
      </c>
      <c r="Q89" s="1185" t="str">
        <f t="shared" si="27"/>
        <v>.</v>
      </c>
      <c r="R89" s="1185" t="str">
        <f t="shared" si="23"/>
        <v/>
      </c>
      <c r="S89" s="1185" t="str">
        <f>IF(AND(AD89=1,R89&lt;&gt;".")=TRUE,R89/VLOOKUP(G89,'Exchange Rates'!B:C,2,0),IF(R89=".",".",""))</f>
        <v/>
      </c>
      <c r="T89" s="1185" t="str">
        <f>IF(AD89=1,IF(AF89="Value is not given at all",".",IF(AF89="Value is given by the source",S89,IF(AF89="Value is calculated with prices",(IF(SUMIFS(Q:Q,A:A,A89)&gt;0,SUMIFS(Q:Q,A:A,A89),"."))/VLOOKUP("USD",'Exchange Rates'!B:C,2,0),"Error with coding"))),"")</f>
        <v/>
      </c>
      <c r="U89" s="1184" t="s">
        <v>365</v>
      </c>
      <c r="V89" s="979" t="s">
        <v>614</v>
      </c>
      <c r="W89" s="1262" t="s">
        <v>615</v>
      </c>
      <c r="X89" s="971" t="s">
        <v>616</v>
      </c>
      <c r="Y89" s="972" t="s">
        <v>617</v>
      </c>
      <c r="Z89" s="1184">
        <v>0</v>
      </c>
      <c r="AA89" s="1194">
        <v>0</v>
      </c>
      <c r="AB89" s="979" t="s">
        <v>571</v>
      </c>
      <c r="AC89" s="1192" t="str">
        <f>""</f>
        <v/>
      </c>
      <c r="AD89" s="1193">
        <v>0</v>
      </c>
      <c r="AE89" s="1193" t="s">
        <v>368</v>
      </c>
      <c r="AF89" s="1193" t="s">
        <v>368</v>
      </c>
      <c r="AG89" s="1193">
        <v>1</v>
      </c>
      <c r="AH89" s="1193">
        <v>8</v>
      </c>
      <c r="AI89" s="1193">
        <v>0</v>
      </c>
      <c r="AJ89" s="1193">
        <f>VLOOKUP($I89,'Price List, Weapons &amp; Items'!B:F,5,0)</f>
        <v>0</v>
      </c>
      <c r="AK89" s="1193">
        <f t="shared" si="28"/>
        <v>0</v>
      </c>
      <c r="AL89" s="1193">
        <f t="shared" si="29"/>
        <v>0</v>
      </c>
      <c r="AM89" s="1193">
        <f t="shared" si="30"/>
        <v>0</v>
      </c>
      <c r="AN89" s="1194" t="str">
        <f>VLOOKUP($I89,'Price List, Weapons &amp; Items'!B:L,COLUMN('Price List, Weapons &amp; Items'!$J$11)-1,0)</f>
        <v>Media reports (incl. social media)</v>
      </c>
      <c r="AO89" s="1194" t="str">
        <f>IF(I89=".",".",VLOOKUP($I89,'Price List, Weapons &amp; Items'!B:J,3,0))</f>
        <v>Military equipment</v>
      </c>
      <c r="AP89" s="1195" t="str">
        <f t="shared" ca="1" si="24"/>
        <v/>
      </c>
      <c r="AQ89" s="1194">
        <f>VLOOKUP($I89,'Price List, Weapons &amp; Items'!B:L,COLUMN('Price List, Weapons &amp; Items'!$L$11)-1,0)</f>
        <v>1</v>
      </c>
      <c r="AR89" s="1194">
        <f t="shared" si="31"/>
        <v>1</v>
      </c>
      <c r="AS89" s="1194">
        <f t="shared" si="32"/>
        <v>1</v>
      </c>
      <c r="AT89" s="1194">
        <f t="shared" si="33"/>
        <v>1</v>
      </c>
      <c r="AU89" s="1194" t="str">
        <f t="shared" si="34"/>
        <v>.</v>
      </c>
      <c r="AV89" s="1194" t="str">
        <f t="shared" si="25"/>
        <v>.</v>
      </c>
      <c r="AW89" s="1194" t="str">
        <f t="shared" si="35"/>
        <v>.</v>
      </c>
      <c r="AX89" s="1194">
        <f>IFERROR(VLOOKUP(B89,'Share, Heavy Weapons to Ukraine'!B:Z,COLUMN('Share, Heavy Weapons to Ukraine'!C99)-1,0),0)</f>
        <v>0</v>
      </c>
      <c r="AY89" s="1194">
        <f>VLOOKUP('Bilateral Assistance, MAIN DATA'!B89,'Country Summary (€)'!B:F,COLUMN('Country Summary (€)'!C100)-1,FALSE)</f>
        <v>1</v>
      </c>
      <c r="AZ89" s="1194" t="str">
        <f>IF(AND(AD89=1,D89="Military",H89&lt;&gt;"Not given")=TRUE,IF(SUMIFS(P:P,A:A,A89)&gt;0,ABS((SUMIFS(P:P,A:A,A89)/VLOOKUP("USD",'Exchange Rates'!B:C,2,0)))/S89,"."),".")</f>
        <v>.</v>
      </c>
      <c r="BA89" s="1196" t="str">
        <f>IF(AND(AD89=1,D89="Military",H89&lt;&gt;"Not given")=TRUE,IF(SUMIFS(P:P,A:A,A89)&gt;0,IF((ABS((SUMIFS(P:P,A:A,A89)/VLOOKUP("USD",'Exchange Rates'!B:C,2,0)))/S89)&gt;1,(SUMIFS(P:P,A:A,A89)-S89)/S89,(S89-SUMIFS(P:P,A:A,A89))/SUMIFS(P:P,A:A,A89)),"."),".")</f>
        <v>.</v>
      </c>
    </row>
    <row r="90" spans="1:53" ht="15.95" customHeight="1">
      <c r="A90" s="1182" t="s">
        <v>612</v>
      </c>
      <c r="B90" s="1182" t="s">
        <v>558</v>
      </c>
      <c r="C90" s="1220">
        <v>44798</v>
      </c>
      <c r="D90" s="1208" t="s">
        <v>389</v>
      </c>
      <c r="E90" s="1208" t="s">
        <v>398</v>
      </c>
      <c r="F90" s="1208" t="s">
        <v>613</v>
      </c>
      <c r="G90" s="1184" t="s">
        <v>483</v>
      </c>
      <c r="H90" s="1185">
        <v>8000000</v>
      </c>
      <c r="I90" s="1208" t="s">
        <v>620</v>
      </c>
      <c r="J90" s="1186" t="str">
        <f>VLOOKUP($I90,'Price List, Weapons &amp; Items'!B:C,2,0)</f>
        <v>Humanitarian</v>
      </c>
      <c r="K90" s="1186" t="str">
        <f>IF(I90=".",I90,VLOOKUP($I90,'Price List, Weapons &amp; Items'!B:D,3,0))</f>
        <v>Humanitarian</v>
      </c>
      <c r="L90" s="1187">
        <f>VLOOKUP(I90,'Price List, Weapons &amp; Items'!B:E,4,0)</f>
        <v>0</v>
      </c>
      <c r="M90" s="1188" t="s">
        <v>374</v>
      </c>
      <c r="N90" s="1188" t="s">
        <v>374</v>
      </c>
      <c r="O90" s="1188" t="str">
        <f>VLOOKUP($I90,'Price List, Weapons &amp; Items'!B:G,6,0)</f>
        <v>.</v>
      </c>
      <c r="P90" s="1185" t="str">
        <f t="shared" si="26"/>
        <v>.</v>
      </c>
      <c r="Q90" s="1185" t="str">
        <f t="shared" si="27"/>
        <v>.</v>
      </c>
      <c r="R90" s="1185" t="str">
        <f t="shared" si="23"/>
        <v/>
      </c>
      <c r="S90" s="1185" t="str">
        <f>IF(AND(AD90=1,R90&lt;&gt;".")=TRUE,R90/VLOOKUP(G90,'Exchange Rates'!B:C,2,0),IF(R90=".",".",""))</f>
        <v/>
      </c>
      <c r="T90" s="1185" t="str">
        <f>IF(AD90=1,IF(AF90="Value is not given at all",".",IF(AF90="Value is given by the source",S90,IF(AF90="Value is calculated with prices",(IF(SUMIFS(Q:Q,A:A,A90)&gt;0,SUMIFS(Q:Q,A:A,A90),"."))/VLOOKUP("USD",'Exchange Rates'!B:C,2,0),"Error with coding"))),"")</f>
        <v/>
      </c>
      <c r="U90" s="1184" t="s">
        <v>365</v>
      </c>
      <c r="V90" s="979" t="s">
        <v>614</v>
      </c>
      <c r="W90" s="1262" t="s">
        <v>615</v>
      </c>
      <c r="X90" s="971" t="s">
        <v>616</v>
      </c>
      <c r="Y90" s="972" t="s">
        <v>617</v>
      </c>
      <c r="Z90" s="1184">
        <v>0</v>
      </c>
      <c r="AA90" s="1194">
        <v>0</v>
      </c>
      <c r="AB90" s="979" t="s">
        <v>571</v>
      </c>
      <c r="AC90" s="1192" t="str">
        <f>""</f>
        <v/>
      </c>
      <c r="AD90" s="1193">
        <v>0</v>
      </c>
      <c r="AE90" s="1193" t="s">
        <v>368</v>
      </c>
      <c r="AF90" s="1193" t="s">
        <v>368</v>
      </c>
      <c r="AG90" s="1193">
        <v>1</v>
      </c>
      <c r="AH90" s="1193">
        <v>8</v>
      </c>
      <c r="AI90" s="1193">
        <v>0</v>
      </c>
      <c r="AJ90" s="1193">
        <f>VLOOKUP($I90,'Price List, Weapons &amp; Items'!B:F,5,0)</f>
        <v>0</v>
      </c>
      <c r="AK90" s="1193">
        <f t="shared" si="28"/>
        <v>0</v>
      </c>
      <c r="AL90" s="1193">
        <f t="shared" si="29"/>
        <v>0</v>
      </c>
      <c r="AM90" s="1193">
        <f t="shared" si="30"/>
        <v>0</v>
      </c>
      <c r="AN90" s="1194" t="str">
        <f>VLOOKUP($I90,'Price List, Weapons &amp; Items'!B:L,COLUMN('Price List, Weapons &amp; Items'!$J$11)-1,0)</f>
        <v>.</v>
      </c>
      <c r="AO90" s="1194" t="str">
        <f>IF(I90=".",".",VLOOKUP($I90,'Price List, Weapons &amp; Items'!B:J,3,0))</f>
        <v>Humanitarian</v>
      </c>
      <c r="AP90" s="1195" t="str">
        <f t="shared" ca="1" si="24"/>
        <v/>
      </c>
      <c r="AQ90" s="1194">
        <f>VLOOKUP($I90,'Price List, Weapons &amp; Items'!B:L,COLUMN('Price List, Weapons &amp; Items'!$L$11)-1,0)</f>
        <v>0</v>
      </c>
      <c r="AR90" s="1194">
        <f t="shared" si="31"/>
        <v>1</v>
      </c>
      <c r="AS90" s="1194">
        <f t="shared" si="32"/>
        <v>1</v>
      </c>
      <c r="AT90" s="1194">
        <f t="shared" si="33"/>
        <v>1</v>
      </c>
      <c r="AU90" s="1194" t="str">
        <f t="shared" si="34"/>
        <v>.</v>
      </c>
      <c r="AV90" s="1194" t="str">
        <f t="shared" si="25"/>
        <v>.</v>
      </c>
      <c r="AW90" s="1194" t="str">
        <f t="shared" si="35"/>
        <v>.</v>
      </c>
      <c r="AX90" s="1194">
        <f>IFERROR(VLOOKUP(B90,'Share, Heavy Weapons to Ukraine'!B:Z,COLUMN('Share, Heavy Weapons to Ukraine'!C100)-1,0),0)</f>
        <v>0</v>
      </c>
      <c r="AY90" s="1194">
        <f>VLOOKUP('Bilateral Assistance, MAIN DATA'!B90,'Country Summary (€)'!B:F,COLUMN('Country Summary (€)'!C101)-1,FALSE)</f>
        <v>1</v>
      </c>
      <c r="AZ90" s="1194" t="str">
        <f>IF(AND(AD90=1,D90="Military",H90&lt;&gt;"Not given")=TRUE,IF(SUMIFS(P:P,A:A,A90)&gt;0,ABS((SUMIFS(P:P,A:A,A90)/VLOOKUP("USD",'Exchange Rates'!B:C,2,0)))/S90,"."),".")</f>
        <v>.</v>
      </c>
      <c r="BA90" s="1196" t="str">
        <f>IF(AND(AD90=1,D90="Military",H90&lt;&gt;"Not given")=TRUE,IF(SUMIFS(P:P,A:A,A90)&gt;0,IF((ABS((SUMIFS(P:P,A:A,A90)/VLOOKUP("USD",'Exchange Rates'!B:C,2,0)))/S90)&gt;1,(SUMIFS(P:P,A:A,A90)-S90)/S90,(S90-SUMIFS(P:P,A:A,A90))/SUMIFS(P:P,A:A,A90)),"."),".")</f>
        <v>.</v>
      </c>
    </row>
    <row r="91" spans="1:53" ht="15.95" customHeight="1">
      <c r="A91" s="1182" t="s">
        <v>621</v>
      </c>
      <c r="B91" s="1182" t="s">
        <v>558</v>
      </c>
      <c r="C91" s="1220">
        <v>44820</v>
      </c>
      <c r="D91" s="1208" t="s">
        <v>389</v>
      </c>
      <c r="E91" s="1208" t="s">
        <v>443</v>
      </c>
      <c r="F91" s="1208" t="s">
        <v>607</v>
      </c>
      <c r="G91" s="1184" t="s">
        <v>483</v>
      </c>
      <c r="H91" s="1185">
        <v>1757052.4</v>
      </c>
      <c r="I91" s="1208" t="s">
        <v>622</v>
      </c>
      <c r="J91" s="1186" t="str">
        <f>VLOOKUP($I91,'Price List, Weapons &amp; Items'!B:C,2,0)</f>
        <v>Light armaments &amp; infantry</v>
      </c>
      <c r="K91" s="1186" t="str">
        <f>IF(I91=".",I91,VLOOKUP($I91,'Price List, Weapons &amp; Items'!B:D,3,0))</f>
        <v>Explosive</v>
      </c>
      <c r="L91" s="1187">
        <f>VLOOKUP(I91,'Price List, Weapons &amp; Items'!B:E,4,0)</f>
        <v>0</v>
      </c>
      <c r="M91" s="1188" t="s">
        <v>374</v>
      </c>
      <c r="N91" s="1188" t="s">
        <v>374</v>
      </c>
      <c r="O91" s="1188">
        <f>VLOOKUP($I91,'Price List, Weapons &amp; Items'!B:G,6,0)</f>
        <v>45</v>
      </c>
      <c r="P91" s="1185" t="str">
        <f t="shared" si="26"/>
        <v>.</v>
      </c>
      <c r="Q91" s="1185" t="str">
        <f t="shared" si="27"/>
        <v>.</v>
      </c>
      <c r="R91" s="1185">
        <f t="shared" si="23"/>
        <v>1757052.4</v>
      </c>
      <c r="S91" s="1185">
        <f>IF(AND(AD91=1,R91&lt;&gt;".")=TRUE,R91/VLOOKUP(G91,'Exchange Rates'!B:C,2,0),IF(R91=".",".",""))</f>
        <v>1757052.4</v>
      </c>
      <c r="T91" s="1185">
        <f>IF(AD91=1,IF(AF91="Value is not given at all",".",IF(AF91="Value is given by the source",S91,IF(AF91="Value is calculated with prices",(IF(SUMIFS(Q:Q,A:A,A91)&gt;0,SUMIFS(Q:Q,A:A,A91),"."))/VLOOKUP("USD",'Exchange Rates'!B:C,2,0),"Error with coding"))),"")</f>
        <v>1757052.4</v>
      </c>
      <c r="U91" s="1184" t="s">
        <v>365</v>
      </c>
      <c r="V91" s="979" t="s">
        <v>614</v>
      </c>
      <c r="W91" s="1262" t="s">
        <v>615</v>
      </c>
      <c r="X91" s="971" t="s">
        <v>616</v>
      </c>
      <c r="Y91" s="972" t="s">
        <v>617</v>
      </c>
      <c r="Z91" s="1184">
        <v>0</v>
      </c>
      <c r="AA91" s="1194">
        <v>0</v>
      </c>
      <c r="AB91" s="979" t="s">
        <v>571</v>
      </c>
      <c r="AC91" s="1192" t="str">
        <f>""</f>
        <v/>
      </c>
      <c r="AD91" s="1193">
        <v>1</v>
      </c>
      <c r="AE91" s="1193" t="s">
        <v>368</v>
      </c>
      <c r="AF91" s="1193" t="s">
        <v>368</v>
      </c>
      <c r="AG91" s="1193">
        <v>1</v>
      </c>
      <c r="AH91" s="1193">
        <v>9</v>
      </c>
      <c r="AI91" s="1193">
        <v>0</v>
      </c>
      <c r="AJ91" s="1193">
        <f>VLOOKUP($I91,'Price List, Weapons &amp; Items'!B:F,5,0)</f>
        <v>0</v>
      </c>
      <c r="AK91" s="1193">
        <f t="shared" si="28"/>
        <v>0</v>
      </c>
      <c r="AL91" s="1193">
        <f t="shared" si="29"/>
        <v>0</v>
      </c>
      <c r="AM91" s="1193">
        <f t="shared" si="30"/>
        <v>0</v>
      </c>
      <c r="AN91" s="1194" t="str">
        <f>VLOOKUP($I91,'Price List, Weapons &amp; Items'!B:L,COLUMN('Price List, Weapons &amp; Items'!$J$11)-1,0)</f>
        <v>Miscellaneous</v>
      </c>
      <c r="AO91" s="1194" t="str">
        <f>IF(I91=".",".",VLOOKUP($I91,'Price List, Weapons &amp; Items'!B:J,3,0))</f>
        <v>Explosive</v>
      </c>
      <c r="AP91" s="1195" t="str">
        <f t="shared" ca="1" si="24"/>
        <v>hand grenade</v>
      </c>
      <c r="AQ91" s="1194">
        <f>VLOOKUP($I91,'Price List, Weapons &amp; Items'!B:L,COLUMN('Price List, Weapons &amp; Items'!$L$11)-1,0)</f>
        <v>2</v>
      </c>
      <c r="AR91" s="1194">
        <f t="shared" si="31"/>
        <v>1</v>
      </c>
      <c r="AS91" s="1194">
        <f t="shared" si="32"/>
        <v>1</v>
      </c>
      <c r="AT91" s="1194">
        <f t="shared" si="33"/>
        <v>1</v>
      </c>
      <c r="AU91" s="1194" t="str">
        <f t="shared" si="34"/>
        <v>.</v>
      </c>
      <c r="AV91" s="1194" t="str">
        <f t="shared" si="25"/>
        <v>.</v>
      </c>
      <c r="AW91" s="1194" t="str">
        <f t="shared" si="35"/>
        <v>.</v>
      </c>
      <c r="AX91" s="1194">
        <f>IFERROR(VLOOKUP(B91,'Share, Heavy Weapons to Ukraine'!B:Z,COLUMN('Share, Heavy Weapons to Ukraine'!C101)-1,0),0)</f>
        <v>0</v>
      </c>
      <c r="AY91" s="1194">
        <f>VLOOKUP('Bilateral Assistance, MAIN DATA'!B91,'Country Summary (€)'!B:F,COLUMN('Country Summary (€)'!C102)-1,FALSE)</f>
        <v>1</v>
      </c>
      <c r="AZ91" s="1194">
        <f>IF(AND(AD91=1,D91="Military",H91&lt;&gt;"Not given")=TRUE,IF(SUMIFS(P:P,A:A,A91)&gt;0,ABS((SUMIFS(P:P,A:A,A91)/VLOOKUP("USD",'Exchange Rates'!B:C,2,0)))/S91,"."),".")</f>
        <v>0.78551940091246075</v>
      </c>
      <c r="BA91" s="1196">
        <f>IF(AND(AD91=1,D91="Military",H91&lt;&gt;"Not given")=TRUE,IF(SUMIFS(P:P,A:A,A91)&gt;0,IF((ABS((SUMIFS(P:P,A:A,A91)/VLOOKUP("USD",'Exchange Rates'!B:C,2,0)))/S91)&gt;1,(SUMIFS(P:P,A:A,A91)-S91)/S91,(S91-SUMIFS(P:P,A:A,A91))/SUMIFS(P:P,A:A,A91)),"."),".")</f>
        <v>0.1713682666666666</v>
      </c>
    </row>
    <row r="92" spans="1:53" ht="15.95" customHeight="1">
      <c r="A92" s="1182" t="s">
        <v>621</v>
      </c>
      <c r="B92" s="1182" t="s">
        <v>558</v>
      </c>
      <c r="C92" s="1220">
        <v>44820</v>
      </c>
      <c r="D92" s="1208" t="s">
        <v>389</v>
      </c>
      <c r="E92" s="1208" t="s">
        <v>443</v>
      </c>
      <c r="F92" s="1208" t="s">
        <v>607</v>
      </c>
      <c r="G92" s="1184" t="s">
        <v>483</v>
      </c>
      <c r="H92" s="1185">
        <v>1757052.4</v>
      </c>
      <c r="I92" s="1208" t="s">
        <v>623</v>
      </c>
      <c r="J92" s="1186" t="str">
        <f>VLOOKUP($I92,'Price List, Weapons &amp; Items'!B:C,2,0)</f>
        <v>Ammunition for light infantry</v>
      </c>
      <c r="K92" s="1186" t="str">
        <f>IF(I92=".",I92,VLOOKUP($I92,'Price List, Weapons &amp; Items'!B:D,3,0))</f>
        <v>Small Arms and Light Weapons (SALW) ammunition</v>
      </c>
      <c r="L92" s="1187">
        <f>VLOOKUP(I92,'Price List, Weapons &amp; Items'!B:E,4,0)</f>
        <v>0</v>
      </c>
      <c r="M92" s="1188">
        <v>300000</v>
      </c>
      <c r="N92" s="1188">
        <v>300000</v>
      </c>
      <c r="O92" s="1188">
        <f>VLOOKUP($I92,'Price List, Weapons &amp; Items'!B:G,6,0)</f>
        <v>5</v>
      </c>
      <c r="P92" s="1185">
        <f t="shared" si="26"/>
        <v>1500000</v>
      </c>
      <c r="Q92" s="1185">
        <f t="shared" si="27"/>
        <v>1500000</v>
      </c>
      <c r="R92" s="1185" t="str">
        <f t="shared" si="23"/>
        <v/>
      </c>
      <c r="S92" s="1185" t="str">
        <f>IF(AND(AD92=1,R92&lt;&gt;".")=TRUE,R92/VLOOKUP(G92,'Exchange Rates'!B:C,2,0),IF(R92=".",".",""))</f>
        <v/>
      </c>
      <c r="T92" s="1185" t="str">
        <f>IF(AD92=1,IF(AF92="Value is not given at all",".",IF(AF92="Value is given by the source",S92,IF(AF92="Value is calculated with prices",(IF(SUMIFS(Q:Q,A:A,A92)&gt;0,SUMIFS(Q:Q,A:A,A92),"."))/VLOOKUP("USD",'Exchange Rates'!B:C,2,0),"Error with coding"))),"")</f>
        <v/>
      </c>
      <c r="U92" s="1184" t="s">
        <v>365</v>
      </c>
      <c r="V92" s="979" t="s">
        <v>614</v>
      </c>
      <c r="W92" s="1262" t="s">
        <v>615</v>
      </c>
      <c r="X92" s="971" t="s">
        <v>616</v>
      </c>
      <c r="Y92" s="972" t="s">
        <v>617</v>
      </c>
      <c r="Z92" s="1184">
        <v>0</v>
      </c>
      <c r="AA92" s="1194">
        <v>0</v>
      </c>
      <c r="AB92" s="979" t="s">
        <v>571</v>
      </c>
      <c r="AC92" s="1192" t="str">
        <f>""</f>
        <v/>
      </c>
      <c r="AD92" s="1193">
        <v>0</v>
      </c>
      <c r="AE92" s="1193" t="s">
        <v>368</v>
      </c>
      <c r="AF92" s="1193" t="s">
        <v>368</v>
      </c>
      <c r="AG92" s="1193">
        <v>1</v>
      </c>
      <c r="AH92" s="1193">
        <v>9</v>
      </c>
      <c r="AI92" s="1193">
        <v>0</v>
      </c>
      <c r="AJ92" s="1193">
        <f>VLOOKUP($I92,'Price List, Weapons &amp; Items'!B:F,5,0)</f>
        <v>0</v>
      </c>
      <c r="AK92" s="1193">
        <f t="shared" si="28"/>
        <v>0</v>
      </c>
      <c r="AL92" s="1193">
        <f t="shared" si="29"/>
        <v>0</v>
      </c>
      <c r="AM92" s="1193">
        <f t="shared" si="30"/>
        <v>1</v>
      </c>
      <c r="AN92" s="1194" t="str">
        <f>VLOOKUP($I92,'Price List, Weapons &amp; Items'!B:L,COLUMN('Price List, Weapons &amp; Items'!$J$11)-1,0)</f>
        <v>Miscellaneous</v>
      </c>
      <c r="AO92" s="1194" t="str">
        <f>IF(I92=".",".",VLOOKUP($I92,'Price List, Weapons &amp; Items'!B:J,3,0))</f>
        <v>Small Arms and Light Weapons (SALW) ammunition</v>
      </c>
      <c r="AP92" s="1195" t="str">
        <f t="shared" ca="1" si="24"/>
        <v/>
      </c>
      <c r="AQ92" s="1194">
        <f>VLOOKUP($I92,'Price List, Weapons &amp; Items'!B:L,COLUMN('Price List, Weapons &amp; Items'!$L$11)-1,0)</f>
        <v>2</v>
      </c>
      <c r="AR92" s="1194">
        <f t="shared" si="31"/>
        <v>1</v>
      </c>
      <c r="AS92" s="1194">
        <f t="shared" si="32"/>
        <v>1</v>
      </c>
      <c r="AT92" s="1194">
        <f t="shared" si="33"/>
        <v>1</v>
      </c>
      <c r="AU92" s="1194" t="str">
        <f t="shared" si="34"/>
        <v>.</v>
      </c>
      <c r="AV92" s="1194" t="str">
        <f t="shared" si="25"/>
        <v>.</v>
      </c>
      <c r="AW92" s="1194" t="str">
        <f t="shared" si="35"/>
        <v>.</v>
      </c>
      <c r="AX92" s="1194">
        <f>IFERROR(VLOOKUP(B92,'Share, Heavy Weapons to Ukraine'!B:Z,COLUMN('Share, Heavy Weapons to Ukraine'!C102)-1,0),0)</f>
        <v>0</v>
      </c>
      <c r="AY92" s="1194">
        <f>VLOOKUP('Bilateral Assistance, MAIN DATA'!B92,'Country Summary (€)'!B:F,COLUMN('Country Summary (€)'!C103)-1,FALSE)</f>
        <v>1</v>
      </c>
      <c r="AZ92" s="1194" t="str">
        <f>IF(AND(AD92=1,D92="Military",H92&lt;&gt;"Not given")=TRUE,IF(SUMIFS(P:P,A:A,A92)&gt;0,ABS((SUMIFS(P:P,A:A,A92)/VLOOKUP("USD",'Exchange Rates'!B:C,2,0)))/S92,"."),".")</f>
        <v>.</v>
      </c>
      <c r="BA92" s="1196" t="str">
        <f>IF(AND(AD92=1,D92="Military",H92&lt;&gt;"Not given")=TRUE,IF(SUMIFS(P:P,A:A,A92)&gt;0,IF((ABS((SUMIFS(P:P,A:A,A92)/VLOOKUP("USD",'Exchange Rates'!B:C,2,0)))/S92)&gt;1,(SUMIFS(P:P,A:A,A92)-S92)/S92,(S92-SUMIFS(P:P,A:A,A92))/SUMIFS(P:P,A:A,A92)),"."),".")</f>
        <v>.</v>
      </c>
    </row>
    <row r="93" spans="1:53" ht="15.95" customHeight="1">
      <c r="A93" s="1182" t="s">
        <v>621</v>
      </c>
      <c r="B93" s="1182" t="s">
        <v>558</v>
      </c>
      <c r="C93" s="1220">
        <v>44820</v>
      </c>
      <c r="D93" s="1208" t="s">
        <v>389</v>
      </c>
      <c r="E93" s="1208" t="s">
        <v>443</v>
      </c>
      <c r="F93" s="1208" t="s">
        <v>607</v>
      </c>
      <c r="G93" s="1184" t="s">
        <v>483</v>
      </c>
      <c r="H93" s="1185">
        <v>1757052.4</v>
      </c>
      <c r="I93" s="1208" t="s">
        <v>623</v>
      </c>
      <c r="J93" s="1186" t="str">
        <f>VLOOKUP($I93,'Price List, Weapons &amp; Items'!B:C,2,0)</f>
        <v>Ammunition for light infantry</v>
      </c>
      <c r="K93" s="1186" t="str">
        <f>IF(I93=".",I93,VLOOKUP($I93,'Price List, Weapons &amp; Items'!B:D,3,0))</f>
        <v>Small Arms and Light Weapons (SALW) ammunition</v>
      </c>
      <c r="L93" s="1187">
        <f>VLOOKUP(I93,'Price List, Weapons &amp; Items'!B:E,4,0)</f>
        <v>0</v>
      </c>
      <c r="M93" s="1188" t="s">
        <v>374</v>
      </c>
      <c r="N93" s="1188" t="s">
        <v>374</v>
      </c>
      <c r="O93" s="1188">
        <f>VLOOKUP($I93,'Price List, Weapons &amp; Items'!B:G,6,0)</f>
        <v>5</v>
      </c>
      <c r="P93" s="1185" t="str">
        <f t="shared" si="26"/>
        <v>.</v>
      </c>
      <c r="Q93" s="1185" t="str">
        <f t="shared" si="27"/>
        <v>.</v>
      </c>
      <c r="R93" s="1185" t="str">
        <f t="shared" si="23"/>
        <v/>
      </c>
      <c r="S93" s="1185" t="str">
        <f>IF(AND(AD93=1,R93&lt;&gt;".")=TRUE,R93/VLOOKUP(G93,'Exchange Rates'!B:C,2,0),IF(R93=".",".",""))</f>
        <v/>
      </c>
      <c r="T93" s="1185" t="str">
        <f>IF(AD93=1,IF(AF93="Value is not given at all",".",IF(AF93="Value is given by the source",S93,IF(AF93="Value is calculated with prices",(IF(SUMIFS(Q:Q,A:A,A93)&gt;0,SUMIFS(Q:Q,A:A,A93),"."))/VLOOKUP("USD",'Exchange Rates'!B:C,2,0),"Error with coding"))),"")</f>
        <v/>
      </c>
      <c r="U93" s="1184" t="s">
        <v>365</v>
      </c>
      <c r="V93" s="979" t="s">
        <v>614</v>
      </c>
      <c r="W93" s="1262" t="s">
        <v>615</v>
      </c>
      <c r="X93" s="971" t="s">
        <v>616</v>
      </c>
      <c r="Y93" s="972" t="s">
        <v>617</v>
      </c>
      <c r="Z93" s="1184">
        <v>0</v>
      </c>
      <c r="AA93" s="1194">
        <v>0</v>
      </c>
      <c r="AB93" s="979" t="s">
        <v>571</v>
      </c>
      <c r="AC93" s="1192" t="str">
        <f>""</f>
        <v/>
      </c>
      <c r="AD93" s="1193">
        <v>0</v>
      </c>
      <c r="AE93" s="1193" t="s">
        <v>368</v>
      </c>
      <c r="AF93" s="1193" t="s">
        <v>368</v>
      </c>
      <c r="AG93" s="1193">
        <v>1</v>
      </c>
      <c r="AH93" s="1193">
        <v>9</v>
      </c>
      <c r="AI93" s="1193">
        <v>0</v>
      </c>
      <c r="AJ93" s="1193">
        <f>VLOOKUP($I93,'Price List, Weapons &amp; Items'!B:F,5,0)</f>
        <v>0</v>
      </c>
      <c r="AK93" s="1193">
        <f t="shared" si="28"/>
        <v>0</v>
      </c>
      <c r="AL93" s="1193">
        <f t="shared" si="29"/>
        <v>0</v>
      </c>
      <c r="AM93" s="1193">
        <f t="shared" si="30"/>
        <v>1</v>
      </c>
      <c r="AN93" s="1194" t="str">
        <f>VLOOKUP($I93,'Price List, Weapons &amp; Items'!B:L,COLUMN('Price List, Weapons &amp; Items'!$J$11)-1,0)</f>
        <v>Miscellaneous</v>
      </c>
      <c r="AO93" s="1194" t="str">
        <f>IF(I93=".",".",VLOOKUP($I93,'Price List, Weapons &amp; Items'!B:J,3,0))</f>
        <v>Small Arms and Light Weapons (SALW) ammunition</v>
      </c>
      <c r="AP93" s="1195" t="str">
        <f t="shared" ca="1" si="24"/>
        <v/>
      </c>
      <c r="AQ93" s="1194">
        <f>VLOOKUP($I93,'Price List, Weapons &amp; Items'!B:L,COLUMN('Price List, Weapons &amp; Items'!$L$11)-1,0)</f>
        <v>2</v>
      </c>
      <c r="AR93" s="1194">
        <f t="shared" si="31"/>
        <v>1</v>
      </c>
      <c r="AS93" s="1194">
        <f t="shared" si="32"/>
        <v>1</v>
      </c>
      <c r="AT93" s="1194">
        <f t="shared" si="33"/>
        <v>1</v>
      </c>
      <c r="AU93" s="1194" t="str">
        <f t="shared" si="34"/>
        <v>.</v>
      </c>
      <c r="AV93" s="1194" t="str">
        <f t="shared" si="25"/>
        <v>.</v>
      </c>
      <c r="AW93" s="1194" t="str">
        <f t="shared" si="35"/>
        <v>.</v>
      </c>
      <c r="AX93" s="1194">
        <f>IFERROR(VLOOKUP(B93,'Share, Heavy Weapons to Ukraine'!B:Z,COLUMN('Share, Heavy Weapons to Ukraine'!C103)-1,0),0)</f>
        <v>0</v>
      </c>
      <c r="AY93" s="1194">
        <f>VLOOKUP('Bilateral Assistance, MAIN DATA'!B93,'Country Summary (€)'!B:F,COLUMN('Country Summary (€)'!C104)-1,FALSE)</f>
        <v>1</v>
      </c>
      <c r="AZ93" s="1194" t="str">
        <f>IF(AND(AD93=1,D93="Military",H93&lt;&gt;"Not given")=TRUE,IF(SUMIFS(P:P,A:A,A93)&gt;0,ABS((SUMIFS(P:P,A:A,A93)/VLOOKUP("USD",'Exchange Rates'!B:C,2,0)))/S93,"."),".")</f>
        <v>.</v>
      </c>
      <c r="BA93" s="1196" t="str">
        <f>IF(AND(AD93=1,D93="Military",H93&lt;&gt;"Not given")=TRUE,IF(SUMIFS(P:P,A:A,A93)&gt;0,IF((ABS((SUMIFS(P:P,A:A,A93)/VLOOKUP("USD",'Exchange Rates'!B:C,2,0)))/S93)&gt;1,(SUMIFS(P:P,A:A,A93)-S93)/S93,(S93-SUMIFS(P:P,A:A,A93))/SUMIFS(P:P,A:A,A93)),"."),".")</f>
        <v>.</v>
      </c>
    </row>
    <row r="94" spans="1:53" ht="15.95" customHeight="1">
      <c r="A94" s="1182" t="s">
        <v>624</v>
      </c>
      <c r="B94" s="1182" t="s">
        <v>558</v>
      </c>
      <c r="C94" s="1220">
        <v>44821</v>
      </c>
      <c r="D94" s="1208" t="s">
        <v>389</v>
      </c>
      <c r="E94" s="1208" t="s">
        <v>390</v>
      </c>
      <c r="F94" s="1208" t="s">
        <v>625</v>
      </c>
      <c r="G94" s="1184" t="s">
        <v>483</v>
      </c>
      <c r="H94" s="1185">
        <v>25004047</v>
      </c>
      <c r="I94" s="1208" t="s">
        <v>626</v>
      </c>
      <c r="J94" s="1186" t="str">
        <f>VLOOKUP($I94,'Price List, Weapons &amp; Items'!B:C,2,0)</f>
        <v>Heavy weapon</v>
      </c>
      <c r="K94" s="1186" t="str">
        <f>IF(I94=".",I94,VLOOKUP($I94,'Price List, Weapons &amp; Items'!B:D,3,0))</f>
        <v>Mortar</v>
      </c>
      <c r="L94" s="1187">
        <f>VLOOKUP(I94,'Price List, Weapons &amp; Items'!B:E,4,0)</f>
        <v>0</v>
      </c>
      <c r="M94" s="1188" t="s">
        <v>374</v>
      </c>
      <c r="N94" s="1188" t="s">
        <v>374</v>
      </c>
      <c r="O94" s="1188">
        <f>VLOOKUP($I94,'Price List, Weapons &amp; Items'!B:G,6,0)</f>
        <v>388500</v>
      </c>
      <c r="P94" s="1185" t="str">
        <f t="shared" si="26"/>
        <v>.</v>
      </c>
      <c r="Q94" s="1185" t="str">
        <f t="shared" si="27"/>
        <v>.</v>
      </c>
      <c r="R94" s="1185">
        <f t="shared" si="23"/>
        <v>25004047</v>
      </c>
      <c r="S94" s="1185">
        <f>IF(AND(AD94=1,R94&lt;&gt;".")=TRUE,R94/VLOOKUP(G94,'Exchange Rates'!B:C,2,0),IF(R94=".",".",""))</f>
        <v>25004047</v>
      </c>
      <c r="T94" s="1185">
        <f>IF(AD94=1,IF(AF94="Value is not given at all",".",IF(AF94="Value is given by the source",S94,IF(AF94="Value is calculated with prices",(IF(SUMIFS(Q:Q,A:A,A94)&gt;0,SUMIFS(Q:Q,A:A,A94),"."))/VLOOKUP("USD",'Exchange Rates'!B:C,2,0),"Error with coding"))),"")</f>
        <v>25004047</v>
      </c>
      <c r="U94" s="1184" t="s">
        <v>365</v>
      </c>
      <c r="V94" s="979" t="s">
        <v>627</v>
      </c>
      <c r="W94" s="979" t="s">
        <v>628</v>
      </c>
      <c r="X94" s="971" t="s">
        <v>629</v>
      </c>
      <c r="Y94" s="980" t="s">
        <v>588</v>
      </c>
      <c r="Z94" s="1184">
        <v>0</v>
      </c>
      <c r="AA94" s="1194">
        <v>0</v>
      </c>
      <c r="AB94" s="979" t="s">
        <v>571</v>
      </c>
      <c r="AC94" s="1192" t="str">
        <f>""</f>
        <v/>
      </c>
      <c r="AD94" s="1193">
        <v>1</v>
      </c>
      <c r="AE94" s="1193" t="s">
        <v>368</v>
      </c>
      <c r="AF94" s="1193" t="s">
        <v>368</v>
      </c>
      <c r="AG94" s="1193">
        <v>1</v>
      </c>
      <c r="AH94" s="1193">
        <v>9</v>
      </c>
      <c r="AI94" s="1193">
        <v>0</v>
      </c>
      <c r="AJ94" s="1193">
        <f>VLOOKUP($I94,'Price List, Weapons &amp; Items'!B:F,5,0)</f>
        <v>0</v>
      </c>
      <c r="AK94" s="1193">
        <f t="shared" si="28"/>
        <v>0</v>
      </c>
      <c r="AL94" s="1193">
        <f t="shared" si="29"/>
        <v>0</v>
      </c>
      <c r="AM94" s="1193">
        <f t="shared" si="30"/>
        <v>0</v>
      </c>
      <c r="AN94" s="1194" t="str">
        <f>VLOOKUP($I94,'Price List, Weapons &amp; Items'!B:L,COLUMN('Price List, Weapons &amp; Items'!$J$11)-1,0)</f>
        <v>Military media (incl. websites)</v>
      </c>
      <c r="AO94" s="1194" t="str">
        <f>IF(I94=".",".",VLOOKUP($I94,'Price List, Weapons &amp; Items'!B:J,3,0))</f>
        <v>Mortar</v>
      </c>
      <c r="AP94" s="1195" t="str">
        <f t="shared" ca="1" si="24"/>
        <v>120mm mortar system</v>
      </c>
      <c r="AQ94" s="1194">
        <f>VLOOKUP($I94,'Price List, Weapons &amp; Items'!B:L,COLUMN('Price List, Weapons &amp; Items'!$L$11)-1,0)</f>
        <v>2</v>
      </c>
      <c r="AR94" s="1194">
        <f t="shared" si="31"/>
        <v>1</v>
      </c>
      <c r="AS94" s="1194">
        <f t="shared" si="32"/>
        <v>1</v>
      </c>
      <c r="AT94" s="1194">
        <f t="shared" si="33"/>
        <v>1</v>
      </c>
      <c r="AU94" s="1194" t="str">
        <f t="shared" si="34"/>
        <v>.</v>
      </c>
      <c r="AV94" s="1194" t="str">
        <f t="shared" si="25"/>
        <v>.</v>
      </c>
      <c r="AW94" s="1194" t="str">
        <f t="shared" si="35"/>
        <v>.</v>
      </c>
      <c r="AX94" s="1194">
        <f>IFERROR(VLOOKUP(B94,'Share, Heavy Weapons to Ukraine'!B:Z,COLUMN('Share, Heavy Weapons to Ukraine'!C104)-1,0),0)</f>
        <v>0</v>
      </c>
      <c r="AY94" s="1194">
        <f>VLOOKUP('Bilateral Assistance, MAIN DATA'!B94,'Country Summary (€)'!B:F,COLUMN('Country Summary (€)'!C105)-1,FALSE)</f>
        <v>1</v>
      </c>
      <c r="AZ94" s="1194">
        <f>IF(AND(AD94=1,D94="Military",H94&lt;&gt;"Not given")=TRUE,IF(SUMIFS(P:P,A:A,A94)&gt;0,ABS((SUMIFS(P:P,A:A,A94)/VLOOKUP("USD",'Exchange Rates'!B:C,2,0)))/S94,"."),".")</f>
        <v>0.88078270597689623</v>
      </c>
      <c r="BA94" s="1196">
        <f>IF(AND(AD94=1,D94="Military",H94&lt;&gt;"Not given")=TRUE,IF(SUMIFS(P:P,A:A,A94)&gt;0,IF((ABS((SUMIFS(P:P,A:A,A94)/VLOOKUP("USD",'Exchange Rates'!B:C,2,0)))/S94)&gt;1,(SUMIFS(P:P,A:A,A94)-S94)/S94,(S94-SUMIFS(P:P,A:A,A94))/SUMIFS(P:P,A:A,A94)),"."),".")</f>
        <v>4.467593747691441E-2</v>
      </c>
    </row>
    <row r="95" spans="1:53" ht="15.95" customHeight="1">
      <c r="A95" s="1182" t="s">
        <v>624</v>
      </c>
      <c r="B95" s="1182" t="s">
        <v>558</v>
      </c>
      <c r="C95" s="1220">
        <v>44821</v>
      </c>
      <c r="D95" s="1208" t="s">
        <v>389</v>
      </c>
      <c r="E95" s="1208" t="s">
        <v>390</v>
      </c>
      <c r="F95" s="1208" t="s">
        <v>625</v>
      </c>
      <c r="G95" s="1184" t="s">
        <v>483</v>
      </c>
      <c r="H95" s="1185">
        <v>25004047</v>
      </c>
      <c r="I95" s="1208" t="s">
        <v>630</v>
      </c>
      <c r="J95" s="1186" t="str">
        <f>VLOOKUP($I95,'Price List, Weapons &amp; Items'!B:C,2,0)</f>
        <v>Light armaments &amp; infantry</v>
      </c>
      <c r="K95" s="1186" t="str">
        <f>IF(I95=".",I95,VLOOKUP($I95,'Price List, Weapons &amp; Items'!B:D,3,0))</f>
        <v>Small Arms and Light Weapons (SALW)</v>
      </c>
      <c r="L95" s="1187">
        <f>VLOOKUP(I95,'Price List, Weapons &amp; Items'!B:E,4,0)</f>
        <v>0</v>
      </c>
      <c r="M95" s="1188" t="s">
        <v>374</v>
      </c>
      <c r="N95" s="1188" t="s">
        <v>374</v>
      </c>
      <c r="O95" s="1188">
        <f>VLOOKUP($I95,'Price List, Weapons &amp; Items'!B:G,6,0)</f>
        <v>5300</v>
      </c>
      <c r="P95" s="1185" t="str">
        <f t="shared" si="26"/>
        <v>.</v>
      </c>
      <c r="Q95" s="1185" t="str">
        <f t="shared" si="27"/>
        <v>.</v>
      </c>
      <c r="R95" s="1185" t="str">
        <f t="shared" si="23"/>
        <v/>
      </c>
      <c r="S95" s="1185" t="str">
        <f>IF(AND(AD95=1,R95&lt;&gt;".")=TRUE,R95/VLOOKUP(G95,'Exchange Rates'!B:C,2,0),IF(R95=".",".",""))</f>
        <v/>
      </c>
      <c r="T95" s="1185" t="str">
        <f>IF(AD95=1,IF(AF95="Value is not given at all",".",IF(AF95="Value is given by the source",S95,IF(AF95="Value is calculated with prices",(IF(SUMIFS(Q:Q,A:A,A95)&gt;0,SUMIFS(Q:Q,A:A,A95),"."))/VLOOKUP("USD",'Exchange Rates'!B:C,2,0),"Error with coding"))),"")</f>
        <v/>
      </c>
      <c r="U95" s="1184" t="s">
        <v>365</v>
      </c>
      <c r="V95" s="979" t="s">
        <v>627</v>
      </c>
      <c r="W95" s="979" t="s">
        <v>628</v>
      </c>
      <c r="X95" s="971" t="s">
        <v>629</v>
      </c>
      <c r="Y95" s="980" t="s">
        <v>588</v>
      </c>
      <c r="Z95" s="1184">
        <v>0</v>
      </c>
      <c r="AA95" s="1194">
        <v>0</v>
      </c>
      <c r="AB95" s="979" t="s">
        <v>571</v>
      </c>
      <c r="AC95" s="1192" t="str">
        <f>""</f>
        <v/>
      </c>
      <c r="AD95" s="1193">
        <v>0</v>
      </c>
      <c r="AE95" s="1193" t="s">
        <v>368</v>
      </c>
      <c r="AF95" s="1193" t="s">
        <v>368</v>
      </c>
      <c r="AG95" s="1193">
        <v>1</v>
      </c>
      <c r="AH95" s="1193">
        <v>9</v>
      </c>
      <c r="AI95" s="1193">
        <v>0</v>
      </c>
      <c r="AJ95" s="1193">
        <f>VLOOKUP($I95,'Price List, Weapons &amp; Items'!B:F,5,0)</f>
        <v>0</v>
      </c>
      <c r="AK95" s="1193">
        <f t="shared" si="28"/>
        <v>0</v>
      </c>
      <c r="AL95" s="1193">
        <f t="shared" si="29"/>
        <v>0</v>
      </c>
      <c r="AM95" s="1193">
        <f t="shared" si="30"/>
        <v>0</v>
      </c>
      <c r="AN95" s="1194" t="str">
        <f>VLOOKUP($I95,'Price List, Weapons &amp; Items'!B:L,COLUMN('Price List, Weapons &amp; Items'!$J$11)-1,0)</f>
        <v>Miscellaneous</v>
      </c>
      <c r="AO95" s="1194" t="str">
        <f>IF(I95=".",".",VLOOKUP($I95,'Price List, Weapons &amp; Items'!B:J,3,0))</f>
        <v>Small Arms and Light Weapons (SALW)</v>
      </c>
      <c r="AP95" s="1195" t="str">
        <f t="shared" ca="1" si="24"/>
        <v/>
      </c>
      <c r="AQ95" s="1194">
        <f>VLOOKUP($I95,'Price List, Weapons &amp; Items'!B:L,COLUMN('Price List, Weapons &amp; Items'!$L$11)-1,0)</f>
        <v>1</v>
      </c>
      <c r="AR95" s="1194">
        <f t="shared" si="31"/>
        <v>1</v>
      </c>
      <c r="AS95" s="1194">
        <f t="shared" si="32"/>
        <v>1</v>
      </c>
      <c r="AT95" s="1194">
        <f t="shared" si="33"/>
        <v>1</v>
      </c>
      <c r="AU95" s="1194" t="str">
        <f t="shared" si="34"/>
        <v>.</v>
      </c>
      <c r="AV95" s="1194" t="str">
        <f t="shared" si="25"/>
        <v>.</v>
      </c>
      <c r="AW95" s="1194" t="str">
        <f t="shared" si="35"/>
        <v>.</v>
      </c>
      <c r="AX95" s="1194">
        <f>IFERROR(VLOOKUP(B95,'Share, Heavy Weapons to Ukraine'!B:Z,COLUMN('Share, Heavy Weapons to Ukraine'!C105)-1,0),0)</f>
        <v>0</v>
      </c>
      <c r="AY95" s="1194">
        <f>VLOOKUP('Bilateral Assistance, MAIN DATA'!B95,'Country Summary (€)'!B:F,COLUMN('Country Summary (€)'!C106)-1,FALSE)</f>
        <v>1</v>
      </c>
      <c r="AZ95" s="1194" t="str">
        <f>IF(AND(AD95=1,D95="Military",H95&lt;&gt;"Not given")=TRUE,IF(SUMIFS(P:P,A:A,A95)&gt;0,ABS((SUMIFS(P:P,A:A,A95)/VLOOKUP("USD",'Exchange Rates'!B:C,2,0)))/S95,"."),".")</f>
        <v>.</v>
      </c>
      <c r="BA95" s="1196" t="str">
        <f>IF(AND(AD95=1,D95="Military",H95&lt;&gt;"Not given")=TRUE,IF(SUMIFS(P:P,A:A,A95)&gt;0,IF((ABS((SUMIFS(P:P,A:A,A95)/VLOOKUP("USD",'Exchange Rates'!B:C,2,0)))/S95)&gt;1,(SUMIFS(P:P,A:A,A95)-S95)/S95,(S95-SUMIFS(P:P,A:A,A95))/SUMIFS(P:P,A:A,A95)),"."),".")</f>
        <v>.</v>
      </c>
    </row>
    <row r="96" spans="1:53" ht="15.95" customHeight="1">
      <c r="A96" s="1182" t="s">
        <v>624</v>
      </c>
      <c r="B96" s="1182" t="s">
        <v>558</v>
      </c>
      <c r="C96" s="1220">
        <v>44821</v>
      </c>
      <c r="D96" s="1208" t="s">
        <v>389</v>
      </c>
      <c r="E96" s="1208" t="s">
        <v>390</v>
      </c>
      <c r="F96" s="1208" t="s">
        <v>625</v>
      </c>
      <c r="G96" s="1184" t="s">
        <v>483</v>
      </c>
      <c r="H96" s="1185">
        <v>25004047</v>
      </c>
      <c r="I96" s="1208" t="s">
        <v>631</v>
      </c>
      <c r="J96" s="1186" t="str">
        <f>VLOOKUP($I96,'Price List, Weapons &amp; Items'!B:C,2,0)</f>
        <v>Ammunition</v>
      </c>
      <c r="K96" s="1186" t="str">
        <f>IF(I96=".",I96,VLOOKUP($I96,'Price List, Weapons &amp; Items'!B:D,3,0))</f>
        <v>Military equipment</v>
      </c>
      <c r="L96" s="1187">
        <f>VLOOKUP(I96,'Price List, Weapons &amp; Items'!B:E,4,0)</f>
        <v>0</v>
      </c>
      <c r="M96" s="1188" t="s">
        <v>374</v>
      </c>
      <c r="N96" s="1188" t="s">
        <v>374</v>
      </c>
      <c r="O96" s="1188" t="str">
        <f>VLOOKUP($I96,'Price List, Weapons &amp; Items'!B:G,6,0)</f>
        <v>.</v>
      </c>
      <c r="P96" s="1185" t="str">
        <f t="shared" si="26"/>
        <v>.</v>
      </c>
      <c r="Q96" s="1185" t="str">
        <f t="shared" si="27"/>
        <v>.</v>
      </c>
      <c r="R96" s="1185" t="str">
        <f t="shared" si="23"/>
        <v/>
      </c>
      <c r="S96" s="1185" t="str">
        <f>IF(AND(AD96=1,R96&lt;&gt;".")=TRUE,R96/VLOOKUP(G96,'Exchange Rates'!B:C,2,0),IF(R96=".",".",""))</f>
        <v/>
      </c>
      <c r="T96" s="1185" t="str">
        <f>IF(AD96=1,IF(AF96="Value is not given at all",".",IF(AF96="Value is given by the source",S96,IF(AF96="Value is calculated with prices",(IF(SUMIFS(Q:Q,A:A,A96)&gt;0,SUMIFS(Q:Q,A:A,A96),"."))/VLOOKUP("USD",'Exchange Rates'!B:C,2,0),"Error with coding"))),"")</f>
        <v/>
      </c>
      <c r="U96" s="1184" t="s">
        <v>365</v>
      </c>
      <c r="V96" s="979" t="s">
        <v>627</v>
      </c>
      <c r="W96" s="1262" t="s">
        <v>628</v>
      </c>
      <c r="X96" s="971" t="s">
        <v>629</v>
      </c>
      <c r="Y96" s="980" t="s">
        <v>588</v>
      </c>
      <c r="Z96" s="1184">
        <v>0</v>
      </c>
      <c r="AA96" s="1194">
        <v>0</v>
      </c>
      <c r="AB96" s="979" t="s">
        <v>571</v>
      </c>
      <c r="AC96" s="1192" t="str">
        <f>""</f>
        <v/>
      </c>
      <c r="AD96" s="1193">
        <v>0</v>
      </c>
      <c r="AE96" s="1193" t="s">
        <v>368</v>
      </c>
      <c r="AF96" s="1193" t="s">
        <v>368</v>
      </c>
      <c r="AG96" s="1193">
        <v>1</v>
      </c>
      <c r="AH96" s="1193">
        <v>9</v>
      </c>
      <c r="AI96" s="1193">
        <v>0</v>
      </c>
      <c r="AJ96" s="1193">
        <f>VLOOKUP($I96,'Price List, Weapons &amp; Items'!B:F,5,0)</f>
        <v>0</v>
      </c>
      <c r="AK96" s="1193">
        <f t="shared" si="28"/>
        <v>0</v>
      </c>
      <c r="AL96" s="1193">
        <f t="shared" si="29"/>
        <v>0</v>
      </c>
      <c r="AM96" s="1193">
        <f t="shared" si="30"/>
        <v>1</v>
      </c>
      <c r="AN96" s="1194" t="str">
        <f>VLOOKUP($I96,'Price List, Weapons &amp; Items'!B:L,COLUMN('Price List, Weapons &amp; Items'!$J$11)-1,0)</f>
        <v>.</v>
      </c>
      <c r="AO96" s="1194" t="str">
        <f>IF(I96=".",".",VLOOKUP($I96,'Price List, Weapons &amp; Items'!B:J,3,0))</f>
        <v>Military equipment</v>
      </c>
      <c r="AP96" s="1195" t="str">
        <f t="shared" ca="1" si="24"/>
        <v/>
      </c>
      <c r="AQ96" s="1194">
        <f>VLOOKUP($I96,'Price List, Weapons &amp; Items'!B:L,COLUMN('Price List, Weapons &amp; Items'!$L$11)-1,0)</f>
        <v>0</v>
      </c>
      <c r="AR96" s="1194">
        <f t="shared" si="31"/>
        <v>1</v>
      </c>
      <c r="AS96" s="1194">
        <f t="shared" si="32"/>
        <v>1</v>
      </c>
      <c r="AT96" s="1194">
        <f t="shared" si="33"/>
        <v>1</v>
      </c>
      <c r="AU96" s="1194" t="str">
        <f t="shared" si="34"/>
        <v>.</v>
      </c>
      <c r="AV96" s="1194" t="str">
        <f t="shared" si="25"/>
        <v>.</v>
      </c>
      <c r="AW96" s="1194" t="str">
        <f t="shared" si="35"/>
        <v>.</v>
      </c>
      <c r="AX96" s="1194">
        <f>IFERROR(VLOOKUP(B96,'Share, Heavy Weapons to Ukraine'!B:Z,COLUMN('Share, Heavy Weapons to Ukraine'!C106)-1,0),0)</f>
        <v>0</v>
      </c>
      <c r="AY96" s="1194">
        <f>VLOOKUP('Bilateral Assistance, MAIN DATA'!B96,'Country Summary (€)'!B:F,COLUMN('Country Summary (€)'!C107)-1,FALSE)</f>
        <v>1</v>
      </c>
      <c r="AZ96" s="1194" t="str">
        <f>IF(AND(AD96=1,D96="Military",H96&lt;&gt;"Not given")=TRUE,IF(SUMIFS(P:P,A:A,A96)&gt;0,ABS((SUMIFS(P:P,A:A,A96)/VLOOKUP("USD",'Exchange Rates'!B:C,2,0)))/S96,"."),".")</f>
        <v>.</v>
      </c>
      <c r="BA96" s="1196" t="str">
        <f>IF(AND(AD96=1,D96="Military",H96&lt;&gt;"Not given")=TRUE,IF(SUMIFS(P:P,A:A,A96)&gt;0,IF((ABS((SUMIFS(P:P,A:A,A96)/VLOOKUP("USD",'Exchange Rates'!B:C,2,0)))/S96)&gt;1,(SUMIFS(P:P,A:A,A96)-S96)/S96,(S96-SUMIFS(P:P,A:A,A96))/SUMIFS(P:P,A:A,A96)),"."),".")</f>
        <v>.</v>
      </c>
    </row>
    <row r="97" spans="1:53" ht="15.95" customHeight="1">
      <c r="A97" s="1182" t="s">
        <v>624</v>
      </c>
      <c r="B97" s="1182" t="s">
        <v>558</v>
      </c>
      <c r="C97" s="1220">
        <v>44821</v>
      </c>
      <c r="D97" s="1208" t="s">
        <v>389</v>
      </c>
      <c r="E97" s="1208" t="s">
        <v>390</v>
      </c>
      <c r="F97" s="1208" t="s">
        <v>625</v>
      </c>
      <c r="G97" s="1184" t="s">
        <v>483</v>
      </c>
      <c r="H97" s="1185">
        <v>25004047</v>
      </c>
      <c r="I97" s="1208" t="s">
        <v>618</v>
      </c>
      <c r="J97" s="1186" t="str">
        <f>VLOOKUP($I97,'Price List, Weapons &amp; Items'!B:C,2,0)</f>
        <v>Military equipment</v>
      </c>
      <c r="K97" s="1186" t="str">
        <f>IF(I97=".",I97,VLOOKUP($I97,'Price List, Weapons &amp; Items'!B:D,3,0))</f>
        <v>Military equipment</v>
      </c>
      <c r="L97" s="1187">
        <f>VLOOKUP(I97,'Price List, Weapons &amp; Items'!B:E,4,0)</f>
        <v>0</v>
      </c>
      <c r="M97" s="1188">
        <f>41350+1800</f>
        <v>43150</v>
      </c>
      <c r="N97" s="1188">
        <f>41350+1800</f>
        <v>43150</v>
      </c>
      <c r="O97" s="1188">
        <f>VLOOKUP($I97,'Price List, Weapons &amp; Items'!B:G,6,0)</f>
        <v>59.234999999999999</v>
      </c>
      <c r="P97" s="1185">
        <f t="shared" si="26"/>
        <v>2555990.25</v>
      </c>
      <c r="Q97" s="1185">
        <f t="shared" si="27"/>
        <v>2555990.25</v>
      </c>
      <c r="R97" s="1185" t="str">
        <f t="shared" si="23"/>
        <v/>
      </c>
      <c r="S97" s="1185" t="str">
        <f>IF(AND(AD97=1,R97&lt;&gt;".")=TRUE,R97/VLOOKUP(G97,'Exchange Rates'!B:C,2,0),IF(R97=".",".",""))</f>
        <v/>
      </c>
      <c r="T97" s="1185" t="str">
        <f>IF(AD97=1,IF(AF97="Value is not given at all",".",IF(AF97="Value is given by the source",S97,IF(AF97="Value is calculated with prices",(IF(SUMIFS(Q:Q,A:A,A97)&gt;0,SUMIFS(Q:Q,A:A,A97),"."))/VLOOKUP("USD",'Exchange Rates'!B:C,2,0),"Error with coding"))),"")</f>
        <v/>
      </c>
      <c r="U97" s="1184" t="s">
        <v>365</v>
      </c>
      <c r="V97" s="979" t="s">
        <v>627</v>
      </c>
      <c r="W97" s="1262" t="s">
        <v>628</v>
      </c>
      <c r="X97" s="971" t="s">
        <v>629</v>
      </c>
      <c r="Y97" s="980" t="s">
        <v>588</v>
      </c>
      <c r="Z97" s="1184">
        <v>0</v>
      </c>
      <c r="AA97" s="1194">
        <v>0</v>
      </c>
      <c r="AB97" s="979" t="s">
        <v>571</v>
      </c>
      <c r="AC97" s="1192" t="str">
        <f>""</f>
        <v/>
      </c>
      <c r="AD97" s="1193">
        <v>0</v>
      </c>
      <c r="AE97" s="1193" t="s">
        <v>368</v>
      </c>
      <c r="AF97" s="1193" t="s">
        <v>368</v>
      </c>
      <c r="AG97" s="1193">
        <v>1</v>
      </c>
      <c r="AH97" s="1193">
        <v>9</v>
      </c>
      <c r="AI97" s="1193">
        <v>0</v>
      </c>
      <c r="AJ97" s="1193">
        <f>VLOOKUP($I97,'Price List, Weapons &amp; Items'!B:F,5,0)</f>
        <v>0</v>
      </c>
      <c r="AK97" s="1193">
        <f t="shared" si="28"/>
        <v>0</v>
      </c>
      <c r="AL97" s="1193">
        <f t="shared" si="29"/>
        <v>0</v>
      </c>
      <c r="AM97" s="1193">
        <f t="shared" si="30"/>
        <v>0</v>
      </c>
      <c r="AN97" s="1194" t="str">
        <f>VLOOKUP($I97,'Price List, Weapons &amp; Items'!B:L,COLUMN('Price List, Weapons &amp; Items'!$J$11)-1,0)</f>
        <v>Government information</v>
      </c>
      <c r="AO97" s="1194" t="str">
        <f>IF(I97=".",".",VLOOKUP($I97,'Price List, Weapons &amp; Items'!B:J,3,0))</f>
        <v>Military equipment</v>
      </c>
      <c r="AP97" s="1195" t="str">
        <f t="shared" ca="1" si="24"/>
        <v/>
      </c>
      <c r="AQ97" s="1194">
        <f>VLOOKUP($I97,'Price List, Weapons &amp; Items'!B:L,COLUMN('Price List, Weapons &amp; Items'!$L$11)-1,0)</f>
        <v>2</v>
      </c>
      <c r="AR97" s="1194">
        <f t="shared" si="31"/>
        <v>1</v>
      </c>
      <c r="AS97" s="1194">
        <f t="shared" si="32"/>
        <v>1</v>
      </c>
      <c r="AT97" s="1194">
        <f t="shared" si="33"/>
        <v>1</v>
      </c>
      <c r="AU97" s="1194" t="str">
        <f t="shared" si="34"/>
        <v>.</v>
      </c>
      <c r="AV97" s="1194" t="str">
        <f t="shared" si="25"/>
        <v>.</v>
      </c>
      <c r="AW97" s="1194" t="str">
        <f t="shared" si="35"/>
        <v>.</v>
      </c>
      <c r="AX97" s="1194">
        <f>IFERROR(VLOOKUP(B97,'Share, Heavy Weapons to Ukraine'!B:Z,COLUMN('Share, Heavy Weapons to Ukraine'!C107)-1,0),0)</f>
        <v>0</v>
      </c>
      <c r="AY97" s="1194">
        <f>VLOOKUP('Bilateral Assistance, MAIN DATA'!B97,'Country Summary (€)'!B:F,COLUMN('Country Summary (€)'!C108)-1,FALSE)</f>
        <v>1</v>
      </c>
      <c r="AZ97" s="1194" t="str">
        <f>IF(AND(AD97=1,D97="Military",H97&lt;&gt;"Not given")=TRUE,IF(SUMIFS(P:P,A:A,A97)&gt;0,ABS((SUMIFS(P:P,A:A,A97)/VLOOKUP("USD",'Exchange Rates'!B:C,2,0)))/S97,"."),".")</f>
        <v>.</v>
      </c>
      <c r="BA97" s="1196" t="str">
        <f>IF(AND(AD97=1,D97="Military",H97&lt;&gt;"Not given")=TRUE,IF(SUMIFS(P:P,A:A,A97)&gt;0,IF((ABS((SUMIFS(P:P,A:A,A97)/VLOOKUP("USD",'Exchange Rates'!B:C,2,0)))/S97)&gt;1,(SUMIFS(P:P,A:A,A97)-S97)/S97,(S97-SUMIFS(P:P,A:A,A97))/SUMIFS(P:P,A:A,A97)),"."),".")</f>
        <v>.</v>
      </c>
    </row>
    <row r="98" spans="1:53" ht="15.95" customHeight="1">
      <c r="A98" s="1182" t="s">
        <v>624</v>
      </c>
      <c r="B98" s="1182" t="s">
        <v>558</v>
      </c>
      <c r="C98" s="1220">
        <v>44821</v>
      </c>
      <c r="D98" s="1208" t="s">
        <v>389</v>
      </c>
      <c r="E98" s="1208" t="s">
        <v>390</v>
      </c>
      <c r="F98" s="1208" t="s">
        <v>625</v>
      </c>
      <c r="G98" s="1184" t="s">
        <v>483</v>
      </c>
      <c r="H98" s="1185">
        <v>25004047</v>
      </c>
      <c r="I98" s="1208" t="s">
        <v>594</v>
      </c>
      <c r="J98" s="1186" t="str">
        <f>VLOOKUP($I98,'Price List, Weapons &amp; Items'!B:C,2,0)</f>
        <v>Military equipment</v>
      </c>
      <c r="K98" s="1186" t="str">
        <f>IF(I98=".",I98,VLOOKUP($I98,'Price List, Weapons &amp; Items'!B:D,3,0))</f>
        <v>Military equipment</v>
      </c>
      <c r="L98" s="1187">
        <f>VLOOKUP(I98,'Price List, Weapons &amp; Items'!B:E,4,0)</f>
        <v>0</v>
      </c>
      <c r="M98" s="1188" t="s">
        <v>374</v>
      </c>
      <c r="N98" s="1188" t="s">
        <v>374</v>
      </c>
      <c r="O98" s="1188">
        <f>VLOOKUP($I98,'Price List, Weapons &amp; Items'!B:G,6,0)</f>
        <v>1400</v>
      </c>
      <c r="P98" s="1185" t="str">
        <f t="shared" si="26"/>
        <v>.</v>
      </c>
      <c r="Q98" s="1185" t="str">
        <f t="shared" si="27"/>
        <v>.</v>
      </c>
      <c r="R98" s="1185" t="str">
        <f t="shared" si="23"/>
        <v/>
      </c>
      <c r="S98" s="1185" t="str">
        <f>IF(AND(AD98=1,R98&lt;&gt;".")=TRUE,R98/VLOOKUP(G98,'Exchange Rates'!B:C,2,0),IF(R98=".",".",""))</f>
        <v/>
      </c>
      <c r="T98" s="1185" t="str">
        <f>IF(AD98=1,IF(AF98="Value is not given at all",".",IF(AF98="Value is given by the source",S98,IF(AF98="Value is calculated with prices",(IF(SUMIFS(Q:Q,A:A,A98)&gt;0,SUMIFS(Q:Q,A:A,A98),"."))/VLOOKUP("USD",'Exchange Rates'!B:C,2,0),"Error with coding"))),"")</f>
        <v/>
      </c>
      <c r="U98" s="1184" t="s">
        <v>365</v>
      </c>
      <c r="V98" s="979" t="s">
        <v>627</v>
      </c>
      <c r="W98" s="1262" t="s">
        <v>628</v>
      </c>
      <c r="X98" s="971" t="s">
        <v>629</v>
      </c>
      <c r="Y98" s="980" t="s">
        <v>588</v>
      </c>
      <c r="Z98" s="1184">
        <v>0</v>
      </c>
      <c r="AA98" s="1194">
        <v>0</v>
      </c>
      <c r="AB98" s="979" t="s">
        <v>571</v>
      </c>
      <c r="AC98" s="1192" t="str">
        <f>""</f>
        <v/>
      </c>
      <c r="AD98" s="1193">
        <v>0</v>
      </c>
      <c r="AE98" s="1193" t="s">
        <v>368</v>
      </c>
      <c r="AF98" s="1193" t="s">
        <v>368</v>
      </c>
      <c r="AG98" s="1193">
        <v>1</v>
      </c>
      <c r="AH98" s="1193">
        <v>9</v>
      </c>
      <c r="AI98" s="1193">
        <v>0</v>
      </c>
      <c r="AJ98" s="1193">
        <f>VLOOKUP($I98,'Price List, Weapons &amp; Items'!B:F,5,0)</f>
        <v>0</v>
      </c>
      <c r="AK98" s="1193">
        <f t="shared" si="28"/>
        <v>0</v>
      </c>
      <c r="AL98" s="1193">
        <f t="shared" si="29"/>
        <v>0</v>
      </c>
      <c r="AM98" s="1193">
        <f t="shared" si="30"/>
        <v>0</v>
      </c>
      <c r="AN98" s="1194" t="str">
        <f>VLOOKUP($I98,'Price List, Weapons &amp; Items'!B:L,COLUMN('Price List, Weapons &amp; Items'!$J$11)-1,0)</f>
        <v>Military media (incl. websites)</v>
      </c>
      <c r="AO98" s="1194" t="str">
        <f>IF(I98=".",".",VLOOKUP($I98,'Price List, Weapons &amp; Items'!B:J,3,0))</f>
        <v>Military equipment</v>
      </c>
      <c r="AP98" s="1195" t="str">
        <f t="shared" ca="1" si="24"/>
        <v/>
      </c>
      <c r="AQ98" s="1194">
        <f>VLOOKUP($I98,'Price List, Weapons &amp; Items'!B:L,COLUMN('Price List, Weapons &amp; Items'!$L$11)-1,0)</f>
        <v>2</v>
      </c>
      <c r="AR98" s="1194">
        <f t="shared" si="31"/>
        <v>1</v>
      </c>
      <c r="AS98" s="1194">
        <f t="shared" si="32"/>
        <v>1</v>
      </c>
      <c r="AT98" s="1194">
        <f t="shared" si="33"/>
        <v>1</v>
      </c>
      <c r="AU98" s="1194" t="str">
        <f t="shared" si="34"/>
        <v>.</v>
      </c>
      <c r="AV98" s="1194" t="str">
        <f t="shared" si="25"/>
        <v>.</v>
      </c>
      <c r="AW98" s="1194" t="str">
        <f t="shared" si="35"/>
        <v>.</v>
      </c>
      <c r="AX98" s="1194">
        <f>IFERROR(VLOOKUP(B98,'Share, Heavy Weapons to Ukraine'!B:Z,COLUMN('Share, Heavy Weapons to Ukraine'!C108)-1,0),0)</f>
        <v>0</v>
      </c>
      <c r="AY98" s="1194">
        <f>VLOOKUP('Bilateral Assistance, MAIN DATA'!B98,'Country Summary (€)'!B:F,COLUMN('Country Summary (€)'!C109)-1,FALSE)</f>
        <v>1</v>
      </c>
      <c r="AZ98" s="1194" t="str">
        <f>IF(AND(AD98=1,D98="Military",H98&lt;&gt;"Not given")=TRUE,IF(SUMIFS(P:P,A:A,A98)&gt;0,ABS((SUMIFS(P:P,A:A,A98)/VLOOKUP("USD",'Exchange Rates'!B:C,2,0)))/S98,"."),".")</f>
        <v>.</v>
      </c>
      <c r="BA98" s="1196" t="str">
        <f>IF(AND(AD98=1,D98="Military",H98&lt;&gt;"Not given")=TRUE,IF(SUMIFS(P:P,A:A,A98)&gt;0,IF((ABS((SUMIFS(P:P,A:A,A98)/VLOOKUP("USD",'Exchange Rates'!B:C,2,0)))/S98)&gt;1,(SUMIFS(P:P,A:A,A98)-S98)/S98,(S98-SUMIFS(P:P,A:A,A98))/SUMIFS(P:P,A:A,A98)),"."),".")</f>
        <v>.</v>
      </c>
    </row>
    <row r="99" spans="1:53" ht="15.95" customHeight="1">
      <c r="A99" s="1182" t="s">
        <v>624</v>
      </c>
      <c r="B99" s="1182" t="s">
        <v>558</v>
      </c>
      <c r="C99" s="1220">
        <v>44821</v>
      </c>
      <c r="D99" s="1208" t="s">
        <v>389</v>
      </c>
      <c r="E99" s="1208" t="s">
        <v>390</v>
      </c>
      <c r="F99" s="1208" t="s">
        <v>625</v>
      </c>
      <c r="G99" s="1184" t="s">
        <v>483</v>
      </c>
      <c r="H99" s="1185">
        <v>25004047</v>
      </c>
      <c r="I99" s="1208" t="s">
        <v>604</v>
      </c>
      <c r="J99" s="1186" t="str">
        <f>VLOOKUP($I99,'Price List, Weapons &amp; Items'!B:C,2,0)</f>
        <v>Military equipment</v>
      </c>
      <c r="K99" s="1186" t="str">
        <f>IF(I99=".",I99,VLOOKUP($I99,'Price List, Weapons &amp; Items'!B:D,3,0))</f>
        <v>Military equipment</v>
      </c>
      <c r="L99" s="1187">
        <f>VLOOKUP(I99,'Price List, Weapons &amp; Items'!B:E,4,0)</f>
        <v>0</v>
      </c>
      <c r="M99" s="1188">
        <f>17000+25000</f>
        <v>42000</v>
      </c>
      <c r="N99" s="1188">
        <f>17000+25000</f>
        <v>42000</v>
      </c>
      <c r="O99" s="1188">
        <f>VLOOKUP($I99,'Price List, Weapons &amp; Items'!B:G,6,0)</f>
        <v>500</v>
      </c>
      <c r="P99" s="1185">
        <f t="shared" si="26"/>
        <v>21000000</v>
      </c>
      <c r="Q99" s="1185">
        <f t="shared" si="27"/>
        <v>21000000</v>
      </c>
      <c r="R99" s="1185" t="str">
        <f t="shared" si="23"/>
        <v/>
      </c>
      <c r="S99" s="1185" t="str">
        <f>IF(AND(AD99=1,R99&lt;&gt;".")=TRUE,R99/VLOOKUP(G99,'Exchange Rates'!B:C,2,0),IF(R99=".",".",""))</f>
        <v/>
      </c>
      <c r="T99" s="1185" t="str">
        <f>IF(AD99=1,IF(AF99="Value is not given at all",".",IF(AF99="Value is given by the source",S99,IF(AF99="Value is calculated with prices",(IF(SUMIFS(Q:Q,A:A,A99)&gt;0,SUMIFS(Q:Q,A:A,A99),"."))/VLOOKUP("USD",'Exchange Rates'!B:C,2,0),"Error with coding"))),"")</f>
        <v/>
      </c>
      <c r="U99" s="1184" t="s">
        <v>365</v>
      </c>
      <c r="V99" s="979" t="s">
        <v>627</v>
      </c>
      <c r="W99" s="1262" t="s">
        <v>628</v>
      </c>
      <c r="X99" s="971" t="s">
        <v>629</v>
      </c>
      <c r="Y99" s="980" t="s">
        <v>588</v>
      </c>
      <c r="Z99" s="1184">
        <v>0</v>
      </c>
      <c r="AA99" s="1194">
        <v>0</v>
      </c>
      <c r="AB99" s="979" t="s">
        <v>571</v>
      </c>
      <c r="AC99" s="1192" t="str">
        <f>""</f>
        <v/>
      </c>
      <c r="AD99" s="1193">
        <v>0</v>
      </c>
      <c r="AE99" s="1193" t="s">
        <v>368</v>
      </c>
      <c r="AF99" s="1193" t="s">
        <v>368</v>
      </c>
      <c r="AG99" s="1193">
        <v>1</v>
      </c>
      <c r="AH99" s="1193">
        <v>9</v>
      </c>
      <c r="AI99" s="1193">
        <v>0</v>
      </c>
      <c r="AJ99" s="1193">
        <f>VLOOKUP($I99,'Price List, Weapons &amp; Items'!B:F,5,0)</f>
        <v>0</v>
      </c>
      <c r="AK99" s="1193">
        <f t="shared" si="28"/>
        <v>0</v>
      </c>
      <c r="AL99" s="1193">
        <f t="shared" si="29"/>
        <v>0</v>
      </c>
      <c r="AM99" s="1193">
        <f t="shared" si="30"/>
        <v>0</v>
      </c>
      <c r="AN99" s="1194" t="str">
        <f>VLOOKUP($I99,'Price List, Weapons &amp; Items'!B:L,COLUMN('Price List, Weapons &amp; Items'!$J$11)-1,0)</f>
        <v>Military media (incl. websites)</v>
      </c>
      <c r="AO99" s="1194" t="str">
        <f>IF(I99=".",".",VLOOKUP($I99,'Price List, Weapons &amp; Items'!B:J,3,0))</f>
        <v>Military equipment</v>
      </c>
      <c r="AP99" s="1195" t="str">
        <f t="shared" ca="1" si="24"/>
        <v/>
      </c>
      <c r="AQ99" s="1194">
        <f>VLOOKUP($I99,'Price List, Weapons &amp; Items'!B:L,COLUMN('Price List, Weapons &amp; Items'!$L$11)-1,0)</f>
        <v>2</v>
      </c>
      <c r="AR99" s="1194">
        <f t="shared" si="31"/>
        <v>1</v>
      </c>
      <c r="AS99" s="1194">
        <f t="shared" si="32"/>
        <v>1</v>
      </c>
      <c r="AT99" s="1194">
        <f t="shared" si="33"/>
        <v>1</v>
      </c>
      <c r="AU99" s="1194" t="str">
        <f t="shared" si="34"/>
        <v>.</v>
      </c>
      <c r="AV99" s="1194" t="str">
        <f t="shared" si="25"/>
        <v>.</v>
      </c>
      <c r="AW99" s="1194" t="str">
        <f t="shared" si="35"/>
        <v>.</v>
      </c>
      <c r="AX99" s="1194">
        <f>IFERROR(VLOOKUP(B99,'Share, Heavy Weapons to Ukraine'!B:Z,COLUMN('Share, Heavy Weapons to Ukraine'!C109)-1,0),0)</f>
        <v>0</v>
      </c>
      <c r="AY99" s="1194">
        <f>VLOOKUP('Bilateral Assistance, MAIN DATA'!B99,'Country Summary (€)'!B:F,COLUMN('Country Summary (€)'!C110)-1,FALSE)</f>
        <v>1</v>
      </c>
      <c r="AZ99" s="1194" t="str">
        <f>IF(AND(AD99=1,D99="Military",H99&lt;&gt;"Not given")=TRUE,IF(SUMIFS(P:P,A:A,A99)&gt;0,ABS((SUMIFS(P:P,A:A,A99)/VLOOKUP("USD",'Exchange Rates'!B:C,2,0)))/S99,"."),".")</f>
        <v>.</v>
      </c>
      <c r="BA99" s="1196" t="str">
        <f>IF(AND(AD99=1,D99="Military",H99&lt;&gt;"Not given")=TRUE,IF(SUMIFS(P:P,A:A,A99)&gt;0,IF((ABS((SUMIFS(P:P,A:A,A99)/VLOOKUP("USD",'Exchange Rates'!B:C,2,0)))/S99)&gt;1,(SUMIFS(P:P,A:A,A99)-S99)/S99,(S99-SUMIFS(P:P,A:A,A99))/SUMIFS(P:P,A:A,A99)),"."),".")</f>
        <v>.</v>
      </c>
    </row>
    <row r="100" spans="1:53" ht="15.95" customHeight="1">
      <c r="A100" s="1182" t="s">
        <v>624</v>
      </c>
      <c r="B100" s="1182" t="s">
        <v>558</v>
      </c>
      <c r="C100" s="1220">
        <v>44821</v>
      </c>
      <c r="D100" s="1208" t="s">
        <v>389</v>
      </c>
      <c r="E100" s="1208" t="s">
        <v>390</v>
      </c>
      <c r="F100" s="1208" t="s">
        <v>625</v>
      </c>
      <c r="G100" s="1184" t="s">
        <v>483</v>
      </c>
      <c r="H100" s="1185">
        <v>25004047</v>
      </c>
      <c r="I100" s="1208" t="s">
        <v>632</v>
      </c>
      <c r="J100" s="1186" t="str">
        <f>VLOOKUP($I100,'Price List, Weapons &amp; Items'!B:C,2,0)</f>
        <v>Military equipment</v>
      </c>
      <c r="K100" s="1186" t="str">
        <f>IF(I100=".",I100,VLOOKUP($I100,'Price List, Weapons &amp; Items'!B:D,3,0))</f>
        <v>spare parts</v>
      </c>
      <c r="L100" s="1187">
        <f>VLOOKUP(I100,'Price List, Weapons &amp; Items'!B:E,4,0)</f>
        <v>0</v>
      </c>
      <c r="M100" s="1188" t="s">
        <v>374</v>
      </c>
      <c r="N100" s="1188" t="s">
        <v>374</v>
      </c>
      <c r="O100" s="1188" t="str">
        <f>VLOOKUP($I100,'Price List, Weapons &amp; Items'!B:G,6,0)</f>
        <v>.</v>
      </c>
      <c r="P100" s="1185" t="str">
        <f t="shared" si="26"/>
        <v>.</v>
      </c>
      <c r="Q100" s="1185" t="str">
        <f t="shared" si="27"/>
        <v>.</v>
      </c>
      <c r="R100" s="1185" t="str">
        <f t="shared" si="23"/>
        <v/>
      </c>
      <c r="S100" s="1185" t="str">
        <f>IF(AND(AD100=1,R100&lt;&gt;".")=TRUE,R100/VLOOKUP(G100,'Exchange Rates'!B:C,2,0),IF(R100=".",".",""))</f>
        <v/>
      </c>
      <c r="T100" s="1185" t="str">
        <f>IF(AD100=1,IF(AF100="Value is not given at all",".",IF(AF100="Value is given by the source",S100,IF(AF100="Value is calculated with prices",(IF(SUMIFS(Q:Q,A:A,A100)&gt;0,SUMIFS(Q:Q,A:A,A100),"."))/VLOOKUP("USD",'Exchange Rates'!B:C,2,0),"Error with coding"))),"")</f>
        <v/>
      </c>
      <c r="U100" s="1184" t="s">
        <v>365</v>
      </c>
      <c r="V100" s="979" t="s">
        <v>627</v>
      </c>
      <c r="W100" s="1262" t="s">
        <v>628</v>
      </c>
      <c r="X100" s="971" t="s">
        <v>629</v>
      </c>
      <c r="Y100" s="980" t="s">
        <v>588</v>
      </c>
      <c r="Z100" s="1184">
        <v>0</v>
      </c>
      <c r="AA100" s="1194">
        <v>0</v>
      </c>
      <c r="AB100" s="979" t="s">
        <v>571</v>
      </c>
      <c r="AC100" s="1192" t="str">
        <f>""</f>
        <v/>
      </c>
      <c r="AD100" s="1193">
        <v>0</v>
      </c>
      <c r="AE100" s="1193" t="s">
        <v>368</v>
      </c>
      <c r="AF100" s="1193" t="s">
        <v>368</v>
      </c>
      <c r="AG100" s="1193">
        <v>1</v>
      </c>
      <c r="AH100" s="1193">
        <v>9</v>
      </c>
      <c r="AI100" s="1193">
        <v>0</v>
      </c>
      <c r="AJ100" s="1193">
        <f>VLOOKUP($I100,'Price List, Weapons &amp; Items'!B:F,5,0)</f>
        <v>0</v>
      </c>
      <c r="AK100" s="1193">
        <f t="shared" si="28"/>
        <v>0</v>
      </c>
      <c r="AL100" s="1193">
        <f t="shared" si="29"/>
        <v>0</v>
      </c>
      <c r="AM100" s="1193">
        <f t="shared" si="30"/>
        <v>0</v>
      </c>
      <c r="AN100" s="1194" t="str">
        <f>VLOOKUP($I100,'Price List, Weapons &amp; Items'!B:L,COLUMN('Price List, Weapons &amp; Items'!$J$11)-1,0)</f>
        <v>.</v>
      </c>
      <c r="AO100" s="1194" t="str">
        <f>IF(I100=".",".",VLOOKUP($I100,'Price List, Weapons &amp; Items'!B:J,3,0))</f>
        <v>spare parts</v>
      </c>
      <c r="AP100" s="1195" t="str">
        <f t="shared" ca="1" si="24"/>
        <v/>
      </c>
      <c r="AQ100" s="1194" t="str">
        <f>VLOOKUP($I100,'Price List, Weapons &amp; Items'!B:L,COLUMN('Price List, Weapons &amp; Items'!$L$11)-1,0)</f>
        <v>no price, 0 count</v>
      </c>
      <c r="AR100" s="1194">
        <f t="shared" si="31"/>
        <v>1</v>
      </c>
      <c r="AS100" s="1194">
        <f t="shared" si="32"/>
        <v>1</v>
      </c>
      <c r="AT100" s="1194">
        <f t="shared" si="33"/>
        <v>1</v>
      </c>
      <c r="AU100" s="1194" t="str">
        <f t="shared" si="34"/>
        <v>.</v>
      </c>
      <c r="AV100" s="1194" t="str">
        <f t="shared" si="25"/>
        <v>.</v>
      </c>
      <c r="AW100" s="1194" t="str">
        <f t="shared" si="35"/>
        <v>.</v>
      </c>
      <c r="AX100" s="1194">
        <f>IFERROR(VLOOKUP(B100,'Share, Heavy Weapons to Ukraine'!B:Z,COLUMN('Share, Heavy Weapons to Ukraine'!C110)-1,0),0)</f>
        <v>0</v>
      </c>
      <c r="AY100" s="1194">
        <f>VLOOKUP('Bilateral Assistance, MAIN DATA'!B100,'Country Summary (€)'!B:F,COLUMN('Country Summary (€)'!C111)-1,FALSE)</f>
        <v>1</v>
      </c>
      <c r="AZ100" s="1194" t="str">
        <f>IF(AND(AD100=1,D100="Military",H100&lt;&gt;"Not given")=TRUE,IF(SUMIFS(P:P,A:A,A100)&gt;0,ABS((SUMIFS(P:P,A:A,A100)/VLOOKUP("USD",'Exchange Rates'!B:C,2,0)))/S100,"."),".")</f>
        <v>.</v>
      </c>
      <c r="BA100" s="1196" t="str">
        <f>IF(AND(AD100=1,D100="Military",H100&lt;&gt;"Not given")=TRUE,IF(SUMIFS(P:P,A:A,A100)&gt;0,IF((ABS((SUMIFS(P:P,A:A,A100)/VLOOKUP("USD",'Exchange Rates'!B:C,2,0)))/S100)&gt;1,(SUMIFS(P:P,A:A,A100)-S100)/S100,(S100-SUMIFS(P:P,A:A,A100))/SUMIFS(P:P,A:A,A100)),"."),".")</f>
        <v>.</v>
      </c>
    </row>
    <row r="101" spans="1:53" ht="15.95" customHeight="1">
      <c r="A101" s="1182" t="s">
        <v>624</v>
      </c>
      <c r="B101" s="1182" t="s">
        <v>558</v>
      </c>
      <c r="C101" s="1220">
        <v>44821</v>
      </c>
      <c r="D101" s="1208" t="s">
        <v>389</v>
      </c>
      <c r="E101" s="1208" t="s">
        <v>390</v>
      </c>
      <c r="F101" s="1208" t="s">
        <v>625</v>
      </c>
      <c r="G101" s="1184" t="s">
        <v>483</v>
      </c>
      <c r="H101" s="1185">
        <v>25004047</v>
      </c>
      <c r="I101" s="1208" t="s">
        <v>633</v>
      </c>
      <c r="J101" s="1186" t="str">
        <f>VLOOKUP($I101,'Price List, Weapons &amp; Items'!B:C,2,0)</f>
        <v>Military equipment</v>
      </c>
      <c r="K101" s="1186" t="str">
        <f>IF(I101=".",I101,VLOOKUP($I101,'Price List, Weapons &amp; Items'!B:D,3,0))</f>
        <v>Military equipment</v>
      </c>
      <c r="L101" s="1187">
        <f>VLOOKUP(I101,'Price List, Weapons &amp; Items'!B:E,4,0)</f>
        <v>0</v>
      </c>
      <c r="M101" s="1188" t="s">
        <v>374</v>
      </c>
      <c r="N101" s="1188" t="s">
        <v>374</v>
      </c>
      <c r="O101" s="1188" t="str">
        <f>VLOOKUP($I101,'Price List, Weapons &amp; Items'!B:G,6,0)</f>
        <v>.</v>
      </c>
      <c r="P101" s="1185" t="str">
        <f t="shared" si="26"/>
        <v>.</v>
      </c>
      <c r="Q101" s="1185" t="str">
        <f t="shared" si="27"/>
        <v>.</v>
      </c>
      <c r="R101" s="1185" t="str">
        <f t="shared" si="23"/>
        <v/>
      </c>
      <c r="S101" s="1185" t="str">
        <f>IF(AND(AD101=1,R101&lt;&gt;".")=TRUE,R101/VLOOKUP(G101,'Exchange Rates'!B:C,2,0),IF(R101=".",".",""))</f>
        <v/>
      </c>
      <c r="T101" s="1185" t="str">
        <f>IF(AD101=1,IF(AF101="Value is not given at all",".",IF(AF101="Value is given by the source",S101,IF(AF101="Value is calculated with prices",(IF(SUMIFS(Q:Q,A:A,A101)&gt;0,SUMIFS(Q:Q,A:A,A101),"."))/VLOOKUP("USD",'Exchange Rates'!B:C,2,0),"Error with coding"))),"")</f>
        <v/>
      </c>
      <c r="U101" s="1184" t="s">
        <v>365</v>
      </c>
      <c r="V101" s="979" t="s">
        <v>627</v>
      </c>
      <c r="W101" s="1262" t="s">
        <v>628</v>
      </c>
      <c r="X101" s="971" t="s">
        <v>629</v>
      </c>
      <c r="Y101" s="980" t="s">
        <v>588</v>
      </c>
      <c r="Z101" s="1184">
        <v>0</v>
      </c>
      <c r="AA101" s="1194">
        <v>0</v>
      </c>
      <c r="AB101" s="979" t="s">
        <v>571</v>
      </c>
      <c r="AC101" s="1192" t="str">
        <f>""</f>
        <v/>
      </c>
      <c r="AD101" s="1193">
        <v>0</v>
      </c>
      <c r="AE101" s="1193" t="s">
        <v>368</v>
      </c>
      <c r="AF101" s="1193" t="s">
        <v>368</v>
      </c>
      <c r="AG101" s="1193">
        <v>1</v>
      </c>
      <c r="AH101" s="1193">
        <v>9</v>
      </c>
      <c r="AI101" s="1193">
        <v>0</v>
      </c>
      <c r="AJ101" s="1193">
        <f>VLOOKUP($I101,'Price List, Weapons &amp; Items'!B:F,5,0)</f>
        <v>0</v>
      </c>
      <c r="AK101" s="1193">
        <f t="shared" si="28"/>
        <v>0</v>
      </c>
      <c r="AL101" s="1193">
        <f t="shared" si="29"/>
        <v>0</v>
      </c>
      <c r="AM101" s="1193">
        <f t="shared" si="30"/>
        <v>0</v>
      </c>
      <c r="AN101" s="1194" t="str">
        <f>VLOOKUP($I101,'Price List, Weapons &amp; Items'!B:L,COLUMN('Price List, Weapons &amp; Items'!$J$11)-1,0)</f>
        <v>.</v>
      </c>
      <c r="AO101" s="1194" t="str">
        <f>IF(I101=".",".",VLOOKUP($I101,'Price List, Weapons &amp; Items'!B:J,3,0))</f>
        <v>Military equipment</v>
      </c>
      <c r="AP101" s="1195" t="str">
        <f t="shared" ca="1" si="24"/>
        <v/>
      </c>
      <c r="AQ101" s="1194">
        <f>VLOOKUP($I101,'Price List, Weapons &amp; Items'!B:L,COLUMN('Price List, Weapons &amp; Items'!$L$11)-1,0)</f>
        <v>0</v>
      </c>
      <c r="AR101" s="1194">
        <f t="shared" si="31"/>
        <v>1</v>
      </c>
      <c r="AS101" s="1194">
        <f t="shared" si="32"/>
        <v>1</v>
      </c>
      <c r="AT101" s="1194">
        <f t="shared" si="33"/>
        <v>1</v>
      </c>
      <c r="AU101" s="1194" t="str">
        <f t="shared" si="34"/>
        <v>.</v>
      </c>
      <c r="AV101" s="1194" t="str">
        <f t="shared" si="25"/>
        <v>.</v>
      </c>
      <c r="AW101" s="1194" t="str">
        <f t="shared" si="35"/>
        <v>.</v>
      </c>
      <c r="AX101" s="1194">
        <f>IFERROR(VLOOKUP(B101,'Share, Heavy Weapons to Ukraine'!B:Z,COLUMN('Share, Heavy Weapons to Ukraine'!C111)-1,0),0)</f>
        <v>0</v>
      </c>
      <c r="AY101" s="1194">
        <f>VLOOKUP('Bilateral Assistance, MAIN DATA'!B101,'Country Summary (€)'!B:F,COLUMN('Country Summary (€)'!C112)-1,FALSE)</f>
        <v>1</v>
      </c>
      <c r="AZ101" s="1194" t="str">
        <f>IF(AND(AD101=1,D101="Military",H101&lt;&gt;"Not given")=TRUE,IF(SUMIFS(P:P,A:A,A101)&gt;0,ABS((SUMIFS(P:P,A:A,A101)/VLOOKUP("USD",'Exchange Rates'!B:C,2,0)))/S101,"."),".")</f>
        <v>.</v>
      </c>
      <c r="BA101" s="1196" t="str">
        <f>IF(AND(AD101=1,D101="Military",H101&lt;&gt;"Not given")=TRUE,IF(SUMIFS(P:P,A:A,A101)&gt;0,IF((ABS((SUMIFS(P:P,A:A,A101)/VLOOKUP("USD",'Exchange Rates'!B:C,2,0)))/S101)&gt;1,(SUMIFS(P:P,A:A,A101)-S101)/S101,(S101-SUMIFS(P:P,A:A,A101))/SUMIFS(P:P,A:A,A101)),"."),".")</f>
        <v>.</v>
      </c>
    </row>
    <row r="102" spans="1:53" ht="15.95" customHeight="1">
      <c r="A102" s="1182" t="s">
        <v>624</v>
      </c>
      <c r="B102" s="1182" t="s">
        <v>558</v>
      </c>
      <c r="C102" s="1220">
        <v>44821</v>
      </c>
      <c r="D102" s="1208" t="s">
        <v>389</v>
      </c>
      <c r="E102" s="1208" t="s">
        <v>390</v>
      </c>
      <c r="F102" s="1208" t="s">
        <v>625</v>
      </c>
      <c r="G102" s="1184" t="s">
        <v>483</v>
      </c>
      <c r="H102" s="1185">
        <v>25004047</v>
      </c>
      <c r="I102" s="1208" t="s">
        <v>634</v>
      </c>
      <c r="J102" s="1186" t="str">
        <f>VLOOKUP($I102,'Price List, Weapons &amp; Items'!B:C,2,0)</f>
        <v>Humanitarian</v>
      </c>
      <c r="K102" s="1186" t="str">
        <f>IF(I102=".",I102,VLOOKUP($I102,'Price List, Weapons &amp; Items'!B:D,3,0))</f>
        <v>Humanitarian</v>
      </c>
      <c r="L102" s="1187">
        <f>VLOOKUP(I102,'Price List, Weapons &amp; Items'!B:E,4,0)</f>
        <v>0</v>
      </c>
      <c r="M102" s="1188" t="s">
        <v>374</v>
      </c>
      <c r="N102" s="1188" t="s">
        <v>374</v>
      </c>
      <c r="O102" s="1188">
        <f>VLOOKUP($I102,'Price List, Weapons &amp; Items'!B:G,6,0)</f>
        <v>220000</v>
      </c>
      <c r="P102" s="1185" t="str">
        <f t="shared" si="26"/>
        <v>.</v>
      </c>
      <c r="Q102" s="1185" t="str">
        <f t="shared" si="27"/>
        <v>.</v>
      </c>
      <c r="R102" s="1185" t="str">
        <f t="shared" si="23"/>
        <v/>
      </c>
      <c r="S102" s="1185" t="str">
        <f>IF(AND(AD102=1,R102&lt;&gt;".")=TRUE,R102/VLOOKUP(G102,'Exchange Rates'!B:C,2,0),IF(R102=".",".",""))</f>
        <v/>
      </c>
      <c r="T102" s="1185" t="str">
        <f>IF(AD102=1,IF(AF102="Value is not given at all",".",IF(AF102="Value is given by the source",S102,IF(AF102="Value is calculated with prices",(IF(SUMIFS(Q:Q,A:A,A102)&gt;0,SUMIFS(Q:Q,A:A,A102),"."))/VLOOKUP("USD",'Exchange Rates'!B:C,2,0),"Error with coding"))),"")</f>
        <v/>
      </c>
      <c r="U102" s="1184" t="s">
        <v>365</v>
      </c>
      <c r="V102" s="979" t="s">
        <v>627</v>
      </c>
      <c r="W102" s="1262" t="s">
        <v>628</v>
      </c>
      <c r="X102" s="971" t="s">
        <v>629</v>
      </c>
      <c r="Y102" s="980" t="s">
        <v>588</v>
      </c>
      <c r="Z102" s="1184">
        <v>0</v>
      </c>
      <c r="AA102" s="1194">
        <v>0</v>
      </c>
      <c r="AB102" s="979" t="s">
        <v>571</v>
      </c>
      <c r="AC102" s="1192" t="str">
        <f>""</f>
        <v/>
      </c>
      <c r="AD102" s="1193">
        <v>0</v>
      </c>
      <c r="AE102" s="1193" t="s">
        <v>368</v>
      </c>
      <c r="AF102" s="1193" t="s">
        <v>368</v>
      </c>
      <c r="AG102" s="1193">
        <v>1</v>
      </c>
      <c r="AH102" s="1193">
        <v>9</v>
      </c>
      <c r="AI102" s="1193">
        <v>0</v>
      </c>
      <c r="AJ102" s="1193">
        <f>VLOOKUP($I102,'Price List, Weapons &amp; Items'!B:F,5,0)</f>
        <v>0</v>
      </c>
      <c r="AK102" s="1193">
        <f t="shared" si="28"/>
        <v>0</v>
      </c>
      <c r="AL102" s="1193">
        <f t="shared" si="29"/>
        <v>0</v>
      </c>
      <c r="AM102" s="1193">
        <f t="shared" si="30"/>
        <v>0</v>
      </c>
      <c r="AN102" s="1194" t="str">
        <f>VLOOKUP($I102,'Price List, Weapons &amp; Items'!B:L,COLUMN('Price List, Weapons &amp; Items'!$J$11)-1,0)</f>
        <v>Miscellaneous</v>
      </c>
      <c r="AO102" s="1194" t="str">
        <f>IF(I102=".",".",VLOOKUP($I102,'Price List, Weapons &amp; Items'!B:J,3,0))</f>
        <v>Humanitarian</v>
      </c>
      <c r="AP102" s="1195" t="str">
        <f t="shared" ca="1" si="24"/>
        <v/>
      </c>
      <c r="AQ102" s="1194">
        <f>VLOOKUP($I102,'Price List, Weapons &amp; Items'!B:L,COLUMN('Price List, Weapons &amp; Items'!$L$11)-1,0)</f>
        <v>0</v>
      </c>
      <c r="AR102" s="1194">
        <f t="shared" si="31"/>
        <v>1</v>
      </c>
      <c r="AS102" s="1194">
        <f t="shared" si="32"/>
        <v>1</v>
      </c>
      <c r="AT102" s="1194">
        <f t="shared" si="33"/>
        <v>1</v>
      </c>
      <c r="AU102" s="1194" t="str">
        <f t="shared" si="34"/>
        <v>.</v>
      </c>
      <c r="AV102" s="1194" t="str">
        <f t="shared" si="25"/>
        <v>.</v>
      </c>
      <c r="AW102" s="1194" t="str">
        <f t="shared" si="35"/>
        <v>.</v>
      </c>
      <c r="AX102" s="1194">
        <f>IFERROR(VLOOKUP(B102,'Share, Heavy Weapons to Ukraine'!B:Z,COLUMN('Share, Heavy Weapons to Ukraine'!C112)-1,0),0)</f>
        <v>0</v>
      </c>
      <c r="AY102" s="1194">
        <f>VLOOKUP('Bilateral Assistance, MAIN DATA'!B102,'Country Summary (€)'!B:F,COLUMN('Country Summary (€)'!C113)-1,FALSE)</f>
        <v>1</v>
      </c>
      <c r="AZ102" s="1194" t="str">
        <f>IF(AND(AD102=1,D102="Military",H102&lt;&gt;"Not given")=TRUE,IF(SUMIFS(P:P,A:A,A102)&gt;0,ABS((SUMIFS(P:P,A:A,A102)/VLOOKUP("USD",'Exchange Rates'!B:C,2,0)))/S102,"."),".")</f>
        <v>.</v>
      </c>
      <c r="BA102" s="1196" t="str">
        <f>IF(AND(AD102=1,D102="Military",H102&lt;&gt;"Not given")=TRUE,IF(SUMIFS(P:P,A:A,A102)&gt;0,IF((ABS((SUMIFS(P:P,A:A,A102)/VLOOKUP("USD",'Exchange Rates'!B:C,2,0)))/S102)&gt;1,(SUMIFS(P:P,A:A,A102)-S102)/S102,(S102-SUMIFS(P:P,A:A,A102))/SUMIFS(P:P,A:A,A102)),"."),".")</f>
        <v>.</v>
      </c>
    </row>
    <row r="103" spans="1:53" ht="15.95" customHeight="1">
      <c r="A103" s="1182" t="s">
        <v>624</v>
      </c>
      <c r="B103" s="1182" t="s">
        <v>558</v>
      </c>
      <c r="C103" s="1220">
        <v>44821</v>
      </c>
      <c r="D103" s="1208" t="s">
        <v>389</v>
      </c>
      <c r="E103" s="1208" t="s">
        <v>390</v>
      </c>
      <c r="F103" s="1208" t="s">
        <v>625</v>
      </c>
      <c r="G103" s="1184" t="s">
        <v>483</v>
      </c>
      <c r="H103" s="1185">
        <v>25004047</v>
      </c>
      <c r="I103" s="1208" t="s">
        <v>635</v>
      </c>
      <c r="J103" s="1186" t="str">
        <f>VLOOKUP($I103,'Price List, Weapons &amp; Items'!B:C,2,0)</f>
        <v>Military equipment</v>
      </c>
      <c r="K103" s="1186" t="str">
        <f>IF(I103=".",I103,VLOOKUP($I103,'Price List, Weapons &amp; Items'!B:D,3,0))</f>
        <v>non combat military vehicle</v>
      </c>
      <c r="L103" s="1187">
        <f>VLOOKUP(I103,'Price List, Weapons &amp; Items'!B:E,4,0)</f>
        <v>0</v>
      </c>
      <c r="M103" s="1188">
        <v>17</v>
      </c>
      <c r="N103" s="1188">
        <v>17</v>
      </c>
      <c r="O103" s="1188">
        <f>VLOOKUP($I103,'Price List, Weapons &amp; Items'!B:G,6,0)</f>
        <v>22279.4</v>
      </c>
      <c r="P103" s="1185">
        <f t="shared" si="26"/>
        <v>378749.80000000005</v>
      </c>
      <c r="Q103" s="1185">
        <f t="shared" si="27"/>
        <v>378749.80000000005</v>
      </c>
      <c r="R103" s="1185" t="str">
        <f t="shared" si="23"/>
        <v/>
      </c>
      <c r="S103" s="1185" t="str">
        <f>IF(AND(AD103=1,R103&lt;&gt;".")=TRUE,R103/VLOOKUP(G103,'Exchange Rates'!B:C,2,0),IF(R103=".",".",""))</f>
        <v/>
      </c>
      <c r="T103" s="1185" t="str">
        <f>IF(AD103=1,IF(AF103="Value is not given at all",".",IF(AF103="Value is given by the source",S103,IF(AF103="Value is calculated with prices",(IF(SUMIFS(Q:Q,A:A,A103)&gt;0,SUMIFS(Q:Q,A:A,A103),"."))/VLOOKUP("USD",'Exchange Rates'!B:C,2,0),"Error with coding"))),"")</f>
        <v/>
      </c>
      <c r="U103" s="1184" t="s">
        <v>365</v>
      </c>
      <c r="V103" s="979" t="s">
        <v>627</v>
      </c>
      <c r="W103" s="1262" t="s">
        <v>628</v>
      </c>
      <c r="X103" s="971" t="s">
        <v>629</v>
      </c>
      <c r="Y103" s="980" t="s">
        <v>588</v>
      </c>
      <c r="Z103" s="1184">
        <v>0</v>
      </c>
      <c r="AA103" s="1194">
        <v>0</v>
      </c>
      <c r="AB103" s="979" t="s">
        <v>571</v>
      </c>
      <c r="AC103" s="1192" t="str">
        <f>""</f>
        <v/>
      </c>
      <c r="AD103" s="1193">
        <v>0</v>
      </c>
      <c r="AE103" s="1193" t="s">
        <v>368</v>
      </c>
      <c r="AF103" s="1193" t="s">
        <v>368</v>
      </c>
      <c r="AG103" s="1193">
        <v>1</v>
      </c>
      <c r="AH103" s="1193">
        <v>9</v>
      </c>
      <c r="AI103" s="1193">
        <v>0</v>
      </c>
      <c r="AJ103" s="1193">
        <f>VLOOKUP($I103,'Price List, Weapons &amp; Items'!B:F,5,0)</f>
        <v>0</v>
      </c>
      <c r="AK103" s="1193">
        <f t="shared" si="28"/>
        <v>0</v>
      </c>
      <c r="AL103" s="1193">
        <f t="shared" si="29"/>
        <v>0</v>
      </c>
      <c r="AM103" s="1193">
        <f t="shared" si="30"/>
        <v>0</v>
      </c>
      <c r="AN103" s="1194" t="str">
        <f>VLOOKUP($I103,'Price List, Weapons &amp; Items'!B:L,COLUMN('Price List, Weapons &amp; Items'!$J$11)-1,0)</f>
        <v>Online marketplaces and stores</v>
      </c>
      <c r="AO103" s="1194" t="str">
        <f>IF(I103=".",".",VLOOKUP($I103,'Price List, Weapons &amp; Items'!B:J,3,0))</f>
        <v>non combat military vehicle</v>
      </c>
      <c r="AP103" s="1195" t="str">
        <f t="shared" ca="1" si="24"/>
        <v/>
      </c>
      <c r="AQ103" s="1194">
        <f>VLOOKUP($I103,'Price List, Weapons &amp; Items'!B:L,COLUMN('Price List, Weapons &amp; Items'!$L$11)-1,0)</f>
        <v>2</v>
      </c>
      <c r="AR103" s="1194">
        <f t="shared" si="31"/>
        <v>1</v>
      </c>
      <c r="AS103" s="1194">
        <f t="shared" si="32"/>
        <v>1</v>
      </c>
      <c r="AT103" s="1194">
        <f t="shared" si="33"/>
        <v>1</v>
      </c>
      <c r="AU103" s="1194" t="str">
        <f t="shared" si="34"/>
        <v>.</v>
      </c>
      <c r="AV103" s="1194" t="str">
        <f t="shared" si="25"/>
        <v>.</v>
      </c>
      <c r="AW103" s="1194" t="str">
        <f t="shared" si="35"/>
        <v>.</v>
      </c>
      <c r="AX103" s="1194">
        <f>IFERROR(VLOOKUP(B103,'Share, Heavy Weapons to Ukraine'!B:Z,COLUMN('Share, Heavy Weapons to Ukraine'!C113)-1,0),0)</f>
        <v>0</v>
      </c>
      <c r="AY103" s="1194">
        <f>VLOOKUP('Bilateral Assistance, MAIN DATA'!B103,'Country Summary (€)'!B:F,COLUMN('Country Summary (€)'!C114)-1,FALSE)</f>
        <v>1</v>
      </c>
      <c r="AZ103" s="1194" t="str">
        <f>IF(AND(AD103=1,D103="Military",H103&lt;&gt;"Not given")=TRUE,IF(SUMIFS(P:P,A:A,A103)&gt;0,ABS((SUMIFS(P:P,A:A,A103)/VLOOKUP("USD",'Exchange Rates'!B:C,2,0)))/S103,"."),".")</f>
        <v>.</v>
      </c>
      <c r="BA103" s="1196" t="str">
        <f>IF(AND(AD103=1,D103="Military",H103&lt;&gt;"Not given")=TRUE,IF(SUMIFS(P:P,A:A,A103)&gt;0,IF((ABS((SUMIFS(P:P,A:A,A103)/VLOOKUP("USD",'Exchange Rates'!B:C,2,0)))/S103)&gt;1,(SUMIFS(P:P,A:A,A103)-S103)/S103,(S103-SUMIFS(P:P,A:A,A103))/SUMIFS(P:P,A:A,A103)),"."),".")</f>
        <v>.</v>
      </c>
    </row>
    <row r="104" spans="1:53" ht="15.95" customHeight="1">
      <c r="A104" s="1182" t="s">
        <v>636</v>
      </c>
      <c r="B104" s="1182" t="s">
        <v>558</v>
      </c>
      <c r="C104" s="1220">
        <v>44862</v>
      </c>
      <c r="D104" s="1208" t="s">
        <v>389</v>
      </c>
      <c r="E104" s="1208" t="s">
        <v>390</v>
      </c>
      <c r="F104" s="1208" t="s">
        <v>607</v>
      </c>
      <c r="G104" s="1184" t="s">
        <v>483</v>
      </c>
      <c r="H104" s="1185">
        <v>3235699</v>
      </c>
      <c r="I104" s="1208" t="s">
        <v>637</v>
      </c>
      <c r="J104" s="1186" t="str">
        <f>VLOOKUP($I104,'Price List, Weapons &amp; Items'!B:C,2,0)</f>
        <v>Military equipment</v>
      </c>
      <c r="K104" s="1186" t="str">
        <f>IF(I104=".",I104,VLOOKUP($I104,'Price List, Weapons &amp; Items'!B:D,3,0))</f>
        <v>Military equipment</v>
      </c>
      <c r="L104" s="1187">
        <f>VLOOKUP(I104,'Price List, Weapons &amp; Items'!B:E,4,0)</f>
        <v>0</v>
      </c>
      <c r="M104" s="1188" t="s">
        <v>374</v>
      </c>
      <c r="N104" s="1188" t="s">
        <v>374</v>
      </c>
      <c r="O104" s="1188" t="str">
        <f>VLOOKUP($I104,'Price List, Weapons &amp; Items'!B:G,6,0)</f>
        <v>.</v>
      </c>
      <c r="P104" s="1185" t="str">
        <f t="shared" si="26"/>
        <v>.</v>
      </c>
      <c r="Q104" s="1185" t="str">
        <f t="shared" si="27"/>
        <v>.</v>
      </c>
      <c r="R104" s="1185">
        <f t="shared" si="23"/>
        <v>3235699</v>
      </c>
      <c r="S104" s="1185">
        <f>IF(AND(AD104=1,R104&lt;&gt;".")=TRUE,R104/VLOOKUP(G104,'Exchange Rates'!B:C,2,0),IF(R104=".",".",""))</f>
        <v>3235699</v>
      </c>
      <c r="T104" s="1185">
        <f>IF(AD104=1,IF(AF104="Value is not given at all",".",IF(AF104="Value is given by the source",S104,IF(AF104="Value is calculated with prices",(IF(SUMIFS(Q:Q,A:A,A104)&gt;0,SUMIFS(Q:Q,A:A,A104),"."))/VLOOKUP("USD",'Exchange Rates'!B:C,2,0),"Error with coding"))),"")</f>
        <v>3235699</v>
      </c>
      <c r="U104" s="1184" t="s">
        <v>365</v>
      </c>
      <c r="V104" s="979" t="s">
        <v>627</v>
      </c>
      <c r="W104" s="1262" t="s">
        <v>628</v>
      </c>
      <c r="X104" s="971" t="s">
        <v>629</v>
      </c>
      <c r="Y104" s="980" t="s">
        <v>588</v>
      </c>
      <c r="Z104" s="1184">
        <v>0</v>
      </c>
      <c r="AA104" s="1194">
        <v>0</v>
      </c>
      <c r="AB104" s="979" t="s">
        <v>571</v>
      </c>
      <c r="AC104" s="1192" t="str">
        <f>""</f>
        <v/>
      </c>
      <c r="AD104" s="1193">
        <v>1</v>
      </c>
      <c r="AE104" s="1193" t="s">
        <v>368</v>
      </c>
      <c r="AF104" s="1193" t="s">
        <v>368</v>
      </c>
      <c r="AG104" s="1193">
        <v>1</v>
      </c>
      <c r="AH104" s="1193">
        <v>10</v>
      </c>
      <c r="AI104" s="1193">
        <v>0</v>
      </c>
      <c r="AJ104" s="1193">
        <f>VLOOKUP($I104,'Price List, Weapons &amp; Items'!B:F,5,0)</f>
        <v>0</v>
      </c>
      <c r="AK104" s="1193">
        <f t="shared" si="28"/>
        <v>0</v>
      </c>
      <c r="AL104" s="1193">
        <f t="shared" si="29"/>
        <v>0</v>
      </c>
      <c r="AM104" s="1193">
        <f t="shared" si="30"/>
        <v>0</v>
      </c>
      <c r="AN104" s="1194" t="str">
        <f>VLOOKUP($I104,'Price List, Weapons &amp; Items'!B:L,COLUMN('Price List, Weapons &amp; Items'!$J$11)-1,0)</f>
        <v>.</v>
      </c>
      <c r="AO104" s="1194" t="str">
        <f>IF(I104=".",".",VLOOKUP($I104,'Price List, Weapons &amp; Items'!B:J,3,0))</f>
        <v>Military equipment</v>
      </c>
      <c r="AP104" s="1195" t="str">
        <f t="shared" ca="1" si="24"/>
        <v>Explosive ordnance disposal equipment</v>
      </c>
      <c r="AQ104" s="1194" t="str">
        <f>VLOOKUP($I104,'Price List, Weapons &amp; Items'!B:L,COLUMN('Price List, Weapons &amp; Items'!$L$11)-1,0)</f>
        <v>no price, 0 count</v>
      </c>
      <c r="AR104" s="1194">
        <f t="shared" si="31"/>
        <v>1</v>
      </c>
      <c r="AS104" s="1194">
        <f t="shared" si="32"/>
        <v>1</v>
      </c>
      <c r="AT104" s="1194">
        <f t="shared" si="33"/>
        <v>1</v>
      </c>
      <c r="AU104" s="1194" t="str">
        <f t="shared" si="34"/>
        <v>.</v>
      </c>
      <c r="AV104" s="1194" t="str">
        <f t="shared" si="25"/>
        <v>.</v>
      </c>
      <c r="AW104" s="1194" t="str">
        <f t="shared" si="35"/>
        <v>.</v>
      </c>
      <c r="AX104" s="1194">
        <f>IFERROR(VLOOKUP(B104,'Share, Heavy Weapons to Ukraine'!B:Z,COLUMN('Share, Heavy Weapons to Ukraine'!C114)-1,0),0)</f>
        <v>0</v>
      </c>
      <c r="AY104" s="1194">
        <f>VLOOKUP('Bilateral Assistance, MAIN DATA'!B104,'Country Summary (€)'!B:F,COLUMN('Country Summary (€)'!C115)-1,FALSE)</f>
        <v>1</v>
      </c>
      <c r="AZ104" s="1194" t="str">
        <f>IF(AND(AD104=1,D104="Military",H104&lt;&gt;"Not given")=TRUE,IF(SUMIFS(P:P,A:A,A104)&gt;0,ABS((SUMIFS(P:P,A:A,A104)/VLOOKUP("USD",'Exchange Rates'!B:C,2,0)))/S104,"."),".")</f>
        <v>.</v>
      </c>
      <c r="BA104" s="1196" t="str">
        <f>IF(AND(AD104=1,D104="Military",H104&lt;&gt;"Not given")=TRUE,IF(SUMIFS(P:P,A:A,A104)&gt;0,IF((ABS((SUMIFS(P:P,A:A,A104)/VLOOKUP("USD",'Exchange Rates'!B:C,2,0)))/S104)&gt;1,(SUMIFS(P:P,A:A,A104)-S104)/S104,(S104-SUMIFS(P:P,A:A,A104))/SUMIFS(P:P,A:A,A104)),"."),".")</f>
        <v>.</v>
      </c>
    </row>
    <row r="105" spans="1:53" ht="15.95" customHeight="1">
      <c r="A105" s="1182" t="s">
        <v>638</v>
      </c>
      <c r="B105" s="1182" t="s">
        <v>558</v>
      </c>
      <c r="C105" s="1220">
        <v>44890</v>
      </c>
      <c r="D105" s="1208" t="s">
        <v>389</v>
      </c>
      <c r="E105" s="1208" t="s">
        <v>443</v>
      </c>
      <c r="F105" s="1208" t="s">
        <v>639</v>
      </c>
      <c r="G105" s="1184" t="s">
        <v>483</v>
      </c>
      <c r="H105" s="1185">
        <v>7285280</v>
      </c>
      <c r="I105" s="1208" t="s">
        <v>640</v>
      </c>
      <c r="J105" s="1186" t="str">
        <f>VLOOKUP($I105,'Price List, Weapons &amp; Items'!B:C,2,0)</f>
        <v>Military equipment</v>
      </c>
      <c r="K105" s="1186" t="str">
        <f>IF(I105=".",I105,VLOOKUP($I105,'Price List, Weapons &amp; Items'!B:D,3,0))</f>
        <v>Military equipment</v>
      </c>
      <c r="L105" s="1187">
        <f>VLOOKUP(I105,'Price List, Weapons &amp; Items'!B:E,4,0)</f>
        <v>0</v>
      </c>
      <c r="M105" s="1188">
        <v>10</v>
      </c>
      <c r="N105" s="1188">
        <v>10</v>
      </c>
      <c r="O105" s="1188">
        <f>VLOOKUP($I105,'Price List, Weapons &amp; Items'!B:G,6,0)</f>
        <v>40000</v>
      </c>
      <c r="P105" s="1185">
        <f t="shared" si="26"/>
        <v>400000</v>
      </c>
      <c r="Q105" s="1185">
        <f t="shared" si="27"/>
        <v>400000</v>
      </c>
      <c r="R105" s="1185">
        <f t="shared" si="23"/>
        <v>7285280</v>
      </c>
      <c r="S105" s="1185">
        <f>IF(AND(AD105=1,R105&lt;&gt;".")=TRUE,R105/VLOOKUP(G105,'Exchange Rates'!B:C,2,0),IF(R105=".",".",""))</f>
        <v>7285280</v>
      </c>
      <c r="T105" s="1185">
        <f>IF(AD105=1,IF(AF105="Value is not given at all",".",IF(AF105="Value is given by the source",S105,IF(AF105="Value is calculated with prices",(IF(SUMIFS(Q:Q,A:A,A105)&gt;0,SUMIFS(Q:Q,A:A,A105),"."))/VLOOKUP("USD",'Exchange Rates'!B:C,2,0),"Error with coding"))),"")</f>
        <v>7285280</v>
      </c>
      <c r="U105" s="1184" t="s">
        <v>365</v>
      </c>
      <c r="V105" s="979" t="s">
        <v>641</v>
      </c>
      <c r="W105" s="979" t="s">
        <v>642</v>
      </c>
      <c r="X105" s="980" t="s">
        <v>588</v>
      </c>
      <c r="Y105" s="1190" t="s">
        <v>364</v>
      </c>
      <c r="Z105" s="1184">
        <v>0</v>
      </c>
      <c r="AA105" s="1194">
        <v>0</v>
      </c>
      <c r="AB105" s="979" t="s">
        <v>571</v>
      </c>
      <c r="AC105" s="1192" t="str">
        <f>""</f>
        <v/>
      </c>
      <c r="AD105" s="1193">
        <v>1</v>
      </c>
      <c r="AE105" s="1193" t="s">
        <v>368</v>
      </c>
      <c r="AF105" s="1193" t="s">
        <v>368</v>
      </c>
      <c r="AG105" s="1193">
        <v>1</v>
      </c>
      <c r="AH105" s="1193">
        <v>11</v>
      </c>
      <c r="AI105" s="1193">
        <v>0</v>
      </c>
      <c r="AJ105" s="1193">
        <f>VLOOKUP($I105,'Price List, Weapons &amp; Items'!B:F,5,0)</f>
        <v>0</v>
      </c>
      <c r="AK105" s="1193">
        <f t="shared" si="28"/>
        <v>0</v>
      </c>
      <c r="AL105" s="1193">
        <f t="shared" si="29"/>
        <v>0</v>
      </c>
      <c r="AM105" s="1193">
        <f t="shared" si="30"/>
        <v>0</v>
      </c>
      <c r="AN105" s="1194" t="str">
        <f>VLOOKUP($I105,'Price List, Weapons &amp; Items'!B:L,COLUMN('Price List, Weapons &amp; Items'!$J$11)-1,0)</f>
        <v>Manufacturer price</v>
      </c>
      <c r="AO105" s="1194" t="str">
        <f>IF(I105=".",".",VLOOKUP($I105,'Price List, Weapons &amp; Items'!B:J,3,0))</f>
        <v>Military equipment</v>
      </c>
      <c r="AP105" s="1195" t="str">
        <f t="shared" ca="1" si="24"/>
        <v>Remotely Operated Vehicle R7</v>
      </c>
      <c r="AQ105" s="1194">
        <f>VLOOKUP($I105,'Price List, Weapons &amp; Items'!B:L,COLUMN('Price List, Weapons &amp; Items'!$L$11)-1,0)</f>
        <v>1</v>
      </c>
      <c r="AR105" s="1194">
        <f t="shared" si="31"/>
        <v>1</v>
      </c>
      <c r="AS105" s="1194">
        <f t="shared" si="32"/>
        <v>1</v>
      </c>
      <c r="AT105" s="1194">
        <f t="shared" si="33"/>
        <v>1</v>
      </c>
      <c r="AU105" s="1194" t="str">
        <f t="shared" si="34"/>
        <v>.</v>
      </c>
      <c r="AV105" s="1194" t="str">
        <f t="shared" si="25"/>
        <v>.</v>
      </c>
      <c r="AW105" s="1194" t="str">
        <f t="shared" si="35"/>
        <v>.</v>
      </c>
      <c r="AX105" s="1194">
        <f>IFERROR(VLOOKUP(B105,'Share, Heavy Weapons to Ukraine'!B:Z,COLUMN('Share, Heavy Weapons to Ukraine'!C115)-1,0),0)</f>
        <v>0</v>
      </c>
      <c r="AY105" s="1194">
        <f>VLOOKUP('Bilateral Assistance, MAIN DATA'!B105,'Country Summary (€)'!B:F,COLUMN('Country Summary (€)'!C116)-1,FALSE)</f>
        <v>1</v>
      </c>
      <c r="AZ105" s="1194">
        <f>IF(AND(AD105=1,D105="Military",H105&lt;&gt;"Not given")=TRUE,IF(SUMIFS(P:P,A:A,A105)&gt;0,ABS((SUMIFS(P:P,A:A,A105)/VLOOKUP("USD",'Exchange Rates'!B:C,2,0)))/S105,"."),".")</f>
        <v>5.0520089774442029E-2</v>
      </c>
      <c r="BA105" s="1196">
        <f>IF(AND(AD105=1,D105="Military",H105&lt;&gt;"Not given")=TRUE,IF(SUMIFS(P:P,A:A,A105)&gt;0,IF((ABS((SUMIFS(P:P,A:A,A105)/VLOOKUP("USD",'Exchange Rates'!B:C,2,0)))/S105)&gt;1,(SUMIFS(P:P,A:A,A105)-S105)/S105,(S105-SUMIFS(P:P,A:A,A105))/SUMIFS(P:P,A:A,A105)),"."),".")</f>
        <v>17.213200000000001</v>
      </c>
    </row>
    <row r="106" spans="1:53" ht="15.95" customHeight="1">
      <c r="A106" s="1182" t="s">
        <v>638</v>
      </c>
      <c r="B106" s="1182" t="s">
        <v>558</v>
      </c>
      <c r="C106" s="1220">
        <v>44890</v>
      </c>
      <c r="D106" s="1208" t="s">
        <v>389</v>
      </c>
      <c r="E106" s="1208" t="s">
        <v>443</v>
      </c>
      <c r="F106" s="1208" t="s">
        <v>639</v>
      </c>
      <c r="G106" s="1184" t="s">
        <v>483</v>
      </c>
      <c r="H106" s="1185">
        <v>7285280</v>
      </c>
      <c r="I106" s="1208" t="s">
        <v>643</v>
      </c>
      <c r="J106" s="1186" t="str">
        <f>VLOOKUP($I106,'Price List, Weapons &amp; Items'!B:C,2,0)</f>
        <v>Military equipment</v>
      </c>
      <c r="K106" s="1186" t="str">
        <f>IF(I106=".",I106,VLOOKUP($I106,'Price List, Weapons &amp; Items'!B:D,3,0))</f>
        <v>non combat military vehicle</v>
      </c>
      <c r="L106" s="1187">
        <f>VLOOKUP(I106,'Price List, Weapons &amp; Items'!B:E,4,0)</f>
        <v>0</v>
      </c>
      <c r="M106" s="1188">
        <v>2</v>
      </c>
      <c r="N106" s="1188">
        <v>2</v>
      </c>
      <c r="O106" s="1188" t="str">
        <f>VLOOKUP($I106,'Price List, Weapons &amp; Items'!B:G,6,0)</f>
        <v>.</v>
      </c>
      <c r="P106" s="1185" t="str">
        <f t="shared" si="26"/>
        <v>No price</v>
      </c>
      <c r="Q106" s="1185" t="str">
        <f t="shared" si="27"/>
        <v>No price</v>
      </c>
      <c r="R106" s="1185" t="str">
        <f t="shared" si="23"/>
        <v/>
      </c>
      <c r="S106" s="1185" t="str">
        <f>IF(AND(AD106=1,R106&lt;&gt;".")=TRUE,R106/VLOOKUP(G106,'Exchange Rates'!B:C,2,0),IF(R106=".",".",""))</f>
        <v/>
      </c>
      <c r="T106" s="1185" t="str">
        <f>IF(AD106=1,IF(AF106="Value is not given at all",".",IF(AF106="Value is given by the source",S106,IF(AF106="Value is calculated with prices",(IF(SUMIFS(Q:Q,A:A,A106)&gt;0,SUMIFS(Q:Q,A:A,A106),"."))/VLOOKUP("USD",'Exchange Rates'!B:C,2,0),"Error with coding"))),"")</f>
        <v/>
      </c>
      <c r="U106" s="1184" t="s">
        <v>365</v>
      </c>
      <c r="V106" s="979" t="s">
        <v>641</v>
      </c>
      <c r="W106" s="979" t="s">
        <v>642</v>
      </c>
      <c r="X106" s="980" t="s">
        <v>588</v>
      </c>
      <c r="Y106" s="1190" t="s">
        <v>364</v>
      </c>
      <c r="Z106" s="1184">
        <v>0</v>
      </c>
      <c r="AA106" s="1194">
        <v>0</v>
      </c>
      <c r="AB106" s="979" t="s">
        <v>571</v>
      </c>
      <c r="AC106" s="1192" t="str">
        <f>""</f>
        <v/>
      </c>
      <c r="AD106" s="1193">
        <v>0</v>
      </c>
      <c r="AE106" s="1193" t="s">
        <v>368</v>
      </c>
      <c r="AF106" s="1193" t="s">
        <v>368</v>
      </c>
      <c r="AG106" s="1193">
        <v>1</v>
      </c>
      <c r="AH106" s="1193">
        <v>11</v>
      </c>
      <c r="AI106" s="1193">
        <v>0</v>
      </c>
      <c r="AJ106" s="1193">
        <f>VLOOKUP($I106,'Price List, Weapons &amp; Items'!B:F,5,0)</f>
        <v>0</v>
      </c>
      <c r="AK106" s="1193">
        <f t="shared" si="28"/>
        <v>0</v>
      </c>
      <c r="AL106" s="1193">
        <f t="shared" si="29"/>
        <v>0</v>
      </c>
      <c r="AM106" s="1193">
        <f t="shared" si="30"/>
        <v>0</v>
      </c>
      <c r="AN106" s="1194" t="str">
        <f>VLOOKUP($I106,'Price List, Weapons &amp; Items'!B:L,COLUMN('Price List, Weapons &amp; Items'!$J$11)-1,0)</f>
        <v> </v>
      </c>
      <c r="AO106" s="1194" t="str">
        <f>IF(I106=".",".",VLOOKUP($I106,'Price List, Weapons &amp; Items'!B:J,3,0))</f>
        <v>non combat military vehicle</v>
      </c>
      <c r="AP106" s="1195" t="str">
        <f t="shared" ca="1" si="24"/>
        <v/>
      </c>
      <c r="AQ106" s="1194">
        <f>VLOOKUP($I106,'Price List, Weapons &amp; Items'!B:L,COLUMN('Price List, Weapons &amp; Items'!$L$11)-1,0)</f>
        <v>0</v>
      </c>
      <c r="AR106" s="1194">
        <f t="shared" si="31"/>
        <v>1</v>
      </c>
      <c r="AS106" s="1194">
        <f t="shared" si="32"/>
        <v>1</v>
      </c>
      <c r="AT106" s="1194">
        <f t="shared" si="33"/>
        <v>1</v>
      </c>
      <c r="AU106" s="1194" t="str">
        <f t="shared" si="34"/>
        <v>.</v>
      </c>
      <c r="AV106" s="1194" t="str">
        <f t="shared" si="25"/>
        <v>.</v>
      </c>
      <c r="AW106" s="1194" t="str">
        <f t="shared" si="35"/>
        <v>.</v>
      </c>
      <c r="AX106" s="1194">
        <f>IFERROR(VLOOKUP(B106,'Share, Heavy Weapons to Ukraine'!B:Z,COLUMN('Share, Heavy Weapons to Ukraine'!C116)-1,0),0)</f>
        <v>0</v>
      </c>
      <c r="AY106" s="1194">
        <f>VLOOKUP('Bilateral Assistance, MAIN DATA'!B106,'Country Summary (€)'!B:F,COLUMN('Country Summary (€)'!C117)-1,FALSE)</f>
        <v>1</v>
      </c>
      <c r="AZ106" s="1194" t="str">
        <f>IF(AND(AD106=1,D106="Military",H106&lt;&gt;"Not given")=TRUE,IF(SUMIFS(P:P,A:A,A106)&gt;0,ABS((SUMIFS(P:P,A:A,A106)/VLOOKUP("USD",'Exchange Rates'!B:C,2,0)))/S106,"."),".")</f>
        <v>.</v>
      </c>
      <c r="BA106" s="1196" t="str">
        <f>IF(AND(AD106=1,D106="Military",H106&lt;&gt;"Not given")=TRUE,IF(SUMIFS(P:P,A:A,A106)&gt;0,IF((ABS((SUMIFS(P:P,A:A,A106)/VLOOKUP("USD",'Exchange Rates'!B:C,2,0)))/S106)&gt;1,(SUMIFS(P:P,A:A,A106)-S106)/S106,(S106-SUMIFS(P:P,A:A,A106))/SUMIFS(P:P,A:A,A106)),"."),".")</f>
        <v>.</v>
      </c>
    </row>
    <row r="107" spans="1:53" ht="15.95" customHeight="1">
      <c r="A107" s="1182" t="s">
        <v>638</v>
      </c>
      <c r="B107" s="1182" t="s">
        <v>558</v>
      </c>
      <c r="C107" s="1220">
        <v>44890</v>
      </c>
      <c r="D107" s="1208" t="s">
        <v>389</v>
      </c>
      <c r="E107" s="1208" t="s">
        <v>443</v>
      </c>
      <c r="F107" s="1208" t="s">
        <v>639</v>
      </c>
      <c r="G107" s="1184" t="s">
        <v>483</v>
      </c>
      <c r="H107" s="1185">
        <v>7285280</v>
      </c>
      <c r="I107" s="1208" t="s">
        <v>644</v>
      </c>
      <c r="J107" s="1186" t="str">
        <f>VLOOKUP($I107,'Price List, Weapons &amp; Items'!B:C,2,0)</f>
        <v>Military equipment</v>
      </c>
      <c r="K107" s="1186" t="str">
        <f>IF(I107=".",I107,VLOOKUP($I107,'Price List, Weapons &amp; Items'!B:D,3,0))</f>
        <v>Mine</v>
      </c>
      <c r="L107" s="1187">
        <f>VLOOKUP(I107,'Price List, Weapons &amp; Items'!B:E,4,0)</f>
        <v>0</v>
      </c>
      <c r="M107" s="1188" t="s">
        <v>374</v>
      </c>
      <c r="N107" s="1188" t="s">
        <v>374</v>
      </c>
      <c r="O107" s="1188">
        <f>VLOOKUP($I107,'Price List, Weapons &amp; Items'!B:G,6,0)</f>
        <v>1300</v>
      </c>
      <c r="P107" s="1185" t="str">
        <f t="shared" si="26"/>
        <v>.</v>
      </c>
      <c r="Q107" s="1185" t="str">
        <f t="shared" si="27"/>
        <v>.</v>
      </c>
      <c r="R107" s="1185" t="str">
        <f t="shared" si="23"/>
        <v/>
      </c>
      <c r="S107" s="1185" t="str">
        <f>IF(AND(AD107=1,R107&lt;&gt;".")=TRUE,R107/VLOOKUP(G107,'Exchange Rates'!B:C,2,0),IF(R107=".",".",""))</f>
        <v/>
      </c>
      <c r="T107" s="1185" t="str">
        <f>IF(AD107=1,IF(AF107="Value is not given at all",".",IF(AF107="Value is given by the source",S107,IF(AF107="Value is calculated with prices",(IF(SUMIFS(Q:Q,A:A,A107)&gt;0,SUMIFS(Q:Q,A:A,A107),"."))/VLOOKUP("USD",'Exchange Rates'!B:C,2,0),"Error with coding"))),"")</f>
        <v/>
      </c>
      <c r="U107" s="1184" t="s">
        <v>365</v>
      </c>
      <c r="V107" s="979" t="s">
        <v>641</v>
      </c>
      <c r="W107" s="979" t="s">
        <v>642</v>
      </c>
      <c r="X107" s="980" t="s">
        <v>588</v>
      </c>
      <c r="Y107" s="1190" t="s">
        <v>364</v>
      </c>
      <c r="Z107" s="1184">
        <v>0</v>
      </c>
      <c r="AA107" s="1194">
        <v>0</v>
      </c>
      <c r="AB107" s="979" t="s">
        <v>571</v>
      </c>
      <c r="AC107" s="1192" t="str">
        <f>""</f>
        <v/>
      </c>
      <c r="AD107" s="1193">
        <v>0</v>
      </c>
      <c r="AE107" s="1193" t="s">
        <v>368</v>
      </c>
      <c r="AF107" s="1193" t="s">
        <v>368</v>
      </c>
      <c r="AG107" s="1193">
        <v>1</v>
      </c>
      <c r="AH107" s="1193">
        <v>11</v>
      </c>
      <c r="AI107" s="1193">
        <v>0</v>
      </c>
      <c r="AJ107" s="1193">
        <f>VLOOKUP($I107,'Price List, Weapons &amp; Items'!B:F,5,0)</f>
        <v>0</v>
      </c>
      <c r="AK107" s="1193">
        <f t="shared" si="28"/>
        <v>0</v>
      </c>
      <c r="AL107" s="1193">
        <f t="shared" si="29"/>
        <v>0</v>
      </c>
      <c r="AM107" s="1193">
        <f t="shared" si="30"/>
        <v>0</v>
      </c>
      <c r="AN107" s="1194" t="str">
        <f>VLOOKUP($I107,'Price List, Weapons &amp; Items'!B:L,COLUMN('Price List, Weapons &amp; Items'!$J$11)-1,0)</f>
        <v>Source mentions price between 1200 and 1400 USD per piece, we average at 1300.</v>
      </c>
      <c r="AO107" s="1194" t="str">
        <f>IF(I107=".",".",VLOOKUP($I107,'Price List, Weapons &amp; Items'!B:J,3,0))</f>
        <v>Mine</v>
      </c>
      <c r="AP107" s="1195" t="str">
        <f t="shared" ca="1" si="24"/>
        <v/>
      </c>
      <c r="AQ107" s="1194">
        <f>VLOOKUP($I107,'Price List, Weapons &amp; Items'!B:L,COLUMN('Price List, Weapons &amp; Items'!$L$11)-1,0)</f>
        <v>2</v>
      </c>
      <c r="AR107" s="1194">
        <f t="shared" si="31"/>
        <v>1</v>
      </c>
      <c r="AS107" s="1194">
        <f t="shared" si="32"/>
        <v>1</v>
      </c>
      <c r="AT107" s="1194">
        <f t="shared" si="33"/>
        <v>1</v>
      </c>
      <c r="AU107" s="1194" t="str">
        <f t="shared" si="34"/>
        <v>.</v>
      </c>
      <c r="AV107" s="1194" t="str">
        <f t="shared" si="25"/>
        <v>.</v>
      </c>
      <c r="AW107" s="1194" t="str">
        <f t="shared" si="35"/>
        <v>.</v>
      </c>
      <c r="AX107" s="1194">
        <f>IFERROR(VLOOKUP(B107,'Share, Heavy Weapons to Ukraine'!B:Z,COLUMN('Share, Heavy Weapons to Ukraine'!C117)-1,0),0)</f>
        <v>0</v>
      </c>
      <c r="AY107" s="1194">
        <f>VLOOKUP('Bilateral Assistance, MAIN DATA'!B107,'Country Summary (€)'!B:F,COLUMN('Country Summary (€)'!C118)-1,FALSE)</f>
        <v>1</v>
      </c>
      <c r="AZ107" s="1194" t="str">
        <f>IF(AND(AD107=1,D107="Military",H107&lt;&gt;"Not given")=TRUE,IF(SUMIFS(P:P,A:A,A107)&gt;0,ABS((SUMIFS(P:P,A:A,A107)/VLOOKUP("USD",'Exchange Rates'!B:C,2,0)))/S107,"."),".")</f>
        <v>.</v>
      </c>
      <c r="BA107" s="1196" t="str">
        <f>IF(AND(AD107=1,D107="Military",H107&lt;&gt;"Not given")=TRUE,IF(SUMIFS(P:P,A:A,A107)&gt;0,IF((ABS((SUMIFS(P:P,A:A,A107)/VLOOKUP("USD",'Exchange Rates'!B:C,2,0)))/S107)&gt;1,(SUMIFS(P:P,A:A,A107)-S107)/S107,(S107-SUMIFS(P:P,A:A,A107))/SUMIFS(P:P,A:A,A107)),"."),".")</f>
        <v>.</v>
      </c>
    </row>
    <row r="108" spans="1:53" ht="15.95" customHeight="1">
      <c r="A108" s="1182" t="s">
        <v>638</v>
      </c>
      <c r="B108" s="1182" t="s">
        <v>558</v>
      </c>
      <c r="C108" s="1220">
        <v>44890</v>
      </c>
      <c r="D108" s="1208" t="s">
        <v>389</v>
      </c>
      <c r="E108" s="1208" t="s">
        <v>443</v>
      </c>
      <c r="F108" s="1208" t="s">
        <v>639</v>
      </c>
      <c r="G108" s="1184" t="s">
        <v>483</v>
      </c>
      <c r="H108" s="1185">
        <v>7285280</v>
      </c>
      <c r="I108" s="1208" t="s">
        <v>645</v>
      </c>
      <c r="J108" s="1186" t="str">
        <f>VLOOKUP($I108,'Price List, Weapons &amp; Items'!B:C,2,0)</f>
        <v>Ammunition for heavy weapon</v>
      </c>
      <c r="K108" s="1186" t="str">
        <f>IF(I108=".",I108,VLOOKUP($I108,'Price List, Weapons &amp; Items'!B:D,3,0))</f>
        <v>105mm</v>
      </c>
      <c r="L108" s="1187">
        <f>VLOOKUP(I108,'Price List, Weapons &amp; Items'!B:E,4,0)</f>
        <v>0</v>
      </c>
      <c r="M108" s="1188" t="s">
        <v>374</v>
      </c>
      <c r="N108" s="1188" t="s">
        <v>374</v>
      </c>
      <c r="O108" s="1188">
        <f>VLOOKUP($I108,'Price List, Weapons &amp; Items'!B:G,6,0)</f>
        <v>400</v>
      </c>
      <c r="P108" s="1185" t="str">
        <f t="shared" si="26"/>
        <v>.</v>
      </c>
      <c r="Q108" s="1185" t="str">
        <f t="shared" si="27"/>
        <v>.</v>
      </c>
      <c r="R108" s="1185" t="str">
        <f t="shared" si="23"/>
        <v/>
      </c>
      <c r="S108" s="1185" t="str">
        <f>IF(AND(AD108=1,R108&lt;&gt;".")=TRUE,R108/VLOOKUP(G108,'Exchange Rates'!B:C,2,0),IF(R108=".",".",""))</f>
        <v/>
      </c>
      <c r="T108" s="1185" t="str">
        <f>IF(AD108=1,IF(AF108="Value is not given at all",".",IF(AF108="Value is given by the source",S108,IF(AF108="Value is calculated with prices",(IF(SUMIFS(Q:Q,A:A,A108)&gt;0,SUMIFS(Q:Q,A:A,A108),"."))/VLOOKUP("USD",'Exchange Rates'!B:C,2,0),"Error with coding"))),"")</f>
        <v/>
      </c>
      <c r="U108" s="1184" t="s">
        <v>365</v>
      </c>
      <c r="V108" s="979" t="s">
        <v>641</v>
      </c>
      <c r="W108" s="979" t="s">
        <v>642</v>
      </c>
      <c r="X108" s="980" t="s">
        <v>588</v>
      </c>
      <c r="Y108" s="1190" t="s">
        <v>364</v>
      </c>
      <c r="Z108" s="1184">
        <v>0</v>
      </c>
      <c r="AA108" s="1194">
        <v>0</v>
      </c>
      <c r="AB108" s="979" t="s">
        <v>571</v>
      </c>
      <c r="AC108" s="1192" t="str">
        <f>""</f>
        <v/>
      </c>
      <c r="AD108" s="1193">
        <v>0</v>
      </c>
      <c r="AE108" s="1193" t="s">
        <v>368</v>
      </c>
      <c r="AF108" s="1193" t="s">
        <v>368</v>
      </c>
      <c r="AG108" s="1193">
        <v>1</v>
      </c>
      <c r="AH108" s="1193">
        <v>11</v>
      </c>
      <c r="AI108" s="1193">
        <v>0</v>
      </c>
      <c r="AJ108" s="1193">
        <f>VLOOKUP($I108,'Price List, Weapons &amp; Items'!B:F,5,0)</f>
        <v>0</v>
      </c>
      <c r="AK108" s="1193">
        <f t="shared" si="28"/>
        <v>0</v>
      </c>
      <c r="AL108" s="1193">
        <f t="shared" si="29"/>
        <v>0</v>
      </c>
      <c r="AM108" s="1193">
        <f t="shared" si="30"/>
        <v>0</v>
      </c>
      <c r="AN108" s="1194" t="str">
        <f>VLOOKUP($I108,'Price List, Weapons &amp; Items'!B:L,COLUMN('Price List, Weapons &amp; Items'!$J$11)-1,0)</f>
        <v>Military media (incl. websites)</v>
      </c>
      <c r="AO108" s="1194" t="str">
        <f>IF(I108=".",".",VLOOKUP($I108,'Price List, Weapons &amp; Items'!B:J,3,0))</f>
        <v>105mm</v>
      </c>
      <c r="AP108" s="1195" t="str">
        <f t="shared" ca="1" si="24"/>
        <v/>
      </c>
      <c r="AQ108" s="1194">
        <f>VLOOKUP($I108,'Price List, Weapons &amp; Items'!B:L,COLUMN('Price List, Weapons &amp; Items'!$L$11)-1,0)</f>
        <v>2</v>
      </c>
      <c r="AR108" s="1194">
        <f t="shared" si="31"/>
        <v>1</v>
      </c>
      <c r="AS108" s="1194">
        <f t="shared" si="32"/>
        <v>1</v>
      </c>
      <c r="AT108" s="1194">
        <f t="shared" si="33"/>
        <v>1</v>
      </c>
      <c r="AU108" s="1194" t="str">
        <f t="shared" si="34"/>
        <v>.</v>
      </c>
      <c r="AV108" s="1194" t="str">
        <f t="shared" si="25"/>
        <v>.</v>
      </c>
      <c r="AW108" s="1194" t="str">
        <f t="shared" si="35"/>
        <v>.</v>
      </c>
      <c r="AX108" s="1194">
        <f>IFERROR(VLOOKUP(B108,'Share, Heavy Weapons to Ukraine'!B:Z,COLUMN('Share, Heavy Weapons to Ukraine'!C118)-1,0),0)</f>
        <v>0</v>
      </c>
      <c r="AY108" s="1194">
        <f>VLOOKUP('Bilateral Assistance, MAIN DATA'!B108,'Country Summary (€)'!B:F,COLUMN('Country Summary (€)'!C119)-1,FALSE)</f>
        <v>1</v>
      </c>
      <c r="AZ108" s="1194" t="str">
        <f>IF(AND(AD108=1,D108="Military",H108&lt;&gt;"Not given")=TRUE,IF(SUMIFS(P:P,A:A,A108)&gt;0,ABS((SUMIFS(P:P,A:A,A108)/VLOOKUP("USD",'Exchange Rates'!B:C,2,0)))/S108,"."),".")</f>
        <v>.</v>
      </c>
      <c r="BA108" s="1196" t="str">
        <f>IF(AND(AD108=1,D108="Military",H108&lt;&gt;"Not given")=TRUE,IF(SUMIFS(P:P,A:A,A108)&gt;0,IF((ABS((SUMIFS(P:P,A:A,A108)/VLOOKUP("USD",'Exchange Rates'!B:C,2,0)))/S108)&gt;1,(SUMIFS(P:P,A:A,A108)-S108)/S108,(S108-SUMIFS(P:P,A:A,A108))/SUMIFS(P:P,A:A,A108)),"."),".")</f>
        <v>.</v>
      </c>
    </row>
    <row r="109" spans="1:53" ht="15.95" customHeight="1">
      <c r="A109" s="1182" t="s">
        <v>646</v>
      </c>
      <c r="B109" s="1182" t="s">
        <v>558</v>
      </c>
      <c r="C109" s="1220">
        <v>44911</v>
      </c>
      <c r="D109" s="1208" t="s">
        <v>389</v>
      </c>
      <c r="E109" s="1208" t="s">
        <v>443</v>
      </c>
      <c r="F109" s="1208" t="s">
        <v>607</v>
      </c>
      <c r="G109" s="1184" t="s">
        <v>483</v>
      </c>
      <c r="H109" s="1185">
        <v>1444400</v>
      </c>
      <c r="I109" s="1208" t="s">
        <v>596</v>
      </c>
      <c r="J109" s="1186" t="str">
        <f>VLOOKUP($I109,'Price List, Weapons &amp; Items'!B:C,2,0)</f>
        <v>Military equipment</v>
      </c>
      <c r="K109" s="1186" t="str">
        <f>IF(I109=".",I109,VLOOKUP($I109,'Price List, Weapons &amp; Items'!B:D,3,0))</f>
        <v>Military equipment</v>
      </c>
      <c r="L109" s="1187">
        <f>VLOOKUP(I109,'Price List, Weapons &amp; Items'!B:E,4,0)</f>
        <v>0</v>
      </c>
      <c r="M109" s="1188">
        <v>40</v>
      </c>
      <c r="N109" s="1188">
        <v>40</v>
      </c>
      <c r="O109" s="1188">
        <f>VLOOKUP($I109,'Price List, Weapons &amp; Items'!B:G,6,0)</f>
        <v>22216</v>
      </c>
      <c r="P109" s="1185">
        <f t="shared" si="26"/>
        <v>888640</v>
      </c>
      <c r="Q109" s="1185">
        <f t="shared" si="27"/>
        <v>888640</v>
      </c>
      <c r="R109" s="1185">
        <f t="shared" si="23"/>
        <v>1444400</v>
      </c>
      <c r="S109" s="1185">
        <f>IF(AND(AD109=1,R109&lt;&gt;".")=TRUE,R109/VLOOKUP(G109,'Exchange Rates'!B:C,2,0),IF(R109=".",".",""))</f>
        <v>1444400</v>
      </c>
      <c r="T109" s="1185">
        <f>IF(AD109=1,IF(AF109="Value is not given at all",".",IF(AF109="Value is given by the source",S109,IF(AF109="Value is calculated with prices",(IF(SUMIFS(Q:Q,A:A,A109)&gt;0,SUMIFS(Q:Q,A:A,A109),"."))/VLOOKUP("USD",'Exchange Rates'!B:C,2,0),"Error with coding"))),"")</f>
        <v>1444400</v>
      </c>
      <c r="U109" s="1184" t="s">
        <v>365</v>
      </c>
      <c r="V109" s="980" t="s">
        <v>588</v>
      </c>
      <c r="W109" s="990" t="s">
        <v>364</v>
      </c>
      <c r="X109" s="981" t="s">
        <v>364</v>
      </c>
      <c r="Y109" s="1190" t="s">
        <v>364</v>
      </c>
      <c r="Z109" s="1184">
        <v>0</v>
      </c>
      <c r="AA109" s="1194">
        <v>0</v>
      </c>
      <c r="AB109" s="980" t="s">
        <v>588</v>
      </c>
      <c r="AC109" s="1192" t="str">
        <f>""</f>
        <v/>
      </c>
      <c r="AD109" s="1193">
        <v>1</v>
      </c>
      <c r="AE109" s="1193" t="s">
        <v>368</v>
      </c>
      <c r="AF109" s="1193" t="s">
        <v>368</v>
      </c>
      <c r="AG109" s="1193">
        <v>1</v>
      </c>
      <c r="AH109" s="1193">
        <v>12</v>
      </c>
      <c r="AI109" s="1193">
        <v>0</v>
      </c>
      <c r="AJ109" s="1193">
        <f>VLOOKUP($I109,'Price List, Weapons &amp; Items'!B:F,5,0)</f>
        <v>0</v>
      </c>
      <c r="AK109" s="1193">
        <f t="shared" si="28"/>
        <v>0</v>
      </c>
      <c r="AL109" s="1193">
        <f t="shared" si="29"/>
        <v>0</v>
      </c>
      <c r="AM109" s="1193">
        <f t="shared" si="30"/>
        <v>0</v>
      </c>
      <c r="AN109" s="1194" t="str">
        <f>VLOOKUP($I109,'Price List, Weapons &amp; Items'!B:L,COLUMN('Price List, Weapons &amp; Items'!$J$11)-1,0)</f>
        <v>Government information</v>
      </c>
      <c r="AO109" s="1194" t="str">
        <f>IF(I109=".",".",VLOOKUP($I109,'Price List, Weapons &amp; Items'!B:J,3,0))</f>
        <v>Military equipment</v>
      </c>
      <c r="AP109" s="1195" t="str">
        <f t="shared" ca="1" si="24"/>
        <v>generator</v>
      </c>
      <c r="AQ109" s="1194">
        <f>VLOOKUP($I109,'Price List, Weapons &amp; Items'!B:L,COLUMN('Price List, Weapons &amp; Items'!$L$11)-1,0)</f>
        <v>2</v>
      </c>
      <c r="AR109" s="1194">
        <f t="shared" si="31"/>
        <v>1</v>
      </c>
      <c r="AS109" s="1194">
        <f t="shared" si="32"/>
        <v>1</v>
      </c>
      <c r="AT109" s="1194">
        <f t="shared" si="33"/>
        <v>1</v>
      </c>
      <c r="AU109" s="1194" t="str">
        <f t="shared" si="34"/>
        <v>.</v>
      </c>
      <c r="AV109" s="1194" t="str">
        <f t="shared" si="25"/>
        <v>.</v>
      </c>
      <c r="AW109" s="1194" t="str">
        <f t="shared" si="35"/>
        <v>.</v>
      </c>
      <c r="AX109" s="1194">
        <f>IFERROR(VLOOKUP(B109,'Share, Heavy Weapons to Ukraine'!B:Z,COLUMN('Share, Heavy Weapons to Ukraine'!C119)-1,0),0)</f>
        <v>0</v>
      </c>
      <c r="AY109" s="1194">
        <f>VLOOKUP('Bilateral Assistance, MAIN DATA'!B109,'Country Summary (€)'!B:F,COLUMN('Country Summary (€)'!C120)-1,FALSE)</f>
        <v>1</v>
      </c>
      <c r="AZ109" s="1194">
        <f>IF(AND(AD109=1,D109="Military",H109&lt;&gt;"Not given")=TRUE,IF(SUMIFS(P:P,A:A,A109)&gt;0,ABS((SUMIFS(P:P,A:A,A109)/VLOOKUP("USD",'Exchange Rates'!B:C,2,0)))/S109,"."),".")</f>
        <v>0.56609425642642863</v>
      </c>
      <c r="BA109" s="1196">
        <f>IF(AND(AD109=1,D109="Military",H109&lt;&gt;"Not given")=TRUE,IF(SUMIFS(P:P,A:A,A109)&gt;0,IF((ABS((SUMIFS(P:P,A:A,A109)/VLOOKUP("USD",'Exchange Rates'!B:C,2,0)))/S109)&gt;1,(SUMIFS(P:P,A:A,A109)-S109)/S109,(S109-SUMIFS(P:P,A:A,A109))/SUMIFS(P:P,A:A,A109)),"."),".")</f>
        <v>0.62540511343176086</v>
      </c>
    </row>
    <row r="110" spans="1:53" ht="15.95" customHeight="1">
      <c r="A110" s="1182" t="s">
        <v>646</v>
      </c>
      <c r="B110" s="1182" t="s">
        <v>558</v>
      </c>
      <c r="C110" s="1220">
        <v>44911</v>
      </c>
      <c r="D110" s="1208" t="s">
        <v>389</v>
      </c>
      <c r="E110" s="1208" t="s">
        <v>443</v>
      </c>
      <c r="F110" s="1208" t="s">
        <v>607</v>
      </c>
      <c r="G110" s="1184" t="s">
        <v>483</v>
      </c>
      <c r="H110" s="1185">
        <v>1444400</v>
      </c>
      <c r="I110" s="1208" t="s">
        <v>364</v>
      </c>
      <c r="J110" s="1186" t="str">
        <f>VLOOKUP($I110,'Price List, Weapons &amp; Items'!B:C,2,0)</f>
        <v>.</v>
      </c>
      <c r="K110" s="1186" t="str">
        <f>IF(I110=".",I110,VLOOKUP($I110,'Price List, Weapons &amp; Items'!B:D,3,0))</f>
        <v>.</v>
      </c>
      <c r="L110" s="1187">
        <f>VLOOKUP(I110,'Price List, Weapons &amp; Items'!B:E,4,0)</f>
        <v>0</v>
      </c>
      <c r="M110" s="1188" t="s">
        <v>374</v>
      </c>
      <c r="N110" s="1188" t="s">
        <v>374</v>
      </c>
      <c r="O110" s="1188" t="str">
        <f>VLOOKUP($I110,'Price List, Weapons &amp; Items'!B:G,6,0)</f>
        <v>.</v>
      </c>
      <c r="P110" s="1185" t="str">
        <f t="shared" si="26"/>
        <v>.</v>
      </c>
      <c r="Q110" s="1185" t="str">
        <f t="shared" si="27"/>
        <v>.</v>
      </c>
      <c r="R110" s="1185" t="str">
        <f t="shared" si="23"/>
        <v/>
      </c>
      <c r="S110" s="1185" t="str">
        <f>IF(AND(AD110=1,R110&lt;&gt;".")=TRUE,R110/VLOOKUP(G110,'Exchange Rates'!B:C,2,0),IF(R110=".",".",""))</f>
        <v/>
      </c>
      <c r="T110" s="1185" t="str">
        <f>IF(AD110=1,IF(AF110="Value is not given at all",".",IF(AF110="Value is given by the source",S110,IF(AF110="Value is calculated with prices",(IF(SUMIFS(Q:Q,A:A,A110)&gt;0,SUMIFS(Q:Q,A:A,A110),"."))/VLOOKUP("USD",'Exchange Rates'!B:C,2,0),"Error with coding"))),"")</f>
        <v/>
      </c>
      <c r="U110" s="1184" t="s">
        <v>365</v>
      </c>
      <c r="V110" s="980" t="s">
        <v>588</v>
      </c>
      <c r="W110" s="990" t="s">
        <v>364</v>
      </c>
      <c r="X110" s="981" t="s">
        <v>364</v>
      </c>
      <c r="Y110" s="1190" t="s">
        <v>364</v>
      </c>
      <c r="Z110" s="1184">
        <v>0</v>
      </c>
      <c r="AA110" s="1194">
        <v>0</v>
      </c>
      <c r="AB110" s="980" t="s">
        <v>588</v>
      </c>
      <c r="AC110" s="1192" t="str">
        <f>""</f>
        <v/>
      </c>
      <c r="AD110" s="1193">
        <v>0</v>
      </c>
      <c r="AE110" s="1193" t="s">
        <v>368</v>
      </c>
      <c r="AF110" s="1193" t="s">
        <v>368</v>
      </c>
      <c r="AG110" s="1193">
        <v>1</v>
      </c>
      <c r="AH110" s="1193">
        <v>12</v>
      </c>
      <c r="AI110" s="1193">
        <v>0</v>
      </c>
      <c r="AJ110" s="1193">
        <f>VLOOKUP($I110,'Price List, Weapons &amp; Items'!B:F,5,0)</f>
        <v>0</v>
      </c>
      <c r="AK110" s="1193">
        <f t="shared" si="28"/>
        <v>0</v>
      </c>
      <c r="AL110" s="1193">
        <f t="shared" si="29"/>
        <v>0</v>
      </c>
      <c r="AM110" s="1193">
        <f t="shared" si="30"/>
        <v>0</v>
      </c>
      <c r="AN110" s="1194" t="str">
        <f>VLOOKUP($I110,'Price List, Weapons &amp; Items'!B:L,COLUMN('Price List, Weapons &amp; Items'!$J$11)-1,0)</f>
        <v>.</v>
      </c>
      <c r="AO110" s="1194" t="str">
        <f>IF(I110=".",".",VLOOKUP($I110,'Price List, Weapons &amp; Items'!B:J,3,0))</f>
        <v>.</v>
      </c>
      <c r="AP110" s="1195" t="str">
        <f t="shared" ca="1" si="24"/>
        <v/>
      </c>
      <c r="AQ110" s="1194">
        <f>VLOOKUP($I110,'Price List, Weapons &amp; Items'!B:L,COLUMN('Price List, Weapons &amp; Items'!$L$11)-1,0)</f>
        <v>0</v>
      </c>
      <c r="AR110" s="1194">
        <f t="shared" si="31"/>
        <v>1</v>
      </c>
      <c r="AS110" s="1194">
        <f t="shared" si="32"/>
        <v>1</v>
      </c>
      <c r="AT110" s="1194">
        <f t="shared" si="33"/>
        <v>1</v>
      </c>
      <c r="AU110" s="1194" t="str">
        <f t="shared" si="34"/>
        <v>.</v>
      </c>
      <c r="AV110" s="1194" t="str">
        <f t="shared" si="25"/>
        <v>.</v>
      </c>
      <c r="AW110" s="1194" t="str">
        <f t="shared" si="35"/>
        <v>.</v>
      </c>
      <c r="AX110" s="1194">
        <f>IFERROR(VLOOKUP(B110,'Share, Heavy Weapons to Ukraine'!B:Z,COLUMN('Share, Heavy Weapons to Ukraine'!C120)-1,0),0)</f>
        <v>0</v>
      </c>
      <c r="AY110" s="1194">
        <f>VLOOKUP('Bilateral Assistance, MAIN DATA'!B110,'Country Summary (€)'!B:F,COLUMN('Country Summary (€)'!C121)-1,FALSE)</f>
        <v>1</v>
      </c>
      <c r="AZ110" s="1194" t="str">
        <f>IF(AND(AD110=1,D110="Military",H110&lt;&gt;"Not given")=TRUE,IF(SUMIFS(P:P,A:A,A110)&gt;0,ABS((SUMIFS(P:P,A:A,A110)/VLOOKUP("USD",'Exchange Rates'!B:C,2,0)))/S110,"."),".")</f>
        <v>.</v>
      </c>
      <c r="BA110" s="1196" t="str">
        <f>IF(AND(AD110=1,D110="Military",H110&lt;&gt;"Not given")=TRUE,IF(SUMIFS(P:P,A:A,A110)&gt;0,IF((ABS((SUMIFS(P:P,A:A,A110)/VLOOKUP("USD",'Exchange Rates'!B:C,2,0)))/S110)&gt;1,(SUMIFS(P:P,A:A,A110)-S110)/S110,(S110-SUMIFS(P:P,A:A,A110))/SUMIFS(P:P,A:A,A110)),"."),".")</f>
        <v>.</v>
      </c>
    </row>
    <row r="111" spans="1:53" ht="15.95" customHeight="1">
      <c r="A111" s="1182" t="s">
        <v>647</v>
      </c>
      <c r="B111" s="1182" t="s">
        <v>558</v>
      </c>
      <c r="C111" s="1220">
        <v>44953</v>
      </c>
      <c r="D111" s="1208" t="s">
        <v>389</v>
      </c>
      <c r="E111" s="1208" t="s">
        <v>443</v>
      </c>
      <c r="F111" s="1208" t="s">
        <v>607</v>
      </c>
      <c r="G111" s="1184" t="s">
        <v>483</v>
      </c>
      <c r="H111" s="1185">
        <v>94039642</v>
      </c>
      <c r="I111" s="1208" t="s">
        <v>648</v>
      </c>
      <c r="J111" s="1186" t="str">
        <f>VLOOKUP($I111,'Price List, Weapons &amp; Items'!B:C,2,0)</f>
        <v>Light armaments &amp; infantry</v>
      </c>
      <c r="K111" s="1186" t="str">
        <f>IF(I111=".",I111,VLOOKUP($I111,'Price List, Weapons &amp; Items'!B:D,3,0))</f>
        <v>Light Anti-armor Weapon (LAW)</v>
      </c>
      <c r="L111" s="1187">
        <f>VLOOKUP(I111,'Price List, Weapons &amp; Items'!B:E,4,0)</f>
        <v>0</v>
      </c>
      <c r="M111" s="1188" t="s">
        <v>374</v>
      </c>
      <c r="N111" s="1188" t="s">
        <v>374</v>
      </c>
      <c r="O111" s="1188">
        <f>VLOOKUP($I111,'Price List, Weapons &amp; Items'!B:G,6,0)</f>
        <v>2099</v>
      </c>
      <c r="P111" s="1185" t="str">
        <f t="shared" si="26"/>
        <v>.</v>
      </c>
      <c r="Q111" s="1185" t="str">
        <f t="shared" si="27"/>
        <v>.</v>
      </c>
      <c r="R111" s="1185">
        <f t="shared" si="23"/>
        <v>94039642</v>
      </c>
      <c r="S111" s="1185">
        <f>IF(AND(AD111=1,R111&lt;&gt;".")=TRUE,R111/VLOOKUP(G111,'Exchange Rates'!B:C,2,0),IF(R111=".",".",""))</f>
        <v>94039642</v>
      </c>
      <c r="T111" s="1185">
        <f>IF(AD111=1,IF(AF111="Value is not given at all",".",IF(AF111="Value is given by the source",S111,IF(AF111="Value is calculated with prices",(IF(SUMIFS(Q:Q,A:A,A111)&gt;0,SUMIFS(Q:Q,A:A,A111),"."))/VLOOKUP("USD",'Exchange Rates'!B:C,2,0),"Error with coding"))),"")</f>
        <v>94039642</v>
      </c>
      <c r="U111" s="1184" t="s">
        <v>365</v>
      </c>
      <c r="V111" s="980" t="s">
        <v>588</v>
      </c>
      <c r="W111" s="990" t="s">
        <v>364</v>
      </c>
      <c r="X111" s="981" t="s">
        <v>364</v>
      </c>
      <c r="Y111" s="1190" t="s">
        <v>364</v>
      </c>
      <c r="Z111" s="1184">
        <v>0</v>
      </c>
      <c r="AA111" s="1194">
        <v>0</v>
      </c>
      <c r="AB111" s="980" t="s">
        <v>588</v>
      </c>
      <c r="AC111" s="1192" t="str">
        <f>""</f>
        <v/>
      </c>
      <c r="AD111" s="1193">
        <v>1</v>
      </c>
      <c r="AE111" s="1193" t="s">
        <v>368</v>
      </c>
      <c r="AF111" s="1193" t="s">
        <v>368</v>
      </c>
      <c r="AG111" s="1193">
        <v>1</v>
      </c>
      <c r="AH111" s="1193">
        <v>13</v>
      </c>
      <c r="AI111" s="1193">
        <v>0</v>
      </c>
      <c r="AJ111" s="1193">
        <f>VLOOKUP($I111,'Price List, Weapons &amp; Items'!B:F,5,0)</f>
        <v>0</v>
      </c>
      <c r="AK111" s="1193">
        <f t="shared" si="28"/>
        <v>0</v>
      </c>
      <c r="AL111" s="1193">
        <f t="shared" si="29"/>
        <v>0</v>
      </c>
      <c r="AM111" s="1193">
        <f t="shared" si="30"/>
        <v>0</v>
      </c>
      <c r="AN111" s="1194" t="str">
        <f>VLOOKUP($I111,'Price List, Weapons &amp; Items'!B:L,COLUMN('Price List, Weapons &amp; Items'!$J$11)-1,0)</f>
        <v>Media reports (incl. social media)</v>
      </c>
      <c r="AO111" s="1194" t="str">
        <f>IF(I111=".",".",VLOOKUP($I111,'Price List, Weapons &amp; Items'!B:J,3,0))</f>
        <v>Light Anti-armor Weapon (LAW)</v>
      </c>
      <c r="AP111" s="1195" t="str">
        <f t="shared" ca="1" si="24"/>
        <v>grenade launchers and small arms</v>
      </c>
      <c r="AQ111" s="1194">
        <f>VLOOKUP($I111,'Price List, Weapons &amp; Items'!B:L,COLUMN('Price List, Weapons &amp; Items'!$L$11)-1,0)</f>
        <v>2</v>
      </c>
      <c r="AR111" s="1194">
        <f t="shared" si="31"/>
        <v>1</v>
      </c>
      <c r="AS111" s="1194">
        <f t="shared" si="32"/>
        <v>1</v>
      </c>
      <c r="AT111" s="1194">
        <f t="shared" si="33"/>
        <v>1</v>
      </c>
      <c r="AU111" s="1194" t="str">
        <f t="shared" si="34"/>
        <v>.</v>
      </c>
      <c r="AV111" s="1194" t="str">
        <f t="shared" si="25"/>
        <v>.</v>
      </c>
      <c r="AW111" s="1194" t="str">
        <f t="shared" si="35"/>
        <v>.</v>
      </c>
      <c r="AX111" s="1194">
        <f>IFERROR(VLOOKUP(B111,'Share, Heavy Weapons to Ukraine'!B:Z,COLUMN('Share, Heavy Weapons to Ukraine'!C121)-1,0),0)</f>
        <v>0</v>
      </c>
      <c r="AY111" s="1194">
        <f>VLOOKUP('Bilateral Assistance, MAIN DATA'!B111,'Country Summary (€)'!B:F,COLUMN('Country Summary (€)'!C122)-1,FALSE)</f>
        <v>1</v>
      </c>
      <c r="AZ111" s="1194">
        <f>IF(AND(AD111=1,D111="Military",H111&lt;&gt;"Not given")=TRUE,IF(SUMIFS(P:P,A:A,A111)&gt;0,ABS((SUMIFS(P:P,A:A,A111)/VLOOKUP("USD",'Exchange Rates'!B:C,2,0)))/S111,"."),".")</f>
        <v>0.44998906759723933</v>
      </c>
      <c r="BA111" s="1196">
        <f>IF(AND(AD111=1,D111="Military",H111&lt;&gt;"Not given")=TRUE,IF(SUMIFS(P:P,A:A,A111)&gt;0,IF((ABS((SUMIFS(P:P,A:A,A111)/VLOOKUP("USD",'Exchange Rates'!B:C,2,0)))/S111)&gt;1,(SUMIFS(P:P,A:A,A111)-S111)/S111,(S111-SUMIFS(P:P,A:A,A111))/SUMIFS(P:P,A:A,A111)),"."),".")</f>
        <v>1.0447885634044511</v>
      </c>
    </row>
    <row r="112" spans="1:53" ht="15.95" customHeight="1">
      <c r="A112" s="1182" t="s">
        <v>647</v>
      </c>
      <c r="B112" s="1182" t="s">
        <v>558</v>
      </c>
      <c r="C112" s="1220">
        <v>44953</v>
      </c>
      <c r="D112" s="1208" t="s">
        <v>389</v>
      </c>
      <c r="E112" s="1208" t="s">
        <v>443</v>
      </c>
      <c r="F112" s="1208" t="s">
        <v>607</v>
      </c>
      <c r="G112" s="1184" t="s">
        <v>483</v>
      </c>
      <c r="H112" s="1185">
        <v>94039642</v>
      </c>
      <c r="I112" s="1208" t="s">
        <v>602</v>
      </c>
      <c r="J112" s="1186" t="str">
        <f>VLOOKUP($I112,'Price List, Weapons &amp; Items'!B:C,2,0)</f>
        <v>Ammunition</v>
      </c>
      <c r="K112" s="1186" t="str">
        <f>IF(I112=".",I112,VLOOKUP($I112,'Price List, Weapons &amp; Items'!B:D,3,0))</f>
        <v>Military equipment</v>
      </c>
      <c r="L112" s="1187">
        <f>VLOOKUP(I112,'Price List, Weapons &amp; Items'!B:E,4,0)</f>
        <v>0</v>
      </c>
      <c r="M112" s="1188" t="s">
        <v>374</v>
      </c>
      <c r="N112" s="1188" t="s">
        <v>374</v>
      </c>
      <c r="O112" s="1188" t="str">
        <f>VLOOKUP($I112,'Price List, Weapons &amp; Items'!B:G,6,0)</f>
        <v>.</v>
      </c>
      <c r="P112" s="1185" t="str">
        <f t="shared" si="26"/>
        <v>.</v>
      </c>
      <c r="Q112" s="1185" t="str">
        <f t="shared" si="27"/>
        <v>.</v>
      </c>
      <c r="R112" s="1185" t="str">
        <f t="shared" si="23"/>
        <v/>
      </c>
      <c r="S112" s="1185" t="str">
        <f>IF(AND(AD112=1,R112&lt;&gt;".")=TRUE,R112/VLOOKUP(G112,'Exchange Rates'!B:C,2,0),IF(R112=".",".",""))</f>
        <v/>
      </c>
      <c r="T112" s="1185" t="str">
        <f>IF(AD112=1,IF(AF112="Value is not given at all",".",IF(AF112="Value is given by the source",S112,IF(AF112="Value is calculated with prices",(IF(SUMIFS(Q:Q,A:A,A112)&gt;0,SUMIFS(Q:Q,A:A,A112),"."))/VLOOKUP("USD",'Exchange Rates'!B:C,2,0),"Error with coding"))),"")</f>
        <v/>
      </c>
      <c r="U112" s="1184" t="s">
        <v>365</v>
      </c>
      <c r="V112" s="980" t="s">
        <v>588</v>
      </c>
      <c r="W112" s="990" t="s">
        <v>364</v>
      </c>
      <c r="X112" s="981" t="s">
        <v>364</v>
      </c>
      <c r="Y112" s="1190" t="s">
        <v>364</v>
      </c>
      <c r="Z112" s="1184">
        <v>0</v>
      </c>
      <c r="AA112" s="1194">
        <v>0</v>
      </c>
      <c r="AB112" s="980" t="s">
        <v>588</v>
      </c>
      <c r="AC112" s="1192" t="str">
        <f>""</f>
        <v/>
      </c>
      <c r="AD112" s="1193">
        <v>0</v>
      </c>
      <c r="AE112" s="1193" t="s">
        <v>368</v>
      </c>
      <c r="AF112" s="1193" t="s">
        <v>368</v>
      </c>
      <c r="AG112" s="1193">
        <v>1</v>
      </c>
      <c r="AH112" s="1193">
        <v>13</v>
      </c>
      <c r="AI112" s="1193">
        <v>0</v>
      </c>
      <c r="AJ112" s="1193">
        <f>VLOOKUP($I112,'Price List, Weapons &amp; Items'!B:F,5,0)</f>
        <v>0</v>
      </c>
      <c r="AK112" s="1193">
        <f t="shared" si="28"/>
        <v>0</v>
      </c>
      <c r="AL112" s="1193">
        <f t="shared" si="29"/>
        <v>0</v>
      </c>
      <c r="AM112" s="1193">
        <f t="shared" si="30"/>
        <v>1</v>
      </c>
      <c r="AN112" s="1194" t="str">
        <f>VLOOKUP($I112,'Price List, Weapons &amp; Items'!B:L,COLUMN('Price List, Weapons &amp; Items'!$J$11)-1,0)</f>
        <v>.</v>
      </c>
      <c r="AO112" s="1194" t="str">
        <f>IF(I112=".",".",VLOOKUP($I112,'Price List, Weapons &amp; Items'!B:J,3,0))</f>
        <v>Military equipment</v>
      </c>
      <c r="AP112" s="1195" t="str">
        <f t="shared" ca="1" si="24"/>
        <v/>
      </c>
      <c r="AQ112" s="1194">
        <f>VLOOKUP($I112,'Price List, Weapons &amp; Items'!B:L,COLUMN('Price List, Weapons &amp; Items'!$L$11)-1,0)</f>
        <v>0</v>
      </c>
      <c r="AR112" s="1194">
        <f t="shared" si="31"/>
        <v>1</v>
      </c>
      <c r="AS112" s="1194">
        <f t="shared" si="32"/>
        <v>1</v>
      </c>
      <c r="AT112" s="1194">
        <f t="shared" si="33"/>
        <v>1</v>
      </c>
      <c r="AU112" s="1194" t="str">
        <f t="shared" si="34"/>
        <v>.</v>
      </c>
      <c r="AV112" s="1194" t="str">
        <f t="shared" si="25"/>
        <v>.</v>
      </c>
      <c r="AW112" s="1194" t="str">
        <f t="shared" si="35"/>
        <v>.</v>
      </c>
      <c r="AX112" s="1194">
        <f>IFERROR(VLOOKUP(B112,'Share, Heavy Weapons to Ukraine'!B:Z,COLUMN('Share, Heavy Weapons to Ukraine'!C122)-1,0),0)</f>
        <v>0</v>
      </c>
      <c r="AY112" s="1194">
        <f>VLOOKUP('Bilateral Assistance, MAIN DATA'!B112,'Country Summary (€)'!B:F,COLUMN('Country Summary (€)'!C123)-1,FALSE)</f>
        <v>1</v>
      </c>
      <c r="AZ112" s="1194" t="str">
        <f>IF(AND(AD112=1,D112="Military",H112&lt;&gt;"Not given")=TRUE,IF(SUMIFS(P:P,A:A,A112)&gt;0,ABS((SUMIFS(P:P,A:A,A112)/VLOOKUP("USD",'Exchange Rates'!B:C,2,0)))/S112,"."),".")</f>
        <v>.</v>
      </c>
      <c r="BA112" s="1196" t="str">
        <f>IF(AND(AD112=1,D112="Military",H112&lt;&gt;"Not given")=TRUE,IF(SUMIFS(P:P,A:A,A112)&gt;0,IF((ABS((SUMIFS(P:P,A:A,A112)/VLOOKUP("USD",'Exchange Rates'!B:C,2,0)))/S112)&gt;1,(SUMIFS(P:P,A:A,A112)-S112)/S112,(S112-SUMIFS(P:P,A:A,A112))/SUMIFS(P:P,A:A,A112)),"."),".")</f>
        <v>.</v>
      </c>
    </row>
    <row r="113" spans="1:53" ht="15.95" customHeight="1">
      <c r="A113" s="1182" t="s">
        <v>647</v>
      </c>
      <c r="B113" s="1182" t="s">
        <v>558</v>
      </c>
      <c r="C113" s="1220">
        <v>44953</v>
      </c>
      <c r="D113" s="1208" t="s">
        <v>389</v>
      </c>
      <c r="E113" s="1208" t="s">
        <v>443</v>
      </c>
      <c r="F113" s="1208" t="s">
        <v>607</v>
      </c>
      <c r="G113" s="1184" t="s">
        <v>483</v>
      </c>
      <c r="H113" s="1185">
        <v>94039642</v>
      </c>
      <c r="I113" s="1208" t="s">
        <v>649</v>
      </c>
      <c r="J113" s="1186" t="str">
        <f>VLOOKUP($I113,'Price List, Weapons &amp; Items'!B:C,2,0)</f>
        <v>Heavy weapon</v>
      </c>
      <c r="K113" s="1186" t="str">
        <f>IF(I113=".",I113,VLOOKUP($I113,'Price List, Weapons &amp; Items'!B:D,3,0))</f>
        <v>Armored Utility Vehicle (AUV)</v>
      </c>
      <c r="L113" s="1187">
        <f>VLOOKUP(I113,'Price List, Weapons &amp; Items'!B:E,4,0)</f>
        <v>0</v>
      </c>
      <c r="M113" s="1188">
        <v>80</v>
      </c>
      <c r="N113" s="1188">
        <v>80</v>
      </c>
      <c r="O113" s="1188">
        <f>VLOOKUP($I113,'Price List, Weapons &amp; Items'!B:G,6,0)</f>
        <v>533100</v>
      </c>
      <c r="P113" s="1185">
        <f t="shared" si="26"/>
        <v>42648000</v>
      </c>
      <c r="Q113" s="1185">
        <f t="shared" si="27"/>
        <v>42648000</v>
      </c>
      <c r="R113" s="1185" t="str">
        <f t="shared" si="23"/>
        <v/>
      </c>
      <c r="S113" s="1185" t="str">
        <f>IF(AND(AD113=1,R113&lt;&gt;".")=TRUE,R113/VLOOKUP(G113,'Exchange Rates'!B:C,2,0),IF(R113=".",".",""))</f>
        <v/>
      </c>
      <c r="T113" s="1185" t="str">
        <f>IF(AD113=1,IF(AF113="Value is not given at all",".",IF(AF113="Value is given by the source",S113,IF(AF113="Value is calculated with prices",(IF(SUMIFS(Q:Q,A:A,A113)&gt;0,SUMIFS(Q:Q,A:A,A113),"."))/VLOOKUP("USD",'Exchange Rates'!B:C,2,0),"Error with coding"))),"")</f>
        <v/>
      </c>
      <c r="U113" s="1184" t="s">
        <v>365</v>
      </c>
      <c r="V113" s="980" t="s">
        <v>588</v>
      </c>
      <c r="W113" s="990" t="s">
        <v>364</v>
      </c>
      <c r="X113" s="981" t="s">
        <v>364</v>
      </c>
      <c r="Y113" s="1190" t="s">
        <v>364</v>
      </c>
      <c r="Z113" s="1184">
        <v>0</v>
      </c>
      <c r="AA113" s="1194">
        <v>0</v>
      </c>
      <c r="AB113" s="980" t="s">
        <v>588</v>
      </c>
      <c r="AC113" s="1192" t="str">
        <f>""</f>
        <v/>
      </c>
      <c r="AD113" s="1193">
        <v>0</v>
      </c>
      <c r="AE113" s="1193" t="s">
        <v>368</v>
      </c>
      <c r="AF113" s="1193" t="s">
        <v>368</v>
      </c>
      <c r="AG113" s="1193">
        <v>1</v>
      </c>
      <c r="AH113" s="1193">
        <v>13</v>
      </c>
      <c r="AI113" s="1193">
        <v>0</v>
      </c>
      <c r="AJ113" s="1193">
        <f>VLOOKUP($I113,'Price List, Weapons &amp; Items'!B:F,5,0)</f>
        <v>1</v>
      </c>
      <c r="AK113" s="1193">
        <f t="shared" si="28"/>
        <v>0</v>
      </c>
      <c r="AL113" s="1193">
        <f t="shared" si="29"/>
        <v>0</v>
      </c>
      <c r="AM113" s="1193">
        <f t="shared" si="30"/>
        <v>0</v>
      </c>
      <c r="AN113" s="1194" t="str">
        <f>VLOOKUP($I113,'Price List, Weapons &amp; Items'!B:L,COLUMN('Price List, Weapons &amp; Items'!$J$11)-1,0)</f>
        <v>Contracts</v>
      </c>
      <c r="AO113" s="1194" t="str">
        <f>IF(I113=".",".",VLOOKUP($I113,'Price List, Weapons &amp; Items'!B:J,3,0))</f>
        <v>Armored Utility Vehicle (AUV)</v>
      </c>
      <c r="AP113" s="1195" t="str">
        <f t="shared" ca="1" si="24"/>
        <v/>
      </c>
      <c r="AQ113" s="1194">
        <f>VLOOKUP($I113,'Price List, Weapons &amp; Items'!B:L,COLUMN('Price List, Weapons &amp; Items'!$L$11)-1,0)</f>
        <v>2</v>
      </c>
      <c r="AR113" s="1194">
        <f t="shared" si="31"/>
        <v>1</v>
      </c>
      <c r="AS113" s="1194">
        <f t="shared" si="32"/>
        <v>1</v>
      </c>
      <c r="AT113" s="1194">
        <f t="shared" si="33"/>
        <v>1</v>
      </c>
      <c r="AU113" s="1194" t="str">
        <f t="shared" si="34"/>
        <v>.</v>
      </c>
      <c r="AV113" s="1194" t="str">
        <f t="shared" si="25"/>
        <v>.</v>
      </c>
      <c r="AW113" s="1194" t="str">
        <f t="shared" si="35"/>
        <v>.</v>
      </c>
      <c r="AX113" s="1194">
        <f>IFERROR(VLOOKUP(B113,'Share, Heavy Weapons to Ukraine'!B:Z,COLUMN('Share, Heavy Weapons to Ukraine'!C123)-1,0),0)</f>
        <v>0</v>
      </c>
      <c r="AY113" s="1194">
        <f>VLOOKUP('Bilateral Assistance, MAIN DATA'!B113,'Country Summary (€)'!B:F,COLUMN('Country Summary (€)'!C124)-1,FALSE)</f>
        <v>1</v>
      </c>
      <c r="AZ113" s="1194" t="str">
        <f>IF(AND(AD113=1,D113="Military",H113&lt;&gt;"Not given")=TRUE,IF(SUMIFS(P:P,A:A,A113)&gt;0,ABS((SUMIFS(P:P,A:A,A113)/VLOOKUP("USD",'Exchange Rates'!B:C,2,0)))/S113,"."),".")</f>
        <v>.</v>
      </c>
      <c r="BA113" s="1196" t="str">
        <f>IF(AND(AD113=1,D113="Military",H113&lt;&gt;"Not given")=TRUE,IF(SUMIFS(P:P,A:A,A113)&gt;0,IF((ABS((SUMIFS(P:P,A:A,A113)/VLOOKUP("USD",'Exchange Rates'!B:C,2,0)))/S113)&gt;1,(SUMIFS(P:P,A:A,A113)-S113)/S113,(S113-SUMIFS(P:P,A:A,A113))/SUMIFS(P:P,A:A,A113)),"."),".")</f>
        <v>.</v>
      </c>
    </row>
    <row r="114" spans="1:53" ht="15.95" customHeight="1">
      <c r="A114" s="1182" t="s">
        <v>647</v>
      </c>
      <c r="B114" s="1182" t="s">
        <v>558</v>
      </c>
      <c r="C114" s="1220">
        <v>44953</v>
      </c>
      <c r="D114" s="1208" t="s">
        <v>389</v>
      </c>
      <c r="E114" s="1208" t="s">
        <v>443</v>
      </c>
      <c r="F114" s="1208" t="s">
        <v>607</v>
      </c>
      <c r="G114" s="1184" t="s">
        <v>483</v>
      </c>
      <c r="H114" s="1185">
        <v>94039642</v>
      </c>
      <c r="I114" s="1208" t="s">
        <v>635</v>
      </c>
      <c r="J114" s="1186" t="str">
        <f>VLOOKUP($I114,'Price List, Weapons &amp; Items'!B:C,2,0)</f>
        <v>Military equipment</v>
      </c>
      <c r="K114" s="1186" t="str">
        <f>IF(I114=".",I114,VLOOKUP($I114,'Price List, Weapons &amp; Items'!B:D,3,0))</f>
        <v>non combat military vehicle</v>
      </c>
      <c r="L114" s="1187">
        <f>VLOOKUP(I114,'Price List, Weapons &amp; Items'!B:E,4,0)</f>
        <v>0</v>
      </c>
      <c r="M114" s="1188">
        <v>150</v>
      </c>
      <c r="N114" s="1188">
        <v>150</v>
      </c>
      <c r="O114" s="1188">
        <f>VLOOKUP($I114,'Price List, Weapons &amp; Items'!B:G,6,0)</f>
        <v>22279.4</v>
      </c>
      <c r="P114" s="1185">
        <f t="shared" si="26"/>
        <v>3341910</v>
      </c>
      <c r="Q114" s="1185">
        <f t="shared" si="27"/>
        <v>3341910</v>
      </c>
      <c r="R114" s="1185" t="str">
        <f t="shared" si="23"/>
        <v/>
      </c>
      <c r="S114" s="1185" t="str">
        <f>IF(AND(AD114=1,R114&lt;&gt;".")=TRUE,R114/VLOOKUP(G114,'Exchange Rates'!B:C,2,0),IF(R114=".",".",""))</f>
        <v/>
      </c>
      <c r="T114" s="1185" t="str">
        <f>IF(AD114=1,IF(AF114="Value is not given at all",".",IF(AF114="Value is given by the source",S114,IF(AF114="Value is calculated with prices",(IF(SUMIFS(Q:Q,A:A,A114)&gt;0,SUMIFS(Q:Q,A:A,A114),"."))/VLOOKUP("USD",'Exchange Rates'!B:C,2,0),"Error with coding"))),"")</f>
        <v/>
      </c>
      <c r="U114" s="1184" t="s">
        <v>365</v>
      </c>
      <c r="V114" s="980" t="s">
        <v>588</v>
      </c>
      <c r="W114" s="990" t="s">
        <v>364</v>
      </c>
      <c r="X114" s="981" t="s">
        <v>364</v>
      </c>
      <c r="Y114" s="1190" t="s">
        <v>364</v>
      </c>
      <c r="Z114" s="1184">
        <v>0</v>
      </c>
      <c r="AA114" s="1194">
        <v>0</v>
      </c>
      <c r="AB114" s="980" t="s">
        <v>588</v>
      </c>
      <c r="AC114" s="1192" t="str">
        <f>""</f>
        <v/>
      </c>
      <c r="AD114" s="1193">
        <v>0</v>
      </c>
      <c r="AE114" s="1193" t="s">
        <v>368</v>
      </c>
      <c r="AF114" s="1193" t="s">
        <v>368</v>
      </c>
      <c r="AG114" s="1193">
        <v>1</v>
      </c>
      <c r="AH114" s="1193">
        <v>13</v>
      </c>
      <c r="AI114" s="1193">
        <v>0</v>
      </c>
      <c r="AJ114" s="1193">
        <f>VLOOKUP($I114,'Price List, Weapons &amp; Items'!B:F,5,0)</f>
        <v>0</v>
      </c>
      <c r="AK114" s="1193">
        <f t="shared" si="28"/>
        <v>0</v>
      </c>
      <c r="AL114" s="1193">
        <f t="shared" si="29"/>
        <v>0</v>
      </c>
      <c r="AM114" s="1193">
        <f t="shared" si="30"/>
        <v>0</v>
      </c>
      <c r="AN114" s="1194" t="str">
        <f>VLOOKUP($I114,'Price List, Weapons &amp; Items'!B:L,COLUMN('Price List, Weapons &amp; Items'!$J$11)-1,0)</f>
        <v>Online marketplaces and stores</v>
      </c>
      <c r="AO114" s="1194" t="str">
        <f>IF(I114=".",".",VLOOKUP($I114,'Price List, Weapons &amp; Items'!B:J,3,0))</f>
        <v>non combat military vehicle</v>
      </c>
      <c r="AP114" s="1195" t="str">
        <f t="shared" ca="1" si="24"/>
        <v/>
      </c>
      <c r="AQ114" s="1194">
        <f>VLOOKUP($I114,'Price List, Weapons &amp; Items'!B:L,COLUMN('Price List, Weapons &amp; Items'!$L$11)-1,0)</f>
        <v>2</v>
      </c>
      <c r="AR114" s="1194">
        <f t="shared" si="31"/>
        <v>1</v>
      </c>
      <c r="AS114" s="1194">
        <f t="shared" si="32"/>
        <v>1</v>
      </c>
      <c r="AT114" s="1194">
        <f t="shared" si="33"/>
        <v>1</v>
      </c>
      <c r="AU114" s="1194" t="str">
        <f t="shared" si="34"/>
        <v>.</v>
      </c>
      <c r="AV114" s="1194" t="str">
        <f t="shared" si="25"/>
        <v>.</v>
      </c>
      <c r="AW114" s="1194" t="str">
        <f t="shared" si="35"/>
        <v>.</v>
      </c>
      <c r="AX114" s="1194">
        <f>IFERROR(VLOOKUP(B114,'Share, Heavy Weapons to Ukraine'!B:Z,COLUMN('Share, Heavy Weapons to Ukraine'!C124)-1,0),0)</f>
        <v>0</v>
      </c>
      <c r="AY114" s="1194">
        <f>VLOOKUP('Bilateral Assistance, MAIN DATA'!B114,'Country Summary (€)'!B:F,COLUMN('Country Summary (€)'!C125)-1,FALSE)</f>
        <v>1</v>
      </c>
      <c r="AZ114" s="1194" t="str">
        <f>IF(AND(AD114=1,D114="Military",H114&lt;&gt;"Not given")=TRUE,IF(SUMIFS(P:P,A:A,A114)&gt;0,ABS((SUMIFS(P:P,A:A,A114)/VLOOKUP("USD",'Exchange Rates'!B:C,2,0)))/S114,"."),".")</f>
        <v>.</v>
      </c>
      <c r="BA114" s="1196" t="str">
        <f>IF(AND(AD114=1,D114="Military",H114&lt;&gt;"Not given")=TRUE,IF(SUMIFS(P:P,A:A,A114)&gt;0,IF((ABS((SUMIFS(P:P,A:A,A114)/VLOOKUP("USD",'Exchange Rates'!B:C,2,0)))/S114)&gt;1,(SUMIFS(P:P,A:A,A114)-S114)/S114,(S114-SUMIFS(P:P,A:A,A114))/SUMIFS(P:P,A:A,A114)),"."),".")</f>
        <v>.</v>
      </c>
    </row>
    <row r="115" spans="1:53" ht="15.95" customHeight="1">
      <c r="A115" s="1182" t="s">
        <v>647</v>
      </c>
      <c r="B115" s="1182" t="s">
        <v>558</v>
      </c>
      <c r="C115" s="1220">
        <v>44953</v>
      </c>
      <c r="D115" s="1208" t="s">
        <v>389</v>
      </c>
      <c r="E115" s="1208" t="s">
        <v>443</v>
      </c>
      <c r="F115" s="1208" t="s">
        <v>607</v>
      </c>
      <c r="G115" s="1184" t="s">
        <v>483</v>
      </c>
      <c r="H115" s="1185">
        <v>94039642</v>
      </c>
      <c r="I115" s="1208" t="s">
        <v>650</v>
      </c>
      <c r="J115" s="1186" t="str">
        <f>VLOOKUP($I115,'Price List, Weapons &amp; Items'!B:C,2,0)</f>
        <v>Ammunition for heavy weapon</v>
      </c>
      <c r="K115" s="1186" t="str">
        <f>IF(I115=".",I115,VLOOKUP($I115,'Price List, Weapons &amp; Items'!B:D,3,0))</f>
        <v>Surface-to-air missile (SAM)</v>
      </c>
      <c r="L115" s="1187">
        <f>VLOOKUP(I115,'Price List, Weapons &amp; Items'!B:E,4,0)</f>
        <v>0</v>
      </c>
      <c r="M115" s="1188" t="s">
        <v>374</v>
      </c>
      <c r="N115" s="1188" t="s">
        <v>374</v>
      </c>
      <c r="O115" s="1188" t="str">
        <f>VLOOKUP($I115,'Price List, Weapons &amp; Items'!B:G,6,0)</f>
        <v>.</v>
      </c>
      <c r="P115" s="1185" t="str">
        <f t="shared" si="26"/>
        <v>.</v>
      </c>
      <c r="Q115" s="1185" t="str">
        <f t="shared" si="27"/>
        <v>.</v>
      </c>
      <c r="R115" s="1185" t="str">
        <f t="shared" si="23"/>
        <v/>
      </c>
      <c r="S115" s="1185" t="str">
        <f>IF(AND(AD115=1,R115&lt;&gt;".")=TRUE,R115/VLOOKUP(G115,'Exchange Rates'!B:C,2,0),IF(R115=".",".",""))</f>
        <v/>
      </c>
      <c r="T115" s="1185" t="str">
        <f>IF(AD115=1,IF(AF115="Value is not given at all",".",IF(AF115="Value is given by the source",S115,IF(AF115="Value is calculated with prices",(IF(SUMIFS(Q:Q,A:A,A115)&gt;0,SUMIFS(Q:Q,A:A,A115),"."))/VLOOKUP("USD",'Exchange Rates'!B:C,2,0),"Error with coding"))),"")</f>
        <v/>
      </c>
      <c r="U115" s="1184" t="s">
        <v>365</v>
      </c>
      <c r="V115" s="980" t="s">
        <v>588</v>
      </c>
      <c r="W115" s="990" t="s">
        <v>364</v>
      </c>
      <c r="X115" s="981" t="s">
        <v>364</v>
      </c>
      <c r="Y115" s="1190" t="s">
        <v>364</v>
      </c>
      <c r="Z115" s="1184">
        <v>0</v>
      </c>
      <c r="AA115" s="1194">
        <v>0</v>
      </c>
      <c r="AB115" s="980" t="s">
        <v>588</v>
      </c>
      <c r="AC115" s="1192" t="str">
        <f>""</f>
        <v/>
      </c>
      <c r="AD115" s="1193">
        <v>0</v>
      </c>
      <c r="AE115" s="1193" t="s">
        <v>368</v>
      </c>
      <c r="AF115" s="1193" t="s">
        <v>368</v>
      </c>
      <c r="AG115" s="1193">
        <v>1</v>
      </c>
      <c r="AH115" s="1193">
        <v>13</v>
      </c>
      <c r="AI115" s="1193">
        <v>0</v>
      </c>
      <c r="AJ115" s="1193">
        <f>VLOOKUP($I115,'Price List, Weapons &amp; Items'!B:F,5,0)</f>
        <v>0</v>
      </c>
      <c r="AK115" s="1193">
        <f t="shared" si="28"/>
        <v>0</v>
      </c>
      <c r="AL115" s="1193">
        <f t="shared" si="29"/>
        <v>0</v>
      </c>
      <c r="AM115" s="1193">
        <f t="shared" si="30"/>
        <v>0</v>
      </c>
      <c r="AN115" s="1194" t="str">
        <f>VLOOKUP($I115,'Price List, Weapons &amp; Items'!B:L,COLUMN('Price List, Weapons &amp; Items'!$J$11)-1,0)</f>
        <v>.</v>
      </c>
      <c r="AO115" s="1194" t="str">
        <f>IF(I115=".",".",VLOOKUP($I115,'Price List, Weapons &amp; Items'!B:J,3,0))</f>
        <v>Surface-to-air missile (SAM)</v>
      </c>
      <c r="AP115" s="1195" t="str">
        <f t="shared" ca="1" si="24"/>
        <v/>
      </c>
      <c r="AQ115" s="1194">
        <f>VLOOKUP($I115,'Price List, Weapons &amp; Items'!B:L,COLUMN('Price List, Weapons &amp; Items'!$L$11)-1,0)</f>
        <v>0</v>
      </c>
      <c r="AR115" s="1194">
        <f t="shared" si="31"/>
        <v>1</v>
      </c>
      <c r="AS115" s="1194">
        <f t="shared" si="32"/>
        <v>1</v>
      </c>
      <c r="AT115" s="1194">
        <f t="shared" si="33"/>
        <v>1</v>
      </c>
      <c r="AU115" s="1194" t="str">
        <f t="shared" si="34"/>
        <v>.</v>
      </c>
      <c r="AV115" s="1194" t="str">
        <f t="shared" si="25"/>
        <v>.</v>
      </c>
      <c r="AW115" s="1194" t="str">
        <f t="shared" si="35"/>
        <v>.</v>
      </c>
      <c r="AX115" s="1194">
        <f>IFERROR(VLOOKUP(B115,'Share, Heavy Weapons to Ukraine'!B:Z,COLUMN('Share, Heavy Weapons to Ukraine'!C125)-1,0),0)</f>
        <v>0</v>
      </c>
      <c r="AY115" s="1194">
        <f>VLOOKUP('Bilateral Assistance, MAIN DATA'!B115,'Country Summary (€)'!B:F,COLUMN('Country Summary (€)'!C126)-1,FALSE)</f>
        <v>1</v>
      </c>
      <c r="AZ115" s="1194" t="str">
        <f>IF(AND(AD115=1,D115="Military",H115&lt;&gt;"Not given")=TRUE,IF(SUMIFS(P:P,A:A,A115)&gt;0,ABS((SUMIFS(P:P,A:A,A115)/VLOOKUP("USD",'Exchange Rates'!B:C,2,0)))/S115,"."),".")</f>
        <v>.</v>
      </c>
      <c r="BA115" s="1196" t="str">
        <f>IF(AND(AD115=1,D115="Military",H115&lt;&gt;"Not given")=TRUE,IF(SUMIFS(P:P,A:A,A115)&gt;0,IF((ABS((SUMIFS(P:P,A:A,A115)/VLOOKUP("USD",'Exchange Rates'!B:C,2,0)))/S115)&gt;1,(SUMIFS(P:P,A:A,A115)-S115)/S115,(S115-SUMIFS(P:P,A:A,A115))/SUMIFS(P:P,A:A,A115)),"."),".")</f>
        <v>.</v>
      </c>
    </row>
    <row r="116" spans="1:53" ht="15.95" customHeight="1">
      <c r="A116" s="1182" t="s">
        <v>647</v>
      </c>
      <c r="B116" s="1182" t="s">
        <v>558</v>
      </c>
      <c r="C116" s="1220">
        <v>44953</v>
      </c>
      <c r="D116" s="1208" t="s">
        <v>389</v>
      </c>
      <c r="E116" s="1208" t="s">
        <v>443</v>
      </c>
      <c r="F116" s="1208" t="s">
        <v>607</v>
      </c>
      <c r="G116" s="1184" t="s">
        <v>483</v>
      </c>
      <c r="H116" s="1185">
        <v>94039642</v>
      </c>
      <c r="I116" s="1208" t="s">
        <v>651</v>
      </c>
      <c r="J116" s="1186" t="str">
        <f>VLOOKUP($I116,'Price List, Weapons &amp; Items'!B:C,2,0)</f>
        <v>Portable defence system</v>
      </c>
      <c r="K116" s="1186" t="str">
        <f>IF(I116=".",I116,VLOOKUP($I116,'Price List, Weapons &amp; Items'!B:D,3,0))</f>
        <v>Light Anti-armor Weapon (LAW)</v>
      </c>
      <c r="L116" s="1187">
        <f>VLOOKUP(I116,'Price List, Weapons &amp; Items'!B:E,4,0)</f>
        <v>0</v>
      </c>
      <c r="M116" s="1188" t="s">
        <v>374</v>
      </c>
      <c r="N116" s="1188" t="s">
        <v>374</v>
      </c>
      <c r="O116" s="1188">
        <f>VLOOKUP($I116,'Price List, Weapons &amp; Items'!B:G,6,0)</f>
        <v>78000</v>
      </c>
      <c r="P116" s="1185" t="str">
        <f t="shared" si="26"/>
        <v>.</v>
      </c>
      <c r="Q116" s="1185" t="str">
        <f t="shared" si="27"/>
        <v>.</v>
      </c>
      <c r="R116" s="1185" t="str">
        <f t="shared" si="23"/>
        <v/>
      </c>
      <c r="S116" s="1185" t="str">
        <f>IF(AND(AD116=1,R116&lt;&gt;".")=TRUE,R116/VLOOKUP(G116,'Exchange Rates'!B:C,2,0),IF(R116=".",".",""))</f>
        <v/>
      </c>
      <c r="T116" s="1185" t="str">
        <f>IF(AD116=1,IF(AF116="Value is not given at all",".",IF(AF116="Value is given by the source",S116,IF(AF116="Value is calculated with prices",(IF(SUMIFS(Q:Q,A:A,A116)&gt;0,SUMIFS(Q:Q,A:A,A116),"."))/VLOOKUP("USD",'Exchange Rates'!B:C,2,0),"Error with coding"))),"")</f>
        <v/>
      </c>
      <c r="U116" s="1184" t="s">
        <v>365</v>
      </c>
      <c r="V116" s="980" t="s">
        <v>588</v>
      </c>
      <c r="W116" s="990" t="s">
        <v>364</v>
      </c>
      <c r="X116" s="981" t="s">
        <v>364</v>
      </c>
      <c r="Y116" s="1190" t="s">
        <v>364</v>
      </c>
      <c r="Z116" s="1184">
        <v>0</v>
      </c>
      <c r="AA116" s="1194">
        <v>0</v>
      </c>
      <c r="AB116" s="980" t="s">
        <v>588</v>
      </c>
      <c r="AC116" s="1192" t="str">
        <f>""</f>
        <v/>
      </c>
      <c r="AD116" s="1193">
        <v>0</v>
      </c>
      <c r="AE116" s="1193" t="s">
        <v>368</v>
      </c>
      <c r="AF116" s="1193" t="s">
        <v>368</v>
      </c>
      <c r="AG116" s="1193">
        <v>1</v>
      </c>
      <c r="AH116" s="1193">
        <v>13</v>
      </c>
      <c r="AI116" s="1193">
        <v>0</v>
      </c>
      <c r="AJ116" s="1193">
        <f>VLOOKUP($I116,'Price List, Weapons &amp; Items'!B:F,5,0)</f>
        <v>0</v>
      </c>
      <c r="AK116" s="1193">
        <f t="shared" si="28"/>
        <v>0</v>
      </c>
      <c r="AL116" s="1193">
        <f t="shared" si="29"/>
        <v>0</v>
      </c>
      <c r="AM116" s="1193">
        <f t="shared" si="30"/>
        <v>0</v>
      </c>
      <c r="AN116" s="1194" t="str">
        <f>VLOOKUP($I116,'Price List, Weapons &amp; Items'!B:L,COLUMN('Price List, Weapons &amp; Items'!$J$11)-1,0)</f>
        <v>Military media (incl. websites)</v>
      </c>
      <c r="AO116" s="1194" t="str">
        <f>IF(I116=".",".",VLOOKUP($I116,'Price List, Weapons &amp; Items'!B:J,3,0))</f>
        <v>Light Anti-armor Weapon (LAW)</v>
      </c>
      <c r="AP116" s="1195" t="str">
        <f t="shared" ca="1" si="24"/>
        <v/>
      </c>
      <c r="AQ116" s="1194">
        <f>VLOOKUP($I116,'Price List, Weapons &amp; Items'!B:L,COLUMN('Price List, Weapons &amp; Items'!$L$11)-1,0)</f>
        <v>2</v>
      </c>
      <c r="AR116" s="1194">
        <f t="shared" si="31"/>
        <v>1</v>
      </c>
      <c r="AS116" s="1194">
        <f t="shared" si="32"/>
        <v>1</v>
      </c>
      <c r="AT116" s="1194">
        <f t="shared" si="33"/>
        <v>1</v>
      </c>
      <c r="AU116" s="1194" t="str">
        <f t="shared" si="34"/>
        <v>.</v>
      </c>
      <c r="AV116" s="1194" t="str">
        <f t="shared" si="25"/>
        <v>.</v>
      </c>
      <c r="AW116" s="1194" t="str">
        <f t="shared" si="35"/>
        <v>.</v>
      </c>
      <c r="AX116" s="1194">
        <f>IFERROR(VLOOKUP(B116,'Share, Heavy Weapons to Ukraine'!B:Z,COLUMN('Share, Heavy Weapons to Ukraine'!C126)-1,0),0)</f>
        <v>0</v>
      </c>
      <c r="AY116" s="1194">
        <f>VLOOKUP('Bilateral Assistance, MAIN DATA'!B116,'Country Summary (€)'!B:F,COLUMN('Country Summary (€)'!C127)-1,FALSE)</f>
        <v>1</v>
      </c>
      <c r="AZ116" s="1194" t="str">
        <f>IF(AND(AD116=1,D116="Military",H116&lt;&gt;"Not given")=TRUE,IF(SUMIFS(P:P,A:A,A116)&gt;0,ABS((SUMIFS(P:P,A:A,A116)/VLOOKUP("USD",'Exchange Rates'!B:C,2,0)))/S116,"."),".")</f>
        <v>.</v>
      </c>
      <c r="BA116" s="1196" t="str">
        <f>IF(AND(AD116=1,D116="Military",H116&lt;&gt;"Not given")=TRUE,IF(SUMIFS(P:P,A:A,A116)&gt;0,IF((ABS((SUMIFS(P:P,A:A,A116)/VLOOKUP("USD",'Exchange Rates'!B:C,2,0)))/S116)&gt;1,(SUMIFS(P:P,A:A,A116)-S116)/S116,(S116-SUMIFS(P:P,A:A,A116))/SUMIFS(P:P,A:A,A116)),"."),".")</f>
        <v>.</v>
      </c>
    </row>
    <row r="117" spans="1:53" ht="15.95" customHeight="1">
      <c r="A117" s="1182" t="s">
        <v>652</v>
      </c>
      <c r="B117" s="1182" t="s">
        <v>558</v>
      </c>
      <c r="C117" s="1220">
        <v>45001</v>
      </c>
      <c r="D117" s="1208" t="s">
        <v>389</v>
      </c>
      <c r="E117" s="1208" t="s">
        <v>398</v>
      </c>
      <c r="F117" s="1208" t="s">
        <v>653</v>
      </c>
      <c r="G117" s="1184" t="s">
        <v>483</v>
      </c>
      <c r="H117" s="1185" t="s">
        <v>457</v>
      </c>
      <c r="I117" s="1208" t="s">
        <v>654</v>
      </c>
      <c r="J117" s="1186" t="str">
        <f>VLOOKUP($I117,'Price List, Weapons &amp; Items'!B:C,2,0)</f>
        <v>Military equipment</v>
      </c>
      <c r="K117" s="1186" t="str">
        <f>IF(I117=".",I117,VLOOKUP($I117,'Price List, Weapons &amp; Items'!B:D,3,0))</f>
        <v>Military equipment</v>
      </c>
      <c r="L117" s="1187">
        <f>VLOOKUP(I117,'Price List, Weapons &amp; Items'!B:E,4,0)</f>
        <v>0</v>
      </c>
      <c r="M117" s="1188">
        <v>240</v>
      </c>
      <c r="N117" s="1188" t="s">
        <v>374</v>
      </c>
      <c r="O117" s="1188">
        <f>VLOOKUP($I117,'Price List, Weapons &amp; Items'!B:G,6,0)</f>
        <v>350000</v>
      </c>
      <c r="P117" s="1185">
        <f t="shared" si="26"/>
        <v>84000000</v>
      </c>
      <c r="Q117" s="1185" t="str">
        <f t="shared" si="27"/>
        <v>.</v>
      </c>
      <c r="R117" s="1185">
        <f t="shared" si="23"/>
        <v>84000000</v>
      </c>
      <c r="S117" s="1185">
        <f>IF(AND(AD117=1,R117&lt;&gt;".")=TRUE,R117/VLOOKUP(G117,'Exchange Rates'!B:C,2,0),IF(R117=".",".",""))</f>
        <v>84000000</v>
      </c>
      <c r="T117" s="1185" t="str">
        <f>IF(AD117=1,IF(AF117="Value is not given at all",".",IF(AF117="Value is given by the source",S117,IF(AF117="Value is calculated with prices",(IF(SUMIFS(Q:Q,A:A,A117)&gt;0,SUMIFS(Q:Q,A:A,A117),"."))/VLOOKUP("USD",'Exchange Rates'!B:C,2,0),"Error with coding"))),"")</f>
        <v>.</v>
      </c>
      <c r="U117" s="1184" t="s">
        <v>365</v>
      </c>
      <c r="V117" s="980" t="s">
        <v>655</v>
      </c>
      <c r="W117" s="983" t="s">
        <v>656</v>
      </c>
      <c r="X117" s="981" t="s">
        <v>364</v>
      </c>
      <c r="Y117" s="1190" t="s">
        <v>364</v>
      </c>
      <c r="Z117" s="1184">
        <v>0</v>
      </c>
      <c r="AA117" s="1191">
        <v>1</v>
      </c>
      <c r="AB117" s="980" t="s">
        <v>364</v>
      </c>
      <c r="AC117" s="1192" t="str">
        <f>""</f>
        <v/>
      </c>
      <c r="AD117" s="1193">
        <v>1</v>
      </c>
      <c r="AE117" s="1193" t="s">
        <v>436</v>
      </c>
      <c r="AF117" s="1193" t="s">
        <v>369</v>
      </c>
      <c r="AG117" s="1193">
        <v>1</v>
      </c>
      <c r="AH117" s="1193">
        <v>15</v>
      </c>
      <c r="AI117" s="1193">
        <v>0</v>
      </c>
      <c r="AJ117" s="1193">
        <f>VLOOKUP($I117,'Price List, Weapons &amp; Items'!B:F,5,0)</f>
        <v>0</v>
      </c>
      <c r="AK117" s="1193">
        <f t="shared" si="28"/>
        <v>0</v>
      </c>
      <c r="AL117" s="1193">
        <f t="shared" si="29"/>
        <v>0</v>
      </c>
      <c r="AM117" s="1193">
        <f t="shared" si="30"/>
        <v>0</v>
      </c>
      <c r="AN117" s="1194" t="str">
        <f>VLOOKUP($I117,'Price List, Weapons &amp; Items'!B:L,COLUMN('Price List, Weapons &amp; Items'!$J$11)-1,0)</f>
        <v>Media reports (incl. social media)</v>
      </c>
      <c r="AO117" s="1194" t="str">
        <f>IF(I117=".",".",VLOOKUP($I117,'Price List, Weapons &amp; Items'!B:J,3,0))</f>
        <v>Military equipment</v>
      </c>
      <c r="AP117" s="1195" t="str">
        <f t="shared" ca="1" si="24"/>
        <v>Military trucks</v>
      </c>
      <c r="AQ117" s="1194">
        <f>VLOOKUP($I117,'Price List, Weapons &amp; Items'!B:L,COLUMN('Price List, Weapons &amp; Items'!$L$11)-1,0)</f>
        <v>2</v>
      </c>
      <c r="AR117" s="1194">
        <f t="shared" si="31"/>
        <v>1</v>
      </c>
      <c r="AS117" s="1194">
        <f t="shared" si="32"/>
        <v>1</v>
      </c>
      <c r="AT117" s="1194">
        <f t="shared" si="33"/>
        <v>1</v>
      </c>
      <c r="AU117" s="1194" t="str">
        <f t="shared" si="34"/>
        <v>.</v>
      </c>
      <c r="AV117" s="1194" t="str">
        <f t="shared" si="25"/>
        <v>.</v>
      </c>
      <c r="AW117" s="1194" t="str">
        <f t="shared" si="35"/>
        <v>.</v>
      </c>
      <c r="AX117" s="1194">
        <f>IFERROR(VLOOKUP(B117,'Share, Heavy Weapons to Ukraine'!B:Z,COLUMN('Share, Heavy Weapons to Ukraine'!C127)-1,0),0)</f>
        <v>0</v>
      </c>
      <c r="AY117" s="1194">
        <f>VLOOKUP('Bilateral Assistance, MAIN DATA'!B117,'Country Summary (€)'!B:F,COLUMN('Country Summary (€)'!C128)-1,FALSE)</f>
        <v>1</v>
      </c>
      <c r="AZ117" s="1194" t="str">
        <f>IF(AND(AD117=1,D117="Military",H117&lt;&gt;"Not given")=TRUE,IF(SUMIFS(P:P,A:A,A117)&gt;0,ABS((SUMIFS(P:P,A:A,A117)/VLOOKUP("USD",'Exchange Rates'!B:C,2,0)))/S117,"."),".")</f>
        <v>.</v>
      </c>
      <c r="BA117" s="1196" t="str">
        <f>IF(AND(AD117=1,D117="Military",H117&lt;&gt;"Not given")=TRUE,IF(SUMIFS(P:P,A:A,A117)&gt;0,IF((ABS((SUMIFS(P:P,A:A,A117)/VLOOKUP("USD",'Exchange Rates'!B:C,2,0)))/S117)&gt;1,(SUMIFS(P:P,A:A,A117)-S117)/S117,(S117-SUMIFS(P:P,A:A,A117))/SUMIFS(P:P,A:A,A117)),"."),".")</f>
        <v>.</v>
      </c>
    </row>
    <row r="118" spans="1:53" ht="15.95" customHeight="1">
      <c r="A118" s="1182" t="s">
        <v>657</v>
      </c>
      <c r="B118" s="1182" t="s">
        <v>558</v>
      </c>
      <c r="C118" s="1220">
        <v>45058</v>
      </c>
      <c r="D118" s="1208" t="s">
        <v>389</v>
      </c>
      <c r="E118" s="1208" t="s">
        <v>390</v>
      </c>
      <c r="F118" s="1208" t="s">
        <v>658</v>
      </c>
      <c r="G118" s="1184" t="s">
        <v>483</v>
      </c>
      <c r="H118" s="1185">
        <f>(14+92/2)*1000000</f>
        <v>60000000</v>
      </c>
      <c r="I118" s="1208" t="s">
        <v>364</v>
      </c>
      <c r="J118" s="1186" t="str">
        <f>VLOOKUP($I118,'Price List, Weapons &amp; Items'!B:C,2,0)</f>
        <v>.</v>
      </c>
      <c r="K118" s="1186" t="str">
        <f>IF(I118=".",I118,VLOOKUP($I118,'Price List, Weapons &amp; Items'!B:D,3,0))</f>
        <v>.</v>
      </c>
      <c r="L118" s="1187">
        <f>VLOOKUP(I118,'Price List, Weapons &amp; Items'!B:E,4,0)</f>
        <v>0</v>
      </c>
      <c r="M118" s="1188" t="s">
        <v>364</v>
      </c>
      <c r="N118" s="1188" t="s">
        <v>364</v>
      </c>
      <c r="O118" s="1188" t="str">
        <f>VLOOKUP($I118,'Price List, Weapons &amp; Items'!B:G,6,0)</f>
        <v>.</v>
      </c>
      <c r="P118" s="1185" t="str">
        <f t="shared" si="26"/>
        <v>.</v>
      </c>
      <c r="Q118" s="1185" t="str">
        <f t="shared" si="27"/>
        <v>.</v>
      </c>
      <c r="R118" s="1185">
        <f t="shared" si="23"/>
        <v>60000000</v>
      </c>
      <c r="S118" s="1185">
        <f>IF(AND(AD118=1,R118&lt;&gt;".")=TRUE,R118/VLOOKUP(G118,'Exchange Rates'!B:C,2,0),IF(R118=".",".",""))</f>
        <v>60000000</v>
      </c>
      <c r="T118" s="1185" t="str">
        <f>IF(AD118=1,IF(AF118="Value is not given at all",".",IF(AF118="Value is given by the source",S118,IF(AF118="Value is calculated with prices",(IF(SUMIFS(Q:Q,A:A,A118)&gt;0,SUMIFS(Q:Q,A:A,A118),"."))/VLOOKUP("USD",'Exchange Rates'!B:C,2,0),"Error with coding"))),"")</f>
        <v>.</v>
      </c>
      <c r="U118" s="1184" t="s">
        <v>365</v>
      </c>
      <c r="V118" s="980" t="s">
        <v>659</v>
      </c>
      <c r="W118" s="980" t="s">
        <v>583</v>
      </c>
      <c r="X118" s="983" t="s">
        <v>660</v>
      </c>
      <c r="Y118" s="1190" t="s">
        <v>364</v>
      </c>
      <c r="Z118" s="1184">
        <v>0</v>
      </c>
      <c r="AA118" s="1191">
        <v>1</v>
      </c>
      <c r="AB118" s="980" t="s">
        <v>364</v>
      </c>
      <c r="AC118" s="1192" t="str">
        <f>""</f>
        <v/>
      </c>
      <c r="AD118" s="1193">
        <v>1</v>
      </c>
      <c r="AE118" s="1193" t="s">
        <v>368</v>
      </c>
      <c r="AF118" s="1193" t="s">
        <v>369</v>
      </c>
      <c r="AG118" s="1193">
        <v>1</v>
      </c>
      <c r="AH118" s="1193">
        <v>17</v>
      </c>
      <c r="AI118" s="1193">
        <v>0</v>
      </c>
      <c r="AJ118" s="1193">
        <f>VLOOKUP($I118,'Price List, Weapons &amp; Items'!B:F,5,0)</f>
        <v>0</v>
      </c>
      <c r="AK118" s="1193">
        <f t="shared" si="28"/>
        <v>0</v>
      </c>
      <c r="AL118" s="1193">
        <f t="shared" si="29"/>
        <v>0</v>
      </c>
      <c r="AM118" s="1193">
        <f t="shared" si="30"/>
        <v>0</v>
      </c>
      <c r="AN118" s="1194" t="str">
        <f>VLOOKUP($I118,'Price List, Weapons &amp; Items'!B:L,COLUMN('Price List, Weapons &amp; Items'!$J$11)-1,0)</f>
        <v>.</v>
      </c>
      <c r="AO118" s="1194" t="str">
        <f>IF(I118=".",".",VLOOKUP($I118,'Price List, Weapons &amp; Items'!B:J,3,0))</f>
        <v>.</v>
      </c>
      <c r="AP118" s="1195" t="str">
        <f t="shared" ca="1" si="24"/>
        <v>.</v>
      </c>
      <c r="AQ118" s="1194">
        <f>VLOOKUP($I118,'Price List, Weapons &amp; Items'!B:L,COLUMN('Price List, Weapons &amp; Items'!$L$11)-1,0)</f>
        <v>0</v>
      </c>
      <c r="AR118" s="1194">
        <f t="shared" si="31"/>
        <v>1</v>
      </c>
      <c r="AS118" s="1194">
        <f t="shared" si="32"/>
        <v>1</v>
      </c>
      <c r="AT118" s="1194">
        <f t="shared" si="33"/>
        <v>1</v>
      </c>
      <c r="AU118" s="1194" t="str">
        <f t="shared" si="34"/>
        <v>.</v>
      </c>
      <c r="AV118" s="1194" t="str">
        <f t="shared" si="25"/>
        <v>.</v>
      </c>
      <c r="AW118" s="1194" t="str">
        <f t="shared" si="35"/>
        <v>.</v>
      </c>
      <c r="AX118" s="1194">
        <f>IFERROR(VLOOKUP(B118,'Share, Heavy Weapons to Ukraine'!B:Z,COLUMN('Share, Heavy Weapons to Ukraine'!C128)-1,0),0)</f>
        <v>0</v>
      </c>
      <c r="AY118" s="1194">
        <f>VLOOKUP('Bilateral Assistance, MAIN DATA'!B118,'Country Summary (€)'!B:F,COLUMN('Country Summary (€)'!C129)-1,FALSE)</f>
        <v>1</v>
      </c>
      <c r="AZ118" s="1194" t="str">
        <f>IF(AND(AD118=1,D118="Military",H118&lt;&gt;"Not given")=TRUE,IF(SUMIFS(P:P,A:A,A118)&gt;0,ABS((SUMIFS(P:P,A:A,A118)/VLOOKUP("USD",'Exchange Rates'!B:C,2,0)))/S118,"."),".")</f>
        <v>.</v>
      </c>
      <c r="BA118" s="1196" t="str">
        <f>IF(AND(AD118=1,D118="Military",H118&lt;&gt;"Not given")=TRUE,IF(SUMIFS(P:P,A:A,A118)&gt;0,IF((ABS((SUMIFS(P:P,A:A,A118)/VLOOKUP("USD",'Exchange Rates'!B:C,2,0)))/S118)&gt;1,(SUMIFS(P:P,A:A,A118)-S118)/S118,(S118-SUMIFS(P:P,A:A,A118))/SUMIFS(P:P,A:A,A118)),"."),".")</f>
        <v>.</v>
      </c>
    </row>
    <row r="119" spans="1:53" s="1180" customFormat="1" ht="15.95" customHeight="1">
      <c r="A119" s="1182" t="s">
        <v>661</v>
      </c>
      <c r="B119" s="1182" t="s">
        <v>558</v>
      </c>
      <c r="C119" s="1220">
        <v>44775</v>
      </c>
      <c r="D119" s="1208" t="s">
        <v>544</v>
      </c>
      <c r="E119" s="1208" t="s">
        <v>481</v>
      </c>
      <c r="F119" s="1208" t="s">
        <v>662</v>
      </c>
      <c r="G119" s="1184" t="s">
        <v>483</v>
      </c>
      <c r="H119" s="1185">
        <v>3100000</v>
      </c>
      <c r="I119" s="1208" t="s">
        <v>364</v>
      </c>
      <c r="J119" s="1186" t="str">
        <f>VLOOKUP($I119,'Price List, Weapons &amp; Items'!B:C,2,0)</f>
        <v>.</v>
      </c>
      <c r="K119" s="1186" t="str">
        <f>IF(I119=".",I119,VLOOKUP($I119,'Price List, Weapons &amp; Items'!B:D,3,0))</f>
        <v>.</v>
      </c>
      <c r="L119" s="1187">
        <f>VLOOKUP(I119,'Price List, Weapons &amp; Items'!B:E,4,0)</f>
        <v>0</v>
      </c>
      <c r="M119" s="1188" t="s">
        <v>364</v>
      </c>
      <c r="N119" s="1188" t="s">
        <v>364</v>
      </c>
      <c r="O119" s="1188" t="str">
        <f>VLOOKUP($I119,'Price List, Weapons &amp; Items'!B:G,6,0)</f>
        <v>.</v>
      </c>
      <c r="P119" s="1185" t="str">
        <f t="shared" si="26"/>
        <v>.</v>
      </c>
      <c r="Q119" s="1185" t="str">
        <f t="shared" si="27"/>
        <v>.</v>
      </c>
      <c r="R119" s="1185">
        <f t="shared" si="23"/>
        <v>3100000</v>
      </c>
      <c r="S119" s="1185">
        <f>IF(AND(AD119=1,R119&lt;&gt;".")=TRUE,R119/VLOOKUP(G119,'Exchange Rates'!B:C,2,0),IF(R119=".",".",""))</f>
        <v>3100000</v>
      </c>
      <c r="T119" s="1185" t="str">
        <f>IF(AD119=1,IF(AF119="Value is not given at all",".",IF(AF119="Value is given by the source",S119,IF(AF119="Value is calculated with prices",(IF(SUMIFS(Q:Q,A:A,A119)&gt;0,SUMIFS(Q:Q,A:A,A119),"."))/VLOOKUP("USD",'Exchange Rates'!B:C,2,0),"Error with coding"))),"")</f>
        <v>.</v>
      </c>
      <c r="U119" s="1184" t="s">
        <v>365</v>
      </c>
      <c r="V119" s="983" t="s">
        <v>663</v>
      </c>
      <c r="W119" s="966" t="s">
        <v>664</v>
      </c>
      <c r="X119" s="973" t="s">
        <v>665</v>
      </c>
      <c r="Y119" s="1190" t="s">
        <v>364</v>
      </c>
      <c r="Z119" s="1184">
        <v>1</v>
      </c>
      <c r="AA119" s="1194">
        <v>0</v>
      </c>
      <c r="AB119" s="1201" t="s">
        <v>364</v>
      </c>
      <c r="AC119" s="1192" t="str">
        <f>""</f>
        <v/>
      </c>
      <c r="AD119" s="985">
        <v>1</v>
      </c>
      <c r="AE119" s="985" t="s">
        <v>368</v>
      </c>
      <c r="AF119" s="985" t="s">
        <v>369</v>
      </c>
      <c r="AG119" s="985">
        <v>1</v>
      </c>
      <c r="AH119" s="985">
        <v>8</v>
      </c>
      <c r="AI119" s="985">
        <v>0</v>
      </c>
      <c r="AJ119" s="1193">
        <f>VLOOKUP($I119,'Price List, Weapons &amp; Items'!B:F,5,0)</f>
        <v>0</v>
      </c>
      <c r="AK119" s="1193">
        <f t="shared" si="28"/>
        <v>0</v>
      </c>
      <c r="AL119" s="1193">
        <f t="shared" si="29"/>
        <v>0</v>
      </c>
      <c r="AM119" s="1193">
        <f t="shared" si="30"/>
        <v>0</v>
      </c>
      <c r="AN119" s="1194" t="str">
        <f>VLOOKUP($I119,'Price List, Weapons &amp; Items'!B:L,COLUMN('Price List, Weapons &amp; Items'!$J$11)-1,0)</f>
        <v>.</v>
      </c>
      <c r="AO119" s="1194" t="str">
        <f>IF(I119=".",".",VLOOKUP($I119,'Price List, Weapons &amp; Items'!B:J,3,0))</f>
        <v>.</v>
      </c>
      <c r="AP119" s="1195" t="str">
        <f t="shared" ca="1" si="24"/>
        <v>.</v>
      </c>
      <c r="AQ119" s="1194">
        <f>VLOOKUP($I119,'Price List, Weapons &amp; Items'!B:L,COLUMN('Price List, Weapons &amp; Items'!$L$11)-1,0)</f>
        <v>0</v>
      </c>
      <c r="AR119" s="1194">
        <f t="shared" si="31"/>
        <v>1</v>
      </c>
      <c r="AS119" s="1194">
        <f t="shared" si="32"/>
        <v>0</v>
      </c>
      <c r="AT119" s="1194">
        <f t="shared" si="33"/>
        <v>1</v>
      </c>
      <c r="AU119" s="1194" t="str">
        <f t="shared" si="34"/>
        <v>.</v>
      </c>
      <c r="AV119" s="1194" t="str">
        <f t="shared" si="25"/>
        <v>.</v>
      </c>
      <c r="AW119" s="1194" t="str">
        <f t="shared" si="35"/>
        <v>.</v>
      </c>
      <c r="AX119" s="1194">
        <f>IFERROR(VLOOKUP(B119,'Share, Heavy Weapons to Ukraine'!B:Z,COLUMN('Share, Heavy Weapons to Ukraine'!C129)-1,0),0)</f>
        <v>0</v>
      </c>
      <c r="AY119" s="1194">
        <f>VLOOKUP('Bilateral Assistance, MAIN DATA'!B119,'Country Summary (€)'!B:F,COLUMN('Country Summary (€)'!C130)-1,FALSE)</f>
        <v>1</v>
      </c>
      <c r="AZ119" s="1194" t="str">
        <f>IF(AND(AD119=1,D119="Military",H119&lt;&gt;"Not given")=TRUE,IF(SUMIFS(P:P,A:A,A119)&gt;0,ABS((SUMIFS(P:P,A:A,A119)/VLOOKUP("USD",'Exchange Rates'!B:C,2,0)))/S119,"."),".")</f>
        <v>.</v>
      </c>
      <c r="BA119" s="1196" t="str">
        <f>IF(AND(AD119=1,D119="Military",H119&lt;&gt;"Not given")=TRUE,IF(SUMIFS(P:P,A:A,A119)&gt;0,IF((ABS((SUMIFS(P:P,A:A,A119)/VLOOKUP("USD",'Exchange Rates'!B:C,2,0)))/S119)&gt;1,(SUMIFS(P:P,A:A,A119)-S119)/S119,(S119-SUMIFS(P:P,A:A,A119))/SUMIFS(P:P,A:A,A119)),"."),".")</f>
        <v>.</v>
      </c>
    </row>
    <row r="120" spans="1:53" s="1180" customFormat="1" ht="15.95" customHeight="1">
      <c r="A120" s="1182" t="s">
        <v>666</v>
      </c>
      <c r="B120" s="1182" t="s">
        <v>558</v>
      </c>
      <c r="C120" s="1220">
        <v>44875</v>
      </c>
      <c r="D120" s="1208" t="s">
        <v>544</v>
      </c>
      <c r="E120" s="1208" t="s">
        <v>481</v>
      </c>
      <c r="F120" s="1208" t="s">
        <v>667</v>
      </c>
      <c r="G120" s="1184" t="s">
        <v>483</v>
      </c>
      <c r="H120" s="1185">
        <v>4960000</v>
      </c>
      <c r="I120" s="1208" t="s">
        <v>364</v>
      </c>
      <c r="J120" s="1186" t="str">
        <f>VLOOKUP($I120,'Price List, Weapons &amp; Items'!B:C,2,0)</f>
        <v>.</v>
      </c>
      <c r="K120" s="1186" t="str">
        <f>IF(I120=".",I120,VLOOKUP($I120,'Price List, Weapons &amp; Items'!B:D,3,0))</f>
        <v>.</v>
      </c>
      <c r="L120" s="1187">
        <f>VLOOKUP(I120,'Price List, Weapons &amp; Items'!B:E,4,0)</f>
        <v>0</v>
      </c>
      <c r="M120" s="1188" t="s">
        <v>364</v>
      </c>
      <c r="N120" s="1188" t="s">
        <v>364</v>
      </c>
      <c r="O120" s="1188" t="str">
        <f>VLOOKUP($I120,'Price List, Weapons &amp; Items'!B:G,6,0)</f>
        <v>.</v>
      </c>
      <c r="P120" s="1185" t="str">
        <f t="shared" si="26"/>
        <v>.</v>
      </c>
      <c r="Q120" s="1185" t="str">
        <f t="shared" si="27"/>
        <v>.</v>
      </c>
      <c r="R120" s="1185">
        <f t="shared" si="23"/>
        <v>4960000</v>
      </c>
      <c r="S120" s="1185">
        <f>IF(AND(AD120=1,R120&lt;&gt;".")=TRUE,R120/VLOOKUP(G120,'Exchange Rates'!B:C,2,0),IF(R120=".",".",""))</f>
        <v>4960000</v>
      </c>
      <c r="T120" s="1185" t="str">
        <f>IF(AD120=1,IF(AF120="Value is not given at all",".",IF(AF120="Value is given by the source",S120,IF(AF120="Value is calculated with prices",(IF(SUMIFS(Q:Q,A:A,A120)&gt;0,SUMIFS(Q:Q,A:A,A120),"."))/VLOOKUP("USD",'Exchange Rates'!B:C,2,0),"Error with coding"))),"")</f>
        <v>.</v>
      </c>
      <c r="U120" s="1184" t="s">
        <v>365</v>
      </c>
      <c r="V120" s="979" t="s">
        <v>668</v>
      </c>
      <c r="W120" s="966" t="s">
        <v>669</v>
      </c>
      <c r="X120" s="986" t="s">
        <v>364</v>
      </c>
      <c r="Y120" s="1190" t="s">
        <v>364</v>
      </c>
      <c r="Z120" s="1184">
        <v>1</v>
      </c>
      <c r="AA120" s="1194">
        <v>0</v>
      </c>
      <c r="AB120" s="1201" t="s">
        <v>364</v>
      </c>
      <c r="AC120" s="1192" t="str">
        <f>""</f>
        <v/>
      </c>
      <c r="AD120" s="985">
        <v>1</v>
      </c>
      <c r="AE120" s="985" t="s">
        <v>368</v>
      </c>
      <c r="AF120" s="985" t="s">
        <v>369</v>
      </c>
      <c r="AG120" s="985">
        <v>1</v>
      </c>
      <c r="AH120" s="985">
        <v>11</v>
      </c>
      <c r="AI120" s="985">
        <v>0</v>
      </c>
      <c r="AJ120" s="1193">
        <f>VLOOKUP($I120,'Price List, Weapons &amp; Items'!B:F,5,0)</f>
        <v>0</v>
      </c>
      <c r="AK120" s="1193">
        <f t="shared" si="28"/>
        <v>0</v>
      </c>
      <c r="AL120" s="1193">
        <f t="shared" si="29"/>
        <v>0</v>
      </c>
      <c r="AM120" s="1193">
        <f t="shared" si="30"/>
        <v>0</v>
      </c>
      <c r="AN120" s="1194" t="str">
        <f>VLOOKUP($I120,'Price List, Weapons &amp; Items'!B:L,COLUMN('Price List, Weapons &amp; Items'!$J$11)-1,0)</f>
        <v>.</v>
      </c>
      <c r="AO120" s="1194" t="str">
        <f>IF(I120=".",".",VLOOKUP($I120,'Price List, Weapons &amp; Items'!B:J,3,0))</f>
        <v>.</v>
      </c>
      <c r="AP120" s="1195" t="str">
        <f t="shared" ca="1" si="24"/>
        <v>.</v>
      </c>
      <c r="AQ120" s="1194">
        <f>VLOOKUP($I120,'Price List, Weapons &amp; Items'!B:L,COLUMN('Price List, Weapons &amp; Items'!$L$11)-1,0)</f>
        <v>0</v>
      </c>
      <c r="AR120" s="1194">
        <f t="shared" si="31"/>
        <v>1</v>
      </c>
      <c r="AS120" s="1194">
        <f t="shared" si="32"/>
        <v>0</v>
      </c>
      <c r="AT120" s="1194">
        <f t="shared" si="33"/>
        <v>1</v>
      </c>
      <c r="AU120" s="1194" t="str">
        <f t="shared" si="34"/>
        <v>.</v>
      </c>
      <c r="AV120" s="1194" t="str">
        <f t="shared" si="25"/>
        <v>.</v>
      </c>
      <c r="AW120" s="1194" t="str">
        <f t="shared" si="35"/>
        <v>.</v>
      </c>
      <c r="AX120" s="1194">
        <f>IFERROR(VLOOKUP(B120,'Share, Heavy Weapons to Ukraine'!B:Z,COLUMN('Share, Heavy Weapons to Ukraine'!C130)-1,0),0)</f>
        <v>0</v>
      </c>
      <c r="AY120" s="1194">
        <f>VLOOKUP('Bilateral Assistance, MAIN DATA'!B120,'Country Summary (€)'!B:F,COLUMN('Country Summary (€)'!C131)-1,FALSE)</f>
        <v>1</v>
      </c>
      <c r="AZ120" s="1194" t="str">
        <f>IF(AND(AD120=1,D120="Military",H120&lt;&gt;"Not given")=TRUE,IF(SUMIFS(P:P,A:A,A120)&gt;0,ABS((SUMIFS(P:P,A:A,A120)/VLOOKUP("USD",'Exchange Rates'!B:C,2,0)))/S120,"."),".")</f>
        <v>.</v>
      </c>
      <c r="BA120" s="1196" t="str">
        <f>IF(AND(AD120=1,D120="Military",H120&lt;&gt;"Not given")=TRUE,IF(SUMIFS(P:P,A:A,A120)&gt;0,IF((ABS((SUMIFS(P:P,A:A,A120)/VLOOKUP("USD",'Exchange Rates'!B:C,2,0)))/S120)&gt;1,(SUMIFS(P:P,A:A,A120)-S120)/S120,(S120-SUMIFS(P:P,A:A,A120))/SUMIFS(P:P,A:A,A120)),"."),".")</f>
        <v>.</v>
      </c>
    </row>
    <row r="121" spans="1:53" s="1180" customFormat="1" ht="15.95" customHeight="1">
      <c r="A121" s="1182" t="s">
        <v>670</v>
      </c>
      <c r="B121" s="1182" t="s">
        <v>558</v>
      </c>
      <c r="C121" s="1220">
        <v>45058</v>
      </c>
      <c r="D121" s="1208" t="s">
        <v>544</v>
      </c>
      <c r="E121" s="1208" t="s">
        <v>481</v>
      </c>
      <c r="F121" s="1208" t="s">
        <v>671</v>
      </c>
      <c r="G121" s="1184" t="s">
        <v>483</v>
      </c>
      <c r="H121" s="1185">
        <v>8000000</v>
      </c>
      <c r="I121" s="1208" t="s">
        <v>364</v>
      </c>
      <c r="J121" s="1186" t="str">
        <f>VLOOKUP($I121,'Price List, Weapons &amp; Items'!B:C,2,0)</f>
        <v>.</v>
      </c>
      <c r="K121" s="1186" t="str">
        <f>IF(I121=".",I121,VLOOKUP($I121,'Price List, Weapons &amp; Items'!B:D,3,0))</f>
        <v>.</v>
      </c>
      <c r="L121" s="1187">
        <f>VLOOKUP(I121,'Price List, Weapons &amp; Items'!B:E,4,0)</f>
        <v>0</v>
      </c>
      <c r="M121" s="1188" t="s">
        <v>364</v>
      </c>
      <c r="N121" s="1188" t="s">
        <v>364</v>
      </c>
      <c r="O121" s="1188" t="str">
        <f>VLOOKUP($I121,'Price List, Weapons &amp; Items'!B:G,6,0)</f>
        <v>.</v>
      </c>
      <c r="P121" s="1185" t="str">
        <f t="shared" si="26"/>
        <v>.</v>
      </c>
      <c r="Q121" s="1185" t="str">
        <f t="shared" si="27"/>
        <v>.</v>
      </c>
      <c r="R121" s="1185">
        <f t="shared" si="23"/>
        <v>8000000</v>
      </c>
      <c r="S121" s="1185">
        <f>IF(AND(AD121=1,R121&lt;&gt;".")=TRUE,R121/VLOOKUP(G121,'Exchange Rates'!B:C,2,0),IF(R121=".",".",""))</f>
        <v>8000000</v>
      </c>
      <c r="T121" s="1185" t="str">
        <f>IF(AD121=1,IF(AF121="Value is not given at all",".",IF(AF121="Value is given by the source",S121,IF(AF121="Value is calculated with prices",(IF(SUMIFS(Q:Q,A:A,A121)&gt;0,SUMIFS(Q:Q,A:A,A121),"."))/VLOOKUP("USD",'Exchange Rates'!B:C,2,0),"Error with coding"))),"")</f>
        <v>.</v>
      </c>
      <c r="U121" s="1184" t="s">
        <v>365</v>
      </c>
      <c r="V121" s="979" t="s">
        <v>583</v>
      </c>
      <c r="W121" s="966" t="s">
        <v>660</v>
      </c>
      <c r="X121" s="986" t="s">
        <v>364</v>
      </c>
      <c r="Y121" s="1190" t="s">
        <v>364</v>
      </c>
      <c r="Z121" s="1184">
        <v>1</v>
      </c>
      <c r="AA121" s="1191">
        <v>1</v>
      </c>
      <c r="AB121" s="1201" t="s">
        <v>364</v>
      </c>
      <c r="AC121" s="1192" t="str">
        <f>""</f>
        <v/>
      </c>
      <c r="AD121" s="985">
        <v>1</v>
      </c>
      <c r="AE121" s="985" t="s">
        <v>368</v>
      </c>
      <c r="AF121" s="985" t="s">
        <v>369</v>
      </c>
      <c r="AG121" s="985">
        <v>1</v>
      </c>
      <c r="AH121" s="985">
        <v>17</v>
      </c>
      <c r="AI121" s="985">
        <v>0</v>
      </c>
      <c r="AJ121" s="1193">
        <f>VLOOKUP($I121,'Price List, Weapons &amp; Items'!B:F,5,0)</f>
        <v>0</v>
      </c>
      <c r="AK121" s="1193">
        <f t="shared" si="28"/>
        <v>0</v>
      </c>
      <c r="AL121" s="1193">
        <f t="shared" si="29"/>
        <v>0</v>
      </c>
      <c r="AM121" s="1193">
        <f t="shared" si="30"/>
        <v>0</v>
      </c>
      <c r="AN121" s="1194" t="str">
        <f>VLOOKUP($I121,'Price List, Weapons &amp; Items'!B:L,COLUMN('Price List, Weapons &amp; Items'!$J$11)-1,0)</f>
        <v>.</v>
      </c>
      <c r="AO121" s="1194" t="str">
        <f>IF(I121=".",".",VLOOKUP($I121,'Price List, Weapons &amp; Items'!B:J,3,0))</f>
        <v>.</v>
      </c>
      <c r="AP121" s="1195" t="str">
        <f t="shared" ca="1" si="24"/>
        <v>.</v>
      </c>
      <c r="AQ121" s="1194">
        <f>VLOOKUP($I121,'Price List, Weapons &amp; Items'!B:L,COLUMN('Price List, Weapons &amp; Items'!$L$11)-1,0)</f>
        <v>0</v>
      </c>
      <c r="AR121" s="1194">
        <f t="shared" si="31"/>
        <v>1</v>
      </c>
      <c r="AS121" s="1194">
        <f t="shared" si="32"/>
        <v>0</v>
      </c>
      <c r="AT121" s="1194">
        <f t="shared" si="33"/>
        <v>1</v>
      </c>
      <c r="AU121" s="1194" t="str">
        <f t="shared" si="34"/>
        <v>.</v>
      </c>
      <c r="AV121" s="1194" t="str">
        <f t="shared" si="25"/>
        <v>.</v>
      </c>
      <c r="AW121" s="1194" t="str">
        <f t="shared" si="35"/>
        <v>.</v>
      </c>
      <c r="AX121" s="1194">
        <f>IFERROR(VLOOKUP(B121,'Share, Heavy Weapons to Ukraine'!B:Z,COLUMN('Share, Heavy Weapons to Ukraine'!C131)-1,0),0)</f>
        <v>0</v>
      </c>
      <c r="AY121" s="1194">
        <f>VLOOKUP('Bilateral Assistance, MAIN DATA'!B121,'Country Summary (€)'!B:F,COLUMN('Country Summary (€)'!C132)-1,FALSE)</f>
        <v>1</v>
      </c>
      <c r="AZ121" s="1194" t="str">
        <f>IF(AND(AD121=1,D121="Military",H121&lt;&gt;"Not given")=TRUE,IF(SUMIFS(P:P,A:A,A121)&gt;0,ABS((SUMIFS(P:P,A:A,A121)/VLOOKUP("USD",'Exchange Rates'!B:C,2,0)))/S121,"."),".")</f>
        <v>.</v>
      </c>
      <c r="BA121" s="1196" t="str">
        <f>IF(AND(AD121=1,D121="Military",H121&lt;&gt;"Not given")=TRUE,IF(SUMIFS(P:P,A:A,A121)&gt;0,IF((ABS((SUMIFS(P:P,A:A,A121)/VLOOKUP("USD",'Exchange Rates'!B:C,2,0)))/S121)&gt;1,(SUMIFS(P:P,A:A,A121)-S121)/S121,(S121-SUMIFS(P:P,A:A,A121))/SUMIFS(P:P,A:A,A121)),"."),".")</f>
        <v>.</v>
      </c>
    </row>
    <row r="122" spans="1:53" ht="15.95" customHeight="1">
      <c r="A122" s="1180" t="s">
        <v>672</v>
      </c>
      <c r="B122" s="1180" t="s">
        <v>673</v>
      </c>
      <c r="C122" s="1181">
        <v>44619</v>
      </c>
      <c r="D122" s="1182" t="s">
        <v>360</v>
      </c>
      <c r="E122" s="1182" t="s">
        <v>361</v>
      </c>
      <c r="F122" s="1183" t="s">
        <v>674</v>
      </c>
      <c r="G122" s="1184" t="s">
        <v>483</v>
      </c>
      <c r="H122" s="1185" t="s">
        <v>457</v>
      </c>
      <c r="I122" s="1180" t="s">
        <v>364</v>
      </c>
      <c r="J122" s="1186" t="str">
        <f>VLOOKUP($I122,'Price List, Weapons &amp; Items'!B:C,2,0)</f>
        <v>.</v>
      </c>
      <c r="K122" s="1186" t="str">
        <f>IF(I122=".",I122,VLOOKUP($I122,'Price List, Weapons &amp; Items'!B:D,3,0))</f>
        <v>.</v>
      </c>
      <c r="L122" s="1187">
        <f>VLOOKUP(I122,'Price List, Weapons &amp; Items'!B:E,4,0)</f>
        <v>0</v>
      </c>
      <c r="M122" s="1188" t="s">
        <v>364</v>
      </c>
      <c r="N122" s="1188" t="s">
        <v>364</v>
      </c>
      <c r="O122" s="1188" t="str">
        <f>VLOOKUP($I122,'Price List, Weapons &amp; Items'!B:G,6,0)</f>
        <v>.</v>
      </c>
      <c r="P122" s="1185" t="str">
        <f t="shared" si="26"/>
        <v>.</v>
      </c>
      <c r="Q122" s="1185" t="str">
        <f t="shared" si="27"/>
        <v>.</v>
      </c>
      <c r="R122" s="1185" t="str">
        <f t="shared" si="23"/>
        <v>.</v>
      </c>
      <c r="S122" s="1185" t="str">
        <f>IF(AND(AD122=1,R122&lt;&gt;".")=TRUE,R122/VLOOKUP(G122,'Exchange Rates'!B:C,2,0),IF(R122=".",".",""))</f>
        <v>.</v>
      </c>
      <c r="T122" s="1185" t="str">
        <f>IF(AD122=1,IF(AF122="Value is not given at all",".",IF(AF122="Value is given by the source",S122,IF(AF122="Value is calculated with prices",(IF(SUMIFS(Q:Q,A:A,A122)&gt;0,SUMIFS(Q:Q,A:A,A122),"."))/VLOOKUP("USD",'Exchange Rates'!B:C,2,0),"Error with coding"))),"")</f>
        <v>.</v>
      </c>
      <c r="U122" s="1184" t="s">
        <v>675</v>
      </c>
      <c r="V122" s="971" t="s">
        <v>676</v>
      </c>
      <c r="W122" s="971" t="s">
        <v>677</v>
      </c>
      <c r="X122" s="1190" t="s">
        <v>364</v>
      </c>
      <c r="Y122" s="1190" t="s">
        <v>364</v>
      </c>
      <c r="Z122" s="1184">
        <v>0</v>
      </c>
      <c r="AA122" s="1194">
        <v>0</v>
      </c>
      <c r="AB122" s="1201" t="s">
        <v>364</v>
      </c>
      <c r="AC122" s="1192" t="str">
        <f>""</f>
        <v/>
      </c>
      <c r="AD122" s="1193">
        <v>1</v>
      </c>
      <c r="AE122" s="1193" t="s">
        <v>369</v>
      </c>
      <c r="AF122" s="1193" t="s">
        <v>369</v>
      </c>
      <c r="AG122" s="1193">
        <v>1</v>
      </c>
      <c r="AH122" s="1193">
        <v>2</v>
      </c>
      <c r="AI122" s="1193">
        <v>0</v>
      </c>
      <c r="AJ122" s="1193">
        <f>VLOOKUP($I122,'Price List, Weapons &amp; Items'!B:F,5,0)</f>
        <v>0</v>
      </c>
      <c r="AK122" s="1193">
        <f t="shared" si="28"/>
        <v>0</v>
      </c>
      <c r="AL122" s="1193">
        <f t="shared" si="29"/>
        <v>0</v>
      </c>
      <c r="AM122" s="1193">
        <f t="shared" si="30"/>
        <v>0</v>
      </c>
      <c r="AN122" s="1194" t="str">
        <f>VLOOKUP($I122,'Price List, Weapons &amp; Items'!B:L,COLUMN('Price List, Weapons &amp; Items'!$J$11)-1,0)</f>
        <v>.</v>
      </c>
      <c r="AO122" s="1194" t="str">
        <f>IF(I122=".",".",VLOOKUP($I122,'Price List, Weapons &amp; Items'!B:J,3,0))</f>
        <v>.</v>
      </c>
      <c r="AP122" s="1195" t="str">
        <f t="shared" ca="1" si="24"/>
        <v>.</v>
      </c>
      <c r="AQ122" s="1194">
        <f>VLOOKUP($I122,'Price List, Weapons &amp; Items'!B:L,COLUMN('Price List, Weapons &amp; Items'!$L$11)-1,0)</f>
        <v>0</v>
      </c>
      <c r="AR122" s="1194">
        <f t="shared" si="31"/>
        <v>0</v>
      </c>
      <c r="AS122" s="1194">
        <f t="shared" si="32"/>
        <v>0</v>
      </c>
      <c r="AT122" s="1194">
        <f t="shared" si="33"/>
        <v>1</v>
      </c>
      <c r="AU122" s="1194" t="str">
        <f t="shared" si="34"/>
        <v>.</v>
      </c>
      <c r="AV122" s="1194" t="str">
        <f t="shared" si="25"/>
        <v>.</v>
      </c>
      <c r="AW122" s="1194" t="str">
        <f t="shared" si="35"/>
        <v>.</v>
      </c>
      <c r="AX122" s="1194">
        <f>IFERROR(VLOOKUP(B122,'Share, Heavy Weapons to Ukraine'!B:Z,COLUMN('Share, Heavy Weapons to Ukraine'!C132)-1,0),0)</f>
        <v>0</v>
      </c>
      <c r="AY122" s="1194">
        <f>VLOOKUP('Bilateral Assistance, MAIN DATA'!B122,'Country Summary (€)'!B:F,COLUMN('Country Summary (€)'!C133)-1,FALSE)</f>
        <v>1</v>
      </c>
      <c r="AZ122" s="1194" t="str">
        <f>IF(AND(AD122=1,D122="Military",H122&lt;&gt;"Not given")=TRUE,IF(SUMIFS(P:P,A:A,A122)&gt;0,ABS((SUMIFS(P:P,A:A,A122)/VLOOKUP("USD",'Exchange Rates'!B:C,2,0)))/S122,"."),".")</f>
        <v>.</v>
      </c>
      <c r="BA122" s="1196" t="str">
        <f>IF(AND(AD122=1,D122="Military",H122&lt;&gt;"Not given")=TRUE,IF(SUMIFS(P:P,A:A,A122)&gt;0,IF((ABS((SUMIFS(P:P,A:A,A122)/VLOOKUP("USD",'Exchange Rates'!B:C,2,0)))/S122)&gt;1,(SUMIFS(P:P,A:A,A122)-S122)/S122,(S122-SUMIFS(P:P,A:A,A122))/SUMIFS(P:P,A:A,A122)),"."),".")</f>
        <v>.</v>
      </c>
    </row>
    <row r="123" spans="1:53" ht="15.95" customHeight="1">
      <c r="A123" s="1180" t="s">
        <v>678</v>
      </c>
      <c r="B123" s="1180" t="s">
        <v>673</v>
      </c>
      <c r="C123" s="1181">
        <v>44679</v>
      </c>
      <c r="D123" s="1182" t="s">
        <v>360</v>
      </c>
      <c r="E123" s="1182" t="s">
        <v>361</v>
      </c>
      <c r="F123" s="1183" t="s">
        <v>679</v>
      </c>
      <c r="G123" s="1184" t="s">
        <v>483</v>
      </c>
      <c r="H123" s="1185">
        <v>706000</v>
      </c>
      <c r="I123" s="1180" t="s">
        <v>364</v>
      </c>
      <c r="J123" s="1186" t="str">
        <f>VLOOKUP($I123,'Price List, Weapons &amp; Items'!B:C,2,0)</f>
        <v>.</v>
      </c>
      <c r="K123" s="1186" t="str">
        <f>IF(I123=".",I123,VLOOKUP($I123,'Price List, Weapons &amp; Items'!B:D,3,0))</f>
        <v>.</v>
      </c>
      <c r="L123" s="1187">
        <f>VLOOKUP(I123,'Price List, Weapons &amp; Items'!B:E,4,0)</f>
        <v>0</v>
      </c>
      <c r="M123" s="1188" t="s">
        <v>364</v>
      </c>
      <c r="N123" s="1188" t="s">
        <v>364</v>
      </c>
      <c r="O123" s="1188" t="str">
        <f>VLOOKUP($I123,'Price List, Weapons &amp; Items'!B:G,6,0)</f>
        <v>.</v>
      </c>
      <c r="P123" s="1185" t="str">
        <f t="shared" si="26"/>
        <v>.</v>
      </c>
      <c r="Q123" s="1185" t="str">
        <f t="shared" si="27"/>
        <v>.</v>
      </c>
      <c r="R123" s="1185">
        <f t="shared" si="23"/>
        <v>706000</v>
      </c>
      <c r="S123" s="1185">
        <f>IF(AND(AD123=1,R123&lt;&gt;".")=TRUE,R123/VLOOKUP(G123,'Exchange Rates'!B:C,2,0),IF(R123=".",".",""))</f>
        <v>706000</v>
      </c>
      <c r="T123" s="1185" t="str">
        <f>IF(AD123=1,IF(AF123="Value is not given at all",".",IF(AF123="Value is given by the source",S123,IF(AF123="Value is calculated with prices",(IF(SUMIFS(Q:Q,A:A,A123)&gt;0,SUMIFS(Q:Q,A:A,A123),"."))/VLOOKUP("USD",'Exchange Rates'!B:C,2,0),"Error with coding"))),"")</f>
        <v>.</v>
      </c>
      <c r="U123" s="1184" t="s">
        <v>365</v>
      </c>
      <c r="V123" s="971" t="s">
        <v>680</v>
      </c>
      <c r="W123" s="971" t="s">
        <v>681</v>
      </c>
      <c r="X123" s="971" t="s">
        <v>682</v>
      </c>
      <c r="Y123" s="1190" t="s">
        <v>364</v>
      </c>
      <c r="Z123" s="1184">
        <v>0</v>
      </c>
      <c r="AA123" s="1194">
        <v>0</v>
      </c>
      <c r="AB123" s="1201" t="s">
        <v>364</v>
      </c>
      <c r="AC123" s="1192" t="str">
        <f>""</f>
        <v/>
      </c>
      <c r="AD123" s="1193">
        <v>1</v>
      </c>
      <c r="AE123" s="1193" t="s">
        <v>368</v>
      </c>
      <c r="AF123" s="1193" t="s">
        <v>369</v>
      </c>
      <c r="AG123" s="1193">
        <v>1</v>
      </c>
      <c r="AH123" s="1193">
        <v>4</v>
      </c>
      <c r="AI123" s="1193">
        <v>0</v>
      </c>
      <c r="AJ123" s="1193">
        <f>VLOOKUP($I123,'Price List, Weapons &amp; Items'!B:F,5,0)</f>
        <v>0</v>
      </c>
      <c r="AK123" s="1193">
        <f t="shared" si="28"/>
        <v>0</v>
      </c>
      <c r="AL123" s="1193">
        <f t="shared" si="29"/>
        <v>0</v>
      </c>
      <c r="AM123" s="1193">
        <f t="shared" si="30"/>
        <v>0</v>
      </c>
      <c r="AN123" s="1194" t="str">
        <f>VLOOKUP($I123,'Price List, Weapons &amp; Items'!B:L,COLUMN('Price List, Weapons &amp; Items'!$J$11)-1,0)</f>
        <v>.</v>
      </c>
      <c r="AO123" s="1194" t="str">
        <f>IF(I123=".",".",VLOOKUP($I123,'Price List, Weapons &amp; Items'!B:J,3,0))</f>
        <v>.</v>
      </c>
      <c r="AP123" s="1195" t="str">
        <f t="shared" ca="1" si="24"/>
        <v>.</v>
      </c>
      <c r="AQ123" s="1194">
        <f>VLOOKUP($I123,'Price List, Weapons &amp; Items'!B:L,COLUMN('Price List, Weapons &amp; Items'!$L$11)-1,0)</f>
        <v>0</v>
      </c>
      <c r="AR123" s="1194">
        <f t="shared" si="31"/>
        <v>1</v>
      </c>
      <c r="AS123" s="1194">
        <f t="shared" si="32"/>
        <v>0</v>
      </c>
      <c r="AT123" s="1194">
        <f t="shared" si="33"/>
        <v>1</v>
      </c>
      <c r="AU123" s="1194" t="str">
        <f t="shared" si="34"/>
        <v>.</v>
      </c>
      <c r="AV123" s="1194" t="str">
        <f t="shared" si="25"/>
        <v>.</v>
      </c>
      <c r="AW123" s="1194" t="str">
        <f t="shared" si="35"/>
        <v>.</v>
      </c>
      <c r="AX123" s="1194">
        <f>IFERROR(VLOOKUP(B123,'Share, Heavy Weapons to Ukraine'!B:Z,COLUMN('Share, Heavy Weapons to Ukraine'!C133)-1,0),0)</f>
        <v>0</v>
      </c>
      <c r="AY123" s="1194">
        <f>VLOOKUP('Bilateral Assistance, MAIN DATA'!B123,'Country Summary (€)'!B:F,COLUMN('Country Summary (€)'!C134)-1,FALSE)</f>
        <v>1</v>
      </c>
      <c r="AZ123" s="1194" t="str">
        <f>IF(AND(AD123=1,D123="Military",H123&lt;&gt;"Not given")=TRUE,IF(SUMIFS(P:P,A:A,A123)&gt;0,ABS((SUMIFS(P:P,A:A,A123)/VLOOKUP("USD",'Exchange Rates'!B:C,2,0)))/S123,"."),".")</f>
        <v>.</v>
      </c>
      <c r="BA123" s="1196" t="str">
        <f>IF(AND(AD123=1,D123="Military",H123&lt;&gt;"Not given")=TRUE,IF(SUMIFS(P:P,A:A,A123)&gt;0,IF((ABS((SUMIFS(P:P,A:A,A123)/VLOOKUP("USD",'Exchange Rates'!B:C,2,0)))/S123)&gt;1,(SUMIFS(P:P,A:A,A123)-S123)/S123,(S123-SUMIFS(P:P,A:A,A123))/SUMIFS(P:P,A:A,A123)),"."),".")</f>
        <v>.</v>
      </c>
    </row>
    <row r="124" spans="1:53" ht="15.95" customHeight="1">
      <c r="A124" s="1180" t="s">
        <v>683</v>
      </c>
      <c r="B124" s="1180" t="s">
        <v>673</v>
      </c>
      <c r="C124" s="1181">
        <v>44685</v>
      </c>
      <c r="D124" s="1182" t="s">
        <v>360</v>
      </c>
      <c r="E124" s="1182" t="s">
        <v>371</v>
      </c>
      <c r="F124" s="1183" t="s">
        <v>684</v>
      </c>
      <c r="G124" s="1184" t="s">
        <v>364</v>
      </c>
      <c r="H124" s="1185" t="s">
        <v>457</v>
      </c>
      <c r="I124" s="1180" t="s">
        <v>364</v>
      </c>
      <c r="J124" s="1186" t="str">
        <f>VLOOKUP($I124,'Price List, Weapons &amp; Items'!B:C,2,0)</f>
        <v>.</v>
      </c>
      <c r="K124" s="1186" t="str">
        <f>IF(I124=".",I124,VLOOKUP($I124,'Price List, Weapons &amp; Items'!B:D,3,0))</f>
        <v>.</v>
      </c>
      <c r="L124" s="1187">
        <f>VLOOKUP(I124,'Price List, Weapons &amp; Items'!B:E,4,0)</f>
        <v>0</v>
      </c>
      <c r="M124" s="1188" t="s">
        <v>364</v>
      </c>
      <c r="N124" s="1188" t="s">
        <v>364</v>
      </c>
      <c r="O124" s="1188" t="str">
        <f>VLOOKUP($I124,'Price List, Weapons &amp; Items'!B:G,6,0)</f>
        <v>.</v>
      </c>
      <c r="P124" s="1185" t="str">
        <f t="shared" si="26"/>
        <v>.</v>
      </c>
      <c r="Q124" s="1185" t="str">
        <f t="shared" si="27"/>
        <v>.</v>
      </c>
      <c r="R124" s="1185" t="str">
        <f t="shared" si="23"/>
        <v>.</v>
      </c>
      <c r="S124" s="1185" t="str">
        <f>IF(AND(AD124=1,R124&lt;&gt;".")=TRUE,R124/VLOOKUP(G124,'Exchange Rates'!B:C,2,0),IF(R124=".",".",""))</f>
        <v>.</v>
      </c>
      <c r="T124" s="1185" t="str">
        <f>IF(AD124=1,IF(AF124="Value is not given at all",".",IF(AF124="Value is given by the source",S124,IF(AF124="Value is calculated with prices",(IF(SUMIFS(Q:Q,A:A,A124)&gt;0,SUMIFS(Q:Q,A:A,A124),"."))/VLOOKUP("USD",'Exchange Rates'!B:C,2,0),"Error with coding"))),"")</f>
        <v>.</v>
      </c>
      <c r="U124" s="1184" t="s">
        <v>675</v>
      </c>
      <c r="V124" s="971" t="s">
        <v>685</v>
      </c>
      <c r="W124" s="971" t="s">
        <v>686</v>
      </c>
      <c r="X124" s="1219" t="s">
        <v>364</v>
      </c>
      <c r="Y124" s="1190" t="s">
        <v>364</v>
      </c>
      <c r="Z124" s="1184">
        <v>0</v>
      </c>
      <c r="AA124" s="1194">
        <v>0</v>
      </c>
      <c r="AB124" s="1201" t="s">
        <v>364</v>
      </c>
      <c r="AC124" s="1192" t="str">
        <f>""</f>
        <v/>
      </c>
      <c r="AD124" s="1193">
        <v>1</v>
      </c>
      <c r="AE124" s="1193" t="s">
        <v>369</v>
      </c>
      <c r="AF124" s="1193" t="s">
        <v>369</v>
      </c>
      <c r="AG124" s="1193">
        <v>1</v>
      </c>
      <c r="AH124" s="1193">
        <v>5</v>
      </c>
      <c r="AI124" s="1193">
        <v>0</v>
      </c>
      <c r="AJ124" s="1193">
        <f>VLOOKUP($I124,'Price List, Weapons &amp; Items'!B:F,5,0)</f>
        <v>0</v>
      </c>
      <c r="AK124" s="1193">
        <f t="shared" si="28"/>
        <v>0</v>
      </c>
      <c r="AL124" s="1193">
        <f t="shared" si="29"/>
        <v>0</v>
      </c>
      <c r="AM124" s="1193">
        <f t="shared" si="30"/>
        <v>0</v>
      </c>
      <c r="AN124" s="1194" t="str">
        <f>VLOOKUP($I124,'Price List, Weapons &amp; Items'!B:L,COLUMN('Price List, Weapons &amp; Items'!$J$11)-1,0)</f>
        <v>.</v>
      </c>
      <c r="AO124" s="1194" t="str">
        <f>IF(I124=".",".",VLOOKUP($I124,'Price List, Weapons &amp; Items'!B:J,3,0))</f>
        <v>.</v>
      </c>
      <c r="AP124" s="1195" t="str">
        <f t="shared" ca="1" si="24"/>
        <v>.</v>
      </c>
      <c r="AQ124" s="1194">
        <f>VLOOKUP($I124,'Price List, Weapons &amp; Items'!B:L,COLUMN('Price List, Weapons &amp; Items'!$L$11)-1,0)</f>
        <v>0</v>
      </c>
      <c r="AR124" s="1194">
        <f t="shared" si="31"/>
        <v>0</v>
      </c>
      <c r="AS124" s="1194">
        <f t="shared" si="32"/>
        <v>0</v>
      </c>
      <c r="AT124" s="1194">
        <f t="shared" si="33"/>
        <v>1</v>
      </c>
      <c r="AU124" s="1194" t="str">
        <f t="shared" si="34"/>
        <v>.</v>
      </c>
      <c r="AV124" s="1194" t="str">
        <f t="shared" si="25"/>
        <v>.</v>
      </c>
      <c r="AW124" s="1194" t="str">
        <f t="shared" si="35"/>
        <v>.</v>
      </c>
      <c r="AX124" s="1194">
        <f>IFERROR(VLOOKUP(B124,'Share, Heavy Weapons to Ukraine'!B:Z,COLUMN('Share, Heavy Weapons to Ukraine'!C134)-1,0),0)</f>
        <v>0</v>
      </c>
      <c r="AY124" s="1194">
        <f>VLOOKUP('Bilateral Assistance, MAIN DATA'!B124,'Country Summary (€)'!B:F,COLUMN('Country Summary (€)'!C135)-1,FALSE)</f>
        <v>1</v>
      </c>
      <c r="AZ124" s="1194" t="str">
        <f>IF(AND(AD124=1,D124="Military",H124&lt;&gt;"Not given")=TRUE,IF(SUMIFS(P:P,A:A,A124)&gt;0,ABS((SUMIFS(P:P,A:A,A124)/VLOOKUP("USD",'Exchange Rates'!B:C,2,0)))/S124,"."),".")</f>
        <v>.</v>
      </c>
      <c r="BA124" s="1196" t="str">
        <f>IF(AND(AD124=1,D124="Military",H124&lt;&gt;"Not given")=TRUE,IF(SUMIFS(P:P,A:A,A124)&gt;0,IF((ABS((SUMIFS(P:P,A:A,A124)/VLOOKUP("USD",'Exchange Rates'!B:C,2,0)))/S124)&gt;1,(SUMIFS(P:P,A:A,A124)-S124)/S124,(S124-SUMIFS(P:P,A:A,A124))/SUMIFS(P:P,A:A,A124)),"."),".")</f>
        <v>.</v>
      </c>
    </row>
    <row r="125" spans="1:53" ht="15.95" customHeight="1">
      <c r="A125" s="1182" t="s">
        <v>687</v>
      </c>
      <c r="B125" s="1182" t="s">
        <v>673</v>
      </c>
      <c r="C125" s="1181">
        <v>44658</v>
      </c>
      <c r="D125" s="1182" t="s">
        <v>389</v>
      </c>
      <c r="E125" s="1182" t="s">
        <v>398</v>
      </c>
      <c r="F125" s="1183" t="s">
        <v>688</v>
      </c>
      <c r="G125" s="1184" t="s">
        <v>689</v>
      </c>
      <c r="H125" s="1185">
        <v>448000000</v>
      </c>
      <c r="I125" s="1180" t="s">
        <v>594</v>
      </c>
      <c r="J125" s="1186" t="str">
        <f>VLOOKUP($I125,'Price List, Weapons &amp; Items'!B:C,2,0)</f>
        <v>Military equipment</v>
      </c>
      <c r="K125" s="1186" t="str">
        <f>IF(I125=".",I125,VLOOKUP($I125,'Price List, Weapons &amp; Items'!B:D,3,0))</f>
        <v>Military equipment</v>
      </c>
      <c r="L125" s="1187">
        <f>VLOOKUP(I125,'Price List, Weapons &amp; Items'!B:E,4,0)</f>
        <v>0</v>
      </c>
      <c r="M125" s="1188">
        <v>2000</v>
      </c>
      <c r="N125" s="1188">
        <v>2000</v>
      </c>
      <c r="O125" s="1188">
        <f>VLOOKUP($I125,'Price List, Weapons &amp; Items'!B:G,6,0)</f>
        <v>1400</v>
      </c>
      <c r="P125" s="1185">
        <f t="shared" si="26"/>
        <v>2800000</v>
      </c>
      <c r="Q125" s="1185">
        <f t="shared" si="27"/>
        <v>2800000</v>
      </c>
      <c r="R125" s="1185">
        <f t="shared" si="23"/>
        <v>448000000</v>
      </c>
      <c r="S125" s="1185">
        <f>IF(AND(AD125=1,R125&lt;&gt;".")=TRUE,R125/VLOOKUP(G125,'Exchange Rates'!B:C,2,0),IF(R125=".",".",""))</f>
        <v>229062276.30637079</v>
      </c>
      <c r="T125" s="1185">
        <f>IF(AD125=1,IF(AF125="Value is not given at all",".",IF(AF125="Value is given by the source",S125,IF(AF125="Value is calculated with prices",(IF(SUMIFS(Q:Q,A:A,A125)&gt;0,SUMIFS(Q:Q,A:A,A125),"."))/VLOOKUP("USD",'Exchange Rates'!B:C,2,0),"Error with coding"))),"")</f>
        <v>229062276.30637079</v>
      </c>
      <c r="U125" s="1187" t="s">
        <v>365</v>
      </c>
      <c r="V125" s="991" t="s">
        <v>690</v>
      </c>
      <c r="W125" s="991" t="s">
        <v>691</v>
      </c>
      <c r="X125" s="980" t="s">
        <v>692</v>
      </c>
      <c r="Y125" s="992" t="s">
        <v>693</v>
      </c>
      <c r="Z125" s="1197">
        <v>0</v>
      </c>
      <c r="AA125" s="1197">
        <v>0</v>
      </c>
      <c r="AB125" s="991" t="s">
        <v>690</v>
      </c>
      <c r="AC125" s="1192" t="str">
        <f>""</f>
        <v/>
      </c>
      <c r="AD125" s="1193">
        <v>1</v>
      </c>
      <c r="AE125" s="1193" t="s">
        <v>368</v>
      </c>
      <c r="AF125" s="1193" t="s">
        <v>368</v>
      </c>
      <c r="AG125" s="1193">
        <v>1</v>
      </c>
      <c r="AH125" s="1193">
        <v>4</v>
      </c>
      <c r="AI125" s="1193">
        <v>0</v>
      </c>
      <c r="AJ125" s="1193">
        <f>VLOOKUP($I125,'Price List, Weapons &amp; Items'!B:F,5,0)</f>
        <v>0</v>
      </c>
      <c r="AK125" s="1193">
        <f t="shared" si="28"/>
        <v>0</v>
      </c>
      <c r="AL125" s="1193">
        <f t="shared" si="29"/>
        <v>0</v>
      </c>
      <c r="AM125" s="1193">
        <f t="shared" si="30"/>
        <v>0</v>
      </c>
      <c r="AN125" s="1194" t="str">
        <f>VLOOKUP($I125,'Price List, Weapons &amp; Items'!B:L,COLUMN('Price List, Weapons &amp; Items'!$J$11)-1,0)</f>
        <v>Military media (incl. websites)</v>
      </c>
      <c r="AO125" s="1194" t="str">
        <f>IF(I125=".",".",VLOOKUP($I125,'Price List, Weapons &amp; Items'!B:J,3,0))</f>
        <v>Military equipment</v>
      </c>
      <c r="AP125" s="1195" t="str">
        <f t="shared" ca="1" si="24"/>
        <v>helmet</v>
      </c>
      <c r="AQ125" s="1194">
        <f>VLOOKUP($I125,'Price List, Weapons &amp; Items'!B:L,COLUMN('Price List, Weapons &amp; Items'!$L$11)-1,0)</f>
        <v>2</v>
      </c>
      <c r="AR125" s="1194">
        <f t="shared" si="31"/>
        <v>1</v>
      </c>
      <c r="AS125" s="1194">
        <f t="shared" si="32"/>
        <v>1</v>
      </c>
      <c r="AT125" s="1194">
        <f t="shared" si="33"/>
        <v>1</v>
      </c>
      <c r="AU125" s="1194" t="str">
        <f t="shared" si="34"/>
        <v>.</v>
      </c>
      <c r="AV125" s="1194" t="str">
        <f t="shared" si="25"/>
        <v>.</v>
      </c>
      <c r="AW125" s="1194" t="str">
        <f t="shared" si="35"/>
        <v>.</v>
      </c>
      <c r="AX125" s="1194">
        <f>IFERROR(VLOOKUP(B125,'Share, Heavy Weapons to Ukraine'!B:Z,COLUMN('Share, Heavy Weapons to Ukraine'!C135)-1,0),0)</f>
        <v>0</v>
      </c>
      <c r="AY125" s="1194">
        <f>VLOOKUP('Bilateral Assistance, MAIN DATA'!B125,'Country Summary (€)'!B:F,COLUMN('Country Summary (€)'!C136)-1,FALSE)</f>
        <v>1</v>
      </c>
      <c r="AZ125" s="1194">
        <f>IF(AND(AD125=1,D125="Military",H125&lt;&gt;"Not given")=TRUE,IF(SUMIFS(P:P,A:A,A125)&gt;0,ABS((SUMIFS(P:P,A:A,A125)/VLOOKUP("USD",'Exchange Rates'!B:C,2,0)))/S125,"."),".")</f>
        <v>1.6507316675101216E-2</v>
      </c>
      <c r="BA125" s="1196">
        <f>IF(AND(AD125=1,D125="Military",H125&lt;&gt;"Not given")=TRUE,IF(SUMIFS(P:P,A:A,A125)&gt;0,IF((ABS((SUMIFS(P:P,A:A,A125)/VLOOKUP("USD",'Exchange Rates'!B:C,2,0)))/S125)&gt;1,(SUMIFS(P:P,A:A,A125)-S125)/S125,(S125-SUMIFS(P:P,A:A,A125))/SUMIFS(P:P,A:A,A125)),"."),".")</f>
        <v>54.740888552029048</v>
      </c>
    </row>
    <row r="126" spans="1:53" ht="15.95" customHeight="1">
      <c r="A126" s="1182" t="s">
        <v>687</v>
      </c>
      <c r="B126" s="1182" t="s">
        <v>673</v>
      </c>
      <c r="C126" s="1181">
        <v>44658</v>
      </c>
      <c r="D126" s="1182" t="s">
        <v>389</v>
      </c>
      <c r="E126" s="1182" t="s">
        <v>398</v>
      </c>
      <c r="F126" s="1183" t="s">
        <v>688</v>
      </c>
      <c r="G126" s="1184" t="s">
        <v>689</v>
      </c>
      <c r="H126" s="1185">
        <v>448000000</v>
      </c>
      <c r="I126" s="1180" t="s">
        <v>694</v>
      </c>
      <c r="J126" s="1186" t="str">
        <f>VLOOKUP($I126,'Price List, Weapons &amp; Items'!B:C,2,0)</f>
        <v>Military equipment</v>
      </c>
      <c r="K126" s="1186" t="str">
        <f>IF(I126=".",I126,VLOOKUP($I126,'Price List, Weapons &amp; Items'!B:D,3,0))</f>
        <v>Military equipment</v>
      </c>
      <c r="L126" s="1187">
        <f>VLOOKUP(I126,'Price List, Weapons &amp; Items'!B:E,4,0)</f>
        <v>0</v>
      </c>
      <c r="M126" s="1188">
        <v>2000</v>
      </c>
      <c r="N126" s="1188">
        <v>2000</v>
      </c>
      <c r="O126" s="1188">
        <f>VLOOKUP($I126,'Price List, Weapons &amp; Items'!B:G,6,0)</f>
        <v>500</v>
      </c>
      <c r="P126" s="1185">
        <f t="shared" si="26"/>
        <v>1000000</v>
      </c>
      <c r="Q126" s="1185">
        <f t="shared" si="27"/>
        <v>1000000</v>
      </c>
      <c r="R126" s="1185" t="str">
        <f t="shared" si="23"/>
        <v/>
      </c>
      <c r="S126" s="1185" t="str">
        <f>IF(AND(AD126=1,R126&lt;&gt;".")=TRUE,R126/VLOOKUP(G126,'Exchange Rates'!B:C,2,0),IF(R126=".",".",""))</f>
        <v/>
      </c>
      <c r="T126" s="1185" t="str">
        <f>IF(AD126=1,IF(AF126="Value is not given at all",".",IF(AF126="Value is given by the source",S126,IF(AF126="Value is calculated with prices",(IF(SUMIFS(Q:Q,A:A,A126)&gt;0,SUMIFS(Q:Q,A:A,A126),"."))/VLOOKUP("USD",'Exchange Rates'!B:C,2,0),"Error with coding"))),"")</f>
        <v/>
      </c>
      <c r="U126" s="1187" t="s">
        <v>365</v>
      </c>
      <c r="V126" s="991" t="s">
        <v>695</v>
      </c>
      <c r="W126" s="991" t="s">
        <v>691</v>
      </c>
      <c r="X126" s="980" t="s">
        <v>692</v>
      </c>
      <c r="Y126" s="992" t="s">
        <v>693</v>
      </c>
      <c r="Z126" s="1197">
        <v>0</v>
      </c>
      <c r="AA126" s="1197">
        <v>0</v>
      </c>
      <c r="AB126" s="991" t="s">
        <v>695</v>
      </c>
      <c r="AC126" s="1192" t="str">
        <f>""</f>
        <v/>
      </c>
      <c r="AD126" s="1193">
        <v>0</v>
      </c>
      <c r="AE126" s="1193" t="s">
        <v>368</v>
      </c>
      <c r="AF126" s="1193" t="s">
        <v>368</v>
      </c>
      <c r="AG126" s="1193">
        <v>1</v>
      </c>
      <c r="AH126" s="1193">
        <v>4</v>
      </c>
      <c r="AI126" s="1193">
        <v>0</v>
      </c>
      <c r="AJ126" s="1193">
        <f>VLOOKUP($I126,'Price List, Weapons &amp; Items'!B:F,5,0)</f>
        <v>0</v>
      </c>
      <c r="AK126" s="1193">
        <f t="shared" si="28"/>
        <v>0</v>
      </c>
      <c r="AL126" s="1193">
        <f t="shared" si="29"/>
        <v>0</v>
      </c>
      <c r="AM126" s="1193">
        <f t="shared" si="30"/>
        <v>0</v>
      </c>
      <c r="AN126" s="1194" t="str">
        <f>VLOOKUP($I126,'Price List, Weapons &amp; Items'!B:L,COLUMN('Price List, Weapons &amp; Items'!$J$11)-1,0)</f>
        <v>Military media (incl. websites)</v>
      </c>
      <c r="AO126" s="1194" t="str">
        <f>IF(I126=".",".",VLOOKUP($I126,'Price List, Weapons &amp; Items'!B:J,3,0))</f>
        <v>Military equipment</v>
      </c>
      <c r="AP126" s="1195" t="str">
        <f t="shared" ca="1" si="24"/>
        <v/>
      </c>
      <c r="AQ126" s="1194">
        <f>VLOOKUP($I126,'Price List, Weapons &amp; Items'!B:L,COLUMN('Price List, Weapons &amp; Items'!$L$11)-1,0)</f>
        <v>2</v>
      </c>
      <c r="AR126" s="1194">
        <f t="shared" si="31"/>
        <v>1</v>
      </c>
      <c r="AS126" s="1194">
        <f t="shared" si="32"/>
        <v>1</v>
      </c>
      <c r="AT126" s="1194">
        <f t="shared" si="33"/>
        <v>1</v>
      </c>
      <c r="AU126" s="1194" t="str">
        <f t="shared" si="34"/>
        <v>.</v>
      </c>
      <c r="AV126" s="1194" t="str">
        <f t="shared" si="25"/>
        <v>.</v>
      </c>
      <c r="AW126" s="1194" t="str">
        <f t="shared" si="35"/>
        <v>.</v>
      </c>
      <c r="AX126" s="1194">
        <f>IFERROR(VLOOKUP(B126,'Share, Heavy Weapons to Ukraine'!B:Z,COLUMN('Share, Heavy Weapons to Ukraine'!C136)-1,0),0)</f>
        <v>0</v>
      </c>
      <c r="AY126" s="1194">
        <f>VLOOKUP('Bilateral Assistance, MAIN DATA'!B126,'Country Summary (€)'!B:F,COLUMN('Country Summary (€)'!C137)-1,FALSE)</f>
        <v>1</v>
      </c>
      <c r="AZ126" s="1194" t="str">
        <f>IF(AND(AD126=1,D126="Military",H126&lt;&gt;"Not given")=TRUE,IF(SUMIFS(P:P,A:A,A126)&gt;0,ABS((SUMIFS(P:P,A:A,A126)/VLOOKUP("USD",'Exchange Rates'!B:C,2,0)))/S126,"."),".")</f>
        <v>.</v>
      </c>
      <c r="BA126" s="1196" t="str">
        <f>IF(AND(AD126=1,D126="Military",H126&lt;&gt;"Not given")=TRUE,IF(SUMIFS(P:P,A:A,A126)&gt;0,IF((ABS((SUMIFS(P:P,A:A,A126)/VLOOKUP("USD",'Exchange Rates'!B:C,2,0)))/S126)&gt;1,(SUMIFS(P:P,A:A,A126)-S126)/S126,(S126-SUMIFS(P:P,A:A,A126))/SUMIFS(P:P,A:A,A126)),"."),".")</f>
        <v>.</v>
      </c>
    </row>
    <row r="127" spans="1:53" ht="15.95" customHeight="1">
      <c r="A127" s="1182" t="s">
        <v>687</v>
      </c>
      <c r="B127" s="1182" t="s">
        <v>673</v>
      </c>
      <c r="C127" s="1181" t="s">
        <v>696</v>
      </c>
      <c r="D127" s="1182" t="s">
        <v>389</v>
      </c>
      <c r="E127" s="1182" t="s">
        <v>398</v>
      </c>
      <c r="F127" s="1183" t="s">
        <v>688</v>
      </c>
      <c r="G127" s="1184" t="s">
        <v>689</v>
      </c>
      <c r="H127" s="1185">
        <v>448000000</v>
      </c>
      <c r="I127" s="1183" t="s">
        <v>611</v>
      </c>
      <c r="J127" s="1186" t="str">
        <f>VLOOKUP($I127,'Price List, Weapons &amp; Items'!B:C,2,0)</f>
        <v>Military equipment</v>
      </c>
      <c r="K127" s="1186" t="str">
        <f>IF(I127=".",I127,VLOOKUP($I127,'Price List, Weapons &amp; Items'!B:D,3,0))</f>
        <v>Military equipment</v>
      </c>
      <c r="L127" s="1187">
        <f>VLOOKUP(I127,'Price List, Weapons &amp; Items'!B:E,4,0)</f>
        <v>0</v>
      </c>
      <c r="M127" s="1188">
        <v>350</v>
      </c>
      <c r="N127" s="1188">
        <v>350</v>
      </c>
      <c r="O127" s="1188">
        <f>VLOOKUP($I127,'Price List, Weapons &amp; Items'!B:G,6,0)</f>
        <v>37.82</v>
      </c>
      <c r="P127" s="1185">
        <f t="shared" si="26"/>
        <v>13237</v>
      </c>
      <c r="Q127" s="1185">
        <f t="shared" si="27"/>
        <v>13237</v>
      </c>
      <c r="R127" s="1185" t="str">
        <f t="shared" si="23"/>
        <v/>
      </c>
      <c r="S127" s="1185" t="str">
        <f>IF(AND(AD127=1,R127&lt;&gt;".")=TRUE,R127/VLOOKUP(G127,'Exchange Rates'!B:C,2,0),IF(R127=".",".",""))</f>
        <v/>
      </c>
      <c r="T127" s="1185" t="str">
        <f>IF(AD127=1,IF(AF127="Value is not given at all",".",IF(AF127="Value is given by the source",S127,IF(AF127="Value is calculated with prices",(IF(SUMIFS(Q:Q,A:A,A127)&gt;0,SUMIFS(Q:Q,A:A,A127),"."))/VLOOKUP("USD",'Exchange Rates'!B:C,2,0),"Error with coding"))),"")</f>
        <v/>
      </c>
      <c r="U127" s="1187" t="s">
        <v>365</v>
      </c>
      <c r="V127" s="991" t="s">
        <v>697</v>
      </c>
      <c r="W127" s="991" t="s">
        <v>691</v>
      </c>
      <c r="X127" s="980" t="s">
        <v>692</v>
      </c>
      <c r="Y127" s="1265" t="s">
        <v>364</v>
      </c>
      <c r="Z127" s="1197">
        <v>0</v>
      </c>
      <c r="AA127" s="1197">
        <v>0</v>
      </c>
      <c r="AB127" s="991" t="s">
        <v>697</v>
      </c>
      <c r="AC127" s="1192" t="str">
        <f>""</f>
        <v/>
      </c>
      <c r="AD127" s="1193">
        <v>0</v>
      </c>
      <c r="AE127" s="1193" t="s">
        <v>368</v>
      </c>
      <c r="AF127" s="1193" t="s">
        <v>368</v>
      </c>
      <c r="AG127" s="1193">
        <v>0</v>
      </c>
      <c r="AH127" s="1193">
        <v>0</v>
      </c>
      <c r="AI127" s="1193">
        <v>0</v>
      </c>
      <c r="AJ127" s="1193">
        <f>VLOOKUP($I127,'Price List, Weapons &amp; Items'!B:F,5,0)</f>
        <v>0</v>
      </c>
      <c r="AK127" s="1193">
        <f t="shared" si="28"/>
        <v>0</v>
      </c>
      <c r="AL127" s="1193">
        <f t="shared" si="29"/>
        <v>0</v>
      </c>
      <c r="AM127" s="1193">
        <f t="shared" si="30"/>
        <v>0</v>
      </c>
      <c r="AN127" s="1194" t="str">
        <f>VLOOKUP($I127,'Price List, Weapons &amp; Items'!B:L,COLUMN('Price List, Weapons &amp; Items'!$J$11)-1,0)</f>
        <v>Online marketplaces and stores</v>
      </c>
      <c r="AO127" s="1194" t="str">
        <f>IF(I127=".",".",VLOOKUP($I127,'Price List, Weapons &amp; Items'!B:J,3,0))</f>
        <v>Military equipment</v>
      </c>
      <c r="AP127" s="1195" t="str">
        <f t="shared" ca="1" si="24"/>
        <v/>
      </c>
      <c r="AQ127" s="1194">
        <f>VLOOKUP($I127,'Price List, Weapons &amp; Items'!B:L,COLUMN('Price List, Weapons &amp; Items'!$L$11)-1,0)</f>
        <v>2</v>
      </c>
      <c r="AR127" s="1194">
        <f t="shared" si="31"/>
        <v>1</v>
      </c>
      <c r="AS127" s="1194">
        <f t="shared" si="32"/>
        <v>1</v>
      </c>
      <c r="AT127" s="1194" t="str">
        <f t="shared" si="33"/>
        <v>Value is not in date format</v>
      </c>
      <c r="AU127" s="1194" t="str">
        <f t="shared" si="34"/>
        <v>.</v>
      </c>
      <c r="AV127" s="1194" t="str">
        <f t="shared" si="25"/>
        <v>.</v>
      </c>
      <c r="AW127" s="1194" t="str">
        <f t="shared" si="35"/>
        <v>.</v>
      </c>
      <c r="AX127" s="1194">
        <f>IFERROR(VLOOKUP(B127,'Share, Heavy Weapons to Ukraine'!B:Z,COLUMN('Share, Heavy Weapons to Ukraine'!C137)-1,0),0)</f>
        <v>0</v>
      </c>
      <c r="AY127" s="1194">
        <f>VLOOKUP('Bilateral Assistance, MAIN DATA'!B127,'Country Summary (€)'!B:F,COLUMN('Country Summary (€)'!C138)-1,FALSE)</f>
        <v>1</v>
      </c>
      <c r="AZ127" s="1194" t="str">
        <f>IF(AND(AD127=1,D127="Military",H127&lt;&gt;"Not given")=TRUE,IF(SUMIFS(P:P,A:A,A127)&gt;0,ABS((SUMIFS(P:P,A:A,A127)/VLOOKUP("USD",'Exchange Rates'!B:C,2,0)))/S127,"."),".")</f>
        <v>.</v>
      </c>
      <c r="BA127" s="1196" t="str">
        <f>IF(AND(AD127=1,D127="Military",H127&lt;&gt;"Not given")=TRUE,IF(SUMIFS(P:P,A:A,A127)&gt;0,IF((ABS((SUMIFS(P:P,A:A,A127)/VLOOKUP("USD",'Exchange Rates'!B:C,2,0)))/S127)&gt;1,(SUMIFS(P:P,A:A,A127)-S127)/S127,(S127-SUMIFS(P:P,A:A,A127))/SUMIFS(P:P,A:A,A127)),"."),".")</f>
        <v>.</v>
      </c>
    </row>
    <row r="128" spans="1:53" ht="15.95" customHeight="1">
      <c r="A128" s="1182" t="s">
        <v>687</v>
      </c>
      <c r="B128" s="1182" t="s">
        <v>673</v>
      </c>
      <c r="C128" s="1181" t="s">
        <v>696</v>
      </c>
      <c r="D128" s="1182" t="s">
        <v>389</v>
      </c>
      <c r="E128" s="1182" t="s">
        <v>398</v>
      </c>
      <c r="F128" s="1183" t="s">
        <v>688</v>
      </c>
      <c r="G128" s="1184" t="s">
        <v>689</v>
      </c>
      <c r="H128" s="1185">
        <v>448000000</v>
      </c>
      <c r="I128" s="1190" t="s">
        <v>618</v>
      </c>
      <c r="J128" s="1186" t="str">
        <f>VLOOKUP($I128,'Price List, Weapons &amp; Items'!B:C,2,0)</f>
        <v>Military equipment</v>
      </c>
      <c r="K128" s="1186" t="str">
        <f>IF(I128=".",I128,VLOOKUP($I128,'Price List, Weapons &amp; Items'!B:D,3,0))</f>
        <v>Military equipment</v>
      </c>
      <c r="L128" s="1187">
        <f>VLOOKUP(I128,'Price List, Weapons &amp; Items'!B:E,4,0)</f>
        <v>0</v>
      </c>
      <c r="M128" s="1188">
        <v>5000</v>
      </c>
      <c r="N128" s="1188">
        <v>5000</v>
      </c>
      <c r="O128" s="1188">
        <f>VLOOKUP($I128,'Price List, Weapons &amp; Items'!B:G,6,0)</f>
        <v>59.234999999999999</v>
      </c>
      <c r="P128" s="1185">
        <f t="shared" si="26"/>
        <v>296175</v>
      </c>
      <c r="Q128" s="1185">
        <f t="shared" si="27"/>
        <v>296175</v>
      </c>
      <c r="R128" s="1185" t="str">
        <f t="shared" si="23"/>
        <v/>
      </c>
      <c r="S128" s="1185" t="str">
        <f>IF(AND(AD128=1,R128&lt;&gt;".")=TRUE,R128/VLOOKUP(G128,'Exchange Rates'!B:C,2,0),IF(R128=".",".",""))</f>
        <v/>
      </c>
      <c r="T128" s="1185" t="str">
        <f>IF(AD128=1,IF(AF128="Value is not given at all",".",IF(AF128="Value is given by the source",S128,IF(AF128="Value is calculated with prices",(IF(SUMIFS(Q:Q,A:A,A128)&gt;0,SUMIFS(Q:Q,A:A,A128),"."))/VLOOKUP("USD",'Exchange Rates'!B:C,2,0),"Error with coding"))),"")</f>
        <v/>
      </c>
      <c r="U128" s="1187" t="s">
        <v>365</v>
      </c>
      <c r="V128" s="991" t="s">
        <v>698</v>
      </c>
      <c r="W128" s="991" t="s">
        <v>691</v>
      </c>
      <c r="X128" s="980" t="s">
        <v>692</v>
      </c>
      <c r="Y128" s="1265" t="s">
        <v>364</v>
      </c>
      <c r="Z128" s="1197">
        <v>0</v>
      </c>
      <c r="AA128" s="1197">
        <v>0</v>
      </c>
      <c r="AB128" s="991" t="s">
        <v>698</v>
      </c>
      <c r="AC128" s="1192" t="str">
        <f>""</f>
        <v/>
      </c>
      <c r="AD128" s="1193">
        <v>0</v>
      </c>
      <c r="AE128" s="1193" t="s">
        <v>368</v>
      </c>
      <c r="AF128" s="1193" t="s">
        <v>368</v>
      </c>
      <c r="AG128" s="1193">
        <v>0</v>
      </c>
      <c r="AH128" s="1193">
        <v>0</v>
      </c>
      <c r="AI128" s="1193">
        <v>0</v>
      </c>
      <c r="AJ128" s="1193">
        <f>VLOOKUP($I128,'Price List, Weapons &amp; Items'!B:F,5,0)</f>
        <v>0</v>
      </c>
      <c r="AK128" s="1193">
        <f t="shared" si="28"/>
        <v>0</v>
      </c>
      <c r="AL128" s="1193">
        <f t="shared" si="29"/>
        <v>0</v>
      </c>
      <c r="AM128" s="1193">
        <f t="shared" si="30"/>
        <v>0</v>
      </c>
      <c r="AN128" s="1194" t="str">
        <f>VLOOKUP($I128,'Price List, Weapons &amp; Items'!B:L,COLUMN('Price List, Weapons &amp; Items'!$J$11)-1,0)</f>
        <v>Government information</v>
      </c>
      <c r="AO128" s="1194" t="str">
        <f>IF(I128=".",".",VLOOKUP($I128,'Price List, Weapons &amp; Items'!B:J,3,0))</f>
        <v>Military equipment</v>
      </c>
      <c r="AP128" s="1195" t="str">
        <f t="shared" ca="1" si="24"/>
        <v/>
      </c>
      <c r="AQ128" s="1194">
        <f>VLOOKUP($I128,'Price List, Weapons &amp; Items'!B:L,COLUMN('Price List, Weapons &amp; Items'!$L$11)-1,0)</f>
        <v>2</v>
      </c>
      <c r="AR128" s="1194">
        <f t="shared" si="31"/>
        <v>1</v>
      </c>
      <c r="AS128" s="1194">
        <f t="shared" si="32"/>
        <v>1</v>
      </c>
      <c r="AT128" s="1194" t="str">
        <f t="shared" si="33"/>
        <v>Value is not in date format</v>
      </c>
      <c r="AU128" s="1194" t="str">
        <f t="shared" si="34"/>
        <v>.</v>
      </c>
      <c r="AV128" s="1194" t="str">
        <f t="shared" si="25"/>
        <v>.</v>
      </c>
      <c r="AW128" s="1194" t="str">
        <f t="shared" si="35"/>
        <v>.</v>
      </c>
      <c r="AX128" s="1194">
        <f>IFERROR(VLOOKUP(B128,'Share, Heavy Weapons to Ukraine'!B:Z,COLUMN('Share, Heavy Weapons to Ukraine'!C138)-1,0),0)</f>
        <v>0</v>
      </c>
      <c r="AY128" s="1194">
        <f>VLOOKUP('Bilateral Assistance, MAIN DATA'!B128,'Country Summary (€)'!B:F,COLUMN('Country Summary (€)'!C139)-1,FALSE)</f>
        <v>1</v>
      </c>
      <c r="AZ128" s="1194" t="str">
        <f>IF(AND(AD128=1,D128="Military",H128&lt;&gt;"Not given")=TRUE,IF(SUMIFS(P:P,A:A,A128)&gt;0,ABS((SUMIFS(P:P,A:A,A128)/VLOOKUP("USD",'Exchange Rates'!B:C,2,0)))/S128,"."),".")</f>
        <v>.</v>
      </c>
      <c r="BA128" s="1196" t="str">
        <f>IF(AND(AD128=1,D128="Military",H128&lt;&gt;"Not given")=TRUE,IF(SUMIFS(P:P,A:A,A128)&gt;0,IF((ABS((SUMIFS(P:P,A:A,A128)/VLOOKUP("USD",'Exchange Rates'!B:C,2,0)))/S128)&gt;1,(SUMIFS(P:P,A:A,A128)-S128)/S128,(S128-SUMIFS(P:P,A:A,A128))/SUMIFS(P:P,A:A,A128)),"."),".")</f>
        <v>.</v>
      </c>
    </row>
    <row r="129" spans="1:53" ht="15.95" customHeight="1">
      <c r="A129" s="1182" t="s">
        <v>687</v>
      </c>
      <c r="B129" s="1182" t="s">
        <v>673</v>
      </c>
      <c r="C129" s="1181" t="s">
        <v>696</v>
      </c>
      <c r="D129" s="1182" t="s">
        <v>389</v>
      </c>
      <c r="E129" s="1182" t="s">
        <v>398</v>
      </c>
      <c r="F129" s="1183" t="s">
        <v>688</v>
      </c>
      <c r="G129" s="1184" t="s">
        <v>689</v>
      </c>
      <c r="H129" s="1185">
        <v>448000000</v>
      </c>
      <c r="I129" s="1266" t="s">
        <v>699</v>
      </c>
      <c r="J129" s="1186" t="str">
        <f>VLOOKUP($I129,'Price List, Weapons &amp; Items'!B:C,2,0)</f>
        <v>Humanitarian</v>
      </c>
      <c r="K129" s="1186" t="str">
        <f>IF(I129=".",I129,VLOOKUP($I129,'Price List, Weapons &amp; Items'!B:D,3,0))</f>
        <v>Humanitarian</v>
      </c>
      <c r="L129" s="1187">
        <f>VLOOKUP(I129,'Price List, Weapons &amp; Items'!B:E,4,0)</f>
        <v>0</v>
      </c>
      <c r="M129" s="1188">
        <v>5000</v>
      </c>
      <c r="N129" s="1188">
        <v>5000</v>
      </c>
      <c r="O129" s="1188" t="str">
        <f>VLOOKUP($I129,'Price List, Weapons &amp; Items'!B:G,6,0)</f>
        <v>.</v>
      </c>
      <c r="P129" s="1185" t="str">
        <f t="shared" si="26"/>
        <v>No price</v>
      </c>
      <c r="Q129" s="1185" t="str">
        <f t="shared" si="27"/>
        <v>No price</v>
      </c>
      <c r="R129" s="1185" t="str">
        <f t="shared" si="23"/>
        <v/>
      </c>
      <c r="S129" s="1185" t="str">
        <f>IF(AND(AD129=1,R129&lt;&gt;".")=TRUE,R129/VLOOKUP(G129,'Exchange Rates'!B:C,2,0),IF(R129=".",".",""))</f>
        <v/>
      </c>
      <c r="T129" s="1185" t="str">
        <f>IF(AD129=1,IF(AF129="Value is not given at all",".",IF(AF129="Value is given by the source",S129,IF(AF129="Value is calculated with prices",(IF(SUMIFS(Q:Q,A:A,A129)&gt;0,SUMIFS(Q:Q,A:A,A129),"."))/VLOOKUP("USD",'Exchange Rates'!B:C,2,0),"Error with coding"))),"")</f>
        <v/>
      </c>
      <c r="U129" s="1187" t="s">
        <v>365</v>
      </c>
      <c r="V129" s="991" t="s">
        <v>700</v>
      </c>
      <c r="W129" s="991" t="s">
        <v>691</v>
      </c>
      <c r="X129" s="980" t="s">
        <v>692</v>
      </c>
      <c r="Y129" s="1265" t="s">
        <v>364</v>
      </c>
      <c r="Z129" s="1197">
        <v>0</v>
      </c>
      <c r="AA129" s="1197">
        <v>0</v>
      </c>
      <c r="AB129" s="991" t="s">
        <v>700</v>
      </c>
      <c r="AC129" s="1192" t="str">
        <f>""</f>
        <v/>
      </c>
      <c r="AD129" s="1193">
        <v>0</v>
      </c>
      <c r="AE129" s="1193" t="s">
        <v>368</v>
      </c>
      <c r="AF129" s="1193" t="s">
        <v>368</v>
      </c>
      <c r="AG129" s="1193">
        <v>0</v>
      </c>
      <c r="AH129" s="1193">
        <v>0</v>
      </c>
      <c r="AI129" s="1193">
        <v>0</v>
      </c>
      <c r="AJ129" s="1193">
        <f>VLOOKUP($I129,'Price List, Weapons &amp; Items'!B:F,5,0)</f>
        <v>0</v>
      </c>
      <c r="AK129" s="1193">
        <f t="shared" si="28"/>
        <v>0</v>
      </c>
      <c r="AL129" s="1193">
        <f t="shared" si="29"/>
        <v>0</v>
      </c>
      <c r="AM129" s="1193">
        <f t="shared" si="30"/>
        <v>0</v>
      </c>
      <c r="AN129" s="1194" t="str">
        <f>VLOOKUP($I129,'Price List, Weapons &amp; Items'!B:L,COLUMN('Price List, Weapons &amp; Items'!$J$11)-1,0)</f>
        <v>.</v>
      </c>
      <c r="AO129" s="1194" t="str">
        <f>IF(I129=".",".",VLOOKUP($I129,'Price List, Weapons &amp; Items'!B:J,3,0))</f>
        <v>Humanitarian</v>
      </c>
      <c r="AP129" s="1195" t="str">
        <f t="shared" ca="1" si="24"/>
        <v/>
      </c>
      <c r="AQ129" s="1194">
        <f>VLOOKUP($I129,'Price List, Weapons &amp; Items'!B:L,COLUMN('Price List, Weapons &amp; Items'!$L$11)-1,0)</f>
        <v>0</v>
      </c>
      <c r="AR129" s="1194">
        <f t="shared" si="31"/>
        <v>1</v>
      </c>
      <c r="AS129" s="1194">
        <f t="shared" si="32"/>
        <v>1</v>
      </c>
      <c r="AT129" s="1194" t="str">
        <f t="shared" si="33"/>
        <v>Value is not in date format</v>
      </c>
      <c r="AU129" s="1194" t="str">
        <f t="shared" si="34"/>
        <v>.</v>
      </c>
      <c r="AV129" s="1194" t="str">
        <f t="shared" si="25"/>
        <v>.</v>
      </c>
      <c r="AW129" s="1194" t="str">
        <f t="shared" si="35"/>
        <v>.</v>
      </c>
      <c r="AX129" s="1194">
        <f>IFERROR(VLOOKUP(B129,'Share, Heavy Weapons to Ukraine'!B:Z,COLUMN('Share, Heavy Weapons to Ukraine'!C139)-1,0),0)</f>
        <v>0</v>
      </c>
      <c r="AY129" s="1194">
        <f>VLOOKUP('Bilateral Assistance, MAIN DATA'!B129,'Country Summary (€)'!B:F,COLUMN('Country Summary (€)'!C140)-1,FALSE)</f>
        <v>1</v>
      </c>
      <c r="AZ129" s="1194" t="str">
        <f>IF(AND(AD129=1,D129="Military",H129&lt;&gt;"Not given")=TRUE,IF(SUMIFS(P:P,A:A,A129)&gt;0,ABS((SUMIFS(P:P,A:A,A129)/VLOOKUP("USD",'Exchange Rates'!B:C,2,0)))/S129,"."),".")</f>
        <v>.</v>
      </c>
      <c r="BA129" s="1196" t="str">
        <f>IF(AND(AD129=1,D129="Military",H129&lt;&gt;"Not given")=TRUE,IF(SUMIFS(P:P,A:A,A129)&gt;0,IF((ABS((SUMIFS(P:P,A:A,A129)/VLOOKUP("USD",'Exchange Rates'!B:C,2,0)))/S129)&gt;1,(SUMIFS(P:P,A:A,A129)-S129)/S129,(S129-SUMIFS(P:P,A:A,A129))/SUMIFS(P:P,A:A,A129)),"."),".")</f>
        <v>.</v>
      </c>
    </row>
    <row r="130" spans="1:53" ht="15.95" customHeight="1">
      <c r="A130" s="1180" t="s">
        <v>701</v>
      </c>
      <c r="B130" s="1180" t="s">
        <v>673</v>
      </c>
      <c r="C130" s="1181">
        <v>44685</v>
      </c>
      <c r="D130" s="1182" t="s">
        <v>389</v>
      </c>
      <c r="E130" s="1182" t="s">
        <v>361</v>
      </c>
      <c r="F130" s="1183" t="s">
        <v>702</v>
      </c>
      <c r="G130" s="1184" t="s">
        <v>364</v>
      </c>
      <c r="H130" s="1185" t="s">
        <v>457</v>
      </c>
      <c r="I130" s="1180" t="s">
        <v>364</v>
      </c>
      <c r="J130" s="1186" t="str">
        <f>VLOOKUP($I130,'Price List, Weapons &amp; Items'!B:C,2,0)</f>
        <v>.</v>
      </c>
      <c r="K130" s="1186" t="str">
        <f>IF(I130=".",I130,VLOOKUP($I130,'Price List, Weapons &amp; Items'!B:D,3,0))</f>
        <v>.</v>
      </c>
      <c r="L130" s="1187">
        <f>VLOOKUP(I130,'Price List, Weapons &amp; Items'!B:E,4,0)</f>
        <v>0</v>
      </c>
      <c r="M130" s="1188" t="s">
        <v>364</v>
      </c>
      <c r="N130" s="1188" t="s">
        <v>364</v>
      </c>
      <c r="O130" s="1188" t="str">
        <f>VLOOKUP($I130,'Price List, Weapons &amp; Items'!B:G,6,0)</f>
        <v>.</v>
      </c>
      <c r="P130" s="1185" t="str">
        <f t="shared" si="26"/>
        <v>.</v>
      </c>
      <c r="Q130" s="1185" t="str">
        <f t="shared" si="27"/>
        <v>.</v>
      </c>
      <c r="R130" s="1185" t="str">
        <f t="shared" ref="R130:R193" si="36">IF(AD130=1,IF(H130&lt;&gt;"Not given",H130,IF(TYPE(H130)=2,IF(SUMIFS(P:P,A:A,A130)&gt;0,SUMIFS(P:P,A:A,A130),"."),"Format error")),"")</f>
        <v>.</v>
      </c>
      <c r="S130" s="1185" t="str">
        <f>IF(AND(AD130=1,R130&lt;&gt;".")=TRUE,R130/VLOOKUP(G130,'Exchange Rates'!B:C,2,0),IF(R130=".",".",""))</f>
        <v>.</v>
      </c>
      <c r="T130" s="1185" t="str">
        <f>IF(AD130=1,IF(AF130="Value is not given at all",".",IF(AF130="Value is given by the source",S130,IF(AF130="Value is calculated with prices",(IF(SUMIFS(Q:Q,A:A,A130)&gt;0,SUMIFS(Q:Q,A:A,A130),"."))/VLOOKUP("USD",'Exchange Rates'!B:C,2,0),"Error with coding"))),"")</f>
        <v>.</v>
      </c>
      <c r="U130" s="1187" t="s">
        <v>365</v>
      </c>
      <c r="V130" s="993" t="s">
        <v>703</v>
      </c>
      <c r="W130" s="993" t="s">
        <v>704</v>
      </c>
      <c r="X130" s="994" t="s">
        <v>705</v>
      </c>
      <c r="Y130" s="1219" t="s">
        <v>364</v>
      </c>
      <c r="Z130" s="1197">
        <v>0</v>
      </c>
      <c r="AA130" s="1194">
        <v>0</v>
      </c>
      <c r="AB130" s="995" t="s">
        <v>364</v>
      </c>
      <c r="AC130" s="1192" t="str">
        <f>""</f>
        <v/>
      </c>
      <c r="AD130" s="1193">
        <v>1</v>
      </c>
      <c r="AE130" s="1193" t="s">
        <v>369</v>
      </c>
      <c r="AF130" s="1193" t="s">
        <v>369</v>
      </c>
      <c r="AG130" s="1193">
        <v>1</v>
      </c>
      <c r="AH130" s="1193">
        <v>5</v>
      </c>
      <c r="AI130" s="1193">
        <v>0</v>
      </c>
      <c r="AJ130" s="1193">
        <f>VLOOKUP($I130,'Price List, Weapons &amp; Items'!B:F,5,0)</f>
        <v>0</v>
      </c>
      <c r="AK130" s="1193">
        <f t="shared" si="28"/>
        <v>0</v>
      </c>
      <c r="AL130" s="1193">
        <f t="shared" si="29"/>
        <v>0</v>
      </c>
      <c r="AM130" s="1193">
        <f t="shared" si="30"/>
        <v>0</v>
      </c>
      <c r="AN130" s="1194" t="str">
        <f>VLOOKUP($I130,'Price List, Weapons &amp; Items'!B:L,COLUMN('Price List, Weapons &amp; Items'!$J$11)-1,0)</f>
        <v>.</v>
      </c>
      <c r="AO130" s="1194" t="str">
        <f>IF(I130=".",".",VLOOKUP($I130,'Price List, Weapons &amp; Items'!B:J,3,0))</f>
        <v>.</v>
      </c>
      <c r="AP130" s="1195" t="str">
        <f t="shared" ref="AP130:AP193" ca="1" si="37">IF(AD130=1,(OFFSET(I130,0,0,COUNTIF(A:A,A130),1)),"")</f>
        <v>.</v>
      </c>
      <c r="AQ130" s="1194">
        <f>VLOOKUP($I130,'Price List, Weapons &amp; Items'!B:L,COLUMN('Price List, Weapons &amp; Items'!$L$11)-1,0)</f>
        <v>0</v>
      </c>
      <c r="AR130" s="1194">
        <f t="shared" si="31"/>
        <v>1</v>
      </c>
      <c r="AS130" s="1194">
        <f t="shared" si="32"/>
        <v>0</v>
      </c>
      <c r="AT130" s="1194">
        <f t="shared" si="33"/>
        <v>1</v>
      </c>
      <c r="AU130" s="1194" t="str">
        <f t="shared" si="34"/>
        <v>.</v>
      </c>
      <c r="AV130" s="1194" t="str">
        <f t="shared" ref="AV130:AV193" si="38">IF(AND(_xlfn.ISFORMULA(R130),_xlfn.ISFORMULA(S130),_xlfn.ISFORMULA(T130))=TRUE,".",1)</f>
        <v>.</v>
      </c>
      <c r="AW130" s="1194" t="str">
        <f t="shared" si="35"/>
        <v>.</v>
      </c>
      <c r="AX130" s="1194">
        <f>IFERROR(VLOOKUP(B130,'Share, Heavy Weapons to Ukraine'!B:Z,COLUMN('Share, Heavy Weapons to Ukraine'!C140)-1,0),0)</f>
        <v>0</v>
      </c>
      <c r="AY130" s="1194">
        <f>VLOOKUP('Bilateral Assistance, MAIN DATA'!B130,'Country Summary (€)'!B:F,COLUMN('Country Summary (€)'!C141)-1,FALSE)</f>
        <v>1</v>
      </c>
      <c r="AZ130" s="1194" t="str">
        <f>IF(AND(AD130=1,D130="Military",H130&lt;&gt;"Not given")=TRUE,IF(SUMIFS(P:P,A:A,A130)&gt;0,ABS((SUMIFS(P:P,A:A,A130)/VLOOKUP("USD",'Exchange Rates'!B:C,2,0)))/S130,"."),".")</f>
        <v>.</v>
      </c>
      <c r="BA130" s="1196" t="str">
        <f>IF(AND(AD130=1,D130="Military",H130&lt;&gt;"Not given")=TRUE,IF(SUMIFS(P:P,A:A,A130)&gt;0,IF((ABS((SUMIFS(P:P,A:A,A130)/VLOOKUP("USD",'Exchange Rates'!B:C,2,0)))/S130)&gt;1,(SUMIFS(P:P,A:A,A130)-S130)/S130,(S130-SUMIFS(P:P,A:A,A130))/SUMIFS(P:P,A:A,A130)),"."),".")</f>
        <v>.</v>
      </c>
    </row>
    <row r="131" spans="1:53" ht="15.95" customHeight="1">
      <c r="A131" s="1180" t="s">
        <v>706</v>
      </c>
      <c r="B131" s="1180" t="s">
        <v>673</v>
      </c>
      <c r="C131" s="1181">
        <v>44904</v>
      </c>
      <c r="D131" s="1182" t="s">
        <v>389</v>
      </c>
      <c r="E131" s="1182" t="s">
        <v>443</v>
      </c>
      <c r="F131" s="1183" t="s">
        <v>707</v>
      </c>
      <c r="G131" s="1184" t="s">
        <v>689</v>
      </c>
      <c r="H131" s="1185">
        <v>20000000</v>
      </c>
      <c r="I131" s="1180" t="s">
        <v>364</v>
      </c>
      <c r="J131" s="1186" t="str">
        <f>VLOOKUP($I131,'Price List, Weapons &amp; Items'!B:C,2,0)</f>
        <v>.</v>
      </c>
      <c r="K131" s="1186" t="str">
        <f>IF(I131=".",I131,VLOOKUP($I131,'Price List, Weapons &amp; Items'!B:D,3,0))</f>
        <v>.</v>
      </c>
      <c r="L131" s="1187">
        <f>VLOOKUP(I131,'Price List, Weapons &amp; Items'!B:E,4,0)</f>
        <v>0</v>
      </c>
      <c r="M131" s="1188" t="s">
        <v>364</v>
      </c>
      <c r="N131" s="1188" t="s">
        <v>364</v>
      </c>
      <c r="O131" s="1188" t="str">
        <f>VLOOKUP($I131,'Price List, Weapons &amp; Items'!B:G,6,0)</f>
        <v>.</v>
      </c>
      <c r="P131" s="1185" t="str">
        <f t="shared" ref="P131:P194" si="39">IF(TYPE(M131)=1,IF(TYPE(O131)=1,M131*O131,"No price"),".")</f>
        <v>.</v>
      </c>
      <c r="Q131" s="1185" t="str">
        <f t="shared" ref="Q131:Q194" si="40">IF(TYPE(N131)=1,IF(TYPE(O131)=1,N131*O131,"No price"),".")</f>
        <v>.</v>
      </c>
      <c r="R131" s="1185">
        <f t="shared" si="36"/>
        <v>20000000</v>
      </c>
      <c r="S131" s="1185">
        <f>IF(AND(AD131=1,R131&lt;&gt;".")=TRUE,R131/VLOOKUP(G131,'Exchange Rates'!B:C,2,0),IF(R131=".",".",""))</f>
        <v>10225994.477962982</v>
      </c>
      <c r="T131" s="1185" t="str">
        <f>IF(AD131=1,IF(AF131="Value is not given at all",".",IF(AF131="Value is given by the source",S131,IF(AF131="Value is calculated with prices",(IF(SUMIFS(Q:Q,A:A,A131)&gt;0,SUMIFS(Q:Q,A:A,A131),"."))/VLOOKUP("USD",'Exchange Rates'!B:C,2,0),"Error with coding"))),"")</f>
        <v>.</v>
      </c>
      <c r="U131" s="1187" t="s">
        <v>365</v>
      </c>
      <c r="V131" s="996" t="s">
        <v>708</v>
      </c>
      <c r="W131" s="997" t="s">
        <v>709</v>
      </c>
      <c r="X131" s="996" t="s">
        <v>710</v>
      </c>
      <c r="Y131" s="998" t="s">
        <v>711</v>
      </c>
      <c r="Z131" s="1197">
        <v>0</v>
      </c>
      <c r="AA131" s="1194">
        <v>0</v>
      </c>
      <c r="AB131" s="999" t="s">
        <v>364</v>
      </c>
      <c r="AC131" s="1192" t="str">
        <f>""</f>
        <v/>
      </c>
      <c r="AD131" s="1193">
        <v>1</v>
      </c>
      <c r="AE131" s="1193" t="s">
        <v>368</v>
      </c>
      <c r="AF131" s="1193" t="s">
        <v>369</v>
      </c>
      <c r="AG131" s="1193">
        <v>1</v>
      </c>
      <c r="AH131" s="1193">
        <v>12</v>
      </c>
      <c r="AI131" s="1193">
        <v>0</v>
      </c>
      <c r="AJ131" s="1193">
        <f>VLOOKUP($I131,'Price List, Weapons &amp; Items'!B:F,5,0)</f>
        <v>0</v>
      </c>
      <c r="AK131" s="1193">
        <f t="shared" ref="AK131:AK194" si="41">IF(AND(AJ131=1,M131="undisclosed")=TRUE,1,0)</f>
        <v>0</v>
      </c>
      <c r="AL131" s="1193">
        <f t="shared" ref="AL131:AL194" si="42">IF(AND(AJ131=1,N131="undisclosed")=TRUE,1,0)</f>
        <v>0</v>
      </c>
      <c r="AM131" s="1193">
        <f t="shared" ref="AM131:AM194" si="43">IFERROR(IF(SEARCH("ammuni",I131,1)&gt;0,1,0),0)</f>
        <v>0</v>
      </c>
      <c r="AN131" s="1194" t="str">
        <f>VLOOKUP($I131,'Price List, Weapons &amp; Items'!B:L,COLUMN('Price List, Weapons &amp; Items'!$J$11)-1,0)</f>
        <v>.</v>
      </c>
      <c r="AO131" s="1194" t="str">
        <f>IF(I131=".",".",VLOOKUP($I131,'Price List, Weapons &amp; Items'!B:J,3,0))</f>
        <v>.</v>
      </c>
      <c r="AP131" s="1195" t="str">
        <f t="shared" ca="1" si="37"/>
        <v>.</v>
      </c>
      <c r="AQ131" s="1194">
        <f>VLOOKUP($I131,'Price List, Weapons &amp; Items'!B:L,COLUMN('Price List, Weapons &amp; Items'!$L$11)-1,0)</f>
        <v>0</v>
      </c>
      <c r="AR131" s="1194">
        <f t="shared" ref="AR131:AR194" si="44">IF(U131="Yes",1,0)</f>
        <v>1</v>
      </c>
      <c r="AS131" s="1194">
        <f t="shared" ref="AS131:AS194" si="45">IF(D131="Military",IF(OR(IFERROR(SEARCH("equipment",E131,1),0)&gt;0,IFERROR(SEARCH("weapons",E131,1),0)&gt;0),1,0),0)</f>
        <v>1</v>
      </c>
      <c r="AT131" s="1194">
        <f t="shared" ref="AT131:AT194" si="46">IFERROR(IF(VALUE(TEXT(C131,"mm"))=IF(AH131&gt;12,AH131-12,AH131),".",IF(TEXT(C131,"mm")="01",".",1)),"Value is not in date format")</f>
        <v>1</v>
      </c>
      <c r="AU131" s="1194" t="str">
        <f t="shared" ref="AU131:AU194" si="47">IF(AND(A131=A130,C131=C130)=TRUE,IF(F131=F130,".","1"),".")</f>
        <v>.</v>
      </c>
      <c r="AV131" s="1194" t="str">
        <f t="shared" si="38"/>
        <v>.</v>
      </c>
      <c r="AW131" s="1194" t="str">
        <f t="shared" ref="AW131:AW194" si="48">IF(T131&lt;&gt;".",IF(T131&gt;S131,1,"."),".")</f>
        <v>.</v>
      </c>
      <c r="AX131" s="1194">
        <f>IFERROR(VLOOKUP(B131,'Share, Heavy Weapons to Ukraine'!B:Z,COLUMN('Share, Heavy Weapons to Ukraine'!C141)-1,0),0)</f>
        <v>0</v>
      </c>
      <c r="AY131" s="1194">
        <f>VLOOKUP('Bilateral Assistance, MAIN DATA'!B131,'Country Summary (€)'!B:F,COLUMN('Country Summary (€)'!C142)-1,FALSE)</f>
        <v>1</v>
      </c>
      <c r="AZ131" s="1194" t="str">
        <f>IF(AND(AD131=1,D131="Military",H131&lt;&gt;"Not given")=TRUE,IF(SUMIFS(P:P,A:A,A131)&gt;0,ABS((SUMIFS(P:P,A:A,A131)/VLOOKUP("USD",'Exchange Rates'!B:C,2,0)))/S131,"."),".")</f>
        <v>.</v>
      </c>
      <c r="BA131" s="1196" t="str">
        <f>IF(AND(AD131=1,D131="Military",H131&lt;&gt;"Not given")=TRUE,IF(SUMIFS(P:P,A:A,A131)&gt;0,IF((ABS((SUMIFS(P:P,A:A,A131)/VLOOKUP("USD",'Exchange Rates'!B:C,2,0)))/S131)&gt;1,(SUMIFS(P:P,A:A,A131)-S131)/S131,(S131-SUMIFS(P:P,A:A,A131))/SUMIFS(P:P,A:A,A131)),"."),".")</f>
        <v>.</v>
      </c>
    </row>
    <row r="132" spans="1:53" ht="15.95" customHeight="1">
      <c r="A132" s="1180" t="s">
        <v>712</v>
      </c>
      <c r="B132" s="1180" t="s">
        <v>713</v>
      </c>
      <c r="C132" s="1181">
        <v>44606</v>
      </c>
      <c r="D132" s="1182" t="s">
        <v>544</v>
      </c>
      <c r="E132" s="1182" t="s">
        <v>714</v>
      </c>
      <c r="F132" s="1183" t="s">
        <v>715</v>
      </c>
      <c r="G132" s="1184" t="s">
        <v>716</v>
      </c>
      <c r="H132" s="1185">
        <v>500000000</v>
      </c>
      <c r="I132" s="1180" t="s">
        <v>364</v>
      </c>
      <c r="J132" s="1186" t="str">
        <f>VLOOKUP($I132,'Price List, Weapons &amp; Items'!B:C,2,0)</f>
        <v>.</v>
      </c>
      <c r="K132" s="1186" t="str">
        <f>IF(I132=".",I132,VLOOKUP($I132,'Price List, Weapons &amp; Items'!B:D,3,0))</f>
        <v>.</v>
      </c>
      <c r="L132" s="1187">
        <f>VLOOKUP(I132,'Price List, Weapons &amp; Items'!B:E,4,0)</f>
        <v>0</v>
      </c>
      <c r="M132" s="1188" t="s">
        <v>364</v>
      </c>
      <c r="N132" s="1188" t="s">
        <v>364</v>
      </c>
      <c r="O132" s="1188" t="str">
        <f>VLOOKUP($I132,'Price List, Weapons &amp; Items'!B:G,6,0)</f>
        <v>.</v>
      </c>
      <c r="P132" s="1185" t="str">
        <f t="shared" si="39"/>
        <v>.</v>
      </c>
      <c r="Q132" s="1185" t="str">
        <f t="shared" si="40"/>
        <v>.</v>
      </c>
      <c r="R132" s="1185">
        <f t="shared" si="36"/>
        <v>500000000</v>
      </c>
      <c r="S132" s="1185">
        <f>IF(AND(AD132=1,R132&lt;&gt;".")=TRUE,R132/VLOOKUP(G132,'Exchange Rates'!B:C,2,0),IF(R132=".",".",""))</f>
        <v>340437121.26370263</v>
      </c>
      <c r="T132" s="1185" t="str">
        <f>IF(AD132=1,IF(AF132="Value is not given at all",".",IF(AF132="Value is given by the source",S132,IF(AF132="Value is calculated with prices",(IF(SUMIFS(Q:Q,A:A,A132)&gt;0,SUMIFS(Q:Q,A:A,A132),"."))/VLOOKUP("USD",'Exchange Rates'!B:C,2,0),"Error with coding"))),"")</f>
        <v>.</v>
      </c>
      <c r="U132" s="1184" t="s">
        <v>365</v>
      </c>
      <c r="V132" s="971" t="s">
        <v>717</v>
      </c>
      <c r="W132" s="971" t="s">
        <v>718</v>
      </c>
      <c r="X132" s="1190" t="s">
        <v>364</v>
      </c>
      <c r="Y132" s="1190" t="s">
        <v>364</v>
      </c>
      <c r="Z132" s="1184">
        <v>0</v>
      </c>
      <c r="AA132" s="1191">
        <v>1</v>
      </c>
      <c r="AB132" s="1201" t="s">
        <v>364</v>
      </c>
      <c r="AC132" s="1192" t="str">
        <f>""</f>
        <v/>
      </c>
      <c r="AD132" s="1193">
        <v>1</v>
      </c>
      <c r="AE132" s="1193" t="s">
        <v>368</v>
      </c>
      <c r="AF132" s="1193" t="s">
        <v>369</v>
      </c>
      <c r="AG132" s="1193">
        <v>1</v>
      </c>
      <c r="AH132" s="1193">
        <v>2</v>
      </c>
      <c r="AI132" s="1193">
        <v>1</v>
      </c>
      <c r="AJ132" s="1193">
        <f>VLOOKUP($I132,'Price List, Weapons &amp; Items'!B:F,5,0)</f>
        <v>0</v>
      </c>
      <c r="AK132" s="1193">
        <f t="shared" si="41"/>
        <v>0</v>
      </c>
      <c r="AL132" s="1193">
        <f t="shared" si="42"/>
        <v>0</v>
      </c>
      <c r="AM132" s="1193">
        <f t="shared" si="43"/>
        <v>0</v>
      </c>
      <c r="AN132" s="1194" t="str">
        <f>VLOOKUP($I132,'Price List, Weapons &amp; Items'!B:L,COLUMN('Price List, Weapons &amp; Items'!$J$11)-1,0)</f>
        <v>.</v>
      </c>
      <c r="AO132" s="1194" t="str">
        <f>IF(I132=".",".",VLOOKUP($I132,'Price List, Weapons &amp; Items'!B:J,3,0))</f>
        <v>.</v>
      </c>
      <c r="AP132" s="1195" t="str">
        <f t="shared" ca="1" si="37"/>
        <v>.</v>
      </c>
      <c r="AQ132" s="1194">
        <f>VLOOKUP($I132,'Price List, Weapons &amp; Items'!B:L,COLUMN('Price List, Weapons &amp; Items'!$L$11)-1,0)</f>
        <v>0</v>
      </c>
      <c r="AR132" s="1194">
        <f t="shared" si="44"/>
        <v>1</v>
      </c>
      <c r="AS132" s="1194">
        <f t="shared" si="45"/>
        <v>0</v>
      </c>
      <c r="AT132" s="1194">
        <f t="shared" si="46"/>
        <v>1</v>
      </c>
      <c r="AU132" s="1194" t="str">
        <f t="shared" si="47"/>
        <v>.</v>
      </c>
      <c r="AV132" s="1194" t="str">
        <f t="shared" si="38"/>
        <v>.</v>
      </c>
      <c r="AW132" s="1194" t="str">
        <f t="shared" si="48"/>
        <v>.</v>
      </c>
      <c r="AX132" s="1194">
        <f>IFERROR(VLOOKUP(B132,'Share, Heavy Weapons to Ukraine'!B:Z,COLUMN('Share, Heavy Weapons to Ukraine'!C142)-1,0),0)</f>
        <v>1</v>
      </c>
      <c r="AY132" s="1194">
        <f>VLOOKUP('Bilateral Assistance, MAIN DATA'!B132,'Country Summary (€)'!B:F,COLUMN('Country Summary (€)'!C143)-1,FALSE)</f>
        <v>0</v>
      </c>
      <c r="AZ132" s="1194" t="str">
        <f>IF(AND(AD132=1,D132="Military",H132&lt;&gt;"Not given")=TRUE,IF(SUMIFS(P:P,A:A,A132)&gt;0,ABS((SUMIFS(P:P,A:A,A132)/VLOOKUP("USD",'Exchange Rates'!B:C,2,0)))/S132,"."),".")</f>
        <v>.</v>
      </c>
      <c r="BA132" s="1196" t="str">
        <f>IF(AND(AD132=1,D132="Military",H132&lt;&gt;"Not given")=TRUE,IF(SUMIFS(P:P,A:A,A132)&gt;0,IF((ABS((SUMIFS(P:P,A:A,A132)/VLOOKUP("USD",'Exchange Rates'!B:C,2,0)))/S132)&gt;1,(SUMIFS(P:P,A:A,A132)-S132)/S132,(S132-SUMIFS(P:P,A:A,A132))/SUMIFS(P:P,A:A,A132)),"."),".")</f>
        <v>.</v>
      </c>
    </row>
    <row r="133" spans="1:53" ht="15.95" customHeight="1">
      <c r="A133" s="1180" t="s">
        <v>719</v>
      </c>
      <c r="B133" s="1180" t="s">
        <v>713</v>
      </c>
      <c r="C133" s="1181">
        <v>44658</v>
      </c>
      <c r="D133" s="1182" t="s">
        <v>544</v>
      </c>
      <c r="E133" s="1182" t="s">
        <v>714</v>
      </c>
      <c r="F133" s="1183" t="s">
        <v>720</v>
      </c>
      <c r="G133" s="1184" t="s">
        <v>716</v>
      </c>
      <c r="H133" s="1185">
        <v>1000000000</v>
      </c>
      <c r="I133" s="1180" t="s">
        <v>364</v>
      </c>
      <c r="J133" s="1186" t="str">
        <f>VLOOKUP($I133,'Price List, Weapons &amp; Items'!B:C,2,0)</f>
        <v>.</v>
      </c>
      <c r="K133" s="1186" t="str">
        <f>IF(I133=".",I133,VLOOKUP($I133,'Price List, Weapons &amp; Items'!B:D,3,0))</f>
        <v>.</v>
      </c>
      <c r="L133" s="1187">
        <f>VLOOKUP(I133,'Price List, Weapons &amp; Items'!B:E,4,0)</f>
        <v>0</v>
      </c>
      <c r="M133" s="1188" t="s">
        <v>364</v>
      </c>
      <c r="N133" s="1188" t="s">
        <v>364</v>
      </c>
      <c r="O133" s="1188" t="str">
        <f>VLOOKUP($I133,'Price List, Weapons &amp; Items'!B:G,6,0)</f>
        <v>.</v>
      </c>
      <c r="P133" s="1185" t="str">
        <f t="shared" si="39"/>
        <v>.</v>
      </c>
      <c r="Q133" s="1185" t="str">
        <f t="shared" si="40"/>
        <v>.</v>
      </c>
      <c r="R133" s="1185">
        <f t="shared" si="36"/>
        <v>1000000000</v>
      </c>
      <c r="S133" s="1185">
        <f>IF(AND(AD133=1,R133&lt;&gt;".")=TRUE,R133/VLOOKUP(G133,'Exchange Rates'!B:C,2,0),IF(R133=".",".",""))</f>
        <v>680874242.52740526</v>
      </c>
      <c r="T133" s="1185" t="str">
        <f>IF(AD133=1,IF(AF133="Value is not given at all",".",IF(AF133="Value is given by the source",S133,IF(AF133="Value is calculated with prices",(IF(SUMIFS(Q:Q,A:A,A133)&gt;0,SUMIFS(Q:Q,A:A,A133),"."))/VLOOKUP("USD",'Exchange Rates'!B:C,2,0),"Error with coding"))),"")</f>
        <v>.</v>
      </c>
      <c r="U133" s="1184" t="s">
        <v>365</v>
      </c>
      <c r="V133" s="971" t="s">
        <v>721</v>
      </c>
      <c r="W133" s="971" t="s">
        <v>722</v>
      </c>
      <c r="X133" s="971" t="s">
        <v>723</v>
      </c>
      <c r="Y133" s="971" t="s">
        <v>724</v>
      </c>
      <c r="Z133" s="1184">
        <v>1</v>
      </c>
      <c r="AA133" s="1194">
        <v>0</v>
      </c>
      <c r="AB133" s="1201" t="s">
        <v>364</v>
      </c>
      <c r="AC133" s="1192" t="str">
        <f>""</f>
        <v/>
      </c>
      <c r="AD133" s="1193">
        <v>1</v>
      </c>
      <c r="AE133" s="1193" t="s">
        <v>368</v>
      </c>
      <c r="AF133" s="1193" t="s">
        <v>369</v>
      </c>
      <c r="AG133" s="1193">
        <v>1</v>
      </c>
      <c r="AH133" s="1193">
        <v>4</v>
      </c>
      <c r="AI133" s="1193">
        <v>0</v>
      </c>
      <c r="AJ133" s="1193">
        <f>VLOOKUP($I133,'Price List, Weapons &amp; Items'!B:F,5,0)</f>
        <v>0</v>
      </c>
      <c r="AK133" s="1193">
        <f t="shared" si="41"/>
        <v>0</v>
      </c>
      <c r="AL133" s="1193">
        <f t="shared" si="42"/>
        <v>0</v>
      </c>
      <c r="AM133" s="1193">
        <f t="shared" si="43"/>
        <v>0</v>
      </c>
      <c r="AN133" s="1194" t="str">
        <f>VLOOKUP($I133,'Price List, Weapons &amp; Items'!B:L,COLUMN('Price List, Weapons &amp; Items'!$J$11)-1,0)</f>
        <v>.</v>
      </c>
      <c r="AO133" s="1194" t="str">
        <f>IF(I133=".",".",VLOOKUP($I133,'Price List, Weapons &amp; Items'!B:J,3,0))</f>
        <v>.</v>
      </c>
      <c r="AP133" s="1195" t="str">
        <f t="shared" ca="1" si="37"/>
        <v>.</v>
      </c>
      <c r="AQ133" s="1194">
        <f>VLOOKUP($I133,'Price List, Weapons &amp; Items'!B:L,COLUMN('Price List, Weapons &amp; Items'!$L$11)-1,0)</f>
        <v>0</v>
      </c>
      <c r="AR133" s="1194">
        <f t="shared" si="44"/>
        <v>1</v>
      </c>
      <c r="AS133" s="1194">
        <f t="shared" si="45"/>
        <v>0</v>
      </c>
      <c r="AT133" s="1194">
        <f t="shared" si="46"/>
        <v>1</v>
      </c>
      <c r="AU133" s="1194" t="str">
        <f t="shared" si="47"/>
        <v>.</v>
      </c>
      <c r="AV133" s="1194" t="str">
        <f t="shared" si="38"/>
        <v>.</v>
      </c>
      <c r="AW133" s="1194" t="str">
        <f t="shared" si="48"/>
        <v>.</v>
      </c>
      <c r="AX133" s="1194">
        <f>IFERROR(VLOOKUP(B133,'Share, Heavy Weapons to Ukraine'!B:Z,COLUMN('Share, Heavy Weapons to Ukraine'!C143)-1,0),0)</f>
        <v>1</v>
      </c>
      <c r="AY133" s="1194">
        <f>VLOOKUP('Bilateral Assistance, MAIN DATA'!B133,'Country Summary (€)'!B:F,COLUMN('Country Summary (€)'!C144)-1,FALSE)</f>
        <v>0</v>
      </c>
      <c r="AZ133" s="1194" t="str">
        <f>IF(AND(AD133=1,D133="Military",H133&lt;&gt;"Not given")=TRUE,IF(SUMIFS(P:P,A:A,A133)&gt;0,ABS((SUMIFS(P:P,A:A,A133)/VLOOKUP("USD",'Exchange Rates'!B:C,2,0)))/S133,"."),".")</f>
        <v>.</v>
      </c>
      <c r="BA133" s="1196" t="str">
        <f>IF(AND(AD133=1,D133="Military",H133&lt;&gt;"Not given")=TRUE,IF(SUMIFS(P:P,A:A,A133)&gt;0,IF((ABS((SUMIFS(P:P,A:A,A133)/VLOOKUP("USD",'Exchange Rates'!B:C,2,0)))/S133)&gt;1,(SUMIFS(P:P,A:A,A133)-S133)/S133,(S133-SUMIFS(P:P,A:A,A133))/SUMIFS(P:P,A:A,A133)),"."),".")</f>
        <v>.</v>
      </c>
    </row>
    <row r="134" spans="1:53" ht="15.95" customHeight="1">
      <c r="A134" s="1180" t="s">
        <v>725</v>
      </c>
      <c r="B134" s="1180" t="s">
        <v>713</v>
      </c>
      <c r="C134" s="1181">
        <v>44701</v>
      </c>
      <c r="D134" s="1182" t="s">
        <v>544</v>
      </c>
      <c r="E134" s="1182" t="s">
        <v>714</v>
      </c>
      <c r="F134" s="1183" t="s">
        <v>726</v>
      </c>
      <c r="G134" s="1184" t="s">
        <v>716</v>
      </c>
      <c r="H134" s="1185">
        <v>250000000</v>
      </c>
      <c r="I134" s="1180" t="s">
        <v>364</v>
      </c>
      <c r="J134" s="1186" t="str">
        <f>VLOOKUP($I134,'Price List, Weapons &amp; Items'!B:C,2,0)</f>
        <v>.</v>
      </c>
      <c r="K134" s="1186" t="str">
        <f>IF(I134=".",I134,VLOOKUP($I134,'Price List, Weapons &amp; Items'!B:D,3,0))</f>
        <v>.</v>
      </c>
      <c r="L134" s="1187">
        <f>VLOOKUP(I134,'Price List, Weapons &amp; Items'!B:E,4,0)</f>
        <v>0</v>
      </c>
      <c r="M134" s="1188" t="s">
        <v>364</v>
      </c>
      <c r="N134" s="1188" t="s">
        <v>364</v>
      </c>
      <c r="O134" s="1188" t="str">
        <f>VLOOKUP($I134,'Price List, Weapons &amp; Items'!B:G,6,0)</f>
        <v>.</v>
      </c>
      <c r="P134" s="1185" t="str">
        <f t="shared" si="39"/>
        <v>.</v>
      </c>
      <c r="Q134" s="1185" t="str">
        <f t="shared" si="40"/>
        <v>.</v>
      </c>
      <c r="R134" s="1185">
        <f t="shared" si="36"/>
        <v>250000000</v>
      </c>
      <c r="S134" s="1185">
        <f>IF(AND(AD134=1,R134&lt;&gt;".")=TRUE,R134/VLOOKUP(G134,'Exchange Rates'!B:C,2,0),IF(R134=".",".",""))</f>
        <v>170218560.63185132</v>
      </c>
      <c r="T134" s="1185" t="str">
        <f>IF(AD134=1,IF(AF134="Value is not given at all",".",IF(AF134="Value is given by the source",S134,IF(AF134="Value is calculated with prices",(IF(SUMIFS(Q:Q,A:A,A134)&gt;0,SUMIFS(Q:Q,A:A,A134),"."))/VLOOKUP("USD",'Exchange Rates'!B:C,2,0),"Error with coding"))),"")</f>
        <v>.</v>
      </c>
      <c r="U134" s="1187" t="s">
        <v>365</v>
      </c>
      <c r="V134" s="971" t="s">
        <v>727</v>
      </c>
      <c r="W134" s="971" t="s">
        <v>728</v>
      </c>
      <c r="X134" s="971" t="s">
        <v>729</v>
      </c>
      <c r="Y134" s="973" t="s">
        <v>730</v>
      </c>
      <c r="Z134" s="1184">
        <v>1</v>
      </c>
      <c r="AA134" s="1194">
        <v>0</v>
      </c>
      <c r="AB134" s="1180" t="s">
        <v>364</v>
      </c>
      <c r="AC134" s="1192" t="str">
        <f>""</f>
        <v/>
      </c>
      <c r="AD134" s="1193">
        <v>1</v>
      </c>
      <c r="AE134" s="1193" t="s">
        <v>368</v>
      </c>
      <c r="AF134" s="1193" t="s">
        <v>369</v>
      </c>
      <c r="AG134" s="1193">
        <v>1</v>
      </c>
      <c r="AH134" s="1193">
        <v>5</v>
      </c>
      <c r="AI134" s="1193">
        <v>0</v>
      </c>
      <c r="AJ134" s="1193">
        <f>VLOOKUP($I134,'Price List, Weapons &amp; Items'!B:F,5,0)</f>
        <v>0</v>
      </c>
      <c r="AK134" s="1193">
        <f t="shared" si="41"/>
        <v>0</v>
      </c>
      <c r="AL134" s="1193">
        <f t="shared" si="42"/>
        <v>0</v>
      </c>
      <c r="AM134" s="1193">
        <f t="shared" si="43"/>
        <v>0</v>
      </c>
      <c r="AN134" s="1194" t="str">
        <f>VLOOKUP($I134,'Price List, Weapons &amp; Items'!B:L,COLUMN('Price List, Weapons &amp; Items'!$J$11)-1,0)</f>
        <v>.</v>
      </c>
      <c r="AO134" s="1194" t="str">
        <f>IF(I134=".",".",VLOOKUP($I134,'Price List, Weapons &amp; Items'!B:J,3,0))</f>
        <v>.</v>
      </c>
      <c r="AP134" s="1195" t="str">
        <f t="shared" ca="1" si="37"/>
        <v>.</v>
      </c>
      <c r="AQ134" s="1194">
        <f>VLOOKUP($I134,'Price List, Weapons &amp; Items'!B:L,COLUMN('Price List, Weapons &amp; Items'!$L$11)-1,0)</f>
        <v>0</v>
      </c>
      <c r="AR134" s="1194">
        <f t="shared" si="44"/>
        <v>1</v>
      </c>
      <c r="AS134" s="1194">
        <f t="shared" si="45"/>
        <v>0</v>
      </c>
      <c r="AT134" s="1194">
        <f t="shared" si="46"/>
        <v>1</v>
      </c>
      <c r="AU134" s="1194" t="str">
        <f t="shared" si="47"/>
        <v>.</v>
      </c>
      <c r="AV134" s="1194" t="str">
        <f t="shared" si="38"/>
        <v>.</v>
      </c>
      <c r="AW134" s="1194" t="str">
        <f t="shared" si="48"/>
        <v>.</v>
      </c>
      <c r="AX134" s="1194">
        <f>IFERROR(VLOOKUP(B134,'Share, Heavy Weapons to Ukraine'!B:Z,COLUMN('Share, Heavy Weapons to Ukraine'!C144)-1,0),0)</f>
        <v>1</v>
      </c>
      <c r="AY134" s="1194">
        <f>VLOOKUP('Bilateral Assistance, MAIN DATA'!B134,'Country Summary (€)'!B:F,COLUMN('Country Summary (€)'!C145)-1,FALSE)</f>
        <v>0</v>
      </c>
      <c r="AZ134" s="1194" t="str">
        <f>IF(AND(AD134=1,D134="Military",H134&lt;&gt;"Not given")=TRUE,IF(SUMIFS(P:P,A:A,A134)&gt;0,ABS((SUMIFS(P:P,A:A,A134)/VLOOKUP("USD",'Exchange Rates'!B:C,2,0)))/S134,"."),".")</f>
        <v>.</v>
      </c>
      <c r="BA134" s="1196" t="str">
        <f>IF(AND(AD134=1,D134="Military",H134&lt;&gt;"Not given")=TRUE,IF(SUMIFS(P:P,A:A,A134)&gt;0,IF((ABS((SUMIFS(P:P,A:A,A134)/VLOOKUP("USD",'Exchange Rates'!B:C,2,0)))/S134)&gt;1,(SUMIFS(P:P,A:A,A134)-S134)/S134,(S134-SUMIFS(P:P,A:A,A134))/SUMIFS(P:P,A:A,A134)),"."),".")</f>
        <v>.</v>
      </c>
    </row>
    <row r="135" spans="1:53" ht="15.95" customHeight="1">
      <c r="A135" s="1180" t="s">
        <v>731</v>
      </c>
      <c r="B135" s="1180" t="s">
        <v>713</v>
      </c>
      <c r="C135" s="1181">
        <v>44740</v>
      </c>
      <c r="D135" s="1182" t="s">
        <v>544</v>
      </c>
      <c r="E135" s="1182" t="s">
        <v>714</v>
      </c>
      <c r="F135" s="1183" t="s">
        <v>732</v>
      </c>
      <c r="G135" s="1184" t="s">
        <v>716</v>
      </c>
      <c r="H135" s="1185">
        <v>200000000</v>
      </c>
      <c r="I135" s="1180" t="s">
        <v>364</v>
      </c>
      <c r="J135" s="1186" t="str">
        <f>VLOOKUP($I135,'Price List, Weapons &amp; Items'!B:C,2,0)</f>
        <v>.</v>
      </c>
      <c r="K135" s="1186" t="str">
        <f>IF(I135=".",I135,VLOOKUP($I135,'Price List, Weapons &amp; Items'!B:D,3,0))</f>
        <v>.</v>
      </c>
      <c r="L135" s="1187">
        <f>VLOOKUP(I135,'Price List, Weapons &amp; Items'!B:E,4,0)</f>
        <v>0</v>
      </c>
      <c r="M135" s="1188" t="s">
        <v>364</v>
      </c>
      <c r="N135" s="1188" t="s">
        <v>364</v>
      </c>
      <c r="O135" s="1188" t="str">
        <f>VLOOKUP($I135,'Price List, Weapons &amp; Items'!B:G,6,0)</f>
        <v>.</v>
      </c>
      <c r="P135" s="1185" t="str">
        <f t="shared" si="39"/>
        <v>.</v>
      </c>
      <c r="Q135" s="1185" t="str">
        <f t="shared" si="40"/>
        <v>.</v>
      </c>
      <c r="R135" s="1185">
        <f t="shared" si="36"/>
        <v>200000000</v>
      </c>
      <c r="S135" s="1185">
        <f>IF(AND(AD135=1,R135&lt;&gt;".")=TRUE,R135/VLOOKUP(G135,'Exchange Rates'!B:C,2,0),IF(R135=".",".",""))</f>
        <v>136174848.50548103</v>
      </c>
      <c r="T135" s="1185" t="str">
        <f>IF(AD135=1,IF(AF135="Value is not given at all",".",IF(AF135="Value is given by the source",S135,IF(AF135="Value is calculated with prices",(IF(SUMIFS(Q:Q,A:A,A135)&gt;0,SUMIFS(Q:Q,A:A,A135),"."))/VLOOKUP("USD",'Exchange Rates'!B:C,2,0),"Error with coding"))),"")</f>
        <v>.</v>
      </c>
      <c r="U135" s="1187" t="s">
        <v>365</v>
      </c>
      <c r="V135" s="971" t="s">
        <v>733</v>
      </c>
      <c r="W135" s="971" t="s">
        <v>734</v>
      </c>
      <c r="X135" s="971" t="s">
        <v>729</v>
      </c>
      <c r="Y135" s="980" t="s">
        <v>730</v>
      </c>
      <c r="Z135" s="1184">
        <v>1</v>
      </c>
      <c r="AA135" s="1194">
        <v>0</v>
      </c>
      <c r="AB135" s="1180" t="s">
        <v>364</v>
      </c>
      <c r="AC135" s="1192" t="str">
        <f>""</f>
        <v/>
      </c>
      <c r="AD135" s="1193">
        <v>1</v>
      </c>
      <c r="AE135" s="1193" t="s">
        <v>368</v>
      </c>
      <c r="AF135" s="1193" t="s">
        <v>369</v>
      </c>
      <c r="AG135" s="1193">
        <v>1</v>
      </c>
      <c r="AH135" s="1193">
        <v>6</v>
      </c>
      <c r="AI135" s="1193">
        <v>0</v>
      </c>
      <c r="AJ135" s="1193">
        <f>VLOOKUP($I135,'Price List, Weapons &amp; Items'!B:F,5,0)</f>
        <v>0</v>
      </c>
      <c r="AK135" s="1193">
        <f t="shared" si="41"/>
        <v>0</v>
      </c>
      <c r="AL135" s="1193">
        <f t="shared" si="42"/>
        <v>0</v>
      </c>
      <c r="AM135" s="1193">
        <f t="shared" si="43"/>
        <v>0</v>
      </c>
      <c r="AN135" s="1194" t="str">
        <f>VLOOKUP($I135,'Price List, Weapons &amp; Items'!B:L,COLUMN('Price List, Weapons &amp; Items'!$J$11)-1,0)</f>
        <v>.</v>
      </c>
      <c r="AO135" s="1194" t="str">
        <f>IF(I135=".",".",VLOOKUP($I135,'Price List, Weapons &amp; Items'!B:J,3,0))</f>
        <v>.</v>
      </c>
      <c r="AP135" s="1195" t="str">
        <f t="shared" ca="1" si="37"/>
        <v>.</v>
      </c>
      <c r="AQ135" s="1194">
        <f>VLOOKUP($I135,'Price List, Weapons &amp; Items'!B:L,COLUMN('Price List, Weapons &amp; Items'!$L$11)-1,0)</f>
        <v>0</v>
      </c>
      <c r="AR135" s="1194">
        <f t="shared" si="44"/>
        <v>1</v>
      </c>
      <c r="AS135" s="1194">
        <f t="shared" si="45"/>
        <v>0</v>
      </c>
      <c r="AT135" s="1194">
        <f t="shared" si="46"/>
        <v>1</v>
      </c>
      <c r="AU135" s="1194" t="str">
        <f t="shared" si="47"/>
        <v>.</v>
      </c>
      <c r="AV135" s="1194" t="str">
        <f t="shared" si="38"/>
        <v>.</v>
      </c>
      <c r="AW135" s="1194" t="str">
        <f t="shared" si="48"/>
        <v>.</v>
      </c>
      <c r="AX135" s="1194">
        <f>IFERROR(VLOOKUP(B135,'Share, Heavy Weapons to Ukraine'!B:Z,COLUMN('Share, Heavy Weapons to Ukraine'!C145)-1,0),0)</f>
        <v>1</v>
      </c>
      <c r="AY135" s="1194">
        <f>VLOOKUP('Bilateral Assistance, MAIN DATA'!B135,'Country Summary (€)'!B:F,COLUMN('Country Summary (€)'!C146)-1,FALSE)</f>
        <v>0</v>
      </c>
      <c r="AZ135" s="1194" t="str">
        <f>IF(AND(AD135=1,D135="Military",H135&lt;&gt;"Not given")=TRUE,IF(SUMIFS(P:P,A:A,A135)&gt;0,ABS((SUMIFS(P:P,A:A,A135)/VLOOKUP("USD",'Exchange Rates'!B:C,2,0)))/S135,"."),".")</f>
        <v>.</v>
      </c>
      <c r="BA135" s="1196" t="str">
        <f>IF(AND(AD135=1,D135="Military",H135&lt;&gt;"Not given")=TRUE,IF(SUMIFS(P:P,A:A,A135)&gt;0,IF((ABS((SUMIFS(P:P,A:A,A135)/VLOOKUP("USD",'Exchange Rates'!B:C,2,0)))/S135)&gt;1,(SUMIFS(P:P,A:A,A135)-S135)/S135,(S135-SUMIFS(P:P,A:A,A135))/SUMIFS(P:P,A:A,A135)),"."),".")</f>
        <v>.</v>
      </c>
    </row>
    <row r="136" spans="1:53" ht="15.95" customHeight="1">
      <c r="A136" s="1180" t="s">
        <v>735</v>
      </c>
      <c r="B136" s="1180" t="s">
        <v>713</v>
      </c>
      <c r="C136" s="1181">
        <v>44796</v>
      </c>
      <c r="D136" s="1182" t="s">
        <v>544</v>
      </c>
      <c r="E136" s="1182" t="s">
        <v>481</v>
      </c>
      <c r="F136" s="1183" t="s">
        <v>736</v>
      </c>
      <c r="G136" s="1184" t="s">
        <v>716</v>
      </c>
      <c r="H136" s="1185">
        <v>3850000</v>
      </c>
      <c r="I136" s="1180" t="s">
        <v>364</v>
      </c>
      <c r="J136" s="1186" t="str">
        <f>VLOOKUP($I136,'Price List, Weapons &amp; Items'!B:C,2,0)</f>
        <v>.</v>
      </c>
      <c r="K136" s="1186" t="str">
        <f>IF(I136=".",I136,VLOOKUP($I136,'Price List, Weapons &amp; Items'!B:D,3,0))</f>
        <v>.</v>
      </c>
      <c r="L136" s="1187">
        <f>VLOOKUP(I136,'Price List, Weapons &amp; Items'!B:E,4,0)</f>
        <v>0</v>
      </c>
      <c r="M136" s="1188" t="s">
        <v>364</v>
      </c>
      <c r="N136" s="1188" t="s">
        <v>364</v>
      </c>
      <c r="O136" s="1188" t="str">
        <f>VLOOKUP($I136,'Price List, Weapons &amp; Items'!B:G,6,0)</f>
        <v>.</v>
      </c>
      <c r="P136" s="1185" t="str">
        <f t="shared" si="39"/>
        <v>.</v>
      </c>
      <c r="Q136" s="1185" t="str">
        <f t="shared" si="40"/>
        <v>.</v>
      </c>
      <c r="R136" s="1185">
        <f t="shared" si="36"/>
        <v>3850000</v>
      </c>
      <c r="S136" s="1185">
        <f>IF(AND(AD136=1,R136&lt;&gt;".")=TRUE,R136/VLOOKUP(G136,'Exchange Rates'!B:C,2,0),IF(R136=".",".",""))</f>
        <v>2621365.83373051</v>
      </c>
      <c r="T136" s="1185" t="str">
        <f>IF(AD136=1,IF(AF136="Value is not given at all",".",IF(AF136="Value is given by the source",S136,IF(AF136="Value is calculated with prices",(IF(SUMIFS(Q:Q,A:A,A136)&gt;0,SUMIFS(Q:Q,A:A,A136),"."))/VLOOKUP("USD",'Exchange Rates'!B:C,2,0),"Error with coding"))),"")</f>
        <v>.</v>
      </c>
      <c r="U136" s="1184" t="s">
        <v>365</v>
      </c>
      <c r="V136" s="971" t="s">
        <v>737</v>
      </c>
      <c r="W136" s="973" t="s">
        <v>738</v>
      </c>
      <c r="X136" s="981" t="s">
        <v>364</v>
      </c>
      <c r="Y136" s="1190" t="s">
        <v>364</v>
      </c>
      <c r="Z136" s="1184">
        <v>0</v>
      </c>
      <c r="AA136" s="1194">
        <v>0</v>
      </c>
      <c r="AB136" s="1180" t="s">
        <v>364</v>
      </c>
      <c r="AC136" s="1192" t="str">
        <f>""</f>
        <v/>
      </c>
      <c r="AD136" s="985">
        <v>1</v>
      </c>
      <c r="AE136" s="985" t="s">
        <v>368</v>
      </c>
      <c r="AF136" s="985" t="s">
        <v>369</v>
      </c>
      <c r="AG136" s="985">
        <v>1</v>
      </c>
      <c r="AH136" s="1193">
        <v>8</v>
      </c>
      <c r="AI136" s="1193">
        <v>0</v>
      </c>
      <c r="AJ136" s="1193">
        <f>VLOOKUP($I136,'Price List, Weapons &amp; Items'!B:F,5,0)</f>
        <v>0</v>
      </c>
      <c r="AK136" s="1193">
        <f t="shared" si="41"/>
        <v>0</v>
      </c>
      <c r="AL136" s="1193">
        <f t="shared" si="42"/>
        <v>0</v>
      </c>
      <c r="AM136" s="1193">
        <f t="shared" si="43"/>
        <v>0</v>
      </c>
      <c r="AN136" s="1194" t="str">
        <f>VLOOKUP($I136,'Price List, Weapons &amp; Items'!B:L,COLUMN('Price List, Weapons &amp; Items'!$J$11)-1,0)</f>
        <v>.</v>
      </c>
      <c r="AO136" s="1194" t="str">
        <f>IF(I136=".",".",VLOOKUP($I136,'Price List, Weapons &amp; Items'!B:J,3,0))</f>
        <v>.</v>
      </c>
      <c r="AP136" s="1195" t="str">
        <f t="shared" ca="1" si="37"/>
        <v>.</v>
      </c>
      <c r="AQ136" s="1194">
        <f>VLOOKUP($I136,'Price List, Weapons &amp; Items'!B:L,COLUMN('Price List, Weapons &amp; Items'!$L$11)-1,0)</f>
        <v>0</v>
      </c>
      <c r="AR136" s="1194">
        <f t="shared" si="44"/>
        <v>1</v>
      </c>
      <c r="AS136" s="1194">
        <f t="shared" si="45"/>
        <v>0</v>
      </c>
      <c r="AT136" s="1194">
        <f t="shared" si="46"/>
        <v>1</v>
      </c>
      <c r="AU136" s="1194" t="str">
        <f t="shared" si="47"/>
        <v>.</v>
      </c>
      <c r="AV136" s="1194" t="str">
        <f t="shared" si="38"/>
        <v>.</v>
      </c>
      <c r="AW136" s="1194" t="str">
        <f t="shared" si="48"/>
        <v>.</v>
      </c>
      <c r="AX136" s="1194">
        <f>IFERROR(VLOOKUP(B136,'Share, Heavy Weapons to Ukraine'!B:Z,COLUMN('Share, Heavy Weapons to Ukraine'!C146)-1,0),0)</f>
        <v>1</v>
      </c>
      <c r="AY136" s="1194">
        <f>VLOOKUP('Bilateral Assistance, MAIN DATA'!B136,'Country Summary (€)'!B:F,COLUMN('Country Summary (€)'!C147)-1,FALSE)</f>
        <v>0</v>
      </c>
      <c r="AZ136" s="1194" t="str">
        <f>IF(AND(AD136=1,D136="Military",H136&lt;&gt;"Not given")=TRUE,IF(SUMIFS(P:P,A:A,A136)&gt;0,ABS((SUMIFS(P:P,A:A,A136)/VLOOKUP("USD",'Exchange Rates'!B:C,2,0)))/S136,"."),".")</f>
        <v>.</v>
      </c>
      <c r="BA136" s="1196" t="str">
        <f>IF(AND(AD136=1,D136="Military",H136&lt;&gt;"Not given")=TRUE,IF(SUMIFS(P:P,A:A,A136)&gt;0,IF((ABS((SUMIFS(P:P,A:A,A136)/VLOOKUP("USD",'Exchange Rates'!B:C,2,0)))/S136)&gt;1,(SUMIFS(P:P,A:A,A136)-S136)/S136,(S136-SUMIFS(P:P,A:A,A136))/SUMIFS(P:P,A:A,A136)),"."),".")</f>
        <v>.</v>
      </c>
    </row>
    <row r="137" spans="1:53" ht="15.95" customHeight="1">
      <c r="A137" s="1180" t="s">
        <v>739</v>
      </c>
      <c r="B137" s="1180" t="s">
        <v>713</v>
      </c>
      <c r="C137" s="1181">
        <v>44848</v>
      </c>
      <c r="D137" s="1182" t="s">
        <v>544</v>
      </c>
      <c r="E137" s="1182" t="s">
        <v>495</v>
      </c>
      <c r="F137" s="1183" t="s">
        <v>740</v>
      </c>
      <c r="G137" s="1184" t="s">
        <v>483</v>
      </c>
      <c r="H137" s="1185">
        <v>36500000</v>
      </c>
      <c r="I137" s="1180" t="s">
        <v>364</v>
      </c>
      <c r="J137" s="1186" t="str">
        <f>VLOOKUP($I137,'Price List, Weapons &amp; Items'!B:C,2,0)</f>
        <v>.</v>
      </c>
      <c r="K137" s="1186" t="str">
        <f>IF(I137=".",I137,VLOOKUP($I137,'Price List, Weapons &amp; Items'!B:D,3,0))</f>
        <v>.</v>
      </c>
      <c r="L137" s="1187">
        <f>VLOOKUP(I137,'Price List, Weapons &amp; Items'!B:E,4,0)</f>
        <v>0</v>
      </c>
      <c r="M137" s="1188" t="s">
        <v>364</v>
      </c>
      <c r="N137" s="1188" t="s">
        <v>364</v>
      </c>
      <c r="O137" s="1188" t="str">
        <f>VLOOKUP($I137,'Price List, Weapons &amp; Items'!B:G,6,0)</f>
        <v>.</v>
      </c>
      <c r="P137" s="1185" t="str">
        <f t="shared" si="39"/>
        <v>.</v>
      </c>
      <c r="Q137" s="1185" t="str">
        <f t="shared" si="40"/>
        <v>.</v>
      </c>
      <c r="R137" s="1185">
        <f t="shared" si="36"/>
        <v>36500000</v>
      </c>
      <c r="S137" s="1185">
        <f>IF(AND(AD137=1,R137&lt;&gt;".")=TRUE,R137/VLOOKUP(G137,'Exchange Rates'!B:C,2,0),IF(R137=".",".",""))</f>
        <v>36500000</v>
      </c>
      <c r="T137" s="1185" t="str">
        <f>IF(AD137=1,IF(AF137="Value is not given at all",".",IF(AF137="Value is given by the source",S137,IF(AF137="Value is calculated with prices",(IF(SUMIFS(Q:Q,A:A,A137)&gt;0,SUMIFS(Q:Q,A:A,A137),"."))/VLOOKUP("USD",'Exchange Rates'!B:C,2,0),"Error with coding"))),"")</f>
        <v>.</v>
      </c>
      <c r="U137" s="1184" t="s">
        <v>365</v>
      </c>
      <c r="V137" s="973" t="s">
        <v>741</v>
      </c>
      <c r="W137" s="973" t="s">
        <v>742</v>
      </c>
      <c r="X137" s="986" t="s">
        <v>364</v>
      </c>
      <c r="Y137" s="981" t="s">
        <v>364</v>
      </c>
      <c r="Z137" s="1184">
        <v>0</v>
      </c>
      <c r="AA137" s="1191">
        <v>1</v>
      </c>
      <c r="AB137" s="1180" t="s">
        <v>364</v>
      </c>
      <c r="AC137" s="1192" t="str">
        <f>""</f>
        <v/>
      </c>
      <c r="AD137" s="985">
        <v>1</v>
      </c>
      <c r="AE137" s="985" t="s">
        <v>368</v>
      </c>
      <c r="AF137" s="985" t="s">
        <v>369</v>
      </c>
      <c r="AG137" s="985">
        <v>1</v>
      </c>
      <c r="AH137" s="1193">
        <v>10</v>
      </c>
      <c r="AI137" s="1193">
        <v>0</v>
      </c>
      <c r="AJ137" s="1193">
        <f>VLOOKUP($I137,'Price List, Weapons &amp; Items'!B:F,5,0)</f>
        <v>0</v>
      </c>
      <c r="AK137" s="1193">
        <f t="shared" si="41"/>
        <v>0</v>
      </c>
      <c r="AL137" s="1193">
        <f t="shared" si="42"/>
        <v>0</v>
      </c>
      <c r="AM137" s="1193">
        <f t="shared" si="43"/>
        <v>0</v>
      </c>
      <c r="AN137" s="1194" t="str">
        <f>VLOOKUP($I137,'Price List, Weapons &amp; Items'!B:L,COLUMN('Price List, Weapons &amp; Items'!$J$11)-1,0)</f>
        <v>.</v>
      </c>
      <c r="AO137" s="1194" t="str">
        <f>IF(I137=".",".",VLOOKUP($I137,'Price List, Weapons &amp; Items'!B:J,3,0))</f>
        <v>.</v>
      </c>
      <c r="AP137" s="1195" t="str">
        <f t="shared" ca="1" si="37"/>
        <v>.</v>
      </c>
      <c r="AQ137" s="1194">
        <f>VLOOKUP($I137,'Price List, Weapons &amp; Items'!B:L,COLUMN('Price List, Weapons &amp; Items'!$L$11)-1,0)</f>
        <v>0</v>
      </c>
      <c r="AR137" s="1194">
        <f t="shared" si="44"/>
        <v>1</v>
      </c>
      <c r="AS137" s="1194">
        <f t="shared" si="45"/>
        <v>0</v>
      </c>
      <c r="AT137" s="1194">
        <f t="shared" si="46"/>
        <v>1</v>
      </c>
      <c r="AU137" s="1194" t="str">
        <f t="shared" si="47"/>
        <v>.</v>
      </c>
      <c r="AV137" s="1194" t="str">
        <f t="shared" si="38"/>
        <v>.</v>
      </c>
      <c r="AW137" s="1194" t="str">
        <f t="shared" si="48"/>
        <v>.</v>
      </c>
      <c r="AX137" s="1194">
        <f>IFERROR(VLOOKUP(B137,'Share, Heavy Weapons to Ukraine'!B:Z,COLUMN('Share, Heavy Weapons to Ukraine'!C147)-1,0),0)</f>
        <v>1</v>
      </c>
      <c r="AY137" s="1194">
        <f>VLOOKUP('Bilateral Assistance, MAIN DATA'!B137,'Country Summary (€)'!B:F,COLUMN('Country Summary (€)'!C148)-1,FALSE)</f>
        <v>0</v>
      </c>
      <c r="AZ137" s="1194" t="str">
        <f>IF(AND(AD137=1,D137="Military",H137&lt;&gt;"Not given")=TRUE,IF(SUMIFS(P:P,A:A,A137)&gt;0,ABS((SUMIFS(P:P,A:A,A137)/VLOOKUP("USD",'Exchange Rates'!B:C,2,0)))/S137,"."),".")</f>
        <v>.</v>
      </c>
      <c r="BA137" s="1196" t="str">
        <f>IF(AND(AD137=1,D137="Military",H137&lt;&gt;"Not given")=TRUE,IF(SUMIFS(P:P,A:A,A137)&gt;0,IF((ABS((SUMIFS(P:P,A:A,A137)/VLOOKUP("USD",'Exchange Rates'!B:C,2,0)))/S137)&gt;1,(SUMIFS(P:P,A:A,A137)-S137)/S137,(S137-SUMIFS(P:P,A:A,A137))/SUMIFS(P:P,A:A,A137)),"."),".")</f>
        <v>.</v>
      </c>
    </row>
    <row r="138" spans="1:53" ht="15.95" customHeight="1">
      <c r="A138" s="1180" t="s">
        <v>743</v>
      </c>
      <c r="B138" s="1180" t="s">
        <v>713</v>
      </c>
      <c r="C138" s="1181">
        <v>44862</v>
      </c>
      <c r="D138" s="1182" t="s">
        <v>544</v>
      </c>
      <c r="E138" s="1182" t="s">
        <v>481</v>
      </c>
      <c r="F138" s="1183" t="s">
        <v>744</v>
      </c>
      <c r="G138" s="1184" t="s">
        <v>716</v>
      </c>
      <c r="H138" s="1185">
        <v>500000000</v>
      </c>
      <c r="I138" s="1180" t="s">
        <v>364</v>
      </c>
      <c r="J138" s="1186" t="str">
        <f>VLOOKUP($I138,'Price List, Weapons &amp; Items'!B:C,2,0)</f>
        <v>.</v>
      </c>
      <c r="K138" s="1186" t="str">
        <f>IF(I138=".",I138,VLOOKUP($I138,'Price List, Weapons &amp; Items'!B:D,3,0))</f>
        <v>.</v>
      </c>
      <c r="L138" s="1187">
        <f>VLOOKUP(I138,'Price List, Weapons &amp; Items'!B:E,4,0)</f>
        <v>0</v>
      </c>
      <c r="M138" s="1188" t="s">
        <v>364</v>
      </c>
      <c r="N138" s="1188" t="s">
        <v>364</v>
      </c>
      <c r="O138" s="1188" t="str">
        <f>VLOOKUP($I138,'Price List, Weapons &amp; Items'!B:G,6,0)</f>
        <v>.</v>
      </c>
      <c r="P138" s="1185" t="str">
        <f t="shared" si="39"/>
        <v>.</v>
      </c>
      <c r="Q138" s="1185" t="str">
        <f t="shared" si="40"/>
        <v>.</v>
      </c>
      <c r="R138" s="1185">
        <f t="shared" si="36"/>
        <v>500000000</v>
      </c>
      <c r="S138" s="1185">
        <f>IF(AND(AD138=1,R138&lt;&gt;".")=TRUE,R138/VLOOKUP(G138,'Exchange Rates'!B:C,2,0),IF(R138=".",".",""))</f>
        <v>340437121.26370263</v>
      </c>
      <c r="T138" s="1185" t="str">
        <f>IF(AD138=1,IF(AF138="Value is not given at all",".",IF(AF138="Value is given by the source",S138,IF(AF138="Value is calculated with prices",(IF(SUMIFS(Q:Q,A:A,A138)&gt;0,SUMIFS(Q:Q,A:A,A138),"."))/VLOOKUP("USD",'Exchange Rates'!B:C,2,0),"Error with coding"))),"")</f>
        <v>.</v>
      </c>
      <c r="U138" s="1184" t="s">
        <v>365</v>
      </c>
      <c r="V138" s="971" t="s">
        <v>745</v>
      </c>
      <c r="W138" s="971" t="s">
        <v>746</v>
      </c>
      <c r="X138" s="986" t="s">
        <v>364</v>
      </c>
      <c r="Y138" s="981" t="s">
        <v>364</v>
      </c>
      <c r="Z138" s="1184">
        <v>1</v>
      </c>
      <c r="AA138" s="1194">
        <v>0</v>
      </c>
      <c r="AB138" s="1180" t="s">
        <v>364</v>
      </c>
      <c r="AC138" s="1192" t="str">
        <f>""</f>
        <v/>
      </c>
      <c r="AD138" s="985">
        <v>1</v>
      </c>
      <c r="AE138" s="985" t="s">
        <v>368</v>
      </c>
      <c r="AF138" s="985" t="s">
        <v>369</v>
      </c>
      <c r="AG138" s="985">
        <v>1</v>
      </c>
      <c r="AH138" s="1193">
        <v>10</v>
      </c>
      <c r="AI138" s="1193">
        <v>0</v>
      </c>
      <c r="AJ138" s="1193">
        <f>VLOOKUP($I138,'Price List, Weapons &amp; Items'!B:F,5,0)</f>
        <v>0</v>
      </c>
      <c r="AK138" s="1193">
        <f t="shared" si="41"/>
        <v>0</v>
      </c>
      <c r="AL138" s="1193">
        <f t="shared" si="42"/>
        <v>0</v>
      </c>
      <c r="AM138" s="1193">
        <f t="shared" si="43"/>
        <v>0</v>
      </c>
      <c r="AN138" s="1194" t="str">
        <f>VLOOKUP($I138,'Price List, Weapons &amp; Items'!B:L,COLUMN('Price List, Weapons &amp; Items'!$J$11)-1,0)</f>
        <v>.</v>
      </c>
      <c r="AO138" s="1194" t="str">
        <f>IF(I138=".",".",VLOOKUP($I138,'Price List, Weapons &amp; Items'!B:J,3,0))</f>
        <v>.</v>
      </c>
      <c r="AP138" s="1195" t="str">
        <f t="shared" ca="1" si="37"/>
        <v>.</v>
      </c>
      <c r="AQ138" s="1194">
        <f>VLOOKUP($I138,'Price List, Weapons &amp; Items'!B:L,COLUMN('Price List, Weapons &amp; Items'!$L$11)-1,0)</f>
        <v>0</v>
      </c>
      <c r="AR138" s="1194">
        <f t="shared" si="44"/>
        <v>1</v>
      </c>
      <c r="AS138" s="1194">
        <f t="shared" si="45"/>
        <v>0</v>
      </c>
      <c r="AT138" s="1194">
        <f t="shared" si="46"/>
        <v>1</v>
      </c>
      <c r="AU138" s="1194" t="str">
        <f t="shared" si="47"/>
        <v>.</v>
      </c>
      <c r="AV138" s="1194" t="str">
        <f t="shared" si="38"/>
        <v>.</v>
      </c>
      <c r="AW138" s="1194" t="str">
        <f t="shared" si="48"/>
        <v>.</v>
      </c>
      <c r="AX138" s="1194">
        <f>IFERROR(VLOOKUP(B138,'Share, Heavy Weapons to Ukraine'!B:Z,COLUMN('Share, Heavy Weapons to Ukraine'!C148)-1,0),0)</f>
        <v>1</v>
      </c>
      <c r="AY138" s="1194">
        <f>VLOOKUP('Bilateral Assistance, MAIN DATA'!B138,'Country Summary (€)'!B:F,COLUMN('Country Summary (€)'!C149)-1,FALSE)</f>
        <v>0</v>
      </c>
      <c r="AZ138" s="1194" t="str">
        <f>IF(AND(AD138=1,D138="Military",H138&lt;&gt;"Not given")=TRUE,IF(SUMIFS(P:P,A:A,A138)&gt;0,ABS((SUMIFS(P:P,A:A,A138)/VLOOKUP("USD",'Exchange Rates'!B:C,2,0)))/S138,"."),".")</f>
        <v>.</v>
      </c>
      <c r="BA138" s="1196" t="str">
        <f>IF(AND(AD138=1,D138="Military",H138&lt;&gt;"Not given")=TRUE,IF(SUMIFS(P:P,A:A,A138)&gt;0,IF((ABS((SUMIFS(P:P,A:A,A138)/VLOOKUP("USD",'Exchange Rates'!B:C,2,0)))/S138)&gt;1,(SUMIFS(P:P,A:A,A138)-S138)/S138,(S138-SUMIFS(P:P,A:A,A138))/SUMIFS(P:P,A:A,A138)),"."),".")</f>
        <v>.</v>
      </c>
    </row>
    <row r="139" spans="1:53" ht="15.95" customHeight="1">
      <c r="A139" s="1180" t="s">
        <v>747</v>
      </c>
      <c r="B139" s="1180" t="s">
        <v>713</v>
      </c>
      <c r="C139" s="1181">
        <v>44911</v>
      </c>
      <c r="D139" s="1182" t="s">
        <v>544</v>
      </c>
      <c r="E139" s="1182" t="s">
        <v>481</v>
      </c>
      <c r="F139" s="1183" t="s">
        <v>748</v>
      </c>
      <c r="G139" s="1184" t="s">
        <v>456</v>
      </c>
      <c r="H139" s="1185">
        <v>83500000</v>
      </c>
      <c r="I139" s="1180" t="s">
        <v>364</v>
      </c>
      <c r="J139" s="1186" t="str">
        <f>VLOOKUP($I139,'Price List, Weapons &amp; Items'!B:C,2,0)</f>
        <v>.</v>
      </c>
      <c r="K139" s="1186" t="str">
        <f>IF(I139=".",I139,VLOOKUP($I139,'Price List, Weapons &amp; Items'!B:D,3,0))</f>
        <v>.</v>
      </c>
      <c r="L139" s="1187">
        <f>VLOOKUP(I139,'Price List, Weapons &amp; Items'!B:E,4,0)</f>
        <v>0</v>
      </c>
      <c r="M139" s="1188" t="s">
        <v>364</v>
      </c>
      <c r="N139" s="1188" t="s">
        <v>364</v>
      </c>
      <c r="O139" s="1188" t="str">
        <f>VLOOKUP($I139,'Price List, Weapons &amp; Items'!B:G,6,0)</f>
        <v>.</v>
      </c>
      <c r="P139" s="1185" t="str">
        <f t="shared" si="39"/>
        <v>.</v>
      </c>
      <c r="Q139" s="1185" t="str">
        <f t="shared" si="40"/>
        <v>.</v>
      </c>
      <c r="R139" s="1185">
        <f t="shared" si="36"/>
        <v>83500000</v>
      </c>
      <c r="S139" s="1185">
        <f>IF(AND(AD139=1,R139&lt;&gt;".")=TRUE,R139/VLOOKUP(G139,'Exchange Rates'!B:C,2,0),IF(R139=".",".",""))</f>
        <v>76831063.673168942</v>
      </c>
      <c r="T139" s="1185" t="str">
        <f>IF(AD139=1,IF(AF139="Value is not given at all",".",IF(AF139="Value is given by the source",S139,IF(AF139="Value is calculated with prices",(IF(SUMIFS(Q:Q,A:A,A139)&gt;0,SUMIFS(Q:Q,A:A,A139),"."))/VLOOKUP("USD",'Exchange Rates'!B:C,2,0),"Error with coding"))),"")</f>
        <v>.</v>
      </c>
      <c r="U139" s="1184" t="s">
        <v>365</v>
      </c>
      <c r="V139" s="973" t="s">
        <v>663</v>
      </c>
      <c r="W139" s="973" t="s">
        <v>749</v>
      </c>
      <c r="X139" s="986" t="s">
        <v>364</v>
      </c>
      <c r="Y139" s="981" t="s">
        <v>364</v>
      </c>
      <c r="Z139" s="1184">
        <v>1</v>
      </c>
      <c r="AA139" s="1194">
        <v>0</v>
      </c>
      <c r="AB139" s="1180" t="s">
        <v>364</v>
      </c>
      <c r="AC139" s="1192" t="str">
        <f>""</f>
        <v/>
      </c>
      <c r="AD139" s="985">
        <v>1</v>
      </c>
      <c r="AE139" s="985" t="s">
        <v>368</v>
      </c>
      <c r="AF139" s="985" t="s">
        <v>369</v>
      </c>
      <c r="AG139" s="985">
        <v>1</v>
      </c>
      <c r="AH139" s="1193">
        <v>12</v>
      </c>
      <c r="AI139" s="1193">
        <v>0</v>
      </c>
      <c r="AJ139" s="1193">
        <f>VLOOKUP($I139,'Price List, Weapons &amp; Items'!B:F,5,0)</f>
        <v>0</v>
      </c>
      <c r="AK139" s="1193">
        <f t="shared" si="41"/>
        <v>0</v>
      </c>
      <c r="AL139" s="1193">
        <f t="shared" si="42"/>
        <v>0</v>
      </c>
      <c r="AM139" s="1193">
        <f t="shared" si="43"/>
        <v>0</v>
      </c>
      <c r="AN139" s="1194" t="str">
        <f>VLOOKUP($I139,'Price List, Weapons &amp; Items'!B:L,COLUMN('Price List, Weapons &amp; Items'!$J$11)-1,0)</f>
        <v>.</v>
      </c>
      <c r="AO139" s="1194" t="str">
        <f>IF(I139=".",".",VLOOKUP($I139,'Price List, Weapons &amp; Items'!B:J,3,0))</f>
        <v>.</v>
      </c>
      <c r="AP139" s="1195" t="str">
        <f t="shared" ca="1" si="37"/>
        <v>.</v>
      </c>
      <c r="AQ139" s="1194">
        <f>VLOOKUP($I139,'Price List, Weapons &amp; Items'!B:L,COLUMN('Price List, Weapons &amp; Items'!$L$11)-1,0)</f>
        <v>0</v>
      </c>
      <c r="AR139" s="1194">
        <f t="shared" si="44"/>
        <v>1</v>
      </c>
      <c r="AS139" s="1194">
        <f t="shared" si="45"/>
        <v>0</v>
      </c>
      <c r="AT139" s="1194">
        <f t="shared" si="46"/>
        <v>1</v>
      </c>
      <c r="AU139" s="1194" t="str">
        <f t="shared" si="47"/>
        <v>.</v>
      </c>
      <c r="AV139" s="1194" t="str">
        <f t="shared" si="38"/>
        <v>.</v>
      </c>
      <c r="AW139" s="1194" t="str">
        <f t="shared" si="48"/>
        <v>.</v>
      </c>
      <c r="AX139" s="1194">
        <f>IFERROR(VLOOKUP(B139,'Share, Heavy Weapons to Ukraine'!B:Z,COLUMN('Share, Heavy Weapons to Ukraine'!C149)-1,0),0)</f>
        <v>1</v>
      </c>
      <c r="AY139" s="1194">
        <f>VLOOKUP('Bilateral Assistance, MAIN DATA'!B139,'Country Summary (€)'!B:F,COLUMN('Country Summary (€)'!C150)-1,FALSE)</f>
        <v>0</v>
      </c>
      <c r="AZ139" s="1194" t="str">
        <f>IF(AND(AD139=1,D139="Military",H139&lt;&gt;"Not given")=TRUE,IF(SUMIFS(P:P,A:A,A139)&gt;0,ABS((SUMIFS(P:P,A:A,A139)/VLOOKUP("USD",'Exchange Rates'!B:C,2,0)))/S139,"."),".")</f>
        <v>.</v>
      </c>
      <c r="BA139" s="1196" t="str">
        <f>IF(AND(AD139=1,D139="Military",H139&lt;&gt;"Not given")=TRUE,IF(SUMIFS(P:P,A:A,A139)&gt;0,IF((ABS((SUMIFS(P:P,A:A,A139)/VLOOKUP("USD",'Exchange Rates'!B:C,2,0)))/S139)&gt;1,(SUMIFS(P:P,A:A,A139)-S139)/S139,(S139-SUMIFS(P:P,A:A,A139))/SUMIFS(P:P,A:A,A139)),"."),".")</f>
        <v>.</v>
      </c>
    </row>
    <row r="140" spans="1:53" ht="15.95" customHeight="1">
      <c r="A140" s="1180" t="s">
        <v>750</v>
      </c>
      <c r="B140" s="1180" t="s">
        <v>713</v>
      </c>
      <c r="C140" s="1181">
        <v>45027</v>
      </c>
      <c r="D140" s="1182" t="s">
        <v>544</v>
      </c>
      <c r="E140" s="1182" t="s">
        <v>714</v>
      </c>
      <c r="F140" s="1183" t="s">
        <v>751</v>
      </c>
      <c r="G140" s="1184" t="s">
        <v>716</v>
      </c>
      <c r="H140" s="1185">
        <v>2400000000</v>
      </c>
      <c r="I140" s="1180" t="s">
        <v>364</v>
      </c>
      <c r="J140" s="1186" t="str">
        <f>VLOOKUP($I140,'Price List, Weapons &amp; Items'!B:C,2,0)</f>
        <v>.</v>
      </c>
      <c r="K140" s="1186" t="str">
        <f>IF(I140=".",I140,VLOOKUP($I140,'Price List, Weapons &amp; Items'!B:D,3,0))</f>
        <v>.</v>
      </c>
      <c r="L140" s="1187">
        <f>VLOOKUP(I140,'Price List, Weapons &amp; Items'!B:E,4,0)</f>
        <v>0</v>
      </c>
      <c r="M140" s="1188" t="s">
        <v>364</v>
      </c>
      <c r="N140" s="1188" t="s">
        <v>364</v>
      </c>
      <c r="O140" s="1188" t="str">
        <f>VLOOKUP($I140,'Price List, Weapons &amp; Items'!B:G,6,0)</f>
        <v>.</v>
      </c>
      <c r="P140" s="1185" t="str">
        <f t="shared" si="39"/>
        <v>.</v>
      </c>
      <c r="Q140" s="1185" t="str">
        <f t="shared" si="40"/>
        <v>.</v>
      </c>
      <c r="R140" s="1185">
        <f t="shared" si="36"/>
        <v>2400000000</v>
      </c>
      <c r="S140" s="1185">
        <f>IF(AND(AD140=1,R140&lt;&gt;".")=TRUE,R140/VLOOKUP(G140,'Exchange Rates'!B:C,2,0),IF(R140=".",".",""))</f>
        <v>1634098182.0657725</v>
      </c>
      <c r="T140" s="1185" t="str">
        <f>IF(AD140=1,IF(AF140="Value is not given at all",".",IF(AF140="Value is given by the source",S140,IF(AF140="Value is calculated with prices",(IF(SUMIFS(Q:Q,A:A,A140)&gt;0,SUMIFS(Q:Q,A:A,A140),"."))/VLOOKUP("USD",'Exchange Rates'!B:C,2,0),"Error with coding"))),"")</f>
        <v>.</v>
      </c>
      <c r="U140" s="1184" t="s">
        <v>365</v>
      </c>
      <c r="V140" s="973" t="s">
        <v>752</v>
      </c>
      <c r="W140" s="973" t="s">
        <v>753</v>
      </c>
      <c r="X140" s="986" t="s">
        <v>364</v>
      </c>
      <c r="Y140" s="981" t="s">
        <v>364</v>
      </c>
      <c r="Z140" s="1184">
        <v>1</v>
      </c>
      <c r="AA140" s="1191">
        <v>1</v>
      </c>
      <c r="AB140" s="1180" t="s">
        <v>364</v>
      </c>
      <c r="AC140" s="1192" t="str">
        <f>""</f>
        <v/>
      </c>
      <c r="AD140" s="985">
        <v>1</v>
      </c>
      <c r="AE140" s="985" t="s">
        <v>368</v>
      </c>
      <c r="AF140" s="985" t="s">
        <v>369</v>
      </c>
      <c r="AG140" s="985">
        <v>1</v>
      </c>
      <c r="AH140" s="1193">
        <v>16</v>
      </c>
      <c r="AI140" s="1193">
        <v>0</v>
      </c>
      <c r="AJ140" s="1193">
        <f>VLOOKUP($I140,'Price List, Weapons &amp; Items'!B:F,5,0)</f>
        <v>0</v>
      </c>
      <c r="AK140" s="1193">
        <f t="shared" si="41"/>
        <v>0</v>
      </c>
      <c r="AL140" s="1193">
        <f t="shared" si="42"/>
        <v>0</v>
      </c>
      <c r="AM140" s="1193">
        <f t="shared" si="43"/>
        <v>0</v>
      </c>
      <c r="AN140" s="1194" t="str">
        <f>VLOOKUP($I140,'Price List, Weapons &amp; Items'!B:L,COLUMN('Price List, Weapons &amp; Items'!$J$11)-1,0)</f>
        <v>.</v>
      </c>
      <c r="AO140" s="1194" t="str">
        <f>IF(I140=".",".",VLOOKUP($I140,'Price List, Weapons &amp; Items'!B:J,3,0))</f>
        <v>.</v>
      </c>
      <c r="AP140" s="1195" t="str">
        <f t="shared" ca="1" si="37"/>
        <v>.</v>
      </c>
      <c r="AQ140" s="1194">
        <f>VLOOKUP($I140,'Price List, Weapons &amp; Items'!B:L,COLUMN('Price List, Weapons &amp; Items'!$L$11)-1,0)</f>
        <v>0</v>
      </c>
      <c r="AR140" s="1194">
        <f t="shared" si="44"/>
        <v>1</v>
      </c>
      <c r="AS140" s="1194">
        <f t="shared" si="45"/>
        <v>0</v>
      </c>
      <c r="AT140" s="1194">
        <f t="shared" si="46"/>
        <v>1</v>
      </c>
      <c r="AU140" s="1194" t="str">
        <f t="shared" si="47"/>
        <v>.</v>
      </c>
      <c r="AV140" s="1194" t="str">
        <f t="shared" si="38"/>
        <v>.</v>
      </c>
      <c r="AW140" s="1194" t="str">
        <f t="shared" si="48"/>
        <v>.</v>
      </c>
      <c r="AX140" s="1194">
        <f>IFERROR(VLOOKUP(B140,'Share, Heavy Weapons to Ukraine'!B:Z,COLUMN('Share, Heavy Weapons to Ukraine'!C150)-1,0),0)</f>
        <v>1</v>
      </c>
      <c r="AY140" s="1194">
        <f>VLOOKUP('Bilateral Assistance, MAIN DATA'!B140,'Country Summary (€)'!B:F,COLUMN('Country Summary (€)'!C151)-1,FALSE)</f>
        <v>0</v>
      </c>
      <c r="AZ140" s="1194" t="str">
        <f>IF(AND(AD140=1,D140="Military",H140&lt;&gt;"Not given")=TRUE,IF(SUMIFS(P:P,A:A,A140)&gt;0,ABS((SUMIFS(P:P,A:A,A140)/VLOOKUP("USD",'Exchange Rates'!B:C,2,0)))/S140,"."),".")</f>
        <v>.</v>
      </c>
      <c r="BA140" s="1196" t="str">
        <f>IF(AND(AD140=1,D140="Military",H140&lt;&gt;"Not given")=TRUE,IF(SUMIFS(P:P,A:A,A140)&gt;0,IF((ABS((SUMIFS(P:P,A:A,A140)/VLOOKUP("USD",'Exchange Rates'!B:C,2,0)))/S140)&gt;1,(SUMIFS(P:P,A:A,A140)-S140)/S140,(S140-SUMIFS(P:P,A:A,A140))/SUMIFS(P:P,A:A,A140)),"."),".")</f>
        <v>.</v>
      </c>
    </row>
    <row r="141" spans="1:53" ht="15.95" customHeight="1">
      <c r="A141" s="1180" t="s">
        <v>754</v>
      </c>
      <c r="B141" s="1180" t="s">
        <v>713</v>
      </c>
      <c r="C141" s="1181">
        <v>44587</v>
      </c>
      <c r="D141" s="1182" t="s">
        <v>360</v>
      </c>
      <c r="E141" s="1182" t="s">
        <v>361</v>
      </c>
      <c r="F141" s="1183" t="s">
        <v>755</v>
      </c>
      <c r="G141" s="1184" t="s">
        <v>716</v>
      </c>
      <c r="H141" s="1185">
        <v>50000000</v>
      </c>
      <c r="I141" s="1180" t="s">
        <v>364</v>
      </c>
      <c r="J141" s="1186" t="str">
        <f>VLOOKUP($I141,'Price List, Weapons &amp; Items'!B:C,2,0)</f>
        <v>.</v>
      </c>
      <c r="K141" s="1186" t="str">
        <f>IF(I141=".",I141,VLOOKUP($I141,'Price List, Weapons &amp; Items'!B:D,3,0))</f>
        <v>.</v>
      </c>
      <c r="L141" s="1187">
        <f>VLOOKUP(I141,'Price List, Weapons &amp; Items'!B:E,4,0)</f>
        <v>0</v>
      </c>
      <c r="M141" s="1188" t="s">
        <v>364</v>
      </c>
      <c r="N141" s="1188" t="s">
        <v>364</v>
      </c>
      <c r="O141" s="1188" t="str">
        <f>VLOOKUP($I141,'Price List, Weapons &amp; Items'!B:G,6,0)</f>
        <v>.</v>
      </c>
      <c r="P141" s="1185" t="str">
        <f t="shared" si="39"/>
        <v>.</v>
      </c>
      <c r="Q141" s="1185" t="str">
        <f t="shared" si="40"/>
        <v>.</v>
      </c>
      <c r="R141" s="1185">
        <f t="shared" si="36"/>
        <v>50000000</v>
      </c>
      <c r="S141" s="1185">
        <f>IF(AND(AD141=1,R141&lt;&gt;".")=TRUE,R141/VLOOKUP(G141,'Exchange Rates'!B:C,2,0),IF(R141=".",".",""))</f>
        <v>34043712.126370259</v>
      </c>
      <c r="T141" s="1185" t="str">
        <f>IF(AD141=1,IF(AF141="Value is not given at all",".",IF(AF141="Value is given by the source",S141,IF(AF141="Value is calculated with prices",(IF(SUMIFS(Q:Q,A:A,A141)&gt;0,SUMIFS(Q:Q,A:A,A141),"."))/VLOOKUP("USD",'Exchange Rates'!B:C,2,0),"Error with coding"))),"")</f>
        <v>.</v>
      </c>
      <c r="U141" s="1184" t="s">
        <v>365</v>
      </c>
      <c r="V141" s="971" t="s">
        <v>756</v>
      </c>
      <c r="W141" s="980" t="s">
        <v>757</v>
      </c>
      <c r="X141" s="1190" t="s">
        <v>364</v>
      </c>
      <c r="Y141" s="1190" t="s">
        <v>364</v>
      </c>
      <c r="Z141" s="1184">
        <v>0</v>
      </c>
      <c r="AA141" s="1194">
        <v>0</v>
      </c>
      <c r="AB141" s="1201" t="s">
        <v>364</v>
      </c>
      <c r="AC141" s="1192" t="str">
        <f>""</f>
        <v/>
      </c>
      <c r="AD141" s="1193">
        <v>1</v>
      </c>
      <c r="AE141" s="1193" t="s">
        <v>368</v>
      </c>
      <c r="AF141" s="1193" t="s">
        <v>369</v>
      </c>
      <c r="AG141" s="1193">
        <v>1</v>
      </c>
      <c r="AH141" s="1193">
        <v>1</v>
      </c>
      <c r="AI141" s="1193">
        <v>1</v>
      </c>
      <c r="AJ141" s="1193">
        <f>VLOOKUP($I141,'Price List, Weapons &amp; Items'!B:F,5,0)</f>
        <v>0</v>
      </c>
      <c r="AK141" s="1193">
        <f t="shared" si="41"/>
        <v>0</v>
      </c>
      <c r="AL141" s="1193">
        <f t="shared" si="42"/>
        <v>0</v>
      </c>
      <c r="AM141" s="1193">
        <f t="shared" si="43"/>
        <v>0</v>
      </c>
      <c r="AN141" s="1194" t="str">
        <f>VLOOKUP($I141,'Price List, Weapons &amp; Items'!B:L,COLUMN('Price List, Weapons &amp; Items'!$J$11)-1,0)</f>
        <v>.</v>
      </c>
      <c r="AO141" s="1194" t="str">
        <f>IF(I141=".",".",VLOOKUP($I141,'Price List, Weapons &amp; Items'!B:J,3,0))</f>
        <v>.</v>
      </c>
      <c r="AP141" s="1195" t="str">
        <f t="shared" ca="1" si="37"/>
        <v>.</v>
      </c>
      <c r="AQ141" s="1194">
        <f>VLOOKUP($I141,'Price List, Weapons &amp; Items'!B:L,COLUMN('Price List, Weapons &amp; Items'!$L$11)-1,0)</f>
        <v>0</v>
      </c>
      <c r="AR141" s="1194">
        <f t="shared" si="44"/>
        <v>1</v>
      </c>
      <c r="AS141" s="1194">
        <f t="shared" si="45"/>
        <v>0</v>
      </c>
      <c r="AT141" s="1194">
        <f t="shared" si="46"/>
        <v>1</v>
      </c>
      <c r="AU141" s="1194" t="str">
        <f t="shared" si="47"/>
        <v>.</v>
      </c>
      <c r="AV141" s="1194" t="str">
        <f t="shared" si="38"/>
        <v>.</v>
      </c>
      <c r="AW141" s="1194" t="str">
        <f t="shared" si="48"/>
        <v>.</v>
      </c>
      <c r="AX141" s="1194">
        <f>IFERROR(VLOOKUP(B141,'Share, Heavy Weapons to Ukraine'!B:Z,COLUMN('Share, Heavy Weapons to Ukraine'!C151)-1,0),0)</f>
        <v>1</v>
      </c>
      <c r="AY141" s="1194">
        <f>VLOOKUP('Bilateral Assistance, MAIN DATA'!B141,'Country Summary (€)'!B:F,COLUMN('Country Summary (€)'!C152)-1,FALSE)</f>
        <v>0</v>
      </c>
      <c r="AZ141" s="1194" t="str">
        <f>IF(AND(AD141=1,D141="Military",H141&lt;&gt;"Not given")=TRUE,IF(SUMIFS(P:P,A:A,A141)&gt;0,ABS((SUMIFS(P:P,A:A,A141)/VLOOKUP("USD",'Exchange Rates'!B:C,2,0)))/S141,"."),".")</f>
        <v>.</v>
      </c>
      <c r="BA141" s="1196" t="str">
        <f>IF(AND(AD141=1,D141="Military",H141&lt;&gt;"Not given")=TRUE,IF(SUMIFS(P:P,A:A,A141)&gt;0,IF((ABS((SUMIFS(P:P,A:A,A141)/VLOOKUP("USD",'Exchange Rates'!B:C,2,0)))/S141)&gt;1,(SUMIFS(P:P,A:A,A141)-S141)/S141,(S141-SUMIFS(P:P,A:A,A141))/SUMIFS(P:P,A:A,A141)),"."),".")</f>
        <v>.</v>
      </c>
    </row>
    <row r="142" spans="1:53" ht="15.95" customHeight="1">
      <c r="A142" s="1180" t="s">
        <v>758</v>
      </c>
      <c r="B142" s="1180" t="s">
        <v>713</v>
      </c>
      <c r="C142" s="1181">
        <v>44621</v>
      </c>
      <c r="D142" s="1182" t="s">
        <v>360</v>
      </c>
      <c r="E142" s="1182" t="s">
        <v>759</v>
      </c>
      <c r="F142" s="1183" t="s">
        <v>760</v>
      </c>
      <c r="G142" s="1184" t="s">
        <v>716</v>
      </c>
      <c r="H142" s="1185">
        <v>50000000</v>
      </c>
      <c r="I142" s="1180" t="s">
        <v>364</v>
      </c>
      <c r="J142" s="1186" t="str">
        <f>VLOOKUP($I142,'Price List, Weapons &amp; Items'!B:C,2,0)</f>
        <v>.</v>
      </c>
      <c r="K142" s="1186" t="str">
        <f>IF(I142=".",I142,VLOOKUP($I142,'Price List, Weapons &amp; Items'!B:D,3,0))</f>
        <v>.</v>
      </c>
      <c r="L142" s="1187">
        <f>VLOOKUP(I142,'Price List, Weapons &amp; Items'!B:E,4,0)</f>
        <v>0</v>
      </c>
      <c r="M142" s="1188" t="s">
        <v>364</v>
      </c>
      <c r="N142" s="1188" t="s">
        <v>364</v>
      </c>
      <c r="O142" s="1188" t="str">
        <f>VLOOKUP($I142,'Price List, Weapons &amp; Items'!B:G,6,0)</f>
        <v>.</v>
      </c>
      <c r="P142" s="1185" t="str">
        <f t="shared" si="39"/>
        <v>.</v>
      </c>
      <c r="Q142" s="1185" t="str">
        <f t="shared" si="40"/>
        <v>.</v>
      </c>
      <c r="R142" s="1185">
        <f t="shared" si="36"/>
        <v>50000000</v>
      </c>
      <c r="S142" s="1185">
        <f>IF(AND(AD142=1,R142&lt;&gt;".")=TRUE,R142/VLOOKUP(G142,'Exchange Rates'!B:C,2,0),IF(R142=".",".",""))</f>
        <v>34043712.126370259</v>
      </c>
      <c r="T142" s="1185" t="str">
        <f>IF(AD142=1,IF(AF142="Value is not given at all",".",IF(AF142="Value is given by the source",S142,IF(AF142="Value is calculated with prices",(IF(SUMIFS(Q:Q,A:A,A142)&gt;0,SUMIFS(Q:Q,A:A,A142),"."))/VLOOKUP("USD",'Exchange Rates'!B:C,2,0),"Error with coding"))),"")</f>
        <v>.</v>
      </c>
      <c r="U142" s="1184" t="s">
        <v>365</v>
      </c>
      <c r="V142" s="971" t="s">
        <v>761</v>
      </c>
      <c r="W142" s="971" t="s">
        <v>762</v>
      </c>
      <c r="X142" s="1190" t="s">
        <v>364</v>
      </c>
      <c r="Y142" s="1190" t="s">
        <v>364</v>
      </c>
      <c r="Z142" s="1184">
        <v>0</v>
      </c>
      <c r="AA142" s="1194">
        <v>0</v>
      </c>
      <c r="AB142" s="1201" t="s">
        <v>364</v>
      </c>
      <c r="AC142" s="1192" t="str">
        <f>""</f>
        <v/>
      </c>
      <c r="AD142" s="1193">
        <v>1</v>
      </c>
      <c r="AE142" s="1193" t="s">
        <v>368</v>
      </c>
      <c r="AF142" s="1193" t="s">
        <v>369</v>
      </c>
      <c r="AG142" s="1193">
        <v>1</v>
      </c>
      <c r="AH142" s="1193">
        <v>3</v>
      </c>
      <c r="AI142" s="1193">
        <v>0</v>
      </c>
      <c r="AJ142" s="1193">
        <f>VLOOKUP($I142,'Price List, Weapons &amp; Items'!B:F,5,0)</f>
        <v>0</v>
      </c>
      <c r="AK142" s="1193">
        <f t="shared" si="41"/>
        <v>0</v>
      </c>
      <c r="AL142" s="1193">
        <f t="shared" si="42"/>
        <v>0</v>
      </c>
      <c r="AM142" s="1193">
        <f t="shared" si="43"/>
        <v>0</v>
      </c>
      <c r="AN142" s="1194" t="str">
        <f>VLOOKUP($I142,'Price List, Weapons &amp; Items'!B:L,COLUMN('Price List, Weapons &amp; Items'!$J$11)-1,0)</f>
        <v>.</v>
      </c>
      <c r="AO142" s="1194" t="str">
        <f>IF(I142=".",".",VLOOKUP($I142,'Price List, Weapons &amp; Items'!B:J,3,0))</f>
        <v>.</v>
      </c>
      <c r="AP142" s="1195" t="str">
        <f t="shared" ca="1" si="37"/>
        <v>.</v>
      </c>
      <c r="AQ142" s="1194">
        <f>VLOOKUP($I142,'Price List, Weapons &amp; Items'!B:L,COLUMN('Price List, Weapons &amp; Items'!$L$11)-1,0)</f>
        <v>0</v>
      </c>
      <c r="AR142" s="1194">
        <f t="shared" si="44"/>
        <v>1</v>
      </c>
      <c r="AS142" s="1194">
        <f t="shared" si="45"/>
        <v>0</v>
      </c>
      <c r="AT142" s="1194">
        <f t="shared" si="46"/>
        <v>1</v>
      </c>
      <c r="AU142" s="1194" t="str">
        <f t="shared" si="47"/>
        <v>.</v>
      </c>
      <c r="AV142" s="1194" t="str">
        <f t="shared" si="38"/>
        <v>.</v>
      </c>
      <c r="AW142" s="1194" t="str">
        <f t="shared" si="48"/>
        <v>.</v>
      </c>
      <c r="AX142" s="1194">
        <f>IFERROR(VLOOKUP(B142,'Share, Heavy Weapons to Ukraine'!B:Z,COLUMN('Share, Heavy Weapons to Ukraine'!C152)-1,0),0)</f>
        <v>1</v>
      </c>
      <c r="AY142" s="1194">
        <f>VLOOKUP('Bilateral Assistance, MAIN DATA'!B142,'Country Summary (€)'!B:F,COLUMN('Country Summary (€)'!C153)-1,FALSE)</f>
        <v>0</v>
      </c>
      <c r="AZ142" s="1194" t="str">
        <f>IF(AND(AD142=1,D142="Military",H142&lt;&gt;"Not given")=TRUE,IF(SUMIFS(P:P,A:A,A142)&gt;0,ABS((SUMIFS(P:P,A:A,A142)/VLOOKUP("USD",'Exchange Rates'!B:C,2,0)))/S142,"."),".")</f>
        <v>.</v>
      </c>
      <c r="BA142" s="1196" t="str">
        <f>IF(AND(AD142=1,D142="Military",H142&lt;&gt;"Not given")=TRUE,IF(SUMIFS(P:P,A:A,A142)&gt;0,IF((ABS((SUMIFS(P:P,A:A,A142)/VLOOKUP("USD",'Exchange Rates'!B:C,2,0)))/S142)&gt;1,(SUMIFS(P:P,A:A,A142)-S142)/S142,(S142-SUMIFS(P:P,A:A,A142))/SUMIFS(P:P,A:A,A142)),"."),".")</f>
        <v>.</v>
      </c>
    </row>
    <row r="143" spans="1:53" ht="15.95" customHeight="1">
      <c r="A143" s="1180" t="s">
        <v>763</v>
      </c>
      <c r="B143" s="1180" t="s">
        <v>713</v>
      </c>
      <c r="C143" s="1181">
        <v>44660</v>
      </c>
      <c r="D143" s="1182" t="s">
        <v>360</v>
      </c>
      <c r="E143" s="1182" t="s">
        <v>361</v>
      </c>
      <c r="F143" s="1183" t="s">
        <v>764</v>
      </c>
      <c r="G143" s="1184" t="s">
        <v>716</v>
      </c>
      <c r="H143" s="1185">
        <v>100000000</v>
      </c>
      <c r="I143" s="1180" t="s">
        <v>364</v>
      </c>
      <c r="J143" s="1186" t="str">
        <f>VLOOKUP($I143,'Price List, Weapons &amp; Items'!B:C,2,0)</f>
        <v>.</v>
      </c>
      <c r="K143" s="1186" t="str">
        <f>IF(I143=".",I143,VLOOKUP($I143,'Price List, Weapons &amp; Items'!B:D,3,0))</f>
        <v>.</v>
      </c>
      <c r="L143" s="1187">
        <f>VLOOKUP(I143,'Price List, Weapons &amp; Items'!B:E,4,0)</f>
        <v>0</v>
      </c>
      <c r="M143" s="1188" t="s">
        <v>364</v>
      </c>
      <c r="N143" s="1188" t="s">
        <v>364</v>
      </c>
      <c r="O143" s="1188" t="str">
        <f>VLOOKUP($I143,'Price List, Weapons &amp; Items'!B:G,6,0)</f>
        <v>.</v>
      </c>
      <c r="P143" s="1185" t="str">
        <f t="shared" si="39"/>
        <v>.</v>
      </c>
      <c r="Q143" s="1185" t="str">
        <f t="shared" si="40"/>
        <v>.</v>
      </c>
      <c r="R143" s="1185">
        <f t="shared" si="36"/>
        <v>100000000</v>
      </c>
      <c r="S143" s="1185">
        <f>IF(AND(AD143=1,R143&lt;&gt;".")=TRUE,R143/VLOOKUP(G143,'Exchange Rates'!B:C,2,0),IF(R143=".",".",""))</f>
        <v>68087424.252740517</v>
      </c>
      <c r="T143" s="1185" t="str">
        <f>IF(AD143=1,IF(AF143="Value is not given at all",".",IF(AF143="Value is given by the source",S143,IF(AF143="Value is calculated with prices",(IF(SUMIFS(Q:Q,A:A,A143)&gt;0,SUMIFS(Q:Q,A:A,A143),"."))/VLOOKUP("USD",'Exchange Rates'!B:C,2,0),"Error with coding"))),"")</f>
        <v>.</v>
      </c>
      <c r="U143" s="1184" t="s">
        <v>365</v>
      </c>
      <c r="V143" s="980" t="s">
        <v>765</v>
      </c>
      <c r="W143" s="971" t="s">
        <v>573</v>
      </c>
      <c r="X143" s="1219" t="s">
        <v>364</v>
      </c>
      <c r="Y143" s="1190" t="s">
        <v>364</v>
      </c>
      <c r="Z143" s="1184">
        <v>0</v>
      </c>
      <c r="AA143" s="1194">
        <v>0</v>
      </c>
      <c r="AB143" s="1201" t="s">
        <v>364</v>
      </c>
      <c r="AC143" s="1192" t="str">
        <f>""</f>
        <v/>
      </c>
      <c r="AD143" s="1193">
        <v>1</v>
      </c>
      <c r="AE143" s="1193" t="s">
        <v>368</v>
      </c>
      <c r="AF143" s="1193" t="s">
        <v>369</v>
      </c>
      <c r="AG143" s="1193">
        <v>1</v>
      </c>
      <c r="AH143" s="1193">
        <v>4</v>
      </c>
      <c r="AI143" s="1193">
        <v>0</v>
      </c>
      <c r="AJ143" s="1193">
        <f>VLOOKUP($I143,'Price List, Weapons &amp; Items'!B:F,5,0)</f>
        <v>0</v>
      </c>
      <c r="AK143" s="1193">
        <f t="shared" si="41"/>
        <v>0</v>
      </c>
      <c r="AL143" s="1193">
        <f t="shared" si="42"/>
        <v>0</v>
      </c>
      <c r="AM143" s="1193">
        <f t="shared" si="43"/>
        <v>0</v>
      </c>
      <c r="AN143" s="1194" t="str">
        <f>VLOOKUP($I143,'Price List, Weapons &amp; Items'!B:L,COLUMN('Price List, Weapons &amp; Items'!$J$11)-1,0)</f>
        <v>.</v>
      </c>
      <c r="AO143" s="1194" t="str">
        <f>IF(I143=".",".",VLOOKUP($I143,'Price List, Weapons &amp; Items'!B:J,3,0))</f>
        <v>.</v>
      </c>
      <c r="AP143" s="1195" t="str">
        <f t="shared" ca="1" si="37"/>
        <v>.</v>
      </c>
      <c r="AQ143" s="1194">
        <f>VLOOKUP($I143,'Price List, Weapons &amp; Items'!B:L,COLUMN('Price List, Weapons &amp; Items'!$L$11)-1,0)</f>
        <v>0</v>
      </c>
      <c r="AR143" s="1194">
        <f t="shared" si="44"/>
        <v>1</v>
      </c>
      <c r="AS143" s="1194">
        <f t="shared" si="45"/>
        <v>0</v>
      </c>
      <c r="AT143" s="1194">
        <f t="shared" si="46"/>
        <v>1</v>
      </c>
      <c r="AU143" s="1194" t="str">
        <f t="shared" si="47"/>
        <v>.</v>
      </c>
      <c r="AV143" s="1194" t="str">
        <f t="shared" si="38"/>
        <v>.</v>
      </c>
      <c r="AW143" s="1194" t="str">
        <f t="shared" si="48"/>
        <v>.</v>
      </c>
      <c r="AX143" s="1194">
        <f>IFERROR(VLOOKUP(B143,'Share, Heavy Weapons to Ukraine'!B:Z,COLUMN('Share, Heavy Weapons to Ukraine'!C153)-1,0),0)</f>
        <v>1</v>
      </c>
      <c r="AY143" s="1194">
        <f>VLOOKUP('Bilateral Assistance, MAIN DATA'!B143,'Country Summary (€)'!B:F,COLUMN('Country Summary (€)'!C154)-1,FALSE)</f>
        <v>0</v>
      </c>
      <c r="AZ143" s="1194" t="str">
        <f>IF(AND(AD143=1,D143="Military",H143&lt;&gt;"Not given")=TRUE,IF(SUMIFS(P:P,A:A,A143)&gt;0,ABS((SUMIFS(P:P,A:A,A143)/VLOOKUP("USD",'Exchange Rates'!B:C,2,0)))/S143,"."),".")</f>
        <v>.</v>
      </c>
      <c r="BA143" s="1196" t="str">
        <f>IF(AND(AD143=1,D143="Military",H143&lt;&gt;"Not given")=TRUE,IF(SUMIFS(P:P,A:A,A143)&gt;0,IF((ABS((SUMIFS(P:P,A:A,A143)/VLOOKUP("USD",'Exchange Rates'!B:C,2,0)))/S143)&gt;1,(SUMIFS(P:P,A:A,A143)-S143)/S143,(S143-SUMIFS(P:P,A:A,A143))/SUMIFS(P:P,A:A,A143)),"."),".")</f>
        <v>.</v>
      </c>
    </row>
    <row r="144" spans="1:53" s="1180" customFormat="1" ht="15.95" customHeight="1">
      <c r="A144" s="1180" t="s">
        <v>766</v>
      </c>
      <c r="B144" s="1180" t="s">
        <v>713</v>
      </c>
      <c r="C144" s="1181">
        <v>44700</v>
      </c>
      <c r="D144" s="1182" t="s">
        <v>360</v>
      </c>
      <c r="E144" s="1182" t="s">
        <v>361</v>
      </c>
      <c r="F144" s="1183" t="s">
        <v>767</v>
      </c>
      <c r="G144" s="1184" t="s">
        <v>716</v>
      </c>
      <c r="H144" s="1185">
        <v>2000000</v>
      </c>
      <c r="I144" s="1180" t="s">
        <v>364</v>
      </c>
      <c r="J144" s="1186" t="str">
        <f>VLOOKUP($I144,'Price List, Weapons &amp; Items'!B:C,2,0)</f>
        <v>.</v>
      </c>
      <c r="K144" s="1186" t="str">
        <f>IF(I144=".",I144,VLOOKUP($I144,'Price List, Weapons &amp; Items'!B:D,3,0))</f>
        <v>.</v>
      </c>
      <c r="L144" s="1187">
        <f>VLOOKUP(I144,'Price List, Weapons &amp; Items'!B:E,4,0)</f>
        <v>0</v>
      </c>
      <c r="M144" s="1188" t="s">
        <v>364</v>
      </c>
      <c r="N144" s="1188" t="s">
        <v>364</v>
      </c>
      <c r="O144" s="1188" t="str">
        <f>VLOOKUP($I144,'Price List, Weapons &amp; Items'!B:G,6,0)</f>
        <v>.</v>
      </c>
      <c r="P144" s="1185" t="str">
        <f t="shared" si="39"/>
        <v>.</v>
      </c>
      <c r="Q144" s="1185" t="str">
        <f t="shared" si="40"/>
        <v>.</v>
      </c>
      <c r="R144" s="1185">
        <f t="shared" si="36"/>
        <v>2000000</v>
      </c>
      <c r="S144" s="1185">
        <f>IF(AND(AD144=1,R144&lt;&gt;".")=TRUE,R144/VLOOKUP(G144,'Exchange Rates'!B:C,2,0),IF(R144=".",".",""))</f>
        <v>1361748.4850548105</v>
      </c>
      <c r="T144" s="1185" t="str">
        <f>IF(AD144=1,IF(AF144="Value is not given at all",".",IF(AF144="Value is given by the source",S144,IF(AF144="Value is calculated with prices",(IF(SUMIFS(Q:Q,A:A,A144)&gt;0,SUMIFS(Q:Q,A:A,A144),"."))/VLOOKUP("USD",'Exchange Rates'!B:C,2,0),"Error with coding"))),"")</f>
        <v>.</v>
      </c>
      <c r="U144" s="1184" t="s">
        <v>365</v>
      </c>
      <c r="V144" s="971" t="s">
        <v>768</v>
      </c>
      <c r="W144" s="971" t="s">
        <v>769</v>
      </c>
      <c r="X144" s="1190" t="s">
        <v>364</v>
      </c>
      <c r="Y144" s="1190" t="s">
        <v>364</v>
      </c>
      <c r="Z144" s="1184">
        <v>0</v>
      </c>
      <c r="AA144" s="1194">
        <v>0</v>
      </c>
      <c r="AB144" s="1180" t="s">
        <v>364</v>
      </c>
      <c r="AC144" s="1192" t="str">
        <f>""</f>
        <v/>
      </c>
      <c r="AD144" s="985">
        <v>1</v>
      </c>
      <c r="AE144" s="985" t="s">
        <v>368</v>
      </c>
      <c r="AF144" s="985" t="s">
        <v>369</v>
      </c>
      <c r="AG144" s="985">
        <v>1</v>
      </c>
      <c r="AH144" s="1193">
        <v>5</v>
      </c>
      <c r="AI144" s="1193">
        <v>0</v>
      </c>
      <c r="AJ144" s="1193">
        <f>VLOOKUP($I144,'Price List, Weapons &amp; Items'!B:F,5,0)</f>
        <v>0</v>
      </c>
      <c r="AK144" s="1193">
        <f t="shared" si="41"/>
        <v>0</v>
      </c>
      <c r="AL144" s="1193">
        <f t="shared" si="42"/>
        <v>0</v>
      </c>
      <c r="AM144" s="1193">
        <f t="shared" si="43"/>
        <v>0</v>
      </c>
      <c r="AN144" s="1194" t="str">
        <f>VLOOKUP($I144,'Price List, Weapons &amp; Items'!B:L,COLUMN('Price List, Weapons &amp; Items'!$J$11)-1,0)</f>
        <v>.</v>
      </c>
      <c r="AO144" s="1194" t="str">
        <f>IF(I144=".",".",VLOOKUP($I144,'Price List, Weapons &amp; Items'!B:J,3,0))</f>
        <v>.</v>
      </c>
      <c r="AP144" s="1195" t="str">
        <f t="shared" ca="1" si="37"/>
        <v>.</v>
      </c>
      <c r="AQ144" s="1194">
        <f>VLOOKUP($I144,'Price List, Weapons &amp; Items'!B:L,COLUMN('Price List, Weapons &amp; Items'!$L$11)-1,0)</f>
        <v>0</v>
      </c>
      <c r="AR144" s="1194">
        <f t="shared" si="44"/>
        <v>1</v>
      </c>
      <c r="AS144" s="1194">
        <f t="shared" si="45"/>
        <v>0</v>
      </c>
      <c r="AT144" s="1194">
        <f t="shared" si="46"/>
        <v>1</v>
      </c>
      <c r="AU144" s="1194" t="str">
        <f t="shared" si="47"/>
        <v>.</v>
      </c>
      <c r="AV144" s="1194" t="str">
        <f t="shared" si="38"/>
        <v>.</v>
      </c>
      <c r="AW144" s="1194" t="str">
        <f t="shared" si="48"/>
        <v>.</v>
      </c>
      <c r="AX144" s="1194">
        <f>IFERROR(VLOOKUP(B144,'Share, Heavy Weapons to Ukraine'!B:Z,COLUMN('Share, Heavy Weapons to Ukraine'!C154)-1,0),0)</f>
        <v>1</v>
      </c>
      <c r="AY144" s="1194">
        <f>VLOOKUP('Bilateral Assistance, MAIN DATA'!B144,'Country Summary (€)'!B:F,COLUMN('Country Summary (€)'!C155)-1,FALSE)</f>
        <v>0</v>
      </c>
      <c r="AZ144" s="1194" t="str">
        <f>IF(AND(AD144=1,D144="Military",H144&lt;&gt;"Not given")=TRUE,IF(SUMIFS(P:P,A:A,A144)&gt;0,ABS((SUMIFS(P:P,A:A,A144)/VLOOKUP("USD",'Exchange Rates'!B:C,2,0)))/S144,"."),".")</f>
        <v>.</v>
      </c>
      <c r="BA144" s="1196" t="str">
        <f>IF(AND(AD144=1,D144="Military",H144&lt;&gt;"Not given")=TRUE,IF(SUMIFS(P:P,A:A,A144)&gt;0,IF((ABS((SUMIFS(P:P,A:A,A144)/VLOOKUP("USD",'Exchange Rates'!B:C,2,0)))/S144)&gt;1,(SUMIFS(P:P,A:A,A144)-S144)/S144,(S144-SUMIFS(P:P,A:A,A144))/SUMIFS(P:P,A:A,A144)),"."),".")</f>
        <v>.</v>
      </c>
    </row>
    <row r="145" spans="1:53" s="1180" customFormat="1" ht="15.95" customHeight="1">
      <c r="A145" s="1180" t="s">
        <v>770</v>
      </c>
      <c r="B145" s="1180" t="s">
        <v>713</v>
      </c>
      <c r="C145" s="1181">
        <v>44740</v>
      </c>
      <c r="D145" s="1182" t="s">
        <v>360</v>
      </c>
      <c r="E145" s="1182" t="s">
        <v>361</v>
      </c>
      <c r="F145" s="1183" t="s">
        <v>771</v>
      </c>
      <c r="G145" s="1184" t="s">
        <v>716</v>
      </c>
      <c r="H145" s="1185">
        <v>75000000</v>
      </c>
      <c r="I145" s="1180" t="s">
        <v>364</v>
      </c>
      <c r="J145" s="1186" t="str">
        <f>VLOOKUP($I145,'Price List, Weapons &amp; Items'!B:C,2,0)</f>
        <v>.</v>
      </c>
      <c r="K145" s="1186" t="str">
        <f>IF(I145=".",I145,VLOOKUP($I145,'Price List, Weapons &amp; Items'!B:D,3,0))</f>
        <v>.</v>
      </c>
      <c r="L145" s="1187">
        <f>VLOOKUP(I145,'Price List, Weapons &amp; Items'!B:E,4,0)</f>
        <v>0</v>
      </c>
      <c r="M145" s="1188" t="s">
        <v>364</v>
      </c>
      <c r="N145" s="1188" t="s">
        <v>364</v>
      </c>
      <c r="O145" s="1188" t="str">
        <f>VLOOKUP($I145,'Price List, Weapons &amp; Items'!B:G,6,0)</f>
        <v>.</v>
      </c>
      <c r="P145" s="1185" t="str">
        <f t="shared" si="39"/>
        <v>.</v>
      </c>
      <c r="Q145" s="1185" t="str">
        <f t="shared" si="40"/>
        <v>.</v>
      </c>
      <c r="R145" s="1185">
        <f t="shared" si="36"/>
        <v>75000000</v>
      </c>
      <c r="S145" s="1185">
        <f>IF(AND(AD145=1,R145&lt;&gt;".")=TRUE,R145/VLOOKUP(G145,'Exchange Rates'!B:C,2,0),IF(R145=".",".",""))</f>
        <v>51065568.189555392</v>
      </c>
      <c r="T145" s="1185" t="str">
        <f>IF(AD145=1,IF(AF145="Value is not given at all",".",IF(AF145="Value is given by the source",S145,IF(AF145="Value is calculated with prices",(IF(SUMIFS(Q:Q,A:A,A145)&gt;0,SUMIFS(Q:Q,A:A,A145),"."))/VLOOKUP("USD",'Exchange Rates'!B:C,2,0),"Error with coding"))),"")</f>
        <v>.</v>
      </c>
      <c r="U145" s="1184" t="s">
        <v>365</v>
      </c>
      <c r="V145" s="971" t="s">
        <v>733</v>
      </c>
      <c r="W145" s="971" t="s">
        <v>734</v>
      </c>
      <c r="X145" s="1190" t="s">
        <v>364</v>
      </c>
      <c r="Y145" s="1190" t="s">
        <v>364</v>
      </c>
      <c r="Z145" s="1184">
        <v>0</v>
      </c>
      <c r="AA145" s="1194">
        <v>0</v>
      </c>
      <c r="AB145" s="1180" t="s">
        <v>364</v>
      </c>
      <c r="AC145" s="1192" t="str">
        <f>""</f>
        <v/>
      </c>
      <c r="AD145" s="985">
        <v>1</v>
      </c>
      <c r="AE145" s="985" t="s">
        <v>368</v>
      </c>
      <c r="AF145" s="985" t="s">
        <v>369</v>
      </c>
      <c r="AG145" s="985">
        <v>1</v>
      </c>
      <c r="AH145" s="1193">
        <v>6</v>
      </c>
      <c r="AI145" s="1193">
        <v>0</v>
      </c>
      <c r="AJ145" s="1193">
        <f>VLOOKUP($I145,'Price List, Weapons &amp; Items'!B:F,5,0)</f>
        <v>0</v>
      </c>
      <c r="AK145" s="1193">
        <f t="shared" si="41"/>
        <v>0</v>
      </c>
      <c r="AL145" s="1193">
        <f t="shared" si="42"/>
        <v>0</v>
      </c>
      <c r="AM145" s="1193">
        <f t="shared" si="43"/>
        <v>0</v>
      </c>
      <c r="AN145" s="1194" t="str">
        <f>VLOOKUP($I145,'Price List, Weapons &amp; Items'!B:L,COLUMN('Price List, Weapons &amp; Items'!$J$11)-1,0)</f>
        <v>.</v>
      </c>
      <c r="AO145" s="1194" t="str">
        <f>IF(I145=".",".",VLOOKUP($I145,'Price List, Weapons &amp; Items'!B:J,3,0))</f>
        <v>.</v>
      </c>
      <c r="AP145" s="1195" t="str">
        <f t="shared" ca="1" si="37"/>
        <v>.</v>
      </c>
      <c r="AQ145" s="1194">
        <f>VLOOKUP($I145,'Price List, Weapons &amp; Items'!B:L,COLUMN('Price List, Weapons &amp; Items'!$L$11)-1,0)</f>
        <v>0</v>
      </c>
      <c r="AR145" s="1194">
        <f t="shared" si="44"/>
        <v>1</v>
      </c>
      <c r="AS145" s="1194">
        <f t="shared" si="45"/>
        <v>0</v>
      </c>
      <c r="AT145" s="1194">
        <f t="shared" si="46"/>
        <v>1</v>
      </c>
      <c r="AU145" s="1194" t="str">
        <f t="shared" si="47"/>
        <v>.</v>
      </c>
      <c r="AV145" s="1194" t="str">
        <f t="shared" si="38"/>
        <v>.</v>
      </c>
      <c r="AW145" s="1194" t="str">
        <f t="shared" si="48"/>
        <v>.</v>
      </c>
      <c r="AX145" s="1194">
        <f>IFERROR(VLOOKUP(B145,'Share, Heavy Weapons to Ukraine'!B:Z,COLUMN('Share, Heavy Weapons to Ukraine'!C155)-1,0),0)</f>
        <v>1</v>
      </c>
      <c r="AY145" s="1194">
        <f>VLOOKUP('Bilateral Assistance, MAIN DATA'!B145,'Country Summary (€)'!B:F,COLUMN('Country Summary (€)'!C156)-1,FALSE)</f>
        <v>0</v>
      </c>
      <c r="AZ145" s="1194" t="str">
        <f>IF(AND(AD145=1,D145="Military",H145&lt;&gt;"Not given")=TRUE,IF(SUMIFS(P:P,A:A,A145)&gt;0,ABS((SUMIFS(P:P,A:A,A145)/VLOOKUP("USD",'Exchange Rates'!B:C,2,0)))/S145,"."),".")</f>
        <v>.</v>
      </c>
      <c r="BA145" s="1196" t="str">
        <f>IF(AND(AD145=1,D145="Military",H145&lt;&gt;"Not given")=TRUE,IF(SUMIFS(P:P,A:A,A145)&gt;0,IF((ABS((SUMIFS(P:P,A:A,A145)/VLOOKUP("USD",'Exchange Rates'!B:C,2,0)))/S145)&gt;1,(SUMIFS(P:P,A:A,A145)-S145)/S145,(S145-SUMIFS(P:P,A:A,A145))/SUMIFS(P:P,A:A,A145)),"."),".")</f>
        <v>.</v>
      </c>
    </row>
    <row r="146" spans="1:53" s="1180" customFormat="1" ht="15.95" customHeight="1">
      <c r="A146" s="1180" t="s">
        <v>772</v>
      </c>
      <c r="B146" s="1180" t="s">
        <v>713</v>
      </c>
      <c r="C146" s="1181">
        <v>44740</v>
      </c>
      <c r="D146" s="1182" t="s">
        <v>360</v>
      </c>
      <c r="E146" s="1182" t="s">
        <v>361</v>
      </c>
      <c r="F146" s="1183" t="s">
        <v>773</v>
      </c>
      <c r="G146" s="1184" t="s">
        <v>716</v>
      </c>
      <c r="H146" s="1185">
        <v>52000000</v>
      </c>
      <c r="I146" s="1180" t="s">
        <v>364</v>
      </c>
      <c r="J146" s="1186" t="str">
        <f>VLOOKUP($I146,'Price List, Weapons &amp; Items'!B:C,2,0)</f>
        <v>.</v>
      </c>
      <c r="K146" s="1186" t="str">
        <f>IF(I146=".",I146,VLOOKUP($I146,'Price List, Weapons &amp; Items'!B:D,3,0))</f>
        <v>.</v>
      </c>
      <c r="L146" s="1187">
        <f>VLOOKUP(I146,'Price List, Weapons &amp; Items'!B:E,4,0)</f>
        <v>0</v>
      </c>
      <c r="M146" s="1188" t="s">
        <v>364</v>
      </c>
      <c r="N146" s="1188" t="s">
        <v>364</v>
      </c>
      <c r="O146" s="1188" t="str">
        <f>VLOOKUP($I146,'Price List, Weapons &amp; Items'!B:G,6,0)</f>
        <v>.</v>
      </c>
      <c r="P146" s="1185" t="str">
        <f t="shared" si="39"/>
        <v>.</v>
      </c>
      <c r="Q146" s="1185" t="str">
        <f t="shared" si="40"/>
        <v>.</v>
      </c>
      <c r="R146" s="1185">
        <f t="shared" si="36"/>
        <v>52000000</v>
      </c>
      <c r="S146" s="1185">
        <f>IF(AND(AD146=1,R146&lt;&gt;".")=TRUE,R146/VLOOKUP(G146,'Exchange Rates'!B:C,2,0),IF(R146=".",".",""))</f>
        <v>35405460.611425072</v>
      </c>
      <c r="T146" s="1185" t="str">
        <f>IF(AD146=1,IF(AF146="Value is not given at all",".",IF(AF146="Value is given by the source",S146,IF(AF146="Value is calculated with prices",(IF(SUMIFS(Q:Q,A:A,A146)&gt;0,SUMIFS(Q:Q,A:A,A146),"."))/VLOOKUP("USD",'Exchange Rates'!B:C,2,0),"Error with coding"))),"")</f>
        <v>.</v>
      </c>
      <c r="U146" s="1184" t="s">
        <v>365</v>
      </c>
      <c r="V146" s="971" t="s">
        <v>733</v>
      </c>
      <c r="W146" s="973" t="s">
        <v>774</v>
      </c>
      <c r="X146" s="1190" t="s">
        <v>364</v>
      </c>
      <c r="Y146" s="1190" t="s">
        <v>364</v>
      </c>
      <c r="Z146" s="1184">
        <v>0</v>
      </c>
      <c r="AA146" s="1194">
        <v>0</v>
      </c>
      <c r="AB146" s="1180" t="s">
        <v>364</v>
      </c>
      <c r="AC146" s="1192" t="str">
        <f>""</f>
        <v/>
      </c>
      <c r="AD146" s="985">
        <v>1</v>
      </c>
      <c r="AE146" s="985" t="s">
        <v>368</v>
      </c>
      <c r="AF146" s="985" t="s">
        <v>369</v>
      </c>
      <c r="AG146" s="985">
        <v>1</v>
      </c>
      <c r="AH146" s="1193">
        <v>6</v>
      </c>
      <c r="AI146" s="1193">
        <v>0</v>
      </c>
      <c r="AJ146" s="1193">
        <f>VLOOKUP($I146,'Price List, Weapons &amp; Items'!B:F,5,0)</f>
        <v>0</v>
      </c>
      <c r="AK146" s="1193">
        <f t="shared" si="41"/>
        <v>0</v>
      </c>
      <c r="AL146" s="1193">
        <f t="shared" si="42"/>
        <v>0</v>
      </c>
      <c r="AM146" s="1193">
        <f t="shared" si="43"/>
        <v>0</v>
      </c>
      <c r="AN146" s="1194" t="str">
        <f>VLOOKUP($I146,'Price List, Weapons &amp; Items'!B:L,COLUMN('Price List, Weapons &amp; Items'!$J$11)-1,0)</f>
        <v>.</v>
      </c>
      <c r="AO146" s="1194" t="str">
        <f>IF(I146=".",".",VLOOKUP($I146,'Price List, Weapons &amp; Items'!B:J,3,0))</f>
        <v>.</v>
      </c>
      <c r="AP146" s="1195" t="str">
        <f t="shared" ca="1" si="37"/>
        <v>.</v>
      </c>
      <c r="AQ146" s="1194">
        <f>VLOOKUP($I146,'Price List, Weapons &amp; Items'!B:L,COLUMN('Price List, Weapons &amp; Items'!$L$11)-1,0)</f>
        <v>0</v>
      </c>
      <c r="AR146" s="1194">
        <f t="shared" si="44"/>
        <v>1</v>
      </c>
      <c r="AS146" s="1194">
        <f t="shared" si="45"/>
        <v>0</v>
      </c>
      <c r="AT146" s="1194">
        <f t="shared" si="46"/>
        <v>1</v>
      </c>
      <c r="AU146" s="1194" t="str">
        <f t="shared" si="47"/>
        <v>.</v>
      </c>
      <c r="AV146" s="1194" t="str">
        <f t="shared" si="38"/>
        <v>.</v>
      </c>
      <c r="AW146" s="1194" t="str">
        <f t="shared" si="48"/>
        <v>.</v>
      </c>
      <c r="AX146" s="1194">
        <f>IFERROR(VLOOKUP(B146,'Share, Heavy Weapons to Ukraine'!B:Z,COLUMN('Share, Heavy Weapons to Ukraine'!C156)-1,0),0)</f>
        <v>1</v>
      </c>
      <c r="AY146" s="1194">
        <f>VLOOKUP('Bilateral Assistance, MAIN DATA'!B146,'Country Summary (€)'!B:F,COLUMN('Country Summary (€)'!C157)-1,FALSE)</f>
        <v>0</v>
      </c>
      <c r="AZ146" s="1194" t="str">
        <f>IF(AND(AD146=1,D146="Military",H146&lt;&gt;"Not given")=TRUE,IF(SUMIFS(P:P,A:A,A146)&gt;0,ABS((SUMIFS(P:P,A:A,A146)/VLOOKUP("USD",'Exchange Rates'!B:C,2,0)))/S146,"."),".")</f>
        <v>.</v>
      </c>
      <c r="BA146" s="1196" t="str">
        <f>IF(AND(AD146=1,D146="Military",H146&lt;&gt;"Not given")=TRUE,IF(SUMIFS(P:P,A:A,A146)&gt;0,IF((ABS((SUMIFS(P:P,A:A,A146)/VLOOKUP("USD",'Exchange Rates'!B:C,2,0)))/S146)&gt;1,(SUMIFS(P:P,A:A,A146)-S146)/S146,(S146-SUMIFS(P:P,A:A,A146))/SUMIFS(P:P,A:A,A146)),"."),".")</f>
        <v>.</v>
      </c>
    </row>
    <row r="147" spans="1:53" s="1180" customFormat="1" ht="15.95" customHeight="1">
      <c r="A147" s="1208" t="s">
        <v>775</v>
      </c>
      <c r="B147" s="1208" t="s">
        <v>713</v>
      </c>
      <c r="C147" s="1209">
        <v>44740</v>
      </c>
      <c r="D147" s="1208" t="s">
        <v>360</v>
      </c>
      <c r="E147" s="1208" t="s">
        <v>361</v>
      </c>
      <c r="F147" s="1208" t="s">
        <v>776</v>
      </c>
      <c r="G147" s="1184" t="s">
        <v>716</v>
      </c>
      <c r="H147" s="1210">
        <v>9700000</v>
      </c>
      <c r="I147" s="1208" t="s">
        <v>364</v>
      </c>
      <c r="J147" s="1186" t="str">
        <f>VLOOKUP($I147,'Price List, Weapons &amp; Items'!B:C,2,0)</f>
        <v>.</v>
      </c>
      <c r="K147" s="1186" t="str">
        <f>IF(I147=".",I147,VLOOKUP($I147,'Price List, Weapons &amp; Items'!B:D,3,0))</f>
        <v>.</v>
      </c>
      <c r="L147" s="1187">
        <f>VLOOKUP(I147,'Price List, Weapons &amp; Items'!B:E,4,0)</f>
        <v>0</v>
      </c>
      <c r="M147" s="1188" t="s">
        <v>364</v>
      </c>
      <c r="N147" s="1188" t="s">
        <v>364</v>
      </c>
      <c r="O147" s="1188" t="str">
        <f>VLOOKUP($I147,'Price List, Weapons &amp; Items'!B:G,6,0)</f>
        <v>.</v>
      </c>
      <c r="P147" s="1185" t="str">
        <f t="shared" si="39"/>
        <v>.</v>
      </c>
      <c r="Q147" s="1185" t="str">
        <f t="shared" si="40"/>
        <v>.</v>
      </c>
      <c r="R147" s="1185">
        <f t="shared" si="36"/>
        <v>9700000</v>
      </c>
      <c r="S147" s="1185">
        <f>IF(AND(AD147=1,R147&lt;&gt;".")=TRUE,R147/VLOOKUP(G147,'Exchange Rates'!B:C,2,0),IF(R147=".",".",""))</f>
        <v>6604480.1525158305</v>
      </c>
      <c r="T147" s="1185" t="str">
        <f>IF(AD147=1,IF(AF147="Value is not given at all",".",IF(AF147="Value is given by the source",S147,IF(AF147="Value is calculated with prices",(IF(SUMIFS(Q:Q,A:A,A147)&gt;0,SUMIFS(Q:Q,A:A,A147),"."))/VLOOKUP("USD",'Exchange Rates'!B:C,2,0),"Error with coding"))),"")</f>
        <v>.</v>
      </c>
      <c r="U147" s="1184" t="s">
        <v>365</v>
      </c>
      <c r="V147" s="971" t="s">
        <v>733</v>
      </c>
      <c r="W147" s="973" t="s">
        <v>364</v>
      </c>
      <c r="X147" s="1190" t="s">
        <v>364</v>
      </c>
      <c r="Y147" s="1190" t="s">
        <v>364</v>
      </c>
      <c r="Z147" s="1184">
        <v>0</v>
      </c>
      <c r="AA147" s="1194">
        <v>0</v>
      </c>
      <c r="AB147" s="1180" t="s">
        <v>364</v>
      </c>
      <c r="AC147" s="1192" t="str">
        <f>""</f>
        <v/>
      </c>
      <c r="AD147" s="985">
        <v>1</v>
      </c>
      <c r="AE147" s="985" t="s">
        <v>368</v>
      </c>
      <c r="AF147" s="985" t="s">
        <v>369</v>
      </c>
      <c r="AG147" s="985">
        <v>1</v>
      </c>
      <c r="AH147" s="1193">
        <v>6</v>
      </c>
      <c r="AI147" s="1193">
        <v>0</v>
      </c>
      <c r="AJ147" s="1193">
        <f>VLOOKUP($I147,'Price List, Weapons &amp; Items'!B:F,5,0)</f>
        <v>0</v>
      </c>
      <c r="AK147" s="1193">
        <f t="shared" si="41"/>
        <v>0</v>
      </c>
      <c r="AL147" s="1193">
        <f t="shared" si="42"/>
        <v>0</v>
      </c>
      <c r="AM147" s="1193">
        <f t="shared" si="43"/>
        <v>0</v>
      </c>
      <c r="AN147" s="1194" t="str">
        <f>VLOOKUP($I147,'Price List, Weapons &amp; Items'!B:L,COLUMN('Price List, Weapons &amp; Items'!$J$11)-1,0)</f>
        <v>.</v>
      </c>
      <c r="AO147" s="1194" t="str">
        <f>IF(I147=".",".",VLOOKUP($I147,'Price List, Weapons &amp; Items'!B:J,3,0))</f>
        <v>.</v>
      </c>
      <c r="AP147" s="1195" t="str">
        <f t="shared" ca="1" si="37"/>
        <v>.</v>
      </c>
      <c r="AQ147" s="1194">
        <f>VLOOKUP($I147,'Price List, Weapons &amp; Items'!B:L,COLUMN('Price List, Weapons &amp; Items'!$L$11)-1,0)</f>
        <v>0</v>
      </c>
      <c r="AR147" s="1194">
        <f t="shared" si="44"/>
        <v>1</v>
      </c>
      <c r="AS147" s="1194">
        <f t="shared" si="45"/>
        <v>0</v>
      </c>
      <c r="AT147" s="1194">
        <f t="shared" si="46"/>
        <v>1</v>
      </c>
      <c r="AU147" s="1194" t="str">
        <f t="shared" si="47"/>
        <v>.</v>
      </c>
      <c r="AV147" s="1194" t="str">
        <f t="shared" si="38"/>
        <v>.</v>
      </c>
      <c r="AW147" s="1194" t="str">
        <f t="shared" si="48"/>
        <v>.</v>
      </c>
      <c r="AX147" s="1194">
        <f>IFERROR(VLOOKUP(B147,'Share, Heavy Weapons to Ukraine'!B:Z,COLUMN('Share, Heavy Weapons to Ukraine'!C157)-1,0),0)</f>
        <v>1</v>
      </c>
      <c r="AY147" s="1194">
        <f>VLOOKUP('Bilateral Assistance, MAIN DATA'!B147,'Country Summary (€)'!B:F,COLUMN('Country Summary (€)'!C158)-1,FALSE)</f>
        <v>0</v>
      </c>
      <c r="AZ147" s="1194" t="str">
        <f>IF(AND(AD147=1,D147="Military",H147&lt;&gt;"Not given")=TRUE,IF(SUMIFS(P:P,A:A,A147)&gt;0,ABS((SUMIFS(P:P,A:A,A147)/VLOOKUP("USD",'Exchange Rates'!B:C,2,0)))/S147,"."),".")</f>
        <v>.</v>
      </c>
      <c r="BA147" s="1196" t="str">
        <f>IF(AND(AD147=1,D147="Military",H147&lt;&gt;"Not given")=TRUE,IF(SUMIFS(P:P,A:A,A147)&gt;0,IF((ABS((SUMIFS(P:P,A:A,A147)/VLOOKUP("USD",'Exchange Rates'!B:C,2,0)))/S147)&gt;1,(SUMIFS(P:P,A:A,A147)-S147)/S147,(S147-SUMIFS(P:P,A:A,A147))/SUMIFS(P:P,A:A,A147)),"."),".")</f>
        <v>.</v>
      </c>
    </row>
    <row r="148" spans="1:53" s="1180" customFormat="1" ht="15.95" customHeight="1">
      <c r="A148" s="1180" t="s">
        <v>777</v>
      </c>
      <c r="B148" s="1180" t="s">
        <v>713</v>
      </c>
      <c r="C148" s="1181">
        <v>44807</v>
      </c>
      <c r="D148" s="1182" t="s">
        <v>360</v>
      </c>
      <c r="E148" s="1182" t="s">
        <v>361</v>
      </c>
      <c r="F148" s="1183" t="s">
        <v>778</v>
      </c>
      <c r="G148" s="1184" t="s">
        <v>716</v>
      </c>
      <c r="H148" s="1185">
        <v>52000000</v>
      </c>
      <c r="I148" s="1180" t="s">
        <v>364</v>
      </c>
      <c r="J148" s="1186" t="str">
        <f>VLOOKUP($I148,'Price List, Weapons &amp; Items'!B:C,2,0)</f>
        <v>.</v>
      </c>
      <c r="K148" s="1186" t="str">
        <f>IF(I148=".",I148,VLOOKUP($I148,'Price List, Weapons &amp; Items'!B:D,3,0))</f>
        <v>.</v>
      </c>
      <c r="L148" s="1187">
        <f>VLOOKUP(I148,'Price List, Weapons &amp; Items'!B:E,4,0)</f>
        <v>0</v>
      </c>
      <c r="M148" s="1188" t="s">
        <v>364</v>
      </c>
      <c r="N148" s="1188" t="s">
        <v>364</v>
      </c>
      <c r="O148" s="1188" t="str">
        <f>VLOOKUP($I148,'Price List, Weapons &amp; Items'!B:G,6,0)</f>
        <v>.</v>
      </c>
      <c r="P148" s="1185" t="str">
        <f t="shared" si="39"/>
        <v>.</v>
      </c>
      <c r="Q148" s="1185" t="str">
        <f t="shared" si="40"/>
        <v>.</v>
      </c>
      <c r="R148" s="1185">
        <f t="shared" si="36"/>
        <v>52000000</v>
      </c>
      <c r="S148" s="1185">
        <f>IF(AND(AD148=1,R148&lt;&gt;".")=TRUE,R148/VLOOKUP(G148,'Exchange Rates'!B:C,2,0),IF(R148=".",".",""))</f>
        <v>35405460.611425072</v>
      </c>
      <c r="T148" s="1185" t="str">
        <f>IF(AD148=1,IF(AF148="Value is not given at all",".",IF(AF148="Value is given by the source",S148,IF(AF148="Value is calculated with prices",(IF(SUMIFS(Q:Q,A:A,A148)&gt;0,SUMIFS(Q:Q,A:A,A148),"."))/VLOOKUP("USD",'Exchange Rates'!B:C,2,0),"Error with coding"))),"")</f>
        <v>.</v>
      </c>
      <c r="U148" s="1184" t="s">
        <v>365</v>
      </c>
      <c r="V148" s="971" t="s">
        <v>779</v>
      </c>
      <c r="W148" s="971" t="s">
        <v>737</v>
      </c>
      <c r="X148" s="1190" t="s">
        <v>364</v>
      </c>
      <c r="Y148" s="1190" t="s">
        <v>364</v>
      </c>
      <c r="Z148" s="1184">
        <v>0</v>
      </c>
      <c r="AA148" s="1194">
        <v>0</v>
      </c>
      <c r="AB148" s="1180" t="s">
        <v>364</v>
      </c>
      <c r="AC148" s="1192" t="str">
        <f>""</f>
        <v/>
      </c>
      <c r="AD148" s="985">
        <v>1</v>
      </c>
      <c r="AE148" s="985" t="s">
        <v>368</v>
      </c>
      <c r="AF148" s="985" t="s">
        <v>369</v>
      </c>
      <c r="AG148" s="985">
        <v>1</v>
      </c>
      <c r="AH148" s="1193">
        <v>9</v>
      </c>
      <c r="AI148" s="1193">
        <v>0</v>
      </c>
      <c r="AJ148" s="1193">
        <f>VLOOKUP($I148,'Price List, Weapons &amp; Items'!B:F,5,0)</f>
        <v>0</v>
      </c>
      <c r="AK148" s="1193">
        <f t="shared" si="41"/>
        <v>0</v>
      </c>
      <c r="AL148" s="1193">
        <f t="shared" si="42"/>
        <v>0</v>
      </c>
      <c r="AM148" s="1193">
        <f t="shared" si="43"/>
        <v>0</v>
      </c>
      <c r="AN148" s="1194" t="str">
        <f>VLOOKUP($I148,'Price List, Weapons &amp; Items'!B:L,COLUMN('Price List, Weapons &amp; Items'!$J$11)-1,0)</f>
        <v>.</v>
      </c>
      <c r="AO148" s="1194" t="str">
        <f>IF(I148=".",".",VLOOKUP($I148,'Price List, Weapons &amp; Items'!B:J,3,0))</f>
        <v>.</v>
      </c>
      <c r="AP148" s="1195" t="str">
        <f t="shared" ca="1" si="37"/>
        <v>.</v>
      </c>
      <c r="AQ148" s="1194">
        <f>VLOOKUP($I148,'Price List, Weapons &amp; Items'!B:L,COLUMN('Price List, Weapons &amp; Items'!$L$11)-1,0)</f>
        <v>0</v>
      </c>
      <c r="AR148" s="1194">
        <f t="shared" si="44"/>
        <v>1</v>
      </c>
      <c r="AS148" s="1194">
        <f t="shared" si="45"/>
        <v>0</v>
      </c>
      <c r="AT148" s="1194">
        <f t="shared" si="46"/>
        <v>1</v>
      </c>
      <c r="AU148" s="1194" t="str">
        <f t="shared" si="47"/>
        <v>.</v>
      </c>
      <c r="AV148" s="1194" t="str">
        <f t="shared" si="38"/>
        <v>.</v>
      </c>
      <c r="AW148" s="1194" t="str">
        <f t="shared" si="48"/>
        <v>.</v>
      </c>
      <c r="AX148" s="1194">
        <f>IFERROR(VLOOKUP(B148,'Share, Heavy Weapons to Ukraine'!B:Z,COLUMN('Share, Heavy Weapons to Ukraine'!C158)-1,0),0)</f>
        <v>1</v>
      </c>
      <c r="AY148" s="1194">
        <f>VLOOKUP('Bilateral Assistance, MAIN DATA'!B148,'Country Summary (€)'!B:F,COLUMN('Country Summary (€)'!C159)-1,FALSE)</f>
        <v>0</v>
      </c>
      <c r="AZ148" s="1194" t="str">
        <f>IF(AND(AD148=1,D148="Military",H148&lt;&gt;"Not given")=TRUE,IF(SUMIFS(P:P,A:A,A148)&gt;0,ABS((SUMIFS(P:P,A:A,A148)/VLOOKUP("USD",'Exchange Rates'!B:C,2,0)))/S148,"."),".")</f>
        <v>.</v>
      </c>
      <c r="BA148" s="1196" t="str">
        <f>IF(AND(AD148=1,D148="Military",H148&lt;&gt;"Not given")=TRUE,IF(SUMIFS(P:P,A:A,A148)&gt;0,IF((ABS((SUMIFS(P:P,A:A,A148)/VLOOKUP("USD",'Exchange Rates'!B:C,2,0)))/S148)&gt;1,(SUMIFS(P:P,A:A,A148)-S148)/S148,(S148-SUMIFS(P:P,A:A,A148))/SUMIFS(P:P,A:A,A148)),"."),".")</f>
        <v>.</v>
      </c>
    </row>
    <row r="149" spans="1:53" s="1180" customFormat="1" ht="15.95" customHeight="1">
      <c r="A149" s="1180" t="s">
        <v>780</v>
      </c>
      <c r="B149" s="1180" t="s">
        <v>713</v>
      </c>
      <c r="C149" s="1181">
        <v>44890</v>
      </c>
      <c r="D149" s="1182" t="s">
        <v>360</v>
      </c>
      <c r="E149" s="1182" t="s">
        <v>361</v>
      </c>
      <c r="F149" s="1183" t="s">
        <v>781</v>
      </c>
      <c r="G149" s="1184" t="s">
        <v>716</v>
      </c>
      <c r="H149" s="1185">
        <v>10000000</v>
      </c>
      <c r="I149" s="1180" t="s">
        <v>596</v>
      </c>
      <c r="J149" s="1186" t="str">
        <f>VLOOKUP($I149,'Price List, Weapons &amp; Items'!B:C,2,0)</f>
        <v>Military equipment</v>
      </c>
      <c r="K149" s="1186" t="str">
        <f>IF(I149=".",I149,VLOOKUP($I149,'Price List, Weapons &amp; Items'!B:D,3,0))</f>
        <v>Military equipment</v>
      </c>
      <c r="L149" s="1187">
        <f>VLOOKUP(I149,'Price List, Weapons &amp; Items'!B:E,4,0)</f>
        <v>0</v>
      </c>
      <c r="M149" s="1188" t="s">
        <v>374</v>
      </c>
      <c r="N149" s="1188" t="s">
        <v>364</v>
      </c>
      <c r="O149" s="1188">
        <f>VLOOKUP($I149,'Price List, Weapons &amp; Items'!B:G,6,0)</f>
        <v>22216</v>
      </c>
      <c r="P149" s="1185" t="str">
        <f t="shared" si="39"/>
        <v>.</v>
      </c>
      <c r="Q149" s="1185" t="str">
        <f t="shared" si="40"/>
        <v>.</v>
      </c>
      <c r="R149" s="1185">
        <f t="shared" si="36"/>
        <v>10000000</v>
      </c>
      <c r="S149" s="1185">
        <f>IF(AND(AD149=1,R149&lt;&gt;".")=TRUE,R149/VLOOKUP(G149,'Exchange Rates'!B:C,2,0),IF(R149=".",".",""))</f>
        <v>6808742.4252740527</v>
      </c>
      <c r="T149" s="1185" t="str">
        <f>IF(AD149=1,IF(AF149="Value is not given at all",".",IF(AF149="Value is given by the source",S149,IF(AF149="Value is calculated with prices",(IF(SUMIFS(Q:Q,A:A,A149)&gt;0,SUMIFS(Q:Q,A:A,A149),"."))/VLOOKUP("USD",'Exchange Rates'!B:C,2,0),"Error with coding"))),"")</f>
        <v>.</v>
      </c>
      <c r="U149" s="1184" t="s">
        <v>365</v>
      </c>
      <c r="V149" s="973" t="s">
        <v>782</v>
      </c>
      <c r="W149" s="973" t="s">
        <v>783</v>
      </c>
      <c r="X149" s="1190" t="s">
        <v>364</v>
      </c>
      <c r="Y149" s="1190" t="s">
        <v>364</v>
      </c>
      <c r="Z149" s="1184">
        <v>0</v>
      </c>
      <c r="AA149" s="1194">
        <v>0</v>
      </c>
      <c r="AB149" s="1180" t="s">
        <v>364</v>
      </c>
      <c r="AC149" s="1192" t="str">
        <f>""</f>
        <v/>
      </c>
      <c r="AD149" s="985">
        <v>1</v>
      </c>
      <c r="AE149" s="985" t="s">
        <v>368</v>
      </c>
      <c r="AF149" s="985" t="s">
        <v>369</v>
      </c>
      <c r="AG149" s="985">
        <v>1</v>
      </c>
      <c r="AH149" s="1193">
        <v>11</v>
      </c>
      <c r="AI149" s="1193">
        <v>0</v>
      </c>
      <c r="AJ149" s="1193">
        <f>VLOOKUP($I149,'Price List, Weapons &amp; Items'!B:F,5,0)</f>
        <v>0</v>
      </c>
      <c r="AK149" s="1193">
        <f t="shared" si="41"/>
        <v>0</v>
      </c>
      <c r="AL149" s="1193">
        <f t="shared" si="42"/>
        <v>0</v>
      </c>
      <c r="AM149" s="1193">
        <f t="shared" si="43"/>
        <v>0</v>
      </c>
      <c r="AN149" s="1194" t="str">
        <f>VLOOKUP($I149,'Price List, Weapons &amp; Items'!B:L,COLUMN('Price List, Weapons &amp; Items'!$J$11)-1,0)</f>
        <v>Government information</v>
      </c>
      <c r="AO149" s="1194" t="str">
        <f>IF(I149=".",".",VLOOKUP($I149,'Price List, Weapons &amp; Items'!B:J,3,0))</f>
        <v>Military equipment</v>
      </c>
      <c r="AP149" s="1195" t="str">
        <f t="shared" ca="1" si="37"/>
        <v>generator</v>
      </c>
      <c r="AQ149" s="1194">
        <f>VLOOKUP($I149,'Price List, Weapons &amp; Items'!B:L,COLUMN('Price List, Weapons &amp; Items'!$L$11)-1,0)</f>
        <v>2</v>
      </c>
      <c r="AR149" s="1194">
        <f t="shared" si="44"/>
        <v>1</v>
      </c>
      <c r="AS149" s="1194">
        <f t="shared" si="45"/>
        <v>0</v>
      </c>
      <c r="AT149" s="1194">
        <f t="shared" si="46"/>
        <v>1</v>
      </c>
      <c r="AU149" s="1194" t="str">
        <f t="shared" si="47"/>
        <v>.</v>
      </c>
      <c r="AV149" s="1194" t="str">
        <f t="shared" si="38"/>
        <v>.</v>
      </c>
      <c r="AW149" s="1194" t="str">
        <f t="shared" si="48"/>
        <v>.</v>
      </c>
      <c r="AX149" s="1194">
        <f>IFERROR(VLOOKUP(B149,'Share, Heavy Weapons to Ukraine'!B:Z,COLUMN('Share, Heavy Weapons to Ukraine'!C159)-1,0),0)</f>
        <v>1</v>
      </c>
      <c r="AY149" s="1194">
        <f>VLOOKUP('Bilateral Assistance, MAIN DATA'!B149,'Country Summary (€)'!B:F,COLUMN('Country Summary (€)'!C160)-1,FALSE)</f>
        <v>0</v>
      </c>
      <c r="AZ149" s="1194" t="str">
        <f>IF(AND(AD149=1,D149="Military",H149&lt;&gt;"Not given")=TRUE,IF(SUMIFS(P:P,A:A,A149)&gt;0,ABS((SUMIFS(P:P,A:A,A149)/VLOOKUP("USD",'Exchange Rates'!B:C,2,0)))/S149,"."),".")</f>
        <v>.</v>
      </c>
      <c r="BA149" s="1196" t="str">
        <f>IF(AND(AD149=1,D149="Military",H149&lt;&gt;"Not given")=TRUE,IF(SUMIFS(P:P,A:A,A149)&gt;0,IF((ABS((SUMIFS(P:P,A:A,A149)/VLOOKUP("USD",'Exchange Rates'!B:C,2,0)))/S149)&gt;1,(SUMIFS(P:P,A:A,A149)-S149)/S149,(S149-SUMIFS(P:P,A:A,A149))/SUMIFS(P:P,A:A,A149)),"."),".")</f>
        <v>.</v>
      </c>
    </row>
    <row r="150" spans="1:53" s="1180" customFormat="1" ht="15.95" customHeight="1">
      <c r="A150" s="1180" t="s">
        <v>784</v>
      </c>
      <c r="B150" s="1180" t="s">
        <v>713</v>
      </c>
      <c r="C150" s="1181">
        <v>44908</v>
      </c>
      <c r="D150" s="1182" t="s">
        <v>360</v>
      </c>
      <c r="E150" s="1182" t="s">
        <v>481</v>
      </c>
      <c r="F150" s="1183" t="s">
        <v>785</v>
      </c>
      <c r="G150" s="1184" t="s">
        <v>716</v>
      </c>
      <c r="H150" s="1185">
        <v>115000000</v>
      </c>
      <c r="I150" s="1180" t="s">
        <v>364</v>
      </c>
      <c r="J150" s="1186" t="str">
        <f>VLOOKUP($I150,'Price List, Weapons &amp; Items'!B:C,2,0)</f>
        <v>.</v>
      </c>
      <c r="K150" s="1186" t="str">
        <f>IF(I150=".",I150,VLOOKUP($I150,'Price List, Weapons &amp; Items'!B:D,3,0))</f>
        <v>.</v>
      </c>
      <c r="L150" s="1187">
        <f>VLOOKUP(I150,'Price List, Weapons &amp; Items'!B:E,4,0)</f>
        <v>0</v>
      </c>
      <c r="M150" s="1188" t="s">
        <v>364</v>
      </c>
      <c r="N150" s="1188" t="s">
        <v>364</v>
      </c>
      <c r="O150" s="1188" t="str">
        <f>VLOOKUP($I150,'Price List, Weapons &amp; Items'!B:G,6,0)</f>
        <v>.</v>
      </c>
      <c r="P150" s="1185" t="str">
        <f t="shared" si="39"/>
        <v>.</v>
      </c>
      <c r="Q150" s="1185" t="str">
        <f t="shared" si="40"/>
        <v>.</v>
      </c>
      <c r="R150" s="1185">
        <f t="shared" si="36"/>
        <v>115000000</v>
      </c>
      <c r="S150" s="1185">
        <f>IF(AND(AD150=1,R150&lt;&gt;".")=TRUE,R150/VLOOKUP(G150,'Exchange Rates'!B:C,2,0),IF(R150=".",".",""))</f>
        <v>78300537.890651599</v>
      </c>
      <c r="T150" s="1185" t="str">
        <f>IF(AD150=1,IF(AF150="Value is not given at all",".",IF(AF150="Value is given by the source",S150,IF(AF150="Value is calculated with prices",(IF(SUMIFS(Q:Q,A:A,A150)&gt;0,SUMIFS(Q:Q,A:A,A150),"."))/VLOOKUP("USD",'Exchange Rates'!B:C,2,0),"Error with coding"))),"")</f>
        <v>.</v>
      </c>
      <c r="U150" s="1184" t="s">
        <v>365</v>
      </c>
      <c r="V150" s="973" t="s">
        <v>786</v>
      </c>
      <c r="W150" s="973" t="s">
        <v>787</v>
      </c>
      <c r="X150" s="1190" t="s">
        <v>364</v>
      </c>
      <c r="Y150" s="1190" t="s">
        <v>364</v>
      </c>
      <c r="Z150" s="1184">
        <v>1</v>
      </c>
      <c r="AA150" s="1194">
        <v>0</v>
      </c>
      <c r="AB150" s="1180" t="s">
        <v>364</v>
      </c>
      <c r="AC150" s="1192" t="str">
        <f>""</f>
        <v/>
      </c>
      <c r="AD150" s="985">
        <v>1</v>
      </c>
      <c r="AE150" s="985" t="s">
        <v>368</v>
      </c>
      <c r="AF150" s="985" t="s">
        <v>369</v>
      </c>
      <c r="AG150" s="985">
        <v>1</v>
      </c>
      <c r="AH150" s="1193">
        <v>12</v>
      </c>
      <c r="AI150" s="1193">
        <v>0</v>
      </c>
      <c r="AJ150" s="1193">
        <f>VLOOKUP($I150,'Price List, Weapons &amp; Items'!B:F,5,0)</f>
        <v>0</v>
      </c>
      <c r="AK150" s="1193">
        <f t="shared" si="41"/>
        <v>0</v>
      </c>
      <c r="AL150" s="1193">
        <f t="shared" si="42"/>
        <v>0</v>
      </c>
      <c r="AM150" s="1193">
        <f t="shared" si="43"/>
        <v>0</v>
      </c>
      <c r="AN150" s="1194" t="str">
        <f>VLOOKUP($I150,'Price List, Weapons &amp; Items'!B:L,COLUMN('Price List, Weapons &amp; Items'!$J$11)-1,0)</f>
        <v>.</v>
      </c>
      <c r="AO150" s="1194" t="str">
        <f>IF(I150=".",".",VLOOKUP($I150,'Price List, Weapons &amp; Items'!B:J,3,0))</f>
        <v>.</v>
      </c>
      <c r="AP150" s="1195" t="str">
        <f t="shared" ca="1" si="37"/>
        <v>.</v>
      </c>
      <c r="AQ150" s="1194">
        <f>VLOOKUP($I150,'Price List, Weapons &amp; Items'!B:L,COLUMN('Price List, Weapons &amp; Items'!$L$11)-1,0)</f>
        <v>0</v>
      </c>
      <c r="AR150" s="1194">
        <f t="shared" si="44"/>
        <v>1</v>
      </c>
      <c r="AS150" s="1194">
        <f t="shared" si="45"/>
        <v>0</v>
      </c>
      <c r="AT150" s="1194">
        <f t="shared" si="46"/>
        <v>1</v>
      </c>
      <c r="AU150" s="1194" t="str">
        <f t="shared" si="47"/>
        <v>.</v>
      </c>
      <c r="AV150" s="1194" t="str">
        <f t="shared" si="38"/>
        <v>.</v>
      </c>
      <c r="AW150" s="1194" t="str">
        <f t="shared" si="48"/>
        <v>.</v>
      </c>
      <c r="AX150" s="1194">
        <f>IFERROR(VLOOKUP(B150,'Share, Heavy Weapons to Ukraine'!B:Z,COLUMN('Share, Heavy Weapons to Ukraine'!C160)-1,0),0)</f>
        <v>1</v>
      </c>
      <c r="AY150" s="1194">
        <f>VLOOKUP('Bilateral Assistance, MAIN DATA'!B150,'Country Summary (€)'!B:F,COLUMN('Country Summary (€)'!C161)-1,FALSE)</f>
        <v>0</v>
      </c>
      <c r="AZ150" s="1194" t="str">
        <f>IF(AND(AD150=1,D150="Military",H150&lt;&gt;"Not given")=TRUE,IF(SUMIFS(P:P,A:A,A150)&gt;0,ABS((SUMIFS(P:P,A:A,A150)/VLOOKUP("USD",'Exchange Rates'!B:C,2,0)))/S150,"."),".")</f>
        <v>.</v>
      </c>
      <c r="BA150" s="1196" t="str">
        <f>IF(AND(AD150=1,D150="Military",H150&lt;&gt;"Not given")=TRUE,IF(SUMIFS(P:P,A:A,A150)&gt;0,IF((ABS((SUMIFS(P:P,A:A,A150)/VLOOKUP("USD",'Exchange Rates'!B:C,2,0)))/S150)&gt;1,(SUMIFS(P:P,A:A,A150)-S150)/S150,(S150-SUMIFS(P:P,A:A,A150))/SUMIFS(P:P,A:A,A150)),"."),".")</f>
        <v>.</v>
      </c>
    </row>
    <row r="151" spans="1:53" ht="15.95" customHeight="1">
      <c r="A151" s="1180" t="s">
        <v>788</v>
      </c>
      <c r="B151" s="1180" t="s">
        <v>713</v>
      </c>
      <c r="C151" s="1181">
        <v>44587</v>
      </c>
      <c r="D151" s="1182" t="s">
        <v>389</v>
      </c>
      <c r="E151" s="1182" t="s">
        <v>390</v>
      </c>
      <c r="F151" s="1183" t="s">
        <v>789</v>
      </c>
      <c r="G151" s="1184" t="s">
        <v>716</v>
      </c>
      <c r="H151" s="1185">
        <v>340000000</v>
      </c>
      <c r="I151" s="1180" t="s">
        <v>364</v>
      </c>
      <c r="J151" s="1186" t="str">
        <f>VLOOKUP($I151,'Price List, Weapons &amp; Items'!B:C,2,0)</f>
        <v>.</v>
      </c>
      <c r="K151" s="1186" t="str">
        <f>IF(I151=".",I151,VLOOKUP($I151,'Price List, Weapons &amp; Items'!B:D,3,0))</f>
        <v>.</v>
      </c>
      <c r="L151" s="1187">
        <f>VLOOKUP(I151,'Price List, Weapons &amp; Items'!B:E,4,0)</f>
        <v>0</v>
      </c>
      <c r="M151" s="1188" t="s">
        <v>364</v>
      </c>
      <c r="N151" s="1188" t="s">
        <v>364</v>
      </c>
      <c r="O151" s="1188" t="str">
        <f>VLOOKUP($I151,'Price List, Weapons &amp; Items'!B:G,6,0)</f>
        <v>.</v>
      </c>
      <c r="P151" s="1185" t="str">
        <f t="shared" si="39"/>
        <v>.</v>
      </c>
      <c r="Q151" s="1185" t="str">
        <f t="shared" si="40"/>
        <v>.</v>
      </c>
      <c r="R151" s="1185">
        <f t="shared" si="36"/>
        <v>340000000</v>
      </c>
      <c r="S151" s="1185">
        <f>IF(AND(AD151=1,R151&lt;&gt;".")=TRUE,R151/VLOOKUP(G151,'Exchange Rates'!B:C,2,0),IF(R151=".",".",""))</f>
        <v>231497242.45931777</v>
      </c>
      <c r="T151" s="1185">
        <f>IF(AD151=1,IF(AF151="Value is not given at all",".",IF(AF151="Value is given by the source",S151,IF(AF151="Value is calculated with prices",(IF(SUMIFS(Q:Q,A:A,A151)&gt;0,SUMIFS(Q:Q,A:A,A151),"."))/VLOOKUP("USD",'Exchange Rates'!B:C,2,0),"Error with coding"))),"")</f>
        <v>231497242.45931777</v>
      </c>
      <c r="U151" s="1184" t="s">
        <v>365</v>
      </c>
      <c r="V151" s="971" t="s">
        <v>756</v>
      </c>
      <c r="W151" s="971" t="s">
        <v>790</v>
      </c>
      <c r="X151" s="1190" t="s">
        <v>364</v>
      </c>
      <c r="Y151" s="1190" t="s">
        <v>364</v>
      </c>
      <c r="Z151" s="1184">
        <v>0</v>
      </c>
      <c r="AA151" s="1194">
        <v>0</v>
      </c>
      <c r="AB151" s="975" t="s">
        <v>791</v>
      </c>
      <c r="AC151" s="1192" t="str">
        <f>""</f>
        <v/>
      </c>
      <c r="AD151" s="1193">
        <v>1</v>
      </c>
      <c r="AE151" s="1193" t="s">
        <v>368</v>
      </c>
      <c r="AF151" s="1193" t="s">
        <v>368</v>
      </c>
      <c r="AG151" s="1193">
        <v>1</v>
      </c>
      <c r="AH151" s="1193">
        <v>1</v>
      </c>
      <c r="AI151" s="1193">
        <v>1</v>
      </c>
      <c r="AJ151" s="1193">
        <f>VLOOKUP($I151,'Price List, Weapons &amp; Items'!B:F,5,0)</f>
        <v>0</v>
      </c>
      <c r="AK151" s="1193">
        <f t="shared" si="41"/>
        <v>0</v>
      </c>
      <c r="AL151" s="1193">
        <f t="shared" si="42"/>
        <v>0</v>
      </c>
      <c r="AM151" s="1193">
        <f t="shared" si="43"/>
        <v>0</v>
      </c>
      <c r="AN151" s="1194" t="str">
        <f>VLOOKUP($I151,'Price List, Weapons &amp; Items'!B:L,COLUMN('Price List, Weapons &amp; Items'!$J$11)-1,0)</f>
        <v>.</v>
      </c>
      <c r="AO151" s="1194" t="str">
        <f>IF(I151=".",".",VLOOKUP($I151,'Price List, Weapons &amp; Items'!B:J,3,0))</f>
        <v>.</v>
      </c>
      <c r="AP151" s="1195" t="str">
        <f t="shared" ca="1" si="37"/>
        <v>.</v>
      </c>
      <c r="AQ151" s="1194">
        <f>VLOOKUP($I151,'Price List, Weapons &amp; Items'!B:L,COLUMN('Price List, Weapons &amp; Items'!$L$11)-1,0)</f>
        <v>0</v>
      </c>
      <c r="AR151" s="1194">
        <f t="shared" si="44"/>
        <v>1</v>
      </c>
      <c r="AS151" s="1194">
        <f t="shared" si="45"/>
        <v>1</v>
      </c>
      <c r="AT151" s="1194">
        <f t="shared" si="46"/>
        <v>1</v>
      </c>
      <c r="AU151" s="1194" t="str">
        <f t="shared" si="47"/>
        <v>.</v>
      </c>
      <c r="AV151" s="1194" t="str">
        <f t="shared" si="38"/>
        <v>.</v>
      </c>
      <c r="AW151" s="1194" t="str">
        <f t="shared" si="48"/>
        <v>.</v>
      </c>
      <c r="AX151" s="1194">
        <f>IFERROR(VLOOKUP(B151,'Share, Heavy Weapons to Ukraine'!B:Z,COLUMN('Share, Heavy Weapons to Ukraine'!C161)-1,0),0)</f>
        <v>1</v>
      </c>
      <c r="AY151" s="1194">
        <f>VLOOKUP('Bilateral Assistance, MAIN DATA'!B151,'Country Summary (€)'!B:F,COLUMN('Country Summary (€)'!C162)-1,FALSE)</f>
        <v>0</v>
      </c>
      <c r="AZ151" s="1194" t="str">
        <f>IF(AND(AD151=1,D151="Military",H151&lt;&gt;"Not given")=TRUE,IF(SUMIFS(P:P,A:A,A151)&gt;0,ABS((SUMIFS(P:P,A:A,A151)/VLOOKUP("USD",'Exchange Rates'!B:C,2,0)))/S151,"."),".")</f>
        <v>.</v>
      </c>
      <c r="BA151" s="1196" t="str">
        <f>IF(AND(AD151=1,D151="Military",H151&lt;&gt;"Not given")=TRUE,IF(SUMIFS(P:P,A:A,A151)&gt;0,IF((ABS((SUMIFS(P:P,A:A,A151)/VLOOKUP("USD",'Exchange Rates'!B:C,2,0)))/S151)&gt;1,(SUMIFS(P:P,A:A,A151)-S151)/S151,(S151-SUMIFS(P:P,A:A,A151))/SUMIFS(P:P,A:A,A151)),"."),".")</f>
        <v>.</v>
      </c>
    </row>
    <row r="152" spans="1:53" ht="15.95" customHeight="1">
      <c r="A152" s="1180" t="s">
        <v>792</v>
      </c>
      <c r="B152" s="1180" t="s">
        <v>713</v>
      </c>
      <c r="C152" s="1181">
        <v>44606</v>
      </c>
      <c r="D152" s="1182" t="s">
        <v>389</v>
      </c>
      <c r="E152" s="1182" t="s">
        <v>390</v>
      </c>
      <c r="F152" s="1183" t="s">
        <v>793</v>
      </c>
      <c r="G152" s="1184" t="s">
        <v>716</v>
      </c>
      <c r="H152" s="1185">
        <v>7000000</v>
      </c>
      <c r="I152" s="1180" t="s">
        <v>364</v>
      </c>
      <c r="J152" s="1186" t="str">
        <f>VLOOKUP($I152,'Price List, Weapons &amp; Items'!B:C,2,0)</f>
        <v>.</v>
      </c>
      <c r="K152" s="1186" t="str">
        <f>IF(I152=".",I152,VLOOKUP($I152,'Price List, Weapons &amp; Items'!B:D,3,0))</f>
        <v>.</v>
      </c>
      <c r="L152" s="1187">
        <f>VLOOKUP(I152,'Price List, Weapons &amp; Items'!B:E,4,0)</f>
        <v>0</v>
      </c>
      <c r="M152" s="1188" t="s">
        <v>364</v>
      </c>
      <c r="N152" s="1188" t="s">
        <v>364</v>
      </c>
      <c r="O152" s="1188" t="str">
        <f>VLOOKUP($I152,'Price List, Weapons &amp; Items'!B:G,6,0)</f>
        <v>.</v>
      </c>
      <c r="P152" s="1185" t="str">
        <f t="shared" si="39"/>
        <v>.</v>
      </c>
      <c r="Q152" s="1185" t="str">
        <f t="shared" si="40"/>
        <v>.</v>
      </c>
      <c r="R152" s="1185">
        <f t="shared" si="36"/>
        <v>7000000</v>
      </c>
      <c r="S152" s="1185">
        <f>IF(AND(AD152=1,R152&lt;&gt;".")=TRUE,R152/VLOOKUP(G152,'Exchange Rates'!B:C,2,0),IF(R152=".",".",""))</f>
        <v>4766119.6976918364</v>
      </c>
      <c r="T152" s="1185">
        <f>IF(AD152=1,IF(AF152="Value is not given at all",".",IF(AF152="Value is given by the source",S152,IF(AF152="Value is calculated with prices",(IF(SUMIFS(Q:Q,A:A,A152)&gt;0,SUMIFS(Q:Q,A:A,A152),"."))/VLOOKUP("USD",'Exchange Rates'!B:C,2,0),"Error with coding"))),"")</f>
        <v>4766119.6976918364</v>
      </c>
      <c r="U152" s="1184" t="s">
        <v>365</v>
      </c>
      <c r="V152" s="971" t="s">
        <v>794</v>
      </c>
      <c r="W152" s="980" t="s">
        <v>795</v>
      </c>
      <c r="X152" s="1190" t="s">
        <v>364</v>
      </c>
      <c r="Y152" s="1190" t="s">
        <v>364</v>
      </c>
      <c r="Z152" s="1184">
        <v>0</v>
      </c>
      <c r="AA152" s="1194">
        <v>0</v>
      </c>
      <c r="AB152" s="975" t="s">
        <v>796</v>
      </c>
      <c r="AC152" s="1192" t="str">
        <f>""</f>
        <v/>
      </c>
      <c r="AD152" s="1193">
        <v>1</v>
      </c>
      <c r="AE152" s="1193" t="s">
        <v>368</v>
      </c>
      <c r="AF152" s="1193" t="s">
        <v>368</v>
      </c>
      <c r="AG152" s="1193">
        <v>1</v>
      </c>
      <c r="AH152" s="1193">
        <v>2</v>
      </c>
      <c r="AI152" s="1193">
        <v>1</v>
      </c>
      <c r="AJ152" s="1193">
        <f>VLOOKUP($I152,'Price List, Weapons &amp; Items'!B:F,5,0)</f>
        <v>0</v>
      </c>
      <c r="AK152" s="1193">
        <f t="shared" si="41"/>
        <v>0</v>
      </c>
      <c r="AL152" s="1193">
        <f t="shared" si="42"/>
        <v>0</v>
      </c>
      <c r="AM152" s="1193">
        <f t="shared" si="43"/>
        <v>0</v>
      </c>
      <c r="AN152" s="1194" t="str">
        <f>VLOOKUP($I152,'Price List, Weapons &amp; Items'!B:L,COLUMN('Price List, Weapons &amp; Items'!$J$11)-1,0)</f>
        <v>.</v>
      </c>
      <c r="AO152" s="1194" t="str">
        <f>IF(I152=".",".",VLOOKUP($I152,'Price List, Weapons &amp; Items'!B:J,3,0))</f>
        <v>.</v>
      </c>
      <c r="AP152" s="1195" t="str">
        <f t="shared" ca="1" si="37"/>
        <v>.</v>
      </c>
      <c r="AQ152" s="1194">
        <f>VLOOKUP($I152,'Price List, Weapons &amp; Items'!B:L,COLUMN('Price List, Weapons &amp; Items'!$L$11)-1,0)</f>
        <v>0</v>
      </c>
      <c r="AR152" s="1194">
        <f t="shared" si="44"/>
        <v>1</v>
      </c>
      <c r="AS152" s="1194">
        <f t="shared" si="45"/>
        <v>1</v>
      </c>
      <c r="AT152" s="1194">
        <f t="shared" si="46"/>
        <v>1</v>
      </c>
      <c r="AU152" s="1194" t="str">
        <f t="shared" si="47"/>
        <v>.</v>
      </c>
      <c r="AV152" s="1194" t="str">
        <f t="shared" si="38"/>
        <v>.</v>
      </c>
      <c r="AW152" s="1194" t="str">
        <f t="shared" si="48"/>
        <v>.</v>
      </c>
      <c r="AX152" s="1194">
        <f>IFERROR(VLOOKUP(B152,'Share, Heavy Weapons to Ukraine'!B:Z,COLUMN('Share, Heavy Weapons to Ukraine'!C162)-1,0),0)</f>
        <v>1</v>
      </c>
      <c r="AY152" s="1194">
        <f>VLOOKUP('Bilateral Assistance, MAIN DATA'!B152,'Country Summary (€)'!B:F,COLUMN('Country Summary (€)'!C163)-1,FALSE)</f>
        <v>0</v>
      </c>
      <c r="AZ152" s="1194" t="str">
        <f>IF(AND(AD152=1,D152="Military",H152&lt;&gt;"Not given")=TRUE,IF(SUMIFS(P:P,A:A,A152)&gt;0,ABS((SUMIFS(P:P,A:A,A152)/VLOOKUP("USD",'Exchange Rates'!B:C,2,0)))/S152,"."),".")</f>
        <v>.</v>
      </c>
      <c r="BA152" s="1196" t="str">
        <f>IF(AND(AD152=1,D152="Military",H152&lt;&gt;"Not given")=TRUE,IF(SUMIFS(P:P,A:A,A152)&gt;0,IF((ABS((SUMIFS(P:P,A:A,A152)/VLOOKUP("USD",'Exchange Rates'!B:C,2,0)))/S152)&gt;1,(SUMIFS(P:P,A:A,A152)-S152)/S152,(S152-SUMIFS(P:P,A:A,A152))/SUMIFS(P:P,A:A,A152)),"."),".")</f>
        <v>.</v>
      </c>
    </row>
    <row r="153" spans="1:53" ht="15.95" customHeight="1">
      <c r="A153" s="1182" t="s">
        <v>797</v>
      </c>
      <c r="B153" s="1182" t="s">
        <v>713</v>
      </c>
      <c r="C153" s="1181">
        <v>44619</v>
      </c>
      <c r="D153" s="1182" t="s">
        <v>389</v>
      </c>
      <c r="E153" s="1182" t="s">
        <v>390</v>
      </c>
      <c r="F153" s="1183" t="s">
        <v>798</v>
      </c>
      <c r="G153" s="1184" t="s">
        <v>456</v>
      </c>
      <c r="H153" s="1185" t="s">
        <v>457</v>
      </c>
      <c r="I153" s="1180" t="s">
        <v>799</v>
      </c>
      <c r="J153" s="1186" t="str">
        <f>VLOOKUP($I153,'Price List, Weapons &amp; Items'!B:C,2,0)</f>
        <v>Military equipment</v>
      </c>
      <c r="K153" s="1186" t="str">
        <f>IF(I153=".",I153,VLOOKUP($I153,'Price List, Weapons &amp; Items'!B:D,3,0))</f>
        <v>Military equipment</v>
      </c>
      <c r="L153" s="1187">
        <f>VLOOKUP(I153,'Price List, Weapons &amp; Items'!B:E,4,0)</f>
        <v>0</v>
      </c>
      <c r="M153" s="1188">
        <v>1600</v>
      </c>
      <c r="N153" s="1188">
        <v>1600</v>
      </c>
      <c r="O153" s="1188">
        <f>VLOOKUP($I153,'Price List, Weapons &amp; Items'!B:G,6,0)</f>
        <v>219</v>
      </c>
      <c r="P153" s="1185">
        <f t="shared" si="39"/>
        <v>350400</v>
      </c>
      <c r="Q153" s="1185">
        <f t="shared" si="40"/>
        <v>350400</v>
      </c>
      <c r="R153" s="1185">
        <f t="shared" si="36"/>
        <v>16263853.182718271</v>
      </c>
      <c r="S153" s="1185">
        <f>IF(AND(AD153=1,R153&lt;&gt;".")=TRUE,R153/VLOOKUP(G153,'Exchange Rates'!B:C,2,0),IF(R153=".",".",""))</f>
        <v>14964899.87368262</v>
      </c>
      <c r="T153" s="1185">
        <f>IF(AD153=1,IF(AF153="Value is not given at all",".",IF(AF153="Value is given by the source",S153,IF(AF153="Value is calculated with prices",(IF(SUMIFS(Q:Q,A:A,A153)&gt;0,SUMIFS(Q:Q,A:A,A153),"."))/VLOOKUP("USD",'Exchange Rates'!B:C,2,0),"Error with coding"))),"")</f>
        <v>14964899.87368262</v>
      </c>
      <c r="U153" s="1184" t="s">
        <v>365</v>
      </c>
      <c r="V153" s="974" t="s">
        <v>800</v>
      </c>
      <c r="W153" s="976" t="s">
        <v>801</v>
      </c>
      <c r="X153" s="1183" t="s">
        <v>364</v>
      </c>
      <c r="Y153" s="1183" t="s">
        <v>364</v>
      </c>
      <c r="Z153" s="1184">
        <v>0</v>
      </c>
      <c r="AA153" s="1194">
        <v>0</v>
      </c>
      <c r="AB153" s="975" t="s">
        <v>802</v>
      </c>
      <c r="AC153" s="1192" t="str">
        <f>""</f>
        <v/>
      </c>
      <c r="AD153" s="1193">
        <v>1</v>
      </c>
      <c r="AE153" s="1193" t="s">
        <v>436</v>
      </c>
      <c r="AF153" s="1193" t="s">
        <v>436</v>
      </c>
      <c r="AG153" s="1193">
        <v>1</v>
      </c>
      <c r="AH153" s="1193">
        <v>2</v>
      </c>
      <c r="AI153" s="1193">
        <v>0</v>
      </c>
      <c r="AJ153" s="1193">
        <f>VLOOKUP($I153,'Price List, Weapons &amp; Items'!B:F,5,0)</f>
        <v>0</v>
      </c>
      <c r="AK153" s="1193">
        <f t="shared" si="41"/>
        <v>0</v>
      </c>
      <c r="AL153" s="1193">
        <f t="shared" si="42"/>
        <v>0</v>
      </c>
      <c r="AM153" s="1193">
        <f t="shared" si="43"/>
        <v>0</v>
      </c>
      <c r="AN153" s="1194" t="str">
        <f>VLOOKUP($I153,'Price List, Weapons &amp; Items'!B:L,COLUMN('Price List, Weapons &amp; Items'!$J$11)-1,0)</f>
        <v>Online marketplaces and stores</v>
      </c>
      <c r="AO153" s="1194" t="str">
        <f>IF(I153=".",".",VLOOKUP($I153,'Price List, Weapons &amp; Items'!B:J,3,0))</f>
        <v>Military equipment</v>
      </c>
      <c r="AP153" s="1195" t="str">
        <f t="shared" ca="1" si="37"/>
        <v>fragmentation vest</v>
      </c>
      <c r="AQ153" s="1194">
        <f>VLOOKUP($I153,'Price List, Weapons &amp; Items'!B:L,COLUMN('Price List, Weapons &amp; Items'!$L$11)-1,0)</f>
        <v>1</v>
      </c>
      <c r="AR153" s="1194">
        <f t="shared" si="44"/>
        <v>1</v>
      </c>
      <c r="AS153" s="1194">
        <f t="shared" si="45"/>
        <v>1</v>
      </c>
      <c r="AT153" s="1194">
        <f t="shared" si="46"/>
        <v>1</v>
      </c>
      <c r="AU153" s="1194" t="str">
        <f t="shared" si="47"/>
        <v>.</v>
      </c>
      <c r="AV153" s="1194" t="str">
        <f t="shared" si="38"/>
        <v>.</v>
      </c>
      <c r="AW153" s="1194" t="str">
        <f t="shared" si="48"/>
        <v>.</v>
      </c>
      <c r="AX153" s="1194">
        <f>IFERROR(VLOOKUP(B153,'Share, Heavy Weapons to Ukraine'!B:Z,COLUMN('Share, Heavy Weapons to Ukraine'!C163)-1,0),0)</f>
        <v>1</v>
      </c>
      <c r="AY153" s="1194">
        <f>VLOOKUP('Bilateral Assistance, MAIN DATA'!B153,'Country Summary (€)'!B:F,COLUMN('Country Summary (€)'!C164)-1,FALSE)</f>
        <v>0</v>
      </c>
      <c r="AZ153" s="1194" t="str">
        <f>IF(AND(AD153=1,D153="Military",H153&lt;&gt;"Not given")=TRUE,IF(SUMIFS(P:P,A:A,A153)&gt;0,ABS((SUMIFS(P:P,A:A,A153)/VLOOKUP("USD",'Exchange Rates'!B:C,2,0)))/S153,"."),".")</f>
        <v>.</v>
      </c>
      <c r="BA153" s="1196" t="str">
        <f>IF(AND(AD153=1,D153="Military",H153&lt;&gt;"Not given")=TRUE,IF(SUMIFS(P:P,A:A,A153)&gt;0,IF((ABS((SUMIFS(P:P,A:A,A153)/VLOOKUP("USD",'Exchange Rates'!B:C,2,0)))/S153)&gt;1,(SUMIFS(P:P,A:A,A153)-S153)/S153,(S153-SUMIFS(P:P,A:A,A153))/SUMIFS(P:P,A:A,A153)),"."),".")</f>
        <v>.</v>
      </c>
    </row>
    <row r="154" spans="1:53" ht="15.95" customHeight="1">
      <c r="A154" s="1182" t="s">
        <v>797</v>
      </c>
      <c r="B154" s="1182" t="s">
        <v>713</v>
      </c>
      <c r="C154" s="1181">
        <v>44619</v>
      </c>
      <c r="D154" s="1182" t="s">
        <v>389</v>
      </c>
      <c r="E154" s="1182" t="s">
        <v>390</v>
      </c>
      <c r="F154" s="1183" t="s">
        <v>798</v>
      </c>
      <c r="G154" s="1184" t="s">
        <v>456</v>
      </c>
      <c r="H154" s="1185" t="s">
        <v>457</v>
      </c>
      <c r="I154" s="1180" t="s">
        <v>803</v>
      </c>
      <c r="J154" s="1186" t="str">
        <f>VLOOKUP($I154,'Price List, Weapons &amp; Items'!B:C,2,0)</f>
        <v>Military equipment</v>
      </c>
      <c r="K154" s="1186" t="str">
        <f>IF(I154=".",I154,VLOOKUP($I154,'Price List, Weapons &amp; Items'!B:D,3,0))</f>
        <v>Military equipment</v>
      </c>
      <c r="L154" s="1187">
        <f>VLOOKUP(I154,'Price List, Weapons &amp; Items'!B:E,4,0)</f>
        <v>0</v>
      </c>
      <c r="M154" s="1188">
        <v>390000</v>
      </c>
      <c r="N154" s="1188">
        <v>390000</v>
      </c>
      <c r="O154" s="1188">
        <f>VLOOKUP($I154,'Price List, Weapons &amp; Items'!B:G,6,0)</f>
        <v>22</v>
      </c>
      <c r="P154" s="1185">
        <f t="shared" si="39"/>
        <v>8580000</v>
      </c>
      <c r="Q154" s="1185">
        <f t="shared" si="40"/>
        <v>8580000</v>
      </c>
      <c r="R154" s="1185" t="str">
        <f t="shared" si="36"/>
        <v/>
      </c>
      <c r="S154" s="1185" t="str">
        <f>IF(AND(AD154=1,R154&lt;&gt;".")=TRUE,R154/VLOOKUP(G154,'Exchange Rates'!B:C,2,0),IF(R154=".",".",""))</f>
        <v/>
      </c>
      <c r="T154" s="1185" t="str">
        <f>IF(AD154=1,IF(AF154="Value is not given at all",".",IF(AF154="Value is given by the source",S154,IF(AF154="Value is calculated with prices",(IF(SUMIFS(Q:Q,A:A,A154)&gt;0,SUMIFS(Q:Q,A:A,A154),"."))/VLOOKUP("USD",'Exchange Rates'!B:C,2,0),"Error with coding"))),"")</f>
        <v/>
      </c>
      <c r="U154" s="1184" t="s">
        <v>365</v>
      </c>
      <c r="V154" s="974" t="s">
        <v>800</v>
      </c>
      <c r="W154" s="976" t="s">
        <v>801</v>
      </c>
      <c r="X154" s="1183" t="s">
        <v>364</v>
      </c>
      <c r="Y154" s="1183" t="s">
        <v>364</v>
      </c>
      <c r="Z154" s="1184">
        <v>0</v>
      </c>
      <c r="AA154" s="1194">
        <v>0</v>
      </c>
      <c r="AB154" s="1201" t="s">
        <v>364</v>
      </c>
      <c r="AC154" s="1192" t="str">
        <f>""</f>
        <v/>
      </c>
      <c r="AD154" s="1193">
        <v>0</v>
      </c>
      <c r="AE154" s="1193" t="s">
        <v>436</v>
      </c>
      <c r="AF154" s="1193" t="s">
        <v>436</v>
      </c>
      <c r="AG154" s="1193">
        <v>1</v>
      </c>
      <c r="AH154" s="1193">
        <v>2</v>
      </c>
      <c r="AI154" s="1193">
        <v>0</v>
      </c>
      <c r="AJ154" s="1193">
        <f>VLOOKUP($I154,'Price List, Weapons &amp; Items'!B:F,5,0)</f>
        <v>0</v>
      </c>
      <c r="AK154" s="1193">
        <f t="shared" si="41"/>
        <v>0</v>
      </c>
      <c r="AL154" s="1193">
        <f t="shared" si="42"/>
        <v>0</v>
      </c>
      <c r="AM154" s="1193">
        <f t="shared" si="43"/>
        <v>0</v>
      </c>
      <c r="AN154" s="1194" t="str">
        <f>VLOOKUP($I154,'Price List, Weapons &amp; Items'!B:L,COLUMN('Price List, Weapons &amp; Items'!$J$11)-1,0)</f>
        <v>Online marketplaces and stores</v>
      </c>
      <c r="AO154" s="1194" t="str">
        <f>IF(I154=".",".",VLOOKUP($I154,'Price List, Weapons &amp; Items'!B:J,3,0))</f>
        <v>Military equipment</v>
      </c>
      <c r="AP154" s="1195" t="str">
        <f t="shared" ca="1" si="37"/>
        <v/>
      </c>
      <c r="AQ154" s="1194">
        <f>VLOOKUP($I154,'Price List, Weapons &amp; Items'!B:L,COLUMN('Price List, Weapons &amp; Items'!$L$11)-1,0)</f>
        <v>2</v>
      </c>
      <c r="AR154" s="1194">
        <f t="shared" si="44"/>
        <v>1</v>
      </c>
      <c r="AS154" s="1194">
        <f t="shared" si="45"/>
        <v>1</v>
      </c>
      <c r="AT154" s="1194">
        <f t="shared" si="46"/>
        <v>1</v>
      </c>
      <c r="AU154" s="1194" t="str">
        <f t="shared" si="47"/>
        <v>.</v>
      </c>
      <c r="AV154" s="1194" t="str">
        <f t="shared" si="38"/>
        <v>.</v>
      </c>
      <c r="AW154" s="1194" t="str">
        <f t="shared" si="48"/>
        <v>.</v>
      </c>
      <c r="AX154" s="1194">
        <f>IFERROR(VLOOKUP(B154,'Share, Heavy Weapons to Ukraine'!B:Z,COLUMN('Share, Heavy Weapons to Ukraine'!C164)-1,0),0)</f>
        <v>1</v>
      </c>
      <c r="AY154" s="1194">
        <f>VLOOKUP('Bilateral Assistance, MAIN DATA'!B154,'Country Summary (€)'!B:F,COLUMN('Country Summary (€)'!C165)-1,FALSE)</f>
        <v>0</v>
      </c>
      <c r="AZ154" s="1194" t="str">
        <f>IF(AND(AD154=1,D154="Military",H154&lt;&gt;"Not given")=TRUE,IF(SUMIFS(P:P,A:A,A154)&gt;0,ABS((SUMIFS(P:P,A:A,A154)/VLOOKUP("USD",'Exchange Rates'!B:C,2,0)))/S154,"."),".")</f>
        <v>.</v>
      </c>
      <c r="BA154" s="1196" t="str">
        <f>IF(AND(AD154=1,D154="Military",H154&lt;&gt;"Not given")=TRUE,IF(SUMIFS(P:P,A:A,A154)&gt;0,IF((ABS((SUMIFS(P:P,A:A,A154)/VLOOKUP("USD",'Exchange Rates'!B:C,2,0)))/S154)&gt;1,(SUMIFS(P:P,A:A,A154)-S154)/S154,(S154-SUMIFS(P:P,A:A,A154))/SUMIFS(P:P,A:A,A154)),"."),".")</f>
        <v>.</v>
      </c>
    </row>
    <row r="155" spans="1:53" ht="15.95" customHeight="1">
      <c r="A155" s="1182" t="s">
        <v>797</v>
      </c>
      <c r="B155" s="1182" t="s">
        <v>713</v>
      </c>
      <c r="C155" s="1181">
        <v>44619</v>
      </c>
      <c r="D155" s="1182" t="s">
        <v>389</v>
      </c>
      <c r="E155" s="1182" t="s">
        <v>390</v>
      </c>
      <c r="F155" s="1183" t="s">
        <v>798</v>
      </c>
      <c r="G155" s="1184" t="s">
        <v>456</v>
      </c>
      <c r="H155" s="1185" t="s">
        <v>457</v>
      </c>
      <c r="I155" s="1180" t="s">
        <v>804</v>
      </c>
      <c r="J155" s="1186" t="str">
        <f>VLOOKUP($I155,'Price List, Weapons &amp; Items'!B:C,2,0)</f>
        <v>Light armaments &amp; infantry</v>
      </c>
      <c r="K155" s="1186" t="str">
        <f>IF(I155=".",I155,VLOOKUP($I155,'Price List, Weapons &amp; Items'!B:D,3,0))</f>
        <v>Recoilless rifle (RR/RCL)</v>
      </c>
      <c r="L155" s="1187">
        <f>VLOOKUP(I155,'Price List, Weapons &amp; Items'!B:E,4,0)</f>
        <v>0</v>
      </c>
      <c r="M155" s="1188">
        <v>100</v>
      </c>
      <c r="N155" s="1188">
        <v>100</v>
      </c>
      <c r="O155" s="1188">
        <f>VLOOKUP($I155,'Price List, Weapons &amp; Items'!B:G,6,0)</f>
        <v>38334.53182718272</v>
      </c>
      <c r="P155" s="1185">
        <f t="shared" si="39"/>
        <v>3833453.1827182719</v>
      </c>
      <c r="Q155" s="1185">
        <f t="shared" si="40"/>
        <v>3833453.1827182719</v>
      </c>
      <c r="R155" s="1185" t="str">
        <f t="shared" si="36"/>
        <v/>
      </c>
      <c r="S155" s="1185" t="str">
        <f>IF(AND(AD155=1,R155&lt;&gt;".")=TRUE,R155/VLOOKUP(G155,'Exchange Rates'!B:C,2,0),IF(R155=".",".",""))</f>
        <v/>
      </c>
      <c r="T155" s="1185" t="str">
        <f>IF(AD155=1,IF(AF155="Value is not given at all",".",IF(AF155="Value is given by the source",S155,IF(AF155="Value is calculated with prices",(IF(SUMIFS(Q:Q,A:A,A155)&gt;0,SUMIFS(Q:Q,A:A,A155),"."))/VLOOKUP("USD",'Exchange Rates'!B:C,2,0),"Error with coding"))),"")</f>
        <v/>
      </c>
      <c r="U155" s="1184" t="s">
        <v>365</v>
      </c>
      <c r="V155" s="974" t="s">
        <v>800</v>
      </c>
      <c r="W155" s="976" t="s">
        <v>801</v>
      </c>
      <c r="X155" s="1183" t="s">
        <v>364</v>
      </c>
      <c r="Y155" s="1183" t="s">
        <v>364</v>
      </c>
      <c r="Z155" s="1184">
        <v>0</v>
      </c>
      <c r="AA155" s="1194">
        <v>0</v>
      </c>
      <c r="AB155" s="975" t="s">
        <v>802</v>
      </c>
      <c r="AC155" s="1192" t="str">
        <f>""</f>
        <v/>
      </c>
      <c r="AD155" s="1193">
        <v>0</v>
      </c>
      <c r="AE155" s="1193" t="s">
        <v>436</v>
      </c>
      <c r="AF155" s="1193" t="s">
        <v>436</v>
      </c>
      <c r="AG155" s="1193">
        <v>1</v>
      </c>
      <c r="AH155" s="1193">
        <v>2</v>
      </c>
      <c r="AI155" s="1193">
        <v>0</v>
      </c>
      <c r="AJ155" s="1193">
        <f>VLOOKUP($I155,'Price List, Weapons &amp; Items'!B:F,5,0)</f>
        <v>0</v>
      </c>
      <c r="AK155" s="1193">
        <f t="shared" si="41"/>
        <v>0</v>
      </c>
      <c r="AL155" s="1193">
        <f t="shared" si="42"/>
        <v>0</v>
      </c>
      <c r="AM155" s="1193">
        <f t="shared" si="43"/>
        <v>0</v>
      </c>
      <c r="AN155" s="1194" t="str">
        <f>VLOOKUP($I155,'Price List, Weapons &amp; Items'!B:L,COLUMN('Price List, Weapons &amp; Items'!$J$11)-1,0)</f>
        <v>Military media (incl. websites)</v>
      </c>
      <c r="AO155" s="1194" t="str">
        <f>IF(I155=".",".",VLOOKUP($I155,'Price List, Weapons &amp; Items'!B:J,3,0))</f>
        <v>Recoilless rifle (RR/RCL)</v>
      </c>
      <c r="AP155" s="1195" t="str">
        <f t="shared" ca="1" si="37"/>
        <v/>
      </c>
      <c r="AQ155" s="1194">
        <f>VLOOKUP($I155,'Price List, Weapons &amp; Items'!B:L,COLUMN('Price List, Weapons &amp; Items'!$L$11)-1,0)</f>
        <v>2</v>
      </c>
      <c r="AR155" s="1194">
        <f t="shared" si="44"/>
        <v>1</v>
      </c>
      <c r="AS155" s="1194">
        <f t="shared" si="45"/>
        <v>1</v>
      </c>
      <c r="AT155" s="1194">
        <f t="shared" si="46"/>
        <v>1</v>
      </c>
      <c r="AU155" s="1194" t="str">
        <f t="shared" si="47"/>
        <v>.</v>
      </c>
      <c r="AV155" s="1194" t="str">
        <f t="shared" si="38"/>
        <v>.</v>
      </c>
      <c r="AW155" s="1194" t="str">
        <f t="shared" si="48"/>
        <v>.</v>
      </c>
      <c r="AX155" s="1194">
        <f>IFERROR(VLOOKUP(B155,'Share, Heavy Weapons to Ukraine'!B:Z,COLUMN('Share, Heavy Weapons to Ukraine'!C165)-1,0),0)</f>
        <v>1</v>
      </c>
      <c r="AY155" s="1194">
        <f>VLOOKUP('Bilateral Assistance, MAIN DATA'!B155,'Country Summary (€)'!B:F,COLUMN('Country Summary (€)'!C166)-1,FALSE)</f>
        <v>0</v>
      </c>
      <c r="AZ155" s="1194" t="str">
        <f>IF(AND(AD155=1,D155="Military",H155&lt;&gt;"Not given")=TRUE,IF(SUMIFS(P:P,A:A,A155)&gt;0,ABS((SUMIFS(P:P,A:A,A155)/VLOOKUP("USD",'Exchange Rates'!B:C,2,0)))/S155,"."),".")</f>
        <v>.</v>
      </c>
      <c r="BA155" s="1196" t="str">
        <f>IF(AND(AD155=1,D155="Military",H155&lt;&gt;"Not given")=TRUE,IF(SUMIFS(P:P,A:A,A155)&gt;0,IF((ABS((SUMIFS(P:P,A:A,A155)/VLOOKUP("USD",'Exchange Rates'!B:C,2,0)))/S155)&gt;1,(SUMIFS(P:P,A:A,A155)-S155)/S155,(S155-SUMIFS(P:P,A:A,A155))/SUMIFS(P:P,A:A,A155)),"."),".")</f>
        <v>.</v>
      </c>
    </row>
    <row r="156" spans="1:53" ht="15.95" customHeight="1">
      <c r="A156" s="1182" t="s">
        <v>797</v>
      </c>
      <c r="B156" s="1182" t="s">
        <v>713</v>
      </c>
      <c r="C156" s="1181">
        <v>44619</v>
      </c>
      <c r="D156" s="1182" t="s">
        <v>389</v>
      </c>
      <c r="E156" s="1182" t="s">
        <v>390</v>
      </c>
      <c r="F156" s="1183" t="s">
        <v>798</v>
      </c>
      <c r="G156" s="1184" t="s">
        <v>456</v>
      </c>
      <c r="H156" s="1185" t="s">
        <v>457</v>
      </c>
      <c r="I156" s="1180" t="s">
        <v>805</v>
      </c>
      <c r="J156" s="1186" t="str">
        <f>VLOOKUP($I156,'Price List, Weapons &amp; Items'!B:C,2,0)</f>
        <v>Ammunition for portable defence system</v>
      </c>
      <c r="K156" s="1186" t="str">
        <f>IF(I156=".",I156,VLOOKUP($I156,'Price List, Weapons &amp; Items'!B:D,3,0))</f>
        <v>Recoilless rifle (RR/RCL) ammunition</v>
      </c>
      <c r="L156" s="1187">
        <f>VLOOKUP(I156,'Price List, Weapons &amp; Items'!B:E,4,0)</f>
        <v>0</v>
      </c>
      <c r="M156" s="1188">
        <v>2000</v>
      </c>
      <c r="N156" s="1188">
        <v>2000</v>
      </c>
      <c r="O156" s="1188">
        <f>VLOOKUP($I156,'Price List, Weapons &amp; Items'!B:G,6,0)</f>
        <v>1750</v>
      </c>
      <c r="P156" s="1185">
        <f t="shared" si="39"/>
        <v>3500000</v>
      </c>
      <c r="Q156" s="1185">
        <f t="shared" si="40"/>
        <v>3500000</v>
      </c>
      <c r="R156" s="1185" t="str">
        <f t="shared" si="36"/>
        <v/>
      </c>
      <c r="S156" s="1185" t="str">
        <f>IF(AND(AD156=1,R156&lt;&gt;".")=TRUE,R156/VLOOKUP(G156,'Exchange Rates'!B:C,2,0),IF(R156=".",".",""))</f>
        <v/>
      </c>
      <c r="T156" s="1185" t="str">
        <f>IF(AD156=1,IF(AF156="Value is not given at all",".",IF(AF156="Value is given by the source",S156,IF(AF156="Value is calculated with prices",(IF(SUMIFS(Q:Q,A:A,A156)&gt;0,SUMIFS(Q:Q,A:A,A156),"."))/VLOOKUP("USD",'Exchange Rates'!B:C,2,0),"Error with coding"))),"")</f>
        <v/>
      </c>
      <c r="U156" s="1184" t="s">
        <v>365</v>
      </c>
      <c r="V156" s="974" t="s">
        <v>800</v>
      </c>
      <c r="W156" s="976" t="s">
        <v>801</v>
      </c>
      <c r="X156" s="1183" t="s">
        <v>364</v>
      </c>
      <c r="Y156" s="1183" t="s">
        <v>364</v>
      </c>
      <c r="Z156" s="1184">
        <v>0</v>
      </c>
      <c r="AA156" s="1194">
        <v>0</v>
      </c>
      <c r="AB156" s="975" t="s">
        <v>802</v>
      </c>
      <c r="AC156" s="1192" t="str">
        <f>""</f>
        <v/>
      </c>
      <c r="AD156" s="1193">
        <v>0</v>
      </c>
      <c r="AE156" s="1193" t="s">
        <v>436</v>
      </c>
      <c r="AF156" s="1193" t="s">
        <v>436</v>
      </c>
      <c r="AG156" s="1193">
        <v>1</v>
      </c>
      <c r="AH156" s="1193">
        <v>2</v>
      </c>
      <c r="AI156" s="1193">
        <v>0</v>
      </c>
      <c r="AJ156" s="1193">
        <f>VLOOKUP($I156,'Price List, Weapons &amp; Items'!B:F,5,0)</f>
        <v>0</v>
      </c>
      <c r="AK156" s="1193">
        <f t="shared" si="41"/>
        <v>0</v>
      </c>
      <c r="AL156" s="1193">
        <f t="shared" si="42"/>
        <v>0</v>
      </c>
      <c r="AM156" s="1193">
        <f t="shared" si="43"/>
        <v>1</v>
      </c>
      <c r="AN156" s="1194" t="str">
        <f>VLOOKUP($I156,'Price List, Weapons &amp; Items'!B:L,COLUMN('Price List, Weapons &amp; Items'!$J$11)-1,0)</f>
        <v>Military media (incl. websites)</v>
      </c>
      <c r="AO156" s="1194" t="str">
        <f>IF(I156=".",".",VLOOKUP($I156,'Price List, Weapons &amp; Items'!B:J,3,0))</f>
        <v>Recoilless rifle (RR/RCL) ammunition</v>
      </c>
      <c r="AP156" s="1195" t="str">
        <f t="shared" ca="1" si="37"/>
        <v/>
      </c>
      <c r="AQ156" s="1194">
        <f>VLOOKUP($I156,'Price List, Weapons &amp; Items'!B:L,COLUMN('Price List, Weapons &amp; Items'!$L$11)-1,0)</f>
        <v>2</v>
      </c>
      <c r="AR156" s="1194">
        <f t="shared" si="44"/>
        <v>1</v>
      </c>
      <c r="AS156" s="1194">
        <f t="shared" si="45"/>
        <v>1</v>
      </c>
      <c r="AT156" s="1194">
        <f t="shared" si="46"/>
        <v>1</v>
      </c>
      <c r="AU156" s="1194" t="str">
        <f t="shared" si="47"/>
        <v>.</v>
      </c>
      <c r="AV156" s="1194" t="str">
        <f t="shared" si="38"/>
        <v>.</v>
      </c>
      <c r="AW156" s="1194" t="str">
        <f t="shared" si="48"/>
        <v>.</v>
      </c>
      <c r="AX156" s="1194">
        <f>IFERROR(VLOOKUP(B156,'Share, Heavy Weapons to Ukraine'!B:Z,COLUMN('Share, Heavy Weapons to Ukraine'!C166)-1,0),0)</f>
        <v>1</v>
      </c>
      <c r="AY156" s="1194">
        <f>VLOOKUP('Bilateral Assistance, MAIN DATA'!B156,'Country Summary (€)'!B:F,COLUMN('Country Summary (€)'!C167)-1,FALSE)</f>
        <v>0</v>
      </c>
      <c r="AZ156" s="1194" t="str">
        <f>IF(AND(AD156=1,D156="Military",H156&lt;&gt;"Not given")=TRUE,IF(SUMIFS(P:P,A:A,A156)&gt;0,ABS((SUMIFS(P:P,A:A,A156)/VLOOKUP("USD",'Exchange Rates'!B:C,2,0)))/S156,"."),".")</f>
        <v>.</v>
      </c>
      <c r="BA156" s="1196" t="str">
        <f>IF(AND(AD156=1,D156="Military",H156&lt;&gt;"Not given")=TRUE,IF(SUMIFS(P:P,A:A,A156)&gt;0,IF((ABS((SUMIFS(P:P,A:A,A156)/VLOOKUP("USD",'Exchange Rates'!B:C,2,0)))/S156)&gt;1,(SUMIFS(P:P,A:A,A156)-S156)/S156,(S156-SUMIFS(P:P,A:A,A156))/SUMIFS(P:P,A:A,A156)),"."),".")</f>
        <v>.</v>
      </c>
    </row>
    <row r="157" spans="1:53" ht="15.95" customHeight="1">
      <c r="A157" s="1182" t="s">
        <v>806</v>
      </c>
      <c r="B157" s="1182" t="s">
        <v>713</v>
      </c>
      <c r="C157" s="1181">
        <v>44619</v>
      </c>
      <c r="D157" s="1182" t="s">
        <v>389</v>
      </c>
      <c r="E157" s="1182" t="s">
        <v>398</v>
      </c>
      <c r="F157" s="1183" t="s">
        <v>807</v>
      </c>
      <c r="G157" s="1184" t="s">
        <v>716</v>
      </c>
      <c r="H157" s="1185">
        <v>25000000</v>
      </c>
      <c r="I157" s="1180" t="s">
        <v>594</v>
      </c>
      <c r="J157" s="1186" t="str">
        <f>VLOOKUP($I157,'Price List, Weapons &amp; Items'!B:C,2,0)</f>
        <v>Military equipment</v>
      </c>
      <c r="K157" s="1186" t="str">
        <f>IF(I157=".",I157,VLOOKUP($I157,'Price List, Weapons &amp; Items'!B:D,3,0))</f>
        <v>Military equipment</v>
      </c>
      <c r="L157" s="1187">
        <f>VLOOKUP(I157,'Price List, Weapons &amp; Items'!B:E,4,0)</f>
        <v>0</v>
      </c>
      <c r="M157" s="1188" t="s">
        <v>374</v>
      </c>
      <c r="N157" s="1188" t="s">
        <v>374</v>
      </c>
      <c r="O157" s="1188">
        <f>VLOOKUP($I157,'Price List, Weapons &amp; Items'!B:G,6,0)</f>
        <v>1400</v>
      </c>
      <c r="P157" s="1185" t="str">
        <f t="shared" si="39"/>
        <v>.</v>
      </c>
      <c r="Q157" s="1185" t="str">
        <f t="shared" si="40"/>
        <v>.</v>
      </c>
      <c r="R157" s="1185">
        <f t="shared" si="36"/>
        <v>25000000</v>
      </c>
      <c r="S157" s="1185">
        <f>IF(AND(AD157=1,R157&lt;&gt;".")=TRUE,R157/VLOOKUP(G157,'Exchange Rates'!B:C,2,0),IF(R157=".",".",""))</f>
        <v>17021856.063185129</v>
      </c>
      <c r="T157" s="1185">
        <f>IF(AD157=1,IF(AF157="Value is not given at all",".",IF(AF157="Value is given by the source",S157,IF(AF157="Value is calculated with prices",(IF(SUMIFS(Q:Q,A:A,A157)&gt;0,SUMIFS(Q:Q,A:A,A157),"."))/VLOOKUP("USD",'Exchange Rates'!B:C,2,0),"Error with coding"))),"")</f>
        <v>17021856.063185129</v>
      </c>
      <c r="U157" s="1184" t="s">
        <v>365</v>
      </c>
      <c r="V157" s="974" t="s">
        <v>800</v>
      </c>
      <c r="W157" s="974" t="s">
        <v>808</v>
      </c>
      <c r="X157" s="1190" t="s">
        <v>364</v>
      </c>
      <c r="Y157" s="1190" t="s">
        <v>364</v>
      </c>
      <c r="Z157" s="1184">
        <v>0</v>
      </c>
      <c r="AA157" s="1194">
        <v>0</v>
      </c>
      <c r="AB157" s="975" t="s">
        <v>809</v>
      </c>
      <c r="AC157" s="1192" t="str">
        <f>""</f>
        <v/>
      </c>
      <c r="AD157" s="1193">
        <v>1</v>
      </c>
      <c r="AE157" s="1193" t="s">
        <v>368</v>
      </c>
      <c r="AF157" s="1193" t="s">
        <v>368</v>
      </c>
      <c r="AG157" s="1193">
        <v>1</v>
      </c>
      <c r="AH157" s="1193">
        <v>2</v>
      </c>
      <c r="AI157" s="1193">
        <v>0</v>
      </c>
      <c r="AJ157" s="1193">
        <f>VLOOKUP($I157,'Price List, Weapons &amp; Items'!B:F,5,0)</f>
        <v>0</v>
      </c>
      <c r="AK157" s="1193">
        <f t="shared" si="41"/>
        <v>0</v>
      </c>
      <c r="AL157" s="1193">
        <f t="shared" si="42"/>
        <v>0</v>
      </c>
      <c r="AM157" s="1193">
        <f t="shared" si="43"/>
        <v>0</v>
      </c>
      <c r="AN157" s="1194" t="str">
        <f>VLOOKUP($I157,'Price List, Weapons &amp; Items'!B:L,COLUMN('Price List, Weapons &amp; Items'!$J$11)-1,0)</f>
        <v>Military media (incl. websites)</v>
      </c>
      <c r="AO157" s="1194" t="str">
        <f>IF(I157=".",".",VLOOKUP($I157,'Price List, Weapons &amp; Items'!B:J,3,0))</f>
        <v>Military equipment</v>
      </c>
      <c r="AP157" s="1195" t="str">
        <f t="shared" ca="1" si="37"/>
        <v>helmet</v>
      </c>
      <c r="AQ157" s="1194">
        <f>VLOOKUP($I157,'Price List, Weapons &amp; Items'!B:L,COLUMN('Price List, Weapons &amp; Items'!$L$11)-1,0)</f>
        <v>2</v>
      </c>
      <c r="AR157" s="1194">
        <f t="shared" si="44"/>
        <v>1</v>
      </c>
      <c r="AS157" s="1194">
        <f t="shared" si="45"/>
        <v>1</v>
      </c>
      <c r="AT157" s="1194">
        <f t="shared" si="46"/>
        <v>1</v>
      </c>
      <c r="AU157" s="1194" t="str">
        <f t="shared" si="47"/>
        <v>.</v>
      </c>
      <c r="AV157" s="1194" t="str">
        <f t="shared" si="38"/>
        <v>.</v>
      </c>
      <c r="AW157" s="1194" t="str">
        <f t="shared" si="48"/>
        <v>.</v>
      </c>
      <c r="AX157" s="1194">
        <f>IFERROR(VLOOKUP(B157,'Share, Heavy Weapons to Ukraine'!B:Z,COLUMN('Share, Heavy Weapons to Ukraine'!C167)-1,0),0)</f>
        <v>1</v>
      </c>
      <c r="AY157" s="1194">
        <f>VLOOKUP('Bilateral Assistance, MAIN DATA'!B157,'Country Summary (€)'!B:F,COLUMN('Country Summary (€)'!C168)-1,FALSE)</f>
        <v>0</v>
      </c>
      <c r="AZ157" s="1194" t="str">
        <f>IF(AND(AD157=1,D157="Military",H157&lt;&gt;"Not given")=TRUE,IF(SUMIFS(P:P,A:A,A157)&gt;0,ABS((SUMIFS(P:P,A:A,A157)/VLOOKUP("USD",'Exchange Rates'!B:C,2,0)))/S157,"."),".")</f>
        <v>.</v>
      </c>
      <c r="BA157" s="1196" t="str">
        <f>IF(AND(AD157=1,D157="Military",H157&lt;&gt;"Not given")=TRUE,IF(SUMIFS(P:P,A:A,A157)&gt;0,IF((ABS((SUMIFS(P:P,A:A,A157)/VLOOKUP("USD",'Exchange Rates'!B:C,2,0)))/S157)&gt;1,(SUMIFS(P:P,A:A,A157)-S157)/S157,(S157-SUMIFS(P:P,A:A,A157))/SUMIFS(P:P,A:A,A157)),"."),".")</f>
        <v>.</v>
      </c>
    </row>
    <row r="158" spans="1:53" ht="15.95" customHeight="1">
      <c r="A158" s="1182" t="s">
        <v>806</v>
      </c>
      <c r="B158" s="1182" t="s">
        <v>713</v>
      </c>
      <c r="C158" s="1181">
        <v>44619</v>
      </c>
      <c r="D158" s="1182" t="s">
        <v>389</v>
      </c>
      <c r="E158" s="1182" t="s">
        <v>398</v>
      </c>
      <c r="F158" s="1183" t="s">
        <v>807</v>
      </c>
      <c r="G158" s="1184" t="s">
        <v>716</v>
      </c>
      <c r="H158" s="1185">
        <v>25000000</v>
      </c>
      <c r="I158" s="1267" t="s">
        <v>694</v>
      </c>
      <c r="J158" s="1186" t="str">
        <f>VLOOKUP($I158,'Price List, Weapons &amp; Items'!B:C,2,0)</f>
        <v>Military equipment</v>
      </c>
      <c r="K158" s="1186" t="str">
        <f>IF(I158=".",I158,VLOOKUP($I158,'Price List, Weapons &amp; Items'!B:D,3,0))</f>
        <v>Military equipment</v>
      </c>
      <c r="L158" s="1187">
        <f>VLOOKUP(I158,'Price List, Weapons &amp; Items'!B:E,4,0)</f>
        <v>0</v>
      </c>
      <c r="M158" s="1188" t="s">
        <v>374</v>
      </c>
      <c r="N158" s="1188" t="s">
        <v>374</v>
      </c>
      <c r="O158" s="1188">
        <f>VLOOKUP($I158,'Price List, Weapons &amp; Items'!B:G,6,0)</f>
        <v>500</v>
      </c>
      <c r="P158" s="1185" t="str">
        <f t="shared" si="39"/>
        <v>.</v>
      </c>
      <c r="Q158" s="1185" t="str">
        <f t="shared" si="40"/>
        <v>.</v>
      </c>
      <c r="R158" s="1185" t="str">
        <f t="shared" si="36"/>
        <v/>
      </c>
      <c r="S158" s="1185" t="str">
        <f>IF(AND(AD158=1,R158&lt;&gt;".")=TRUE,R158/VLOOKUP(G158,'Exchange Rates'!B:C,2,0),IF(R158=".",".",""))</f>
        <v/>
      </c>
      <c r="T158" s="1185" t="str">
        <f>IF(AD158=1,IF(AF158="Value is not given at all",".",IF(AF158="Value is given by the source",S158,IF(AF158="Value is calculated with prices",(IF(SUMIFS(Q:Q,A:A,A158)&gt;0,SUMIFS(Q:Q,A:A,A158),"."))/VLOOKUP("USD",'Exchange Rates'!B:C,2,0),"Error with coding"))),"")</f>
        <v/>
      </c>
      <c r="U158" s="1184" t="s">
        <v>365</v>
      </c>
      <c r="V158" s="974" t="s">
        <v>800</v>
      </c>
      <c r="W158" s="974" t="s">
        <v>808</v>
      </c>
      <c r="X158" s="1190" t="s">
        <v>364</v>
      </c>
      <c r="Y158" s="1190" t="s">
        <v>364</v>
      </c>
      <c r="Z158" s="1184">
        <v>0</v>
      </c>
      <c r="AA158" s="1194">
        <v>0</v>
      </c>
      <c r="AB158" s="975" t="s">
        <v>809</v>
      </c>
      <c r="AC158" s="1192" t="str">
        <f>""</f>
        <v/>
      </c>
      <c r="AD158" s="1193">
        <v>0</v>
      </c>
      <c r="AE158" s="1193" t="s">
        <v>368</v>
      </c>
      <c r="AF158" s="1193" t="s">
        <v>368</v>
      </c>
      <c r="AG158" s="1193">
        <v>1</v>
      </c>
      <c r="AH158" s="1193">
        <v>2</v>
      </c>
      <c r="AI158" s="1193">
        <v>0</v>
      </c>
      <c r="AJ158" s="1193">
        <f>VLOOKUP($I158,'Price List, Weapons &amp; Items'!B:F,5,0)</f>
        <v>0</v>
      </c>
      <c r="AK158" s="1193">
        <f t="shared" si="41"/>
        <v>0</v>
      </c>
      <c r="AL158" s="1193">
        <f t="shared" si="42"/>
        <v>0</v>
      </c>
      <c r="AM158" s="1193">
        <f t="shared" si="43"/>
        <v>0</v>
      </c>
      <c r="AN158" s="1194" t="str">
        <f>VLOOKUP($I158,'Price List, Weapons &amp; Items'!B:L,COLUMN('Price List, Weapons &amp; Items'!$J$11)-1,0)</f>
        <v>Military media (incl. websites)</v>
      </c>
      <c r="AO158" s="1194" t="str">
        <f>IF(I158=".",".",VLOOKUP($I158,'Price List, Weapons &amp; Items'!B:J,3,0))</f>
        <v>Military equipment</v>
      </c>
      <c r="AP158" s="1195" t="str">
        <f t="shared" ca="1" si="37"/>
        <v/>
      </c>
      <c r="AQ158" s="1194">
        <f>VLOOKUP($I158,'Price List, Weapons &amp; Items'!B:L,COLUMN('Price List, Weapons &amp; Items'!$L$11)-1,0)</f>
        <v>2</v>
      </c>
      <c r="AR158" s="1194">
        <f t="shared" si="44"/>
        <v>1</v>
      </c>
      <c r="AS158" s="1194">
        <f t="shared" si="45"/>
        <v>1</v>
      </c>
      <c r="AT158" s="1194">
        <f t="shared" si="46"/>
        <v>1</v>
      </c>
      <c r="AU158" s="1194" t="str">
        <f t="shared" si="47"/>
        <v>.</v>
      </c>
      <c r="AV158" s="1194" t="str">
        <f t="shared" si="38"/>
        <v>.</v>
      </c>
      <c r="AW158" s="1194" t="str">
        <f t="shared" si="48"/>
        <v>.</v>
      </c>
      <c r="AX158" s="1194">
        <f>IFERROR(VLOOKUP(B158,'Share, Heavy Weapons to Ukraine'!B:Z,COLUMN('Share, Heavy Weapons to Ukraine'!C168)-1,0),0)</f>
        <v>1</v>
      </c>
      <c r="AY158" s="1194">
        <f>VLOOKUP('Bilateral Assistance, MAIN DATA'!B158,'Country Summary (€)'!B:F,COLUMN('Country Summary (€)'!C169)-1,FALSE)</f>
        <v>0</v>
      </c>
      <c r="AZ158" s="1194" t="str">
        <f>IF(AND(AD158=1,D158="Military",H158&lt;&gt;"Not given")=TRUE,IF(SUMIFS(P:P,A:A,A158)&gt;0,ABS((SUMIFS(P:P,A:A,A158)/VLOOKUP("USD",'Exchange Rates'!B:C,2,0)))/S158,"."),".")</f>
        <v>.</v>
      </c>
      <c r="BA158" s="1196" t="str">
        <f>IF(AND(AD158=1,D158="Military",H158&lt;&gt;"Not given")=TRUE,IF(SUMIFS(P:P,A:A,A158)&gt;0,IF((ABS((SUMIFS(P:P,A:A,A158)/VLOOKUP("USD",'Exchange Rates'!B:C,2,0)))/S158)&gt;1,(SUMIFS(P:P,A:A,A158)-S158)/S158,(S158-SUMIFS(P:P,A:A,A158))/SUMIFS(P:P,A:A,A158)),"."),".")</f>
        <v>.</v>
      </c>
    </row>
    <row r="159" spans="1:53" ht="15.95" customHeight="1">
      <c r="A159" s="1182" t="s">
        <v>806</v>
      </c>
      <c r="B159" s="1182" t="s">
        <v>713</v>
      </c>
      <c r="C159" s="1181">
        <v>44619</v>
      </c>
      <c r="D159" s="1182" t="s">
        <v>389</v>
      </c>
      <c r="E159" s="1182" t="s">
        <v>398</v>
      </c>
      <c r="F159" s="1183" t="s">
        <v>807</v>
      </c>
      <c r="G159" s="1184" t="s">
        <v>716</v>
      </c>
      <c r="H159" s="1185">
        <v>25000000</v>
      </c>
      <c r="I159" s="1268" t="s">
        <v>810</v>
      </c>
      <c r="J159" s="1186" t="str">
        <f>VLOOKUP($I159,'Price List, Weapons &amp; Items'!B:C,2,0)</f>
        <v>Military equipment</v>
      </c>
      <c r="K159" s="1186" t="str">
        <f>IF(I159=".",I159,VLOOKUP($I159,'Price List, Weapons &amp; Items'!B:D,3,0))</f>
        <v>Military equipment</v>
      </c>
      <c r="L159" s="1187">
        <f>VLOOKUP(I159,'Price List, Weapons &amp; Items'!B:E,4,0)</f>
        <v>0</v>
      </c>
      <c r="M159" s="1188" t="s">
        <v>374</v>
      </c>
      <c r="N159" s="1188" t="s">
        <v>374</v>
      </c>
      <c r="O159" s="1188">
        <f>VLOOKUP($I159,'Price List, Weapons &amp; Items'!B:G,6,0)</f>
        <v>62</v>
      </c>
      <c r="P159" s="1185" t="str">
        <f t="shared" si="39"/>
        <v>.</v>
      </c>
      <c r="Q159" s="1185" t="str">
        <f t="shared" si="40"/>
        <v>.</v>
      </c>
      <c r="R159" s="1185" t="str">
        <f t="shared" si="36"/>
        <v/>
      </c>
      <c r="S159" s="1185" t="str">
        <f>IF(AND(AD159=1,R159&lt;&gt;".")=TRUE,R159/VLOOKUP(G159,'Exchange Rates'!B:C,2,0),IF(R159=".",".",""))</f>
        <v/>
      </c>
      <c r="T159" s="1185" t="str">
        <f>IF(AD159=1,IF(AF159="Value is not given at all",".",IF(AF159="Value is given by the source",S159,IF(AF159="Value is calculated with prices",(IF(SUMIFS(Q:Q,A:A,A159)&gt;0,SUMIFS(Q:Q,A:A,A159),"."))/VLOOKUP("USD",'Exchange Rates'!B:C,2,0),"Error with coding"))),"")</f>
        <v/>
      </c>
      <c r="U159" s="1184" t="s">
        <v>365</v>
      </c>
      <c r="V159" s="974" t="s">
        <v>800</v>
      </c>
      <c r="W159" s="974" t="s">
        <v>808</v>
      </c>
      <c r="X159" s="1190" t="s">
        <v>364</v>
      </c>
      <c r="Y159" s="1190" t="s">
        <v>364</v>
      </c>
      <c r="Z159" s="1184">
        <v>0</v>
      </c>
      <c r="AA159" s="1194">
        <v>0</v>
      </c>
      <c r="AB159" s="975" t="s">
        <v>809</v>
      </c>
      <c r="AC159" s="1192" t="str">
        <f>""</f>
        <v/>
      </c>
      <c r="AD159" s="1193">
        <v>0</v>
      </c>
      <c r="AE159" s="1193" t="s">
        <v>368</v>
      </c>
      <c r="AF159" s="1193" t="s">
        <v>368</v>
      </c>
      <c r="AG159" s="1193">
        <v>1</v>
      </c>
      <c r="AH159" s="1193">
        <v>2</v>
      </c>
      <c r="AI159" s="1193">
        <v>0</v>
      </c>
      <c r="AJ159" s="1193">
        <f>VLOOKUP($I159,'Price List, Weapons &amp; Items'!B:F,5,0)</f>
        <v>0</v>
      </c>
      <c r="AK159" s="1193">
        <f t="shared" si="41"/>
        <v>0</v>
      </c>
      <c r="AL159" s="1193">
        <f t="shared" si="42"/>
        <v>0</v>
      </c>
      <c r="AM159" s="1193">
        <f t="shared" si="43"/>
        <v>0</v>
      </c>
      <c r="AN159" s="1194" t="str">
        <f>VLOOKUP($I159,'Price List, Weapons &amp; Items'!B:L,COLUMN('Price List, Weapons &amp; Items'!$J$11)-1,0)</f>
        <v>Online marketplaces and stores</v>
      </c>
      <c r="AO159" s="1194" t="str">
        <f>IF(I159=".",".",VLOOKUP($I159,'Price List, Weapons &amp; Items'!B:J,3,0))</f>
        <v>Military equipment</v>
      </c>
      <c r="AP159" s="1195" t="str">
        <f t="shared" ca="1" si="37"/>
        <v/>
      </c>
      <c r="AQ159" s="1194">
        <f>VLOOKUP($I159,'Price List, Weapons &amp; Items'!B:L,COLUMN('Price List, Weapons &amp; Items'!$L$11)-1,0)</f>
        <v>1</v>
      </c>
      <c r="AR159" s="1194">
        <f t="shared" si="44"/>
        <v>1</v>
      </c>
      <c r="AS159" s="1194">
        <f t="shared" si="45"/>
        <v>1</v>
      </c>
      <c r="AT159" s="1194">
        <f t="shared" si="46"/>
        <v>1</v>
      </c>
      <c r="AU159" s="1194" t="str">
        <f t="shared" si="47"/>
        <v>.</v>
      </c>
      <c r="AV159" s="1194" t="str">
        <f t="shared" si="38"/>
        <v>.</v>
      </c>
      <c r="AW159" s="1194" t="str">
        <f t="shared" si="48"/>
        <v>.</v>
      </c>
      <c r="AX159" s="1194">
        <f>IFERROR(VLOOKUP(B159,'Share, Heavy Weapons to Ukraine'!B:Z,COLUMN('Share, Heavy Weapons to Ukraine'!C169)-1,0),0)</f>
        <v>1</v>
      </c>
      <c r="AY159" s="1194">
        <f>VLOOKUP('Bilateral Assistance, MAIN DATA'!B159,'Country Summary (€)'!B:F,COLUMN('Country Summary (€)'!C170)-1,FALSE)</f>
        <v>0</v>
      </c>
      <c r="AZ159" s="1194" t="str">
        <f>IF(AND(AD159=1,D159="Military",H159&lt;&gt;"Not given")=TRUE,IF(SUMIFS(P:P,A:A,A159)&gt;0,ABS((SUMIFS(P:P,A:A,A159)/VLOOKUP("USD",'Exchange Rates'!B:C,2,0)))/S159,"."),".")</f>
        <v>.</v>
      </c>
      <c r="BA159" s="1196" t="str">
        <f>IF(AND(AD159=1,D159="Military",H159&lt;&gt;"Not given")=TRUE,IF(SUMIFS(P:P,A:A,A159)&gt;0,IF((ABS((SUMIFS(P:P,A:A,A159)/VLOOKUP("USD",'Exchange Rates'!B:C,2,0)))/S159)&gt;1,(SUMIFS(P:P,A:A,A159)-S159)/S159,(S159-SUMIFS(P:P,A:A,A159))/SUMIFS(P:P,A:A,A159)),"."),".")</f>
        <v>.</v>
      </c>
    </row>
    <row r="160" spans="1:53" ht="15.95" customHeight="1">
      <c r="A160" s="1182" t="s">
        <v>806</v>
      </c>
      <c r="B160" s="1182" t="s">
        <v>713</v>
      </c>
      <c r="C160" s="1181">
        <v>44619</v>
      </c>
      <c r="D160" s="1182" t="s">
        <v>389</v>
      </c>
      <c r="E160" s="1182" t="s">
        <v>398</v>
      </c>
      <c r="F160" s="1183" t="s">
        <v>807</v>
      </c>
      <c r="G160" s="1184" t="s">
        <v>716</v>
      </c>
      <c r="H160" s="1185">
        <v>25000000</v>
      </c>
      <c r="I160" s="1269" t="s">
        <v>605</v>
      </c>
      <c r="J160" s="1186" t="str">
        <f>VLOOKUP($I160,'Price List, Weapons &amp; Items'!B:C,2,0)</f>
        <v>Military equipment</v>
      </c>
      <c r="K160" s="1186" t="str">
        <f>IF(I160=".",I160,VLOOKUP($I160,'Price List, Weapons &amp; Items'!B:D,3,0))</f>
        <v>Military equipment</v>
      </c>
      <c r="L160" s="1187">
        <f>VLOOKUP(I160,'Price List, Weapons &amp; Items'!B:E,4,0)</f>
        <v>0</v>
      </c>
      <c r="M160" s="1188" t="s">
        <v>374</v>
      </c>
      <c r="N160" s="1188" t="s">
        <v>374</v>
      </c>
      <c r="O160" s="1188">
        <f>VLOOKUP($I160,'Price List, Weapons &amp; Items'!B:G,6,0)</f>
        <v>2320</v>
      </c>
      <c r="P160" s="1185" t="str">
        <f t="shared" si="39"/>
        <v>.</v>
      </c>
      <c r="Q160" s="1185" t="str">
        <f t="shared" si="40"/>
        <v>.</v>
      </c>
      <c r="R160" s="1185" t="str">
        <f t="shared" si="36"/>
        <v/>
      </c>
      <c r="S160" s="1185" t="str">
        <f>IF(AND(AD160=1,R160&lt;&gt;".")=TRUE,R160/VLOOKUP(G160,'Exchange Rates'!B:C,2,0),IF(R160=".",".",""))</f>
        <v/>
      </c>
      <c r="T160" s="1185" t="str">
        <f>IF(AD160=1,IF(AF160="Value is not given at all",".",IF(AF160="Value is given by the source",S160,IF(AF160="Value is calculated with prices",(IF(SUMIFS(Q:Q,A:A,A160)&gt;0,SUMIFS(Q:Q,A:A,A160),"."))/VLOOKUP("USD",'Exchange Rates'!B:C,2,0),"Error with coding"))),"")</f>
        <v/>
      </c>
      <c r="U160" s="1184" t="s">
        <v>365</v>
      </c>
      <c r="V160" s="974" t="s">
        <v>800</v>
      </c>
      <c r="W160" s="974" t="s">
        <v>808</v>
      </c>
      <c r="X160" s="1190" t="s">
        <v>364</v>
      </c>
      <c r="Y160" s="1190" t="s">
        <v>364</v>
      </c>
      <c r="Z160" s="1184">
        <v>0</v>
      </c>
      <c r="AA160" s="1194">
        <v>0</v>
      </c>
      <c r="AB160" s="975" t="s">
        <v>809</v>
      </c>
      <c r="AC160" s="1192" t="str">
        <f>""</f>
        <v/>
      </c>
      <c r="AD160" s="1193">
        <v>0</v>
      </c>
      <c r="AE160" s="1193" t="s">
        <v>368</v>
      </c>
      <c r="AF160" s="1193" t="s">
        <v>368</v>
      </c>
      <c r="AG160" s="1193">
        <v>1</v>
      </c>
      <c r="AH160" s="1193">
        <v>2</v>
      </c>
      <c r="AI160" s="1193">
        <v>0</v>
      </c>
      <c r="AJ160" s="1193">
        <f>VLOOKUP($I160,'Price List, Weapons &amp; Items'!B:F,5,0)</f>
        <v>0</v>
      </c>
      <c r="AK160" s="1193">
        <f t="shared" si="41"/>
        <v>0</v>
      </c>
      <c r="AL160" s="1193">
        <f t="shared" si="42"/>
        <v>0</v>
      </c>
      <c r="AM160" s="1193">
        <f t="shared" si="43"/>
        <v>0</v>
      </c>
      <c r="AN160" s="1194" t="str">
        <f>VLOOKUP($I160,'Price List, Weapons &amp; Items'!B:L,COLUMN('Price List, Weapons &amp; Items'!$J$11)-1,0)</f>
        <v>Media reports (incl. social media)</v>
      </c>
      <c r="AO160" s="1194" t="str">
        <f>IF(I160=".",".",VLOOKUP($I160,'Price List, Weapons &amp; Items'!B:J,3,0))</f>
        <v>Military equipment</v>
      </c>
      <c r="AP160" s="1195" t="str">
        <f t="shared" ca="1" si="37"/>
        <v/>
      </c>
      <c r="AQ160" s="1194">
        <f>VLOOKUP($I160,'Price List, Weapons &amp; Items'!B:L,COLUMN('Price List, Weapons &amp; Items'!$L$11)-1,0)</f>
        <v>2</v>
      </c>
      <c r="AR160" s="1194">
        <f t="shared" si="44"/>
        <v>1</v>
      </c>
      <c r="AS160" s="1194">
        <f t="shared" si="45"/>
        <v>1</v>
      </c>
      <c r="AT160" s="1194">
        <f t="shared" si="46"/>
        <v>1</v>
      </c>
      <c r="AU160" s="1194" t="str">
        <f t="shared" si="47"/>
        <v>.</v>
      </c>
      <c r="AV160" s="1194" t="str">
        <f t="shared" si="38"/>
        <v>.</v>
      </c>
      <c r="AW160" s="1194" t="str">
        <f t="shared" si="48"/>
        <v>.</v>
      </c>
      <c r="AX160" s="1194">
        <f>IFERROR(VLOOKUP(B160,'Share, Heavy Weapons to Ukraine'!B:Z,COLUMN('Share, Heavy Weapons to Ukraine'!C170)-1,0),0)</f>
        <v>1</v>
      </c>
      <c r="AY160" s="1194">
        <f>VLOOKUP('Bilateral Assistance, MAIN DATA'!B160,'Country Summary (€)'!B:F,COLUMN('Country Summary (€)'!C171)-1,FALSE)</f>
        <v>0</v>
      </c>
      <c r="AZ160" s="1194" t="str">
        <f>IF(AND(AD160=1,D160="Military",H160&lt;&gt;"Not given")=TRUE,IF(SUMIFS(P:P,A:A,A160)&gt;0,ABS((SUMIFS(P:P,A:A,A160)/VLOOKUP("USD",'Exchange Rates'!B:C,2,0)))/S160,"."),".")</f>
        <v>.</v>
      </c>
      <c r="BA160" s="1196" t="str">
        <f>IF(AND(AD160=1,D160="Military",H160&lt;&gt;"Not given")=TRUE,IF(SUMIFS(P:P,A:A,A160)&gt;0,IF((ABS((SUMIFS(P:P,A:A,A160)/VLOOKUP("USD",'Exchange Rates'!B:C,2,0)))/S160)&gt;1,(SUMIFS(P:P,A:A,A160)-S160)/S160,(S160-SUMIFS(P:P,A:A,A160))/SUMIFS(P:P,A:A,A160)),"."),".")</f>
        <v>.</v>
      </c>
    </row>
    <row r="161" spans="1:53" ht="15.95" customHeight="1">
      <c r="A161" s="1182" t="s">
        <v>811</v>
      </c>
      <c r="B161" s="1182" t="s">
        <v>713</v>
      </c>
      <c r="C161" s="1181">
        <v>44623</v>
      </c>
      <c r="D161" s="1182" t="s">
        <v>389</v>
      </c>
      <c r="E161" s="1182" t="s">
        <v>390</v>
      </c>
      <c r="F161" s="1183" t="s">
        <v>812</v>
      </c>
      <c r="G161" s="1184" t="s">
        <v>456</v>
      </c>
      <c r="H161" s="1185" t="s">
        <v>457</v>
      </c>
      <c r="I161" s="1180" t="s">
        <v>593</v>
      </c>
      <c r="J161" s="1186" t="str">
        <f>VLOOKUP($I161,'Price List, Weapons &amp; Items'!B:C,2,0)</f>
        <v>Portable defence system</v>
      </c>
      <c r="K161" s="1186" t="str">
        <f>IF(I161=".",I161,VLOOKUP($I161,'Price List, Weapons &amp; Items'!B:D,3,0))</f>
        <v>Light Anti-armor Weapon (LAW)</v>
      </c>
      <c r="L161" s="1187">
        <f>VLOOKUP(I161,'Price List, Weapons &amp; Items'!B:E,4,0)</f>
        <v>0</v>
      </c>
      <c r="M161" s="1188">
        <v>4500</v>
      </c>
      <c r="N161" s="1188">
        <v>4500</v>
      </c>
      <c r="O161" s="1188">
        <f>VLOOKUP($I161,'Price List, Weapons &amp; Items'!B:G,6,0)</f>
        <v>1475</v>
      </c>
      <c r="P161" s="1185">
        <f t="shared" si="39"/>
        <v>6637500</v>
      </c>
      <c r="Q161" s="1185">
        <f t="shared" si="40"/>
        <v>6637500</v>
      </c>
      <c r="R161" s="1185">
        <f t="shared" si="36"/>
        <v>6975000</v>
      </c>
      <c r="S161" s="1185">
        <f>IF(AND(AD161=1,R161&lt;&gt;".")=TRUE,R161/VLOOKUP(G161,'Exchange Rates'!B:C,2,0),IF(R161=".",".",""))</f>
        <v>6417924.1810820755</v>
      </c>
      <c r="T161" s="1185">
        <f>IF(AD161=1,IF(AF161="Value is not given at all",".",IF(AF161="Value is given by the source",S161,IF(AF161="Value is calculated with prices",(IF(SUMIFS(Q:Q,A:A,A161)&gt;0,SUMIFS(Q:Q,A:A,A161),"."))/VLOOKUP("USD",'Exchange Rates'!B:C,2,0),"Error with coding"))),"")</f>
        <v>6417924.1810820755</v>
      </c>
      <c r="U161" s="1184" t="s">
        <v>365</v>
      </c>
      <c r="V161" s="974" t="s">
        <v>813</v>
      </c>
      <c r="W161" s="976" t="s">
        <v>801</v>
      </c>
      <c r="X161" s="1183" t="s">
        <v>364</v>
      </c>
      <c r="Y161" s="1183" t="s">
        <v>364</v>
      </c>
      <c r="Z161" s="1184">
        <v>0</v>
      </c>
      <c r="AA161" s="1194">
        <v>0</v>
      </c>
      <c r="AB161" s="975" t="s">
        <v>802</v>
      </c>
      <c r="AC161" s="1192" t="str">
        <f>""</f>
        <v/>
      </c>
      <c r="AD161" s="1193">
        <v>1</v>
      </c>
      <c r="AE161" s="1193" t="s">
        <v>436</v>
      </c>
      <c r="AF161" s="1193" t="s">
        <v>436</v>
      </c>
      <c r="AG161" s="1193">
        <v>1</v>
      </c>
      <c r="AH161" s="1193">
        <v>3</v>
      </c>
      <c r="AI161" s="1193">
        <v>0</v>
      </c>
      <c r="AJ161" s="1193">
        <f>VLOOKUP($I161,'Price List, Weapons &amp; Items'!B:F,5,0)</f>
        <v>0</v>
      </c>
      <c r="AK161" s="1193">
        <f t="shared" si="41"/>
        <v>0</v>
      </c>
      <c r="AL161" s="1193">
        <f t="shared" si="42"/>
        <v>0</v>
      </c>
      <c r="AM161" s="1193">
        <f t="shared" si="43"/>
        <v>0</v>
      </c>
      <c r="AN161" s="1194" t="str">
        <f>VLOOKUP($I161,'Price List, Weapons &amp; Items'!B:L,COLUMN('Price List, Weapons &amp; Items'!$J$11)-1,0)</f>
        <v>Military media (incl. websites)</v>
      </c>
      <c r="AO161" s="1194" t="str">
        <f>IF(I161=".",".",VLOOKUP($I161,'Price List, Weapons &amp; Items'!B:J,3,0))</f>
        <v>Light Anti-armor Weapon (LAW)</v>
      </c>
      <c r="AP161" s="1195" t="str">
        <f t="shared" ca="1" si="37"/>
        <v>M72 rocket launcher</v>
      </c>
      <c r="AQ161" s="1194">
        <f>VLOOKUP($I161,'Price List, Weapons &amp; Items'!B:L,COLUMN('Price List, Weapons &amp; Items'!$L$11)-1,0)</f>
        <v>2</v>
      </c>
      <c r="AR161" s="1194">
        <f t="shared" si="44"/>
        <v>1</v>
      </c>
      <c r="AS161" s="1194">
        <f t="shared" si="45"/>
        <v>1</v>
      </c>
      <c r="AT161" s="1194">
        <f t="shared" si="46"/>
        <v>1</v>
      </c>
      <c r="AU161" s="1194" t="str">
        <f t="shared" si="47"/>
        <v>.</v>
      </c>
      <c r="AV161" s="1194" t="str">
        <f t="shared" si="38"/>
        <v>.</v>
      </c>
      <c r="AW161" s="1194" t="str">
        <f t="shared" si="48"/>
        <v>.</v>
      </c>
      <c r="AX161" s="1194">
        <f>IFERROR(VLOOKUP(B161,'Share, Heavy Weapons to Ukraine'!B:Z,COLUMN('Share, Heavy Weapons to Ukraine'!C171)-1,0),0)</f>
        <v>1</v>
      </c>
      <c r="AY161" s="1194">
        <f>VLOOKUP('Bilateral Assistance, MAIN DATA'!B161,'Country Summary (€)'!B:F,COLUMN('Country Summary (€)'!C172)-1,FALSE)</f>
        <v>0</v>
      </c>
      <c r="AZ161" s="1194" t="str">
        <f>IF(AND(AD161=1,D161="Military",H161&lt;&gt;"Not given")=TRUE,IF(SUMIFS(P:P,A:A,A161)&gt;0,ABS((SUMIFS(P:P,A:A,A161)/VLOOKUP("USD",'Exchange Rates'!B:C,2,0)))/S161,"."),".")</f>
        <v>.</v>
      </c>
      <c r="BA161" s="1196" t="str">
        <f>IF(AND(AD161=1,D161="Military",H161&lt;&gt;"Not given")=TRUE,IF(SUMIFS(P:P,A:A,A161)&gt;0,IF((ABS((SUMIFS(P:P,A:A,A161)/VLOOKUP("USD",'Exchange Rates'!B:C,2,0)))/S161)&gt;1,(SUMIFS(P:P,A:A,A161)-S161)/S161,(S161-SUMIFS(P:P,A:A,A161))/SUMIFS(P:P,A:A,A161)),"."),".")</f>
        <v>.</v>
      </c>
    </row>
    <row r="162" spans="1:53" ht="15.95" customHeight="1">
      <c r="A162" s="1182" t="s">
        <v>811</v>
      </c>
      <c r="B162" s="1182" t="s">
        <v>713</v>
      </c>
      <c r="C162" s="1181">
        <v>44623</v>
      </c>
      <c r="D162" s="1182" t="s">
        <v>389</v>
      </c>
      <c r="E162" s="1182" t="s">
        <v>390</v>
      </c>
      <c r="F162" s="1183" t="s">
        <v>812</v>
      </c>
      <c r="G162" s="1184" t="s">
        <v>456</v>
      </c>
      <c r="H162" s="1185" t="s">
        <v>457</v>
      </c>
      <c r="I162" s="1180" t="s">
        <v>622</v>
      </c>
      <c r="J162" s="1186" t="str">
        <f>VLOOKUP($I162,'Price List, Weapons &amp; Items'!B:C,2,0)</f>
        <v>Light armaments &amp; infantry</v>
      </c>
      <c r="K162" s="1186" t="str">
        <f>IF(I162=".",I162,VLOOKUP($I162,'Price List, Weapons &amp; Items'!B:D,3,0))</f>
        <v>Explosive</v>
      </c>
      <c r="L162" s="1187">
        <f>VLOOKUP(I162,'Price List, Weapons &amp; Items'!B:E,4,0)</f>
        <v>0</v>
      </c>
      <c r="M162" s="1188">
        <v>7500</v>
      </c>
      <c r="N162" s="1188">
        <v>7500</v>
      </c>
      <c r="O162" s="1188">
        <f>VLOOKUP($I162,'Price List, Weapons &amp; Items'!B:G,6,0)</f>
        <v>45</v>
      </c>
      <c r="P162" s="1185">
        <f t="shared" si="39"/>
        <v>337500</v>
      </c>
      <c r="Q162" s="1185">
        <f t="shared" si="40"/>
        <v>337500</v>
      </c>
      <c r="R162" s="1185" t="str">
        <f t="shared" si="36"/>
        <v/>
      </c>
      <c r="S162" s="1185" t="str">
        <f>IF(AND(AD162=1,R162&lt;&gt;".")=TRUE,R162/VLOOKUP(G162,'Exchange Rates'!B:C,2,0),IF(R162=".",".",""))</f>
        <v/>
      </c>
      <c r="T162" s="1185" t="str">
        <f>IF(AD162=1,IF(AF162="Value is not given at all",".",IF(AF162="Value is given by the source",S162,IF(AF162="Value is calculated with prices",(IF(SUMIFS(Q:Q,A:A,A162)&gt;0,SUMIFS(Q:Q,A:A,A162),"."))/VLOOKUP("USD",'Exchange Rates'!B:C,2,0),"Error with coding"))),"")</f>
        <v/>
      </c>
      <c r="U162" s="1184" t="s">
        <v>365</v>
      </c>
      <c r="V162" s="974" t="s">
        <v>813</v>
      </c>
      <c r="W162" s="976" t="s">
        <v>801</v>
      </c>
      <c r="X162" s="1183" t="s">
        <v>364</v>
      </c>
      <c r="Y162" s="1183" t="s">
        <v>364</v>
      </c>
      <c r="Z162" s="1184">
        <v>0</v>
      </c>
      <c r="AA162" s="1194">
        <v>0</v>
      </c>
      <c r="AB162" s="975" t="s">
        <v>802</v>
      </c>
      <c r="AC162" s="1192" t="str">
        <f>""</f>
        <v/>
      </c>
      <c r="AD162" s="1193">
        <v>0</v>
      </c>
      <c r="AE162" s="1193" t="s">
        <v>436</v>
      </c>
      <c r="AF162" s="1193" t="s">
        <v>436</v>
      </c>
      <c r="AG162" s="1193">
        <v>1</v>
      </c>
      <c r="AH162" s="1193">
        <v>3</v>
      </c>
      <c r="AI162" s="1193">
        <v>0</v>
      </c>
      <c r="AJ162" s="1193">
        <f>VLOOKUP($I162,'Price List, Weapons &amp; Items'!B:F,5,0)</f>
        <v>0</v>
      </c>
      <c r="AK162" s="1193">
        <f t="shared" si="41"/>
        <v>0</v>
      </c>
      <c r="AL162" s="1193">
        <f t="shared" si="42"/>
        <v>0</v>
      </c>
      <c r="AM162" s="1193">
        <f t="shared" si="43"/>
        <v>0</v>
      </c>
      <c r="AN162" s="1194" t="str">
        <f>VLOOKUP($I162,'Price List, Weapons &amp; Items'!B:L,COLUMN('Price List, Weapons &amp; Items'!$J$11)-1,0)</f>
        <v>Miscellaneous</v>
      </c>
      <c r="AO162" s="1194" t="str">
        <f>IF(I162=".",".",VLOOKUP($I162,'Price List, Weapons &amp; Items'!B:J,3,0))</f>
        <v>Explosive</v>
      </c>
      <c r="AP162" s="1195" t="str">
        <f t="shared" ca="1" si="37"/>
        <v/>
      </c>
      <c r="AQ162" s="1194">
        <f>VLOOKUP($I162,'Price List, Weapons &amp; Items'!B:L,COLUMN('Price List, Weapons &amp; Items'!$L$11)-1,0)</f>
        <v>2</v>
      </c>
      <c r="AR162" s="1194">
        <f t="shared" si="44"/>
        <v>1</v>
      </c>
      <c r="AS162" s="1194">
        <f t="shared" si="45"/>
        <v>1</v>
      </c>
      <c r="AT162" s="1194">
        <f t="shared" si="46"/>
        <v>1</v>
      </c>
      <c r="AU162" s="1194" t="str">
        <f t="shared" si="47"/>
        <v>.</v>
      </c>
      <c r="AV162" s="1194" t="str">
        <f t="shared" si="38"/>
        <v>.</v>
      </c>
      <c r="AW162" s="1194" t="str">
        <f t="shared" si="48"/>
        <v>.</v>
      </c>
      <c r="AX162" s="1194">
        <f>IFERROR(VLOOKUP(B162,'Share, Heavy Weapons to Ukraine'!B:Z,COLUMN('Share, Heavy Weapons to Ukraine'!C172)-1,0),0)</f>
        <v>1</v>
      </c>
      <c r="AY162" s="1194">
        <f>VLOOKUP('Bilateral Assistance, MAIN DATA'!B162,'Country Summary (€)'!B:F,COLUMN('Country Summary (€)'!C173)-1,FALSE)</f>
        <v>0</v>
      </c>
      <c r="AZ162" s="1194" t="str">
        <f>IF(AND(AD162=1,D162="Military",H162&lt;&gt;"Not given")=TRUE,IF(SUMIFS(P:P,A:A,A162)&gt;0,ABS((SUMIFS(P:P,A:A,A162)/VLOOKUP("USD",'Exchange Rates'!B:C,2,0)))/S162,"."),".")</f>
        <v>.</v>
      </c>
      <c r="BA162" s="1196" t="str">
        <f>IF(AND(AD162=1,D162="Military",H162&lt;&gt;"Not given")=TRUE,IF(SUMIFS(P:P,A:A,A162)&gt;0,IF((ABS((SUMIFS(P:P,A:A,A162)/VLOOKUP("USD",'Exchange Rates'!B:C,2,0)))/S162)&gt;1,(SUMIFS(P:P,A:A,A162)-S162)/S162,(S162-SUMIFS(P:P,A:A,A162))/SUMIFS(P:P,A:A,A162)),"."),".")</f>
        <v>.</v>
      </c>
    </row>
    <row r="163" spans="1:53" ht="15.95" customHeight="1">
      <c r="A163" s="1180" t="s">
        <v>814</v>
      </c>
      <c r="B163" s="1180" t="s">
        <v>713</v>
      </c>
      <c r="C163" s="1181">
        <v>44623</v>
      </c>
      <c r="D163" s="1182" t="s">
        <v>389</v>
      </c>
      <c r="E163" s="1182" t="s">
        <v>398</v>
      </c>
      <c r="F163" s="1183" t="s">
        <v>815</v>
      </c>
      <c r="G163" s="1184" t="s">
        <v>716</v>
      </c>
      <c r="H163" s="1185">
        <v>1000000</v>
      </c>
      <c r="I163" s="1180" t="s">
        <v>364</v>
      </c>
      <c r="J163" s="1186" t="str">
        <f>VLOOKUP($I163,'Price List, Weapons &amp; Items'!B:C,2,0)</f>
        <v>.</v>
      </c>
      <c r="K163" s="1186" t="str">
        <f>IF(I163=".",I163,VLOOKUP($I163,'Price List, Weapons &amp; Items'!B:D,3,0))</f>
        <v>.</v>
      </c>
      <c r="L163" s="1187">
        <f>VLOOKUP(I163,'Price List, Weapons &amp; Items'!B:E,4,0)</f>
        <v>0</v>
      </c>
      <c r="M163" s="1188" t="s">
        <v>364</v>
      </c>
      <c r="N163" s="1188" t="s">
        <v>364</v>
      </c>
      <c r="O163" s="1188" t="str">
        <f>VLOOKUP($I163,'Price List, Weapons &amp; Items'!B:G,6,0)</f>
        <v>.</v>
      </c>
      <c r="P163" s="1185" t="str">
        <f t="shared" si="39"/>
        <v>.</v>
      </c>
      <c r="Q163" s="1185" t="str">
        <f t="shared" si="40"/>
        <v>.</v>
      </c>
      <c r="R163" s="1185">
        <f t="shared" si="36"/>
        <v>1000000</v>
      </c>
      <c r="S163" s="1185">
        <f>IF(AND(AD163=1,R163&lt;&gt;".")=TRUE,R163/VLOOKUP(G163,'Exchange Rates'!B:C,2,0),IF(R163=".",".",""))</f>
        <v>680874.24252740527</v>
      </c>
      <c r="T163" s="1185">
        <f>IF(AD163=1,IF(AF163="Value is not given at all",".",IF(AF163="Value is given by the source",S163,IF(AF163="Value is calculated with prices",(IF(SUMIFS(Q:Q,A:A,A163)&gt;0,SUMIFS(Q:Q,A:A,A163),"."))/VLOOKUP("USD",'Exchange Rates'!B:C,2,0),"Error with coding"))),"")</f>
        <v>680874.24252740527</v>
      </c>
      <c r="U163" s="1184" t="s">
        <v>365</v>
      </c>
      <c r="V163" s="971" t="s">
        <v>813</v>
      </c>
      <c r="W163" s="976" t="s">
        <v>801</v>
      </c>
      <c r="X163" s="1190" t="s">
        <v>364</v>
      </c>
      <c r="Y163" s="1190" t="s">
        <v>364</v>
      </c>
      <c r="Z163" s="1184">
        <v>0</v>
      </c>
      <c r="AA163" s="1194">
        <v>0</v>
      </c>
      <c r="AB163" s="975" t="s">
        <v>816</v>
      </c>
      <c r="AC163" s="1192" t="str">
        <f>""</f>
        <v/>
      </c>
      <c r="AD163" s="1193">
        <v>1</v>
      </c>
      <c r="AE163" s="1193" t="s">
        <v>368</v>
      </c>
      <c r="AF163" s="1193" t="s">
        <v>368</v>
      </c>
      <c r="AG163" s="1193">
        <v>1</v>
      </c>
      <c r="AH163" s="1193">
        <v>3</v>
      </c>
      <c r="AI163" s="1193">
        <v>0</v>
      </c>
      <c r="AJ163" s="1193">
        <f>VLOOKUP($I163,'Price List, Weapons &amp; Items'!B:F,5,0)</f>
        <v>0</v>
      </c>
      <c r="AK163" s="1193">
        <f t="shared" si="41"/>
        <v>0</v>
      </c>
      <c r="AL163" s="1193">
        <f t="shared" si="42"/>
        <v>0</v>
      </c>
      <c r="AM163" s="1193">
        <f t="shared" si="43"/>
        <v>0</v>
      </c>
      <c r="AN163" s="1194" t="str">
        <f>VLOOKUP($I163,'Price List, Weapons &amp; Items'!B:L,COLUMN('Price List, Weapons &amp; Items'!$J$11)-1,0)</f>
        <v>.</v>
      </c>
      <c r="AO163" s="1194" t="str">
        <f>IF(I163=".",".",VLOOKUP($I163,'Price List, Weapons &amp; Items'!B:J,3,0))</f>
        <v>.</v>
      </c>
      <c r="AP163" s="1195" t="str">
        <f t="shared" ca="1" si="37"/>
        <v>.</v>
      </c>
      <c r="AQ163" s="1194">
        <f>VLOOKUP($I163,'Price List, Weapons &amp; Items'!B:L,COLUMN('Price List, Weapons &amp; Items'!$L$11)-1,0)</f>
        <v>0</v>
      </c>
      <c r="AR163" s="1194">
        <f t="shared" si="44"/>
        <v>1</v>
      </c>
      <c r="AS163" s="1194">
        <f t="shared" si="45"/>
        <v>1</v>
      </c>
      <c r="AT163" s="1194">
        <f t="shared" si="46"/>
        <v>1</v>
      </c>
      <c r="AU163" s="1194" t="str">
        <f t="shared" si="47"/>
        <v>.</v>
      </c>
      <c r="AV163" s="1194" t="str">
        <f t="shared" si="38"/>
        <v>.</v>
      </c>
      <c r="AW163" s="1194" t="str">
        <f t="shared" si="48"/>
        <v>.</v>
      </c>
      <c r="AX163" s="1194">
        <f>IFERROR(VLOOKUP(B163,'Share, Heavy Weapons to Ukraine'!B:Z,COLUMN('Share, Heavy Weapons to Ukraine'!C173)-1,0),0)</f>
        <v>1</v>
      </c>
      <c r="AY163" s="1194">
        <f>VLOOKUP('Bilateral Assistance, MAIN DATA'!B163,'Country Summary (€)'!B:F,COLUMN('Country Summary (€)'!C174)-1,FALSE)</f>
        <v>0</v>
      </c>
      <c r="AZ163" s="1194" t="str">
        <f>IF(AND(AD163=1,D163="Military",H163&lt;&gt;"Not given")=TRUE,IF(SUMIFS(P:P,A:A,A163)&gt;0,ABS((SUMIFS(P:P,A:A,A163)/VLOOKUP("USD",'Exchange Rates'!B:C,2,0)))/S163,"."),".")</f>
        <v>.</v>
      </c>
      <c r="BA163" s="1196" t="str">
        <f>IF(AND(AD163=1,D163="Military",H163&lt;&gt;"Not given")=TRUE,IF(SUMIFS(P:P,A:A,A163)&gt;0,IF((ABS((SUMIFS(P:P,A:A,A163)/VLOOKUP("USD",'Exchange Rates'!B:C,2,0)))/S163)&gt;1,(SUMIFS(P:P,A:A,A163)-S163)/S163,(S163-SUMIFS(P:P,A:A,A163))/SUMIFS(P:P,A:A,A163)),"."),".")</f>
        <v>.</v>
      </c>
    </row>
    <row r="164" spans="1:53" ht="15.95" customHeight="1">
      <c r="A164" s="1182" t="s">
        <v>817</v>
      </c>
      <c r="B164" s="1182" t="s">
        <v>713</v>
      </c>
      <c r="C164" s="1181">
        <v>44629</v>
      </c>
      <c r="D164" s="1182" t="s">
        <v>389</v>
      </c>
      <c r="E164" s="1182" t="s">
        <v>390</v>
      </c>
      <c r="F164" s="1183" t="s">
        <v>818</v>
      </c>
      <c r="G164" s="1184" t="s">
        <v>716</v>
      </c>
      <c r="H164" s="1185">
        <v>50000000</v>
      </c>
      <c r="I164" s="1180" t="s">
        <v>819</v>
      </c>
      <c r="J164" s="1186" t="str">
        <f>VLOOKUP($I164,'Price List, Weapons &amp; Items'!B:C,2,0)</f>
        <v>Light armaments &amp; infantry</v>
      </c>
      <c r="K164" s="1186" t="str">
        <f>IF(I164=".",I164,VLOOKUP($I164,'Price List, Weapons &amp; Items'!B:D,3,0))</f>
        <v>Small Arms and Light Weapons (SALW)</v>
      </c>
      <c r="L164" s="1187">
        <f>VLOOKUP(I164,'Price List, Weapons &amp; Items'!B:E,4,0)</f>
        <v>0</v>
      </c>
      <c r="M164" s="1188" t="s">
        <v>374</v>
      </c>
      <c r="N164" s="1188" t="s">
        <v>374</v>
      </c>
      <c r="O164" s="1188" t="str">
        <f>VLOOKUP($I164,'Price List, Weapons &amp; Items'!B:G,6,0)</f>
        <v>.</v>
      </c>
      <c r="P164" s="1185" t="str">
        <f t="shared" si="39"/>
        <v>.</v>
      </c>
      <c r="Q164" s="1185" t="str">
        <f t="shared" si="40"/>
        <v>.</v>
      </c>
      <c r="R164" s="1185">
        <f t="shared" si="36"/>
        <v>50000000</v>
      </c>
      <c r="S164" s="1185">
        <f>IF(AND(AD164=1,R164&lt;&gt;".")=TRUE,R164/VLOOKUP(G164,'Exchange Rates'!B:C,2,0),IF(R164=".",".",""))</f>
        <v>34043712.126370259</v>
      </c>
      <c r="T164" s="1185">
        <f>IF(AD164=1,IF(AF164="Value is not given at all",".",IF(AF164="Value is given by the source",S164,IF(AF164="Value is calculated with prices",(IF(SUMIFS(Q:Q,A:A,A164)&gt;0,SUMIFS(Q:Q,A:A,A164),"."))/VLOOKUP("USD",'Exchange Rates'!B:C,2,0),"Error with coding"))),"")</f>
        <v>34043712.126370259</v>
      </c>
      <c r="U164" s="1184" t="s">
        <v>675</v>
      </c>
      <c r="V164" s="974" t="s">
        <v>820</v>
      </c>
      <c r="W164" s="974" t="s">
        <v>821</v>
      </c>
      <c r="X164" s="1190" t="s">
        <v>364</v>
      </c>
      <c r="Y164" s="1190" t="s">
        <v>364</v>
      </c>
      <c r="Z164" s="1184">
        <v>0</v>
      </c>
      <c r="AA164" s="1194">
        <v>0</v>
      </c>
      <c r="AB164" s="975" t="s">
        <v>822</v>
      </c>
      <c r="AC164" s="1192" t="str">
        <f>""</f>
        <v/>
      </c>
      <c r="AD164" s="1193">
        <v>1</v>
      </c>
      <c r="AE164" s="1193" t="s">
        <v>368</v>
      </c>
      <c r="AF164" s="1193" t="s">
        <v>368</v>
      </c>
      <c r="AG164" s="1193">
        <v>1</v>
      </c>
      <c r="AH164" s="1193">
        <v>3</v>
      </c>
      <c r="AI164" s="1193">
        <v>0</v>
      </c>
      <c r="AJ164" s="1193">
        <f>VLOOKUP($I164,'Price List, Weapons &amp; Items'!B:F,5,0)</f>
        <v>0</v>
      </c>
      <c r="AK164" s="1193">
        <f t="shared" si="41"/>
        <v>0</v>
      </c>
      <c r="AL164" s="1193">
        <f t="shared" si="42"/>
        <v>0</v>
      </c>
      <c r="AM164" s="1193">
        <f t="shared" si="43"/>
        <v>0</v>
      </c>
      <c r="AN164" s="1194" t="str">
        <f>VLOOKUP($I164,'Price List, Weapons &amp; Items'!B:L,COLUMN('Price List, Weapons &amp; Items'!$J$11)-1,0)</f>
        <v>.</v>
      </c>
      <c r="AO164" s="1194" t="str">
        <f>IF(I164=".",".",VLOOKUP($I164,'Price List, Weapons &amp; Items'!B:J,3,0))</f>
        <v>Small Arms and Light Weapons (SALW)</v>
      </c>
      <c r="AP164" s="1195" t="str">
        <f t="shared" ca="1" si="37"/>
        <v>Lethal weapons</v>
      </c>
      <c r="AQ164" s="1194" t="str">
        <f>VLOOKUP($I164,'Price List, Weapons &amp; Items'!B:L,COLUMN('Price List, Weapons &amp; Items'!$L$11)-1,0)</f>
        <v>no price, 0 count</v>
      </c>
      <c r="AR164" s="1194">
        <f t="shared" si="44"/>
        <v>0</v>
      </c>
      <c r="AS164" s="1194">
        <f t="shared" si="45"/>
        <v>1</v>
      </c>
      <c r="AT164" s="1194">
        <f t="shared" si="46"/>
        <v>1</v>
      </c>
      <c r="AU164" s="1194" t="str">
        <f t="shared" si="47"/>
        <v>.</v>
      </c>
      <c r="AV164" s="1194" t="str">
        <f t="shared" si="38"/>
        <v>.</v>
      </c>
      <c r="AW164" s="1194" t="str">
        <f t="shared" si="48"/>
        <v>.</v>
      </c>
      <c r="AX164" s="1194">
        <f>IFERROR(VLOOKUP(B164,'Share, Heavy Weapons to Ukraine'!B:Z,COLUMN('Share, Heavy Weapons to Ukraine'!C174)-1,0),0)</f>
        <v>1</v>
      </c>
      <c r="AY164" s="1194">
        <f>VLOOKUP('Bilateral Assistance, MAIN DATA'!B164,'Country Summary (€)'!B:F,COLUMN('Country Summary (€)'!C175)-1,FALSE)</f>
        <v>0</v>
      </c>
      <c r="AZ164" s="1194" t="str">
        <f>IF(AND(AD164=1,D164="Military",H164&lt;&gt;"Not given")=TRUE,IF(SUMIFS(P:P,A:A,A164)&gt;0,ABS((SUMIFS(P:P,A:A,A164)/VLOOKUP("USD",'Exchange Rates'!B:C,2,0)))/S164,"."),".")</f>
        <v>.</v>
      </c>
      <c r="BA164" s="1196" t="str">
        <f>IF(AND(AD164=1,D164="Military",H164&lt;&gt;"Not given")=TRUE,IF(SUMIFS(P:P,A:A,A164)&gt;0,IF((ABS((SUMIFS(P:P,A:A,A164)/VLOOKUP("USD",'Exchange Rates'!B:C,2,0)))/S164)&gt;1,(SUMIFS(P:P,A:A,A164)-S164)/S164,(S164-SUMIFS(P:P,A:A,A164))/SUMIFS(P:P,A:A,A164)),"."),".")</f>
        <v>.</v>
      </c>
    </row>
    <row r="165" spans="1:53" ht="15.95" customHeight="1">
      <c r="A165" s="1182" t="s">
        <v>817</v>
      </c>
      <c r="B165" s="1182" t="s">
        <v>713</v>
      </c>
      <c r="C165" s="1181">
        <v>44629</v>
      </c>
      <c r="D165" s="1182" t="s">
        <v>389</v>
      </c>
      <c r="E165" s="1182" t="s">
        <v>390</v>
      </c>
      <c r="F165" s="1183" t="s">
        <v>818</v>
      </c>
      <c r="G165" s="1184" t="s">
        <v>716</v>
      </c>
      <c r="H165" s="1185">
        <v>50000000</v>
      </c>
      <c r="I165" s="1180" t="s">
        <v>823</v>
      </c>
      <c r="J165" s="1186" t="str">
        <f>VLOOKUP($I165,'Price List, Weapons &amp; Items'!B:C,2,0)</f>
        <v>Military equipment</v>
      </c>
      <c r="K165" s="1186" t="str">
        <f>IF(I165=".",I165,VLOOKUP($I165,'Price List, Weapons &amp; Items'!B:D,3,0))</f>
        <v>Military equipment</v>
      </c>
      <c r="L165" s="1187">
        <f>VLOOKUP(I165,'Price List, Weapons &amp; Items'!B:E,4,0)</f>
        <v>0</v>
      </c>
      <c r="M165" s="1188" t="s">
        <v>374</v>
      </c>
      <c r="N165" s="1188" t="s">
        <v>374</v>
      </c>
      <c r="O165" s="1188">
        <f>VLOOKUP($I165,'Price List, Weapons &amp; Items'!B:G,6,0)</f>
        <v>2000</v>
      </c>
      <c r="P165" s="1185" t="str">
        <f t="shared" si="39"/>
        <v>.</v>
      </c>
      <c r="Q165" s="1185" t="str">
        <f t="shared" si="40"/>
        <v>.</v>
      </c>
      <c r="R165" s="1185" t="str">
        <f t="shared" si="36"/>
        <v/>
      </c>
      <c r="S165" s="1185" t="str">
        <f>IF(AND(AD165=1,R165&lt;&gt;".")=TRUE,R165/VLOOKUP(G165,'Exchange Rates'!B:C,2,0),IF(R165=".",".",""))</f>
        <v/>
      </c>
      <c r="T165" s="1185" t="str">
        <f>IF(AD165=1,IF(AF165="Value is not given at all",".",IF(AF165="Value is given by the source",S165,IF(AF165="Value is calculated with prices",(IF(SUMIFS(Q:Q,A:A,A165)&gt;0,SUMIFS(Q:Q,A:A,A165),"."))/VLOOKUP("USD",'Exchange Rates'!B:C,2,0),"Error with coding"))),"")</f>
        <v/>
      </c>
      <c r="U165" s="1184" t="s">
        <v>675</v>
      </c>
      <c r="V165" s="974" t="s">
        <v>820</v>
      </c>
      <c r="W165" s="974" t="s">
        <v>821</v>
      </c>
      <c r="X165" s="1190" t="s">
        <v>364</v>
      </c>
      <c r="Y165" s="1190" t="s">
        <v>364</v>
      </c>
      <c r="Z165" s="1184">
        <v>0</v>
      </c>
      <c r="AA165" s="1194">
        <v>0</v>
      </c>
      <c r="AB165" s="975" t="s">
        <v>822</v>
      </c>
      <c r="AC165" s="1192" t="str">
        <f>""</f>
        <v/>
      </c>
      <c r="AD165" s="1193">
        <v>0</v>
      </c>
      <c r="AE165" s="1193" t="s">
        <v>368</v>
      </c>
      <c r="AF165" s="1193" t="s">
        <v>368</v>
      </c>
      <c r="AG165" s="1193">
        <v>1</v>
      </c>
      <c r="AH165" s="1193">
        <v>3</v>
      </c>
      <c r="AI165" s="1193">
        <v>0</v>
      </c>
      <c r="AJ165" s="1193">
        <f>VLOOKUP($I165,'Price List, Weapons &amp; Items'!B:F,5,0)</f>
        <v>0</v>
      </c>
      <c r="AK165" s="1193">
        <f t="shared" si="41"/>
        <v>0</v>
      </c>
      <c r="AL165" s="1193">
        <f t="shared" si="42"/>
        <v>0</v>
      </c>
      <c r="AM165" s="1193">
        <f t="shared" si="43"/>
        <v>0</v>
      </c>
      <c r="AN165" s="1194" t="str">
        <f>VLOOKUP($I165,'Price List, Weapons &amp; Items'!B:L,COLUMN('Price List, Weapons &amp; Items'!$J$11)-1,0)</f>
        <v>Online marketplaces and stores</v>
      </c>
      <c r="AO165" s="1194" t="str">
        <f>IF(I165=".",".",VLOOKUP($I165,'Price List, Weapons &amp; Items'!B:J,3,0))</f>
        <v>Military equipment</v>
      </c>
      <c r="AP165" s="1195" t="str">
        <f t="shared" ca="1" si="37"/>
        <v/>
      </c>
      <c r="AQ165" s="1194">
        <f>VLOOKUP($I165,'Price List, Weapons &amp; Items'!B:L,COLUMN('Price List, Weapons &amp; Items'!$L$11)-1,0)</f>
        <v>1</v>
      </c>
      <c r="AR165" s="1194">
        <f t="shared" si="44"/>
        <v>0</v>
      </c>
      <c r="AS165" s="1194">
        <f t="shared" si="45"/>
        <v>1</v>
      </c>
      <c r="AT165" s="1194">
        <f t="shared" si="46"/>
        <v>1</v>
      </c>
      <c r="AU165" s="1194" t="str">
        <f t="shared" si="47"/>
        <v>.</v>
      </c>
      <c r="AV165" s="1194" t="str">
        <f t="shared" si="38"/>
        <v>.</v>
      </c>
      <c r="AW165" s="1194" t="str">
        <f t="shared" si="48"/>
        <v>.</v>
      </c>
      <c r="AX165" s="1194">
        <f>IFERROR(VLOOKUP(B165,'Share, Heavy Weapons to Ukraine'!B:Z,COLUMN('Share, Heavy Weapons to Ukraine'!C175)-1,0),0)</f>
        <v>1</v>
      </c>
      <c r="AY165" s="1194">
        <f>VLOOKUP('Bilateral Assistance, MAIN DATA'!B165,'Country Summary (€)'!B:F,COLUMN('Country Summary (€)'!C176)-1,FALSE)</f>
        <v>0</v>
      </c>
      <c r="AZ165" s="1194" t="str">
        <f>IF(AND(AD165=1,D165="Military",H165&lt;&gt;"Not given")=TRUE,IF(SUMIFS(P:P,A:A,A165)&gt;0,ABS((SUMIFS(P:P,A:A,A165)/VLOOKUP("USD",'Exchange Rates'!B:C,2,0)))/S165,"."),".")</f>
        <v>.</v>
      </c>
      <c r="BA165" s="1196" t="str">
        <f>IF(AND(AD165=1,D165="Military",H165&lt;&gt;"Not given")=TRUE,IF(SUMIFS(P:P,A:A,A165)&gt;0,IF((ABS((SUMIFS(P:P,A:A,A165)/VLOOKUP("USD",'Exchange Rates'!B:C,2,0)))/S165)&gt;1,(SUMIFS(P:P,A:A,A165)-S165)/S165,(S165-SUMIFS(P:P,A:A,A165))/SUMIFS(P:P,A:A,A165)),"."),".")</f>
        <v>.</v>
      </c>
    </row>
    <row r="166" spans="1:53" ht="15.95" customHeight="1">
      <c r="A166" s="1182" t="s">
        <v>824</v>
      </c>
      <c r="B166" s="1182" t="s">
        <v>713</v>
      </c>
      <c r="C166" s="1181">
        <v>44673</v>
      </c>
      <c r="D166" s="1182" t="s">
        <v>389</v>
      </c>
      <c r="E166" s="1182" t="s">
        <v>443</v>
      </c>
      <c r="F166" s="1183" t="s">
        <v>825</v>
      </c>
      <c r="G166" s="1184" t="s">
        <v>456</v>
      </c>
      <c r="H166" s="1185" t="s">
        <v>457</v>
      </c>
      <c r="I166" s="1180" t="s">
        <v>423</v>
      </c>
      <c r="J166" s="1186" t="str">
        <f>VLOOKUP($I166,'Price List, Weapons &amp; Items'!B:C,2,0)</f>
        <v>Heavy weapon</v>
      </c>
      <c r="K166" s="1186" t="str">
        <f>IF(I166=".",I166,VLOOKUP($I166,'Price List, Weapons &amp; Items'!B:D,3,0))</f>
        <v>155mm howitzer</v>
      </c>
      <c r="L166" s="1187">
        <f>VLOOKUP(I166,'Price List, Weapons &amp; Items'!B:E,4,0)</f>
        <v>0</v>
      </c>
      <c r="M166" s="1188">
        <v>4</v>
      </c>
      <c r="N166" s="1188">
        <v>4</v>
      </c>
      <c r="O166" s="1188">
        <f>VLOOKUP($I166,'Price List, Weapons &amp; Items'!B:G,6,0)</f>
        <v>5170000</v>
      </c>
      <c r="P166" s="1185">
        <f t="shared" si="39"/>
        <v>20680000</v>
      </c>
      <c r="Q166" s="1185">
        <f t="shared" si="40"/>
        <v>20680000</v>
      </c>
      <c r="R166" s="1185">
        <f t="shared" si="36"/>
        <v>20680000</v>
      </c>
      <c r="S166" s="1185">
        <f>IF(AND(AD166=1,R166&lt;&gt;".")=TRUE,R166/VLOOKUP(G166,'Exchange Rates'!B:C,2,0),IF(R166=".",".",""))</f>
        <v>19028340.080971662</v>
      </c>
      <c r="T166" s="1185">
        <f>IF(AD166=1,IF(AF166="Value is not given at all",".",IF(AF166="Value is given by the source",S166,IF(AF166="Value is calculated with prices",(IF(SUMIFS(Q:Q,A:A,A166)&gt;0,SUMIFS(Q:Q,A:A,A166),"."))/VLOOKUP("USD",'Exchange Rates'!B:C,2,0),"Error with coding"))),"")</f>
        <v>19028340.080971662</v>
      </c>
      <c r="U166" s="1187" t="s">
        <v>365</v>
      </c>
      <c r="V166" s="992" t="s">
        <v>826</v>
      </c>
      <c r="W166" s="992" t="s">
        <v>827</v>
      </c>
      <c r="X166" s="1265" t="s">
        <v>364</v>
      </c>
      <c r="Y166" s="1265" t="s">
        <v>364</v>
      </c>
      <c r="Z166" s="1197">
        <v>0</v>
      </c>
      <c r="AA166" s="1194">
        <v>0</v>
      </c>
      <c r="AB166" s="975" t="s">
        <v>827</v>
      </c>
      <c r="AC166" s="1192" t="str">
        <f>""</f>
        <v/>
      </c>
      <c r="AD166" s="1193">
        <v>1</v>
      </c>
      <c r="AE166" s="1193" t="s">
        <v>436</v>
      </c>
      <c r="AF166" s="1193" t="s">
        <v>436</v>
      </c>
      <c r="AG166" s="1193">
        <v>1</v>
      </c>
      <c r="AH166" s="1193">
        <v>4</v>
      </c>
      <c r="AI166" s="1193">
        <v>0</v>
      </c>
      <c r="AJ166" s="1193">
        <f>VLOOKUP($I166,'Price List, Weapons &amp; Items'!B:F,5,0)</f>
        <v>1</v>
      </c>
      <c r="AK166" s="1193">
        <f t="shared" si="41"/>
        <v>0</v>
      </c>
      <c r="AL166" s="1193">
        <f t="shared" si="42"/>
        <v>0</v>
      </c>
      <c r="AM166" s="1193">
        <f t="shared" si="43"/>
        <v>0</v>
      </c>
      <c r="AN166" s="1194" t="str">
        <f>VLOOKUP($I166,'Price List, Weapons &amp; Items'!B:L,COLUMN('Price List, Weapons &amp; Items'!$J$11)-1,0)</f>
        <v>Military media (incl. websites)</v>
      </c>
      <c r="AO166" s="1194" t="str">
        <f>IF(I166=".",".",VLOOKUP($I166,'Price List, Weapons &amp; Items'!B:J,3,0))</f>
        <v>155mm howitzer</v>
      </c>
      <c r="AP166" s="1195" t="str">
        <f t="shared" ca="1" si="37"/>
        <v>M777 howitzer</v>
      </c>
      <c r="AQ166" s="1194">
        <f>VLOOKUP($I166,'Price List, Weapons &amp; Items'!B:L,COLUMN('Price List, Weapons &amp; Items'!$L$11)-1,0)</f>
        <v>2</v>
      </c>
      <c r="AR166" s="1194">
        <f t="shared" si="44"/>
        <v>1</v>
      </c>
      <c r="AS166" s="1194">
        <f t="shared" si="45"/>
        <v>1</v>
      </c>
      <c r="AT166" s="1194">
        <f t="shared" si="46"/>
        <v>1</v>
      </c>
      <c r="AU166" s="1194" t="str">
        <f t="shared" si="47"/>
        <v>.</v>
      </c>
      <c r="AV166" s="1194" t="str">
        <f t="shared" si="38"/>
        <v>.</v>
      </c>
      <c r="AW166" s="1194" t="str">
        <f t="shared" si="48"/>
        <v>.</v>
      </c>
      <c r="AX166" s="1194">
        <f>IFERROR(VLOOKUP(B166,'Share, Heavy Weapons to Ukraine'!B:Z,COLUMN('Share, Heavy Weapons to Ukraine'!C176)-1,0),0)</f>
        <v>1</v>
      </c>
      <c r="AY166" s="1194">
        <f>VLOOKUP('Bilateral Assistance, MAIN DATA'!B166,'Country Summary (€)'!B:F,COLUMN('Country Summary (€)'!C177)-1,FALSE)</f>
        <v>0</v>
      </c>
      <c r="AZ166" s="1194" t="str">
        <f>IF(AND(AD166=1,D166="Military",H166&lt;&gt;"Not given")=TRUE,IF(SUMIFS(P:P,A:A,A166)&gt;0,ABS((SUMIFS(P:P,A:A,A166)/VLOOKUP("USD",'Exchange Rates'!B:C,2,0)))/S166,"."),".")</f>
        <v>.</v>
      </c>
      <c r="BA166" s="1196" t="str">
        <f>IF(AND(AD166=1,D166="Military",H166&lt;&gt;"Not given")=TRUE,IF(SUMIFS(P:P,A:A,A166)&gt;0,IF((ABS((SUMIFS(P:P,A:A,A166)/VLOOKUP("USD",'Exchange Rates'!B:C,2,0)))/S166)&gt;1,(SUMIFS(P:P,A:A,A166)-S166)/S166,(S166-SUMIFS(P:P,A:A,A166))/SUMIFS(P:P,A:A,A166)),"."),".")</f>
        <v>.</v>
      </c>
    </row>
    <row r="167" spans="1:53" ht="15.95" customHeight="1">
      <c r="A167" s="1182" t="s">
        <v>824</v>
      </c>
      <c r="B167" s="1182" t="s">
        <v>713</v>
      </c>
      <c r="C167" s="1181">
        <v>44673</v>
      </c>
      <c r="D167" s="1182" t="s">
        <v>389</v>
      </c>
      <c r="E167" s="1182" t="s">
        <v>443</v>
      </c>
      <c r="F167" s="1183" t="s">
        <v>825</v>
      </c>
      <c r="G167" s="1184" t="s">
        <v>456</v>
      </c>
      <c r="H167" s="1185" t="s">
        <v>457</v>
      </c>
      <c r="I167" s="1180" t="s">
        <v>804</v>
      </c>
      <c r="J167" s="1186" t="str">
        <f>VLOOKUP($I167,'Price List, Weapons &amp; Items'!B:C,2,0)</f>
        <v>Light armaments &amp; infantry</v>
      </c>
      <c r="K167" s="1186" t="str">
        <f>IF(I167=".",I167,VLOOKUP($I167,'Price List, Weapons &amp; Items'!B:D,3,0))</f>
        <v>Recoilless rifle (RR/RCL)</v>
      </c>
      <c r="L167" s="1187">
        <f>VLOOKUP(I167,'Price List, Weapons &amp; Items'!B:E,4,0)</f>
        <v>0</v>
      </c>
      <c r="M167" s="1188" t="s">
        <v>374</v>
      </c>
      <c r="N167" s="1188" t="s">
        <v>374</v>
      </c>
      <c r="O167" s="1188">
        <f>VLOOKUP($I167,'Price List, Weapons &amp; Items'!B:G,6,0)</f>
        <v>38334.53182718272</v>
      </c>
      <c r="P167" s="1185" t="str">
        <f t="shared" si="39"/>
        <v>.</v>
      </c>
      <c r="Q167" s="1185" t="str">
        <f t="shared" si="40"/>
        <v>.</v>
      </c>
      <c r="R167" s="1185" t="str">
        <f t="shared" si="36"/>
        <v/>
      </c>
      <c r="S167" s="1185" t="str">
        <f>IF(AND(AD167=1,R167&lt;&gt;".")=TRUE,R167/VLOOKUP(G167,'Exchange Rates'!B:C,2,0),IF(R167=".",".",""))</f>
        <v/>
      </c>
      <c r="T167" s="1185" t="str">
        <f>IF(AD167=1,IF(AF167="Value is not given at all",".",IF(AF167="Value is given by the source",S167,IF(AF167="Value is calculated with prices",(IF(SUMIFS(Q:Q,A:A,A167)&gt;0,SUMIFS(Q:Q,A:A,A167),"."))/VLOOKUP("USD",'Exchange Rates'!B:C,2,0),"Error with coding"))),"")</f>
        <v/>
      </c>
      <c r="U167" s="1184" t="s">
        <v>365</v>
      </c>
      <c r="V167" s="974" t="s">
        <v>826</v>
      </c>
      <c r="W167" s="974" t="s">
        <v>827</v>
      </c>
      <c r="X167" s="1183" t="s">
        <v>364</v>
      </c>
      <c r="Y167" s="1183" t="s">
        <v>364</v>
      </c>
      <c r="Z167" s="1194">
        <v>0</v>
      </c>
      <c r="AA167" s="1194">
        <v>0</v>
      </c>
      <c r="AB167" s="977" t="s">
        <v>828</v>
      </c>
      <c r="AC167" s="1192" t="str">
        <f>""</f>
        <v/>
      </c>
      <c r="AD167" s="1193">
        <v>0</v>
      </c>
      <c r="AE167" s="1193" t="s">
        <v>436</v>
      </c>
      <c r="AF167" s="1193" t="s">
        <v>436</v>
      </c>
      <c r="AG167" s="1193">
        <v>1</v>
      </c>
      <c r="AH167" s="1193">
        <v>4</v>
      </c>
      <c r="AI167" s="1193">
        <v>0</v>
      </c>
      <c r="AJ167" s="1193">
        <f>VLOOKUP($I167,'Price List, Weapons &amp; Items'!B:F,5,0)</f>
        <v>0</v>
      </c>
      <c r="AK167" s="1193">
        <f t="shared" si="41"/>
        <v>0</v>
      </c>
      <c r="AL167" s="1193">
        <f t="shared" si="42"/>
        <v>0</v>
      </c>
      <c r="AM167" s="1193">
        <f t="shared" si="43"/>
        <v>0</v>
      </c>
      <c r="AN167" s="1194" t="str">
        <f>VLOOKUP($I167,'Price List, Weapons &amp; Items'!B:L,COLUMN('Price List, Weapons &amp; Items'!$J$11)-1,0)</f>
        <v>Military media (incl. websites)</v>
      </c>
      <c r="AO167" s="1194" t="str">
        <f>IF(I167=".",".",VLOOKUP($I167,'Price List, Weapons &amp; Items'!B:J,3,0))</f>
        <v>Recoilless rifle (RR/RCL)</v>
      </c>
      <c r="AP167" s="1195" t="str">
        <f t="shared" ca="1" si="37"/>
        <v/>
      </c>
      <c r="AQ167" s="1194">
        <f>VLOOKUP($I167,'Price List, Weapons &amp; Items'!B:L,COLUMN('Price List, Weapons &amp; Items'!$L$11)-1,0)</f>
        <v>2</v>
      </c>
      <c r="AR167" s="1194">
        <f t="shared" si="44"/>
        <v>1</v>
      </c>
      <c r="AS167" s="1194">
        <f t="shared" si="45"/>
        <v>1</v>
      </c>
      <c r="AT167" s="1194">
        <f t="shared" si="46"/>
        <v>1</v>
      </c>
      <c r="AU167" s="1194" t="str">
        <f t="shared" si="47"/>
        <v>.</v>
      </c>
      <c r="AV167" s="1194" t="str">
        <f t="shared" si="38"/>
        <v>.</v>
      </c>
      <c r="AW167" s="1194" t="str">
        <f t="shared" si="48"/>
        <v>.</v>
      </c>
      <c r="AX167" s="1194">
        <f>IFERROR(VLOOKUP(B167,'Share, Heavy Weapons to Ukraine'!B:Z,COLUMN('Share, Heavy Weapons to Ukraine'!C177)-1,0),0)</f>
        <v>1</v>
      </c>
      <c r="AY167" s="1194">
        <f>VLOOKUP('Bilateral Assistance, MAIN DATA'!B167,'Country Summary (€)'!B:F,COLUMN('Country Summary (€)'!C178)-1,FALSE)</f>
        <v>0</v>
      </c>
      <c r="AZ167" s="1194" t="str">
        <f>IF(AND(AD167=1,D167="Military",H167&lt;&gt;"Not given")=TRUE,IF(SUMIFS(P:P,A:A,A167)&gt;0,ABS((SUMIFS(P:P,A:A,A167)/VLOOKUP("USD",'Exchange Rates'!B:C,2,0)))/S167,"."),".")</f>
        <v>.</v>
      </c>
      <c r="BA167" s="1196" t="str">
        <f>IF(AND(AD167=1,D167="Military",H167&lt;&gt;"Not given")=TRUE,IF(SUMIFS(P:P,A:A,A167)&gt;0,IF((ABS((SUMIFS(P:P,A:A,A167)/VLOOKUP("USD",'Exchange Rates'!B:C,2,0)))/S167)&gt;1,(SUMIFS(P:P,A:A,A167)-S167)/S167,(S167-SUMIFS(P:P,A:A,A167))/SUMIFS(P:P,A:A,A167)),"."),".")</f>
        <v>.</v>
      </c>
    </row>
    <row r="168" spans="1:53" ht="15.95" customHeight="1">
      <c r="A168" s="1182" t="s">
        <v>829</v>
      </c>
      <c r="B168" s="1182" t="s">
        <v>713</v>
      </c>
      <c r="C168" s="1181">
        <v>44673</v>
      </c>
      <c r="D168" s="1182" t="s">
        <v>389</v>
      </c>
      <c r="E168" s="1182" t="s">
        <v>390</v>
      </c>
      <c r="F168" s="1183" t="s">
        <v>830</v>
      </c>
      <c r="G168" s="1184" t="s">
        <v>716</v>
      </c>
      <c r="H168" s="1185">
        <v>500000000</v>
      </c>
      <c r="I168" s="1180" t="s">
        <v>831</v>
      </c>
      <c r="J168" s="1186" t="str">
        <f>VLOOKUP($I168,'Price List, Weapons &amp; Items'!B:C,2,0)</f>
        <v>Heavy weapon</v>
      </c>
      <c r="K168" s="1186" t="str">
        <f>IF(I168=".",I168,VLOOKUP($I168,'Price List, Weapons &amp; Items'!B:D,3,0))</f>
        <v>Armored Personnel Carrier (APC)</v>
      </c>
      <c r="L168" s="1187">
        <f>VLOOKUP(I168,'Price List, Weapons &amp; Items'!B:E,4,0)</f>
        <v>0</v>
      </c>
      <c r="M168" s="1188">
        <v>8</v>
      </c>
      <c r="N168" s="1188">
        <v>8</v>
      </c>
      <c r="O168" s="1188">
        <f>VLOOKUP($I168,'Price List, Weapons &amp; Items'!B:G,6,0)</f>
        <v>350000</v>
      </c>
      <c r="P168" s="1185">
        <f t="shared" si="39"/>
        <v>2800000</v>
      </c>
      <c r="Q168" s="1185">
        <f t="shared" si="40"/>
        <v>2800000</v>
      </c>
      <c r="R168" s="1185">
        <f t="shared" si="36"/>
        <v>500000000</v>
      </c>
      <c r="S168" s="1185">
        <f>IF(AND(AD168=1,R168&lt;&gt;".")=TRUE,R168/VLOOKUP(G168,'Exchange Rates'!B:C,2,0),IF(R168=".",".",""))</f>
        <v>340437121.26370263</v>
      </c>
      <c r="T168" s="1185">
        <f>IF(AD168=1,IF(AF168="Value is not given at all",".",IF(AF168="Value is given by the source",S168,IF(AF168="Value is calculated with prices",(IF(SUMIFS(Q:Q,A:A,A168)&gt;0,SUMIFS(Q:Q,A:A,A168),"."))/VLOOKUP("USD",'Exchange Rates'!B:C,2,0),"Error with coding"))),"")</f>
        <v>340437121.26370263</v>
      </c>
      <c r="U168" s="1184" t="s">
        <v>365</v>
      </c>
      <c r="V168" s="971" t="s">
        <v>826</v>
      </c>
      <c r="W168" s="971" t="s">
        <v>832</v>
      </c>
      <c r="X168" s="971" t="s">
        <v>833</v>
      </c>
      <c r="Y168" s="1190" t="s">
        <v>364</v>
      </c>
      <c r="Z168" s="1184">
        <v>0</v>
      </c>
      <c r="AA168" s="1194">
        <v>0</v>
      </c>
      <c r="AB168" s="977" t="s">
        <v>834</v>
      </c>
      <c r="AC168" s="1192" t="str">
        <f>""</f>
        <v/>
      </c>
      <c r="AD168" s="1193">
        <v>1</v>
      </c>
      <c r="AE168" s="1193" t="s">
        <v>368</v>
      </c>
      <c r="AF168" s="1193" t="s">
        <v>368</v>
      </c>
      <c r="AG168" s="1193">
        <v>1</v>
      </c>
      <c r="AH168" s="1193">
        <v>4</v>
      </c>
      <c r="AI168" s="1193">
        <v>0</v>
      </c>
      <c r="AJ168" s="1193">
        <f>VLOOKUP($I168,'Price List, Weapons &amp; Items'!B:F,5,0)</f>
        <v>1</v>
      </c>
      <c r="AK168" s="1193">
        <f t="shared" si="41"/>
        <v>0</v>
      </c>
      <c r="AL168" s="1193">
        <f t="shared" si="42"/>
        <v>0</v>
      </c>
      <c r="AM168" s="1193">
        <f t="shared" si="43"/>
        <v>0</v>
      </c>
      <c r="AN168" s="1194" t="str">
        <f>VLOOKUP($I168,'Price List, Weapons &amp; Items'!B:L,COLUMN('Price List, Weapons &amp; Items'!$J$11)-1,0)</f>
        <v>Media reports (incl. social media)</v>
      </c>
      <c r="AO168" s="1194" t="str">
        <f>IF(I168=".",".",VLOOKUP($I168,'Price List, Weapons &amp; Items'!B:J,3,0))</f>
        <v>Armored Personnel Carrier (APC)</v>
      </c>
      <c r="AP168" s="1195" t="str">
        <f t="shared" ca="1" si="37"/>
        <v>Roshel Senator 4x4 armored personnel carrier</v>
      </c>
      <c r="AQ168" s="1194">
        <f>VLOOKUP($I168,'Price List, Weapons &amp; Items'!B:L,COLUMN('Price List, Weapons &amp; Items'!$L$11)-1,0)</f>
        <v>2</v>
      </c>
      <c r="AR168" s="1194">
        <f t="shared" si="44"/>
        <v>1</v>
      </c>
      <c r="AS168" s="1194">
        <f t="shared" si="45"/>
        <v>1</v>
      </c>
      <c r="AT168" s="1194">
        <f t="shared" si="46"/>
        <v>1</v>
      </c>
      <c r="AU168" s="1194" t="str">
        <f t="shared" si="47"/>
        <v>.</v>
      </c>
      <c r="AV168" s="1194" t="str">
        <f t="shared" si="38"/>
        <v>.</v>
      </c>
      <c r="AW168" s="1194" t="str">
        <f t="shared" si="48"/>
        <v>.</v>
      </c>
      <c r="AX168" s="1194">
        <f>IFERROR(VLOOKUP(B168,'Share, Heavy Weapons to Ukraine'!B:Z,COLUMN('Share, Heavy Weapons to Ukraine'!C178)-1,0),0)</f>
        <v>1</v>
      </c>
      <c r="AY168" s="1194">
        <f>VLOOKUP('Bilateral Assistance, MAIN DATA'!B168,'Country Summary (€)'!B:F,COLUMN('Country Summary (€)'!C179)-1,FALSE)</f>
        <v>0</v>
      </c>
      <c r="AZ168" s="1194">
        <f>IF(AND(AD168=1,D168="Military",H168&lt;&gt;"Not given")=TRUE,IF(SUMIFS(P:P,A:A,A168)&gt;0,ABS((SUMIFS(P:P,A:A,A168)/VLOOKUP("USD",'Exchange Rates'!B:C,2,0)))/S168,"."),".")</f>
        <v>0.23202468327832165</v>
      </c>
      <c r="BA168" s="1196">
        <f>IF(AND(AD168=1,D168="Military",H168&lt;&gt;"Not given")=TRUE,IF(SUMIFS(P:P,A:A,A168)&gt;0,IF((ABS((SUMIFS(P:P,A:A,A168)/VLOOKUP("USD",'Exchange Rates'!B:C,2,0)))/S168)&gt;1,(SUMIFS(P:P,A:A,A168)-S168)/S168,(S168-SUMIFS(P:P,A:A,A168))/SUMIFS(P:P,A:A,A168)),"."),".")</f>
        <v>2.9656664372045998</v>
      </c>
    </row>
    <row r="169" spans="1:53" ht="15.95" customHeight="1">
      <c r="A169" s="1182" t="s">
        <v>829</v>
      </c>
      <c r="B169" s="1182" t="s">
        <v>713</v>
      </c>
      <c r="C169" s="1181">
        <v>44677</v>
      </c>
      <c r="D169" s="1182" t="s">
        <v>389</v>
      </c>
      <c r="E169" s="1182" t="s">
        <v>390</v>
      </c>
      <c r="F169" s="1183" t="s">
        <v>830</v>
      </c>
      <c r="G169" s="1184" t="s">
        <v>716</v>
      </c>
      <c r="H169" s="1185">
        <v>500000000</v>
      </c>
      <c r="I169" s="1180" t="s">
        <v>835</v>
      </c>
      <c r="J169" s="1186" t="str">
        <f>VLOOKUP($I169,'Price List, Weapons &amp; Items'!B:C,2,0)</f>
        <v>Ammunition for heavy weapon</v>
      </c>
      <c r="K169" s="1186" t="str">
        <f>IF(I169=".",I169,VLOOKUP($I169,'Price List, Weapons &amp; Items'!B:D,3,0))</f>
        <v>155mm howitzer ammunition</v>
      </c>
      <c r="L169" s="1187">
        <f>VLOOKUP(I169,'Price List, Weapons &amp; Items'!B:E,4,0)</f>
        <v>0</v>
      </c>
      <c r="M169" s="1188">
        <v>20000</v>
      </c>
      <c r="N169" s="1188">
        <v>20000</v>
      </c>
      <c r="O169" s="1188">
        <f>VLOOKUP($I169,'Price List, Weapons &amp; Items'!B:G,6,0)</f>
        <v>3800</v>
      </c>
      <c r="P169" s="1185">
        <f t="shared" si="39"/>
        <v>76000000</v>
      </c>
      <c r="Q169" s="1185">
        <f t="shared" si="40"/>
        <v>76000000</v>
      </c>
      <c r="R169" s="1185" t="str">
        <f t="shared" si="36"/>
        <v/>
      </c>
      <c r="S169" s="1185" t="str">
        <f>IF(AND(AD169=1,R169&lt;&gt;".")=TRUE,R169/VLOOKUP(G169,'Exchange Rates'!B:C,2,0),IF(R169=".",".",""))</f>
        <v/>
      </c>
      <c r="T169" s="1185" t="str">
        <f>IF(AD169=1,IF(AF169="Value is not given at all",".",IF(AF169="Value is given by the source",S169,IF(AF169="Value is calculated with prices",(IF(SUMIFS(Q:Q,A:A,A169)&gt;0,SUMIFS(Q:Q,A:A,A169),"."))/VLOOKUP("USD",'Exchange Rates'!B:C,2,0),"Error with coding"))),"")</f>
        <v/>
      </c>
      <c r="U169" s="1184" t="s">
        <v>365</v>
      </c>
      <c r="V169" s="971" t="s">
        <v>826</v>
      </c>
      <c r="W169" s="971" t="s">
        <v>836</v>
      </c>
      <c r="X169" s="971" t="s">
        <v>837</v>
      </c>
      <c r="Y169" s="1190" t="s">
        <v>364</v>
      </c>
      <c r="Z169" s="1184">
        <v>0</v>
      </c>
      <c r="AA169" s="1194">
        <v>0</v>
      </c>
      <c r="AB169" s="977" t="s">
        <v>838</v>
      </c>
      <c r="AC169" s="1192" t="str">
        <f>""</f>
        <v/>
      </c>
      <c r="AD169" s="1194">
        <v>0</v>
      </c>
      <c r="AE169" s="1194" t="s">
        <v>368</v>
      </c>
      <c r="AF169" s="1194" t="s">
        <v>368</v>
      </c>
      <c r="AG169" s="1194">
        <v>1</v>
      </c>
      <c r="AH169" s="1193">
        <v>4</v>
      </c>
      <c r="AI169" s="1193">
        <v>0</v>
      </c>
      <c r="AJ169" s="1193">
        <f>VLOOKUP($I169,'Price List, Weapons &amp; Items'!B:F,5,0)</f>
        <v>1</v>
      </c>
      <c r="AK169" s="1193">
        <f t="shared" si="41"/>
        <v>0</v>
      </c>
      <c r="AL169" s="1193">
        <f t="shared" si="42"/>
        <v>0</v>
      </c>
      <c r="AM169" s="1193">
        <f t="shared" si="43"/>
        <v>1</v>
      </c>
      <c r="AN169" s="1194" t="str">
        <f>VLOOKUP($I169,'Price List, Weapons &amp; Items'!B:L,COLUMN('Price List, Weapons &amp; Items'!$J$11)-1,0)</f>
        <v>Government information</v>
      </c>
      <c r="AO169" s="1194" t="str">
        <f>IF(I169=".",".",VLOOKUP($I169,'Price List, Weapons &amp; Items'!B:J,3,0))</f>
        <v>155mm howitzer ammunition</v>
      </c>
      <c r="AP169" s="1195" t="str">
        <f t="shared" ca="1" si="37"/>
        <v/>
      </c>
      <c r="AQ169" s="1194">
        <f>VLOOKUP($I169,'Price List, Weapons &amp; Items'!B:L,COLUMN('Price List, Weapons &amp; Items'!$L$11)-1,0)</f>
        <v>2</v>
      </c>
      <c r="AR169" s="1194">
        <f t="shared" si="44"/>
        <v>1</v>
      </c>
      <c r="AS169" s="1194">
        <f t="shared" si="45"/>
        <v>1</v>
      </c>
      <c r="AT169" s="1194">
        <f t="shared" si="46"/>
        <v>1</v>
      </c>
      <c r="AU169" s="1194" t="str">
        <f t="shared" si="47"/>
        <v>.</v>
      </c>
      <c r="AV169" s="1194" t="str">
        <f t="shared" si="38"/>
        <v>.</v>
      </c>
      <c r="AW169" s="1194" t="str">
        <f t="shared" si="48"/>
        <v>.</v>
      </c>
      <c r="AX169" s="1194">
        <f>IFERROR(VLOOKUP(B169,'Share, Heavy Weapons to Ukraine'!B:Z,COLUMN('Share, Heavy Weapons to Ukraine'!C179)-1,0),0)</f>
        <v>1</v>
      </c>
      <c r="AY169" s="1194">
        <f>VLOOKUP('Bilateral Assistance, MAIN DATA'!B169,'Country Summary (€)'!B:F,COLUMN('Country Summary (€)'!C180)-1,FALSE)</f>
        <v>0</v>
      </c>
      <c r="AZ169" s="1194" t="str">
        <f>IF(AND(AD169=1,D169="Military",H169&lt;&gt;"Not given")=TRUE,IF(SUMIFS(P:P,A:A,A169)&gt;0,ABS((SUMIFS(P:P,A:A,A169)/VLOOKUP("USD",'Exchange Rates'!B:C,2,0)))/S169,"."),".")</f>
        <v>.</v>
      </c>
      <c r="BA169" s="1196" t="str">
        <f>IF(AND(AD169=1,D169="Military",H169&lt;&gt;"Not given")=TRUE,IF(SUMIFS(P:P,A:A,A169)&gt;0,IF((ABS((SUMIFS(P:P,A:A,A169)/VLOOKUP("USD",'Exchange Rates'!B:C,2,0)))/S169)&gt;1,(SUMIFS(P:P,A:A,A169)-S169)/S169,(S169-SUMIFS(P:P,A:A,A169))/SUMIFS(P:P,A:A,A169)),"."),".")</f>
        <v>.</v>
      </c>
    </row>
    <row r="170" spans="1:53" ht="15.95" customHeight="1">
      <c r="A170" s="1182" t="s">
        <v>829</v>
      </c>
      <c r="B170" s="1182" t="s">
        <v>713</v>
      </c>
      <c r="C170" s="1181">
        <v>44704</v>
      </c>
      <c r="D170" s="1182" t="s">
        <v>389</v>
      </c>
      <c r="E170" s="1182" t="s">
        <v>390</v>
      </c>
      <c r="F170" s="1183" t="s">
        <v>830</v>
      </c>
      <c r="G170" s="1184" t="s">
        <v>716</v>
      </c>
      <c r="H170" s="1185">
        <v>500000000</v>
      </c>
      <c r="I170" s="1180" t="s">
        <v>839</v>
      </c>
      <c r="J170" s="1186" t="str">
        <f>VLOOKUP($I170,'Price List, Weapons &amp; Items'!B:C,2,0)</f>
        <v>Ammunition for heavy weapon</v>
      </c>
      <c r="K170" s="1186" t="str">
        <f>IF(I170=".",I170,VLOOKUP($I170,'Price List, Weapons &amp; Items'!B:D,3,0))</f>
        <v>155mm howitzer ammunition</v>
      </c>
      <c r="L170" s="1187">
        <f>VLOOKUP(I170,'Price List, Weapons &amp; Items'!B:E,4,0)</f>
        <v>0</v>
      </c>
      <c r="M170" s="1188">
        <v>10</v>
      </c>
      <c r="N170" s="1188" t="s">
        <v>374</v>
      </c>
      <c r="O170" s="1188">
        <f>VLOOKUP($I170,'Price List, Weapons &amp; Items'!B:G,6,0)</f>
        <v>704613.12</v>
      </c>
      <c r="P170" s="1185">
        <f t="shared" si="39"/>
        <v>7046131.2000000002</v>
      </c>
      <c r="Q170" s="1185" t="str">
        <f t="shared" si="40"/>
        <v>.</v>
      </c>
      <c r="R170" s="1185" t="str">
        <f t="shared" si="36"/>
        <v/>
      </c>
      <c r="S170" s="1185" t="str">
        <f>IF(AND(AD170=1,R170&lt;&gt;".")=TRUE,R170/VLOOKUP(G170,'Exchange Rates'!B:C,2,0),IF(R170=".",".",""))</f>
        <v/>
      </c>
      <c r="T170" s="1185" t="str">
        <f>IF(AD170=1,IF(AF170="Value is not given at all",".",IF(AF170="Value is given by the source",S170,IF(AF170="Value is calculated with prices",(IF(SUMIFS(Q:Q,A:A,A170)&gt;0,SUMIFS(Q:Q,A:A,A170),"."))/VLOOKUP("USD",'Exchange Rates'!B:C,2,0),"Error with coding"))),"")</f>
        <v/>
      </c>
      <c r="U170" s="1184" t="s">
        <v>365</v>
      </c>
      <c r="V170" s="971" t="s">
        <v>826</v>
      </c>
      <c r="W170" s="971" t="s">
        <v>840</v>
      </c>
      <c r="X170" s="986" t="s">
        <v>364</v>
      </c>
      <c r="Y170" s="1190" t="s">
        <v>364</v>
      </c>
      <c r="Z170" s="1184">
        <v>0</v>
      </c>
      <c r="AA170" s="1194">
        <v>0</v>
      </c>
      <c r="AB170" s="1000" t="s">
        <v>364</v>
      </c>
      <c r="AC170" s="1192" t="str">
        <f>""</f>
        <v/>
      </c>
      <c r="AD170" s="1193">
        <v>0</v>
      </c>
      <c r="AE170" s="1193" t="s">
        <v>368</v>
      </c>
      <c r="AF170" s="1193" t="s">
        <v>368</v>
      </c>
      <c r="AG170" s="1193">
        <v>1</v>
      </c>
      <c r="AH170" s="1193">
        <v>5</v>
      </c>
      <c r="AI170" s="1193">
        <v>0</v>
      </c>
      <c r="AJ170" s="1193">
        <f>VLOOKUP($I170,'Price List, Weapons &amp; Items'!B:F,5,0)</f>
        <v>1</v>
      </c>
      <c r="AK170" s="1193">
        <f t="shared" si="41"/>
        <v>0</v>
      </c>
      <c r="AL170" s="1193">
        <f t="shared" si="42"/>
        <v>1</v>
      </c>
      <c r="AM170" s="1193">
        <f t="shared" si="43"/>
        <v>0</v>
      </c>
      <c r="AN170" s="1194" t="str">
        <f>VLOOKUP($I170,'Price List, Weapons &amp; Items'!B:L,COLUMN('Price List, Weapons &amp; Items'!$J$11)-1,0)</f>
        <v>Government information</v>
      </c>
      <c r="AO170" s="1194" t="str">
        <f>IF(I170=".",".",VLOOKUP($I170,'Price List, Weapons &amp; Items'!B:J,3,0))</f>
        <v>155mm howitzer ammunition</v>
      </c>
      <c r="AP170" s="1195" t="str">
        <f t="shared" ca="1" si="37"/>
        <v/>
      </c>
      <c r="AQ170" s="1194">
        <f>VLOOKUP($I170,'Price List, Weapons &amp; Items'!B:L,COLUMN('Price List, Weapons &amp; Items'!$L$11)-1,0)</f>
        <v>2</v>
      </c>
      <c r="AR170" s="1194">
        <f t="shared" si="44"/>
        <v>1</v>
      </c>
      <c r="AS170" s="1194">
        <f t="shared" si="45"/>
        <v>1</v>
      </c>
      <c r="AT170" s="1194">
        <f t="shared" si="46"/>
        <v>1</v>
      </c>
      <c r="AU170" s="1194" t="str">
        <f t="shared" si="47"/>
        <v>.</v>
      </c>
      <c r="AV170" s="1194" t="str">
        <f t="shared" si="38"/>
        <v>.</v>
      </c>
      <c r="AW170" s="1194" t="str">
        <f t="shared" si="48"/>
        <v>.</v>
      </c>
      <c r="AX170" s="1194">
        <f>IFERROR(VLOOKUP(B170,'Share, Heavy Weapons to Ukraine'!B:Z,COLUMN('Share, Heavy Weapons to Ukraine'!C180)-1,0),0)</f>
        <v>1</v>
      </c>
      <c r="AY170" s="1194">
        <f>VLOOKUP('Bilateral Assistance, MAIN DATA'!B170,'Country Summary (€)'!B:F,COLUMN('Country Summary (€)'!C181)-1,FALSE)</f>
        <v>0</v>
      </c>
      <c r="AZ170" s="1194" t="str">
        <f>IF(AND(AD170=1,D170="Military",H170&lt;&gt;"Not given")=TRUE,IF(SUMIFS(P:P,A:A,A170)&gt;0,ABS((SUMIFS(P:P,A:A,A170)/VLOOKUP("USD",'Exchange Rates'!B:C,2,0)))/S170,"."),".")</f>
        <v>.</v>
      </c>
      <c r="BA170" s="1196" t="str">
        <f>IF(AND(AD170=1,D170="Military",H170&lt;&gt;"Not given")=TRUE,IF(SUMIFS(P:P,A:A,A170)&gt;0,IF((ABS((SUMIFS(P:P,A:A,A170)/VLOOKUP("USD",'Exchange Rates'!B:C,2,0)))/S170)&gt;1,(SUMIFS(P:P,A:A,A170)-S170)/S170,(S170-SUMIFS(P:P,A:A,A170))/SUMIFS(P:P,A:A,A170)),"."),".")</f>
        <v>.</v>
      </c>
    </row>
    <row r="171" spans="1:53" ht="15.95" customHeight="1">
      <c r="A171" s="1182" t="s">
        <v>841</v>
      </c>
      <c r="B171" s="1182" t="s">
        <v>713</v>
      </c>
      <c r="C171" s="1181">
        <v>44689</v>
      </c>
      <c r="D171" s="1182" t="s">
        <v>389</v>
      </c>
      <c r="E171" s="1182" t="s">
        <v>390</v>
      </c>
      <c r="F171" s="1183" t="s">
        <v>842</v>
      </c>
      <c r="G171" s="1184" t="s">
        <v>716</v>
      </c>
      <c r="H171" s="1185">
        <v>50000000</v>
      </c>
      <c r="I171" s="1180" t="s">
        <v>823</v>
      </c>
      <c r="J171" s="1186" t="str">
        <f>VLOOKUP($I171,'Price List, Weapons &amp; Items'!B:C,2,0)</f>
        <v>Military equipment</v>
      </c>
      <c r="K171" s="1186" t="str">
        <f>IF(I171=".",I171,VLOOKUP($I171,'Price List, Weapons &amp; Items'!B:D,3,0))</f>
        <v>Military equipment</v>
      </c>
      <c r="L171" s="1187">
        <f>VLOOKUP(I171,'Price List, Weapons &amp; Items'!B:E,4,0)</f>
        <v>0</v>
      </c>
      <c r="M171" s="1188">
        <v>18</v>
      </c>
      <c r="N171" s="1188">
        <v>18</v>
      </c>
      <c r="O171" s="1188">
        <f>VLOOKUP($I171,'Price List, Weapons &amp; Items'!B:G,6,0)</f>
        <v>2000</v>
      </c>
      <c r="P171" s="1185">
        <f t="shared" si="39"/>
        <v>36000</v>
      </c>
      <c r="Q171" s="1185">
        <f t="shared" si="40"/>
        <v>36000</v>
      </c>
      <c r="R171" s="1185">
        <f t="shared" si="36"/>
        <v>50000000</v>
      </c>
      <c r="S171" s="1185">
        <f>IF(AND(AD171=1,R171&lt;&gt;".")=TRUE,R171/VLOOKUP(G171,'Exchange Rates'!B:C,2,0),IF(R171=".",".",""))</f>
        <v>34043712.126370259</v>
      </c>
      <c r="T171" s="1185">
        <f>IF(AD171=1,IF(AF171="Value is not given at all",".",IF(AF171="Value is given by the source",S171,IF(AF171="Value is calculated with prices",(IF(SUMIFS(Q:Q,A:A,A171)&gt;0,SUMIFS(Q:Q,A:A,A171),"."))/VLOOKUP("USD",'Exchange Rates'!B:C,2,0),"Error with coding"))),"")</f>
        <v>34043712.126370259</v>
      </c>
      <c r="U171" s="1184" t="s">
        <v>365</v>
      </c>
      <c r="V171" s="974" t="s">
        <v>843</v>
      </c>
      <c r="W171" s="987" t="s">
        <v>844</v>
      </c>
      <c r="X171" s="1001" t="s">
        <v>364</v>
      </c>
      <c r="Y171" s="1001" t="s">
        <v>364</v>
      </c>
      <c r="Z171" s="1184">
        <v>0</v>
      </c>
      <c r="AA171" s="1194">
        <v>0</v>
      </c>
      <c r="AB171" s="975" t="s">
        <v>845</v>
      </c>
      <c r="AC171" s="1192" t="str">
        <f>""</f>
        <v/>
      </c>
      <c r="AD171" s="1193">
        <v>1</v>
      </c>
      <c r="AE171" s="1193" t="s">
        <v>368</v>
      </c>
      <c r="AF171" s="1193" t="s">
        <v>368</v>
      </c>
      <c r="AG171" s="1193">
        <v>1</v>
      </c>
      <c r="AH171" s="1193">
        <v>5</v>
      </c>
      <c r="AI171" s="1193">
        <v>0</v>
      </c>
      <c r="AJ171" s="1193">
        <f>VLOOKUP($I171,'Price List, Weapons &amp; Items'!B:F,5,0)</f>
        <v>0</v>
      </c>
      <c r="AK171" s="1193">
        <f t="shared" si="41"/>
        <v>0</v>
      </c>
      <c r="AL171" s="1193">
        <f t="shared" si="42"/>
        <v>0</v>
      </c>
      <c r="AM171" s="1193">
        <f t="shared" si="43"/>
        <v>0</v>
      </c>
      <c r="AN171" s="1194" t="str">
        <f>VLOOKUP($I171,'Price List, Weapons &amp; Items'!B:L,COLUMN('Price List, Weapons &amp; Items'!$J$11)-1,0)</f>
        <v>Online marketplaces and stores</v>
      </c>
      <c r="AO171" s="1194" t="str">
        <f>IF(I171=".",".",VLOOKUP($I171,'Price List, Weapons &amp; Items'!B:J,3,0))</f>
        <v>Military equipment</v>
      </c>
      <c r="AP171" s="1195" t="str">
        <f t="shared" ca="1" si="37"/>
        <v>drone camera</v>
      </c>
      <c r="AQ171" s="1194">
        <f>VLOOKUP($I171,'Price List, Weapons &amp; Items'!B:L,COLUMN('Price List, Weapons &amp; Items'!$L$11)-1,0)</f>
        <v>1</v>
      </c>
      <c r="AR171" s="1194">
        <f t="shared" si="44"/>
        <v>1</v>
      </c>
      <c r="AS171" s="1194">
        <f t="shared" si="45"/>
        <v>1</v>
      </c>
      <c r="AT171" s="1194">
        <f t="shared" si="46"/>
        <v>1</v>
      </c>
      <c r="AU171" s="1194" t="str">
        <f t="shared" si="47"/>
        <v>.</v>
      </c>
      <c r="AV171" s="1194" t="str">
        <f t="shared" si="38"/>
        <v>.</v>
      </c>
      <c r="AW171" s="1194" t="str">
        <f t="shared" si="48"/>
        <v>.</v>
      </c>
      <c r="AX171" s="1194">
        <f>IFERROR(VLOOKUP(B171,'Share, Heavy Weapons to Ukraine'!B:Z,COLUMN('Share, Heavy Weapons to Ukraine'!C181)-1,0),0)</f>
        <v>1</v>
      </c>
      <c r="AY171" s="1194">
        <f>VLOOKUP('Bilateral Assistance, MAIN DATA'!B171,'Country Summary (€)'!B:F,COLUMN('Country Summary (€)'!C182)-1,FALSE)</f>
        <v>0</v>
      </c>
      <c r="AZ171" s="1194">
        <f>IF(AND(AD171=1,D171="Military",H171&lt;&gt;"Not given")=TRUE,IF(SUMIFS(P:P,A:A,A171)&gt;0,ABS((SUMIFS(P:P,A:A,A171)/VLOOKUP("USD",'Exchange Rates'!B:C,2,0)))/S171,"."),".")</f>
        <v>9.7300699300699304E-4</v>
      </c>
      <c r="BA171" s="1196">
        <f>IF(AND(AD171=1,D171="Military",H171&lt;&gt;"Not given")=TRUE,IF(SUMIFS(P:P,A:A,A171)&gt;0,IF((ABS((SUMIFS(P:P,A:A,A171)/VLOOKUP("USD",'Exchange Rates'!B:C,2,0)))/S171)&gt;1,(SUMIFS(P:P,A:A,A171)-S171)/S171,(S171-SUMIFS(P:P,A:A,A171))/SUMIFS(P:P,A:A,A171)),"."),".")</f>
        <v>944.65867017695166</v>
      </c>
    </row>
    <row r="172" spans="1:53" ht="15.95" customHeight="1">
      <c r="A172" s="1182" t="s">
        <v>841</v>
      </c>
      <c r="B172" s="1182" t="s">
        <v>713</v>
      </c>
      <c r="C172" s="1181">
        <v>44689</v>
      </c>
      <c r="D172" s="1182" t="s">
        <v>389</v>
      </c>
      <c r="E172" s="1182" t="s">
        <v>390</v>
      </c>
      <c r="F172" s="1183" t="s">
        <v>842</v>
      </c>
      <c r="G172" s="1184" t="s">
        <v>716</v>
      </c>
      <c r="H172" s="1185">
        <v>50000000</v>
      </c>
      <c r="I172" s="1180" t="s">
        <v>846</v>
      </c>
      <c r="J172" s="1186" t="str">
        <f>VLOOKUP($I172,'Price List, Weapons &amp; Items'!B:C,2,0)</f>
        <v>Military equipment</v>
      </c>
      <c r="K172" s="1186" t="str">
        <f>IF(I172=".",I172,VLOOKUP($I172,'Price List, Weapons &amp; Items'!B:D,3,0))</f>
        <v>Military equipment</v>
      </c>
      <c r="L172" s="1187">
        <f>VLOOKUP(I172,'Price List, Weapons &amp; Items'!B:E,4,0)</f>
        <v>0</v>
      </c>
      <c r="M172" s="1188" t="s">
        <v>374</v>
      </c>
      <c r="N172" s="1188" t="s">
        <v>374</v>
      </c>
      <c r="O172" s="1188" t="str">
        <f>VLOOKUP($I172,'Price List, Weapons &amp; Items'!B:G,6,0)</f>
        <v>.</v>
      </c>
      <c r="P172" s="1185" t="str">
        <f t="shared" si="39"/>
        <v>.</v>
      </c>
      <c r="Q172" s="1185" t="str">
        <f t="shared" si="40"/>
        <v>.</v>
      </c>
      <c r="R172" s="1185" t="str">
        <f t="shared" si="36"/>
        <v/>
      </c>
      <c r="S172" s="1185" t="str">
        <f>IF(AND(AD172=1,R172&lt;&gt;".")=TRUE,R172/VLOOKUP(G172,'Exchange Rates'!B:C,2,0),IF(R172=".",".",""))</f>
        <v/>
      </c>
      <c r="T172" s="1185" t="str">
        <f>IF(AD172=1,IF(AF172="Value is not given at all",".",IF(AF172="Value is given by the source",S172,IF(AF172="Value is calculated with prices",(IF(SUMIFS(Q:Q,A:A,A172)&gt;0,SUMIFS(Q:Q,A:A,A172),"."))/VLOOKUP("USD",'Exchange Rates'!B:C,2,0),"Error with coding"))),"")</f>
        <v/>
      </c>
      <c r="U172" s="1184" t="s">
        <v>365</v>
      </c>
      <c r="V172" s="974" t="s">
        <v>843</v>
      </c>
      <c r="W172" s="987" t="s">
        <v>844</v>
      </c>
      <c r="X172" s="1001" t="s">
        <v>364</v>
      </c>
      <c r="Y172" s="1001" t="s">
        <v>364</v>
      </c>
      <c r="Z172" s="1184">
        <v>0</v>
      </c>
      <c r="AA172" s="1194">
        <v>0</v>
      </c>
      <c r="AB172" s="975" t="s">
        <v>845</v>
      </c>
      <c r="AC172" s="1192" t="str">
        <f>""</f>
        <v/>
      </c>
      <c r="AD172" s="1193">
        <v>0</v>
      </c>
      <c r="AE172" s="1193" t="s">
        <v>368</v>
      </c>
      <c r="AF172" s="1193" t="s">
        <v>368</v>
      </c>
      <c r="AG172" s="1193">
        <v>1</v>
      </c>
      <c r="AH172" s="1193">
        <v>5</v>
      </c>
      <c r="AI172" s="1193">
        <v>0</v>
      </c>
      <c r="AJ172" s="1193">
        <f>VLOOKUP($I172,'Price List, Weapons &amp; Items'!B:F,5,0)</f>
        <v>0</v>
      </c>
      <c r="AK172" s="1193">
        <f t="shared" si="41"/>
        <v>0</v>
      </c>
      <c r="AL172" s="1193">
        <f t="shared" si="42"/>
        <v>0</v>
      </c>
      <c r="AM172" s="1193">
        <f t="shared" si="43"/>
        <v>0</v>
      </c>
      <c r="AN172" s="1194" t="str">
        <f>VLOOKUP($I172,'Price List, Weapons &amp; Items'!B:L,COLUMN('Price List, Weapons &amp; Items'!$J$11)-1,0)</f>
        <v>.</v>
      </c>
      <c r="AO172" s="1194" t="str">
        <f>IF(I172=".",".",VLOOKUP($I172,'Price List, Weapons &amp; Items'!B:J,3,0))</f>
        <v>Military equipment</v>
      </c>
      <c r="AP172" s="1195" t="str">
        <f t="shared" ca="1" si="37"/>
        <v/>
      </c>
      <c r="AQ172" s="1194" t="str">
        <f>VLOOKUP($I172,'Price List, Weapons &amp; Items'!B:L,COLUMN('Price List, Weapons &amp; Items'!$L$11)-1,0)</f>
        <v>no price, 0 count</v>
      </c>
      <c r="AR172" s="1194">
        <f t="shared" si="44"/>
        <v>1</v>
      </c>
      <c r="AS172" s="1194">
        <f t="shared" si="45"/>
        <v>1</v>
      </c>
      <c r="AT172" s="1194">
        <f t="shared" si="46"/>
        <v>1</v>
      </c>
      <c r="AU172" s="1194" t="str">
        <f t="shared" si="47"/>
        <v>.</v>
      </c>
      <c r="AV172" s="1194" t="str">
        <f t="shared" si="38"/>
        <v>.</v>
      </c>
      <c r="AW172" s="1194" t="str">
        <f t="shared" si="48"/>
        <v>.</v>
      </c>
      <c r="AX172" s="1194">
        <f>IFERROR(VLOOKUP(B172,'Share, Heavy Weapons to Ukraine'!B:Z,COLUMN('Share, Heavy Weapons to Ukraine'!C182)-1,0),0)</f>
        <v>1</v>
      </c>
      <c r="AY172" s="1194">
        <f>VLOOKUP('Bilateral Assistance, MAIN DATA'!B172,'Country Summary (€)'!B:F,COLUMN('Country Summary (€)'!C183)-1,FALSE)</f>
        <v>0</v>
      </c>
      <c r="AZ172" s="1194" t="str">
        <f>IF(AND(AD172=1,D172="Military",H172&lt;&gt;"Not given")=TRUE,IF(SUMIFS(P:P,A:A,A172)&gt;0,ABS((SUMIFS(P:P,A:A,A172)/VLOOKUP("USD",'Exchange Rates'!B:C,2,0)))/S172,"."),".")</f>
        <v>.</v>
      </c>
      <c r="BA172" s="1196" t="str">
        <f>IF(AND(AD172=1,D172="Military",H172&lt;&gt;"Not given")=TRUE,IF(SUMIFS(P:P,A:A,A172)&gt;0,IF((ABS((SUMIFS(P:P,A:A,A172)/VLOOKUP("USD",'Exchange Rates'!B:C,2,0)))/S172)&gt;1,(SUMIFS(P:P,A:A,A172)-S172)/S172,(S172-SUMIFS(P:P,A:A,A172))/SUMIFS(P:P,A:A,A172)),"."),".")</f>
        <v>.</v>
      </c>
    </row>
    <row r="173" spans="1:53" ht="15.95" customHeight="1">
      <c r="A173" s="1182" t="s">
        <v>841</v>
      </c>
      <c r="B173" s="1182" t="s">
        <v>713</v>
      </c>
      <c r="C173" s="1181">
        <v>44689</v>
      </c>
      <c r="D173" s="1182" t="s">
        <v>389</v>
      </c>
      <c r="E173" s="1182" t="s">
        <v>390</v>
      </c>
      <c r="F173" s="1183" t="s">
        <v>842</v>
      </c>
      <c r="G173" s="1184" t="s">
        <v>716</v>
      </c>
      <c r="H173" s="1185">
        <v>50000000</v>
      </c>
      <c r="I173" s="1180" t="s">
        <v>847</v>
      </c>
      <c r="J173" s="1186" t="str">
        <f>VLOOKUP($I173,'Price List, Weapons &amp; Items'!B:C,2,0)</f>
        <v>Ammunition for light infantry</v>
      </c>
      <c r="K173" s="1186" t="str">
        <f>IF(I173=".",I173,VLOOKUP($I173,'Price List, Weapons &amp; Items'!B:D,3,0))</f>
        <v>Small Arms and Light Weapons (SALW) ammunition</v>
      </c>
      <c r="L173" s="1187">
        <f>VLOOKUP(I173,'Price List, Weapons &amp; Items'!B:E,4,0)</f>
        <v>0</v>
      </c>
      <c r="M173" s="1188" t="s">
        <v>374</v>
      </c>
      <c r="N173" s="1188" t="s">
        <v>374</v>
      </c>
      <c r="O173" s="1188" t="str">
        <f>VLOOKUP($I173,'Price List, Weapons &amp; Items'!B:G,6,0)</f>
        <v>.</v>
      </c>
      <c r="P173" s="1185" t="str">
        <f t="shared" si="39"/>
        <v>.</v>
      </c>
      <c r="Q173" s="1185" t="str">
        <f t="shared" si="40"/>
        <v>.</v>
      </c>
      <c r="R173" s="1185" t="str">
        <f t="shared" si="36"/>
        <v/>
      </c>
      <c r="S173" s="1185" t="str">
        <f>IF(AND(AD173=1,R173&lt;&gt;".")=TRUE,R173/VLOOKUP(G173,'Exchange Rates'!B:C,2,0),IF(R173=".",".",""))</f>
        <v/>
      </c>
      <c r="T173" s="1185" t="str">
        <f>IF(AD173=1,IF(AF173="Value is not given at all",".",IF(AF173="Value is given by the source",S173,IF(AF173="Value is calculated with prices",(IF(SUMIFS(Q:Q,A:A,A173)&gt;0,SUMIFS(Q:Q,A:A,A173),"."))/VLOOKUP("USD",'Exchange Rates'!B:C,2,0),"Error with coding"))),"")</f>
        <v/>
      </c>
      <c r="U173" s="1184" t="s">
        <v>365</v>
      </c>
      <c r="V173" s="974" t="s">
        <v>843</v>
      </c>
      <c r="W173" s="987" t="s">
        <v>844</v>
      </c>
      <c r="X173" s="1001" t="s">
        <v>364</v>
      </c>
      <c r="Y173" s="1001" t="s">
        <v>364</v>
      </c>
      <c r="Z173" s="1184">
        <v>0</v>
      </c>
      <c r="AA173" s="1194">
        <v>0</v>
      </c>
      <c r="AB173" s="975" t="s">
        <v>845</v>
      </c>
      <c r="AC173" s="1192" t="str">
        <f>""</f>
        <v/>
      </c>
      <c r="AD173" s="1193">
        <v>0</v>
      </c>
      <c r="AE173" s="1193" t="s">
        <v>368</v>
      </c>
      <c r="AF173" s="1193" t="s">
        <v>368</v>
      </c>
      <c r="AG173" s="1193">
        <v>1</v>
      </c>
      <c r="AH173" s="1193">
        <v>5</v>
      </c>
      <c r="AI173" s="1193">
        <v>0</v>
      </c>
      <c r="AJ173" s="1193">
        <f>VLOOKUP($I173,'Price List, Weapons &amp; Items'!B:F,5,0)</f>
        <v>0</v>
      </c>
      <c r="AK173" s="1193">
        <f t="shared" si="41"/>
        <v>0</v>
      </c>
      <c r="AL173" s="1193">
        <f t="shared" si="42"/>
        <v>0</v>
      </c>
      <c r="AM173" s="1193">
        <f t="shared" si="43"/>
        <v>1</v>
      </c>
      <c r="AN173" s="1194" t="str">
        <f>VLOOKUP($I173,'Price List, Weapons &amp; Items'!B:L,COLUMN('Price List, Weapons &amp; Items'!$J$11)-1,0)</f>
        <v>.</v>
      </c>
      <c r="AO173" s="1194" t="str">
        <f>IF(I173=".",".",VLOOKUP($I173,'Price List, Weapons &amp; Items'!B:J,3,0))</f>
        <v>Small Arms and Light Weapons (SALW) ammunition</v>
      </c>
      <c r="AP173" s="1195" t="str">
        <f t="shared" ca="1" si="37"/>
        <v/>
      </c>
      <c r="AQ173" s="1194" t="str">
        <f>VLOOKUP($I173,'Price List, Weapons &amp; Items'!B:L,COLUMN('Price List, Weapons &amp; Items'!$L$11)-1,0)</f>
        <v>no price, 0 count</v>
      </c>
      <c r="AR173" s="1194">
        <f t="shared" si="44"/>
        <v>1</v>
      </c>
      <c r="AS173" s="1194">
        <f t="shared" si="45"/>
        <v>1</v>
      </c>
      <c r="AT173" s="1194">
        <f t="shared" si="46"/>
        <v>1</v>
      </c>
      <c r="AU173" s="1194" t="str">
        <f t="shared" si="47"/>
        <v>.</v>
      </c>
      <c r="AV173" s="1194" t="str">
        <f t="shared" si="38"/>
        <v>.</v>
      </c>
      <c r="AW173" s="1194" t="str">
        <f t="shared" si="48"/>
        <v>.</v>
      </c>
      <c r="AX173" s="1194">
        <f>IFERROR(VLOOKUP(B173,'Share, Heavy Weapons to Ukraine'!B:Z,COLUMN('Share, Heavy Weapons to Ukraine'!C183)-1,0),0)</f>
        <v>1</v>
      </c>
      <c r="AY173" s="1194">
        <f>VLOOKUP('Bilateral Assistance, MAIN DATA'!B173,'Country Summary (€)'!B:F,COLUMN('Country Summary (€)'!C184)-1,FALSE)</f>
        <v>0</v>
      </c>
      <c r="AZ173" s="1194" t="str">
        <f>IF(AND(AD173=1,D173="Military",H173&lt;&gt;"Not given")=TRUE,IF(SUMIFS(P:P,A:A,A173)&gt;0,ABS((SUMIFS(P:P,A:A,A173)/VLOOKUP("USD",'Exchange Rates'!B:C,2,0)))/S173,"."),".")</f>
        <v>.</v>
      </c>
      <c r="BA173" s="1196" t="str">
        <f>IF(AND(AD173=1,D173="Military",H173&lt;&gt;"Not given")=TRUE,IF(SUMIFS(P:P,A:A,A173)&gt;0,IF((ABS((SUMIFS(P:P,A:A,A173)/VLOOKUP("USD",'Exchange Rates'!B:C,2,0)))/S173)&gt;1,(SUMIFS(P:P,A:A,A173)-S173)/S173,(S173-SUMIFS(P:P,A:A,A173))/SUMIFS(P:P,A:A,A173)),"."),".")</f>
        <v>.</v>
      </c>
    </row>
    <row r="174" spans="1:53" ht="15.95" customHeight="1">
      <c r="A174" s="1182" t="s">
        <v>841</v>
      </c>
      <c r="B174" s="1182" t="s">
        <v>713</v>
      </c>
      <c r="C174" s="1181">
        <v>44689</v>
      </c>
      <c r="D174" s="1182" t="s">
        <v>389</v>
      </c>
      <c r="E174" s="1182" t="s">
        <v>390</v>
      </c>
      <c r="F174" s="1183" t="s">
        <v>842</v>
      </c>
      <c r="G174" s="1184" t="s">
        <v>716</v>
      </c>
      <c r="H174" s="1185">
        <v>50000000</v>
      </c>
      <c r="I174" s="1180" t="s">
        <v>425</v>
      </c>
      <c r="J174" s="1186" t="str">
        <f>VLOOKUP($I174,'Price List, Weapons &amp; Items'!B:C,2,0)</f>
        <v>Ammunition for heavy weapon</v>
      </c>
      <c r="K174" s="1186" t="str">
        <f>IF(I174=".",I174,VLOOKUP($I174,'Price List, Weapons &amp; Items'!B:D,3,0))</f>
        <v>155mm howitzer ammunition</v>
      </c>
      <c r="L174" s="1187">
        <f>VLOOKUP(I174,'Price List, Weapons &amp; Items'!B:E,4,0)</f>
        <v>0</v>
      </c>
      <c r="M174" s="1188" t="s">
        <v>374</v>
      </c>
      <c r="N174" s="1188" t="s">
        <v>374</v>
      </c>
      <c r="O174" s="1188">
        <f>VLOOKUP($I174,'Price List, Weapons &amp; Items'!B:G,6,0)</f>
        <v>3800</v>
      </c>
      <c r="P174" s="1185" t="str">
        <f t="shared" si="39"/>
        <v>.</v>
      </c>
      <c r="Q174" s="1185" t="str">
        <f t="shared" si="40"/>
        <v>.</v>
      </c>
      <c r="R174" s="1185" t="str">
        <f t="shared" si="36"/>
        <v/>
      </c>
      <c r="S174" s="1185" t="str">
        <f>IF(AND(AD174=1,R174&lt;&gt;".")=TRUE,R174/VLOOKUP(G174,'Exchange Rates'!B:C,2,0),IF(R174=".",".",""))</f>
        <v/>
      </c>
      <c r="T174" s="1185" t="str">
        <f>IF(AD174=1,IF(AF174="Value is not given at all",".",IF(AF174="Value is given by the source",S174,IF(AF174="Value is calculated with prices",(IF(SUMIFS(Q:Q,A:A,A174)&gt;0,SUMIFS(Q:Q,A:A,A174),"."))/VLOOKUP("USD",'Exchange Rates'!B:C,2,0),"Error with coding"))),"")</f>
        <v/>
      </c>
      <c r="U174" s="1184" t="s">
        <v>365</v>
      </c>
      <c r="V174" s="974" t="s">
        <v>843</v>
      </c>
      <c r="W174" s="987" t="s">
        <v>844</v>
      </c>
      <c r="X174" s="1001" t="s">
        <v>364</v>
      </c>
      <c r="Y174" s="1001" t="s">
        <v>364</v>
      </c>
      <c r="Z174" s="1184">
        <v>0</v>
      </c>
      <c r="AA174" s="1194">
        <v>0</v>
      </c>
      <c r="AB174" s="975" t="s">
        <v>845</v>
      </c>
      <c r="AC174" s="1192" t="str">
        <f>""</f>
        <v/>
      </c>
      <c r="AD174" s="1193">
        <v>0</v>
      </c>
      <c r="AE174" s="1193" t="s">
        <v>368</v>
      </c>
      <c r="AF174" s="1193" t="s">
        <v>368</v>
      </c>
      <c r="AG174" s="1193">
        <v>1</v>
      </c>
      <c r="AH174" s="1193">
        <v>5</v>
      </c>
      <c r="AI174" s="1193">
        <v>0</v>
      </c>
      <c r="AJ174" s="1193">
        <f>VLOOKUP($I174,'Price List, Weapons &amp; Items'!B:F,5,0)</f>
        <v>1</v>
      </c>
      <c r="AK174" s="1193">
        <f t="shared" si="41"/>
        <v>1</v>
      </c>
      <c r="AL174" s="1193">
        <f t="shared" si="42"/>
        <v>1</v>
      </c>
      <c r="AM174" s="1193">
        <f t="shared" si="43"/>
        <v>1</v>
      </c>
      <c r="AN174" s="1194" t="str">
        <f>VLOOKUP($I174,'Price List, Weapons &amp; Items'!B:L,COLUMN('Price List, Weapons &amp; Items'!$J$11)-1,0)</f>
        <v>Government information</v>
      </c>
      <c r="AO174" s="1194" t="str">
        <f>IF(I174=".",".",VLOOKUP($I174,'Price List, Weapons &amp; Items'!B:J,3,0))</f>
        <v>155mm howitzer ammunition</v>
      </c>
      <c r="AP174" s="1195" t="str">
        <f t="shared" ca="1" si="37"/>
        <v/>
      </c>
      <c r="AQ174" s="1194" t="str">
        <f>VLOOKUP($I174,'Price List, Weapons &amp; Items'!B:L,COLUMN('Price List, Weapons &amp; Items'!$L$11)-1,0)</f>
        <v>no price, 0 count</v>
      </c>
      <c r="AR174" s="1194">
        <f t="shared" si="44"/>
        <v>1</v>
      </c>
      <c r="AS174" s="1194">
        <f t="shared" si="45"/>
        <v>1</v>
      </c>
      <c r="AT174" s="1194">
        <f t="shared" si="46"/>
        <v>1</v>
      </c>
      <c r="AU174" s="1194" t="str">
        <f t="shared" si="47"/>
        <v>.</v>
      </c>
      <c r="AV174" s="1194" t="str">
        <f t="shared" si="38"/>
        <v>.</v>
      </c>
      <c r="AW174" s="1194" t="str">
        <f t="shared" si="48"/>
        <v>.</v>
      </c>
      <c r="AX174" s="1194">
        <f>IFERROR(VLOOKUP(B174,'Share, Heavy Weapons to Ukraine'!B:Z,COLUMN('Share, Heavy Weapons to Ukraine'!C184)-1,0),0)</f>
        <v>1</v>
      </c>
      <c r="AY174" s="1194">
        <f>VLOOKUP('Bilateral Assistance, MAIN DATA'!B174,'Country Summary (€)'!B:F,COLUMN('Country Summary (€)'!C185)-1,FALSE)</f>
        <v>0</v>
      </c>
      <c r="AZ174" s="1194" t="str">
        <f>IF(AND(AD174=1,D174="Military",H174&lt;&gt;"Not given")=TRUE,IF(SUMIFS(P:P,A:A,A174)&gt;0,ABS((SUMIFS(P:P,A:A,A174)/VLOOKUP("USD",'Exchange Rates'!B:C,2,0)))/S174,"."),".")</f>
        <v>.</v>
      </c>
      <c r="BA174" s="1196" t="str">
        <f>IF(AND(AD174=1,D174="Military",H174&lt;&gt;"Not given")=TRUE,IF(SUMIFS(P:P,A:A,A174)&gt;0,IF((ABS((SUMIFS(P:P,A:A,A174)/VLOOKUP("USD",'Exchange Rates'!B:C,2,0)))/S174)&gt;1,(SUMIFS(P:P,A:A,A174)-S174)/S174,(S174-SUMIFS(P:P,A:A,A174))/SUMIFS(P:P,A:A,A174)),"."),".")</f>
        <v>.</v>
      </c>
    </row>
    <row r="175" spans="1:53" ht="15.95" customHeight="1">
      <c r="A175" s="1182" t="s">
        <v>848</v>
      </c>
      <c r="B175" s="1182" t="s">
        <v>713</v>
      </c>
      <c r="C175" s="1181">
        <v>44742</v>
      </c>
      <c r="D175" s="1182" t="s">
        <v>389</v>
      </c>
      <c r="E175" s="1182" t="s">
        <v>443</v>
      </c>
      <c r="F175" s="1263" t="s">
        <v>849</v>
      </c>
      <c r="G175" s="1184" t="s">
        <v>456</v>
      </c>
      <c r="H175" s="1185" t="s">
        <v>457</v>
      </c>
      <c r="I175" s="1180" t="s">
        <v>823</v>
      </c>
      <c r="J175" s="1186" t="str">
        <f>VLOOKUP($I175,'Price List, Weapons &amp; Items'!B:C,2,0)</f>
        <v>Military equipment</v>
      </c>
      <c r="K175" s="1186" t="str">
        <f>IF(I175=".",I175,VLOOKUP($I175,'Price List, Weapons &amp; Items'!B:D,3,0))</f>
        <v>Military equipment</v>
      </c>
      <c r="L175" s="1187">
        <f>VLOOKUP(I175,'Price List, Weapons &amp; Items'!B:E,4,0)</f>
        <v>0</v>
      </c>
      <c r="M175" s="1188">
        <v>6</v>
      </c>
      <c r="N175" s="1188">
        <v>6</v>
      </c>
      <c r="O175" s="1188">
        <f>VLOOKUP($I175,'Price List, Weapons &amp; Items'!B:G,6,0)</f>
        <v>2000</v>
      </c>
      <c r="P175" s="1185">
        <f t="shared" si="39"/>
        <v>12000</v>
      </c>
      <c r="Q175" s="1185">
        <f t="shared" si="40"/>
        <v>12000</v>
      </c>
      <c r="R175" s="1185">
        <f t="shared" si="36"/>
        <v>169528867.14300001</v>
      </c>
      <c r="S175" s="1185">
        <f>IF(AND(AD175=1,R175&lt;&gt;".")=TRUE,R175/VLOOKUP(G175,'Exchange Rates'!B:C,2,0),IF(R175=".",".",""))</f>
        <v>155989020.19046745</v>
      </c>
      <c r="T175" s="1185">
        <f>IF(AD175=1,IF(AF175="Value is not given at all",".",IF(AF175="Value is given by the source",S175,IF(AF175="Value is calculated with prices",(IF(SUMIFS(Q:Q,A:A,A175)&gt;0,SUMIFS(Q:Q,A:A,A175),"."))/VLOOKUP("USD",'Exchange Rates'!B:C,2,0),"Error with coding"))),"")</f>
        <v>155989020.19046745</v>
      </c>
      <c r="U175" s="1184" t="s">
        <v>675</v>
      </c>
      <c r="V175" s="974" t="s">
        <v>850</v>
      </c>
      <c r="W175" s="974" t="s">
        <v>851</v>
      </c>
      <c r="X175" s="986" t="s">
        <v>364</v>
      </c>
      <c r="Y175" s="1190" t="s">
        <v>364</v>
      </c>
      <c r="Z175" s="1184">
        <v>0</v>
      </c>
      <c r="AA175" s="1194">
        <v>0</v>
      </c>
      <c r="AB175" s="977" t="s">
        <v>852</v>
      </c>
      <c r="AC175" s="1192" t="str">
        <f>""</f>
        <v/>
      </c>
      <c r="AD175" s="1193">
        <v>1</v>
      </c>
      <c r="AE175" s="1193" t="s">
        <v>436</v>
      </c>
      <c r="AF175" s="1193" t="s">
        <v>436</v>
      </c>
      <c r="AG175" s="1193">
        <v>1</v>
      </c>
      <c r="AH175" s="1193">
        <v>6</v>
      </c>
      <c r="AI175" s="1193">
        <v>0</v>
      </c>
      <c r="AJ175" s="1193">
        <f>VLOOKUP($I175,'Price List, Weapons &amp; Items'!B:F,5,0)</f>
        <v>0</v>
      </c>
      <c r="AK175" s="1193">
        <f t="shared" si="41"/>
        <v>0</v>
      </c>
      <c r="AL175" s="1193">
        <f t="shared" si="42"/>
        <v>0</v>
      </c>
      <c r="AM175" s="1193">
        <f t="shared" si="43"/>
        <v>0</v>
      </c>
      <c r="AN175" s="1194" t="str">
        <f>VLOOKUP($I175,'Price List, Weapons &amp; Items'!B:L,COLUMN('Price List, Weapons &amp; Items'!$J$11)-1,0)</f>
        <v>Online marketplaces and stores</v>
      </c>
      <c r="AO175" s="1194" t="str">
        <f>IF(I175=".",".",VLOOKUP($I175,'Price List, Weapons &amp; Items'!B:J,3,0))</f>
        <v>Military equipment</v>
      </c>
      <c r="AP175" s="1195" t="str">
        <f t="shared" ca="1" si="37"/>
        <v>drone camera</v>
      </c>
      <c r="AQ175" s="1194">
        <f>VLOOKUP($I175,'Price List, Weapons &amp; Items'!B:L,COLUMN('Price List, Weapons &amp; Items'!$L$11)-1,0)</f>
        <v>1</v>
      </c>
      <c r="AR175" s="1194">
        <f t="shared" si="44"/>
        <v>0</v>
      </c>
      <c r="AS175" s="1194">
        <f t="shared" si="45"/>
        <v>1</v>
      </c>
      <c r="AT175" s="1194">
        <f t="shared" si="46"/>
        <v>1</v>
      </c>
      <c r="AU175" s="1194" t="str">
        <f t="shared" si="47"/>
        <v>.</v>
      </c>
      <c r="AV175" s="1194" t="str">
        <f t="shared" si="38"/>
        <v>.</v>
      </c>
      <c r="AW175" s="1194" t="str">
        <f t="shared" si="48"/>
        <v>.</v>
      </c>
      <c r="AX175" s="1194">
        <f>IFERROR(VLOOKUP(B175,'Share, Heavy Weapons to Ukraine'!B:Z,COLUMN('Share, Heavy Weapons to Ukraine'!C185)-1,0),0)</f>
        <v>1</v>
      </c>
      <c r="AY175" s="1194">
        <f>VLOOKUP('Bilateral Assistance, MAIN DATA'!B175,'Country Summary (€)'!B:F,COLUMN('Country Summary (€)'!C186)-1,FALSE)</f>
        <v>0</v>
      </c>
      <c r="AZ175" s="1194" t="str">
        <f>IF(AND(AD175=1,D175="Military",H175&lt;&gt;"Not given")=TRUE,IF(SUMIFS(P:P,A:A,A175)&gt;0,ABS((SUMIFS(P:P,A:A,A175)/VLOOKUP("USD",'Exchange Rates'!B:C,2,0)))/S175,"."),".")</f>
        <v>.</v>
      </c>
      <c r="BA175" s="1196" t="str">
        <f>IF(AND(AD175=1,D175="Military",H175&lt;&gt;"Not given")=TRUE,IF(SUMIFS(P:P,A:A,A175)&gt;0,IF((ABS((SUMIFS(P:P,A:A,A175)/VLOOKUP("USD",'Exchange Rates'!B:C,2,0)))/S175)&gt;1,(SUMIFS(P:P,A:A,A175)-S175)/S175,(S175-SUMIFS(P:P,A:A,A175))/SUMIFS(P:P,A:A,A175)),"."),".")</f>
        <v>.</v>
      </c>
    </row>
    <row r="176" spans="1:53" ht="15.95" customHeight="1">
      <c r="A176" s="1182" t="s">
        <v>848</v>
      </c>
      <c r="B176" s="1182" t="s">
        <v>713</v>
      </c>
      <c r="C176" s="1181">
        <v>44742</v>
      </c>
      <c r="D176" s="1182" t="s">
        <v>389</v>
      </c>
      <c r="E176" s="1182" t="s">
        <v>443</v>
      </c>
      <c r="F176" s="1263" t="s">
        <v>849</v>
      </c>
      <c r="G176" s="1184" t="s">
        <v>456</v>
      </c>
      <c r="H176" s="1185" t="s">
        <v>457</v>
      </c>
      <c r="I176" s="1180" t="s">
        <v>853</v>
      </c>
      <c r="J176" s="1186" t="str">
        <f>VLOOKUP($I176,'Price List, Weapons &amp; Items'!B:C,2,0)</f>
        <v>Heavy weapon</v>
      </c>
      <c r="K176" s="1186" t="str">
        <f>IF(I176=".",I176,VLOOKUP($I176,'Price List, Weapons &amp; Items'!B:D,3,0))</f>
        <v>Armored Personnel Carrier (APC)</v>
      </c>
      <c r="L176" s="1187">
        <f>VLOOKUP(I176,'Price List, Weapons &amp; Items'!B:E,4,0)</f>
        <v>0</v>
      </c>
      <c r="M176" s="1188">
        <v>39</v>
      </c>
      <c r="N176" s="1188">
        <v>39</v>
      </c>
      <c r="O176" s="1188">
        <f>VLOOKUP($I176,'Price List, Weapons &amp; Items'!B:G,6,0)</f>
        <v>4346586.3370000003</v>
      </c>
      <c r="P176" s="1185">
        <f t="shared" si="39"/>
        <v>169516867.14300001</v>
      </c>
      <c r="Q176" s="1185">
        <f t="shared" si="40"/>
        <v>169516867.14300001</v>
      </c>
      <c r="R176" s="1185" t="str">
        <f t="shared" si="36"/>
        <v/>
      </c>
      <c r="S176" s="1185" t="str">
        <f>IF(AND(AD176=1,R176&lt;&gt;".")=TRUE,R176/VLOOKUP(G176,'Exchange Rates'!B:C,2,0),IF(R176=".",".",""))</f>
        <v/>
      </c>
      <c r="T176" s="1185" t="str">
        <f>IF(AD176=1,IF(AF176="Value is not given at all",".",IF(AF176="Value is given by the source",S176,IF(AF176="Value is calculated with prices",(IF(SUMIFS(Q:Q,A:A,A176)&gt;0,SUMIFS(Q:Q,A:A,A176),"."))/VLOOKUP("USD",'Exchange Rates'!B:C,2,0),"Error with coding"))),"")</f>
        <v/>
      </c>
      <c r="U176" s="1184" t="s">
        <v>675</v>
      </c>
      <c r="V176" s="974" t="s">
        <v>850</v>
      </c>
      <c r="W176" s="974" t="s">
        <v>851</v>
      </c>
      <c r="X176" s="986" t="s">
        <v>364</v>
      </c>
      <c r="Y176" s="1190" t="s">
        <v>364</v>
      </c>
      <c r="Z176" s="1184">
        <v>0</v>
      </c>
      <c r="AA176" s="1184">
        <v>0</v>
      </c>
      <c r="AB176" s="977" t="s">
        <v>852</v>
      </c>
      <c r="AC176" s="1192" t="str">
        <f>""</f>
        <v/>
      </c>
      <c r="AD176" s="1193">
        <v>0</v>
      </c>
      <c r="AE176" s="1193" t="s">
        <v>436</v>
      </c>
      <c r="AF176" s="1193" t="s">
        <v>436</v>
      </c>
      <c r="AG176" s="1193">
        <v>1</v>
      </c>
      <c r="AH176" s="1193">
        <v>6</v>
      </c>
      <c r="AI176" s="1193">
        <v>0</v>
      </c>
      <c r="AJ176" s="1193">
        <f>VLOOKUP($I176,'Price List, Weapons &amp; Items'!B:F,5,0)</f>
        <v>1</v>
      </c>
      <c r="AK176" s="1193">
        <f t="shared" si="41"/>
        <v>0</v>
      </c>
      <c r="AL176" s="1193">
        <f t="shared" si="42"/>
        <v>0</v>
      </c>
      <c r="AM176" s="1193">
        <f t="shared" si="43"/>
        <v>0</v>
      </c>
      <c r="AN176" s="1194" t="str">
        <f>VLOOKUP($I176,'Price List, Weapons &amp; Items'!B:L,COLUMN('Price List, Weapons &amp; Items'!$J$11)-1,0)</f>
        <v>Government information</v>
      </c>
      <c r="AO176" s="1194" t="str">
        <f>IF(I176=".",".",VLOOKUP($I176,'Price List, Weapons &amp; Items'!B:J,3,0))</f>
        <v>Armored Personnel Carrier (APC)</v>
      </c>
      <c r="AP176" s="1195" t="str">
        <f t="shared" ca="1" si="37"/>
        <v/>
      </c>
      <c r="AQ176" s="1194">
        <f>VLOOKUP($I176,'Price List, Weapons &amp; Items'!B:L,COLUMN('Price List, Weapons &amp; Items'!$L$11)-1,0)</f>
        <v>2</v>
      </c>
      <c r="AR176" s="1194">
        <f t="shared" si="44"/>
        <v>0</v>
      </c>
      <c r="AS176" s="1194">
        <f t="shared" si="45"/>
        <v>1</v>
      </c>
      <c r="AT176" s="1194">
        <f t="shared" si="46"/>
        <v>1</v>
      </c>
      <c r="AU176" s="1194" t="str">
        <f t="shared" si="47"/>
        <v>.</v>
      </c>
      <c r="AV176" s="1194" t="str">
        <f t="shared" si="38"/>
        <v>.</v>
      </c>
      <c r="AW176" s="1194" t="str">
        <f t="shared" si="48"/>
        <v>.</v>
      </c>
      <c r="AX176" s="1194">
        <f>IFERROR(VLOOKUP(B176,'Share, Heavy Weapons to Ukraine'!B:Z,COLUMN('Share, Heavy Weapons to Ukraine'!C186)-1,0),0)</f>
        <v>1</v>
      </c>
      <c r="AY176" s="1194">
        <f>VLOOKUP('Bilateral Assistance, MAIN DATA'!B176,'Country Summary (€)'!B:F,COLUMN('Country Summary (€)'!C187)-1,FALSE)</f>
        <v>0</v>
      </c>
      <c r="AZ176" s="1194" t="str">
        <f>IF(AND(AD176=1,D176="Military",H176&lt;&gt;"Not given")=TRUE,IF(SUMIFS(P:P,A:A,A176)&gt;0,ABS((SUMIFS(P:P,A:A,A176)/VLOOKUP("USD",'Exchange Rates'!B:C,2,0)))/S176,"."),".")</f>
        <v>.</v>
      </c>
      <c r="BA176" s="1196" t="str">
        <f>IF(AND(AD176=1,D176="Military",H176&lt;&gt;"Not given")=TRUE,IF(SUMIFS(P:P,A:A,A176)&gt;0,IF((ABS((SUMIFS(P:P,A:A,A176)/VLOOKUP("USD",'Exchange Rates'!B:C,2,0)))/S176)&gt;1,(SUMIFS(P:P,A:A,A176)-S176)/S176,(S176-SUMIFS(P:P,A:A,A176))/SUMIFS(P:P,A:A,A176)),"."),".")</f>
        <v>.</v>
      </c>
    </row>
    <row r="177" spans="1:53" ht="15.95" customHeight="1">
      <c r="A177" s="1182" t="s">
        <v>854</v>
      </c>
      <c r="B177" s="1182" t="s">
        <v>713</v>
      </c>
      <c r="C177" s="1181">
        <v>44846</v>
      </c>
      <c r="D177" s="1182" t="s">
        <v>389</v>
      </c>
      <c r="E177" s="1182" t="s">
        <v>390</v>
      </c>
      <c r="F177" s="1183" t="s">
        <v>855</v>
      </c>
      <c r="G177" s="1184" t="s">
        <v>716</v>
      </c>
      <c r="H177" s="1185">
        <v>47000000</v>
      </c>
      <c r="I177" s="1180" t="s">
        <v>856</v>
      </c>
      <c r="J177" s="1186" t="str">
        <f>VLOOKUP($I177,'Price List, Weapons &amp; Items'!B:C,2,0)</f>
        <v>Ammunition for heavy weapon</v>
      </c>
      <c r="K177" s="1186" t="str">
        <f>IF(I177=".",I177,VLOOKUP($I177,'Price List, Weapons &amp; Items'!B:D,3,0))</f>
        <v>155mm howitzer ammunition</v>
      </c>
      <c r="L177" s="1187">
        <f>VLOOKUP(I177,'Price List, Weapons &amp; Items'!B:E,4,0)</f>
        <v>0</v>
      </c>
      <c r="M177" s="1188" t="s">
        <v>374</v>
      </c>
      <c r="N177" s="1188" t="s">
        <v>374</v>
      </c>
      <c r="O177" s="1188">
        <f>VLOOKUP($I177,'Price List, Weapons &amp; Items'!B:G,6,0)</f>
        <v>3800</v>
      </c>
      <c r="P177" s="1185" t="str">
        <f t="shared" si="39"/>
        <v>.</v>
      </c>
      <c r="Q177" s="1185" t="str">
        <f t="shared" si="40"/>
        <v>.</v>
      </c>
      <c r="R177" s="1185">
        <f t="shared" si="36"/>
        <v>47000000</v>
      </c>
      <c r="S177" s="1185">
        <f>IF(AND(AD177=1,R177&lt;&gt;".")=TRUE,R177/VLOOKUP(G177,'Exchange Rates'!B:C,2,0),IF(R177=".",".",""))</f>
        <v>32001089.398788046</v>
      </c>
      <c r="T177" s="1185" t="str">
        <f>IF(AD177=1,IF(AF177="Value is not given at all",".",IF(AF177="Value is given by the source",S177,IF(AF177="Value is calculated with prices",(IF(SUMIFS(Q:Q,A:A,A177)&gt;0,SUMIFS(Q:Q,A:A,A177),"."))/VLOOKUP("USD",'Exchange Rates'!B:C,2,0),"Error with coding"))),"")</f>
        <v>.</v>
      </c>
      <c r="U177" s="1184" t="s">
        <v>365</v>
      </c>
      <c r="V177" s="974" t="s">
        <v>857</v>
      </c>
      <c r="W177" s="987" t="s">
        <v>858</v>
      </c>
      <c r="X177" s="986" t="s">
        <v>364</v>
      </c>
      <c r="Y177" s="1190" t="s">
        <v>364</v>
      </c>
      <c r="Z177" s="1184">
        <v>0</v>
      </c>
      <c r="AA177" s="1194">
        <v>0</v>
      </c>
      <c r="AB177" s="1000" t="s">
        <v>364</v>
      </c>
      <c r="AC177" s="1192" t="str">
        <f>""</f>
        <v/>
      </c>
      <c r="AD177" s="1193">
        <v>1</v>
      </c>
      <c r="AE177" s="1193" t="s">
        <v>368</v>
      </c>
      <c r="AF177" s="1193" t="s">
        <v>369</v>
      </c>
      <c r="AG177" s="1193">
        <v>1</v>
      </c>
      <c r="AH177" s="1193">
        <v>10</v>
      </c>
      <c r="AI177" s="1193">
        <v>0</v>
      </c>
      <c r="AJ177" s="1193">
        <f>VLOOKUP($I177,'Price List, Weapons &amp; Items'!B:F,5,0)</f>
        <v>1</v>
      </c>
      <c r="AK177" s="1193">
        <f t="shared" si="41"/>
        <v>1</v>
      </c>
      <c r="AL177" s="1193">
        <f t="shared" si="42"/>
        <v>1</v>
      </c>
      <c r="AM177" s="1193">
        <f t="shared" si="43"/>
        <v>0</v>
      </c>
      <c r="AN177" s="1194" t="str">
        <f>VLOOKUP($I177,'Price List, Weapons &amp; Items'!B:L,COLUMN('Price List, Weapons &amp; Items'!$J$11)-1,0)</f>
        <v>Government information</v>
      </c>
      <c r="AO177" s="1194" t="str">
        <f>IF(I177=".",".",VLOOKUP($I177,'Price List, Weapons &amp; Items'!B:J,3,0))</f>
        <v>155mm howitzer ammunition</v>
      </c>
      <c r="AP177" s="1195" t="str">
        <f t="shared" ca="1" si="37"/>
        <v>155mm artillery round</v>
      </c>
      <c r="AQ177" s="1194">
        <f>VLOOKUP($I177,'Price List, Weapons &amp; Items'!B:L,COLUMN('Price List, Weapons &amp; Items'!$L$11)-1,0)</f>
        <v>2</v>
      </c>
      <c r="AR177" s="1194">
        <f t="shared" si="44"/>
        <v>1</v>
      </c>
      <c r="AS177" s="1194">
        <f t="shared" si="45"/>
        <v>1</v>
      </c>
      <c r="AT177" s="1194">
        <f t="shared" si="46"/>
        <v>1</v>
      </c>
      <c r="AU177" s="1194" t="str">
        <f t="shared" si="47"/>
        <v>.</v>
      </c>
      <c r="AV177" s="1194" t="str">
        <f t="shared" si="38"/>
        <v>.</v>
      </c>
      <c r="AW177" s="1194" t="str">
        <f t="shared" si="48"/>
        <v>.</v>
      </c>
      <c r="AX177" s="1194">
        <f>IFERROR(VLOOKUP(B177,'Share, Heavy Weapons to Ukraine'!B:Z,COLUMN('Share, Heavy Weapons to Ukraine'!C187)-1,0),0)</f>
        <v>1</v>
      </c>
      <c r="AY177" s="1194">
        <f>VLOOKUP('Bilateral Assistance, MAIN DATA'!B177,'Country Summary (€)'!B:F,COLUMN('Country Summary (€)'!C188)-1,FALSE)</f>
        <v>0</v>
      </c>
      <c r="AZ177" s="1194">
        <f>IF(AND(AD177=1,D177="Military",H177&lt;&gt;"Not given")=TRUE,IF(SUMIFS(P:P,A:A,A177)&gt;0,ABS((SUMIFS(P:P,A:A,A177)/VLOOKUP("USD",'Exchange Rates'!B:C,2,0)))/S177,"."),".")</f>
        <v>0.41792386238205137</v>
      </c>
      <c r="BA177" s="1196">
        <f>IF(AND(AD177=1,D177="Military",H177&lt;&gt;"Not given")=TRUE,IF(SUMIFS(P:P,A:A,A177)&gt;0,IF((ABS((SUMIFS(P:P,A:A,A177)/VLOOKUP("USD",'Exchange Rates'!B:C,2,0)))/S177)&gt;1,(SUMIFS(P:P,A:A,A177)-S177)/S177,(S177-SUMIFS(P:P,A:A,A177))/SUMIFS(P:P,A:A,A177)),"."),".")</f>
        <v>1.2016749506366178</v>
      </c>
    </row>
    <row r="178" spans="1:53" ht="15.95" customHeight="1">
      <c r="A178" s="1182" t="s">
        <v>854</v>
      </c>
      <c r="B178" s="1182" t="s">
        <v>713</v>
      </c>
      <c r="C178" s="1181">
        <v>44846</v>
      </c>
      <c r="D178" s="1182" t="s">
        <v>389</v>
      </c>
      <c r="E178" s="1182" t="s">
        <v>390</v>
      </c>
      <c r="F178" s="1183" t="s">
        <v>855</v>
      </c>
      <c r="G178" s="1184" t="s">
        <v>716</v>
      </c>
      <c r="H178" s="1185">
        <v>47000000</v>
      </c>
      <c r="I178" s="1180" t="s">
        <v>823</v>
      </c>
      <c r="J178" s="1186" t="str">
        <f>VLOOKUP($I178,'Price List, Weapons &amp; Items'!B:C,2,0)</f>
        <v>Military equipment</v>
      </c>
      <c r="K178" s="1186" t="str">
        <f>IF(I178=".",I178,VLOOKUP($I178,'Price List, Weapons &amp; Items'!B:D,3,0))</f>
        <v>Military equipment</v>
      </c>
      <c r="L178" s="1187">
        <f>VLOOKUP(I178,'Price List, Weapons &amp; Items'!B:E,4,0)</f>
        <v>0</v>
      </c>
      <c r="M178" s="1188" t="s">
        <v>374</v>
      </c>
      <c r="N178" s="1188" t="s">
        <v>374</v>
      </c>
      <c r="O178" s="1188">
        <f>VLOOKUP($I178,'Price List, Weapons &amp; Items'!B:G,6,0)</f>
        <v>2000</v>
      </c>
      <c r="P178" s="1185" t="str">
        <f t="shared" si="39"/>
        <v>.</v>
      </c>
      <c r="Q178" s="1185" t="str">
        <f t="shared" si="40"/>
        <v>.</v>
      </c>
      <c r="R178" s="1185" t="str">
        <f t="shared" si="36"/>
        <v/>
      </c>
      <c r="S178" s="1185" t="str">
        <f>IF(AND(AD178=1,R178&lt;&gt;".")=TRUE,R178/VLOOKUP(G178,'Exchange Rates'!B:C,2,0),IF(R178=".",".",""))</f>
        <v/>
      </c>
      <c r="T178" s="1185" t="str">
        <f>IF(AD178=1,IF(AF178="Value is not given at all",".",IF(AF178="Value is given by the source",S178,IF(AF178="Value is calculated with prices",(IF(SUMIFS(Q:Q,A:A,A178)&gt;0,SUMIFS(Q:Q,A:A,A178),"."))/VLOOKUP("USD",'Exchange Rates'!B:C,2,0),"Error with coding"))),"")</f>
        <v/>
      </c>
      <c r="U178" s="1184" t="s">
        <v>365</v>
      </c>
      <c r="V178" s="974" t="s">
        <v>857</v>
      </c>
      <c r="W178" s="987" t="s">
        <v>858</v>
      </c>
      <c r="X178" s="986" t="s">
        <v>364</v>
      </c>
      <c r="Y178" s="1190" t="s">
        <v>364</v>
      </c>
      <c r="Z178" s="1184">
        <v>0</v>
      </c>
      <c r="AA178" s="1194">
        <v>0</v>
      </c>
      <c r="AB178" s="1000" t="s">
        <v>364</v>
      </c>
      <c r="AC178" s="1192" t="str">
        <f>""</f>
        <v/>
      </c>
      <c r="AD178" s="1193">
        <v>0</v>
      </c>
      <c r="AE178" s="1193" t="s">
        <v>368</v>
      </c>
      <c r="AF178" s="1193" t="s">
        <v>369</v>
      </c>
      <c r="AG178" s="1193">
        <v>1</v>
      </c>
      <c r="AH178" s="1193">
        <v>10</v>
      </c>
      <c r="AI178" s="1193">
        <v>0</v>
      </c>
      <c r="AJ178" s="1193">
        <f>VLOOKUP($I178,'Price List, Weapons &amp; Items'!B:F,5,0)</f>
        <v>0</v>
      </c>
      <c r="AK178" s="1193">
        <f t="shared" si="41"/>
        <v>0</v>
      </c>
      <c r="AL178" s="1193">
        <f t="shared" si="42"/>
        <v>0</v>
      </c>
      <c r="AM178" s="1193">
        <f t="shared" si="43"/>
        <v>0</v>
      </c>
      <c r="AN178" s="1194" t="str">
        <f>VLOOKUP($I178,'Price List, Weapons &amp; Items'!B:L,COLUMN('Price List, Weapons &amp; Items'!$J$11)-1,0)</f>
        <v>Online marketplaces and stores</v>
      </c>
      <c r="AO178" s="1194" t="str">
        <f>IF(I178=".",".",VLOOKUP($I178,'Price List, Weapons &amp; Items'!B:J,3,0))</f>
        <v>Military equipment</v>
      </c>
      <c r="AP178" s="1195" t="str">
        <f t="shared" ca="1" si="37"/>
        <v/>
      </c>
      <c r="AQ178" s="1194">
        <f>VLOOKUP($I178,'Price List, Weapons &amp; Items'!B:L,COLUMN('Price List, Weapons &amp; Items'!$L$11)-1,0)</f>
        <v>1</v>
      </c>
      <c r="AR178" s="1194">
        <f t="shared" si="44"/>
        <v>1</v>
      </c>
      <c r="AS178" s="1194">
        <f t="shared" si="45"/>
        <v>1</v>
      </c>
      <c r="AT178" s="1194">
        <f t="shared" si="46"/>
        <v>1</v>
      </c>
      <c r="AU178" s="1194" t="str">
        <f t="shared" si="47"/>
        <v>.</v>
      </c>
      <c r="AV178" s="1194" t="str">
        <f t="shared" si="38"/>
        <v>.</v>
      </c>
      <c r="AW178" s="1194" t="str">
        <f t="shared" si="48"/>
        <v>.</v>
      </c>
      <c r="AX178" s="1194">
        <f>IFERROR(VLOOKUP(B178,'Share, Heavy Weapons to Ukraine'!B:Z,COLUMN('Share, Heavy Weapons to Ukraine'!C188)-1,0),0)</f>
        <v>1</v>
      </c>
      <c r="AY178" s="1194">
        <f>VLOOKUP('Bilateral Assistance, MAIN DATA'!B178,'Country Summary (€)'!B:F,COLUMN('Country Summary (€)'!C189)-1,FALSE)</f>
        <v>0</v>
      </c>
      <c r="AZ178" s="1194" t="str">
        <f>IF(AND(AD178=1,D178="Military",H178&lt;&gt;"Not given")=TRUE,IF(SUMIFS(P:P,A:A,A178)&gt;0,ABS((SUMIFS(P:P,A:A,A178)/VLOOKUP("USD",'Exchange Rates'!B:C,2,0)))/S178,"."),".")</f>
        <v>.</v>
      </c>
      <c r="BA178" s="1196" t="str">
        <f>IF(AND(AD178=1,D178="Military",H178&lt;&gt;"Not given")=TRUE,IF(SUMIFS(P:P,A:A,A178)&gt;0,IF((ABS((SUMIFS(P:P,A:A,A178)/VLOOKUP("USD",'Exchange Rates'!B:C,2,0)))/S178)&gt;1,(SUMIFS(P:P,A:A,A178)-S178)/S178,(S178-SUMIFS(P:P,A:A,A178))/SUMIFS(P:P,A:A,A178)),"."),".")</f>
        <v>.</v>
      </c>
    </row>
    <row r="179" spans="1:53" ht="15.95" customHeight="1">
      <c r="A179" s="1182" t="s">
        <v>854</v>
      </c>
      <c r="B179" s="1182" t="s">
        <v>713</v>
      </c>
      <c r="C179" s="1181">
        <v>44846</v>
      </c>
      <c r="D179" s="1182" t="s">
        <v>389</v>
      </c>
      <c r="E179" s="1182" t="s">
        <v>390</v>
      </c>
      <c r="F179" s="1183" t="s">
        <v>855</v>
      </c>
      <c r="G179" s="1184" t="s">
        <v>716</v>
      </c>
      <c r="H179" s="1185">
        <v>47000000</v>
      </c>
      <c r="I179" s="1270" t="s">
        <v>859</v>
      </c>
      <c r="J179" s="1186" t="str">
        <f>VLOOKUP($I179,'Price List, Weapons &amp; Items'!B:C,2,0)</f>
        <v>Military equipment</v>
      </c>
      <c r="K179" s="1186" t="str">
        <f>IF(I179=".",I179,VLOOKUP($I179,'Price List, Weapons &amp; Items'!B:D,3,0))</f>
        <v>Military equipment</v>
      </c>
      <c r="L179" s="1187">
        <f>VLOOKUP(I179,'Price List, Weapons &amp; Items'!B:E,4,0)</f>
        <v>0</v>
      </c>
      <c r="M179" s="1188">
        <v>500000</v>
      </c>
      <c r="N179" s="1188" t="s">
        <v>374</v>
      </c>
      <c r="O179" s="1188">
        <f>VLOOKUP($I179,'Price List, Weapons &amp; Items'!B:G,6,0)</f>
        <v>29.069767441860463</v>
      </c>
      <c r="P179" s="1185">
        <f t="shared" si="39"/>
        <v>14534883.720930232</v>
      </c>
      <c r="Q179" s="1185" t="str">
        <f t="shared" si="40"/>
        <v>.</v>
      </c>
      <c r="R179" s="1185" t="str">
        <f t="shared" si="36"/>
        <v/>
      </c>
      <c r="S179" s="1185" t="str">
        <f>IF(AND(AD179=1,R179&lt;&gt;".")=TRUE,R179/VLOOKUP(G179,'Exchange Rates'!B:C,2,0),IF(R179=".",".",""))</f>
        <v/>
      </c>
      <c r="T179" s="1185" t="str">
        <f>IF(AD179=1,IF(AF179="Value is not given at all",".",IF(AF179="Value is given by the source",S179,IF(AF179="Value is calculated with prices",(IF(SUMIFS(Q:Q,A:A,A179)&gt;0,SUMIFS(Q:Q,A:A,A179),"."))/VLOOKUP("USD",'Exchange Rates'!B:C,2,0),"Error with coding"))),"")</f>
        <v/>
      </c>
      <c r="U179" s="1184" t="s">
        <v>365</v>
      </c>
      <c r="V179" s="974" t="s">
        <v>857</v>
      </c>
      <c r="W179" s="987" t="s">
        <v>858</v>
      </c>
      <c r="X179" s="986" t="s">
        <v>364</v>
      </c>
      <c r="Y179" s="1190" t="s">
        <v>364</v>
      </c>
      <c r="Z179" s="1184">
        <v>0</v>
      </c>
      <c r="AA179" s="1194">
        <v>0</v>
      </c>
      <c r="AB179" s="1000" t="s">
        <v>364</v>
      </c>
      <c r="AC179" s="1192" t="str">
        <f>""</f>
        <v/>
      </c>
      <c r="AD179" s="1193">
        <v>0</v>
      </c>
      <c r="AE179" s="1193" t="s">
        <v>368</v>
      </c>
      <c r="AF179" s="1193" t="s">
        <v>369</v>
      </c>
      <c r="AG179" s="1193">
        <v>1</v>
      </c>
      <c r="AH179" s="1193">
        <v>10</v>
      </c>
      <c r="AI179" s="1193">
        <v>0</v>
      </c>
      <c r="AJ179" s="1193">
        <f>VLOOKUP($I179,'Price List, Weapons &amp; Items'!B:F,5,0)</f>
        <v>0</v>
      </c>
      <c r="AK179" s="1193">
        <f t="shared" si="41"/>
        <v>0</v>
      </c>
      <c r="AL179" s="1193">
        <f t="shared" si="42"/>
        <v>0</v>
      </c>
      <c r="AM179" s="1193">
        <f t="shared" si="43"/>
        <v>0</v>
      </c>
      <c r="AN179" s="1194" t="str">
        <f>VLOOKUP($I179,'Price List, Weapons &amp; Items'!B:L,COLUMN('Price List, Weapons &amp; Items'!$J$11)-1,0)</f>
        <v>Government information</v>
      </c>
      <c r="AO179" s="1194" t="str">
        <f>IF(I179=".",".",VLOOKUP($I179,'Price List, Weapons &amp; Items'!B:J,3,0))</f>
        <v>Military equipment</v>
      </c>
      <c r="AP179" s="1195" t="str">
        <f t="shared" ca="1" si="37"/>
        <v/>
      </c>
      <c r="AQ179" s="1194">
        <f>VLOOKUP($I179,'Price List, Weapons &amp; Items'!B:L,COLUMN('Price List, Weapons &amp; Items'!$L$11)-1,0)</f>
        <v>2</v>
      </c>
      <c r="AR179" s="1194">
        <f t="shared" si="44"/>
        <v>1</v>
      </c>
      <c r="AS179" s="1194">
        <f t="shared" si="45"/>
        <v>1</v>
      </c>
      <c r="AT179" s="1194">
        <f t="shared" si="46"/>
        <v>1</v>
      </c>
      <c r="AU179" s="1194" t="str">
        <f t="shared" si="47"/>
        <v>.</v>
      </c>
      <c r="AV179" s="1194" t="str">
        <f t="shared" si="38"/>
        <v>.</v>
      </c>
      <c r="AW179" s="1194" t="str">
        <f t="shared" si="48"/>
        <v>.</v>
      </c>
      <c r="AX179" s="1194">
        <f>IFERROR(VLOOKUP(B179,'Share, Heavy Weapons to Ukraine'!B:Z,COLUMN('Share, Heavy Weapons to Ukraine'!C189)-1,0),0)</f>
        <v>1</v>
      </c>
      <c r="AY179" s="1194">
        <f>VLOOKUP('Bilateral Assistance, MAIN DATA'!B179,'Country Summary (€)'!B:F,COLUMN('Country Summary (€)'!C190)-1,FALSE)</f>
        <v>0</v>
      </c>
      <c r="AZ179" s="1194" t="str">
        <f>IF(AND(AD179=1,D179="Military",H179&lt;&gt;"Not given")=TRUE,IF(SUMIFS(P:P,A:A,A179)&gt;0,ABS((SUMIFS(P:P,A:A,A179)/VLOOKUP("USD",'Exchange Rates'!B:C,2,0)))/S179,"."),".")</f>
        <v>.</v>
      </c>
      <c r="BA179" s="1196" t="str">
        <f>IF(AND(AD179=1,D179="Military",H179&lt;&gt;"Not given")=TRUE,IF(SUMIFS(P:P,A:A,A179)&gt;0,IF((ABS((SUMIFS(P:P,A:A,A179)/VLOOKUP("USD",'Exchange Rates'!B:C,2,0)))/S179)&gt;1,(SUMIFS(P:P,A:A,A179)-S179)/S179,(S179-SUMIFS(P:P,A:A,A179))/SUMIFS(P:P,A:A,A179)),"."),".")</f>
        <v>.</v>
      </c>
    </row>
    <row r="180" spans="1:53" ht="15.95" customHeight="1">
      <c r="A180" s="1182" t="s">
        <v>860</v>
      </c>
      <c r="B180" s="1182" t="s">
        <v>713</v>
      </c>
      <c r="C180" s="1181">
        <v>44879</v>
      </c>
      <c r="D180" s="1182" t="s">
        <v>389</v>
      </c>
      <c r="E180" s="1182" t="s">
        <v>443</v>
      </c>
      <c r="F180" s="1183" t="s">
        <v>861</v>
      </c>
      <c r="G180" s="1184" t="s">
        <v>716</v>
      </c>
      <c r="H180" s="1185">
        <v>500000000</v>
      </c>
      <c r="I180" s="1180" t="s">
        <v>862</v>
      </c>
      <c r="J180" s="1186" t="str">
        <f>VLOOKUP($I180,'Price List, Weapons &amp; Items'!B:C,2,0)</f>
        <v>Heavy weapon</v>
      </c>
      <c r="K180" s="1186" t="str">
        <f>IF(I180=".",I180,VLOOKUP($I180,'Price List, Weapons &amp; Items'!B:D,3,0))</f>
        <v>Anti-aircraft surface-to-air missile (SAM) system (short-range)</v>
      </c>
      <c r="L180" s="1187">
        <f>VLOOKUP(I180,'Price List, Weapons &amp; Items'!B:E,4,0)</f>
        <v>0</v>
      </c>
      <c r="M180" s="1188">
        <v>1</v>
      </c>
      <c r="N180" s="1188" t="s">
        <v>374</v>
      </c>
      <c r="O180" s="1188">
        <f>VLOOKUP($I180,'Price List, Weapons &amp; Items'!B:G,6,0)</f>
        <v>50000000</v>
      </c>
      <c r="P180" s="1185">
        <f t="shared" si="39"/>
        <v>50000000</v>
      </c>
      <c r="Q180" s="1185" t="str">
        <f t="shared" si="40"/>
        <v>.</v>
      </c>
      <c r="R180" s="1185">
        <f t="shared" si="36"/>
        <v>500000000</v>
      </c>
      <c r="S180" s="1185">
        <f>IF(AND(AD180=1,R180&lt;&gt;".")=TRUE,R180/VLOOKUP(G180,'Exchange Rates'!B:C,2,0),IF(R180=".",".",""))</f>
        <v>340437121.26370263</v>
      </c>
      <c r="T180" s="1185" t="str">
        <f>IF(AD180=1,IF(AF180="Value is not given at all",".",IF(AF180="Value is given by the source",S180,IF(AF180="Value is calculated with prices",(IF(SUMIFS(Q:Q,A:A,A180)&gt;0,SUMIFS(Q:Q,A:A,A180),"."))/VLOOKUP("USD",'Exchange Rates'!B:C,2,0),"Error with coding"))),"")</f>
        <v>.</v>
      </c>
      <c r="U180" s="1184" t="s">
        <v>365</v>
      </c>
      <c r="V180" s="974" t="s">
        <v>863</v>
      </c>
      <c r="W180" s="974" t="s">
        <v>864</v>
      </c>
      <c r="X180" s="986" t="s">
        <v>364</v>
      </c>
      <c r="Y180" s="1190" t="s">
        <v>364</v>
      </c>
      <c r="Z180" s="1184">
        <v>0</v>
      </c>
      <c r="AA180" s="1191">
        <v>0</v>
      </c>
      <c r="AB180" s="1000" t="s">
        <v>364</v>
      </c>
      <c r="AC180" s="1192" t="str">
        <f>""</f>
        <v/>
      </c>
      <c r="AD180" s="1193">
        <v>1</v>
      </c>
      <c r="AE180" s="1193" t="s">
        <v>368</v>
      </c>
      <c r="AF180" s="1193" t="s">
        <v>369</v>
      </c>
      <c r="AG180" s="1193">
        <v>1</v>
      </c>
      <c r="AH180" s="1193">
        <v>11</v>
      </c>
      <c r="AI180" s="1193">
        <v>0</v>
      </c>
      <c r="AJ180" s="1193">
        <f>VLOOKUP($I180,'Price List, Weapons &amp; Items'!B:F,5,0)</f>
        <v>0</v>
      </c>
      <c r="AK180" s="1193">
        <f t="shared" si="41"/>
        <v>0</v>
      </c>
      <c r="AL180" s="1193">
        <f t="shared" si="42"/>
        <v>0</v>
      </c>
      <c r="AM180" s="1193">
        <f t="shared" si="43"/>
        <v>0</v>
      </c>
      <c r="AN180" s="1194" t="str">
        <f>VLOOKUP($I180,'Price List, Weapons &amp; Items'!B:L,COLUMN('Price List, Weapons &amp; Items'!$J$11)-1,0)</f>
        <v>Military media (incl. websites)</v>
      </c>
      <c r="AO180" s="1194" t="str">
        <f>IF(I180=".",".",VLOOKUP($I180,'Price List, Weapons &amp; Items'!B:J,3,0))</f>
        <v>Anti-aircraft surface-to-air missile (SAM) system (short-range)</v>
      </c>
      <c r="AP180" s="1195" t="str">
        <f t="shared" ca="1" si="37"/>
        <v>National Advanced Surface-to-Air Missile System (NASAMS)</v>
      </c>
      <c r="AQ180" s="1194">
        <f>VLOOKUP($I180,'Price List, Weapons &amp; Items'!B:L,COLUMN('Price List, Weapons &amp; Items'!$L$11)-1,0)</f>
        <v>2</v>
      </c>
      <c r="AR180" s="1194">
        <f t="shared" si="44"/>
        <v>1</v>
      </c>
      <c r="AS180" s="1194">
        <f t="shared" si="45"/>
        <v>1</v>
      </c>
      <c r="AT180" s="1194">
        <f t="shared" si="46"/>
        <v>1</v>
      </c>
      <c r="AU180" s="1194" t="str">
        <f t="shared" si="47"/>
        <v>.</v>
      </c>
      <c r="AV180" s="1194" t="str">
        <f t="shared" si="38"/>
        <v>.</v>
      </c>
      <c r="AW180" s="1194" t="str">
        <f t="shared" si="48"/>
        <v>.</v>
      </c>
      <c r="AX180" s="1194">
        <f>IFERROR(VLOOKUP(B180,'Share, Heavy Weapons to Ukraine'!B:Z,COLUMN('Share, Heavy Weapons to Ukraine'!C190)-1,0),0)</f>
        <v>1</v>
      </c>
      <c r="AY180" s="1194">
        <f>VLOOKUP('Bilateral Assistance, MAIN DATA'!B180,'Country Summary (€)'!B:F,COLUMN('Country Summary (€)'!C191)-1,FALSE)</f>
        <v>0</v>
      </c>
      <c r="AZ180" s="1194">
        <f>IF(AND(AD180=1,D180="Military",H180&lt;&gt;"Not given")=TRUE,IF(SUMIFS(P:P,A:A,A180)&gt;0,ABS((SUMIFS(P:P,A:A,A180)/VLOOKUP("USD",'Exchange Rates'!B:C,2,0)))/S180,"."),".")</f>
        <v>0.13513986013986012</v>
      </c>
      <c r="BA180" s="1196">
        <f>IF(AND(AD180=1,D180="Military",H180&lt;&gt;"Not given")=TRUE,IF(SUMIFS(P:P,A:A,A180)&gt;0,IF((ABS((SUMIFS(P:P,A:A,A180)/VLOOKUP("USD",'Exchange Rates'!B:C,2,0)))/S180)&gt;1,(SUMIFS(P:P,A:A,A180)-S180)/S180,(S180-SUMIFS(P:P,A:A,A180))/SUMIFS(P:P,A:A,A180)),"."),".")</f>
        <v>5.8087424252740529</v>
      </c>
    </row>
    <row r="181" spans="1:53" ht="15.95" customHeight="1">
      <c r="A181" s="1182" t="s">
        <v>860</v>
      </c>
      <c r="B181" s="1182" t="s">
        <v>713</v>
      </c>
      <c r="C181" s="1181">
        <v>44879</v>
      </c>
      <c r="D181" s="1182" t="s">
        <v>389</v>
      </c>
      <c r="E181" s="1182" t="s">
        <v>443</v>
      </c>
      <c r="F181" s="1183" t="s">
        <v>861</v>
      </c>
      <c r="G181" s="1184" t="s">
        <v>716</v>
      </c>
      <c r="H181" s="1185">
        <v>500000000</v>
      </c>
      <c r="I181" s="1180" t="s">
        <v>865</v>
      </c>
      <c r="J181" s="1186" t="str">
        <f>VLOOKUP($I181,'Price List, Weapons &amp; Items'!B:C,2,0)</f>
        <v>Ammunition for Heavy Weapon</v>
      </c>
      <c r="K181" s="1186" t="str">
        <f>IF(I181=".",I181,VLOOKUP($I181,'Price List, Weapons &amp; Items'!B:D,3,0))</f>
        <v>Missile</v>
      </c>
      <c r="L181" s="1187">
        <f>VLOOKUP(I181,'Price List, Weapons &amp; Items'!B:E,4,0)</f>
        <v>0</v>
      </c>
      <c r="M181" s="1188" t="s">
        <v>374</v>
      </c>
      <c r="N181" s="1188" t="s">
        <v>374</v>
      </c>
      <c r="O181" s="1188">
        <f>VLOOKUP($I181,'Price List, Weapons &amp; Items'!B:G,6,0)</f>
        <v>1090000</v>
      </c>
      <c r="P181" s="1185" t="str">
        <f t="shared" si="39"/>
        <v>.</v>
      </c>
      <c r="Q181" s="1185" t="str">
        <f t="shared" si="40"/>
        <v>.</v>
      </c>
      <c r="R181" s="1185" t="str">
        <f t="shared" si="36"/>
        <v/>
      </c>
      <c r="S181" s="1185" t="str">
        <f>IF(AND(AD181=1,R181&lt;&gt;".")=TRUE,R181/VLOOKUP(G181,'Exchange Rates'!B:C,2,0),IF(R181=".",".",""))</f>
        <v/>
      </c>
      <c r="T181" s="1185" t="str">
        <f>IF(AD181=1,IF(AF181="Value is not given at all",".",IF(AF181="Value is given by the source",S181,IF(AF181="Value is calculated with prices",(IF(SUMIFS(Q:Q,A:A,A181)&gt;0,SUMIFS(Q:Q,A:A,A181),"."))/VLOOKUP("USD",'Exchange Rates'!B:C,2,0),"Error with coding"))),"")</f>
        <v/>
      </c>
      <c r="U181" s="1184" t="s">
        <v>365</v>
      </c>
      <c r="V181" s="974" t="s">
        <v>863</v>
      </c>
      <c r="W181" s="974" t="s">
        <v>864</v>
      </c>
      <c r="X181" s="986" t="s">
        <v>364</v>
      </c>
      <c r="Y181" s="1190" t="s">
        <v>364</v>
      </c>
      <c r="Z181" s="1184">
        <v>0</v>
      </c>
      <c r="AA181" s="1191">
        <v>0</v>
      </c>
      <c r="AB181" s="1000" t="s">
        <v>364</v>
      </c>
      <c r="AC181" s="1192" t="str">
        <f>""</f>
        <v/>
      </c>
      <c r="AD181" s="1193">
        <v>0</v>
      </c>
      <c r="AE181" s="1193" t="s">
        <v>368</v>
      </c>
      <c r="AF181" s="1193" t="s">
        <v>369</v>
      </c>
      <c r="AG181" s="1193">
        <v>1</v>
      </c>
      <c r="AH181" s="1193">
        <v>11</v>
      </c>
      <c r="AI181" s="1193">
        <v>0</v>
      </c>
      <c r="AJ181" s="1193">
        <f>VLOOKUP($I181,'Price List, Weapons &amp; Items'!B:F,5,0)</f>
        <v>0</v>
      </c>
      <c r="AK181" s="1193">
        <f t="shared" si="41"/>
        <v>0</v>
      </c>
      <c r="AL181" s="1193">
        <f t="shared" si="42"/>
        <v>0</v>
      </c>
      <c r="AM181" s="1193">
        <f t="shared" si="43"/>
        <v>0</v>
      </c>
      <c r="AN181" s="1194" t="str">
        <f>VLOOKUP($I181,'Price List, Weapons &amp; Items'!B:L,COLUMN('Price List, Weapons &amp; Items'!$J$11)-1,0)</f>
        <v>Miscellaneous</v>
      </c>
      <c r="AO181" s="1194" t="str">
        <f>IF(I181=".",".",VLOOKUP($I181,'Price List, Weapons &amp; Items'!B:J,3,0))</f>
        <v>Missile</v>
      </c>
      <c r="AP181" s="1195" t="str">
        <f t="shared" ca="1" si="37"/>
        <v/>
      </c>
      <c r="AQ181" s="1194" t="str">
        <f>VLOOKUP($I181,'Price List, Weapons &amp; Items'!B:L,COLUMN('Price List, Weapons &amp; Items'!$L$11)-1,0)</f>
        <v>no price, 0 count</v>
      </c>
      <c r="AR181" s="1194">
        <f t="shared" si="44"/>
        <v>1</v>
      </c>
      <c r="AS181" s="1194">
        <f t="shared" si="45"/>
        <v>1</v>
      </c>
      <c r="AT181" s="1194">
        <f t="shared" si="46"/>
        <v>1</v>
      </c>
      <c r="AU181" s="1194" t="str">
        <f t="shared" si="47"/>
        <v>.</v>
      </c>
      <c r="AV181" s="1194" t="str">
        <f t="shared" si="38"/>
        <v>.</v>
      </c>
      <c r="AW181" s="1194" t="str">
        <f t="shared" si="48"/>
        <v>.</v>
      </c>
      <c r="AX181" s="1194">
        <f>IFERROR(VLOOKUP(B181,'Share, Heavy Weapons to Ukraine'!B:Z,COLUMN('Share, Heavy Weapons to Ukraine'!C191)-1,0),0)</f>
        <v>1</v>
      </c>
      <c r="AY181" s="1194">
        <f>VLOOKUP('Bilateral Assistance, MAIN DATA'!B181,'Country Summary (€)'!B:F,COLUMN('Country Summary (€)'!C192)-1,FALSE)</f>
        <v>0</v>
      </c>
      <c r="AZ181" s="1194" t="str">
        <f>IF(AND(AD181=1,D181="Military",H181&lt;&gt;"Not given")=TRUE,IF(SUMIFS(P:P,A:A,A181)&gt;0,ABS((SUMIFS(P:P,A:A,A181)/VLOOKUP("USD",'Exchange Rates'!B:C,2,0)))/S181,"."),".")</f>
        <v>.</v>
      </c>
      <c r="BA181" s="1196" t="str">
        <f>IF(AND(AD181=1,D181="Military",H181&lt;&gt;"Not given")=TRUE,IF(SUMIFS(P:P,A:A,A181)&gt;0,IF((ABS((SUMIFS(P:P,A:A,A181)/VLOOKUP("USD",'Exchange Rates'!B:C,2,0)))/S181)&gt;1,(SUMIFS(P:P,A:A,A181)-S181)/S181,(S181-SUMIFS(P:P,A:A,A181))/SUMIFS(P:P,A:A,A181)),"."),".")</f>
        <v>.</v>
      </c>
    </row>
    <row r="182" spans="1:53" ht="15.95" customHeight="1">
      <c r="A182" s="1182" t="s">
        <v>866</v>
      </c>
      <c r="B182" s="1182" t="s">
        <v>713</v>
      </c>
      <c r="C182" s="1181">
        <v>44881</v>
      </c>
      <c r="D182" s="1182" t="s">
        <v>389</v>
      </c>
      <c r="E182" s="1182" t="s">
        <v>443</v>
      </c>
      <c r="F182" s="1183" t="s">
        <v>867</v>
      </c>
      <c r="G182" s="1184" t="s">
        <v>716</v>
      </c>
      <c r="H182" s="1185">
        <v>33000000</v>
      </c>
      <c r="I182" s="1180" t="s">
        <v>364</v>
      </c>
      <c r="J182" s="1186" t="str">
        <f>VLOOKUP($I182,'Price List, Weapons &amp; Items'!B:C,2,0)</f>
        <v>.</v>
      </c>
      <c r="K182" s="1186" t="str">
        <f>IF(I182=".",I182,VLOOKUP($I182,'Price List, Weapons &amp; Items'!B:D,3,0))</f>
        <v>.</v>
      </c>
      <c r="L182" s="1187">
        <f>VLOOKUP(I182,'Price List, Weapons &amp; Items'!B:E,4,0)</f>
        <v>0</v>
      </c>
      <c r="M182" s="1188" t="s">
        <v>364</v>
      </c>
      <c r="N182" s="1188" t="s">
        <v>364</v>
      </c>
      <c r="O182" s="1188" t="str">
        <f>VLOOKUP($I182,'Price List, Weapons &amp; Items'!B:G,6,0)</f>
        <v>.</v>
      </c>
      <c r="P182" s="1185" t="str">
        <f t="shared" si="39"/>
        <v>.</v>
      </c>
      <c r="Q182" s="1185" t="str">
        <f t="shared" si="40"/>
        <v>.</v>
      </c>
      <c r="R182" s="1185">
        <f t="shared" si="36"/>
        <v>33000000</v>
      </c>
      <c r="S182" s="1185">
        <f>IF(AND(AD182=1,R182&lt;&gt;".")=TRUE,R182/VLOOKUP(G182,'Exchange Rates'!B:C,2,0),IF(R182=".",".",""))</f>
        <v>22468850.003404371</v>
      </c>
      <c r="T182" s="1185" t="str">
        <f>IF(AD182=1,IF(AF182="Value is not given at all",".",IF(AF182="Value is given by the source",S182,IF(AF182="Value is calculated with prices",(IF(SUMIFS(Q:Q,A:A,A182)&gt;0,SUMIFS(Q:Q,A:A,A182),"."))/VLOOKUP("USD",'Exchange Rates'!B:C,2,0),"Error with coding"))),"")</f>
        <v>.</v>
      </c>
      <c r="U182" s="1184" t="s">
        <v>365</v>
      </c>
      <c r="V182" s="974" t="s">
        <v>857</v>
      </c>
      <c r="W182" s="987" t="s">
        <v>868</v>
      </c>
      <c r="X182" s="986" t="s">
        <v>364</v>
      </c>
      <c r="Y182" s="1190" t="s">
        <v>364</v>
      </c>
      <c r="Z182" s="1184">
        <v>0</v>
      </c>
      <c r="AA182" s="1194">
        <v>0</v>
      </c>
      <c r="AB182" s="1000" t="s">
        <v>364</v>
      </c>
      <c r="AC182" s="1192" t="str">
        <f>""</f>
        <v/>
      </c>
      <c r="AD182" s="1193">
        <v>1</v>
      </c>
      <c r="AE182" s="1193" t="s">
        <v>368</v>
      </c>
      <c r="AF182" s="1193" t="s">
        <v>369</v>
      </c>
      <c r="AG182" s="1193">
        <v>1</v>
      </c>
      <c r="AH182" s="1193">
        <v>11</v>
      </c>
      <c r="AI182" s="1193">
        <v>0</v>
      </c>
      <c r="AJ182" s="1193">
        <f>VLOOKUP($I182,'Price List, Weapons &amp; Items'!B:F,5,0)</f>
        <v>0</v>
      </c>
      <c r="AK182" s="1193">
        <f t="shared" si="41"/>
        <v>0</v>
      </c>
      <c r="AL182" s="1193">
        <f t="shared" si="42"/>
        <v>0</v>
      </c>
      <c r="AM182" s="1193">
        <f t="shared" si="43"/>
        <v>0</v>
      </c>
      <c r="AN182" s="1194" t="str">
        <f>VLOOKUP($I182,'Price List, Weapons &amp; Items'!B:L,COLUMN('Price List, Weapons &amp; Items'!$J$11)-1,0)</f>
        <v>.</v>
      </c>
      <c r="AO182" s="1194" t="str">
        <f>IF(I182=".",".",VLOOKUP($I182,'Price List, Weapons &amp; Items'!B:J,3,0))</f>
        <v>.</v>
      </c>
      <c r="AP182" s="1195" t="str">
        <f t="shared" ca="1" si="37"/>
        <v>.</v>
      </c>
      <c r="AQ182" s="1194">
        <f>VLOOKUP($I182,'Price List, Weapons &amp; Items'!B:L,COLUMN('Price List, Weapons &amp; Items'!$L$11)-1,0)</f>
        <v>0</v>
      </c>
      <c r="AR182" s="1194">
        <f t="shared" si="44"/>
        <v>1</v>
      </c>
      <c r="AS182" s="1194">
        <f t="shared" si="45"/>
        <v>1</v>
      </c>
      <c r="AT182" s="1194">
        <f t="shared" si="46"/>
        <v>1</v>
      </c>
      <c r="AU182" s="1194" t="str">
        <f t="shared" si="47"/>
        <v>.</v>
      </c>
      <c r="AV182" s="1194" t="str">
        <f t="shared" si="38"/>
        <v>.</v>
      </c>
      <c r="AW182" s="1194" t="str">
        <f t="shared" si="48"/>
        <v>.</v>
      </c>
      <c r="AX182" s="1194">
        <f>IFERROR(VLOOKUP(B182,'Share, Heavy Weapons to Ukraine'!B:Z,COLUMN('Share, Heavy Weapons to Ukraine'!C192)-1,0),0)</f>
        <v>1</v>
      </c>
      <c r="AY182" s="1194">
        <f>VLOOKUP('Bilateral Assistance, MAIN DATA'!B182,'Country Summary (€)'!B:F,COLUMN('Country Summary (€)'!C193)-1,FALSE)</f>
        <v>0</v>
      </c>
      <c r="AZ182" s="1194" t="str">
        <f>IF(AND(AD182=1,D182="Military",H182&lt;&gt;"Not given")=TRUE,IF(SUMIFS(P:P,A:A,A182)&gt;0,ABS((SUMIFS(P:P,A:A,A182)/VLOOKUP("USD",'Exchange Rates'!B:C,2,0)))/S182,"."),".")</f>
        <v>.</v>
      </c>
      <c r="BA182" s="1196" t="str">
        <f>IF(AND(AD182=1,D182="Military",H182&lt;&gt;"Not given")=TRUE,IF(SUMIFS(P:P,A:A,A182)&gt;0,IF((ABS((SUMIFS(P:P,A:A,A182)/VLOOKUP("USD",'Exchange Rates'!B:C,2,0)))/S182)&gt;1,(SUMIFS(P:P,A:A,A182)-S182)/S182,(S182-SUMIFS(P:P,A:A,A182))/SUMIFS(P:P,A:A,A182)),"."),".")</f>
        <v>.</v>
      </c>
    </row>
    <row r="183" spans="1:53" ht="15.95" customHeight="1">
      <c r="A183" s="1182" t="s">
        <v>869</v>
      </c>
      <c r="B183" s="1182" t="s">
        <v>713</v>
      </c>
      <c r="C183" s="1181">
        <v>44944</v>
      </c>
      <c r="D183" s="1182" t="s">
        <v>389</v>
      </c>
      <c r="E183" s="1182" t="s">
        <v>443</v>
      </c>
      <c r="F183" s="1183" t="s">
        <v>870</v>
      </c>
      <c r="G183" s="1184" t="s">
        <v>716</v>
      </c>
      <c r="H183" s="1185">
        <v>92000000</v>
      </c>
      <c r="I183" s="1180" t="s">
        <v>831</v>
      </c>
      <c r="J183" s="1186" t="str">
        <f>VLOOKUP($I183,'Price List, Weapons &amp; Items'!B:C,2,0)</f>
        <v>Heavy weapon</v>
      </c>
      <c r="K183" s="1186" t="str">
        <f>IF(I183=".",I183,VLOOKUP($I183,'Price List, Weapons &amp; Items'!B:D,3,0))</f>
        <v>Armored Personnel Carrier (APC)</v>
      </c>
      <c r="L183" s="1187">
        <f>VLOOKUP(I183,'Price List, Weapons &amp; Items'!B:E,4,0)</f>
        <v>0</v>
      </c>
      <c r="M183" s="1188">
        <v>200</v>
      </c>
      <c r="N183" s="1188" t="s">
        <v>374</v>
      </c>
      <c r="O183" s="1188">
        <f>VLOOKUP($I183,'Price List, Weapons &amp; Items'!B:G,6,0)</f>
        <v>350000</v>
      </c>
      <c r="P183" s="1185">
        <f t="shared" si="39"/>
        <v>70000000</v>
      </c>
      <c r="Q183" s="1185" t="str">
        <f t="shared" si="40"/>
        <v>.</v>
      </c>
      <c r="R183" s="1185">
        <f t="shared" si="36"/>
        <v>92000000</v>
      </c>
      <c r="S183" s="1185">
        <f>IF(AND(AD183=1,R183&lt;&gt;".")=TRUE,R183/VLOOKUP(G183,'Exchange Rates'!B:C,2,0),IF(R183=".",".",""))</f>
        <v>62640430.312521279</v>
      </c>
      <c r="T183" s="1185" t="str">
        <f>IF(AD183=1,IF(AF183="Value is not given at all",".",IF(AF183="Value is given by the source",S183,IF(AF183="Value is calculated with prices",(IF(SUMIFS(Q:Q,A:A,A183)&gt;0,SUMIFS(Q:Q,A:A,A183),"."))/VLOOKUP("USD",'Exchange Rates'!B:C,2,0),"Error with coding"))),"")</f>
        <v>.</v>
      </c>
      <c r="U183" s="1184" t="s">
        <v>365</v>
      </c>
      <c r="V183" s="987" t="s">
        <v>857</v>
      </c>
      <c r="W183" s="987" t="s">
        <v>871</v>
      </c>
      <c r="X183" s="986" t="s">
        <v>364</v>
      </c>
      <c r="Y183" s="1190" t="s">
        <v>364</v>
      </c>
      <c r="Z183" s="1184">
        <v>0</v>
      </c>
      <c r="AA183" s="1194">
        <v>0</v>
      </c>
      <c r="AB183" s="1000" t="s">
        <v>364</v>
      </c>
      <c r="AC183" s="1192" t="str">
        <f>""</f>
        <v/>
      </c>
      <c r="AD183" s="1193">
        <v>1</v>
      </c>
      <c r="AE183" s="1193" t="s">
        <v>368</v>
      </c>
      <c r="AF183" s="1193" t="s">
        <v>369</v>
      </c>
      <c r="AG183" s="1193">
        <v>1</v>
      </c>
      <c r="AH183" s="1193">
        <v>13</v>
      </c>
      <c r="AI183" s="1193">
        <v>0</v>
      </c>
      <c r="AJ183" s="1193">
        <f>VLOOKUP($I183,'Price List, Weapons &amp; Items'!B:F,5,0)</f>
        <v>1</v>
      </c>
      <c r="AK183" s="1193">
        <f t="shared" si="41"/>
        <v>0</v>
      </c>
      <c r="AL183" s="1193">
        <f t="shared" si="42"/>
        <v>1</v>
      </c>
      <c r="AM183" s="1193">
        <f t="shared" si="43"/>
        <v>0</v>
      </c>
      <c r="AN183" s="1194" t="str">
        <f>VLOOKUP($I183,'Price List, Weapons &amp; Items'!B:L,COLUMN('Price List, Weapons &amp; Items'!$J$11)-1,0)</f>
        <v>Media reports (incl. social media)</v>
      </c>
      <c r="AO183" s="1194" t="str">
        <f>IF(I183=".",".",VLOOKUP($I183,'Price List, Weapons &amp; Items'!B:J,3,0))</f>
        <v>Armored Personnel Carrier (APC)</v>
      </c>
      <c r="AP183" s="1195" t="str">
        <f t="shared" ca="1" si="37"/>
        <v>Roshel Senator 4x4 armored personnel carrier</v>
      </c>
      <c r="AQ183" s="1194">
        <f>VLOOKUP($I183,'Price List, Weapons &amp; Items'!B:L,COLUMN('Price List, Weapons &amp; Items'!$L$11)-1,0)</f>
        <v>2</v>
      </c>
      <c r="AR183" s="1194">
        <f t="shared" si="44"/>
        <v>1</v>
      </c>
      <c r="AS183" s="1194">
        <f t="shared" si="45"/>
        <v>1</v>
      </c>
      <c r="AT183" s="1194">
        <f t="shared" si="46"/>
        <v>1</v>
      </c>
      <c r="AU183" s="1194" t="str">
        <f t="shared" si="47"/>
        <v>.</v>
      </c>
      <c r="AV183" s="1194" t="str">
        <f t="shared" si="38"/>
        <v>.</v>
      </c>
      <c r="AW183" s="1194" t="str">
        <f t="shared" si="48"/>
        <v>.</v>
      </c>
      <c r="AX183" s="1194">
        <f>IFERROR(VLOOKUP(B183,'Share, Heavy Weapons to Ukraine'!B:Z,COLUMN('Share, Heavy Weapons to Ukraine'!C193)-1,0),0)</f>
        <v>1</v>
      </c>
      <c r="AY183" s="1194">
        <f>VLOOKUP('Bilateral Assistance, MAIN DATA'!B183,'Country Summary (€)'!B:F,COLUMN('Country Summary (€)'!C194)-1,FALSE)</f>
        <v>0</v>
      </c>
      <c r="AZ183" s="1194">
        <f>IF(AND(AD183=1,D183="Military",H183&lt;&gt;"Not given")=TRUE,IF(SUMIFS(P:P,A:A,A183)&gt;0,ABS((SUMIFS(P:P,A:A,A183)/VLOOKUP("USD",'Exchange Rates'!B:C,2,0)))/S183,"."),".")</f>
        <v>1.0282380662815447</v>
      </c>
      <c r="BA183" s="1196">
        <f>IF(AND(AD183=1,D183="Military",H183&lt;&gt;"Not given")=TRUE,IF(SUMIFS(P:P,A:A,A183)&gt;0,IF((ABS((SUMIFS(P:P,A:A,A183)/VLOOKUP("USD",'Exchange Rates'!B:C,2,0)))/S183)&gt;1,(SUMIFS(P:P,A:A,A183)-S183)/S183,(S183-SUMIFS(P:P,A:A,A183))/SUMIFS(P:P,A:A,A183)),"."),".")</f>
        <v>0.11748913043478258</v>
      </c>
    </row>
    <row r="184" spans="1:53" ht="15.95" customHeight="1">
      <c r="A184" s="1182" t="s">
        <v>872</v>
      </c>
      <c r="B184" s="1182" t="s">
        <v>713</v>
      </c>
      <c r="C184" s="1181">
        <v>44953</v>
      </c>
      <c r="D184" s="1182" t="s">
        <v>389</v>
      </c>
      <c r="E184" s="1182" t="s">
        <v>443</v>
      </c>
      <c r="F184" s="1183" t="s">
        <v>873</v>
      </c>
      <c r="G184" s="1184" t="s">
        <v>456</v>
      </c>
      <c r="H184" s="1185" t="s">
        <v>457</v>
      </c>
      <c r="I184" s="1180" t="s">
        <v>874</v>
      </c>
      <c r="J184" s="1186" t="str">
        <f>VLOOKUP($I184,'Price List, Weapons &amp; Items'!B:C,2,0)</f>
        <v>Heavy weapon</v>
      </c>
      <c r="K184" s="1186" t="str">
        <f>IF(I184=".",I184,VLOOKUP($I184,'Price List, Weapons &amp; Items'!B:D,3,0))</f>
        <v>Main Battle Tank (MBT)</v>
      </c>
      <c r="L184" s="1187">
        <f>VLOOKUP(I184,'Price List, Weapons &amp; Items'!B:E,4,0)</f>
        <v>0</v>
      </c>
      <c r="M184" s="1188">
        <v>4</v>
      </c>
      <c r="N184" s="1188">
        <v>4</v>
      </c>
      <c r="O184" s="1188">
        <f>VLOOKUP($I184,'Price List, Weapons &amp; Items'!B:G,6,0)</f>
        <v>2138073.4315492632</v>
      </c>
      <c r="P184" s="1185">
        <f t="shared" si="39"/>
        <v>8552293.7261970527</v>
      </c>
      <c r="Q184" s="1185">
        <f t="shared" si="40"/>
        <v>8552293.7261970527</v>
      </c>
      <c r="R184" s="1185">
        <f t="shared" si="36"/>
        <v>8552293.7261970527</v>
      </c>
      <c r="S184" s="1185">
        <f>IF(AND(AD184=1,R184&lt;&gt;".")=TRUE,R184/VLOOKUP(G184,'Exchange Rates'!B:C,2,0),IF(R184=".",".",""))</f>
        <v>7869243.3991507664</v>
      </c>
      <c r="T184" s="1185">
        <f>IF(AD184=1,IF(AF184="Value is not given at all",".",IF(AF184="Value is given by the source",S184,IF(AF184="Value is calculated with prices",(IF(SUMIFS(Q:Q,A:A,A184)&gt;0,SUMIFS(Q:Q,A:A,A184),"."))/VLOOKUP("USD",'Exchange Rates'!B:C,2,0),"Error with coding"))),"")</f>
        <v>7869243.3991507664</v>
      </c>
      <c r="U184" s="1184" t="s">
        <v>365</v>
      </c>
      <c r="V184" s="987" t="s">
        <v>857</v>
      </c>
      <c r="W184" s="987" t="s">
        <v>875</v>
      </c>
      <c r="X184" s="986" t="s">
        <v>364</v>
      </c>
      <c r="Y184" s="1190" t="s">
        <v>364</v>
      </c>
      <c r="Z184" s="1184">
        <v>0</v>
      </c>
      <c r="AA184" s="1194">
        <v>0</v>
      </c>
      <c r="AB184" s="987" t="s">
        <v>857</v>
      </c>
      <c r="AC184" s="1192" t="str">
        <f>""</f>
        <v/>
      </c>
      <c r="AD184" s="1193">
        <v>1</v>
      </c>
      <c r="AE184" s="1193" t="s">
        <v>436</v>
      </c>
      <c r="AF184" s="1193" t="s">
        <v>436</v>
      </c>
      <c r="AG184" s="1193">
        <v>1</v>
      </c>
      <c r="AH184" s="1193">
        <v>13</v>
      </c>
      <c r="AI184" s="1193">
        <v>0</v>
      </c>
      <c r="AJ184" s="1193">
        <f>VLOOKUP($I184,'Price List, Weapons &amp; Items'!B:F,5,0)</f>
        <v>1</v>
      </c>
      <c r="AK184" s="1193">
        <f t="shared" si="41"/>
        <v>0</v>
      </c>
      <c r="AL184" s="1193">
        <f t="shared" si="42"/>
        <v>0</v>
      </c>
      <c r="AM184" s="1193">
        <f t="shared" si="43"/>
        <v>0</v>
      </c>
      <c r="AN184" s="1194" t="str">
        <f>VLOOKUP($I184,'Price List, Weapons &amp; Items'!B:L,COLUMN('Price List, Weapons &amp; Items'!$J$11)-1,0)</f>
        <v>Contracts</v>
      </c>
      <c r="AO184" s="1194" t="str">
        <f>IF(I184=".",".",VLOOKUP($I184,'Price List, Weapons &amp; Items'!B:J,3,0))</f>
        <v>Main Battle Tank (MBT)</v>
      </c>
      <c r="AP184" s="1195" t="str">
        <f t="shared" ca="1" si="37"/>
        <v>Leopard-2A4</v>
      </c>
      <c r="AQ184" s="1194">
        <f>VLOOKUP($I184,'Price List, Weapons &amp; Items'!B:L,COLUMN('Price List, Weapons &amp; Items'!$L$11)-1,0)</f>
        <v>2</v>
      </c>
      <c r="AR184" s="1194">
        <f t="shared" si="44"/>
        <v>1</v>
      </c>
      <c r="AS184" s="1194">
        <f t="shared" si="45"/>
        <v>1</v>
      </c>
      <c r="AT184" s="1194">
        <f t="shared" si="46"/>
        <v>1</v>
      </c>
      <c r="AU184" s="1194" t="str">
        <f t="shared" si="47"/>
        <v>.</v>
      </c>
      <c r="AV184" s="1194" t="str">
        <f t="shared" si="38"/>
        <v>.</v>
      </c>
      <c r="AW184" s="1194" t="str">
        <f t="shared" si="48"/>
        <v>.</v>
      </c>
      <c r="AX184" s="1194">
        <f>IFERROR(VLOOKUP(B184,'Share, Heavy Weapons to Ukraine'!B:Z,COLUMN('Share, Heavy Weapons to Ukraine'!C194)-1,0),0)</f>
        <v>1</v>
      </c>
      <c r="AY184" s="1194">
        <f>VLOOKUP('Bilateral Assistance, MAIN DATA'!B184,'Country Summary (€)'!B:F,COLUMN('Country Summary (€)'!C195)-1,FALSE)</f>
        <v>0</v>
      </c>
      <c r="AZ184" s="1194" t="str">
        <f>IF(AND(AD184=1,D184="Military",H184&lt;&gt;"Not given")=TRUE,IF(SUMIFS(P:P,A:A,A184)&gt;0,ABS((SUMIFS(P:P,A:A,A184)/VLOOKUP("USD",'Exchange Rates'!B:C,2,0)))/S184,"."),".")</f>
        <v>.</v>
      </c>
      <c r="BA184" s="1196" t="str">
        <f>IF(AND(AD184=1,D184="Military",H184&lt;&gt;"Not given")=TRUE,IF(SUMIFS(P:P,A:A,A184)&gt;0,IF((ABS((SUMIFS(P:P,A:A,A184)/VLOOKUP("USD",'Exchange Rates'!B:C,2,0)))/S184)&gt;1,(SUMIFS(P:P,A:A,A184)-S184)/S184,(S184-SUMIFS(P:P,A:A,A184))/SUMIFS(P:P,A:A,A184)),"."),".")</f>
        <v>.</v>
      </c>
    </row>
    <row r="185" spans="1:53" ht="15.95" customHeight="1">
      <c r="A185" s="1182" t="s">
        <v>876</v>
      </c>
      <c r="B185" s="1182" t="s">
        <v>713</v>
      </c>
      <c r="C185" s="1181">
        <v>44981</v>
      </c>
      <c r="D185" s="1182" t="s">
        <v>389</v>
      </c>
      <c r="E185" s="1182" t="s">
        <v>443</v>
      </c>
      <c r="F185" s="1183" t="s">
        <v>877</v>
      </c>
      <c r="G185" s="1184" t="s">
        <v>456</v>
      </c>
      <c r="H185" s="1185" t="s">
        <v>457</v>
      </c>
      <c r="I185" s="1180" t="s">
        <v>856</v>
      </c>
      <c r="J185" s="1186" t="str">
        <f>VLOOKUP($I185,'Price List, Weapons &amp; Items'!B:C,2,0)</f>
        <v>Ammunition for heavy weapon</v>
      </c>
      <c r="K185" s="1186" t="str">
        <f>IF(I185=".",I185,VLOOKUP($I185,'Price List, Weapons &amp; Items'!B:D,3,0))</f>
        <v>155mm howitzer ammunition</v>
      </c>
      <c r="L185" s="1187">
        <f>VLOOKUP(I185,'Price List, Weapons &amp; Items'!B:E,4,0)</f>
        <v>0</v>
      </c>
      <c r="M185" s="1188">
        <v>5000</v>
      </c>
      <c r="N185" s="1188" t="s">
        <v>374</v>
      </c>
      <c r="O185" s="1188">
        <f>VLOOKUP($I185,'Price List, Weapons &amp; Items'!B:G,6,0)</f>
        <v>3800</v>
      </c>
      <c r="P185" s="1185">
        <f t="shared" si="39"/>
        <v>19000000</v>
      </c>
      <c r="Q185" s="1185" t="str">
        <f t="shared" si="40"/>
        <v>.</v>
      </c>
      <c r="R185" s="1185">
        <f t="shared" si="36"/>
        <v>32902272.906760186</v>
      </c>
      <c r="S185" s="1185">
        <f>IF(AND(AD185=1,R185&lt;&gt;".")=TRUE,R185/VLOOKUP(G185,'Exchange Rates'!B:C,2,0),IF(R185=".",".",""))</f>
        <v>30274450.595105067</v>
      </c>
      <c r="T185" s="1185" t="str">
        <f>IF(AD185=1,IF(AF185="Value is not given at all",".",IF(AF185="Value is given by the source",S185,IF(AF185="Value is calculated with prices",(IF(SUMIFS(Q:Q,A:A,A185)&gt;0,SUMIFS(Q:Q,A:A,A185),"."))/VLOOKUP("USD",'Exchange Rates'!B:C,2,0),"Error with coding"))),"")</f>
        <v>.</v>
      </c>
      <c r="U185" s="1184" t="s">
        <v>365</v>
      </c>
      <c r="V185" s="987" t="s">
        <v>857</v>
      </c>
      <c r="W185" s="987" t="s">
        <v>878</v>
      </c>
      <c r="X185" s="986" t="s">
        <v>364</v>
      </c>
      <c r="Y185" s="1190" t="s">
        <v>364</v>
      </c>
      <c r="Z185" s="1184">
        <v>0</v>
      </c>
      <c r="AA185" s="1194">
        <v>0</v>
      </c>
      <c r="AB185" s="1001" t="s">
        <v>364</v>
      </c>
      <c r="AC185" s="1192" t="str">
        <f>""</f>
        <v/>
      </c>
      <c r="AD185" s="1193">
        <v>1</v>
      </c>
      <c r="AE185" s="1193" t="s">
        <v>436</v>
      </c>
      <c r="AF185" s="1193" t="s">
        <v>369</v>
      </c>
      <c r="AG185" s="1193">
        <v>1</v>
      </c>
      <c r="AH185" s="1193">
        <v>14</v>
      </c>
      <c r="AI185" s="1193">
        <v>0</v>
      </c>
      <c r="AJ185" s="1193">
        <f>VLOOKUP($I185,'Price List, Weapons &amp; Items'!B:F,5,0)</f>
        <v>1</v>
      </c>
      <c r="AK185" s="1193">
        <f t="shared" si="41"/>
        <v>0</v>
      </c>
      <c r="AL185" s="1193">
        <f t="shared" si="42"/>
        <v>1</v>
      </c>
      <c r="AM185" s="1193">
        <f t="shared" si="43"/>
        <v>0</v>
      </c>
      <c r="AN185" s="1194" t="str">
        <f>VLOOKUP($I185,'Price List, Weapons &amp; Items'!B:L,COLUMN('Price List, Weapons &amp; Items'!$J$11)-1,0)</f>
        <v>Government information</v>
      </c>
      <c r="AO185" s="1194" t="str">
        <f>IF(I185=".",".",VLOOKUP($I185,'Price List, Weapons &amp; Items'!B:J,3,0))</f>
        <v>155mm howitzer ammunition</v>
      </c>
      <c r="AP185" s="1195" t="str">
        <f t="shared" ca="1" si="37"/>
        <v>155mm artillery round</v>
      </c>
      <c r="AQ185" s="1194">
        <f>VLOOKUP($I185,'Price List, Weapons &amp; Items'!B:L,COLUMN('Price List, Weapons &amp; Items'!$L$11)-1,0)</f>
        <v>2</v>
      </c>
      <c r="AR185" s="1194">
        <f t="shared" si="44"/>
        <v>1</v>
      </c>
      <c r="AS185" s="1194">
        <f t="shared" si="45"/>
        <v>1</v>
      </c>
      <c r="AT185" s="1194">
        <f t="shared" si="46"/>
        <v>1</v>
      </c>
      <c r="AU185" s="1194" t="str">
        <f t="shared" si="47"/>
        <v>.</v>
      </c>
      <c r="AV185" s="1194" t="str">
        <f t="shared" si="38"/>
        <v>.</v>
      </c>
      <c r="AW185" s="1194" t="str">
        <f t="shared" si="48"/>
        <v>.</v>
      </c>
      <c r="AX185" s="1194">
        <f>IFERROR(VLOOKUP(B185,'Share, Heavy Weapons to Ukraine'!B:Z,COLUMN('Share, Heavy Weapons to Ukraine'!C195)-1,0),0)</f>
        <v>1</v>
      </c>
      <c r="AY185" s="1194">
        <f>VLOOKUP('Bilateral Assistance, MAIN DATA'!B185,'Country Summary (€)'!B:F,COLUMN('Country Summary (€)'!C196)-1,FALSE)</f>
        <v>0</v>
      </c>
      <c r="AZ185" s="1194" t="str">
        <f>IF(AND(AD185=1,D185="Military",H185&lt;&gt;"Not given")=TRUE,IF(SUMIFS(P:P,A:A,A185)&gt;0,ABS((SUMIFS(P:P,A:A,A185)/VLOOKUP("USD",'Exchange Rates'!B:C,2,0)))/S185,"."),".")</f>
        <v>.</v>
      </c>
      <c r="BA185" s="1196" t="str">
        <f>IF(AND(AD185=1,D185="Military",H185&lt;&gt;"Not given")=TRUE,IF(SUMIFS(P:P,A:A,A185)&gt;0,IF((ABS((SUMIFS(P:P,A:A,A185)/VLOOKUP("USD",'Exchange Rates'!B:C,2,0)))/S185)&gt;1,(SUMIFS(P:P,A:A,A185)-S185)/S185,(S185-SUMIFS(P:P,A:A,A185))/SUMIFS(P:P,A:A,A185)),"."),".")</f>
        <v>.</v>
      </c>
    </row>
    <row r="186" spans="1:53" ht="15.95" customHeight="1">
      <c r="A186" s="1182" t="s">
        <v>876</v>
      </c>
      <c r="B186" s="1182" t="s">
        <v>713</v>
      </c>
      <c r="C186" s="1181">
        <v>44981</v>
      </c>
      <c r="D186" s="1182" t="s">
        <v>389</v>
      </c>
      <c r="E186" s="1182" t="s">
        <v>443</v>
      </c>
      <c r="F186" s="1183" t="s">
        <v>877</v>
      </c>
      <c r="G186" s="1184" t="s">
        <v>456</v>
      </c>
      <c r="H186" s="1185" t="s">
        <v>457</v>
      </c>
      <c r="I186" s="1180" t="s">
        <v>879</v>
      </c>
      <c r="J186" s="1186" t="str">
        <f>VLOOKUP($I186,'Price List, Weapons &amp; Items'!B:C,2,0)</f>
        <v>Heavy weapon</v>
      </c>
      <c r="K186" s="1186" t="str">
        <f>IF(I186=".",I186,VLOOKUP($I186,'Price List, Weapons &amp; Items'!B:D,3,0))</f>
        <v>Armored Recovery Vehicle (ARV)</v>
      </c>
      <c r="L186" s="1187">
        <f>VLOOKUP(I186,'Price List, Weapons &amp; Items'!B:E,4,0)</f>
        <v>0</v>
      </c>
      <c r="M186" s="1188">
        <v>1</v>
      </c>
      <c r="N186" s="1188" t="s">
        <v>374</v>
      </c>
      <c r="O186" s="1188">
        <f>VLOOKUP($I186,'Price List, Weapons &amp; Items'!B:G,6,0)</f>
        <v>5349979.1805631341</v>
      </c>
      <c r="P186" s="1185">
        <f t="shared" si="39"/>
        <v>5349979.1805631341</v>
      </c>
      <c r="Q186" s="1185" t="str">
        <f t="shared" si="40"/>
        <v>.</v>
      </c>
      <c r="R186" s="1185" t="str">
        <f t="shared" si="36"/>
        <v/>
      </c>
      <c r="S186" s="1185" t="str">
        <f>IF(AND(AD186=1,R186&lt;&gt;".")=TRUE,R186/VLOOKUP(G186,'Exchange Rates'!B:C,2,0),IF(R186=".",".",""))</f>
        <v/>
      </c>
      <c r="T186" s="1185" t="str">
        <f>IF(AD186=1,IF(AF186="Value is not given at all",".",IF(AF186="Value is given by the source",S186,IF(AF186="Value is calculated with prices",(IF(SUMIFS(Q:Q,A:A,A186)&gt;0,SUMIFS(Q:Q,A:A,A186),"."))/VLOOKUP("USD",'Exchange Rates'!B:C,2,0),"Error with coding"))),"")</f>
        <v/>
      </c>
      <c r="U186" s="1184" t="s">
        <v>365</v>
      </c>
      <c r="V186" s="987" t="s">
        <v>857</v>
      </c>
      <c r="W186" s="987" t="s">
        <v>878</v>
      </c>
      <c r="X186" s="986" t="s">
        <v>364</v>
      </c>
      <c r="Y186" s="1190" t="s">
        <v>364</v>
      </c>
      <c r="Z186" s="1184">
        <v>0</v>
      </c>
      <c r="AA186" s="1194">
        <v>0</v>
      </c>
      <c r="AB186" s="1001" t="s">
        <v>364</v>
      </c>
      <c r="AC186" s="1192" t="str">
        <f>""</f>
        <v/>
      </c>
      <c r="AD186" s="1193">
        <v>0</v>
      </c>
      <c r="AE186" s="1193" t="s">
        <v>436</v>
      </c>
      <c r="AF186" s="1193" t="s">
        <v>369</v>
      </c>
      <c r="AG186" s="1193">
        <v>1</v>
      </c>
      <c r="AH186" s="1193">
        <v>14</v>
      </c>
      <c r="AI186" s="1193">
        <v>0</v>
      </c>
      <c r="AJ186" s="1193">
        <f>VLOOKUP($I186,'Price List, Weapons &amp; Items'!B:F,5,0)</f>
        <v>1</v>
      </c>
      <c r="AK186" s="1193">
        <f t="shared" si="41"/>
        <v>0</v>
      </c>
      <c r="AL186" s="1193">
        <f t="shared" si="42"/>
        <v>1</v>
      </c>
      <c r="AM186" s="1193">
        <f t="shared" si="43"/>
        <v>0</v>
      </c>
      <c r="AN186" s="1194" t="str">
        <f>VLOOKUP($I186,'Price List, Weapons &amp; Items'!B:L,COLUMN('Price List, Weapons &amp; Items'!$J$11)-1,0)</f>
        <v>Manufacturer price</v>
      </c>
      <c r="AO186" s="1194" t="str">
        <f>IF(I186=".",".",VLOOKUP($I186,'Price List, Weapons &amp; Items'!B:J,3,0))</f>
        <v>Armored Recovery Vehicle (ARV)</v>
      </c>
      <c r="AP186" s="1195" t="str">
        <f t="shared" ca="1" si="37"/>
        <v/>
      </c>
      <c r="AQ186" s="1194">
        <f>VLOOKUP($I186,'Price List, Weapons &amp; Items'!B:L,COLUMN('Price List, Weapons &amp; Items'!$L$11)-1,0)</f>
        <v>2</v>
      </c>
      <c r="AR186" s="1194">
        <f t="shared" si="44"/>
        <v>1</v>
      </c>
      <c r="AS186" s="1194">
        <f t="shared" si="45"/>
        <v>1</v>
      </c>
      <c r="AT186" s="1194">
        <f t="shared" si="46"/>
        <v>1</v>
      </c>
      <c r="AU186" s="1194" t="str">
        <f t="shared" si="47"/>
        <v>.</v>
      </c>
      <c r="AV186" s="1194" t="str">
        <f t="shared" si="38"/>
        <v>.</v>
      </c>
      <c r="AW186" s="1194" t="str">
        <f t="shared" si="48"/>
        <v>.</v>
      </c>
      <c r="AX186" s="1194">
        <f>IFERROR(VLOOKUP(B186,'Share, Heavy Weapons to Ukraine'!B:Z,COLUMN('Share, Heavy Weapons to Ukraine'!C196)-1,0),0)</f>
        <v>1</v>
      </c>
      <c r="AY186" s="1194">
        <f>VLOOKUP('Bilateral Assistance, MAIN DATA'!B186,'Country Summary (€)'!B:F,COLUMN('Country Summary (€)'!C197)-1,FALSE)</f>
        <v>0</v>
      </c>
      <c r="AZ186" s="1194" t="str">
        <f>IF(AND(AD186=1,D186="Military",H186&lt;&gt;"Not given")=TRUE,IF(SUMIFS(P:P,A:A,A186)&gt;0,ABS((SUMIFS(P:P,A:A,A186)/VLOOKUP("USD",'Exchange Rates'!B:C,2,0)))/S186,"."),".")</f>
        <v>.</v>
      </c>
      <c r="BA186" s="1196" t="str">
        <f>IF(AND(AD186=1,D186="Military",H186&lt;&gt;"Not given")=TRUE,IF(SUMIFS(P:P,A:A,A186)&gt;0,IF((ABS((SUMIFS(P:P,A:A,A186)/VLOOKUP("USD",'Exchange Rates'!B:C,2,0)))/S186)&gt;1,(SUMIFS(P:P,A:A,A186)-S186)/S186,(S186-SUMIFS(P:P,A:A,A186))/SUMIFS(P:P,A:A,A186)),"."),".")</f>
        <v>.</v>
      </c>
    </row>
    <row r="187" spans="1:53" ht="15.95" customHeight="1">
      <c r="A187" s="1182" t="s">
        <v>876</v>
      </c>
      <c r="B187" s="1182" t="s">
        <v>713</v>
      </c>
      <c r="C187" s="1181">
        <v>44981</v>
      </c>
      <c r="D187" s="1182" t="s">
        <v>389</v>
      </c>
      <c r="E187" s="1182" t="s">
        <v>443</v>
      </c>
      <c r="F187" s="1183" t="s">
        <v>877</v>
      </c>
      <c r="G187" s="1184" t="s">
        <v>456</v>
      </c>
      <c r="H187" s="1185" t="s">
        <v>457</v>
      </c>
      <c r="I187" s="1180" t="s">
        <v>874</v>
      </c>
      <c r="J187" s="1186" t="str">
        <f>VLOOKUP($I187,'Price List, Weapons &amp; Items'!B:C,2,0)</f>
        <v>Heavy weapon</v>
      </c>
      <c r="K187" s="1186" t="str">
        <f>IF(I187=".",I187,VLOOKUP($I187,'Price List, Weapons &amp; Items'!B:D,3,0))</f>
        <v>Main Battle Tank (MBT)</v>
      </c>
      <c r="L187" s="1187">
        <f>VLOOKUP(I187,'Price List, Weapons &amp; Items'!B:E,4,0)</f>
        <v>0</v>
      </c>
      <c r="M187" s="1188">
        <v>4</v>
      </c>
      <c r="N187" s="1188">
        <v>4</v>
      </c>
      <c r="O187" s="1188">
        <f>VLOOKUP($I187,'Price List, Weapons &amp; Items'!B:G,6,0)</f>
        <v>2138073.4315492632</v>
      </c>
      <c r="P187" s="1185">
        <f t="shared" si="39"/>
        <v>8552293.7261970527</v>
      </c>
      <c r="Q187" s="1185">
        <f t="shared" si="40"/>
        <v>8552293.7261970527</v>
      </c>
      <c r="R187" s="1185" t="str">
        <f t="shared" si="36"/>
        <v/>
      </c>
      <c r="S187" s="1185" t="str">
        <f>IF(AND(AD187=1,R187&lt;&gt;".")=TRUE,R187/VLOOKUP(G187,'Exchange Rates'!B:C,2,0),IF(R187=".",".",""))</f>
        <v/>
      </c>
      <c r="T187" s="1185" t="str">
        <f>IF(AD187=1,IF(AF187="Value is not given at all",".",IF(AF187="Value is given by the source",S187,IF(AF187="Value is calculated with prices",(IF(SUMIFS(Q:Q,A:A,A187)&gt;0,SUMIFS(Q:Q,A:A,A187),"."))/VLOOKUP("USD",'Exchange Rates'!B:C,2,0),"Error with coding"))),"")</f>
        <v/>
      </c>
      <c r="U187" s="1184" t="s">
        <v>365</v>
      </c>
      <c r="V187" s="987" t="s">
        <v>857</v>
      </c>
      <c r="W187" s="987" t="s">
        <v>878</v>
      </c>
      <c r="X187" s="986" t="s">
        <v>364</v>
      </c>
      <c r="Y187" s="1190" t="s">
        <v>364</v>
      </c>
      <c r="Z187" s="1184">
        <v>0</v>
      </c>
      <c r="AA187" s="1194">
        <v>0</v>
      </c>
      <c r="AB187" s="987" t="s">
        <v>880</v>
      </c>
      <c r="AC187" s="1192" t="str">
        <f>""</f>
        <v/>
      </c>
      <c r="AD187" s="1193">
        <v>0</v>
      </c>
      <c r="AE187" s="1193" t="s">
        <v>436</v>
      </c>
      <c r="AF187" s="1193" t="s">
        <v>369</v>
      </c>
      <c r="AG187" s="1193">
        <v>1</v>
      </c>
      <c r="AH187" s="1193">
        <v>14</v>
      </c>
      <c r="AI187" s="1193">
        <v>0</v>
      </c>
      <c r="AJ187" s="1193">
        <f>VLOOKUP($I187,'Price List, Weapons &amp; Items'!B:F,5,0)</f>
        <v>1</v>
      </c>
      <c r="AK187" s="1193">
        <f t="shared" si="41"/>
        <v>0</v>
      </c>
      <c r="AL187" s="1193">
        <f t="shared" si="42"/>
        <v>0</v>
      </c>
      <c r="AM187" s="1193">
        <f t="shared" si="43"/>
        <v>0</v>
      </c>
      <c r="AN187" s="1194" t="str">
        <f>VLOOKUP($I187,'Price List, Weapons &amp; Items'!B:L,COLUMN('Price List, Weapons &amp; Items'!$J$11)-1,0)</f>
        <v>Contracts</v>
      </c>
      <c r="AO187" s="1194" t="str">
        <f>IF(I187=".",".",VLOOKUP($I187,'Price List, Weapons &amp; Items'!B:J,3,0))</f>
        <v>Main Battle Tank (MBT)</v>
      </c>
      <c r="AP187" s="1195" t="str">
        <f t="shared" ca="1" si="37"/>
        <v/>
      </c>
      <c r="AQ187" s="1194">
        <f>VLOOKUP($I187,'Price List, Weapons &amp; Items'!B:L,COLUMN('Price List, Weapons &amp; Items'!$L$11)-1,0)</f>
        <v>2</v>
      </c>
      <c r="AR187" s="1194">
        <f t="shared" si="44"/>
        <v>1</v>
      </c>
      <c r="AS187" s="1194">
        <f t="shared" si="45"/>
        <v>1</v>
      </c>
      <c r="AT187" s="1194">
        <f t="shared" si="46"/>
        <v>1</v>
      </c>
      <c r="AU187" s="1194" t="str">
        <f t="shared" si="47"/>
        <v>.</v>
      </c>
      <c r="AV187" s="1194" t="str">
        <f t="shared" si="38"/>
        <v>.</v>
      </c>
      <c r="AW187" s="1194" t="str">
        <f t="shared" si="48"/>
        <v>.</v>
      </c>
      <c r="AX187" s="1194">
        <f>IFERROR(VLOOKUP(B187,'Share, Heavy Weapons to Ukraine'!B:Z,COLUMN('Share, Heavy Weapons to Ukraine'!C197)-1,0),0)</f>
        <v>1</v>
      </c>
      <c r="AY187" s="1194">
        <f>VLOOKUP('Bilateral Assistance, MAIN DATA'!B187,'Country Summary (€)'!B:F,COLUMN('Country Summary (€)'!C198)-1,FALSE)</f>
        <v>0</v>
      </c>
      <c r="AZ187" s="1194" t="str">
        <f>IF(AND(AD187=1,D187="Military",H187&lt;&gt;"Not given")=TRUE,IF(SUMIFS(P:P,A:A,A187)&gt;0,ABS((SUMIFS(P:P,A:A,A187)/VLOOKUP("USD",'Exchange Rates'!B:C,2,0)))/S187,"."),".")</f>
        <v>.</v>
      </c>
      <c r="BA187" s="1196" t="str">
        <f>IF(AND(AD187=1,D187="Military",H187&lt;&gt;"Not given")=TRUE,IF(SUMIFS(P:P,A:A,A187)&gt;0,IF((ABS((SUMIFS(P:P,A:A,A187)/VLOOKUP("USD",'Exchange Rates'!B:C,2,0)))/S187)&gt;1,(SUMIFS(P:P,A:A,A187)-S187)/S187,(S187-SUMIFS(P:P,A:A,A187))/SUMIFS(P:P,A:A,A187)),"."),".")</f>
        <v>.</v>
      </c>
    </row>
    <row r="188" spans="1:53" ht="15.95" customHeight="1">
      <c r="A188" s="1182" t="s">
        <v>881</v>
      </c>
      <c r="B188" s="1182" t="s">
        <v>713</v>
      </c>
      <c r="C188" s="1181">
        <v>44981</v>
      </c>
      <c r="D188" s="1182" t="s">
        <v>389</v>
      </c>
      <c r="E188" s="1182" t="s">
        <v>443</v>
      </c>
      <c r="F188" s="1183" t="s">
        <v>882</v>
      </c>
      <c r="G188" s="1184" t="s">
        <v>716</v>
      </c>
      <c r="H188" s="1185">
        <v>32000000</v>
      </c>
      <c r="I188" s="1180" t="s">
        <v>364</v>
      </c>
      <c r="J188" s="1186" t="str">
        <f>VLOOKUP($I188,'Price List, Weapons &amp; Items'!B:C,2,0)</f>
        <v>.</v>
      </c>
      <c r="K188" s="1186" t="str">
        <f>IF(I188=".",I188,VLOOKUP($I188,'Price List, Weapons &amp; Items'!B:D,3,0))</f>
        <v>.</v>
      </c>
      <c r="L188" s="1187">
        <f>VLOOKUP(I188,'Price List, Weapons &amp; Items'!B:E,4,0)</f>
        <v>0</v>
      </c>
      <c r="M188" s="1188" t="s">
        <v>364</v>
      </c>
      <c r="N188" s="1188" t="s">
        <v>364</v>
      </c>
      <c r="O188" s="1188" t="str">
        <f>VLOOKUP($I188,'Price List, Weapons &amp; Items'!B:G,6,0)</f>
        <v>.</v>
      </c>
      <c r="P188" s="1185" t="str">
        <f t="shared" si="39"/>
        <v>.</v>
      </c>
      <c r="Q188" s="1185" t="str">
        <f t="shared" si="40"/>
        <v>.</v>
      </c>
      <c r="R188" s="1185">
        <f t="shared" si="36"/>
        <v>32000000</v>
      </c>
      <c r="S188" s="1185">
        <f>IF(AND(AD188=1,R188&lt;&gt;".")=TRUE,R188/VLOOKUP(G188,'Exchange Rates'!B:C,2,0),IF(R188=".",".",""))</f>
        <v>21787975.760876969</v>
      </c>
      <c r="T188" s="1185" t="str">
        <f>IF(AD188=1,IF(AF188="Value is not given at all",".",IF(AF188="Value is given by the source",S188,IF(AF188="Value is calculated with prices",(IF(SUMIFS(Q:Q,A:A,A188)&gt;0,SUMIFS(Q:Q,A:A,A188),"."))/VLOOKUP("USD",'Exchange Rates'!B:C,2,0),"Error with coding"))),"")</f>
        <v>.</v>
      </c>
      <c r="U188" s="1184" t="s">
        <v>365</v>
      </c>
      <c r="V188" s="987" t="s">
        <v>878</v>
      </c>
      <c r="W188" s="1001" t="s">
        <v>364</v>
      </c>
      <c r="X188" s="986" t="s">
        <v>364</v>
      </c>
      <c r="Y188" s="1190" t="s">
        <v>364</v>
      </c>
      <c r="Z188" s="1184">
        <v>0</v>
      </c>
      <c r="AA188" s="1194">
        <v>0</v>
      </c>
      <c r="AB188" s="1001" t="s">
        <v>364</v>
      </c>
      <c r="AC188" s="1192" t="str">
        <f>""</f>
        <v/>
      </c>
      <c r="AD188" s="1193">
        <v>1</v>
      </c>
      <c r="AE188" s="1193" t="s">
        <v>368</v>
      </c>
      <c r="AF188" s="1193" t="s">
        <v>369</v>
      </c>
      <c r="AG188" s="1193">
        <v>1</v>
      </c>
      <c r="AH188" s="1193">
        <v>14</v>
      </c>
      <c r="AI188" s="1193">
        <v>0</v>
      </c>
      <c r="AJ188" s="1193">
        <f>VLOOKUP($I188,'Price List, Weapons &amp; Items'!B:F,5,0)</f>
        <v>0</v>
      </c>
      <c r="AK188" s="1193">
        <f t="shared" si="41"/>
        <v>0</v>
      </c>
      <c r="AL188" s="1193">
        <f t="shared" si="42"/>
        <v>0</v>
      </c>
      <c r="AM188" s="1193">
        <f t="shared" si="43"/>
        <v>0</v>
      </c>
      <c r="AN188" s="1194" t="str">
        <f>VLOOKUP($I188,'Price List, Weapons &amp; Items'!B:L,COLUMN('Price List, Weapons &amp; Items'!$J$11)-1,0)</f>
        <v>.</v>
      </c>
      <c r="AO188" s="1194" t="str">
        <f>IF(I188=".",".",VLOOKUP($I188,'Price List, Weapons &amp; Items'!B:J,3,0))</f>
        <v>.</v>
      </c>
      <c r="AP188" s="1195" t="str">
        <f t="shared" ca="1" si="37"/>
        <v>.</v>
      </c>
      <c r="AQ188" s="1194">
        <f>VLOOKUP($I188,'Price List, Weapons &amp; Items'!B:L,COLUMN('Price List, Weapons &amp; Items'!$L$11)-1,0)</f>
        <v>0</v>
      </c>
      <c r="AR188" s="1194">
        <f t="shared" si="44"/>
        <v>1</v>
      </c>
      <c r="AS188" s="1194">
        <f t="shared" si="45"/>
        <v>1</v>
      </c>
      <c r="AT188" s="1194">
        <f t="shared" si="46"/>
        <v>1</v>
      </c>
      <c r="AU188" s="1194" t="str">
        <f t="shared" si="47"/>
        <v>.</v>
      </c>
      <c r="AV188" s="1194" t="str">
        <f t="shared" si="38"/>
        <v>.</v>
      </c>
      <c r="AW188" s="1194" t="str">
        <f t="shared" si="48"/>
        <v>.</v>
      </c>
      <c r="AX188" s="1194">
        <f>IFERROR(VLOOKUP(B188,'Share, Heavy Weapons to Ukraine'!B:Z,COLUMN('Share, Heavy Weapons to Ukraine'!C198)-1,0),0)</f>
        <v>1</v>
      </c>
      <c r="AY188" s="1194">
        <f>VLOOKUP('Bilateral Assistance, MAIN DATA'!B188,'Country Summary (€)'!B:F,COLUMN('Country Summary (€)'!C199)-1,FALSE)</f>
        <v>0</v>
      </c>
      <c r="AZ188" s="1194" t="str">
        <f>IF(AND(AD188=1,D188="Military",H188&lt;&gt;"Not given")=TRUE,IF(SUMIFS(P:P,A:A,A188)&gt;0,ABS((SUMIFS(P:P,A:A,A188)/VLOOKUP("USD",'Exchange Rates'!B:C,2,0)))/S188,"."),".")</f>
        <v>.</v>
      </c>
      <c r="BA188" s="1196" t="str">
        <f>IF(AND(AD188=1,D188="Military",H188&lt;&gt;"Not given")=TRUE,IF(SUMIFS(P:P,A:A,A188)&gt;0,IF((ABS((SUMIFS(P:P,A:A,A188)/VLOOKUP("USD",'Exchange Rates'!B:C,2,0)))/S188)&gt;1,(SUMIFS(P:P,A:A,A188)-S188)/S188,(S188-SUMIFS(P:P,A:A,A188))/SUMIFS(P:P,A:A,A188)),"."),".")</f>
        <v>.</v>
      </c>
    </row>
    <row r="189" spans="1:53" ht="15.95" customHeight="1">
      <c r="A189" s="1182" t="s">
        <v>883</v>
      </c>
      <c r="B189" s="1182" t="s">
        <v>713</v>
      </c>
      <c r="C189" s="1181">
        <v>45000</v>
      </c>
      <c r="D189" s="1182" t="s">
        <v>389</v>
      </c>
      <c r="E189" s="1182" t="s">
        <v>390</v>
      </c>
      <c r="F189" s="1183" t="s">
        <v>884</v>
      </c>
      <c r="G189" s="1184" t="s">
        <v>456</v>
      </c>
      <c r="H189" s="1185" t="s">
        <v>457</v>
      </c>
      <c r="I189" s="1180" t="s">
        <v>856</v>
      </c>
      <c r="J189" s="1186" t="str">
        <f>VLOOKUP($I189,'Price List, Weapons &amp; Items'!B:C,2,0)</f>
        <v>Ammunition for heavy weapon</v>
      </c>
      <c r="K189" s="1186" t="str">
        <f>IF(I189=".",I189,VLOOKUP($I189,'Price List, Weapons &amp; Items'!B:D,3,0))</f>
        <v>155mm howitzer ammunition</v>
      </c>
      <c r="L189" s="1187">
        <f>VLOOKUP(I189,'Price List, Weapons &amp; Items'!B:E,4,0)</f>
        <v>0</v>
      </c>
      <c r="M189" s="1188">
        <v>8000</v>
      </c>
      <c r="N189" s="1188">
        <v>8000</v>
      </c>
      <c r="O189" s="1188">
        <f>VLOOKUP($I189,'Price List, Weapons &amp; Items'!B:G,6,0)</f>
        <v>3800</v>
      </c>
      <c r="P189" s="1185">
        <f t="shared" si="39"/>
        <v>30400000</v>
      </c>
      <c r="Q189" s="1185">
        <f t="shared" si="40"/>
        <v>30400000</v>
      </c>
      <c r="R189" s="1185">
        <f t="shared" si="36"/>
        <v>47108669.117068216</v>
      </c>
      <c r="S189" s="1185">
        <f>IF(AND(AD189=1,R189&lt;&gt;".")=TRUE,R189/VLOOKUP(G189,'Exchange Rates'!B:C,2,0),IF(R189=".",".",""))</f>
        <v>43346217.443014555</v>
      </c>
      <c r="T189" s="1185">
        <f>IF(AD189=1,IF(AF189="Value is not given at all",".",IF(AF189="Value is given by the source",S189,IF(AF189="Value is calculated with prices",(IF(SUMIFS(Q:Q,A:A,A189)&gt;0,SUMIFS(Q:Q,A:A,A189),"."))/VLOOKUP("USD",'Exchange Rates'!B:C,2,0),"Error with coding"))),"")</f>
        <v>43346217.443014555</v>
      </c>
      <c r="U189" s="1184" t="s">
        <v>365</v>
      </c>
      <c r="V189" s="987" t="s">
        <v>885</v>
      </c>
      <c r="W189" s="987" t="s">
        <v>886</v>
      </c>
      <c r="X189" s="986" t="s">
        <v>364</v>
      </c>
      <c r="Y189" s="1190" t="s">
        <v>364</v>
      </c>
      <c r="Z189" s="1184">
        <v>0</v>
      </c>
      <c r="AA189" s="1191">
        <v>1</v>
      </c>
      <c r="AB189" s="987" t="s">
        <v>886</v>
      </c>
      <c r="AC189" s="1192" t="str">
        <f>""</f>
        <v/>
      </c>
      <c r="AD189" s="1193">
        <v>1</v>
      </c>
      <c r="AE189" s="1193" t="s">
        <v>436</v>
      </c>
      <c r="AF189" s="1193" t="s">
        <v>436</v>
      </c>
      <c r="AG189" s="1193">
        <v>1</v>
      </c>
      <c r="AH189" s="1193">
        <v>15</v>
      </c>
      <c r="AI189" s="1193">
        <v>0</v>
      </c>
      <c r="AJ189" s="1193">
        <f>VLOOKUP($I189,'Price List, Weapons &amp; Items'!B:F,5,0)</f>
        <v>1</v>
      </c>
      <c r="AK189" s="1193">
        <f t="shared" si="41"/>
        <v>0</v>
      </c>
      <c r="AL189" s="1193">
        <f t="shared" si="42"/>
        <v>0</v>
      </c>
      <c r="AM189" s="1193">
        <f t="shared" si="43"/>
        <v>0</v>
      </c>
      <c r="AN189" s="1194" t="str">
        <f>VLOOKUP($I189,'Price List, Weapons &amp; Items'!B:L,COLUMN('Price List, Weapons &amp; Items'!$J$11)-1,0)</f>
        <v>Government information</v>
      </c>
      <c r="AO189" s="1194" t="str">
        <f>IF(I189=".",".",VLOOKUP($I189,'Price List, Weapons &amp; Items'!B:J,3,0))</f>
        <v>155mm howitzer ammunition</v>
      </c>
      <c r="AP189" s="1195" t="str">
        <f t="shared" ca="1" si="37"/>
        <v>155mm artillery round</v>
      </c>
      <c r="AQ189" s="1194">
        <f>VLOOKUP($I189,'Price List, Weapons &amp; Items'!B:L,COLUMN('Price List, Weapons &amp; Items'!$L$11)-1,0)</f>
        <v>2</v>
      </c>
      <c r="AR189" s="1194">
        <f t="shared" si="44"/>
        <v>1</v>
      </c>
      <c r="AS189" s="1194">
        <f t="shared" si="45"/>
        <v>1</v>
      </c>
      <c r="AT189" s="1194">
        <f t="shared" si="46"/>
        <v>1</v>
      </c>
      <c r="AU189" s="1194" t="str">
        <f t="shared" si="47"/>
        <v>.</v>
      </c>
      <c r="AV189" s="1194" t="str">
        <f t="shared" si="38"/>
        <v>.</v>
      </c>
      <c r="AW189" s="1194" t="str">
        <f t="shared" si="48"/>
        <v>.</v>
      </c>
      <c r="AX189" s="1194">
        <f>IFERROR(VLOOKUP(B189,'Share, Heavy Weapons to Ukraine'!B:Z,COLUMN('Share, Heavy Weapons to Ukraine'!C199)-1,0),0)</f>
        <v>1</v>
      </c>
      <c r="AY189" s="1194">
        <f>VLOOKUP('Bilateral Assistance, MAIN DATA'!B189,'Country Summary (€)'!B:F,COLUMN('Country Summary (€)'!C200)-1,FALSE)</f>
        <v>0</v>
      </c>
      <c r="AZ189" s="1194" t="str">
        <f>IF(AND(AD189=1,D189="Military",H189&lt;&gt;"Not given")=TRUE,IF(SUMIFS(P:P,A:A,A189)&gt;0,ABS((SUMIFS(P:P,A:A,A189)/VLOOKUP("USD",'Exchange Rates'!B:C,2,0)))/S189,"."),".")</f>
        <v>.</v>
      </c>
      <c r="BA189" s="1196" t="str">
        <f>IF(AND(AD189=1,D189="Military",H189&lt;&gt;"Not given")=TRUE,IF(SUMIFS(P:P,A:A,A189)&gt;0,IF((ABS((SUMIFS(P:P,A:A,A189)/VLOOKUP("USD",'Exchange Rates'!B:C,2,0)))/S189)&gt;1,(SUMIFS(P:P,A:A,A189)-S189)/S189,(S189-SUMIFS(P:P,A:A,A189))/SUMIFS(P:P,A:A,A189)),"."),".")</f>
        <v>.</v>
      </c>
    </row>
    <row r="190" spans="1:53" ht="15.95" customHeight="1">
      <c r="A190" s="1182" t="s">
        <v>883</v>
      </c>
      <c r="B190" s="1182" t="s">
        <v>713</v>
      </c>
      <c r="C190" s="1181">
        <v>45000</v>
      </c>
      <c r="D190" s="1182" t="s">
        <v>389</v>
      </c>
      <c r="E190" s="1182" t="s">
        <v>390</v>
      </c>
      <c r="F190" s="1183" t="s">
        <v>884</v>
      </c>
      <c r="G190" s="1184" t="s">
        <v>456</v>
      </c>
      <c r="H190" s="1185" t="s">
        <v>457</v>
      </c>
      <c r="I190" s="1180" t="s">
        <v>887</v>
      </c>
      <c r="J190" s="1186" t="str">
        <f>VLOOKUP($I190,'Price List, Weapons &amp; Items'!B:C,2,0)</f>
        <v>Ammunition for heavy weapon</v>
      </c>
      <c r="K190" s="1186" t="str">
        <f>IF(I190=".",I190,VLOOKUP($I190,'Price List, Weapons &amp; Items'!B:D,3,0))</f>
        <v>Surface-to-air missile (SAM)</v>
      </c>
      <c r="L190" s="1187">
        <f>VLOOKUP(I190,'Price List, Weapons &amp; Items'!B:E,4,0)</f>
        <v>0</v>
      </c>
      <c r="M190" s="1188">
        <v>12</v>
      </c>
      <c r="N190" s="1188">
        <v>12</v>
      </c>
      <c r="O190" s="1188">
        <f>VLOOKUP($I190,'Price List, Weapons &amp; Items'!B:G,6,0)</f>
        <v>1392389.093089018</v>
      </c>
      <c r="P190" s="1185">
        <f t="shared" si="39"/>
        <v>16708669.117068216</v>
      </c>
      <c r="Q190" s="1185">
        <f t="shared" si="40"/>
        <v>16708669.117068216</v>
      </c>
      <c r="R190" s="1185" t="str">
        <f t="shared" si="36"/>
        <v/>
      </c>
      <c r="S190" s="1185" t="str">
        <f>IF(AND(AD190=1,R190&lt;&gt;".")=TRUE,R190/VLOOKUP(G190,'Exchange Rates'!B:C,2,0),IF(R190=".",".",""))</f>
        <v/>
      </c>
      <c r="T190" s="1185" t="str">
        <f>IF(AD190=1,IF(AF190="Value is not given at all",".",IF(AF190="Value is given by the source",S190,IF(AF190="Value is calculated with prices",(IF(SUMIFS(Q:Q,A:A,A190)&gt;0,SUMIFS(Q:Q,A:A,A190),"."))/VLOOKUP("USD",'Exchange Rates'!B:C,2,0),"Error with coding"))),"")</f>
        <v/>
      </c>
      <c r="U190" s="1184" t="s">
        <v>365</v>
      </c>
      <c r="V190" s="987" t="s">
        <v>885</v>
      </c>
      <c r="W190" s="987" t="s">
        <v>886</v>
      </c>
      <c r="X190" s="986" t="s">
        <v>364</v>
      </c>
      <c r="Y190" s="1190" t="s">
        <v>364</v>
      </c>
      <c r="Z190" s="1184">
        <v>0</v>
      </c>
      <c r="AA190" s="1191">
        <v>1</v>
      </c>
      <c r="AB190" s="987" t="s">
        <v>886</v>
      </c>
      <c r="AC190" s="1192" t="str">
        <f>""</f>
        <v/>
      </c>
      <c r="AD190" s="1193">
        <v>0</v>
      </c>
      <c r="AE190" s="1193" t="s">
        <v>436</v>
      </c>
      <c r="AF190" s="1193" t="s">
        <v>436</v>
      </c>
      <c r="AG190" s="1193">
        <v>1</v>
      </c>
      <c r="AH190" s="1193">
        <v>15</v>
      </c>
      <c r="AI190" s="1193">
        <v>0</v>
      </c>
      <c r="AJ190" s="1193">
        <f>VLOOKUP($I190,'Price List, Weapons &amp; Items'!B:F,5,0)</f>
        <v>0</v>
      </c>
      <c r="AK190" s="1193">
        <f t="shared" si="41"/>
        <v>0</v>
      </c>
      <c r="AL190" s="1193">
        <f t="shared" si="42"/>
        <v>0</v>
      </c>
      <c r="AM190" s="1193">
        <f t="shared" si="43"/>
        <v>0</v>
      </c>
      <c r="AN190" s="1194" t="str">
        <f>VLOOKUP($I190,'Price List, Weapons &amp; Items'!B:L,COLUMN('Price List, Weapons &amp; Items'!$J$11)-1,0)</f>
        <v>Contracts</v>
      </c>
      <c r="AO190" s="1194" t="str">
        <f>IF(I190=".",".",VLOOKUP($I190,'Price List, Weapons &amp; Items'!B:J,3,0))</f>
        <v>Surface-to-air missile (SAM)</v>
      </c>
      <c r="AP190" s="1195" t="str">
        <f t="shared" ca="1" si="37"/>
        <v/>
      </c>
      <c r="AQ190" s="1194">
        <f>VLOOKUP($I190,'Price List, Weapons &amp; Items'!B:L,COLUMN('Price List, Weapons &amp; Items'!$L$11)-1,0)</f>
        <v>2</v>
      </c>
      <c r="AR190" s="1194">
        <f t="shared" si="44"/>
        <v>1</v>
      </c>
      <c r="AS190" s="1194">
        <f t="shared" si="45"/>
        <v>1</v>
      </c>
      <c r="AT190" s="1194">
        <f t="shared" si="46"/>
        <v>1</v>
      </c>
      <c r="AU190" s="1194" t="str">
        <f t="shared" si="47"/>
        <v>.</v>
      </c>
      <c r="AV190" s="1194" t="str">
        <f t="shared" si="38"/>
        <v>.</v>
      </c>
      <c r="AW190" s="1194" t="str">
        <f t="shared" si="48"/>
        <v>.</v>
      </c>
      <c r="AX190" s="1194">
        <f>IFERROR(VLOOKUP(B190,'Share, Heavy Weapons to Ukraine'!B:Z,COLUMN('Share, Heavy Weapons to Ukraine'!C200)-1,0),0)</f>
        <v>1</v>
      </c>
      <c r="AY190" s="1194">
        <f>VLOOKUP('Bilateral Assistance, MAIN DATA'!B190,'Country Summary (€)'!B:F,COLUMN('Country Summary (€)'!C201)-1,FALSE)</f>
        <v>0</v>
      </c>
      <c r="AZ190" s="1194" t="str">
        <f>IF(AND(AD190=1,D190="Military",H190&lt;&gt;"Not given")=TRUE,IF(SUMIFS(P:P,A:A,A190)&gt;0,ABS((SUMIFS(P:P,A:A,A190)/VLOOKUP("USD",'Exchange Rates'!B:C,2,0)))/S190,"."),".")</f>
        <v>.</v>
      </c>
      <c r="BA190" s="1196" t="str">
        <f>IF(AND(AD190=1,D190="Military",H190&lt;&gt;"Not given")=TRUE,IF(SUMIFS(P:P,A:A,A190)&gt;0,IF((ABS((SUMIFS(P:P,A:A,A190)/VLOOKUP("USD",'Exchange Rates'!B:C,2,0)))/S190)&gt;1,(SUMIFS(P:P,A:A,A190)-S190)/S190,(S190-SUMIFS(P:P,A:A,A190))/SUMIFS(P:P,A:A,A190)),"."),".")</f>
        <v>.</v>
      </c>
    </row>
    <row r="191" spans="1:53" ht="15.95" customHeight="1">
      <c r="A191" s="1182" t="s">
        <v>883</v>
      </c>
      <c r="B191" s="1182" t="s">
        <v>713</v>
      </c>
      <c r="C191" s="1181">
        <v>45000</v>
      </c>
      <c r="D191" s="1182" t="s">
        <v>389</v>
      </c>
      <c r="E191" s="1182" t="s">
        <v>390</v>
      </c>
      <c r="F191" s="1183" t="s">
        <v>884</v>
      </c>
      <c r="G191" s="1184" t="s">
        <v>456</v>
      </c>
      <c r="H191" s="1185" t="s">
        <v>457</v>
      </c>
      <c r="I191" s="1180" t="s">
        <v>888</v>
      </c>
      <c r="J191" s="1186" t="str">
        <f>VLOOKUP($I191,'Price List, Weapons &amp; Items'!B:C,2,0)</f>
        <v>Ammunition for heavy weapon</v>
      </c>
      <c r="K191" s="1186" t="str">
        <f>IF(I191=".",I191,VLOOKUP($I191,'Price List, Weapons &amp; Items'!B:D,3,0))</f>
        <v>Military equipment</v>
      </c>
      <c r="L191" s="1187">
        <f>VLOOKUP(I191,'Price List, Weapons &amp; Items'!B:E,4,0)</f>
        <v>0</v>
      </c>
      <c r="M191" s="1188">
        <v>1800</v>
      </c>
      <c r="N191" s="1188">
        <v>1800</v>
      </c>
      <c r="O191" s="1188" t="str">
        <f>VLOOKUP($I191,'Price List, Weapons &amp; Items'!B:G,6,0)</f>
        <v>.</v>
      </c>
      <c r="P191" s="1185" t="str">
        <f t="shared" si="39"/>
        <v>No price</v>
      </c>
      <c r="Q191" s="1185" t="str">
        <f t="shared" si="40"/>
        <v>No price</v>
      </c>
      <c r="R191" s="1185" t="str">
        <f t="shared" si="36"/>
        <v/>
      </c>
      <c r="S191" s="1185" t="str">
        <f>IF(AND(AD191=1,R191&lt;&gt;".")=TRUE,R191/VLOOKUP(G191,'Exchange Rates'!B:C,2,0),IF(R191=".",".",""))</f>
        <v/>
      </c>
      <c r="T191" s="1185" t="str">
        <f>IF(AD191=1,IF(AF191="Value is not given at all",".",IF(AF191="Value is given by the source",S191,IF(AF191="Value is calculated with prices",(IF(SUMIFS(Q:Q,A:A,A191)&gt;0,SUMIFS(Q:Q,A:A,A191),"."))/VLOOKUP("USD",'Exchange Rates'!B:C,2,0),"Error with coding"))),"")</f>
        <v/>
      </c>
      <c r="U191" s="1184" t="s">
        <v>365</v>
      </c>
      <c r="V191" s="987" t="s">
        <v>885</v>
      </c>
      <c r="W191" s="987" t="s">
        <v>886</v>
      </c>
      <c r="X191" s="986" t="s">
        <v>364</v>
      </c>
      <c r="Y191" s="1190" t="s">
        <v>364</v>
      </c>
      <c r="Z191" s="1184">
        <v>0</v>
      </c>
      <c r="AA191" s="1191">
        <v>1</v>
      </c>
      <c r="AB191" s="987" t="s">
        <v>886</v>
      </c>
      <c r="AC191" s="1192" t="str">
        <f>""</f>
        <v/>
      </c>
      <c r="AD191" s="1193">
        <v>0</v>
      </c>
      <c r="AE191" s="1193" t="s">
        <v>436</v>
      </c>
      <c r="AF191" s="1193" t="s">
        <v>436</v>
      </c>
      <c r="AG191" s="1193">
        <v>1</v>
      </c>
      <c r="AH191" s="1193">
        <v>15</v>
      </c>
      <c r="AI191" s="1193">
        <v>0</v>
      </c>
      <c r="AJ191" s="1193">
        <f>VLOOKUP($I191,'Price List, Weapons &amp; Items'!B:F,5,0)</f>
        <v>0</v>
      </c>
      <c r="AK191" s="1193">
        <f t="shared" si="41"/>
        <v>0</v>
      </c>
      <c r="AL191" s="1193">
        <f t="shared" si="42"/>
        <v>0</v>
      </c>
      <c r="AM191" s="1193">
        <f t="shared" si="43"/>
        <v>1</v>
      </c>
      <c r="AN191" s="1194" t="str">
        <f>VLOOKUP($I191,'Price List, Weapons &amp; Items'!B:L,COLUMN('Price List, Weapons &amp; Items'!$J$11)-1,0)</f>
        <v>.</v>
      </c>
      <c r="AO191" s="1194" t="str">
        <f>IF(I191=".",".",VLOOKUP($I191,'Price List, Weapons &amp; Items'!B:J,3,0))</f>
        <v>Military equipment</v>
      </c>
      <c r="AP191" s="1195" t="str">
        <f t="shared" ca="1" si="37"/>
        <v/>
      </c>
      <c r="AQ191" s="1194">
        <f>VLOOKUP($I191,'Price List, Weapons &amp; Items'!B:L,COLUMN('Price List, Weapons &amp; Items'!$L$11)-1,0)</f>
        <v>0</v>
      </c>
      <c r="AR191" s="1194">
        <f t="shared" si="44"/>
        <v>1</v>
      </c>
      <c r="AS191" s="1194">
        <f t="shared" si="45"/>
        <v>1</v>
      </c>
      <c r="AT191" s="1194">
        <f t="shared" si="46"/>
        <v>1</v>
      </c>
      <c r="AU191" s="1194" t="str">
        <f t="shared" si="47"/>
        <v>.</v>
      </c>
      <c r="AV191" s="1194" t="str">
        <f t="shared" si="38"/>
        <v>.</v>
      </c>
      <c r="AW191" s="1194" t="str">
        <f t="shared" si="48"/>
        <v>.</v>
      </c>
      <c r="AX191" s="1194">
        <f>IFERROR(VLOOKUP(B191,'Share, Heavy Weapons to Ukraine'!B:Z,COLUMN('Share, Heavy Weapons to Ukraine'!C201)-1,0),0)</f>
        <v>1</v>
      </c>
      <c r="AY191" s="1194">
        <f>VLOOKUP('Bilateral Assistance, MAIN DATA'!B191,'Country Summary (€)'!B:F,COLUMN('Country Summary (€)'!C202)-1,FALSE)</f>
        <v>0</v>
      </c>
      <c r="AZ191" s="1194" t="str">
        <f>IF(AND(AD191=1,D191="Military",H191&lt;&gt;"Not given")=TRUE,IF(SUMIFS(P:P,A:A,A191)&gt;0,ABS((SUMIFS(P:P,A:A,A191)/VLOOKUP("USD",'Exchange Rates'!B:C,2,0)))/S191,"."),".")</f>
        <v>.</v>
      </c>
      <c r="BA191" s="1196" t="str">
        <f>IF(AND(AD191=1,D191="Military",H191&lt;&gt;"Not given")=TRUE,IF(SUMIFS(P:P,A:A,A191)&gt;0,IF((ABS((SUMIFS(P:P,A:A,A191)/VLOOKUP("USD",'Exchange Rates'!B:C,2,0)))/S191)&gt;1,(SUMIFS(P:P,A:A,A191)-S191)/S191,(S191-SUMIFS(P:P,A:A,A191))/SUMIFS(P:P,A:A,A191)),"."),".")</f>
        <v>.</v>
      </c>
    </row>
    <row r="192" spans="1:53" ht="15.95" customHeight="1">
      <c r="A192" s="1182" t="s">
        <v>889</v>
      </c>
      <c r="B192" s="1182" t="s">
        <v>713</v>
      </c>
      <c r="C192" s="1181">
        <v>45027</v>
      </c>
      <c r="D192" s="1182" t="s">
        <v>389</v>
      </c>
      <c r="E192" s="1182" t="s">
        <v>390</v>
      </c>
      <c r="F192" s="1183" t="s">
        <v>890</v>
      </c>
      <c r="G192" s="1184" t="s">
        <v>716</v>
      </c>
      <c r="H192" s="1185">
        <v>59000000</v>
      </c>
      <c r="I192" s="1180" t="s">
        <v>891</v>
      </c>
      <c r="J192" s="1186" t="str">
        <f>VLOOKUP($I192,'Price List, Weapons &amp; Items'!B:C,2,0)</f>
        <v>Light armaments &amp; infantry</v>
      </c>
      <c r="K192" s="1186" t="str">
        <f>IF(I192=".",I192,VLOOKUP($I192,'Price List, Weapons &amp; Items'!B:D,3,0))</f>
        <v>Small Arms and Light Weapons (SALW)</v>
      </c>
      <c r="L192" s="1187">
        <f>VLOOKUP(I192,'Price List, Weapons &amp; Items'!B:E,4,0)</f>
        <v>0</v>
      </c>
      <c r="M192" s="1188">
        <v>21000</v>
      </c>
      <c r="N192" s="1188">
        <v>4800</v>
      </c>
      <c r="O192" s="1188">
        <f>VLOOKUP($I192,'Price List, Weapons &amp; Items'!B:G,6,0)</f>
        <v>1701.9404915912032</v>
      </c>
      <c r="P192" s="1185">
        <f t="shared" si="39"/>
        <v>35740750.323415264</v>
      </c>
      <c r="Q192" s="1185">
        <f t="shared" si="40"/>
        <v>8169314.3596377755</v>
      </c>
      <c r="R192" s="1185">
        <f t="shared" si="36"/>
        <v>59000000</v>
      </c>
      <c r="S192" s="1185">
        <f>IF(AND(AD192=1,R192&lt;&gt;".")=TRUE,R192/VLOOKUP(G192,'Exchange Rates'!B:C,2,0),IF(R192=".",".",""))</f>
        <v>40171580.309116907</v>
      </c>
      <c r="T192" s="1185">
        <f>IF(AD192=1,IF(AF192="Value is not given at all",".",IF(AF192="Value is given by the source",S192,IF(AF192="Value is calculated with prices",(IF(SUMIFS(Q:Q,A:A,A192)&gt;0,SUMIFS(Q:Q,A:A,A192),"."))/VLOOKUP("USD",'Exchange Rates'!B:C,2,0),"Error with coding"))),"")</f>
        <v>7516851.6375025539</v>
      </c>
      <c r="U192" s="1184" t="s">
        <v>365</v>
      </c>
      <c r="V192" s="987" t="s">
        <v>857</v>
      </c>
      <c r="W192" s="987" t="s">
        <v>892</v>
      </c>
      <c r="X192" s="986" t="s">
        <v>364</v>
      </c>
      <c r="Y192" s="1190" t="s">
        <v>364</v>
      </c>
      <c r="Z192" s="1184">
        <v>0</v>
      </c>
      <c r="AA192" s="1191">
        <v>1</v>
      </c>
      <c r="AB192" s="987" t="s">
        <v>893</v>
      </c>
      <c r="AC192" s="1192" t="str">
        <f>""</f>
        <v/>
      </c>
      <c r="AD192" s="1193">
        <v>1</v>
      </c>
      <c r="AE192" s="1193" t="s">
        <v>368</v>
      </c>
      <c r="AF192" s="1193" t="s">
        <v>436</v>
      </c>
      <c r="AG192" s="1193">
        <v>1</v>
      </c>
      <c r="AH192" s="1193">
        <v>16</v>
      </c>
      <c r="AI192" s="1193">
        <v>0</v>
      </c>
      <c r="AJ192" s="1193">
        <f>VLOOKUP($I192,'Price List, Weapons &amp; Items'!B:F,5,0)</f>
        <v>0</v>
      </c>
      <c r="AK192" s="1193">
        <f t="shared" si="41"/>
        <v>0</v>
      </c>
      <c r="AL192" s="1193">
        <f t="shared" si="42"/>
        <v>0</v>
      </c>
      <c r="AM192" s="1193">
        <f t="shared" si="43"/>
        <v>0</v>
      </c>
      <c r="AN192" s="1194" t="str">
        <f>VLOOKUP($I192,'Price List, Weapons &amp; Items'!B:L,COLUMN('Price List, Weapons &amp; Items'!$J$11)-1,0)</f>
        <v>Online marketplaces and stores</v>
      </c>
      <c r="AO192" s="1194" t="str">
        <f>IF(I192=".",".",VLOOKUP($I192,'Price List, Weapons &amp; Items'!B:J,3,0))</f>
        <v>Small Arms and Light Weapons (SALW)</v>
      </c>
      <c r="AP192" s="1195" t="str">
        <f t="shared" ca="1" si="37"/>
        <v>Colt Canada C7</v>
      </c>
      <c r="AQ192" s="1194">
        <f>VLOOKUP($I192,'Price List, Weapons &amp; Items'!B:L,COLUMN('Price List, Weapons &amp; Items'!$L$11)-1,0)</f>
        <v>2</v>
      </c>
      <c r="AR192" s="1194">
        <f t="shared" si="44"/>
        <v>1</v>
      </c>
      <c r="AS192" s="1194">
        <f t="shared" si="45"/>
        <v>1</v>
      </c>
      <c r="AT192" s="1194">
        <f t="shared" si="46"/>
        <v>1</v>
      </c>
      <c r="AU192" s="1194" t="str">
        <f t="shared" si="47"/>
        <v>.</v>
      </c>
      <c r="AV192" s="1194" t="str">
        <f t="shared" si="38"/>
        <v>.</v>
      </c>
      <c r="AW192" s="1194" t="str">
        <f t="shared" si="48"/>
        <v>.</v>
      </c>
      <c r="AX192" s="1194">
        <f>IFERROR(VLOOKUP(B192,'Share, Heavy Weapons to Ukraine'!B:Z,COLUMN('Share, Heavy Weapons to Ukraine'!C202)-1,0),0)</f>
        <v>1</v>
      </c>
      <c r="AY192" s="1194">
        <f>VLOOKUP('Bilateral Assistance, MAIN DATA'!B192,'Country Summary (€)'!B:F,COLUMN('Country Summary (€)'!C203)-1,FALSE)</f>
        <v>0</v>
      </c>
      <c r="AZ192" s="1194">
        <f>IF(AND(AD192=1,D192="Military",H192&lt;&gt;"Not given")=TRUE,IF(SUMIFS(P:P,A:A,A192)&gt;0,ABS((SUMIFS(P:P,A:A,A192)/VLOOKUP("USD",'Exchange Rates'!B:C,2,0)))/S192,"."),".")</f>
        <v>0.82552016712101461</v>
      </c>
      <c r="BA192" s="1196">
        <f>IF(AND(AD192=1,D192="Military",H192&lt;&gt;"Not given")=TRUE,IF(SUMIFS(P:P,A:A,A192)&gt;0,IF((ABS((SUMIFS(P:P,A:A,A192)/VLOOKUP("USD",'Exchange Rates'!B:C,2,0)))/S192)&gt;1,(SUMIFS(P:P,A:A,A192)-S192)/S192,(S192-SUMIFS(P:P,A:A,A192))/SUMIFS(P:P,A:A,A192)),"."),".")</f>
        <v>0.11460935265677594</v>
      </c>
    </row>
    <row r="193" spans="1:53" ht="15.95" customHeight="1">
      <c r="A193" s="1182" t="s">
        <v>889</v>
      </c>
      <c r="B193" s="1182" t="s">
        <v>713</v>
      </c>
      <c r="C193" s="1181">
        <v>45027</v>
      </c>
      <c r="D193" s="1182" t="s">
        <v>389</v>
      </c>
      <c r="E193" s="1182" t="s">
        <v>390</v>
      </c>
      <c r="F193" s="1183" t="s">
        <v>890</v>
      </c>
      <c r="G193" s="1184" t="s">
        <v>716</v>
      </c>
      <c r="H193" s="1185">
        <v>59000000</v>
      </c>
      <c r="I193" s="1180" t="s">
        <v>894</v>
      </c>
      <c r="J193" s="1186" t="str">
        <f>VLOOKUP($I193,'Price List, Weapons &amp; Items'!B:C,2,0)</f>
        <v>Light armaments &amp; infantry</v>
      </c>
      <c r="K193" s="1186" t="str">
        <f>IF(I193=".",I193,VLOOKUP($I193,'Price List, Weapons &amp; Items'!B:D,3,0))</f>
        <v>Small Arms and Light Weapons (SALW)</v>
      </c>
      <c r="L193" s="1187">
        <f>VLOOKUP(I193,'Price List, Weapons &amp; Items'!B:E,4,0)</f>
        <v>0</v>
      </c>
      <c r="M193" s="1188">
        <v>38</v>
      </c>
      <c r="N193" s="1188" t="s">
        <v>374</v>
      </c>
      <c r="O193" s="1188">
        <f>VLOOKUP($I193,'Price List, Weapons &amp; Items'!B:G,6,0)</f>
        <v>7900</v>
      </c>
      <c r="P193" s="1185">
        <f t="shared" si="39"/>
        <v>300200</v>
      </c>
      <c r="Q193" s="1185" t="str">
        <f t="shared" si="40"/>
        <v>.</v>
      </c>
      <c r="R193" s="1185" t="str">
        <f t="shared" si="36"/>
        <v/>
      </c>
      <c r="S193" s="1185" t="str">
        <f>IF(AND(AD193=1,R193&lt;&gt;".")=TRUE,R193/VLOOKUP(G193,'Exchange Rates'!B:C,2,0),IF(R193=".",".",""))</f>
        <v/>
      </c>
      <c r="T193" s="1185" t="str">
        <f>IF(AD193=1,IF(AF193="Value is not given at all",".",IF(AF193="Value is given by the source",S193,IF(AF193="Value is calculated with prices",(IF(SUMIFS(Q:Q,A:A,A193)&gt;0,SUMIFS(Q:Q,A:A,A193),"."))/VLOOKUP("USD",'Exchange Rates'!B:C,2,0),"Error with coding"))),"")</f>
        <v/>
      </c>
      <c r="U193" s="1184" t="s">
        <v>365</v>
      </c>
      <c r="V193" s="987" t="s">
        <v>857</v>
      </c>
      <c r="W193" s="987" t="s">
        <v>892</v>
      </c>
      <c r="X193" s="986" t="s">
        <v>364</v>
      </c>
      <c r="Y193" s="1190" t="s">
        <v>364</v>
      </c>
      <c r="Z193" s="1184">
        <v>0</v>
      </c>
      <c r="AA193" s="1191">
        <v>1</v>
      </c>
      <c r="AB193" s="987" t="s">
        <v>893</v>
      </c>
      <c r="AC193" s="1192" t="str">
        <f>""</f>
        <v/>
      </c>
      <c r="AD193" s="1193">
        <v>0</v>
      </c>
      <c r="AE193" s="1193" t="s">
        <v>368</v>
      </c>
      <c r="AF193" s="1193" t="s">
        <v>436</v>
      </c>
      <c r="AG193" s="1193">
        <v>1</v>
      </c>
      <c r="AH193" s="1193">
        <v>16</v>
      </c>
      <c r="AI193" s="1193">
        <v>0</v>
      </c>
      <c r="AJ193" s="1193">
        <f>VLOOKUP($I193,'Price List, Weapons &amp; Items'!B:F,5,0)</f>
        <v>0</v>
      </c>
      <c r="AK193" s="1193">
        <f t="shared" si="41"/>
        <v>0</v>
      </c>
      <c r="AL193" s="1193">
        <f t="shared" si="42"/>
        <v>0</v>
      </c>
      <c r="AM193" s="1193">
        <f t="shared" si="43"/>
        <v>0</v>
      </c>
      <c r="AN193" s="1194" t="str">
        <f>VLOOKUP($I193,'Price List, Weapons &amp; Items'!B:L,COLUMN('Price List, Weapons &amp; Items'!$J$11)-1,0)</f>
        <v>Military media (incl. websites)</v>
      </c>
      <c r="AO193" s="1194" t="str">
        <f>IF(I193=".",".",VLOOKUP($I193,'Price List, Weapons &amp; Items'!B:J,3,0))</f>
        <v>Small Arms and Light Weapons (SALW)</v>
      </c>
      <c r="AP193" s="1195" t="str">
        <f t="shared" ca="1" si="37"/>
        <v/>
      </c>
      <c r="AQ193" s="1194">
        <f>VLOOKUP($I193,'Price List, Weapons &amp; Items'!B:L,COLUMN('Price List, Weapons &amp; Items'!$L$11)-1,0)</f>
        <v>1</v>
      </c>
      <c r="AR193" s="1194">
        <f t="shared" si="44"/>
        <v>1</v>
      </c>
      <c r="AS193" s="1194">
        <f t="shared" si="45"/>
        <v>1</v>
      </c>
      <c r="AT193" s="1194">
        <f t="shared" si="46"/>
        <v>1</v>
      </c>
      <c r="AU193" s="1194" t="str">
        <f t="shared" si="47"/>
        <v>.</v>
      </c>
      <c r="AV193" s="1194" t="str">
        <f t="shared" si="38"/>
        <v>.</v>
      </c>
      <c r="AW193" s="1194" t="str">
        <f t="shared" si="48"/>
        <v>.</v>
      </c>
      <c r="AX193" s="1194">
        <f>IFERROR(VLOOKUP(B193,'Share, Heavy Weapons to Ukraine'!B:Z,COLUMN('Share, Heavy Weapons to Ukraine'!C203)-1,0),0)</f>
        <v>1</v>
      </c>
      <c r="AY193" s="1194">
        <f>VLOOKUP('Bilateral Assistance, MAIN DATA'!B193,'Country Summary (€)'!B:F,COLUMN('Country Summary (€)'!C204)-1,FALSE)</f>
        <v>0</v>
      </c>
      <c r="AZ193" s="1194" t="str">
        <f>IF(AND(AD193=1,D193="Military",H193&lt;&gt;"Not given")=TRUE,IF(SUMIFS(P:P,A:A,A193)&gt;0,ABS((SUMIFS(P:P,A:A,A193)/VLOOKUP("USD",'Exchange Rates'!B:C,2,0)))/S193,"."),".")</f>
        <v>.</v>
      </c>
      <c r="BA193" s="1196" t="str">
        <f>IF(AND(AD193=1,D193="Military",H193&lt;&gt;"Not given")=TRUE,IF(SUMIFS(P:P,A:A,A193)&gt;0,IF((ABS((SUMIFS(P:P,A:A,A193)/VLOOKUP("USD",'Exchange Rates'!B:C,2,0)))/S193)&gt;1,(SUMIFS(P:P,A:A,A193)-S193)/S193,(S193-SUMIFS(P:P,A:A,A193))/SUMIFS(P:P,A:A,A193)),"."),".")</f>
        <v>.</v>
      </c>
    </row>
    <row r="194" spans="1:53" ht="15.95" customHeight="1">
      <c r="A194" s="1182" t="s">
        <v>889</v>
      </c>
      <c r="B194" s="1182" t="s">
        <v>713</v>
      </c>
      <c r="C194" s="1181">
        <v>45027</v>
      </c>
      <c r="D194" s="1182" t="s">
        <v>389</v>
      </c>
      <c r="E194" s="1182" t="s">
        <v>390</v>
      </c>
      <c r="F194" s="1183" t="s">
        <v>890</v>
      </c>
      <c r="G194" s="1184" t="s">
        <v>716</v>
      </c>
      <c r="H194" s="1185">
        <v>59000000</v>
      </c>
      <c r="I194" s="1180" t="s">
        <v>631</v>
      </c>
      <c r="J194" s="1186" t="str">
        <f>VLOOKUP($I194,'Price List, Weapons &amp; Items'!B:C,2,0)</f>
        <v>Ammunition</v>
      </c>
      <c r="K194" s="1186" t="str">
        <f>IF(I194=".",I194,VLOOKUP($I194,'Price List, Weapons &amp; Items'!B:D,3,0))</f>
        <v>Military equipment</v>
      </c>
      <c r="L194" s="1187">
        <f>VLOOKUP(I194,'Price List, Weapons &amp; Items'!B:E,4,0)</f>
        <v>0</v>
      </c>
      <c r="M194" s="1188">
        <v>2400000</v>
      </c>
      <c r="N194" s="1188">
        <v>1000000</v>
      </c>
      <c r="O194" s="1188" t="str">
        <f>VLOOKUP($I194,'Price List, Weapons &amp; Items'!B:G,6,0)</f>
        <v>.</v>
      </c>
      <c r="P194" s="1185" t="str">
        <f t="shared" si="39"/>
        <v>No price</v>
      </c>
      <c r="Q194" s="1185" t="str">
        <f t="shared" si="40"/>
        <v>No price</v>
      </c>
      <c r="R194" s="1185" t="str">
        <f t="shared" ref="R194:R257" si="49">IF(AD194=1,IF(H194&lt;&gt;"Not given",H194,IF(TYPE(H194)=2,IF(SUMIFS(P:P,A:A,A194)&gt;0,SUMIFS(P:P,A:A,A194),"."),"Format error")),"")</f>
        <v/>
      </c>
      <c r="S194" s="1185" t="str">
        <f>IF(AND(AD194=1,R194&lt;&gt;".")=TRUE,R194/VLOOKUP(G194,'Exchange Rates'!B:C,2,0),IF(R194=".",".",""))</f>
        <v/>
      </c>
      <c r="T194" s="1185" t="str">
        <f>IF(AD194=1,IF(AF194="Value is not given at all",".",IF(AF194="Value is given by the source",S194,IF(AF194="Value is calculated with prices",(IF(SUMIFS(Q:Q,A:A,A194)&gt;0,SUMIFS(Q:Q,A:A,A194),"."))/VLOOKUP("USD",'Exchange Rates'!B:C,2,0),"Error with coding"))),"")</f>
        <v/>
      </c>
      <c r="U194" s="1184" t="s">
        <v>365</v>
      </c>
      <c r="V194" s="987" t="s">
        <v>857</v>
      </c>
      <c r="W194" s="987" t="s">
        <v>892</v>
      </c>
      <c r="X194" s="986" t="s">
        <v>364</v>
      </c>
      <c r="Y194" s="1190" t="s">
        <v>364</v>
      </c>
      <c r="Z194" s="1184">
        <v>0</v>
      </c>
      <c r="AA194" s="1191">
        <v>1</v>
      </c>
      <c r="AB194" s="987" t="s">
        <v>893</v>
      </c>
      <c r="AC194" s="1192" t="str">
        <f>""</f>
        <v/>
      </c>
      <c r="AD194" s="1193">
        <v>0</v>
      </c>
      <c r="AE194" s="1193" t="s">
        <v>368</v>
      </c>
      <c r="AF194" s="1193" t="s">
        <v>436</v>
      </c>
      <c r="AG194" s="1193">
        <v>1</v>
      </c>
      <c r="AH194" s="1193">
        <v>16</v>
      </c>
      <c r="AI194" s="1193">
        <v>0</v>
      </c>
      <c r="AJ194" s="1193">
        <f>VLOOKUP($I194,'Price List, Weapons &amp; Items'!B:F,5,0)</f>
        <v>0</v>
      </c>
      <c r="AK194" s="1193">
        <f t="shared" si="41"/>
        <v>0</v>
      </c>
      <c r="AL194" s="1193">
        <f t="shared" si="42"/>
        <v>0</v>
      </c>
      <c r="AM194" s="1193">
        <f t="shared" si="43"/>
        <v>1</v>
      </c>
      <c r="AN194" s="1194" t="str">
        <f>VLOOKUP($I194,'Price List, Weapons &amp; Items'!B:L,COLUMN('Price List, Weapons &amp; Items'!$J$11)-1,0)</f>
        <v>.</v>
      </c>
      <c r="AO194" s="1194" t="str">
        <f>IF(I194=".",".",VLOOKUP($I194,'Price List, Weapons &amp; Items'!B:J,3,0))</f>
        <v>Military equipment</v>
      </c>
      <c r="AP194" s="1195" t="str">
        <f t="shared" ref="AP194:AP257" ca="1" si="50">IF(AD194=1,(OFFSET(I194,0,0,COUNTIF(A:A,A194),1)),"")</f>
        <v/>
      </c>
      <c r="AQ194" s="1194">
        <f>VLOOKUP($I194,'Price List, Weapons &amp; Items'!B:L,COLUMN('Price List, Weapons &amp; Items'!$L$11)-1,0)</f>
        <v>0</v>
      </c>
      <c r="AR194" s="1194">
        <f t="shared" si="44"/>
        <v>1</v>
      </c>
      <c r="AS194" s="1194">
        <f t="shared" si="45"/>
        <v>1</v>
      </c>
      <c r="AT194" s="1194">
        <f t="shared" si="46"/>
        <v>1</v>
      </c>
      <c r="AU194" s="1194" t="str">
        <f t="shared" si="47"/>
        <v>.</v>
      </c>
      <c r="AV194" s="1194" t="str">
        <f t="shared" ref="AV194:AV257" si="51">IF(AND(_xlfn.ISFORMULA(R194),_xlfn.ISFORMULA(S194),_xlfn.ISFORMULA(T194))=TRUE,".",1)</f>
        <v>.</v>
      </c>
      <c r="AW194" s="1194" t="str">
        <f t="shared" si="48"/>
        <v>.</v>
      </c>
      <c r="AX194" s="1194">
        <f>IFERROR(VLOOKUP(B194,'Share, Heavy Weapons to Ukraine'!B:Z,COLUMN('Share, Heavy Weapons to Ukraine'!C204)-1,0),0)</f>
        <v>1</v>
      </c>
      <c r="AY194" s="1194">
        <f>VLOOKUP('Bilateral Assistance, MAIN DATA'!B194,'Country Summary (€)'!B:F,COLUMN('Country Summary (€)'!C205)-1,FALSE)</f>
        <v>0</v>
      </c>
      <c r="AZ194" s="1194" t="str">
        <f>IF(AND(AD194=1,D194="Military",H194&lt;&gt;"Not given")=TRUE,IF(SUMIFS(P:P,A:A,A194)&gt;0,ABS((SUMIFS(P:P,A:A,A194)/VLOOKUP("USD",'Exchange Rates'!B:C,2,0)))/S194,"."),".")</f>
        <v>.</v>
      </c>
      <c r="BA194" s="1196" t="str">
        <f>IF(AND(AD194=1,D194="Military",H194&lt;&gt;"Not given")=TRUE,IF(SUMIFS(P:P,A:A,A194)&gt;0,IF((ABS((SUMIFS(P:P,A:A,A194)/VLOOKUP("USD",'Exchange Rates'!B:C,2,0)))/S194)&gt;1,(SUMIFS(P:P,A:A,A194)-S194)/S194,(S194-SUMIFS(P:P,A:A,A194))/SUMIFS(P:P,A:A,A194)),"."),".")</f>
        <v>.</v>
      </c>
    </row>
    <row r="195" spans="1:53" ht="15.95" customHeight="1">
      <c r="A195" s="1182" t="s">
        <v>895</v>
      </c>
      <c r="B195" s="1182" t="s">
        <v>713</v>
      </c>
      <c r="C195" s="1181">
        <v>45037</v>
      </c>
      <c r="D195" s="1182" t="s">
        <v>389</v>
      </c>
      <c r="E195" s="1182" t="s">
        <v>390</v>
      </c>
      <c r="F195" s="1183" t="s">
        <v>896</v>
      </c>
      <c r="G195" s="1184" t="s">
        <v>716</v>
      </c>
      <c r="H195" s="1185">
        <v>34600000</v>
      </c>
      <c r="I195" s="1180" t="s">
        <v>364</v>
      </c>
      <c r="J195" s="1186" t="str">
        <f>VLOOKUP($I195,'Price List, Weapons &amp; Items'!B:C,2,0)</f>
        <v>.</v>
      </c>
      <c r="K195" s="1186" t="str">
        <f>IF(I195=".",I195,VLOOKUP($I195,'Price List, Weapons &amp; Items'!B:D,3,0))</f>
        <v>.</v>
      </c>
      <c r="L195" s="1187">
        <f>VLOOKUP(I195,'Price List, Weapons &amp; Items'!B:E,4,0)</f>
        <v>0</v>
      </c>
      <c r="M195" s="1188" t="s">
        <v>364</v>
      </c>
      <c r="N195" s="1188" t="s">
        <v>364</v>
      </c>
      <c r="O195" s="1188" t="str">
        <f>VLOOKUP($I195,'Price List, Weapons &amp; Items'!B:G,6,0)</f>
        <v>.</v>
      </c>
      <c r="P195" s="1185" t="str">
        <f t="shared" ref="P195:P258" si="52">IF(TYPE(M195)=1,IF(TYPE(O195)=1,M195*O195,"No price"),".")</f>
        <v>.</v>
      </c>
      <c r="Q195" s="1185" t="str">
        <f t="shared" ref="Q195:Q258" si="53">IF(TYPE(N195)=1,IF(TYPE(O195)=1,N195*O195,"No price"),".")</f>
        <v>.</v>
      </c>
      <c r="R195" s="1185">
        <f t="shared" si="49"/>
        <v>34600000</v>
      </c>
      <c r="S195" s="1185">
        <f>IF(AND(AD195=1,R195&lt;&gt;".")=TRUE,R195/VLOOKUP(G195,'Exchange Rates'!B:C,2,0),IF(R195=".",".",""))</f>
        <v>23558248.791448221</v>
      </c>
      <c r="T195" s="1185" t="str">
        <f>IF(AD195=1,IF(AF195="Value is not given at all",".",IF(AF195="Value is given by the source",S195,IF(AF195="Value is calculated with prices",(IF(SUMIFS(Q:Q,A:A,A195)&gt;0,SUMIFS(Q:Q,A:A,A195),"."))/VLOOKUP("USD",'Exchange Rates'!B:C,2,0),"Error with coding"))),"")</f>
        <v>.</v>
      </c>
      <c r="U195" s="1184" t="s">
        <v>365</v>
      </c>
      <c r="V195" s="987" t="s">
        <v>892</v>
      </c>
      <c r="W195" s="987" t="s">
        <v>857</v>
      </c>
      <c r="X195" s="986" t="s">
        <v>364</v>
      </c>
      <c r="Y195" s="1190" t="s">
        <v>364</v>
      </c>
      <c r="Z195" s="1184">
        <v>0</v>
      </c>
      <c r="AA195" s="1191">
        <v>1</v>
      </c>
      <c r="AB195" s="987" t="s">
        <v>364</v>
      </c>
      <c r="AC195" s="1192" t="str">
        <f>""</f>
        <v/>
      </c>
      <c r="AD195" s="1193">
        <v>1</v>
      </c>
      <c r="AE195" s="1193" t="s">
        <v>368</v>
      </c>
      <c r="AF195" s="1193" t="s">
        <v>369</v>
      </c>
      <c r="AG195" s="1193">
        <v>1</v>
      </c>
      <c r="AH195" s="1193">
        <v>16</v>
      </c>
      <c r="AI195" s="1193">
        <v>0</v>
      </c>
      <c r="AJ195" s="1193">
        <f>VLOOKUP($I195,'Price List, Weapons &amp; Items'!B:F,5,0)</f>
        <v>0</v>
      </c>
      <c r="AK195" s="1193">
        <f t="shared" ref="AK195:AK258" si="54">IF(AND(AJ195=1,M195="undisclosed")=TRUE,1,0)</f>
        <v>0</v>
      </c>
      <c r="AL195" s="1193">
        <f t="shared" ref="AL195:AL258" si="55">IF(AND(AJ195=1,N195="undisclosed")=TRUE,1,0)</f>
        <v>0</v>
      </c>
      <c r="AM195" s="1193">
        <f t="shared" ref="AM195:AM258" si="56">IFERROR(IF(SEARCH("ammuni",I195,1)&gt;0,1,0),0)</f>
        <v>0</v>
      </c>
      <c r="AN195" s="1194" t="str">
        <f>VLOOKUP($I195,'Price List, Weapons &amp; Items'!B:L,COLUMN('Price List, Weapons &amp; Items'!$J$11)-1,0)</f>
        <v>.</v>
      </c>
      <c r="AO195" s="1194" t="str">
        <f>IF(I195=".",".",VLOOKUP($I195,'Price List, Weapons &amp; Items'!B:J,3,0))</f>
        <v>.</v>
      </c>
      <c r="AP195" s="1195" t="str">
        <f t="shared" ca="1" si="50"/>
        <v>.</v>
      </c>
      <c r="AQ195" s="1194">
        <f>VLOOKUP($I195,'Price List, Weapons &amp; Items'!B:L,COLUMN('Price List, Weapons &amp; Items'!$L$11)-1,0)</f>
        <v>0</v>
      </c>
      <c r="AR195" s="1194">
        <f t="shared" ref="AR195:AR258" si="57">IF(U195="Yes",1,0)</f>
        <v>1</v>
      </c>
      <c r="AS195" s="1194">
        <f t="shared" ref="AS195:AS258" si="58">IF(D195="Military",IF(OR(IFERROR(SEARCH("equipment",E195,1),0)&gt;0,IFERROR(SEARCH("weapons",E195,1),0)&gt;0),1,0),0)</f>
        <v>1</v>
      </c>
      <c r="AT195" s="1194">
        <f t="shared" ref="AT195:AT258" si="59">IFERROR(IF(VALUE(TEXT(C195,"mm"))=IF(AH195&gt;12,AH195-12,AH195),".",IF(TEXT(C195,"mm")="01",".",1)),"Value is not in date format")</f>
        <v>1</v>
      </c>
      <c r="AU195" s="1194" t="str">
        <f t="shared" ref="AU195:AU258" si="60">IF(AND(A195=A194,C195=C194)=TRUE,IF(F195=F194,".","1"),".")</f>
        <v>.</v>
      </c>
      <c r="AV195" s="1194" t="str">
        <f t="shared" si="51"/>
        <v>.</v>
      </c>
      <c r="AW195" s="1194" t="str">
        <f t="shared" ref="AW195:AW258" si="61">IF(T195&lt;&gt;".",IF(T195&gt;S195,1,"."),".")</f>
        <v>.</v>
      </c>
      <c r="AX195" s="1194">
        <f>IFERROR(VLOOKUP(B195,'Share, Heavy Weapons to Ukraine'!B:Z,COLUMN('Share, Heavy Weapons to Ukraine'!C205)-1,0),0)</f>
        <v>1</v>
      </c>
      <c r="AY195" s="1194">
        <f>VLOOKUP('Bilateral Assistance, MAIN DATA'!B195,'Country Summary (€)'!B:F,COLUMN('Country Summary (€)'!C206)-1,FALSE)</f>
        <v>0</v>
      </c>
      <c r="AZ195" s="1194" t="str">
        <f>IF(AND(AD195=1,D195="Military",H195&lt;&gt;"Not given")=TRUE,IF(SUMIFS(P:P,A:A,A195)&gt;0,ABS((SUMIFS(P:P,A:A,A195)/VLOOKUP("USD",'Exchange Rates'!B:C,2,0)))/S195,"."),".")</f>
        <v>.</v>
      </c>
      <c r="BA195" s="1196" t="str">
        <f>IF(AND(AD195=1,D195="Military",H195&lt;&gt;"Not given")=TRUE,IF(SUMIFS(P:P,A:A,A195)&gt;0,IF((ABS((SUMIFS(P:P,A:A,A195)/VLOOKUP("USD",'Exchange Rates'!B:C,2,0)))/S195)&gt;1,(SUMIFS(P:P,A:A,A195)-S195)/S195,(S195-SUMIFS(P:P,A:A,A195))/SUMIFS(P:P,A:A,A195)),"."),".")</f>
        <v>.</v>
      </c>
    </row>
    <row r="196" spans="1:53" ht="15.95" customHeight="1">
      <c r="A196" s="1182" t="s">
        <v>897</v>
      </c>
      <c r="B196" s="1182" t="s">
        <v>713</v>
      </c>
      <c r="C196" s="1181">
        <v>45037</v>
      </c>
      <c r="D196" s="1182" t="s">
        <v>389</v>
      </c>
      <c r="E196" s="1182" t="s">
        <v>390</v>
      </c>
      <c r="F196" s="1183" t="s">
        <v>898</v>
      </c>
      <c r="G196" s="1184" t="s">
        <v>716</v>
      </c>
      <c r="H196" s="1185">
        <v>4500000</v>
      </c>
      <c r="I196" s="1180" t="s">
        <v>899</v>
      </c>
      <c r="J196" s="1186" t="str">
        <f>VLOOKUP($I196,'Price List, Weapons &amp; Items'!B:C,2,0)</f>
        <v>Light armaments &amp; infantry</v>
      </c>
      <c r="K196" s="1186" t="str">
        <f>IF(I196=".",I196,VLOOKUP($I196,'Price List, Weapons &amp; Items'!B:D,3,0))</f>
        <v>Small Arms and Light Weapons (SALW)</v>
      </c>
      <c r="L196" s="1187">
        <f>VLOOKUP(I196,'Price List, Weapons &amp; Items'!B:E,4,0)</f>
        <v>0</v>
      </c>
      <c r="M196" s="1188">
        <v>40</v>
      </c>
      <c r="N196" s="1188" t="s">
        <v>374</v>
      </c>
      <c r="O196" s="1188">
        <f>VLOOKUP($I196,'Price List, Weapons &amp; Items'!B:G,6,0)</f>
        <v>46248.382923674006</v>
      </c>
      <c r="P196" s="1185">
        <f t="shared" si="52"/>
        <v>1849935.3169469603</v>
      </c>
      <c r="Q196" s="1185" t="str">
        <f t="shared" si="53"/>
        <v>.</v>
      </c>
      <c r="R196" s="1185">
        <f t="shared" si="49"/>
        <v>4500000</v>
      </c>
      <c r="S196" s="1185">
        <f>IF(AND(AD196=1,R196&lt;&gt;".")=TRUE,R196/VLOOKUP(G196,'Exchange Rates'!B:C,2,0),IF(R196=".",".",""))</f>
        <v>3063934.0913733235</v>
      </c>
      <c r="T196" s="1185" t="str">
        <f>IF(AD196=1,IF(AF196="Value is not given at all",".",IF(AF196="Value is given by the source",S196,IF(AF196="Value is calculated with prices",(IF(SUMIFS(Q:Q,A:A,A196)&gt;0,SUMIFS(Q:Q,A:A,A196),"."))/VLOOKUP("USD",'Exchange Rates'!B:C,2,0),"Error with coding"))),"")</f>
        <v>.</v>
      </c>
      <c r="U196" s="1184" t="s">
        <v>365</v>
      </c>
      <c r="V196" s="987" t="s">
        <v>892</v>
      </c>
      <c r="W196" s="987" t="s">
        <v>857</v>
      </c>
      <c r="X196" s="986" t="s">
        <v>364</v>
      </c>
      <c r="Y196" s="1190" t="s">
        <v>364</v>
      </c>
      <c r="Z196" s="1184">
        <v>0</v>
      </c>
      <c r="AA196" s="1191">
        <v>1</v>
      </c>
      <c r="AB196" s="987" t="s">
        <v>364</v>
      </c>
      <c r="AC196" s="1192" t="str">
        <f>""</f>
        <v/>
      </c>
      <c r="AD196" s="1193">
        <v>1</v>
      </c>
      <c r="AE196" s="1193" t="s">
        <v>368</v>
      </c>
      <c r="AF196" s="1193" t="s">
        <v>369</v>
      </c>
      <c r="AG196" s="1193">
        <v>1</v>
      </c>
      <c r="AH196" s="1193">
        <v>16</v>
      </c>
      <c r="AI196" s="1193">
        <v>0</v>
      </c>
      <c r="AJ196" s="1193">
        <f>VLOOKUP($I196,'Price List, Weapons &amp; Items'!B:F,5,0)</f>
        <v>0</v>
      </c>
      <c r="AK196" s="1193">
        <f t="shared" si="54"/>
        <v>0</v>
      </c>
      <c r="AL196" s="1193">
        <f t="shared" si="55"/>
        <v>0</v>
      </c>
      <c r="AM196" s="1193">
        <f t="shared" si="56"/>
        <v>0</v>
      </c>
      <c r="AN196" s="1194" t="str">
        <f>VLOOKUP($I196,'Price List, Weapons &amp; Items'!B:L,COLUMN('Price List, Weapons &amp; Items'!$J$11)-1,0)</f>
        <v>Government information</v>
      </c>
      <c r="AO196" s="1194" t="str">
        <f>IF(I196=".",".",VLOOKUP($I196,'Price List, Weapons &amp; Items'!B:J,3,0))</f>
        <v>Small Arms and Light Weapons (SALW)</v>
      </c>
      <c r="AP196" s="1195" t="str">
        <f t="shared" ca="1" si="50"/>
        <v>C15A2 .50 Calibre Long Range Sniper Weapon</v>
      </c>
      <c r="AQ196" s="1194">
        <f>VLOOKUP($I196,'Price List, Weapons &amp; Items'!B:L,COLUMN('Price List, Weapons &amp; Items'!$L$11)-1,0)</f>
        <v>1</v>
      </c>
      <c r="AR196" s="1194">
        <f t="shared" si="57"/>
        <v>1</v>
      </c>
      <c r="AS196" s="1194">
        <f t="shared" si="58"/>
        <v>1</v>
      </c>
      <c r="AT196" s="1194">
        <f t="shared" si="59"/>
        <v>1</v>
      </c>
      <c r="AU196" s="1194" t="str">
        <f t="shared" si="60"/>
        <v>.</v>
      </c>
      <c r="AV196" s="1194" t="str">
        <f t="shared" si="51"/>
        <v>.</v>
      </c>
      <c r="AW196" s="1194" t="str">
        <f t="shared" si="61"/>
        <v>.</v>
      </c>
      <c r="AX196" s="1194">
        <f>IFERROR(VLOOKUP(B196,'Share, Heavy Weapons to Ukraine'!B:Z,COLUMN('Share, Heavy Weapons to Ukraine'!C206)-1,0),0)</f>
        <v>1</v>
      </c>
      <c r="AY196" s="1194">
        <f>VLOOKUP('Bilateral Assistance, MAIN DATA'!B196,'Country Summary (€)'!B:F,COLUMN('Country Summary (€)'!C207)-1,FALSE)</f>
        <v>0</v>
      </c>
      <c r="AZ196" s="1194">
        <f>IF(AND(AD196=1,D196="Military",H196&lt;&gt;"Not given")=TRUE,IF(SUMIFS(P:P,A:A,A196)&gt;0,ABS((SUMIFS(P:P,A:A,A196)/VLOOKUP("USD",'Exchange Rates'!B:C,2,0)))/S196,"."),".")</f>
        <v>1.0000000000000002</v>
      </c>
      <c r="BA196" s="1196">
        <f>IF(AND(AD196=1,D196="Military",H196&lt;&gt;"Not given")=TRUE,IF(SUMIFS(P:P,A:A,A196)&gt;0,IF((ABS((SUMIFS(P:P,A:A,A196)/VLOOKUP("USD",'Exchange Rates'!B:C,2,0)))/S196)&gt;1,(SUMIFS(P:P,A:A,A196)-S196)/S196,(S196-SUMIFS(P:P,A:A,A196))/SUMIFS(P:P,A:A,A196)),"."),".")</f>
        <v>-7.9867500920132645E-2</v>
      </c>
    </row>
    <row r="197" spans="1:53" ht="15.95" customHeight="1">
      <c r="A197" s="1182" t="s">
        <v>897</v>
      </c>
      <c r="B197" s="1182" t="s">
        <v>713</v>
      </c>
      <c r="C197" s="1181">
        <v>45037</v>
      </c>
      <c r="D197" s="1182" t="s">
        <v>389</v>
      </c>
      <c r="E197" s="1182" t="s">
        <v>390</v>
      </c>
      <c r="F197" s="1183" t="s">
        <v>898</v>
      </c>
      <c r="G197" s="1184" t="s">
        <v>716</v>
      </c>
      <c r="H197" s="1185">
        <v>4500000</v>
      </c>
      <c r="I197" s="1180" t="s">
        <v>900</v>
      </c>
      <c r="J197" s="1186" t="str">
        <f>VLOOKUP($I197,'Price List, Weapons &amp; Items'!B:C,2,0)</f>
        <v>Humanitarian</v>
      </c>
      <c r="K197" s="1186" t="str">
        <f>IF(I197=".",I197,VLOOKUP($I197,'Price List, Weapons &amp; Items'!B:D,3,0))</f>
        <v>Humanitarian</v>
      </c>
      <c r="L197" s="1187">
        <f>VLOOKUP(I197,'Price List, Weapons &amp; Items'!B:E,4,0)</f>
        <v>0</v>
      </c>
      <c r="M197" s="1188">
        <v>16</v>
      </c>
      <c r="N197" s="1188" t="s">
        <v>374</v>
      </c>
      <c r="O197" s="1188">
        <f>VLOOKUP($I197,'Price List, Weapons &amp; Items'!B:G,6,0)</f>
        <v>92496.765847348011</v>
      </c>
      <c r="P197" s="1185">
        <f t="shared" si="52"/>
        <v>1479948.2535575682</v>
      </c>
      <c r="Q197" s="1185" t="str">
        <f t="shared" si="53"/>
        <v>.</v>
      </c>
      <c r="R197" s="1185" t="str">
        <f t="shared" si="49"/>
        <v/>
      </c>
      <c r="S197" s="1185" t="str">
        <f>IF(AND(AD197=1,R197&lt;&gt;".")=TRUE,R197/VLOOKUP(G197,'Exchange Rates'!B:C,2,0),IF(R197=".",".",""))</f>
        <v/>
      </c>
      <c r="T197" s="1185" t="str">
        <f>IF(AD197=1,IF(AF197="Value is not given at all",".",IF(AF197="Value is given by the source",S197,IF(AF197="Value is calculated with prices",(IF(SUMIFS(Q:Q,A:A,A197)&gt;0,SUMIFS(Q:Q,A:A,A197),"."))/VLOOKUP("USD",'Exchange Rates'!B:C,2,0),"Error with coding"))),"")</f>
        <v/>
      </c>
      <c r="U197" s="1184" t="s">
        <v>365</v>
      </c>
      <c r="V197" s="987" t="s">
        <v>892</v>
      </c>
      <c r="W197" s="987" t="s">
        <v>857</v>
      </c>
      <c r="X197" s="986" t="s">
        <v>364</v>
      </c>
      <c r="Y197" s="1190" t="s">
        <v>364</v>
      </c>
      <c r="Z197" s="1184">
        <v>0</v>
      </c>
      <c r="AA197" s="1191">
        <v>1</v>
      </c>
      <c r="AB197" s="987" t="s">
        <v>364</v>
      </c>
      <c r="AC197" s="1192" t="str">
        <f>""</f>
        <v/>
      </c>
      <c r="AD197" s="1193">
        <v>0</v>
      </c>
      <c r="AE197" s="1193" t="s">
        <v>368</v>
      </c>
      <c r="AF197" s="1193" t="s">
        <v>369</v>
      </c>
      <c r="AG197" s="1193">
        <v>1</v>
      </c>
      <c r="AH197" s="1193">
        <v>16</v>
      </c>
      <c r="AI197" s="1193">
        <v>0</v>
      </c>
      <c r="AJ197" s="1193">
        <f>VLOOKUP($I197,'Price List, Weapons &amp; Items'!B:F,5,0)</f>
        <v>0</v>
      </c>
      <c r="AK197" s="1193">
        <f t="shared" si="54"/>
        <v>0</v>
      </c>
      <c r="AL197" s="1193">
        <f t="shared" si="55"/>
        <v>0</v>
      </c>
      <c r="AM197" s="1193">
        <f t="shared" si="56"/>
        <v>0</v>
      </c>
      <c r="AN197" s="1194" t="str">
        <f>VLOOKUP($I197,'Price List, Weapons &amp; Items'!B:L,COLUMN('Price List, Weapons &amp; Items'!$J$11)-1,0)</f>
        <v>Government information</v>
      </c>
      <c r="AO197" s="1194" t="str">
        <f>IF(I197=".",".",VLOOKUP($I197,'Price List, Weapons &amp; Items'!B:J,3,0))</f>
        <v>Humanitarian</v>
      </c>
      <c r="AP197" s="1195" t="str">
        <f t="shared" ca="1" si="50"/>
        <v/>
      </c>
      <c r="AQ197" s="1194">
        <f>VLOOKUP($I197,'Price List, Weapons &amp; Items'!B:L,COLUMN('Price List, Weapons &amp; Items'!$L$11)-1,0)</f>
        <v>0</v>
      </c>
      <c r="AR197" s="1194">
        <f t="shared" si="57"/>
        <v>1</v>
      </c>
      <c r="AS197" s="1194">
        <f t="shared" si="58"/>
        <v>1</v>
      </c>
      <c r="AT197" s="1194">
        <f t="shared" si="59"/>
        <v>1</v>
      </c>
      <c r="AU197" s="1194" t="str">
        <f t="shared" si="60"/>
        <v>.</v>
      </c>
      <c r="AV197" s="1194" t="str">
        <f t="shared" si="51"/>
        <v>.</v>
      </c>
      <c r="AW197" s="1194" t="str">
        <f t="shared" si="61"/>
        <v>.</v>
      </c>
      <c r="AX197" s="1194">
        <f>IFERROR(VLOOKUP(B197,'Share, Heavy Weapons to Ukraine'!B:Z,COLUMN('Share, Heavy Weapons to Ukraine'!C207)-1,0),0)</f>
        <v>1</v>
      </c>
      <c r="AY197" s="1194">
        <f>VLOOKUP('Bilateral Assistance, MAIN DATA'!B197,'Country Summary (€)'!B:F,COLUMN('Country Summary (€)'!C208)-1,FALSE)</f>
        <v>0</v>
      </c>
      <c r="AZ197" s="1194" t="str">
        <f>IF(AND(AD197=1,D197="Military",H197&lt;&gt;"Not given")=TRUE,IF(SUMIFS(P:P,A:A,A197)&gt;0,ABS((SUMIFS(P:P,A:A,A197)/VLOOKUP("USD",'Exchange Rates'!B:C,2,0)))/S197,"."),".")</f>
        <v>.</v>
      </c>
      <c r="BA197" s="1196" t="str">
        <f>IF(AND(AD197=1,D197="Military",H197&lt;&gt;"Not given")=TRUE,IF(SUMIFS(P:P,A:A,A197)&gt;0,IF((ABS((SUMIFS(P:P,A:A,A197)/VLOOKUP("USD",'Exchange Rates'!B:C,2,0)))/S197)&gt;1,(SUMIFS(P:P,A:A,A197)-S197)/S197,(S197-SUMIFS(P:P,A:A,A197))/SUMIFS(P:P,A:A,A197)),"."),".")</f>
        <v>.</v>
      </c>
    </row>
    <row r="198" spans="1:53" ht="15.95" customHeight="1">
      <c r="A198" s="1182" t="s">
        <v>901</v>
      </c>
      <c r="B198" s="1182" t="s">
        <v>713</v>
      </c>
      <c r="C198" s="1181">
        <v>45071</v>
      </c>
      <c r="D198" s="1182" t="s">
        <v>389</v>
      </c>
      <c r="E198" s="1182" t="s">
        <v>390</v>
      </c>
      <c r="F198" s="1183" t="s">
        <v>902</v>
      </c>
      <c r="G198" s="1184" t="s">
        <v>716</v>
      </c>
      <c r="H198" s="1185" t="s">
        <v>457</v>
      </c>
      <c r="I198" s="1180" t="s">
        <v>903</v>
      </c>
      <c r="J198" s="1186" t="str">
        <f>VLOOKUP($I198,'Price List, Weapons &amp; Items'!B:C,2,0)</f>
        <v>Ammunition for heavy weapon</v>
      </c>
      <c r="K198" s="1186" t="str">
        <f>IF(I198=".",I198,VLOOKUP($I198,'Price List, Weapons &amp; Items'!B:D,3,0))</f>
        <v>Missile</v>
      </c>
      <c r="L198" s="1187">
        <f>VLOOKUP(I198,'Price List, Weapons &amp; Items'!B:E,4,0)</f>
        <v>0</v>
      </c>
      <c r="M198" s="1188">
        <v>43</v>
      </c>
      <c r="N198" s="1188">
        <v>43</v>
      </c>
      <c r="O198" s="1188">
        <f>VLOOKUP($I198,'Price List, Weapons &amp; Items'!B:G,6,0)</f>
        <v>454689.66</v>
      </c>
      <c r="P198" s="1185">
        <f t="shared" si="52"/>
        <v>19551655.379999999</v>
      </c>
      <c r="Q198" s="1185">
        <f t="shared" si="53"/>
        <v>19551655.379999999</v>
      </c>
      <c r="R198" s="1185">
        <f t="shared" si="49"/>
        <v>19551655.379999999</v>
      </c>
      <c r="S198" s="1185">
        <f>IF(AND(AD198=1,R198&lt;&gt;".")=TRUE,R198/VLOOKUP(G198,'Exchange Rates'!B:C,2,0),IF(R198=".",".",""))</f>
        <v>13312218.547014367</v>
      </c>
      <c r="T198" s="1185" t="str">
        <f>IF(AD198=1,IF(AF198="Value is not given at all",".",IF(AF198="Value is given by the source",S198,IF(AF198="Value is calculated with prices",(IF(SUMIFS(Q:Q,A:A,A198)&gt;0,SUMIFS(Q:Q,A:A,A198),"."))/VLOOKUP("USD",'Exchange Rates'!B:C,2,0),"Error with coding"))),"")</f>
        <v>.</v>
      </c>
      <c r="U198" s="1184" t="s">
        <v>365</v>
      </c>
      <c r="V198" s="987" t="s">
        <v>893</v>
      </c>
      <c r="W198" s="987" t="s">
        <v>857</v>
      </c>
      <c r="X198" s="986" t="s">
        <v>364</v>
      </c>
      <c r="Y198" s="1190" t="s">
        <v>364</v>
      </c>
      <c r="Z198" s="1184">
        <v>0</v>
      </c>
      <c r="AA198" s="1191">
        <v>1</v>
      </c>
      <c r="AB198" s="987" t="s">
        <v>364</v>
      </c>
      <c r="AC198" s="1192" t="str">
        <f>""</f>
        <v/>
      </c>
      <c r="AD198" s="1193">
        <v>1</v>
      </c>
      <c r="AE198" s="1193" t="s">
        <v>436</v>
      </c>
      <c r="AF198" s="1193" t="s">
        <v>369</v>
      </c>
      <c r="AG198" s="1193">
        <v>1</v>
      </c>
      <c r="AH198" s="1193">
        <v>17</v>
      </c>
      <c r="AI198" s="1193">
        <v>0</v>
      </c>
      <c r="AJ198" s="1193">
        <f>VLOOKUP($I198,'Price List, Weapons &amp; Items'!B:F,5,0)</f>
        <v>0</v>
      </c>
      <c r="AK198" s="1193">
        <f t="shared" si="54"/>
        <v>0</v>
      </c>
      <c r="AL198" s="1193">
        <f t="shared" si="55"/>
        <v>0</v>
      </c>
      <c r="AM198" s="1193">
        <f t="shared" si="56"/>
        <v>0</v>
      </c>
      <c r="AN198" s="1194" t="str">
        <f>VLOOKUP($I198,'Price List, Weapons &amp; Items'!B:L,COLUMN('Price List, Weapons &amp; Items'!$J$11)-1,0)</f>
        <v>Government information</v>
      </c>
      <c r="AO198" s="1194" t="str">
        <f>IF(I198=".",".",VLOOKUP($I198,'Price List, Weapons &amp; Items'!B:J,3,0))</f>
        <v>Missile</v>
      </c>
      <c r="AP198" s="1195" t="str">
        <f t="shared" ca="1" si="50"/>
        <v>AIM-9 missile</v>
      </c>
      <c r="AQ198" s="1194">
        <f>VLOOKUP($I198,'Price List, Weapons &amp; Items'!B:L,COLUMN('Price List, Weapons &amp; Items'!$L$11)-1,0)</f>
        <v>2</v>
      </c>
      <c r="AR198" s="1194">
        <f t="shared" si="57"/>
        <v>1</v>
      </c>
      <c r="AS198" s="1194">
        <f t="shared" si="58"/>
        <v>1</v>
      </c>
      <c r="AT198" s="1194">
        <f t="shared" si="59"/>
        <v>1</v>
      </c>
      <c r="AU198" s="1194" t="str">
        <f t="shared" si="60"/>
        <v>.</v>
      </c>
      <c r="AV198" s="1194" t="str">
        <f t="shared" si="51"/>
        <v>.</v>
      </c>
      <c r="AW198" s="1194" t="str">
        <f t="shared" si="61"/>
        <v>.</v>
      </c>
      <c r="AX198" s="1194">
        <f>IFERROR(VLOOKUP(B198,'Share, Heavy Weapons to Ukraine'!B:Z,COLUMN('Share, Heavy Weapons to Ukraine'!C208)-1,0),0)</f>
        <v>1</v>
      </c>
      <c r="AY198" s="1194">
        <f>VLOOKUP('Bilateral Assistance, MAIN DATA'!B198,'Country Summary (€)'!B:F,COLUMN('Country Summary (€)'!C209)-1,FALSE)</f>
        <v>0</v>
      </c>
      <c r="AZ198" s="1194" t="str">
        <f>IF(AND(AD198=1,D198="Military",H198&lt;&gt;"Not given")=TRUE,IF(SUMIFS(P:P,A:A,A198)&gt;0,ABS((SUMIFS(P:P,A:A,A198)/VLOOKUP("USD",'Exchange Rates'!B:C,2,0)))/S198,"."),".")</f>
        <v>.</v>
      </c>
      <c r="BA198" s="1196" t="str">
        <f>IF(AND(AD198=1,D198="Military",H198&lt;&gt;"Not given")=TRUE,IF(SUMIFS(P:P,A:A,A198)&gt;0,IF((ABS((SUMIFS(P:P,A:A,A198)/VLOOKUP("USD",'Exchange Rates'!B:C,2,0)))/S198)&gt;1,(SUMIFS(P:P,A:A,A198)-S198)/S198,(S198-SUMIFS(P:P,A:A,A198))/SUMIFS(P:P,A:A,A198)),"."),".")</f>
        <v>.</v>
      </c>
    </row>
    <row r="199" spans="1:53" ht="15.95" customHeight="1">
      <c r="A199" s="1180" t="s">
        <v>904</v>
      </c>
      <c r="B199" s="1180" t="s">
        <v>905</v>
      </c>
      <c r="C199" s="1181">
        <v>44629</v>
      </c>
      <c r="D199" s="1182" t="s">
        <v>360</v>
      </c>
      <c r="E199" s="1182" t="s">
        <v>361</v>
      </c>
      <c r="F199" s="1183" t="s">
        <v>906</v>
      </c>
      <c r="G199" s="1184" t="s">
        <v>907</v>
      </c>
      <c r="H199" s="1185">
        <v>5000000</v>
      </c>
      <c r="I199" s="1266" t="s">
        <v>364</v>
      </c>
      <c r="J199" s="1186" t="str">
        <f>VLOOKUP($I199,'Price List, Weapons &amp; Items'!B:C,2,0)</f>
        <v>.</v>
      </c>
      <c r="K199" s="1186" t="str">
        <f>IF(I199=".",I199,VLOOKUP($I199,'Price List, Weapons &amp; Items'!B:D,3,0))</f>
        <v>.</v>
      </c>
      <c r="L199" s="1187">
        <f>VLOOKUP(I199,'Price List, Weapons &amp; Items'!B:E,4,0)</f>
        <v>0</v>
      </c>
      <c r="M199" s="1188" t="s">
        <v>364</v>
      </c>
      <c r="N199" s="1188" t="s">
        <v>364</v>
      </c>
      <c r="O199" s="1188" t="str">
        <f>VLOOKUP($I199,'Price List, Weapons &amp; Items'!B:G,6,0)</f>
        <v>.</v>
      </c>
      <c r="P199" s="1185" t="str">
        <f t="shared" si="52"/>
        <v>.</v>
      </c>
      <c r="Q199" s="1185" t="str">
        <f t="shared" si="53"/>
        <v>.</v>
      </c>
      <c r="R199" s="1185">
        <f t="shared" si="49"/>
        <v>5000000</v>
      </c>
      <c r="S199" s="1185">
        <f>IF(AND(AD199=1,R199&lt;&gt;".")=TRUE,R199/VLOOKUP(G199,'Exchange Rates'!B:C,2,0),IF(R199=".",".",""))</f>
        <v>658345.18354663718</v>
      </c>
      <c r="T199" s="1185" t="str">
        <f>IF(AD199=1,IF(AF199="Value is not given at all",".",IF(AF199="Value is given by the source",S199,IF(AF199="Value is calculated with prices",(IF(SUMIFS(Q:Q,A:A,A199)&gt;0,SUMIFS(Q:Q,A:A,A199),"."))/VLOOKUP("USD",'Exchange Rates'!B:C,2,0),"Error with coding"))),"")</f>
        <v>.</v>
      </c>
      <c r="U199" s="1184" t="s">
        <v>365</v>
      </c>
      <c r="V199" s="971" t="s">
        <v>908</v>
      </c>
      <c r="W199" s="980" t="s">
        <v>909</v>
      </c>
      <c r="X199" s="1190" t="s">
        <v>364</v>
      </c>
      <c r="Y199" s="1190" t="s">
        <v>364</v>
      </c>
      <c r="Z199" s="1184">
        <v>0</v>
      </c>
      <c r="AA199" s="1194">
        <v>0</v>
      </c>
      <c r="AB199" s="1180" t="s">
        <v>364</v>
      </c>
      <c r="AC199" s="1192" t="str">
        <f>""</f>
        <v/>
      </c>
      <c r="AD199" s="985">
        <v>1</v>
      </c>
      <c r="AE199" s="985" t="s">
        <v>368</v>
      </c>
      <c r="AF199" s="985" t="s">
        <v>369</v>
      </c>
      <c r="AG199" s="985">
        <v>1</v>
      </c>
      <c r="AH199" s="1193">
        <v>3</v>
      </c>
      <c r="AI199" s="1193">
        <v>0</v>
      </c>
      <c r="AJ199" s="1193">
        <f>VLOOKUP($I199,'Price List, Weapons &amp; Items'!B:F,5,0)</f>
        <v>0</v>
      </c>
      <c r="AK199" s="1193">
        <f t="shared" si="54"/>
        <v>0</v>
      </c>
      <c r="AL199" s="1193">
        <f t="shared" si="55"/>
        <v>0</v>
      </c>
      <c r="AM199" s="1193">
        <f t="shared" si="56"/>
        <v>0</v>
      </c>
      <c r="AN199" s="1194" t="str">
        <f>VLOOKUP($I199,'Price List, Weapons &amp; Items'!B:L,COLUMN('Price List, Weapons &amp; Items'!$J$11)-1,0)</f>
        <v>.</v>
      </c>
      <c r="AO199" s="1194" t="str">
        <f>IF(I199=".",".",VLOOKUP($I199,'Price List, Weapons &amp; Items'!B:J,3,0))</f>
        <v>.</v>
      </c>
      <c r="AP199" s="1195" t="str">
        <f t="shared" ca="1" si="50"/>
        <v>.</v>
      </c>
      <c r="AQ199" s="1194">
        <f>VLOOKUP($I199,'Price List, Weapons &amp; Items'!B:L,COLUMN('Price List, Weapons &amp; Items'!$L$11)-1,0)</f>
        <v>0</v>
      </c>
      <c r="AR199" s="1194">
        <f t="shared" si="57"/>
        <v>1</v>
      </c>
      <c r="AS199" s="1194">
        <f t="shared" si="58"/>
        <v>0</v>
      </c>
      <c r="AT199" s="1194">
        <f t="shared" si="59"/>
        <v>1</v>
      </c>
      <c r="AU199" s="1194" t="str">
        <f t="shared" si="60"/>
        <v>.</v>
      </c>
      <c r="AV199" s="1194" t="str">
        <f t="shared" si="51"/>
        <v>.</v>
      </c>
      <c r="AW199" s="1194" t="str">
        <f t="shared" si="61"/>
        <v>.</v>
      </c>
      <c r="AX199" s="1194">
        <f>IFERROR(VLOOKUP(B199,'Share, Heavy Weapons to Ukraine'!B:Z,COLUMN('Share, Heavy Weapons to Ukraine'!C209)-1,0),0)</f>
        <v>0</v>
      </c>
      <c r="AY199" s="1194">
        <f>VLOOKUP('Bilateral Assistance, MAIN DATA'!B199,'Country Summary (€)'!B:F,COLUMN('Country Summary (€)'!C210)-1,FALSE)</f>
        <v>0</v>
      </c>
      <c r="AZ199" s="1194" t="str">
        <f>IF(AND(AD199=1,D199="Military",H199&lt;&gt;"Not given")=TRUE,IF(SUMIFS(P:P,A:A,A199)&gt;0,ABS((SUMIFS(P:P,A:A,A199)/VLOOKUP("USD",'Exchange Rates'!B:C,2,0)))/S199,"."),".")</f>
        <v>.</v>
      </c>
      <c r="BA199" s="1196" t="str">
        <f>IF(AND(AD199=1,D199="Military",H199&lt;&gt;"Not given")=TRUE,IF(SUMIFS(P:P,A:A,A199)&gt;0,IF((ABS((SUMIFS(P:P,A:A,A199)/VLOOKUP("USD",'Exchange Rates'!B:C,2,0)))/S199)&gt;1,(SUMIFS(P:P,A:A,A199)-S199)/S199,(S199-SUMIFS(P:P,A:A,A199))/SUMIFS(P:P,A:A,A199)),"."),".")</f>
        <v>.</v>
      </c>
    </row>
    <row r="200" spans="1:53" ht="15.95" customHeight="1">
      <c r="A200" s="1180" t="s">
        <v>910</v>
      </c>
      <c r="B200" s="1180" t="s">
        <v>905</v>
      </c>
      <c r="C200" s="1181">
        <v>44641</v>
      </c>
      <c r="D200" s="1182" t="s">
        <v>360</v>
      </c>
      <c r="E200" s="1182" t="s">
        <v>361</v>
      </c>
      <c r="F200" s="1183" t="s">
        <v>911</v>
      </c>
      <c r="G200" s="1184" t="s">
        <v>907</v>
      </c>
      <c r="H200" s="1185">
        <v>10000000</v>
      </c>
      <c r="I200" s="1266" t="s">
        <v>364</v>
      </c>
      <c r="J200" s="1186" t="str">
        <f>VLOOKUP($I200,'Price List, Weapons &amp; Items'!B:C,2,0)</f>
        <v>.</v>
      </c>
      <c r="K200" s="1186" t="str">
        <f>IF(I200=".",I200,VLOOKUP($I200,'Price List, Weapons &amp; Items'!B:D,3,0))</f>
        <v>.</v>
      </c>
      <c r="L200" s="1187">
        <f>VLOOKUP(I200,'Price List, Weapons &amp; Items'!B:E,4,0)</f>
        <v>0</v>
      </c>
      <c r="M200" s="1188" t="s">
        <v>364</v>
      </c>
      <c r="N200" s="1188" t="s">
        <v>364</v>
      </c>
      <c r="O200" s="1188" t="str">
        <f>VLOOKUP($I200,'Price List, Weapons &amp; Items'!B:G,6,0)</f>
        <v>.</v>
      </c>
      <c r="P200" s="1185" t="str">
        <f t="shared" si="52"/>
        <v>.</v>
      </c>
      <c r="Q200" s="1185" t="str">
        <f t="shared" si="53"/>
        <v>.</v>
      </c>
      <c r="R200" s="1185">
        <f t="shared" si="49"/>
        <v>10000000</v>
      </c>
      <c r="S200" s="1185">
        <f>IF(AND(AD200=1,R200&lt;&gt;".")=TRUE,R200/VLOOKUP(G200,'Exchange Rates'!B:C,2,0),IF(R200=".",".",""))</f>
        <v>1316690.3670932744</v>
      </c>
      <c r="T200" s="1185" t="str">
        <f>IF(AD200=1,IF(AF200="Value is not given at all",".",IF(AF200="Value is given by the source",S200,IF(AF200="Value is calculated with prices",(IF(SUMIFS(Q:Q,A:A,A200)&gt;0,SUMIFS(Q:Q,A:A,A200),"."))/VLOOKUP("USD",'Exchange Rates'!B:C,2,0),"Error with coding"))),"")</f>
        <v>.</v>
      </c>
      <c r="U200" s="1184" t="s">
        <v>365</v>
      </c>
      <c r="V200" s="971" t="s">
        <v>912</v>
      </c>
      <c r="W200" s="980" t="s">
        <v>909</v>
      </c>
      <c r="X200" s="1190" t="s">
        <v>364</v>
      </c>
      <c r="Y200" s="1190" t="s">
        <v>364</v>
      </c>
      <c r="Z200" s="1184">
        <v>0</v>
      </c>
      <c r="AA200" s="1194">
        <v>0</v>
      </c>
      <c r="AB200" s="1180" t="s">
        <v>364</v>
      </c>
      <c r="AC200" s="1192" t="str">
        <f>""</f>
        <v/>
      </c>
      <c r="AD200" s="985">
        <v>1</v>
      </c>
      <c r="AE200" s="985" t="s">
        <v>368</v>
      </c>
      <c r="AF200" s="985" t="s">
        <v>369</v>
      </c>
      <c r="AG200" s="985">
        <v>1</v>
      </c>
      <c r="AH200" s="1193">
        <v>3</v>
      </c>
      <c r="AI200" s="1193">
        <v>0</v>
      </c>
      <c r="AJ200" s="1193">
        <f>VLOOKUP($I200,'Price List, Weapons &amp; Items'!B:F,5,0)</f>
        <v>0</v>
      </c>
      <c r="AK200" s="1193">
        <f t="shared" si="54"/>
        <v>0</v>
      </c>
      <c r="AL200" s="1193">
        <f t="shared" si="55"/>
        <v>0</v>
      </c>
      <c r="AM200" s="1193">
        <f t="shared" si="56"/>
        <v>0</v>
      </c>
      <c r="AN200" s="1194" t="str">
        <f>VLOOKUP($I200,'Price List, Weapons &amp; Items'!B:L,COLUMN('Price List, Weapons &amp; Items'!$J$11)-1,0)</f>
        <v>.</v>
      </c>
      <c r="AO200" s="1194" t="str">
        <f>IF(I200=".",".",VLOOKUP($I200,'Price List, Weapons &amp; Items'!B:J,3,0))</f>
        <v>.</v>
      </c>
      <c r="AP200" s="1195" t="str">
        <f t="shared" ca="1" si="50"/>
        <v>.</v>
      </c>
      <c r="AQ200" s="1194">
        <f>VLOOKUP($I200,'Price List, Weapons &amp; Items'!B:L,COLUMN('Price List, Weapons &amp; Items'!$L$11)-1,0)</f>
        <v>0</v>
      </c>
      <c r="AR200" s="1194">
        <f t="shared" si="57"/>
        <v>1</v>
      </c>
      <c r="AS200" s="1194">
        <f t="shared" si="58"/>
        <v>0</v>
      </c>
      <c r="AT200" s="1194">
        <f t="shared" si="59"/>
        <v>1</v>
      </c>
      <c r="AU200" s="1194" t="str">
        <f t="shared" si="60"/>
        <v>.</v>
      </c>
      <c r="AV200" s="1194" t="str">
        <f t="shared" si="51"/>
        <v>.</v>
      </c>
      <c r="AW200" s="1194" t="str">
        <f t="shared" si="61"/>
        <v>.</v>
      </c>
      <c r="AX200" s="1194">
        <f>IFERROR(VLOOKUP(B200,'Share, Heavy Weapons to Ukraine'!B:Z,COLUMN('Share, Heavy Weapons to Ukraine'!C210)-1,0),0)</f>
        <v>0</v>
      </c>
      <c r="AY200" s="1194">
        <f>VLOOKUP('Bilateral Assistance, MAIN DATA'!B200,'Country Summary (€)'!B:F,COLUMN('Country Summary (€)'!C211)-1,FALSE)</f>
        <v>0</v>
      </c>
      <c r="AZ200" s="1194" t="str">
        <f>IF(AND(AD200=1,D200="Military",H200&lt;&gt;"Not given")=TRUE,IF(SUMIFS(P:P,A:A,A200)&gt;0,ABS((SUMIFS(P:P,A:A,A200)/VLOOKUP("USD",'Exchange Rates'!B:C,2,0)))/S200,"."),".")</f>
        <v>.</v>
      </c>
      <c r="BA200" s="1196" t="str">
        <f>IF(AND(AD200=1,D200="Military",H200&lt;&gt;"Not given")=TRUE,IF(SUMIFS(P:P,A:A,A200)&gt;0,IF((ABS((SUMIFS(P:P,A:A,A200)/VLOOKUP("USD",'Exchange Rates'!B:C,2,0)))/S200)&gt;1,(SUMIFS(P:P,A:A,A200)-S200)/S200,(S200-SUMIFS(P:P,A:A,A200))/SUMIFS(P:P,A:A,A200)),"."),".")</f>
        <v>.</v>
      </c>
    </row>
    <row r="201" spans="1:53" ht="15.95" customHeight="1">
      <c r="A201" s="1180" t="s">
        <v>913</v>
      </c>
      <c r="B201" s="1180" t="s">
        <v>905</v>
      </c>
      <c r="C201" s="1181">
        <v>44993</v>
      </c>
      <c r="D201" s="1182" t="s">
        <v>360</v>
      </c>
      <c r="E201" s="1182" t="s">
        <v>361</v>
      </c>
      <c r="F201" s="1183" t="s">
        <v>914</v>
      </c>
      <c r="G201" s="1184" t="s">
        <v>483</v>
      </c>
      <c r="H201" s="1185">
        <v>200000</v>
      </c>
      <c r="I201" s="1266" t="s">
        <v>364</v>
      </c>
      <c r="J201" s="1186" t="str">
        <f>VLOOKUP($I201,'Price List, Weapons &amp; Items'!B:C,2,0)</f>
        <v>.</v>
      </c>
      <c r="K201" s="1186" t="str">
        <f>IF(I201=".",I201,VLOOKUP($I201,'Price List, Weapons &amp; Items'!B:D,3,0))</f>
        <v>.</v>
      </c>
      <c r="L201" s="1187">
        <f>VLOOKUP(I201,'Price List, Weapons &amp; Items'!B:E,4,0)</f>
        <v>0</v>
      </c>
      <c r="M201" s="1188" t="s">
        <v>364</v>
      </c>
      <c r="N201" s="1188" t="s">
        <v>364</v>
      </c>
      <c r="O201" s="1188" t="str">
        <f>VLOOKUP($I201,'Price List, Weapons &amp; Items'!B:G,6,0)</f>
        <v>.</v>
      </c>
      <c r="P201" s="1185" t="str">
        <f t="shared" si="52"/>
        <v>.</v>
      </c>
      <c r="Q201" s="1185" t="str">
        <f t="shared" si="53"/>
        <v>.</v>
      </c>
      <c r="R201" s="1185">
        <f t="shared" si="49"/>
        <v>200000</v>
      </c>
      <c r="S201" s="1185">
        <f>IF(AND(AD201=1,R201&lt;&gt;".")=TRUE,R201/VLOOKUP(G201,'Exchange Rates'!B:C,2,0),IF(R201=".",".",""))</f>
        <v>200000</v>
      </c>
      <c r="T201" s="1185" t="str">
        <f>IF(AD201=1,IF(AF201="Value is not given at all",".",IF(AF201="Value is given by the source",S201,IF(AF201="Value is calculated with prices",(IF(SUMIFS(Q:Q,A:A,A201)&gt;0,SUMIFS(Q:Q,A:A,A201),"."))/VLOOKUP("USD",'Exchange Rates'!B:C,2,0),"Error with coding"))),"")</f>
        <v>.</v>
      </c>
      <c r="U201" s="1184" t="s">
        <v>365</v>
      </c>
      <c r="V201" s="980" t="s">
        <v>915</v>
      </c>
      <c r="W201" s="980" t="s">
        <v>916</v>
      </c>
      <c r="X201" s="1190" t="s">
        <v>364</v>
      </c>
      <c r="Y201" s="1190" t="s">
        <v>364</v>
      </c>
      <c r="Z201" s="1184">
        <v>0</v>
      </c>
      <c r="AA201" s="1194">
        <v>1</v>
      </c>
      <c r="AB201" s="1180" t="s">
        <v>364</v>
      </c>
      <c r="AC201" s="1192" t="str">
        <f>""</f>
        <v/>
      </c>
      <c r="AD201" s="985">
        <v>1</v>
      </c>
      <c r="AE201" s="985" t="s">
        <v>368</v>
      </c>
      <c r="AF201" s="985" t="s">
        <v>369</v>
      </c>
      <c r="AG201" s="985">
        <v>1</v>
      </c>
      <c r="AH201" s="1193">
        <v>15</v>
      </c>
      <c r="AI201" s="1193">
        <v>0</v>
      </c>
      <c r="AJ201" s="1193">
        <f>VLOOKUP($I201,'Price List, Weapons &amp; Items'!B:F,5,0)</f>
        <v>0</v>
      </c>
      <c r="AK201" s="1193">
        <f t="shared" si="54"/>
        <v>0</v>
      </c>
      <c r="AL201" s="1193">
        <f t="shared" si="55"/>
        <v>0</v>
      </c>
      <c r="AM201" s="1193">
        <f t="shared" si="56"/>
        <v>0</v>
      </c>
      <c r="AN201" s="1194" t="str">
        <f>VLOOKUP($I201,'Price List, Weapons &amp; Items'!B:L,COLUMN('Price List, Weapons &amp; Items'!$J$11)-1,0)</f>
        <v>.</v>
      </c>
      <c r="AO201" s="1194" t="str">
        <f>IF(I201=".",".",VLOOKUP($I201,'Price List, Weapons &amp; Items'!B:J,3,0))</f>
        <v>.</v>
      </c>
      <c r="AP201" s="1195" t="str">
        <f t="shared" ca="1" si="50"/>
        <v>.</v>
      </c>
      <c r="AQ201" s="1194">
        <f>VLOOKUP($I201,'Price List, Weapons &amp; Items'!B:L,COLUMN('Price List, Weapons &amp; Items'!$L$11)-1,0)</f>
        <v>0</v>
      </c>
      <c r="AR201" s="1194">
        <f t="shared" si="57"/>
        <v>1</v>
      </c>
      <c r="AS201" s="1194">
        <f t="shared" si="58"/>
        <v>0</v>
      </c>
      <c r="AT201" s="1194">
        <f t="shared" si="59"/>
        <v>1</v>
      </c>
      <c r="AU201" s="1194" t="str">
        <f t="shared" si="60"/>
        <v>.</v>
      </c>
      <c r="AV201" s="1194" t="str">
        <f t="shared" si="51"/>
        <v>.</v>
      </c>
      <c r="AW201" s="1194" t="str">
        <f t="shared" si="61"/>
        <v>.</v>
      </c>
      <c r="AX201" s="1194">
        <f>IFERROR(VLOOKUP(B201,'Share, Heavy Weapons to Ukraine'!B:Z,COLUMN('Share, Heavy Weapons to Ukraine'!C211)-1,0),0)</f>
        <v>0</v>
      </c>
      <c r="AY201" s="1194">
        <f>VLOOKUP('Bilateral Assistance, MAIN DATA'!B201,'Country Summary (€)'!B:F,COLUMN('Country Summary (€)'!C212)-1,FALSE)</f>
        <v>0</v>
      </c>
      <c r="AZ201" s="1194" t="str">
        <f>IF(AND(AD201=1,D201="Military",H201&lt;&gt;"Not given")=TRUE,IF(SUMIFS(P:P,A:A,A201)&gt;0,ABS((SUMIFS(P:P,A:A,A201)/VLOOKUP("USD",'Exchange Rates'!B:C,2,0)))/S201,"."),".")</f>
        <v>.</v>
      </c>
      <c r="BA201" s="1196" t="str">
        <f>IF(AND(AD201=1,D201="Military",H201&lt;&gt;"Not given")=TRUE,IF(SUMIFS(P:P,A:A,A201)&gt;0,IF((ABS((SUMIFS(P:P,A:A,A201)/VLOOKUP("USD",'Exchange Rates'!B:C,2,0)))/S201)&gt;1,(SUMIFS(P:P,A:A,A201)-S201)/S201,(S201-SUMIFS(P:P,A:A,A201))/SUMIFS(P:P,A:A,A201)),"."),".")</f>
        <v>.</v>
      </c>
    </row>
    <row r="202" spans="1:53" ht="15.95" customHeight="1">
      <c r="A202" s="1180" t="s">
        <v>917</v>
      </c>
      <c r="B202" s="1180" t="s">
        <v>918</v>
      </c>
      <c r="C202" s="1181">
        <v>44616</v>
      </c>
      <c r="D202" s="1182" t="s">
        <v>360</v>
      </c>
      <c r="E202" s="1182" t="s">
        <v>371</v>
      </c>
      <c r="F202" s="1183" t="s">
        <v>919</v>
      </c>
      <c r="G202" s="1184" t="s">
        <v>920</v>
      </c>
      <c r="H202" s="1185">
        <v>9100000</v>
      </c>
      <c r="I202" s="1180" t="s">
        <v>364</v>
      </c>
      <c r="J202" s="1186" t="str">
        <f>VLOOKUP($I202,'Price List, Weapons &amp; Items'!B:C,2,0)</f>
        <v>.</v>
      </c>
      <c r="K202" s="1186" t="str">
        <f>IF(I202=".",I202,VLOOKUP($I202,'Price List, Weapons &amp; Items'!B:D,3,0))</f>
        <v>.</v>
      </c>
      <c r="L202" s="1187">
        <f>VLOOKUP(I202,'Price List, Weapons &amp; Items'!B:E,4,0)</f>
        <v>0</v>
      </c>
      <c r="M202" s="1188" t="s">
        <v>364</v>
      </c>
      <c r="N202" s="1188" t="s">
        <v>364</v>
      </c>
      <c r="O202" s="1188" t="str">
        <f>VLOOKUP($I202,'Price List, Weapons &amp; Items'!B:G,6,0)</f>
        <v>.</v>
      </c>
      <c r="P202" s="1185" t="str">
        <f t="shared" si="52"/>
        <v>.</v>
      </c>
      <c r="Q202" s="1185" t="str">
        <f t="shared" si="53"/>
        <v>.</v>
      </c>
      <c r="R202" s="1185">
        <f t="shared" si="49"/>
        <v>9100000</v>
      </c>
      <c r="S202" s="1185">
        <f>IF(AND(AD202=1,R202&lt;&gt;".")=TRUE,R202/VLOOKUP(G202,'Exchange Rates'!B:C,2,0),IF(R202=".",".",""))</f>
        <v>1206896.551724138</v>
      </c>
      <c r="T202" s="1185" t="str">
        <f>IF(AD202=1,IF(AF202="Value is not given at all",".",IF(AF202="Value is given by the source",S202,IF(AF202="Value is calculated with prices",(IF(SUMIFS(Q:Q,A:A,A202)&gt;0,SUMIFS(Q:Q,A:A,A202),"."))/VLOOKUP("USD",'Exchange Rates'!B:C,2,0),"Error with coding"))),"")</f>
        <v>.</v>
      </c>
      <c r="U202" s="1184" t="s">
        <v>365</v>
      </c>
      <c r="V202" s="971" t="s">
        <v>921</v>
      </c>
      <c r="W202" s="971" t="s">
        <v>922</v>
      </c>
      <c r="X202" s="971" t="s">
        <v>923</v>
      </c>
      <c r="Y202" s="1190" t="s">
        <v>364</v>
      </c>
      <c r="Z202" s="1184">
        <v>0</v>
      </c>
      <c r="AA202" s="1194">
        <v>0</v>
      </c>
      <c r="AB202" s="1201" t="s">
        <v>364</v>
      </c>
      <c r="AC202" s="1192" t="str">
        <f>""</f>
        <v/>
      </c>
      <c r="AD202" s="1193">
        <v>1</v>
      </c>
      <c r="AE202" s="1193" t="s">
        <v>368</v>
      </c>
      <c r="AF202" s="1193" t="s">
        <v>369</v>
      </c>
      <c r="AG202" s="1193">
        <v>1</v>
      </c>
      <c r="AH202" s="1193">
        <v>2</v>
      </c>
      <c r="AI202" s="1193">
        <v>0</v>
      </c>
      <c r="AJ202" s="1193">
        <f>VLOOKUP($I202,'Price List, Weapons &amp; Items'!B:F,5,0)</f>
        <v>0</v>
      </c>
      <c r="AK202" s="1193">
        <f t="shared" si="54"/>
        <v>0</v>
      </c>
      <c r="AL202" s="1193">
        <f t="shared" si="55"/>
        <v>0</v>
      </c>
      <c r="AM202" s="1193">
        <f t="shared" si="56"/>
        <v>0</v>
      </c>
      <c r="AN202" s="1194" t="str">
        <f>VLOOKUP($I202,'Price List, Weapons &amp; Items'!B:L,COLUMN('Price List, Weapons &amp; Items'!$J$11)-1,0)</f>
        <v>.</v>
      </c>
      <c r="AO202" s="1194" t="str">
        <f>IF(I202=".",".",VLOOKUP($I202,'Price List, Weapons &amp; Items'!B:J,3,0))</f>
        <v>.</v>
      </c>
      <c r="AP202" s="1195" t="str">
        <f t="shared" ca="1" si="50"/>
        <v>.</v>
      </c>
      <c r="AQ202" s="1194">
        <f>VLOOKUP($I202,'Price List, Weapons &amp; Items'!B:L,COLUMN('Price List, Weapons &amp; Items'!$L$11)-1,0)</f>
        <v>0</v>
      </c>
      <c r="AR202" s="1194">
        <f t="shared" si="57"/>
        <v>1</v>
      </c>
      <c r="AS202" s="1194">
        <f t="shared" si="58"/>
        <v>0</v>
      </c>
      <c r="AT202" s="1194">
        <f t="shared" si="59"/>
        <v>1</v>
      </c>
      <c r="AU202" s="1194" t="str">
        <f t="shared" si="60"/>
        <v>.</v>
      </c>
      <c r="AV202" s="1194" t="str">
        <f t="shared" si="51"/>
        <v>.</v>
      </c>
      <c r="AW202" s="1194" t="str">
        <f t="shared" si="61"/>
        <v>.</v>
      </c>
      <c r="AX202" s="1194">
        <f>IFERROR(VLOOKUP(B202,'Share, Heavy Weapons to Ukraine'!B:Z,COLUMN('Share, Heavy Weapons to Ukraine'!C212)-1,0),0)</f>
        <v>0</v>
      </c>
      <c r="AY202" s="1194">
        <f>VLOOKUP('Bilateral Assistance, MAIN DATA'!B202,'Country Summary (€)'!B:F,COLUMN('Country Summary (€)'!C213)-1,FALSE)</f>
        <v>1</v>
      </c>
      <c r="AZ202" s="1194" t="str">
        <f>IF(AND(AD202=1,D202="Military",H202&lt;&gt;"Not given")=TRUE,IF(SUMIFS(P:P,A:A,A202)&gt;0,ABS((SUMIFS(P:P,A:A,A202)/VLOOKUP("USD",'Exchange Rates'!B:C,2,0)))/S202,"."),".")</f>
        <v>.</v>
      </c>
      <c r="BA202" s="1196" t="str">
        <f>IF(AND(AD202=1,D202="Military",H202&lt;&gt;"Not given")=TRUE,IF(SUMIFS(P:P,A:A,A202)&gt;0,IF((ABS((SUMIFS(P:P,A:A,A202)/VLOOKUP("USD",'Exchange Rates'!B:C,2,0)))/S202)&gt;1,(SUMIFS(P:P,A:A,A202)-S202)/S202,(S202-SUMIFS(P:P,A:A,A202))/SUMIFS(P:P,A:A,A202)),"."),".")</f>
        <v>.</v>
      </c>
    </row>
    <row r="203" spans="1:53" ht="15.95" customHeight="1">
      <c r="A203" s="1180" t="s">
        <v>924</v>
      </c>
      <c r="B203" s="1180" t="s">
        <v>918</v>
      </c>
      <c r="C203" s="1181">
        <v>44659</v>
      </c>
      <c r="D203" s="1182" t="s">
        <v>360</v>
      </c>
      <c r="E203" s="1182" t="s">
        <v>371</v>
      </c>
      <c r="F203" s="1183" t="s">
        <v>925</v>
      </c>
      <c r="G203" s="1184" t="s">
        <v>920</v>
      </c>
      <c r="H203" s="1185">
        <v>1516800</v>
      </c>
      <c r="I203" s="1180" t="s">
        <v>364</v>
      </c>
      <c r="J203" s="1186" t="str">
        <f>VLOOKUP($I203,'Price List, Weapons &amp; Items'!B:C,2,0)</f>
        <v>.</v>
      </c>
      <c r="K203" s="1186" t="str">
        <f>IF(I203=".",I203,VLOOKUP($I203,'Price List, Weapons &amp; Items'!B:D,3,0))</f>
        <v>.</v>
      </c>
      <c r="L203" s="1187">
        <f>VLOOKUP(I203,'Price List, Weapons &amp; Items'!B:E,4,0)</f>
        <v>0</v>
      </c>
      <c r="M203" s="1188" t="s">
        <v>364</v>
      </c>
      <c r="N203" s="1188" t="s">
        <v>364</v>
      </c>
      <c r="O203" s="1188" t="str">
        <f>VLOOKUP($I203,'Price List, Weapons &amp; Items'!B:G,6,0)</f>
        <v>.</v>
      </c>
      <c r="P203" s="1185" t="str">
        <f t="shared" si="52"/>
        <v>.</v>
      </c>
      <c r="Q203" s="1185" t="str">
        <f t="shared" si="53"/>
        <v>.</v>
      </c>
      <c r="R203" s="1185">
        <f t="shared" si="49"/>
        <v>1516800</v>
      </c>
      <c r="S203" s="1185">
        <f>IF(AND(AD203=1,R203&lt;&gt;".")=TRUE,R203/VLOOKUP(G203,'Exchange Rates'!B:C,2,0),IF(R203=".",".",""))</f>
        <v>201167.10875331564</v>
      </c>
      <c r="T203" s="1185" t="str">
        <f>IF(AD203=1,IF(AF203="Value is not given at all",".",IF(AF203="Value is given by the source",S203,IF(AF203="Value is calculated with prices",(IF(SUMIFS(Q:Q,A:A,A203)&gt;0,SUMIFS(Q:Q,A:A,A203),"."))/VLOOKUP("USD",'Exchange Rates'!B:C,2,0),"Error with coding"))),"")</f>
        <v>.</v>
      </c>
      <c r="U203" s="1184" t="s">
        <v>365</v>
      </c>
      <c r="V203" s="971" t="s">
        <v>926</v>
      </c>
      <c r="W203" s="971" t="s">
        <v>927</v>
      </c>
      <c r="X203" s="1219" t="s">
        <v>364</v>
      </c>
      <c r="Y203" s="1190" t="s">
        <v>364</v>
      </c>
      <c r="Z203" s="1184">
        <v>0</v>
      </c>
      <c r="AA203" s="1194">
        <v>0</v>
      </c>
      <c r="AB203" s="1201" t="s">
        <v>364</v>
      </c>
      <c r="AC203" s="1192" t="str">
        <f>""</f>
        <v/>
      </c>
      <c r="AD203" s="1193">
        <v>1</v>
      </c>
      <c r="AE203" s="1193" t="s">
        <v>368</v>
      </c>
      <c r="AF203" s="1193" t="s">
        <v>369</v>
      </c>
      <c r="AG203" s="1193">
        <v>1</v>
      </c>
      <c r="AH203" s="1193">
        <v>4</v>
      </c>
      <c r="AI203" s="1193">
        <v>0</v>
      </c>
      <c r="AJ203" s="1193">
        <f>VLOOKUP($I203,'Price List, Weapons &amp; Items'!B:F,5,0)</f>
        <v>0</v>
      </c>
      <c r="AK203" s="1193">
        <f t="shared" si="54"/>
        <v>0</v>
      </c>
      <c r="AL203" s="1193">
        <f t="shared" si="55"/>
        <v>0</v>
      </c>
      <c r="AM203" s="1193">
        <f t="shared" si="56"/>
        <v>0</v>
      </c>
      <c r="AN203" s="1194" t="str">
        <f>VLOOKUP($I203,'Price List, Weapons &amp; Items'!B:L,COLUMN('Price List, Weapons &amp; Items'!$J$11)-1,0)</f>
        <v>.</v>
      </c>
      <c r="AO203" s="1194" t="str">
        <f>IF(I203=".",".",VLOOKUP($I203,'Price List, Weapons &amp; Items'!B:J,3,0))</f>
        <v>.</v>
      </c>
      <c r="AP203" s="1195" t="str">
        <f t="shared" ca="1" si="50"/>
        <v>.</v>
      </c>
      <c r="AQ203" s="1194">
        <f>VLOOKUP($I203,'Price List, Weapons &amp; Items'!B:L,COLUMN('Price List, Weapons &amp; Items'!$L$11)-1,0)</f>
        <v>0</v>
      </c>
      <c r="AR203" s="1194">
        <f t="shared" si="57"/>
        <v>1</v>
      </c>
      <c r="AS203" s="1194">
        <f t="shared" si="58"/>
        <v>0</v>
      </c>
      <c r="AT203" s="1194">
        <f t="shared" si="59"/>
        <v>1</v>
      </c>
      <c r="AU203" s="1194" t="str">
        <f t="shared" si="60"/>
        <v>.</v>
      </c>
      <c r="AV203" s="1194" t="str">
        <f t="shared" si="51"/>
        <v>.</v>
      </c>
      <c r="AW203" s="1194" t="str">
        <f t="shared" si="61"/>
        <v>.</v>
      </c>
      <c r="AX203" s="1194">
        <f>IFERROR(VLOOKUP(B203,'Share, Heavy Weapons to Ukraine'!B:Z,COLUMN('Share, Heavy Weapons to Ukraine'!C213)-1,0),0)</f>
        <v>0</v>
      </c>
      <c r="AY203" s="1194">
        <f>VLOOKUP('Bilateral Assistance, MAIN DATA'!B203,'Country Summary (€)'!B:F,COLUMN('Country Summary (€)'!C214)-1,FALSE)</f>
        <v>1</v>
      </c>
      <c r="AZ203" s="1194" t="str">
        <f>IF(AND(AD203=1,D203="Military",H203&lt;&gt;"Not given")=TRUE,IF(SUMIFS(P:P,A:A,A203)&gt;0,ABS((SUMIFS(P:P,A:A,A203)/VLOOKUP("USD",'Exchange Rates'!B:C,2,0)))/S203,"."),".")</f>
        <v>.</v>
      </c>
      <c r="BA203" s="1196" t="str">
        <f>IF(AND(AD203=1,D203="Military",H203&lt;&gt;"Not given")=TRUE,IF(SUMIFS(P:P,A:A,A203)&gt;0,IF((ABS((SUMIFS(P:P,A:A,A203)/VLOOKUP("USD",'Exchange Rates'!B:C,2,0)))/S203)&gt;1,(SUMIFS(P:P,A:A,A203)-S203)/S203,(S203-SUMIFS(P:P,A:A,A203))/SUMIFS(P:P,A:A,A203)),"."),".")</f>
        <v>.</v>
      </c>
    </row>
    <row r="204" spans="1:53" ht="15.95" customHeight="1">
      <c r="A204" s="1180" t="s">
        <v>928</v>
      </c>
      <c r="B204" s="1180" t="s">
        <v>918</v>
      </c>
      <c r="C204" s="1181">
        <v>44686</v>
      </c>
      <c r="D204" s="1182" t="s">
        <v>360</v>
      </c>
      <c r="E204" s="1182" t="s">
        <v>361</v>
      </c>
      <c r="F204" s="1183" t="s">
        <v>929</v>
      </c>
      <c r="G204" s="1184" t="s">
        <v>483</v>
      </c>
      <c r="H204" s="1185">
        <v>5000000</v>
      </c>
      <c r="I204" s="1180" t="s">
        <v>364</v>
      </c>
      <c r="J204" s="1186" t="str">
        <f>VLOOKUP($I204,'Price List, Weapons &amp; Items'!B:C,2,0)</f>
        <v>.</v>
      </c>
      <c r="K204" s="1186" t="str">
        <f>IF(I204=".",I204,VLOOKUP($I204,'Price List, Weapons &amp; Items'!B:D,3,0))</f>
        <v>.</v>
      </c>
      <c r="L204" s="1187">
        <f>VLOOKUP(I204,'Price List, Weapons &amp; Items'!B:E,4,0)</f>
        <v>0</v>
      </c>
      <c r="M204" s="1188" t="s">
        <v>364</v>
      </c>
      <c r="N204" s="1188" t="s">
        <v>364</v>
      </c>
      <c r="O204" s="1188" t="str">
        <f>VLOOKUP($I204,'Price List, Weapons &amp; Items'!B:G,6,0)</f>
        <v>.</v>
      </c>
      <c r="P204" s="1185" t="str">
        <f t="shared" si="52"/>
        <v>.</v>
      </c>
      <c r="Q204" s="1185" t="str">
        <f t="shared" si="53"/>
        <v>.</v>
      </c>
      <c r="R204" s="1185">
        <f t="shared" si="49"/>
        <v>5000000</v>
      </c>
      <c r="S204" s="1185">
        <f>IF(AND(AD204=1,R204&lt;&gt;".")=TRUE,R204/VLOOKUP(G204,'Exchange Rates'!B:C,2,0),IF(R204=".",".",""))</f>
        <v>5000000</v>
      </c>
      <c r="T204" s="1185" t="str">
        <f>IF(AD204=1,IF(AF204="Value is not given at all",".",IF(AF204="Value is given by the source",S204,IF(AF204="Value is calculated with prices",(IF(SUMIFS(Q:Q,A:A,A204)&gt;0,SUMIFS(Q:Q,A:A,A204),"."))/VLOOKUP("USD",'Exchange Rates'!B:C,2,0),"Error with coding"))),"")</f>
        <v>.</v>
      </c>
      <c r="U204" s="1184" t="s">
        <v>365</v>
      </c>
      <c r="V204" s="971" t="s">
        <v>930</v>
      </c>
      <c r="W204" s="971" t="s">
        <v>931</v>
      </c>
      <c r="X204" s="971" t="s">
        <v>932</v>
      </c>
      <c r="Y204" s="1190" t="s">
        <v>364</v>
      </c>
      <c r="Z204" s="1184">
        <v>0</v>
      </c>
      <c r="AA204" s="1194">
        <v>0</v>
      </c>
      <c r="AB204" s="1201" t="s">
        <v>364</v>
      </c>
      <c r="AC204" s="1192" t="str">
        <f>""</f>
        <v/>
      </c>
      <c r="AD204" s="1193">
        <v>1</v>
      </c>
      <c r="AE204" s="1193" t="s">
        <v>368</v>
      </c>
      <c r="AF204" s="1193" t="s">
        <v>369</v>
      </c>
      <c r="AG204" s="1193">
        <v>1</v>
      </c>
      <c r="AH204" s="1193">
        <v>5</v>
      </c>
      <c r="AI204" s="1193">
        <v>0</v>
      </c>
      <c r="AJ204" s="1193">
        <f>VLOOKUP($I204,'Price List, Weapons &amp; Items'!B:F,5,0)</f>
        <v>0</v>
      </c>
      <c r="AK204" s="1193">
        <f t="shared" si="54"/>
        <v>0</v>
      </c>
      <c r="AL204" s="1193">
        <f t="shared" si="55"/>
        <v>0</v>
      </c>
      <c r="AM204" s="1193">
        <f t="shared" si="56"/>
        <v>0</v>
      </c>
      <c r="AN204" s="1194" t="str">
        <f>VLOOKUP($I204,'Price List, Weapons &amp; Items'!B:L,COLUMN('Price List, Weapons &amp; Items'!$J$11)-1,0)</f>
        <v>.</v>
      </c>
      <c r="AO204" s="1194" t="str">
        <f>IF(I204=".",".",VLOOKUP($I204,'Price List, Weapons &amp; Items'!B:J,3,0))</f>
        <v>.</v>
      </c>
      <c r="AP204" s="1195" t="str">
        <f t="shared" ca="1" si="50"/>
        <v>.</v>
      </c>
      <c r="AQ204" s="1194">
        <f>VLOOKUP($I204,'Price List, Weapons &amp; Items'!B:L,COLUMN('Price List, Weapons &amp; Items'!$L$11)-1,0)</f>
        <v>0</v>
      </c>
      <c r="AR204" s="1194">
        <f t="shared" si="57"/>
        <v>1</v>
      </c>
      <c r="AS204" s="1194">
        <f t="shared" si="58"/>
        <v>0</v>
      </c>
      <c r="AT204" s="1194">
        <f t="shared" si="59"/>
        <v>1</v>
      </c>
      <c r="AU204" s="1194" t="str">
        <f t="shared" si="60"/>
        <v>.</v>
      </c>
      <c r="AV204" s="1194" t="str">
        <f t="shared" si="51"/>
        <v>.</v>
      </c>
      <c r="AW204" s="1194" t="str">
        <f t="shared" si="61"/>
        <v>.</v>
      </c>
      <c r="AX204" s="1194">
        <f>IFERROR(VLOOKUP(B204,'Share, Heavy Weapons to Ukraine'!B:Z,COLUMN('Share, Heavy Weapons to Ukraine'!C214)-1,0),0)</f>
        <v>0</v>
      </c>
      <c r="AY204" s="1194">
        <f>VLOOKUP('Bilateral Assistance, MAIN DATA'!B204,'Country Summary (€)'!B:F,COLUMN('Country Summary (€)'!C215)-1,FALSE)</f>
        <v>1</v>
      </c>
      <c r="AZ204" s="1194" t="str">
        <f>IF(AND(AD204=1,D204="Military",H204&lt;&gt;"Not given")=TRUE,IF(SUMIFS(P:P,A:A,A204)&gt;0,ABS((SUMIFS(P:P,A:A,A204)/VLOOKUP("USD",'Exchange Rates'!B:C,2,0)))/S204,"."),".")</f>
        <v>.</v>
      </c>
      <c r="BA204" s="1196" t="str">
        <f>IF(AND(AD204=1,D204="Military",H204&lt;&gt;"Not given")=TRUE,IF(SUMIFS(P:P,A:A,A204)&gt;0,IF((ABS((SUMIFS(P:P,A:A,A204)/VLOOKUP("USD",'Exchange Rates'!B:C,2,0)))/S204)&gt;1,(SUMIFS(P:P,A:A,A204)-S204)/S204,(S204-SUMIFS(P:P,A:A,A204))/SUMIFS(P:P,A:A,A204)),"."),".")</f>
        <v>.</v>
      </c>
    </row>
    <row r="205" spans="1:53" ht="15.95" customHeight="1">
      <c r="A205" s="1180" t="s">
        <v>933</v>
      </c>
      <c r="B205" s="1180" t="s">
        <v>918</v>
      </c>
      <c r="C205" s="1181">
        <v>44718</v>
      </c>
      <c r="D205" s="1182" t="s">
        <v>360</v>
      </c>
      <c r="E205" s="1182" t="s">
        <v>371</v>
      </c>
      <c r="F205" s="1183" t="s">
        <v>934</v>
      </c>
      <c r="G205" s="1184" t="s">
        <v>483</v>
      </c>
      <c r="H205" s="1185">
        <v>33000</v>
      </c>
      <c r="I205" s="1180" t="s">
        <v>364</v>
      </c>
      <c r="J205" s="1186" t="str">
        <f>VLOOKUP($I205,'Price List, Weapons &amp; Items'!B:C,2,0)</f>
        <v>.</v>
      </c>
      <c r="K205" s="1186" t="str">
        <f>IF(I205=".",I205,VLOOKUP($I205,'Price List, Weapons &amp; Items'!B:D,3,0))</f>
        <v>.</v>
      </c>
      <c r="L205" s="1187">
        <f>VLOOKUP(I205,'Price List, Weapons &amp; Items'!B:E,4,0)</f>
        <v>0</v>
      </c>
      <c r="M205" s="1188" t="s">
        <v>364</v>
      </c>
      <c r="N205" s="1188" t="s">
        <v>364</v>
      </c>
      <c r="O205" s="1188" t="str">
        <f>VLOOKUP($I205,'Price List, Weapons &amp; Items'!B:G,6,0)</f>
        <v>.</v>
      </c>
      <c r="P205" s="1185" t="str">
        <f t="shared" si="52"/>
        <v>.</v>
      </c>
      <c r="Q205" s="1185" t="str">
        <f t="shared" si="53"/>
        <v>.</v>
      </c>
      <c r="R205" s="1185">
        <f t="shared" si="49"/>
        <v>33000</v>
      </c>
      <c r="S205" s="1185">
        <f>IF(AND(AD205=1,R205&lt;&gt;".")=TRUE,R205/VLOOKUP(G205,'Exchange Rates'!B:C,2,0),IF(R205=".",".",""))</f>
        <v>33000</v>
      </c>
      <c r="T205" s="1185" t="str">
        <f>IF(AD205=1,IF(AF205="Value is not given at all",".",IF(AF205="Value is given by the source",S205,IF(AF205="Value is calculated with prices",(IF(SUMIFS(Q:Q,A:A,A205)&gt;0,SUMIFS(Q:Q,A:A,A205),"."))/VLOOKUP("USD",'Exchange Rates'!B:C,2,0),"Error with coding"))),"")</f>
        <v>.</v>
      </c>
      <c r="U205" s="1184" t="s">
        <v>675</v>
      </c>
      <c r="V205" s="971" t="s">
        <v>935</v>
      </c>
      <c r="W205" s="980" t="s">
        <v>936</v>
      </c>
      <c r="X205" s="1190" t="s">
        <v>364</v>
      </c>
      <c r="Y205" s="1190" t="s">
        <v>364</v>
      </c>
      <c r="Z205" s="1184">
        <v>0</v>
      </c>
      <c r="AA205" s="1194">
        <v>0</v>
      </c>
      <c r="AB205" s="1180" t="s">
        <v>364</v>
      </c>
      <c r="AC205" s="1192" t="str">
        <f>""</f>
        <v/>
      </c>
      <c r="AD205" s="985">
        <v>1</v>
      </c>
      <c r="AE205" s="985" t="s">
        <v>368</v>
      </c>
      <c r="AF205" s="985" t="s">
        <v>369</v>
      </c>
      <c r="AG205" s="985">
        <v>1</v>
      </c>
      <c r="AH205" s="1193">
        <v>6</v>
      </c>
      <c r="AI205" s="1193">
        <v>0</v>
      </c>
      <c r="AJ205" s="1193">
        <f>VLOOKUP($I205,'Price List, Weapons &amp; Items'!B:F,5,0)</f>
        <v>0</v>
      </c>
      <c r="AK205" s="1193">
        <f t="shared" si="54"/>
        <v>0</v>
      </c>
      <c r="AL205" s="1193">
        <f t="shared" si="55"/>
        <v>0</v>
      </c>
      <c r="AM205" s="1193">
        <f t="shared" si="56"/>
        <v>0</v>
      </c>
      <c r="AN205" s="1194" t="str">
        <f>VLOOKUP($I205,'Price List, Weapons &amp; Items'!B:L,COLUMN('Price List, Weapons &amp; Items'!$J$11)-1,0)</f>
        <v>.</v>
      </c>
      <c r="AO205" s="1194" t="str">
        <f>IF(I205=".",".",VLOOKUP($I205,'Price List, Weapons &amp; Items'!B:J,3,0))</f>
        <v>.</v>
      </c>
      <c r="AP205" s="1195" t="str">
        <f t="shared" ca="1" si="50"/>
        <v>.</v>
      </c>
      <c r="AQ205" s="1194">
        <f>VLOOKUP($I205,'Price List, Weapons &amp; Items'!B:L,COLUMN('Price List, Weapons &amp; Items'!$L$11)-1,0)</f>
        <v>0</v>
      </c>
      <c r="AR205" s="1194">
        <f t="shared" si="57"/>
        <v>0</v>
      </c>
      <c r="AS205" s="1194">
        <f t="shared" si="58"/>
        <v>0</v>
      </c>
      <c r="AT205" s="1194">
        <f t="shared" si="59"/>
        <v>1</v>
      </c>
      <c r="AU205" s="1194" t="str">
        <f t="shared" si="60"/>
        <v>.</v>
      </c>
      <c r="AV205" s="1194" t="str">
        <f t="shared" si="51"/>
        <v>.</v>
      </c>
      <c r="AW205" s="1194" t="str">
        <f t="shared" si="61"/>
        <v>.</v>
      </c>
      <c r="AX205" s="1194">
        <f>IFERROR(VLOOKUP(B205,'Share, Heavy Weapons to Ukraine'!B:Z,COLUMN('Share, Heavy Weapons to Ukraine'!C215)-1,0),0)</f>
        <v>0</v>
      </c>
      <c r="AY205" s="1194">
        <f>VLOOKUP('Bilateral Assistance, MAIN DATA'!B205,'Country Summary (€)'!B:F,COLUMN('Country Summary (€)'!C216)-1,FALSE)</f>
        <v>1</v>
      </c>
      <c r="AZ205" s="1194" t="str">
        <f>IF(AND(AD205=1,D205="Military",H205&lt;&gt;"Not given")=TRUE,IF(SUMIFS(P:P,A:A,A205)&gt;0,ABS((SUMIFS(P:P,A:A,A205)/VLOOKUP("USD",'Exchange Rates'!B:C,2,0)))/S205,"."),".")</f>
        <v>.</v>
      </c>
      <c r="BA205" s="1196" t="str">
        <f>IF(AND(AD205=1,D205="Military",H205&lt;&gt;"Not given")=TRUE,IF(SUMIFS(P:P,A:A,A205)&gt;0,IF((ABS((SUMIFS(P:P,A:A,A205)/VLOOKUP("USD",'Exchange Rates'!B:C,2,0)))/S205)&gt;1,(SUMIFS(P:P,A:A,A205)-S205)/S205,(S205-SUMIFS(P:P,A:A,A205))/SUMIFS(P:P,A:A,A205)),"."),".")</f>
        <v>.</v>
      </c>
    </row>
    <row r="206" spans="1:53" ht="15.95" customHeight="1">
      <c r="A206" s="1180" t="s">
        <v>937</v>
      </c>
      <c r="B206" s="1180" t="s">
        <v>918</v>
      </c>
      <c r="C206" s="1181">
        <v>44952</v>
      </c>
      <c r="D206" s="1182" t="s">
        <v>360</v>
      </c>
      <c r="E206" s="1182" t="s">
        <v>361</v>
      </c>
      <c r="F206" s="1183" t="s">
        <v>938</v>
      </c>
      <c r="G206" s="1184" t="s">
        <v>483</v>
      </c>
      <c r="H206" s="1185">
        <v>1000000</v>
      </c>
      <c r="I206" s="1190" t="s">
        <v>596</v>
      </c>
      <c r="J206" s="1186" t="str">
        <f>VLOOKUP($I206,'Price List, Weapons &amp; Items'!B:C,2,0)</f>
        <v>Military equipment</v>
      </c>
      <c r="K206" s="1186" t="str">
        <f>IF(I206=".",I206,VLOOKUP($I206,'Price List, Weapons &amp; Items'!B:D,3,0))</f>
        <v>Military equipment</v>
      </c>
      <c r="L206" s="1187">
        <f>VLOOKUP(I206,'Price List, Weapons &amp; Items'!B:E,4,0)</f>
        <v>0</v>
      </c>
      <c r="M206" s="1188">
        <v>50</v>
      </c>
      <c r="N206" s="1188" t="s">
        <v>374</v>
      </c>
      <c r="O206" s="1188">
        <f>VLOOKUP($I206,'Price List, Weapons &amp; Items'!B:G,6,0)</f>
        <v>22216</v>
      </c>
      <c r="P206" s="1185">
        <f t="shared" si="52"/>
        <v>1110800</v>
      </c>
      <c r="Q206" s="1185" t="str">
        <f t="shared" si="53"/>
        <v>.</v>
      </c>
      <c r="R206" s="1185">
        <f t="shared" si="49"/>
        <v>1000000</v>
      </c>
      <c r="S206" s="1185">
        <f>IF(AND(AD206=1,R206&lt;&gt;".")=TRUE,R206/VLOOKUP(G206,'Exchange Rates'!B:C,2,0),IF(R206=".",".",""))</f>
        <v>1000000</v>
      </c>
      <c r="T206" s="1185" t="str">
        <f>IF(AD206=1,IF(AF206="Value is not given at all",".",IF(AF206="Value is given by the source",S206,IF(AF206="Value is calculated with prices",(IF(SUMIFS(Q:Q,A:A,A206)&gt;0,SUMIFS(Q:Q,A:A,A206),"."))/VLOOKUP("USD",'Exchange Rates'!B:C,2,0),"Error with coding"))),"")</f>
        <v>.</v>
      </c>
      <c r="U206" s="1184" t="s">
        <v>365</v>
      </c>
      <c r="V206" s="973" t="s">
        <v>939</v>
      </c>
      <c r="W206" s="980" t="s">
        <v>940</v>
      </c>
      <c r="X206" s="1190" t="s">
        <v>364</v>
      </c>
      <c r="Y206" s="1190" t="s">
        <v>364</v>
      </c>
      <c r="Z206" s="1184">
        <v>0</v>
      </c>
      <c r="AA206" s="1194">
        <v>0</v>
      </c>
      <c r="AB206" s="1180" t="s">
        <v>364</v>
      </c>
      <c r="AC206" s="1192" t="str">
        <f>""</f>
        <v/>
      </c>
      <c r="AD206" s="985">
        <v>1</v>
      </c>
      <c r="AE206" s="985" t="s">
        <v>368</v>
      </c>
      <c r="AF206" s="985" t="s">
        <v>369</v>
      </c>
      <c r="AG206" s="985">
        <v>1</v>
      </c>
      <c r="AH206" s="1193">
        <v>13</v>
      </c>
      <c r="AI206" s="1193">
        <v>0</v>
      </c>
      <c r="AJ206" s="1193">
        <f>VLOOKUP($I206,'Price List, Weapons &amp; Items'!B:F,5,0)</f>
        <v>0</v>
      </c>
      <c r="AK206" s="1193">
        <f t="shared" si="54"/>
        <v>0</v>
      </c>
      <c r="AL206" s="1193">
        <f t="shared" si="55"/>
        <v>0</v>
      </c>
      <c r="AM206" s="1193">
        <f t="shared" si="56"/>
        <v>0</v>
      </c>
      <c r="AN206" s="1194" t="str">
        <f>VLOOKUP($I206,'Price List, Weapons &amp; Items'!B:L,COLUMN('Price List, Weapons &amp; Items'!$J$11)-1,0)</f>
        <v>Government information</v>
      </c>
      <c r="AO206" s="1194" t="str">
        <f>IF(I206=".",".",VLOOKUP($I206,'Price List, Weapons &amp; Items'!B:J,3,0))</f>
        <v>Military equipment</v>
      </c>
      <c r="AP206" s="1195" t="str">
        <f t="shared" ca="1" si="50"/>
        <v>generator</v>
      </c>
      <c r="AQ206" s="1194">
        <f>VLOOKUP($I206,'Price List, Weapons &amp; Items'!B:L,COLUMN('Price List, Weapons &amp; Items'!$L$11)-1,0)</f>
        <v>2</v>
      </c>
      <c r="AR206" s="1194">
        <f t="shared" si="57"/>
        <v>1</v>
      </c>
      <c r="AS206" s="1194">
        <f t="shared" si="58"/>
        <v>0</v>
      </c>
      <c r="AT206" s="1194">
        <f t="shared" si="59"/>
        <v>1</v>
      </c>
      <c r="AU206" s="1194" t="str">
        <f t="shared" si="60"/>
        <v>.</v>
      </c>
      <c r="AV206" s="1194" t="str">
        <f t="shared" si="51"/>
        <v>.</v>
      </c>
      <c r="AW206" s="1194" t="str">
        <f t="shared" si="61"/>
        <v>.</v>
      </c>
      <c r="AX206" s="1194">
        <f>IFERROR(VLOOKUP(B206,'Share, Heavy Weapons to Ukraine'!B:Z,COLUMN('Share, Heavy Weapons to Ukraine'!C216)-1,0),0)</f>
        <v>0</v>
      </c>
      <c r="AY206" s="1194">
        <f>VLOOKUP('Bilateral Assistance, MAIN DATA'!B206,'Country Summary (€)'!B:F,COLUMN('Country Summary (€)'!C217)-1,FALSE)</f>
        <v>1</v>
      </c>
      <c r="AZ206" s="1194" t="str">
        <f>IF(AND(AD206=1,D206="Military",H206&lt;&gt;"Not given")=TRUE,IF(SUMIFS(P:P,A:A,A206)&gt;0,ABS((SUMIFS(P:P,A:A,A206)/VLOOKUP("USD",'Exchange Rates'!B:C,2,0)))/S206,"."),".")</f>
        <v>.</v>
      </c>
      <c r="BA206" s="1196" t="str">
        <f>IF(AND(AD206=1,D206="Military",H206&lt;&gt;"Not given")=TRUE,IF(SUMIFS(P:P,A:A,A206)&gt;0,IF((ABS((SUMIFS(P:P,A:A,A206)/VLOOKUP("USD",'Exchange Rates'!B:C,2,0)))/S206)&gt;1,(SUMIFS(P:P,A:A,A206)-S206)/S206,(S206-SUMIFS(P:P,A:A,A206))/SUMIFS(P:P,A:A,A206)),"."),".")</f>
        <v>.</v>
      </c>
    </row>
    <row r="207" spans="1:53" ht="15.95" customHeight="1">
      <c r="A207" s="1180" t="s">
        <v>937</v>
      </c>
      <c r="B207" s="1180" t="s">
        <v>918</v>
      </c>
      <c r="C207" s="1181">
        <v>44953</v>
      </c>
      <c r="D207" s="1182" t="s">
        <v>360</v>
      </c>
      <c r="E207" s="1182" t="s">
        <v>371</v>
      </c>
      <c r="F207" s="1183" t="s">
        <v>941</v>
      </c>
      <c r="G207" s="1184" t="s">
        <v>456</v>
      </c>
      <c r="H207" s="1185" t="s">
        <v>457</v>
      </c>
      <c r="I207" s="1190" t="s">
        <v>596</v>
      </c>
      <c r="J207" s="1186" t="str">
        <f>VLOOKUP($I207,'Price List, Weapons &amp; Items'!B:C,2,0)</f>
        <v>Military equipment</v>
      </c>
      <c r="K207" s="1186" t="str">
        <f>IF(I207=".",I207,VLOOKUP($I207,'Price List, Weapons &amp; Items'!B:D,3,0))</f>
        <v>Military equipment</v>
      </c>
      <c r="L207" s="1187">
        <f>VLOOKUP(I207,'Price List, Weapons &amp; Items'!B:E,4,0)</f>
        <v>0</v>
      </c>
      <c r="M207" s="1188">
        <v>56</v>
      </c>
      <c r="N207" s="1188" t="s">
        <v>374</v>
      </c>
      <c r="O207" s="1188">
        <f>VLOOKUP($I207,'Price List, Weapons &amp; Items'!B:G,6,0)</f>
        <v>22216</v>
      </c>
      <c r="P207" s="1185">
        <f t="shared" si="52"/>
        <v>1244096</v>
      </c>
      <c r="Q207" s="1185" t="str">
        <f t="shared" si="53"/>
        <v>.</v>
      </c>
      <c r="R207" s="1185" t="str">
        <f t="shared" si="49"/>
        <v/>
      </c>
      <c r="S207" s="1185" t="str">
        <f>IF(AND(AD207=1,R207&lt;&gt;".")=TRUE,R207/VLOOKUP(G207,'Exchange Rates'!B:C,2,0),IF(R207=".",".",""))</f>
        <v/>
      </c>
      <c r="T207" s="1185" t="str">
        <f>IF(AD207=1,IF(AF207="Value is not given at all",".",IF(AF207="Value is given by the source",S207,IF(AF207="Value is calculated with prices",(IF(SUMIFS(Q:Q,A:A,A207)&gt;0,SUMIFS(Q:Q,A:A,A207),"."))/VLOOKUP("USD",'Exchange Rates'!B:C,2,0),"Error with coding"))),"")</f>
        <v/>
      </c>
      <c r="U207" s="1184" t="s">
        <v>675</v>
      </c>
      <c r="V207" s="973" t="s">
        <v>940</v>
      </c>
      <c r="W207" s="980" t="s">
        <v>942</v>
      </c>
      <c r="X207" s="1190" t="s">
        <v>364</v>
      </c>
      <c r="Y207" s="1190" t="s">
        <v>364</v>
      </c>
      <c r="Z207" s="1184">
        <v>0</v>
      </c>
      <c r="AA207" s="1194">
        <v>0</v>
      </c>
      <c r="AB207" s="1180" t="s">
        <v>364</v>
      </c>
      <c r="AC207" s="1192" t="str">
        <f>""</f>
        <v/>
      </c>
      <c r="AD207" s="985">
        <v>0</v>
      </c>
      <c r="AE207" s="985" t="s">
        <v>436</v>
      </c>
      <c r="AF207" s="985" t="s">
        <v>369</v>
      </c>
      <c r="AG207" s="985">
        <v>1</v>
      </c>
      <c r="AH207" s="1193">
        <v>13</v>
      </c>
      <c r="AI207" s="1193">
        <v>0</v>
      </c>
      <c r="AJ207" s="1193">
        <f>VLOOKUP($I207,'Price List, Weapons &amp; Items'!B:F,5,0)</f>
        <v>0</v>
      </c>
      <c r="AK207" s="1193">
        <f t="shared" si="54"/>
        <v>0</v>
      </c>
      <c r="AL207" s="1193">
        <f t="shared" si="55"/>
        <v>0</v>
      </c>
      <c r="AM207" s="1193">
        <f t="shared" si="56"/>
        <v>0</v>
      </c>
      <c r="AN207" s="1194" t="str">
        <f>VLOOKUP($I207,'Price List, Weapons &amp; Items'!B:L,COLUMN('Price List, Weapons &amp; Items'!$J$11)-1,0)</f>
        <v>Government information</v>
      </c>
      <c r="AO207" s="1194" t="str">
        <f>IF(I207=".",".",VLOOKUP($I207,'Price List, Weapons &amp; Items'!B:J,3,0))</f>
        <v>Military equipment</v>
      </c>
      <c r="AP207" s="1195" t="str">
        <f t="shared" ca="1" si="50"/>
        <v/>
      </c>
      <c r="AQ207" s="1194">
        <f>VLOOKUP($I207,'Price List, Weapons &amp; Items'!B:L,COLUMN('Price List, Weapons &amp; Items'!$L$11)-1,0)</f>
        <v>2</v>
      </c>
      <c r="AR207" s="1194">
        <f t="shared" si="57"/>
        <v>0</v>
      </c>
      <c r="AS207" s="1194">
        <f t="shared" si="58"/>
        <v>0</v>
      </c>
      <c r="AT207" s="1194">
        <f t="shared" si="59"/>
        <v>1</v>
      </c>
      <c r="AU207" s="1194" t="str">
        <f t="shared" si="60"/>
        <v>.</v>
      </c>
      <c r="AV207" s="1194" t="str">
        <f t="shared" si="51"/>
        <v>.</v>
      </c>
      <c r="AW207" s="1194" t="str">
        <f t="shared" si="61"/>
        <v>.</v>
      </c>
      <c r="AX207" s="1194">
        <f>IFERROR(VLOOKUP(B207,'Share, Heavy Weapons to Ukraine'!B:Z,COLUMN('Share, Heavy Weapons to Ukraine'!C217)-1,0),0)</f>
        <v>0</v>
      </c>
      <c r="AY207" s="1194">
        <f>VLOOKUP('Bilateral Assistance, MAIN DATA'!B207,'Country Summary (€)'!B:F,COLUMN('Country Summary (€)'!C218)-1,FALSE)</f>
        <v>1</v>
      </c>
      <c r="AZ207" s="1194" t="str">
        <f>IF(AND(AD207=1,D207="Military",H207&lt;&gt;"Not given")=TRUE,IF(SUMIFS(P:P,A:A,A207)&gt;0,ABS((SUMIFS(P:P,A:A,A207)/VLOOKUP("USD",'Exchange Rates'!B:C,2,0)))/S207,"."),".")</f>
        <v>.</v>
      </c>
      <c r="BA207" s="1196" t="str">
        <f>IF(AND(AD207=1,D207="Military",H207&lt;&gt;"Not given")=TRUE,IF(SUMIFS(P:P,A:A,A207)&gt;0,IF((ABS((SUMIFS(P:P,A:A,A207)/VLOOKUP("USD",'Exchange Rates'!B:C,2,0)))/S207)&gt;1,(SUMIFS(P:P,A:A,A207)-S207)/S207,(S207-SUMIFS(P:P,A:A,A207))/SUMIFS(P:P,A:A,A207)),"."),".")</f>
        <v>.</v>
      </c>
    </row>
    <row r="208" spans="1:53" ht="15.95" customHeight="1">
      <c r="A208" s="1180" t="s">
        <v>937</v>
      </c>
      <c r="B208" s="1180" t="s">
        <v>918</v>
      </c>
      <c r="C208" s="1181">
        <v>44953</v>
      </c>
      <c r="D208" s="1182" t="s">
        <v>360</v>
      </c>
      <c r="E208" s="1182" t="s">
        <v>371</v>
      </c>
      <c r="F208" s="1183" t="s">
        <v>941</v>
      </c>
      <c r="G208" s="1184" t="s">
        <v>364</v>
      </c>
      <c r="H208" s="1185" t="s">
        <v>457</v>
      </c>
      <c r="I208" s="1190" t="s">
        <v>943</v>
      </c>
      <c r="J208" s="1186" t="str">
        <f>VLOOKUP($I208,'Price List, Weapons &amp; Items'!B:C,2,0)</f>
        <v>Humanitarian</v>
      </c>
      <c r="K208" s="1186" t="str">
        <f>IF(I208=".",I208,VLOOKUP($I208,'Price List, Weapons &amp; Items'!B:D,3,0))</f>
        <v>Humanitarian</v>
      </c>
      <c r="L208" s="1187">
        <f>VLOOKUP(I208,'Price List, Weapons &amp; Items'!B:E,4,0)</f>
        <v>0</v>
      </c>
      <c r="M208" s="1188">
        <v>229</v>
      </c>
      <c r="N208" s="1188" t="s">
        <v>374</v>
      </c>
      <c r="O208" s="1188" t="str">
        <f>VLOOKUP($I208,'Price List, Weapons &amp; Items'!B:G,6,0)</f>
        <v>.</v>
      </c>
      <c r="P208" s="1185" t="str">
        <f t="shared" si="52"/>
        <v>No price</v>
      </c>
      <c r="Q208" s="1185" t="str">
        <f t="shared" si="53"/>
        <v>.</v>
      </c>
      <c r="R208" s="1185" t="str">
        <f t="shared" si="49"/>
        <v/>
      </c>
      <c r="S208" s="1185" t="str">
        <f>IF(AND(AD208=1,R208&lt;&gt;".")=TRUE,R208/VLOOKUP(G208,'Exchange Rates'!B:C,2,0),IF(R208=".",".",""))</f>
        <v/>
      </c>
      <c r="T208" s="1185" t="str">
        <f>IF(AD208=1,IF(AF208="Value is not given at all",".",IF(AF208="Value is given by the source",S208,IF(AF208="Value is calculated with prices",(IF(SUMIFS(Q:Q,A:A,A208)&gt;0,SUMIFS(Q:Q,A:A,A208),"."))/VLOOKUP("USD",'Exchange Rates'!B:C,2,0),"Error with coding"))),"")</f>
        <v/>
      </c>
      <c r="U208" s="1184" t="s">
        <v>675</v>
      </c>
      <c r="V208" s="973" t="s">
        <v>940</v>
      </c>
      <c r="W208" s="980" t="s">
        <v>944</v>
      </c>
      <c r="X208" s="1190" t="s">
        <v>364</v>
      </c>
      <c r="Y208" s="1190" t="s">
        <v>364</v>
      </c>
      <c r="Z208" s="1184">
        <v>0</v>
      </c>
      <c r="AA208" s="1194">
        <v>0</v>
      </c>
      <c r="AB208" s="1180" t="s">
        <v>364</v>
      </c>
      <c r="AC208" s="1192" t="str">
        <f>""</f>
        <v/>
      </c>
      <c r="AD208" s="985">
        <v>0</v>
      </c>
      <c r="AE208" s="985" t="s">
        <v>436</v>
      </c>
      <c r="AF208" s="985" t="s">
        <v>369</v>
      </c>
      <c r="AG208" s="985">
        <v>1</v>
      </c>
      <c r="AH208" s="1193">
        <v>13</v>
      </c>
      <c r="AI208" s="1193">
        <v>0</v>
      </c>
      <c r="AJ208" s="1193">
        <f>VLOOKUP($I208,'Price List, Weapons &amp; Items'!B:F,5,0)</f>
        <v>0</v>
      </c>
      <c r="AK208" s="1193">
        <f t="shared" si="54"/>
        <v>0</v>
      </c>
      <c r="AL208" s="1193">
        <f t="shared" si="55"/>
        <v>0</v>
      </c>
      <c r="AM208" s="1193">
        <f t="shared" si="56"/>
        <v>0</v>
      </c>
      <c r="AN208" s="1194" t="str">
        <f>VLOOKUP($I208,'Price List, Weapons &amp; Items'!B:L,COLUMN('Price List, Weapons &amp; Items'!$J$11)-1,0)</f>
        <v>.</v>
      </c>
      <c r="AO208" s="1194" t="str">
        <f>IF(I208=".",".",VLOOKUP($I208,'Price List, Weapons &amp; Items'!B:J,3,0))</f>
        <v>Humanitarian</v>
      </c>
      <c r="AP208" s="1195" t="str">
        <f t="shared" ca="1" si="50"/>
        <v/>
      </c>
      <c r="AQ208" s="1194">
        <f>VLOOKUP($I208,'Price List, Weapons &amp; Items'!B:L,COLUMN('Price List, Weapons &amp; Items'!$L$11)-1,0)</f>
        <v>0</v>
      </c>
      <c r="AR208" s="1194">
        <f t="shared" si="57"/>
        <v>0</v>
      </c>
      <c r="AS208" s="1194">
        <f t="shared" si="58"/>
        <v>0</v>
      </c>
      <c r="AT208" s="1194">
        <f t="shared" si="59"/>
        <v>1</v>
      </c>
      <c r="AU208" s="1194" t="str">
        <f t="shared" si="60"/>
        <v>.</v>
      </c>
      <c r="AV208" s="1194" t="str">
        <f t="shared" si="51"/>
        <v>.</v>
      </c>
      <c r="AW208" s="1194" t="str">
        <f t="shared" si="61"/>
        <v>.</v>
      </c>
      <c r="AX208" s="1194">
        <f>IFERROR(VLOOKUP(B208,'Share, Heavy Weapons to Ukraine'!B:Z,COLUMN('Share, Heavy Weapons to Ukraine'!C218)-1,0),0)</f>
        <v>0</v>
      </c>
      <c r="AY208" s="1194">
        <f>VLOOKUP('Bilateral Assistance, MAIN DATA'!B208,'Country Summary (€)'!B:F,COLUMN('Country Summary (€)'!C219)-1,FALSE)</f>
        <v>1</v>
      </c>
      <c r="AZ208" s="1194" t="str">
        <f>IF(AND(AD208=1,D208="Military",H208&lt;&gt;"Not given")=TRUE,IF(SUMIFS(P:P,A:A,A208)&gt;0,ABS((SUMIFS(P:P,A:A,A208)/VLOOKUP("USD",'Exchange Rates'!B:C,2,0)))/S208,"."),".")</f>
        <v>.</v>
      </c>
      <c r="BA208" s="1196" t="str">
        <f>IF(AND(AD208=1,D208="Military",H208&lt;&gt;"Not given")=TRUE,IF(SUMIFS(P:P,A:A,A208)&gt;0,IF((ABS((SUMIFS(P:P,A:A,A208)/VLOOKUP("USD",'Exchange Rates'!B:C,2,0)))/S208)&gt;1,(SUMIFS(P:P,A:A,A208)-S208)/S208,(S208-SUMIFS(P:P,A:A,A208))/SUMIFS(P:P,A:A,A208)),"."),".")</f>
        <v>.</v>
      </c>
    </row>
    <row r="209" spans="1:53" ht="15.95" customHeight="1">
      <c r="A209" s="1180" t="s">
        <v>945</v>
      </c>
      <c r="B209" s="1180" t="s">
        <v>918</v>
      </c>
      <c r="C209" s="1181">
        <v>45020</v>
      </c>
      <c r="D209" s="1182" t="s">
        <v>360</v>
      </c>
      <c r="E209" s="1182" t="s">
        <v>361</v>
      </c>
      <c r="F209" s="1183" t="s">
        <v>946</v>
      </c>
      <c r="G209" s="1184" t="s">
        <v>483</v>
      </c>
      <c r="H209" s="1185">
        <v>29771015</v>
      </c>
      <c r="I209" s="1190" t="s">
        <v>364</v>
      </c>
      <c r="J209" s="1186" t="str">
        <f>VLOOKUP($I209,'Price List, Weapons &amp; Items'!B:C,2,0)</f>
        <v>.</v>
      </c>
      <c r="K209" s="1186" t="str">
        <f>IF(I209=".",I209,VLOOKUP($I209,'Price List, Weapons &amp; Items'!B:D,3,0))</f>
        <v>.</v>
      </c>
      <c r="L209" s="1187">
        <f>VLOOKUP(I209,'Price List, Weapons &amp; Items'!B:E,4,0)</f>
        <v>0</v>
      </c>
      <c r="M209" s="1188" t="s">
        <v>364</v>
      </c>
      <c r="N209" s="1188" t="s">
        <v>364</v>
      </c>
      <c r="O209" s="1188" t="str">
        <f>VLOOKUP($I209,'Price List, Weapons &amp; Items'!B:G,6,0)</f>
        <v>.</v>
      </c>
      <c r="P209" s="1185" t="str">
        <f t="shared" si="52"/>
        <v>.</v>
      </c>
      <c r="Q209" s="1185" t="str">
        <f t="shared" si="53"/>
        <v>.</v>
      </c>
      <c r="R209" s="1185">
        <f t="shared" si="49"/>
        <v>29771015</v>
      </c>
      <c r="S209" s="1185">
        <f>IF(AND(AD209=1,R209&lt;&gt;".")=TRUE,R209/VLOOKUP(G209,'Exchange Rates'!B:C,2,0),IF(R209=".",".",""))</f>
        <v>29771015</v>
      </c>
      <c r="T209" s="1185" t="str">
        <f>IF(AD209=1,IF(AF209="Value is not given at all",".",IF(AF209="Value is given by the source",S209,IF(AF209="Value is calculated with prices",(IF(SUMIFS(Q:Q,A:A,A209)&gt;0,SUMIFS(Q:Q,A:A,A209),"."))/VLOOKUP("USD",'Exchange Rates'!B:C,2,0),"Error with coding"))),"")</f>
        <v>.</v>
      </c>
      <c r="U209" s="1184" t="s">
        <v>365</v>
      </c>
      <c r="V209" s="973" t="s">
        <v>947</v>
      </c>
      <c r="W209" s="980" t="s">
        <v>948</v>
      </c>
      <c r="X209" s="1190" t="s">
        <v>364</v>
      </c>
      <c r="Y209" s="1190" t="s">
        <v>364</v>
      </c>
      <c r="Z209" s="1184">
        <v>0</v>
      </c>
      <c r="AA209" s="1194">
        <v>1</v>
      </c>
      <c r="AB209" s="1180" t="s">
        <v>364</v>
      </c>
      <c r="AC209" s="1192" t="str">
        <f>""</f>
        <v/>
      </c>
      <c r="AD209" s="985">
        <v>1</v>
      </c>
      <c r="AE209" s="985" t="s">
        <v>368</v>
      </c>
      <c r="AF209" s="985" t="s">
        <v>369</v>
      </c>
      <c r="AG209" s="985">
        <v>1</v>
      </c>
      <c r="AH209" s="1193">
        <v>16</v>
      </c>
      <c r="AI209" s="1193">
        <v>0</v>
      </c>
      <c r="AJ209" s="1193">
        <f>VLOOKUP($I209,'Price List, Weapons &amp; Items'!B:F,5,0)</f>
        <v>0</v>
      </c>
      <c r="AK209" s="1193">
        <f t="shared" si="54"/>
        <v>0</v>
      </c>
      <c r="AL209" s="1193">
        <f t="shared" si="55"/>
        <v>0</v>
      </c>
      <c r="AM209" s="1193">
        <f t="shared" si="56"/>
        <v>0</v>
      </c>
      <c r="AN209" s="1194" t="str">
        <f>VLOOKUP($I209,'Price List, Weapons &amp; Items'!B:L,COLUMN('Price List, Weapons &amp; Items'!$J$11)-1,0)</f>
        <v>.</v>
      </c>
      <c r="AO209" s="1194" t="str">
        <f>IF(I209=".",".",VLOOKUP($I209,'Price List, Weapons &amp; Items'!B:J,3,0))</f>
        <v>.</v>
      </c>
      <c r="AP209" s="1195" t="str">
        <f t="shared" ca="1" si="50"/>
        <v>.</v>
      </c>
      <c r="AQ209" s="1194">
        <f>VLOOKUP($I209,'Price List, Weapons &amp; Items'!B:L,COLUMN('Price List, Weapons &amp; Items'!$L$11)-1,0)</f>
        <v>0</v>
      </c>
      <c r="AR209" s="1194">
        <f t="shared" si="57"/>
        <v>1</v>
      </c>
      <c r="AS209" s="1194">
        <f t="shared" si="58"/>
        <v>0</v>
      </c>
      <c r="AT209" s="1194">
        <f t="shared" si="59"/>
        <v>1</v>
      </c>
      <c r="AU209" s="1194" t="str">
        <f t="shared" si="60"/>
        <v>.</v>
      </c>
      <c r="AV209" s="1194" t="str">
        <f t="shared" si="51"/>
        <v>.</v>
      </c>
      <c r="AW209" s="1194" t="str">
        <f t="shared" si="61"/>
        <v>.</v>
      </c>
      <c r="AX209" s="1194">
        <f>IFERROR(VLOOKUP(B209,'Share, Heavy Weapons to Ukraine'!B:Z,COLUMN('Share, Heavy Weapons to Ukraine'!C219)-1,0),0)</f>
        <v>0</v>
      </c>
      <c r="AY209" s="1194">
        <f>VLOOKUP('Bilateral Assistance, MAIN DATA'!B209,'Country Summary (€)'!B:F,COLUMN('Country Summary (€)'!C220)-1,FALSE)</f>
        <v>1</v>
      </c>
      <c r="AZ209" s="1194" t="str">
        <f>IF(AND(AD209=1,D209="Military",H209&lt;&gt;"Not given")=TRUE,IF(SUMIFS(P:P,A:A,A209)&gt;0,ABS((SUMIFS(P:P,A:A,A209)/VLOOKUP("USD",'Exchange Rates'!B:C,2,0)))/S209,"."),".")</f>
        <v>.</v>
      </c>
      <c r="BA209" s="1196" t="str">
        <f>IF(AND(AD209=1,D209="Military",H209&lt;&gt;"Not given")=TRUE,IF(SUMIFS(P:P,A:A,A209)&gt;0,IF((ABS((SUMIFS(P:P,A:A,A209)/VLOOKUP("USD",'Exchange Rates'!B:C,2,0)))/S209)&gt;1,(SUMIFS(P:P,A:A,A209)-S209)/S209,(S209-SUMIFS(P:P,A:A,A209))/SUMIFS(P:P,A:A,A209)),"."),".")</f>
        <v>.</v>
      </c>
    </row>
    <row r="210" spans="1:53" ht="15.95" customHeight="1">
      <c r="A210" s="1180" t="s">
        <v>949</v>
      </c>
      <c r="B210" s="1180" t="s">
        <v>918</v>
      </c>
      <c r="C210" s="1181">
        <v>44620</v>
      </c>
      <c r="D210" s="1182" t="s">
        <v>389</v>
      </c>
      <c r="E210" s="1182" t="s">
        <v>390</v>
      </c>
      <c r="F210" s="1183" t="s">
        <v>950</v>
      </c>
      <c r="G210" s="1184" t="s">
        <v>920</v>
      </c>
      <c r="H210" s="1185">
        <v>124000000</v>
      </c>
      <c r="I210" s="1180" t="s">
        <v>364</v>
      </c>
      <c r="J210" s="1186" t="str">
        <f>VLOOKUP($I210,'Price List, Weapons &amp; Items'!B:C,2,0)</f>
        <v>.</v>
      </c>
      <c r="K210" s="1186" t="str">
        <f>IF(I210=".",I210,VLOOKUP($I210,'Price List, Weapons &amp; Items'!B:D,3,0))</f>
        <v>.</v>
      </c>
      <c r="L210" s="1187">
        <f>VLOOKUP(I210,'Price List, Weapons &amp; Items'!B:E,4,0)</f>
        <v>0</v>
      </c>
      <c r="M210" s="1188" t="s">
        <v>364</v>
      </c>
      <c r="N210" s="1188" t="s">
        <v>364</v>
      </c>
      <c r="O210" s="1188" t="str">
        <f>VLOOKUP($I210,'Price List, Weapons &amp; Items'!B:G,6,0)</f>
        <v>.</v>
      </c>
      <c r="P210" s="1185" t="str">
        <f t="shared" si="52"/>
        <v>.</v>
      </c>
      <c r="Q210" s="1185" t="str">
        <f t="shared" si="53"/>
        <v>.</v>
      </c>
      <c r="R210" s="1185">
        <f t="shared" si="49"/>
        <v>124000000</v>
      </c>
      <c r="S210" s="1185">
        <f>IF(AND(AD210=1,R210&lt;&gt;".")=TRUE,R210/VLOOKUP(G210,'Exchange Rates'!B:C,2,0),IF(R210=".",".",""))</f>
        <v>16445623.342175066</v>
      </c>
      <c r="T210" s="1185" t="str">
        <f>IF(AD210=1,IF(AF210="Value is not given at all",".",IF(AF210="Value is given by the source",S210,IF(AF210="Value is calculated with prices",(IF(SUMIFS(Q:Q,A:A,A210)&gt;0,SUMIFS(Q:Q,A:A,A210),"."))/VLOOKUP("USD",'Exchange Rates'!B:C,2,0),"Error with coding"))),"")</f>
        <v>.</v>
      </c>
      <c r="U210" s="1184" t="s">
        <v>365</v>
      </c>
      <c r="V210" s="971" t="s">
        <v>951</v>
      </c>
      <c r="W210" s="971" t="s">
        <v>952</v>
      </c>
      <c r="X210" s="971" t="s">
        <v>953</v>
      </c>
      <c r="Y210" s="972" t="s">
        <v>954</v>
      </c>
      <c r="Z210" s="1184">
        <v>0</v>
      </c>
      <c r="AA210" s="1194">
        <v>0</v>
      </c>
      <c r="AB210" s="975" t="s">
        <v>955</v>
      </c>
      <c r="AC210" s="1192" t="str">
        <f>""</f>
        <v/>
      </c>
      <c r="AD210" s="1193">
        <v>1</v>
      </c>
      <c r="AE210" s="1193" t="s">
        <v>368</v>
      </c>
      <c r="AF210" s="1193" t="s">
        <v>369</v>
      </c>
      <c r="AG210" s="1193">
        <v>1</v>
      </c>
      <c r="AH210" s="1193">
        <v>2</v>
      </c>
      <c r="AI210" s="1193">
        <v>0</v>
      </c>
      <c r="AJ210" s="1193">
        <f>VLOOKUP($I210,'Price List, Weapons &amp; Items'!B:F,5,0)</f>
        <v>0</v>
      </c>
      <c r="AK210" s="1193">
        <f t="shared" si="54"/>
        <v>0</v>
      </c>
      <c r="AL210" s="1193">
        <f t="shared" si="55"/>
        <v>0</v>
      </c>
      <c r="AM210" s="1193">
        <f t="shared" si="56"/>
        <v>0</v>
      </c>
      <c r="AN210" s="1194" t="str">
        <f>VLOOKUP($I210,'Price List, Weapons &amp; Items'!B:L,COLUMN('Price List, Weapons &amp; Items'!$J$11)-1,0)</f>
        <v>.</v>
      </c>
      <c r="AO210" s="1194" t="str">
        <f>IF(I210=".",".",VLOOKUP($I210,'Price List, Weapons &amp; Items'!B:J,3,0))</f>
        <v>.</v>
      </c>
      <c r="AP210" s="1195" t="str">
        <f t="shared" ca="1" si="50"/>
        <v>.</v>
      </c>
      <c r="AQ210" s="1194">
        <f>VLOOKUP($I210,'Price List, Weapons &amp; Items'!B:L,COLUMN('Price List, Weapons &amp; Items'!$L$11)-1,0)</f>
        <v>0</v>
      </c>
      <c r="AR210" s="1194">
        <f t="shared" si="57"/>
        <v>1</v>
      </c>
      <c r="AS210" s="1194">
        <f t="shared" si="58"/>
        <v>1</v>
      </c>
      <c r="AT210" s="1194">
        <f t="shared" si="59"/>
        <v>1</v>
      </c>
      <c r="AU210" s="1194" t="str">
        <f t="shared" si="60"/>
        <v>.</v>
      </c>
      <c r="AV210" s="1194" t="str">
        <f t="shared" si="51"/>
        <v>.</v>
      </c>
      <c r="AW210" s="1194" t="str">
        <f t="shared" si="61"/>
        <v>.</v>
      </c>
      <c r="AX210" s="1194">
        <f>IFERROR(VLOOKUP(B210,'Share, Heavy Weapons to Ukraine'!B:Z,COLUMN('Share, Heavy Weapons to Ukraine'!C220)-1,0),0)</f>
        <v>0</v>
      </c>
      <c r="AY210" s="1194">
        <f>VLOOKUP('Bilateral Assistance, MAIN DATA'!B210,'Country Summary (€)'!B:F,COLUMN('Country Summary (€)'!C221)-1,FALSE)</f>
        <v>1</v>
      </c>
      <c r="AZ210" s="1194" t="str">
        <f>IF(AND(AD210=1,D210="Military",H210&lt;&gt;"Not given")=TRUE,IF(SUMIFS(P:P,A:A,A210)&gt;0,ABS((SUMIFS(P:P,A:A,A210)/VLOOKUP("USD",'Exchange Rates'!B:C,2,0)))/S210,"."),".")</f>
        <v>.</v>
      </c>
      <c r="BA210" s="1196" t="str">
        <f>IF(AND(AD210=1,D210="Military",H210&lt;&gt;"Not given")=TRUE,IF(SUMIFS(P:P,A:A,A210)&gt;0,IF((ABS((SUMIFS(P:P,A:A,A210)/VLOOKUP("USD",'Exchange Rates'!B:C,2,0)))/S210)&gt;1,(SUMIFS(P:P,A:A,A210)-S210)/S210,(S210-SUMIFS(P:P,A:A,A210))/SUMIFS(P:P,A:A,A210)),"."),".")</f>
        <v>.</v>
      </c>
    </row>
    <row r="211" spans="1:53" ht="15.95" customHeight="1">
      <c r="A211" s="1180" t="s">
        <v>956</v>
      </c>
      <c r="B211" s="1180" t="s">
        <v>918</v>
      </c>
      <c r="C211" s="1181">
        <v>44881</v>
      </c>
      <c r="D211" s="1182" t="s">
        <v>389</v>
      </c>
      <c r="E211" s="1182" t="s">
        <v>390</v>
      </c>
      <c r="F211" s="1183" t="s">
        <v>957</v>
      </c>
      <c r="G211" s="1184" t="s">
        <v>456</v>
      </c>
      <c r="H211" s="1185" t="s">
        <v>457</v>
      </c>
      <c r="I211" s="1190" t="s">
        <v>958</v>
      </c>
      <c r="J211" s="1186" t="str">
        <f>VLOOKUP($I211,'Price List, Weapons &amp; Items'!B:C,2,0)</f>
        <v>Aviation and drones</v>
      </c>
      <c r="K211" s="1186" t="str">
        <f>IF(I211=".",I211,VLOOKUP($I211,'Price List, Weapons &amp; Items'!B:D,3,0))</f>
        <v>Transport aircraft</v>
      </c>
      <c r="L211" s="1187">
        <f>VLOOKUP(I211,'Price List, Weapons &amp; Items'!B:E,4,0)</f>
        <v>1</v>
      </c>
      <c r="M211" s="1188">
        <v>14</v>
      </c>
      <c r="N211" s="1188">
        <v>9</v>
      </c>
      <c r="O211" s="1188">
        <f>VLOOKUP($I211,'Price List, Weapons &amp; Items'!B:G,6,0)</f>
        <v>4541936.9733591266</v>
      </c>
      <c r="P211" s="1185">
        <f t="shared" si="52"/>
        <v>63587117.627027772</v>
      </c>
      <c r="Q211" s="1185">
        <f t="shared" si="53"/>
        <v>40877432.760232136</v>
      </c>
      <c r="R211" s="1185">
        <f t="shared" si="49"/>
        <v>63587117.627027772</v>
      </c>
      <c r="S211" s="1185">
        <f>IF(AND(AD211=1,R211&lt;&gt;".")=TRUE,R211/VLOOKUP(G211,'Exchange Rates'!B:C,2,0),IF(R211=".",".",""))</f>
        <v>58508573.451442562</v>
      </c>
      <c r="T211" s="1185">
        <f>IF(AD211=1,IF(AF211="Value is not given at all",".",IF(AF211="Value is given by the source",S211,IF(AF211="Value is calculated with prices",(IF(SUMIFS(Q:Q,A:A,A211)&gt;0,SUMIFS(Q:Q,A:A,A211),"."))/VLOOKUP("USD",'Exchange Rates'!B:C,2,0),"Error with coding"))),"")</f>
        <v>37612654.361641638</v>
      </c>
      <c r="U211" s="1184" t="s">
        <v>675</v>
      </c>
      <c r="V211" s="1002" t="s">
        <v>959</v>
      </c>
      <c r="W211" s="1002" t="s">
        <v>960</v>
      </c>
      <c r="X211" s="1002" t="s">
        <v>961</v>
      </c>
      <c r="Y211" s="1003" t="s">
        <v>962</v>
      </c>
      <c r="Z211" s="1184">
        <v>0</v>
      </c>
      <c r="AA211" s="1194">
        <v>0</v>
      </c>
      <c r="AB211" s="1035" t="s">
        <v>963</v>
      </c>
      <c r="AC211" s="1192" t="str">
        <f>""</f>
        <v/>
      </c>
      <c r="AD211" s="1193">
        <v>1</v>
      </c>
      <c r="AE211" s="1193" t="s">
        <v>436</v>
      </c>
      <c r="AF211" s="1193" t="s">
        <v>436</v>
      </c>
      <c r="AG211" s="1193">
        <v>1</v>
      </c>
      <c r="AH211" s="1193">
        <v>11</v>
      </c>
      <c r="AI211" s="1193">
        <v>0</v>
      </c>
      <c r="AJ211" s="1193">
        <f>VLOOKUP($I211,'Price List, Weapons &amp; Items'!B:F,5,0)</f>
        <v>0</v>
      </c>
      <c r="AK211" s="1193">
        <f t="shared" si="54"/>
        <v>0</v>
      </c>
      <c r="AL211" s="1193">
        <f t="shared" si="55"/>
        <v>0</v>
      </c>
      <c r="AM211" s="1193">
        <f t="shared" si="56"/>
        <v>0</v>
      </c>
      <c r="AN211" s="1194" t="str">
        <f>VLOOKUP($I211,'Price List, Weapons &amp; Items'!B:L,COLUMN('Price List, Weapons &amp; Items'!$J$11)-1,0)</f>
        <v>Contracts</v>
      </c>
      <c r="AO211" s="1194" t="str">
        <f>IF(I211=".",".",VLOOKUP($I211,'Price List, Weapons &amp; Items'!B:J,3,0))</f>
        <v>Transport aircraft</v>
      </c>
      <c r="AP211" s="1195" t="str">
        <f t="shared" ca="1" si="50"/>
        <v>Mi-8</v>
      </c>
      <c r="AQ211" s="1194">
        <f>VLOOKUP($I211,'Price List, Weapons &amp; Items'!B:L,COLUMN('Price List, Weapons &amp; Items'!$L$11)-1,0)</f>
        <v>2</v>
      </c>
      <c r="AR211" s="1194">
        <f t="shared" si="57"/>
        <v>0</v>
      </c>
      <c r="AS211" s="1194">
        <f t="shared" si="58"/>
        <v>1</v>
      </c>
      <c r="AT211" s="1194">
        <f t="shared" si="59"/>
        <v>1</v>
      </c>
      <c r="AU211" s="1194" t="str">
        <f t="shared" si="60"/>
        <v>.</v>
      </c>
      <c r="AV211" s="1194" t="str">
        <f t="shared" si="51"/>
        <v>.</v>
      </c>
      <c r="AW211" s="1194" t="str">
        <f t="shared" si="61"/>
        <v>.</v>
      </c>
      <c r="AX211" s="1194">
        <f>IFERROR(VLOOKUP(B211,'Share, Heavy Weapons to Ukraine'!B:Z,COLUMN('Share, Heavy Weapons to Ukraine'!C221)-1,0),0)</f>
        <v>0</v>
      </c>
      <c r="AY211" s="1194">
        <f>VLOOKUP('Bilateral Assistance, MAIN DATA'!B211,'Country Summary (€)'!B:F,COLUMN('Country Summary (€)'!C222)-1,FALSE)</f>
        <v>1</v>
      </c>
      <c r="AZ211" s="1194" t="str">
        <f>IF(AND(AD211=1,D211="Military",H211&lt;&gt;"Not given")=TRUE,IF(SUMIFS(P:P,A:A,A211)&gt;0,ABS((SUMIFS(P:P,A:A,A211)/VLOOKUP("USD",'Exchange Rates'!B:C,2,0)))/S211,"."),".")</f>
        <v>.</v>
      </c>
      <c r="BA211" s="1196" t="str">
        <f>IF(AND(AD211=1,D211="Military",H211&lt;&gt;"Not given")=TRUE,IF(SUMIFS(P:P,A:A,A211)&gt;0,IF((ABS((SUMIFS(P:P,A:A,A211)/VLOOKUP("USD",'Exchange Rates'!B:C,2,0)))/S211)&gt;1,(SUMIFS(P:P,A:A,A211)-S211)/S211,(S211-SUMIFS(P:P,A:A,A211))/SUMIFS(P:P,A:A,A211)),"."),".")</f>
        <v>.</v>
      </c>
    </row>
    <row r="212" spans="1:53" ht="15.95" customHeight="1">
      <c r="A212" s="1180" t="s">
        <v>964</v>
      </c>
      <c r="B212" s="1180" t="s">
        <v>918</v>
      </c>
      <c r="C212" s="1181">
        <v>44916</v>
      </c>
      <c r="D212" s="1182" t="s">
        <v>389</v>
      </c>
      <c r="E212" s="1182" t="s">
        <v>398</v>
      </c>
      <c r="F212" s="1183" t="s">
        <v>965</v>
      </c>
      <c r="G212" s="1184" t="s">
        <v>483</v>
      </c>
      <c r="H212" s="1185">
        <v>3000000</v>
      </c>
      <c r="I212" s="1266" t="s">
        <v>966</v>
      </c>
      <c r="J212" s="1186" t="str">
        <f>VLOOKUP($I212,'Price List, Weapons &amp; Items'!B:C,2,0)</f>
        <v>Heavy weapon</v>
      </c>
      <c r="K212" s="1186" t="str">
        <f>IF(I212=".",I212,VLOOKUP($I212,'Price List, Weapons &amp; Items'!B:D,3,0))</f>
        <v>Armored Recovery Vehicle (ARV)</v>
      </c>
      <c r="L212" s="1187">
        <f>VLOOKUP(I212,'Price List, Weapons &amp; Items'!B:E,4,0)</f>
        <v>0</v>
      </c>
      <c r="M212" s="1188" t="s">
        <v>374</v>
      </c>
      <c r="N212" s="1188" t="s">
        <v>374</v>
      </c>
      <c r="O212" s="1188">
        <f>VLOOKUP($I212,'Price List, Weapons &amp; Items'!B:G,6,0)</f>
        <v>405530</v>
      </c>
      <c r="P212" s="1185" t="str">
        <f t="shared" si="52"/>
        <v>.</v>
      </c>
      <c r="Q212" s="1185" t="str">
        <f t="shared" si="53"/>
        <v>.</v>
      </c>
      <c r="R212" s="1185">
        <f t="shared" si="49"/>
        <v>3000000</v>
      </c>
      <c r="S212" s="1185">
        <f>IF(AND(AD212=1,R212&lt;&gt;".")=TRUE,R212/VLOOKUP(G212,'Exchange Rates'!B:C,2,0),IF(R212=".",".",""))</f>
        <v>3000000</v>
      </c>
      <c r="T212" s="1185" t="str">
        <f>IF(AD212=1,IF(AF212="Value is not given at all",".",IF(AF212="Value is given by the source",S212,IF(AF212="Value is calculated with prices",(IF(SUMIFS(Q:Q,A:A,A212)&gt;0,SUMIFS(Q:Q,A:A,A212),"."))/VLOOKUP("USD",'Exchange Rates'!B:C,2,0),"Error with coding"))),"")</f>
        <v>.</v>
      </c>
      <c r="U212" s="1184" t="s">
        <v>365</v>
      </c>
      <c r="V212" s="973" t="s">
        <v>967</v>
      </c>
      <c r="W212" s="971" t="s">
        <v>968</v>
      </c>
      <c r="X212" s="971" t="s">
        <v>969</v>
      </c>
      <c r="Y212" s="1196" t="s">
        <v>364</v>
      </c>
      <c r="Z212" s="1184">
        <v>0</v>
      </c>
      <c r="AA212" s="1194">
        <v>0</v>
      </c>
      <c r="AB212" s="995" t="s">
        <v>364</v>
      </c>
      <c r="AC212" s="1192" t="str">
        <f>""</f>
        <v/>
      </c>
      <c r="AD212" s="1193">
        <v>1</v>
      </c>
      <c r="AE212" s="1193" t="s">
        <v>368</v>
      </c>
      <c r="AF212" s="1193" t="s">
        <v>369</v>
      </c>
      <c r="AG212" s="1193">
        <v>1</v>
      </c>
      <c r="AH212" s="1193">
        <v>12</v>
      </c>
      <c r="AI212" s="1193">
        <v>0</v>
      </c>
      <c r="AJ212" s="1193">
        <f>VLOOKUP($I212,'Price List, Weapons &amp; Items'!B:F,5,0)</f>
        <v>1</v>
      </c>
      <c r="AK212" s="1193">
        <f t="shared" si="54"/>
        <v>1</v>
      </c>
      <c r="AL212" s="1193">
        <f t="shared" si="55"/>
        <v>1</v>
      </c>
      <c r="AM212" s="1193">
        <f t="shared" si="56"/>
        <v>0</v>
      </c>
      <c r="AN212" s="1194" t="str">
        <f>VLOOKUP($I212,'Price List, Weapons &amp; Items'!B:L,COLUMN('Price List, Weapons &amp; Items'!$J$11)-1,0)</f>
        <v>Contract</v>
      </c>
      <c r="AO212" s="1194" t="str">
        <f>IF(I212=".",".",VLOOKUP($I212,'Price List, Weapons &amp; Items'!B:J,3,0))</f>
        <v>Armored Recovery Vehicle (ARV)</v>
      </c>
      <c r="AP212" s="1195" t="str">
        <f t="shared" ca="1" si="50"/>
        <v>mobile and protected mine clearing system</v>
      </c>
      <c r="AQ212" s="1194">
        <f>VLOOKUP($I212,'Price List, Weapons &amp; Items'!B:L,COLUMN('Price List, Weapons &amp; Items'!$L$11)-1,0)</f>
        <v>2</v>
      </c>
      <c r="AR212" s="1194">
        <f t="shared" si="57"/>
        <v>1</v>
      </c>
      <c r="AS212" s="1194">
        <f t="shared" si="58"/>
        <v>1</v>
      </c>
      <c r="AT212" s="1194">
        <f t="shared" si="59"/>
        <v>1</v>
      </c>
      <c r="AU212" s="1194" t="str">
        <f t="shared" si="60"/>
        <v>.</v>
      </c>
      <c r="AV212" s="1194" t="str">
        <f t="shared" si="51"/>
        <v>.</v>
      </c>
      <c r="AW212" s="1194" t="str">
        <f t="shared" si="61"/>
        <v>.</v>
      </c>
      <c r="AX212" s="1194">
        <f>IFERROR(VLOOKUP(B212,'Share, Heavy Weapons to Ukraine'!B:Z,COLUMN('Share, Heavy Weapons to Ukraine'!C222)-1,0),0)</f>
        <v>0</v>
      </c>
      <c r="AY212" s="1194">
        <f>VLOOKUP('Bilateral Assistance, MAIN DATA'!B212,'Country Summary (€)'!B:F,COLUMN('Country Summary (€)'!C223)-1,FALSE)</f>
        <v>1</v>
      </c>
      <c r="AZ212" s="1194" t="str">
        <f>IF(AND(AD212=1,D212="Military",H212&lt;&gt;"Not given")=TRUE,IF(SUMIFS(P:P,A:A,A212)&gt;0,ABS((SUMIFS(P:P,A:A,A212)/VLOOKUP("USD",'Exchange Rates'!B:C,2,0)))/S212,"."),".")</f>
        <v>.</v>
      </c>
      <c r="BA212" s="1196" t="str">
        <f>IF(AND(AD212=1,D212="Military",H212&lt;&gt;"Not given")=TRUE,IF(SUMIFS(P:P,A:A,A212)&gt;0,IF((ABS((SUMIFS(P:P,A:A,A212)/VLOOKUP("USD",'Exchange Rates'!B:C,2,0)))/S212)&gt;1,(SUMIFS(P:P,A:A,A212)-S212)/S212,(S212-SUMIFS(P:P,A:A,A212))/SUMIFS(P:P,A:A,A212)),"."),".")</f>
        <v>.</v>
      </c>
    </row>
    <row r="213" spans="1:53" ht="15.95" customHeight="1">
      <c r="A213" s="1180" t="s">
        <v>970</v>
      </c>
      <c r="B213" s="1180" t="s">
        <v>918</v>
      </c>
      <c r="C213" s="1181">
        <v>44980</v>
      </c>
      <c r="D213" s="1182" t="s">
        <v>389</v>
      </c>
      <c r="E213" s="1182" t="s">
        <v>390</v>
      </c>
      <c r="F213" s="1183" t="s">
        <v>971</v>
      </c>
      <c r="G213" s="1184" t="s">
        <v>483</v>
      </c>
      <c r="H213" s="1210">
        <v>44562710</v>
      </c>
      <c r="I213" s="1266" t="s">
        <v>364</v>
      </c>
      <c r="J213" s="1186" t="str">
        <f>VLOOKUP($I213,'Price List, Weapons &amp; Items'!B:C,2,0)</f>
        <v>.</v>
      </c>
      <c r="K213" s="1186" t="str">
        <f>IF(I213=".",I213,VLOOKUP($I213,'Price List, Weapons &amp; Items'!B:D,3,0))</f>
        <v>.</v>
      </c>
      <c r="L213" s="1187">
        <f>VLOOKUP(I213,'Price List, Weapons &amp; Items'!B:E,4,0)</f>
        <v>0</v>
      </c>
      <c r="M213" s="1188" t="s">
        <v>374</v>
      </c>
      <c r="N213" s="1188" t="s">
        <v>374</v>
      </c>
      <c r="O213" s="1188" t="str">
        <f>VLOOKUP($I213,'Price List, Weapons &amp; Items'!B:G,6,0)</f>
        <v>.</v>
      </c>
      <c r="P213" s="1185" t="str">
        <f t="shared" si="52"/>
        <v>.</v>
      </c>
      <c r="Q213" s="1185" t="str">
        <f t="shared" si="53"/>
        <v>.</v>
      </c>
      <c r="R213" s="1185">
        <f t="shared" si="49"/>
        <v>44562710</v>
      </c>
      <c r="S213" s="1185">
        <f>IF(AND(AD213=1,R213&lt;&gt;".")=TRUE,R213/VLOOKUP(G213,'Exchange Rates'!B:C,2,0),IF(R213=".",".",""))</f>
        <v>44562710</v>
      </c>
      <c r="T213" s="1185" t="str">
        <f>IF(AD213=1,IF(AF213="Value is not given at all",".",IF(AF213="Value is given by the source",S213,IF(AF213="Value is calculated with prices",(IF(SUMIFS(Q:Q,A:A,A213)&gt;0,SUMIFS(Q:Q,A:A,A213),"."))/VLOOKUP("USD",'Exchange Rates'!B:C,2,0),"Error with coding"))),"")</f>
        <v>.</v>
      </c>
      <c r="U213" s="1184" t="s">
        <v>365</v>
      </c>
      <c r="V213" s="966" t="s">
        <v>972</v>
      </c>
      <c r="W213" s="973" t="s">
        <v>973</v>
      </c>
      <c r="X213" s="1190" t="s">
        <v>364</v>
      </c>
      <c r="Y213" s="981" t="s">
        <v>364</v>
      </c>
      <c r="Z213" s="1184">
        <v>0</v>
      </c>
      <c r="AA213" s="1194">
        <v>0</v>
      </c>
      <c r="AB213" s="995" t="s">
        <v>364</v>
      </c>
      <c r="AC213" s="1192" t="str">
        <f>""</f>
        <v/>
      </c>
      <c r="AD213" s="1193">
        <v>1</v>
      </c>
      <c r="AE213" s="1193" t="s">
        <v>368</v>
      </c>
      <c r="AF213" s="1193" t="s">
        <v>369</v>
      </c>
      <c r="AG213" s="1193">
        <v>1</v>
      </c>
      <c r="AH213" s="1193">
        <v>14</v>
      </c>
      <c r="AI213" s="1193">
        <v>0</v>
      </c>
      <c r="AJ213" s="1193">
        <f>VLOOKUP($I213,'Price List, Weapons &amp; Items'!B:F,5,0)</f>
        <v>0</v>
      </c>
      <c r="AK213" s="1193">
        <f t="shared" si="54"/>
        <v>0</v>
      </c>
      <c r="AL213" s="1193">
        <f t="shared" si="55"/>
        <v>0</v>
      </c>
      <c r="AM213" s="1193">
        <f t="shared" si="56"/>
        <v>0</v>
      </c>
      <c r="AN213" s="1194" t="str">
        <f>VLOOKUP($I213,'Price List, Weapons &amp; Items'!B:L,COLUMN('Price List, Weapons &amp; Items'!$J$11)-1,0)</f>
        <v>.</v>
      </c>
      <c r="AO213" s="1194" t="str">
        <f>IF(I213=".",".",VLOOKUP($I213,'Price List, Weapons &amp; Items'!B:J,3,0))</f>
        <v>.</v>
      </c>
      <c r="AP213" s="1195" t="str">
        <f t="shared" ca="1" si="50"/>
        <v>.</v>
      </c>
      <c r="AQ213" s="1194">
        <f>VLOOKUP($I213,'Price List, Weapons &amp; Items'!B:L,COLUMN('Price List, Weapons &amp; Items'!$L$11)-1,0)</f>
        <v>0</v>
      </c>
      <c r="AR213" s="1194">
        <f t="shared" si="57"/>
        <v>1</v>
      </c>
      <c r="AS213" s="1194">
        <f t="shared" si="58"/>
        <v>1</v>
      </c>
      <c r="AT213" s="1194">
        <f t="shared" si="59"/>
        <v>1</v>
      </c>
      <c r="AU213" s="1194" t="str">
        <f t="shared" si="60"/>
        <v>.</v>
      </c>
      <c r="AV213" s="1194" t="str">
        <f t="shared" si="51"/>
        <v>.</v>
      </c>
      <c r="AW213" s="1194" t="str">
        <f t="shared" si="61"/>
        <v>.</v>
      </c>
      <c r="AX213" s="1194">
        <f>IFERROR(VLOOKUP(B213,'Share, Heavy Weapons to Ukraine'!B:Z,COLUMN('Share, Heavy Weapons to Ukraine'!C223)-1,0),0)</f>
        <v>0</v>
      </c>
      <c r="AY213" s="1194">
        <f>VLOOKUP('Bilateral Assistance, MAIN DATA'!B213,'Country Summary (€)'!B:F,COLUMN('Country Summary (€)'!C224)-1,FALSE)</f>
        <v>1</v>
      </c>
      <c r="AZ213" s="1194" t="str">
        <f>IF(AND(AD213=1,D213="Military",H213&lt;&gt;"Not given")=TRUE,IF(SUMIFS(P:P,A:A,A213)&gt;0,ABS((SUMIFS(P:P,A:A,A213)/VLOOKUP("USD",'Exchange Rates'!B:C,2,0)))/S213,"."),".")</f>
        <v>.</v>
      </c>
      <c r="BA213" s="1196" t="str">
        <f>IF(AND(AD213=1,D213="Military",H213&lt;&gt;"Not given")=TRUE,IF(SUMIFS(P:P,A:A,A213)&gt;0,IF((ABS((SUMIFS(P:P,A:A,A213)/VLOOKUP("USD",'Exchange Rates'!B:C,2,0)))/S213)&gt;1,(SUMIFS(P:P,A:A,A213)-S213)/S213,(S213-SUMIFS(P:P,A:A,A213))/SUMIFS(P:P,A:A,A213)),"."),".")</f>
        <v>.</v>
      </c>
    </row>
    <row r="214" spans="1:53" ht="15.95" customHeight="1">
      <c r="A214" s="1180" t="s">
        <v>974</v>
      </c>
      <c r="B214" s="1180" t="s">
        <v>918</v>
      </c>
      <c r="C214" s="1181">
        <v>45015</v>
      </c>
      <c r="D214" s="1182" t="s">
        <v>389</v>
      </c>
      <c r="E214" s="1182" t="s">
        <v>361</v>
      </c>
      <c r="F214" s="1183" t="s">
        <v>975</v>
      </c>
      <c r="G214" s="1184" t="s">
        <v>483</v>
      </c>
      <c r="H214" s="1210">
        <v>500000</v>
      </c>
      <c r="I214" s="1266" t="s">
        <v>364</v>
      </c>
      <c r="J214" s="1186" t="str">
        <f>VLOOKUP($I214,'Price List, Weapons &amp; Items'!B:C,2,0)</f>
        <v>.</v>
      </c>
      <c r="K214" s="1186" t="str">
        <f>IF(I214=".",I214,VLOOKUP($I214,'Price List, Weapons &amp; Items'!B:D,3,0))</f>
        <v>.</v>
      </c>
      <c r="L214" s="1187">
        <f>VLOOKUP(I214,'Price List, Weapons &amp; Items'!B:E,4,0)</f>
        <v>0</v>
      </c>
      <c r="M214" s="1188" t="s">
        <v>364</v>
      </c>
      <c r="N214" s="1188" t="s">
        <v>364</v>
      </c>
      <c r="O214" s="1188" t="str">
        <f>VLOOKUP($I214,'Price List, Weapons &amp; Items'!B:G,6,0)</f>
        <v>.</v>
      </c>
      <c r="P214" s="1185" t="str">
        <f t="shared" si="52"/>
        <v>.</v>
      </c>
      <c r="Q214" s="1185" t="str">
        <f t="shared" si="53"/>
        <v>.</v>
      </c>
      <c r="R214" s="1185">
        <f t="shared" si="49"/>
        <v>500000</v>
      </c>
      <c r="S214" s="1185">
        <f>IF(AND(AD214=1,R214&lt;&gt;".")=TRUE,R214/VLOOKUP(G214,'Exchange Rates'!B:C,2,0),IF(R214=".",".",""))</f>
        <v>500000</v>
      </c>
      <c r="T214" s="1185" t="str">
        <f>IF(AD214=1,IF(AF214="Value is not given at all",".",IF(AF214="Value is given by the source",S214,IF(AF214="Value is calculated with prices",(IF(SUMIFS(Q:Q,A:A,A214)&gt;0,SUMIFS(Q:Q,A:A,A214),"."))/VLOOKUP("USD",'Exchange Rates'!B:C,2,0),"Error with coding"))),"")</f>
        <v>.</v>
      </c>
      <c r="U214" s="1184" t="s">
        <v>365</v>
      </c>
      <c r="V214" s="1020" t="s">
        <v>976</v>
      </c>
      <c r="W214" s="1003" t="s">
        <v>977</v>
      </c>
      <c r="X214" s="1003" t="s">
        <v>978</v>
      </c>
      <c r="Y214" s="1024" t="s">
        <v>364</v>
      </c>
      <c r="Z214" s="1184">
        <v>0</v>
      </c>
      <c r="AA214" s="1194">
        <v>1</v>
      </c>
      <c r="AB214" s="1271" t="s">
        <v>364</v>
      </c>
      <c r="AC214" s="1192" t="str">
        <f>""</f>
        <v/>
      </c>
      <c r="AD214" s="1193">
        <v>1</v>
      </c>
      <c r="AE214" s="1193" t="s">
        <v>368</v>
      </c>
      <c r="AF214" s="1193" t="s">
        <v>369</v>
      </c>
      <c r="AG214" s="1193">
        <v>1</v>
      </c>
      <c r="AH214" s="1193">
        <v>15</v>
      </c>
      <c r="AI214" s="1193">
        <v>0</v>
      </c>
      <c r="AJ214" s="1193">
        <f>VLOOKUP($I214,'Price List, Weapons &amp; Items'!B:F,5,0)</f>
        <v>0</v>
      </c>
      <c r="AK214" s="1193">
        <f t="shared" si="54"/>
        <v>0</v>
      </c>
      <c r="AL214" s="1193">
        <f t="shared" si="55"/>
        <v>0</v>
      </c>
      <c r="AM214" s="1193">
        <f t="shared" si="56"/>
        <v>0</v>
      </c>
      <c r="AN214" s="1194" t="str">
        <f>VLOOKUP($I214,'Price List, Weapons &amp; Items'!B:L,COLUMN('Price List, Weapons &amp; Items'!$J$11)-1,0)</f>
        <v>.</v>
      </c>
      <c r="AO214" s="1194" t="str">
        <f>IF(I214=".",".",VLOOKUP($I214,'Price List, Weapons &amp; Items'!B:J,3,0))</f>
        <v>.</v>
      </c>
      <c r="AP214" s="1195" t="str">
        <f t="shared" ca="1" si="50"/>
        <v>.</v>
      </c>
      <c r="AQ214" s="1194">
        <f>VLOOKUP($I214,'Price List, Weapons &amp; Items'!B:L,COLUMN('Price List, Weapons &amp; Items'!$L$11)-1,0)</f>
        <v>0</v>
      </c>
      <c r="AR214" s="1194">
        <f t="shared" si="57"/>
        <v>1</v>
      </c>
      <c r="AS214" s="1194">
        <f t="shared" si="58"/>
        <v>0</v>
      </c>
      <c r="AT214" s="1194">
        <f t="shared" si="59"/>
        <v>1</v>
      </c>
      <c r="AU214" s="1194" t="str">
        <f t="shared" si="60"/>
        <v>.</v>
      </c>
      <c r="AV214" s="1194" t="str">
        <f t="shared" si="51"/>
        <v>.</v>
      </c>
      <c r="AW214" s="1194" t="str">
        <f t="shared" si="61"/>
        <v>.</v>
      </c>
      <c r="AX214" s="1194">
        <f>IFERROR(VLOOKUP(B214,'Share, Heavy Weapons to Ukraine'!B:Z,COLUMN('Share, Heavy Weapons to Ukraine'!C224)-1,0),0)</f>
        <v>0</v>
      </c>
      <c r="AY214" s="1194">
        <f>VLOOKUP('Bilateral Assistance, MAIN DATA'!B214,'Country Summary (€)'!B:F,COLUMN('Country Summary (€)'!C225)-1,FALSE)</f>
        <v>1</v>
      </c>
      <c r="AZ214" s="1194" t="str">
        <f>IF(AND(AD214=1,D214="Military",H214&lt;&gt;"Not given")=TRUE,IF(SUMIFS(P:P,A:A,A214)&gt;0,ABS((SUMIFS(P:P,A:A,A214)/VLOOKUP("USD",'Exchange Rates'!B:C,2,0)))/S214,"."),".")</f>
        <v>.</v>
      </c>
      <c r="BA214" s="1196" t="str">
        <f>IF(AND(AD214=1,D214="Military",H214&lt;&gt;"Not given")=TRUE,IF(SUMIFS(P:P,A:A,A214)&gt;0,IF((ABS((SUMIFS(P:P,A:A,A214)/VLOOKUP("USD",'Exchange Rates'!B:C,2,0)))/S214)&gt;1,(SUMIFS(P:P,A:A,A214)-S214)/S214,(S214-SUMIFS(P:P,A:A,A214))/SUMIFS(P:P,A:A,A214)),"."),".")</f>
        <v>.</v>
      </c>
    </row>
    <row r="215" spans="1:53" ht="15.95" customHeight="1">
      <c r="A215" s="1180" t="s">
        <v>979</v>
      </c>
      <c r="B215" s="1180" t="s">
        <v>918</v>
      </c>
      <c r="C215" s="1181">
        <v>45020</v>
      </c>
      <c r="D215" s="1182" t="s">
        <v>389</v>
      </c>
      <c r="E215" s="1182" t="s">
        <v>361</v>
      </c>
      <c r="F215" s="1183" t="s">
        <v>946</v>
      </c>
      <c r="G215" s="1184" t="s">
        <v>483</v>
      </c>
      <c r="H215" s="1185">
        <v>29771015</v>
      </c>
      <c r="I215" s="1190" t="s">
        <v>364</v>
      </c>
      <c r="J215" s="1186" t="str">
        <f>VLOOKUP($I215,'Price List, Weapons &amp; Items'!B:C,2,0)</f>
        <v>.</v>
      </c>
      <c r="K215" s="1186" t="str">
        <f>IF(I215=".",I215,VLOOKUP($I215,'Price List, Weapons &amp; Items'!B:D,3,0))</f>
        <v>.</v>
      </c>
      <c r="L215" s="1187">
        <f>VLOOKUP(I215,'Price List, Weapons &amp; Items'!B:E,4,0)</f>
        <v>0</v>
      </c>
      <c r="M215" s="1188" t="s">
        <v>364</v>
      </c>
      <c r="N215" s="1188" t="s">
        <v>364</v>
      </c>
      <c r="O215" s="1188" t="str">
        <f>VLOOKUP($I215,'Price List, Weapons &amp; Items'!B:G,6,0)</f>
        <v>.</v>
      </c>
      <c r="P215" s="1185" t="str">
        <f t="shared" si="52"/>
        <v>.</v>
      </c>
      <c r="Q215" s="1185" t="str">
        <f t="shared" si="53"/>
        <v>.</v>
      </c>
      <c r="R215" s="1185">
        <f t="shared" si="49"/>
        <v>29771015</v>
      </c>
      <c r="S215" s="1185">
        <f>IF(AND(AD215=1,R215&lt;&gt;".")=TRUE,R215/VLOOKUP(G215,'Exchange Rates'!B:C,2,0),IF(R215=".",".",""))</f>
        <v>29771015</v>
      </c>
      <c r="T215" s="1185" t="str">
        <f>IF(AD215=1,IF(AF215="Value is not given at all",".",IF(AF215="Value is given by the source",S215,IF(AF215="Value is calculated with prices",(IF(SUMIFS(Q:Q,A:A,A215)&gt;0,SUMIFS(Q:Q,A:A,A215),"."))/VLOOKUP("USD",'Exchange Rates'!B:C,2,0),"Error with coding"))),"")</f>
        <v>.</v>
      </c>
      <c r="U215" s="1184" t="s">
        <v>365</v>
      </c>
      <c r="V215" s="980" t="s">
        <v>947</v>
      </c>
      <c r="W215" s="980" t="s">
        <v>948</v>
      </c>
      <c r="X215" s="1190" t="s">
        <v>364</v>
      </c>
      <c r="Y215" s="1190" t="s">
        <v>364</v>
      </c>
      <c r="Z215" s="1184">
        <v>0</v>
      </c>
      <c r="AA215" s="1194">
        <v>1</v>
      </c>
      <c r="AB215" s="1180" t="s">
        <v>364</v>
      </c>
      <c r="AC215" s="1192" t="str">
        <f>""</f>
        <v/>
      </c>
      <c r="AD215" s="985">
        <v>1</v>
      </c>
      <c r="AE215" s="985" t="s">
        <v>368</v>
      </c>
      <c r="AF215" s="985" t="s">
        <v>369</v>
      </c>
      <c r="AG215" s="985">
        <v>1</v>
      </c>
      <c r="AH215" s="1193">
        <v>16</v>
      </c>
      <c r="AI215" s="1193">
        <v>0</v>
      </c>
      <c r="AJ215" s="1193">
        <f>VLOOKUP($I215,'Price List, Weapons &amp; Items'!B:F,5,0)</f>
        <v>0</v>
      </c>
      <c r="AK215" s="1193">
        <f t="shared" si="54"/>
        <v>0</v>
      </c>
      <c r="AL215" s="1193">
        <f t="shared" si="55"/>
        <v>0</v>
      </c>
      <c r="AM215" s="1193">
        <f t="shared" si="56"/>
        <v>0</v>
      </c>
      <c r="AN215" s="1194" t="str">
        <f>VLOOKUP($I215,'Price List, Weapons &amp; Items'!B:L,COLUMN('Price List, Weapons &amp; Items'!$J$11)-1,0)</f>
        <v>.</v>
      </c>
      <c r="AO215" s="1194" t="str">
        <f>IF(I215=".",".",VLOOKUP($I215,'Price List, Weapons &amp; Items'!B:J,3,0))</f>
        <v>.</v>
      </c>
      <c r="AP215" s="1195" t="str">
        <f t="shared" ca="1" si="50"/>
        <v>.</v>
      </c>
      <c r="AQ215" s="1194">
        <f>VLOOKUP($I215,'Price List, Weapons &amp; Items'!B:L,COLUMN('Price List, Weapons &amp; Items'!$L$11)-1,0)</f>
        <v>0</v>
      </c>
      <c r="AR215" s="1194">
        <f t="shared" si="57"/>
        <v>1</v>
      </c>
      <c r="AS215" s="1194">
        <f t="shared" si="58"/>
        <v>0</v>
      </c>
      <c r="AT215" s="1194">
        <f t="shared" si="59"/>
        <v>1</v>
      </c>
      <c r="AU215" s="1194" t="str">
        <f t="shared" si="60"/>
        <v>.</v>
      </c>
      <c r="AV215" s="1194" t="str">
        <f t="shared" si="51"/>
        <v>.</v>
      </c>
      <c r="AW215" s="1194" t="str">
        <f t="shared" si="61"/>
        <v>.</v>
      </c>
      <c r="AX215" s="1194">
        <f>IFERROR(VLOOKUP(B215,'Share, Heavy Weapons to Ukraine'!B:Z,COLUMN('Share, Heavy Weapons to Ukraine'!C225)-1,0),0)</f>
        <v>0</v>
      </c>
      <c r="AY215" s="1194">
        <f>VLOOKUP('Bilateral Assistance, MAIN DATA'!B215,'Country Summary (€)'!B:F,COLUMN('Country Summary (€)'!C226)-1,FALSE)</f>
        <v>1</v>
      </c>
      <c r="AZ215" s="1194" t="str">
        <f>IF(AND(AD215=1,D215="Military",H215&lt;&gt;"Not given")=TRUE,IF(SUMIFS(P:P,A:A,A215)&gt;0,ABS((SUMIFS(P:P,A:A,A215)/VLOOKUP("USD",'Exchange Rates'!B:C,2,0)))/S215,"."),".")</f>
        <v>.</v>
      </c>
      <c r="BA215" s="1196" t="str">
        <f>IF(AND(AD215=1,D215="Military",H215&lt;&gt;"Not given")=TRUE,IF(SUMIFS(P:P,A:A,A215)&gt;0,IF((ABS((SUMIFS(P:P,A:A,A215)/VLOOKUP("USD",'Exchange Rates'!B:C,2,0)))/S215)&gt;1,(SUMIFS(P:P,A:A,A215)-S215)/S215,(S215-SUMIFS(P:P,A:A,A215))/SUMIFS(P:P,A:A,A215)),"."),".")</f>
        <v>.</v>
      </c>
    </row>
    <row r="216" spans="1:53" ht="15.95" customHeight="1">
      <c r="A216" s="1182" t="s">
        <v>980</v>
      </c>
      <c r="B216" s="1182" t="s">
        <v>981</v>
      </c>
      <c r="C216" s="1181">
        <v>44629</v>
      </c>
      <c r="D216" s="1182" t="s">
        <v>360</v>
      </c>
      <c r="E216" s="1182" t="s">
        <v>371</v>
      </c>
      <c r="F216" s="1183" t="s">
        <v>982</v>
      </c>
      <c r="G216" s="1184" t="s">
        <v>483</v>
      </c>
      <c r="H216" s="1185">
        <v>2000000</v>
      </c>
      <c r="I216" s="1180" t="s">
        <v>983</v>
      </c>
      <c r="J216" s="1186" t="str">
        <f>VLOOKUP($I216,'Price List, Weapons &amp; Items'!B:C,2,0)</f>
        <v>Humanitarian</v>
      </c>
      <c r="K216" s="1186" t="str">
        <f>IF(I216=".",I216,VLOOKUP($I216,'Price List, Weapons &amp; Items'!B:D,3,0))</f>
        <v>Humanitarian</v>
      </c>
      <c r="L216" s="1187">
        <f>VLOOKUP(I216,'Price List, Weapons &amp; Items'!B:E,4,0)</f>
        <v>0</v>
      </c>
      <c r="M216" s="1188">
        <v>80</v>
      </c>
      <c r="N216" s="1188" t="s">
        <v>374</v>
      </c>
      <c r="O216" s="1188">
        <f>VLOOKUP($I216,'Price List, Weapons &amp; Items'!B:G,6,0)</f>
        <v>2430</v>
      </c>
      <c r="P216" s="1185">
        <f t="shared" si="52"/>
        <v>194400</v>
      </c>
      <c r="Q216" s="1185" t="str">
        <f t="shared" si="53"/>
        <v>.</v>
      </c>
      <c r="R216" s="1185">
        <f t="shared" si="49"/>
        <v>2000000</v>
      </c>
      <c r="S216" s="1185">
        <f>IF(AND(AD216=1,R216&lt;&gt;".")=TRUE,R216/VLOOKUP(G216,'Exchange Rates'!B:C,2,0),IF(R216=".",".",""))</f>
        <v>2000000</v>
      </c>
      <c r="T216" s="1185" t="str">
        <f>IF(AD216=1,IF(AF216="Value is not given at all",".",IF(AF216="Value is given by the source",S216,IF(AF216="Value is calculated with prices",(IF(SUMIFS(Q:Q,A:A,A216)&gt;0,SUMIFS(Q:Q,A:A,A216),"."))/VLOOKUP("USD",'Exchange Rates'!B:C,2,0),"Error with coding"))),"")</f>
        <v>.</v>
      </c>
      <c r="U216" s="1184" t="s">
        <v>365</v>
      </c>
      <c r="V216" s="974" t="s">
        <v>984</v>
      </c>
      <c r="W216" s="974" t="s">
        <v>985</v>
      </c>
      <c r="X216" s="1183" t="s">
        <v>364</v>
      </c>
      <c r="Y216" s="1183" t="s">
        <v>364</v>
      </c>
      <c r="Z216" s="1184">
        <v>0</v>
      </c>
      <c r="AA216" s="1194">
        <v>0</v>
      </c>
      <c r="AB216" s="1201" t="s">
        <v>364</v>
      </c>
      <c r="AC216" s="1192" t="str">
        <f>""</f>
        <v/>
      </c>
      <c r="AD216" s="985">
        <v>1</v>
      </c>
      <c r="AE216" s="985" t="s">
        <v>368</v>
      </c>
      <c r="AF216" s="985" t="s">
        <v>369</v>
      </c>
      <c r="AG216" s="985">
        <v>1</v>
      </c>
      <c r="AH216" s="985">
        <v>3</v>
      </c>
      <c r="AI216" s="985">
        <v>0</v>
      </c>
      <c r="AJ216" s="1193">
        <f>VLOOKUP($I216,'Price List, Weapons &amp; Items'!B:F,5,0)</f>
        <v>0</v>
      </c>
      <c r="AK216" s="1193">
        <f t="shared" si="54"/>
        <v>0</v>
      </c>
      <c r="AL216" s="1193">
        <f t="shared" si="55"/>
        <v>0</v>
      </c>
      <c r="AM216" s="1193">
        <f t="shared" si="56"/>
        <v>0</v>
      </c>
      <c r="AN216" s="1194" t="str">
        <f>VLOOKUP($I216,'Price List, Weapons &amp; Items'!B:L,COLUMN('Price List, Weapons &amp; Items'!$J$11)-1,0)</f>
        <v>Government information</v>
      </c>
      <c r="AO216" s="1194" t="str">
        <f>IF(I216=".",".",VLOOKUP($I216,'Price List, Weapons &amp; Items'!B:J,3,0))</f>
        <v>Humanitarian</v>
      </c>
      <c r="AP216" s="1195" t="str">
        <f t="shared" ca="1" si="50"/>
        <v>ton of food</v>
      </c>
      <c r="AQ216" s="1194">
        <f>VLOOKUP($I216,'Price List, Weapons &amp; Items'!B:L,COLUMN('Price List, Weapons &amp; Items'!$L$11)-1,0)</f>
        <v>0</v>
      </c>
      <c r="AR216" s="1194">
        <f t="shared" si="57"/>
        <v>1</v>
      </c>
      <c r="AS216" s="1194">
        <f t="shared" si="58"/>
        <v>0</v>
      </c>
      <c r="AT216" s="1194">
        <f t="shared" si="59"/>
        <v>1</v>
      </c>
      <c r="AU216" s="1194" t="str">
        <f t="shared" si="60"/>
        <v>.</v>
      </c>
      <c r="AV216" s="1194" t="str">
        <f t="shared" si="51"/>
        <v>.</v>
      </c>
      <c r="AW216" s="1194" t="str">
        <f t="shared" si="61"/>
        <v>.</v>
      </c>
      <c r="AX216" s="1194">
        <f>IFERROR(VLOOKUP(B216,'Share, Heavy Weapons to Ukraine'!B:Z,COLUMN('Share, Heavy Weapons to Ukraine'!C226)-1,0),0)</f>
        <v>0</v>
      </c>
      <c r="AY216" s="1194">
        <f>VLOOKUP('Bilateral Assistance, MAIN DATA'!B216,'Country Summary (€)'!B:F,COLUMN('Country Summary (€)'!C227)-1,FALSE)</f>
        <v>1</v>
      </c>
      <c r="AZ216" s="1194" t="str">
        <f>IF(AND(AD216=1,D216="Military",H216&lt;&gt;"Not given")=TRUE,IF(SUMIFS(P:P,A:A,A216)&gt;0,ABS((SUMIFS(P:P,A:A,A216)/VLOOKUP("USD",'Exchange Rates'!B:C,2,0)))/S216,"."),".")</f>
        <v>.</v>
      </c>
      <c r="BA216" s="1196" t="str">
        <f>IF(AND(AD216=1,D216="Military",H216&lt;&gt;"Not given")=TRUE,IF(SUMIFS(P:P,A:A,A216)&gt;0,IF((ABS((SUMIFS(P:P,A:A,A216)/VLOOKUP("USD",'Exchange Rates'!B:C,2,0)))/S216)&gt;1,(SUMIFS(P:P,A:A,A216)-S216)/S216,(S216-SUMIFS(P:P,A:A,A216))/SUMIFS(P:P,A:A,A216)),"."),".")</f>
        <v>.</v>
      </c>
    </row>
    <row r="217" spans="1:53" ht="15.95" customHeight="1">
      <c r="A217" s="1182" t="s">
        <v>980</v>
      </c>
      <c r="B217" s="1182" t="s">
        <v>981</v>
      </c>
      <c r="C217" s="1181">
        <v>44629</v>
      </c>
      <c r="D217" s="1182" t="s">
        <v>360</v>
      </c>
      <c r="E217" s="1182" t="s">
        <v>371</v>
      </c>
      <c r="F217" s="1183" t="s">
        <v>982</v>
      </c>
      <c r="G217" s="1184" t="s">
        <v>483</v>
      </c>
      <c r="H217" s="1185">
        <v>2000000</v>
      </c>
      <c r="I217" s="1180" t="s">
        <v>986</v>
      </c>
      <c r="J217" s="1186" t="str">
        <f>VLOOKUP($I217,'Price List, Weapons &amp; Items'!B:C,2,0)</f>
        <v>Humanitarian</v>
      </c>
      <c r="K217" s="1186" t="str">
        <f>IF(I217=".",I217,VLOOKUP($I217,'Price List, Weapons &amp; Items'!B:D,3,0))</f>
        <v>Humanitarian</v>
      </c>
      <c r="L217" s="1187">
        <f>VLOOKUP(I217,'Price List, Weapons &amp; Items'!B:E,4,0)</f>
        <v>0</v>
      </c>
      <c r="M217" s="1188">
        <v>13</v>
      </c>
      <c r="N217" s="1188" t="s">
        <v>374</v>
      </c>
      <c r="O217" s="1188">
        <f>VLOOKUP($I217,'Price List, Weapons &amp; Items'!B:G,6,0)</f>
        <v>10000</v>
      </c>
      <c r="P217" s="1185">
        <f t="shared" si="52"/>
        <v>130000</v>
      </c>
      <c r="Q217" s="1185" t="str">
        <f t="shared" si="53"/>
        <v>.</v>
      </c>
      <c r="R217" s="1185" t="str">
        <f t="shared" si="49"/>
        <v/>
      </c>
      <c r="S217" s="1185" t="str">
        <f>IF(AND(AD217=1,R217&lt;&gt;".")=TRUE,R217/VLOOKUP(G217,'Exchange Rates'!B:C,2,0),IF(R217=".",".",""))</f>
        <v/>
      </c>
      <c r="T217" s="1185" t="str">
        <f>IF(AD217=1,IF(AF217="Value is not given at all",".",IF(AF217="Value is given by the source",S217,IF(AF217="Value is calculated with prices",(IF(SUMIFS(Q:Q,A:A,A217)&gt;0,SUMIFS(Q:Q,A:A,A217),"."))/VLOOKUP("USD",'Exchange Rates'!B:C,2,0),"Error with coding"))),"")</f>
        <v/>
      </c>
      <c r="U217" s="1184" t="s">
        <v>365</v>
      </c>
      <c r="V217" s="974" t="s">
        <v>984</v>
      </c>
      <c r="W217" s="974" t="s">
        <v>985</v>
      </c>
      <c r="X217" s="1183" t="s">
        <v>364</v>
      </c>
      <c r="Y217" s="1183" t="s">
        <v>364</v>
      </c>
      <c r="Z217" s="1184">
        <v>0</v>
      </c>
      <c r="AA217" s="1194">
        <v>0</v>
      </c>
      <c r="AB217" s="1201" t="s">
        <v>364</v>
      </c>
      <c r="AC217" s="1192" t="str">
        <f>""</f>
        <v/>
      </c>
      <c r="AD217" s="985">
        <v>0</v>
      </c>
      <c r="AE217" s="985" t="s">
        <v>368</v>
      </c>
      <c r="AF217" s="985" t="s">
        <v>369</v>
      </c>
      <c r="AG217" s="985">
        <v>1</v>
      </c>
      <c r="AH217" s="985">
        <v>3</v>
      </c>
      <c r="AI217" s="985">
        <v>0</v>
      </c>
      <c r="AJ217" s="1193">
        <f>VLOOKUP($I217,'Price List, Weapons &amp; Items'!B:F,5,0)</f>
        <v>0</v>
      </c>
      <c r="AK217" s="1193">
        <f t="shared" si="54"/>
        <v>0</v>
      </c>
      <c r="AL217" s="1193">
        <f t="shared" si="55"/>
        <v>0</v>
      </c>
      <c r="AM217" s="1193">
        <f t="shared" si="56"/>
        <v>0</v>
      </c>
      <c r="AN217" s="1194" t="str">
        <f>VLOOKUP($I217,'Price List, Weapons &amp; Items'!B:L,COLUMN('Price List, Weapons &amp; Items'!$J$11)-1,0)</f>
        <v>Miscellaneous</v>
      </c>
      <c r="AO217" s="1194" t="str">
        <f>IF(I217=".",".",VLOOKUP($I217,'Price List, Weapons &amp; Items'!B:J,3,0))</f>
        <v>Humanitarian</v>
      </c>
      <c r="AP217" s="1195" t="str">
        <f t="shared" ca="1" si="50"/>
        <v/>
      </c>
      <c r="AQ217" s="1194">
        <f>VLOOKUP($I217,'Price List, Weapons &amp; Items'!B:L,COLUMN('Price List, Weapons &amp; Items'!$L$11)-1,0)</f>
        <v>0</v>
      </c>
      <c r="AR217" s="1194">
        <f t="shared" si="57"/>
        <v>1</v>
      </c>
      <c r="AS217" s="1194">
        <f t="shared" si="58"/>
        <v>0</v>
      </c>
      <c r="AT217" s="1194">
        <f t="shared" si="59"/>
        <v>1</v>
      </c>
      <c r="AU217" s="1194" t="str">
        <f t="shared" si="60"/>
        <v>.</v>
      </c>
      <c r="AV217" s="1194" t="str">
        <f t="shared" si="51"/>
        <v>.</v>
      </c>
      <c r="AW217" s="1194" t="str">
        <f t="shared" si="61"/>
        <v>.</v>
      </c>
      <c r="AX217" s="1194">
        <f>IFERROR(VLOOKUP(B217,'Share, Heavy Weapons to Ukraine'!B:Z,COLUMN('Share, Heavy Weapons to Ukraine'!C227)-1,0),0)</f>
        <v>0</v>
      </c>
      <c r="AY217" s="1194">
        <f>VLOOKUP('Bilateral Assistance, MAIN DATA'!B217,'Country Summary (€)'!B:F,COLUMN('Country Summary (€)'!C228)-1,FALSE)</f>
        <v>1</v>
      </c>
      <c r="AZ217" s="1194" t="str">
        <f>IF(AND(AD217=1,D217="Military",H217&lt;&gt;"Not given")=TRUE,IF(SUMIFS(P:P,A:A,A217)&gt;0,ABS((SUMIFS(P:P,A:A,A217)/VLOOKUP("USD",'Exchange Rates'!B:C,2,0)))/S217,"."),".")</f>
        <v>.</v>
      </c>
      <c r="BA217" s="1196" t="str">
        <f>IF(AND(AD217=1,D217="Military",H217&lt;&gt;"Not given")=TRUE,IF(SUMIFS(P:P,A:A,A217)&gt;0,IF((ABS((SUMIFS(P:P,A:A,A217)/VLOOKUP("USD",'Exchange Rates'!B:C,2,0)))/S217)&gt;1,(SUMIFS(P:P,A:A,A217)-S217)/S217,(S217-SUMIFS(P:P,A:A,A217))/SUMIFS(P:P,A:A,A217)),"."),".")</f>
        <v>.</v>
      </c>
    </row>
    <row r="218" spans="1:53" ht="15.95" customHeight="1">
      <c r="A218" s="1182" t="s">
        <v>980</v>
      </c>
      <c r="B218" s="1182" t="s">
        <v>981</v>
      </c>
      <c r="C218" s="1181">
        <v>44629</v>
      </c>
      <c r="D218" s="1182" t="s">
        <v>360</v>
      </c>
      <c r="E218" s="1182" t="s">
        <v>371</v>
      </c>
      <c r="F218" s="1183" t="s">
        <v>982</v>
      </c>
      <c r="G218" s="1184" t="s">
        <v>483</v>
      </c>
      <c r="H218" s="1185">
        <v>2000000</v>
      </c>
      <c r="I218" s="1180" t="s">
        <v>987</v>
      </c>
      <c r="J218" s="1186" t="str">
        <f>VLOOKUP($I218,'Price List, Weapons &amp; Items'!B:C,2,0)</f>
        <v>Humanitarian</v>
      </c>
      <c r="K218" s="1186" t="str">
        <f>IF(I218=".",I218,VLOOKUP($I218,'Price List, Weapons &amp; Items'!B:D,3,0))</f>
        <v>Humanitarian</v>
      </c>
      <c r="L218" s="1187">
        <f>VLOOKUP(I218,'Price List, Weapons &amp; Items'!B:E,4,0)</f>
        <v>0</v>
      </c>
      <c r="M218" s="1188">
        <v>22500</v>
      </c>
      <c r="N218" s="1188" t="s">
        <v>374</v>
      </c>
      <c r="O218" s="1188">
        <f>VLOOKUP($I218,'Price List, Weapons &amp; Items'!B:G,6,0)</f>
        <v>1.5</v>
      </c>
      <c r="P218" s="1185">
        <f t="shared" si="52"/>
        <v>33750</v>
      </c>
      <c r="Q218" s="1185" t="str">
        <f t="shared" si="53"/>
        <v>.</v>
      </c>
      <c r="R218" s="1185" t="str">
        <f t="shared" si="49"/>
        <v/>
      </c>
      <c r="S218" s="1185" t="str">
        <f>IF(AND(AD218=1,R218&lt;&gt;".")=TRUE,R218/VLOOKUP(G218,'Exchange Rates'!B:C,2,0),IF(R218=".",".",""))</f>
        <v/>
      </c>
      <c r="T218" s="1185" t="str">
        <f>IF(AD218=1,IF(AF218="Value is not given at all",".",IF(AF218="Value is given by the source",S218,IF(AF218="Value is calculated with prices",(IF(SUMIFS(Q:Q,A:A,A218)&gt;0,SUMIFS(Q:Q,A:A,A218),"."))/VLOOKUP("USD",'Exchange Rates'!B:C,2,0),"Error with coding"))),"")</f>
        <v/>
      </c>
      <c r="U218" s="1184" t="s">
        <v>365</v>
      </c>
      <c r="V218" s="974" t="s">
        <v>984</v>
      </c>
      <c r="W218" s="974" t="s">
        <v>985</v>
      </c>
      <c r="X218" s="1183" t="s">
        <v>364</v>
      </c>
      <c r="Y218" s="1183" t="s">
        <v>364</v>
      </c>
      <c r="Z218" s="1184">
        <v>0</v>
      </c>
      <c r="AA218" s="1194">
        <v>0</v>
      </c>
      <c r="AB218" s="1201" t="s">
        <v>364</v>
      </c>
      <c r="AC218" s="1192" t="str">
        <f>""</f>
        <v/>
      </c>
      <c r="AD218" s="985">
        <v>0</v>
      </c>
      <c r="AE218" s="985" t="s">
        <v>368</v>
      </c>
      <c r="AF218" s="985" t="s">
        <v>369</v>
      </c>
      <c r="AG218" s="985">
        <v>1</v>
      </c>
      <c r="AH218" s="985">
        <v>3</v>
      </c>
      <c r="AI218" s="985">
        <v>0</v>
      </c>
      <c r="AJ218" s="1193">
        <f>VLOOKUP($I218,'Price List, Weapons &amp; Items'!B:F,5,0)</f>
        <v>0</v>
      </c>
      <c r="AK218" s="1193">
        <f t="shared" si="54"/>
        <v>0</v>
      </c>
      <c r="AL218" s="1193">
        <f t="shared" si="55"/>
        <v>0</v>
      </c>
      <c r="AM218" s="1193">
        <f t="shared" si="56"/>
        <v>0</v>
      </c>
      <c r="AN218" s="1194" t="str">
        <f>VLOOKUP($I218,'Price List, Weapons &amp; Items'!B:L,COLUMN('Price List, Weapons &amp; Items'!$J$11)-1,0)</f>
        <v>Online marketplaces and stores</v>
      </c>
      <c r="AO218" s="1194" t="str">
        <f>IF(I218=".",".",VLOOKUP($I218,'Price List, Weapons &amp; Items'!B:J,3,0))</f>
        <v>Humanitarian</v>
      </c>
      <c r="AP218" s="1195" t="str">
        <f t="shared" ca="1" si="50"/>
        <v/>
      </c>
      <c r="AQ218" s="1194">
        <f>VLOOKUP($I218,'Price List, Weapons &amp; Items'!B:L,COLUMN('Price List, Weapons &amp; Items'!$L$11)-1,0)</f>
        <v>0</v>
      </c>
      <c r="AR218" s="1194">
        <f t="shared" si="57"/>
        <v>1</v>
      </c>
      <c r="AS218" s="1194">
        <f t="shared" si="58"/>
        <v>0</v>
      </c>
      <c r="AT218" s="1194">
        <f t="shared" si="59"/>
        <v>1</v>
      </c>
      <c r="AU218" s="1194" t="str">
        <f t="shared" si="60"/>
        <v>.</v>
      </c>
      <c r="AV218" s="1194" t="str">
        <f t="shared" si="51"/>
        <v>.</v>
      </c>
      <c r="AW218" s="1194" t="str">
        <f t="shared" si="61"/>
        <v>.</v>
      </c>
      <c r="AX218" s="1194">
        <f>IFERROR(VLOOKUP(B218,'Share, Heavy Weapons to Ukraine'!B:Z,COLUMN('Share, Heavy Weapons to Ukraine'!C228)-1,0),0)</f>
        <v>0</v>
      </c>
      <c r="AY218" s="1194">
        <f>VLOOKUP('Bilateral Assistance, MAIN DATA'!B218,'Country Summary (€)'!B:F,COLUMN('Country Summary (€)'!C229)-1,FALSE)</f>
        <v>1</v>
      </c>
      <c r="AZ218" s="1194" t="str">
        <f>IF(AND(AD218=1,D218="Military",H218&lt;&gt;"Not given")=TRUE,IF(SUMIFS(P:P,A:A,A218)&gt;0,ABS((SUMIFS(P:P,A:A,A218)/VLOOKUP("USD",'Exchange Rates'!B:C,2,0)))/S218,"."),".")</f>
        <v>.</v>
      </c>
      <c r="BA218" s="1196" t="str">
        <f>IF(AND(AD218=1,D218="Military",H218&lt;&gt;"Not given")=TRUE,IF(SUMIFS(P:P,A:A,A218)&gt;0,IF((ABS((SUMIFS(P:P,A:A,A218)/VLOOKUP("USD",'Exchange Rates'!B:C,2,0)))/S218)&gt;1,(SUMIFS(P:P,A:A,A218)-S218)/S218,(S218-SUMIFS(P:P,A:A,A218))/SUMIFS(P:P,A:A,A218)),"."),".")</f>
        <v>.</v>
      </c>
    </row>
    <row r="219" spans="1:53" ht="15.95" customHeight="1">
      <c r="A219" s="1182" t="s">
        <v>980</v>
      </c>
      <c r="B219" s="1182" t="s">
        <v>981</v>
      </c>
      <c r="C219" s="1181">
        <v>44629</v>
      </c>
      <c r="D219" s="1182" t="s">
        <v>360</v>
      </c>
      <c r="E219" s="1182" t="s">
        <v>371</v>
      </c>
      <c r="F219" s="1183" t="s">
        <v>982</v>
      </c>
      <c r="G219" s="1184" t="s">
        <v>483</v>
      </c>
      <c r="H219" s="1185">
        <v>2000000</v>
      </c>
      <c r="I219" s="1180" t="s">
        <v>988</v>
      </c>
      <c r="J219" s="1186" t="str">
        <f>VLOOKUP($I219,'Price List, Weapons &amp; Items'!B:C,2,0)</f>
        <v>Humanitarian</v>
      </c>
      <c r="K219" s="1186" t="str">
        <f>IF(I219=".",I219,VLOOKUP($I219,'Price List, Weapons &amp; Items'!B:D,3,0))</f>
        <v>Humanitarian</v>
      </c>
      <c r="L219" s="1187">
        <f>VLOOKUP(I219,'Price List, Weapons &amp; Items'!B:E,4,0)</f>
        <v>0</v>
      </c>
      <c r="M219" s="1188">
        <v>5000</v>
      </c>
      <c r="N219" s="1188" t="s">
        <v>374</v>
      </c>
      <c r="O219" s="1188">
        <f>VLOOKUP($I219,'Price List, Weapons &amp; Items'!B:G,6,0)</f>
        <v>20</v>
      </c>
      <c r="P219" s="1185">
        <f t="shared" si="52"/>
        <v>100000</v>
      </c>
      <c r="Q219" s="1185" t="str">
        <f t="shared" si="53"/>
        <v>.</v>
      </c>
      <c r="R219" s="1185" t="str">
        <f t="shared" si="49"/>
        <v/>
      </c>
      <c r="S219" s="1185" t="str">
        <f>IF(AND(AD219=1,R219&lt;&gt;".")=TRUE,R219/VLOOKUP(G219,'Exchange Rates'!B:C,2,0),IF(R219=".",".",""))</f>
        <v/>
      </c>
      <c r="T219" s="1185" t="str">
        <f>IF(AD219=1,IF(AF219="Value is not given at all",".",IF(AF219="Value is given by the source",S219,IF(AF219="Value is calculated with prices",(IF(SUMIFS(Q:Q,A:A,A219)&gt;0,SUMIFS(Q:Q,A:A,A219),"."))/VLOOKUP("USD",'Exchange Rates'!B:C,2,0),"Error with coding"))),"")</f>
        <v/>
      </c>
      <c r="U219" s="1184" t="s">
        <v>365</v>
      </c>
      <c r="V219" s="974" t="s">
        <v>984</v>
      </c>
      <c r="W219" s="974" t="s">
        <v>985</v>
      </c>
      <c r="X219" s="1183" t="s">
        <v>364</v>
      </c>
      <c r="Y219" s="1183" t="s">
        <v>364</v>
      </c>
      <c r="Z219" s="1184">
        <v>0</v>
      </c>
      <c r="AA219" s="1194">
        <v>0</v>
      </c>
      <c r="AB219" s="1201" t="s">
        <v>364</v>
      </c>
      <c r="AC219" s="1192" t="str">
        <f>""</f>
        <v/>
      </c>
      <c r="AD219" s="985">
        <v>0</v>
      </c>
      <c r="AE219" s="985" t="s">
        <v>368</v>
      </c>
      <c r="AF219" s="985" t="s">
        <v>369</v>
      </c>
      <c r="AG219" s="985">
        <v>1</v>
      </c>
      <c r="AH219" s="985">
        <v>3</v>
      </c>
      <c r="AI219" s="985">
        <v>0</v>
      </c>
      <c r="AJ219" s="1193">
        <f>VLOOKUP($I219,'Price List, Weapons &amp; Items'!B:F,5,0)</f>
        <v>0</v>
      </c>
      <c r="AK219" s="1193">
        <f t="shared" si="54"/>
        <v>0</v>
      </c>
      <c r="AL219" s="1193">
        <f t="shared" si="55"/>
        <v>0</v>
      </c>
      <c r="AM219" s="1193">
        <f t="shared" si="56"/>
        <v>0</v>
      </c>
      <c r="AN219" s="1194" t="str">
        <f>VLOOKUP($I219,'Price List, Weapons &amp; Items'!B:L,COLUMN('Price List, Weapons &amp; Items'!$J$11)-1,0)</f>
        <v>Online marketplaces and stores</v>
      </c>
      <c r="AO219" s="1194" t="str">
        <f>IF(I219=".",".",VLOOKUP($I219,'Price List, Weapons &amp; Items'!B:J,3,0))</f>
        <v>Humanitarian</v>
      </c>
      <c r="AP219" s="1195" t="str">
        <f t="shared" ca="1" si="50"/>
        <v/>
      </c>
      <c r="AQ219" s="1194">
        <f>VLOOKUP($I219,'Price List, Weapons &amp; Items'!B:L,COLUMN('Price List, Weapons &amp; Items'!$L$11)-1,0)</f>
        <v>0</v>
      </c>
      <c r="AR219" s="1194">
        <f t="shared" si="57"/>
        <v>1</v>
      </c>
      <c r="AS219" s="1194">
        <f t="shared" si="58"/>
        <v>0</v>
      </c>
      <c r="AT219" s="1194">
        <f t="shared" si="59"/>
        <v>1</v>
      </c>
      <c r="AU219" s="1194" t="str">
        <f t="shared" si="60"/>
        <v>.</v>
      </c>
      <c r="AV219" s="1194" t="str">
        <f t="shared" si="51"/>
        <v>.</v>
      </c>
      <c r="AW219" s="1194" t="str">
        <f t="shared" si="61"/>
        <v>.</v>
      </c>
      <c r="AX219" s="1194">
        <f>IFERROR(VLOOKUP(B219,'Share, Heavy Weapons to Ukraine'!B:Z,COLUMN('Share, Heavy Weapons to Ukraine'!C229)-1,0),0)</f>
        <v>0</v>
      </c>
      <c r="AY219" s="1194">
        <f>VLOOKUP('Bilateral Assistance, MAIN DATA'!B219,'Country Summary (€)'!B:F,COLUMN('Country Summary (€)'!C230)-1,FALSE)</f>
        <v>1</v>
      </c>
      <c r="AZ219" s="1194" t="str">
        <f>IF(AND(AD219=1,D219="Military",H219&lt;&gt;"Not given")=TRUE,IF(SUMIFS(P:P,A:A,A219)&gt;0,ABS((SUMIFS(P:P,A:A,A219)/VLOOKUP("USD",'Exchange Rates'!B:C,2,0)))/S219,"."),".")</f>
        <v>.</v>
      </c>
      <c r="BA219" s="1196" t="str">
        <f>IF(AND(AD219=1,D219="Military",H219&lt;&gt;"Not given")=TRUE,IF(SUMIFS(P:P,A:A,A219)&gt;0,IF((ABS((SUMIFS(P:P,A:A,A219)/VLOOKUP("USD",'Exchange Rates'!B:C,2,0)))/S219)&gt;1,(SUMIFS(P:P,A:A,A219)-S219)/S219,(S219-SUMIFS(P:P,A:A,A219))/SUMIFS(P:P,A:A,A219)),"."),".")</f>
        <v>.</v>
      </c>
    </row>
    <row r="220" spans="1:53" ht="15.95" customHeight="1">
      <c r="A220" s="1182" t="s">
        <v>980</v>
      </c>
      <c r="B220" s="1182" t="s">
        <v>981</v>
      </c>
      <c r="C220" s="1181">
        <v>44629</v>
      </c>
      <c r="D220" s="1182" t="s">
        <v>360</v>
      </c>
      <c r="E220" s="1182" t="s">
        <v>371</v>
      </c>
      <c r="F220" s="1183" t="s">
        <v>982</v>
      </c>
      <c r="G220" s="1184" t="s">
        <v>483</v>
      </c>
      <c r="H220" s="1185">
        <v>2000000</v>
      </c>
      <c r="I220" s="1180" t="s">
        <v>989</v>
      </c>
      <c r="J220" s="1186" t="str">
        <f>VLOOKUP($I220,'Price List, Weapons &amp; Items'!B:C,2,0)</f>
        <v>Humanitarian</v>
      </c>
      <c r="K220" s="1186" t="str">
        <f>IF(I220=".",I220,VLOOKUP($I220,'Price List, Weapons &amp; Items'!B:D,3,0))</f>
        <v>Humanitarian</v>
      </c>
      <c r="L220" s="1187">
        <f>VLOOKUP(I220,'Price List, Weapons &amp; Items'!B:E,4,0)</f>
        <v>0</v>
      </c>
      <c r="M220" s="1188">
        <v>1</v>
      </c>
      <c r="N220" s="1188" t="s">
        <v>374</v>
      </c>
      <c r="O220" s="1188" t="str">
        <f>VLOOKUP($I220,'Price List, Weapons &amp; Items'!B:G,6,0)</f>
        <v>.</v>
      </c>
      <c r="P220" s="1185" t="str">
        <f t="shared" si="52"/>
        <v>No price</v>
      </c>
      <c r="Q220" s="1185" t="str">
        <f t="shared" si="53"/>
        <v>.</v>
      </c>
      <c r="R220" s="1185" t="str">
        <f t="shared" si="49"/>
        <v/>
      </c>
      <c r="S220" s="1185" t="str">
        <f>IF(AND(AD220=1,R220&lt;&gt;".")=TRUE,R220/VLOOKUP(G220,'Exchange Rates'!B:C,2,0),IF(R220=".",".",""))</f>
        <v/>
      </c>
      <c r="T220" s="1185" t="str">
        <f>IF(AD220=1,IF(AF220="Value is not given at all",".",IF(AF220="Value is given by the source",S220,IF(AF220="Value is calculated with prices",(IF(SUMIFS(Q:Q,A:A,A220)&gt;0,SUMIFS(Q:Q,A:A,A220),"."))/VLOOKUP("USD",'Exchange Rates'!B:C,2,0),"Error with coding"))),"")</f>
        <v/>
      </c>
      <c r="U220" s="1184" t="s">
        <v>365</v>
      </c>
      <c r="V220" s="974" t="s">
        <v>984</v>
      </c>
      <c r="W220" s="974" t="s">
        <v>985</v>
      </c>
      <c r="X220" s="1183" t="s">
        <v>364</v>
      </c>
      <c r="Y220" s="1190" t="s">
        <v>364</v>
      </c>
      <c r="Z220" s="1184">
        <v>0</v>
      </c>
      <c r="AA220" s="1194">
        <v>0</v>
      </c>
      <c r="AB220" s="1201" t="s">
        <v>364</v>
      </c>
      <c r="AC220" s="1192" t="str">
        <f>""</f>
        <v/>
      </c>
      <c r="AD220" s="985">
        <v>0</v>
      </c>
      <c r="AE220" s="985" t="s">
        <v>368</v>
      </c>
      <c r="AF220" s="985" t="s">
        <v>369</v>
      </c>
      <c r="AG220" s="985">
        <v>1</v>
      </c>
      <c r="AH220" s="985">
        <v>3</v>
      </c>
      <c r="AI220" s="985">
        <v>0</v>
      </c>
      <c r="AJ220" s="1193">
        <f>VLOOKUP($I220,'Price List, Weapons &amp; Items'!B:F,5,0)</f>
        <v>0</v>
      </c>
      <c r="AK220" s="1193">
        <f t="shared" si="54"/>
        <v>0</v>
      </c>
      <c r="AL220" s="1193">
        <f t="shared" si="55"/>
        <v>0</v>
      </c>
      <c r="AM220" s="1193">
        <f t="shared" si="56"/>
        <v>0</v>
      </c>
      <c r="AN220" s="1194" t="str">
        <f>VLOOKUP($I220,'Price List, Weapons &amp; Items'!B:L,COLUMN('Price List, Weapons &amp; Items'!$J$11)-1,0)</f>
        <v>Media reports (incl. social media)</v>
      </c>
      <c r="AO220" s="1194" t="str">
        <f>IF(I220=".",".",VLOOKUP($I220,'Price List, Weapons &amp; Items'!B:J,3,0))</f>
        <v>Humanitarian</v>
      </c>
      <c r="AP220" s="1195" t="str">
        <f t="shared" ca="1" si="50"/>
        <v/>
      </c>
      <c r="AQ220" s="1194">
        <f>VLOOKUP($I220,'Price List, Weapons &amp; Items'!B:L,COLUMN('Price List, Weapons &amp; Items'!$L$11)-1,0)</f>
        <v>0</v>
      </c>
      <c r="AR220" s="1194">
        <f t="shared" si="57"/>
        <v>1</v>
      </c>
      <c r="AS220" s="1194">
        <f t="shared" si="58"/>
        <v>0</v>
      </c>
      <c r="AT220" s="1194">
        <f t="shared" si="59"/>
        <v>1</v>
      </c>
      <c r="AU220" s="1194" t="str">
        <f t="shared" si="60"/>
        <v>.</v>
      </c>
      <c r="AV220" s="1194" t="str">
        <f t="shared" si="51"/>
        <v>.</v>
      </c>
      <c r="AW220" s="1194" t="str">
        <f t="shared" si="61"/>
        <v>.</v>
      </c>
      <c r="AX220" s="1194">
        <f>IFERROR(VLOOKUP(B220,'Share, Heavy Weapons to Ukraine'!B:Z,COLUMN('Share, Heavy Weapons to Ukraine'!C230)-1,0),0)</f>
        <v>0</v>
      </c>
      <c r="AY220" s="1194">
        <f>VLOOKUP('Bilateral Assistance, MAIN DATA'!B220,'Country Summary (€)'!B:F,COLUMN('Country Summary (€)'!C231)-1,FALSE)</f>
        <v>1</v>
      </c>
      <c r="AZ220" s="1194" t="str">
        <f>IF(AND(AD220=1,D220="Military",H220&lt;&gt;"Not given")=TRUE,IF(SUMIFS(P:P,A:A,A220)&gt;0,ABS((SUMIFS(P:P,A:A,A220)/VLOOKUP("USD",'Exchange Rates'!B:C,2,0)))/S220,"."),".")</f>
        <v>.</v>
      </c>
      <c r="BA220" s="1196" t="str">
        <f>IF(AND(AD220=1,D220="Military",H220&lt;&gt;"Not given")=TRUE,IF(SUMIFS(P:P,A:A,A220)&gt;0,IF((ABS((SUMIFS(P:P,A:A,A220)/VLOOKUP("USD",'Exchange Rates'!B:C,2,0)))/S220)&gt;1,(SUMIFS(P:P,A:A,A220)-S220)/S220,(S220-SUMIFS(P:P,A:A,A220))/SUMIFS(P:P,A:A,A220)),"."),".")</f>
        <v>.</v>
      </c>
    </row>
    <row r="221" spans="1:53" ht="15.95" customHeight="1">
      <c r="A221" s="1180" t="s">
        <v>990</v>
      </c>
      <c r="B221" s="1180" t="s">
        <v>981</v>
      </c>
      <c r="C221" s="1181">
        <v>44715</v>
      </c>
      <c r="D221" s="1182" t="s">
        <v>360</v>
      </c>
      <c r="E221" s="1182" t="s">
        <v>371</v>
      </c>
      <c r="F221" s="1183" t="s">
        <v>991</v>
      </c>
      <c r="G221" s="1184" t="s">
        <v>483</v>
      </c>
      <c r="H221" s="1185">
        <v>500000</v>
      </c>
      <c r="I221" s="1180" t="s">
        <v>364</v>
      </c>
      <c r="J221" s="1186" t="str">
        <f>VLOOKUP($I221,'Price List, Weapons &amp; Items'!B:C,2,0)</f>
        <v>.</v>
      </c>
      <c r="K221" s="1186" t="str">
        <f>IF(I221=".",I221,VLOOKUP($I221,'Price List, Weapons &amp; Items'!B:D,3,0))</f>
        <v>.</v>
      </c>
      <c r="L221" s="1187">
        <f>VLOOKUP(I221,'Price List, Weapons &amp; Items'!B:E,4,0)</f>
        <v>0</v>
      </c>
      <c r="M221" s="1188" t="s">
        <v>364</v>
      </c>
      <c r="N221" s="1188" t="s">
        <v>364</v>
      </c>
      <c r="O221" s="1188" t="str">
        <f>VLOOKUP($I221,'Price List, Weapons &amp; Items'!B:G,6,0)</f>
        <v>.</v>
      </c>
      <c r="P221" s="1185" t="str">
        <f t="shared" si="52"/>
        <v>.</v>
      </c>
      <c r="Q221" s="1185" t="str">
        <f t="shared" si="53"/>
        <v>.</v>
      </c>
      <c r="R221" s="1185">
        <f t="shared" si="49"/>
        <v>500000</v>
      </c>
      <c r="S221" s="1185">
        <f>IF(AND(AD221=1,R221&lt;&gt;".")=TRUE,R221/VLOOKUP(G221,'Exchange Rates'!B:C,2,0),IF(R221=".",".",""))</f>
        <v>500000</v>
      </c>
      <c r="T221" s="1185" t="str">
        <f>IF(AD221=1,IF(AF221="Value is not given at all",".",IF(AF221="Value is given by the source",S221,IF(AF221="Value is calculated with prices",(IF(SUMIFS(Q:Q,A:A,A221)&gt;0,SUMIFS(Q:Q,A:A,A221),"."))/VLOOKUP("USD",'Exchange Rates'!B:C,2,0),"Error with coding"))),"")</f>
        <v>.</v>
      </c>
      <c r="U221" s="1184" t="s">
        <v>675</v>
      </c>
      <c r="V221" s="973" t="s">
        <v>992</v>
      </c>
      <c r="W221" s="971" t="s">
        <v>993</v>
      </c>
      <c r="X221" s="1190" t="s">
        <v>364</v>
      </c>
      <c r="Y221" s="1190" t="s">
        <v>364</v>
      </c>
      <c r="Z221" s="1184">
        <v>0</v>
      </c>
      <c r="AA221" s="1194">
        <v>0</v>
      </c>
      <c r="AB221" s="1201" t="s">
        <v>364</v>
      </c>
      <c r="AC221" s="1192" t="str">
        <f>""</f>
        <v/>
      </c>
      <c r="AD221" s="985">
        <v>1</v>
      </c>
      <c r="AE221" s="985" t="s">
        <v>368</v>
      </c>
      <c r="AF221" s="985" t="s">
        <v>369</v>
      </c>
      <c r="AG221" s="985">
        <v>1</v>
      </c>
      <c r="AH221" s="1193">
        <v>6</v>
      </c>
      <c r="AI221" s="1193">
        <v>0</v>
      </c>
      <c r="AJ221" s="1193">
        <f>VLOOKUP($I221,'Price List, Weapons &amp; Items'!B:F,5,0)</f>
        <v>0</v>
      </c>
      <c r="AK221" s="1193">
        <f t="shared" si="54"/>
        <v>0</v>
      </c>
      <c r="AL221" s="1193">
        <f t="shared" si="55"/>
        <v>0</v>
      </c>
      <c r="AM221" s="1193">
        <f t="shared" si="56"/>
        <v>0</v>
      </c>
      <c r="AN221" s="1194" t="str">
        <f>VLOOKUP($I221,'Price List, Weapons &amp; Items'!B:L,COLUMN('Price List, Weapons &amp; Items'!$J$11)-1,0)</f>
        <v>.</v>
      </c>
      <c r="AO221" s="1194" t="str">
        <f>IF(I221=".",".",VLOOKUP($I221,'Price List, Weapons &amp; Items'!B:J,3,0))</f>
        <v>.</v>
      </c>
      <c r="AP221" s="1195" t="str">
        <f t="shared" ca="1" si="50"/>
        <v>.</v>
      </c>
      <c r="AQ221" s="1194">
        <f>VLOOKUP($I221,'Price List, Weapons &amp; Items'!B:L,COLUMN('Price List, Weapons &amp; Items'!$L$11)-1,0)</f>
        <v>0</v>
      </c>
      <c r="AR221" s="1194">
        <f t="shared" si="57"/>
        <v>0</v>
      </c>
      <c r="AS221" s="1194">
        <f t="shared" si="58"/>
        <v>0</v>
      </c>
      <c r="AT221" s="1194">
        <f t="shared" si="59"/>
        <v>1</v>
      </c>
      <c r="AU221" s="1194" t="str">
        <f t="shared" si="60"/>
        <v>.</v>
      </c>
      <c r="AV221" s="1194" t="str">
        <f t="shared" si="51"/>
        <v>.</v>
      </c>
      <c r="AW221" s="1194" t="str">
        <f t="shared" si="61"/>
        <v>.</v>
      </c>
      <c r="AX221" s="1194">
        <f>IFERROR(VLOOKUP(B221,'Share, Heavy Weapons to Ukraine'!B:Z,COLUMN('Share, Heavy Weapons to Ukraine'!C231)-1,0),0)</f>
        <v>0</v>
      </c>
      <c r="AY221" s="1194">
        <f>VLOOKUP('Bilateral Assistance, MAIN DATA'!B221,'Country Summary (€)'!B:F,COLUMN('Country Summary (€)'!C232)-1,FALSE)</f>
        <v>1</v>
      </c>
      <c r="AZ221" s="1194" t="str">
        <f>IF(AND(AD221=1,D221="Military",H221&lt;&gt;"Not given")=TRUE,IF(SUMIFS(P:P,A:A,A221)&gt;0,ABS((SUMIFS(P:P,A:A,A221)/VLOOKUP("USD",'Exchange Rates'!B:C,2,0)))/S221,"."),".")</f>
        <v>.</v>
      </c>
      <c r="BA221" s="1196" t="str">
        <f>IF(AND(AD221=1,D221="Military",H221&lt;&gt;"Not given")=TRUE,IF(SUMIFS(P:P,A:A,A221)&gt;0,IF((ABS((SUMIFS(P:P,A:A,A221)/VLOOKUP("USD",'Exchange Rates'!B:C,2,0)))/S221)&gt;1,(SUMIFS(P:P,A:A,A221)-S221)/S221,(S221-SUMIFS(P:P,A:A,A221))/SUMIFS(P:P,A:A,A221)),"."),".")</f>
        <v>.</v>
      </c>
    </row>
    <row r="222" spans="1:53" ht="15.95" customHeight="1">
      <c r="A222" s="1180" t="s">
        <v>994</v>
      </c>
      <c r="B222" s="1180" t="s">
        <v>981</v>
      </c>
      <c r="C222" s="1181">
        <v>44909</v>
      </c>
      <c r="D222" s="1182" t="s">
        <v>360</v>
      </c>
      <c r="E222" s="1182" t="s">
        <v>371</v>
      </c>
      <c r="F222" s="1183" t="s">
        <v>995</v>
      </c>
      <c r="G222" s="1184" t="s">
        <v>483</v>
      </c>
      <c r="H222" s="1185">
        <v>300000</v>
      </c>
      <c r="I222" s="1180" t="s">
        <v>989</v>
      </c>
      <c r="J222" s="1186" t="str">
        <f>VLOOKUP($I222,'Price List, Weapons &amp; Items'!B:C,2,0)</f>
        <v>Humanitarian</v>
      </c>
      <c r="K222" s="1186" t="str">
        <f>IF(I222=".",I222,VLOOKUP($I222,'Price List, Weapons &amp; Items'!B:D,3,0))</f>
        <v>Humanitarian</v>
      </c>
      <c r="L222" s="1187">
        <f>VLOOKUP(I222,'Price List, Weapons &amp; Items'!B:E,4,0)</f>
        <v>0</v>
      </c>
      <c r="M222" s="1188" t="s">
        <v>374</v>
      </c>
      <c r="N222" s="1188" t="s">
        <v>374</v>
      </c>
      <c r="O222" s="1188" t="str">
        <f>VLOOKUP($I222,'Price List, Weapons &amp; Items'!B:G,6,0)</f>
        <v>.</v>
      </c>
      <c r="P222" s="1185" t="str">
        <f t="shared" si="52"/>
        <v>.</v>
      </c>
      <c r="Q222" s="1185" t="str">
        <f t="shared" si="53"/>
        <v>.</v>
      </c>
      <c r="R222" s="1185">
        <f t="shared" si="49"/>
        <v>300000</v>
      </c>
      <c r="S222" s="1185">
        <f>IF(AND(AD222=1,R222&lt;&gt;".")=TRUE,R222/VLOOKUP(G222,'Exchange Rates'!B:C,2,0),IF(R222=".",".",""))</f>
        <v>300000</v>
      </c>
      <c r="T222" s="1185" t="str">
        <f>IF(AD222=1,IF(AF222="Value is not given at all",".",IF(AF222="Value is given by the source",S222,IF(AF222="Value is calculated with prices",(IF(SUMIFS(Q:Q,A:A,A222)&gt;0,SUMIFS(Q:Q,A:A,A222),"."))/VLOOKUP("USD",'Exchange Rates'!B:C,2,0),"Error with coding"))),"")</f>
        <v>.</v>
      </c>
      <c r="U222" s="1184" t="s">
        <v>365</v>
      </c>
      <c r="V222" s="971" t="s">
        <v>996</v>
      </c>
      <c r="W222" s="966" t="s">
        <v>997</v>
      </c>
      <c r="X222" s="971" t="s">
        <v>998</v>
      </c>
      <c r="Y222" s="1196" t="s">
        <v>364</v>
      </c>
      <c r="Z222" s="1184">
        <v>0</v>
      </c>
      <c r="AA222" s="1184">
        <v>0</v>
      </c>
      <c r="AB222" s="1201" t="s">
        <v>364</v>
      </c>
      <c r="AC222" s="1192" t="str">
        <f>""</f>
        <v/>
      </c>
      <c r="AD222" s="985">
        <v>1</v>
      </c>
      <c r="AE222" s="985" t="s">
        <v>368</v>
      </c>
      <c r="AF222" s="985" t="s">
        <v>369</v>
      </c>
      <c r="AG222" s="985">
        <v>1</v>
      </c>
      <c r="AH222" s="1193">
        <v>12</v>
      </c>
      <c r="AI222" s="1193">
        <v>0</v>
      </c>
      <c r="AJ222" s="1193">
        <f>VLOOKUP($I222,'Price List, Weapons &amp; Items'!B:F,5,0)</f>
        <v>0</v>
      </c>
      <c r="AK222" s="1193">
        <f t="shared" si="54"/>
        <v>0</v>
      </c>
      <c r="AL222" s="1193">
        <f t="shared" si="55"/>
        <v>0</v>
      </c>
      <c r="AM222" s="1193">
        <f t="shared" si="56"/>
        <v>0</v>
      </c>
      <c r="AN222" s="1194" t="str">
        <f>VLOOKUP($I222,'Price List, Weapons &amp; Items'!B:L,COLUMN('Price List, Weapons &amp; Items'!$J$11)-1,0)</f>
        <v>Media reports (incl. social media)</v>
      </c>
      <c r="AO222" s="1194" t="str">
        <f>IF(I222=".",".",VLOOKUP($I222,'Price List, Weapons &amp; Items'!B:J,3,0))</f>
        <v>Humanitarian</v>
      </c>
      <c r="AP222" s="1195" t="str">
        <f t="shared" ca="1" si="50"/>
        <v>Power generator</v>
      </c>
      <c r="AQ222" s="1194">
        <f>VLOOKUP($I222,'Price List, Weapons &amp; Items'!B:L,COLUMN('Price List, Weapons &amp; Items'!$L$11)-1,0)</f>
        <v>0</v>
      </c>
      <c r="AR222" s="1194">
        <f t="shared" si="57"/>
        <v>1</v>
      </c>
      <c r="AS222" s="1194">
        <f t="shared" si="58"/>
        <v>0</v>
      </c>
      <c r="AT222" s="1194">
        <f t="shared" si="59"/>
        <v>1</v>
      </c>
      <c r="AU222" s="1194" t="str">
        <f t="shared" si="60"/>
        <v>.</v>
      </c>
      <c r="AV222" s="1194" t="str">
        <f t="shared" si="51"/>
        <v>.</v>
      </c>
      <c r="AW222" s="1194" t="str">
        <f t="shared" si="61"/>
        <v>.</v>
      </c>
      <c r="AX222" s="1194">
        <f>IFERROR(VLOOKUP(B222,'Share, Heavy Weapons to Ukraine'!B:Z,COLUMN('Share, Heavy Weapons to Ukraine'!C232)-1,0),0)</f>
        <v>0</v>
      </c>
      <c r="AY222" s="1194">
        <f>VLOOKUP('Bilateral Assistance, MAIN DATA'!B222,'Country Summary (€)'!B:F,COLUMN('Country Summary (€)'!C233)-1,FALSE)</f>
        <v>1</v>
      </c>
      <c r="AZ222" s="1194" t="str">
        <f>IF(AND(AD222=1,D222="Military",H222&lt;&gt;"Not given")=TRUE,IF(SUMIFS(P:P,A:A,A222)&gt;0,ABS((SUMIFS(P:P,A:A,A222)/VLOOKUP("USD",'Exchange Rates'!B:C,2,0)))/S222,"."),".")</f>
        <v>.</v>
      </c>
      <c r="BA222" s="1196" t="str">
        <f>IF(AND(AD222=1,D222="Military",H222&lt;&gt;"Not given")=TRUE,IF(SUMIFS(P:P,A:A,A222)&gt;0,IF((ABS((SUMIFS(P:P,A:A,A222)/VLOOKUP("USD",'Exchange Rates'!B:C,2,0)))/S222)&gt;1,(SUMIFS(P:P,A:A,A222)-S222)/S222,(S222-SUMIFS(P:P,A:A,A222))/SUMIFS(P:P,A:A,A222)),"."),".")</f>
        <v>.</v>
      </c>
    </row>
    <row r="223" spans="1:53" ht="15.95" customHeight="1">
      <c r="A223" s="1180" t="s">
        <v>999</v>
      </c>
      <c r="B223" s="1180" t="s">
        <v>981</v>
      </c>
      <c r="C223" s="1181">
        <v>44925</v>
      </c>
      <c r="D223" s="1182" t="s">
        <v>360</v>
      </c>
      <c r="E223" s="1182" t="s">
        <v>361</v>
      </c>
      <c r="F223" s="1183" t="s">
        <v>1000</v>
      </c>
      <c r="G223" s="1184" t="s">
        <v>483</v>
      </c>
      <c r="H223" s="1185">
        <v>200000</v>
      </c>
      <c r="I223" s="1180" t="s">
        <v>364</v>
      </c>
      <c r="J223" s="1186" t="str">
        <f>VLOOKUP($I223,'Price List, Weapons &amp; Items'!B:C,2,0)</f>
        <v>.</v>
      </c>
      <c r="K223" s="1186" t="str">
        <f>IF(I223=".",I223,VLOOKUP($I223,'Price List, Weapons &amp; Items'!B:D,3,0))</f>
        <v>.</v>
      </c>
      <c r="L223" s="1187">
        <f>VLOOKUP(I223,'Price List, Weapons &amp; Items'!B:E,4,0)</f>
        <v>0</v>
      </c>
      <c r="M223" s="1188" t="s">
        <v>364</v>
      </c>
      <c r="N223" s="1188" t="s">
        <v>364</v>
      </c>
      <c r="O223" s="1188" t="str">
        <f>VLOOKUP($I223,'Price List, Weapons &amp; Items'!B:G,6,0)</f>
        <v>.</v>
      </c>
      <c r="P223" s="1185" t="str">
        <f t="shared" si="52"/>
        <v>.</v>
      </c>
      <c r="Q223" s="1185" t="str">
        <f t="shared" si="53"/>
        <v>.</v>
      </c>
      <c r="R223" s="1185">
        <f t="shared" si="49"/>
        <v>200000</v>
      </c>
      <c r="S223" s="1185">
        <f>IF(AND(AD223=1,R223&lt;&gt;".")=TRUE,R223/VLOOKUP(G223,'Exchange Rates'!B:C,2,0),IF(R223=".",".",""))</f>
        <v>200000</v>
      </c>
      <c r="T223" s="1185" t="str">
        <f>IF(AD223=1,IF(AF223="Value is not given at all",".",IF(AF223="Value is given by the source",S223,IF(AF223="Value is calculated with prices",(IF(SUMIFS(Q:Q,A:A,A223)&gt;0,SUMIFS(Q:Q,A:A,A223),"."))/VLOOKUP("USD",'Exchange Rates'!B:C,2,0),"Error with coding"))),"")</f>
        <v>.</v>
      </c>
      <c r="U223" s="1184" t="s">
        <v>365</v>
      </c>
      <c r="V223" s="971" t="s">
        <v>996</v>
      </c>
      <c r="W223" s="966" t="s">
        <v>997</v>
      </c>
      <c r="X223" s="973" t="s">
        <v>1001</v>
      </c>
      <c r="Y223" s="1196" t="s">
        <v>364</v>
      </c>
      <c r="Z223" s="1184">
        <v>0</v>
      </c>
      <c r="AA223" s="1184">
        <v>0</v>
      </c>
      <c r="AB223" s="1201" t="s">
        <v>364</v>
      </c>
      <c r="AC223" s="1192" t="str">
        <f>""</f>
        <v/>
      </c>
      <c r="AD223" s="985">
        <v>1</v>
      </c>
      <c r="AE223" s="985" t="s">
        <v>368</v>
      </c>
      <c r="AF223" s="985" t="s">
        <v>369</v>
      </c>
      <c r="AG223" s="985">
        <v>1</v>
      </c>
      <c r="AH223" s="1193">
        <v>12</v>
      </c>
      <c r="AI223" s="1193">
        <v>0</v>
      </c>
      <c r="AJ223" s="1193">
        <f>VLOOKUP($I223,'Price List, Weapons &amp; Items'!B:F,5,0)</f>
        <v>0</v>
      </c>
      <c r="AK223" s="1193">
        <f t="shared" si="54"/>
        <v>0</v>
      </c>
      <c r="AL223" s="1193">
        <f t="shared" si="55"/>
        <v>0</v>
      </c>
      <c r="AM223" s="1193">
        <f t="shared" si="56"/>
        <v>0</v>
      </c>
      <c r="AN223" s="1194" t="str">
        <f>VLOOKUP($I223,'Price List, Weapons &amp; Items'!B:L,COLUMN('Price List, Weapons &amp; Items'!$J$11)-1,0)</f>
        <v>.</v>
      </c>
      <c r="AO223" s="1194" t="str">
        <f>IF(I223=".",".",VLOOKUP($I223,'Price List, Weapons &amp; Items'!B:J,3,0))</f>
        <v>.</v>
      </c>
      <c r="AP223" s="1195" t="str">
        <f t="shared" ca="1" si="50"/>
        <v>.</v>
      </c>
      <c r="AQ223" s="1194">
        <f>VLOOKUP($I223,'Price List, Weapons &amp; Items'!B:L,COLUMN('Price List, Weapons &amp; Items'!$L$11)-1,0)</f>
        <v>0</v>
      </c>
      <c r="AR223" s="1194">
        <f t="shared" si="57"/>
        <v>1</v>
      </c>
      <c r="AS223" s="1194">
        <f t="shared" si="58"/>
        <v>0</v>
      </c>
      <c r="AT223" s="1194">
        <f t="shared" si="59"/>
        <v>1</v>
      </c>
      <c r="AU223" s="1194" t="str">
        <f t="shared" si="60"/>
        <v>.</v>
      </c>
      <c r="AV223" s="1194" t="str">
        <f t="shared" si="51"/>
        <v>.</v>
      </c>
      <c r="AW223" s="1194" t="str">
        <f t="shared" si="61"/>
        <v>.</v>
      </c>
      <c r="AX223" s="1194">
        <f>IFERROR(VLOOKUP(B223,'Share, Heavy Weapons to Ukraine'!B:Z,COLUMN('Share, Heavy Weapons to Ukraine'!C233)-1,0),0)</f>
        <v>0</v>
      </c>
      <c r="AY223" s="1194">
        <f>VLOOKUP('Bilateral Assistance, MAIN DATA'!B223,'Country Summary (€)'!B:F,COLUMN('Country Summary (€)'!C234)-1,FALSE)</f>
        <v>1</v>
      </c>
      <c r="AZ223" s="1194" t="str">
        <f>IF(AND(AD223=1,D223="Military",H223&lt;&gt;"Not given")=TRUE,IF(SUMIFS(P:P,A:A,A223)&gt;0,ABS((SUMIFS(P:P,A:A,A223)/VLOOKUP("USD",'Exchange Rates'!B:C,2,0)))/S223,"."),".")</f>
        <v>.</v>
      </c>
      <c r="BA223" s="1196" t="str">
        <f>IF(AND(AD223=1,D223="Military",H223&lt;&gt;"Not given")=TRUE,IF(SUMIFS(P:P,A:A,A223)&gt;0,IF((ABS((SUMIFS(P:P,A:A,A223)/VLOOKUP("USD",'Exchange Rates'!B:C,2,0)))/S223)&gt;1,(SUMIFS(P:P,A:A,A223)-S223)/S223,(S223-SUMIFS(P:P,A:A,A223))/SUMIFS(P:P,A:A,A223)),"."),".")</f>
        <v>.</v>
      </c>
    </row>
    <row r="224" spans="1:53" ht="15.95" customHeight="1">
      <c r="A224" s="1180" t="s">
        <v>1002</v>
      </c>
      <c r="B224" s="1180" t="s">
        <v>981</v>
      </c>
      <c r="C224" s="1181">
        <v>45023</v>
      </c>
      <c r="D224" s="1182" t="s">
        <v>360</v>
      </c>
      <c r="E224" s="1182" t="s">
        <v>361</v>
      </c>
      <c r="F224" s="1183" t="s">
        <v>1003</v>
      </c>
      <c r="G224" s="1184" t="s">
        <v>483</v>
      </c>
      <c r="H224" s="1185" t="s">
        <v>457</v>
      </c>
      <c r="I224" s="1180" t="s">
        <v>364</v>
      </c>
      <c r="J224" s="1186" t="str">
        <f>VLOOKUP($I224,'Price List, Weapons &amp; Items'!B:C,2,0)</f>
        <v>.</v>
      </c>
      <c r="K224" s="1186" t="str">
        <f>IF(I224=".",I224,VLOOKUP($I224,'Price List, Weapons &amp; Items'!B:D,3,0))</f>
        <v>.</v>
      </c>
      <c r="L224" s="1187">
        <f>VLOOKUP(I224,'Price List, Weapons &amp; Items'!B:E,4,0)</f>
        <v>0</v>
      </c>
      <c r="M224" s="1188" t="s">
        <v>364</v>
      </c>
      <c r="N224" s="1188" t="s">
        <v>364</v>
      </c>
      <c r="O224" s="1188" t="str">
        <f>VLOOKUP($I224,'Price List, Weapons &amp; Items'!B:G,6,0)</f>
        <v>.</v>
      </c>
      <c r="P224" s="1185" t="str">
        <f t="shared" si="52"/>
        <v>.</v>
      </c>
      <c r="Q224" s="1185" t="str">
        <f t="shared" si="53"/>
        <v>.</v>
      </c>
      <c r="R224" s="1185" t="str">
        <f t="shared" si="49"/>
        <v>.</v>
      </c>
      <c r="S224" s="1185" t="str">
        <f>IF(AND(AD224=1,R224&lt;&gt;".")=TRUE,R224/VLOOKUP(G224,'Exchange Rates'!B:C,2,0),IF(R224=".",".",""))</f>
        <v>.</v>
      </c>
      <c r="T224" s="1185" t="str">
        <f>IF(AD224=1,IF(AF224="Value is not given at all",".",IF(AF224="Value is given by the source",S224,IF(AF224="Value is calculated with prices",(IF(SUMIFS(Q:Q,A:A,A224)&gt;0,SUMIFS(Q:Q,A:A,A224),"."))/VLOOKUP("USD",'Exchange Rates'!B:C,2,0),"Error with coding"))),"")</f>
        <v>.</v>
      </c>
      <c r="U224" s="1184" t="s">
        <v>365</v>
      </c>
      <c r="V224" s="1003" t="s">
        <v>1004</v>
      </c>
      <c r="W224" s="1020" t="s">
        <v>1005</v>
      </c>
      <c r="X224" s="1003" t="s">
        <v>1006</v>
      </c>
      <c r="Y224" s="1196" t="s">
        <v>364</v>
      </c>
      <c r="Z224" s="1184">
        <v>0</v>
      </c>
      <c r="AA224" s="1184">
        <v>1</v>
      </c>
      <c r="AB224" s="1201" t="s">
        <v>364</v>
      </c>
      <c r="AC224" s="1192" t="str">
        <f>""</f>
        <v/>
      </c>
      <c r="AD224" s="985">
        <v>1</v>
      </c>
      <c r="AE224" s="985" t="s">
        <v>369</v>
      </c>
      <c r="AF224" s="985" t="s">
        <v>369</v>
      </c>
      <c r="AG224" s="985">
        <v>1</v>
      </c>
      <c r="AH224" s="1193">
        <v>16</v>
      </c>
      <c r="AI224" s="1193">
        <v>0</v>
      </c>
      <c r="AJ224" s="1193">
        <f>VLOOKUP($I224,'Price List, Weapons &amp; Items'!B:F,5,0)</f>
        <v>0</v>
      </c>
      <c r="AK224" s="1193">
        <f t="shared" si="54"/>
        <v>0</v>
      </c>
      <c r="AL224" s="1193">
        <f t="shared" si="55"/>
        <v>0</v>
      </c>
      <c r="AM224" s="1193">
        <f t="shared" si="56"/>
        <v>0</v>
      </c>
      <c r="AN224" s="1194" t="str">
        <f>VLOOKUP($I224,'Price List, Weapons &amp; Items'!B:L,COLUMN('Price List, Weapons &amp; Items'!$J$11)-1,0)</f>
        <v>.</v>
      </c>
      <c r="AO224" s="1194" t="str">
        <f>IF(I224=".",".",VLOOKUP($I224,'Price List, Weapons &amp; Items'!B:J,3,0))</f>
        <v>.</v>
      </c>
      <c r="AP224" s="1195" t="str">
        <f t="shared" ca="1" si="50"/>
        <v>.</v>
      </c>
      <c r="AQ224" s="1194">
        <f>VLOOKUP($I224,'Price List, Weapons &amp; Items'!B:L,COLUMN('Price List, Weapons &amp; Items'!$L$11)-1,0)</f>
        <v>0</v>
      </c>
      <c r="AR224" s="1194">
        <f t="shared" si="57"/>
        <v>1</v>
      </c>
      <c r="AS224" s="1194">
        <f t="shared" si="58"/>
        <v>0</v>
      </c>
      <c r="AT224" s="1194">
        <f t="shared" si="59"/>
        <v>1</v>
      </c>
      <c r="AU224" s="1194" t="str">
        <f t="shared" si="60"/>
        <v>.</v>
      </c>
      <c r="AV224" s="1194" t="str">
        <f t="shared" si="51"/>
        <v>.</v>
      </c>
      <c r="AW224" s="1194" t="str">
        <f t="shared" si="61"/>
        <v>.</v>
      </c>
      <c r="AX224" s="1194">
        <f>IFERROR(VLOOKUP(B224,'Share, Heavy Weapons to Ukraine'!B:Z,COLUMN('Share, Heavy Weapons to Ukraine'!C234)-1,0),0)</f>
        <v>0</v>
      </c>
      <c r="AY224" s="1194">
        <f>VLOOKUP('Bilateral Assistance, MAIN DATA'!B224,'Country Summary (€)'!B:F,COLUMN('Country Summary (€)'!C235)-1,FALSE)</f>
        <v>1</v>
      </c>
      <c r="AZ224" s="1194" t="str">
        <f>IF(AND(AD224=1,D224="Military",H224&lt;&gt;"Not given")=TRUE,IF(SUMIFS(P:P,A:A,A224)&gt;0,ABS((SUMIFS(P:P,A:A,A224)/VLOOKUP("USD",'Exchange Rates'!B:C,2,0)))/S224,"."),".")</f>
        <v>.</v>
      </c>
      <c r="BA224" s="1196" t="str">
        <f>IF(AND(AD224=1,D224="Military",H224&lt;&gt;"Not given")=TRUE,IF(SUMIFS(P:P,A:A,A224)&gt;0,IF((ABS((SUMIFS(P:P,A:A,A224)/VLOOKUP("USD",'Exchange Rates'!B:C,2,0)))/S224)&gt;1,(SUMIFS(P:P,A:A,A224)-S224)/S224,(S224-SUMIFS(P:P,A:A,A224))/SUMIFS(P:P,A:A,A224)),"."),".")</f>
        <v>.</v>
      </c>
    </row>
    <row r="225" spans="1:53" ht="15.95" customHeight="1">
      <c r="A225" s="1180" t="s">
        <v>1007</v>
      </c>
      <c r="B225" s="1180" t="s">
        <v>981</v>
      </c>
      <c r="C225" s="1181">
        <v>45005</v>
      </c>
      <c r="D225" s="1182" t="s">
        <v>389</v>
      </c>
      <c r="E225" s="1182" t="s">
        <v>361</v>
      </c>
      <c r="F225" s="1183" t="s">
        <v>1008</v>
      </c>
      <c r="G225" s="1184" t="s">
        <v>483</v>
      </c>
      <c r="H225" s="1185" t="s">
        <v>457</v>
      </c>
      <c r="I225" s="1180" t="s">
        <v>364</v>
      </c>
      <c r="J225" s="1186" t="str">
        <f>VLOOKUP($I225,'Price List, Weapons &amp; Items'!B:C,2,0)</f>
        <v>.</v>
      </c>
      <c r="K225" s="1186" t="str">
        <f>IF(I225=".",I225,VLOOKUP($I225,'Price List, Weapons &amp; Items'!B:D,3,0))</f>
        <v>.</v>
      </c>
      <c r="L225" s="1187">
        <f>VLOOKUP(I225,'Price List, Weapons &amp; Items'!B:E,4,0)</f>
        <v>0</v>
      </c>
      <c r="M225" s="1188" t="s">
        <v>364</v>
      </c>
      <c r="N225" s="1188" t="s">
        <v>364</v>
      </c>
      <c r="O225" s="1188" t="str">
        <f>VLOOKUP($I225,'Price List, Weapons &amp; Items'!B:G,6,0)</f>
        <v>.</v>
      </c>
      <c r="P225" s="1185" t="str">
        <f t="shared" si="52"/>
        <v>.</v>
      </c>
      <c r="Q225" s="1185" t="str">
        <f t="shared" si="53"/>
        <v>.</v>
      </c>
      <c r="R225" s="1185" t="str">
        <f t="shared" si="49"/>
        <v>.</v>
      </c>
      <c r="S225" s="1185" t="str">
        <f>IF(AND(AD225=1,R225&lt;&gt;".")=TRUE,R225/VLOOKUP(G225,'Exchange Rates'!B:C,2,0),IF(R225=".",".",""))</f>
        <v>.</v>
      </c>
      <c r="T225" s="1185" t="str">
        <f>IF(AD225=1,IF(AF225="Value is not given at all",".",IF(AF225="Value is given by the source",S225,IF(AF225="Value is calculated with prices",(IF(SUMIFS(Q:Q,A:A,A225)&gt;0,SUMIFS(Q:Q,A:A,A225),"."))/VLOOKUP("USD",'Exchange Rates'!B:C,2,0),"Error with coding"))),"")</f>
        <v>.</v>
      </c>
      <c r="U225" s="1184" t="s">
        <v>675</v>
      </c>
      <c r="V225" s="980" t="s">
        <v>1009</v>
      </c>
      <c r="W225" s="966" t="s">
        <v>1010</v>
      </c>
      <c r="X225" s="1024" t="s">
        <v>364</v>
      </c>
      <c r="Y225" s="1196" t="s">
        <v>364</v>
      </c>
      <c r="Z225" s="1184">
        <v>0</v>
      </c>
      <c r="AA225" s="1184">
        <v>1</v>
      </c>
      <c r="AB225" s="1201" t="s">
        <v>364</v>
      </c>
      <c r="AC225" s="1192" t="str">
        <f>""</f>
        <v/>
      </c>
      <c r="AD225" s="985">
        <v>1</v>
      </c>
      <c r="AE225" s="985" t="s">
        <v>369</v>
      </c>
      <c r="AF225" s="985" t="s">
        <v>369</v>
      </c>
      <c r="AG225" s="985">
        <v>1</v>
      </c>
      <c r="AH225" s="1193">
        <v>15</v>
      </c>
      <c r="AI225" s="1193">
        <v>0</v>
      </c>
      <c r="AJ225" s="1193">
        <f>VLOOKUP($I225,'Price List, Weapons &amp; Items'!B:F,5,0)</f>
        <v>0</v>
      </c>
      <c r="AK225" s="1193">
        <f t="shared" si="54"/>
        <v>0</v>
      </c>
      <c r="AL225" s="1193">
        <f t="shared" si="55"/>
        <v>0</v>
      </c>
      <c r="AM225" s="1193">
        <f t="shared" si="56"/>
        <v>0</v>
      </c>
      <c r="AN225" s="1194" t="str">
        <f>VLOOKUP($I225,'Price List, Weapons &amp; Items'!B:L,COLUMN('Price List, Weapons &amp; Items'!$J$11)-1,0)</f>
        <v>.</v>
      </c>
      <c r="AO225" s="1194" t="str">
        <f>IF(I225=".",".",VLOOKUP($I225,'Price List, Weapons &amp; Items'!B:J,3,0))</f>
        <v>.</v>
      </c>
      <c r="AP225" s="1195" t="str">
        <f t="shared" ca="1" si="50"/>
        <v>.</v>
      </c>
      <c r="AQ225" s="1194">
        <f>VLOOKUP($I225,'Price List, Weapons &amp; Items'!B:L,COLUMN('Price List, Weapons &amp; Items'!$L$11)-1,0)</f>
        <v>0</v>
      </c>
      <c r="AR225" s="1194">
        <f t="shared" si="57"/>
        <v>0</v>
      </c>
      <c r="AS225" s="1194">
        <f t="shared" si="58"/>
        <v>0</v>
      </c>
      <c r="AT225" s="1194">
        <f t="shared" si="59"/>
        <v>1</v>
      </c>
      <c r="AU225" s="1194" t="str">
        <f t="shared" si="60"/>
        <v>.</v>
      </c>
      <c r="AV225" s="1194" t="str">
        <f t="shared" si="51"/>
        <v>.</v>
      </c>
      <c r="AW225" s="1194" t="str">
        <f t="shared" si="61"/>
        <v>.</v>
      </c>
      <c r="AX225" s="1194">
        <f>IFERROR(VLOOKUP(B225,'Share, Heavy Weapons to Ukraine'!B:Z,COLUMN('Share, Heavy Weapons to Ukraine'!C235)-1,0),0)</f>
        <v>0</v>
      </c>
      <c r="AY225" s="1194">
        <f>VLOOKUP('Bilateral Assistance, MAIN DATA'!B225,'Country Summary (€)'!B:F,COLUMN('Country Summary (€)'!C236)-1,FALSE)</f>
        <v>1</v>
      </c>
      <c r="AZ225" s="1194" t="str">
        <f>IF(AND(AD225=1,D225="Military",H225&lt;&gt;"Not given")=TRUE,IF(SUMIFS(P:P,A:A,A225)&gt;0,ABS((SUMIFS(P:P,A:A,A225)/VLOOKUP("USD",'Exchange Rates'!B:C,2,0)))/S225,"."),".")</f>
        <v>.</v>
      </c>
      <c r="BA225" s="1196" t="str">
        <f>IF(AND(AD225=1,D225="Military",H225&lt;&gt;"Not given")=TRUE,IF(SUMIFS(P:P,A:A,A225)&gt;0,IF((ABS((SUMIFS(P:P,A:A,A225)/VLOOKUP("USD",'Exchange Rates'!B:C,2,0)))/S225)&gt;1,(SUMIFS(P:P,A:A,A225)-S225)/S225,(S225-SUMIFS(P:P,A:A,A225))/SUMIFS(P:P,A:A,A225)),"."),".")</f>
        <v>.</v>
      </c>
    </row>
    <row r="226" spans="1:53" ht="15.95" customHeight="1">
      <c r="A226" s="1180" t="s">
        <v>1011</v>
      </c>
      <c r="B226" s="1180" t="s">
        <v>1012</v>
      </c>
      <c r="C226" s="1181">
        <v>44618</v>
      </c>
      <c r="D226" s="1182" t="s">
        <v>389</v>
      </c>
      <c r="E226" s="1182" t="s">
        <v>398</v>
      </c>
      <c r="F226" s="1183" t="s">
        <v>1013</v>
      </c>
      <c r="G226" s="1184" t="s">
        <v>1014</v>
      </c>
      <c r="H226" s="1185">
        <v>36600000</v>
      </c>
      <c r="I226" s="1201" t="s">
        <v>364</v>
      </c>
      <c r="J226" s="1186" t="str">
        <f>VLOOKUP($I226,'Price List, Weapons &amp; Items'!B:C,2,0)</f>
        <v>.</v>
      </c>
      <c r="K226" s="1186" t="str">
        <f>IF(I226=".",I226,VLOOKUP($I226,'Price List, Weapons &amp; Items'!B:D,3,0))</f>
        <v>.</v>
      </c>
      <c r="L226" s="1187">
        <f>VLOOKUP(I226,'Price List, Weapons &amp; Items'!B:E,4,0)</f>
        <v>0</v>
      </c>
      <c r="M226" s="1188" t="s">
        <v>364</v>
      </c>
      <c r="N226" s="1188" t="s">
        <v>364</v>
      </c>
      <c r="O226" s="1188" t="str">
        <f>VLOOKUP($I226,'Price List, Weapons &amp; Items'!B:G,6,0)</f>
        <v>.</v>
      </c>
      <c r="P226" s="1185" t="str">
        <f t="shared" si="52"/>
        <v>.</v>
      </c>
      <c r="Q226" s="1185" t="str">
        <f t="shared" si="53"/>
        <v>.</v>
      </c>
      <c r="R226" s="1185">
        <f t="shared" si="49"/>
        <v>36600000</v>
      </c>
      <c r="S226" s="1185">
        <f>IF(AND(AD226=1,R226&lt;&gt;".")=TRUE,R226/VLOOKUP(G226,'Exchange Rates'!B:C,2,0),IF(R226=".",".",""))</f>
        <v>1551176.0966306422</v>
      </c>
      <c r="T226" s="1185">
        <f>IF(AD226=1,IF(AF226="Value is not given at all",".",IF(AF226="Value is given by the source",S226,IF(AF226="Value is calculated with prices",(IF(SUMIFS(Q:Q,A:A,A226)&gt;0,SUMIFS(Q:Q,A:A,A226),"."))/VLOOKUP("USD",'Exchange Rates'!B:C,2,0),"Error with coding"))),"")</f>
        <v>1551176.0966306422</v>
      </c>
      <c r="U226" s="1184" t="s">
        <v>675</v>
      </c>
      <c r="V226" s="971" t="s">
        <v>1015</v>
      </c>
      <c r="W226" s="971" t="s">
        <v>1016</v>
      </c>
      <c r="X226" s="1190" t="s">
        <v>364</v>
      </c>
      <c r="Y226" s="1190" t="s">
        <v>364</v>
      </c>
      <c r="Z226" s="1184">
        <v>0</v>
      </c>
      <c r="AA226" s="1194">
        <v>0</v>
      </c>
      <c r="AB226" s="977" t="s">
        <v>1016</v>
      </c>
      <c r="AC226" s="1192" t="str">
        <f>""</f>
        <v/>
      </c>
      <c r="AD226" s="1193">
        <v>1</v>
      </c>
      <c r="AE226" s="1193" t="s">
        <v>368</v>
      </c>
      <c r="AF226" s="1193" t="s">
        <v>368</v>
      </c>
      <c r="AG226" s="1193">
        <v>1</v>
      </c>
      <c r="AH226" s="1193">
        <v>2</v>
      </c>
      <c r="AI226" s="1193">
        <v>0</v>
      </c>
      <c r="AJ226" s="1193">
        <f>VLOOKUP($I226,'Price List, Weapons &amp; Items'!B:F,5,0)</f>
        <v>0</v>
      </c>
      <c r="AK226" s="1193">
        <f t="shared" si="54"/>
        <v>0</v>
      </c>
      <c r="AL226" s="1193">
        <f t="shared" si="55"/>
        <v>0</v>
      </c>
      <c r="AM226" s="1193">
        <f t="shared" si="56"/>
        <v>0</v>
      </c>
      <c r="AN226" s="1194" t="str">
        <f>VLOOKUP($I226,'Price List, Weapons &amp; Items'!B:L,COLUMN('Price List, Weapons &amp; Items'!$J$11)-1,0)</f>
        <v>.</v>
      </c>
      <c r="AO226" s="1194" t="str">
        <f>IF(I226=".",".",VLOOKUP($I226,'Price List, Weapons &amp; Items'!B:J,3,0))</f>
        <v>.</v>
      </c>
      <c r="AP226" s="1195" t="str">
        <f t="shared" ca="1" si="50"/>
        <v>.</v>
      </c>
      <c r="AQ226" s="1194">
        <f>VLOOKUP($I226,'Price List, Weapons &amp; Items'!B:L,COLUMN('Price List, Weapons &amp; Items'!$L$11)-1,0)</f>
        <v>0</v>
      </c>
      <c r="AR226" s="1194">
        <f t="shared" si="57"/>
        <v>0</v>
      </c>
      <c r="AS226" s="1194">
        <f t="shared" si="58"/>
        <v>1</v>
      </c>
      <c r="AT226" s="1194">
        <f t="shared" si="59"/>
        <v>1</v>
      </c>
      <c r="AU226" s="1194" t="str">
        <f t="shared" si="60"/>
        <v>.</v>
      </c>
      <c r="AV226" s="1194" t="str">
        <f t="shared" si="51"/>
        <v>.</v>
      </c>
      <c r="AW226" s="1194" t="str">
        <f t="shared" si="61"/>
        <v>.</v>
      </c>
      <c r="AX226" s="1194">
        <f>IFERROR(VLOOKUP(B226,'Share, Heavy Weapons to Ukraine'!B:Z,COLUMN('Share, Heavy Weapons to Ukraine'!C236)-1,0),0)</f>
        <v>0</v>
      </c>
      <c r="AY226" s="1194">
        <f>VLOOKUP('Bilateral Assistance, MAIN DATA'!B226,'Country Summary (€)'!B:F,COLUMN('Country Summary (€)'!C237)-1,FALSE)</f>
        <v>1</v>
      </c>
      <c r="AZ226" s="1194" t="str">
        <f>IF(AND(AD226=1,D226="Military",H226&lt;&gt;"Not given")=TRUE,IF(SUMIFS(P:P,A:A,A226)&gt;0,ABS((SUMIFS(P:P,A:A,A226)/VLOOKUP("USD",'Exchange Rates'!B:C,2,0)))/S226,"."),".")</f>
        <v>.</v>
      </c>
      <c r="BA226" s="1196" t="str">
        <f>IF(AND(AD226=1,D226="Military",H226&lt;&gt;"Not given")=TRUE,IF(SUMIFS(P:P,A:A,A226)&gt;0,IF((ABS((SUMIFS(P:P,A:A,A226)/VLOOKUP("USD",'Exchange Rates'!B:C,2,0)))/S226)&gt;1,(SUMIFS(P:P,A:A,A226)-S226)/S226,(S226-SUMIFS(P:P,A:A,A226))/SUMIFS(P:P,A:A,A226)),"."),".")</f>
        <v>.</v>
      </c>
    </row>
    <row r="227" spans="1:53" ht="15.95" customHeight="1">
      <c r="A227" s="1182" t="s">
        <v>1017</v>
      </c>
      <c r="B227" s="1182" t="s">
        <v>1012</v>
      </c>
      <c r="C227" s="1181">
        <v>44618</v>
      </c>
      <c r="D227" s="1272" t="s">
        <v>389</v>
      </c>
      <c r="E227" s="1272" t="s">
        <v>390</v>
      </c>
      <c r="F227" s="1183" t="s">
        <v>1018</v>
      </c>
      <c r="G227" s="1273" t="s">
        <v>1014</v>
      </c>
      <c r="H227" s="1185">
        <v>188106550</v>
      </c>
      <c r="I227" s="1266" t="s">
        <v>1019</v>
      </c>
      <c r="J227" s="1186" t="str">
        <f>VLOOKUP($I227,'Price List, Weapons &amp; Items'!B:C,2,0)</f>
        <v>Light armaments &amp; infantry</v>
      </c>
      <c r="K227" s="1186" t="str">
        <f>IF(I227=".",I227,VLOOKUP($I227,'Price List, Weapons &amp; Items'!B:D,3,0))</f>
        <v>Small Arms and Light Weapons (SALW)</v>
      </c>
      <c r="L227" s="1187">
        <f>VLOOKUP(I227,'Price List, Weapons &amp; Items'!B:E,4,0)</f>
        <v>0</v>
      </c>
      <c r="M227" s="1188">
        <v>150</v>
      </c>
      <c r="N227" s="1188">
        <f t="shared" ref="N227:N238" si="62">M227</f>
        <v>150</v>
      </c>
      <c r="O227" s="1188">
        <f>VLOOKUP($I227,'Price List, Weapons &amp; Items'!B:G,6,0)</f>
        <v>368.75</v>
      </c>
      <c r="P227" s="1185">
        <f t="shared" si="52"/>
        <v>55312.5</v>
      </c>
      <c r="Q227" s="1185">
        <f t="shared" si="53"/>
        <v>55312.5</v>
      </c>
      <c r="R227" s="1185">
        <f t="shared" si="49"/>
        <v>188106550</v>
      </c>
      <c r="S227" s="1185">
        <f>IF(AND(AD227=1,R227&lt;&gt;".")=TRUE,R227/VLOOKUP(G227,'Exchange Rates'!B:C,2,0),IF(R227=".",".",""))</f>
        <v>7972305.5732146641</v>
      </c>
      <c r="T227" s="1185">
        <f>IF(AD227=1,IF(AF227="Value is not given at all",".",IF(AF227="Value is given by the source",S227,IF(AF227="Value is calculated with prices",(IF(SUMIFS(Q:Q,A:A,A227)&gt;0,SUMIFS(Q:Q,A:A,A227),"."))/VLOOKUP("USD",'Exchange Rates'!B:C,2,0),"Error with coding"))),"")</f>
        <v>7972305.5732146641</v>
      </c>
      <c r="U227" s="1273" t="s">
        <v>365</v>
      </c>
      <c r="V227" s="1004" t="s">
        <v>1020</v>
      </c>
      <c r="W227" s="1005" t="s">
        <v>1021</v>
      </c>
      <c r="X227" s="1274" t="s">
        <v>364</v>
      </c>
      <c r="Y227" s="1274" t="s">
        <v>364</v>
      </c>
      <c r="Z227" s="1184">
        <v>0</v>
      </c>
      <c r="AA227" s="1194">
        <v>0</v>
      </c>
      <c r="AB227" s="975" t="s">
        <v>1020</v>
      </c>
      <c r="AC227" s="1192" t="str">
        <f>""</f>
        <v/>
      </c>
      <c r="AD227" s="1193">
        <v>1</v>
      </c>
      <c r="AE227" s="1193" t="s">
        <v>368</v>
      </c>
      <c r="AF227" s="1193" t="s">
        <v>368</v>
      </c>
      <c r="AG227" s="1193">
        <v>1</v>
      </c>
      <c r="AH227" s="1193">
        <v>2</v>
      </c>
      <c r="AI227" s="1193">
        <v>0</v>
      </c>
      <c r="AJ227" s="1193">
        <f>VLOOKUP($I227,'Price List, Weapons &amp; Items'!B:F,5,0)</f>
        <v>0</v>
      </c>
      <c r="AK227" s="1193">
        <f t="shared" si="54"/>
        <v>0</v>
      </c>
      <c r="AL227" s="1193">
        <f t="shared" si="55"/>
        <v>0</v>
      </c>
      <c r="AM227" s="1193">
        <f t="shared" si="56"/>
        <v>0</v>
      </c>
      <c r="AN227" s="1194" t="str">
        <f>VLOOKUP($I227,'Price List, Weapons &amp; Items'!B:L,COLUMN('Price List, Weapons &amp; Items'!$J$11)-1,0)</f>
        <v>Online marketplaces and stores</v>
      </c>
      <c r="AO227" s="1194" t="str">
        <f>IF(I227=".",".",VLOOKUP($I227,'Price List, Weapons &amp; Items'!B:J,3,0))</f>
        <v>Small Arms and Light Weapons (SALW)</v>
      </c>
      <c r="AP227" s="1195" t="str">
        <f t="shared" ca="1" si="50"/>
        <v>9mm pistol vz. 82</v>
      </c>
      <c r="AQ227" s="1194">
        <f>VLOOKUP($I227,'Price List, Weapons &amp; Items'!B:L,COLUMN('Price List, Weapons &amp; Items'!$L$11)-1,0)</f>
        <v>1</v>
      </c>
      <c r="AR227" s="1194">
        <f t="shared" si="57"/>
        <v>1</v>
      </c>
      <c r="AS227" s="1194">
        <f t="shared" si="58"/>
        <v>1</v>
      </c>
      <c r="AT227" s="1194">
        <f t="shared" si="59"/>
        <v>1</v>
      </c>
      <c r="AU227" s="1194" t="str">
        <f t="shared" si="60"/>
        <v>.</v>
      </c>
      <c r="AV227" s="1194" t="str">
        <f t="shared" si="51"/>
        <v>.</v>
      </c>
      <c r="AW227" s="1194" t="str">
        <f t="shared" si="61"/>
        <v>.</v>
      </c>
      <c r="AX227" s="1194">
        <f>IFERROR(VLOOKUP(B227,'Share, Heavy Weapons to Ukraine'!B:Z,COLUMN('Share, Heavy Weapons to Ukraine'!C237)-1,0),0)</f>
        <v>0</v>
      </c>
      <c r="AY227" s="1194">
        <f>VLOOKUP('Bilateral Assistance, MAIN DATA'!B227,'Country Summary (€)'!B:F,COLUMN('Country Summary (€)'!C238)-1,FALSE)</f>
        <v>1</v>
      </c>
      <c r="AZ227" s="1194">
        <f>IF(AND(AD227=1,D227="Military",H227&lt;&gt;"Not given")=TRUE,IF(SUMIFS(P:P,A:A,A227)&gt;0,ABS((SUMIFS(P:P,A:A,A227)/VLOOKUP("USD",'Exchange Rates'!B:C,2,0)))/S227,"."),".")</f>
        <v>3.1821063328903643</v>
      </c>
      <c r="BA227" s="1196">
        <f>IF(AND(AD227=1,D227="Military",H227&lt;&gt;"Not given")=TRUE,IF(SUMIFS(P:P,A:A,A227)&gt;0,IF((ABS((SUMIFS(P:P,A:A,A227)/VLOOKUP("USD",'Exchange Rates'!B:C,2,0)))/S227)&gt;1,(SUMIFS(P:P,A:A,A227)-S227)/S227,(S227-SUMIFS(P:P,A:A,A227))/SUMIFS(P:P,A:A,A227)),"."),".")</f>
        <v>2.4583131625852475</v>
      </c>
    </row>
    <row r="228" spans="1:53" ht="15.95" customHeight="1">
      <c r="A228" s="1182" t="s">
        <v>1017</v>
      </c>
      <c r="B228" s="1182" t="s">
        <v>1012</v>
      </c>
      <c r="C228" s="1181">
        <v>44618</v>
      </c>
      <c r="D228" s="1182" t="s">
        <v>389</v>
      </c>
      <c r="E228" s="1182" t="s">
        <v>390</v>
      </c>
      <c r="F228" s="1183" t="s">
        <v>1018</v>
      </c>
      <c r="G228" s="1184" t="s">
        <v>1014</v>
      </c>
      <c r="H228" s="1185">
        <v>188106550</v>
      </c>
      <c r="I228" s="1266" t="s">
        <v>1022</v>
      </c>
      <c r="J228" s="1186" t="str">
        <f>VLOOKUP($I228,'Price List, Weapons &amp; Items'!B:C,2,0)</f>
        <v>Light armaments &amp; infantry</v>
      </c>
      <c r="K228" s="1186" t="str">
        <f>IF(I228=".",I228,VLOOKUP($I228,'Price List, Weapons &amp; Items'!B:D,3,0))</f>
        <v>Small Arms and Light Weapons (SALW)</v>
      </c>
      <c r="L228" s="1187">
        <f>VLOOKUP(I228,'Price List, Weapons &amp; Items'!B:E,4,0)</f>
        <v>1</v>
      </c>
      <c r="M228" s="1188">
        <v>5000</v>
      </c>
      <c r="N228" s="1188">
        <f t="shared" si="62"/>
        <v>5000</v>
      </c>
      <c r="O228" s="1188">
        <f>VLOOKUP($I228,'Price List, Weapons &amp; Items'!B:G,6,0)</f>
        <v>1266</v>
      </c>
      <c r="P228" s="1185">
        <f t="shared" si="52"/>
        <v>6330000</v>
      </c>
      <c r="Q228" s="1185">
        <f t="shared" si="53"/>
        <v>6330000</v>
      </c>
      <c r="R228" s="1185" t="str">
        <f t="shared" si="49"/>
        <v/>
      </c>
      <c r="S228" s="1185" t="str">
        <f>IF(AND(AD228=1,R228&lt;&gt;".")=TRUE,R228/VLOOKUP(G228,'Exchange Rates'!B:C,2,0),IF(R228=".",".",""))</f>
        <v/>
      </c>
      <c r="T228" s="1185" t="str">
        <f>IF(AD228=1,IF(AF228="Value is not given at all",".",IF(AF228="Value is given by the source",S228,IF(AF228="Value is calculated with prices",(IF(SUMIFS(Q:Q,A:A,A228)&gt;0,SUMIFS(Q:Q,A:A,A228),"."))/VLOOKUP("USD",'Exchange Rates'!B:C,2,0),"Error with coding"))),"")</f>
        <v/>
      </c>
      <c r="U228" s="1273" t="s">
        <v>365</v>
      </c>
      <c r="V228" s="974" t="s">
        <v>1020</v>
      </c>
      <c r="W228" s="1005" t="s">
        <v>1021</v>
      </c>
      <c r="X228" s="1183" t="s">
        <v>364</v>
      </c>
      <c r="Y228" s="1183" t="s">
        <v>364</v>
      </c>
      <c r="Z228" s="1184">
        <v>0</v>
      </c>
      <c r="AA228" s="1194">
        <v>0</v>
      </c>
      <c r="AB228" s="975" t="s">
        <v>1020</v>
      </c>
      <c r="AC228" s="1192" t="str">
        <f>""</f>
        <v/>
      </c>
      <c r="AD228" s="1193">
        <v>0</v>
      </c>
      <c r="AE228" s="1193" t="s">
        <v>368</v>
      </c>
      <c r="AF228" s="1193" t="s">
        <v>368</v>
      </c>
      <c r="AG228" s="1193">
        <v>1</v>
      </c>
      <c r="AH228" s="1193">
        <v>2</v>
      </c>
      <c r="AI228" s="1193">
        <v>0</v>
      </c>
      <c r="AJ228" s="1193">
        <f>VLOOKUP($I228,'Price List, Weapons &amp; Items'!B:F,5,0)</f>
        <v>0</v>
      </c>
      <c r="AK228" s="1193">
        <f t="shared" si="54"/>
        <v>0</v>
      </c>
      <c r="AL228" s="1193">
        <f t="shared" si="55"/>
        <v>0</v>
      </c>
      <c r="AM228" s="1193">
        <f t="shared" si="56"/>
        <v>0</v>
      </c>
      <c r="AN228" s="1194" t="str">
        <f>VLOOKUP($I228,'Price List, Weapons &amp; Items'!B:L,COLUMN('Price List, Weapons &amp; Items'!$J$11)-1,0)</f>
        <v>Miscellaneous</v>
      </c>
      <c r="AO228" s="1194" t="str">
        <f>IF(I228=".",".",VLOOKUP($I228,'Price List, Weapons &amp; Items'!B:J,3,0))</f>
        <v>Small Arms and Light Weapons (SALW)</v>
      </c>
      <c r="AP228" s="1195" t="str">
        <f t="shared" ca="1" si="50"/>
        <v/>
      </c>
      <c r="AQ228" s="1194">
        <f>VLOOKUP($I228,'Price List, Weapons &amp; Items'!B:L,COLUMN('Price List, Weapons &amp; Items'!$L$11)-1,0)</f>
        <v>2</v>
      </c>
      <c r="AR228" s="1194">
        <f t="shared" si="57"/>
        <v>1</v>
      </c>
      <c r="AS228" s="1194">
        <f t="shared" si="58"/>
        <v>1</v>
      </c>
      <c r="AT228" s="1194">
        <f t="shared" si="59"/>
        <v>1</v>
      </c>
      <c r="AU228" s="1194" t="str">
        <f t="shared" si="60"/>
        <v>.</v>
      </c>
      <c r="AV228" s="1194" t="str">
        <f t="shared" si="51"/>
        <v>.</v>
      </c>
      <c r="AW228" s="1194" t="str">
        <f t="shared" si="61"/>
        <v>.</v>
      </c>
      <c r="AX228" s="1194">
        <f>IFERROR(VLOOKUP(B228,'Share, Heavy Weapons to Ukraine'!B:Z,COLUMN('Share, Heavy Weapons to Ukraine'!C238)-1,0),0)</f>
        <v>0</v>
      </c>
      <c r="AY228" s="1194">
        <f>VLOOKUP('Bilateral Assistance, MAIN DATA'!B228,'Country Summary (€)'!B:F,COLUMN('Country Summary (€)'!C239)-1,FALSE)</f>
        <v>1</v>
      </c>
      <c r="AZ228" s="1194" t="str">
        <f>IF(AND(AD228=1,D228="Military",H228&lt;&gt;"Not given")=TRUE,IF(SUMIFS(P:P,A:A,A228)&gt;0,ABS((SUMIFS(P:P,A:A,A228)/VLOOKUP("USD",'Exchange Rates'!B:C,2,0)))/S228,"."),".")</f>
        <v>.</v>
      </c>
      <c r="BA228" s="1196" t="str">
        <f>IF(AND(AD228=1,D228="Military",H228&lt;&gt;"Not given")=TRUE,IF(SUMIFS(P:P,A:A,A228)&gt;0,IF((ABS((SUMIFS(P:P,A:A,A228)/VLOOKUP("USD",'Exchange Rates'!B:C,2,0)))/S228)&gt;1,(SUMIFS(P:P,A:A,A228)-S228)/S228,(S228-SUMIFS(P:P,A:A,A228))/SUMIFS(P:P,A:A,A228)),"."),".")</f>
        <v>.</v>
      </c>
    </row>
    <row r="229" spans="1:53" ht="15.95" customHeight="1">
      <c r="A229" s="1182" t="s">
        <v>1017</v>
      </c>
      <c r="B229" s="1182" t="s">
        <v>1012</v>
      </c>
      <c r="C229" s="1181">
        <v>44618</v>
      </c>
      <c r="D229" s="1182" t="s">
        <v>389</v>
      </c>
      <c r="E229" s="1182" t="s">
        <v>390</v>
      </c>
      <c r="F229" s="1183" t="s">
        <v>1018</v>
      </c>
      <c r="G229" s="1184" t="s">
        <v>1014</v>
      </c>
      <c r="H229" s="1185">
        <v>188106550</v>
      </c>
      <c r="I229" s="1266" t="s">
        <v>1023</v>
      </c>
      <c r="J229" s="1186" t="str">
        <f>VLOOKUP($I229,'Price List, Weapons &amp; Items'!B:C,2,0)</f>
        <v>Ammunition for light infantry</v>
      </c>
      <c r="K229" s="1186" t="str">
        <f>IF(I229=".",I229,VLOOKUP($I229,'Price List, Weapons &amp; Items'!B:D,3,0))</f>
        <v>Small Arms and Light Weapons (SALW) ammunition</v>
      </c>
      <c r="L229" s="1187">
        <f>VLOOKUP(I229,'Price List, Weapons &amp; Items'!B:E,4,0)</f>
        <v>1</v>
      </c>
      <c r="M229" s="1188">
        <v>500000</v>
      </c>
      <c r="N229" s="1188">
        <f t="shared" si="62"/>
        <v>500000</v>
      </c>
      <c r="O229" s="1188">
        <f>VLOOKUP($I229,'Price List, Weapons &amp; Items'!B:G,6,0)</f>
        <v>0.4</v>
      </c>
      <c r="P229" s="1185">
        <f t="shared" si="52"/>
        <v>200000</v>
      </c>
      <c r="Q229" s="1185">
        <f t="shared" si="53"/>
        <v>200000</v>
      </c>
      <c r="R229" s="1185" t="str">
        <f t="shared" si="49"/>
        <v/>
      </c>
      <c r="S229" s="1185" t="str">
        <f>IF(AND(AD229=1,R229&lt;&gt;".")=TRUE,R229/VLOOKUP(G229,'Exchange Rates'!B:C,2,0),IF(R229=".",".",""))</f>
        <v/>
      </c>
      <c r="T229" s="1185" t="str">
        <f>IF(AD229=1,IF(AF229="Value is not given at all",".",IF(AF229="Value is given by the source",S229,IF(AF229="Value is calculated with prices",(IF(SUMIFS(Q:Q,A:A,A229)&gt;0,SUMIFS(Q:Q,A:A,A229),"."))/VLOOKUP("USD",'Exchange Rates'!B:C,2,0),"Error with coding"))),"")</f>
        <v/>
      </c>
      <c r="U229" s="1273" t="s">
        <v>365</v>
      </c>
      <c r="V229" s="974" t="s">
        <v>1020</v>
      </c>
      <c r="W229" s="1005" t="s">
        <v>1021</v>
      </c>
      <c r="X229" s="1183" t="s">
        <v>364</v>
      </c>
      <c r="Y229" s="1183" t="s">
        <v>364</v>
      </c>
      <c r="Z229" s="1184">
        <v>0</v>
      </c>
      <c r="AA229" s="1194">
        <v>0</v>
      </c>
      <c r="AB229" s="975" t="s">
        <v>1020</v>
      </c>
      <c r="AC229" s="1192" t="str">
        <f>""</f>
        <v/>
      </c>
      <c r="AD229" s="1193">
        <v>0</v>
      </c>
      <c r="AE229" s="1193" t="s">
        <v>368</v>
      </c>
      <c r="AF229" s="1193" t="s">
        <v>368</v>
      </c>
      <c r="AG229" s="1193">
        <v>1</v>
      </c>
      <c r="AH229" s="1193">
        <v>2</v>
      </c>
      <c r="AI229" s="1193">
        <v>0</v>
      </c>
      <c r="AJ229" s="1193">
        <f>VLOOKUP($I229,'Price List, Weapons &amp; Items'!B:F,5,0)</f>
        <v>0</v>
      </c>
      <c r="AK229" s="1193">
        <f t="shared" si="54"/>
        <v>0</v>
      </c>
      <c r="AL229" s="1193">
        <f t="shared" si="55"/>
        <v>0</v>
      </c>
      <c r="AM229" s="1193">
        <f t="shared" si="56"/>
        <v>0</v>
      </c>
      <c r="AN229" s="1194" t="str">
        <f>VLOOKUP($I229,'Price List, Weapons &amp; Items'!B:L,COLUMN('Price List, Weapons &amp; Items'!$J$11)-1,0)</f>
        <v>Online marketplaces and stores</v>
      </c>
      <c r="AO229" s="1194" t="str">
        <f>IF(I229=".",".",VLOOKUP($I229,'Price List, Weapons &amp; Items'!B:J,3,0))</f>
        <v>Small Arms and Light Weapons (SALW) ammunition</v>
      </c>
      <c r="AP229" s="1195" t="str">
        <f t="shared" ca="1" si="50"/>
        <v/>
      </c>
      <c r="AQ229" s="1194">
        <f>VLOOKUP($I229,'Price List, Weapons &amp; Items'!B:L,COLUMN('Price List, Weapons &amp; Items'!$L$11)-1,0)</f>
        <v>1</v>
      </c>
      <c r="AR229" s="1194">
        <f t="shared" si="57"/>
        <v>1</v>
      </c>
      <c r="AS229" s="1194">
        <f t="shared" si="58"/>
        <v>1</v>
      </c>
      <c r="AT229" s="1194">
        <f t="shared" si="59"/>
        <v>1</v>
      </c>
      <c r="AU229" s="1194" t="str">
        <f t="shared" si="60"/>
        <v>.</v>
      </c>
      <c r="AV229" s="1194" t="str">
        <f t="shared" si="51"/>
        <v>.</v>
      </c>
      <c r="AW229" s="1194" t="str">
        <f t="shared" si="61"/>
        <v>.</v>
      </c>
      <c r="AX229" s="1194">
        <f>IFERROR(VLOOKUP(B229,'Share, Heavy Weapons to Ukraine'!B:Z,COLUMN('Share, Heavy Weapons to Ukraine'!C239)-1,0),0)</f>
        <v>0</v>
      </c>
      <c r="AY229" s="1194">
        <f>VLOOKUP('Bilateral Assistance, MAIN DATA'!B229,'Country Summary (€)'!B:F,COLUMN('Country Summary (€)'!C240)-1,FALSE)</f>
        <v>1</v>
      </c>
      <c r="AZ229" s="1194" t="str">
        <f>IF(AND(AD229=1,D229="Military",H229&lt;&gt;"Not given")=TRUE,IF(SUMIFS(P:P,A:A,A229)&gt;0,ABS((SUMIFS(P:P,A:A,A229)/VLOOKUP("USD",'Exchange Rates'!B:C,2,0)))/S229,"."),".")</f>
        <v>.</v>
      </c>
      <c r="BA229" s="1196" t="str">
        <f>IF(AND(AD229=1,D229="Military",H229&lt;&gt;"Not given")=TRUE,IF(SUMIFS(P:P,A:A,A229)&gt;0,IF((ABS((SUMIFS(P:P,A:A,A229)/VLOOKUP("USD",'Exchange Rates'!B:C,2,0)))/S229)&gt;1,(SUMIFS(P:P,A:A,A229)-S229)/S229,(S229-SUMIFS(P:P,A:A,A229))/SUMIFS(P:P,A:A,A229)),"."),".")</f>
        <v>.</v>
      </c>
    </row>
    <row r="230" spans="1:53" ht="15.95" customHeight="1">
      <c r="A230" s="1182" t="s">
        <v>1017</v>
      </c>
      <c r="B230" s="1182" t="s">
        <v>1012</v>
      </c>
      <c r="C230" s="1181">
        <v>44618</v>
      </c>
      <c r="D230" s="1182" t="s">
        <v>389</v>
      </c>
      <c r="E230" s="1182" t="s">
        <v>390</v>
      </c>
      <c r="F230" s="1183" t="s">
        <v>1018</v>
      </c>
      <c r="G230" s="1184" t="s">
        <v>1014</v>
      </c>
      <c r="H230" s="1185">
        <v>188106550</v>
      </c>
      <c r="I230" s="1266" t="s">
        <v>1024</v>
      </c>
      <c r="J230" s="1186" t="str">
        <f>VLOOKUP($I230,'Price List, Weapons &amp; Items'!B:C,2,0)</f>
        <v>Ammunition for light infantry</v>
      </c>
      <c r="K230" s="1186" t="str">
        <f>IF(I230=".",I230,VLOOKUP($I230,'Price List, Weapons &amp; Items'!B:D,3,0))</f>
        <v>Small Arms and Light Weapons (SALW) ammunition</v>
      </c>
      <c r="L230" s="1187">
        <f>VLOOKUP(I230,'Price List, Weapons &amp; Items'!B:E,4,0)</f>
        <v>1</v>
      </c>
      <c r="M230" s="1188">
        <v>125000</v>
      </c>
      <c r="N230" s="1188">
        <f t="shared" si="62"/>
        <v>125000</v>
      </c>
      <c r="O230" s="1188">
        <f>VLOOKUP($I230,'Price List, Weapons &amp; Items'!B:G,6,0)</f>
        <v>1.625</v>
      </c>
      <c r="P230" s="1185">
        <f t="shared" si="52"/>
        <v>203125</v>
      </c>
      <c r="Q230" s="1185">
        <f t="shared" si="53"/>
        <v>203125</v>
      </c>
      <c r="R230" s="1185" t="str">
        <f t="shared" si="49"/>
        <v/>
      </c>
      <c r="S230" s="1185" t="str">
        <f>IF(AND(AD230=1,R230&lt;&gt;".")=TRUE,R230/VLOOKUP(G230,'Exchange Rates'!B:C,2,0),IF(R230=".",".",""))</f>
        <v/>
      </c>
      <c r="T230" s="1185" t="str">
        <f>IF(AD230=1,IF(AF230="Value is not given at all",".",IF(AF230="Value is given by the source",S230,IF(AF230="Value is calculated with prices",(IF(SUMIFS(Q:Q,A:A,A230)&gt;0,SUMIFS(Q:Q,A:A,A230),"."))/VLOOKUP("USD",'Exchange Rates'!B:C,2,0),"Error with coding"))),"")</f>
        <v/>
      </c>
      <c r="U230" s="1273" t="s">
        <v>365</v>
      </c>
      <c r="V230" s="974" t="s">
        <v>1020</v>
      </c>
      <c r="W230" s="1005" t="s">
        <v>1021</v>
      </c>
      <c r="X230" s="1183" t="s">
        <v>364</v>
      </c>
      <c r="Y230" s="1183" t="s">
        <v>364</v>
      </c>
      <c r="Z230" s="1184">
        <v>0</v>
      </c>
      <c r="AA230" s="1194">
        <v>0</v>
      </c>
      <c r="AB230" s="975" t="s">
        <v>1020</v>
      </c>
      <c r="AC230" s="1192" t="str">
        <f>""</f>
        <v/>
      </c>
      <c r="AD230" s="1193">
        <v>0</v>
      </c>
      <c r="AE230" s="1193" t="s">
        <v>368</v>
      </c>
      <c r="AF230" s="1193" t="s">
        <v>368</v>
      </c>
      <c r="AG230" s="1193">
        <v>1</v>
      </c>
      <c r="AH230" s="1193">
        <v>2</v>
      </c>
      <c r="AI230" s="1193">
        <v>0</v>
      </c>
      <c r="AJ230" s="1193">
        <f>VLOOKUP($I230,'Price List, Weapons &amp; Items'!B:F,5,0)</f>
        <v>0</v>
      </c>
      <c r="AK230" s="1193">
        <f t="shared" si="54"/>
        <v>0</v>
      </c>
      <c r="AL230" s="1193">
        <f t="shared" si="55"/>
        <v>0</v>
      </c>
      <c r="AM230" s="1193">
        <f t="shared" si="56"/>
        <v>0</v>
      </c>
      <c r="AN230" s="1194" t="str">
        <f>VLOOKUP($I230,'Price List, Weapons &amp; Items'!B:L,COLUMN('Price List, Weapons &amp; Items'!$J$11)-1,0)</f>
        <v>Online marketplaces and stores</v>
      </c>
      <c r="AO230" s="1194" t="str">
        <f>IF(I230=".",".",VLOOKUP($I230,'Price List, Weapons &amp; Items'!B:J,3,0))</f>
        <v>Small Arms and Light Weapons (SALW) ammunition</v>
      </c>
      <c r="AP230" s="1195" t="str">
        <f t="shared" ca="1" si="50"/>
        <v/>
      </c>
      <c r="AQ230" s="1194">
        <f>VLOOKUP($I230,'Price List, Weapons &amp; Items'!B:L,COLUMN('Price List, Weapons &amp; Items'!$L$11)-1,0)</f>
        <v>1</v>
      </c>
      <c r="AR230" s="1194">
        <f t="shared" si="57"/>
        <v>1</v>
      </c>
      <c r="AS230" s="1194">
        <f t="shared" si="58"/>
        <v>1</v>
      </c>
      <c r="AT230" s="1194">
        <f t="shared" si="59"/>
        <v>1</v>
      </c>
      <c r="AU230" s="1194" t="str">
        <f t="shared" si="60"/>
        <v>.</v>
      </c>
      <c r="AV230" s="1194" t="str">
        <f t="shared" si="51"/>
        <v>.</v>
      </c>
      <c r="AW230" s="1194" t="str">
        <f t="shared" si="61"/>
        <v>.</v>
      </c>
      <c r="AX230" s="1194">
        <f>IFERROR(VLOOKUP(B230,'Share, Heavy Weapons to Ukraine'!B:Z,COLUMN('Share, Heavy Weapons to Ukraine'!C240)-1,0),0)</f>
        <v>0</v>
      </c>
      <c r="AY230" s="1194">
        <f>VLOOKUP('Bilateral Assistance, MAIN DATA'!B230,'Country Summary (€)'!B:F,COLUMN('Country Summary (€)'!C241)-1,FALSE)</f>
        <v>1</v>
      </c>
      <c r="AZ230" s="1194" t="str">
        <f>IF(AND(AD230=1,D230="Military",H230&lt;&gt;"Not given")=TRUE,IF(SUMIFS(P:P,A:A,A230)&gt;0,ABS((SUMIFS(P:P,A:A,A230)/VLOOKUP("USD",'Exchange Rates'!B:C,2,0)))/S230,"."),".")</f>
        <v>.</v>
      </c>
      <c r="BA230" s="1196" t="str">
        <f>IF(AND(AD230=1,D230="Military",H230&lt;&gt;"Not given")=TRUE,IF(SUMIFS(P:P,A:A,A230)&gt;0,IF((ABS((SUMIFS(P:P,A:A,A230)/VLOOKUP("USD",'Exchange Rates'!B:C,2,0)))/S230)&gt;1,(SUMIFS(P:P,A:A,A230)-S230)/S230,(S230-SUMIFS(P:P,A:A,A230))/SUMIFS(P:P,A:A,A230)),"."),".")</f>
        <v>.</v>
      </c>
    </row>
    <row r="231" spans="1:53" ht="15.95" customHeight="1">
      <c r="A231" s="1182" t="s">
        <v>1017</v>
      </c>
      <c r="B231" s="1182" t="s">
        <v>1012</v>
      </c>
      <c r="C231" s="1181">
        <v>44618</v>
      </c>
      <c r="D231" s="1182" t="s">
        <v>389</v>
      </c>
      <c r="E231" s="1182" t="s">
        <v>390</v>
      </c>
      <c r="F231" s="1183" t="s">
        <v>1018</v>
      </c>
      <c r="G231" s="1184" t="s">
        <v>1014</v>
      </c>
      <c r="H231" s="1185">
        <v>188106550</v>
      </c>
      <c r="I231" s="1266" t="s">
        <v>1025</v>
      </c>
      <c r="J231" s="1186" t="str">
        <f>VLOOKUP($I231,'Price List, Weapons &amp; Items'!B:C,2,0)</f>
        <v>Light armaments &amp; infantry</v>
      </c>
      <c r="K231" s="1186" t="str">
        <f>IF(I231=".",I231,VLOOKUP($I231,'Price List, Weapons &amp; Items'!B:D,3,0))</f>
        <v>Small Arms and Light Weapons (SALW) ammunition</v>
      </c>
      <c r="L231" s="1187">
        <f>VLOOKUP(I231,'Price List, Weapons &amp; Items'!B:E,4,0)</f>
        <v>1</v>
      </c>
      <c r="M231" s="1188">
        <v>2085</v>
      </c>
      <c r="N231" s="1188">
        <f t="shared" si="62"/>
        <v>2085</v>
      </c>
      <c r="O231" s="1188">
        <f>VLOOKUP($I231,'Price List, Weapons &amp; Items'!B:G,6,0)</f>
        <v>705</v>
      </c>
      <c r="P231" s="1185">
        <f t="shared" si="52"/>
        <v>1469925</v>
      </c>
      <c r="Q231" s="1185">
        <f t="shared" si="53"/>
        <v>1469925</v>
      </c>
      <c r="R231" s="1185" t="str">
        <f t="shared" si="49"/>
        <v/>
      </c>
      <c r="S231" s="1185" t="str">
        <f>IF(AND(AD231=1,R231&lt;&gt;".")=TRUE,R231/VLOOKUP(G231,'Exchange Rates'!B:C,2,0),IF(R231=".",".",""))</f>
        <v/>
      </c>
      <c r="T231" s="1185" t="str">
        <f>IF(AD231=1,IF(AF231="Value is not given at all",".",IF(AF231="Value is given by the source",S231,IF(AF231="Value is calculated with prices",(IF(SUMIFS(Q:Q,A:A,A231)&gt;0,SUMIFS(Q:Q,A:A,A231),"."))/VLOOKUP("USD",'Exchange Rates'!B:C,2,0),"Error with coding"))),"")</f>
        <v/>
      </c>
      <c r="U231" s="1273" t="s">
        <v>365</v>
      </c>
      <c r="V231" s="974" t="s">
        <v>1020</v>
      </c>
      <c r="W231" s="1005" t="s">
        <v>1021</v>
      </c>
      <c r="X231" s="1183" t="s">
        <v>364</v>
      </c>
      <c r="Y231" s="1183" t="s">
        <v>364</v>
      </c>
      <c r="Z231" s="1184">
        <v>0</v>
      </c>
      <c r="AA231" s="1194">
        <v>0</v>
      </c>
      <c r="AB231" s="975" t="s">
        <v>1020</v>
      </c>
      <c r="AC231" s="1192" t="str">
        <f>""</f>
        <v/>
      </c>
      <c r="AD231" s="1193">
        <v>0</v>
      </c>
      <c r="AE231" s="1193" t="s">
        <v>368</v>
      </c>
      <c r="AF231" s="1193" t="s">
        <v>368</v>
      </c>
      <c r="AG231" s="1193">
        <v>1</v>
      </c>
      <c r="AH231" s="1193">
        <v>2</v>
      </c>
      <c r="AI231" s="1193">
        <v>0</v>
      </c>
      <c r="AJ231" s="1193">
        <f>VLOOKUP($I231,'Price List, Weapons &amp; Items'!B:F,5,0)</f>
        <v>0</v>
      </c>
      <c r="AK231" s="1193">
        <f t="shared" si="54"/>
        <v>0</v>
      </c>
      <c r="AL231" s="1193">
        <f t="shared" si="55"/>
        <v>0</v>
      </c>
      <c r="AM231" s="1193">
        <f t="shared" si="56"/>
        <v>0</v>
      </c>
      <c r="AN231" s="1194" t="str">
        <f>VLOOKUP($I231,'Price List, Weapons &amp; Items'!B:L,COLUMN('Price List, Weapons &amp; Items'!$J$11)-1,0)</f>
        <v>Online marketplaces and stores</v>
      </c>
      <c r="AO231" s="1194" t="str">
        <f>IF(I231=".",".",VLOOKUP($I231,'Price List, Weapons &amp; Items'!B:J,3,0))</f>
        <v>Small Arms and Light Weapons (SALW) ammunition</v>
      </c>
      <c r="AP231" s="1195" t="str">
        <f t="shared" ca="1" si="50"/>
        <v/>
      </c>
      <c r="AQ231" s="1194">
        <f>VLOOKUP($I231,'Price List, Weapons &amp; Items'!B:L,COLUMN('Price List, Weapons &amp; Items'!$L$11)-1,0)</f>
        <v>1</v>
      </c>
      <c r="AR231" s="1194">
        <f t="shared" si="57"/>
        <v>1</v>
      </c>
      <c r="AS231" s="1194">
        <f t="shared" si="58"/>
        <v>1</v>
      </c>
      <c r="AT231" s="1194">
        <f t="shared" si="59"/>
        <v>1</v>
      </c>
      <c r="AU231" s="1194" t="str">
        <f t="shared" si="60"/>
        <v>.</v>
      </c>
      <c r="AV231" s="1194" t="str">
        <f t="shared" si="51"/>
        <v>.</v>
      </c>
      <c r="AW231" s="1194" t="str">
        <f t="shared" si="61"/>
        <v>.</v>
      </c>
      <c r="AX231" s="1194">
        <f>IFERROR(VLOOKUP(B231,'Share, Heavy Weapons to Ukraine'!B:Z,COLUMN('Share, Heavy Weapons to Ukraine'!C241)-1,0),0)</f>
        <v>0</v>
      </c>
      <c r="AY231" s="1194">
        <f>VLOOKUP('Bilateral Assistance, MAIN DATA'!B231,'Country Summary (€)'!B:F,COLUMN('Country Summary (€)'!C242)-1,FALSE)</f>
        <v>1</v>
      </c>
      <c r="AZ231" s="1194" t="str">
        <f>IF(AND(AD231=1,D231="Military",H231&lt;&gt;"Not given")=TRUE,IF(SUMIFS(P:P,A:A,A231)&gt;0,ABS((SUMIFS(P:P,A:A,A231)/VLOOKUP("USD",'Exchange Rates'!B:C,2,0)))/S231,"."),".")</f>
        <v>.</v>
      </c>
      <c r="BA231" s="1196" t="str">
        <f>IF(AND(AD231=1,D231="Military",H231&lt;&gt;"Not given")=TRUE,IF(SUMIFS(P:P,A:A,A231)&gt;0,IF((ABS((SUMIFS(P:P,A:A,A231)/VLOOKUP("USD",'Exchange Rates'!B:C,2,0)))/S231)&gt;1,(SUMIFS(P:P,A:A,A231)-S231)/S231,(S231-SUMIFS(P:P,A:A,A231))/SUMIFS(P:P,A:A,A231)),"."),".")</f>
        <v>.</v>
      </c>
    </row>
    <row r="232" spans="1:53" ht="15.95" customHeight="1">
      <c r="A232" s="1182" t="s">
        <v>1017</v>
      </c>
      <c r="B232" s="1182" t="s">
        <v>1012</v>
      </c>
      <c r="C232" s="1181">
        <v>44618</v>
      </c>
      <c r="D232" s="1182" t="s">
        <v>389</v>
      </c>
      <c r="E232" s="1182" t="s">
        <v>390</v>
      </c>
      <c r="F232" s="1183" t="s">
        <v>1018</v>
      </c>
      <c r="G232" s="1184" t="s">
        <v>1014</v>
      </c>
      <c r="H232" s="1185">
        <v>188106550</v>
      </c>
      <c r="I232" s="1266" t="s">
        <v>1026</v>
      </c>
      <c r="J232" s="1186" t="str">
        <f>VLOOKUP($I232,'Price List, Weapons &amp; Items'!B:C,2,0)</f>
        <v>Ammunition for light infantry</v>
      </c>
      <c r="K232" s="1186" t="str">
        <f>IF(I232=".",I232,VLOOKUP($I232,'Price List, Weapons &amp; Items'!B:D,3,0))</f>
        <v>Small Arms and Light Weapons (SALW) ammunition</v>
      </c>
      <c r="L232" s="1187">
        <f>VLOOKUP(I232,'Price List, Weapons &amp; Items'!B:E,4,0)</f>
        <v>0</v>
      </c>
      <c r="M232" s="1188">
        <v>1000000</v>
      </c>
      <c r="N232" s="1188">
        <f t="shared" si="62"/>
        <v>1000000</v>
      </c>
      <c r="O232" s="1188">
        <f>VLOOKUP($I232,'Price List, Weapons &amp; Items'!B:G,6,0)</f>
        <v>0.5</v>
      </c>
      <c r="P232" s="1185">
        <f t="shared" si="52"/>
        <v>500000</v>
      </c>
      <c r="Q232" s="1185">
        <f t="shared" si="53"/>
        <v>500000</v>
      </c>
      <c r="R232" s="1185" t="str">
        <f t="shared" si="49"/>
        <v/>
      </c>
      <c r="S232" s="1185" t="str">
        <f>IF(AND(AD232=1,R232&lt;&gt;".")=TRUE,R232/VLOOKUP(G232,'Exchange Rates'!B:C,2,0),IF(R232=".",".",""))</f>
        <v/>
      </c>
      <c r="T232" s="1185" t="str">
        <f>IF(AD232=1,IF(AF232="Value is not given at all",".",IF(AF232="Value is given by the source",S232,IF(AF232="Value is calculated with prices",(IF(SUMIFS(Q:Q,A:A,A232)&gt;0,SUMIFS(Q:Q,A:A,A232),"."))/VLOOKUP("USD",'Exchange Rates'!B:C,2,0),"Error with coding"))),"")</f>
        <v/>
      </c>
      <c r="U232" s="1273" t="s">
        <v>365</v>
      </c>
      <c r="V232" s="974" t="s">
        <v>1020</v>
      </c>
      <c r="W232" s="1005" t="s">
        <v>1021</v>
      </c>
      <c r="X232" s="1183" t="s">
        <v>364</v>
      </c>
      <c r="Y232" s="1183" t="s">
        <v>364</v>
      </c>
      <c r="Z232" s="1184">
        <v>0</v>
      </c>
      <c r="AA232" s="1194">
        <v>0</v>
      </c>
      <c r="AB232" s="975" t="s">
        <v>1020</v>
      </c>
      <c r="AC232" s="1192" t="str">
        <f>""</f>
        <v/>
      </c>
      <c r="AD232" s="1193">
        <v>0</v>
      </c>
      <c r="AE232" s="1193" t="s">
        <v>368</v>
      </c>
      <c r="AF232" s="1193" t="s">
        <v>368</v>
      </c>
      <c r="AG232" s="1193">
        <v>1</v>
      </c>
      <c r="AH232" s="1193">
        <v>2</v>
      </c>
      <c r="AI232" s="1193">
        <v>0</v>
      </c>
      <c r="AJ232" s="1193">
        <f>VLOOKUP($I232,'Price List, Weapons &amp; Items'!B:F,5,0)</f>
        <v>0</v>
      </c>
      <c r="AK232" s="1193">
        <f t="shared" si="54"/>
        <v>0</v>
      </c>
      <c r="AL232" s="1193">
        <f t="shared" si="55"/>
        <v>0</v>
      </c>
      <c r="AM232" s="1193">
        <f t="shared" si="56"/>
        <v>0</v>
      </c>
      <c r="AN232" s="1194" t="str">
        <f>VLOOKUP($I232,'Price List, Weapons &amp; Items'!B:L,COLUMN('Price List, Weapons &amp; Items'!$J$11)-1,0)</f>
        <v>Online marketplaces and stores</v>
      </c>
      <c r="AO232" s="1194" t="str">
        <f>IF(I232=".",".",VLOOKUP($I232,'Price List, Weapons &amp; Items'!B:J,3,0))</f>
        <v>Small Arms and Light Weapons (SALW) ammunition</v>
      </c>
      <c r="AP232" s="1195" t="str">
        <f t="shared" ca="1" si="50"/>
        <v/>
      </c>
      <c r="AQ232" s="1194">
        <f>VLOOKUP($I232,'Price List, Weapons &amp; Items'!B:L,COLUMN('Price List, Weapons &amp; Items'!$L$11)-1,0)</f>
        <v>1</v>
      </c>
      <c r="AR232" s="1194">
        <f t="shared" si="57"/>
        <v>1</v>
      </c>
      <c r="AS232" s="1194">
        <f t="shared" si="58"/>
        <v>1</v>
      </c>
      <c r="AT232" s="1194">
        <f t="shared" si="59"/>
        <v>1</v>
      </c>
      <c r="AU232" s="1194" t="str">
        <f t="shared" si="60"/>
        <v>.</v>
      </c>
      <c r="AV232" s="1194" t="str">
        <f t="shared" si="51"/>
        <v>.</v>
      </c>
      <c r="AW232" s="1194" t="str">
        <f t="shared" si="61"/>
        <v>.</v>
      </c>
      <c r="AX232" s="1194">
        <f>IFERROR(VLOOKUP(B232,'Share, Heavy Weapons to Ukraine'!B:Z,COLUMN('Share, Heavy Weapons to Ukraine'!C242)-1,0),0)</f>
        <v>0</v>
      </c>
      <c r="AY232" s="1194">
        <f>VLOOKUP('Bilateral Assistance, MAIN DATA'!B232,'Country Summary (€)'!B:F,COLUMN('Country Summary (€)'!C243)-1,FALSE)</f>
        <v>1</v>
      </c>
      <c r="AZ232" s="1194" t="str">
        <f>IF(AND(AD232=1,D232="Military",H232&lt;&gt;"Not given")=TRUE,IF(SUMIFS(P:P,A:A,A232)&gt;0,ABS((SUMIFS(P:P,A:A,A232)/VLOOKUP("USD",'Exchange Rates'!B:C,2,0)))/S232,"."),".")</f>
        <v>.</v>
      </c>
      <c r="BA232" s="1196" t="str">
        <f>IF(AND(AD232=1,D232="Military",H232&lt;&gt;"Not given")=TRUE,IF(SUMIFS(P:P,A:A,A232)&gt;0,IF((ABS((SUMIFS(P:P,A:A,A232)/VLOOKUP("USD",'Exchange Rates'!B:C,2,0)))/S232)&gt;1,(SUMIFS(P:P,A:A,A232)-S232)/S232,(S232-SUMIFS(P:P,A:A,A232))/SUMIFS(P:P,A:A,A232)),"."),".")</f>
        <v>.</v>
      </c>
    </row>
    <row r="233" spans="1:53" ht="15.95" customHeight="1">
      <c r="A233" s="1182" t="s">
        <v>1017</v>
      </c>
      <c r="B233" s="1182" t="s">
        <v>1012</v>
      </c>
      <c r="C233" s="1181">
        <v>44618</v>
      </c>
      <c r="D233" s="1182" t="s">
        <v>389</v>
      </c>
      <c r="E233" s="1182" t="s">
        <v>390</v>
      </c>
      <c r="F233" s="1183" t="s">
        <v>1018</v>
      </c>
      <c r="G233" s="1184" t="s">
        <v>1014</v>
      </c>
      <c r="H233" s="1185">
        <v>188106550</v>
      </c>
      <c r="I233" s="1266" t="s">
        <v>1027</v>
      </c>
      <c r="J233" s="1186" t="str">
        <f>VLOOKUP($I233,'Price List, Weapons &amp; Items'!B:C,2,0)</f>
        <v>Light armaments &amp; infantry</v>
      </c>
      <c r="K233" s="1186" t="str">
        <f>IF(I233=".",I233,VLOOKUP($I233,'Price List, Weapons &amp; Items'!B:D,3,0))</f>
        <v>Small Arms and Light Weapons (SALW)</v>
      </c>
      <c r="L233" s="1187">
        <f>VLOOKUP(I233,'Price List, Weapons &amp; Items'!B:E,4,0)</f>
        <v>0</v>
      </c>
      <c r="M233" s="1188">
        <v>3200</v>
      </c>
      <c r="N233" s="1188">
        <f t="shared" si="62"/>
        <v>3200</v>
      </c>
      <c r="O233" s="1188">
        <f>VLOOKUP($I233,'Price List, Weapons &amp; Items'!B:G,6,0)</f>
        <v>5175</v>
      </c>
      <c r="P233" s="1185">
        <f t="shared" si="52"/>
        <v>16560000</v>
      </c>
      <c r="Q233" s="1185">
        <f t="shared" si="53"/>
        <v>16560000</v>
      </c>
      <c r="R233" s="1185" t="str">
        <f t="shared" si="49"/>
        <v/>
      </c>
      <c r="S233" s="1185" t="str">
        <f>IF(AND(AD233=1,R233&lt;&gt;".")=TRUE,R233/VLOOKUP(G233,'Exchange Rates'!B:C,2,0),IF(R233=".",".",""))</f>
        <v/>
      </c>
      <c r="T233" s="1185" t="str">
        <f>IF(AD233=1,IF(AF233="Value is not given at all",".",IF(AF233="Value is given by the source",S233,IF(AF233="Value is calculated with prices",(IF(SUMIFS(Q:Q,A:A,A233)&gt;0,SUMIFS(Q:Q,A:A,A233),"."))/VLOOKUP("USD",'Exchange Rates'!B:C,2,0),"Error with coding"))),"")</f>
        <v/>
      </c>
      <c r="U233" s="1273" t="s">
        <v>365</v>
      </c>
      <c r="V233" s="974" t="s">
        <v>1020</v>
      </c>
      <c r="W233" s="1005" t="s">
        <v>1021</v>
      </c>
      <c r="X233" s="1183" t="s">
        <v>364</v>
      </c>
      <c r="Y233" s="1183" t="s">
        <v>364</v>
      </c>
      <c r="Z233" s="1184">
        <v>0</v>
      </c>
      <c r="AA233" s="1194">
        <v>0</v>
      </c>
      <c r="AB233" s="975" t="s">
        <v>1020</v>
      </c>
      <c r="AC233" s="1192" t="str">
        <f>""</f>
        <v/>
      </c>
      <c r="AD233" s="1193">
        <v>0</v>
      </c>
      <c r="AE233" s="1193" t="s">
        <v>368</v>
      </c>
      <c r="AF233" s="1193" t="s">
        <v>368</v>
      </c>
      <c r="AG233" s="1193">
        <v>1</v>
      </c>
      <c r="AH233" s="1193">
        <v>2</v>
      </c>
      <c r="AI233" s="1193">
        <v>0</v>
      </c>
      <c r="AJ233" s="1193">
        <f>VLOOKUP($I233,'Price List, Weapons &amp; Items'!B:F,5,0)</f>
        <v>0</v>
      </c>
      <c r="AK233" s="1193">
        <f t="shared" si="54"/>
        <v>0</v>
      </c>
      <c r="AL233" s="1193">
        <f t="shared" si="55"/>
        <v>0</v>
      </c>
      <c r="AM233" s="1193">
        <f t="shared" si="56"/>
        <v>0</v>
      </c>
      <c r="AN233" s="1194" t="str">
        <f>VLOOKUP($I233,'Price List, Weapons &amp; Items'!B:L,COLUMN('Price List, Weapons &amp; Items'!$J$11)-1,0)</f>
        <v>Online marketplaces and stores</v>
      </c>
      <c r="AO233" s="1194" t="str">
        <f>IF(I233=".",".",VLOOKUP($I233,'Price List, Weapons &amp; Items'!B:J,3,0))</f>
        <v>Small Arms and Light Weapons (SALW)</v>
      </c>
      <c r="AP233" s="1195" t="str">
        <f t="shared" ca="1" si="50"/>
        <v/>
      </c>
      <c r="AQ233" s="1194">
        <f>VLOOKUP($I233,'Price List, Weapons &amp; Items'!B:L,COLUMN('Price List, Weapons &amp; Items'!$L$11)-1,0)</f>
        <v>2</v>
      </c>
      <c r="AR233" s="1194">
        <f t="shared" si="57"/>
        <v>1</v>
      </c>
      <c r="AS233" s="1194">
        <f t="shared" si="58"/>
        <v>1</v>
      </c>
      <c r="AT233" s="1194">
        <f t="shared" si="59"/>
        <v>1</v>
      </c>
      <c r="AU233" s="1194" t="str">
        <f t="shared" si="60"/>
        <v>.</v>
      </c>
      <c r="AV233" s="1194" t="str">
        <f t="shared" si="51"/>
        <v>.</v>
      </c>
      <c r="AW233" s="1194" t="str">
        <f t="shared" si="61"/>
        <v>.</v>
      </c>
      <c r="AX233" s="1194">
        <f>IFERROR(VLOOKUP(B233,'Share, Heavy Weapons to Ukraine'!B:Z,COLUMN('Share, Heavy Weapons to Ukraine'!C243)-1,0),0)</f>
        <v>0</v>
      </c>
      <c r="AY233" s="1194">
        <f>VLOOKUP('Bilateral Assistance, MAIN DATA'!B233,'Country Summary (€)'!B:F,COLUMN('Country Summary (€)'!C244)-1,FALSE)</f>
        <v>1</v>
      </c>
      <c r="AZ233" s="1194" t="str">
        <f>IF(AND(AD233=1,D233="Military",H233&lt;&gt;"Not given")=TRUE,IF(SUMIFS(P:P,A:A,A233)&gt;0,ABS((SUMIFS(P:P,A:A,A233)/VLOOKUP("USD",'Exchange Rates'!B:C,2,0)))/S233,"."),".")</f>
        <v>.</v>
      </c>
      <c r="BA233" s="1196" t="str">
        <f>IF(AND(AD233=1,D233="Military",H233&lt;&gt;"Not given")=TRUE,IF(SUMIFS(P:P,A:A,A233)&gt;0,IF((ABS((SUMIFS(P:P,A:A,A233)/VLOOKUP("USD",'Exchange Rates'!B:C,2,0)))/S233)&gt;1,(SUMIFS(P:P,A:A,A233)-S233)/S233,(S233-SUMIFS(P:P,A:A,A233))/SUMIFS(P:P,A:A,A233)),"."),".")</f>
        <v>.</v>
      </c>
    </row>
    <row r="234" spans="1:53" ht="15.95" customHeight="1">
      <c r="A234" s="1182" t="s">
        <v>1017</v>
      </c>
      <c r="B234" s="1182" t="s">
        <v>1012</v>
      </c>
      <c r="C234" s="1181">
        <v>44618</v>
      </c>
      <c r="D234" s="1182" t="s">
        <v>389</v>
      </c>
      <c r="E234" s="1182" t="s">
        <v>390</v>
      </c>
      <c r="F234" s="1183" t="s">
        <v>1018</v>
      </c>
      <c r="G234" s="1184" t="s">
        <v>1014</v>
      </c>
      <c r="H234" s="1185">
        <v>188106550</v>
      </c>
      <c r="I234" s="1266" t="s">
        <v>1028</v>
      </c>
      <c r="J234" s="1186" t="str">
        <f>VLOOKUP($I234,'Price List, Weapons &amp; Items'!B:C,2,0)</f>
        <v>Light armaments &amp; infantry</v>
      </c>
      <c r="K234" s="1186" t="str">
        <f>IF(I234=".",I234,VLOOKUP($I234,'Price List, Weapons &amp; Items'!B:D,3,0))</f>
        <v>Small Arms and Light Weapons (SALW)</v>
      </c>
      <c r="L234" s="1187">
        <f>VLOOKUP(I234,'Price List, Weapons &amp; Items'!B:E,4,0)</f>
        <v>1</v>
      </c>
      <c r="M234" s="1188">
        <v>12</v>
      </c>
      <c r="N234" s="1188">
        <f t="shared" si="62"/>
        <v>12</v>
      </c>
      <c r="O234" s="1188">
        <f>VLOOKUP($I234,'Price List, Weapons &amp; Items'!B:G,6,0)</f>
        <v>3832.65</v>
      </c>
      <c r="P234" s="1185">
        <f t="shared" si="52"/>
        <v>45991.8</v>
      </c>
      <c r="Q234" s="1185">
        <f t="shared" si="53"/>
        <v>45991.8</v>
      </c>
      <c r="R234" s="1185" t="str">
        <f t="shared" si="49"/>
        <v/>
      </c>
      <c r="S234" s="1185" t="str">
        <f>IF(AND(AD234=1,R234&lt;&gt;".")=TRUE,R234/VLOOKUP(G234,'Exchange Rates'!B:C,2,0),IF(R234=".",".",""))</f>
        <v/>
      </c>
      <c r="T234" s="1185" t="str">
        <f>IF(AD234=1,IF(AF234="Value is not given at all",".",IF(AF234="Value is given by the source",S234,IF(AF234="Value is calculated with prices",(IF(SUMIFS(Q:Q,A:A,A234)&gt;0,SUMIFS(Q:Q,A:A,A234),"."))/VLOOKUP("USD",'Exchange Rates'!B:C,2,0),"Error with coding"))),"")</f>
        <v/>
      </c>
      <c r="U234" s="1273" t="s">
        <v>365</v>
      </c>
      <c r="V234" s="974" t="s">
        <v>1020</v>
      </c>
      <c r="W234" s="1005" t="s">
        <v>1021</v>
      </c>
      <c r="X234" s="1183" t="s">
        <v>364</v>
      </c>
      <c r="Y234" s="1183" t="s">
        <v>364</v>
      </c>
      <c r="Z234" s="1184">
        <v>0</v>
      </c>
      <c r="AA234" s="1194">
        <v>0</v>
      </c>
      <c r="AB234" s="975" t="s">
        <v>1020</v>
      </c>
      <c r="AC234" s="1192" t="str">
        <f>""</f>
        <v/>
      </c>
      <c r="AD234" s="1193">
        <v>0</v>
      </c>
      <c r="AE234" s="1193" t="s">
        <v>368</v>
      </c>
      <c r="AF234" s="1193" t="s">
        <v>368</v>
      </c>
      <c r="AG234" s="1193">
        <v>1</v>
      </c>
      <c r="AH234" s="1193">
        <v>2</v>
      </c>
      <c r="AI234" s="1193">
        <v>0</v>
      </c>
      <c r="AJ234" s="1193">
        <f>VLOOKUP($I234,'Price List, Weapons &amp; Items'!B:F,5,0)</f>
        <v>0</v>
      </c>
      <c r="AK234" s="1193">
        <f t="shared" si="54"/>
        <v>0</v>
      </c>
      <c r="AL234" s="1193">
        <f t="shared" si="55"/>
        <v>0</v>
      </c>
      <c r="AM234" s="1193">
        <f t="shared" si="56"/>
        <v>0</v>
      </c>
      <c r="AN234" s="1194" t="str">
        <f>VLOOKUP($I234,'Price List, Weapons &amp; Items'!B:L,COLUMN('Price List, Weapons &amp; Items'!$J$11)-1,0)</f>
        <v>Online marketplaces and stores</v>
      </c>
      <c r="AO234" s="1194" t="str">
        <f>IF(I234=".",".",VLOOKUP($I234,'Price List, Weapons &amp; Items'!B:J,3,0))</f>
        <v>Small Arms and Light Weapons (SALW)</v>
      </c>
      <c r="AP234" s="1195" t="str">
        <f t="shared" ca="1" si="50"/>
        <v/>
      </c>
      <c r="AQ234" s="1194">
        <f>VLOOKUP($I234,'Price List, Weapons &amp; Items'!B:L,COLUMN('Price List, Weapons &amp; Items'!$L$11)-1,0)</f>
        <v>1</v>
      </c>
      <c r="AR234" s="1194">
        <f t="shared" si="57"/>
        <v>1</v>
      </c>
      <c r="AS234" s="1194">
        <f t="shared" si="58"/>
        <v>1</v>
      </c>
      <c r="AT234" s="1194">
        <f t="shared" si="59"/>
        <v>1</v>
      </c>
      <c r="AU234" s="1194" t="str">
        <f t="shared" si="60"/>
        <v>.</v>
      </c>
      <c r="AV234" s="1194" t="str">
        <f t="shared" si="51"/>
        <v>.</v>
      </c>
      <c r="AW234" s="1194" t="str">
        <f t="shared" si="61"/>
        <v>.</v>
      </c>
      <c r="AX234" s="1194">
        <f>IFERROR(VLOOKUP(B234,'Share, Heavy Weapons to Ukraine'!B:Z,COLUMN('Share, Heavy Weapons to Ukraine'!C244)-1,0),0)</f>
        <v>0</v>
      </c>
      <c r="AY234" s="1194">
        <f>VLOOKUP('Bilateral Assistance, MAIN DATA'!B234,'Country Summary (€)'!B:F,COLUMN('Country Summary (€)'!C245)-1,FALSE)</f>
        <v>1</v>
      </c>
      <c r="AZ234" s="1194" t="str">
        <f>IF(AND(AD234=1,D234="Military",H234&lt;&gt;"Not given")=TRUE,IF(SUMIFS(P:P,A:A,A234)&gt;0,ABS((SUMIFS(P:P,A:A,A234)/VLOOKUP("USD",'Exchange Rates'!B:C,2,0)))/S234,"."),".")</f>
        <v>.</v>
      </c>
      <c r="BA234" s="1196" t="str">
        <f>IF(AND(AD234=1,D234="Military",H234&lt;&gt;"Not given")=TRUE,IF(SUMIFS(P:P,A:A,A234)&gt;0,IF((ABS((SUMIFS(P:P,A:A,A234)/VLOOKUP("USD",'Exchange Rates'!B:C,2,0)))/S234)&gt;1,(SUMIFS(P:P,A:A,A234)-S234)/S234,(S234-SUMIFS(P:P,A:A,A234))/SUMIFS(P:P,A:A,A234)),"."),".")</f>
        <v>.</v>
      </c>
    </row>
    <row r="235" spans="1:53" ht="15.95" customHeight="1">
      <c r="A235" s="1182" t="s">
        <v>1017</v>
      </c>
      <c r="B235" s="1182" t="s">
        <v>1012</v>
      </c>
      <c r="C235" s="1181">
        <v>44618</v>
      </c>
      <c r="D235" s="1182" t="s">
        <v>389</v>
      </c>
      <c r="E235" s="1182" t="s">
        <v>390</v>
      </c>
      <c r="F235" s="1183" t="s">
        <v>1018</v>
      </c>
      <c r="G235" s="1184" t="s">
        <v>1014</v>
      </c>
      <c r="H235" s="1185">
        <v>188106550</v>
      </c>
      <c r="I235" s="1266" t="s">
        <v>1029</v>
      </c>
      <c r="J235" s="1186" t="str">
        <f>VLOOKUP($I235,'Price List, Weapons &amp; Items'!B:C,2,0)</f>
        <v>Ammunition for light infantry</v>
      </c>
      <c r="K235" s="1186" t="str">
        <f>IF(I235=".",I235,VLOOKUP($I235,'Price List, Weapons &amp; Items'!B:D,3,0))</f>
        <v>Small Arms and Light Weapons (SALW) ammunition</v>
      </c>
      <c r="L235" s="1187">
        <f>VLOOKUP(I235,'Price List, Weapons &amp; Items'!B:E,4,0)</f>
        <v>1</v>
      </c>
      <c r="M235" s="1188">
        <v>1000000</v>
      </c>
      <c r="N235" s="1188">
        <f t="shared" si="62"/>
        <v>1000000</v>
      </c>
      <c r="O235" s="1188">
        <f>VLOOKUP($I235,'Price List, Weapons &amp; Items'!B:G,6,0)</f>
        <v>0.95</v>
      </c>
      <c r="P235" s="1185">
        <f t="shared" si="52"/>
        <v>950000</v>
      </c>
      <c r="Q235" s="1185">
        <f t="shared" si="53"/>
        <v>950000</v>
      </c>
      <c r="R235" s="1185" t="str">
        <f t="shared" si="49"/>
        <v/>
      </c>
      <c r="S235" s="1185" t="str">
        <f>IF(AND(AD235=1,R235&lt;&gt;".")=TRUE,R235/VLOOKUP(G235,'Exchange Rates'!B:C,2,0),IF(R235=".",".",""))</f>
        <v/>
      </c>
      <c r="T235" s="1185" t="str">
        <f>IF(AD235=1,IF(AF235="Value is not given at all",".",IF(AF235="Value is given by the source",S235,IF(AF235="Value is calculated with prices",(IF(SUMIFS(Q:Q,A:A,A235)&gt;0,SUMIFS(Q:Q,A:A,A235),"."))/VLOOKUP("USD",'Exchange Rates'!B:C,2,0),"Error with coding"))),"")</f>
        <v/>
      </c>
      <c r="U235" s="1273" t="s">
        <v>365</v>
      </c>
      <c r="V235" s="974" t="s">
        <v>1020</v>
      </c>
      <c r="W235" s="1005" t="s">
        <v>1021</v>
      </c>
      <c r="X235" s="1183" t="s">
        <v>364</v>
      </c>
      <c r="Y235" s="1183" t="s">
        <v>364</v>
      </c>
      <c r="Z235" s="1184">
        <v>0</v>
      </c>
      <c r="AA235" s="1194">
        <v>0</v>
      </c>
      <c r="AB235" s="975" t="s">
        <v>1020</v>
      </c>
      <c r="AC235" s="1192" t="str">
        <f>""</f>
        <v/>
      </c>
      <c r="AD235" s="1193">
        <v>0</v>
      </c>
      <c r="AE235" s="1193" t="s">
        <v>368</v>
      </c>
      <c r="AF235" s="1193" t="s">
        <v>368</v>
      </c>
      <c r="AG235" s="1193">
        <v>1</v>
      </c>
      <c r="AH235" s="1193">
        <v>2</v>
      </c>
      <c r="AI235" s="1193">
        <v>0</v>
      </c>
      <c r="AJ235" s="1193">
        <f>VLOOKUP($I235,'Price List, Weapons &amp; Items'!B:F,5,0)</f>
        <v>0</v>
      </c>
      <c r="AK235" s="1193">
        <f t="shared" si="54"/>
        <v>0</v>
      </c>
      <c r="AL235" s="1193">
        <f t="shared" si="55"/>
        <v>0</v>
      </c>
      <c r="AM235" s="1193">
        <f t="shared" si="56"/>
        <v>0</v>
      </c>
      <c r="AN235" s="1194" t="str">
        <f>VLOOKUP($I235,'Price List, Weapons &amp; Items'!B:L,COLUMN('Price List, Weapons &amp; Items'!$J$11)-1,0)</f>
        <v>Online marketplaces and stores</v>
      </c>
      <c r="AO235" s="1194" t="str">
        <f>IF(I235=".",".",VLOOKUP($I235,'Price List, Weapons &amp; Items'!B:J,3,0))</f>
        <v>Small Arms and Light Weapons (SALW) ammunition</v>
      </c>
      <c r="AP235" s="1195" t="str">
        <f t="shared" ca="1" si="50"/>
        <v/>
      </c>
      <c r="AQ235" s="1194">
        <f>VLOOKUP($I235,'Price List, Weapons &amp; Items'!B:L,COLUMN('Price List, Weapons &amp; Items'!$L$11)-1,0)</f>
        <v>1</v>
      </c>
      <c r="AR235" s="1194">
        <f t="shared" si="57"/>
        <v>1</v>
      </c>
      <c r="AS235" s="1194">
        <f t="shared" si="58"/>
        <v>1</v>
      </c>
      <c r="AT235" s="1194">
        <f t="shared" si="59"/>
        <v>1</v>
      </c>
      <c r="AU235" s="1194" t="str">
        <f t="shared" si="60"/>
        <v>.</v>
      </c>
      <c r="AV235" s="1194" t="str">
        <f t="shared" si="51"/>
        <v>.</v>
      </c>
      <c r="AW235" s="1194" t="str">
        <f t="shared" si="61"/>
        <v>.</v>
      </c>
      <c r="AX235" s="1194">
        <f>IFERROR(VLOOKUP(B235,'Share, Heavy Weapons to Ukraine'!B:Z,COLUMN('Share, Heavy Weapons to Ukraine'!C245)-1,0),0)</f>
        <v>0</v>
      </c>
      <c r="AY235" s="1194">
        <f>VLOOKUP('Bilateral Assistance, MAIN DATA'!B235,'Country Summary (€)'!B:F,COLUMN('Country Summary (€)'!C246)-1,FALSE)</f>
        <v>1</v>
      </c>
      <c r="AZ235" s="1194" t="str">
        <f>IF(AND(AD235=1,D235="Military",H235&lt;&gt;"Not given")=TRUE,IF(SUMIFS(P:P,A:A,A235)&gt;0,ABS((SUMIFS(P:P,A:A,A235)/VLOOKUP("USD",'Exchange Rates'!B:C,2,0)))/S235,"."),".")</f>
        <v>.</v>
      </c>
      <c r="BA235" s="1196" t="str">
        <f>IF(AND(AD235=1,D235="Military",H235&lt;&gt;"Not given")=TRUE,IF(SUMIFS(P:P,A:A,A235)&gt;0,IF((ABS((SUMIFS(P:P,A:A,A235)/VLOOKUP("USD",'Exchange Rates'!B:C,2,0)))/S235)&gt;1,(SUMIFS(P:P,A:A,A235)-S235)/S235,(S235-SUMIFS(P:P,A:A,A235))/SUMIFS(P:P,A:A,A235)),"."),".")</f>
        <v>.</v>
      </c>
    </row>
    <row r="236" spans="1:53" ht="15.95" customHeight="1">
      <c r="A236" s="1182" t="s">
        <v>1017</v>
      </c>
      <c r="B236" s="1182" t="s">
        <v>1012</v>
      </c>
      <c r="C236" s="1181">
        <v>44618</v>
      </c>
      <c r="D236" s="1182" t="s">
        <v>389</v>
      </c>
      <c r="E236" s="1182" t="s">
        <v>390</v>
      </c>
      <c r="F236" s="1183" t="s">
        <v>1018</v>
      </c>
      <c r="G236" s="1184" t="s">
        <v>1014</v>
      </c>
      <c r="H236" s="1185">
        <v>188106550</v>
      </c>
      <c r="I236" s="1266" t="s">
        <v>1030</v>
      </c>
      <c r="J236" s="1186" t="str">
        <f>VLOOKUP($I236,'Price List, Weapons &amp; Items'!B:C,2,0)</f>
        <v>Ammunition for light infantry</v>
      </c>
      <c r="K236" s="1186" t="str">
        <f>IF(I236=".",I236,VLOOKUP($I236,'Price List, Weapons &amp; Items'!B:D,3,0))</f>
        <v>Small Arms and Light Weapons (SALW) ammunition</v>
      </c>
      <c r="L236" s="1187">
        <f>VLOOKUP(I236,'Price List, Weapons &amp; Items'!B:E,4,0)</f>
        <v>0</v>
      </c>
      <c r="M236" s="1188">
        <v>1000000</v>
      </c>
      <c r="N236" s="1188">
        <f t="shared" si="62"/>
        <v>1000000</v>
      </c>
      <c r="O236" s="1188">
        <f>VLOOKUP($I236,'Price List, Weapons &amp; Items'!B:G,6,0)</f>
        <v>0.95</v>
      </c>
      <c r="P236" s="1185">
        <f t="shared" si="52"/>
        <v>950000</v>
      </c>
      <c r="Q236" s="1185">
        <f t="shared" si="53"/>
        <v>950000</v>
      </c>
      <c r="R236" s="1185" t="str">
        <f t="shared" si="49"/>
        <v/>
      </c>
      <c r="S236" s="1185" t="str">
        <f>IF(AND(AD236=1,R236&lt;&gt;".")=TRUE,R236/VLOOKUP(G236,'Exchange Rates'!B:C,2,0),IF(R236=".",".",""))</f>
        <v/>
      </c>
      <c r="T236" s="1185" t="str">
        <f>IF(AD236=1,IF(AF236="Value is not given at all",".",IF(AF236="Value is given by the source",S236,IF(AF236="Value is calculated with prices",(IF(SUMIFS(Q:Q,A:A,A236)&gt;0,SUMIFS(Q:Q,A:A,A236),"."))/VLOOKUP("USD",'Exchange Rates'!B:C,2,0),"Error with coding"))),"")</f>
        <v/>
      </c>
      <c r="U236" s="1273" t="s">
        <v>365</v>
      </c>
      <c r="V236" s="974" t="s">
        <v>1020</v>
      </c>
      <c r="W236" s="1005" t="s">
        <v>1021</v>
      </c>
      <c r="X236" s="1183" t="s">
        <v>364</v>
      </c>
      <c r="Y236" s="1183" t="s">
        <v>364</v>
      </c>
      <c r="Z236" s="1184">
        <v>0</v>
      </c>
      <c r="AA236" s="1194">
        <v>0</v>
      </c>
      <c r="AB236" s="975" t="s">
        <v>1020</v>
      </c>
      <c r="AC236" s="1192" t="str">
        <f>""</f>
        <v/>
      </c>
      <c r="AD236" s="1193">
        <v>0</v>
      </c>
      <c r="AE236" s="1193" t="s">
        <v>368</v>
      </c>
      <c r="AF236" s="1193" t="s">
        <v>368</v>
      </c>
      <c r="AG236" s="1193">
        <v>1</v>
      </c>
      <c r="AH236" s="1193">
        <v>2</v>
      </c>
      <c r="AI236" s="1193">
        <v>0</v>
      </c>
      <c r="AJ236" s="1193">
        <f>VLOOKUP($I236,'Price List, Weapons &amp; Items'!B:F,5,0)</f>
        <v>0</v>
      </c>
      <c r="AK236" s="1193">
        <f t="shared" si="54"/>
        <v>0</v>
      </c>
      <c r="AL236" s="1193">
        <f t="shared" si="55"/>
        <v>0</v>
      </c>
      <c r="AM236" s="1193">
        <f t="shared" si="56"/>
        <v>0</v>
      </c>
      <c r="AN236" s="1194" t="str">
        <f>VLOOKUP($I236,'Price List, Weapons &amp; Items'!B:L,COLUMN('Price List, Weapons &amp; Items'!$J$11)-1,0)</f>
        <v>Online marketplaces and stores</v>
      </c>
      <c r="AO236" s="1194" t="str">
        <f>IF(I236=".",".",VLOOKUP($I236,'Price List, Weapons &amp; Items'!B:J,3,0))</f>
        <v>Small Arms and Light Weapons (SALW) ammunition</v>
      </c>
      <c r="AP236" s="1195" t="str">
        <f t="shared" ca="1" si="50"/>
        <v/>
      </c>
      <c r="AQ236" s="1194">
        <f>VLOOKUP($I236,'Price List, Weapons &amp; Items'!B:L,COLUMN('Price List, Weapons &amp; Items'!$L$11)-1,0)</f>
        <v>1</v>
      </c>
      <c r="AR236" s="1194">
        <f t="shared" si="57"/>
        <v>1</v>
      </c>
      <c r="AS236" s="1194">
        <f t="shared" si="58"/>
        <v>1</v>
      </c>
      <c r="AT236" s="1194">
        <f t="shared" si="59"/>
        <v>1</v>
      </c>
      <c r="AU236" s="1194" t="str">
        <f t="shared" si="60"/>
        <v>.</v>
      </c>
      <c r="AV236" s="1194" t="str">
        <f t="shared" si="51"/>
        <v>.</v>
      </c>
      <c r="AW236" s="1194" t="str">
        <f t="shared" si="61"/>
        <v>.</v>
      </c>
      <c r="AX236" s="1194">
        <f>IFERROR(VLOOKUP(B236,'Share, Heavy Weapons to Ukraine'!B:Z,COLUMN('Share, Heavy Weapons to Ukraine'!C246)-1,0),0)</f>
        <v>0</v>
      </c>
      <c r="AY236" s="1194">
        <f>VLOOKUP('Bilateral Assistance, MAIN DATA'!B236,'Country Summary (€)'!B:F,COLUMN('Country Summary (€)'!C247)-1,FALSE)</f>
        <v>1</v>
      </c>
      <c r="AZ236" s="1194" t="str">
        <f>IF(AND(AD236=1,D236="Military",H236&lt;&gt;"Not given")=TRUE,IF(SUMIFS(P:P,A:A,A236)&gt;0,ABS((SUMIFS(P:P,A:A,A236)/VLOOKUP("USD",'Exchange Rates'!B:C,2,0)))/S236,"."),".")</f>
        <v>.</v>
      </c>
      <c r="BA236" s="1196" t="str">
        <f>IF(AND(AD236=1,D236="Military",H236&lt;&gt;"Not given")=TRUE,IF(SUMIFS(P:P,A:A,A236)&gt;0,IF((ABS((SUMIFS(P:P,A:A,A236)/VLOOKUP("USD",'Exchange Rates'!B:C,2,0)))/S236)&gt;1,(SUMIFS(P:P,A:A,A236)-S236)/S236,(S236-SUMIFS(P:P,A:A,A236))/SUMIFS(P:P,A:A,A236)),"."),".")</f>
        <v>.</v>
      </c>
    </row>
    <row r="237" spans="1:53" ht="15.95" customHeight="1">
      <c r="A237" s="1182" t="s">
        <v>1017</v>
      </c>
      <c r="B237" s="1182" t="s">
        <v>1012</v>
      </c>
      <c r="C237" s="1181">
        <v>44618</v>
      </c>
      <c r="D237" s="1182" t="s">
        <v>389</v>
      </c>
      <c r="E237" s="1182" t="s">
        <v>390</v>
      </c>
      <c r="F237" s="1183" t="s">
        <v>1018</v>
      </c>
      <c r="G237" s="1184" t="s">
        <v>1014</v>
      </c>
      <c r="H237" s="1185">
        <v>188106550</v>
      </c>
      <c r="I237" s="1266" t="s">
        <v>1031</v>
      </c>
      <c r="J237" s="1186" t="str">
        <f>VLOOKUP($I237,'Price List, Weapons &amp; Items'!B:C,2,0)</f>
        <v>Ammunition for light infantry</v>
      </c>
      <c r="K237" s="1186" t="str">
        <f>IF(I237=".",I237,VLOOKUP($I237,'Price List, Weapons &amp; Items'!B:D,3,0))</f>
        <v>Small Arms and Light Weapons (SALW) ammunition</v>
      </c>
      <c r="L237" s="1187">
        <f>VLOOKUP(I237,'Price List, Weapons &amp; Items'!B:E,4,0)</f>
        <v>0</v>
      </c>
      <c r="M237" s="1188">
        <v>150000</v>
      </c>
      <c r="N237" s="1188">
        <f t="shared" si="62"/>
        <v>150000</v>
      </c>
      <c r="O237" s="1188">
        <f>VLOOKUP($I237,'Price List, Weapons &amp; Items'!B:G,6,0)</f>
        <v>0.95</v>
      </c>
      <c r="P237" s="1185">
        <f t="shared" si="52"/>
        <v>142500</v>
      </c>
      <c r="Q237" s="1185">
        <f t="shared" si="53"/>
        <v>142500</v>
      </c>
      <c r="R237" s="1185" t="str">
        <f t="shared" si="49"/>
        <v/>
      </c>
      <c r="S237" s="1185" t="str">
        <f>IF(AND(AD237=1,R237&lt;&gt;".")=TRUE,R237/VLOOKUP(G237,'Exchange Rates'!B:C,2,0),IF(R237=".",".",""))</f>
        <v/>
      </c>
      <c r="T237" s="1185" t="str">
        <f>IF(AD237=1,IF(AF237="Value is not given at all",".",IF(AF237="Value is given by the source",S237,IF(AF237="Value is calculated with prices",(IF(SUMIFS(Q:Q,A:A,A237)&gt;0,SUMIFS(Q:Q,A:A,A237),"."))/VLOOKUP("USD",'Exchange Rates'!B:C,2,0),"Error with coding"))),"")</f>
        <v/>
      </c>
      <c r="U237" s="1273" t="s">
        <v>365</v>
      </c>
      <c r="V237" s="974" t="s">
        <v>1020</v>
      </c>
      <c r="W237" s="1005" t="s">
        <v>1021</v>
      </c>
      <c r="X237" s="1183" t="s">
        <v>364</v>
      </c>
      <c r="Y237" s="1183" t="s">
        <v>364</v>
      </c>
      <c r="Z237" s="1184">
        <v>0</v>
      </c>
      <c r="AA237" s="1194">
        <v>0</v>
      </c>
      <c r="AB237" s="975" t="s">
        <v>1020</v>
      </c>
      <c r="AC237" s="1192" t="str">
        <f>""</f>
        <v/>
      </c>
      <c r="AD237" s="1193">
        <v>0</v>
      </c>
      <c r="AE237" s="1193" t="s">
        <v>368</v>
      </c>
      <c r="AF237" s="1193" t="s">
        <v>368</v>
      </c>
      <c r="AG237" s="1193">
        <v>1</v>
      </c>
      <c r="AH237" s="1193">
        <v>2</v>
      </c>
      <c r="AI237" s="1193">
        <v>0</v>
      </c>
      <c r="AJ237" s="1193">
        <f>VLOOKUP($I237,'Price List, Weapons &amp; Items'!B:F,5,0)</f>
        <v>0</v>
      </c>
      <c r="AK237" s="1193">
        <f t="shared" si="54"/>
        <v>0</v>
      </c>
      <c r="AL237" s="1193">
        <f t="shared" si="55"/>
        <v>0</v>
      </c>
      <c r="AM237" s="1193">
        <f t="shared" si="56"/>
        <v>0</v>
      </c>
      <c r="AN237" s="1194" t="str">
        <f>VLOOKUP($I237,'Price List, Weapons &amp; Items'!B:L,COLUMN('Price List, Weapons &amp; Items'!$J$11)-1,0)</f>
        <v>Online marketplaces and stores</v>
      </c>
      <c r="AO237" s="1194" t="str">
        <f>IF(I237=".",".",VLOOKUP($I237,'Price List, Weapons &amp; Items'!B:J,3,0))</f>
        <v>Small Arms and Light Weapons (SALW) ammunition</v>
      </c>
      <c r="AP237" s="1195" t="str">
        <f t="shared" ca="1" si="50"/>
        <v/>
      </c>
      <c r="AQ237" s="1194">
        <f>VLOOKUP($I237,'Price List, Weapons &amp; Items'!B:L,COLUMN('Price List, Weapons &amp; Items'!$L$11)-1,0)</f>
        <v>1</v>
      </c>
      <c r="AR237" s="1194">
        <f t="shared" si="57"/>
        <v>1</v>
      </c>
      <c r="AS237" s="1194">
        <f t="shared" si="58"/>
        <v>1</v>
      </c>
      <c r="AT237" s="1194">
        <f t="shared" si="59"/>
        <v>1</v>
      </c>
      <c r="AU237" s="1194" t="str">
        <f t="shared" si="60"/>
        <v>.</v>
      </c>
      <c r="AV237" s="1194" t="str">
        <f t="shared" si="51"/>
        <v>.</v>
      </c>
      <c r="AW237" s="1194" t="str">
        <f t="shared" si="61"/>
        <v>.</v>
      </c>
      <c r="AX237" s="1194">
        <f>IFERROR(VLOOKUP(B237,'Share, Heavy Weapons to Ukraine'!B:Z,COLUMN('Share, Heavy Weapons to Ukraine'!C247)-1,0),0)</f>
        <v>0</v>
      </c>
      <c r="AY237" s="1194">
        <f>VLOOKUP('Bilateral Assistance, MAIN DATA'!B237,'Country Summary (€)'!B:F,COLUMN('Country Summary (€)'!C248)-1,FALSE)</f>
        <v>1</v>
      </c>
      <c r="AZ237" s="1194" t="str">
        <f>IF(AND(AD237=1,D237="Military",H237&lt;&gt;"Not given")=TRUE,IF(SUMIFS(P:P,A:A,A237)&gt;0,ABS((SUMIFS(P:P,A:A,A237)/VLOOKUP("USD",'Exchange Rates'!B:C,2,0)))/S237,"."),".")</f>
        <v>.</v>
      </c>
      <c r="BA237" s="1196" t="str">
        <f>IF(AND(AD237=1,D237="Military",H237&lt;&gt;"Not given")=TRUE,IF(SUMIFS(P:P,A:A,A237)&gt;0,IF((ABS((SUMIFS(P:P,A:A,A237)/VLOOKUP("USD",'Exchange Rates'!B:C,2,0)))/S237)&gt;1,(SUMIFS(P:P,A:A,A237)-S237)/S237,(S237-SUMIFS(P:P,A:A,A237))/SUMIFS(P:P,A:A,A237)),"."),".")</f>
        <v>.</v>
      </c>
    </row>
    <row r="238" spans="1:53" ht="15.95" customHeight="1">
      <c r="A238" s="1182" t="s">
        <v>1017</v>
      </c>
      <c r="B238" s="1182" t="s">
        <v>1012</v>
      </c>
      <c r="C238" s="1181">
        <v>44618</v>
      </c>
      <c r="D238" s="1182" t="s">
        <v>389</v>
      </c>
      <c r="E238" s="1182" t="s">
        <v>390</v>
      </c>
      <c r="F238" s="1183" t="s">
        <v>1018</v>
      </c>
      <c r="G238" s="1184" t="s">
        <v>1014</v>
      </c>
      <c r="H238" s="1185">
        <v>188106550</v>
      </c>
      <c r="I238" s="1266" t="s">
        <v>1032</v>
      </c>
      <c r="J238" s="1186" t="str">
        <f>VLOOKUP($I238,'Price List, Weapons &amp; Items'!B:C,2,0)</f>
        <v>Light armaments &amp; infantry</v>
      </c>
      <c r="K238" s="1186" t="str">
        <f>IF(I238=".",I238,VLOOKUP($I238,'Price List, Weapons &amp; Items'!B:D,3,0))</f>
        <v>Anti-materiel rifle</v>
      </c>
      <c r="L238" s="1187">
        <f>VLOOKUP(I238,'Price List, Weapons &amp; Items'!B:E,4,0)</f>
        <v>1</v>
      </c>
      <c r="M238" s="1188">
        <v>19</v>
      </c>
      <c r="N238" s="1188">
        <f t="shared" si="62"/>
        <v>19</v>
      </c>
      <c r="O238" s="1188">
        <f>VLOOKUP($I238,'Price List, Weapons &amp; Items'!B:G,6,0)</f>
        <v>8625</v>
      </c>
      <c r="P238" s="1185">
        <f t="shared" si="52"/>
        <v>163875</v>
      </c>
      <c r="Q238" s="1185">
        <f t="shared" si="53"/>
        <v>163875</v>
      </c>
      <c r="R238" s="1185" t="str">
        <f t="shared" si="49"/>
        <v/>
      </c>
      <c r="S238" s="1185" t="str">
        <f>IF(AND(AD238=1,R238&lt;&gt;".")=TRUE,R238/VLOOKUP(G238,'Exchange Rates'!B:C,2,0),IF(R238=".",".",""))</f>
        <v/>
      </c>
      <c r="T238" s="1185" t="str">
        <f>IF(AD238=1,IF(AF238="Value is not given at all",".",IF(AF238="Value is given by the source",S238,IF(AF238="Value is calculated with prices",(IF(SUMIFS(Q:Q,A:A,A238)&gt;0,SUMIFS(Q:Q,A:A,A238),"."))/VLOOKUP("USD",'Exchange Rates'!B:C,2,0),"Error with coding"))),"")</f>
        <v/>
      </c>
      <c r="U238" s="1273" t="s">
        <v>365</v>
      </c>
      <c r="V238" s="974" t="s">
        <v>1020</v>
      </c>
      <c r="W238" s="1005" t="s">
        <v>1021</v>
      </c>
      <c r="X238" s="1183" t="s">
        <v>364</v>
      </c>
      <c r="Y238" s="1183" t="s">
        <v>364</v>
      </c>
      <c r="Z238" s="1184">
        <v>0</v>
      </c>
      <c r="AA238" s="1194">
        <v>0</v>
      </c>
      <c r="AB238" s="975" t="s">
        <v>1020</v>
      </c>
      <c r="AC238" s="1192" t="str">
        <f>""</f>
        <v/>
      </c>
      <c r="AD238" s="1193">
        <v>0</v>
      </c>
      <c r="AE238" s="1193" t="s">
        <v>368</v>
      </c>
      <c r="AF238" s="1193" t="s">
        <v>368</v>
      </c>
      <c r="AG238" s="1193">
        <v>1</v>
      </c>
      <c r="AH238" s="1193">
        <v>2</v>
      </c>
      <c r="AI238" s="1193">
        <v>0</v>
      </c>
      <c r="AJ238" s="1193">
        <f>VLOOKUP($I238,'Price List, Weapons &amp; Items'!B:F,5,0)</f>
        <v>0</v>
      </c>
      <c r="AK238" s="1193">
        <f t="shared" si="54"/>
        <v>0</v>
      </c>
      <c r="AL238" s="1193">
        <f t="shared" si="55"/>
        <v>0</v>
      </c>
      <c r="AM238" s="1193">
        <f t="shared" si="56"/>
        <v>0</v>
      </c>
      <c r="AN238" s="1194" t="str">
        <f>VLOOKUP($I238,'Price List, Weapons &amp; Items'!B:L,COLUMN('Price List, Weapons &amp; Items'!$J$11)-1,0)</f>
        <v>Manufacturer price</v>
      </c>
      <c r="AO238" s="1194" t="str">
        <f>IF(I238=".",".",VLOOKUP($I238,'Price List, Weapons &amp; Items'!B:J,3,0))</f>
        <v>Anti-materiel rifle</v>
      </c>
      <c r="AP238" s="1195" t="str">
        <f t="shared" ca="1" si="50"/>
        <v/>
      </c>
      <c r="AQ238" s="1194">
        <f>VLOOKUP($I238,'Price List, Weapons &amp; Items'!B:L,COLUMN('Price List, Weapons &amp; Items'!$L$11)-1,0)</f>
        <v>1</v>
      </c>
      <c r="AR238" s="1194">
        <f t="shared" si="57"/>
        <v>1</v>
      </c>
      <c r="AS238" s="1194">
        <f t="shared" si="58"/>
        <v>1</v>
      </c>
      <c r="AT238" s="1194">
        <f t="shared" si="59"/>
        <v>1</v>
      </c>
      <c r="AU238" s="1194" t="str">
        <f t="shared" si="60"/>
        <v>.</v>
      </c>
      <c r="AV238" s="1194" t="str">
        <f t="shared" si="51"/>
        <v>.</v>
      </c>
      <c r="AW238" s="1194" t="str">
        <f t="shared" si="61"/>
        <v>.</v>
      </c>
      <c r="AX238" s="1194">
        <f>IFERROR(VLOOKUP(B238,'Share, Heavy Weapons to Ukraine'!B:Z,COLUMN('Share, Heavy Weapons to Ukraine'!C248)-1,0),0)</f>
        <v>0</v>
      </c>
      <c r="AY238" s="1194">
        <f>VLOOKUP('Bilateral Assistance, MAIN DATA'!B238,'Country Summary (€)'!B:F,COLUMN('Country Summary (€)'!C249)-1,FALSE)</f>
        <v>1</v>
      </c>
      <c r="AZ238" s="1194" t="str">
        <f>IF(AND(AD238=1,D238="Military",H238&lt;&gt;"Not given")=TRUE,IF(SUMIFS(P:P,A:A,A238)&gt;0,ABS((SUMIFS(P:P,A:A,A238)/VLOOKUP("USD",'Exchange Rates'!B:C,2,0)))/S238,"."),".")</f>
        <v>.</v>
      </c>
      <c r="BA238" s="1196" t="str">
        <f>IF(AND(AD238=1,D238="Military",H238&lt;&gt;"Not given")=TRUE,IF(SUMIFS(P:P,A:A,A238)&gt;0,IF((ABS((SUMIFS(P:P,A:A,A238)/VLOOKUP("USD",'Exchange Rates'!B:C,2,0)))/S238)&gt;1,(SUMIFS(P:P,A:A,A238)-S238)/S238,(S238-SUMIFS(P:P,A:A,A238))/SUMIFS(P:P,A:A,A238)),"."),".")</f>
        <v>.</v>
      </c>
    </row>
    <row r="239" spans="1:53" ht="15.95" customHeight="1">
      <c r="A239" s="1182" t="s">
        <v>1033</v>
      </c>
      <c r="B239" s="1182" t="s">
        <v>1012</v>
      </c>
      <c r="C239" s="1181">
        <v>44619</v>
      </c>
      <c r="D239" s="1272" t="s">
        <v>389</v>
      </c>
      <c r="E239" s="1182" t="s">
        <v>390</v>
      </c>
      <c r="F239" s="1183" t="s">
        <v>1034</v>
      </c>
      <c r="G239" s="1184" t="s">
        <v>1014</v>
      </c>
      <c r="H239" s="1185">
        <v>400000000</v>
      </c>
      <c r="I239" s="1201" t="s">
        <v>1035</v>
      </c>
      <c r="J239" s="1186" t="str">
        <f>VLOOKUP($I239,'Price List, Weapons &amp; Items'!B:C,2,0)</f>
        <v>Portable defence system</v>
      </c>
      <c r="K239" s="1186" t="str">
        <f>IF(I239=".",I239,VLOOKUP($I239,'Price List, Weapons &amp; Items'!B:D,3,0))</f>
        <v>Light Anti-armor Weapon (LAW)</v>
      </c>
      <c r="L239" s="1187">
        <f>VLOOKUP(I239,'Price List, Weapons &amp; Items'!B:E,4,0)</f>
        <v>0</v>
      </c>
      <c r="M239" s="1188">
        <v>160</v>
      </c>
      <c r="N239" s="1188">
        <v>160</v>
      </c>
      <c r="O239" s="1188">
        <f>VLOOKUP($I239,'Price List, Weapons &amp; Items'!B:G,6,0)</f>
        <v>119000</v>
      </c>
      <c r="P239" s="1185">
        <f t="shared" si="52"/>
        <v>19040000</v>
      </c>
      <c r="Q239" s="1185">
        <f t="shared" si="53"/>
        <v>19040000</v>
      </c>
      <c r="R239" s="1185">
        <f t="shared" si="49"/>
        <v>400000000</v>
      </c>
      <c r="S239" s="1185">
        <f>IF(AND(AD239=1,R239&lt;&gt;".")=TRUE,R239/VLOOKUP(G239,'Exchange Rates'!B:C,2,0),IF(R239=".",".",""))</f>
        <v>16952744.2254715</v>
      </c>
      <c r="T239" s="1185">
        <f>IF(AD239=1,IF(AF239="Value is not given at all",".",IF(AF239="Value is given by the source",S239,IF(AF239="Value is calculated with prices",(IF(SUMIFS(Q:Q,A:A,A239)&gt;0,SUMIFS(Q:Q,A:A,A239),"."))/VLOOKUP("USD",'Exchange Rates'!B:C,2,0),"Error with coding"))),"")</f>
        <v>16952744.2254715</v>
      </c>
      <c r="U239" s="1184" t="s">
        <v>365</v>
      </c>
      <c r="V239" s="974" t="s">
        <v>1036</v>
      </c>
      <c r="W239" s="974" t="s">
        <v>1037</v>
      </c>
      <c r="X239" s="974" t="s">
        <v>1038</v>
      </c>
      <c r="Y239" s="1274" t="s">
        <v>364</v>
      </c>
      <c r="Z239" s="1184">
        <v>0</v>
      </c>
      <c r="AA239" s="1194">
        <v>0</v>
      </c>
      <c r="AB239" s="975" t="s">
        <v>1039</v>
      </c>
      <c r="AC239" s="1192" t="str">
        <f>""</f>
        <v/>
      </c>
      <c r="AD239" s="1193">
        <v>1</v>
      </c>
      <c r="AE239" s="1193" t="s">
        <v>368</v>
      </c>
      <c r="AF239" s="1193" t="s">
        <v>368</v>
      </c>
      <c r="AG239" s="1193">
        <v>1</v>
      </c>
      <c r="AH239" s="1193">
        <v>2</v>
      </c>
      <c r="AI239" s="1193">
        <v>0</v>
      </c>
      <c r="AJ239" s="1193">
        <f>VLOOKUP($I239,'Price List, Weapons &amp; Items'!B:F,5,0)</f>
        <v>0</v>
      </c>
      <c r="AK239" s="1193">
        <f t="shared" si="54"/>
        <v>0</v>
      </c>
      <c r="AL239" s="1193">
        <f t="shared" si="55"/>
        <v>0</v>
      </c>
      <c r="AM239" s="1193">
        <f t="shared" si="56"/>
        <v>0</v>
      </c>
      <c r="AN239" s="1194" t="str">
        <f>VLOOKUP($I239,'Price List, Weapons &amp; Items'!B:L,COLUMN('Price List, Weapons &amp; Items'!$J$11)-1,0)</f>
        <v>Miscellaneous</v>
      </c>
      <c r="AO239" s="1194" t="str">
        <f>IF(I239=".",".",VLOOKUP($I239,'Price List, Weapons &amp; Items'!B:J,3,0))</f>
        <v>Light Anti-armor Weapon (LAW)</v>
      </c>
      <c r="AP239" s="1195" t="str">
        <f t="shared" ca="1" si="50"/>
        <v>shoulder fired MANPAD</v>
      </c>
      <c r="AQ239" s="1194">
        <f>VLOOKUP($I239,'Price List, Weapons &amp; Items'!B:L,COLUMN('Price List, Weapons &amp; Items'!$L$11)-1,0)</f>
        <v>2</v>
      </c>
      <c r="AR239" s="1194">
        <f t="shared" si="57"/>
        <v>1</v>
      </c>
      <c r="AS239" s="1194">
        <f t="shared" si="58"/>
        <v>1</v>
      </c>
      <c r="AT239" s="1194">
        <f t="shared" si="59"/>
        <v>1</v>
      </c>
      <c r="AU239" s="1194" t="str">
        <f t="shared" si="60"/>
        <v>.</v>
      </c>
      <c r="AV239" s="1194" t="str">
        <f t="shared" si="51"/>
        <v>.</v>
      </c>
      <c r="AW239" s="1194" t="str">
        <f t="shared" si="61"/>
        <v>.</v>
      </c>
      <c r="AX239" s="1194">
        <f>IFERROR(VLOOKUP(B239,'Share, Heavy Weapons to Ukraine'!B:Z,COLUMN('Share, Heavy Weapons to Ukraine'!C249)-1,0),0)</f>
        <v>0</v>
      </c>
      <c r="AY239" s="1194">
        <f>VLOOKUP('Bilateral Assistance, MAIN DATA'!B239,'Country Summary (€)'!B:F,COLUMN('Country Summary (€)'!C250)-1,FALSE)</f>
        <v>1</v>
      </c>
      <c r="AZ239" s="1194">
        <f>IF(AND(AD239=1,D239="Military",H239&lt;&gt;"Not given")=TRUE,IF(SUMIFS(P:P,A:A,A239)&gt;0,ABS((SUMIFS(P:P,A:A,A239)/VLOOKUP("USD",'Exchange Rates'!B:C,2,0)))/S239,"."),".")</f>
        <v>1.1131184928947369</v>
      </c>
      <c r="BA239" s="1196">
        <f>IF(AND(AD239=1,D239="Military",H239&lt;&gt;"Not given")=TRUE,IF(SUMIFS(P:P,A:A,A239)&gt;0,IF((ABS((SUMIFS(P:P,A:A,A239)/VLOOKUP("USD",'Exchange Rates'!B:C,2,0)))/S239)&gt;1,(SUMIFS(P:P,A:A,A239)-S239)/S239,(S239-SUMIFS(P:P,A:A,A239))/SUMIFS(P:P,A:A,A239)),"."),".")</f>
        <v>0.20973717807799991</v>
      </c>
    </row>
    <row r="240" spans="1:53" ht="15.95" customHeight="1">
      <c r="A240" s="1182" t="s">
        <v>1033</v>
      </c>
      <c r="B240" s="1182" t="s">
        <v>1012</v>
      </c>
      <c r="C240" s="1181">
        <v>44619</v>
      </c>
      <c r="D240" s="1272" t="s">
        <v>389</v>
      </c>
      <c r="E240" s="1182" t="s">
        <v>390</v>
      </c>
      <c r="F240" s="1183" t="s">
        <v>1034</v>
      </c>
      <c r="G240" s="1184" t="s">
        <v>1014</v>
      </c>
      <c r="H240" s="1185">
        <v>400000000</v>
      </c>
      <c r="I240" s="1201" t="s">
        <v>1040</v>
      </c>
      <c r="J240" s="1186" t="str">
        <f>VLOOKUP($I240,'Price List, Weapons &amp; Items'!B:C,2,0)</f>
        <v>Light armaments &amp; infantry</v>
      </c>
      <c r="K240" s="1186" t="str">
        <f>IF(I240=".",I240,VLOOKUP($I240,'Price List, Weapons &amp; Items'!B:D,3,0))</f>
        <v>Small Arms and Light Weapons (SALW)</v>
      </c>
      <c r="L240" s="1187">
        <f>VLOOKUP(I240,'Price List, Weapons &amp; Items'!B:E,4,0)</f>
        <v>0</v>
      </c>
      <c r="M240" s="1188">
        <v>20</v>
      </c>
      <c r="N240" s="1188">
        <f>M240</f>
        <v>20</v>
      </c>
      <c r="O240" s="1188">
        <f>VLOOKUP($I240,'Price List, Weapons &amp; Items'!B:G,6,0)</f>
        <v>52687</v>
      </c>
      <c r="P240" s="1185">
        <f t="shared" si="52"/>
        <v>1053740</v>
      </c>
      <c r="Q240" s="1185">
        <f t="shared" si="53"/>
        <v>1053740</v>
      </c>
      <c r="R240" s="1185" t="str">
        <f t="shared" si="49"/>
        <v/>
      </c>
      <c r="S240" s="1185" t="str">
        <f>IF(AND(AD240=1,R240&lt;&gt;".")=TRUE,R240/VLOOKUP(G240,'Exchange Rates'!B:C,2,0),IF(R240=".",".",""))</f>
        <v/>
      </c>
      <c r="T240" s="1185" t="str">
        <f>IF(AD240=1,IF(AF240="Value is not given at all",".",IF(AF240="Value is given by the source",S240,IF(AF240="Value is calculated with prices",(IF(SUMIFS(Q:Q,A:A,A240)&gt;0,SUMIFS(Q:Q,A:A,A240),"."))/VLOOKUP("USD",'Exchange Rates'!B:C,2,0),"Error with coding"))),"")</f>
        <v/>
      </c>
      <c r="U240" s="1184" t="s">
        <v>365</v>
      </c>
      <c r="V240" s="974" t="s">
        <v>1036</v>
      </c>
      <c r="W240" s="974" t="s">
        <v>1037</v>
      </c>
      <c r="X240" s="974" t="s">
        <v>1038</v>
      </c>
      <c r="Y240" s="1183" t="s">
        <v>364</v>
      </c>
      <c r="Z240" s="1184">
        <v>0</v>
      </c>
      <c r="AA240" s="1194">
        <v>0</v>
      </c>
      <c r="AB240" s="975" t="s">
        <v>1039</v>
      </c>
      <c r="AC240" s="1192" t="str">
        <f>""</f>
        <v/>
      </c>
      <c r="AD240" s="1193">
        <v>0</v>
      </c>
      <c r="AE240" s="1193" t="s">
        <v>368</v>
      </c>
      <c r="AF240" s="1193" t="s">
        <v>368</v>
      </c>
      <c r="AG240" s="1193">
        <v>1</v>
      </c>
      <c r="AH240" s="1193">
        <v>2</v>
      </c>
      <c r="AI240" s="1193">
        <v>0</v>
      </c>
      <c r="AJ240" s="1193">
        <f>VLOOKUP($I240,'Price List, Weapons &amp; Items'!B:F,5,0)</f>
        <v>0</v>
      </c>
      <c r="AK240" s="1193">
        <f t="shared" si="54"/>
        <v>0</v>
      </c>
      <c r="AL240" s="1193">
        <f t="shared" si="55"/>
        <v>0</v>
      </c>
      <c r="AM240" s="1193">
        <f t="shared" si="56"/>
        <v>0</v>
      </c>
      <c r="AN240" s="1194" t="str">
        <f>VLOOKUP($I240,'Price List, Weapons &amp; Items'!B:L,COLUMN('Price List, Weapons &amp; Items'!$J$11)-1,0)</f>
        <v>Contracts</v>
      </c>
      <c r="AO240" s="1194" t="str">
        <f>IF(I240=".",".",VLOOKUP($I240,'Price List, Weapons &amp; Items'!B:J,3,0))</f>
        <v>Small Arms and Light Weapons (SALW)</v>
      </c>
      <c r="AP240" s="1195" t="str">
        <f t="shared" ca="1" si="50"/>
        <v/>
      </c>
      <c r="AQ240" s="1194">
        <f>VLOOKUP($I240,'Price List, Weapons &amp; Items'!B:L,COLUMN('Price List, Weapons &amp; Items'!$L$11)-1,0)</f>
        <v>1</v>
      </c>
      <c r="AR240" s="1194">
        <f t="shared" si="57"/>
        <v>1</v>
      </c>
      <c r="AS240" s="1194">
        <f t="shared" si="58"/>
        <v>1</v>
      </c>
      <c r="AT240" s="1194">
        <f t="shared" si="59"/>
        <v>1</v>
      </c>
      <c r="AU240" s="1194" t="str">
        <f t="shared" si="60"/>
        <v>.</v>
      </c>
      <c r="AV240" s="1194" t="str">
        <f t="shared" si="51"/>
        <v>.</v>
      </c>
      <c r="AW240" s="1194" t="str">
        <f t="shared" si="61"/>
        <v>.</v>
      </c>
      <c r="AX240" s="1194">
        <f>IFERROR(VLOOKUP(B240,'Share, Heavy Weapons to Ukraine'!B:Z,COLUMN('Share, Heavy Weapons to Ukraine'!C250)-1,0),0)</f>
        <v>0</v>
      </c>
      <c r="AY240" s="1194">
        <f>VLOOKUP('Bilateral Assistance, MAIN DATA'!B240,'Country Summary (€)'!B:F,COLUMN('Country Summary (€)'!C251)-1,FALSE)</f>
        <v>1</v>
      </c>
      <c r="AZ240" s="1194" t="str">
        <f>IF(AND(AD240=1,D240="Military",H240&lt;&gt;"Not given")=TRUE,IF(SUMIFS(P:P,A:A,A240)&gt;0,ABS((SUMIFS(P:P,A:A,A240)/VLOOKUP("USD",'Exchange Rates'!B:C,2,0)))/S240,"."),".")</f>
        <v>.</v>
      </c>
      <c r="BA240" s="1196" t="str">
        <f>IF(AND(AD240=1,D240="Military",H240&lt;&gt;"Not given")=TRUE,IF(SUMIFS(P:P,A:A,A240)&gt;0,IF((ABS((SUMIFS(P:P,A:A,A240)/VLOOKUP("USD",'Exchange Rates'!B:C,2,0)))/S240)&gt;1,(SUMIFS(P:P,A:A,A240)-S240)/S240,(S240-SUMIFS(P:P,A:A,A240))/SUMIFS(P:P,A:A,A240)),"."),".")</f>
        <v>.</v>
      </c>
    </row>
    <row r="241" spans="1:53" ht="15.95" customHeight="1">
      <c r="A241" s="1182" t="s">
        <v>1033</v>
      </c>
      <c r="B241" s="1182" t="s">
        <v>1012</v>
      </c>
      <c r="C241" s="1181">
        <v>44619</v>
      </c>
      <c r="D241" s="1272" t="s">
        <v>389</v>
      </c>
      <c r="E241" s="1182" t="s">
        <v>390</v>
      </c>
      <c r="F241" s="1183" t="s">
        <v>1034</v>
      </c>
      <c r="G241" s="1184" t="s">
        <v>1014</v>
      </c>
      <c r="H241" s="1185">
        <v>400000000</v>
      </c>
      <c r="I241" s="1201" t="s">
        <v>1041</v>
      </c>
      <c r="J241" s="1186" t="str">
        <f>VLOOKUP($I241,'Price List, Weapons &amp; Items'!B:C,2,0)</f>
        <v>Light armaments &amp; infantry</v>
      </c>
      <c r="K241" s="1186" t="str">
        <f>IF(I241=".",I241,VLOOKUP($I241,'Price List, Weapons &amp; Items'!B:D,3,0))</f>
        <v>Small Arms and Light Weapons (SALW)</v>
      </c>
      <c r="L241" s="1187">
        <f>VLOOKUP(I241,'Price List, Weapons &amp; Items'!B:E,4,0)</f>
        <v>0</v>
      </c>
      <c r="M241" s="1188">
        <v>132</v>
      </c>
      <c r="N241" s="1188">
        <f>M241</f>
        <v>132</v>
      </c>
      <c r="O241" s="1188">
        <f>VLOOKUP($I241,'Price List, Weapons &amp; Items'!B:G,6,0)</f>
        <v>1818.28</v>
      </c>
      <c r="P241" s="1185">
        <f t="shared" si="52"/>
        <v>240012.96</v>
      </c>
      <c r="Q241" s="1185">
        <f t="shared" si="53"/>
        <v>240012.96</v>
      </c>
      <c r="R241" s="1185" t="str">
        <f t="shared" si="49"/>
        <v/>
      </c>
      <c r="S241" s="1185" t="str">
        <f>IF(AND(AD241=1,R241&lt;&gt;".")=TRUE,R241/VLOOKUP(G241,'Exchange Rates'!B:C,2,0),IF(R241=".",".",""))</f>
        <v/>
      </c>
      <c r="T241" s="1185" t="str">
        <f>IF(AD241=1,IF(AF241="Value is not given at all",".",IF(AF241="Value is given by the source",S241,IF(AF241="Value is calculated with prices",(IF(SUMIFS(Q:Q,A:A,A241)&gt;0,SUMIFS(Q:Q,A:A,A241),"."))/VLOOKUP("USD",'Exchange Rates'!B:C,2,0),"Error with coding"))),"")</f>
        <v/>
      </c>
      <c r="U241" s="1184" t="s">
        <v>365</v>
      </c>
      <c r="V241" s="974" t="s">
        <v>1036</v>
      </c>
      <c r="W241" s="974" t="s">
        <v>1037</v>
      </c>
      <c r="X241" s="974" t="s">
        <v>1038</v>
      </c>
      <c r="Y241" s="1183" t="s">
        <v>364</v>
      </c>
      <c r="Z241" s="1184">
        <v>0</v>
      </c>
      <c r="AA241" s="1194">
        <v>0</v>
      </c>
      <c r="AB241" s="975" t="s">
        <v>1039</v>
      </c>
      <c r="AC241" s="1192" t="str">
        <f>""</f>
        <v/>
      </c>
      <c r="AD241" s="1193">
        <v>0</v>
      </c>
      <c r="AE241" s="1193" t="s">
        <v>368</v>
      </c>
      <c r="AF241" s="1193" t="s">
        <v>368</v>
      </c>
      <c r="AG241" s="1193">
        <v>1</v>
      </c>
      <c r="AH241" s="1193">
        <v>2</v>
      </c>
      <c r="AI241" s="1193">
        <v>0</v>
      </c>
      <c r="AJ241" s="1193">
        <f>VLOOKUP($I241,'Price List, Weapons &amp; Items'!B:F,5,0)</f>
        <v>0</v>
      </c>
      <c r="AK241" s="1193">
        <f t="shared" si="54"/>
        <v>0</v>
      </c>
      <c r="AL241" s="1193">
        <f t="shared" si="55"/>
        <v>0</v>
      </c>
      <c r="AM241" s="1193">
        <f t="shared" si="56"/>
        <v>0</v>
      </c>
      <c r="AN241" s="1194" t="str">
        <f>VLOOKUP($I241,'Price List, Weapons &amp; Items'!B:L,COLUMN('Price List, Weapons &amp; Items'!$J$11)-1,0)</f>
        <v>Online marketplaces and stores</v>
      </c>
      <c r="AO241" s="1194" t="str">
        <f>IF(I241=".",".",VLOOKUP($I241,'Price List, Weapons &amp; Items'!B:J,3,0))</f>
        <v>Small Arms and Light Weapons (SALW)</v>
      </c>
      <c r="AP241" s="1195" t="str">
        <f t="shared" ca="1" si="50"/>
        <v/>
      </c>
      <c r="AQ241" s="1194">
        <f>VLOOKUP($I241,'Price List, Weapons &amp; Items'!B:L,COLUMN('Price List, Weapons &amp; Items'!$L$11)-1,0)</f>
        <v>1</v>
      </c>
      <c r="AR241" s="1194">
        <f t="shared" si="57"/>
        <v>1</v>
      </c>
      <c r="AS241" s="1194">
        <f t="shared" si="58"/>
        <v>1</v>
      </c>
      <c r="AT241" s="1194">
        <f t="shared" si="59"/>
        <v>1</v>
      </c>
      <c r="AU241" s="1194" t="str">
        <f t="shared" si="60"/>
        <v>.</v>
      </c>
      <c r="AV241" s="1194" t="str">
        <f t="shared" si="51"/>
        <v>.</v>
      </c>
      <c r="AW241" s="1194" t="str">
        <f t="shared" si="61"/>
        <v>.</v>
      </c>
      <c r="AX241" s="1194">
        <f>IFERROR(VLOOKUP(B241,'Share, Heavy Weapons to Ukraine'!B:Z,COLUMN('Share, Heavy Weapons to Ukraine'!C251)-1,0),0)</f>
        <v>0</v>
      </c>
      <c r="AY241" s="1194">
        <f>VLOOKUP('Bilateral Assistance, MAIN DATA'!B241,'Country Summary (€)'!B:F,COLUMN('Country Summary (€)'!C252)-1,FALSE)</f>
        <v>1</v>
      </c>
      <c r="AZ241" s="1194" t="str">
        <f>IF(AND(AD241=1,D241="Military",H241&lt;&gt;"Not given")=TRUE,IF(SUMIFS(P:P,A:A,A241)&gt;0,ABS((SUMIFS(P:P,A:A,A241)/VLOOKUP("USD",'Exchange Rates'!B:C,2,0)))/S241,"."),".")</f>
        <v>.</v>
      </c>
      <c r="BA241" s="1196" t="str">
        <f>IF(AND(AD241=1,D241="Military",H241&lt;&gt;"Not given")=TRUE,IF(SUMIFS(P:P,A:A,A241)&gt;0,IF((ABS((SUMIFS(P:P,A:A,A241)/VLOOKUP("USD",'Exchange Rates'!B:C,2,0)))/S241)&gt;1,(SUMIFS(P:P,A:A,A241)-S241)/S241,(S241-SUMIFS(P:P,A:A,A241))/SUMIFS(P:P,A:A,A241)),"."),".")</f>
        <v>.</v>
      </c>
    </row>
    <row r="242" spans="1:53" ht="15.95" customHeight="1">
      <c r="A242" s="1182" t="s">
        <v>1033</v>
      </c>
      <c r="B242" s="1182" t="s">
        <v>1012</v>
      </c>
      <c r="C242" s="1181">
        <v>44619</v>
      </c>
      <c r="D242" s="1272" t="s">
        <v>389</v>
      </c>
      <c r="E242" s="1182" t="s">
        <v>390</v>
      </c>
      <c r="F242" s="1183" t="s">
        <v>1034</v>
      </c>
      <c r="G242" s="1184" t="s">
        <v>1014</v>
      </c>
      <c r="H242" s="1185">
        <v>400000000</v>
      </c>
      <c r="I242" s="1201" t="s">
        <v>1042</v>
      </c>
      <c r="J242" s="1186" t="str">
        <f>VLOOKUP($I242,'Price List, Weapons &amp; Items'!B:C,2,0)</f>
        <v>Light armaments &amp; infantry</v>
      </c>
      <c r="K242" s="1186" t="str">
        <f>IF(I242=".",I242,VLOOKUP($I242,'Price List, Weapons &amp; Items'!B:D,3,0))</f>
        <v>Light Anti-armor Weapon (LAW) ammunition</v>
      </c>
      <c r="L242" s="1187">
        <f>VLOOKUP(I242,'Price List, Weapons &amp; Items'!B:E,4,0)</f>
        <v>0</v>
      </c>
      <c r="M242" s="1188">
        <v>70</v>
      </c>
      <c r="N242" s="1188">
        <f>M242</f>
        <v>70</v>
      </c>
      <c r="O242" s="1188">
        <f>VLOOKUP($I242,'Price List, Weapons &amp; Items'!B:G,6,0)</f>
        <v>992.4</v>
      </c>
      <c r="P242" s="1185">
        <f t="shared" si="52"/>
        <v>69468</v>
      </c>
      <c r="Q242" s="1185">
        <f t="shared" si="53"/>
        <v>69468</v>
      </c>
      <c r="R242" s="1185" t="str">
        <f t="shared" si="49"/>
        <v/>
      </c>
      <c r="S242" s="1185" t="str">
        <f>IF(AND(AD242=1,R242&lt;&gt;".")=TRUE,R242/VLOOKUP(G242,'Exchange Rates'!B:C,2,0),IF(R242=".",".",""))</f>
        <v/>
      </c>
      <c r="T242" s="1185" t="str">
        <f>IF(AD242=1,IF(AF242="Value is not given at all",".",IF(AF242="Value is given by the source",S242,IF(AF242="Value is calculated with prices",(IF(SUMIFS(Q:Q,A:A,A242)&gt;0,SUMIFS(Q:Q,A:A,A242),"."))/VLOOKUP("USD",'Exchange Rates'!B:C,2,0),"Error with coding"))),"")</f>
        <v/>
      </c>
      <c r="U242" s="1184" t="s">
        <v>365</v>
      </c>
      <c r="V242" s="974" t="s">
        <v>1036</v>
      </c>
      <c r="W242" s="974" t="s">
        <v>1037</v>
      </c>
      <c r="X242" s="974" t="s">
        <v>1038</v>
      </c>
      <c r="Y242" s="1183" t="s">
        <v>364</v>
      </c>
      <c r="Z242" s="1184">
        <v>0</v>
      </c>
      <c r="AA242" s="1194">
        <v>0</v>
      </c>
      <c r="AB242" s="975" t="s">
        <v>1039</v>
      </c>
      <c r="AC242" s="1192" t="str">
        <f>""</f>
        <v/>
      </c>
      <c r="AD242" s="1193">
        <v>0</v>
      </c>
      <c r="AE242" s="1193" t="s">
        <v>368</v>
      </c>
      <c r="AF242" s="1193" t="s">
        <v>368</v>
      </c>
      <c r="AG242" s="1193">
        <v>1</v>
      </c>
      <c r="AH242" s="1193">
        <v>2</v>
      </c>
      <c r="AI242" s="1193">
        <v>0</v>
      </c>
      <c r="AJ242" s="1193">
        <f>VLOOKUP($I242,'Price List, Weapons &amp; Items'!B:F,5,0)</f>
        <v>0</v>
      </c>
      <c r="AK242" s="1193">
        <f t="shared" si="54"/>
        <v>0</v>
      </c>
      <c r="AL242" s="1193">
        <f t="shared" si="55"/>
        <v>0</v>
      </c>
      <c r="AM242" s="1193">
        <f t="shared" si="56"/>
        <v>0</v>
      </c>
      <c r="AN242" s="1194" t="str">
        <f>VLOOKUP($I242,'Price List, Weapons &amp; Items'!B:L,COLUMN('Price List, Weapons &amp; Items'!$J$11)-1,0)</f>
        <v>Online marketplaces and stores</v>
      </c>
      <c r="AO242" s="1194" t="str">
        <f>IF(I242=".",".",VLOOKUP($I242,'Price List, Weapons &amp; Items'!B:J,3,0))</f>
        <v>Light Anti-armor Weapon (LAW) ammunition</v>
      </c>
      <c r="AP242" s="1195" t="str">
        <f t="shared" ca="1" si="50"/>
        <v/>
      </c>
      <c r="AQ242" s="1194">
        <f>VLOOKUP($I242,'Price List, Weapons &amp; Items'!B:L,COLUMN('Price List, Weapons &amp; Items'!$L$11)-1,0)</f>
        <v>1</v>
      </c>
      <c r="AR242" s="1194">
        <f t="shared" si="57"/>
        <v>1</v>
      </c>
      <c r="AS242" s="1194">
        <f t="shared" si="58"/>
        <v>1</v>
      </c>
      <c r="AT242" s="1194">
        <f t="shared" si="59"/>
        <v>1</v>
      </c>
      <c r="AU242" s="1194" t="str">
        <f t="shared" si="60"/>
        <v>.</v>
      </c>
      <c r="AV242" s="1194" t="str">
        <f t="shared" si="51"/>
        <v>.</v>
      </c>
      <c r="AW242" s="1194" t="str">
        <f t="shared" si="61"/>
        <v>.</v>
      </c>
      <c r="AX242" s="1194">
        <f>IFERROR(VLOOKUP(B242,'Share, Heavy Weapons to Ukraine'!B:Z,COLUMN('Share, Heavy Weapons to Ukraine'!C252)-1,0),0)</f>
        <v>0</v>
      </c>
      <c r="AY242" s="1194">
        <f>VLOOKUP('Bilateral Assistance, MAIN DATA'!B242,'Country Summary (€)'!B:F,COLUMN('Country Summary (€)'!C253)-1,FALSE)</f>
        <v>1</v>
      </c>
      <c r="AZ242" s="1194" t="str">
        <f>IF(AND(AD242=1,D242="Military",H242&lt;&gt;"Not given")=TRUE,IF(SUMIFS(P:P,A:A,A242)&gt;0,ABS((SUMIFS(P:P,A:A,A242)/VLOOKUP("USD",'Exchange Rates'!B:C,2,0)))/S242,"."),".")</f>
        <v>.</v>
      </c>
      <c r="BA242" s="1196" t="str">
        <f>IF(AND(AD242=1,D242="Military",H242&lt;&gt;"Not given")=TRUE,IF(SUMIFS(P:P,A:A,A242)&gt;0,IF((ABS((SUMIFS(P:P,A:A,A242)/VLOOKUP("USD",'Exchange Rates'!B:C,2,0)))/S242)&gt;1,(SUMIFS(P:P,A:A,A242)-S242)/S242,(S242-SUMIFS(P:P,A:A,A242))/SUMIFS(P:P,A:A,A242)),"."),".")</f>
        <v>.</v>
      </c>
    </row>
    <row r="243" spans="1:53" ht="15.95" customHeight="1">
      <c r="A243" s="1182" t="s">
        <v>1033</v>
      </c>
      <c r="B243" s="1182" t="s">
        <v>1012</v>
      </c>
      <c r="C243" s="1181">
        <v>44619</v>
      </c>
      <c r="D243" s="1272" t="s">
        <v>389</v>
      </c>
      <c r="E243" s="1182" t="s">
        <v>390</v>
      </c>
      <c r="F243" s="1183" t="s">
        <v>1034</v>
      </c>
      <c r="G243" s="1184" t="s">
        <v>1014</v>
      </c>
      <c r="H243" s="1185">
        <v>400000000</v>
      </c>
      <c r="I243" s="1201" t="s">
        <v>1043</v>
      </c>
      <c r="J243" s="1186" t="str">
        <f>VLOOKUP($I243,'Price List, Weapons &amp; Items'!B:C,2,0)</f>
        <v>Ammunition for light infantry</v>
      </c>
      <c r="K243" s="1186" t="str">
        <f>IF(I243=".",I243,VLOOKUP($I243,'Price List, Weapons &amp; Items'!B:D,3,0))</f>
        <v>Small Arms and Light Weapons (SALW) ammunition</v>
      </c>
      <c r="L243" s="1187">
        <f>VLOOKUP(I243,'Price List, Weapons &amp; Items'!B:E,4,0)</f>
        <v>0</v>
      </c>
      <c r="M243" s="1188">
        <v>108000</v>
      </c>
      <c r="N243" s="1188">
        <f>M243</f>
        <v>108000</v>
      </c>
      <c r="O243" s="1188">
        <f>VLOOKUP($I243,'Price List, Weapons &amp; Items'!B:G,6,0)</f>
        <v>0.41799999999999998</v>
      </c>
      <c r="P243" s="1185">
        <f t="shared" si="52"/>
        <v>45144</v>
      </c>
      <c r="Q243" s="1185">
        <f t="shared" si="53"/>
        <v>45144</v>
      </c>
      <c r="R243" s="1185" t="str">
        <f t="shared" si="49"/>
        <v/>
      </c>
      <c r="S243" s="1185" t="str">
        <f>IF(AND(AD243=1,R243&lt;&gt;".")=TRUE,R243/VLOOKUP(G243,'Exchange Rates'!B:C,2,0),IF(R243=".",".",""))</f>
        <v/>
      </c>
      <c r="T243" s="1185" t="str">
        <f>IF(AD243=1,IF(AF243="Value is not given at all",".",IF(AF243="Value is given by the source",S243,IF(AF243="Value is calculated with prices",(IF(SUMIFS(Q:Q,A:A,A243)&gt;0,SUMIFS(Q:Q,A:A,A243),"."))/VLOOKUP("USD",'Exchange Rates'!B:C,2,0),"Error with coding"))),"")</f>
        <v/>
      </c>
      <c r="U243" s="1184" t="s">
        <v>365</v>
      </c>
      <c r="V243" s="974" t="s">
        <v>1036</v>
      </c>
      <c r="W243" s="974" t="s">
        <v>1037</v>
      </c>
      <c r="X243" s="974" t="s">
        <v>1038</v>
      </c>
      <c r="Y243" s="1183" t="s">
        <v>364</v>
      </c>
      <c r="Z243" s="1184">
        <v>0</v>
      </c>
      <c r="AA243" s="1194">
        <v>0</v>
      </c>
      <c r="AB243" s="975" t="s">
        <v>1039</v>
      </c>
      <c r="AC243" s="1192" t="str">
        <f>""</f>
        <v/>
      </c>
      <c r="AD243" s="1193">
        <v>0</v>
      </c>
      <c r="AE243" s="1193" t="s">
        <v>368</v>
      </c>
      <c r="AF243" s="1193" t="s">
        <v>368</v>
      </c>
      <c r="AG243" s="1193">
        <v>1</v>
      </c>
      <c r="AH243" s="1193">
        <v>2</v>
      </c>
      <c r="AI243" s="1193">
        <v>0</v>
      </c>
      <c r="AJ243" s="1193">
        <f>VLOOKUP($I243,'Price List, Weapons &amp; Items'!B:F,5,0)</f>
        <v>0</v>
      </c>
      <c r="AK243" s="1193">
        <f t="shared" si="54"/>
        <v>0</v>
      </c>
      <c r="AL243" s="1193">
        <f t="shared" si="55"/>
        <v>0</v>
      </c>
      <c r="AM243" s="1193">
        <f t="shared" si="56"/>
        <v>0</v>
      </c>
      <c r="AN243" s="1194" t="str">
        <f>VLOOKUP($I243,'Price List, Weapons &amp; Items'!B:L,COLUMN('Price List, Weapons &amp; Items'!$J$11)-1,0)</f>
        <v>Online marketplaces and stores</v>
      </c>
      <c r="AO243" s="1194" t="str">
        <f>IF(I243=".",".",VLOOKUP($I243,'Price List, Weapons &amp; Items'!B:J,3,0))</f>
        <v>Small Arms and Light Weapons (SALW) ammunition</v>
      </c>
      <c r="AP243" s="1195" t="str">
        <f t="shared" ca="1" si="50"/>
        <v/>
      </c>
      <c r="AQ243" s="1194">
        <f>VLOOKUP($I243,'Price List, Weapons &amp; Items'!B:L,COLUMN('Price List, Weapons &amp; Items'!$L$11)-1,0)</f>
        <v>1</v>
      </c>
      <c r="AR243" s="1194">
        <f t="shared" si="57"/>
        <v>1</v>
      </c>
      <c r="AS243" s="1194">
        <f t="shared" si="58"/>
        <v>1</v>
      </c>
      <c r="AT243" s="1194">
        <f t="shared" si="59"/>
        <v>1</v>
      </c>
      <c r="AU243" s="1194" t="str">
        <f t="shared" si="60"/>
        <v>.</v>
      </c>
      <c r="AV243" s="1194" t="str">
        <f t="shared" si="51"/>
        <v>.</v>
      </c>
      <c r="AW243" s="1194" t="str">
        <f t="shared" si="61"/>
        <v>.</v>
      </c>
      <c r="AX243" s="1194">
        <f>IFERROR(VLOOKUP(B243,'Share, Heavy Weapons to Ukraine'!B:Z,COLUMN('Share, Heavy Weapons to Ukraine'!C253)-1,0),0)</f>
        <v>0</v>
      </c>
      <c r="AY243" s="1194">
        <f>VLOOKUP('Bilateral Assistance, MAIN DATA'!B243,'Country Summary (€)'!B:F,COLUMN('Country Summary (€)'!C254)-1,FALSE)</f>
        <v>1</v>
      </c>
      <c r="AZ243" s="1194" t="str">
        <f>IF(AND(AD243=1,D243="Military",H243&lt;&gt;"Not given")=TRUE,IF(SUMIFS(P:P,A:A,A243)&gt;0,ABS((SUMIFS(P:P,A:A,A243)/VLOOKUP("USD",'Exchange Rates'!B:C,2,0)))/S243,"."),".")</f>
        <v>.</v>
      </c>
      <c r="BA243" s="1196" t="str">
        <f>IF(AND(AD243=1,D243="Military",H243&lt;&gt;"Not given")=TRUE,IF(SUMIFS(P:P,A:A,A243)&gt;0,IF((ABS((SUMIFS(P:P,A:A,A243)/VLOOKUP("USD",'Exchange Rates'!B:C,2,0)))/S243)&gt;1,(SUMIFS(P:P,A:A,A243)-S243)/S243,(S243-SUMIFS(P:P,A:A,A243))/SUMIFS(P:P,A:A,A243)),"."),".")</f>
        <v>.</v>
      </c>
    </row>
    <row r="244" spans="1:53" ht="15.95" customHeight="1">
      <c r="A244" s="1182" t="s">
        <v>1033</v>
      </c>
      <c r="B244" s="1182" t="s">
        <v>1012</v>
      </c>
      <c r="C244" s="1181">
        <v>44619</v>
      </c>
      <c r="D244" s="1272" t="s">
        <v>389</v>
      </c>
      <c r="E244" s="1182" t="s">
        <v>390</v>
      </c>
      <c r="F244" s="1183" t="s">
        <v>1034</v>
      </c>
      <c r="G244" s="1184" t="s">
        <v>1014</v>
      </c>
      <c r="H244" s="1185">
        <v>400000000</v>
      </c>
      <c r="I244" s="1201" t="s">
        <v>1044</v>
      </c>
      <c r="J244" s="1186" t="str">
        <f>VLOOKUP($I244,'Price List, Weapons &amp; Items'!B:C,2,0)</f>
        <v>Military equipment</v>
      </c>
      <c r="K244" s="1186" t="str">
        <f>IF(I244=".",I244,VLOOKUP($I244,'Price List, Weapons &amp; Items'!B:D,3,0))</f>
        <v>Military equipment</v>
      </c>
      <c r="L244" s="1187">
        <f>VLOOKUP(I244,'Price List, Weapons &amp; Items'!B:E,4,0)</f>
        <v>0</v>
      </c>
      <c r="M244" s="1188">
        <v>1000</v>
      </c>
      <c r="N244" s="1188">
        <f>M244</f>
        <v>1000</v>
      </c>
      <c r="O244" s="1188">
        <f>VLOOKUP($I244,'Price List, Weapons &amp; Items'!B:G,6,0)</f>
        <v>60</v>
      </c>
      <c r="P244" s="1185">
        <f t="shared" si="52"/>
        <v>60000</v>
      </c>
      <c r="Q244" s="1185">
        <f t="shared" si="53"/>
        <v>60000</v>
      </c>
      <c r="R244" s="1185" t="str">
        <f t="shared" si="49"/>
        <v/>
      </c>
      <c r="S244" s="1185" t="str">
        <f>IF(AND(AD244=1,R244&lt;&gt;".")=TRUE,R244/VLOOKUP(G244,'Exchange Rates'!B:C,2,0),IF(R244=".",".",""))</f>
        <v/>
      </c>
      <c r="T244" s="1185" t="str">
        <f>IF(AD244=1,IF(AF244="Value is not given at all",".",IF(AF244="Value is given by the source",S244,IF(AF244="Value is calculated with prices",(IF(SUMIFS(Q:Q,A:A,A244)&gt;0,SUMIFS(Q:Q,A:A,A244),"."))/VLOOKUP("USD",'Exchange Rates'!B:C,2,0),"Error with coding"))),"")</f>
        <v/>
      </c>
      <c r="U244" s="1184" t="s">
        <v>365</v>
      </c>
      <c r="V244" s="974" t="s">
        <v>1036</v>
      </c>
      <c r="W244" s="974" t="s">
        <v>1037</v>
      </c>
      <c r="X244" s="974" t="s">
        <v>1038</v>
      </c>
      <c r="Y244" s="1183" t="s">
        <v>364</v>
      </c>
      <c r="Z244" s="1184">
        <v>0</v>
      </c>
      <c r="AA244" s="1194">
        <v>0</v>
      </c>
      <c r="AB244" s="975" t="s">
        <v>1039</v>
      </c>
      <c r="AC244" s="1192" t="str">
        <f>""</f>
        <v/>
      </c>
      <c r="AD244" s="1193">
        <v>0</v>
      </c>
      <c r="AE244" s="1193" t="s">
        <v>368</v>
      </c>
      <c r="AF244" s="1193" t="s">
        <v>368</v>
      </c>
      <c r="AG244" s="1193">
        <v>1</v>
      </c>
      <c r="AH244" s="1193">
        <v>2</v>
      </c>
      <c r="AI244" s="1193">
        <v>0</v>
      </c>
      <c r="AJ244" s="1193">
        <f>VLOOKUP($I244,'Price List, Weapons &amp; Items'!B:F,5,0)</f>
        <v>0</v>
      </c>
      <c r="AK244" s="1193">
        <f t="shared" si="54"/>
        <v>0</v>
      </c>
      <c r="AL244" s="1193">
        <f t="shared" si="55"/>
        <v>0</v>
      </c>
      <c r="AM244" s="1193">
        <f t="shared" si="56"/>
        <v>0</v>
      </c>
      <c r="AN244" s="1194" t="str">
        <f>VLOOKUP($I244,'Price List, Weapons &amp; Items'!B:L,COLUMN('Price List, Weapons &amp; Items'!$J$11)-1,0)</f>
        <v>Miscellaneous</v>
      </c>
      <c r="AO244" s="1194" t="str">
        <f>IF(I244=".",".",VLOOKUP($I244,'Price List, Weapons &amp; Items'!B:J,3,0))</f>
        <v>Military equipment</v>
      </c>
      <c r="AP244" s="1195" t="str">
        <f t="shared" ca="1" si="50"/>
        <v/>
      </c>
      <c r="AQ244" s="1194">
        <f>VLOOKUP($I244,'Price List, Weapons &amp; Items'!B:L,COLUMN('Price List, Weapons &amp; Items'!$L$11)-1,0)</f>
        <v>1</v>
      </c>
      <c r="AR244" s="1194">
        <f t="shared" si="57"/>
        <v>1</v>
      </c>
      <c r="AS244" s="1194">
        <f t="shared" si="58"/>
        <v>1</v>
      </c>
      <c r="AT244" s="1194">
        <f t="shared" si="59"/>
        <v>1</v>
      </c>
      <c r="AU244" s="1194" t="str">
        <f t="shared" si="60"/>
        <v>.</v>
      </c>
      <c r="AV244" s="1194" t="str">
        <f t="shared" si="51"/>
        <v>.</v>
      </c>
      <c r="AW244" s="1194" t="str">
        <f t="shared" si="61"/>
        <v>.</v>
      </c>
      <c r="AX244" s="1194">
        <f>IFERROR(VLOOKUP(B244,'Share, Heavy Weapons to Ukraine'!B:Z,COLUMN('Share, Heavy Weapons to Ukraine'!C254)-1,0),0)</f>
        <v>0</v>
      </c>
      <c r="AY244" s="1194">
        <f>VLOOKUP('Bilateral Assistance, MAIN DATA'!B244,'Country Summary (€)'!B:F,COLUMN('Country Summary (€)'!C255)-1,FALSE)</f>
        <v>1</v>
      </c>
      <c r="AZ244" s="1194" t="str">
        <f>IF(AND(AD244=1,D244="Military",H244&lt;&gt;"Not given")=TRUE,IF(SUMIFS(P:P,A:A,A244)&gt;0,ABS((SUMIFS(P:P,A:A,A244)/VLOOKUP("USD",'Exchange Rates'!B:C,2,0)))/S244,"."),".")</f>
        <v>.</v>
      </c>
      <c r="BA244" s="1196" t="str">
        <f>IF(AND(AD244=1,D244="Military",H244&lt;&gt;"Not given")=TRUE,IF(SUMIFS(P:P,A:A,A244)&gt;0,IF((ABS((SUMIFS(P:P,A:A,A244)/VLOOKUP("USD",'Exchange Rates'!B:C,2,0)))/S244)&gt;1,(SUMIFS(P:P,A:A,A244)-S244)/S244,(S244-SUMIFS(P:P,A:A,A244))/SUMIFS(P:P,A:A,A244)),"."),".")</f>
        <v>.</v>
      </c>
    </row>
    <row r="245" spans="1:53" ht="15.95" customHeight="1">
      <c r="A245" s="1180" t="s">
        <v>1045</v>
      </c>
      <c r="B245" s="1180" t="s">
        <v>1012</v>
      </c>
      <c r="C245" s="1181">
        <v>44623</v>
      </c>
      <c r="D245" s="1182" t="s">
        <v>389</v>
      </c>
      <c r="E245" s="1182" t="s">
        <v>390</v>
      </c>
      <c r="F245" s="1183" t="s">
        <v>1046</v>
      </c>
      <c r="G245" s="1184" t="s">
        <v>1014</v>
      </c>
      <c r="H245" s="1185">
        <v>17000000</v>
      </c>
      <c r="I245" s="1201" t="s">
        <v>364</v>
      </c>
      <c r="J245" s="1186" t="str">
        <f>VLOOKUP($I245,'Price List, Weapons &amp; Items'!B:C,2,0)</f>
        <v>.</v>
      </c>
      <c r="K245" s="1186" t="str">
        <f>IF(I245=".",I245,VLOOKUP($I245,'Price List, Weapons &amp; Items'!B:D,3,0))</f>
        <v>.</v>
      </c>
      <c r="L245" s="1187">
        <f>VLOOKUP(I245,'Price List, Weapons &amp; Items'!B:E,4,0)</f>
        <v>0</v>
      </c>
      <c r="M245" s="1188" t="s">
        <v>364</v>
      </c>
      <c r="N245" s="1188" t="s">
        <v>364</v>
      </c>
      <c r="O245" s="1188" t="str">
        <f>VLOOKUP($I245,'Price List, Weapons &amp; Items'!B:G,6,0)</f>
        <v>.</v>
      </c>
      <c r="P245" s="1185" t="str">
        <f t="shared" si="52"/>
        <v>.</v>
      </c>
      <c r="Q245" s="1185" t="str">
        <f t="shared" si="53"/>
        <v>.</v>
      </c>
      <c r="R245" s="1185">
        <f t="shared" si="49"/>
        <v>17000000</v>
      </c>
      <c r="S245" s="1185">
        <f>IF(AND(AD245=1,R245&lt;&gt;".")=TRUE,R245/VLOOKUP(G245,'Exchange Rates'!B:C,2,0),IF(R245=".",".",""))</f>
        <v>720491.62958253874</v>
      </c>
      <c r="T245" s="1185">
        <f>IF(AD245=1,IF(AF245="Value is not given at all",".",IF(AF245="Value is given by the source",S245,IF(AF245="Value is calculated with prices",(IF(SUMIFS(Q:Q,A:A,A245)&gt;0,SUMIFS(Q:Q,A:A,A245),"."))/VLOOKUP("USD",'Exchange Rates'!B:C,2,0),"Error with coding"))),"")</f>
        <v>720491.62958253874</v>
      </c>
      <c r="U245" s="1184" t="s">
        <v>365</v>
      </c>
      <c r="V245" s="971" t="s">
        <v>1047</v>
      </c>
      <c r="W245" s="971" t="s">
        <v>1048</v>
      </c>
      <c r="X245" s="1190" t="s">
        <v>364</v>
      </c>
      <c r="Y245" s="1190" t="s">
        <v>364</v>
      </c>
      <c r="Z245" s="1184">
        <v>0</v>
      </c>
      <c r="AA245" s="1194">
        <v>0</v>
      </c>
      <c r="AB245" s="977" t="s">
        <v>1039</v>
      </c>
      <c r="AC245" s="1192" t="str">
        <f>""</f>
        <v/>
      </c>
      <c r="AD245" s="1193">
        <v>1</v>
      </c>
      <c r="AE245" s="1193" t="s">
        <v>368</v>
      </c>
      <c r="AF245" s="1193" t="s">
        <v>368</v>
      </c>
      <c r="AG245" s="1193">
        <v>1</v>
      </c>
      <c r="AH245" s="1193">
        <v>3</v>
      </c>
      <c r="AI245" s="1193">
        <v>0</v>
      </c>
      <c r="AJ245" s="1193">
        <f>VLOOKUP($I245,'Price List, Weapons &amp; Items'!B:F,5,0)</f>
        <v>0</v>
      </c>
      <c r="AK245" s="1193">
        <f t="shared" si="54"/>
        <v>0</v>
      </c>
      <c r="AL245" s="1193">
        <f t="shared" si="55"/>
        <v>0</v>
      </c>
      <c r="AM245" s="1193">
        <f t="shared" si="56"/>
        <v>0</v>
      </c>
      <c r="AN245" s="1194" t="str">
        <f>VLOOKUP($I245,'Price List, Weapons &amp; Items'!B:L,COLUMN('Price List, Weapons &amp; Items'!$J$11)-1,0)</f>
        <v>.</v>
      </c>
      <c r="AO245" s="1194" t="str">
        <f>IF(I245=".",".",VLOOKUP($I245,'Price List, Weapons &amp; Items'!B:J,3,0))</f>
        <v>.</v>
      </c>
      <c r="AP245" s="1195" t="str">
        <f t="shared" ca="1" si="50"/>
        <v>.</v>
      </c>
      <c r="AQ245" s="1194">
        <f>VLOOKUP($I245,'Price List, Weapons &amp; Items'!B:L,COLUMN('Price List, Weapons &amp; Items'!$L$11)-1,0)</f>
        <v>0</v>
      </c>
      <c r="AR245" s="1194">
        <f t="shared" si="57"/>
        <v>1</v>
      </c>
      <c r="AS245" s="1194">
        <f t="shared" si="58"/>
        <v>1</v>
      </c>
      <c r="AT245" s="1194">
        <f t="shared" si="59"/>
        <v>1</v>
      </c>
      <c r="AU245" s="1194" t="str">
        <f t="shared" si="60"/>
        <v>.</v>
      </c>
      <c r="AV245" s="1194" t="str">
        <f t="shared" si="51"/>
        <v>.</v>
      </c>
      <c r="AW245" s="1194" t="str">
        <f t="shared" si="61"/>
        <v>.</v>
      </c>
      <c r="AX245" s="1194">
        <f>IFERROR(VLOOKUP(B245,'Share, Heavy Weapons to Ukraine'!B:Z,COLUMN('Share, Heavy Weapons to Ukraine'!C255)-1,0),0)</f>
        <v>0</v>
      </c>
      <c r="AY245" s="1194">
        <f>VLOOKUP('Bilateral Assistance, MAIN DATA'!B245,'Country Summary (€)'!B:F,COLUMN('Country Summary (€)'!C256)-1,FALSE)</f>
        <v>1</v>
      </c>
      <c r="AZ245" s="1194" t="str">
        <f>IF(AND(AD245=1,D245="Military",H245&lt;&gt;"Not given")=TRUE,IF(SUMIFS(P:P,A:A,A245)&gt;0,ABS((SUMIFS(P:P,A:A,A245)/VLOOKUP("USD",'Exchange Rates'!B:C,2,0)))/S245,"."),".")</f>
        <v>.</v>
      </c>
      <c r="BA245" s="1196" t="str">
        <f>IF(AND(AD245=1,D245="Military",H245&lt;&gt;"Not given")=TRUE,IF(SUMIFS(P:P,A:A,A245)&gt;0,IF((ABS((SUMIFS(P:P,A:A,A245)/VLOOKUP("USD",'Exchange Rates'!B:C,2,0)))/S245)&gt;1,(SUMIFS(P:P,A:A,A245)-S245)/S245,(S245-SUMIFS(P:P,A:A,A245))/SUMIFS(P:P,A:A,A245)),"."),".")</f>
        <v>.</v>
      </c>
    </row>
    <row r="246" spans="1:53" ht="15.95" customHeight="1">
      <c r="A246" s="1180" t="s">
        <v>1049</v>
      </c>
      <c r="B246" s="1180" t="s">
        <v>1012</v>
      </c>
      <c r="C246" s="1181">
        <v>44629</v>
      </c>
      <c r="D246" s="1182" t="s">
        <v>389</v>
      </c>
      <c r="E246" s="1182" t="s">
        <v>390</v>
      </c>
      <c r="F246" s="1183" t="s">
        <v>1050</v>
      </c>
      <c r="G246" s="1184" t="s">
        <v>456</v>
      </c>
      <c r="H246" s="1185">
        <v>31500000</v>
      </c>
      <c r="I246" s="1201" t="s">
        <v>364</v>
      </c>
      <c r="J246" s="1186" t="str">
        <f>VLOOKUP($I246,'Price List, Weapons &amp; Items'!B:C,2,0)</f>
        <v>.</v>
      </c>
      <c r="K246" s="1186" t="str">
        <f>IF(I246=".",I246,VLOOKUP($I246,'Price List, Weapons &amp; Items'!B:D,3,0))</f>
        <v>.</v>
      </c>
      <c r="L246" s="1187">
        <f>VLOOKUP(I246,'Price List, Weapons &amp; Items'!B:E,4,0)</f>
        <v>0</v>
      </c>
      <c r="M246" s="1188" t="s">
        <v>364</v>
      </c>
      <c r="N246" s="1188" t="s">
        <v>364</v>
      </c>
      <c r="O246" s="1188" t="str">
        <f>VLOOKUP($I246,'Price List, Weapons &amp; Items'!B:G,6,0)</f>
        <v>.</v>
      </c>
      <c r="P246" s="1185" t="str">
        <f t="shared" si="52"/>
        <v>.</v>
      </c>
      <c r="Q246" s="1185" t="str">
        <f t="shared" si="53"/>
        <v>.</v>
      </c>
      <c r="R246" s="1185">
        <f t="shared" si="49"/>
        <v>31500000</v>
      </c>
      <c r="S246" s="1185">
        <f>IF(AND(AD246=1,R246&lt;&gt;".")=TRUE,R246/VLOOKUP(G246,'Exchange Rates'!B:C,2,0),IF(R246=".",".",""))</f>
        <v>28984173.721015826</v>
      </c>
      <c r="T246" s="1185">
        <f>IF(AD246=1,IF(AF246="Value is not given at all",".",IF(AF246="Value is given by the source",S246,IF(AF246="Value is calculated with prices",(IF(SUMIFS(Q:Q,A:A,A246)&gt;0,SUMIFS(Q:Q,A:A,A246),"."))/VLOOKUP("USD",'Exchange Rates'!B:C,2,0),"Error with coding"))),"")</f>
        <v>28984173.721015826</v>
      </c>
      <c r="U246" s="1184" t="s">
        <v>365</v>
      </c>
      <c r="V246" s="971" t="s">
        <v>1051</v>
      </c>
      <c r="W246" s="971" t="s">
        <v>1052</v>
      </c>
      <c r="X246" s="971" t="s">
        <v>1053</v>
      </c>
      <c r="Y246" s="1190" t="s">
        <v>364</v>
      </c>
      <c r="Z246" s="1184">
        <v>0</v>
      </c>
      <c r="AA246" s="1194">
        <v>0</v>
      </c>
      <c r="AB246" s="977" t="s">
        <v>1039</v>
      </c>
      <c r="AC246" s="1192" t="str">
        <f>""</f>
        <v/>
      </c>
      <c r="AD246" s="1193">
        <v>1</v>
      </c>
      <c r="AE246" s="1193" t="s">
        <v>368</v>
      </c>
      <c r="AF246" s="1193" t="s">
        <v>368</v>
      </c>
      <c r="AG246" s="1193">
        <v>1</v>
      </c>
      <c r="AH246" s="1193">
        <v>3</v>
      </c>
      <c r="AI246" s="1193">
        <v>0</v>
      </c>
      <c r="AJ246" s="1193">
        <f>VLOOKUP($I246,'Price List, Weapons &amp; Items'!B:F,5,0)</f>
        <v>0</v>
      </c>
      <c r="AK246" s="1193">
        <f t="shared" si="54"/>
        <v>0</v>
      </c>
      <c r="AL246" s="1193">
        <f t="shared" si="55"/>
        <v>0</v>
      </c>
      <c r="AM246" s="1193">
        <f t="shared" si="56"/>
        <v>0</v>
      </c>
      <c r="AN246" s="1194" t="str">
        <f>VLOOKUP($I246,'Price List, Weapons &amp; Items'!B:L,COLUMN('Price List, Weapons &amp; Items'!$J$11)-1,0)</f>
        <v>.</v>
      </c>
      <c r="AO246" s="1194" t="str">
        <f>IF(I246=".",".",VLOOKUP($I246,'Price List, Weapons &amp; Items'!B:J,3,0))</f>
        <v>.</v>
      </c>
      <c r="AP246" s="1195" t="str">
        <f t="shared" ca="1" si="50"/>
        <v>.</v>
      </c>
      <c r="AQ246" s="1194">
        <f>VLOOKUP($I246,'Price List, Weapons &amp; Items'!B:L,COLUMN('Price List, Weapons &amp; Items'!$L$11)-1,0)</f>
        <v>0</v>
      </c>
      <c r="AR246" s="1194">
        <f t="shared" si="57"/>
        <v>1</v>
      </c>
      <c r="AS246" s="1194">
        <f t="shared" si="58"/>
        <v>1</v>
      </c>
      <c r="AT246" s="1194">
        <f t="shared" si="59"/>
        <v>1</v>
      </c>
      <c r="AU246" s="1194" t="str">
        <f t="shared" si="60"/>
        <v>.</v>
      </c>
      <c r="AV246" s="1194" t="str">
        <f t="shared" si="51"/>
        <v>.</v>
      </c>
      <c r="AW246" s="1194" t="str">
        <f t="shared" si="61"/>
        <v>.</v>
      </c>
      <c r="AX246" s="1194">
        <f>IFERROR(VLOOKUP(B246,'Share, Heavy Weapons to Ukraine'!B:Z,COLUMN('Share, Heavy Weapons to Ukraine'!C256)-1,0),0)</f>
        <v>0</v>
      </c>
      <c r="AY246" s="1194">
        <f>VLOOKUP('Bilateral Assistance, MAIN DATA'!B246,'Country Summary (€)'!B:F,COLUMN('Country Summary (€)'!C257)-1,FALSE)</f>
        <v>1</v>
      </c>
      <c r="AZ246" s="1194" t="str">
        <f>IF(AND(AD246=1,D246="Military",H246&lt;&gt;"Not given")=TRUE,IF(SUMIFS(P:P,A:A,A246)&gt;0,ABS((SUMIFS(P:P,A:A,A246)/VLOOKUP("USD",'Exchange Rates'!B:C,2,0)))/S246,"."),".")</f>
        <v>.</v>
      </c>
      <c r="BA246" s="1196" t="str">
        <f>IF(AND(AD246=1,D246="Military",H246&lt;&gt;"Not given")=TRUE,IF(SUMIFS(P:P,A:A,A246)&gt;0,IF((ABS((SUMIFS(P:P,A:A,A246)/VLOOKUP("USD",'Exchange Rates'!B:C,2,0)))/S246)&gt;1,(SUMIFS(P:P,A:A,A246)-S246)/S246,(S246-SUMIFS(P:P,A:A,A246))/SUMIFS(P:P,A:A,A246)),"."),".")</f>
        <v>.</v>
      </c>
    </row>
    <row r="247" spans="1:53" ht="15.95" customHeight="1">
      <c r="A247" s="1180" t="s">
        <v>1054</v>
      </c>
      <c r="B247" s="1180" t="s">
        <v>1012</v>
      </c>
      <c r="C247" s="1181">
        <v>44629</v>
      </c>
      <c r="D247" s="1182" t="s">
        <v>389</v>
      </c>
      <c r="E247" s="1182" t="s">
        <v>398</v>
      </c>
      <c r="F247" s="1183" t="s">
        <v>1055</v>
      </c>
      <c r="G247" s="1184" t="s">
        <v>1014</v>
      </c>
      <c r="H247" s="1185">
        <v>24000000</v>
      </c>
      <c r="I247" s="1201" t="s">
        <v>364</v>
      </c>
      <c r="J247" s="1186" t="str">
        <f>VLOOKUP($I247,'Price List, Weapons &amp; Items'!B:C,2,0)</f>
        <v>.</v>
      </c>
      <c r="K247" s="1186" t="str">
        <f>IF(I247=".",I247,VLOOKUP($I247,'Price List, Weapons &amp; Items'!B:D,3,0))</f>
        <v>.</v>
      </c>
      <c r="L247" s="1187">
        <f>VLOOKUP(I247,'Price List, Weapons &amp; Items'!B:E,4,0)</f>
        <v>0</v>
      </c>
      <c r="M247" s="1188" t="s">
        <v>364</v>
      </c>
      <c r="N247" s="1188" t="s">
        <v>364</v>
      </c>
      <c r="O247" s="1188" t="str">
        <f>VLOOKUP($I247,'Price List, Weapons &amp; Items'!B:G,6,0)</f>
        <v>.</v>
      </c>
      <c r="P247" s="1185" t="str">
        <f t="shared" si="52"/>
        <v>.</v>
      </c>
      <c r="Q247" s="1185" t="str">
        <f t="shared" si="53"/>
        <v>.</v>
      </c>
      <c r="R247" s="1185">
        <f t="shared" si="49"/>
        <v>24000000</v>
      </c>
      <c r="S247" s="1185">
        <f>IF(AND(AD247=1,R247&lt;&gt;".")=TRUE,R247/VLOOKUP(G247,'Exchange Rates'!B:C,2,0),IF(R247=".",".",""))</f>
        <v>1017164.65352829</v>
      </c>
      <c r="T247" s="1185">
        <f>IF(AD247=1,IF(AF247="Value is not given at all",".",IF(AF247="Value is given by the source",S247,IF(AF247="Value is calculated with prices",(IF(SUMIFS(Q:Q,A:A,A247)&gt;0,SUMIFS(Q:Q,A:A,A247),"."))/VLOOKUP("USD",'Exchange Rates'!B:C,2,0),"Error with coding"))),"")</f>
        <v>1017164.65352829</v>
      </c>
      <c r="U247" s="1184" t="s">
        <v>365</v>
      </c>
      <c r="V247" s="971" t="s">
        <v>1056</v>
      </c>
      <c r="W247" s="973" t="s">
        <v>1057</v>
      </c>
      <c r="X247" s="986" t="s">
        <v>364</v>
      </c>
      <c r="Y247" s="1190" t="s">
        <v>364</v>
      </c>
      <c r="Z247" s="1184">
        <v>0</v>
      </c>
      <c r="AA247" s="1194">
        <v>0</v>
      </c>
      <c r="AB247" s="977" t="s">
        <v>1039</v>
      </c>
      <c r="AC247" s="1192" t="str">
        <f>""</f>
        <v/>
      </c>
      <c r="AD247" s="1193">
        <v>1</v>
      </c>
      <c r="AE247" s="1193" t="s">
        <v>368</v>
      </c>
      <c r="AF247" s="1193" t="s">
        <v>368</v>
      </c>
      <c r="AG247" s="1193">
        <v>1</v>
      </c>
      <c r="AH247" s="1193">
        <v>3</v>
      </c>
      <c r="AI247" s="1193">
        <v>0</v>
      </c>
      <c r="AJ247" s="1193">
        <f>VLOOKUP($I247,'Price List, Weapons &amp; Items'!B:F,5,0)</f>
        <v>0</v>
      </c>
      <c r="AK247" s="1193">
        <f t="shared" si="54"/>
        <v>0</v>
      </c>
      <c r="AL247" s="1193">
        <f t="shared" si="55"/>
        <v>0</v>
      </c>
      <c r="AM247" s="1193">
        <f t="shared" si="56"/>
        <v>0</v>
      </c>
      <c r="AN247" s="1194" t="str">
        <f>VLOOKUP($I247,'Price List, Weapons &amp; Items'!B:L,COLUMN('Price List, Weapons &amp; Items'!$J$11)-1,0)</f>
        <v>.</v>
      </c>
      <c r="AO247" s="1194" t="str">
        <f>IF(I247=".",".",VLOOKUP($I247,'Price List, Weapons &amp; Items'!B:J,3,0))</f>
        <v>.</v>
      </c>
      <c r="AP247" s="1195" t="str">
        <f t="shared" ca="1" si="50"/>
        <v>.</v>
      </c>
      <c r="AQ247" s="1194">
        <f>VLOOKUP($I247,'Price List, Weapons &amp; Items'!B:L,COLUMN('Price List, Weapons &amp; Items'!$L$11)-1,0)</f>
        <v>0</v>
      </c>
      <c r="AR247" s="1194">
        <f t="shared" si="57"/>
        <v>1</v>
      </c>
      <c r="AS247" s="1194">
        <f t="shared" si="58"/>
        <v>1</v>
      </c>
      <c r="AT247" s="1194">
        <f t="shared" si="59"/>
        <v>1</v>
      </c>
      <c r="AU247" s="1194" t="str">
        <f t="shared" si="60"/>
        <v>.</v>
      </c>
      <c r="AV247" s="1194" t="str">
        <f t="shared" si="51"/>
        <v>.</v>
      </c>
      <c r="AW247" s="1194" t="str">
        <f t="shared" si="61"/>
        <v>.</v>
      </c>
      <c r="AX247" s="1194">
        <f>IFERROR(VLOOKUP(B247,'Share, Heavy Weapons to Ukraine'!B:Z,COLUMN('Share, Heavy Weapons to Ukraine'!C257)-1,0),0)</f>
        <v>0</v>
      </c>
      <c r="AY247" s="1194">
        <f>VLOOKUP('Bilateral Assistance, MAIN DATA'!B247,'Country Summary (€)'!B:F,COLUMN('Country Summary (€)'!C258)-1,FALSE)</f>
        <v>1</v>
      </c>
      <c r="AZ247" s="1194" t="str">
        <f>IF(AND(AD247=1,D247="Military",H247&lt;&gt;"Not given")=TRUE,IF(SUMIFS(P:P,A:A,A247)&gt;0,ABS((SUMIFS(P:P,A:A,A247)/VLOOKUP("USD",'Exchange Rates'!B:C,2,0)))/S247,"."),".")</f>
        <v>.</v>
      </c>
      <c r="BA247" s="1196" t="str">
        <f>IF(AND(AD247=1,D247="Military",H247&lt;&gt;"Not given")=TRUE,IF(SUMIFS(P:P,A:A,A247)&gt;0,IF((ABS((SUMIFS(P:P,A:A,A247)/VLOOKUP("USD",'Exchange Rates'!B:C,2,0)))/S247)&gt;1,(SUMIFS(P:P,A:A,A247)-S247)/S247,(S247-SUMIFS(P:P,A:A,A247))/SUMIFS(P:P,A:A,A247)),"."),".")</f>
        <v>.</v>
      </c>
    </row>
    <row r="248" spans="1:53" ht="15.95" customHeight="1">
      <c r="A248" s="1180" t="s">
        <v>1058</v>
      </c>
      <c r="B248" s="1180" t="s">
        <v>1012</v>
      </c>
      <c r="C248" s="1181">
        <v>44630</v>
      </c>
      <c r="D248" s="1182" t="s">
        <v>389</v>
      </c>
      <c r="E248" s="1182" t="s">
        <v>398</v>
      </c>
      <c r="F248" s="1183" t="s">
        <v>1059</v>
      </c>
      <c r="G248" s="1184" t="s">
        <v>456</v>
      </c>
      <c r="H248" s="1185" t="s">
        <v>457</v>
      </c>
      <c r="I248" s="1201" t="s">
        <v>694</v>
      </c>
      <c r="J248" s="1186" t="str">
        <f>VLOOKUP($I248,'Price List, Weapons &amp; Items'!B:C,2,0)</f>
        <v>Military equipment</v>
      </c>
      <c r="K248" s="1186" t="str">
        <f>IF(I248=".",I248,VLOOKUP($I248,'Price List, Weapons &amp; Items'!B:D,3,0))</f>
        <v>Military equipment</v>
      </c>
      <c r="L248" s="1187">
        <f>VLOOKUP(I248,'Price List, Weapons &amp; Items'!B:E,4,0)</f>
        <v>0</v>
      </c>
      <c r="M248" s="1188">
        <v>22</v>
      </c>
      <c r="N248" s="1188">
        <v>22</v>
      </c>
      <c r="O248" s="1188">
        <f>VLOOKUP($I248,'Price List, Weapons &amp; Items'!B:G,6,0)</f>
        <v>500</v>
      </c>
      <c r="P248" s="1185">
        <f t="shared" si="52"/>
        <v>11000</v>
      </c>
      <c r="Q248" s="1185">
        <f t="shared" si="53"/>
        <v>11000</v>
      </c>
      <c r="R248" s="1185">
        <f t="shared" si="49"/>
        <v>11000</v>
      </c>
      <c r="S248" s="1185">
        <f>IF(AND(AD248=1,R248&lt;&gt;".")=TRUE,R248/VLOOKUP(G248,'Exchange Rates'!B:C,2,0),IF(R248=".",".",""))</f>
        <v>10121.457489878543</v>
      </c>
      <c r="T248" s="1185">
        <f>IF(AD248=1,IF(AF248="Value is not given at all",".",IF(AF248="Value is given by the source",S248,IF(AF248="Value is calculated with prices",(IF(SUMIFS(Q:Q,A:A,A248)&gt;0,SUMIFS(Q:Q,A:A,A248),"."))/VLOOKUP("USD",'Exchange Rates'!B:C,2,0),"Error with coding"))),"")</f>
        <v>10121.457489878543</v>
      </c>
      <c r="U248" s="1184" t="s">
        <v>365</v>
      </c>
      <c r="V248" s="971" t="s">
        <v>1056</v>
      </c>
      <c r="W248" s="986" t="s">
        <v>364</v>
      </c>
      <c r="X248" s="986" t="s">
        <v>364</v>
      </c>
      <c r="Y248" s="1190" t="s">
        <v>364</v>
      </c>
      <c r="Z248" s="1184">
        <v>0</v>
      </c>
      <c r="AA248" s="1194">
        <v>0</v>
      </c>
      <c r="AB248" s="975" t="s">
        <v>1039</v>
      </c>
      <c r="AC248" s="1192" t="str">
        <f>""</f>
        <v/>
      </c>
      <c r="AD248" s="1193">
        <v>1</v>
      </c>
      <c r="AE248" s="1193" t="s">
        <v>436</v>
      </c>
      <c r="AF248" s="1193" t="s">
        <v>436</v>
      </c>
      <c r="AG248" s="1193">
        <v>1</v>
      </c>
      <c r="AH248" s="1193">
        <v>3</v>
      </c>
      <c r="AI248" s="1193">
        <v>0</v>
      </c>
      <c r="AJ248" s="1193">
        <f>VLOOKUP($I248,'Price List, Weapons &amp; Items'!B:F,5,0)</f>
        <v>0</v>
      </c>
      <c r="AK248" s="1193">
        <f t="shared" si="54"/>
        <v>0</v>
      </c>
      <c r="AL248" s="1193">
        <f t="shared" si="55"/>
        <v>0</v>
      </c>
      <c r="AM248" s="1193">
        <f t="shared" si="56"/>
        <v>0</v>
      </c>
      <c r="AN248" s="1194" t="str">
        <f>VLOOKUP($I248,'Price List, Weapons &amp; Items'!B:L,COLUMN('Price List, Weapons &amp; Items'!$J$11)-1,0)</f>
        <v>Military media (incl. websites)</v>
      </c>
      <c r="AO248" s="1194" t="str">
        <f>IF(I248=".",".",VLOOKUP($I248,'Price List, Weapons &amp; Items'!B:J,3,0))</f>
        <v>Military equipment</v>
      </c>
      <c r="AP248" s="1195" t="str">
        <f t="shared" ca="1" si="50"/>
        <v>ballistic vest</v>
      </c>
      <c r="AQ248" s="1194">
        <f>VLOOKUP($I248,'Price List, Weapons &amp; Items'!B:L,COLUMN('Price List, Weapons &amp; Items'!$L$11)-1,0)</f>
        <v>2</v>
      </c>
      <c r="AR248" s="1194">
        <f t="shared" si="57"/>
        <v>1</v>
      </c>
      <c r="AS248" s="1194">
        <f t="shared" si="58"/>
        <v>1</v>
      </c>
      <c r="AT248" s="1194">
        <f t="shared" si="59"/>
        <v>1</v>
      </c>
      <c r="AU248" s="1194" t="str">
        <f t="shared" si="60"/>
        <v>.</v>
      </c>
      <c r="AV248" s="1194" t="str">
        <f t="shared" si="51"/>
        <v>.</v>
      </c>
      <c r="AW248" s="1194" t="str">
        <f t="shared" si="61"/>
        <v>.</v>
      </c>
      <c r="AX248" s="1194">
        <f>IFERROR(VLOOKUP(B248,'Share, Heavy Weapons to Ukraine'!B:Z,COLUMN('Share, Heavy Weapons to Ukraine'!C258)-1,0),0)</f>
        <v>0</v>
      </c>
      <c r="AY248" s="1194">
        <f>VLOOKUP('Bilateral Assistance, MAIN DATA'!B248,'Country Summary (€)'!B:F,COLUMN('Country Summary (€)'!C259)-1,FALSE)</f>
        <v>1</v>
      </c>
      <c r="AZ248" s="1194" t="str">
        <f>IF(AND(AD248=1,D248="Military",H248&lt;&gt;"Not given")=TRUE,IF(SUMIFS(P:P,A:A,A248)&gt;0,ABS((SUMIFS(P:P,A:A,A248)/VLOOKUP("USD",'Exchange Rates'!B:C,2,0)))/S248,"."),".")</f>
        <v>.</v>
      </c>
      <c r="BA248" s="1196" t="str">
        <f>IF(AND(AD248=1,D248="Military",H248&lt;&gt;"Not given")=TRUE,IF(SUMIFS(P:P,A:A,A248)&gt;0,IF((ABS((SUMIFS(P:P,A:A,A248)/VLOOKUP("USD",'Exchange Rates'!B:C,2,0)))/S248)&gt;1,(SUMIFS(P:P,A:A,A248)-S248)/S248,(S248-SUMIFS(P:P,A:A,A248))/SUMIFS(P:P,A:A,A248)),"."),".")</f>
        <v>.</v>
      </c>
    </row>
    <row r="249" spans="1:53" ht="15.95" customHeight="1">
      <c r="A249" s="1180" t="s">
        <v>1060</v>
      </c>
      <c r="B249" s="1180" t="s">
        <v>1012</v>
      </c>
      <c r="C249" s="1181" t="s">
        <v>1061</v>
      </c>
      <c r="D249" s="1182" t="s">
        <v>389</v>
      </c>
      <c r="E249" s="1182" t="s">
        <v>398</v>
      </c>
      <c r="F249" s="1183" t="s">
        <v>1062</v>
      </c>
      <c r="G249" s="1184" t="s">
        <v>1014</v>
      </c>
      <c r="H249" s="1185">
        <v>53260000</v>
      </c>
      <c r="I249" s="1201" t="s">
        <v>364</v>
      </c>
      <c r="J249" s="1186" t="str">
        <f>VLOOKUP($I249,'Price List, Weapons &amp; Items'!B:C,2,0)</f>
        <v>.</v>
      </c>
      <c r="K249" s="1186" t="str">
        <f>IF(I249=".",I249,VLOOKUP($I249,'Price List, Weapons &amp; Items'!B:D,3,0))</f>
        <v>.</v>
      </c>
      <c r="L249" s="1187">
        <f>VLOOKUP(I249,'Price List, Weapons &amp; Items'!B:E,4,0)</f>
        <v>0</v>
      </c>
      <c r="M249" s="1188" t="s">
        <v>364</v>
      </c>
      <c r="N249" s="1188" t="s">
        <v>364</v>
      </c>
      <c r="O249" s="1188" t="str">
        <f>VLOOKUP($I249,'Price List, Weapons &amp; Items'!B:G,6,0)</f>
        <v>.</v>
      </c>
      <c r="P249" s="1185" t="str">
        <f t="shared" si="52"/>
        <v>.</v>
      </c>
      <c r="Q249" s="1185" t="str">
        <f t="shared" si="53"/>
        <v>.</v>
      </c>
      <c r="R249" s="1185">
        <f t="shared" si="49"/>
        <v>53260000</v>
      </c>
      <c r="S249" s="1185">
        <f>IF(AND(AD249=1,R249&lt;&gt;".")=TRUE,R249/VLOOKUP(G249,'Exchange Rates'!B:C,2,0),IF(R249=".",".",""))</f>
        <v>2257257.8936215299</v>
      </c>
      <c r="T249" s="1185">
        <f>IF(AD249=1,IF(AF249="Value is not given at all",".",IF(AF249="Value is given by the source",S249,IF(AF249="Value is calculated with prices",(IF(SUMIFS(Q:Q,A:A,A249)&gt;0,SUMIFS(Q:Q,A:A,A249),"."))/VLOOKUP("USD",'Exchange Rates'!B:C,2,0),"Error with coding"))),"")</f>
        <v>2257257.8936215299</v>
      </c>
      <c r="U249" s="1184" t="s">
        <v>365</v>
      </c>
      <c r="V249" s="971" t="s">
        <v>1056</v>
      </c>
      <c r="W249" s="986" t="s">
        <v>364</v>
      </c>
      <c r="X249" s="986" t="s">
        <v>364</v>
      </c>
      <c r="Y249" s="1190" t="s">
        <v>364</v>
      </c>
      <c r="Z249" s="1184">
        <v>0</v>
      </c>
      <c r="AA249" s="1194">
        <v>0</v>
      </c>
      <c r="AB249" s="975" t="s">
        <v>1039</v>
      </c>
      <c r="AC249" s="1192" t="str">
        <f>""</f>
        <v/>
      </c>
      <c r="AD249" s="1193">
        <v>1</v>
      </c>
      <c r="AE249" s="1193" t="s">
        <v>368</v>
      </c>
      <c r="AF249" s="1193" t="s">
        <v>368</v>
      </c>
      <c r="AG249" s="1193">
        <v>1</v>
      </c>
      <c r="AH249" s="1193">
        <v>3</v>
      </c>
      <c r="AI249" s="1193">
        <v>0</v>
      </c>
      <c r="AJ249" s="1193">
        <f>VLOOKUP($I249,'Price List, Weapons &amp; Items'!B:F,5,0)</f>
        <v>0</v>
      </c>
      <c r="AK249" s="1193">
        <f t="shared" si="54"/>
        <v>0</v>
      </c>
      <c r="AL249" s="1193">
        <f t="shared" si="55"/>
        <v>0</v>
      </c>
      <c r="AM249" s="1193">
        <f t="shared" si="56"/>
        <v>0</v>
      </c>
      <c r="AN249" s="1194" t="str">
        <f>VLOOKUP($I249,'Price List, Weapons &amp; Items'!B:L,COLUMN('Price List, Weapons &amp; Items'!$J$11)-1,0)</f>
        <v>.</v>
      </c>
      <c r="AO249" s="1194" t="str">
        <f>IF(I249=".",".",VLOOKUP($I249,'Price List, Weapons &amp; Items'!B:J,3,0))</f>
        <v>.</v>
      </c>
      <c r="AP249" s="1195" t="str">
        <f t="shared" ca="1" si="50"/>
        <v>.</v>
      </c>
      <c r="AQ249" s="1194">
        <f>VLOOKUP($I249,'Price List, Weapons &amp; Items'!B:L,COLUMN('Price List, Weapons &amp; Items'!$L$11)-1,0)</f>
        <v>0</v>
      </c>
      <c r="AR249" s="1194">
        <f t="shared" si="57"/>
        <v>1</v>
      </c>
      <c r="AS249" s="1194">
        <f t="shared" si="58"/>
        <v>1</v>
      </c>
      <c r="AT249" s="1194" t="str">
        <f t="shared" si="59"/>
        <v>Value is not in date format</v>
      </c>
      <c r="AU249" s="1194" t="str">
        <f t="shared" si="60"/>
        <v>.</v>
      </c>
      <c r="AV249" s="1194" t="str">
        <f t="shared" si="51"/>
        <v>.</v>
      </c>
      <c r="AW249" s="1194" t="str">
        <f t="shared" si="61"/>
        <v>.</v>
      </c>
      <c r="AX249" s="1194">
        <f>IFERROR(VLOOKUP(B249,'Share, Heavy Weapons to Ukraine'!B:Z,COLUMN('Share, Heavy Weapons to Ukraine'!C259)-1,0),0)</f>
        <v>0</v>
      </c>
      <c r="AY249" s="1194">
        <f>VLOOKUP('Bilateral Assistance, MAIN DATA'!B249,'Country Summary (€)'!B:F,COLUMN('Country Summary (€)'!C260)-1,FALSE)</f>
        <v>1</v>
      </c>
      <c r="AZ249" s="1194" t="str">
        <f>IF(AND(AD249=1,D249="Military",H249&lt;&gt;"Not given")=TRUE,IF(SUMIFS(P:P,A:A,A249)&gt;0,ABS((SUMIFS(P:P,A:A,A249)/VLOOKUP("USD",'Exchange Rates'!B:C,2,0)))/S249,"."),".")</f>
        <v>.</v>
      </c>
      <c r="BA249" s="1196" t="str">
        <f>IF(AND(AD249=1,D249="Military",H249&lt;&gt;"Not given")=TRUE,IF(SUMIFS(P:P,A:A,A249)&gt;0,IF((ABS((SUMIFS(P:P,A:A,A249)/VLOOKUP("USD",'Exchange Rates'!B:C,2,0)))/S249)&gt;1,(SUMIFS(P:P,A:A,A249)-S249)/S249,(S249-SUMIFS(P:P,A:A,A249))/SUMIFS(P:P,A:A,A249)),"."),".")</f>
        <v>.</v>
      </c>
    </row>
    <row r="250" spans="1:53" ht="15.95" customHeight="1">
      <c r="A250" s="1180" t="s">
        <v>1063</v>
      </c>
      <c r="B250" s="1180" t="s">
        <v>1012</v>
      </c>
      <c r="C250" s="1181" t="s">
        <v>1064</v>
      </c>
      <c r="D250" s="1182" t="s">
        <v>389</v>
      </c>
      <c r="E250" s="1182" t="s">
        <v>398</v>
      </c>
      <c r="F250" s="1183" t="s">
        <v>1065</v>
      </c>
      <c r="G250" s="1184" t="s">
        <v>1014</v>
      </c>
      <c r="H250" s="1185">
        <v>30000000</v>
      </c>
      <c r="I250" s="1201" t="s">
        <v>364</v>
      </c>
      <c r="J250" s="1186" t="str">
        <f>VLOOKUP($I250,'Price List, Weapons &amp; Items'!B:C,2,0)</f>
        <v>.</v>
      </c>
      <c r="K250" s="1186" t="str">
        <f>IF(I250=".",I250,VLOOKUP($I250,'Price List, Weapons &amp; Items'!B:D,3,0))</f>
        <v>.</v>
      </c>
      <c r="L250" s="1187">
        <f>VLOOKUP(I250,'Price List, Weapons &amp; Items'!B:E,4,0)</f>
        <v>0</v>
      </c>
      <c r="M250" s="1188" t="s">
        <v>364</v>
      </c>
      <c r="N250" s="1188" t="s">
        <v>364</v>
      </c>
      <c r="O250" s="1188" t="str">
        <f>VLOOKUP($I250,'Price List, Weapons &amp; Items'!B:G,6,0)</f>
        <v>.</v>
      </c>
      <c r="P250" s="1185" t="str">
        <f t="shared" si="52"/>
        <v>.</v>
      </c>
      <c r="Q250" s="1185" t="str">
        <f t="shared" si="53"/>
        <v>.</v>
      </c>
      <c r="R250" s="1185">
        <f t="shared" si="49"/>
        <v>30000000</v>
      </c>
      <c r="S250" s="1185">
        <f>IF(AND(AD250=1,R250&lt;&gt;".")=TRUE,R250/VLOOKUP(G250,'Exchange Rates'!B:C,2,0),IF(R250=".",".",""))</f>
        <v>1271455.8169103623</v>
      </c>
      <c r="T250" s="1185">
        <f>IF(AD250=1,IF(AF250="Value is not given at all",".",IF(AF250="Value is given by the source",S250,IF(AF250="Value is calculated with prices",(IF(SUMIFS(Q:Q,A:A,A250)&gt;0,SUMIFS(Q:Q,A:A,A250),"."))/VLOOKUP("USD",'Exchange Rates'!B:C,2,0),"Error with coding"))),"")</f>
        <v>1271455.8169103623</v>
      </c>
      <c r="U250" s="1184" t="s">
        <v>365</v>
      </c>
      <c r="V250" s="971" t="s">
        <v>1066</v>
      </c>
      <c r="W250" s="971" t="s">
        <v>1056</v>
      </c>
      <c r="X250" s="986" t="s">
        <v>364</v>
      </c>
      <c r="Y250" s="1219" t="s">
        <v>364</v>
      </c>
      <c r="Z250" s="1184">
        <v>0</v>
      </c>
      <c r="AA250" s="1194">
        <v>0</v>
      </c>
      <c r="AB250" s="975" t="s">
        <v>1039</v>
      </c>
      <c r="AC250" s="1192" t="str">
        <f>""</f>
        <v/>
      </c>
      <c r="AD250" s="1193">
        <v>1</v>
      </c>
      <c r="AE250" s="1193" t="s">
        <v>368</v>
      </c>
      <c r="AF250" s="1193" t="s">
        <v>368</v>
      </c>
      <c r="AG250" s="1193">
        <v>1</v>
      </c>
      <c r="AH250" s="1193">
        <v>3</v>
      </c>
      <c r="AI250" s="1193">
        <v>0</v>
      </c>
      <c r="AJ250" s="1193">
        <f>VLOOKUP($I250,'Price List, Weapons &amp; Items'!B:F,5,0)</f>
        <v>0</v>
      </c>
      <c r="AK250" s="1193">
        <f t="shared" si="54"/>
        <v>0</v>
      </c>
      <c r="AL250" s="1193">
        <f t="shared" si="55"/>
        <v>0</v>
      </c>
      <c r="AM250" s="1193">
        <f t="shared" si="56"/>
        <v>0</v>
      </c>
      <c r="AN250" s="1194" t="str">
        <f>VLOOKUP($I250,'Price List, Weapons &amp; Items'!B:L,COLUMN('Price List, Weapons &amp; Items'!$J$11)-1,0)</f>
        <v>.</v>
      </c>
      <c r="AO250" s="1194" t="str">
        <f>IF(I250=".",".",VLOOKUP($I250,'Price List, Weapons &amp; Items'!B:J,3,0))</f>
        <v>.</v>
      </c>
      <c r="AP250" s="1195" t="str">
        <f t="shared" ca="1" si="50"/>
        <v>.</v>
      </c>
      <c r="AQ250" s="1194">
        <f>VLOOKUP($I250,'Price List, Weapons &amp; Items'!B:L,COLUMN('Price List, Weapons &amp; Items'!$L$11)-1,0)</f>
        <v>0</v>
      </c>
      <c r="AR250" s="1194">
        <f t="shared" si="57"/>
        <v>1</v>
      </c>
      <c r="AS250" s="1194">
        <f t="shared" si="58"/>
        <v>1</v>
      </c>
      <c r="AT250" s="1194" t="str">
        <f t="shared" si="59"/>
        <v>Value is not in date format</v>
      </c>
      <c r="AU250" s="1194" t="str">
        <f t="shared" si="60"/>
        <v>.</v>
      </c>
      <c r="AV250" s="1194" t="str">
        <f t="shared" si="51"/>
        <v>.</v>
      </c>
      <c r="AW250" s="1194" t="str">
        <f t="shared" si="61"/>
        <v>.</v>
      </c>
      <c r="AX250" s="1194">
        <f>IFERROR(VLOOKUP(B250,'Share, Heavy Weapons to Ukraine'!B:Z,COLUMN('Share, Heavy Weapons to Ukraine'!C260)-1,0),0)</f>
        <v>0</v>
      </c>
      <c r="AY250" s="1194">
        <f>VLOOKUP('Bilateral Assistance, MAIN DATA'!B250,'Country Summary (€)'!B:F,COLUMN('Country Summary (€)'!C261)-1,FALSE)</f>
        <v>1</v>
      </c>
      <c r="AZ250" s="1194" t="str">
        <f>IF(AND(AD250=1,D250="Military",H250&lt;&gt;"Not given")=TRUE,IF(SUMIFS(P:P,A:A,A250)&gt;0,ABS((SUMIFS(P:P,A:A,A250)/VLOOKUP("USD",'Exchange Rates'!B:C,2,0)))/S250,"."),".")</f>
        <v>.</v>
      </c>
      <c r="BA250" s="1196" t="str">
        <f>IF(AND(AD250=1,D250="Military",H250&lt;&gt;"Not given")=TRUE,IF(SUMIFS(P:P,A:A,A250)&gt;0,IF((ABS((SUMIFS(P:P,A:A,A250)/VLOOKUP("USD",'Exchange Rates'!B:C,2,0)))/S250)&gt;1,(SUMIFS(P:P,A:A,A250)-S250)/S250,(S250-SUMIFS(P:P,A:A,A250))/SUMIFS(P:P,A:A,A250)),"."),".")</f>
        <v>.</v>
      </c>
    </row>
    <row r="251" spans="1:53" ht="15.95" customHeight="1">
      <c r="A251" s="1180" t="s">
        <v>1067</v>
      </c>
      <c r="B251" s="1180" t="s">
        <v>1012</v>
      </c>
      <c r="C251" s="1181">
        <v>44650</v>
      </c>
      <c r="D251" s="1182" t="s">
        <v>389</v>
      </c>
      <c r="E251" s="1182" t="s">
        <v>398</v>
      </c>
      <c r="F251" s="1183" t="s">
        <v>1068</v>
      </c>
      <c r="G251" s="1184" t="s">
        <v>1014</v>
      </c>
      <c r="H251" s="1185">
        <v>857000</v>
      </c>
      <c r="I251" s="1201" t="s">
        <v>694</v>
      </c>
      <c r="J251" s="1186" t="str">
        <f>VLOOKUP($I251,'Price List, Weapons &amp; Items'!B:C,2,0)</f>
        <v>Military equipment</v>
      </c>
      <c r="K251" s="1186" t="str">
        <f>IF(I251=".",I251,VLOOKUP($I251,'Price List, Weapons &amp; Items'!B:D,3,0))</f>
        <v>Military equipment</v>
      </c>
      <c r="L251" s="1187">
        <f>VLOOKUP(I251,'Price List, Weapons &amp; Items'!B:E,4,0)</f>
        <v>0</v>
      </c>
      <c r="M251" s="1188">
        <v>52</v>
      </c>
      <c r="N251" s="1188">
        <v>52</v>
      </c>
      <c r="O251" s="1188">
        <f>VLOOKUP($I251,'Price List, Weapons &amp; Items'!B:G,6,0)</f>
        <v>500</v>
      </c>
      <c r="P251" s="1185">
        <f t="shared" si="52"/>
        <v>26000</v>
      </c>
      <c r="Q251" s="1185">
        <f t="shared" si="53"/>
        <v>26000</v>
      </c>
      <c r="R251" s="1185">
        <f t="shared" si="49"/>
        <v>857000</v>
      </c>
      <c r="S251" s="1185">
        <f>IF(AND(AD251=1,R251&lt;&gt;".")=TRUE,R251/VLOOKUP(G251,'Exchange Rates'!B:C,2,0),IF(R251=".",".",""))</f>
        <v>36321.254503072683</v>
      </c>
      <c r="T251" s="1185">
        <f>IF(AD251=1,IF(AF251="Value is not given at all",".",IF(AF251="Value is given by the source",S251,IF(AF251="Value is calculated with prices",(IF(SUMIFS(Q:Q,A:A,A251)&gt;0,SUMIFS(Q:Q,A:A,A251),"."))/VLOOKUP("USD",'Exchange Rates'!B:C,2,0),"Error with coding"))),"")</f>
        <v>36321.254503072683</v>
      </c>
      <c r="U251" s="1184" t="s">
        <v>365</v>
      </c>
      <c r="V251" s="971" t="s">
        <v>1056</v>
      </c>
      <c r="W251" s="1219" t="s">
        <v>364</v>
      </c>
      <c r="Y251" s="1219" t="s">
        <v>364</v>
      </c>
      <c r="Z251" s="1184">
        <v>0</v>
      </c>
      <c r="AA251" s="1194">
        <v>0</v>
      </c>
      <c r="AB251" s="975" t="s">
        <v>1039</v>
      </c>
      <c r="AC251" s="1192" t="str">
        <f>""</f>
        <v/>
      </c>
      <c r="AD251" s="1193">
        <v>1</v>
      </c>
      <c r="AE251" s="1193" t="s">
        <v>368</v>
      </c>
      <c r="AF251" s="1193" t="s">
        <v>368</v>
      </c>
      <c r="AG251" s="1193">
        <v>1</v>
      </c>
      <c r="AH251" s="1193">
        <v>3</v>
      </c>
      <c r="AI251" s="1193">
        <v>0</v>
      </c>
      <c r="AJ251" s="1193">
        <f>VLOOKUP($I251,'Price List, Weapons &amp; Items'!B:F,5,0)</f>
        <v>0</v>
      </c>
      <c r="AK251" s="1193">
        <f t="shared" si="54"/>
        <v>0</v>
      </c>
      <c r="AL251" s="1193">
        <f t="shared" si="55"/>
        <v>0</v>
      </c>
      <c r="AM251" s="1193">
        <f t="shared" si="56"/>
        <v>0</v>
      </c>
      <c r="AN251" s="1194" t="str">
        <f>VLOOKUP($I251,'Price List, Weapons &amp; Items'!B:L,COLUMN('Price List, Weapons &amp; Items'!$J$11)-1,0)</f>
        <v>Military media (incl. websites)</v>
      </c>
      <c r="AO251" s="1194" t="str">
        <f>IF(I251=".",".",VLOOKUP($I251,'Price List, Weapons &amp; Items'!B:J,3,0))</f>
        <v>Military equipment</v>
      </c>
      <c r="AP251" s="1195" t="str">
        <f t="shared" ca="1" si="50"/>
        <v>ballistic vest</v>
      </c>
      <c r="AQ251" s="1194">
        <f>VLOOKUP($I251,'Price List, Weapons &amp; Items'!B:L,COLUMN('Price List, Weapons &amp; Items'!$L$11)-1,0)</f>
        <v>2</v>
      </c>
      <c r="AR251" s="1194">
        <f t="shared" si="57"/>
        <v>1</v>
      </c>
      <c r="AS251" s="1194">
        <f t="shared" si="58"/>
        <v>1</v>
      </c>
      <c r="AT251" s="1194">
        <f t="shared" si="59"/>
        <v>1</v>
      </c>
      <c r="AU251" s="1194" t="str">
        <f t="shared" si="60"/>
        <v>.</v>
      </c>
      <c r="AV251" s="1194" t="str">
        <f t="shared" si="51"/>
        <v>.</v>
      </c>
      <c r="AW251" s="1194" t="str">
        <f t="shared" si="61"/>
        <v>.</v>
      </c>
      <c r="AX251" s="1194">
        <f>IFERROR(VLOOKUP(B251,'Share, Heavy Weapons to Ukraine'!B:Z,COLUMN('Share, Heavy Weapons to Ukraine'!C261)-1,0),0)</f>
        <v>0</v>
      </c>
      <c r="AY251" s="1194">
        <f>VLOOKUP('Bilateral Assistance, MAIN DATA'!B251,'Country Summary (€)'!B:F,COLUMN('Country Summary (€)'!C262)-1,FALSE)</f>
        <v>1</v>
      </c>
      <c r="AZ251" s="1194">
        <f>IF(AND(AD251=1,D251="Military",H251&lt;&gt;"Not given")=TRUE,IF(SUMIFS(P:P,A:A,A251)&gt;0,ABS((SUMIFS(P:P,A:A,A251)/VLOOKUP("USD",'Exchange Rates'!B:C,2,0)))/S251,"."),".")</f>
        <v>0.65866240864705528</v>
      </c>
      <c r="BA251" s="1196">
        <f>IF(AND(AD251=1,D251="Military",H251&lt;&gt;"Not given")=TRUE,IF(SUMIFS(P:P,A:A,A251)&gt;0,IF((ABS((SUMIFS(P:P,A:A,A251)/VLOOKUP("USD",'Exchange Rates'!B:C,2,0)))/S251)&gt;1,(SUMIFS(P:P,A:A,A251)-S251)/S251,(S251-SUMIFS(P:P,A:A,A251))/SUMIFS(P:P,A:A,A251)),"."),".")</f>
        <v>0.39697132704125704</v>
      </c>
    </row>
    <row r="252" spans="1:53" ht="15.95" customHeight="1">
      <c r="A252" s="1182" t="s">
        <v>1069</v>
      </c>
      <c r="B252" s="1182" t="s">
        <v>1012</v>
      </c>
      <c r="C252" s="1181">
        <v>44656</v>
      </c>
      <c r="D252" s="1182" t="s">
        <v>389</v>
      </c>
      <c r="E252" s="1182" t="s">
        <v>443</v>
      </c>
      <c r="F252" s="1183" t="s">
        <v>1070</v>
      </c>
      <c r="G252" s="1184" t="s">
        <v>456</v>
      </c>
      <c r="H252" s="1185" t="s">
        <v>457</v>
      </c>
      <c r="I252" s="1180" t="s">
        <v>1071</v>
      </c>
      <c r="J252" s="1186" t="str">
        <f>VLOOKUP($I252,'Price List, Weapons &amp; Items'!B:C,2,0)</f>
        <v>Heavy weapon</v>
      </c>
      <c r="K252" s="1186" t="str">
        <f>IF(I252=".",I252,VLOOKUP($I252,'Price List, Weapons &amp; Items'!B:D,3,0))</f>
        <v>Main Battle Tank (MBT)</v>
      </c>
      <c r="L252" s="1187">
        <f>VLOOKUP(I252,'Price List, Weapons &amp; Items'!B:E,4,0)</f>
        <v>1</v>
      </c>
      <c r="M252" s="1188">
        <v>89</v>
      </c>
      <c r="N252" s="1188">
        <v>89</v>
      </c>
      <c r="O252" s="1188">
        <f>VLOOKUP($I252,'Price List, Weapons &amp; Items'!B:G,6,0)</f>
        <v>1616065.9562782401</v>
      </c>
      <c r="P252" s="1185">
        <f t="shared" si="52"/>
        <v>143829870.10876337</v>
      </c>
      <c r="Q252" s="1185">
        <f t="shared" si="53"/>
        <v>143829870.10876337</v>
      </c>
      <c r="R252" s="1185">
        <f t="shared" si="49"/>
        <v>144829870.10876337</v>
      </c>
      <c r="S252" s="1185">
        <f>IF(AND(AD252=1,R252&lt;&gt;".")=TRUE,R252/VLOOKUP(G252,'Exchange Rates'!B:C,2,0),IF(R252=".",".",""))</f>
        <v>133262670.32458904</v>
      </c>
      <c r="T252" s="1185">
        <f>IF(AD252=1,IF(AF252="Value is not given at all",".",IF(AF252="Value is given by the source",S252,IF(AF252="Value is calculated with prices",(IF(SUMIFS(Q:Q,A:A,A252)&gt;0,SUMIFS(Q:Q,A:A,A252),"."))/VLOOKUP("USD",'Exchange Rates'!B:C,2,0),"Error with coding"))),"")</f>
        <v>133262670.32458904</v>
      </c>
      <c r="U252" s="1184" t="s">
        <v>365</v>
      </c>
      <c r="V252" s="1006" t="s">
        <v>1072</v>
      </c>
      <c r="W252" s="1007" t="s">
        <v>1073</v>
      </c>
      <c r="X252" s="1007" t="s">
        <v>1074</v>
      </c>
      <c r="Y252" s="1007" t="s">
        <v>1075</v>
      </c>
      <c r="Z252" s="1184">
        <v>0</v>
      </c>
      <c r="AA252" s="1194">
        <v>0</v>
      </c>
      <c r="AB252" s="1008" t="s">
        <v>1072</v>
      </c>
      <c r="AC252" s="1192" t="str">
        <f>""</f>
        <v/>
      </c>
      <c r="AD252" s="985">
        <v>1</v>
      </c>
      <c r="AE252" s="985" t="s">
        <v>436</v>
      </c>
      <c r="AF252" s="985" t="s">
        <v>436</v>
      </c>
      <c r="AG252" s="985">
        <v>1</v>
      </c>
      <c r="AH252" s="985">
        <v>4</v>
      </c>
      <c r="AI252" s="985">
        <v>0</v>
      </c>
      <c r="AJ252" s="1193">
        <f>VLOOKUP($I252,'Price List, Weapons &amp; Items'!B:F,5,0)</f>
        <v>1</v>
      </c>
      <c r="AK252" s="1193">
        <f t="shared" si="54"/>
        <v>0</v>
      </c>
      <c r="AL252" s="1193">
        <f t="shared" si="55"/>
        <v>0</v>
      </c>
      <c r="AM252" s="1193">
        <f t="shared" si="56"/>
        <v>0</v>
      </c>
      <c r="AN252" s="1194" t="str">
        <f>VLOOKUP($I252,'Price List, Weapons &amp; Items'!B:L,COLUMN('Price List, Weapons &amp; Items'!$J$11)-1,0)</f>
        <v>Contracts</v>
      </c>
      <c r="AO252" s="1194" t="str">
        <f>IF(I252=".",".",VLOOKUP($I252,'Price List, Weapons &amp; Items'!B:J,3,0))</f>
        <v>Main Battle Tank (MBT)</v>
      </c>
      <c r="AP252" s="1195" t="str">
        <f t="shared" ca="1" si="50"/>
        <v>Modified T-72 tank (T-72A/T-72M1/M1R)</v>
      </c>
      <c r="AQ252" s="1194">
        <f>VLOOKUP($I252,'Price List, Weapons &amp; Items'!B:L,COLUMN('Price List, Weapons &amp; Items'!$L$11)-1,0)</f>
        <v>2</v>
      </c>
      <c r="AR252" s="1194">
        <f t="shared" si="57"/>
        <v>1</v>
      </c>
      <c r="AS252" s="1194">
        <f t="shared" si="58"/>
        <v>1</v>
      </c>
      <c r="AT252" s="1194">
        <f t="shared" si="59"/>
        <v>1</v>
      </c>
      <c r="AU252" s="1194" t="str">
        <f t="shared" si="60"/>
        <v>.</v>
      </c>
      <c r="AV252" s="1194" t="str">
        <f t="shared" si="51"/>
        <v>.</v>
      </c>
      <c r="AW252" s="1194" t="str">
        <f t="shared" si="61"/>
        <v>.</v>
      </c>
      <c r="AX252" s="1194">
        <f>IFERROR(VLOOKUP(B252,'Share, Heavy Weapons to Ukraine'!B:Z,COLUMN('Share, Heavy Weapons to Ukraine'!C262)-1,0),0)</f>
        <v>0</v>
      </c>
      <c r="AY252" s="1194">
        <f>VLOOKUP('Bilateral Assistance, MAIN DATA'!B252,'Country Summary (€)'!B:F,COLUMN('Country Summary (€)'!C263)-1,FALSE)</f>
        <v>1</v>
      </c>
      <c r="AZ252" s="1194" t="str">
        <f>IF(AND(AD252=1,D252="Military",H252&lt;&gt;"Not given")=TRUE,IF(SUMIFS(P:P,A:A,A252)&gt;0,ABS((SUMIFS(P:P,A:A,A252)/VLOOKUP("USD",'Exchange Rates'!B:C,2,0)))/S252,"."),".")</f>
        <v>.</v>
      </c>
      <c r="BA252" s="1196" t="str">
        <f>IF(AND(AD252=1,D252="Military",H252&lt;&gt;"Not given")=TRUE,IF(SUMIFS(P:P,A:A,A252)&gt;0,IF((ABS((SUMIFS(P:P,A:A,A252)/VLOOKUP("USD",'Exchange Rates'!B:C,2,0)))/S252)&gt;1,(SUMIFS(P:P,A:A,A252)-S252)/S252,(S252-SUMIFS(P:P,A:A,A252))/SUMIFS(P:P,A:A,A252)),"."),".")</f>
        <v>.</v>
      </c>
    </row>
    <row r="253" spans="1:53" ht="15.95" customHeight="1">
      <c r="A253" s="1182" t="s">
        <v>1069</v>
      </c>
      <c r="B253" s="1182" t="s">
        <v>1012</v>
      </c>
      <c r="C253" s="1181">
        <v>44656</v>
      </c>
      <c r="D253" s="1182" t="s">
        <v>389</v>
      </c>
      <c r="E253" s="1182" t="s">
        <v>443</v>
      </c>
      <c r="F253" s="1183" t="s">
        <v>1070</v>
      </c>
      <c r="G253" s="1184" t="s">
        <v>456</v>
      </c>
      <c r="H253" s="1185" t="s">
        <v>457</v>
      </c>
      <c r="I253" s="1180" t="s">
        <v>1076</v>
      </c>
      <c r="J253" s="1186" t="str">
        <f>VLOOKUP($I253,'Price List, Weapons &amp; Items'!B:C,2,0)</f>
        <v>Heavy weapon</v>
      </c>
      <c r="K253" s="1186" t="str">
        <f>IF(I253=".",I253,VLOOKUP($I253,'Price List, Weapons &amp; Items'!B:D,3,0))</f>
        <v>Infantry fighting vehicle (IFV)</v>
      </c>
      <c r="L253" s="1187">
        <f>VLOOKUP(I253,'Price List, Weapons &amp; Items'!B:E,4,0)</f>
        <v>1</v>
      </c>
      <c r="M253" s="1188">
        <v>4</v>
      </c>
      <c r="N253" s="1188">
        <v>4</v>
      </c>
      <c r="O253" s="1188">
        <f>VLOOKUP($I253,'Price List, Weapons &amp; Items'!B:G,6,0)</f>
        <v>250000</v>
      </c>
      <c r="P253" s="1185">
        <f t="shared" si="52"/>
        <v>1000000</v>
      </c>
      <c r="Q253" s="1185">
        <f t="shared" si="53"/>
        <v>1000000</v>
      </c>
      <c r="R253" s="1185" t="str">
        <f t="shared" si="49"/>
        <v/>
      </c>
      <c r="S253" s="1185" t="str">
        <f>IF(AND(AD253=1,R253&lt;&gt;".")=TRUE,R253/VLOOKUP(G253,'Exchange Rates'!B:C,2,0),IF(R253=".",".",""))</f>
        <v/>
      </c>
      <c r="T253" s="1185" t="str">
        <f>IF(AD253=1,IF(AF253="Value is not given at all",".",IF(AF253="Value is given by the source",S253,IF(AF253="Value is calculated with prices",(IF(SUMIFS(Q:Q,A:A,A253)&gt;0,SUMIFS(Q:Q,A:A,A253),"."))/VLOOKUP("USD",'Exchange Rates'!B:C,2,0),"Error with coding"))),"")</f>
        <v/>
      </c>
      <c r="U253" s="1184" t="s">
        <v>365</v>
      </c>
      <c r="V253" s="1006" t="s">
        <v>1072</v>
      </c>
      <c r="W253" s="1006" t="s">
        <v>1073</v>
      </c>
      <c r="X253" s="1007" t="s">
        <v>1074</v>
      </c>
      <c r="Y253" s="1006" t="s">
        <v>1075</v>
      </c>
      <c r="Z253" s="1184">
        <v>0</v>
      </c>
      <c r="AA253" s="1194">
        <v>0</v>
      </c>
      <c r="AB253" s="1008" t="s">
        <v>1072</v>
      </c>
      <c r="AC253" s="1192" t="str">
        <f>""</f>
        <v/>
      </c>
      <c r="AD253" s="985">
        <v>0</v>
      </c>
      <c r="AE253" s="985" t="s">
        <v>436</v>
      </c>
      <c r="AF253" s="985" t="s">
        <v>436</v>
      </c>
      <c r="AG253" s="985">
        <v>1</v>
      </c>
      <c r="AH253" s="985">
        <v>4</v>
      </c>
      <c r="AI253" s="985">
        <v>0</v>
      </c>
      <c r="AJ253" s="1193">
        <f>VLOOKUP($I253,'Price List, Weapons &amp; Items'!B:F,5,0)</f>
        <v>1</v>
      </c>
      <c r="AK253" s="1193">
        <f t="shared" si="54"/>
        <v>0</v>
      </c>
      <c r="AL253" s="1193">
        <f t="shared" si="55"/>
        <v>0</v>
      </c>
      <c r="AM253" s="1193">
        <f t="shared" si="56"/>
        <v>0</v>
      </c>
      <c r="AN253" s="1194" t="str">
        <f>VLOOKUP($I253,'Price List, Weapons &amp; Items'!B:L,COLUMN('Price List, Weapons &amp; Items'!$J$11)-1,0)</f>
        <v>Military media (incl. websites)</v>
      </c>
      <c r="AO253" s="1194" t="str">
        <f>IF(I253=".",".",VLOOKUP($I253,'Price List, Weapons &amp; Items'!B:J,3,0))</f>
        <v>Infantry fighting vehicle (IFV)</v>
      </c>
      <c r="AP253" s="1195" t="str">
        <f t="shared" ca="1" si="50"/>
        <v/>
      </c>
      <c r="AQ253" s="1194">
        <f>VLOOKUP($I253,'Price List, Weapons &amp; Items'!B:L,COLUMN('Price List, Weapons &amp; Items'!$L$11)-1,0)</f>
        <v>1</v>
      </c>
      <c r="AR253" s="1194">
        <f t="shared" si="57"/>
        <v>1</v>
      </c>
      <c r="AS253" s="1194">
        <f t="shared" si="58"/>
        <v>1</v>
      </c>
      <c r="AT253" s="1194">
        <f t="shared" si="59"/>
        <v>1</v>
      </c>
      <c r="AU253" s="1194" t="str">
        <f t="shared" si="60"/>
        <v>.</v>
      </c>
      <c r="AV253" s="1194" t="str">
        <f t="shared" si="51"/>
        <v>.</v>
      </c>
      <c r="AW253" s="1194" t="str">
        <f t="shared" si="61"/>
        <v>.</v>
      </c>
      <c r="AX253" s="1194">
        <f>IFERROR(VLOOKUP(B253,'Share, Heavy Weapons to Ukraine'!B:Z,COLUMN('Share, Heavy Weapons to Ukraine'!C263)-1,0),0)</f>
        <v>0</v>
      </c>
      <c r="AY253" s="1194">
        <f>VLOOKUP('Bilateral Assistance, MAIN DATA'!B253,'Country Summary (€)'!B:F,COLUMN('Country Summary (€)'!C264)-1,FALSE)</f>
        <v>1</v>
      </c>
      <c r="AZ253" s="1194" t="str">
        <f>IF(AND(AD253=1,D253="Military",H253&lt;&gt;"Not given")=TRUE,IF(SUMIFS(P:P,A:A,A253)&gt;0,ABS((SUMIFS(P:P,A:A,A253)/VLOOKUP("USD",'Exchange Rates'!B:C,2,0)))/S253,"."),".")</f>
        <v>.</v>
      </c>
      <c r="BA253" s="1196" t="str">
        <f>IF(AND(AD253=1,D253="Military",H253&lt;&gt;"Not given")=TRUE,IF(SUMIFS(P:P,A:A,A253)&gt;0,IF((ABS((SUMIFS(P:P,A:A,A253)/VLOOKUP("USD",'Exchange Rates'!B:C,2,0)))/S253)&gt;1,(SUMIFS(P:P,A:A,A253)-S253)/S253,(S253-SUMIFS(P:P,A:A,A253))/SUMIFS(P:P,A:A,A253)),"."),".")</f>
        <v>.</v>
      </c>
    </row>
    <row r="254" spans="1:53" ht="15.95" customHeight="1">
      <c r="A254" s="1180" t="s">
        <v>1077</v>
      </c>
      <c r="B254" s="1180" t="s">
        <v>1012</v>
      </c>
      <c r="C254" s="1181">
        <v>44657</v>
      </c>
      <c r="D254" s="1182" t="s">
        <v>389</v>
      </c>
      <c r="E254" s="1182" t="s">
        <v>390</v>
      </c>
      <c r="F254" s="1183" t="s">
        <v>1078</v>
      </c>
      <c r="G254" s="1184" t="s">
        <v>1014</v>
      </c>
      <c r="H254" s="1185">
        <v>133000000</v>
      </c>
      <c r="I254" s="1180" t="s">
        <v>364</v>
      </c>
      <c r="J254" s="1186" t="str">
        <f>VLOOKUP($I254,'Price List, Weapons &amp; Items'!B:C,2,0)</f>
        <v>.</v>
      </c>
      <c r="K254" s="1186" t="str">
        <f>IF(I254=".",I254,VLOOKUP($I254,'Price List, Weapons &amp; Items'!B:D,3,0))</f>
        <v>.</v>
      </c>
      <c r="L254" s="1187">
        <f>VLOOKUP(I254,'Price List, Weapons &amp; Items'!B:E,4,0)</f>
        <v>0</v>
      </c>
      <c r="M254" s="1188" t="s">
        <v>364</v>
      </c>
      <c r="N254" s="1188" t="s">
        <v>364</v>
      </c>
      <c r="O254" s="1188" t="str">
        <f>VLOOKUP($I254,'Price List, Weapons &amp; Items'!B:G,6,0)</f>
        <v>.</v>
      </c>
      <c r="P254" s="1185" t="str">
        <f t="shared" si="52"/>
        <v>.</v>
      </c>
      <c r="Q254" s="1185" t="str">
        <f t="shared" si="53"/>
        <v>.</v>
      </c>
      <c r="R254" s="1185">
        <f t="shared" si="49"/>
        <v>133000000</v>
      </c>
      <c r="S254" s="1185">
        <f>IF(AND(AD254=1,R254&lt;&gt;".")=TRUE,R254/VLOOKUP(G254,'Exchange Rates'!B:C,2,0),IF(R254=".",".",""))</f>
        <v>5636787.4549692739</v>
      </c>
      <c r="T254" s="1185">
        <f>IF(AD254=1,IF(AF254="Value is not given at all",".",IF(AF254="Value is given by the source",S254,IF(AF254="Value is calculated with prices",(IF(SUMIFS(Q:Q,A:A,A254)&gt;0,SUMIFS(Q:Q,A:A,A254),"."))/VLOOKUP("USD",'Exchange Rates'!B:C,2,0),"Error with coding"))),"")</f>
        <v>5636787.4549692739</v>
      </c>
      <c r="U254" s="1184" t="s">
        <v>365</v>
      </c>
      <c r="V254" s="971" t="s">
        <v>1056</v>
      </c>
      <c r="W254" s="1190" t="s">
        <v>364</v>
      </c>
      <c r="X254" s="1190" t="s">
        <v>364</v>
      </c>
      <c r="Y254" s="1219" t="s">
        <v>364</v>
      </c>
      <c r="Z254" s="1184">
        <v>0</v>
      </c>
      <c r="AA254" s="1194">
        <v>0</v>
      </c>
      <c r="AB254" s="977" t="s">
        <v>1039</v>
      </c>
      <c r="AC254" s="1192" t="str">
        <f>""</f>
        <v/>
      </c>
      <c r="AD254" s="985">
        <v>1</v>
      </c>
      <c r="AE254" s="985" t="s">
        <v>368</v>
      </c>
      <c r="AF254" s="985" t="s">
        <v>368</v>
      </c>
      <c r="AG254" s="985">
        <v>1</v>
      </c>
      <c r="AH254" s="1193">
        <v>4</v>
      </c>
      <c r="AI254" s="1193">
        <v>0</v>
      </c>
      <c r="AJ254" s="1193">
        <f>VLOOKUP($I254,'Price List, Weapons &amp; Items'!B:F,5,0)</f>
        <v>0</v>
      </c>
      <c r="AK254" s="1193">
        <f t="shared" si="54"/>
        <v>0</v>
      </c>
      <c r="AL254" s="1193">
        <f t="shared" si="55"/>
        <v>0</v>
      </c>
      <c r="AM254" s="1193">
        <f t="shared" si="56"/>
        <v>0</v>
      </c>
      <c r="AN254" s="1194" t="str">
        <f>VLOOKUP($I254,'Price List, Weapons &amp; Items'!B:L,COLUMN('Price List, Weapons &amp; Items'!$J$11)-1,0)</f>
        <v>.</v>
      </c>
      <c r="AO254" s="1194" t="str">
        <f>IF(I254=".",".",VLOOKUP($I254,'Price List, Weapons &amp; Items'!B:J,3,0))</f>
        <v>.</v>
      </c>
      <c r="AP254" s="1195" t="str">
        <f t="shared" ca="1" si="50"/>
        <v>.</v>
      </c>
      <c r="AQ254" s="1194">
        <f>VLOOKUP($I254,'Price List, Weapons &amp; Items'!B:L,COLUMN('Price List, Weapons &amp; Items'!$L$11)-1,0)</f>
        <v>0</v>
      </c>
      <c r="AR254" s="1194">
        <f t="shared" si="57"/>
        <v>1</v>
      </c>
      <c r="AS254" s="1194">
        <f t="shared" si="58"/>
        <v>1</v>
      </c>
      <c r="AT254" s="1194">
        <f t="shared" si="59"/>
        <v>1</v>
      </c>
      <c r="AU254" s="1194" t="str">
        <f t="shared" si="60"/>
        <v>.</v>
      </c>
      <c r="AV254" s="1194" t="str">
        <f t="shared" si="51"/>
        <v>.</v>
      </c>
      <c r="AW254" s="1194" t="str">
        <f t="shared" si="61"/>
        <v>.</v>
      </c>
      <c r="AX254" s="1194">
        <f>IFERROR(VLOOKUP(B254,'Share, Heavy Weapons to Ukraine'!B:Z,COLUMN('Share, Heavy Weapons to Ukraine'!C264)-1,0),0)</f>
        <v>0</v>
      </c>
      <c r="AY254" s="1194">
        <f>VLOOKUP('Bilateral Assistance, MAIN DATA'!B254,'Country Summary (€)'!B:F,COLUMN('Country Summary (€)'!C265)-1,FALSE)</f>
        <v>1</v>
      </c>
      <c r="AZ254" s="1194" t="str">
        <f>IF(AND(AD254=1,D254="Military",H254&lt;&gt;"Not given")=TRUE,IF(SUMIFS(P:P,A:A,A254)&gt;0,ABS((SUMIFS(P:P,A:A,A254)/VLOOKUP("USD",'Exchange Rates'!B:C,2,0)))/S254,"."),".")</f>
        <v>.</v>
      </c>
      <c r="BA254" s="1196" t="str">
        <f>IF(AND(AD254=1,D254="Military",H254&lt;&gt;"Not given")=TRUE,IF(SUMIFS(P:P,A:A,A254)&gt;0,IF((ABS((SUMIFS(P:P,A:A,A254)/VLOOKUP("USD",'Exchange Rates'!B:C,2,0)))/S254)&gt;1,(SUMIFS(P:P,A:A,A254)-S254)/S254,(S254-SUMIFS(P:P,A:A,A254))/SUMIFS(P:P,A:A,A254)),"."),".")</f>
        <v>.</v>
      </c>
    </row>
    <row r="255" spans="1:53" ht="15.95" customHeight="1">
      <c r="A255" s="1182" t="s">
        <v>1079</v>
      </c>
      <c r="B255" s="1182" t="s">
        <v>1012</v>
      </c>
      <c r="C255" s="1181" t="s">
        <v>1080</v>
      </c>
      <c r="D255" s="1182" t="s">
        <v>389</v>
      </c>
      <c r="E255" s="1182" t="s">
        <v>443</v>
      </c>
      <c r="F255" s="1183" t="s">
        <v>1081</v>
      </c>
      <c r="G255" s="1184" t="s">
        <v>456</v>
      </c>
      <c r="H255" s="1185" t="s">
        <v>457</v>
      </c>
      <c r="I255" s="1180" t="s">
        <v>1082</v>
      </c>
      <c r="J255" s="1186" t="str">
        <f>VLOOKUP($I255,'Price List, Weapons &amp; Items'!B:C,2,0)</f>
        <v>Heavy weapon</v>
      </c>
      <c r="K255" s="1186" t="str">
        <f>IF(I255=".",I255,VLOOKUP($I255,'Price List, Weapons &amp; Items'!B:D,3,0))</f>
        <v>122mm MLRS</v>
      </c>
      <c r="L255" s="1187">
        <f>VLOOKUP(I255,'Price List, Weapons &amp; Items'!B:E,4,0)</f>
        <v>1</v>
      </c>
      <c r="M255" s="1188">
        <v>33</v>
      </c>
      <c r="N255" s="1188">
        <v>33</v>
      </c>
      <c r="O255" s="1188">
        <f>VLOOKUP($I255,'Price List, Weapons &amp; Items'!B:G,6,0)</f>
        <v>1637933.8716107793</v>
      </c>
      <c r="P255" s="1185">
        <f t="shared" si="52"/>
        <v>54051817.763155714</v>
      </c>
      <c r="Q255" s="1185">
        <f t="shared" si="53"/>
        <v>54051817.763155714</v>
      </c>
      <c r="R255" s="1185">
        <f t="shared" si="49"/>
        <v>172951817.7631557</v>
      </c>
      <c r="S255" s="1185">
        <f>IF(AND(AD255=1,R255&lt;&gt;".")=TRUE,R255/VLOOKUP(G255,'Exchange Rates'!B:C,2,0),IF(R255=".",".",""))</f>
        <v>159138588.29881826</v>
      </c>
      <c r="T255" s="1185">
        <f>IF(AD255=1,IF(AF255="Value is not given at all",".",IF(AF255="Value is given by the source",S255,IF(AF255="Value is calculated with prices",(IF(SUMIFS(Q:Q,A:A,A255)&gt;0,SUMIFS(Q:Q,A:A,A255),"."))/VLOOKUP("USD",'Exchange Rates'!B:C,2,0),"Error with coding"))),"")</f>
        <v>159138588.29881826</v>
      </c>
      <c r="U255" s="1184" t="s">
        <v>365</v>
      </c>
      <c r="V255" s="1009" t="s">
        <v>1072</v>
      </c>
      <c r="W255" s="1007" t="s">
        <v>1083</v>
      </c>
      <c r="X255" s="1196" t="s">
        <v>364</v>
      </c>
      <c r="Y255" s="1183" t="s">
        <v>364</v>
      </c>
      <c r="Z255" s="1184">
        <v>0</v>
      </c>
      <c r="AA255" s="1194">
        <v>0</v>
      </c>
      <c r="AB255" s="1008" t="s">
        <v>1072</v>
      </c>
      <c r="AC255" s="1192" t="str">
        <f>""</f>
        <v/>
      </c>
      <c r="AD255" s="985">
        <v>1</v>
      </c>
      <c r="AE255" s="985" t="s">
        <v>436</v>
      </c>
      <c r="AF255" s="985" t="s">
        <v>436</v>
      </c>
      <c r="AG255" s="985">
        <v>1</v>
      </c>
      <c r="AH255" s="985">
        <v>4</v>
      </c>
      <c r="AI255" s="985">
        <v>0</v>
      </c>
      <c r="AJ255" s="1193">
        <f>VLOOKUP($I255,'Price List, Weapons &amp; Items'!B:F,5,0)</f>
        <v>1</v>
      </c>
      <c r="AK255" s="1193">
        <f t="shared" si="54"/>
        <v>0</v>
      </c>
      <c r="AL255" s="1193">
        <f t="shared" si="55"/>
        <v>0</v>
      </c>
      <c r="AM255" s="1193">
        <f t="shared" si="56"/>
        <v>0</v>
      </c>
      <c r="AN255" s="1194" t="str">
        <f>VLOOKUP($I255,'Price List, Weapons &amp; Items'!B:L,COLUMN('Price List, Weapons &amp; Items'!$J$11)-1,0)</f>
        <v>Contracts</v>
      </c>
      <c r="AO255" s="1194" t="str">
        <f>IF(I255=".",".",VLOOKUP($I255,'Price List, Weapons &amp; Items'!B:J,3,0))</f>
        <v>122mm MLRS</v>
      </c>
      <c r="AP255" s="1195" t="str">
        <f t="shared" ca="1" si="50"/>
        <v>RM-70 multiple rocket launcher</v>
      </c>
      <c r="AQ255" s="1194">
        <f>VLOOKUP($I255,'Price List, Weapons &amp; Items'!B:L,COLUMN('Price List, Weapons &amp; Items'!$L$11)-1,0)</f>
        <v>2</v>
      </c>
      <c r="AR255" s="1194">
        <f t="shared" si="57"/>
        <v>1</v>
      </c>
      <c r="AS255" s="1194">
        <f t="shared" si="58"/>
        <v>1</v>
      </c>
      <c r="AT255" s="1194" t="str">
        <f t="shared" si="59"/>
        <v>Value is not in date format</v>
      </c>
      <c r="AU255" s="1194" t="str">
        <f t="shared" si="60"/>
        <v>.</v>
      </c>
      <c r="AV255" s="1194" t="str">
        <f t="shared" si="51"/>
        <v>.</v>
      </c>
      <c r="AW255" s="1194" t="str">
        <f t="shared" si="61"/>
        <v>.</v>
      </c>
      <c r="AX255" s="1194">
        <f>IFERROR(VLOOKUP(B255,'Share, Heavy Weapons to Ukraine'!B:Z,COLUMN('Share, Heavy Weapons to Ukraine'!C265)-1,0),0)</f>
        <v>0</v>
      </c>
      <c r="AY255" s="1194">
        <f>VLOOKUP('Bilateral Assistance, MAIN DATA'!B255,'Country Summary (€)'!B:F,COLUMN('Country Summary (€)'!C266)-1,FALSE)</f>
        <v>1</v>
      </c>
      <c r="AZ255" s="1194" t="str">
        <f>IF(AND(AD255=1,D255="Military",H255&lt;&gt;"Not given")=TRUE,IF(SUMIFS(P:P,A:A,A255)&gt;0,ABS((SUMIFS(P:P,A:A,A255)/VLOOKUP("USD",'Exchange Rates'!B:C,2,0)))/S255,"."),".")</f>
        <v>.</v>
      </c>
      <c r="BA255" s="1196" t="str">
        <f>IF(AND(AD255=1,D255="Military",H255&lt;&gt;"Not given")=TRUE,IF(SUMIFS(P:P,A:A,A255)&gt;0,IF((ABS((SUMIFS(P:P,A:A,A255)/VLOOKUP("USD",'Exchange Rates'!B:C,2,0)))/S255)&gt;1,(SUMIFS(P:P,A:A,A255)-S255)/S255,(S255-SUMIFS(P:P,A:A,A255))/SUMIFS(P:P,A:A,A255)),"."),".")</f>
        <v>.</v>
      </c>
    </row>
    <row r="256" spans="1:53" ht="15.95" customHeight="1">
      <c r="A256" s="1182" t="s">
        <v>1079</v>
      </c>
      <c r="B256" s="1182" t="s">
        <v>1012</v>
      </c>
      <c r="C256" s="1181" t="s">
        <v>1080</v>
      </c>
      <c r="D256" s="1182" t="s">
        <v>389</v>
      </c>
      <c r="E256" s="1182" t="s">
        <v>443</v>
      </c>
      <c r="F256" s="1183" t="s">
        <v>1081</v>
      </c>
      <c r="G256" s="1184" t="s">
        <v>456</v>
      </c>
      <c r="H256" s="1185" t="s">
        <v>457</v>
      </c>
      <c r="I256" s="1190" t="s">
        <v>1084</v>
      </c>
      <c r="J256" s="1186" t="str">
        <f>VLOOKUP($I256,'Price List, Weapons &amp; Items'!B:C,2,0)</f>
        <v>Ammunition for heavy weapon</v>
      </c>
      <c r="K256" s="1186" t="str">
        <f>IF(I256=".",I256,VLOOKUP($I256,'Price List, Weapons &amp; Items'!B:D,3,0))</f>
        <v>122mm MLRS ammunition</v>
      </c>
      <c r="L256" s="1187">
        <f>VLOOKUP(I256,'Price List, Weapons &amp; Items'!B:E,4,0)</f>
        <v>1</v>
      </c>
      <c r="M256" s="1188">
        <v>60000</v>
      </c>
      <c r="N256" s="1188">
        <v>60000</v>
      </c>
      <c r="O256" s="1188">
        <f>VLOOKUP($I256,'Price List, Weapons &amp; Items'!B:G,6,0)</f>
        <v>1000</v>
      </c>
      <c r="P256" s="1185">
        <f t="shared" si="52"/>
        <v>60000000</v>
      </c>
      <c r="Q256" s="1185">
        <f t="shared" si="53"/>
        <v>60000000</v>
      </c>
      <c r="R256" s="1185" t="str">
        <f t="shared" si="49"/>
        <v/>
      </c>
      <c r="S256" s="1185" t="str">
        <f>IF(AND(AD256=1,R256&lt;&gt;".")=TRUE,R256/VLOOKUP(G256,'Exchange Rates'!B:C,2,0),IF(R256=".",".",""))</f>
        <v/>
      </c>
      <c r="T256" s="1185" t="str">
        <f>IF(AD256=1,IF(AF256="Value is not given at all",".",IF(AF256="Value is given by the source",S256,IF(AF256="Value is calculated with prices",(IF(SUMIFS(Q:Q,A:A,A256)&gt;0,SUMIFS(Q:Q,A:A,A256),"."))/VLOOKUP("USD",'Exchange Rates'!B:C,2,0),"Error with coding"))),"")</f>
        <v/>
      </c>
      <c r="U256" s="1184" t="s">
        <v>365</v>
      </c>
      <c r="V256" s="1009" t="s">
        <v>1072</v>
      </c>
      <c r="W256" s="1007" t="s">
        <v>1083</v>
      </c>
      <c r="X256" s="1196" t="s">
        <v>364</v>
      </c>
      <c r="Y256" s="1183" t="s">
        <v>364</v>
      </c>
      <c r="Z256" s="1184">
        <v>0</v>
      </c>
      <c r="AA256" s="1194">
        <v>0</v>
      </c>
      <c r="AB256" s="1008" t="s">
        <v>1072</v>
      </c>
      <c r="AC256" s="1192" t="str">
        <f>""</f>
        <v/>
      </c>
      <c r="AD256" s="985">
        <v>0</v>
      </c>
      <c r="AE256" s="985" t="s">
        <v>436</v>
      </c>
      <c r="AF256" s="985" t="s">
        <v>436</v>
      </c>
      <c r="AG256" s="985">
        <v>1</v>
      </c>
      <c r="AH256" s="985">
        <v>4</v>
      </c>
      <c r="AI256" s="985">
        <v>0</v>
      </c>
      <c r="AJ256" s="1193">
        <f>VLOOKUP($I256,'Price List, Weapons &amp; Items'!B:F,5,0)</f>
        <v>1</v>
      </c>
      <c r="AK256" s="1193">
        <f t="shared" si="54"/>
        <v>0</v>
      </c>
      <c r="AL256" s="1193">
        <f t="shared" si="55"/>
        <v>0</v>
      </c>
      <c r="AM256" s="1193">
        <f t="shared" si="56"/>
        <v>0</v>
      </c>
      <c r="AN256" s="1194" t="str">
        <f>VLOOKUP($I256,'Price List, Weapons &amp; Items'!B:L,COLUMN('Price List, Weapons &amp; Items'!$J$11)-1,0)</f>
        <v>Media reports (incl. social media)</v>
      </c>
      <c r="AO256" s="1194" t="str">
        <f>IF(I256=".",".",VLOOKUP($I256,'Price List, Weapons &amp; Items'!B:J,3,0))</f>
        <v>122mm MLRS ammunition</v>
      </c>
      <c r="AP256" s="1195" t="str">
        <f t="shared" ca="1" si="50"/>
        <v/>
      </c>
      <c r="AQ256" s="1194">
        <f>VLOOKUP($I256,'Price List, Weapons &amp; Items'!B:L,COLUMN('Price List, Weapons &amp; Items'!$L$11)-1,0)</f>
        <v>2</v>
      </c>
      <c r="AR256" s="1194">
        <f t="shared" si="57"/>
        <v>1</v>
      </c>
      <c r="AS256" s="1194">
        <f t="shared" si="58"/>
        <v>1</v>
      </c>
      <c r="AT256" s="1194" t="str">
        <f t="shared" si="59"/>
        <v>Value is not in date format</v>
      </c>
      <c r="AU256" s="1194" t="str">
        <f t="shared" si="60"/>
        <v>.</v>
      </c>
      <c r="AV256" s="1194" t="str">
        <f t="shared" si="51"/>
        <v>.</v>
      </c>
      <c r="AW256" s="1194" t="str">
        <f t="shared" si="61"/>
        <v>.</v>
      </c>
      <c r="AX256" s="1194">
        <f>IFERROR(VLOOKUP(B256,'Share, Heavy Weapons to Ukraine'!B:Z,COLUMN('Share, Heavy Weapons to Ukraine'!C266)-1,0),0)</f>
        <v>0</v>
      </c>
      <c r="AY256" s="1194">
        <f>VLOOKUP('Bilateral Assistance, MAIN DATA'!B256,'Country Summary (€)'!B:F,COLUMN('Country Summary (€)'!C267)-1,FALSE)</f>
        <v>1</v>
      </c>
      <c r="AZ256" s="1194" t="str">
        <f>IF(AND(AD256=1,D256="Military",H256&lt;&gt;"Not given")=TRUE,IF(SUMIFS(P:P,A:A,A256)&gt;0,ABS((SUMIFS(P:P,A:A,A256)/VLOOKUP("USD",'Exchange Rates'!B:C,2,0)))/S256,"."),".")</f>
        <v>.</v>
      </c>
      <c r="BA256" s="1196" t="str">
        <f>IF(AND(AD256=1,D256="Military",H256&lt;&gt;"Not given")=TRUE,IF(SUMIFS(P:P,A:A,A256)&gt;0,IF((ABS((SUMIFS(P:P,A:A,A256)/VLOOKUP("USD",'Exchange Rates'!B:C,2,0)))/S256)&gt;1,(SUMIFS(P:P,A:A,A256)-S256)/S256,(S256-SUMIFS(P:P,A:A,A256))/SUMIFS(P:P,A:A,A256)),"."),".")</f>
        <v>.</v>
      </c>
    </row>
    <row r="257" spans="1:53" ht="15.95" customHeight="1">
      <c r="A257" s="1182" t="s">
        <v>1079</v>
      </c>
      <c r="B257" s="1182" t="s">
        <v>1012</v>
      </c>
      <c r="C257" s="1181" t="s">
        <v>1080</v>
      </c>
      <c r="D257" s="1182" t="s">
        <v>389</v>
      </c>
      <c r="E257" s="1182" t="s">
        <v>443</v>
      </c>
      <c r="F257" s="1183" t="s">
        <v>1081</v>
      </c>
      <c r="G257" s="1184" t="s">
        <v>456</v>
      </c>
      <c r="H257" s="1185" t="s">
        <v>457</v>
      </c>
      <c r="I257" s="1180" t="s">
        <v>1085</v>
      </c>
      <c r="J257" s="1186" t="str">
        <f>VLOOKUP($I257,'Price List, Weapons &amp; Items'!B:C,2,0)</f>
        <v>Heavy weapon</v>
      </c>
      <c r="K257" s="1186" t="str">
        <f>IF(I257=".",I257,VLOOKUP($I257,'Price List, Weapons &amp; Items'!B:D,3,0))</f>
        <v>152mm howitzer</v>
      </c>
      <c r="L257" s="1187">
        <f>VLOOKUP(I257,'Price List, Weapons &amp; Items'!B:E,4,0)</f>
        <v>1</v>
      </c>
      <c r="M257" s="1188">
        <v>38</v>
      </c>
      <c r="N257" s="1188">
        <v>38</v>
      </c>
      <c r="O257" s="1188">
        <f>VLOOKUP($I257,'Price List, Weapons &amp; Items'!B:G,6,0)</f>
        <v>1550000</v>
      </c>
      <c r="P257" s="1185">
        <f t="shared" si="52"/>
        <v>58900000</v>
      </c>
      <c r="Q257" s="1185">
        <f t="shared" si="53"/>
        <v>58900000</v>
      </c>
      <c r="R257" s="1185" t="str">
        <f t="shared" si="49"/>
        <v/>
      </c>
      <c r="S257" s="1185" t="str">
        <f>IF(AND(AD257=1,R257&lt;&gt;".")=TRUE,R257/VLOOKUP(G257,'Exchange Rates'!B:C,2,0),IF(R257=".",".",""))</f>
        <v/>
      </c>
      <c r="T257" s="1185" t="str">
        <f>IF(AD257=1,IF(AF257="Value is not given at all",".",IF(AF257="Value is given by the source",S257,IF(AF257="Value is calculated with prices",(IF(SUMIFS(Q:Q,A:A,A257)&gt;0,SUMIFS(Q:Q,A:A,A257),"."))/VLOOKUP("USD",'Exchange Rates'!B:C,2,0),"Error with coding"))),"")</f>
        <v/>
      </c>
      <c r="U257" s="1184" t="s">
        <v>365</v>
      </c>
      <c r="V257" s="1009" t="s">
        <v>1072</v>
      </c>
      <c r="W257" s="1007" t="s">
        <v>1083</v>
      </c>
      <c r="X257" s="1196" t="s">
        <v>364</v>
      </c>
      <c r="Y257" s="1183" t="s">
        <v>364</v>
      </c>
      <c r="Z257" s="1184">
        <v>0</v>
      </c>
      <c r="AA257" s="1194">
        <v>0</v>
      </c>
      <c r="AB257" s="1008" t="s">
        <v>1072</v>
      </c>
      <c r="AC257" s="1192" t="str">
        <f>""</f>
        <v/>
      </c>
      <c r="AD257" s="985">
        <v>0</v>
      </c>
      <c r="AE257" s="985" t="s">
        <v>436</v>
      </c>
      <c r="AF257" s="985" t="s">
        <v>436</v>
      </c>
      <c r="AG257" s="985">
        <v>1</v>
      </c>
      <c r="AH257" s="985">
        <v>4</v>
      </c>
      <c r="AI257" s="985">
        <v>0</v>
      </c>
      <c r="AJ257" s="1193">
        <f>VLOOKUP($I257,'Price List, Weapons &amp; Items'!B:F,5,0)</f>
        <v>1</v>
      </c>
      <c r="AK257" s="1193">
        <f t="shared" si="54"/>
        <v>0</v>
      </c>
      <c r="AL257" s="1193">
        <f t="shared" si="55"/>
        <v>0</v>
      </c>
      <c r="AM257" s="1193">
        <f t="shared" si="56"/>
        <v>0</v>
      </c>
      <c r="AN257" s="1194" t="str">
        <f>VLOOKUP($I257,'Price List, Weapons &amp; Items'!B:L,COLUMN('Price List, Weapons &amp; Items'!$J$11)-1,0)</f>
        <v>Military media (incl. websites)</v>
      </c>
      <c r="AO257" s="1194" t="str">
        <f>IF(I257=".",".",VLOOKUP($I257,'Price List, Weapons &amp; Items'!B:J,3,0))</f>
        <v>152mm howitzer</v>
      </c>
      <c r="AP257" s="1195" t="str">
        <f t="shared" ca="1" si="50"/>
        <v/>
      </c>
      <c r="AQ257" s="1194">
        <f>VLOOKUP($I257,'Price List, Weapons &amp; Items'!B:L,COLUMN('Price List, Weapons &amp; Items'!$L$11)-1,0)</f>
        <v>2</v>
      </c>
      <c r="AR257" s="1194">
        <f t="shared" si="57"/>
        <v>1</v>
      </c>
      <c r="AS257" s="1194">
        <f t="shared" si="58"/>
        <v>1</v>
      </c>
      <c r="AT257" s="1194" t="str">
        <f t="shared" si="59"/>
        <v>Value is not in date format</v>
      </c>
      <c r="AU257" s="1194" t="str">
        <f t="shared" si="60"/>
        <v>.</v>
      </c>
      <c r="AV257" s="1194" t="str">
        <f t="shared" si="51"/>
        <v>.</v>
      </c>
      <c r="AW257" s="1194" t="str">
        <f t="shared" si="61"/>
        <v>.</v>
      </c>
      <c r="AX257" s="1194">
        <f>IFERROR(VLOOKUP(B257,'Share, Heavy Weapons to Ukraine'!B:Z,COLUMN('Share, Heavy Weapons to Ukraine'!C267)-1,0),0)</f>
        <v>0</v>
      </c>
      <c r="AY257" s="1194">
        <f>VLOOKUP('Bilateral Assistance, MAIN DATA'!B257,'Country Summary (€)'!B:F,COLUMN('Country Summary (€)'!C268)-1,FALSE)</f>
        <v>1</v>
      </c>
      <c r="AZ257" s="1194" t="str">
        <f>IF(AND(AD257=1,D257="Military",H257&lt;&gt;"Not given")=TRUE,IF(SUMIFS(P:P,A:A,A257)&gt;0,ABS((SUMIFS(P:P,A:A,A257)/VLOOKUP("USD",'Exchange Rates'!B:C,2,0)))/S257,"."),".")</f>
        <v>.</v>
      </c>
      <c r="BA257" s="1196" t="str">
        <f>IF(AND(AD257=1,D257="Military",H257&lt;&gt;"Not given")=TRUE,IF(SUMIFS(P:P,A:A,A257)&gt;0,IF((ABS((SUMIFS(P:P,A:A,A257)/VLOOKUP("USD",'Exchange Rates'!B:C,2,0)))/S257)&gt;1,(SUMIFS(P:P,A:A,A257)-S257)/S257,(S257-SUMIFS(P:P,A:A,A257))/SUMIFS(P:P,A:A,A257)),"."),".")</f>
        <v>.</v>
      </c>
    </row>
    <row r="258" spans="1:53" ht="15.95" customHeight="1">
      <c r="A258" s="1180" t="s">
        <v>1086</v>
      </c>
      <c r="B258" s="1180" t="s">
        <v>1012</v>
      </c>
      <c r="C258" s="1181">
        <v>44704</v>
      </c>
      <c r="D258" s="1182" t="s">
        <v>389</v>
      </c>
      <c r="E258" s="1182" t="s">
        <v>443</v>
      </c>
      <c r="F258" s="1183" t="s">
        <v>1087</v>
      </c>
      <c r="G258" s="1184" t="s">
        <v>456</v>
      </c>
      <c r="H258" s="1185" t="s">
        <v>457</v>
      </c>
      <c r="I258" s="1180" t="s">
        <v>1088</v>
      </c>
      <c r="J258" s="1186" t="str">
        <f>VLOOKUP($I258,'Price List, Weapons &amp; Items'!B:C,2,0)</f>
        <v>Heavy weapon</v>
      </c>
      <c r="K258" s="1186" t="str">
        <f>IF(I258=".",I258,VLOOKUP($I258,'Price List, Weapons &amp; Items'!B:D,3,0))</f>
        <v>Combat aircraft</v>
      </c>
      <c r="L258" s="1187">
        <f>VLOOKUP(I258,'Price List, Weapons &amp; Items'!B:E,4,0)</f>
        <v>1</v>
      </c>
      <c r="M258" s="1188">
        <v>4</v>
      </c>
      <c r="N258" s="1188">
        <v>4</v>
      </c>
      <c r="O258" s="1188">
        <f>VLOOKUP($I258,'Price List, Weapons &amp; Items'!B:G,6,0)</f>
        <v>12000000</v>
      </c>
      <c r="P258" s="1185">
        <f t="shared" si="52"/>
        <v>48000000</v>
      </c>
      <c r="Q258" s="1185">
        <f t="shared" si="53"/>
        <v>48000000</v>
      </c>
      <c r="R258" s="1185">
        <f t="shared" ref="R258:R321" si="63">IF(AD258=1,IF(H258&lt;&gt;"Not given",H258,IF(TYPE(H258)=2,IF(SUMIFS(P:P,A:A,A258)&gt;0,SUMIFS(P:P,A:A,A258),"."),"Format error")),"")</f>
        <v>48000000</v>
      </c>
      <c r="S258" s="1185">
        <f>IF(AND(AD258=1,R258&lt;&gt;".")=TRUE,R258/VLOOKUP(G258,'Exchange Rates'!B:C,2,0),IF(R258=".",".",""))</f>
        <v>44166359.955833644</v>
      </c>
      <c r="T258" s="1185">
        <f>IF(AD258=1,IF(AF258="Value is not given at all",".",IF(AF258="Value is given by the source",S258,IF(AF258="Value is calculated with prices",(IF(SUMIFS(Q:Q,A:A,A258)&gt;0,SUMIFS(Q:Q,A:A,A258),"."))/VLOOKUP("USD",'Exchange Rates'!B:C,2,0),"Error with coding"))),"")</f>
        <v>44166359.955833644</v>
      </c>
      <c r="U258" s="1184" t="s">
        <v>365</v>
      </c>
      <c r="V258" s="1003" t="s">
        <v>1072</v>
      </c>
      <c r="W258" s="1010" t="s">
        <v>1089</v>
      </c>
      <c r="X258" s="1010" t="s">
        <v>1090</v>
      </c>
      <c r="Y258" s="1196" t="s">
        <v>364</v>
      </c>
      <c r="Z258" s="1184">
        <v>0</v>
      </c>
      <c r="AA258" s="1194">
        <v>0</v>
      </c>
      <c r="AB258" s="1008" t="s">
        <v>1072</v>
      </c>
      <c r="AC258" s="1192" t="str">
        <f>""</f>
        <v/>
      </c>
      <c r="AD258" s="985">
        <v>1</v>
      </c>
      <c r="AE258" s="985" t="s">
        <v>436</v>
      </c>
      <c r="AF258" s="985" t="s">
        <v>436</v>
      </c>
      <c r="AG258" s="985">
        <v>1</v>
      </c>
      <c r="AH258" s="1193">
        <v>5</v>
      </c>
      <c r="AI258" s="1193">
        <v>0</v>
      </c>
      <c r="AJ258" s="1193">
        <f>VLOOKUP($I258,'Price List, Weapons &amp; Items'!B:F,5,0)</f>
        <v>0</v>
      </c>
      <c r="AK258" s="1193">
        <f t="shared" si="54"/>
        <v>0</v>
      </c>
      <c r="AL258" s="1193">
        <f t="shared" si="55"/>
        <v>0</v>
      </c>
      <c r="AM258" s="1193">
        <f t="shared" si="56"/>
        <v>0</v>
      </c>
      <c r="AN258" s="1194" t="str">
        <f>VLOOKUP($I258,'Price List, Weapons &amp; Items'!B:L,COLUMN('Price List, Weapons &amp; Items'!$J$11)-1,0)</f>
        <v>Military media (incl. websites)</v>
      </c>
      <c r="AO258" s="1194" t="str">
        <f>IF(I258=".",".",VLOOKUP($I258,'Price List, Weapons &amp; Items'!B:J,3,0))</f>
        <v>Combat aircraft</v>
      </c>
      <c r="AP258" s="1195" t="str">
        <f t="shared" ref="AP258:AP321" ca="1" si="64">IF(AD258=1,(OFFSET(I258,0,0,COUNTIF(A:A,A258),1)),"")</f>
        <v>Mi-24 attack helicopter</v>
      </c>
      <c r="AQ258" s="1194">
        <f>VLOOKUP($I258,'Price List, Weapons &amp; Items'!B:L,COLUMN('Price List, Weapons &amp; Items'!$L$11)-1,0)</f>
        <v>2</v>
      </c>
      <c r="AR258" s="1194">
        <f t="shared" si="57"/>
        <v>1</v>
      </c>
      <c r="AS258" s="1194">
        <f t="shared" si="58"/>
        <v>1</v>
      </c>
      <c r="AT258" s="1194">
        <f t="shared" si="59"/>
        <v>1</v>
      </c>
      <c r="AU258" s="1194" t="str">
        <f t="shared" si="60"/>
        <v>.</v>
      </c>
      <c r="AV258" s="1194" t="str">
        <f t="shared" ref="AV258:AV321" si="65">IF(AND(_xlfn.ISFORMULA(R258),_xlfn.ISFORMULA(S258),_xlfn.ISFORMULA(T258))=TRUE,".",1)</f>
        <v>.</v>
      </c>
      <c r="AW258" s="1194" t="str">
        <f t="shared" si="61"/>
        <v>.</v>
      </c>
      <c r="AX258" s="1194">
        <f>IFERROR(VLOOKUP(B258,'Share, Heavy Weapons to Ukraine'!B:Z,COLUMN('Share, Heavy Weapons to Ukraine'!C268)-1,0),0)</f>
        <v>0</v>
      </c>
      <c r="AY258" s="1194">
        <f>VLOOKUP('Bilateral Assistance, MAIN DATA'!B258,'Country Summary (€)'!B:F,COLUMN('Country Summary (€)'!C269)-1,FALSE)</f>
        <v>1</v>
      </c>
      <c r="AZ258" s="1194" t="str">
        <f>IF(AND(AD258=1,D258="Military",H258&lt;&gt;"Not given")=TRUE,IF(SUMIFS(P:P,A:A,A258)&gt;0,ABS((SUMIFS(P:P,A:A,A258)/VLOOKUP("USD",'Exchange Rates'!B:C,2,0)))/S258,"."),".")</f>
        <v>.</v>
      </c>
      <c r="BA258" s="1196" t="str">
        <f>IF(AND(AD258=1,D258="Military",H258&lt;&gt;"Not given")=TRUE,IF(SUMIFS(P:P,A:A,A258)&gt;0,IF((ABS((SUMIFS(P:P,A:A,A258)/VLOOKUP("USD",'Exchange Rates'!B:C,2,0)))/S258)&gt;1,(SUMIFS(P:P,A:A,A258)-S258)/S258,(S258-SUMIFS(P:P,A:A,A258))/SUMIFS(P:P,A:A,A258)),"."),".")</f>
        <v>.</v>
      </c>
    </row>
    <row r="259" spans="1:53" ht="15.95" customHeight="1">
      <c r="A259" s="1180" t="s">
        <v>1091</v>
      </c>
      <c r="B259" s="1180" t="s">
        <v>1012</v>
      </c>
      <c r="C259" s="1181">
        <v>44710</v>
      </c>
      <c r="D259" s="1182" t="s">
        <v>389</v>
      </c>
      <c r="E259" s="1182" t="s">
        <v>443</v>
      </c>
      <c r="F259" s="1183" t="s">
        <v>1092</v>
      </c>
      <c r="G259" s="1184" t="s">
        <v>456</v>
      </c>
      <c r="H259" s="1185">
        <v>30000000</v>
      </c>
      <c r="I259" s="1180" t="s">
        <v>364</v>
      </c>
      <c r="J259" s="1186" t="str">
        <f>VLOOKUP($I259,'Price List, Weapons &amp; Items'!B:C,2,0)</f>
        <v>.</v>
      </c>
      <c r="K259" s="1186" t="str">
        <f>IF(I259=".",I259,VLOOKUP($I259,'Price List, Weapons &amp; Items'!B:D,3,0))</f>
        <v>.</v>
      </c>
      <c r="L259" s="1187">
        <f>VLOOKUP(I259,'Price List, Weapons &amp; Items'!B:E,4,0)</f>
        <v>0</v>
      </c>
      <c r="M259" s="1188" t="s">
        <v>364</v>
      </c>
      <c r="N259" s="1188" t="s">
        <v>364</v>
      </c>
      <c r="O259" s="1188" t="str">
        <f>VLOOKUP($I259,'Price List, Weapons &amp; Items'!B:G,6,0)</f>
        <v>.</v>
      </c>
      <c r="P259" s="1185" t="str">
        <f t="shared" ref="P259:P322" si="66">IF(TYPE(M259)=1,IF(TYPE(O259)=1,M259*O259,"No price"),".")</f>
        <v>.</v>
      </c>
      <c r="Q259" s="1185" t="str">
        <f t="shared" ref="Q259:Q322" si="67">IF(TYPE(N259)=1,IF(TYPE(O259)=1,N259*O259,"No price"),".")</f>
        <v>.</v>
      </c>
      <c r="R259" s="1185">
        <f t="shared" si="63"/>
        <v>30000000</v>
      </c>
      <c r="S259" s="1185">
        <f>IF(AND(AD259=1,R259&lt;&gt;".")=TRUE,R259/VLOOKUP(G259,'Exchange Rates'!B:C,2,0),IF(R259=".",".",""))</f>
        <v>27603974.972396024</v>
      </c>
      <c r="T259" s="1185">
        <f>IF(AD259=1,IF(AF259="Value is not given at all",".",IF(AF259="Value is given by the source",S259,IF(AF259="Value is calculated with prices",(IF(SUMIFS(Q:Q,A:A,A259)&gt;0,SUMIFS(Q:Q,A:A,A259),"."))/VLOOKUP("USD",'Exchange Rates'!B:C,2,0),"Error with coding"))),"")</f>
        <v>27603974.972396024</v>
      </c>
      <c r="U259" s="1184" t="s">
        <v>675</v>
      </c>
      <c r="V259" s="971" t="s">
        <v>1039</v>
      </c>
      <c r="W259" s="980" t="s">
        <v>1093</v>
      </c>
      <c r="X259" s="1190" t="s">
        <v>364</v>
      </c>
      <c r="Y259" s="1219" t="s">
        <v>364</v>
      </c>
      <c r="Z259" s="1184">
        <v>0</v>
      </c>
      <c r="AA259" s="1194">
        <v>0</v>
      </c>
      <c r="AB259" s="991" t="s">
        <v>1094</v>
      </c>
      <c r="AC259" s="1192" t="str">
        <f>""</f>
        <v/>
      </c>
      <c r="AD259" s="985">
        <v>1</v>
      </c>
      <c r="AE259" s="985" t="s">
        <v>368</v>
      </c>
      <c r="AF259" s="985" t="s">
        <v>368</v>
      </c>
      <c r="AG259" s="985">
        <v>1</v>
      </c>
      <c r="AH259" s="1193">
        <v>5</v>
      </c>
      <c r="AI259" s="1193">
        <v>0</v>
      </c>
      <c r="AJ259" s="1193">
        <f>VLOOKUP($I259,'Price List, Weapons &amp; Items'!B:F,5,0)</f>
        <v>0</v>
      </c>
      <c r="AK259" s="1193">
        <f t="shared" ref="AK259:AK322" si="68">IF(AND(AJ259=1,M259="undisclosed")=TRUE,1,0)</f>
        <v>0</v>
      </c>
      <c r="AL259" s="1193">
        <f t="shared" ref="AL259:AL322" si="69">IF(AND(AJ259=1,N259="undisclosed")=TRUE,1,0)</f>
        <v>0</v>
      </c>
      <c r="AM259" s="1193">
        <f t="shared" ref="AM259:AM322" si="70">IFERROR(IF(SEARCH("ammuni",I259,1)&gt;0,1,0),0)</f>
        <v>0</v>
      </c>
      <c r="AN259" s="1194" t="str">
        <f>VLOOKUP($I259,'Price List, Weapons &amp; Items'!B:L,COLUMN('Price List, Weapons &amp; Items'!$J$11)-1,0)</f>
        <v>.</v>
      </c>
      <c r="AO259" s="1194" t="str">
        <f>IF(I259=".",".",VLOOKUP($I259,'Price List, Weapons &amp; Items'!B:J,3,0))</f>
        <v>.</v>
      </c>
      <c r="AP259" s="1195" t="str">
        <f t="shared" ca="1" si="64"/>
        <v>.</v>
      </c>
      <c r="AQ259" s="1194">
        <f>VLOOKUP($I259,'Price List, Weapons &amp; Items'!B:L,COLUMN('Price List, Weapons &amp; Items'!$L$11)-1,0)</f>
        <v>0</v>
      </c>
      <c r="AR259" s="1194">
        <f t="shared" ref="AR259:AR322" si="71">IF(U259="Yes",1,0)</f>
        <v>0</v>
      </c>
      <c r="AS259" s="1194">
        <f t="shared" ref="AS259:AS322" si="72">IF(D259="Military",IF(OR(IFERROR(SEARCH("equipment",E259,1),0)&gt;0,IFERROR(SEARCH("weapons",E259,1),0)&gt;0),1,0),0)</f>
        <v>1</v>
      </c>
      <c r="AT259" s="1194">
        <f t="shared" ref="AT259:AT322" si="73">IFERROR(IF(VALUE(TEXT(C259,"mm"))=IF(AH259&gt;12,AH259-12,AH259),".",IF(TEXT(C259,"mm")="01",".",1)),"Value is not in date format")</f>
        <v>1</v>
      </c>
      <c r="AU259" s="1194" t="str">
        <f t="shared" ref="AU259:AU322" si="74">IF(AND(A259=A258,C259=C258)=TRUE,IF(F259=F258,".","1"),".")</f>
        <v>.</v>
      </c>
      <c r="AV259" s="1194" t="str">
        <f t="shared" si="65"/>
        <v>.</v>
      </c>
      <c r="AW259" s="1194" t="str">
        <f t="shared" ref="AW259:AW322" si="75">IF(T259&lt;&gt;".",IF(T259&gt;S259,1,"."),".")</f>
        <v>.</v>
      </c>
      <c r="AX259" s="1194">
        <f>IFERROR(VLOOKUP(B259,'Share, Heavy Weapons to Ukraine'!B:Z,COLUMN('Share, Heavy Weapons to Ukraine'!C269)-1,0),0)</f>
        <v>0</v>
      </c>
      <c r="AY259" s="1194">
        <f>VLOOKUP('Bilateral Assistance, MAIN DATA'!B259,'Country Summary (€)'!B:F,COLUMN('Country Summary (€)'!C270)-1,FALSE)</f>
        <v>1</v>
      </c>
      <c r="AZ259" s="1194" t="str">
        <f>IF(AND(AD259=1,D259="Military",H259&lt;&gt;"Not given")=TRUE,IF(SUMIFS(P:P,A:A,A259)&gt;0,ABS((SUMIFS(P:P,A:A,A259)/VLOOKUP("USD",'Exchange Rates'!B:C,2,0)))/S259,"."),".")</f>
        <v>.</v>
      </c>
      <c r="BA259" s="1196" t="str">
        <f>IF(AND(AD259=1,D259="Military",H259&lt;&gt;"Not given")=TRUE,IF(SUMIFS(P:P,A:A,A259)&gt;0,IF((ABS((SUMIFS(P:P,A:A,A259)/VLOOKUP("USD",'Exchange Rates'!B:C,2,0)))/S259)&gt;1,(SUMIFS(P:P,A:A,A259)-S259)/S259,(S259-SUMIFS(P:P,A:A,A259))/SUMIFS(P:P,A:A,A259)),"."),".")</f>
        <v>.</v>
      </c>
    </row>
    <row r="260" spans="1:53" ht="15.95" customHeight="1">
      <c r="A260" s="1180" t="s">
        <v>1095</v>
      </c>
      <c r="B260" s="1180" t="s">
        <v>1012</v>
      </c>
      <c r="C260" s="1181">
        <v>44839</v>
      </c>
      <c r="D260" s="1182" t="s">
        <v>389</v>
      </c>
      <c r="E260" s="1182" t="s">
        <v>390</v>
      </c>
      <c r="F260" s="1183" t="s">
        <v>1096</v>
      </c>
      <c r="G260" s="1184" t="s">
        <v>1014</v>
      </c>
      <c r="H260" s="1185">
        <v>400000000</v>
      </c>
      <c r="I260" s="1190" t="s">
        <v>602</v>
      </c>
      <c r="J260" s="1186" t="str">
        <f>VLOOKUP($I260,'Price List, Weapons &amp; Items'!B:C,2,0)</f>
        <v>Ammunition</v>
      </c>
      <c r="K260" s="1186" t="str">
        <f>IF(I260=".",I260,VLOOKUP($I260,'Price List, Weapons &amp; Items'!B:D,3,0))</f>
        <v>Military equipment</v>
      </c>
      <c r="L260" s="1187">
        <f>VLOOKUP(I260,'Price List, Weapons &amp; Items'!B:E,4,0)</f>
        <v>0</v>
      </c>
      <c r="M260" s="1188">
        <v>1500000</v>
      </c>
      <c r="N260" s="1188" t="s">
        <v>374</v>
      </c>
      <c r="O260" s="1188" t="str">
        <f>VLOOKUP($I260,'Price List, Weapons &amp; Items'!B:G,6,0)</f>
        <v>.</v>
      </c>
      <c r="P260" s="1185" t="str">
        <f t="shared" si="66"/>
        <v>No price</v>
      </c>
      <c r="Q260" s="1185" t="str">
        <f t="shared" si="67"/>
        <v>.</v>
      </c>
      <c r="R260" s="1185">
        <f t="shared" si="63"/>
        <v>400000000</v>
      </c>
      <c r="S260" s="1185">
        <f>IF(AND(AD260=1,R260&lt;&gt;".")=TRUE,R260/VLOOKUP(G260,'Exchange Rates'!B:C,2,0),IF(R260=".",".",""))</f>
        <v>16952744.2254715</v>
      </c>
      <c r="T260" s="1185">
        <f>IF(AD260=1,IF(AF260="Value is not given at all",".",IF(AF260="Value is given by the source",S260,IF(AF260="Value is calculated with prices",(IF(SUMIFS(Q:Q,A:A,A260)&gt;0,SUMIFS(Q:Q,A:A,A260),"."))/VLOOKUP("USD",'Exchange Rates'!B:C,2,0),"Error with coding"))),"")</f>
        <v>16952744.2254715</v>
      </c>
      <c r="U260" s="1184" t="s">
        <v>365</v>
      </c>
      <c r="V260" s="1002" t="s">
        <v>1072</v>
      </c>
      <c r="W260" s="964" t="s">
        <v>1094</v>
      </c>
      <c r="X260" s="1011" t="s">
        <v>1097</v>
      </c>
      <c r="Y260" s="1010" t="s">
        <v>1098</v>
      </c>
      <c r="Z260" s="1184">
        <v>0</v>
      </c>
      <c r="AA260" s="1194">
        <v>0</v>
      </c>
      <c r="AB260" s="1012" t="s">
        <v>1072</v>
      </c>
      <c r="AC260" s="1192" t="str">
        <f>""</f>
        <v/>
      </c>
      <c r="AD260" s="985">
        <v>1</v>
      </c>
      <c r="AE260" s="985" t="s">
        <v>368</v>
      </c>
      <c r="AF260" s="985" t="s">
        <v>368</v>
      </c>
      <c r="AG260" s="985">
        <v>1</v>
      </c>
      <c r="AH260" s="1193">
        <v>10</v>
      </c>
      <c r="AI260" s="1193">
        <v>0</v>
      </c>
      <c r="AJ260" s="1193">
        <f>VLOOKUP($I260,'Price List, Weapons &amp; Items'!B:F,5,0)</f>
        <v>0</v>
      </c>
      <c r="AK260" s="1193">
        <f t="shared" si="68"/>
        <v>0</v>
      </c>
      <c r="AL260" s="1193">
        <f t="shared" si="69"/>
        <v>0</v>
      </c>
      <c r="AM260" s="1193">
        <f t="shared" si="70"/>
        <v>1</v>
      </c>
      <c r="AN260" s="1194" t="str">
        <f>VLOOKUP($I260,'Price List, Weapons &amp; Items'!B:L,COLUMN('Price List, Weapons &amp; Items'!$J$11)-1,0)</f>
        <v>.</v>
      </c>
      <c r="AO260" s="1194" t="str">
        <f>IF(I260=".",".",VLOOKUP($I260,'Price List, Weapons &amp; Items'!B:J,3,0))</f>
        <v>Military equipment</v>
      </c>
      <c r="AP260" s="1195" t="str">
        <f t="shared" ca="1" si="64"/>
        <v>ammunition</v>
      </c>
      <c r="AQ260" s="1194">
        <f>VLOOKUP($I260,'Price List, Weapons &amp; Items'!B:L,COLUMN('Price List, Weapons &amp; Items'!$L$11)-1,0)</f>
        <v>0</v>
      </c>
      <c r="AR260" s="1194">
        <f t="shared" si="71"/>
        <v>1</v>
      </c>
      <c r="AS260" s="1194">
        <f t="shared" si="72"/>
        <v>1</v>
      </c>
      <c r="AT260" s="1194">
        <f t="shared" si="73"/>
        <v>1</v>
      </c>
      <c r="AU260" s="1194" t="str">
        <f t="shared" si="74"/>
        <v>.</v>
      </c>
      <c r="AV260" s="1194" t="str">
        <f t="shared" si="65"/>
        <v>.</v>
      </c>
      <c r="AW260" s="1194" t="str">
        <f t="shared" si="75"/>
        <v>.</v>
      </c>
      <c r="AX260" s="1194">
        <f>IFERROR(VLOOKUP(B260,'Share, Heavy Weapons to Ukraine'!B:Z,COLUMN('Share, Heavy Weapons to Ukraine'!C270)-1,0),0)</f>
        <v>0</v>
      </c>
      <c r="AY260" s="1194">
        <f>VLOOKUP('Bilateral Assistance, MAIN DATA'!B260,'Country Summary (€)'!B:F,COLUMN('Country Summary (€)'!C271)-1,FALSE)</f>
        <v>1</v>
      </c>
      <c r="AZ260" s="1194">
        <f>IF(AND(AD260=1,D260="Military",H260&lt;&gt;"Not given")=TRUE,IF(SUMIFS(P:P,A:A,A260)&gt;0,ABS((SUMIFS(P:P,A:A,A260)/VLOOKUP("USD",'Exchange Rates'!B:C,2,0)))/S260,"."),".")</f>
        <v>4233.5917105263152</v>
      </c>
      <c r="BA260" s="1196">
        <f>IF(AND(AD260=1,D260="Military",H260&lt;&gt;"Not given")=TRUE,IF(SUMIFS(P:P,A:A,A260)&gt;0,IF((ABS((SUMIFS(P:P,A:A,A260)/VLOOKUP("USD",'Exchange Rates'!B:C,2,0)))/S260)&gt;1,(SUMIFS(P:P,A:A,A260)-S260)/S260,(S260-SUMIFS(P:P,A:A,A260))/SUMIFS(P:P,A:A,A260)),"."),".")</f>
        <v>4600.0674710000003</v>
      </c>
    </row>
    <row r="261" spans="1:53" ht="15.95" customHeight="1">
      <c r="A261" s="1180" t="s">
        <v>1095</v>
      </c>
      <c r="B261" s="1180" t="s">
        <v>1012</v>
      </c>
      <c r="C261" s="1181">
        <v>44839</v>
      </c>
      <c r="D261" s="1182" t="s">
        <v>389</v>
      </c>
      <c r="E261" s="1182" t="s">
        <v>390</v>
      </c>
      <c r="F261" s="1183" t="s">
        <v>1096</v>
      </c>
      <c r="G261" s="1184" t="s">
        <v>1014</v>
      </c>
      <c r="H261" s="1185">
        <v>400000000</v>
      </c>
      <c r="I261" s="1190" t="s">
        <v>1099</v>
      </c>
      <c r="J261" s="1186" t="str">
        <f>VLOOKUP($I261,'Price List, Weapons &amp; Items'!B:C,2,0)</f>
        <v>Humanitarian</v>
      </c>
      <c r="K261" s="1186" t="str">
        <f>IF(I261=".",I261,VLOOKUP($I261,'Price List, Weapons &amp; Items'!B:D,3,0))</f>
        <v>Humanitarian</v>
      </c>
      <c r="L261" s="1187">
        <f>VLOOKUP(I261,'Price List, Weapons &amp; Items'!B:E,4,0)</f>
        <v>0</v>
      </c>
      <c r="M261" s="1188">
        <v>900</v>
      </c>
      <c r="N261" s="1188">
        <v>900</v>
      </c>
      <c r="O261" s="1188" t="str">
        <f>VLOOKUP($I261,'Price List, Weapons &amp; Items'!B:G,6,0)</f>
        <v>.</v>
      </c>
      <c r="P261" s="1185" t="str">
        <f t="shared" si="66"/>
        <v>No price</v>
      </c>
      <c r="Q261" s="1185" t="str">
        <f t="shared" si="67"/>
        <v>No price</v>
      </c>
      <c r="R261" s="1185" t="str">
        <f t="shared" si="63"/>
        <v/>
      </c>
      <c r="S261" s="1185" t="str">
        <f>IF(AND(AD261=1,R261&lt;&gt;".")=TRUE,R261/VLOOKUP(G261,'Exchange Rates'!B:C,2,0),IF(R261=".",".",""))</f>
        <v/>
      </c>
      <c r="T261" s="1185" t="str">
        <f>IF(AD261=1,IF(AF261="Value is not given at all",".",IF(AF261="Value is given by the source",S261,IF(AF261="Value is calculated with prices",(IF(SUMIFS(Q:Q,A:A,A261)&gt;0,SUMIFS(Q:Q,A:A,A261),"."))/VLOOKUP("USD",'Exchange Rates'!B:C,2,0),"Error with coding"))),"")</f>
        <v/>
      </c>
      <c r="U261" s="1184" t="s">
        <v>365</v>
      </c>
      <c r="V261" s="1002" t="s">
        <v>1072</v>
      </c>
      <c r="W261" s="964" t="s">
        <v>1094</v>
      </c>
      <c r="X261" s="1011" t="s">
        <v>1097</v>
      </c>
      <c r="Y261" s="1010" t="s">
        <v>1098</v>
      </c>
      <c r="Z261" s="1184">
        <v>0</v>
      </c>
      <c r="AA261" s="1194">
        <v>0</v>
      </c>
      <c r="AB261" s="1012" t="s">
        <v>1072</v>
      </c>
      <c r="AC261" s="1192" t="str">
        <f>""</f>
        <v/>
      </c>
      <c r="AD261" s="985">
        <v>0</v>
      </c>
      <c r="AE261" s="985" t="s">
        <v>368</v>
      </c>
      <c r="AF261" s="985" t="s">
        <v>368</v>
      </c>
      <c r="AG261" s="985">
        <v>1</v>
      </c>
      <c r="AH261" s="1193">
        <v>10</v>
      </c>
      <c r="AI261" s="1193">
        <v>0</v>
      </c>
      <c r="AJ261" s="1193">
        <f>VLOOKUP($I261,'Price List, Weapons &amp; Items'!B:F,5,0)</f>
        <v>0</v>
      </c>
      <c r="AK261" s="1193">
        <f t="shared" si="68"/>
        <v>0</v>
      </c>
      <c r="AL261" s="1193">
        <f t="shared" si="69"/>
        <v>0</v>
      </c>
      <c r="AM261" s="1193">
        <f t="shared" si="70"/>
        <v>0</v>
      </c>
      <c r="AN261" s="1194" t="str">
        <f>VLOOKUP($I261,'Price List, Weapons &amp; Items'!B:L,COLUMN('Price List, Weapons &amp; Items'!$J$11)-1,0)</f>
        <v>.</v>
      </c>
      <c r="AO261" s="1194" t="str">
        <f>IF(I261=".",".",VLOOKUP($I261,'Price List, Weapons &amp; Items'!B:J,3,0))</f>
        <v>Humanitarian</v>
      </c>
      <c r="AP261" s="1195" t="str">
        <f t="shared" ca="1" si="64"/>
        <v/>
      </c>
      <c r="AQ261" s="1194">
        <f>VLOOKUP($I261,'Price List, Weapons &amp; Items'!B:L,COLUMN('Price List, Weapons &amp; Items'!$L$11)-1,0)</f>
        <v>0</v>
      </c>
      <c r="AR261" s="1194">
        <f t="shared" si="71"/>
        <v>1</v>
      </c>
      <c r="AS261" s="1194">
        <f t="shared" si="72"/>
        <v>1</v>
      </c>
      <c r="AT261" s="1194">
        <f t="shared" si="73"/>
        <v>1</v>
      </c>
      <c r="AU261" s="1194" t="str">
        <f t="shared" si="74"/>
        <v>.</v>
      </c>
      <c r="AV261" s="1194" t="str">
        <f t="shared" si="65"/>
        <v>.</v>
      </c>
      <c r="AW261" s="1194" t="str">
        <f t="shared" si="75"/>
        <v>.</v>
      </c>
      <c r="AX261" s="1194">
        <f>IFERROR(VLOOKUP(B261,'Share, Heavy Weapons to Ukraine'!B:Z,COLUMN('Share, Heavy Weapons to Ukraine'!C271)-1,0),0)</f>
        <v>0</v>
      </c>
      <c r="AY261" s="1194">
        <f>VLOOKUP('Bilateral Assistance, MAIN DATA'!B261,'Country Summary (€)'!B:F,COLUMN('Country Summary (€)'!C272)-1,FALSE)</f>
        <v>1</v>
      </c>
      <c r="AZ261" s="1194" t="str">
        <f>IF(AND(AD261=1,D261="Military",H261&lt;&gt;"Not given")=TRUE,IF(SUMIFS(P:P,A:A,A261)&gt;0,ABS((SUMIFS(P:P,A:A,A261)/VLOOKUP("USD",'Exchange Rates'!B:C,2,0)))/S261,"."),".")</f>
        <v>.</v>
      </c>
      <c r="BA261" s="1196" t="str">
        <f>IF(AND(AD261=1,D261="Military",H261&lt;&gt;"Not given")=TRUE,IF(SUMIFS(P:P,A:A,A261)&gt;0,IF((ABS((SUMIFS(P:P,A:A,A261)/VLOOKUP("USD",'Exchange Rates'!B:C,2,0)))/S261)&gt;1,(SUMIFS(P:P,A:A,A261)-S261)/S261,(S261-SUMIFS(P:P,A:A,A261))/SUMIFS(P:P,A:A,A261)),"."),".")</f>
        <v>.</v>
      </c>
    </row>
    <row r="262" spans="1:53" ht="15.95" customHeight="1">
      <c r="A262" s="1180" t="s">
        <v>1095</v>
      </c>
      <c r="B262" s="1180" t="s">
        <v>1012</v>
      </c>
      <c r="C262" s="1181">
        <v>44839</v>
      </c>
      <c r="D262" s="1182" t="s">
        <v>389</v>
      </c>
      <c r="E262" s="1182" t="s">
        <v>390</v>
      </c>
      <c r="F262" s="1183" t="s">
        <v>1096</v>
      </c>
      <c r="G262" s="1184" t="s">
        <v>1014</v>
      </c>
      <c r="H262" s="1185">
        <v>400000000</v>
      </c>
      <c r="I262" s="1183" t="s">
        <v>1100</v>
      </c>
      <c r="J262" s="1186" t="str">
        <f>VLOOKUP($I262,'Price List, Weapons &amp; Items'!B:C,2,0)</f>
        <v>Portable defence system</v>
      </c>
      <c r="K262" s="1186" t="str">
        <f>IF(I262=".",I262,VLOOKUP($I262,'Price List, Weapons &amp; Items'!B:D,3,0))</f>
        <v>Light Anti-armor Weapon (LAW)</v>
      </c>
      <c r="L262" s="1187">
        <f>VLOOKUP(I262,'Price List, Weapons &amp; Items'!B:E,4,0)</f>
        <v>0</v>
      </c>
      <c r="M262" s="1188">
        <v>6</v>
      </c>
      <c r="N262" s="1188">
        <v>6</v>
      </c>
      <c r="O262" s="1188">
        <f>VLOOKUP($I262,'Price List, Weapons &amp; Items'!B:G,6,0)</f>
        <v>120000</v>
      </c>
      <c r="P262" s="1185">
        <f t="shared" si="66"/>
        <v>720000</v>
      </c>
      <c r="Q262" s="1185">
        <f t="shared" si="67"/>
        <v>720000</v>
      </c>
      <c r="R262" s="1185" t="str">
        <f t="shared" si="63"/>
        <v/>
      </c>
      <c r="S262" s="1185" t="str">
        <f>IF(AND(AD262=1,R262&lt;&gt;".")=TRUE,R262/VLOOKUP(G262,'Exchange Rates'!B:C,2,0),IF(R262=".",".",""))</f>
        <v/>
      </c>
      <c r="T262" s="1185" t="str">
        <f>IF(AD262=1,IF(AF262="Value is not given at all",".",IF(AF262="Value is given by the source",S262,IF(AF262="Value is calculated with prices",(IF(SUMIFS(Q:Q,A:A,A262)&gt;0,SUMIFS(Q:Q,A:A,A262),"."))/VLOOKUP("USD",'Exchange Rates'!B:C,2,0),"Error with coding"))),"")</f>
        <v/>
      </c>
      <c r="U262" s="1184" t="s">
        <v>365</v>
      </c>
      <c r="V262" s="1002" t="s">
        <v>1072</v>
      </c>
      <c r="W262" s="964" t="s">
        <v>1094</v>
      </c>
      <c r="X262" s="1011" t="s">
        <v>1097</v>
      </c>
      <c r="Y262" s="1010" t="s">
        <v>1098</v>
      </c>
      <c r="Z262" s="1184">
        <v>0</v>
      </c>
      <c r="AA262" s="1194">
        <v>0</v>
      </c>
      <c r="AB262" s="1012" t="s">
        <v>1072</v>
      </c>
      <c r="AC262" s="1192" t="str">
        <f>""</f>
        <v/>
      </c>
      <c r="AD262" s="985">
        <v>0</v>
      </c>
      <c r="AE262" s="985" t="s">
        <v>368</v>
      </c>
      <c r="AF262" s="985" t="s">
        <v>368</v>
      </c>
      <c r="AG262" s="985">
        <v>1</v>
      </c>
      <c r="AH262" s="1193">
        <v>10</v>
      </c>
      <c r="AI262" s="1193">
        <v>0</v>
      </c>
      <c r="AJ262" s="1193">
        <f>VLOOKUP($I262,'Price List, Weapons &amp; Items'!B:F,5,0)</f>
        <v>1</v>
      </c>
      <c r="AK262" s="1193">
        <f t="shared" si="68"/>
        <v>0</v>
      </c>
      <c r="AL262" s="1193">
        <f t="shared" si="69"/>
        <v>0</v>
      </c>
      <c r="AM262" s="1193">
        <f t="shared" si="70"/>
        <v>0</v>
      </c>
      <c r="AN262" s="1194" t="str">
        <f>VLOOKUP($I262,'Price List, Weapons &amp; Items'!B:L,COLUMN('Price List, Weapons &amp; Items'!$J$11)-1,0)</f>
        <v>.</v>
      </c>
      <c r="AO262" s="1194" t="str">
        <f>IF(I262=".",".",VLOOKUP($I262,'Price List, Weapons &amp; Items'!B:J,3,0))</f>
        <v>Light Anti-armor Weapon (LAW)</v>
      </c>
      <c r="AP262" s="1195" t="str">
        <f t="shared" ca="1" si="64"/>
        <v/>
      </c>
      <c r="AQ262" s="1194">
        <f>VLOOKUP($I262,'Price List, Weapons &amp; Items'!B:L,COLUMN('Price List, Weapons &amp; Items'!$L$11)-1,0)</f>
        <v>2</v>
      </c>
      <c r="AR262" s="1194">
        <f t="shared" si="71"/>
        <v>1</v>
      </c>
      <c r="AS262" s="1194">
        <f t="shared" si="72"/>
        <v>1</v>
      </c>
      <c r="AT262" s="1194">
        <f t="shared" si="73"/>
        <v>1</v>
      </c>
      <c r="AU262" s="1194" t="str">
        <f t="shared" si="74"/>
        <v>.</v>
      </c>
      <c r="AV262" s="1194" t="str">
        <f t="shared" si="65"/>
        <v>.</v>
      </c>
      <c r="AW262" s="1194" t="str">
        <f t="shared" si="75"/>
        <v>.</v>
      </c>
      <c r="AX262" s="1194">
        <f>IFERROR(VLOOKUP(B262,'Share, Heavy Weapons to Ukraine'!B:Z,COLUMN('Share, Heavy Weapons to Ukraine'!C272)-1,0),0)</f>
        <v>0</v>
      </c>
      <c r="AY262" s="1194">
        <f>VLOOKUP('Bilateral Assistance, MAIN DATA'!B262,'Country Summary (€)'!B:F,COLUMN('Country Summary (€)'!C273)-1,FALSE)</f>
        <v>1</v>
      </c>
      <c r="AZ262" s="1194" t="str">
        <f>IF(AND(AD262=1,D262="Military",H262&lt;&gt;"Not given")=TRUE,IF(SUMIFS(P:P,A:A,A262)&gt;0,ABS((SUMIFS(P:P,A:A,A262)/VLOOKUP("USD",'Exchange Rates'!B:C,2,0)))/S262,"."),".")</f>
        <v>.</v>
      </c>
      <c r="BA262" s="1196" t="str">
        <f>IF(AND(AD262=1,D262="Military",H262&lt;&gt;"Not given")=TRUE,IF(SUMIFS(P:P,A:A,A262)&gt;0,IF((ABS((SUMIFS(P:P,A:A,A262)/VLOOKUP("USD",'Exchange Rates'!B:C,2,0)))/S262)&gt;1,(SUMIFS(P:P,A:A,A262)-S262)/S262,(S262-SUMIFS(P:P,A:A,A262))/SUMIFS(P:P,A:A,A262)),"."),".")</f>
        <v>.</v>
      </c>
    </row>
    <row r="263" spans="1:53" ht="15.95" customHeight="1">
      <c r="A263" s="1180" t="s">
        <v>1095</v>
      </c>
      <c r="B263" s="1180" t="s">
        <v>1012</v>
      </c>
      <c r="C263" s="1181">
        <v>44839</v>
      </c>
      <c r="D263" s="1182" t="s">
        <v>389</v>
      </c>
      <c r="E263" s="1182" t="s">
        <v>390</v>
      </c>
      <c r="F263" s="1183" t="s">
        <v>1096</v>
      </c>
      <c r="G263" s="1184" t="s">
        <v>1014</v>
      </c>
      <c r="H263" s="1185">
        <v>400000000</v>
      </c>
      <c r="I263" s="1183" t="s">
        <v>1101</v>
      </c>
      <c r="J263" s="1186" t="str">
        <f>VLOOKUP($I263,'Price List, Weapons &amp; Items'!B:C,2,0)</f>
        <v>Ammunition for heavy weapon</v>
      </c>
      <c r="K263" s="1186" t="str">
        <f>IF(I263=".",I263,VLOOKUP($I263,'Price List, Weapons &amp; Items'!B:D,3,0))</f>
        <v>howitzer ammunition</v>
      </c>
      <c r="L263" s="1187">
        <f>VLOOKUP(I263,'Price List, Weapons &amp; Items'!B:E,4,0)</f>
        <v>0</v>
      </c>
      <c r="M263" s="1188" t="s">
        <v>374</v>
      </c>
      <c r="N263" s="1188" t="s">
        <v>374</v>
      </c>
      <c r="O263" s="1188">
        <f>VLOOKUP($I263,'Price List, Weapons &amp; Items'!B:G,6,0)</f>
        <v>2000</v>
      </c>
      <c r="P263" s="1185" t="str">
        <f t="shared" si="66"/>
        <v>.</v>
      </c>
      <c r="Q263" s="1185" t="str">
        <f t="shared" si="67"/>
        <v>.</v>
      </c>
      <c r="R263" s="1185" t="str">
        <f t="shared" si="63"/>
        <v/>
      </c>
      <c r="S263" s="1185" t="str">
        <f>IF(AND(AD263=1,R263&lt;&gt;".")=TRUE,R263/VLOOKUP(G263,'Exchange Rates'!B:C,2,0),IF(R263=".",".",""))</f>
        <v/>
      </c>
      <c r="T263" s="1185" t="str">
        <f>IF(AD263=1,IF(AF263="Value is not given at all",".",IF(AF263="Value is given by the source",S263,IF(AF263="Value is calculated with prices",(IF(SUMIFS(Q:Q,A:A,A263)&gt;0,SUMIFS(Q:Q,A:A,A263),"."))/VLOOKUP("USD",'Exchange Rates'!B:C,2,0),"Error with coding"))),"")</f>
        <v/>
      </c>
      <c r="U263" s="1184" t="s">
        <v>365</v>
      </c>
      <c r="V263" s="1002" t="s">
        <v>1072</v>
      </c>
      <c r="W263" s="964" t="s">
        <v>1094</v>
      </c>
      <c r="X263" s="1011" t="s">
        <v>1097</v>
      </c>
      <c r="Y263" s="1010" t="s">
        <v>1098</v>
      </c>
      <c r="Z263" s="1184">
        <v>0</v>
      </c>
      <c r="AA263" s="1194">
        <v>0</v>
      </c>
      <c r="AB263" s="1012" t="s">
        <v>1072</v>
      </c>
      <c r="AC263" s="1192" t="str">
        <f>""</f>
        <v/>
      </c>
      <c r="AD263" s="985">
        <v>0</v>
      </c>
      <c r="AE263" s="985" t="s">
        <v>368</v>
      </c>
      <c r="AF263" s="985" t="s">
        <v>368</v>
      </c>
      <c r="AG263" s="985">
        <v>1</v>
      </c>
      <c r="AH263" s="1193">
        <v>10</v>
      </c>
      <c r="AI263" s="1193">
        <v>0</v>
      </c>
      <c r="AJ263" s="1193">
        <f>VLOOKUP($I263,'Price List, Weapons &amp; Items'!B:F,5,0)</f>
        <v>0</v>
      </c>
      <c r="AK263" s="1193">
        <f t="shared" si="68"/>
        <v>0</v>
      </c>
      <c r="AL263" s="1193">
        <f t="shared" si="69"/>
        <v>0</v>
      </c>
      <c r="AM263" s="1193">
        <f t="shared" si="70"/>
        <v>1</v>
      </c>
      <c r="AN263" s="1194" t="str">
        <f>VLOOKUP($I263,'Price List, Weapons &amp; Items'!B:L,COLUMN('Price List, Weapons &amp; Items'!$J$11)-1,0)</f>
        <v>Media reports (incl. social media)</v>
      </c>
      <c r="AO263" s="1194" t="str">
        <f>IF(I263=".",".",VLOOKUP($I263,'Price List, Weapons &amp; Items'!B:J,3,0))</f>
        <v>howitzer ammunition</v>
      </c>
      <c r="AP263" s="1195" t="str">
        <f t="shared" ca="1" si="64"/>
        <v/>
      </c>
      <c r="AQ263" s="1194">
        <f>VLOOKUP($I263,'Price List, Weapons &amp; Items'!B:L,COLUMN('Price List, Weapons &amp; Items'!$L$11)-1,0)</f>
        <v>2</v>
      </c>
      <c r="AR263" s="1194">
        <f t="shared" si="71"/>
        <v>1</v>
      </c>
      <c r="AS263" s="1194">
        <f t="shared" si="72"/>
        <v>1</v>
      </c>
      <c r="AT263" s="1194">
        <f t="shared" si="73"/>
        <v>1</v>
      </c>
      <c r="AU263" s="1194" t="str">
        <f t="shared" si="74"/>
        <v>.</v>
      </c>
      <c r="AV263" s="1194" t="str">
        <f t="shared" si="65"/>
        <v>.</v>
      </c>
      <c r="AW263" s="1194" t="str">
        <f t="shared" si="75"/>
        <v>.</v>
      </c>
      <c r="AX263" s="1194">
        <f>IFERROR(VLOOKUP(B263,'Share, Heavy Weapons to Ukraine'!B:Z,COLUMN('Share, Heavy Weapons to Ukraine'!C273)-1,0),0)</f>
        <v>0</v>
      </c>
      <c r="AY263" s="1194">
        <f>VLOOKUP('Bilateral Assistance, MAIN DATA'!B263,'Country Summary (€)'!B:F,COLUMN('Country Summary (€)'!C274)-1,FALSE)</f>
        <v>1</v>
      </c>
      <c r="AZ263" s="1194" t="str">
        <f>IF(AND(AD263=1,D263="Military",H263&lt;&gt;"Not given")=TRUE,IF(SUMIFS(P:P,A:A,A263)&gt;0,ABS((SUMIFS(P:P,A:A,A263)/VLOOKUP("USD",'Exchange Rates'!B:C,2,0)))/S263,"."),".")</f>
        <v>.</v>
      </c>
      <c r="BA263" s="1196" t="str">
        <f>IF(AND(AD263=1,D263="Military",H263&lt;&gt;"Not given")=TRUE,IF(SUMIFS(P:P,A:A,A263)&gt;0,IF((ABS((SUMIFS(P:P,A:A,A263)/VLOOKUP("USD",'Exchange Rates'!B:C,2,0)))/S263)&gt;1,(SUMIFS(P:P,A:A,A263)-S263)/S263,(S263-SUMIFS(P:P,A:A,A263))/SUMIFS(P:P,A:A,A263)),"."),".")</f>
        <v>.</v>
      </c>
    </row>
    <row r="264" spans="1:53" ht="15.95" customHeight="1">
      <c r="A264" s="1180" t="s">
        <v>1095</v>
      </c>
      <c r="B264" s="1180" t="s">
        <v>1012</v>
      </c>
      <c r="C264" s="1181">
        <v>44839</v>
      </c>
      <c r="D264" s="1182" t="s">
        <v>389</v>
      </c>
      <c r="E264" s="1182" t="s">
        <v>390</v>
      </c>
      <c r="F264" s="1183" t="s">
        <v>1096</v>
      </c>
      <c r="G264" s="1184" t="s">
        <v>1014</v>
      </c>
      <c r="H264" s="1185">
        <v>400000000</v>
      </c>
      <c r="I264" s="1190" t="s">
        <v>1102</v>
      </c>
      <c r="J264" s="1186" t="str">
        <f>VLOOKUP($I264,'Price List, Weapons &amp; Items'!B:C,2,0)</f>
        <v>Portable defence system</v>
      </c>
      <c r="K264" s="1186" t="str">
        <f>IF(I264=".",I264,VLOOKUP($I264,'Price List, Weapons &amp; Items'!B:D,3,0))</f>
        <v>Light Anti-armor Weapon (LAW)</v>
      </c>
      <c r="L264" s="1187">
        <f>VLOOKUP(I264,'Price List, Weapons &amp; Items'!B:E,4,0)</f>
        <v>0</v>
      </c>
      <c r="M264" s="1188" t="s">
        <v>374</v>
      </c>
      <c r="N264" s="1188" t="s">
        <v>374</v>
      </c>
      <c r="O264" s="1188">
        <f>VLOOKUP($I264,'Price List, Weapons &amp; Items'!B:G,6,0)</f>
        <v>40000</v>
      </c>
      <c r="P264" s="1185" t="str">
        <f t="shared" si="66"/>
        <v>.</v>
      </c>
      <c r="Q264" s="1185" t="str">
        <f t="shared" si="67"/>
        <v>.</v>
      </c>
      <c r="R264" s="1185" t="str">
        <f t="shared" si="63"/>
        <v/>
      </c>
      <c r="S264" s="1185" t="str">
        <f>IF(AND(AD264=1,R264&lt;&gt;".")=TRUE,R264/VLOOKUP(G264,'Exchange Rates'!B:C,2,0),IF(R264=".",".",""))</f>
        <v/>
      </c>
      <c r="T264" s="1185" t="str">
        <f>IF(AD264=1,IF(AF264="Value is not given at all",".",IF(AF264="Value is given by the source",S264,IF(AF264="Value is calculated with prices",(IF(SUMIFS(Q:Q,A:A,A264)&gt;0,SUMIFS(Q:Q,A:A,A264),"."))/VLOOKUP("USD",'Exchange Rates'!B:C,2,0),"Error with coding"))),"")</f>
        <v/>
      </c>
      <c r="U264" s="1184" t="s">
        <v>365</v>
      </c>
      <c r="V264" s="1002" t="s">
        <v>1072</v>
      </c>
      <c r="W264" s="964" t="s">
        <v>1094</v>
      </c>
      <c r="X264" s="1011" t="s">
        <v>1097</v>
      </c>
      <c r="Y264" s="1010" t="s">
        <v>1098</v>
      </c>
      <c r="Z264" s="1184">
        <v>0</v>
      </c>
      <c r="AA264" s="1194">
        <v>0</v>
      </c>
      <c r="AB264" s="1012" t="s">
        <v>1072</v>
      </c>
      <c r="AC264" s="1192" t="str">
        <f>""</f>
        <v/>
      </c>
      <c r="AD264" s="985">
        <v>0</v>
      </c>
      <c r="AE264" s="985" t="s">
        <v>368</v>
      </c>
      <c r="AF264" s="985" t="s">
        <v>368</v>
      </c>
      <c r="AG264" s="985">
        <v>1</v>
      </c>
      <c r="AH264" s="1193">
        <v>10</v>
      </c>
      <c r="AI264" s="1193">
        <v>0</v>
      </c>
      <c r="AJ264" s="1193">
        <f>VLOOKUP($I264,'Price List, Weapons &amp; Items'!B:F,5,0)</f>
        <v>0</v>
      </c>
      <c r="AK264" s="1193">
        <f t="shared" si="68"/>
        <v>0</v>
      </c>
      <c r="AL264" s="1193">
        <f t="shared" si="69"/>
        <v>0</v>
      </c>
      <c r="AM264" s="1193">
        <f t="shared" si="70"/>
        <v>0</v>
      </c>
      <c r="AN264" s="1194" t="str">
        <f>VLOOKUP($I264,'Price List, Weapons &amp; Items'!B:L,COLUMN('Price List, Weapons &amp; Items'!$J$11)-1,0)</f>
        <v>Media reports (incl. social media)</v>
      </c>
      <c r="AO264" s="1194" t="str">
        <f>IF(I264=".",".",VLOOKUP($I264,'Price List, Weapons &amp; Items'!B:J,3,0))</f>
        <v>Light Anti-armor Weapon (LAW)</v>
      </c>
      <c r="AP264" s="1195" t="str">
        <f t="shared" ca="1" si="64"/>
        <v/>
      </c>
      <c r="AQ264" s="1194">
        <f>VLOOKUP($I264,'Price List, Weapons &amp; Items'!B:L,COLUMN('Price List, Weapons &amp; Items'!$L$11)-1,0)</f>
        <v>2</v>
      </c>
      <c r="AR264" s="1194">
        <f t="shared" si="71"/>
        <v>1</v>
      </c>
      <c r="AS264" s="1194">
        <f t="shared" si="72"/>
        <v>1</v>
      </c>
      <c r="AT264" s="1194">
        <f t="shared" si="73"/>
        <v>1</v>
      </c>
      <c r="AU264" s="1194" t="str">
        <f t="shared" si="74"/>
        <v>.</v>
      </c>
      <c r="AV264" s="1194" t="str">
        <f t="shared" si="65"/>
        <v>.</v>
      </c>
      <c r="AW264" s="1194" t="str">
        <f t="shared" si="75"/>
        <v>.</v>
      </c>
      <c r="AX264" s="1194">
        <f>IFERROR(VLOOKUP(B264,'Share, Heavy Weapons to Ukraine'!B:Z,COLUMN('Share, Heavy Weapons to Ukraine'!C274)-1,0),0)</f>
        <v>0</v>
      </c>
      <c r="AY264" s="1194">
        <f>VLOOKUP('Bilateral Assistance, MAIN DATA'!B264,'Country Summary (€)'!B:F,COLUMN('Country Summary (€)'!C275)-1,FALSE)</f>
        <v>1</v>
      </c>
      <c r="AZ264" s="1194" t="str">
        <f>IF(AND(AD264=1,D264="Military",H264&lt;&gt;"Not given")=TRUE,IF(SUMIFS(P:P,A:A,A264)&gt;0,ABS((SUMIFS(P:P,A:A,A264)/VLOOKUP("USD",'Exchange Rates'!B:C,2,0)))/S264,"."),".")</f>
        <v>.</v>
      </c>
      <c r="BA264" s="1196" t="str">
        <f>IF(AND(AD264=1,D264="Military",H264&lt;&gt;"Not given")=TRUE,IF(SUMIFS(P:P,A:A,A264)&gt;0,IF((ABS((SUMIFS(P:P,A:A,A264)/VLOOKUP("USD",'Exchange Rates'!B:C,2,0)))/S264)&gt;1,(SUMIFS(P:P,A:A,A264)-S264)/S264,(S264-SUMIFS(P:P,A:A,A264))/SUMIFS(P:P,A:A,A264)),"."),".")</f>
        <v>.</v>
      </c>
    </row>
    <row r="265" spans="1:53" ht="15.95" customHeight="1">
      <c r="A265" s="1180" t="s">
        <v>1095</v>
      </c>
      <c r="B265" s="1180" t="s">
        <v>1012</v>
      </c>
      <c r="C265" s="1181">
        <v>44839</v>
      </c>
      <c r="D265" s="1182" t="s">
        <v>389</v>
      </c>
      <c r="E265" s="1182" t="s">
        <v>390</v>
      </c>
      <c r="F265" s="1183" t="s">
        <v>1096</v>
      </c>
      <c r="G265" s="1184" t="s">
        <v>1014</v>
      </c>
      <c r="H265" s="1185">
        <v>400000000</v>
      </c>
      <c r="I265" s="1190" t="s">
        <v>1103</v>
      </c>
      <c r="J265" s="1186" t="str">
        <f>VLOOKUP($I265,'Price List, Weapons &amp; Items'!B:C,2,0)</f>
        <v>Ammunition for portable defence system</v>
      </c>
      <c r="K265" s="1186" t="str">
        <f>IF(I265=".",I265,VLOOKUP($I265,'Price List, Weapons &amp; Items'!B:D,3,0))</f>
        <v>Light Anti-armor Weapon (LAW) ammunition</v>
      </c>
      <c r="L265" s="1187">
        <f>VLOOKUP(I265,'Price List, Weapons &amp; Items'!B:E,4,0)</f>
        <v>0</v>
      </c>
      <c r="M265" s="1188">
        <v>1000000</v>
      </c>
      <c r="N265" s="1188">
        <v>1000000</v>
      </c>
      <c r="O265" s="1188">
        <f>VLOOKUP($I265,'Price List, Weapons &amp; Items'!B:G,6,0)</f>
        <v>78000</v>
      </c>
      <c r="P265" s="1185">
        <f t="shared" si="66"/>
        <v>78000000000</v>
      </c>
      <c r="Q265" s="1185">
        <f t="shared" si="67"/>
        <v>78000000000</v>
      </c>
      <c r="R265" s="1185" t="str">
        <f t="shared" si="63"/>
        <v/>
      </c>
      <c r="S265" s="1185" t="str">
        <f>IF(AND(AD265=1,R265&lt;&gt;".")=TRUE,R265/VLOOKUP(G265,'Exchange Rates'!B:C,2,0),IF(R265=".",".",""))</f>
        <v/>
      </c>
      <c r="T265" s="1185" t="str">
        <f>IF(AD265=1,IF(AF265="Value is not given at all",".",IF(AF265="Value is given by the source",S265,IF(AF265="Value is calculated with prices",(IF(SUMIFS(Q:Q,A:A,A265)&gt;0,SUMIFS(Q:Q,A:A,A265),"."))/VLOOKUP("USD",'Exchange Rates'!B:C,2,0),"Error with coding"))),"")</f>
        <v/>
      </c>
      <c r="U265" s="1184" t="s">
        <v>365</v>
      </c>
      <c r="V265" s="1002" t="s">
        <v>1072</v>
      </c>
      <c r="W265" s="964" t="s">
        <v>1094</v>
      </c>
      <c r="X265" s="1011" t="s">
        <v>1097</v>
      </c>
      <c r="Y265" s="1010" t="s">
        <v>1098</v>
      </c>
      <c r="Z265" s="1184">
        <v>0</v>
      </c>
      <c r="AA265" s="1194">
        <v>0</v>
      </c>
      <c r="AB265" s="1012" t="s">
        <v>1072</v>
      </c>
      <c r="AC265" s="1192" t="str">
        <f>""</f>
        <v/>
      </c>
      <c r="AD265" s="985">
        <v>0</v>
      </c>
      <c r="AE265" s="985" t="s">
        <v>368</v>
      </c>
      <c r="AF265" s="985" t="s">
        <v>368</v>
      </c>
      <c r="AG265" s="985">
        <v>1</v>
      </c>
      <c r="AH265" s="1193">
        <v>10</v>
      </c>
      <c r="AI265" s="1193">
        <v>0</v>
      </c>
      <c r="AJ265" s="1193">
        <f>VLOOKUP($I265,'Price List, Weapons &amp; Items'!B:F,5,0)</f>
        <v>0</v>
      </c>
      <c r="AK265" s="1193">
        <f t="shared" si="68"/>
        <v>0</v>
      </c>
      <c r="AL265" s="1193">
        <f t="shared" si="69"/>
        <v>0</v>
      </c>
      <c r="AM265" s="1193">
        <f t="shared" si="70"/>
        <v>0</v>
      </c>
      <c r="AN265" s="1194" t="str">
        <f>VLOOKUP($I265,'Price List, Weapons &amp; Items'!B:L,COLUMN('Price List, Weapons &amp; Items'!$J$11)-1,0)</f>
        <v>Military media (incl. websites)</v>
      </c>
      <c r="AO265" s="1194" t="str">
        <f>IF(I265=".",".",VLOOKUP($I265,'Price List, Weapons &amp; Items'!B:J,3,0))</f>
        <v>Light Anti-armor Weapon (LAW) ammunition</v>
      </c>
      <c r="AP265" s="1195" t="str">
        <f t="shared" ca="1" si="64"/>
        <v/>
      </c>
      <c r="AQ265" s="1194">
        <f>VLOOKUP($I265,'Price List, Weapons &amp; Items'!B:L,COLUMN('Price List, Weapons &amp; Items'!$L$11)-1,0)</f>
        <v>2</v>
      </c>
      <c r="AR265" s="1194">
        <f t="shared" si="71"/>
        <v>1</v>
      </c>
      <c r="AS265" s="1194">
        <f t="shared" si="72"/>
        <v>1</v>
      </c>
      <c r="AT265" s="1194">
        <f t="shared" si="73"/>
        <v>1</v>
      </c>
      <c r="AU265" s="1194" t="str">
        <f t="shared" si="74"/>
        <v>.</v>
      </c>
      <c r="AV265" s="1194" t="str">
        <f t="shared" si="65"/>
        <v>.</v>
      </c>
      <c r="AW265" s="1194" t="str">
        <f t="shared" si="75"/>
        <v>.</v>
      </c>
      <c r="AX265" s="1194">
        <f>IFERROR(VLOOKUP(B265,'Share, Heavy Weapons to Ukraine'!B:Z,COLUMN('Share, Heavy Weapons to Ukraine'!C275)-1,0),0)</f>
        <v>0</v>
      </c>
      <c r="AY265" s="1194">
        <f>VLOOKUP('Bilateral Assistance, MAIN DATA'!B265,'Country Summary (€)'!B:F,COLUMN('Country Summary (€)'!C276)-1,FALSE)</f>
        <v>1</v>
      </c>
      <c r="AZ265" s="1194" t="str">
        <f>IF(AND(AD265=1,D265="Military",H265&lt;&gt;"Not given")=TRUE,IF(SUMIFS(P:P,A:A,A265)&gt;0,ABS((SUMIFS(P:P,A:A,A265)/VLOOKUP("USD",'Exchange Rates'!B:C,2,0)))/S265,"."),".")</f>
        <v>.</v>
      </c>
      <c r="BA265" s="1196" t="str">
        <f>IF(AND(AD265=1,D265="Military",H265&lt;&gt;"Not given")=TRUE,IF(SUMIFS(P:P,A:A,A265)&gt;0,IF((ABS((SUMIFS(P:P,A:A,A265)/VLOOKUP("USD",'Exchange Rates'!B:C,2,0)))/S265)&gt;1,(SUMIFS(P:P,A:A,A265)-S265)/S265,(S265-SUMIFS(P:P,A:A,A265))/SUMIFS(P:P,A:A,A265)),"."),".")</f>
        <v>.</v>
      </c>
    </row>
    <row r="266" spans="1:53" ht="15.95" customHeight="1">
      <c r="A266" s="1180" t="s">
        <v>1104</v>
      </c>
      <c r="B266" s="1180" t="s">
        <v>1012</v>
      </c>
      <c r="C266" s="1181">
        <v>44853</v>
      </c>
      <c r="D266" s="1182" t="s">
        <v>389</v>
      </c>
      <c r="E266" s="1182" t="s">
        <v>1105</v>
      </c>
      <c r="F266" s="1183" t="s">
        <v>1106</v>
      </c>
      <c r="G266" s="1184" t="s">
        <v>1014</v>
      </c>
      <c r="H266" s="1185">
        <v>22000000</v>
      </c>
      <c r="I266" s="1180" t="s">
        <v>364</v>
      </c>
      <c r="J266" s="1186" t="str">
        <f>VLOOKUP($I266,'Price List, Weapons &amp; Items'!B:C,2,0)</f>
        <v>.</v>
      </c>
      <c r="K266" s="1186" t="str">
        <f>IF(I266=".",I266,VLOOKUP($I266,'Price List, Weapons &amp; Items'!B:D,3,0))</f>
        <v>.</v>
      </c>
      <c r="L266" s="1187">
        <f>VLOOKUP(I266,'Price List, Weapons &amp; Items'!B:E,4,0)</f>
        <v>0</v>
      </c>
      <c r="M266" s="1188" t="s">
        <v>364</v>
      </c>
      <c r="N266" s="1188" t="s">
        <v>364</v>
      </c>
      <c r="O266" s="1188" t="str">
        <f>VLOOKUP($I266,'Price List, Weapons &amp; Items'!B:G,6,0)</f>
        <v>.</v>
      </c>
      <c r="P266" s="1185" t="str">
        <f t="shared" si="66"/>
        <v>.</v>
      </c>
      <c r="Q266" s="1185" t="str">
        <f t="shared" si="67"/>
        <v>.</v>
      </c>
      <c r="R266" s="1185">
        <f t="shared" si="63"/>
        <v>22000000</v>
      </c>
      <c r="S266" s="1185">
        <f>IF(AND(AD266=1,R266&lt;&gt;".")=TRUE,R266/VLOOKUP(G266,'Exchange Rates'!B:C,2,0),IF(R266=".",".",""))</f>
        <v>932400.93240093242</v>
      </c>
      <c r="T266" s="1185" t="str">
        <f>IF(AD266=1,IF(AF266="Value is not given at all",".",IF(AF266="Value is given by the source",S266,IF(AF266="Value is calculated with prices",(IF(SUMIFS(Q:Q,A:A,A266)&gt;0,SUMIFS(Q:Q,A:A,A266),"."))/VLOOKUP("USD",'Exchange Rates'!B:C,2,0),"Error with coding"))),"")</f>
        <v>.</v>
      </c>
      <c r="U266" s="1184" t="s">
        <v>365</v>
      </c>
      <c r="V266" s="980" t="s">
        <v>1107</v>
      </c>
      <c r="W266" s="1010" t="s">
        <v>1097</v>
      </c>
      <c r="X266" s="973" t="s">
        <v>1108</v>
      </c>
      <c r="Y266" s="981" t="s">
        <v>364</v>
      </c>
      <c r="Z266" s="1184">
        <v>0</v>
      </c>
      <c r="AA266" s="1194">
        <v>0</v>
      </c>
      <c r="AB266" s="1180" t="s">
        <v>364</v>
      </c>
      <c r="AC266" s="1192" t="str">
        <f>""</f>
        <v/>
      </c>
      <c r="AD266" s="985">
        <v>1</v>
      </c>
      <c r="AE266" s="985" t="s">
        <v>368</v>
      </c>
      <c r="AF266" s="985" t="s">
        <v>369</v>
      </c>
      <c r="AG266" s="985">
        <v>1</v>
      </c>
      <c r="AH266" s="1193">
        <v>10</v>
      </c>
      <c r="AI266" s="1193">
        <v>0</v>
      </c>
      <c r="AJ266" s="1193">
        <f>VLOOKUP($I266,'Price List, Weapons &amp; Items'!B:F,5,0)</f>
        <v>0</v>
      </c>
      <c r="AK266" s="1193">
        <f t="shared" si="68"/>
        <v>0</v>
      </c>
      <c r="AL266" s="1193">
        <f t="shared" si="69"/>
        <v>0</v>
      </c>
      <c r="AM266" s="1193">
        <f t="shared" si="70"/>
        <v>0</v>
      </c>
      <c r="AN266" s="1194" t="str">
        <f>VLOOKUP($I266,'Price List, Weapons &amp; Items'!B:L,COLUMN('Price List, Weapons &amp; Items'!$J$11)-1,0)</f>
        <v>.</v>
      </c>
      <c r="AO266" s="1194" t="str">
        <f>IF(I266=".",".",VLOOKUP($I266,'Price List, Weapons &amp; Items'!B:J,3,0))</f>
        <v>.</v>
      </c>
      <c r="AP266" s="1195" t="str">
        <f t="shared" ca="1" si="64"/>
        <v>.</v>
      </c>
      <c r="AQ266" s="1194">
        <f>VLOOKUP($I266,'Price List, Weapons &amp; Items'!B:L,COLUMN('Price List, Weapons &amp; Items'!$L$11)-1,0)</f>
        <v>0</v>
      </c>
      <c r="AR266" s="1194">
        <f t="shared" si="71"/>
        <v>1</v>
      </c>
      <c r="AS266" s="1194">
        <f t="shared" si="72"/>
        <v>1</v>
      </c>
      <c r="AT266" s="1194">
        <f t="shared" si="73"/>
        <v>1</v>
      </c>
      <c r="AU266" s="1194" t="str">
        <f t="shared" si="74"/>
        <v>.</v>
      </c>
      <c r="AV266" s="1194" t="str">
        <f t="shared" si="65"/>
        <v>.</v>
      </c>
      <c r="AW266" s="1194" t="str">
        <f t="shared" si="75"/>
        <v>.</v>
      </c>
      <c r="AX266" s="1194">
        <f>IFERROR(VLOOKUP(B266,'Share, Heavy Weapons to Ukraine'!B:Z,COLUMN('Share, Heavy Weapons to Ukraine'!C276)-1,0),0)</f>
        <v>0</v>
      </c>
      <c r="AY266" s="1194">
        <f>VLOOKUP('Bilateral Assistance, MAIN DATA'!B266,'Country Summary (€)'!B:F,COLUMN('Country Summary (€)'!C277)-1,FALSE)</f>
        <v>1</v>
      </c>
      <c r="AZ266" s="1194" t="str">
        <f>IF(AND(AD266=1,D266="Military",H266&lt;&gt;"Not given")=TRUE,IF(SUMIFS(P:P,A:A,A266)&gt;0,ABS((SUMIFS(P:P,A:A,A266)/VLOOKUP("USD",'Exchange Rates'!B:C,2,0)))/S266,"."),".")</f>
        <v>.</v>
      </c>
      <c r="BA266" s="1196" t="str">
        <f>IF(AND(AD266=1,D266="Military",H266&lt;&gt;"Not given")=TRUE,IF(SUMIFS(P:P,A:A,A266)&gt;0,IF((ABS((SUMIFS(P:P,A:A,A266)/VLOOKUP("USD",'Exchange Rates'!B:C,2,0)))/S266)&gt;1,(SUMIFS(P:P,A:A,A266)-S266)/S266,(S266-SUMIFS(P:P,A:A,A266))/SUMIFS(P:P,A:A,A266)),"."),".")</f>
        <v>.</v>
      </c>
    </row>
    <row r="267" spans="1:53" ht="15.95" customHeight="1">
      <c r="A267" s="1180" t="s">
        <v>1109</v>
      </c>
      <c r="B267" s="1180" t="s">
        <v>1012</v>
      </c>
      <c r="C267" s="1181">
        <v>44869</v>
      </c>
      <c r="D267" s="1182" t="s">
        <v>389</v>
      </c>
      <c r="E267" s="1182" t="s">
        <v>443</v>
      </c>
      <c r="F267" s="1183" t="s">
        <v>1110</v>
      </c>
      <c r="G267" s="1184" t="s">
        <v>456</v>
      </c>
      <c r="H267" s="1185" t="s">
        <v>457</v>
      </c>
      <c r="I267" s="1180" t="s">
        <v>364</v>
      </c>
      <c r="J267" s="1186" t="str">
        <f>VLOOKUP($I267,'Price List, Weapons &amp; Items'!B:C,2,0)</f>
        <v>.</v>
      </c>
      <c r="K267" s="1186" t="str">
        <f>IF(I267=".",I267,VLOOKUP($I267,'Price List, Weapons &amp; Items'!B:D,3,0))</f>
        <v>.</v>
      </c>
      <c r="L267" s="1187">
        <f>VLOOKUP(I267,'Price List, Weapons &amp; Items'!B:E,4,0)</f>
        <v>0</v>
      </c>
      <c r="M267" s="1188" t="s">
        <v>364</v>
      </c>
      <c r="N267" s="1188" t="s">
        <v>364</v>
      </c>
      <c r="O267" s="1188" t="str">
        <f>VLOOKUP($I267,'Price List, Weapons &amp; Items'!B:G,6,0)</f>
        <v>.</v>
      </c>
      <c r="P267" s="1185" t="str">
        <f t="shared" si="66"/>
        <v>.</v>
      </c>
      <c r="Q267" s="1185" t="str">
        <f t="shared" si="67"/>
        <v>.</v>
      </c>
      <c r="R267" s="1185" t="str">
        <f t="shared" si="63"/>
        <v>.</v>
      </c>
      <c r="S267" s="1185" t="str">
        <f>IF(AND(AD267=1,R267&lt;&gt;".")=TRUE,R267/VLOOKUP(G267,'Exchange Rates'!B:C,2,0),IF(R267=".",".",""))</f>
        <v>.</v>
      </c>
      <c r="T267" s="1185" t="str">
        <f>IF(AD267=1,IF(AF267="Value is not given at all",".",IF(AF267="Value is given by the source",S267,IF(AF267="Value is calculated with prices",(IF(SUMIFS(Q:Q,A:A,A267)&gt;0,SUMIFS(Q:Q,A:A,A267),"."))/VLOOKUP("USD",'Exchange Rates'!B:C,2,0),"Error with coding"))),"")</f>
        <v>.</v>
      </c>
      <c r="U267" s="1184" t="s">
        <v>365</v>
      </c>
      <c r="V267" s="991" t="s">
        <v>1111</v>
      </c>
      <c r="W267" s="1010" t="s">
        <v>1112</v>
      </c>
      <c r="X267" s="1011" t="s">
        <v>1113</v>
      </c>
      <c r="Y267" s="980" t="s">
        <v>1114</v>
      </c>
      <c r="Z267" s="1184">
        <v>0</v>
      </c>
      <c r="AA267" s="1194">
        <v>0</v>
      </c>
      <c r="AB267" s="1180" t="s">
        <v>364</v>
      </c>
      <c r="AC267" s="1192" t="str">
        <f>""</f>
        <v/>
      </c>
      <c r="AD267" s="985">
        <v>1</v>
      </c>
      <c r="AE267" s="985" t="s">
        <v>436</v>
      </c>
      <c r="AF267" s="985" t="s">
        <v>369</v>
      </c>
      <c r="AG267" s="985">
        <v>1</v>
      </c>
      <c r="AH267" s="1193">
        <v>11</v>
      </c>
      <c r="AI267" s="1193">
        <v>0</v>
      </c>
      <c r="AJ267" s="1193">
        <f>VLOOKUP($I267,'Price List, Weapons &amp; Items'!B:F,5,0)</f>
        <v>0</v>
      </c>
      <c r="AK267" s="1193">
        <f t="shared" si="68"/>
        <v>0</v>
      </c>
      <c r="AL267" s="1193">
        <f t="shared" si="69"/>
        <v>0</v>
      </c>
      <c r="AM267" s="1193">
        <f t="shared" si="70"/>
        <v>0</v>
      </c>
      <c r="AN267" s="1194" t="str">
        <f>VLOOKUP($I267,'Price List, Weapons &amp; Items'!B:L,COLUMN('Price List, Weapons &amp; Items'!$J$11)-1,0)</f>
        <v>.</v>
      </c>
      <c r="AO267" s="1194" t="str">
        <f>IF(I267=".",".",VLOOKUP($I267,'Price List, Weapons &amp; Items'!B:J,3,0))</f>
        <v>.</v>
      </c>
      <c r="AP267" s="1195" t="str">
        <f t="shared" ca="1" si="64"/>
        <v>.</v>
      </c>
      <c r="AQ267" s="1194">
        <f>VLOOKUP($I267,'Price List, Weapons &amp; Items'!B:L,COLUMN('Price List, Weapons &amp; Items'!$L$11)-1,0)</f>
        <v>0</v>
      </c>
      <c r="AR267" s="1194">
        <f t="shared" si="71"/>
        <v>1</v>
      </c>
      <c r="AS267" s="1194">
        <f t="shared" si="72"/>
        <v>1</v>
      </c>
      <c r="AT267" s="1194">
        <f t="shared" si="73"/>
        <v>1</v>
      </c>
      <c r="AU267" s="1194" t="str">
        <f t="shared" si="74"/>
        <v>.</v>
      </c>
      <c r="AV267" s="1194" t="str">
        <f t="shared" si="65"/>
        <v>.</v>
      </c>
      <c r="AW267" s="1194" t="str">
        <f t="shared" si="75"/>
        <v>.</v>
      </c>
      <c r="AX267" s="1194">
        <f>IFERROR(VLOOKUP(B267,'Share, Heavy Weapons to Ukraine'!B:Z,COLUMN('Share, Heavy Weapons to Ukraine'!C277)-1,0),0)</f>
        <v>0</v>
      </c>
      <c r="AY267" s="1194">
        <f>VLOOKUP('Bilateral Assistance, MAIN DATA'!B267,'Country Summary (€)'!B:F,COLUMN('Country Summary (€)'!C278)-1,FALSE)</f>
        <v>1</v>
      </c>
      <c r="AZ267" s="1194" t="str">
        <f>IF(AND(AD267=1,D267="Military",H267&lt;&gt;"Not given")=TRUE,IF(SUMIFS(P:P,A:A,A267)&gt;0,ABS((SUMIFS(P:P,A:A,A267)/VLOOKUP("USD",'Exchange Rates'!B:C,2,0)))/S267,"."),".")</f>
        <v>.</v>
      </c>
      <c r="BA267" s="1196" t="str">
        <f>IF(AND(AD267=1,D267="Military",H267&lt;&gt;"Not given")=TRUE,IF(SUMIFS(P:P,A:A,A267)&gt;0,IF((ABS((SUMIFS(P:P,A:A,A267)/VLOOKUP("USD",'Exchange Rates'!B:C,2,0)))/S267)&gt;1,(SUMIFS(P:P,A:A,A267)-S267)/S267,(S267-SUMIFS(P:P,A:A,A267))/SUMIFS(P:P,A:A,A267)),"."),".")</f>
        <v>.</v>
      </c>
    </row>
    <row r="268" spans="1:53" ht="15.95" customHeight="1">
      <c r="A268" s="1180" t="s">
        <v>1115</v>
      </c>
      <c r="B268" s="1180" t="s">
        <v>1012</v>
      </c>
      <c r="C268" s="1181">
        <v>44881</v>
      </c>
      <c r="D268" s="1182" t="s">
        <v>389</v>
      </c>
      <c r="E268" s="1182" t="s">
        <v>1116</v>
      </c>
      <c r="F268" s="1183" t="s">
        <v>1117</v>
      </c>
      <c r="G268" s="1184" t="s">
        <v>1014</v>
      </c>
      <c r="H268" s="1185">
        <v>975000000</v>
      </c>
      <c r="I268" s="1180" t="s">
        <v>364</v>
      </c>
      <c r="J268" s="1186" t="str">
        <f>VLOOKUP($I268,'Price List, Weapons &amp; Items'!B:C,2,0)</f>
        <v>.</v>
      </c>
      <c r="K268" s="1186" t="str">
        <f>IF(I268=".",I268,VLOOKUP($I268,'Price List, Weapons &amp; Items'!B:D,3,0))</f>
        <v>.</v>
      </c>
      <c r="L268" s="1187">
        <f>VLOOKUP(I268,'Price List, Weapons &amp; Items'!B:E,4,0)</f>
        <v>0</v>
      </c>
      <c r="M268" s="1188" t="s">
        <v>364</v>
      </c>
      <c r="N268" s="1188" t="s">
        <v>364</v>
      </c>
      <c r="O268" s="1188" t="str">
        <f>VLOOKUP($I268,'Price List, Weapons &amp; Items'!B:G,6,0)</f>
        <v>.</v>
      </c>
      <c r="P268" s="1185" t="str">
        <f t="shared" si="66"/>
        <v>.</v>
      </c>
      <c r="Q268" s="1185" t="str">
        <f t="shared" si="67"/>
        <v>.</v>
      </c>
      <c r="R268" s="1185">
        <f t="shared" si="63"/>
        <v>975000000</v>
      </c>
      <c r="S268" s="1185">
        <f>IF(AND(AD268=1,R268&lt;&gt;".")=TRUE,R268/VLOOKUP(G268,'Exchange Rates'!B:C,2,0),IF(R268=".",".",""))</f>
        <v>41322314.04958678</v>
      </c>
      <c r="T268" s="1185" t="str">
        <f>IF(AD268=1,IF(AF268="Value is not given at all",".",IF(AF268="Value is given by the source",S268,IF(AF268="Value is calculated with prices",(IF(SUMIFS(Q:Q,A:A,A268)&gt;0,SUMIFS(Q:Q,A:A,A268),"."))/VLOOKUP("USD",'Exchange Rates'!B:C,2,0),"Error with coding"))),"")</f>
        <v>.</v>
      </c>
      <c r="U268" s="1184" t="s">
        <v>365</v>
      </c>
      <c r="V268" s="1010" t="s">
        <v>1118</v>
      </c>
      <c r="W268" s="973" t="s">
        <v>1119</v>
      </c>
      <c r="X268" s="986" t="s">
        <v>364</v>
      </c>
      <c r="Y268" s="981" t="s">
        <v>364</v>
      </c>
      <c r="Z268" s="1184">
        <v>0</v>
      </c>
      <c r="AA268" s="1194">
        <v>0</v>
      </c>
      <c r="AB268" s="1180" t="s">
        <v>364</v>
      </c>
      <c r="AC268" s="1192" t="str">
        <f>""</f>
        <v/>
      </c>
      <c r="AD268" s="985">
        <v>1</v>
      </c>
      <c r="AE268" s="985" t="s">
        <v>368</v>
      </c>
      <c r="AF268" s="985" t="s">
        <v>369</v>
      </c>
      <c r="AG268" s="985">
        <v>1</v>
      </c>
      <c r="AH268" s="1193">
        <v>11</v>
      </c>
      <c r="AI268" s="1193">
        <v>0</v>
      </c>
      <c r="AJ268" s="1193">
        <f>VLOOKUP($I268,'Price List, Weapons &amp; Items'!B:F,5,0)</f>
        <v>0</v>
      </c>
      <c r="AK268" s="1193">
        <f t="shared" si="68"/>
        <v>0</v>
      </c>
      <c r="AL268" s="1193">
        <f t="shared" si="69"/>
        <v>0</v>
      </c>
      <c r="AM268" s="1193">
        <f t="shared" si="70"/>
        <v>0</v>
      </c>
      <c r="AN268" s="1194" t="str">
        <f>VLOOKUP($I268,'Price List, Weapons &amp; Items'!B:L,COLUMN('Price List, Weapons &amp; Items'!$J$11)-1,0)</f>
        <v>.</v>
      </c>
      <c r="AO268" s="1194" t="str">
        <f>IF(I268=".",".",VLOOKUP($I268,'Price List, Weapons &amp; Items'!B:J,3,0))</f>
        <v>.</v>
      </c>
      <c r="AP268" s="1195" t="str">
        <f t="shared" ca="1" si="64"/>
        <v>.</v>
      </c>
      <c r="AQ268" s="1194">
        <f>VLOOKUP($I268,'Price List, Weapons &amp; Items'!B:L,COLUMN('Price List, Weapons &amp; Items'!$L$11)-1,0)</f>
        <v>0</v>
      </c>
      <c r="AR268" s="1194">
        <f t="shared" si="71"/>
        <v>1</v>
      </c>
      <c r="AS268" s="1194">
        <f t="shared" si="72"/>
        <v>0</v>
      </c>
      <c r="AT268" s="1194">
        <f t="shared" si="73"/>
        <v>1</v>
      </c>
      <c r="AU268" s="1194" t="str">
        <f t="shared" si="74"/>
        <v>.</v>
      </c>
      <c r="AV268" s="1194" t="str">
        <f t="shared" si="65"/>
        <v>.</v>
      </c>
      <c r="AW268" s="1194" t="str">
        <f t="shared" si="75"/>
        <v>.</v>
      </c>
      <c r="AX268" s="1194">
        <f>IFERROR(VLOOKUP(B268,'Share, Heavy Weapons to Ukraine'!B:Z,COLUMN('Share, Heavy Weapons to Ukraine'!C278)-1,0),0)</f>
        <v>0</v>
      </c>
      <c r="AY268" s="1194">
        <f>VLOOKUP('Bilateral Assistance, MAIN DATA'!B268,'Country Summary (€)'!B:F,COLUMN('Country Summary (€)'!C279)-1,FALSE)</f>
        <v>1</v>
      </c>
      <c r="AZ268" s="1194" t="str">
        <f>IF(AND(AD268=1,D268="Military",H268&lt;&gt;"Not given")=TRUE,IF(SUMIFS(P:P,A:A,A268)&gt;0,ABS((SUMIFS(P:P,A:A,A268)/VLOOKUP("USD",'Exchange Rates'!B:C,2,0)))/S268,"."),".")</f>
        <v>.</v>
      </c>
      <c r="BA268" s="1196" t="str">
        <f>IF(AND(AD268=1,D268="Military",H268&lt;&gt;"Not given")=TRUE,IF(SUMIFS(P:P,A:A,A268)&gt;0,IF((ABS((SUMIFS(P:P,A:A,A268)/VLOOKUP("USD",'Exchange Rates'!B:C,2,0)))/S268)&gt;1,(SUMIFS(P:P,A:A,A268)-S268)/S268,(S268-SUMIFS(P:P,A:A,A268))/SUMIFS(P:P,A:A,A268)),"."),".")</f>
        <v>.</v>
      </c>
    </row>
    <row r="269" spans="1:53" ht="15.95" customHeight="1">
      <c r="A269" s="1180" t="s">
        <v>1120</v>
      </c>
      <c r="B269" s="1180" t="s">
        <v>1012</v>
      </c>
      <c r="C269" s="1181">
        <v>44935</v>
      </c>
      <c r="D269" s="1182" t="s">
        <v>389</v>
      </c>
      <c r="E269" s="1182" t="s">
        <v>398</v>
      </c>
      <c r="F269" s="1183" t="s">
        <v>1121</v>
      </c>
      <c r="G269" s="1184" t="s">
        <v>456</v>
      </c>
      <c r="H269" s="1185" t="s">
        <v>457</v>
      </c>
      <c r="I269" s="1180" t="s">
        <v>1122</v>
      </c>
      <c r="J269" s="1186" t="str">
        <f>VLOOKUP($I269,'Price List, Weapons &amp; Items'!B:C,2,0)</f>
        <v xml:space="preserve">Military equipment </v>
      </c>
      <c r="K269" s="1186" t="str">
        <f>IF(I269=".",I269,VLOOKUP($I269,'Price List, Weapons &amp; Items'!B:D,3,0))</f>
        <v>Armored Recovery Vehicle (ARV)</v>
      </c>
      <c r="L269" s="1187">
        <f>VLOOKUP(I269,'Price List, Weapons &amp; Items'!B:E,4,0)</f>
        <v>0</v>
      </c>
      <c r="M269" s="1188">
        <v>221</v>
      </c>
      <c r="N269" s="1188">
        <v>221</v>
      </c>
      <c r="O269" s="1188" t="str">
        <f>VLOOKUP($I269,'Price List, Weapons &amp; Items'!B:G,6,0)</f>
        <v>.</v>
      </c>
      <c r="P269" s="1185" t="str">
        <f t="shared" si="66"/>
        <v>No price</v>
      </c>
      <c r="Q269" s="1185" t="str">
        <f t="shared" si="67"/>
        <v>No price</v>
      </c>
      <c r="R269" s="1185" t="str">
        <f t="shared" si="63"/>
        <v>.</v>
      </c>
      <c r="S269" s="1185" t="str">
        <f>IF(AND(AD269=1,R269&lt;&gt;".")=TRUE,R269/VLOOKUP(G269,'Exchange Rates'!B:C,2,0),IF(R269=".",".",""))</f>
        <v>.</v>
      </c>
      <c r="T269" s="1185" t="str">
        <f>IF(AD269=1,IF(AF269="Value is not given at all",".",IF(AF269="Value is given by the source",S269,IF(AF269="Value is calculated with prices",(IF(SUMIFS(Q:Q,A:A,A269)&gt;0,SUMIFS(Q:Q,A:A,A269),"."))/VLOOKUP("USD",'Exchange Rates'!B:C,2,0),"Error with coding"))),"")</f>
        <v>.</v>
      </c>
      <c r="U269" s="1184" t="s">
        <v>365</v>
      </c>
      <c r="V269" s="1010" t="s">
        <v>1123</v>
      </c>
      <c r="W269" s="1010" t="s">
        <v>1124</v>
      </c>
      <c r="X269" s="1011" t="s">
        <v>1125</v>
      </c>
      <c r="Y269" s="1006" t="s">
        <v>1072</v>
      </c>
      <c r="Z269" s="1184">
        <v>0</v>
      </c>
      <c r="AA269" s="1194">
        <v>0</v>
      </c>
      <c r="AB269" s="1006" t="s">
        <v>1072</v>
      </c>
      <c r="AC269" s="1192" t="str">
        <f>""</f>
        <v/>
      </c>
      <c r="AD269" s="985">
        <v>1</v>
      </c>
      <c r="AE269" s="985" t="s">
        <v>369</v>
      </c>
      <c r="AF269" s="985" t="s">
        <v>369</v>
      </c>
      <c r="AG269" s="985">
        <v>1</v>
      </c>
      <c r="AH269" s="1193">
        <v>13</v>
      </c>
      <c r="AI269" s="1193">
        <v>0</v>
      </c>
      <c r="AJ269" s="1193">
        <f>VLOOKUP($I269,'Price List, Weapons &amp; Items'!B:F,5,0)</f>
        <v>1</v>
      </c>
      <c r="AK269" s="1193">
        <f t="shared" si="68"/>
        <v>0</v>
      </c>
      <c r="AL269" s="1193">
        <f t="shared" si="69"/>
        <v>0</v>
      </c>
      <c r="AM269" s="1193">
        <f t="shared" si="70"/>
        <v>0</v>
      </c>
      <c r="AN269" s="1194" t="str">
        <f>VLOOKUP($I269,'Price List, Weapons &amp; Items'!B:L,COLUMN('Price List, Weapons &amp; Items'!$J$11)-1,0)</f>
        <v>.</v>
      </c>
      <c r="AO269" s="1194" t="str">
        <f>IF(I269=".",".",VLOOKUP($I269,'Price List, Weapons &amp; Items'!B:J,3,0))</f>
        <v>Armored Recovery Vehicle (ARV)</v>
      </c>
      <c r="AP269" s="1195" t="str">
        <f t="shared" ca="1" si="64"/>
        <v>TREVA-30 recovery vehicle</v>
      </c>
      <c r="AQ269" s="1194">
        <f>VLOOKUP($I269,'Price List, Weapons &amp; Items'!B:L,COLUMN('Price List, Weapons &amp; Items'!$L$11)-1,0)</f>
        <v>0</v>
      </c>
      <c r="AR269" s="1194">
        <f t="shared" si="71"/>
        <v>1</v>
      </c>
      <c r="AS269" s="1194">
        <f t="shared" si="72"/>
        <v>1</v>
      </c>
      <c r="AT269" s="1194">
        <f t="shared" si="73"/>
        <v>1</v>
      </c>
      <c r="AU269" s="1194" t="str">
        <f t="shared" si="74"/>
        <v>.</v>
      </c>
      <c r="AV269" s="1194" t="str">
        <f t="shared" si="65"/>
        <v>.</v>
      </c>
      <c r="AW269" s="1194" t="str">
        <f t="shared" si="75"/>
        <v>.</v>
      </c>
      <c r="AX269" s="1194">
        <f>IFERROR(VLOOKUP(B269,'Share, Heavy Weapons to Ukraine'!B:Z,COLUMN('Share, Heavy Weapons to Ukraine'!C279)-1,0),0)</f>
        <v>0</v>
      </c>
      <c r="AY269" s="1194">
        <f>VLOOKUP('Bilateral Assistance, MAIN DATA'!B269,'Country Summary (€)'!B:F,COLUMN('Country Summary (€)'!C280)-1,FALSE)</f>
        <v>1</v>
      </c>
      <c r="AZ269" s="1194" t="str">
        <f>IF(AND(AD269=1,D269="Military",H269&lt;&gt;"Not given")=TRUE,IF(SUMIFS(P:P,A:A,A269)&gt;0,ABS((SUMIFS(P:P,A:A,A269)/VLOOKUP("USD",'Exchange Rates'!B:C,2,0)))/S269,"."),".")</f>
        <v>.</v>
      </c>
      <c r="BA269" s="1196" t="str">
        <f>IF(AND(AD269=1,D269="Military",H269&lt;&gt;"Not given")=TRUE,IF(SUMIFS(P:P,A:A,A269)&gt;0,IF((ABS((SUMIFS(P:P,A:A,A269)/VLOOKUP("USD",'Exchange Rates'!B:C,2,0)))/S269)&gt;1,(SUMIFS(P:P,A:A,A269)-S269)/S269,(S269-SUMIFS(P:P,A:A,A269))/SUMIFS(P:P,A:A,A269)),"."),".")</f>
        <v>.</v>
      </c>
    </row>
    <row r="270" spans="1:53" ht="15.75" customHeight="1">
      <c r="A270" s="1180" t="s">
        <v>1126</v>
      </c>
      <c r="B270" s="1180" t="s">
        <v>1012</v>
      </c>
      <c r="C270" s="1181">
        <v>44980</v>
      </c>
      <c r="D270" s="1182" t="s">
        <v>389</v>
      </c>
      <c r="E270" s="1182" t="s">
        <v>390</v>
      </c>
      <c r="F270" s="1183" t="s">
        <v>1127</v>
      </c>
      <c r="G270" s="1184" t="s">
        <v>1014</v>
      </c>
      <c r="H270" s="1185" t="s">
        <v>364</v>
      </c>
      <c r="I270" s="1180" t="s">
        <v>364</v>
      </c>
      <c r="J270" s="1186" t="str">
        <f>VLOOKUP($I270,'Price List, Weapons &amp; Items'!B:C,2,0)</f>
        <v>.</v>
      </c>
      <c r="K270" s="1186" t="str">
        <f>IF(I270=".",I270,VLOOKUP($I270,'Price List, Weapons &amp; Items'!B:D,3,0))</f>
        <v>.</v>
      </c>
      <c r="L270" s="1187">
        <f>VLOOKUP(I270,'Price List, Weapons &amp; Items'!B:E,4,0)</f>
        <v>0</v>
      </c>
      <c r="M270" s="1188" t="s">
        <v>364</v>
      </c>
      <c r="N270" s="1188" t="s">
        <v>364</v>
      </c>
      <c r="O270" s="1188" t="str">
        <f>VLOOKUP($I270,'Price List, Weapons &amp; Items'!B:G,6,0)</f>
        <v>.</v>
      </c>
      <c r="P270" s="1185" t="str">
        <f t="shared" si="66"/>
        <v>.</v>
      </c>
      <c r="Q270" s="1185" t="str">
        <f t="shared" si="67"/>
        <v>.</v>
      </c>
      <c r="R270" s="1185" t="str">
        <f t="shared" si="63"/>
        <v>.</v>
      </c>
      <c r="S270" s="1185" t="str">
        <f>IF(AND(AD270=1,R270&lt;&gt;".")=TRUE,R270/VLOOKUP(G270,'Exchange Rates'!B:C,2,0),IF(R270=".",".",""))</f>
        <v>.</v>
      </c>
      <c r="T270" s="1185" t="str">
        <f>IF(AD270=1,IF(AF270="Value is not given at all",".",IF(AF270="Value is given by the source",S270,IF(AF270="Value is calculated with prices",(IF(SUMIFS(Q:Q,A:A,A270)&gt;0,SUMIFS(Q:Q,A:A,A270),"."))/VLOOKUP("USD",'Exchange Rates'!B:C,2,0),"Error with coding"))),"")</f>
        <v>.</v>
      </c>
      <c r="U270" s="1184" t="s">
        <v>365</v>
      </c>
      <c r="V270" s="973" t="s">
        <v>1072</v>
      </c>
      <c r="W270" s="973" t="s">
        <v>1128</v>
      </c>
      <c r="X270" s="1019" t="s">
        <v>364</v>
      </c>
      <c r="Y270" s="1031" t="s">
        <v>364</v>
      </c>
      <c r="Z270" s="1184">
        <v>0</v>
      </c>
      <c r="AA270" s="1194">
        <v>1</v>
      </c>
      <c r="AB270" s="1031" t="s">
        <v>364</v>
      </c>
      <c r="AC270" s="1192" t="str">
        <f>""</f>
        <v/>
      </c>
      <c r="AD270" s="985">
        <v>1</v>
      </c>
      <c r="AE270" s="985" t="s">
        <v>369</v>
      </c>
      <c r="AF270" s="985" t="s">
        <v>369</v>
      </c>
      <c r="AG270" s="985">
        <v>1</v>
      </c>
      <c r="AH270" s="1193">
        <v>14</v>
      </c>
      <c r="AI270" s="1193">
        <v>0</v>
      </c>
      <c r="AJ270" s="1193">
        <f>VLOOKUP($I270,'Price List, Weapons &amp; Items'!B:F,5,0)</f>
        <v>0</v>
      </c>
      <c r="AK270" s="1193">
        <f t="shared" si="68"/>
        <v>0</v>
      </c>
      <c r="AL270" s="1193">
        <f t="shared" si="69"/>
        <v>0</v>
      </c>
      <c r="AM270" s="1193">
        <f t="shared" si="70"/>
        <v>0</v>
      </c>
      <c r="AN270" s="1194" t="str">
        <f>VLOOKUP($I270,'Price List, Weapons &amp; Items'!B:L,COLUMN('Price List, Weapons &amp; Items'!$J$11)-1,0)</f>
        <v>.</v>
      </c>
      <c r="AO270" s="1194" t="str">
        <f>IF(I270=".",".",VLOOKUP($I270,'Price List, Weapons &amp; Items'!B:J,3,0))</f>
        <v>.</v>
      </c>
      <c r="AP270" s="1195" t="str">
        <f t="shared" ca="1" si="64"/>
        <v>.</v>
      </c>
      <c r="AQ270" s="1194">
        <f>VLOOKUP($I270,'Price List, Weapons &amp; Items'!B:L,COLUMN('Price List, Weapons &amp; Items'!$L$11)-1,0)</f>
        <v>0</v>
      </c>
      <c r="AR270" s="1194">
        <f t="shared" si="71"/>
        <v>1</v>
      </c>
      <c r="AS270" s="1194">
        <f t="shared" si="72"/>
        <v>1</v>
      </c>
      <c r="AT270" s="1194">
        <f t="shared" si="73"/>
        <v>1</v>
      </c>
      <c r="AU270" s="1194" t="str">
        <f t="shared" si="74"/>
        <v>.</v>
      </c>
      <c r="AV270" s="1194" t="str">
        <f t="shared" si="65"/>
        <v>.</v>
      </c>
      <c r="AW270" s="1194" t="str">
        <f t="shared" si="75"/>
        <v>.</v>
      </c>
      <c r="AX270" s="1194">
        <f>IFERROR(VLOOKUP(B270,'Share, Heavy Weapons to Ukraine'!B:Z,COLUMN('Share, Heavy Weapons to Ukraine'!C280)-1,0),0)</f>
        <v>0</v>
      </c>
      <c r="AY270" s="1194">
        <f>VLOOKUP('Bilateral Assistance, MAIN DATA'!B270,'Country Summary (€)'!B:F,COLUMN('Country Summary (€)'!C281)-1,FALSE)</f>
        <v>1</v>
      </c>
      <c r="AZ270" s="1194" t="str">
        <f>IF(AND(AD270=1,D270="Military",H270&lt;&gt;"Not given")=TRUE,IF(SUMIFS(P:P,A:A,A270)&gt;0,ABS((SUMIFS(P:P,A:A,A270)/VLOOKUP("USD",'Exchange Rates'!B:C,2,0)))/S270,"."),".")</f>
        <v>.</v>
      </c>
      <c r="BA270" s="1196" t="str">
        <f>IF(AND(AD270=1,D270="Military",H270&lt;&gt;"Not given")=TRUE,IF(SUMIFS(P:P,A:A,A270)&gt;0,IF((ABS((SUMIFS(P:P,A:A,A270)/VLOOKUP("USD",'Exchange Rates'!B:C,2,0)))/S270)&gt;1,(SUMIFS(P:P,A:A,A270)-S270)/S270,(S270-SUMIFS(P:P,A:A,A270))/SUMIFS(P:P,A:A,A270)),"."),".")</f>
        <v>.</v>
      </c>
    </row>
    <row r="271" spans="1:53" ht="15.95" customHeight="1">
      <c r="A271" s="1180" t="s">
        <v>1129</v>
      </c>
      <c r="B271" s="1180" t="s">
        <v>1012</v>
      </c>
      <c r="C271" s="1181">
        <v>45021</v>
      </c>
      <c r="D271" s="1182" t="s">
        <v>389</v>
      </c>
      <c r="E271" s="1182" t="s">
        <v>398</v>
      </c>
      <c r="F271" s="1183" t="s">
        <v>1130</v>
      </c>
      <c r="G271" s="1184" t="s">
        <v>1014</v>
      </c>
      <c r="H271" s="1185">
        <v>700000000</v>
      </c>
      <c r="I271" s="1180" t="s">
        <v>364</v>
      </c>
      <c r="J271" s="1186" t="str">
        <f>VLOOKUP($I271,'Price List, Weapons &amp; Items'!B:C,2,0)</f>
        <v>.</v>
      </c>
      <c r="K271" s="1186" t="str">
        <f>IF(I271=".",I271,VLOOKUP($I271,'Price List, Weapons &amp; Items'!B:D,3,0))</f>
        <v>.</v>
      </c>
      <c r="L271" s="1187">
        <f>VLOOKUP(I271,'Price List, Weapons &amp; Items'!B:E,4,0)</f>
        <v>0</v>
      </c>
      <c r="M271" s="1188" t="s">
        <v>364</v>
      </c>
      <c r="N271" s="1188" t="s">
        <v>364</v>
      </c>
      <c r="O271" s="1188" t="str">
        <f>VLOOKUP($I271,'Price List, Weapons &amp; Items'!B:G,6,0)</f>
        <v>.</v>
      </c>
      <c r="P271" s="1185" t="str">
        <f t="shared" si="66"/>
        <v>.</v>
      </c>
      <c r="Q271" s="1185" t="str">
        <f t="shared" si="67"/>
        <v>.</v>
      </c>
      <c r="R271" s="1185">
        <f t="shared" si="63"/>
        <v>700000000</v>
      </c>
      <c r="S271" s="1185">
        <f>IF(AND(AD271=1,R271&lt;&gt;".")=TRUE,R271/VLOOKUP(G271,'Exchange Rates'!B:C,2,0),IF(R271=".",".",""))</f>
        <v>29667302.394575123</v>
      </c>
      <c r="T271" s="1185" t="str">
        <f>IF(AD271=1,IF(AF271="Value is not given at all",".",IF(AF271="Value is given by the source",S271,IF(AF271="Value is calculated with prices",(IF(SUMIFS(Q:Q,A:A,A271)&gt;0,SUMIFS(Q:Q,A:A,A271),"."))/VLOOKUP("USD",'Exchange Rates'!B:C,2,0),"Error with coding"))),"")</f>
        <v>.</v>
      </c>
      <c r="U271" s="1184" t="s">
        <v>675</v>
      </c>
      <c r="V271" s="973" t="s">
        <v>1131</v>
      </c>
      <c r="W271" s="973" t="s">
        <v>1132</v>
      </c>
      <c r="X271" s="966" t="s">
        <v>1133</v>
      </c>
      <c r="Y271" s="987" t="s">
        <v>1134</v>
      </c>
      <c r="Z271" s="1184">
        <v>0</v>
      </c>
      <c r="AA271" s="1194">
        <v>1</v>
      </c>
      <c r="AB271" s="1031" t="s">
        <v>364</v>
      </c>
      <c r="AC271" s="1192" t="str">
        <f>""</f>
        <v/>
      </c>
      <c r="AD271" s="985">
        <v>1</v>
      </c>
      <c r="AE271" s="1193" t="s">
        <v>368</v>
      </c>
      <c r="AF271" s="985" t="s">
        <v>369</v>
      </c>
      <c r="AG271" s="985">
        <v>1</v>
      </c>
      <c r="AH271" s="1193">
        <v>16</v>
      </c>
      <c r="AI271" s="1193">
        <v>0</v>
      </c>
      <c r="AJ271" s="1193">
        <f>VLOOKUP($I271,'Price List, Weapons &amp; Items'!B:F,5,0)</f>
        <v>0</v>
      </c>
      <c r="AK271" s="1193">
        <f t="shared" si="68"/>
        <v>0</v>
      </c>
      <c r="AL271" s="1193">
        <f t="shared" si="69"/>
        <v>0</v>
      </c>
      <c r="AM271" s="1193">
        <f t="shared" si="70"/>
        <v>0</v>
      </c>
      <c r="AN271" s="1194" t="str">
        <f>VLOOKUP($I271,'Price List, Weapons &amp; Items'!B:L,COLUMN('Price List, Weapons &amp; Items'!$J$11)-1,0)</f>
        <v>.</v>
      </c>
      <c r="AO271" s="1194" t="str">
        <f>IF(I271=".",".",VLOOKUP($I271,'Price List, Weapons &amp; Items'!B:J,3,0))</f>
        <v>.</v>
      </c>
      <c r="AP271" s="1195" t="str">
        <f t="shared" ca="1" si="64"/>
        <v>.</v>
      </c>
      <c r="AQ271" s="1194">
        <f>VLOOKUP($I271,'Price List, Weapons &amp; Items'!B:L,COLUMN('Price List, Weapons &amp; Items'!$L$11)-1,0)</f>
        <v>0</v>
      </c>
      <c r="AR271" s="1194">
        <f t="shared" si="71"/>
        <v>0</v>
      </c>
      <c r="AS271" s="1194">
        <f t="shared" si="72"/>
        <v>1</v>
      </c>
      <c r="AT271" s="1194">
        <f t="shared" si="73"/>
        <v>1</v>
      </c>
      <c r="AU271" s="1194" t="str">
        <f t="shared" si="74"/>
        <v>.</v>
      </c>
      <c r="AV271" s="1194" t="str">
        <f t="shared" si="65"/>
        <v>.</v>
      </c>
      <c r="AW271" s="1194" t="str">
        <f t="shared" si="75"/>
        <v>.</v>
      </c>
      <c r="AX271" s="1194">
        <f>IFERROR(VLOOKUP(B271,'Share, Heavy Weapons to Ukraine'!B:Z,COLUMN('Share, Heavy Weapons to Ukraine'!C281)-1,0),0)</f>
        <v>0</v>
      </c>
      <c r="AY271" s="1194">
        <f>VLOOKUP('Bilateral Assistance, MAIN DATA'!B271,'Country Summary (€)'!B:F,COLUMN('Country Summary (€)'!C282)-1,FALSE)</f>
        <v>1</v>
      </c>
      <c r="AZ271" s="1194" t="str">
        <f>IF(AND(AD271=1,D271="Military",H271&lt;&gt;"Not given")=TRUE,IF(SUMIFS(P:P,A:A,A271)&gt;0,ABS((SUMIFS(P:P,A:A,A271)/VLOOKUP("USD",'Exchange Rates'!B:C,2,0)))/S271,"."),".")</f>
        <v>.</v>
      </c>
      <c r="BA271" s="1196" t="str">
        <f>IF(AND(AD271=1,D271="Military",H271&lt;&gt;"Not given")=TRUE,IF(SUMIFS(P:P,A:A,A271)&gt;0,IF((ABS((SUMIFS(P:P,A:A,A271)/VLOOKUP("USD",'Exchange Rates'!B:C,2,0)))/S271)&gt;1,(SUMIFS(P:P,A:A,A271)-S271)/S271,(S271-SUMIFS(P:P,A:A,A271))/SUMIFS(P:P,A:A,A271)),"."),".")</f>
        <v>.</v>
      </c>
    </row>
    <row r="272" spans="1:53" ht="15.95" customHeight="1">
      <c r="A272" s="1180" t="s">
        <v>1135</v>
      </c>
      <c r="B272" s="1180" t="s">
        <v>1012</v>
      </c>
      <c r="C272" s="1181">
        <v>45056</v>
      </c>
      <c r="D272" s="1182" t="s">
        <v>389</v>
      </c>
      <c r="E272" s="1182" t="s">
        <v>390</v>
      </c>
      <c r="F272" s="1183" t="s">
        <v>1136</v>
      </c>
      <c r="G272" s="1184" t="s">
        <v>456</v>
      </c>
      <c r="H272" s="1185" t="s">
        <v>457</v>
      </c>
      <c r="I272" s="1141" t="s">
        <v>1137</v>
      </c>
      <c r="J272" s="1186" t="str">
        <f>VLOOKUP($I272,'Price List, Weapons &amp; Items'!B:C,2,0)</f>
        <v>Heavy weapon</v>
      </c>
      <c r="K272" s="1186" t="str">
        <f>IF(I272=".",I272,VLOOKUP($I272,'Price List, Weapons &amp; Items'!B:D,3,0))</f>
        <v>Anti-aircraft surface-to-air missile (SAM) system (short-range)</v>
      </c>
      <c r="L272" s="1187">
        <f>VLOOKUP(I272,'Price List, Weapons &amp; Items'!B:E,4,0)</f>
        <v>1</v>
      </c>
      <c r="M272" s="1188">
        <v>2</v>
      </c>
      <c r="N272" s="1188" t="s">
        <v>374</v>
      </c>
      <c r="O272" s="1188">
        <f>VLOOKUP($I272,'Price List, Weapons &amp; Items'!B:G,6,0)</f>
        <v>25000000</v>
      </c>
      <c r="P272" s="1185">
        <f t="shared" si="66"/>
        <v>50000000</v>
      </c>
      <c r="Q272" s="1185" t="str">
        <f t="shared" si="67"/>
        <v>.</v>
      </c>
      <c r="R272" s="1185">
        <f t="shared" si="63"/>
        <v>50000000</v>
      </c>
      <c r="S272" s="1185">
        <f>IF(AND(AD272=1,R272&lt;&gt;".")=TRUE,R272/VLOOKUP(G272,'Exchange Rates'!B:C,2,0),IF(R272=".",".",""))</f>
        <v>46006624.953993373</v>
      </c>
      <c r="T272" s="1185" t="str">
        <f>IF(AD272=1,IF(AF272="Value is not given at all",".",IF(AF272="Value is given by the source",S272,IF(AF272="Value is calculated with prices",(IF(SUMIFS(Q:Q,A:A,A272)&gt;0,SUMIFS(Q:Q,A:A,A272),"."))/VLOOKUP("USD",'Exchange Rates'!B:C,2,0),"Error with coding"))),"")</f>
        <v>.</v>
      </c>
      <c r="U272" s="1184" t="s">
        <v>365</v>
      </c>
      <c r="V272" s="973" t="s">
        <v>1138</v>
      </c>
      <c r="W272" s="973" t="s">
        <v>1139</v>
      </c>
      <c r="X272" s="966" t="s">
        <v>1140</v>
      </c>
      <c r="Y272" s="987" t="s">
        <v>1141</v>
      </c>
      <c r="Z272" s="1184">
        <v>0</v>
      </c>
      <c r="AA272" s="1194">
        <v>1</v>
      </c>
      <c r="AB272" s="1031" t="s">
        <v>364</v>
      </c>
      <c r="AC272" s="1192" t="str">
        <f>""</f>
        <v/>
      </c>
      <c r="AD272" s="985">
        <v>1</v>
      </c>
      <c r="AE272" s="985" t="s">
        <v>436</v>
      </c>
      <c r="AF272" s="985" t="s">
        <v>369</v>
      </c>
      <c r="AG272" s="985">
        <v>1</v>
      </c>
      <c r="AH272" s="1193">
        <v>17</v>
      </c>
      <c r="AI272" s="1193">
        <v>0</v>
      </c>
      <c r="AJ272" s="1193">
        <f>VLOOKUP($I272,'Price List, Weapons &amp; Items'!B:F,5,0)</f>
        <v>0</v>
      </c>
      <c r="AK272" s="1193">
        <f t="shared" si="68"/>
        <v>0</v>
      </c>
      <c r="AL272" s="1193">
        <f t="shared" si="69"/>
        <v>0</v>
      </c>
      <c r="AM272" s="1193">
        <f t="shared" si="70"/>
        <v>0</v>
      </c>
      <c r="AN272" s="1194" t="str">
        <f>VLOOKUP($I272,'Price List, Weapons &amp; Items'!B:L,COLUMN('Price List, Weapons &amp; Items'!$J$11)-1,0)</f>
        <v>Military media (incl. websites)</v>
      </c>
      <c r="AO272" s="1194" t="str">
        <f>IF(I272=".",".",VLOOKUP($I272,'Price List, Weapons &amp; Items'!B:J,3,0))</f>
        <v>Anti-aircraft surface-to-air missile (SAM) system (short-range)</v>
      </c>
      <c r="AP272" s="1195" t="str">
        <f t="shared" ca="1" si="64"/>
        <v>2K12 KUB</v>
      </c>
      <c r="AQ272" s="1194">
        <f>VLOOKUP($I272,'Price List, Weapons &amp; Items'!B:L,COLUMN('Price List, Weapons &amp; Items'!$L$11)-1,0)</f>
        <v>2</v>
      </c>
      <c r="AR272" s="1194">
        <f t="shared" si="71"/>
        <v>1</v>
      </c>
      <c r="AS272" s="1194">
        <f t="shared" si="72"/>
        <v>1</v>
      </c>
      <c r="AT272" s="1194">
        <f t="shared" si="73"/>
        <v>1</v>
      </c>
      <c r="AU272" s="1194" t="str">
        <f t="shared" si="74"/>
        <v>.</v>
      </c>
      <c r="AV272" s="1194" t="str">
        <f t="shared" si="65"/>
        <v>.</v>
      </c>
      <c r="AW272" s="1194" t="str">
        <f t="shared" si="75"/>
        <v>.</v>
      </c>
      <c r="AX272" s="1194">
        <f>IFERROR(VLOOKUP(B272,'Share, Heavy Weapons to Ukraine'!B:Z,COLUMN('Share, Heavy Weapons to Ukraine'!C282)-1,0),0)</f>
        <v>0</v>
      </c>
      <c r="AY272" s="1194">
        <f>VLOOKUP('Bilateral Assistance, MAIN DATA'!B272,'Country Summary (€)'!B:F,COLUMN('Country Summary (€)'!C283)-1,FALSE)</f>
        <v>1</v>
      </c>
      <c r="AZ272" s="1194" t="str">
        <f>IF(AND(AD272=1,D272="Military",H272&lt;&gt;"Not given")=TRUE,IF(SUMIFS(P:P,A:A,A272)&gt;0,ABS((SUMIFS(P:P,A:A,A272)/VLOOKUP("USD",'Exchange Rates'!B:C,2,0)))/S272,"."),".")</f>
        <v>.</v>
      </c>
      <c r="BA272" s="1196" t="str">
        <f>IF(AND(AD272=1,D272="Military",H272&lt;&gt;"Not given")=TRUE,IF(SUMIFS(P:P,A:A,A272)&gt;0,IF((ABS((SUMIFS(P:P,A:A,A272)/VLOOKUP("USD",'Exchange Rates'!B:C,2,0)))/S272)&gt;1,(SUMIFS(P:P,A:A,A272)-S272)/S272,(S272-SUMIFS(P:P,A:A,A272))/SUMIFS(P:P,A:A,A272)),"."),".")</f>
        <v>.</v>
      </c>
    </row>
    <row r="273" spans="1:72" ht="15.95" customHeight="1">
      <c r="A273" s="1180" t="s">
        <v>1142</v>
      </c>
      <c r="B273" s="1180" t="s">
        <v>1012</v>
      </c>
      <c r="C273" s="1181">
        <v>44616</v>
      </c>
      <c r="D273" s="1182" t="s">
        <v>360</v>
      </c>
      <c r="E273" s="1182" t="s">
        <v>361</v>
      </c>
      <c r="F273" s="1183" t="s">
        <v>1143</v>
      </c>
      <c r="G273" s="1184" t="s">
        <v>1014</v>
      </c>
      <c r="H273" s="1185">
        <v>300000000</v>
      </c>
      <c r="I273" s="1180" t="s">
        <v>364</v>
      </c>
      <c r="J273" s="1186" t="str">
        <f>VLOOKUP($I273,'Price List, Weapons &amp; Items'!B:C,2,0)</f>
        <v>.</v>
      </c>
      <c r="K273" s="1186" t="str">
        <f>IF(I273=".",I273,VLOOKUP($I273,'Price List, Weapons &amp; Items'!B:D,3,0))</f>
        <v>.</v>
      </c>
      <c r="L273" s="1187">
        <f>VLOOKUP(I273,'Price List, Weapons &amp; Items'!B:E,4,0)</f>
        <v>0</v>
      </c>
      <c r="M273" s="1188" t="s">
        <v>364</v>
      </c>
      <c r="N273" s="1188" t="s">
        <v>364</v>
      </c>
      <c r="O273" s="1188" t="str">
        <f>VLOOKUP($I273,'Price List, Weapons &amp; Items'!B:G,6,0)</f>
        <v>.</v>
      </c>
      <c r="P273" s="1185" t="str">
        <f t="shared" si="66"/>
        <v>.</v>
      </c>
      <c r="Q273" s="1185" t="str">
        <f t="shared" si="67"/>
        <v>.</v>
      </c>
      <c r="R273" s="1185">
        <f t="shared" si="63"/>
        <v>300000000</v>
      </c>
      <c r="S273" s="1185">
        <f>IF(AND(AD273=1,R273&lt;&gt;".")=TRUE,R273/VLOOKUP(G273,'Exchange Rates'!B:C,2,0),IF(R273=".",".",""))</f>
        <v>12714558.169103624</v>
      </c>
      <c r="T273" s="1185" t="str">
        <f>IF(AD273=1,IF(AF273="Value is not given at all",".",IF(AF273="Value is given by the source",S273,IF(AF273="Value is calculated with prices",(IF(SUMIFS(Q:Q,A:A,A273)&gt;0,SUMIFS(Q:Q,A:A,A273),"."))/VLOOKUP("USD",'Exchange Rates'!B:C,2,0),"Error with coding"))),"")</f>
        <v>.</v>
      </c>
      <c r="U273" s="1184" t="s">
        <v>365</v>
      </c>
      <c r="V273" s="971" t="s">
        <v>1056</v>
      </c>
      <c r="W273" s="971" t="s">
        <v>1144</v>
      </c>
      <c r="X273" s="971" t="s">
        <v>1145</v>
      </c>
      <c r="Y273" s="1190" t="s">
        <v>364</v>
      </c>
      <c r="Z273" s="978">
        <v>0</v>
      </c>
      <c r="AA273" s="1194">
        <v>0</v>
      </c>
      <c r="AB273" s="1201" t="s">
        <v>364</v>
      </c>
      <c r="AC273" s="1192" t="str">
        <f>""</f>
        <v/>
      </c>
      <c r="AD273" s="1193">
        <v>1</v>
      </c>
      <c r="AE273" s="1193" t="s">
        <v>368</v>
      </c>
      <c r="AF273" s="1193" t="s">
        <v>369</v>
      </c>
      <c r="AG273" s="1193">
        <v>1</v>
      </c>
      <c r="AH273" s="1193">
        <v>2</v>
      </c>
      <c r="AI273" s="1193">
        <v>0</v>
      </c>
      <c r="AJ273" s="1193">
        <f>VLOOKUP($I273,'Price List, Weapons &amp; Items'!B:F,5,0)</f>
        <v>0</v>
      </c>
      <c r="AK273" s="1193">
        <f t="shared" si="68"/>
        <v>0</v>
      </c>
      <c r="AL273" s="1193">
        <f t="shared" si="69"/>
        <v>0</v>
      </c>
      <c r="AM273" s="1193">
        <f t="shared" si="70"/>
        <v>0</v>
      </c>
      <c r="AN273" s="1194" t="str">
        <f>VLOOKUP($I273,'Price List, Weapons &amp; Items'!B:L,COLUMN('Price List, Weapons &amp; Items'!$J$11)-1,0)</f>
        <v>.</v>
      </c>
      <c r="AO273" s="1194" t="str">
        <f>IF(I273=".",".",VLOOKUP($I273,'Price List, Weapons &amp; Items'!B:J,3,0))</f>
        <v>.</v>
      </c>
      <c r="AP273" s="1195" t="str">
        <f t="shared" ca="1" si="64"/>
        <v>.</v>
      </c>
      <c r="AQ273" s="1194">
        <f>VLOOKUP($I273,'Price List, Weapons &amp; Items'!B:L,COLUMN('Price List, Weapons &amp; Items'!$L$11)-1,0)</f>
        <v>0</v>
      </c>
      <c r="AR273" s="1194">
        <f t="shared" si="71"/>
        <v>1</v>
      </c>
      <c r="AS273" s="1194">
        <f t="shared" si="72"/>
        <v>0</v>
      </c>
      <c r="AT273" s="1194">
        <f t="shared" si="73"/>
        <v>1</v>
      </c>
      <c r="AU273" s="1194" t="str">
        <f t="shared" si="74"/>
        <v>.</v>
      </c>
      <c r="AV273" s="1194" t="str">
        <f t="shared" si="65"/>
        <v>.</v>
      </c>
      <c r="AW273" s="1194" t="str">
        <f t="shared" si="75"/>
        <v>.</v>
      </c>
      <c r="AX273" s="1194">
        <f>IFERROR(VLOOKUP(B273,'Share, Heavy Weapons to Ukraine'!B:Z,COLUMN('Share, Heavy Weapons to Ukraine'!C283)-1,0),0)</f>
        <v>0</v>
      </c>
      <c r="AY273" s="1194">
        <f>VLOOKUP('Bilateral Assistance, MAIN DATA'!B273,'Country Summary (€)'!B:F,COLUMN('Country Summary (€)'!C284)-1,FALSE)</f>
        <v>1</v>
      </c>
      <c r="AZ273" s="1194" t="str">
        <f>IF(AND(AD273=1,D273="Military",H273&lt;&gt;"Not given")=TRUE,IF(SUMIFS(P:P,A:A,A273)&gt;0,ABS((SUMIFS(P:P,A:A,A273)/VLOOKUP("USD",'Exchange Rates'!B:C,2,0)))/S273,"."),".")</f>
        <v>.</v>
      </c>
      <c r="BA273" s="1196" t="str">
        <f>IF(AND(AD273=1,D273="Military",H273&lt;&gt;"Not given")=TRUE,IF(SUMIFS(P:P,A:A,A273)&gt;0,IF((ABS((SUMIFS(P:P,A:A,A273)/VLOOKUP("USD",'Exchange Rates'!B:C,2,0)))/S273)&gt;1,(SUMIFS(P:P,A:A,A273)-S273)/S273,(S273-SUMIFS(P:P,A:A,A273))/SUMIFS(P:P,A:A,A273)),"."),".")</f>
        <v>.</v>
      </c>
    </row>
    <row r="274" spans="1:72" ht="15.95" customHeight="1">
      <c r="A274" s="1180" t="s">
        <v>1146</v>
      </c>
      <c r="B274" s="1180" t="s">
        <v>1012</v>
      </c>
      <c r="C274" s="1181">
        <v>44624</v>
      </c>
      <c r="D274" s="1182" t="s">
        <v>360</v>
      </c>
      <c r="E274" s="1182" t="s">
        <v>371</v>
      </c>
      <c r="F274" s="1183" t="s">
        <v>1147</v>
      </c>
      <c r="G274" s="1184" t="s">
        <v>1014</v>
      </c>
      <c r="H274" s="1185">
        <v>108000000</v>
      </c>
      <c r="I274" s="1201" t="s">
        <v>364</v>
      </c>
      <c r="J274" s="1186" t="str">
        <f>VLOOKUP($I274,'Price List, Weapons &amp; Items'!B:C,2,0)</f>
        <v>.</v>
      </c>
      <c r="K274" s="1186" t="str">
        <f>IF(I274=".",I274,VLOOKUP($I274,'Price List, Weapons &amp; Items'!B:D,3,0))</f>
        <v>.</v>
      </c>
      <c r="L274" s="1187">
        <f>VLOOKUP(I274,'Price List, Weapons &amp; Items'!B:E,4,0)</f>
        <v>0</v>
      </c>
      <c r="M274" s="1188" t="s">
        <v>364</v>
      </c>
      <c r="N274" s="1188" t="s">
        <v>364</v>
      </c>
      <c r="O274" s="1188" t="str">
        <f>VLOOKUP($I274,'Price List, Weapons &amp; Items'!B:G,6,0)</f>
        <v>.</v>
      </c>
      <c r="P274" s="1185" t="str">
        <f t="shared" si="66"/>
        <v>.</v>
      </c>
      <c r="Q274" s="1185" t="str">
        <f t="shared" si="67"/>
        <v>.</v>
      </c>
      <c r="R274" s="1185">
        <f t="shared" si="63"/>
        <v>108000000</v>
      </c>
      <c r="S274" s="1185">
        <f>IF(AND(AD274=1,R274&lt;&gt;".")=TRUE,R274/VLOOKUP(G274,'Exchange Rates'!B:C,2,0),IF(R274=".",".",""))</f>
        <v>4577240.9408773044</v>
      </c>
      <c r="T274" s="1185" t="str">
        <f>IF(AD274=1,IF(AF274="Value is not given at all",".",IF(AF274="Value is given by the source",S274,IF(AF274="Value is calculated with prices",(IF(SUMIFS(Q:Q,A:A,A274)&gt;0,SUMIFS(Q:Q,A:A,A274),"."))/VLOOKUP("USD",'Exchange Rates'!B:C,2,0),"Error with coding"))),"")</f>
        <v>.</v>
      </c>
      <c r="U274" s="1184" t="s">
        <v>365</v>
      </c>
      <c r="V274" s="971" t="s">
        <v>1066</v>
      </c>
      <c r="W274" s="971" t="s">
        <v>1148</v>
      </c>
      <c r="X274" s="971" t="s">
        <v>1066</v>
      </c>
      <c r="Y274" s="1190" t="s">
        <v>364</v>
      </c>
      <c r="Z274" s="1184">
        <v>0</v>
      </c>
      <c r="AA274" s="1194">
        <v>0</v>
      </c>
      <c r="AB274" s="1201" t="s">
        <v>364</v>
      </c>
      <c r="AC274" s="1192" t="str">
        <f>""</f>
        <v/>
      </c>
      <c r="AD274" s="1193">
        <v>1</v>
      </c>
      <c r="AE274" s="1193" t="s">
        <v>368</v>
      </c>
      <c r="AF274" s="1193" t="s">
        <v>369</v>
      </c>
      <c r="AG274" s="1193">
        <v>1</v>
      </c>
      <c r="AH274" s="1193">
        <v>3</v>
      </c>
      <c r="AI274" s="1193">
        <v>0</v>
      </c>
      <c r="AJ274" s="1193">
        <f>VLOOKUP($I274,'Price List, Weapons &amp; Items'!B:F,5,0)</f>
        <v>0</v>
      </c>
      <c r="AK274" s="1193">
        <f t="shared" si="68"/>
        <v>0</v>
      </c>
      <c r="AL274" s="1193">
        <f t="shared" si="69"/>
        <v>0</v>
      </c>
      <c r="AM274" s="1193">
        <f t="shared" si="70"/>
        <v>0</v>
      </c>
      <c r="AN274" s="1194" t="str">
        <f>VLOOKUP($I274,'Price List, Weapons &amp; Items'!B:L,COLUMN('Price List, Weapons &amp; Items'!$J$11)-1,0)</f>
        <v>.</v>
      </c>
      <c r="AO274" s="1194" t="str">
        <f>IF(I274=".",".",VLOOKUP($I274,'Price List, Weapons &amp; Items'!B:J,3,0))</f>
        <v>.</v>
      </c>
      <c r="AP274" s="1195" t="str">
        <f t="shared" ca="1" si="64"/>
        <v>.</v>
      </c>
      <c r="AQ274" s="1194">
        <f>VLOOKUP($I274,'Price List, Weapons &amp; Items'!B:L,COLUMN('Price List, Weapons &amp; Items'!$L$11)-1,0)</f>
        <v>0</v>
      </c>
      <c r="AR274" s="1194">
        <f t="shared" si="71"/>
        <v>1</v>
      </c>
      <c r="AS274" s="1194">
        <f t="shared" si="72"/>
        <v>0</v>
      </c>
      <c r="AT274" s="1194">
        <f t="shared" si="73"/>
        <v>1</v>
      </c>
      <c r="AU274" s="1194" t="str">
        <f t="shared" si="74"/>
        <v>.</v>
      </c>
      <c r="AV274" s="1194" t="str">
        <f t="shared" si="65"/>
        <v>.</v>
      </c>
      <c r="AW274" s="1194" t="str">
        <f t="shared" si="75"/>
        <v>.</v>
      </c>
      <c r="AX274" s="1194">
        <f>IFERROR(VLOOKUP(B274,'Share, Heavy Weapons to Ukraine'!B:Z,COLUMN('Share, Heavy Weapons to Ukraine'!C284)-1,0),0)</f>
        <v>0</v>
      </c>
      <c r="AY274" s="1194">
        <f>VLOOKUP('Bilateral Assistance, MAIN DATA'!B274,'Country Summary (€)'!B:F,COLUMN('Country Summary (€)'!C285)-1,FALSE)</f>
        <v>1</v>
      </c>
      <c r="AZ274" s="1194" t="str">
        <f>IF(AND(AD274=1,D274="Military",H274&lt;&gt;"Not given")=TRUE,IF(SUMIFS(P:P,A:A,A274)&gt;0,ABS((SUMIFS(P:P,A:A,A274)/VLOOKUP("USD",'Exchange Rates'!B:C,2,0)))/S274,"."),".")</f>
        <v>.</v>
      </c>
      <c r="BA274" s="1196" t="str">
        <f>IF(AND(AD274=1,D274="Military",H274&lt;&gt;"Not given")=TRUE,IF(SUMIFS(P:P,A:A,A274)&gt;0,IF((ABS((SUMIFS(P:P,A:A,A274)/VLOOKUP("USD",'Exchange Rates'!B:C,2,0)))/S274)&gt;1,(SUMIFS(P:P,A:A,A274)-S274)/S274,(S274-SUMIFS(P:P,A:A,A274))/SUMIFS(P:P,A:A,A274)),"."),".")</f>
        <v>.</v>
      </c>
    </row>
    <row r="275" spans="1:72" ht="15.95" customHeight="1">
      <c r="A275" s="1180" t="s">
        <v>1149</v>
      </c>
      <c r="B275" s="1180" t="s">
        <v>1012</v>
      </c>
      <c r="C275" s="1181">
        <v>44625</v>
      </c>
      <c r="D275" s="1182" t="s">
        <v>360</v>
      </c>
      <c r="E275" s="1182" t="s">
        <v>481</v>
      </c>
      <c r="F275" s="1183" t="s">
        <v>1150</v>
      </c>
      <c r="G275" s="1184" t="s">
        <v>1014</v>
      </c>
      <c r="H275" s="1185">
        <v>10000000</v>
      </c>
      <c r="I275" s="1201" t="s">
        <v>364</v>
      </c>
      <c r="J275" s="1186" t="str">
        <f>VLOOKUP($I275,'Price List, Weapons &amp; Items'!B:C,2,0)</f>
        <v>.</v>
      </c>
      <c r="K275" s="1186" t="str">
        <f>IF(I275=".",I275,VLOOKUP($I275,'Price List, Weapons &amp; Items'!B:D,3,0))</f>
        <v>.</v>
      </c>
      <c r="L275" s="1187">
        <f>VLOOKUP(I275,'Price List, Weapons &amp; Items'!B:E,4,0)</f>
        <v>0</v>
      </c>
      <c r="M275" s="1188" t="s">
        <v>364</v>
      </c>
      <c r="N275" s="1188" t="s">
        <v>364</v>
      </c>
      <c r="O275" s="1188" t="str">
        <f>VLOOKUP($I275,'Price List, Weapons &amp; Items'!B:G,6,0)</f>
        <v>.</v>
      </c>
      <c r="P275" s="1185" t="str">
        <f t="shared" si="66"/>
        <v>.</v>
      </c>
      <c r="Q275" s="1185" t="str">
        <f t="shared" si="67"/>
        <v>.</v>
      </c>
      <c r="R275" s="1185">
        <f t="shared" si="63"/>
        <v>10000000</v>
      </c>
      <c r="S275" s="1185">
        <f>IF(AND(AD275=1,R275&lt;&gt;".")=TRUE,R275/VLOOKUP(G275,'Exchange Rates'!B:C,2,0),IF(R275=".",".",""))</f>
        <v>423818.60563678748</v>
      </c>
      <c r="T275" s="1185" t="str">
        <f>IF(AD275=1,IF(AF275="Value is not given at all",".",IF(AF275="Value is given by the source",S275,IF(AF275="Value is calculated with prices",(IF(SUMIFS(Q:Q,A:A,A275)&gt;0,SUMIFS(Q:Q,A:A,A275),"."))/VLOOKUP("USD",'Exchange Rates'!B:C,2,0),"Error with coding"))),"")</f>
        <v>.</v>
      </c>
      <c r="U275" s="1184" t="s">
        <v>365</v>
      </c>
      <c r="V275" s="971" t="s">
        <v>1066</v>
      </c>
      <c r="W275" s="1190" t="s">
        <v>364</v>
      </c>
      <c r="X275" s="1190" t="s">
        <v>364</v>
      </c>
      <c r="Y275" s="1190" t="s">
        <v>364</v>
      </c>
      <c r="Z275" s="1184">
        <v>0</v>
      </c>
      <c r="AA275" s="1194">
        <v>0</v>
      </c>
      <c r="AB275" s="1201" t="s">
        <v>364</v>
      </c>
      <c r="AC275" s="1192" t="str">
        <f>""</f>
        <v/>
      </c>
      <c r="AD275" s="1193">
        <v>1</v>
      </c>
      <c r="AE275" s="1193" t="s">
        <v>368</v>
      </c>
      <c r="AF275" s="1193" t="s">
        <v>369</v>
      </c>
      <c r="AG275" s="1193">
        <v>1</v>
      </c>
      <c r="AH275" s="1193">
        <v>3</v>
      </c>
      <c r="AI275" s="1193">
        <v>0</v>
      </c>
      <c r="AJ275" s="1193">
        <f>VLOOKUP($I275,'Price List, Weapons &amp; Items'!B:F,5,0)</f>
        <v>0</v>
      </c>
      <c r="AK275" s="1193">
        <f t="shared" si="68"/>
        <v>0</v>
      </c>
      <c r="AL275" s="1193">
        <f t="shared" si="69"/>
        <v>0</v>
      </c>
      <c r="AM275" s="1193">
        <f t="shared" si="70"/>
        <v>0</v>
      </c>
      <c r="AN275" s="1194" t="str">
        <f>VLOOKUP($I275,'Price List, Weapons &amp; Items'!B:L,COLUMN('Price List, Weapons &amp; Items'!$J$11)-1,0)</f>
        <v>.</v>
      </c>
      <c r="AO275" s="1194" t="str">
        <f>IF(I275=".",".",VLOOKUP($I275,'Price List, Weapons &amp; Items'!B:J,3,0))</f>
        <v>.</v>
      </c>
      <c r="AP275" s="1195" t="str">
        <f t="shared" ca="1" si="64"/>
        <v>.</v>
      </c>
      <c r="AQ275" s="1194">
        <f>VLOOKUP($I275,'Price List, Weapons &amp; Items'!B:L,COLUMN('Price List, Weapons &amp; Items'!$L$11)-1,0)</f>
        <v>0</v>
      </c>
      <c r="AR275" s="1194">
        <f t="shared" si="71"/>
        <v>1</v>
      </c>
      <c r="AS275" s="1194">
        <f t="shared" si="72"/>
        <v>0</v>
      </c>
      <c r="AT275" s="1194">
        <f t="shared" si="73"/>
        <v>1</v>
      </c>
      <c r="AU275" s="1194" t="str">
        <f t="shared" si="74"/>
        <v>.</v>
      </c>
      <c r="AV275" s="1194" t="str">
        <f t="shared" si="65"/>
        <v>.</v>
      </c>
      <c r="AW275" s="1194" t="str">
        <f t="shared" si="75"/>
        <v>.</v>
      </c>
      <c r="AX275" s="1194">
        <f>IFERROR(VLOOKUP(B275,'Share, Heavy Weapons to Ukraine'!B:Z,COLUMN('Share, Heavy Weapons to Ukraine'!C285)-1,0),0)</f>
        <v>0</v>
      </c>
      <c r="AY275" s="1194">
        <f>VLOOKUP('Bilateral Assistance, MAIN DATA'!B275,'Country Summary (€)'!B:F,COLUMN('Country Summary (€)'!C286)-1,FALSE)</f>
        <v>1</v>
      </c>
      <c r="AZ275" s="1194" t="str">
        <f>IF(AND(AD275=1,D275="Military",H275&lt;&gt;"Not given")=TRUE,IF(SUMIFS(P:P,A:A,A275)&gt;0,ABS((SUMIFS(P:P,A:A,A275)/VLOOKUP("USD",'Exchange Rates'!B:C,2,0)))/S275,"."),".")</f>
        <v>.</v>
      </c>
      <c r="BA275" s="1196" t="str">
        <f>IF(AND(AD275=1,D275="Military",H275&lt;&gt;"Not given")=TRUE,IF(SUMIFS(P:P,A:A,A275)&gt;0,IF((ABS((SUMIFS(P:P,A:A,A275)/VLOOKUP("USD",'Exchange Rates'!B:C,2,0)))/S275)&gt;1,(SUMIFS(P:P,A:A,A275)-S275)/S275,(S275-SUMIFS(P:P,A:A,A275))/SUMIFS(P:P,A:A,A275)),"."),".")</f>
        <v>.</v>
      </c>
    </row>
    <row r="276" spans="1:72" ht="15.95" customHeight="1">
      <c r="A276" s="1180" t="s">
        <v>1151</v>
      </c>
      <c r="B276" s="1180" t="s">
        <v>1012</v>
      </c>
      <c r="C276" s="1181" t="s">
        <v>1064</v>
      </c>
      <c r="D276" s="1182" t="s">
        <v>360</v>
      </c>
      <c r="E276" s="1182" t="s">
        <v>1152</v>
      </c>
      <c r="F276" s="1183" t="s">
        <v>1153</v>
      </c>
      <c r="G276" s="1184" t="s">
        <v>1014</v>
      </c>
      <c r="H276" s="1185">
        <v>25000000</v>
      </c>
      <c r="I276" s="1180" t="s">
        <v>364</v>
      </c>
      <c r="J276" s="1186" t="str">
        <f>VLOOKUP($I276,'Price List, Weapons &amp; Items'!B:C,2,0)</f>
        <v>.</v>
      </c>
      <c r="K276" s="1186" t="str">
        <f>IF(I276=".",I276,VLOOKUP($I276,'Price List, Weapons &amp; Items'!B:D,3,0))</f>
        <v>.</v>
      </c>
      <c r="L276" s="1187">
        <f>VLOOKUP(I276,'Price List, Weapons &amp; Items'!B:E,4,0)</f>
        <v>0</v>
      </c>
      <c r="M276" s="1188" t="s">
        <v>364</v>
      </c>
      <c r="N276" s="1188" t="s">
        <v>364</v>
      </c>
      <c r="O276" s="1188" t="str">
        <f>VLOOKUP($I276,'Price List, Weapons &amp; Items'!B:G,6,0)</f>
        <v>.</v>
      </c>
      <c r="P276" s="1185" t="str">
        <f t="shared" si="66"/>
        <v>.</v>
      </c>
      <c r="Q276" s="1185" t="str">
        <f t="shared" si="67"/>
        <v>.</v>
      </c>
      <c r="R276" s="1185">
        <f t="shared" si="63"/>
        <v>25000000</v>
      </c>
      <c r="S276" s="1185">
        <f>IF(AND(AD276=1,R276&lt;&gt;".")=TRUE,R276/VLOOKUP(G276,'Exchange Rates'!B:C,2,0),IF(R276=".",".",""))</f>
        <v>1059546.5140919688</v>
      </c>
      <c r="T276" s="1185" t="str">
        <f>IF(AD276=1,IF(AF276="Value is not given at all",".",IF(AF276="Value is given by the source",S276,IF(AF276="Value is calculated with prices",(IF(SUMIFS(Q:Q,A:A,A276)&gt;0,SUMIFS(Q:Q,A:A,A276),"."))/VLOOKUP("USD",'Exchange Rates'!B:C,2,0),"Error with coding"))),"")</f>
        <v>.</v>
      </c>
      <c r="U276" s="1184" t="s">
        <v>365</v>
      </c>
      <c r="V276" s="971" t="s">
        <v>1056</v>
      </c>
      <c r="W276" s="1190" t="s">
        <v>364</v>
      </c>
      <c r="X276" s="1190" t="s">
        <v>364</v>
      </c>
      <c r="Y276" s="1190" t="s">
        <v>364</v>
      </c>
      <c r="Z276" s="978">
        <v>0</v>
      </c>
      <c r="AA276" s="1194">
        <v>0</v>
      </c>
      <c r="AB276" s="1201" t="s">
        <v>364</v>
      </c>
      <c r="AC276" s="1192" t="str">
        <f>""</f>
        <v/>
      </c>
      <c r="AD276" s="1193">
        <v>1</v>
      </c>
      <c r="AE276" s="1193" t="s">
        <v>368</v>
      </c>
      <c r="AF276" s="1193" t="s">
        <v>369</v>
      </c>
      <c r="AG276" s="1193">
        <v>1</v>
      </c>
      <c r="AH276" s="1193">
        <v>3</v>
      </c>
      <c r="AI276" s="1193">
        <v>0</v>
      </c>
      <c r="AJ276" s="1193">
        <f>VLOOKUP($I276,'Price List, Weapons &amp; Items'!B:F,5,0)</f>
        <v>0</v>
      </c>
      <c r="AK276" s="1193">
        <f t="shared" si="68"/>
        <v>0</v>
      </c>
      <c r="AL276" s="1193">
        <f t="shared" si="69"/>
        <v>0</v>
      </c>
      <c r="AM276" s="1193">
        <f t="shared" si="70"/>
        <v>0</v>
      </c>
      <c r="AN276" s="1194" t="str">
        <f>VLOOKUP($I276,'Price List, Weapons &amp; Items'!B:L,COLUMN('Price List, Weapons &amp; Items'!$J$11)-1,0)</f>
        <v>.</v>
      </c>
      <c r="AO276" s="1194" t="str">
        <f>IF(I276=".",".",VLOOKUP($I276,'Price List, Weapons &amp; Items'!B:J,3,0))</f>
        <v>.</v>
      </c>
      <c r="AP276" s="1195" t="str">
        <f t="shared" ca="1" si="64"/>
        <v>.</v>
      </c>
      <c r="AQ276" s="1194">
        <f>VLOOKUP($I276,'Price List, Weapons &amp; Items'!B:L,COLUMN('Price List, Weapons &amp; Items'!$L$11)-1,0)</f>
        <v>0</v>
      </c>
      <c r="AR276" s="1194">
        <f t="shared" si="71"/>
        <v>1</v>
      </c>
      <c r="AS276" s="1194">
        <f t="shared" si="72"/>
        <v>0</v>
      </c>
      <c r="AT276" s="1194" t="str">
        <f t="shared" si="73"/>
        <v>Value is not in date format</v>
      </c>
      <c r="AU276" s="1194" t="str">
        <f t="shared" si="74"/>
        <v>.</v>
      </c>
      <c r="AV276" s="1194" t="str">
        <f t="shared" si="65"/>
        <v>.</v>
      </c>
      <c r="AW276" s="1194" t="str">
        <f t="shared" si="75"/>
        <v>.</v>
      </c>
      <c r="AX276" s="1194">
        <f>IFERROR(VLOOKUP(B276,'Share, Heavy Weapons to Ukraine'!B:Z,COLUMN('Share, Heavy Weapons to Ukraine'!C286)-1,0),0)</f>
        <v>0</v>
      </c>
      <c r="AY276" s="1194">
        <f>VLOOKUP('Bilateral Assistance, MAIN DATA'!B276,'Country Summary (€)'!B:F,COLUMN('Country Summary (€)'!C287)-1,FALSE)</f>
        <v>1</v>
      </c>
      <c r="AZ276" s="1194" t="str">
        <f>IF(AND(AD276=1,D276="Military",H276&lt;&gt;"Not given")=TRUE,IF(SUMIFS(P:P,A:A,A276)&gt;0,ABS((SUMIFS(P:P,A:A,A276)/VLOOKUP("USD",'Exchange Rates'!B:C,2,0)))/S276,"."),".")</f>
        <v>.</v>
      </c>
      <c r="BA276" s="1196" t="str">
        <f>IF(AND(AD276=1,D276="Military",H276&lt;&gt;"Not given")=TRUE,IF(SUMIFS(P:P,A:A,A276)&gt;0,IF((ABS((SUMIFS(P:P,A:A,A276)/VLOOKUP("USD",'Exchange Rates'!B:C,2,0)))/S276)&gt;1,(SUMIFS(P:P,A:A,A276)-S276)/S276,(S276-SUMIFS(P:P,A:A,A276))/SUMIFS(P:P,A:A,A276)),"."),".")</f>
        <v>.</v>
      </c>
    </row>
    <row r="277" spans="1:72" ht="15.95" customHeight="1">
      <c r="A277" s="1180" t="s">
        <v>1154</v>
      </c>
      <c r="B277" s="1180" t="s">
        <v>1012</v>
      </c>
      <c r="C277" s="1181">
        <v>44658</v>
      </c>
      <c r="D277" s="1182" t="s">
        <v>360</v>
      </c>
      <c r="E277" s="1182" t="s">
        <v>371</v>
      </c>
      <c r="F277" s="1183" t="s">
        <v>1155</v>
      </c>
      <c r="G277" s="1184" t="s">
        <v>1014</v>
      </c>
      <c r="H277" s="1185">
        <v>4500000</v>
      </c>
      <c r="I277" s="1180" t="s">
        <v>1156</v>
      </c>
      <c r="J277" s="1186" t="str">
        <f>VLOOKUP($I277,'Price List, Weapons &amp; Items'!B:C,2,0)</f>
        <v>Humanitarian</v>
      </c>
      <c r="K277" s="1186" t="str">
        <f>IF(I277=".",I277,VLOOKUP($I277,'Price List, Weapons &amp; Items'!B:D,3,0))</f>
        <v>Humanitarian</v>
      </c>
      <c r="L277" s="1187">
        <f>VLOOKUP(I277,'Price List, Weapons &amp; Items'!B:E,4,0)</f>
        <v>0</v>
      </c>
      <c r="M277" s="1188">
        <v>6</v>
      </c>
      <c r="N277" s="1275">
        <v>6</v>
      </c>
      <c r="O277" s="1188">
        <f>VLOOKUP($I277,'Price List, Weapons &amp; Items'!B:G,6,0)</f>
        <v>400000</v>
      </c>
      <c r="P277" s="1185">
        <f t="shared" si="66"/>
        <v>2400000</v>
      </c>
      <c r="Q277" s="1185">
        <f t="shared" si="67"/>
        <v>2400000</v>
      </c>
      <c r="R277" s="1185">
        <f t="shared" si="63"/>
        <v>4500000</v>
      </c>
      <c r="S277" s="1185">
        <f>IF(AND(AD277=1,R277&lt;&gt;".")=TRUE,R277/VLOOKUP(G277,'Exchange Rates'!B:C,2,0),IF(R277=".",".",""))</f>
        <v>190718.37253655435</v>
      </c>
      <c r="T277" s="1185">
        <f>IF(AD277=1,IF(AF277="Value is not given at all",".",IF(AF277="Value is given by the source",S277,IF(AF277="Value is calculated with prices",(IF(SUMIFS(Q:Q,A:A,A277)&gt;0,SUMIFS(Q:Q,A:A,A277),"."))/VLOOKUP("USD",'Exchange Rates'!B:C,2,0),"Error with coding"))),"")</f>
        <v>190718.37253655435</v>
      </c>
      <c r="U277" s="1184" t="s">
        <v>365</v>
      </c>
      <c r="V277" s="980" t="s">
        <v>1056</v>
      </c>
      <c r="W277" s="1190" t="s">
        <v>364</v>
      </c>
      <c r="X277" s="1190" t="s">
        <v>364</v>
      </c>
      <c r="Y277" s="1219" t="s">
        <v>364</v>
      </c>
      <c r="Z277" s="1184">
        <v>0</v>
      </c>
      <c r="AA277" s="1184">
        <v>1</v>
      </c>
      <c r="AB277" s="980" t="s">
        <v>1056</v>
      </c>
      <c r="AC277" s="1192" t="str">
        <f>""</f>
        <v/>
      </c>
      <c r="AD277" s="1184">
        <v>1</v>
      </c>
      <c r="AE277" s="1184" t="s">
        <v>368</v>
      </c>
      <c r="AF277" s="1184" t="s">
        <v>368</v>
      </c>
      <c r="AG277" s="1184">
        <v>1</v>
      </c>
      <c r="AH277" s="1184">
        <v>4</v>
      </c>
      <c r="AI277" s="1184">
        <v>0</v>
      </c>
      <c r="AJ277" s="1193">
        <f>VLOOKUP($I277,'Price List, Weapons &amp; Items'!B:F,5,0)</f>
        <v>0</v>
      </c>
      <c r="AK277" s="1193">
        <f t="shared" si="68"/>
        <v>0</v>
      </c>
      <c r="AL277" s="1193">
        <f t="shared" si="69"/>
        <v>0</v>
      </c>
      <c r="AM277" s="1193">
        <f t="shared" si="70"/>
        <v>0</v>
      </c>
      <c r="AN277" s="1194" t="str">
        <f>VLOOKUP($I277,'Price List, Weapons &amp; Items'!B:L,COLUMN('Price List, Weapons &amp; Items'!$J$11)-1,0)</f>
        <v>Media reports (incl. social media)</v>
      </c>
      <c r="AO277" s="1194" t="str">
        <f>IF(I277=".",".",VLOOKUP($I277,'Price List, Weapons &amp; Items'!B:J,3,0))</f>
        <v>Humanitarian</v>
      </c>
      <c r="AP277" s="1195" t="str">
        <f t="shared" ca="1" si="64"/>
        <v>fire-engine</v>
      </c>
      <c r="AQ277" s="1194">
        <f>VLOOKUP($I277,'Price List, Weapons &amp; Items'!B:L,COLUMN('Price List, Weapons &amp; Items'!$L$11)-1,0)</f>
        <v>0</v>
      </c>
      <c r="AR277" s="1194">
        <f t="shared" si="71"/>
        <v>1</v>
      </c>
      <c r="AS277" s="1194">
        <f t="shared" si="72"/>
        <v>0</v>
      </c>
      <c r="AT277" s="1194">
        <f t="shared" si="73"/>
        <v>1</v>
      </c>
      <c r="AU277" s="1194" t="str">
        <f t="shared" si="74"/>
        <v>.</v>
      </c>
      <c r="AV277" s="1194" t="str">
        <f t="shared" si="65"/>
        <v>.</v>
      </c>
      <c r="AW277" s="1194" t="str">
        <f t="shared" si="75"/>
        <v>.</v>
      </c>
      <c r="AX277" s="1194">
        <f>IFERROR(VLOOKUP(B277,'Share, Heavy Weapons to Ukraine'!B:Z,COLUMN('Share, Heavy Weapons to Ukraine'!C287)-1,0),0)</f>
        <v>0</v>
      </c>
      <c r="AY277" s="1194">
        <f>VLOOKUP('Bilateral Assistance, MAIN DATA'!B277,'Country Summary (€)'!B:F,COLUMN('Country Summary (€)'!C288)-1,FALSE)</f>
        <v>1</v>
      </c>
      <c r="AZ277" s="1194" t="str">
        <f>IF(AND(AD277=1,D277="Military",H277&lt;&gt;"Not given")=TRUE,IF(SUMIFS(P:P,A:A,A277)&gt;0,ABS((SUMIFS(P:P,A:A,A277)/VLOOKUP("USD",'Exchange Rates'!B:C,2,0)))/S277,"."),".")</f>
        <v>.</v>
      </c>
      <c r="BA277" s="1196" t="str">
        <f>IF(AND(AD277=1,D277="Military",H277&lt;&gt;"Not given")=TRUE,IF(SUMIFS(P:P,A:A,A277)&gt;0,IF((ABS((SUMIFS(P:P,A:A,A277)/VLOOKUP("USD",'Exchange Rates'!B:C,2,0)))/S277)&gt;1,(SUMIFS(P:P,A:A,A277)-S277)/S277,(S277-SUMIFS(P:P,A:A,A277))/SUMIFS(P:P,A:A,A277)),"."),".")</f>
        <v>.</v>
      </c>
      <c r="BB277" s="1180"/>
      <c r="BC277" s="1180"/>
      <c r="BD277" s="1180"/>
      <c r="BE277" s="1180"/>
      <c r="BF277" s="1180"/>
      <c r="BG277" s="1180"/>
      <c r="BH277" s="1180"/>
      <c r="BI277" s="1180"/>
      <c r="BJ277" s="1180"/>
      <c r="BK277" s="1180"/>
      <c r="BL277" s="1180"/>
      <c r="BM277" s="1180"/>
      <c r="BN277" s="1180"/>
      <c r="BO277" s="1180"/>
      <c r="BP277" s="1180"/>
      <c r="BQ277" s="1180"/>
      <c r="BR277" s="1180"/>
      <c r="BS277" s="1180"/>
      <c r="BT277" s="1180"/>
    </row>
    <row r="278" spans="1:72" ht="15.95" customHeight="1">
      <c r="A278" s="1180" t="s">
        <v>1157</v>
      </c>
      <c r="B278" s="1180" t="s">
        <v>1012</v>
      </c>
      <c r="C278" s="1181">
        <v>44657</v>
      </c>
      <c r="D278" s="1182" t="s">
        <v>360</v>
      </c>
      <c r="E278" s="1182" t="s">
        <v>1152</v>
      </c>
      <c r="F278" s="1183" t="s">
        <v>1158</v>
      </c>
      <c r="G278" s="1184" t="s">
        <v>1014</v>
      </c>
      <c r="H278" s="1185">
        <v>14000000</v>
      </c>
      <c r="I278" s="1180" t="s">
        <v>364</v>
      </c>
      <c r="J278" s="1186" t="str">
        <f>VLOOKUP($I278,'Price List, Weapons &amp; Items'!B:C,2,0)</f>
        <v>.</v>
      </c>
      <c r="K278" s="1186" t="str">
        <f>IF(I278=".",I278,VLOOKUP($I278,'Price List, Weapons &amp; Items'!B:D,3,0))</f>
        <v>.</v>
      </c>
      <c r="L278" s="1187">
        <f>VLOOKUP(I278,'Price List, Weapons &amp; Items'!B:E,4,0)</f>
        <v>0</v>
      </c>
      <c r="M278" s="1188" t="s">
        <v>364</v>
      </c>
      <c r="N278" s="1188" t="s">
        <v>364</v>
      </c>
      <c r="O278" s="1188" t="str">
        <f>VLOOKUP($I278,'Price List, Weapons &amp; Items'!B:G,6,0)</f>
        <v>.</v>
      </c>
      <c r="P278" s="1185" t="str">
        <f t="shared" si="66"/>
        <v>.</v>
      </c>
      <c r="Q278" s="1185" t="str">
        <f t="shared" si="67"/>
        <v>.</v>
      </c>
      <c r="R278" s="1185">
        <f t="shared" si="63"/>
        <v>14000000</v>
      </c>
      <c r="S278" s="1185">
        <f>IF(AND(AD278=1,R278&lt;&gt;".")=TRUE,R278/VLOOKUP(G278,'Exchange Rates'!B:C,2,0),IF(R278=".",".",""))</f>
        <v>593346.0478915025</v>
      </c>
      <c r="T278" s="1185" t="str">
        <f>IF(AD278=1,IF(AF278="Value is not given at all",".",IF(AF278="Value is given by the source",S278,IF(AF278="Value is calculated with prices",(IF(SUMIFS(Q:Q,A:A,A278)&gt;0,SUMIFS(Q:Q,A:A,A278),"."))/VLOOKUP("USD",'Exchange Rates'!B:C,2,0),"Error with coding"))),"")</f>
        <v>.</v>
      </c>
      <c r="U278" s="1184" t="s">
        <v>365</v>
      </c>
      <c r="V278" s="971" t="s">
        <v>1056</v>
      </c>
      <c r="W278" s="1190" t="s">
        <v>364</v>
      </c>
      <c r="X278" s="1190" t="s">
        <v>364</v>
      </c>
      <c r="Y278" s="1190" t="s">
        <v>364</v>
      </c>
      <c r="Z278" s="978">
        <v>0</v>
      </c>
      <c r="AA278" s="1194">
        <v>0</v>
      </c>
      <c r="AB278" s="1201" t="s">
        <v>364</v>
      </c>
      <c r="AC278" s="1192" t="str">
        <f>""</f>
        <v/>
      </c>
      <c r="AD278" s="1193">
        <v>1</v>
      </c>
      <c r="AE278" s="1193" t="s">
        <v>368</v>
      </c>
      <c r="AF278" s="1193" t="s">
        <v>369</v>
      </c>
      <c r="AG278" s="1193">
        <v>1</v>
      </c>
      <c r="AH278" s="1193">
        <v>4</v>
      </c>
      <c r="AI278" s="1193">
        <v>0</v>
      </c>
      <c r="AJ278" s="1193">
        <f>VLOOKUP($I278,'Price List, Weapons &amp; Items'!B:F,5,0)</f>
        <v>0</v>
      </c>
      <c r="AK278" s="1193">
        <f t="shared" si="68"/>
        <v>0</v>
      </c>
      <c r="AL278" s="1193">
        <f t="shared" si="69"/>
        <v>0</v>
      </c>
      <c r="AM278" s="1193">
        <f t="shared" si="70"/>
        <v>0</v>
      </c>
      <c r="AN278" s="1194" t="str">
        <f>VLOOKUP($I278,'Price List, Weapons &amp; Items'!B:L,COLUMN('Price List, Weapons &amp; Items'!$J$11)-1,0)</f>
        <v>.</v>
      </c>
      <c r="AO278" s="1194" t="str">
        <f>IF(I278=".",".",VLOOKUP($I278,'Price List, Weapons &amp; Items'!B:J,3,0))</f>
        <v>.</v>
      </c>
      <c r="AP278" s="1195" t="str">
        <f t="shared" ca="1" si="64"/>
        <v>.</v>
      </c>
      <c r="AQ278" s="1194">
        <f>VLOOKUP($I278,'Price List, Weapons &amp; Items'!B:L,COLUMN('Price List, Weapons &amp; Items'!$L$11)-1,0)</f>
        <v>0</v>
      </c>
      <c r="AR278" s="1194">
        <f t="shared" si="71"/>
        <v>1</v>
      </c>
      <c r="AS278" s="1194">
        <f t="shared" si="72"/>
        <v>0</v>
      </c>
      <c r="AT278" s="1194">
        <f t="shared" si="73"/>
        <v>1</v>
      </c>
      <c r="AU278" s="1194" t="str">
        <f t="shared" si="74"/>
        <v>.</v>
      </c>
      <c r="AV278" s="1194" t="str">
        <f t="shared" si="65"/>
        <v>.</v>
      </c>
      <c r="AW278" s="1194" t="str">
        <f t="shared" si="75"/>
        <v>.</v>
      </c>
      <c r="AX278" s="1194">
        <f>IFERROR(VLOOKUP(B278,'Share, Heavy Weapons to Ukraine'!B:Z,COLUMN('Share, Heavy Weapons to Ukraine'!C288)-1,0),0)</f>
        <v>0</v>
      </c>
      <c r="AY278" s="1194">
        <f>VLOOKUP('Bilateral Assistance, MAIN DATA'!B278,'Country Summary (€)'!B:F,COLUMN('Country Summary (€)'!C289)-1,FALSE)</f>
        <v>1</v>
      </c>
      <c r="AZ278" s="1194" t="str">
        <f>IF(AND(AD278=1,D278="Military",H278&lt;&gt;"Not given")=TRUE,IF(SUMIFS(P:P,A:A,A278)&gt;0,ABS((SUMIFS(P:P,A:A,A278)/VLOOKUP("USD",'Exchange Rates'!B:C,2,0)))/S278,"."),".")</f>
        <v>.</v>
      </c>
      <c r="BA278" s="1196" t="str">
        <f>IF(AND(AD278=1,D278="Military",H278&lt;&gt;"Not given")=TRUE,IF(SUMIFS(P:P,A:A,A278)&gt;0,IF((ABS((SUMIFS(P:P,A:A,A278)/VLOOKUP("USD",'Exchange Rates'!B:C,2,0)))/S278)&gt;1,(SUMIFS(P:P,A:A,A278)-S278)/S278,(S278-SUMIFS(P:P,A:A,A278))/SUMIFS(P:P,A:A,A278)),"."),".")</f>
        <v>.</v>
      </c>
    </row>
    <row r="279" spans="1:72" ht="15.95" customHeight="1">
      <c r="A279" s="1180" t="s">
        <v>1159</v>
      </c>
      <c r="B279" s="1180" t="s">
        <v>1012</v>
      </c>
      <c r="C279" s="1181">
        <v>44686</v>
      </c>
      <c r="D279" s="1182" t="s">
        <v>360</v>
      </c>
      <c r="E279" s="1182" t="s">
        <v>1152</v>
      </c>
      <c r="F279" s="1183" t="s">
        <v>1160</v>
      </c>
      <c r="G279" s="1184" t="s">
        <v>1014</v>
      </c>
      <c r="H279" s="1185">
        <v>433000000</v>
      </c>
      <c r="I279" s="1180" t="s">
        <v>364</v>
      </c>
      <c r="J279" s="1186" t="str">
        <f>VLOOKUP($I279,'Price List, Weapons &amp; Items'!B:C,2,0)</f>
        <v>.</v>
      </c>
      <c r="K279" s="1186" t="str">
        <f>IF(I279=".",I279,VLOOKUP($I279,'Price List, Weapons &amp; Items'!B:D,3,0))</f>
        <v>.</v>
      </c>
      <c r="L279" s="1187">
        <f>VLOOKUP(I279,'Price List, Weapons &amp; Items'!B:E,4,0)</f>
        <v>0</v>
      </c>
      <c r="M279" s="1188" t="s">
        <v>364</v>
      </c>
      <c r="N279" s="1188" t="s">
        <v>364</v>
      </c>
      <c r="O279" s="1188" t="str">
        <f>VLOOKUP($I279,'Price List, Weapons &amp; Items'!B:G,6,0)</f>
        <v>.</v>
      </c>
      <c r="P279" s="1185" t="str">
        <f t="shared" si="66"/>
        <v>.</v>
      </c>
      <c r="Q279" s="1185" t="str">
        <f t="shared" si="67"/>
        <v>.</v>
      </c>
      <c r="R279" s="1185">
        <f t="shared" si="63"/>
        <v>433000000</v>
      </c>
      <c r="S279" s="1185">
        <f>IF(AND(AD279=1,R279&lt;&gt;".")=TRUE,R279/VLOOKUP(G279,'Exchange Rates'!B:C,2,0),IF(R279=".",".",""))</f>
        <v>18351345.624072898</v>
      </c>
      <c r="T279" s="1185" t="str">
        <f>IF(AD279=1,IF(AF279="Value is not given at all",".",IF(AF279="Value is given by the source",S279,IF(AF279="Value is calculated with prices",(IF(SUMIFS(Q:Q,A:A,A279)&gt;0,SUMIFS(Q:Q,A:A,A279),"."))/VLOOKUP("USD",'Exchange Rates'!B:C,2,0),"Error with coding"))),"")</f>
        <v>.</v>
      </c>
      <c r="U279" s="1184" t="s">
        <v>365</v>
      </c>
      <c r="V279" s="971" t="s">
        <v>930</v>
      </c>
      <c r="W279" s="1190" t="s">
        <v>364</v>
      </c>
      <c r="X279" s="1190" t="s">
        <v>364</v>
      </c>
      <c r="Y279" s="1190" t="s">
        <v>364</v>
      </c>
      <c r="Z279" s="978">
        <v>0</v>
      </c>
      <c r="AA279" s="1194">
        <v>0</v>
      </c>
      <c r="AB279" s="1201" t="s">
        <v>364</v>
      </c>
      <c r="AC279" s="1192" t="str">
        <f>""</f>
        <v/>
      </c>
      <c r="AD279" s="1193">
        <v>1</v>
      </c>
      <c r="AE279" s="1193" t="s">
        <v>368</v>
      </c>
      <c r="AF279" s="1193" t="s">
        <v>369</v>
      </c>
      <c r="AG279" s="1193">
        <v>1</v>
      </c>
      <c r="AH279" s="1193">
        <v>5</v>
      </c>
      <c r="AI279" s="1193">
        <v>0</v>
      </c>
      <c r="AJ279" s="1193">
        <f>VLOOKUP($I279,'Price List, Weapons &amp; Items'!B:F,5,0)</f>
        <v>0</v>
      </c>
      <c r="AK279" s="1193">
        <f t="shared" si="68"/>
        <v>0</v>
      </c>
      <c r="AL279" s="1193">
        <f t="shared" si="69"/>
        <v>0</v>
      </c>
      <c r="AM279" s="1193">
        <f t="shared" si="70"/>
        <v>0</v>
      </c>
      <c r="AN279" s="1194" t="str">
        <f>VLOOKUP($I279,'Price List, Weapons &amp; Items'!B:L,COLUMN('Price List, Weapons &amp; Items'!$J$11)-1,0)</f>
        <v>.</v>
      </c>
      <c r="AO279" s="1194" t="str">
        <f>IF(I279=".",".",VLOOKUP($I279,'Price List, Weapons &amp; Items'!B:J,3,0))</f>
        <v>.</v>
      </c>
      <c r="AP279" s="1195" t="str">
        <f t="shared" ca="1" si="64"/>
        <v>.</v>
      </c>
      <c r="AQ279" s="1194">
        <f>VLOOKUP($I279,'Price List, Weapons &amp; Items'!B:L,COLUMN('Price List, Weapons &amp; Items'!$L$11)-1,0)</f>
        <v>0</v>
      </c>
      <c r="AR279" s="1194">
        <f t="shared" si="71"/>
        <v>1</v>
      </c>
      <c r="AS279" s="1194">
        <f t="shared" si="72"/>
        <v>0</v>
      </c>
      <c r="AT279" s="1194">
        <f t="shared" si="73"/>
        <v>1</v>
      </c>
      <c r="AU279" s="1194" t="str">
        <f t="shared" si="74"/>
        <v>.</v>
      </c>
      <c r="AV279" s="1194" t="str">
        <f t="shared" si="65"/>
        <v>.</v>
      </c>
      <c r="AW279" s="1194" t="str">
        <f t="shared" si="75"/>
        <v>.</v>
      </c>
      <c r="AX279" s="1194">
        <f>IFERROR(VLOOKUP(B279,'Share, Heavy Weapons to Ukraine'!B:Z,COLUMN('Share, Heavy Weapons to Ukraine'!C289)-1,0),0)</f>
        <v>0</v>
      </c>
      <c r="AY279" s="1194">
        <f>VLOOKUP('Bilateral Assistance, MAIN DATA'!B279,'Country Summary (€)'!B:F,COLUMN('Country Summary (€)'!C290)-1,FALSE)</f>
        <v>1</v>
      </c>
      <c r="AZ279" s="1194" t="str">
        <f>IF(AND(AD279=1,D279="Military",H279&lt;&gt;"Not given")=TRUE,IF(SUMIFS(P:P,A:A,A279)&gt;0,ABS((SUMIFS(P:P,A:A,A279)/VLOOKUP("USD",'Exchange Rates'!B:C,2,0)))/S279,"."),".")</f>
        <v>.</v>
      </c>
      <c r="BA279" s="1196" t="str">
        <f>IF(AND(AD279=1,D279="Military",H279&lt;&gt;"Not given")=TRUE,IF(SUMIFS(P:P,A:A,A279)&gt;0,IF((ABS((SUMIFS(P:P,A:A,A279)/VLOOKUP("USD",'Exchange Rates'!B:C,2,0)))/S279)&gt;1,(SUMIFS(P:P,A:A,A279)-S279)/S279,(S279-SUMIFS(P:P,A:A,A279))/SUMIFS(P:P,A:A,A279)),"."),".")</f>
        <v>.</v>
      </c>
    </row>
    <row r="280" spans="1:72" ht="15.95" customHeight="1">
      <c r="A280" s="1180" t="s">
        <v>1161</v>
      </c>
      <c r="B280" s="1180" t="s">
        <v>1012</v>
      </c>
      <c r="C280" s="1181">
        <v>44713</v>
      </c>
      <c r="D280" s="1182" t="s">
        <v>360</v>
      </c>
      <c r="E280" s="1182" t="s">
        <v>371</v>
      </c>
      <c r="F280" s="1183" t="s">
        <v>1162</v>
      </c>
      <c r="G280" s="1184" t="s">
        <v>456</v>
      </c>
      <c r="H280" s="1185" t="s">
        <v>457</v>
      </c>
      <c r="I280" s="1180" t="s">
        <v>1163</v>
      </c>
      <c r="J280" s="1186" t="str">
        <f>VLOOKUP($I280,'Price List, Weapons &amp; Items'!B:C,2,0)</f>
        <v>Humanitarian</v>
      </c>
      <c r="K280" s="1186" t="str">
        <f>IF(I280=".",I280,VLOOKUP($I280,'Price List, Weapons &amp; Items'!B:D,3,0))</f>
        <v>Humanitarian</v>
      </c>
      <c r="L280" s="1187">
        <f>VLOOKUP(I280,'Price List, Weapons &amp; Items'!B:E,4,0)</f>
        <v>0</v>
      </c>
      <c r="M280" s="1188">
        <v>2</v>
      </c>
      <c r="N280" s="1188">
        <v>2</v>
      </c>
      <c r="O280" s="1188">
        <f>VLOOKUP($I280,'Price List, Weapons &amp; Items'!B:G,6,0)</f>
        <v>33960000</v>
      </c>
      <c r="P280" s="1185">
        <f t="shared" si="66"/>
        <v>67920000</v>
      </c>
      <c r="Q280" s="1185">
        <f t="shared" si="67"/>
        <v>67920000</v>
      </c>
      <c r="R280" s="1185">
        <f t="shared" si="63"/>
        <v>67920000</v>
      </c>
      <c r="S280" s="1185">
        <f>IF(AND(AD280=1,R280&lt;&gt;".")=TRUE,R280/VLOOKUP(G280,'Exchange Rates'!B:C,2,0),IF(R280=".",".",""))</f>
        <v>62495399.337504603</v>
      </c>
      <c r="T280" s="1185">
        <f>IF(AD280=1,IF(AF280="Value is not given at all",".",IF(AF280="Value is given by the source",S280,IF(AF280="Value is calculated with prices",(IF(SUMIFS(Q:Q,A:A,A280)&gt;0,SUMIFS(Q:Q,A:A,A280),"."))/VLOOKUP("USD",'Exchange Rates'!B:C,2,0),"Error with coding"))),"")</f>
        <v>62495399.337504603</v>
      </c>
      <c r="U280" s="1184" t="s">
        <v>365</v>
      </c>
      <c r="V280" s="1010" t="s">
        <v>1164</v>
      </c>
      <c r="W280" s="1006" t="s">
        <v>1165</v>
      </c>
      <c r="X280" s="1009" t="s">
        <v>1166</v>
      </c>
      <c r="Y280" s="1009" t="s">
        <v>1167</v>
      </c>
      <c r="Z280" s="1013">
        <v>0</v>
      </c>
      <c r="AA280" s="1194">
        <v>0</v>
      </c>
      <c r="AB280" s="1014" t="s">
        <v>1165</v>
      </c>
      <c r="AC280" s="1192" t="str">
        <f>""</f>
        <v/>
      </c>
      <c r="AD280" s="985">
        <v>1</v>
      </c>
      <c r="AE280" s="985" t="s">
        <v>436</v>
      </c>
      <c r="AF280" s="985" t="s">
        <v>436</v>
      </c>
      <c r="AG280" s="985">
        <v>1</v>
      </c>
      <c r="AH280" s="1193">
        <v>6</v>
      </c>
      <c r="AI280" s="1193">
        <v>0</v>
      </c>
      <c r="AJ280" s="1193">
        <f>VLOOKUP($I280,'Price List, Weapons &amp; Items'!B:F,5,0)</f>
        <v>0</v>
      </c>
      <c r="AK280" s="1193">
        <f t="shared" si="68"/>
        <v>0</v>
      </c>
      <c r="AL280" s="1193">
        <f t="shared" si="69"/>
        <v>0</v>
      </c>
      <c r="AM280" s="1193">
        <f t="shared" si="70"/>
        <v>0</v>
      </c>
      <c r="AN280" s="1194" t="str">
        <f>VLOOKUP($I280,'Price List, Weapons &amp; Items'!B:L,COLUMN('Price List, Weapons &amp; Items'!$J$11)-1,0)</f>
        <v>Media reports (incl. social media)</v>
      </c>
      <c r="AO280" s="1194" t="str">
        <f>IF(I280=".",".",VLOOKUP($I280,'Price List, Weapons &amp; Items'!B:J,3,0))</f>
        <v>Humanitarian</v>
      </c>
      <c r="AP280" s="1195" t="str">
        <f t="shared" ca="1" si="64"/>
        <v>temporary bridge</v>
      </c>
      <c r="AQ280" s="1194">
        <f>VLOOKUP($I280,'Price List, Weapons &amp; Items'!B:L,COLUMN('Price List, Weapons &amp; Items'!$L$11)-1,0)</f>
        <v>0</v>
      </c>
      <c r="AR280" s="1194">
        <f t="shared" si="71"/>
        <v>1</v>
      </c>
      <c r="AS280" s="1194">
        <f t="shared" si="72"/>
        <v>0</v>
      </c>
      <c r="AT280" s="1194">
        <f t="shared" si="73"/>
        <v>1</v>
      </c>
      <c r="AU280" s="1194" t="str">
        <f t="shared" si="74"/>
        <v>.</v>
      </c>
      <c r="AV280" s="1194" t="str">
        <f t="shared" si="65"/>
        <v>.</v>
      </c>
      <c r="AW280" s="1194" t="str">
        <f t="shared" si="75"/>
        <v>.</v>
      </c>
      <c r="AX280" s="1194">
        <f>IFERROR(VLOOKUP(B280,'Share, Heavy Weapons to Ukraine'!B:Z,COLUMN('Share, Heavy Weapons to Ukraine'!C290)-1,0),0)</f>
        <v>0</v>
      </c>
      <c r="AY280" s="1194">
        <f>VLOOKUP('Bilateral Assistance, MAIN DATA'!B280,'Country Summary (€)'!B:F,COLUMN('Country Summary (€)'!C291)-1,FALSE)</f>
        <v>1</v>
      </c>
      <c r="AZ280" s="1194" t="str">
        <f>IF(AND(AD280=1,D280="Military",H280&lt;&gt;"Not given")=TRUE,IF(SUMIFS(P:P,A:A,A280)&gt;0,ABS((SUMIFS(P:P,A:A,A280)/VLOOKUP("USD",'Exchange Rates'!B:C,2,0)))/S280,"."),".")</f>
        <v>.</v>
      </c>
      <c r="BA280" s="1196" t="str">
        <f>IF(AND(AD280=1,D280="Military",H280&lt;&gt;"Not given")=TRUE,IF(SUMIFS(P:P,A:A,A280)&gt;0,IF((ABS((SUMIFS(P:P,A:A,A280)/VLOOKUP("USD",'Exchange Rates'!B:C,2,0)))/S280)&gt;1,(SUMIFS(P:P,A:A,A280)-S280)/S280,(S280-SUMIFS(P:P,A:A,A280))/SUMIFS(P:P,A:A,A280)),"."),".")</f>
        <v>.</v>
      </c>
    </row>
    <row r="281" spans="1:72" ht="15.95" customHeight="1">
      <c r="A281" s="1182" t="s">
        <v>1168</v>
      </c>
      <c r="B281" s="1182" t="s">
        <v>1012</v>
      </c>
      <c r="C281" s="1181">
        <v>44719</v>
      </c>
      <c r="D281" s="1182" t="s">
        <v>360</v>
      </c>
      <c r="E281" s="1182" t="s">
        <v>371</v>
      </c>
      <c r="F281" s="1183" t="s">
        <v>1169</v>
      </c>
      <c r="G281" s="1184" t="s">
        <v>1014</v>
      </c>
      <c r="H281" s="1185">
        <v>100000000</v>
      </c>
      <c r="I281" s="1180" t="s">
        <v>1170</v>
      </c>
      <c r="J281" s="1186" t="str">
        <f>VLOOKUP($I281,'Price List, Weapons &amp; Items'!B:C,2,0)</f>
        <v>Humanitarian</v>
      </c>
      <c r="K281" s="1186" t="str">
        <f>IF(I281=".",I281,VLOOKUP($I281,'Price List, Weapons &amp; Items'!B:D,3,0))</f>
        <v>Humanitarian</v>
      </c>
      <c r="L281" s="1187">
        <f>VLOOKUP(I281,'Price List, Weapons &amp; Items'!B:E,4,0)</f>
        <v>0</v>
      </c>
      <c r="M281" s="1188">
        <v>3640000</v>
      </c>
      <c r="N281" s="1188">
        <v>3640000</v>
      </c>
      <c r="O281" s="1188">
        <f>VLOOKUP($I281,'Price List, Weapons &amp; Items'!B:G,6,0)</f>
        <v>0.13</v>
      </c>
      <c r="P281" s="1185">
        <f t="shared" si="66"/>
        <v>473200</v>
      </c>
      <c r="Q281" s="1185">
        <f t="shared" si="67"/>
        <v>473200</v>
      </c>
      <c r="R281" s="1185">
        <f t="shared" si="63"/>
        <v>100000000</v>
      </c>
      <c r="S281" s="1185">
        <f>IF(AND(AD281=1,R281&lt;&gt;".")=TRUE,R281/VLOOKUP(G281,'Exchange Rates'!B:C,2,0),IF(R281=".",".",""))</f>
        <v>4238186.0563678751</v>
      </c>
      <c r="T281" s="1185">
        <f>IF(AD281=1,IF(AF281="Value is not given at all",".",IF(AF281="Value is given by the source",S281,IF(AF281="Value is calculated with prices",(IF(SUMIFS(Q:Q,A:A,A281)&gt;0,SUMIFS(Q:Q,A:A,A281),"."))/VLOOKUP("USD",'Exchange Rates'!B:C,2,0),"Error with coding"))),"")</f>
        <v>4238186.0563678751</v>
      </c>
      <c r="U281" s="1184" t="s">
        <v>675</v>
      </c>
      <c r="V281" s="974" t="s">
        <v>1171</v>
      </c>
      <c r="W281" s="1183" t="s">
        <v>364</v>
      </c>
      <c r="X281" s="1183" t="s">
        <v>364</v>
      </c>
      <c r="Y281" s="1183" t="s">
        <v>364</v>
      </c>
      <c r="Z281" s="978">
        <v>0</v>
      </c>
      <c r="AA281" s="1194">
        <v>0</v>
      </c>
      <c r="AB281" s="975" t="s">
        <v>1171</v>
      </c>
      <c r="AC281" s="1192" t="str">
        <f>""</f>
        <v/>
      </c>
      <c r="AD281" s="1193">
        <v>1</v>
      </c>
      <c r="AE281" s="1193" t="s">
        <v>368</v>
      </c>
      <c r="AF281" s="1193" t="s">
        <v>368</v>
      </c>
      <c r="AG281" s="1193">
        <v>1</v>
      </c>
      <c r="AH281" s="1193">
        <v>6</v>
      </c>
      <c r="AI281" s="1193">
        <v>0</v>
      </c>
      <c r="AJ281" s="1193">
        <f>VLOOKUP($I281,'Price List, Weapons &amp; Items'!B:F,5,0)</f>
        <v>0</v>
      </c>
      <c r="AK281" s="1193">
        <f t="shared" si="68"/>
        <v>0</v>
      </c>
      <c r="AL281" s="1193">
        <f t="shared" si="69"/>
        <v>0</v>
      </c>
      <c r="AM281" s="1193">
        <f t="shared" si="70"/>
        <v>0</v>
      </c>
      <c r="AN281" s="1194" t="str">
        <f>VLOOKUP($I281,'Price List, Weapons &amp; Items'!B:L,COLUMN('Price List, Weapons &amp; Items'!$J$11)-1,0)</f>
        <v>Online marketplaces and stores</v>
      </c>
      <c r="AO281" s="1194" t="str">
        <f>IF(I281=".",".",VLOOKUP($I281,'Price List, Weapons &amp; Items'!B:J,3,0))</f>
        <v>Humanitarian</v>
      </c>
      <c r="AP281" s="1195" t="str">
        <f t="shared" ca="1" si="64"/>
        <v>disposable glove</v>
      </c>
      <c r="AQ281" s="1194">
        <f>VLOOKUP($I281,'Price List, Weapons &amp; Items'!B:L,COLUMN('Price List, Weapons &amp; Items'!$L$11)-1,0)</f>
        <v>0</v>
      </c>
      <c r="AR281" s="1194">
        <f t="shared" si="71"/>
        <v>0</v>
      </c>
      <c r="AS281" s="1194">
        <f t="shared" si="72"/>
        <v>0</v>
      </c>
      <c r="AT281" s="1194">
        <f t="shared" si="73"/>
        <v>1</v>
      </c>
      <c r="AU281" s="1194" t="str">
        <f t="shared" si="74"/>
        <v>.</v>
      </c>
      <c r="AV281" s="1194" t="str">
        <f t="shared" si="65"/>
        <v>.</v>
      </c>
      <c r="AW281" s="1194" t="str">
        <f t="shared" si="75"/>
        <v>.</v>
      </c>
      <c r="AX281" s="1194">
        <f>IFERROR(VLOOKUP(B281,'Share, Heavy Weapons to Ukraine'!B:Z,COLUMN('Share, Heavy Weapons to Ukraine'!C291)-1,0),0)</f>
        <v>0</v>
      </c>
      <c r="AY281" s="1194">
        <f>VLOOKUP('Bilateral Assistance, MAIN DATA'!B281,'Country Summary (€)'!B:F,COLUMN('Country Summary (€)'!C292)-1,FALSE)</f>
        <v>1</v>
      </c>
      <c r="AZ281" s="1194" t="str">
        <f>IF(AND(AD281=1,D281="Military",H281&lt;&gt;"Not given")=TRUE,IF(SUMIFS(P:P,A:A,A281)&gt;0,ABS((SUMIFS(P:P,A:A,A281)/VLOOKUP("USD",'Exchange Rates'!B:C,2,0)))/S281,"."),".")</f>
        <v>.</v>
      </c>
      <c r="BA281" s="1196" t="str">
        <f>IF(AND(AD281=1,D281="Military",H281&lt;&gt;"Not given")=TRUE,IF(SUMIFS(P:P,A:A,A281)&gt;0,IF((ABS((SUMIFS(P:P,A:A,A281)/VLOOKUP("USD",'Exchange Rates'!B:C,2,0)))/S281)&gt;1,(SUMIFS(P:P,A:A,A281)-S281)/S281,(S281-SUMIFS(P:P,A:A,A281))/SUMIFS(P:P,A:A,A281)),"."),".")</f>
        <v>.</v>
      </c>
    </row>
    <row r="282" spans="1:72" ht="15.95" customHeight="1">
      <c r="A282" s="1182" t="s">
        <v>1168</v>
      </c>
      <c r="B282" s="1182" t="s">
        <v>1012</v>
      </c>
      <c r="C282" s="1181">
        <v>44719</v>
      </c>
      <c r="D282" s="1182" t="s">
        <v>360</v>
      </c>
      <c r="E282" s="1182" t="s">
        <v>371</v>
      </c>
      <c r="F282" s="1183" t="s">
        <v>1169</v>
      </c>
      <c r="G282" s="1184" t="s">
        <v>1014</v>
      </c>
      <c r="H282" s="1185">
        <v>100000000</v>
      </c>
      <c r="I282" s="1180" t="s">
        <v>1172</v>
      </c>
      <c r="J282" s="1186" t="str">
        <f>VLOOKUP($I282,'Price List, Weapons &amp; Items'!B:C,2,0)</f>
        <v>Humanitarian</v>
      </c>
      <c r="K282" s="1186" t="str">
        <f>IF(I282=".",I282,VLOOKUP($I282,'Price List, Weapons &amp; Items'!B:D,3,0))</f>
        <v>Humanitarian</v>
      </c>
      <c r="L282" s="1187">
        <f>VLOOKUP(I282,'Price List, Weapons &amp; Items'!B:E,4,0)</f>
        <v>0</v>
      </c>
      <c r="M282" s="1188">
        <v>500000</v>
      </c>
      <c r="N282" s="1188">
        <v>500000</v>
      </c>
      <c r="O282" s="1188">
        <f>VLOOKUP($I282,'Price List, Weapons &amp; Items'!B:G,6,0)</f>
        <v>13.5</v>
      </c>
      <c r="P282" s="1185">
        <f t="shared" si="66"/>
        <v>6750000</v>
      </c>
      <c r="Q282" s="1185">
        <f t="shared" si="67"/>
        <v>6750000</v>
      </c>
      <c r="R282" s="1185" t="str">
        <f t="shared" si="63"/>
        <v/>
      </c>
      <c r="S282" s="1185" t="str">
        <f>IF(AND(AD282=1,R282&lt;&gt;".")=TRUE,R282/VLOOKUP(G282,'Exchange Rates'!B:C,2,0),IF(R282=".",".",""))</f>
        <v/>
      </c>
      <c r="T282" s="1185" t="str">
        <f>IF(AD282=1,IF(AF282="Value is not given at all",".",IF(AF282="Value is given by the source",S282,IF(AF282="Value is calculated with prices",(IF(SUMIFS(Q:Q,A:A,A282)&gt;0,SUMIFS(Q:Q,A:A,A282),"."))/VLOOKUP("USD",'Exchange Rates'!B:C,2,0),"Error with coding"))),"")</f>
        <v/>
      </c>
      <c r="U282" s="1184" t="s">
        <v>675</v>
      </c>
      <c r="V282" s="974" t="s">
        <v>1171</v>
      </c>
      <c r="W282" s="1183" t="s">
        <v>364</v>
      </c>
      <c r="X282" s="1183" t="s">
        <v>364</v>
      </c>
      <c r="Y282" s="1183" t="s">
        <v>364</v>
      </c>
      <c r="Z282" s="978">
        <v>0</v>
      </c>
      <c r="AA282" s="1194">
        <v>0</v>
      </c>
      <c r="AB282" s="975" t="s">
        <v>1171</v>
      </c>
      <c r="AC282" s="1192" t="str">
        <f>""</f>
        <v/>
      </c>
      <c r="AD282" s="1193">
        <v>0</v>
      </c>
      <c r="AE282" s="1193" t="s">
        <v>368</v>
      </c>
      <c r="AF282" s="1193" t="s">
        <v>368</v>
      </c>
      <c r="AG282" s="1193">
        <v>1</v>
      </c>
      <c r="AH282" s="1193">
        <v>6</v>
      </c>
      <c r="AI282" s="1193">
        <v>0</v>
      </c>
      <c r="AJ282" s="1193">
        <f>VLOOKUP($I282,'Price List, Weapons &amp; Items'!B:F,5,0)</f>
        <v>0</v>
      </c>
      <c r="AK282" s="1193">
        <f t="shared" si="68"/>
        <v>0</v>
      </c>
      <c r="AL282" s="1193">
        <f t="shared" si="69"/>
        <v>0</v>
      </c>
      <c r="AM282" s="1193">
        <f t="shared" si="70"/>
        <v>0</v>
      </c>
      <c r="AN282" s="1194" t="str">
        <f>VLOOKUP($I282,'Price List, Weapons &amp; Items'!B:L,COLUMN('Price List, Weapons &amp; Items'!$J$11)-1,0)</f>
        <v>Online marketplaces and stores</v>
      </c>
      <c r="AO282" s="1194" t="str">
        <f>IF(I282=".",".",VLOOKUP($I282,'Price List, Weapons &amp; Items'!B:J,3,0))</f>
        <v>Humanitarian</v>
      </c>
      <c r="AP282" s="1195" t="str">
        <f t="shared" ca="1" si="64"/>
        <v/>
      </c>
      <c r="AQ282" s="1194">
        <f>VLOOKUP($I282,'Price List, Weapons &amp; Items'!B:L,COLUMN('Price List, Weapons &amp; Items'!$L$11)-1,0)</f>
        <v>0</v>
      </c>
      <c r="AR282" s="1194">
        <f t="shared" si="71"/>
        <v>0</v>
      </c>
      <c r="AS282" s="1194">
        <f t="shared" si="72"/>
        <v>0</v>
      </c>
      <c r="AT282" s="1194">
        <f t="shared" si="73"/>
        <v>1</v>
      </c>
      <c r="AU282" s="1194" t="str">
        <f t="shared" si="74"/>
        <v>.</v>
      </c>
      <c r="AV282" s="1194" t="str">
        <f t="shared" si="65"/>
        <v>.</v>
      </c>
      <c r="AW282" s="1194" t="str">
        <f t="shared" si="75"/>
        <v>.</v>
      </c>
      <c r="AX282" s="1194">
        <f>IFERROR(VLOOKUP(B282,'Share, Heavy Weapons to Ukraine'!B:Z,COLUMN('Share, Heavy Weapons to Ukraine'!C292)-1,0),0)</f>
        <v>0</v>
      </c>
      <c r="AY282" s="1194">
        <f>VLOOKUP('Bilateral Assistance, MAIN DATA'!B282,'Country Summary (€)'!B:F,COLUMN('Country Summary (€)'!C293)-1,FALSE)</f>
        <v>1</v>
      </c>
      <c r="AZ282" s="1194" t="str">
        <f>IF(AND(AD282=1,D282="Military",H282&lt;&gt;"Not given")=TRUE,IF(SUMIFS(P:P,A:A,A282)&gt;0,ABS((SUMIFS(P:P,A:A,A282)/VLOOKUP("USD",'Exchange Rates'!B:C,2,0)))/S282,"."),".")</f>
        <v>.</v>
      </c>
      <c r="BA282" s="1196" t="str">
        <f>IF(AND(AD282=1,D282="Military",H282&lt;&gt;"Not given")=TRUE,IF(SUMIFS(P:P,A:A,A282)&gt;0,IF((ABS((SUMIFS(P:P,A:A,A282)/VLOOKUP("USD",'Exchange Rates'!B:C,2,0)))/S282)&gt;1,(SUMIFS(P:P,A:A,A282)-S282)/S282,(S282-SUMIFS(P:P,A:A,A282))/SUMIFS(P:P,A:A,A282)),"."),".")</f>
        <v>.</v>
      </c>
    </row>
    <row r="283" spans="1:72" ht="15.95" customHeight="1">
      <c r="A283" s="1182" t="s">
        <v>1173</v>
      </c>
      <c r="B283" s="1182" t="s">
        <v>1012</v>
      </c>
      <c r="C283" s="1181">
        <v>44908</v>
      </c>
      <c r="D283" s="1182" t="s">
        <v>360</v>
      </c>
      <c r="E283" s="1182" t="s">
        <v>1152</v>
      </c>
      <c r="F283" s="1183" t="s">
        <v>1174</v>
      </c>
      <c r="G283" s="1184" t="s">
        <v>483</v>
      </c>
      <c r="H283" s="1185">
        <v>8500000</v>
      </c>
      <c r="I283" s="1180" t="s">
        <v>364</v>
      </c>
      <c r="J283" s="1186" t="str">
        <f>VLOOKUP($I283,'Price List, Weapons &amp; Items'!B:C,2,0)</f>
        <v>.</v>
      </c>
      <c r="K283" s="1186" t="str">
        <f>IF(I283=".",I283,VLOOKUP($I283,'Price List, Weapons &amp; Items'!B:D,3,0))</f>
        <v>.</v>
      </c>
      <c r="L283" s="1187">
        <f>VLOOKUP(I283,'Price List, Weapons &amp; Items'!B:E,4,0)</f>
        <v>0</v>
      </c>
      <c r="M283" s="1188" t="s">
        <v>364</v>
      </c>
      <c r="N283" s="1188" t="s">
        <v>364</v>
      </c>
      <c r="O283" s="1188" t="str">
        <f>VLOOKUP($I283,'Price List, Weapons &amp; Items'!B:G,6,0)</f>
        <v>.</v>
      </c>
      <c r="P283" s="1185" t="str">
        <f t="shared" si="66"/>
        <v>.</v>
      </c>
      <c r="Q283" s="1185" t="str">
        <f t="shared" si="67"/>
        <v>.</v>
      </c>
      <c r="R283" s="1185">
        <f t="shared" si="63"/>
        <v>8500000</v>
      </c>
      <c r="S283" s="1185">
        <f>IF(AND(AD283=1,R283&lt;&gt;".")=TRUE,R283/VLOOKUP(G283,'Exchange Rates'!B:C,2,0),IF(R283=".",".",""))</f>
        <v>8500000</v>
      </c>
      <c r="T283" s="1185" t="str">
        <f>IF(AD283=1,IF(AF283="Value is not given at all",".",IF(AF283="Value is given by the source",S283,IF(AF283="Value is calculated with prices",(IF(SUMIFS(Q:Q,A:A,A283)&gt;0,SUMIFS(Q:Q,A:A,A283),"."))/VLOOKUP("USD",'Exchange Rates'!B:C,2,0),"Error with coding"))),"")</f>
        <v>.</v>
      </c>
      <c r="U283" s="1184" t="s">
        <v>675</v>
      </c>
      <c r="V283" s="1006" t="s">
        <v>1175</v>
      </c>
      <c r="W283" s="1009" t="s">
        <v>1176</v>
      </c>
      <c r="X283" s="1183" t="s">
        <v>364</v>
      </c>
      <c r="Y283" s="1183" t="s">
        <v>364</v>
      </c>
      <c r="Z283" s="978">
        <v>0</v>
      </c>
      <c r="AA283" s="1194">
        <v>0</v>
      </c>
      <c r="AB283" s="999" t="s">
        <v>364</v>
      </c>
      <c r="AC283" s="1192" t="str">
        <f>""</f>
        <v/>
      </c>
      <c r="AD283" s="1193">
        <v>1</v>
      </c>
      <c r="AE283" s="1193" t="s">
        <v>368</v>
      </c>
      <c r="AF283" s="1193" t="s">
        <v>369</v>
      </c>
      <c r="AG283" s="1193">
        <v>1</v>
      </c>
      <c r="AH283" s="1193">
        <v>12</v>
      </c>
      <c r="AI283" s="1193">
        <v>0</v>
      </c>
      <c r="AJ283" s="1193">
        <f>VLOOKUP($I283,'Price List, Weapons &amp; Items'!B:F,5,0)</f>
        <v>0</v>
      </c>
      <c r="AK283" s="1193">
        <f t="shared" si="68"/>
        <v>0</v>
      </c>
      <c r="AL283" s="1193">
        <f t="shared" si="69"/>
        <v>0</v>
      </c>
      <c r="AM283" s="1193">
        <f t="shared" si="70"/>
        <v>0</v>
      </c>
      <c r="AN283" s="1194" t="str">
        <f>VLOOKUP($I283,'Price List, Weapons &amp; Items'!B:L,COLUMN('Price List, Weapons &amp; Items'!$J$11)-1,0)</f>
        <v>.</v>
      </c>
      <c r="AO283" s="1194" t="str">
        <f>IF(I283=".",".",VLOOKUP($I283,'Price List, Weapons &amp; Items'!B:J,3,0))</f>
        <v>.</v>
      </c>
      <c r="AP283" s="1195" t="str">
        <f t="shared" ca="1" si="64"/>
        <v>.</v>
      </c>
      <c r="AQ283" s="1194">
        <f>VLOOKUP($I283,'Price List, Weapons &amp; Items'!B:L,COLUMN('Price List, Weapons &amp; Items'!$L$11)-1,0)</f>
        <v>0</v>
      </c>
      <c r="AR283" s="1194">
        <f t="shared" si="71"/>
        <v>0</v>
      </c>
      <c r="AS283" s="1194">
        <f t="shared" si="72"/>
        <v>0</v>
      </c>
      <c r="AT283" s="1194">
        <f t="shared" si="73"/>
        <v>1</v>
      </c>
      <c r="AU283" s="1194" t="str">
        <f t="shared" si="74"/>
        <v>.</v>
      </c>
      <c r="AV283" s="1194" t="str">
        <f t="shared" si="65"/>
        <v>.</v>
      </c>
      <c r="AW283" s="1194" t="str">
        <f t="shared" si="75"/>
        <v>.</v>
      </c>
      <c r="AX283" s="1194">
        <f>IFERROR(VLOOKUP(B283,'Share, Heavy Weapons to Ukraine'!B:Z,COLUMN('Share, Heavy Weapons to Ukraine'!C293)-1,0),0)</f>
        <v>0</v>
      </c>
      <c r="AY283" s="1194">
        <f>VLOOKUP('Bilateral Assistance, MAIN DATA'!B283,'Country Summary (€)'!B:F,COLUMN('Country Summary (€)'!C294)-1,FALSE)</f>
        <v>1</v>
      </c>
      <c r="AZ283" s="1194" t="str">
        <f>IF(AND(AD283=1,D283="Military",H283&lt;&gt;"Not given")=TRUE,IF(SUMIFS(P:P,A:A,A283)&gt;0,ABS((SUMIFS(P:P,A:A,A283)/VLOOKUP("USD",'Exchange Rates'!B:C,2,0)))/S283,"."),".")</f>
        <v>.</v>
      </c>
      <c r="BA283" s="1196" t="str">
        <f>IF(AND(AD283=1,D283="Military",H283&lt;&gt;"Not given")=TRUE,IF(SUMIFS(P:P,A:A,A283)&gt;0,IF((ABS((SUMIFS(P:P,A:A,A283)/VLOOKUP("USD",'Exchange Rates'!B:C,2,0)))/S283)&gt;1,(SUMIFS(P:P,A:A,A283)-S283)/S283,(S283-SUMIFS(P:P,A:A,A283))/SUMIFS(P:P,A:A,A283)),"."),".")</f>
        <v>.</v>
      </c>
    </row>
    <row r="284" spans="1:72" ht="15.95" customHeight="1">
      <c r="A284" s="1182" t="s">
        <v>1177</v>
      </c>
      <c r="B284" s="1182" t="s">
        <v>1012</v>
      </c>
      <c r="C284" s="1181">
        <v>44980</v>
      </c>
      <c r="D284" s="1182" t="s">
        <v>360</v>
      </c>
      <c r="E284" s="1182" t="s">
        <v>371</v>
      </c>
      <c r="F284" s="1183" t="s">
        <v>1178</v>
      </c>
      <c r="G284" s="1184" t="s">
        <v>456</v>
      </c>
      <c r="H284" s="1185" t="s">
        <v>457</v>
      </c>
      <c r="I284" s="1180" t="s">
        <v>1163</v>
      </c>
      <c r="J284" s="1186" t="str">
        <f>VLOOKUP($I284,'Price List, Weapons &amp; Items'!B:C,2,0)</f>
        <v>Humanitarian</v>
      </c>
      <c r="K284" s="1186" t="str">
        <f>IF(I284=".",I284,VLOOKUP($I284,'Price List, Weapons &amp; Items'!B:D,3,0))</f>
        <v>Humanitarian</v>
      </c>
      <c r="L284" s="1187">
        <f>VLOOKUP(I284,'Price List, Weapons &amp; Items'!B:E,4,0)</f>
        <v>0</v>
      </c>
      <c r="M284" s="1188">
        <v>8</v>
      </c>
      <c r="N284" s="1188">
        <v>8</v>
      </c>
      <c r="O284" s="1188">
        <f>VLOOKUP($I284,'Price List, Weapons &amp; Items'!B:G,6,0)</f>
        <v>33960000</v>
      </c>
      <c r="P284" s="1185">
        <f t="shared" si="66"/>
        <v>271680000</v>
      </c>
      <c r="Q284" s="1185">
        <f t="shared" si="67"/>
        <v>271680000</v>
      </c>
      <c r="R284" s="1185">
        <f t="shared" si="63"/>
        <v>271680000</v>
      </c>
      <c r="S284" s="1185">
        <f>IF(AND(AD284=1,R284&lt;&gt;".")=TRUE,R284/VLOOKUP(G284,'Exchange Rates'!B:C,2,0),IF(R284=".",".",""))</f>
        <v>249981597.35001841</v>
      </c>
      <c r="T284" s="1185" t="str">
        <f>IF(AD284=1,IF(AF284="Value is not given at all",".",IF(AF284="Value is given by the source",S284,IF(AF284="Value is calculated with prices",(IF(SUMIFS(Q:Q,A:A,A284)&gt;0,SUMIFS(Q:Q,A:A,A284),"."))/VLOOKUP("USD",'Exchange Rates'!B:C,2,0),"Error with coding"))),"")</f>
        <v>.</v>
      </c>
      <c r="U284" s="1184" t="s">
        <v>365</v>
      </c>
      <c r="V284" s="1006" t="s">
        <v>1165</v>
      </c>
      <c r="W284" s="1009" t="s">
        <v>1166</v>
      </c>
      <c r="X284" s="1009" t="s">
        <v>1167</v>
      </c>
      <c r="Y284" s="1183" t="s">
        <v>364</v>
      </c>
      <c r="Z284" s="978">
        <v>0</v>
      </c>
      <c r="AA284" s="1194">
        <v>0</v>
      </c>
      <c r="AB284" s="1006" t="s">
        <v>1165</v>
      </c>
      <c r="AC284" s="1192" t="str">
        <f>""</f>
        <v/>
      </c>
      <c r="AD284" s="1193">
        <v>1</v>
      </c>
      <c r="AE284" s="1193" t="s">
        <v>369</v>
      </c>
      <c r="AF284" s="1193" t="s">
        <v>369</v>
      </c>
      <c r="AG284" s="1193">
        <v>1</v>
      </c>
      <c r="AH284" s="1193">
        <v>14</v>
      </c>
      <c r="AI284" s="1193">
        <v>0</v>
      </c>
      <c r="AJ284" s="1193">
        <f>VLOOKUP($I284,'Price List, Weapons &amp; Items'!B:F,5,0)</f>
        <v>0</v>
      </c>
      <c r="AK284" s="1193">
        <f t="shared" si="68"/>
        <v>0</v>
      </c>
      <c r="AL284" s="1193">
        <f t="shared" si="69"/>
        <v>0</v>
      </c>
      <c r="AM284" s="1193">
        <f t="shared" si="70"/>
        <v>0</v>
      </c>
      <c r="AN284" s="1194" t="str">
        <f>VLOOKUP($I284,'Price List, Weapons &amp; Items'!B:L,COLUMN('Price List, Weapons &amp; Items'!$J$11)-1,0)</f>
        <v>Media reports (incl. social media)</v>
      </c>
      <c r="AO284" s="1194" t="str">
        <f>IF(I284=".",".",VLOOKUP($I284,'Price List, Weapons &amp; Items'!B:J,3,0))</f>
        <v>Humanitarian</v>
      </c>
      <c r="AP284" s="1195" t="str">
        <f t="shared" ca="1" si="64"/>
        <v>temporary bridge</v>
      </c>
      <c r="AQ284" s="1194">
        <f>VLOOKUP($I284,'Price List, Weapons &amp; Items'!B:L,COLUMN('Price List, Weapons &amp; Items'!$L$11)-1,0)</f>
        <v>0</v>
      </c>
      <c r="AR284" s="1194">
        <f t="shared" si="71"/>
        <v>1</v>
      </c>
      <c r="AS284" s="1194">
        <f t="shared" si="72"/>
        <v>0</v>
      </c>
      <c r="AT284" s="1194">
        <f t="shared" si="73"/>
        <v>1</v>
      </c>
      <c r="AU284" s="1194" t="str">
        <f t="shared" si="74"/>
        <v>.</v>
      </c>
      <c r="AV284" s="1194" t="str">
        <f t="shared" si="65"/>
        <v>.</v>
      </c>
      <c r="AW284" s="1194" t="str">
        <f t="shared" si="75"/>
        <v>.</v>
      </c>
      <c r="AX284" s="1194">
        <f>IFERROR(VLOOKUP(B284,'Share, Heavy Weapons to Ukraine'!B:Z,COLUMN('Share, Heavy Weapons to Ukraine'!C294)-1,0),0)</f>
        <v>0</v>
      </c>
      <c r="AY284" s="1194">
        <f>VLOOKUP('Bilateral Assistance, MAIN DATA'!B284,'Country Summary (€)'!B:F,COLUMN('Country Summary (€)'!C295)-1,FALSE)</f>
        <v>1</v>
      </c>
      <c r="AZ284" s="1194" t="str">
        <f>IF(AND(AD284=1,D284="Military",H284&lt;&gt;"Not given")=TRUE,IF(SUMIFS(P:P,A:A,A284)&gt;0,ABS((SUMIFS(P:P,A:A,A284)/VLOOKUP("USD",'Exchange Rates'!B:C,2,0)))/S284,"."),".")</f>
        <v>.</v>
      </c>
      <c r="BA284" s="1196" t="str">
        <f>IF(AND(AD284=1,D284="Military",H284&lt;&gt;"Not given")=TRUE,IF(SUMIFS(P:P,A:A,A284)&gt;0,IF((ABS((SUMIFS(P:P,A:A,A284)/VLOOKUP("USD",'Exchange Rates'!B:C,2,0)))/S284)&gt;1,(SUMIFS(P:P,A:A,A284)-S284)/S284,(S284-SUMIFS(P:P,A:A,A284))/SUMIFS(P:P,A:A,A284)),"."),".")</f>
        <v>.</v>
      </c>
    </row>
    <row r="285" spans="1:72" ht="15.95" customHeight="1">
      <c r="A285" s="1182" t="s">
        <v>1177</v>
      </c>
      <c r="B285" s="1182" t="s">
        <v>1012</v>
      </c>
      <c r="C285" s="1181">
        <v>44980</v>
      </c>
      <c r="D285" s="1182" t="s">
        <v>360</v>
      </c>
      <c r="E285" s="1182" t="s">
        <v>371</v>
      </c>
      <c r="F285" s="1183" t="s">
        <v>1178</v>
      </c>
      <c r="G285" s="1184" t="s">
        <v>456</v>
      </c>
      <c r="H285" s="1185" t="s">
        <v>457</v>
      </c>
      <c r="I285" s="1180" t="s">
        <v>1163</v>
      </c>
      <c r="J285" s="1186" t="str">
        <f>VLOOKUP($I285,'Price List, Weapons &amp; Items'!B:C,2,0)</f>
        <v>Humanitarian</v>
      </c>
      <c r="K285" s="1186" t="str">
        <f>IF(I285=".",I285,VLOOKUP($I285,'Price List, Weapons &amp; Items'!B:D,3,0))</f>
        <v>Humanitarian</v>
      </c>
      <c r="L285" s="1187">
        <f>VLOOKUP(I285,'Price List, Weapons &amp; Items'!B:E,4,0)</f>
        <v>0</v>
      </c>
      <c r="M285" s="1188" t="s">
        <v>374</v>
      </c>
      <c r="N285" s="1188" t="s">
        <v>374</v>
      </c>
      <c r="O285" s="1188">
        <f>VLOOKUP($I285,'Price List, Weapons &amp; Items'!B:G,6,0)</f>
        <v>33960000</v>
      </c>
      <c r="P285" s="1185" t="str">
        <f t="shared" si="66"/>
        <v>.</v>
      </c>
      <c r="Q285" s="1185" t="str">
        <f t="shared" si="67"/>
        <v>.</v>
      </c>
      <c r="R285" s="1185" t="str">
        <f t="shared" si="63"/>
        <v/>
      </c>
      <c r="S285" s="1185" t="str">
        <f>IF(AND(AD285=1,R285&lt;&gt;".")=TRUE,R285/VLOOKUP(G285,'Exchange Rates'!B:C,2,0),IF(R285=".",".",""))</f>
        <v/>
      </c>
      <c r="T285" s="1185" t="str">
        <f>IF(AD285=1,IF(AF285="Value is not given at all",".",IF(AF285="Value is given by the source",S285,IF(AF285="Value is calculated with prices",(IF(SUMIFS(Q:Q,A:A,A285)&gt;0,SUMIFS(Q:Q,A:A,A285),"."))/VLOOKUP("USD",'Exchange Rates'!B:C,2,0),"Error with coding"))),"")</f>
        <v/>
      </c>
      <c r="U285" s="1184" t="s">
        <v>365</v>
      </c>
      <c r="V285" s="1006" t="s">
        <v>1165</v>
      </c>
      <c r="W285" s="1009" t="s">
        <v>1166</v>
      </c>
      <c r="X285" s="1009" t="s">
        <v>1167</v>
      </c>
      <c r="Y285" s="1183" t="s">
        <v>364</v>
      </c>
      <c r="Z285" s="978">
        <v>0</v>
      </c>
      <c r="AA285" s="1194">
        <v>0</v>
      </c>
      <c r="AB285" s="1006" t="s">
        <v>1165</v>
      </c>
      <c r="AC285" s="1192" t="str">
        <f>""</f>
        <v/>
      </c>
      <c r="AD285" s="1193">
        <v>0</v>
      </c>
      <c r="AE285" s="1193" t="s">
        <v>369</v>
      </c>
      <c r="AF285" s="1193" t="s">
        <v>369</v>
      </c>
      <c r="AG285" s="1193">
        <v>1</v>
      </c>
      <c r="AH285" s="1193">
        <v>14</v>
      </c>
      <c r="AI285" s="1193">
        <v>0</v>
      </c>
      <c r="AJ285" s="1193">
        <f>VLOOKUP($I285,'Price List, Weapons &amp; Items'!B:F,5,0)</f>
        <v>0</v>
      </c>
      <c r="AK285" s="1193">
        <f t="shared" si="68"/>
        <v>0</v>
      </c>
      <c r="AL285" s="1193">
        <f t="shared" si="69"/>
        <v>0</v>
      </c>
      <c r="AM285" s="1193">
        <f t="shared" si="70"/>
        <v>0</v>
      </c>
      <c r="AN285" s="1194" t="str">
        <f>VLOOKUP($I285,'Price List, Weapons &amp; Items'!B:L,COLUMN('Price List, Weapons &amp; Items'!$J$11)-1,0)</f>
        <v>Media reports (incl. social media)</v>
      </c>
      <c r="AO285" s="1194" t="str">
        <f>IF(I285=".",".",VLOOKUP($I285,'Price List, Weapons &amp; Items'!B:J,3,0))</f>
        <v>Humanitarian</v>
      </c>
      <c r="AP285" s="1195" t="str">
        <f t="shared" ca="1" si="64"/>
        <v/>
      </c>
      <c r="AQ285" s="1194">
        <f>VLOOKUP($I285,'Price List, Weapons &amp; Items'!B:L,COLUMN('Price List, Weapons &amp; Items'!$L$11)-1,0)</f>
        <v>0</v>
      </c>
      <c r="AR285" s="1194">
        <f t="shared" si="71"/>
        <v>1</v>
      </c>
      <c r="AS285" s="1194">
        <f t="shared" si="72"/>
        <v>0</v>
      </c>
      <c r="AT285" s="1194">
        <f t="shared" si="73"/>
        <v>1</v>
      </c>
      <c r="AU285" s="1194" t="str">
        <f t="shared" si="74"/>
        <v>.</v>
      </c>
      <c r="AV285" s="1194" t="str">
        <f t="shared" si="65"/>
        <v>.</v>
      </c>
      <c r="AW285" s="1194" t="str">
        <f t="shared" si="75"/>
        <v>.</v>
      </c>
      <c r="AX285" s="1194">
        <f>IFERROR(VLOOKUP(B285,'Share, Heavy Weapons to Ukraine'!B:Z,COLUMN('Share, Heavy Weapons to Ukraine'!C295)-1,0),0)</f>
        <v>0</v>
      </c>
      <c r="AY285" s="1194">
        <f>VLOOKUP('Bilateral Assistance, MAIN DATA'!B285,'Country Summary (€)'!B:F,COLUMN('Country Summary (€)'!C296)-1,FALSE)</f>
        <v>1</v>
      </c>
      <c r="AZ285" s="1194" t="str">
        <f>IF(AND(AD285=1,D285="Military",H285&lt;&gt;"Not given")=TRUE,IF(SUMIFS(P:P,A:A,A285)&gt;0,ABS((SUMIFS(P:P,A:A,A285)/VLOOKUP("USD",'Exchange Rates'!B:C,2,0)))/S285,"."),".")</f>
        <v>.</v>
      </c>
      <c r="BA285" s="1196" t="str">
        <f>IF(AND(AD285=1,D285="Military",H285&lt;&gt;"Not given")=TRUE,IF(SUMIFS(P:P,A:A,A285)&gt;0,IF((ABS((SUMIFS(P:P,A:A,A285)/VLOOKUP("USD",'Exchange Rates'!B:C,2,0)))/S285)&gt;1,(SUMIFS(P:P,A:A,A285)-S285)/S285,(S285-SUMIFS(P:P,A:A,A285))/SUMIFS(P:P,A:A,A285)),"."),".")</f>
        <v>.</v>
      </c>
    </row>
    <row r="286" spans="1:72" ht="15.95" customHeight="1">
      <c r="A286" s="1182" t="s">
        <v>1179</v>
      </c>
      <c r="B286" s="1182" t="s">
        <v>1012</v>
      </c>
      <c r="C286" s="1181" t="s">
        <v>1180</v>
      </c>
      <c r="D286" s="1182" t="s">
        <v>360</v>
      </c>
      <c r="E286" s="1182" t="s">
        <v>1152</v>
      </c>
      <c r="F286" s="1183" t="s">
        <v>1181</v>
      </c>
      <c r="G286" s="1184" t="s">
        <v>1014</v>
      </c>
      <c r="H286" s="1185">
        <v>138000000</v>
      </c>
      <c r="I286" s="1180" t="s">
        <v>364</v>
      </c>
      <c r="J286" s="1186" t="str">
        <f>VLOOKUP($I286,'Price List, Weapons &amp; Items'!B:C,2,0)</f>
        <v>.</v>
      </c>
      <c r="K286" s="1186" t="str">
        <f>IF(I286=".",I286,VLOOKUP($I286,'Price List, Weapons &amp; Items'!B:D,3,0))</f>
        <v>.</v>
      </c>
      <c r="L286" s="1187">
        <f>VLOOKUP(I286,'Price List, Weapons &amp; Items'!B:E,4,0)</f>
        <v>0</v>
      </c>
      <c r="M286" s="1188" t="s">
        <v>364</v>
      </c>
      <c r="N286" s="1188" t="s">
        <v>364</v>
      </c>
      <c r="O286" s="1188" t="str">
        <f>VLOOKUP($I286,'Price List, Weapons &amp; Items'!B:G,6,0)</f>
        <v>.</v>
      </c>
      <c r="P286" s="1185" t="str">
        <f t="shared" si="66"/>
        <v>.</v>
      </c>
      <c r="Q286" s="1185" t="str">
        <f t="shared" si="67"/>
        <v>.</v>
      </c>
      <c r="R286" s="1185">
        <f t="shared" si="63"/>
        <v>138000000</v>
      </c>
      <c r="S286" s="1185">
        <f>IF(AND(AD286=1,R286&lt;&gt;".")=TRUE,R286/VLOOKUP(G286,'Exchange Rates'!B:C,2,0),IF(R286=".",".",""))</f>
        <v>5848696.7577876672</v>
      </c>
      <c r="T286" s="1185" t="str">
        <f>IF(AD286=1,IF(AF286="Value is not given at all",".",IF(AF286="Value is given by the source",S286,IF(AF286="Value is calculated with prices",(IF(SUMIFS(Q:Q,A:A,A286)&gt;0,SUMIFS(Q:Q,A:A,A286),"."))/VLOOKUP("USD",'Exchange Rates'!B:C,2,0),"Error with coding"))),"")</f>
        <v>.</v>
      </c>
      <c r="U286" s="1184" t="s">
        <v>365</v>
      </c>
      <c r="V286" s="1006" t="s">
        <v>1182</v>
      </c>
      <c r="W286" s="1009" t="s">
        <v>1183</v>
      </c>
      <c r="X286" s="1009" t="s">
        <v>1184</v>
      </c>
      <c r="Y286" s="1183" t="s">
        <v>364</v>
      </c>
      <c r="Z286" s="978">
        <v>0</v>
      </c>
      <c r="AA286" s="1194">
        <v>0</v>
      </c>
      <c r="AB286" s="999" t="s">
        <v>364</v>
      </c>
      <c r="AC286" s="1192" t="str">
        <f>""</f>
        <v/>
      </c>
      <c r="AD286" s="1193">
        <v>1</v>
      </c>
      <c r="AE286" s="1193" t="s">
        <v>368</v>
      </c>
      <c r="AF286" s="1193" t="s">
        <v>369</v>
      </c>
      <c r="AG286" s="1193">
        <v>1</v>
      </c>
      <c r="AH286" s="1193">
        <v>14</v>
      </c>
      <c r="AI286" s="1193">
        <v>0</v>
      </c>
      <c r="AJ286" s="1193">
        <f>VLOOKUP($I286,'Price List, Weapons &amp; Items'!B:F,5,0)</f>
        <v>0</v>
      </c>
      <c r="AK286" s="1193">
        <f t="shared" si="68"/>
        <v>0</v>
      </c>
      <c r="AL286" s="1193">
        <f t="shared" si="69"/>
        <v>0</v>
      </c>
      <c r="AM286" s="1193">
        <f t="shared" si="70"/>
        <v>0</v>
      </c>
      <c r="AN286" s="1194" t="str">
        <f>VLOOKUP($I286,'Price List, Weapons &amp; Items'!B:L,COLUMN('Price List, Weapons &amp; Items'!$J$11)-1,0)</f>
        <v>.</v>
      </c>
      <c r="AO286" s="1194" t="str">
        <f>IF(I286=".",".",VLOOKUP($I286,'Price List, Weapons &amp; Items'!B:J,3,0))</f>
        <v>.</v>
      </c>
      <c r="AP286" s="1195" t="str">
        <f t="shared" ca="1" si="64"/>
        <v>.</v>
      </c>
      <c r="AQ286" s="1194">
        <f>VLOOKUP($I286,'Price List, Weapons &amp; Items'!B:L,COLUMN('Price List, Weapons &amp; Items'!$L$11)-1,0)</f>
        <v>0</v>
      </c>
      <c r="AR286" s="1194">
        <f t="shared" si="71"/>
        <v>1</v>
      </c>
      <c r="AS286" s="1194">
        <f t="shared" si="72"/>
        <v>0</v>
      </c>
      <c r="AT286" s="1194" t="str">
        <f t="shared" si="73"/>
        <v>Value is not in date format</v>
      </c>
      <c r="AU286" s="1194" t="str">
        <f t="shared" si="74"/>
        <v>.</v>
      </c>
      <c r="AV286" s="1194" t="str">
        <f t="shared" si="65"/>
        <v>.</v>
      </c>
      <c r="AW286" s="1194" t="str">
        <f t="shared" si="75"/>
        <v>.</v>
      </c>
      <c r="AX286" s="1194">
        <f>IFERROR(VLOOKUP(B286,'Share, Heavy Weapons to Ukraine'!B:Z,COLUMN('Share, Heavy Weapons to Ukraine'!C296)-1,0),0)</f>
        <v>0</v>
      </c>
      <c r="AY286" s="1194">
        <f>VLOOKUP('Bilateral Assistance, MAIN DATA'!B286,'Country Summary (€)'!B:F,COLUMN('Country Summary (€)'!C297)-1,FALSE)</f>
        <v>1</v>
      </c>
      <c r="AZ286" s="1194" t="str">
        <f>IF(AND(AD286=1,D286="Military",H286&lt;&gt;"Not given")=TRUE,IF(SUMIFS(P:P,A:A,A286)&gt;0,ABS((SUMIFS(P:P,A:A,A286)/VLOOKUP("USD",'Exchange Rates'!B:C,2,0)))/S286,"."),".")</f>
        <v>.</v>
      </c>
      <c r="BA286" s="1196" t="str">
        <f>IF(AND(AD286=1,D286="Military",H286&lt;&gt;"Not given")=TRUE,IF(SUMIFS(P:P,A:A,A286)&gt;0,IF((ABS((SUMIFS(P:P,A:A,A286)/VLOOKUP("USD",'Exchange Rates'!B:C,2,0)))/S286)&gt;1,(SUMIFS(P:P,A:A,A286)-S286)/S286,(S286-SUMIFS(P:P,A:A,A286))/SUMIFS(P:P,A:A,A286)),"."),".")</f>
        <v>.</v>
      </c>
    </row>
    <row r="287" spans="1:72" ht="15.95" customHeight="1">
      <c r="A287" s="1182" t="s">
        <v>1185</v>
      </c>
      <c r="B287" s="1182" t="s">
        <v>1012</v>
      </c>
      <c r="C287" s="1181">
        <v>45030</v>
      </c>
      <c r="D287" s="1182" t="s">
        <v>360</v>
      </c>
      <c r="E287" s="1182" t="s">
        <v>371</v>
      </c>
      <c r="F287" s="1183" t="s">
        <v>1186</v>
      </c>
      <c r="G287" s="1184" t="s">
        <v>1014</v>
      </c>
      <c r="H287" s="1185">
        <v>3250000</v>
      </c>
      <c r="I287" s="1180" t="s">
        <v>634</v>
      </c>
      <c r="J287" s="1186" t="str">
        <f>VLOOKUP($I287,'Price List, Weapons &amp; Items'!B:C,2,0)</f>
        <v>Humanitarian</v>
      </c>
      <c r="K287" s="1186" t="str">
        <f>IF(I287=".",I287,VLOOKUP($I287,'Price List, Weapons &amp; Items'!B:D,3,0))</f>
        <v>Humanitarian</v>
      </c>
      <c r="L287" s="1187">
        <f>VLOOKUP(I287,'Price List, Weapons &amp; Items'!B:E,4,0)</f>
        <v>0</v>
      </c>
      <c r="M287" s="1188">
        <v>7</v>
      </c>
      <c r="N287" s="1188">
        <v>7</v>
      </c>
      <c r="O287" s="1188">
        <f>VLOOKUP($I287,'Price List, Weapons &amp; Items'!B:G,6,0)</f>
        <v>220000</v>
      </c>
      <c r="P287" s="1185">
        <f t="shared" si="66"/>
        <v>1540000</v>
      </c>
      <c r="Q287" s="1185">
        <f t="shared" si="67"/>
        <v>1540000</v>
      </c>
      <c r="R287" s="1185">
        <f t="shared" si="63"/>
        <v>3250000</v>
      </c>
      <c r="S287" s="1185">
        <f>IF(AND(AD287=1,R287&lt;&gt;".")=TRUE,R287/VLOOKUP(G287,'Exchange Rates'!B:C,2,0),IF(R287=".",".",""))</f>
        <v>137741.04683195593</v>
      </c>
      <c r="T287" s="1185">
        <f>IF(AD287=1,IF(AF287="Value is not given at all",".",IF(AF287="Value is given by the source",S287,IF(AF287="Value is calculated with prices",(IF(SUMIFS(Q:Q,A:A,A287)&gt;0,SUMIFS(Q:Q,A:A,A287),"."))/VLOOKUP("USD",'Exchange Rates'!B:C,2,0),"Error with coding"))),"")</f>
        <v>137741.04683195593</v>
      </c>
      <c r="U287" s="1184" t="s">
        <v>365</v>
      </c>
      <c r="V287" s="987" t="s">
        <v>1187</v>
      </c>
      <c r="W287" s="1276" t="s">
        <v>364</v>
      </c>
      <c r="X287" s="1276" t="s">
        <v>364</v>
      </c>
      <c r="Y287" s="1183" t="s">
        <v>364</v>
      </c>
      <c r="Z287" s="978">
        <v>0</v>
      </c>
      <c r="AA287" s="1194">
        <v>1</v>
      </c>
      <c r="AB287" s="1035" t="s">
        <v>1188</v>
      </c>
      <c r="AC287" s="1192" t="str">
        <f>""</f>
        <v/>
      </c>
      <c r="AD287" s="1193">
        <v>1</v>
      </c>
      <c r="AE287" s="1193" t="s">
        <v>368</v>
      </c>
      <c r="AF287" s="1193" t="s">
        <v>368</v>
      </c>
      <c r="AG287" s="1193">
        <v>1</v>
      </c>
      <c r="AH287" s="1193">
        <v>16</v>
      </c>
      <c r="AI287" s="1193">
        <v>0</v>
      </c>
      <c r="AJ287" s="1193">
        <f>VLOOKUP($I287,'Price List, Weapons &amp; Items'!B:F,5,0)</f>
        <v>0</v>
      </c>
      <c r="AK287" s="1193">
        <f t="shared" si="68"/>
        <v>0</v>
      </c>
      <c r="AL287" s="1193">
        <f t="shared" si="69"/>
        <v>0</v>
      </c>
      <c r="AM287" s="1193">
        <f t="shared" si="70"/>
        <v>0</v>
      </c>
      <c r="AN287" s="1194" t="str">
        <f>VLOOKUP($I287,'Price List, Weapons &amp; Items'!B:L,COLUMN('Price List, Weapons &amp; Items'!$J$11)-1,0)</f>
        <v>Miscellaneous</v>
      </c>
      <c r="AO287" s="1194" t="str">
        <f>IF(I287=".",".",VLOOKUP($I287,'Price List, Weapons &amp; Items'!B:J,3,0))</f>
        <v>Humanitarian</v>
      </c>
      <c r="AP287" s="1195" t="str">
        <f t="shared" ca="1" si="64"/>
        <v>ambulance</v>
      </c>
      <c r="AQ287" s="1194">
        <f>VLOOKUP($I287,'Price List, Weapons &amp; Items'!B:L,COLUMN('Price List, Weapons &amp; Items'!$L$11)-1,0)</f>
        <v>0</v>
      </c>
      <c r="AR287" s="1194">
        <f t="shared" si="71"/>
        <v>1</v>
      </c>
      <c r="AS287" s="1194">
        <f t="shared" si="72"/>
        <v>0</v>
      </c>
      <c r="AT287" s="1194">
        <f t="shared" si="73"/>
        <v>1</v>
      </c>
      <c r="AU287" s="1194" t="str">
        <f t="shared" si="74"/>
        <v>.</v>
      </c>
      <c r="AV287" s="1194" t="str">
        <f t="shared" si="65"/>
        <v>.</v>
      </c>
      <c r="AW287" s="1194" t="str">
        <f t="shared" si="75"/>
        <v>.</v>
      </c>
      <c r="AX287" s="1194">
        <f>IFERROR(VLOOKUP(B287,'Share, Heavy Weapons to Ukraine'!B:Z,COLUMN('Share, Heavy Weapons to Ukraine'!C297)-1,0),0)</f>
        <v>0</v>
      </c>
      <c r="AY287" s="1194">
        <f>VLOOKUP('Bilateral Assistance, MAIN DATA'!B287,'Country Summary (€)'!B:F,COLUMN('Country Summary (€)'!C298)-1,FALSE)</f>
        <v>1</v>
      </c>
      <c r="AZ287" s="1194" t="str">
        <f>IF(AND(AD287=1,D287="Military",H287&lt;&gt;"Not given")=TRUE,IF(SUMIFS(P:P,A:A,A287)&gt;0,ABS((SUMIFS(P:P,A:A,A287)/VLOOKUP("USD",'Exchange Rates'!B:C,2,0)))/S287,"."),".")</f>
        <v>.</v>
      </c>
      <c r="BA287" s="1196" t="str">
        <f>IF(AND(AD287=1,D287="Military",H287&lt;&gt;"Not given")=TRUE,IF(SUMIFS(P:P,A:A,A287)&gt;0,IF((ABS((SUMIFS(P:P,A:A,A287)/VLOOKUP("USD",'Exchange Rates'!B:C,2,0)))/S287)&gt;1,(SUMIFS(P:P,A:A,A287)-S287)/S287,(S287-SUMIFS(P:P,A:A,A287))/SUMIFS(P:P,A:A,A287)),"."),".")</f>
        <v>.</v>
      </c>
    </row>
    <row r="288" spans="1:72" ht="15.95" customHeight="1">
      <c r="A288" s="1182" t="s">
        <v>1189</v>
      </c>
      <c r="B288" s="1182" t="s">
        <v>1012</v>
      </c>
      <c r="C288" s="1181">
        <v>45043</v>
      </c>
      <c r="D288" s="1182" t="s">
        <v>360</v>
      </c>
      <c r="E288" s="1182" t="s">
        <v>361</v>
      </c>
      <c r="F288" s="1183" t="s">
        <v>1190</v>
      </c>
      <c r="G288" s="1184" t="s">
        <v>483</v>
      </c>
      <c r="H288" s="1185">
        <v>1000000</v>
      </c>
      <c r="I288" s="1180" t="s">
        <v>364</v>
      </c>
      <c r="J288" s="1186" t="str">
        <f>VLOOKUP($I288,'Price List, Weapons &amp; Items'!B:C,2,0)</f>
        <v>.</v>
      </c>
      <c r="K288" s="1186" t="str">
        <f>IF(I288=".",I288,VLOOKUP($I288,'Price List, Weapons &amp; Items'!B:D,3,0))</f>
        <v>.</v>
      </c>
      <c r="L288" s="1187">
        <f>VLOOKUP(I288,'Price List, Weapons &amp; Items'!B:E,4,0)</f>
        <v>0</v>
      </c>
      <c r="M288" s="1188" t="s">
        <v>364</v>
      </c>
      <c r="N288" s="1188" t="s">
        <v>364</v>
      </c>
      <c r="O288" s="1188" t="str">
        <f>VLOOKUP($I288,'Price List, Weapons &amp; Items'!B:G,6,0)</f>
        <v>.</v>
      </c>
      <c r="P288" s="1185" t="str">
        <f t="shared" si="66"/>
        <v>.</v>
      </c>
      <c r="Q288" s="1185" t="str">
        <f t="shared" si="67"/>
        <v>.</v>
      </c>
      <c r="R288" s="1185">
        <f t="shared" si="63"/>
        <v>1000000</v>
      </c>
      <c r="S288" s="1185">
        <f>IF(AND(AD288=1,R288&lt;&gt;".")=TRUE,R288/VLOOKUP(G288,'Exchange Rates'!B:C,2,0),IF(R288=".",".",""))</f>
        <v>1000000</v>
      </c>
      <c r="T288" s="1185" t="str">
        <f>IF(AD288=1,IF(AF288="Value is not given at all",".",IF(AF288="Value is given by the source",S288,IF(AF288="Value is calculated with prices",(IF(SUMIFS(Q:Q,A:A,A288)&gt;0,SUMIFS(Q:Q,A:A,A288),"."))/VLOOKUP("USD",'Exchange Rates'!B:C,2,0),"Error with coding"))),"")</f>
        <v>.</v>
      </c>
      <c r="U288" s="1184" t="s">
        <v>675</v>
      </c>
      <c r="V288" s="987" t="s">
        <v>1191</v>
      </c>
      <c r="W288" s="976" t="s">
        <v>1192</v>
      </c>
      <c r="X288" s="1276" t="s">
        <v>364</v>
      </c>
      <c r="Y288" s="1183" t="s">
        <v>364</v>
      </c>
      <c r="Z288" s="978">
        <v>0</v>
      </c>
      <c r="AA288" s="1194">
        <v>1</v>
      </c>
      <c r="AB288" s="1035" t="s">
        <v>364</v>
      </c>
      <c r="AC288" s="1192" t="str">
        <f>""</f>
        <v/>
      </c>
      <c r="AD288" s="1193">
        <v>1</v>
      </c>
      <c r="AE288" s="1193" t="s">
        <v>368</v>
      </c>
      <c r="AF288" s="985" t="s">
        <v>369</v>
      </c>
      <c r="AG288" s="1193">
        <v>1</v>
      </c>
      <c r="AH288" s="1193">
        <v>16</v>
      </c>
      <c r="AI288" s="1193">
        <v>0</v>
      </c>
      <c r="AJ288" s="1193">
        <f>VLOOKUP($I288,'Price List, Weapons &amp; Items'!B:F,5,0)</f>
        <v>0</v>
      </c>
      <c r="AK288" s="1193">
        <f t="shared" si="68"/>
        <v>0</v>
      </c>
      <c r="AL288" s="1193">
        <f t="shared" si="69"/>
        <v>0</v>
      </c>
      <c r="AM288" s="1193">
        <f t="shared" si="70"/>
        <v>0</v>
      </c>
      <c r="AN288" s="1194" t="str">
        <f>VLOOKUP($I288,'Price List, Weapons &amp; Items'!B:L,COLUMN('Price List, Weapons &amp; Items'!$J$11)-1,0)</f>
        <v>.</v>
      </c>
      <c r="AO288" s="1194" t="str">
        <f>IF(I288=".",".",VLOOKUP($I288,'Price List, Weapons &amp; Items'!B:J,3,0))</f>
        <v>.</v>
      </c>
      <c r="AP288" s="1195" t="str">
        <f t="shared" ca="1" si="64"/>
        <v>.</v>
      </c>
      <c r="AQ288" s="1194">
        <f>VLOOKUP($I288,'Price List, Weapons &amp; Items'!B:L,COLUMN('Price List, Weapons &amp; Items'!$L$11)-1,0)</f>
        <v>0</v>
      </c>
      <c r="AR288" s="1194">
        <f t="shared" si="71"/>
        <v>0</v>
      </c>
      <c r="AS288" s="1194">
        <f t="shared" si="72"/>
        <v>0</v>
      </c>
      <c r="AT288" s="1194">
        <f t="shared" si="73"/>
        <v>1</v>
      </c>
      <c r="AU288" s="1194" t="str">
        <f t="shared" si="74"/>
        <v>.</v>
      </c>
      <c r="AV288" s="1194" t="str">
        <f t="shared" si="65"/>
        <v>.</v>
      </c>
      <c r="AW288" s="1194" t="str">
        <f t="shared" si="75"/>
        <v>.</v>
      </c>
      <c r="AX288" s="1194">
        <f>IFERROR(VLOOKUP(B288,'Share, Heavy Weapons to Ukraine'!B:Z,COLUMN('Share, Heavy Weapons to Ukraine'!C298)-1,0),0)</f>
        <v>0</v>
      </c>
      <c r="AY288" s="1194">
        <f>VLOOKUP('Bilateral Assistance, MAIN DATA'!B288,'Country Summary (€)'!B:F,COLUMN('Country Summary (€)'!C299)-1,FALSE)</f>
        <v>1</v>
      </c>
      <c r="AZ288" s="1194" t="str">
        <f>IF(AND(AD288=1,D288="Military",H288&lt;&gt;"Not given")=TRUE,IF(SUMIFS(P:P,A:A,A288)&gt;0,ABS((SUMIFS(P:P,A:A,A288)/VLOOKUP("USD",'Exchange Rates'!B:C,2,0)))/S288,"."),".")</f>
        <v>.</v>
      </c>
      <c r="BA288" s="1196" t="str">
        <f>IF(AND(AD288=1,D288="Military",H288&lt;&gt;"Not given")=TRUE,IF(SUMIFS(P:P,A:A,A288)&gt;0,IF((ABS((SUMIFS(P:P,A:A,A288)/VLOOKUP("USD",'Exchange Rates'!B:C,2,0)))/S288)&gt;1,(SUMIFS(P:P,A:A,A288)-S288)/S288,(S288-SUMIFS(P:P,A:A,A288))/SUMIFS(P:P,A:A,A288)),"."),".")</f>
        <v>.</v>
      </c>
    </row>
    <row r="289" spans="1:53" ht="15.95" customHeight="1">
      <c r="A289" s="1180" t="s">
        <v>1193</v>
      </c>
      <c r="B289" s="1180" t="s">
        <v>1194</v>
      </c>
      <c r="C289" s="1181" t="s">
        <v>1195</v>
      </c>
      <c r="D289" s="1182" t="s">
        <v>360</v>
      </c>
      <c r="E289" s="1182" t="s">
        <v>371</v>
      </c>
      <c r="F289" s="1183" t="s">
        <v>1196</v>
      </c>
      <c r="G289" s="1184" t="s">
        <v>1197</v>
      </c>
      <c r="H289" s="1185">
        <v>8000000</v>
      </c>
      <c r="I289" s="1180" t="s">
        <v>364</v>
      </c>
      <c r="J289" s="1186" t="str">
        <f>VLOOKUP($I289,'Price List, Weapons &amp; Items'!B:C,2,0)</f>
        <v>.</v>
      </c>
      <c r="K289" s="1186" t="str">
        <f>IF(I289=".",I289,VLOOKUP($I289,'Price List, Weapons &amp; Items'!B:D,3,0))</f>
        <v>.</v>
      </c>
      <c r="L289" s="1187">
        <f>VLOOKUP(I289,'Price List, Weapons &amp; Items'!B:E,4,0)</f>
        <v>0</v>
      </c>
      <c r="M289" s="1188" t="s">
        <v>364</v>
      </c>
      <c r="N289" s="1188" t="s">
        <v>364</v>
      </c>
      <c r="O289" s="1188" t="str">
        <f>VLOOKUP($I289,'Price List, Weapons &amp; Items'!B:G,6,0)</f>
        <v>.</v>
      </c>
      <c r="P289" s="1185" t="str">
        <f t="shared" si="66"/>
        <v>.</v>
      </c>
      <c r="Q289" s="1185" t="str">
        <f t="shared" si="67"/>
        <v>.</v>
      </c>
      <c r="R289" s="1185">
        <f t="shared" si="63"/>
        <v>8000000</v>
      </c>
      <c r="S289" s="1185">
        <f>IF(AND(AD289=1,R289&lt;&gt;".")=TRUE,R289/VLOOKUP(G289,'Exchange Rates'!B:C,2,0),IF(R289=".",".",""))</f>
        <v>1074041.7533731624</v>
      </c>
      <c r="T289" s="1185" t="str">
        <f>IF(AD289=1,IF(AF289="Value is not given at all",".",IF(AF289="Value is given by the source",S289,IF(AF289="Value is calculated with prices",(IF(SUMIFS(Q:Q,A:A,A289)&gt;0,SUMIFS(Q:Q,A:A,A289),"."))/VLOOKUP("USD",'Exchange Rates'!B:C,2,0),"Error with coding"))),"")</f>
        <v>.</v>
      </c>
      <c r="U289" s="1184" t="s">
        <v>365</v>
      </c>
      <c r="V289" s="971" t="s">
        <v>1198</v>
      </c>
      <c r="W289" s="980" t="s">
        <v>1199</v>
      </c>
      <c r="X289" s="1190" t="s">
        <v>364</v>
      </c>
      <c r="Y289" s="1190" t="s">
        <v>364</v>
      </c>
      <c r="Z289" s="1184">
        <v>0</v>
      </c>
      <c r="AA289" s="1194">
        <v>0</v>
      </c>
      <c r="AB289" s="1201" t="s">
        <v>364</v>
      </c>
      <c r="AC289" s="1192" t="str">
        <f>""</f>
        <v/>
      </c>
      <c r="AD289" s="1193">
        <v>1</v>
      </c>
      <c r="AE289" s="1193" t="s">
        <v>368</v>
      </c>
      <c r="AF289" s="1193" t="s">
        <v>369</v>
      </c>
      <c r="AG289" s="1193">
        <v>1</v>
      </c>
      <c r="AH289" s="1193">
        <v>3</v>
      </c>
      <c r="AI289" s="1193">
        <v>0</v>
      </c>
      <c r="AJ289" s="1193">
        <f>VLOOKUP($I289,'Price List, Weapons &amp; Items'!B:F,5,0)</f>
        <v>0</v>
      </c>
      <c r="AK289" s="1193">
        <f t="shared" si="68"/>
        <v>0</v>
      </c>
      <c r="AL289" s="1193">
        <f t="shared" si="69"/>
        <v>0</v>
      </c>
      <c r="AM289" s="1193">
        <f t="shared" si="70"/>
        <v>0</v>
      </c>
      <c r="AN289" s="1194" t="str">
        <f>VLOOKUP($I289,'Price List, Weapons &amp; Items'!B:L,COLUMN('Price List, Weapons &amp; Items'!$J$11)-1,0)</f>
        <v>.</v>
      </c>
      <c r="AO289" s="1194" t="str">
        <f>IF(I289=".",".",VLOOKUP($I289,'Price List, Weapons &amp; Items'!B:J,3,0))</f>
        <v>.</v>
      </c>
      <c r="AP289" s="1195" t="str">
        <f t="shared" ca="1" si="64"/>
        <v>.</v>
      </c>
      <c r="AQ289" s="1194">
        <f>VLOOKUP($I289,'Price List, Weapons &amp; Items'!B:L,COLUMN('Price List, Weapons &amp; Items'!$L$11)-1,0)</f>
        <v>0</v>
      </c>
      <c r="AR289" s="1194">
        <f t="shared" si="71"/>
        <v>1</v>
      </c>
      <c r="AS289" s="1194">
        <f t="shared" si="72"/>
        <v>0</v>
      </c>
      <c r="AT289" s="1194" t="str">
        <f t="shared" si="73"/>
        <v>Value is not in date format</v>
      </c>
      <c r="AU289" s="1194" t="str">
        <f t="shared" si="74"/>
        <v>.</v>
      </c>
      <c r="AV289" s="1194" t="str">
        <f t="shared" si="65"/>
        <v>.</v>
      </c>
      <c r="AW289" s="1194" t="str">
        <f t="shared" si="75"/>
        <v>.</v>
      </c>
      <c r="AX289" s="1194">
        <f>IFERROR(VLOOKUP(B289,'Share, Heavy Weapons to Ukraine'!B:Z,COLUMN('Share, Heavy Weapons to Ukraine'!C299)-1,0),0)</f>
        <v>0</v>
      </c>
      <c r="AY289" s="1194">
        <f>VLOOKUP('Bilateral Assistance, MAIN DATA'!B289,'Country Summary (€)'!B:F,COLUMN('Country Summary (€)'!C300)-1,FALSE)</f>
        <v>1</v>
      </c>
      <c r="AZ289" s="1194" t="str">
        <f>IF(AND(AD289=1,D289="Military",H289&lt;&gt;"Not given")=TRUE,IF(SUMIFS(P:P,A:A,A289)&gt;0,ABS((SUMIFS(P:P,A:A,A289)/VLOOKUP("USD",'Exchange Rates'!B:C,2,0)))/S289,"."),".")</f>
        <v>.</v>
      </c>
      <c r="BA289" s="1196" t="str">
        <f>IF(AND(AD289=1,D289="Military",H289&lt;&gt;"Not given")=TRUE,IF(SUMIFS(P:P,A:A,A289)&gt;0,IF((ABS((SUMIFS(P:P,A:A,A289)/VLOOKUP("USD",'Exchange Rates'!B:C,2,0)))/S289)&gt;1,(SUMIFS(P:P,A:A,A289)-S289)/S289,(S289-SUMIFS(P:P,A:A,A289))/SUMIFS(P:P,A:A,A289)),"."),".")</f>
        <v>.</v>
      </c>
    </row>
    <row r="290" spans="1:53" ht="15.95" customHeight="1">
      <c r="A290" s="1180" t="s">
        <v>1200</v>
      </c>
      <c r="B290" s="1180" t="s">
        <v>1194</v>
      </c>
      <c r="C290" s="1181" t="s">
        <v>1195</v>
      </c>
      <c r="D290" s="1182" t="s">
        <v>360</v>
      </c>
      <c r="E290" s="1182" t="s">
        <v>1201</v>
      </c>
      <c r="F290" s="1183" t="s">
        <v>1202</v>
      </c>
      <c r="G290" s="1184" t="s">
        <v>1197</v>
      </c>
      <c r="H290" s="1185">
        <v>20000000</v>
      </c>
      <c r="I290" s="1180" t="s">
        <v>364</v>
      </c>
      <c r="J290" s="1186" t="str">
        <f>VLOOKUP($I290,'Price List, Weapons &amp; Items'!B:C,2,0)</f>
        <v>.</v>
      </c>
      <c r="K290" s="1186" t="str">
        <f>IF(I290=".",I290,VLOOKUP($I290,'Price List, Weapons &amp; Items'!B:D,3,0))</f>
        <v>.</v>
      </c>
      <c r="L290" s="1187">
        <f>VLOOKUP(I290,'Price List, Weapons &amp; Items'!B:E,4,0)</f>
        <v>0</v>
      </c>
      <c r="M290" s="1188" t="s">
        <v>364</v>
      </c>
      <c r="N290" s="1188" t="s">
        <v>364</v>
      </c>
      <c r="O290" s="1188" t="str">
        <f>VLOOKUP($I290,'Price List, Weapons &amp; Items'!B:G,6,0)</f>
        <v>.</v>
      </c>
      <c r="P290" s="1185" t="str">
        <f t="shared" si="66"/>
        <v>.</v>
      </c>
      <c r="Q290" s="1185" t="str">
        <f t="shared" si="67"/>
        <v>.</v>
      </c>
      <c r="R290" s="1185">
        <f t="shared" si="63"/>
        <v>20000000</v>
      </c>
      <c r="S290" s="1185">
        <f>IF(AND(AD290=1,R290&lt;&gt;".")=TRUE,R290/VLOOKUP(G290,'Exchange Rates'!B:C,2,0),IF(R290=".",".",""))</f>
        <v>2685104.3834329061</v>
      </c>
      <c r="T290" s="1185" t="str">
        <f>IF(AD290=1,IF(AF290="Value is not given at all",".",IF(AF290="Value is given by the source",S290,IF(AF290="Value is calculated with prices",(IF(SUMIFS(Q:Q,A:A,A290)&gt;0,SUMIFS(Q:Q,A:A,A290),"."))/VLOOKUP("USD",'Exchange Rates'!B:C,2,0),"Error with coding"))),"")</f>
        <v>.</v>
      </c>
      <c r="U290" s="1184" t="s">
        <v>365</v>
      </c>
      <c r="V290" s="971" t="s">
        <v>1198</v>
      </c>
      <c r="W290" s="980" t="s">
        <v>1199</v>
      </c>
      <c r="X290" s="1190" t="s">
        <v>364</v>
      </c>
      <c r="Y290" s="1190" t="s">
        <v>364</v>
      </c>
      <c r="Z290" s="1184">
        <v>0</v>
      </c>
      <c r="AA290" s="1194">
        <v>0</v>
      </c>
      <c r="AB290" s="1201" t="s">
        <v>364</v>
      </c>
      <c r="AC290" s="1192" t="str">
        <f>""</f>
        <v/>
      </c>
      <c r="AD290" s="1193">
        <v>1</v>
      </c>
      <c r="AE290" s="1193" t="s">
        <v>368</v>
      </c>
      <c r="AF290" s="1193" t="s">
        <v>369</v>
      </c>
      <c r="AG290" s="1193">
        <v>1</v>
      </c>
      <c r="AH290" s="1193">
        <v>3</v>
      </c>
      <c r="AI290" s="1193">
        <v>0</v>
      </c>
      <c r="AJ290" s="1193">
        <f>VLOOKUP($I290,'Price List, Weapons &amp; Items'!B:F,5,0)</f>
        <v>0</v>
      </c>
      <c r="AK290" s="1193">
        <f t="shared" si="68"/>
        <v>0</v>
      </c>
      <c r="AL290" s="1193">
        <f t="shared" si="69"/>
        <v>0</v>
      </c>
      <c r="AM290" s="1193">
        <f t="shared" si="70"/>
        <v>0</v>
      </c>
      <c r="AN290" s="1194" t="str">
        <f>VLOOKUP($I290,'Price List, Weapons &amp; Items'!B:L,COLUMN('Price List, Weapons &amp; Items'!$J$11)-1,0)</f>
        <v>.</v>
      </c>
      <c r="AO290" s="1194" t="str">
        <f>IF(I290=".",".",VLOOKUP($I290,'Price List, Weapons &amp; Items'!B:J,3,0))</f>
        <v>.</v>
      </c>
      <c r="AP290" s="1195" t="str">
        <f t="shared" ca="1" si="64"/>
        <v>.</v>
      </c>
      <c r="AQ290" s="1194">
        <f>VLOOKUP($I290,'Price List, Weapons &amp; Items'!B:L,COLUMN('Price List, Weapons &amp; Items'!$L$11)-1,0)</f>
        <v>0</v>
      </c>
      <c r="AR290" s="1194">
        <f t="shared" si="71"/>
        <v>1</v>
      </c>
      <c r="AS290" s="1194">
        <f t="shared" si="72"/>
        <v>0</v>
      </c>
      <c r="AT290" s="1194" t="str">
        <f t="shared" si="73"/>
        <v>Value is not in date format</v>
      </c>
      <c r="AU290" s="1194" t="str">
        <f t="shared" si="74"/>
        <v>.</v>
      </c>
      <c r="AV290" s="1194" t="str">
        <f t="shared" si="65"/>
        <v>.</v>
      </c>
      <c r="AW290" s="1194" t="str">
        <f t="shared" si="75"/>
        <v>.</v>
      </c>
      <c r="AX290" s="1194">
        <f>IFERROR(VLOOKUP(B290,'Share, Heavy Weapons to Ukraine'!B:Z,COLUMN('Share, Heavy Weapons to Ukraine'!C300)-1,0),0)</f>
        <v>0</v>
      </c>
      <c r="AY290" s="1194">
        <f>VLOOKUP('Bilateral Assistance, MAIN DATA'!B290,'Country Summary (€)'!B:F,COLUMN('Country Summary (€)'!C301)-1,FALSE)</f>
        <v>1</v>
      </c>
      <c r="AZ290" s="1194" t="str">
        <f>IF(AND(AD290=1,D290="Military",H290&lt;&gt;"Not given")=TRUE,IF(SUMIFS(P:P,A:A,A290)&gt;0,ABS((SUMIFS(P:P,A:A,A290)/VLOOKUP("USD",'Exchange Rates'!B:C,2,0)))/S290,"."),".")</f>
        <v>.</v>
      </c>
      <c r="BA290" s="1196" t="str">
        <f>IF(AND(AD290=1,D290="Military",H290&lt;&gt;"Not given")=TRUE,IF(SUMIFS(P:P,A:A,A290)&gt;0,IF((ABS((SUMIFS(P:P,A:A,A290)/VLOOKUP("USD",'Exchange Rates'!B:C,2,0)))/S290)&gt;1,(SUMIFS(P:P,A:A,A290)-S290)/S290,(S290-SUMIFS(P:P,A:A,A290))/SUMIFS(P:P,A:A,A290)),"."),".")</f>
        <v>.</v>
      </c>
    </row>
    <row r="291" spans="1:53" ht="15.95" customHeight="1">
      <c r="A291" s="1180" t="s">
        <v>1203</v>
      </c>
      <c r="B291" s="1180" t="s">
        <v>1194</v>
      </c>
      <c r="C291" s="1181" t="s">
        <v>1195</v>
      </c>
      <c r="D291" s="1182" t="s">
        <v>360</v>
      </c>
      <c r="E291" s="1182" t="s">
        <v>361</v>
      </c>
      <c r="F291" s="1183" t="s">
        <v>1204</v>
      </c>
      <c r="G291" s="1184" t="s">
        <v>1197</v>
      </c>
      <c r="H291" s="1185">
        <v>10000000</v>
      </c>
      <c r="I291" s="1180" t="s">
        <v>364</v>
      </c>
      <c r="J291" s="1186" t="str">
        <f>VLOOKUP($I291,'Price List, Weapons &amp; Items'!B:C,2,0)</f>
        <v>.</v>
      </c>
      <c r="K291" s="1186" t="str">
        <f>IF(I291=".",I291,VLOOKUP($I291,'Price List, Weapons &amp; Items'!B:D,3,0))</f>
        <v>.</v>
      </c>
      <c r="L291" s="1187">
        <f>VLOOKUP(I291,'Price List, Weapons &amp; Items'!B:E,4,0)</f>
        <v>0</v>
      </c>
      <c r="M291" s="1188" t="s">
        <v>364</v>
      </c>
      <c r="N291" s="1188" t="s">
        <v>364</v>
      </c>
      <c r="O291" s="1188" t="str">
        <f>VLOOKUP($I291,'Price List, Weapons &amp; Items'!B:G,6,0)</f>
        <v>.</v>
      </c>
      <c r="P291" s="1185" t="str">
        <f t="shared" si="66"/>
        <v>.</v>
      </c>
      <c r="Q291" s="1185" t="str">
        <f t="shared" si="67"/>
        <v>.</v>
      </c>
      <c r="R291" s="1185">
        <f t="shared" si="63"/>
        <v>10000000</v>
      </c>
      <c r="S291" s="1185">
        <f>IF(AND(AD291=1,R291&lt;&gt;".")=TRUE,R291/VLOOKUP(G291,'Exchange Rates'!B:C,2,0),IF(R291=".",".",""))</f>
        <v>1342552.1917164531</v>
      </c>
      <c r="T291" s="1185" t="str">
        <f>IF(AD291=1,IF(AF291="Value is not given at all",".",IF(AF291="Value is given by the source",S291,IF(AF291="Value is calculated with prices",(IF(SUMIFS(Q:Q,A:A,A291)&gt;0,SUMIFS(Q:Q,A:A,A291),"."))/VLOOKUP("USD",'Exchange Rates'!B:C,2,0),"Error with coding"))),"")</f>
        <v>.</v>
      </c>
      <c r="U291" s="1184" t="s">
        <v>365</v>
      </c>
      <c r="V291" s="971" t="s">
        <v>1198</v>
      </c>
      <c r="W291" s="980" t="s">
        <v>1199</v>
      </c>
      <c r="X291" s="1190" t="s">
        <v>364</v>
      </c>
      <c r="Y291" s="1190" t="s">
        <v>364</v>
      </c>
      <c r="Z291" s="1184">
        <v>0</v>
      </c>
      <c r="AA291" s="1194">
        <v>0</v>
      </c>
      <c r="AB291" s="1201" t="s">
        <v>364</v>
      </c>
      <c r="AC291" s="1192" t="str">
        <f>""</f>
        <v/>
      </c>
      <c r="AD291" s="1193">
        <v>1</v>
      </c>
      <c r="AE291" s="1193" t="s">
        <v>368</v>
      </c>
      <c r="AF291" s="1193" t="s">
        <v>369</v>
      </c>
      <c r="AG291" s="1193">
        <v>1</v>
      </c>
      <c r="AH291" s="1193">
        <v>3</v>
      </c>
      <c r="AI291" s="1193">
        <v>0</v>
      </c>
      <c r="AJ291" s="1193">
        <f>VLOOKUP($I291,'Price List, Weapons &amp; Items'!B:F,5,0)</f>
        <v>0</v>
      </c>
      <c r="AK291" s="1193">
        <f t="shared" si="68"/>
        <v>0</v>
      </c>
      <c r="AL291" s="1193">
        <f t="shared" si="69"/>
        <v>0</v>
      </c>
      <c r="AM291" s="1193">
        <f t="shared" si="70"/>
        <v>0</v>
      </c>
      <c r="AN291" s="1194" t="str">
        <f>VLOOKUP($I291,'Price List, Weapons &amp; Items'!B:L,COLUMN('Price List, Weapons &amp; Items'!$J$11)-1,0)</f>
        <v>.</v>
      </c>
      <c r="AO291" s="1194" t="str">
        <f>IF(I291=".",".",VLOOKUP($I291,'Price List, Weapons &amp; Items'!B:J,3,0))</f>
        <v>.</v>
      </c>
      <c r="AP291" s="1195" t="str">
        <f t="shared" ca="1" si="64"/>
        <v>.</v>
      </c>
      <c r="AQ291" s="1194">
        <f>VLOOKUP($I291,'Price List, Weapons &amp; Items'!B:L,COLUMN('Price List, Weapons &amp; Items'!$L$11)-1,0)</f>
        <v>0</v>
      </c>
      <c r="AR291" s="1194">
        <f t="shared" si="71"/>
        <v>1</v>
      </c>
      <c r="AS291" s="1194">
        <f t="shared" si="72"/>
        <v>0</v>
      </c>
      <c r="AT291" s="1194" t="str">
        <f t="shared" si="73"/>
        <v>Value is not in date format</v>
      </c>
      <c r="AU291" s="1194" t="str">
        <f t="shared" si="74"/>
        <v>.</v>
      </c>
      <c r="AV291" s="1194" t="str">
        <f t="shared" si="65"/>
        <v>.</v>
      </c>
      <c r="AW291" s="1194" t="str">
        <f t="shared" si="75"/>
        <v>.</v>
      </c>
      <c r="AX291" s="1194">
        <f>IFERROR(VLOOKUP(B291,'Share, Heavy Weapons to Ukraine'!B:Z,COLUMN('Share, Heavy Weapons to Ukraine'!C301)-1,0),0)</f>
        <v>0</v>
      </c>
      <c r="AY291" s="1194">
        <f>VLOOKUP('Bilateral Assistance, MAIN DATA'!B291,'Country Summary (€)'!B:F,COLUMN('Country Summary (€)'!C302)-1,FALSE)</f>
        <v>1</v>
      </c>
      <c r="AZ291" s="1194" t="str">
        <f>IF(AND(AD291=1,D291="Military",H291&lt;&gt;"Not given")=TRUE,IF(SUMIFS(P:P,A:A,A291)&gt;0,ABS((SUMIFS(P:P,A:A,A291)/VLOOKUP("USD",'Exchange Rates'!B:C,2,0)))/S291,"."),".")</f>
        <v>.</v>
      </c>
      <c r="BA291" s="1196" t="str">
        <f>IF(AND(AD291=1,D291="Military",H291&lt;&gt;"Not given")=TRUE,IF(SUMIFS(P:P,A:A,A291)&gt;0,IF((ABS((SUMIFS(P:P,A:A,A291)/VLOOKUP("USD",'Exchange Rates'!B:C,2,0)))/S291)&gt;1,(SUMIFS(P:P,A:A,A291)-S291)/S291,(S291-SUMIFS(P:P,A:A,A291))/SUMIFS(P:P,A:A,A291)),"."),".")</f>
        <v>.</v>
      </c>
    </row>
    <row r="292" spans="1:53" ht="15.95" customHeight="1">
      <c r="A292" s="1180" t="s">
        <v>1205</v>
      </c>
      <c r="B292" s="1180" t="s">
        <v>1194</v>
      </c>
      <c r="C292" s="1181" t="s">
        <v>1195</v>
      </c>
      <c r="D292" s="1182" t="s">
        <v>360</v>
      </c>
      <c r="E292" s="1182" t="s">
        <v>371</v>
      </c>
      <c r="F292" s="1183" t="s">
        <v>1206</v>
      </c>
      <c r="G292" s="1184" t="s">
        <v>1197</v>
      </c>
      <c r="H292" s="1185">
        <v>50000000</v>
      </c>
      <c r="I292" s="1180" t="s">
        <v>364</v>
      </c>
      <c r="J292" s="1186" t="str">
        <f>VLOOKUP($I292,'Price List, Weapons &amp; Items'!B:C,2,0)</f>
        <v>.</v>
      </c>
      <c r="K292" s="1186" t="str">
        <f>IF(I292=".",I292,VLOOKUP($I292,'Price List, Weapons &amp; Items'!B:D,3,0))</f>
        <v>.</v>
      </c>
      <c r="L292" s="1187">
        <f>VLOOKUP(I292,'Price List, Weapons &amp; Items'!B:E,4,0)</f>
        <v>0</v>
      </c>
      <c r="M292" s="1188" t="s">
        <v>364</v>
      </c>
      <c r="N292" s="1188" t="s">
        <v>364</v>
      </c>
      <c r="O292" s="1188" t="str">
        <f>VLOOKUP($I292,'Price List, Weapons &amp; Items'!B:G,6,0)</f>
        <v>.</v>
      </c>
      <c r="P292" s="1185" t="str">
        <f t="shared" si="66"/>
        <v>.</v>
      </c>
      <c r="Q292" s="1185" t="str">
        <f t="shared" si="67"/>
        <v>.</v>
      </c>
      <c r="R292" s="1185">
        <f t="shared" si="63"/>
        <v>50000000</v>
      </c>
      <c r="S292" s="1185">
        <f>IF(AND(AD292=1,R292&lt;&gt;".")=TRUE,R292/VLOOKUP(G292,'Exchange Rates'!B:C,2,0),IF(R292=".",".",""))</f>
        <v>6712760.9585822644</v>
      </c>
      <c r="T292" s="1185" t="str">
        <f>IF(AD292=1,IF(AF292="Value is not given at all",".",IF(AF292="Value is given by the source",S292,IF(AF292="Value is calculated with prices",(IF(SUMIFS(Q:Q,A:A,A292)&gt;0,SUMIFS(Q:Q,A:A,A292),"."))/VLOOKUP("USD",'Exchange Rates'!B:C,2,0),"Error with coding"))),"")</f>
        <v>.</v>
      </c>
      <c r="U292" s="1184" t="s">
        <v>365</v>
      </c>
      <c r="V292" s="971" t="s">
        <v>1198</v>
      </c>
      <c r="W292" s="972" t="s">
        <v>1199</v>
      </c>
      <c r="X292" s="1190" t="s">
        <v>364</v>
      </c>
      <c r="Y292" s="1190" t="s">
        <v>364</v>
      </c>
      <c r="Z292" s="1184">
        <v>0</v>
      </c>
      <c r="AA292" s="1194">
        <v>0</v>
      </c>
      <c r="AB292" s="1201" t="s">
        <v>364</v>
      </c>
      <c r="AC292" s="1192" t="str">
        <f>""</f>
        <v/>
      </c>
      <c r="AD292" s="985">
        <v>1</v>
      </c>
      <c r="AE292" s="985" t="s">
        <v>368</v>
      </c>
      <c r="AF292" s="985" t="s">
        <v>369</v>
      </c>
      <c r="AG292" s="985">
        <v>1</v>
      </c>
      <c r="AH292" s="1193">
        <v>3</v>
      </c>
      <c r="AI292" s="1193">
        <v>0</v>
      </c>
      <c r="AJ292" s="1193">
        <f>VLOOKUP($I292,'Price List, Weapons &amp; Items'!B:F,5,0)</f>
        <v>0</v>
      </c>
      <c r="AK292" s="1193">
        <f t="shared" si="68"/>
        <v>0</v>
      </c>
      <c r="AL292" s="1193">
        <f t="shared" si="69"/>
        <v>0</v>
      </c>
      <c r="AM292" s="1193">
        <f t="shared" si="70"/>
        <v>0</v>
      </c>
      <c r="AN292" s="1194" t="str">
        <f>VLOOKUP($I292,'Price List, Weapons &amp; Items'!B:L,COLUMN('Price List, Weapons &amp; Items'!$J$11)-1,0)</f>
        <v>.</v>
      </c>
      <c r="AO292" s="1194" t="str">
        <f>IF(I292=".",".",VLOOKUP($I292,'Price List, Weapons &amp; Items'!B:J,3,0))</f>
        <v>.</v>
      </c>
      <c r="AP292" s="1195" t="str">
        <f t="shared" ca="1" si="64"/>
        <v>.</v>
      </c>
      <c r="AQ292" s="1194">
        <f>VLOOKUP($I292,'Price List, Weapons &amp; Items'!B:L,COLUMN('Price List, Weapons &amp; Items'!$L$11)-1,0)</f>
        <v>0</v>
      </c>
      <c r="AR292" s="1194">
        <f t="shared" si="71"/>
        <v>1</v>
      </c>
      <c r="AS292" s="1194">
        <f t="shared" si="72"/>
        <v>0</v>
      </c>
      <c r="AT292" s="1194" t="str">
        <f t="shared" si="73"/>
        <v>Value is not in date format</v>
      </c>
      <c r="AU292" s="1194" t="str">
        <f t="shared" si="74"/>
        <v>.</v>
      </c>
      <c r="AV292" s="1194" t="str">
        <f t="shared" si="65"/>
        <v>.</v>
      </c>
      <c r="AW292" s="1194" t="str">
        <f t="shared" si="75"/>
        <v>.</v>
      </c>
      <c r="AX292" s="1194">
        <f>IFERROR(VLOOKUP(B292,'Share, Heavy Weapons to Ukraine'!B:Z,COLUMN('Share, Heavy Weapons to Ukraine'!C302)-1,0),0)</f>
        <v>0</v>
      </c>
      <c r="AY292" s="1194">
        <f>VLOOKUP('Bilateral Assistance, MAIN DATA'!B292,'Country Summary (€)'!B:F,COLUMN('Country Summary (€)'!C303)-1,FALSE)</f>
        <v>1</v>
      </c>
      <c r="AZ292" s="1194" t="str">
        <f>IF(AND(AD292=1,D292="Military",H292&lt;&gt;"Not given")=TRUE,IF(SUMIFS(P:P,A:A,A292)&gt;0,ABS((SUMIFS(P:P,A:A,A292)/VLOOKUP("USD",'Exchange Rates'!B:C,2,0)))/S292,"."),".")</f>
        <v>.</v>
      </c>
      <c r="BA292" s="1196" t="str">
        <f>IF(AND(AD292=1,D292="Military",H292&lt;&gt;"Not given")=TRUE,IF(SUMIFS(P:P,A:A,A292)&gt;0,IF((ABS((SUMIFS(P:P,A:A,A292)/VLOOKUP("USD",'Exchange Rates'!B:C,2,0)))/S292)&gt;1,(SUMIFS(P:P,A:A,A292)-S292)/S292,(S292-SUMIFS(P:P,A:A,A292))/SUMIFS(P:P,A:A,A292)),"."),".")</f>
        <v>.</v>
      </c>
    </row>
    <row r="293" spans="1:53" ht="15.95" customHeight="1">
      <c r="A293" s="1180" t="s">
        <v>1207</v>
      </c>
      <c r="B293" s="1180" t="s">
        <v>1194</v>
      </c>
      <c r="C293" s="1181">
        <v>44621</v>
      </c>
      <c r="D293" s="1182" t="s">
        <v>360</v>
      </c>
      <c r="E293" s="1182" t="s">
        <v>371</v>
      </c>
      <c r="F293" s="1183" t="s">
        <v>1208</v>
      </c>
      <c r="G293" s="1184" t="s">
        <v>1197</v>
      </c>
      <c r="H293" s="1185">
        <v>50000000</v>
      </c>
      <c r="I293" s="1180" t="s">
        <v>364</v>
      </c>
      <c r="J293" s="1186" t="str">
        <f>VLOOKUP($I293,'Price List, Weapons &amp; Items'!B:C,2,0)</f>
        <v>.</v>
      </c>
      <c r="K293" s="1186" t="str">
        <f>IF(I293=".",I293,VLOOKUP($I293,'Price List, Weapons &amp; Items'!B:D,3,0))</f>
        <v>.</v>
      </c>
      <c r="L293" s="1187">
        <f>VLOOKUP(I293,'Price List, Weapons &amp; Items'!B:E,4,0)</f>
        <v>0</v>
      </c>
      <c r="M293" s="1188" t="s">
        <v>364</v>
      </c>
      <c r="N293" s="1188" t="s">
        <v>364</v>
      </c>
      <c r="O293" s="1188" t="str">
        <f>VLOOKUP($I293,'Price List, Weapons &amp; Items'!B:G,6,0)</f>
        <v>.</v>
      </c>
      <c r="P293" s="1185" t="str">
        <f t="shared" si="66"/>
        <v>.</v>
      </c>
      <c r="Q293" s="1185" t="str">
        <f t="shared" si="67"/>
        <v>.</v>
      </c>
      <c r="R293" s="1185">
        <f t="shared" si="63"/>
        <v>50000000</v>
      </c>
      <c r="S293" s="1185">
        <f>IF(AND(AD293=1,R293&lt;&gt;".")=TRUE,R293/VLOOKUP(G293,'Exchange Rates'!B:C,2,0),IF(R293=".",".",""))</f>
        <v>6712760.9585822644</v>
      </c>
      <c r="T293" s="1185" t="str">
        <f>IF(AD293=1,IF(AF293="Value is not given at all",".",IF(AF293="Value is given by the source",S293,IF(AF293="Value is calculated with prices",(IF(SUMIFS(Q:Q,A:A,A293)&gt;0,SUMIFS(Q:Q,A:A,A293),"."))/VLOOKUP("USD",'Exchange Rates'!B:C,2,0),"Error with coding"))),"")</f>
        <v>.</v>
      </c>
      <c r="U293" s="1184" t="s">
        <v>365</v>
      </c>
      <c r="V293" s="971" t="s">
        <v>1209</v>
      </c>
      <c r="W293" s="972" t="s">
        <v>1199</v>
      </c>
      <c r="X293" s="1190" t="s">
        <v>364</v>
      </c>
      <c r="Y293" s="1190" t="s">
        <v>364</v>
      </c>
      <c r="Z293" s="1184">
        <v>0</v>
      </c>
      <c r="AA293" s="1194">
        <v>0</v>
      </c>
      <c r="AB293" s="1201" t="s">
        <v>364</v>
      </c>
      <c r="AC293" s="1192" t="str">
        <f>""</f>
        <v/>
      </c>
      <c r="AD293" s="985">
        <v>1</v>
      </c>
      <c r="AE293" s="985" t="s">
        <v>368</v>
      </c>
      <c r="AF293" s="985" t="s">
        <v>369</v>
      </c>
      <c r="AG293" s="985">
        <v>1</v>
      </c>
      <c r="AH293" s="1193">
        <v>3</v>
      </c>
      <c r="AI293" s="1193">
        <v>0</v>
      </c>
      <c r="AJ293" s="1193">
        <f>VLOOKUP($I293,'Price List, Weapons &amp; Items'!B:F,5,0)</f>
        <v>0</v>
      </c>
      <c r="AK293" s="1193">
        <f t="shared" si="68"/>
        <v>0</v>
      </c>
      <c r="AL293" s="1193">
        <f t="shared" si="69"/>
        <v>0</v>
      </c>
      <c r="AM293" s="1193">
        <f t="shared" si="70"/>
        <v>0</v>
      </c>
      <c r="AN293" s="1194" t="str">
        <f>VLOOKUP($I293,'Price List, Weapons &amp; Items'!B:L,COLUMN('Price List, Weapons &amp; Items'!$J$11)-1,0)</f>
        <v>.</v>
      </c>
      <c r="AO293" s="1194" t="str">
        <f>IF(I293=".",".",VLOOKUP($I293,'Price List, Weapons &amp; Items'!B:J,3,0))</f>
        <v>.</v>
      </c>
      <c r="AP293" s="1195" t="str">
        <f t="shared" ca="1" si="64"/>
        <v>.</v>
      </c>
      <c r="AQ293" s="1194">
        <f>VLOOKUP($I293,'Price List, Weapons &amp; Items'!B:L,COLUMN('Price List, Weapons &amp; Items'!$L$11)-1,0)</f>
        <v>0</v>
      </c>
      <c r="AR293" s="1194">
        <f t="shared" si="71"/>
        <v>1</v>
      </c>
      <c r="AS293" s="1194">
        <f t="shared" si="72"/>
        <v>0</v>
      </c>
      <c r="AT293" s="1194">
        <f t="shared" si="73"/>
        <v>1</v>
      </c>
      <c r="AU293" s="1194" t="str">
        <f t="shared" si="74"/>
        <v>.</v>
      </c>
      <c r="AV293" s="1194" t="str">
        <f t="shared" si="65"/>
        <v>.</v>
      </c>
      <c r="AW293" s="1194" t="str">
        <f t="shared" si="75"/>
        <v>.</v>
      </c>
      <c r="AX293" s="1194">
        <f>IFERROR(VLOOKUP(B293,'Share, Heavy Weapons to Ukraine'!B:Z,COLUMN('Share, Heavy Weapons to Ukraine'!C303)-1,0),0)</f>
        <v>0</v>
      </c>
      <c r="AY293" s="1194">
        <f>VLOOKUP('Bilateral Assistance, MAIN DATA'!B293,'Country Summary (€)'!B:F,COLUMN('Country Summary (€)'!C304)-1,FALSE)</f>
        <v>1</v>
      </c>
      <c r="AZ293" s="1194" t="str">
        <f>IF(AND(AD293=1,D293="Military",H293&lt;&gt;"Not given")=TRUE,IF(SUMIFS(P:P,A:A,A293)&gt;0,ABS((SUMIFS(P:P,A:A,A293)/VLOOKUP("USD",'Exchange Rates'!B:C,2,0)))/S293,"."),".")</f>
        <v>.</v>
      </c>
      <c r="BA293" s="1196" t="str">
        <f>IF(AND(AD293=1,D293="Military",H293&lt;&gt;"Not given")=TRUE,IF(SUMIFS(P:P,A:A,A293)&gt;0,IF((ABS((SUMIFS(P:P,A:A,A293)/VLOOKUP("USD",'Exchange Rates'!B:C,2,0)))/S293)&gt;1,(SUMIFS(P:P,A:A,A293)-S293)/S293,(S293-SUMIFS(P:P,A:A,A293))/SUMIFS(P:P,A:A,A293)),"."),".")</f>
        <v>.</v>
      </c>
    </row>
    <row r="294" spans="1:53" ht="15.95" customHeight="1">
      <c r="A294" s="1180" t="s">
        <v>1210</v>
      </c>
      <c r="B294" s="1180" t="s">
        <v>1194</v>
      </c>
      <c r="C294" s="1181" t="s">
        <v>1211</v>
      </c>
      <c r="D294" s="1182" t="s">
        <v>360</v>
      </c>
      <c r="E294" s="1182" t="s">
        <v>361</v>
      </c>
      <c r="F294" s="1183" t="s">
        <v>1212</v>
      </c>
      <c r="G294" s="1184" t="s">
        <v>1197</v>
      </c>
      <c r="H294" s="1185">
        <v>155000000</v>
      </c>
      <c r="I294" s="1180" t="s">
        <v>364</v>
      </c>
      <c r="J294" s="1186" t="str">
        <f>VLOOKUP($I294,'Price List, Weapons &amp; Items'!B:C,2,0)</f>
        <v>.</v>
      </c>
      <c r="K294" s="1186" t="str">
        <f>IF(I294=".",I294,VLOOKUP($I294,'Price List, Weapons &amp; Items'!B:D,3,0))</f>
        <v>.</v>
      </c>
      <c r="L294" s="1187">
        <f>VLOOKUP(I294,'Price List, Weapons &amp; Items'!B:E,4,0)</f>
        <v>0</v>
      </c>
      <c r="M294" s="1188" t="s">
        <v>364</v>
      </c>
      <c r="N294" s="1188" t="s">
        <v>364</v>
      </c>
      <c r="O294" s="1188" t="str">
        <f>VLOOKUP($I294,'Price List, Weapons &amp; Items'!B:G,6,0)</f>
        <v>.</v>
      </c>
      <c r="P294" s="1185" t="str">
        <f t="shared" si="66"/>
        <v>.</v>
      </c>
      <c r="Q294" s="1185" t="str">
        <f t="shared" si="67"/>
        <v>.</v>
      </c>
      <c r="R294" s="1185">
        <f t="shared" si="63"/>
        <v>155000000</v>
      </c>
      <c r="S294" s="1185">
        <f>IF(AND(AD294=1,R294&lt;&gt;".")=TRUE,R294/VLOOKUP(G294,'Exchange Rates'!B:C,2,0),IF(R294=".",".",""))</f>
        <v>20809558.971605022</v>
      </c>
      <c r="T294" s="1185" t="str">
        <f>IF(AD294=1,IF(AF294="Value is not given at all",".",IF(AF294="Value is given by the source",S294,IF(AF294="Value is calculated with prices",(IF(SUMIFS(Q:Q,A:A,A294)&gt;0,SUMIFS(Q:Q,A:A,A294),"."))/VLOOKUP("USD",'Exchange Rates'!B:C,2,0),"Error with coding"))),"")</f>
        <v>.</v>
      </c>
      <c r="U294" s="1184" t="s">
        <v>365</v>
      </c>
      <c r="V294" s="971" t="s">
        <v>1213</v>
      </c>
      <c r="W294" s="1015" t="s">
        <v>1199</v>
      </c>
      <c r="X294" s="1277" t="s">
        <v>364</v>
      </c>
      <c r="Y294" s="1277" t="s">
        <v>364</v>
      </c>
      <c r="Z294" s="1184">
        <v>0</v>
      </c>
      <c r="AA294" s="1194">
        <v>0</v>
      </c>
      <c r="AB294" s="1201" t="s">
        <v>364</v>
      </c>
      <c r="AC294" s="1192" t="str">
        <f>""</f>
        <v/>
      </c>
      <c r="AD294" s="985">
        <v>1</v>
      </c>
      <c r="AE294" s="985" t="s">
        <v>368</v>
      </c>
      <c r="AF294" s="985" t="s">
        <v>369</v>
      </c>
      <c r="AG294" s="985">
        <v>1</v>
      </c>
      <c r="AH294" s="1193">
        <v>5</v>
      </c>
      <c r="AI294" s="1193">
        <v>0</v>
      </c>
      <c r="AJ294" s="1193">
        <f>VLOOKUP($I294,'Price List, Weapons &amp; Items'!B:F,5,0)</f>
        <v>0</v>
      </c>
      <c r="AK294" s="1193">
        <f t="shared" si="68"/>
        <v>0</v>
      </c>
      <c r="AL294" s="1193">
        <f t="shared" si="69"/>
        <v>0</v>
      </c>
      <c r="AM294" s="1193">
        <f t="shared" si="70"/>
        <v>0</v>
      </c>
      <c r="AN294" s="1194" t="str">
        <f>VLOOKUP($I294,'Price List, Weapons &amp; Items'!B:L,COLUMN('Price List, Weapons &amp; Items'!$J$11)-1,0)</f>
        <v>.</v>
      </c>
      <c r="AO294" s="1194" t="str">
        <f>IF(I294=".",".",VLOOKUP($I294,'Price List, Weapons &amp; Items'!B:J,3,0))</f>
        <v>.</v>
      </c>
      <c r="AP294" s="1195" t="str">
        <f t="shared" ca="1" si="64"/>
        <v>.</v>
      </c>
      <c r="AQ294" s="1194">
        <f>VLOOKUP($I294,'Price List, Weapons &amp; Items'!B:L,COLUMN('Price List, Weapons &amp; Items'!$L$11)-1,0)</f>
        <v>0</v>
      </c>
      <c r="AR294" s="1194">
        <f t="shared" si="71"/>
        <v>1</v>
      </c>
      <c r="AS294" s="1194">
        <f t="shared" si="72"/>
        <v>0</v>
      </c>
      <c r="AT294" s="1194" t="str">
        <f t="shared" si="73"/>
        <v>Value is not in date format</v>
      </c>
      <c r="AU294" s="1194" t="str">
        <f t="shared" si="74"/>
        <v>.</v>
      </c>
      <c r="AV294" s="1194" t="str">
        <f t="shared" si="65"/>
        <v>.</v>
      </c>
      <c r="AW294" s="1194" t="str">
        <f t="shared" si="75"/>
        <v>.</v>
      </c>
      <c r="AX294" s="1194">
        <f>IFERROR(VLOOKUP(B294,'Share, Heavy Weapons to Ukraine'!B:Z,COLUMN('Share, Heavy Weapons to Ukraine'!C304)-1,0),0)</f>
        <v>0</v>
      </c>
      <c r="AY294" s="1194">
        <f>VLOOKUP('Bilateral Assistance, MAIN DATA'!B294,'Country Summary (€)'!B:F,COLUMN('Country Summary (€)'!C305)-1,FALSE)</f>
        <v>1</v>
      </c>
      <c r="AZ294" s="1194" t="str">
        <f>IF(AND(AD294=1,D294="Military",H294&lt;&gt;"Not given")=TRUE,IF(SUMIFS(P:P,A:A,A294)&gt;0,ABS((SUMIFS(P:P,A:A,A294)/VLOOKUP("USD",'Exchange Rates'!B:C,2,0)))/S294,"."),".")</f>
        <v>.</v>
      </c>
      <c r="BA294" s="1196" t="str">
        <f>IF(AND(AD294=1,D294="Military",H294&lt;&gt;"Not given")=TRUE,IF(SUMIFS(P:P,A:A,A294)&gt;0,IF((ABS((SUMIFS(P:P,A:A,A294)/VLOOKUP("USD",'Exchange Rates'!B:C,2,0)))/S294)&gt;1,(SUMIFS(P:P,A:A,A294)-S294)/S294,(S294-SUMIFS(P:P,A:A,A294))/SUMIFS(P:P,A:A,A294)),"."),".")</f>
        <v>.</v>
      </c>
    </row>
    <row r="295" spans="1:53" ht="15.95" customHeight="1">
      <c r="A295" s="1180" t="s">
        <v>1214</v>
      </c>
      <c r="B295" s="1180" t="s">
        <v>1194</v>
      </c>
      <c r="C295" s="1181" t="s">
        <v>1215</v>
      </c>
      <c r="D295" s="1182" t="s">
        <v>360</v>
      </c>
      <c r="E295" s="1182" t="s">
        <v>1216</v>
      </c>
      <c r="F295" s="1183" t="s">
        <v>1217</v>
      </c>
      <c r="G295" s="1184" t="s">
        <v>483</v>
      </c>
      <c r="H295" s="1185">
        <v>16000000</v>
      </c>
      <c r="I295" s="1180" t="s">
        <v>364</v>
      </c>
      <c r="J295" s="1186" t="str">
        <f>VLOOKUP($I295,'Price List, Weapons &amp; Items'!B:C,2,0)</f>
        <v>.</v>
      </c>
      <c r="K295" s="1186" t="str">
        <f>IF(I295=".",I295,VLOOKUP($I295,'Price List, Weapons &amp; Items'!B:D,3,0))</f>
        <v>.</v>
      </c>
      <c r="L295" s="1187">
        <f>VLOOKUP(I295,'Price List, Weapons &amp; Items'!B:E,4,0)</f>
        <v>0</v>
      </c>
      <c r="M295" s="1188" t="s">
        <v>364</v>
      </c>
      <c r="N295" s="1188" t="s">
        <v>364</v>
      </c>
      <c r="O295" s="1188" t="str">
        <f>VLOOKUP($I295,'Price List, Weapons &amp; Items'!B:G,6,0)</f>
        <v>.</v>
      </c>
      <c r="P295" s="1185" t="str">
        <f t="shared" si="66"/>
        <v>.</v>
      </c>
      <c r="Q295" s="1185" t="str">
        <f t="shared" si="67"/>
        <v>.</v>
      </c>
      <c r="R295" s="1185">
        <f t="shared" si="63"/>
        <v>16000000</v>
      </c>
      <c r="S295" s="1185">
        <f>IF(AND(AD295=1,R295&lt;&gt;".")=TRUE,R295/VLOOKUP(G295,'Exchange Rates'!B:C,2,0),IF(R295=".",".",""))</f>
        <v>16000000</v>
      </c>
      <c r="T295" s="1185" t="str">
        <f>IF(AD295=1,IF(AF295="Value is not given at all",".",IF(AF295="Value is given by the source",S295,IF(AF295="Value is calculated with prices",(IF(SUMIFS(Q:Q,A:A,A295)&gt;0,SUMIFS(Q:Q,A:A,A295),"."))/VLOOKUP("USD",'Exchange Rates'!B:C,2,0),"Error with coding"))),"")</f>
        <v>.</v>
      </c>
      <c r="U295" s="1184" t="s">
        <v>365</v>
      </c>
      <c r="V295" s="966" t="s">
        <v>1218</v>
      </c>
      <c r="W295" s="966" t="s">
        <v>1199</v>
      </c>
      <c r="X295" s="986" t="s">
        <v>364</v>
      </c>
      <c r="Y295" s="981" t="s">
        <v>364</v>
      </c>
      <c r="Z295" s="1184">
        <v>0</v>
      </c>
      <c r="AA295" s="1194">
        <v>0</v>
      </c>
      <c r="AB295" s="1000" t="s">
        <v>364</v>
      </c>
      <c r="AC295" s="1192" t="str">
        <f>""</f>
        <v/>
      </c>
      <c r="AD295" s="985">
        <v>1</v>
      </c>
      <c r="AE295" s="985" t="s">
        <v>368</v>
      </c>
      <c r="AF295" s="985" t="s">
        <v>369</v>
      </c>
      <c r="AG295" s="985">
        <v>1</v>
      </c>
      <c r="AH295" s="1193">
        <v>8</v>
      </c>
      <c r="AI295" s="1193">
        <v>0</v>
      </c>
      <c r="AJ295" s="1193">
        <f>VLOOKUP($I295,'Price List, Weapons &amp; Items'!B:F,5,0)</f>
        <v>0</v>
      </c>
      <c r="AK295" s="1193">
        <f t="shared" si="68"/>
        <v>0</v>
      </c>
      <c r="AL295" s="1193">
        <f t="shared" si="69"/>
        <v>0</v>
      </c>
      <c r="AM295" s="1193">
        <f t="shared" si="70"/>
        <v>0</v>
      </c>
      <c r="AN295" s="1194" t="str">
        <f>VLOOKUP($I295,'Price List, Weapons &amp; Items'!B:L,COLUMN('Price List, Weapons &amp; Items'!$J$11)-1,0)</f>
        <v>.</v>
      </c>
      <c r="AO295" s="1194" t="str">
        <f>IF(I295=".",".",VLOOKUP($I295,'Price List, Weapons &amp; Items'!B:J,3,0))</f>
        <v>.</v>
      </c>
      <c r="AP295" s="1195" t="str">
        <f t="shared" ca="1" si="64"/>
        <v>.</v>
      </c>
      <c r="AQ295" s="1194">
        <f>VLOOKUP($I295,'Price List, Weapons &amp; Items'!B:L,COLUMN('Price List, Weapons &amp; Items'!$L$11)-1,0)</f>
        <v>0</v>
      </c>
      <c r="AR295" s="1194">
        <f t="shared" si="71"/>
        <v>1</v>
      </c>
      <c r="AS295" s="1194">
        <f t="shared" si="72"/>
        <v>0</v>
      </c>
      <c r="AT295" s="1194" t="str">
        <f t="shared" si="73"/>
        <v>Value is not in date format</v>
      </c>
      <c r="AU295" s="1194" t="str">
        <f t="shared" si="74"/>
        <v>.</v>
      </c>
      <c r="AV295" s="1194" t="str">
        <f t="shared" si="65"/>
        <v>.</v>
      </c>
      <c r="AW295" s="1194" t="str">
        <f t="shared" si="75"/>
        <v>.</v>
      </c>
      <c r="AX295" s="1194">
        <f>IFERROR(VLOOKUP(B295,'Share, Heavy Weapons to Ukraine'!B:Z,COLUMN('Share, Heavy Weapons to Ukraine'!C305)-1,0),0)</f>
        <v>0</v>
      </c>
      <c r="AY295" s="1194">
        <f>VLOOKUP('Bilateral Assistance, MAIN DATA'!B295,'Country Summary (€)'!B:F,COLUMN('Country Summary (€)'!C306)-1,FALSE)</f>
        <v>1</v>
      </c>
      <c r="AZ295" s="1194" t="str">
        <f>IF(AND(AD295=1,D295="Military",H295&lt;&gt;"Not given")=TRUE,IF(SUMIFS(P:P,A:A,A295)&gt;0,ABS((SUMIFS(P:P,A:A,A295)/VLOOKUP("USD",'Exchange Rates'!B:C,2,0)))/S295,"."),".")</f>
        <v>.</v>
      </c>
      <c r="BA295" s="1196" t="str">
        <f>IF(AND(AD295=1,D295="Military",H295&lt;&gt;"Not given")=TRUE,IF(SUMIFS(P:P,A:A,A295)&gt;0,IF((ABS((SUMIFS(P:P,A:A,A295)/VLOOKUP("USD",'Exchange Rates'!B:C,2,0)))/S295)&gt;1,(SUMIFS(P:P,A:A,A295)-S295)/S295,(S295-SUMIFS(P:P,A:A,A295))/SUMIFS(P:P,A:A,A295)),"."),".")</f>
        <v>.</v>
      </c>
    </row>
    <row r="296" spans="1:53" ht="15.95" customHeight="1">
      <c r="A296" s="1180" t="s">
        <v>1219</v>
      </c>
      <c r="B296" s="1180" t="s">
        <v>1194</v>
      </c>
      <c r="C296" s="1181" t="s">
        <v>1220</v>
      </c>
      <c r="D296" s="1182" t="s">
        <v>360</v>
      </c>
      <c r="E296" s="1182" t="s">
        <v>361</v>
      </c>
      <c r="F296" s="1183" t="s">
        <v>1221</v>
      </c>
      <c r="G296" s="1184" t="s">
        <v>483</v>
      </c>
      <c r="H296" s="1185">
        <v>18200000</v>
      </c>
      <c r="I296" s="1180" t="s">
        <v>364</v>
      </c>
      <c r="J296" s="1186" t="str">
        <f>VLOOKUP($I296,'Price List, Weapons &amp; Items'!B:C,2,0)</f>
        <v>.</v>
      </c>
      <c r="K296" s="1186" t="str">
        <f>IF(I296=".",I296,VLOOKUP($I296,'Price List, Weapons &amp; Items'!B:D,3,0))</f>
        <v>.</v>
      </c>
      <c r="L296" s="1187">
        <f>VLOOKUP(I296,'Price List, Weapons &amp; Items'!B:E,4,0)</f>
        <v>0</v>
      </c>
      <c r="M296" s="1188" t="s">
        <v>364</v>
      </c>
      <c r="N296" s="1188" t="s">
        <v>364</v>
      </c>
      <c r="O296" s="1188" t="str">
        <f>VLOOKUP($I296,'Price List, Weapons &amp; Items'!B:G,6,0)</f>
        <v>.</v>
      </c>
      <c r="P296" s="1185" t="str">
        <f t="shared" si="66"/>
        <v>.</v>
      </c>
      <c r="Q296" s="1185" t="str">
        <f t="shared" si="67"/>
        <v>.</v>
      </c>
      <c r="R296" s="1185">
        <f t="shared" si="63"/>
        <v>18200000</v>
      </c>
      <c r="S296" s="1185">
        <f>IF(AND(AD296=1,R296&lt;&gt;".")=TRUE,R296/VLOOKUP(G296,'Exchange Rates'!B:C,2,0),IF(R296=".",".",""))</f>
        <v>18200000</v>
      </c>
      <c r="T296" s="1185" t="str">
        <f>IF(AD296=1,IF(AF296="Value is not given at all",".",IF(AF296="Value is given by the source",S296,IF(AF296="Value is calculated with prices",(IF(SUMIFS(Q:Q,A:A,A296)&gt;0,SUMIFS(Q:Q,A:A,A296),"."))/VLOOKUP("USD",'Exchange Rates'!B:C,2,0),"Error with coding"))),"")</f>
        <v>.</v>
      </c>
      <c r="U296" s="1184" t="s">
        <v>365</v>
      </c>
      <c r="V296" s="966" t="s">
        <v>1199</v>
      </c>
      <c r="W296" s="986" t="s">
        <v>364</v>
      </c>
      <c r="X296" s="986" t="s">
        <v>364</v>
      </c>
      <c r="Y296" s="981" t="s">
        <v>364</v>
      </c>
      <c r="Z296" s="1184">
        <v>0</v>
      </c>
      <c r="AA296" s="1194">
        <v>0</v>
      </c>
      <c r="AB296" s="1000" t="s">
        <v>364</v>
      </c>
      <c r="AC296" s="1192" t="str">
        <f>""</f>
        <v/>
      </c>
      <c r="AD296" s="985">
        <v>1</v>
      </c>
      <c r="AE296" s="985" t="s">
        <v>368</v>
      </c>
      <c r="AF296" s="985" t="s">
        <v>369</v>
      </c>
      <c r="AG296" s="985">
        <v>1</v>
      </c>
      <c r="AH296" s="1193">
        <v>10</v>
      </c>
      <c r="AI296" s="1193">
        <v>0</v>
      </c>
      <c r="AJ296" s="1193">
        <f>VLOOKUP($I296,'Price List, Weapons &amp; Items'!B:F,5,0)</f>
        <v>0</v>
      </c>
      <c r="AK296" s="1193">
        <f t="shared" si="68"/>
        <v>0</v>
      </c>
      <c r="AL296" s="1193">
        <f t="shared" si="69"/>
        <v>0</v>
      </c>
      <c r="AM296" s="1193">
        <f t="shared" si="70"/>
        <v>0</v>
      </c>
      <c r="AN296" s="1194" t="str">
        <f>VLOOKUP($I296,'Price List, Weapons &amp; Items'!B:L,COLUMN('Price List, Weapons &amp; Items'!$J$11)-1,0)</f>
        <v>.</v>
      </c>
      <c r="AO296" s="1194" t="str">
        <f>IF(I296=".",".",VLOOKUP($I296,'Price List, Weapons &amp; Items'!B:J,3,0))</f>
        <v>.</v>
      </c>
      <c r="AP296" s="1195" t="str">
        <f t="shared" ca="1" si="64"/>
        <v>.</v>
      </c>
      <c r="AQ296" s="1194">
        <f>VLOOKUP($I296,'Price List, Weapons &amp; Items'!B:L,COLUMN('Price List, Weapons &amp; Items'!$L$11)-1,0)</f>
        <v>0</v>
      </c>
      <c r="AR296" s="1194">
        <f t="shared" si="71"/>
        <v>1</v>
      </c>
      <c r="AS296" s="1194">
        <f t="shared" si="72"/>
        <v>0</v>
      </c>
      <c r="AT296" s="1194" t="str">
        <f t="shared" si="73"/>
        <v>Value is not in date format</v>
      </c>
      <c r="AU296" s="1194" t="str">
        <f t="shared" si="74"/>
        <v>.</v>
      </c>
      <c r="AV296" s="1194" t="str">
        <f t="shared" si="65"/>
        <v>.</v>
      </c>
      <c r="AW296" s="1194" t="str">
        <f t="shared" si="75"/>
        <v>.</v>
      </c>
      <c r="AX296" s="1194">
        <f>IFERROR(VLOOKUP(B296,'Share, Heavy Weapons to Ukraine'!B:Z,COLUMN('Share, Heavy Weapons to Ukraine'!C306)-1,0),0)</f>
        <v>0</v>
      </c>
      <c r="AY296" s="1194">
        <f>VLOOKUP('Bilateral Assistance, MAIN DATA'!B296,'Country Summary (€)'!B:F,COLUMN('Country Summary (€)'!C307)-1,FALSE)</f>
        <v>1</v>
      </c>
      <c r="AZ296" s="1194" t="str">
        <f>IF(AND(AD296=1,D296="Military",H296&lt;&gt;"Not given")=TRUE,IF(SUMIFS(P:P,A:A,A296)&gt;0,ABS((SUMIFS(P:P,A:A,A296)/VLOOKUP("USD",'Exchange Rates'!B:C,2,0)))/S296,"."),".")</f>
        <v>.</v>
      </c>
      <c r="BA296" s="1196" t="str">
        <f>IF(AND(AD296=1,D296="Military",H296&lt;&gt;"Not given")=TRUE,IF(SUMIFS(P:P,A:A,A296)&gt;0,IF((ABS((SUMIFS(P:P,A:A,A296)/VLOOKUP("USD",'Exchange Rates'!B:C,2,0)))/S296)&gt;1,(SUMIFS(P:P,A:A,A296)-S296)/S296,(S296-SUMIFS(P:P,A:A,A296))/SUMIFS(P:P,A:A,A296)),"."),".")</f>
        <v>.</v>
      </c>
    </row>
    <row r="297" spans="1:53" ht="15.95" customHeight="1">
      <c r="A297" s="1208" t="s">
        <v>1222</v>
      </c>
      <c r="B297" s="1208" t="s">
        <v>1194</v>
      </c>
      <c r="C297" s="1211" t="s">
        <v>1223</v>
      </c>
      <c r="D297" s="1208" t="s">
        <v>360</v>
      </c>
      <c r="E297" s="1208" t="s">
        <v>1216</v>
      </c>
      <c r="F297" s="1208" t="s">
        <v>1224</v>
      </c>
      <c r="G297" s="1184" t="s">
        <v>483</v>
      </c>
      <c r="H297" s="1210">
        <v>25600000</v>
      </c>
      <c r="I297" s="1208" t="s">
        <v>364</v>
      </c>
      <c r="J297" s="1186" t="str">
        <f>VLOOKUP($I297,'Price List, Weapons &amp; Items'!B:C,2,0)</f>
        <v>.</v>
      </c>
      <c r="K297" s="1186" t="str">
        <f>IF(I297=".",I297,VLOOKUP($I297,'Price List, Weapons &amp; Items'!B:D,3,0))</f>
        <v>.</v>
      </c>
      <c r="L297" s="1187">
        <f>VLOOKUP(I297,'Price List, Weapons &amp; Items'!B:E,4,0)</f>
        <v>0</v>
      </c>
      <c r="M297" s="1241" t="s">
        <v>364</v>
      </c>
      <c r="N297" s="1211" t="s">
        <v>364</v>
      </c>
      <c r="O297" s="1188" t="str">
        <f>VLOOKUP($I297,'Price List, Weapons &amp; Items'!B:G,6,0)</f>
        <v>.</v>
      </c>
      <c r="P297" s="1185" t="str">
        <f t="shared" si="66"/>
        <v>.</v>
      </c>
      <c r="Q297" s="1185" t="str">
        <f t="shared" si="67"/>
        <v>.</v>
      </c>
      <c r="R297" s="1185">
        <f t="shared" si="63"/>
        <v>25600000</v>
      </c>
      <c r="S297" s="1185">
        <f>IF(AND(AD297=1,R297&lt;&gt;".")=TRUE,R297/VLOOKUP(G297,'Exchange Rates'!B:C,2,0),IF(R297=".",".",""))</f>
        <v>25600000</v>
      </c>
      <c r="T297" s="1185" t="str">
        <f>IF(AD297=1,IF(AF297="Value is not given at all",".",IF(AF297="Value is given by the source",S297,IF(AF297="Value is calculated with prices",(IF(SUMIFS(Q:Q,A:A,A297)&gt;0,SUMIFS(Q:Q,A:A,A297),"."))/VLOOKUP("USD",'Exchange Rates'!B:C,2,0),"Error with coding"))),"")</f>
        <v>.</v>
      </c>
      <c r="U297" s="1191" t="s">
        <v>365</v>
      </c>
      <c r="V297" s="979" t="s">
        <v>1199</v>
      </c>
      <c r="W297" s="1208" t="s">
        <v>364</v>
      </c>
      <c r="X297" s="1208" t="s">
        <v>364</v>
      </c>
      <c r="Y297" s="1208" t="s">
        <v>364</v>
      </c>
      <c r="Z297" s="1191">
        <v>0</v>
      </c>
      <c r="AA297" s="1191">
        <v>0</v>
      </c>
      <c r="AB297" s="1208" t="s">
        <v>364</v>
      </c>
      <c r="AC297" s="1192" t="str">
        <f>""</f>
        <v/>
      </c>
      <c r="AD297" s="1191">
        <v>1</v>
      </c>
      <c r="AE297" s="1191" t="s">
        <v>368</v>
      </c>
      <c r="AF297" s="1191" t="s">
        <v>369</v>
      </c>
      <c r="AG297" s="1191">
        <v>1</v>
      </c>
      <c r="AH297" s="1191">
        <v>12</v>
      </c>
      <c r="AI297" s="1191">
        <v>0</v>
      </c>
      <c r="AJ297" s="1193">
        <f>VLOOKUP($I297,'Price List, Weapons &amp; Items'!B:F,5,0)</f>
        <v>0</v>
      </c>
      <c r="AK297" s="1193">
        <f t="shared" si="68"/>
        <v>0</v>
      </c>
      <c r="AL297" s="1193">
        <f t="shared" si="69"/>
        <v>0</v>
      </c>
      <c r="AM297" s="1193">
        <f t="shared" si="70"/>
        <v>0</v>
      </c>
      <c r="AN297" s="1194" t="str">
        <f>VLOOKUP($I297,'Price List, Weapons &amp; Items'!B:L,COLUMN('Price List, Weapons &amp; Items'!$J$11)-1,0)</f>
        <v>.</v>
      </c>
      <c r="AO297" s="1194" t="str">
        <f>IF(I297=".",".",VLOOKUP($I297,'Price List, Weapons &amp; Items'!B:J,3,0))</f>
        <v>.</v>
      </c>
      <c r="AP297" s="1195" t="str">
        <f t="shared" ca="1" si="64"/>
        <v>.</v>
      </c>
      <c r="AQ297" s="1194">
        <f>VLOOKUP($I297,'Price List, Weapons &amp; Items'!B:L,COLUMN('Price List, Weapons &amp; Items'!$L$11)-1,0)</f>
        <v>0</v>
      </c>
      <c r="AR297" s="1194">
        <f t="shared" si="71"/>
        <v>1</v>
      </c>
      <c r="AS297" s="1194">
        <f t="shared" si="72"/>
        <v>0</v>
      </c>
      <c r="AT297" s="1194" t="str">
        <f t="shared" si="73"/>
        <v>Value is not in date format</v>
      </c>
      <c r="AU297" s="1194" t="str">
        <f t="shared" si="74"/>
        <v>.</v>
      </c>
      <c r="AV297" s="1194" t="str">
        <f t="shared" si="65"/>
        <v>.</v>
      </c>
      <c r="AW297" s="1194" t="str">
        <f t="shared" si="75"/>
        <v>.</v>
      </c>
      <c r="AX297" s="1194">
        <f>IFERROR(VLOOKUP(B297,'Share, Heavy Weapons to Ukraine'!B:Z,COLUMN('Share, Heavy Weapons to Ukraine'!C307)-1,0),0)</f>
        <v>0</v>
      </c>
      <c r="AY297" s="1194">
        <f>VLOOKUP('Bilateral Assistance, MAIN DATA'!B297,'Country Summary (€)'!B:F,COLUMN('Country Summary (€)'!C308)-1,FALSE)</f>
        <v>1</v>
      </c>
      <c r="AZ297" s="1194" t="str">
        <f>IF(AND(AD297=1,D297="Military",H297&lt;&gt;"Not given")=TRUE,IF(SUMIFS(P:P,A:A,A297)&gt;0,ABS((SUMIFS(P:P,A:A,A297)/VLOOKUP("USD",'Exchange Rates'!B:C,2,0)))/S297,"."),".")</f>
        <v>.</v>
      </c>
      <c r="BA297" s="1196" t="str">
        <f>IF(AND(AD297=1,D297="Military",H297&lt;&gt;"Not given")=TRUE,IF(SUMIFS(P:P,A:A,A297)&gt;0,IF((ABS((SUMIFS(P:P,A:A,A297)/VLOOKUP("USD",'Exchange Rates'!B:C,2,0)))/S297)&gt;1,(SUMIFS(P:P,A:A,A297)-S297)/S297,(S297-SUMIFS(P:P,A:A,A297))/SUMIFS(P:P,A:A,A297)),"."),".")</f>
        <v>.</v>
      </c>
    </row>
    <row r="298" spans="1:53" ht="15.6">
      <c r="A298" s="1208" t="s">
        <v>1225</v>
      </c>
      <c r="B298" s="1208" t="s">
        <v>1194</v>
      </c>
      <c r="C298" s="1220">
        <v>45076</v>
      </c>
      <c r="D298" s="1208" t="s">
        <v>360</v>
      </c>
      <c r="E298" s="1208" t="s">
        <v>361</v>
      </c>
      <c r="F298" s="1208" t="s">
        <v>1226</v>
      </c>
      <c r="G298" s="1184" t="s">
        <v>1197</v>
      </c>
      <c r="H298" s="1221" t="s">
        <v>457</v>
      </c>
      <c r="I298" s="1208" t="s">
        <v>364</v>
      </c>
      <c r="J298" s="1186" t="str">
        <f>VLOOKUP($I298,'Price List, Weapons &amp; Items'!B:C,2,0)</f>
        <v>.</v>
      </c>
      <c r="K298" s="1186" t="str">
        <f>IF(I298=".",I298,VLOOKUP($I298,'Price List, Weapons &amp; Items'!B:D,3,0))</f>
        <v>.</v>
      </c>
      <c r="L298" s="1187">
        <f>VLOOKUP(I298,'Price List, Weapons &amp; Items'!B:E,4,0)</f>
        <v>0</v>
      </c>
      <c r="M298" s="1241" t="s">
        <v>364</v>
      </c>
      <c r="N298" s="1211" t="s">
        <v>364</v>
      </c>
      <c r="O298" s="1188" t="str">
        <f>VLOOKUP($I298,'Price List, Weapons &amp; Items'!B:G,6,0)</f>
        <v>.</v>
      </c>
      <c r="P298" s="1185" t="str">
        <f t="shared" si="66"/>
        <v>.</v>
      </c>
      <c r="Q298" s="1185" t="str">
        <f t="shared" si="67"/>
        <v>.</v>
      </c>
      <c r="R298" s="1185" t="str">
        <f t="shared" si="63"/>
        <v>.</v>
      </c>
      <c r="S298" s="1185" t="str">
        <f>IF(AND(AD298=1,R298&lt;&gt;".")=TRUE,R298/VLOOKUP(G298,'Exchange Rates'!B:C,2,0),IF(R298=".",".",""))</f>
        <v>.</v>
      </c>
      <c r="T298" s="1185" t="str">
        <f>IF(AD298=1,IF(AF298="Value is not given at all",".",IF(AF298="Value is given by the source",S298,IF(AF298="Value is calculated with prices",(IF(SUMIFS(Q:Q,A:A,A298)&gt;0,SUMIFS(Q:Q,A:A,A298),"."))/VLOOKUP("USD",'Exchange Rates'!B:C,2,0),"Error with coding"))),"")</f>
        <v>.</v>
      </c>
      <c r="U298" s="1191" t="s">
        <v>365</v>
      </c>
      <c r="V298" s="964" t="s">
        <v>1227</v>
      </c>
      <c r="W298" s="983" t="s">
        <v>1228</v>
      </c>
      <c r="X298" s="990" t="s">
        <v>364</v>
      </c>
      <c r="Y298" s="1208" t="s">
        <v>364</v>
      </c>
      <c r="Z298" s="1191">
        <v>0</v>
      </c>
      <c r="AA298" s="1191">
        <v>1</v>
      </c>
      <c r="AB298" s="1208" t="s">
        <v>364</v>
      </c>
      <c r="AC298" s="1192" t="str">
        <f>""</f>
        <v/>
      </c>
      <c r="AD298" s="1191">
        <v>1</v>
      </c>
      <c r="AE298" s="1191" t="s">
        <v>369</v>
      </c>
      <c r="AF298" s="1191" t="s">
        <v>369</v>
      </c>
      <c r="AG298" s="1191">
        <v>1</v>
      </c>
      <c r="AH298" s="1191">
        <v>17</v>
      </c>
      <c r="AI298" s="1191">
        <v>0</v>
      </c>
      <c r="AJ298" s="1193">
        <f>VLOOKUP($I298,'Price List, Weapons &amp; Items'!B:F,5,0)</f>
        <v>0</v>
      </c>
      <c r="AK298" s="1193">
        <f t="shared" si="68"/>
        <v>0</v>
      </c>
      <c r="AL298" s="1193">
        <f t="shared" si="69"/>
        <v>0</v>
      </c>
      <c r="AM298" s="1193">
        <f t="shared" si="70"/>
        <v>0</v>
      </c>
      <c r="AN298" s="1194" t="str">
        <f>VLOOKUP($I298,'Price List, Weapons &amp; Items'!B:L,COLUMN('Price List, Weapons &amp; Items'!$J$11)-1,0)</f>
        <v>.</v>
      </c>
      <c r="AO298" s="1194" t="str">
        <f>IF(I298=".",".",VLOOKUP($I298,'Price List, Weapons &amp; Items'!B:J,3,0))</f>
        <v>.</v>
      </c>
      <c r="AP298" s="1195" t="str">
        <f t="shared" ca="1" si="64"/>
        <v>.</v>
      </c>
      <c r="AQ298" s="1194">
        <f>VLOOKUP($I298,'Price List, Weapons &amp; Items'!B:L,COLUMN('Price List, Weapons &amp; Items'!$L$11)-1,0)</f>
        <v>0</v>
      </c>
      <c r="AR298" s="1194">
        <f t="shared" si="71"/>
        <v>1</v>
      </c>
      <c r="AS298" s="1194">
        <f t="shared" si="72"/>
        <v>0</v>
      </c>
      <c r="AT298" s="1194">
        <f t="shared" si="73"/>
        <v>1</v>
      </c>
      <c r="AU298" s="1194" t="str">
        <f t="shared" si="74"/>
        <v>.</v>
      </c>
      <c r="AV298" s="1194" t="str">
        <f t="shared" si="65"/>
        <v>.</v>
      </c>
      <c r="AW298" s="1194" t="str">
        <f t="shared" si="75"/>
        <v>.</v>
      </c>
      <c r="AX298" s="1194">
        <f>IFERROR(VLOOKUP(B298,'Share, Heavy Weapons to Ukraine'!B:Z,COLUMN('Share, Heavy Weapons to Ukraine'!C308)-1,0),0)</f>
        <v>0</v>
      </c>
      <c r="AY298" s="1194">
        <f>VLOOKUP('Bilateral Assistance, MAIN DATA'!B298,'Country Summary (€)'!B:F,COLUMN('Country Summary (€)'!C309)-1,FALSE)</f>
        <v>1</v>
      </c>
      <c r="AZ298" s="1194" t="str">
        <f>IF(AND(AD298=1,D298="Military",H298&lt;&gt;"Not given")=TRUE,IF(SUMIFS(P:P,A:A,A298)&gt;0,ABS((SUMIFS(P:P,A:A,A298)/VLOOKUP("USD",'Exchange Rates'!B:C,2,0)))/S298,"."),".")</f>
        <v>.</v>
      </c>
      <c r="BA298" s="1196" t="str">
        <f>IF(AND(AD298=1,D298="Military",H298&lt;&gt;"Not given")=TRUE,IF(SUMIFS(P:P,A:A,A298)&gt;0,IF((ABS((SUMIFS(P:P,A:A,A298)/VLOOKUP("USD",'Exchange Rates'!B:C,2,0)))/S298)&gt;1,(SUMIFS(P:P,A:A,A298)-S298)/S298,(S298-SUMIFS(P:P,A:A,A298))/SUMIFS(P:P,A:A,A298)),"."),".")</f>
        <v>.</v>
      </c>
    </row>
    <row r="299" spans="1:53" ht="15.6">
      <c r="A299" s="1208" t="s">
        <v>1229</v>
      </c>
      <c r="B299" s="1208" t="s">
        <v>1194</v>
      </c>
      <c r="C299" s="1220">
        <v>45076</v>
      </c>
      <c r="D299" s="1208" t="s">
        <v>360</v>
      </c>
      <c r="E299" s="1208" t="s">
        <v>361</v>
      </c>
      <c r="F299" s="1208" t="s">
        <v>1230</v>
      </c>
      <c r="G299" s="1184" t="s">
        <v>1197</v>
      </c>
      <c r="H299" s="1210">
        <v>1200000000</v>
      </c>
      <c r="I299" s="1208" t="s">
        <v>364</v>
      </c>
      <c r="J299" s="1186" t="str">
        <f>VLOOKUP($I299,'Price List, Weapons &amp; Items'!B:C,2,0)</f>
        <v>.</v>
      </c>
      <c r="K299" s="1186" t="str">
        <f>IF(I299=".",I299,VLOOKUP($I299,'Price List, Weapons &amp; Items'!B:D,3,0))</f>
        <v>.</v>
      </c>
      <c r="L299" s="1187">
        <f>VLOOKUP(I299,'Price List, Weapons &amp; Items'!B:E,4,0)</f>
        <v>0</v>
      </c>
      <c r="M299" s="1241" t="s">
        <v>364</v>
      </c>
      <c r="N299" s="1211" t="s">
        <v>364</v>
      </c>
      <c r="O299" s="1188" t="str">
        <f>VLOOKUP($I299,'Price List, Weapons &amp; Items'!B:G,6,0)</f>
        <v>.</v>
      </c>
      <c r="P299" s="1185" t="str">
        <f t="shared" si="66"/>
        <v>.</v>
      </c>
      <c r="Q299" s="1185" t="str">
        <f t="shared" si="67"/>
        <v>.</v>
      </c>
      <c r="R299" s="1185">
        <f t="shared" si="63"/>
        <v>1200000000</v>
      </c>
      <c r="S299" s="1185">
        <f>IF(AND(AD299=1,R299&lt;&gt;".")=TRUE,R299/VLOOKUP(G299,'Exchange Rates'!B:C,2,0),IF(R299=".",".",""))</f>
        <v>161106263.00597435</v>
      </c>
      <c r="T299" s="1185" t="str">
        <f>IF(AD299=1,IF(AF299="Value is not given at all",".",IF(AF299="Value is given by the source",S299,IF(AF299="Value is calculated with prices",(IF(SUMIFS(Q:Q,A:A,A299)&gt;0,SUMIFS(Q:Q,A:A,A299),"."))/VLOOKUP("USD",'Exchange Rates'!B:C,2,0),"Error with coding"))),"")</f>
        <v>.</v>
      </c>
      <c r="U299" s="1191" t="s">
        <v>365</v>
      </c>
      <c r="V299" s="964" t="s">
        <v>1227</v>
      </c>
      <c r="W299" s="983" t="s">
        <v>1228</v>
      </c>
      <c r="X299" s="983" t="s">
        <v>1231</v>
      </c>
      <c r="Y299" s="1208" t="s">
        <v>364</v>
      </c>
      <c r="Z299" s="1191">
        <v>0</v>
      </c>
      <c r="AA299" s="1191">
        <v>1</v>
      </c>
      <c r="AB299" s="1208" t="s">
        <v>364</v>
      </c>
      <c r="AC299" s="1192" t="str">
        <f>""</f>
        <v/>
      </c>
      <c r="AD299" s="1191">
        <v>1</v>
      </c>
      <c r="AE299" s="1191" t="s">
        <v>368</v>
      </c>
      <c r="AF299" s="1191" t="s">
        <v>369</v>
      </c>
      <c r="AG299" s="1191">
        <v>1</v>
      </c>
      <c r="AH299" s="1191">
        <v>17</v>
      </c>
      <c r="AI299" s="1191">
        <v>0</v>
      </c>
      <c r="AJ299" s="1193">
        <f>VLOOKUP($I299,'Price List, Weapons &amp; Items'!B:F,5,0)</f>
        <v>0</v>
      </c>
      <c r="AK299" s="1193">
        <f t="shared" si="68"/>
        <v>0</v>
      </c>
      <c r="AL299" s="1193">
        <f t="shared" si="69"/>
        <v>0</v>
      </c>
      <c r="AM299" s="1193">
        <f t="shared" si="70"/>
        <v>0</v>
      </c>
      <c r="AN299" s="1194" t="str">
        <f>VLOOKUP($I299,'Price List, Weapons &amp; Items'!B:L,COLUMN('Price List, Weapons &amp; Items'!$J$11)-1,0)</f>
        <v>.</v>
      </c>
      <c r="AO299" s="1194" t="str">
        <f>IF(I299=".",".",VLOOKUP($I299,'Price List, Weapons &amp; Items'!B:J,3,0))</f>
        <v>.</v>
      </c>
      <c r="AP299" s="1195" t="str">
        <f t="shared" ca="1" si="64"/>
        <v>.</v>
      </c>
      <c r="AQ299" s="1194">
        <f>VLOOKUP($I299,'Price List, Weapons &amp; Items'!B:L,COLUMN('Price List, Weapons &amp; Items'!$L$11)-1,0)</f>
        <v>0</v>
      </c>
      <c r="AR299" s="1194">
        <f t="shared" si="71"/>
        <v>1</v>
      </c>
      <c r="AS299" s="1194">
        <f t="shared" si="72"/>
        <v>0</v>
      </c>
      <c r="AT299" s="1194">
        <f t="shared" si="73"/>
        <v>1</v>
      </c>
      <c r="AU299" s="1194" t="str">
        <f t="shared" si="74"/>
        <v>.</v>
      </c>
      <c r="AV299" s="1194" t="str">
        <f t="shared" si="65"/>
        <v>.</v>
      </c>
      <c r="AW299" s="1194" t="str">
        <f t="shared" si="75"/>
        <v>.</v>
      </c>
      <c r="AX299" s="1194">
        <f>IFERROR(VLOOKUP(B299,'Share, Heavy Weapons to Ukraine'!B:Z,COLUMN('Share, Heavy Weapons to Ukraine'!C309)-1,0),0)</f>
        <v>0</v>
      </c>
      <c r="AY299" s="1194">
        <f>VLOOKUP('Bilateral Assistance, MAIN DATA'!B299,'Country Summary (€)'!B:F,COLUMN('Country Summary (€)'!C310)-1,FALSE)</f>
        <v>1</v>
      </c>
      <c r="AZ299" s="1194" t="str">
        <f>IF(AND(AD299=1,D299="Military",H299&lt;&gt;"Not given")=TRUE,IF(SUMIFS(P:P,A:A,A299)&gt;0,ABS((SUMIFS(P:P,A:A,A299)/VLOOKUP("USD",'Exchange Rates'!B:C,2,0)))/S299,"."),".")</f>
        <v>.</v>
      </c>
      <c r="BA299" s="1196" t="str">
        <f>IF(AND(AD299=1,D299="Military",H299&lt;&gt;"Not given")=TRUE,IF(SUMIFS(P:P,A:A,A299)&gt;0,IF((ABS((SUMIFS(P:P,A:A,A299)/VLOOKUP("USD",'Exchange Rates'!B:C,2,0)))/S299)&gt;1,(SUMIFS(P:P,A:A,A299)-S299)/S299,(S299-SUMIFS(P:P,A:A,A299))/SUMIFS(P:P,A:A,A299)),"."),".")</f>
        <v>.</v>
      </c>
    </row>
    <row r="300" spans="1:53" ht="15.95" customHeight="1">
      <c r="A300" s="1182" t="s">
        <v>1232</v>
      </c>
      <c r="B300" s="1182" t="s">
        <v>1194</v>
      </c>
      <c r="C300" s="1181">
        <v>44672</v>
      </c>
      <c r="D300" s="1182" t="s">
        <v>389</v>
      </c>
      <c r="E300" s="1182" t="s">
        <v>390</v>
      </c>
      <c r="F300" s="1183" t="s">
        <v>1233</v>
      </c>
      <c r="G300" s="1184" t="s">
        <v>1197</v>
      </c>
      <c r="H300" s="1185">
        <v>1000000000</v>
      </c>
      <c r="I300" s="1180" t="s">
        <v>593</v>
      </c>
      <c r="J300" s="1186" t="str">
        <f>VLOOKUP($I300,'Price List, Weapons &amp; Items'!B:C,2,0)</f>
        <v>Portable defence system</v>
      </c>
      <c r="K300" s="1186" t="str">
        <f>IF(I300=".",I300,VLOOKUP($I300,'Price List, Weapons &amp; Items'!B:D,3,0))</f>
        <v>Light Anti-armor Weapon (LAW)</v>
      </c>
      <c r="L300" s="1187">
        <f>VLOOKUP(I300,'Price List, Weapons &amp; Items'!B:E,4,0)</f>
        <v>0</v>
      </c>
      <c r="M300" s="1188">
        <v>2700</v>
      </c>
      <c r="N300" s="1188">
        <v>2700</v>
      </c>
      <c r="O300" s="1188">
        <f>VLOOKUP($I300,'Price List, Weapons &amp; Items'!B:G,6,0)</f>
        <v>1475</v>
      </c>
      <c r="P300" s="1185">
        <f t="shared" si="66"/>
        <v>3982500</v>
      </c>
      <c r="Q300" s="1185">
        <f t="shared" si="67"/>
        <v>3982500</v>
      </c>
      <c r="R300" s="1185">
        <f t="shared" si="63"/>
        <v>1000000000</v>
      </c>
      <c r="S300" s="1185">
        <f>IF(AND(AD300=1,R300&lt;&gt;".")=TRUE,R300/VLOOKUP(G300,'Exchange Rates'!B:C,2,0),IF(R300=".",".",""))</f>
        <v>134255219.17164528</v>
      </c>
      <c r="T300" s="1185">
        <f>IF(AD300=1,IF(AF300="Value is not given at all",".",IF(AF300="Value is given by the source",S300,IF(AF300="Value is calculated with prices",(IF(SUMIFS(Q:Q,A:A,A300)&gt;0,SUMIFS(Q:Q,A:A,A300),"."))/VLOOKUP("USD",'Exchange Rates'!B:C,2,0),"Error with coding"))),"")</f>
        <v>134255219.17164528</v>
      </c>
      <c r="U300" s="1184" t="s">
        <v>365</v>
      </c>
      <c r="V300" s="974" t="s">
        <v>1234</v>
      </c>
      <c r="W300" s="974" t="s">
        <v>1235</v>
      </c>
      <c r="X300" s="974" t="s">
        <v>1236</v>
      </c>
      <c r="Y300" s="974" t="s">
        <v>1237</v>
      </c>
      <c r="Z300" s="1194">
        <v>0</v>
      </c>
      <c r="AA300" s="1194">
        <v>0</v>
      </c>
      <c r="AB300" s="977" t="s">
        <v>1238</v>
      </c>
      <c r="AC300" s="1192" t="str">
        <f>""</f>
        <v/>
      </c>
      <c r="AD300" s="985">
        <v>1</v>
      </c>
      <c r="AE300" s="985" t="s">
        <v>368</v>
      </c>
      <c r="AF300" s="985" t="s">
        <v>368</v>
      </c>
      <c r="AG300" s="985">
        <v>1</v>
      </c>
      <c r="AH300" s="985">
        <v>4</v>
      </c>
      <c r="AI300" s="985">
        <v>0</v>
      </c>
      <c r="AJ300" s="1193">
        <f>VLOOKUP($I300,'Price List, Weapons &amp; Items'!B:F,5,0)</f>
        <v>0</v>
      </c>
      <c r="AK300" s="1193">
        <f t="shared" si="68"/>
        <v>0</v>
      </c>
      <c r="AL300" s="1193">
        <f t="shared" si="69"/>
        <v>0</v>
      </c>
      <c r="AM300" s="1193">
        <f t="shared" si="70"/>
        <v>0</v>
      </c>
      <c r="AN300" s="1194" t="str">
        <f>VLOOKUP($I300,'Price List, Weapons &amp; Items'!B:L,COLUMN('Price List, Weapons &amp; Items'!$J$11)-1,0)</f>
        <v>Military media (incl. websites)</v>
      </c>
      <c r="AO300" s="1194" t="str">
        <f>IF(I300=".",".",VLOOKUP($I300,'Price List, Weapons &amp; Items'!B:J,3,0))</f>
        <v>Light Anti-armor Weapon (LAW)</v>
      </c>
      <c r="AP300" s="1195" t="str">
        <f t="shared" ca="1" si="64"/>
        <v>M72 rocket launcher</v>
      </c>
      <c r="AQ300" s="1194">
        <f>VLOOKUP($I300,'Price List, Weapons &amp; Items'!B:L,COLUMN('Price List, Weapons &amp; Items'!$L$11)-1,0)</f>
        <v>2</v>
      </c>
      <c r="AR300" s="1194">
        <f t="shared" si="71"/>
        <v>1</v>
      </c>
      <c r="AS300" s="1194">
        <f t="shared" si="72"/>
        <v>1</v>
      </c>
      <c r="AT300" s="1194">
        <f t="shared" si="73"/>
        <v>1</v>
      </c>
      <c r="AU300" s="1194" t="str">
        <f t="shared" si="74"/>
        <v>.</v>
      </c>
      <c r="AV300" s="1194" t="str">
        <f t="shared" si="65"/>
        <v>.</v>
      </c>
      <c r="AW300" s="1194" t="str">
        <f t="shared" si="75"/>
        <v>.</v>
      </c>
      <c r="AX300" s="1194">
        <f>IFERROR(VLOOKUP(B300,'Share, Heavy Weapons to Ukraine'!B:Z,COLUMN('Share, Heavy Weapons to Ukraine'!C310)-1,0),0)</f>
        <v>0</v>
      </c>
      <c r="AY300" s="1194">
        <f>VLOOKUP('Bilateral Assistance, MAIN DATA'!B300,'Country Summary (€)'!B:F,COLUMN('Country Summary (€)'!C311)-1,FALSE)</f>
        <v>1</v>
      </c>
      <c r="AZ300" s="1194">
        <f>IF(AND(AD300=1,D300="Military",H300&lt;&gt;"Not given")=TRUE,IF(SUMIFS(P:P,A:A,A300)&gt;0,ABS((SUMIFS(P:P,A:A,A300)/VLOOKUP("USD",'Exchange Rates'!B:C,2,0)))/S300,"."),".")</f>
        <v>0.52727710813857198</v>
      </c>
      <c r="BA300" s="1196">
        <f>IF(AND(AD300=1,D300="Military",H300&lt;&gt;"Not given")=TRUE,IF(SUMIFS(P:P,A:A,A300)&gt;0,IF((ABS((SUMIFS(P:P,A:A,A300)/VLOOKUP("USD",'Exchange Rates'!B:C,2,0)))/S300)&gt;1,(SUMIFS(P:P,A:A,A300)-S300)/S300,(S300-SUMIFS(P:P,A:A,A300))/SUMIFS(P:P,A:A,A300)),"."),".")</f>
        <v>0.74506437863039265</v>
      </c>
    </row>
    <row r="301" spans="1:53" ht="15.95" customHeight="1">
      <c r="A301" s="1182" t="s">
        <v>1232</v>
      </c>
      <c r="B301" s="1182" t="s">
        <v>1194</v>
      </c>
      <c r="C301" s="1181">
        <v>44672</v>
      </c>
      <c r="D301" s="1182" t="s">
        <v>389</v>
      </c>
      <c r="E301" s="1182" t="s">
        <v>390</v>
      </c>
      <c r="F301" s="1183" t="s">
        <v>1233</v>
      </c>
      <c r="G301" s="1184" t="s">
        <v>1197</v>
      </c>
      <c r="H301" s="1185">
        <v>1000000000</v>
      </c>
      <c r="I301" s="1180" t="s">
        <v>1239</v>
      </c>
      <c r="J301" s="1186" t="str">
        <f>VLOOKUP($I301,'Price List, Weapons &amp; Items'!B:C,2,0)</f>
        <v>Portable defence system</v>
      </c>
      <c r="K301" s="1186" t="str">
        <f>IF(I301=".",I301,VLOOKUP($I301,'Price List, Weapons &amp; Items'!B:D,3,0))</f>
        <v>MANPADS</v>
      </c>
      <c r="L301" s="1187">
        <f>VLOOKUP(I301,'Price List, Weapons &amp; Items'!B:E,4,0)</f>
        <v>0</v>
      </c>
      <c r="M301" s="1188">
        <v>300</v>
      </c>
      <c r="N301" s="1188">
        <v>300</v>
      </c>
      <c r="O301" s="1188">
        <f>VLOOKUP($I301,'Price List, Weapons &amp; Items'!B:G,6,0)</f>
        <v>119000</v>
      </c>
      <c r="P301" s="1185">
        <f t="shared" si="66"/>
        <v>35700000</v>
      </c>
      <c r="Q301" s="1185">
        <f t="shared" si="67"/>
        <v>35700000</v>
      </c>
      <c r="R301" s="1185" t="str">
        <f t="shared" si="63"/>
        <v/>
      </c>
      <c r="S301" s="1185" t="str">
        <f>IF(AND(AD301=1,R301&lt;&gt;".")=TRUE,R301/VLOOKUP(G301,'Exchange Rates'!B:C,2,0),IF(R301=".",".",""))</f>
        <v/>
      </c>
      <c r="T301" s="1185" t="str">
        <f>IF(AD301=1,IF(AF301="Value is not given at all",".",IF(AF301="Value is given by the source",S301,IF(AF301="Value is calculated with prices",(IF(SUMIFS(Q:Q,A:A,A301)&gt;0,SUMIFS(Q:Q,A:A,A301),"."))/VLOOKUP("USD",'Exchange Rates'!B:C,2,0),"Error with coding"))),"")</f>
        <v/>
      </c>
      <c r="U301" s="1184" t="s">
        <v>365</v>
      </c>
      <c r="V301" s="974" t="s">
        <v>1234</v>
      </c>
      <c r="W301" s="974" t="s">
        <v>1235</v>
      </c>
      <c r="X301" s="974" t="s">
        <v>1236</v>
      </c>
      <c r="Y301" s="974" t="s">
        <v>1237</v>
      </c>
      <c r="Z301" s="1194">
        <v>0</v>
      </c>
      <c r="AA301" s="1194">
        <v>0</v>
      </c>
      <c r="AB301" s="977" t="s">
        <v>1240</v>
      </c>
      <c r="AC301" s="1192" t="str">
        <f>""</f>
        <v/>
      </c>
      <c r="AD301" s="985">
        <v>0</v>
      </c>
      <c r="AE301" s="985" t="s">
        <v>368</v>
      </c>
      <c r="AF301" s="985" t="s">
        <v>368</v>
      </c>
      <c r="AG301" s="985">
        <v>1</v>
      </c>
      <c r="AH301" s="985">
        <v>4</v>
      </c>
      <c r="AI301" s="985">
        <v>0</v>
      </c>
      <c r="AJ301" s="1193">
        <f>VLOOKUP($I301,'Price List, Weapons &amp; Items'!B:F,5,0)</f>
        <v>0</v>
      </c>
      <c r="AK301" s="1193">
        <f t="shared" si="68"/>
        <v>0</v>
      </c>
      <c r="AL301" s="1193">
        <f t="shared" si="69"/>
        <v>0</v>
      </c>
      <c r="AM301" s="1193">
        <f t="shared" si="70"/>
        <v>0</v>
      </c>
      <c r="AN301" s="1194" t="str">
        <f>VLOOKUP($I301,'Price List, Weapons &amp; Items'!B:L,COLUMN('Price List, Weapons &amp; Items'!$J$11)-1,0)</f>
        <v>Miscellaneous</v>
      </c>
      <c r="AO301" s="1194" t="str">
        <f>IF(I301=".",".",VLOOKUP($I301,'Price List, Weapons &amp; Items'!B:J,3,0))</f>
        <v>MANPADS</v>
      </c>
      <c r="AP301" s="1195" t="str">
        <f t="shared" ca="1" si="64"/>
        <v/>
      </c>
      <c r="AQ301" s="1194">
        <f>VLOOKUP($I301,'Price List, Weapons &amp; Items'!B:L,COLUMN('Price List, Weapons &amp; Items'!$L$11)-1,0)</f>
        <v>2</v>
      </c>
      <c r="AR301" s="1194">
        <f t="shared" si="71"/>
        <v>1</v>
      </c>
      <c r="AS301" s="1194">
        <f t="shared" si="72"/>
        <v>1</v>
      </c>
      <c r="AT301" s="1194">
        <f t="shared" si="73"/>
        <v>1</v>
      </c>
      <c r="AU301" s="1194" t="str">
        <f t="shared" si="74"/>
        <v>.</v>
      </c>
      <c r="AV301" s="1194" t="str">
        <f t="shared" si="65"/>
        <v>.</v>
      </c>
      <c r="AW301" s="1194" t="str">
        <f t="shared" si="75"/>
        <v>.</v>
      </c>
      <c r="AX301" s="1194">
        <f>IFERROR(VLOOKUP(B301,'Share, Heavy Weapons to Ukraine'!B:Z,COLUMN('Share, Heavy Weapons to Ukraine'!C311)-1,0),0)</f>
        <v>0</v>
      </c>
      <c r="AY301" s="1194">
        <f>VLOOKUP('Bilateral Assistance, MAIN DATA'!B301,'Country Summary (€)'!B:F,COLUMN('Country Summary (€)'!C312)-1,FALSE)</f>
        <v>1</v>
      </c>
      <c r="AZ301" s="1194" t="str">
        <f>IF(AND(AD301=1,D301="Military",H301&lt;&gt;"Not given")=TRUE,IF(SUMIFS(P:P,A:A,A301)&gt;0,ABS((SUMIFS(P:P,A:A,A301)/VLOOKUP("USD",'Exchange Rates'!B:C,2,0)))/S301,"."),".")</f>
        <v>.</v>
      </c>
      <c r="BA301" s="1196" t="str">
        <f>IF(AND(AD301=1,D301="Military",H301&lt;&gt;"Not given")=TRUE,IF(SUMIFS(P:P,A:A,A301)&gt;0,IF((ABS((SUMIFS(P:P,A:A,A301)/VLOOKUP("USD",'Exchange Rates'!B:C,2,0)))/S301)&gt;1,(SUMIFS(P:P,A:A,A301)-S301)/S301,(S301-SUMIFS(P:P,A:A,A301))/SUMIFS(P:P,A:A,A301)),"."),".")</f>
        <v>.</v>
      </c>
    </row>
    <row r="302" spans="1:53" ht="15.95" customHeight="1">
      <c r="A302" s="1182" t="s">
        <v>1232</v>
      </c>
      <c r="B302" s="1182" t="s">
        <v>1194</v>
      </c>
      <c r="C302" s="1181">
        <v>44672</v>
      </c>
      <c r="D302" s="1182" t="s">
        <v>389</v>
      </c>
      <c r="E302" s="1182" t="s">
        <v>390</v>
      </c>
      <c r="F302" s="1183" t="s">
        <v>1233</v>
      </c>
      <c r="G302" s="1184" t="s">
        <v>1197</v>
      </c>
      <c r="H302" s="1185">
        <v>1000000000</v>
      </c>
      <c r="I302" s="1180" t="s">
        <v>1241</v>
      </c>
      <c r="J302" s="1186" t="str">
        <f>VLOOKUP($I302,'Price List, Weapons &amp; Items'!B:C,2,0)</f>
        <v>Aviation and drones</v>
      </c>
      <c r="K302" s="1186" t="str">
        <f>IF(I302=".",I302,VLOOKUP($I302,'Price List, Weapons &amp; Items'!B:D,3,0))</f>
        <v>drone</v>
      </c>
      <c r="L302" s="1187">
        <f>VLOOKUP(I302,'Price List, Weapons &amp; Items'!B:E,4,0)</f>
        <v>0</v>
      </c>
      <c r="M302" s="1188">
        <v>25</v>
      </c>
      <c r="N302" s="1188">
        <v>25</v>
      </c>
      <c r="O302" s="1188">
        <f>VLOOKUP($I302,'Price List, Weapons &amp; Items'!B:G,6,0)</f>
        <v>850000</v>
      </c>
      <c r="P302" s="1185">
        <f t="shared" si="66"/>
        <v>21250000</v>
      </c>
      <c r="Q302" s="1185">
        <f t="shared" si="67"/>
        <v>21250000</v>
      </c>
      <c r="R302" s="1185" t="str">
        <f t="shared" si="63"/>
        <v/>
      </c>
      <c r="S302" s="1185" t="str">
        <f>IF(AND(AD302=1,R302&lt;&gt;".")=TRUE,R302/VLOOKUP(G302,'Exchange Rates'!B:C,2,0),IF(R302=".",".",""))</f>
        <v/>
      </c>
      <c r="T302" s="1185" t="str">
        <f>IF(AD302=1,IF(AF302="Value is not given at all",".",IF(AF302="Value is given by the source",S302,IF(AF302="Value is calculated with prices",(IF(SUMIFS(Q:Q,A:A,A302)&gt;0,SUMIFS(Q:Q,A:A,A302),"."))/VLOOKUP("USD",'Exchange Rates'!B:C,2,0),"Error with coding"))),"")</f>
        <v/>
      </c>
      <c r="U302" s="1184" t="s">
        <v>365</v>
      </c>
      <c r="V302" s="974" t="s">
        <v>1234</v>
      </c>
      <c r="W302" s="974" t="s">
        <v>1235</v>
      </c>
      <c r="X302" s="974" t="s">
        <v>1236</v>
      </c>
      <c r="Y302" s="974" t="s">
        <v>1237</v>
      </c>
      <c r="Z302" s="1194">
        <v>0</v>
      </c>
      <c r="AA302" s="1194">
        <v>0</v>
      </c>
      <c r="AB302" s="977" t="s">
        <v>1242</v>
      </c>
      <c r="AC302" s="1192" t="str">
        <f>""</f>
        <v/>
      </c>
      <c r="AD302" s="985">
        <v>0</v>
      </c>
      <c r="AE302" s="985" t="s">
        <v>368</v>
      </c>
      <c r="AF302" s="985" t="s">
        <v>368</v>
      </c>
      <c r="AG302" s="985">
        <v>1</v>
      </c>
      <c r="AH302" s="985">
        <v>4</v>
      </c>
      <c r="AI302" s="985">
        <v>0</v>
      </c>
      <c r="AJ302" s="1193">
        <f>VLOOKUP($I302,'Price List, Weapons &amp; Items'!B:F,5,0)</f>
        <v>0</v>
      </c>
      <c r="AK302" s="1193">
        <f t="shared" si="68"/>
        <v>0</v>
      </c>
      <c r="AL302" s="1193">
        <f t="shared" si="69"/>
        <v>0</v>
      </c>
      <c r="AM302" s="1193">
        <f t="shared" si="70"/>
        <v>0</v>
      </c>
      <c r="AN302" s="1194" t="str">
        <f>VLOOKUP($I302,'Price List, Weapons &amp; Items'!B:L,COLUMN('Price List, Weapons &amp; Items'!$J$11)-1,0)</f>
        <v>Military media (incl. websites)</v>
      </c>
      <c r="AO302" s="1194" t="str">
        <f>IF(I302=".",".",VLOOKUP($I302,'Price List, Weapons &amp; Items'!B:J,3,0))</f>
        <v>drone</v>
      </c>
      <c r="AP302" s="1195" t="str">
        <f t="shared" ca="1" si="64"/>
        <v/>
      </c>
      <c r="AQ302" s="1194">
        <f>VLOOKUP($I302,'Price List, Weapons &amp; Items'!B:L,COLUMN('Price List, Weapons &amp; Items'!$L$11)-1,0)</f>
        <v>2</v>
      </c>
      <c r="AR302" s="1194">
        <f t="shared" si="71"/>
        <v>1</v>
      </c>
      <c r="AS302" s="1194">
        <f t="shared" si="72"/>
        <v>1</v>
      </c>
      <c r="AT302" s="1194">
        <f t="shared" si="73"/>
        <v>1</v>
      </c>
      <c r="AU302" s="1194" t="str">
        <f t="shared" si="74"/>
        <v>.</v>
      </c>
      <c r="AV302" s="1194" t="str">
        <f t="shared" si="65"/>
        <v>.</v>
      </c>
      <c r="AW302" s="1194" t="str">
        <f t="shared" si="75"/>
        <v>.</v>
      </c>
      <c r="AX302" s="1194">
        <f>IFERROR(VLOOKUP(B302,'Share, Heavy Weapons to Ukraine'!B:Z,COLUMN('Share, Heavy Weapons to Ukraine'!C312)-1,0),0)</f>
        <v>0</v>
      </c>
      <c r="AY302" s="1194">
        <f>VLOOKUP('Bilateral Assistance, MAIN DATA'!B302,'Country Summary (€)'!B:F,COLUMN('Country Summary (€)'!C313)-1,FALSE)</f>
        <v>1</v>
      </c>
      <c r="AZ302" s="1194" t="str">
        <f>IF(AND(AD302=1,D302="Military",H302&lt;&gt;"Not given")=TRUE,IF(SUMIFS(P:P,A:A,A302)&gt;0,ABS((SUMIFS(P:P,A:A,A302)/VLOOKUP("USD",'Exchange Rates'!B:C,2,0)))/S302,"."),".")</f>
        <v>.</v>
      </c>
      <c r="BA302" s="1196" t="str">
        <f>IF(AND(AD302=1,D302="Military",H302&lt;&gt;"Not given")=TRUE,IF(SUMIFS(P:P,A:A,A302)&gt;0,IF((ABS((SUMIFS(P:P,A:A,A302)/VLOOKUP("USD",'Exchange Rates'!B:C,2,0)))/S302)&gt;1,(SUMIFS(P:P,A:A,A302)-S302)/S302,(S302-SUMIFS(P:P,A:A,A302))/SUMIFS(P:P,A:A,A302)),"."),".")</f>
        <v>.</v>
      </c>
    </row>
    <row r="303" spans="1:53" ht="15.95" customHeight="1">
      <c r="A303" s="1182" t="s">
        <v>1232</v>
      </c>
      <c r="B303" s="1182" t="s">
        <v>1194</v>
      </c>
      <c r="C303" s="1181">
        <v>44672</v>
      </c>
      <c r="D303" s="1182" t="s">
        <v>389</v>
      </c>
      <c r="E303" s="1182" t="s">
        <v>390</v>
      </c>
      <c r="F303" s="1183" t="s">
        <v>1233</v>
      </c>
      <c r="G303" s="1184" t="s">
        <v>1197</v>
      </c>
      <c r="H303" s="1185">
        <v>1000000000</v>
      </c>
      <c r="I303" s="1180" t="s">
        <v>694</v>
      </c>
      <c r="J303" s="1186" t="str">
        <f>VLOOKUP($I303,'Price List, Weapons &amp; Items'!B:C,2,0)</f>
        <v>Military equipment</v>
      </c>
      <c r="K303" s="1186" t="str">
        <f>IF(I303=".",I303,VLOOKUP($I303,'Price List, Weapons &amp; Items'!B:D,3,0))</f>
        <v>Military equipment</v>
      </c>
      <c r="L303" s="1187">
        <f>VLOOKUP(I303,'Price List, Weapons &amp; Items'!B:E,4,0)</f>
        <v>0</v>
      </c>
      <c r="M303" s="1188">
        <v>2000</v>
      </c>
      <c r="N303" s="1188">
        <v>2000</v>
      </c>
      <c r="O303" s="1188">
        <f>VLOOKUP($I303,'Price List, Weapons &amp; Items'!B:G,6,0)</f>
        <v>500</v>
      </c>
      <c r="P303" s="1185">
        <f t="shared" si="66"/>
        <v>1000000</v>
      </c>
      <c r="Q303" s="1185">
        <f t="shared" si="67"/>
        <v>1000000</v>
      </c>
      <c r="R303" s="1185" t="str">
        <f t="shared" si="63"/>
        <v/>
      </c>
      <c r="S303" s="1185" t="str">
        <f>IF(AND(AD303=1,R303&lt;&gt;".")=TRUE,R303/VLOOKUP(G303,'Exchange Rates'!B:C,2,0),IF(R303=".",".",""))</f>
        <v/>
      </c>
      <c r="T303" s="1185" t="str">
        <f>IF(AD303=1,IF(AF303="Value is not given at all",".",IF(AF303="Value is given by the source",S303,IF(AF303="Value is calculated with prices",(IF(SUMIFS(Q:Q,A:A,A303)&gt;0,SUMIFS(Q:Q,A:A,A303),"."))/VLOOKUP("USD",'Exchange Rates'!B:C,2,0),"Error with coding"))),"")</f>
        <v/>
      </c>
      <c r="U303" s="1184" t="s">
        <v>365</v>
      </c>
      <c r="V303" s="974" t="s">
        <v>1234</v>
      </c>
      <c r="W303" s="974" t="s">
        <v>1235</v>
      </c>
      <c r="X303" s="974" t="s">
        <v>1236</v>
      </c>
      <c r="Y303" s="974" t="s">
        <v>1237</v>
      </c>
      <c r="Z303" s="1194">
        <v>0</v>
      </c>
      <c r="AA303" s="1194">
        <v>0</v>
      </c>
      <c r="AB303" s="977" t="s">
        <v>1236</v>
      </c>
      <c r="AC303" s="1192" t="str">
        <f>""</f>
        <v/>
      </c>
      <c r="AD303" s="985">
        <v>0</v>
      </c>
      <c r="AE303" s="985" t="s">
        <v>368</v>
      </c>
      <c r="AF303" s="985" t="s">
        <v>368</v>
      </c>
      <c r="AG303" s="985">
        <v>1</v>
      </c>
      <c r="AH303" s="985">
        <v>4</v>
      </c>
      <c r="AI303" s="985">
        <v>0</v>
      </c>
      <c r="AJ303" s="1193">
        <f>VLOOKUP($I303,'Price List, Weapons &amp; Items'!B:F,5,0)</f>
        <v>0</v>
      </c>
      <c r="AK303" s="1193">
        <f t="shared" si="68"/>
        <v>0</v>
      </c>
      <c r="AL303" s="1193">
        <f t="shared" si="69"/>
        <v>0</v>
      </c>
      <c r="AM303" s="1193">
        <f t="shared" si="70"/>
        <v>0</v>
      </c>
      <c r="AN303" s="1194" t="str">
        <f>VLOOKUP($I303,'Price List, Weapons &amp; Items'!B:L,COLUMN('Price List, Weapons &amp; Items'!$J$11)-1,0)</f>
        <v>Military media (incl. websites)</v>
      </c>
      <c r="AO303" s="1194" t="str">
        <f>IF(I303=".",".",VLOOKUP($I303,'Price List, Weapons &amp; Items'!B:J,3,0))</f>
        <v>Military equipment</v>
      </c>
      <c r="AP303" s="1195" t="str">
        <f t="shared" ca="1" si="64"/>
        <v/>
      </c>
      <c r="AQ303" s="1194">
        <f>VLOOKUP($I303,'Price List, Weapons &amp; Items'!B:L,COLUMN('Price List, Weapons &amp; Items'!$L$11)-1,0)</f>
        <v>2</v>
      </c>
      <c r="AR303" s="1194">
        <f t="shared" si="71"/>
        <v>1</v>
      </c>
      <c r="AS303" s="1194">
        <f t="shared" si="72"/>
        <v>1</v>
      </c>
      <c r="AT303" s="1194">
        <f t="shared" si="73"/>
        <v>1</v>
      </c>
      <c r="AU303" s="1194" t="str">
        <f t="shared" si="74"/>
        <v>.</v>
      </c>
      <c r="AV303" s="1194" t="str">
        <f t="shared" si="65"/>
        <v>.</v>
      </c>
      <c r="AW303" s="1194" t="str">
        <f t="shared" si="75"/>
        <v>.</v>
      </c>
      <c r="AX303" s="1194">
        <f>IFERROR(VLOOKUP(B303,'Share, Heavy Weapons to Ukraine'!B:Z,COLUMN('Share, Heavy Weapons to Ukraine'!C313)-1,0),0)</f>
        <v>0</v>
      </c>
      <c r="AY303" s="1194">
        <f>VLOOKUP('Bilateral Assistance, MAIN DATA'!B303,'Country Summary (€)'!B:F,COLUMN('Country Summary (€)'!C314)-1,FALSE)</f>
        <v>1</v>
      </c>
      <c r="AZ303" s="1194" t="str">
        <f>IF(AND(AD303=1,D303="Military",H303&lt;&gt;"Not given")=TRUE,IF(SUMIFS(P:P,A:A,A303)&gt;0,ABS((SUMIFS(P:P,A:A,A303)/VLOOKUP("USD",'Exchange Rates'!B:C,2,0)))/S303,"."),".")</f>
        <v>.</v>
      </c>
      <c r="BA303" s="1196" t="str">
        <f>IF(AND(AD303=1,D303="Military",H303&lt;&gt;"Not given")=TRUE,IF(SUMIFS(P:P,A:A,A303)&gt;0,IF((ABS((SUMIFS(P:P,A:A,A303)/VLOOKUP("USD",'Exchange Rates'!B:C,2,0)))/S303)&gt;1,(SUMIFS(P:P,A:A,A303)-S303)/S303,(S303-SUMIFS(P:P,A:A,A303))/SUMIFS(P:P,A:A,A303)),"."),".")</f>
        <v>.</v>
      </c>
    </row>
    <row r="304" spans="1:53" ht="15.95" customHeight="1">
      <c r="A304" s="1182" t="s">
        <v>1232</v>
      </c>
      <c r="B304" s="1182" t="s">
        <v>1194</v>
      </c>
      <c r="C304" s="1181">
        <v>44672</v>
      </c>
      <c r="D304" s="1182" t="s">
        <v>389</v>
      </c>
      <c r="E304" s="1182" t="s">
        <v>390</v>
      </c>
      <c r="F304" s="1183" t="s">
        <v>1233</v>
      </c>
      <c r="G304" s="1184" t="s">
        <v>1197</v>
      </c>
      <c r="H304" s="1185">
        <v>1000000000</v>
      </c>
      <c r="I304" s="1180" t="s">
        <v>1243</v>
      </c>
      <c r="J304" s="1186" t="str">
        <f>VLOOKUP($I304,'Price List, Weapons &amp; Items'!B:C,2,0)</f>
        <v>Military equipment</v>
      </c>
      <c r="K304" s="1186" t="str">
        <f>IF(I304=".",I304,VLOOKUP($I304,'Price List, Weapons &amp; Items'!B:D,3,0))</f>
        <v>Military equipment</v>
      </c>
      <c r="L304" s="1187">
        <f>VLOOKUP(I304,'Price List, Weapons &amp; Items'!B:E,4,0)</f>
        <v>0</v>
      </c>
      <c r="M304" s="1188">
        <v>700</v>
      </c>
      <c r="N304" s="1188">
        <v>700</v>
      </c>
      <c r="O304" s="1188">
        <f>VLOOKUP($I304,'Price List, Weapons &amp; Items'!B:G,6,0)</f>
        <v>2.5</v>
      </c>
      <c r="P304" s="1185">
        <f t="shared" si="66"/>
        <v>1750</v>
      </c>
      <c r="Q304" s="1185">
        <f t="shared" si="67"/>
        <v>1750</v>
      </c>
      <c r="R304" s="1185" t="str">
        <f t="shared" si="63"/>
        <v/>
      </c>
      <c r="S304" s="1185" t="str">
        <f>IF(AND(AD304=1,R304&lt;&gt;".")=TRUE,R304/VLOOKUP(G304,'Exchange Rates'!B:C,2,0),IF(R304=".",".",""))</f>
        <v/>
      </c>
      <c r="T304" s="1185" t="str">
        <f>IF(AD304=1,IF(AF304="Value is not given at all",".",IF(AF304="Value is given by the source",S304,IF(AF304="Value is calculated with prices",(IF(SUMIFS(Q:Q,A:A,A304)&gt;0,SUMIFS(Q:Q,A:A,A304),"."))/VLOOKUP("USD",'Exchange Rates'!B:C,2,0),"Error with coding"))),"")</f>
        <v/>
      </c>
      <c r="U304" s="1184" t="s">
        <v>365</v>
      </c>
      <c r="V304" s="974" t="s">
        <v>1234</v>
      </c>
      <c r="W304" s="974" t="s">
        <v>1235</v>
      </c>
      <c r="X304" s="974" t="s">
        <v>1236</v>
      </c>
      <c r="Y304" s="974" t="s">
        <v>1237</v>
      </c>
      <c r="Z304" s="1194">
        <v>0</v>
      </c>
      <c r="AA304" s="1194">
        <v>0</v>
      </c>
      <c r="AB304" s="977" t="s">
        <v>1236</v>
      </c>
      <c r="AC304" s="1192" t="str">
        <f>""</f>
        <v/>
      </c>
      <c r="AD304" s="985">
        <v>0</v>
      </c>
      <c r="AE304" s="985" t="s">
        <v>368</v>
      </c>
      <c r="AF304" s="985" t="s">
        <v>368</v>
      </c>
      <c r="AG304" s="985">
        <v>1</v>
      </c>
      <c r="AH304" s="985">
        <v>4</v>
      </c>
      <c r="AI304" s="985">
        <v>0</v>
      </c>
      <c r="AJ304" s="1193">
        <f>VLOOKUP($I304,'Price List, Weapons &amp; Items'!B:F,5,0)</f>
        <v>0</v>
      </c>
      <c r="AK304" s="1193">
        <f t="shared" si="68"/>
        <v>0</v>
      </c>
      <c r="AL304" s="1193">
        <f t="shared" si="69"/>
        <v>0</v>
      </c>
      <c r="AM304" s="1193">
        <f t="shared" si="70"/>
        <v>0</v>
      </c>
      <c r="AN304" s="1194" t="str">
        <f>VLOOKUP($I304,'Price List, Weapons &amp; Items'!B:L,COLUMN('Price List, Weapons &amp; Items'!$J$11)-1,0)</f>
        <v>Online marketplaces and stores</v>
      </c>
      <c r="AO304" s="1194" t="str">
        <f>IF(I304=".",".",VLOOKUP($I304,'Price List, Weapons &amp; Items'!B:J,3,0))</f>
        <v>Military equipment</v>
      </c>
      <c r="AP304" s="1195" t="str">
        <f t="shared" ca="1" si="64"/>
        <v/>
      </c>
      <c r="AQ304" s="1194">
        <f>VLOOKUP($I304,'Price List, Weapons &amp; Items'!B:L,COLUMN('Price List, Weapons &amp; Items'!$L$11)-1,0)</f>
        <v>1</v>
      </c>
      <c r="AR304" s="1194">
        <f t="shared" si="71"/>
        <v>1</v>
      </c>
      <c r="AS304" s="1194">
        <f t="shared" si="72"/>
        <v>1</v>
      </c>
      <c r="AT304" s="1194">
        <f t="shared" si="73"/>
        <v>1</v>
      </c>
      <c r="AU304" s="1194" t="str">
        <f t="shared" si="74"/>
        <v>.</v>
      </c>
      <c r="AV304" s="1194" t="str">
        <f t="shared" si="65"/>
        <v>.</v>
      </c>
      <c r="AW304" s="1194" t="str">
        <f t="shared" si="75"/>
        <v>.</v>
      </c>
      <c r="AX304" s="1194">
        <f>IFERROR(VLOOKUP(B304,'Share, Heavy Weapons to Ukraine'!B:Z,COLUMN('Share, Heavy Weapons to Ukraine'!C314)-1,0),0)</f>
        <v>0</v>
      </c>
      <c r="AY304" s="1194">
        <f>VLOOKUP('Bilateral Assistance, MAIN DATA'!B304,'Country Summary (€)'!B:F,COLUMN('Country Summary (€)'!C315)-1,FALSE)</f>
        <v>1</v>
      </c>
      <c r="AZ304" s="1194" t="str">
        <f>IF(AND(AD304=1,D304="Military",H304&lt;&gt;"Not given")=TRUE,IF(SUMIFS(P:P,A:A,A304)&gt;0,ABS((SUMIFS(P:P,A:A,A304)/VLOOKUP("USD",'Exchange Rates'!B:C,2,0)))/S304,"."),".")</f>
        <v>.</v>
      </c>
      <c r="BA304" s="1196" t="str">
        <f>IF(AND(AD304=1,D304="Military",H304&lt;&gt;"Not given")=TRUE,IF(SUMIFS(P:P,A:A,A304)&gt;0,IF((ABS((SUMIFS(P:P,A:A,A304)/VLOOKUP("USD",'Exchange Rates'!B:C,2,0)))/S304)&gt;1,(SUMIFS(P:P,A:A,A304)-S304)/S304,(S304-SUMIFS(P:P,A:A,A304))/SUMIFS(P:P,A:A,A304)),"."),".")</f>
        <v>.</v>
      </c>
    </row>
    <row r="305" spans="1:71" ht="15.95" customHeight="1">
      <c r="A305" s="1182" t="s">
        <v>1232</v>
      </c>
      <c r="B305" s="1182" t="s">
        <v>1194</v>
      </c>
      <c r="C305" s="1181">
        <v>44672</v>
      </c>
      <c r="D305" s="1182" t="s">
        <v>389</v>
      </c>
      <c r="E305" s="1182" t="s">
        <v>390</v>
      </c>
      <c r="F305" s="1183" t="s">
        <v>1233</v>
      </c>
      <c r="G305" s="1184" t="s">
        <v>1197</v>
      </c>
      <c r="H305" s="1185">
        <v>1000000000</v>
      </c>
      <c r="I305" s="1180" t="s">
        <v>428</v>
      </c>
      <c r="J305" s="1186" t="str">
        <f>VLOOKUP($I305,'Price List, Weapons &amp; Items'!B:C,2,0)</f>
        <v>Heavy weapon</v>
      </c>
      <c r="K305" s="1186" t="str">
        <f>IF(I305=".",I305,VLOOKUP($I305,'Price List, Weapons &amp; Items'!B:D,3,0))</f>
        <v>Armored Personnel Carrier (APC)</v>
      </c>
      <c r="L305" s="1187">
        <f>VLOOKUP(I305,'Price List, Weapons &amp; Items'!B:E,4,0)</f>
        <v>0</v>
      </c>
      <c r="M305" s="1188">
        <v>50</v>
      </c>
      <c r="N305" s="1188">
        <v>50</v>
      </c>
      <c r="O305" s="1188">
        <f>VLOOKUP($I305,'Price List, Weapons &amp; Items'!B:G,6,0)</f>
        <v>300000</v>
      </c>
      <c r="P305" s="1185">
        <f t="shared" si="66"/>
        <v>15000000</v>
      </c>
      <c r="Q305" s="1185">
        <f t="shared" si="67"/>
        <v>15000000</v>
      </c>
      <c r="R305" s="1185" t="str">
        <f t="shared" si="63"/>
        <v/>
      </c>
      <c r="S305" s="1185" t="str">
        <f>IF(AND(AD305=1,R305&lt;&gt;".")=TRUE,R305/VLOOKUP(G305,'Exchange Rates'!B:C,2,0),IF(R305=".",".",""))</f>
        <v/>
      </c>
      <c r="T305" s="1185" t="str">
        <f>IF(AD305=1,IF(AF305="Value is not given at all",".",IF(AF305="Value is given by the source",S305,IF(AF305="Value is calculated with prices",(IF(SUMIFS(Q:Q,A:A,A305)&gt;0,SUMIFS(Q:Q,A:A,A305),"."))/VLOOKUP("USD",'Exchange Rates'!B:C,2,0),"Error with coding"))),"")</f>
        <v/>
      </c>
      <c r="U305" s="1184" t="s">
        <v>365</v>
      </c>
      <c r="V305" s="974" t="s">
        <v>1234</v>
      </c>
      <c r="W305" s="974" t="s">
        <v>1235</v>
      </c>
      <c r="X305" s="974" t="s">
        <v>1236</v>
      </c>
      <c r="Y305" s="974" t="s">
        <v>1237</v>
      </c>
      <c r="Z305" s="1194">
        <v>0</v>
      </c>
      <c r="AA305" s="1194">
        <v>0</v>
      </c>
      <c r="AB305" s="1016" t="s">
        <v>1235</v>
      </c>
      <c r="AC305" s="1192" t="str">
        <f>""</f>
        <v/>
      </c>
      <c r="AD305" s="985">
        <v>0</v>
      </c>
      <c r="AE305" s="985" t="s">
        <v>368</v>
      </c>
      <c r="AF305" s="985" t="s">
        <v>368</v>
      </c>
      <c r="AG305" s="985">
        <v>1</v>
      </c>
      <c r="AH305" s="985">
        <v>4</v>
      </c>
      <c r="AI305" s="985">
        <v>0</v>
      </c>
      <c r="AJ305" s="1193">
        <f>VLOOKUP($I305,'Price List, Weapons &amp; Items'!B:F,5,0)</f>
        <v>1</v>
      </c>
      <c r="AK305" s="1193">
        <f t="shared" si="68"/>
        <v>0</v>
      </c>
      <c r="AL305" s="1193">
        <f t="shared" si="69"/>
        <v>0</v>
      </c>
      <c r="AM305" s="1193">
        <f t="shared" si="70"/>
        <v>0</v>
      </c>
      <c r="AN305" s="1194" t="str">
        <f>VLOOKUP($I305,'Price List, Weapons &amp; Items'!B:L,COLUMN('Price List, Weapons &amp; Items'!$J$11)-1,0)</f>
        <v>Military media (incl. websites)</v>
      </c>
      <c r="AO305" s="1194" t="str">
        <f>IF(I305=".",".",VLOOKUP($I305,'Price List, Weapons &amp; Items'!B:J,3,0))</f>
        <v>Armored Personnel Carrier (APC)</v>
      </c>
      <c r="AP305" s="1195" t="str">
        <f t="shared" ca="1" si="64"/>
        <v/>
      </c>
      <c r="AQ305" s="1194">
        <f>VLOOKUP($I305,'Price List, Weapons &amp; Items'!B:L,COLUMN('Price List, Weapons &amp; Items'!$L$11)-1,0)</f>
        <v>2</v>
      </c>
      <c r="AR305" s="1194">
        <f t="shared" si="71"/>
        <v>1</v>
      </c>
      <c r="AS305" s="1194">
        <f t="shared" si="72"/>
        <v>1</v>
      </c>
      <c r="AT305" s="1194">
        <f t="shared" si="73"/>
        <v>1</v>
      </c>
      <c r="AU305" s="1194" t="str">
        <f t="shared" si="74"/>
        <v>.</v>
      </c>
      <c r="AV305" s="1194" t="str">
        <f t="shared" si="65"/>
        <v>.</v>
      </c>
      <c r="AW305" s="1194" t="str">
        <f t="shared" si="75"/>
        <v>.</v>
      </c>
      <c r="AX305" s="1194">
        <f>IFERROR(VLOOKUP(B305,'Share, Heavy Weapons to Ukraine'!B:Z,COLUMN('Share, Heavy Weapons to Ukraine'!C315)-1,0),0)</f>
        <v>0</v>
      </c>
      <c r="AY305" s="1194">
        <f>VLOOKUP('Bilateral Assistance, MAIN DATA'!B305,'Country Summary (€)'!B:F,COLUMN('Country Summary (€)'!C316)-1,FALSE)</f>
        <v>1</v>
      </c>
      <c r="AZ305" s="1194" t="str">
        <f>IF(AND(AD305=1,D305="Military",H305&lt;&gt;"Not given")=TRUE,IF(SUMIFS(P:P,A:A,A305)&gt;0,ABS((SUMIFS(P:P,A:A,A305)/VLOOKUP("USD",'Exchange Rates'!B:C,2,0)))/S305,"."),".")</f>
        <v>.</v>
      </c>
      <c r="BA305" s="1196" t="str">
        <f>IF(AND(AD305=1,D305="Military",H305&lt;&gt;"Not given")=TRUE,IF(SUMIFS(P:P,A:A,A305)&gt;0,IF((ABS((SUMIFS(P:P,A:A,A305)/VLOOKUP("USD",'Exchange Rates'!B:C,2,0)))/S305)&gt;1,(SUMIFS(P:P,A:A,A305)-S305)/S305,(S305-SUMIFS(P:P,A:A,A305))/SUMIFS(P:P,A:A,A305)),"."),".")</f>
        <v>.</v>
      </c>
    </row>
    <row r="306" spans="1:71" ht="15.95" customHeight="1">
      <c r="A306" s="1182" t="s">
        <v>1232</v>
      </c>
      <c r="B306" s="1182" t="s">
        <v>1194</v>
      </c>
      <c r="C306" s="1181">
        <v>44672</v>
      </c>
      <c r="D306" s="1182" t="s">
        <v>389</v>
      </c>
      <c r="E306" s="1182" t="s">
        <v>390</v>
      </c>
      <c r="F306" s="1183" t="s">
        <v>1233</v>
      </c>
      <c r="G306" s="1184" t="s">
        <v>1197</v>
      </c>
      <c r="H306" s="1185">
        <v>1000000000</v>
      </c>
      <c r="I306" s="1180" t="s">
        <v>1244</v>
      </c>
      <c r="J306" s="1186" t="str">
        <f>VLOOKUP($I306,'Price List, Weapons &amp; Items'!B:C,2,0)</f>
        <v>Ammunition for light infantry</v>
      </c>
      <c r="K306" s="1186" t="str">
        <f>IF(I306=".",I306,VLOOKUP($I306,'Price List, Weapons &amp; Items'!B:D,3,0))</f>
        <v>mine</v>
      </c>
      <c r="L306" s="1187">
        <f>VLOOKUP(I306,'Price List, Weapons &amp; Items'!B:E,4,0)</f>
        <v>0</v>
      </c>
      <c r="M306" s="1188" t="s">
        <v>374</v>
      </c>
      <c r="N306" s="1188" t="s">
        <v>374</v>
      </c>
      <c r="O306" s="1188">
        <f>VLOOKUP($I306,'Price List, Weapons &amp; Items'!B:G,6,0)</f>
        <v>16.5</v>
      </c>
      <c r="P306" s="1185" t="str">
        <f t="shared" si="66"/>
        <v>.</v>
      </c>
      <c r="Q306" s="1185" t="str">
        <f t="shared" si="67"/>
        <v>.</v>
      </c>
      <c r="R306" s="1185" t="str">
        <f t="shared" si="63"/>
        <v/>
      </c>
      <c r="S306" s="1185" t="str">
        <f>IF(AND(AD306=1,R306&lt;&gt;".")=TRUE,R306/VLOOKUP(G306,'Exchange Rates'!B:C,2,0),IF(R306=".",".",""))</f>
        <v/>
      </c>
      <c r="T306" s="1185" t="str">
        <f>IF(AD306=1,IF(AF306="Value is not given at all",".",IF(AF306="Value is given by the source",S306,IF(AF306="Value is calculated with prices",(IF(SUMIFS(Q:Q,A:A,A306)&gt;0,SUMIFS(Q:Q,A:A,A306),"."))/VLOOKUP("USD",'Exchange Rates'!B:C,2,0),"Error with coding"))),"")</f>
        <v/>
      </c>
      <c r="U306" s="1184" t="s">
        <v>365</v>
      </c>
      <c r="V306" s="974" t="s">
        <v>1234</v>
      </c>
      <c r="W306" s="974" t="s">
        <v>1235</v>
      </c>
      <c r="X306" s="974" t="s">
        <v>1236</v>
      </c>
      <c r="Y306" s="974" t="s">
        <v>1237</v>
      </c>
      <c r="Z306" s="1194">
        <v>0</v>
      </c>
      <c r="AA306" s="1194">
        <v>0</v>
      </c>
      <c r="AB306" s="1016" t="s">
        <v>1235</v>
      </c>
      <c r="AC306" s="1192" t="str">
        <f>""</f>
        <v/>
      </c>
      <c r="AD306" s="985">
        <v>0</v>
      </c>
      <c r="AE306" s="985" t="s">
        <v>368</v>
      </c>
      <c r="AF306" s="985" t="s">
        <v>368</v>
      </c>
      <c r="AG306" s="985">
        <v>1</v>
      </c>
      <c r="AH306" s="985">
        <v>4</v>
      </c>
      <c r="AI306" s="985">
        <v>0</v>
      </c>
      <c r="AJ306" s="1193">
        <f>VLOOKUP($I306,'Price List, Weapons &amp; Items'!B:F,5,0)</f>
        <v>0</v>
      </c>
      <c r="AK306" s="1193">
        <f t="shared" si="68"/>
        <v>0</v>
      </c>
      <c r="AL306" s="1193">
        <f t="shared" si="69"/>
        <v>0</v>
      </c>
      <c r="AM306" s="1193">
        <f t="shared" si="70"/>
        <v>0</v>
      </c>
      <c r="AN306" s="1194" t="str">
        <f>VLOOKUP($I306,'Price List, Weapons &amp; Items'!B:L,COLUMN('Price List, Weapons &amp; Items'!$J$11)-1,0)</f>
        <v>Miscellaneous</v>
      </c>
      <c r="AO306" s="1194" t="str">
        <f>IF(I306=".",".",VLOOKUP($I306,'Price List, Weapons &amp; Items'!B:J,3,0))</f>
        <v>mine</v>
      </c>
      <c r="AP306" s="1195" t="str">
        <f t="shared" ca="1" si="64"/>
        <v/>
      </c>
      <c r="AQ306" s="1194" t="str">
        <f>VLOOKUP($I306,'Price List, Weapons &amp; Items'!B:L,COLUMN('Price List, Weapons &amp; Items'!$L$11)-1,0)</f>
        <v>no price, 0 count</v>
      </c>
      <c r="AR306" s="1194">
        <f t="shared" si="71"/>
        <v>1</v>
      </c>
      <c r="AS306" s="1194">
        <f t="shared" si="72"/>
        <v>1</v>
      </c>
      <c r="AT306" s="1194">
        <f t="shared" si="73"/>
        <v>1</v>
      </c>
      <c r="AU306" s="1194" t="str">
        <f t="shared" si="74"/>
        <v>.</v>
      </c>
      <c r="AV306" s="1194" t="str">
        <f t="shared" si="65"/>
        <v>.</v>
      </c>
      <c r="AW306" s="1194" t="str">
        <f t="shared" si="75"/>
        <v>.</v>
      </c>
      <c r="AX306" s="1194">
        <f>IFERROR(VLOOKUP(B306,'Share, Heavy Weapons to Ukraine'!B:Z,COLUMN('Share, Heavy Weapons to Ukraine'!C316)-1,0),0)</f>
        <v>0</v>
      </c>
      <c r="AY306" s="1194">
        <f>VLOOKUP('Bilateral Assistance, MAIN DATA'!B306,'Country Summary (€)'!B:F,COLUMN('Country Summary (€)'!C317)-1,FALSE)</f>
        <v>1</v>
      </c>
      <c r="AZ306" s="1194" t="str">
        <f>IF(AND(AD306=1,D306="Military",H306&lt;&gt;"Not given")=TRUE,IF(SUMIFS(P:P,A:A,A306)&gt;0,ABS((SUMIFS(P:P,A:A,A306)/VLOOKUP("USD",'Exchange Rates'!B:C,2,0)))/S306,"."),".")</f>
        <v>.</v>
      </c>
      <c r="BA306" s="1196" t="str">
        <f>IF(AND(AD306=1,D306="Military",H306&lt;&gt;"Not given")=TRUE,IF(SUMIFS(P:P,A:A,A306)&gt;0,IF((ABS((SUMIFS(P:P,A:A,A306)/VLOOKUP("USD",'Exchange Rates'!B:C,2,0)))/S306)&gt;1,(SUMIFS(P:P,A:A,A306)-S306)/S306,(S306-SUMIFS(P:P,A:A,A306))/SUMIFS(P:P,A:A,A306)),"."),".")</f>
        <v>.</v>
      </c>
    </row>
    <row r="307" spans="1:71" ht="15.95" customHeight="1">
      <c r="A307" s="1182" t="s">
        <v>1232</v>
      </c>
      <c r="B307" s="1182" t="s">
        <v>1194</v>
      </c>
      <c r="C307" s="1181">
        <v>44672</v>
      </c>
      <c r="D307" s="1182" t="s">
        <v>389</v>
      </c>
      <c r="E307" s="1182" t="s">
        <v>390</v>
      </c>
      <c r="F307" s="1183" t="s">
        <v>1233</v>
      </c>
      <c r="G307" s="1184" t="s">
        <v>1197</v>
      </c>
      <c r="H307" s="1185">
        <v>1000000000</v>
      </c>
      <c r="I307" s="1180" t="s">
        <v>1245</v>
      </c>
      <c r="J307" s="1186" t="str">
        <f>VLOOKUP($I307,'Price List, Weapons &amp; Items'!B:C,2,0)</f>
        <v>Light armaments &amp; infantry</v>
      </c>
      <c r="K307" s="1186" t="str">
        <f>IF(I307=".",I307,VLOOKUP($I307,'Price List, Weapons &amp; Items'!B:D,3,0))</f>
        <v>Mortar</v>
      </c>
      <c r="L307" s="1187">
        <f>VLOOKUP(I307,'Price List, Weapons &amp; Items'!B:E,4,0)</f>
        <v>0</v>
      </c>
      <c r="M307" s="1188" t="s">
        <v>374</v>
      </c>
      <c r="N307" s="1188" t="s">
        <v>374</v>
      </c>
      <c r="O307" s="1188">
        <f>VLOOKUP($I307,'Price List, Weapons &amp; Items'!B:G,6,0)</f>
        <v>10658</v>
      </c>
      <c r="P307" s="1185" t="str">
        <f t="shared" si="66"/>
        <v>.</v>
      </c>
      <c r="Q307" s="1185" t="str">
        <f t="shared" si="67"/>
        <v>.</v>
      </c>
      <c r="R307" s="1185" t="str">
        <f t="shared" si="63"/>
        <v/>
      </c>
      <c r="S307" s="1185" t="str">
        <f>IF(AND(AD307=1,R307&lt;&gt;".")=TRUE,R307/VLOOKUP(G307,'Exchange Rates'!B:C,2,0),IF(R307=".",".",""))</f>
        <v/>
      </c>
      <c r="T307" s="1185" t="str">
        <f>IF(AD307=1,IF(AF307="Value is not given at all",".",IF(AF307="Value is given by the source",S307,IF(AF307="Value is calculated with prices",(IF(SUMIFS(Q:Q,A:A,A307)&gt;0,SUMIFS(Q:Q,A:A,A307),"."))/VLOOKUP("USD",'Exchange Rates'!B:C,2,0),"Error with coding"))),"")</f>
        <v/>
      </c>
      <c r="U307" s="1184" t="s">
        <v>365</v>
      </c>
      <c r="V307" s="974" t="s">
        <v>1234</v>
      </c>
      <c r="W307" s="974" t="s">
        <v>1235</v>
      </c>
      <c r="X307" s="974" t="s">
        <v>1236</v>
      </c>
      <c r="Y307" s="974" t="s">
        <v>1237</v>
      </c>
      <c r="Z307" s="1194">
        <v>0</v>
      </c>
      <c r="AA307" s="1194">
        <v>0</v>
      </c>
      <c r="AB307" s="1016" t="s">
        <v>1235</v>
      </c>
      <c r="AC307" s="1192" t="str">
        <f>""</f>
        <v/>
      </c>
      <c r="AD307" s="985">
        <v>0</v>
      </c>
      <c r="AE307" s="985" t="s">
        <v>368</v>
      </c>
      <c r="AF307" s="985" t="s">
        <v>368</v>
      </c>
      <c r="AG307" s="985">
        <v>1</v>
      </c>
      <c r="AH307" s="985">
        <v>4</v>
      </c>
      <c r="AI307" s="985">
        <v>0</v>
      </c>
      <c r="AJ307" s="1193">
        <f>VLOOKUP($I307,'Price List, Weapons &amp; Items'!B:F,5,0)</f>
        <v>0</v>
      </c>
      <c r="AK307" s="1193">
        <f t="shared" si="68"/>
        <v>0</v>
      </c>
      <c r="AL307" s="1193">
        <f t="shared" si="69"/>
        <v>0</v>
      </c>
      <c r="AM307" s="1193">
        <f t="shared" si="70"/>
        <v>0</v>
      </c>
      <c r="AN307" s="1194" t="str">
        <f>VLOOKUP($I307,'Price List, Weapons &amp; Items'!B:L,COLUMN('Price List, Weapons &amp; Items'!$J$11)-1,0)</f>
        <v>Military media (incl. websites)</v>
      </c>
      <c r="AO307" s="1194" t="str">
        <f>IF(I307=".",".",VLOOKUP($I307,'Price List, Weapons &amp; Items'!B:J,3,0))</f>
        <v>Mortar</v>
      </c>
      <c r="AP307" s="1195" t="str">
        <f t="shared" ca="1" si="64"/>
        <v/>
      </c>
      <c r="AQ307" s="1194" t="str">
        <f>VLOOKUP($I307,'Price List, Weapons &amp; Items'!B:L,COLUMN('Price List, Weapons &amp; Items'!$L$11)-1,0)</f>
        <v>no price, 0 count</v>
      </c>
      <c r="AR307" s="1194">
        <f t="shared" si="71"/>
        <v>1</v>
      </c>
      <c r="AS307" s="1194">
        <f t="shared" si="72"/>
        <v>1</v>
      </c>
      <c r="AT307" s="1194">
        <f t="shared" si="73"/>
        <v>1</v>
      </c>
      <c r="AU307" s="1194" t="str">
        <f t="shared" si="74"/>
        <v>.</v>
      </c>
      <c r="AV307" s="1194" t="str">
        <f t="shared" si="65"/>
        <v>.</v>
      </c>
      <c r="AW307" s="1194" t="str">
        <f t="shared" si="75"/>
        <v>.</v>
      </c>
      <c r="AX307" s="1194">
        <f>IFERROR(VLOOKUP(B307,'Share, Heavy Weapons to Ukraine'!B:Z,COLUMN('Share, Heavy Weapons to Ukraine'!C317)-1,0),0)</f>
        <v>0</v>
      </c>
      <c r="AY307" s="1194">
        <f>VLOOKUP('Bilateral Assistance, MAIN DATA'!B307,'Country Summary (€)'!B:F,COLUMN('Country Summary (€)'!C318)-1,FALSE)</f>
        <v>1</v>
      </c>
      <c r="AZ307" s="1194" t="str">
        <f>IF(AND(AD307=1,D307="Military",H307&lt;&gt;"Not given")=TRUE,IF(SUMIFS(P:P,A:A,A307)&gt;0,ABS((SUMIFS(P:P,A:A,A307)/VLOOKUP("USD",'Exchange Rates'!B:C,2,0)))/S307,"."),".")</f>
        <v>.</v>
      </c>
      <c r="BA307" s="1196" t="str">
        <f>IF(AND(AD307=1,D307="Military",H307&lt;&gt;"Not given")=TRUE,IF(SUMIFS(P:P,A:A,A307)&gt;0,IF((ABS((SUMIFS(P:P,A:A,A307)/VLOOKUP("USD",'Exchange Rates'!B:C,2,0)))/S307)&gt;1,(SUMIFS(P:P,A:A,A307)-S307)/S307,(S307-SUMIFS(P:P,A:A,A307))/SUMIFS(P:P,A:A,A307)),"."),".")</f>
        <v>.</v>
      </c>
    </row>
    <row r="308" spans="1:71" ht="15.95" customHeight="1">
      <c r="A308" s="1182" t="s">
        <v>1232</v>
      </c>
      <c r="B308" s="1182" t="s">
        <v>1194</v>
      </c>
      <c r="C308" s="1181">
        <v>44672</v>
      </c>
      <c r="D308" s="1182" t="s">
        <v>389</v>
      </c>
      <c r="E308" s="1182" t="s">
        <v>390</v>
      </c>
      <c r="F308" s="1183" t="s">
        <v>1233</v>
      </c>
      <c r="G308" s="1184" t="s">
        <v>1197</v>
      </c>
      <c r="H308" s="1185">
        <v>1000000000</v>
      </c>
      <c r="I308" s="1180" t="s">
        <v>1246</v>
      </c>
      <c r="J308" s="1186" t="str">
        <f>VLOOKUP($I308,'Price List, Weapons &amp; Items'!B:C,2,0)</f>
        <v>Ammunition for light infantry</v>
      </c>
      <c r="K308" s="1186" t="str">
        <f>IF(I308=".",I308,VLOOKUP($I308,'Price List, Weapons &amp; Items'!B:D,3,0))</f>
        <v>Mortar ammunition</v>
      </c>
      <c r="L308" s="1187">
        <f>VLOOKUP(I308,'Price List, Weapons &amp; Items'!B:E,4,0)</f>
        <v>0</v>
      </c>
      <c r="M308" s="1188" t="s">
        <v>374</v>
      </c>
      <c r="N308" s="1188" t="s">
        <v>374</v>
      </c>
      <c r="O308" s="1188">
        <f>VLOOKUP($I308,'Price List, Weapons &amp; Items'!B:G,6,0)</f>
        <v>33000</v>
      </c>
      <c r="P308" s="1185" t="str">
        <f t="shared" si="66"/>
        <v>.</v>
      </c>
      <c r="Q308" s="1185" t="str">
        <f t="shared" si="67"/>
        <v>.</v>
      </c>
      <c r="R308" s="1185" t="str">
        <f t="shared" si="63"/>
        <v/>
      </c>
      <c r="S308" s="1185" t="str">
        <f>IF(AND(AD308=1,R308&lt;&gt;".")=TRUE,R308/VLOOKUP(G308,'Exchange Rates'!B:C,2,0),IF(R308=".",".",""))</f>
        <v/>
      </c>
      <c r="T308" s="1185" t="str">
        <f>IF(AD308=1,IF(AF308="Value is not given at all",".",IF(AF308="Value is given by the source",S308,IF(AF308="Value is calculated with prices",(IF(SUMIFS(Q:Q,A:A,A308)&gt;0,SUMIFS(Q:Q,A:A,A308),"."))/VLOOKUP("USD",'Exchange Rates'!B:C,2,0),"Error with coding"))),"")</f>
        <v/>
      </c>
      <c r="U308" s="1184" t="s">
        <v>365</v>
      </c>
      <c r="V308" s="974" t="s">
        <v>1234</v>
      </c>
      <c r="W308" s="974" t="s">
        <v>1235</v>
      </c>
      <c r="X308" s="974" t="s">
        <v>1236</v>
      </c>
      <c r="Y308" s="974" t="s">
        <v>1237</v>
      </c>
      <c r="Z308" s="1194">
        <v>0</v>
      </c>
      <c r="AA308" s="1194">
        <v>0</v>
      </c>
      <c r="AB308" s="1016" t="s">
        <v>1235</v>
      </c>
      <c r="AC308" s="1192" t="str">
        <f>""</f>
        <v/>
      </c>
      <c r="AD308" s="985">
        <v>0</v>
      </c>
      <c r="AE308" s="985" t="s">
        <v>368</v>
      </c>
      <c r="AF308" s="985" t="s">
        <v>368</v>
      </c>
      <c r="AG308" s="985">
        <v>1</v>
      </c>
      <c r="AH308" s="985">
        <v>4</v>
      </c>
      <c r="AI308" s="985">
        <v>0</v>
      </c>
      <c r="AJ308" s="1193">
        <f>VLOOKUP($I308,'Price List, Weapons &amp; Items'!B:F,5,0)</f>
        <v>0</v>
      </c>
      <c r="AK308" s="1193">
        <f t="shared" si="68"/>
        <v>0</v>
      </c>
      <c r="AL308" s="1193">
        <f t="shared" si="69"/>
        <v>0</v>
      </c>
      <c r="AM308" s="1193">
        <f t="shared" si="70"/>
        <v>0</v>
      </c>
      <c r="AN308" s="1194" t="str">
        <f>VLOOKUP($I308,'Price List, Weapons &amp; Items'!B:L,COLUMN('Price List, Weapons &amp; Items'!$J$11)-1,0)</f>
        <v>Media reports (incl. social media)</v>
      </c>
      <c r="AO308" s="1194" t="str">
        <f>IF(I308=".",".",VLOOKUP($I308,'Price List, Weapons &amp; Items'!B:J,3,0))</f>
        <v>Mortar ammunition</v>
      </c>
      <c r="AP308" s="1195" t="str">
        <f t="shared" ca="1" si="64"/>
        <v/>
      </c>
      <c r="AQ308" s="1194" t="str">
        <f>VLOOKUP($I308,'Price List, Weapons &amp; Items'!B:L,COLUMN('Price List, Weapons &amp; Items'!$L$11)-1,0)</f>
        <v>no price, 0 count</v>
      </c>
      <c r="AR308" s="1194">
        <f t="shared" si="71"/>
        <v>1</v>
      </c>
      <c r="AS308" s="1194">
        <f t="shared" si="72"/>
        <v>1</v>
      </c>
      <c r="AT308" s="1194">
        <f t="shared" si="73"/>
        <v>1</v>
      </c>
      <c r="AU308" s="1194" t="str">
        <f t="shared" si="74"/>
        <v>.</v>
      </c>
      <c r="AV308" s="1194" t="str">
        <f t="shared" si="65"/>
        <v>.</v>
      </c>
      <c r="AW308" s="1194" t="str">
        <f t="shared" si="75"/>
        <v>.</v>
      </c>
      <c r="AX308" s="1194">
        <f>IFERROR(VLOOKUP(B308,'Share, Heavy Weapons to Ukraine'!B:Z,COLUMN('Share, Heavy Weapons to Ukraine'!C318)-1,0),0)</f>
        <v>0</v>
      </c>
      <c r="AY308" s="1194">
        <f>VLOOKUP('Bilateral Assistance, MAIN DATA'!B308,'Country Summary (€)'!B:F,COLUMN('Country Summary (€)'!C319)-1,FALSE)</f>
        <v>1</v>
      </c>
      <c r="AZ308" s="1194" t="str">
        <f>IF(AND(AD308=1,D308="Military",H308&lt;&gt;"Not given")=TRUE,IF(SUMIFS(P:P,A:A,A308)&gt;0,ABS((SUMIFS(P:P,A:A,A308)/VLOOKUP("USD",'Exchange Rates'!B:C,2,0)))/S308,"."),".")</f>
        <v>.</v>
      </c>
      <c r="BA308" s="1196" t="str">
        <f>IF(AND(AD308=1,D308="Military",H308&lt;&gt;"Not given")=TRUE,IF(SUMIFS(P:P,A:A,A308)&gt;0,IF((ABS((SUMIFS(P:P,A:A,A308)/VLOOKUP("USD",'Exchange Rates'!B:C,2,0)))/S308)&gt;1,(SUMIFS(P:P,A:A,A308)-S308)/S308,(S308-SUMIFS(P:P,A:A,A308))/SUMIFS(P:P,A:A,A308)),"."),".")</f>
        <v>.</v>
      </c>
    </row>
    <row r="309" spans="1:71" ht="15.95" customHeight="1">
      <c r="A309" s="1182" t="s">
        <v>1247</v>
      </c>
      <c r="B309" s="1182" t="s">
        <v>1194</v>
      </c>
      <c r="C309" s="1181" t="s">
        <v>1248</v>
      </c>
      <c r="D309" s="1182" t="s">
        <v>389</v>
      </c>
      <c r="E309" s="1182" t="s">
        <v>443</v>
      </c>
      <c r="F309" s="1183" t="s">
        <v>1249</v>
      </c>
      <c r="G309" s="1184" t="s">
        <v>1197</v>
      </c>
      <c r="H309" s="1185">
        <v>1000000000</v>
      </c>
      <c r="I309" s="1180" t="s">
        <v>1250</v>
      </c>
      <c r="J309" s="1186" t="str">
        <f>VLOOKUP($I309,'Price List, Weapons &amp; Items'!B:C,2,0)</f>
        <v>Heavy weapon</v>
      </c>
      <c r="K309" s="1186" t="str">
        <f>IF(I309=".",I309,VLOOKUP($I309,'Price List, Weapons &amp; Items'!B:D,3,0))</f>
        <v>Anti-ship missle system</v>
      </c>
      <c r="L309" s="1187">
        <f>VLOOKUP(I309,'Price List, Weapons &amp; Items'!B:E,4,0)</f>
        <v>0</v>
      </c>
      <c r="M309" s="1188">
        <v>1</v>
      </c>
      <c r="N309" s="1188">
        <v>1</v>
      </c>
      <c r="O309" s="1188">
        <f>VLOOKUP($I309,'Price List, Weapons &amp; Items'!B:G,6,0)</f>
        <v>35411360.630000003</v>
      </c>
      <c r="P309" s="1185">
        <f t="shared" si="66"/>
        <v>35411360.630000003</v>
      </c>
      <c r="Q309" s="1185">
        <f t="shared" si="67"/>
        <v>35411360.630000003</v>
      </c>
      <c r="R309" s="1185">
        <f t="shared" si="63"/>
        <v>1000000000</v>
      </c>
      <c r="S309" s="1185">
        <f>IF(AND(AD309=1,R309&lt;&gt;".")=TRUE,R309/VLOOKUP(G309,'Exchange Rates'!B:C,2,0),IF(R309=".",".",""))</f>
        <v>134255219.17164528</v>
      </c>
      <c r="T309" s="1185">
        <f>IF(AD309=1,IF(AF309="Value is not given at all",".",IF(AF309="Value is given by the source",S309,IF(AF309="Value is calculated with prices",(IF(SUMIFS(Q:Q,A:A,A309)&gt;0,SUMIFS(Q:Q,A:A,A309),"."))/VLOOKUP("USD",'Exchange Rates'!B:C,2,0),"Error with coding"))),"")</f>
        <v>134255219.17164528</v>
      </c>
      <c r="U309" s="1184" t="s">
        <v>365</v>
      </c>
      <c r="V309" s="987" t="s">
        <v>1251</v>
      </c>
      <c r="W309" s="974" t="s">
        <v>1252</v>
      </c>
      <c r="X309" s="974" t="s">
        <v>1253</v>
      </c>
      <c r="Y309" s="992" t="s">
        <v>1254</v>
      </c>
      <c r="Z309" s="1184">
        <v>0</v>
      </c>
      <c r="AA309" s="1194">
        <v>0</v>
      </c>
      <c r="AB309" s="977" t="s">
        <v>1255</v>
      </c>
      <c r="AC309" s="1192" t="str">
        <f>""</f>
        <v/>
      </c>
      <c r="AD309" s="985">
        <v>1</v>
      </c>
      <c r="AE309" s="985" t="s">
        <v>368</v>
      </c>
      <c r="AF309" s="985" t="s">
        <v>368</v>
      </c>
      <c r="AG309" s="985">
        <v>1</v>
      </c>
      <c r="AH309" s="985">
        <v>5</v>
      </c>
      <c r="AI309" s="985">
        <v>0</v>
      </c>
      <c r="AJ309" s="1193">
        <f>VLOOKUP($I309,'Price List, Weapons &amp; Items'!B:F,5,0)</f>
        <v>0</v>
      </c>
      <c r="AK309" s="1193">
        <f t="shared" si="68"/>
        <v>0</v>
      </c>
      <c r="AL309" s="1193">
        <f t="shared" si="69"/>
        <v>0</v>
      </c>
      <c r="AM309" s="1193">
        <f t="shared" si="70"/>
        <v>0</v>
      </c>
      <c r="AN309" s="1194" t="str">
        <f>VLOOKUP($I309,'Price List, Weapons &amp; Items'!B:L,COLUMN('Price List, Weapons &amp; Items'!$J$11)-1,0)</f>
        <v>Government information</v>
      </c>
      <c r="AO309" s="1194" t="str">
        <f>IF(I309=".",".",VLOOKUP($I309,'Price List, Weapons &amp; Items'!B:J,3,0))</f>
        <v>Anti-ship missle system</v>
      </c>
      <c r="AP309" s="1195" t="str">
        <f t="shared" ca="1" si="64"/>
        <v>Harpoon coastal defense missile system</v>
      </c>
      <c r="AQ309" s="1194">
        <f>VLOOKUP($I309,'Price List, Weapons &amp; Items'!B:L,COLUMN('Price List, Weapons &amp; Items'!$L$11)-1,0)</f>
        <v>2</v>
      </c>
      <c r="AR309" s="1194">
        <f t="shared" si="71"/>
        <v>1</v>
      </c>
      <c r="AS309" s="1194">
        <f t="shared" si="72"/>
        <v>1</v>
      </c>
      <c r="AT309" s="1194" t="str">
        <f t="shared" si="73"/>
        <v>Value is not in date format</v>
      </c>
      <c r="AU309" s="1194" t="str">
        <f t="shared" si="74"/>
        <v>.</v>
      </c>
      <c r="AV309" s="1194" t="str">
        <f t="shared" si="65"/>
        <v>.</v>
      </c>
      <c r="AW309" s="1194" t="str">
        <f t="shared" si="75"/>
        <v>.</v>
      </c>
      <c r="AX309" s="1194">
        <f>IFERROR(VLOOKUP(B309,'Share, Heavy Weapons to Ukraine'!B:Z,COLUMN('Share, Heavy Weapons to Ukraine'!C319)-1,0),0)</f>
        <v>0</v>
      </c>
      <c r="AY309" s="1194">
        <f>VLOOKUP('Bilateral Assistance, MAIN DATA'!B309,'Country Summary (€)'!B:F,COLUMN('Country Summary (€)'!C320)-1,FALSE)</f>
        <v>1</v>
      </c>
      <c r="AZ309" s="1194">
        <f>IF(AND(AD309=1,D309="Military",H309&lt;&gt;"Not given")=TRUE,IF(SUMIFS(P:P,A:A,A309)&gt;0,ABS((SUMIFS(P:P,A:A,A309)/VLOOKUP("USD",'Exchange Rates'!B:C,2,0)))/S309,"."),".")</f>
        <v>0.24269554623900905</v>
      </c>
      <c r="BA309" s="1196">
        <f>IF(AND(AD309=1,D309="Military",H309&lt;&gt;"Not given")=TRUE,IF(SUMIFS(P:P,A:A,A309)&gt;0,IF((ABS((SUMIFS(P:P,A:A,A309)/VLOOKUP("USD",'Exchange Rates'!B:C,2,0)))/S309)&gt;1,(SUMIFS(P:P,A:A,A309)-S309)/S309,(S309-SUMIFS(P:P,A:A,A309))/SUMIFS(P:P,A:A,A309)),"."),".")</f>
        <v>2.7913036037905354</v>
      </c>
    </row>
    <row r="310" spans="1:71" ht="15.95" customHeight="1">
      <c r="A310" s="1182" t="s">
        <v>1247</v>
      </c>
      <c r="B310" s="1182" t="s">
        <v>1194</v>
      </c>
      <c r="C310" s="1181" t="s">
        <v>1248</v>
      </c>
      <c r="D310" s="1182" t="s">
        <v>389</v>
      </c>
      <c r="E310" s="1182" t="s">
        <v>443</v>
      </c>
      <c r="F310" s="1183" t="s">
        <v>1249</v>
      </c>
      <c r="G310" s="1184" t="s">
        <v>1197</v>
      </c>
      <c r="H310" s="1185">
        <v>1000000000</v>
      </c>
      <c r="I310" s="1180" t="s">
        <v>1256</v>
      </c>
      <c r="J310" s="1186" t="str">
        <f>VLOOKUP($I310,'Price List, Weapons &amp; Items'!B:C,2,0)</f>
        <v>Ammunition for heavy weapon</v>
      </c>
      <c r="K310" s="1186" t="str">
        <f>IF(I310=".",I310,VLOOKUP($I310,'Price List, Weapons &amp; Items'!B:D,3,0))</f>
        <v>missile</v>
      </c>
      <c r="L310" s="1187">
        <f>VLOOKUP(I310,'Price List, Weapons &amp; Items'!B:E,4,0)</f>
        <v>0</v>
      </c>
      <c r="M310" s="1188" t="s">
        <v>374</v>
      </c>
      <c r="N310" s="1188" t="s">
        <v>374</v>
      </c>
      <c r="O310" s="1188">
        <f>VLOOKUP($I310,'Price List, Weapons &amp; Items'!B:G,6,0)</f>
        <v>1406812</v>
      </c>
      <c r="P310" s="1185" t="str">
        <f t="shared" si="66"/>
        <v>.</v>
      </c>
      <c r="Q310" s="1185" t="str">
        <f t="shared" si="67"/>
        <v>.</v>
      </c>
      <c r="R310" s="1185" t="str">
        <f t="shared" si="63"/>
        <v/>
      </c>
      <c r="S310" s="1185" t="str">
        <f>IF(AND(AD310=1,R310&lt;&gt;".")=TRUE,R310/VLOOKUP(G310,'Exchange Rates'!B:C,2,0),IF(R310=".",".",""))</f>
        <v/>
      </c>
      <c r="T310" s="1185" t="str">
        <f>IF(AD310=1,IF(AF310="Value is not given at all",".",IF(AF310="Value is given by the source",S310,IF(AF310="Value is calculated with prices",(IF(SUMIFS(Q:Q,A:A,A310)&gt;0,SUMIFS(Q:Q,A:A,A310),"."))/VLOOKUP("USD",'Exchange Rates'!B:C,2,0),"Error with coding"))),"")</f>
        <v/>
      </c>
      <c r="U310" s="1184" t="s">
        <v>365</v>
      </c>
      <c r="V310" s="974" t="s">
        <v>1251</v>
      </c>
      <c r="W310" s="974" t="s">
        <v>1252</v>
      </c>
      <c r="X310" s="974" t="s">
        <v>1253</v>
      </c>
      <c r="Y310" s="992" t="s">
        <v>1254</v>
      </c>
      <c r="Z310" s="1184">
        <v>0</v>
      </c>
      <c r="AA310" s="1194">
        <v>0</v>
      </c>
      <c r="AB310" s="977" t="s">
        <v>1255</v>
      </c>
      <c r="AC310" s="1192" t="str">
        <f>""</f>
        <v/>
      </c>
      <c r="AD310" s="985">
        <v>0</v>
      </c>
      <c r="AE310" s="985" t="s">
        <v>368</v>
      </c>
      <c r="AF310" s="985" t="s">
        <v>368</v>
      </c>
      <c r="AG310" s="985">
        <v>1</v>
      </c>
      <c r="AH310" s="985">
        <v>5</v>
      </c>
      <c r="AI310" s="985">
        <v>0</v>
      </c>
      <c r="AJ310" s="1193">
        <f>VLOOKUP($I310,'Price List, Weapons &amp; Items'!B:F,5,0)</f>
        <v>0</v>
      </c>
      <c r="AK310" s="1193">
        <f t="shared" si="68"/>
        <v>0</v>
      </c>
      <c r="AL310" s="1193">
        <f t="shared" si="69"/>
        <v>0</v>
      </c>
      <c r="AM310" s="1193">
        <f t="shared" si="70"/>
        <v>0</v>
      </c>
      <c r="AN310" s="1194" t="str">
        <f>VLOOKUP($I310,'Price List, Weapons &amp; Items'!B:L,COLUMN('Price List, Weapons &amp; Items'!$J$11)-1,0)</f>
        <v>Miscellaneous</v>
      </c>
      <c r="AO310" s="1194" t="str">
        <f>IF(I310=".",".",VLOOKUP($I310,'Price List, Weapons &amp; Items'!B:J,3,0))</f>
        <v>missile</v>
      </c>
      <c r="AP310" s="1195" t="str">
        <f t="shared" ca="1" si="64"/>
        <v/>
      </c>
      <c r="AQ310" s="1194" t="str">
        <f>VLOOKUP($I310,'Price List, Weapons &amp; Items'!B:L,COLUMN('Price List, Weapons &amp; Items'!$L$11)-1,0)</f>
        <v>no price, 0 count</v>
      </c>
      <c r="AR310" s="1194">
        <f t="shared" si="71"/>
        <v>1</v>
      </c>
      <c r="AS310" s="1194">
        <f t="shared" si="72"/>
        <v>1</v>
      </c>
      <c r="AT310" s="1194" t="str">
        <f t="shared" si="73"/>
        <v>Value is not in date format</v>
      </c>
      <c r="AU310" s="1194" t="str">
        <f t="shared" si="74"/>
        <v>.</v>
      </c>
      <c r="AV310" s="1194" t="str">
        <f t="shared" si="65"/>
        <v>.</v>
      </c>
      <c r="AW310" s="1194" t="str">
        <f t="shared" si="75"/>
        <v>.</v>
      </c>
      <c r="AX310" s="1194">
        <f>IFERROR(VLOOKUP(B310,'Share, Heavy Weapons to Ukraine'!B:Z,COLUMN('Share, Heavy Weapons to Ukraine'!C320)-1,0),0)</f>
        <v>0</v>
      </c>
      <c r="AY310" s="1194">
        <f>VLOOKUP('Bilateral Assistance, MAIN DATA'!B310,'Country Summary (€)'!B:F,COLUMN('Country Summary (€)'!C321)-1,FALSE)</f>
        <v>1</v>
      </c>
      <c r="AZ310" s="1194" t="str">
        <f>IF(AND(AD310=1,D310="Military",H310&lt;&gt;"Not given")=TRUE,IF(SUMIFS(P:P,A:A,A310)&gt;0,ABS((SUMIFS(P:P,A:A,A310)/VLOOKUP("USD",'Exchange Rates'!B:C,2,0)))/S310,"."),".")</f>
        <v>.</v>
      </c>
      <c r="BA310" s="1196" t="str">
        <f>IF(AND(AD310=1,D310="Military",H310&lt;&gt;"Not given")=TRUE,IF(SUMIFS(P:P,A:A,A310)&gt;0,IF((ABS((SUMIFS(P:P,A:A,A310)/VLOOKUP("USD",'Exchange Rates'!B:C,2,0)))/S310)&gt;1,(SUMIFS(P:P,A:A,A310)-S310)/S310,(S310-SUMIFS(P:P,A:A,A310))/SUMIFS(P:P,A:A,A310)),"."),".")</f>
        <v>.</v>
      </c>
    </row>
    <row r="311" spans="1:71" ht="15.95" customHeight="1">
      <c r="A311" s="1182" t="s">
        <v>1247</v>
      </c>
      <c r="B311" s="1182" t="s">
        <v>1194</v>
      </c>
      <c r="C311" s="1181" t="s">
        <v>1248</v>
      </c>
      <c r="D311" s="1182" t="s">
        <v>389</v>
      </c>
      <c r="E311" s="1182" t="s">
        <v>443</v>
      </c>
      <c r="F311" s="1183" t="s">
        <v>1249</v>
      </c>
      <c r="G311" s="1184" t="s">
        <v>1197</v>
      </c>
      <c r="H311" s="1185">
        <v>1000000000</v>
      </c>
      <c r="I311" s="1180" t="s">
        <v>694</v>
      </c>
      <c r="J311" s="1186" t="str">
        <f>VLOOKUP($I311,'Price List, Weapons &amp; Items'!B:C,2,0)</f>
        <v>Military equipment</v>
      </c>
      <c r="K311" s="1186" t="str">
        <f>IF(I311=".",I311,VLOOKUP($I311,'Price List, Weapons &amp; Items'!B:D,3,0))</f>
        <v>Military equipment</v>
      </c>
      <c r="L311" s="1187">
        <f>VLOOKUP(I311,'Price List, Weapons &amp; Items'!B:E,4,0)</f>
        <v>0</v>
      </c>
      <c r="M311" s="1188" t="s">
        <v>374</v>
      </c>
      <c r="N311" s="1188" t="s">
        <v>374</v>
      </c>
      <c r="O311" s="1188">
        <f>VLOOKUP($I311,'Price List, Weapons &amp; Items'!B:G,6,0)</f>
        <v>500</v>
      </c>
      <c r="P311" s="1185" t="str">
        <f t="shared" si="66"/>
        <v>.</v>
      </c>
      <c r="Q311" s="1185" t="str">
        <f t="shared" si="67"/>
        <v>.</v>
      </c>
      <c r="R311" s="1185" t="str">
        <f t="shared" si="63"/>
        <v/>
      </c>
      <c r="S311" s="1185" t="str">
        <f>IF(AND(AD311=1,R311&lt;&gt;".")=TRUE,R311/VLOOKUP(G311,'Exchange Rates'!B:C,2,0),IF(R311=".",".",""))</f>
        <v/>
      </c>
      <c r="T311" s="1185" t="str">
        <f>IF(AD311=1,IF(AF311="Value is not given at all",".",IF(AF311="Value is given by the source",S311,IF(AF311="Value is calculated with prices",(IF(SUMIFS(Q:Q,A:A,A311)&gt;0,SUMIFS(Q:Q,A:A,A311),"."))/VLOOKUP("USD",'Exchange Rates'!B:C,2,0),"Error with coding"))),"")</f>
        <v/>
      </c>
      <c r="U311" s="1184" t="s">
        <v>365</v>
      </c>
      <c r="V311" s="974" t="s">
        <v>1251</v>
      </c>
      <c r="W311" s="974" t="s">
        <v>1252</v>
      </c>
      <c r="X311" s="974" t="s">
        <v>1253</v>
      </c>
      <c r="Y311" s="992" t="s">
        <v>1254</v>
      </c>
      <c r="Z311" s="1184">
        <v>0</v>
      </c>
      <c r="AA311" s="1194">
        <v>0</v>
      </c>
      <c r="AB311" s="1000" t="s">
        <v>364</v>
      </c>
      <c r="AC311" s="1192" t="str">
        <f>""</f>
        <v/>
      </c>
      <c r="AD311" s="985">
        <v>0</v>
      </c>
      <c r="AE311" s="985" t="s">
        <v>368</v>
      </c>
      <c r="AF311" s="985" t="s">
        <v>368</v>
      </c>
      <c r="AG311" s="985">
        <v>1</v>
      </c>
      <c r="AH311" s="985">
        <v>5</v>
      </c>
      <c r="AI311" s="985">
        <v>0</v>
      </c>
      <c r="AJ311" s="1193">
        <f>VLOOKUP($I311,'Price List, Weapons &amp; Items'!B:F,5,0)</f>
        <v>0</v>
      </c>
      <c r="AK311" s="1193">
        <f t="shared" si="68"/>
        <v>0</v>
      </c>
      <c r="AL311" s="1193">
        <f t="shared" si="69"/>
        <v>0</v>
      </c>
      <c r="AM311" s="1193">
        <f t="shared" si="70"/>
        <v>0</v>
      </c>
      <c r="AN311" s="1194" t="str">
        <f>VLOOKUP($I311,'Price List, Weapons &amp; Items'!B:L,COLUMN('Price List, Weapons &amp; Items'!$J$11)-1,0)</f>
        <v>Military media (incl. websites)</v>
      </c>
      <c r="AO311" s="1194" t="str">
        <f>IF(I311=".",".",VLOOKUP($I311,'Price List, Weapons &amp; Items'!B:J,3,0))</f>
        <v>Military equipment</v>
      </c>
      <c r="AP311" s="1195" t="str">
        <f t="shared" ca="1" si="64"/>
        <v/>
      </c>
      <c r="AQ311" s="1194">
        <f>VLOOKUP($I311,'Price List, Weapons &amp; Items'!B:L,COLUMN('Price List, Weapons &amp; Items'!$L$11)-1,0)</f>
        <v>2</v>
      </c>
      <c r="AR311" s="1194">
        <f t="shared" si="71"/>
        <v>1</v>
      </c>
      <c r="AS311" s="1194">
        <f t="shared" si="72"/>
        <v>1</v>
      </c>
      <c r="AT311" s="1194" t="str">
        <f t="shared" si="73"/>
        <v>Value is not in date format</v>
      </c>
      <c r="AU311" s="1194" t="str">
        <f t="shared" si="74"/>
        <v>.</v>
      </c>
      <c r="AV311" s="1194" t="str">
        <f t="shared" si="65"/>
        <v>.</v>
      </c>
      <c r="AW311" s="1194" t="str">
        <f t="shared" si="75"/>
        <v>.</v>
      </c>
      <c r="AX311" s="1194">
        <f>IFERROR(VLOOKUP(B311,'Share, Heavy Weapons to Ukraine'!B:Z,COLUMN('Share, Heavy Weapons to Ukraine'!C321)-1,0),0)</f>
        <v>0</v>
      </c>
      <c r="AY311" s="1194">
        <f>VLOOKUP('Bilateral Assistance, MAIN DATA'!B311,'Country Summary (€)'!B:F,COLUMN('Country Summary (€)'!C322)-1,FALSE)</f>
        <v>1</v>
      </c>
      <c r="AZ311" s="1194" t="str">
        <f>IF(AND(AD311=1,D311="Military",H311&lt;&gt;"Not given")=TRUE,IF(SUMIFS(P:P,A:A,A311)&gt;0,ABS((SUMIFS(P:P,A:A,A311)/VLOOKUP("USD",'Exchange Rates'!B:C,2,0)))/S311,"."),".")</f>
        <v>.</v>
      </c>
      <c r="BA311" s="1196" t="str">
        <f>IF(AND(AD311=1,D311="Military",H311&lt;&gt;"Not given")=TRUE,IF(SUMIFS(P:P,A:A,A311)&gt;0,IF((ABS((SUMIFS(P:P,A:A,A311)/VLOOKUP("USD",'Exchange Rates'!B:C,2,0)))/S311)&gt;1,(SUMIFS(P:P,A:A,A311)-S311)/S311,(S311-SUMIFS(P:P,A:A,A311))/SUMIFS(P:P,A:A,A311)),"."),".")</f>
        <v>.</v>
      </c>
    </row>
    <row r="312" spans="1:71" ht="15.95" customHeight="1">
      <c r="A312" s="1182" t="s">
        <v>1257</v>
      </c>
      <c r="B312" s="1182" t="s">
        <v>1194</v>
      </c>
      <c r="C312" s="1181">
        <v>44784</v>
      </c>
      <c r="D312" s="1182" t="s">
        <v>389</v>
      </c>
      <c r="E312" s="1182" t="s">
        <v>1258</v>
      </c>
      <c r="F312" s="1183" t="s">
        <v>1259</v>
      </c>
      <c r="G312" s="1184" t="s">
        <v>1197</v>
      </c>
      <c r="H312" s="1185">
        <v>820000000</v>
      </c>
      <c r="I312" s="1180" t="s">
        <v>1260</v>
      </c>
      <c r="J312" s="1186" t="str">
        <f>VLOOKUP($I312,'Price List, Weapons &amp; Items'!B:C,2,0)</f>
        <v>Heavy weapon</v>
      </c>
      <c r="K312" s="1186" t="str">
        <f>IF(I312=".",I312,VLOOKUP($I312,'Price List, Weapons &amp; Items'!B:D,3,0))</f>
        <v>155mm howitzer</v>
      </c>
      <c r="L312" s="1187">
        <f>VLOOKUP(I312,'Price List, Weapons &amp; Items'!B:E,4,0)</f>
        <v>1</v>
      </c>
      <c r="M312" s="1188">
        <f>16/3</f>
        <v>5.333333333333333</v>
      </c>
      <c r="N312" s="1188" t="s">
        <v>374</v>
      </c>
      <c r="O312" s="1188">
        <f>VLOOKUP($I312,'Price List, Weapons &amp; Items'!B:G,6,0)</f>
        <v>8661378.4511823338</v>
      </c>
      <c r="P312" s="1185">
        <f t="shared" si="66"/>
        <v>46194018.406305775</v>
      </c>
      <c r="Q312" s="1185" t="str">
        <f t="shared" si="67"/>
        <v>.</v>
      </c>
      <c r="R312" s="1185">
        <f t="shared" si="63"/>
        <v>820000000</v>
      </c>
      <c r="S312" s="1185">
        <f>IF(AND(AD312=1,R312&lt;&gt;".")=TRUE,R312/VLOOKUP(G312,'Exchange Rates'!B:C,2,0),IF(R312=".",".",""))</f>
        <v>110089279.72074914</v>
      </c>
      <c r="T312" s="1185" t="str">
        <f>IF(AD312=1,IF(AF312="Value is not given at all",".",IF(AF312="Value is given by the source",S312,IF(AF312="Value is calculated with prices",(IF(SUMIFS(Q:Q,A:A,A312)&gt;0,SUMIFS(Q:Q,A:A,A312),"."))/VLOOKUP("USD",'Exchange Rates'!B:C,2,0),"Error with coding"))),"")</f>
        <v>.</v>
      </c>
      <c r="U312" s="1184" t="s">
        <v>365</v>
      </c>
      <c r="V312" s="974" t="s">
        <v>1261</v>
      </c>
      <c r="W312" s="974" t="s">
        <v>1262</v>
      </c>
      <c r="X312" s="974" t="s">
        <v>1263</v>
      </c>
      <c r="Y312" s="992" t="s">
        <v>1236</v>
      </c>
      <c r="Z312" s="1184">
        <v>0</v>
      </c>
      <c r="AA312" s="1194">
        <v>0</v>
      </c>
      <c r="AB312" s="1000" t="s">
        <v>364</v>
      </c>
      <c r="AC312" s="1192" t="str">
        <f>""</f>
        <v/>
      </c>
      <c r="AD312" s="985">
        <v>1</v>
      </c>
      <c r="AE312" s="985" t="s">
        <v>368</v>
      </c>
      <c r="AF312" s="985" t="s">
        <v>369</v>
      </c>
      <c r="AG312" s="985">
        <v>1</v>
      </c>
      <c r="AH312" s="985">
        <v>8</v>
      </c>
      <c r="AI312" s="985">
        <v>0</v>
      </c>
      <c r="AJ312" s="1193">
        <f>VLOOKUP($I312,'Price List, Weapons &amp; Items'!B:F,5,0)</f>
        <v>1</v>
      </c>
      <c r="AK312" s="1193">
        <f t="shared" si="68"/>
        <v>0</v>
      </c>
      <c r="AL312" s="1193">
        <f t="shared" si="69"/>
        <v>1</v>
      </c>
      <c r="AM312" s="1193">
        <f t="shared" si="70"/>
        <v>0</v>
      </c>
      <c r="AN312" s="1194" t="str">
        <f>VLOOKUP($I312,'Price List, Weapons &amp; Items'!B:L,COLUMN('Price List, Weapons &amp; Items'!$J$11)-1,0)</f>
        <v>Government information</v>
      </c>
      <c r="AO312" s="1194" t="str">
        <f>IF(I312=".",".",VLOOKUP($I312,'Price List, Weapons &amp; Items'!B:J,3,0))</f>
        <v>155mm howitzer</v>
      </c>
      <c r="AP312" s="1195" t="str">
        <f t="shared" ca="1" si="64"/>
        <v>Zusana-2 howitzer</v>
      </c>
      <c r="AQ312" s="1194">
        <f>VLOOKUP($I312,'Price List, Weapons &amp; Items'!B:L,COLUMN('Price List, Weapons &amp; Items'!$L$11)-1,0)</f>
        <v>2</v>
      </c>
      <c r="AR312" s="1194">
        <f t="shared" si="71"/>
        <v>1</v>
      </c>
      <c r="AS312" s="1194">
        <f t="shared" si="72"/>
        <v>1</v>
      </c>
      <c r="AT312" s="1194">
        <f t="shared" si="73"/>
        <v>1</v>
      </c>
      <c r="AU312" s="1194" t="str">
        <f t="shared" si="74"/>
        <v>.</v>
      </c>
      <c r="AV312" s="1194" t="str">
        <f t="shared" si="65"/>
        <v>.</v>
      </c>
      <c r="AW312" s="1194" t="str">
        <f t="shared" si="75"/>
        <v>.</v>
      </c>
      <c r="AX312" s="1194">
        <f>IFERROR(VLOOKUP(B312,'Share, Heavy Weapons to Ukraine'!B:Z,COLUMN('Share, Heavy Weapons to Ukraine'!C322)-1,0),0)</f>
        <v>0</v>
      </c>
      <c r="AY312" s="1194">
        <f>VLOOKUP('Bilateral Assistance, MAIN DATA'!B312,'Country Summary (€)'!B:F,COLUMN('Country Summary (€)'!C323)-1,FALSE)</f>
        <v>1</v>
      </c>
      <c r="AZ312" s="1194">
        <f>IF(AND(AD312=1,D312="Military",H312&lt;&gt;"Not given")=TRUE,IF(SUMIFS(P:P,A:A,A312)&gt;0,ABS((SUMIFS(P:P,A:A,A312)/VLOOKUP("USD",'Exchange Rates'!B:C,2,0)))/S312,"."),".")</f>
        <v>0.38609224900509953</v>
      </c>
      <c r="BA312" s="1196">
        <f>IF(AND(AD312=1,D312="Military",H312&lt;&gt;"Not given")=TRUE,IF(SUMIFS(P:P,A:A,A312)&gt;0,IF((ABS((SUMIFS(P:P,A:A,A312)/VLOOKUP("USD",'Exchange Rates'!B:C,2,0)))/S312)&gt;1,(SUMIFS(P:P,A:A,A312)-S312)/S312,(S312-SUMIFS(P:P,A:A,A312))/SUMIFS(P:P,A:A,A312)),"."),".")</f>
        <v>1.383193398600743</v>
      </c>
    </row>
    <row r="313" spans="1:71" ht="15.95" customHeight="1">
      <c r="A313" s="1182" t="s">
        <v>1264</v>
      </c>
      <c r="B313" s="1182" t="s">
        <v>1194</v>
      </c>
      <c r="C313" s="1181" t="s">
        <v>1265</v>
      </c>
      <c r="D313" s="1182" t="s">
        <v>389</v>
      </c>
      <c r="E313" s="1182" t="s">
        <v>1258</v>
      </c>
      <c r="F313" s="1183" t="s">
        <v>1266</v>
      </c>
      <c r="G313" s="1184" t="s">
        <v>1197</v>
      </c>
      <c r="H313" s="1185">
        <v>974000000</v>
      </c>
      <c r="I313" s="1180" t="s">
        <v>364</v>
      </c>
      <c r="J313" s="1186" t="str">
        <f>VLOOKUP($I313,'Price List, Weapons &amp; Items'!B:C,2,0)</f>
        <v>.</v>
      </c>
      <c r="K313" s="1186" t="str">
        <f>IF(I313=".",I313,VLOOKUP($I313,'Price List, Weapons &amp; Items'!B:D,3,0))</f>
        <v>.</v>
      </c>
      <c r="L313" s="1187">
        <f>VLOOKUP(I313,'Price List, Weapons &amp; Items'!B:E,4,0)</f>
        <v>0</v>
      </c>
      <c r="M313" s="1188" t="s">
        <v>364</v>
      </c>
      <c r="N313" s="1188" t="s">
        <v>364</v>
      </c>
      <c r="O313" s="1188" t="str">
        <f>VLOOKUP($I313,'Price List, Weapons &amp; Items'!B:G,6,0)</f>
        <v>.</v>
      </c>
      <c r="P313" s="1185" t="str">
        <f t="shared" si="66"/>
        <v>.</v>
      </c>
      <c r="Q313" s="1185" t="str">
        <f t="shared" si="67"/>
        <v>.</v>
      </c>
      <c r="R313" s="1185">
        <f t="shared" si="63"/>
        <v>974000000</v>
      </c>
      <c r="S313" s="1185">
        <f>IF(AND(AD313=1,R313&lt;&gt;".")=TRUE,R313/VLOOKUP(G313,'Exchange Rates'!B:C,2,0),IF(R313=".",".",""))</f>
        <v>130764583.47318251</v>
      </c>
      <c r="T313" s="1185" t="str">
        <f>IF(AD313=1,IF(AF313="Value is not given at all",".",IF(AF313="Value is given by the source",S313,IF(AF313="Value is calculated with prices",(IF(SUMIFS(Q:Q,A:A,A313)&gt;0,SUMIFS(Q:Q,A:A,A313),"."))/VLOOKUP("USD",'Exchange Rates'!B:C,2,0),"Error with coding"))),"")</f>
        <v>.</v>
      </c>
      <c r="U313" s="1184" t="s">
        <v>365</v>
      </c>
      <c r="V313" s="1017" t="s">
        <v>1199</v>
      </c>
      <c r="W313" s="986" t="s">
        <v>364</v>
      </c>
      <c r="X313" s="986" t="s">
        <v>364</v>
      </c>
      <c r="Y313" s="981" t="s">
        <v>364</v>
      </c>
      <c r="Z313" s="1184">
        <v>0</v>
      </c>
      <c r="AA313" s="1194">
        <v>0</v>
      </c>
      <c r="AB313" s="1000" t="s">
        <v>364</v>
      </c>
      <c r="AC313" s="1192" t="str">
        <f>""</f>
        <v/>
      </c>
      <c r="AD313" s="985">
        <v>1</v>
      </c>
      <c r="AE313" s="985" t="s">
        <v>368</v>
      </c>
      <c r="AF313" s="985" t="s">
        <v>369</v>
      </c>
      <c r="AG313" s="985">
        <v>1</v>
      </c>
      <c r="AH313" s="985">
        <v>9</v>
      </c>
      <c r="AI313" s="985">
        <v>0</v>
      </c>
      <c r="AJ313" s="1193">
        <f>VLOOKUP($I313,'Price List, Weapons &amp; Items'!B:F,5,0)</f>
        <v>0</v>
      </c>
      <c r="AK313" s="1193">
        <f t="shared" si="68"/>
        <v>0</v>
      </c>
      <c r="AL313" s="1193">
        <f t="shared" si="69"/>
        <v>0</v>
      </c>
      <c r="AM313" s="1193">
        <f t="shared" si="70"/>
        <v>0</v>
      </c>
      <c r="AN313" s="1194" t="str">
        <f>VLOOKUP($I313,'Price List, Weapons &amp; Items'!B:L,COLUMN('Price List, Weapons &amp; Items'!$J$11)-1,0)</f>
        <v>.</v>
      </c>
      <c r="AO313" s="1194" t="str">
        <f>IF(I313=".",".",VLOOKUP($I313,'Price List, Weapons &amp; Items'!B:J,3,0))</f>
        <v>.</v>
      </c>
      <c r="AP313" s="1195" t="str">
        <f t="shared" ca="1" si="64"/>
        <v>.</v>
      </c>
      <c r="AQ313" s="1194">
        <f>VLOOKUP($I313,'Price List, Weapons &amp; Items'!B:L,COLUMN('Price List, Weapons &amp; Items'!$L$11)-1,0)</f>
        <v>0</v>
      </c>
      <c r="AR313" s="1194">
        <f t="shared" si="71"/>
        <v>1</v>
      </c>
      <c r="AS313" s="1194">
        <f t="shared" si="72"/>
        <v>1</v>
      </c>
      <c r="AT313" s="1194" t="str">
        <f t="shared" si="73"/>
        <v>Value is not in date format</v>
      </c>
      <c r="AU313" s="1194" t="str">
        <f t="shared" si="74"/>
        <v>.</v>
      </c>
      <c r="AV313" s="1194" t="str">
        <f t="shared" si="65"/>
        <v>.</v>
      </c>
      <c r="AW313" s="1194" t="str">
        <f t="shared" si="75"/>
        <v>.</v>
      </c>
      <c r="AX313" s="1194">
        <f>IFERROR(VLOOKUP(B313,'Share, Heavy Weapons to Ukraine'!B:Z,COLUMN('Share, Heavy Weapons to Ukraine'!C323)-1,0),0)</f>
        <v>0</v>
      </c>
      <c r="AY313" s="1194">
        <f>VLOOKUP('Bilateral Assistance, MAIN DATA'!B313,'Country Summary (€)'!B:F,COLUMN('Country Summary (€)'!C324)-1,FALSE)</f>
        <v>1</v>
      </c>
      <c r="AZ313" s="1194" t="str">
        <f>IF(AND(AD313=1,D313="Military",H313&lt;&gt;"Not given")=TRUE,IF(SUMIFS(P:P,A:A,A313)&gt;0,ABS((SUMIFS(P:P,A:A,A313)/VLOOKUP("USD",'Exchange Rates'!B:C,2,0)))/S313,"."),".")</f>
        <v>.</v>
      </c>
      <c r="BA313" s="1196" t="str">
        <f>IF(AND(AD313=1,D313="Military",H313&lt;&gt;"Not given")=TRUE,IF(SUMIFS(P:P,A:A,A313)&gt;0,IF((ABS((SUMIFS(P:P,A:A,A313)/VLOOKUP("USD",'Exchange Rates'!B:C,2,0)))/S313)&gt;1,(SUMIFS(P:P,A:A,A313)-S313)/S313,(S313-SUMIFS(P:P,A:A,A313))/SUMIFS(P:P,A:A,A313)),"."),".")</f>
        <v>.</v>
      </c>
    </row>
    <row r="314" spans="1:71" ht="15.95" customHeight="1">
      <c r="A314" s="1208" t="s">
        <v>1267</v>
      </c>
      <c r="B314" s="1208" t="s">
        <v>1194</v>
      </c>
      <c r="C314" s="1209">
        <v>44916</v>
      </c>
      <c r="D314" s="1208" t="s">
        <v>389</v>
      </c>
      <c r="E314" s="1208" t="s">
        <v>1258</v>
      </c>
      <c r="F314" s="1208" t="s">
        <v>1268</v>
      </c>
      <c r="G314" s="1184" t="s">
        <v>483</v>
      </c>
      <c r="H314" s="1208">
        <v>42800000</v>
      </c>
      <c r="I314" s="1208" t="s">
        <v>364</v>
      </c>
      <c r="J314" s="1186" t="str">
        <f>VLOOKUP($I314,'Price List, Weapons &amp; Items'!B:C,2,0)</f>
        <v>.</v>
      </c>
      <c r="K314" s="1186" t="str">
        <f>IF(I314=".",I314,VLOOKUP($I314,'Price List, Weapons &amp; Items'!B:D,3,0))</f>
        <v>.</v>
      </c>
      <c r="L314" s="1187">
        <f>VLOOKUP(I314,'Price List, Weapons &amp; Items'!B:E,4,0)</f>
        <v>0</v>
      </c>
      <c r="M314" s="1241" t="s">
        <v>364</v>
      </c>
      <c r="N314" s="1211" t="s">
        <v>364</v>
      </c>
      <c r="O314" s="1188" t="str">
        <f>VLOOKUP($I314,'Price List, Weapons &amp; Items'!B:G,6,0)</f>
        <v>.</v>
      </c>
      <c r="P314" s="1185" t="str">
        <f t="shared" si="66"/>
        <v>.</v>
      </c>
      <c r="Q314" s="1185" t="str">
        <f t="shared" si="67"/>
        <v>.</v>
      </c>
      <c r="R314" s="1185">
        <f t="shared" si="63"/>
        <v>42800000</v>
      </c>
      <c r="S314" s="1185">
        <f>IF(AND(AD314=1,R314&lt;&gt;".")=TRUE,R314/VLOOKUP(G314,'Exchange Rates'!B:C,2,0),IF(R314=".",".",""))</f>
        <v>42800000</v>
      </c>
      <c r="T314" s="1185" t="str">
        <f>IF(AD314=1,IF(AF314="Value is not given at all",".",IF(AF314="Value is given by the source",S314,IF(AF314="Value is calculated with prices",(IF(SUMIFS(Q:Q,A:A,A314)&gt;0,SUMIFS(Q:Q,A:A,A314),"."))/VLOOKUP("USD",'Exchange Rates'!B:C,2,0),"Error with coding"))),"")</f>
        <v>.</v>
      </c>
      <c r="U314" s="1184" t="s">
        <v>365</v>
      </c>
      <c r="V314" s="979" t="s">
        <v>1199</v>
      </c>
      <c r="W314" s="979" t="s">
        <v>1269</v>
      </c>
      <c r="X314" s="1208" t="s">
        <v>364</v>
      </c>
      <c r="Y314" s="1208" t="s">
        <v>364</v>
      </c>
      <c r="Z314" s="1184">
        <v>0</v>
      </c>
      <c r="AA314" s="1194">
        <v>0</v>
      </c>
      <c r="AB314" s="1208" t="s">
        <v>364</v>
      </c>
      <c r="AC314" s="1192" t="str">
        <f>""</f>
        <v/>
      </c>
      <c r="AD314" s="985">
        <v>1</v>
      </c>
      <c r="AE314" s="1191" t="s">
        <v>368</v>
      </c>
      <c r="AF314" s="1191" t="s">
        <v>369</v>
      </c>
      <c r="AG314" s="985">
        <v>1</v>
      </c>
      <c r="AH314" s="1191">
        <v>12</v>
      </c>
      <c r="AI314" s="985">
        <v>0</v>
      </c>
      <c r="AJ314" s="1193">
        <f>VLOOKUP($I314,'Price List, Weapons &amp; Items'!B:F,5,0)</f>
        <v>0</v>
      </c>
      <c r="AK314" s="1193">
        <f t="shared" si="68"/>
        <v>0</v>
      </c>
      <c r="AL314" s="1193">
        <f t="shared" si="69"/>
        <v>0</v>
      </c>
      <c r="AM314" s="1193">
        <f t="shared" si="70"/>
        <v>0</v>
      </c>
      <c r="AN314" s="1194" t="str">
        <f>VLOOKUP($I314,'Price List, Weapons &amp; Items'!B:L,COLUMN('Price List, Weapons &amp; Items'!$J$11)-1,0)</f>
        <v>.</v>
      </c>
      <c r="AO314" s="1194" t="str">
        <f>IF(I314=".",".",VLOOKUP($I314,'Price List, Weapons &amp; Items'!B:J,3,0))</f>
        <v>.</v>
      </c>
      <c r="AP314" s="1195" t="str">
        <f t="shared" ca="1" si="64"/>
        <v>.</v>
      </c>
      <c r="AQ314" s="1194">
        <f>VLOOKUP($I314,'Price List, Weapons &amp; Items'!B:L,COLUMN('Price List, Weapons &amp; Items'!$L$11)-1,0)</f>
        <v>0</v>
      </c>
      <c r="AR314" s="1194">
        <f t="shared" si="71"/>
        <v>1</v>
      </c>
      <c r="AS314" s="1194">
        <f t="shared" si="72"/>
        <v>1</v>
      </c>
      <c r="AT314" s="1194">
        <f t="shared" si="73"/>
        <v>1</v>
      </c>
      <c r="AU314" s="1194" t="str">
        <f t="shared" si="74"/>
        <v>.</v>
      </c>
      <c r="AV314" s="1194" t="str">
        <f t="shared" si="65"/>
        <v>.</v>
      </c>
      <c r="AW314" s="1194" t="str">
        <f t="shared" si="75"/>
        <v>.</v>
      </c>
      <c r="AX314" s="1194">
        <f>IFERROR(VLOOKUP(B314,'Share, Heavy Weapons to Ukraine'!B:Z,COLUMN('Share, Heavy Weapons to Ukraine'!C324)-1,0),0)</f>
        <v>0</v>
      </c>
      <c r="AY314" s="1194">
        <f>VLOOKUP('Bilateral Assistance, MAIN DATA'!B314,'Country Summary (€)'!B:F,COLUMN('Country Summary (€)'!C325)-1,FALSE)</f>
        <v>1</v>
      </c>
      <c r="AZ314" s="1194" t="str">
        <f>IF(AND(AD314=1,D314="Military",H314&lt;&gt;"Not given")=TRUE,IF(SUMIFS(P:P,A:A,A314)&gt;0,ABS((SUMIFS(P:P,A:A,A314)/VLOOKUP("USD",'Exchange Rates'!B:C,2,0)))/S314,"."),".")</f>
        <v>.</v>
      </c>
      <c r="BA314" s="1196" t="str">
        <f>IF(AND(AD314=1,D314="Military",H314&lt;&gt;"Not given")=TRUE,IF(SUMIFS(P:P,A:A,A314)&gt;0,IF((ABS((SUMIFS(P:P,A:A,A314)/VLOOKUP("USD",'Exchange Rates'!B:C,2,0)))/S314)&gt;1,(SUMIFS(P:P,A:A,A314)-S314)/S314,(S314-SUMIFS(P:P,A:A,A314))/SUMIFS(P:P,A:A,A314)),"."),".")</f>
        <v>.</v>
      </c>
    </row>
    <row r="315" spans="1:71" ht="15.95" customHeight="1">
      <c r="A315" s="1208" t="s">
        <v>1270</v>
      </c>
      <c r="B315" s="1208" t="s">
        <v>1194</v>
      </c>
      <c r="C315" s="1209">
        <v>44916</v>
      </c>
      <c r="D315" s="1208" t="s">
        <v>389</v>
      </c>
      <c r="E315" s="1208" t="s">
        <v>1258</v>
      </c>
      <c r="F315" s="1208" t="s">
        <v>1271</v>
      </c>
      <c r="G315" s="1184" t="s">
        <v>483</v>
      </c>
      <c r="H315" s="1208">
        <v>10000000</v>
      </c>
      <c r="I315" s="1208" t="s">
        <v>364</v>
      </c>
      <c r="J315" s="1186" t="str">
        <f>VLOOKUP($I315,'Price List, Weapons &amp; Items'!B:C,2,0)</f>
        <v>.</v>
      </c>
      <c r="K315" s="1186" t="str">
        <f>IF(I315=".",I315,VLOOKUP($I315,'Price List, Weapons &amp; Items'!B:D,3,0))</f>
        <v>.</v>
      </c>
      <c r="L315" s="1187">
        <f>VLOOKUP(I315,'Price List, Weapons &amp; Items'!B:E,4,0)</f>
        <v>0</v>
      </c>
      <c r="M315" s="1241" t="s">
        <v>364</v>
      </c>
      <c r="N315" s="1211" t="s">
        <v>364</v>
      </c>
      <c r="O315" s="1188" t="str">
        <f>VLOOKUP($I315,'Price List, Weapons &amp; Items'!B:G,6,0)</f>
        <v>.</v>
      </c>
      <c r="P315" s="1185" t="str">
        <f t="shared" si="66"/>
        <v>.</v>
      </c>
      <c r="Q315" s="1185" t="str">
        <f t="shared" si="67"/>
        <v>.</v>
      </c>
      <c r="R315" s="1185">
        <f t="shared" si="63"/>
        <v>10000000</v>
      </c>
      <c r="S315" s="1185">
        <f>IF(AND(AD315=1,R315&lt;&gt;".")=TRUE,R315/VLOOKUP(G315,'Exchange Rates'!B:C,2,0),IF(R315=".",".",""))</f>
        <v>10000000</v>
      </c>
      <c r="T315" s="1185" t="str">
        <f>IF(AD315=1,IF(AF315="Value is not given at all",".",IF(AF315="Value is given by the source",S315,IF(AF315="Value is calculated with prices",(IF(SUMIFS(Q:Q,A:A,A315)&gt;0,SUMIFS(Q:Q,A:A,A315),"."))/VLOOKUP("USD",'Exchange Rates'!B:C,2,0),"Error with coding"))),"")</f>
        <v>.</v>
      </c>
      <c r="U315" s="1184" t="s">
        <v>365</v>
      </c>
      <c r="V315" s="979" t="s">
        <v>1199</v>
      </c>
      <c r="W315" s="979" t="s">
        <v>1269</v>
      </c>
      <c r="X315" s="1208" t="s">
        <v>364</v>
      </c>
      <c r="Y315" s="1208" t="s">
        <v>364</v>
      </c>
      <c r="Z315" s="1184">
        <v>0</v>
      </c>
      <c r="AA315" s="1194">
        <v>0</v>
      </c>
      <c r="AB315" s="1208" t="s">
        <v>364</v>
      </c>
      <c r="AC315" s="1192" t="str">
        <f>""</f>
        <v/>
      </c>
      <c r="AD315" s="985">
        <v>1</v>
      </c>
      <c r="AE315" s="1191" t="s">
        <v>368</v>
      </c>
      <c r="AF315" s="1191" t="s">
        <v>369</v>
      </c>
      <c r="AG315" s="985">
        <v>1</v>
      </c>
      <c r="AH315" s="1191">
        <v>12</v>
      </c>
      <c r="AI315" s="985">
        <v>0</v>
      </c>
      <c r="AJ315" s="1193">
        <f>VLOOKUP($I315,'Price List, Weapons &amp; Items'!B:F,5,0)</f>
        <v>0</v>
      </c>
      <c r="AK315" s="1193">
        <f t="shared" si="68"/>
        <v>0</v>
      </c>
      <c r="AL315" s="1193">
        <f t="shared" si="69"/>
        <v>0</v>
      </c>
      <c r="AM315" s="1193">
        <f t="shared" si="70"/>
        <v>0</v>
      </c>
      <c r="AN315" s="1194" t="str">
        <f>VLOOKUP($I315,'Price List, Weapons &amp; Items'!B:L,COLUMN('Price List, Weapons &amp; Items'!$J$11)-1,0)</f>
        <v>.</v>
      </c>
      <c r="AO315" s="1194" t="str">
        <f>IF(I315=".",".",VLOOKUP($I315,'Price List, Weapons &amp; Items'!B:J,3,0))</f>
        <v>.</v>
      </c>
      <c r="AP315" s="1195" t="str">
        <f t="shared" ca="1" si="64"/>
        <v>.</v>
      </c>
      <c r="AQ315" s="1194">
        <f>VLOOKUP($I315,'Price List, Weapons &amp; Items'!B:L,COLUMN('Price List, Weapons &amp; Items'!$L$11)-1,0)</f>
        <v>0</v>
      </c>
      <c r="AR315" s="1194">
        <f t="shared" si="71"/>
        <v>1</v>
      </c>
      <c r="AS315" s="1194">
        <f t="shared" si="72"/>
        <v>1</v>
      </c>
      <c r="AT315" s="1194">
        <f t="shared" si="73"/>
        <v>1</v>
      </c>
      <c r="AU315" s="1194" t="str">
        <f t="shared" si="74"/>
        <v>.</v>
      </c>
      <c r="AV315" s="1194" t="str">
        <f t="shared" si="65"/>
        <v>.</v>
      </c>
      <c r="AW315" s="1194" t="str">
        <f t="shared" si="75"/>
        <v>.</v>
      </c>
      <c r="AX315" s="1194">
        <f>IFERROR(VLOOKUP(B315,'Share, Heavy Weapons to Ukraine'!B:Z,COLUMN('Share, Heavy Weapons to Ukraine'!C325)-1,0),0)</f>
        <v>0</v>
      </c>
      <c r="AY315" s="1194">
        <f>VLOOKUP('Bilateral Assistance, MAIN DATA'!B315,'Country Summary (€)'!B:F,COLUMN('Country Summary (€)'!C326)-1,FALSE)</f>
        <v>1</v>
      </c>
      <c r="AZ315" s="1194" t="str">
        <f>IF(AND(AD315=1,D315="Military",H315&lt;&gt;"Not given")=TRUE,IF(SUMIFS(P:P,A:A,A315)&gt;0,ABS((SUMIFS(P:P,A:A,A315)/VLOOKUP("USD",'Exchange Rates'!B:C,2,0)))/S315,"."),".")</f>
        <v>.</v>
      </c>
      <c r="BA315" s="1196" t="str">
        <f>IF(AND(AD315=1,D315="Military",H315&lt;&gt;"Not given")=TRUE,IF(SUMIFS(P:P,A:A,A315)&gt;0,IF((ABS((SUMIFS(P:P,A:A,A315)/VLOOKUP("USD",'Exchange Rates'!B:C,2,0)))/S315)&gt;1,(SUMIFS(P:P,A:A,A315)-S315)/S315,(S315-SUMIFS(P:P,A:A,A315))/SUMIFS(P:P,A:A,A315)),"."),".")</f>
        <v>.</v>
      </c>
    </row>
    <row r="316" spans="1:71" ht="15.95" customHeight="1">
      <c r="A316" s="1208" t="s">
        <v>1272</v>
      </c>
      <c r="B316" s="1208" t="s">
        <v>1194</v>
      </c>
      <c r="C316" s="1209">
        <v>45076</v>
      </c>
      <c r="D316" s="1208" t="s">
        <v>389</v>
      </c>
      <c r="E316" s="1208" t="s">
        <v>390</v>
      </c>
      <c r="F316" s="1208" t="s">
        <v>1273</v>
      </c>
      <c r="G316" s="1184" t="s">
        <v>1197</v>
      </c>
      <c r="H316" s="1185">
        <v>7500000000</v>
      </c>
      <c r="I316" s="1208" t="s">
        <v>364</v>
      </c>
      <c r="J316" s="1186" t="str">
        <f>VLOOKUP($I316,'Price List, Weapons &amp; Items'!B:C,2,0)</f>
        <v>.</v>
      </c>
      <c r="K316" s="1186" t="str">
        <f>IF(I316=".",I316,VLOOKUP($I316,'Price List, Weapons &amp; Items'!B:D,3,0))</f>
        <v>.</v>
      </c>
      <c r="L316" s="1187">
        <f>VLOOKUP(I316,'Price List, Weapons &amp; Items'!B:E,4,0)</f>
        <v>0</v>
      </c>
      <c r="M316" s="1241" t="s">
        <v>364</v>
      </c>
      <c r="N316" s="1211" t="s">
        <v>364</v>
      </c>
      <c r="O316" s="1188" t="str">
        <f>VLOOKUP($I316,'Price List, Weapons &amp; Items'!B:G,6,0)</f>
        <v>.</v>
      </c>
      <c r="P316" s="1185" t="str">
        <f t="shared" si="66"/>
        <v>.</v>
      </c>
      <c r="Q316" s="1185" t="str">
        <f t="shared" si="67"/>
        <v>.</v>
      </c>
      <c r="R316" s="1185">
        <f t="shared" si="63"/>
        <v>7500000000</v>
      </c>
      <c r="S316" s="1185">
        <f>IF(AND(AD316=1,R316&lt;&gt;".")=TRUE,R316/VLOOKUP(G316,'Exchange Rates'!B:C,2,0),IF(R316=".",".",""))</f>
        <v>1006914143.7873397</v>
      </c>
      <c r="T316" s="1185" t="str">
        <f>IF(AD316=1,IF(AF316="Value is not given at all",".",IF(AF316="Value is given by the source",S316,IF(AF316="Value is calculated with prices",(IF(SUMIFS(Q:Q,A:A,A316)&gt;0,SUMIFS(Q:Q,A:A,A316),"."))/VLOOKUP("USD",'Exchange Rates'!B:C,2,0),"Error with coding"))),"")</f>
        <v>.</v>
      </c>
      <c r="U316" s="1191" t="s">
        <v>365</v>
      </c>
      <c r="V316" s="964" t="s">
        <v>1227</v>
      </c>
      <c r="W316" s="983" t="s">
        <v>1228</v>
      </c>
      <c r="X316" s="983" t="s">
        <v>1274</v>
      </c>
      <c r="Y316" s="966" t="s">
        <v>364</v>
      </c>
      <c r="Z316" s="1191">
        <v>0</v>
      </c>
      <c r="AA316" s="1191">
        <v>1</v>
      </c>
      <c r="AB316" s="990" t="s">
        <v>364</v>
      </c>
      <c r="AC316" s="1192" t="str">
        <f>""</f>
        <v/>
      </c>
      <c r="AD316" s="1191">
        <v>1</v>
      </c>
      <c r="AE316" s="1191" t="s">
        <v>368</v>
      </c>
      <c r="AF316" s="1191" t="s">
        <v>369</v>
      </c>
      <c r="AG316" s="1191">
        <v>1</v>
      </c>
      <c r="AH316" s="1191">
        <v>17</v>
      </c>
      <c r="AI316" s="1191">
        <v>0</v>
      </c>
      <c r="AJ316" s="1193">
        <f>VLOOKUP($I316,'Price List, Weapons &amp; Items'!B:F,5,0)</f>
        <v>0</v>
      </c>
      <c r="AK316" s="1193">
        <f t="shared" si="68"/>
        <v>0</v>
      </c>
      <c r="AL316" s="1193">
        <f t="shared" si="69"/>
        <v>0</v>
      </c>
      <c r="AM316" s="1193">
        <f t="shared" si="70"/>
        <v>0</v>
      </c>
      <c r="AN316" s="1194" t="str">
        <f>VLOOKUP($I316,'Price List, Weapons &amp; Items'!B:L,COLUMN('Price List, Weapons &amp; Items'!$J$11)-1,0)</f>
        <v>.</v>
      </c>
      <c r="AO316" s="1194" t="str">
        <f>IF(I316=".",".",VLOOKUP($I316,'Price List, Weapons &amp; Items'!B:J,3,0))</f>
        <v>.</v>
      </c>
      <c r="AP316" s="1195" t="str">
        <f t="shared" ca="1" si="64"/>
        <v>.</v>
      </c>
      <c r="AQ316" s="1194">
        <f>VLOOKUP($I316,'Price List, Weapons &amp; Items'!B:L,COLUMN('Price List, Weapons &amp; Items'!$L$11)-1,0)</f>
        <v>0</v>
      </c>
      <c r="AR316" s="1194">
        <f t="shared" si="71"/>
        <v>1</v>
      </c>
      <c r="AS316" s="1194">
        <f t="shared" si="72"/>
        <v>1</v>
      </c>
      <c r="AT316" s="1194">
        <f t="shared" si="73"/>
        <v>1</v>
      </c>
      <c r="AU316" s="1194" t="str">
        <f t="shared" si="74"/>
        <v>.</v>
      </c>
      <c r="AV316" s="1194" t="str">
        <f t="shared" si="65"/>
        <v>.</v>
      </c>
      <c r="AW316" s="1194" t="str">
        <f t="shared" si="75"/>
        <v>.</v>
      </c>
      <c r="AX316" s="1194">
        <f>IFERROR(VLOOKUP(B316,'Share, Heavy Weapons to Ukraine'!B:Z,COLUMN('Share, Heavy Weapons to Ukraine'!C326)-1,0),0)</f>
        <v>0</v>
      </c>
      <c r="AY316" s="1194">
        <f>VLOOKUP('Bilateral Assistance, MAIN DATA'!B316,'Country Summary (€)'!B:F,COLUMN('Country Summary (€)'!C327)-1,FALSE)</f>
        <v>1</v>
      </c>
      <c r="AZ316" s="1194">
        <f>IF(AND(AD316=1,D316="Military",H316&lt;&gt;"Not given")=TRUE,IF(SUMIFS(P:P,A:A,A316)&gt;0,ABS((SUMIFS(P:P,A:A,A316)/VLOOKUP("USD",'Exchange Rates'!B:C,2,0)))/S316,"."),".")</f>
        <v>3.3492138324973969E-2</v>
      </c>
      <c r="BA316" s="1196">
        <f>IF(AND(AD316=1,D316="Military",H316&lt;&gt;"Not given")=TRUE,IF(SUMIFS(P:P,A:A,A316)&gt;0,IF((ABS((SUMIFS(P:P,A:A,A316)/VLOOKUP("USD",'Exchange Rates'!B:C,2,0)))/S316)&gt;1,(SUMIFS(P:P,A:A,A316)-S316)/S316,(S316-SUMIFS(P:P,A:A,A316))/SUMIFS(P:P,A:A,A316)),"."),".")</f>
        <v>26.47308906203088</v>
      </c>
      <c r="BB316" s="1208"/>
      <c r="BC316" s="1208"/>
      <c r="BD316" s="1208"/>
      <c r="BE316" s="1208"/>
      <c r="BF316" s="1208"/>
      <c r="BG316" s="1208"/>
      <c r="BH316" s="1208"/>
      <c r="BI316" s="1208"/>
      <c r="BJ316" s="1208"/>
      <c r="BK316" s="1208"/>
      <c r="BL316" s="1208"/>
      <c r="BM316" s="1208"/>
      <c r="BN316" s="1208"/>
      <c r="BO316" s="1208"/>
      <c r="BP316" s="1208"/>
      <c r="BQ316" s="1208"/>
      <c r="BR316" s="1208"/>
      <c r="BS316" s="1208"/>
    </row>
    <row r="317" spans="1:71" ht="15.95" customHeight="1">
      <c r="A317" s="1208" t="s">
        <v>1272</v>
      </c>
      <c r="B317" s="1208" t="s">
        <v>1194</v>
      </c>
      <c r="C317" s="1209">
        <v>44933</v>
      </c>
      <c r="D317" s="1208" t="s">
        <v>389</v>
      </c>
      <c r="E317" s="1208" t="s">
        <v>443</v>
      </c>
      <c r="F317" s="1208" t="s">
        <v>1275</v>
      </c>
      <c r="G317" s="1184" t="s">
        <v>483</v>
      </c>
      <c r="H317" s="1185">
        <v>130000000</v>
      </c>
      <c r="I317" s="1208" t="s">
        <v>1276</v>
      </c>
      <c r="J317" s="1186" t="str">
        <f>VLOOKUP($I317,'Price List, Weapons &amp; Items'!B:C,2,0)</f>
        <v>Heavy weapon</v>
      </c>
      <c r="K317" s="1186" t="str">
        <f>IF(I317=".",I317,VLOOKUP($I317,'Price List, Weapons &amp; Items'!B:D,3,0))</f>
        <v>Main Battle Tank (MBT)</v>
      </c>
      <c r="L317" s="1187">
        <f>VLOOKUP(I317,'Price List, Weapons &amp; Items'!B:E,4,0)</f>
        <v>0</v>
      </c>
      <c r="M317" s="1241">
        <f>110/3</f>
        <v>36.666666666666664</v>
      </c>
      <c r="N317" s="1211" t="s">
        <v>374</v>
      </c>
      <c r="O317" s="1188">
        <f>VLOOKUP($I317,'Price List, Weapons &amp; Items'!B:G,6,0)</f>
        <v>582304.68000000005</v>
      </c>
      <c r="P317" s="1185">
        <f t="shared" si="66"/>
        <v>21351171.600000001</v>
      </c>
      <c r="Q317" s="1185" t="str">
        <f t="shared" si="67"/>
        <v>.</v>
      </c>
      <c r="R317" s="1185" t="str">
        <f t="shared" si="63"/>
        <v/>
      </c>
      <c r="S317" s="1185" t="str">
        <f>IF(AND(AD317=1,R317&lt;&gt;".")=TRUE,R317/VLOOKUP(G317,'Exchange Rates'!B:C,2,0),IF(R317=".",".",""))</f>
        <v/>
      </c>
      <c r="T317" s="1185" t="str">
        <f>IF(AD317=1,IF(AF317="Value is not given at all",".",IF(AF317="Value is given by the source",S317,IF(AF317="Value is calculated with prices",(IF(SUMIFS(Q:Q,A:A,A317)&gt;0,SUMIFS(Q:Q,A:A,A317),"."))/VLOOKUP("USD",'Exchange Rates'!B:C,2,0),"Error with coding"))),"")</f>
        <v/>
      </c>
      <c r="U317" s="1191" t="s">
        <v>365</v>
      </c>
      <c r="V317" s="983" t="s">
        <v>1277</v>
      </c>
      <c r="W317" s="983" t="s">
        <v>1278</v>
      </c>
      <c r="X317" s="983" t="s">
        <v>1279</v>
      </c>
      <c r="Y317" s="966" t="s">
        <v>1280</v>
      </c>
      <c r="Z317" s="1191">
        <v>0</v>
      </c>
      <c r="AA317" s="1191">
        <v>0</v>
      </c>
      <c r="AB317" s="990" t="s">
        <v>364</v>
      </c>
      <c r="AC317" s="1192" t="str">
        <f>""</f>
        <v/>
      </c>
      <c r="AD317" s="1191">
        <v>0</v>
      </c>
      <c r="AE317" s="1191" t="s">
        <v>368</v>
      </c>
      <c r="AF317" s="1191" t="s">
        <v>436</v>
      </c>
      <c r="AG317" s="1191">
        <v>1</v>
      </c>
      <c r="AH317" s="1191">
        <v>13</v>
      </c>
      <c r="AI317" s="1191">
        <v>0</v>
      </c>
      <c r="AJ317" s="1193">
        <f>VLOOKUP($I317,'Price List, Weapons &amp; Items'!B:F,5,0)</f>
        <v>1</v>
      </c>
      <c r="AK317" s="1193">
        <f t="shared" si="68"/>
        <v>0</v>
      </c>
      <c r="AL317" s="1193">
        <f t="shared" si="69"/>
        <v>1</v>
      </c>
      <c r="AM317" s="1193">
        <f t="shared" si="70"/>
        <v>0</v>
      </c>
      <c r="AN317" s="1194" t="str">
        <f>VLOOKUP($I317,'Price List, Weapons &amp; Items'!B:L,COLUMN('Price List, Weapons &amp; Items'!$J$11)-1,0)</f>
        <v>Contracts</v>
      </c>
      <c r="AO317" s="1194" t="str">
        <f>IF(I317=".",".",VLOOKUP($I317,'Price List, Weapons &amp; Items'!B:J,3,0))</f>
        <v>Main Battle Tank (MBT)</v>
      </c>
      <c r="AP317" s="1195" t="str">
        <f t="shared" ca="1" si="64"/>
        <v/>
      </c>
      <c r="AQ317" s="1194">
        <f>VLOOKUP($I317,'Price List, Weapons &amp; Items'!B:L,COLUMN('Price List, Weapons &amp; Items'!$L$11)-1,0)</f>
        <v>2</v>
      </c>
      <c r="AR317" s="1194">
        <f t="shared" si="71"/>
        <v>1</v>
      </c>
      <c r="AS317" s="1194">
        <f t="shared" si="72"/>
        <v>1</v>
      </c>
      <c r="AT317" s="1194">
        <f t="shared" si="73"/>
        <v>1</v>
      </c>
      <c r="AU317" s="1194" t="str">
        <f t="shared" si="74"/>
        <v>.</v>
      </c>
      <c r="AV317" s="1194" t="str">
        <f t="shared" si="65"/>
        <v>.</v>
      </c>
      <c r="AW317" s="1194" t="str">
        <f t="shared" si="75"/>
        <v>.</v>
      </c>
      <c r="AX317" s="1194">
        <f>IFERROR(VLOOKUP(B317,'Share, Heavy Weapons to Ukraine'!B:Z,COLUMN('Share, Heavy Weapons to Ukraine'!C327)-1,0),0)</f>
        <v>0</v>
      </c>
      <c r="AY317" s="1194">
        <f>VLOOKUP('Bilateral Assistance, MAIN DATA'!B317,'Country Summary (€)'!B:F,COLUMN('Country Summary (€)'!C328)-1,FALSE)</f>
        <v>1</v>
      </c>
      <c r="AZ317" s="1194" t="str">
        <f>IF(AND(AD317=1,D317="Military",H317&lt;&gt;"Not given")=TRUE,IF(SUMIFS(P:P,A:A,A317)&gt;0,ABS((SUMIFS(P:P,A:A,A317)/VLOOKUP("USD",'Exchange Rates'!B:C,2,0)))/S317,"."),".")</f>
        <v>.</v>
      </c>
      <c r="BA317" s="1196" t="str">
        <f>IF(AND(AD317=1,D317="Military",H317&lt;&gt;"Not given")=TRUE,IF(SUMIFS(P:P,A:A,A317)&gt;0,IF((ABS((SUMIFS(P:P,A:A,A317)/VLOOKUP("USD",'Exchange Rates'!B:C,2,0)))/S317)&gt;1,(SUMIFS(P:P,A:A,A317)-S317)/S317,(S317-SUMIFS(P:P,A:A,A317))/SUMIFS(P:P,A:A,A317)),"."),".")</f>
        <v>.</v>
      </c>
      <c r="BB317" s="1208"/>
      <c r="BC317" s="1208"/>
      <c r="BD317" s="1208"/>
      <c r="BE317" s="1208"/>
      <c r="BF317" s="1208"/>
      <c r="BG317" s="1208"/>
      <c r="BH317" s="1208"/>
      <c r="BI317" s="1208"/>
      <c r="BJ317" s="1208"/>
      <c r="BK317" s="1208"/>
      <c r="BL317" s="1208"/>
      <c r="BM317" s="1208"/>
      <c r="BN317" s="1208"/>
      <c r="BO317" s="1208"/>
      <c r="BP317" s="1208"/>
      <c r="BQ317" s="1208"/>
      <c r="BR317" s="1208"/>
      <c r="BS317" s="1208"/>
    </row>
    <row r="318" spans="1:71" ht="15.95" customHeight="1">
      <c r="A318" s="1208" t="s">
        <v>1281</v>
      </c>
      <c r="B318" s="1208" t="s">
        <v>1194</v>
      </c>
      <c r="C318" s="1209">
        <v>44945</v>
      </c>
      <c r="D318" s="1208" t="s">
        <v>389</v>
      </c>
      <c r="E318" s="1208" t="s">
        <v>443</v>
      </c>
      <c r="F318" s="1208" t="s">
        <v>1282</v>
      </c>
      <c r="G318" s="1184" t="s">
        <v>456</v>
      </c>
      <c r="H318" s="1211" t="s">
        <v>457</v>
      </c>
      <c r="I318" s="1208" t="s">
        <v>1283</v>
      </c>
      <c r="J318" s="1186" t="str">
        <f>VLOOKUP($I318,'Price List, Weapons &amp; Items'!B:C,2,0)</f>
        <v>Heavy weapon</v>
      </c>
      <c r="K318" s="1186" t="str">
        <f>IF(I318=".",I318,VLOOKUP($I318,'Price List, Weapons &amp; Items'!B:D,3,0))</f>
        <v>155mm howitzer</v>
      </c>
      <c r="L318" s="1187">
        <f>VLOOKUP(I318,'Price List, Weapons &amp; Items'!B:E,4,0)</f>
        <v>0</v>
      </c>
      <c r="M318" s="1241">
        <v>19</v>
      </c>
      <c r="N318" s="1211">
        <v>19</v>
      </c>
      <c r="O318" s="1188">
        <f>VLOOKUP($I318,'Price List, Weapons &amp; Items'!B:G,6,0)</f>
        <v>6345668.5229201708</v>
      </c>
      <c r="P318" s="1185">
        <f t="shared" si="66"/>
        <v>120567701.93548325</v>
      </c>
      <c r="Q318" s="1185">
        <f t="shared" si="67"/>
        <v>120567701.93548325</v>
      </c>
      <c r="R318" s="1185" t="str">
        <f t="shared" si="63"/>
        <v/>
      </c>
      <c r="S318" s="1185" t="str">
        <f>IF(AND(AD318=1,R318&lt;&gt;".")=TRUE,R318/VLOOKUP(G318,'Exchange Rates'!B:C,2,0),IF(R318=".",".",""))</f>
        <v/>
      </c>
      <c r="T318" s="1185" t="str">
        <f>IF(AD318=1,IF(AF318="Value is not given at all",".",IF(AF318="Value is given by the source",S318,IF(AF318="Value is calculated with prices",(IF(SUMIFS(Q:Q,A:A,A318)&gt;0,SUMIFS(Q:Q,A:A,A318),"."))/VLOOKUP("USD",'Exchange Rates'!B:C,2,0),"Error with coding"))),"")</f>
        <v/>
      </c>
      <c r="U318" s="1191" t="s">
        <v>365</v>
      </c>
      <c r="V318" s="983" t="s">
        <v>1199</v>
      </c>
      <c r="W318" s="983" t="s">
        <v>1284</v>
      </c>
      <c r="X318" s="983" t="s">
        <v>1285</v>
      </c>
      <c r="Y318" s="1208" t="s">
        <v>364</v>
      </c>
      <c r="Z318" s="1191">
        <v>0</v>
      </c>
      <c r="AA318" s="1191">
        <v>0</v>
      </c>
      <c r="AB318" s="983" t="s">
        <v>1285</v>
      </c>
      <c r="AC318" s="1192" t="str">
        <f>""</f>
        <v/>
      </c>
      <c r="AD318" s="1191">
        <v>0</v>
      </c>
      <c r="AE318" s="1191" t="s">
        <v>436</v>
      </c>
      <c r="AF318" s="1191" t="s">
        <v>436</v>
      </c>
      <c r="AG318" s="1191">
        <v>1</v>
      </c>
      <c r="AH318" s="1191">
        <v>13</v>
      </c>
      <c r="AI318" s="1191">
        <v>0</v>
      </c>
      <c r="AJ318" s="1193">
        <f>VLOOKUP($I318,'Price List, Weapons &amp; Items'!B:F,5,0)</f>
        <v>1</v>
      </c>
      <c r="AK318" s="1193">
        <f t="shared" si="68"/>
        <v>0</v>
      </c>
      <c r="AL318" s="1193">
        <f t="shared" si="69"/>
        <v>0</v>
      </c>
      <c r="AM318" s="1193">
        <f t="shared" si="70"/>
        <v>0</v>
      </c>
      <c r="AN318" s="1194" t="str">
        <f>VLOOKUP($I318,'Price List, Weapons &amp; Items'!B:L,COLUMN('Price List, Weapons &amp; Items'!$J$11)-1,0)</f>
        <v>Contracts</v>
      </c>
      <c r="AO318" s="1194" t="str">
        <f>IF(I318=".",".",VLOOKUP($I318,'Price List, Weapons &amp; Items'!B:J,3,0))</f>
        <v>155mm howitzer</v>
      </c>
      <c r="AP318" s="1195" t="str">
        <f t="shared" ca="1" si="64"/>
        <v/>
      </c>
      <c r="AQ318" s="1194">
        <f>VLOOKUP($I318,'Price List, Weapons &amp; Items'!B:L,COLUMN('Price List, Weapons &amp; Items'!$L$11)-1,0)</f>
        <v>2</v>
      </c>
      <c r="AR318" s="1194">
        <f t="shared" si="71"/>
        <v>1</v>
      </c>
      <c r="AS318" s="1194">
        <f t="shared" si="72"/>
        <v>1</v>
      </c>
      <c r="AT318" s="1194">
        <f t="shared" si="73"/>
        <v>1</v>
      </c>
      <c r="AU318" s="1194" t="str">
        <f t="shared" si="74"/>
        <v>.</v>
      </c>
      <c r="AV318" s="1194" t="str">
        <f t="shared" si="65"/>
        <v>.</v>
      </c>
      <c r="AW318" s="1194" t="str">
        <f t="shared" si="75"/>
        <v>.</v>
      </c>
      <c r="AX318" s="1194">
        <f>IFERROR(VLOOKUP(B318,'Share, Heavy Weapons to Ukraine'!B:Z,COLUMN('Share, Heavy Weapons to Ukraine'!C328)-1,0),0)</f>
        <v>0</v>
      </c>
      <c r="AY318" s="1194">
        <f>VLOOKUP('Bilateral Assistance, MAIN DATA'!B318,'Country Summary (€)'!B:F,COLUMN('Country Summary (€)'!C329)-1,FALSE)</f>
        <v>1</v>
      </c>
      <c r="AZ318" s="1194" t="str">
        <f>IF(AND(AD318=1,D318="Military",H318&lt;&gt;"Not given")=TRUE,IF(SUMIFS(P:P,A:A,A318)&gt;0,ABS((SUMIFS(P:P,A:A,A318)/VLOOKUP("USD",'Exchange Rates'!B:C,2,0)))/S318,"."),".")</f>
        <v>.</v>
      </c>
      <c r="BA318" s="1196" t="str">
        <f>IF(AND(AD318=1,D318="Military",H318&lt;&gt;"Not given")=TRUE,IF(SUMIFS(P:P,A:A,A318)&gt;0,IF((ABS((SUMIFS(P:P,A:A,A318)/VLOOKUP("USD",'Exchange Rates'!B:C,2,0)))/S318)&gt;1,(SUMIFS(P:P,A:A,A318)-S318)/S318,(S318-SUMIFS(P:P,A:A,A318))/SUMIFS(P:P,A:A,A318)),"."),".")</f>
        <v>.</v>
      </c>
      <c r="BB318" s="1208" t="s">
        <v>38</v>
      </c>
      <c r="BC318" s="1208" t="s">
        <v>38</v>
      </c>
      <c r="BD318" s="1208" t="s">
        <v>38</v>
      </c>
      <c r="BE318" s="1208" t="s">
        <v>38</v>
      </c>
      <c r="BF318" s="1208" t="s">
        <v>38</v>
      </c>
      <c r="BG318" s="1208" t="s">
        <v>38</v>
      </c>
      <c r="BH318" s="1208" t="s">
        <v>38</v>
      </c>
      <c r="BI318" s="1208" t="s">
        <v>38</v>
      </c>
      <c r="BJ318" s="1208" t="s">
        <v>38</v>
      </c>
      <c r="BK318" s="1208" t="s">
        <v>38</v>
      </c>
      <c r="BL318" s="1208" t="s">
        <v>38</v>
      </c>
      <c r="BM318" s="1208" t="s">
        <v>38</v>
      </c>
      <c r="BN318" s="1208" t="s">
        <v>38</v>
      </c>
      <c r="BO318" s="1208" t="s">
        <v>38</v>
      </c>
      <c r="BP318" s="1208" t="s">
        <v>38</v>
      </c>
      <c r="BQ318" s="1208" t="s">
        <v>38</v>
      </c>
      <c r="BR318" s="1208" t="s">
        <v>38</v>
      </c>
      <c r="BS318" s="1208" t="s">
        <v>38</v>
      </c>
    </row>
    <row r="319" spans="1:71" ht="15.95" customHeight="1">
      <c r="A319" s="1208" t="s">
        <v>1272</v>
      </c>
      <c r="B319" s="1208" t="s">
        <v>1194</v>
      </c>
      <c r="C319" s="1209">
        <v>45000</v>
      </c>
      <c r="D319" s="1208" t="s">
        <v>389</v>
      </c>
      <c r="E319" s="1208" t="s">
        <v>390</v>
      </c>
      <c r="F319" s="1208" t="s">
        <v>1286</v>
      </c>
      <c r="G319" s="1184" t="s">
        <v>1197</v>
      </c>
      <c r="H319" s="1185">
        <v>900000000</v>
      </c>
      <c r="I319" s="1208" t="s">
        <v>364</v>
      </c>
      <c r="J319" s="1186" t="str">
        <f>VLOOKUP($I319,'Price List, Weapons &amp; Items'!B:C,2,0)</f>
        <v>.</v>
      </c>
      <c r="K319" s="1186" t="str">
        <f>IF(I319=".",I319,VLOOKUP($I319,'Price List, Weapons &amp; Items'!B:D,3,0))</f>
        <v>.</v>
      </c>
      <c r="L319" s="1187">
        <f>VLOOKUP(I319,'Price List, Weapons &amp; Items'!B:E,4,0)</f>
        <v>0</v>
      </c>
      <c r="M319" s="1241" t="s">
        <v>364</v>
      </c>
      <c r="N319" s="1211" t="s">
        <v>364</v>
      </c>
      <c r="O319" s="1188" t="str">
        <f>VLOOKUP($I319,'Price List, Weapons &amp; Items'!B:G,6,0)</f>
        <v>.</v>
      </c>
      <c r="P319" s="1185" t="str">
        <f t="shared" si="66"/>
        <v>.</v>
      </c>
      <c r="Q319" s="1185" t="str">
        <f t="shared" si="67"/>
        <v>.</v>
      </c>
      <c r="R319" s="1185" t="str">
        <f t="shared" si="63"/>
        <v/>
      </c>
      <c r="S319" s="1185" t="str">
        <f>IF(AND(AD319=1,R319&lt;&gt;".")=TRUE,R319/VLOOKUP(G319,'Exchange Rates'!B:C,2,0),IF(R319=".",".",""))</f>
        <v/>
      </c>
      <c r="T319" s="1185" t="str">
        <f>IF(AD319=1,IF(AF319="Value is not given at all",".",IF(AF319="Value is given by the source",S319,IF(AF319="Value is calculated with prices",(IF(SUMIFS(Q:Q,A:A,A319)&gt;0,SUMIFS(Q:Q,A:A,A319),"."))/VLOOKUP("USD",'Exchange Rates'!B:C,2,0),"Error with coding"))),"")</f>
        <v/>
      </c>
      <c r="U319" s="1191" t="s">
        <v>365</v>
      </c>
      <c r="V319" s="983" t="s">
        <v>1287</v>
      </c>
      <c r="W319" s="983" t="s">
        <v>364</v>
      </c>
      <c r="X319" s="983" t="s">
        <v>364</v>
      </c>
      <c r="Y319" s="1208" t="s">
        <v>364</v>
      </c>
      <c r="Z319" s="1191">
        <v>0</v>
      </c>
      <c r="AA319" s="1191">
        <v>1</v>
      </c>
      <c r="AB319" s="990" t="s">
        <v>364</v>
      </c>
      <c r="AC319" s="1192" t="str">
        <f>""</f>
        <v/>
      </c>
      <c r="AD319" s="1191">
        <v>0</v>
      </c>
      <c r="AE319" s="1191" t="s">
        <v>368</v>
      </c>
      <c r="AF319" s="1191" t="s">
        <v>436</v>
      </c>
      <c r="AG319" s="1191">
        <v>1</v>
      </c>
      <c r="AH319" s="1191">
        <v>15</v>
      </c>
      <c r="AI319" s="1191">
        <v>0</v>
      </c>
      <c r="AJ319" s="1193">
        <f>VLOOKUP($I319,'Price List, Weapons &amp; Items'!B:F,5,0)</f>
        <v>0</v>
      </c>
      <c r="AK319" s="1193">
        <f t="shared" si="68"/>
        <v>0</v>
      </c>
      <c r="AL319" s="1193">
        <f t="shared" si="69"/>
        <v>0</v>
      </c>
      <c r="AM319" s="1193">
        <f t="shared" si="70"/>
        <v>0</v>
      </c>
      <c r="AN319" s="1194" t="str">
        <f>VLOOKUP($I319,'Price List, Weapons &amp; Items'!B:L,COLUMN('Price List, Weapons &amp; Items'!$J$11)-1,0)</f>
        <v>.</v>
      </c>
      <c r="AO319" s="1194" t="str">
        <f>IF(I319=".",".",VLOOKUP($I319,'Price List, Weapons &amp; Items'!B:J,3,0))</f>
        <v>.</v>
      </c>
      <c r="AP319" s="1195" t="str">
        <f t="shared" ca="1" si="64"/>
        <v/>
      </c>
      <c r="AQ319" s="1194">
        <f>VLOOKUP($I319,'Price List, Weapons &amp; Items'!B:L,COLUMN('Price List, Weapons &amp; Items'!$L$11)-1,0)</f>
        <v>0</v>
      </c>
      <c r="AR319" s="1194">
        <f t="shared" si="71"/>
        <v>1</v>
      </c>
      <c r="AS319" s="1194">
        <f t="shared" si="72"/>
        <v>1</v>
      </c>
      <c r="AT319" s="1194">
        <f t="shared" si="73"/>
        <v>1</v>
      </c>
      <c r="AU319" s="1194" t="str">
        <f t="shared" si="74"/>
        <v>.</v>
      </c>
      <c r="AV319" s="1194" t="str">
        <f t="shared" si="65"/>
        <v>.</v>
      </c>
      <c r="AW319" s="1194" t="str">
        <f t="shared" si="75"/>
        <v>.</v>
      </c>
      <c r="AX319" s="1194">
        <f>IFERROR(VLOOKUP(B319,'Share, Heavy Weapons to Ukraine'!B:Z,COLUMN('Share, Heavy Weapons to Ukraine'!C329)-1,0),0)</f>
        <v>0</v>
      </c>
      <c r="AY319" s="1194">
        <f>VLOOKUP('Bilateral Assistance, MAIN DATA'!B319,'Country Summary (€)'!B:F,COLUMN('Country Summary (€)'!C330)-1,FALSE)</f>
        <v>1</v>
      </c>
      <c r="AZ319" s="1194" t="str">
        <f>IF(AND(AD319=1,D319="Military",H319&lt;&gt;"Not given")=TRUE,IF(SUMIFS(P:P,A:A,A319)&gt;0,ABS((SUMIFS(P:P,A:A,A319)/VLOOKUP("USD",'Exchange Rates'!B:C,2,0)))/S319,"."),".")</f>
        <v>.</v>
      </c>
      <c r="BA319" s="1196" t="str">
        <f>IF(AND(AD319=1,D319="Military",H319&lt;&gt;"Not given")=TRUE,IF(SUMIFS(P:P,A:A,A319)&gt;0,IF((ABS((SUMIFS(P:P,A:A,A319)/VLOOKUP("USD",'Exchange Rates'!B:C,2,0)))/S319)&gt;1,(SUMIFS(P:P,A:A,A319)-S319)/S319,(S319-SUMIFS(P:P,A:A,A319))/SUMIFS(P:P,A:A,A319)),"."),".")</f>
        <v>.</v>
      </c>
      <c r="BB319" s="1208"/>
      <c r="BC319" s="1208"/>
      <c r="BD319" s="1208"/>
      <c r="BE319" s="1208"/>
      <c r="BF319" s="1208"/>
      <c r="BG319" s="1208"/>
      <c r="BH319" s="1208"/>
      <c r="BI319" s="1208"/>
      <c r="BJ319" s="1208"/>
      <c r="BK319" s="1208"/>
      <c r="BL319" s="1208"/>
      <c r="BM319" s="1208"/>
      <c r="BN319" s="1208"/>
      <c r="BO319" s="1208"/>
      <c r="BP319" s="1208"/>
      <c r="BQ319" s="1208"/>
      <c r="BR319" s="1208"/>
      <c r="BS319" s="1208"/>
    </row>
    <row r="320" spans="1:71" ht="15.95" customHeight="1">
      <c r="A320" s="1208" t="s">
        <v>1272</v>
      </c>
      <c r="B320" s="1208" t="s">
        <v>1194</v>
      </c>
      <c r="C320" s="1209">
        <v>45000</v>
      </c>
      <c r="D320" s="1208" t="s">
        <v>389</v>
      </c>
      <c r="E320" s="1208" t="s">
        <v>390</v>
      </c>
      <c r="F320" s="1208" t="s">
        <v>1286</v>
      </c>
      <c r="G320" s="1184" t="s">
        <v>1197</v>
      </c>
      <c r="H320" s="1185">
        <v>900000000</v>
      </c>
      <c r="I320" s="1208" t="s">
        <v>1288</v>
      </c>
      <c r="J320" s="1186" t="str">
        <f>VLOOKUP($I320,'Price List, Weapons &amp; Items'!B:C,2,0)</f>
        <v>Ammunition for light infantry</v>
      </c>
      <c r="K320" s="1186" t="str">
        <f>IF(I320=".",I320,VLOOKUP($I320,'Price List, Weapons &amp; Items'!B:D,3,0))</f>
        <v>Small Arms and Light Weapons (SALW) ammunition</v>
      </c>
      <c r="L320" s="1187">
        <f>VLOOKUP(I320,'Price List, Weapons &amp; Items'!B:E,4,0)</f>
        <v>0</v>
      </c>
      <c r="M320" s="1241" t="s">
        <v>374</v>
      </c>
      <c r="N320" s="1211" t="s">
        <v>374</v>
      </c>
      <c r="O320" s="1188">
        <f>VLOOKUP($I320,'Price List, Weapons &amp; Items'!B:G,6,0)</f>
        <v>0.47</v>
      </c>
      <c r="P320" s="1185" t="str">
        <f t="shared" si="66"/>
        <v>.</v>
      </c>
      <c r="Q320" s="1185" t="str">
        <f t="shared" si="67"/>
        <v>.</v>
      </c>
      <c r="R320" s="1185" t="str">
        <f t="shared" si="63"/>
        <v/>
      </c>
      <c r="S320" s="1185" t="str">
        <f>IF(AND(AD320=1,R320&lt;&gt;".")=TRUE,R320/VLOOKUP(G320,'Exchange Rates'!B:C,2,0),IF(R320=".",".",""))</f>
        <v/>
      </c>
      <c r="T320" s="1185" t="str">
        <f>IF(AD320=1,IF(AF320="Value is not given at all",".",IF(AF320="Value is given by the source",S320,IF(AF320="Value is calculated with prices",(IF(SUMIFS(Q:Q,A:A,A320)&gt;0,SUMIFS(Q:Q,A:A,A320),"."))/VLOOKUP("USD",'Exchange Rates'!B:C,2,0),"Error with coding"))),"")</f>
        <v/>
      </c>
      <c r="U320" s="1191" t="s">
        <v>365</v>
      </c>
      <c r="V320" s="983" t="s">
        <v>1287</v>
      </c>
      <c r="W320" s="983" t="s">
        <v>364</v>
      </c>
      <c r="X320" s="983" t="s">
        <v>364</v>
      </c>
      <c r="Y320" s="1208" t="s">
        <v>364</v>
      </c>
      <c r="Z320" s="1191">
        <v>0</v>
      </c>
      <c r="AA320" s="1191">
        <v>1</v>
      </c>
      <c r="AB320" s="990" t="s">
        <v>364</v>
      </c>
      <c r="AC320" s="1192" t="str">
        <f>""</f>
        <v/>
      </c>
      <c r="AD320" s="1191">
        <v>0</v>
      </c>
      <c r="AE320" s="1191" t="s">
        <v>368</v>
      </c>
      <c r="AF320" s="1191" t="s">
        <v>436</v>
      </c>
      <c r="AG320" s="1191">
        <v>1</v>
      </c>
      <c r="AH320" s="1191">
        <v>15</v>
      </c>
      <c r="AI320" s="1191">
        <v>0</v>
      </c>
      <c r="AJ320" s="1193">
        <f>VLOOKUP($I320,'Price List, Weapons &amp; Items'!B:F,5,0)</f>
        <v>0</v>
      </c>
      <c r="AK320" s="1193">
        <f t="shared" si="68"/>
        <v>0</v>
      </c>
      <c r="AL320" s="1193">
        <f t="shared" si="69"/>
        <v>0</v>
      </c>
      <c r="AM320" s="1193">
        <f t="shared" si="70"/>
        <v>1</v>
      </c>
      <c r="AN320" s="1194" t="str">
        <f>VLOOKUP($I320,'Price List, Weapons &amp; Items'!B:L,COLUMN('Price List, Weapons &amp; Items'!$J$11)-1,0)</f>
        <v>Miscellaneous</v>
      </c>
      <c r="AO320" s="1194" t="str">
        <f>IF(I320=".",".",VLOOKUP($I320,'Price List, Weapons &amp; Items'!B:J,3,0))</f>
        <v>Small Arms and Light Weapons (SALW) ammunition</v>
      </c>
      <c r="AP320" s="1195" t="str">
        <f t="shared" ca="1" si="64"/>
        <v/>
      </c>
      <c r="AQ320" s="1194">
        <f>VLOOKUP($I320,'Price List, Weapons &amp; Items'!B:L,COLUMN('Price List, Weapons &amp; Items'!$L$11)-1,0)</f>
        <v>2</v>
      </c>
      <c r="AR320" s="1194">
        <f t="shared" si="71"/>
        <v>1</v>
      </c>
      <c r="AS320" s="1194">
        <f t="shared" si="72"/>
        <v>1</v>
      </c>
      <c r="AT320" s="1194">
        <f t="shared" si="73"/>
        <v>1</v>
      </c>
      <c r="AU320" s="1194" t="str">
        <f t="shared" si="74"/>
        <v>.</v>
      </c>
      <c r="AV320" s="1194" t="str">
        <f t="shared" si="65"/>
        <v>.</v>
      </c>
      <c r="AW320" s="1194" t="str">
        <f t="shared" si="75"/>
        <v>.</v>
      </c>
      <c r="AX320" s="1194">
        <f>IFERROR(VLOOKUP(B320,'Share, Heavy Weapons to Ukraine'!B:Z,COLUMN('Share, Heavy Weapons to Ukraine'!C330)-1,0),0)</f>
        <v>0</v>
      </c>
      <c r="AY320" s="1194">
        <f>VLOOKUP('Bilateral Assistance, MAIN DATA'!B320,'Country Summary (€)'!B:F,COLUMN('Country Summary (€)'!C331)-1,FALSE)</f>
        <v>1</v>
      </c>
      <c r="AZ320" s="1194" t="str">
        <f>IF(AND(AD320=1,D320="Military",H320&lt;&gt;"Not given")=TRUE,IF(SUMIFS(P:P,A:A,A320)&gt;0,ABS((SUMIFS(P:P,A:A,A320)/VLOOKUP("USD",'Exchange Rates'!B:C,2,0)))/S320,"."),".")</f>
        <v>.</v>
      </c>
      <c r="BA320" s="1196" t="str">
        <f>IF(AND(AD320=1,D320="Military",H320&lt;&gt;"Not given")=TRUE,IF(SUMIFS(P:P,A:A,A320)&gt;0,IF((ABS((SUMIFS(P:P,A:A,A320)/VLOOKUP("USD",'Exchange Rates'!B:C,2,0)))/S320)&gt;1,(SUMIFS(P:P,A:A,A320)-S320)/S320,(S320-SUMIFS(P:P,A:A,A320))/SUMIFS(P:P,A:A,A320)),"."),".")</f>
        <v>.</v>
      </c>
      <c r="BB320" s="1208"/>
      <c r="BC320" s="1208"/>
      <c r="BD320" s="1208"/>
      <c r="BE320" s="1208"/>
      <c r="BF320" s="1208"/>
      <c r="BG320" s="1208"/>
      <c r="BH320" s="1208"/>
      <c r="BI320" s="1208"/>
      <c r="BJ320" s="1208"/>
      <c r="BK320" s="1208"/>
      <c r="BL320" s="1208"/>
      <c r="BM320" s="1208"/>
      <c r="BN320" s="1208"/>
      <c r="BO320" s="1208"/>
      <c r="BP320" s="1208"/>
      <c r="BQ320" s="1208"/>
      <c r="BR320" s="1208"/>
      <c r="BS320" s="1208"/>
    </row>
    <row r="321" spans="1:71" ht="15.95" customHeight="1">
      <c r="A321" s="1208" t="s">
        <v>1272</v>
      </c>
      <c r="B321" s="1208" t="s">
        <v>1194</v>
      </c>
      <c r="C321" s="1209">
        <v>45000</v>
      </c>
      <c r="D321" s="1208" t="s">
        <v>389</v>
      </c>
      <c r="E321" s="1208" t="s">
        <v>390</v>
      </c>
      <c r="F321" s="1208" t="s">
        <v>1286</v>
      </c>
      <c r="G321" s="1184" t="s">
        <v>1197</v>
      </c>
      <c r="H321" s="1185">
        <v>900000000</v>
      </c>
      <c r="I321" s="1208" t="s">
        <v>1289</v>
      </c>
      <c r="J321" s="1186" t="str">
        <f>VLOOKUP($I321,'Price List, Weapons &amp; Items'!B:C,2,0)</f>
        <v>Light armaments &amp; infantry</v>
      </c>
      <c r="K321" s="1186" t="str">
        <f>IF(I321=".",I321,VLOOKUP($I321,'Price List, Weapons &amp; Items'!B:D,3,0))</f>
        <v>Small Arms and Light Weapons (SALW)</v>
      </c>
      <c r="L321" s="1187">
        <f>VLOOKUP(I321,'Price List, Weapons &amp; Items'!B:E,4,0)</f>
        <v>0</v>
      </c>
      <c r="M321" s="1241" t="s">
        <v>374</v>
      </c>
      <c r="N321" s="1211" t="s">
        <v>374</v>
      </c>
      <c r="O321" s="1188">
        <f>VLOOKUP($I321,'Price List, Weapons &amp; Items'!B:G,6,0)</f>
        <v>5300</v>
      </c>
      <c r="P321" s="1185" t="str">
        <f t="shared" si="66"/>
        <v>.</v>
      </c>
      <c r="Q321" s="1185" t="str">
        <f t="shared" si="67"/>
        <v>.</v>
      </c>
      <c r="R321" s="1185" t="str">
        <f t="shared" si="63"/>
        <v/>
      </c>
      <c r="S321" s="1185" t="str">
        <f>IF(AND(AD321=1,R321&lt;&gt;".")=TRUE,R321/VLOOKUP(G321,'Exchange Rates'!B:C,2,0),IF(R321=".",".",""))</f>
        <v/>
      </c>
      <c r="T321" s="1185" t="str">
        <f>IF(AD321=1,IF(AF321="Value is not given at all",".",IF(AF321="Value is given by the source",S321,IF(AF321="Value is calculated with prices",(IF(SUMIFS(Q:Q,A:A,A321)&gt;0,SUMIFS(Q:Q,A:A,A321),"."))/VLOOKUP("USD",'Exchange Rates'!B:C,2,0),"Error with coding"))),"")</f>
        <v/>
      </c>
      <c r="U321" s="1191" t="s">
        <v>365</v>
      </c>
      <c r="V321" s="983" t="s">
        <v>1287</v>
      </c>
      <c r="W321" s="983" t="s">
        <v>364</v>
      </c>
      <c r="X321" s="983" t="s">
        <v>364</v>
      </c>
      <c r="Y321" s="1208" t="s">
        <v>364</v>
      </c>
      <c r="Z321" s="1191">
        <v>0</v>
      </c>
      <c r="AA321" s="1191">
        <v>1</v>
      </c>
      <c r="AB321" s="990" t="s">
        <v>364</v>
      </c>
      <c r="AC321" s="1192" t="str">
        <f>""</f>
        <v/>
      </c>
      <c r="AD321" s="1191">
        <v>0</v>
      </c>
      <c r="AE321" s="1191" t="s">
        <v>368</v>
      </c>
      <c r="AF321" s="1191" t="s">
        <v>436</v>
      </c>
      <c r="AG321" s="1191">
        <v>1</v>
      </c>
      <c r="AH321" s="1191">
        <v>15</v>
      </c>
      <c r="AI321" s="1191">
        <v>0</v>
      </c>
      <c r="AJ321" s="1193">
        <f>VLOOKUP($I321,'Price List, Weapons &amp; Items'!B:F,5,0)</f>
        <v>0</v>
      </c>
      <c r="AK321" s="1193">
        <f t="shared" si="68"/>
        <v>0</v>
      </c>
      <c r="AL321" s="1193">
        <f t="shared" si="69"/>
        <v>0</v>
      </c>
      <c r="AM321" s="1193">
        <f t="shared" si="70"/>
        <v>0</v>
      </c>
      <c r="AN321" s="1194" t="str">
        <f>VLOOKUP($I321,'Price List, Weapons &amp; Items'!B:L,COLUMN('Price List, Weapons &amp; Items'!$J$11)-1,0)</f>
        <v>Miscellaneous</v>
      </c>
      <c r="AO321" s="1194" t="str">
        <f>IF(I321=".",".",VLOOKUP($I321,'Price List, Weapons &amp; Items'!B:J,3,0))</f>
        <v>Small Arms and Light Weapons (SALW)</v>
      </c>
      <c r="AP321" s="1195" t="str">
        <f t="shared" ca="1" si="64"/>
        <v/>
      </c>
      <c r="AQ321" s="1194">
        <f>VLOOKUP($I321,'Price List, Weapons &amp; Items'!B:L,COLUMN('Price List, Weapons &amp; Items'!$L$11)-1,0)</f>
        <v>2</v>
      </c>
      <c r="AR321" s="1194">
        <f t="shared" si="71"/>
        <v>1</v>
      </c>
      <c r="AS321" s="1194">
        <f t="shared" si="72"/>
        <v>1</v>
      </c>
      <c r="AT321" s="1194">
        <f t="shared" si="73"/>
        <v>1</v>
      </c>
      <c r="AU321" s="1194" t="str">
        <f t="shared" si="74"/>
        <v>.</v>
      </c>
      <c r="AV321" s="1194" t="str">
        <f t="shared" si="65"/>
        <v>.</v>
      </c>
      <c r="AW321" s="1194" t="str">
        <f t="shared" si="75"/>
        <v>.</v>
      </c>
      <c r="AX321" s="1194">
        <f>IFERROR(VLOOKUP(B321,'Share, Heavy Weapons to Ukraine'!B:Z,COLUMN('Share, Heavy Weapons to Ukraine'!C331)-1,0),0)</f>
        <v>0</v>
      </c>
      <c r="AY321" s="1194">
        <f>VLOOKUP('Bilateral Assistance, MAIN DATA'!B321,'Country Summary (€)'!B:F,COLUMN('Country Summary (€)'!C332)-1,FALSE)</f>
        <v>1</v>
      </c>
      <c r="AZ321" s="1194" t="str">
        <f>IF(AND(AD321=1,D321="Military",H321&lt;&gt;"Not given")=TRUE,IF(SUMIFS(P:P,A:A,A321)&gt;0,ABS((SUMIFS(P:P,A:A,A321)/VLOOKUP("USD",'Exchange Rates'!B:C,2,0)))/S321,"."),".")</f>
        <v>.</v>
      </c>
      <c r="BA321" s="1196" t="str">
        <f>IF(AND(AD321=1,D321="Military",H321&lt;&gt;"Not given")=TRUE,IF(SUMIFS(P:P,A:A,A321)&gt;0,IF((ABS((SUMIFS(P:P,A:A,A321)/VLOOKUP("USD",'Exchange Rates'!B:C,2,0)))/S321)&gt;1,(SUMIFS(P:P,A:A,A321)-S321)/S321,(S321-SUMIFS(P:P,A:A,A321))/SUMIFS(P:P,A:A,A321)),"."),".")</f>
        <v>.</v>
      </c>
      <c r="BB321" s="1208"/>
      <c r="BC321" s="1208"/>
      <c r="BD321" s="1208"/>
      <c r="BE321" s="1208"/>
      <c r="BF321" s="1208"/>
      <c r="BG321" s="1208"/>
      <c r="BH321" s="1208"/>
      <c r="BI321" s="1208"/>
      <c r="BJ321" s="1208"/>
      <c r="BK321" s="1208"/>
      <c r="BL321" s="1208"/>
      <c r="BM321" s="1208"/>
      <c r="BN321" s="1208"/>
      <c r="BO321" s="1208"/>
      <c r="BP321" s="1208"/>
      <c r="BQ321" s="1208"/>
      <c r="BR321" s="1208"/>
      <c r="BS321" s="1208"/>
    </row>
    <row r="322" spans="1:71" ht="15.95" customHeight="1">
      <c r="A322" s="1208" t="s">
        <v>1272</v>
      </c>
      <c r="B322" s="1208" t="s">
        <v>1194</v>
      </c>
      <c r="C322" s="1209">
        <v>45000</v>
      </c>
      <c r="D322" s="1208" t="s">
        <v>389</v>
      </c>
      <c r="E322" s="1208" t="s">
        <v>390</v>
      </c>
      <c r="F322" s="1208" t="s">
        <v>1286</v>
      </c>
      <c r="G322" s="1184" t="s">
        <v>1197</v>
      </c>
      <c r="H322" s="1185">
        <v>900000000</v>
      </c>
      <c r="I322" s="1208" t="s">
        <v>644</v>
      </c>
      <c r="J322" s="1186" t="str">
        <f>VLOOKUP($I322,'Price List, Weapons &amp; Items'!B:C,2,0)</f>
        <v>Military equipment</v>
      </c>
      <c r="K322" s="1186" t="str">
        <f>IF(I322=".",I322,VLOOKUP($I322,'Price List, Weapons &amp; Items'!B:D,3,0))</f>
        <v>Mine</v>
      </c>
      <c r="L322" s="1187">
        <f>VLOOKUP(I322,'Price List, Weapons &amp; Items'!B:E,4,0)</f>
        <v>0</v>
      </c>
      <c r="M322" s="1241" t="s">
        <v>374</v>
      </c>
      <c r="N322" s="1211" t="s">
        <v>374</v>
      </c>
      <c r="O322" s="1188">
        <f>VLOOKUP($I322,'Price List, Weapons &amp; Items'!B:G,6,0)</f>
        <v>1300</v>
      </c>
      <c r="P322" s="1185" t="str">
        <f t="shared" si="66"/>
        <v>.</v>
      </c>
      <c r="Q322" s="1185" t="str">
        <f t="shared" si="67"/>
        <v>.</v>
      </c>
      <c r="R322" s="1185" t="str">
        <f t="shared" ref="R322:R385" si="76">IF(AD322=1,IF(H322&lt;&gt;"Not given",H322,IF(TYPE(H322)=2,IF(SUMIFS(P:P,A:A,A322)&gt;0,SUMIFS(P:P,A:A,A322),"."),"Format error")),"")</f>
        <v/>
      </c>
      <c r="S322" s="1185" t="str">
        <f>IF(AND(AD322=1,R322&lt;&gt;".")=TRUE,R322/VLOOKUP(G322,'Exchange Rates'!B:C,2,0),IF(R322=".",".",""))</f>
        <v/>
      </c>
      <c r="T322" s="1185" t="str">
        <f>IF(AD322=1,IF(AF322="Value is not given at all",".",IF(AF322="Value is given by the source",S322,IF(AF322="Value is calculated with prices",(IF(SUMIFS(Q:Q,A:A,A322)&gt;0,SUMIFS(Q:Q,A:A,A322),"."))/VLOOKUP("USD",'Exchange Rates'!B:C,2,0),"Error with coding"))),"")</f>
        <v/>
      </c>
      <c r="U322" s="1191" t="s">
        <v>365</v>
      </c>
      <c r="V322" s="983" t="s">
        <v>1287</v>
      </c>
      <c r="W322" s="983" t="s">
        <v>364</v>
      </c>
      <c r="X322" s="983" t="s">
        <v>364</v>
      </c>
      <c r="Y322" s="1208" t="s">
        <v>364</v>
      </c>
      <c r="Z322" s="1191">
        <v>0</v>
      </c>
      <c r="AA322" s="1191">
        <v>1</v>
      </c>
      <c r="AB322" s="990" t="s">
        <v>364</v>
      </c>
      <c r="AC322" s="1192" t="str">
        <f>""</f>
        <v/>
      </c>
      <c r="AD322" s="1191">
        <v>0</v>
      </c>
      <c r="AE322" s="1191" t="s">
        <v>368</v>
      </c>
      <c r="AF322" s="1191" t="s">
        <v>436</v>
      </c>
      <c r="AG322" s="1191">
        <v>1</v>
      </c>
      <c r="AH322" s="1191">
        <v>15</v>
      </c>
      <c r="AI322" s="1191">
        <v>0</v>
      </c>
      <c r="AJ322" s="1193">
        <f>VLOOKUP($I322,'Price List, Weapons &amp; Items'!B:F,5,0)</f>
        <v>0</v>
      </c>
      <c r="AK322" s="1193">
        <f t="shared" si="68"/>
        <v>0</v>
      </c>
      <c r="AL322" s="1193">
        <f t="shared" si="69"/>
        <v>0</v>
      </c>
      <c r="AM322" s="1193">
        <f t="shared" si="70"/>
        <v>0</v>
      </c>
      <c r="AN322" s="1194" t="str">
        <f>VLOOKUP($I322,'Price List, Weapons &amp; Items'!B:L,COLUMN('Price List, Weapons &amp; Items'!$J$11)-1,0)</f>
        <v>Source mentions price between 1200 and 1400 USD per piece, we average at 1300.</v>
      </c>
      <c r="AO322" s="1194" t="str">
        <f>IF(I322=".",".",VLOOKUP($I322,'Price List, Weapons &amp; Items'!B:J,3,0))</f>
        <v>Mine</v>
      </c>
      <c r="AP322" s="1195" t="str">
        <f t="shared" ref="AP322:AP385" ca="1" si="77">IF(AD322=1,(OFFSET(I322,0,0,COUNTIF(A:A,A322),1)),"")</f>
        <v/>
      </c>
      <c r="AQ322" s="1194">
        <f>VLOOKUP($I322,'Price List, Weapons &amp; Items'!B:L,COLUMN('Price List, Weapons &amp; Items'!$L$11)-1,0)</f>
        <v>2</v>
      </c>
      <c r="AR322" s="1194">
        <f t="shared" si="71"/>
        <v>1</v>
      </c>
      <c r="AS322" s="1194">
        <f t="shared" si="72"/>
        <v>1</v>
      </c>
      <c r="AT322" s="1194">
        <f t="shared" si="73"/>
        <v>1</v>
      </c>
      <c r="AU322" s="1194" t="str">
        <f t="shared" si="74"/>
        <v>.</v>
      </c>
      <c r="AV322" s="1194" t="str">
        <f t="shared" ref="AV322:AV385" si="78">IF(AND(_xlfn.ISFORMULA(R322),_xlfn.ISFORMULA(S322),_xlfn.ISFORMULA(T322))=TRUE,".",1)</f>
        <v>.</v>
      </c>
      <c r="AW322" s="1194" t="str">
        <f t="shared" si="75"/>
        <v>.</v>
      </c>
      <c r="AX322" s="1194">
        <f>IFERROR(VLOOKUP(B322,'Share, Heavy Weapons to Ukraine'!B:Z,COLUMN('Share, Heavy Weapons to Ukraine'!C332)-1,0),0)</f>
        <v>0</v>
      </c>
      <c r="AY322" s="1194">
        <f>VLOOKUP('Bilateral Assistance, MAIN DATA'!B322,'Country Summary (€)'!B:F,COLUMN('Country Summary (€)'!C333)-1,FALSE)</f>
        <v>1</v>
      </c>
      <c r="AZ322" s="1194" t="str">
        <f>IF(AND(AD322=1,D322="Military",H322&lt;&gt;"Not given")=TRUE,IF(SUMIFS(P:P,A:A,A322)&gt;0,ABS((SUMIFS(P:P,A:A,A322)/VLOOKUP("USD",'Exchange Rates'!B:C,2,0)))/S322,"."),".")</f>
        <v>.</v>
      </c>
      <c r="BA322" s="1196" t="str">
        <f>IF(AND(AD322=1,D322="Military",H322&lt;&gt;"Not given")=TRUE,IF(SUMIFS(P:P,A:A,A322)&gt;0,IF((ABS((SUMIFS(P:P,A:A,A322)/VLOOKUP("USD",'Exchange Rates'!B:C,2,0)))/S322)&gt;1,(SUMIFS(P:P,A:A,A322)-S322)/S322,(S322-SUMIFS(P:P,A:A,A322))/SUMIFS(P:P,A:A,A322)),"."),".")</f>
        <v>.</v>
      </c>
      <c r="BB322" s="1208"/>
      <c r="BC322" s="1208"/>
      <c r="BD322" s="1208"/>
      <c r="BE322" s="1208"/>
      <c r="BF322" s="1208"/>
      <c r="BG322" s="1208"/>
      <c r="BH322" s="1208"/>
      <c r="BI322" s="1208"/>
      <c r="BJ322" s="1208"/>
      <c r="BK322" s="1208"/>
      <c r="BL322" s="1208"/>
      <c r="BM322" s="1208"/>
      <c r="BN322" s="1208"/>
      <c r="BO322" s="1208"/>
      <c r="BP322" s="1208"/>
      <c r="BQ322" s="1208"/>
      <c r="BR322" s="1208"/>
      <c r="BS322" s="1208"/>
    </row>
    <row r="323" spans="1:71" ht="15.95" customHeight="1">
      <c r="A323" s="1208" t="s">
        <v>1272</v>
      </c>
      <c r="B323" s="1208" t="s">
        <v>1194</v>
      </c>
      <c r="C323" s="1209">
        <v>45000</v>
      </c>
      <c r="D323" s="1208" t="s">
        <v>389</v>
      </c>
      <c r="E323" s="1208" t="s">
        <v>390</v>
      </c>
      <c r="F323" s="1208" t="s">
        <v>1286</v>
      </c>
      <c r="G323" s="1184" t="s">
        <v>1197</v>
      </c>
      <c r="H323" s="1185">
        <v>900000000</v>
      </c>
      <c r="I323" s="1208" t="s">
        <v>856</v>
      </c>
      <c r="J323" s="1186" t="str">
        <f>VLOOKUP($I323,'Price List, Weapons &amp; Items'!B:C,2,0)</f>
        <v>Ammunition for heavy weapon</v>
      </c>
      <c r="K323" s="1186" t="str">
        <f>IF(I323=".",I323,VLOOKUP($I323,'Price List, Weapons &amp; Items'!B:D,3,0))</f>
        <v>155mm howitzer ammunition</v>
      </c>
      <c r="L323" s="1187">
        <f>VLOOKUP(I323,'Price List, Weapons &amp; Items'!B:E,4,0)</f>
        <v>0</v>
      </c>
      <c r="M323" s="1241" t="s">
        <v>374</v>
      </c>
      <c r="N323" s="1211" t="s">
        <v>374</v>
      </c>
      <c r="O323" s="1188">
        <f>VLOOKUP($I323,'Price List, Weapons &amp; Items'!B:G,6,0)</f>
        <v>3800</v>
      </c>
      <c r="P323" s="1185" t="str">
        <f t="shared" ref="P323:P386" si="79">IF(TYPE(M323)=1,IF(TYPE(O323)=1,M323*O323,"No price"),".")</f>
        <v>.</v>
      </c>
      <c r="Q323" s="1185" t="str">
        <f t="shared" ref="Q323:Q386" si="80">IF(TYPE(N323)=1,IF(TYPE(O323)=1,N323*O323,"No price"),".")</f>
        <v>.</v>
      </c>
      <c r="R323" s="1185" t="str">
        <f t="shared" si="76"/>
        <v/>
      </c>
      <c r="S323" s="1185" t="str">
        <f>IF(AND(AD323=1,R323&lt;&gt;".")=TRUE,R323/VLOOKUP(G323,'Exchange Rates'!B:C,2,0),IF(R323=".",".",""))</f>
        <v/>
      </c>
      <c r="T323" s="1185" t="str">
        <f>IF(AD323=1,IF(AF323="Value is not given at all",".",IF(AF323="Value is given by the source",S323,IF(AF323="Value is calculated with prices",(IF(SUMIFS(Q:Q,A:A,A323)&gt;0,SUMIFS(Q:Q,A:A,A323),"."))/VLOOKUP("USD",'Exchange Rates'!B:C,2,0),"Error with coding"))),"")</f>
        <v/>
      </c>
      <c r="U323" s="1191" t="s">
        <v>365</v>
      </c>
      <c r="V323" s="966" t="s">
        <v>1287</v>
      </c>
      <c r="W323" s="966" t="s">
        <v>364</v>
      </c>
      <c r="X323" s="966" t="s">
        <v>364</v>
      </c>
      <c r="Y323" s="1208" t="s">
        <v>364</v>
      </c>
      <c r="Z323" s="1191">
        <v>0</v>
      </c>
      <c r="AA323" s="1191">
        <v>1</v>
      </c>
      <c r="AB323" s="1047" t="s">
        <v>364</v>
      </c>
      <c r="AC323" s="1192" t="str">
        <f>""</f>
        <v/>
      </c>
      <c r="AD323" s="1191">
        <v>0</v>
      </c>
      <c r="AE323" s="1191" t="s">
        <v>368</v>
      </c>
      <c r="AF323" s="1191" t="s">
        <v>436</v>
      </c>
      <c r="AG323" s="1191">
        <v>1</v>
      </c>
      <c r="AH323" s="1191">
        <v>15</v>
      </c>
      <c r="AI323" s="1191">
        <v>0</v>
      </c>
      <c r="AJ323" s="1193">
        <f>VLOOKUP($I323,'Price List, Weapons &amp; Items'!B:F,5,0)</f>
        <v>1</v>
      </c>
      <c r="AK323" s="1193">
        <f t="shared" ref="AK323:AK386" si="81">IF(AND(AJ323=1,M323="undisclosed")=TRUE,1,0)</f>
        <v>1</v>
      </c>
      <c r="AL323" s="1193">
        <f t="shared" ref="AL323:AL386" si="82">IF(AND(AJ323=1,N323="undisclosed")=TRUE,1,0)</f>
        <v>1</v>
      </c>
      <c r="AM323" s="1193">
        <f t="shared" ref="AM323:AM386" si="83">IFERROR(IF(SEARCH("ammuni",I323,1)&gt;0,1,0),0)</f>
        <v>0</v>
      </c>
      <c r="AN323" s="1194" t="str">
        <f>VLOOKUP($I323,'Price List, Weapons &amp; Items'!B:L,COLUMN('Price List, Weapons &amp; Items'!$J$11)-1,0)</f>
        <v>Government information</v>
      </c>
      <c r="AO323" s="1194" t="str">
        <f>IF(I323=".",".",VLOOKUP($I323,'Price List, Weapons &amp; Items'!B:J,3,0))</f>
        <v>155mm howitzer ammunition</v>
      </c>
      <c r="AP323" s="1195" t="str">
        <f t="shared" ca="1" si="77"/>
        <v/>
      </c>
      <c r="AQ323" s="1194">
        <f>VLOOKUP($I323,'Price List, Weapons &amp; Items'!B:L,COLUMN('Price List, Weapons &amp; Items'!$L$11)-1,0)</f>
        <v>2</v>
      </c>
      <c r="AR323" s="1194">
        <f t="shared" ref="AR323:AR386" si="84">IF(U323="Yes",1,0)</f>
        <v>1</v>
      </c>
      <c r="AS323" s="1194">
        <f t="shared" ref="AS323:AS386" si="85">IF(D323="Military",IF(OR(IFERROR(SEARCH("equipment",E323,1),0)&gt;0,IFERROR(SEARCH("weapons",E323,1),0)&gt;0),1,0),0)</f>
        <v>1</v>
      </c>
      <c r="AT323" s="1194">
        <f t="shared" ref="AT323:AT386" si="86">IFERROR(IF(VALUE(TEXT(C323,"mm"))=IF(AH323&gt;12,AH323-12,AH323),".",IF(TEXT(C323,"mm")="01",".",1)),"Value is not in date format")</f>
        <v>1</v>
      </c>
      <c r="AU323" s="1194" t="str">
        <f t="shared" ref="AU323:AU386" si="87">IF(AND(A323=A322,C323=C322)=TRUE,IF(F323=F322,".","1"),".")</f>
        <v>.</v>
      </c>
      <c r="AV323" s="1194" t="str">
        <f t="shared" si="78"/>
        <v>.</v>
      </c>
      <c r="AW323" s="1194" t="str">
        <f t="shared" ref="AW323:AW386" si="88">IF(T323&lt;&gt;".",IF(T323&gt;S323,1,"."),".")</f>
        <v>.</v>
      </c>
      <c r="AX323" s="1194">
        <f>IFERROR(VLOOKUP(B323,'Share, Heavy Weapons to Ukraine'!B:Z,COLUMN('Share, Heavy Weapons to Ukraine'!C333)-1,0),0)</f>
        <v>0</v>
      </c>
      <c r="AY323" s="1194">
        <f>VLOOKUP('Bilateral Assistance, MAIN DATA'!B323,'Country Summary (€)'!B:F,COLUMN('Country Summary (€)'!C334)-1,FALSE)</f>
        <v>1</v>
      </c>
      <c r="AZ323" s="1194" t="str">
        <f>IF(AND(AD323=1,D323="Military",H323&lt;&gt;"Not given")=TRUE,IF(SUMIFS(P:P,A:A,A323)&gt;0,ABS((SUMIFS(P:P,A:A,A323)/VLOOKUP("USD",'Exchange Rates'!B:C,2,0)))/S323,"."),".")</f>
        <v>.</v>
      </c>
      <c r="BA323" s="1196" t="str">
        <f>IF(AND(AD323=1,D323="Military",H323&lt;&gt;"Not given")=TRUE,IF(SUMIFS(P:P,A:A,A323)&gt;0,IF((ABS((SUMIFS(P:P,A:A,A323)/VLOOKUP("USD",'Exchange Rates'!B:C,2,0)))/S323)&gt;1,(SUMIFS(P:P,A:A,A323)-S323)/S323,(S323-SUMIFS(P:P,A:A,A323))/SUMIFS(P:P,A:A,A323)),"."),".")</f>
        <v>.</v>
      </c>
      <c r="BB323" s="1208"/>
      <c r="BC323" s="1208"/>
      <c r="BD323" s="1208"/>
      <c r="BE323" s="1208"/>
      <c r="BF323" s="1208"/>
      <c r="BG323" s="1208"/>
      <c r="BH323" s="1208"/>
      <c r="BI323" s="1208"/>
      <c r="BJ323" s="1208"/>
      <c r="BK323" s="1208"/>
      <c r="BL323" s="1208"/>
      <c r="BM323" s="1208"/>
      <c r="BN323" s="1208"/>
      <c r="BO323" s="1208"/>
      <c r="BP323" s="1208"/>
      <c r="BQ323" s="1208"/>
      <c r="BR323" s="1208"/>
      <c r="BS323" s="1208"/>
    </row>
    <row r="324" spans="1:71" ht="15.95" customHeight="1">
      <c r="A324" s="1208" t="s">
        <v>1272</v>
      </c>
      <c r="B324" s="1208" t="s">
        <v>1194</v>
      </c>
      <c r="C324" s="1209">
        <v>45000</v>
      </c>
      <c r="D324" s="1208" t="s">
        <v>389</v>
      </c>
      <c r="E324" s="1208" t="s">
        <v>390</v>
      </c>
      <c r="F324" s="1208" t="s">
        <v>1286</v>
      </c>
      <c r="G324" s="1184" t="s">
        <v>1197</v>
      </c>
      <c r="H324" s="1185">
        <v>900000000</v>
      </c>
      <c r="I324" s="1186" t="s">
        <v>650</v>
      </c>
      <c r="J324" s="1186" t="str">
        <f>VLOOKUP($I324,'Price List, Weapons &amp; Items'!B:C,2,0)</f>
        <v>Ammunition for heavy weapon</v>
      </c>
      <c r="K324" s="1186" t="str">
        <f>IF(I324=".",I324,VLOOKUP($I324,'Price List, Weapons &amp; Items'!B:D,3,0))</f>
        <v>Surface-to-air missile (SAM)</v>
      </c>
      <c r="L324" s="1187">
        <f>VLOOKUP(I324,'Price List, Weapons &amp; Items'!B:E,4,0)</f>
        <v>0</v>
      </c>
      <c r="M324" s="1241" t="s">
        <v>374</v>
      </c>
      <c r="N324" s="1211" t="s">
        <v>374</v>
      </c>
      <c r="O324" s="1188" t="str">
        <f>VLOOKUP($I324,'Price List, Weapons &amp; Items'!B:G,6,0)</f>
        <v>.</v>
      </c>
      <c r="P324" s="1185" t="str">
        <f t="shared" si="79"/>
        <v>.</v>
      </c>
      <c r="Q324" s="1185" t="str">
        <f t="shared" si="80"/>
        <v>.</v>
      </c>
      <c r="R324" s="1185" t="str">
        <f t="shared" si="76"/>
        <v/>
      </c>
      <c r="S324" s="1185" t="str">
        <f>IF(AND(AD324=1,R324&lt;&gt;".")=TRUE,R324/VLOOKUP(G324,'Exchange Rates'!B:C,2,0),IF(R324=".",".",""))</f>
        <v/>
      </c>
      <c r="T324" s="1185" t="str">
        <f>IF(AD324=1,IF(AF324="Value is not given at all",".",IF(AF324="Value is given by the source",S324,IF(AF324="Value is calculated with prices",(IF(SUMIFS(Q:Q,A:A,A324)&gt;0,SUMIFS(Q:Q,A:A,A324),"."))/VLOOKUP("USD",'Exchange Rates'!B:C,2,0),"Error with coding"))),"")</f>
        <v/>
      </c>
      <c r="U324" s="1191" t="s">
        <v>365</v>
      </c>
      <c r="V324" s="966" t="s">
        <v>1287</v>
      </c>
      <c r="W324" s="966" t="s">
        <v>364</v>
      </c>
      <c r="X324" s="966" t="s">
        <v>364</v>
      </c>
      <c r="Y324" s="1208" t="s">
        <v>364</v>
      </c>
      <c r="Z324" s="1191">
        <v>0</v>
      </c>
      <c r="AA324" s="1191">
        <v>1</v>
      </c>
      <c r="AB324" s="1047" t="s">
        <v>364</v>
      </c>
      <c r="AC324" s="1192" t="str">
        <f>""</f>
        <v/>
      </c>
      <c r="AD324" s="1191">
        <v>0</v>
      </c>
      <c r="AE324" s="1191" t="s">
        <v>368</v>
      </c>
      <c r="AF324" s="1191" t="s">
        <v>436</v>
      </c>
      <c r="AG324" s="1191">
        <v>1</v>
      </c>
      <c r="AH324" s="1191">
        <v>15</v>
      </c>
      <c r="AI324" s="1191">
        <v>0</v>
      </c>
      <c r="AJ324" s="1193">
        <f>VLOOKUP($I324,'Price List, Weapons &amp; Items'!B:F,5,0)</f>
        <v>0</v>
      </c>
      <c r="AK324" s="1193">
        <f t="shared" si="81"/>
        <v>0</v>
      </c>
      <c r="AL324" s="1193">
        <f t="shared" si="82"/>
        <v>0</v>
      </c>
      <c r="AM324" s="1193">
        <f t="shared" si="83"/>
        <v>0</v>
      </c>
      <c r="AN324" s="1194" t="str">
        <f>VLOOKUP($I324,'Price List, Weapons &amp; Items'!B:L,COLUMN('Price List, Weapons &amp; Items'!$J$11)-1,0)</f>
        <v>.</v>
      </c>
      <c r="AO324" s="1194" t="str">
        <f>IF(I324=".",".",VLOOKUP($I324,'Price List, Weapons &amp; Items'!B:J,3,0))</f>
        <v>Surface-to-air missile (SAM)</v>
      </c>
      <c r="AP324" s="1195" t="str">
        <f t="shared" ca="1" si="77"/>
        <v/>
      </c>
      <c r="AQ324" s="1194">
        <f>VLOOKUP($I324,'Price List, Weapons &amp; Items'!B:L,COLUMN('Price List, Weapons &amp; Items'!$L$11)-1,0)</f>
        <v>0</v>
      </c>
      <c r="AR324" s="1194">
        <f t="shared" si="84"/>
        <v>1</v>
      </c>
      <c r="AS324" s="1194">
        <f t="shared" si="85"/>
        <v>1</v>
      </c>
      <c r="AT324" s="1194">
        <f t="shared" si="86"/>
        <v>1</v>
      </c>
      <c r="AU324" s="1194" t="str">
        <f t="shared" si="87"/>
        <v>.</v>
      </c>
      <c r="AV324" s="1194" t="str">
        <f t="shared" si="78"/>
        <v>.</v>
      </c>
      <c r="AW324" s="1194" t="str">
        <f t="shared" si="88"/>
        <v>.</v>
      </c>
      <c r="AX324" s="1194">
        <f>IFERROR(VLOOKUP(B324,'Share, Heavy Weapons to Ukraine'!B:Z,COLUMN('Share, Heavy Weapons to Ukraine'!C334)-1,0),0)</f>
        <v>0</v>
      </c>
      <c r="AY324" s="1194">
        <f>VLOOKUP('Bilateral Assistance, MAIN DATA'!B324,'Country Summary (€)'!B:F,COLUMN('Country Summary (€)'!C335)-1,FALSE)</f>
        <v>1</v>
      </c>
      <c r="AZ324" s="1194" t="str">
        <f>IF(AND(AD324=1,D324="Military",H324&lt;&gt;"Not given")=TRUE,IF(SUMIFS(P:P,A:A,A324)&gt;0,ABS((SUMIFS(P:P,A:A,A324)/VLOOKUP("USD",'Exchange Rates'!B:C,2,0)))/S324,"."),".")</f>
        <v>.</v>
      </c>
      <c r="BA324" s="1196" t="str">
        <f>IF(AND(AD324=1,D324="Military",H324&lt;&gt;"Not given")=TRUE,IF(SUMIFS(P:P,A:A,A324)&gt;0,IF((ABS((SUMIFS(P:P,A:A,A324)/VLOOKUP("USD",'Exchange Rates'!B:C,2,0)))/S324)&gt;1,(SUMIFS(P:P,A:A,A324)-S324)/S324,(S324-SUMIFS(P:P,A:A,A324))/SUMIFS(P:P,A:A,A324)),"."),".")</f>
        <v>.</v>
      </c>
      <c r="BB324" s="1208"/>
      <c r="BC324" s="1208"/>
      <c r="BD324" s="1208"/>
      <c r="BE324" s="1208"/>
      <c r="BF324" s="1208"/>
      <c r="BG324" s="1208"/>
      <c r="BH324" s="1208"/>
      <c r="BI324" s="1208"/>
      <c r="BJ324" s="1208"/>
      <c r="BK324" s="1208"/>
      <c r="BL324" s="1208"/>
      <c r="BM324" s="1208"/>
      <c r="BN324" s="1208"/>
      <c r="BO324" s="1208"/>
      <c r="BP324" s="1208"/>
      <c r="BQ324" s="1208"/>
      <c r="BR324" s="1208"/>
      <c r="BS324" s="1208"/>
    </row>
    <row r="325" spans="1:71" ht="15.95" customHeight="1">
      <c r="A325" s="1208" t="s">
        <v>1272</v>
      </c>
      <c r="B325" s="1208" t="s">
        <v>1194</v>
      </c>
      <c r="C325" s="1209">
        <v>45000</v>
      </c>
      <c r="D325" s="1208" t="s">
        <v>389</v>
      </c>
      <c r="E325" s="1208" t="s">
        <v>390</v>
      </c>
      <c r="F325" s="1208" t="s">
        <v>1286</v>
      </c>
      <c r="G325" s="1184" t="s">
        <v>1197</v>
      </c>
      <c r="H325" s="1185">
        <v>900000000</v>
      </c>
      <c r="I325" s="1208" t="s">
        <v>1290</v>
      </c>
      <c r="J325" s="1186" t="str">
        <f>VLOOKUP($I325,'Price List, Weapons &amp; Items'!B:C,2,0)</f>
        <v>Military equipment</v>
      </c>
      <c r="K325" s="1186" t="str">
        <f>IF(I325=".",I325,VLOOKUP($I325,'Price List, Weapons &amp; Items'!B:D,3,0))</f>
        <v>Military equipment</v>
      </c>
      <c r="L325" s="1187">
        <f>VLOOKUP(I325,'Price List, Weapons &amp; Items'!B:E,4,0)</f>
        <v>0</v>
      </c>
      <c r="M325" s="1241">
        <v>21</v>
      </c>
      <c r="N325" s="1211" t="s">
        <v>374</v>
      </c>
      <c r="O325" s="1188" t="str">
        <f>VLOOKUP($I325,'Price List, Weapons &amp; Items'!B:G,6,0)</f>
        <v>.</v>
      </c>
      <c r="P325" s="1185" t="str">
        <f t="shared" si="79"/>
        <v>No price</v>
      </c>
      <c r="Q325" s="1185" t="str">
        <f t="shared" si="80"/>
        <v>.</v>
      </c>
      <c r="R325" s="1185" t="str">
        <f t="shared" si="76"/>
        <v/>
      </c>
      <c r="S325" s="1185" t="str">
        <f>IF(AND(AD325=1,R325&lt;&gt;".")=TRUE,R325/VLOOKUP(G325,'Exchange Rates'!B:C,2,0),IF(R325=".",".",""))</f>
        <v/>
      </c>
      <c r="T325" s="1185" t="str">
        <f>IF(AD325=1,IF(AF325="Value is not given at all",".",IF(AF325="Value is given by the source",S325,IF(AF325="Value is calculated with prices",(IF(SUMIFS(Q:Q,A:A,A325)&gt;0,SUMIFS(Q:Q,A:A,A325),"."))/VLOOKUP("USD",'Exchange Rates'!B:C,2,0),"Error with coding"))),"")</f>
        <v/>
      </c>
      <c r="U325" s="1191" t="s">
        <v>365</v>
      </c>
      <c r="V325" s="966" t="s">
        <v>1287</v>
      </c>
      <c r="W325" s="966" t="s">
        <v>364</v>
      </c>
      <c r="X325" s="966" t="s">
        <v>364</v>
      </c>
      <c r="Y325" s="1208" t="s">
        <v>364</v>
      </c>
      <c r="Z325" s="1191">
        <v>0</v>
      </c>
      <c r="AA325" s="1191">
        <v>1</v>
      </c>
      <c r="AB325" s="1047" t="s">
        <v>364</v>
      </c>
      <c r="AC325" s="1192" t="str">
        <f>""</f>
        <v/>
      </c>
      <c r="AD325" s="1191">
        <v>0</v>
      </c>
      <c r="AE325" s="1191" t="s">
        <v>368</v>
      </c>
      <c r="AF325" s="1191" t="s">
        <v>436</v>
      </c>
      <c r="AG325" s="1191">
        <v>1</v>
      </c>
      <c r="AH325" s="1191">
        <v>15</v>
      </c>
      <c r="AI325" s="1191">
        <v>0</v>
      </c>
      <c r="AJ325" s="1193">
        <f>VLOOKUP($I325,'Price List, Weapons &amp; Items'!B:F,5,0)</f>
        <v>0</v>
      </c>
      <c r="AK325" s="1193">
        <f t="shared" si="81"/>
        <v>0</v>
      </c>
      <c r="AL325" s="1193">
        <f t="shared" si="82"/>
        <v>0</v>
      </c>
      <c r="AM325" s="1193">
        <f t="shared" si="83"/>
        <v>0</v>
      </c>
      <c r="AN325" s="1194" t="str">
        <f>VLOOKUP($I325,'Price List, Weapons &amp; Items'!B:L,COLUMN('Price List, Weapons &amp; Items'!$J$11)-1,0)</f>
        <v>.</v>
      </c>
      <c r="AO325" s="1194" t="str">
        <f>IF(I325=".",".",VLOOKUP($I325,'Price List, Weapons &amp; Items'!B:J,3,0))</f>
        <v>Military equipment</v>
      </c>
      <c r="AP325" s="1195" t="str">
        <f t="shared" ca="1" si="77"/>
        <v/>
      </c>
      <c r="AQ325" s="1194">
        <f>VLOOKUP($I325,'Price List, Weapons &amp; Items'!B:L,COLUMN('Price List, Weapons &amp; Items'!$L$11)-1,0)</f>
        <v>0</v>
      </c>
      <c r="AR325" s="1194">
        <f t="shared" si="84"/>
        <v>1</v>
      </c>
      <c r="AS325" s="1194">
        <f t="shared" si="85"/>
        <v>1</v>
      </c>
      <c r="AT325" s="1194">
        <f t="shared" si="86"/>
        <v>1</v>
      </c>
      <c r="AU325" s="1194" t="str">
        <f t="shared" si="87"/>
        <v>.</v>
      </c>
      <c r="AV325" s="1194" t="str">
        <f t="shared" si="78"/>
        <v>.</v>
      </c>
      <c r="AW325" s="1194" t="str">
        <f t="shared" si="88"/>
        <v>.</v>
      </c>
      <c r="AX325" s="1194">
        <f>IFERROR(VLOOKUP(B325,'Share, Heavy Weapons to Ukraine'!B:Z,COLUMN('Share, Heavy Weapons to Ukraine'!C335)-1,0),0)</f>
        <v>0</v>
      </c>
      <c r="AY325" s="1194">
        <f>VLOOKUP('Bilateral Assistance, MAIN DATA'!B325,'Country Summary (€)'!B:F,COLUMN('Country Summary (€)'!C336)-1,FALSE)</f>
        <v>1</v>
      </c>
      <c r="AZ325" s="1194" t="str">
        <f>IF(AND(AD325=1,D325="Military",H325&lt;&gt;"Not given")=TRUE,IF(SUMIFS(P:P,A:A,A325)&gt;0,ABS((SUMIFS(P:P,A:A,A325)/VLOOKUP("USD",'Exchange Rates'!B:C,2,0)))/S325,"."),".")</f>
        <v>.</v>
      </c>
      <c r="BA325" s="1196" t="str">
        <f>IF(AND(AD325=1,D325="Military",H325&lt;&gt;"Not given")=TRUE,IF(SUMIFS(P:P,A:A,A325)&gt;0,IF((ABS((SUMIFS(P:P,A:A,A325)/VLOOKUP("USD",'Exchange Rates'!B:C,2,0)))/S325)&gt;1,(SUMIFS(P:P,A:A,A325)-S325)/S325,(S325-SUMIFS(P:P,A:A,A325))/SUMIFS(P:P,A:A,A325)),"."),".")</f>
        <v>.</v>
      </c>
      <c r="BB325" s="1208"/>
      <c r="BC325" s="1208"/>
      <c r="BD325" s="1208"/>
      <c r="BE325" s="1208"/>
      <c r="BF325" s="1208"/>
      <c r="BG325" s="1208"/>
      <c r="BH325" s="1208"/>
      <c r="BI325" s="1208"/>
      <c r="BJ325" s="1208"/>
      <c r="BK325" s="1208"/>
      <c r="BL325" s="1208"/>
      <c r="BM325" s="1208"/>
      <c r="BN325" s="1208"/>
      <c r="BO325" s="1208"/>
      <c r="BP325" s="1208"/>
      <c r="BQ325" s="1208"/>
      <c r="BR325" s="1208"/>
      <c r="BS325" s="1208"/>
    </row>
    <row r="326" spans="1:71" ht="15.95" customHeight="1">
      <c r="A326" s="1208" t="s">
        <v>1272</v>
      </c>
      <c r="B326" s="1208" t="s">
        <v>1194</v>
      </c>
      <c r="C326" s="1209">
        <v>45000</v>
      </c>
      <c r="D326" s="1208" t="s">
        <v>389</v>
      </c>
      <c r="E326" s="1208" t="s">
        <v>390</v>
      </c>
      <c r="F326" s="1208" t="s">
        <v>1286</v>
      </c>
      <c r="G326" s="1184" t="s">
        <v>1197</v>
      </c>
      <c r="H326" s="1185">
        <v>900000000</v>
      </c>
      <c r="I326" s="1186" t="s">
        <v>596</v>
      </c>
      <c r="J326" s="1186" t="str">
        <f>VLOOKUP($I326,'Price List, Weapons &amp; Items'!B:C,2,0)</f>
        <v>Military equipment</v>
      </c>
      <c r="K326" s="1186" t="str">
        <f>IF(I326=".",I326,VLOOKUP($I326,'Price List, Weapons &amp; Items'!B:D,3,0))</f>
        <v>Military equipment</v>
      </c>
      <c r="L326" s="1187">
        <f>VLOOKUP(I326,'Price List, Weapons &amp; Items'!B:E,4,0)</f>
        <v>0</v>
      </c>
      <c r="M326" s="1241">
        <v>15</v>
      </c>
      <c r="N326" s="1211" t="s">
        <v>374</v>
      </c>
      <c r="O326" s="1188">
        <f>VLOOKUP($I326,'Price List, Weapons &amp; Items'!B:G,6,0)</f>
        <v>22216</v>
      </c>
      <c r="P326" s="1185">
        <f t="shared" si="79"/>
        <v>333240</v>
      </c>
      <c r="Q326" s="1185" t="str">
        <f t="shared" si="80"/>
        <v>.</v>
      </c>
      <c r="R326" s="1185" t="str">
        <f t="shared" si="76"/>
        <v/>
      </c>
      <c r="S326" s="1185" t="str">
        <f>IF(AND(AD326=1,R326&lt;&gt;".")=TRUE,R326/VLOOKUP(G326,'Exchange Rates'!B:C,2,0),IF(R326=".",".",""))</f>
        <v/>
      </c>
      <c r="T326" s="1185" t="str">
        <f>IF(AD326=1,IF(AF326="Value is not given at all",".",IF(AF326="Value is given by the source",S326,IF(AF326="Value is calculated with prices",(IF(SUMIFS(Q:Q,A:A,A326)&gt;0,SUMIFS(Q:Q,A:A,A326),"."))/VLOOKUP("USD",'Exchange Rates'!B:C,2,0),"Error with coding"))),"")</f>
        <v/>
      </c>
      <c r="U326" s="1191" t="s">
        <v>365</v>
      </c>
      <c r="V326" s="966" t="s">
        <v>1287</v>
      </c>
      <c r="W326" s="966" t="s">
        <v>364</v>
      </c>
      <c r="X326" s="966" t="s">
        <v>364</v>
      </c>
      <c r="Y326" s="1208" t="s">
        <v>364</v>
      </c>
      <c r="Z326" s="1191">
        <v>0</v>
      </c>
      <c r="AA326" s="1191">
        <v>1</v>
      </c>
      <c r="AB326" s="1047" t="s">
        <v>364</v>
      </c>
      <c r="AC326" s="1192" t="str">
        <f>""</f>
        <v/>
      </c>
      <c r="AD326" s="1191">
        <v>0</v>
      </c>
      <c r="AE326" s="1191" t="s">
        <v>368</v>
      </c>
      <c r="AF326" s="1191" t="s">
        <v>436</v>
      </c>
      <c r="AG326" s="1191">
        <v>1</v>
      </c>
      <c r="AH326" s="1191">
        <v>15</v>
      </c>
      <c r="AI326" s="1191">
        <v>0</v>
      </c>
      <c r="AJ326" s="1193">
        <f>VLOOKUP($I326,'Price List, Weapons &amp; Items'!B:F,5,0)</f>
        <v>0</v>
      </c>
      <c r="AK326" s="1193">
        <f t="shared" si="81"/>
        <v>0</v>
      </c>
      <c r="AL326" s="1193">
        <f t="shared" si="82"/>
        <v>0</v>
      </c>
      <c r="AM326" s="1193">
        <f t="shared" si="83"/>
        <v>0</v>
      </c>
      <c r="AN326" s="1194" t="str">
        <f>VLOOKUP($I326,'Price List, Weapons &amp; Items'!B:L,COLUMN('Price List, Weapons &amp; Items'!$J$11)-1,0)</f>
        <v>Government information</v>
      </c>
      <c r="AO326" s="1194" t="str">
        <f>IF(I326=".",".",VLOOKUP($I326,'Price List, Weapons &amp; Items'!B:J,3,0))</f>
        <v>Military equipment</v>
      </c>
      <c r="AP326" s="1195" t="str">
        <f t="shared" ca="1" si="77"/>
        <v/>
      </c>
      <c r="AQ326" s="1194">
        <f>VLOOKUP($I326,'Price List, Weapons &amp; Items'!B:L,COLUMN('Price List, Weapons &amp; Items'!$L$11)-1,0)</f>
        <v>2</v>
      </c>
      <c r="AR326" s="1194">
        <f t="shared" si="84"/>
        <v>1</v>
      </c>
      <c r="AS326" s="1194">
        <f t="shared" si="85"/>
        <v>1</v>
      </c>
      <c r="AT326" s="1194">
        <f t="shared" si="86"/>
        <v>1</v>
      </c>
      <c r="AU326" s="1194" t="str">
        <f t="shared" si="87"/>
        <v>.</v>
      </c>
      <c r="AV326" s="1194" t="str">
        <f t="shared" si="78"/>
        <v>.</v>
      </c>
      <c r="AW326" s="1194" t="str">
        <f t="shared" si="88"/>
        <v>.</v>
      </c>
      <c r="AX326" s="1194">
        <f>IFERROR(VLOOKUP(B326,'Share, Heavy Weapons to Ukraine'!B:Z,COLUMN('Share, Heavy Weapons to Ukraine'!C336)-1,0),0)</f>
        <v>0</v>
      </c>
      <c r="AY326" s="1194">
        <f>VLOOKUP('Bilateral Assistance, MAIN DATA'!B326,'Country Summary (€)'!B:F,COLUMN('Country Summary (€)'!C337)-1,FALSE)</f>
        <v>1</v>
      </c>
      <c r="AZ326" s="1194" t="str">
        <f>IF(AND(AD326=1,D326="Military",H326&lt;&gt;"Not given")=TRUE,IF(SUMIFS(P:P,A:A,A326)&gt;0,ABS((SUMIFS(P:P,A:A,A326)/VLOOKUP("USD",'Exchange Rates'!B:C,2,0)))/S326,"."),".")</f>
        <v>.</v>
      </c>
      <c r="BA326" s="1196" t="str">
        <f>IF(AND(AD326=1,D326="Military",H326&lt;&gt;"Not given")=TRUE,IF(SUMIFS(P:P,A:A,A326)&gt;0,IF((ABS((SUMIFS(P:P,A:A,A326)/VLOOKUP("USD",'Exchange Rates'!B:C,2,0)))/S326)&gt;1,(SUMIFS(P:P,A:A,A326)-S326)/S326,(S326-SUMIFS(P:P,A:A,A326))/SUMIFS(P:P,A:A,A326)),"."),".")</f>
        <v>.</v>
      </c>
      <c r="BB326" s="1208"/>
      <c r="BC326" s="1208"/>
      <c r="BD326" s="1208"/>
      <c r="BE326" s="1208"/>
      <c r="BF326" s="1208"/>
      <c r="BG326" s="1208"/>
      <c r="BH326" s="1208"/>
      <c r="BI326" s="1208"/>
      <c r="BJ326" s="1208"/>
      <c r="BK326" s="1208"/>
      <c r="BL326" s="1208"/>
      <c r="BM326" s="1208"/>
      <c r="BN326" s="1208"/>
      <c r="BO326" s="1208"/>
      <c r="BP326" s="1208"/>
      <c r="BQ326" s="1208"/>
      <c r="BR326" s="1208"/>
      <c r="BS326" s="1208"/>
    </row>
    <row r="327" spans="1:71" ht="15.95" customHeight="1">
      <c r="A327" s="1208" t="s">
        <v>1272</v>
      </c>
      <c r="B327" s="1208" t="s">
        <v>1194</v>
      </c>
      <c r="C327" s="1209">
        <v>45000</v>
      </c>
      <c r="D327" s="1208" t="s">
        <v>389</v>
      </c>
      <c r="E327" s="1208" t="s">
        <v>390</v>
      </c>
      <c r="F327" s="1208" t="s">
        <v>1286</v>
      </c>
      <c r="G327" s="1184" t="s">
        <v>1197</v>
      </c>
      <c r="H327" s="1185">
        <v>900000000</v>
      </c>
      <c r="I327" s="1208" t="s">
        <v>1291</v>
      </c>
      <c r="J327" s="1186" t="str">
        <f>VLOOKUP($I327,'Price List, Weapons &amp; Items'!B:C,2,0)</f>
        <v>Military equipment</v>
      </c>
      <c r="K327" s="1186" t="str">
        <f>IF(I327=".",I327,VLOOKUP($I327,'Price List, Weapons &amp; Items'!B:D,3,0))</f>
        <v>Military equipment</v>
      </c>
      <c r="L327" s="1187">
        <f>VLOOKUP(I327,'Price List, Weapons &amp; Items'!B:E,4,0)</f>
        <v>0</v>
      </c>
      <c r="M327" s="1241">
        <v>6</v>
      </c>
      <c r="N327" s="1211" t="s">
        <v>374</v>
      </c>
      <c r="O327" s="1188" t="str">
        <f>VLOOKUP($I327,'Price List, Weapons &amp; Items'!B:G,6,0)</f>
        <v>.</v>
      </c>
      <c r="P327" s="1185" t="str">
        <f t="shared" si="79"/>
        <v>No price</v>
      </c>
      <c r="Q327" s="1185" t="str">
        <f t="shared" si="80"/>
        <v>.</v>
      </c>
      <c r="R327" s="1185" t="str">
        <f t="shared" si="76"/>
        <v/>
      </c>
      <c r="S327" s="1185" t="str">
        <f>IF(AND(AD327=1,R327&lt;&gt;".")=TRUE,R327/VLOOKUP(G327,'Exchange Rates'!B:C,2,0),IF(R327=".",".",""))</f>
        <v/>
      </c>
      <c r="T327" s="1185" t="str">
        <f>IF(AD327=1,IF(AF327="Value is not given at all",".",IF(AF327="Value is given by the source",S327,IF(AF327="Value is calculated with prices",(IF(SUMIFS(Q:Q,A:A,A327)&gt;0,SUMIFS(Q:Q,A:A,A327),"."))/VLOOKUP("USD",'Exchange Rates'!B:C,2,0),"Error with coding"))),"")</f>
        <v/>
      </c>
      <c r="U327" s="1191" t="s">
        <v>365</v>
      </c>
      <c r="V327" s="966" t="s">
        <v>1287</v>
      </c>
      <c r="W327" s="966" t="s">
        <v>364</v>
      </c>
      <c r="X327" s="966" t="s">
        <v>364</v>
      </c>
      <c r="Y327" s="1208" t="s">
        <v>364</v>
      </c>
      <c r="Z327" s="1191">
        <v>0</v>
      </c>
      <c r="AA327" s="1191">
        <v>1</v>
      </c>
      <c r="AB327" s="1047" t="s">
        <v>364</v>
      </c>
      <c r="AC327" s="1192" t="str">
        <f>""</f>
        <v/>
      </c>
      <c r="AD327" s="1191">
        <v>0</v>
      </c>
      <c r="AE327" s="1191" t="s">
        <v>368</v>
      </c>
      <c r="AF327" s="1191" t="s">
        <v>436</v>
      </c>
      <c r="AG327" s="1191">
        <v>1</v>
      </c>
      <c r="AH327" s="1191">
        <v>15</v>
      </c>
      <c r="AI327" s="1191">
        <v>0</v>
      </c>
      <c r="AJ327" s="1193">
        <f>VLOOKUP($I327,'Price List, Weapons &amp; Items'!B:F,5,0)</f>
        <v>0</v>
      </c>
      <c r="AK327" s="1193">
        <f t="shared" si="81"/>
        <v>0</v>
      </c>
      <c r="AL327" s="1193">
        <f t="shared" si="82"/>
        <v>0</v>
      </c>
      <c r="AM327" s="1193">
        <f t="shared" si="83"/>
        <v>0</v>
      </c>
      <c r="AN327" s="1194" t="str">
        <f>VLOOKUP($I327,'Price List, Weapons &amp; Items'!B:L,COLUMN('Price List, Weapons &amp; Items'!$J$11)-1,0)</f>
        <v>.</v>
      </c>
      <c r="AO327" s="1194" t="str">
        <f>IF(I327=".",".",VLOOKUP($I327,'Price List, Weapons &amp; Items'!B:J,3,0))</f>
        <v>Military equipment</v>
      </c>
      <c r="AP327" s="1195" t="str">
        <f t="shared" ca="1" si="77"/>
        <v/>
      </c>
      <c r="AQ327" s="1194">
        <f>VLOOKUP($I327,'Price List, Weapons &amp; Items'!B:L,COLUMN('Price List, Weapons &amp; Items'!$L$11)-1,0)</f>
        <v>0</v>
      </c>
      <c r="AR327" s="1194">
        <f t="shared" si="84"/>
        <v>1</v>
      </c>
      <c r="AS327" s="1194">
        <f t="shared" si="85"/>
        <v>1</v>
      </c>
      <c r="AT327" s="1194">
        <f t="shared" si="86"/>
        <v>1</v>
      </c>
      <c r="AU327" s="1194" t="str">
        <f t="shared" si="87"/>
        <v>.</v>
      </c>
      <c r="AV327" s="1194" t="str">
        <f t="shared" si="78"/>
        <v>.</v>
      </c>
      <c r="AW327" s="1194" t="str">
        <f t="shared" si="88"/>
        <v>.</v>
      </c>
      <c r="AX327" s="1194">
        <f>IFERROR(VLOOKUP(B327,'Share, Heavy Weapons to Ukraine'!B:Z,COLUMN('Share, Heavy Weapons to Ukraine'!C337)-1,0),0)</f>
        <v>0</v>
      </c>
      <c r="AY327" s="1194">
        <f>VLOOKUP('Bilateral Assistance, MAIN DATA'!B327,'Country Summary (€)'!B:F,COLUMN('Country Summary (€)'!C338)-1,FALSE)</f>
        <v>1</v>
      </c>
      <c r="AZ327" s="1194" t="str">
        <f>IF(AND(AD327=1,D327="Military",H327&lt;&gt;"Not given")=TRUE,IF(SUMIFS(P:P,A:A,A327)&gt;0,ABS((SUMIFS(P:P,A:A,A327)/VLOOKUP("USD",'Exchange Rates'!B:C,2,0)))/S327,"."),".")</f>
        <v>.</v>
      </c>
      <c r="BA327" s="1196" t="str">
        <f>IF(AND(AD327=1,D327="Military",H327&lt;&gt;"Not given")=TRUE,IF(SUMIFS(P:P,A:A,A327)&gt;0,IF((ABS((SUMIFS(P:P,A:A,A327)/VLOOKUP("USD",'Exchange Rates'!B:C,2,0)))/S327)&gt;1,(SUMIFS(P:P,A:A,A327)-S327)/S327,(S327-SUMIFS(P:P,A:A,A327))/SUMIFS(P:P,A:A,A327)),"."),".")</f>
        <v>.</v>
      </c>
      <c r="BB327" s="1208"/>
      <c r="BC327" s="1208"/>
      <c r="BD327" s="1208"/>
      <c r="BE327" s="1208"/>
      <c r="BF327" s="1208"/>
      <c r="BG327" s="1208"/>
      <c r="BH327" s="1208"/>
      <c r="BI327" s="1208"/>
      <c r="BJ327" s="1208"/>
      <c r="BK327" s="1208"/>
      <c r="BL327" s="1208"/>
      <c r="BM327" s="1208"/>
      <c r="BN327" s="1208"/>
      <c r="BO327" s="1208"/>
      <c r="BP327" s="1208"/>
      <c r="BQ327" s="1208"/>
      <c r="BR327" s="1208"/>
      <c r="BS327" s="1208"/>
    </row>
    <row r="328" spans="1:71" ht="15.95" customHeight="1">
      <c r="A328" s="1208" t="s">
        <v>1272</v>
      </c>
      <c r="B328" s="1208" t="s">
        <v>1194</v>
      </c>
      <c r="C328" s="1209">
        <v>45000</v>
      </c>
      <c r="D328" s="1208" t="s">
        <v>389</v>
      </c>
      <c r="E328" s="1208" t="s">
        <v>398</v>
      </c>
      <c r="F328" s="1208" t="s">
        <v>1286</v>
      </c>
      <c r="G328" s="1184" t="s">
        <v>1197</v>
      </c>
      <c r="H328" s="1185">
        <v>100000000</v>
      </c>
      <c r="I328" s="1208" t="s">
        <v>364</v>
      </c>
      <c r="J328" s="1186" t="str">
        <f>VLOOKUP($I328,'Price List, Weapons &amp; Items'!B:C,2,0)</f>
        <v>.</v>
      </c>
      <c r="K328" s="1186" t="str">
        <f>IF(I328=".",I328,VLOOKUP($I328,'Price List, Weapons &amp; Items'!B:D,3,0))</f>
        <v>.</v>
      </c>
      <c r="L328" s="1187">
        <f>VLOOKUP(I328,'Price List, Weapons &amp; Items'!B:E,4,0)</f>
        <v>0</v>
      </c>
      <c r="M328" s="1241" t="s">
        <v>364</v>
      </c>
      <c r="N328" s="1211" t="s">
        <v>364</v>
      </c>
      <c r="O328" s="1188" t="str">
        <f>VLOOKUP($I328,'Price List, Weapons &amp; Items'!B:G,6,0)</f>
        <v>.</v>
      </c>
      <c r="P328" s="1185" t="str">
        <f t="shared" si="79"/>
        <v>.</v>
      </c>
      <c r="Q328" s="1185" t="str">
        <f t="shared" si="80"/>
        <v>.</v>
      </c>
      <c r="R328" s="1185" t="str">
        <f t="shared" si="76"/>
        <v/>
      </c>
      <c r="S328" s="1185" t="str">
        <f>IF(AND(AD328=1,R328&lt;&gt;".")=TRUE,R328/VLOOKUP(G328,'Exchange Rates'!B:C,2,0),IF(R328=".",".",""))</f>
        <v/>
      </c>
      <c r="T328" s="1185" t="str">
        <f>IF(AD328=1,IF(AF328="Value is not given at all",".",IF(AF328="Value is given by the source",S328,IF(AF328="Value is calculated with prices",(IF(SUMIFS(Q:Q,A:A,A328)&gt;0,SUMIFS(Q:Q,A:A,A328),"."))/VLOOKUP("USD",'Exchange Rates'!B:C,2,0),"Error with coding"))),"")</f>
        <v/>
      </c>
      <c r="U328" s="1191" t="s">
        <v>365</v>
      </c>
      <c r="V328" s="966" t="s">
        <v>1287</v>
      </c>
      <c r="W328" s="966" t="s">
        <v>364</v>
      </c>
      <c r="X328" s="966" t="s">
        <v>364</v>
      </c>
      <c r="Y328" s="1208" t="s">
        <v>364</v>
      </c>
      <c r="Z328" s="1191">
        <v>0</v>
      </c>
      <c r="AA328" s="1191">
        <v>1</v>
      </c>
      <c r="AB328" s="1047" t="s">
        <v>364</v>
      </c>
      <c r="AC328" s="1192" t="str">
        <f>""</f>
        <v/>
      </c>
      <c r="AD328" s="1191">
        <v>0</v>
      </c>
      <c r="AE328" s="1191" t="s">
        <v>368</v>
      </c>
      <c r="AF328" s="1191" t="s">
        <v>369</v>
      </c>
      <c r="AG328" s="1191">
        <v>1</v>
      </c>
      <c r="AH328" s="1191">
        <v>15</v>
      </c>
      <c r="AI328" s="1191">
        <v>0</v>
      </c>
      <c r="AJ328" s="1193">
        <f>VLOOKUP($I328,'Price List, Weapons &amp; Items'!B:F,5,0)</f>
        <v>0</v>
      </c>
      <c r="AK328" s="1193">
        <f t="shared" si="81"/>
        <v>0</v>
      </c>
      <c r="AL328" s="1193">
        <f t="shared" si="82"/>
        <v>0</v>
      </c>
      <c r="AM328" s="1193">
        <f t="shared" si="83"/>
        <v>0</v>
      </c>
      <c r="AN328" s="1194" t="str">
        <f>VLOOKUP($I328,'Price List, Weapons &amp; Items'!B:L,COLUMN('Price List, Weapons &amp; Items'!$J$11)-1,0)</f>
        <v>.</v>
      </c>
      <c r="AO328" s="1194" t="str">
        <f>IF(I328=".",".",VLOOKUP($I328,'Price List, Weapons &amp; Items'!B:J,3,0))</f>
        <v>.</v>
      </c>
      <c r="AP328" s="1195" t="str">
        <f t="shared" ca="1" si="77"/>
        <v/>
      </c>
      <c r="AQ328" s="1194">
        <f>VLOOKUP($I328,'Price List, Weapons &amp; Items'!B:L,COLUMN('Price List, Weapons &amp; Items'!$L$11)-1,0)</f>
        <v>0</v>
      </c>
      <c r="AR328" s="1194">
        <f t="shared" si="84"/>
        <v>1</v>
      </c>
      <c r="AS328" s="1194">
        <f t="shared" si="85"/>
        <v>1</v>
      </c>
      <c r="AT328" s="1194">
        <f t="shared" si="86"/>
        <v>1</v>
      </c>
      <c r="AU328" s="1194" t="str">
        <f t="shared" si="87"/>
        <v>.</v>
      </c>
      <c r="AV328" s="1194" t="str">
        <f t="shared" si="78"/>
        <v>.</v>
      </c>
      <c r="AW328" s="1194" t="str">
        <f t="shared" si="88"/>
        <v>.</v>
      </c>
      <c r="AX328" s="1194">
        <f>IFERROR(VLOOKUP(B328,'Share, Heavy Weapons to Ukraine'!B:Z,COLUMN('Share, Heavy Weapons to Ukraine'!C338)-1,0),0)</f>
        <v>0</v>
      </c>
      <c r="AY328" s="1194">
        <f>VLOOKUP('Bilateral Assistance, MAIN DATA'!B328,'Country Summary (€)'!B:F,COLUMN('Country Summary (€)'!C339)-1,FALSE)</f>
        <v>1</v>
      </c>
      <c r="AZ328" s="1194" t="str">
        <f>IF(AND(AD328=1,D328="Military",H328&lt;&gt;"Not given")=TRUE,IF(SUMIFS(P:P,A:A,A328)&gt;0,ABS((SUMIFS(P:P,A:A,A328)/VLOOKUP("USD",'Exchange Rates'!B:C,2,0)))/S328,"."),".")</f>
        <v>.</v>
      </c>
      <c r="BA328" s="1196" t="str">
        <f>IF(AND(AD328=1,D328="Military",H328&lt;&gt;"Not given")=TRUE,IF(SUMIFS(P:P,A:A,A328)&gt;0,IF((ABS((SUMIFS(P:P,A:A,A328)/VLOOKUP("USD",'Exchange Rates'!B:C,2,0)))/S328)&gt;1,(SUMIFS(P:P,A:A,A328)-S328)/S328,(S328-SUMIFS(P:P,A:A,A328))/SUMIFS(P:P,A:A,A328)),"."),".")</f>
        <v>.</v>
      </c>
      <c r="BB328" s="1208"/>
      <c r="BC328" s="1208"/>
      <c r="BD328" s="1208"/>
      <c r="BE328" s="1208"/>
      <c r="BF328" s="1208"/>
      <c r="BG328" s="1208"/>
      <c r="BH328" s="1208"/>
      <c r="BI328" s="1208"/>
      <c r="BJ328" s="1208"/>
      <c r="BK328" s="1208"/>
      <c r="BL328" s="1208"/>
      <c r="BM328" s="1208"/>
      <c r="BN328" s="1208"/>
      <c r="BO328" s="1208"/>
      <c r="BP328" s="1208"/>
      <c r="BQ328" s="1208"/>
      <c r="BR328" s="1208"/>
      <c r="BS328" s="1208"/>
    </row>
    <row r="329" spans="1:71" ht="15.95" customHeight="1">
      <c r="A329" s="1208" t="s">
        <v>1272</v>
      </c>
      <c r="B329" s="1208" t="s">
        <v>1194</v>
      </c>
      <c r="C329" s="1209">
        <v>45036</v>
      </c>
      <c r="D329" s="1208" t="s">
        <v>389</v>
      </c>
      <c r="E329" s="1208" t="s">
        <v>443</v>
      </c>
      <c r="F329" s="1208" t="s">
        <v>1292</v>
      </c>
      <c r="G329" s="1184" t="s">
        <v>1197</v>
      </c>
      <c r="H329" s="1185" t="s">
        <v>457</v>
      </c>
      <c r="I329" s="1208" t="s">
        <v>874</v>
      </c>
      <c r="J329" s="1186" t="str">
        <f>VLOOKUP($I329,'Price List, Weapons &amp; Items'!B:C,2,0)</f>
        <v>Heavy weapon</v>
      </c>
      <c r="K329" s="1186" t="str">
        <f>IF(I329=".",I329,VLOOKUP($I329,'Price List, Weapons &amp; Items'!B:D,3,0))</f>
        <v>Main Battle Tank (MBT)</v>
      </c>
      <c r="L329" s="1187">
        <f>VLOOKUP(I329,'Price List, Weapons &amp; Items'!B:E,4,0)</f>
        <v>0</v>
      </c>
      <c r="M329" s="1241">
        <v>7</v>
      </c>
      <c r="N329" s="1211" t="s">
        <v>364</v>
      </c>
      <c r="O329" s="1188">
        <f>VLOOKUP($I329,'Price List, Weapons &amp; Items'!B:G,6,0)</f>
        <v>2138073.4315492632</v>
      </c>
      <c r="P329" s="1185">
        <f t="shared" si="79"/>
        <v>14966514.020844843</v>
      </c>
      <c r="Q329" s="1185" t="str">
        <f t="shared" si="80"/>
        <v>.</v>
      </c>
      <c r="R329" s="1185" t="str">
        <f t="shared" si="76"/>
        <v/>
      </c>
      <c r="S329" s="1185" t="str">
        <f>IF(AND(AD329=1,R329&lt;&gt;".")=TRUE,R329/VLOOKUP(G329,'Exchange Rates'!B:C,2,0),IF(R329=".",".",""))</f>
        <v/>
      </c>
      <c r="T329" s="1185" t="str">
        <f>IF(AD329=1,IF(AF329="Value is not given at all",".",IF(AF329="Value is given by the source",S329,IF(AF329="Value is calculated with prices",(IF(SUMIFS(Q:Q,A:A,A329)&gt;0,SUMIFS(Q:Q,A:A,A329),"."))/VLOOKUP("USD",'Exchange Rates'!B:C,2,0),"Error with coding"))),"")</f>
        <v/>
      </c>
      <c r="U329" s="1191" t="s">
        <v>365</v>
      </c>
      <c r="V329" s="966" t="s">
        <v>1293</v>
      </c>
      <c r="W329" s="966" t="s">
        <v>364</v>
      </c>
      <c r="X329" s="966" t="s">
        <v>364</v>
      </c>
      <c r="Y329" s="1208" t="s">
        <v>364</v>
      </c>
      <c r="Z329" s="1191">
        <v>0</v>
      </c>
      <c r="AA329" s="1191">
        <v>1</v>
      </c>
      <c r="AB329" s="1047" t="s">
        <v>364</v>
      </c>
      <c r="AC329" s="1192" t="str">
        <f>""</f>
        <v/>
      </c>
      <c r="AD329" s="1191">
        <v>0</v>
      </c>
      <c r="AE329" s="1191" t="s">
        <v>368</v>
      </c>
      <c r="AF329" s="1191" t="s">
        <v>369</v>
      </c>
      <c r="AG329" s="1191">
        <v>1</v>
      </c>
      <c r="AH329" s="1191">
        <v>16</v>
      </c>
      <c r="AI329" s="1191">
        <v>0</v>
      </c>
      <c r="AJ329" s="1193">
        <f>VLOOKUP($I329,'Price List, Weapons &amp; Items'!B:F,5,0)</f>
        <v>1</v>
      </c>
      <c r="AK329" s="1193">
        <f t="shared" si="81"/>
        <v>0</v>
      </c>
      <c r="AL329" s="1193">
        <f t="shared" si="82"/>
        <v>0</v>
      </c>
      <c r="AM329" s="1193">
        <f t="shared" si="83"/>
        <v>0</v>
      </c>
      <c r="AN329" s="1194" t="str">
        <f>VLOOKUP($I329,'Price List, Weapons &amp; Items'!B:L,COLUMN('Price List, Weapons &amp; Items'!$J$11)-1,0)</f>
        <v>Contracts</v>
      </c>
      <c r="AO329" s="1194" t="str">
        <f>IF(I329=".",".",VLOOKUP($I329,'Price List, Weapons &amp; Items'!B:J,3,0))</f>
        <v>Main Battle Tank (MBT)</v>
      </c>
      <c r="AP329" s="1195" t="str">
        <f t="shared" ca="1" si="77"/>
        <v/>
      </c>
      <c r="AQ329" s="1194">
        <f>VLOOKUP($I329,'Price List, Weapons &amp; Items'!B:L,COLUMN('Price List, Weapons &amp; Items'!$L$11)-1,0)</f>
        <v>2</v>
      </c>
      <c r="AR329" s="1194">
        <f t="shared" si="84"/>
        <v>1</v>
      </c>
      <c r="AS329" s="1194">
        <f t="shared" si="85"/>
        <v>1</v>
      </c>
      <c r="AT329" s="1194">
        <f t="shared" si="86"/>
        <v>1</v>
      </c>
      <c r="AU329" s="1194" t="str">
        <f t="shared" si="87"/>
        <v>.</v>
      </c>
      <c r="AV329" s="1194" t="str">
        <f t="shared" si="78"/>
        <v>.</v>
      </c>
      <c r="AW329" s="1194" t="str">
        <f t="shared" si="88"/>
        <v>.</v>
      </c>
      <c r="AX329" s="1194">
        <f>IFERROR(VLOOKUP(B329,'Share, Heavy Weapons to Ukraine'!B:Z,COLUMN('Share, Heavy Weapons to Ukraine'!C339)-1,0),0)</f>
        <v>0</v>
      </c>
      <c r="AY329" s="1194">
        <f>VLOOKUP('Bilateral Assistance, MAIN DATA'!B329,'Country Summary (€)'!B:F,COLUMN('Country Summary (€)'!C340)-1,FALSE)</f>
        <v>1</v>
      </c>
      <c r="AZ329" s="1194" t="str">
        <f>IF(AND(AD329=1,D329="Military",H329&lt;&gt;"Not given")=TRUE,IF(SUMIFS(P:P,A:A,A329)&gt;0,ABS((SUMIFS(P:P,A:A,A329)/VLOOKUP("USD",'Exchange Rates'!B:C,2,0)))/S329,"."),".")</f>
        <v>.</v>
      </c>
      <c r="BA329" s="1196" t="str">
        <f>IF(AND(AD329=1,D329="Military",H329&lt;&gt;"Not given")=TRUE,IF(SUMIFS(P:P,A:A,A329)&gt;0,IF((ABS((SUMIFS(P:P,A:A,A329)/VLOOKUP("USD",'Exchange Rates'!B:C,2,0)))/S329)&gt;1,(SUMIFS(P:P,A:A,A329)-S329)/S329,(S329-SUMIFS(P:P,A:A,A329))/SUMIFS(P:P,A:A,A329)),"."),".")</f>
        <v>.</v>
      </c>
      <c r="BB329" s="1208"/>
      <c r="BC329" s="1208"/>
      <c r="BD329" s="1208"/>
      <c r="BE329" s="1208"/>
      <c r="BF329" s="1208"/>
      <c r="BG329" s="1208"/>
      <c r="BH329" s="1208"/>
      <c r="BI329" s="1208"/>
      <c r="BJ329" s="1208"/>
      <c r="BK329" s="1208"/>
      <c r="BL329" s="1208"/>
      <c r="BM329" s="1208"/>
      <c r="BN329" s="1208"/>
      <c r="BO329" s="1208"/>
      <c r="BP329" s="1208"/>
      <c r="BQ329" s="1208"/>
      <c r="BR329" s="1208"/>
      <c r="BS329" s="1208"/>
    </row>
    <row r="330" spans="1:71" ht="15.95" customHeight="1">
      <c r="A330" s="1208" t="s">
        <v>1272</v>
      </c>
      <c r="B330" s="1180" t="s">
        <v>1194</v>
      </c>
      <c r="C330" s="1181">
        <v>45048</v>
      </c>
      <c r="D330" s="1182" t="s">
        <v>389</v>
      </c>
      <c r="E330" s="1182" t="s">
        <v>443</v>
      </c>
      <c r="F330" s="1183" t="s">
        <v>1294</v>
      </c>
      <c r="G330" s="1184" t="s">
        <v>1197</v>
      </c>
      <c r="H330" s="1185">
        <v>1700000000</v>
      </c>
      <c r="I330" s="1180" t="s">
        <v>364</v>
      </c>
      <c r="J330" s="1186" t="str">
        <f>VLOOKUP($I330,'Price List, Weapons &amp; Items'!B:C,2,0)</f>
        <v>.</v>
      </c>
      <c r="K330" s="1186" t="str">
        <f>IF(I330=".",I330,VLOOKUP($I330,'Price List, Weapons &amp; Items'!B:D,3,0))</f>
        <v>.</v>
      </c>
      <c r="L330" s="1187">
        <f>VLOOKUP(I330,'Price List, Weapons &amp; Items'!B:E,4,0)</f>
        <v>0</v>
      </c>
      <c r="M330" s="1188" t="s">
        <v>364</v>
      </c>
      <c r="N330" s="1188" t="s">
        <v>364</v>
      </c>
      <c r="O330" s="1188" t="str">
        <f>VLOOKUP($I330,'Price List, Weapons &amp; Items'!B:G,6,0)</f>
        <v>.</v>
      </c>
      <c r="P330" s="1185" t="str">
        <f t="shared" si="79"/>
        <v>.</v>
      </c>
      <c r="Q330" s="1185" t="str">
        <f t="shared" si="80"/>
        <v>.</v>
      </c>
      <c r="R330" s="1185" t="str">
        <f t="shared" si="76"/>
        <v/>
      </c>
      <c r="S330" s="1185" t="str">
        <f>IF(AND(AD330=1,R330&lt;&gt;".")=TRUE,R330/VLOOKUP(G330,'Exchange Rates'!B:C,2,0),IF(R330=".",".",""))</f>
        <v/>
      </c>
      <c r="T330" s="1185" t="str">
        <f>IF(AD330=1,IF(AF330="Value is not given at all",".",IF(AF330="Value is given by the source",S330,IF(AF330="Value is calculated with prices",(IF(SUMIFS(Q:Q,A:A,A330)&gt;0,SUMIFS(Q:Q,A:A,A330),"."))/VLOOKUP("USD",'Exchange Rates'!B:C,2,0),"Error with coding"))),"")</f>
        <v/>
      </c>
      <c r="U330" s="1184" t="s">
        <v>365</v>
      </c>
      <c r="V330" s="980" t="s">
        <v>1295</v>
      </c>
      <c r="W330" s="980" t="s">
        <v>1274</v>
      </c>
      <c r="X330" s="980" t="s">
        <v>1228</v>
      </c>
      <c r="Y330" s="1219" t="s">
        <v>364</v>
      </c>
      <c r="Z330" s="1184">
        <v>0</v>
      </c>
      <c r="AA330" s="1194">
        <v>1</v>
      </c>
      <c r="AB330" s="1212" t="s">
        <v>364</v>
      </c>
      <c r="AC330" s="1192" t="str">
        <f>""</f>
        <v/>
      </c>
      <c r="AD330" s="1194">
        <v>0</v>
      </c>
      <c r="AE330" s="1194" t="s">
        <v>368</v>
      </c>
      <c r="AF330" s="1191" t="s">
        <v>436</v>
      </c>
      <c r="AG330" s="1194">
        <v>1</v>
      </c>
      <c r="AH330" s="1194">
        <v>17</v>
      </c>
      <c r="AI330" s="1194">
        <v>0</v>
      </c>
      <c r="AJ330" s="1193">
        <f>VLOOKUP($I330,'Price List, Weapons &amp; Items'!B:F,5,0)</f>
        <v>0</v>
      </c>
      <c r="AK330" s="1193">
        <f t="shared" si="81"/>
        <v>0</v>
      </c>
      <c r="AL330" s="1193">
        <f t="shared" si="82"/>
        <v>0</v>
      </c>
      <c r="AM330" s="1193">
        <f t="shared" si="83"/>
        <v>0</v>
      </c>
      <c r="AN330" s="1194" t="str">
        <f>VLOOKUP($I330,'Price List, Weapons &amp; Items'!B:L,COLUMN('Price List, Weapons &amp; Items'!$J$11)-1,0)</f>
        <v>.</v>
      </c>
      <c r="AO330" s="1194" t="str">
        <f>IF(I330=".",".",VLOOKUP($I330,'Price List, Weapons &amp; Items'!B:J,3,0))</f>
        <v>.</v>
      </c>
      <c r="AP330" s="1195" t="str">
        <f t="shared" ca="1" si="77"/>
        <v/>
      </c>
      <c r="AQ330" s="1194">
        <f>VLOOKUP($I330,'Price List, Weapons &amp; Items'!B:L,COLUMN('Price List, Weapons &amp; Items'!$L$11)-1,0)</f>
        <v>0</v>
      </c>
      <c r="AR330" s="1194">
        <f t="shared" si="84"/>
        <v>1</v>
      </c>
      <c r="AS330" s="1194">
        <f t="shared" si="85"/>
        <v>1</v>
      </c>
      <c r="AT330" s="1194">
        <f t="shared" si="86"/>
        <v>1</v>
      </c>
      <c r="AU330" s="1194" t="str">
        <f t="shared" si="87"/>
        <v>.</v>
      </c>
      <c r="AV330" s="1194" t="str">
        <f t="shared" si="78"/>
        <v>.</v>
      </c>
      <c r="AW330" s="1194" t="str">
        <f t="shared" si="88"/>
        <v>.</v>
      </c>
      <c r="AX330" s="1194">
        <f>IFERROR(VLOOKUP(B330,'Share, Heavy Weapons to Ukraine'!B:Z,COLUMN('Share, Heavy Weapons to Ukraine'!C340)-1,0),0)</f>
        <v>0</v>
      </c>
      <c r="AY330" s="1194">
        <f>VLOOKUP('Bilateral Assistance, MAIN DATA'!B330,'Country Summary (€)'!B:F,COLUMN('Country Summary (€)'!C341)-1,FALSE)</f>
        <v>1</v>
      </c>
      <c r="AZ330" s="1194" t="str">
        <f>IF(AND(AD330=1,D330="Military",H330&lt;&gt;"Not given")=TRUE,IF(SUMIFS(P:P,A:A,A330)&gt;0,ABS((SUMIFS(P:P,A:A,A330)/VLOOKUP("USD",'Exchange Rates'!B:C,2,0)))/S330,"."),".")</f>
        <v>.</v>
      </c>
      <c r="BA330" s="1196" t="str">
        <f>IF(AND(AD330=1,D330="Military",H330&lt;&gt;"Not given")=TRUE,IF(SUMIFS(P:P,A:A,A330)&gt;0,IF((ABS((SUMIFS(P:P,A:A,A330)/VLOOKUP("USD",'Exchange Rates'!B:C,2,0)))/S330)&gt;1,(SUMIFS(P:P,A:A,A330)-S330)/S330,(S330-SUMIFS(P:P,A:A,A330))/SUMIFS(P:P,A:A,A330)),"."),".")</f>
        <v>.</v>
      </c>
    </row>
    <row r="331" spans="1:71" ht="15.95" customHeight="1">
      <c r="A331" s="1180" t="s">
        <v>1296</v>
      </c>
      <c r="B331" s="1180" t="s">
        <v>1194</v>
      </c>
      <c r="C331" s="1181">
        <v>44627</v>
      </c>
      <c r="D331" s="1182" t="s">
        <v>544</v>
      </c>
      <c r="E331" s="1182" t="s">
        <v>481</v>
      </c>
      <c r="F331" s="1183" t="s">
        <v>1297</v>
      </c>
      <c r="G331" s="1184" t="s">
        <v>483</v>
      </c>
      <c r="H331" s="1185">
        <v>20000000</v>
      </c>
      <c r="I331" s="1180" t="s">
        <v>364</v>
      </c>
      <c r="J331" s="1186" t="str">
        <f>VLOOKUP($I331,'Price List, Weapons &amp; Items'!B:C,2,0)</f>
        <v>.</v>
      </c>
      <c r="K331" s="1186" t="str">
        <f>IF(I331=".",I331,VLOOKUP($I331,'Price List, Weapons &amp; Items'!B:D,3,0))</f>
        <v>.</v>
      </c>
      <c r="L331" s="1187">
        <f>VLOOKUP(I331,'Price List, Weapons &amp; Items'!B:E,4,0)</f>
        <v>0</v>
      </c>
      <c r="M331" s="1188" t="s">
        <v>364</v>
      </c>
      <c r="N331" s="1188" t="s">
        <v>364</v>
      </c>
      <c r="O331" s="1188" t="str">
        <f>VLOOKUP($I331,'Price List, Weapons &amp; Items'!B:G,6,0)</f>
        <v>.</v>
      </c>
      <c r="P331" s="1185" t="str">
        <f t="shared" si="79"/>
        <v>.</v>
      </c>
      <c r="Q331" s="1185" t="str">
        <f t="shared" si="80"/>
        <v>.</v>
      </c>
      <c r="R331" s="1185">
        <f t="shared" si="76"/>
        <v>20000000</v>
      </c>
      <c r="S331" s="1185">
        <f>IF(AND(AD331=1,R331&lt;&gt;".")=TRUE,R331/VLOOKUP(G331,'Exchange Rates'!B:C,2,0),IF(R331=".",".",""))</f>
        <v>20000000</v>
      </c>
      <c r="T331" s="1185" t="str">
        <f>IF(AD331=1,IF(AF331="Value is not given at all",".",IF(AF331="Value is given by the source",S331,IF(AF331="Value is calculated with prices",(IF(SUMIFS(Q:Q,A:A,A331)&gt;0,SUMIFS(Q:Q,A:A,A331),"."))/VLOOKUP("USD",'Exchange Rates'!B:C,2,0),"Error with coding"))),"")</f>
        <v>.</v>
      </c>
      <c r="U331" s="1184" t="s">
        <v>365</v>
      </c>
      <c r="V331" s="971" t="s">
        <v>1298</v>
      </c>
      <c r="W331" s="971" t="s">
        <v>1299</v>
      </c>
      <c r="X331" s="1190" t="s">
        <v>364</v>
      </c>
      <c r="Y331" s="1190" t="s">
        <v>364</v>
      </c>
      <c r="Z331" s="1184">
        <v>1</v>
      </c>
      <c r="AA331" s="1194">
        <v>0</v>
      </c>
      <c r="AB331" s="1201" t="s">
        <v>364</v>
      </c>
      <c r="AC331" s="1192" t="str">
        <f>""</f>
        <v/>
      </c>
      <c r="AD331" s="1193">
        <v>1</v>
      </c>
      <c r="AE331" s="1193" t="s">
        <v>368</v>
      </c>
      <c r="AF331" s="1193" t="s">
        <v>369</v>
      </c>
      <c r="AG331" s="1193">
        <v>1</v>
      </c>
      <c r="AH331" s="1193">
        <v>3</v>
      </c>
      <c r="AI331" s="1193">
        <v>0</v>
      </c>
      <c r="AJ331" s="1193">
        <f>VLOOKUP($I331,'Price List, Weapons &amp; Items'!B:F,5,0)</f>
        <v>0</v>
      </c>
      <c r="AK331" s="1193">
        <f t="shared" si="81"/>
        <v>0</v>
      </c>
      <c r="AL331" s="1193">
        <f t="shared" si="82"/>
        <v>0</v>
      </c>
      <c r="AM331" s="1193">
        <f t="shared" si="83"/>
        <v>0</v>
      </c>
      <c r="AN331" s="1194" t="str">
        <f>VLOOKUP($I331,'Price List, Weapons &amp; Items'!B:L,COLUMN('Price List, Weapons &amp; Items'!$J$11)-1,0)</f>
        <v>.</v>
      </c>
      <c r="AO331" s="1194" t="str">
        <f>IF(I331=".",".",VLOOKUP($I331,'Price List, Weapons &amp; Items'!B:J,3,0))</f>
        <v>.</v>
      </c>
      <c r="AP331" s="1195" t="str">
        <f t="shared" ca="1" si="77"/>
        <v>.</v>
      </c>
      <c r="AQ331" s="1194">
        <f>VLOOKUP($I331,'Price List, Weapons &amp; Items'!B:L,COLUMN('Price List, Weapons &amp; Items'!$L$11)-1,0)</f>
        <v>0</v>
      </c>
      <c r="AR331" s="1194">
        <f t="shared" si="84"/>
        <v>1</v>
      </c>
      <c r="AS331" s="1194">
        <f t="shared" si="85"/>
        <v>0</v>
      </c>
      <c r="AT331" s="1194">
        <f t="shared" si="86"/>
        <v>1</v>
      </c>
      <c r="AU331" s="1194" t="str">
        <f t="shared" si="87"/>
        <v>.</v>
      </c>
      <c r="AV331" s="1194" t="str">
        <f t="shared" si="78"/>
        <v>.</v>
      </c>
      <c r="AW331" s="1194" t="str">
        <f t="shared" si="88"/>
        <v>.</v>
      </c>
      <c r="AX331" s="1194">
        <f>IFERROR(VLOOKUP(B331,'Share, Heavy Weapons to Ukraine'!B:Z,COLUMN('Share, Heavy Weapons to Ukraine'!C341)-1,0),0)</f>
        <v>0</v>
      </c>
      <c r="AY331" s="1194">
        <f>VLOOKUP('Bilateral Assistance, MAIN DATA'!B331,'Country Summary (€)'!B:F,COLUMN('Country Summary (€)'!C342)-1,FALSE)</f>
        <v>1</v>
      </c>
      <c r="AZ331" s="1194" t="str">
        <f>IF(AND(AD331=1,D331="Military",H331&lt;&gt;"Not given")=TRUE,IF(SUMIFS(P:P,A:A,A331)&gt;0,ABS((SUMIFS(P:P,A:A,A331)/VLOOKUP("USD",'Exchange Rates'!B:C,2,0)))/S331,"."),".")</f>
        <v>.</v>
      </c>
      <c r="BA331" s="1196" t="str">
        <f>IF(AND(AD331=1,D331="Military",H331&lt;&gt;"Not given")=TRUE,IF(SUMIFS(P:P,A:A,A331)&gt;0,IF((ABS((SUMIFS(P:P,A:A,A331)/VLOOKUP("USD",'Exchange Rates'!B:C,2,0)))/S331)&gt;1,(SUMIFS(P:P,A:A,A331)-S331)/S331,(S331-SUMIFS(P:P,A:A,A331))/SUMIFS(P:P,A:A,A331)),"."),".")</f>
        <v>.</v>
      </c>
    </row>
    <row r="332" spans="1:71" ht="15.95" customHeight="1">
      <c r="A332" s="1180" t="s">
        <v>1300</v>
      </c>
      <c r="B332" s="1180" t="s">
        <v>1194</v>
      </c>
      <c r="C332" s="1181">
        <v>44834</v>
      </c>
      <c r="D332" s="1182" t="s">
        <v>544</v>
      </c>
      <c r="E332" s="1182" t="s">
        <v>481</v>
      </c>
      <c r="F332" s="1183" t="s">
        <v>1301</v>
      </c>
      <c r="G332" s="1184" t="s">
        <v>483</v>
      </c>
      <c r="H332" s="1185">
        <v>37500000</v>
      </c>
      <c r="I332" s="1180" t="s">
        <v>364</v>
      </c>
      <c r="J332" s="1186" t="str">
        <f>VLOOKUP($I332,'Price List, Weapons &amp; Items'!B:C,2,0)</f>
        <v>.</v>
      </c>
      <c r="K332" s="1186" t="str">
        <f>IF(I332=".",I332,VLOOKUP($I332,'Price List, Weapons &amp; Items'!B:D,3,0))</f>
        <v>.</v>
      </c>
      <c r="L332" s="1187">
        <f>VLOOKUP(I332,'Price List, Weapons &amp; Items'!B:E,4,0)</f>
        <v>0</v>
      </c>
      <c r="M332" s="1188" t="s">
        <v>364</v>
      </c>
      <c r="N332" s="1188" t="s">
        <v>364</v>
      </c>
      <c r="O332" s="1188" t="str">
        <f>VLOOKUP($I332,'Price List, Weapons &amp; Items'!B:G,6,0)</f>
        <v>.</v>
      </c>
      <c r="P332" s="1185" t="str">
        <f t="shared" si="79"/>
        <v>.</v>
      </c>
      <c r="Q332" s="1185" t="str">
        <f t="shared" si="80"/>
        <v>.</v>
      </c>
      <c r="R332" s="1185">
        <f t="shared" si="76"/>
        <v>37500000</v>
      </c>
      <c r="S332" s="1185">
        <f>IF(AND(AD332=1,R332&lt;&gt;".")=TRUE,R332/VLOOKUP(G332,'Exchange Rates'!B:C,2,0),IF(R332=".",".",""))</f>
        <v>37500000</v>
      </c>
      <c r="T332" s="1185" t="str">
        <f>IF(AD332=1,IF(AF332="Value is not given at all",".",IF(AF332="Value is given by the source",S332,IF(AF332="Value is calculated with prices",(IF(SUMIFS(Q:Q,A:A,A332)&gt;0,SUMIFS(Q:Q,A:A,A332),"."))/VLOOKUP("USD",'Exchange Rates'!B:C,2,0),"Error with coding"))),"")</f>
        <v>.</v>
      </c>
      <c r="U332" s="1184" t="s">
        <v>365</v>
      </c>
      <c r="V332" s="971" t="s">
        <v>1199</v>
      </c>
      <c r="W332" s="971" t="s">
        <v>1302</v>
      </c>
      <c r="X332" s="1017" t="s">
        <v>1303</v>
      </c>
      <c r="Y332" s="1017" t="s">
        <v>1199</v>
      </c>
      <c r="Z332" s="1184">
        <v>1</v>
      </c>
      <c r="AA332" s="1194">
        <v>0</v>
      </c>
      <c r="AB332" s="1201" t="s">
        <v>364</v>
      </c>
      <c r="AC332" s="1192" t="str">
        <f>""</f>
        <v/>
      </c>
      <c r="AD332" s="1193">
        <v>1</v>
      </c>
      <c r="AE332" s="1193" t="s">
        <v>368</v>
      </c>
      <c r="AF332" s="1193" t="s">
        <v>369</v>
      </c>
      <c r="AG332" s="1193">
        <v>1</v>
      </c>
      <c r="AH332" s="1193">
        <v>9</v>
      </c>
      <c r="AI332" s="1193">
        <v>0</v>
      </c>
      <c r="AJ332" s="1193">
        <f>VLOOKUP($I332,'Price List, Weapons &amp; Items'!B:F,5,0)</f>
        <v>0</v>
      </c>
      <c r="AK332" s="1193">
        <f t="shared" si="81"/>
        <v>0</v>
      </c>
      <c r="AL332" s="1193">
        <f t="shared" si="82"/>
        <v>0</v>
      </c>
      <c r="AM332" s="1193">
        <f t="shared" si="83"/>
        <v>0</v>
      </c>
      <c r="AN332" s="1194" t="str">
        <f>VLOOKUP($I332,'Price List, Weapons &amp; Items'!B:L,COLUMN('Price List, Weapons &amp; Items'!$J$11)-1,0)</f>
        <v>.</v>
      </c>
      <c r="AO332" s="1194" t="str">
        <f>IF(I332=".",".",VLOOKUP($I332,'Price List, Weapons &amp; Items'!B:J,3,0))</f>
        <v>.</v>
      </c>
      <c r="AP332" s="1195" t="str">
        <f t="shared" ca="1" si="77"/>
        <v>.</v>
      </c>
      <c r="AQ332" s="1194">
        <f>VLOOKUP($I332,'Price List, Weapons &amp; Items'!B:L,COLUMN('Price List, Weapons &amp; Items'!$L$11)-1,0)</f>
        <v>0</v>
      </c>
      <c r="AR332" s="1194">
        <f t="shared" si="84"/>
        <v>1</v>
      </c>
      <c r="AS332" s="1194">
        <f t="shared" si="85"/>
        <v>0</v>
      </c>
      <c r="AT332" s="1194">
        <f t="shared" si="86"/>
        <v>1</v>
      </c>
      <c r="AU332" s="1194" t="str">
        <f t="shared" si="87"/>
        <v>.</v>
      </c>
      <c r="AV332" s="1194" t="str">
        <f t="shared" si="78"/>
        <v>.</v>
      </c>
      <c r="AW332" s="1194" t="str">
        <f t="shared" si="88"/>
        <v>.</v>
      </c>
      <c r="AX332" s="1194">
        <f>IFERROR(VLOOKUP(B332,'Share, Heavy Weapons to Ukraine'!B:Z,COLUMN('Share, Heavy Weapons to Ukraine'!C342)-1,0),0)</f>
        <v>0</v>
      </c>
      <c r="AY332" s="1194">
        <f>VLOOKUP('Bilateral Assistance, MAIN DATA'!B332,'Country Summary (€)'!B:F,COLUMN('Country Summary (€)'!C343)-1,FALSE)</f>
        <v>1</v>
      </c>
      <c r="AZ332" s="1194" t="str">
        <f>IF(AND(AD332=1,D332="Military",H332&lt;&gt;"Not given")=TRUE,IF(SUMIFS(P:P,A:A,A332)&gt;0,ABS((SUMIFS(P:P,A:A,A332)/VLOOKUP("USD",'Exchange Rates'!B:C,2,0)))/S332,"."),".")</f>
        <v>.</v>
      </c>
      <c r="BA332" s="1196" t="str">
        <f>IF(AND(AD332=1,D332="Military",H332&lt;&gt;"Not given")=TRUE,IF(SUMIFS(P:P,A:A,A332)&gt;0,IF((ABS((SUMIFS(P:P,A:A,A332)/VLOOKUP("USD",'Exchange Rates'!B:C,2,0)))/S332)&gt;1,(SUMIFS(P:P,A:A,A332)-S332)/S332,(S332-SUMIFS(P:P,A:A,A332))/SUMIFS(P:P,A:A,A332)),"."),".")</f>
        <v>.</v>
      </c>
    </row>
    <row r="333" spans="1:71" ht="15.95" customHeight="1">
      <c r="A333" s="1182" t="s">
        <v>1304</v>
      </c>
      <c r="B333" s="1182" t="s">
        <v>1305</v>
      </c>
      <c r="C333" s="1181" t="s">
        <v>1306</v>
      </c>
      <c r="D333" s="1182" t="s">
        <v>389</v>
      </c>
      <c r="E333" s="1182" t="s">
        <v>390</v>
      </c>
      <c r="F333" s="1183" t="s">
        <v>1307</v>
      </c>
      <c r="G333" s="1184" t="s">
        <v>483</v>
      </c>
      <c r="H333" s="1185">
        <v>240000000</v>
      </c>
      <c r="I333" s="1180" t="s">
        <v>1308</v>
      </c>
      <c r="J333" s="1186" t="str">
        <f>VLOOKUP($I333,'Price List, Weapons &amp; Items'!B:C,2,0)</f>
        <v>Military equipment</v>
      </c>
      <c r="K333" s="1186" t="str">
        <f>IF(I333=".",I333,VLOOKUP($I333,'Price List, Weapons &amp; Items'!B:D,3,0))</f>
        <v>Military equipment</v>
      </c>
      <c r="L333" s="1187">
        <f>VLOOKUP(I333,'Price List, Weapons &amp; Items'!B:E,4,0)</f>
        <v>0</v>
      </c>
      <c r="M333" s="1188">
        <v>25000</v>
      </c>
      <c r="N333" s="1188">
        <f t="shared" ref="N333:N351" si="89">M333</f>
        <v>25000</v>
      </c>
      <c r="O333" s="1188">
        <f>VLOOKUP($I333,'Price List, Weapons &amp; Items'!B:G,6,0)</f>
        <v>22</v>
      </c>
      <c r="P333" s="1185">
        <f t="shared" si="79"/>
        <v>550000</v>
      </c>
      <c r="Q333" s="1185">
        <f t="shared" si="80"/>
        <v>550000</v>
      </c>
      <c r="R333" s="1185">
        <f t="shared" si="76"/>
        <v>240000000</v>
      </c>
      <c r="S333" s="1185">
        <f>IF(AND(AD333=1,R333&lt;&gt;".")=TRUE,R333/VLOOKUP(G333,'Exchange Rates'!B:C,2,0),IF(R333=".",".",""))</f>
        <v>240000000</v>
      </c>
      <c r="T333" s="1185">
        <f>IF(AD333=1,IF(AF333="Value is not given at all",".",IF(AF333="Value is given by the source",S333,IF(AF333="Value is calculated with prices",(IF(SUMIFS(Q:Q,A:A,A333)&gt;0,SUMIFS(Q:Q,A:A,A333),"."))/VLOOKUP("USD",'Exchange Rates'!B:C,2,0),"Error with coding"))),"")</f>
        <v>240000000</v>
      </c>
      <c r="U333" s="1184" t="s">
        <v>365</v>
      </c>
      <c r="V333" s="974" t="s">
        <v>1309</v>
      </c>
      <c r="W333" s="974" t="s">
        <v>1310</v>
      </c>
      <c r="X333" s="974" t="s">
        <v>1311</v>
      </c>
      <c r="Y333" s="974" t="s">
        <v>1312</v>
      </c>
      <c r="Z333" s="1184">
        <v>0</v>
      </c>
      <c r="AA333" s="1194">
        <v>0</v>
      </c>
      <c r="AB333" s="977" t="s">
        <v>1313</v>
      </c>
      <c r="AC333" s="1192" t="str">
        <f>""</f>
        <v/>
      </c>
      <c r="AD333" s="1193">
        <v>1</v>
      </c>
      <c r="AE333" s="1193" t="s">
        <v>368</v>
      </c>
      <c r="AF333" s="1193" t="s">
        <v>368</v>
      </c>
      <c r="AG333" s="1193">
        <v>1</v>
      </c>
      <c r="AH333" s="1193">
        <v>5</v>
      </c>
      <c r="AI333" s="1193">
        <v>0</v>
      </c>
      <c r="AJ333" s="1193">
        <f>VLOOKUP($I333,'Price List, Weapons &amp; Items'!B:F,5,0)</f>
        <v>0</v>
      </c>
      <c r="AK333" s="1193">
        <f t="shared" si="81"/>
        <v>0</v>
      </c>
      <c r="AL333" s="1193">
        <f t="shared" si="82"/>
        <v>0</v>
      </c>
      <c r="AM333" s="1193">
        <f t="shared" si="83"/>
        <v>0</v>
      </c>
      <c r="AN333" s="1194" t="str">
        <f>VLOOKUP($I333,'Price List, Weapons &amp; Items'!B:L,COLUMN('Price List, Weapons &amp; Items'!$J$11)-1,0)</f>
        <v>Online marketplaces and stores</v>
      </c>
      <c r="AO333" s="1194" t="str">
        <f>IF(I333=".",".",VLOOKUP($I333,'Price List, Weapons &amp; Items'!B:J,3,0))</f>
        <v>Military equipment</v>
      </c>
      <c r="AP333" s="1195" t="str">
        <f t="shared" ca="1" si="77"/>
        <v>food ration M</v>
      </c>
      <c r="AQ333" s="1194">
        <f>VLOOKUP($I333,'Price List, Weapons &amp; Items'!B:L,COLUMN('Price List, Weapons &amp; Items'!$L$11)-1,0)</f>
        <v>2</v>
      </c>
      <c r="AR333" s="1194">
        <f t="shared" si="84"/>
        <v>1</v>
      </c>
      <c r="AS333" s="1194">
        <f t="shared" si="85"/>
        <v>1</v>
      </c>
      <c r="AT333" s="1194" t="str">
        <f t="shared" si="86"/>
        <v>Value is not in date format</v>
      </c>
      <c r="AU333" s="1194" t="str">
        <f t="shared" si="87"/>
        <v>.</v>
      </c>
      <c r="AV333" s="1194" t="str">
        <f t="shared" si="78"/>
        <v>.</v>
      </c>
      <c r="AW333" s="1194" t="str">
        <f t="shared" si="88"/>
        <v>.</v>
      </c>
      <c r="AX333" s="1194">
        <f>IFERROR(VLOOKUP(B333,'Share, Heavy Weapons to Ukraine'!B:Z,COLUMN('Share, Heavy Weapons to Ukraine'!C343)-1,0),0)</f>
        <v>0</v>
      </c>
      <c r="AY333" s="1194">
        <f>VLOOKUP('Bilateral Assistance, MAIN DATA'!B333,'Country Summary (€)'!B:F,COLUMN('Country Summary (€)'!C344)-1,FALSE)</f>
        <v>1</v>
      </c>
      <c r="AZ333" s="1194">
        <f>IF(AND(AD333=1,D333="Military",H333&lt;&gt;"Not given")=TRUE,IF(SUMIFS(P:P,A:A,A333)&gt;0,ABS((SUMIFS(P:P,A:A,A333)/VLOOKUP("USD",'Exchange Rates'!B:C,2,0)))/S333,"."),".")</f>
        <v>4.6437323641271011E-3</v>
      </c>
      <c r="BA333" s="1196">
        <f>IF(AND(AD333=1,D333="Military",H333&lt;&gt;"Not given")=TRUE,IF(SUMIFS(P:P,A:A,A333)&gt;0,IF((ABS((SUMIFS(P:P,A:A,A333)/VLOOKUP("USD",'Exchange Rates'!B:C,2,0)))/S333)&gt;1,(SUMIFS(P:P,A:A,A333)-S333)/S333,(S333-SUMIFS(P:P,A:A,A333))/SUMIFS(P:P,A:A,A333)),"."),".")</f>
        <v>197.14503225636005</v>
      </c>
    </row>
    <row r="334" spans="1:71" ht="15.95" customHeight="1">
      <c r="A334" s="1182" t="s">
        <v>1304</v>
      </c>
      <c r="B334" s="1182" t="s">
        <v>1305</v>
      </c>
      <c r="C334" s="1181" t="s">
        <v>1306</v>
      </c>
      <c r="D334" s="1182" t="s">
        <v>389</v>
      </c>
      <c r="E334" s="1182" t="s">
        <v>390</v>
      </c>
      <c r="F334" s="1183" t="s">
        <v>1307</v>
      </c>
      <c r="G334" s="1184" t="s">
        <v>483</v>
      </c>
      <c r="H334" s="1185">
        <v>240000000</v>
      </c>
      <c r="I334" s="1180" t="s">
        <v>1314</v>
      </c>
      <c r="J334" s="1186" t="str">
        <f>VLOOKUP($I334,'Price List, Weapons &amp; Items'!B:C,2,0)</f>
        <v>Ammunition for portable defence system</v>
      </c>
      <c r="K334" s="1186" t="str">
        <f>IF(I334=".",I334,VLOOKUP($I334,'Price List, Weapons &amp; Items'!B:D,3,0))</f>
        <v>Light Anti-armor Weapon (LAW) ammunition</v>
      </c>
      <c r="L334" s="1187">
        <f>VLOOKUP(I334,'Price List, Weapons &amp; Items'!B:E,4,0)</f>
        <v>0</v>
      </c>
      <c r="M334" s="1188" t="s">
        <v>374</v>
      </c>
      <c r="N334" s="1188" t="str">
        <f t="shared" si="89"/>
        <v>undisclosed</v>
      </c>
      <c r="O334" s="1188">
        <f>VLOOKUP($I334,'Price List, Weapons &amp; Items'!B:G,6,0)</f>
        <v>78000</v>
      </c>
      <c r="P334" s="1185" t="str">
        <f t="shared" si="79"/>
        <v>.</v>
      </c>
      <c r="Q334" s="1185" t="str">
        <f t="shared" si="80"/>
        <v>.</v>
      </c>
      <c r="R334" s="1185" t="str">
        <f t="shared" si="76"/>
        <v/>
      </c>
      <c r="S334" s="1185" t="str">
        <f>IF(AND(AD334=1,R334&lt;&gt;".")=TRUE,R334/VLOOKUP(G334,'Exchange Rates'!B:C,2,0),IF(R334=".",".",""))</f>
        <v/>
      </c>
      <c r="T334" s="1185" t="str">
        <f>IF(AD334=1,IF(AF334="Value is not given at all",".",IF(AF334="Value is given by the source",S334,IF(AF334="Value is calculated with prices",(IF(SUMIFS(Q:Q,A:A,A334)&gt;0,SUMIFS(Q:Q,A:A,A334),"."))/VLOOKUP("USD",'Exchange Rates'!B:C,2,0),"Error with coding"))),"")</f>
        <v/>
      </c>
      <c r="U334" s="1184" t="s">
        <v>365</v>
      </c>
      <c r="V334" s="974" t="s">
        <v>1309</v>
      </c>
      <c r="W334" s="974" t="s">
        <v>1310</v>
      </c>
      <c r="X334" s="974" t="s">
        <v>1311</v>
      </c>
      <c r="Y334" s="974" t="s">
        <v>1312</v>
      </c>
      <c r="Z334" s="1184">
        <v>0</v>
      </c>
      <c r="AA334" s="1194">
        <v>0</v>
      </c>
      <c r="AB334" s="977" t="s">
        <v>1313</v>
      </c>
      <c r="AC334" s="1192" t="str">
        <f>""</f>
        <v/>
      </c>
      <c r="AD334" s="1193">
        <v>0</v>
      </c>
      <c r="AE334" s="1193" t="s">
        <v>368</v>
      </c>
      <c r="AF334" s="1193" t="s">
        <v>368</v>
      </c>
      <c r="AG334" s="1193">
        <v>1</v>
      </c>
      <c r="AH334" s="1193">
        <v>5</v>
      </c>
      <c r="AI334" s="1193">
        <v>0</v>
      </c>
      <c r="AJ334" s="1193">
        <f>VLOOKUP($I334,'Price List, Weapons &amp; Items'!B:F,5,0)</f>
        <v>0</v>
      </c>
      <c r="AK334" s="1193">
        <f t="shared" si="81"/>
        <v>0</v>
      </c>
      <c r="AL334" s="1193">
        <f t="shared" si="82"/>
        <v>0</v>
      </c>
      <c r="AM334" s="1193">
        <f t="shared" si="83"/>
        <v>0</v>
      </c>
      <c r="AN334" s="1194" t="str">
        <f>VLOOKUP($I334,'Price List, Weapons &amp; Items'!B:L,COLUMN('Price List, Weapons &amp; Items'!$J$11)-1,0)</f>
        <v>Military media (incl. websites)</v>
      </c>
      <c r="AO334" s="1194" t="str">
        <f>IF(I334=".",".",VLOOKUP($I334,'Price List, Weapons &amp; Items'!B:J,3,0))</f>
        <v>Light Anti-armor Weapon (LAW) ammunition</v>
      </c>
      <c r="AP334" s="1195" t="str">
        <f t="shared" ca="1" si="77"/>
        <v/>
      </c>
      <c r="AQ334" s="1194">
        <f>VLOOKUP($I334,'Price List, Weapons &amp; Items'!B:L,COLUMN('Price List, Weapons &amp; Items'!$L$11)-1,0)</f>
        <v>2</v>
      </c>
      <c r="AR334" s="1194">
        <f t="shared" si="84"/>
        <v>1</v>
      </c>
      <c r="AS334" s="1194">
        <f t="shared" si="85"/>
        <v>1</v>
      </c>
      <c r="AT334" s="1194" t="str">
        <f t="shared" si="86"/>
        <v>Value is not in date format</v>
      </c>
      <c r="AU334" s="1194" t="str">
        <f t="shared" si="87"/>
        <v>.</v>
      </c>
      <c r="AV334" s="1194" t="str">
        <f t="shared" si="78"/>
        <v>.</v>
      </c>
      <c r="AW334" s="1194" t="str">
        <f t="shared" si="88"/>
        <v>.</v>
      </c>
      <c r="AX334" s="1194">
        <f>IFERROR(VLOOKUP(B334,'Share, Heavy Weapons to Ukraine'!B:Z,COLUMN('Share, Heavy Weapons to Ukraine'!C344)-1,0),0)</f>
        <v>0</v>
      </c>
      <c r="AY334" s="1194">
        <f>VLOOKUP('Bilateral Assistance, MAIN DATA'!B334,'Country Summary (€)'!B:F,COLUMN('Country Summary (€)'!C345)-1,FALSE)</f>
        <v>1</v>
      </c>
      <c r="AZ334" s="1194" t="str">
        <f>IF(AND(AD334=1,D334="Military",H334&lt;&gt;"Not given")=TRUE,IF(SUMIFS(P:P,A:A,A334)&gt;0,ABS((SUMIFS(P:P,A:A,A334)/VLOOKUP("USD",'Exchange Rates'!B:C,2,0)))/S334,"."),".")</f>
        <v>.</v>
      </c>
      <c r="BA334" s="1196" t="str">
        <f>IF(AND(AD334=1,D334="Military",H334&lt;&gt;"Not given")=TRUE,IF(SUMIFS(P:P,A:A,A334)&gt;0,IF((ABS((SUMIFS(P:P,A:A,A334)/VLOOKUP("USD",'Exchange Rates'!B:C,2,0)))/S334)&gt;1,(SUMIFS(P:P,A:A,A334)-S334)/S334,(S334-SUMIFS(P:P,A:A,A334))/SUMIFS(P:P,A:A,A334)),"."),".")</f>
        <v>.</v>
      </c>
    </row>
    <row r="335" spans="1:71" ht="15.95" customHeight="1">
      <c r="A335" s="1182" t="s">
        <v>1304</v>
      </c>
      <c r="B335" s="1182" t="s">
        <v>1305</v>
      </c>
      <c r="C335" s="1181" t="s">
        <v>1306</v>
      </c>
      <c r="D335" s="1182" t="s">
        <v>389</v>
      </c>
      <c r="E335" s="1182" t="s">
        <v>390</v>
      </c>
      <c r="F335" s="1183" t="s">
        <v>1307</v>
      </c>
      <c r="G335" s="1184" t="s">
        <v>483</v>
      </c>
      <c r="H335" s="1185">
        <v>240000000</v>
      </c>
      <c r="I335" s="1180" t="s">
        <v>1315</v>
      </c>
      <c r="J335" s="1186" t="str">
        <f>VLOOKUP($I335,'Price List, Weapons &amp; Items'!B:C,2,0)</f>
        <v>Heavy weapon</v>
      </c>
      <c r="K335" s="1186" t="str">
        <f>IF(I335=".",I335,VLOOKUP($I335,'Price List, Weapons &amp; Items'!B:D,3,0))</f>
        <v>122mm howitzer</v>
      </c>
      <c r="L335" s="1187">
        <f>VLOOKUP(I335,'Price List, Weapons &amp; Items'!B:E,4,0)</f>
        <v>1</v>
      </c>
      <c r="M335" s="1188" t="s">
        <v>374</v>
      </c>
      <c r="N335" s="1188" t="str">
        <f t="shared" si="89"/>
        <v>undisclosed</v>
      </c>
      <c r="O335" s="1188">
        <f>VLOOKUP($I335,'Price List, Weapons &amp; Items'!B:G,6,0)</f>
        <v>80503.62</v>
      </c>
      <c r="P335" s="1185" t="str">
        <f t="shared" si="79"/>
        <v>.</v>
      </c>
      <c r="Q335" s="1185" t="str">
        <f t="shared" si="80"/>
        <v>.</v>
      </c>
      <c r="R335" s="1185" t="str">
        <f t="shared" si="76"/>
        <v/>
      </c>
      <c r="S335" s="1185" t="str">
        <f>IF(AND(AD335=1,R335&lt;&gt;".")=TRUE,R335/VLOOKUP(G335,'Exchange Rates'!B:C,2,0),IF(R335=".",".",""))</f>
        <v/>
      </c>
      <c r="T335" s="1185" t="str">
        <f>IF(AD335=1,IF(AF335="Value is not given at all",".",IF(AF335="Value is given by the source",S335,IF(AF335="Value is calculated with prices",(IF(SUMIFS(Q:Q,A:A,A335)&gt;0,SUMIFS(Q:Q,A:A,A335),"."))/VLOOKUP("USD",'Exchange Rates'!B:C,2,0),"Error with coding"))),"")</f>
        <v/>
      </c>
      <c r="U335" s="1184" t="s">
        <v>365</v>
      </c>
      <c r="V335" s="974" t="s">
        <v>1309</v>
      </c>
      <c r="W335" s="974" t="s">
        <v>1310</v>
      </c>
      <c r="X335" s="974" t="s">
        <v>1311</v>
      </c>
      <c r="Y335" s="974" t="s">
        <v>1312</v>
      </c>
      <c r="Z335" s="1184">
        <v>0</v>
      </c>
      <c r="AA335" s="1194">
        <v>0</v>
      </c>
      <c r="AB335" s="977" t="s">
        <v>1313</v>
      </c>
      <c r="AC335" s="1192" t="str">
        <f>""</f>
        <v/>
      </c>
      <c r="AD335" s="1193">
        <v>0</v>
      </c>
      <c r="AE335" s="1193" t="s">
        <v>368</v>
      </c>
      <c r="AF335" s="1193" t="s">
        <v>368</v>
      </c>
      <c r="AG335" s="1193">
        <v>1</v>
      </c>
      <c r="AH335" s="1193">
        <v>3</v>
      </c>
      <c r="AI335" s="1193">
        <v>0</v>
      </c>
      <c r="AJ335" s="1193">
        <f>VLOOKUP($I335,'Price List, Weapons &amp; Items'!B:F,5,0)</f>
        <v>0</v>
      </c>
      <c r="AK335" s="1193">
        <f t="shared" si="81"/>
        <v>0</v>
      </c>
      <c r="AL335" s="1193">
        <f t="shared" si="82"/>
        <v>0</v>
      </c>
      <c r="AM335" s="1193">
        <f t="shared" si="83"/>
        <v>0</v>
      </c>
      <c r="AN335" s="1194" t="str">
        <f>VLOOKUP($I335,'Price List, Weapons &amp; Items'!B:L,COLUMN('Price List, Weapons &amp; Items'!$J$11)-1,0)</f>
        <v>Contracts</v>
      </c>
      <c r="AO335" s="1194" t="str">
        <f>IF(I335=".",".",VLOOKUP($I335,'Price List, Weapons &amp; Items'!B:J,3,0))</f>
        <v>122mm howitzer</v>
      </c>
      <c r="AP335" s="1195" t="str">
        <f t="shared" ca="1" si="77"/>
        <v/>
      </c>
      <c r="AQ335" s="1194">
        <f>VLOOKUP($I335,'Price List, Weapons &amp; Items'!B:L,COLUMN('Price List, Weapons &amp; Items'!$L$11)-1,0)</f>
        <v>1</v>
      </c>
      <c r="AR335" s="1194">
        <f t="shared" si="84"/>
        <v>1</v>
      </c>
      <c r="AS335" s="1194">
        <f t="shared" si="85"/>
        <v>1</v>
      </c>
      <c r="AT335" s="1194" t="str">
        <f t="shared" si="86"/>
        <v>Value is not in date format</v>
      </c>
      <c r="AU335" s="1194" t="str">
        <f t="shared" si="87"/>
        <v>.</v>
      </c>
      <c r="AV335" s="1194" t="str">
        <f t="shared" si="78"/>
        <v>.</v>
      </c>
      <c r="AW335" s="1194" t="str">
        <f t="shared" si="88"/>
        <v>.</v>
      </c>
      <c r="AX335" s="1194">
        <f>IFERROR(VLOOKUP(B335,'Share, Heavy Weapons to Ukraine'!B:Z,COLUMN('Share, Heavy Weapons to Ukraine'!C345)-1,0),0)</f>
        <v>0</v>
      </c>
      <c r="AY335" s="1194">
        <f>VLOOKUP('Bilateral Assistance, MAIN DATA'!B335,'Country Summary (€)'!B:F,COLUMN('Country Summary (€)'!C346)-1,FALSE)</f>
        <v>1</v>
      </c>
      <c r="AZ335" s="1194" t="str">
        <f>IF(AND(AD335=1,D335="Military",H335&lt;&gt;"Not given")=TRUE,IF(SUMIFS(P:P,A:A,A335)&gt;0,ABS((SUMIFS(P:P,A:A,A335)/VLOOKUP("USD",'Exchange Rates'!B:C,2,0)))/S335,"."),".")</f>
        <v>.</v>
      </c>
      <c r="BA335" s="1196" t="str">
        <f>IF(AND(AD335=1,D335="Military",H335&lt;&gt;"Not given")=TRUE,IF(SUMIFS(P:P,A:A,A335)&gt;0,IF((ABS((SUMIFS(P:P,A:A,A335)/VLOOKUP("USD",'Exchange Rates'!B:C,2,0)))/S335)&gt;1,(SUMIFS(P:P,A:A,A335)-S335)/S335,(S335-SUMIFS(P:P,A:A,A335))/SUMIFS(P:P,A:A,A335)),"."),".")</f>
        <v>.</v>
      </c>
    </row>
    <row r="336" spans="1:71" ht="15.95" customHeight="1">
      <c r="A336" s="1182" t="s">
        <v>1304</v>
      </c>
      <c r="B336" s="1182" t="s">
        <v>1305</v>
      </c>
      <c r="C336" s="1181" t="s">
        <v>1306</v>
      </c>
      <c r="D336" s="1182" t="s">
        <v>389</v>
      </c>
      <c r="E336" s="1182" t="s">
        <v>390</v>
      </c>
      <c r="F336" s="1183" t="s">
        <v>1307</v>
      </c>
      <c r="G336" s="1184" t="s">
        <v>483</v>
      </c>
      <c r="H336" s="1185">
        <v>240000000</v>
      </c>
      <c r="I336" s="1180" t="s">
        <v>1316</v>
      </c>
      <c r="J336" s="1186" t="str">
        <f>VLOOKUP($I336,'Price List, Weapons &amp; Items'!B:C,2,0)</f>
        <v>Military equipment</v>
      </c>
      <c r="K336" s="1186" t="str">
        <f>IF(I336=".",I336,VLOOKUP($I336,'Price List, Weapons &amp; Items'!B:D,3,0))</f>
        <v>Mine Vessels</v>
      </c>
      <c r="L336" s="1187">
        <f>VLOOKUP(I336,'Price List, Weapons &amp; Items'!B:E,4,0)</f>
        <v>0</v>
      </c>
      <c r="M336" s="1188" t="s">
        <v>374</v>
      </c>
      <c r="N336" s="1188" t="str">
        <f t="shared" si="89"/>
        <v>undisclosed</v>
      </c>
      <c r="O336" s="1188">
        <f>VLOOKUP($I336,'Price List, Weapons &amp; Items'!B:G,6,0)</f>
        <v>86940000</v>
      </c>
      <c r="P336" s="1185" t="str">
        <f t="shared" si="79"/>
        <v>.</v>
      </c>
      <c r="Q336" s="1185" t="str">
        <f t="shared" si="80"/>
        <v>.</v>
      </c>
      <c r="R336" s="1185" t="str">
        <f t="shared" si="76"/>
        <v/>
      </c>
      <c r="S336" s="1185" t="str">
        <f>IF(AND(AD336=1,R336&lt;&gt;".")=TRUE,R336/VLOOKUP(G336,'Exchange Rates'!B:C,2,0),IF(R336=".",".",""))</f>
        <v/>
      </c>
      <c r="T336" s="1185" t="str">
        <f>IF(AD336=1,IF(AF336="Value is not given at all",".",IF(AF336="Value is given by the source",S336,IF(AF336="Value is calculated with prices",(IF(SUMIFS(Q:Q,A:A,A336)&gt;0,SUMIFS(Q:Q,A:A,A336),"."))/VLOOKUP("USD",'Exchange Rates'!B:C,2,0),"Error with coding"))),"")</f>
        <v/>
      </c>
      <c r="U336" s="1184" t="s">
        <v>365</v>
      </c>
      <c r="V336" s="974" t="s">
        <v>1309</v>
      </c>
      <c r="W336" s="974" t="s">
        <v>1310</v>
      </c>
      <c r="X336" s="974" t="s">
        <v>1311</v>
      </c>
      <c r="Y336" s="974" t="s">
        <v>1312</v>
      </c>
      <c r="Z336" s="1184">
        <v>0</v>
      </c>
      <c r="AA336" s="1194">
        <v>0</v>
      </c>
      <c r="AB336" s="977" t="s">
        <v>1313</v>
      </c>
      <c r="AC336" s="1192" t="str">
        <f>""</f>
        <v/>
      </c>
      <c r="AD336" s="1193">
        <v>0</v>
      </c>
      <c r="AE336" s="1193" t="s">
        <v>368</v>
      </c>
      <c r="AF336" s="1193" t="s">
        <v>368</v>
      </c>
      <c r="AG336" s="1193">
        <v>1</v>
      </c>
      <c r="AH336" s="1193">
        <v>5</v>
      </c>
      <c r="AI336" s="1193">
        <v>0</v>
      </c>
      <c r="AJ336" s="1193">
        <f>VLOOKUP($I336,'Price List, Weapons &amp; Items'!B:F,5,0)</f>
        <v>0</v>
      </c>
      <c r="AK336" s="1193">
        <f t="shared" si="81"/>
        <v>0</v>
      </c>
      <c r="AL336" s="1193">
        <f t="shared" si="82"/>
        <v>0</v>
      </c>
      <c r="AM336" s="1193">
        <f t="shared" si="83"/>
        <v>0</v>
      </c>
      <c r="AN336" s="1194" t="str">
        <f>VLOOKUP($I336,'Price List, Weapons &amp; Items'!B:L,COLUMN('Price List, Weapons &amp; Items'!$J$11)-1,0)</f>
        <v>Miscellaneous</v>
      </c>
      <c r="AO336" s="1194" t="str">
        <f>IF(I336=".",".",VLOOKUP($I336,'Price List, Weapons &amp; Items'!B:J,3,0))</f>
        <v>Mine Vessels</v>
      </c>
      <c r="AP336" s="1195" t="str">
        <f t="shared" ca="1" si="77"/>
        <v/>
      </c>
      <c r="AQ336" s="1194" t="str">
        <f>VLOOKUP($I336,'Price List, Weapons &amp; Items'!B:L,COLUMN('Price List, Weapons &amp; Items'!$L$11)-1,0)</f>
        <v>no price, 0 count</v>
      </c>
      <c r="AR336" s="1194">
        <f t="shared" si="84"/>
        <v>1</v>
      </c>
      <c r="AS336" s="1194">
        <f t="shared" si="85"/>
        <v>1</v>
      </c>
      <c r="AT336" s="1194" t="str">
        <f t="shared" si="86"/>
        <v>Value is not in date format</v>
      </c>
      <c r="AU336" s="1194" t="str">
        <f t="shared" si="87"/>
        <v>.</v>
      </c>
      <c r="AV336" s="1194" t="str">
        <f t="shared" si="78"/>
        <v>.</v>
      </c>
      <c r="AW336" s="1194" t="str">
        <f t="shared" si="88"/>
        <v>.</v>
      </c>
      <c r="AX336" s="1194">
        <f>IFERROR(VLOOKUP(B336,'Share, Heavy Weapons to Ukraine'!B:Z,COLUMN('Share, Heavy Weapons to Ukraine'!C346)-1,0),0)</f>
        <v>0</v>
      </c>
      <c r="AY336" s="1194">
        <f>VLOOKUP('Bilateral Assistance, MAIN DATA'!B336,'Country Summary (€)'!B:F,COLUMN('Country Summary (€)'!C347)-1,FALSE)</f>
        <v>1</v>
      </c>
      <c r="AZ336" s="1194" t="str">
        <f>IF(AND(AD336=1,D336="Military",H336&lt;&gt;"Not given")=TRUE,IF(SUMIFS(P:P,A:A,A336)&gt;0,ABS((SUMIFS(P:P,A:A,A336)/VLOOKUP("USD",'Exchange Rates'!B:C,2,0)))/S336,"."),".")</f>
        <v>.</v>
      </c>
      <c r="BA336" s="1196" t="str">
        <f>IF(AND(AD336=1,D336="Military",H336&lt;&gt;"Not given")=TRUE,IF(SUMIFS(P:P,A:A,A336)&gt;0,IF((ABS((SUMIFS(P:P,A:A,A336)/VLOOKUP("USD",'Exchange Rates'!B:C,2,0)))/S336)&gt;1,(SUMIFS(P:P,A:A,A336)-S336)/S336,(S336-SUMIFS(P:P,A:A,A336))/SUMIFS(P:P,A:A,A336)),"."),".")</f>
        <v>.</v>
      </c>
    </row>
    <row r="337" spans="1:53" ht="15.95" customHeight="1">
      <c r="A337" s="1182" t="s">
        <v>1304</v>
      </c>
      <c r="B337" s="1182" t="s">
        <v>1305</v>
      </c>
      <c r="C337" s="1181" t="s">
        <v>1306</v>
      </c>
      <c r="D337" s="1182" t="s">
        <v>389</v>
      </c>
      <c r="E337" s="1182" t="s">
        <v>390</v>
      </c>
      <c r="F337" s="1183" t="s">
        <v>1307</v>
      </c>
      <c r="G337" s="1184" t="s">
        <v>483</v>
      </c>
      <c r="H337" s="1185">
        <v>240000000</v>
      </c>
      <c r="I337" s="1180" t="s">
        <v>622</v>
      </c>
      <c r="J337" s="1186" t="str">
        <f>VLOOKUP($I337,'Price List, Weapons &amp; Items'!B:C,2,0)</f>
        <v>Light armaments &amp; infantry</v>
      </c>
      <c r="K337" s="1186" t="str">
        <f>IF(I337=".",I337,VLOOKUP($I337,'Price List, Weapons &amp; Items'!B:D,3,0))</f>
        <v>Explosive</v>
      </c>
      <c r="L337" s="1187">
        <f>VLOOKUP(I337,'Price List, Weapons &amp; Items'!B:E,4,0)</f>
        <v>0</v>
      </c>
      <c r="M337" s="1188" t="s">
        <v>374</v>
      </c>
      <c r="N337" s="1188" t="str">
        <f t="shared" si="89"/>
        <v>undisclosed</v>
      </c>
      <c r="O337" s="1188">
        <f>VLOOKUP($I337,'Price List, Weapons &amp; Items'!B:G,6,0)</f>
        <v>45</v>
      </c>
      <c r="P337" s="1185" t="str">
        <f t="shared" si="79"/>
        <v>.</v>
      </c>
      <c r="Q337" s="1185" t="str">
        <f t="shared" si="80"/>
        <v>.</v>
      </c>
      <c r="R337" s="1185" t="str">
        <f t="shared" si="76"/>
        <v/>
      </c>
      <c r="S337" s="1185" t="str">
        <f>IF(AND(AD337=1,R337&lt;&gt;".")=TRUE,R337/VLOOKUP(G337,'Exchange Rates'!B:C,2,0),IF(R337=".",".",""))</f>
        <v/>
      </c>
      <c r="T337" s="1185" t="str">
        <f>IF(AD337=1,IF(AF337="Value is not given at all",".",IF(AF337="Value is given by the source",S337,IF(AF337="Value is calculated with prices",(IF(SUMIFS(Q:Q,A:A,A337)&gt;0,SUMIFS(Q:Q,A:A,A337),"."))/VLOOKUP("USD",'Exchange Rates'!B:C,2,0),"Error with coding"))),"")</f>
        <v/>
      </c>
      <c r="U337" s="1184" t="s">
        <v>365</v>
      </c>
      <c r="V337" s="974" t="s">
        <v>1309</v>
      </c>
      <c r="W337" s="974" t="s">
        <v>1310</v>
      </c>
      <c r="X337" s="974" t="s">
        <v>1311</v>
      </c>
      <c r="Y337" s="974" t="s">
        <v>1312</v>
      </c>
      <c r="Z337" s="1184">
        <v>0</v>
      </c>
      <c r="AA337" s="1194">
        <v>0</v>
      </c>
      <c r="AB337" s="977" t="s">
        <v>1313</v>
      </c>
      <c r="AC337" s="1192" t="str">
        <f>""</f>
        <v/>
      </c>
      <c r="AD337" s="1193">
        <v>0</v>
      </c>
      <c r="AE337" s="1193" t="s">
        <v>368</v>
      </c>
      <c r="AF337" s="1193" t="s">
        <v>368</v>
      </c>
      <c r="AG337" s="1193">
        <v>1</v>
      </c>
      <c r="AH337" s="1193">
        <v>5</v>
      </c>
      <c r="AI337" s="1193">
        <v>0</v>
      </c>
      <c r="AJ337" s="1193">
        <f>VLOOKUP($I337,'Price List, Weapons &amp; Items'!B:F,5,0)</f>
        <v>0</v>
      </c>
      <c r="AK337" s="1193">
        <f t="shared" si="81"/>
        <v>0</v>
      </c>
      <c r="AL337" s="1193">
        <f t="shared" si="82"/>
        <v>0</v>
      </c>
      <c r="AM337" s="1193">
        <f t="shared" si="83"/>
        <v>0</v>
      </c>
      <c r="AN337" s="1194" t="str">
        <f>VLOOKUP($I337,'Price List, Weapons &amp; Items'!B:L,COLUMN('Price List, Weapons &amp; Items'!$J$11)-1,0)</f>
        <v>Miscellaneous</v>
      </c>
      <c r="AO337" s="1194" t="str">
        <f>IF(I337=".",".",VLOOKUP($I337,'Price List, Weapons &amp; Items'!B:J,3,0))</f>
        <v>Explosive</v>
      </c>
      <c r="AP337" s="1195" t="str">
        <f t="shared" ca="1" si="77"/>
        <v/>
      </c>
      <c r="AQ337" s="1194">
        <f>VLOOKUP($I337,'Price List, Weapons &amp; Items'!B:L,COLUMN('Price List, Weapons &amp; Items'!$L$11)-1,0)</f>
        <v>2</v>
      </c>
      <c r="AR337" s="1194">
        <f t="shared" si="84"/>
        <v>1</v>
      </c>
      <c r="AS337" s="1194">
        <f t="shared" si="85"/>
        <v>1</v>
      </c>
      <c r="AT337" s="1194" t="str">
        <f t="shared" si="86"/>
        <v>Value is not in date format</v>
      </c>
      <c r="AU337" s="1194" t="str">
        <f t="shared" si="87"/>
        <v>.</v>
      </c>
      <c r="AV337" s="1194" t="str">
        <f t="shared" si="78"/>
        <v>.</v>
      </c>
      <c r="AW337" s="1194" t="str">
        <f t="shared" si="88"/>
        <v>.</v>
      </c>
      <c r="AX337" s="1194">
        <f>IFERROR(VLOOKUP(B337,'Share, Heavy Weapons to Ukraine'!B:Z,COLUMN('Share, Heavy Weapons to Ukraine'!C347)-1,0),0)</f>
        <v>0</v>
      </c>
      <c r="AY337" s="1194">
        <f>VLOOKUP('Bilateral Assistance, MAIN DATA'!B337,'Country Summary (€)'!B:F,COLUMN('Country Summary (€)'!C348)-1,FALSE)</f>
        <v>1</v>
      </c>
      <c r="AZ337" s="1194" t="str">
        <f>IF(AND(AD337=1,D337="Military",H337&lt;&gt;"Not given")=TRUE,IF(SUMIFS(P:P,A:A,A337)&gt;0,ABS((SUMIFS(P:P,A:A,A337)/VLOOKUP("USD",'Exchange Rates'!B:C,2,0)))/S337,"."),".")</f>
        <v>.</v>
      </c>
      <c r="BA337" s="1196" t="str">
        <f>IF(AND(AD337=1,D337="Military",H337&lt;&gt;"Not given")=TRUE,IF(SUMIFS(P:P,A:A,A337)&gt;0,IF((ABS((SUMIFS(P:P,A:A,A337)/VLOOKUP("USD",'Exchange Rates'!B:C,2,0)))/S337)&gt;1,(SUMIFS(P:P,A:A,A337)-S337)/S337,(S337-SUMIFS(P:P,A:A,A337))/SUMIFS(P:P,A:A,A337)),"."),".")</f>
        <v>.</v>
      </c>
    </row>
    <row r="338" spans="1:53" ht="15.95" customHeight="1">
      <c r="A338" s="1182" t="s">
        <v>1304</v>
      </c>
      <c r="B338" s="1182" t="s">
        <v>1305</v>
      </c>
      <c r="C338" s="1181" t="s">
        <v>1306</v>
      </c>
      <c r="D338" s="1182" t="s">
        <v>389</v>
      </c>
      <c r="E338" s="1182" t="s">
        <v>390</v>
      </c>
      <c r="F338" s="1183" t="s">
        <v>1307</v>
      </c>
      <c r="G338" s="1184" t="s">
        <v>483</v>
      </c>
      <c r="H338" s="1185">
        <v>240000000</v>
      </c>
      <c r="I338" s="1180" t="s">
        <v>1317</v>
      </c>
      <c r="J338" s="1186" t="str">
        <f>VLOOKUP($I338,'Price List, Weapons &amp; Items'!B:C,2,0)</f>
        <v>Portable defence system</v>
      </c>
      <c r="K338" s="1186" t="str">
        <f>IF(I338=".",I338,VLOOKUP($I338,'Price List, Weapons &amp; Items'!B:D,3,0))</f>
        <v>Light Anti-armor Weapon (LAW)</v>
      </c>
      <c r="L338" s="1187">
        <f>VLOOKUP(I338,'Price List, Weapons &amp; Items'!B:E,4,0)</f>
        <v>0</v>
      </c>
      <c r="M338" s="1188" t="s">
        <v>374</v>
      </c>
      <c r="N338" s="1188" t="str">
        <f t="shared" si="89"/>
        <v>undisclosed</v>
      </c>
      <c r="O338" s="1188">
        <f>VLOOKUP($I338,'Price List, Weapons &amp; Items'!B:G,6,0)</f>
        <v>1475</v>
      </c>
      <c r="P338" s="1185" t="str">
        <f t="shared" si="79"/>
        <v>.</v>
      </c>
      <c r="Q338" s="1185" t="str">
        <f t="shared" si="80"/>
        <v>.</v>
      </c>
      <c r="R338" s="1185" t="str">
        <f t="shared" si="76"/>
        <v/>
      </c>
      <c r="S338" s="1185" t="str">
        <f>IF(AND(AD338=1,R338&lt;&gt;".")=TRUE,R338/VLOOKUP(G338,'Exchange Rates'!B:C,2,0),IF(R338=".",".",""))</f>
        <v/>
      </c>
      <c r="T338" s="1185" t="str">
        <f>IF(AD338=1,IF(AF338="Value is not given at all",".",IF(AF338="Value is given by the source",S338,IF(AF338="Value is calculated with prices",(IF(SUMIFS(Q:Q,A:A,A338)&gt;0,SUMIFS(Q:Q,A:A,A338),"."))/VLOOKUP("USD",'Exchange Rates'!B:C,2,0),"Error with coding"))),"")</f>
        <v/>
      </c>
      <c r="U338" s="1184" t="s">
        <v>365</v>
      </c>
      <c r="V338" s="974" t="s">
        <v>1309</v>
      </c>
      <c r="W338" s="974" t="s">
        <v>1310</v>
      </c>
      <c r="X338" s="974" t="s">
        <v>1311</v>
      </c>
      <c r="Y338" s="974" t="s">
        <v>1312</v>
      </c>
      <c r="Z338" s="1184">
        <v>0</v>
      </c>
      <c r="AA338" s="1194">
        <v>0</v>
      </c>
      <c r="AB338" s="977" t="s">
        <v>1313</v>
      </c>
      <c r="AC338" s="1192" t="str">
        <f>""</f>
        <v/>
      </c>
      <c r="AD338" s="1193">
        <v>0</v>
      </c>
      <c r="AE338" s="1193" t="s">
        <v>368</v>
      </c>
      <c r="AF338" s="1193" t="s">
        <v>368</v>
      </c>
      <c r="AG338" s="1193">
        <v>1</v>
      </c>
      <c r="AH338" s="1193">
        <v>5</v>
      </c>
      <c r="AI338" s="1193">
        <v>0</v>
      </c>
      <c r="AJ338" s="1193">
        <f>VLOOKUP($I338,'Price List, Weapons &amp; Items'!B:F,5,0)</f>
        <v>0</v>
      </c>
      <c r="AK338" s="1193">
        <f t="shared" si="81"/>
        <v>0</v>
      </c>
      <c r="AL338" s="1193">
        <f t="shared" si="82"/>
        <v>0</v>
      </c>
      <c r="AM338" s="1193">
        <f t="shared" si="83"/>
        <v>0</v>
      </c>
      <c r="AN338" s="1194" t="str">
        <f>VLOOKUP($I338,'Price List, Weapons &amp; Items'!B:L,COLUMN('Price List, Weapons &amp; Items'!$J$11)-1,0)</f>
        <v>Military media (incl. websites)</v>
      </c>
      <c r="AO338" s="1194" t="str">
        <f>IF(I338=".",".",VLOOKUP($I338,'Price List, Weapons &amp; Items'!B:J,3,0))</f>
        <v>Light Anti-armor Weapon (LAW)</v>
      </c>
      <c r="AP338" s="1195" t="str">
        <f t="shared" ca="1" si="77"/>
        <v/>
      </c>
      <c r="AQ338" s="1194" t="str">
        <f>VLOOKUP($I338,'Price List, Weapons &amp; Items'!B:L,COLUMN('Price List, Weapons &amp; Items'!$L$11)-1,0)</f>
        <v>no price, 0 count</v>
      </c>
      <c r="AR338" s="1194">
        <f t="shared" si="84"/>
        <v>1</v>
      </c>
      <c r="AS338" s="1194">
        <f t="shared" si="85"/>
        <v>1</v>
      </c>
      <c r="AT338" s="1194" t="str">
        <f t="shared" si="86"/>
        <v>Value is not in date format</v>
      </c>
      <c r="AU338" s="1194" t="str">
        <f t="shared" si="87"/>
        <v>.</v>
      </c>
      <c r="AV338" s="1194" t="str">
        <f t="shared" si="78"/>
        <v>.</v>
      </c>
      <c r="AW338" s="1194" t="str">
        <f t="shared" si="88"/>
        <v>.</v>
      </c>
      <c r="AX338" s="1194">
        <f>IFERROR(VLOOKUP(B338,'Share, Heavy Weapons to Ukraine'!B:Z,COLUMN('Share, Heavy Weapons to Ukraine'!C348)-1,0),0)</f>
        <v>0</v>
      </c>
      <c r="AY338" s="1194">
        <f>VLOOKUP('Bilateral Assistance, MAIN DATA'!B338,'Country Summary (€)'!B:F,COLUMN('Country Summary (€)'!C349)-1,FALSE)</f>
        <v>1</v>
      </c>
      <c r="AZ338" s="1194" t="str">
        <f>IF(AND(AD338=1,D338="Military",H338&lt;&gt;"Not given")=TRUE,IF(SUMIFS(P:P,A:A,A338)&gt;0,ABS((SUMIFS(P:P,A:A,A338)/VLOOKUP("USD",'Exchange Rates'!B:C,2,0)))/S338,"."),".")</f>
        <v>.</v>
      </c>
      <c r="BA338" s="1196" t="str">
        <f>IF(AND(AD338=1,D338="Military",H338&lt;&gt;"Not given")=TRUE,IF(SUMIFS(P:P,A:A,A338)&gt;0,IF((ABS((SUMIFS(P:P,A:A,A338)/VLOOKUP("USD",'Exchange Rates'!B:C,2,0)))/S338)&gt;1,(SUMIFS(P:P,A:A,A338)-S338)/S338,(S338-SUMIFS(P:P,A:A,A338))/SUMIFS(P:P,A:A,A338)),"."),".")</f>
        <v>.</v>
      </c>
    </row>
    <row r="339" spans="1:53" ht="15.95" customHeight="1">
      <c r="A339" s="1182" t="s">
        <v>1304</v>
      </c>
      <c r="B339" s="1182" t="s">
        <v>1305</v>
      </c>
      <c r="C339" s="1181" t="s">
        <v>1306</v>
      </c>
      <c r="D339" s="1182" t="s">
        <v>389</v>
      </c>
      <c r="E339" s="1182" t="s">
        <v>390</v>
      </c>
      <c r="F339" s="1183" t="s">
        <v>1307</v>
      </c>
      <c r="G339" s="1184" t="s">
        <v>483</v>
      </c>
      <c r="H339" s="1185">
        <v>240000000</v>
      </c>
      <c r="I339" s="1180" t="s">
        <v>1244</v>
      </c>
      <c r="J339" s="1186" t="str">
        <f>VLOOKUP($I339,'Price List, Weapons &amp; Items'!B:C,2,0)</f>
        <v>Ammunition for light infantry</v>
      </c>
      <c r="K339" s="1186" t="str">
        <f>IF(I339=".",I339,VLOOKUP($I339,'Price List, Weapons &amp; Items'!B:D,3,0))</f>
        <v>mine</v>
      </c>
      <c r="L339" s="1187">
        <f>VLOOKUP(I339,'Price List, Weapons &amp; Items'!B:E,4,0)</f>
        <v>0</v>
      </c>
      <c r="M339" s="1188" t="s">
        <v>374</v>
      </c>
      <c r="N339" s="1188" t="str">
        <f t="shared" si="89"/>
        <v>undisclosed</v>
      </c>
      <c r="O339" s="1188">
        <f>VLOOKUP($I339,'Price List, Weapons &amp; Items'!B:G,6,0)</f>
        <v>16.5</v>
      </c>
      <c r="P339" s="1185" t="str">
        <f t="shared" si="79"/>
        <v>.</v>
      </c>
      <c r="Q339" s="1185" t="str">
        <f t="shared" si="80"/>
        <v>.</v>
      </c>
      <c r="R339" s="1185" t="str">
        <f t="shared" si="76"/>
        <v/>
      </c>
      <c r="S339" s="1185" t="str">
        <f>IF(AND(AD339=1,R339&lt;&gt;".")=TRUE,R339/VLOOKUP(G339,'Exchange Rates'!B:C,2,0),IF(R339=".",".",""))</f>
        <v/>
      </c>
      <c r="T339" s="1185" t="str">
        <f>IF(AD339=1,IF(AF339="Value is not given at all",".",IF(AF339="Value is given by the source",S339,IF(AF339="Value is calculated with prices",(IF(SUMIFS(Q:Q,A:A,A339)&gt;0,SUMIFS(Q:Q,A:A,A339),"."))/VLOOKUP("USD",'Exchange Rates'!B:C,2,0),"Error with coding"))),"")</f>
        <v/>
      </c>
      <c r="U339" s="1184" t="s">
        <v>365</v>
      </c>
      <c r="V339" s="974" t="s">
        <v>1309</v>
      </c>
      <c r="W339" s="974" t="s">
        <v>1310</v>
      </c>
      <c r="X339" s="974" t="s">
        <v>1311</v>
      </c>
      <c r="Y339" s="974" t="s">
        <v>1312</v>
      </c>
      <c r="Z339" s="1184">
        <v>0</v>
      </c>
      <c r="AA339" s="1194">
        <v>0</v>
      </c>
      <c r="AB339" s="977" t="s">
        <v>1313</v>
      </c>
      <c r="AC339" s="1192" t="str">
        <f>""</f>
        <v/>
      </c>
      <c r="AD339" s="1193">
        <v>0</v>
      </c>
      <c r="AE339" s="1193" t="s">
        <v>368</v>
      </c>
      <c r="AF339" s="1193" t="s">
        <v>368</v>
      </c>
      <c r="AG339" s="1193">
        <v>1</v>
      </c>
      <c r="AH339" s="1193">
        <v>5</v>
      </c>
      <c r="AI339" s="1193">
        <v>0</v>
      </c>
      <c r="AJ339" s="1193">
        <f>VLOOKUP($I339,'Price List, Weapons &amp; Items'!B:F,5,0)</f>
        <v>0</v>
      </c>
      <c r="AK339" s="1193">
        <f t="shared" si="81"/>
        <v>0</v>
      </c>
      <c r="AL339" s="1193">
        <f t="shared" si="82"/>
        <v>0</v>
      </c>
      <c r="AM339" s="1193">
        <f t="shared" si="83"/>
        <v>0</v>
      </c>
      <c r="AN339" s="1194" t="str">
        <f>VLOOKUP($I339,'Price List, Weapons &amp; Items'!B:L,COLUMN('Price List, Weapons &amp; Items'!$J$11)-1,0)</f>
        <v>Miscellaneous</v>
      </c>
      <c r="AO339" s="1194" t="str">
        <f>IF(I339=".",".",VLOOKUP($I339,'Price List, Weapons &amp; Items'!B:J,3,0))</f>
        <v>mine</v>
      </c>
      <c r="AP339" s="1195" t="str">
        <f t="shared" ca="1" si="77"/>
        <v/>
      </c>
      <c r="AQ339" s="1194" t="str">
        <f>VLOOKUP($I339,'Price List, Weapons &amp; Items'!B:L,COLUMN('Price List, Weapons &amp; Items'!$L$11)-1,0)</f>
        <v>no price, 0 count</v>
      </c>
      <c r="AR339" s="1194">
        <f t="shared" si="84"/>
        <v>1</v>
      </c>
      <c r="AS339" s="1194">
        <f t="shared" si="85"/>
        <v>1</v>
      </c>
      <c r="AT339" s="1194" t="str">
        <f t="shared" si="86"/>
        <v>Value is not in date format</v>
      </c>
      <c r="AU339" s="1194" t="str">
        <f t="shared" si="87"/>
        <v>.</v>
      </c>
      <c r="AV339" s="1194" t="str">
        <f t="shared" si="78"/>
        <v>.</v>
      </c>
      <c r="AW339" s="1194" t="str">
        <f t="shared" si="88"/>
        <v>.</v>
      </c>
      <c r="AX339" s="1194">
        <f>IFERROR(VLOOKUP(B339,'Share, Heavy Weapons to Ukraine'!B:Z,COLUMN('Share, Heavy Weapons to Ukraine'!C349)-1,0),0)</f>
        <v>0</v>
      </c>
      <c r="AY339" s="1194">
        <f>VLOOKUP('Bilateral Assistance, MAIN DATA'!B339,'Country Summary (€)'!B:F,COLUMN('Country Summary (€)'!C350)-1,FALSE)</f>
        <v>1</v>
      </c>
      <c r="AZ339" s="1194" t="str">
        <f>IF(AND(AD339=1,D339="Military",H339&lt;&gt;"Not given")=TRUE,IF(SUMIFS(P:P,A:A,A339)&gt;0,ABS((SUMIFS(P:P,A:A,A339)/VLOOKUP("USD",'Exchange Rates'!B:C,2,0)))/S339,"."),".")</f>
        <v>.</v>
      </c>
      <c r="BA339" s="1196" t="str">
        <f>IF(AND(AD339=1,D339="Military",H339&lt;&gt;"Not given")=TRUE,IF(SUMIFS(P:P,A:A,A339)&gt;0,IF((ABS((SUMIFS(P:P,A:A,A339)/VLOOKUP("USD",'Exchange Rates'!B:C,2,0)))/S339)&gt;1,(SUMIFS(P:P,A:A,A339)-S339)/S339,(S339-SUMIFS(P:P,A:A,A339))/SUMIFS(P:P,A:A,A339)),"."),".")</f>
        <v>.</v>
      </c>
    </row>
    <row r="340" spans="1:53" ht="15.95" customHeight="1">
      <c r="A340" s="1182" t="s">
        <v>1304</v>
      </c>
      <c r="B340" s="1182" t="s">
        <v>1305</v>
      </c>
      <c r="C340" s="1181" t="s">
        <v>1306</v>
      </c>
      <c r="D340" s="1182" t="s">
        <v>389</v>
      </c>
      <c r="E340" s="1182" t="s">
        <v>390</v>
      </c>
      <c r="F340" s="1183" t="s">
        <v>1307</v>
      </c>
      <c r="G340" s="1184" t="s">
        <v>483</v>
      </c>
      <c r="H340" s="1185">
        <v>240000000</v>
      </c>
      <c r="I340" s="1180" t="s">
        <v>1318</v>
      </c>
      <c r="J340" s="1186" t="str">
        <f>VLOOKUP($I340,'Price List, Weapons &amp; Items'!B:C,2,0)</f>
        <v>Light armaments &amp; infantry</v>
      </c>
      <c r="K340" s="1186" t="str">
        <f>IF(I340=".",I340,VLOOKUP($I340,'Price List, Weapons &amp; Items'!B:D,3,0))</f>
        <v>Recoilless rifle (RR/RCL)</v>
      </c>
      <c r="L340" s="1187">
        <f>VLOOKUP(I340,'Price List, Weapons &amp; Items'!B:E,4,0)</f>
        <v>0</v>
      </c>
      <c r="M340" s="1188" t="s">
        <v>374</v>
      </c>
      <c r="N340" s="1188" t="str">
        <f t="shared" si="89"/>
        <v>undisclosed</v>
      </c>
      <c r="O340" s="1188">
        <f>VLOOKUP($I340,'Price List, Weapons &amp; Items'!B:G,6,0)</f>
        <v>20000</v>
      </c>
      <c r="P340" s="1185" t="str">
        <f t="shared" si="79"/>
        <v>.</v>
      </c>
      <c r="Q340" s="1185" t="str">
        <f t="shared" si="80"/>
        <v>.</v>
      </c>
      <c r="R340" s="1185" t="str">
        <f t="shared" si="76"/>
        <v/>
      </c>
      <c r="S340" s="1185" t="str">
        <f>IF(AND(AD340=1,R340&lt;&gt;".")=TRUE,R340/VLOOKUP(G340,'Exchange Rates'!B:C,2,0),IF(R340=".",".",""))</f>
        <v/>
      </c>
      <c r="T340" s="1185" t="str">
        <f>IF(AD340=1,IF(AF340="Value is not given at all",".",IF(AF340="Value is given by the source",S340,IF(AF340="Value is calculated with prices",(IF(SUMIFS(Q:Q,A:A,A340)&gt;0,SUMIFS(Q:Q,A:A,A340),"."))/VLOOKUP("USD",'Exchange Rates'!B:C,2,0),"Error with coding"))),"")</f>
        <v/>
      </c>
      <c r="U340" s="1184" t="s">
        <v>365</v>
      </c>
      <c r="V340" s="974" t="s">
        <v>1309</v>
      </c>
      <c r="W340" s="974" t="s">
        <v>1310</v>
      </c>
      <c r="X340" s="974" t="s">
        <v>1311</v>
      </c>
      <c r="Y340" s="974" t="s">
        <v>1312</v>
      </c>
      <c r="Z340" s="1184">
        <v>0</v>
      </c>
      <c r="AA340" s="1194">
        <v>0</v>
      </c>
      <c r="AB340" s="977" t="s">
        <v>1313</v>
      </c>
      <c r="AC340" s="1192" t="str">
        <f>""</f>
        <v/>
      </c>
      <c r="AD340" s="1193">
        <v>0</v>
      </c>
      <c r="AE340" s="1193" t="s">
        <v>368</v>
      </c>
      <c r="AF340" s="1193" t="s">
        <v>368</v>
      </c>
      <c r="AG340" s="1193">
        <v>1</v>
      </c>
      <c r="AH340" s="1193">
        <v>5</v>
      </c>
      <c r="AI340" s="1193">
        <v>0</v>
      </c>
      <c r="AJ340" s="1193">
        <f>VLOOKUP($I340,'Price List, Weapons &amp; Items'!B:F,5,0)</f>
        <v>0</v>
      </c>
      <c r="AK340" s="1193">
        <f t="shared" si="81"/>
        <v>0</v>
      </c>
      <c r="AL340" s="1193">
        <f t="shared" si="82"/>
        <v>0</v>
      </c>
      <c r="AM340" s="1193">
        <f t="shared" si="83"/>
        <v>0</v>
      </c>
      <c r="AN340" s="1194" t="str">
        <f>VLOOKUP($I340,'Price List, Weapons &amp; Items'!B:L,COLUMN('Price List, Weapons &amp; Items'!$J$11)-1,0)</f>
        <v>Miscellaneous</v>
      </c>
      <c r="AO340" s="1194" t="str">
        <f>IF(I340=".",".",VLOOKUP($I340,'Price List, Weapons &amp; Items'!B:J,3,0))</f>
        <v>Recoilless rifle (RR/RCL)</v>
      </c>
      <c r="AP340" s="1195" t="str">
        <f t="shared" ca="1" si="77"/>
        <v/>
      </c>
      <c r="AQ340" s="1194" t="str">
        <f>VLOOKUP($I340,'Price List, Weapons &amp; Items'!B:L,COLUMN('Price List, Weapons &amp; Items'!$L$11)-1,0)</f>
        <v>no price, 0 count</v>
      </c>
      <c r="AR340" s="1194">
        <f t="shared" si="84"/>
        <v>1</v>
      </c>
      <c r="AS340" s="1194">
        <f t="shared" si="85"/>
        <v>1</v>
      </c>
      <c r="AT340" s="1194" t="str">
        <f t="shared" si="86"/>
        <v>Value is not in date format</v>
      </c>
      <c r="AU340" s="1194" t="str">
        <f t="shared" si="87"/>
        <v>.</v>
      </c>
      <c r="AV340" s="1194" t="str">
        <f t="shared" si="78"/>
        <v>.</v>
      </c>
      <c r="AW340" s="1194" t="str">
        <f t="shared" si="88"/>
        <v>.</v>
      </c>
      <c r="AX340" s="1194">
        <f>IFERROR(VLOOKUP(B340,'Share, Heavy Weapons to Ukraine'!B:Z,COLUMN('Share, Heavy Weapons to Ukraine'!C350)-1,0),0)</f>
        <v>0</v>
      </c>
      <c r="AY340" s="1194">
        <f>VLOOKUP('Bilateral Assistance, MAIN DATA'!B340,'Country Summary (€)'!B:F,COLUMN('Country Summary (€)'!C351)-1,FALSE)</f>
        <v>1</v>
      </c>
      <c r="AZ340" s="1194" t="str">
        <f>IF(AND(AD340=1,D340="Military",H340&lt;&gt;"Not given")=TRUE,IF(SUMIFS(P:P,A:A,A340)&gt;0,ABS((SUMIFS(P:P,A:A,A340)/VLOOKUP("USD",'Exchange Rates'!B:C,2,0)))/S340,"."),".")</f>
        <v>.</v>
      </c>
      <c r="BA340" s="1196" t="str">
        <f>IF(AND(AD340=1,D340="Military",H340&lt;&gt;"Not given")=TRUE,IF(SUMIFS(P:P,A:A,A340)&gt;0,IF((ABS((SUMIFS(P:P,A:A,A340)/VLOOKUP("USD",'Exchange Rates'!B:C,2,0)))/S340)&gt;1,(SUMIFS(P:P,A:A,A340)-S340)/S340,(S340-SUMIFS(P:P,A:A,A340))/SUMIFS(P:P,A:A,A340)),"."),".")</f>
        <v>.</v>
      </c>
    </row>
    <row r="341" spans="1:53" ht="15.95" customHeight="1">
      <c r="A341" s="1182" t="s">
        <v>1304</v>
      </c>
      <c r="B341" s="1182" t="s">
        <v>1305</v>
      </c>
      <c r="C341" s="1181" t="s">
        <v>1306</v>
      </c>
      <c r="D341" s="1182" t="s">
        <v>389</v>
      </c>
      <c r="E341" s="1182" t="s">
        <v>390</v>
      </c>
      <c r="F341" s="1183" t="s">
        <v>1307</v>
      </c>
      <c r="G341" s="1184" t="s">
        <v>483</v>
      </c>
      <c r="H341" s="1185">
        <v>240000000</v>
      </c>
      <c r="I341" s="1180" t="s">
        <v>1319</v>
      </c>
      <c r="J341" s="1186" t="str">
        <f>VLOOKUP($I341,'Price List, Weapons &amp; Items'!B:C,2,0)</f>
        <v>Light armaments &amp; infantry</v>
      </c>
      <c r="K341" s="1186" t="str">
        <f>IF(I341=".",I341,VLOOKUP($I341,'Price List, Weapons &amp; Items'!B:D,3,0))</f>
        <v>Small Arms and Light Weapons (SALW)</v>
      </c>
      <c r="L341" s="1187">
        <f>VLOOKUP(I341,'Price List, Weapons &amp; Items'!B:E,4,0)</f>
        <v>0</v>
      </c>
      <c r="M341" s="1188" t="s">
        <v>374</v>
      </c>
      <c r="N341" s="1188" t="str">
        <f t="shared" si="89"/>
        <v>undisclosed</v>
      </c>
      <c r="O341" s="1188">
        <f>VLOOKUP($I341,'Price List, Weapons &amp; Items'!B:G,6,0)</f>
        <v>5300</v>
      </c>
      <c r="P341" s="1185" t="str">
        <f t="shared" si="79"/>
        <v>.</v>
      </c>
      <c r="Q341" s="1185" t="str">
        <f t="shared" si="80"/>
        <v>.</v>
      </c>
      <c r="R341" s="1185" t="str">
        <f t="shared" si="76"/>
        <v/>
      </c>
      <c r="S341" s="1185" t="str">
        <f>IF(AND(AD341=1,R341&lt;&gt;".")=TRUE,R341/VLOOKUP(G341,'Exchange Rates'!B:C,2,0),IF(R341=".",".",""))</f>
        <v/>
      </c>
      <c r="T341" s="1185" t="str">
        <f>IF(AD341=1,IF(AF341="Value is not given at all",".",IF(AF341="Value is given by the source",S341,IF(AF341="Value is calculated with prices",(IF(SUMIFS(Q:Q,A:A,A341)&gt;0,SUMIFS(Q:Q,A:A,A341),"."))/VLOOKUP("USD",'Exchange Rates'!B:C,2,0),"Error with coding"))),"")</f>
        <v/>
      </c>
      <c r="U341" s="1184" t="s">
        <v>365</v>
      </c>
      <c r="V341" s="974" t="s">
        <v>1309</v>
      </c>
      <c r="W341" s="974" t="s">
        <v>1310</v>
      </c>
      <c r="X341" s="974" t="s">
        <v>1311</v>
      </c>
      <c r="Y341" s="974" t="s">
        <v>1312</v>
      </c>
      <c r="Z341" s="1184">
        <v>0</v>
      </c>
      <c r="AA341" s="1194">
        <v>0</v>
      </c>
      <c r="AB341" s="977" t="s">
        <v>1313</v>
      </c>
      <c r="AC341" s="1192" t="str">
        <f>""</f>
        <v/>
      </c>
      <c r="AD341" s="1193">
        <v>0</v>
      </c>
      <c r="AE341" s="1193" t="s">
        <v>368</v>
      </c>
      <c r="AF341" s="1193" t="s">
        <v>368</v>
      </c>
      <c r="AG341" s="1193">
        <v>1</v>
      </c>
      <c r="AH341" s="1193">
        <v>5</v>
      </c>
      <c r="AI341" s="1193">
        <v>0</v>
      </c>
      <c r="AJ341" s="1193">
        <f>VLOOKUP($I341,'Price List, Weapons &amp; Items'!B:F,5,0)</f>
        <v>0</v>
      </c>
      <c r="AK341" s="1193">
        <f t="shared" si="81"/>
        <v>0</v>
      </c>
      <c r="AL341" s="1193">
        <f t="shared" si="82"/>
        <v>0</v>
      </c>
      <c r="AM341" s="1193">
        <f t="shared" si="83"/>
        <v>0</v>
      </c>
      <c r="AN341" s="1194" t="str">
        <f>VLOOKUP($I341,'Price List, Weapons &amp; Items'!B:L,COLUMN('Price List, Weapons &amp; Items'!$J$11)-1,0)</f>
        <v>Miscellaneous</v>
      </c>
      <c r="AO341" s="1194" t="str">
        <f>IF(I341=".",".",VLOOKUP($I341,'Price List, Weapons &amp; Items'!B:J,3,0))</f>
        <v>Small Arms and Light Weapons (SALW)</v>
      </c>
      <c r="AP341" s="1195" t="str">
        <f t="shared" ca="1" si="77"/>
        <v/>
      </c>
      <c r="AQ341" s="1194" t="str">
        <f>VLOOKUP($I341,'Price List, Weapons &amp; Items'!B:L,COLUMN('Price List, Weapons &amp; Items'!$L$11)-1,0)</f>
        <v>no price, 0 count</v>
      </c>
      <c r="AR341" s="1194">
        <f t="shared" si="84"/>
        <v>1</v>
      </c>
      <c r="AS341" s="1194">
        <f t="shared" si="85"/>
        <v>1</v>
      </c>
      <c r="AT341" s="1194" t="str">
        <f t="shared" si="86"/>
        <v>Value is not in date format</v>
      </c>
      <c r="AU341" s="1194" t="str">
        <f t="shared" si="87"/>
        <v>.</v>
      </c>
      <c r="AV341" s="1194" t="str">
        <f t="shared" si="78"/>
        <v>.</v>
      </c>
      <c r="AW341" s="1194" t="str">
        <f t="shared" si="88"/>
        <v>.</v>
      </c>
      <c r="AX341" s="1194">
        <f>IFERROR(VLOOKUP(B341,'Share, Heavy Weapons to Ukraine'!B:Z,COLUMN('Share, Heavy Weapons to Ukraine'!C351)-1,0),0)</f>
        <v>0</v>
      </c>
      <c r="AY341" s="1194">
        <f>VLOOKUP('Bilateral Assistance, MAIN DATA'!B341,'Country Summary (€)'!B:F,COLUMN('Country Summary (€)'!C352)-1,FALSE)</f>
        <v>1</v>
      </c>
      <c r="AZ341" s="1194" t="str">
        <f>IF(AND(AD341=1,D341="Military",H341&lt;&gt;"Not given")=TRUE,IF(SUMIFS(P:P,A:A,A341)&gt;0,ABS((SUMIFS(P:P,A:A,A341)/VLOOKUP("USD",'Exchange Rates'!B:C,2,0)))/S341,"."),".")</f>
        <v>.</v>
      </c>
      <c r="BA341" s="1196" t="str">
        <f>IF(AND(AD341=1,D341="Military",H341&lt;&gt;"Not given")=TRUE,IF(SUMIFS(P:P,A:A,A341)&gt;0,IF((ABS((SUMIFS(P:P,A:A,A341)/VLOOKUP("USD",'Exchange Rates'!B:C,2,0)))/S341)&gt;1,(SUMIFS(P:P,A:A,A341)-S341)/S341,(S341-SUMIFS(P:P,A:A,A341))/SUMIFS(P:P,A:A,A341)),"."),".")</f>
        <v>.</v>
      </c>
    </row>
    <row r="342" spans="1:53" ht="15.95" customHeight="1">
      <c r="A342" s="1182" t="s">
        <v>1304</v>
      </c>
      <c r="B342" s="1182" t="s">
        <v>1305</v>
      </c>
      <c r="C342" s="1181" t="s">
        <v>1306</v>
      </c>
      <c r="D342" s="1182" t="s">
        <v>389</v>
      </c>
      <c r="E342" s="1182" t="s">
        <v>390</v>
      </c>
      <c r="F342" s="1183" t="s">
        <v>1307</v>
      </c>
      <c r="G342" s="1184" t="s">
        <v>483</v>
      </c>
      <c r="H342" s="1185">
        <v>240000000</v>
      </c>
      <c r="I342" s="1180" t="s">
        <v>1320</v>
      </c>
      <c r="J342" s="1186" t="str">
        <f>VLOOKUP($I342,'Price List, Weapons &amp; Items'!B:C,2,0)</f>
        <v>Ammunition for light infantry</v>
      </c>
      <c r="K342" s="1186" t="str">
        <f>IF(I342=".",I342,VLOOKUP($I342,'Price List, Weapons &amp; Items'!B:D,3,0))</f>
        <v>Small Arms and Light Weapons (SALW) ammunition</v>
      </c>
      <c r="L342" s="1187">
        <f>VLOOKUP(I342,'Price List, Weapons &amp; Items'!B:E,4,0)</f>
        <v>0</v>
      </c>
      <c r="M342" s="1188" t="s">
        <v>374</v>
      </c>
      <c r="N342" s="1188" t="str">
        <f t="shared" si="89"/>
        <v>undisclosed</v>
      </c>
      <c r="O342" s="1188">
        <f>VLOOKUP($I342,'Price List, Weapons &amp; Items'!B:G,6,0)</f>
        <v>0.41799999999999998</v>
      </c>
      <c r="P342" s="1185" t="str">
        <f t="shared" si="79"/>
        <v>.</v>
      </c>
      <c r="Q342" s="1185" t="str">
        <f t="shared" si="80"/>
        <v>.</v>
      </c>
      <c r="R342" s="1185" t="str">
        <f t="shared" si="76"/>
        <v/>
      </c>
      <c r="S342" s="1185" t="str">
        <f>IF(AND(AD342=1,R342&lt;&gt;".")=TRUE,R342/VLOOKUP(G342,'Exchange Rates'!B:C,2,0),IF(R342=".",".",""))</f>
        <v/>
      </c>
      <c r="T342" s="1185" t="str">
        <f>IF(AD342=1,IF(AF342="Value is not given at all",".",IF(AF342="Value is given by the source",S342,IF(AF342="Value is calculated with prices",(IF(SUMIFS(Q:Q,A:A,A342)&gt;0,SUMIFS(Q:Q,A:A,A342),"."))/VLOOKUP("USD",'Exchange Rates'!B:C,2,0),"Error with coding"))),"")</f>
        <v/>
      </c>
      <c r="U342" s="1184" t="s">
        <v>365</v>
      </c>
      <c r="V342" s="974" t="s">
        <v>1309</v>
      </c>
      <c r="W342" s="974" t="s">
        <v>1310</v>
      </c>
      <c r="X342" s="974" t="s">
        <v>1311</v>
      </c>
      <c r="Y342" s="974" t="s">
        <v>1312</v>
      </c>
      <c r="Z342" s="1184">
        <v>0</v>
      </c>
      <c r="AA342" s="1194">
        <v>0</v>
      </c>
      <c r="AB342" s="977" t="s">
        <v>1313</v>
      </c>
      <c r="AC342" s="1192" t="str">
        <f>""</f>
        <v/>
      </c>
      <c r="AD342" s="1193">
        <v>0</v>
      </c>
      <c r="AE342" s="1193" t="s">
        <v>368</v>
      </c>
      <c r="AF342" s="1193" t="s">
        <v>368</v>
      </c>
      <c r="AG342" s="1193">
        <v>1</v>
      </c>
      <c r="AH342" s="1193">
        <v>5</v>
      </c>
      <c r="AI342" s="1193">
        <v>0</v>
      </c>
      <c r="AJ342" s="1193">
        <f>VLOOKUP($I342,'Price List, Weapons &amp; Items'!B:F,5,0)</f>
        <v>0</v>
      </c>
      <c r="AK342" s="1193">
        <f t="shared" si="81"/>
        <v>0</v>
      </c>
      <c r="AL342" s="1193">
        <f t="shared" si="82"/>
        <v>0</v>
      </c>
      <c r="AM342" s="1193">
        <f t="shared" si="83"/>
        <v>1</v>
      </c>
      <c r="AN342" s="1194" t="str">
        <f>VLOOKUP($I342,'Price List, Weapons &amp; Items'!B:L,COLUMN('Price List, Weapons &amp; Items'!$J$11)-1,0)</f>
        <v>Online marketplaces and stores</v>
      </c>
      <c r="AO342" s="1194" t="str">
        <f>IF(I342=".",".",VLOOKUP($I342,'Price List, Weapons &amp; Items'!B:J,3,0))</f>
        <v>Small Arms and Light Weapons (SALW) ammunition</v>
      </c>
      <c r="AP342" s="1195" t="str">
        <f t="shared" ca="1" si="77"/>
        <v/>
      </c>
      <c r="AQ342" s="1194" t="str">
        <f>VLOOKUP($I342,'Price List, Weapons &amp; Items'!B:L,COLUMN('Price List, Weapons &amp; Items'!$L$11)-1,0)</f>
        <v>no price, 0 count</v>
      </c>
      <c r="AR342" s="1194">
        <f t="shared" si="84"/>
        <v>1</v>
      </c>
      <c r="AS342" s="1194">
        <f t="shared" si="85"/>
        <v>1</v>
      </c>
      <c r="AT342" s="1194" t="str">
        <f t="shared" si="86"/>
        <v>Value is not in date format</v>
      </c>
      <c r="AU342" s="1194" t="str">
        <f t="shared" si="87"/>
        <v>.</v>
      </c>
      <c r="AV342" s="1194" t="str">
        <f t="shared" si="78"/>
        <v>.</v>
      </c>
      <c r="AW342" s="1194" t="str">
        <f t="shared" si="88"/>
        <v>.</v>
      </c>
      <c r="AX342" s="1194">
        <f>IFERROR(VLOOKUP(B342,'Share, Heavy Weapons to Ukraine'!B:Z,COLUMN('Share, Heavy Weapons to Ukraine'!C352)-1,0),0)</f>
        <v>0</v>
      </c>
      <c r="AY342" s="1194">
        <f>VLOOKUP('Bilateral Assistance, MAIN DATA'!B342,'Country Summary (€)'!B:F,COLUMN('Country Summary (€)'!C353)-1,FALSE)</f>
        <v>1</v>
      </c>
      <c r="AZ342" s="1194" t="str">
        <f>IF(AND(AD342=1,D342="Military",H342&lt;&gt;"Not given")=TRUE,IF(SUMIFS(P:P,A:A,A342)&gt;0,ABS((SUMIFS(P:P,A:A,A342)/VLOOKUP("USD",'Exchange Rates'!B:C,2,0)))/S342,"."),".")</f>
        <v>.</v>
      </c>
      <c r="BA342" s="1196" t="str">
        <f>IF(AND(AD342=1,D342="Military",H342&lt;&gt;"Not given")=TRUE,IF(SUMIFS(P:P,A:A,A342)&gt;0,IF((ABS((SUMIFS(P:P,A:A,A342)/VLOOKUP("USD",'Exchange Rates'!B:C,2,0)))/S342)&gt;1,(SUMIFS(P:P,A:A,A342)-S342)/S342,(S342-SUMIFS(P:P,A:A,A342))/SUMIFS(P:P,A:A,A342)),"."),".")</f>
        <v>.</v>
      </c>
    </row>
    <row r="343" spans="1:53" ht="15.95" customHeight="1">
      <c r="A343" s="1182" t="s">
        <v>1304</v>
      </c>
      <c r="B343" s="1182" t="s">
        <v>1305</v>
      </c>
      <c r="C343" s="1181" t="s">
        <v>1306</v>
      </c>
      <c r="D343" s="1182" t="s">
        <v>389</v>
      </c>
      <c r="E343" s="1182" t="s">
        <v>390</v>
      </c>
      <c r="F343" s="1183" t="s">
        <v>1307</v>
      </c>
      <c r="G343" s="1184" t="s">
        <v>483</v>
      </c>
      <c r="H343" s="1185">
        <v>240000000</v>
      </c>
      <c r="I343" s="1180" t="s">
        <v>1321</v>
      </c>
      <c r="J343" s="1186" t="str">
        <f>VLOOKUP($I343,'Price List, Weapons &amp; Items'!B:C,2,0)</f>
        <v>Ammunition for heavy weapon</v>
      </c>
      <c r="K343" s="1186" t="str">
        <f>IF(I343=".",I343,VLOOKUP($I343,'Price List, Weapons &amp; Items'!B:D,3,0))</f>
        <v>Military equipment</v>
      </c>
      <c r="L343" s="1187">
        <f>VLOOKUP(I343,'Price List, Weapons &amp; Items'!B:E,4,0)</f>
        <v>0</v>
      </c>
      <c r="M343" s="1188" t="s">
        <v>374</v>
      </c>
      <c r="N343" s="1188" t="str">
        <f t="shared" si="89"/>
        <v>undisclosed</v>
      </c>
      <c r="O343" s="1188" t="str">
        <f>VLOOKUP($I343,'Price List, Weapons &amp; Items'!B:G,6,0)</f>
        <v>.</v>
      </c>
      <c r="P343" s="1185" t="str">
        <f t="shared" si="79"/>
        <v>.</v>
      </c>
      <c r="Q343" s="1185" t="str">
        <f t="shared" si="80"/>
        <v>.</v>
      </c>
      <c r="R343" s="1185" t="str">
        <f t="shared" si="76"/>
        <v/>
      </c>
      <c r="S343" s="1185" t="str">
        <f>IF(AND(AD343=1,R343&lt;&gt;".")=TRUE,R343/VLOOKUP(G343,'Exchange Rates'!B:C,2,0),IF(R343=".",".",""))</f>
        <v/>
      </c>
      <c r="T343" s="1185" t="str">
        <f>IF(AD343=1,IF(AF343="Value is not given at all",".",IF(AF343="Value is given by the source",S343,IF(AF343="Value is calculated with prices",(IF(SUMIFS(Q:Q,A:A,A343)&gt;0,SUMIFS(Q:Q,A:A,A343),"."))/VLOOKUP("USD",'Exchange Rates'!B:C,2,0),"Error with coding"))),"")</f>
        <v/>
      </c>
      <c r="U343" s="1184" t="s">
        <v>365</v>
      </c>
      <c r="V343" s="974" t="s">
        <v>1309</v>
      </c>
      <c r="W343" s="974" t="s">
        <v>1310</v>
      </c>
      <c r="X343" s="974" t="s">
        <v>1311</v>
      </c>
      <c r="Y343" s="974" t="s">
        <v>1312</v>
      </c>
      <c r="Z343" s="1184">
        <v>0</v>
      </c>
      <c r="AA343" s="1194">
        <v>0</v>
      </c>
      <c r="AB343" s="977" t="s">
        <v>1313</v>
      </c>
      <c r="AC343" s="1192" t="str">
        <f>""</f>
        <v/>
      </c>
      <c r="AD343" s="1193">
        <v>0</v>
      </c>
      <c r="AE343" s="1193" t="s">
        <v>368</v>
      </c>
      <c r="AF343" s="1193" t="s">
        <v>368</v>
      </c>
      <c r="AG343" s="1193">
        <v>1</v>
      </c>
      <c r="AH343" s="1193">
        <v>5</v>
      </c>
      <c r="AI343" s="1193">
        <v>0</v>
      </c>
      <c r="AJ343" s="1193">
        <f>VLOOKUP($I343,'Price List, Weapons &amp; Items'!B:F,5,0)</f>
        <v>0</v>
      </c>
      <c r="AK343" s="1193">
        <f t="shared" si="81"/>
        <v>0</v>
      </c>
      <c r="AL343" s="1193">
        <f t="shared" si="82"/>
        <v>0</v>
      </c>
      <c r="AM343" s="1193">
        <f t="shared" si="83"/>
        <v>0</v>
      </c>
      <c r="AN343" s="1194" t="str">
        <f>VLOOKUP($I343,'Price List, Weapons &amp; Items'!B:L,COLUMN('Price List, Weapons &amp; Items'!$J$11)-1,0)</f>
        <v>.</v>
      </c>
      <c r="AO343" s="1194" t="str">
        <f>IF(I343=".",".",VLOOKUP($I343,'Price List, Weapons &amp; Items'!B:J,3,0))</f>
        <v>Military equipment</v>
      </c>
      <c r="AP343" s="1195" t="str">
        <f t="shared" ca="1" si="77"/>
        <v/>
      </c>
      <c r="AQ343" s="1194" t="str">
        <f>VLOOKUP($I343,'Price List, Weapons &amp; Items'!B:L,COLUMN('Price List, Weapons &amp; Items'!$L$11)-1,0)</f>
        <v>no price, 0 count</v>
      </c>
      <c r="AR343" s="1194">
        <f t="shared" si="84"/>
        <v>1</v>
      </c>
      <c r="AS343" s="1194">
        <f t="shared" si="85"/>
        <v>1</v>
      </c>
      <c r="AT343" s="1194" t="str">
        <f t="shared" si="86"/>
        <v>Value is not in date format</v>
      </c>
      <c r="AU343" s="1194" t="str">
        <f t="shared" si="87"/>
        <v>.</v>
      </c>
      <c r="AV343" s="1194" t="str">
        <f t="shared" si="78"/>
        <v>.</v>
      </c>
      <c r="AW343" s="1194" t="str">
        <f t="shared" si="88"/>
        <v>.</v>
      </c>
      <c r="AX343" s="1194">
        <f>IFERROR(VLOOKUP(B343,'Share, Heavy Weapons to Ukraine'!B:Z,COLUMN('Share, Heavy Weapons to Ukraine'!C353)-1,0),0)</f>
        <v>0</v>
      </c>
      <c r="AY343" s="1194">
        <f>VLOOKUP('Bilateral Assistance, MAIN DATA'!B343,'Country Summary (€)'!B:F,COLUMN('Country Summary (€)'!C354)-1,FALSE)</f>
        <v>1</v>
      </c>
      <c r="AZ343" s="1194" t="str">
        <f>IF(AND(AD343=1,D343="Military",H343&lt;&gt;"Not given")=TRUE,IF(SUMIFS(P:P,A:A,A343)&gt;0,ABS((SUMIFS(P:P,A:A,A343)/VLOOKUP("USD",'Exchange Rates'!B:C,2,0)))/S343,"."),".")</f>
        <v>.</v>
      </c>
      <c r="BA343" s="1196" t="str">
        <f>IF(AND(AD343=1,D343="Military",H343&lt;&gt;"Not given")=TRUE,IF(SUMIFS(P:P,A:A,A343)&gt;0,IF((ABS((SUMIFS(P:P,A:A,A343)/VLOOKUP("USD",'Exchange Rates'!B:C,2,0)))/S343)&gt;1,(SUMIFS(P:P,A:A,A343)-S343)/S343,(S343-SUMIFS(P:P,A:A,A343))/SUMIFS(P:P,A:A,A343)),"."),".")</f>
        <v>.</v>
      </c>
    </row>
    <row r="344" spans="1:53" ht="15.95" customHeight="1">
      <c r="A344" s="1182" t="s">
        <v>1304</v>
      </c>
      <c r="B344" s="1182" t="s">
        <v>1305</v>
      </c>
      <c r="C344" s="1181" t="s">
        <v>1306</v>
      </c>
      <c r="D344" s="1182" t="s">
        <v>389</v>
      </c>
      <c r="E344" s="1182" t="s">
        <v>390</v>
      </c>
      <c r="F344" s="1183" t="s">
        <v>1307</v>
      </c>
      <c r="G344" s="1184" t="s">
        <v>483</v>
      </c>
      <c r="H344" s="1185">
        <v>240000000</v>
      </c>
      <c r="I344" s="1180" t="s">
        <v>594</v>
      </c>
      <c r="J344" s="1186" t="str">
        <f>VLOOKUP($I344,'Price List, Weapons &amp; Items'!B:C,2,0)</f>
        <v>Military equipment</v>
      </c>
      <c r="K344" s="1186" t="str">
        <f>IF(I344=".",I344,VLOOKUP($I344,'Price List, Weapons &amp; Items'!B:D,3,0))</f>
        <v>Military equipment</v>
      </c>
      <c r="L344" s="1187">
        <f>VLOOKUP(I344,'Price List, Weapons &amp; Items'!B:E,4,0)</f>
        <v>0</v>
      </c>
      <c r="M344" s="1188" t="s">
        <v>374</v>
      </c>
      <c r="N344" s="1188" t="str">
        <f t="shared" si="89"/>
        <v>undisclosed</v>
      </c>
      <c r="O344" s="1188">
        <f>VLOOKUP($I344,'Price List, Weapons &amp; Items'!B:G,6,0)</f>
        <v>1400</v>
      </c>
      <c r="P344" s="1185" t="str">
        <f t="shared" si="79"/>
        <v>.</v>
      </c>
      <c r="Q344" s="1185" t="str">
        <f t="shared" si="80"/>
        <v>.</v>
      </c>
      <c r="R344" s="1185" t="str">
        <f t="shared" si="76"/>
        <v/>
      </c>
      <c r="S344" s="1185" t="str">
        <f>IF(AND(AD344=1,R344&lt;&gt;".")=TRUE,R344/VLOOKUP(G344,'Exchange Rates'!B:C,2,0),IF(R344=".",".",""))</f>
        <v/>
      </c>
      <c r="T344" s="1185" t="str">
        <f>IF(AD344=1,IF(AF344="Value is not given at all",".",IF(AF344="Value is given by the source",S344,IF(AF344="Value is calculated with prices",(IF(SUMIFS(Q:Q,A:A,A344)&gt;0,SUMIFS(Q:Q,A:A,A344),"."))/VLOOKUP("USD",'Exchange Rates'!B:C,2,0),"Error with coding"))),"")</f>
        <v/>
      </c>
      <c r="U344" s="1184" t="s">
        <v>365</v>
      </c>
      <c r="V344" s="974" t="s">
        <v>1309</v>
      </c>
      <c r="W344" s="974" t="s">
        <v>1310</v>
      </c>
      <c r="X344" s="974" t="s">
        <v>1311</v>
      </c>
      <c r="Y344" s="974" t="s">
        <v>1312</v>
      </c>
      <c r="Z344" s="1184">
        <v>0</v>
      </c>
      <c r="AA344" s="1194">
        <v>0</v>
      </c>
      <c r="AB344" s="977" t="s">
        <v>1313</v>
      </c>
      <c r="AC344" s="1192" t="str">
        <f>""</f>
        <v/>
      </c>
      <c r="AD344" s="1193">
        <v>0</v>
      </c>
      <c r="AE344" s="1193" t="s">
        <v>368</v>
      </c>
      <c r="AF344" s="1193" t="s">
        <v>368</v>
      </c>
      <c r="AG344" s="1193">
        <v>1</v>
      </c>
      <c r="AH344" s="1193">
        <v>5</v>
      </c>
      <c r="AI344" s="1193">
        <v>0</v>
      </c>
      <c r="AJ344" s="1193">
        <f>VLOOKUP($I344,'Price List, Weapons &amp; Items'!B:F,5,0)</f>
        <v>0</v>
      </c>
      <c r="AK344" s="1193">
        <f t="shared" si="81"/>
        <v>0</v>
      </c>
      <c r="AL344" s="1193">
        <f t="shared" si="82"/>
        <v>0</v>
      </c>
      <c r="AM344" s="1193">
        <f t="shared" si="83"/>
        <v>0</v>
      </c>
      <c r="AN344" s="1194" t="str">
        <f>VLOOKUP($I344,'Price List, Weapons &amp; Items'!B:L,COLUMN('Price List, Weapons &amp; Items'!$J$11)-1,0)</f>
        <v>Military media (incl. websites)</v>
      </c>
      <c r="AO344" s="1194" t="str">
        <f>IF(I344=".",".",VLOOKUP($I344,'Price List, Weapons &amp; Items'!B:J,3,0))</f>
        <v>Military equipment</v>
      </c>
      <c r="AP344" s="1195" t="str">
        <f t="shared" ca="1" si="77"/>
        <v/>
      </c>
      <c r="AQ344" s="1194">
        <f>VLOOKUP($I344,'Price List, Weapons &amp; Items'!B:L,COLUMN('Price List, Weapons &amp; Items'!$L$11)-1,0)</f>
        <v>2</v>
      </c>
      <c r="AR344" s="1194">
        <f t="shared" si="84"/>
        <v>1</v>
      </c>
      <c r="AS344" s="1194">
        <f t="shared" si="85"/>
        <v>1</v>
      </c>
      <c r="AT344" s="1194" t="str">
        <f t="shared" si="86"/>
        <v>Value is not in date format</v>
      </c>
      <c r="AU344" s="1194" t="str">
        <f t="shared" si="87"/>
        <v>.</v>
      </c>
      <c r="AV344" s="1194" t="str">
        <f t="shared" si="78"/>
        <v>.</v>
      </c>
      <c r="AW344" s="1194" t="str">
        <f t="shared" si="88"/>
        <v>.</v>
      </c>
      <c r="AX344" s="1194">
        <f>IFERROR(VLOOKUP(B344,'Share, Heavy Weapons to Ukraine'!B:Z,COLUMN('Share, Heavy Weapons to Ukraine'!C354)-1,0),0)</f>
        <v>0</v>
      </c>
      <c r="AY344" s="1194">
        <f>VLOOKUP('Bilateral Assistance, MAIN DATA'!B344,'Country Summary (€)'!B:F,COLUMN('Country Summary (€)'!C355)-1,FALSE)</f>
        <v>1</v>
      </c>
      <c r="AZ344" s="1194" t="str">
        <f>IF(AND(AD344=1,D344="Military",H344&lt;&gt;"Not given")=TRUE,IF(SUMIFS(P:P,A:A,A344)&gt;0,ABS((SUMIFS(P:P,A:A,A344)/VLOOKUP("USD",'Exchange Rates'!B:C,2,0)))/S344,"."),".")</f>
        <v>.</v>
      </c>
      <c r="BA344" s="1196" t="str">
        <f>IF(AND(AD344=1,D344="Military",H344&lt;&gt;"Not given")=TRUE,IF(SUMIFS(P:P,A:A,A344)&gt;0,IF((ABS((SUMIFS(P:P,A:A,A344)/VLOOKUP("USD",'Exchange Rates'!B:C,2,0)))/S344)&gt;1,(SUMIFS(P:P,A:A,A344)-S344)/S344,(S344-SUMIFS(P:P,A:A,A344))/SUMIFS(P:P,A:A,A344)),"."),".")</f>
        <v>.</v>
      </c>
    </row>
    <row r="345" spans="1:53" ht="15.95" customHeight="1">
      <c r="A345" s="1182" t="s">
        <v>1304</v>
      </c>
      <c r="B345" s="1182" t="s">
        <v>1305</v>
      </c>
      <c r="C345" s="1181" t="s">
        <v>1306</v>
      </c>
      <c r="D345" s="1182" t="s">
        <v>389</v>
      </c>
      <c r="E345" s="1182" t="s">
        <v>390</v>
      </c>
      <c r="F345" s="1183" t="s">
        <v>1307</v>
      </c>
      <c r="G345" s="1184" t="s">
        <v>483</v>
      </c>
      <c r="H345" s="1185">
        <v>240000000</v>
      </c>
      <c r="I345" s="1180" t="s">
        <v>1322</v>
      </c>
      <c r="J345" s="1186" t="str">
        <f>VLOOKUP($I345,'Price List, Weapons &amp; Items'!B:C,2,0)</f>
        <v>Military equipment</v>
      </c>
      <c r="K345" s="1186" t="str">
        <f>IF(I345=".",I345,VLOOKUP($I345,'Price List, Weapons &amp; Items'!B:D,3,0))</f>
        <v>Military equipment</v>
      </c>
      <c r="L345" s="1187">
        <f>VLOOKUP(I345,'Price List, Weapons &amp; Items'!B:E,4,0)</f>
        <v>0</v>
      </c>
      <c r="M345" s="1188" t="s">
        <v>374</v>
      </c>
      <c r="N345" s="1188" t="str">
        <f t="shared" si="89"/>
        <v>undisclosed</v>
      </c>
      <c r="O345" s="1188">
        <f>VLOOKUP($I345,'Price List, Weapons &amp; Items'!B:G,6,0)</f>
        <v>35</v>
      </c>
      <c r="P345" s="1185" t="str">
        <f t="shared" si="79"/>
        <v>.</v>
      </c>
      <c r="Q345" s="1185" t="str">
        <f t="shared" si="80"/>
        <v>.</v>
      </c>
      <c r="R345" s="1185" t="str">
        <f t="shared" si="76"/>
        <v/>
      </c>
      <c r="S345" s="1185" t="str">
        <f>IF(AND(AD345=1,R345&lt;&gt;".")=TRUE,R345/VLOOKUP(G345,'Exchange Rates'!B:C,2,0),IF(R345=".",".",""))</f>
        <v/>
      </c>
      <c r="T345" s="1185" t="str">
        <f>IF(AD345=1,IF(AF345="Value is not given at all",".",IF(AF345="Value is given by the source",S345,IF(AF345="Value is calculated with prices",(IF(SUMIFS(Q:Q,A:A,A345)&gt;0,SUMIFS(Q:Q,A:A,A345),"."))/VLOOKUP("USD",'Exchange Rates'!B:C,2,0),"Error with coding"))),"")</f>
        <v/>
      </c>
      <c r="U345" s="1184" t="s">
        <v>365</v>
      </c>
      <c r="V345" s="974" t="s">
        <v>1309</v>
      </c>
      <c r="W345" s="974" t="s">
        <v>1310</v>
      </c>
      <c r="X345" s="974" t="s">
        <v>1311</v>
      </c>
      <c r="Y345" s="974" t="s">
        <v>1312</v>
      </c>
      <c r="Z345" s="1184">
        <v>0</v>
      </c>
      <c r="AA345" s="1194">
        <v>0</v>
      </c>
      <c r="AB345" s="977" t="s">
        <v>1313</v>
      </c>
      <c r="AC345" s="1192" t="str">
        <f>""</f>
        <v/>
      </c>
      <c r="AD345" s="1193">
        <v>0</v>
      </c>
      <c r="AE345" s="1193" t="s">
        <v>368</v>
      </c>
      <c r="AF345" s="1193" t="s">
        <v>368</v>
      </c>
      <c r="AG345" s="1193">
        <v>1</v>
      </c>
      <c r="AH345" s="1193">
        <v>5</v>
      </c>
      <c r="AI345" s="1193">
        <v>0</v>
      </c>
      <c r="AJ345" s="1193">
        <f>VLOOKUP($I345,'Price List, Weapons &amp; Items'!B:F,5,0)</f>
        <v>0</v>
      </c>
      <c r="AK345" s="1193">
        <f t="shared" si="81"/>
        <v>0</v>
      </c>
      <c r="AL345" s="1193">
        <f t="shared" si="82"/>
        <v>0</v>
      </c>
      <c r="AM345" s="1193">
        <f t="shared" si="83"/>
        <v>0</v>
      </c>
      <c r="AN345" s="1194" t="str">
        <f>VLOOKUP($I345,'Price List, Weapons &amp; Items'!B:L,COLUMN('Price List, Weapons &amp; Items'!$J$11)-1,0)</f>
        <v>Online marketplaces and stores</v>
      </c>
      <c r="AO345" s="1194" t="str">
        <f>IF(I345=".",".",VLOOKUP($I345,'Price List, Weapons &amp; Items'!B:J,3,0))</f>
        <v>Military equipment</v>
      </c>
      <c r="AP345" s="1195" t="str">
        <f t="shared" ca="1" si="77"/>
        <v/>
      </c>
      <c r="AQ345" s="1194" t="str">
        <f>VLOOKUP($I345,'Price List, Weapons &amp; Items'!B:L,COLUMN('Price List, Weapons &amp; Items'!$L$11)-1,0)</f>
        <v>no price, 0 count</v>
      </c>
      <c r="AR345" s="1194">
        <f t="shared" si="84"/>
        <v>1</v>
      </c>
      <c r="AS345" s="1194">
        <f t="shared" si="85"/>
        <v>1</v>
      </c>
      <c r="AT345" s="1194" t="str">
        <f t="shared" si="86"/>
        <v>Value is not in date format</v>
      </c>
      <c r="AU345" s="1194" t="str">
        <f t="shared" si="87"/>
        <v>.</v>
      </c>
      <c r="AV345" s="1194" t="str">
        <f t="shared" si="78"/>
        <v>.</v>
      </c>
      <c r="AW345" s="1194" t="str">
        <f t="shared" si="88"/>
        <v>.</v>
      </c>
      <c r="AX345" s="1194">
        <f>IFERROR(VLOOKUP(B345,'Share, Heavy Weapons to Ukraine'!B:Z,COLUMN('Share, Heavy Weapons to Ukraine'!C355)-1,0),0)</f>
        <v>0</v>
      </c>
      <c r="AY345" s="1194">
        <f>VLOOKUP('Bilateral Assistance, MAIN DATA'!B345,'Country Summary (€)'!B:F,COLUMN('Country Summary (€)'!C356)-1,FALSE)</f>
        <v>1</v>
      </c>
      <c r="AZ345" s="1194" t="str">
        <f>IF(AND(AD345=1,D345="Military",H345&lt;&gt;"Not given")=TRUE,IF(SUMIFS(P:P,A:A,A345)&gt;0,ABS((SUMIFS(P:P,A:A,A345)/VLOOKUP("USD",'Exchange Rates'!B:C,2,0)))/S345,"."),".")</f>
        <v>.</v>
      </c>
      <c r="BA345" s="1196" t="str">
        <f>IF(AND(AD345=1,D345="Military",H345&lt;&gt;"Not given")=TRUE,IF(SUMIFS(P:P,A:A,A345)&gt;0,IF((ABS((SUMIFS(P:P,A:A,A345)/VLOOKUP("USD",'Exchange Rates'!B:C,2,0)))/S345)&gt;1,(SUMIFS(P:P,A:A,A345)-S345)/S345,(S345-SUMIFS(P:P,A:A,A345))/SUMIFS(P:P,A:A,A345)),"."),".")</f>
        <v>.</v>
      </c>
    </row>
    <row r="346" spans="1:53" ht="15.95" customHeight="1">
      <c r="A346" s="1182" t="s">
        <v>1304</v>
      </c>
      <c r="B346" s="1182" t="s">
        <v>1305</v>
      </c>
      <c r="C346" s="1181" t="s">
        <v>1306</v>
      </c>
      <c r="D346" s="1182" t="s">
        <v>389</v>
      </c>
      <c r="E346" s="1182" t="s">
        <v>390</v>
      </c>
      <c r="F346" s="1183" t="s">
        <v>1307</v>
      </c>
      <c r="G346" s="1184" t="s">
        <v>483</v>
      </c>
      <c r="H346" s="1185">
        <v>240000000</v>
      </c>
      <c r="I346" s="1180" t="s">
        <v>694</v>
      </c>
      <c r="J346" s="1186" t="str">
        <f>VLOOKUP($I346,'Price List, Weapons &amp; Items'!B:C,2,0)</f>
        <v>Military equipment</v>
      </c>
      <c r="K346" s="1186" t="str">
        <f>IF(I346=".",I346,VLOOKUP($I346,'Price List, Weapons &amp; Items'!B:D,3,0))</f>
        <v>Military equipment</v>
      </c>
      <c r="L346" s="1187">
        <f>VLOOKUP(I346,'Price List, Weapons &amp; Items'!B:E,4,0)</f>
        <v>0</v>
      </c>
      <c r="M346" s="1188" t="s">
        <v>374</v>
      </c>
      <c r="N346" s="1188" t="str">
        <f t="shared" si="89"/>
        <v>undisclosed</v>
      </c>
      <c r="O346" s="1188">
        <f>VLOOKUP($I346,'Price List, Weapons &amp; Items'!B:G,6,0)</f>
        <v>500</v>
      </c>
      <c r="P346" s="1185" t="str">
        <f t="shared" si="79"/>
        <v>.</v>
      </c>
      <c r="Q346" s="1185" t="str">
        <f t="shared" si="80"/>
        <v>.</v>
      </c>
      <c r="R346" s="1185" t="str">
        <f t="shared" si="76"/>
        <v/>
      </c>
      <c r="S346" s="1185" t="str">
        <f>IF(AND(AD346=1,R346&lt;&gt;".")=TRUE,R346/VLOOKUP(G346,'Exchange Rates'!B:C,2,0),IF(R346=".",".",""))</f>
        <v/>
      </c>
      <c r="T346" s="1185" t="str">
        <f>IF(AD346=1,IF(AF346="Value is not given at all",".",IF(AF346="Value is given by the source",S346,IF(AF346="Value is calculated with prices",(IF(SUMIFS(Q:Q,A:A,A346)&gt;0,SUMIFS(Q:Q,A:A,A346),"."))/VLOOKUP("USD",'Exchange Rates'!B:C,2,0),"Error with coding"))),"")</f>
        <v/>
      </c>
      <c r="U346" s="1184" t="s">
        <v>365</v>
      </c>
      <c r="V346" s="974" t="s">
        <v>1309</v>
      </c>
      <c r="W346" s="974" t="s">
        <v>1310</v>
      </c>
      <c r="X346" s="974" t="s">
        <v>1311</v>
      </c>
      <c r="Y346" s="974" t="s">
        <v>1312</v>
      </c>
      <c r="Z346" s="1184">
        <v>0</v>
      </c>
      <c r="AA346" s="1194">
        <v>0</v>
      </c>
      <c r="AB346" s="977" t="s">
        <v>1313</v>
      </c>
      <c r="AC346" s="1192" t="str">
        <f>""</f>
        <v/>
      </c>
      <c r="AD346" s="1193">
        <v>0</v>
      </c>
      <c r="AE346" s="1193" t="s">
        <v>368</v>
      </c>
      <c r="AF346" s="1193" t="s">
        <v>368</v>
      </c>
      <c r="AG346" s="1193">
        <v>1</v>
      </c>
      <c r="AH346" s="1193">
        <v>5</v>
      </c>
      <c r="AI346" s="1193">
        <v>0</v>
      </c>
      <c r="AJ346" s="1193">
        <f>VLOOKUP($I346,'Price List, Weapons &amp; Items'!B:F,5,0)</f>
        <v>0</v>
      </c>
      <c r="AK346" s="1193">
        <f t="shared" si="81"/>
        <v>0</v>
      </c>
      <c r="AL346" s="1193">
        <f t="shared" si="82"/>
        <v>0</v>
      </c>
      <c r="AM346" s="1193">
        <f t="shared" si="83"/>
        <v>0</v>
      </c>
      <c r="AN346" s="1194" t="str">
        <f>VLOOKUP($I346,'Price List, Weapons &amp; Items'!B:L,COLUMN('Price List, Weapons &amp; Items'!$J$11)-1,0)</f>
        <v>Military media (incl. websites)</v>
      </c>
      <c r="AO346" s="1194" t="str">
        <f>IF(I346=".",".",VLOOKUP($I346,'Price List, Weapons &amp; Items'!B:J,3,0))</f>
        <v>Military equipment</v>
      </c>
      <c r="AP346" s="1195" t="str">
        <f t="shared" ca="1" si="77"/>
        <v/>
      </c>
      <c r="AQ346" s="1194">
        <f>VLOOKUP($I346,'Price List, Weapons &amp; Items'!B:L,COLUMN('Price List, Weapons &amp; Items'!$L$11)-1,0)</f>
        <v>2</v>
      </c>
      <c r="AR346" s="1194">
        <f t="shared" si="84"/>
        <v>1</v>
      </c>
      <c r="AS346" s="1194">
        <f t="shared" si="85"/>
        <v>1</v>
      </c>
      <c r="AT346" s="1194" t="str">
        <f t="shared" si="86"/>
        <v>Value is not in date format</v>
      </c>
      <c r="AU346" s="1194" t="str">
        <f t="shared" si="87"/>
        <v>.</v>
      </c>
      <c r="AV346" s="1194" t="str">
        <f t="shared" si="78"/>
        <v>.</v>
      </c>
      <c r="AW346" s="1194" t="str">
        <f t="shared" si="88"/>
        <v>.</v>
      </c>
      <c r="AX346" s="1194">
        <f>IFERROR(VLOOKUP(B346,'Share, Heavy Weapons to Ukraine'!B:Z,COLUMN('Share, Heavy Weapons to Ukraine'!C356)-1,0),0)</f>
        <v>0</v>
      </c>
      <c r="AY346" s="1194">
        <f>VLOOKUP('Bilateral Assistance, MAIN DATA'!B346,'Country Summary (€)'!B:F,COLUMN('Country Summary (€)'!C357)-1,FALSE)</f>
        <v>1</v>
      </c>
      <c r="AZ346" s="1194" t="str">
        <f>IF(AND(AD346=1,D346="Military",H346&lt;&gt;"Not given")=TRUE,IF(SUMIFS(P:P,A:A,A346)&gt;0,ABS((SUMIFS(P:P,A:A,A346)/VLOOKUP("USD",'Exchange Rates'!B:C,2,0)))/S346,"."),".")</f>
        <v>.</v>
      </c>
      <c r="BA346" s="1196" t="str">
        <f>IF(AND(AD346=1,D346="Military",H346&lt;&gt;"Not given")=TRUE,IF(SUMIFS(P:P,A:A,A346)&gt;0,IF((ABS((SUMIFS(P:P,A:A,A346)/VLOOKUP("USD",'Exchange Rates'!B:C,2,0)))/S346)&gt;1,(SUMIFS(P:P,A:A,A346)-S346)/S346,(S346-SUMIFS(P:P,A:A,A346))/SUMIFS(P:P,A:A,A346)),"."),".")</f>
        <v>.</v>
      </c>
    </row>
    <row r="347" spans="1:53" ht="15.95" customHeight="1">
      <c r="A347" s="1182" t="s">
        <v>1304</v>
      </c>
      <c r="B347" s="1182" t="s">
        <v>1305</v>
      </c>
      <c r="C347" s="1181" t="s">
        <v>1306</v>
      </c>
      <c r="D347" s="1182" t="s">
        <v>389</v>
      </c>
      <c r="E347" s="1182" t="s">
        <v>390</v>
      </c>
      <c r="F347" s="1183" t="s">
        <v>1307</v>
      </c>
      <c r="G347" s="1184" t="s">
        <v>483</v>
      </c>
      <c r="H347" s="1185">
        <v>240000000</v>
      </c>
      <c r="I347" s="1180" t="s">
        <v>1323</v>
      </c>
      <c r="J347" s="1186" t="str">
        <f>VLOOKUP($I347,'Price List, Weapons &amp; Items'!B:C,2,0)</f>
        <v>Military equipment</v>
      </c>
      <c r="K347" s="1186" t="str">
        <f>IF(I347=".",I347,VLOOKUP($I347,'Price List, Weapons &amp; Items'!B:D,3,0))</f>
        <v>Military equipment</v>
      </c>
      <c r="L347" s="1187">
        <f>VLOOKUP(I347,'Price List, Weapons &amp; Items'!B:E,4,0)</f>
        <v>0</v>
      </c>
      <c r="M347" s="1188" t="s">
        <v>374</v>
      </c>
      <c r="N347" s="1188" t="str">
        <f t="shared" si="89"/>
        <v>undisclosed</v>
      </c>
      <c r="O347" s="1188" t="str">
        <f>VLOOKUP($I347,'Price List, Weapons &amp; Items'!B:G,6,0)</f>
        <v>.</v>
      </c>
      <c r="P347" s="1185" t="str">
        <f t="shared" si="79"/>
        <v>.</v>
      </c>
      <c r="Q347" s="1185" t="str">
        <f t="shared" si="80"/>
        <v>.</v>
      </c>
      <c r="R347" s="1185" t="str">
        <f t="shared" si="76"/>
        <v/>
      </c>
      <c r="S347" s="1185" t="str">
        <f>IF(AND(AD347=1,R347&lt;&gt;".")=TRUE,R347/VLOOKUP(G347,'Exchange Rates'!B:C,2,0),IF(R347=".",".",""))</f>
        <v/>
      </c>
      <c r="T347" s="1185" t="str">
        <f>IF(AD347=1,IF(AF347="Value is not given at all",".",IF(AF347="Value is given by the source",S347,IF(AF347="Value is calculated with prices",(IF(SUMIFS(Q:Q,A:A,A347)&gt;0,SUMIFS(Q:Q,A:A,A347),"."))/VLOOKUP("USD",'Exchange Rates'!B:C,2,0),"Error with coding"))),"")</f>
        <v/>
      </c>
      <c r="U347" s="1184" t="s">
        <v>365</v>
      </c>
      <c r="V347" s="974" t="s">
        <v>1309</v>
      </c>
      <c r="W347" s="974" t="s">
        <v>1310</v>
      </c>
      <c r="X347" s="974" t="s">
        <v>1311</v>
      </c>
      <c r="Y347" s="974" t="s">
        <v>1312</v>
      </c>
      <c r="Z347" s="1184">
        <v>0</v>
      </c>
      <c r="AA347" s="1194">
        <v>0</v>
      </c>
      <c r="AB347" s="977" t="s">
        <v>1313</v>
      </c>
      <c r="AC347" s="1192" t="str">
        <f>""</f>
        <v/>
      </c>
      <c r="AD347" s="1193">
        <v>0</v>
      </c>
      <c r="AE347" s="1193" t="s">
        <v>368</v>
      </c>
      <c r="AF347" s="1193" t="s">
        <v>368</v>
      </c>
      <c r="AG347" s="1193">
        <v>1</v>
      </c>
      <c r="AH347" s="1193">
        <v>5</v>
      </c>
      <c r="AI347" s="1193">
        <v>0</v>
      </c>
      <c r="AJ347" s="1193">
        <f>VLOOKUP($I347,'Price List, Weapons &amp; Items'!B:F,5,0)</f>
        <v>0</v>
      </c>
      <c r="AK347" s="1193">
        <f t="shared" si="81"/>
        <v>0</v>
      </c>
      <c r="AL347" s="1193">
        <f t="shared" si="82"/>
        <v>0</v>
      </c>
      <c r="AM347" s="1193">
        <f t="shared" si="83"/>
        <v>0</v>
      </c>
      <c r="AN347" s="1194" t="str">
        <f>VLOOKUP($I347,'Price List, Weapons &amp; Items'!B:L,COLUMN('Price List, Weapons &amp; Items'!$J$11)-1,0)</f>
        <v>Contracts</v>
      </c>
      <c r="AO347" s="1194" t="str">
        <f>IF(I347=".",".",VLOOKUP($I347,'Price List, Weapons &amp; Items'!B:J,3,0))</f>
        <v>Military equipment</v>
      </c>
      <c r="AP347" s="1195" t="str">
        <f t="shared" ca="1" si="77"/>
        <v/>
      </c>
      <c r="AQ347" s="1194">
        <f>VLOOKUP($I347,'Price List, Weapons &amp; Items'!B:L,COLUMN('Price List, Weapons &amp; Items'!$L$11)-1,0)</f>
        <v>0</v>
      </c>
      <c r="AR347" s="1194">
        <f t="shared" si="84"/>
        <v>1</v>
      </c>
      <c r="AS347" s="1194">
        <f t="shared" si="85"/>
        <v>1</v>
      </c>
      <c r="AT347" s="1194" t="str">
        <f t="shared" si="86"/>
        <v>Value is not in date format</v>
      </c>
      <c r="AU347" s="1194" t="str">
        <f t="shared" si="87"/>
        <v>.</v>
      </c>
      <c r="AV347" s="1194" t="str">
        <f t="shared" si="78"/>
        <v>.</v>
      </c>
      <c r="AW347" s="1194" t="str">
        <f t="shared" si="88"/>
        <v>.</v>
      </c>
      <c r="AX347" s="1194">
        <f>IFERROR(VLOOKUP(B347,'Share, Heavy Weapons to Ukraine'!B:Z,COLUMN('Share, Heavy Weapons to Ukraine'!C357)-1,0),0)</f>
        <v>0</v>
      </c>
      <c r="AY347" s="1194">
        <f>VLOOKUP('Bilateral Assistance, MAIN DATA'!B347,'Country Summary (€)'!B:F,COLUMN('Country Summary (€)'!C358)-1,FALSE)</f>
        <v>1</v>
      </c>
      <c r="AZ347" s="1194" t="str">
        <f>IF(AND(AD347=1,D347="Military",H347&lt;&gt;"Not given")=TRUE,IF(SUMIFS(P:P,A:A,A347)&gt;0,ABS((SUMIFS(P:P,A:A,A347)/VLOOKUP("USD",'Exchange Rates'!B:C,2,0)))/S347,"."),".")</f>
        <v>.</v>
      </c>
      <c r="BA347" s="1196" t="str">
        <f>IF(AND(AD347=1,D347="Military",H347&lt;&gt;"Not given")=TRUE,IF(SUMIFS(P:P,A:A,A347)&gt;0,IF((ABS((SUMIFS(P:P,A:A,A347)/VLOOKUP("USD",'Exchange Rates'!B:C,2,0)))/S347)&gt;1,(SUMIFS(P:P,A:A,A347)-S347)/S347,(S347-SUMIFS(P:P,A:A,A347))/SUMIFS(P:P,A:A,A347)),"."),".")</f>
        <v>.</v>
      </c>
    </row>
    <row r="348" spans="1:53" ht="15.95" customHeight="1">
      <c r="A348" s="1182" t="s">
        <v>1304</v>
      </c>
      <c r="B348" s="1182" t="s">
        <v>1305</v>
      </c>
      <c r="C348" s="1181" t="s">
        <v>1306</v>
      </c>
      <c r="D348" s="1182" t="s">
        <v>389</v>
      </c>
      <c r="E348" s="1182" t="s">
        <v>390</v>
      </c>
      <c r="F348" s="1183" t="s">
        <v>1307</v>
      </c>
      <c r="G348" s="1184" t="s">
        <v>483</v>
      </c>
      <c r="H348" s="1185">
        <v>240000000</v>
      </c>
      <c r="I348" s="1180" t="s">
        <v>1324</v>
      </c>
      <c r="J348" s="1186" t="str">
        <f>VLOOKUP($I348,'Price List, Weapons &amp; Items'!B:C,2,0)</f>
        <v>Aviation and drones</v>
      </c>
      <c r="K348" s="1186" t="str">
        <f>IF(I348=".",I348,VLOOKUP($I348,'Price List, Weapons &amp; Items'!B:D,3,0))</f>
        <v>Drone</v>
      </c>
      <c r="L348" s="1187">
        <f>VLOOKUP(I348,'Price List, Weapons &amp; Items'!B:E,4,0)</f>
        <v>0</v>
      </c>
      <c r="M348" s="1188" t="s">
        <v>374</v>
      </c>
      <c r="N348" s="1188" t="str">
        <f t="shared" si="89"/>
        <v>undisclosed</v>
      </c>
      <c r="O348" s="1188">
        <f>VLOOKUP($I348,'Price List, Weapons &amp; Items'!B:G,6,0)</f>
        <v>6000</v>
      </c>
      <c r="P348" s="1185" t="str">
        <f t="shared" si="79"/>
        <v>.</v>
      </c>
      <c r="Q348" s="1185" t="str">
        <f t="shared" si="80"/>
        <v>.</v>
      </c>
      <c r="R348" s="1185" t="str">
        <f t="shared" si="76"/>
        <v/>
      </c>
      <c r="S348" s="1185" t="str">
        <f>IF(AND(AD348=1,R348&lt;&gt;".")=TRUE,R348/VLOOKUP(G348,'Exchange Rates'!B:C,2,0),IF(R348=".",".",""))</f>
        <v/>
      </c>
      <c r="T348" s="1185" t="str">
        <f>IF(AD348=1,IF(AF348="Value is not given at all",".",IF(AF348="Value is given by the source",S348,IF(AF348="Value is calculated with prices",(IF(SUMIFS(Q:Q,A:A,A348)&gt;0,SUMIFS(Q:Q,A:A,A348),"."))/VLOOKUP("USD",'Exchange Rates'!B:C,2,0),"Error with coding"))),"")</f>
        <v/>
      </c>
      <c r="U348" s="1184" t="s">
        <v>365</v>
      </c>
      <c r="V348" s="974" t="s">
        <v>1309</v>
      </c>
      <c r="W348" s="974" t="s">
        <v>1310</v>
      </c>
      <c r="X348" s="974" t="s">
        <v>1311</v>
      </c>
      <c r="Y348" s="974" t="s">
        <v>1312</v>
      </c>
      <c r="Z348" s="1184">
        <v>0</v>
      </c>
      <c r="AA348" s="1194">
        <v>0</v>
      </c>
      <c r="AB348" s="977" t="s">
        <v>1313</v>
      </c>
      <c r="AC348" s="1192" t="str">
        <f>""</f>
        <v/>
      </c>
      <c r="AD348" s="1193">
        <v>0</v>
      </c>
      <c r="AE348" s="1193" t="s">
        <v>368</v>
      </c>
      <c r="AF348" s="1193" t="s">
        <v>368</v>
      </c>
      <c r="AG348" s="1193">
        <v>1</v>
      </c>
      <c r="AH348" s="1193">
        <v>5</v>
      </c>
      <c r="AI348" s="1193">
        <v>0</v>
      </c>
      <c r="AJ348" s="1193">
        <f>VLOOKUP($I348,'Price List, Weapons &amp; Items'!B:F,5,0)</f>
        <v>0</v>
      </c>
      <c r="AK348" s="1193">
        <f t="shared" si="81"/>
        <v>0</v>
      </c>
      <c r="AL348" s="1193">
        <f t="shared" si="82"/>
        <v>0</v>
      </c>
      <c r="AM348" s="1193">
        <f t="shared" si="83"/>
        <v>0</v>
      </c>
      <c r="AN348" s="1194" t="str">
        <f>VLOOKUP($I348,'Price List, Weapons &amp; Items'!B:L,COLUMN('Price List, Weapons &amp; Items'!$J$11)-1,0)</f>
        <v>Miscellaneous</v>
      </c>
      <c r="AO348" s="1194" t="str">
        <f>IF(I348=".",".",VLOOKUP($I348,'Price List, Weapons &amp; Items'!B:J,3,0))</f>
        <v>Drone</v>
      </c>
      <c r="AP348" s="1195" t="str">
        <f t="shared" ca="1" si="77"/>
        <v/>
      </c>
      <c r="AQ348" s="1194">
        <f>VLOOKUP($I348,'Price List, Weapons &amp; Items'!B:L,COLUMN('Price List, Weapons &amp; Items'!$L$11)-1,0)</f>
        <v>1</v>
      </c>
      <c r="AR348" s="1194">
        <f t="shared" si="84"/>
        <v>1</v>
      </c>
      <c r="AS348" s="1194">
        <f t="shared" si="85"/>
        <v>1</v>
      </c>
      <c r="AT348" s="1194" t="str">
        <f t="shared" si="86"/>
        <v>Value is not in date format</v>
      </c>
      <c r="AU348" s="1194" t="str">
        <f t="shared" si="87"/>
        <v>.</v>
      </c>
      <c r="AV348" s="1194" t="str">
        <f t="shared" si="78"/>
        <v>.</v>
      </c>
      <c r="AW348" s="1194" t="str">
        <f t="shared" si="88"/>
        <v>.</v>
      </c>
      <c r="AX348" s="1194">
        <f>IFERROR(VLOOKUP(B348,'Share, Heavy Weapons to Ukraine'!B:Z,COLUMN('Share, Heavy Weapons to Ukraine'!C358)-1,0),0)</f>
        <v>0</v>
      </c>
      <c r="AY348" s="1194">
        <f>VLOOKUP('Bilateral Assistance, MAIN DATA'!B348,'Country Summary (€)'!B:F,COLUMN('Country Summary (€)'!C359)-1,FALSE)</f>
        <v>1</v>
      </c>
      <c r="AZ348" s="1194" t="str">
        <f>IF(AND(AD348=1,D348="Military",H348&lt;&gt;"Not given")=TRUE,IF(SUMIFS(P:P,A:A,A348)&gt;0,ABS((SUMIFS(P:P,A:A,A348)/VLOOKUP("USD",'Exchange Rates'!B:C,2,0)))/S348,"."),".")</f>
        <v>.</v>
      </c>
      <c r="BA348" s="1196" t="str">
        <f>IF(AND(AD348=1,D348="Military",H348&lt;&gt;"Not given")=TRUE,IF(SUMIFS(P:P,A:A,A348)&gt;0,IF((ABS((SUMIFS(P:P,A:A,A348)/VLOOKUP("USD",'Exchange Rates'!B:C,2,0)))/S348)&gt;1,(SUMIFS(P:P,A:A,A348)-S348)/S348,(S348-SUMIFS(P:P,A:A,A348))/SUMIFS(P:P,A:A,A348)),"."),".")</f>
        <v>.</v>
      </c>
    </row>
    <row r="349" spans="1:53" ht="15.95" customHeight="1">
      <c r="A349" s="1182" t="s">
        <v>1304</v>
      </c>
      <c r="B349" s="1182" t="s">
        <v>1305</v>
      </c>
      <c r="C349" s="1181" t="s">
        <v>1306</v>
      </c>
      <c r="D349" s="1182" t="s">
        <v>389</v>
      </c>
      <c r="E349" s="1182" t="s">
        <v>390</v>
      </c>
      <c r="F349" s="1183" t="s">
        <v>1307</v>
      </c>
      <c r="G349" s="1184" t="s">
        <v>483</v>
      </c>
      <c r="H349" s="1185">
        <v>240000000</v>
      </c>
      <c r="I349" s="1180" t="s">
        <v>605</v>
      </c>
      <c r="J349" s="1186" t="str">
        <f>VLOOKUP($I349,'Price List, Weapons &amp; Items'!B:C,2,0)</f>
        <v>Military equipment</v>
      </c>
      <c r="K349" s="1186" t="str">
        <f>IF(I349=".",I349,VLOOKUP($I349,'Price List, Weapons &amp; Items'!B:D,3,0))</f>
        <v>Military equipment</v>
      </c>
      <c r="L349" s="1187">
        <f>VLOOKUP(I349,'Price List, Weapons &amp; Items'!B:E,4,0)</f>
        <v>0</v>
      </c>
      <c r="M349" s="1188" t="s">
        <v>374</v>
      </c>
      <c r="N349" s="1188" t="str">
        <f t="shared" si="89"/>
        <v>undisclosed</v>
      </c>
      <c r="O349" s="1188">
        <f>VLOOKUP($I349,'Price List, Weapons &amp; Items'!B:G,6,0)</f>
        <v>2320</v>
      </c>
      <c r="P349" s="1185" t="str">
        <f t="shared" si="79"/>
        <v>.</v>
      </c>
      <c r="Q349" s="1185" t="str">
        <f t="shared" si="80"/>
        <v>.</v>
      </c>
      <c r="R349" s="1185" t="str">
        <f t="shared" si="76"/>
        <v/>
      </c>
      <c r="S349" s="1185" t="str">
        <f>IF(AND(AD349=1,R349&lt;&gt;".")=TRUE,R349/VLOOKUP(G349,'Exchange Rates'!B:C,2,0),IF(R349=".",".",""))</f>
        <v/>
      </c>
      <c r="T349" s="1185" t="str">
        <f>IF(AD349=1,IF(AF349="Value is not given at all",".",IF(AF349="Value is given by the source",S349,IF(AF349="Value is calculated with prices",(IF(SUMIFS(Q:Q,A:A,A349)&gt;0,SUMIFS(Q:Q,A:A,A349),"."))/VLOOKUP("USD",'Exchange Rates'!B:C,2,0),"Error with coding"))),"")</f>
        <v/>
      </c>
      <c r="U349" s="1184" t="s">
        <v>365</v>
      </c>
      <c r="V349" s="974" t="s">
        <v>1309</v>
      </c>
      <c r="W349" s="974" t="s">
        <v>1310</v>
      </c>
      <c r="X349" s="974" t="s">
        <v>1311</v>
      </c>
      <c r="Y349" s="974" t="s">
        <v>1312</v>
      </c>
      <c r="Z349" s="1184">
        <v>0</v>
      </c>
      <c r="AA349" s="1194">
        <v>0</v>
      </c>
      <c r="AB349" s="977" t="s">
        <v>1313</v>
      </c>
      <c r="AC349" s="1192" t="str">
        <f>""</f>
        <v/>
      </c>
      <c r="AD349" s="1193">
        <v>0</v>
      </c>
      <c r="AE349" s="1193" t="s">
        <v>368</v>
      </c>
      <c r="AF349" s="1193" t="s">
        <v>368</v>
      </c>
      <c r="AG349" s="1193">
        <v>1</v>
      </c>
      <c r="AH349" s="1193">
        <v>5</v>
      </c>
      <c r="AI349" s="1193">
        <v>0</v>
      </c>
      <c r="AJ349" s="1193">
        <f>VLOOKUP($I349,'Price List, Weapons &amp; Items'!B:F,5,0)</f>
        <v>0</v>
      </c>
      <c r="AK349" s="1193">
        <f t="shared" si="81"/>
        <v>0</v>
      </c>
      <c r="AL349" s="1193">
        <f t="shared" si="82"/>
        <v>0</v>
      </c>
      <c r="AM349" s="1193">
        <f t="shared" si="83"/>
        <v>0</v>
      </c>
      <c r="AN349" s="1194" t="str">
        <f>VLOOKUP($I349,'Price List, Weapons &amp; Items'!B:L,COLUMN('Price List, Weapons &amp; Items'!$J$11)-1,0)</f>
        <v>Media reports (incl. social media)</v>
      </c>
      <c r="AO349" s="1194" t="str">
        <f>IF(I349=".",".",VLOOKUP($I349,'Price List, Weapons &amp; Items'!B:J,3,0))</f>
        <v>Military equipment</v>
      </c>
      <c r="AP349" s="1195" t="str">
        <f t="shared" ca="1" si="77"/>
        <v/>
      </c>
      <c r="AQ349" s="1194">
        <f>VLOOKUP($I349,'Price List, Weapons &amp; Items'!B:L,COLUMN('Price List, Weapons &amp; Items'!$L$11)-1,0)</f>
        <v>2</v>
      </c>
      <c r="AR349" s="1194">
        <f t="shared" si="84"/>
        <v>1</v>
      </c>
      <c r="AS349" s="1194">
        <f t="shared" si="85"/>
        <v>1</v>
      </c>
      <c r="AT349" s="1194" t="str">
        <f t="shared" si="86"/>
        <v>Value is not in date format</v>
      </c>
      <c r="AU349" s="1194" t="str">
        <f t="shared" si="87"/>
        <v>.</v>
      </c>
      <c r="AV349" s="1194" t="str">
        <f t="shared" si="78"/>
        <v>.</v>
      </c>
      <c r="AW349" s="1194" t="str">
        <f t="shared" si="88"/>
        <v>.</v>
      </c>
      <c r="AX349" s="1194">
        <f>IFERROR(VLOOKUP(B349,'Share, Heavy Weapons to Ukraine'!B:Z,COLUMN('Share, Heavy Weapons to Ukraine'!C359)-1,0),0)</f>
        <v>0</v>
      </c>
      <c r="AY349" s="1194">
        <f>VLOOKUP('Bilateral Assistance, MAIN DATA'!B349,'Country Summary (€)'!B:F,COLUMN('Country Summary (€)'!C360)-1,FALSE)</f>
        <v>1</v>
      </c>
      <c r="AZ349" s="1194" t="str">
        <f>IF(AND(AD349=1,D349="Military",H349&lt;&gt;"Not given")=TRUE,IF(SUMIFS(P:P,A:A,A349)&gt;0,ABS((SUMIFS(P:P,A:A,A349)/VLOOKUP("USD",'Exchange Rates'!B:C,2,0)))/S349,"."),".")</f>
        <v>.</v>
      </c>
      <c r="BA349" s="1196" t="str">
        <f>IF(AND(AD349=1,D349="Military",H349&lt;&gt;"Not given")=TRUE,IF(SUMIFS(P:P,A:A,A349)&gt;0,IF((ABS((SUMIFS(P:P,A:A,A349)/VLOOKUP("USD",'Exchange Rates'!B:C,2,0)))/S349)&gt;1,(SUMIFS(P:P,A:A,A349)-S349)/S349,(S349-SUMIFS(P:P,A:A,A349))/SUMIFS(P:P,A:A,A349)),"."),".")</f>
        <v>.</v>
      </c>
    </row>
    <row r="350" spans="1:53" ht="15.95" customHeight="1">
      <c r="A350" s="1182" t="s">
        <v>1304</v>
      </c>
      <c r="B350" s="1182" t="s">
        <v>1305</v>
      </c>
      <c r="C350" s="1181" t="s">
        <v>1306</v>
      </c>
      <c r="D350" s="1182" t="s">
        <v>389</v>
      </c>
      <c r="E350" s="1182" t="s">
        <v>390</v>
      </c>
      <c r="F350" s="1183" t="s">
        <v>1307</v>
      </c>
      <c r="G350" s="1184" t="s">
        <v>483</v>
      </c>
      <c r="H350" s="1185">
        <v>240000000</v>
      </c>
      <c r="I350" s="1180" t="s">
        <v>1325</v>
      </c>
      <c r="J350" s="1186" t="str">
        <f>VLOOKUP($I350,'Price List, Weapons &amp; Items'!B:C,2,0)</f>
        <v>Military equipment</v>
      </c>
      <c r="K350" s="1186" t="str">
        <f>IF(I350=".",I350,VLOOKUP($I350,'Price List, Weapons &amp; Items'!B:D,3,0))</f>
        <v>Military equipment</v>
      </c>
      <c r="L350" s="1187">
        <f>VLOOKUP(I350,'Price List, Weapons &amp; Items'!B:E,4,0)</f>
        <v>0</v>
      </c>
      <c r="M350" s="1188" t="s">
        <v>374</v>
      </c>
      <c r="N350" s="1188" t="str">
        <f t="shared" si="89"/>
        <v>undisclosed</v>
      </c>
      <c r="O350" s="1188">
        <f>VLOOKUP($I350,'Price List, Weapons &amp; Items'!B:G,6,0)</f>
        <v>5000</v>
      </c>
      <c r="P350" s="1185" t="str">
        <f t="shared" si="79"/>
        <v>.</v>
      </c>
      <c r="Q350" s="1185" t="str">
        <f t="shared" si="80"/>
        <v>.</v>
      </c>
      <c r="R350" s="1185" t="str">
        <f t="shared" si="76"/>
        <v/>
      </c>
      <c r="S350" s="1185" t="str">
        <f>IF(AND(AD350=1,R350&lt;&gt;".")=TRUE,R350/VLOOKUP(G350,'Exchange Rates'!B:C,2,0),IF(R350=".",".",""))</f>
        <v/>
      </c>
      <c r="T350" s="1185" t="str">
        <f>IF(AD350=1,IF(AF350="Value is not given at all",".",IF(AF350="Value is given by the source",S350,IF(AF350="Value is calculated with prices",(IF(SUMIFS(Q:Q,A:A,A350)&gt;0,SUMIFS(Q:Q,A:A,A350),"."))/VLOOKUP("USD",'Exchange Rates'!B:C,2,0),"Error with coding"))),"")</f>
        <v/>
      </c>
      <c r="U350" s="1184" t="s">
        <v>365</v>
      </c>
      <c r="V350" s="974" t="s">
        <v>1309</v>
      </c>
      <c r="W350" s="974" t="s">
        <v>1310</v>
      </c>
      <c r="X350" s="974" t="s">
        <v>1311</v>
      </c>
      <c r="Y350" s="974" t="s">
        <v>1312</v>
      </c>
      <c r="Z350" s="1184">
        <v>0</v>
      </c>
      <c r="AA350" s="1194">
        <v>0</v>
      </c>
      <c r="AB350" s="977" t="s">
        <v>1313</v>
      </c>
      <c r="AC350" s="1192" t="str">
        <f>""</f>
        <v/>
      </c>
      <c r="AD350" s="1193">
        <v>0</v>
      </c>
      <c r="AE350" s="1193" t="s">
        <v>368</v>
      </c>
      <c r="AF350" s="1193" t="s">
        <v>368</v>
      </c>
      <c r="AG350" s="1193">
        <v>1</v>
      </c>
      <c r="AH350" s="1193">
        <v>5</v>
      </c>
      <c r="AI350" s="1193">
        <v>0</v>
      </c>
      <c r="AJ350" s="1193">
        <f>VLOOKUP($I350,'Price List, Weapons &amp; Items'!B:F,5,0)</f>
        <v>0</v>
      </c>
      <c r="AK350" s="1193">
        <f t="shared" si="81"/>
        <v>0</v>
      </c>
      <c r="AL350" s="1193">
        <f t="shared" si="82"/>
        <v>0</v>
      </c>
      <c r="AM350" s="1193">
        <f t="shared" si="83"/>
        <v>0</v>
      </c>
      <c r="AN350" s="1194" t="str">
        <f>VLOOKUP($I350,'Price List, Weapons &amp; Items'!B:L,COLUMN('Price List, Weapons &amp; Items'!$J$11)-1,0)</f>
        <v>Miscellaneous</v>
      </c>
      <c r="AO350" s="1194" t="str">
        <f>IF(I350=".",".",VLOOKUP($I350,'Price List, Weapons &amp; Items'!B:J,3,0))</f>
        <v>Military equipment</v>
      </c>
      <c r="AP350" s="1195" t="str">
        <f t="shared" ca="1" si="77"/>
        <v/>
      </c>
      <c r="AQ350" s="1194" t="str">
        <f>VLOOKUP($I350,'Price List, Weapons &amp; Items'!B:L,COLUMN('Price List, Weapons &amp; Items'!$L$11)-1,0)</f>
        <v>no price, 0 count</v>
      </c>
      <c r="AR350" s="1194">
        <f t="shared" si="84"/>
        <v>1</v>
      </c>
      <c r="AS350" s="1194">
        <f t="shared" si="85"/>
        <v>1</v>
      </c>
      <c r="AT350" s="1194" t="str">
        <f t="shared" si="86"/>
        <v>Value is not in date format</v>
      </c>
      <c r="AU350" s="1194" t="str">
        <f t="shared" si="87"/>
        <v>.</v>
      </c>
      <c r="AV350" s="1194" t="str">
        <f t="shared" si="78"/>
        <v>.</v>
      </c>
      <c r="AW350" s="1194" t="str">
        <f t="shared" si="88"/>
        <v>.</v>
      </c>
      <c r="AX350" s="1194">
        <f>IFERROR(VLOOKUP(B350,'Share, Heavy Weapons to Ukraine'!B:Z,COLUMN('Share, Heavy Weapons to Ukraine'!C360)-1,0),0)</f>
        <v>0</v>
      </c>
      <c r="AY350" s="1194">
        <f>VLOOKUP('Bilateral Assistance, MAIN DATA'!B350,'Country Summary (€)'!B:F,COLUMN('Country Summary (€)'!C361)-1,FALSE)</f>
        <v>1</v>
      </c>
      <c r="AZ350" s="1194" t="str">
        <f>IF(AND(AD350=1,D350="Military",H350&lt;&gt;"Not given")=TRUE,IF(SUMIFS(P:P,A:A,A350)&gt;0,ABS((SUMIFS(P:P,A:A,A350)/VLOOKUP("USD",'Exchange Rates'!B:C,2,0)))/S350,"."),".")</f>
        <v>.</v>
      </c>
      <c r="BA350" s="1196" t="str">
        <f>IF(AND(AD350=1,D350="Military",H350&lt;&gt;"Not given")=TRUE,IF(SUMIFS(P:P,A:A,A350)&gt;0,IF((ABS((SUMIFS(P:P,A:A,A350)/VLOOKUP("USD",'Exchange Rates'!B:C,2,0)))/S350)&gt;1,(SUMIFS(P:P,A:A,A350)-S350)/S350,(S350-SUMIFS(P:P,A:A,A350))/SUMIFS(P:P,A:A,A350)),"."),".")</f>
        <v>.</v>
      </c>
    </row>
    <row r="351" spans="1:53" ht="15.95" customHeight="1">
      <c r="A351" s="1182" t="s">
        <v>1304</v>
      </c>
      <c r="B351" s="1182" t="s">
        <v>1305</v>
      </c>
      <c r="C351" s="1181" t="s">
        <v>1306</v>
      </c>
      <c r="D351" s="1182" t="s">
        <v>389</v>
      </c>
      <c r="E351" s="1182" t="s">
        <v>390</v>
      </c>
      <c r="F351" s="1183" t="s">
        <v>1307</v>
      </c>
      <c r="G351" s="1184" t="s">
        <v>483</v>
      </c>
      <c r="H351" s="1185">
        <v>240000000</v>
      </c>
      <c r="I351" s="1180" t="s">
        <v>1326</v>
      </c>
      <c r="J351" s="1186" t="str">
        <f>VLOOKUP($I351,'Price List, Weapons &amp; Items'!B:C,2,0)</f>
        <v>Military equipment</v>
      </c>
      <c r="K351" s="1186" t="str">
        <f>IF(I351=".",I351,VLOOKUP($I351,'Price List, Weapons &amp; Items'!B:D,3,0))</f>
        <v>Military equipment</v>
      </c>
      <c r="L351" s="1187">
        <f>VLOOKUP(I351,'Price List, Weapons &amp; Items'!B:E,4,0)</f>
        <v>0</v>
      </c>
      <c r="M351" s="1188" t="s">
        <v>374</v>
      </c>
      <c r="N351" s="1188" t="str">
        <f t="shared" si="89"/>
        <v>undisclosed</v>
      </c>
      <c r="O351" s="1188">
        <f>VLOOKUP($I351,'Price List, Weapons &amp; Items'!B:G,6,0)</f>
        <v>51404</v>
      </c>
      <c r="P351" s="1185" t="str">
        <f t="shared" si="79"/>
        <v>.</v>
      </c>
      <c r="Q351" s="1185" t="str">
        <f t="shared" si="80"/>
        <v>.</v>
      </c>
      <c r="R351" s="1185" t="str">
        <f t="shared" si="76"/>
        <v/>
      </c>
      <c r="S351" s="1185" t="str">
        <f>IF(AND(AD351=1,R351&lt;&gt;".")=TRUE,R351/VLOOKUP(G351,'Exchange Rates'!B:C,2,0),IF(R351=".",".",""))</f>
        <v/>
      </c>
      <c r="T351" s="1185" t="str">
        <f>IF(AD351=1,IF(AF351="Value is not given at all",".",IF(AF351="Value is given by the source",S351,IF(AF351="Value is calculated with prices",(IF(SUMIFS(Q:Q,A:A,A351)&gt;0,SUMIFS(Q:Q,A:A,A351),"."))/VLOOKUP("USD",'Exchange Rates'!B:C,2,0),"Error with coding"))),"")</f>
        <v/>
      </c>
      <c r="U351" s="1184" t="s">
        <v>365</v>
      </c>
      <c r="V351" s="974" t="s">
        <v>1309</v>
      </c>
      <c r="W351" s="974" t="s">
        <v>1310</v>
      </c>
      <c r="X351" s="974" t="s">
        <v>1311</v>
      </c>
      <c r="Y351" s="974" t="s">
        <v>1312</v>
      </c>
      <c r="Z351" s="1184">
        <v>0</v>
      </c>
      <c r="AA351" s="1194">
        <v>0</v>
      </c>
      <c r="AB351" s="977" t="s">
        <v>1313</v>
      </c>
      <c r="AC351" s="1192" t="str">
        <f>""</f>
        <v/>
      </c>
      <c r="AD351" s="1193">
        <v>0</v>
      </c>
      <c r="AE351" s="1193" t="s">
        <v>368</v>
      </c>
      <c r="AF351" s="1193" t="s">
        <v>368</v>
      </c>
      <c r="AG351" s="1193">
        <v>1</v>
      </c>
      <c r="AH351" s="1193">
        <v>5</v>
      </c>
      <c r="AI351" s="1193">
        <v>0</v>
      </c>
      <c r="AJ351" s="1193">
        <f>VLOOKUP($I351,'Price List, Weapons &amp; Items'!B:F,5,0)</f>
        <v>0</v>
      </c>
      <c r="AK351" s="1193">
        <f t="shared" si="81"/>
        <v>0</v>
      </c>
      <c r="AL351" s="1193">
        <f t="shared" si="82"/>
        <v>0</v>
      </c>
      <c r="AM351" s="1193">
        <f t="shared" si="83"/>
        <v>0</v>
      </c>
      <c r="AN351" s="1194" t="str">
        <f>VLOOKUP($I351,'Price List, Weapons &amp; Items'!B:L,COLUMN('Price List, Weapons &amp; Items'!$J$11)-1,0)</f>
        <v>Contracts</v>
      </c>
      <c r="AO351" s="1194" t="str">
        <f>IF(I351=".",".",VLOOKUP($I351,'Price List, Weapons &amp; Items'!B:J,3,0))</f>
        <v>Military equipment</v>
      </c>
      <c r="AP351" s="1195" t="str">
        <f t="shared" ca="1" si="77"/>
        <v/>
      </c>
      <c r="AQ351" s="1194">
        <f>VLOOKUP($I351,'Price List, Weapons &amp; Items'!B:L,COLUMN('Price List, Weapons &amp; Items'!$L$11)-1,0)</f>
        <v>2</v>
      </c>
      <c r="AR351" s="1194">
        <f t="shared" si="84"/>
        <v>1</v>
      </c>
      <c r="AS351" s="1194">
        <f t="shared" si="85"/>
        <v>1</v>
      </c>
      <c r="AT351" s="1194" t="str">
        <f t="shared" si="86"/>
        <v>Value is not in date format</v>
      </c>
      <c r="AU351" s="1194" t="str">
        <f t="shared" si="87"/>
        <v>.</v>
      </c>
      <c r="AV351" s="1194" t="str">
        <f t="shared" si="78"/>
        <v>.</v>
      </c>
      <c r="AW351" s="1194" t="str">
        <f t="shared" si="88"/>
        <v>.</v>
      </c>
      <c r="AX351" s="1194">
        <f>IFERROR(VLOOKUP(B351,'Share, Heavy Weapons to Ukraine'!B:Z,COLUMN('Share, Heavy Weapons to Ukraine'!C361)-1,0),0)</f>
        <v>0</v>
      </c>
      <c r="AY351" s="1194">
        <f>VLOOKUP('Bilateral Assistance, MAIN DATA'!B351,'Country Summary (€)'!B:F,COLUMN('Country Summary (€)'!C362)-1,FALSE)</f>
        <v>1</v>
      </c>
      <c r="AZ351" s="1194" t="str">
        <f>IF(AND(AD351=1,D351="Military",H351&lt;&gt;"Not given")=TRUE,IF(SUMIFS(P:P,A:A,A351)&gt;0,ABS((SUMIFS(P:P,A:A,A351)/VLOOKUP("USD",'Exchange Rates'!B:C,2,0)))/S351,"."),".")</f>
        <v>.</v>
      </c>
      <c r="BA351" s="1196" t="str">
        <f>IF(AND(AD351=1,D351="Military",H351&lt;&gt;"Not given")=TRUE,IF(SUMIFS(P:P,A:A,A351)&gt;0,IF((ABS((SUMIFS(P:P,A:A,A351)/VLOOKUP("USD",'Exchange Rates'!B:C,2,0)))/S351)&gt;1,(SUMIFS(P:P,A:A,A351)-S351)/S351,(S351-SUMIFS(P:P,A:A,A351))/SUMIFS(P:P,A:A,A351)),"."),".")</f>
        <v>.</v>
      </c>
    </row>
    <row r="352" spans="1:53" ht="15.95" customHeight="1">
      <c r="A352" s="1182" t="s">
        <v>1304</v>
      </c>
      <c r="B352" s="1182" t="s">
        <v>1305</v>
      </c>
      <c r="C352" s="1181" t="s">
        <v>1306</v>
      </c>
      <c r="D352" s="1182" t="s">
        <v>389</v>
      </c>
      <c r="E352" s="1182" t="s">
        <v>390</v>
      </c>
      <c r="F352" s="1183" t="s">
        <v>1307</v>
      </c>
      <c r="G352" s="1184" t="s">
        <v>483</v>
      </c>
      <c r="H352" s="1185">
        <v>240000000</v>
      </c>
      <c r="I352" s="1180" t="s">
        <v>1327</v>
      </c>
      <c r="J352" s="1186" t="str">
        <f>VLOOKUP($I352,'Price List, Weapons &amp; Items'!B:C,2,0)</f>
        <v>Heavy weapon</v>
      </c>
      <c r="K352" s="1186" t="str">
        <f>IF(I352=".",I352,VLOOKUP($I352,'Price List, Weapons &amp; Items'!B:D,3,0))</f>
        <v>Protected Patrol Vehicle (PPV)</v>
      </c>
      <c r="L352" s="1187">
        <f>VLOOKUP(I352,'Price List, Weapons &amp; Items'!B:E,4,0)</f>
        <v>0</v>
      </c>
      <c r="M352" s="1188">
        <v>7</v>
      </c>
      <c r="N352" s="1188">
        <v>7</v>
      </c>
      <c r="O352" s="1188">
        <f>VLOOKUP($I352,'Price List, Weapons &amp; Items'!B:G,6,0)</f>
        <v>94462</v>
      </c>
      <c r="P352" s="1185">
        <f t="shared" si="79"/>
        <v>661234</v>
      </c>
      <c r="Q352" s="1185">
        <f t="shared" si="80"/>
        <v>661234</v>
      </c>
      <c r="R352" s="1185" t="str">
        <f t="shared" si="76"/>
        <v/>
      </c>
      <c r="S352" s="1185" t="str">
        <f>IF(AND(AD352=1,R352&lt;&gt;".")=TRUE,R352/VLOOKUP(G352,'Exchange Rates'!B:C,2,0),IF(R352=".",".",""))</f>
        <v/>
      </c>
      <c r="T352" s="1185" t="str">
        <f>IF(AD352=1,IF(AF352="Value is not given at all",".",IF(AF352="Value is given by the source",S352,IF(AF352="Value is calculated with prices",(IF(SUMIFS(Q:Q,A:A,A352)&gt;0,SUMIFS(Q:Q,A:A,A352),"."))/VLOOKUP("USD",'Exchange Rates'!B:C,2,0),"Error with coding"))),"")</f>
        <v/>
      </c>
      <c r="U352" s="1184" t="s">
        <v>365</v>
      </c>
      <c r="V352" s="974" t="s">
        <v>1310</v>
      </c>
      <c r="W352" s="971" t="s">
        <v>1328</v>
      </c>
      <c r="X352" s="974" t="s">
        <v>1311</v>
      </c>
      <c r="Y352" s="971" t="s">
        <v>1329</v>
      </c>
      <c r="Z352" s="1184">
        <v>0</v>
      </c>
      <c r="AA352" s="1194">
        <v>0</v>
      </c>
      <c r="AB352" s="977" t="s">
        <v>1313</v>
      </c>
      <c r="AC352" s="1192" t="str">
        <f>""</f>
        <v/>
      </c>
      <c r="AD352" s="1193">
        <v>0</v>
      </c>
      <c r="AE352" s="1193" t="s">
        <v>368</v>
      </c>
      <c r="AF352" s="1193" t="s">
        <v>368</v>
      </c>
      <c r="AG352" s="1193">
        <v>1</v>
      </c>
      <c r="AH352" s="1193">
        <v>5</v>
      </c>
      <c r="AI352" s="1193">
        <v>0</v>
      </c>
      <c r="AJ352" s="1193">
        <f>VLOOKUP($I352,'Price List, Weapons &amp; Items'!B:F,5,0)</f>
        <v>1</v>
      </c>
      <c r="AK352" s="1193">
        <f t="shared" si="81"/>
        <v>0</v>
      </c>
      <c r="AL352" s="1193">
        <f t="shared" si="82"/>
        <v>0</v>
      </c>
      <c r="AM352" s="1193">
        <f t="shared" si="83"/>
        <v>0</v>
      </c>
      <c r="AN352" s="1194" t="str">
        <f>VLOOKUP($I352,'Price List, Weapons &amp; Items'!B:L,COLUMN('Price List, Weapons &amp; Items'!$J$11)-1,0)</f>
        <v>Military media (incl. websites)</v>
      </c>
      <c r="AO352" s="1194" t="str">
        <f>IF(I352=".",".",VLOOKUP($I352,'Price List, Weapons &amp; Items'!B:J,3,0))</f>
        <v>Protected Patrol Vehicle (PPV)</v>
      </c>
      <c r="AP352" s="1195" t="str">
        <f t="shared" ca="1" si="77"/>
        <v/>
      </c>
      <c r="AQ352" s="1194">
        <f>VLOOKUP($I352,'Price List, Weapons &amp; Items'!B:L,COLUMN('Price List, Weapons &amp; Items'!$L$11)-1,0)</f>
        <v>1</v>
      </c>
      <c r="AR352" s="1194">
        <f t="shared" si="84"/>
        <v>1</v>
      </c>
      <c r="AS352" s="1194">
        <f t="shared" si="85"/>
        <v>1</v>
      </c>
      <c r="AT352" s="1194" t="str">
        <f t="shared" si="86"/>
        <v>Value is not in date format</v>
      </c>
      <c r="AU352" s="1194" t="str">
        <f t="shared" si="87"/>
        <v>.</v>
      </c>
      <c r="AV352" s="1194" t="str">
        <f t="shared" si="78"/>
        <v>.</v>
      </c>
      <c r="AW352" s="1194" t="str">
        <f t="shared" si="88"/>
        <v>.</v>
      </c>
      <c r="AX352" s="1194">
        <f>IFERROR(VLOOKUP(B352,'Share, Heavy Weapons to Ukraine'!B:Z,COLUMN('Share, Heavy Weapons to Ukraine'!C362)-1,0),0)</f>
        <v>0</v>
      </c>
      <c r="AY352" s="1194">
        <f>VLOOKUP('Bilateral Assistance, MAIN DATA'!B352,'Country Summary (€)'!B:F,COLUMN('Country Summary (€)'!C363)-1,FALSE)</f>
        <v>1</v>
      </c>
      <c r="AZ352" s="1194" t="str">
        <f>IF(AND(AD352=1,D352="Military",H352&lt;&gt;"Not given")=TRUE,IF(SUMIFS(P:P,A:A,A352)&gt;0,ABS((SUMIFS(P:P,A:A,A352)/VLOOKUP("USD",'Exchange Rates'!B:C,2,0)))/S352,"."),".")</f>
        <v>.</v>
      </c>
      <c r="BA352" s="1196" t="str">
        <f>IF(AND(AD352=1,D352="Military",H352&lt;&gt;"Not given")=TRUE,IF(SUMIFS(P:P,A:A,A352)&gt;0,IF((ABS((SUMIFS(P:P,A:A,A352)/VLOOKUP("USD",'Exchange Rates'!B:C,2,0)))/S352)&gt;1,(SUMIFS(P:P,A:A,A352)-S352)/S352,(S352-SUMIFS(P:P,A:A,A352))/SUMIFS(P:P,A:A,A352)),"."),".")</f>
        <v>.</v>
      </c>
    </row>
    <row r="353" spans="1:53" ht="15.95" customHeight="1">
      <c r="A353" s="1182" t="s">
        <v>1330</v>
      </c>
      <c r="B353" s="1180" t="s">
        <v>1305</v>
      </c>
      <c r="C353" s="1181">
        <v>44601</v>
      </c>
      <c r="D353" s="1182" t="s">
        <v>389</v>
      </c>
      <c r="E353" s="1182" t="s">
        <v>398</v>
      </c>
      <c r="F353" s="1183" t="s">
        <v>1331</v>
      </c>
      <c r="G353" s="1184" t="s">
        <v>483</v>
      </c>
      <c r="H353" s="1185">
        <v>5300000</v>
      </c>
      <c r="I353" s="1208" t="s">
        <v>1332</v>
      </c>
      <c r="J353" s="1186" t="str">
        <f>VLOOKUP($I353,'Price List, Weapons &amp; Items'!B:C,2,0)</f>
        <v>Military equipment</v>
      </c>
      <c r="K353" s="1186" t="str">
        <f>IF(I353=".",I353,VLOOKUP($I353,'Price List, Weapons &amp; Items'!B:D,3,0))</f>
        <v>Military equipment</v>
      </c>
      <c r="L353" s="1187">
        <f>VLOOKUP(I353,'Price List, Weapons &amp; Items'!B:E,4,0)</f>
        <v>0</v>
      </c>
      <c r="M353" s="1188">
        <v>1</v>
      </c>
      <c r="N353" s="1188">
        <v>1</v>
      </c>
      <c r="O353" s="1188">
        <f>VLOOKUP($I353,'Price List, Weapons &amp; Items'!B:G,6,0)</f>
        <v>6060550</v>
      </c>
      <c r="P353" s="1185">
        <f t="shared" si="79"/>
        <v>6060550</v>
      </c>
      <c r="Q353" s="1185">
        <f t="shared" si="80"/>
        <v>6060550</v>
      </c>
      <c r="R353" s="1185">
        <f t="shared" si="76"/>
        <v>5300000</v>
      </c>
      <c r="S353" s="1185">
        <f>IF(AND(AD353=1,R353&lt;&gt;".")=TRUE,R353/VLOOKUP(G353,'Exchange Rates'!B:C,2,0),IF(R353=".",".",""))</f>
        <v>5300000</v>
      </c>
      <c r="T353" s="1185">
        <f>IF(AD353=1,IF(AF353="Value is not given at all",".",IF(AF353="Value is given by the source",S353,IF(AF353="Value is calculated with prices",(IF(SUMIFS(Q:Q,A:A,A353)&gt;0,SUMIFS(Q:Q,A:A,A353),"."))/VLOOKUP("USD",'Exchange Rates'!B:C,2,0),"Error with coding"))),"")</f>
        <v>5300000</v>
      </c>
      <c r="U353" s="1184" t="s">
        <v>365</v>
      </c>
      <c r="V353" s="971" t="s">
        <v>1333</v>
      </c>
      <c r="W353" s="972" t="s">
        <v>1334</v>
      </c>
      <c r="X353" s="1190" t="s">
        <v>364</v>
      </c>
      <c r="Y353" s="1190" t="s">
        <v>364</v>
      </c>
      <c r="Z353" s="1184">
        <v>0</v>
      </c>
      <c r="AA353" s="1194">
        <v>0</v>
      </c>
      <c r="AB353" s="1016" t="s">
        <v>1334</v>
      </c>
      <c r="AC353" s="1192" t="str">
        <f>""</f>
        <v/>
      </c>
      <c r="AD353" s="1193">
        <v>1</v>
      </c>
      <c r="AE353" s="1193" t="s">
        <v>368</v>
      </c>
      <c r="AF353" s="1193" t="s">
        <v>368</v>
      </c>
      <c r="AG353" s="1193">
        <v>1</v>
      </c>
      <c r="AH353" s="1193">
        <v>2</v>
      </c>
      <c r="AI353" s="1193">
        <v>1</v>
      </c>
      <c r="AJ353" s="1193">
        <f>VLOOKUP($I353,'Price List, Weapons &amp; Items'!B:F,5,0)</f>
        <v>0</v>
      </c>
      <c r="AK353" s="1193">
        <f t="shared" si="81"/>
        <v>0</v>
      </c>
      <c r="AL353" s="1193">
        <f t="shared" si="82"/>
        <v>0</v>
      </c>
      <c r="AM353" s="1193">
        <f t="shared" si="83"/>
        <v>0</v>
      </c>
      <c r="AN353" s="1194" t="str">
        <f>VLOOKUP($I353,'Price List, Weapons &amp; Items'!B:L,COLUMN('Price List, Weapons &amp; Items'!$J$11)-1,0)</f>
        <v>Media reports (incl. social media)</v>
      </c>
      <c r="AO353" s="1194" t="str">
        <f>IF(I353=".",".",VLOOKUP($I353,'Price List, Weapons &amp; Items'!B:J,3,0))</f>
        <v>Military equipment</v>
      </c>
      <c r="AP353" s="1195" t="str">
        <f t="shared" ca="1" si="77"/>
        <v>Field hospital</v>
      </c>
      <c r="AQ353" s="1194">
        <f>VLOOKUP($I353,'Price List, Weapons &amp; Items'!B:L,COLUMN('Price List, Weapons &amp; Items'!$L$11)-1,0)</f>
        <v>2</v>
      </c>
      <c r="AR353" s="1194">
        <f t="shared" si="84"/>
        <v>1</v>
      </c>
      <c r="AS353" s="1194">
        <f t="shared" si="85"/>
        <v>1</v>
      </c>
      <c r="AT353" s="1194">
        <f t="shared" si="86"/>
        <v>1</v>
      </c>
      <c r="AU353" s="1194" t="str">
        <f t="shared" si="87"/>
        <v>.</v>
      </c>
      <c r="AV353" s="1194" t="str">
        <f t="shared" si="78"/>
        <v>.</v>
      </c>
      <c r="AW353" s="1194" t="str">
        <f t="shared" si="88"/>
        <v>.</v>
      </c>
      <c r="AX353" s="1194">
        <f>IFERROR(VLOOKUP(B353,'Share, Heavy Weapons to Ukraine'!B:Z,COLUMN('Share, Heavy Weapons to Ukraine'!C363)-1,0),0)</f>
        <v>0</v>
      </c>
      <c r="AY353" s="1194">
        <f>VLOOKUP('Bilateral Assistance, MAIN DATA'!B353,'Country Summary (€)'!B:F,COLUMN('Country Summary (€)'!C364)-1,FALSE)</f>
        <v>1</v>
      </c>
      <c r="AZ353" s="1194">
        <f>IF(AND(AD353=1,D353="Military",H353&lt;&gt;"Not given")=TRUE,IF(SUMIFS(P:P,A:A,A353)&gt;0,ABS((SUMIFS(P:P,A:A,A353)/VLOOKUP("USD",'Exchange Rates'!B:C,2,0)))/S353,"."),".")</f>
        <v>1.0521715126978284</v>
      </c>
      <c r="BA353" s="1196">
        <f>IF(AND(AD353=1,D353="Military",H353&lt;&gt;"Not given")=TRUE,IF(SUMIFS(P:P,A:A,A353)&gt;0,IF((ABS((SUMIFS(P:P,A:A,A353)/VLOOKUP("USD",'Exchange Rates'!B:C,2,0)))/S353)&gt;1,(SUMIFS(P:P,A:A,A353)-S353)/S353,(S353-SUMIFS(P:P,A:A,A353))/SUMIFS(P:P,A:A,A353)),"."),".")</f>
        <v>0.14349999999999999</v>
      </c>
    </row>
    <row r="354" spans="1:53" ht="15.95" customHeight="1">
      <c r="A354" s="1182" t="s">
        <v>1335</v>
      </c>
      <c r="B354" s="1180" t="s">
        <v>1305</v>
      </c>
      <c r="C354" s="1181">
        <v>44657</v>
      </c>
      <c r="D354" s="1182" t="s">
        <v>389</v>
      </c>
      <c r="E354" s="1182" t="s">
        <v>398</v>
      </c>
      <c r="F354" s="1183" t="s">
        <v>1336</v>
      </c>
      <c r="G354" s="1184" t="s">
        <v>483</v>
      </c>
      <c r="H354" s="1185">
        <v>5000000</v>
      </c>
      <c r="I354" s="1180" t="s">
        <v>1337</v>
      </c>
      <c r="J354" s="1186" t="str">
        <f>VLOOKUP($I354,'Price List, Weapons &amp; Items'!B:C,2,0)</f>
        <v>Military equipment</v>
      </c>
      <c r="K354" s="1186" t="str">
        <f>IF(I354=".",I354,VLOOKUP($I354,'Price List, Weapons &amp; Items'!B:D,3,0))</f>
        <v>Military equipment</v>
      </c>
      <c r="L354" s="1187">
        <f>VLOOKUP(I354,'Price List, Weapons &amp; Items'!B:E,4,0)</f>
        <v>0</v>
      </c>
      <c r="M354" s="1188" t="s">
        <v>374</v>
      </c>
      <c r="N354" s="1188" t="str">
        <f>M354</f>
        <v>undisclosed</v>
      </c>
      <c r="O354" s="1188">
        <f>VLOOKUP($I354,'Price List, Weapons &amp; Items'!B:G,6,0)</f>
        <v>1.29</v>
      </c>
      <c r="P354" s="1185" t="str">
        <f t="shared" si="79"/>
        <v>.</v>
      </c>
      <c r="Q354" s="1185" t="str">
        <f t="shared" si="80"/>
        <v>.</v>
      </c>
      <c r="R354" s="1185">
        <f t="shared" si="76"/>
        <v>5000000</v>
      </c>
      <c r="S354" s="1185">
        <f>IF(AND(AD354=1,R354&lt;&gt;".")=TRUE,R354/VLOOKUP(G354,'Exchange Rates'!B:C,2,0),IF(R354=".",".",""))</f>
        <v>5000000</v>
      </c>
      <c r="T354" s="1185">
        <f>IF(AD354=1,IF(AF354="Value is not given at all",".",IF(AF354="Value is given by the source",S354,IF(AF354="Value is calculated with prices",(IF(SUMIFS(Q:Q,A:A,A354)&gt;0,SUMIFS(Q:Q,A:A,A354),"."))/VLOOKUP("USD",'Exchange Rates'!B:C,2,0),"Error with coding"))),"")</f>
        <v>5000000</v>
      </c>
      <c r="U354" s="1184" t="s">
        <v>365</v>
      </c>
      <c r="V354" s="972" t="s">
        <v>1338</v>
      </c>
      <c r="W354" s="971" t="s">
        <v>1312</v>
      </c>
      <c r="X354" s="1190" t="s">
        <v>364</v>
      </c>
      <c r="Y354" s="1190" t="s">
        <v>364</v>
      </c>
      <c r="Z354" s="1184">
        <v>0</v>
      </c>
      <c r="AA354" s="1194">
        <v>0</v>
      </c>
      <c r="AB354" s="1017" t="s">
        <v>1339</v>
      </c>
      <c r="AC354" s="1192" t="str">
        <f>""</f>
        <v/>
      </c>
      <c r="AD354" s="1193">
        <v>1</v>
      </c>
      <c r="AE354" s="1193" t="s">
        <v>368</v>
      </c>
      <c r="AF354" s="1193" t="s">
        <v>368</v>
      </c>
      <c r="AG354" s="1193">
        <v>1</v>
      </c>
      <c r="AH354" s="1193">
        <v>4</v>
      </c>
      <c r="AI354" s="1193">
        <v>0</v>
      </c>
      <c r="AJ354" s="1193">
        <f>VLOOKUP($I354,'Price List, Weapons &amp; Items'!B:F,5,0)</f>
        <v>0</v>
      </c>
      <c r="AK354" s="1193">
        <f t="shared" si="81"/>
        <v>0</v>
      </c>
      <c r="AL354" s="1193">
        <f t="shared" si="82"/>
        <v>0</v>
      </c>
      <c r="AM354" s="1193">
        <f t="shared" si="83"/>
        <v>0</v>
      </c>
      <c r="AN354" s="1194" t="str">
        <f>VLOOKUP($I354,'Price List, Weapons &amp; Items'!B:L,COLUMN('Price List, Weapons &amp; Items'!$J$11)-1,0)</f>
        <v>Miscellaneous</v>
      </c>
      <c r="AO354" s="1194" t="str">
        <f>IF(I354=".",".",VLOOKUP($I354,'Price List, Weapons &amp; Items'!B:J,3,0))</f>
        <v>Military equipment</v>
      </c>
      <c r="AP354" s="1195" t="str">
        <f t="shared" ca="1" si="77"/>
        <v>liter of fuel M</v>
      </c>
      <c r="AQ354" s="1194" t="str">
        <f>VLOOKUP($I354,'Price List, Weapons &amp; Items'!B:L,COLUMN('Price List, Weapons &amp; Items'!$L$11)-1,0)</f>
        <v>no price, 0 count</v>
      </c>
      <c r="AR354" s="1194">
        <f t="shared" si="84"/>
        <v>1</v>
      </c>
      <c r="AS354" s="1194">
        <f t="shared" si="85"/>
        <v>1</v>
      </c>
      <c r="AT354" s="1194">
        <f t="shared" si="86"/>
        <v>1</v>
      </c>
      <c r="AU354" s="1194" t="str">
        <f t="shared" si="87"/>
        <v>.</v>
      </c>
      <c r="AV354" s="1194" t="str">
        <f t="shared" si="78"/>
        <v>.</v>
      </c>
      <c r="AW354" s="1194" t="str">
        <f t="shared" si="88"/>
        <v>.</v>
      </c>
      <c r="AX354" s="1194">
        <f>IFERROR(VLOOKUP(B354,'Share, Heavy Weapons to Ukraine'!B:Z,COLUMN('Share, Heavy Weapons to Ukraine'!C364)-1,0),0)</f>
        <v>0</v>
      </c>
      <c r="AY354" s="1194">
        <f>VLOOKUP('Bilateral Assistance, MAIN DATA'!B354,'Country Summary (€)'!B:F,COLUMN('Country Summary (€)'!C365)-1,FALSE)</f>
        <v>1</v>
      </c>
      <c r="AZ354" s="1194" t="str">
        <f>IF(AND(AD354=1,D354="Military",H354&lt;&gt;"Not given")=TRUE,IF(SUMIFS(P:P,A:A,A354)&gt;0,ABS((SUMIFS(P:P,A:A,A354)/VLOOKUP("USD",'Exchange Rates'!B:C,2,0)))/S354,"."),".")</f>
        <v>.</v>
      </c>
      <c r="BA354" s="1196" t="str">
        <f>IF(AND(AD354=1,D354="Military",H354&lt;&gt;"Not given")=TRUE,IF(SUMIFS(P:P,A:A,A354)&gt;0,IF((ABS((SUMIFS(P:P,A:A,A354)/VLOOKUP("USD",'Exchange Rates'!B:C,2,0)))/S354)&gt;1,(SUMIFS(P:P,A:A,A354)-S354)/S354,(S354-SUMIFS(P:P,A:A,A354))/SUMIFS(P:P,A:A,A354)),"."),".")</f>
        <v>.</v>
      </c>
    </row>
    <row r="355" spans="1:53" ht="15.95" customHeight="1">
      <c r="A355" s="1180" t="s">
        <v>1340</v>
      </c>
      <c r="B355" s="1180" t="s">
        <v>1305</v>
      </c>
      <c r="C355" s="1181">
        <v>44791</v>
      </c>
      <c r="D355" s="1182" t="s">
        <v>389</v>
      </c>
      <c r="E355" s="1182" t="s">
        <v>398</v>
      </c>
      <c r="F355" s="1183" t="s">
        <v>1341</v>
      </c>
      <c r="G355" s="1184" t="s">
        <v>483</v>
      </c>
      <c r="H355" s="1185">
        <v>7820000</v>
      </c>
      <c r="I355" s="1208" t="s">
        <v>1332</v>
      </c>
      <c r="J355" s="1186" t="str">
        <f>VLOOKUP($I355,'Price List, Weapons &amp; Items'!B:C,2,0)</f>
        <v>Military equipment</v>
      </c>
      <c r="K355" s="1186" t="str">
        <f>IF(I355=".",I355,VLOOKUP($I355,'Price List, Weapons &amp; Items'!B:D,3,0))</f>
        <v>Military equipment</v>
      </c>
      <c r="L355" s="1187">
        <f>VLOOKUP(I355,'Price List, Weapons &amp; Items'!B:E,4,0)</f>
        <v>0</v>
      </c>
      <c r="M355" s="1188">
        <v>1</v>
      </c>
      <c r="N355" s="1188">
        <v>1</v>
      </c>
      <c r="O355" s="1188">
        <f>VLOOKUP($I355,'Price List, Weapons &amp; Items'!B:G,6,0)</f>
        <v>6060550</v>
      </c>
      <c r="P355" s="1185">
        <f t="shared" si="79"/>
        <v>6060550</v>
      </c>
      <c r="Q355" s="1185">
        <f t="shared" si="80"/>
        <v>6060550</v>
      </c>
      <c r="R355" s="1185">
        <f t="shared" si="76"/>
        <v>7820000</v>
      </c>
      <c r="S355" s="1185">
        <f>IF(AND(AD355=1,R355&lt;&gt;".")=TRUE,R355/VLOOKUP(G355,'Exchange Rates'!B:C,2,0),IF(R355=".",".",""))</f>
        <v>7820000</v>
      </c>
      <c r="T355" s="1185">
        <f>IF(AD355=1,IF(AF355="Value is not given at all",".",IF(AF355="Value is given by the source",S355,IF(AF355="Value is calculated with prices",(IF(SUMIFS(Q:Q,A:A,A355)&gt;0,SUMIFS(Q:Q,A:A,A355),"."))/VLOOKUP("USD",'Exchange Rates'!B:C,2,0),"Error with coding"))),"")</f>
        <v>7820000</v>
      </c>
      <c r="U355" s="1184" t="s">
        <v>365</v>
      </c>
      <c r="V355" s="972" t="s">
        <v>1342</v>
      </c>
      <c r="W355" s="971" t="s">
        <v>1343</v>
      </c>
      <c r="X355" s="972" t="s">
        <v>1344</v>
      </c>
      <c r="Y355" s="991" t="s">
        <v>1345</v>
      </c>
      <c r="Z355" s="1184">
        <v>0</v>
      </c>
      <c r="AA355" s="1194">
        <v>0</v>
      </c>
      <c r="AB355" s="1016" t="s">
        <v>1344</v>
      </c>
      <c r="AC355" s="1192" t="str">
        <f>""</f>
        <v/>
      </c>
      <c r="AD355" s="1193">
        <v>1</v>
      </c>
      <c r="AE355" s="1193" t="s">
        <v>368</v>
      </c>
      <c r="AF355" s="1193" t="s">
        <v>368</v>
      </c>
      <c r="AG355" s="1193">
        <v>1</v>
      </c>
      <c r="AH355" s="1193">
        <v>8</v>
      </c>
      <c r="AI355" s="1193">
        <v>0</v>
      </c>
      <c r="AJ355" s="1193">
        <f>VLOOKUP($I355,'Price List, Weapons &amp; Items'!B:F,5,0)</f>
        <v>0</v>
      </c>
      <c r="AK355" s="1193">
        <f t="shared" si="81"/>
        <v>0</v>
      </c>
      <c r="AL355" s="1193">
        <f t="shared" si="82"/>
        <v>0</v>
      </c>
      <c r="AM355" s="1193">
        <f t="shared" si="83"/>
        <v>0</v>
      </c>
      <c r="AN355" s="1194" t="str">
        <f>VLOOKUP($I355,'Price List, Weapons &amp; Items'!B:L,COLUMN('Price List, Weapons &amp; Items'!$J$11)-1,0)</f>
        <v>Media reports (incl. social media)</v>
      </c>
      <c r="AO355" s="1194" t="str">
        <f>IF(I355=".",".",VLOOKUP($I355,'Price List, Weapons &amp; Items'!B:J,3,0))</f>
        <v>Military equipment</v>
      </c>
      <c r="AP355" s="1195" t="str">
        <f t="shared" ca="1" si="77"/>
        <v>Field hospital</v>
      </c>
      <c r="AQ355" s="1194">
        <f>VLOOKUP($I355,'Price List, Weapons &amp; Items'!B:L,COLUMN('Price List, Weapons &amp; Items'!$L$11)-1,0)</f>
        <v>2</v>
      </c>
      <c r="AR355" s="1194">
        <f t="shared" si="84"/>
        <v>1</v>
      </c>
      <c r="AS355" s="1194">
        <f t="shared" si="85"/>
        <v>1</v>
      </c>
      <c r="AT355" s="1194">
        <f t="shared" si="86"/>
        <v>1</v>
      </c>
      <c r="AU355" s="1194" t="str">
        <f t="shared" si="87"/>
        <v>.</v>
      </c>
      <c r="AV355" s="1194" t="str">
        <f t="shared" si="78"/>
        <v>.</v>
      </c>
      <c r="AW355" s="1194" t="str">
        <f t="shared" si="88"/>
        <v>.</v>
      </c>
      <c r="AX355" s="1194">
        <f>IFERROR(VLOOKUP(B355,'Share, Heavy Weapons to Ukraine'!B:Z,COLUMN('Share, Heavy Weapons to Ukraine'!C365)-1,0),0)</f>
        <v>0</v>
      </c>
      <c r="AY355" s="1194">
        <f>VLOOKUP('Bilateral Assistance, MAIN DATA'!B355,'Country Summary (€)'!B:F,COLUMN('Country Summary (€)'!C366)-1,FALSE)</f>
        <v>1</v>
      </c>
      <c r="AZ355" s="1194">
        <f>IF(AND(AD355=1,D355="Military",H355&lt;&gt;"Not given")=TRUE,IF(SUMIFS(P:P,A:A,A355)&gt;0,ABS((SUMIFS(P:P,A:A,A355)/VLOOKUP("USD",'Exchange Rates'!B:C,2,0)))/S355,"."),".")</f>
        <v>0.71310856998701933</v>
      </c>
      <c r="BA355" s="1196">
        <f>IF(AND(AD355=1,D355="Military",H355&lt;&gt;"Not given")=TRUE,IF(SUMIFS(P:P,A:A,A355)&gt;0,IF((ABS((SUMIFS(P:P,A:A,A355)/VLOOKUP("USD",'Exchange Rates'!B:C,2,0)))/S355)&gt;1,(SUMIFS(P:P,A:A,A355)-S355)/S355,(S355-SUMIFS(P:P,A:A,A355))/SUMIFS(P:P,A:A,A355)),"."),".")</f>
        <v>0.29031193538540234</v>
      </c>
    </row>
    <row r="356" spans="1:53" ht="15.95" customHeight="1">
      <c r="A356" s="1180" t="s">
        <v>1340</v>
      </c>
      <c r="B356" s="1180" t="s">
        <v>1305</v>
      </c>
      <c r="C356" s="1181">
        <v>44791</v>
      </c>
      <c r="D356" s="1182" t="s">
        <v>389</v>
      </c>
      <c r="E356" s="1182" t="s">
        <v>398</v>
      </c>
      <c r="F356" s="1183" t="s">
        <v>1341</v>
      </c>
      <c r="G356" s="1184" t="s">
        <v>483</v>
      </c>
      <c r="H356" s="1185">
        <v>7820000</v>
      </c>
      <c r="I356" s="1208" t="s">
        <v>407</v>
      </c>
      <c r="J356" s="1186" t="str">
        <f>VLOOKUP($I356,'Price List, Weapons &amp; Items'!B:C,2,0)</f>
        <v>Humanitarian</v>
      </c>
      <c r="K356" s="1186" t="str">
        <f>IF(I356=".",I356,VLOOKUP($I356,'Price List, Weapons &amp; Items'!B:D,3,0))</f>
        <v>Humanitarian</v>
      </c>
      <c r="L356" s="1187">
        <f>VLOOKUP(I356,'Price List, Weapons &amp; Items'!B:E,4,0)</f>
        <v>0</v>
      </c>
      <c r="M356" s="1188" t="s">
        <v>374</v>
      </c>
      <c r="N356" s="1188" t="s">
        <v>374</v>
      </c>
      <c r="O356" s="1188" t="str">
        <f>VLOOKUP($I356,'Price List, Weapons &amp; Items'!B:G,6,0)</f>
        <v>.</v>
      </c>
      <c r="P356" s="1185" t="str">
        <f t="shared" si="79"/>
        <v>.</v>
      </c>
      <c r="Q356" s="1185" t="str">
        <f t="shared" si="80"/>
        <v>.</v>
      </c>
      <c r="R356" s="1185" t="str">
        <f t="shared" si="76"/>
        <v/>
      </c>
      <c r="S356" s="1185" t="str">
        <f>IF(AND(AD356=1,R356&lt;&gt;".")=TRUE,R356/VLOOKUP(G356,'Exchange Rates'!B:C,2,0),IF(R356=".",".",""))</f>
        <v/>
      </c>
      <c r="T356" s="1185" t="str">
        <f>IF(AD356=1,IF(AF356="Value is not given at all",".",IF(AF356="Value is given by the source",S356,IF(AF356="Value is calculated with prices",(IF(SUMIFS(Q:Q,A:A,A356)&gt;0,SUMIFS(Q:Q,A:A,A356),"."))/VLOOKUP("USD",'Exchange Rates'!B:C,2,0),"Error with coding"))),"")</f>
        <v/>
      </c>
      <c r="U356" s="1184" t="s">
        <v>365</v>
      </c>
      <c r="V356" s="972" t="s">
        <v>1342</v>
      </c>
      <c r="W356" s="971" t="s">
        <v>1343</v>
      </c>
      <c r="X356" s="972" t="s">
        <v>1344</v>
      </c>
      <c r="Y356" s="991" t="s">
        <v>1345</v>
      </c>
      <c r="Z356" s="1184">
        <v>0</v>
      </c>
      <c r="AA356" s="1194">
        <v>0</v>
      </c>
      <c r="AB356" s="1016" t="s">
        <v>1344</v>
      </c>
      <c r="AC356" s="1192" t="str">
        <f>""</f>
        <v/>
      </c>
      <c r="AD356" s="1193">
        <v>0</v>
      </c>
      <c r="AE356" s="1193" t="s">
        <v>368</v>
      </c>
      <c r="AF356" s="1193" t="s">
        <v>368</v>
      </c>
      <c r="AG356" s="1193">
        <v>1</v>
      </c>
      <c r="AH356" s="1193">
        <v>8</v>
      </c>
      <c r="AI356" s="1193">
        <v>0</v>
      </c>
      <c r="AJ356" s="1193">
        <f>VLOOKUP($I356,'Price List, Weapons &amp; Items'!B:F,5,0)</f>
        <v>0</v>
      </c>
      <c r="AK356" s="1193">
        <f t="shared" si="81"/>
        <v>0</v>
      </c>
      <c r="AL356" s="1193">
        <f t="shared" si="82"/>
        <v>0</v>
      </c>
      <c r="AM356" s="1193">
        <f t="shared" si="83"/>
        <v>0</v>
      </c>
      <c r="AN356" s="1194" t="str">
        <f>VLOOKUP($I356,'Price List, Weapons &amp; Items'!B:L,COLUMN('Price List, Weapons &amp; Items'!$J$11)-1,0)</f>
        <v>.</v>
      </c>
      <c r="AO356" s="1194" t="str">
        <f>IF(I356=".",".",VLOOKUP($I356,'Price List, Weapons &amp; Items'!B:J,3,0))</f>
        <v>Humanitarian</v>
      </c>
      <c r="AP356" s="1195" t="str">
        <f t="shared" ca="1" si="77"/>
        <v/>
      </c>
      <c r="AQ356" s="1194">
        <f>VLOOKUP($I356,'Price List, Weapons &amp; Items'!B:L,COLUMN('Price List, Weapons &amp; Items'!$L$11)-1,0)</f>
        <v>0</v>
      </c>
      <c r="AR356" s="1194">
        <f t="shared" si="84"/>
        <v>1</v>
      </c>
      <c r="AS356" s="1194">
        <f t="shared" si="85"/>
        <v>1</v>
      </c>
      <c r="AT356" s="1194">
        <f t="shared" si="86"/>
        <v>1</v>
      </c>
      <c r="AU356" s="1194" t="str">
        <f t="shared" si="87"/>
        <v>.</v>
      </c>
      <c r="AV356" s="1194" t="str">
        <f t="shared" si="78"/>
        <v>.</v>
      </c>
      <c r="AW356" s="1194" t="str">
        <f t="shared" si="88"/>
        <v>.</v>
      </c>
      <c r="AX356" s="1194">
        <f>IFERROR(VLOOKUP(B356,'Share, Heavy Weapons to Ukraine'!B:Z,COLUMN('Share, Heavy Weapons to Ukraine'!C366)-1,0),0)</f>
        <v>0</v>
      </c>
      <c r="AY356" s="1194">
        <f>VLOOKUP('Bilateral Assistance, MAIN DATA'!B356,'Country Summary (€)'!B:F,COLUMN('Country Summary (€)'!C367)-1,FALSE)</f>
        <v>1</v>
      </c>
      <c r="AZ356" s="1194" t="str">
        <f>IF(AND(AD356=1,D356="Military",H356&lt;&gt;"Not given")=TRUE,IF(SUMIFS(P:P,A:A,A356)&gt;0,ABS((SUMIFS(P:P,A:A,A356)/VLOOKUP("USD",'Exchange Rates'!B:C,2,0)))/S356,"."),".")</f>
        <v>.</v>
      </c>
      <c r="BA356" s="1196" t="str">
        <f>IF(AND(AD356=1,D356="Military",H356&lt;&gt;"Not given")=TRUE,IF(SUMIFS(P:P,A:A,A356)&gt;0,IF((ABS((SUMIFS(P:P,A:A,A356)/VLOOKUP("USD",'Exchange Rates'!B:C,2,0)))/S356)&gt;1,(SUMIFS(P:P,A:A,A356)-S356)/S356,(S356-SUMIFS(P:P,A:A,A356))/SUMIFS(P:P,A:A,A356)),"."),".")</f>
        <v>.</v>
      </c>
    </row>
    <row r="357" spans="1:53" ht="15.95" customHeight="1">
      <c r="A357" s="1180" t="s">
        <v>1346</v>
      </c>
      <c r="B357" s="1180" t="s">
        <v>1305</v>
      </c>
      <c r="C357" s="1181">
        <v>44791</v>
      </c>
      <c r="D357" s="1182" t="s">
        <v>389</v>
      </c>
      <c r="E357" s="1182" t="s">
        <v>390</v>
      </c>
      <c r="F357" s="1183" t="s">
        <v>1347</v>
      </c>
      <c r="G357" s="1184" t="s">
        <v>483</v>
      </c>
      <c r="H357" s="1185">
        <v>10000000</v>
      </c>
      <c r="I357" s="1208" t="s">
        <v>1348</v>
      </c>
      <c r="J357" s="1186" t="str">
        <f>VLOOKUP($I357,'Price List, Weapons &amp; Items'!B:C,2,0)</f>
        <v>Heavy weapon</v>
      </c>
      <c r="K357" s="1186" t="str">
        <f>IF(I357=".",I357,VLOOKUP($I357,'Price List, Weapons &amp; Items'!B:D,3,0))</f>
        <v>Mortar</v>
      </c>
      <c r="L357" s="1187">
        <f>VLOOKUP(I357,'Price List, Weapons &amp; Items'!B:E,4,0)</f>
        <v>0</v>
      </c>
      <c r="M357" s="1188" t="s">
        <v>374</v>
      </c>
      <c r="N357" s="1188" t="s">
        <v>374</v>
      </c>
      <c r="O357" s="1188">
        <f>VLOOKUP($I357,'Price List, Weapons &amp; Items'!B:G,6,0)</f>
        <v>463188.2</v>
      </c>
      <c r="P357" s="1185" t="str">
        <f t="shared" si="79"/>
        <v>.</v>
      </c>
      <c r="Q357" s="1185" t="str">
        <f t="shared" si="80"/>
        <v>.</v>
      </c>
      <c r="R357" s="1185">
        <f t="shared" si="76"/>
        <v>10000000</v>
      </c>
      <c r="S357" s="1185">
        <f>IF(AND(AD357=1,R357&lt;&gt;".")=TRUE,R357/VLOOKUP(G357,'Exchange Rates'!B:C,2,0),IF(R357=".",".",""))</f>
        <v>10000000</v>
      </c>
      <c r="T357" s="1185">
        <f>IF(AD357=1,IF(AF357="Value is not given at all",".",IF(AF357="Value is given by the source",S357,IF(AF357="Value is calculated with prices",(IF(SUMIFS(Q:Q,A:A,A357)&gt;0,SUMIFS(Q:Q,A:A,A357),"."))/VLOOKUP("USD",'Exchange Rates'!B:C,2,0),"Error with coding"))),"")</f>
        <v>10000000</v>
      </c>
      <c r="U357" s="1184" t="s">
        <v>365</v>
      </c>
      <c r="V357" s="1018" t="s">
        <v>1342</v>
      </c>
      <c r="W357" s="1010" t="s">
        <v>1349</v>
      </c>
      <c r="X357" s="1018" t="s">
        <v>1350</v>
      </c>
      <c r="Y357" s="1190" t="s">
        <v>364</v>
      </c>
      <c r="Z357" s="1184">
        <v>0</v>
      </c>
      <c r="AA357" s="1194">
        <v>0</v>
      </c>
      <c r="AB357" s="1016" t="s">
        <v>1339</v>
      </c>
      <c r="AC357" s="1192" t="str">
        <f>""</f>
        <v/>
      </c>
      <c r="AD357" s="1193">
        <v>1</v>
      </c>
      <c r="AE357" s="1193" t="s">
        <v>368</v>
      </c>
      <c r="AF357" s="1193" t="s">
        <v>368</v>
      </c>
      <c r="AG357" s="1193">
        <v>1</v>
      </c>
      <c r="AH357" s="1193">
        <v>8</v>
      </c>
      <c r="AI357" s="1193">
        <v>0</v>
      </c>
      <c r="AJ357" s="1193">
        <f>VLOOKUP($I357,'Price List, Weapons &amp; Items'!B:F,5,0)</f>
        <v>0</v>
      </c>
      <c r="AK357" s="1193">
        <f t="shared" si="81"/>
        <v>0</v>
      </c>
      <c r="AL357" s="1193">
        <f t="shared" si="82"/>
        <v>0</v>
      </c>
      <c r="AM357" s="1193">
        <f t="shared" si="83"/>
        <v>0</v>
      </c>
      <c r="AN357" s="1194" t="str">
        <f>VLOOKUP($I357,'Price List, Weapons &amp; Items'!B:L,COLUMN('Price List, Weapons &amp; Items'!$J$11)-1,0)</f>
        <v>Military media (incl. websites)</v>
      </c>
      <c r="AO357" s="1194" t="str">
        <f>IF(I357=".",".",VLOOKUP($I357,'Price List, Weapons &amp; Items'!B:J,3,0))</f>
        <v>Mortar</v>
      </c>
      <c r="AP357" s="1195" t="str">
        <f t="shared" ca="1" si="77"/>
        <v>mortar (Estonia)</v>
      </c>
      <c r="AQ357" s="1194" t="str">
        <f>VLOOKUP($I357,'Price List, Weapons &amp; Items'!B:L,COLUMN('Price List, Weapons &amp; Items'!$L$11)-1,0)</f>
        <v>no price, 0 count</v>
      </c>
      <c r="AR357" s="1194">
        <f t="shared" si="84"/>
        <v>1</v>
      </c>
      <c r="AS357" s="1194">
        <f t="shared" si="85"/>
        <v>1</v>
      </c>
      <c r="AT357" s="1194">
        <f t="shared" si="86"/>
        <v>1</v>
      </c>
      <c r="AU357" s="1194" t="str">
        <f t="shared" si="87"/>
        <v>.</v>
      </c>
      <c r="AV357" s="1194" t="str">
        <f t="shared" si="78"/>
        <v>.</v>
      </c>
      <c r="AW357" s="1194" t="str">
        <f t="shared" si="88"/>
        <v>.</v>
      </c>
      <c r="AX357" s="1194">
        <f>IFERROR(VLOOKUP(B357,'Share, Heavy Weapons to Ukraine'!B:Z,COLUMN('Share, Heavy Weapons to Ukraine'!C367)-1,0),0)</f>
        <v>0</v>
      </c>
      <c r="AY357" s="1194">
        <f>VLOOKUP('Bilateral Assistance, MAIN DATA'!B357,'Country Summary (€)'!B:F,COLUMN('Country Summary (€)'!C368)-1,FALSE)</f>
        <v>1</v>
      </c>
      <c r="AZ357" s="1194" t="str">
        <f>IF(AND(AD357=1,D357="Military",H357&lt;&gt;"Not given")=TRUE,IF(SUMIFS(P:P,A:A,A357)&gt;0,ABS((SUMIFS(P:P,A:A,A357)/VLOOKUP("USD",'Exchange Rates'!B:C,2,0)))/S357,"."),".")</f>
        <v>.</v>
      </c>
      <c r="BA357" s="1196" t="str">
        <f>IF(AND(AD357=1,D357="Military",H357&lt;&gt;"Not given")=TRUE,IF(SUMIFS(P:P,A:A,A357)&gt;0,IF((ABS((SUMIFS(P:P,A:A,A357)/VLOOKUP("USD",'Exchange Rates'!B:C,2,0)))/S357)&gt;1,(SUMIFS(P:P,A:A,A357)-S357)/S357,(S357-SUMIFS(P:P,A:A,A357))/SUMIFS(P:P,A:A,A357)),"."),".")</f>
        <v>.</v>
      </c>
    </row>
    <row r="358" spans="1:53" ht="15.95" customHeight="1">
      <c r="A358" s="1180" t="s">
        <v>1346</v>
      </c>
      <c r="B358" s="1180" t="s">
        <v>1305</v>
      </c>
      <c r="C358" s="1181">
        <v>44791</v>
      </c>
      <c r="D358" s="1182" t="s">
        <v>389</v>
      </c>
      <c r="E358" s="1182" t="s">
        <v>390</v>
      </c>
      <c r="F358" s="1183" t="s">
        <v>1347</v>
      </c>
      <c r="G358" s="1184" t="s">
        <v>483</v>
      </c>
      <c r="H358" s="1185">
        <v>10000000</v>
      </c>
      <c r="I358" s="1208" t="s">
        <v>1351</v>
      </c>
      <c r="J358" s="1186" t="str">
        <f>VLOOKUP($I358,'Price List, Weapons &amp; Items'!B:C,2,0)</f>
        <v>Portable defence system</v>
      </c>
      <c r="K358" s="1186" t="str">
        <f>IF(I358=".",I358,VLOOKUP($I358,'Price List, Weapons &amp; Items'!B:D,3,0))</f>
        <v>Light Anti-armor Weapon (LAW)</v>
      </c>
      <c r="L358" s="1187">
        <f>VLOOKUP(I358,'Price List, Weapons &amp; Items'!B:E,4,0)</f>
        <v>0</v>
      </c>
      <c r="M358" s="1188" t="s">
        <v>374</v>
      </c>
      <c r="N358" s="1188" t="s">
        <v>374</v>
      </c>
      <c r="O358" s="1188">
        <f>VLOOKUP($I358,'Price List, Weapons &amp; Items'!B:G,6,0)</f>
        <v>40000</v>
      </c>
      <c r="P358" s="1185" t="str">
        <f t="shared" si="79"/>
        <v>.</v>
      </c>
      <c r="Q358" s="1185" t="str">
        <f t="shared" si="80"/>
        <v>.</v>
      </c>
      <c r="R358" s="1185" t="str">
        <f t="shared" si="76"/>
        <v/>
      </c>
      <c r="S358" s="1185" t="str">
        <f>IF(AND(AD358=1,R358&lt;&gt;".")=TRUE,R358/VLOOKUP(G358,'Exchange Rates'!B:C,2,0),IF(R358=".",".",""))</f>
        <v/>
      </c>
      <c r="T358" s="1185" t="str">
        <f>IF(AD358=1,IF(AF358="Value is not given at all",".",IF(AF358="Value is given by the source",S358,IF(AF358="Value is calculated with prices",(IF(SUMIFS(Q:Q,A:A,A358)&gt;0,SUMIFS(Q:Q,A:A,A358),"."))/VLOOKUP("USD",'Exchange Rates'!B:C,2,0),"Error with coding"))),"")</f>
        <v/>
      </c>
      <c r="U358" s="1184" t="s">
        <v>365</v>
      </c>
      <c r="V358" s="1018" t="s">
        <v>1342</v>
      </c>
      <c r="W358" s="1010" t="s">
        <v>1349</v>
      </c>
      <c r="X358" s="1018" t="s">
        <v>1350</v>
      </c>
      <c r="Y358" s="1190" t="s">
        <v>364</v>
      </c>
      <c r="Z358" s="1184">
        <v>0</v>
      </c>
      <c r="AA358" s="1194">
        <v>0</v>
      </c>
      <c r="AB358" s="1016" t="s">
        <v>1339</v>
      </c>
      <c r="AC358" s="1192" t="str">
        <f>""</f>
        <v/>
      </c>
      <c r="AD358" s="1193">
        <v>0</v>
      </c>
      <c r="AE358" s="1193" t="s">
        <v>368</v>
      </c>
      <c r="AF358" s="1193" t="s">
        <v>368</v>
      </c>
      <c r="AG358" s="1193">
        <v>1</v>
      </c>
      <c r="AH358" s="1193">
        <v>8</v>
      </c>
      <c r="AI358" s="1193">
        <v>0</v>
      </c>
      <c r="AJ358" s="1193">
        <f>VLOOKUP($I358,'Price List, Weapons &amp; Items'!B:F,5,0)</f>
        <v>0</v>
      </c>
      <c r="AK358" s="1193">
        <f t="shared" si="81"/>
        <v>0</v>
      </c>
      <c r="AL358" s="1193">
        <f t="shared" si="82"/>
        <v>0</v>
      </c>
      <c r="AM358" s="1193">
        <f t="shared" si="83"/>
        <v>0</v>
      </c>
      <c r="AN358" s="1194" t="str">
        <f>VLOOKUP($I358,'Price List, Weapons &amp; Items'!B:L,COLUMN('Price List, Weapons &amp; Items'!$J$11)-1,0)</f>
        <v>Media reports (incl. social media)</v>
      </c>
      <c r="AO358" s="1194" t="str">
        <f>IF(I358=".",".",VLOOKUP($I358,'Price List, Weapons &amp; Items'!B:J,3,0))</f>
        <v>Light Anti-armor Weapon (LAW)</v>
      </c>
      <c r="AP358" s="1195" t="str">
        <f t="shared" ca="1" si="77"/>
        <v/>
      </c>
      <c r="AQ358" s="1194">
        <f>VLOOKUP($I358,'Price List, Weapons &amp; Items'!B:L,COLUMN('Price List, Weapons &amp; Items'!$L$11)-1,0)</f>
        <v>2</v>
      </c>
      <c r="AR358" s="1194">
        <f t="shared" si="84"/>
        <v>1</v>
      </c>
      <c r="AS358" s="1194">
        <f t="shared" si="85"/>
        <v>1</v>
      </c>
      <c r="AT358" s="1194">
        <f t="shared" si="86"/>
        <v>1</v>
      </c>
      <c r="AU358" s="1194" t="str">
        <f t="shared" si="87"/>
        <v>.</v>
      </c>
      <c r="AV358" s="1194" t="str">
        <f t="shared" si="78"/>
        <v>.</v>
      </c>
      <c r="AW358" s="1194" t="str">
        <f t="shared" si="88"/>
        <v>.</v>
      </c>
      <c r="AX358" s="1194">
        <f>IFERROR(VLOOKUP(B358,'Share, Heavy Weapons to Ukraine'!B:Z,COLUMN('Share, Heavy Weapons to Ukraine'!C368)-1,0),0)</f>
        <v>0</v>
      </c>
      <c r="AY358" s="1194">
        <f>VLOOKUP('Bilateral Assistance, MAIN DATA'!B358,'Country Summary (€)'!B:F,COLUMN('Country Summary (€)'!C369)-1,FALSE)</f>
        <v>1</v>
      </c>
      <c r="AZ358" s="1194" t="str">
        <f>IF(AND(AD358=1,D358="Military",H358&lt;&gt;"Not given")=TRUE,IF(SUMIFS(P:P,A:A,A358)&gt;0,ABS((SUMIFS(P:P,A:A,A358)/VLOOKUP("USD",'Exchange Rates'!B:C,2,0)))/S358,"."),".")</f>
        <v>.</v>
      </c>
      <c r="BA358" s="1196" t="str">
        <f>IF(AND(AD358=1,D358="Military",H358&lt;&gt;"Not given")=TRUE,IF(SUMIFS(P:P,A:A,A358)&gt;0,IF((ABS((SUMIFS(P:P,A:A,A358)/VLOOKUP("USD",'Exchange Rates'!B:C,2,0)))/S358)&gt;1,(SUMIFS(P:P,A:A,A358)-S358)/S358,(S358-SUMIFS(P:P,A:A,A358))/SUMIFS(P:P,A:A,A358)),"."),".")</f>
        <v>.</v>
      </c>
    </row>
    <row r="359" spans="1:53" ht="15.95" customHeight="1">
      <c r="A359" s="1180" t="s">
        <v>1352</v>
      </c>
      <c r="B359" s="1180" t="s">
        <v>1305</v>
      </c>
      <c r="C359" s="1181">
        <v>44841</v>
      </c>
      <c r="D359" s="1182" t="s">
        <v>389</v>
      </c>
      <c r="E359" s="1182" t="s">
        <v>390</v>
      </c>
      <c r="F359" s="1183" t="s">
        <v>1353</v>
      </c>
      <c r="G359" s="1184" t="s">
        <v>483</v>
      </c>
      <c r="H359" s="1185">
        <v>31880000</v>
      </c>
      <c r="I359" s="1208" t="s">
        <v>1101</v>
      </c>
      <c r="J359" s="1186" t="str">
        <f>VLOOKUP($I359,'Price List, Weapons &amp; Items'!B:C,2,0)</f>
        <v>Ammunition for heavy weapon</v>
      </c>
      <c r="K359" s="1186" t="str">
        <f>IF(I359=".",I359,VLOOKUP($I359,'Price List, Weapons &amp; Items'!B:D,3,0))</f>
        <v>howitzer ammunition</v>
      </c>
      <c r="L359" s="1187">
        <f>VLOOKUP(I359,'Price List, Weapons &amp; Items'!B:E,4,0)</f>
        <v>0</v>
      </c>
      <c r="M359" s="1188" t="s">
        <v>374</v>
      </c>
      <c r="N359" s="1188" t="s">
        <v>374</v>
      </c>
      <c r="O359" s="1188">
        <f>VLOOKUP($I359,'Price List, Weapons &amp; Items'!B:G,6,0)</f>
        <v>2000</v>
      </c>
      <c r="P359" s="1185" t="str">
        <f t="shared" si="79"/>
        <v>.</v>
      </c>
      <c r="Q359" s="1185" t="str">
        <f t="shared" si="80"/>
        <v>.</v>
      </c>
      <c r="R359" s="1185">
        <f t="shared" si="76"/>
        <v>31880000</v>
      </c>
      <c r="S359" s="1185">
        <f>IF(AND(AD359=1,R359&lt;&gt;".")=TRUE,R359/VLOOKUP(G359,'Exchange Rates'!B:C,2,0),IF(R359=".",".",""))</f>
        <v>31880000</v>
      </c>
      <c r="T359" s="1185">
        <f>IF(AD359=1,IF(AF359="Value is not given at all",".",IF(AF359="Value is given by the source",S359,IF(AF359="Value is calculated with prices",(IF(SUMIFS(Q:Q,A:A,A359)&gt;0,SUMIFS(Q:Q,A:A,A359),"."))/VLOOKUP("USD",'Exchange Rates'!B:C,2,0),"Error with coding"))),"")</f>
        <v>31880000</v>
      </c>
      <c r="U359" s="1184" t="s">
        <v>365</v>
      </c>
      <c r="V359" s="1018" t="s">
        <v>1350</v>
      </c>
      <c r="W359" s="1011" t="s">
        <v>1339</v>
      </c>
      <c r="X359" s="1011" t="s">
        <v>1354</v>
      </c>
      <c r="Y359" s="1011" t="s">
        <v>1355</v>
      </c>
      <c r="Z359" s="1184">
        <v>0</v>
      </c>
      <c r="AA359" s="1194">
        <v>0</v>
      </c>
      <c r="AB359" s="1016" t="s">
        <v>1339</v>
      </c>
      <c r="AC359" s="1192" t="str">
        <f>""</f>
        <v/>
      </c>
      <c r="AD359" s="1193">
        <v>1</v>
      </c>
      <c r="AE359" s="1193" t="s">
        <v>368</v>
      </c>
      <c r="AF359" s="1193" t="s">
        <v>368</v>
      </c>
      <c r="AG359" s="1193">
        <v>1</v>
      </c>
      <c r="AH359" s="1193">
        <v>10</v>
      </c>
      <c r="AI359" s="1193">
        <v>0</v>
      </c>
      <c r="AJ359" s="1193">
        <f>VLOOKUP($I359,'Price List, Weapons &amp; Items'!B:F,5,0)</f>
        <v>0</v>
      </c>
      <c r="AK359" s="1193">
        <f t="shared" si="81"/>
        <v>0</v>
      </c>
      <c r="AL359" s="1193">
        <f t="shared" si="82"/>
        <v>0</v>
      </c>
      <c r="AM359" s="1193">
        <f t="shared" si="83"/>
        <v>1</v>
      </c>
      <c r="AN359" s="1194" t="str">
        <f>VLOOKUP($I359,'Price List, Weapons &amp; Items'!B:L,COLUMN('Price List, Weapons &amp; Items'!$J$11)-1,0)</f>
        <v>Media reports (incl. social media)</v>
      </c>
      <c r="AO359" s="1194" t="str">
        <f>IF(I359=".",".",VLOOKUP($I359,'Price List, Weapons &amp; Items'!B:J,3,0))</f>
        <v>howitzer ammunition</v>
      </c>
      <c r="AP359" s="1195" t="str">
        <f t="shared" ca="1" si="77"/>
        <v>Artillery ammunition</v>
      </c>
      <c r="AQ359" s="1194">
        <f>VLOOKUP($I359,'Price List, Weapons &amp; Items'!B:L,COLUMN('Price List, Weapons &amp; Items'!$L$11)-1,0)</f>
        <v>2</v>
      </c>
      <c r="AR359" s="1194">
        <f t="shared" si="84"/>
        <v>1</v>
      </c>
      <c r="AS359" s="1194">
        <f t="shared" si="85"/>
        <v>1</v>
      </c>
      <c r="AT359" s="1194">
        <f t="shared" si="86"/>
        <v>1</v>
      </c>
      <c r="AU359" s="1194" t="str">
        <f t="shared" si="87"/>
        <v>.</v>
      </c>
      <c r="AV359" s="1194" t="str">
        <f t="shared" si="78"/>
        <v>.</v>
      </c>
      <c r="AW359" s="1194" t="str">
        <f t="shared" si="88"/>
        <v>.</v>
      </c>
      <c r="AX359" s="1194">
        <f>IFERROR(VLOOKUP(B359,'Share, Heavy Weapons to Ukraine'!B:Z,COLUMN('Share, Heavy Weapons to Ukraine'!C369)-1,0),0)</f>
        <v>0</v>
      </c>
      <c r="AY359" s="1194">
        <f>VLOOKUP('Bilateral Assistance, MAIN DATA'!B359,'Country Summary (€)'!B:F,COLUMN('Country Summary (€)'!C370)-1,FALSE)</f>
        <v>1</v>
      </c>
      <c r="AZ359" s="1194" t="str">
        <f>IF(AND(AD359=1,D359="Military",H359&lt;&gt;"Not given")=TRUE,IF(SUMIFS(P:P,A:A,A359)&gt;0,ABS((SUMIFS(P:P,A:A,A359)/VLOOKUP("USD",'Exchange Rates'!B:C,2,0)))/S359,"."),".")</f>
        <v>.</v>
      </c>
      <c r="BA359" s="1196" t="str">
        <f>IF(AND(AD359=1,D359="Military",H359&lt;&gt;"Not given")=TRUE,IF(SUMIFS(P:P,A:A,A359)&gt;0,IF((ABS((SUMIFS(P:P,A:A,A359)/VLOOKUP("USD",'Exchange Rates'!B:C,2,0)))/S359)&gt;1,(SUMIFS(P:P,A:A,A359)-S359)/S359,(S359-SUMIFS(P:P,A:A,A359))/SUMIFS(P:P,A:A,A359)),"."),".")</f>
        <v>.</v>
      </c>
    </row>
    <row r="360" spans="1:53" ht="15.95" customHeight="1">
      <c r="A360" s="1180" t="s">
        <v>1352</v>
      </c>
      <c r="B360" s="1180" t="s">
        <v>1305</v>
      </c>
      <c r="C360" s="1181">
        <v>44841</v>
      </c>
      <c r="D360" s="1182" t="s">
        <v>389</v>
      </c>
      <c r="E360" s="1182" t="s">
        <v>390</v>
      </c>
      <c r="F360" s="1183" t="s">
        <v>1353</v>
      </c>
      <c r="G360" s="1184" t="s">
        <v>483</v>
      </c>
      <c r="H360" s="1185">
        <v>31880000</v>
      </c>
      <c r="I360" s="1278" t="s">
        <v>651</v>
      </c>
      <c r="J360" s="1186" t="str">
        <f>VLOOKUP($I360,'Price List, Weapons &amp; Items'!B:C,2,0)</f>
        <v>Portable defence system</v>
      </c>
      <c r="K360" s="1186" t="str">
        <f>IF(I360=".",I360,VLOOKUP($I360,'Price List, Weapons &amp; Items'!B:D,3,0))</f>
        <v>Light Anti-armor Weapon (LAW)</v>
      </c>
      <c r="L360" s="1187">
        <f>VLOOKUP(I360,'Price List, Weapons &amp; Items'!B:E,4,0)</f>
        <v>0</v>
      </c>
      <c r="M360" s="1188" t="s">
        <v>374</v>
      </c>
      <c r="N360" s="1188" t="s">
        <v>374</v>
      </c>
      <c r="O360" s="1188">
        <f>VLOOKUP($I360,'Price List, Weapons &amp; Items'!B:G,6,0)</f>
        <v>78000</v>
      </c>
      <c r="P360" s="1185" t="str">
        <f t="shared" si="79"/>
        <v>.</v>
      </c>
      <c r="Q360" s="1185" t="str">
        <f t="shared" si="80"/>
        <v>.</v>
      </c>
      <c r="R360" s="1185" t="str">
        <f t="shared" si="76"/>
        <v/>
      </c>
      <c r="S360" s="1185" t="str">
        <f>IF(AND(AD360=1,R360&lt;&gt;".")=TRUE,R360/VLOOKUP(G360,'Exchange Rates'!B:C,2,0),IF(R360=".",".",""))</f>
        <v/>
      </c>
      <c r="T360" s="1185" t="str">
        <f>IF(AD360=1,IF(AF360="Value is not given at all",".",IF(AF360="Value is given by the source",S360,IF(AF360="Value is calculated with prices",(IF(SUMIFS(Q:Q,A:A,A360)&gt;0,SUMIFS(Q:Q,A:A,A360),"."))/VLOOKUP("USD",'Exchange Rates'!B:C,2,0),"Error with coding"))),"")</f>
        <v/>
      </c>
      <c r="U360" s="1184" t="s">
        <v>365</v>
      </c>
      <c r="V360" s="1018" t="s">
        <v>1350</v>
      </c>
      <c r="W360" s="1011" t="s">
        <v>1339</v>
      </c>
      <c r="X360" s="1011" t="s">
        <v>1354</v>
      </c>
      <c r="Y360" s="1011" t="s">
        <v>1355</v>
      </c>
      <c r="Z360" s="1184">
        <v>0</v>
      </c>
      <c r="AA360" s="1194">
        <v>0</v>
      </c>
      <c r="AB360" s="1016" t="s">
        <v>1339</v>
      </c>
      <c r="AC360" s="1192" t="str">
        <f>""</f>
        <v/>
      </c>
      <c r="AD360" s="1193">
        <v>0</v>
      </c>
      <c r="AE360" s="1193" t="s">
        <v>368</v>
      </c>
      <c r="AF360" s="1193" t="s">
        <v>368</v>
      </c>
      <c r="AG360" s="1193">
        <v>1</v>
      </c>
      <c r="AH360" s="1193">
        <v>10</v>
      </c>
      <c r="AI360" s="1193">
        <v>0</v>
      </c>
      <c r="AJ360" s="1193">
        <f>VLOOKUP($I360,'Price List, Weapons &amp; Items'!B:F,5,0)</f>
        <v>0</v>
      </c>
      <c r="AK360" s="1193">
        <f t="shared" si="81"/>
        <v>0</v>
      </c>
      <c r="AL360" s="1193">
        <f t="shared" si="82"/>
        <v>0</v>
      </c>
      <c r="AM360" s="1193">
        <f t="shared" si="83"/>
        <v>0</v>
      </c>
      <c r="AN360" s="1194" t="str">
        <f>VLOOKUP($I360,'Price List, Weapons &amp; Items'!B:L,COLUMN('Price List, Weapons &amp; Items'!$J$11)-1,0)</f>
        <v>Military media (incl. websites)</v>
      </c>
      <c r="AO360" s="1194" t="str">
        <f>IF(I360=".",".",VLOOKUP($I360,'Price List, Weapons &amp; Items'!B:J,3,0))</f>
        <v>Light Anti-armor Weapon (LAW)</v>
      </c>
      <c r="AP360" s="1195" t="str">
        <f t="shared" ca="1" si="77"/>
        <v/>
      </c>
      <c r="AQ360" s="1194">
        <f>VLOOKUP($I360,'Price List, Weapons &amp; Items'!B:L,COLUMN('Price List, Weapons &amp; Items'!$L$11)-1,0)</f>
        <v>2</v>
      </c>
      <c r="AR360" s="1194">
        <f t="shared" si="84"/>
        <v>1</v>
      </c>
      <c r="AS360" s="1194">
        <f t="shared" si="85"/>
        <v>1</v>
      </c>
      <c r="AT360" s="1194">
        <f t="shared" si="86"/>
        <v>1</v>
      </c>
      <c r="AU360" s="1194" t="str">
        <f t="shared" si="87"/>
        <v>.</v>
      </c>
      <c r="AV360" s="1194" t="str">
        <f t="shared" si="78"/>
        <v>.</v>
      </c>
      <c r="AW360" s="1194" t="str">
        <f t="shared" si="88"/>
        <v>.</v>
      </c>
      <c r="AX360" s="1194">
        <f>IFERROR(VLOOKUP(B360,'Share, Heavy Weapons to Ukraine'!B:Z,COLUMN('Share, Heavy Weapons to Ukraine'!C370)-1,0),0)</f>
        <v>0</v>
      </c>
      <c r="AY360" s="1194">
        <f>VLOOKUP('Bilateral Assistance, MAIN DATA'!B360,'Country Summary (€)'!B:F,COLUMN('Country Summary (€)'!C371)-1,FALSE)</f>
        <v>1</v>
      </c>
      <c r="AZ360" s="1194" t="str">
        <f>IF(AND(AD360=1,D360="Military",H360&lt;&gt;"Not given")=TRUE,IF(SUMIFS(P:P,A:A,A360)&gt;0,ABS((SUMIFS(P:P,A:A,A360)/VLOOKUP("USD",'Exchange Rates'!B:C,2,0)))/S360,"."),".")</f>
        <v>.</v>
      </c>
      <c r="BA360" s="1196" t="str">
        <f>IF(AND(AD360=1,D360="Military",H360&lt;&gt;"Not given")=TRUE,IF(SUMIFS(P:P,A:A,A360)&gt;0,IF((ABS((SUMIFS(P:P,A:A,A360)/VLOOKUP("USD",'Exchange Rates'!B:C,2,0)))/S360)&gt;1,(SUMIFS(P:P,A:A,A360)-S360)/S360,(S360-SUMIFS(P:P,A:A,A360))/SUMIFS(P:P,A:A,A360)),"."),".")</f>
        <v>.</v>
      </c>
    </row>
    <row r="361" spans="1:53" ht="15.95" customHeight="1">
      <c r="A361" s="1180" t="s">
        <v>1352</v>
      </c>
      <c r="B361" s="1180" t="s">
        <v>1305</v>
      </c>
      <c r="C361" s="1181">
        <v>44841</v>
      </c>
      <c r="D361" s="1182" t="s">
        <v>389</v>
      </c>
      <c r="E361" s="1182" t="s">
        <v>390</v>
      </c>
      <c r="F361" s="1183" t="s">
        <v>1353</v>
      </c>
      <c r="G361" s="1184" t="s">
        <v>483</v>
      </c>
      <c r="H361" s="1185">
        <v>31880000</v>
      </c>
      <c r="I361" s="1208" t="s">
        <v>618</v>
      </c>
      <c r="J361" s="1186" t="str">
        <f>VLOOKUP($I361,'Price List, Weapons &amp; Items'!B:C,2,0)</f>
        <v>Military equipment</v>
      </c>
      <c r="K361" s="1186" t="str">
        <f>IF(I361=".",I361,VLOOKUP($I361,'Price List, Weapons &amp; Items'!B:D,3,0))</f>
        <v>Military equipment</v>
      </c>
      <c r="L361" s="1187">
        <f>VLOOKUP(I361,'Price List, Weapons &amp; Items'!B:E,4,0)</f>
        <v>0</v>
      </c>
      <c r="M361" s="1188" t="s">
        <v>374</v>
      </c>
      <c r="N361" s="1188" t="s">
        <v>374</v>
      </c>
      <c r="O361" s="1188">
        <f>VLOOKUP($I361,'Price List, Weapons &amp; Items'!B:G,6,0)</f>
        <v>59.234999999999999</v>
      </c>
      <c r="P361" s="1185" t="str">
        <f t="shared" si="79"/>
        <v>.</v>
      </c>
      <c r="Q361" s="1185" t="str">
        <f t="shared" si="80"/>
        <v>.</v>
      </c>
      <c r="R361" s="1185" t="str">
        <f t="shared" si="76"/>
        <v/>
      </c>
      <c r="S361" s="1185" t="str">
        <f>IF(AND(AD361=1,R361&lt;&gt;".")=TRUE,R361/VLOOKUP(G361,'Exchange Rates'!B:C,2,0),IF(R361=".",".",""))</f>
        <v/>
      </c>
      <c r="T361" s="1185" t="str">
        <f>IF(AD361=1,IF(AF361="Value is not given at all",".",IF(AF361="Value is given by the source",S361,IF(AF361="Value is calculated with prices",(IF(SUMIFS(Q:Q,A:A,A361)&gt;0,SUMIFS(Q:Q,A:A,A361),"."))/VLOOKUP("USD",'Exchange Rates'!B:C,2,0),"Error with coding"))),"")</f>
        <v/>
      </c>
      <c r="U361" s="1184" t="s">
        <v>365</v>
      </c>
      <c r="V361" s="1018" t="s">
        <v>1350</v>
      </c>
      <c r="W361" s="1011" t="s">
        <v>1339</v>
      </c>
      <c r="X361" s="1011" t="s">
        <v>1354</v>
      </c>
      <c r="Y361" s="1011" t="s">
        <v>1355</v>
      </c>
      <c r="Z361" s="1184">
        <v>0</v>
      </c>
      <c r="AA361" s="1194">
        <v>0</v>
      </c>
      <c r="AB361" s="1016" t="s">
        <v>1339</v>
      </c>
      <c r="AC361" s="1192" t="str">
        <f>""</f>
        <v/>
      </c>
      <c r="AD361" s="1193">
        <v>0</v>
      </c>
      <c r="AE361" s="1193" t="s">
        <v>368</v>
      </c>
      <c r="AF361" s="1193" t="s">
        <v>368</v>
      </c>
      <c r="AG361" s="1193">
        <v>1</v>
      </c>
      <c r="AH361" s="1193">
        <v>10</v>
      </c>
      <c r="AI361" s="1193">
        <v>0</v>
      </c>
      <c r="AJ361" s="1193">
        <f>VLOOKUP($I361,'Price List, Weapons &amp; Items'!B:F,5,0)</f>
        <v>0</v>
      </c>
      <c r="AK361" s="1193">
        <f t="shared" si="81"/>
        <v>0</v>
      </c>
      <c r="AL361" s="1193">
        <f t="shared" si="82"/>
        <v>0</v>
      </c>
      <c r="AM361" s="1193">
        <f t="shared" si="83"/>
        <v>0</v>
      </c>
      <c r="AN361" s="1194" t="str">
        <f>VLOOKUP($I361,'Price List, Weapons &amp; Items'!B:L,COLUMN('Price List, Weapons &amp; Items'!$J$11)-1,0)</f>
        <v>Government information</v>
      </c>
      <c r="AO361" s="1194" t="str">
        <f>IF(I361=".",".",VLOOKUP($I361,'Price List, Weapons &amp; Items'!B:J,3,0))</f>
        <v>Military equipment</v>
      </c>
      <c r="AP361" s="1195" t="str">
        <f t="shared" ca="1" si="77"/>
        <v/>
      </c>
      <c r="AQ361" s="1194">
        <f>VLOOKUP($I361,'Price List, Weapons &amp; Items'!B:L,COLUMN('Price List, Weapons &amp; Items'!$L$11)-1,0)</f>
        <v>2</v>
      </c>
      <c r="AR361" s="1194">
        <f t="shared" si="84"/>
        <v>1</v>
      </c>
      <c r="AS361" s="1194">
        <f t="shared" si="85"/>
        <v>1</v>
      </c>
      <c r="AT361" s="1194">
        <f t="shared" si="86"/>
        <v>1</v>
      </c>
      <c r="AU361" s="1194" t="str">
        <f t="shared" si="87"/>
        <v>.</v>
      </c>
      <c r="AV361" s="1194" t="str">
        <f t="shared" si="78"/>
        <v>.</v>
      </c>
      <c r="AW361" s="1194" t="str">
        <f t="shared" si="88"/>
        <v>.</v>
      </c>
      <c r="AX361" s="1194">
        <f>IFERROR(VLOOKUP(B361,'Share, Heavy Weapons to Ukraine'!B:Z,COLUMN('Share, Heavy Weapons to Ukraine'!C371)-1,0),0)</f>
        <v>0</v>
      </c>
      <c r="AY361" s="1194">
        <f>VLOOKUP('Bilateral Assistance, MAIN DATA'!B361,'Country Summary (€)'!B:F,COLUMN('Country Summary (€)'!C372)-1,FALSE)</f>
        <v>1</v>
      </c>
      <c r="AZ361" s="1194" t="str">
        <f>IF(AND(AD361=1,D361="Military",H361&lt;&gt;"Not given")=TRUE,IF(SUMIFS(P:P,A:A,A361)&gt;0,ABS((SUMIFS(P:P,A:A,A361)/VLOOKUP("USD",'Exchange Rates'!B:C,2,0)))/S361,"."),".")</f>
        <v>.</v>
      </c>
      <c r="BA361" s="1196" t="str">
        <f>IF(AND(AD361=1,D361="Military",H361&lt;&gt;"Not given")=TRUE,IF(SUMIFS(P:P,A:A,A361)&gt;0,IF((ABS((SUMIFS(P:P,A:A,A361)/VLOOKUP("USD",'Exchange Rates'!B:C,2,0)))/S361)&gt;1,(SUMIFS(P:P,A:A,A361)-S361)/S361,(S361-SUMIFS(P:P,A:A,A361))/SUMIFS(P:P,A:A,A361)),"."),".")</f>
        <v>.</v>
      </c>
    </row>
    <row r="362" spans="1:53" ht="15.95" customHeight="1">
      <c r="A362" s="1180" t="s">
        <v>1352</v>
      </c>
      <c r="B362" s="1180" t="s">
        <v>1305</v>
      </c>
      <c r="C362" s="1181">
        <v>44841</v>
      </c>
      <c r="D362" s="1182" t="s">
        <v>389</v>
      </c>
      <c r="E362" s="1182" t="s">
        <v>390</v>
      </c>
      <c r="F362" s="1183" t="s">
        <v>1353</v>
      </c>
      <c r="G362" s="1184" t="s">
        <v>483</v>
      </c>
      <c r="H362" s="1185">
        <v>31880000</v>
      </c>
      <c r="I362" s="1208" t="s">
        <v>604</v>
      </c>
      <c r="J362" s="1186" t="str">
        <f>VLOOKUP($I362,'Price List, Weapons &amp; Items'!B:C,2,0)</f>
        <v>Military equipment</v>
      </c>
      <c r="K362" s="1186" t="str">
        <f>IF(I362=".",I362,VLOOKUP($I362,'Price List, Weapons &amp; Items'!B:D,3,0))</f>
        <v>Military equipment</v>
      </c>
      <c r="L362" s="1187">
        <f>VLOOKUP(I362,'Price List, Weapons &amp; Items'!B:E,4,0)</f>
        <v>0</v>
      </c>
      <c r="M362" s="1188" t="s">
        <v>374</v>
      </c>
      <c r="N362" s="1188" t="s">
        <v>374</v>
      </c>
      <c r="O362" s="1188">
        <f>VLOOKUP($I362,'Price List, Weapons &amp; Items'!B:G,6,0)</f>
        <v>500</v>
      </c>
      <c r="P362" s="1185" t="str">
        <f t="shared" si="79"/>
        <v>.</v>
      </c>
      <c r="Q362" s="1185" t="str">
        <f t="shared" si="80"/>
        <v>.</v>
      </c>
      <c r="R362" s="1185" t="str">
        <f t="shared" si="76"/>
        <v/>
      </c>
      <c r="S362" s="1185" t="str">
        <f>IF(AND(AD362=1,R362&lt;&gt;".")=TRUE,R362/VLOOKUP(G362,'Exchange Rates'!B:C,2,0),IF(R362=".",".",""))</f>
        <v/>
      </c>
      <c r="T362" s="1185" t="str">
        <f>IF(AD362=1,IF(AF362="Value is not given at all",".",IF(AF362="Value is given by the source",S362,IF(AF362="Value is calculated with prices",(IF(SUMIFS(Q:Q,A:A,A362)&gt;0,SUMIFS(Q:Q,A:A,A362),"."))/VLOOKUP("USD",'Exchange Rates'!B:C,2,0),"Error with coding"))),"")</f>
        <v/>
      </c>
      <c r="U362" s="1184" t="s">
        <v>365</v>
      </c>
      <c r="V362" s="1018" t="s">
        <v>1350</v>
      </c>
      <c r="W362" s="1011" t="s">
        <v>1339</v>
      </c>
      <c r="X362" s="1011" t="s">
        <v>1354</v>
      </c>
      <c r="Y362" s="1011" t="s">
        <v>1355</v>
      </c>
      <c r="Z362" s="1184">
        <v>0</v>
      </c>
      <c r="AA362" s="1194">
        <v>0</v>
      </c>
      <c r="AB362" s="1016" t="s">
        <v>1339</v>
      </c>
      <c r="AC362" s="1192" t="str">
        <f>""</f>
        <v/>
      </c>
      <c r="AD362" s="1193">
        <v>0</v>
      </c>
      <c r="AE362" s="1193" t="s">
        <v>368</v>
      </c>
      <c r="AF362" s="1193" t="s">
        <v>368</v>
      </c>
      <c r="AG362" s="1193">
        <v>1</v>
      </c>
      <c r="AH362" s="1193">
        <v>10</v>
      </c>
      <c r="AI362" s="1193">
        <v>0</v>
      </c>
      <c r="AJ362" s="1193">
        <f>VLOOKUP($I362,'Price List, Weapons &amp; Items'!B:F,5,0)</f>
        <v>0</v>
      </c>
      <c r="AK362" s="1193">
        <f t="shared" si="81"/>
        <v>0</v>
      </c>
      <c r="AL362" s="1193">
        <f t="shared" si="82"/>
        <v>0</v>
      </c>
      <c r="AM362" s="1193">
        <f t="shared" si="83"/>
        <v>0</v>
      </c>
      <c r="AN362" s="1194" t="str">
        <f>VLOOKUP($I362,'Price List, Weapons &amp; Items'!B:L,COLUMN('Price List, Weapons &amp; Items'!$J$11)-1,0)</f>
        <v>Military media (incl. websites)</v>
      </c>
      <c r="AO362" s="1194" t="str">
        <f>IF(I362=".",".",VLOOKUP($I362,'Price List, Weapons &amp; Items'!B:J,3,0))</f>
        <v>Military equipment</v>
      </c>
      <c r="AP362" s="1195" t="str">
        <f t="shared" ca="1" si="77"/>
        <v/>
      </c>
      <c r="AQ362" s="1194">
        <f>VLOOKUP($I362,'Price List, Weapons &amp; Items'!B:L,COLUMN('Price List, Weapons &amp; Items'!$L$11)-1,0)</f>
        <v>2</v>
      </c>
      <c r="AR362" s="1194">
        <f t="shared" si="84"/>
        <v>1</v>
      </c>
      <c r="AS362" s="1194">
        <f t="shared" si="85"/>
        <v>1</v>
      </c>
      <c r="AT362" s="1194">
        <f t="shared" si="86"/>
        <v>1</v>
      </c>
      <c r="AU362" s="1194" t="str">
        <f t="shared" si="87"/>
        <v>.</v>
      </c>
      <c r="AV362" s="1194" t="str">
        <f t="shared" si="78"/>
        <v>.</v>
      </c>
      <c r="AW362" s="1194" t="str">
        <f t="shared" si="88"/>
        <v>.</v>
      </c>
      <c r="AX362" s="1194">
        <f>IFERROR(VLOOKUP(B362,'Share, Heavy Weapons to Ukraine'!B:Z,COLUMN('Share, Heavy Weapons to Ukraine'!C372)-1,0),0)</f>
        <v>0</v>
      </c>
      <c r="AY362" s="1194">
        <f>VLOOKUP('Bilateral Assistance, MAIN DATA'!B362,'Country Summary (€)'!B:F,COLUMN('Country Summary (€)'!C373)-1,FALSE)</f>
        <v>1</v>
      </c>
      <c r="AZ362" s="1194" t="str">
        <f>IF(AND(AD362=1,D362="Military",H362&lt;&gt;"Not given")=TRUE,IF(SUMIFS(P:P,A:A,A362)&gt;0,ABS((SUMIFS(P:P,A:A,A362)/VLOOKUP("USD",'Exchange Rates'!B:C,2,0)))/S362,"."),".")</f>
        <v>.</v>
      </c>
      <c r="BA362" s="1196" t="str">
        <f>IF(AND(AD362=1,D362="Military",H362&lt;&gt;"Not given")=TRUE,IF(SUMIFS(P:P,A:A,A362)&gt;0,IF((ABS((SUMIFS(P:P,A:A,A362)/VLOOKUP("USD",'Exchange Rates'!B:C,2,0)))/S362)&gt;1,(SUMIFS(P:P,A:A,A362)-S362)/S362,(S362-SUMIFS(P:P,A:A,A362))/SUMIFS(P:P,A:A,A362)),"."),".")</f>
        <v>.</v>
      </c>
    </row>
    <row r="363" spans="1:53" ht="15.95" customHeight="1">
      <c r="A363" s="1180" t="s">
        <v>1356</v>
      </c>
      <c r="B363" s="1180" t="s">
        <v>1305</v>
      </c>
      <c r="C363" s="1181">
        <v>44896</v>
      </c>
      <c r="D363" s="1182" t="s">
        <v>389</v>
      </c>
      <c r="E363" s="1182" t="s">
        <v>398</v>
      </c>
      <c r="F363" s="1183" t="s">
        <v>1357</v>
      </c>
      <c r="G363" s="1184" t="s">
        <v>483</v>
      </c>
      <c r="H363" s="1185">
        <v>7800000</v>
      </c>
      <c r="I363" s="1208" t="s">
        <v>1332</v>
      </c>
      <c r="J363" s="1186" t="str">
        <f>VLOOKUP($I363,'Price List, Weapons &amp; Items'!B:C,2,0)</f>
        <v>Military equipment</v>
      </c>
      <c r="K363" s="1186" t="str">
        <f>IF(I363=".",I363,VLOOKUP($I363,'Price List, Weapons &amp; Items'!B:D,3,0))</f>
        <v>Military equipment</v>
      </c>
      <c r="L363" s="1187">
        <f>VLOOKUP(I363,'Price List, Weapons &amp; Items'!B:E,4,0)</f>
        <v>0</v>
      </c>
      <c r="M363" s="1188">
        <v>1</v>
      </c>
      <c r="N363" s="1188">
        <v>1</v>
      </c>
      <c r="O363" s="1188">
        <f>VLOOKUP($I363,'Price List, Weapons &amp; Items'!B:G,6,0)</f>
        <v>6060550</v>
      </c>
      <c r="P363" s="1185">
        <f t="shared" si="79"/>
        <v>6060550</v>
      </c>
      <c r="Q363" s="1185">
        <f t="shared" si="80"/>
        <v>6060550</v>
      </c>
      <c r="R363" s="1185">
        <f t="shared" si="76"/>
        <v>7800000</v>
      </c>
      <c r="S363" s="1185">
        <f>IF(AND(AD363=1,R363&lt;&gt;".")=TRUE,R363/VLOOKUP(G363,'Exchange Rates'!B:C,2,0),IF(R363=".",".",""))</f>
        <v>7800000</v>
      </c>
      <c r="T363" s="1185">
        <f>IF(AD363=1,IF(AF363="Value is not given at all",".",IF(AF363="Value is given by the source",S363,IF(AF363="Value is calculated with prices",(IF(SUMIFS(Q:Q,A:A,A363)&gt;0,SUMIFS(Q:Q,A:A,A363),"."))/VLOOKUP("USD",'Exchange Rates'!B:C,2,0),"Error with coding"))),"")</f>
        <v>7800000</v>
      </c>
      <c r="U363" s="1184" t="s">
        <v>365</v>
      </c>
      <c r="V363" s="1018" t="s">
        <v>1358</v>
      </c>
      <c r="W363" s="1011" t="s">
        <v>1359</v>
      </c>
      <c r="X363" s="1011" t="s">
        <v>1360</v>
      </c>
      <c r="Y363" s="1019" t="s">
        <v>364</v>
      </c>
      <c r="Z363" s="1184">
        <v>0</v>
      </c>
      <c r="AA363" s="1194">
        <v>0</v>
      </c>
      <c r="AB363" s="1026" t="s">
        <v>1361</v>
      </c>
      <c r="AC363" s="1192" t="str">
        <f>""</f>
        <v/>
      </c>
      <c r="AD363" s="1193">
        <v>1</v>
      </c>
      <c r="AE363" s="1193" t="s">
        <v>368</v>
      </c>
      <c r="AF363" s="1193" t="s">
        <v>368</v>
      </c>
      <c r="AG363" s="1193">
        <v>1</v>
      </c>
      <c r="AH363" s="1193">
        <v>12</v>
      </c>
      <c r="AI363" s="1193">
        <v>0</v>
      </c>
      <c r="AJ363" s="1193">
        <f>VLOOKUP($I363,'Price List, Weapons &amp; Items'!B:F,5,0)</f>
        <v>0</v>
      </c>
      <c r="AK363" s="1193">
        <f t="shared" si="81"/>
        <v>0</v>
      </c>
      <c r="AL363" s="1193">
        <f t="shared" si="82"/>
        <v>0</v>
      </c>
      <c r="AM363" s="1193">
        <f t="shared" si="83"/>
        <v>0</v>
      </c>
      <c r="AN363" s="1194" t="str">
        <f>VLOOKUP($I363,'Price List, Weapons &amp; Items'!B:L,COLUMN('Price List, Weapons &amp; Items'!$J$11)-1,0)</f>
        <v>Media reports (incl. social media)</v>
      </c>
      <c r="AO363" s="1194" t="str">
        <f>IF(I363=".",".",VLOOKUP($I363,'Price List, Weapons &amp; Items'!B:J,3,0))</f>
        <v>Military equipment</v>
      </c>
      <c r="AP363" s="1195" t="str">
        <f t="shared" ca="1" si="77"/>
        <v>Field hospital</v>
      </c>
      <c r="AQ363" s="1194">
        <f>VLOOKUP($I363,'Price List, Weapons &amp; Items'!B:L,COLUMN('Price List, Weapons &amp; Items'!$L$11)-1,0)</f>
        <v>2</v>
      </c>
      <c r="AR363" s="1194">
        <f t="shared" si="84"/>
        <v>1</v>
      </c>
      <c r="AS363" s="1194">
        <f t="shared" si="85"/>
        <v>1</v>
      </c>
      <c r="AT363" s="1194">
        <f t="shared" si="86"/>
        <v>1</v>
      </c>
      <c r="AU363" s="1194" t="str">
        <f t="shared" si="87"/>
        <v>.</v>
      </c>
      <c r="AV363" s="1194" t="str">
        <f t="shared" si="78"/>
        <v>.</v>
      </c>
      <c r="AW363" s="1194" t="str">
        <f t="shared" si="88"/>
        <v>.</v>
      </c>
      <c r="AX363" s="1194">
        <f>IFERROR(VLOOKUP(B363,'Share, Heavy Weapons to Ukraine'!B:Z,COLUMN('Share, Heavy Weapons to Ukraine'!C373)-1,0),0)</f>
        <v>0</v>
      </c>
      <c r="AY363" s="1194">
        <f>VLOOKUP('Bilateral Assistance, MAIN DATA'!B363,'Country Summary (€)'!B:F,COLUMN('Country Summary (€)'!C374)-1,FALSE)</f>
        <v>1</v>
      </c>
      <c r="AZ363" s="1194">
        <f>IF(AND(AD363=1,D363="Military",H363&lt;&gt;"Not given")=TRUE,IF(SUMIFS(P:P,A:A,A363)&gt;0,ABS((SUMIFS(P:P,A:A,A363)/VLOOKUP("USD",'Exchange Rates'!B:C,2,0)))/S363,"."),".")</f>
        <v>0.71493705349980652</v>
      </c>
      <c r="BA363" s="1196">
        <f>IF(AND(AD363=1,D363="Military",H363&lt;&gt;"Not given")=TRUE,IF(SUMIFS(P:P,A:A,A363)&gt;0,IF((ABS((SUMIFS(P:P,A:A,A363)/VLOOKUP("USD",'Exchange Rates'!B:C,2,0)))/S363)&gt;1,(SUMIFS(P:P,A:A,A363)-S363)/S363,(S363-SUMIFS(P:P,A:A,A363))/SUMIFS(P:P,A:A,A363)),"."),".")</f>
        <v>0.28701190486011996</v>
      </c>
    </row>
    <row r="364" spans="1:53" ht="15.95" customHeight="1">
      <c r="A364" s="1180" t="s">
        <v>1362</v>
      </c>
      <c r="B364" s="1180" t="s">
        <v>1305</v>
      </c>
      <c r="C364" s="1181">
        <v>44917</v>
      </c>
      <c r="D364" s="1182" t="s">
        <v>389</v>
      </c>
      <c r="E364" s="1182" t="s">
        <v>398</v>
      </c>
      <c r="F364" s="1183" t="s">
        <v>1363</v>
      </c>
      <c r="G364" s="1184" t="s">
        <v>483</v>
      </c>
      <c r="H364" s="1185" t="s">
        <v>457</v>
      </c>
      <c r="I364" s="1208" t="s">
        <v>694</v>
      </c>
      <c r="J364" s="1186" t="str">
        <f>VLOOKUP($I364,'Price List, Weapons &amp; Items'!B:C,2,0)</f>
        <v>Military equipment</v>
      </c>
      <c r="K364" s="1186" t="str">
        <f>IF(I364=".",I364,VLOOKUP($I364,'Price List, Weapons &amp; Items'!B:D,3,0))</f>
        <v>Military equipment</v>
      </c>
      <c r="L364" s="1187">
        <f>VLOOKUP(I364,'Price List, Weapons &amp; Items'!B:E,4,0)</f>
        <v>0</v>
      </c>
      <c r="M364" s="1188" t="s">
        <v>374</v>
      </c>
      <c r="N364" s="1188" t="s">
        <v>374</v>
      </c>
      <c r="O364" s="1188">
        <f>VLOOKUP($I364,'Price List, Weapons &amp; Items'!B:G,6,0)</f>
        <v>500</v>
      </c>
      <c r="P364" s="1185" t="str">
        <f t="shared" si="79"/>
        <v>.</v>
      </c>
      <c r="Q364" s="1185" t="str">
        <f t="shared" si="80"/>
        <v>.</v>
      </c>
      <c r="R364" s="1185" t="str">
        <f t="shared" si="76"/>
        <v>.</v>
      </c>
      <c r="S364" s="1185" t="str">
        <f>IF(AND(AD364=1,R364&lt;&gt;".")=TRUE,R364/VLOOKUP(G364,'Exchange Rates'!B:C,2,0),IF(R364=".",".",""))</f>
        <v>.</v>
      </c>
      <c r="T364" s="1185" t="str">
        <f>IF(AD364=1,IF(AF364="Value is not given at all",".",IF(AF364="Value is given by the source",S364,IF(AF364="Value is calculated with prices",(IF(SUMIFS(Q:Q,A:A,A364)&gt;0,SUMIFS(Q:Q,A:A,A364),"."))/VLOOKUP("USD",'Exchange Rates'!B:C,2,0),"Error with coding"))),"")</f>
        <v>.</v>
      </c>
      <c r="U364" s="1184" t="s">
        <v>365</v>
      </c>
      <c r="V364" s="972" t="s">
        <v>1360</v>
      </c>
      <c r="W364" s="1017" t="s">
        <v>1364</v>
      </c>
      <c r="X364" s="1017" t="s">
        <v>1365</v>
      </c>
      <c r="Y364" s="1017" t="s">
        <v>1366</v>
      </c>
      <c r="Z364" s="1184">
        <v>0</v>
      </c>
      <c r="AA364" s="1194">
        <v>0</v>
      </c>
      <c r="AB364" s="1180" t="s">
        <v>364</v>
      </c>
      <c r="AC364" s="1192" t="str">
        <f>""</f>
        <v/>
      </c>
      <c r="AD364" s="1193">
        <v>1</v>
      </c>
      <c r="AE364" s="1193" t="s">
        <v>369</v>
      </c>
      <c r="AF364" s="1193" t="s">
        <v>369</v>
      </c>
      <c r="AG364" s="1193">
        <v>1</v>
      </c>
      <c r="AH364" s="1193">
        <v>12</v>
      </c>
      <c r="AI364" s="1193">
        <v>0</v>
      </c>
      <c r="AJ364" s="1193">
        <f>VLOOKUP($I364,'Price List, Weapons &amp; Items'!B:F,5,0)</f>
        <v>0</v>
      </c>
      <c r="AK364" s="1193">
        <f t="shared" si="81"/>
        <v>0</v>
      </c>
      <c r="AL364" s="1193">
        <f t="shared" si="82"/>
        <v>0</v>
      </c>
      <c r="AM364" s="1193">
        <f t="shared" si="83"/>
        <v>0</v>
      </c>
      <c r="AN364" s="1194" t="str">
        <f>VLOOKUP($I364,'Price List, Weapons &amp; Items'!B:L,COLUMN('Price List, Weapons &amp; Items'!$J$11)-1,0)</f>
        <v>Military media (incl. websites)</v>
      </c>
      <c r="AO364" s="1194" t="str">
        <f>IF(I364=".",".",VLOOKUP($I364,'Price List, Weapons &amp; Items'!B:J,3,0))</f>
        <v>Military equipment</v>
      </c>
      <c r="AP364" s="1195" t="str">
        <f t="shared" ca="1" si="77"/>
        <v>ballistic vest</v>
      </c>
      <c r="AQ364" s="1194">
        <f>VLOOKUP($I364,'Price List, Weapons &amp; Items'!B:L,COLUMN('Price List, Weapons &amp; Items'!$L$11)-1,0)</f>
        <v>2</v>
      </c>
      <c r="AR364" s="1194">
        <f t="shared" si="84"/>
        <v>1</v>
      </c>
      <c r="AS364" s="1194">
        <f t="shared" si="85"/>
        <v>1</v>
      </c>
      <c r="AT364" s="1194">
        <f t="shared" si="86"/>
        <v>1</v>
      </c>
      <c r="AU364" s="1194" t="str">
        <f t="shared" si="87"/>
        <v>.</v>
      </c>
      <c r="AV364" s="1194" t="str">
        <f t="shared" si="78"/>
        <v>.</v>
      </c>
      <c r="AW364" s="1194" t="str">
        <f t="shared" si="88"/>
        <v>.</v>
      </c>
      <c r="AX364" s="1194">
        <f>IFERROR(VLOOKUP(B364,'Share, Heavy Weapons to Ukraine'!B:Z,COLUMN('Share, Heavy Weapons to Ukraine'!C374)-1,0),0)</f>
        <v>0</v>
      </c>
      <c r="AY364" s="1194">
        <f>VLOOKUP('Bilateral Assistance, MAIN DATA'!B364,'Country Summary (€)'!B:F,COLUMN('Country Summary (€)'!C375)-1,FALSE)</f>
        <v>1</v>
      </c>
      <c r="AZ364" s="1194" t="str">
        <f>IF(AND(AD364=1,D364="Military",H364&lt;&gt;"Not given")=TRUE,IF(SUMIFS(P:P,A:A,A364)&gt;0,ABS((SUMIFS(P:P,A:A,A364)/VLOOKUP("USD",'Exchange Rates'!B:C,2,0)))/S364,"."),".")</f>
        <v>.</v>
      </c>
      <c r="BA364" s="1196" t="str">
        <f>IF(AND(AD364=1,D364="Military",H364&lt;&gt;"Not given")=TRUE,IF(SUMIFS(P:P,A:A,A364)&gt;0,IF((ABS((SUMIFS(P:P,A:A,A364)/VLOOKUP("USD",'Exchange Rates'!B:C,2,0)))/S364)&gt;1,(SUMIFS(P:P,A:A,A364)-S364)/S364,(S364-SUMIFS(P:P,A:A,A364))/SUMIFS(P:P,A:A,A364)),"."),".")</f>
        <v>.</v>
      </c>
    </row>
    <row r="365" spans="1:53" ht="15.95" customHeight="1">
      <c r="A365" s="1180" t="s">
        <v>1362</v>
      </c>
      <c r="B365" s="1180" t="s">
        <v>1305</v>
      </c>
      <c r="C365" s="1181">
        <v>44917</v>
      </c>
      <c r="D365" s="1182" t="s">
        <v>389</v>
      </c>
      <c r="E365" s="1182" t="s">
        <v>398</v>
      </c>
      <c r="F365" s="1183" t="s">
        <v>1363</v>
      </c>
      <c r="G365" s="1184" t="s">
        <v>483</v>
      </c>
      <c r="H365" s="1185" t="s">
        <v>457</v>
      </c>
      <c r="I365" s="1208" t="s">
        <v>618</v>
      </c>
      <c r="J365" s="1186" t="str">
        <f>VLOOKUP($I365,'Price List, Weapons &amp; Items'!B:C,2,0)</f>
        <v>Military equipment</v>
      </c>
      <c r="K365" s="1186" t="str">
        <f>IF(I365=".",I365,VLOOKUP($I365,'Price List, Weapons &amp; Items'!B:D,3,0))</f>
        <v>Military equipment</v>
      </c>
      <c r="L365" s="1187">
        <f>VLOOKUP(I365,'Price List, Weapons &amp; Items'!B:E,4,0)</f>
        <v>0</v>
      </c>
      <c r="M365" s="1188" t="s">
        <v>374</v>
      </c>
      <c r="N365" s="1188" t="s">
        <v>374</v>
      </c>
      <c r="O365" s="1188">
        <f>VLOOKUP($I365,'Price List, Weapons &amp; Items'!B:G,6,0)</f>
        <v>59.234999999999999</v>
      </c>
      <c r="P365" s="1185" t="str">
        <f t="shared" si="79"/>
        <v>.</v>
      </c>
      <c r="Q365" s="1185" t="str">
        <f t="shared" si="80"/>
        <v>.</v>
      </c>
      <c r="R365" s="1185" t="str">
        <f t="shared" si="76"/>
        <v/>
      </c>
      <c r="S365" s="1185" t="str">
        <f>IF(AND(AD365=1,R365&lt;&gt;".")=TRUE,R365/VLOOKUP(G365,'Exchange Rates'!B:C,2,0),IF(R365=".",".",""))</f>
        <v/>
      </c>
      <c r="T365" s="1185" t="str">
        <f>IF(AD365=1,IF(AF365="Value is not given at all",".",IF(AF365="Value is given by the source",S365,IF(AF365="Value is calculated with prices",(IF(SUMIFS(Q:Q,A:A,A365)&gt;0,SUMIFS(Q:Q,A:A,A365),"."))/VLOOKUP("USD",'Exchange Rates'!B:C,2,0),"Error with coding"))),"")</f>
        <v/>
      </c>
      <c r="U365" s="1184" t="s">
        <v>365</v>
      </c>
      <c r="V365" s="972" t="s">
        <v>1360</v>
      </c>
      <c r="W365" s="1017" t="s">
        <v>1364</v>
      </c>
      <c r="X365" s="1017" t="s">
        <v>1365</v>
      </c>
      <c r="Y365" s="1017" t="s">
        <v>1366</v>
      </c>
      <c r="Z365" s="1184">
        <v>0</v>
      </c>
      <c r="AA365" s="1194">
        <v>0</v>
      </c>
      <c r="AB365" s="1180" t="s">
        <v>364</v>
      </c>
      <c r="AC365" s="1192" t="str">
        <f>""</f>
        <v/>
      </c>
      <c r="AD365" s="1193">
        <v>0</v>
      </c>
      <c r="AE365" s="1193" t="s">
        <v>369</v>
      </c>
      <c r="AF365" s="1193" t="s">
        <v>369</v>
      </c>
      <c r="AG365" s="1193">
        <v>1</v>
      </c>
      <c r="AH365" s="1193">
        <v>12</v>
      </c>
      <c r="AI365" s="1193">
        <v>0</v>
      </c>
      <c r="AJ365" s="1193">
        <f>VLOOKUP($I365,'Price List, Weapons &amp; Items'!B:F,5,0)</f>
        <v>0</v>
      </c>
      <c r="AK365" s="1193">
        <f t="shared" si="81"/>
        <v>0</v>
      </c>
      <c r="AL365" s="1193">
        <f t="shared" si="82"/>
        <v>0</v>
      </c>
      <c r="AM365" s="1193">
        <f t="shared" si="83"/>
        <v>0</v>
      </c>
      <c r="AN365" s="1194" t="str">
        <f>VLOOKUP($I365,'Price List, Weapons &amp; Items'!B:L,COLUMN('Price List, Weapons &amp; Items'!$J$11)-1,0)</f>
        <v>Government information</v>
      </c>
      <c r="AO365" s="1194" t="str">
        <f>IF(I365=".",".",VLOOKUP($I365,'Price List, Weapons &amp; Items'!B:J,3,0))</f>
        <v>Military equipment</v>
      </c>
      <c r="AP365" s="1195" t="str">
        <f t="shared" ca="1" si="77"/>
        <v/>
      </c>
      <c r="AQ365" s="1194">
        <f>VLOOKUP($I365,'Price List, Weapons &amp; Items'!B:L,COLUMN('Price List, Weapons &amp; Items'!$L$11)-1,0)</f>
        <v>2</v>
      </c>
      <c r="AR365" s="1194">
        <f t="shared" si="84"/>
        <v>1</v>
      </c>
      <c r="AS365" s="1194">
        <f t="shared" si="85"/>
        <v>1</v>
      </c>
      <c r="AT365" s="1194">
        <f t="shared" si="86"/>
        <v>1</v>
      </c>
      <c r="AU365" s="1194" t="str">
        <f t="shared" si="87"/>
        <v>.</v>
      </c>
      <c r="AV365" s="1194" t="str">
        <f t="shared" si="78"/>
        <v>.</v>
      </c>
      <c r="AW365" s="1194" t="str">
        <f t="shared" si="88"/>
        <v>.</v>
      </c>
      <c r="AX365" s="1194">
        <f>IFERROR(VLOOKUP(B365,'Share, Heavy Weapons to Ukraine'!B:Z,COLUMN('Share, Heavy Weapons to Ukraine'!C375)-1,0),0)</f>
        <v>0</v>
      </c>
      <c r="AY365" s="1194">
        <f>VLOOKUP('Bilateral Assistance, MAIN DATA'!B365,'Country Summary (€)'!B:F,COLUMN('Country Summary (€)'!C376)-1,FALSE)</f>
        <v>1</v>
      </c>
      <c r="AZ365" s="1194" t="str">
        <f>IF(AND(AD365=1,D365="Military",H365&lt;&gt;"Not given")=TRUE,IF(SUMIFS(P:P,A:A,A365)&gt;0,ABS((SUMIFS(P:P,A:A,A365)/VLOOKUP("USD",'Exchange Rates'!B:C,2,0)))/S365,"."),".")</f>
        <v>.</v>
      </c>
      <c r="BA365" s="1196" t="str">
        <f>IF(AND(AD365=1,D365="Military",H365&lt;&gt;"Not given")=TRUE,IF(SUMIFS(P:P,A:A,A365)&gt;0,IF((ABS((SUMIFS(P:P,A:A,A365)/VLOOKUP("USD",'Exchange Rates'!B:C,2,0)))/S365)&gt;1,(SUMIFS(P:P,A:A,A365)-S365)/S365,(S365-SUMIFS(P:P,A:A,A365))/SUMIFS(P:P,A:A,A365)),"."),".")</f>
        <v>.</v>
      </c>
    </row>
    <row r="366" spans="1:53" ht="15.95" customHeight="1">
      <c r="A366" s="1180" t="s">
        <v>1362</v>
      </c>
      <c r="B366" s="1180" t="s">
        <v>1305</v>
      </c>
      <c r="C366" s="1181">
        <v>44917</v>
      </c>
      <c r="D366" s="1182" t="s">
        <v>389</v>
      </c>
      <c r="E366" s="1182" t="s">
        <v>398</v>
      </c>
      <c r="F366" s="1183" t="s">
        <v>1363</v>
      </c>
      <c r="G366" s="1184" t="s">
        <v>483</v>
      </c>
      <c r="H366" s="1185" t="s">
        <v>457</v>
      </c>
      <c r="I366" s="1208" t="s">
        <v>1324</v>
      </c>
      <c r="J366" s="1186" t="str">
        <f>VLOOKUP($I366,'Price List, Weapons &amp; Items'!B:C,2,0)</f>
        <v>Aviation and drones</v>
      </c>
      <c r="K366" s="1186" t="str">
        <f>IF(I366=".",I366,VLOOKUP($I366,'Price List, Weapons &amp; Items'!B:D,3,0))</f>
        <v>Drone</v>
      </c>
      <c r="L366" s="1187">
        <f>VLOOKUP(I366,'Price List, Weapons &amp; Items'!B:E,4,0)</f>
        <v>0</v>
      </c>
      <c r="M366" s="1188" t="s">
        <v>374</v>
      </c>
      <c r="N366" s="1188" t="s">
        <v>374</v>
      </c>
      <c r="O366" s="1188">
        <f>VLOOKUP($I366,'Price List, Weapons &amp; Items'!B:G,6,0)</f>
        <v>6000</v>
      </c>
      <c r="P366" s="1185" t="str">
        <f t="shared" si="79"/>
        <v>.</v>
      </c>
      <c r="Q366" s="1185" t="str">
        <f t="shared" si="80"/>
        <v>.</v>
      </c>
      <c r="R366" s="1185" t="str">
        <f t="shared" si="76"/>
        <v/>
      </c>
      <c r="S366" s="1185" t="str">
        <f>IF(AND(AD366=1,R366&lt;&gt;".")=TRUE,R366/VLOOKUP(G366,'Exchange Rates'!B:C,2,0),IF(R366=".",".",""))</f>
        <v/>
      </c>
      <c r="T366" s="1185" t="str">
        <f>IF(AD366=1,IF(AF366="Value is not given at all",".",IF(AF366="Value is given by the source",S366,IF(AF366="Value is calculated with prices",(IF(SUMIFS(Q:Q,A:A,A366)&gt;0,SUMIFS(Q:Q,A:A,A366),"."))/VLOOKUP("USD",'Exchange Rates'!B:C,2,0),"Error with coding"))),"")</f>
        <v/>
      </c>
      <c r="U366" s="1184" t="s">
        <v>365</v>
      </c>
      <c r="V366" s="972" t="s">
        <v>1360</v>
      </c>
      <c r="W366" s="1017" t="s">
        <v>1364</v>
      </c>
      <c r="X366" s="1017" t="s">
        <v>1365</v>
      </c>
      <c r="Y366" s="1017" t="s">
        <v>1366</v>
      </c>
      <c r="Z366" s="1184">
        <v>0</v>
      </c>
      <c r="AA366" s="1194">
        <v>0</v>
      </c>
      <c r="AB366" s="1180" t="s">
        <v>364</v>
      </c>
      <c r="AC366" s="1192" t="str">
        <f>""</f>
        <v/>
      </c>
      <c r="AD366" s="1193">
        <v>0</v>
      </c>
      <c r="AE366" s="1193" t="s">
        <v>369</v>
      </c>
      <c r="AF366" s="1193" t="s">
        <v>369</v>
      </c>
      <c r="AG366" s="1193">
        <v>1</v>
      </c>
      <c r="AH366" s="1193">
        <v>12</v>
      </c>
      <c r="AI366" s="1193">
        <v>0</v>
      </c>
      <c r="AJ366" s="1193">
        <f>VLOOKUP($I366,'Price List, Weapons &amp; Items'!B:F,5,0)</f>
        <v>0</v>
      </c>
      <c r="AK366" s="1193">
        <f t="shared" si="81"/>
        <v>0</v>
      </c>
      <c r="AL366" s="1193">
        <f t="shared" si="82"/>
        <v>0</v>
      </c>
      <c r="AM366" s="1193">
        <f t="shared" si="83"/>
        <v>0</v>
      </c>
      <c r="AN366" s="1194" t="str">
        <f>VLOOKUP($I366,'Price List, Weapons &amp; Items'!B:L,COLUMN('Price List, Weapons &amp; Items'!$J$11)-1,0)</f>
        <v>Miscellaneous</v>
      </c>
      <c r="AO366" s="1194" t="str">
        <f>IF(I366=".",".",VLOOKUP($I366,'Price List, Weapons &amp; Items'!B:J,3,0))</f>
        <v>Drone</v>
      </c>
      <c r="AP366" s="1195" t="str">
        <f t="shared" ca="1" si="77"/>
        <v/>
      </c>
      <c r="AQ366" s="1194">
        <f>VLOOKUP($I366,'Price List, Weapons &amp; Items'!B:L,COLUMN('Price List, Weapons &amp; Items'!$L$11)-1,0)</f>
        <v>1</v>
      </c>
      <c r="AR366" s="1194">
        <f t="shared" si="84"/>
        <v>1</v>
      </c>
      <c r="AS366" s="1194">
        <f t="shared" si="85"/>
        <v>1</v>
      </c>
      <c r="AT366" s="1194">
        <f t="shared" si="86"/>
        <v>1</v>
      </c>
      <c r="AU366" s="1194" t="str">
        <f t="shared" si="87"/>
        <v>.</v>
      </c>
      <c r="AV366" s="1194" t="str">
        <f t="shared" si="78"/>
        <v>.</v>
      </c>
      <c r="AW366" s="1194" t="str">
        <f t="shared" si="88"/>
        <v>.</v>
      </c>
      <c r="AX366" s="1194">
        <f>IFERROR(VLOOKUP(B366,'Share, Heavy Weapons to Ukraine'!B:Z,COLUMN('Share, Heavy Weapons to Ukraine'!C376)-1,0),0)</f>
        <v>0</v>
      </c>
      <c r="AY366" s="1194">
        <f>VLOOKUP('Bilateral Assistance, MAIN DATA'!B366,'Country Summary (€)'!B:F,COLUMN('Country Summary (€)'!C377)-1,FALSE)</f>
        <v>1</v>
      </c>
      <c r="AZ366" s="1194" t="str">
        <f>IF(AND(AD366=1,D366="Military",H366&lt;&gt;"Not given")=TRUE,IF(SUMIFS(P:P,A:A,A366)&gt;0,ABS((SUMIFS(P:P,A:A,A366)/VLOOKUP("USD",'Exchange Rates'!B:C,2,0)))/S366,"."),".")</f>
        <v>.</v>
      </c>
      <c r="BA366" s="1196" t="str">
        <f>IF(AND(AD366=1,D366="Military",H366&lt;&gt;"Not given")=TRUE,IF(SUMIFS(P:P,A:A,A366)&gt;0,IF((ABS((SUMIFS(P:P,A:A,A366)/VLOOKUP("USD",'Exchange Rates'!B:C,2,0)))/S366)&gt;1,(SUMIFS(P:P,A:A,A366)-S366)/S366,(S366-SUMIFS(P:P,A:A,A366))/SUMIFS(P:P,A:A,A366)),"."),".")</f>
        <v>.</v>
      </c>
    </row>
    <row r="367" spans="1:53" ht="15.95" customHeight="1">
      <c r="A367" s="1180" t="s">
        <v>1362</v>
      </c>
      <c r="B367" s="1180" t="s">
        <v>1305</v>
      </c>
      <c r="C367" s="1181">
        <v>44917</v>
      </c>
      <c r="D367" s="1182" t="s">
        <v>389</v>
      </c>
      <c r="E367" s="1182" t="s">
        <v>398</v>
      </c>
      <c r="F367" s="1183" t="s">
        <v>1363</v>
      </c>
      <c r="G367" s="1184" t="s">
        <v>483</v>
      </c>
      <c r="H367" s="1185" t="s">
        <v>457</v>
      </c>
      <c r="I367" s="1208" t="s">
        <v>1367</v>
      </c>
      <c r="J367" s="1186" t="str">
        <f>VLOOKUP($I367,'Price List, Weapons &amp; Items'!B:C,2,0)</f>
        <v>Military equipment</v>
      </c>
      <c r="K367" s="1186" t="str">
        <f>IF(I367=".",I367,VLOOKUP($I367,'Price List, Weapons &amp; Items'!B:D,3,0))</f>
        <v>Military equipment</v>
      </c>
      <c r="L367" s="1187">
        <f>VLOOKUP(I367,'Price List, Weapons &amp; Items'!B:E,4,0)</f>
        <v>0</v>
      </c>
      <c r="M367" s="1188" t="s">
        <v>374</v>
      </c>
      <c r="N367" s="1188" t="s">
        <v>374</v>
      </c>
      <c r="O367" s="1188" t="str">
        <f>VLOOKUP($I367,'Price List, Weapons &amp; Items'!B:G,6,0)</f>
        <v>.</v>
      </c>
      <c r="P367" s="1185" t="str">
        <f t="shared" si="79"/>
        <v>.</v>
      </c>
      <c r="Q367" s="1185" t="str">
        <f t="shared" si="80"/>
        <v>.</v>
      </c>
      <c r="R367" s="1185" t="str">
        <f t="shared" si="76"/>
        <v/>
      </c>
      <c r="S367" s="1185" t="str">
        <f>IF(AND(AD367=1,R367&lt;&gt;".")=TRUE,R367/VLOOKUP(G367,'Exchange Rates'!B:C,2,0),IF(R367=".",".",""))</f>
        <v/>
      </c>
      <c r="T367" s="1185" t="str">
        <f>IF(AD367=1,IF(AF367="Value is not given at all",".",IF(AF367="Value is given by the source",S367,IF(AF367="Value is calculated with prices",(IF(SUMIFS(Q:Q,A:A,A367)&gt;0,SUMIFS(Q:Q,A:A,A367),"."))/VLOOKUP("USD",'Exchange Rates'!B:C,2,0),"Error with coding"))),"")</f>
        <v/>
      </c>
      <c r="U367" s="1184" t="s">
        <v>365</v>
      </c>
      <c r="V367" s="972" t="s">
        <v>1360</v>
      </c>
      <c r="W367" s="1017" t="s">
        <v>1364</v>
      </c>
      <c r="X367" s="1017" t="s">
        <v>1365</v>
      </c>
      <c r="Y367" s="1017" t="s">
        <v>1366</v>
      </c>
      <c r="Z367" s="1184">
        <v>0</v>
      </c>
      <c r="AA367" s="1194">
        <v>0</v>
      </c>
      <c r="AB367" s="1180" t="s">
        <v>364</v>
      </c>
      <c r="AC367" s="1192" t="str">
        <f>""</f>
        <v/>
      </c>
      <c r="AD367" s="1193">
        <v>0</v>
      </c>
      <c r="AE367" s="1193" t="s">
        <v>369</v>
      </c>
      <c r="AF367" s="1193" t="s">
        <v>369</v>
      </c>
      <c r="AG367" s="1193">
        <v>1</v>
      </c>
      <c r="AH367" s="1193">
        <v>12</v>
      </c>
      <c r="AI367" s="1193">
        <v>0</v>
      </c>
      <c r="AJ367" s="1193">
        <f>VLOOKUP($I367,'Price List, Weapons &amp; Items'!B:F,5,0)</f>
        <v>0</v>
      </c>
      <c r="AK367" s="1193">
        <f t="shared" si="81"/>
        <v>0</v>
      </c>
      <c r="AL367" s="1193">
        <f t="shared" si="82"/>
        <v>0</v>
      </c>
      <c r="AM367" s="1193">
        <f t="shared" si="83"/>
        <v>0</v>
      </c>
      <c r="AN367" s="1194" t="str">
        <f>VLOOKUP($I367,'Price List, Weapons &amp; Items'!B:L,COLUMN('Price List, Weapons &amp; Items'!$J$11)-1,0)</f>
        <v>.</v>
      </c>
      <c r="AO367" s="1194" t="str">
        <f>IF(I367=".",".",VLOOKUP($I367,'Price List, Weapons &amp; Items'!B:J,3,0))</f>
        <v>Military equipment</v>
      </c>
      <c r="AP367" s="1195" t="str">
        <f t="shared" ca="1" si="77"/>
        <v/>
      </c>
      <c r="AQ367" s="1194" t="str">
        <f>VLOOKUP($I367,'Price List, Weapons &amp; Items'!B:L,COLUMN('Price List, Weapons &amp; Items'!$L$11)-1,0)</f>
        <v>no price, 0 count</v>
      </c>
      <c r="AR367" s="1194">
        <f t="shared" si="84"/>
        <v>1</v>
      </c>
      <c r="AS367" s="1194">
        <f t="shared" si="85"/>
        <v>1</v>
      </c>
      <c r="AT367" s="1194">
        <f t="shared" si="86"/>
        <v>1</v>
      </c>
      <c r="AU367" s="1194" t="str">
        <f t="shared" si="87"/>
        <v>.</v>
      </c>
      <c r="AV367" s="1194" t="str">
        <f t="shared" si="78"/>
        <v>.</v>
      </c>
      <c r="AW367" s="1194" t="str">
        <f t="shared" si="88"/>
        <v>.</v>
      </c>
      <c r="AX367" s="1194">
        <f>IFERROR(VLOOKUP(B367,'Share, Heavy Weapons to Ukraine'!B:Z,COLUMN('Share, Heavy Weapons to Ukraine'!C377)-1,0),0)</f>
        <v>0</v>
      </c>
      <c r="AY367" s="1194">
        <f>VLOOKUP('Bilateral Assistance, MAIN DATA'!B367,'Country Summary (€)'!B:F,COLUMN('Country Summary (€)'!C378)-1,FALSE)</f>
        <v>1</v>
      </c>
      <c r="AZ367" s="1194" t="str">
        <f>IF(AND(AD367=1,D367="Military",H367&lt;&gt;"Not given")=TRUE,IF(SUMIFS(P:P,A:A,A367)&gt;0,ABS((SUMIFS(P:P,A:A,A367)/VLOOKUP("USD",'Exchange Rates'!B:C,2,0)))/S367,"."),".")</f>
        <v>.</v>
      </c>
      <c r="BA367" s="1196" t="str">
        <f>IF(AND(AD367=1,D367="Military",H367&lt;&gt;"Not given")=TRUE,IF(SUMIFS(P:P,A:A,A367)&gt;0,IF((ABS((SUMIFS(P:P,A:A,A367)/VLOOKUP("USD",'Exchange Rates'!B:C,2,0)))/S367)&gt;1,(SUMIFS(P:P,A:A,A367)-S367)/S367,(S367-SUMIFS(P:P,A:A,A367))/SUMIFS(P:P,A:A,A367)),"."),".")</f>
        <v>.</v>
      </c>
    </row>
    <row r="368" spans="1:53" ht="15.95" customHeight="1">
      <c r="A368" s="1180" t="s">
        <v>1362</v>
      </c>
      <c r="B368" s="1180" t="s">
        <v>1305</v>
      </c>
      <c r="C368" s="1181">
        <v>44917</v>
      </c>
      <c r="D368" s="1182" t="s">
        <v>389</v>
      </c>
      <c r="E368" s="1182" t="s">
        <v>398</v>
      </c>
      <c r="F368" s="1183" t="s">
        <v>1363</v>
      </c>
      <c r="G368" s="1184" t="s">
        <v>483</v>
      </c>
      <c r="H368" s="1185" t="s">
        <v>457</v>
      </c>
      <c r="I368" s="1208" t="s">
        <v>1368</v>
      </c>
      <c r="J368" s="1186" t="str">
        <f>VLOOKUP($I368,'Price List, Weapons &amp; Items'!B:C,2,0)</f>
        <v>Humanitarian</v>
      </c>
      <c r="K368" s="1186" t="str">
        <f>IF(I368=".",I368,VLOOKUP($I368,'Price List, Weapons &amp; Items'!B:D,3,0))</f>
        <v>Humanitarian</v>
      </c>
      <c r="L368" s="1187">
        <f>VLOOKUP(I368,'Price List, Weapons &amp; Items'!B:E,4,0)</f>
        <v>0</v>
      </c>
      <c r="M368" s="1188" t="s">
        <v>374</v>
      </c>
      <c r="N368" s="1188" t="s">
        <v>374</v>
      </c>
      <c r="O368" s="1188">
        <f>VLOOKUP($I368,'Price List, Weapons &amp; Items'!B:G,6,0)</f>
        <v>27500</v>
      </c>
      <c r="P368" s="1185" t="str">
        <f t="shared" si="79"/>
        <v>.</v>
      </c>
      <c r="Q368" s="1185" t="str">
        <f t="shared" si="80"/>
        <v>.</v>
      </c>
      <c r="R368" s="1185" t="str">
        <f t="shared" si="76"/>
        <v/>
      </c>
      <c r="S368" s="1185" t="str">
        <f>IF(AND(AD368=1,R368&lt;&gt;".")=TRUE,R368/VLOOKUP(G368,'Exchange Rates'!B:C,2,0),IF(R368=".",".",""))</f>
        <v/>
      </c>
      <c r="T368" s="1185" t="str">
        <f>IF(AD368=1,IF(AF368="Value is not given at all",".",IF(AF368="Value is given by the source",S368,IF(AF368="Value is calculated with prices",(IF(SUMIFS(Q:Q,A:A,A368)&gt;0,SUMIFS(Q:Q,A:A,A368),"."))/VLOOKUP("USD",'Exchange Rates'!B:C,2,0),"Error with coding"))),"")</f>
        <v/>
      </c>
      <c r="U368" s="1184" t="s">
        <v>365</v>
      </c>
      <c r="V368" s="972" t="s">
        <v>1360</v>
      </c>
      <c r="W368" s="1017" t="s">
        <v>1364</v>
      </c>
      <c r="X368" s="1017" t="s">
        <v>1365</v>
      </c>
      <c r="Y368" s="1017" t="s">
        <v>1366</v>
      </c>
      <c r="Z368" s="1184">
        <v>0</v>
      </c>
      <c r="AA368" s="1194">
        <v>0</v>
      </c>
      <c r="AB368" s="1180" t="s">
        <v>364</v>
      </c>
      <c r="AC368" s="1192" t="str">
        <f>""</f>
        <v/>
      </c>
      <c r="AD368" s="1193">
        <v>0</v>
      </c>
      <c r="AE368" s="1193" t="s">
        <v>369</v>
      </c>
      <c r="AF368" s="1193" t="s">
        <v>369</v>
      </c>
      <c r="AG368" s="1193">
        <v>1</v>
      </c>
      <c r="AH368" s="1193">
        <v>12</v>
      </c>
      <c r="AI368" s="1193">
        <v>0</v>
      </c>
      <c r="AJ368" s="1193">
        <f>VLOOKUP($I368,'Price List, Weapons &amp; Items'!B:F,5,0)</f>
        <v>0</v>
      </c>
      <c r="AK368" s="1193">
        <f t="shared" si="81"/>
        <v>0</v>
      </c>
      <c r="AL368" s="1193">
        <f t="shared" si="82"/>
        <v>0</v>
      </c>
      <c r="AM368" s="1193">
        <f t="shared" si="83"/>
        <v>0</v>
      </c>
      <c r="AN368" s="1194" t="str">
        <f>VLOOKUP($I368,'Price List, Weapons &amp; Items'!B:L,COLUMN('Price List, Weapons &amp; Items'!$J$11)-1,0)</f>
        <v>Miscellaneous</v>
      </c>
      <c r="AO368" s="1194" t="str">
        <f>IF(I368=".",".",VLOOKUP($I368,'Price List, Weapons &amp; Items'!B:J,3,0))</f>
        <v>Humanitarian</v>
      </c>
      <c r="AP368" s="1195" t="str">
        <f t="shared" ca="1" si="77"/>
        <v/>
      </c>
      <c r="AQ368" s="1194">
        <f>VLOOKUP($I368,'Price List, Weapons &amp; Items'!B:L,COLUMN('Price List, Weapons &amp; Items'!$L$11)-1,0)</f>
        <v>0</v>
      </c>
      <c r="AR368" s="1194">
        <f t="shared" si="84"/>
        <v>1</v>
      </c>
      <c r="AS368" s="1194">
        <f t="shared" si="85"/>
        <v>1</v>
      </c>
      <c r="AT368" s="1194">
        <f t="shared" si="86"/>
        <v>1</v>
      </c>
      <c r="AU368" s="1194" t="str">
        <f t="shared" si="87"/>
        <v>.</v>
      </c>
      <c r="AV368" s="1194" t="str">
        <f t="shared" si="78"/>
        <v>.</v>
      </c>
      <c r="AW368" s="1194" t="str">
        <f t="shared" si="88"/>
        <v>.</v>
      </c>
      <c r="AX368" s="1194">
        <f>IFERROR(VLOOKUP(B368,'Share, Heavy Weapons to Ukraine'!B:Z,COLUMN('Share, Heavy Weapons to Ukraine'!C378)-1,0),0)</f>
        <v>0</v>
      </c>
      <c r="AY368" s="1194">
        <f>VLOOKUP('Bilateral Assistance, MAIN DATA'!B368,'Country Summary (€)'!B:F,COLUMN('Country Summary (€)'!C379)-1,FALSE)</f>
        <v>1</v>
      </c>
      <c r="AZ368" s="1194" t="str">
        <f>IF(AND(AD368=1,D368="Military",H368&lt;&gt;"Not given")=TRUE,IF(SUMIFS(P:P,A:A,A368)&gt;0,ABS((SUMIFS(P:P,A:A,A368)/VLOOKUP("USD",'Exchange Rates'!B:C,2,0)))/S368,"."),".")</f>
        <v>.</v>
      </c>
      <c r="BA368" s="1196" t="str">
        <f>IF(AND(AD368=1,D368="Military",H368&lt;&gt;"Not given")=TRUE,IF(SUMIFS(P:P,A:A,A368)&gt;0,IF((ABS((SUMIFS(P:P,A:A,A368)/VLOOKUP("USD",'Exchange Rates'!B:C,2,0)))/S368)&gt;1,(SUMIFS(P:P,A:A,A368)-S368)/S368,(S368-SUMIFS(P:P,A:A,A368))/SUMIFS(P:P,A:A,A368)),"."),".")</f>
        <v>.</v>
      </c>
    </row>
    <row r="369" spans="1:53" ht="15.95" customHeight="1">
      <c r="A369" s="1180" t="s">
        <v>1369</v>
      </c>
      <c r="B369" s="1180" t="s">
        <v>1305</v>
      </c>
      <c r="C369" s="1181">
        <v>44945</v>
      </c>
      <c r="D369" s="1182" t="s">
        <v>389</v>
      </c>
      <c r="E369" s="1182" t="s">
        <v>390</v>
      </c>
      <c r="F369" s="1183" t="s">
        <v>1370</v>
      </c>
      <c r="G369" s="1184" t="s">
        <v>483</v>
      </c>
      <c r="H369" s="1185">
        <v>113000000</v>
      </c>
      <c r="I369" s="1208" t="s">
        <v>1371</v>
      </c>
      <c r="J369" s="1186" t="str">
        <f>VLOOKUP($I369,'Price List, Weapons &amp; Items'!B:C,2,0)</f>
        <v>Heavy weapon</v>
      </c>
      <c r="K369" s="1186" t="str">
        <f>IF(I369=".",I369,VLOOKUP($I369,'Price List, Weapons &amp; Items'!B:D,3,0))</f>
        <v>155mm howitzer</v>
      </c>
      <c r="L369" s="1187">
        <f>VLOOKUP(I369,'Price List, Weapons &amp; Items'!B:E,4,0)</f>
        <v>0</v>
      </c>
      <c r="M369" s="1188">
        <v>24</v>
      </c>
      <c r="N369" s="1188" t="s">
        <v>374</v>
      </c>
      <c r="O369" s="1188">
        <f>VLOOKUP($I369,'Price List, Weapons &amp; Items'!B:G,6,0)</f>
        <v>895040.34</v>
      </c>
      <c r="P369" s="1185">
        <f t="shared" si="79"/>
        <v>21480968.16</v>
      </c>
      <c r="Q369" s="1185" t="str">
        <f t="shared" si="80"/>
        <v>.</v>
      </c>
      <c r="R369" s="1185">
        <f t="shared" si="76"/>
        <v>113000000</v>
      </c>
      <c r="S369" s="1185">
        <f>IF(AND(AD369=1,R369&lt;&gt;".")=TRUE,R369/VLOOKUP(G369,'Exchange Rates'!B:C,2,0),IF(R369=".",".",""))</f>
        <v>113000000</v>
      </c>
      <c r="T369" s="1185" t="str">
        <f>IF(AD369=1,IF(AF369="Value is not given at all",".",IF(AF369="Value is given by the source",S369,IF(AF369="Value is calculated with prices",(IF(SUMIFS(Q:Q,A:A,A369)&gt;0,SUMIFS(Q:Q,A:A,A369),"."))/VLOOKUP("USD",'Exchange Rates'!B:C,2,0),"Error with coding"))),"")</f>
        <v>.</v>
      </c>
      <c r="U369" s="1184" t="s">
        <v>365</v>
      </c>
      <c r="V369" s="1003" t="s">
        <v>1372</v>
      </c>
      <c r="W369" s="1020" t="s">
        <v>1373</v>
      </c>
      <c r="X369" s="1020" t="s">
        <v>1374</v>
      </c>
      <c r="Y369" s="1020" t="s">
        <v>1375</v>
      </c>
      <c r="Z369" s="1184">
        <v>0</v>
      </c>
      <c r="AA369" s="1194">
        <v>0</v>
      </c>
      <c r="AB369" s="1180" t="s">
        <v>364</v>
      </c>
      <c r="AC369" s="1192" t="str">
        <f>""</f>
        <v/>
      </c>
      <c r="AD369" s="1193">
        <v>1</v>
      </c>
      <c r="AE369" s="1193" t="s">
        <v>368</v>
      </c>
      <c r="AF369" s="1193" t="s">
        <v>369</v>
      </c>
      <c r="AG369" s="1193">
        <v>1</v>
      </c>
      <c r="AH369" s="1193">
        <v>13</v>
      </c>
      <c r="AI369" s="1193">
        <v>0</v>
      </c>
      <c r="AJ369" s="1193">
        <f>VLOOKUP($I369,'Price List, Weapons &amp; Items'!B:F,5,0)</f>
        <v>1</v>
      </c>
      <c r="AK369" s="1193">
        <f t="shared" si="81"/>
        <v>0</v>
      </c>
      <c r="AL369" s="1193">
        <f t="shared" si="82"/>
        <v>1</v>
      </c>
      <c r="AM369" s="1193">
        <f t="shared" si="83"/>
        <v>0</v>
      </c>
      <c r="AN369" s="1194" t="str">
        <f>VLOOKUP($I369,'Price List, Weapons &amp; Items'!B:L,COLUMN('Price List, Weapons &amp; Items'!$J$11)-1,0)</f>
        <v>Military media (incl. websites)</v>
      </c>
      <c r="AO369" s="1194" t="str">
        <f>IF(I369=".",".",VLOOKUP($I369,'Price List, Weapons &amp; Items'!B:J,3,0))</f>
        <v>155mm howitzer</v>
      </c>
      <c r="AP369" s="1195" t="str">
        <f t="shared" ca="1" si="77"/>
        <v>FH70 155mm howitzer</v>
      </c>
      <c r="AQ369" s="1194">
        <f>VLOOKUP($I369,'Price List, Weapons &amp; Items'!B:L,COLUMN('Price List, Weapons &amp; Items'!$L$11)-1,0)</f>
        <v>2</v>
      </c>
      <c r="AR369" s="1194">
        <f t="shared" si="84"/>
        <v>1</v>
      </c>
      <c r="AS369" s="1194">
        <f t="shared" si="85"/>
        <v>1</v>
      </c>
      <c r="AT369" s="1194">
        <f t="shared" si="86"/>
        <v>1</v>
      </c>
      <c r="AU369" s="1194" t="str">
        <f t="shared" si="87"/>
        <v>.</v>
      </c>
      <c r="AV369" s="1194" t="str">
        <f t="shared" si="78"/>
        <v>.</v>
      </c>
      <c r="AW369" s="1194" t="str">
        <f t="shared" si="88"/>
        <v>.</v>
      </c>
      <c r="AX369" s="1194">
        <f>IFERROR(VLOOKUP(B369,'Share, Heavy Weapons to Ukraine'!B:Z,COLUMN('Share, Heavy Weapons to Ukraine'!C379)-1,0),0)</f>
        <v>0</v>
      </c>
      <c r="AY369" s="1194">
        <f>VLOOKUP('Bilateral Assistance, MAIN DATA'!B369,'Country Summary (€)'!B:F,COLUMN('Country Summary (€)'!C380)-1,FALSE)</f>
        <v>1</v>
      </c>
      <c r="AZ369" s="1194">
        <f>IF(AND(AD369=1,D369="Military",H369&lt;&gt;"Not given")=TRUE,IF(SUMIFS(P:P,A:A,A369)&gt;0,ABS((SUMIFS(P:P,A:A,A369)/VLOOKUP("USD",'Exchange Rates'!B:C,2,0)))/S369,"."),".")</f>
        <v>0.31496185444510755</v>
      </c>
      <c r="BA369" s="1196">
        <f>IF(AND(AD369=1,D369="Military",H369&lt;&gt;"Not given")=TRUE,IF(SUMIFS(P:P,A:A,A369)&gt;0,IF((ABS((SUMIFS(P:P,A:A,A369)/VLOOKUP("USD",'Exchange Rates'!B:C,2,0)))/S369)&gt;1,(SUMIFS(P:P,A:A,A369)-S369)/S369,(S369-SUMIFS(P:P,A:A,A369))/SUMIFS(P:P,A:A,A369)),"."),".")</f>
        <v>1.9214093265387184</v>
      </c>
    </row>
    <row r="370" spans="1:53" ht="15.95" customHeight="1">
      <c r="A370" s="1180" t="s">
        <v>1369</v>
      </c>
      <c r="B370" s="1180" t="s">
        <v>1305</v>
      </c>
      <c r="C370" s="1181">
        <v>44945</v>
      </c>
      <c r="D370" s="1182" t="s">
        <v>389</v>
      </c>
      <c r="E370" s="1182" t="s">
        <v>390</v>
      </c>
      <c r="F370" s="1183" t="s">
        <v>1370</v>
      </c>
      <c r="G370" s="1184" t="s">
        <v>483</v>
      </c>
      <c r="H370" s="1185">
        <v>113000000</v>
      </c>
      <c r="I370" s="1190" t="s">
        <v>1376</v>
      </c>
      <c r="J370" s="1186" t="str">
        <f>VLOOKUP($I370,'Price List, Weapons &amp; Items'!B:C,2,0)</f>
        <v>Heavy weapon</v>
      </c>
      <c r="K370" s="1186" t="str">
        <f>IF(I370=".",I370,VLOOKUP($I370,'Price List, Weapons &amp; Items'!B:D,3,0))</f>
        <v>122mm howitzer</v>
      </c>
      <c r="L370" s="1187">
        <f>VLOOKUP(I370,'Price List, Weapons &amp; Items'!B:E,4,0)</f>
        <v>1</v>
      </c>
      <c r="M370" s="1188">
        <v>24</v>
      </c>
      <c r="N370" s="1188" t="s">
        <v>374</v>
      </c>
      <c r="O370" s="1188">
        <f>VLOOKUP($I370,'Price List, Weapons &amp; Items'!B:G,6,0)</f>
        <v>80503.62</v>
      </c>
      <c r="P370" s="1185">
        <f t="shared" si="79"/>
        <v>1932086.88</v>
      </c>
      <c r="Q370" s="1185" t="str">
        <f t="shared" si="80"/>
        <v>.</v>
      </c>
      <c r="R370" s="1185" t="str">
        <f t="shared" si="76"/>
        <v/>
      </c>
      <c r="S370" s="1185" t="str">
        <f>IF(AND(AD370=1,R370&lt;&gt;".")=TRUE,R370/VLOOKUP(G370,'Exchange Rates'!B:C,2,0),IF(R370=".",".",""))</f>
        <v/>
      </c>
      <c r="T370" s="1185" t="str">
        <f>IF(AD370=1,IF(AF370="Value is not given at all",".",IF(AF370="Value is given by the source",S370,IF(AF370="Value is calculated with prices",(IF(SUMIFS(Q:Q,A:A,A370)&gt;0,SUMIFS(Q:Q,A:A,A370),"."))/VLOOKUP("USD",'Exchange Rates'!B:C,2,0),"Error with coding"))),"")</f>
        <v/>
      </c>
      <c r="U370" s="1184" t="s">
        <v>365</v>
      </c>
      <c r="V370" s="1003" t="s">
        <v>1372</v>
      </c>
      <c r="W370" s="1020" t="s">
        <v>1373</v>
      </c>
      <c r="X370" s="1020" t="s">
        <v>1374</v>
      </c>
      <c r="Y370" s="1020" t="s">
        <v>1375</v>
      </c>
      <c r="Z370" s="1184">
        <v>0</v>
      </c>
      <c r="AA370" s="1194">
        <v>0</v>
      </c>
      <c r="AB370" s="1180" t="s">
        <v>364</v>
      </c>
      <c r="AC370" s="1192" t="str">
        <f>""</f>
        <v/>
      </c>
      <c r="AD370" s="1193">
        <v>0</v>
      </c>
      <c r="AE370" s="1193" t="s">
        <v>368</v>
      </c>
      <c r="AF370" s="1193" t="s">
        <v>369</v>
      </c>
      <c r="AG370" s="1193">
        <v>1</v>
      </c>
      <c r="AH370" s="1193">
        <v>13</v>
      </c>
      <c r="AI370" s="1193">
        <v>0</v>
      </c>
      <c r="AJ370" s="1193">
        <f>VLOOKUP($I370,'Price List, Weapons &amp; Items'!B:F,5,0)</f>
        <v>0</v>
      </c>
      <c r="AK370" s="1193">
        <f t="shared" si="81"/>
        <v>0</v>
      </c>
      <c r="AL370" s="1193">
        <f t="shared" si="82"/>
        <v>0</v>
      </c>
      <c r="AM370" s="1193">
        <f t="shared" si="83"/>
        <v>0</v>
      </c>
      <c r="AN370" s="1194" t="str">
        <f>VLOOKUP($I370,'Price List, Weapons &amp; Items'!B:L,COLUMN('Price List, Weapons &amp; Items'!$J$11)-1,0)</f>
        <v>Contracts</v>
      </c>
      <c r="AO370" s="1194" t="str">
        <f>IF(I370=".",".",VLOOKUP($I370,'Price List, Weapons &amp; Items'!B:J,3,0))</f>
        <v>122mm howitzer</v>
      </c>
      <c r="AP370" s="1195" t="str">
        <f t="shared" ca="1" si="77"/>
        <v/>
      </c>
      <c r="AQ370" s="1194">
        <f>VLOOKUP($I370,'Price List, Weapons &amp; Items'!B:L,COLUMN('Price List, Weapons &amp; Items'!$L$11)-1,0)</f>
        <v>1</v>
      </c>
      <c r="AR370" s="1194">
        <f t="shared" si="84"/>
        <v>1</v>
      </c>
      <c r="AS370" s="1194">
        <f t="shared" si="85"/>
        <v>1</v>
      </c>
      <c r="AT370" s="1194">
        <f t="shared" si="86"/>
        <v>1</v>
      </c>
      <c r="AU370" s="1194" t="str">
        <f t="shared" si="87"/>
        <v>.</v>
      </c>
      <c r="AV370" s="1194" t="str">
        <f t="shared" si="78"/>
        <v>.</v>
      </c>
      <c r="AW370" s="1194" t="str">
        <f t="shared" si="88"/>
        <v>.</v>
      </c>
      <c r="AX370" s="1194">
        <f>IFERROR(VLOOKUP(B370,'Share, Heavy Weapons to Ukraine'!B:Z,COLUMN('Share, Heavy Weapons to Ukraine'!C380)-1,0),0)</f>
        <v>0</v>
      </c>
      <c r="AY370" s="1194">
        <f>VLOOKUP('Bilateral Assistance, MAIN DATA'!B370,'Country Summary (€)'!B:F,COLUMN('Country Summary (€)'!C381)-1,FALSE)</f>
        <v>1</v>
      </c>
      <c r="AZ370" s="1194" t="str">
        <f>IF(AND(AD370=1,D370="Military",H370&lt;&gt;"Not given")=TRUE,IF(SUMIFS(P:P,A:A,A370)&gt;0,ABS((SUMIFS(P:P,A:A,A370)/VLOOKUP("USD",'Exchange Rates'!B:C,2,0)))/S370,"."),".")</f>
        <v>.</v>
      </c>
      <c r="BA370" s="1196" t="str">
        <f>IF(AND(AD370=1,D370="Military",H370&lt;&gt;"Not given")=TRUE,IF(SUMIFS(P:P,A:A,A370)&gt;0,IF((ABS((SUMIFS(P:P,A:A,A370)/VLOOKUP("USD",'Exchange Rates'!B:C,2,0)))/S370)&gt;1,(SUMIFS(P:P,A:A,A370)-S370)/S370,(S370-SUMIFS(P:P,A:A,A370))/SUMIFS(P:P,A:A,A370)),"."),".")</f>
        <v>.</v>
      </c>
    </row>
    <row r="371" spans="1:53" ht="15.95" customHeight="1">
      <c r="A371" s="1180" t="s">
        <v>1369</v>
      </c>
      <c r="B371" s="1180" t="s">
        <v>1305</v>
      </c>
      <c r="C371" s="1181">
        <v>44945</v>
      </c>
      <c r="D371" s="1182" t="s">
        <v>389</v>
      </c>
      <c r="E371" s="1182" t="s">
        <v>390</v>
      </c>
      <c r="F371" s="1183" t="s">
        <v>1370</v>
      </c>
      <c r="G371" s="1184" t="s">
        <v>483</v>
      </c>
      <c r="H371" s="1185">
        <v>113000000</v>
      </c>
      <c r="I371" s="1190" t="s">
        <v>856</v>
      </c>
      <c r="J371" s="1186" t="str">
        <f>VLOOKUP($I371,'Price List, Weapons &amp; Items'!B:C,2,0)</f>
        <v>Ammunition for heavy weapon</v>
      </c>
      <c r="K371" s="1186" t="str">
        <f>IF(I371=".",I371,VLOOKUP($I371,'Price List, Weapons &amp; Items'!B:D,3,0))</f>
        <v>155mm howitzer ammunition</v>
      </c>
      <c r="L371" s="1187">
        <f>VLOOKUP(I371,'Price List, Weapons &amp; Items'!B:E,4,0)</f>
        <v>0</v>
      </c>
      <c r="M371" s="1188">
        <v>2000</v>
      </c>
      <c r="N371" s="1188">
        <v>2000</v>
      </c>
      <c r="O371" s="1188">
        <f>VLOOKUP($I371,'Price List, Weapons &amp; Items'!B:G,6,0)</f>
        <v>3800</v>
      </c>
      <c r="P371" s="1185">
        <f t="shared" si="79"/>
        <v>7600000</v>
      </c>
      <c r="Q371" s="1185">
        <f t="shared" si="80"/>
        <v>7600000</v>
      </c>
      <c r="R371" s="1185" t="str">
        <f t="shared" si="76"/>
        <v/>
      </c>
      <c r="S371" s="1185" t="str">
        <f>IF(AND(AD371=1,R371&lt;&gt;".")=TRUE,R371/VLOOKUP(G371,'Exchange Rates'!B:C,2,0),IF(R371=".",".",""))</f>
        <v/>
      </c>
      <c r="T371" s="1185" t="str">
        <f>IF(AD371=1,IF(AF371="Value is not given at all",".",IF(AF371="Value is given by the source",S371,IF(AF371="Value is calculated with prices",(IF(SUMIFS(Q:Q,A:A,A371)&gt;0,SUMIFS(Q:Q,A:A,A371),"."))/VLOOKUP("USD",'Exchange Rates'!B:C,2,0),"Error with coding"))),"")</f>
        <v/>
      </c>
      <c r="U371" s="1184" t="s">
        <v>365</v>
      </c>
      <c r="V371" s="1003" t="s">
        <v>1372</v>
      </c>
      <c r="W371" s="1020" t="s">
        <v>1373</v>
      </c>
      <c r="X371" s="1020" t="s">
        <v>1374</v>
      </c>
      <c r="Y371" s="1020" t="s">
        <v>1375</v>
      </c>
      <c r="Z371" s="1184">
        <v>0</v>
      </c>
      <c r="AA371" s="1194">
        <v>0</v>
      </c>
      <c r="AB371" s="1180" t="s">
        <v>364</v>
      </c>
      <c r="AC371" s="1192" t="str">
        <f>""</f>
        <v/>
      </c>
      <c r="AD371" s="1193">
        <v>0</v>
      </c>
      <c r="AE371" s="1193" t="s">
        <v>368</v>
      </c>
      <c r="AF371" s="1193" t="s">
        <v>369</v>
      </c>
      <c r="AG371" s="1193">
        <v>1</v>
      </c>
      <c r="AH371" s="1193">
        <v>13</v>
      </c>
      <c r="AI371" s="1193">
        <v>0</v>
      </c>
      <c r="AJ371" s="1193">
        <f>VLOOKUP($I371,'Price List, Weapons &amp; Items'!B:F,5,0)</f>
        <v>1</v>
      </c>
      <c r="AK371" s="1193">
        <f t="shared" si="81"/>
        <v>0</v>
      </c>
      <c r="AL371" s="1193">
        <f t="shared" si="82"/>
        <v>0</v>
      </c>
      <c r="AM371" s="1193">
        <f t="shared" si="83"/>
        <v>0</v>
      </c>
      <c r="AN371" s="1194" t="str">
        <f>VLOOKUP($I371,'Price List, Weapons &amp; Items'!B:L,COLUMN('Price List, Weapons &amp; Items'!$J$11)-1,0)</f>
        <v>Government information</v>
      </c>
      <c r="AO371" s="1194" t="str">
        <f>IF(I371=".",".",VLOOKUP($I371,'Price List, Weapons &amp; Items'!B:J,3,0))</f>
        <v>155mm howitzer ammunition</v>
      </c>
      <c r="AP371" s="1195" t="str">
        <f t="shared" ca="1" si="77"/>
        <v/>
      </c>
      <c r="AQ371" s="1194">
        <f>VLOOKUP($I371,'Price List, Weapons &amp; Items'!B:L,COLUMN('Price List, Weapons &amp; Items'!$L$11)-1,0)</f>
        <v>2</v>
      </c>
      <c r="AR371" s="1194">
        <f t="shared" si="84"/>
        <v>1</v>
      </c>
      <c r="AS371" s="1194">
        <f t="shared" si="85"/>
        <v>1</v>
      </c>
      <c r="AT371" s="1194">
        <f t="shared" si="86"/>
        <v>1</v>
      </c>
      <c r="AU371" s="1194" t="str">
        <f t="shared" si="87"/>
        <v>.</v>
      </c>
      <c r="AV371" s="1194" t="str">
        <f t="shared" si="78"/>
        <v>.</v>
      </c>
      <c r="AW371" s="1194" t="str">
        <f t="shared" si="88"/>
        <v>.</v>
      </c>
      <c r="AX371" s="1194">
        <f>IFERROR(VLOOKUP(B371,'Share, Heavy Weapons to Ukraine'!B:Z,COLUMN('Share, Heavy Weapons to Ukraine'!C381)-1,0),0)</f>
        <v>0</v>
      </c>
      <c r="AY371" s="1194">
        <f>VLOOKUP('Bilateral Assistance, MAIN DATA'!B371,'Country Summary (€)'!B:F,COLUMN('Country Summary (€)'!C382)-1,FALSE)</f>
        <v>1</v>
      </c>
      <c r="AZ371" s="1194" t="str">
        <f>IF(AND(AD371=1,D371="Military",H371&lt;&gt;"Not given")=TRUE,IF(SUMIFS(P:P,A:A,A371)&gt;0,ABS((SUMIFS(P:P,A:A,A371)/VLOOKUP("USD",'Exchange Rates'!B:C,2,0)))/S371,"."),".")</f>
        <v>.</v>
      </c>
      <c r="BA371" s="1196" t="str">
        <f>IF(AND(AD371=1,D371="Military",H371&lt;&gt;"Not given")=TRUE,IF(SUMIFS(P:P,A:A,A371)&gt;0,IF((ABS((SUMIFS(P:P,A:A,A371)/VLOOKUP("USD",'Exchange Rates'!B:C,2,0)))/S371)&gt;1,(SUMIFS(P:P,A:A,A371)-S371)/S371,(S371-SUMIFS(P:P,A:A,A371))/SUMIFS(P:P,A:A,A371)),"."),".")</f>
        <v>.</v>
      </c>
    </row>
    <row r="372" spans="1:53" ht="15.95" customHeight="1">
      <c r="A372" s="1180" t="s">
        <v>1369</v>
      </c>
      <c r="B372" s="1180" t="s">
        <v>1305</v>
      </c>
      <c r="C372" s="1181">
        <v>44945</v>
      </c>
      <c r="D372" s="1182" t="s">
        <v>389</v>
      </c>
      <c r="E372" s="1182" t="s">
        <v>390</v>
      </c>
      <c r="F372" s="1183" t="s">
        <v>1370</v>
      </c>
      <c r="G372" s="1184" t="s">
        <v>483</v>
      </c>
      <c r="H372" s="1185">
        <v>113000000</v>
      </c>
      <c r="I372" s="1190" t="s">
        <v>804</v>
      </c>
      <c r="J372" s="1186" t="str">
        <f>VLOOKUP($I372,'Price List, Weapons &amp; Items'!B:C,2,0)</f>
        <v>Light armaments &amp; infantry</v>
      </c>
      <c r="K372" s="1186" t="str">
        <f>IF(I372=".",I372,VLOOKUP($I372,'Price List, Weapons &amp; Items'!B:D,3,0))</f>
        <v>Recoilless rifle (RR/RCL)</v>
      </c>
      <c r="L372" s="1187">
        <f>VLOOKUP(I372,'Price List, Weapons &amp; Items'!B:E,4,0)</f>
        <v>0</v>
      </c>
      <c r="M372" s="1188">
        <v>200</v>
      </c>
      <c r="N372" s="1188" t="s">
        <v>374</v>
      </c>
      <c r="O372" s="1188">
        <f>VLOOKUP($I372,'Price List, Weapons &amp; Items'!B:G,6,0)</f>
        <v>38334.53182718272</v>
      </c>
      <c r="P372" s="1185">
        <f t="shared" si="79"/>
        <v>7666906.3654365437</v>
      </c>
      <c r="Q372" s="1185" t="str">
        <f t="shared" si="80"/>
        <v>.</v>
      </c>
      <c r="R372" s="1185" t="str">
        <f t="shared" si="76"/>
        <v/>
      </c>
      <c r="S372" s="1185" t="str">
        <f>IF(AND(AD372=1,R372&lt;&gt;".")=TRUE,R372/VLOOKUP(G372,'Exchange Rates'!B:C,2,0),IF(R372=".",".",""))</f>
        <v/>
      </c>
      <c r="T372" s="1185" t="str">
        <f>IF(AD372=1,IF(AF372="Value is not given at all",".",IF(AF372="Value is given by the source",S372,IF(AF372="Value is calculated with prices",(IF(SUMIFS(Q:Q,A:A,A372)&gt;0,SUMIFS(Q:Q,A:A,A372),"."))/VLOOKUP("USD",'Exchange Rates'!B:C,2,0),"Error with coding"))),"")</f>
        <v/>
      </c>
      <c r="U372" s="1184" t="s">
        <v>365</v>
      </c>
      <c r="V372" s="1003" t="s">
        <v>1372</v>
      </c>
      <c r="W372" s="1020" t="s">
        <v>1373</v>
      </c>
      <c r="X372" s="1020" t="s">
        <v>1374</v>
      </c>
      <c r="Y372" s="1020" t="s">
        <v>1375</v>
      </c>
      <c r="Z372" s="1184">
        <v>0</v>
      </c>
      <c r="AA372" s="1194">
        <v>0</v>
      </c>
      <c r="AB372" s="1180" t="s">
        <v>364</v>
      </c>
      <c r="AC372" s="1192" t="str">
        <f>""</f>
        <v/>
      </c>
      <c r="AD372" s="1193">
        <v>0</v>
      </c>
      <c r="AE372" s="1193" t="s">
        <v>368</v>
      </c>
      <c r="AF372" s="1193" t="s">
        <v>369</v>
      </c>
      <c r="AG372" s="1193">
        <v>1</v>
      </c>
      <c r="AH372" s="1193">
        <v>13</v>
      </c>
      <c r="AI372" s="1193">
        <v>0</v>
      </c>
      <c r="AJ372" s="1193">
        <f>VLOOKUP($I372,'Price List, Weapons &amp; Items'!B:F,5,0)</f>
        <v>0</v>
      </c>
      <c r="AK372" s="1193">
        <f t="shared" si="81"/>
        <v>0</v>
      </c>
      <c r="AL372" s="1193">
        <f t="shared" si="82"/>
        <v>0</v>
      </c>
      <c r="AM372" s="1193">
        <f t="shared" si="83"/>
        <v>0</v>
      </c>
      <c r="AN372" s="1194" t="str">
        <f>VLOOKUP($I372,'Price List, Weapons &amp; Items'!B:L,COLUMN('Price List, Weapons &amp; Items'!$J$11)-1,0)</f>
        <v>Military media (incl. websites)</v>
      </c>
      <c r="AO372" s="1194" t="str">
        <f>IF(I372=".",".",VLOOKUP($I372,'Price List, Weapons &amp; Items'!B:J,3,0))</f>
        <v>Recoilless rifle (RR/RCL)</v>
      </c>
      <c r="AP372" s="1195" t="str">
        <f t="shared" ca="1" si="77"/>
        <v/>
      </c>
      <c r="AQ372" s="1194">
        <f>VLOOKUP($I372,'Price List, Weapons &amp; Items'!B:L,COLUMN('Price List, Weapons &amp; Items'!$L$11)-1,0)</f>
        <v>2</v>
      </c>
      <c r="AR372" s="1194">
        <f t="shared" si="84"/>
        <v>1</v>
      </c>
      <c r="AS372" s="1194">
        <f t="shared" si="85"/>
        <v>1</v>
      </c>
      <c r="AT372" s="1194">
        <f t="shared" si="86"/>
        <v>1</v>
      </c>
      <c r="AU372" s="1194" t="str">
        <f t="shared" si="87"/>
        <v>.</v>
      </c>
      <c r="AV372" s="1194" t="str">
        <f t="shared" si="78"/>
        <v>.</v>
      </c>
      <c r="AW372" s="1194" t="str">
        <f t="shared" si="88"/>
        <v>.</v>
      </c>
      <c r="AX372" s="1194">
        <f>IFERROR(VLOOKUP(B372,'Share, Heavy Weapons to Ukraine'!B:Z,COLUMN('Share, Heavy Weapons to Ukraine'!C382)-1,0),0)</f>
        <v>0</v>
      </c>
      <c r="AY372" s="1194">
        <f>VLOOKUP('Bilateral Assistance, MAIN DATA'!B372,'Country Summary (€)'!B:F,COLUMN('Country Summary (€)'!C383)-1,FALSE)</f>
        <v>1</v>
      </c>
      <c r="AZ372" s="1194" t="str">
        <f>IF(AND(AD372=1,D372="Military",H372&lt;&gt;"Not given")=TRUE,IF(SUMIFS(P:P,A:A,A372)&gt;0,ABS((SUMIFS(P:P,A:A,A372)/VLOOKUP("USD",'Exchange Rates'!B:C,2,0)))/S372,"."),".")</f>
        <v>.</v>
      </c>
      <c r="BA372" s="1196" t="str">
        <f>IF(AND(AD372=1,D372="Military",H372&lt;&gt;"Not given")=TRUE,IF(SUMIFS(P:P,A:A,A372)&gt;0,IF((ABS((SUMIFS(P:P,A:A,A372)/VLOOKUP("USD",'Exchange Rates'!B:C,2,0)))/S372)&gt;1,(SUMIFS(P:P,A:A,A372)-S372)/S372,(S372-SUMIFS(P:P,A:A,A372))/SUMIFS(P:P,A:A,A372)),"."),".")</f>
        <v>.</v>
      </c>
    </row>
    <row r="373" spans="1:53" ht="15.95" customHeight="1">
      <c r="A373" s="1180" t="s">
        <v>1369</v>
      </c>
      <c r="B373" s="1180" t="s">
        <v>1305</v>
      </c>
      <c r="C373" s="1181">
        <v>44945</v>
      </c>
      <c r="D373" s="1182" t="s">
        <v>389</v>
      </c>
      <c r="E373" s="1182" t="s">
        <v>390</v>
      </c>
      <c r="F373" s="1183" t="s">
        <v>1370</v>
      </c>
      <c r="G373" s="1184" t="s">
        <v>483</v>
      </c>
      <c r="H373" s="1185">
        <v>113000000</v>
      </c>
      <c r="I373" s="1190" t="s">
        <v>1377</v>
      </c>
      <c r="J373" s="1186" t="str">
        <f>VLOOKUP($I373,'Price List, Weapons &amp; Items'!B:C,2,0)</f>
        <v>Ammunition for portable defence system</v>
      </c>
      <c r="K373" s="1186" t="str">
        <f>IF(I373=".",I373,VLOOKUP($I373,'Price List, Weapons &amp; Items'!B:D,3,0))</f>
        <v>Recoilless rifle (RR/RCL) ammunition</v>
      </c>
      <c r="L373" s="1187">
        <f>VLOOKUP(I373,'Price List, Weapons &amp; Items'!B:E,4,0)</f>
        <v>0</v>
      </c>
      <c r="M373" s="1188" t="s">
        <v>374</v>
      </c>
      <c r="N373" s="1188" t="s">
        <v>374</v>
      </c>
      <c r="O373" s="1188">
        <f>VLOOKUP($I373,'Price List, Weapons &amp; Items'!B:G,6,0)</f>
        <v>1750</v>
      </c>
      <c r="P373" s="1185" t="str">
        <f t="shared" si="79"/>
        <v>.</v>
      </c>
      <c r="Q373" s="1185" t="str">
        <f t="shared" si="80"/>
        <v>.</v>
      </c>
      <c r="R373" s="1185" t="str">
        <f t="shared" si="76"/>
        <v/>
      </c>
      <c r="S373" s="1185" t="str">
        <f>IF(AND(AD373=1,R373&lt;&gt;".")=TRUE,R373/VLOOKUP(G373,'Exchange Rates'!B:C,2,0),IF(R373=".",".",""))</f>
        <v/>
      </c>
      <c r="T373" s="1185" t="str">
        <f>IF(AD373=1,IF(AF373="Value is not given at all",".",IF(AF373="Value is given by the source",S373,IF(AF373="Value is calculated with prices",(IF(SUMIFS(Q:Q,A:A,A373)&gt;0,SUMIFS(Q:Q,A:A,A373),"."))/VLOOKUP("USD",'Exchange Rates'!B:C,2,0),"Error with coding"))),"")</f>
        <v/>
      </c>
      <c r="U373" s="1184" t="s">
        <v>365</v>
      </c>
      <c r="V373" s="1003" t="s">
        <v>1372</v>
      </c>
      <c r="W373" s="1020" t="s">
        <v>1373</v>
      </c>
      <c r="X373" s="1020" t="s">
        <v>1374</v>
      </c>
      <c r="Y373" s="1020" t="s">
        <v>1375</v>
      </c>
      <c r="Z373" s="1184">
        <v>0</v>
      </c>
      <c r="AA373" s="1194">
        <v>0</v>
      </c>
      <c r="AB373" s="1180" t="s">
        <v>364</v>
      </c>
      <c r="AC373" s="1192" t="str">
        <f>""</f>
        <v/>
      </c>
      <c r="AD373" s="1193">
        <v>0</v>
      </c>
      <c r="AE373" s="1193" t="s">
        <v>368</v>
      </c>
      <c r="AF373" s="1193" t="s">
        <v>369</v>
      </c>
      <c r="AG373" s="1193">
        <v>1</v>
      </c>
      <c r="AH373" s="1193">
        <v>13</v>
      </c>
      <c r="AI373" s="1193">
        <v>0</v>
      </c>
      <c r="AJ373" s="1193">
        <f>VLOOKUP($I373,'Price List, Weapons &amp; Items'!B:F,5,0)</f>
        <v>0</v>
      </c>
      <c r="AK373" s="1193">
        <f t="shared" si="81"/>
        <v>0</v>
      </c>
      <c r="AL373" s="1193">
        <f t="shared" si="82"/>
        <v>0</v>
      </c>
      <c r="AM373" s="1193">
        <f t="shared" si="83"/>
        <v>1</v>
      </c>
      <c r="AN373" s="1194" t="str">
        <f>VLOOKUP($I373,'Price List, Weapons &amp; Items'!B:L,COLUMN('Price List, Weapons &amp; Items'!$J$11)-1,0)</f>
        <v>Military media (incl. websites)</v>
      </c>
      <c r="AO373" s="1194" t="str">
        <f>IF(I373=".",".",VLOOKUP($I373,'Price List, Weapons &amp; Items'!B:J,3,0))</f>
        <v>Recoilless rifle (RR/RCL) ammunition</v>
      </c>
      <c r="AP373" s="1195" t="str">
        <f t="shared" ca="1" si="77"/>
        <v/>
      </c>
      <c r="AQ373" s="1194">
        <f>VLOOKUP($I373,'Price List, Weapons &amp; Items'!B:L,COLUMN('Price List, Weapons &amp; Items'!$L$11)-1,0)</f>
        <v>2</v>
      </c>
      <c r="AR373" s="1194">
        <f t="shared" si="84"/>
        <v>1</v>
      </c>
      <c r="AS373" s="1194">
        <f t="shared" si="85"/>
        <v>1</v>
      </c>
      <c r="AT373" s="1194">
        <f t="shared" si="86"/>
        <v>1</v>
      </c>
      <c r="AU373" s="1194" t="str">
        <f t="shared" si="87"/>
        <v>.</v>
      </c>
      <c r="AV373" s="1194" t="str">
        <f t="shared" si="78"/>
        <v>.</v>
      </c>
      <c r="AW373" s="1194" t="str">
        <f t="shared" si="88"/>
        <v>.</v>
      </c>
      <c r="AX373" s="1194">
        <f>IFERROR(VLOOKUP(B373,'Share, Heavy Weapons to Ukraine'!B:Z,COLUMN('Share, Heavy Weapons to Ukraine'!C383)-1,0),0)</f>
        <v>0</v>
      </c>
      <c r="AY373" s="1194">
        <f>VLOOKUP('Bilateral Assistance, MAIN DATA'!B373,'Country Summary (€)'!B:F,COLUMN('Country Summary (€)'!C384)-1,FALSE)</f>
        <v>1</v>
      </c>
      <c r="AZ373" s="1194" t="str">
        <f>IF(AND(AD373=1,D373="Military",H373&lt;&gt;"Not given")=TRUE,IF(SUMIFS(P:P,A:A,A373)&gt;0,ABS((SUMIFS(P:P,A:A,A373)/VLOOKUP("USD",'Exchange Rates'!B:C,2,0)))/S373,"."),".")</f>
        <v>.</v>
      </c>
      <c r="BA373" s="1196" t="str">
        <f>IF(AND(AD373=1,D373="Military",H373&lt;&gt;"Not given")=TRUE,IF(SUMIFS(P:P,A:A,A373)&gt;0,IF((ABS((SUMIFS(P:P,A:A,A373)/VLOOKUP("USD",'Exchange Rates'!B:C,2,0)))/S373)&gt;1,(SUMIFS(P:P,A:A,A373)-S373)/S373,(S373-SUMIFS(P:P,A:A,A373))/SUMIFS(P:P,A:A,A373)),"."),".")</f>
        <v>.</v>
      </c>
    </row>
    <row r="374" spans="1:53" ht="15.95" customHeight="1">
      <c r="A374" s="1180" t="s">
        <v>1378</v>
      </c>
      <c r="B374" s="1180" t="s">
        <v>1305</v>
      </c>
      <c r="C374" s="1181">
        <v>44983</v>
      </c>
      <c r="D374" s="1182" t="s">
        <v>389</v>
      </c>
      <c r="E374" s="1182" t="s">
        <v>390</v>
      </c>
      <c r="F374" s="1183" t="s">
        <v>1379</v>
      </c>
      <c r="G374" s="1184" t="s">
        <v>483</v>
      </c>
      <c r="H374" s="1185" t="s">
        <v>457</v>
      </c>
      <c r="I374" s="1190" t="s">
        <v>1380</v>
      </c>
      <c r="J374" s="1186" t="str">
        <f>VLOOKUP($I374,'Price List, Weapons &amp; Items'!B:C,2,0)</f>
        <v>Light armaments &amp; infantry</v>
      </c>
      <c r="K374" s="1186" t="str">
        <f>IF(I374=".",I374,VLOOKUP($I374,'Price List, Weapons &amp; Items'!B:D,3,0))</f>
        <v>Small Arms and Light Weapons (SALW)</v>
      </c>
      <c r="L374" s="1187">
        <f>VLOOKUP(I374,'Price List, Weapons &amp; Items'!B:E,4,0)</f>
        <v>0</v>
      </c>
      <c r="M374" s="1188" t="s">
        <v>374</v>
      </c>
      <c r="N374" s="1188" t="s">
        <v>374</v>
      </c>
      <c r="O374" s="1188">
        <f>VLOOKUP($I374,'Price List, Weapons &amp; Items'!B:G,6,0)</f>
        <v>4089.42</v>
      </c>
      <c r="P374" s="1185" t="str">
        <f t="shared" si="79"/>
        <v>.</v>
      </c>
      <c r="Q374" s="1185" t="str">
        <f t="shared" si="80"/>
        <v>.</v>
      </c>
      <c r="R374" s="1185" t="str">
        <f t="shared" si="76"/>
        <v>.</v>
      </c>
      <c r="S374" s="1185" t="str">
        <f>IF(AND(AD374=1,R374&lt;&gt;".")=TRUE,R374/VLOOKUP(G374,'Exchange Rates'!B:C,2,0),IF(R374=".",".",""))</f>
        <v>.</v>
      </c>
      <c r="T374" s="1185" t="str">
        <f>IF(AD374=1,IF(AF374="Value is not given at all",".",IF(AF374="Value is given by the source",S374,IF(AF374="Value is calculated with prices",(IF(SUMIFS(Q:Q,A:A,A374)&gt;0,SUMIFS(Q:Q,A:A,A374),"."))/VLOOKUP("USD",'Exchange Rates'!B:C,2,0),"Error with coding"))),"")</f>
        <v>.</v>
      </c>
      <c r="U374" s="1184" t="s">
        <v>365</v>
      </c>
      <c r="V374" s="1003" t="s">
        <v>1381</v>
      </c>
      <c r="W374" s="1020" t="s">
        <v>1382</v>
      </c>
      <c r="X374" s="1020" t="s">
        <v>1383</v>
      </c>
      <c r="Y374" s="1020" t="s">
        <v>1384</v>
      </c>
      <c r="Z374" s="1184">
        <v>0</v>
      </c>
      <c r="AA374" s="1194">
        <v>1</v>
      </c>
      <c r="AB374" s="1180" t="s">
        <v>364</v>
      </c>
      <c r="AC374" s="1192" t="str">
        <f>""</f>
        <v/>
      </c>
      <c r="AD374" s="1193">
        <v>1</v>
      </c>
      <c r="AE374" s="1193" t="s">
        <v>369</v>
      </c>
      <c r="AF374" s="1193" t="s">
        <v>369</v>
      </c>
      <c r="AG374" s="1193">
        <v>1</v>
      </c>
      <c r="AH374" s="1193">
        <v>14</v>
      </c>
      <c r="AI374" s="1193">
        <v>0</v>
      </c>
      <c r="AJ374" s="1193">
        <f>VLOOKUP($I374,'Price List, Weapons &amp; Items'!B:F,5,0)</f>
        <v>0</v>
      </c>
      <c r="AK374" s="1193">
        <f t="shared" si="81"/>
        <v>0</v>
      </c>
      <c r="AL374" s="1193">
        <f t="shared" si="82"/>
        <v>0</v>
      </c>
      <c r="AM374" s="1193">
        <f t="shared" si="83"/>
        <v>0</v>
      </c>
      <c r="AN374" s="1194" t="str">
        <f>VLOOKUP($I374,'Price List, Weapons &amp; Items'!B:L,COLUMN('Price List, Weapons &amp; Items'!$J$11)-1,0)</f>
        <v>Military media (incl. websites)</v>
      </c>
      <c r="AO374" s="1194" t="str">
        <f>IF(I374=".",".",VLOOKUP($I374,'Price List, Weapons &amp; Items'!B:J,3,0))</f>
        <v>Small Arms and Light Weapons (SALW)</v>
      </c>
      <c r="AP374" s="1195" t="str">
        <f t="shared" ca="1" si="77"/>
        <v>R20 Rahe assault rifle</v>
      </c>
      <c r="AQ374" s="1194" t="str">
        <f>VLOOKUP($I374,'Price List, Weapons &amp; Items'!B:L,COLUMN('Price List, Weapons &amp; Items'!$L$11)-1,0)</f>
        <v>no price, 0 count</v>
      </c>
      <c r="AR374" s="1194">
        <f t="shared" si="84"/>
        <v>1</v>
      </c>
      <c r="AS374" s="1194">
        <f t="shared" si="85"/>
        <v>1</v>
      </c>
      <c r="AT374" s="1194">
        <f t="shared" si="86"/>
        <v>1</v>
      </c>
      <c r="AU374" s="1194" t="str">
        <f t="shared" si="87"/>
        <v>.</v>
      </c>
      <c r="AV374" s="1194" t="str">
        <f t="shared" si="78"/>
        <v>.</v>
      </c>
      <c r="AW374" s="1194" t="str">
        <f t="shared" si="88"/>
        <v>.</v>
      </c>
      <c r="AX374" s="1194">
        <f>IFERROR(VLOOKUP(B374,'Share, Heavy Weapons to Ukraine'!B:Z,COLUMN('Share, Heavy Weapons to Ukraine'!C384)-1,0),0)</f>
        <v>0</v>
      </c>
      <c r="AY374" s="1194">
        <f>VLOOKUP('Bilateral Assistance, MAIN DATA'!B374,'Country Summary (€)'!B:F,COLUMN('Country Summary (€)'!C385)-1,FALSE)</f>
        <v>1</v>
      </c>
      <c r="AZ374" s="1194" t="str">
        <f>IF(AND(AD374=1,D374="Military",H374&lt;&gt;"Not given")=TRUE,IF(SUMIFS(P:P,A:A,A374)&gt;0,ABS((SUMIFS(P:P,A:A,A374)/VLOOKUP("USD",'Exchange Rates'!B:C,2,0)))/S374,"."),".")</f>
        <v>.</v>
      </c>
      <c r="BA374" s="1196" t="str">
        <f>IF(AND(AD374=1,D374="Military",H374&lt;&gt;"Not given")=TRUE,IF(SUMIFS(P:P,A:A,A374)&gt;0,IF((ABS((SUMIFS(P:P,A:A,A374)/VLOOKUP("USD",'Exchange Rates'!B:C,2,0)))/S374)&gt;1,(SUMIFS(P:P,A:A,A374)-S374)/S374,(S374-SUMIFS(P:P,A:A,A374))/SUMIFS(P:P,A:A,A374)),"."),".")</f>
        <v>.</v>
      </c>
    </row>
    <row r="375" spans="1:53" ht="15.95" customHeight="1">
      <c r="A375" s="1180" t="s">
        <v>1378</v>
      </c>
      <c r="B375" s="1180" t="s">
        <v>1305</v>
      </c>
      <c r="C375" s="1181">
        <v>44983</v>
      </c>
      <c r="D375" s="1182" t="s">
        <v>389</v>
      </c>
      <c r="E375" s="1182" t="s">
        <v>390</v>
      </c>
      <c r="F375" s="1183" t="s">
        <v>1379</v>
      </c>
      <c r="G375" s="1184" t="s">
        <v>483</v>
      </c>
      <c r="H375" s="1185" t="s">
        <v>457</v>
      </c>
      <c r="I375" s="1190" t="s">
        <v>1385</v>
      </c>
      <c r="J375" s="1186" t="str">
        <f>VLOOKUP($I375,'Price List, Weapons &amp; Items'!B:C,2,0)</f>
        <v>Light armaments &amp; infantry</v>
      </c>
      <c r="K375" s="1186" t="str">
        <f>IF(I375=".",I375,VLOOKUP($I375,'Price List, Weapons &amp; Items'!B:D,3,0))</f>
        <v>Small Arms and Light Weapons (SALW)</v>
      </c>
      <c r="L375" s="1187">
        <f>VLOOKUP(I375,'Price List, Weapons &amp; Items'!B:E,4,0)</f>
        <v>0</v>
      </c>
      <c r="M375" s="1188" t="s">
        <v>374</v>
      </c>
      <c r="N375" s="1188" t="s">
        <v>374</v>
      </c>
      <c r="O375" s="1188">
        <f>VLOOKUP($I375,'Price List, Weapons &amp; Items'!B:G,6,0)</f>
        <v>1071.6400000000001</v>
      </c>
      <c r="P375" s="1185" t="str">
        <f t="shared" si="79"/>
        <v>.</v>
      </c>
      <c r="Q375" s="1185" t="str">
        <f t="shared" si="80"/>
        <v>.</v>
      </c>
      <c r="R375" s="1185" t="str">
        <f t="shared" si="76"/>
        <v/>
      </c>
      <c r="S375" s="1185" t="str">
        <f>IF(AND(AD375=1,R375&lt;&gt;".")=TRUE,R375/VLOOKUP(G375,'Exchange Rates'!B:C,2,0),IF(R375=".",".",""))</f>
        <v/>
      </c>
      <c r="T375" s="1185" t="str">
        <f>IF(AD375=1,IF(AF375="Value is not given at all",".",IF(AF375="Value is given by the source",S375,IF(AF375="Value is calculated with prices",(IF(SUMIFS(Q:Q,A:A,A375)&gt;0,SUMIFS(Q:Q,A:A,A375),"."))/VLOOKUP("USD",'Exchange Rates'!B:C,2,0),"Error with coding"))),"")</f>
        <v/>
      </c>
      <c r="U375" s="1184" t="s">
        <v>365</v>
      </c>
      <c r="V375" s="1003" t="s">
        <v>1381</v>
      </c>
      <c r="W375" s="1020" t="s">
        <v>1382</v>
      </c>
      <c r="X375" s="1020" t="s">
        <v>1383</v>
      </c>
      <c r="Y375" s="1020" t="s">
        <v>1384</v>
      </c>
      <c r="Z375" s="1184">
        <v>0</v>
      </c>
      <c r="AA375" s="1194">
        <v>1</v>
      </c>
      <c r="AB375" s="1180" t="s">
        <v>364</v>
      </c>
      <c r="AC375" s="1192" t="str">
        <f>""</f>
        <v/>
      </c>
      <c r="AD375" s="1193">
        <v>0</v>
      </c>
      <c r="AE375" s="1193" t="s">
        <v>369</v>
      </c>
      <c r="AF375" s="1193" t="s">
        <v>369</v>
      </c>
      <c r="AG375" s="1193">
        <v>1</v>
      </c>
      <c r="AH375" s="1193">
        <v>14</v>
      </c>
      <c r="AI375" s="1193">
        <v>0</v>
      </c>
      <c r="AJ375" s="1193">
        <f>VLOOKUP($I375,'Price List, Weapons &amp; Items'!B:F,5,0)</f>
        <v>0</v>
      </c>
      <c r="AK375" s="1193">
        <f t="shared" si="81"/>
        <v>0</v>
      </c>
      <c r="AL375" s="1193">
        <f t="shared" si="82"/>
        <v>0</v>
      </c>
      <c r="AM375" s="1193">
        <f t="shared" si="83"/>
        <v>0</v>
      </c>
      <c r="AN375" s="1194" t="str">
        <f>VLOOKUP($I375,'Price List, Weapons &amp; Items'!B:L,COLUMN('Price List, Weapons &amp; Items'!$J$11)-1,0)</f>
        <v>Online marketplaces and stores</v>
      </c>
      <c r="AO375" s="1194" t="str">
        <f>IF(I375=".",".",VLOOKUP($I375,'Price List, Weapons &amp; Items'!B:J,3,0))</f>
        <v>Small Arms and Light Weapons (SALW)</v>
      </c>
      <c r="AP375" s="1195" t="str">
        <f t="shared" ca="1" si="77"/>
        <v/>
      </c>
      <c r="AQ375" s="1194">
        <f>VLOOKUP($I375,'Price List, Weapons &amp; Items'!B:L,COLUMN('Price List, Weapons &amp; Items'!$L$11)-1,0)</f>
        <v>1</v>
      </c>
      <c r="AR375" s="1194">
        <f t="shared" si="84"/>
        <v>1</v>
      </c>
      <c r="AS375" s="1194">
        <f t="shared" si="85"/>
        <v>1</v>
      </c>
      <c r="AT375" s="1194">
        <f t="shared" si="86"/>
        <v>1</v>
      </c>
      <c r="AU375" s="1194" t="str">
        <f t="shared" si="87"/>
        <v>.</v>
      </c>
      <c r="AV375" s="1194" t="str">
        <f t="shared" si="78"/>
        <v>.</v>
      </c>
      <c r="AW375" s="1194" t="str">
        <f t="shared" si="88"/>
        <v>.</v>
      </c>
      <c r="AX375" s="1194">
        <f>IFERROR(VLOOKUP(B375,'Share, Heavy Weapons to Ukraine'!B:Z,COLUMN('Share, Heavy Weapons to Ukraine'!C385)-1,0),0)</f>
        <v>0</v>
      </c>
      <c r="AY375" s="1194">
        <f>VLOOKUP('Bilateral Assistance, MAIN DATA'!B375,'Country Summary (€)'!B:F,COLUMN('Country Summary (€)'!C386)-1,FALSE)</f>
        <v>1</v>
      </c>
      <c r="AZ375" s="1194" t="str">
        <f>IF(AND(AD375=1,D375="Military",H375&lt;&gt;"Not given")=TRUE,IF(SUMIFS(P:P,A:A,A375)&gt;0,ABS((SUMIFS(P:P,A:A,A375)/VLOOKUP("USD",'Exchange Rates'!B:C,2,0)))/S375,"."),".")</f>
        <v>.</v>
      </c>
      <c r="BA375" s="1196" t="str">
        <f>IF(AND(AD375=1,D375="Military",H375&lt;&gt;"Not given")=TRUE,IF(SUMIFS(P:P,A:A,A375)&gt;0,IF((ABS((SUMIFS(P:P,A:A,A375)/VLOOKUP("USD",'Exchange Rates'!B:C,2,0)))/S375)&gt;1,(SUMIFS(P:P,A:A,A375)-S375)/S375,(S375-SUMIFS(P:P,A:A,A375))/SUMIFS(P:P,A:A,A375)),"."),".")</f>
        <v>.</v>
      </c>
    </row>
    <row r="376" spans="1:53" ht="15.95" customHeight="1">
      <c r="A376" s="1180" t="s">
        <v>1378</v>
      </c>
      <c r="B376" s="1180" t="s">
        <v>1305</v>
      </c>
      <c r="C376" s="1181">
        <v>44983</v>
      </c>
      <c r="D376" s="1182" t="s">
        <v>389</v>
      </c>
      <c r="E376" s="1182" t="s">
        <v>390</v>
      </c>
      <c r="F376" s="1183" t="s">
        <v>1379</v>
      </c>
      <c r="G376" s="1184" t="s">
        <v>483</v>
      </c>
      <c r="H376" s="1185" t="s">
        <v>457</v>
      </c>
      <c r="I376" s="1277" t="s">
        <v>1386</v>
      </c>
      <c r="J376" s="1186" t="str">
        <f>VLOOKUP($I376,'Price List, Weapons &amp; Items'!B:C,2,0)</f>
        <v>Aviation and drones</v>
      </c>
      <c r="K376" s="1186" t="str">
        <f>IF(I376=".",I376,VLOOKUP($I376,'Price List, Weapons &amp; Items'!B:D,3,0))</f>
        <v>Unknown drone</v>
      </c>
      <c r="L376" s="1187">
        <f>VLOOKUP(I376,'Price List, Weapons &amp; Items'!B:E,4,0)</f>
        <v>0</v>
      </c>
      <c r="M376" s="1188" t="s">
        <v>374</v>
      </c>
      <c r="N376" s="1188" t="s">
        <v>374</v>
      </c>
      <c r="O376" s="1188" t="str">
        <f>VLOOKUP($I376,'Price List, Weapons &amp; Items'!B:G,6,0)</f>
        <v>.</v>
      </c>
      <c r="P376" s="1185" t="str">
        <f t="shared" si="79"/>
        <v>.</v>
      </c>
      <c r="Q376" s="1185" t="str">
        <f t="shared" si="80"/>
        <v>.</v>
      </c>
      <c r="R376" s="1185" t="str">
        <f t="shared" si="76"/>
        <v/>
      </c>
      <c r="S376" s="1185" t="str">
        <f>IF(AND(AD376=1,R376&lt;&gt;".")=TRUE,R376/VLOOKUP(G376,'Exchange Rates'!B:C,2,0),IF(R376=".",".",""))</f>
        <v/>
      </c>
      <c r="T376" s="1185" t="str">
        <f>IF(AD376=1,IF(AF376="Value is not given at all",".",IF(AF376="Value is given by the source",S376,IF(AF376="Value is calculated with prices",(IF(SUMIFS(Q:Q,A:A,A376)&gt;0,SUMIFS(Q:Q,A:A,A376),"."))/VLOOKUP("USD",'Exchange Rates'!B:C,2,0),"Error with coding"))),"")</f>
        <v/>
      </c>
      <c r="U376" s="1184" t="s">
        <v>365</v>
      </c>
      <c r="V376" s="1003" t="s">
        <v>1381</v>
      </c>
      <c r="W376" s="1020" t="s">
        <v>1382</v>
      </c>
      <c r="X376" s="1020" t="s">
        <v>1383</v>
      </c>
      <c r="Y376" s="1020" t="s">
        <v>1384</v>
      </c>
      <c r="Z376" s="1184">
        <v>0</v>
      </c>
      <c r="AA376" s="1194">
        <v>1</v>
      </c>
      <c r="AB376" s="1180" t="s">
        <v>364</v>
      </c>
      <c r="AC376" s="1192" t="str">
        <f>""</f>
        <v/>
      </c>
      <c r="AD376" s="1193">
        <v>0</v>
      </c>
      <c r="AE376" s="1193" t="s">
        <v>369</v>
      </c>
      <c r="AF376" s="1193" t="s">
        <v>369</v>
      </c>
      <c r="AG376" s="1193">
        <v>1</v>
      </c>
      <c r="AH376" s="1193">
        <v>14</v>
      </c>
      <c r="AI376" s="1193">
        <v>0</v>
      </c>
      <c r="AJ376" s="1193">
        <f>VLOOKUP($I376,'Price List, Weapons &amp; Items'!B:F,5,0)</f>
        <v>0</v>
      </c>
      <c r="AK376" s="1193">
        <f t="shared" si="81"/>
        <v>0</v>
      </c>
      <c r="AL376" s="1193">
        <f t="shared" si="82"/>
        <v>0</v>
      </c>
      <c r="AM376" s="1193">
        <f t="shared" si="83"/>
        <v>0</v>
      </c>
      <c r="AN376" s="1194" t="str">
        <f>VLOOKUP($I376,'Price List, Weapons &amp; Items'!B:L,COLUMN('Price List, Weapons &amp; Items'!$J$11)-1,0)</f>
        <v>.</v>
      </c>
      <c r="AO376" s="1194" t="str">
        <f>IF(I376=".",".",VLOOKUP($I376,'Price List, Weapons &amp; Items'!B:J,3,0))</f>
        <v>Unknown drone</v>
      </c>
      <c r="AP376" s="1195" t="str">
        <f t="shared" ca="1" si="77"/>
        <v/>
      </c>
      <c r="AQ376" s="1194" t="str">
        <f>VLOOKUP($I376,'Price List, Weapons &amp; Items'!B:L,COLUMN('Price List, Weapons &amp; Items'!$L$11)-1,0)</f>
        <v>no price, 0 count</v>
      </c>
      <c r="AR376" s="1194">
        <f t="shared" si="84"/>
        <v>1</v>
      </c>
      <c r="AS376" s="1194">
        <f t="shared" si="85"/>
        <v>1</v>
      </c>
      <c r="AT376" s="1194">
        <f t="shared" si="86"/>
        <v>1</v>
      </c>
      <c r="AU376" s="1194" t="str">
        <f t="shared" si="87"/>
        <v>.</v>
      </c>
      <c r="AV376" s="1194" t="str">
        <f t="shared" si="78"/>
        <v>.</v>
      </c>
      <c r="AW376" s="1194" t="str">
        <f t="shared" si="88"/>
        <v>.</v>
      </c>
      <c r="AX376" s="1194">
        <f>IFERROR(VLOOKUP(B376,'Share, Heavy Weapons to Ukraine'!B:Z,COLUMN('Share, Heavy Weapons to Ukraine'!C386)-1,0),0)</f>
        <v>0</v>
      </c>
      <c r="AY376" s="1194">
        <f>VLOOKUP('Bilateral Assistance, MAIN DATA'!B376,'Country Summary (€)'!B:F,COLUMN('Country Summary (€)'!C387)-1,FALSE)</f>
        <v>1</v>
      </c>
      <c r="AZ376" s="1194" t="str">
        <f>IF(AND(AD376=1,D376="Military",H376&lt;&gt;"Not given")=TRUE,IF(SUMIFS(P:P,A:A,A376)&gt;0,ABS((SUMIFS(P:P,A:A,A376)/VLOOKUP("USD",'Exchange Rates'!B:C,2,0)))/S376,"."),".")</f>
        <v>.</v>
      </c>
      <c r="BA376" s="1196" t="str">
        <f>IF(AND(AD376=1,D376="Military",H376&lt;&gt;"Not given")=TRUE,IF(SUMIFS(P:P,A:A,A376)&gt;0,IF((ABS((SUMIFS(P:P,A:A,A376)/VLOOKUP("USD",'Exchange Rates'!B:C,2,0)))/S376)&gt;1,(SUMIFS(P:P,A:A,A376)-S376)/S376,(S376-SUMIFS(P:P,A:A,A376))/SUMIFS(P:P,A:A,A376)),"."),".")</f>
        <v>.</v>
      </c>
    </row>
    <row r="377" spans="1:53" ht="15.95" customHeight="1">
      <c r="A377" s="1180" t="s">
        <v>1378</v>
      </c>
      <c r="B377" s="1180" t="s">
        <v>1305</v>
      </c>
      <c r="C377" s="1181">
        <v>44983</v>
      </c>
      <c r="D377" s="1182" t="s">
        <v>389</v>
      </c>
      <c r="E377" s="1182" t="s">
        <v>390</v>
      </c>
      <c r="F377" s="1183" t="s">
        <v>1379</v>
      </c>
      <c r="G377" s="1184" t="s">
        <v>483</v>
      </c>
      <c r="H377" s="1185" t="s">
        <v>457</v>
      </c>
      <c r="I377" s="1183" t="s">
        <v>1387</v>
      </c>
      <c r="J377" s="1186" t="str">
        <f>VLOOKUP($I377,'Price List, Weapons &amp; Items'!B:C,2,0)</f>
        <v>Military equipment</v>
      </c>
      <c r="K377" s="1186" t="str">
        <f>IF(I377=".",I377,VLOOKUP($I377,'Price List, Weapons &amp; Items'!B:D,3,0))</f>
        <v>Military equipment</v>
      </c>
      <c r="L377" s="1187">
        <f>VLOOKUP(I377,'Price List, Weapons &amp; Items'!B:E,4,0)</f>
        <v>0</v>
      </c>
      <c r="M377" s="1188" t="s">
        <v>374</v>
      </c>
      <c r="N377" s="1188" t="s">
        <v>374</v>
      </c>
      <c r="O377" s="1188">
        <f>VLOOKUP($I377,'Price List, Weapons &amp; Items'!B:G,6,0)</f>
        <v>5000</v>
      </c>
      <c r="P377" s="1185" t="str">
        <f t="shared" si="79"/>
        <v>.</v>
      </c>
      <c r="Q377" s="1185" t="str">
        <f t="shared" si="80"/>
        <v>.</v>
      </c>
      <c r="R377" s="1185" t="str">
        <f t="shared" si="76"/>
        <v/>
      </c>
      <c r="S377" s="1185" t="str">
        <f>IF(AND(AD377=1,R377&lt;&gt;".")=TRUE,R377/VLOOKUP(G377,'Exchange Rates'!B:C,2,0),IF(R377=".",".",""))</f>
        <v/>
      </c>
      <c r="T377" s="1185" t="str">
        <f>IF(AD377=1,IF(AF377="Value is not given at all",".",IF(AF377="Value is given by the source",S377,IF(AF377="Value is calculated with prices",(IF(SUMIFS(Q:Q,A:A,A377)&gt;0,SUMIFS(Q:Q,A:A,A377),"."))/VLOOKUP("USD",'Exchange Rates'!B:C,2,0),"Error with coding"))),"")</f>
        <v/>
      </c>
      <c r="U377" s="1184" t="s">
        <v>365</v>
      </c>
      <c r="V377" s="1003" t="s">
        <v>1381</v>
      </c>
      <c r="W377" s="1020" t="s">
        <v>1382</v>
      </c>
      <c r="X377" s="1020" t="s">
        <v>1383</v>
      </c>
      <c r="Y377" s="1020" t="s">
        <v>1384</v>
      </c>
      <c r="Z377" s="1184">
        <v>0</v>
      </c>
      <c r="AA377" s="1194">
        <v>1</v>
      </c>
      <c r="AB377" s="1180" t="s">
        <v>364</v>
      </c>
      <c r="AC377" s="1192" t="str">
        <f>""</f>
        <v/>
      </c>
      <c r="AD377" s="1193">
        <v>0</v>
      </c>
      <c r="AE377" s="1193" t="s">
        <v>369</v>
      </c>
      <c r="AF377" s="1193" t="s">
        <v>369</v>
      </c>
      <c r="AG377" s="1193">
        <v>1</v>
      </c>
      <c r="AH377" s="1193">
        <v>14</v>
      </c>
      <c r="AI377" s="1193">
        <v>0</v>
      </c>
      <c r="AJ377" s="1193">
        <f>VLOOKUP($I377,'Price List, Weapons &amp; Items'!B:F,5,0)</f>
        <v>0</v>
      </c>
      <c r="AK377" s="1193">
        <f t="shared" si="81"/>
        <v>0</v>
      </c>
      <c r="AL377" s="1193">
        <f t="shared" si="82"/>
        <v>0</v>
      </c>
      <c r="AM377" s="1193">
        <f t="shared" si="83"/>
        <v>0</v>
      </c>
      <c r="AN377" s="1194" t="str">
        <f>VLOOKUP($I377,'Price List, Weapons &amp; Items'!B:L,COLUMN('Price List, Weapons &amp; Items'!$J$11)-1,0)</f>
        <v>Miscellaneous</v>
      </c>
      <c r="AO377" s="1194" t="str">
        <f>IF(I377=".",".",VLOOKUP($I377,'Price List, Weapons &amp; Items'!B:J,3,0))</f>
        <v>Military equipment</v>
      </c>
      <c r="AP377" s="1195" t="str">
        <f t="shared" ca="1" si="77"/>
        <v/>
      </c>
      <c r="AQ377" s="1194">
        <f>VLOOKUP($I377,'Price List, Weapons &amp; Items'!B:L,COLUMN('Price List, Weapons &amp; Items'!$L$11)-1,0)</f>
        <v>1</v>
      </c>
      <c r="AR377" s="1194">
        <f t="shared" si="84"/>
        <v>1</v>
      </c>
      <c r="AS377" s="1194">
        <f t="shared" si="85"/>
        <v>1</v>
      </c>
      <c r="AT377" s="1194">
        <f t="shared" si="86"/>
        <v>1</v>
      </c>
      <c r="AU377" s="1194" t="str">
        <f t="shared" si="87"/>
        <v>.</v>
      </c>
      <c r="AV377" s="1194" t="str">
        <f t="shared" si="78"/>
        <v>.</v>
      </c>
      <c r="AW377" s="1194" t="str">
        <f t="shared" si="88"/>
        <v>.</v>
      </c>
      <c r="AX377" s="1194">
        <f>IFERROR(VLOOKUP(B377,'Share, Heavy Weapons to Ukraine'!B:Z,COLUMN('Share, Heavy Weapons to Ukraine'!C387)-1,0),0)</f>
        <v>0</v>
      </c>
      <c r="AY377" s="1194">
        <f>VLOOKUP('Bilateral Assistance, MAIN DATA'!B377,'Country Summary (€)'!B:F,COLUMN('Country Summary (€)'!C388)-1,FALSE)</f>
        <v>1</v>
      </c>
      <c r="AZ377" s="1194" t="str">
        <f>IF(AND(AD377=1,D377="Military",H377&lt;&gt;"Not given")=TRUE,IF(SUMIFS(P:P,A:A,A377)&gt;0,ABS((SUMIFS(P:P,A:A,A377)/VLOOKUP("USD",'Exchange Rates'!B:C,2,0)))/S377,"."),".")</f>
        <v>.</v>
      </c>
      <c r="BA377" s="1196" t="str">
        <f>IF(AND(AD377=1,D377="Military",H377&lt;&gt;"Not given")=TRUE,IF(SUMIFS(P:P,A:A,A377)&gt;0,IF((ABS((SUMIFS(P:P,A:A,A377)/VLOOKUP("USD",'Exchange Rates'!B:C,2,0)))/S377)&gt;1,(SUMIFS(P:P,A:A,A377)-S377)/S377,(S377-SUMIFS(P:P,A:A,A377))/SUMIFS(P:P,A:A,A377)),"."),".")</f>
        <v>.</v>
      </c>
    </row>
    <row r="378" spans="1:53" ht="15.95" customHeight="1">
      <c r="A378" s="1180" t="s">
        <v>1378</v>
      </c>
      <c r="B378" s="1180" t="s">
        <v>1305</v>
      </c>
      <c r="C378" s="1181">
        <v>44983</v>
      </c>
      <c r="D378" s="1182" t="s">
        <v>389</v>
      </c>
      <c r="E378" s="1182" t="s">
        <v>390</v>
      </c>
      <c r="F378" s="1183" t="s">
        <v>1379</v>
      </c>
      <c r="G378" s="1184" t="s">
        <v>483</v>
      </c>
      <c r="H378" s="1185" t="s">
        <v>457</v>
      </c>
      <c r="I378" s="1190" t="s">
        <v>596</v>
      </c>
      <c r="J378" s="1186" t="str">
        <f>VLOOKUP($I378,'Price List, Weapons &amp; Items'!B:C,2,0)</f>
        <v>Military equipment</v>
      </c>
      <c r="K378" s="1186" t="str">
        <f>IF(I378=".",I378,VLOOKUP($I378,'Price List, Weapons &amp; Items'!B:D,3,0))</f>
        <v>Military equipment</v>
      </c>
      <c r="L378" s="1187">
        <f>VLOOKUP(I378,'Price List, Weapons &amp; Items'!B:E,4,0)</f>
        <v>0</v>
      </c>
      <c r="M378" s="1188" t="s">
        <v>374</v>
      </c>
      <c r="N378" s="1188" t="s">
        <v>374</v>
      </c>
      <c r="O378" s="1188">
        <f>VLOOKUP($I378,'Price List, Weapons &amp; Items'!B:G,6,0)</f>
        <v>22216</v>
      </c>
      <c r="P378" s="1185" t="str">
        <f t="shared" si="79"/>
        <v>.</v>
      </c>
      <c r="Q378" s="1185" t="str">
        <f t="shared" si="80"/>
        <v>.</v>
      </c>
      <c r="R378" s="1185" t="str">
        <f t="shared" si="76"/>
        <v/>
      </c>
      <c r="S378" s="1185" t="str">
        <f>IF(AND(AD378=1,R378&lt;&gt;".")=TRUE,R378/VLOOKUP(G378,'Exchange Rates'!B:C,2,0),IF(R378=".",".",""))</f>
        <v/>
      </c>
      <c r="T378" s="1185" t="str">
        <f>IF(AD378=1,IF(AF378="Value is not given at all",".",IF(AF378="Value is given by the source",S378,IF(AF378="Value is calculated with prices",(IF(SUMIFS(Q:Q,A:A,A378)&gt;0,SUMIFS(Q:Q,A:A,A378),"."))/VLOOKUP("USD",'Exchange Rates'!B:C,2,0),"Error with coding"))),"")</f>
        <v/>
      </c>
      <c r="U378" s="1184" t="s">
        <v>365</v>
      </c>
      <c r="V378" s="1003" t="s">
        <v>1381</v>
      </c>
      <c r="W378" s="1020" t="s">
        <v>1382</v>
      </c>
      <c r="X378" s="1020" t="s">
        <v>1383</v>
      </c>
      <c r="Y378" s="1020" t="s">
        <v>1384</v>
      </c>
      <c r="Z378" s="1184">
        <v>0</v>
      </c>
      <c r="AA378" s="1194">
        <v>1</v>
      </c>
      <c r="AB378" s="1180" t="s">
        <v>364</v>
      </c>
      <c r="AC378" s="1192" t="str">
        <f>""</f>
        <v/>
      </c>
      <c r="AD378" s="1193">
        <v>0</v>
      </c>
      <c r="AE378" s="1193" t="s">
        <v>369</v>
      </c>
      <c r="AF378" s="1193" t="s">
        <v>369</v>
      </c>
      <c r="AG378" s="1193">
        <v>1</v>
      </c>
      <c r="AH378" s="1193">
        <v>14</v>
      </c>
      <c r="AI378" s="1193">
        <v>0</v>
      </c>
      <c r="AJ378" s="1193">
        <f>VLOOKUP($I378,'Price List, Weapons &amp; Items'!B:F,5,0)</f>
        <v>0</v>
      </c>
      <c r="AK378" s="1193">
        <f t="shared" si="81"/>
        <v>0</v>
      </c>
      <c r="AL378" s="1193">
        <f t="shared" si="82"/>
        <v>0</v>
      </c>
      <c r="AM378" s="1193">
        <f t="shared" si="83"/>
        <v>0</v>
      </c>
      <c r="AN378" s="1194" t="str">
        <f>VLOOKUP($I378,'Price List, Weapons &amp; Items'!B:L,COLUMN('Price List, Weapons &amp; Items'!$J$11)-1,0)</f>
        <v>Government information</v>
      </c>
      <c r="AO378" s="1194" t="str">
        <f>IF(I378=".",".",VLOOKUP($I378,'Price List, Weapons &amp; Items'!B:J,3,0))</f>
        <v>Military equipment</v>
      </c>
      <c r="AP378" s="1195" t="str">
        <f t="shared" ca="1" si="77"/>
        <v/>
      </c>
      <c r="AQ378" s="1194">
        <f>VLOOKUP($I378,'Price List, Weapons &amp; Items'!B:L,COLUMN('Price List, Weapons &amp; Items'!$L$11)-1,0)</f>
        <v>2</v>
      </c>
      <c r="AR378" s="1194">
        <f t="shared" si="84"/>
        <v>1</v>
      </c>
      <c r="AS378" s="1194">
        <f t="shared" si="85"/>
        <v>1</v>
      </c>
      <c r="AT378" s="1194">
        <f t="shared" si="86"/>
        <v>1</v>
      </c>
      <c r="AU378" s="1194" t="str">
        <f t="shared" si="87"/>
        <v>.</v>
      </c>
      <c r="AV378" s="1194" t="str">
        <f t="shared" si="78"/>
        <v>.</v>
      </c>
      <c r="AW378" s="1194" t="str">
        <f t="shared" si="88"/>
        <v>.</v>
      </c>
      <c r="AX378" s="1194">
        <f>IFERROR(VLOOKUP(B378,'Share, Heavy Weapons to Ukraine'!B:Z,COLUMN('Share, Heavy Weapons to Ukraine'!C388)-1,0),0)</f>
        <v>0</v>
      </c>
      <c r="AY378" s="1194">
        <f>VLOOKUP('Bilateral Assistance, MAIN DATA'!B378,'Country Summary (€)'!B:F,COLUMN('Country Summary (€)'!C389)-1,FALSE)</f>
        <v>1</v>
      </c>
      <c r="AZ378" s="1194" t="str">
        <f>IF(AND(AD378=1,D378="Military",H378&lt;&gt;"Not given")=TRUE,IF(SUMIFS(P:P,A:A,A378)&gt;0,ABS((SUMIFS(P:P,A:A,A378)/VLOOKUP("USD",'Exchange Rates'!B:C,2,0)))/S378,"."),".")</f>
        <v>.</v>
      </c>
      <c r="BA378" s="1196" t="str">
        <f>IF(AND(AD378=1,D378="Military",H378&lt;&gt;"Not given")=TRUE,IF(SUMIFS(P:P,A:A,A378)&gt;0,IF((ABS((SUMIFS(P:P,A:A,A378)/VLOOKUP("USD",'Exchange Rates'!B:C,2,0)))/S378)&gt;1,(SUMIFS(P:P,A:A,A378)-S378)/S378,(S378-SUMIFS(P:P,A:A,A378))/SUMIFS(P:P,A:A,A378)),"."),".")</f>
        <v>.</v>
      </c>
    </row>
    <row r="379" spans="1:53" ht="15.95" customHeight="1">
      <c r="A379" s="1180" t="s">
        <v>1378</v>
      </c>
      <c r="B379" s="1180" t="s">
        <v>1305</v>
      </c>
      <c r="C379" s="1181">
        <v>44983</v>
      </c>
      <c r="D379" s="1182" t="s">
        <v>389</v>
      </c>
      <c r="E379" s="1182" t="s">
        <v>390</v>
      </c>
      <c r="F379" s="1183" t="s">
        <v>1379</v>
      </c>
      <c r="G379" s="1184" t="s">
        <v>483</v>
      </c>
      <c r="H379" s="1185" t="s">
        <v>457</v>
      </c>
      <c r="I379" s="1190" t="s">
        <v>1388</v>
      </c>
      <c r="J379" s="1186" t="str">
        <f>VLOOKUP($I379,'Price List, Weapons &amp; Items'!B:C,2,0)</f>
        <v>Humanitarian</v>
      </c>
      <c r="K379" s="1186" t="str">
        <f>IF(I379=".",I379,VLOOKUP($I379,'Price List, Weapons &amp; Items'!B:D,3,0))</f>
        <v>Humanitarian</v>
      </c>
      <c r="L379" s="1187">
        <f>VLOOKUP(I379,'Price List, Weapons &amp; Items'!B:E,4,0)</f>
        <v>0</v>
      </c>
      <c r="M379" s="1188" t="s">
        <v>374</v>
      </c>
      <c r="N379" s="1188" t="s">
        <v>374</v>
      </c>
      <c r="O379" s="1188" t="str">
        <f>VLOOKUP($I379,'Price List, Weapons &amp; Items'!B:G,6,0)</f>
        <v>.</v>
      </c>
      <c r="P379" s="1185" t="str">
        <f t="shared" si="79"/>
        <v>.</v>
      </c>
      <c r="Q379" s="1185" t="str">
        <f t="shared" si="80"/>
        <v>.</v>
      </c>
      <c r="R379" s="1185" t="str">
        <f t="shared" si="76"/>
        <v/>
      </c>
      <c r="S379" s="1185" t="str">
        <f>IF(AND(AD379=1,R379&lt;&gt;".")=TRUE,R379/VLOOKUP(G379,'Exchange Rates'!B:C,2,0),IF(R379=".",".",""))</f>
        <v/>
      </c>
      <c r="T379" s="1185" t="str">
        <f>IF(AD379=1,IF(AF379="Value is not given at all",".",IF(AF379="Value is given by the source",S379,IF(AF379="Value is calculated with prices",(IF(SUMIFS(Q:Q,A:A,A379)&gt;0,SUMIFS(Q:Q,A:A,A379),"."))/VLOOKUP("USD",'Exchange Rates'!B:C,2,0),"Error with coding"))),"")</f>
        <v/>
      </c>
      <c r="U379" s="1184" t="s">
        <v>365</v>
      </c>
      <c r="V379" s="1003" t="s">
        <v>1381</v>
      </c>
      <c r="W379" s="1020" t="s">
        <v>1382</v>
      </c>
      <c r="X379" s="1020" t="s">
        <v>1383</v>
      </c>
      <c r="Y379" s="1020" t="s">
        <v>1384</v>
      </c>
      <c r="Z379" s="1184">
        <v>0</v>
      </c>
      <c r="AA379" s="1194">
        <v>1</v>
      </c>
      <c r="AB379" s="1180" t="s">
        <v>364</v>
      </c>
      <c r="AC379" s="1192" t="str">
        <f>""</f>
        <v/>
      </c>
      <c r="AD379" s="1193">
        <v>0</v>
      </c>
      <c r="AE379" s="1193" t="s">
        <v>369</v>
      </c>
      <c r="AF379" s="1193" t="s">
        <v>369</v>
      </c>
      <c r="AG379" s="1193">
        <v>1</v>
      </c>
      <c r="AH379" s="1193">
        <v>14</v>
      </c>
      <c r="AI379" s="1193">
        <v>0</v>
      </c>
      <c r="AJ379" s="1193">
        <f>VLOOKUP($I379,'Price List, Weapons &amp; Items'!B:F,5,0)</f>
        <v>0</v>
      </c>
      <c r="AK379" s="1193">
        <f t="shared" si="81"/>
        <v>0</v>
      </c>
      <c r="AL379" s="1193">
        <f t="shared" si="82"/>
        <v>0</v>
      </c>
      <c r="AM379" s="1193">
        <f t="shared" si="83"/>
        <v>0</v>
      </c>
      <c r="AN379" s="1194" t="str">
        <f>VLOOKUP($I379,'Price List, Weapons &amp; Items'!B:L,COLUMN('Price List, Weapons &amp; Items'!$J$11)-1,0)</f>
        <v>.</v>
      </c>
      <c r="AO379" s="1194" t="str">
        <f>IF(I379=".",".",VLOOKUP($I379,'Price List, Weapons &amp; Items'!B:J,3,0))</f>
        <v>Humanitarian</v>
      </c>
      <c r="AP379" s="1195" t="str">
        <f t="shared" ca="1" si="77"/>
        <v/>
      </c>
      <c r="AQ379" s="1194">
        <f>VLOOKUP($I379,'Price List, Weapons &amp; Items'!B:L,COLUMN('Price List, Weapons &amp; Items'!$L$11)-1,0)</f>
        <v>0</v>
      </c>
      <c r="AR379" s="1194">
        <f t="shared" si="84"/>
        <v>1</v>
      </c>
      <c r="AS379" s="1194">
        <f t="shared" si="85"/>
        <v>1</v>
      </c>
      <c r="AT379" s="1194">
        <f t="shared" si="86"/>
        <v>1</v>
      </c>
      <c r="AU379" s="1194" t="str">
        <f t="shared" si="87"/>
        <v>.</v>
      </c>
      <c r="AV379" s="1194" t="str">
        <f t="shared" si="78"/>
        <v>.</v>
      </c>
      <c r="AW379" s="1194" t="str">
        <f t="shared" si="88"/>
        <v>.</v>
      </c>
      <c r="AX379" s="1194">
        <f>IFERROR(VLOOKUP(B379,'Share, Heavy Weapons to Ukraine'!B:Z,COLUMN('Share, Heavy Weapons to Ukraine'!C389)-1,0),0)</f>
        <v>0</v>
      </c>
      <c r="AY379" s="1194">
        <f>VLOOKUP('Bilateral Assistance, MAIN DATA'!B379,'Country Summary (€)'!B:F,COLUMN('Country Summary (€)'!C390)-1,FALSE)</f>
        <v>1</v>
      </c>
      <c r="AZ379" s="1194" t="str">
        <f>IF(AND(AD379=1,D379="Military",H379&lt;&gt;"Not given")=TRUE,IF(SUMIFS(P:P,A:A,A379)&gt;0,ABS((SUMIFS(P:P,A:A,A379)/VLOOKUP("USD",'Exchange Rates'!B:C,2,0)))/S379,"."),".")</f>
        <v>.</v>
      </c>
      <c r="BA379" s="1196" t="str">
        <f>IF(AND(AD379=1,D379="Military",H379&lt;&gt;"Not given")=TRUE,IF(SUMIFS(P:P,A:A,A379)&gt;0,IF((ABS((SUMIFS(P:P,A:A,A379)/VLOOKUP("USD",'Exchange Rates'!B:C,2,0)))/S379)&gt;1,(SUMIFS(P:P,A:A,A379)-S379)/S379,(S379-SUMIFS(P:P,A:A,A379))/SUMIFS(P:P,A:A,A379)),"."),".")</f>
        <v>.</v>
      </c>
    </row>
    <row r="380" spans="1:53" ht="15.95" customHeight="1">
      <c r="A380" s="1180" t="s">
        <v>1389</v>
      </c>
      <c r="B380" s="1180" t="s">
        <v>1305</v>
      </c>
      <c r="C380" s="1181">
        <v>45001</v>
      </c>
      <c r="D380" s="1182" t="s">
        <v>389</v>
      </c>
      <c r="E380" s="1182" t="s">
        <v>390</v>
      </c>
      <c r="F380" s="1183" t="s">
        <v>1390</v>
      </c>
      <c r="G380" s="1184" t="s">
        <v>483</v>
      </c>
      <c r="H380" s="1185">
        <v>494300</v>
      </c>
      <c r="I380" s="1190" t="s">
        <v>1391</v>
      </c>
      <c r="J380" s="1186" t="str">
        <f>VLOOKUP($I380,'Price List, Weapons &amp; Items'!B:C,2,0)</f>
        <v>Light armaments &amp; infantry</v>
      </c>
      <c r="K380" s="1186" t="str">
        <f>IF(I380=".",I380,VLOOKUP($I380,'Price List, Weapons &amp; Items'!B:D,3,0))</f>
        <v>Small Arms and Light Weapons (SALW)</v>
      </c>
      <c r="L380" s="1187">
        <f>VLOOKUP(I380,'Price List, Weapons &amp; Items'!B:E,4,0)</f>
        <v>0</v>
      </c>
      <c r="M380" s="1188" t="s">
        <v>374</v>
      </c>
      <c r="N380" s="1188" t="s">
        <v>374</v>
      </c>
      <c r="O380" s="1188">
        <f>VLOOKUP($I380,'Price List, Weapons &amp; Items'!B:G,6,0)</f>
        <v>800</v>
      </c>
      <c r="P380" s="1185" t="str">
        <f t="shared" si="79"/>
        <v>.</v>
      </c>
      <c r="Q380" s="1185" t="str">
        <f t="shared" si="80"/>
        <v>.</v>
      </c>
      <c r="R380" s="1185">
        <f t="shared" si="76"/>
        <v>494300</v>
      </c>
      <c r="S380" s="1185">
        <f>IF(AND(AD380=1,R380&lt;&gt;".")=TRUE,R380/VLOOKUP(G380,'Exchange Rates'!B:C,2,0),IF(R380=".",".",""))</f>
        <v>494300</v>
      </c>
      <c r="T380" s="1185" t="str">
        <f>IF(AD380=1,IF(AF380="Value is not given at all",".",IF(AF380="Value is given by the source",S380,IF(AF380="Value is calculated with prices",(IF(SUMIFS(Q:Q,A:A,A380)&gt;0,SUMIFS(Q:Q,A:A,A380),"."))/VLOOKUP("USD",'Exchange Rates'!B:C,2,0),"Error with coding"))),"")</f>
        <v>.</v>
      </c>
      <c r="U380" s="1184" t="s">
        <v>365</v>
      </c>
      <c r="V380" s="1003" t="s">
        <v>1392</v>
      </c>
      <c r="W380" s="1020" t="s">
        <v>1393</v>
      </c>
      <c r="X380" s="1020" t="s">
        <v>1394</v>
      </c>
      <c r="Y380" s="1019" t="s">
        <v>364</v>
      </c>
      <c r="Z380" s="1184">
        <v>0</v>
      </c>
      <c r="AA380" s="1194">
        <v>1</v>
      </c>
      <c r="AB380" s="1180" t="s">
        <v>364</v>
      </c>
      <c r="AC380" s="1192" t="str">
        <f>""</f>
        <v/>
      </c>
      <c r="AD380" s="1193">
        <v>1</v>
      </c>
      <c r="AE380" s="1193" t="s">
        <v>368</v>
      </c>
      <c r="AF380" s="1193" t="s">
        <v>369</v>
      </c>
      <c r="AG380" s="1193">
        <v>1</v>
      </c>
      <c r="AH380" s="1193">
        <v>15</v>
      </c>
      <c r="AI380" s="1193">
        <v>0</v>
      </c>
      <c r="AJ380" s="1193">
        <f>VLOOKUP($I380,'Price List, Weapons &amp; Items'!B:F,5,0)</f>
        <v>0</v>
      </c>
      <c r="AK380" s="1193">
        <f t="shared" si="81"/>
        <v>0</v>
      </c>
      <c r="AL380" s="1193">
        <f t="shared" si="82"/>
        <v>0</v>
      </c>
      <c r="AM380" s="1193">
        <f t="shared" si="83"/>
        <v>0</v>
      </c>
      <c r="AN380" s="1194" t="str">
        <f>VLOOKUP($I380,'Price List, Weapons &amp; Items'!B:L,COLUMN('Price List, Weapons &amp; Items'!$J$11)-1,0)</f>
        <v>Military media (incl. websites)</v>
      </c>
      <c r="AO380" s="1194" t="str">
        <f>IF(I380=".",".",VLOOKUP($I380,'Price List, Weapons &amp; Items'!B:J,3,0))</f>
        <v>Small Arms and Light Weapons (SALW)</v>
      </c>
      <c r="AP380" s="1195" t="str">
        <f t="shared" ca="1" si="77"/>
        <v>Rifle</v>
      </c>
      <c r="AQ380" s="1194" t="str">
        <f>VLOOKUP($I380,'Price List, Weapons &amp; Items'!B:L,COLUMN('Price List, Weapons &amp; Items'!$L$11)-1,0)</f>
        <v>no price, 0 count</v>
      </c>
      <c r="AR380" s="1194">
        <f t="shared" si="84"/>
        <v>1</v>
      </c>
      <c r="AS380" s="1194">
        <f t="shared" si="85"/>
        <v>1</v>
      </c>
      <c r="AT380" s="1194">
        <f t="shared" si="86"/>
        <v>1</v>
      </c>
      <c r="AU380" s="1194" t="str">
        <f t="shared" si="87"/>
        <v>.</v>
      </c>
      <c r="AV380" s="1194" t="str">
        <f t="shared" si="78"/>
        <v>.</v>
      </c>
      <c r="AW380" s="1194" t="str">
        <f t="shared" si="88"/>
        <v>.</v>
      </c>
      <c r="AX380" s="1194">
        <f>IFERROR(VLOOKUP(B380,'Share, Heavy Weapons to Ukraine'!B:Z,COLUMN('Share, Heavy Weapons to Ukraine'!C390)-1,0),0)</f>
        <v>0</v>
      </c>
      <c r="AY380" s="1194">
        <f>VLOOKUP('Bilateral Assistance, MAIN DATA'!B380,'Country Summary (€)'!B:F,COLUMN('Country Summary (€)'!C391)-1,FALSE)</f>
        <v>1</v>
      </c>
      <c r="AZ380" s="1194" t="str">
        <f>IF(AND(AD380=1,D380="Military",H380&lt;&gt;"Not given")=TRUE,IF(SUMIFS(P:P,A:A,A380)&gt;0,ABS((SUMIFS(P:P,A:A,A380)/VLOOKUP("USD",'Exchange Rates'!B:C,2,0)))/S380,"."),".")</f>
        <v>.</v>
      </c>
      <c r="BA380" s="1196" t="str">
        <f>IF(AND(AD380=1,D380="Military",H380&lt;&gt;"Not given")=TRUE,IF(SUMIFS(P:P,A:A,A380)&gt;0,IF((ABS((SUMIFS(P:P,A:A,A380)/VLOOKUP("USD",'Exchange Rates'!B:C,2,0)))/S380)&gt;1,(SUMIFS(P:P,A:A,A380)-S380)/S380,(S380-SUMIFS(P:P,A:A,A380))/SUMIFS(P:P,A:A,A380)),"."),".")</f>
        <v>.</v>
      </c>
    </row>
    <row r="381" spans="1:53" ht="15.95" customHeight="1">
      <c r="A381" s="1180" t="s">
        <v>1389</v>
      </c>
      <c r="B381" s="1180" t="s">
        <v>1305</v>
      </c>
      <c r="C381" s="1181">
        <v>45001</v>
      </c>
      <c r="D381" s="1182" t="s">
        <v>389</v>
      </c>
      <c r="E381" s="1182" t="s">
        <v>390</v>
      </c>
      <c r="F381" s="1183" t="s">
        <v>1390</v>
      </c>
      <c r="G381" s="1184" t="s">
        <v>483</v>
      </c>
      <c r="H381" s="1185">
        <v>494300</v>
      </c>
      <c r="I381" s="1190" t="s">
        <v>1395</v>
      </c>
      <c r="J381" s="1186" t="str">
        <f>VLOOKUP($I381,'Price List, Weapons &amp; Items'!B:C,2,0)</f>
        <v>Light armaments &amp; infantry</v>
      </c>
      <c r="K381" s="1186" t="str">
        <f>IF(I381=".",I381,VLOOKUP($I381,'Price List, Weapons &amp; Items'!B:D,3,0))</f>
        <v>Small Arms and Light Weapons (SALW)</v>
      </c>
      <c r="L381" s="1187">
        <f>VLOOKUP(I381,'Price List, Weapons &amp; Items'!B:E,4,0)</f>
        <v>0</v>
      </c>
      <c r="M381" s="1188" t="s">
        <v>374</v>
      </c>
      <c r="N381" s="1188" t="s">
        <v>374</v>
      </c>
      <c r="O381" s="1188">
        <f>VLOOKUP($I381,'Price List, Weapons &amp; Items'!B:G,6,0)</f>
        <v>6500</v>
      </c>
      <c r="P381" s="1185" t="str">
        <f t="shared" si="79"/>
        <v>.</v>
      </c>
      <c r="Q381" s="1185" t="str">
        <f t="shared" si="80"/>
        <v>.</v>
      </c>
      <c r="R381" s="1185" t="str">
        <f t="shared" si="76"/>
        <v/>
      </c>
      <c r="S381" s="1185" t="str">
        <f>IF(AND(AD381=1,R381&lt;&gt;".")=TRUE,R381/VLOOKUP(G381,'Exchange Rates'!B:C,2,0),IF(R381=".",".",""))</f>
        <v/>
      </c>
      <c r="T381" s="1185" t="str">
        <f>IF(AD381=1,IF(AF381="Value is not given at all",".",IF(AF381="Value is given by the source",S381,IF(AF381="Value is calculated with prices",(IF(SUMIFS(Q:Q,A:A,A381)&gt;0,SUMIFS(Q:Q,A:A,A381),"."))/VLOOKUP("USD",'Exchange Rates'!B:C,2,0),"Error with coding"))),"")</f>
        <v/>
      </c>
      <c r="U381" s="1184" t="s">
        <v>365</v>
      </c>
      <c r="V381" s="1003" t="s">
        <v>1392</v>
      </c>
      <c r="W381" s="1020" t="s">
        <v>1393</v>
      </c>
      <c r="X381" s="1020" t="s">
        <v>1394</v>
      </c>
      <c r="Y381" s="1019" t="s">
        <v>364</v>
      </c>
      <c r="Z381" s="1184">
        <v>0</v>
      </c>
      <c r="AA381" s="1194">
        <v>1</v>
      </c>
      <c r="AB381" s="1180" t="s">
        <v>364</v>
      </c>
      <c r="AC381" s="1192" t="str">
        <f>""</f>
        <v/>
      </c>
      <c r="AD381" s="1193">
        <v>0</v>
      </c>
      <c r="AE381" s="1193" t="s">
        <v>368</v>
      </c>
      <c r="AF381" s="1193" t="s">
        <v>369</v>
      </c>
      <c r="AG381" s="1193">
        <v>1</v>
      </c>
      <c r="AH381" s="1193">
        <v>15</v>
      </c>
      <c r="AI381" s="1193">
        <v>0</v>
      </c>
      <c r="AJ381" s="1193">
        <f>VLOOKUP($I381,'Price List, Weapons &amp; Items'!B:F,5,0)</f>
        <v>0</v>
      </c>
      <c r="AK381" s="1193">
        <f t="shared" si="81"/>
        <v>0</v>
      </c>
      <c r="AL381" s="1193">
        <f t="shared" si="82"/>
        <v>0</v>
      </c>
      <c r="AM381" s="1193">
        <f t="shared" si="83"/>
        <v>0</v>
      </c>
      <c r="AN381" s="1194" t="str">
        <f>VLOOKUP($I381,'Price List, Weapons &amp; Items'!B:L,COLUMN('Price List, Weapons &amp; Items'!$J$11)-1,0)</f>
        <v>Online marketplaces and stores</v>
      </c>
      <c r="AO381" s="1194" t="str">
        <f>IF(I381=".",".",VLOOKUP($I381,'Price List, Weapons &amp; Items'!B:J,3,0))</f>
        <v>Small Arms and Light Weapons (SALW)</v>
      </c>
      <c r="AP381" s="1195" t="str">
        <f t="shared" ca="1" si="77"/>
        <v/>
      </c>
      <c r="AQ381" s="1194" t="str">
        <f>VLOOKUP($I381,'Price List, Weapons &amp; Items'!B:L,COLUMN('Price List, Weapons &amp; Items'!$L$11)-1,0)</f>
        <v>no price, 0 count</v>
      </c>
      <c r="AR381" s="1194">
        <f t="shared" si="84"/>
        <v>1</v>
      </c>
      <c r="AS381" s="1194">
        <f t="shared" si="85"/>
        <v>1</v>
      </c>
      <c r="AT381" s="1194">
        <f t="shared" si="86"/>
        <v>1</v>
      </c>
      <c r="AU381" s="1194" t="str">
        <f t="shared" si="87"/>
        <v>.</v>
      </c>
      <c r="AV381" s="1194" t="str">
        <f t="shared" si="78"/>
        <v>.</v>
      </c>
      <c r="AW381" s="1194" t="str">
        <f t="shared" si="88"/>
        <v>.</v>
      </c>
      <c r="AX381" s="1194">
        <f>IFERROR(VLOOKUP(B381,'Share, Heavy Weapons to Ukraine'!B:Z,COLUMN('Share, Heavy Weapons to Ukraine'!C391)-1,0),0)</f>
        <v>0</v>
      </c>
      <c r="AY381" s="1194">
        <f>VLOOKUP('Bilateral Assistance, MAIN DATA'!B381,'Country Summary (€)'!B:F,COLUMN('Country Summary (€)'!C392)-1,FALSE)</f>
        <v>1</v>
      </c>
      <c r="AZ381" s="1194" t="str">
        <f>IF(AND(AD381=1,D381="Military",H381&lt;&gt;"Not given")=TRUE,IF(SUMIFS(P:P,A:A,A381)&gt;0,ABS((SUMIFS(P:P,A:A,A381)/VLOOKUP("USD",'Exchange Rates'!B:C,2,0)))/S381,"."),".")</f>
        <v>.</v>
      </c>
      <c r="BA381" s="1196" t="str">
        <f>IF(AND(AD381=1,D381="Military",H381&lt;&gt;"Not given")=TRUE,IF(SUMIFS(P:P,A:A,A381)&gt;0,IF((ABS((SUMIFS(P:P,A:A,A381)/VLOOKUP("USD",'Exchange Rates'!B:C,2,0)))/S381)&gt;1,(SUMIFS(P:P,A:A,A381)-S381)/S381,(S381-SUMIFS(P:P,A:A,A381))/SUMIFS(P:P,A:A,A381)),"."),".")</f>
        <v>.</v>
      </c>
    </row>
    <row r="382" spans="1:53" ht="15.95" customHeight="1">
      <c r="A382" s="1180" t="s">
        <v>1389</v>
      </c>
      <c r="B382" s="1180" t="s">
        <v>1305</v>
      </c>
      <c r="C382" s="1181">
        <v>45001</v>
      </c>
      <c r="D382" s="1182" t="s">
        <v>389</v>
      </c>
      <c r="E382" s="1182" t="s">
        <v>390</v>
      </c>
      <c r="F382" s="1183" t="s">
        <v>1390</v>
      </c>
      <c r="G382" s="1184" t="s">
        <v>483</v>
      </c>
      <c r="H382" s="1185">
        <v>494300</v>
      </c>
      <c r="I382" s="1183" t="s">
        <v>1396</v>
      </c>
      <c r="J382" s="1186" t="str">
        <f>VLOOKUP($I382,'Price List, Weapons &amp; Items'!B:C,2,0)</f>
        <v>Military equipment</v>
      </c>
      <c r="K382" s="1186" t="str">
        <f>IF(I382=".",I382,VLOOKUP($I382,'Price List, Weapons &amp; Items'!B:D,3,0))</f>
        <v>Military equipment</v>
      </c>
      <c r="L382" s="1187">
        <f>VLOOKUP(I382,'Price List, Weapons &amp; Items'!B:E,4,0)</f>
        <v>0</v>
      </c>
      <c r="M382" s="1188" t="s">
        <v>374</v>
      </c>
      <c r="N382" s="1188" t="s">
        <v>374</v>
      </c>
      <c r="O382" s="1188">
        <f>VLOOKUP($I382,'Price List, Weapons &amp; Items'!B:G,6,0)</f>
        <v>45</v>
      </c>
      <c r="P382" s="1185" t="str">
        <f t="shared" si="79"/>
        <v>.</v>
      </c>
      <c r="Q382" s="1185" t="str">
        <f t="shared" si="80"/>
        <v>.</v>
      </c>
      <c r="R382" s="1185" t="str">
        <f t="shared" si="76"/>
        <v/>
      </c>
      <c r="S382" s="1185" t="str">
        <f>IF(AND(AD382=1,R382&lt;&gt;".")=TRUE,R382/VLOOKUP(G382,'Exchange Rates'!B:C,2,0),IF(R382=".",".",""))</f>
        <v/>
      </c>
      <c r="T382" s="1185" t="str">
        <f>IF(AD382=1,IF(AF382="Value is not given at all",".",IF(AF382="Value is given by the source",S382,IF(AF382="Value is calculated with prices",(IF(SUMIFS(Q:Q,A:A,A382)&gt;0,SUMIFS(Q:Q,A:A,A382),"."))/VLOOKUP("USD",'Exchange Rates'!B:C,2,0),"Error with coding"))),"")</f>
        <v/>
      </c>
      <c r="U382" s="1184" t="s">
        <v>365</v>
      </c>
      <c r="V382" s="1003" t="s">
        <v>1392</v>
      </c>
      <c r="W382" s="1020" t="s">
        <v>1393</v>
      </c>
      <c r="X382" s="1020" t="s">
        <v>1394</v>
      </c>
      <c r="Y382" s="1019" t="s">
        <v>364</v>
      </c>
      <c r="Z382" s="1184">
        <v>0</v>
      </c>
      <c r="AA382" s="1194">
        <v>1</v>
      </c>
      <c r="AB382" s="1180" t="s">
        <v>364</v>
      </c>
      <c r="AC382" s="1192" t="str">
        <f>""</f>
        <v/>
      </c>
      <c r="AD382" s="1193">
        <v>0</v>
      </c>
      <c r="AE382" s="1193" t="s">
        <v>368</v>
      </c>
      <c r="AF382" s="1193" t="s">
        <v>369</v>
      </c>
      <c r="AG382" s="1193">
        <v>1</v>
      </c>
      <c r="AH382" s="1193">
        <v>15</v>
      </c>
      <c r="AI382" s="1193">
        <v>0</v>
      </c>
      <c r="AJ382" s="1193">
        <f>VLOOKUP($I382,'Price List, Weapons &amp; Items'!B:F,5,0)</f>
        <v>0</v>
      </c>
      <c r="AK382" s="1193">
        <f t="shared" si="81"/>
        <v>0</v>
      </c>
      <c r="AL382" s="1193">
        <f t="shared" si="82"/>
        <v>0</v>
      </c>
      <c r="AM382" s="1193">
        <f t="shared" si="83"/>
        <v>0</v>
      </c>
      <c r="AN382" s="1194" t="str">
        <f>VLOOKUP($I382,'Price List, Weapons &amp; Items'!B:L,COLUMN('Price List, Weapons &amp; Items'!$J$11)-1,0)</f>
        <v>Online marketplaces and stores</v>
      </c>
      <c r="AO382" s="1194" t="str">
        <f>IF(I382=".",".",VLOOKUP($I382,'Price List, Weapons &amp; Items'!B:J,3,0))</f>
        <v>Military equipment</v>
      </c>
      <c r="AP382" s="1195" t="str">
        <f t="shared" ca="1" si="77"/>
        <v/>
      </c>
      <c r="AQ382" s="1194">
        <f>VLOOKUP($I382,'Price List, Weapons &amp; Items'!B:L,COLUMN('Price List, Weapons &amp; Items'!$L$11)-1,0)</f>
        <v>1</v>
      </c>
      <c r="AR382" s="1194">
        <f t="shared" si="84"/>
        <v>1</v>
      </c>
      <c r="AS382" s="1194">
        <f t="shared" si="85"/>
        <v>1</v>
      </c>
      <c r="AT382" s="1194">
        <f t="shared" si="86"/>
        <v>1</v>
      </c>
      <c r="AU382" s="1194" t="str">
        <f t="shared" si="87"/>
        <v>.</v>
      </c>
      <c r="AV382" s="1194" t="str">
        <f t="shared" si="78"/>
        <v>.</v>
      </c>
      <c r="AW382" s="1194" t="str">
        <f t="shared" si="88"/>
        <v>.</v>
      </c>
      <c r="AX382" s="1194">
        <f>IFERROR(VLOOKUP(B382,'Share, Heavy Weapons to Ukraine'!B:Z,COLUMN('Share, Heavy Weapons to Ukraine'!C392)-1,0),0)</f>
        <v>0</v>
      </c>
      <c r="AY382" s="1194">
        <f>VLOOKUP('Bilateral Assistance, MAIN DATA'!B382,'Country Summary (€)'!B:F,COLUMN('Country Summary (€)'!C393)-1,FALSE)</f>
        <v>1</v>
      </c>
      <c r="AZ382" s="1194" t="str">
        <f>IF(AND(AD382=1,D382="Military",H382&lt;&gt;"Not given")=TRUE,IF(SUMIFS(P:P,A:A,A382)&gt;0,ABS((SUMIFS(P:P,A:A,A382)/VLOOKUP("USD",'Exchange Rates'!B:C,2,0)))/S382,"."),".")</f>
        <v>.</v>
      </c>
      <c r="BA382" s="1196" t="str">
        <f>IF(AND(AD382=1,D382="Military",H382&lt;&gt;"Not given")=TRUE,IF(SUMIFS(P:P,A:A,A382)&gt;0,IF((ABS((SUMIFS(P:P,A:A,A382)/VLOOKUP("USD",'Exchange Rates'!B:C,2,0)))/S382)&gt;1,(SUMIFS(P:P,A:A,A382)-S382)/S382,(S382-SUMIFS(P:P,A:A,A382))/SUMIFS(P:P,A:A,A382)),"."),".")</f>
        <v>.</v>
      </c>
    </row>
    <row r="383" spans="1:53" ht="15.95" customHeight="1">
      <c r="A383" s="1180" t="s">
        <v>1389</v>
      </c>
      <c r="B383" s="1180" t="s">
        <v>1305</v>
      </c>
      <c r="C383" s="1181">
        <v>45001</v>
      </c>
      <c r="D383" s="1182" t="s">
        <v>389</v>
      </c>
      <c r="E383" s="1182" t="s">
        <v>390</v>
      </c>
      <c r="F383" s="1183" t="s">
        <v>1390</v>
      </c>
      <c r="G383" s="1184" t="s">
        <v>483</v>
      </c>
      <c r="H383" s="1185">
        <v>494300</v>
      </c>
      <c r="I383" s="1208" t="s">
        <v>1288</v>
      </c>
      <c r="J383" s="1186" t="str">
        <f>VLOOKUP($I383,'Price List, Weapons &amp; Items'!B:C,2,0)</f>
        <v>Ammunition for light infantry</v>
      </c>
      <c r="K383" s="1186" t="str">
        <f>IF(I383=".",I383,VLOOKUP($I383,'Price List, Weapons &amp; Items'!B:D,3,0))</f>
        <v>Small Arms and Light Weapons (SALW) ammunition</v>
      </c>
      <c r="L383" s="1187">
        <f>VLOOKUP(I383,'Price List, Weapons &amp; Items'!B:E,4,0)</f>
        <v>0</v>
      </c>
      <c r="M383" s="1188" t="s">
        <v>374</v>
      </c>
      <c r="N383" s="1188" t="s">
        <v>374</v>
      </c>
      <c r="O383" s="1188">
        <f>VLOOKUP($I383,'Price List, Weapons &amp; Items'!B:G,6,0)</f>
        <v>0.47</v>
      </c>
      <c r="P383" s="1185" t="str">
        <f t="shared" si="79"/>
        <v>.</v>
      </c>
      <c r="Q383" s="1185" t="str">
        <f t="shared" si="80"/>
        <v>.</v>
      </c>
      <c r="R383" s="1185" t="str">
        <f t="shared" si="76"/>
        <v/>
      </c>
      <c r="S383" s="1185" t="str">
        <f>IF(AND(AD383=1,R383&lt;&gt;".")=TRUE,R383/VLOOKUP(G383,'Exchange Rates'!B:C,2,0),IF(R383=".",".",""))</f>
        <v/>
      </c>
      <c r="T383" s="1185" t="str">
        <f>IF(AD383=1,IF(AF383="Value is not given at all",".",IF(AF383="Value is given by the source",S383,IF(AF383="Value is calculated with prices",(IF(SUMIFS(Q:Q,A:A,A383)&gt;0,SUMIFS(Q:Q,A:A,A383),"."))/VLOOKUP("USD",'Exchange Rates'!B:C,2,0),"Error with coding"))),"")</f>
        <v/>
      </c>
      <c r="U383" s="1184" t="s">
        <v>365</v>
      </c>
      <c r="V383" s="1003" t="s">
        <v>1392</v>
      </c>
      <c r="W383" s="1020" t="s">
        <v>1393</v>
      </c>
      <c r="X383" s="1020" t="s">
        <v>1394</v>
      </c>
      <c r="Y383" s="1019" t="s">
        <v>364</v>
      </c>
      <c r="Z383" s="1184">
        <v>0</v>
      </c>
      <c r="AA383" s="1194">
        <v>1</v>
      </c>
      <c r="AB383" s="1180" t="s">
        <v>364</v>
      </c>
      <c r="AC383" s="1192" t="str">
        <f>""</f>
        <v/>
      </c>
      <c r="AD383" s="1193">
        <v>0</v>
      </c>
      <c r="AE383" s="1193" t="s">
        <v>368</v>
      </c>
      <c r="AF383" s="1193" t="s">
        <v>369</v>
      </c>
      <c r="AG383" s="1193">
        <v>1</v>
      </c>
      <c r="AH383" s="1193">
        <v>15</v>
      </c>
      <c r="AI383" s="1193">
        <v>0</v>
      </c>
      <c r="AJ383" s="1193">
        <f>VLOOKUP($I383,'Price List, Weapons &amp; Items'!B:F,5,0)</f>
        <v>0</v>
      </c>
      <c r="AK383" s="1193">
        <f t="shared" si="81"/>
        <v>0</v>
      </c>
      <c r="AL383" s="1193">
        <f t="shared" si="82"/>
        <v>0</v>
      </c>
      <c r="AM383" s="1193">
        <f t="shared" si="83"/>
        <v>1</v>
      </c>
      <c r="AN383" s="1194" t="str">
        <f>VLOOKUP($I383,'Price List, Weapons &amp; Items'!B:L,COLUMN('Price List, Weapons &amp; Items'!$J$11)-1,0)</f>
        <v>Miscellaneous</v>
      </c>
      <c r="AO383" s="1194" t="str">
        <f>IF(I383=".",".",VLOOKUP($I383,'Price List, Weapons &amp; Items'!B:J,3,0))</f>
        <v>Small Arms and Light Weapons (SALW) ammunition</v>
      </c>
      <c r="AP383" s="1195" t="str">
        <f t="shared" ca="1" si="77"/>
        <v/>
      </c>
      <c r="AQ383" s="1194">
        <f>VLOOKUP($I383,'Price List, Weapons &amp; Items'!B:L,COLUMN('Price List, Weapons &amp; Items'!$L$11)-1,0)</f>
        <v>2</v>
      </c>
      <c r="AR383" s="1194">
        <f t="shared" si="84"/>
        <v>1</v>
      </c>
      <c r="AS383" s="1194">
        <f t="shared" si="85"/>
        <v>1</v>
      </c>
      <c r="AT383" s="1194">
        <f t="shared" si="86"/>
        <v>1</v>
      </c>
      <c r="AU383" s="1194" t="str">
        <f t="shared" si="87"/>
        <v>.</v>
      </c>
      <c r="AV383" s="1194" t="str">
        <f t="shared" si="78"/>
        <v>.</v>
      </c>
      <c r="AW383" s="1194" t="str">
        <f t="shared" si="88"/>
        <v>.</v>
      </c>
      <c r="AX383" s="1194">
        <f>IFERROR(VLOOKUP(B383,'Share, Heavy Weapons to Ukraine'!B:Z,COLUMN('Share, Heavy Weapons to Ukraine'!C393)-1,0),0)</f>
        <v>0</v>
      </c>
      <c r="AY383" s="1194">
        <f>VLOOKUP('Bilateral Assistance, MAIN DATA'!B383,'Country Summary (€)'!B:F,COLUMN('Country Summary (€)'!C394)-1,FALSE)</f>
        <v>1</v>
      </c>
      <c r="AZ383" s="1194" t="str">
        <f>IF(AND(AD383=1,D383="Military",H383&lt;&gt;"Not given")=TRUE,IF(SUMIFS(P:P,A:A,A383)&gt;0,ABS((SUMIFS(P:P,A:A,A383)/VLOOKUP("USD",'Exchange Rates'!B:C,2,0)))/S383,"."),".")</f>
        <v>.</v>
      </c>
      <c r="BA383" s="1196" t="str">
        <f>IF(AND(AD383=1,D383="Military",H383&lt;&gt;"Not given")=TRUE,IF(SUMIFS(P:P,A:A,A383)&gt;0,IF((ABS((SUMIFS(P:P,A:A,A383)/VLOOKUP("USD",'Exchange Rates'!B:C,2,0)))/S383)&gt;1,(SUMIFS(P:P,A:A,A383)-S383)/S383,(S383-SUMIFS(P:P,A:A,A383))/SUMIFS(P:P,A:A,A383)),"."),".")</f>
        <v>.</v>
      </c>
    </row>
    <row r="384" spans="1:53" ht="15.95" customHeight="1">
      <c r="A384" s="1180" t="s">
        <v>1389</v>
      </c>
      <c r="B384" s="1180" t="s">
        <v>1305</v>
      </c>
      <c r="C384" s="1181">
        <v>45001</v>
      </c>
      <c r="D384" s="1182" t="s">
        <v>389</v>
      </c>
      <c r="E384" s="1182" t="s">
        <v>390</v>
      </c>
      <c r="F384" s="1183" t="s">
        <v>1390</v>
      </c>
      <c r="G384" s="1184" t="s">
        <v>483</v>
      </c>
      <c r="H384" s="1185">
        <v>494300</v>
      </c>
      <c r="I384" s="1190" t="s">
        <v>1397</v>
      </c>
      <c r="J384" s="1186" t="str">
        <f>VLOOKUP($I384,'Price List, Weapons &amp; Items'!B:C,2,0)</f>
        <v>Military equipment</v>
      </c>
      <c r="K384" s="1186" t="str">
        <f>IF(I384=".",I384,VLOOKUP($I384,'Price List, Weapons &amp; Items'!B:D,3,0))</f>
        <v>Military equipment</v>
      </c>
      <c r="L384" s="1187">
        <f>VLOOKUP(I384,'Price List, Weapons &amp; Items'!B:E,4,0)</f>
        <v>0</v>
      </c>
      <c r="M384" s="1188" t="s">
        <v>374</v>
      </c>
      <c r="N384" s="1188" t="s">
        <v>374</v>
      </c>
      <c r="O384" s="1188" t="str">
        <f>VLOOKUP($I384,'Price List, Weapons &amp; Items'!B:G,6,0)</f>
        <v>.</v>
      </c>
      <c r="P384" s="1185" t="str">
        <f t="shared" si="79"/>
        <v>.</v>
      </c>
      <c r="Q384" s="1185" t="str">
        <f t="shared" si="80"/>
        <v>.</v>
      </c>
      <c r="R384" s="1185" t="str">
        <f t="shared" si="76"/>
        <v/>
      </c>
      <c r="S384" s="1185" t="str">
        <f>IF(AND(AD384=1,R384&lt;&gt;".")=TRUE,R384/VLOOKUP(G384,'Exchange Rates'!B:C,2,0),IF(R384=".",".",""))</f>
        <v/>
      </c>
      <c r="T384" s="1185" t="str">
        <f>IF(AD384=1,IF(AF384="Value is not given at all",".",IF(AF384="Value is given by the source",S384,IF(AF384="Value is calculated with prices",(IF(SUMIFS(Q:Q,A:A,A384)&gt;0,SUMIFS(Q:Q,A:A,A384),"."))/VLOOKUP("USD",'Exchange Rates'!B:C,2,0),"Error with coding"))),"")</f>
        <v/>
      </c>
      <c r="U384" s="1184" t="s">
        <v>365</v>
      </c>
      <c r="V384" s="1003" t="s">
        <v>1392</v>
      </c>
      <c r="W384" s="1020" t="s">
        <v>1393</v>
      </c>
      <c r="X384" s="1020" t="s">
        <v>1394</v>
      </c>
      <c r="Y384" s="1019" t="s">
        <v>364</v>
      </c>
      <c r="Z384" s="1184">
        <v>0</v>
      </c>
      <c r="AA384" s="1194">
        <v>1</v>
      </c>
      <c r="AB384" s="1180" t="s">
        <v>364</v>
      </c>
      <c r="AC384" s="1192" t="str">
        <f>""</f>
        <v/>
      </c>
      <c r="AD384" s="1193">
        <v>0</v>
      </c>
      <c r="AE384" s="1193" t="s">
        <v>368</v>
      </c>
      <c r="AF384" s="1193" t="s">
        <v>369</v>
      </c>
      <c r="AG384" s="1193">
        <v>1</v>
      </c>
      <c r="AH384" s="1193">
        <v>15</v>
      </c>
      <c r="AI384" s="1193">
        <v>0</v>
      </c>
      <c r="AJ384" s="1193">
        <f>VLOOKUP($I384,'Price List, Weapons &amp; Items'!B:F,5,0)</f>
        <v>0</v>
      </c>
      <c r="AK384" s="1193">
        <f t="shared" si="81"/>
        <v>0</v>
      </c>
      <c r="AL384" s="1193">
        <f t="shared" si="82"/>
        <v>0</v>
      </c>
      <c r="AM384" s="1193">
        <f t="shared" si="83"/>
        <v>0</v>
      </c>
      <c r="AN384" s="1194" t="str">
        <f>VLOOKUP($I384,'Price List, Weapons &amp; Items'!B:L,COLUMN('Price List, Weapons &amp; Items'!$J$11)-1,0)</f>
        <v>.</v>
      </c>
      <c r="AO384" s="1194" t="str">
        <f>IF(I384=".",".",VLOOKUP($I384,'Price List, Weapons &amp; Items'!B:J,3,0))</f>
        <v>Military equipment</v>
      </c>
      <c r="AP384" s="1195" t="str">
        <f t="shared" ca="1" si="77"/>
        <v/>
      </c>
      <c r="AQ384" s="1194" t="str">
        <f>VLOOKUP($I384,'Price List, Weapons &amp; Items'!B:L,COLUMN('Price List, Weapons &amp; Items'!$L$11)-1,0)</f>
        <v>no price, 0 count</v>
      </c>
      <c r="AR384" s="1194">
        <f t="shared" si="84"/>
        <v>1</v>
      </c>
      <c r="AS384" s="1194">
        <f t="shared" si="85"/>
        <v>1</v>
      </c>
      <c r="AT384" s="1194">
        <f t="shared" si="86"/>
        <v>1</v>
      </c>
      <c r="AU384" s="1194" t="str">
        <f t="shared" si="87"/>
        <v>.</v>
      </c>
      <c r="AV384" s="1194" t="str">
        <f t="shared" si="78"/>
        <v>.</v>
      </c>
      <c r="AW384" s="1194" t="str">
        <f t="shared" si="88"/>
        <v>.</v>
      </c>
      <c r="AX384" s="1194">
        <f>IFERROR(VLOOKUP(B384,'Share, Heavy Weapons to Ukraine'!B:Z,COLUMN('Share, Heavy Weapons to Ukraine'!C394)-1,0),0)</f>
        <v>0</v>
      </c>
      <c r="AY384" s="1194">
        <f>VLOOKUP('Bilateral Assistance, MAIN DATA'!B384,'Country Summary (€)'!B:F,COLUMN('Country Summary (€)'!C395)-1,FALSE)</f>
        <v>1</v>
      </c>
      <c r="AZ384" s="1194" t="str">
        <f>IF(AND(AD384=1,D384="Military",H384&lt;&gt;"Not given")=TRUE,IF(SUMIFS(P:P,A:A,A384)&gt;0,ABS((SUMIFS(P:P,A:A,A384)/VLOOKUP("USD",'Exchange Rates'!B:C,2,0)))/S384,"."),".")</f>
        <v>.</v>
      </c>
      <c r="BA384" s="1196" t="str">
        <f>IF(AND(AD384=1,D384="Military",H384&lt;&gt;"Not given")=TRUE,IF(SUMIFS(P:P,A:A,A384)&gt;0,IF((ABS((SUMIFS(P:P,A:A,A384)/VLOOKUP("USD",'Exchange Rates'!B:C,2,0)))/S384)&gt;1,(SUMIFS(P:P,A:A,A384)-S384)/S384,(S384-SUMIFS(P:P,A:A,A384))/SUMIFS(P:P,A:A,A384)),"."),".")</f>
        <v>.</v>
      </c>
    </row>
    <row r="385" spans="1:53" ht="15.95" customHeight="1">
      <c r="A385" s="1180" t="s">
        <v>1389</v>
      </c>
      <c r="B385" s="1180" t="s">
        <v>1305</v>
      </c>
      <c r="C385" s="1181">
        <v>45001</v>
      </c>
      <c r="D385" s="1182" t="s">
        <v>389</v>
      </c>
      <c r="E385" s="1182" t="s">
        <v>390</v>
      </c>
      <c r="F385" s="1183" t="s">
        <v>1390</v>
      </c>
      <c r="G385" s="1184" t="s">
        <v>483</v>
      </c>
      <c r="H385" s="1185">
        <v>494300</v>
      </c>
      <c r="I385" s="1183" t="s">
        <v>1398</v>
      </c>
      <c r="J385" s="1186" t="str">
        <f>VLOOKUP($I385,'Price List, Weapons &amp; Items'!B:C,2,0)</f>
        <v>Heavy weapon</v>
      </c>
      <c r="K385" s="1186" t="str">
        <f>IF(I385=".",I385,VLOOKUP($I385,'Price List, Weapons &amp; Items'!B:D,3,0))</f>
        <v>Patrol and coastal combatants</v>
      </c>
      <c r="L385" s="1187">
        <f>VLOOKUP(I385,'Price List, Weapons &amp; Items'!B:E,4,0)</f>
        <v>0</v>
      </c>
      <c r="M385" s="1188" t="s">
        <v>374</v>
      </c>
      <c r="N385" s="1188" t="s">
        <v>374</v>
      </c>
      <c r="O385" s="1188">
        <f>VLOOKUP($I385,'Price List, Weapons &amp; Items'!B:G,6,0)</f>
        <v>39916727.899999999</v>
      </c>
      <c r="P385" s="1185" t="str">
        <f t="shared" si="79"/>
        <v>.</v>
      </c>
      <c r="Q385" s="1185" t="str">
        <f t="shared" si="80"/>
        <v>.</v>
      </c>
      <c r="R385" s="1185" t="str">
        <f t="shared" si="76"/>
        <v/>
      </c>
      <c r="S385" s="1185" t="str">
        <f>IF(AND(AD385=1,R385&lt;&gt;".")=TRUE,R385/VLOOKUP(G385,'Exchange Rates'!B:C,2,0),IF(R385=".",".",""))</f>
        <v/>
      </c>
      <c r="T385" s="1185" t="str">
        <f>IF(AD385=1,IF(AF385="Value is not given at all",".",IF(AF385="Value is given by the source",S385,IF(AF385="Value is calculated with prices",(IF(SUMIFS(Q:Q,A:A,A385)&gt;0,SUMIFS(Q:Q,A:A,A385),"."))/VLOOKUP("USD",'Exchange Rates'!B:C,2,0),"Error with coding"))),"")</f>
        <v/>
      </c>
      <c r="U385" s="1184" t="s">
        <v>365</v>
      </c>
      <c r="V385" s="1003" t="s">
        <v>1392</v>
      </c>
      <c r="W385" s="1020" t="s">
        <v>1393</v>
      </c>
      <c r="X385" s="1020" t="s">
        <v>1394</v>
      </c>
      <c r="Y385" s="1019" t="s">
        <v>364</v>
      </c>
      <c r="Z385" s="1184">
        <v>0</v>
      </c>
      <c r="AA385" s="1194">
        <v>1</v>
      </c>
      <c r="AB385" s="1180" t="s">
        <v>364</v>
      </c>
      <c r="AC385" s="1192" t="str">
        <f>""</f>
        <v/>
      </c>
      <c r="AD385" s="1193">
        <v>0</v>
      </c>
      <c r="AE385" s="1193" t="s">
        <v>368</v>
      </c>
      <c r="AF385" s="1193" t="s">
        <v>369</v>
      </c>
      <c r="AG385" s="1193">
        <v>1</v>
      </c>
      <c r="AH385" s="1193">
        <v>15</v>
      </c>
      <c r="AI385" s="1193">
        <v>0</v>
      </c>
      <c r="AJ385" s="1193">
        <f>VLOOKUP($I385,'Price List, Weapons &amp; Items'!B:F,5,0)</f>
        <v>0</v>
      </c>
      <c r="AK385" s="1193">
        <f t="shared" si="81"/>
        <v>0</v>
      </c>
      <c r="AL385" s="1193">
        <f t="shared" si="82"/>
        <v>0</v>
      </c>
      <c r="AM385" s="1193">
        <f t="shared" si="83"/>
        <v>0</v>
      </c>
      <c r="AN385" s="1194" t="str">
        <f>VLOOKUP($I385,'Price List, Weapons &amp; Items'!B:L,COLUMN('Price List, Weapons &amp; Items'!$J$11)-1,0)</f>
        <v>Military media (incl. websites)</v>
      </c>
      <c r="AO385" s="1194" t="str">
        <f>IF(I385=".",".",VLOOKUP($I385,'Price List, Weapons &amp; Items'!B:J,3,0))</f>
        <v>Patrol and coastal combatants</v>
      </c>
      <c r="AP385" s="1195" t="str">
        <f t="shared" ca="1" si="77"/>
        <v/>
      </c>
      <c r="AQ385" s="1194">
        <f>VLOOKUP($I385,'Price List, Weapons &amp; Items'!B:L,COLUMN('Price List, Weapons &amp; Items'!$L$11)-1,0)</f>
        <v>2</v>
      </c>
      <c r="AR385" s="1194">
        <f t="shared" si="84"/>
        <v>1</v>
      </c>
      <c r="AS385" s="1194">
        <f t="shared" si="85"/>
        <v>1</v>
      </c>
      <c r="AT385" s="1194">
        <f t="shared" si="86"/>
        <v>1</v>
      </c>
      <c r="AU385" s="1194" t="str">
        <f t="shared" si="87"/>
        <v>.</v>
      </c>
      <c r="AV385" s="1194" t="str">
        <f t="shared" si="78"/>
        <v>.</v>
      </c>
      <c r="AW385" s="1194" t="str">
        <f t="shared" si="88"/>
        <v>.</v>
      </c>
      <c r="AX385" s="1194">
        <f>IFERROR(VLOOKUP(B385,'Share, Heavy Weapons to Ukraine'!B:Z,COLUMN('Share, Heavy Weapons to Ukraine'!C395)-1,0),0)</f>
        <v>0</v>
      </c>
      <c r="AY385" s="1194">
        <f>VLOOKUP('Bilateral Assistance, MAIN DATA'!B385,'Country Summary (€)'!B:F,COLUMN('Country Summary (€)'!C396)-1,FALSE)</f>
        <v>1</v>
      </c>
      <c r="AZ385" s="1194" t="str">
        <f>IF(AND(AD385=1,D385="Military",H385&lt;&gt;"Not given")=TRUE,IF(SUMIFS(P:P,A:A,A385)&gt;0,ABS((SUMIFS(P:P,A:A,A385)/VLOOKUP("USD",'Exchange Rates'!B:C,2,0)))/S385,"."),".")</f>
        <v>.</v>
      </c>
      <c r="BA385" s="1196" t="str">
        <f>IF(AND(AD385=1,D385="Military",H385&lt;&gt;"Not given")=TRUE,IF(SUMIFS(P:P,A:A,A385)&gt;0,IF((ABS((SUMIFS(P:P,A:A,A385)/VLOOKUP("USD",'Exchange Rates'!B:C,2,0)))/S385)&gt;1,(SUMIFS(P:P,A:A,A385)-S385)/S385,(S385-SUMIFS(P:P,A:A,A385))/SUMIFS(P:P,A:A,A385)),"."),".")</f>
        <v>.</v>
      </c>
    </row>
    <row r="386" spans="1:53" ht="15.95" customHeight="1">
      <c r="A386" s="1180" t="s">
        <v>1389</v>
      </c>
      <c r="B386" s="1180" t="s">
        <v>1305</v>
      </c>
      <c r="C386" s="1181">
        <v>45001</v>
      </c>
      <c r="D386" s="1182" t="s">
        <v>389</v>
      </c>
      <c r="E386" s="1182" t="s">
        <v>390</v>
      </c>
      <c r="F386" s="1183" t="s">
        <v>1390</v>
      </c>
      <c r="G386" s="1184" t="s">
        <v>483</v>
      </c>
      <c r="H386" s="1185">
        <v>494300</v>
      </c>
      <c r="I386" s="1183" t="s">
        <v>1387</v>
      </c>
      <c r="J386" s="1186" t="str">
        <f>VLOOKUP($I386,'Price List, Weapons &amp; Items'!B:C,2,0)</f>
        <v>Military equipment</v>
      </c>
      <c r="K386" s="1186" t="str">
        <f>IF(I386=".",I386,VLOOKUP($I386,'Price List, Weapons &amp; Items'!B:D,3,0))</f>
        <v>Military equipment</v>
      </c>
      <c r="L386" s="1187">
        <f>VLOOKUP(I386,'Price List, Weapons &amp; Items'!B:E,4,0)</f>
        <v>0</v>
      </c>
      <c r="M386" s="1188" t="s">
        <v>374</v>
      </c>
      <c r="N386" s="1188" t="s">
        <v>374</v>
      </c>
      <c r="O386" s="1188">
        <f>VLOOKUP($I386,'Price List, Weapons &amp; Items'!B:G,6,0)</f>
        <v>5000</v>
      </c>
      <c r="P386" s="1185" t="str">
        <f t="shared" si="79"/>
        <v>.</v>
      </c>
      <c r="Q386" s="1185" t="str">
        <f t="shared" si="80"/>
        <v>.</v>
      </c>
      <c r="R386" s="1185" t="str">
        <f t="shared" ref="R386:R449" si="90">IF(AD386=1,IF(H386&lt;&gt;"Not given",H386,IF(TYPE(H386)=2,IF(SUMIFS(P:P,A:A,A386)&gt;0,SUMIFS(P:P,A:A,A386),"."),"Format error")),"")</f>
        <v/>
      </c>
      <c r="S386" s="1185" t="str">
        <f>IF(AND(AD386=1,R386&lt;&gt;".")=TRUE,R386/VLOOKUP(G386,'Exchange Rates'!B:C,2,0),IF(R386=".",".",""))</f>
        <v/>
      </c>
      <c r="T386" s="1185" t="str">
        <f>IF(AD386=1,IF(AF386="Value is not given at all",".",IF(AF386="Value is given by the source",S386,IF(AF386="Value is calculated with prices",(IF(SUMIFS(Q:Q,A:A,A386)&gt;0,SUMIFS(Q:Q,A:A,A386),"."))/VLOOKUP("USD",'Exchange Rates'!B:C,2,0),"Error with coding"))),"")</f>
        <v/>
      </c>
      <c r="U386" s="1184" t="s">
        <v>365</v>
      </c>
      <c r="V386" s="1003" t="s">
        <v>1392</v>
      </c>
      <c r="W386" s="1020" t="s">
        <v>1393</v>
      </c>
      <c r="X386" s="1020" t="s">
        <v>1394</v>
      </c>
      <c r="Y386" s="1019" t="s">
        <v>364</v>
      </c>
      <c r="Z386" s="1184">
        <v>0</v>
      </c>
      <c r="AA386" s="1194">
        <v>1</v>
      </c>
      <c r="AB386" s="1180" t="s">
        <v>364</v>
      </c>
      <c r="AC386" s="1192" t="str">
        <f>""</f>
        <v/>
      </c>
      <c r="AD386" s="1193">
        <v>0</v>
      </c>
      <c r="AE386" s="1193" t="s">
        <v>368</v>
      </c>
      <c r="AF386" s="1193" t="s">
        <v>369</v>
      </c>
      <c r="AG386" s="1193">
        <v>1</v>
      </c>
      <c r="AH386" s="1193">
        <v>15</v>
      </c>
      <c r="AI386" s="1193">
        <v>0</v>
      </c>
      <c r="AJ386" s="1193">
        <f>VLOOKUP($I386,'Price List, Weapons &amp; Items'!B:F,5,0)</f>
        <v>0</v>
      </c>
      <c r="AK386" s="1193">
        <f t="shared" si="81"/>
        <v>0</v>
      </c>
      <c r="AL386" s="1193">
        <f t="shared" si="82"/>
        <v>0</v>
      </c>
      <c r="AM386" s="1193">
        <f t="shared" si="83"/>
        <v>0</v>
      </c>
      <c r="AN386" s="1194" t="str">
        <f>VLOOKUP($I386,'Price List, Weapons &amp; Items'!B:L,COLUMN('Price List, Weapons &amp; Items'!$J$11)-1,0)</f>
        <v>Miscellaneous</v>
      </c>
      <c r="AO386" s="1194" t="str">
        <f>IF(I386=".",".",VLOOKUP($I386,'Price List, Weapons &amp; Items'!B:J,3,0))</f>
        <v>Military equipment</v>
      </c>
      <c r="AP386" s="1195" t="str">
        <f t="shared" ref="AP386:AP449" ca="1" si="91">IF(AD386=1,(OFFSET(I386,0,0,COUNTIF(A:A,A386),1)),"")</f>
        <v/>
      </c>
      <c r="AQ386" s="1194">
        <f>VLOOKUP($I386,'Price List, Weapons &amp; Items'!B:L,COLUMN('Price List, Weapons &amp; Items'!$L$11)-1,0)</f>
        <v>1</v>
      </c>
      <c r="AR386" s="1194">
        <f t="shared" si="84"/>
        <v>1</v>
      </c>
      <c r="AS386" s="1194">
        <f t="shared" si="85"/>
        <v>1</v>
      </c>
      <c r="AT386" s="1194">
        <f t="shared" si="86"/>
        <v>1</v>
      </c>
      <c r="AU386" s="1194" t="str">
        <f t="shared" si="87"/>
        <v>.</v>
      </c>
      <c r="AV386" s="1194" t="str">
        <f t="shared" ref="AV386:AV449" si="92">IF(AND(_xlfn.ISFORMULA(R386),_xlfn.ISFORMULA(S386),_xlfn.ISFORMULA(T386))=TRUE,".",1)</f>
        <v>.</v>
      </c>
      <c r="AW386" s="1194" t="str">
        <f t="shared" si="88"/>
        <v>.</v>
      </c>
      <c r="AX386" s="1194">
        <f>IFERROR(VLOOKUP(B386,'Share, Heavy Weapons to Ukraine'!B:Z,COLUMN('Share, Heavy Weapons to Ukraine'!C396)-1,0),0)</f>
        <v>0</v>
      </c>
      <c r="AY386" s="1194">
        <f>VLOOKUP('Bilateral Assistance, MAIN DATA'!B386,'Country Summary (€)'!B:F,COLUMN('Country Summary (€)'!C397)-1,FALSE)</f>
        <v>1</v>
      </c>
      <c r="AZ386" s="1194" t="str">
        <f>IF(AND(AD386=1,D386="Military",H386&lt;&gt;"Not given")=TRUE,IF(SUMIFS(P:P,A:A,A386)&gt;0,ABS((SUMIFS(P:P,A:A,A386)/VLOOKUP("USD",'Exchange Rates'!B:C,2,0)))/S386,"."),".")</f>
        <v>.</v>
      </c>
      <c r="BA386" s="1196" t="str">
        <f>IF(AND(AD386=1,D386="Military",H386&lt;&gt;"Not given")=TRUE,IF(SUMIFS(P:P,A:A,A386)&gt;0,IF((ABS((SUMIFS(P:P,A:A,A386)/VLOOKUP("USD",'Exchange Rates'!B:C,2,0)))/S386)&gt;1,(SUMIFS(P:P,A:A,A386)-S386)/S386,(S386-SUMIFS(P:P,A:A,A386))/SUMIFS(P:P,A:A,A386)),"."),".")</f>
        <v>.</v>
      </c>
    </row>
    <row r="387" spans="1:53" ht="15.95" customHeight="1">
      <c r="A387" s="1180" t="s">
        <v>1389</v>
      </c>
      <c r="B387" s="1180" t="s">
        <v>1305</v>
      </c>
      <c r="C387" s="1181">
        <v>45001</v>
      </c>
      <c r="D387" s="1182" t="s">
        <v>389</v>
      </c>
      <c r="E387" s="1182" t="s">
        <v>390</v>
      </c>
      <c r="F387" s="1183" t="s">
        <v>1390</v>
      </c>
      <c r="G387" s="1184" t="s">
        <v>483</v>
      </c>
      <c r="H387" s="1185">
        <v>494300</v>
      </c>
      <c r="I387" s="1183" t="s">
        <v>1399</v>
      </c>
      <c r="J387" s="1186" t="str">
        <f>VLOOKUP($I387,'Price List, Weapons &amp; Items'!B:C,2,0)</f>
        <v>Military equipment</v>
      </c>
      <c r="K387" s="1186" t="str">
        <f>IF(I387=".",I387,VLOOKUP($I387,'Price List, Weapons &amp; Items'!B:D,3,0))</f>
        <v>Military equipment</v>
      </c>
      <c r="L387" s="1187">
        <f>VLOOKUP(I387,'Price List, Weapons &amp; Items'!B:E,4,0)</f>
        <v>0</v>
      </c>
      <c r="M387" s="1188" t="s">
        <v>374</v>
      </c>
      <c r="N387" s="1188" t="s">
        <v>374</v>
      </c>
      <c r="O387" s="1188" t="str">
        <f>VLOOKUP($I387,'Price List, Weapons &amp; Items'!B:G,6,0)</f>
        <v>.</v>
      </c>
      <c r="P387" s="1185" t="str">
        <f t="shared" ref="P387:P450" si="93">IF(TYPE(M387)=1,IF(TYPE(O387)=1,M387*O387,"No price"),".")</f>
        <v>.</v>
      </c>
      <c r="Q387" s="1185" t="str">
        <f t="shared" ref="Q387:Q450" si="94">IF(TYPE(N387)=1,IF(TYPE(O387)=1,N387*O387,"No price"),".")</f>
        <v>.</v>
      </c>
      <c r="R387" s="1185" t="str">
        <f t="shared" si="90"/>
        <v/>
      </c>
      <c r="S387" s="1185" t="str">
        <f>IF(AND(AD387=1,R387&lt;&gt;".")=TRUE,R387/VLOOKUP(G387,'Exchange Rates'!B:C,2,0),IF(R387=".",".",""))</f>
        <v/>
      </c>
      <c r="T387" s="1185" t="str">
        <f>IF(AD387=1,IF(AF387="Value is not given at all",".",IF(AF387="Value is given by the source",S387,IF(AF387="Value is calculated with prices",(IF(SUMIFS(Q:Q,A:A,A387)&gt;0,SUMIFS(Q:Q,A:A,A387),"."))/VLOOKUP("USD",'Exchange Rates'!B:C,2,0),"Error with coding"))),"")</f>
        <v/>
      </c>
      <c r="U387" s="1184" t="s">
        <v>365</v>
      </c>
      <c r="V387" s="1003" t="s">
        <v>1392</v>
      </c>
      <c r="W387" s="1020" t="s">
        <v>1393</v>
      </c>
      <c r="X387" s="1020" t="s">
        <v>1394</v>
      </c>
      <c r="Y387" s="1019" t="s">
        <v>364</v>
      </c>
      <c r="Z387" s="1184">
        <v>0</v>
      </c>
      <c r="AA387" s="1194">
        <v>1</v>
      </c>
      <c r="AB387" s="1180" t="s">
        <v>364</v>
      </c>
      <c r="AC387" s="1192" t="str">
        <f>""</f>
        <v/>
      </c>
      <c r="AD387" s="1193">
        <v>0</v>
      </c>
      <c r="AE387" s="1193" t="s">
        <v>368</v>
      </c>
      <c r="AF387" s="1193" t="s">
        <v>369</v>
      </c>
      <c r="AG387" s="1193">
        <v>1</v>
      </c>
      <c r="AH387" s="1193">
        <v>15</v>
      </c>
      <c r="AI387" s="1193">
        <v>0</v>
      </c>
      <c r="AJ387" s="1193">
        <f>VLOOKUP($I387,'Price List, Weapons &amp; Items'!B:F,5,0)</f>
        <v>0</v>
      </c>
      <c r="AK387" s="1193">
        <f t="shared" ref="AK387:AK450" si="95">IF(AND(AJ387=1,M387="undisclosed")=TRUE,1,0)</f>
        <v>0</v>
      </c>
      <c r="AL387" s="1193">
        <f t="shared" ref="AL387:AL450" si="96">IF(AND(AJ387=1,N387="undisclosed")=TRUE,1,0)</f>
        <v>0</v>
      </c>
      <c r="AM387" s="1193">
        <f t="shared" ref="AM387:AM450" si="97">IFERROR(IF(SEARCH("ammuni",I387,1)&gt;0,1,0),0)</f>
        <v>0</v>
      </c>
      <c r="AN387" s="1194" t="str">
        <f>VLOOKUP($I387,'Price List, Weapons &amp; Items'!B:L,COLUMN('Price List, Weapons &amp; Items'!$J$11)-1,0)</f>
        <v>.</v>
      </c>
      <c r="AO387" s="1194" t="str">
        <f>IF(I387=".",".",VLOOKUP($I387,'Price List, Weapons &amp; Items'!B:J,3,0))</f>
        <v>Military equipment</v>
      </c>
      <c r="AP387" s="1195" t="str">
        <f t="shared" ca="1" si="91"/>
        <v/>
      </c>
      <c r="AQ387" s="1194" t="str">
        <f>VLOOKUP($I387,'Price List, Weapons &amp; Items'!B:L,COLUMN('Price List, Weapons &amp; Items'!$L$11)-1,0)</f>
        <v>no price, 0 count</v>
      </c>
      <c r="AR387" s="1194">
        <f t="shared" ref="AR387:AR450" si="98">IF(U387="Yes",1,0)</f>
        <v>1</v>
      </c>
      <c r="AS387" s="1194">
        <f t="shared" ref="AS387:AS450" si="99">IF(D387="Military",IF(OR(IFERROR(SEARCH("equipment",E387,1),0)&gt;0,IFERROR(SEARCH("weapons",E387,1),0)&gt;0),1,0),0)</f>
        <v>1</v>
      </c>
      <c r="AT387" s="1194">
        <f t="shared" ref="AT387:AT450" si="100">IFERROR(IF(VALUE(TEXT(C387,"mm"))=IF(AH387&gt;12,AH387-12,AH387),".",IF(TEXT(C387,"mm")="01",".",1)),"Value is not in date format")</f>
        <v>1</v>
      </c>
      <c r="AU387" s="1194" t="str">
        <f t="shared" ref="AU387:AU450" si="101">IF(AND(A387=A386,C387=C386)=TRUE,IF(F387=F386,".","1"),".")</f>
        <v>.</v>
      </c>
      <c r="AV387" s="1194" t="str">
        <f t="shared" si="92"/>
        <v>.</v>
      </c>
      <c r="AW387" s="1194" t="str">
        <f t="shared" ref="AW387:AW450" si="102">IF(T387&lt;&gt;".",IF(T387&gt;S387,1,"."),".")</f>
        <v>.</v>
      </c>
      <c r="AX387" s="1194">
        <f>IFERROR(VLOOKUP(B387,'Share, Heavy Weapons to Ukraine'!B:Z,COLUMN('Share, Heavy Weapons to Ukraine'!C397)-1,0),0)</f>
        <v>0</v>
      </c>
      <c r="AY387" s="1194">
        <f>VLOOKUP('Bilateral Assistance, MAIN DATA'!B387,'Country Summary (€)'!B:F,COLUMN('Country Summary (€)'!C398)-1,FALSE)</f>
        <v>1</v>
      </c>
      <c r="AZ387" s="1194" t="str">
        <f>IF(AND(AD387=1,D387="Military",H387&lt;&gt;"Not given")=TRUE,IF(SUMIFS(P:P,A:A,A387)&gt;0,ABS((SUMIFS(P:P,A:A,A387)/VLOOKUP("USD",'Exchange Rates'!B:C,2,0)))/S387,"."),".")</f>
        <v>.</v>
      </c>
      <c r="BA387" s="1196" t="str">
        <f>IF(AND(AD387=1,D387="Military",H387&lt;&gt;"Not given")=TRUE,IF(SUMIFS(P:P,A:A,A387)&gt;0,IF((ABS((SUMIFS(P:P,A:A,A387)/VLOOKUP("USD",'Exchange Rates'!B:C,2,0)))/S387)&gt;1,(SUMIFS(P:P,A:A,A387)-S387)/S387,(S387-SUMIFS(P:P,A:A,A387))/SUMIFS(P:P,A:A,A387)),"."),".")</f>
        <v>.</v>
      </c>
    </row>
    <row r="388" spans="1:53" ht="15.95" customHeight="1">
      <c r="A388" s="1180" t="s">
        <v>1400</v>
      </c>
      <c r="B388" s="1180" t="s">
        <v>1305</v>
      </c>
      <c r="C388" s="1181">
        <v>45036</v>
      </c>
      <c r="D388" s="1182" t="s">
        <v>389</v>
      </c>
      <c r="E388" s="1182" t="s">
        <v>390</v>
      </c>
      <c r="F388" s="1183" t="s">
        <v>1401</v>
      </c>
      <c r="G388" s="1184" t="s">
        <v>483</v>
      </c>
      <c r="H388" s="1185" t="s">
        <v>457</v>
      </c>
      <c r="I388" s="1190" t="s">
        <v>856</v>
      </c>
      <c r="J388" s="1186" t="str">
        <f>VLOOKUP($I388,'Price List, Weapons &amp; Items'!B:C,2,0)</f>
        <v>Ammunition for heavy weapon</v>
      </c>
      <c r="K388" s="1186" t="str">
        <f>IF(I388=".",I388,VLOOKUP($I388,'Price List, Weapons &amp; Items'!B:D,3,0))</f>
        <v>155mm howitzer ammunition</v>
      </c>
      <c r="L388" s="1187">
        <f>VLOOKUP(I388,'Price List, Weapons &amp; Items'!B:E,4,0)</f>
        <v>0</v>
      </c>
      <c r="M388" s="1188" t="s">
        <v>374</v>
      </c>
      <c r="N388" s="1188" t="s">
        <v>374</v>
      </c>
      <c r="O388" s="1188">
        <f>VLOOKUP($I388,'Price List, Weapons &amp; Items'!B:G,6,0)</f>
        <v>3800</v>
      </c>
      <c r="P388" s="1185" t="str">
        <f t="shared" si="93"/>
        <v>.</v>
      </c>
      <c r="Q388" s="1185" t="str">
        <f t="shared" si="94"/>
        <v>.</v>
      </c>
      <c r="R388" s="1185" t="str">
        <f t="shared" si="90"/>
        <v>.</v>
      </c>
      <c r="S388" s="1185" t="str">
        <f>IF(AND(AD388=1,R388&lt;&gt;".")=TRUE,R388/VLOOKUP(G388,'Exchange Rates'!B:C,2,0),IF(R388=".",".",""))</f>
        <v>.</v>
      </c>
      <c r="T388" s="1185" t="str">
        <f>IF(AD388=1,IF(AF388="Value is not given at all",".",IF(AF388="Value is given by the source",S388,IF(AF388="Value is calculated with prices",(IF(SUMIFS(Q:Q,A:A,A388)&gt;0,SUMIFS(Q:Q,A:A,A388),"."))/VLOOKUP("USD",'Exchange Rates'!B:C,2,0),"Error with coding"))),"")</f>
        <v>.</v>
      </c>
      <c r="U388" s="1184" t="s">
        <v>365</v>
      </c>
      <c r="V388" s="1003" t="s">
        <v>1402</v>
      </c>
      <c r="W388" s="1020" t="s">
        <v>1403</v>
      </c>
      <c r="X388" s="1020" t="s">
        <v>1404</v>
      </c>
      <c r="Y388" s="1019" t="s">
        <v>364</v>
      </c>
      <c r="Z388" s="1184">
        <v>0</v>
      </c>
      <c r="AA388" s="1194">
        <v>1</v>
      </c>
      <c r="AB388" s="1180" t="s">
        <v>364</v>
      </c>
      <c r="AC388" s="1192" t="str">
        <f>""</f>
        <v/>
      </c>
      <c r="AD388" s="1193">
        <v>1</v>
      </c>
      <c r="AE388" s="1193" t="s">
        <v>369</v>
      </c>
      <c r="AF388" s="1193" t="s">
        <v>369</v>
      </c>
      <c r="AG388" s="1193">
        <v>1</v>
      </c>
      <c r="AH388" s="1193">
        <v>16</v>
      </c>
      <c r="AI388" s="1193">
        <v>0</v>
      </c>
      <c r="AJ388" s="1193">
        <f>VLOOKUP($I388,'Price List, Weapons &amp; Items'!B:F,5,0)</f>
        <v>1</v>
      </c>
      <c r="AK388" s="1193">
        <f t="shared" si="95"/>
        <v>1</v>
      </c>
      <c r="AL388" s="1193">
        <f t="shared" si="96"/>
        <v>1</v>
      </c>
      <c r="AM388" s="1193">
        <f t="shared" si="97"/>
        <v>0</v>
      </c>
      <c r="AN388" s="1194" t="str">
        <f>VLOOKUP($I388,'Price List, Weapons &amp; Items'!B:L,COLUMN('Price List, Weapons &amp; Items'!$J$11)-1,0)</f>
        <v>Government information</v>
      </c>
      <c r="AO388" s="1194" t="str">
        <f>IF(I388=".",".",VLOOKUP($I388,'Price List, Weapons &amp; Items'!B:J,3,0))</f>
        <v>155mm howitzer ammunition</v>
      </c>
      <c r="AP388" s="1195" t="str">
        <f t="shared" ca="1" si="91"/>
        <v>155mm artillery round</v>
      </c>
      <c r="AQ388" s="1194">
        <f>VLOOKUP($I388,'Price List, Weapons &amp; Items'!B:L,COLUMN('Price List, Weapons &amp; Items'!$L$11)-1,0)</f>
        <v>2</v>
      </c>
      <c r="AR388" s="1194">
        <f t="shared" si="98"/>
        <v>1</v>
      </c>
      <c r="AS388" s="1194">
        <f t="shared" si="99"/>
        <v>1</v>
      </c>
      <c r="AT388" s="1194">
        <f t="shared" si="100"/>
        <v>1</v>
      </c>
      <c r="AU388" s="1194" t="str">
        <f t="shared" si="101"/>
        <v>.</v>
      </c>
      <c r="AV388" s="1194" t="str">
        <f t="shared" si="92"/>
        <v>.</v>
      </c>
      <c r="AW388" s="1194" t="str">
        <f t="shared" si="102"/>
        <v>.</v>
      </c>
      <c r="AX388" s="1194">
        <f>IFERROR(VLOOKUP(B388,'Share, Heavy Weapons to Ukraine'!B:Z,COLUMN('Share, Heavy Weapons to Ukraine'!C398)-1,0),0)</f>
        <v>0</v>
      </c>
      <c r="AY388" s="1194">
        <f>VLOOKUP('Bilateral Assistance, MAIN DATA'!B388,'Country Summary (€)'!B:F,COLUMN('Country Summary (€)'!C399)-1,FALSE)</f>
        <v>1</v>
      </c>
      <c r="AZ388" s="1194" t="str">
        <f>IF(AND(AD388=1,D388="Military",H388&lt;&gt;"Not given")=TRUE,IF(SUMIFS(P:P,A:A,A388)&gt;0,ABS((SUMIFS(P:P,A:A,A388)/VLOOKUP("USD",'Exchange Rates'!B:C,2,0)))/S388,"."),".")</f>
        <v>.</v>
      </c>
      <c r="BA388" s="1196" t="str">
        <f>IF(AND(AD388=1,D388="Military",H388&lt;&gt;"Not given")=TRUE,IF(SUMIFS(P:P,A:A,A388)&gt;0,IF((ABS((SUMIFS(P:P,A:A,A388)/VLOOKUP("USD",'Exchange Rates'!B:C,2,0)))/S388)&gt;1,(SUMIFS(P:P,A:A,A388)-S388)/S388,(S388-SUMIFS(P:P,A:A,A388))/SUMIFS(P:P,A:A,A388)),"."),".")</f>
        <v>.</v>
      </c>
    </row>
    <row r="389" spans="1:53" ht="15.95" customHeight="1">
      <c r="A389" s="1180" t="s">
        <v>1400</v>
      </c>
      <c r="B389" s="1180" t="s">
        <v>1305</v>
      </c>
      <c r="C389" s="1181">
        <v>45036</v>
      </c>
      <c r="D389" s="1182" t="s">
        <v>389</v>
      </c>
      <c r="E389" s="1182" t="s">
        <v>390</v>
      </c>
      <c r="F389" s="1183" t="s">
        <v>1401</v>
      </c>
      <c r="G389" s="1184" t="s">
        <v>483</v>
      </c>
      <c r="H389" s="1185" t="s">
        <v>457</v>
      </c>
      <c r="I389" s="1183" t="s">
        <v>1405</v>
      </c>
      <c r="J389" s="1186" t="str">
        <f>VLOOKUP($I389,'Price List, Weapons &amp; Items'!B:C,2,0)</f>
        <v>Military equipment</v>
      </c>
      <c r="K389" s="1186" t="str">
        <f>IF(I389=".",I389,VLOOKUP($I389,'Price List, Weapons &amp; Items'!B:D,3,0))</f>
        <v>Military equipment</v>
      </c>
      <c r="L389" s="1187">
        <f>VLOOKUP(I389,'Price List, Weapons &amp; Items'!B:E,4,0)</f>
        <v>0</v>
      </c>
      <c r="M389" s="1188" t="s">
        <v>374</v>
      </c>
      <c r="N389" s="1188" t="s">
        <v>374</v>
      </c>
      <c r="O389" s="1188">
        <f>VLOOKUP($I389,'Price List, Weapons &amp; Items'!B:G,6,0)</f>
        <v>2320</v>
      </c>
      <c r="P389" s="1185" t="str">
        <f t="shared" si="93"/>
        <v>.</v>
      </c>
      <c r="Q389" s="1185" t="str">
        <f t="shared" si="94"/>
        <v>.</v>
      </c>
      <c r="R389" s="1185" t="str">
        <f t="shared" si="90"/>
        <v/>
      </c>
      <c r="S389" s="1185" t="str">
        <f>IF(AND(AD389=1,R389&lt;&gt;".")=TRUE,R389/VLOOKUP(G389,'Exchange Rates'!B:C,2,0),IF(R389=".",".",""))</f>
        <v/>
      </c>
      <c r="T389" s="1185" t="str">
        <f>IF(AD389=1,IF(AF389="Value is not given at all",".",IF(AF389="Value is given by the source",S389,IF(AF389="Value is calculated with prices",(IF(SUMIFS(Q:Q,A:A,A389)&gt;0,SUMIFS(Q:Q,A:A,A389),"."))/VLOOKUP("USD",'Exchange Rates'!B:C,2,0),"Error with coding"))),"")</f>
        <v/>
      </c>
      <c r="U389" s="1184" t="s">
        <v>365</v>
      </c>
      <c r="V389" s="1003" t="s">
        <v>1402</v>
      </c>
      <c r="W389" s="1020" t="s">
        <v>1403</v>
      </c>
      <c r="X389" s="1020" t="s">
        <v>1404</v>
      </c>
      <c r="Y389" s="1019" t="s">
        <v>364</v>
      </c>
      <c r="Z389" s="1184">
        <v>0</v>
      </c>
      <c r="AA389" s="1194">
        <v>1</v>
      </c>
      <c r="AB389" s="1180" t="s">
        <v>364</v>
      </c>
      <c r="AC389" s="1192" t="str">
        <f>""</f>
        <v/>
      </c>
      <c r="AD389" s="1193">
        <v>0</v>
      </c>
      <c r="AE389" s="1193" t="s">
        <v>369</v>
      </c>
      <c r="AF389" s="1193" t="s">
        <v>369</v>
      </c>
      <c r="AG389" s="1193">
        <v>1</v>
      </c>
      <c r="AH389" s="1193">
        <v>16</v>
      </c>
      <c r="AI389" s="1193">
        <v>0</v>
      </c>
      <c r="AJ389" s="1193">
        <f>VLOOKUP($I389,'Price List, Weapons &amp; Items'!B:F,5,0)</f>
        <v>0</v>
      </c>
      <c r="AK389" s="1193">
        <f t="shared" si="95"/>
        <v>0</v>
      </c>
      <c r="AL389" s="1193">
        <f t="shared" si="96"/>
        <v>0</v>
      </c>
      <c r="AM389" s="1193">
        <f t="shared" si="97"/>
        <v>0</v>
      </c>
      <c r="AN389" s="1194" t="str">
        <f>VLOOKUP($I389,'Price List, Weapons &amp; Items'!B:L,COLUMN('Price List, Weapons &amp; Items'!$J$11)-1,0)</f>
        <v>Media reports (incl. social media)</v>
      </c>
      <c r="AO389" s="1194" t="str">
        <f>IF(I389=".",".",VLOOKUP($I389,'Price List, Weapons &amp; Items'!B:J,3,0))</f>
        <v>Military equipment</v>
      </c>
      <c r="AP389" s="1195" t="str">
        <f t="shared" ca="1" si="91"/>
        <v/>
      </c>
      <c r="AQ389" s="1194">
        <f>VLOOKUP($I389,'Price List, Weapons &amp; Items'!B:L,COLUMN('Price List, Weapons &amp; Items'!$L$11)-1,0)</f>
        <v>2</v>
      </c>
      <c r="AR389" s="1194">
        <f t="shared" si="98"/>
        <v>1</v>
      </c>
      <c r="AS389" s="1194">
        <f t="shared" si="99"/>
        <v>1</v>
      </c>
      <c r="AT389" s="1194">
        <f t="shared" si="100"/>
        <v>1</v>
      </c>
      <c r="AU389" s="1194" t="str">
        <f t="shared" si="101"/>
        <v>.</v>
      </c>
      <c r="AV389" s="1194" t="str">
        <f t="shared" si="92"/>
        <v>.</v>
      </c>
      <c r="AW389" s="1194" t="str">
        <f t="shared" si="102"/>
        <v>.</v>
      </c>
      <c r="AX389" s="1194">
        <f>IFERROR(VLOOKUP(B389,'Share, Heavy Weapons to Ukraine'!B:Z,COLUMN('Share, Heavy Weapons to Ukraine'!C399)-1,0),0)</f>
        <v>0</v>
      </c>
      <c r="AY389" s="1194">
        <f>VLOOKUP('Bilateral Assistance, MAIN DATA'!B389,'Country Summary (€)'!B:F,COLUMN('Country Summary (€)'!C400)-1,FALSE)</f>
        <v>1</v>
      </c>
      <c r="AZ389" s="1194" t="str">
        <f>IF(AND(AD389=1,D389="Military",H389&lt;&gt;"Not given")=TRUE,IF(SUMIFS(P:P,A:A,A389)&gt;0,ABS((SUMIFS(P:P,A:A,A389)/VLOOKUP("USD",'Exchange Rates'!B:C,2,0)))/S389,"."),".")</f>
        <v>.</v>
      </c>
      <c r="BA389" s="1196" t="str">
        <f>IF(AND(AD389=1,D389="Military",H389&lt;&gt;"Not given")=TRUE,IF(SUMIFS(P:P,A:A,A389)&gt;0,IF((ABS((SUMIFS(P:P,A:A,A389)/VLOOKUP("USD",'Exchange Rates'!B:C,2,0)))/S389)&gt;1,(SUMIFS(P:P,A:A,A389)-S389)/S389,(S389-SUMIFS(P:P,A:A,A389))/SUMIFS(P:P,A:A,A389)),"."),".")</f>
        <v>.</v>
      </c>
    </row>
    <row r="390" spans="1:53" ht="15.95" customHeight="1">
      <c r="A390" s="1180" t="s">
        <v>1400</v>
      </c>
      <c r="B390" s="1180" t="s">
        <v>1305</v>
      </c>
      <c r="C390" s="1181">
        <v>45036</v>
      </c>
      <c r="D390" s="1182" t="s">
        <v>389</v>
      </c>
      <c r="E390" s="1182" t="s">
        <v>390</v>
      </c>
      <c r="F390" s="1183" t="s">
        <v>1401</v>
      </c>
      <c r="G390" s="1184" t="s">
        <v>483</v>
      </c>
      <c r="H390" s="1185" t="s">
        <v>457</v>
      </c>
      <c r="I390" s="1208" t="s">
        <v>1288</v>
      </c>
      <c r="J390" s="1186" t="str">
        <f>VLOOKUP($I390,'Price List, Weapons &amp; Items'!B:C,2,0)</f>
        <v>Ammunition for light infantry</v>
      </c>
      <c r="K390" s="1186" t="str">
        <f>IF(I390=".",I390,VLOOKUP($I390,'Price List, Weapons &amp; Items'!B:D,3,0))</f>
        <v>Small Arms and Light Weapons (SALW) ammunition</v>
      </c>
      <c r="L390" s="1187">
        <f>VLOOKUP(I390,'Price List, Weapons &amp; Items'!B:E,4,0)</f>
        <v>0</v>
      </c>
      <c r="M390" s="1188" t="s">
        <v>374</v>
      </c>
      <c r="N390" s="1188" t="s">
        <v>374</v>
      </c>
      <c r="O390" s="1188">
        <f>VLOOKUP($I390,'Price List, Weapons &amp; Items'!B:G,6,0)</f>
        <v>0.47</v>
      </c>
      <c r="P390" s="1185" t="str">
        <f t="shared" si="93"/>
        <v>.</v>
      </c>
      <c r="Q390" s="1185" t="str">
        <f t="shared" si="94"/>
        <v>.</v>
      </c>
      <c r="R390" s="1185" t="str">
        <f t="shared" si="90"/>
        <v/>
      </c>
      <c r="S390" s="1185" t="str">
        <f>IF(AND(AD390=1,R390&lt;&gt;".")=TRUE,R390/VLOOKUP(G390,'Exchange Rates'!B:C,2,0),IF(R390=".",".",""))</f>
        <v/>
      </c>
      <c r="T390" s="1185" t="str">
        <f>IF(AD390=1,IF(AF390="Value is not given at all",".",IF(AF390="Value is given by the source",S390,IF(AF390="Value is calculated with prices",(IF(SUMIFS(Q:Q,A:A,A390)&gt;0,SUMIFS(Q:Q,A:A,A390),"."))/VLOOKUP("USD",'Exchange Rates'!B:C,2,0),"Error with coding"))),"")</f>
        <v/>
      </c>
      <c r="U390" s="1184" t="s">
        <v>365</v>
      </c>
      <c r="V390" s="1003" t="s">
        <v>1402</v>
      </c>
      <c r="W390" s="1020" t="s">
        <v>1403</v>
      </c>
      <c r="X390" s="1020" t="s">
        <v>1404</v>
      </c>
      <c r="Y390" s="1019" t="s">
        <v>364</v>
      </c>
      <c r="Z390" s="1184">
        <v>0</v>
      </c>
      <c r="AA390" s="1194">
        <v>1</v>
      </c>
      <c r="AB390" s="1180" t="s">
        <v>364</v>
      </c>
      <c r="AC390" s="1192" t="str">
        <f>""</f>
        <v/>
      </c>
      <c r="AD390" s="1193">
        <v>0</v>
      </c>
      <c r="AE390" s="1193" t="s">
        <v>369</v>
      </c>
      <c r="AF390" s="1193" t="s">
        <v>369</v>
      </c>
      <c r="AG390" s="1193">
        <v>1</v>
      </c>
      <c r="AH390" s="1193">
        <v>16</v>
      </c>
      <c r="AI390" s="1193">
        <v>0</v>
      </c>
      <c r="AJ390" s="1193">
        <f>VLOOKUP($I390,'Price List, Weapons &amp; Items'!B:F,5,0)</f>
        <v>0</v>
      </c>
      <c r="AK390" s="1193">
        <f t="shared" si="95"/>
        <v>0</v>
      </c>
      <c r="AL390" s="1193">
        <f t="shared" si="96"/>
        <v>0</v>
      </c>
      <c r="AM390" s="1193">
        <f t="shared" si="97"/>
        <v>1</v>
      </c>
      <c r="AN390" s="1194" t="str">
        <f>VLOOKUP($I390,'Price List, Weapons &amp; Items'!B:L,COLUMN('Price List, Weapons &amp; Items'!$J$11)-1,0)</f>
        <v>Miscellaneous</v>
      </c>
      <c r="AO390" s="1194" t="str">
        <f>IF(I390=".",".",VLOOKUP($I390,'Price List, Weapons &amp; Items'!B:J,3,0))</f>
        <v>Small Arms and Light Weapons (SALW) ammunition</v>
      </c>
      <c r="AP390" s="1195" t="str">
        <f t="shared" ca="1" si="91"/>
        <v/>
      </c>
      <c r="AQ390" s="1194">
        <f>VLOOKUP($I390,'Price List, Weapons &amp; Items'!B:L,COLUMN('Price List, Weapons &amp; Items'!$L$11)-1,0)</f>
        <v>2</v>
      </c>
      <c r="AR390" s="1194">
        <f t="shared" si="98"/>
        <v>1</v>
      </c>
      <c r="AS390" s="1194">
        <f t="shared" si="99"/>
        <v>1</v>
      </c>
      <c r="AT390" s="1194">
        <f t="shared" si="100"/>
        <v>1</v>
      </c>
      <c r="AU390" s="1194" t="str">
        <f t="shared" si="101"/>
        <v>.</v>
      </c>
      <c r="AV390" s="1194" t="str">
        <f t="shared" si="92"/>
        <v>.</v>
      </c>
      <c r="AW390" s="1194" t="str">
        <f t="shared" si="102"/>
        <v>.</v>
      </c>
      <c r="AX390" s="1194">
        <f>IFERROR(VLOOKUP(B390,'Share, Heavy Weapons to Ukraine'!B:Z,COLUMN('Share, Heavy Weapons to Ukraine'!C400)-1,0),0)</f>
        <v>0</v>
      </c>
      <c r="AY390" s="1194">
        <f>VLOOKUP('Bilateral Assistance, MAIN DATA'!B390,'Country Summary (€)'!B:F,COLUMN('Country Summary (€)'!C401)-1,FALSE)</f>
        <v>1</v>
      </c>
      <c r="AZ390" s="1194" t="str">
        <f>IF(AND(AD390=1,D390="Military",H390&lt;&gt;"Not given")=TRUE,IF(SUMIFS(P:P,A:A,A390)&gt;0,ABS((SUMIFS(P:P,A:A,A390)/VLOOKUP("USD",'Exchange Rates'!B:C,2,0)))/S390,"."),".")</f>
        <v>.</v>
      </c>
      <c r="BA390" s="1196" t="str">
        <f>IF(AND(AD390=1,D390="Military",H390&lt;&gt;"Not given")=TRUE,IF(SUMIFS(P:P,A:A,A390)&gt;0,IF((ABS((SUMIFS(P:P,A:A,A390)/VLOOKUP("USD",'Exchange Rates'!B:C,2,0)))/S390)&gt;1,(SUMIFS(P:P,A:A,A390)-S390)/S390,(S390-SUMIFS(P:P,A:A,A390))/SUMIFS(P:P,A:A,A390)),"."),".")</f>
        <v>.</v>
      </c>
    </row>
    <row r="391" spans="1:53" ht="15.95" customHeight="1">
      <c r="A391" s="1180" t="s">
        <v>1406</v>
      </c>
      <c r="B391" s="1180" t="s">
        <v>1305</v>
      </c>
      <c r="C391" s="1181" t="s">
        <v>1407</v>
      </c>
      <c r="D391" s="1182" t="s">
        <v>360</v>
      </c>
      <c r="E391" s="1182" t="s">
        <v>371</v>
      </c>
      <c r="F391" s="1183" t="s">
        <v>1408</v>
      </c>
      <c r="G391" s="1184" t="s">
        <v>483</v>
      </c>
      <c r="H391" s="1185">
        <v>4100000</v>
      </c>
      <c r="I391" s="1266" t="s">
        <v>364</v>
      </c>
      <c r="J391" s="1186" t="str">
        <f>VLOOKUP($I391,'Price List, Weapons &amp; Items'!B:C,2,0)</f>
        <v>.</v>
      </c>
      <c r="K391" s="1186" t="str">
        <f>IF(I391=".",I391,VLOOKUP($I391,'Price List, Weapons &amp; Items'!B:D,3,0))</f>
        <v>.</v>
      </c>
      <c r="L391" s="1187">
        <f>VLOOKUP(I391,'Price List, Weapons &amp; Items'!B:E,4,0)</f>
        <v>0</v>
      </c>
      <c r="M391" s="1188" t="s">
        <v>364</v>
      </c>
      <c r="N391" s="1188" t="s">
        <v>364</v>
      </c>
      <c r="O391" s="1188" t="str">
        <f>VLOOKUP($I391,'Price List, Weapons &amp; Items'!B:G,6,0)</f>
        <v>.</v>
      </c>
      <c r="P391" s="1185" t="str">
        <f t="shared" si="93"/>
        <v>.</v>
      </c>
      <c r="Q391" s="1185" t="str">
        <f t="shared" si="94"/>
        <v>.</v>
      </c>
      <c r="R391" s="1185">
        <f t="shared" si="90"/>
        <v>4100000</v>
      </c>
      <c r="S391" s="1185">
        <f>IF(AND(AD391=1,R391&lt;&gt;".")=TRUE,R391/VLOOKUP(G391,'Exchange Rates'!B:C,2,0),IF(R391=".",".",""))</f>
        <v>4100000</v>
      </c>
      <c r="T391" s="1185" t="str">
        <f>IF(AD391=1,IF(AF391="Value is not given at all",".",IF(AF391="Value is given by the source",S391,IF(AF391="Value is calculated with prices",(IF(SUMIFS(Q:Q,A:A,A391)&gt;0,SUMIFS(Q:Q,A:A,A391),"."))/VLOOKUP("USD",'Exchange Rates'!B:C,2,0),"Error with coding"))),"")</f>
        <v>.</v>
      </c>
      <c r="U391" s="1184" t="s">
        <v>365</v>
      </c>
      <c r="V391" s="973" t="s">
        <v>1409</v>
      </c>
      <c r="W391" s="1190" t="s">
        <v>364</v>
      </c>
      <c r="X391" s="1190" t="s">
        <v>364</v>
      </c>
      <c r="Y391" s="1190" t="s">
        <v>364</v>
      </c>
      <c r="Z391" s="1184">
        <v>0</v>
      </c>
      <c r="AA391" s="1194">
        <v>1</v>
      </c>
      <c r="AB391" s="1180" t="s">
        <v>364</v>
      </c>
      <c r="AC391" s="1192" t="str">
        <f>""</f>
        <v/>
      </c>
      <c r="AD391" s="985">
        <v>1</v>
      </c>
      <c r="AE391" s="985" t="s">
        <v>368</v>
      </c>
      <c r="AF391" s="985" t="s">
        <v>369</v>
      </c>
      <c r="AG391" s="985">
        <v>0</v>
      </c>
      <c r="AH391" s="1193">
        <v>0</v>
      </c>
      <c r="AI391" s="1193">
        <v>0</v>
      </c>
      <c r="AJ391" s="1193">
        <f>VLOOKUP($I391,'Price List, Weapons &amp; Items'!B:F,5,0)</f>
        <v>0</v>
      </c>
      <c r="AK391" s="1193">
        <f t="shared" si="95"/>
        <v>0</v>
      </c>
      <c r="AL391" s="1193">
        <f t="shared" si="96"/>
        <v>0</v>
      </c>
      <c r="AM391" s="1193">
        <f t="shared" si="97"/>
        <v>0</v>
      </c>
      <c r="AN391" s="1194" t="str">
        <f>VLOOKUP($I391,'Price List, Weapons &amp; Items'!B:L,COLUMN('Price List, Weapons &amp; Items'!$J$11)-1,0)</f>
        <v>.</v>
      </c>
      <c r="AO391" s="1194" t="str">
        <f>IF(I391=".",".",VLOOKUP($I391,'Price List, Weapons &amp; Items'!B:J,3,0))</f>
        <v>.</v>
      </c>
      <c r="AP391" s="1195" t="str">
        <f t="shared" ca="1" si="91"/>
        <v>.</v>
      </c>
      <c r="AQ391" s="1194">
        <f>VLOOKUP($I391,'Price List, Weapons &amp; Items'!B:L,COLUMN('Price List, Weapons &amp; Items'!$L$11)-1,0)</f>
        <v>0</v>
      </c>
      <c r="AR391" s="1194">
        <f t="shared" si="98"/>
        <v>1</v>
      </c>
      <c r="AS391" s="1194">
        <f t="shared" si="99"/>
        <v>0</v>
      </c>
      <c r="AT391" s="1194" t="str">
        <f t="shared" si="100"/>
        <v>Value is not in date format</v>
      </c>
      <c r="AU391" s="1194" t="str">
        <f t="shared" si="101"/>
        <v>.</v>
      </c>
      <c r="AV391" s="1194" t="str">
        <f t="shared" si="92"/>
        <v>.</v>
      </c>
      <c r="AW391" s="1194" t="str">
        <f t="shared" si="102"/>
        <v>.</v>
      </c>
      <c r="AX391" s="1194">
        <f>IFERROR(VLOOKUP(B391,'Share, Heavy Weapons to Ukraine'!B:Z,COLUMN('Share, Heavy Weapons to Ukraine'!C401)-1,0),0)</f>
        <v>0</v>
      </c>
      <c r="AY391" s="1194">
        <f>VLOOKUP('Bilateral Assistance, MAIN DATA'!B391,'Country Summary (€)'!B:F,COLUMN('Country Summary (€)'!C402)-1,FALSE)</f>
        <v>1</v>
      </c>
      <c r="AZ391" s="1194" t="str">
        <f>IF(AND(AD391=1,D391="Military",H391&lt;&gt;"Not given")=TRUE,IF(SUMIFS(P:P,A:A,A391)&gt;0,ABS((SUMIFS(P:P,A:A,A391)/VLOOKUP("USD",'Exchange Rates'!B:C,2,0)))/S391,"."),".")</f>
        <v>.</v>
      </c>
      <c r="BA391" s="1196" t="str">
        <f>IF(AND(AD391=1,D391="Military",H391&lt;&gt;"Not given")=TRUE,IF(SUMIFS(P:P,A:A,A391)&gt;0,IF((ABS((SUMIFS(P:P,A:A,A391)/VLOOKUP("USD",'Exchange Rates'!B:C,2,0)))/S391)&gt;1,(SUMIFS(P:P,A:A,A391)-S391)/S391,(S391-SUMIFS(P:P,A:A,A391))/SUMIFS(P:P,A:A,A391)),"."),".")</f>
        <v>.</v>
      </c>
    </row>
    <row r="392" spans="1:53" ht="15.95" customHeight="1">
      <c r="A392" s="1180" t="s">
        <v>1410</v>
      </c>
      <c r="B392" s="1180" t="s">
        <v>1305</v>
      </c>
      <c r="C392" s="1181">
        <v>44686</v>
      </c>
      <c r="D392" s="1182" t="s">
        <v>360</v>
      </c>
      <c r="E392" s="1182" t="s">
        <v>1216</v>
      </c>
      <c r="F392" s="1183" t="s">
        <v>1411</v>
      </c>
      <c r="G392" s="1184" t="s">
        <v>483</v>
      </c>
      <c r="H392" s="1185">
        <v>2900000</v>
      </c>
      <c r="I392" s="1180" t="s">
        <v>364</v>
      </c>
      <c r="J392" s="1186" t="str">
        <f>VLOOKUP($I392,'Price List, Weapons &amp; Items'!B:C,2,0)</f>
        <v>.</v>
      </c>
      <c r="K392" s="1186" t="str">
        <f>IF(I392=".",I392,VLOOKUP($I392,'Price List, Weapons &amp; Items'!B:D,3,0))</f>
        <v>.</v>
      </c>
      <c r="L392" s="1187">
        <f>VLOOKUP(I392,'Price List, Weapons &amp; Items'!B:E,4,0)</f>
        <v>0</v>
      </c>
      <c r="M392" s="1188" t="s">
        <v>364</v>
      </c>
      <c r="N392" s="1188" t="s">
        <v>364</v>
      </c>
      <c r="O392" s="1188" t="str">
        <f>VLOOKUP($I392,'Price List, Weapons &amp; Items'!B:G,6,0)</f>
        <v>.</v>
      </c>
      <c r="P392" s="1185" t="str">
        <f t="shared" si="93"/>
        <v>.</v>
      </c>
      <c r="Q392" s="1185" t="str">
        <f t="shared" si="94"/>
        <v>.</v>
      </c>
      <c r="R392" s="1185">
        <f t="shared" si="90"/>
        <v>2900000</v>
      </c>
      <c r="S392" s="1185">
        <f>IF(AND(AD392=1,R392&lt;&gt;".")=TRUE,R392/VLOOKUP(G392,'Exchange Rates'!B:C,2,0),IF(R392=".",".",""))</f>
        <v>2900000</v>
      </c>
      <c r="T392" s="1185" t="str">
        <f>IF(AD392=1,IF(AF392="Value is not given at all",".",IF(AF392="Value is given by the source",S392,IF(AF392="Value is calculated with prices",(IF(SUMIFS(Q:Q,A:A,A392)&gt;0,SUMIFS(Q:Q,A:A,A392),"."))/VLOOKUP("USD",'Exchange Rates'!B:C,2,0),"Error with coding"))),"")</f>
        <v>.</v>
      </c>
      <c r="U392" s="1184" t="s">
        <v>365</v>
      </c>
      <c r="V392" s="1003" t="s">
        <v>1409</v>
      </c>
      <c r="W392" s="1018" t="s">
        <v>1412</v>
      </c>
      <c r="X392" s="1003" t="s">
        <v>1413</v>
      </c>
      <c r="Y392" s="1190" t="s">
        <v>364</v>
      </c>
      <c r="Z392" s="1184">
        <v>0</v>
      </c>
      <c r="AA392" s="1194">
        <v>0</v>
      </c>
      <c r="AB392" s="1201" t="s">
        <v>364</v>
      </c>
      <c r="AC392" s="1192" t="str">
        <f>""</f>
        <v/>
      </c>
      <c r="AD392" s="1193">
        <v>1</v>
      </c>
      <c r="AE392" s="1193" t="s">
        <v>368</v>
      </c>
      <c r="AF392" s="1193" t="s">
        <v>369</v>
      </c>
      <c r="AG392" s="1193">
        <v>1</v>
      </c>
      <c r="AH392" s="1193">
        <v>5</v>
      </c>
      <c r="AI392" s="1193">
        <v>0</v>
      </c>
      <c r="AJ392" s="1193">
        <f>VLOOKUP($I392,'Price List, Weapons &amp; Items'!B:F,5,0)</f>
        <v>0</v>
      </c>
      <c r="AK392" s="1193">
        <f t="shared" si="95"/>
        <v>0</v>
      </c>
      <c r="AL392" s="1193">
        <f t="shared" si="96"/>
        <v>0</v>
      </c>
      <c r="AM392" s="1193">
        <f t="shared" si="97"/>
        <v>0</v>
      </c>
      <c r="AN392" s="1194" t="str">
        <f>VLOOKUP($I392,'Price List, Weapons &amp; Items'!B:L,COLUMN('Price List, Weapons &amp; Items'!$J$11)-1,0)</f>
        <v>.</v>
      </c>
      <c r="AO392" s="1194" t="str">
        <f>IF(I392=".",".",VLOOKUP($I392,'Price List, Weapons &amp; Items'!B:J,3,0))</f>
        <v>.</v>
      </c>
      <c r="AP392" s="1195" t="str">
        <f t="shared" ca="1" si="91"/>
        <v>.</v>
      </c>
      <c r="AQ392" s="1194">
        <f>VLOOKUP($I392,'Price List, Weapons &amp; Items'!B:L,COLUMN('Price List, Weapons &amp; Items'!$L$11)-1,0)</f>
        <v>0</v>
      </c>
      <c r="AR392" s="1194">
        <f t="shared" si="98"/>
        <v>1</v>
      </c>
      <c r="AS392" s="1194">
        <f t="shared" si="99"/>
        <v>0</v>
      </c>
      <c r="AT392" s="1194">
        <f t="shared" si="100"/>
        <v>1</v>
      </c>
      <c r="AU392" s="1194" t="str">
        <f t="shared" si="101"/>
        <v>.</v>
      </c>
      <c r="AV392" s="1194" t="str">
        <f t="shared" si="92"/>
        <v>.</v>
      </c>
      <c r="AW392" s="1194" t="str">
        <f t="shared" si="102"/>
        <v>.</v>
      </c>
      <c r="AX392" s="1194">
        <f>IFERROR(VLOOKUP(B392,'Share, Heavy Weapons to Ukraine'!B:Z,COLUMN('Share, Heavy Weapons to Ukraine'!C402)-1,0),0)</f>
        <v>0</v>
      </c>
      <c r="AY392" s="1194">
        <f>VLOOKUP('Bilateral Assistance, MAIN DATA'!B392,'Country Summary (€)'!B:F,COLUMN('Country Summary (€)'!C403)-1,FALSE)</f>
        <v>1</v>
      </c>
      <c r="AZ392" s="1194" t="str">
        <f>IF(AND(AD392=1,D392="Military",H392&lt;&gt;"Not given")=TRUE,IF(SUMIFS(P:P,A:A,A392)&gt;0,ABS((SUMIFS(P:P,A:A,A392)/VLOOKUP("USD",'Exchange Rates'!B:C,2,0)))/S392,"."),".")</f>
        <v>.</v>
      </c>
      <c r="BA392" s="1196" t="str">
        <f>IF(AND(AD392=1,D392="Military",H392&lt;&gt;"Not given")=TRUE,IF(SUMIFS(P:P,A:A,A392)&gt;0,IF((ABS((SUMIFS(P:P,A:A,A392)/VLOOKUP("USD",'Exchange Rates'!B:C,2,0)))/S392)&gt;1,(SUMIFS(P:P,A:A,A392)-S392)/S392,(S392-SUMIFS(P:P,A:A,A392))/SUMIFS(P:P,A:A,A392)),"."),".")</f>
        <v>.</v>
      </c>
    </row>
    <row r="393" spans="1:53" ht="15.95" customHeight="1">
      <c r="A393" s="1180" t="s">
        <v>1410</v>
      </c>
      <c r="B393" s="1180" t="s">
        <v>1305</v>
      </c>
      <c r="C393" s="1181">
        <v>44728</v>
      </c>
      <c r="D393" s="1182" t="s">
        <v>360</v>
      </c>
      <c r="E393" s="1182" t="s">
        <v>1216</v>
      </c>
      <c r="F393" s="1183" t="s">
        <v>1414</v>
      </c>
      <c r="G393" s="1184" t="s">
        <v>483</v>
      </c>
      <c r="H393" s="1185">
        <v>2900000</v>
      </c>
      <c r="I393" s="1180" t="s">
        <v>1415</v>
      </c>
      <c r="J393" s="1186" t="str">
        <f>VLOOKUP($I393,'Price List, Weapons &amp; Items'!B:C,2,0)</f>
        <v>Humanitarian</v>
      </c>
      <c r="K393" s="1186" t="str">
        <f>IF(I393=".",I393,VLOOKUP($I393,'Price List, Weapons &amp; Items'!B:D,3,0))</f>
        <v>Humanitarian</v>
      </c>
      <c r="L393" s="1187">
        <f>VLOOKUP(I393,'Price List, Weapons &amp; Items'!B:E,4,0)</f>
        <v>0</v>
      </c>
      <c r="M393" s="1188">
        <v>5</v>
      </c>
      <c r="N393" s="1188">
        <v>5</v>
      </c>
      <c r="O393" s="1188">
        <f>VLOOKUP($I393,'Price List, Weapons &amp; Items'!B:G,6,0)</f>
        <v>83142</v>
      </c>
      <c r="P393" s="1185">
        <f t="shared" si="93"/>
        <v>415710</v>
      </c>
      <c r="Q393" s="1185">
        <f t="shared" si="94"/>
        <v>415710</v>
      </c>
      <c r="R393" s="1185" t="str">
        <f t="shared" si="90"/>
        <v/>
      </c>
      <c r="S393" s="1185" t="str">
        <f>IF(AND(AD393=1,R393&lt;&gt;".")=TRUE,R393/VLOOKUP(G393,'Exchange Rates'!B:C,2,0),IF(R393=".",".",""))</f>
        <v/>
      </c>
      <c r="T393" s="1185" t="str">
        <f>IF(AD393=1,IF(AF393="Value is not given at all",".",IF(AF393="Value is given by the source",S393,IF(AF393="Value is calculated with prices",(IF(SUMIFS(Q:Q,A:A,A393)&gt;0,SUMIFS(Q:Q,A:A,A393),"."))/VLOOKUP("USD",'Exchange Rates'!B:C,2,0),"Error with coding"))),"")</f>
        <v/>
      </c>
      <c r="U393" s="1184" t="s">
        <v>365</v>
      </c>
      <c r="V393" s="1003" t="s">
        <v>1409</v>
      </c>
      <c r="W393" s="1018" t="s">
        <v>1416</v>
      </c>
      <c r="X393" s="1018" t="s">
        <v>1417</v>
      </c>
      <c r="Y393" s="1190" t="s">
        <v>364</v>
      </c>
      <c r="Z393" s="1184">
        <v>0</v>
      </c>
      <c r="AA393" s="1194">
        <v>0</v>
      </c>
      <c r="AB393" s="1201" t="s">
        <v>364</v>
      </c>
      <c r="AC393" s="1192" t="str">
        <f>""</f>
        <v/>
      </c>
      <c r="AD393" s="1193">
        <v>0</v>
      </c>
      <c r="AE393" s="1193" t="s">
        <v>436</v>
      </c>
      <c r="AF393" s="1193" t="s">
        <v>436</v>
      </c>
      <c r="AG393" s="1193">
        <v>1</v>
      </c>
      <c r="AH393" s="1193">
        <v>6</v>
      </c>
      <c r="AI393" s="1193">
        <v>0</v>
      </c>
      <c r="AJ393" s="1193">
        <f>VLOOKUP($I393,'Price List, Weapons &amp; Items'!B:F,5,0)</f>
        <v>0</v>
      </c>
      <c r="AK393" s="1193">
        <f t="shared" si="95"/>
        <v>0</v>
      </c>
      <c r="AL393" s="1193">
        <f t="shared" si="96"/>
        <v>0</v>
      </c>
      <c r="AM393" s="1193">
        <f t="shared" si="97"/>
        <v>0</v>
      </c>
      <c r="AN393" s="1194" t="str">
        <f>VLOOKUP($I393,'Price List, Weapons &amp; Items'!B:L,COLUMN('Price List, Weapons &amp; Items'!$J$11)-1,0)</f>
        <v>Online marketplace and stores</v>
      </c>
      <c r="AO393" s="1194" t="str">
        <f>IF(I393=".",".",VLOOKUP($I393,'Price List, Weapons &amp; Items'!B:J,3,0))</f>
        <v>Humanitarian</v>
      </c>
      <c r="AP393" s="1195" t="str">
        <f t="shared" ca="1" si="91"/>
        <v/>
      </c>
      <c r="AQ393" s="1194">
        <f>VLOOKUP($I393,'Price List, Weapons &amp; Items'!B:L,COLUMN('Price List, Weapons &amp; Items'!$L$11)-1,0)</f>
        <v>0</v>
      </c>
      <c r="AR393" s="1194">
        <f t="shared" si="98"/>
        <v>1</v>
      </c>
      <c r="AS393" s="1194">
        <f t="shared" si="99"/>
        <v>0</v>
      </c>
      <c r="AT393" s="1194">
        <f t="shared" si="100"/>
        <v>1</v>
      </c>
      <c r="AU393" s="1194" t="str">
        <f t="shared" si="101"/>
        <v>.</v>
      </c>
      <c r="AV393" s="1194" t="str">
        <f t="shared" si="92"/>
        <v>.</v>
      </c>
      <c r="AW393" s="1194" t="str">
        <f t="shared" si="102"/>
        <v>.</v>
      </c>
      <c r="AX393" s="1194">
        <f>IFERROR(VLOOKUP(B393,'Share, Heavy Weapons to Ukraine'!B:Z,COLUMN('Share, Heavy Weapons to Ukraine'!C403)-1,0),0)</f>
        <v>0</v>
      </c>
      <c r="AY393" s="1194">
        <f>VLOOKUP('Bilateral Assistance, MAIN DATA'!B393,'Country Summary (€)'!B:F,COLUMN('Country Summary (€)'!C404)-1,FALSE)</f>
        <v>1</v>
      </c>
      <c r="AZ393" s="1194" t="str">
        <f>IF(AND(AD393=1,D393="Military",H393&lt;&gt;"Not given")=TRUE,IF(SUMIFS(P:P,A:A,A393)&gt;0,ABS((SUMIFS(P:P,A:A,A393)/VLOOKUP("USD",'Exchange Rates'!B:C,2,0)))/S393,"."),".")</f>
        <v>.</v>
      </c>
      <c r="BA393" s="1196" t="str">
        <f>IF(AND(AD393=1,D393="Military",H393&lt;&gt;"Not given")=TRUE,IF(SUMIFS(P:P,A:A,A393)&gt;0,IF((ABS((SUMIFS(P:P,A:A,A393)/VLOOKUP("USD",'Exchange Rates'!B:C,2,0)))/S393)&gt;1,(SUMIFS(P:P,A:A,A393)-S393)/S393,(S393-SUMIFS(P:P,A:A,A393))/SUMIFS(P:P,A:A,A393)),"."),".")</f>
        <v>.</v>
      </c>
    </row>
    <row r="394" spans="1:53" ht="15.95" customHeight="1">
      <c r="A394" s="1180" t="s">
        <v>1410</v>
      </c>
      <c r="B394" s="1180" t="s">
        <v>1305</v>
      </c>
      <c r="C394" s="1181">
        <v>44775</v>
      </c>
      <c r="D394" s="1182" t="s">
        <v>360</v>
      </c>
      <c r="E394" s="1182" t="s">
        <v>1216</v>
      </c>
      <c r="F394" s="1183" t="s">
        <v>1418</v>
      </c>
      <c r="G394" s="1184" t="s">
        <v>483</v>
      </c>
      <c r="H394" s="1185">
        <v>2900000</v>
      </c>
      <c r="I394" s="1180" t="s">
        <v>1419</v>
      </c>
      <c r="J394" s="1186" t="str">
        <f>VLOOKUP($I394,'Price List, Weapons &amp; Items'!B:C,2,0)</f>
        <v>Humanitarian</v>
      </c>
      <c r="K394" s="1186" t="str">
        <f>IF(I394=".",I394,VLOOKUP($I394,'Price List, Weapons &amp; Items'!B:D,3,0))</f>
        <v>Humanitarian</v>
      </c>
      <c r="L394" s="1187">
        <f>VLOOKUP(I394,'Price List, Weapons &amp; Items'!B:E,4,0)</f>
        <v>0</v>
      </c>
      <c r="M394" s="1188">
        <v>1</v>
      </c>
      <c r="N394" s="1188" t="s">
        <v>374</v>
      </c>
      <c r="O394" s="1188" t="str">
        <f>VLOOKUP($I394,'Price List, Weapons &amp; Items'!B:G,6,0)</f>
        <v>.</v>
      </c>
      <c r="P394" s="1185" t="str">
        <f t="shared" si="93"/>
        <v>No price</v>
      </c>
      <c r="Q394" s="1185" t="str">
        <f t="shared" si="94"/>
        <v>.</v>
      </c>
      <c r="R394" s="1185" t="str">
        <f t="shared" si="90"/>
        <v/>
      </c>
      <c r="S394" s="1185" t="str">
        <f>IF(AND(AD394=1,R394&lt;&gt;".")=TRUE,R394/VLOOKUP(G394,'Exchange Rates'!B:C,2,0),IF(R394=".",".",""))</f>
        <v/>
      </c>
      <c r="T394" s="1185" t="str">
        <f>IF(AD394=1,IF(AF394="Value is not given at all",".",IF(AF394="Value is given by the source",S394,IF(AF394="Value is calculated with prices",(IF(SUMIFS(Q:Q,A:A,A394)&gt;0,SUMIFS(Q:Q,A:A,A394),"."))/VLOOKUP("USD",'Exchange Rates'!B:C,2,0),"Error with coding"))),"")</f>
        <v/>
      </c>
      <c r="U394" s="1184" t="s">
        <v>365</v>
      </c>
      <c r="V394" s="1003" t="s">
        <v>1409</v>
      </c>
      <c r="W394" s="1018" t="s">
        <v>1420</v>
      </c>
      <c r="X394" s="1018" t="s">
        <v>1421</v>
      </c>
      <c r="Y394" s="1190" t="s">
        <v>364</v>
      </c>
      <c r="Z394" s="1184">
        <v>0</v>
      </c>
      <c r="AA394" s="1194">
        <v>0</v>
      </c>
      <c r="AB394" s="1201" t="s">
        <v>364</v>
      </c>
      <c r="AC394" s="1192" t="str">
        <f>""</f>
        <v/>
      </c>
      <c r="AD394" s="1193">
        <v>0</v>
      </c>
      <c r="AE394" s="1193" t="s">
        <v>369</v>
      </c>
      <c r="AF394" s="1193" t="s">
        <v>369</v>
      </c>
      <c r="AG394" s="1193">
        <v>1</v>
      </c>
      <c r="AH394" s="1193">
        <v>8</v>
      </c>
      <c r="AI394" s="1193">
        <v>0</v>
      </c>
      <c r="AJ394" s="1193">
        <f>VLOOKUP($I394,'Price List, Weapons &amp; Items'!B:F,5,0)</f>
        <v>0</v>
      </c>
      <c r="AK394" s="1193">
        <f t="shared" si="95"/>
        <v>0</v>
      </c>
      <c r="AL394" s="1193">
        <f t="shared" si="96"/>
        <v>0</v>
      </c>
      <c r="AM394" s="1193">
        <f t="shared" si="97"/>
        <v>0</v>
      </c>
      <c r="AN394" s="1194" t="str">
        <f>VLOOKUP($I394,'Price List, Weapons &amp; Items'!B:L,COLUMN('Price List, Weapons &amp; Items'!$J$11)-1,0)</f>
        <v>.</v>
      </c>
      <c r="AO394" s="1194" t="str">
        <f>IF(I394=".",".",VLOOKUP($I394,'Price List, Weapons &amp; Items'!B:J,3,0))</f>
        <v>Humanitarian</v>
      </c>
      <c r="AP394" s="1195" t="str">
        <f t="shared" ca="1" si="91"/>
        <v/>
      </c>
      <c r="AQ394" s="1194">
        <f>VLOOKUP($I394,'Price List, Weapons &amp; Items'!B:L,COLUMN('Price List, Weapons &amp; Items'!$L$11)-1,0)</f>
        <v>0</v>
      </c>
      <c r="AR394" s="1194">
        <f t="shared" si="98"/>
        <v>1</v>
      </c>
      <c r="AS394" s="1194">
        <f t="shared" si="99"/>
        <v>0</v>
      </c>
      <c r="AT394" s="1194">
        <f t="shared" si="100"/>
        <v>1</v>
      </c>
      <c r="AU394" s="1194" t="str">
        <f t="shared" si="101"/>
        <v>.</v>
      </c>
      <c r="AV394" s="1194" t="str">
        <f t="shared" si="92"/>
        <v>.</v>
      </c>
      <c r="AW394" s="1194" t="str">
        <f t="shared" si="102"/>
        <v>.</v>
      </c>
      <c r="AX394" s="1194">
        <f>IFERROR(VLOOKUP(B394,'Share, Heavy Weapons to Ukraine'!B:Z,COLUMN('Share, Heavy Weapons to Ukraine'!C404)-1,0),0)</f>
        <v>0</v>
      </c>
      <c r="AY394" s="1194">
        <f>VLOOKUP('Bilateral Assistance, MAIN DATA'!B394,'Country Summary (€)'!B:F,COLUMN('Country Summary (€)'!C405)-1,FALSE)</f>
        <v>1</v>
      </c>
      <c r="AZ394" s="1194" t="str">
        <f>IF(AND(AD394=1,D394="Military",H394&lt;&gt;"Not given")=TRUE,IF(SUMIFS(P:P,A:A,A394)&gt;0,ABS((SUMIFS(P:P,A:A,A394)/VLOOKUP("USD",'Exchange Rates'!B:C,2,0)))/S394,"."),".")</f>
        <v>.</v>
      </c>
      <c r="BA394" s="1196" t="str">
        <f>IF(AND(AD394=1,D394="Military",H394&lt;&gt;"Not given")=TRUE,IF(SUMIFS(P:P,A:A,A394)&gt;0,IF((ABS((SUMIFS(P:P,A:A,A394)/VLOOKUP("USD",'Exchange Rates'!B:C,2,0)))/S394)&gt;1,(SUMIFS(P:P,A:A,A394)-S394)/S394,(S394-SUMIFS(P:P,A:A,A394))/SUMIFS(P:P,A:A,A394)),"."),".")</f>
        <v>.</v>
      </c>
    </row>
    <row r="395" spans="1:53" ht="15.95" customHeight="1">
      <c r="A395" s="1180" t="s">
        <v>1410</v>
      </c>
      <c r="B395" s="1180" t="s">
        <v>1305</v>
      </c>
      <c r="C395" s="1181">
        <v>44828</v>
      </c>
      <c r="D395" s="1182" t="s">
        <v>360</v>
      </c>
      <c r="E395" s="1182" t="s">
        <v>1216</v>
      </c>
      <c r="F395" s="1183" t="s">
        <v>1422</v>
      </c>
      <c r="G395" s="1184" t="s">
        <v>483</v>
      </c>
      <c r="H395" s="1185">
        <v>2900000</v>
      </c>
      <c r="I395" s="1180" t="s">
        <v>1415</v>
      </c>
      <c r="J395" s="1186" t="str">
        <f>VLOOKUP($I395,'Price List, Weapons &amp; Items'!B:C,2,0)</f>
        <v>Humanitarian</v>
      </c>
      <c r="K395" s="1186" t="str">
        <f>IF(I395=".",I395,VLOOKUP($I395,'Price List, Weapons &amp; Items'!B:D,3,0))</f>
        <v>Humanitarian</v>
      </c>
      <c r="L395" s="1187">
        <f>VLOOKUP(I395,'Price List, Weapons &amp; Items'!B:E,4,0)</f>
        <v>0</v>
      </c>
      <c r="M395" s="1188">
        <v>12</v>
      </c>
      <c r="N395" s="1188">
        <v>12</v>
      </c>
      <c r="O395" s="1188">
        <f>VLOOKUP($I395,'Price List, Weapons &amp; Items'!B:G,6,0)</f>
        <v>83142</v>
      </c>
      <c r="P395" s="1185">
        <f t="shared" si="93"/>
        <v>997704</v>
      </c>
      <c r="Q395" s="1185">
        <f t="shared" si="94"/>
        <v>997704</v>
      </c>
      <c r="R395" s="1185" t="str">
        <f t="shared" si="90"/>
        <v/>
      </c>
      <c r="S395" s="1185" t="str">
        <f>IF(AND(AD395=1,R395&lt;&gt;".")=TRUE,R395/VLOOKUP(G395,'Exchange Rates'!B:C,2,0),IF(R395=".",".",""))</f>
        <v/>
      </c>
      <c r="T395" s="1185" t="str">
        <f>IF(AD395=1,IF(AF395="Value is not given at all",".",IF(AF395="Value is given by the source",S395,IF(AF395="Value is calculated with prices",(IF(SUMIFS(Q:Q,A:A,A395)&gt;0,SUMIFS(Q:Q,A:A,A395),"."))/VLOOKUP("USD",'Exchange Rates'!B:C,2,0),"Error with coding"))),"")</f>
        <v/>
      </c>
      <c r="U395" s="1184" t="s">
        <v>365</v>
      </c>
      <c r="V395" s="1003" t="s">
        <v>1409</v>
      </c>
      <c r="W395" s="1018" t="s">
        <v>1416</v>
      </c>
      <c r="X395" s="1018" t="s">
        <v>1423</v>
      </c>
      <c r="Y395" s="1018" t="s">
        <v>1424</v>
      </c>
      <c r="Z395" s="1184">
        <v>0</v>
      </c>
      <c r="AA395" s="1194">
        <v>0</v>
      </c>
      <c r="AB395" s="1201" t="s">
        <v>364</v>
      </c>
      <c r="AC395" s="1192" t="str">
        <f>""</f>
        <v/>
      </c>
      <c r="AD395" s="1193">
        <v>0</v>
      </c>
      <c r="AE395" s="1193" t="s">
        <v>436</v>
      </c>
      <c r="AF395" s="1193" t="s">
        <v>436</v>
      </c>
      <c r="AG395" s="1193">
        <v>1</v>
      </c>
      <c r="AH395" s="1193">
        <v>9</v>
      </c>
      <c r="AI395" s="1193">
        <v>0</v>
      </c>
      <c r="AJ395" s="1193">
        <f>VLOOKUP($I395,'Price List, Weapons &amp; Items'!B:F,5,0)</f>
        <v>0</v>
      </c>
      <c r="AK395" s="1193">
        <f t="shared" si="95"/>
        <v>0</v>
      </c>
      <c r="AL395" s="1193">
        <f t="shared" si="96"/>
        <v>0</v>
      </c>
      <c r="AM395" s="1193">
        <f t="shared" si="97"/>
        <v>0</v>
      </c>
      <c r="AN395" s="1194" t="str">
        <f>VLOOKUP($I395,'Price List, Weapons &amp; Items'!B:L,COLUMN('Price List, Weapons &amp; Items'!$J$11)-1,0)</f>
        <v>Online marketplace and stores</v>
      </c>
      <c r="AO395" s="1194" t="str">
        <f>IF(I395=".",".",VLOOKUP($I395,'Price List, Weapons &amp; Items'!B:J,3,0))</f>
        <v>Humanitarian</v>
      </c>
      <c r="AP395" s="1195" t="str">
        <f t="shared" ca="1" si="91"/>
        <v/>
      </c>
      <c r="AQ395" s="1194">
        <f>VLOOKUP($I395,'Price List, Weapons &amp; Items'!B:L,COLUMN('Price List, Weapons &amp; Items'!$L$11)-1,0)</f>
        <v>0</v>
      </c>
      <c r="AR395" s="1194">
        <f t="shared" si="98"/>
        <v>1</v>
      </c>
      <c r="AS395" s="1194">
        <f t="shared" si="99"/>
        <v>0</v>
      </c>
      <c r="AT395" s="1194">
        <f t="shared" si="100"/>
        <v>1</v>
      </c>
      <c r="AU395" s="1194" t="str">
        <f t="shared" si="101"/>
        <v>.</v>
      </c>
      <c r="AV395" s="1194" t="str">
        <f t="shared" si="92"/>
        <v>.</v>
      </c>
      <c r="AW395" s="1194" t="str">
        <f t="shared" si="102"/>
        <v>.</v>
      </c>
      <c r="AX395" s="1194">
        <f>IFERROR(VLOOKUP(B395,'Share, Heavy Weapons to Ukraine'!B:Z,COLUMN('Share, Heavy Weapons to Ukraine'!C405)-1,0),0)</f>
        <v>0</v>
      </c>
      <c r="AY395" s="1194">
        <f>VLOOKUP('Bilateral Assistance, MAIN DATA'!B395,'Country Summary (€)'!B:F,COLUMN('Country Summary (€)'!C406)-1,FALSE)</f>
        <v>1</v>
      </c>
      <c r="AZ395" s="1194" t="str">
        <f>IF(AND(AD395=1,D395="Military",H395&lt;&gt;"Not given")=TRUE,IF(SUMIFS(P:P,A:A,A395)&gt;0,ABS((SUMIFS(P:P,A:A,A395)/VLOOKUP("USD",'Exchange Rates'!B:C,2,0)))/S395,"."),".")</f>
        <v>.</v>
      </c>
      <c r="BA395" s="1196" t="str">
        <f>IF(AND(AD395=1,D395="Military",H395&lt;&gt;"Not given")=TRUE,IF(SUMIFS(P:P,A:A,A395)&gt;0,IF((ABS((SUMIFS(P:P,A:A,A395)/VLOOKUP("USD",'Exchange Rates'!B:C,2,0)))/S395)&gt;1,(SUMIFS(P:P,A:A,A395)-S395)/S395,(S395-SUMIFS(P:P,A:A,A395))/SUMIFS(P:P,A:A,A395)),"."),".")</f>
        <v>.</v>
      </c>
    </row>
    <row r="396" spans="1:53" ht="15.95" customHeight="1">
      <c r="A396" s="1180" t="s">
        <v>1410</v>
      </c>
      <c r="B396" s="1180" t="s">
        <v>1305</v>
      </c>
      <c r="C396" s="1181">
        <v>44833</v>
      </c>
      <c r="D396" s="1182" t="s">
        <v>360</v>
      </c>
      <c r="E396" s="1182" t="s">
        <v>1216</v>
      </c>
      <c r="F396" s="1183" t="s">
        <v>1425</v>
      </c>
      <c r="G396" s="1184" t="s">
        <v>483</v>
      </c>
      <c r="H396" s="1185">
        <v>2900000</v>
      </c>
      <c r="I396" s="1180" t="s">
        <v>1426</v>
      </c>
      <c r="J396" s="1186" t="str">
        <f>VLOOKUP($I396,'Price List, Weapons &amp; Items'!B:C,2,0)</f>
        <v>Humanitarian</v>
      </c>
      <c r="K396" s="1186" t="str">
        <f>IF(I396=".",I396,VLOOKUP($I396,'Price List, Weapons &amp; Items'!B:D,3,0))</f>
        <v>Humanitarian</v>
      </c>
      <c r="L396" s="1187">
        <f>VLOOKUP(I396,'Price List, Weapons &amp; Items'!B:E,4,0)</f>
        <v>0</v>
      </c>
      <c r="M396" s="1188" t="s">
        <v>374</v>
      </c>
      <c r="N396" s="1188" t="s">
        <v>374</v>
      </c>
      <c r="O396" s="1188" t="str">
        <f>VLOOKUP($I396,'Price List, Weapons &amp; Items'!B:G,6,0)</f>
        <v>.</v>
      </c>
      <c r="P396" s="1185" t="str">
        <f t="shared" si="93"/>
        <v>.</v>
      </c>
      <c r="Q396" s="1185" t="str">
        <f t="shared" si="94"/>
        <v>.</v>
      </c>
      <c r="R396" s="1185" t="str">
        <f t="shared" si="90"/>
        <v/>
      </c>
      <c r="S396" s="1185" t="str">
        <f>IF(AND(AD396=1,R396&lt;&gt;".")=TRUE,R396/VLOOKUP(G396,'Exchange Rates'!B:C,2,0),IF(R396=".",".",""))</f>
        <v/>
      </c>
      <c r="T396" s="1185" t="str">
        <f>IF(AD396=1,IF(AF396="Value is not given at all",".",IF(AF396="Value is given by the source",S396,IF(AF396="Value is calculated with prices",(IF(SUMIFS(Q:Q,A:A,A396)&gt;0,SUMIFS(Q:Q,A:A,A396),"."))/VLOOKUP("USD",'Exchange Rates'!B:C,2,0),"Error with coding"))),"")</f>
        <v/>
      </c>
      <c r="U396" s="1184" t="s">
        <v>365</v>
      </c>
      <c r="V396" s="1003" t="s">
        <v>1409</v>
      </c>
      <c r="W396" s="1018" t="s">
        <v>1427</v>
      </c>
      <c r="X396" s="1018" t="s">
        <v>1428</v>
      </c>
      <c r="Y396" s="1024" t="s">
        <v>364</v>
      </c>
      <c r="Z396" s="1184">
        <v>0</v>
      </c>
      <c r="AA396" s="1194">
        <v>0</v>
      </c>
      <c r="AB396" s="1201" t="s">
        <v>364</v>
      </c>
      <c r="AC396" s="1192" t="str">
        <f>""</f>
        <v/>
      </c>
      <c r="AD396" s="1193">
        <v>0</v>
      </c>
      <c r="AE396" s="1193" t="s">
        <v>369</v>
      </c>
      <c r="AF396" s="1193" t="s">
        <v>369</v>
      </c>
      <c r="AG396" s="1193">
        <v>1</v>
      </c>
      <c r="AH396" s="1193">
        <v>9</v>
      </c>
      <c r="AI396" s="1193">
        <v>0</v>
      </c>
      <c r="AJ396" s="1193">
        <f>VLOOKUP($I396,'Price List, Weapons &amp; Items'!B:F,5,0)</f>
        <v>0</v>
      </c>
      <c r="AK396" s="1193">
        <f t="shared" si="95"/>
        <v>0</v>
      </c>
      <c r="AL396" s="1193">
        <f t="shared" si="96"/>
        <v>0</v>
      </c>
      <c r="AM396" s="1193">
        <f t="shared" si="97"/>
        <v>0</v>
      </c>
      <c r="AN396" s="1194" t="str">
        <f>VLOOKUP($I396,'Price List, Weapons &amp; Items'!B:L,COLUMN('Price List, Weapons &amp; Items'!$J$11)-1,0)</f>
        <v>.</v>
      </c>
      <c r="AO396" s="1194" t="str">
        <f>IF(I396=".",".",VLOOKUP($I396,'Price List, Weapons &amp; Items'!B:J,3,0))</f>
        <v>Humanitarian</v>
      </c>
      <c r="AP396" s="1195" t="str">
        <f t="shared" ca="1" si="91"/>
        <v/>
      </c>
      <c r="AQ396" s="1194">
        <f>VLOOKUP($I396,'Price List, Weapons &amp; Items'!B:L,COLUMN('Price List, Weapons &amp; Items'!$L$11)-1,0)</f>
        <v>0</v>
      </c>
      <c r="AR396" s="1194">
        <f t="shared" si="98"/>
        <v>1</v>
      </c>
      <c r="AS396" s="1194">
        <f t="shared" si="99"/>
        <v>0</v>
      </c>
      <c r="AT396" s="1194">
        <f t="shared" si="100"/>
        <v>1</v>
      </c>
      <c r="AU396" s="1194" t="str">
        <f t="shared" si="101"/>
        <v>.</v>
      </c>
      <c r="AV396" s="1194" t="str">
        <f t="shared" si="92"/>
        <v>.</v>
      </c>
      <c r="AW396" s="1194" t="str">
        <f t="shared" si="102"/>
        <v>.</v>
      </c>
      <c r="AX396" s="1194">
        <f>IFERROR(VLOOKUP(B396,'Share, Heavy Weapons to Ukraine'!B:Z,COLUMN('Share, Heavy Weapons to Ukraine'!C406)-1,0),0)</f>
        <v>0</v>
      </c>
      <c r="AY396" s="1194">
        <f>VLOOKUP('Bilateral Assistance, MAIN DATA'!B396,'Country Summary (€)'!B:F,COLUMN('Country Summary (€)'!C407)-1,FALSE)</f>
        <v>1</v>
      </c>
      <c r="AZ396" s="1194" t="str">
        <f>IF(AND(AD396=1,D396="Military",H396&lt;&gt;"Not given")=TRUE,IF(SUMIFS(P:P,A:A,A396)&gt;0,ABS((SUMIFS(P:P,A:A,A396)/VLOOKUP("USD",'Exchange Rates'!B:C,2,0)))/S396,"."),".")</f>
        <v>.</v>
      </c>
      <c r="BA396" s="1196" t="str">
        <f>IF(AND(AD396=1,D396="Military",H396&lt;&gt;"Not given")=TRUE,IF(SUMIFS(P:P,A:A,A396)&gt;0,IF((ABS((SUMIFS(P:P,A:A,A396)/VLOOKUP("USD",'Exchange Rates'!B:C,2,0)))/S396)&gt;1,(SUMIFS(P:P,A:A,A396)-S396)/S396,(S396-SUMIFS(P:P,A:A,A396))/SUMIFS(P:P,A:A,A396)),"."),".")</f>
        <v>.</v>
      </c>
    </row>
    <row r="397" spans="1:53" ht="15.95" customHeight="1">
      <c r="A397" s="1180" t="s">
        <v>1429</v>
      </c>
      <c r="B397" s="1180" t="s">
        <v>1305</v>
      </c>
      <c r="C397" s="1181" t="s">
        <v>1407</v>
      </c>
      <c r="D397" s="1182" t="s">
        <v>360</v>
      </c>
      <c r="E397" s="1182" t="s">
        <v>1216</v>
      </c>
      <c r="F397" s="1183" t="s">
        <v>1430</v>
      </c>
      <c r="G397" s="1184" t="s">
        <v>483</v>
      </c>
      <c r="H397" s="1185">
        <v>3100000</v>
      </c>
      <c r="I397" s="1190" t="s">
        <v>364</v>
      </c>
      <c r="J397" s="1186" t="str">
        <f>VLOOKUP($I397,'Price List, Weapons &amp; Items'!B:C,2,0)</f>
        <v>.</v>
      </c>
      <c r="K397" s="1186" t="str">
        <f>IF(I397=".",I397,VLOOKUP($I397,'Price List, Weapons &amp; Items'!B:D,3,0))</f>
        <v>.</v>
      </c>
      <c r="L397" s="1187">
        <f>VLOOKUP(I397,'Price List, Weapons &amp; Items'!B:E,4,0)</f>
        <v>0</v>
      </c>
      <c r="M397" s="1188" t="s">
        <v>364</v>
      </c>
      <c r="N397" s="1188" t="s">
        <v>364</v>
      </c>
      <c r="O397" s="1188" t="str">
        <f>VLOOKUP($I397,'Price List, Weapons &amp; Items'!B:G,6,0)</f>
        <v>.</v>
      </c>
      <c r="P397" s="1185" t="str">
        <f t="shared" si="93"/>
        <v>.</v>
      </c>
      <c r="Q397" s="1185" t="str">
        <f t="shared" si="94"/>
        <v>.</v>
      </c>
      <c r="R397" s="1185">
        <f t="shared" si="90"/>
        <v>3100000</v>
      </c>
      <c r="S397" s="1185">
        <f>IF(AND(AD397=1,R397&lt;&gt;".")=TRUE,R397/VLOOKUP(G397,'Exchange Rates'!B:C,2,0),IF(R397=".",".",""))</f>
        <v>3100000</v>
      </c>
      <c r="T397" s="1185" t="str">
        <f>IF(AD397=1,IF(AF397="Value is not given at all",".",IF(AF397="Value is given by the source",S397,IF(AF397="Value is calculated with prices",(IF(SUMIFS(Q:Q,A:A,A397)&gt;0,SUMIFS(Q:Q,A:A,A397),"."))/VLOOKUP("USD",'Exchange Rates'!B:C,2,0),"Error with coding"))),"")</f>
        <v>.</v>
      </c>
      <c r="U397" s="1184" t="s">
        <v>365</v>
      </c>
      <c r="V397" s="1003" t="s">
        <v>1409</v>
      </c>
      <c r="W397" s="1024" t="s">
        <v>364</v>
      </c>
      <c r="X397" s="1024" t="s">
        <v>364</v>
      </c>
      <c r="Y397" s="1190" t="s">
        <v>364</v>
      </c>
      <c r="Z397" s="1184">
        <v>0</v>
      </c>
      <c r="AA397" s="1194">
        <v>1</v>
      </c>
      <c r="AB397" s="1201" t="s">
        <v>364</v>
      </c>
      <c r="AC397" s="1192" t="str">
        <f>""</f>
        <v/>
      </c>
      <c r="AD397" s="1193">
        <v>1</v>
      </c>
      <c r="AE397" s="1193" t="s">
        <v>368</v>
      </c>
      <c r="AF397" s="1193" t="s">
        <v>369</v>
      </c>
      <c r="AG397" s="1193">
        <v>0</v>
      </c>
      <c r="AH397" s="1193">
        <v>0</v>
      </c>
      <c r="AI397" s="1193">
        <v>0</v>
      </c>
      <c r="AJ397" s="1193">
        <f>VLOOKUP($I397,'Price List, Weapons &amp; Items'!B:F,5,0)</f>
        <v>0</v>
      </c>
      <c r="AK397" s="1193">
        <f t="shared" si="95"/>
        <v>0</v>
      </c>
      <c r="AL397" s="1193">
        <f t="shared" si="96"/>
        <v>0</v>
      </c>
      <c r="AM397" s="1193">
        <f t="shared" si="97"/>
        <v>0</v>
      </c>
      <c r="AN397" s="1194" t="str">
        <f>VLOOKUP($I397,'Price List, Weapons &amp; Items'!B:L,COLUMN('Price List, Weapons &amp; Items'!$J$11)-1,0)</f>
        <v>.</v>
      </c>
      <c r="AO397" s="1194" t="str">
        <f>IF(I397=".",".",VLOOKUP($I397,'Price List, Weapons &amp; Items'!B:J,3,0))</f>
        <v>.</v>
      </c>
      <c r="AP397" s="1195" t="str">
        <f t="shared" ca="1" si="91"/>
        <v>.</v>
      </c>
      <c r="AQ397" s="1194">
        <f>VLOOKUP($I397,'Price List, Weapons &amp; Items'!B:L,COLUMN('Price List, Weapons &amp; Items'!$L$11)-1,0)</f>
        <v>0</v>
      </c>
      <c r="AR397" s="1194">
        <f t="shared" si="98"/>
        <v>1</v>
      </c>
      <c r="AS397" s="1194">
        <f t="shared" si="99"/>
        <v>0</v>
      </c>
      <c r="AT397" s="1194" t="str">
        <f t="shared" si="100"/>
        <v>Value is not in date format</v>
      </c>
      <c r="AU397" s="1194" t="str">
        <f t="shared" si="101"/>
        <v>.</v>
      </c>
      <c r="AV397" s="1194" t="str">
        <f t="shared" si="92"/>
        <v>.</v>
      </c>
      <c r="AW397" s="1194" t="str">
        <f t="shared" si="102"/>
        <v>.</v>
      </c>
      <c r="AX397" s="1194">
        <f>IFERROR(VLOOKUP(B397,'Share, Heavy Weapons to Ukraine'!B:Z,COLUMN('Share, Heavy Weapons to Ukraine'!C407)-1,0),0)</f>
        <v>0</v>
      </c>
      <c r="AY397" s="1194">
        <f>VLOOKUP('Bilateral Assistance, MAIN DATA'!B397,'Country Summary (€)'!B:F,COLUMN('Country Summary (€)'!C408)-1,FALSE)</f>
        <v>1</v>
      </c>
      <c r="AZ397" s="1194" t="str">
        <f>IF(AND(AD397=1,D397="Military",H397&lt;&gt;"Not given")=TRUE,IF(SUMIFS(P:P,A:A,A397)&gt;0,ABS((SUMIFS(P:P,A:A,A397)/VLOOKUP("USD",'Exchange Rates'!B:C,2,0)))/S397,"."),".")</f>
        <v>.</v>
      </c>
      <c r="BA397" s="1196" t="str">
        <f>IF(AND(AD397=1,D397="Military",H397&lt;&gt;"Not given")=TRUE,IF(SUMIFS(P:P,A:A,A397)&gt;0,IF((ABS((SUMIFS(P:P,A:A,A397)/VLOOKUP("USD",'Exchange Rates'!B:C,2,0)))/S397)&gt;1,(SUMIFS(P:P,A:A,A397)-S397)/S397,(S397-SUMIFS(P:P,A:A,A397))/SUMIFS(P:P,A:A,A397)),"."),".")</f>
        <v>.</v>
      </c>
    </row>
    <row r="398" spans="1:53" ht="15.95" customHeight="1">
      <c r="A398" s="1180" t="s">
        <v>1431</v>
      </c>
      <c r="B398" s="1180" t="s">
        <v>1432</v>
      </c>
      <c r="C398" s="1181">
        <v>44609</v>
      </c>
      <c r="D398" s="1182" t="s">
        <v>360</v>
      </c>
      <c r="E398" s="1182" t="s">
        <v>361</v>
      </c>
      <c r="F398" s="1183" t="s">
        <v>1433</v>
      </c>
      <c r="G398" s="1184" t="s">
        <v>483</v>
      </c>
      <c r="H398" s="1185">
        <v>2000000</v>
      </c>
      <c r="I398" s="1180" t="s">
        <v>364</v>
      </c>
      <c r="J398" s="1186" t="str">
        <f>VLOOKUP($I398,'Price List, Weapons &amp; Items'!B:C,2,0)</f>
        <v>.</v>
      </c>
      <c r="K398" s="1186" t="str">
        <f>IF(I398=".",I398,VLOOKUP($I398,'Price List, Weapons &amp; Items'!B:D,3,0))</f>
        <v>.</v>
      </c>
      <c r="L398" s="1187">
        <f>VLOOKUP(I398,'Price List, Weapons &amp; Items'!B:E,4,0)</f>
        <v>0</v>
      </c>
      <c r="M398" s="1188" t="s">
        <v>364</v>
      </c>
      <c r="N398" s="1188" t="s">
        <v>364</v>
      </c>
      <c r="O398" s="1188" t="str">
        <f>VLOOKUP($I398,'Price List, Weapons &amp; Items'!B:G,6,0)</f>
        <v>.</v>
      </c>
      <c r="P398" s="1185" t="str">
        <f t="shared" si="93"/>
        <v>.</v>
      </c>
      <c r="Q398" s="1185" t="str">
        <f t="shared" si="94"/>
        <v>.</v>
      </c>
      <c r="R398" s="1185">
        <f t="shared" si="90"/>
        <v>2000000</v>
      </c>
      <c r="S398" s="1185">
        <f>IF(AND(AD398=1,R398&lt;&gt;".")=TRUE,R398/VLOOKUP(G398,'Exchange Rates'!B:C,2,0),IF(R398=".",".",""))</f>
        <v>2000000</v>
      </c>
      <c r="T398" s="1185" t="str">
        <f>IF(AD398=1,IF(AF398="Value is not given at all",".",IF(AF398="Value is given by the source",S398,IF(AF398="Value is calculated with prices",(IF(SUMIFS(Q:Q,A:A,A398)&gt;0,SUMIFS(Q:Q,A:A,A398),"."))/VLOOKUP("USD",'Exchange Rates'!B:C,2,0),"Error with coding"))),"")</f>
        <v>.</v>
      </c>
      <c r="U398" s="1184" t="s">
        <v>365</v>
      </c>
      <c r="V398" s="971" t="s">
        <v>1434</v>
      </c>
      <c r="W398" s="1190" t="s">
        <v>364</v>
      </c>
      <c r="X398" s="1190" t="s">
        <v>364</v>
      </c>
      <c r="Y398" s="1190" t="s">
        <v>364</v>
      </c>
      <c r="Z398" s="1184">
        <v>0</v>
      </c>
      <c r="AA398" s="1194">
        <v>0</v>
      </c>
      <c r="AB398" s="1180" t="s">
        <v>364</v>
      </c>
      <c r="AC398" s="1192" t="str">
        <f>""</f>
        <v/>
      </c>
      <c r="AD398" s="1193">
        <v>1</v>
      </c>
      <c r="AE398" s="1193" t="s">
        <v>368</v>
      </c>
      <c r="AF398" s="1193" t="s">
        <v>369</v>
      </c>
      <c r="AG398" s="1193">
        <v>1</v>
      </c>
      <c r="AH398" s="1193">
        <v>2</v>
      </c>
      <c r="AI398" s="1193">
        <v>1</v>
      </c>
      <c r="AJ398" s="1193">
        <f>VLOOKUP($I398,'Price List, Weapons &amp; Items'!B:F,5,0)</f>
        <v>0</v>
      </c>
      <c r="AK398" s="1193">
        <f t="shared" si="95"/>
        <v>0</v>
      </c>
      <c r="AL398" s="1193">
        <f t="shared" si="96"/>
        <v>0</v>
      </c>
      <c r="AM398" s="1193">
        <f t="shared" si="97"/>
        <v>0</v>
      </c>
      <c r="AN398" s="1194" t="str">
        <f>VLOOKUP($I398,'Price List, Weapons &amp; Items'!B:L,COLUMN('Price List, Weapons &amp; Items'!$J$11)-1,0)</f>
        <v>.</v>
      </c>
      <c r="AO398" s="1194" t="str">
        <f>IF(I398=".",".",VLOOKUP($I398,'Price List, Weapons &amp; Items'!B:J,3,0))</f>
        <v>.</v>
      </c>
      <c r="AP398" s="1195" t="str">
        <f t="shared" ca="1" si="91"/>
        <v>.</v>
      </c>
      <c r="AQ398" s="1194">
        <f>VLOOKUP($I398,'Price List, Weapons &amp; Items'!B:L,COLUMN('Price List, Weapons &amp; Items'!$L$11)-1,0)</f>
        <v>0</v>
      </c>
      <c r="AR398" s="1194">
        <f t="shared" si="98"/>
        <v>1</v>
      </c>
      <c r="AS398" s="1194">
        <f t="shared" si="99"/>
        <v>0</v>
      </c>
      <c r="AT398" s="1194">
        <f t="shared" si="100"/>
        <v>1</v>
      </c>
      <c r="AU398" s="1194" t="str">
        <f t="shared" si="101"/>
        <v>.</v>
      </c>
      <c r="AV398" s="1194" t="str">
        <f t="shared" si="92"/>
        <v>.</v>
      </c>
      <c r="AW398" s="1194" t="str">
        <f t="shared" si="102"/>
        <v>.</v>
      </c>
      <c r="AX398" s="1194">
        <f>IFERROR(VLOOKUP(B398,'Share, Heavy Weapons to Ukraine'!B:Z,COLUMN('Share, Heavy Weapons to Ukraine'!C408)-1,0),0)</f>
        <v>0</v>
      </c>
      <c r="AY398" s="1194">
        <f>VLOOKUP('Bilateral Assistance, MAIN DATA'!B398,'Country Summary (€)'!B:F,COLUMN('Country Summary (€)'!C409)-1,FALSE)</f>
        <v>1</v>
      </c>
      <c r="AZ398" s="1194" t="str">
        <f>IF(AND(AD398=1,D398="Military",H398&lt;&gt;"Not given")=TRUE,IF(SUMIFS(P:P,A:A,A398)&gt;0,ABS((SUMIFS(P:P,A:A,A398)/VLOOKUP("USD",'Exchange Rates'!B:C,2,0)))/S398,"."),".")</f>
        <v>.</v>
      </c>
      <c r="BA398" s="1196" t="str">
        <f>IF(AND(AD398=1,D398="Military",H398&lt;&gt;"Not given")=TRUE,IF(SUMIFS(P:P,A:A,A398)&gt;0,IF((ABS((SUMIFS(P:P,A:A,A398)/VLOOKUP("USD",'Exchange Rates'!B:C,2,0)))/S398)&gt;1,(SUMIFS(P:P,A:A,A398)-S398)/S398,(S398-SUMIFS(P:P,A:A,A398))/SUMIFS(P:P,A:A,A398)),"."),".")</f>
        <v>.</v>
      </c>
    </row>
    <row r="399" spans="1:53" ht="15.95" customHeight="1">
      <c r="A399" s="1180" t="s">
        <v>1435</v>
      </c>
      <c r="B399" s="1180" t="s">
        <v>1432</v>
      </c>
      <c r="C399" s="1181" t="s">
        <v>1436</v>
      </c>
      <c r="D399" s="1182" t="s">
        <v>360</v>
      </c>
      <c r="E399" s="1182" t="s">
        <v>361</v>
      </c>
      <c r="F399" s="1183" t="s">
        <v>1437</v>
      </c>
      <c r="G399" s="1184" t="s">
        <v>483</v>
      </c>
      <c r="H399" s="1185">
        <v>8000000</v>
      </c>
      <c r="I399" s="1180" t="s">
        <v>364</v>
      </c>
      <c r="J399" s="1186" t="str">
        <f>VLOOKUP($I399,'Price List, Weapons &amp; Items'!B:C,2,0)</f>
        <v>.</v>
      </c>
      <c r="K399" s="1186" t="str">
        <f>IF(I399=".",I399,VLOOKUP($I399,'Price List, Weapons &amp; Items'!B:D,3,0))</f>
        <v>.</v>
      </c>
      <c r="L399" s="1187">
        <f>VLOOKUP(I399,'Price List, Weapons &amp; Items'!B:E,4,0)</f>
        <v>0</v>
      </c>
      <c r="M399" s="1188" t="s">
        <v>364</v>
      </c>
      <c r="N399" s="1188" t="s">
        <v>364</v>
      </c>
      <c r="O399" s="1188" t="str">
        <f>VLOOKUP($I399,'Price List, Weapons &amp; Items'!B:G,6,0)</f>
        <v>.</v>
      </c>
      <c r="P399" s="1185" t="str">
        <f t="shared" si="93"/>
        <v>.</v>
      </c>
      <c r="Q399" s="1185" t="str">
        <f t="shared" si="94"/>
        <v>.</v>
      </c>
      <c r="R399" s="1185">
        <f t="shared" si="90"/>
        <v>8000000</v>
      </c>
      <c r="S399" s="1185">
        <f>IF(AND(AD399=1,R399&lt;&gt;".")=TRUE,R399/VLOOKUP(G399,'Exchange Rates'!B:C,2,0),IF(R399=".",".",""))</f>
        <v>8000000</v>
      </c>
      <c r="T399" s="1185" t="str">
        <f>IF(AD399=1,IF(AF399="Value is not given at all",".",IF(AF399="Value is given by the source",S399,IF(AF399="Value is calculated with prices",(IF(SUMIFS(Q:Q,A:A,A399)&gt;0,SUMIFS(Q:Q,A:A,A399),"."))/VLOOKUP("USD",'Exchange Rates'!B:C,2,0),"Error with coding"))),"")</f>
        <v>.</v>
      </c>
      <c r="U399" s="1184" t="s">
        <v>365</v>
      </c>
      <c r="V399" s="971" t="s">
        <v>1438</v>
      </c>
      <c r="W399" s="966" t="s">
        <v>1439</v>
      </c>
      <c r="X399" s="1190"/>
      <c r="Y399" s="1190"/>
      <c r="Z399" s="1184">
        <v>0</v>
      </c>
      <c r="AA399" s="1194">
        <v>0</v>
      </c>
      <c r="AB399" s="1180" t="s">
        <v>364</v>
      </c>
      <c r="AC399" s="1192" t="str">
        <f>""</f>
        <v/>
      </c>
      <c r="AD399" s="1193">
        <v>1</v>
      </c>
      <c r="AE399" s="1193" t="s">
        <v>368</v>
      </c>
      <c r="AF399" s="1193" t="s">
        <v>369</v>
      </c>
      <c r="AG399" s="1193">
        <v>1</v>
      </c>
      <c r="AH399" s="1193">
        <v>17</v>
      </c>
      <c r="AI399" s="1193">
        <v>0</v>
      </c>
      <c r="AJ399" s="1193">
        <f>VLOOKUP($I399,'Price List, Weapons &amp; Items'!B:F,5,0)</f>
        <v>0</v>
      </c>
      <c r="AK399" s="1193">
        <f t="shared" si="95"/>
        <v>0</v>
      </c>
      <c r="AL399" s="1193">
        <f t="shared" si="96"/>
        <v>0</v>
      </c>
      <c r="AM399" s="1193">
        <f t="shared" si="97"/>
        <v>0</v>
      </c>
      <c r="AN399" s="1194" t="str">
        <f>VLOOKUP($I399,'Price List, Weapons &amp; Items'!B:L,COLUMN('Price List, Weapons &amp; Items'!$J$11)-1,0)</f>
        <v>.</v>
      </c>
      <c r="AO399" s="1194" t="str">
        <f>IF(I399=".",".",VLOOKUP($I399,'Price List, Weapons &amp; Items'!B:J,3,0))</f>
        <v>.</v>
      </c>
      <c r="AP399" s="1195" t="str">
        <f t="shared" ca="1" si="91"/>
        <v>.</v>
      </c>
      <c r="AQ399" s="1194">
        <f>VLOOKUP($I399,'Price List, Weapons &amp; Items'!B:L,COLUMN('Price List, Weapons &amp; Items'!$L$11)-1,0)</f>
        <v>0</v>
      </c>
      <c r="AR399" s="1194">
        <f t="shared" si="98"/>
        <v>1</v>
      </c>
      <c r="AS399" s="1194">
        <f t="shared" si="99"/>
        <v>0</v>
      </c>
      <c r="AT399" s="1194" t="str">
        <f t="shared" si="100"/>
        <v>Value is not in date format</v>
      </c>
      <c r="AU399" s="1194" t="str">
        <f t="shared" si="101"/>
        <v>.</v>
      </c>
      <c r="AV399" s="1194" t="str">
        <f t="shared" si="92"/>
        <v>.</v>
      </c>
      <c r="AW399" s="1194" t="str">
        <f t="shared" si="102"/>
        <v>.</v>
      </c>
      <c r="AX399" s="1194">
        <f>IFERROR(VLOOKUP(B399,'Share, Heavy Weapons to Ukraine'!B:Z,COLUMN('Share, Heavy Weapons to Ukraine'!C409)-1,0),0)</f>
        <v>0</v>
      </c>
      <c r="AY399" s="1194">
        <f>VLOOKUP('Bilateral Assistance, MAIN DATA'!B399,'Country Summary (€)'!B:F,COLUMN('Country Summary (€)'!C410)-1,FALSE)</f>
        <v>1</v>
      </c>
      <c r="AZ399" s="1194" t="str">
        <f>IF(AND(AD399=1,D399="Military",H399&lt;&gt;"Not given")=TRUE,IF(SUMIFS(P:P,A:A,A399)&gt;0,ABS((SUMIFS(P:P,A:A,A399)/VLOOKUP("USD",'Exchange Rates'!B:C,2,0)))/S399,"."),".")</f>
        <v>.</v>
      </c>
      <c r="BA399" s="1196" t="str">
        <f>IF(AND(AD399=1,D399="Military",H399&lt;&gt;"Not given")=TRUE,IF(SUMIFS(P:P,A:A,A399)&gt;0,IF((ABS((SUMIFS(P:P,A:A,A399)/VLOOKUP("USD",'Exchange Rates'!B:C,2,0)))/S399)&gt;1,(SUMIFS(P:P,A:A,A399)-S399)/S399,(S399-SUMIFS(P:P,A:A,A399))/SUMIFS(P:P,A:A,A399)),"."),".")</f>
        <v>.</v>
      </c>
    </row>
    <row r="400" spans="1:53" ht="15.95" customHeight="1">
      <c r="A400" s="1180" t="s">
        <v>1435</v>
      </c>
      <c r="B400" s="1182" t="s">
        <v>1432</v>
      </c>
      <c r="C400" s="1181">
        <v>44623</v>
      </c>
      <c r="D400" s="1182" t="s">
        <v>360</v>
      </c>
      <c r="E400" s="1182" t="s">
        <v>371</v>
      </c>
      <c r="F400" s="1183" t="s">
        <v>1437</v>
      </c>
      <c r="G400" s="1184" t="s">
        <v>483</v>
      </c>
      <c r="H400" s="1185">
        <v>8000000</v>
      </c>
      <c r="I400" s="1180" t="s">
        <v>1440</v>
      </c>
      <c r="J400" s="1186" t="str">
        <f>VLOOKUP($I400,'Price List, Weapons &amp; Items'!B:C,2,0)</f>
        <v>Humanitarian</v>
      </c>
      <c r="K400" s="1186" t="str">
        <f>IF(I400=".",I400,VLOOKUP($I400,'Price List, Weapons &amp; Items'!B:D,3,0))</f>
        <v>Humanitarian</v>
      </c>
      <c r="L400" s="1187">
        <f>VLOOKUP(I400,'Price List, Weapons &amp; Items'!B:E,4,0)</f>
        <v>0</v>
      </c>
      <c r="M400" s="1188">
        <v>1</v>
      </c>
      <c r="N400" s="1188" t="s">
        <v>374</v>
      </c>
      <c r="O400" s="1188">
        <f>VLOOKUP($I400,'Price List, Weapons &amp; Items'!B:G,6,0)</f>
        <v>4995</v>
      </c>
      <c r="P400" s="1185">
        <f t="shared" si="93"/>
        <v>4995</v>
      </c>
      <c r="Q400" s="1185" t="str">
        <f t="shared" si="94"/>
        <v>.</v>
      </c>
      <c r="R400" s="1185" t="str">
        <f t="shared" si="90"/>
        <v/>
      </c>
      <c r="S400" s="1185" t="str">
        <f>IF(AND(AD400=1,R400&lt;&gt;".")=TRUE,R400/VLOOKUP(G400,'Exchange Rates'!B:C,2,0),IF(R400=".",".",""))</f>
        <v/>
      </c>
      <c r="T400" s="1185" t="str">
        <f>IF(AD400=1,IF(AF400="Value is not given at all",".",IF(AF400="Value is given by the source",S400,IF(AF400="Value is calculated with prices",(IF(SUMIFS(Q:Q,A:A,A400)&gt;0,SUMIFS(Q:Q,A:A,A400),"."))/VLOOKUP("USD",'Exchange Rates'!B:C,2,0),"Error with coding"))),"")</f>
        <v/>
      </c>
      <c r="U400" s="1184" t="s">
        <v>365</v>
      </c>
      <c r="V400" s="974" t="s">
        <v>1438</v>
      </c>
      <c r="W400" s="966" t="s">
        <v>1439</v>
      </c>
      <c r="X400" s="1183" t="s">
        <v>364</v>
      </c>
      <c r="Y400" s="1183" t="s">
        <v>364</v>
      </c>
      <c r="Z400" s="1184">
        <v>0</v>
      </c>
      <c r="AA400" s="1194">
        <v>0</v>
      </c>
      <c r="AB400" s="1180" t="s">
        <v>364</v>
      </c>
      <c r="AC400" s="1192" t="str">
        <f>""</f>
        <v/>
      </c>
      <c r="AD400" s="1193">
        <v>0</v>
      </c>
      <c r="AE400" s="1193" t="s">
        <v>368</v>
      </c>
      <c r="AF400" s="1193" t="s">
        <v>369</v>
      </c>
      <c r="AG400" s="1193">
        <v>1</v>
      </c>
      <c r="AH400" s="1193">
        <v>3</v>
      </c>
      <c r="AI400" s="1193">
        <v>0</v>
      </c>
      <c r="AJ400" s="1193">
        <f>VLOOKUP($I400,'Price List, Weapons &amp; Items'!B:F,5,0)</f>
        <v>0</v>
      </c>
      <c r="AK400" s="1193">
        <f t="shared" si="95"/>
        <v>0</v>
      </c>
      <c r="AL400" s="1193">
        <f t="shared" si="96"/>
        <v>0</v>
      </c>
      <c r="AM400" s="1193">
        <f t="shared" si="97"/>
        <v>0</v>
      </c>
      <c r="AN400" s="1194" t="str">
        <f>VLOOKUP($I400,'Price List, Weapons &amp; Items'!B:L,COLUMN('Price List, Weapons &amp; Items'!$J$11)-1,0)</f>
        <v>Online marketplaces and stores</v>
      </c>
      <c r="AO400" s="1194" t="str">
        <f>IF(I400=".",".",VLOOKUP($I400,'Price List, Weapons &amp; Items'!B:J,3,0))</f>
        <v>Humanitarian</v>
      </c>
      <c r="AP400" s="1195" t="str">
        <f t="shared" ca="1" si="91"/>
        <v/>
      </c>
      <c r="AQ400" s="1194">
        <f>VLOOKUP($I400,'Price List, Weapons &amp; Items'!B:L,COLUMN('Price List, Weapons &amp; Items'!$L$11)-1,0)</f>
        <v>0</v>
      </c>
      <c r="AR400" s="1194">
        <f t="shared" si="98"/>
        <v>1</v>
      </c>
      <c r="AS400" s="1194">
        <f t="shared" si="99"/>
        <v>0</v>
      </c>
      <c r="AT400" s="1194">
        <f t="shared" si="100"/>
        <v>1</v>
      </c>
      <c r="AU400" s="1194" t="str">
        <f t="shared" si="101"/>
        <v>.</v>
      </c>
      <c r="AV400" s="1194" t="str">
        <f t="shared" si="92"/>
        <v>.</v>
      </c>
      <c r="AW400" s="1194" t="str">
        <f t="shared" si="102"/>
        <v>.</v>
      </c>
      <c r="AX400" s="1194">
        <f>IFERROR(VLOOKUP(B400,'Share, Heavy Weapons to Ukraine'!B:Z,COLUMN('Share, Heavy Weapons to Ukraine'!C410)-1,0),0)</f>
        <v>0</v>
      </c>
      <c r="AY400" s="1194">
        <f>VLOOKUP('Bilateral Assistance, MAIN DATA'!B400,'Country Summary (€)'!B:F,COLUMN('Country Summary (€)'!C411)-1,FALSE)</f>
        <v>1</v>
      </c>
      <c r="AZ400" s="1194" t="str">
        <f>IF(AND(AD400=1,D400="Military",H400&lt;&gt;"Not given")=TRUE,IF(SUMIFS(P:P,A:A,A400)&gt;0,ABS((SUMIFS(P:P,A:A,A400)/VLOOKUP("USD",'Exchange Rates'!B:C,2,0)))/S400,"."),".")</f>
        <v>.</v>
      </c>
      <c r="BA400" s="1196" t="str">
        <f>IF(AND(AD400=1,D400="Military",H400&lt;&gt;"Not given")=TRUE,IF(SUMIFS(P:P,A:A,A400)&gt;0,IF((ABS((SUMIFS(P:P,A:A,A400)/VLOOKUP("USD",'Exchange Rates'!B:C,2,0)))/S400)&gt;1,(SUMIFS(P:P,A:A,A400)-S400)/S400,(S400-SUMIFS(P:P,A:A,A400))/SUMIFS(P:P,A:A,A400)),"."),".")</f>
        <v>.</v>
      </c>
    </row>
    <row r="401" spans="1:53" ht="15.95" customHeight="1">
      <c r="A401" s="1180" t="s">
        <v>1435</v>
      </c>
      <c r="B401" s="1182" t="s">
        <v>1432</v>
      </c>
      <c r="C401" s="1181">
        <v>44623</v>
      </c>
      <c r="D401" s="1182" t="s">
        <v>360</v>
      </c>
      <c r="E401" s="1182" t="s">
        <v>371</v>
      </c>
      <c r="F401" s="1183" t="s">
        <v>1437</v>
      </c>
      <c r="G401" s="1184" t="s">
        <v>483</v>
      </c>
      <c r="H401" s="1185">
        <v>8000000</v>
      </c>
      <c r="I401" s="1180" t="s">
        <v>1441</v>
      </c>
      <c r="J401" s="1186" t="str">
        <f>VLOOKUP($I401,'Price List, Weapons &amp; Items'!B:C,2,0)</f>
        <v>Humanitarian</v>
      </c>
      <c r="K401" s="1186" t="str">
        <f>IF(I401=".",I401,VLOOKUP($I401,'Price List, Weapons &amp; Items'!B:D,3,0))</f>
        <v>Humanitarian</v>
      </c>
      <c r="L401" s="1187">
        <f>VLOOKUP(I401,'Price List, Weapons &amp; Items'!B:E,4,0)</f>
        <v>0</v>
      </c>
      <c r="M401" s="1188">
        <v>2</v>
      </c>
      <c r="N401" s="1188" t="s">
        <v>374</v>
      </c>
      <c r="O401" s="1188">
        <f>VLOOKUP($I401,'Price List, Weapons &amp; Items'!B:G,6,0)</f>
        <v>95</v>
      </c>
      <c r="P401" s="1185">
        <f t="shared" si="93"/>
        <v>190</v>
      </c>
      <c r="Q401" s="1185" t="str">
        <f t="shared" si="94"/>
        <v>.</v>
      </c>
      <c r="R401" s="1185" t="str">
        <f t="shared" si="90"/>
        <v/>
      </c>
      <c r="S401" s="1185" t="str">
        <f>IF(AND(AD401=1,R401&lt;&gt;".")=TRUE,R401/VLOOKUP(G401,'Exchange Rates'!B:C,2,0),IF(R401=".",".",""))</f>
        <v/>
      </c>
      <c r="T401" s="1185" t="str">
        <f>IF(AD401=1,IF(AF401="Value is not given at all",".",IF(AF401="Value is given by the source",S401,IF(AF401="Value is calculated with prices",(IF(SUMIFS(Q:Q,A:A,A401)&gt;0,SUMIFS(Q:Q,A:A,A401),"."))/VLOOKUP("USD",'Exchange Rates'!B:C,2,0),"Error with coding"))),"")</f>
        <v/>
      </c>
      <c r="U401" s="1184" t="s">
        <v>365</v>
      </c>
      <c r="V401" s="974" t="s">
        <v>1438</v>
      </c>
      <c r="W401" s="966" t="s">
        <v>1439</v>
      </c>
      <c r="X401" s="1183" t="s">
        <v>364</v>
      </c>
      <c r="Y401" s="1183" t="s">
        <v>364</v>
      </c>
      <c r="Z401" s="1184">
        <v>0</v>
      </c>
      <c r="AA401" s="1194">
        <v>0</v>
      </c>
      <c r="AB401" s="1180" t="s">
        <v>364</v>
      </c>
      <c r="AC401" s="1192" t="str">
        <f>""</f>
        <v/>
      </c>
      <c r="AD401" s="1193">
        <v>0</v>
      </c>
      <c r="AE401" s="1193" t="s">
        <v>368</v>
      </c>
      <c r="AF401" s="1193" t="s">
        <v>369</v>
      </c>
      <c r="AG401" s="1193">
        <v>1</v>
      </c>
      <c r="AH401" s="1193">
        <v>3</v>
      </c>
      <c r="AI401" s="1193">
        <v>0</v>
      </c>
      <c r="AJ401" s="1193">
        <f>VLOOKUP($I401,'Price List, Weapons &amp; Items'!B:F,5,0)</f>
        <v>0</v>
      </c>
      <c r="AK401" s="1193">
        <f t="shared" si="95"/>
        <v>0</v>
      </c>
      <c r="AL401" s="1193">
        <f t="shared" si="96"/>
        <v>0</v>
      </c>
      <c r="AM401" s="1193">
        <f t="shared" si="97"/>
        <v>0</v>
      </c>
      <c r="AN401" s="1194" t="str">
        <f>VLOOKUP($I401,'Price List, Weapons &amp; Items'!B:L,COLUMN('Price List, Weapons &amp; Items'!$J$11)-1,0)</f>
        <v>Online marketplaces and stores</v>
      </c>
      <c r="AO401" s="1194" t="str">
        <f>IF(I401=".",".",VLOOKUP($I401,'Price List, Weapons &amp; Items'!B:J,3,0))</f>
        <v>Humanitarian</v>
      </c>
      <c r="AP401" s="1195" t="str">
        <f t="shared" ca="1" si="91"/>
        <v/>
      </c>
      <c r="AQ401" s="1194">
        <f>VLOOKUP($I401,'Price List, Weapons &amp; Items'!B:L,COLUMN('Price List, Weapons &amp; Items'!$L$11)-1,0)</f>
        <v>0</v>
      </c>
      <c r="AR401" s="1194">
        <f t="shared" si="98"/>
        <v>1</v>
      </c>
      <c r="AS401" s="1194">
        <f t="shared" si="99"/>
        <v>0</v>
      </c>
      <c r="AT401" s="1194">
        <f t="shared" si="100"/>
        <v>1</v>
      </c>
      <c r="AU401" s="1194" t="str">
        <f t="shared" si="101"/>
        <v>.</v>
      </c>
      <c r="AV401" s="1194" t="str">
        <f t="shared" si="92"/>
        <v>.</v>
      </c>
      <c r="AW401" s="1194" t="str">
        <f t="shared" si="102"/>
        <v>.</v>
      </c>
      <c r="AX401" s="1194">
        <f>IFERROR(VLOOKUP(B401,'Share, Heavy Weapons to Ukraine'!B:Z,COLUMN('Share, Heavy Weapons to Ukraine'!C411)-1,0),0)</f>
        <v>0</v>
      </c>
      <c r="AY401" s="1194">
        <f>VLOOKUP('Bilateral Assistance, MAIN DATA'!B401,'Country Summary (€)'!B:F,COLUMN('Country Summary (€)'!C412)-1,FALSE)</f>
        <v>1</v>
      </c>
      <c r="AZ401" s="1194" t="str">
        <f>IF(AND(AD401=1,D401="Military",H401&lt;&gt;"Not given")=TRUE,IF(SUMIFS(P:P,A:A,A401)&gt;0,ABS((SUMIFS(P:P,A:A,A401)/VLOOKUP("USD",'Exchange Rates'!B:C,2,0)))/S401,"."),".")</f>
        <v>.</v>
      </c>
      <c r="BA401" s="1196" t="str">
        <f>IF(AND(AD401=1,D401="Military",H401&lt;&gt;"Not given")=TRUE,IF(SUMIFS(P:P,A:A,A401)&gt;0,IF((ABS((SUMIFS(P:P,A:A,A401)/VLOOKUP("USD",'Exchange Rates'!B:C,2,0)))/S401)&gt;1,(SUMIFS(P:P,A:A,A401)-S401)/S401,(S401-SUMIFS(P:P,A:A,A401))/SUMIFS(P:P,A:A,A401)),"."),".")</f>
        <v>.</v>
      </c>
    </row>
    <row r="402" spans="1:53" ht="15.95" customHeight="1">
      <c r="A402" s="1180" t="s">
        <v>1435</v>
      </c>
      <c r="B402" s="1182" t="s">
        <v>1432</v>
      </c>
      <c r="C402" s="1181">
        <v>44623</v>
      </c>
      <c r="D402" s="1182" t="s">
        <v>360</v>
      </c>
      <c r="E402" s="1182" t="s">
        <v>371</v>
      </c>
      <c r="F402" s="1183" t="s">
        <v>1437</v>
      </c>
      <c r="G402" s="1184" t="s">
        <v>483</v>
      </c>
      <c r="H402" s="1185">
        <v>8000000</v>
      </c>
      <c r="I402" s="1180" t="s">
        <v>1442</v>
      </c>
      <c r="J402" s="1186" t="str">
        <f>VLOOKUP($I402,'Price List, Weapons &amp; Items'!B:C,2,0)</f>
        <v>Humanitarian</v>
      </c>
      <c r="K402" s="1186" t="str">
        <f>IF(I402=".",I402,VLOOKUP($I402,'Price List, Weapons &amp; Items'!B:D,3,0))</f>
        <v>Humanitarian</v>
      </c>
      <c r="L402" s="1187">
        <f>VLOOKUP(I402,'Price List, Weapons &amp; Items'!B:E,4,0)</f>
        <v>0</v>
      </c>
      <c r="M402" s="1188">
        <v>5</v>
      </c>
      <c r="N402" s="1188" t="s">
        <v>374</v>
      </c>
      <c r="O402" s="1188">
        <f>VLOOKUP($I402,'Price List, Weapons &amp; Items'!B:G,6,0)</f>
        <v>3000</v>
      </c>
      <c r="P402" s="1185">
        <f t="shared" si="93"/>
        <v>15000</v>
      </c>
      <c r="Q402" s="1185" t="str">
        <f t="shared" si="94"/>
        <v>.</v>
      </c>
      <c r="R402" s="1185" t="str">
        <f t="shared" si="90"/>
        <v/>
      </c>
      <c r="S402" s="1185" t="str">
        <f>IF(AND(AD402=1,R402&lt;&gt;".")=TRUE,R402/VLOOKUP(G402,'Exchange Rates'!B:C,2,0),IF(R402=".",".",""))</f>
        <v/>
      </c>
      <c r="T402" s="1185" t="str">
        <f>IF(AD402=1,IF(AF402="Value is not given at all",".",IF(AF402="Value is given by the source",S402,IF(AF402="Value is calculated with prices",(IF(SUMIFS(Q:Q,A:A,A402)&gt;0,SUMIFS(Q:Q,A:A,A402),"."))/VLOOKUP("USD",'Exchange Rates'!B:C,2,0),"Error with coding"))),"")</f>
        <v/>
      </c>
      <c r="U402" s="1184" t="s">
        <v>365</v>
      </c>
      <c r="V402" s="974" t="s">
        <v>1438</v>
      </c>
      <c r="W402" s="966" t="s">
        <v>1439</v>
      </c>
      <c r="X402" s="1183" t="s">
        <v>364</v>
      </c>
      <c r="Y402" s="1183" t="s">
        <v>364</v>
      </c>
      <c r="Z402" s="1184">
        <v>0</v>
      </c>
      <c r="AA402" s="1194">
        <v>0</v>
      </c>
      <c r="AB402" s="1180" t="s">
        <v>364</v>
      </c>
      <c r="AC402" s="1192" t="str">
        <f>""</f>
        <v/>
      </c>
      <c r="AD402" s="1193">
        <v>0</v>
      </c>
      <c r="AE402" s="1193" t="s">
        <v>368</v>
      </c>
      <c r="AF402" s="1193" t="s">
        <v>369</v>
      </c>
      <c r="AG402" s="1193">
        <v>1</v>
      </c>
      <c r="AH402" s="1193">
        <v>3</v>
      </c>
      <c r="AI402" s="1193">
        <v>0</v>
      </c>
      <c r="AJ402" s="1193">
        <f>VLOOKUP($I402,'Price List, Weapons &amp; Items'!B:F,5,0)</f>
        <v>0</v>
      </c>
      <c r="AK402" s="1193">
        <f t="shared" si="95"/>
        <v>0</v>
      </c>
      <c r="AL402" s="1193">
        <f t="shared" si="96"/>
        <v>0</v>
      </c>
      <c r="AM402" s="1193">
        <f t="shared" si="97"/>
        <v>0</v>
      </c>
      <c r="AN402" s="1194" t="str">
        <f>VLOOKUP($I402,'Price List, Weapons &amp; Items'!B:L,COLUMN('Price List, Weapons &amp; Items'!$J$11)-1,0)</f>
        <v>Online marketplaces and stores</v>
      </c>
      <c r="AO402" s="1194" t="str">
        <f>IF(I402=".",".",VLOOKUP($I402,'Price List, Weapons &amp; Items'!B:J,3,0))</f>
        <v>Humanitarian</v>
      </c>
      <c r="AP402" s="1195" t="str">
        <f t="shared" ca="1" si="91"/>
        <v/>
      </c>
      <c r="AQ402" s="1194">
        <f>VLOOKUP($I402,'Price List, Weapons &amp; Items'!B:L,COLUMN('Price List, Weapons &amp; Items'!$L$11)-1,0)</f>
        <v>0</v>
      </c>
      <c r="AR402" s="1194">
        <f t="shared" si="98"/>
        <v>1</v>
      </c>
      <c r="AS402" s="1194">
        <f t="shared" si="99"/>
        <v>0</v>
      </c>
      <c r="AT402" s="1194">
        <f t="shared" si="100"/>
        <v>1</v>
      </c>
      <c r="AU402" s="1194" t="str">
        <f t="shared" si="101"/>
        <v>.</v>
      </c>
      <c r="AV402" s="1194" t="str">
        <f t="shared" si="92"/>
        <v>.</v>
      </c>
      <c r="AW402" s="1194" t="str">
        <f t="shared" si="102"/>
        <v>.</v>
      </c>
      <c r="AX402" s="1194">
        <f>IFERROR(VLOOKUP(B402,'Share, Heavy Weapons to Ukraine'!B:Z,COLUMN('Share, Heavy Weapons to Ukraine'!C412)-1,0),0)</f>
        <v>0</v>
      </c>
      <c r="AY402" s="1194">
        <f>VLOOKUP('Bilateral Assistance, MAIN DATA'!B402,'Country Summary (€)'!B:F,COLUMN('Country Summary (€)'!C413)-1,FALSE)</f>
        <v>1</v>
      </c>
      <c r="AZ402" s="1194" t="str">
        <f>IF(AND(AD402=1,D402="Military",H402&lt;&gt;"Not given")=TRUE,IF(SUMIFS(P:P,A:A,A402)&gt;0,ABS((SUMIFS(P:P,A:A,A402)/VLOOKUP("USD",'Exchange Rates'!B:C,2,0)))/S402,"."),".")</f>
        <v>.</v>
      </c>
      <c r="BA402" s="1196" t="str">
        <f>IF(AND(AD402=1,D402="Military",H402&lt;&gt;"Not given")=TRUE,IF(SUMIFS(P:P,A:A,A402)&gt;0,IF((ABS((SUMIFS(P:P,A:A,A402)/VLOOKUP("USD",'Exchange Rates'!B:C,2,0)))/S402)&gt;1,(SUMIFS(P:P,A:A,A402)-S402)/S402,(S402-SUMIFS(P:P,A:A,A402))/SUMIFS(P:P,A:A,A402)),"."),".")</f>
        <v>.</v>
      </c>
    </row>
    <row r="403" spans="1:53" ht="15.95" customHeight="1">
      <c r="A403" s="1180" t="s">
        <v>1435</v>
      </c>
      <c r="B403" s="1180" t="s">
        <v>1432</v>
      </c>
      <c r="C403" s="1181">
        <v>44635</v>
      </c>
      <c r="D403" s="1182" t="s">
        <v>360</v>
      </c>
      <c r="E403" s="1182" t="s">
        <v>371</v>
      </c>
      <c r="F403" s="1183" t="s">
        <v>1437</v>
      </c>
      <c r="G403" s="1184" t="s">
        <v>483</v>
      </c>
      <c r="H403" s="1185">
        <v>8000000</v>
      </c>
      <c r="I403" s="1180" t="s">
        <v>1156</v>
      </c>
      <c r="J403" s="1186" t="str">
        <f>VLOOKUP($I403,'Price List, Weapons &amp; Items'!B:C,2,0)</f>
        <v>Humanitarian</v>
      </c>
      <c r="K403" s="1186" t="str">
        <f>IF(I403=".",I403,VLOOKUP($I403,'Price List, Weapons &amp; Items'!B:D,3,0))</f>
        <v>Humanitarian</v>
      </c>
      <c r="L403" s="1187">
        <f>VLOOKUP(I403,'Price List, Weapons &amp; Items'!B:E,4,0)</f>
        <v>0</v>
      </c>
      <c r="M403" s="1188">
        <v>2</v>
      </c>
      <c r="N403" s="1188" t="s">
        <v>374</v>
      </c>
      <c r="O403" s="1188">
        <f>VLOOKUP($I403,'Price List, Weapons &amp; Items'!B:G,6,0)</f>
        <v>400000</v>
      </c>
      <c r="P403" s="1185">
        <f t="shared" si="93"/>
        <v>800000</v>
      </c>
      <c r="Q403" s="1185" t="str">
        <f t="shared" si="94"/>
        <v>.</v>
      </c>
      <c r="R403" s="1185" t="str">
        <f t="shared" si="90"/>
        <v/>
      </c>
      <c r="S403" s="1185" t="str">
        <f>IF(AND(AD403=1,R403&lt;&gt;".")=TRUE,R403/VLOOKUP(G403,'Exchange Rates'!B:C,2,0),IF(R403=".",".",""))</f>
        <v/>
      </c>
      <c r="T403" s="1185" t="str">
        <f>IF(AD403=1,IF(AF403="Value is not given at all",".",IF(AF403="Value is given by the source",S403,IF(AF403="Value is calculated with prices",(IF(SUMIFS(Q:Q,A:A,A403)&gt;0,SUMIFS(Q:Q,A:A,A403),"."))/VLOOKUP("USD",'Exchange Rates'!B:C,2,0),"Error with coding"))),"")</f>
        <v/>
      </c>
      <c r="U403" s="1184" t="s">
        <v>365</v>
      </c>
      <c r="V403" s="971" t="s">
        <v>1438</v>
      </c>
      <c r="W403" s="966" t="s">
        <v>1439</v>
      </c>
      <c r="X403" s="1190" t="s">
        <v>364</v>
      </c>
      <c r="Y403" s="1190" t="s">
        <v>364</v>
      </c>
      <c r="Z403" s="1184">
        <v>0</v>
      </c>
      <c r="AA403" s="1194">
        <v>0</v>
      </c>
      <c r="AB403" s="1180" t="s">
        <v>364</v>
      </c>
      <c r="AC403" s="1192" t="str">
        <f>""</f>
        <v/>
      </c>
      <c r="AD403" s="1193">
        <v>0</v>
      </c>
      <c r="AE403" s="1193" t="s">
        <v>368</v>
      </c>
      <c r="AF403" s="1193" t="s">
        <v>369</v>
      </c>
      <c r="AG403" s="1193">
        <v>1</v>
      </c>
      <c r="AH403" s="1193">
        <v>3</v>
      </c>
      <c r="AI403" s="1193">
        <v>0</v>
      </c>
      <c r="AJ403" s="1193">
        <f>VLOOKUP($I403,'Price List, Weapons &amp; Items'!B:F,5,0)</f>
        <v>0</v>
      </c>
      <c r="AK403" s="1193">
        <f t="shared" si="95"/>
        <v>0</v>
      </c>
      <c r="AL403" s="1193">
        <f t="shared" si="96"/>
        <v>0</v>
      </c>
      <c r="AM403" s="1193">
        <f t="shared" si="97"/>
        <v>0</v>
      </c>
      <c r="AN403" s="1194" t="str">
        <f>VLOOKUP($I403,'Price List, Weapons &amp; Items'!B:L,COLUMN('Price List, Weapons &amp; Items'!$J$11)-1,0)</f>
        <v>Media reports (incl. social media)</v>
      </c>
      <c r="AO403" s="1194" t="str">
        <f>IF(I403=".",".",VLOOKUP($I403,'Price List, Weapons &amp; Items'!B:J,3,0))</f>
        <v>Humanitarian</v>
      </c>
      <c r="AP403" s="1195" t="str">
        <f t="shared" ca="1" si="91"/>
        <v/>
      </c>
      <c r="AQ403" s="1194">
        <f>VLOOKUP($I403,'Price List, Weapons &amp; Items'!B:L,COLUMN('Price List, Weapons &amp; Items'!$L$11)-1,0)</f>
        <v>0</v>
      </c>
      <c r="AR403" s="1194">
        <f t="shared" si="98"/>
        <v>1</v>
      </c>
      <c r="AS403" s="1194">
        <f t="shared" si="99"/>
        <v>0</v>
      </c>
      <c r="AT403" s="1194">
        <f t="shared" si="100"/>
        <v>1</v>
      </c>
      <c r="AU403" s="1194" t="str">
        <f t="shared" si="101"/>
        <v>.</v>
      </c>
      <c r="AV403" s="1194" t="str">
        <f t="shared" si="92"/>
        <v>.</v>
      </c>
      <c r="AW403" s="1194" t="str">
        <f t="shared" si="102"/>
        <v>.</v>
      </c>
      <c r="AX403" s="1194">
        <f>IFERROR(VLOOKUP(B403,'Share, Heavy Weapons to Ukraine'!B:Z,COLUMN('Share, Heavy Weapons to Ukraine'!C413)-1,0),0)</f>
        <v>0</v>
      </c>
      <c r="AY403" s="1194">
        <f>VLOOKUP('Bilateral Assistance, MAIN DATA'!B403,'Country Summary (€)'!B:F,COLUMN('Country Summary (€)'!C414)-1,FALSE)</f>
        <v>1</v>
      </c>
      <c r="AZ403" s="1194" t="str">
        <f>IF(AND(AD403=1,D403="Military",H403&lt;&gt;"Not given")=TRUE,IF(SUMIFS(P:P,A:A,A403)&gt;0,ABS((SUMIFS(P:P,A:A,A403)/VLOOKUP("USD",'Exchange Rates'!B:C,2,0)))/S403,"."),".")</f>
        <v>.</v>
      </c>
      <c r="BA403" s="1196" t="str">
        <f>IF(AND(AD403=1,D403="Military",H403&lt;&gt;"Not given")=TRUE,IF(SUMIFS(P:P,A:A,A403)&gt;0,IF((ABS((SUMIFS(P:P,A:A,A403)/VLOOKUP("USD",'Exchange Rates'!B:C,2,0)))/S403)&gt;1,(SUMIFS(P:P,A:A,A403)-S403)/S403,(S403-SUMIFS(P:P,A:A,A403))/SUMIFS(P:P,A:A,A403)),"."),".")</f>
        <v>.</v>
      </c>
    </row>
    <row r="404" spans="1:53" ht="15.95" customHeight="1">
      <c r="A404" s="1180" t="s">
        <v>1435</v>
      </c>
      <c r="B404" s="1180" t="s">
        <v>1432</v>
      </c>
      <c r="C404" s="1181">
        <v>44638</v>
      </c>
      <c r="D404" s="1182" t="s">
        <v>360</v>
      </c>
      <c r="E404" s="1182" t="s">
        <v>371</v>
      </c>
      <c r="F404" s="1183" t="s">
        <v>1437</v>
      </c>
      <c r="G404" s="1184" t="s">
        <v>483</v>
      </c>
      <c r="H404" s="1185">
        <v>8000000</v>
      </c>
      <c r="I404" s="1180" t="s">
        <v>477</v>
      </c>
      <c r="J404" s="1186" t="str">
        <f>VLOOKUP($I404,'Price List, Weapons &amp; Items'!B:C,2,0)</f>
        <v>Humanitarian</v>
      </c>
      <c r="K404" s="1186" t="str">
        <f>IF(I404=".",I404,VLOOKUP($I404,'Price List, Weapons &amp; Items'!B:D,3,0))</f>
        <v>Humanitarian</v>
      </c>
      <c r="L404" s="1187">
        <f>VLOOKUP(I404,'Price List, Weapons &amp; Items'!B:E,4,0)</f>
        <v>0</v>
      </c>
      <c r="M404" s="1188">
        <v>4</v>
      </c>
      <c r="N404" s="1188" t="s">
        <v>374</v>
      </c>
      <c r="O404" s="1188">
        <f>VLOOKUP($I404,'Price List, Weapons &amp; Items'!B:G,6,0)</f>
        <v>317500</v>
      </c>
      <c r="P404" s="1185">
        <f t="shared" si="93"/>
        <v>1270000</v>
      </c>
      <c r="Q404" s="1185" t="str">
        <f t="shared" si="94"/>
        <v>.</v>
      </c>
      <c r="R404" s="1185" t="str">
        <f t="shared" si="90"/>
        <v/>
      </c>
      <c r="S404" s="1185" t="str">
        <f>IF(AND(AD404=1,R404&lt;&gt;".")=TRUE,R404/VLOOKUP(G404,'Exchange Rates'!B:C,2,0),IF(R404=".",".",""))</f>
        <v/>
      </c>
      <c r="T404" s="1185" t="str">
        <f>IF(AD404=1,IF(AF404="Value is not given at all",".",IF(AF404="Value is given by the source",S404,IF(AF404="Value is calculated with prices",(IF(SUMIFS(Q:Q,A:A,A404)&gt;0,SUMIFS(Q:Q,A:A,A404),"."))/VLOOKUP("USD",'Exchange Rates'!B:C,2,0),"Error with coding"))),"")</f>
        <v/>
      </c>
      <c r="U404" s="1184" t="s">
        <v>365</v>
      </c>
      <c r="V404" s="971" t="s">
        <v>1438</v>
      </c>
      <c r="W404" s="966" t="s">
        <v>1439</v>
      </c>
      <c r="X404" s="1190" t="s">
        <v>364</v>
      </c>
      <c r="Y404" s="1190" t="s">
        <v>364</v>
      </c>
      <c r="Z404" s="1184">
        <v>0</v>
      </c>
      <c r="AA404" s="1194">
        <v>0</v>
      </c>
      <c r="AB404" s="1180" t="s">
        <v>364</v>
      </c>
      <c r="AC404" s="1192" t="str">
        <f>""</f>
        <v/>
      </c>
      <c r="AD404" s="1193">
        <v>0</v>
      </c>
      <c r="AE404" s="1193" t="s">
        <v>368</v>
      </c>
      <c r="AF404" s="1193" t="s">
        <v>369</v>
      </c>
      <c r="AG404" s="1193">
        <v>1</v>
      </c>
      <c r="AH404" s="1193">
        <v>3</v>
      </c>
      <c r="AI404" s="1193">
        <v>0</v>
      </c>
      <c r="AJ404" s="1193">
        <f>VLOOKUP($I404,'Price List, Weapons &amp; Items'!B:F,5,0)</f>
        <v>0</v>
      </c>
      <c r="AK404" s="1193">
        <f t="shared" si="95"/>
        <v>0</v>
      </c>
      <c r="AL404" s="1193">
        <f t="shared" si="96"/>
        <v>0</v>
      </c>
      <c r="AM404" s="1193">
        <f t="shared" si="97"/>
        <v>0</v>
      </c>
      <c r="AN404" s="1194" t="str">
        <f>VLOOKUP($I404,'Price List, Weapons &amp; Items'!B:L,COLUMN('Price List, Weapons &amp; Items'!$J$11)-1,0)</f>
        <v>Media reports (incl. social media)</v>
      </c>
      <c r="AO404" s="1194" t="str">
        <f>IF(I404=".",".",VLOOKUP($I404,'Price List, Weapons &amp; Items'!B:J,3,0))</f>
        <v>Humanitarian</v>
      </c>
      <c r="AP404" s="1195" t="str">
        <f t="shared" ca="1" si="91"/>
        <v/>
      </c>
      <c r="AQ404" s="1194">
        <f>VLOOKUP($I404,'Price List, Weapons &amp; Items'!B:L,COLUMN('Price List, Weapons &amp; Items'!$L$11)-1,0)</f>
        <v>0</v>
      </c>
      <c r="AR404" s="1194">
        <f t="shared" si="98"/>
        <v>1</v>
      </c>
      <c r="AS404" s="1194">
        <f t="shared" si="99"/>
        <v>0</v>
      </c>
      <c r="AT404" s="1194">
        <f t="shared" si="100"/>
        <v>1</v>
      </c>
      <c r="AU404" s="1194" t="str">
        <f t="shared" si="101"/>
        <v>.</v>
      </c>
      <c r="AV404" s="1194" t="str">
        <f t="shared" si="92"/>
        <v>.</v>
      </c>
      <c r="AW404" s="1194" t="str">
        <f t="shared" si="102"/>
        <v>.</v>
      </c>
      <c r="AX404" s="1194">
        <f>IFERROR(VLOOKUP(B404,'Share, Heavy Weapons to Ukraine'!B:Z,COLUMN('Share, Heavy Weapons to Ukraine'!C414)-1,0),0)</f>
        <v>0</v>
      </c>
      <c r="AY404" s="1194">
        <f>VLOOKUP('Bilateral Assistance, MAIN DATA'!B404,'Country Summary (€)'!B:F,COLUMN('Country Summary (€)'!C415)-1,FALSE)</f>
        <v>1</v>
      </c>
      <c r="AZ404" s="1194" t="str">
        <f>IF(AND(AD404=1,D404="Military",H404&lt;&gt;"Not given")=TRUE,IF(SUMIFS(P:P,A:A,A404)&gt;0,ABS((SUMIFS(P:P,A:A,A404)/VLOOKUP("USD",'Exchange Rates'!B:C,2,0)))/S404,"."),".")</f>
        <v>.</v>
      </c>
      <c r="BA404" s="1196" t="str">
        <f>IF(AND(AD404=1,D404="Military",H404&lt;&gt;"Not given")=TRUE,IF(SUMIFS(P:P,A:A,A404)&gt;0,IF((ABS((SUMIFS(P:P,A:A,A404)/VLOOKUP("USD",'Exchange Rates'!B:C,2,0)))/S404)&gt;1,(SUMIFS(P:P,A:A,A404)-S404)/S404,(S404-SUMIFS(P:P,A:A,A404))/SUMIFS(P:P,A:A,A404)),"."),".")</f>
        <v>.</v>
      </c>
    </row>
    <row r="405" spans="1:53" ht="15.95" customHeight="1">
      <c r="A405" s="1180" t="s">
        <v>1435</v>
      </c>
      <c r="B405" s="1180" t="s">
        <v>1432</v>
      </c>
      <c r="C405" s="1181">
        <v>44639</v>
      </c>
      <c r="D405" s="1182" t="s">
        <v>360</v>
      </c>
      <c r="E405" s="1182" t="s">
        <v>371</v>
      </c>
      <c r="F405" s="1183" t="s">
        <v>1437</v>
      </c>
      <c r="G405" s="1184" t="s">
        <v>483</v>
      </c>
      <c r="H405" s="1185">
        <v>8000000</v>
      </c>
      <c r="I405" s="1180" t="s">
        <v>477</v>
      </c>
      <c r="J405" s="1186" t="str">
        <f>VLOOKUP($I405,'Price List, Weapons &amp; Items'!B:C,2,0)</f>
        <v>Humanitarian</v>
      </c>
      <c r="K405" s="1186" t="str">
        <f>IF(I405=".",I405,VLOOKUP($I405,'Price List, Weapons &amp; Items'!B:D,3,0))</f>
        <v>Humanitarian</v>
      </c>
      <c r="L405" s="1187">
        <f>VLOOKUP(I405,'Price List, Weapons &amp; Items'!B:E,4,0)</f>
        <v>0</v>
      </c>
      <c r="M405" s="1188">
        <v>2</v>
      </c>
      <c r="N405" s="1188" t="s">
        <v>374</v>
      </c>
      <c r="O405" s="1188">
        <f>VLOOKUP($I405,'Price List, Weapons &amp; Items'!B:G,6,0)</f>
        <v>317500</v>
      </c>
      <c r="P405" s="1185">
        <f t="shared" si="93"/>
        <v>635000</v>
      </c>
      <c r="Q405" s="1185" t="str">
        <f t="shared" si="94"/>
        <v>.</v>
      </c>
      <c r="R405" s="1185" t="str">
        <f t="shared" si="90"/>
        <v/>
      </c>
      <c r="S405" s="1185" t="str">
        <f>IF(AND(AD405=1,R405&lt;&gt;".")=TRUE,R405/VLOOKUP(G405,'Exchange Rates'!B:C,2,0),IF(R405=".",".",""))</f>
        <v/>
      </c>
      <c r="T405" s="1185" t="str">
        <f>IF(AD405=1,IF(AF405="Value is not given at all",".",IF(AF405="Value is given by the source",S405,IF(AF405="Value is calculated with prices",(IF(SUMIFS(Q:Q,A:A,A405)&gt;0,SUMIFS(Q:Q,A:A,A405),"."))/VLOOKUP("USD",'Exchange Rates'!B:C,2,0),"Error with coding"))),"")</f>
        <v/>
      </c>
      <c r="U405" s="1184" t="s">
        <v>365</v>
      </c>
      <c r="V405" s="971" t="s">
        <v>1438</v>
      </c>
      <c r="W405" s="966" t="s">
        <v>1439</v>
      </c>
      <c r="X405" s="1190" t="s">
        <v>364</v>
      </c>
      <c r="Y405" s="1190" t="s">
        <v>364</v>
      </c>
      <c r="Z405" s="1184">
        <v>0</v>
      </c>
      <c r="AA405" s="1194">
        <v>0</v>
      </c>
      <c r="AB405" s="1180" t="s">
        <v>364</v>
      </c>
      <c r="AC405" s="1192" t="str">
        <f>""</f>
        <v/>
      </c>
      <c r="AD405" s="1193">
        <v>0</v>
      </c>
      <c r="AE405" s="1193" t="s">
        <v>368</v>
      </c>
      <c r="AF405" s="1193" t="s">
        <v>369</v>
      </c>
      <c r="AG405" s="1193">
        <v>1</v>
      </c>
      <c r="AH405" s="1193">
        <v>3</v>
      </c>
      <c r="AI405" s="1193">
        <v>0</v>
      </c>
      <c r="AJ405" s="1193">
        <f>VLOOKUP($I405,'Price List, Weapons &amp; Items'!B:F,5,0)</f>
        <v>0</v>
      </c>
      <c r="AK405" s="1193">
        <f t="shared" si="95"/>
        <v>0</v>
      </c>
      <c r="AL405" s="1193">
        <f t="shared" si="96"/>
        <v>0</v>
      </c>
      <c r="AM405" s="1193">
        <f t="shared" si="97"/>
        <v>0</v>
      </c>
      <c r="AN405" s="1194" t="str">
        <f>VLOOKUP($I405,'Price List, Weapons &amp; Items'!B:L,COLUMN('Price List, Weapons &amp; Items'!$J$11)-1,0)</f>
        <v>Media reports (incl. social media)</v>
      </c>
      <c r="AO405" s="1194" t="str">
        <f>IF(I405=".",".",VLOOKUP($I405,'Price List, Weapons &amp; Items'!B:J,3,0))</f>
        <v>Humanitarian</v>
      </c>
      <c r="AP405" s="1195" t="str">
        <f t="shared" ca="1" si="91"/>
        <v/>
      </c>
      <c r="AQ405" s="1194">
        <f>VLOOKUP($I405,'Price List, Weapons &amp; Items'!B:L,COLUMN('Price List, Weapons &amp; Items'!$L$11)-1,0)</f>
        <v>0</v>
      </c>
      <c r="AR405" s="1194">
        <f t="shared" si="98"/>
        <v>1</v>
      </c>
      <c r="AS405" s="1194">
        <f t="shared" si="99"/>
        <v>0</v>
      </c>
      <c r="AT405" s="1194">
        <f t="shared" si="100"/>
        <v>1</v>
      </c>
      <c r="AU405" s="1194" t="str">
        <f t="shared" si="101"/>
        <v>.</v>
      </c>
      <c r="AV405" s="1194" t="str">
        <f t="shared" si="92"/>
        <v>.</v>
      </c>
      <c r="AW405" s="1194" t="str">
        <f t="shared" si="102"/>
        <v>.</v>
      </c>
      <c r="AX405" s="1194">
        <f>IFERROR(VLOOKUP(B405,'Share, Heavy Weapons to Ukraine'!B:Z,COLUMN('Share, Heavy Weapons to Ukraine'!C415)-1,0),0)</f>
        <v>0</v>
      </c>
      <c r="AY405" s="1194">
        <f>VLOOKUP('Bilateral Assistance, MAIN DATA'!B405,'Country Summary (€)'!B:F,COLUMN('Country Summary (€)'!C416)-1,FALSE)</f>
        <v>1</v>
      </c>
      <c r="AZ405" s="1194" t="str">
        <f>IF(AND(AD405=1,D405="Military",H405&lt;&gt;"Not given")=TRUE,IF(SUMIFS(P:P,A:A,A405)&gt;0,ABS((SUMIFS(P:P,A:A,A405)/VLOOKUP("USD",'Exchange Rates'!B:C,2,0)))/S405,"."),".")</f>
        <v>.</v>
      </c>
      <c r="BA405" s="1196" t="str">
        <f>IF(AND(AD405=1,D405="Military",H405&lt;&gt;"Not given")=TRUE,IF(SUMIFS(P:P,A:A,A405)&gt;0,IF((ABS((SUMIFS(P:P,A:A,A405)/VLOOKUP("USD",'Exchange Rates'!B:C,2,0)))/S405)&gt;1,(SUMIFS(P:P,A:A,A405)-S405)/S405,(S405-SUMIFS(P:P,A:A,A405))/SUMIFS(P:P,A:A,A405)),"."),".")</f>
        <v>.</v>
      </c>
    </row>
    <row r="406" spans="1:53" ht="15.95" customHeight="1">
      <c r="A406" s="1180" t="s">
        <v>1435</v>
      </c>
      <c r="B406" s="1180" t="s">
        <v>1432</v>
      </c>
      <c r="C406" s="1181">
        <v>44643</v>
      </c>
      <c r="D406" s="1182" t="s">
        <v>360</v>
      </c>
      <c r="E406" s="1182" t="s">
        <v>371</v>
      </c>
      <c r="F406" s="1183" t="s">
        <v>1437</v>
      </c>
      <c r="G406" s="1184" t="s">
        <v>483</v>
      </c>
      <c r="H406" s="1185">
        <v>8000000</v>
      </c>
      <c r="I406" s="1180" t="s">
        <v>477</v>
      </c>
      <c r="J406" s="1186" t="str">
        <f>VLOOKUP($I406,'Price List, Weapons &amp; Items'!B:C,2,0)</f>
        <v>Humanitarian</v>
      </c>
      <c r="K406" s="1186" t="str">
        <f>IF(I406=".",I406,VLOOKUP($I406,'Price List, Weapons &amp; Items'!B:D,3,0))</f>
        <v>Humanitarian</v>
      </c>
      <c r="L406" s="1187">
        <f>VLOOKUP(I406,'Price List, Weapons &amp; Items'!B:E,4,0)</f>
        <v>0</v>
      </c>
      <c r="M406" s="1188">
        <v>2</v>
      </c>
      <c r="N406" s="1188" t="s">
        <v>374</v>
      </c>
      <c r="O406" s="1188">
        <f>VLOOKUP($I406,'Price List, Weapons &amp; Items'!B:G,6,0)</f>
        <v>317500</v>
      </c>
      <c r="P406" s="1185">
        <f t="shared" si="93"/>
        <v>635000</v>
      </c>
      <c r="Q406" s="1185" t="str">
        <f t="shared" si="94"/>
        <v>.</v>
      </c>
      <c r="R406" s="1185" t="str">
        <f t="shared" si="90"/>
        <v/>
      </c>
      <c r="S406" s="1185" t="str">
        <f>IF(AND(AD406=1,R406&lt;&gt;".")=TRUE,R406/VLOOKUP(G406,'Exchange Rates'!B:C,2,0),IF(R406=".",".",""))</f>
        <v/>
      </c>
      <c r="T406" s="1185" t="str">
        <f>IF(AD406=1,IF(AF406="Value is not given at all",".",IF(AF406="Value is given by the source",S406,IF(AF406="Value is calculated with prices",(IF(SUMIFS(Q:Q,A:A,A406)&gt;0,SUMIFS(Q:Q,A:A,A406),"."))/VLOOKUP("USD",'Exchange Rates'!B:C,2,0),"Error with coding"))),"")</f>
        <v/>
      </c>
      <c r="U406" s="1184" t="s">
        <v>365</v>
      </c>
      <c r="V406" s="971" t="s">
        <v>1438</v>
      </c>
      <c r="W406" s="966" t="s">
        <v>1439</v>
      </c>
      <c r="X406" s="1190" t="s">
        <v>364</v>
      </c>
      <c r="Y406" s="1190" t="s">
        <v>364</v>
      </c>
      <c r="Z406" s="1184">
        <v>0</v>
      </c>
      <c r="AA406" s="1194">
        <v>0</v>
      </c>
      <c r="AB406" s="1222" t="s">
        <v>364</v>
      </c>
      <c r="AC406" s="1192" t="str">
        <f>""</f>
        <v/>
      </c>
      <c r="AD406" s="1193">
        <v>0</v>
      </c>
      <c r="AE406" s="1193" t="s">
        <v>368</v>
      </c>
      <c r="AF406" s="1193" t="s">
        <v>369</v>
      </c>
      <c r="AG406" s="1193">
        <v>1</v>
      </c>
      <c r="AH406" s="1193">
        <v>3</v>
      </c>
      <c r="AI406" s="1193">
        <v>0</v>
      </c>
      <c r="AJ406" s="1193">
        <f>VLOOKUP($I406,'Price List, Weapons &amp; Items'!B:F,5,0)</f>
        <v>0</v>
      </c>
      <c r="AK406" s="1193">
        <f t="shared" si="95"/>
        <v>0</v>
      </c>
      <c r="AL406" s="1193">
        <f t="shared" si="96"/>
        <v>0</v>
      </c>
      <c r="AM406" s="1193">
        <f t="shared" si="97"/>
        <v>0</v>
      </c>
      <c r="AN406" s="1194" t="str">
        <f>VLOOKUP($I406,'Price List, Weapons &amp; Items'!B:L,COLUMN('Price List, Weapons &amp; Items'!$J$11)-1,0)</f>
        <v>Media reports (incl. social media)</v>
      </c>
      <c r="AO406" s="1194" t="str">
        <f>IF(I406=".",".",VLOOKUP($I406,'Price List, Weapons &amp; Items'!B:J,3,0))</f>
        <v>Humanitarian</v>
      </c>
      <c r="AP406" s="1195" t="str">
        <f t="shared" ca="1" si="91"/>
        <v/>
      </c>
      <c r="AQ406" s="1194">
        <f>VLOOKUP($I406,'Price List, Weapons &amp; Items'!B:L,COLUMN('Price List, Weapons &amp; Items'!$L$11)-1,0)</f>
        <v>0</v>
      </c>
      <c r="AR406" s="1194">
        <f t="shared" si="98"/>
        <v>1</v>
      </c>
      <c r="AS406" s="1194">
        <f t="shared" si="99"/>
        <v>0</v>
      </c>
      <c r="AT406" s="1194">
        <f t="shared" si="100"/>
        <v>1</v>
      </c>
      <c r="AU406" s="1194" t="str">
        <f t="shared" si="101"/>
        <v>.</v>
      </c>
      <c r="AV406" s="1194" t="str">
        <f t="shared" si="92"/>
        <v>.</v>
      </c>
      <c r="AW406" s="1194" t="str">
        <f t="shared" si="102"/>
        <v>.</v>
      </c>
      <c r="AX406" s="1194">
        <f>IFERROR(VLOOKUP(B406,'Share, Heavy Weapons to Ukraine'!B:Z,COLUMN('Share, Heavy Weapons to Ukraine'!C416)-1,0),0)</f>
        <v>0</v>
      </c>
      <c r="AY406" s="1194">
        <f>VLOOKUP('Bilateral Assistance, MAIN DATA'!B406,'Country Summary (€)'!B:F,COLUMN('Country Summary (€)'!C417)-1,FALSE)</f>
        <v>1</v>
      </c>
      <c r="AZ406" s="1194" t="str">
        <f>IF(AND(AD406=1,D406="Military",H406&lt;&gt;"Not given")=TRUE,IF(SUMIFS(P:P,A:A,A406)&gt;0,ABS((SUMIFS(P:P,A:A,A406)/VLOOKUP("USD",'Exchange Rates'!B:C,2,0)))/S406,"."),".")</f>
        <v>.</v>
      </c>
      <c r="BA406" s="1196" t="str">
        <f>IF(AND(AD406=1,D406="Military",H406&lt;&gt;"Not given")=TRUE,IF(SUMIFS(P:P,A:A,A406)&gt;0,IF((ABS((SUMIFS(P:P,A:A,A406)/VLOOKUP("USD",'Exchange Rates'!B:C,2,0)))/S406)&gt;1,(SUMIFS(P:P,A:A,A406)-S406)/S406,(S406-SUMIFS(P:P,A:A,A406))/SUMIFS(P:P,A:A,A406)),"."),".")</f>
        <v>.</v>
      </c>
    </row>
    <row r="407" spans="1:53" ht="15.95" customHeight="1">
      <c r="A407" s="1180" t="s">
        <v>1435</v>
      </c>
      <c r="B407" s="1180" t="s">
        <v>1432</v>
      </c>
      <c r="C407" s="1181">
        <v>44646</v>
      </c>
      <c r="D407" s="1182" t="s">
        <v>360</v>
      </c>
      <c r="E407" s="1182" t="s">
        <v>371</v>
      </c>
      <c r="F407" s="1183" t="s">
        <v>1437</v>
      </c>
      <c r="G407" s="1184" t="s">
        <v>483</v>
      </c>
      <c r="H407" s="1185">
        <v>8000000</v>
      </c>
      <c r="I407" s="1180" t="s">
        <v>477</v>
      </c>
      <c r="J407" s="1186" t="str">
        <f>VLOOKUP($I407,'Price List, Weapons &amp; Items'!B:C,2,0)</f>
        <v>Humanitarian</v>
      </c>
      <c r="K407" s="1186" t="str">
        <f>IF(I407=".",I407,VLOOKUP($I407,'Price List, Weapons &amp; Items'!B:D,3,0))</f>
        <v>Humanitarian</v>
      </c>
      <c r="L407" s="1187">
        <f>VLOOKUP(I407,'Price List, Weapons &amp; Items'!B:E,4,0)</f>
        <v>0</v>
      </c>
      <c r="M407" s="1188">
        <v>1</v>
      </c>
      <c r="N407" s="1188" t="s">
        <v>374</v>
      </c>
      <c r="O407" s="1188">
        <f>VLOOKUP($I407,'Price List, Weapons &amp; Items'!B:G,6,0)</f>
        <v>317500</v>
      </c>
      <c r="P407" s="1185">
        <f t="shared" si="93"/>
        <v>317500</v>
      </c>
      <c r="Q407" s="1185" t="str">
        <f t="shared" si="94"/>
        <v>.</v>
      </c>
      <c r="R407" s="1185" t="str">
        <f t="shared" si="90"/>
        <v/>
      </c>
      <c r="S407" s="1185" t="str">
        <f>IF(AND(AD407=1,R407&lt;&gt;".")=TRUE,R407/VLOOKUP(G407,'Exchange Rates'!B:C,2,0),IF(R407=".",".",""))</f>
        <v/>
      </c>
      <c r="T407" s="1185" t="str">
        <f>IF(AD407=1,IF(AF407="Value is not given at all",".",IF(AF407="Value is given by the source",S407,IF(AF407="Value is calculated with prices",(IF(SUMIFS(Q:Q,A:A,A407)&gt;0,SUMIFS(Q:Q,A:A,A407),"."))/VLOOKUP("USD",'Exchange Rates'!B:C,2,0),"Error with coding"))),"")</f>
        <v/>
      </c>
      <c r="U407" s="1184" t="s">
        <v>365</v>
      </c>
      <c r="V407" s="971" t="s">
        <v>1438</v>
      </c>
      <c r="W407" s="966" t="s">
        <v>1439</v>
      </c>
      <c r="X407" s="1190" t="s">
        <v>364</v>
      </c>
      <c r="Y407" s="1190" t="s">
        <v>364</v>
      </c>
      <c r="Z407" s="1184">
        <v>0</v>
      </c>
      <c r="AA407" s="1194">
        <v>0</v>
      </c>
      <c r="AB407" s="1180" t="s">
        <v>364</v>
      </c>
      <c r="AC407" s="1192" t="str">
        <f>""</f>
        <v/>
      </c>
      <c r="AD407" s="1193">
        <v>0</v>
      </c>
      <c r="AE407" s="1193" t="s">
        <v>368</v>
      </c>
      <c r="AF407" s="1193" t="s">
        <v>369</v>
      </c>
      <c r="AG407" s="1193">
        <v>1</v>
      </c>
      <c r="AH407" s="1193">
        <v>3</v>
      </c>
      <c r="AI407" s="1193">
        <v>0</v>
      </c>
      <c r="AJ407" s="1193">
        <f>VLOOKUP($I407,'Price List, Weapons &amp; Items'!B:F,5,0)</f>
        <v>0</v>
      </c>
      <c r="AK407" s="1193">
        <f t="shared" si="95"/>
        <v>0</v>
      </c>
      <c r="AL407" s="1193">
        <f t="shared" si="96"/>
        <v>0</v>
      </c>
      <c r="AM407" s="1193">
        <f t="shared" si="97"/>
        <v>0</v>
      </c>
      <c r="AN407" s="1194" t="str">
        <f>VLOOKUP($I407,'Price List, Weapons &amp; Items'!B:L,COLUMN('Price List, Weapons &amp; Items'!$J$11)-1,0)</f>
        <v>Media reports (incl. social media)</v>
      </c>
      <c r="AO407" s="1194" t="str">
        <f>IF(I407=".",".",VLOOKUP($I407,'Price List, Weapons &amp; Items'!B:J,3,0))</f>
        <v>Humanitarian</v>
      </c>
      <c r="AP407" s="1195" t="str">
        <f t="shared" ca="1" si="91"/>
        <v/>
      </c>
      <c r="AQ407" s="1194">
        <f>VLOOKUP($I407,'Price List, Weapons &amp; Items'!B:L,COLUMN('Price List, Weapons &amp; Items'!$L$11)-1,0)</f>
        <v>0</v>
      </c>
      <c r="AR407" s="1194">
        <f t="shared" si="98"/>
        <v>1</v>
      </c>
      <c r="AS407" s="1194">
        <f t="shared" si="99"/>
        <v>0</v>
      </c>
      <c r="AT407" s="1194">
        <f t="shared" si="100"/>
        <v>1</v>
      </c>
      <c r="AU407" s="1194" t="str">
        <f t="shared" si="101"/>
        <v>.</v>
      </c>
      <c r="AV407" s="1194" t="str">
        <f t="shared" si="92"/>
        <v>.</v>
      </c>
      <c r="AW407" s="1194" t="str">
        <f t="shared" si="102"/>
        <v>.</v>
      </c>
      <c r="AX407" s="1194">
        <f>IFERROR(VLOOKUP(B407,'Share, Heavy Weapons to Ukraine'!B:Z,COLUMN('Share, Heavy Weapons to Ukraine'!C417)-1,0),0)</f>
        <v>0</v>
      </c>
      <c r="AY407" s="1194">
        <f>VLOOKUP('Bilateral Assistance, MAIN DATA'!B407,'Country Summary (€)'!B:F,COLUMN('Country Summary (€)'!C418)-1,FALSE)</f>
        <v>1</v>
      </c>
      <c r="AZ407" s="1194" t="str">
        <f>IF(AND(AD407=1,D407="Military",H407&lt;&gt;"Not given")=TRUE,IF(SUMIFS(P:P,A:A,A407)&gt;0,ABS((SUMIFS(P:P,A:A,A407)/VLOOKUP("USD",'Exchange Rates'!B:C,2,0)))/S407,"."),".")</f>
        <v>.</v>
      </c>
      <c r="BA407" s="1196" t="str">
        <f>IF(AND(AD407=1,D407="Military",H407&lt;&gt;"Not given")=TRUE,IF(SUMIFS(P:P,A:A,A407)&gt;0,IF((ABS((SUMIFS(P:P,A:A,A407)/VLOOKUP("USD",'Exchange Rates'!B:C,2,0)))/S407)&gt;1,(SUMIFS(P:P,A:A,A407)-S407)/S407,(S407-SUMIFS(P:P,A:A,A407))/SUMIFS(P:P,A:A,A407)),"."),".")</f>
        <v>.</v>
      </c>
    </row>
    <row r="408" spans="1:53" ht="15.95" customHeight="1">
      <c r="A408" s="1180" t="s">
        <v>1435</v>
      </c>
      <c r="B408" s="1180" t="s">
        <v>1432</v>
      </c>
      <c r="C408" s="1181">
        <v>44656</v>
      </c>
      <c r="D408" s="1182" t="s">
        <v>360</v>
      </c>
      <c r="E408" s="1182" t="s">
        <v>371</v>
      </c>
      <c r="F408" s="1183" t="s">
        <v>1437</v>
      </c>
      <c r="G408" s="1184" t="s">
        <v>483</v>
      </c>
      <c r="H408" s="1185">
        <v>8000000</v>
      </c>
      <c r="I408" s="1180" t="s">
        <v>477</v>
      </c>
      <c r="J408" s="1186" t="str">
        <f>VLOOKUP($I408,'Price List, Weapons &amp; Items'!B:C,2,0)</f>
        <v>Humanitarian</v>
      </c>
      <c r="K408" s="1186" t="str">
        <f>IF(I408=".",I408,VLOOKUP($I408,'Price List, Weapons &amp; Items'!B:D,3,0))</f>
        <v>Humanitarian</v>
      </c>
      <c r="L408" s="1187">
        <f>VLOOKUP(I408,'Price List, Weapons &amp; Items'!B:E,4,0)</f>
        <v>0</v>
      </c>
      <c r="M408" s="1188">
        <v>2</v>
      </c>
      <c r="N408" s="1188" t="s">
        <v>374</v>
      </c>
      <c r="O408" s="1188">
        <f>VLOOKUP($I408,'Price List, Weapons &amp; Items'!B:G,6,0)</f>
        <v>317500</v>
      </c>
      <c r="P408" s="1185">
        <f t="shared" si="93"/>
        <v>635000</v>
      </c>
      <c r="Q408" s="1185" t="str">
        <f t="shared" si="94"/>
        <v>.</v>
      </c>
      <c r="R408" s="1185" t="str">
        <f t="shared" si="90"/>
        <v/>
      </c>
      <c r="S408" s="1185" t="str">
        <f>IF(AND(AD408=1,R408&lt;&gt;".")=TRUE,R408/VLOOKUP(G408,'Exchange Rates'!B:C,2,0),IF(R408=".",".",""))</f>
        <v/>
      </c>
      <c r="T408" s="1185" t="str">
        <f>IF(AD408=1,IF(AF408="Value is not given at all",".",IF(AF408="Value is given by the source",S408,IF(AF408="Value is calculated with prices",(IF(SUMIFS(Q:Q,A:A,A408)&gt;0,SUMIFS(Q:Q,A:A,A408),"."))/VLOOKUP("USD",'Exchange Rates'!B:C,2,0),"Error with coding"))),"")</f>
        <v/>
      </c>
      <c r="U408" s="1184" t="s">
        <v>365</v>
      </c>
      <c r="V408" s="971" t="s">
        <v>1438</v>
      </c>
      <c r="W408" s="966" t="s">
        <v>1439</v>
      </c>
      <c r="X408" s="1190" t="s">
        <v>364</v>
      </c>
      <c r="Y408" s="1190" t="s">
        <v>364</v>
      </c>
      <c r="Z408" s="1184">
        <v>0</v>
      </c>
      <c r="AA408" s="1194">
        <v>0</v>
      </c>
      <c r="AB408" s="1180" t="s">
        <v>364</v>
      </c>
      <c r="AC408" s="1192" t="str">
        <f>""</f>
        <v/>
      </c>
      <c r="AD408" s="1193">
        <v>0</v>
      </c>
      <c r="AE408" s="1193" t="s">
        <v>368</v>
      </c>
      <c r="AF408" s="1193" t="s">
        <v>369</v>
      </c>
      <c r="AG408" s="1193">
        <v>1</v>
      </c>
      <c r="AH408" s="1193">
        <v>4</v>
      </c>
      <c r="AI408" s="1193">
        <v>0</v>
      </c>
      <c r="AJ408" s="1193">
        <f>VLOOKUP($I408,'Price List, Weapons &amp; Items'!B:F,5,0)</f>
        <v>0</v>
      </c>
      <c r="AK408" s="1193">
        <f t="shared" si="95"/>
        <v>0</v>
      </c>
      <c r="AL408" s="1193">
        <f t="shared" si="96"/>
        <v>0</v>
      </c>
      <c r="AM408" s="1193">
        <f t="shared" si="97"/>
        <v>0</v>
      </c>
      <c r="AN408" s="1194" t="str">
        <f>VLOOKUP($I408,'Price List, Weapons &amp; Items'!B:L,COLUMN('Price List, Weapons &amp; Items'!$J$11)-1,0)</f>
        <v>Media reports (incl. social media)</v>
      </c>
      <c r="AO408" s="1194" t="str">
        <f>IF(I408=".",".",VLOOKUP($I408,'Price List, Weapons &amp; Items'!B:J,3,0))</f>
        <v>Humanitarian</v>
      </c>
      <c r="AP408" s="1195" t="str">
        <f t="shared" ca="1" si="91"/>
        <v/>
      </c>
      <c r="AQ408" s="1194">
        <f>VLOOKUP($I408,'Price List, Weapons &amp; Items'!B:L,COLUMN('Price List, Weapons &amp; Items'!$L$11)-1,0)</f>
        <v>0</v>
      </c>
      <c r="AR408" s="1194">
        <f t="shared" si="98"/>
        <v>1</v>
      </c>
      <c r="AS408" s="1194">
        <f t="shared" si="99"/>
        <v>0</v>
      </c>
      <c r="AT408" s="1194">
        <f t="shared" si="100"/>
        <v>1</v>
      </c>
      <c r="AU408" s="1194" t="str">
        <f t="shared" si="101"/>
        <v>.</v>
      </c>
      <c r="AV408" s="1194" t="str">
        <f t="shared" si="92"/>
        <v>.</v>
      </c>
      <c r="AW408" s="1194" t="str">
        <f t="shared" si="102"/>
        <v>.</v>
      </c>
      <c r="AX408" s="1194">
        <f>IFERROR(VLOOKUP(B408,'Share, Heavy Weapons to Ukraine'!B:Z,COLUMN('Share, Heavy Weapons to Ukraine'!C418)-1,0),0)</f>
        <v>0</v>
      </c>
      <c r="AY408" s="1194">
        <f>VLOOKUP('Bilateral Assistance, MAIN DATA'!B408,'Country Summary (€)'!B:F,COLUMN('Country Summary (€)'!C419)-1,FALSE)</f>
        <v>1</v>
      </c>
      <c r="AZ408" s="1194" t="str">
        <f>IF(AND(AD408=1,D408="Military",H408&lt;&gt;"Not given")=TRUE,IF(SUMIFS(P:P,A:A,A408)&gt;0,ABS((SUMIFS(P:P,A:A,A408)/VLOOKUP("USD",'Exchange Rates'!B:C,2,0)))/S408,"."),".")</f>
        <v>.</v>
      </c>
      <c r="BA408" s="1196" t="str">
        <f>IF(AND(AD408=1,D408="Military",H408&lt;&gt;"Not given")=TRUE,IF(SUMIFS(P:P,A:A,A408)&gt;0,IF((ABS((SUMIFS(P:P,A:A,A408)/VLOOKUP("USD",'Exchange Rates'!B:C,2,0)))/S408)&gt;1,(SUMIFS(P:P,A:A,A408)-S408)/S408,(S408-SUMIFS(P:P,A:A,A408))/SUMIFS(P:P,A:A,A408)),"."),".")</f>
        <v>.</v>
      </c>
    </row>
    <row r="409" spans="1:53" ht="15.95" customHeight="1">
      <c r="A409" s="1180" t="s">
        <v>1435</v>
      </c>
      <c r="B409" s="1180" t="s">
        <v>1432</v>
      </c>
      <c r="C409" s="1181">
        <v>44665</v>
      </c>
      <c r="D409" s="1182" t="s">
        <v>360</v>
      </c>
      <c r="E409" s="1182" t="s">
        <v>371</v>
      </c>
      <c r="F409" s="1183" t="s">
        <v>1437</v>
      </c>
      <c r="G409" s="1184" t="s">
        <v>483</v>
      </c>
      <c r="H409" s="1185">
        <v>8000000</v>
      </c>
      <c r="I409" s="1180" t="s">
        <v>477</v>
      </c>
      <c r="J409" s="1186" t="str">
        <f>VLOOKUP($I409,'Price List, Weapons &amp; Items'!B:C,2,0)</f>
        <v>Humanitarian</v>
      </c>
      <c r="K409" s="1186" t="str">
        <f>IF(I409=".",I409,VLOOKUP($I409,'Price List, Weapons &amp; Items'!B:D,3,0))</f>
        <v>Humanitarian</v>
      </c>
      <c r="L409" s="1187">
        <f>VLOOKUP(I409,'Price List, Weapons &amp; Items'!B:E,4,0)</f>
        <v>0</v>
      </c>
      <c r="M409" s="1188">
        <v>2</v>
      </c>
      <c r="N409" s="1188" t="s">
        <v>374</v>
      </c>
      <c r="O409" s="1188">
        <f>VLOOKUP($I409,'Price List, Weapons &amp; Items'!B:G,6,0)</f>
        <v>317500</v>
      </c>
      <c r="P409" s="1185">
        <f t="shared" si="93"/>
        <v>635000</v>
      </c>
      <c r="Q409" s="1185" t="str">
        <f t="shared" si="94"/>
        <v>.</v>
      </c>
      <c r="R409" s="1185" t="str">
        <f t="shared" si="90"/>
        <v/>
      </c>
      <c r="S409" s="1185" t="str">
        <f>IF(AND(AD409=1,R409&lt;&gt;".")=TRUE,R409/VLOOKUP(G409,'Exchange Rates'!B:C,2,0),IF(R409=".",".",""))</f>
        <v/>
      </c>
      <c r="T409" s="1185" t="str">
        <f>IF(AD409=1,IF(AF409="Value is not given at all",".",IF(AF409="Value is given by the source",S409,IF(AF409="Value is calculated with prices",(IF(SUMIFS(Q:Q,A:A,A409)&gt;0,SUMIFS(Q:Q,A:A,A409),"."))/VLOOKUP("USD",'Exchange Rates'!B:C,2,0),"Error with coding"))),"")</f>
        <v/>
      </c>
      <c r="U409" s="1184" t="s">
        <v>365</v>
      </c>
      <c r="V409" s="971" t="s">
        <v>1438</v>
      </c>
      <c r="W409" s="966" t="s">
        <v>1439</v>
      </c>
      <c r="X409" s="1190" t="s">
        <v>364</v>
      </c>
      <c r="Y409" s="1190" t="s">
        <v>364</v>
      </c>
      <c r="Z409" s="1184">
        <v>0</v>
      </c>
      <c r="AA409" s="1194">
        <v>0</v>
      </c>
      <c r="AB409" s="1201" t="s">
        <v>364</v>
      </c>
      <c r="AC409" s="1192" t="str">
        <f>""</f>
        <v/>
      </c>
      <c r="AD409" s="1193">
        <v>0</v>
      </c>
      <c r="AE409" s="1193" t="s">
        <v>368</v>
      </c>
      <c r="AF409" s="1193" t="s">
        <v>369</v>
      </c>
      <c r="AG409" s="1193">
        <v>1</v>
      </c>
      <c r="AH409" s="1193">
        <v>4</v>
      </c>
      <c r="AI409" s="1193">
        <v>0</v>
      </c>
      <c r="AJ409" s="1193">
        <f>VLOOKUP($I409,'Price List, Weapons &amp; Items'!B:F,5,0)</f>
        <v>0</v>
      </c>
      <c r="AK409" s="1193">
        <f t="shared" si="95"/>
        <v>0</v>
      </c>
      <c r="AL409" s="1193">
        <f t="shared" si="96"/>
        <v>0</v>
      </c>
      <c r="AM409" s="1193">
        <f t="shared" si="97"/>
        <v>0</v>
      </c>
      <c r="AN409" s="1194" t="str">
        <f>VLOOKUP($I409,'Price List, Weapons &amp; Items'!B:L,COLUMN('Price List, Weapons &amp; Items'!$J$11)-1,0)</f>
        <v>Media reports (incl. social media)</v>
      </c>
      <c r="AO409" s="1194" t="str">
        <f>IF(I409=".",".",VLOOKUP($I409,'Price List, Weapons &amp; Items'!B:J,3,0))</f>
        <v>Humanitarian</v>
      </c>
      <c r="AP409" s="1195" t="str">
        <f t="shared" ca="1" si="91"/>
        <v/>
      </c>
      <c r="AQ409" s="1194">
        <f>VLOOKUP($I409,'Price List, Weapons &amp; Items'!B:L,COLUMN('Price List, Weapons &amp; Items'!$L$11)-1,0)</f>
        <v>0</v>
      </c>
      <c r="AR409" s="1194">
        <f t="shared" si="98"/>
        <v>1</v>
      </c>
      <c r="AS409" s="1194">
        <f t="shared" si="99"/>
        <v>0</v>
      </c>
      <c r="AT409" s="1194">
        <f t="shared" si="100"/>
        <v>1</v>
      </c>
      <c r="AU409" s="1194" t="str">
        <f t="shared" si="101"/>
        <v>.</v>
      </c>
      <c r="AV409" s="1194" t="str">
        <f t="shared" si="92"/>
        <v>.</v>
      </c>
      <c r="AW409" s="1194" t="str">
        <f t="shared" si="102"/>
        <v>.</v>
      </c>
      <c r="AX409" s="1194">
        <f>IFERROR(VLOOKUP(B409,'Share, Heavy Weapons to Ukraine'!B:Z,COLUMN('Share, Heavy Weapons to Ukraine'!C419)-1,0),0)</f>
        <v>0</v>
      </c>
      <c r="AY409" s="1194">
        <f>VLOOKUP('Bilateral Assistance, MAIN DATA'!B409,'Country Summary (€)'!B:F,COLUMN('Country Summary (€)'!C420)-1,FALSE)</f>
        <v>1</v>
      </c>
      <c r="AZ409" s="1194" t="str">
        <f>IF(AND(AD409=1,D409="Military",H409&lt;&gt;"Not given")=TRUE,IF(SUMIFS(P:P,A:A,A409)&gt;0,ABS((SUMIFS(P:P,A:A,A409)/VLOOKUP("USD",'Exchange Rates'!B:C,2,0)))/S409,"."),".")</f>
        <v>.</v>
      </c>
      <c r="BA409" s="1196" t="str">
        <f>IF(AND(AD409=1,D409="Military",H409&lt;&gt;"Not given")=TRUE,IF(SUMIFS(P:P,A:A,A409)&gt;0,IF((ABS((SUMIFS(P:P,A:A,A409)/VLOOKUP("USD",'Exchange Rates'!B:C,2,0)))/S409)&gt;1,(SUMIFS(P:P,A:A,A409)-S409)/S409,(S409-SUMIFS(P:P,A:A,A409))/SUMIFS(P:P,A:A,A409)),"."),".")</f>
        <v>.</v>
      </c>
    </row>
    <row r="410" spans="1:53" ht="15.95" customHeight="1">
      <c r="A410" s="1180" t="s">
        <v>1435</v>
      </c>
      <c r="B410" s="1180" t="s">
        <v>1432</v>
      </c>
      <c r="C410" s="1181" t="s">
        <v>1443</v>
      </c>
      <c r="D410" s="1182" t="s">
        <v>360</v>
      </c>
      <c r="E410" s="1182" t="s">
        <v>371</v>
      </c>
      <c r="F410" s="1183" t="s">
        <v>1437</v>
      </c>
      <c r="G410" s="1184" t="s">
        <v>483</v>
      </c>
      <c r="H410" s="1185">
        <v>8000000</v>
      </c>
      <c r="I410" s="1180" t="s">
        <v>989</v>
      </c>
      <c r="J410" s="1186" t="str">
        <f>VLOOKUP($I410,'Price List, Weapons &amp; Items'!B:C,2,0)</f>
        <v>Humanitarian</v>
      </c>
      <c r="K410" s="1186" t="str">
        <f>IF(I410=".",I410,VLOOKUP($I410,'Price List, Weapons &amp; Items'!B:D,3,0))</f>
        <v>Humanitarian</v>
      </c>
      <c r="L410" s="1187">
        <f>VLOOKUP(I410,'Price List, Weapons &amp; Items'!B:E,4,0)</f>
        <v>0</v>
      </c>
      <c r="M410" s="1188">
        <v>77</v>
      </c>
      <c r="N410" s="1188" t="s">
        <v>374</v>
      </c>
      <c r="O410" s="1188" t="str">
        <f>VLOOKUP($I410,'Price List, Weapons &amp; Items'!B:G,6,0)</f>
        <v>.</v>
      </c>
      <c r="P410" s="1185" t="str">
        <f t="shared" si="93"/>
        <v>No price</v>
      </c>
      <c r="Q410" s="1185" t="str">
        <f t="shared" si="94"/>
        <v>.</v>
      </c>
      <c r="R410" s="1185" t="str">
        <f t="shared" si="90"/>
        <v/>
      </c>
      <c r="S410" s="1185" t="str">
        <f>IF(AND(AD410=1,R410&lt;&gt;".")=TRUE,R410/VLOOKUP(G410,'Exchange Rates'!B:C,2,0),IF(R410=".",".",""))</f>
        <v/>
      </c>
      <c r="T410" s="1185" t="str">
        <f>IF(AD410=1,IF(AF410="Value is not given at all",".",IF(AF410="Value is given by the source",S410,IF(AF410="Value is calculated with prices",(IF(SUMIFS(Q:Q,A:A,A410)&gt;0,SUMIFS(Q:Q,A:A,A410),"."))/VLOOKUP("USD",'Exchange Rates'!B:C,2,0),"Error with coding"))),"")</f>
        <v/>
      </c>
      <c r="U410" s="1184" t="s">
        <v>365</v>
      </c>
      <c r="V410" s="966" t="s">
        <v>1438</v>
      </c>
      <c r="W410" s="966" t="s">
        <v>1439</v>
      </c>
      <c r="X410" s="986" t="s">
        <v>364</v>
      </c>
      <c r="Y410" s="1190" t="s">
        <v>364</v>
      </c>
      <c r="Z410" s="1184">
        <v>0</v>
      </c>
      <c r="AA410" s="1194">
        <v>0</v>
      </c>
      <c r="AB410" s="1000" t="s">
        <v>364</v>
      </c>
      <c r="AC410" s="1192" t="str">
        <f>""</f>
        <v/>
      </c>
      <c r="AD410" s="1193">
        <v>0</v>
      </c>
      <c r="AE410" s="1193" t="s">
        <v>368</v>
      </c>
      <c r="AF410" s="1193" t="s">
        <v>369</v>
      </c>
      <c r="AG410" s="1193">
        <v>1</v>
      </c>
      <c r="AH410" s="1193">
        <v>10</v>
      </c>
      <c r="AI410" s="1193">
        <v>0</v>
      </c>
      <c r="AJ410" s="1193">
        <f>VLOOKUP($I410,'Price List, Weapons &amp; Items'!B:F,5,0)</f>
        <v>0</v>
      </c>
      <c r="AK410" s="1193">
        <f t="shared" si="95"/>
        <v>0</v>
      </c>
      <c r="AL410" s="1193">
        <f t="shared" si="96"/>
        <v>0</v>
      </c>
      <c r="AM410" s="1193">
        <f t="shared" si="97"/>
        <v>0</v>
      </c>
      <c r="AN410" s="1194" t="str">
        <f>VLOOKUP($I410,'Price List, Weapons &amp; Items'!B:L,COLUMN('Price List, Weapons &amp; Items'!$J$11)-1,0)</f>
        <v>Media reports (incl. social media)</v>
      </c>
      <c r="AO410" s="1194" t="str">
        <f>IF(I410=".",".",VLOOKUP($I410,'Price List, Weapons &amp; Items'!B:J,3,0))</f>
        <v>Humanitarian</v>
      </c>
      <c r="AP410" s="1195" t="str">
        <f t="shared" ca="1" si="91"/>
        <v/>
      </c>
      <c r="AQ410" s="1194">
        <f>VLOOKUP($I410,'Price List, Weapons &amp; Items'!B:L,COLUMN('Price List, Weapons &amp; Items'!$L$11)-1,0)</f>
        <v>0</v>
      </c>
      <c r="AR410" s="1194">
        <f t="shared" si="98"/>
        <v>1</v>
      </c>
      <c r="AS410" s="1194">
        <f t="shared" si="99"/>
        <v>0</v>
      </c>
      <c r="AT410" s="1194" t="str">
        <f t="shared" si="100"/>
        <v>Value is not in date format</v>
      </c>
      <c r="AU410" s="1194" t="str">
        <f t="shared" si="101"/>
        <v>.</v>
      </c>
      <c r="AV410" s="1194" t="str">
        <f t="shared" si="92"/>
        <v>.</v>
      </c>
      <c r="AW410" s="1194" t="str">
        <f t="shared" si="102"/>
        <v>.</v>
      </c>
      <c r="AX410" s="1194">
        <f>IFERROR(VLOOKUP(B410,'Share, Heavy Weapons to Ukraine'!B:Z,COLUMN('Share, Heavy Weapons to Ukraine'!C420)-1,0),0)</f>
        <v>0</v>
      </c>
      <c r="AY410" s="1194">
        <f>VLOOKUP('Bilateral Assistance, MAIN DATA'!B410,'Country Summary (€)'!B:F,COLUMN('Country Summary (€)'!C421)-1,FALSE)</f>
        <v>1</v>
      </c>
      <c r="AZ410" s="1194" t="str">
        <f>IF(AND(AD410=1,D410="Military",H410&lt;&gt;"Not given")=TRUE,IF(SUMIFS(P:P,A:A,A410)&gt;0,ABS((SUMIFS(P:P,A:A,A410)/VLOOKUP("USD",'Exchange Rates'!B:C,2,0)))/S410,"."),".")</f>
        <v>.</v>
      </c>
      <c r="BA410" s="1196" t="str">
        <f>IF(AND(AD410=1,D410="Military",H410&lt;&gt;"Not given")=TRUE,IF(SUMIFS(P:P,A:A,A410)&gt;0,IF((ABS((SUMIFS(P:P,A:A,A410)/VLOOKUP("USD",'Exchange Rates'!B:C,2,0)))/S410)&gt;1,(SUMIFS(P:P,A:A,A410)-S410)/S410,(S410-SUMIFS(P:P,A:A,A410))/SUMIFS(P:P,A:A,A410)),"."),".")</f>
        <v>.</v>
      </c>
    </row>
    <row r="411" spans="1:53" ht="15.95" customHeight="1">
      <c r="A411" s="1180" t="s">
        <v>1435</v>
      </c>
      <c r="B411" s="1180" t="s">
        <v>1432</v>
      </c>
      <c r="C411" s="1181" t="s">
        <v>1443</v>
      </c>
      <c r="D411" s="1182" t="s">
        <v>360</v>
      </c>
      <c r="E411" s="1182" t="s">
        <v>371</v>
      </c>
      <c r="F411" s="1183" t="s">
        <v>1437</v>
      </c>
      <c r="G411" s="1184" t="s">
        <v>483</v>
      </c>
      <c r="H411" s="1185">
        <v>8000000</v>
      </c>
      <c r="I411" s="1180" t="s">
        <v>1444</v>
      </c>
      <c r="J411" s="1186" t="str">
        <f>VLOOKUP($I411,'Price List, Weapons &amp; Items'!B:C,2,0)</f>
        <v>Military equipment</v>
      </c>
      <c r="K411" s="1186" t="str">
        <f>IF(I411=".",I411,VLOOKUP($I411,'Price List, Weapons &amp; Items'!B:D,3,0))</f>
        <v>Military equipment</v>
      </c>
      <c r="L411" s="1187">
        <f>VLOOKUP(I411,'Price List, Weapons &amp; Items'!B:E,4,0)</f>
        <v>0</v>
      </c>
      <c r="M411" s="1188" t="s">
        <v>374</v>
      </c>
      <c r="N411" s="1188" t="s">
        <v>374</v>
      </c>
      <c r="O411" s="1188" t="str">
        <f>VLOOKUP($I411,'Price List, Weapons &amp; Items'!B:G,6,0)</f>
        <v>.</v>
      </c>
      <c r="P411" s="1185" t="str">
        <f t="shared" si="93"/>
        <v>.</v>
      </c>
      <c r="Q411" s="1185" t="str">
        <f t="shared" si="94"/>
        <v>.</v>
      </c>
      <c r="R411" s="1185" t="str">
        <f t="shared" si="90"/>
        <v/>
      </c>
      <c r="S411" s="1185" t="str">
        <f>IF(AND(AD411=1,R411&lt;&gt;".")=TRUE,R411/VLOOKUP(G411,'Exchange Rates'!B:C,2,0),IF(R411=".",".",""))</f>
        <v/>
      </c>
      <c r="T411" s="1185" t="str">
        <f>IF(AD411=1,IF(AF411="Value is not given at all",".",IF(AF411="Value is given by the source",S411,IF(AF411="Value is calculated with prices",(IF(SUMIFS(Q:Q,A:A,A411)&gt;0,SUMIFS(Q:Q,A:A,A411),"."))/VLOOKUP("USD",'Exchange Rates'!B:C,2,0),"Error with coding"))),"")</f>
        <v/>
      </c>
      <c r="U411" s="1184" t="s">
        <v>365</v>
      </c>
      <c r="V411" s="966" t="s">
        <v>1438</v>
      </c>
      <c r="W411" s="966" t="s">
        <v>1439</v>
      </c>
      <c r="X411" s="986" t="s">
        <v>364</v>
      </c>
      <c r="Y411" s="1190" t="s">
        <v>364</v>
      </c>
      <c r="Z411" s="1184">
        <v>0</v>
      </c>
      <c r="AA411" s="1194">
        <v>0</v>
      </c>
      <c r="AB411" s="1000" t="s">
        <v>364</v>
      </c>
      <c r="AC411" s="1192" t="str">
        <f>""</f>
        <v/>
      </c>
      <c r="AD411" s="1193">
        <v>0</v>
      </c>
      <c r="AE411" s="1193" t="s">
        <v>368</v>
      </c>
      <c r="AF411" s="1193" t="s">
        <v>369</v>
      </c>
      <c r="AG411" s="1193">
        <v>1</v>
      </c>
      <c r="AH411" s="1193">
        <v>10</v>
      </c>
      <c r="AI411" s="1193">
        <v>0</v>
      </c>
      <c r="AJ411" s="1193">
        <f>VLOOKUP($I411,'Price List, Weapons &amp; Items'!B:F,5,0)</f>
        <v>0</v>
      </c>
      <c r="AK411" s="1193">
        <f t="shared" si="95"/>
        <v>0</v>
      </c>
      <c r="AL411" s="1193">
        <f t="shared" si="96"/>
        <v>0</v>
      </c>
      <c r="AM411" s="1193">
        <f t="shared" si="97"/>
        <v>0</v>
      </c>
      <c r="AN411" s="1194" t="str">
        <f>VLOOKUP($I411,'Price List, Weapons &amp; Items'!B:L,COLUMN('Price List, Weapons &amp; Items'!$J$11)-1,0)</f>
        <v>.</v>
      </c>
      <c r="AO411" s="1194" t="str">
        <f>IF(I411=".",".",VLOOKUP($I411,'Price List, Weapons &amp; Items'!B:J,3,0))</f>
        <v>Military equipment</v>
      </c>
      <c r="AP411" s="1195" t="str">
        <f t="shared" ca="1" si="91"/>
        <v/>
      </c>
      <c r="AQ411" s="1194" t="str">
        <f>VLOOKUP($I411,'Price List, Weapons &amp; Items'!B:L,COLUMN('Price List, Weapons &amp; Items'!$L$11)-1,0)</f>
        <v>no price, 0 count</v>
      </c>
      <c r="AR411" s="1194">
        <f t="shared" si="98"/>
        <v>1</v>
      </c>
      <c r="AS411" s="1194">
        <f t="shared" si="99"/>
        <v>0</v>
      </c>
      <c r="AT411" s="1194" t="str">
        <f t="shared" si="100"/>
        <v>Value is not in date format</v>
      </c>
      <c r="AU411" s="1194" t="str">
        <f t="shared" si="101"/>
        <v>.</v>
      </c>
      <c r="AV411" s="1194" t="str">
        <f t="shared" si="92"/>
        <v>.</v>
      </c>
      <c r="AW411" s="1194" t="str">
        <f t="shared" si="102"/>
        <v>.</v>
      </c>
      <c r="AX411" s="1194">
        <f>IFERROR(VLOOKUP(B411,'Share, Heavy Weapons to Ukraine'!B:Z,COLUMN('Share, Heavy Weapons to Ukraine'!C421)-1,0),0)</f>
        <v>0</v>
      </c>
      <c r="AY411" s="1194">
        <f>VLOOKUP('Bilateral Assistance, MAIN DATA'!B411,'Country Summary (€)'!B:F,COLUMN('Country Summary (€)'!C422)-1,FALSE)</f>
        <v>1</v>
      </c>
      <c r="AZ411" s="1194" t="str">
        <f>IF(AND(AD411=1,D411="Military",H411&lt;&gt;"Not given")=TRUE,IF(SUMIFS(P:P,A:A,A411)&gt;0,ABS((SUMIFS(P:P,A:A,A411)/VLOOKUP("USD",'Exchange Rates'!B:C,2,0)))/S411,"."),".")</f>
        <v>.</v>
      </c>
      <c r="BA411" s="1196" t="str">
        <f>IF(AND(AD411=1,D411="Military",H411&lt;&gt;"Not given")=TRUE,IF(SUMIFS(P:P,A:A,A411)&gt;0,IF((ABS((SUMIFS(P:P,A:A,A411)/VLOOKUP("USD",'Exchange Rates'!B:C,2,0)))/S411)&gt;1,(SUMIFS(P:P,A:A,A411)-S411)/S411,(S411-SUMIFS(P:P,A:A,A411))/SUMIFS(P:P,A:A,A411)),"."),".")</f>
        <v>.</v>
      </c>
    </row>
    <row r="412" spans="1:53" ht="15.95" customHeight="1">
      <c r="A412" s="1180" t="s">
        <v>1445</v>
      </c>
      <c r="B412" s="1180" t="s">
        <v>1432</v>
      </c>
      <c r="C412" s="1181">
        <v>44806</v>
      </c>
      <c r="D412" s="1182" t="s">
        <v>360</v>
      </c>
      <c r="E412" s="1182" t="s">
        <v>361</v>
      </c>
      <c r="F412" s="1183" t="s">
        <v>1446</v>
      </c>
      <c r="G412" s="1184" t="s">
        <v>483</v>
      </c>
      <c r="H412" s="1185">
        <v>8000000</v>
      </c>
      <c r="I412" s="1180" t="s">
        <v>364</v>
      </c>
      <c r="J412" s="1186" t="str">
        <f>VLOOKUP($I412,'Price List, Weapons &amp; Items'!B:C,2,0)</f>
        <v>.</v>
      </c>
      <c r="K412" s="1186" t="str">
        <f>IF(I412=".",I412,VLOOKUP($I412,'Price List, Weapons &amp; Items'!B:D,3,0))</f>
        <v>.</v>
      </c>
      <c r="L412" s="1187">
        <f>VLOOKUP(I412,'Price List, Weapons &amp; Items'!B:E,4,0)</f>
        <v>0</v>
      </c>
      <c r="M412" s="1188" t="s">
        <v>364</v>
      </c>
      <c r="N412" s="1188" t="s">
        <v>364</v>
      </c>
      <c r="O412" s="1188" t="str">
        <f>VLOOKUP($I412,'Price List, Weapons &amp; Items'!B:G,6,0)</f>
        <v>.</v>
      </c>
      <c r="P412" s="1185" t="str">
        <f t="shared" si="93"/>
        <v>.</v>
      </c>
      <c r="Q412" s="1185" t="str">
        <f t="shared" si="94"/>
        <v>.</v>
      </c>
      <c r="R412" s="1185">
        <f t="shared" si="90"/>
        <v>8000000</v>
      </c>
      <c r="S412" s="1185">
        <f>IF(AND(AD412=1,R412&lt;&gt;".")=TRUE,R412/VLOOKUP(G412,'Exchange Rates'!B:C,2,0),IF(R412=".",".",""))</f>
        <v>8000000</v>
      </c>
      <c r="T412" s="1185" t="str">
        <f>IF(AD412=1,IF(AF412="Value is not given at all",".",IF(AF412="Value is given by the source",S412,IF(AF412="Value is calculated with prices",(IF(SUMIFS(Q:Q,A:A,A412)&gt;0,SUMIFS(Q:Q,A:A,A412),"."))/VLOOKUP("USD",'Exchange Rates'!B:C,2,0),"Error with coding"))),"")</f>
        <v>.</v>
      </c>
      <c r="U412" s="1184" t="s">
        <v>365</v>
      </c>
      <c r="V412" s="971" t="s">
        <v>1447</v>
      </c>
      <c r="W412" s="966" t="s">
        <v>1439</v>
      </c>
      <c r="X412" s="1190" t="s">
        <v>364</v>
      </c>
      <c r="Y412" s="1190" t="s">
        <v>364</v>
      </c>
      <c r="Z412" s="1184">
        <v>0</v>
      </c>
      <c r="AA412" s="1194">
        <v>0</v>
      </c>
      <c r="AB412" s="1201" t="s">
        <v>364</v>
      </c>
      <c r="AC412" s="1192" t="str">
        <f>""</f>
        <v/>
      </c>
      <c r="AD412" s="1193">
        <v>1</v>
      </c>
      <c r="AE412" s="1193" t="s">
        <v>368</v>
      </c>
      <c r="AF412" s="1193" t="s">
        <v>369</v>
      </c>
      <c r="AG412" s="1193">
        <v>1</v>
      </c>
      <c r="AH412" s="1193">
        <v>9</v>
      </c>
      <c r="AI412" s="1193">
        <v>0</v>
      </c>
      <c r="AJ412" s="1193">
        <f>VLOOKUP($I412,'Price List, Weapons &amp; Items'!B:F,5,0)</f>
        <v>0</v>
      </c>
      <c r="AK412" s="1193">
        <f t="shared" si="95"/>
        <v>0</v>
      </c>
      <c r="AL412" s="1193">
        <f t="shared" si="96"/>
        <v>0</v>
      </c>
      <c r="AM412" s="1193">
        <f t="shared" si="97"/>
        <v>0</v>
      </c>
      <c r="AN412" s="1194" t="str">
        <f>VLOOKUP($I412,'Price List, Weapons &amp; Items'!B:L,COLUMN('Price List, Weapons &amp; Items'!$J$11)-1,0)</f>
        <v>.</v>
      </c>
      <c r="AO412" s="1194" t="str">
        <f>IF(I412=".",".",VLOOKUP($I412,'Price List, Weapons &amp; Items'!B:J,3,0))</f>
        <v>.</v>
      </c>
      <c r="AP412" s="1195" t="str">
        <f t="shared" ca="1" si="91"/>
        <v>.</v>
      </c>
      <c r="AQ412" s="1194">
        <f>VLOOKUP($I412,'Price List, Weapons &amp; Items'!B:L,COLUMN('Price List, Weapons &amp; Items'!$L$11)-1,0)</f>
        <v>0</v>
      </c>
      <c r="AR412" s="1194">
        <f t="shared" si="98"/>
        <v>1</v>
      </c>
      <c r="AS412" s="1194">
        <f t="shared" si="99"/>
        <v>0</v>
      </c>
      <c r="AT412" s="1194">
        <f t="shared" si="100"/>
        <v>1</v>
      </c>
      <c r="AU412" s="1194" t="str">
        <f t="shared" si="101"/>
        <v>.</v>
      </c>
      <c r="AV412" s="1194" t="str">
        <f t="shared" si="92"/>
        <v>.</v>
      </c>
      <c r="AW412" s="1194" t="str">
        <f t="shared" si="102"/>
        <v>.</v>
      </c>
      <c r="AX412" s="1194">
        <f>IFERROR(VLOOKUP(B412,'Share, Heavy Weapons to Ukraine'!B:Z,COLUMN('Share, Heavy Weapons to Ukraine'!C422)-1,0),0)</f>
        <v>0</v>
      </c>
      <c r="AY412" s="1194">
        <f>VLOOKUP('Bilateral Assistance, MAIN DATA'!B412,'Country Summary (€)'!B:F,COLUMN('Country Summary (€)'!C423)-1,FALSE)</f>
        <v>1</v>
      </c>
      <c r="AZ412" s="1194" t="str">
        <f>IF(AND(AD412=1,D412="Military",H412&lt;&gt;"Not given")=TRUE,IF(SUMIFS(P:P,A:A,A412)&gt;0,ABS((SUMIFS(P:P,A:A,A412)/VLOOKUP("USD",'Exchange Rates'!B:C,2,0)))/S412,"."),".")</f>
        <v>.</v>
      </c>
      <c r="BA412" s="1196" t="str">
        <f>IF(AND(AD412=1,D412="Military",H412&lt;&gt;"Not given")=TRUE,IF(SUMIFS(P:P,A:A,A412)&gt;0,IF((ABS((SUMIFS(P:P,A:A,A412)/VLOOKUP("USD",'Exchange Rates'!B:C,2,0)))/S412)&gt;1,(SUMIFS(P:P,A:A,A412)-S412)/S412,(S412-SUMIFS(P:P,A:A,A412))/SUMIFS(P:P,A:A,A412)),"."),".")</f>
        <v>.</v>
      </c>
    </row>
    <row r="413" spans="1:53" ht="15.95" customHeight="1">
      <c r="A413" s="1180" t="s">
        <v>1448</v>
      </c>
      <c r="B413" s="1208" t="s">
        <v>1432</v>
      </c>
      <c r="C413" s="1220">
        <v>44918</v>
      </c>
      <c r="D413" s="1208" t="s">
        <v>360</v>
      </c>
      <c r="E413" s="1208" t="s">
        <v>1216</v>
      </c>
      <c r="F413" s="1208" t="s">
        <v>1449</v>
      </c>
      <c r="G413" s="1184" t="s">
        <v>483</v>
      </c>
      <c r="H413" s="1210">
        <v>5000000</v>
      </c>
      <c r="I413" s="1208" t="s">
        <v>364</v>
      </c>
      <c r="J413" s="1186" t="str">
        <f>VLOOKUP($I413,'Price List, Weapons &amp; Items'!B:C,2,0)</f>
        <v>.</v>
      </c>
      <c r="K413" s="1186" t="str">
        <f>IF(I413=".",I413,VLOOKUP($I413,'Price List, Weapons &amp; Items'!B:D,3,0))</f>
        <v>.</v>
      </c>
      <c r="L413" s="1187">
        <f>VLOOKUP(I413,'Price List, Weapons &amp; Items'!B:E,4,0)</f>
        <v>0</v>
      </c>
      <c r="M413" s="1241" t="s">
        <v>364</v>
      </c>
      <c r="N413" s="1211" t="s">
        <v>364</v>
      </c>
      <c r="O413" s="1188" t="str">
        <f>VLOOKUP($I413,'Price List, Weapons &amp; Items'!B:G,6,0)</f>
        <v>.</v>
      </c>
      <c r="P413" s="1185" t="str">
        <f t="shared" si="93"/>
        <v>.</v>
      </c>
      <c r="Q413" s="1185" t="str">
        <f t="shared" si="94"/>
        <v>.</v>
      </c>
      <c r="R413" s="1185">
        <f t="shared" si="90"/>
        <v>5000000</v>
      </c>
      <c r="S413" s="1185">
        <f>IF(AND(AD413=1,R413&lt;&gt;".")=TRUE,R413/VLOOKUP(G413,'Exchange Rates'!B:C,2,0),IF(R413=".",".",""))</f>
        <v>5000000</v>
      </c>
      <c r="T413" s="1185" t="str">
        <f>IF(AD413=1,IF(AF413="Value is not given at all",".",IF(AF413="Value is given by the source",S413,IF(AF413="Value is calculated with prices",(IF(SUMIFS(Q:Q,A:A,A413)&gt;0,SUMIFS(Q:Q,A:A,A413),"."))/VLOOKUP("USD",'Exchange Rates'!B:C,2,0),"Error with coding"))),"")</f>
        <v>.</v>
      </c>
      <c r="U413" s="1191" t="s">
        <v>365</v>
      </c>
      <c r="V413" s="979" t="s">
        <v>1450</v>
      </c>
      <c r="W413" s="966" t="s">
        <v>1439</v>
      </c>
      <c r="X413" s="1208" t="s">
        <v>364</v>
      </c>
      <c r="Y413" s="1190" t="s">
        <v>364</v>
      </c>
      <c r="Z413" s="1191">
        <v>0</v>
      </c>
      <c r="AA413" s="1191">
        <v>0</v>
      </c>
      <c r="AB413" s="1208" t="s">
        <v>364</v>
      </c>
      <c r="AC413" s="1192" t="str">
        <f>""</f>
        <v/>
      </c>
      <c r="AD413" s="1191">
        <v>1</v>
      </c>
      <c r="AE413" s="1193" t="s">
        <v>368</v>
      </c>
      <c r="AF413" s="1191" t="s">
        <v>369</v>
      </c>
      <c r="AG413" s="1191">
        <v>1</v>
      </c>
      <c r="AH413" s="1191">
        <v>12</v>
      </c>
      <c r="AI413" s="1191">
        <v>0</v>
      </c>
      <c r="AJ413" s="1193">
        <f>VLOOKUP($I413,'Price List, Weapons &amp; Items'!B:F,5,0)</f>
        <v>0</v>
      </c>
      <c r="AK413" s="1193">
        <f t="shared" si="95"/>
        <v>0</v>
      </c>
      <c r="AL413" s="1193">
        <f t="shared" si="96"/>
        <v>0</v>
      </c>
      <c r="AM413" s="1193">
        <f t="shared" si="97"/>
        <v>0</v>
      </c>
      <c r="AN413" s="1194" t="str">
        <f>VLOOKUP($I413,'Price List, Weapons &amp; Items'!B:L,COLUMN('Price List, Weapons &amp; Items'!$J$11)-1,0)</f>
        <v>.</v>
      </c>
      <c r="AO413" s="1194" t="str">
        <f>IF(I413=".",".",VLOOKUP($I413,'Price List, Weapons &amp; Items'!B:J,3,0))</f>
        <v>.</v>
      </c>
      <c r="AP413" s="1195" t="str">
        <f t="shared" ca="1" si="91"/>
        <v>.</v>
      </c>
      <c r="AQ413" s="1194">
        <f>VLOOKUP($I413,'Price List, Weapons &amp; Items'!B:L,COLUMN('Price List, Weapons &amp; Items'!$L$11)-1,0)</f>
        <v>0</v>
      </c>
      <c r="AR413" s="1194">
        <f t="shared" si="98"/>
        <v>1</v>
      </c>
      <c r="AS413" s="1194">
        <f t="shared" si="99"/>
        <v>0</v>
      </c>
      <c r="AT413" s="1194">
        <f t="shared" si="100"/>
        <v>1</v>
      </c>
      <c r="AU413" s="1194" t="str">
        <f t="shared" si="101"/>
        <v>.</v>
      </c>
      <c r="AV413" s="1194" t="str">
        <f t="shared" si="92"/>
        <v>.</v>
      </c>
      <c r="AW413" s="1194" t="str">
        <f t="shared" si="102"/>
        <v>.</v>
      </c>
      <c r="AX413" s="1194">
        <f>IFERROR(VLOOKUP(B413,'Share, Heavy Weapons to Ukraine'!B:Z,COLUMN('Share, Heavy Weapons to Ukraine'!C423)-1,0),0)</f>
        <v>0</v>
      </c>
      <c r="AY413" s="1194">
        <f>VLOOKUP('Bilateral Assistance, MAIN DATA'!B413,'Country Summary (€)'!B:F,COLUMN('Country Summary (€)'!C424)-1,FALSE)</f>
        <v>1</v>
      </c>
      <c r="AZ413" s="1194" t="str">
        <f>IF(AND(AD413=1,D413="Military",H413&lt;&gt;"Not given")=TRUE,IF(SUMIFS(P:P,A:A,A413)&gt;0,ABS((SUMIFS(P:P,A:A,A413)/VLOOKUP("USD",'Exchange Rates'!B:C,2,0)))/S413,"."),".")</f>
        <v>.</v>
      </c>
      <c r="BA413" s="1196" t="str">
        <f>IF(AND(AD413=1,D413="Military",H413&lt;&gt;"Not given")=TRUE,IF(SUMIFS(P:P,A:A,A413)&gt;0,IF((ABS((SUMIFS(P:P,A:A,A413)/VLOOKUP("USD",'Exchange Rates'!B:C,2,0)))/S413)&gt;1,(SUMIFS(P:P,A:A,A413)-S413)/S413,(S413-SUMIFS(P:P,A:A,A413))/SUMIFS(P:P,A:A,A413)),"."),".")</f>
        <v>.</v>
      </c>
    </row>
    <row r="414" spans="1:53" ht="15.95" customHeight="1">
      <c r="A414" s="1182" t="s">
        <v>1451</v>
      </c>
      <c r="B414" s="1182" t="s">
        <v>1432</v>
      </c>
      <c r="C414" s="1181">
        <v>44619</v>
      </c>
      <c r="D414" s="1182" t="s">
        <v>389</v>
      </c>
      <c r="E414" s="1182" t="s">
        <v>390</v>
      </c>
      <c r="F414" s="1183" t="s">
        <v>1452</v>
      </c>
      <c r="G414" s="1184" t="s">
        <v>483</v>
      </c>
      <c r="H414" s="1185">
        <v>29300000</v>
      </c>
      <c r="I414" s="1180" t="s">
        <v>694</v>
      </c>
      <c r="J414" s="1186" t="str">
        <f>VLOOKUP($I414,'Price List, Weapons &amp; Items'!B:C,2,0)</f>
        <v>Military equipment</v>
      </c>
      <c r="K414" s="1186" t="str">
        <f>IF(I414=".",I414,VLOOKUP($I414,'Price List, Weapons &amp; Items'!B:D,3,0))</f>
        <v>Military equipment</v>
      </c>
      <c r="L414" s="1187">
        <f>VLOOKUP(I414,'Price List, Weapons &amp; Items'!B:E,4,0)</f>
        <v>0</v>
      </c>
      <c r="M414" s="1188">
        <v>2000</v>
      </c>
      <c r="N414" s="1188">
        <v>2000</v>
      </c>
      <c r="O414" s="1188">
        <f>VLOOKUP($I414,'Price List, Weapons &amp; Items'!B:G,6,0)</f>
        <v>500</v>
      </c>
      <c r="P414" s="1185">
        <f t="shared" si="93"/>
        <v>1000000</v>
      </c>
      <c r="Q414" s="1185">
        <f t="shared" si="94"/>
        <v>1000000</v>
      </c>
      <c r="R414" s="1185">
        <f t="shared" si="90"/>
        <v>29300000</v>
      </c>
      <c r="S414" s="1185">
        <f>IF(AND(AD414=1,R414&lt;&gt;".")=TRUE,R414/VLOOKUP(G414,'Exchange Rates'!B:C,2,0),IF(R414=".",".",""))</f>
        <v>29300000</v>
      </c>
      <c r="T414" s="1185">
        <f>IF(AD414=1,IF(AF414="Value is not given at all",".",IF(AF414="Value is given by the source",S414,IF(AF414="Value is calculated with prices",(IF(SUMIFS(Q:Q,A:A,A414)&gt;0,SUMIFS(Q:Q,A:A,A414),"."))/VLOOKUP("USD",'Exchange Rates'!B:C,2,0),"Error with coding"))),"")</f>
        <v>29300000</v>
      </c>
      <c r="U414" s="1184" t="s">
        <v>365</v>
      </c>
      <c r="V414" s="974" t="s">
        <v>1453</v>
      </c>
      <c r="W414" s="974" t="s">
        <v>1454</v>
      </c>
      <c r="X414" s="974" t="s">
        <v>1455</v>
      </c>
      <c r="Y414" s="1190" t="s">
        <v>364</v>
      </c>
      <c r="Z414" s="1184">
        <v>0</v>
      </c>
      <c r="AA414" s="1194">
        <v>0</v>
      </c>
      <c r="AB414" s="975" t="s">
        <v>1456</v>
      </c>
      <c r="AC414" s="1192" t="str">
        <f>""</f>
        <v/>
      </c>
      <c r="AD414" s="1193">
        <v>1</v>
      </c>
      <c r="AE414" s="1193" t="s">
        <v>368</v>
      </c>
      <c r="AF414" s="1193" t="s">
        <v>368</v>
      </c>
      <c r="AG414" s="1193">
        <v>1</v>
      </c>
      <c r="AH414" s="1193">
        <v>2</v>
      </c>
      <c r="AI414" s="1193">
        <v>0</v>
      </c>
      <c r="AJ414" s="1193">
        <f>VLOOKUP($I414,'Price List, Weapons &amp; Items'!B:F,5,0)</f>
        <v>0</v>
      </c>
      <c r="AK414" s="1193">
        <f t="shared" si="95"/>
        <v>0</v>
      </c>
      <c r="AL414" s="1193">
        <f t="shared" si="96"/>
        <v>0</v>
      </c>
      <c r="AM414" s="1193">
        <f t="shared" si="97"/>
        <v>0</v>
      </c>
      <c r="AN414" s="1194" t="str">
        <f>VLOOKUP($I414,'Price List, Weapons &amp; Items'!B:L,COLUMN('Price List, Weapons &amp; Items'!$J$11)-1,0)</f>
        <v>Military media (incl. websites)</v>
      </c>
      <c r="AO414" s="1194" t="str">
        <f>IF(I414=".",".",VLOOKUP($I414,'Price List, Weapons &amp; Items'!B:J,3,0))</f>
        <v>Military equipment</v>
      </c>
      <c r="AP414" s="1195" t="str">
        <f t="shared" ca="1" si="91"/>
        <v>ballistic vest</v>
      </c>
      <c r="AQ414" s="1194">
        <f>VLOOKUP($I414,'Price List, Weapons &amp; Items'!B:L,COLUMN('Price List, Weapons &amp; Items'!$L$11)-1,0)</f>
        <v>2</v>
      </c>
      <c r="AR414" s="1194">
        <f t="shared" si="98"/>
        <v>1</v>
      </c>
      <c r="AS414" s="1194">
        <f t="shared" si="99"/>
        <v>1</v>
      </c>
      <c r="AT414" s="1194">
        <f t="shared" si="100"/>
        <v>1</v>
      </c>
      <c r="AU414" s="1194" t="str">
        <f t="shared" si="101"/>
        <v>.</v>
      </c>
      <c r="AV414" s="1194" t="str">
        <f t="shared" si="92"/>
        <v>.</v>
      </c>
      <c r="AW414" s="1194" t="str">
        <f t="shared" si="102"/>
        <v>.</v>
      </c>
      <c r="AX414" s="1194">
        <f>IFERROR(VLOOKUP(B414,'Share, Heavy Weapons to Ukraine'!B:Z,COLUMN('Share, Heavy Weapons to Ukraine'!C424)-1,0),0)</f>
        <v>0</v>
      </c>
      <c r="AY414" s="1194">
        <f>VLOOKUP('Bilateral Assistance, MAIN DATA'!B414,'Country Summary (€)'!B:F,COLUMN('Country Summary (€)'!C425)-1,FALSE)</f>
        <v>1</v>
      </c>
      <c r="AZ414" s="1194">
        <f>IF(AND(AD414=1,D414="Military",H414&lt;&gt;"Not given")=TRUE,IF(SUMIFS(P:P,A:A,A414)&gt;0,ABS((SUMIFS(P:P,A:A,A414)/VLOOKUP("USD",'Exchange Rates'!B:C,2,0)))/S414,"."),".")</f>
        <v>0.35698314618738547</v>
      </c>
      <c r="BA414" s="1196">
        <f>IF(AND(AD414=1,D414="Military",H414&lt;&gt;"Not given")=TRUE,IF(SUMIFS(P:P,A:A,A414)&gt;0,IF((ABS((SUMIFS(P:P,A:A,A414)/VLOOKUP("USD",'Exchange Rates'!B:C,2,0)))/S414)&gt;1,(SUMIFS(P:P,A:A,A414)-S414)/S414,(S414-SUMIFS(P:P,A:A,A414))/SUMIFS(P:P,A:A,A414)),"."),".")</f>
        <v>1.5775236419617331</v>
      </c>
    </row>
    <row r="415" spans="1:53" ht="15.95" customHeight="1">
      <c r="A415" s="1182" t="s">
        <v>1451</v>
      </c>
      <c r="B415" s="1182" t="s">
        <v>1432</v>
      </c>
      <c r="C415" s="1181">
        <v>44619</v>
      </c>
      <c r="D415" s="1182" t="s">
        <v>389</v>
      </c>
      <c r="E415" s="1182" t="s">
        <v>390</v>
      </c>
      <c r="F415" s="1183" t="s">
        <v>1452</v>
      </c>
      <c r="G415" s="1184" t="s">
        <v>483</v>
      </c>
      <c r="H415" s="1185">
        <v>29300000</v>
      </c>
      <c r="I415" s="1180" t="s">
        <v>594</v>
      </c>
      <c r="J415" s="1186" t="str">
        <f>VLOOKUP($I415,'Price List, Weapons &amp; Items'!B:C,2,0)</f>
        <v>Military equipment</v>
      </c>
      <c r="K415" s="1186" t="str">
        <f>IF(I415=".",I415,VLOOKUP($I415,'Price List, Weapons &amp; Items'!B:D,3,0))</f>
        <v>Military equipment</v>
      </c>
      <c r="L415" s="1187">
        <f>VLOOKUP(I415,'Price List, Weapons &amp; Items'!B:E,4,0)</f>
        <v>0</v>
      </c>
      <c r="M415" s="1188">
        <v>2000</v>
      </c>
      <c r="N415" s="1188">
        <v>2000</v>
      </c>
      <c r="O415" s="1188">
        <f>VLOOKUP($I415,'Price List, Weapons &amp; Items'!B:G,6,0)</f>
        <v>1400</v>
      </c>
      <c r="P415" s="1185">
        <f t="shared" si="93"/>
        <v>2800000</v>
      </c>
      <c r="Q415" s="1185">
        <f t="shared" si="94"/>
        <v>2800000</v>
      </c>
      <c r="R415" s="1185" t="str">
        <f t="shared" si="90"/>
        <v/>
      </c>
      <c r="S415" s="1185" t="str">
        <f>IF(AND(AD415=1,R415&lt;&gt;".")=TRUE,R415/VLOOKUP(G415,'Exchange Rates'!B:C,2,0),IF(R415=".",".",""))</f>
        <v/>
      </c>
      <c r="T415" s="1185" t="str">
        <f>IF(AD415=1,IF(AF415="Value is not given at all",".",IF(AF415="Value is given by the source",S415,IF(AF415="Value is calculated with prices",(IF(SUMIFS(Q:Q,A:A,A415)&gt;0,SUMIFS(Q:Q,A:A,A415),"."))/VLOOKUP("USD",'Exchange Rates'!B:C,2,0),"Error with coding"))),"")</f>
        <v/>
      </c>
      <c r="U415" s="1184" t="s">
        <v>365</v>
      </c>
      <c r="V415" s="974" t="s">
        <v>1453</v>
      </c>
      <c r="W415" s="974" t="s">
        <v>1454</v>
      </c>
      <c r="X415" s="974" t="s">
        <v>1455</v>
      </c>
      <c r="Y415" s="1190" t="s">
        <v>364</v>
      </c>
      <c r="Z415" s="1184">
        <v>0</v>
      </c>
      <c r="AA415" s="1194">
        <v>0</v>
      </c>
      <c r="AB415" s="975" t="s">
        <v>1456</v>
      </c>
      <c r="AC415" s="1192" t="str">
        <f>""</f>
        <v/>
      </c>
      <c r="AD415" s="1193">
        <v>0</v>
      </c>
      <c r="AE415" s="1193" t="s">
        <v>368</v>
      </c>
      <c r="AF415" s="1193" t="s">
        <v>368</v>
      </c>
      <c r="AG415" s="1193">
        <v>1</v>
      </c>
      <c r="AH415" s="1193">
        <v>2</v>
      </c>
      <c r="AI415" s="1193">
        <v>0</v>
      </c>
      <c r="AJ415" s="1193">
        <f>VLOOKUP($I415,'Price List, Weapons &amp; Items'!B:F,5,0)</f>
        <v>0</v>
      </c>
      <c r="AK415" s="1193">
        <f t="shared" si="95"/>
        <v>0</v>
      </c>
      <c r="AL415" s="1193">
        <f t="shared" si="96"/>
        <v>0</v>
      </c>
      <c r="AM415" s="1193">
        <f t="shared" si="97"/>
        <v>0</v>
      </c>
      <c r="AN415" s="1194" t="str">
        <f>VLOOKUP($I415,'Price List, Weapons &amp; Items'!B:L,COLUMN('Price List, Weapons &amp; Items'!$J$11)-1,0)</f>
        <v>Military media (incl. websites)</v>
      </c>
      <c r="AO415" s="1194" t="str">
        <f>IF(I415=".",".",VLOOKUP($I415,'Price List, Weapons &amp; Items'!B:J,3,0))</f>
        <v>Military equipment</v>
      </c>
      <c r="AP415" s="1195" t="str">
        <f t="shared" ca="1" si="91"/>
        <v/>
      </c>
      <c r="AQ415" s="1194">
        <f>VLOOKUP($I415,'Price List, Weapons &amp; Items'!B:L,COLUMN('Price List, Weapons &amp; Items'!$L$11)-1,0)</f>
        <v>2</v>
      </c>
      <c r="AR415" s="1194">
        <f t="shared" si="98"/>
        <v>1</v>
      </c>
      <c r="AS415" s="1194">
        <f t="shared" si="99"/>
        <v>1</v>
      </c>
      <c r="AT415" s="1194">
        <f t="shared" si="100"/>
        <v>1</v>
      </c>
      <c r="AU415" s="1194" t="str">
        <f t="shared" si="101"/>
        <v>.</v>
      </c>
      <c r="AV415" s="1194" t="str">
        <f t="shared" si="92"/>
        <v>.</v>
      </c>
      <c r="AW415" s="1194" t="str">
        <f t="shared" si="102"/>
        <v>.</v>
      </c>
      <c r="AX415" s="1194">
        <f>IFERROR(VLOOKUP(B415,'Share, Heavy Weapons to Ukraine'!B:Z,COLUMN('Share, Heavy Weapons to Ukraine'!C425)-1,0),0)</f>
        <v>0</v>
      </c>
      <c r="AY415" s="1194">
        <f>VLOOKUP('Bilateral Assistance, MAIN DATA'!B415,'Country Summary (€)'!B:F,COLUMN('Country Summary (€)'!C426)-1,FALSE)</f>
        <v>1</v>
      </c>
      <c r="AZ415" s="1194" t="str">
        <f>IF(AND(AD415=1,D415="Military",H415&lt;&gt;"Not given")=TRUE,IF(SUMIFS(P:P,A:A,A415)&gt;0,ABS((SUMIFS(P:P,A:A,A415)/VLOOKUP("USD",'Exchange Rates'!B:C,2,0)))/S415,"."),".")</f>
        <v>.</v>
      </c>
      <c r="BA415" s="1196" t="str">
        <f>IF(AND(AD415=1,D415="Military",H415&lt;&gt;"Not given")=TRUE,IF(SUMIFS(P:P,A:A,A415)&gt;0,IF((ABS((SUMIFS(P:P,A:A,A415)/VLOOKUP("USD",'Exchange Rates'!B:C,2,0)))/S415)&gt;1,(SUMIFS(P:P,A:A,A415)-S415)/S415,(S415-SUMIFS(P:P,A:A,A415))/SUMIFS(P:P,A:A,A415)),"."),".")</f>
        <v>.</v>
      </c>
    </row>
    <row r="416" spans="1:53" ht="15.95" customHeight="1">
      <c r="A416" s="1182" t="s">
        <v>1451</v>
      </c>
      <c r="B416" s="1182" t="s">
        <v>1432</v>
      </c>
      <c r="C416" s="1181">
        <v>44619</v>
      </c>
      <c r="D416" s="1182" t="s">
        <v>389</v>
      </c>
      <c r="E416" s="1182" t="s">
        <v>390</v>
      </c>
      <c r="F416" s="1183" t="s">
        <v>1452</v>
      </c>
      <c r="G416" s="1184" t="s">
        <v>483</v>
      </c>
      <c r="H416" s="1185">
        <v>29300000</v>
      </c>
      <c r="I416" s="1180" t="s">
        <v>1457</v>
      </c>
      <c r="J416" s="1186" t="str">
        <f>VLOOKUP($I416,'Price List, Weapons &amp; Items'!B:C,2,0)</f>
        <v>Military equipment</v>
      </c>
      <c r="K416" s="1186" t="str">
        <f>IF(I416=".",I416,VLOOKUP($I416,'Price List, Weapons &amp; Items'!B:D,3,0))</f>
        <v>Military equipment</v>
      </c>
      <c r="L416" s="1187">
        <f>VLOOKUP(I416,'Price List, Weapons &amp; Items'!B:E,4,0)</f>
        <v>0</v>
      </c>
      <c r="M416" s="1188">
        <v>100</v>
      </c>
      <c r="N416" s="1188">
        <v>100</v>
      </c>
      <c r="O416" s="1188">
        <f>VLOOKUP($I416,'Price List, Weapons &amp; Items'!B:G,6,0)</f>
        <v>50</v>
      </c>
      <c r="P416" s="1185">
        <f t="shared" si="93"/>
        <v>5000</v>
      </c>
      <c r="Q416" s="1185">
        <f t="shared" si="94"/>
        <v>5000</v>
      </c>
      <c r="R416" s="1185" t="str">
        <f t="shared" si="90"/>
        <v/>
      </c>
      <c r="S416" s="1185" t="str">
        <f>IF(AND(AD416=1,R416&lt;&gt;".")=TRUE,R416/VLOOKUP(G416,'Exchange Rates'!B:C,2,0),IF(R416=".",".",""))</f>
        <v/>
      </c>
      <c r="T416" s="1185" t="str">
        <f>IF(AD416=1,IF(AF416="Value is not given at all",".",IF(AF416="Value is given by the source",S416,IF(AF416="Value is calculated with prices",(IF(SUMIFS(Q:Q,A:A,A416)&gt;0,SUMIFS(Q:Q,A:A,A416),"."))/VLOOKUP("USD",'Exchange Rates'!B:C,2,0),"Error with coding"))),"")</f>
        <v/>
      </c>
      <c r="U416" s="1184" t="s">
        <v>365</v>
      </c>
      <c r="V416" s="974" t="s">
        <v>1453</v>
      </c>
      <c r="W416" s="974" t="s">
        <v>1454</v>
      </c>
      <c r="X416" s="974" t="s">
        <v>1455</v>
      </c>
      <c r="Y416" s="1190" t="s">
        <v>364</v>
      </c>
      <c r="Z416" s="1184">
        <v>0</v>
      </c>
      <c r="AA416" s="1194">
        <v>0</v>
      </c>
      <c r="AB416" s="975" t="s">
        <v>1456</v>
      </c>
      <c r="AC416" s="1192" t="str">
        <f>""</f>
        <v/>
      </c>
      <c r="AD416" s="1193">
        <v>0</v>
      </c>
      <c r="AE416" s="1193" t="s">
        <v>368</v>
      </c>
      <c r="AF416" s="1193" t="s">
        <v>368</v>
      </c>
      <c r="AG416" s="1193">
        <v>1</v>
      </c>
      <c r="AH416" s="1193">
        <v>2</v>
      </c>
      <c r="AI416" s="1193">
        <v>0</v>
      </c>
      <c r="AJ416" s="1193">
        <f>VLOOKUP($I416,'Price List, Weapons &amp; Items'!B:F,5,0)</f>
        <v>0</v>
      </c>
      <c r="AK416" s="1193">
        <f t="shared" si="95"/>
        <v>0</v>
      </c>
      <c r="AL416" s="1193">
        <f t="shared" si="96"/>
        <v>0</v>
      </c>
      <c r="AM416" s="1193">
        <f t="shared" si="97"/>
        <v>0</v>
      </c>
      <c r="AN416" s="1194" t="str">
        <f>VLOOKUP($I416,'Price List, Weapons &amp; Items'!B:L,COLUMN('Price List, Weapons &amp; Items'!$J$11)-1,0)</f>
        <v>Online marketplaces and stores</v>
      </c>
      <c r="AO416" s="1194" t="str">
        <f>IF(I416=".",".",VLOOKUP($I416,'Price List, Weapons &amp; Items'!B:J,3,0))</f>
        <v>Military equipment</v>
      </c>
      <c r="AP416" s="1195" t="str">
        <f t="shared" ca="1" si="91"/>
        <v/>
      </c>
      <c r="AQ416" s="1194">
        <f>VLOOKUP($I416,'Price List, Weapons &amp; Items'!B:L,COLUMN('Price List, Weapons &amp; Items'!$L$11)-1,0)</f>
        <v>1</v>
      </c>
      <c r="AR416" s="1194">
        <f t="shared" si="98"/>
        <v>1</v>
      </c>
      <c r="AS416" s="1194">
        <f t="shared" si="99"/>
        <v>1</v>
      </c>
      <c r="AT416" s="1194">
        <f t="shared" si="100"/>
        <v>1</v>
      </c>
      <c r="AU416" s="1194" t="str">
        <f t="shared" si="101"/>
        <v>.</v>
      </c>
      <c r="AV416" s="1194" t="str">
        <f t="shared" si="92"/>
        <v>.</v>
      </c>
      <c r="AW416" s="1194" t="str">
        <f t="shared" si="102"/>
        <v>.</v>
      </c>
      <c r="AX416" s="1194">
        <f>IFERROR(VLOOKUP(B416,'Share, Heavy Weapons to Ukraine'!B:Z,COLUMN('Share, Heavy Weapons to Ukraine'!C426)-1,0),0)</f>
        <v>0</v>
      </c>
      <c r="AY416" s="1194">
        <f>VLOOKUP('Bilateral Assistance, MAIN DATA'!B416,'Country Summary (€)'!B:F,COLUMN('Country Summary (€)'!C427)-1,FALSE)</f>
        <v>1</v>
      </c>
      <c r="AZ416" s="1194" t="str">
        <f>IF(AND(AD416=1,D416="Military",H416&lt;&gt;"Not given")=TRUE,IF(SUMIFS(P:P,A:A,A416)&gt;0,ABS((SUMIFS(P:P,A:A,A416)/VLOOKUP("USD",'Exchange Rates'!B:C,2,0)))/S416,"."),".")</f>
        <v>.</v>
      </c>
      <c r="BA416" s="1196" t="str">
        <f>IF(AND(AD416=1,D416="Military",H416&lt;&gt;"Not given")=TRUE,IF(SUMIFS(P:P,A:A,A416)&gt;0,IF((ABS((SUMIFS(P:P,A:A,A416)/VLOOKUP("USD",'Exchange Rates'!B:C,2,0)))/S416)&gt;1,(SUMIFS(P:P,A:A,A416)-S416)/S416,(S416-SUMIFS(P:P,A:A,A416))/SUMIFS(P:P,A:A,A416)),"."),".")</f>
        <v>.</v>
      </c>
    </row>
    <row r="417" spans="1:71" ht="15.95" customHeight="1">
      <c r="A417" s="1182" t="s">
        <v>1451</v>
      </c>
      <c r="B417" s="1182" t="s">
        <v>1432</v>
      </c>
      <c r="C417" s="1181">
        <v>44620</v>
      </c>
      <c r="D417" s="1182" t="s">
        <v>389</v>
      </c>
      <c r="E417" s="1182" t="s">
        <v>390</v>
      </c>
      <c r="F417" s="1183" t="s">
        <v>1452</v>
      </c>
      <c r="G417" s="1184" t="s">
        <v>483</v>
      </c>
      <c r="H417" s="1185">
        <v>29300000</v>
      </c>
      <c r="I417" s="1180" t="s">
        <v>1458</v>
      </c>
      <c r="J417" s="1186" t="str">
        <f>VLOOKUP($I417,'Price List, Weapons &amp; Items'!B:C,2,0)</f>
        <v>Light armaments &amp; infantry</v>
      </c>
      <c r="K417" s="1186" t="str">
        <f>IF(I417=".",I417,VLOOKUP($I417,'Price List, Weapons &amp; Items'!B:D,3,0))</f>
        <v>Small Arms and Light Weapons (SALW)</v>
      </c>
      <c r="L417" s="1187">
        <f>VLOOKUP(I417,'Price List, Weapons &amp; Items'!B:E,4,0)</f>
        <v>0</v>
      </c>
      <c r="M417" s="1188">
        <v>2500</v>
      </c>
      <c r="N417" s="1188">
        <v>2500</v>
      </c>
      <c r="O417" s="1188">
        <f>VLOOKUP($I417,'Price List, Weapons &amp; Items'!B:G,6,0)</f>
        <v>1500</v>
      </c>
      <c r="P417" s="1185">
        <f t="shared" si="93"/>
        <v>3750000</v>
      </c>
      <c r="Q417" s="1185">
        <f t="shared" si="94"/>
        <v>3750000</v>
      </c>
      <c r="R417" s="1185" t="str">
        <f t="shared" si="90"/>
        <v/>
      </c>
      <c r="S417" s="1185" t="str">
        <f>IF(AND(AD417=1,R417&lt;&gt;".")=TRUE,R417/VLOOKUP(G417,'Exchange Rates'!B:C,2,0),IF(R417=".",".",""))</f>
        <v/>
      </c>
      <c r="T417" s="1185" t="str">
        <f>IF(AD417=1,IF(AF417="Value is not given at all",".",IF(AF417="Value is given by the source",S417,IF(AF417="Value is calculated with prices",(IF(SUMIFS(Q:Q,A:A,A417)&gt;0,SUMIFS(Q:Q,A:A,A417),"."))/VLOOKUP("USD",'Exchange Rates'!B:C,2,0),"Error with coding"))),"")</f>
        <v/>
      </c>
      <c r="U417" s="1184" t="s">
        <v>365</v>
      </c>
      <c r="V417" s="974" t="s">
        <v>1459</v>
      </c>
      <c r="W417" s="974" t="s">
        <v>1454</v>
      </c>
      <c r="X417" s="974" t="s">
        <v>1460</v>
      </c>
      <c r="Y417" s="1190" t="s">
        <v>364</v>
      </c>
      <c r="Z417" s="1184">
        <v>0</v>
      </c>
      <c r="AA417" s="1194">
        <v>0</v>
      </c>
      <c r="AB417" s="975" t="s">
        <v>1461</v>
      </c>
      <c r="AC417" s="1192" t="str">
        <f>""</f>
        <v/>
      </c>
      <c r="AD417" s="1193">
        <v>0</v>
      </c>
      <c r="AE417" s="1193" t="s">
        <v>368</v>
      </c>
      <c r="AF417" s="1193" t="s">
        <v>368</v>
      </c>
      <c r="AG417" s="1193">
        <v>1</v>
      </c>
      <c r="AH417" s="1193">
        <v>2</v>
      </c>
      <c r="AI417" s="1193">
        <v>0</v>
      </c>
      <c r="AJ417" s="1193">
        <f>VLOOKUP($I417,'Price List, Weapons &amp; Items'!B:F,5,0)</f>
        <v>0</v>
      </c>
      <c r="AK417" s="1193">
        <f t="shared" si="95"/>
        <v>0</v>
      </c>
      <c r="AL417" s="1193">
        <f t="shared" si="96"/>
        <v>0</v>
      </c>
      <c r="AM417" s="1193">
        <f t="shared" si="97"/>
        <v>0</v>
      </c>
      <c r="AN417" s="1194" t="str">
        <f>VLOOKUP($I417,'Price List, Weapons &amp; Items'!B:L,COLUMN('Price List, Weapons &amp; Items'!$J$11)-1,0)</f>
        <v>Miscellaneous</v>
      </c>
      <c r="AO417" s="1194" t="str">
        <f>IF(I417=".",".",VLOOKUP($I417,'Price List, Weapons &amp; Items'!B:J,3,0))</f>
        <v>Small Arms and Light Weapons (SALW)</v>
      </c>
      <c r="AP417" s="1195" t="str">
        <f t="shared" ca="1" si="91"/>
        <v/>
      </c>
      <c r="AQ417" s="1194">
        <f>VLOOKUP($I417,'Price List, Weapons &amp; Items'!B:L,COLUMN('Price List, Weapons &amp; Items'!$L$11)-1,0)</f>
        <v>2</v>
      </c>
      <c r="AR417" s="1194">
        <f t="shared" si="98"/>
        <v>1</v>
      </c>
      <c r="AS417" s="1194">
        <f t="shared" si="99"/>
        <v>1</v>
      </c>
      <c r="AT417" s="1194">
        <f t="shared" si="100"/>
        <v>1</v>
      </c>
      <c r="AU417" s="1194" t="str">
        <f t="shared" si="101"/>
        <v>.</v>
      </c>
      <c r="AV417" s="1194" t="str">
        <f t="shared" si="92"/>
        <v>.</v>
      </c>
      <c r="AW417" s="1194" t="str">
        <f t="shared" si="102"/>
        <v>.</v>
      </c>
      <c r="AX417" s="1194">
        <f>IFERROR(VLOOKUP(B417,'Share, Heavy Weapons to Ukraine'!B:Z,COLUMN('Share, Heavy Weapons to Ukraine'!C427)-1,0),0)</f>
        <v>0</v>
      </c>
      <c r="AY417" s="1194">
        <f>VLOOKUP('Bilateral Assistance, MAIN DATA'!B417,'Country Summary (€)'!B:F,COLUMN('Country Summary (€)'!C428)-1,FALSE)</f>
        <v>1</v>
      </c>
      <c r="AZ417" s="1194" t="str">
        <f>IF(AND(AD417=1,D417="Military",H417&lt;&gt;"Not given")=TRUE,IF(SUMIFS(P:P,A:A,A417)&gt;0,ABS((SUMIFS(P:P,A:A,A417)/VLOOKUP("USD",'Exchange Rates'!B:C,2,0)))/S417,"."),".")</f>
        <v>.</v>
      </c>
      <c r="BA417" s="1196" t="str">
        <f>IF(AND(AD417=1,D417="Military",H417&lt;&gt;"Not given")=TRUE,IF(SUMIFS(P:P,A:A,A417)&gt;0,IF((ABS((SUMIFS(P:P,A:A,A417)/VLOOKUP("USD",'Exchange Rates'!B:C,2,0)))/S417)&gt;1,(SUMIFS(P:P,A:A,A417)-S417)/S417,(S417-SUMIFS(P:P,A:A,A417))/SUMIFS(P:P,A:A,A417)),"."),".")</f>
        <v>.</v>
      </c>
    </row>
    <row r="418" spans="1:71" ht="15.95" customHeight="1">
      <c r="A418" s="1182" t="s">
        <v>1451</v>
      </c>
      <c r="B418" s="1182" t="s">
        <v>1432</v>
      </c>
      <c r="C418" s="1181">
        <v>44620</v>
      </c>
      <c r="D418" s="1182" t="s">
        <v>389</v>
      </c>
      <c r="E418" s="1182" t="s">
        <v>390</v>
      </c>
      <c r="F418" s="1183" t="s">
        <v>1452</v>
      </c>
      <c r="G418" s="1184" t="s">
        <v>483</v>
      </c>
      <c r="H418" s="1185">
        <v>29300000</v>
      </c>
      <c r="I418" s="1180" t="s">
        <v>1462</v>
      </c>
      <c r="J418" s="1186" t="str">
        <f>VLOOKUP($I418,'Price List, Weapons &amp; Items'!B:C,2,0)</f>
        <v>Ammunition for light infantry</v>
      </c>
      <c r="K418" s="1186" t="str">
        <f>IF(I418=".",I418,VLOOKUP($I418,'Price List, Weapons &amp; Items'!B:D,3,0))</f>
        <v>Light Anti-armor Weapon (LAW) ammunition</v>
      </c>
      <c r="L418" s="1187">
        <f>VLOOKUP(I418,'Price List, Weapons &amp; Items'!B:E,4,0)</f>
        <v>0</v>
      </c>
      <c r="M418" s="1188">
        <v>150000</v>
      </c>
      <c r="N418" s="1188">
        <v>150000</v>
      </c>
      <c r="O418" s="1188">
        <f>VLOOKUP($I418,'Price List, Weapons &amp; Items'!B:G,6,0)</f>
        <v>0.4</v>
      </c>
      <c r="P418" s="1185">
        <f t="shared" si="93"/>
        <v>60000</v>
      </c>
      <c r="Q418" s="1185">
        <f t="shared" si="94"/>
        <v>60000</v>
      </c>
      <c r="R418" s="1185" t="str">
        <f t="shared" si="90"/>
        <v/>
      </c>
      <c r="S418" s="1185" t="str">
        <f>IF(AND(AD418=1,R418&lt;&gt;".")=TRUE,R418/VLOOKUP(G418,'Exchange Rates'!B:C,2,0),IF(R418=".",".",""))</f>
        <v/>
      </c>
      <c r="T418" s="1185" t="str">
        <f>IF(AD418=1,IF(AF418="Value is not given at all",".",IF(AF418="Value is given by the source",S418,IF(AF418="Value is calculated with prices",(IF(SUMIFS(Q:Q,A:A,A418)&gt;0,SUMIFS(Q:Q,A:A,A418),"."))/VLOOKUP("USD",'Exchange Rates'!B:C,2,0),"Error with coding"))),"")</f>
        <v/>
      </c>
      <c r="U418" s="1184" t="s">
        <v>365</v>
      </c>
      <c r="V418" s="974" t="s">
        <v>1459</v>
      </c>
      <c r="W418" s="974" t="s">
        <v>1454</v>
      </c>
      <c r="X418" s="974" t="s">
        <v>1460</v>
      </c>
      <c r="Y418" s="1190" t="s">
        <v>364</v>
      </c>
      <c r="Z418" s="1184">
        <v>0</v>
      </c>
      <c r="AA418" s="1194">
        <v>0</v>
      </c>
      <c r="AB418" s="975" t="s">
        <v>1461</v>
      </c>
      <c r="AC418" s="1192" t="str">
        <f>""</f>
        <v/>
      </c>
      <c r="AD418" s="1193">
        <v>0</v>
      </c>
      <c r="AE418" s="1193" t="s">
        <v>368</v>
      </c>
      <c r="AF418" s="1193" t="s">
        <v>368</v>
      </c>
      <c r="AG418" s="1193">
        <v>1</v>
      </c>
      <c r="AH418" s="1193">
        <v>2</v>
      </c>
      <c r="AI418" s="1193">
        <v>0</v>
      </c>
      <c r="AJ418" s="1193">
        <f>VLOOKUP($I418,'Price List, Weapons &amp; Items'!B:F,5,0)</f>
        <v>0</v>
      </c>
      <c r="AK418" s="1193">
        <f t="shared" si="95"/>
        <v>0</v>
      </c>
      <c r="AL418" s="1193">
        <f t="shared" si="96"/>
        <v>0</v>
      </c>
      <c r="AM418" s="1193">
        <f t="shared" si="97"/>
        <v>0</v>
      </c>
      <c r="AN418" s="1194" t="str">
        <f>VLOOKUP($I418,'Price List, Weapons &amp; Items'!B:L,COLUMN('Price List, Weapons &amp; Items'!$J$11)-1,0)</f>
        <v>Online marketplaces and stores</v>
      </c>
      <c r="AO418" s="1194" t="str">
        <f>IF(I418=".",".",VLOOKUP($I418,'Price List, Weapons &amp; Items'!B:J,3,0))</f>
        <v>Light Anti-armor Weapon (LAW) ammunition</v>
      </c>
      <c r="AP418" s="1195" t="str">
        <f t="shared" ca="1" si="91"/>
        <v/>
      </c>
      <c r="AQ418" s="1194">
        <f>VLOOKUP($I418,'Price List, Weapons &amp; Items'!B:L,COLUMN('Price List, Weapons &amp; Items'!$L$11)-1,0)</f>
        <v>1</v>
      </c>
      <c r="AR418" s="1194">
        <f t="shared" si="98"/>
        <v>1</v>
      </c>
      <c r="AS418" s="1194">
        <f t="shared" si="99"/>
        <v>1</v>
      </c>
      <c r="AT418" s="1194">
        <f t="shared" si="100"/>
        <v>1</v>
      </c>
      <c r="AU418" s="1194" t="str">
        <f t="shared" si="101"/>
        <v>.</v>
      </c>
      <c r="AV418" s="1194" t="str">
        <f t="shared" si="92"/>
        <v>.</v>
      </c>
      <c r="AW418" s="1194" t="str">
        <f t="shared" si="102"/>
        <v>.</v>
      </c>
      <c r="AX418" s="1194">
        <f>IFERROR(VLOOKUP(B418,'Share, Heavy Weapons to Ukraine'!B:Z,COLUMN('Share, Heavy Weapons to Ukraine'!C428)-1,0),0)</f>
        <v>0</v>
      </c>
      <c r="AY418" s="1194">
        <f>VLOOKUP('Bilateral Assistance, MAIN DATA'!B418,'Country Summary (€)'!B:F,COLUMN('Country Summary (€)'!C429)-1,FALSE)</f>
        <v>1</v>
      </c>
      <c r="AZ418" s="1194" t="str">
        <f>IF(AND(AD418=1,D418="Military",H418&lt;&gt;"Not given")=TRUE,IF(SUMIFS(P:P,A:A,A418)&gt;0,ABS((SUMIFS(P:P,A:A,A418)/VLOOKUP("USD",'Exchange Rates'!B:C,2,0)))/S418,"."),".")</f>
        <v>.</v>
      </c>
      <c r="BA418" s="1196" t="str">
        <f>IF(AND(AD418=1,D418="Military",H418&lt;&gt;"Not given")=TRUE,IF(SUMIFS(P:P,A:A,A418)&gt;0,IF((ABS((SUMIFS(P:P,A:A,A418)/VLOOKUP("USD",'Exchange Rates'!B:C,2,0)))/S418)&gt;1,(SUMIFS(P:P,A:A,A418)-S418)/S418,(S418-SUMIFS(P:P,A:A,A418))/SUMIFS(P:P,A:A,A418)),"."),".")</f>
        <v>.</v>
      </c>
    </row>
    <row r="419" spans="1:71" ht="15.95" customHeight="1">
      <c r="A419" s="1182" t="s">
        <v>1451</v>
      </c>
      <c r="B419" s="1182" t="s">
        <v>1432</v>
      </c>
      <c r="C419" s="1181">
        <v>44620</v>
      </c>
      <c r="D419" s="1182" t="s">
        <v>389</v>
      </c>
      <c r="E419" s="1182" t="s">
        <v>390</v>
      </c>
      <c r="F419" s="1183" t="s">
        <v>1452</v>
      </c>
      <c r="G419" s="1184" t="s">
        <v>483</v>
      </c>
      <c r="H419" s="1185">
        <v>29300000</v>
      </c>
      <c r="I419" s="1180" t="s">
        <v>1463</v>
      </c>
      <c r="J419" s="1186" t="str">
        <f>VLOOKUP($I419,'Price List, Weapons &amp; Items'!B:C,2,0)</f>
        <v>Portable defence system</v>
      </c>
      <c r="K419" s="1186" t="str">
        <f>IF(I419=".",I419,VLOOKUP($I419,'Price List, Weapons &amp; Items'!B:D,3,0))</f>
        <v>Light Anti-armor Weapon (LAW)</v>
      </c>
      <c r="L419" s="1187">
        <f>VLOOKUP(I419,'Price List, Weapons &amp; Items'!B:E,4,0)</f>
        <v>0</v>
      </c>
      <c r="M419" s="1188">
        <v>1500</v>
      </c>
      <c r="N419" s="1188">
        <v>1500</v>
      </c>
      <c r="O419" s="1188">
        <f>VLOOKUP($I419,'Price List, Weapons &amp; Items'!B:G,6,0)</f>
        <v>1475</v>
      </c>
      <c r="P419" s="1185">
        <f t="shared" si="93"/>
        <v>2212500</v>
      </c>
      <c r="Q419" s="1185">
        <f t="shared" si="94"/>
        <v>2212500</v>
      </c>
      <c r="R419" s="1185" t="str">
        <f t="shared" si="90"/>
        <v/>
      </c>
      <c r="S419" s="1185" t="str">
        <f>IF(AND(AD419=1,R419&lt;&gt;".")=TRUE,R419/VLOOKUP(G419,'Exchange Rates'!B:C,2,0),IF(R419=".",".",""))</f>
        <v/>
      </c>
      <c r="T419" s="1185" t="str">
        <f>IF(AD419=1,IF(AF419="Value is not given at all",".",IF(AF419="Value is given by the source",S419,IF(AF419="Value is calculated with prices",(IF(SUMIFS(Q:Q,A:A,A419)&gt;0,SUMIFS(Q:Q,A:A,A419),"."))/VLOOKUP("USD",'Exchange Rates'!B:C,2,0),"Error with coding"))),"")</f>
        <v/>
      </c>
      <c r="U419" s="1184" t="s">
        <v>365</v>
      </c>
      <c r="V419" s="974" t="s">
        <v>1459</v>
      </c>
      <c r="W419" s="974" t="s">
        <v>1454</v>
      </c>
      <c r="X419" s="974" t="s">
        <v>1460</v>
      </c>
      <c r="Y419" s="1190" t="s">
        <v>364</v>
      </c>
      <c r="Z419" s="1184">
        <v>0</v>
      </c>
      <c r="AA419" s="1194">
        <v>0</v>
      </c>
      <c r="AB419" s="975" t="s">
        <v>1461</v>
      </c>
      <c r="AC419" s="1192" t="str">
        <f>""</f>
        <v/>
      </c>
      <c r="AD419" s="1193">
        <v>0</v>
      </c>
      <c r="AE419" s="1193" t="s">
        <v>368</v>
      </c>
      <c r="AF419" s="1193" t="s">
        <v>368</v>
      </c>
      <c r="AG419" s="1193">
        <v>1</v>
      </c>
      <c r="AH419" s="1193">
        <v>2</v>
      </c>
      <c r="AI419" s="1193">
        <v>0</v>
      </c>
      <c r="AJ419" s="1193">
        <f>VLOOKUP($I419,'Price List, Weapons &amp; Items'!B:F,5,0)</f>
        <v>0</v>
      </c>
      <c r="AK419" s="1193">
        <f t="shared" si="95"/>
        <v>0</v>
      </c>
      <c r="AL419" s="1193">
        <f t="shared" si="96"/>
        <v>0</v>
      </c>
      <c r="AM419" s="1193">
        <f t="shared" si="97"/>
        <v>0</v>
      </c>
      <c r="AN419" s="1194" t="str">
        <f>VLOOKUP($I419,'Price List, Weapons &amp; Items'!B:L,COLUMN('Price List, Weapons &amp; Items'!$J$11)-1,0)</f>
        <v>Military media (incl. websites)</v>
      </c>
      <c r="AO419" s="1194" t="str">
        <f>IF(I419=".",".",VLOOKUP($I419,'Price List, Weapons &amp; Items'!B:J,3,0))</f>
        <v>Light Anti-armor Weapon (LAW)</v>
      </c>
      <c r="AP419" s="1195" t="str">
        <f t="shared" ca="1" si="91"/>
        <v/>
      </c>
      <c r="AQ419" s="1194">
        <f>VLOOKUP($I419,'Price List, Weapons &amp; Items'!B:L,COLUMN('Price List, Weapons &amp; Items'!$L$11)-1,0)</f>
        <v>2</v>
      </c>
      <c r="AR419" s="1194">
        <f t="shared" si="98"/>
        <v>1</v>
      </c>
      <c r="AS419" s="1194">
        <f t="shared" si="99"/>
        <v>1</v>
      </c>
      <c r="AT419" s="1194">
        <f t="shared" si="100"/>
        <v>1</v>
      </c>
      <c r="AU419" s="1194" t="str">
        <f t="shared" si="101"/>
        <v>.</v>
      </c>
      <c r="AV419" s="1194" t="str">
        <f t="shared" si="92"/>
        <v>.</v>
      </c>
      <c r="AW419" s="1194" t="str">
        <f t="shared" si="102"/>
        <v>.</v>
      </c>
      <c r="AX419" s="1194">
        <f>IFERROR(VLOOKUP(B419,'Share, Heavy Weapons to Ukraine'!B:Z,COLUMN('Share, Heavy Weapons to Ukraine'!C429)-1,0),0)</f>
        <v>0</v>
      </c>
      <c r="AY419" s="1194">
        <f>VLOOKUP('Bilateral Assistance, MAIN DATA'!B419,'Country Summary (€)'!B:F,COLUMN('Country Summary (€)'!C430)-1,FALSE)</f>
        <v>1</v>
      </c>
      <c r="AZ419" s="1194" t="str">
        <f>IF(AND(AD419=1,D419="Military",H419&lt;&gt;"Not given")=TRUE,IF(SUMIFS(P:P,A:A,A419)&gt;0,ABS((SUMIFS(P:P,A:A,A419)/VLOOKUP("USD",'Exchange Rates'!B:C,2,0)))/S419,"."),".")</f>
        <v>.</v>
      </c>
      <c r="BA419" s="1196" t="str">
        <f>IF(AND(AD419=1,D419="Military",H419&lt;&gt;"Not given")=TRUE,IF(SUMIFS(P:P,A:A,A419)&gt;0,IF((ABS((SUMIFS(P:P,A:A,A419)/VLOOKUP("USD",'Exchange Rates'!B:C,2,0)))/S419)&gt;1,(SUMIFS(P:P,A:A,A419)-S419)/S419,(S419-SUMIFS(P:P,A:A,A419))/SUMIFS(P:P,A:A,A419)),"."),".")</f>
        <v>.</v>
      </c>
    </row>
    <row r="420" spans="1:71" ht="15.95" customHeight="1">
      <c r="A420" s="1182" t="s">
        <v>1451</v>
      </c>
      <c r="B420" s="1182" t="s">
        <v>1432</v>
      </c>
      <c r="C420" s="1181">
        <v>44620</v>
      </c>
      <c r="D420" s="1182" t="s">
        <v>389</v>
      </c>
      <c r="E420" s="1182" t="s">
        <v>390</v>
      </c>
      <c r="F420" s="1183" t="s">
        <v>1452</v>
      </c>
      <c r="G420" s="1184" t="s">
        <v>483</v>
      </c>
      <c r="H420" s="1185">
        <v>29300000</v>
      </c>
      <c r="I420" s="1180" t="s">
        <v>1464</v>
      </c>
      <c r="J420" s="1186" t="str">
        <f>VLOOKUP($I420,'Price List, Weapons &amp; Items'!B:C,2,0)</f>
        <v>Military equipment</v>
      </c>
      <c r="K420" s="1186" t="str">
        <f>IF(I420=".",I420,VLOOKUP($I420,'Price List, Weapons &amp; Items'!B:D,3,0))</f>
        <v>Military equipment</v>
      </c>
      <c r="L420" s="1187">
        <f>VLOOKUP(I420,'Price List, Weapons &amp; Items'!B:E,4,0)</f>
        <v>0</v>
      </c>
      <c r="M420" s="1188">
        <v>70000</v>
      </c>
      <c r="N420" s="1188">
        <v>70000</v>
      </c>
      <c r="O420" s="1188">
        <f>VLOOKUP($I420,'Price List, Weapons &amp; Items'!B:G,6,0)</f>
        <v>22</v>
      </c>
      <c r="P420" s="1185">
        <f t="shared" si="93"/>
        <v>1540000</v>
      </c>
      <c r="Q420" s="1185">
        <f t="shared" si="94"/>
        <v>1540000</v>
      </c>
      <c r="R420" s="1185" t="str">
        <f t="shared" si="90"/>
        <v/>
      </c>
      <c r="S420" s="1185" t="str">
        <f>IF(AND(AD420=1,R420&lt;&gt;".")=TRUE,R420/VLOOKUP(G420,'Exchange Rates'!B:C,2,0),IF(R420=".",".",""))</f>
        <v/>
      </c>
      <c r="T420" s="1185" t="str">
        <f>IF(AD420=1,IF(AF420="Value is not given at all",".",IF(AF420="Value is given by the source",S420,IF(AF420="Value is calculated with prices",(IF(SUMIFS(Q:Q,A:A,A420)&gt;0,SUMIFS(Q:Q,A:A,A420),"."))/VLOOKUP("USD",'Exchange Rates'!B:C,2,0),"Error with coding"))),"")</f>
        <v/>
      </c>
      <c r="U420" s="1184" t="s">
        <v>365</v>
      </c>
      <c r="V420" s="974" t="s">
        <v>1459</v>
      </c>
      <c r="W420" s="974" t="s">
        <v>1454</v>
      </c>
      <c r="X420" s="974" t="s">
        <v>1460</v>
      </c>
      <c r="Y420" s="1190" t="s">
        <v>364</v>
      </c>
      <c r="Z420" s="1184">
        <v>0</v>
      </c>
      <c r="AA420" s="1194">
        <v>0</v>
      </c>
      <c r="AB420" s="975" t="s">
        <v>1461</v>
      </c>
      <c r="AC420" s="1192" t="str">
        <f>""</f>
        <v/>
      </c>
      <c r="AD420" s="1193">
        <v>0</v>
      </c>
      <c r="AE420" s="1193" t="s">
        <v>368</v>
      </c>
      <c r="AF420" s="1193" t="s">
        <v>368</v>
      </c>
      <c r="AG420" s="1193">
        <v>1</v>
      </c>
      <c r="AH420" s="1193">
        <v>2</v>
      </c>
      <c r="AI420" s="1193">
        <v>0</v>
      </c>
      <c r="AJ420" s="1193">
        <f>VLOOKUP($I420,'Price List, Weapons &amp; Items'!B:F,5,0)</f>
        <v>0</v>
      </c>
      <c r="AK420" s="1193">
        <f t="shared" si="95"/>
        <v>0</v>
      </c>
      <c r="AL420" s="1193">
        <f t="shared" si="96"/>
        <v>0</v>
      </c>
      <c r="AM420" s="1193">
        <f t="shared" si="97"/>
        <v>0</v>
      </c>
      <c r="AN420" s="1194" t="str">
        <f>VLOOKUP($I420,'Price List, Weapons &amp; Items'!B:L,COLUMN('Price List, Weapons &amp; Items'!$J$11)-1,0)</f>
        <v>Online marketplaces and stores</v>
      </c>
      <c r="AO420" s="1194" t="str">
        <f>IF(I420=".",".",VLOOKUP($I420,'Price List, Weapons &amp; Items'!B:J,3,0))</f>
        <v>Military equipment</v>
      </c>
      <c r="AP420" s="1195" t="str">
        <f t="shared" ca="1" si="91"/>
        <v/>
      </c>
      <c r="AQ420" s="1194">
        <f>VLOOKUP($I420,'Price List, Weapons &amp; Items'!B:L,COLUMN('Price List, Weapons &amp; Items'!$L$11)-1,0)</f>
        <v>1</v>
      </c>
      <c r="AR420" s="1194">
        <f t="shared" si="98"/>
        <v>1</v>
      </c>
      <c r="AS420" s="1194">
        <f t="shared" si="99"/>
        <v>1</v>
      </c>
      <c r="AT420" s="1194">
        <f t="shared" si="100"/>
        <v>1</v>
      </c>
      <c r="AU420" s="1194" t="str">
        <f t="shared" si="101"/>
        <v>.</v>
      </c>
      <c r="AV420" s="1194" t="str">
        <f t="shared" si="92"/>
        <v>.</v>
      </c>
      <c r="AW420" s="1194" t="str">
        <f t="shared" si="102"/>
        <v>.</v>
      </c>
      <c r="AX420" s="1194">
        <f>IFERROR(VLOOKUP(B420,'Share, Heavy Weapons to Ukraine'!B:Z,COLUMN('Share, Heavy Weapons to Ukraine'!C430)-1,0),0)</f>
        <v>0</v>
      </c>
      <c r="AY420" s="1194">
        <f>VLOOKUP('Bilateral Assistance, MAIN DATA'!B420,'Country Summary (€)'!B:F,COLUMN('Country Summary (€)'!C431)-1,FALSE)</f>
        <v>1</v>
      </c>
      <c r="AZ420" s="1194" t="str">
        <f>IF(AND(AD420=1,D420="Military",H420&lt;&gt;"Not given")=TRUE,IF(SUMIFS(P:P,A:A,A420)&gt;0,ABS((SUMIFS(P:P,A:A,A420)/VLOOKUP("USD",'Exchange Rates'!B:C,2,0)))/S420,"."),".")</f>
        <v>.</v>
      </c>
      <c r="BA420" s="1196" t="str">
        <f>IF(AND(AD420=1,D420="Military",H420&lt;&gt;"Not given")=TRUE,IF(SUMIFS(P:P,A:A,A420)&gt;0,IF((ABS((SUMIFS(P:P,A:A,A420)/VLOOKUP("USD",'Exchange Rates'!B:C,2,0)))/S420)&gt;1,(SUMIFS(P:P,A:A,A420)-S420)/S420,(S420-SUMIFS(P:P,A:A,A420))/SUMIFS(P:P,A:A,A420)),"."),".")</f>
        <v>.</v>
      </c>
    </row>
    <row r="421" spans="1:71" ht="15.95" customHeight="1">
      <c r="A421" s="1180" t="s">
        <v>1465</v>
      </c>
      <c r="B421" s="1180" t="s">
        <v>1432</v>
      </c>
      <c r="C421" s="1181">
        <v>44686</v>
      </c>
      <c r="D421" s="1182" t="s">
        <v>389</v>
      </c>
      <c r="E421" s="1182" t="s">
        <v>390</v>
      </c>
      <c r="F421" s="1183" t="s">
        <v>1466</v>
      </c>
      <c r="G421" s="1184" t="s">
        <v>364</v>
      </c>
      <c r="H421" s="1185" t="s">
        <v>457</v>
      </c>
      <c r="I421" s="1180" t="s">
        <v>364</v>
      </c>
      <c r="J421" s="1186" t="str">
        <f>VLOOKUP($I421,'Price List, Weapons &amp; Items'!B:C,2,0)</f>
        <v>.</v>
      </c>
      <c r="K421" s="1186" t="str">
        <f>IF(I421=".",I421,VLOOKUP($I421,'Price List, Weapons &amp; Items'!B:D,3,0))</f>
        <v>.</v>
      </c>
      <c r="L421" s="1187">
        <f>VLOOKUP(I421,'Price List, Weapons &amp; Items'!B:E,4,0)</f>
        <v>0</v>
      </c>
      <c r="M421" s="1188" t="s">
        <v>364</v>
      </c>
      <c r="N421" s="1188" t="s">
        <v>364</v>
      </c>
      <c r="O421" s="1188" t="str">
        <f>VLOOKUP($I421,'Price List, Weapons &amp; Items'!B:G,6,0)</f>
        <v>.</v>
      </c>
      <c r="P421" s="1185" t="str">
        <f t="shared" si="93"/>
        <v>.</v>
      </c>
      <c r="Q421" s="1185" t="str">
        <f t="shared" si="94"/>
        <v>.</v>
      </c>
      <c r="R421" s="1185" t="str">
        <f t="shared" si="90"/>
        <v>.</v>
      </c>
      <c r="S421" s="1185" t="str">
        <f>IF(AND(AD421=1,R421&lt;&gt;".")=TRUE,R421/VLOOKUP(G421,'Exchange Rates'!B:C,2,0),IF(R421=".",".",""))</f>
        <v>.</v>
      </c>
      <c r="T421" s="1185" t="str">
        <f>IF(AD421=1,IF(AF421="Value is not given at all",".",IF(AF421="Value is given by the source",S421,IF(AF421="Value is calculated with prices",(IF(SUMIFS(Q:Q,A:A,A421)&gt;0,SUMIFS(Q:Q,A:A,A421),"."))/VLOOKUP("USD",'Exchange Rates'!B:C,2,0),"Error with coding"))),"")</f>
        <v>.</v>
      </c>
      <c r="U421" s="1184" t="s">
        <v>365</v>
      </c>
      <c r="V421" s="971" t="s">
        <v>930</v>
      </c>
      <c r="W421" s="971" t="s">
        <v>1467</v>
      </c>
      <c r="X421" s="971" t="s">
        <v>1468</v>
      </c>
      <c r="Y421" s="1190" t="s">
        <v>364</v>
      </c>
      <c r="Z421" s="1184">
        <v>0</v>
      </c>
      <c r="AA421" s="1194">
        <v>0</v>
      </c>
      <c r="AB421" s="1201" t="s">
        <v>364</v>
      </c>
      <c r="AC421" s="1192" t="str">
        <f>""</f>
        <v/>
      </c>
      <c r="AD421" s="1193">
        <v>1</v>
      </c>
      <c r="AE421" s="1193" t="s">
        <v>369</v>
      </c>
      <c r="AF421" s="1193" t="s">
        <v>369</v>
      </c>
      <c r="AG421" s="1193">
        <v>1</v>
      </c>
      <c r="AH421" s="1193">
        <v>5</v>
      </c>
      <c r="AI421" s="1193">
        <v>0</v>
      </c>
      <c r="AJ421" s="1193">
        <f>VLOOKUP($I421,'Price List, Weapons &amp; Items'!B:F,5,0)</f>
        <v>0</v>
      </c>
      <c r="AK421" s="1193">
        <f t="shared" si="95"/>
        <v>0</v>
      </c>
      <c r="AL421" s="1193">
        <f t="shared" si="96"/>
        <v>0</v>
      </c>
      <c r="AM421" s="1193">
        <f t="shared" si="97"/>
        <v>0</v>
      </c>
      <c r="AN421" s="1194" t="str">
        <f>VLOOKUP($I421,'Price List, Weapons &amp; Items'!B:L,COLUMN('Price List, Weapons &amp; Items'!$J$11)-1,0)</f>
        <v>.</v>
      </c>
      <c r="AO421" s="1194" t="str">
        <f>IF(I421=".",".",VLOOKUP($I421,'Price List, Weapons &amp; Items'!B:J,3,0))</f>
        <v>.</v>
      </c>
      <c r="AP421" s="1195" t="str">
        <f t="shared" ca="1" si="91"/>
        <v>.</v>
      </c>
      <c r="AQ421" s="1194">
        <f>VLOOKUP($I421,'Price List, Weapons &amp; Items'!B:L,COLUMN('Price List, Weapons &amp; Items'!$L$11)-1,0)</f>
        <v>0</v>
      </c>
      <c r="AR421" s="1194">
        <f t="shared" si="98"/>
        <v>1</v>
      </c>
      <c r="AS421" s="1194">
        <f t="shared" si="99"/>
        <v>1</v>
      </c>
      <c r="AT421" s="1194">
        <f t="shared" si="100"/>
        <v>1</v>
      </c>
      <c r="AU421" s="1194" t="str">
        <f t="shared" si="101"/>
        <v>.</v>
      </c>
      <c r="AV421" s="1194" t="str">
        <f t="shared" si="92"/>
        <v>.</v>
      </c>
      <c r="AW421" s="1194" t="str">
        <f t="shared" si="102"/>
        <v>.</v>
      </c>
      <c r="AX421" s="1194">
        <f>IFERROR(VLOOKUP(B421,'Share, Heavy Weapons to Ukraine'!B:Z,COLUMN('Share, Heavy Weapons to Ukraine'!C431)-1,0),0)</f>
        <v>0</v>
      </c>
      <c r="AY421" s="1194">
        <f>VLOOKUP('Bilateral Assistance, MAIN DATA'!B421,'Country Summary (€)'!B:F,COLUMN('Country Summary (€)'!C432)-1,FALSE)</f>
        <v>1</v>
      </c>
      <c r="AZ421" s="1194" t="str">
        <f>IF(AND(AD421=1,D421="Military",H421&lt;&gt;"Not given")=TRUE,IF(SUMIFS(P:P,A:A,A421)&gt;0,ABS((SUMIFS(P:P,A:A,A421)/VLOOKUP("USD",'Exchange Rates'!B:C,2,0)))/S421,"."),".")</f>
        <v>.</v>
      </c>
      <c r="BA421" s="1196" t="str">
        <f>IF(AND(AD421=1,D421="Military",H421&lt;&gt;"Not given")=TRUE,IF(SUMIFS(P:P,A:A,A421)&gt;0,IF((ABS((SUMIFS(P:P,A:A,A421)/VLOOKUP("USD",'Exchange Rates'!B:C,2,0)))/S421)&gt;1,(SUMIFS(P:P,A:A,A421)-S421)/S421,(S421-SUMIFS(P:P,A:A,A421))/SUMIFS(P:P,A:A,A421)),"."),".")</f>
        <v>.</v>
      </c>
    </row>
    <row r="422" spans="1:71" ht="15.95" customHeight="1">
      <c r="A422" s="1180" t="s">
        <v>1469</v>
      </c>
      <c r="B422" s="1180" t="s">
        <v>1432</v>
      </c>
      <c r="C422" s="1181">
        <v>44722</v>
      </c>
      <c r="D422" s="1182" t="s">
        <v>389</v>
      </c>
      <c r="E422" s="1182" t="s">
        <v>390</v>
      </c>
      <c r="F422" s="1183" t="s">
        <v>1470</v>
      </c>
      <c r="G422" s="1184" t="s">
        <v>483</v>
      </c>
      <c r="H422" s="1185">
        <v>54750000</v>
      </c>
      <c r="I422" s="1180" t="s">
        <v>364</v>
      </c>
      <c r="J422" s="1186" t="str">
        <f>VLOOKUP($I422,'Price List, Weapons &amp; Items'!B:C,2,0)</f>
        <v>.</v>
      </c>
      <c r="K422" s="1186" t="str">
        <f>IF(I422=".",I422,VLOOKUP($I422,'Price List, Weapons &amp; Items'!B:D,3,0))</f>
        <v>.</v>
      </c>
      <c r="L422" s="1187">
        <f>VLOOKUP(I422,'Price List, Weapons &amp; Items'!B:E,4,0)</f>
        <v>0</v>
      </c>
      <c r="M422" s="1188" t="s">
        <v>364</v>
      </c>
      <c r="N422" s="1188" t="s">
        <v>364</v>
      </c>
      <c r="O422" s="1188" t="str">
        <f>VLOOKUP($I422,'Price List, Weapons &amp; Items'!B:G,6,0)</f>
        <v>.</v>
      </c>
      <c r="P422" s="1185" t="str">
        <f t="shared" si="93"/>
        <v>.</v>
      </c>
      <c r="Q422" s="1185" t="str">
        <f t="shared" si="94"/>
        <v>.</v>
      </c>
      <c r="R422" s="1185">
        <f t="shared" si="90"/>
        <v>54750000</v>
      </c>
      <c r="S422" s="1185">
        <f>IF(AND(AD422=1,R422&lt;&gt;".")=TRUE,R422/VLOOKUP(G422,'Exchange Rates'!B:C,2,0),IF(R422=".",".",""))</f>
        <v>54750000</v>
      </c>
      <c r="T422" s="1185">
        <f>IF(AD422=1,IF(AF422="Value is not given at all",".",IF(AF422="Value is given by the source",S422,IF(AF422="Value is calculated with prices",(IF(SUMIFS(Q:Q,A:A,A422)&gt;0,SUMIFS(Q:Q,A:A,A422),"."))/VLOOKUP("USD",'Exchange Rates'!B:C,2,0),"Error with coding"))),"")</f>
        <v>54750000</v>
      </c>
      <c r="U422" s="1184" t="s">
        <v>365</v>
      </c>
      <c r="V422" s="971" t="s">
        <v>1471</v>
      </c>
      <c r="W422" s="971" t="s">
        <v>1472</v>
      </c>
      <c r="X422" s="971" t="s">
        <v>1473</v>
      </c>
      <c r="Y422" s="1190" t="s">
        <v>364</v>
      </c>
      <c r="Z422" s="1184">
        <v>0</v>
      </c>
      <c r="AA422" s="1194">
        <v>0</v>
      </c>
      <c r="AB422" s="1016" t="s">
        <v>1474</v>
      </c>
      <c r="AC422" s="1192" t="str">
        <f>""</f>
        <v/>
      </c>
      <c r="AD422" s="1193">
        <v>1</v>
      </c>
      <c r="AE422" s="1193" t="s">
        <v>368</v>
      </c>
      <c r="AF422" s="1193" t="s">
        <v>368</v>
      </c>
      <c r="AG422" s="1193">
        <v>1</v>
      </c>
      <c r="AH422" s="1193">
        <v>6</v>
      </c>
      <c r="AI422" s="1193">
        <v>0</v>
      </c>
      <c r="AJ422" s="1193">
        <f>VLOOKUP($I422,'Price List, Weapons &amp; Items'!B:F,5,0)</f>
        <v>0</v>
      </c>
      <c r="AK422" s="1193">
        <f t="shared" si="95"/>
        <v>0</v>
      </c>
      <c r="AL422" s="1193">
        <f t="shared" si="96"/>
        <v>0</v>
      </c>
      <c r="AM422" s="1193">
        <f t="shared" si="97"/>
        <v>0</v>
      </c>
      <c r="AN422" s="1194" t="str">
        <f>VLOOKUP($I422,'Price List, Weapons &amp; Items'!B:L,COLUMN('Price List, Weapons &amp; Items'!$J$11)-1,0)</f>
        <v>.</v>
      </c>
      <c r="AO422" s="1194" t="str">
        <f>IF(I422=".",".",VLOOKUP($I422,'Price List, Weapons &amp; Items'!B:J,3,0))</f>
        <v>.</v>
      </c>
      <c r="AP422" s="1195" t="str">
        <f t="shared" ca="1" si="91"/>
        <v>.</v>
      </c>
      <c r="AQ422" s="1194">
        <f>VLOOKUP($I422,'Price List, Weapons &amp; Items'!B:L,COLUMN('Price List, Weapons &amp; Items'!$L$11)-1,0)</f>
        <v>0</v>
      </c>
      <c r="AR422" s="1194">
        <f t="shared" si="98"/>
        <v>1</v>
      </c>
      <c r="AS422" s="1194">
        <f t="shared" si="99"/>
        <v>1</v>
      </c>
      <c r="AT422" s="1194">
        <f t="shared" si="100"/>
        <v>1</v>
      </c>
      <c r="AU422" s="1194" t="str">
        <f t="shared" si="101"/>
        <v>.</v>
      </c>
      <c r="AV422" s="1194" t="str">
        <f t="shared" si="92"/>
        <v>.</v>
      </c>
      <c r="AW422" s="1194" t="str">
        <f t="shared" si="102"/>
        <v>.</v>
      </c>
      <c r="AX422" s="1194">
        <f>IFERROR(VLOOKUP(B422,'Share, Heavy Weapons to Ukraine'!B:Z,COLUMN('Share, Heavy Weapons to Ukraine'!C432)-1,0),0)</f>
        <v>0</v>
      </c>
      <c r="AY422" s="1194">
        <f>VLOOKUP('Bilateral Assistance, MAIN DATA'!B422,'Country Summary (€)'!B:F,COLUMN('Country Summary (€)'!C433)-1,FALSE)</f>
        <v>1</v>
      </c>
      <c r="AZ422" s="1194" t="str">
        <f>IF(AND(AD422=1,D422="Military",H422&lt;&gt;"Not given")=TRUE,IF(SUMIFS(P:P,A:A,A422)&gt;0,ABS((SUMIFS(P:P,A:A,A422)/VLOOKUP("USD",'Exchange Rates'!B:C,2,0)))/S422,"."),".")</f>
        <v>.</v>
      </c>
      <c r="BA422" s="1196" t="str">
        <f>IF(AND(AD422=1,D422="Military",H422&lt;&gt;"Not given")=TRUE,IF(SUMIFS(P:P,A:A,A422)&gt;0,IF((ABS((SUMIFS(P:P,A:A,A422)/VLOOKUP("USD",'Exchange Rates'!B:C,2,0)))/S422)&gt;1,(SUMIFS(P:P,A:A,A422)-S422)/S422,(S422-SUMIFS(P:P,A:A,A422))/SUMIFS(P:P,A:A,A422)),"."),".")</f>
        <v>.</v>
      </c>
    </row>
    <row r="423" spans="1:71" ht="15.95" customHeight="1">
      <c r="A423" s="1180" t="s">
        <v>1475</v>
      </c>
      <c r="B423" s="1180" t="s">
        <v>1432</v>
      </c>
      <c r="C423" s="1181">
        <v>44805</v>
      </c>
      <c r="D423" s="1182" t="s">
        <v>389</v>
      </c>
      <c r="E423" s="1182" t="s">
        <v>390</v>
      </c>
      <c r="F423" s="1183" t="s">
        <v>1476</v>
      </c>
      <c r="G423" s="1184" t="s">
        <v>483</v>
      </c>
      <c r="H423" s="1185">
        <v>8250000</v>
      </c>
      <c r="I423" s="1180" t="s">
        <v>364</v>
      </c>
      <c r="J423" s="1186" t="str">
        <f>VLOOKUP($I423,'Price List, Weapons &amp; Items'!B:C,2,0)</f>
        <v>.</v>
      </c>
      <c r="K423" s="1186" t="str">
        <f>IF(I423=".",I423,VLOOKUP($I423,'Price List, Weapons &amp; Items'!B:D,3,0))</f>
        <v>.</v>
      </c>
      <c r="L423" s="1187">
        <f>VLOOKUP(I423,'Price List, Weapons &amp; Items'!B:E,4,0)</f>
        <v>0</v>
      </c>
      <c r="M423" s="1188" t="s">
        <v>364</v>
      </c>
      <c r="N423" s="1188" t="s">
        <v>364</v>
      </c>
      <c r="O423" s="1188" t="str">
        <f>VLOOKUP($I423,'Price List, Weapons &amp; Items'!B:G,6,0)</f>
        <v>.</v>
      </c>
      <c r="P423" s="1185" t="str">
        <f t="shared" si="93"/>
        <v>.</v>
      </c>
      <c r="Q423" s="1185" t="str">
        <f t="shared" si="94"/>
        <v>.</v>
      </c>
      <c r="R423" s="1185">
        <f t="shared" si="90"/>
        <v>8250000</v>
      </c>
      <c r="S423" s="1185">
        <f>IF(AND(AD423=1,R423&lt;&gt;".")=TRUE,R423/VLOOKUP(G423,'Exchange Rates'!B:C,2,0),IF(R423=".",".",""))</f>
        <v>8250000</v>
      </c>
      <c r="T423" s="1185">
        <f>IF(AD423=1,IF(AF423="Value is not given at all",".",IF(AF423="Value is given by the source",S423,IF(AF423="Value is calculated with prices",(IF(SUMIFS(Q:Q,A:A,A423)&gt;0,SUMIFS(Q:Q,A:A,A423),"."))/VLOOKUP("USD",'Exchange Rates'!B:C,2,0),"Error with coding"))),"")</f>
        <v>8250000</v>
      </c>
      <c r="U423" s="1184" t="s">
        <v>365</v>
      </c>
      <c r="V423" s="971" t="s">
        <v>1477</v>
      </c>
      <c r="W423" s="971" t="s">
        <v>1478</v>
      </c>
      <c r="X423" s="971" t="s">
        <v>1479</v>
      </c>
      <c r="Y423" s="1190" t="s">
        <v>364</v>
      </c>
      <c r="Z423" s="1184">
        <v>0</v>
      </c>
      <c r="AA423" s="1194">
        <v>0</v>
      </c>
      <c r="AB423" s="1016" t="s">
        <v>1474</v>
      </c>
      <c r="AC423" s="1192" t="str">
        <f>""</f>
        <v/>
      </c>
      <c r="AD423" s="1193">
        <v>1</v>
      </c>
      <c r="AE423" s="1193" t="s">
        <v>368</v>
      </c>
      <c r="AF423" s="1193" t="s">
        <v>368</v>
      </c>
      <c r="AG423" s="1193">
        <v>1</v>
      </c>
      <c r="AH423" s="1193">
        <v>9</v>
      </c>
      <c r="AI423" s="1193">
        <v>0</v>
      </c>
      <c r="AJ423" s="1193">
        <f>VLOOKUP($I423,'Price List, Weapons &amp; Items'!B:F,5,0)</f>
        <v>0</v>
      </c>
      <c r="AK423" s="1193">
        <f t="shared" si="95"/>
        <v>0</v>
      </c>
      <c r="AL423" s="1193">
        <f t="shared" si="96"/>
        <v>0</v>
      </c>
      <c r="AM423" s="1193">
        <f t="shared" si="97"/>
        <v>0</v>
      </c>
      <c r="AN423" s="1194" t="str">
        <f>VLOOKUP($I423,'Price List, Weapons &amp; Items'!B:L,COLUMN('Price List, Weapons &amp; Items'!$J$11)-1,0)</f>
        <v>.</v>
      </c>
      <c r="AO423" s="1194" t="str">
        <f>IF(I423=".",".",VLOOKUP($I423,'Price List, Weapons &amp; Items'!B:J,3,0))</f>
        <v>.</v>
      </c>
      <c r="AP423" s="1195" t="str">
        <f t="shared" ca="1" si="91"/>
        <v>.</v>
      </c>
      <c r="AQ423" s="1194">
        <f>VLOOKUP($I423,'Price List, Weapons &amp; Items'!B:L,COLUMN('Price List, Weapons &amp; Items'!$L$11)-1,0)</f>
        <v>0</v>
      </c>
      <c r="AR423" s="1194">
        <f t="shared" si="98"/>
        <v>1</v>
      </c>
      <c r="AS423" s="1194">
        <f t="shared" si="99"/>
        <v>1</v>
      </c>
      <c r="AT423" s="1194">
        <f t="shared" si="100"/>
        <v>1</v>
      </c>
      <c r="AU423" s="1194" t="str">
        <f t="shared" si="101"/>
        <v>.</v>
      </c>
      <c r="AV423" s="1194" t="str">
        <f t="shared" si="92"/>
        <v>.</v>
      </c>
      <c r="AW423" s="1194" t="str">
        <f t="shared" si="102"/>
        <v>.</v>
      </c>
      <c r="AX423" s="1194">
        <f>IFERROR(VLOOKUP(B423,'Share, Heavy Weapons to Ukraine'!B:Z,COLUMN('Share, Heavy Weapons to Ukraine'!C433)-1,0),0)</f>
        <v>0</v>
      </c>
      <c r="AY423" s="1194">
        <f>VLOOKUP('Bilateral Assistance, MAIN DATA'!B423,'Country Summary (€)'!B:F,COLUMN('Country Summary (€)'!C434)-1,FALSE)</f>
        <v>1</v>
      </c>
      <c r="AZ423" s="1194" t="str">
        <f>IF(AND(AD423=1,D423="Military",H423&lt;&gt;"Not given")=TRUE,IF(SUMIFS(P:P,A:A,A423)&gt;0,ABS((SUMIFS(P:P,A:A,A423)/VLOOKUP("USD",'Exchange Rates'!B:C,2,0)))/S423,"."),".")</f>
        <v>.</v>
      </c>
      <c r="BA423" s="1196" t="str">
        <f>IF(AND(AD423=1,D423="Military",H423&lt;&gt;"Not given")=TRUE,IF(SUMIFS(P:P,A:A,A423)&gt;0,IF((ABS((SUMIFS(P:P,A:A,A423)/VLOOKUP("USD",'Exchange Rates'!B:C,2,0)))/S423)&gt;1,(SUMIFS(P:P,A:A,A423)-S423)/S423,(S423-SUMIFS(P:P,A:A,A423))/SUMIFS(P:P,A:A,A423)),"."),".")</f>
        <v>.</v>
      </c>
    </row>
    <row r="424" spans="1:71" ht="15.95" customHeight="1">
      <c r="A424" s="1180" t="s">
        <v>1480</v>
      </c>
      <c r="B424" s="1180" t="s">
        <v>1432</v>
      </c>
      <c r="C424" s="1181">
        <v>44861</v>
      </c>
      <c r="D424" s="1182" t="s">
        <v>389</v>
      </c>
      <c r="E424" s="1182" t="s">
        <v>361</v>
      </c>
      <c r="F424" s="1183" t="s">
        <v>1481</v>
      </c>
      <c r="G424" s="1184" t="s">
        <v>483</v>
      </c>
      <c r="H424" s="1185">
        <v>30000000</v>
      </c>
      <c r="I424" s="1180" t="s">
        <v>364</v>
      </c>
      <c r="J424" s="1186" t="str">
        <f>VLOOKUP($I424,'Price List, Weapons &amp; Items'!B:C,2,0)</f>
        <v>.</v>
      </c>
      <c r="K424" s="1186" t="str">
        <f>IF(I424=".",I424,VLOOKUP($I424,'Price List, Weapons &amp; Items'!B:D,3,0))</f>
        <v>.</v>
      </c>
      <c r="L424" s="1187">
        <f>VLOOKUP(I424,'Price List, Weapons &amp; Items'!B:E,4,0)</f>
        <v>0</v>
      </c>
      <c r="M424" s="1188" t="s">
        <v>364</v>
      </c>
      <c r="N424" s="1188" t="s">
        <v>364</v>
      </c>
      <c r="O424" s="1188" t="str">
        <f>VLOOKUP($I424,'Price List, Weapons &amp; Items'!B:G,6,0)</f>
        <v>.</v>
      </c>
      <c r="P424" s="1185" t="str">
        <f t="shared" si="93"/>
        <v>.</v>
      </c>
      <c r="Q424" s="1185" t="str">
        <f t="shared" si="94"/>
        <v>.</v>
      </c>
      <c r="R424" s="1185">
        <f t="shared" si="90"/>
        <v>30000000</v>
      </c>
      <c r="S424" s="1185">
        <f>IF(AND(AD424=1,R424&lt;&gt;".")=TRUE,R424/VLOOKUP(G424,'Exchange Rates'!B:C,2,0),IF(R424=".",".",""))</f>
        <v>30000000</v>
      </c>
      <c r="T424" s="1185" t="str">
        <f>IF(AD424=1,IF(AF424="Value is not given at all",".",IF(AF424="Value is given by the source",S424,IF(AF424="Value is calculated with prices",(IF(SUMIFS(Q:Q,A:A,A424)&gt;0,SUMIFS(Q:Q,A:A,A424),"."))/VLOOKUP("USD",'Exchange Rates'!B:C,2,0),"Error with coding"))),"")</f>
        <v>.</v>
      </c>
      <c r="U424" s="1184" t="s">
        <v>365</v>
      </c>
      <c r="V424" s="1017" t="s">
        <v>1482</v>
      </c>
      <c r="W424" s="971"/>
      <c r="X424" s="986" t="s">
        <v>364</v>
      </c>
      <c r="Y424" s="981" t="s">
        <v>364</v>
      </c>
      <c r="Z424" s="1184">
        <v>0</v>
      </c>
      <c r="AA424" s="1194">
        <v>0</v>
      </c>
      <c r="AB424" s="1000" t="s">
        <v>364</v>
      </c>
      <c r="AC424" s="1192" t="str">
        <f>""</f>
        <v/>
      </c>
      <c r="AD424" s="1193">
        <v>1</v>
      </c>
      <c r="AE424" s="1193" t="s">
        <v>368</v>
      </c>
      <c r="AF424" s="1193" t="s">
        <v>369</v>
      </c>
      <c r="AG424" s="1193">
        <v>1</v>
      </c>
      <c r="AH424" s="1193">
        <v>10</v>
      </c>
      <c r="AI424" s="1193">
        <v>0</v>
      </c>
      <c r="AJ424" s="1193">
        <f>VLOOKUP($I424,'Price List, Weapons &amp; Items'!B:F,5,0)</f>
        <v>0</v>
      </c>
      <c r="AK424" s="1193">
        <f t="shared" si="95"/>
        <v>0</v>
      </c>
      <c r="AL424" s="1193">
        <f t="shared" si="96"/>
        <v>0</v>
      </c>
      <c r="AM424" s="1193">
        <f t="shared" si="97"/>
        <v>0</v>
      </c>
      <c r="AN424" s="1194" t="str">
        <f>VLOOKUP($I424,'Price List, Weapons &amp; Items'!B:L,COLUMN('Price List, Weapons &amp; Items'!$J$11)-1,0)</f>
        <v>.</v>
      </c>
      <c r="AO424" s="1194" t="str">
        <f>IF(I424=".",".",VLOOKUP($I424,'Price List, Weapons &amp; Items'!B:J,3,0))</f>
        <v>.</v>
      </c>
      <c r="AP424" s="1195" t="str">
        <f t="shared" ca="1" si="91"/>
        <v>.</v>
      </c>
      <c r="AQ424" s="1194">
        <f>VLOOKUP($I424,'Price List, Weapons &amp; Items'!B:L,COLUMN('Price List, Weapons &amp; Items'!$L$11)-1,0)</f>
        <v>0</v>
      </c>
      <c r="AR424" s="1194">
        <f t="shared" si="98"/>
        <v>1</v>
      </c>
      <c r="AS424" s="1194">
        <f t="shared" si="99"/>
        <v>0</v>
      </c>
      <c r="AT424" s="1194">
        <f t="shared" si="100"/>
        <v>1</v>
      </c>
      <c r="AU424" s="1194" t="str">
        <f t="shared" si="101"/>
        <v>.</v>
      </c>
      <c r="AV424" s="1194" t="str">
        <f t="shared" si="92"/>
        <v>.</v>
      </c>
      <c r="AW424" s="1194" t="str">
        <f t="shared" si="102"/>
        <v>.</v>
      </c>
      <c r="AX424" s="1194">
        <f>IFERROR(VLOOKUP(B424,'Share, Heavy Weapons to Ukraine'!B:Z,COLUMN('Share, Heavy Weapons to Ukraine'!C434)-1,0),0)</f>
        <v>0</v>
      </c>
      <c r="AY424" s="1194">
        <f>VLOOKUP('Bilateral Assistance, MAIN DATA'!B424,'Country Summary (€)'!B:F,COLUMN('Country Summary (€)'!C435)-1,FALSE)</f>
        <v>1</v>
      </c>
      <c r="AZ424" s="1194" t="str">
        <f>IF(AND(AD424=1,D424="Military",H424&lt;&gt;"Not given")=TRUE,IF(SUMIFS(P:P,A:A,A424)&gt;0,ABS((SUMIFS(P:P,A:A,A424)/VLOOKUP("USD",'Exchange Rates'!B:C,2,0)))/S424,"."),".")</f>
        <v>.</v>
      </c>
      <c r="BA424" s="1196" t="str">
        <f>IF(AND(AD424=1,D424="Military",H424&lt;&gt;"Not given")=TRUE,IF(SUMIFS(P:P,A:A,A424)&gt;0,IF((ABS((SUMIFS(P:P,A:A,A424)/VLOOKUP("USD",'Exchange Rates'!B:C,2,0)))/S424)&gt;1,(SUMIFS(P:P,A:A,A424)-S424)/S424,(S424-SUMIFS(P:P,A:A,A424))/SUMIFS(P:P,A:A,A424)),"."),".")</f>
        <v>.</v>
      </c>
    </row>
    <row r="425" spans="1:71" ht="15.95" customHeight="1">
      <c r="A425" s="1180" t="s">
        <v>1483</v>
      </c>
      <c r="B425" s="1180" t="s">
        <v>1432</v>
      </c>
      <c r="C425" s="1181">
        <v>44882</v>
      </c>
      <c r="D425" s="1182" t="s">
        <v>389</v>
      </c>
      <c r="E425" s="1182" t="s">
        <v>390</v>
      </c>
      <c r="F425" s="1183" t="s">
        <v>1484</v>
      </c>
      <c r="G425" s="1184" t="s">
        <v>483</v>
      </c>
      <c r="H425" s="1185">
        <v>55600000</v>
      </c>
      <c r="I425" s="1180" t="s">
        <v>364</v>
      </c>
      <c r="J425" s="1186" t="str">
        <f>VLOOKUP($I425,'Price List, Weapons &amp; Items'!B:C,2,0)</f>
        <v>.</v>
      </c>
      <c r="K425" s="1186" t="str">
        <f>IF(I425=".",I425,VLOOKUP($I425,'Price List, Weapons &amp; Items'!B:D,3,0))</f>
        <v>.</v>
      </c>
      <c r="L425" s="1187">
        <f>VLOOKUP(I425,'Price List, Weapons &amp; Items'!B:E,4,0)</f>
        <v>0</v>
      </c>
      <c r="M425" s="1188" t="s">
        <v>364</v>
      </c>
      <c r="N425" s="1188" t="s">
        <v>364</v>
      </c>
      <c r="O425" s="1188" t="str">
        <f>VLOOKUP($I425,'Price List, Weapons &amp; Items'!B:G,6,0)</f>
        <v>.</v>
      </c>
      <c r="P425" s="1185" t="str">
        <f t="shared" si="93"/>
        <v>.</v>
      </c>
      <c r="Q425" s="1185" t="str">
        <f t="shared" si="94"/>
        <v>.</v>
      </c>
      <c r="R425" s="1185">
        <f t="shared" si="90"/>
        <v>55600000</v>
      </c>
      <c r="S425" s="1185">
        <f>IF(AND(AD425=1,R425&lt;&gt;".")=TRUE,R425/VLOOKUP(G425,'Exchange Rates'!B:C,2,0),IF(R425=".",".",""))</f>
        <v>55600000</v>
      </c>
      <c r="T425" s="1185">
        <f>IF(AD425=1,IF(AF425="Value is not given at all",".",IF(AF425="Value is given by the source",S425,IF(AF425="Value is calculated with prices",(IF(SUMIFS(Q:Q,A:A,A425)&gt;0,SUMIFS(Q:Q,A:A,A425),"."))/VLOOKUP("USD",'Exchange Rates'!B:C,2,0),"Error with coding"))),"")</f>
        <v>55600000</v>
      </c>
      <c r="U425" s="1184" t="s">
        <v>365</v>
      </c>
      <c r="V425" s="966" t="s">
        <v>1485</v>
      </c>
      <c r="W425" s="966" t="s">
        <v>1486</v>
      </c>
      <c r="X425" s="966" t="s">
        <v>1487</v>
      </c>
      <c r="Y425" s="981" t="s">
        <v>364</v>
      </c>
      <c r="Z425" s="1184">
        <v>0</v>
      </c>
      <c r="AA425" s="1194">
        <v>0</v>
      </c>
      <c r="AB425" s="977" t="s">
        <v>1474</v>
      </c>
      <c r="AC425" s="1192" t="str">
        <f>""</f>
        <v/>
      </c>
      <c r="AD425" s="1193">
        <v>1</v>
      </c>
      <c r="AE425" s="1193" t="s">
        <v>368</v>
      </c>
      <c r="AF425" s="1193" t="s">
        <v>368</v>
      </c>
      <c r="AG425" s="1193">
        <v>1</v>
      </c>
      <c r="AH425" s="1193">
        <v>11</v>
      </c>
      <c r="AI425" s="1193">
        <v>0</v>
      </c>
      <c r="AJ425" s="1193">
        <f>VLOOKUP($I425,'Price List, Weapons &amp; Items'!B:F,5,0)</f>
        <v>0</v>
      </c>
      <c r="AK425" s="1193">
        <f t="shared" si="95"/>
        <v>0</v>
      </c>
      <c r="AL425" s="1193">
        <f t="shared" si="96"/>
        <v>0</v>
      </c>
      <c r="AM425" s="1193">
        <f t="shared" si="97"/>
        <v>0</v>
      </c>
      <c r="AN425" s="1194" t="str">
        <f>VLOOKUP($I425,'Price List, Weapons &amp; Items'!B:L,COLUMN('Price List, Weapons &amp; Items'!$J$11)-1,0)</f>
        <v>.</v>
      </c>
      <c r="AO425" s="1194" t="str">
        <f>IF(I425=".",".",VLOOKUP($I425,'Price List, Weapons &amp; Items'!B:J,3,0))</f>
        <v>.</v>
      </c>
      <c r="AP425" s="1195" t="str">
        <f t="shared" ca="1" si="91"/>
        <v>.</v>
      </c>
      <c r="AQ425" s="1194">
        <f>VLOOKUP($I425,'Price List, Weapons &amp; Items'!B:L,COLUMN('Price List, Weapons &amp; Items'!$L$11)-1,0)</f>
        <v>0</v>
      </c>
      <c r="AR425" s="1194">
        <f t="shared" si="98"/>
        <v>1</v>
      </c>
      <c r="AS425" s="1194">
        <f t="shared" si="99"/>
        <v>1</v>
      </c>
      <c r="AT425" s="1194">
        <f t="shared" si="100"/>
        <v>1</v>
      </c>
      <c r="AU425" s="1194" t="str">
        <f t="shared" si="101"/>
        <v>.</v>
      </c>
      <c r="AV425" s="1194" t="str">
        <f t="shared" si="92"/>
        <v>.</v>
      </c>
      <c r="AW425" s="1194" t="str">
        <f t="shared" si="102"/>
        <v>.</v>
      </c>
      <c r="AX425" s="1194">
        <f>IFERROR(VLOOKUP(B425,'Share, Heavy Weapons to Ukraine'!B:Z,COLUMN('Share, Heavy Weapons to Ukraine'!C435)-1,0),0)</f>
        <v>0</v>
      </c>
      <c r="AY425" s="1194">
        <f>VLOOKUP('Bilateral Assistance, MAIN DATA'!B425,'Country Summary (€)'!B:F,COLUMN('Country Summary (€)'!C436)-1,FALSE)</f>
        <v>1</v>
      </c>
      <c r="AZ425" s="1194" t="str">
        <f>IF(AND(AD425=1,D425="Military",H425&lt;&gt;"Not given")=TRUE,IF(SUMIFS(P:P,A:A,A425)&gt;0,ABS((SUMIFS(P:P,A:A,A425)/VLOOKUP("USD",'Exchange Rates'!B:C,2,0)))/S425,"."),".")</f>
        <v>.</v>
      </c>
      <c r="BA425" s="1196" t="str">
        <f>IF(AND(AD425=1,D425="Military",H425&lt;&gt;"Not given")=TRUE,IF(SUMIFS(P:P,A:A,A425)&gt;0,IF((ABS((SUMIFS(P:P,A:A,A425)/VLOOKUP("USD",'Exchange Rates'!B:C,2,0)))/S425)&gt;1,(SUMIFS(P:P,A:A,A425)-S425)/S425,(S425-SUMIFS(P:P,A:A,A425))/SUMIFS(P:P,A:A,A425)),"."),".")</f>
        <v>.</v>
      </c>
    </row>
    <row r="426" spans="1:71" ht="15.95" customHeight="1">
      <c r="A426" s="1208" t="s">
        <v>1488</v>
      </c>
      <c r="B426" s="1208" t="s">
        <v>1432</v>
      </c>
      <c r="C426" s="1220">
        <v>44917</v>
      </c>
      <c r="D426" s="1208" t="s">
        <v>389</v>
      </c>
      <c r="E426" s="1208" t="s">
        <v>390</v>
      </c>
      <c r="F426" s="1208" t="s">
        <v>1489</v>
      </c>
      <c r="G426" s="1184" t="s">
        <v>483</v>
      </c>
      <c r="H426" s="1210">
        <v>28800000</v>
      </c>
      <c r="I426" s="1208" t="s">
        <v>364</v>
      </c>
      <c r="J426" s="1186" t="str">
        <f>VLOOKUP($I426,'Price List, Weapons &amp; Items'!B:C,2,0)</f>
        <v>.</v>
      </c>
      <c r="K426" s="1186" t="str">
        <f>IF(I426=".",I426,VLOOKUP($I426,'Price List, Weapons &amp; Items'!B:D,3,0))</f>
        <v>.</v>
      </c>
      <c r="L426" s="1187">
        <f>VLOOKUP(I426,'Price List, Weapons &amp; Items'!B:E,4,0)</f>
        <v>0</v>
      </c>
      <c r="M426" s="1241" t="s">
        <v>364</v>
      </c>
      <c r="N426" s="1211" t="s">
        <v>364</v>
      </c>
      <c r="O426" s="1188" t="str">
        <f>VLOOKUP($I426,'Price List, Weapons &amp; Items'!B:G,6,0)</f>
        <v>.</v>
      </c>
      <c r="P426" s="1185" t="str">
        <f t="shared" si="93"/>
        <v>.</v>
      </c>
      <c r="Q426" s="1185" t="str">
        <f t="shared" si="94"/>
        <v>.</v>
      </c>
      <c r="R426" s="1185">
        <f t="shared" si="90"/>
        <v>28800000</v>
      </c>
      <c r="S426" s="1185">
        <f>IF(AND(AD426=1,R426&lt;&gt;".")=TRUE,R426/VLOOKUP(G426,'Exchange Rates'!B:C,2,0),IF(R426=".",".",""))</f>
        <v>28800000</v>
      </c>
      <c r="T426" s="1185">
        <f>IF(AD426=1,IF(AF426="Value is not given at all",".",IF(AF426="Value is given by the source",S426,IF(AF426="Value is calculated with prices",(IF(SUMIFS(Q:Q,A:A,A426)&gt;0,SUMIFS(Q:Q,A:A,A426),"."))/VLOOKUP("USD",'Exchange Rates'!B:C,2,0),"Error with coding"))),"")</f>
        <v>28800000</v>
      </c>
      <c r="U426" s="1191" t="s">
        <v>365</v>
      </c>
      <c r="V426" s="979" t="s">
        <v>1490</v>
      </c>
      <c r="W426" s="979" t="s">
        <v>1491</v>
      </c>
      <c r="X426" s="1262"/>
      <c r="Y426" s="1223" t="s">
        <v>364</v>
      </c>
      <c r="Z426" s="1191">
        <v>0</v>
      </c>
      <c r="AA426" s="1191">
        <v>0</v>
      </c>
      <c r="AB426" s="979" t="s">
        <v>1491</v>
      </c>
      <c r="AC426" s="1192" t="str">
        <f>""</f>
        <v/>
      </c>
      <c r="AD426" s="1191">
        <v>1</v>
      </c>
      <c r="AE426" s="1191" t="s">
        <v>368</v>
      </c>
      <c r="AF426" s="1191" t="s">
        <v>368</v>
      </c>
      <c r="AG426" s="1191">
        <v>1</v>
      </c>
      <c r="AH426" s="1191">
        <v>12</v>
      </c>
      <c r="AI426" s="1191">
        <v>0</v>
      </c>
      <c r="AJ426" s="1193">
        <f>VLOOKUP($I426,'Price List, Weapons &amp; Items'!B:F,5,0)</f>
        <v>0</v>
      </c>
      <c r="AK426" s="1193">
        <f t="shared" si="95"/>
        <v>0</v>
      </c>
      <c r="AL426" s="1193">
        <f t="shared" si="96"/>
        <v>0</v>
      </c>
      <c r="AM426" s="1193">
        <f t="shared" si="97"/>
        <v>0</v>
      </c>
      <c r="AN426" s="1194" t="str">
        <f>VLOOKUP($I426,'Price List, Weapons &amp; Items'!B:L,COLUMN('Price List, Weapons &amp; Items'!$J$11)-1,0)</f>
        <v>.</v>
      </c>
      <c r="AO426" s="1194" t="str">
        <f>IF(I426=".",".",VLOOKUP($I426,'Price List, Weapons &amp; Items'!B:J,3,0))</f>
        <v>.</v>
      </c>
      <c r="AP426" s="1195" t="str">
        <f t="shared" ca="1" si="91"/>
        <v>.</v>
      </c>
      <c r="AQ426" s="1194">
        <f>VLOOKUP($I426,'Price List, Weapons &amp; Items'!B:L,COLUMN('Price List, Weapons &amp; Items'!$L$11)-1,0)</f>
        <v>0</v>
      </c>
      <c r="AR426" s="1194">
        <f t="shared" si="98"/>
        <v>1</v>
      </c>
      <c r="AS426" s="1194">
        <f t="shared" si="99"/>
        <v>1</v>
      </c>
      <c r="AT426" s="1194">
        <f t="shared" si="100"/>
        <v>1</v>
      </c>
      <c r="AU426" s="1194" t="str">
        <f t="shared" si="101"/>
        <v>.</v>
      </c>
      <c r="AV426" s="1194" t="str">
        <f t="shared" si="92"/>
        <v>.</v>
      </c>
      <c r="AW426" s="1194" t="str">
        <f t="shared" si="102"/>
        <v>.</v>
      </c>
      <c r="AX426" s="1194">
        <f>IFERROR(VLOOKUP(B426,'Share, Heavy Weapons to Ukraine'!B:Z,COLUMN('Share, Heavy Weapons to Ukraine'!C436)-1,0),0)</f>
        <v>0</v>
      </c>
      <c r="AY426" s="1194">
        <f>VLOOKUP('Bilateral Assistance, MAIN DATA'!B426,'Country Summary (€)'!B:F,COLUMN('Country Summary (€)'!C437)-1,FALSE)</f>
        <v>1</v>
      </c>
      <c r="AZ426" s="1194" t="str">
        <f>IF(AND(AD426=1,D426="Military",H426&lt;&gt;"Not given")=TRUE,IF(SUMIFS(P:P,A:A,A426)&gt;0,ABS((SUMIFS(P:P,A:A,A426)/VLOOKUP("USD",'Exchange Rates'!B:C,2,0)))/S426,"."),".")</f>
        <v>.</v>
      </c>
      <c r="BA426" s="1196" t="str">
        <f>IF(AND(AD426=1,D426="Military",H426&lt;&gt;"Not given")=TRUE,IF(SUMIFS(P:P,A:A,A426)&gt;0,IF((ABS((SUMIFS(P:P,A:A,A426)/VLOOKUP("USD",'Exchange Rates'!B:C,2,0)))/S426)&gt;1,(SUMIFS(P:P,A:A,A426)-S426)/S426,(S426-SUMIFS(P:P,A:A,A426))/SUMIFS(P:P,A:A,A426)),"."),".")</f>
        <v>.</v>
      </c>
    </row>
    <row r="427" spans="1:71" ht="15.95" customHeight="1">
      <c r="A427" s="1208" t="s">
        <v>1492</v>
      </c>
      <c r="B427" s="1208" t="s">
        <v>1432</v>
      </c>
      <c r="C427" s="1209">
        <v>44946</v>
      </c>
      <c r="D427" s="1208" t="s">
        <v>389</v>
      </c>
      <c r="E427" s="1208" t="s">
        <v>390</v>
      </c>
      <c r="F427" s="1208" t="s">
        <v>1493</v>
      </c>
      <c r="G427" s="1184" t="s">
        <v>483</v>
      </c>
      <c r="H427" s="1210">
        <v>400000000</v>
      </c>
      <c r="I427" s="1208" t="s">
        <v>364</v>
      </c>
      <c r="J427" s="1186" t="str">
        <f>VLOOKUP($I427,'Price List, Weapons &amp; Items'!B:C,2,0)</f>
        <v>.</v>
      </c>
      <c r="K427" s="1186" t="str">
        <f>IF(I427=".",I427,VLOOKUP($I427,'Price List, Weapons &amp; Items'!B:D,3,0))</f>
        <v>.</v>
      </c>
      <c r="L427" s="1187">
        <f>VLOOKUP(I427,'Price List, Weapons &amp; Items'!B:E,4,0)</f>
        <v>0</v>
      </c>
      <c r="M427" s="1241" t="s">
        <v>364</v>
      </c>
      <c r="N427" s="1211" t="s">
        <v>364</v>
      </c>
      <c r="O427" s="1188" t="str">
        <f>VLOOKUP($I427,'Price List, Weapons &amp; Items'!B:G,6,0)</f>
        <v>.</v>
      </c>
      <c r="P427" s="1185" t="str">
        <f t="shared" si="93"/>
        <v>.</v>
      </c>
      <c r="Q427" s="1185" t="str">
        <f t="shared" si="94"/>
        <v>.</v>
      </c>
      <c r="R427" s="1185">
        <f t="shared" si="90"/>
        <v>400000000</v>
      </c>
      <c r="S427" s="1185">
        <f>IF(AND(AD427=1,R427&lt;&gt;".")=TRUE,R427/VLOOKUP(G427,'Exchange Rates'!B:C,2,0),IF(R427=".",".",""))</f>
        <v>400000000</v>
      </c>
      <c r="T427" s="1185" t="str">
        <f>IF(AD427=1,IF(AF427="Value is not given at all",".",IF(AF427="Value is given by the source",S427,IF(AF427="Value is calculated with prices",(IF(SUMIFS(Q:Q,A:A,A427)&gt;0,SUMIFS(Q:Q,A:A,A427),"."))/VLOOKUP("USD",'Exchange Rates'!B:C,2,0),"Error with coding"))),"")</f>
        <v>.</v>
      </c>
      <c r="U427" s="1191" t="s">
        <v>365</v>
      </c>
      <c r="V427" s="983" t="s">
        <v>1494</v>
      </c>
      <c r="W427" s="983" t="s">
        <v>1495</v>
      </c>
      <c r="X427" s="1279" t="s">
        <v>364</v>
      </c>
      <c r="Y427" s="1223" t="s">
        <v>364</v>
      </c>
      <c r="Z427" s="1191">
        <v>0</v>
      </c>
      <c r="AA427" s="1191">
        <v>0</v>
      </c>
      <c r="AB427" s="1208" t="s">
        <v>364</v>
      </c>
      <c r="AC427" s="1192" t="str">
        <f>""</f>
        <v/>
      </c>
      <c r="AD427" s="1191">
        <v>1</v>
      </c>
      <c r="AE427" s="1191" t="s">
        <v>368</v>
      </c>
      <c r="AF427" s="1191" t="s">
        <v>369</v>
      </c>
      <c r="AG427" s="1191">
        <v>1</v>
      </c>
      <c r="AH427" s="1191">
        <v>13</v>
      </c>
      <c r="AI427" s="1191">
        <v>0</v>
      </c>
      <c r="AJ427" s="1193">
        <f>VLOOKUP($I427,'Price List, Weapons &amp; Items'!B:F,5,0)</f>
        <v>0</v>
      </c>
      <c r="AK427" s="1193">
        <f t="shared" si="95"/>
        <v>0</v>
      </c>
      <c r="AL427" s="1193">
        <f t="shared" si="96"/>
        <v>0</v>
      </c>
      <c r="AM427" s="1193">
        <f t="shared" si="97"/>
        <v>0</v>
      </c>
      <c r="AN427" s="1194" t="str">
        <f>VLOOKUP($I427,'Price List, Weapons &amp; Items'!B:L,COLUMN('Price List, Weapons &amp; Items'!$J$11)-1,0)</f>
        <v>.</v>
      </c>
      <c r="AO427" s="1194" t="str">
        <f>IF(I427=".",".",VLOOKUP($I427,'Price List, Weapons &amp; Items'!B:J,3,0))</f>
        <v>.</v>
      </c>
      <c r="AP427" s="1195" t="str">
        <f t="shared" ca="1" si="91"/>
        <v>.</v>
      </c>
      <c r="AQ427" s="1194">
        <f>VLOOKUP($I427,'Price List, Weapons &amp; Items'!B:L,COLUMN('Price List, Weapons &amp; Items'!$L$11)-1,0)</f>
        <v>0</v>
      </c>
      <c r="AR427" s="1194">
        <f t="shared" si="98"/>
        <v>1</v>
      </c>
      <c r="AS427" s="1194">
        <f t="shared" si="99"/>
        <v>1</v>
      </c>
      <c r="AT427" s="1194">
        <f t="shared" si="100"/>
        <v>1</v>
      </c>
      <c r="AU427" s="1194" t="str">
        <f t="shared" si="101"/>
        <v>.</v>
      </c>
      <c r="AV427" s="1194" t="str">
        <f t="shared" si="92"/>
        <v>.</v>
      </c>
      <c r="AW427" s="1194" t="str">
        <f t="shared" si="102"/>
        <v>.</v>
      </c>
      <c r="AX427" s="1194">
        <f>IFERROR(VLOOKUP(B427,'Share, Heavy Weapons to Ukraine'!B:Z,COLUMN('Share, Heavy Weapons to Ukraine'!C437)-1,0),0)</f>
        <v>0</v>
      </c>
      <c r="AY427" s="1194">
        <f>VLOOKUP('Bilateral Assistance, MAIN DATA'!B427,'Country Summary (€)'!B:F,COLUMN('Country Summary (€)'!C438)-1,FALSE)</f>
        <v>1</v>
      </c>
      <c r="AZ427" s="1194" t="str">
        <f>IF(AND(AD427=1,D427="Military",H427&lt;&gt;"Not given")=TRUE,IF(SUMIFS(P:P,A:A,A427)&gt;0,ABS((SUMIFS(P:P,A:A,A427)/VLOOKUP("USD",'Exchange Rates'!B:C,2,0)))/S427,"."),".")</f>
        <v>.</v>
      </c>
      <c r="BA427" s="1196" t="str">
        <f>IF(AND(AD427=1,D427="Military",H427&lt;&gt;"Not given")=TRUE,IF(SUMIFS(P:P,A:A,A427)&gt;0,IF((ABS((SUMIFS(P:P,A:A,A427)/VLOOKUP("USD",'Exchange Rates'!B:C,2,0)))/S427)&gt;1,(SUMIFS(P:P,A:A,A427)-S427)/S427,(S427-SUMIFS(P:P,A:A,A427))/SUMIFS(P:P,A:A,A427)),"."),".")</f>
        <v>.</v>
      </c>
      <c r="BB427" s="1208" t="s">
        <v>38</v>
      </c>
      <c r="BC427" s="1208" t="s">
        <v>38</v>
      </c>
      <c r="BD427" s="1208" t="s">
        <v>38</v>
      </c>
      <c r="BE427" s="1208" t="s">
        <v>38</v>
      </c>
      <c r="BF427" s="1208" t="s">
        <v>38</v>
      </c>
      <c r="BG427" s="1208" t="s">
        <v>38</v>
      </c>
      <c r="BH427" s="1208" t="s">
        <v>38</v>
      </c>
      <c r="BI427" s="1208" t="s">
        <v>38</v>
      </c>
      <c r="BJ427" s="1208" t="s">
        <v>38</v>
      </c>
      <c r="BK427" s="1208" t="s">
        <v>38</v>
      </c>
      <c r="BL427" s="1208" t="s">
        <v>38</v>
      </c>
      <c r="BM427" s="1208" t="s">
        <v>38</v>
      </c>
      <c r="BN427" s="1208" t="s">
        <v>38</v>
      </c>
      <c r="BO427" s="1208" t="s">
        <v>38</v>
      </c>
      <c r="BP427" s="1208" t="s">
        <v>38</v>
      </c>
      <c r="BQ427" s="1208" t="s">
        <v>38</v>
      </c>
      <c r="BR427" s="1208" t="s">
        <v>38</v>
      </c>
      <c r="BS427" s="1208" t="s">
        <v>38</v>
      </c>
    </row>
    <row r="428" spans="1:71" ht="15.95" customHeight="1">
      <c r="A428" s="1208" t="s">
        <v>1496</v>
      </c>
      <c r="B428" s="1208" t="s">
        <v>1432</v>
      </c>
      <c r="C428" s="1209">
        <v>44980</v>
      </c>
      <c r="D428" s="1208" t="s">
        <v>389</v>
      </c>
      <c r="E428" s="1208" t="s">
        <v>390</v>
      </c>
      <c r="F428" s="1208" t="s">
        <v>1497</v>
      </c>
      <c r="G428" s="1184" t="s">
        <v>483</v>
      </c>
      <c r="H428" s="1210">
        <v>160000000</v>
      </c>
      <c r="I428" s="1208" t="s">
        <v>1498</v>
      </c>
      <c r="J428" s="1186" t="str">
        <f>VLOOKUP($I428,'Price List, Weapons &amp; Items'!B:C,2,0)</f>
        <v>Military equipment</v>
      </c>
      <c r="K428" s="1186" t="str">
        <f>IF(I428=".",I428,VLOOKUP($I428,'Price List, Weapons &amp; Items'!B:D,3,0))</f>
        <v>Armored Recovery Vehicle (ARV)</v>
      </c>
      <c r="L428" s="1187">
        <f>VLOOKUP(I428,'Price List, Weapons &amp; Items'!B:E,4,0)</f>
        <v>0</v>
      </c>
      <c r="M428" s="1241">
        <v>3</v>
      </c>
      <c r="N428" s="1211" t="s">
        <v>374</v>
      </c>
      <c r="O428" s="1188">
        <f>VLOOKUP($I428,'Price List, Weapons &amp; Items'!B:G,6,0)</f>
        <v>2138073.4315492632</v>
      </c>
      <c r="P428" s="1185">
        <f t="shared" si="93"/>
        <v>6414220.2946477896</v>
      </c>
      <c r="Q428" s="1185" t="str">
        <f t="shared" si="94"/>
        <v>.</v>
      </c>
      <c r="R428" s="1185">
        <f t="shared" si="90"/>
        <v>160000000</v>
      </c>
      <c r="S428" s="1185">
        <f>IF(AND(AD428=1,R428&lt;&gt;".")=TRUE,R428/VLOOKUP(G428,'Exchange Rates'!B:C,2,0),IF(R428=".",".",""))</f>
        <v>160000000</v>
      </c>
      <c r="T428" s="1185" t="str">
        <f>IF(AD428=1,IF(AF428="Value is not given at all",".",IF(AF428="Value is given by the source",S428,IF(AF428="Value is calculated with prices",(IF(SUMIFS(Q:Q,A:A,A428)&gt;0,SUMIFS(Q:Q,A:A,A428),"."))/VLOOKUP("USD",'Exchange Rates'!B:C,2,0),"Error with coding"))),"")</f>
        <v>.</v>
      </c>
      <c r="U428" s="1191" t="s">
        <v>365</v>
      </c>
      <c r="V428" s="983" t="s">
        <v>1499</v>
      </c>
      <c r="W428" s="966" t="s">
        <v>1500</v>
      </c>
      <c r="X428" s="1223" t="s">
        <v>364</v>
      </c>
      <c r="Y428" s="1223" t="s">
        <v>364</v>
      </c>
      <c r="Z428" s="1191">
        <v>0</v>
      </c>
      <c r="AA428" s="1191">
        <v>0</v>
      </c>
      <c r="AB428" s="1208" t="s">
        <v>364</v>
      </c>
      <c r="AC428" s="1192" t="str">
        <f>""</f>
        <v/>
      </c>
      <c r="AD428" s="1191">
        <v>1</v>
      </c>
      <c r="AE428" s="1191" t="s">
        <v>368</v>
      </c>
      <c r="AF428" s="1191" t="s">
        <v>369</v>
      </c>
      <c r="AG428" s="1191">
        <v>1</v>
      </c>
      <c r="AH428" s="1191">
        <v>14</v>
      </c>
      <c r="AI428" s="1191">
        <v>0</v>
      </c>
      <c r="AJ428" s="1193">
        <f>VLOOKUP($I428,'Price List, Weapons &amp; Items'!B:F,5,0)</f>
        <v>1</v>
      </c>
      <c r="AK428" s="1193">
        <f t="shared" si="95"/>
        <v>0</v>
      </c>
      <c r="AL428" s="1193">
        <f t="shared" si="96"/>
        <v>1</v>
      </c>
      <c r="AM428" s="1193">
        <f t="shared" si="97"/>
        <v>0</v>
      </c>
      <c r="AN428" s="1194" t="str">
        <f>VLOOKUP($I428,'Price List, Weapons &amp; Items'!B:L,COLUMN('Price List, Weapons &amp; Items'!$J$11)-1,0)</f>
        <v>Contracts</v>
      </c>
      <c r="AO428" s="1194" t="str">
        <f>IF(I428=".",".",VLOOKUP($I428,'Price List, Weapons &amp; Items'!B:J,3,0))</f>
        <v>Armored Recovery Vehicle (ARV)</v>
      </c>
      <c r="AP428" s="1195" t="str">
        <f t="shared" ca="1" si="91"/>
        <v>Leopard-2R</v>
      </c>
      <c r="AQ428" s="1194">
        <f>VLOOKUP($I428,'Price List, Weapons &amp; Items'!B:L,COLUMN('Price List, Weapons &amp; Items'!$L$11)-1,0)</f>
        <v>2</v>
      </c>
      <c r="AR428" s="1194">
        <f t="shared" si="98"/>
        <v>1</v>
      </c>
      <c r="AS428" s="1194">
        <f t="shared" si="99"/>
        <v>1</v>
      </c>
      <c r="AT428" s="1194">
        <f t="shared" si="100"/>
        <v>1</v>
      </c>
      <c r="AU428" s="1194" t="str">
        <f t="shared" si="101"/>
        <v>.</v>
      </c>
      <c r="AV428" s="1194" t="str">
        <f t="shared" si="92"/>
        <v>.</v>
      </c>
      <c r="AW428" s="1194" t="str">
        <f t="shared" si="102"/>
        <v>.</v>
      </c>
      <c r="AX428" s="1194">
        <f>IFERROR(VLOOKUP(B428,'Share, Heavy Weapons to Ukraine'!B:Z,COLUMN('Share, Heavy Weapons to Ukraine'!C438)-1,0),0)</f>
        <v>0</v>
      </c>
      <c r="AY428" s="1194">
        <f>VLOOKUP('Bilateral Assistance, MAIN DATA'!B428,'Country Summary (€)'!B:F,COLUMN('Country Summary (€)'!C439)-1,FALSE)</f>
        <v>1</v>
      </c>
      <c r="AZ428" s="1194">
        <f>IF(AND(AD428=1,D428="Military",H428&lt;&gt;"Not given")=TRUE,IF(SUMIFS(P:P,A:A,A428)&gt;0,ABS((SUMIFS(P:P,A:A,A428)/VLOOKUP("USD",'Exchange Rates'!B:C,2,0)))/S428,"."),".")</f>
        <v>3.6887078433519217E-2</v>
      </c>
      <c r="BA428" s="1196">
        <f>IF(AND(AD428=1,D428="Military",H428&lt;&gt;"Not given")=TRUE,IF(SUMIFS(P:P,A:A,A428)&gt;0,IF((ABS((SUMIFS(P:P,A:A,A428)/VLOOKUP("USD",'Exchange Rates'!B:C,2,0)))/S428)&gt;1,(SUMIFS(P:P,A:A,A428)-S428)/S428,(S428-SUMIFS(P:P,A:A,A428))/SUMIFS(P:P,A:A,A428)),"."),".")</f>
        <v>23.944575123730726</v>
      </c>
      <c r="BB428" s="1208" t="s">
        <v>38</v>
      </c>
      <c r="BC428" s="1208" t="s">
        <v>38</v>
      </c>
      <c r="BD428" s="1208" t="s">
        <v>38</v>
      </c>
      <c r="BE428" s="1208" t="s">
        <v>38</v>
      </c>
      <c r="BF428" s="1208" t="s">
        <v>38</v>
      </c>
      <c r="BG428" s="1208" t="s">
        <v>38</v>
      </c>
      <c r="BH428" s="1208" t="s">
        <v>38</v>
      </c>
      <c r="BI428" s="1208" t="s">
        <v>38</v>
      </c>
      <c r="BJ428" s="1208" t="s">
        <v>38</v>
      </c>
      <c r="BK428" s="1208" t="s">
        <v>38</v>
      </c>
      <c r="BL428" s="1208" t="s">
        <v>38</v>
      </c>
      <c r="BM428" s="1208" t="s">
        <v>38</v>
      </c>
      <c r="BN428" s="1208" t="s">
        <v>38</v>
      </c>
      <c r="BO428" s="1208" t="s">
        <v>38</v>
      </c>
      <c r="BP428" s="1208" t="s">
        <v>38</v>
      </c>
      <c r="BQ428" s="1208" t="s">
        <v>38</v>
      </c>
      <c r="BR428" s="1208" t="s">
        <v>38</v>
      </c>
      <c r="BS428" s="1208" t="s">
        <v>38</v>
      </c>
    </row>
    <row r="429" spans="1:71" ht="15.95" customHeight="1">
      <c r="A429" s="1208" t="s">
        <v>1501</v>
      </c>
      <c r="B429" s="1208" t="s">
        <v>1432</v>
      </c>
      <c r="C429" s="1209">
        <v>45008</v>
      </c>
      <c r="D429" s="1208" t="s">
        <v>389</v>
      </c>
      <c r="E429" s="1208" t="s">
        <v>390</v>
      </c>
      <c r="F429" s="1208" t="s">
        <v>1502</v>
      </c>
      <c r="G429" s="1184" t="s">
        <v>483</v>
      </c>
      <c r="H429" s="1210">
        <v>161000000</v>
      </c>
      <c r="I429" s="1208" t="s">
        <v>1498</v>
      </c>
      <c r="J429" s="1186" t="str">
        <f>VLOOKUP($I429,'Price List, Weapons &amp; Items'!B:C,2,0)</f>
        <v>Military equipment</v>
      </c>
      <c r="K429" s="1186" t="str">
        <f>IF(I429=".",I429,VLOOKUP($I429,'Price List, Weapons &amp; Items'!B:D,3,0))</f>
        <v>Armored Recovery Vehicle (ARV)</v>
      </c>
      <c r="L429" s="1187">
        <f>VLOOKUP(I429,'Price List, Weapons &amp; Items'!B:E,4,0)</f>
        <v>0</v>
      </c>
      <c r="M429" s="1241">
        <v>3</v>
      </c>
      <c r="N429" s="1211" t="s">
        <v>374</v>
      </c>
      <c r="O429" s="1188">
        <f>VLOOKUP($I429,'Price List, Weapons &amp; Items'!B:G,6,0)</f>
        <v>2138073.4315492632</v>
      </c>
      <c r="P429" s="1185">
        <f t="shared" si="93"/>
        <v>6414220.2946477896</v>
      </c>
      <c r="Q429" s="1185" t="str">
        <f t="shared" si="94"/>
        <v>.</v>
      </c>
      <c r="R429" s="1185">
        <f t="shared" si="90"/>
        <v>161000000</v>
      </c>
      <c r="S429" s="1185">
        <f>IF(AND(AD429=1,R429&lt;&gt;".")=TRUE,R429/VLOOKUP(G429,'Exchange Rates'!B:C,2,0),IF(R429=".",".",""))</f>
        <v>161000000</v>
      </c>
      <c r="T429" s="1185" t="str">
        <f>IF(AD429=1,IF(AF429="Value is not given at all",".",IF(AF429="Value is given by the source",S429,IF(AF429="Value is calculated with prices",(IF(SUMIFS(Q:Q,A:A,A429)&gt;0,SUMIFS(Q:Q,A:A,A429),"."))/VLOOKUP("USD",'Exchange Rates'!B:C,2,0),"Error with coding"))),"")</f>
        <v>.</v>
      </c>
      <c r="U429" s="1191" t="s">
        <v>365</v>
      </c>
      <c r="V429" s="983" t="s">
        <v>1503</v>
      </c>
      <c r="W429" s="966" t="s">
        <v>1439</v>
      </c>
      <c r="X429" s="1223" t="s">
        <v>364</v>
      </c>
      <c r="Y429" s="1223" t="s">
        <v>364</v>
      </c>
      <c r="Z429" s="1191">
        <v>0</v>
      </c>
      <c r="AA429" s="1191">
        <v>1</v>
      </c>
      <c r="AB429" s="1208" t="s">
        <v>364</v>
      </c>
      <c r="AC429" s="1192" t="str">
        <f>""</f>
        <v/>
      </c>
      <c r="AD429" s="1191">
        <v>1</v>
      </c>
      <c r="AE429" s="1191" t="s">
        <v>368</v>
      </c>
      <c r="AF429" s="1191" t="s">
        <v>369</v>
      </c>
      <c r="AG429" s="1191">
        <v>1</v>
      </c>
      <c r="AH429" s="1191">
        <v>15</v>
      </c>
      <c r="AI429" s="1191">
        <v>0</v>
      </c>
      <c r="AJ429" s="1193">
        <f>VLOOKUP($I429,'Price List, Weapons &amp; Items'!B:F,5,0)</f>
        <v>1</v>
      </c>
      <c r="AK429" s="1193">
        <f t="shared" si="95"/>
        <v>0</v>
      </c>
      <c r="AL429" s="1193">
        <f t="shared" si="96"/>
        <v>1</v>
      </c>
      <c r="AM429" s="1193">
        <f t="shared" si="97"/>
        <v>0</v>
      </c>
      <c r="AN429" s="1194" t="str">
        <f>VLOOKUP($I429,'Price List, Weapons &amp; Items'!B:L,COLUMN('Price List, Weapons &amp; Items'!$J$11)-1,0)</f>
        <v>Contracts</v>
      </c>
      <c r="AO429" s="1194" t="str">
        <f>IF(I429=".",".",VLOOKUP($I429,'Price List, Weapons &amp; Items'!B:J,3,0))</f>
        <v>Armored Recovery Vehicle (ARV)</v>
      </c>
      <c r="AP429" s="1195" t="str">
        <f t="shared" ca="1" si="91"/>
        <v>Leopard-2R</v>
      </c>
      <c r="AQ429" s="1194">
        <f>VLOOKUP($I429,'Price List, Weapons &amp; Items'!B:L,COLUMN('Price List, Weapons &amp; Items'!$L$11)-1,0)</f>
        <v>2</v>
      </c>
      <c r="AR429" s="1194">
        <f t="shared" si="98"/>
        <v>1</v>
      </c>
      <c r="AS429" s="1194">
        <f t="shared" si="99"/>
        <v>1</v>
      </c>
      <c r="AT429" s="1194">
        <f t="shared" si="100"/>
        <v>1</v>
      </c>
      <c r="AU429" s="1194" t="str">
        <f t="shared" si="101"/>
        <v>.</v>
      </c>
      <c r="AV429" s="1194" t="str">
        <f t="shared" si="92"/>
        <v>.</v>
      </c>
      <c r="AW429" s="1194" t="str">
        <f t="shared" si="102"/>
        <v>.</v>
      </c>
      <c r="AX429" s="1194">
        <f>IFERROR(VLOOKUP(B429,'Share, Heavy Weapons to Ukraine'!B:Z,COLUMN('Share, Heavy Weapons to Ukraine'!C439)-1,0),0)</f>
        <v>0</v>
      </c>
      <c r="AY429" s="1194">
        <f>VLOOKUP('Bilateral Assistance, MAIN DATA'!B429,'Country Summary (€)'!B:F,COLUMN('Country Summary (€)'!C440)-1,FALSE)</f>
        <v>1</v>
      </c>
      <c r="AZ429" s="1194">
        <f>IF(AND(AD429=1,D429="Military",H429&lt;&gt;"Not given")=TRUE,IF(SUMIFS(P:P,A:A,A429)&gt;0,ABS((SUMIFS(P:P,A:A,A429)/VLOOKUP("USD",'Exchange Rates'!B:C,2,0)))/S429,"."),".")</f>
        <v>3.6657966145112263E-2</v>
      </c>
      <c r="BA429" s="1196">
        <f>IF(AND(AD429=1,D429="Military",H429&lt;&gt;"Not given")=TRUE,IF(SUMIFS(P:P,A:A,A429)&gt;0,IF((ABS((SUMIFS(P:P,A:A,A429)/VLOOKUP("USD",'Exchange Rates'!B:C,2,0)))/S429)&gt;1,(SUMIFS(P:P,A:A,A429)-S429)/S429,(S429-SUMIFS(P:P,A:A,A429))/SUMIFS(P:P,A:A,A429)),"."),".")</f>
        <v>24.100478718254042</v>
      </c>
      <c r="BB429" s="1208"/>
      <c r="BC429" s="1208"/>
      <c r="BD429" s="1208"/>
      <c r="BE429" s="1208"/>
      <c r="BF429" s="1208"/>
      <c r="BG429" s="1208"/>
      <c r="BH429" s="1208"/>
      <c r="BI429" s="1208"/>
      <c r="BJ429" s="1208"/>
      <c r="BK429" s="1208"/>
      <c r="BL429" s="1208"/>
      <c r="BM429" s="1208"/>
      <c r="BN429" s="1208"/>
      <c r="BO429" s="1208"/>
      <c r="BP429" s="1208"/>
      <c r="BQ429" s="1208"/>
      <c r="BR429" s="1208"/>
      <c r="BS429" s="1208"/>
    </row>
    <row r="430" spans="1:71" ht="15.95" customHeight="1">
      <c r="A430" s="1208" t="s">
        <v>1504</v>
      </c>
      <c r="B430" s="1208" t="s">
        <v>1432</v>
      </c>
      <c r="C430" s="1209">
        <v>45037</v>
      </c>
      <c r="D430" s="1208" t="s">
        <v>389</v>
      </c>
      <c r="E430" s="1208" t="s">
        <v>390</v>
      </c>
      <c r="F430" s="1208" t="s">
        <v>1505</v>
      </c>
      <c r="G430" s="1184" t="s">
        <v>483</v>
      </c>
      <c r="H430" s="1210">
        <v>78000000</v>
      </c>
      <c r="I430" s="1208" t="s">
        <v>364</v>
      </c>
      <c r="J430" s="1186" t="str">
        <f>VLOOKUP($I430,'Price List, Weapons &amp; Items'!B:C,2,0)</f>
        <v>.</v>
      </c>
      <c r="K430" s="1186" t="str">
        <f>IF(I430=".",I430,VLOOKUP($I430,'Price List, Weapons &amp; Items'!B:D,3,0))</f>
        <v>.</v>
      </c>
      <c r="L430" s="1187">
        <f>VLOOKUP(I430,'Price List, Weapons &amp; Items'!B:E,4,0)</f>
        <v>0</v>
      </c>
      <c r="M430" s="1241" t="s">
        <v>364</v>
      </c>
      <c r="N430" s="1211" t="s">
        <v>364</v>
      </c>
      <c r="O430" s="1188" t="str">
        <f>VLOOKUP($I430,'Price List, Weapons &amp; Items'!B:G,6,0)</f>
        <v>.</v>
      </c>
      <c r="P430" s="1185" t="str">
        <f t="shared" si="93"/>
        <v>.</v>
      </c>
      <c r="Q430" s="1185" t="str">
        <f t="shared" si="94"/>
        <v>.</v>
      </c>
      <c r="R430" s="1185">
        <f t="shared" si="90"/>
        <v>78000000</v>
      </c>
      <c r="S430" s="1185">
        <f>IF(AND(AD430=1,R430&lt;&gt;".")=TRUE,R430/VLOOKUP(G430,'Exchange Rates'!B:C,2,0),IF(R430=".",".",""))</f>
        <v>78000000</v>
      </c>
      <c r="T430" s="1185" t="str">
        <f>IF(AD430=1,IF(AF430="Value is not given at all",".",IF(AF430="Value is given by the source",S430,IF(AF430="Value is calculated with prices",(IF(SUMIFS(Q:Q,A:A,A430)&gt;0,SUMIFS(Q:Q,A:A,A430),"."))/VLOOKUP("USD",'Exchange Rates'!B:C,2,0),"Error with coding"))),"")</f>
        <v>.</v>
      </c>
      <c r="U430" s="1191" t="s">
        <v>365</v>
      </c>
      <c r="V430" s="983" t="s">
        <v>1506</v>
      </c>
      <c r="W430" s="966" t="s">
        <v>1439</v>
      </c>
      <c r="X430" s="1223" t="s">
        <v>364</v>
      </c>
      <c r="Y430" s="1223" t="s">
        <v>364</v>
      </c>
      <c r="Z430" s="1191">
        <v>0</v>
      </c>
      <c r="AA430" s="1191">
        <v>1</v>
      </c>
      <c r="AB430" s="1208" t="s">
        <v>364</v>
      </c>
      <c r="AC430" s="1192" t="str">
        <f>""</f>
        <v/>
      </c>
      <c r="AD430" s="1191">
        <v>1</v>
      </c>
      <c r="AE430" s="1191" t="s">
        <v>368</v>
      </c>
      <c r="AF430" s="1191" t="s">
        <v>369</v>
      </c>
      <c r="AG430" s="1191">
        <v>1</v>
      </c>
      <c r="AH430" s="1191">
        <v>16</v>
      </c>
      <c r="AI430" s="1191">
        <v>0</v>
      </c>
      <c r="AJ430" s="1193">
        <f>VLOOKUP($I430,'Price List, Weapons &amp; Items'!B:F,5,0)</f>
        <v>0</v>
      </c>
      <c r="AK430" s="1193">
        <f t="shared" si="95"/>
        <v>0</v>
      </c>
      <c r="AL430" s="1193">
        <f t="shared" si="96"/>
        <v>0</v>
      </c>
      <c r="AM430" s="1193">
        <f t="shared" si="97"/>
        <v>0</v>
      </c>
      <c r="AN430" s="1194" t="str">
        <f>VLOOKUP($I430,'Price List, Weapons &amp; Items'!B:L,COLUMN('Price List, Weapons &amp; Items'!$J$11)-1,0)</f>
        <v>.</v>
      </c>
      <c r="AO430" s="1194" t="str">
        <f>IF(I430=".",".",VLOOKUP($I430,'Price List, Weapons &amp; Items'!B:J,3,0))</f>
        <v>.</v>
      </c>
      <c r="AP430" s="1195" t="str">
        <f t="shared" ca="1" si="91"/>
        <v>.</v>
      </c>
      <c r="AQ430" s="1194">
        <f>VLOOKUP($I430,'Price List, Weapons &amp; Items'!B:L,COLUMN('Price List, Weapons &amp; Items'!$L$11)-1,0)</f>
        <v>0</v>
      </c>
      <c r="AR430" s="1194">
        <f t="shared" si="98"/>
        <v>1</v>
      </c>
      <c r="AS430" s="1194">
        <f t="shared" si="99"/>
        <v>1</v>
      </c>
      <c r="AT430" s="1194">
        <f t="shared" si="100"/>
        <v>1</v>
      </c>
      <c r="AU430" s="1194" t="str">
        <f t="shared" si="101"/>
        <v>.</v>
      </c>
      <c r="AV430" s="1194" t="str">
        <f t="shared" si="92"/>
        <v>.</v>
      </c>
      <c r="AW430" s="1194" t="str">
        <f t="shared" si="102"/>
        <v>.</v>
      </c>
      <c r="AX430" s="1194">
        <f>IFERROR(VLOOKUP(B430,'Share, Heavy Weapons to Ukraine'!B:Z,COLUMN('Share, Heavy Weapons to Ukraine'!C440)-1,0),0)</f>
        <v>0</v>
      </c>
      <c r="AY430" s="1194">
        <f>VLOOKUP('Bilateral Assistance, MAIN DATA'!B430,'Country Summary (€)'!B:F,COLUMN('Country Summary (€)'!C441)-1,FALSE)</f>
        <v>1</v>
      </c>
      <c r="AZ430" s="1194" t="str">
        <f>IF(AND(AD430=1,D430="Military",H430&lt;&gt;"Not given")=TRUE,IF(SUMIFS(P:P,A:A,A430)&gt;0,ABS((SUMIFS(P:P,A:A,A430)/VLOOKUP("USD",'Exchange Rates'!B:C,2,0)))/S430,"."),".")</f>
        <v>.</v>
      </c>
      <c r="BA430" s="1196" t="str">
        <f>IF(AND(AD430=1,D430="Military",H430&lt;&gt;"Not given")=TRUE,IF(SUMIFS(P:P,A:A,A430)&gt;0,IF((ABS((SUMIFS(P:P,A:A,A430)/VLOOKUP("USD",'Exchange Rates'!B:C,2,0)))/S430)&gt;1,(SUMIFS(P:P,A:A,A430)-S430)/S430,(S430-SUMIFS(P:P,A:A,A430))/SUMIFS(P:P,A:A,A430)),"."),".")</f>
        <v>.</v>
      </c>
      <c r="BB430" s="1208"/>
      <c r="BC430" s="1208"/>
      <c r="BD430" s="1208"/>
      <c r="BE430" s="1208"/>
      <c r="BF430" s="1208"/>
      <c r="BG430" s="1208"/>
      <c r="BH430" s="1208"/>
      <c r="BI430" s="1208"/>
      <c r="BJ430" s="1208"/>
      <c r="BK430" s="1208"/>
      <c r="BL430" s="1208"/>
      <c r="BM430" s="1208"/>
      <c r="BN430" s="1208"/>
      <c r="BO430" s="1208"/>
      <c r="BP430" s="1208"/>
      <c r="BQ430" s="1208"/>
      <c r="BR430" s="1208"/>
      <c r="BS430" s="1208"/>
    </row>
    <row r="431" spans="1:71" ht="15.95" customHeight="1">
      <c r="A431" s="1208" t="s">
        <v>1507</v>
      </c>
      <c r="B431" s="1208" t="s">
        <v>1432</v>
      </c>
      <c r="C431" s="1209">
        <v>45071</v>
      </c>
      <c r="D431" s="1208" t="s">
        <v>389</v>
      </c>
      <c r="E431" s="1208" t="s">
        <v>390</v>
      </c>
      <c r="F431" s="1208" t="s">
        <v>1508</v>
      </c>
      <c r="G431" s="1184" t="s">
        <v>483</v>
      </c>
      <c r="H431" s="1210">
        <v>109000000</v>
      </c>
      <c r="I431" s="1208" t="s">
        <v>364</v>
      </c>
      <c r="J431" s="1186" t="str">
        <f>VLOOKUP($I431,'Price List, Weapons &amp; Items'!B:C,2,0)</f>
        <v>.</v>
      </c>
      <c r="K431" s="1186" t="str">
        <f>IF(I431=".",I431,VLOOKUP($I431,'Price List, Weapons &amp; Items'!B:D,3,0))</f>
        <v>.</v>
      </c>
      <c r="L431" s="1187">
        <f>VLOOKUP(I431,'Price List, Weapons &amp; Items'!B:E,4,0)</f>
        <v>0</v>
      </c>
      <c r="M431" s="1241" t="s">
        <v>364</v>
      </c>
      <c r="N431" s="1211" t="s">
        <v>364</v>
      </c>
      <c r="O431" s="1188" t="str">
        <f>VLOOKUP($I431,'Price List, Weapons &amp; Items'!B:G,6,0)</f>
        <v>.</v>
      </c>
      <c r="P431" s="1185" t="str">
        <f t="shared" si="93"/>
        <v>.</v>
      </c>
      <c r="Q431" s="1185" t="str">
        <f t="shared" si="94"/>
        <v>.</v>
      </c>
      <c r="R431" s="1185">
        <f t="shared" si="90"/>
        <v>109000000</v>
      </c>
      <c r="S431" s="1185">
        <f>IF(AND(AD431=1,R431&lt;&gt;".")=TRUE,R431/VLOOKUP(G431,'Exchange Rates'!B:C,2,0),IF(R431=".",".",""))</f>
        <v>109000000</v>
      </c>
      <c r="T431" s="1185" t="str">
        <f>IF(AD431=1,IF(AF431="Value is not given at all",".",IF(AF431="Value is given by the source",S431,IF(AF431="Value is calculated with prices",(IF(SUMIFS(Q:Q,A:A,A431)&gt;0,SUMIFS(Q:Q,A:A,A431),"."))/VLOOKUP("USD",'Exchange Rates'!B:C,2,0),"Error with coding"))),"")</f>
        <v>.</v>
      </c>
      <c r="U431" s="1191" t="s">
        <v>365</v>
      </c>
      <c r="V431" s="983" t="s">
        <v>1509</v>
      </c>
      <c r="W431" s="966" t="s">
        <v>1439</v>
      </c>
      <c r="X431" s="1223" t="s">
        <v>364</v>
      </c>
      <c r="Y431" s="1223" t="s">
        <v>364</v>
      </c>
      <c r="Z431" s="1191">
        <v>0</v>
      </c>
      <c r="AA431" s="1191">
        <v>1</v>
      </c>
      <c r="AB431" s="1208" t="s">
        <v>364</v>
      </c>
      <c r="AC431" s="1192" t="str">
        <f>""</f>
        <v/>
      </c>
      <c r="AD431" s="1191">
        <v>1</v>
      </c>
      <c r="AE431" s="1191" t="s">
        <v>368</v>
      </c>
      <c r="AF431" s="1191" t="s">
        <v>369</v>
      </c>
      <c r="AG431" s="1191">
        <v>1</v>
      </c>
      <c r="AH431" s="1191">
        <v>17</v>
      </c>
      <c r="AI431" s="1191">
        <v>0</v>
      </c>
      <c r="AJ431" s="1193">
        <f>VLOOKUP($I431,'Price List, Weapons &amp; Items'!B:F,5,0)</f>
        <v>0</v>
      </c>
      <c r="AK431" s="1193">
        <f t="shared" si="95"/>
        <v>0</v>
      </c>
      <c r="AL431" s="1193">
        <f t="shared" si="96"/>
        <v>0</v>
      </c>
      <c r="AM431" s="1193">
        <f t="shared" si="97"/>
        <v>0</v>
      </c>
      <c r="AN431" s="1194" t="str">
        <f>VLOOKUP($I431,'Price List, Weapons &amp; Items'!B:L,COLUMN('Price List, Weapons &amp; Items'!$J$11)-1,0)</f>
        <v>.</v>
      </c>
      <c r="AO431" s="1194" t="str">
        <f>IF(I431=".",".",VLOOKUP($I431,'Price List, Weapons &amp; Items'!B:J,3,0))</f>
        <v>.</v>
      </c>
      <c r="AP431" s="1195" t="str">
        <f t="shared" ca="1" si="91"/>
        <v>.</v>
      </c>
      <c r="AQ431" s="1194">
        <f>VLOOKUP($I431,'Price List, Weapons &amp; Items'!B:L,COLUMN('Price List, Weapons &amp; Items'!$L$11)-1,0)</f>
        <v>0</v>
      </c>
      <c r="AR431" s="1194">
        <f t="shared" si="98"/>
        <v>1</v>
      </c>
      <c r="AS431" s="1194">
        <f t="shared" si="99"/>
        <v>1</v>
      </c>
      <c r="AT431" s="1194">
        <f t="shared" si="100"/>
        <v>1</v>
      </c>
      <c r="AU431" s="1194" t="str">
        <f t="shared" si="101"/>
        <v>.</v>
      </c>
      <c r="AV431" s="1194" t="str">
        <f t="shared" si="92"/>
        <v>.</v>
      </c>
      <c r="AW431" s="1194" t="str">
        <f t="shared" si="102"/>
        <v>.</v>
      </c>
      <c r="AX431" s="1194">
        <f>IFERROR(VLOOKUP(B431,'Share, Heavy Weapons to Ukraine'!B:Z,COLUMN('Share, Heavy Weapons to Ukraine'!C441)-1,0),0)</f>
        <v>0</v>
      </c>
      <c r="AY431" s="1194">
        <f>VLOOKUP('Bilateral Assistance, MAIN DATA'!B431,'Country Summary (€)'!B:F,COLUMN('Country Summary (€)'!C442)-1,FALSE)</f>
        <v>1</v>
      </c>
      <c r="AZ431" s="1194" t="str">
        <f>IF(AND(AD431=1,D431="Military",H431&lt;&gt;"Not given")=TRUE,IF(SUMIFS(P:P,A:A,A431)&gt;0,ABS((SUMIFS(P:P,A:A,A431)/VLOOKUP("USD",'Exchange Rates'!B:C,2,0)))/S431,"."),".")</f>
        <v>.</v>
      </c>
      <c r="BA431" s="1196" t="str">
        <f>IF(AND(AD431=1,D431="Military",H431&lt;&gt;"Not given")=TRUE,IF(SUMIFS(P:P,A:A,A431)&gt;0,IF((ABS((SUMIFS(P:P,A:A,A431)/VLOOKUP("USD",'Exchange Rates'!B:C,2,0)))/S431)&gt;1,(SUMIFS(P:P,A:A,A431)-S431)/S431,(S431-SUMIFS(P:P,A:A,A431))/SUMIFS(P:P,A:A,A431)),"."),".")</f>
        <v>.</v>
      </c>
      <c r="BB431" s="1208"/>
      <c r="BC431" s="1208"/>
      <c r="BD431" s="1208"/>
      <c r="BE431" s="1208"/>
      <c r="BF431" s="1208"/>
      <c r="BG431" s="1208"/>
      <c r="BH431" s="1208"/>
      <c r="BI431" s="1208"/>
      <c r="BJ431" s="1208"/>
      <c r="BK431" s="1208"/>
      <c r="BL431" s="1208"/>
      <c r="BM431" s="1208"/>
      <c r="BN431" s="1208"/>
      <c r="BO431" s="1208"/>
      <c r="BP431" s="1208"/>
      <c r="BQ431" s="1208"/>
      <c r="BR431" s="1208"/>
      <c r="BS431" s="1208"/>
    </row>
    <row r="432" spans="1:71" ht="15.95" customHeight="1">
      <c r="A432" s="1180" t="s">
        <v>1510</v>
      </c>
      <c r="B432" s="1180" t="s">
        <v>1432</v>
      </c>
      <c r="C432" s="1181">
        <v>44679</v>
      </c>
      <c r="D432" s="1182" t="s">
        <v>544</v>
      </c>
      <c r="E432" s="1182" t="s">
        <v>481</v>
      </c>
      <c r="F432" s="1183" t="s">
        <v>1511</v>
      </c>
      <c r="G432" s="1184" t="s">
        <v>483</v>
      </c>
      <c r="H432" s="1185">
        <v>46500000</v>
      </c>
      <c r="I432" s="1180" t="s">
        <v>364</v>
      </c>
      <c r="J432" s="1186" t="str">
        <f>VLOOKUP($I432,'Price List, Weapons &amp; Items'!B:C,2,0)</f>
        <v>.</v>
      </c>
      <c r="K432" s="1186" t="str">
        <f>IF(I432=".",I432,VLOOKUP($I432,'Price List, Weapons &amp; Items'!B:D,3,0))</f>
        <v>.</v>
      </c>
      <c r="L432" s="1187">
        <f>VLOOKUP(I432,'Price List, Weapons &amp; Items'!B:E,4,0)</f>
        <v>0</v>
      </c>
      <c r="M432" s="1188" t="s">
        <v>364</v>
      </c>
      <c r="N432" s="1188" t="s">
        <v>364</v>
      </c>
      <c r="O432" s="1188" t="str">
        <f>VLOOKUP($I432,'Price List, Weapons &amp; Items'!B:G,6,0)</f>
        <v>.</v>
      </c>
      <c r="P432" s="1185" t="str">
        <f t="shared" si="93"/>
        <v>.</v>
      </c>
      <c r="Q432" s="1185" t="str">
        <f t="shared" si="94"/>
        <v>.</v>
      </c>
      <c r="R432" s="1185">
        <f t="shared" si="90"/>
        <v>46500000</v>
      </c>
      <c r="S432" s="1185">
        <f>IF(AND(AD432=1,R432&lt;&gt;".")=TRUE,R432/VLOOKUP(G432,'Exchange Rates'!B:C,2,0),IF(R432=".",".",""))</f>
        <v>46500000</v>
      </c>
      <c r="T432" s="1185" t="str">
        <f>IF(AD432=1,IF(AF432="Value is not given at all",".",IF(AF432="Value is given by the source",S432,IF(AF432="Value is calculated with prices",(IF(SUMIFS(Q:Q,A:A,A432)&gt;0,SUMIFS(Q:Q,A:A,A432),"."))/VLOOKUP("USD",'Exchange Rates'!B:C,2,0),"Error with coding"))),"")</f>
        <v>.</v>
      </c>
      <c r="U432" s="1184" t="s">
        <v>365</v>
      </c>
      <c r="V432" s="971" t="s">
        <v>1512</v>
      </c>
      <c r="W432" s="971" t="s">
        <v>1513</v>
      </c>
      <c r="X432" s="971" t="s">
        <v>1514</v>
      </c>
      <c r="Y432" s="980" t="s">
        <v>1515</v>
      </c>
      <c r="Z432" s="1184">
        <v>0</v>
      </c>
      <c r="AA432" s="1194">
        <v>0</v>
      </c>
      <c r="AB432" s="1201" t="s">
        <v>364</v>
      </c>
      <c r="AC432" s="1192" t="str">
        <f>""</f>
        <v/>
      </c>
      <c r="AD432" s="1193">
        <v>1</v>
      </c>
      <c r="AE432" s="1193" t="s">
        <v>368</v>
      </c>
      <c r="AF432" s="1193" t="s">
        <v>369</v>
      </c>
      <c r="AG432" s="1193">
        <v>1</v>
      </c>
      <c r="AH432" s="1193">
        <v>4</v>
      </c>
      <c r="AI432" s="1193">
        <v>0</v>
      </c>
      <c r="AJ432" s="1193">
        <f>VLOOKUP($I432,'Price List, Weapons &amp; Items'!B:F,5,0)</f>
        <v>0</v>
      </c>
      <c r="AK432" s="1193">
        <f t="shared" si="95"/>
        <v>0</v>
      </c>
      <c r="AL432" s="1193">
        <f t="shared" si="96"/>
        <v>0</v>
      </c>
      <c r="AM432" s="1193">
        <f t="shared" si="97"/>
        <v>0</v>
      </c>
      <c r="AN432" s="1194" t="str">
        <f>VLOOKUP($I432,'Price List, Weapons &amp; Items'!B:L,COLUMN('Price List, Weapons &amp; Items'!$J$11)-1,0)</f>
        <v>.</v>
      </c>
      <c r="AO432" s="1194" t="str">
        <f>IF(I432=".",".",VLOOKUP($I432,'Price List, Weapons &amp; Items'!B:J,3,0))</f>
        <v>.</v>
      </c>
      <c r="AP432" s="1195" t="str">
        <f t="shared" ca="1" si="91"/>
        <v>.</v>
      </c>
      <c r="AQ432" s="1194">
        <f>VLOOKUP($I432,'Price List, Weapons &amp; Items'!B:L,COLUMN('Price List, Weapons &amp; Items'!$L$11)-1,0)</f>
        <v>0</v>
      </c>
      <c r="AR432" s="1194">
        <f t="shared" si="98"/>
        <v>1</v>
      </c>
      <c r="AS432" s="1194">
        <f t="shared" si="99"/>
        <v>0</v>
      </c>
      <c r="AT432" s="1194">
        <f t="shared" si="100"/>
        <v>1</v>
      </c>
      <c r="AU432" s="1194" t="str">
        <f t="shared" si="101"/>
        <v>.</v>
      </c>
      <c r="AV432" s="1194" t="str">
        <f t="shared" si="92"/>
        <v>.</v>
      </c>
      <c r="AW432" s="1194" t="str">
        <f t="shared" si="102"/>
        <v>.</v>
      </c>
      <c r="AX432" s="1194">
        <f>IFERROR(VLOOKUP(B432,'Share, Heavy Weapons to Ukraine'!B:Z,COLUMN('Share, Heavy Weapons to Ukraine'!C442)-1,0),0)</f>
        <v>0</v>
      </c>
      <c r="AY432" s="1194">
        <f>VLOOKUP('Bilateral Assistance, MAIN DATA'!B432,'Country Summary (€)'!B:F,COLUMN('Country Summary (€)'!C443)-1,FALSE)</f>
        <v>1</v>
      </c>
      <c r="AZ432" s="1194" t="str">
        <f>IF(AND(AD432=1,D432="Military",H432&lt;&gt;"Not given")=TRUE,IF(SUMIFS(P:P,A:A,A432)&gt;0,ABS((SUMIFS(P:P,A:A,A432)/VLOOKUP("USD",'Exchange Rates'!B:C,2,0)))/S432,"."),".")</f>
        <v>.</v>
      </c>
      <c r="BA432" s="1196" t="str">
        <f>IF(AND(AD432=1,D432="Military",H432&lt;&gt;"Not given")=TRUE,IF(SUMIFS(P:P,A:A,A432)&gt;0,IF((ABS((SUMIFS(P:P,A:A,A432)/VLOOKUP("USD",'Exchange Rates'!B:C,2,0)))/S432)&gt;1,(SUMIFS(P:P,A:A,A432)-S432)/S432,(S432-SUMIFS(P:P,A:A,A432))/SUMIFS(P:P,A:A,A432)),"."),".")</f>
        <v>.</v>
      </c>
    </row>
    <row r="433" spans="1:53" ht="15.95" customHeight="1">
      <c r="A433" s="1180" t="s">
        <v>1516</v>
      </c>
      <c r="B433" s="1180" t="s">
        <v>1432</v>
      </c>
      <c r="C433" s="1181">
        <v>44806</v>
      </c>
      <c r="D433" s="1182" t="s">
        <v>544</v>
      </c>
      <c r="E433" s="1182" t="s">
        <v>481</v>
      </c>
      <c r="F433" s="1183" t="s">
        <v>1517</v>
      </c>
      <c r="G433" s="1184" t="s">
        <v>483</v>
      </c>
      <c r="H433" s="1185">
        <v>15000000</v>
      </c>
      <c r="I433" s="1180" t="s">
        <v>364</v>
      </c>
      <c r="J433" s="1186" t="str">
        <f>VLOOKUP($I433,'Price List, Weapons &amp; Items'!B:C,2,0)</f>
        <v>.</v>
      </c>
      <c r="K433" s="1186" t="str">
        <f>IF(I433=".",I433,VLOOKUP($I433,'Price List, Weapons &amp; Items'!B:D,3,0))</f>
        <v>.</v>
      </c>
      <c r="L433" s="1187">
        <f>VLOOKUP(I433,'Price List, Weapons &amp; Items'!B:E,4,0)</f>
        <v>0</v>
      </c>
      <c r="M433" s="1188" t="s">
        <v>364</v>
      </c>
      <c r="N433" s="1188" t="s">
        <v>364</v>
      </c>
      <c r="O433" s="1188" t="str">
        <f>VLOOKUP($I433,'Price List, Weapons &amp; Items'!B:G,6,0)</f>
        <v>.</v>
      </c>
      <c r="P433" s="1185" t="str">
        <f t="shared" si="93"/>
        <v>.</v>
      </c>
      <c r="Q433" s="1185" t="str">
        <f t="shared" si="94"/>
        <v>.</v>
      </c>
      <c r="R433" s="1185">
        <f t="shared" si="90"/>
        <v>15000000</v>
      </c>
      <c r="S433" s="1185">
        <f>IF(AND(AD433=1,R433&lt;&gt;".")=TRUE,R433/VLOOKUP(G433,'Exchange Rates'!B:C,2,0),IF(R433=".",".",""))</f>
        <v>15000000</v>
      </c>
      <c r="T433" s="1185" t="str">
        <f>IF(AD433=1,IF(AF433="Value is not given at all",".",IF(AF433="Value is given by the source",S433,IF(AF433="Value is calculated with prices",(IF(SUMIFS(Q:Q,A:A,A433)&gt;0,SUMIFS(Q:Q,A:A,A433),"."))/VLOOKUP("USD",'Exchange Rates'!B:C,2,0),"Error with coding"))),"")</f>
        <v>.</v>
      </c>
      <c r="U433" s="1184" t="s">
        <v>365</v>
      </c>
      <c r="V433" s="973" t="s">
        <v>1518</v>
      </c>
      <c r="W433" s="986" t="s">
        <v>364</v>
      </c>
      <c r="X433" s="986" t="s">
        <v>364</v>
      </c>
      <c r="Y433" s="1190" t="s">
        <v>364</v>
      </c>
      <c r="Z433" s="1184">
        <v>0</v>
      </c>
      <c r="AA433" s="1194">
        <v>0</v>
      </c>
      <c r="AB433" s="1201" t="s">
        <v>364</v>
      </c>
      <c r="AC433" s="1192" t="str">
        <f>""</f>
        <v/>
      </c>
      <c r="AD433" s="1193">
        <v>1</v>
      </c>
      <c r="AE433" s="1193" t="s">
        <v>368</v>
      </c>
      <c r="AF433" s="1193" t="s">
        <v>369</v>
      </c>
      <c r="AG433" s="1193">
        <v>1</v>
      </c>
      <c r="AH433" s="1193">
        <v>9</v>
      </c>
      <c r="AI433" s="1193">
        <v>0</v>
      </c>
      <c r="AJ433" s="1193">
        <f>VLOOKUP($I433,'Price List, Weapons &amp; Items'!B:F,5,0)</f>
        <v>0</v>
      </c>
      <c r="AK433" s="1193">
        <f t="shared" si="95"/>
        <v>0</v>
      </c>
      <c r="AL433" s="1193">
        <f t="shared" si="96"/>
        <v>0</v>
      </c>
      <c r="AM433" s="1193">
        <f t="shared" si="97"/>
        <v>0</v>
      </c>
      <c r="AN433" s="1194" t="str">
        <f>VLOOKUP($I433,'Price List, Weapons &amp; Items'!B:L,COLUMN('Price List, Weapons &amp; Items'!$J$11)-1,0)</f>
        <v>.</v>
      </c>
      <c r="AO433" s="1194" t="str">
        <f>IF(I433=".",".",VLOOKUP($I433,'Price List, Weapons &amp; Items'!B:J,3,0))</f>
        <v>.</v>
      </c>
      <c r="AP433" s="1195" t="str">
        <f t="shared" ca="1" si="91"/>
        <v>.</v>
      </c>
      <c r="AQ433" s="1194">
        <f>VLOOKUP($I433,'Price List, Weapons &amp; Items'!B:L,COLUMN('Price List, Weapons &amp; Items'!$L$11)-1,0)</f>
        <v>0</v>
      </c>
      <c r="AR433" s="1194">
        <f t="shared" si="98"/>
        <v>1</v>
      </c>
      <c r="AS433" s="1194">
        <f t="shared" si="99"/>
        <v>0</v>
      </c>
      <c r="AT433" s="1194">
        <f t="shared" si="100"/>
        <v>1</v>
      </c>
      <c r="AU433" s="1194" t="str">
        <f t="shared" si="101"/>
        <v>.</v>
      </c>
      <c r="AV433" s="1194" t="str">
        <f t="shared" si="92"/>
        <v>.</v>
      </c>
      <c r="AW433" s="1194" t="str">
        <f t="shared" si="102"/>
        <v>.</v>
      </c>
      <c r="AX433" s="1194">
        <f>IFERROR(VLOOKUP(B433,'Share, Heavy Weapons to Ukraine'!B:Z,COLUMN('Share, Heavy Weapons to Ukraine'!C443)-1,0),0)</f>
        <v>0</v>
      </c>
      <c r="AY433" s="1194">
        <f>VLOOKUP('Bilateral Assistance, MAIN DATA'!B433,'Country Summary (€)'!B:F,COLUMN('Country Summary (€)'!C444)-1,FALSE)</f>
        <v>1</v>
      </c>
      <c r="AZ433" s="1194" t="str">
        <f>IF(AND(AD433=1,D433="Military",H433&lt;&gt;"Not given")=TRUE,IF(SUMIFS(P:P,A:A,A433)&gt;0,ABS((SUMIFS(P:P,A:A,A433)/VLOOKUP("USD",'Exchange Rates'!B:C,2,0)))/S433,"."),".")</f>
        <v>.</v>
      </c>
      <c r="BA433" s="1196" t="str">
        <f>IF(AND(AD433=1,D433="Military",H433&lt;&gt;"Not given")=TRUE,IF(SUMIFS(P:P,A:A,A433)&gt;0,IF((ABS((SUMIFS(P:P,A:A,A433)/VLOOKUP("USD",'Exchange Rates'!B:C,2,0)))/S433)&gt;1,(SUMIFS(P:P,A:A,A433)-S433)/S433,(S433-SUMIFS(P:P,A:A,A433))/SUMIFS(P:P,A:A,A433)),"."),".")</f>
        <v>.</v>
      </c>
    </row>
    <row r="434" spans="1:53" ht="15.95" customHeight="1">
      <c r="A434" s="1180" t="s">
        <v>1519</v>
      </c>
      <c r="B434" s="1180" t="s">
        <v>1432</v>
      </c>
      <c r="C434" s="1181">
        <v>44995</v>
      </c>
      <c r="D434" s="1182" t="s">
        <v>544</v>
      </c>
      <c r="E434" s="1182" t="s">
        <v>481</v>
      </c>
      <c r="F434" s="1183" t="s">
        <v>1520</v>
      </c>
      <c r="G434" s="1184" t="s">
        <v>483</v>
      </c>
      <c r="H434" s="1185">
        <v>14000000</v>
      </c>
      <c r="I434" s="1180" t="s">
        <v>364</v>
      </c>
      <c r="J434" s="1186" t="str">
        <f>VLOOKUP($I434,'Price List, Weapons &amp; Items'!B:C,2,0)</f>
        <v>.</v>
      </c>
      <c r="K434" s="1186" t="str">
        <f>IF(I434=".",I434,VLOOKUP($I434,'Price List, Weapons &amp; Items'!B:D,3,0))</f>
        <v>.</v>
      </c>
      <c r="L434" s="1187">
        <f>VLOOKUP(I434,'Price List, Weapons &amp; Items'!B:E,4,0)</f>
        <v>0</v>
      </c>
      <c r="M434" s="1188" t="s">
        <v>364</v>
      </c>
      <c r="N434" s="1188" t="s">
        <v>364</v>
      </c>
      <c r="O434" s="1188" t="str">
        <f>VLOOKUP($I434,'Price List, Weapons &amp; Items'!B:G,6,0)</f>
        <v>.</v>
      </c>
      <c r="P434" s="1185" t="str">
        <f t="shared" si="93"/>
        <v>.</v>
      </c>
      <c r="Q434" s="1185" t="str">
        <f t="shared" si="94"/>
        <v>.</v>
      </c>
      <c r="R434" s="1185">
        <f t="shared" si="90"/>
        <v>14000000</v>
      </c>
      <c r="S434" s="1185">
        <f>IF(AND(AD434=1,R434&lt;&gt;".")=TRUE,R434/VLOOKUP(G434,'Exchange Rates'!B:C,2,0),IF(R434=".",".",""))</f>
        <v>14000000</v>
      </c>
      <c r="T434" s="1185" t="str">
        <f>IF(AD434=1,IF(AF434="Value is not given at all",".",IF(AF434="Value is given by the source",S434,IF(AF434="Value is calculated with prices",(IF(SUMIFS(Q:Q,A:A,A434)&gt;0,SUMIFS(Q:Q,A:A,A434),"."))/VLOOKUP("USD",'Exchange Rates'!B:C,2,0),"Error with coding"))),"")</f>
        <v>.</v>
      </c>
      <c r="U434" s="1184" t="s">
        <v>365</v>
      </c>
      <c r="V434" s="973" t="s">
        <v>1521</v>
      </c>
      <c r="W434" s="986" t="s">
        <v>364</v>
      </c>
      <c r="X434" s="986" t="s">
        <v>364</v>
      </c>
      <c r="Y434" s="1190" t="s">
        <v>364</v>
      </c>
      <c r="Z434" s="1184">
        <v>0</v>
      </c>
      <c r="AA434" s="1194">
        <v>0</v>
      </c>
      <c r="AB434" s="1201" t="s">
        <v>364</v>
      </c>
      <c r="AC434" s="1192" t="str">
        <f>""</f>
        <v/>
      </c>
      <c r="AD434" s="1193">
        <v>1</v>
      </c>
      <c r="AE434" s="1193" t="s">
        <v>368</v>
      </c>
      <c r="AF434" s="1193" t="s">
        <v>369</v>
      </c>
      <c r="AG434" s="1193">
        <v>1</v>
      </c>
      <c r="AH434" s="1193">
        <v>15</v>
      </c>
      <c r="AI434" s="1193">
        <v>0</v>
      </c>
      <c r="AJ434" s="1193">
        <f>VLOOKUP($I434,'Price List, Weapons &amp; Items'!B:F,5,0)</f>
        <v>0</v>
      </c>
      <c r="AK434" s="1193">
        <f t="shared" si="95"/>
        <v>0</v>
      </c>
      <c r="AL434" s="1193">
        <f t="shared" si="96"/>
        <v>0</v>
      </c>
      <c r="AM434" s="1193">
        <f t="shared" si="97"/>
        <v>0</v>
      </c>
      <c r="AN434" s="1194" t="str">
        <f>VLOOKUP($I434,'Price List, Weapons &amp; Items'!B:L,COLUMN('Price List, Weapons &amp; Items'!$J$11)-1,0)</f>
        <v>.</v>
      </c>
      <c r="AO434" s="1194" t="str">
        <f>IF(I434=".",".",VLOOKUP($I434,'Price List, Weapons &amp; Items'!B:J,3,0))</f>
        <v>.</v>
      </c>
      <c r="AP434" s="1195" t="str">
        <f t="shared" ca="1" si="91"/>
        <v>.</v>
      </c>
      <c r="AQ434" s="1194">
        <f>VLOOKUP($I434,'Price List, Weapons &amp; Items'!B:L,COLUMN('Price List, Weapons &amp; Items'!$L$11)-1,0)</f>
        <v>0</v>
      </c>
      <c r="AR434" s="1194">
        <f t="shared" si="98"/>
        <v>1</v>
      </c>
      <c r="AS434" s="1194">
        <f t="shared" si="99"/>
        <v>0</v>
      </c>
      <c r="AT434" s="1194">
        <f t="shared" si="100"/>
        <v>1</v>
      </c>
      <c r="AU434" s="1194" t="str">
        <f t="shared" si="101"/>
        <v>.</v>
      </c>
      <c r="AV434" s="1194" t="str">
        <f t="shared" si="92"/>
        <v>.</v>
      </c>
      <c r="AW434" s="1194" t="str">
        <f t="shared" si="102"/>
        <v>.</v>
      </c>
      <c r="AX434" s="1194">
        <f>IFERROR(VLOOKUP(B434,'Share, Heavy Weapons to Ukraine'!B:Z,COLUMN('Share, Heavy Weapons to Ukraine'!C444)-1,0),0)</f>
        <v>0</v>
      </c>
      <c r="AY434" s="1194">
        <f>VLOOKUP('Bilateral Assistance, MAIN DATA'!B434,'Country Summary (€)'!B:F,COLUMN('Country Summary (€)'!C445)-1,FALSE)</f>
        <v>1</v>
      </c>
      <c r="AZ434" s="1194" t="str">
        <f>IF(AND(AD434=1,D434="Military",H434&lt;&gt;"Not given")=TRUE,IF(SUMIFS(P:P,A:A,A434)&gt;0,ABS((SUMIFS(P:P,A:A,A434)/VLOOKUP("USD",'Exchange Rates'!B:C,2,0)))/S434,"."),".")</f>
        <v>.</v>
      </c>
      <c r="BA434" s="1196" t="str">
        <f>IF(AND(AD434=1,D434="Military",H434&lt;&gt;"Not given")=TRUE,IF(SUMIFS(P:P,A:A,A434)&gt;0,IF((ABS((SUMIFS(P:P,A:A,A434)/VLOOKUP("USD",'Exchange Rates'!B:C,2,0)))/S434)&gt;1,(SUMIFS(P:P,A:A,A434)-S434)/S434,(S434-SUMIFS(P:P,A:A,A434))/SUMIFS(P:P,A:A,A434)),"."),".")</f>
        <v>.</v>
      </c>
    </row>
    <row r="435" spans="1:53" ht="15.95" customHeight="1">
      <c r="A435" s="1182" t="s">
        <v>1522</v>
      </c>
      <c r="B435" s="1182" t="s">
        <v>1523</v>
      </c>
      <c r="C435" s="1181">
        <v>44621</v>
      </c>
      <c r="D435" s="1182" t="s">
        <v>360</v>
      </c>
      <c r="E435" s="1182" t="s">
        <v>759</v>
      </c>
      <c r="F435" s="1183" t="s">
        <v>1524</v>
      </c>
      <c r="G435" s="1184" t="s">
        <v>483</v>
      </c>
      <c r="H435" s="1185">
        <v>100000000</v>
      </c>
      <c r="I435" s="1180" t="s">
        <v>1525</v>
      </c>
      <c r="J435" s="1186" t="str">
        <f>VLOOKUP($I435,'Price List, Weapons &amp; Items'!B:C,2,0)</f>
        <v>Humanitarian</v>
      </c>
      <c r="K435" s="1186" t="str">
        <f>IF(I435=".",I435,VLOOKUP($I435,'Price List, Weapons &amp; Items'!B:D,3,0))</f>
        <v>Humanitarian</v>
      </c>
      <c r="L435" s="1187">
        <f>VLOOKUP(I435,'Price List, Weapons &amp; Items'!B:E,4,0)</f>
        <v>0</v>
      </c>
      <c r="M435" s="1188">
        <v>500</v>
      </c>
      <c r="N435" s="1188" t="s">
        <v>374</v>
      </c>
      <c r="O435" s="1188">
        <f>VLOOKUP($I435,'Price List, Weapons &amp; Items'!B:G,6,0)</f>
        <v>200</v>
      </c>
      <c r="P435" s="1185">
        <f t="shared" si="93"/>
        <v>100000</v>
      </c>
      <c r="Q435" s="1185" t="str">
        <f t="shared" si="94"/>
        <v>.</v>
      </c>
      <c r="R435" s="1185">
        <f t="shared" si="90"/>
        <v>100000000</v>
      </c>
      <c r="S435" s="1185">
        <f>IF(AND(AD435=1,R435&lt;&gt;".")=TRUE,R435/VLOOKUP(G435,'Exchange Rates'!B:C,2,0),IF(R435=".",".",""))</f>
        <v>100000000</v>
      </c>
      <c r="T435" s="1185" t="str">
        <f>IF(AD435=1,IF(AF435="Value is not given at all",".",IF(AF435="Value is given by the source",S435,IF(AF435="Value is calculated with prices",(IF(SUMIFS(Q:Q,A:A,A435)&gt;0,SUMIFS(Q:Q,A:A,A435),"."))/VLOOKUP("USD",'Exchange Rates'!B:C,2,0),"Error with coding"))),"")</f>
        <v>.</v>
      </c>
      <c r="U435" s="1184" t="s">
        <v>365</v>
      </c>
      <c r="V435" s="974" t="s">
        <v>1526</v>
      </c>
      <c r="W435" s="974" t="s">
        <v>1527</v>
      </c>
      <c r="X435" s="974" t="s">
        <v>1528</v>
      </c>
      <c r="Y435" s="1183" t="s">
        <v>364</v>
      </c>
      <c r="Z435" s="1184">
        <v>0</v>
      </c>
      <c r="AA435" s="1194">
        <v>0</v>
      </c>
      <c r="AB435" s="1201" t="s">
        <v>364</v>
      </c>
      <c r="AC435" s="1192" t="str">
        <f>""</f>
        <v/>
      </c>
      <c r="AD435" s="1193">
        <v>1</v>
      </c>
      <c r="AE435" s="1193" t="s">
        <v>368</v>
      </c>
      <c r="AF435" s="1193" t="s">
        <v>369</v>
      </c>
      <c r="AG435" s="1193">
        <v>1</v>
      </c>
      <c r="AH435" s="1193">
        <v>3</v>
      </c>
      <c r="AI435" s="1193">
        <v>0</v>
      </c>
      <c r="AJ435" s="1193">
        <f>VLOOKUP($I435,'Price List, Weapons &amp; Items'!B:F,5,0)</f>
        <v>0</v>
      </c>
      <c r="AK435" s="1193">
        <f t="shared" si="95"/>
        <v>0</v>
      </c>
      <c r="AL435" s="1193">
        <f t="shared" si="96"/>
        <v>0</v>
      </c>
      <c r="AM435" s="1193">
        <f t="shared" si="97"/>
        <v>0</v>
      </c>
      <c r="AN435" s="1194" t="str">
        <f>VLOOKUP($I435,'Price List, Weapons &amp; Items'!B:L,COLUMN('Price List, Weapons &amp; Items'!$J$11)-1,0)</f>
        <v>Media reports (incl. social media)</v>
      </c>
      <c r="AO435" s="1194" t="str">
        <f>IF(I435=".",".",VLOOKUP($I435,'Price List, Weapons &amp; Items'!B:J,3,0))</f>
        <v>Humanitarian</v>
      </c>
      <c r="AP435" s="1195" t="str">
        <f t="shared" ca="1" si="91"/>
        <v>family tent</v>
      </c>
      <c r="AQ435" s="1194">
        <f>VLOOKUP($I435,'Price List, Weapons &amp; Items'!B:L,COLUMN('Price List, Weapons &amp; Items'!$L$11)-1,0)</f>
        <v>0</v>
      </c>
      <c r="AR435" s="1194">
        <f t="shared" si="98"/>
        <v>1</v>
      </c>
      <c r="AS435" s="1194">
        <f t="shared" si="99"/>
        <v>0</v>
      </c>
      <c r="AT435" s="1194">
        <f t="shared" si="100"/>
        <v>1</v>
      </c>
      <c r="AU435" s="1194" t="str">
        <f t="shared" si="101"/>
        <v>.</v>
      </c>
      <c r="AV435" s="1194" t="str">
        <f t="shared" si="92"/>
        <v>.</v>
      </c>
      <c r="AW435" s="1194" t="str">
        <f t="shared" si="102"/>
        <v>.</v>
      </c>
      <c r="AX435" s="1194">
        <f>IFERROR(VLOOKUP(B435,'Share, Heavy Weapons to Ukraine'!B:Z,COLUMN('Share, Heavy Weapons to Ukraine'!C445)-1,0),0)</f>
        <v>0</v>
      </c>
      <c r="AY435" s="1194">
        <f>VLOOKUP('Bilateral Assistance, MAIN DATA'!B435,'Country Summary (€)'!B:F,COLUMN('Country Summary (€)'!C446)-1,FALSE)</f>
        <v>1</v>
      </c>
      <c r="AZ435" s="1194" t="str">
        <f>IF(AND(AD435=1,D435="Military",H435&lt;&gt;"Not given")=TRUE,IF(SUMIFS(P:P,A:A,A435)&gt;0,ABS((SUMIFS(P:P,A:A,A435)/VLOOKUP("USD",'Exchange Rates'!B:C,2,0)))/S435,"."),".")</f>
        <v>.</v>
      </c>
      <c r="BA435" s="1196" t="str">
        <f>IF(AND(AD435=1,D435="Military",H435&lt;&gt;"Not given")=TRUE,IF(SUMIFS(P:P,A:A,A435)&gt;0,IF((ABS((SUMIFS(P:P,A:A,A435)/VLOOKUP("USD",'Exchange Rates'!B:C,2,0)))/S435)&gt;1,(SUMIFS(P:P,A:A,A435)-S435)/S435,(S435-SUMIFS(P:P,A:A,A435))/SUMIFS(P:P,A:A,A435)),"."),".")</f>
        <v>.</v>
      </c>
    </row>
    <row r="436" spans="1:53" ht="15.95" customHeight="1">
      <c r="A436" s="1182" t="s">
        <v>1522</v>
      </c>
      <c r="B436" s="1182" t="s">
        <v>1523</v>
      </c>
      <c r="C436" s="1181">
        <v>44621</v>
      </c>
      <c r="D436" s="1182" t="s">
        <v>360</v>
      </c>
      <c r="E436" s="1182" t="s">
        <v>759</v>
      </c>
      <c r="F436" s="1183" t="s">
        <v>1524</v>
      </c>
      <c r="G436" s="1184" t="s">
        <v>483</v>
      </c>
      <c r="H436" s="1185">
        <v>100000000</v>
      </c>
      <c r="I436" s="1180" t="s">
        <v>1529</v>
      </c>
      <c r="J436" s="1186" t="str">
        <f>VLOOKUP($I436,'Price List, Weapons &amp; Items'!B:C,2,0)</f>
        <v>Humanitarian</v>
      </c>
      <c r="K436" s="1186" t="str">
        <f>IF(I436=".",I436,VLOOKUP($I436,'Price List, Weapons &amp; Items'!B:D,3,0))</f>
        <v>Humanitarian</v>
      </c>
      <c r="L436" s="1187">
        <f>VLOOKUP(I436,'Price List, Weapons &amp; Items'!B:E,4,0)</f>
        <v>0</v>
      </c>
      <c r="M436" s="1188">
        <v>2300</v>
      </c>
      <c r="N436" s="1188" t="s">
        <v>374</v>
      </c>
      <c r="O436" s="1188">
        <f>VLOOKUP($I436,'Price List, Weapons &amp; Items'!B:G,6,0)</f>
        <v>43</v>
      </c>
      <c r="P436" s="1185">
        <f t="shared" si="93"/>
        <v>98900</v>
      </c>
      <c r="Q436" s="1185" t="str">
        <f t="shared" si="94"/>
        <v>.</v>
      </c>
      <c r="R436" s="1185" t="str">
        <f t="shared" si="90"/>
        <v/>
      </c>
      <c r="S436" s="1185" t="str">
        <f>IF(AND(AD436=1,R436&lt;&gt;".")=TRUE,R436/VLOOKUP(G436,'Exchange Rates'!B:C,2,0),IF(R436=".",".",""))</f>
        <v/>
      </c>
      <c r="T436" s="1185" t="str">
        <f>IF(AD436=1,IF(AF436="Value is not given at all",".",IF(AF436="Value is given by the source",S436,IF(AF436="Value is calculated with prices",(IF(SUMIFS(Q:Q,A:A,A436)&gt;0,SUMIFS(Q:Q,A:A,A436),"."))/VLOOKUP("USD",'Exchange Rates'!B:C,2,0),"Error with coding"))),"")</f>
        <v/>
      </c>
      <c r="U436" s="1184" t="s">
        <v>365</v>
      </c>
      <c r="V436" s="974" t="s">
        <v>1526</v>
      </c>
      <c r="W436" s="974" t="s">
        <v>1527</v>
      </c>
      <c r="X436" s="974" t="s">
        <v>1528</v>
      </c>
      <c r="Y436" s="1183" t="s">
        <v>364</v>
      </c>
      <c r="Z436" s="1184">
        <v>0</v>
      </c>
      <c r="AA436" s="1194">
        <v>0</v>
      </c>
      <c r="AB436" s="1201" t="s">
        <v>364</v>
      </c>
      <c r="AC436" s="1192" t="str">
        <f>""</f>
        <v/>
      </c>
      <c r="AD436" s="1193">
        <v>0</v>
      </c>
      <c r="AE436" s="1193" t="s">
        <v>368</v>
      </c>
      <c r="AF436" s="1193" t="s">
        <v>369</v>
      </c>
      <c r="AG436" s="1193">
        <v>1</v>
      </c>
      <c r="AH436" s="1193">
        <v>3</v>
      </c>
      <c r="AI436" s="1193">
        <v>0</v>
      </c>
      <c r="AJ436" s="1193">
        <f>VLOOKUP($I436,'Price List, Weapons &amp; Items'!B:F,5,0)</f>
        <v>0</v>
      </c>
      <c r="AK436" s="1193">
        <f t="shared" si="95"/>
        <v>0</v>
      </c>
      <c r="AL436" s="1193">
        <f t="shared" si="96"/>
        <v>0</v>
      </c>
      <c r="AM436" s="1193">
        <f t="shared" si="97"/>
        <v>0</v>
      </c>
      <c r="AN436" s="1194" t="str">
        <f>VLOOKUP($I436,'Price List, Weapons &amp; Items'!B:L,COLUMN('Price List, Weapons &amp; Items'!$J$11)-1,0)</f>
        <v>Media reports (incl. social media)</v>
      </c>
      <c r="AO436" s="1194" t="str">
        <f>IF(I436=".",".",VLOOKUP($I436,'Price List, Weapons &amp; Items'!B:J,3,0))</f>
        <v>Humanitarian</v>
      </c>
      <c r="AP436" s="1195" t="str">
        <f t="shared" ca="1" si="91"/>
        <v/>
      </c>
      <c r="AQ436" s="1194">
        <f>VLOOKUP($I436,'Price List, Weapons &amp; Items'!B:L,COLUMN('Price List, Weapons &amp; Items'!$L$11)-1,0)</f>
        <v>0</v>
      </c>
      <c r="AR436" s="1194">
        <f t="shared" si="98"/>
        <v>1</v>
      </c>
      <c r="AS436" s="1194">
        <f t="shared" si="99"/>
        <v>0</v>
      </c>
      <c r="AT436" s="1194">
        <f t="shared" si="100"/>
        <v>1</v>
      </c>
      <c r="AU436" s="1194" t="str">
        <f t="shared" si="101"/>
        <v>.</v>
      </c>
      <c r="AV436" s="1194" t="str">
        <f t="shared" si="92"/>
        <v>.</v>
      </c>
      <c r="AW436" s="1194" t="str">
        <f t="shared" si="102"/>
        <v>.</v>
      </c>
      <c r="AX436" s="1194">
        <f>IFERROR(VLOOKUP(B436,'Share, Heavy Weapons to Ukraine'!B:Z,COLUMN('Share, Heavy Weapons to Ukraine'!C446)-1,0),0)</f>
        <v>0</v>
      </c>
      <c r="AY436" s="1194">
        <f>VLOOKUP('Bilateral Assistance, MAIN DATA'!B436,'Country Summary (€)'!B:F,COLUMN('Country Summary (€)'!C447)-1,FALSE)</f>
        <v>1</v>
      </c>
      <c r="AZ436" s="1194" t="str">
        <f>IF(AND(AD436=1,D436="Military",H436&lt;&gt;"Not given")=TRUE,IF(SUMIFS(P:P,A:A,A436)&gt;0,ABS((SUMIFS(P:P,A:A,A436)/VLOOKUP("USD",'Exchange Rates'!B:C,2,0)))/S436,"."),".")</f>
        <v>.</v>
      </c>
      <c r="BA436" s="1196" t="str">
        <f>IF(AND(AD436=1,D436="Military",H436&lt;&gt;"Not given")=TRUE,IF(SUMIFS(P:P,A:A,A436)&gt;0,IF((ABS((SUMIFS(P:P,A:A,A436)/VLOOKUP("USD",'Exchange Rates'!B:C,2,0)))/S436)&gt;1,(SUMIFS(P:P,A:A,A436)-S436)/S436,(S436-SUMIFS(P:P,A:A,A436))/SUMIFS(P:P,A:A,A436)),"."),".")</f>
        <v>.</v>
      </c>
    </row>
    <row r="437" spans="1:53" ht="15.95" customHeight="1">
      <c r="A437" s="1182" t="s">
        <v>1522</v>
      </c>
      <c r="B437" s="1182" t="s">
        <v>1523</v>
      </c>
      <c r="C437" s="1181">
        <v>44621</v>
      </c>
      <c r="D437" s="1182" t="s">
        <v>360</v>
      </c>
      <c r="E437" s="1182" t="s">
        <v>759</v>
      </c>
      <c r="F437" s="1183" t="s">
        <v>1524</v>
      </c>
      <c r="G437" s="1184" t="s">
        <v>483</v>
      </c>
      <c r="H437" s="1185">
        <v>100000000</v>
      </c>
      <c r="I437" s="1180" t="s">
        <v>1243</v>
      </c>
      <c r="J437" s="1186" t="str">
        <f>VLOOKUP($I437,'Price List, Weapons &amp; Items'!B:C,2,0)</f>
        <v>Military equipment</v>
      </c>
      <c r="K437" s="1186" t="str">
        <f>IF(I437=".",I437,VLOOKUP($I437,'Price List, Weapons &amp; Items'!B:D,3,0))</f>
        <v>Military equipment</v>
      </c>
      <c r="L437" s="1187">
        <f>VLOOKUP(I437,'Price List, Weapons &amp; Items'!B:E,4,0)</f>
        <v>0</v>
      </c>
      <c r="M437" s="1188">
        <v>1000</v>
      </c>
      <c r="N437" s="1188" t="s">
        <v>374</v>
      </c>
      <c r="O437" s="1188">
        <f>VLOOKUP($I437,'Price List, Weapons &amp; Items'!B:G,6,0)</f>
        <v>2.5</v>
      </c>
      <c r="P437" s="1185">
        <f t="shared" si="93"/>
        <v>2500</v>
      </c>
      <c r="Q437" s="1185" t="str">
        <f t="shared" si="94"/>
        <v>.</v>
      </c>
      <c r="R437" s="1185" t="str">
        <f t="shared" si="90"/>
        <v/>
      </c>
      <c r="S437" s="1185" t="str">
        <f>IF(AND(AD437=1,R437&lt;&gt;".")=TRUE,R437/VLOOKUP(G437,'Exchange Rates'!B:C,2,0),IF(R437=".",".",""))</f>
        <v/>
      </c>
      <c r="T437" s="1185" t="str">
        <f>IF(AD437=1,IF(AF437="Value is not given at all",".",IF(AF437="Value is given by the source",S437,IF(AF437="Value is calculated with prices",(IF(SUMIFS(Q:Q,A:A,A437)&gt;0,SUMIFS(Q:Q,A:A,A437),"."))/VLOOKUP("USD",'Exchange Rates'!B:C,2,0),"Error with coding"))),"")</f>
        <v/>
      </c>
      <c r="U437" s="1184" t="s">
        <v>365</v>
      </c>
      <c r="V437" s="974" t="s">
        <v>1526</v>
      </c>
      <c r="W437" s="974" t="s">
        <v>1527</v>
      </c>
      <c r="X437" s="974" t="s">
        <v>1528</v>
      </c>
      <c r="Y437" s="1183" t="s">
        <v>364</v>
      </c>
      <c r="Z437" s="1184">
        <v>0</v>
      </c>
      <c r="AA437" s="1194">
        <v>0</v>
      </c>
      <c r="AB437" s="1201" t="s">
        <v>364</v>
      </c>
      <c r="AC437" s="1192" t="str">
        <f>""</f>
        <v/>
      </c>
      <c r="AD437" s="1193">
        <v>0</v>
      </c>
      <c r="AE437" s="1193" t="s">
        <v>368</v>
      </c>
      <c r="AF437" s="1193" t="s">
        <v>369</v>
      </c>
      <c r="AG437" s="1193">
        <v>1</v>
      </c>
      <c r="AH437" s="1193">
        <v>3</v>
      </c>
      <c r="AI437" s="1193">
        <v>0</v>
      </c>
      <c r="AJ437" s="1193">
        <f>VLOOKUP($I437,'Price List, Weapons &amp; Items'!B:F,5,0)</f>
        <v>0</v>
      </c>
      <c r="AK437" s="1193">
        <f t="shared" si="95"/>
        <v>0</v>
      </c>
      <c r="AL437" s="1193">
        <f t="shared" si="96"/>
        <v>0</v>
      </c>
      <c r="AM437" s="1193">
        <f t="shared" si="97"/>
        <v>0</v>
      </c>
      <c r="AN437" s="1194" t="str">
        <f>VLOOKUP($I437,'Price List, Weapons &amp; Items'!B:L,COLUMN('Price List, Weapons &amp; Items'!$J$11)-1,0)</f>
        <v>Online marketplaces and stores</v>
      </c>
      <c r="AO437" s="1194" t="str">
        <f>IF(I437=".",".",VLOOKUP($I437,'Price List, Weapons &amp; Items'!B:J,3,0))</f>
        <v>Military equipment</v>
      </c>
      <c r="AP437" s="1195" t="str">
        <f t="shared" ca="1" si="91"/>
        <v/>
      </c>
      <c r="AQ437" s="1194">
        <f>VLOOKUP($I437,'Price List, Weapons &amp; Items'!B:L,COLUMN('Price List, Weapons &amp; Items'!$L$11)-1,0)</f>
        <v>1</v>
      </c>
      <c r="AR437" s="1194">
        <f t="shared" si="98"/>
        <v>1</v>
      </c>
      <c r="AS437" s="1194">
        <f t="shared" si="99"/>
        <v>0</v>
      </c>
      <c r="AT437" s="1194">
        <f t="shared" si="100"/>
        <v>1</v>
      </c>
      <c r="AU437" s="1194" t="str">
        <f t="shared" si="101"/>
        <v>.</v>
      </c>
      <c r="AV437" s="1194" t="str">
        <f t="shared" si="92"/>
        <v>.</v>
      </c>
      <c r="AW437" s="1194" t="str">
        <f t="shared" si="102"/>
        <v>.</v>
      </c>
      <c r="AX437" s="1194">
        <f>IFERROR(VLOOKUP(B437,'Share, Heavy Weapons to Ukraine'!B:Z,COLUMN('Share, Heavy Weapons to Ukraine'!C447)-1,0),0)</f>
        <v>0</v>
      </c>
      <c r="AY437" s="1194">
        <f>VLOOKUP('Bilateral Assistance, MAIN DATA'!B437,'Country Summary (€)'!B:F,COLUMN('Country Summary (€)'!C448)-1,FALSE)</f>
        <v>1</v>
      </c>
      <c r="AZ437" s="1194" t="str">
        <f>IF(AND(AD437=1,D437="Military",H437&lt;&gt;"Not given")=TRUE,IF(SUMIFS(P:P,A:A,A437)&gt;0,ABS((SUMIFS(P:P,A:A,A437)/VLOOKUP("USD",'Exchange Rates'!B:C,2,0)))/S437,"."),".")</f>
        <v>.</v>
      </c>
      <c r="BA437" s="1196" t="str">
        <f>IF(AND(AD437=1,D437="Military",H437&lt;&gt;"Not given")=TRUE,IF(SUMIFS(P:P,A:A,A437)&gt;0,IF((ABS((SUMIFS(P:P,A:A,A437)/VLOOKUP("USD",'Exchange Rates'!B:C,2,0)))/S437)&gt;1,(SUMIFS(P:P,A:A,A437)-S437)/S437,(S437-SUMIFS(P:P,A:A,A437))/SUMIFS(P:P,A:A,A437)),"."),".")</f>
        <v>.</v>
      </c>
    </row>
    <row r="438" spans="1:53" ht="15.95" customHeight="1">
      <c r="A438" s="1182" t="s">
        <v>1522</v>
      </c>
      <c r="B438" s="1182" t="s">
        <v>1523</v>
      </c>
      <c r="C438" s="1181">
        <v>44621</v>
      </c>
      <c r="D438" s="1182" t="s">
        <v>360</v>
      </c>
      <c r="E438" s="1182" t="s">
        <v>759</v>
      </c>
      <c r="F438" s="1183" t="s">
        <v>1524</v>
      </c>
      <c r="G438" s="1184" t="s">
        <v>483</v>
      </c>
      <c r="H438" s="1185">
        <v>100000000</v>
      </c>
      <c r="I438" s="1180" t="s">
        <v>1530</v>
      </c>
      <c r="J438" s="1186" t="str">
        <f>VLOOKUP($I438,'Price List, Weapons &amp; Items'!B:C,2,0)</f>
        <v>Humanitarian</v>
      </c>
      <c r="K438" s="1186" t="str">
        <f>IF(I438=".",I438,VLOOKUP($I438,'Price List, Weapons &amp; Items'!B:D,3,0))</f>
        <v>Humanitarian</v>
      </c>
      <c r="L438" s="1187">
        <f>VLOOKUP(I438,'Price List, Weapons &amp; Items'!B:E,4,0)</f>
        <v>0</v>
      </c>
      <c r="M438" s="1188">
        <v>2000</v>
      </c>
      <c r="N438" s="1188" t="s">
        <v>374</v>
      </c>
      <c r="O438" s="1188">
        <f>VLOOKUP($I438,'Price List, Weapons &amp; Items'!B:G,6,0)</f>
        <v>183</v>
      </c>
      <c r="P438" s="1185">
        <f t="shared" si="93"/>
        <v>366000</v>
      </c>
      <c r="Q438" s="1185" t="str">
        <f t="shared" si="94"/>
        <v>.</v>
      </c>
      <c r="R438" s="1185" t="str">
        <f t="shared" si="90"/>
        <v/>
      </c>
      <c r="S438" s="1185" t="str">
        <f>IF(AND(AD438=1,R438&lt;&gt;".")=TRUE,R438/VLOOKUP(G438,'Exchange Rates'!B:C,2,0),IF(R438=".",".",""))</f>
        <v/>
      </c>
      <c r="T438" s="1185" t="str">
        <f>IF(AD438=1,IF(AF438="Value is not given at all",".",IF(AF438="Value is given by the source",S438,IF(AF438="Value is calculated with prices",(IF(SUMIFS(Q:Q,A:A,A438)&gt;0,SUMIFS(Q:Q,A:A,A438),"."))/VLOOKUP("USD",'Exchange Rates'!B:C,2,0),"Error with coding"))),"")</f>
        <v/>
      </c>
      <c r="U438" s="1184" t="s">
        <v>365</v>
      </c>
      <c r="V438" s="974" t="s">
        <v>1526</v>
      </c>
      <c r="W438" s="974" t="s">
        <v>1527</v>
      </c>
      <c r="X438" s="974" t="s">
        <v>1528</v>
      </c>
      <c r="Y438" s="1183" t="s">
        <v>364</v>
      </c>
      <c r="Z438" s="1184">
        <v>0</v>
      </c>
      <c r="AA438" s="1194">
        <v>0</v>
      </c>
      <c r="AB438" s="1201" t="s">
        <v>364</v>
      </c>
      <c r="AC438" s="1192" t="str">
        <f>""</f>
        <v/>
      </c>
      <c r="AD438" s="1193">
        <v>0</v>
      </c>
      <c r="AE438" s="1193" t="s">
        <v>368</v>
      </c>
      <c r="AF438" s="1193" t="s">
        <v>369</v>
      </c>
      <c r="AG438" s="1193">
        <v>1</v>
      </c>
      <c r="AH438" s="1193">
        <v>3</v>
      </c>
      <c r="AI438" s="1193">
        <v>0</v>
      </c>
      <c r="AJ438" s="1193">
        <f>VLOOKUP($I438,'Price List, Weapons &amp; Items'!B:F,5,0)</f>
        <v>0</v>
      </c>
      <c r="AK438" s="1193">
        <f t="shared" si="95"/>
        <v>0</v>
      </c>
      <c r="AL438" s="1193">
        <f t="shared" si="96"/>
        <v>0</v>
      </c>
      <c r="AM438" s="1193">
        <f t="shared" si="97"/>
        <v>0</v>
      </c>
      <c r="AN438" s="1194" t="str">
        <f>VLOOKUP($I438,'Price List, Weapons &amp; Items'!B:L,COLUMN('Price List, Weapons &amp; Items'!$J$11)-1,0)</f>
        <v>Miscellaneous</v>
      </c>
      <c r="AO438" s="1194" t="str">
        <f>IF(I438=".",".",VLOOKUP($I438,'Price List, Weapons &amp; Items'!B:J,3,0))</f>
        <v>Humanitarian</v>
      </c>
      <c r="AP438" s="1195" t="str">
        <f t="shared" ca="1" si="91"/>
        <v/>
      </c>
      <c r="AQ438" s="1194">
        <f>VLOOKUP($I438,'Price List, Weapons &amp; Items'!B:L,COLUMN('Price List, Weapons &amp; Items'!$L$11)-1,0)</f>
        <v>0</v>
      </c>
      <c r="AR438" s="1194">
        <f t="shared" si="98"/>
        <v>1</v>
      </c>
      <c r="AS438" s="1194">
        <f t="shared" si="99"/>
        <v>0</v>
      </c>
      <c r="AT438" s="1194">
        <f t="shared" si="100"/>
        <v>1</v>
      </c>
      <c r="AU438" s="1194" t="str">
        <f t="shared" si="101"/>
        <v>.</v>
      </c>
      <c r="AV438" s="1194" t="str">
        <f t="shared" si="92"/>
        <v>.</v>
      </c>
      <c r="AW438" s="1194" t="str">
        <f t="shared" si="102"/>
        <v>.</v>
      </c>
      <c r="AX438" s="1194">
        <f>IFERROR(VLOOKUP(B438,'Share, Heavy Weapons to Ukraine'!B:Z,COLUMN('Share, Heavy Weapons to Ukraine'!C448)-1,0),0)</f>
        <v>0</v>
      </c>
      <c r="AY438" s="1194">
        <f>VLOOKUP('Bilateral Assistance, MAIN DATA'!B438,'Country Summary (€)'!B:F,COLUMN('Country Summary (€)'!C449)-1,FALSE)</f>
        <v>1</v>
      </c>
      <c r="AZ438" s="1194" t="str">
        <f>IF(AND(AD438=1,D438="Military",H438&lt;&gt;"Not given")=TRUE,IF(SUMIFS(P:P,A:A,A438)&gt;0,ABS((SUMIFS(P:P,A:A,A438)/VLOOKUP("USD",'Exchange Rates'!B:C,2,0)))/S438,"."),".")</f>
        <v>.</v>
      </c>
      <c r="BA438" s="1196" t="str">
        <f>IF(AND(AD438=1,D438="Military",H438&lt;&gt;"Not given")=TRUE,IF(SUMIFS(P:P,A:A,A438)&gt;0,IF((ABS((SUMIFS(P:P,A:A,A438)/VLOOKUP("USD",'Exchange Rates'!B:C,2,0)))/S438)&gt;1,(SUMIFS(P:P,A:A,A438)-S438)/S438,(S438-SUMIFS(P:P,A:A,A438))/SUMIFS(P:P,A:A,A438)),"."),".")</f>
        <v>.</v>
      </c>
    </row>
    <row r="439" spans="1:53" ht="15.95" customHeight="1">
      <c r="A439" s="1182" t="s">
        <v>1522</v>
      </c>
      <c r="B439" s="1182" t="s">
        <v>1523</v>
      </c>
      <c r="C439" s="1181">
        <v>44621</v>
      </c>
      <c r="D439" s="1182" t="s">
        <v>360</v>
      </c>
      <c r="E439" s="1182" t="s">
        <v>759</v>
      </c>
      <c r="F439" s="1183" t="s">
        <v>1524</v>
      </c>
      <c r="G439" s="1184" t="s">
        <v>483</v>
      </c>
      <c r="H439" s="1185">
        <v>100000000</v>
      </c>
      <c r="I439" s="1180" t="s">
        <v>471</v>
      </c>
      <c r="J439" s="1186" t="str">
        <f>VLOOKUP($I439,'Price List, Weapons &amp; Items'!B:C,2,0)</f>
        <v>Humanitarian</v>
      </c>
      <c r="K439" s="1186" t="str">
        <f>IF(I439=".",I439,VLOOKUP($I439,'Price List, Weapons &amp; Items'!B:D,3,0))</f>
        <v>Humanitarian</v>
      </c>
      <c r="L439" s="1187">
        <f>VLOOKUP(I439,'Price List, Weapons &amp; Items'!B:E,4,0)</f>
        <v>0</v>
      </c>
      <c r="M439" s="1188">
        <v>300</v>
      </c>
      <c r="N439" s="1188" t="s">
        <v>374</v>
      </c>
      <c r="O439" s="1188">
        <f>VLOOKUP($I439,'Price List, Weapons &amp; Items'!B:G,6,0)</f>
        <v>150</v>
      </c>
      <c r="P439" s="1185">
        <f t="shared" si="93"/>
        <v>45000</v>
      </c>
      <c r="Q439" s="1185" t="str">
        <f t="shared" si="94"/>
        <v>.</v>
      </c>
      <c r="R439" s="1185" t="str">
        <f t="shared" si="90"/>
        <v/>
      </c>
      <c r="S439" s="1185" t="str">
        <f>IF(AND(AD439=1,R439&lt;&gt;".")=TRUE,R439/VLOOKUP(G439,'Exchange Rates'!B:C,2,0),IF(R439=".",".",""))</f>
        <v/>
      </c>
      <c r="T439" s="1185" t="str">
        <f>IF(AD439=1,IF(AF439="Value is not given at all",".",IF(AF439="Value is given by the source",S439,IF(AF439="Value is calculated with prices",(IF(SUMIFS(Q:Q,A:A,A439)&gt;0,SUMIFS(Q:Q,A:A,A439),"."))/VLOOKUP("USD",'Exchange Rates'!B:C,2,0),"Error with coding"))),"")</f>
        <v/>
      </c>
      <c r="U439" s="1184" t="s">
        <v>365</v>
      </c>
      <c r="V439" s="974" t="s">
        <v>1526</v>
      </c>
      <c r="W439" s="974" t="s">
        <v>1527</v>
      </c>
      <c r="X439" s="974" t="s">
        <v>1528</v>
      </c>
      <c r="Y439" s="1183" t="s">
        <v>364</v>
      </c>
      <c r="Z439" s="1184">
        <v>0</v>
      </c>
      <c r="AA439" s="1194">
        <v>0</v>
      </c>
      <c r="AB439" s="1201" t="s">
        <v>364</v>
      </c>
      <c r="AC439" s="1192" t="str">
        <f>""</f>
        <v/>
      </c>
      <c r="AD439" s="1193">
        <v>0</v>
      </c>
      <c r="AE439" s="1193" t="s">
        <v>368</v>
      </c>
      <c r="AF439" s="1193" t="s">
        <v>369</v>
      </c>
      <c r="AG439" s="1193">
        <v>1</v>
      </c>
      <c r="AH439" s="1193">
        <v>3</v>
      </c>
      <c r="AI439" s="1193">
        <v>0</v>
      </c>
      <c r="AJ439" s="1193">
        <f>VLOOKUP($I439,'Price List, Weapons &amp; Items'!B:F,5,0)</f>
        <v>0</v>
      </c>
      <c r="AK439" s="1193">
        <f t="shared" si="95"/>
        <v>0</v>
      </c>
      <c r="AL439" s="1193">
        <f t="shared" si="96"/>
        <v>0</v>
      </c>
      <c r="AM439" s="1193">
        <f t="shared" si="97"/>
        <v>0</v>
      </c>
      <c r="AN439" s="1194" t="str">
        <f>VLOOKUP($I439,'Price List, Weapons &amp; Items'!B:L,COLUMN('Price List, Weapons &amp; Items'!$J$11)-1,0)</f>
        <v>Miscellaneous</v>
      </c>
      <c r="AO439" s="1194" t="str">
        <f>IF(I439=".",".",VLOOKUP($I439,'Price List, Weapons &amp; Items'!B:J,3,0))</f>
        <v>Humanitarian</v>
      </c>
      <c r="AP439" s="1195" t="str">
        <f t="shared" ca="1" si="91"/>
        <v/>
      </c>
      <c r="AQ439" s="1194">
        <f>VLOOKUP($I439,'Price List, Weapons &amp; Items'!B:L,COLUMN('Price List, Weapons &amp; Items'!$L$11)-1,0)</f>
        <v>0</v>
      </c>
      <c r="AR439" s="1194">
        <f t="shared" si="98"/>
        <v>1</v>
      </c>
      <c r="AS439" s="1194">
        <f t="shared" si="99"/>
        <v>0</v>
      </c>
      <c r="AT439" s="1194">
        <f t="shared" si="100"/>
        <v>1</v>
      </c>
      <c r="AU439" s="1194" t="str">
        <f t="shared" si="101"/>
        <v>.</v>
      </c>
      <c r="AV439" s="1194" t="str">
        <f t="shared" si="92"/>
        <v>.</v>
      </c>
      <c r="AW439" s="1194" t="str">
        <f t="shared" si="102"/>
        <v>.</v>
      </c>
      <c r="AX439" s="1194">
        <f>IFERROR(VLOOKUP(B439,'Share, Heavy Weapons to Ukraine'!B:Z,COLUMN('Share, Heavy Weapons to Ukraine'!C449)-1,0),0)</f>
        <v>0</v>
      </c>
      <c r="AY439" s="1194">
        <f>VLOOKUP('Bilateral Assistance, MAIN DATA'!B439,'Country Summary (€)'!B:F,COLUMN('Country Summary (€)'!C450)-1,FALSE)</f>
        <v>1</v>
      </c>
      <c r="AZ439" s="1194" t="str">
        <f>IF(AND(AD439=1,D439="Military",H439&lt;&gt;"Not given")=TRUE,IF(SUMIFS(P:P,A:A,A439)&gt;0,ABS((SUMIFS(P:P,A:A,A439)/VLOOKUP("USD",'Exchange Rates'!B:C,2,0)))/S439,"."),".")</f>
        <v>.</v>
      </c>
      <c r="BA439" s="1196" t="str">
        <f>IF(AND(AD439=1,D439="Military",H439&lt;&gt;"Not given")=TRUE,IF(SUMIFS(P:P,A:A,A439)&gt;0,IF((ABS((SUMIFS(P:P,A:A,A439)/VLOOKUP("USD",'Exchange Rates'!B:C,2,0)))/S439)&gt;1,(SUMIFS(P:P,A:A,A439)-S439)/S439,(S439-SUMIFS(P:P,A:A,A439))/SUMIFS(P:P,A:A,A439)),"."),".")</f>
        <v>.</v>
      </c>
    </row>
    <row r="440" spans="1:53" ht="15.95" customHeight="1">
      <c r="A440" s="1182" t="s">
        <v>1522</v>
      </c>
      <c r="B440" s="1182" t="s">
        <v>1523</v>
      </c>
      <c r="C440" s="1181">
        <v>44621</v>
      </c>
      <c r="D440" s="1182" t="s">
        <v>360</v>
      </c>
      <c r="E440" s="1182" t="s">
        <v>759</v>
      </c>
      <c r="F440" s="1183" t="s">
        <v>1524</v>
      </c>
      <c r="G440" s="1184" t="s">
        <v>483</v>
      </c>
      <c r="H440" s="1185">
        <v>100000000</v>
      </c>
      <c r="I440" s="1180" t="s">
        <v>986</v>
      </c>
      <c r="J440" s="1186" t="str">
        <f>VLOOKUP($I440,'Price List, Weapons &amp; Items'!B:C,2,0)</f>
        <v>Humanitarian</v>
      </c>
      <c r="K440" s="1186" t="str">
        <f>IF(I440=".",I440,VLOOKUP($I440,'Price List, Weapons &amp; Items'!B:D,3,0))</f>
        <v>Humanitarian</v>
      </c>
      <c r="L440" s="1187">
        <f>VLOOKUP(I440,'Price List, Weapons &amp; Items'!B:E,4,0)</f>
        <v>0</v>
      </c>
      <c r="M440" s="1188">
        <v>8</v>
      </c>
      <c r="N440" s="1188" t="s">
        <v>374</v>
      </c>
      <c r="O440" s="1188">
        <f>VLOOKUP($I440,'Price List, Weapons &amp; Items'!B:G,6,0)</f>
        <v>10000</v>
      </c>
      <c r="P440" s="1185">
        <f t="shared" si="93"/>
        <v>80000</v>
      </c>
      <c r="Q440" s="1185" t="str">
        <f t="shared" si="94"/>
        <v>.</v>
      </c>
      <c r="R440" s="1185" t="str">
        <f t="shared" si="90"/>
        <v/>
      </c>
      <c r="S440" s="1185" t="str">
        <f>IF(AND(AD440=1,R440&lt;&gt;".")=TRUE,R440/VLOOKUP(G440,'Exchange Rates'!B:C,2,0),IF(R440=".",".",""))</f>
        <v/>
      </c>
      <c r="T440" s="1185" t="str">
        <f>IF(AD440=1,IF(AF440="Value is not given at all",".",IF(AF440="Value is given by the source",S440,IF(AF440="Value is calculated with prices",(IF(SUMIFS(Q:Q,A:A,A440)&gt;0,SUMIFS(Q:Q,A:A,A440),"."))/VLOOKUP("USD",'Exchange Rates'!B:C,2,0),"Error with coding"))),"")</f>
        <v/>
      </c>
      <c r="U440" s="1184" t="s">
        <v>365</v>
      </c>
      <c r="V440" s="974" t="s">
        <v>1526</v>
      </c>
      <c r="W440" s="974" t="s">
        <v>1527</v>
      </c>
      <c r="X440" s="974" t="s">
        <v>1528</v>
      </c>
      <c r="Y440" s="1183" t="s">
        <v>364</v>
      </c>
      <c r="Z440" s="1184">
        <v>0</v>
      </c>
      <c r="AA440" s="1194">
        <v>0</v>
      </c>
      <c r="AB440" s="1201" t="s">
        <v>364</v>
      </c>
      <c r="AC440" s="1192" t="str">
        <f>""</f>
        <v/>
      </c>
      <c r="AD440" s="1193">
        <v>0</v>
      </c>
      <c r="AE440" s="1193" t="s">
        <v>368</v>
      </c>
      <c r="AF440" s="1193" t="s">
        <v>369</v>
      </c>
      <c r="AG440" s="1193">
        <v>1</v>
      </c>
      <c r="AH440" s="1193">
        <v>3</v>
      </c>
      <c r="AI440" s="1193">
        <v>0</v>
      </c>
      <c r="AJ440" s="1193">
        <f>VLOOKUP($I440,'Price List, Weapons &amp; Items'!B:F,5,0)</f>
        <v>0</v>
      </c>
      <c r="AK440" s="1193">
        <f t="shared" si="95"/>
        <v>0</v>
      </c>
      <c r="AL440" s="1193">
        <f t="shared" si="96"/>
        <v>0</v>
      </c>
      <c r="AM440" s="1193">
        <f t="shared" si="97"/>
        <v>0</v>
      </c>
      <c r="AN440" s="1194" t="str">
        <f>VLOOKUP($I440,'Price List, Weapons &amp; Items'!B:L,COLUMN('Price List, Weapons &amp; Items'!$J$11)-1,0)</f>
        <v>Miscellaneous</v>
      </c>
      <c r="AO440" s="1194" t="str">
        <f>IF(I440=".",".",VLOOKUP($I440,'Price List, Weapons &amp; Items'!B:J,3,0))</f>
        <v>Humanitarian</v>
      </c>
      <c r="AP440" s="1195" t="str">
        <f t="shared" ca="1" si="91"/>
        <v/>
      </c>
      <c r="AQ440" s="1194">
        <f>VLOOKUP($I440,'Price List, Weapons &amp; Items'!B:L,COLUMN('Price List, Weapons &amp; Items'!$L$11)-1,0)</f>
        <v>0</v>
      </c>
      <c r="AR440" s="1194">
        <f t="shared" si="98"/>
        <v>1</v>
      </c>
      <c r="AS440" s="1194">
        <f t="shared" si="99"/>
        <v>0</v>
      </c>
      <c r="AT440" s="1194">
        <f t="shared" si="100"/>
        <v>1</v>
      </c>
      <c r="AU440" s="1194" t="str">
        <f t="shared" si="101"/>
        <v>.</v>
      </c>
      <c r="AV440" s="1194" t="str">
        <f t="shared" si="92"/>
        <v>.</v>
      </c>
      <c r="AW440" s="1194" t="str">
        <f t="shared" si="102"/>
        <v>.</v>
      </c>
      <c r="AX440" s="1194">
        <f>IFERROR(VLOOKUP(B440,'Share, Heavy Weapons to Ukraine'!B:Z,COLUMN('Share, Heavy Weapons to Ukraine'!C450)-1,0),0)</f>
        <v>0</v>
      </c>
      <c r="AY440" s="1194">
        <f>VLOOKUP('Bilateral Assistance, MAIN DATA'!B440,'Country Summary (€)'!B:F,COLUMN('Country Summary (€)'!C451)-1,FALSE)</f>
        <v>1</v>
      </c>
      <c r="AZ440" s="1194" t="str">
        <f>IF(AND(AD440=1,D440="Military",H440&lt;&gt;"Not given")=TRUE,IF(SUMIFS(P:P,A:A,A440)&gt;0,ABS((SUMIFS(P:P,A:A,A440)/VLOOKUP("USD",'Exchange Rates'!B:C,2,0)))/S440,"."),".")</f>
        <v>.</v>
      </c>
      <c r="BA440" s="1196" t="str">
        <f>IF(AND(AD440=1,D440="Military",H440&lt;&gt;"Not given")=TRUE,IF(SUMIFS(P:P,A:A,A440)&gt;0,IF((ABS((SUMIFS(P:P,A:A,A440)/VLOOKUP("USD",'Exchange Rates'!B:C,2,0)))/S440)&gt;1,(SUMIFS(P:P,A:A,A440)-S440)/S440,(S440-SUMIFS(P:P,A:A,A440))/SUMIFS(P:P,A:A,A440)),"."),".")</f>
        <v>.</v>
      </c>
    </row>
    <row r="441" spans="1:53" ht="15.95" customHeight="1">
      <c r="A441" s="1180" t="s">
        <v>1531</v>
      </c>
      <c r="B441" s="1180" t="s">
        <v>1523</v>
      </c>
      <c r="C441" s="1181" t="s">
        <v>1064</v>
      </c>
      <c r="D441" s="1182" t="s">
        <v>360</v>
      </c>
      <c r="E441" s="1182" t="s">
        <v>759</v>
      </c>
      <c r="F441" s="1183" t="s">
        <v>1532</v>
      </c>
      <c r="G441" s="1184" t="s">
        <v>483</v>
      </c>
      <c r="H441" s="1185">
        <v>1600000</v>
      </c>
      <c r="I441" s="1180" t="s">
        <v>364</v>
      </c>
      <c r="J441" s="1186" t="str">
        <f>VLOOKUP($I441,'Price List, Weapons &amp; Items'!B:C,2,0)</f>
        <v>.</v>
      </c>
      <c r="K441" s="1186" t="str">
        <f>IF(I441=".",I441,VLOOKUP($I441,'Price List, Weapons &amp; Items'!B:D,3,0))</f>
        <v>.</v>
      </c>
      <c r="L441" s="1187">
        <f>VLOOKUP(I441,'Price List, Weapons &amp; Items'!B:E,4,0)</f>
        <v>0</v>
      </c>
      <c r="M441" s="1188" t="s">
        <v>364</v>
      </c>
      <c r="N441" s="1188" t="s">
        <v>364</v>
      </c>
      <c r="O441" s="1188" t="str">
        <f>VLOOKUP($I441,'Price List, Weapons &amp; Items'!B:G,6,0)</f>
        <v>.</v>
      </c>
      <c r="P441" s="1185" t="str">
        <f t="shared" si="93"/>
        <v>.</v>
      </c>
      <c r="Q441" s="1185" t="str">
        <f t="shared" si="94"/>
        <v>.</v>
      </c>
      <c r="R441" s="1185">
        <f t="shared" si="90"/>
        <v>1600000</v>
      </c>
      <c r="S441" s="1185">
        <f>IF(AND(AD441=1,R441&lt;&gt;".")=TRUE,R441/VLOOKUP(G441,'Exchange Rates'!B:C,2,0),IF(R441=".",".",""))</f>
        <v>1600000</v>
      </c>
      <c r="T441" s="1185" t="str">
        <f>IF(AD441=1,IF(AF441="Value is not given at all",".",IF(AF441="Value is given by the source",S441,IF(AF441="Value is calculated with prices",(IF(SUMIFS(Q:Q,A:A,A441)&gt;0,SUMIFS(Q:Q,A:A,A441),"."))/VLOOKUP("USD",'Exchange Rates'!B:C,2,0),"Error with coding"))),"")</f>
        <v>.</v>
      </c>
      <c r="U441" s="1184" t="s">
        <v>365</v>
      </c>
      <c r="V441" s="971" t="s">
        <v>1533</v>
      </c>
      <c r="W441" s="1190" t="s">
        <v>364</v>
      </c>
      <c r="X441" s="1190" t="s">
        <v>364</v>
      </c>
      <c r="Y441" s="1190" t="s">
        <v>364</v>
      </c>
      <c r="Z441" s="1184">
        <v>0</v>
      </c>
      <c r="AA441" s="1194">
        <v>0</v>
      </c>
      <c r="AB441" s="1201" t="s">
        <v>364</v>
      </c>
      <c r="AC441" s="1192" t="str">
        <f>""</f>
        <v/>
      </c>
      <c r="AD441" s="1193">
        <v>1</v>
      </c>
      <c r="AE441" s="1193" t="s">
        <v>368</v>
      </c>
      <c r="AF441" s="1193" t="s">
        <v>369</v>
      </c>
      <c r="AG441" s="1193">
        <v>1</v>
      </c>
      <c r="AH441" s="1193">
        <v>3</v>
      </c>
      <c r="AI441" s="1193">
        <v>0</v>
      </c>
      <c r="AJ441" s="1193">
        <f>VLOOKUP($I441,'Price List, Weapons &amp; Items'!B:F,5,0)</f>
        <v>0</v>
      </c>
      <c r="AK441" s="1193">
        <f t="shared" si="95"/>
        <v>0</v>
      </c>
      <c r="AL441" s="1193">
        <f t="shared" si="96"/>
        <v>0</v>
      </c>
      <c r="AM441" s="1193">
        <f t="shared" si="97"/>
        <v>0</v>
      </c>
      <c r="AN441" s="1194" t="str">
        <f>VLOOKUP($I441,'Price List, Weapons &amp; Items'!B:L,COLUMN('Price List, Weapons &amp; Items'!$J$11)-1,0)</f>
        <v>.</v>
      </c>
      <c r="AO441" s="1194" t="str">
        <f>IF(I441=".",".",VLOOKUP($I441,'Price List, Weapons &amp; Items'!B:J,3,0))</f>
        <v>.</v>
      </c>
      <c r="AP441" s="1195" t="str">
        <f t="shared" ca="1" si="91"/>
        <v>.</v>
      </c>
      <c r="AQ441" s="1194">
        <f>VLOOKUP($I441,'Price List, Weapons &amp; Items'!B:L,COLUMN('Price List, Weapons &amp; Items'!$L$11)-1,0)</f>
        <v>0</v>
      </c>
      <c r="AR441" s="1194">
        <f t="shared" si="98"/>
        <v>1</v>
      </c>
      <c r="AS441" s="1194">
        <f t="shared" si="99"/>
        <v>0</v>
      </c>
      <c r="AT441" s="1194" t="str">
        <f t="shared" si="100"/>
        <v>Value is not in date format</v>
      </c>
      <c r="AU441" s="1194" t="str">
        <f t="shared" si="101"/>
        <v>.</v>
      </c>
      <c r="AV441" s="1194" t="str">
        <f t="shared" si="92"/>
        <v>.</v>
      </c>
      <c r="AW441" s="1194" t="str">
        <f t="shared" si="102"/>
        <v>.</v>
      </c>
      <c r="AX441" s="1194">
        <f>IFERROR(VLOOKUP(B441,'Share, Heavy Weapons to Ukraine'!B:Z,COLUMN('Share, Heavy Weapons to Ukraine'!C451)-1,0),0)</f>
        <v>0</v>
      </c>
      <c r="AY441" s="1194">
        <f>VLOOKUP('Bilateral Assistance, MAIN DATA'!B441,'Country Summary (€)'!B:F,COLUMN('Country Summary (€)'!C452)-1,FALSE)</f>
        <v>1</v>
      </c>
      <c r="AZ441" s="1194" t="str">
        <f>IF(AND(AD441=1,D441="Military",H441&lt;&gt;"Not given")=TRUE,IF(SUMIFS(P:P,A:A,A441)&gt;0,ABS((SUMIFS(P:P,A:A,A441)/VLOOKUP("USD",'Exchange Rates'!B:C,2,0)))/S441,"."),".")</f>
        <v>.</v>
      </c>
      <c r="BA441" s="1196" t="str">
        <f>IF(AND(AD441=1,D441="Military",H441&lt;&gt;"Not given")=TRUE,IF(SUMIFS(P:P,A:A,A441)&gt;0,IF((ABS((SUMIFS(P:P,A:A,A441)/VLOOKUP("USD",'Exchange Rates'!B:C,2,0)))/S441)&gt;1,(SUMIFS(P:P,A:A,A441)-S441)/S441,(S441-SUMIFS(P:P,A:A,A441))/SUMIFS(P:P,A:A,A441)),"."),".")</f>
        <v>.</v>
      </c>
    </row>
    <row r="442" spans="1:53" ht="15.95" customHeight="1">
      <c r="A442" s="1182" t="s">
        <v>1534</v>
      </c>
      <c r="B442" s="1182" t="s">
        <v>1523</v>
      </c>
      <c r="C442" s="1181">
        <v>44645</v>
      </c>
      <c r="D442" s="1182" t="s">
        <v>360</v>
      </c>
      <c r="E442" s="1182" t="s">
        <v>371</v>
      </c>
      <c r="F442" s="1183" t="s">
        <v>1535</v>
      </c>
      <c r="G442" s="1184" t="s">
        <v>456</v>
      </c>
      <c r="H442" s="1185" t="s">
        <v>457</v>
      </c>
      <c r="I442" s="1180" t="s">
        <v>477</v>
      </c>
      <c r="J442" s="1186" t="str">
        <f>VLOOKUP($I442,'Price List, Weapons &amp; Items'!B:C,2,0)</f>
        <v>Humanitarian</v>
      </c>
      <c r="K442" s="1186" t="str">
        <f>IF(I442=".",I442,VLOOKUP($I442,'Price List, Weapons &amp; Items'!B:D,3,0))</f>
        <v>Humanitarian</v>
      </c>
      <c r="L442" s="1187">
        <f>VLOOKUP(I442,'Price List, Weapons &amp; Items'!B:E,4,0)</f>
        <v>0</v>
      </c>
      <c r="M442" s="1188">
        <v>21</v>
      </c>
      <c r="N442" s="1188" t="s">
        <v>374</v>
      </c>
      <c r="O442" s="1188">
        <f>VLOOKUP($I442,'Price List, Weapons &amp; Items'!B:G,6,0)</f>
        <v>317500</v>
      </c>
      <c r="P442" s="1185">
        <f t="shared" si="93"/>
        <v>6667500</v>
      </c>
      <c r="Q442" s="1185" t="str">
        <f t="shared" si="94"/>
        <v>.</v>
      </c>
      <c r="R442" s="1185">
        <f t="shared" si="90"/>
        <v>17957500</v>
      </c>
      <c r="S442" s="1185">
        <f>IF(AND(AD442=1,R442&lt;&gt;".")=TRUE,R442/VLOOKUP(G442,'Exchange Rates'!B:C,2,0),IF(R442=".",".",""))</f>
        <v>16523279.352226721</v>
      </c>
      <c r="T442" s="1185" t="str">
        <f>IF(AD442=1,IF(AF442="Value is not given at all",".",IF(AF442="Value is given by the source",S442,IF(AF442="Value is calculated with prices",(IF(SUMIFS(Q:Q,A:A,A442)&gt;0,SUMIFS(Q:Q,A:A,A442),"."))/VLOOKUP("USD",'Exchange Rates'!B:C,2,0),"Error with coding"))),"")</f>
        <v>.</v>
      </c>
      <c r="U442" s="1184" t="s">
        <v>365</v>
      </c>
      <c r="V442" s="974" t="s">
        <v>1536</v>
      </c>
      <c r="W442" s="974" t="s">
        <v>1537</v>
      </c>
      <c r="X442" s="1183" t="s">
        <v>364</v>
      </c>
      <c r="Y442" s="1183" t="s">
        <v>364</v>
      </c>
      <c r="Z442" s="1184">
        <v>0</v>
      </c>
      <c r="AA442" s="1194">
        <v>0</v>
      </c>
      <c r="AB442" s="1201" t="s">
        <v>364</v>
      </c>
      <c r="AC442" s="1192" t="str">
        <f>""</f>
        <v/>
      </c>
      <c r="AD442" s="1193">
        <v>1</v>
      </c>
      <c r="AE442" s="1193" t="s">
        <v>436</v>
      </c>
      <c r="AF442" s="1193" t="s">
        <v>369</v>
      </c>
      <c r="AG442" s="1193">
        <v>1</v>
      </c>
      <c r="AH442" s="1193">
        <v>3</v>
      </c>
      <c r="AI442" s="1193">
        <v>0</v>
      </c>
      <c r="AJ442" s="1193">
        <f>VLOOKUP($I442,'Price List, Weapons &amp; Items'!B:F,5,0)</f>
        <v>0</v>
      </c>
      <c r="AK442" s="1193">
        <f t="shared" si="95"/>
        <v>0</v>
      </c>
      <c r="AL442" s="1193">
        <f t="shared" si="96"/>
        <v>0</v>
      </c>
      <c r="AM442" s="1193">
        <f t="shared" si="97"/>
        <v>0</v>
      </c>
      <c r="AN442" s="1194" t="str">
        <f>VLOOKUP($I442,'Price List, Weapons &amp; Items'!B:L,COLUMN('Price List, Weapons &amp; Items'!$J$11)-1,0)</f>
        <v>Media reports (incl. social media)</v>
      </c>
      <c r="AO442" s="1194" t="str">
        <f>IF(I442=".",".",VLOOKUP($I442,'Price List, Weapons &amp; Items'!B:J,3,0))</f>
        <v>Humanitarian</v>
      </c>
      <c r="AP442" s="1195" t="str">
        <f t="shared" ca="1" si="91"/>
        <v>ambulance H</v>
      </c>
      <c r="AQ442" s="1194">
        <f>VLOOKUP($I442,'Price List, Weapons &amp; Items'!B:L,COLUMN('Price List, Weapons &amp; Items'!$L$11)-1,0)</f>
        <v>0</v>
      </c>
      <c r="AR442" s="1194">
        <f t="shared" si="98"/>
        <v>1</v>
      </c>
      <c r="AS442" s="1194">
        <f t="shared" si="99"/>
        <v>0</v>
      </c>
      <c r="AT442" s="1194">
        <f t="shared" si="100"/>
        <v>1</v>
      </c>
      <c r="AU442" s="1194" t="str">
        <f t="shared" si="101"/>
        <v>.</v>
      </c>
      <c r="AV442" s="1194" t="str">
        <f t="shared" si="92"/>
        <v>.</v>
      </c>
      <c r="AW442" s="1194" t="str">
        <f t="shared" si="102"/>
        <v>.</v>
      </c>
      <c r="AX442" s="1194">
        <f>IFERROR(VLOOKUP(B442,'Share, Heavy Weapons to Ukraine'!B:Z,COLUMN('Share, Heavy Weapons to Ukraine'!C452)-1,0),0)</f>
        <v>0</v>
      </c>
      <c r="AY442" s="1194">
        <f>VLOOKUP('Bilateral Assistance, MAIN DATA'!B442,'Country Summary (€)'!B:F,COLUMN('Country Summary (€)'!C453)-1,FALSE)</f>
        <v>1</v>
      </c>
      <c r="AZ442" s="1194" t="str">
        <f>IF(AND(AD442=1,D442="Military",H442&lt;&gt;"Not given")=TRUE,IF(SUMIFS(P:P,A:A,A442)&gt;0,ABS((SUMIFS(P:P,A:A,A442)/VLOOKUP("USD",'Exchange Rates'!B:C,2,0)))/S442,"."),".")</f>
        <v>.</v>
      </c>
      <c r="BA442" s="1196" t="str">
        <f>IF(AND(AD442=1,D442="Military",H442&lt;&gt;"Not given")=TRUE,IF(SUMIFS(P:P,A:A,A442)&gt;0,IF((ABS((SUMIFS(P:P,A:A,A442)/VLOOKUP("USD",'Exchange Rates'!B:C,2,0)))/S442)&gt;1,(SUMIFS(P:P,A:A,A442)-S442)/S442,(S442-SUMIFS(P:P,A:A,A442))/SUMIFS(P:P,A:A,A442)),"."),".")</f>
        <v>.</v>
      </c>
    </row>
    <row r="443" spans="1:53" ht="15.95" customHeight="1">
      <c r="A443" s="1182" t="s">
        <v>1534</v>
      </c>
      <c r="B443" s="1182" t="s">
        <v>1523</v>
      </c>
      <c r="C443" s="1181">
        <v>44645</v>
      </c>
      <c r="D443" s="1182" t="s">
        <v>360</v>
      </c>
      <c r="E443" s="1182" t="s">
        <v>371</v>
      </c>
      <c r="F443" s="1183" t="s">
        <v>1535</v>
      </c>
      <c r="G443" s="1184" t="s">
        <v>456</v>
      </c>
      <c r="H443" s="1185" t="s">
        <v>457</v>
      </c>
      <c r="I443" s="1180" t="s">
        <v>1156</v>
      </c>
      <c r="J443" s="1186" t="str">
        <f>VLOOKUP($I443,'Price List, Weapons &amp; Items'!B:C,2,0)</f>
        <v>Humanitarian</v>
      </c>
      <c r="K443" s="1186" t="str">
        <f>IF(I443=".",I443,VLOOKUP($I443,'Price List, Weapons &amp; Items'!B:D,3,0))</f>
        <v>Humanitarian</v>
      </c>
      <c r="L443" s="1187">
        <f>VLOOKUP(I443,'Price List, Weapons &amp; Items'!B:E,4,0)</f>
        <v>0</v>
      </c>
      <c r="M443" s="1188">
        <v>11</v>
      </c>
      <c r="N443" s="1188" t="s">
        <v>374</v>
      </c>
      <c r="O443" s="1188">
        <f>VLOOKUP($I443,'Price List, Weapons &amp; Items'!B:G,6,0)</f>
        <v>400000</v>
      </c>
      <c r="P443" s="1185">
        <f t="shared" si="93"/>
        <v>4400000</v>
      </c>
      <c r="Q443" s="1185" t="str">
        <f t="shared" si="94"/>
        <v>.</v>
      </c>
      <c r="R443" s="1185" t="str">
        <f t="shared" si="90"/>
        <v/>
      </c>
      <c r="S443" s="1185" t="str">
        <f>IF(AND(AD443=1,R443&lt;&gt;".")=TRUE,R443/VLOOKUP(G443,'Exchange Rates'!B:C,2,0),IF(R443=".",".",""))</f>
        <v/>
      </c>
      <c r="T443" s="1185" t="str">
        <f>IF(AD443=1,IF(AF443="Value is not given at all",".",IF(AF443="Value is given by the source",S443,IF(AF443="Value is calculated with prices",(IF(SUMIFS(Q:Q,A:A,A443)&gt;0,SUMIFS(Q:Q,A:A,A443),"."))/VLOOKUP("USD",'Exchange Rates'!B:C,2,0),"Error with coding"))),"")</f>
        <v/>
      </c>
      <c r="U443" s="1184" t="s">
        <v>365</v>
      </c>
      <c r="V443" s="974" t="s">
        <v>1536</v>
      </c>
      <c r="W443" s="974" t="s">
        <v>1537</v>
      </c>
      <c r="X443" s="1183" t="s">
        <v>364</v>
      </c>
      <c r="Y443" s="1183" t="s">
        <v>364</v>
      </c>
      <c r="Z443" s="1184">
        <v>0</v>
      </c>
      <c r="AA443" s="1194">
        <v>0</v>
      </c>
      <c r="AB443" s="1201" t="s">
        <v>364</v>
      </c>
      <c r="AC443" s="1192" t="str">
        <f>""</f>
        <v/>
      </c>
      <c r="AD443" s="1193">
        <v>0</v>
      </c>
      <c r="AE443" s="1193" t="s">
        <v>436</v>
      </c>
      <c r="AF443" s="1193" t="s">
        <v>369</v>
      </c>
      <c r="AG443" s="1193">
        <v>1</v>
      </c>
      <c r="AH443" s="1193">
        <v>3</v>
      </c>
      <c r="AI443" s="1193">
        <v>0</v>
      </c>
      <c r="AJ443" s="1193">
        <f>VLOOKUP($I443,'Price List, Weapons &amp; Items'!B:F,5,0)</f>
        <v>0</v>
      </c>
      <c r="AK443" s="1193">
        <f t="shared" si="95"/>
        <v>0</v>
      </c>
      <c r="AL443" s="1193">
        <f t="shared" si="96"/>
        <v>0</v>
      </c>
      <c r="AM443" s="1193">
        <f t="shared" si="97"/>
        <v>0</v>
      </c>
      <c r="AN443" s="1194" t="str">
        <f>VLOOKUP($I443,'Price List, Weapons &amp; Items'!B:L,COLUMN('Price List, Weapons &amp; Items'!$J$11)-1,0)</f>
        <v>Media reports (incl. social media)</v>
      </c>
      <c r="AO443" s="1194" t="str">
        <f>IF(I443=".",".",VLOOKUP($I443,'Price List, Weapons &amp; Items'!B:J,3,0))</f>
        <v>Humanitarian</v>
      </c>
      <c r="AP443" s="1195" t="str">
        <f t="shared" ca="1" si="91"/>
        <v/>
      </c>
      <c r="AQ443" s="1194">
        <f>VLOOKUP($I443,'Price List, Weapons &amp; Items'!B:L,COLUMN('Price List, Weapons &amp; Items'!$L$11)-1,0)</f>
        <v>0</v>
      </c>
      <c r="AR443" s="1194">
        <f t="shared" si="98"/>
        <v>1</v>
      </c>
      <c r="AS443" s="1194">
        <f t="shared" si="99"/>
        <v>0</v>
      </c>
      <c r="AT443" s="1194">
        <f t="shared" si="100"/>
        <v>1</v>
      </c>
      <c r="AU443" s="1194" t="str">
        <f t="shared" si="101"/>
        <v>.</v>
      </c>
      <c r="AV443" s="1194" t="str">
        <f t="shared" si="92"/>
        <v>.</v>
      </c>
      <c r="AW443" s="1194" t="str">
        <f t="shared" si="102"/>
        <v>.</v>
      </c>
      <c r="AX443" s="1194">
        <f>IFERROR(VLOOKUP(B443,'Share, Heavy Weapons to Ukraine'!B:Z,COLUMN('Share, Heavy Weapons to Ukraine'!C453)-1,0),0)</f>
        <v>0</v>
      </c>
      <c r="AY443" s="1194">
        <f>VLOOKUP('Bilateral Assistance, MAIN DATA'!B443,'Country Summary (€)'!B:F,COLUMN('Country Summary (€)'!C454)-1,FALSE)</f>
        <v>1</v>
      </c>
      <c r="AZ443" s="1194" t="str">
        <f>IF(AND(AD443=1,D443="Military",H443&lt;&gt;"Not given")=TRUE,IF(SUMIFS(P:P,A:A,A443)&gt;0,ABS((SUMIFS(P:P,A:A,A443)/VLOOKUP("USD",'Exchange Rates'!B:C,2,0)))/S443,"."),".")</f>
        <v>.</v>
      </c>
      <c r="BA443" s="1196" t="str">
        <f>IF(AND(AD443=1,D443="Military",H443&lt;&gt;"Not given")=TRUE,IF(SUMIFS(P:P,A:A,A443)&gt;0,IF((ABS((SUMIFS(P:P,A:A,A443)/VLOOKUP("USD",'Exchange Rates'!B:C,2,0)))/S443)&gt;1,(SUMIFS(P:P,A:A,A443)-S443)/S443,(S443-SUMIFS(P:P,A:A,A443))/SUMIFS(P:P,A:A,A443)),"."),".")</f>
        <v>.</v>
      </c>
    </row>
    <row r="444" spans="1:53" ht="15.95" customHeight="1">
      <c r="A444" s="1182" t="s">
        <v>1534</v>
      </c>
      <c r="B444" s="1182" t="s">
        <v>1523</v>
      </c>
      <c r="C444" s="1181">
        <v>44645</v>
      </c>
      <c r="D444" s="1182" t="s">
        <v>360</v>
      </c>
      <c r="E444" s="1182" t="s">
        <v>371</v>
      </c>
      <c r="F444" s="1183" t="s">
        <v>1535</v>
      </c>
      <c r="G444" s="1184" t="s">
        <v>456</v>
      </c>
      <c r="H444" s="1185" t="s">
        <v>457</v>
      </c>
      <c r="I444" s="1180" t="s">
        <v>1538</v>
      </c>
      <c r="J444" s="1186" t="str">
        <f>VLOOKUP($I444,'Price List, Weapons &amp; Items'!B:C,2,0)</f>
        <v>Humanitarian</v>
      </c>
      <c r="K444" s="1186" t="str">
        <f>IF(I444=".",I444,VLOOKUP($I444,'Price List, Weapons &amp; Items'!B:D,3,0))</f>
        <v>Humanitarian</v>
      </c>
      <c r="L444" s="1187">
        <f>VLOOKUP(I444,'Price List, Weapons &amp; Items'!B:E,4,0)</f>
        <v>0</v>
      </c>
      <c r="M444" s="1188">
        <v>16</v>
      </c>
      <c r="N444" s="1188" t="s">
        <v>374</v>
      </c>
      <c r="O444" s="1188">
        <f>VLOOKUP($I444,'Price List, Weapons &amp; Items'!B:G,6,0)</f>
        <v>400000</v>
      </c>
      <c r="P444" s="1185">
        <f t="shared" si="93"/>
        <v>6400000</v>
      </c>
      <c r="Q444" s="1185" t="str">
        <f t="shared" si="94"/>
        <v>.</v>
      </c>
      <c r="R444" s="1185" t="str">
        <f t="shared" si="90"/>
        <v/>
      </c>
      <c r="S444" s="1185" t="str">
        <f>IF(AND(AD444=1,R444&lt;&gt;".")=TRUE,R444/VLOOKUP(G444,'Exchange Rates'!B:C,2,0),IF(R444=".",".",""))</f>
        <v/>
      </c>
      <c r="T444" s="1185" t="str">
        <f>IF(AD444=1,IF(AF444="Value is not given at all",".",IF(AF444="Value is given by the source",S444,IF(AF444="Value is calculated with prices",(IF(SUMIFS(Q:Q,A:A,A444)&gt;0,SUMIFS(Q:Q,A:A,A444),"."))/VLOOKUP("USD",'Exchange Rates'!B:C,2,0),"Error with coding"))),"")</f>
        <v/>
      </c>
      <c r="U444" s="1184" t="s">
        <v>365</v>
      </c>
      <c r="V444" s="974" t="s">
        <v>1536</v>
      </c>
      <c r="W444" s="974" t="s">
        <v>1537</v>
      </c>
      <c r="X444" s="1183" t="s">
        <v>364</v>
      </c>
      <c r="Y444" s="1183" t="s">
        <v>364</v>
      </c>
      <c r="Z444" s="1184">
        <v>0</v>
      </c>
      <c r="AA444" s="1194">
        <v>0</v>
      </c>
      <c r="AB444" s="1201" t="s">
        <v>364</v>
      </c>
      <c r="AC444" s="1192" t="str">
        <f>""</f>
        <v/>
      </c>
      <c r="AD444" s="1193">
        <v>0</v>
      </c>
      <c r="AE444" s="1193" t="s">
        <v>436</v>
      </c>
      <c r="AF444" s="1193" t="s">
        <v>369</v>
      </c>
      <c r="AG444" s="1193">
        <v>1</v>
      </c>
      <c r="AH444" s="1193">
        <v>3</v>
      </c>
      <c r="AI444" s="1193">
        <v>0</v>
      </c>
      <c r="AJ444" s="1193">
        <f>VLOOKUP($I444,'Price List, Weapons &amp; Items'!B:F,5,0)</f>
        <v>0</v>
      </c>
      <c r="AK444" s="1193">
        <f t="shared" si="95"/>
        <v>0</v>
      </c>
      <c r="AL444" s="1193">
        <f t="shared" si="96"/>
        <v>0</v>
      </c>
      <c r="AM444" s="1193">
        <f t="shared" si="97"/>
        <v>0</v>
      </c>
      <c r="AN444" s="1194" t="str">
        <f>VLOOKUP($I444,'Price List, Weapons &amp; Items'!B:L,COLUMN('Price List, Weapons &amp; Items'!$J$11)-1,0)</f>
        <v>Miscellaneous</v>
      </c>
      <c r="AO444" s="1194" t="str">
        <f>IF(I444=".",".",VLOOKUP($I444,'Price List, Weapons &amp; Items'!B:J,3,0))</f>
        <v>Humanitarian</v>
      </c>
      <c r="AP444" s="1195" t="str">
        <f t="shared" ca="1" si="91"/>
        <v/>
      </c>
      <c r="AQ444" s="1194">
        <f>VLOOKUP($I444,'Price List, Weapons &amp; Items'!B:L,COLUMN('Price List, Weapons &amp; Items'!$L$11)-1,0)</f>
        <v>0</v>
      </c>
      <c r="AR444" s="1194">
        <f t="shared" si="98"/>
        <v>1</v>
      </c>
      <c r="AS444" s="1194">
        <f t="shared" si="99"/>
        <v>0</v>
      </c>
      <c r="AT444" s="1194">
        <f t="shared" si="100"/>
        <v>1</v>
      </c>
      <c r="AU444" s="1194" t="str">
        <f t="shared" si="101"/>
        <v>.</v>
      </c>
      <c r="AV444" s="1194" t="str">
        <f t="shared" si="92"/>
        <v>.</v>
      </c>
      <c r="AW444" s="1194" t="str">
        <f t="shared" si="102"/>
        <v>.</v>
      </c>
      <c r="AX444" s="1194">
        <f>IFERROR(VLOOKUP(B444,'Share, Heavy Weapons to Ukraine'!B:Z,COLUMN('Share, Heavy Weapons to Ukraine'!C454)-1,0),0)</f>
        <v>0</v>
      </c>
      <c r="AY444" s="1194">
        <f>VLOOKUP('Bilateral Assistance, MAIN DATA'!B444,'Country Summary (€)'!B:F,COLUMN('Country Summary (€)'!C455)-1,FALSE)</f>
        <v>1</v>
      </c>
      <c r="AZ444" s="1194" t="str">
        <f>IF(AND(AD444=1,D444="Military",H444&lt;&gt;"Not given")=TRUE,IF(SUMIFS(P:P,A:A,A444)&gt;0,ABS((SUMIFS(P:P,A:A,A444)/VLOOKUP("USD",'Exchange Rates'!B:C,2,0)))/S444,"."),".")</f>
        <v>.</v>
      </c>
      <c r="BA444" s="1196" t="str">
        <f>IF(AND(AD444=1,D444="Military",H444&lt;&gt;"Not given")=TRUE,IF(SUMIFS(P:P,A:A,A444)&gt;0,IF((ABS((SUMIFS(P:P,A:A,A444)/VLOOKUP("USD",'Exchange Rates'!B:C,2,0)))/S444)&gt;1,(SUMIFS(P:P,A:A,A444)-S444)/S444,(S444-SUMIFS(P:P,A:A,A444))/SUMIFS(P:P,A:A,A444)),"."),".")</f>
        <v>.</v>
      </c>
    </row>
    <row r="445" spans="1:53" ht="15.95" customHeight="1">
      <c r="A445" s="1182" t="s">
        <v>1534</v>
      </c>
      <c r="B445" s="1182" t="s">
        <v>1523</v>
      </c>
      <c r="C445" s="1181">
        <v>44645</v>
      </c>
      <c r="D445" s="1182" t="s">
        <v>360</v>
      </c>
      <c r="E445" s="1182" t="s">
        <v>371</v>
      </c>
      <c r="F445" s="1183" t="s">
        <v>1535</v>
      </c>
      <c r="G445" s="1184" t="s">
        <v>456</v>
      </c>
      <c r="H445" s="1185" t="s">
        <v>457</v>
      </c>
      <c r="I445" s="1180" t="s">
        <v>1539</v>
      </c>
      <c r="J445" s="1186" t="str">
        <f>VLOOKUP($I445,'Price List, Weapons &amp; Items'!B:C,2,0)</f>
        <v>Military equipment</v>
      </c>
      <c r="K445" s="1186" t="str">
        <f>IF(I445=".",I445,VLOOKUP($I445,'Price List, Weapons &amp; Items'!B:D,3,0))</f>
        <v>non combat military vehicle</v>
      </c>
      <c r="L445" s="1187">
        <f>VLOOKUP(I445,'Price List, Weapons &amp; Items'!B:E,4,0)</f>
        <v>0</v>
      </c>
      <c r="M445" s="1188">
        <v>23</v>
      </c>
      <c r="N445" s="1188" t="s">
        <v>374</v>
      </c>
      <c r="O445" s="1188" t="str">
        <f>VLOOKUP($I445,'Price List, Weapons &amp; Items'!B:G,6,0)</f>
        <v>.</v>
      </c>
      <c r="P445" s="1185" t="str">
        <f t="shared" si="93"/>
        <v>No price</v>
      </c>
      <c r="Q445" s="1185" t="str">
        <f t="shared" si="94"/>
        <v>.</v>
      </c>
      <c r="R445" s="1185" t="str">
        <f t="shared" si="90"/>
        <v/>
      </c>
      <c r="S445" s="1185" t="str">
        <f>IF(AND(AD445=1,R445&lt;&gt;".")=TRUE,R445/VLOOKUP(G445,'Exchange Rates'!B:C,2,0),IF(R445=".",".",""))</f>
        <v/>
      </c>
      <c r="T445" s="1185" t="str">
        <f>IF(AD445=1,IF(AF445="Value is not given at all",".",IF(AF445="Value is given by the source",S445,IF(AF445="Value is calculated with prices",(IF(SUMIFS(Q:Q,A:A,A445)&gt;0,SUMIFS(Q:Q,A:A,A445),"."))/VLOOKUP("USD",'Exchange Rates'!B:C,2,0),"Error with coding"))),"")</f>
        <v/>
      </c>
      <c r="U445" s="1184" t="s">
        <v>365</v>
      </c>
      <c r="V445" s="974" t="s">
        <v>1536</v>
      </c>
      <c r="W445" s="974" t="s">
        <v>1537</v>
      </c>
      <c r="X445" s="1183" t="s">
        <v>364</v>
      </c>
      <c r="Y445" s="1183" t="s">
        <v>364</v>
      </c>
      <c r="Z445" s="1184">
        <v>0</v>
      </c>
      <c r="AA445" s="1194">
        <v>0</v>
      </c>
      <c r="AB445" s="1201" t="s">
        <v>364</v>
      </c>
      <c r="AC445" s="1192" t="str">
        <f>""</f>
        <v/>
      </c>
      <c r="AD445" s="1193">
        <v>0</v>
      </c>
      <c r="AE445" s="1193" t="s">
        <v>436</v>
      </c>
      <c r="AF445" s="1193" t="s">
        <v>369</v>
      </c>
      <c r="AG445" s="1193">
        <v>1</v>
      </c>
      <c r="AH445" s="1193">
        <v>3</v>
      </c>
      <c r="AI445" s="1193">
        <v>0</v>
      </c>
      <c r="AJ445" s="1193">
        <f>VLOOKUP($I445,'Price List, Weapons &amp; Items'!B:F,5,0)</f>
        <v>0</v>
      </c>
      <c r="AK445" s="1193">
        <f t="shared" si="95"/>
        <v>0</v>
      </c>
      <c r="AL445" s="1193">
        <f t="shared" si="96"/>
        <v>0</v>
      </c>
      <c r="AM445" s="1193">
        <f t="shared" si="97"/>
        <v>0</v>
      </c>
      <c r="AN445" s="1194" t="str">
        <f>VLOOKUP($I445,'Price List, Weapons &amp; Items'!B:L,COLUMN('Price List, Weapons &amp; Items'!$J$11)-1,0)</f>
        <v>.</v>
      </c>
      <c r="AO445" s="1194" t="str">
        <f>IF(I445=".",".",VLOOKUP($I445,'Price List, Weapons &amp; Items'!B:J,3,0))</f>
        <v>non combat military vehicle</v>
      </c>
      <c r="AP445" s="1195" t="str">
        <f t="shared" ca="1" si="91"/>
        <v/>
      </c>
      <c r="AQ445" s="1194">
        <f>VLOOKUP($I445,'Price List, Weapons &amp; Items'!B:L,COLUMN('Price List, Weapons &amp; Items'!$L$11)-1,0)</f>
        <v>0</v>
      </c>
      <c r="AR445" s="1194">
        <f t="shared" si="98"/>
        <v>1</v>
      </c>
      <c r="AS445" s="1194">
        <f t="shared" si="99"/>
        <v>0</v>
      </c>
      <c r="AT445" s="1194">
        <f t="shared" si="100"/>
        <v>1</v>
      </c>
      <c r="AU445" s="1194" t="str">
        <f t="shared" si="101"/>
        <v>.</v>
      </c>
      <c r="AV445" s="1194" t="str">
        <f t="shared" si="92"/>
        <v>.</v>
      </c>
      <c r="AW445" s="1194" t="str">
        <f t="shared" si="102"/>
        <v>.</v>
      </c>
      <c r="AX445" s="1194">
        <f>IFERROR(VLOOKUP(B445,'Share, Heavy Weapons to Ukraine'!B:Z,COLUMN('Share, Heavy Weapons to Ukraine'!C455)-1,0),0)</f>
        <v>0</v>
      </c>
      <c r="AY445" s="1194">
        <f>VLOOKUP('Bilateral Assistance, MAIN DATA'!B445,'Country Summary (€)'!B:F,COLUMN('Country Summary (€)'!C456)-1,FALSE)</f>
        <v>1</v>
      </c>
      <c r="AZ445" s="1194" t="str">
        <f>IF(AND(AD445=1,D445="Military",H445&lt;&gt;"Not given")=TRUE,IF(SUMIFS(P:P,A:A,A445)&gt;0,ABS((SUMIFS(P:P,A:A,A445)/VLOOKUP("USD",'Exchange Rates'!B:C,2,0)))/S445,"."),".")</f>
        <v>.</v>
      </c>
      <c r="BA445" s="1196" t="str">
        <f>IF(AND(AD445=1,D445="Military",H445&lt;&gt;"Not given")=TRUE,IF(SUMIFS(P:P,A:A,A445)&gt;0,IF((ABS((SUMIFS(P:P,A:A,A445)/VLOOKUP("USD",'Exchange Rates'!B:C,2,0)))/S445)&gt;1,(SUMIFS(P:P,A:A,A445)-S445)/S445,(S445-SUMIFS(P:P,A:A,A445))/SUMIFS(P:P,A:A,A445)),"."),".")</f>
        <v>.</v>
      </c>
    </row>
    <row r="446" spans="1:53" ht="15.95" customHeight="1">
      <c r="A446" s="1182" t="s">
        <v>1534</v>
      </c>
      <c r="B446" s="1182" t="s">
        <v>1523</v>
      </c>
      <c r="C446" s="1181">
        <v>44645</v>
      </c>
      <c r="D446" s="1182" t="s">
        <v>360</v>
      </c>
      <c r="E446" s="1182" t="s">
        <v>371</v>
      </c>
      <c r="F446" s="1183" t="s">
        <v>1535</v>
      </c>
      <c r="G446" s="1184" t="s">
        <v>456</v>
      </c>
      <c r="H446" s="1185" t="s">
        <v>457</v>
      </c>
      <c r="I446" s="1180" t="s">
        <v>1540</v>
      </c>
      <c r="J446" s="1186" t="str">
        <f>VLOOKUP($I446,'Price List, Weapons &amp; Items'!B:C,2,0)</f>
        <v>Humanitarian</v>
      </c>
      <c r="K446" s="1186" t="str">
        <f>IF(I446=".",I446,VLOOKUP($I446,'Price List, Weapons &amp; Items'!B:D,3,0))</f>
        <v>Humanitarian</v>
      </c>
      <c r="L446" s="1187">
        <f>VLOOKUP(I446,'Price List, Weapons &amp; Items'!B:E,4,0)</f>
        <v>0</v>
      </c>
      <c r="M446" s="1188">
        <v>49</v>
      </c>
      <c r="N446" s="1188" t="s">
        <v>374</v>
      </c>
      <c r="O446" s="1188">
        <f>VLOOKUP($I446,'Price List, Weapons &amp; Items'!B:G,6,0)</f>
        <v>10000</v>
      </c>
      <c r="P446" s="1185">
        <f t="shared" si="93"/>
        <v>490000</v>
      </c>
      <c r="Q446" s="1185" t="str">
        <f t="shared" si="94"/>
        <v>.</v>
      </c>
      <c r="R446" s="1185" t="str">
        <f t="shared" si="90"/>
        <v/>
      </c>
      <c r="S446" s="1185" t="str">
        <f>IF(AND(AD446=1,R446&lt;&gt;".")=TRUE,R446/VLOOKUP(G446,'Exchange Rates'!B:C,2,0),IF(R446=".",".",""))</f>
        <v/>
      </c>
      <c r="T446" s="1185" t="str">
        <f>IF(AD446=1,IF(AF446="Value is not given at all",".",IF(AF446="Value is given by the source",S446,IF(AF446="Value is calculated with prices",(IF(SUMIFS(Q:Q,A:A,A446)&gt;0,SUMIFS(Q:Q,A:A,A446),"."))/VLOOKUP("USD",'Exchange Rates'!B:C,2,0),"Error with coding"))),"")</f>
        <v/>
      </c>
      <c r="U446" s="1184" t="s">
        <v>365</v>
      </c>
      <c r="V446" s="974" t="s">
        <v>1536</v>
      </c>
      <c r="W446" s="974" t="s">
        <v>1537</v>
      </c>
      <c r="X446" s="1183" t="s">
        <v>364</v>
      </c>
      <c r="Y446" s="1183" t="s">
        <v>364</v>
      </c>
      <c r="Z446" s="1184">
        <v>0</v>
      </c>
      <c r="AA446" s="1194">
        <v>0</v>
      </c>
      <c r="AB446" s="1201" t="s">
        <v>364</v>
      </c>
      <c r="AC446" s="1192" t="str">
        <f>""</f>
        <v/>
      </c>
      <c r="AD446" s="1193">
        <v>0</v>
      </c>
      <c r="AE446" s="1193" t="s">
        <v>436</v>
      </c>
      <c r="AF446" s="1193" t="s">
        <v>369</v>
      </c>
      <c r="AG446" s="1193">
        <v>1</v>
      </c>
      <c r="AH446" s="1193">
        <v>3</v>
      </c>
      <c r="AI446" s="1193">
        <v>0</v>
      </c>
      <c r="AJ446" s="1193">
        <f>VLOOKUP($I446,'Price List, Weapons &amp; Items'!B:F,5,0)</f>
        <v>0</v>
      </c>
      <c r="AK446" s="1193">
        <f t="shared" si="95"/>
        <v>0</v>
      </c>
      <c r="AL446" s="1193">
        <f t="shared" si="96"/>
        <v>0</v>
      </c>
      <c r="AM446" s="1193">
        <f t="shared" si="97"/>
        <v>0</v>
      </c>
      <c r="AN446" s="1194" t="str">
        <f>VLOOKUP($I446,'Price List, Weapons &amp; Items'!B:L,COLUMN('Price List, Weapons &amp; Items'!$J$11)-1,0)</f>
        <v>Miscellaneous</v>
      </c>
      <c r="AO446" s="1194" t="str">
        <f>IF(I446=".",".",VLOOKUP($I446,'Price List, Weapons &amp; Items'!B:J,3,0))</f>
        <v>Humanitarian</v>
      </c>
      <c r="AP446" s="1195" t="str">
        <f t="shared" ca="1" si="91"/>
        <v/>
      </c>
      <c r="AQ446" s="1194">
        <f>VLOOKUP($I446,'Price List, Weapons &amp; Items'!B:L,COLUMN('Price List, Weapons &amp; Items'!$L$11)-1,0)</f>
        <v>0</v>
      </c>
      <c r="AR446" s="1194">
        <f t="shared" si="98"/>
        <v>1</v>
      </c>
      <c r="AS446" s="1194">
        <f t="shared" si="99"/>
        <v>0</v>
      </c>
      <c r="AT446" s="1194">
        <f t="shared" si="100"/>
        <v>1</v>
      </c>
      <c r="AU446" s="1194" t="str">
        <f t="shared" si="101"/>
        <v>.</v>
      </c>
      <c r="AV446" s="1194" t="str">
        <f t="shared" si="92"/>
        <v>.</v>
      </c>
      <c r="AW446" s="1194" t="str">
        <f t="shared" si="102"/>
        <v>.</v>
      </c>
      <c r="AX446" s="1194">
        <f>IFERROR(VLOOKUP(B446,'Share, Heavy Weapons to Ukraine'!B:Z,COLUMN('Share, Heavy Weapons to Ukraine'!C456)-1,0),0)</f>
        <v>0</v>
      </c>
      <c r="AY446" s="1194">
        <f>VLOOKUP('Bilateral Assistance, MAIN DATA'!B446,'Country Summary (€)'!B:F,COLUMN('Country Summary (€)'!C457)-1,FALSE)</f>
        <v>1</v>
      </c>
      <c r="AZ446" s="1194" t="str">
        <f>IF(AND(AD446=1,D446="Military",H446&lt;&gt;"Not given")=TRUE,IF(SUMIFS(P:P,A:A,A446)&gt;0,ABS((SUMIFS(P:P,A:A,A446)/VLOOKUP("USD",'Exchange Rates'!B:C,2,0)))/S446,"."),".")</f>
        <v>.</v>
      </c>
      <c r="BA446" s="1196" t="str">
        <f>IF(AND(AD446=1,D446="Military",H446&lt;&gt;"Not given")=TRUE,IF(SUMIFS(P:P,A:A,A446)&gt;0,IF((ABS((SUMIFS(P:P,A:A,A446)/VLOOKUP("USD",'Exchange Rates'!B:C,2,0)))/S446)&gt;1,(SUMIFS(P:P,A:A,A446)-S446)/S446,(S446-SUMIFS(P:P,A:A,A446))/SUMIFS(P:P,A:A,A446)),"."),".")</f>
        <v>.</v>
      </c>
    </row>
    <row r="447" spans="1:53" ht="15.95" customHeight="1">
      <c r="A447" s="1182" t="s">
        <v>1541</v>
      </c>
      <c r="B447" s="1182" t="s">
        <v>1523</v>
      </c>
      <c r="C447" s="1181">
        <v>44665</v>
      </c>
      <c r="D447" s="1182" t="s">
        <v>360</v>
      </c>
      <c r="E447" s="1182" t="s">
        <v>1542</v>
      </c>
      <c r="F447" s="1183" t="s">
        <v>1543</v>
      </c>
      <c r="G447" s="1184" t="s">
        <v>456</v>
      </c>
      <c r="H447" s="1185" t="s">
        <v>457</v>
      </c>
      <c r="I447" s="1180" t="s">
        <v>1156</v>
      </c>
      <c r="J447" s="1186" t="str">
        <f>VLOOKUP($I447,'Price List, Weapons &amp; Items'!B:C,2,0)</f>
        <v>Humanitarian</v>
      </c>
      <c r="K447" s="1186" t="str">
        <f>IF(I447=".",I447,VLOOKUP($I447,'Price List, Weapons &amp; Items'!B:D,3,0))</f>
        <v>Humanitarian</v>
      </c>
      <c r="L447" s="1187">
        <f>VLOOKUP(I447,'Price List, Weapons &amp; Items'!B:E,4,0)</f>
        <v>0</v>
      </c>
      <c r="M447" s="1188">
        <v>12</v>
      </c>
      <c r="N447" s="1188">
        <v>12</v>
      </c>
      <c r="O447" s="1188">
        <f>VLOOKUP($I447,'Price List, Weapons &amp; Items'!B:G,6,0)</f>
        <v>400000</v>
      </c>
      <c r="P447" s="1185">
        <f t="shared" si="93"/>
        <v>4800000</v>
      </c>
      <c r="Q447" s="1185">
        <f t="shared" si="94"/>
        <v>4800000</v>
      </c>
      <c r="R447" s="1185">
        <f t="shared" si="90"/>
        <v>11000000</v>
      </c>
      <c r="S447" s="1185">
        <f>IF(AND(AD447=1,R447&lt;&gt;".")=TRUE,R447/VLOOKUP(G447,'Exchange Rates'!B:C,2,0),IF(R447=".",".",""))</f>
        <v>10121457.489878543</v>
      </c>
      <c r="T447" s="1185" t="str">
        <f>IF(AD447=1,IF(AF447="Value is not given at all",".",IF(AF447="Value is given by the source",S447,IF(AF447="Value is calculated with prices",(IF(SUMIFS(Q:Q,A:A,A447)&gt;0,SUMIFS(Q:Q,A:A,A447),"."))/VLOOKUP("USD",'Exchange Rates'!B:C,2,0),"Error with coding"))),"")</f>
        <v>.</v>
      </c>
      <c r="U447" s="1184" t="s">
        <v>365</v>
      </c>
      <c r="V447" s="1007" t="s">
        <v>1544</v>
      </c>
      <c r="W447" s="987" t="s">
        <v>1545</v>
      </c>
      <c r="X447" s="1183" t="s">
        <v>364</v>
      </c>
      <c r="Y447" s="1183" t="s">
        <v>364</v>
      </c>
      <c r="Z447" s="1184">
        <v>0</v>
      </c>
      <c r="AA447" s="1194">
        <v>0</v>
      </c>
      <c r="AB447" s="1201" t="s">
        <v>364</v>
      </c>
      <c r="AC447" s="1192" t="str">
        <f>""</f>
        <v/>
      </c>
      <c r="AD447" s="1193">
        <v>1</v>
      </c>
      <c r="AE447" s="1193" t="s">
        <v>436</v>
      </c>
      <c r="AF447" s="1193" t="s">
        <v>369</v>
      </c>
      <c r="AG447" s="1193">
        <v>1</v>
      </c>
      <c r="AH447" s="1193">
        <v>4</v>
      </c>
      <c r="AI447" s="1193">
        <v>0</v>
      </c>
      <c r="AJ447" s="1193">
        <f>VLOOKUP($I447,'Price List, Weapons &amp; Items'!B:F,5,0)</f>
        <v>0</v>
      </c>
      <c r="AK447" s="1193">
        <f t="shared" si="95"/>
        <v>0</v>
      </c>
      <c r="AL447" s="1193">
        <f t="shared" si="96"/>
        <v>0</v>
      </c>
      <c r="AM447" s="1193">
        <f t="shared" si="97"/>
        <v>0</v>
      </c>
      <c r="AN447" s="1194" t="str">
        <f>VLOOKUP($I447,'Price List, Weapons &amp; Items'!B:L,COLUMN('Price List, Weapons &amp; Items'!$J$11)-1,0)</f>
        <v>Media reports (incl. social media)</v>
      </c>
      <c r="AO447" s="1194" t="str">
        <f>IF(I447=".",".",VLOOKUP($I447,'Price List, Weapons &amp; Items'!B:J,3,0))</f>
        <v>Humanitarian</v>
      </c>
      <c r="AP447" s="1195" t="str">
        <f t="shared" ca="1" si="91"/>
        <v>fire-engine</v>
      </c>
      <c r="AQ447" s="1194">
        <f>VLOOKUP($I447,'Price List, Weapons &amp; Items'!B:L,COLUMN('Price List, Weapons &amp; Items'!$L$11)-1,0)</f>
        <v>0</v>
      </c>
      <c r="AR447" s="1194">
        <f t="shared" si="98"/>
        <v>1</v>
      </c>
      <c r="AS447" s="1194">
        <f t="shared" si="99"/>
        <v>0</v>
      </c>
      <c r="AT447" s="1194">
        <f t="shared" si="100"/>
        <v>1</v>
      </c>
      <c r="AU447" s="1194" t="str">
        <f t="shared" si="101"/>
        <v>.</v>
      </c>
      <c r="AV447" s="1194" t="str">
        <f t="shared" si="92"/>
        <v>.</v>
      </c>
      <c r="AW447" s="1194" t="str">
        <f t="shared" si="102"/>
        <v>.</v>
      </c>
      <c r="AX447" s="1194">
        <f>IFERROR(VLOOKUP(B447,'Share, Heavy Weapons to Ukraine'!B:Z,COLUMN('Share, Heavy Weapons to Ukraine'!C457)-1,0),0)</f>
        <v>0</v>
      </c>
      <c r="AY447" s="1194">
        <f>VLOOKUP('Bilateral Assistance, MAIN DATA'!B447,'Country Summary (€)'!B:F,COLUMN('Country Summary (€)'!C458)-1,FALSE)</f>
        <v>1</v>
      </c>
      <c r="AZ447" s="1194" t="str">
        <f>IF(AND(AD447=1,D447="Military",H447&lt;&gt;"Not given")=TRUE,IF(SUMIFS(P:P,A:A,A447)&gt;0,ABS((SUMIFS(P:P,A:A,A447)/VLOOKUP("USD",'Exchange Rates'!B:C,2,0)))/S447,"."),".")</f>
        <v>.</v>
      </c>
      <c r="BA447" s="1196" t="str">
        <f>IF(AND(AD447=1,D447="Military",H447&lt;&gt;"Not given")=TRUE,IF(SUMIFS(P:P,A:A,A447)&gt;0,IF((ABS((SUMIFS(P:P,A:A,A447)/VLOOKUP("USD",'Exchange Rates'!B:C,2,0)))/S447)&gt;1,(SUMIFS(P:P,A:A,A447)-S447)/S447,(S447-SUMIFS(P:P,A:A,A447))/SUMIFS(P:P,A:A,A447)),"."),".")</f>
        <v>.</v>
      </c>
    </row>
    <row r="448" spans="1:53" ht="15.95" customHeight="1">
      <c r="A448" s="1182" t="s">
        <v>1541</v>
      </c>
      <c r="B448" s="1182" t="s">
        <v>1523</v>
      </c>
      <c r="C448" s="1181">
        <v>44665</v>
      </c>
      <c r="D448" s="1182" t="s">
        <v>360</v>
      </c>
      <c r="E448" s="1182" t="s">
        <v>371</v>
      </c>
      <c r="F448" s="1183" t="s">
        <v>1543</v>
      </c>
      <c r="G448" s="1184" t="s">
        <v>456</v>
      </c>
      <c r="H448" s="1185" t="s">
        <v>457</v>
      </c>
      <c r="I448" s="1180" t="s">
        <v>1546</v>
      </c>
      <c r="J448" s="1186" t="str">
        <f>VLOOKUP($I448,'Price List, Weapons &amp; Items'!B:C,2,0)</f>
        <v>Humanitarian</v>
      </c>
      <c r="K448" s="1186" t="str">
        <f>IF(I448=".",I448,VLOOKUP($I448,'Price List, Weapons &amp; Items'!B:D,3,0))</f>
        <v>Humanitarian</v>
      </c>
      <c r="L448" s="1187">
        <f>VLOOKUP(I448,'Price List, Weapons &amp; Items'!B:E,4,0)</f>
        <v>0</v>
      </c>
      <c r="M448" s="1188">
        <v>12</v>
      </c>
      <c r="N448" s="1188">
        <v>12</v>
      </c>
      <c r="O448" s="1188">
        <f>VLOOKUP($I448,'Price List, Weapons &amp; Items'!B:G,6,0)</f>
        <v>400000</v>
      </c>
      <c r="P448" s="1185">
        <f t="shared" si="93"/>
        <v>4800000</v>
      </c>
      <c r="Q448" s="1185">
        <f t="shared" si="94"/>
        <v>4800000</v>
      </c>
      <c r="R448" s="1185" t="str">
        <f t="shared" si="90"/>
        <v/>
      </c>
      <c r="S448" s="1185" t="str">
        <f>IF(AND(AD448=1,R448&lt;&gt;".")=TRUE,R448/VLOOKUP(G448,'Exchange Rates'!B:C,2,0),IF(R448=".",".",""))</f>
        <v/>
      </c>
      <c r="T448" s="1185" t="str">
        <f>IF(AD448=1,IF(AF448="Value is not given at all",".",IF(AF448="Value is given by the source",S448,IF(AF448="Value is calculated with prices",(IF(SUMIFS(Q:Q,A:A,A448)&gt;0,SUMIFS(Q:Q,A:A,A448),"."))/VLOOKUP("USD",'Exchange Rates'!B:C,2,0),"Error with coding"))),"")</f>
        <v/>
      </c>
      <c r="U448" s="1184" t="s">
        <v>365</v>
      </c>
      <c r="V448" s="1007" t="s">
        <v>1544</v>
      </c>
      <c r="W448" s="987" t="s">
        <v>1547</v>
      </c>
      <c r="X448" s="1183" t="s">
        <v>364</v>
      </c>
      <c r="Y448" s="1183" t="s">
        <v>364</v>
      </c>
      <c r="Z448" s="1184">
        <v>0</v>
      </c>
      <c r="AA448" s="1194">
        <v>0</v>
      </c>
      <c r="AB448" s="1201" t="s">
        <v>364</v>
      </c>
      <c r="AC448" s="1192" t="str">
        <f>""</f>
        <v/>
      </c>
      <c r="AD448" s="1193">
        <v>0</v>
      </c>
      <c r="AE448" s="1193" t="s">
        <v>436</v>
      </c>
      <c r="AF448" s="1193" t="s">
        <v>436</v>
      </c>
      <c r="AG448" s="1193">
        <v>1</v>
      </c>
      <c r="AH448" s="1193">
        <v>4</v>
      </c>
      <c r="AI448" s="1193">
        <v>0</v>
      </c>
      <c r="AJ448" s="1193">
        <f>VLOOKUP($I448,'Price List, Weapons &amp; Items'!B:F,5,0)</f>
        <v>0</v>
      </c>
      <c r="AK448" s="1193">
        <f t="shared" si="95"/>
        <v>0</v>
      </c>
      <c r="AL448" s="1193">
        <f t="shared" si="96"/>
        <v>0</v>
      </c>
      <c r="AM448" s="1193">
        <f t="shared" si="97"/>
        <v>0</v>
      </c>
      <c r="AN448" s="1194" t="str">
        <f>VLOOKUP($I448,'Price List, Weapons &amp; Items'!B:L,COLUMN('Price List, Weapons &amp; Items'!$J$11)-1,0)</f>
        <v>Miscellaneous</v>
      </c>
      <c r="AO448" s="1194" t="str">
        <f>IF(I448=".",".",VLOOKUP($I448,'Price List, Weapons &amp; Items'!B:J,3,0))</f>
        <v>Humanitarian</v>
      </c>
      <c r="AP448" s="1195" t="str">
        <f t="shared" ca="1" si="91"/>
        <v/>
      </c>
      <c r="AQ448" s="1194">
        <f>VLOOKUP($I448,'Price List, Weapons &amp; Items'!B:L,COLUMN('Price List, Weapons &amp; Items'!$L$11)-1,0)</f>
        <v>0</v>
      </c>
      <c r="AR448" s="1194">
        <f t="shared" si="98"/>
        <v>1</v>
      </c>
      <c r="AS448" s="1194">
        <f t="shared" si="99"/>
        <v>0</v>
      </c>
      <c r="AT448" s="1194">
        <f t="shared" si="100"/>
        <v>1</v>
      </c>
      <c r="AU448" s="1194" t="str">
        <f t="shared" si="101"/>
        <v>.</v>
      </c>
      <c r="AV448" s="1194" t="str">
        <f t="shared" si="92"/>
        <v>.</v>
      </c>
      <c r="AW448" s="1194" t="str">
        <f t="shared" si="102"/>
        <v>.</v>
      </c>
      <c r="AX448" s="1194">
        <f>IFERROR(VLOOKUP(B448,'Share, Heavy Weapons to Ukraine'!B:Z,COLUMN('Share, Heavy Weapons to Ukraine'!C458)-1,0),0)</f>
        <v>0</v>
      </c>
      <c r="AY448" s="1194">
        <f>VLOOKUP('Bilateral Assistance, MAIN DATA'!B448,'Country Summary (€)'!B:F,COLUMN('Country Summary (€)'!C459)-1,FALSE)</f>
        <v>1</v>
      </c>
      <c r="AZ448" s="1194" t="str">
        <f>IF(AND(AD448=1,D448="Military",H448&lt;&gt;"Not given")=TRUE,IF(SUMIFS(P:P,A:A,A448)&gt;0,ABS((SUMIFS(P:P,A:A,A448)/VLOOKUP("USD",'Exchange Rates'!B:C,2,0)))/S448,"."),".")</f>
        <v>.</v>
      </c>
      <c r="BA448" s="1196" t="str">
        <f>IF(AND(AD448=1,D448="Military",H448&lt;&gt;"Not given")=TRUE,IF(SUMIFS(P:P,A:A,A448)&gt;0,IF((ABS((SUMIFS(P:P,A:A,A448)/VLOOKUP("USD",'Exchange Rates'!B:C,2,0)))/S448)&gt;1,(SUMIFS(P:P,A:A,A448)-S448)/S448,(S448-SUMIFS(P:P,A:A,A448))/SUMIFS(P:P,A:A,A448)),"."),".")</f>
        <v>.</v>
      </c>
    </row>
    <row r="449" spans="1:53" ht="15.95" customHeight="1">
      <c r="A449" s="1182" t="s">
        <v>1541</v>
      </c>
      <c r="B449" s="1182" t="s">
        <v>1523</v>
      </c>
      <c r="C449" s="1181">
        <v>44665</v>
      </c>
      <c r="D449" s="1182" t="s">
        <v>360</v>
      </c>
      <c r="E449" s="1182" t="s">
        <v>371</v>
      </c>
      <c r="F449" s="1183" t="s">
        <v>1543</v>
      </c>
      <c r="G449" s="1184" t="s">
        <v>456</v>
      </c>
      <c r="H449" s="1185" t="s">
        <v>457</v>
      </c>
      <c r="I449" s="1180" t="s">
        <v>1548</v>
      </c>
      <c r="J449" s="1186" t="str">
        <f>VLOOKUP($I449,'Price List, Weapons &amp; Items'!B:C,2,0)</f>
        <v>Military equipment</v>
      </c>
      <c r="K449" s="1186" t="str">
        <f>IF(I449=".",I449,VLOOKUP($I449,'Price List, Weapons &amp; Items'!B:D,3,0))</f>
        <v>non combat military vehicle</v>
      </c>
      <c r="L449" s="1187">
        <f>VLOOKUP(I449,'Price List, Weapons &amp; Items'!B:E,4,0)</f>
        <v>0</v>
      </c>
      <c r="M449" s="1188">
        <v>4</v>
      </c>
      <c r="N449" s="1188">
        <v>4</v>
      </c>
      <c r="O449" s="1188">
        <f>VLOOKUP($I449,'Price List, Weapons &amp; Items'!B:G,6,0)</f>
        <v>350000</v>
      </c>
      <c r="P449" s="1185">
        <f t="shared" si="93"/>
        <v>1400000</v>
      </c>
      <c r="Q449" s="1185">
        <f t="shared" si="94"/>
        <v>1400000</v>
      </c>
      <c r="R449" s="1185" t="str">
        <f t="shared" si="90"/>
        <v/>
      </c>
      <c r="S449" s="1185" t="str">
        <f>IF(AND(AD449=1,R449&lt;&gt;".")=TRUE,R449/VLOOKUP(G449,'Exchange Rates'!B:C,2,0),IF(R449=".",".",""))</f>
        <v/>
      </c>
      <c r="T449" s="1185" t="str">
        <f>IF(AD449=1,IF(AF449="Value is not given at all",".",IF(AF449="Value is given by the source",S449,IF(AF449="Value is calculated with prices",(IF(SUMIFS(Q:Q,A:A,A449)&gt;0,SUMIFS(Q:Q,A:A,A449),"."))/VLOOKUP("USD",'Exchange Rates'!B:C,2,0),"Error with coding"))),"")</f>
        <v/>
      </c>
      <c r="U449" s="1184" t="s">
        <v>365</v>
      </c>
      <c r="V449" s="1007" t="s">
        <v>1544</v>
      </c>
      <c r="W449" s="987" t="s">
        <v>1549</v>
      </c>
      <c r="X449" s="1183" t="s">
        <v>364</v>
      </c>
      <c r="Y449" s="1183" t="s">
        <v>364</v>
      </c>
      <c r="Z449" s="1184">
        <v>0</v>
      </c>
      <c r="AA449" s="1194">
        <v>0</v>
      </c>
      <c r="AB449" s="1201" t="s">
        <v>364</v>
      </c>
      <c r="AC449" s="1192" t="str">
        <f>""</f>
        <v/>
      </c>
      <c r="AD449" s="1193">
        <v>0</v>
      </c>
      <c r="AE449" s="1193" t="s">
        <v>436</v>
      </c>
      <c r="AF449" s="1193" t="s">
        <v>436</v>
      </c>
      <c r="AG449" s="1193">
        <v>1</v>
      </c>
      <c r="AH449" s="1193">
        <v>4</v>
      </c>
      <c r="AI449" s="1193">
        <v>0</v>
      </c>
      <c r="AJ449" s="1193">
        <f>VLOOKUP($I449,'Price List, Weapons &amp; Items'!B:F,5,0)</f>
        <v>0</v>
      </c>
      <c r="AK449" s="1193">
        <f t="shared" si="95"/>
        <v>0</v>
      </c>
      <c r="AL449" s="1193">
        <f t="shared" si="96"/>
        <v>0</v>
      </c>
      <c r="AM449" s="1193">
        <f t="shared" si="97"/>
        <v>0</v>
      </c>
      <c r="AN449" s="1194" t="str">
        <f>VLOOKUP($I449,'Price List, Weapons &amp; Items'!B:L,COLUMN('Price List, Weapons &amp; Items'!$J$11)-1,0)</f>
        <v>Media reports (incl. social media)</v>
      </c>
      <c r="AO449" s="1194" t="str">
        <f>IF(I449=".",".",VLOOKUP($I449,'Price List, Weapons &amp; Items'!B:J,3,0))</f>
        <v>non combat military vehicle</v>
      </c>
      <c r="AP449" s="1195" t="str">
        <f t="shared" ca="1" si="91"/>
        <v/>
      </c>
      <c r="AQ449" s="1194">
        <f>VLOOKUP($I449,'Price List, Weapons &amp; Items'!B:L,COLUMN('Price List, Weapons &amp; Items'!$L$11)-1,0)</f>
        <v>2</v>
      </c>
      <c r="AR449" s="1194">
        <f t="shared" si="98"/>
        <v>1</v>
      </c>
      <c r="AS449" s="1194">
        <f t="shared" si="99"/>
        <v>0</v>
      </c>
      <c r="AT449" s="1194">
        <f t="shared" si="100"/>
        <v>1</v>
      </c>
      <c r="AU449" s="1194" t="str">
        <f t="shared" si="101"/>
        <v>.</v>
      </c>
      <c r="AV449" s="1194" t="str">
        <f t="shared" si="92"/>
        <v>.</v>
      </c>
      <c r="AW449" s="1194" t="str">
        <f t="shared" si="102"/>
        <v>.</v>
      </c>
      <c r="AX449" s="1194">
        <f>IFERROR(VLOOKUP(B449,'Share, Heavy Weapons to Ukraine'!B:Z,COLUMN('Share, Heavy Weapons to Ukraine'!C459)-1,0),0)</f>
        <v>0</v>
      </c>
      <c r="AY449" s="1194">
        <f>VLOOKUP('Bilateral Assistance, MAIN DATA'!B449,'Country Summary (€)'!B:F,COLUMN('Country Summary (€)'!C460)-1,FALSE)</f>
        <v>1</v>
      </c>
      <c r="AZ449" s="1194" t="str">
        <f>IF(AND(AD449=1,D449="Military",H449&lt;&gt;"Not given")=TRUE,IF(SUMIFS(P:P,A:A,A449)&gt;0,ABS((SUMIFS(P:P,A:A,A449)/VLOOKUP("USD",'Exchange Rates'!B:C,2,0)))/S449,"."),".")</f>
        <v>.</v>
      </c>
      <c r="BA449" s="1196" t="str">
        <f>IF(AND(AD449=1,D449="Military",H449&lt;&gt;"Not given")=TRUE,IF(SUMIFS(P:P,A:A,A449)&gt;0,IF((ABS((SUMIFS(P:P,A:A,A449)/VLOOKUP("USD",'Exchange Rates'!B:C,2,0)))/S449)&gt;1,(SUMIFS(P:P,A:A,A449)-S449)/S449,(S449-SUMIFS(P:P,A:A,A449))/SUMIFS(P:P,A:A,A449)),"."),".")</f>
        <v>.</v>
      </c>
    </row>
    <row r="450" spans="1:53" ht="15.95" customHeight="1">
      <c r="A450" s="1182" t="s">
        <v>1541</v>
      </c>
      <c r="B450" s="1182" t="s">
        <v>1523</v>
      </c>
      <c r="C450" s="1181">
        <v>44665</v>
      </c>
      <c r="D450" s="1182" t="s">
        <v>360</v>
      </c>
      <c r="E450" s="1182" t="s">
        <v>371</v>
      </c>
      <c r="F450" s="1183" t="s">
        <v>1543</v>
      </c>
      <c r="G450" s="1184" t="s">
        <v>456</v>
      </c>
      <c r="H450" s="1185" t="s">
        <v>457</v>
      </c>
      <c r="I450" s="1180" t="s">
        <v>1550</v>
      </c>
      <c r="J450" s="1186" t="str">
        <f>VLOOKUP($I450,'Price List, Weapons &amp; Items'!B:C,2,0)</f>
        <v>Humanitarian</v>
      </c>
      <c r="K450" s="1186" t="str">
        <f>IF(I450=".",I450,VLOOKUP($I450,'Price List, Weapons &amp; Items'!B:D,3,0))</f>
        <v>Humanitarian</v>
      </c>
      <c r="L450" s="1187">
        <f>VLOOKUP(I450,'Price List, Weapons &amp; Items'!B:E,4,0)</f>
        <v>0</v>
      </c>
      <c r="M450" s="1188" t="s">
        <v>374</v>
      </c>
      <c r="N450" s="1188" t="s">
        <v>374</v>
      </c>
      <c r="O450" s="1188" t="str">
        <f>VLOOKUP($I450,'Price List, Weapons &amp; Items'!B:G,6,0)</f>
        <v>.</v>
      </c>
      <c r="P450" s="1185" t="str">
        <f t="shared" si="93"/>
        <v>.</v>
      </c>
      <c r="Q450" s="1185" t="str">
        <f t="shared" si="94"/>
        <v>.</v>
      </c>
      <c r="R450" s="1185" t="str">
        <f t="shared" ref="R450:R513" si="103">IF(AD450=1,IF(H450&lt;&gt;"Not given",H450,IF(TYPE(H450)=2,IF(SUMIFS(P:P,A:A,A450)&gt;0,SUMIFS(P:P,A:A,A450),"."),"Format error")),"")</f>
        <v/>
      </c>
      <c r="S450" s="1185" t="str">
        <f>IF(AND(AD450=1,R450&lt;&gt;".")=TRUE,R450/VLOOKUP(G450,'Exchange Rates'!B:C,2,0),IF(R450=".",".",""))</f>
        <v/>
      </c>
      <c r="T450" s="1185" t="str">
        <f>IF(AD450=1,IF(AF450="Value is not given at all",".",IF(AF450="Value is given by the source",S450,IF(AF450="Value is calculated with prices",(IF(SUMIFS(Q:Q,A:A,A450)&gt;0,SUMIFS(Q:Q,A:A,A450),"."))/VLOOKUP("USD",'Exchange Rates'!B:C,2,0),"Error with coding"))),"")</f>
        <v/>
      </c>
      <c r="U450" s="1184" t="s">
        <v>365</v>
      </c>
      <c r="V450" s="1007" t="s">
        <v>1544</v>
      </c>
      <c r="W450" s="987" t="s">
        <v>1551</v>
      </c>
      <c r="X450" s="1183" t="s">
        <v>364</v>
      </c>
      <c r="Y450" s="1183" t="s">
        <v>364</v>
      </c>
      <c r="Z450" s="1184">
        <v>0</v>
      </c>
      <c r="AA450" s="1194">
        <v>0</v>
      </c>
      <c r="AB450" s="1201" t="s">
        <v>364</v>
      </c>
      <c r="AC450" s="1192" t="str">
        <f>""</f>
        <v/>
      </c>
      <c r="AD450" s="1193">
        <v>0</v>
      </c>
      <c r="AE450" s="1193" t="s">
        <v>436</v>
      </c>
      <c r="AF450" s="1193" t="s">
        <v>436</v>
      </c>
      <c r="AG450" s="1193">
        <v>1</v>
      </c>
      <c r="AH450" s="1193">
        <v>4</v>
      </c>
      <c r="AI450" s="1193">
        <v>0</v>
      </c>
      <c r="AJ450" s="1193">
        <f>VLOOKUP($I450,'Price List, Weapons &amp; Items'!B:F,5,0)</f>
        <v>0</v>
      </c>
      <c r="AK450" s="1193">
        <f t="shared" si="95"/>
        <v>0</v>
      </c>
      <c r="AL450" s="1193">
        <f t="shared" si="96"/>
        <v>0</v>
      </c>
      <c r="AM450" s="1193">
        <f t="shared" si="97"/>
        <v>0</v>
      </c>
      <c r="AN450" s="1194" t="str">
        <f>VLOOKUP($I450,'Price List, Weapons &amp; Items'!B:L,COLUMN('Price List, Weapons &amp; Items'!$J$11)-1,0)</f>
        <v>.</v>
      </c>
      <c r="AO450" s="1194" t="str">
        <f>IF(I450=".",".",VLOOKUP($I450,'Price List, Weapons &amp; Items'!B:J,3,0))</f>
        <v>Humanitarian</v>
      </c>
      <c r="AP450" s="1195" t="str">
        <f t="shared" ref="AP450:AP513" ca="1" si="104">IF(AD450=1,(OFFSET(I450,0,0,COUNTIF(A:A,A450),1)),"")</f>
        <v/>
      </c>
      <c r="AQ450" s="1194">
        <f>VLOOKUP($I450,'Price List, Weapons &amp; Items'!B:L,COLUMN('Price List, Weapons &amp; Items'!$L$11)-1,0)</f>
        <v>0</v>
      </c>
      <c r="AR450" s="1194">
        <f t="shared" si="98"/>
        <v>1</v>
      </c>
      <c r="AS450" s="1194">
        <f t="shared" si="99"/>
        <v>0</v>
      </c>
      <c r="AT450" s="1194">
        <f t="shared" si="100"/>
        <v>1</v>
      </c>
      <c r="AU450" s="1194" t="str">
        <f t="shared" si="101"/>
        <v>.</v>
      </c>
      <c r="AV450" s="1194" t="str">
        <f t="shared" ref="AV450:AV513" si="105">IF(AND(_xlfn.ISFORMULA(R450),_xlfn.ISFORMULA(S450),_xlfn.ISFORMULA(T450))=TRUE,".",1)</f>
        <v>.</v>
      </c>
      <c r="AW450" s="1194" t="str">
        <f t="shared" si="102"/>
        <v>.</v>
      </c>
      <c r="AX450" s="1194">
        <f>IFERROR(VLOOKUP(B450,'Share, Heavy Weapons to Ukraine'!B:Z,COLUMN('Share, Heavy Weapons to Ukraine'!C460)-1,0),0)</f>
        <v>0</v>
      </c>
      <c r="AY450" s="1194">
        <f>VLOOKUP('Bilateral Assistance, MAIN DATA'!B450,'Country Summary (€)'!B:F,COLUMN('Country Summary (€)'!C461)-1,FALSE)</f>
        <v>1</v>
      </c>
      <c r="AZ450" s="1194" t="str">
        <f>IF(AND(AD450=1,D450="Military",H450&lt;&gt;"Not given")=TRUE,IF(SUMIFS(P:P,A:A,A450)&gt;0,ABS((SUMIFS(P:P,A:A,A450)/VLOOKUP("USD",'Exchange Rates'!B:C,2,0)))/S450,"."),".")</f>
        <v>.</v>
      </c>
      <c r="BA450" s="1196" t="str">
        <f>IF(AND(AD450=1,D450="Military",H450&lt;&gt;"Not given")=TRUE,IF(SUMIFS(P:P,A:A,A450)&gt;0,IF((ABS((SUMIFS(P:P,A:A,A450)/VLOOKUP("USD",'Exchange Rates'!B:C,2,0)))/S450)&gt;1,(SUMIFS(P:P,A:A,A450)-S450)/S450,(S450-SUMIFS(P:P,A:A,A450))/SUMIFS(P:P,A:A,A450)),"."),".")</f>
        <v>.</v>
      </c>
    </row>
    <row r="451" spans="1:53" ht="15.95" customHeight="1">
      <c r="A451" s="1182" t="s">
        <v>1541</v>
      </c>
      <c r="B451" s="1182" t="s">
        <v>1523</v>
      </c>
      <c r="C451" s="1181">
        <v>44665</v>
      </c>
      <c r="D451" s="1182" t="s">
        <v>360</v>
      </c>
      <c r="E451" s="1182" t="s">
        <v>371</v>
      </c>
      <c r="F451" s="1183" t="s">
        <v>1543</v>
      </c>
      <c r="G451" s="1184" t="s">
        <v>456</v>
      </c>
      <c r="H451" s="1185" t="s">
        <v>457</v>
      </c>
      <c r="I451" s="1270" t="s">
        <v>1552</v>
      </c>
      <c r="J451" s="1186" t="str">
        <f>VLOOKUP($I451,'Price List, Weapons &amp; Items'!B:C,2,0)</f>
        <v>Humanitarian</v>
      </c>
      <c r="K451" s="1186" t="str">
        <f>IF(I451=".",I451,VLOOKUP($I451,'Price List, Weapons &amp; Items'!B:D,3,0))</f>
        <v>Humanitarian</v>
      </c>
      <c r="L451" s="1187">
        <f>VLOOKUP(I451,'Price List, Weapons &amp; Items'!B:E,4,0)</f>
        <v>0</v>
      </c>
      <c r="M451" s="1188" t="s">
        <v>374</v>
      </c>
      <c r="N451" s="1188" t="s">
        <v>374</v>
      </c>
      <c r="O451" s="1188" t="str">
        <f>VLOOKUP($I451,'Price List, Weapons &amp; Items'!B:G,6,0)</f>
        <v>.</v>
      </c>
      <c r="P451" s="1185" t="str">
        <f t="shared" ref="P451:P514" si="106">IF(TYPE(M451)=1,IF(TYPE(O451)=1,M451*O451,"No price"),".")</f>
        <v>.</v>
      </c>
      <c r="Q451" s="1185" t="str">
        <f t="shared" ref="Q451:Q514" si="107">IF(TYPE(N451)=1,IF(TYPE(O451)=1,N451*O451,"No price"),".")</f>
        <v>.</v>
      </c>
      <c r="R451" s="1185" t="str">
        <f t="shared" si="103"/>
        <v/>
      </c>
      <c r="S451" s="1185" t="str">
        <f>IF(AND(AD451=1,R451&lt;&gt;".")=TRUE,R451/VLOOKUP(G451,'Exchange Rates'!B:C,2,0),IF(R451=".",".",""))</f>
        <v/>
      </c>
      <c r="T451" s="1185" t="str">
        <f>IF(AD451=1,IF(AF451="Value is not given at all",".",IF(AF451="Value is given by the source",S451,IF(AF451="Value is calculated with prices",(IF(SUMIFS(Q:Q,A:A,A451)&gt;0,SUMIFS(Q:Q,A:A,A451),"."))/VLOOKUP("USD",'Exchange Rates'!B:C,2,0),"Error with coding"))),"")</f>
        <v/>
      </c>
      <c r="U451" s="1184" t="s">
        <v>365</v>
      </c>
      <c r="V451" s="1007" t="s">
        <v>1544</v>
      </c>
      <c r="W451" s="987" t="s">
        <v>1553</v>
      </c>
      <c r="X451" s="1183" t="s">
        <v>364</v>
      </c>
      <c r="Y451" s="1183" t="s">
        <v>364</v>
      </c>
      <c r="Z451" s="1184">
        <v>0</v>
      </c>
      <c r="AA451" s="1194">
        <v>0</v>
      </c>
      <c r="AB451" s="1201" t="s">
        <v>364</v>
      </c>
      <c r="AC451" s="1192" t="str">
        <f>""</f>
        <v/>
      </c>
      <c r="AD451" s="1193">
        <v>0</v>
      </c>
      <c r="AE451" s="1193" t="s">
        <v>436</v>
      </c>
      <c r="AF451" s="1193" t="s">
        <v>436</v>
      </c>
      <c r="AG451" s="1193">
        <v>1</v>
      </c>
      <c r="AH451" s="1193">
        <v>4</v>
      </c>
      <c r="AI451" s="1193">
        <v>0</v>
      </c>
      <c r="AJ451" s="1193">
        <f>VLOOKUP($I451,'Price List, Weapons &amp; Items'!B:F,5,0)</f>
        <v>0</v>
      </c>
      <c r="AK451" s="1193">
        <f t="shared" ref="AK451:AK514" si="108">IF(AND(AJ451=1,M451="undisclosed")=TRUE,1,0)</f>
        <v>0</v>
      </c>
      <c r="AL451" s="1193">
        <f t="shared" ref="AL451:AL514" si="109">IF(AND(AJ451=1,N451="undisclosed")=TRUE,1,0)</f>
        <v>0</v>
      </c>
      <c r="AM451" s="1193">
        <f t="shared" ref="AM451:AM514" si="110">IFERROR(IF(SEARCH("ammuni",I451,1)&gt;0,1,0),0)</f>
        <v>0</v>
      </c>
      <c r="AN451" s="1194" t="str">
        <f>VLOOKUP($I451,'Price List, Weapons &amp; Items'!B:L,COLUMN('Price List, Weapons &amp; Items'!$J$11)-1,0)</f>
        <v>.</v>
      </c>
      <c r="AO451" s="1194" t="str">
        <f>IF(I451=".",".",VLOOKUP($I451,'Price List, Weapons &amp; Items'!B:J,3,0))</f>
        <v>Humanitarian</v>
      </c>
      <c r="AP451" s="1195" t="str">
        <f t="shared" ca="1" si="104"/>
        <v/>
      </c>
      <c r="AQ451" s="1194">
        <f>VLOOKUP($I451,'Price List, Weapons &amp; Items'!B:L,COLUMN('Price List, Weapons &amp; Items'!$L$11)-1,0)</f>
        <v>0</v>
      </c>
      <c r="AR451" s="1194">
        <f t="shared" ref="AR451:AR514" si="111">IF(U451="Yes",1,0)</f>
        <v>1</v>
      </c>
      <c r="AS451" s="1194">
        <f t="shared" ref="AS451:AS514" si="112">IF(D451="Military",IF(OR(IFERROR(SEARCH("equipment",E451,1),0)&gt;0,IFERROR(SEARCH("weapons",E451,1),0)&gt;0),1,0),0)</f>
        <v>0</v>
      </c>
      <c r="AT451" s="1194">
        <f t="shared" ref="AT451:AT514" si="113">IFERROR(IF(VALUE(TEXT(C451,"mm"))=IF(AH451&gt;12,AH451-12,AH451),".",IF(TEXT(C451,"mm")="01",".",1)),"Value is not in date format")</f>
        <v>1</v>
      </c>
      <c r="AU451" s="1194" t="str">
        <f t="shared" ref="AU451:AU514" si="114">IF(AND(A451=A450,C451=C450)=TRUE,IF(F451=F450,".","1"),".")</f>
        <v>.</v>
      </c>
      <c r="AV451" s="1194" t="str">
        <f t="shared" si="105"/>
        <v>.</v>
      </c>
      <c r="AW451" s="1194" t="str">
        <f t="shared" ref="AW451:AW514" si="115">IF(T451&lt;&gt;".",IF(T451&gt;S451,1,"."),".")</f>
        <v>.</v>
      </c>
      <c r="AX451" s="1194">
        <f>IFERROR(VLOOKUP(B451,'Share, Heavy Weapons to Ukraine'!B:Z,COLUMN('Share, Heavy Weapons to Ukraine'!C461)-1,0),0)</f>
        <v>0</v>
      </c>
      <c r="AY451" s="1194">
        <f>VLOOKUP('Bilateral Assistance, MAIN DATA'!B451,'Country Summary (€)'!B:F,COLUMN('Country Summary (€)'!C462)-1,FALSE)</f>
        <v>1</v>
      </c>
      <c r="AZ451" s="1194" t="str">
        <f>IF(AND(AD451=1,D451="Military",H451&lt;&gt;"Not given")=TRUE,IF(SUMIFS(P:P,A:A,A451)&gt;0,ABS((SUMIFS(P:P,A:A,A451)/VLOOKUP("USD",'Exchange Rates'!B:C,2,0)))/S451,"."),".")</f>
        <v>.</v>
      </c>
      <c r="BA451" s="1196" t="str">
        <f>IF(AND(AD451=1,D451="Military",H451&lt;&gt;"Not given")=TRUE,IF(SUMIFS(P:P,A:A,A451)&gt;0,IF((ABS((SUMIFS(P:P,A:A,A451)/VLOOKUP("USD",'Exchange Rates'!B:C,2,0)))/S451)&gt;1,(SUMIFS(P:P,A:A,A451)-S451)/S451,(S451-SUMIFS(P:P,A:A,A451))/SUMIFS(P:P,A:A,A451)),"."),".")</f>
        <v>.</v>
      </c>
    </row>
    <row r="452" spans="1:53" ht="15.95" customHeight="1">
      <c r="A452" s="1180" t="s">
        <v>1554</v>
      </c>
      <c r="B452" s="1180" t="s">
        <v>1523</v>
      </c>
      <c r="C452" s="1181">
        <v>44672</v>
      </c>
      <c r="D452" s="1182" t="s">
        <v>360</v>
      </c>
      <c r="E452" s="1182" t="s">
        <v>371</v>
      </c>
      <c r="F452" s="1183" t="s">
        <v>1555</v>
      </c>
      <c r="G452" s="1184" t="s">
        <v>456</v>
      </c>
      <c r="H452" s="1185" t="s">
        <v>457</v>
      </c>
      <c r="I452" s="1180" t="s">
        <v>986</v>
      </c>
      <c r="J452" s="1186" t="str">
        <f>VLOOKUP($I452,'Price List, Weapons &amp; Items'!B:C,2,0)</f>
        <v>Humanitarian</v>
      </c>
      <c r="K452" s="1186" t="str">
        <f>IF(I452=".",I452,VLOOKUP($I452,'Price List, Weapons &amp; Items'!B:D,3,0))</f>
        <v>Humanitarian</v>
      </c>
      <c r="L452" s="1187">
        <f>VLOOKUP(I452,'Price List, Weapons &amp; Items'!B:E,4,0)</f>
        <v>0</v>
      </c>
      <c r="M452" s="1188">
        <v>28</v>
      </c>
      <c r="N452" s="1188" t="s">
        <v>374</v>
      </c>
      <c r="O452" s="1188">
        <f>VLOOKUP($I452,'Price List, Weapons &amp; Items'!B:G,6,0)</f>
        <v>10000</v>
      </c>
      <c r="P452" s="1185">
        <f t="shared" si="106"/>
        <v>280000</v>
      </c>
      <c r="Q452" s="1185" t="str">
        <f t="shared" si="107"/>
        <v>.</v>
      </c>
      <c r="R452" s="1185">
        <f t="shared" si="103"/>
        <v>280000</v>
      </c>
      <c r="S452" s="1185">
        <f>IF(AND(AD452=1,R452&lt;&gt;".")=TRUE,R452/VLOOKUP(G452,'Exchange Rates'!B:C,2,0),IF(R452=".",".",""))</f>
        <v>257637.09974236292</v>
      </c>
      <c r="T452" s="1185" t="str">
        <f>IF(AD452=1,IF(AF452="Value is not given at all",".",IF(AF452="Value is given by the source",S452,IF(AF452="Value is calculated with prices",(IF(SUMIFS(Q:Q,A:A,A452)&gt;0,SUMIFS(Q:Q,A:A,A452),"."))/VLOOKUP("USD",'Exchange Rates'!B:C,2,0),"Error with coding"))),"")</f>
        <v>.</v>
      </c>
      <c r="U452" s="1184" t="s">
        <v>365</v>
      </c>
      <c r="V452" s="971" t="s">
        <v>1556</v>
      </c>
      <c r="W452" s="971" t="s">
        <v>1557</v>
      </c>
      <c r="X452" s="971" t="s">
        <v>1558</v>
      </c>
      <c r="Y452" s="1190" t="s">
        <v>364</v>
      </c>
      <c r="Z452" s="1184">
        <v>0</v>
      </c>
      <c r="AA452" s="1194">
        <v>0</v>
      </c>
      <c r="AB452" s="1201" t="s">
        <v>364</v>
      </c>
      <c r="AC452" s="1192" t="str">
        <f>""</f>
        <v/>
      </c>
      <c r="AD452" s="1193">
        <v>1</v>
      </c>
      <c r="AE452" s="1193" t="s">
        <v>436</v>
      </c>
      <c r="AF452" s="1193" t="s">
        <v>369</v>
      </c>
      <c r="AG452" s="1193">
        <v>1</v>
      </c>
      <c r="AH452" s="1193">
        <v>4</v>
      </c>
      <c r="AI452" s="1193">
        <v>0</v>
      </c>
      <c r="AJ452" s="1193">
        <f>VLOOKUP($I452,'Price List, Weapons &amp; Items'!B:F,5,0)</f>
        <v>0</v>
      </c>
      <c r="AK452" s="1193">
        <f t="shared" si="108"/>
        <v>0</v>
      </c>
      <c r="AL452" s="1193">
        <f t="shared" si="109"/>
        <v>0</v>
      </c>
      <c r="AM452" s="1193">
        <f t="shared" si="110"/>
        <v>0</v>
      </c>
      <c r="AN452" s="1194" t="str">
        <f>VLOOKUP($I452,'Price List, Weapons &amp; Items'!B:L,COLUMN('Price List, Weapons &amp; Items'!$J$11)-1,0)</f>
        <v>Miscellaneous</v>
      </c>
      <c r="AO452" s="1194" t="str">
        <f>IF(I452=".",".",VLOOKUP($I452,'Price List, Weapons &amp; Items'!B:J,3,0))</f>
        <v>Humanitarian</v>
      </c>
      <c r="AP452" s="1195" t="str">
        <f t="shared" ca="1" si="104"/>
        <v>ton of medical equipment</v>
      </c>
      <c r="AQ452" s="1194">
        <f>VLOOKUP($I452,'Price List, Weapons &amp; Items'!B:L,COLUMN('Price List, Weapons &amp; Items'!$L$11)-1,0)</f>
        <v>0</v>
      </c>
      <c r="AR452" s="1194">
        <f t="shared" si="111"/>
        <v>1</v>
      </c>
      <c r="AS452" s="1194">
        <f t="shared" si="112"/>
        <v>0</v>
      </c>
      <c r="AT452" s="1194">
        <f t="shared" si="113"/>
        <v>1</v>
      </c>
      <c r="AU452" s="1194" t="str">
        <f t="shared" si="114"/>
        <v>.</v>
      </c>
      <c r="AV452" s="1194" t="str">
        <f t="shared" si="105"/>
        <v>.</v>
      </c>
      <c r="AW452" s="1194" t="str">
        <f t="shared" si="115"/>
        <v>.</v>
      </c>
      <c r="AX452" s="1194">
        <f>IFERROR(VLOOKUP(B452,'Share, Heavy Weapons to Ukraine'!B:Z,COLUMN('Share, Heavy Weapons to Ukraine'!C462)-1,0),0)</f>
        <v>0</v>
      </c>
      <c r="AY452" s="1194">
        <f>VLOOKUP('Bilateral Assistance, MAIN DATA'!B452,'Country Summary (€)'!B:F,COLUMN('Country Summary (€)'!C463)-1,FALSE)</f>
        <v>1</v>
      </c>
      <c r="AZ452" s="1194" t="str">
        <f>IF(AND(AD452=1,D452="Military",H452&lt;&gt;"Not given")=TRUE,IF(SUMIFS(P:P,A:A,A452)&gt;0,ABS((SUMIFS(P:P,A:A,A452)/VLOOKUP("USD",'Exchange Rates'!B:C,2,0)))/S452,"."),".")</f>
        <v>.</v>
      </c>
      <c r="BA452" s="1196" t="str">
        <f>IF(AND(AD452=1,D452="Military",H452&lt;&gt;"Not given")=TRUE,IF(SUMIFS(P:P,A:A,A452)&gt;0,IF((ABS((SUMIFS(P:P,A:A,A452)/VLOOKUP("USD",'Exchange Rates'!B:C,2,0)))/S452)&gt;1,(SUMIFS(P:P,A:A,A452)-S452)/S452,(S452-SUMIFS(P:P,A:A,A452))/SUMIFS(P:P,A:A,A452)),"."),".")</f>
        <v>.</v>
      </c>
    </row>
    <row r="453" spans="1:53" ht="15.95" customHeight="1">
      <c r="A453" s="1180" t="s">
        <v>1559</v>
      </c>
      <c r="B453" s="1180" t="s">
        <v>1523</v>
      </c>
      <c r="C453" s="1181">
        <v>44697</v>
      </c>
      <c r="D453" s="1182" t="s">
        <v>360</v>
      </c>
      <c r="E453" s="1182" t="s">
        <v>759</v>
      </c>
      <c r="F453" s="1183" t="s">
        <v>1560</v>
      </c>
      <c r="G453" s="1184" t="s">
        <v>456</v>
      </c>
      <c r="H453" s="1185" t="s">
        <v>457</v>
      </c>
      <c r="I453" s="1180" t="s">
        <v>1561</v>
      </c>
      <c r="J453" s="1186" t="str">
        <f>VLOOKUP($I453,'Price List, Weapons &amp; Items'!B:C,2,0)</f>
        <v>Humanitarian</v>
      </c>
      <c r="K453" s="1186" t="str">
        <f>IF(I453=".",I453,VLOOKUP($I453,'Price List, Weapons &amp; Items'!B:D,3,0))</f>
        <v>Humanitarian</v>
      </c>
      <c r="L453" s="1187">
        <f>VLOOKUP(I453,'Price List, Weapons &amp; Items'!B:E,4,0)</f>
        <v>0</v>
      </c>
      <c r="M453" s="1188">
        <v>115</v>
      </c>
      <c r="N453" s="1188">
        <v>115</v>
      </c>
      <c r="O453" s="1188">
        <f>VLOOKUP($I453,'Price List, Weapons &amp; Items'!B:G,6,0)</f>
        <v>10000</v>
      </c>
      <c r="P453" s="1185">
        <f t="shared" si="106"/>
        <v>1150000</v>
      </c>
      <c r="Q453" s="1185">
        <f t="shared" si="107"/>
        <v>1150000</v>
      </c>
      <c r="R453" s="1185">
        <f t="shared" si="103"/>
        <v>6830728.9000000004</v>
      </c>
      <c r="S453" s="1185">
        <f>IF(AND(AD453=1,R453&lt;&gt;".")=TRUE,R453/VLOOKUP(G453,'Exchange Rates'!B:C,2,0),IF(R453=".",".",""))</f>
        <v>6285175.6532940743</v>
      </c>
      <c r="T453" s="1185" t="str">
        <f>IF(AD453=1,IF(AF453="Value is not given at all",".",IF(AF453="Value is given by the source",S453,IF(AF453="Value is calculated with prices",(IF(SUMIFS(Q:Q,A:A,A453)&gt;0,SUMIFS(Q:Q,A:A,A453),"."))/VLOOKUP("USD",'Exchange Rates'!B:C,2,0),"Error with coding"))),"")</f>
        <v>.</v>
      </c>
      <c r="U453" s="1184" t="s">
        <v>365</v>
      </c>
      <c r="V453" s="1010" t="s">
        <v>1562</v>
      </c>
      <c r="W453" s="987" t="s">
        <v>1551</v>
      </c>
      <c r="X453" s="986" t="s">
        <v>364</v>
      </c>
      <c r="Y453" s="981" t="s">
        <v>364</v>
      </c>
      <c r="Z453" s="1184">
        <v>0</v>
      </c>
      <c r="AA453" s="1194">
        <v>0</v>
      </c>
      <c r="AB453" s="1021" t="s">
        <v>1562</v>
      </c>
      <c r="AC453" s="1192" t="str">
        <f>""</f>
        <v/>
      </c>
      <c r="AD453" s="1193">
        <v>1</v>
      </c>
      <c r="AE453" s="1193" t="s">
        <v>436</v>
      </c>
      <c r="AF453" s="1193" t="s">
        <v>369</v>
      </c>
      <c r="AG453" s="1193">
        <v>1</v>
      </c>
      <c r="AH453" s="1193">
        <v>5</v>
      </c>
      <c r="AI453" s="1193">
        <v>0</v>
      </c>
      <c r="AJ453" s="1193">
        <f>VLOOKUP($I453,'Price List, Weapons &amp; Items'!B:F,5,0)</f>
        <v>0</v>
      </c>
      <c r="AK453" s="1193">
        <f t="shared" si="108"/>
        <v>0</v>
      </c>
      <c r="AL453" s="1193">
        <f t="shared" si="109"/>
        <v>0</v>
      </c>
      <c r="AM453" s="1193">
        <f t="shared" si="110"/>
        <v>0</v>
      </c>
      <c r="AN453" s="1194" t="str">
        <f>VLOOKUP($I453,'Price List, Weapons &amp; Items'!B:L,COLUMN('Price List, Weapons &amp; Items'!$J$11)-1,0)</f>
        <v>Miscellaneous</v>
      </c>
      <c r="AO453" s="1194" t="str">
        <f>IF(I453=".",".",VLOOKUP($I453,'Price List, Weapons &amp; Items'!B:J,3,0))</f>
        <v>Humanitarian</v>
      </c>
      <c r="AP453" s="1195" t="str">
        <f t="shared" ca="1" si="104"/>
        <v>Ton of medical equipment</v>
      </c>
      <c r="AQ453" s="1194">
        <f>VLOOKUP($I453,'Price List, Weapons &amp; Items'!B:L,COLUMN('Price List, Weapons &amp; Items'!$L$11)-1,0)</f>
        <v>0</v>
      </c>
      <c r="AR453" s="1194">
        <f t="shared" si="111"/>
        <v>1</v>
      </c>
      <c r="AS453" s="1194">
        <f t="shared" si="112"/>
        <v>0</v>
      </c>
      <c r="AT453" s="1194">
        <f t="shared" si="113"/>
        <v>1</v>
      </c>
      <c r="AU453" s="1194" t="str">
        <f t="shared" si="114"/>
        <v>.</v>
      </c>
      <c r="AV453" s="1194" t="str">
        <f t="shared" si="105"/>
        <v>.</v>
      </c>
      <c r="AW453" s="1194" t="str">
        <f t="shared" si="115"/>
        <v>.</v>
      </c>
      <c r="AX453" s="1194">
        <f>IFERROR(VLOOKUP(B453,'Share, Heavy Weapons to Ukraine'!B:Z,COLUMN('Share, Heavy Weapons to Ukraine'!C463)-1,0),0)</f>
        <v>0</v>
      </c>
      <c r="AY453" s="1194">
        <f>VLOOKUP('Bilateral Assistance, MAIN DATA'!B453,'Country Summary (€)'!B:F,COLUMN('Country Summary (€)'!C464)-1,FALSE)</f>
        <v>1</v>
      </c>
      <c r="AZ453" s="1194" t="str">
        <f>IF(AND(AD453=1,D453="Military",H453&lt;&gt;"Not given")=TRUE,IF(SUMIFS(P:P,A:A,A453)&gt;0,ABS((SUMIFS(P:P,A:A,A453)/VLOOKUP("USD",'Exchange Rates'!B:C,2,0)))/S453,"."),".")</f>
        <v>.</v>
      </c>
      <c r="BA453" s="1196" t="str">
        <f>IF(AND(AD453=1,D453="Military",H453&lt;&gt;"Not given")=TRUE,IF(SUMIFS(P:P,A:A,A453)&gt;0,IF((ABS((SUMIFS(P:P,A:A,A453)/VLOOKUP("USD",'Exchange Rates'!B:C,2,0)))/S453)&gt;1,(SUMIFS(P:P,A:A,A453)-S453)/S453,(S453-SUMIFS(P:P,A:A,A453))/SUMIFS(P:P,A:A,A453)),"."),".")</f>
        <v>.</v>
      </c>
    </row>
    <row r="454" spans="1:53" ht="15.95" customHeight="1">
      <c r="A454" s="1180" t="s">
        <v>1559</v>
      </c>
      <c r="B454" s="1180" t="s">
        <v>1523</v>
      </c>
      <c r="C454" s="1181">
        <v>44697</v>
      </c>
      <c r="D454" s="1182" t="s">
        <v>360</v>
      </c>
      <c r="E454" s="1182" t="s">
        <v>759</v>
      </c>
      <c r="F454" s="1183" t="s">
        <v>1560</v>
      </c>
      <c r="G454" s="1184" t="s">
        <v>456</v>
      </c>
      <c r="H454" s="1185" t="s">
        <v>457</v>
      </c>
      <c r="I454" s="1180" t="s">
        <v>1156</v>
      </c>
      <c r="J454" s="1186" t="str">
        <f>VLOOKUP($I454,'Price List, Weapons &amp; Items'!B:C,2,0)</f>
        <v>Humanitarian</v>
      </c>
      <c r="K454" s="1186" t="str">
        <f>IF(I454=".",I454,VLOOKUP($I454,'Price List, Weapons &amp; Items'!B:D,3,0))</f>
        <v>Humanitarian</v>
      </c>
      <c r="L454" s="1187">
        <f>VLOOKUP(I454,'Price List, Weapons &amp; Items'!B:E,4,0)</f>
        <v>0</v>
      </c>
      <c r="M454" s="1188">
        <v>6</v>
      </c>
      <c r="N454" s="1188">
        <v>6</v>
      </c>
      <c r="O454" s="1188">
        <f>VLOOKUP($I454,'Price List, Weapons &amp; Items'!B:G,6,0)</f>
        <v>400000</v>
      </c>
      <c r="P454" s="1185">
        <f t="shared" si="106"/>
        <v>2400000</v>
      </c>
      <c r="Q454" s="1185">
        <f t="shared" si="107"/>
        <v>2400000</v>
      </c>
      <c r="R454" s="1185" t="str">
        <f t="shared" si="103"/>
        <v/>
      </c>
      <c r="S454" s="1185" t="str">
        <f>IF(AND(AD454=1,R454&lt;&gt;".")=TRUE,R454/VLOOKUP(G454,'Exchange Rates'!B:C,2,0),IF(R454=".",".",""))</f>
        <v/>
      </c>
      <c r="T454" s="1185" t="str">
        <f>IF(AD454=1,IF(AF454="Value is not given at all",".",IF(AF454="Value is given by the source",S454,IF(AF454="Value is calculated with prices",(IF(SUMIFS(Q:Q,A:A,A454)&gt;0,SUMIFS(Q:Q,A:A,A454),"."))/VLOOKUP("USD",'Exchange Rates'!B:C,2,0),"Error with coding"))),"")</f>
        <v/>
      </c>
      <c r="U454" s="1184" t="s">
        <v>365</v>
      </c>
      <c r="V454" s="1010" t="s">
        <v>1562</v>
      </c>
      <c r="W454" s="987" t="s">
        <v>1553</v>
      </c>
      <c r="X454" s="986" t="s">
        <v>364</v>
      </c>
      <c r="Y454" s="981" t="s">
        <v>364</v>
      </c>
      <c r="Z454" s="1184">
        <v>0</v>
      </c>
      <c r="AA454" s="1194">
        <v>0</v>
      </c>
      <c r="AB454" s="1021" t="s">
        <v>1562</v>
      </c>
      <c r="AC454" s="1192" t="str">
        <f>""</f>
        <v/>
      </c>
      <c r="AD454" s="1193">
        <v>0</v>
      </c>
      <c r="AE454" s="1193" t="s">
        <v>436</v>
      </c>
      <c r="AF454" s="1193" t="s">
        <v>436</v>
      </c>
      <c r="AG454" s="1193">
        <v>1</v>
      </c>
      <c r="AH454" s="1193">
        <v>5</v>
      </c>
      <c r="AI454" s="1193">
        <v>0</v>
      </c>
      <c r="AJ454" s="1193">
        <f>VLOOKUP($I454,'Price List, Weapons &amp; Items'!B:F,5,0)</f>
        <v>0</v>
      </c>
      <c r="AK454" s="1193">
        <f t="shared" si="108"/>
        <v>0</v>
      </c>
      <c r="AL454" s="1193">
        <f t="shared" si="109"/>
        <v>0</v>
      </c>
      <c r="AM454" s="1193">
        <f t="shared" si="110"/>
        <v>0</v>
      </c>
      <c r="AN454" s="1194" t="str">
        <f>VLOOKUP($I454,'Price List, Weapons &amp; Items'!B:L,COLUMN('Price List, Weapons &amp; Items'!$J$11)-1,0)</f>
        <v>Media reports (incl. social media)</v>
      </c>
      <c r="AO454" s="1194" t="str">
        <f>IF(I454=".",".",VLOOKUP($I454,'Price List, Weapons &amp; Items'!B:J,3,0))</f>
        <v>Humanitarian</v>
      </c>
      <c r="AP454" s="1195" t="str">
        <f t="shared" ca="1" si="104"/>
        <v/>
      </c>
      <c r="AQ454" s="1194">
        <f>VLOOKUP($I454,'Price List, Weapons &amp; Items'!B:L,COLUMN('Price List, Weapons &amp; Items'!$L$11)-1,0)</f>
        <v>0</v>
      </c>
      <c r="AR454" s="1194">
        <f t="shared" si="111"/>
        <v>1</v>
      </c>
      <c r="AS454" s="1194">
        <f t="shared" si="112"/>
        <v>0</v>
      </c>
      <c r="AT454" s="1194">
        <f t="shared" si="113"/>
        <v>1</v>
      </c>
      <c r="AU454" s="1194" t="str">
        <f t="shared" si="114"/>
        <v>.</v>
      </c>
      <c r="AV454" s="1194" t="str">
        <f t="shared" si="105"/>
        <v>.</v>
      </c>
      <c r="AW454" s="1194" t="str">
        <f t="shared" si="115"/>
        <v>.</v>
      </c>
      <c r="AX454" s="1194">
        <f>IFERROR(VLOOKUP(B454,'Share, Heavy Weapons to Ukraine'!B:Z,COLUMN('Share, Heavy Weapons to Ukraine'!C464)-1,0),0)</f>
        <v>0</v>
      </c>
      <c r="AY454" s="1194">
        <f>VLOOKUP('Bilateral Assistance, MAIN DATA'!B454,'Country Summary (€)'!B:F,COLUMN('Country Summary (€)'!C465)-1,FALSE)</f>
        <v>1</v>
      </c>
      <c r="AZ454" s="1194" t="str">
        <f>IF(AND(AD454=1,D454="Military",H454&lt;&gt;"Not given")=TRUE,IF(SUMIFS(P:P,A:A,A454)&gt;0,ABS((SUMIFS(P:P,A:A,A454)/VLOOKUP("USD",'Exchange Rates'!B:C,2,0)))/S454,"."),".")</f>
        <v>.</v>
      </c>
      <c r="BA454" s="1196" t="str">
        <f>IF(AND(AD454=1,D454="Military",H454&lt;&gt;"Not given")=TRUE,IF(SUMIFS(P:P,A:A,A454)&gt;0,IF((ABS((SUMIFS(P:P,A:A,A454)/VLOOKUP("USD",'Exchange Rates'!B:C,2,0)))/S454)&gt;1,(SUMIFS(P:P,A:A,A454)-S454)/S454,(S454-SUMIFS(P:P,A:A,A454))/SUMIFS(P:P,A:A,A454)),"."),".")</f>
        <v>.</v>
      </c>
    </row>
    <row r="455" spans="1:53" ht="15.95" customHeight="1">
      <c r="A455" s="1180" t="s">
        <v>1559</v>
      </c>
      <c r="B455" s="1180" t="s">
        <v>1523</v>
      </c>
      <c r="C455" s="1181">
        <v>44697</v>
      </c>
      <c r="D455" s="1182" t="s">
        <v>360</v>
      </c>
      <c r="E455" s="1182" t="s">
        <v>759</v>
      </c>
      <c r="F455" s="1183" t="s">
        <v>1560</v>
      </c>
      <c r="G455" s="1184" t="s">
        <v>456</v>
      </c>
      <c r="H455" s="1185" t="s">
        <v>457</v>
      </c>
      <c r="I455" s="1180" t="s">
        <v>477</v>
      </c>
      <c r="J455" s="1186" t="str">
        <f>VLOOKUP($I455,'Price List, Weapons &amp; Items'!B:C,2,0)</f>
        <v>Humanitarian</v>
      </c>
      <c r="K455" s="1186" t="str">
        <f>IF(I455=".",I455,VLOOKUP($I455,'Price List, Weapons &amp; Items'!B:D,3,0))</f>
        <v>Humanitarian</v>
      </c>
      <c r="L455" s="1187">
        <f>VLOOKUP(I455,'Price List, Weapons &amp; Items'!B:E,4,0)</f>
        <v>0</v>
      </c>
      <c r="M455" s="1188">
        <v>6</v>
      </c>
      <c r="N455" s="1188">
        <v>6</v>
      </c>
      <c r="O455" s="1188">
        <f>VLOOKUP($I455,'Price List, Weapons &amp; Items'!B:G,6,0)</f>
        <v>317500</v>
      </c>
      <c r="P455" s="1185">
        <f t="shared" si="106"/>
        <v>1905000</v>
      </c>
      <c r="Q455" s="1185">
        <f t="shared" si="107"/>
        <v>1905000</v>
      </c>
      <c r="R455" s="1185" t="str">
        <f t="shared" si="103"/>
        <v/>
      </c>
      <c r="S455" s="1185" t="str">
        <f>IF(AND(AD455=1,R455&lt;&gt;".")=TRUE,R455/VLOOKUP(G455,'Exchange Rates'!B:C,2,0),IF(R455=".",".",""))</f>
        <v/>
      </c>
      <c r="T455" s="1185" t="str">
        <f>IF(AD455=1,IF(AF455="Value is not given at all",".",IF(AF455="Value is given by the source",S455,IF(AF455="Value is calculated with prices",(IF(SUMIFS(Q:Q,A:A,A455)&gt;0,SUMIFS(Q:Q,A:A,A455),"."))/VLOOKUP("USD",'Exchange Rates'!B:C,2,0),"Error with coding"))),"")</f>
        <v/>
      </c>
      <c r="U455" s="1184" t="s">
        <v>365</v>
      </c>
      <c r="V455" s="1010" t="s">
        <v>1562</v>
      </c>
      <c r="W455" s="987" t="s">
        <v>1563</v>
      </c>
      <c r="X455" s="986" t="s">
        <v>364</v>
      </c>
      <c r="Y455" s="981" t="s">
        <v>364</v>
      </c>
      <c r="Z455" s="1184">
        <v>0</v>
      </c>
      <c r="AA455" s="1194">
        <v>0</v>
      </c>
      <c r="AB455" s="1021" t="s">
        <v>1562</v>
      </c>
      <c r="AC455" s="1192" t="str">
        <f>""</f>
        <v/>
      </c>
      <c r="AD455" s="1193">
        <v>0</v>
      </c>
      <c r="AE455" s="1193" t="s">
        <v>436</v>
      </c>
      <c r="AF455" s="1193" t="s">
        <v>436</v>
      </c>
      <c r="AG455" s="1193">
        <v>1</v>
      </c>
      <c r="AH455" s="1193">
        <v>5</v>
      </c>
      <c r="AI455" s="1193">
        <v>0</v>
      </c>
      <c r="AJ455" s="1193">
        <f>VLOOKUP($I455,'Price List, Weapons &amp; Items'!B:F,5,0)</f>
        <v>0</v>
      </c>
      <c r="AK455" s="1193">
        <f t="shared" si="108"/>
        <v>0</v>
      </c>
      <c r="AL455" s="1193">
        <f t="shared" si="109"/>
        <v>0</v>
      </c>
      <c r="AM455" s="1193">
        <f t="shared" si="110"/>
        <v>0</v>
      </c>
      <c r="AN455" s="1194" t="str">
        <f>VLOOKUP($I455,'Price List, Weapons &amp; Items'!B:L,COLUMN('Price List, Weapons &amp; Items'!$J$11)-1,0)</f>
        <v>Media reports (incl. social media)</v>
      </c>
      <c r="AO455" s="1194" t="str">
        <f>IF(I455=".",".",VLOOKUP($I455,'Price List, Weapons &amp; Items'!B:J,3,0))</f>
        <v>Humanitarian</v>
      </c>
      <c r="AP455" s="1195" t="str">
        <f t="shared" ca="1" si="104"/>
        <v/>
      </c>
      <c r="AQ455" s="1194">
        <f>VLOOKUP($I455,'Price List, Weapons &amp; Items'!B:L,COLUMN('Price List, Weapons &amp; Items'!$L$11)-1,0)</f>
        <v>0</v>
      </c>
      <c r="AR455" s="1194">
        <f t="shared" si="111"/>
        <v>1</v>
      </c>
      <c r="AS455" s="1194">
        <f t="shared" si="112"/>
        <v>0</v>
      </c>
      <c r="AT455" s="1194">
        <f t="shared" si="113"/>
        <v>1</v>
      </c>
      <c r="AU455" s="1194" t="str">
        <f t="shared" si="114"/>
        <v>.</v>
      </c>
      <c r="AV455" s="1194" t="str">
        <f t="shared" si="105"/>
        <v>.</v>
      </c>
      <c r="AW455" s="1194" t="str">
        <f t="shared" si="115"/>
        <v>.</v>
      </c>
      <c r="AX455" s="1194">
        <f>IFERROR(VLOOKUP(B455,'Share, Heavy Weapons to Ukraine'!B:Z,COLUMN('Share, Heavy Weapons to Ukraine'!C465)-1,0),0)</f>
        <v>0</v>
      </c>
      <c r="AY455" s="1194">
        <f>VLOOKUP('Bilateral Assistance, MAIN DATA'!B455,'Country Summary (€)'!B:F,COLUMN('Country Summary (€)'!C466)-1,FALSE)</f>
        <v>1</v>
      </c>
      <c r="AZ455" s="1194" t="str">
        <f>IF(AND(AD455=1,D455="Military",H455&lt;&gt;"Not given")=TRUE,IF(SUMIFS(P:P,A:A,A455)&gt;0,ABS((SUMIFS(P:P,A:A,A455)/VLOOKUP("USD",'Exchange Rates'!B:C,2,0)))/S455,"."),".")</f>
        <v>.</v>
      </c>
      <c r="BA455" s="1196" t="str">
        <f>IF(AND(AD455=1,D455="Military",H455&lt;&gt;"Not given")=TRUE,IF(SUMIFS(P:P,A:A,A455)&gt;0,IF((ABS((SUMIFS(P:P,A:A,A455)/VLOOKUP("USD",'Exchange Rates'!B:C,2,0)))/S455)&gt;1,(SUMIFS(P:P,A:A,A455)-S455)/S455,(S455-SUMIFS(P:P,A:A,A455))/SUMIFS(P:P,A:A,A455)),"."),".")</f>
        <v>.</v>
      </c>
    </row>
    <row r="456" spans="1:53" ht="15.95" customHeight="1">
      <c r="A456" s="1180" t="s">
        <v>1559</v>
      </c>
      <c r="B456" s="1180" t="s">
        <v>1523</v>
      </c>
      <c r="C456" s="1181">
        <v>44697</v>
      </c>
      <c r="D456" s="1182" t="s">
        <v>360</v>
      </c>
      <c r="E456" s="1182" t="s">
        <v>759</v>
      </c>
      <c r="F456" s="1183" t="s">
        <v>1560</v>
      </c>
      <c r="G456" s="1184" t="s">
        <v>456</v>
      </c>
      <c r="H456" s="1185" t="s">
        <v>457</v>
      </c>
      <c r="I456" s="1180" t="s">
        <v>1564</v>
      </c>
      <c r="J456" s="1186" t="str">
        <f>VLOOKUP($I456,'Price List, Weapons &amp; Items'!B:C,2,0)</f>
        <v>Humanitarian</v>
      </c>
      <c r="K456" s="1186" t="str">
        <f>IF(I456=".",I456,VLOOKUP($I456,'Price List, Weapons &amp; Items'!B:D,3,0))</f>
        <v>Humanitarian</v>
      </c>
      <c r="L456" s="1187">
        <f>VLOOKUP(I456,'Price List, Weapons &amp; Items'!B:E,4,0)</f>
        <v>0</v>
      </c>
      <c r="M456" s="1188">
        <v>1</v>
      </c>
      <c r="N456" s="1188">
        <v>1</v>
      </c>
      <c r="O456" s="1188">
        <f>VLOOKUP($I456,'Price List, Weapons &amp; Items'!B:G,6,0)</f>
        <v>317500</v>
      </c>
      <c r="P456" s="1185">
        <f t="shared" si="106"/>
        <v>317500</v>
      </c>
      <c r="Q456" s="1185">
        <f t="shared" si="107"/>
        <v>317500</v>
      </c>
      <c r="R456" s="1185" t="str">
        <f t="shared" si="103"/>
        <v/>
      </c>
      <c r="S456" s="1185" t="str">
        <f>IF(AND(AD456=1,R456&lt;&gt;".")=TRUE,R456/VLOOKUP(G456,'Exchange Rates'!B:C,2,0),IF(R456=".",".",""))</f>
        <v/>
      </c>
      <c r="T456" s="1185" t="str">
        <f>IF(AD456=1,IF(AF456="Value is not given at all",".",IF(AF456="Value is given by the source",S456,IF(AF456="Value is calculated with prices",(IF(SUMIFS(Q:Q,A:A,A456)&gt;0,SUMIFS(Q:Q,A:A,A456),"."))/VLOOKUP("USD",'Exchange Rates'!B:C,2,0),"Error with coding"))),"")</f>
        <v/>
      </c>
      <c r="U456" s="1184" t="s">
        <v>365</v>
      </c>
      <c r="V456" s="1010" t="s">
        <v>1562</v>
      </c>
      <c r="W456" s="987" t="s">
        <v>1565</v>
      </c>
      <c r="X456" s="986" t="s">
        <v>364</v>
      </c>
      <c r="Y456" s="981" t="s">
        <v>364</v>
      </c>
      <c r="Z456" s="1184">
        <v>0</v>
      </c>
      <c r="AA456" s="1194">
        <v>0</v>
      </c>
      <c r="AB456" s="1021" t="s">
        <v>1562</v>
      </c>
      <c r="AC456" s="1192" t="str">
        <f>""</f>
        <v/>
      </c>
      <c r="AD456" s="1193">
        <v>0</v>
      </c>
      <c r="AE456" s="1193" t="s">
        <v>436</v>
      </c>
      <c r="AF456" s="1193" t="s">
        <v>436</v>
      </c>
      <c r="AG456" s="1193">
        <v>1</v>
      </c>
      <c r="AH456" s="1193">
        <v>5</v>
      </c>
      <c r="AI456" s="1193">
        <v>0</v>
      </c>
      <c r="AJ456" s="1193">
        <f>VLOOKUP($I456,'Price List, Weapons &amp; Items'!B:F,5,0)</f>
        <v>0</v>
      </c>
      <c r="AK456" s="1193">
        <f t="shared" si="108"/>
        <v>0</v>
      </c>
      <c r="AL456" s="1193">
        <f t="shared" si="109"/>
        <v>0</v>
      </c>
      <c r="AM456" s="1193">
        <f t="shared" si="110"/>
        <v>0</v>
      </c>
      <c r="AN456" s="1194" t="str">
        <f>VLOOKUP($I456,'Price List, Weapons &amp; Items'!B:L,COLUMN('Price List, Weapons &amp; Items'!$J$11)-1,0)</f>
        <v>Media reports (incl. social media)</v>
      </c>
      <c r="AO456" s="1194" t="str">
        <f>IF(I456=".",".",VLOOKUP($I456,'Price List, Weapons &amp; Items'!B:J,3,0))</f>
        <v>Humanitarian</v>
      </c>
      <c r="AP456" s="1195" t="str">
        <f t="shared" ca="1" si="104"/>
        <v/>
      </c>
      <c r="AQ456" s="1194">
        <f>VLOOKUP($I456,'Price List, Weapons &amp; Items'!B:L,COLUMN('Price List, Weapons &amp; Items'!$L$11)-1,0)</f>
        <v>0</v>
      </c>
      <c r="AR456" s="1194">
        <f t="shared" si="111"/>
        <v>1</v>
      </c>
      <c r="AS456" s="1194">
        <f t="shared" si="112"/>
        <v>0</v>
      </c>
      <c r="AT456" s="1194">
        <f t="shared" si="113"/>
        <v>1</v>
      </c>
      <c r="AU456" s="1194" t="str">
        <f t="shared" si="114"/>
        <v>.</v>
      </c>
      <c r="AV456" s="1194" t="str">
        <f t="shared" si="105"/>
        <v>.</v>
      </c>
      <c r="AW456" s="1194" t="str">
        <f t="shared" si="115"/>
        <v>.</v>
      </c>
      <c r="AX456" s="1194">
        <f>IFERROR(VLOOKUP(B456,'Share, Heavy Weapons to Ukraine'!B:Z,COLUMN('Share, Heavy Weapons to Ukraine'!C466)-1,0),0)</f>
        <v>0</v>
      </c>
      <c r="AY456" s="1194">
        <f>VLOOKUP('Bilateral Assistance, MAIN DATA'!B456,'Country Summary (€)'!B:F,COLUMN('Country Summary (€)'!C467)-1,FALSE)</f>
        <v>1</v>
      </c>
      <c r="AZ456" s="1194" t="str">
        <f>IF(AND(AD456=1,D456="Military",H456&lt;&gt;"Not given")=TRUE,IF(SUMIFS(P:P,A:A,A456)&gt;0,ABS((SUMIFS(P:P,A:A,A456)/VLOOKUP("USD",'Exchange Rates'!B:C,2,0)))/S456,"."),".")</f>
        <v>.</v>
      </c>
      <c r="BA456" s="1196" t="str">
        <f>IF(AND(AD456=1,D456="Military",H456&lt;&gt;"Not given")=TRUE,IF(SUMIFS(P:P,A:A,A456)&gt;0,IF((ABS((SUMIFS(P:P,A:A,A456)/VLOOKUP("USD",'Exchange Rates'!B:C,2,0)))/S456)&gt;1,(SUMIFS(P:P,A:A,A456)-S456)/S456,(S456-SUMIFS(P:P,A:A,A456))/SUMIFS(P:P,A:A,A456)),"."),".")</f>
        <v>.</v>
      </c>
    </row>
    <row r="457" spans="1:53" ht="15.95" customHeight="1">
      <c r="A457" s="1180" t="s">
        <v>1559</v>
      </c>
      <c r="B457" s="1180" t="s">
        <v>1523</v>
      </c>
      <c r="C457" s="1181">
        <v>44697</v>
      </c>
      <c r="D457" s="1182" t="s">
        <v>360</v>
      </c>
      <c r="E457" s="1182" t="s">
        <v>759</v>
      </c>
      <c r="F457" s="1183" t="s">
        <v>1560</v>
      </c>
      <c r="G457" s="1184" t="s">
        <v>456</v>
      </c>
      <c r="H457" s="1185" t="s">
        <v>457</v>
      </c>
      <c r="I457" s="1180" t="s">
        <v>1566</v>
      </c>
      <c r="J457" s="1186" t="str">
        <f>VLOOKUP($I457,'Price List, Weapons &amp; Items'!B:C,2,0)</f>
        <v>Humanitarian</v>
      </c>
      <c r="K457" s="1186" t="str">
        <f>IF(I457=".",I457,VLOOKUP($I457,'Price List, Weapons &amp; Items'!B:D,3,0))</f>
        <v>Humanitarian</v>
      </c>
      <c r="L457" s="1187">
        <f>VLOOKUP(I457,'Price List, Weapons &amp; Items'!B:E,4,0)</f>
        <v>0</v>
      </c>
      <c r="M457" s="1188">
        <v>36</v>
      </c>
      <c r="N457" s="1188">
        <v>36</v>
      </c>
      <c r="O457" s="1188">
        <f>VLOOKUP($I457,'Price List, Weapons &amp; Items'!B:G,6,0)</f>
        <v>1407.6250000000002</v>
      </c>
      <c r="P457" s="1185">
        <f t="shared" si="106"/>
        <v>50674.500000000007</v>
      </c>
      <c r="Q457" s="1185">
        <f t="shared" si="107"/>
        <v>50674.500000000007</v>
      </c>
      <c r="R457" s="1185" t="str">
        <f t="shared" si="103"/>
        <v/>
      </c>
      <c r="S457" s="1185" t="str">
        <f>IF(AND(AD457=1,R457&lt;&gt;".")=TRUE,R457/VLOOKUP(G457,'Exchange Rates'!B:C,2,0),IF(R457=".",".",""))</f>
        <v/>
      </c>
      <c r="T457" s="1185" t="str">
        <f>IF(AD457=1,IF(AF457="Value is not given at all",".",IF(AF457="Value is given by the source",S457,IF(AF457="Value is calculated with prices",(IF(SUMIFS(Q:Q,A:A,A457)&gt;0,SUMIFS(Q:Q,A:A,A457),"."))/VLOOKUP("USD",'Exchange Rates'!B:C,2,0),"Error with coding"))),"")</f>
        <v/>
      </c>
      <c r="U457" s="1184" t="s">
        <v>365</v>
      </c>
      <c r="V457" s="1010" t="s">
        <v>1562</v>
      </c>
      <c r="W457" s="987" t="s">
        <v>1567</v>
      </c>
      <c r="X457" s="986" t="s">
        <v>364</v>
      </c>
      <c r="Y457" s="981" t="s">
        <v>364</v>
      </c>
      <c r="Z457" s="1184">
        <v>0</v>
      </c>
      <c r="AA457" s="1194">
        <v>0</v>
      </c>
      <c r="AB457" s="1021" t="s">
        <v>1562</v>
      </c>
      <c r="AC457" s="1192" t="str">
        <f>""</f>
        <v/>
      </c>
      <c r="AD457" s="1193">
        <v>0</v>
      </c>
      <c r="AE457" s="1193" t="s">
        <v>436</v>
      </c>
      <c r="AF457" s="1193" t="s">
        <v>436</v>
      </c>
      <c r="AG457" s="1193">
        <v>1</v>
      </c>
      <c r="AH457" s="1193">
        <v>5</v>
      </c>
      <c r="AI457" s="1193">
        <v>0</v>
      </c>
      <c r="AJ457" s="1193">
        <f>VLOOKUP($I457,'Price List, Weapons &amp; Items'!B:F,5,0)</f>
        <v>0</v>
      </c>
      <c r="AK457" s="1193">
        <f t="shared" si="108"/>
        <v>0</v>
      </c>
      <c r="AL457" s="1193">
        <f t="shared" si="109"/>
        <v>0</v>
      </c>
      <c r="AM457" s="1193">
        <f t="shared" si="110"/>
        <v>0</v>
      </c>
      <c r="AN457" s="1194" t="str">
        <f>VLOOKUP($I457,'Price List, Weapons &amp; Items'!B:L,COLUMN('Price List, Weapons &amp; Items'!$J$11)-1,0)</f>
        <v>Online marketplaces and stores</v>
      </c>
      <c r="AO457" s="1194" t="str">
        <f>IF(I457=".",".",VLOOKUP($I457,'Price List, Weapons &amp; Items'!B:J,3,0))</f>
        <v>Humanitarian</v>
      </c>
      <c r="AP457" s="1195" t="str">
        <f t="shared" ca="1" si="104"/>
        <v/>
      </c>
      <c r="AQ457" s="1194">
        <f>VLOOKUP($I457,'Price List, Weapons &amp; Items'!B:L,COLUMN('Price List, Weapons &amp; Items'!$L$11)-1,0)</f>
        <v>0</v>
      </c>
      <c r="AR457" s="1194">
        <f t="shared" si="111"/>
        <v>1</v>
      </c>
      <c r="AS457" s="1194">
        <f t="shared" si="112"/>
        <v>0</v>
      </c>
      <c r="AT457" s="1194">
        <f t="shared" si="113"/>
        <v>1</v>
      </c>
      <c r="AU457" s="1194" t="str">
        <f t="shared" si="114"/>
        <v>.</v>
      </c>
      <c r="AV457" s="1194" t="str">
        <f t="shared" si="105"/>
        <v>.</v>
      </c>
      <c r="AW457" s="1194" t="str">
        <f t="shared" si="115"/>
        <v>.</v>
      </c>
      <c r="AX457" s="1194">
        <f>IFERROR(VLOOKUP(B457,'Share, Heavy Weapons to Ukraine'!B:Z,COLUMN('Share, Heavy Weapons to Ukraine'!C467)-1,0),0)</f>
        <v>0</v>
      </c>
      <c r="AY457" s="1194">
        <f>VLOOKUP('Bilateral Assistance, MAIN DATA'!B457,'Country Summary (€)'!B:F,COLUMN('Country Summary (€)'!C468)-1,FALSE)</f>
        <v>1</v>
      </c>
      <c r="AZ457" s="1194" t="str">
        <f>IF(AND(AD457=1,D457="Military",H457&lt;&gt;"Not given")=TRUE,IF(SUMIFS(P:P,A:A,A457)&gt;0,ABS((SUMIFS(P:P,A:A,A457)/VLOOKUP("USD",'Exchange Rates'!B:C,2,0)))/S457,"."),".")</f>
        <v>.</v>
      </c>
      <c r="BA457" s="1196" t="str">
        <f>IF(AND(AD457=1,D457="Military",H457&lt;&gt;"Not given")=TRUE,IF(SUMIFS(P:P,A:A,A457)&gt;0,IF((ABS((SUMIFS(P:P,A:A,A457)/VLOOKUP("USD",'Exchange Rates'!B:C,2,0)))/S457)&gt;1,(SUMIFS(P:P,A:A,A457)-S457)/S457,(S457-SUMIFS(P:P,A:A,A457))/SUMIFS(P:P,A:A,A457)),"."),".")</f>
        <v>.</v>
      </c>
    </row>
    <row r="458" spans="1:53" ht="15.95" customHeight="1">
      <c r="A458" s="1180" t="s">
        <v>1559</v>
      </c>
      <c r="B458" s="1180" t="s">
        <v>1523</v>
      </c>
      <c r="C458" s="1181">
        <v>44697</v>
      </c>
      <c r="D458" s="1182" t="s">
        <v>360</v>
      </c>
      <c r="E458" s="1182" t="s">
        <v>759</v>
      </c>
      <c r="F458" s="1183" t="s">
        <v>1560</v>
      </c>
      <c r="G458" s="1184" t="s">
        <v>456</v>
      </c>
      <c r="H458" s="1185" t="s">
        <v>457</v>
      </c>
      <c r="I458" s="1180" t="s">
        <v>1568</v>
      </c>
      <c r="J458" s="1186" t="str">
        <f>VLOOKUP($I458,'Price List, Weapons &amp; Items'!B:C,2,0)</f>
        <v>Humanitarian</v>
      </c>
      <c r="K458" s="1186" t="str">
        <f>IF(I458=".",I458,VLOOKUP($I458,'Price List, Weapons &amp; Items'!B:D,3,0))</f>
        <v>Humanitarian</v>
      </c>
      <c r="L458" s="1187">
        <f>VLOOKUP(I458,'Price List, Weapons &amp; Items'!B:E,4,0)</f>
        <v>0</v>
      </c>
      <c r="M458" s="1188">
        <v>56000</v>
      </c>
      <c r="N458" s="1188">
        <v>56000</v>
      </c>
      <c r="O458" s="1188">
        <f>VLOOKUP($I458,'Price List, Weapons &amp; Items'!B:G,6,0)</f>
        <v>10.134900000000002</v>
      </c>
      <c r="P458" s="1185">
        <f t="shared" si="106"/>
        <v>567554.40000000014</v>
      </c>
      <c r="Q458" s="1185">
        <f t="shared" si="107"/>
        <v>567554.40000000014</v>
      </c>
      <c r="R458" s="1185" t="str">
        <f t="shared" si="103"/>
        <v/>
      </c>
      <c r="S458" s="1185" t="str">
        <f>IF(AND(AD458=1,R458&lt;&gt;".")=TRUE,R458/VLOOKUP(G458,'Exchange Rates'!B:C,2,0),IF(R458=".",".",""))</f>
        <v/>
      </c>
      <c r="T458" s="1185" t="str">
        <f>IF(AD458=1,IF(AF458="Value is not given at all",".",IF(AF458="Value is given by the source",S458,IF(AF458="Value is calculated with prices",(IF(SUMIFS(Q:Q,A:A,A458)&gt;0,SUMIFS(Q:Q,A:A,A458),"."))/VLOOKUP("USD",'Exchange Rates'!B:C,2,0),"Error with coding"))),"")</f>
        <v/>
      </c>
      <c r="U458" s="1184" t="s">
        <v>365</v>
      </c>
      <c r="V458" s="1010" t="s">
        <v>1562</v>
      </c>
      <c r="W458" s="987" t="s">
        <v>1569</v>
      </c>
      <c r="X458" s="986" t="s">
        <v>364</v>
      </c>
      <c r="Y458" s="981" t="s">
        <v>364</v>
      </c>
      <c r="Z458" s="1184">
        <v>0</v>
      </c>
      <c r="AA458" s="1194">
        <v>0</v>
      </c>
      <c r="AB458" s="1021" t="s">
        <v>1562</v>
      </c>
      <c r="AC458" s="1192" t="str">
        <f>""</f>
        <v/>
      </c>
      <c r="AD458" s="1193">
        <v>0</v>
      </c>
      <c r="AE458" s="1193" t="s">
        <v>436</v>
      </c>
      <c r="AF458" s="1193" t="s">
        <v>436</v>
      </c>
      <c r="AG458" s="1193">
        <v>1</v>
      </c>
      <c r="AH458" s="1193">
        <v>5</v>
      </c>
      <c r="AI458" s="1193">
        <v>0</v>
      </c>
      <c r="AJ458" s="1193">
        <f>VLOOKUP($I458,'Price List, Weapons &amp; Items'!B:F,5,0)</f>
        <v>0</v>
      </c>
      <c r="AK458" s="1193">
        <f t="shared" si="108"/>
        <v>0</v>
      </c>
      <c r="AL458" s="1193">
        <f t="shared" si="109"/>
        <v>0</v>
      </c>
      <c r="AM458" s="1193">
        <f t="shared" si="110"/>
        <v>0</v>
      </c>
      <c r="AN458" s="1194" t="str">
        <f>VLOOKUP($I458,'Price List, Weapons &amp; Items'!B:L,COLUMN('Price List, Weapons &amp; Items'!$J$11)-1,0)</f>
        <v>Online marketplaces and stores</v>
      </c>
      <c r="AO458" s="1194" t="str">
        <f>IF(I458=".",".",VLOOKUP($I458,'Price List, Weapons &amp; Items'!B:J,3,0))</f>
        <v>Humanitarian</v>
      </c>
      <c r="AP458" s="1195" t="str">
        <f t="shared" ca="1" si="104"/>
        <v/>
      </c>
      <c r="AQ458" s="1194">
        <f>VLOOKUP($I458,'Price List, Weapons &amp; Items'!B:L,COLUMN('Price List, Weapons &amp; Items'!$L$11)-1,0)</f>
        <v>0</v>
      </c>
      <c r="AR458" s="1194">
        <f t="shared" si="111"/>
        <v>1</v>
      </c>
      <c r="AS458" s="1194">
        <f t="shared" si="112"/>
        <v>0</v>
      </c>
      <c r="AT458" s="1194">
        <f t="shared" si="113"/>
        <v>1</v>
      </c>
      <c r="AU458" s="1194" t="str">
        <f t="shared" si="114"/>
        <v>.</v>
      </c>
      <c r="AV458" s="1194" t="str">
        <f t="shared" si="105"/>
        <v>.</v>
      </c>
      <c r="AW458" s="1194" t="str">
        <f t="shared" si="115"/>
        <v>.</v>
      </c>
      <c r="AX458" s="1194">
        <f>IFERROR(VLOOKUP(B458,'Share, Heavy Weapons to Ukraine'!B:Z,COLUMN('Share, Heavy Weapons to Ukraine'!C468)-1,0),0)</f>
        <v>0</v>
      </c>
      <c r="AY458" s="1194">
        <f>VLOOKUP('Bilateral Assistance, MAIN DATA'!B458,'Country Summary (€)'!B:F,COLUMN('Country Summary (€)'!C469)-1,FALSE)</f>
        <v>1</v>
      </c>
      <c r="AZ458" s="1194" t="str">
        <f>IF(AND(AD458=1,D458="Military",H458&lt;&gt;"Not given")=TRUE,IF(SUMIFS(P:P,A:A,A458)&gt;0,ABS((SUMIFS(P:P,A:A,A458)/VLOOKUP("USD",'Exchange Rates'!B:C,2,0)))/S458,"."),".")</f>
        <v>.</v>
      </c>
      <c r="BA458" s="1196" t="str">
        <f>IF(AND(AD458=1,D458="Military",H458&lt;&gt;"Not given")=TRUE,IF(SUMIFS(P:P,A:A,A458)&gt;0,IF((ABS((SUMIFS(P:P,A:A,A458)/VLOOKUP("USD",'Exchange Rates'!B:C,2,0)))/S458)&gt;1,(SUMIFS(P:P,A:A,A458)-S458)/S458,(S458-SUMIFS(P:P,A:A,A458))/SUMIFS(P:P,A:A,A458)),"."),".")</f>
        <v>.</v>
      </c>
    </row>
    <row r="459" spans="1:53" ht="15.95" customHeight="1">
      <c r="A459" s="1180" t="s">
        <v>1559</v>
      </c>
      <c r="B459" s="1180" t="s">
        <v>1523</v>
      </c>
      <c r="C459" s="1181">
        <v>44697</v>
      </c>
      <c r="D459" s="1182" t="s">
        <v>360</v>
      </c>
      <c r="E459" s="1182" t="s">
        <v>759</v>
      </c>
      <c r="F459" s="1183" t="s">
        <v>1560</v>
      </c>
      <c r="G459" s="1184" t="s">
        <v>456</v>
      </c>
      <c r="H459" s="1185" t="s">
        <v>457</v>
      </c>
      <c r="I459" s="1180" t="s">
        <v>1570</v>
      </c>
      <c r="J459" s="1186" t="str">
        <f>VLOOKUP($I459,'Price List, Weapons &amp; Items'!B:C,2,0)</f>
        <v>Humanitarian</v>
      </c>
      <c r="K459" s="1186" t="str">
        <f>IF(I459=".",I459,VLOOKUP($I459,'Price List, Weapons &amp; Items'!B:D,3,0))</f>
        <v>Humanitarian</v>
      </c>
      <c r="L459" s="1187">
        <f>VLOOKUP(I459,'Price List, Weapons &amp; Items'!B:E,4,0)</f>
        <v>0</v>
      </c>
      <c r="M459" s="1188">
        <v>20000</v>
      </c>
      <c r="N459" s="1188">
        <v>20000</v>
      </c>
      <c r="O459" s="1188">
        <f>VLOOKUP($I459,'Price List, Weapons &amp; Items'!B:G,6,0)</f>
        <v>22</v>
      </c>
      <c r="P459" s="1185">
        <f t="shared" si="106"/>
        <v>440000</v>
      </c>
      <c r="Q459" s="1185">
        <f t="shared" si="107"/>
        <v>440000</v>
      </c>
      <c r="R459" s="1185" t="str">
        <f t="shared" si="103"/>
        <v/>
      </c>
      <c r="S459" s="1185" t="str">
        <f>IF(AND(AD459=1,R459&lt;&gt;".")=TRUE,R459/VLOOKUP(G459,'Exchange Rates'!B:C,2,0),IF(R459=".",".",""))</f>
        <v/>
      </c>
      <c r="T459" s="1185" t="str">
        <f>IF(AD459=1,IF(AF459="Value is not given at all",".",IF(AF459="Value is given by the source",S459,IF(AF459="Value is calculated with prices",(IF(SUMIFS(Q:Q,A:A,A459)&gt;0,SUMIFS(Q:Q,A:A,A459),"."))/VLOOKUP("USD",'Exchange Rates'!B:C,2,0),"Error with coding"))),"")</f>
        <v/>
      </c>
      <c r="U459" s="1184" t="s">
        <v>365</v>
      </c>
      <c r="V459" s="1010" t="s">
        <v>1562</v>
      </c>
      <c r="W459" s="987" t="s">
        <v>1571</v>
      </c>
      <c r="X459" s="986" t="s">
        <v>364</v>
      </c>
      <c r="Y459" s="981" t="s">
        <v>364</v>
      </c>
      <c r="Z459" s="1184">
        <v>0</v>
      </c>
      <c r="AA459" s="1194">
        <v>0</v>
      </c>
      <c r="AB459" s="1021" t="s">
        <v>1562</v>
      </c>
      <c r="AC459" s="1192" t="str">
        <f>""</f>
        <v/>
      </c>
      <c r="AD459" s="1193">
        <v>0</v>
      </c>
      <c r="AE459" s="1193" t="s">
        <v>436</v>
      </c>
      <c r="AF459" s="1193" t="s">
        <v>436</v>
      </c>
      <c r="AG459" s="1193">
        <v>1</v>
      </c>
      <c r="AH459" s="1193">
        <v>5</v>
      </c>
      <c r="AI459" s="1193">
        <v>0</v>
      </c>
      <c r="AJ459" s="1193">
        <f>VLOOKUP($I459,'Price List, Weapons &amp; Items'!B:F,5,0)</f>
        <v>0</v>
      </c>
      <c r="AK459" s="1193">
        <f t="shared" si="108"/>
        <v>0</v>
      </c>
      <c r="AL459" s="1193">
        <f t="shared" si="109"/>
        <v>0</v>
      </c>
      <c r="AM459" s="1193">
        <f t="shared" si="110"/>
        <v>0</v>
      </c>
      <c r="AN459" s="1194" t="str">
        <f>VLOOKUP($I459,'Price List, Weapons &amp; Items'!B:L,COLUMN('Price List, Weapons &amp; Items'!$J$11)-1,0)</f>
        <v>Online marketplaces and stores</v>
      </c>
      <c r="AO459" s="1194" t="str">
        <f>IF(I459=".",".",VLOOKUP($I459,'Price List, Weapons &amp; Items'!B:J,3,0))</f>
        <v>Humanitarian</v>
      </c>
      <c r="AP459" s="1195" t="str">
        <f t="shared" ca="1" si="104"/>
        <v/>
      </c>
      <c r="AQ459" s="1194">
        <f>VLOOKUP($I459,'Price List, Weapons &amp; Items'!B:L,COLUMN('Price List, Weapons &amp; Items'!$L$11)-1,0)</f>
        <v>0</v>
      </c>
      <c r="AR459" s="1194">
        <f t="shared" si="111"/>
        <v>1</v>
      </c>
      <c r="AS459" s="1194">
        <f t="shared" si="112"/>
        <v>0</v>
      </c>
      <c r="AT459" s="1194">
        <f t="shared" si="113"/>
        <v>1</v>
      </c>
      <c r="AU459" s="1194" t="str">
        <f t="shared" si="114"/>
        <v>.</v>
      </c>
      <c r="AV459" s="1194" t="str">
        <f t="shared" si="105"/>
        <v>.</v>
      </c>
      <c r="AW459" s="1194" t="str">
        <f t="shared" si="115"/>
        <v>.</v>
      </c>
      <c r="AX459" s="1194">
        <f>IFERROR(VLOOKUP(B459,'Share, Heavy Weapons to Ukraine'!B:Z,COLUMN('Share, Heavy Weapons to Ukraine'!C469)-1,0),0)</f>
        <v>0</v>
      </c>
      <c r="AY459" s="1194">
        <f>VLOOKUP('Bilateral Assistance, MAIN DATA'!B459,'Country Summary (€)'!B:F,COLUMN('Country Summary (€)'!C470)-1,FALSE)</f>
        <v>1</v>
      </c>
      <c r="AZ459" s="1194" t="str">
        <f>IF(AND(AD459=1,D459="Military",H459&lt;&gt;"Not given")=TRUE,IF(SUMIFS(P:P,A:A,A459)&gt;0,ABS((SUMIFS(P:P,A:A,A459)/VLOOKUP("USD",'Exchange Rates'!B:C,2,0)))/S459,"."),".")</f>
        <v>.</v>
      </c>
      <c r="BA459" s="1196" t="str">
        <f>IF(AND(AD459=1,D459="Military",H459&lt;&gt;"Not given")=TRUE,IF(SUMIFS(P:P,A:A,A459)&gt;0,IF((ABS((SUMIFS(P:P,A:A,A459)/VLOOKUP("USD",'Exchange Rates'!B:C,2,0)))/S459)&gt;1,(SUMIFS(P:P,A:A,A459)-S459)/S459,(S459-SUMIFS(P:P,A:A,A459))/SUMIFS(P:P,A:A,A459)),"."),".")</f>
        <v>.</v>
      </c>
    </row>
    <row r="460" spans="1:53" ht="15.95" customHeight="1">
      <c r="A460" s="1180" t="s">
        <v>1572</v>
      </c>
      <c r="B460" s="1180" t="s">
        <v>1523</v>
      </c>
      <c r="C460" s="1181">
        <v>44701</v>
      </c>
      <c r="D460" s="1182" t="s">
        <v>360</v>
      </c>
      <c r="E460" s="1182" t="s">
        <v>361</v>
      </c>
      <c r="F460" s="1183" t="s">
        <v>1573</v>
      </c>
      <c r="G460" s="1184" t="s">
        <v>364</v>
      </c>
      <c r="H460" s="1185" t="s">
        <v>457</v>
      </c>
      <c r="I460" s="1180" t="s">
        <v>364</v>
      </c>
      <c r="J460" s="1186" t="str">
        <f>VLOOKUP($I460,'Price List, Weapons &amp; Items'!B:C,2,0)</f>
        <v>.</v>
      </c>
      <c r="K460" s="1186" t="str">
        <f>IF(I460=".",I460,VLOOKUP($I460,'Price List, Weapons &amp; Items'!B:D,3,0))</f>
        <v>.</v>
      </c>
      <c r="L460" s="1187">
        <f>VLOOKUP(I460,'Price List, Weapons &amp; Items'!B:E,4,0)</f>
        <v>0</v>
      </c>
      <c r="M460" s="1188" t="s">
        <v>364</v>
      </c>
      <c r="N460" s="1188" t="s">
        <v>364</v>
      </c>
      <c r="O460" s="1188" t="str">
        <f>VLOOKUP($I460,'Price List, Weapons &amp; Items'!B:G,6,0)</f>
        <v>.</v>
      </c>
      <c r="P460" s="1185" t="str">
        <f t="shared" si="106"/>
        <v>.</v>
      </c>
      <c r="Q460" s="1185" t="str">
        <f t="shared" si="107"/>
        <v>.</v>
      </c>
      <c r="R460" s="1185" t="str">
        <f t="shared" si="103"/>
        <v>.</v>
      </c>
      <c r="S460" s="1185" t="str">
        <f>IF(AND(AD460=1,R460&lt;&gt;".")=TRUE,R460/VLOOKUP(G460,'Exchange Rates'!B:C,2,0),IF(R460=".",".",""))</f>
        <v>.</v>
      </c>
      <c r="T460" s="1185" t="str">
        <f>IF(AD460=1,IF(AF460="Value is not given at all",".",IF(AF460="Value is given by the source",S460,IF(AF460="Value is calculated with prices",(IF(SUMIFS(Q:Q,A:A,A460)&gt;0,SUMIFS(Q:Q,A:A,A460),"."))/VLOOKUP("USD",'Exchange Rates'!B:C,2,0),"Error with coding"))),"")</f>
        <v>.</v>
      </c>
      <c r="U460" s="1184" t="s">
        <v>365</v>
      </c>
      <c r="V460" s="971" t="s">
        <v>1574</v>
      </c>
      <c r="W460" s="987" t="s">
        <v>1575</v>
      </c>
      <c r="X460" s="1190" t="s">
        <v>364</v>
      </c>
      <c r="Y460" s="1190" t="s">
        <v>364</v>
      </c>
      <c r="Z460" s="1184">
        <v>0</v>
      </c>
      <c r="AA460" s="1194">
        <v>0</v>
      </c>
      <c r="AB460" s="1180" t="s">
        <v>364</v>
      </c>
      <c r="AC460" s="1192" t="str">
        <f>""</f>
        <v/>
      </c>
      <c r="AD460" s="985">
        <v>1</v>
      </c>
      <c r="AE460" s="985" t="s">
        <v>369</v>
      </c>
      <c r="AF460" s="985" t="s">
        <v>369</v>
      </c>
      <c r="AG460" s="985">
        <v>1</v>
      </c>
      <c r="AH460" s="1193">
        <v>5</v>
      </c>
      <c r="AI460" s="1193">
        <v>0</v>
      </c>
      <c r="AJ460" s="1193">
        <f>VLOOKUP($I460,'Price List, Weapons &amp; Items'!B:F,5,0)</f>
        <v>0</v>
      </c>
      <c r="AK460" s="1193">
        <f t="shared" si="108"/>
        <v>0</v>
      </c>
      <c r="AL460" s="1193">
        <f t="shared" si="109"/>
        <v>0</v>
      </c>
      <c r="AM460" s="1193">
        <f t="shared" si="110"/>
        <v>0</v>
      </c>
      <c r="AN460" s="1194" t="str">
        <f>VLOOKUP($I460,'Price List, Weapons &amp; Items'!B:L,COLUMN('Price List, Weapons &amp; Items'!$J$11)-1,0)</f>
        <v>.</v>
      </c>
      <c r="AO460" s="1194" t="str">
        <f>IF(I460=".",".",VLOOKUP($I460,'Price List, Weapons &amp; Items'!B:J,3,0))</f>
        <v>.</v>
      </c>
      <c r="AP460" s="1195" t="str">
        <f t="shared" ca="1" si="104"/>
        <v>.</v>
      </c>
      <c r="AQ460" s="1194">
        <f>VLOOKUP($I460,'Price List, Weapons &amp; Items'!B:L,COLUMN('Price List, Weapons &amp; Items'!$L$11)-1,0)</f>
        <v>0</v>
      </c>
      <c r="AR460" s="1194">
        <f t="shared" si="111"/>
        <v>1</v>
      </c>
      <c r="AS460" s="1194">
        <f t="shared" si="112"/>
        <v>0</v>
      </c>
      <c r="AT460" s="1194">
        <f t="shared" si="113"/>
        <v>1</v>
      </c>
      <c r="AU460" s="1194" t="str">
        <f t="shared" si="114"/>
        <v>.</v>
      </c>
      <c r="AV460" s="1194" t="str">
        <f t="shared" si="105"/>
        <v>.</v>
      </c>
      <c r="AW460" s="1194" t="str">
        <f t="shared" si="115"/>
        <v>.</v>
      </c>
      <c r="AX460" s="1194">
        <f>IFERROR(VLOOKUP(B460,'Share, Heavy Weapons to Ukraine'!B:Z,COLUMN('Share, Heavy Weapons to Ukraine'!C470)-1,0),0)</f>
        <v>0</v>
      </c>
      <c r="AY460" s="1194">
        <f>VLOOKUP('Bilateral Assistance, MAIN DATA'!B460,'Country Summary (€)'!B:F,COLUMN('Country Summary (€)'!C471)-1,FALSE)</f>
        <v>1</v>
      </c>
      <c r="AZ460" s="1194" t="str">
        <f>IF(AND(AD460=1,D460="Military",H460&lt;&gt;"Not given")=TRUE,IF(SUMIFS(P:P,A:A,A460)&gt;0,ABS((SUMIFS(P:P,A:A,A460)/VLOOKUP("USD",'Exchange Rates'!B:C,2,0)))/S460,"."),".")</f>
        <v>.</v>
      </c>
      <c r="BA460" s="1196" t="str">
        <f>IF(AND(AD460=1,D460="Military",H460&lt;&gt;"Not given")=TRUE,IF(SUMIFS(P:P,A:A,A460)&gt;0,IF((ABS((SUMIFS(P:P,A:A,A460)/VLOOKUP("USD",'Exchange Rates'!B:C,2,0)))/S460)&gt;1,(SUMIFS(P:P,A:A,A460)-S460)/S460,(S460-SUMIFS(P:P,A:A,A460))/SUMIFS(P:P,A:A,A460)),"."),".")</f>
        <v>.</v>
      </c>
    </row>
    <row r="461" spans="1:53" ht="15.95" customHeight="1">
      <c r="A461" s="1180" t="s">
        <v>1576</v>
      </c>
      <c r="B461" s="1180" t="s">
        <v>1523</v>
      </c>
      <c r="C461" s="1181">
        <v>44711</v>
      </c>
      <c r="D461" s="1182" t="s">
        <v>360</v>
      </c>
      <c r="E461" s="1182" t="s">
        <v>371</v>
      </c>
      <c r="F461" s="1183" t="s">
        <v>1577</v>
      </c>
      <c r="G461" s="1184" t="s">
        <v>456</v>
      </c>
      <c r="H461" s="1185" t="s">
        <v>457</v>
      </c>
      <c r="I461" s="1180" t="s">
        <v>477</v>
      </c>
      <c r="J461" s="1186" t="str">
        <f>VLOOKUP($I461,'Price List, Weapons &amp; Items'!B:C,2,0)</f>
        <v>Humanitarian</v>
      </c>
      <c r="K461" s="1186" t="str">
        <f>IF(I461=".",I461,VLOOKUP($I461,'Price List, Weapons &amp; Items'!B:D,3,0))</f>
        <v>Humanitarian</v>
      </c>
      <c r="L461" s="1187">
        <f>VLOOKUP(I461,'Price List, Weapons &amp; Items'!B:E,4,0)</f>
        <v>0</v>
      </c>
      <c r="M461" s="1188">
        <v>12</v>
      </c>
      <c r="N461" s="1188" t="s">
        <v>374</v>
      </c>
      <c r="O461" s="1188">
        <f>VLOOKUP($I461,'Price List, Weapons &amp; Items'!B:G,6,0)</f>
        <v>317500</v>
      </c>
      <c r="P461" s="1185">
        <f t="shared" si="106"/>
        <v>3810000</v>
      </c>
      <c r="Q461" s="1185" t="str">
        <f t="shared" si="107"/>
        <v>.</v>
      </c>
      <c r="R461" s="1185">
        <f t="shared" si="103"/>
        <v>3810000</v>
      </c>
      <c r="S461" s="1185">
        <f>IF(AND(AD461=1,R461&lt;&gt;".")=TRUE,R461/VLOOKUP(G461,'Exchange Rates'!B:C,2,0),IF(R461=".",".",""))</f>
        <v>3505704.8214942953</v>
      </c>
      <c r="T461" s="1185" t="str">
        <f>IF(AD461=1,IF(AF461="Value is not given at all",".",IF(AF461="Value is given by the source",S461,IF(AF461="Value is calculated with prices",(IF(SUMIFS(Q:Q,A:A,A461)&gt;0,SUMIFS(Q:Q,A:A,A461),"."))/VLOOKUP("USD",'Exchange Rates'!B:C,2,0),"Error with coding"))),"")</f>
        <v>.</v>
      </c>
      <c r="U461" s="1184" t="s">
        <v>365</v>
      </c>
      <c r="V461" s="971" t="s">
        <v>1578</v>
      </c>
      <c r="W461" s="987" t="s">
        <v>1579</v>
      </c>
      <c r="X461" s="1190" t="s">
        <v>364</v>
      </c>
      <c r="Y461" s="1190" t="s">
        <v>364</v>
      </c>
      <c r="Z461" s="1184">
        <v>0</v>
      </c>
      <c r="AA461" s="1194">
        <v>0</v>
      </c>
      <c r="AB461" s="1180" t="s">
        <v>364</v>
      </c>
      <c r="AC461" s="1192" t="str">
        <f>""</f>
        <v/>
      </c>
      <c r="AD461" s="1193">
        <v>1</v>
      </c>
      <c r="AE461" s="1193" t="s">
        <v>436</v>
      </c>
      <c r="AF461" s="1193" t="s">
        <v>369</v>
      </c>
      <c r="AG461" s="1193">
        <v>1</v>
      </c>
      <c r="AH461" s="1193">
        <v>5</v>
      </c>
      <c r="AI461" s="1193">
        <v>0</v>
      </c>
      <c r="AJ461" s="1193">
        <f>VLOOKUP($I461,'Price List, Weapons &amp; Items'!B:F,5,0)</f>
        <v>0</v>
      </c>
      <c r="AK461" s="1193">
        <f t="shared" si="108"/>
        <v>0</v>
      </c>
      <c r="AL461" s="1193">
        <f t="shared" si="109"/>
        <v>0</v>
      </c>
      <c r="AM461" s="1193">
        <f t="shared" si="110"/>
        <v>0</v>
      </c>
      <c r="AN461" s="1194" t="str">
        <f>VLOOKUP($I461,'Price List, Weapons &amp; Items'!B:L,COLUMN('Price List, Weapons &amp; Items'!$J$11)-1,0)</f>
        <v>Media reports (incl. social media)</v>
      </c>
      <c r="AO461" s="1194" t="str">
        <f>IF(I461=".",".",VLOOKUP($I461,'Price List, Weapons &amp; Items'!B:J,3,0))</f>
        <v>Humanitarian</v>
      </c>
      <c r="AP461" s="1195" t="str">
        <f t="shared" ca="1" si="104"/>
        <v>ambulance H</v>
      </c>
      <c r="AQ461" s="1194">
        <f>VLOOKUP($I461,'Price List, Weapons &amp; Items'!B:L,COLUMN('Price List, Weapons &amp; Items'!$L$11)-1,0)</f>
        <v>0</v>
      </c>
      <c r="AR461" s="1194">
        <f t="shared" si="111"/>
        <v>1</v>
      </c>
      <c r="AS461" s="1194">
        <f t="shared" si="112"/>
        <v>0</v>
      </c>
      <c r="AT461" s="1194">
        <f t="shared" si="113"/>
        <v>1</v>
      </c>
      <c r="AU461" s="1194" t="str">
        <f t="shared" si="114"/>
        <v>.</v>
      </c>
      <c r="AV461" s="1194" t="str">
        <f t="shared" si="105"/>
        <v>.</v>
      </c>
      <c r="AW461" s="1194" t="str">
        <f t="shared" si="115"/>
        <v>.</v>
      </c>
      <c r="AX461" s="1194">
        <f>IFERROR(VLOOKUP(B461,'Share, Heavy Weapons to Ukraine'!B:Z,COLUMN('Share, Heavy Weapons to Ukraine'!C471)-1,0),0)</f>
        <v>0</v>
      </c>
      <c r="AY461" s="1194">
        <f>VLOOKUP('Bilateral Assistance, MAIN DATA'!B461,'Country Summary (€)'!B:F,COLUMN('Country Summary (€)'!C472)-1,FALSE)</f>
        <v>1</v>
      </c>
      <c r="AZ461" s="1194" t="str">
        <f>IF(AND(AD461=1,D461="Military",H461&lt;&gt;"Not given")=TRUE,IF(SUMIFS(P:P,A:A,A461)&gt;0,ABS((SUMIFS(P:P,A:A,A461)/VLOOKUP("USD",'Exchange Rates'!B:C,2,0)))/S461,"."),".")</f>
        <v>.</v>
      </c>
      <c r="BA461" s="1196" t="str">
        <f>IF(AND(AD461=1,D461="Military",H461&lt;&gt;"Not given")=TRUE,IF(SUMIFS(P:P,A:A,A461)&gt;0,IF((ABS((SUMIFS(P:P,A:A,A461)/VLOOKUP("USD",'Exchange Rates'!B:C,2,0)))/S461)&gt;1,(SUMIFS(P:P,A:A,A461)-S461)/S461,(S461-SUMIFS(P:P,A:A,A461))/SUMIFS(P:P,A:A,A461)),"."),".")</f>
        <v>.</v>
      </c>
    </row>
    <row r="462" spans="1:53" ht="15.95" customHeight="1">
      <c r="A462" s="1180" t="s">
        <v>1580</v>
      </c>
      <c r="B462" s="1180" t="s">
        <v>1523</v>
      </c>
      <c r="C462" s="1181">
        <v>44729</v>
      </c>
      <c r="D462" s="1182" t="s">
        <v>360</v>
      </c>
      <c r="E462" s="1182" t="s">
        <v>361</v>
      </c>
      <c r="F462" s="1183" t="s">
        <v>1581</v>
      </c>
      <c r="G462" s="1184" t="s">
        <v>456</v>
      </c>
      <c r="H462" s="1185" t="s">
        <v>457</v>
      </c>
      <c r="I462" s="1280" t="s">
        <v>1582</v>
      </c>
      <c r="J462" s="1186" t="str">
        <f>VLOOKUP($I462,'Price List, Weapons &amp; Items'!B:C,2,0)</f>
        <v>Humanitarian</v>
      </c>
      <c r="K462" s="1186" t="str">
        <f>IF(I462=".",I462,VLOOKUP($I462,'Price List, Weapons &amp; Items'!B:D,3,0))</f>
        <v>Humanitarian</v>
      </c>
      <c r="L462" s="1187">
        <f>VLOOKUP(I462,'Price List, Weapons &amp; Items'!B:E,4,0)</f>
        <v>0</v>
      </c>
      <c r="M462" s="1188">
        <v>31</v>
      </c>
      <c r="N462" s="1188" t="s">
        <v>374</v>
      </c>
      <c r="O462" s="1188">
        <f>VLOOKUP($I462,'Price List, Weapons &amp; Items'!B:G,6,0)</f>
        <v>37609.264000000003</v>
      </c>
      <c r="P462" s="1185">
        <f t="shared" si="106"/>
        <v>1165887.1840000001</v>
      </c>
      <c r="Q462" s="1185" t="str">
        <f t="shared" si="107"/>
        <v>.</v>
      </c>
      <c r="R462" s="1185">
        <f t="shared" si="103"/>
        <v>1165887.1840000001</v>
      </c>
      <c r="S462" s="1185">
        <f>IF(AND(AD462=1,R462&lt;&gt;".")=TRUE,R462/VLOOKUP(G462,'Exchange Rates'!B:C,2,0),IF(R462=".",".",""))</f>
        <v>1072770.6882591094</v>
      </c>
      <c r="T462" s="1185" t="str">
        <f>IF(AD462=1,IF(AF462="Value is not given at all",".",IF(AF462="Value is given by the source",S462,IF(AF462="Value is calculated with prices",(IF(SUMIFS(Q:Q,A:A,A462)&gt;0,SUMIFS(Q:Q,A:A,A462),"."))/VLOOKUP("USD",'Exchange Rates'!B:C,2,0),"Error with coding"))),"")</f>
        <v>.</v>
      </c>
      <c r="U462" s="1184" t="s">
        <v>365</v>
      </c>
      <c r="V462" s="971" t="s">
        <v>1583</v>
      </c>
      <c r="W462" s="987" t="s">
        <v>1584</v>
      </c>
      <c r="X462" s="1190" t="s">
        <v>364</v>
      </c>
      <c r="Y462" s="1190" t="s">
        <v>364</v>
      </c>
      <c r="Z462" s="1184">
        <v>0</v>
      </c>
      <c r="AA462" s="1194">
        <v>0</v>
      </c>
      <c r="AB462" s="1180" t="s">
        <v>364</v>
      </c>
      <c r="AC462" s="1192" t="str">
        <f>""</f>
        <v/>
      </c>
      <c r="AD462" s="985">
        <v>1</v>
      </c>
      <c r="AE462" s="985" t="s">
        <v>369</v>
      </c>
      <c r="AF462" s="985" t="s">
        <v>369</v>
      </c>
      <c r="AG462" s="985">
        <v>1</v>
      </c>
      <c r="AH462" s="1193">
        <v>6</v>
      </c>
      <c r="AI462" s="1193">
        <v>0</v>
      </c>
      <c r="AJ462" s="1193">
        <f>VLOOKUP($I462,'Price List, Weapons &amp; Items'!B:F,5,0)</f>
        <v>0</v>
      </c>
      <c r="AK462" s="1193">
        <f t="shared" si="108"/>
        <v>0</v>
      </c>
      <c r="AL462" s="1193">
        <f t="shared" si="109"/>
        <v>0</v>
      </c>
      <c r="AM462" s="1193">
        <f t="shared" si="110"/>
        <v>0</v>
      </c>
      <c r="AN462" s="1194" t="str">
        <f>VLOOKUP($I462,'Price List, Weapons &amp; Items'!B:L,COLUMN('Price List, Weapons &amp; Items'!$J$11)-1,0)</f>
        <v>Miscellaneous</v>
      </c>
      <c r="AO462" s="1194" t="str">
        <f>IF(I462=".",".",VLOOKUP($I462,'Price List, Weapons &amp; Items'!B:J,3,0))</f>
        <v>Humanitarian</v>
      </c>
      <c r="AP462" s="1195" t="str">
        <f t="shared" ca="1" si="104"/>
        <v>Field crop seed (per Ton)</v>
      </c>
      <c r="AQ462" s="1194">
        <f>VLOOKUP($I462,'Price List, Weapons &amp; Items'!B:L,COLUMN('Price List, Weapons &amp; Items'!$L$11)-1,0)</f>
        <v>0</v>
      </c>
      <c r="AR462" s="1194">
        <f t="shared" si="111"/>
        <v>1</v>
      </c>
      <c r="AS462" s="1194">
        <f t="shared" si="112"/>
        <v>0</v>
      </c>
      <c r="AT462" s="1194">
        <f t="shared" si="113"/>
        <v>1</v>
      </c>
      <c r="AU462" s="1194" t="str">
        <f t="shared" si="114"/>
        <v>.</v>
      </c>
      <c r="AV462" s="1194" t="str">
        <f t="shared" si="105"/>
        <v>.</v>
      </c>
      <c r="AW462" s="1194" t="str">
        <f t="shared" si="115"/>
        <v>.</v>
      </c>
      <c r="AX462" s="1194">
        <f>IFERROR(VLOOKUP(B462,'Share, Heavy Weapons to Ukraine'!B:Z,COLUMN('Share, Heavy Weapons to Ukraine'!C472)-1,0),0)</f>
        <v>0</v>
      </c>
      <c r="AY462" s="1194">
        <f>VLOOKUP('Bilateral Assistance, MAIN DATA'!B462,'Country Summary (€)'!B:F,COLUMN('Country Summary (€)'!C473)-1,FALSE)</f>
        <v>1</v>
      </c>
      <c r="AZ462" s="1194" t="str">
        <f>IF(AND(AD462=1,D462="Military",H462&lt;&gt;"Not given")=TRUE,IF(SUMIFS(P:P,A:A,A462)&gt;0,ABS((SUMIFS(P:P,A:A,A462)/VLOOKUP("USD",'Exchange Rates'!B:C,2,0)))/S462,"."),".")</f>
        <v>.</v>
      </c>
      <c r="BA462" s="1196" t="str">
        <f>IF(AND(AD462=1,D462="Military",H462&lt;&gt;"Not given")=TRUE,IF(SUMIFS(P:P,A:A,A462)&gt;0,IF((ABS((SUMIFS(P:P,A:A,A462)/VLOOKUP("USD",'Exchange Rates'!B:C,2,0)))/S462)&gt;1,(SUMIFS(P:P,A:A,A462)-S462)/S462,(S462-SUMIFS(P:P,A:A,A462))/SUMIFS(P:P,A:A,A462)),"."),".")</f>
        <v>.</v>
      </c>
    </row>
    <row r="463" spans="1:53" ht="15.95" customHeight="1">
      <c r="A463" s="1180" t="s">
        <v>1585</v>
      </c>
      <c r="B463" s="1180" t="s">
        <v>1523</v>
      </c>
      <c r="C463" s="1181">
        <v>44729</v>
      </c>
      <c r="D463" s="1182" t="s">
        <v>360</v>
      </c>
      <c r="E463" s="1182" t="s">
        <v>361</v>
      </c>
      <c r="F463" s="1183" t="s">
        <v>1586</v>
      </c>
      <c r="G463" s="1184" t="s">
        <v>364</v>
      </c>
      <c r="H463" s="1185" t="s">
        <v>457</v>
      </c>
      <c r="I463" s="1180" t="s">
        <v>364</v>
      </c>
      <c r="J463" s="1186" t="str">
        <f>VLOOKUP($I463,'Price List, Weapons &amp; Items'!B:C,2,0)</f>
        <v>.</v>
      </c>
      <c r="K463" s="1186" t="str">
        <f>IF(I463=".",I463,VLOOKUP($I463,'Price List, Weapons &amp; Items'!B:D,3,0))</f>
        <v>.</v>
      </c>
      <c r="L463" s="1187">
        <f>VLOOKUP(I463,'Price List, Weapons &amp; Items'!B:E,4,0)</f>
        <v>0</v>
      </c>
      <c r="M463" s="1188" t="s">
        <v>364</v>
      </c>
      <c r="N463" s="1188" t="s">
        <v>364</v>
      </c>
      <c r="O463" s="1188" t="str">
        <f>VLOOKUP($I463,'Price List, Weapons &amp; Items'!B:G,6,0)</f>
        <v>.</v>
      </c>
      <c r="P463" s="1185" t="str">
        <f t="shared" si="106"/>
        <v>.</v>
      </c>
      <c r="Q463" s="1185" t="str">
        <f t="shared" si="107"/>
        <v>.</v>
      </c>
      <c r="R463" s="1185" t="str">
        <f t="shared" si="103"/>
        <v>.</v>
      </c>
      <c r="S463" s="1185" t="str">
        <f>IF(AND(AD463=1,R463&lt;&gt;".")=TRUE,R463/VLOOKUP(G463,'Exchange Rates'!B:C,2,0),IF(R463=".",".",""))</f>
        <v>.</v>
      </c>
      <c r="T463" s="1185" t="str">
        <f>IF(AD463=1,IF(AF463="Value is not given at all",".",IF(AF463="Value is given by the source",S463,IF(AF463="Value is calculated with prices",(IF(SUMIFS(Q:Q,A:A,A463)&gt;0,SUMIFS(Q:Q,A:A,A463),"."))/VLOOKUP("USD",'Exchange Rates'!B:C,2,0),"Error with coding"))),"")</f>
        <v>.</v>
      </c>
      <c r="U463" s="1184" t="s">
        <v>365</v>
      </c>
      <c r="V463" s="971" t="s">
        <v>1574</v>
      </c>
      <c r="W463" s="987" t="s">
        <v>1587</v>
      </c>
      <c r="X463" s="1190" t="s">
        <v>364</v>
      </c>
      <c r="Y463" s="1190" t="s">
        <v>364</v>
      </c>
      <c r="Z463" s="1184">
        <v>0</v>
      </c>
      <c r="AA463" s="1194">
        <v>0</v>
      </c>
      <c r="AB463" s="1180" t="s">
        <v>364</v>
      </c>
      <c r="AC463" s="1192" t="str">
        <f>""</f>
        <v/>
      </c>
      <c r="AD463" s="985">
        <v>1</v>
      </c>
      <c r="AE463" s="985" t="s">
        <v>369</v>
      </c>
      <c r="AF463" s="985" t="s">
        <v>369</v>
      </c>
      <c r="AG463" s="985">
        <v>1</v>
      </c>
      <c r="AH463" s="1193">
        <v>6</v>
      </c>
      <c r="AI463" s="1193">
        <v>0</v>
      </c>
      <c r="AJ463" s="1193">
        <f>VLOOKUP($I463,'Price List, Weapons &amp; Items'!B:F,5,0)</f>
        <v>0</v>
      </c>
      <c r="AK463" s="1193">
        <f t="shared" si="108"/>
        <v>0</v>
      </c>
      <c r="AL463" s="1193">
        <f t="shared" si="109"/>
        <v>0</v>
      </c>
      <c r="AM463" s="1193">
        <f t="shared" si="110"/>
        <v>0</v>
      </c>
      <c r="AN463" s="1194" t="str">
        <f>VLOOKUP($I463,'Price List, Weapons &amp; Items'!B:L,COLUMN('Price List, Weapons &amp; Items'!$J$11)-1,0)</f>
        <v>.</v>
      </c>
      <c r="AO463" s="1194" t="str">
        <f>IF(I463=".",".",VLOOKUP($I463,'Price List, Weapons &amp; Items'!B:J,3,0))</f>
        <v>.</v>
      </c>
      <c r="AP463" s="1195" t="str">
        <f t="shared" ca="1" si="104"/>
        <v>.</v>
      </c>
      <c r="AQ463" s="1194">
        <f>VLOOKUP($I463,'Price List, Weapons &amp; Items'!B:L,COLUMN('Price List, Weapons &amp; Items'!$L$11)-1,0)</f>
        <v>0</v>
      </c>
      <c r="AR463" s="1194">
        <f t="shared" si="111"/>
        <v>1</v>
      </c>
      <c r="AS463" s="1194">
        <f t="shared" si="112"/>
        <v>0</v>
      </c>
      <c r="AT463" s="1194">
        <f t="shared" si="113"/>
        <v>1</v>
      </c>
      <c r="AU463" s="1194" t="str">
        <f t="shared" si="114"/>
        <v>.</v>
      </c>
      <c r="AV463" s="1194" t="str">
        <f t="shared" si="105"/>
        <v>.</v>
      </c>
      <c r="AW463" s="1194" t="str">
        <f t="shared" si="115"/>
        <v>.</v>
      </c>
      <c r="AX463" s="1194">
        <f>IFERROR(VLOOKUP(B463,'Share, Heavy Weapons to Ukraine'!B:Z,COLUMN('Share, Heavy Weapons to Ukraine'!C473)-1,0),0)</f>
        <v>0</v>
      </c>
      <c r="AY463" s="1194">
        <f>VLOOKUP('Bilateral Assistance, MAIN DATA'!B463,'Country Summary (€)'!B:F,COLUMN('Country Summary (€)'!C474)-1,FALSE)</f>
        <v>1</v>
      </c>
      <c r="AZ463" s="1194" t="str">
        <f>IF(AND(AD463=1,D463="Military",H463&lt;&gt;"Not given")=TRUE,IF(SUMIFS(P:P,A:A,A463)&gt;0,ABS((SUMIFS(P:P,A:A,A463)/VLOOKUP("USD",'Exchange Rates'!B:C,2,0)))/S463,"."),".")</f>
        <v>.</v>
      </c>
      <c r="BA463" s="1196" t="str">
        <f>IF(AND(AD463=1,D463="Military",H463&lt;&gt;"Not given")=TRUE,IF(SUMIFS(P:P,A:A,A463)&gt;0,IF((ABS((SUMIFS(P:P,A:A,A463)/VLOOKUP("USD",'Exchange Rates'!B:C,2,0)))/S463)&gt;1,(SUMIFS(P:P,A:A,A463)-S463)/S463,(S463-SUMIFS(P:P,A:A,A463))/SUMIFS(P:P,A:A,A463)),"."),".")</f>
        <v>.</v>
      </c>
    </row>
    <row r="464" spans="1:53" ht="15.95" customHeight="1">
      <c r="A464" s="1180" t="s">
        <v>1588</v>
      </c>
      <c r="B464" s="1180" t="s">
        <v>1523</v>
      </c>
      <c r="C464" s="1181">
        <v>44740</v>
      </c>
      <c r="D464" s="1182" t="s">
        <v>360</v>
      </c>
      <c r="E464" s="1182" t="s">
        <v>371</v>
      </c>
      <c r="F464" s="1183" t="s">
        <v>1589</v>
      </c>
      <c r="G464" s="1184" t="s">
        <v>364</v>
      </c>
      <c r="H464" s="1185" t="s">
        <v>457</v>
      </c>
      <c r="I464" s="1180" t="s">
        <v>364</v>
      </c>
      <c r="J464" s="1186" t="str">
        <f>VLOOKUP($I464,'Price List, Weapons &amp; Items'!B:C,2,0)</f>
        <v>.</v>
      </c>
      <c r="K464" s="1186" t="str">
        <f>IF(I464=".",I464,VLOOKUP($I464,'Price List, Weapons &amp; Items'!B:D,3,0))</f>
        <v>.</v>
      </c>
      <c r="L464" s="1187">
        <f>VLOOKUP(I464,'Price List, Weapons &amp; Items'!B:E,4,0)</f>
        <v>0</v>
      </c>
      <c r="M464" s="1188" t="s">
        <v>364</v>
      </c>
      <c r="N464" s="1188" t="s">
        <v>364</v>
      </c>
      <c r="O464" s="1188" t="str">
        <f>VLOOKUP($I464,'Price List, Weapons &amp; Items'!B:G,6,0)</f>
        <v>.</v>
      </c>
      <c r="P464" s="1185" t="str">
        <f t="shared" si="106"/>
        <v>.</v>
      </c>
      <c r="Q464" s="1185" t="str">
        <f t="shared" si="107"/>
        <v>.</v>
      </c>
      <c r="R464" s="1185" t="str">
        <f t="shared" si="103"/>
        <v>.</v>
      </c>
      <c r="S464" s="1185" t="str">
        <f>IF(AND(AD464=1,R464&lt;&gt;".")=TRUE,R464/VLOOKUP(G464,'Exchange Rates'!B:C,2,0),IF(R464=".",".",""))</f>
        <v>.</v>
      </c>
      <c r="T464" s="1185" t="str">
        <f>IF(AD464=1,IF(AF464="Value is not given at all",".",IF(AF464="Value is given by the source",S464,IF(AF464="Value is calculated with prices",(IF(SUMIFS(Q:Q,A:A,A464)&gt;0,SUMIFS(Q:Q,A:A,A464),"."))/VLOOKUP("USD",'Exchange Rates'!B:C,2,0),"Error with coding"))),"")</f>
        <v>.</v>
      </c>
      <c r="U464" s="1184" t="s">
        <v>365</v>
      </c>
      <c r="V464" s="971" t="s">
        <v>1590</v>
      </c>
      <c r="W464" s="987" t="s">
        <v>1591</v>
      </c>
      <c r="X464" s="1190" t="s">
        <v>364</v>
      </c>
      <c r="Y464" s="1190" t="s">
        <v>364</v>
      </c>
      <c r="Z464" s="1184">
        <v>0</v>
      </c>
      <c r="AA464" s="1194">
        <v>0</v>
      </c>
      <c r="AB464" s="1201" t="s">
        <v>364</v>
      </c>
      <c r="AC464" s="1192" t="str">
        <f>""</f>
        <v/>
      </c>
      <c r="AD464" s="985">
        <v>1</v>
      </c>
      <c r="AE464" s="985" t="s">
        <v>369</v>
      </c>
      <c r="AF464" s="985" t="s">
        <v>369</v>
      </c>
      <c r="AG464" s="985">
        <v>1</v>
      </c>
      <c r="AH464" s="1193">
        <v>6</v>
      </c>
      <c r="AI464" s="1193">
        <v>0</v>
      </c>
      <c r="AJ464" s="1193">
        <f>VLOOKUP($I464,'Price List, Weapons &amp; Items'!B:F,5,0)</f>
        <v>0</v>
      </c>
      <c r="AK464" s="1193">
        <f t="shared" si="108"/>
        <v>0</v>
      </c>
      <c r="AL464" s="1193">
        <f t="shared" si="109"/>
        <v>0</v>
      </c>
      <c r="AM464" s="1193">
        <f t="shared" si="110"/>
        <v>0</v>
      </c>
      <c r="AN464" s="1194" t="str">
        <f>VLOOKUP($I464,'Price List, Weapons &amp; Items'!B:L,COLUMN('Price List, Weapons &amp; Items'!$J$11)-1,0)</f>
        <v>.</v>
      </c>
      <c r="AO464" s="1194" t="str">
        <f>IF(I464=".",".",VLOOKUP($I464,'Price List, Weapons &amp; Items'!B:J,3,0))</f>
        <v>.</v>
      </c>
      <c r="AP464" s="1195" t="str">
        <f t="shared" ca="1" si="104"/>
        <v>.</v>
      </c>
      <c r="AQ464" s="1194">
        <f>VLOOKUP($I464,'Price List, Weapons &amp; Items'!B:L,COLUMN('Price List, Weapons &amp; Items'!$L$11)-1,0)</f>
        <v>0</v>
      </c>
      <c r="AR464" s="1194">
        <f t="shared" si="111"/>
        <v>1</v>
      </c>
      <c r="AS464" s="1194">
        <f t="shared" si="112"/>
        <v>0</v>
      </c>
      <c r="AT464" s="1194">
        <f t="shared" si="113"/>
        <v>1</v>
      </c>
      <c r="AU464" s="1194" t="str">
        <f t="shared" si="114"/>
        <v>.</v>
      </c>
      <c r="AV464" s="1194" t="str">
        <f t="shared" si="105"/>
        <v>.</v>
      </c>
      <c r="AW464" s="1194" t="str">
        <f t="shared" si="115"/>
        <v>.</v>
      </c>
      <c r="AX464" s="1194">
        <f>IFERROR(VLOOKUP(B464,'Share, Heavy Weapons to Ukraine'!B:Z,COLUMN('Share, Heavy Weapons to Ukraine'!C474)-1,0),0)</f>
        <v>0</v>
      </c>
      <c r="AY464" s="1194">
        <f>VLOOKUP('Bilateral Assistance, MAIN DATA'!B464,'Country Summary (€)'!B:F,COLUMN('Country Summary (€)'!C475)-1,FALSE)</f>
        <v>1</v>
      </c>
      <c r="AZ464" s="1194" t="str">
        <f>IF(AND(AD464=1,D464="Military",H464&lt;&gt;"Not given")=TRUE,IF(SUMIFS(P:P,A:A,A464)&gt;0,ABS((SUMIFS(P:P,A:A,A464)/VLOOKUP("USD",'Exchange Rates'!B:C,2,0)))/S464,"."),".")</f>
        <v>.</v>
      </c>
      <c r="BA464" s="1196" t="str">
        <f>IF(AND(AD464=1,D464="Military",H464&lt;&gt;"Not given")=TRUE,IF(SUMIFS(P:P,A:A,A464)&gt;0,IF((ABS((SUMIFS(P:P,A:A,A464)/VLOOKUP("USD",'Exchange Rates'!B:C,2,0)))/S464)&gt;1,(SUMIFS(P:P,A:A,A464)-S464)/S464,(S464-SUMIFS(P:P,A:A,A464))/SUMIFS(P:P,A:A,A464)),"."),".")</f>
        <v>.</v>
      </c>
    </row>
    <row r="465" spans="1:53" s="1194" customFormat="1" ht="15.95" customHeight="1">
      <c r="A465" s="1180" t="s">
        <v>1592</v>
      </c>
      <c r="B465" s="1180" t="s">
        <v>1523</v>
      </c>
      <c r="C465" s="1181">
        <v>44757</v>
      </c>
      <c r="D465" s="1182" t="s">
        <v>360</v>
      </c>
      <c r="E465" s="1182" t="s">
        <v>361</v>
      </c>
      <c r="F465" s="1183" t="s">
        <v>1593</v>
      </c>
      <c r="G465" s="1184" t="s">
        <v>483</v>
      </c>
      <c r="H465" s="1185" t="s">
        <v>457</v>
      </c>
      <c r="I465" s="1180" t="s">
        <v>1594</v>
      </c>
      <c r="J465" s="1186" t="str">
        <f>VLOOKUP($I465,'Price List, Weapons &amp; Items'!B:C,2,0)</f>
        <v>Humanitarian</v>
      </c>
      <c r="K465" s="1186" t="str">
        <f>IF(I465=".",I465,VLOOKUP($I465,'Price List, Weapons &amp; Items'!B:D,3,0))</f>
        <v>Humanitarian</v>
      </c>
      <c r="L465" s="1187">
        <f>VLOOKUP(I465,'Price List, Weapons &amp; Items'!B:E,4,0)</f>
        <v>0</v>
      </c>
      <c r="M465" s="1188">
        <v>2</v>
      </c>
      <c r="N465" s="1275">
        <v>2</v>
      </c>
      <c r="O465" s="1188" t="str">
        <f>VLOOKUP($I465,'Price List, Weapons &amp; Items'!B:G,6,0)</f>
        <v>.</v>
      </c>
      <c r="P465" s="1185" t="str">
        <f t="shared" si="106"/>
        <v>No price</v>
      </c>
      <c r="Q465" s="1185" t="str">
        <f t="shared" si="107"/>
        <v>No price</v>
      </c>
      <c r="R465" s="1185" t="str">
        <f t="shared" si="103"/>
        <v>.</v>
      </c>
      <c r="S465" s="1185" t="str">
        <f>IF(AND(AD465=1,R465&lt;&gt;".")=TRUE,R465/VLOOKUP(G465,'Exchange Rates'!B:C,2,0),IF(R465=".",".",""))</f>
        <v>.</v>
      </c>
      <c r="T465" s="1185" t="str">
        <f>IF(AD465=1,IF(AF465="Value is not given at all",".",IF(AF465="Value is given by the source",S465,IF(AF465="Value is calculated with prices",(IF(SUMIFS(Q:Q,A:A,A465)&gt;0,SUMIFS(Q:Q,A:A,A465),"."))/VLOOKUP("USD",'Exchange Rates'!B:C,2,0),"Error with coding"))),"")</f>
        <v>.</v>
      </c>
      <c r="U465" s="1184" t="s">
        <v>365</v>
      </c>
      <c r="V465" s="971" t="s">
        <v>1595</v>
      </c>
      <c r="W465" s="987" t="s">
        <v>1596</v>
      </c>
      <c r="X465" s="980" t="s">
        <v>1597</v>
      </c>
      <c r="Y465" s="1190" t="s">
        <v>364</v>
      </c>
      <c r="Z465" s="1184">
        <v>0</v>
      </c>
      <c r="AA465" s="1194">
        <v>1</v>
      </c>
      <c r="AB465" s="1026" t="s">
        <v>1597</v>
      </c>
      <c r="AC465" s="1192" t="str">
        <f>""</f>
        <v/>
      </c>
      <c r="AD465" s="985">
        <v>1</v>
      </c>
      <c r="AE465" s="985" t="s">
        <v>369</v>
      </c>
      <c r="AF465" s="985" t="s">
        <v>369</v>
      </c>
      <c r="AG465" s="985">
        <v>1</v>
      </c>
      <c r="AH465" s="1193">
        <v>7</v>
      </c>
      <c r="AI465" s="1193">
        <v>0</v>
      </c>
      <c r="AJ465" s="1193">
        <f>VLOOKUP($I465,'Price List, Weapons &amp; Items'!B:F,5,0)</f>
        <v>0</v>
      </c>
      <c r="AK465" s="1193">
        <f t="shared" si="108"/>
        <v>0</v>
      </c>
      <c r="AL465" s="1193">
        <f t="shared" si="109"/>
        <v>0</v>
      </c>
      <c r="AM465" s="1193">
        <f t="shared" si="110"/>
        <v>0</v>
      </c>
      <c r="AN465" s="1194" t="str">
        <f>VLOOKUP($I465,'Price List, Weapons &amp; Items'!B:L,COLUMN('Price List, Weapons &amp; Items'!$J$11)-1,0)</f>
        <v>.</v>
      </c>
      <c r="AO465" s="1194" t="str">
        <f>IF(I465=".",".",VLOOKUP($I465,'Price List, Weapons &amp; Items'!B:J,3,0))</f>
        <v>Humanitarian</v>
      </c>
      <c r="AP465" s="1195" t="str">
        <f t="shared" ca="1" si="104"/>
        <v>mobile DNA-analysis laboratory</v>
      </c>
      <c r="AQ465" s="1194">
        <f>VLOOKUP($I465,'Price List, Weapons &amp; Items'!B:L,COLUMN('Price List, Weapons &amp; Items'!$L$11)-1,0)</f>
        <v>0</v>
      </c>
      <c r="AR465" s="1194">
        <f t="shared" si="111"/>
        <v>1</v>
      </c>
      <c r="AS465" s="1194">
        <f t="shared" si="112"/>
        <v>0</v>
      </c>
      <c r="AT465" s="1194">
        <f t="shared" si="113"/>
        <v>1</v>
      </c>
      <c r="AU465" s="1194" t="str">
        <f t="shared" si="114"/>
        <v>.</v>
      </c>
      <c r="AV465" s="1194" t="str">
        <f t="shared" si="105"/>
        <v>.</v>
      </c>
      <c r="AW465" s="1194" t="str">
        <f t="shared" si="115"/>
        <v>.</v>
      </c>
      <c r="AX465" s="1194">
        <f>IFERROR(VLOOKUP(B465,'Share, Heavy Weapons to Ukraine'!B:Z,COLUMN('Share, Heavy Weapons to Ukraine'!C475)-1,0),0)</f>
        <v>0</v>
      </c>
      <c r="AY465" s="1194">
        <f>VLOOKUP('Bilateral Assistance, MAIN DATA'!B465,'Country Summary (€)'!B:F,COLUMN('Country Summary (€)'!C476)-1,FALSE)</f>
        <v>1</v>
      </c>
      <c r="AZ465" s="1194" t="str">
        <f>IF(AND(AD465=1,D465="Military",H465&lt;&gt;"Not given")=TRUE,IF(SUMIFS(P:P,A:A,A465)&gt;0,ABS((SUMIFS(P:P,A:A,A465)/VLOOKUP("USD",'Exchange Rates'!B:C,2,0)))/S465,"."),".")</f>
        <v>.</v>
      </c>
      <c r="BA465" s="1196" t="str">
        <f>IF(AND(AD465=1,D465="Military",H465&lt;&gt;"Not given")=TRUE,IF(SUMIFS(P:P,A:A,A465)&gt;0,IF((ABS((SUMIFS(P:P,A:A,A465)/VLOOKUP("USD",'Exchange Rates'!B:C,2,0)))/S465)&gt;1,(SUMIFS(P:P,A:A,A465)-S465)/S465,(S465-SUMIFS(P:P,A:A,A465))/SUMIFS(P:P,A:A,A465)),"."),".")</f>
        <v>.</v>
      </c>
    </row>
    <row r="466" spans="1:53" s="1194" customFormat="1" ht="15.95" customHeight="1">
      <c r="A466" s="1180" t="s">
        <v>1598</v>
      </c>
      <c r="B466" s="1180" t="s">
        <v>1523</v>
      </c>
      <c r="C466" s="1181">
        <v>44832</v>
      </c>
      <c r="D466" s="1182" t="s">
        <v>360</v>
      </c>
      <c r="E466" s="1182" t="s">
        <v>759</v>
      </c>
      <c r="F466" s="1183" t="s">
        <v>1599</v>
      </c>
      <c r="G466" s="1184" t="s">
        <v>483</v>
      </c>
      <c r="H466" s="1185">
        <v>9000000</v>
      </c>
      <c r="I466" s="1190" t="s">
        <v>492</v>
      </c>
      <c r="J466" s="1186" t="str">
        <f>VLOOKUP($I466,'Price List, Weapons &amp; Items'!B:C,2,0)</f>
        <v>Humanitarian</v>
      </c>
      <c r="K466" s="1186" t="str">
        <f>IF(I466=".",I466,VLOOKUP($I466,'Price List, Weapons &amp; Items'!B:D,3,0))</f>
        <v>Humanitarian</v>
      </c>
      <c r="L466" s="1187">
        <f>VLOOKUP(I466,'Price List, Weapons &amp; Items'!B:E,4,0)</f>
        <v>0</v>
      </c>
      <c r="M466" s="1241">
        <v>15</v>
      </c>
      <c r="N466" s="1275">
        <v>15</v>
      </c>
      <c r="O466" s="1188">
        <f>VLOOKUP($I466,'Price List, Weapons &amp; Items'!B:G,6,0)</f>
        <v>400000</v>
      </c>
      <c r="P466" s="1185">
        <f t="shared" si="106"/>
        <v>6000000</v>
      </c>
      <c r="Q466" s="1185">
        <f t="shared" si="107"/>
        <v>6000000</v>
      </c>
      <c r="R466" s="1185">
        <f t="shared" si="103"/>
        <v>9000000</v>
      </c>
      <c r="S466" s="1185">
        <f>IF(AND(AD466=1,R466&lt;&gt;".")=TRUE,R466/VLOOKUP(G466,'Exchange Rates'!B:C,2,0),IF(R466=".",".",""))</f>
        <v>9000000</v>
      </c>
      <c r="T466" s="1185">
        <f>IF(AD466=1,IF(AF466="Value is not given at all",".",IF(AF466="Value is given by the source",S466,IF(AF466="Value is calculated with prices",(IF(SUMIFS(Q:Q,A:A,A466)&gt;0,SUMIFS(Q:Q,A:A,A466),"."))/VLOOKUP("USD",'Exchange Rates'!B:C,2,0),"Error with coding"))),"")</f>
        <v>9000000</v>
      </c>
      <c r="U466" s="1184" t="s">
        <v>365</v>
      </c>
      <c r="V466" s="972" t="s">
        <v>1600</v>
      </c>
      <c r="W466" s="980" t="s">
        <v>1601</v>
      </c>
      <c r="X466" s="979" t="s">
        <v>1602</v>
      </c>
      <c r="Y466" s="979" t="s">
        <v>1603</v>
      </c>
      <c r="Z466" s="1184">
        <v>0</v>
      </c>
      <c r="AA466" s="1194">
        <v>0</v>
      </c>
      <c r="AB466" s="982" t="s">
        <v>1601</v>
      </c>
      <c r="AC466" s="1192" t="str">
        <f>""</f>
        <v/>
      </c>
      <c r="AD466" s="985">
        <v>1</v>
      </c>
      <c r="AE466" s="985" t="s">
        <v>368</v>
      </c>
      <c r="AF466" s="985" t="s">
        <v>368</v>
      </c>
      <c r="AG466" s="985">
        <v>1</v>
      </c>
      <c r="AH466" s="1193">
        <v>9</v>
      </c>
      <c r="AI466" s="1193">
        <v>0</v>
      </c>
      <c r="AJ466" s="1193">
        <f>VLOOKUP($I466,'Price List, Weapons &amp; Items'!B:F,5,0)</f>
        <v>0</v>
      </c>
      <c r="AK466" s="1193">
        <f t="shared" si="108"/>
        <v>0</v>
      </c>
      <c r="AL466" s="1193">
        <f t="shared" si="109"/>
        <v>0</v>
      </c>
      <c r="AM466" s="1193">
        <f t="shared" si="110"/>
        <v>0</v>
      </c>
      <c r="AN466" s="1194" t="str">
        <f>VLOOKUP($I466,'Price List, Weapons &amp; Items'!B:L,COLUMN('Price List, Weapons &amp; Items'!$J$11)-1,0)</f>
        <v>Media reports (incl. social media)</v>
      </c>
      <c r="AO466" s="1194" t="str">
        <f>IF(I466=".",".",VLOOKUP($I466,'Price List, Weapons &amp; Items'!B:J,3,0))</f>
        <v>Humanitarian</v>
      </c>
      <c r="AP466" s="1195" t="str">
        <f t="shared" ca="1" si="104"/>
        <v>Fire-vehicle</v>
      </c>
      <c r="AQ466" s="1194">
        <f>VLOOKUP($I466,'Price List, Weapons &amp; Items'!B:L,COLUMN('Price List, Weapons &amp; Items'!$L$11)-1,0)</f>
        <v>0</v>
      </c>
      <c r="AR466" s="1194">
        <f t="shared" si="111"/>
        <v>1</v>
      </c>
      <c r="AS466" s="1194">
        <f t="shared" si="112"/>
        <v>0</v>
      </c>
      <c r="AT466" s="1194">
        <f t="shared" si="113"/>
        <v>1</v>
      </c>
      <c r="AU466" s="1194" t="str">
        <f t="shared" si="114"/>
        <v>.</v>
      </c>
      <c r="AV466" s="1194" t="str">
        <f t="shared" si="105"/>
        <v>.</v>
      </c>
      <c r="AW466" s="1194" t="str">
        <f t="shared" si="115"/>
        <v>.</v>
      </c>
      <c r="AX466" s="1194">
        <f>IFERROR(VLOOKUP(B466,'Share, Heavy Weapons to Ukraine'!B:Z,COLUMN('Share, Heavy Weapons to Ukraine'!C476)-1,0),0)</f>
        <v>0</v>
      </c>
      <c r="AY466" s="1194">
        <f>VLOOKUP('Bilateral Assistance, MAIN DATA'!B466,'Country Summary (€)'!B:F,COLUMN('Country Summary (€)'!C477)-1,FALSE)</f>
        <v>1</v>
      </c>
      <c r="AZ466" s="1194" t="str">
        <f>IF(AND(AD466=1,D466="Military",H466&lt;&gt;"Not given")=TRUE,IF(SUMIFS(P:P,A:A,A466)&gt;0,ABS((SUMIFS(P:P,A:A,A466)/VLOOKUP("USD",'Exchange Rates'!B:C,2,0)))/S466,"."),".")</f>
        <v>.</v>
      </c>
      <c r="BA466" s="1196" t="str">
        <f>IF(AND(AD466=1,D466="Military",H466&lt;&gt;"Not given")=TRUE,IF(SUMIFS(P:P,A:A,A466)&gt;0,IF((ABS((SUMIFS(P:P,A:A,A466)/VLOOKUP("USD",'Exchange Rates'!B:C,2,0)))/S466)&gt;1,(SUMIFS(P:P,A:A,A466)-S466)/S466,(S466-SUMIFS(P:P,A:A,A466))/SUMIFS(P:P,A:A,A466)),"."),".")</f>
        <v>.</v>
      </c>
    </row>
    <row r="467" spans="1:53" s="1194" customFormat="1" ht="15.95" customHeight="1">
      <c r="A467" s="1180" t="s">
        <v>1598</v>
      </c>
      <c r="B467" s="1180" t="s">
        <v>1523</v>
      </c>
      <c r="C467" s="1181">
        <v>44832</v>
      </c>
      <c r="D467" s="1182" t="s">
        <v>360</v>
      </c>
      <c r="E467" s="1182" t="s">
        <v>759</v>
      </c>
      <c r="F467" s="1183" t="s">
        <v>1599</v>
      </c>
      <c r="G467" s="1184" t="s">
        <v>483</v>
      </c>
      <c r="H467" s="1185">
        <v>9000000</v>
      </c>
      <c r="I467" s="1190" t="s">
        <v>1550</v>
      </c>
      <c r="J467" s="1186" t="str">
        <f>VLOOKUP($I467,'Price List, Weapons &amp; Items'!B:C,2,0)</f>
        <v>Humanitarian</v>
      </c>
      <c r="K467" s="1186" t="str">
        <f>IF(I467=".",I467,VLOOKUP($I467,'Price List, Weapons &amp; Items'!B:D,3,0))</f>
        <v>Humanitarian</v>
      </c>
      <c r="L467" s="1187">
        <f>VLOOKUP(I467,'Price List, Weapons &amp; Items'!B:E,4,0)</f>
        <v>0</v>
      </c>
      <c r="M467" s="1241" t="s">
        <v>374</v>
      </c>
      <c r="N467" s="1275" t="s">
        <v>374</v>
      </c>
      <c r="O467" s="1188" t="str">
        <f>VLOOKUP($I467,'Price List, Weapons &amp; Items'!B:G,6,0)</f>
        <v>.</v>
      </c>
      <c r="P467" s="1185" t="str">
        <f t="shared" si="106"/>
        <v>.</v>
      </c>
      <c r="Q467" s="1185" t="str">
        <f t="shared" si="107"/>
        <v>.</v>
      </c>
      <c r="R467" s="1185" t="str">
        <f t="shared" si="103"/>
        <v/>
      </c>
      <c r="S467" s="1185" t="str">
        <f>IF(AND(AD467=1,R467&lt;&gt;".")=TRUE,R467/VLOOKUP(G467,'Exchange Rates'!B:C,2,0),IF(R467=".",".",""))</f>
        <v/>
      </c>
      <c r="T467" s="1185" t="str">
        <f>IF(AD467=1,IF(AF467="Value is not given at all",".",IF(AF467="Value is given by the source",S467,IF(AF467="Value is calculated with prices",(IF(SUMIFS(Q:Q,A:A,A467)&gt;0,SUMIFS(Q:Q,A:A,A467),"."))/VLOOKUP("USD",'Exchange Rates'!B:C,2,0),"Error with coding"))),"")</f>
        <v/>
      </c>
      <c r="U467" s="1184" t="s">
        <v>365</v>
      </c>
      <c r="V467" s="972" t="s">
        <v>1600</v>
      </c>
      <c r="W467" s="980" t="s">
        <v>1601</v>
      </c>
      <c r="X467" s="979" t="s">
        <v>1602</v>
      </c>
      <c r="Y467" s="979" t="s">
        <v>1603</v>
      </c>
      <c r="Z467" s="1184">
        <v>0</v>
      </c>
      <c r="AA467" s="1194">
        <v>0</v>
      </c>
      <c r="AB467" s="982" t="s">
        <v>1601</v>
      </c>
      <c r="AC467" s="1192" t="str">
        <f>""</f>
        <v/>
      </c>
      <c r="AD467" s="985">
        <v>0</v>
      </c>
      <c r="AE467" s="985" t="s">
        <v>368</v>
      </c>
      <c r="AF467" s="985" t="s">
        <v>368</v>
      </c>
      <c r="AG467" s="985">
        <v>1</v>
      </c>
      <c r="AH467" s="1193">
        <v>9</v>
      </c>
      <c r="AI467" s="1193">
        <v>0</v>
      </c>
      <c r="AJ467" s="1193">
        <f>VLOOKUP($I467,'Price List, Weapons &amp; Items'!B:F,5,0)</f>
        <v>0</v>
      </c>
      <c r="AK467" s="1193">
        <f t="shared" si="108"/>
        <v>0</v>
      </c>
      <c r="AL467" s="1193">
        <f t="shared" si="109"/>
        <v>0</v>
      </c>
      <c r="AM467" s="1193">
        <f t="shared" si="110"/>
        <v>0</v>
      </c>
      <c r="AN467" s="1194" t="str">
        <f>VLOOKUP($I467,'Price List, Weapons &amp; Items'!B:L,COLUMN('Price List, Weapons &amp; Items'!$J$11)-1,0)</f>
        <v>.</v>
      </c>
      <c r="AO467" s="1194" t="str">
        <f>IF(I467=".",".",VLOOKUP($I467,'Price List, Weapons &amp; Items'!B:J,3,0))</f>
        <v>Humanitarian</v>
      </c>
      <c r="AP467" s="1195" t="str">
        <f t="shared" ca="1" si="104"/>
        <v/>
      </c>
      <c r="AQ467" s="1194">
        <f>VLOOKUP($I467,'Price List, Weapons &amp; Items'!B:L,COLUMN('Price List, Weapons &amp; Items'!$L$11)-1,0)</f>
        <v>0</v>
      </c>
      <c r="AR467" s="1194">
        <f t="shared" si="111"/>
        <v>1</v>
      </c>
      <c r="AS467" s="1194">
        <f t="shared" si="112"/>
        <v>0</v>
      </c>
      <c r="AT467" s="1194">
        <f t="shared" si="113"/>
        <v>1</v>
      </c>
      <c r="AU467" s="1194" t="str">
        <f t="shared" si="114"/>
        <v>.</v>
      </c>
      <c r="AV467" s="1194" t="str">
        <f t="shared" si="105"/>
        <v>.</v>
      </c>
      <c r="AW467" s="1194" t="str">
        <f t="shared" si="115"/>
        <v>.</v>
      </c>
      <c r="AX467" s="1194">
        <f>IFERROR(VLOOKUP(B467,'Share, Heavy Weapons to Ukraine'!B:Z,COLUMN('Share, Heavy Weapons to Ukraine'!C477)-1,0),0)</f>
        <v>0</v>
      </c>
      <c r="AY467" s="1194">
        <f>VLOOKUP('Bilateral Assistance, MAIN DATA'!B467,'Country Summary (€)'!B:F,COLUMN('Country Summary (€)'!C478)-1,FALSE)</f>
        <v>1</v>
      </c>
      <c r="AZ467" s="1194" t="str">
        <f>IF(AND(AD467=1,D467="Military",H467&lt;&gt;"Not given")=TRUE,IF(SUMIFS(P:P,A:A,A467)&gt;0,ABS((SUMIFS(P:P,A:A,A467)/VLOOKUP("USD",'Exchange Rates'!B:C,2,0)))/S467,"."),".")</f>
        <v>.</v>
      </c>
      <c r="BA467" s="1196" t="str">
        <f>IF(AND(AD467=1,D467="Military",H467&lt;&gt;"Not given")=TRUE,IF(SUMIFS(P:P,A:A,A467)&gt;0,IF((ABS((SUMIFS(P:P,A:A,A467)/VLOOKUP("USD",'Exchange Rates'!B:C,2,0)))/S467)&gt;1,(SUMIFS(P:P,A:A,A467)-S467)/S467,(S467-SUMIFS(P:P,A:A,A467))/SUMIFS(P:P,A:A,A467)),"."),".")</f>
        <v>.</v>
      </c>
    </row>
    <row r="468" spans="1:53" s="1194" customFormat="1" ht="15.95" customHeight="1">
      <c r="A468" s="1180" t="s">
        <v>1598</v>
      </c>
      <c r="B468" s="1180" t="s">
        <v>1523</v>
      </c>
      <c r="C468" s="1181">
        <v>44832</v>
      </c>
      <c r="D468" s="1182" t="s">
        <v>360</v>
      </c>
      <c r="E468" s="1182" t="s">
        <v>759</v>
      </c>
      <c r="F468" s="1183" t="s">
        <v>1599</v>
      </c>
      <c r="G468" s="1184" t="s">
        <v>483</v>
      </c>
      <c r="H468" s="1185">
        <v>9000000</v>
      </c>
      <c r="I468" s="1208" t="s">
        <v>1099</v>
      </c>
      <c r="J468" s="1186" t="str">
        <f>VLOOKUP($I468,'Price List, Weapons &amp; Items'!B:C,2,0)</f>
        <v>Humanitarian</v>
      </c>
      <c r="K468" s="1186" t="str">
        <f>IF(I468=".",I468,VLOOKUP($I468,'Price List, Weapons &amp; Items'!B:D,3,0))</f>
        <v>Humanitarian</v>
      </c>
      <c r="L468" s="1187">
        <f>VLOOKUP(I468,'Price List, Weapons &amp; Items'!B:E,4,0)</f>
        <v>0</v>
      </c>
      <c r="M468" s="1241">
        <v>200</v>
      </c>
      <c r="N468" s="1275">
        <v>200</v>
      </c>
      <c r="O468" s="1188" t="str">
        <f>VLOOKUP($I468,'Price List, Weapons &amp; Items'!B:G,6,0)</f>
        <v>.</v>
      </c>
      <c r="P468" s="1185" t="str">
        <f t="shared" si="106"/>
        <v>No price</v>
      </c>
      <c r="Q468" s="1185" t="str">
        <f t="shared" si="107"/>
        <v>No price</v>
      </c>
      <c r="R468" s="1185" t="str">
        <f t="shared" si="103"/>
        <v/>
      </c>
      <c r="S468" s="1185" t="str">
        <f>IF(AND(AD468=1,R468&lt;&gt;".")=TRUE,R468/VLOOKUP(G468,'Exchange Rates'!B:C,2,0),IF(R468=".",".",""))</f>
        <v/>
      </c>
      <c r="T468" s="1185" t="str">
        <f>IF(AD468=1,IF(AF468="Value is not given at all",".",IF(AF468="Value is given by the source",S468,IF(AF468="Value is calculated with prices",(IF(SUMIFS(Q:Q,A:A,A468)&gt;0,SUMIFS(Q:Q,A:A,A468),"."))/VLOOKUP("USD",'Exchange Rates'!B:C,2,0),"Error with coding"))),"")</f>
        <v/>
      </c>
      <c r="U468" s="1184" t="s">
        <v>365</v>
      </c>
      <c r="V468" s="972" t="s">
        <v>1600</v>
      </c>
      <c r="W468" s="980" t="s">
        <v>1601</v>
      </c>
      <c r="X468" s="979" t="s">
        <v>1602</v>
      </c>
      <c r="Y468" s="979" t="s">
        <v>1603</v>
      </c>
      <c r="Z468" s="1184">
        <v>0</v>
      </c>
      <c r="AA468" s="1194">
        <v>0</v>
      </c>
      <c r="AB468" s="982" t="s">
        <v>1601</v>
      </c>
      <c r="AC468" s="1192" t="str">
        <f>""</f>
        <v/>
      </c>
      <c r="AD468" s="985">
        <v>0</v>
      </c>
      <c r="AE468" s="985" t="s">
        <v>368</v>
      </c>
      <c r="AF468" s="985" t="s">
        <v>368</v>
      </c>
      <c r="AG468" s="985">
        <v>1</v>
      </c>
      <c r="AH468" s="1193">
        <v>9</v>
      </c>
      <c r="AI468" s="1193">
        <v>0</v>
      </c>
      <c r="AJ468" s="1193">
        <f>VLOOKUP($I468,'Price List, Weapons &amp; Items'!B:F,5,0)</f>
        <v>0</v>
      </c>
      <c r="AK468" s="1193">
        <f t="shared" si="108"/>
        <v>0</v>
      </c>
      <c r="AL468" s="1193">
        <f t="shared" si="109"/>
        <v>0</v>
      </c>
      <c r="AM468" s="1193">
        <f t="shared" si="110"/>
        <v>0</v>
      </c>
      <c r="AN468" s="1194" t="str">
        <f>VLOOKUP($I468,'Price List, Weapons &amp; Items'!B:L,COLUMN('Price List, Weapons &amp; Items'!$J$11)-1,0)</f>
        <v>.</v>
      </c>
      <c r="AO468" s="1194" t="str">
        <f>IF(I468=".",".",VLOOKUP($I468,'Price List, Weapons &amp; Items'!B:J,3,0))</f>
        <v>Humanitarian</v>
      </c>
      <c r="AP468" s="1195" t="str">
        <f t="shared" ca="1" si="104"/>
        <v/>
      </c>
      <c r="AQ468" s="1194">
        <f>VLOOKUP($I468,'Price List, Weapons &amp; Items'!B:L,COLUMN('Price List, Weapons &amp; Items'!$L$11)-1,0)</f>
        <v>0</v>
      </c>
      <c r="AR468" s="1194">
        <f t="shared" si="111"/>
        <v>1</v>
      </c>
      <c r="AS468" s="1194">
        <f t="shared" si="112"/>
        <v>0</v>
      </c>
      <c r="AT468" s="1194">
        <f t="shared" si="113"/>
        <v>1</v>
      </c>
      <c r="AU468" s="1194" t="str">
        <f t="shared" si="114"/>
        <v>.</v>
      </c>
      <c r="AV468" s="1194" t="str">
        <f t="shared" si="105"/>
        <v>.</v>
      </c>
      <c r="AW468" s="1194" t="str">
        <f t="shared" si="115"/>
        <v>.</v>
      </c>
      <c r="AX468" s="1194">
        <f>IFERROR(VLOOKUP(B468,'Share, Heavy Weapons to Ukraine'!B:Z,COLUMN('Share, Heavy Weapons to Ukraine'!C478)-1,0),0)</f>
        <v>0</v>
      </c>
      <c r="AY468" s="1194">
        <f>VLOOKUP('Bilateral Assistance, MAIN DATA'!B468,'Country Summary (€)'!B:F,COLUMN('Country Summary (€)'!C479)-1,FALSE)</f>
        <v>1</v>
      </c>
      <c r="AZ468" s="1194" t="str">
        <f>IF(AND(AD468=1,D468="Military",H468&lt;&gt;"Not given")=TRUE,IF(SUMIFS(P:P,A:A,A468)&gt;0,ABS((SUMIFS(P:P,A:A,A468)/VLOOKUP("USD",'Exchange Rates'!B:C,2,0)))/S468,"."),".")</f>
        <v>.</v>
      </c>
      <c r="BA468" s="1196" t="str">
        <f>IF(AND(AD468=1,D468="Military",H468&lt;&gt;"Not given")=TRUE,IF(SUMIFS(P:P,A:A,A468)&gt;0,IF((ABS((SUMIFS(P:P,A:A,A468)/VLOOKUP("USD",'Exchange Rates'!B:C,2,0)))/S468)&gt;1,(SUMIFS(P:P,A:A,A468)-S468)/S468,(S468-SUMIFS(P:P,A:A,A468))/SUMIFS(P:P,A:A,A468)),"."),".")</f>
        <v>.</v>
      </c>
    </row>
    <row r="469" spans="1:53" s="1194" customFormat="1" ht="15.95" customHeight="1">
      <c r="A469" s="1180" t="s">
        <v>1598</v>
      </c>
      <c r="B469" s="1180" t="s">
        <v>1523</v>
      </c>
      <c r="C469" s="1181">
        <v>44832</v>
      </c>
      <c r="D469" s="1182" t="s">
        <v>360</v>
      </c>
      <c r="E469" s="1182" t="s">
        <v>759</v>
      </c>
      <c r="F469" s="1183" t="s">
        <v>1599</v>
      </c>
      <c r="G469" s="1184" t="s">
        <v>483</v>
      </c>
      <c r="H469" s="1185">
        <v>9000000</v>
      </c>
      <c r="I469" s="1208" t="s">
        <v>1604</v>
      </c>
      <c r="J469" s="1186" t="str">
        <f>VLOOKUP($I469,'Price List, Weapons &amp; Items'!B:C,2,0)</f>
        <v>Humanitarian</v>
      </c>
      <c r="K469" s="1186" t="str">
        <f>IF(I469=".",I469,VLOOKUP($I469,'Price List, Weapons &amp; Items'!B:D,3,0))</f>
        <v>Humanitarian</v>
      </c>
      <c r="L469" s="1187">
        <f>VLOOKUP(I469,'Price List, Weapons &amp; Items'!B:E,4,0)</f>
        <v>0</v>
      </c>
      <c r="M469" s="1241">
        <v>6</v>
      </c>
      <c r="N469" s="1275">
        <v>6</v>
      </c>
      <c r="O469" s="1188" t="str">
        <f>VLOOKUP($I469,'Price List, Weapons &amp; Items'!B:G,6,0)</f>
        <v>.</v>
      </c>
      <c r="P469" s="1185" t="str">
        <f t="shared" si="106"/>
        <v>No price</v>
      </c>
      <c r="Q469" s="1185" t="str">
        <f t="shared" si="107"/>
        <v>No price</v>
      </c>
      <c r="R469" s="1185" t="str">
        <f t="shared" si="103"/>
        <v/>
      </c>
      <c r="S469" s="1185" t="str">
        <f>IF(AND(AD469=1,R469&lt;&gt;".")=TRUE,R469/VLOOKUP(G469,'Exchange Rates'!B:C,2,0),IF(R469=".",".",""))</f>
        <v/>
      </c>
      <c r="T469" s="1185" t="str">
        <f>IF(AD469=1,IF(AF469="Value is not given at all",".",IF(AF469="Value is given by the source",S469,IF(AF469="Value is calculated with prices",(IF(SUMIFS(Q:Q,A:A,A469)&gt;0,SUMIFS(Q:Q,A:A,A469),"."))/VLOOKUP("USD",'Exchange Rates'!B:C,2,0),"Error with coding"))),"")</f>
        <v/>
      </c>
      <c r="U469" s="1184" t="s">
        <v>365</v>
      </c>
      <c r="V469" s="972" t="s">
        <v>1600</v>
      </c>
      <c r="W469" s="980" t="s">
        <v>1601</v>
      </c>
      <c r="X469" s="979" t="s">
        <v>1602</v>
      </c>
      <c r="Y469" s="979" t="s">
        <v>1603</v>
      </c>
      <c r="Z469" s="1184">
        <v>0</v>
      </c>
      <c r="AA469" s="1194">
        <v>0</v>
      </c>
      <c r="AB469" s="982" t="s">
        <v>1601</v>
      </c>
      <c r="AC469" s="1192" t="str">
        <f>""</f>
        <v/>
      </c>
      <c r="AD469" s="985">
        <v>0</v>
      </c>
      <c r="AE469" s="985" t="s">
        <v>368</v>
      </c>
      <c r="AF469" s="985" t="s">
        <v>368</v>
      </c>
      <c r="AG469" s="985">
        <v>1</v>
      </c>
      <c r="AH469" s="1193">
        <v>9</v>
      </c>
      <c r="AI469" s="1193">
        <v>0</v>
      </c>
      <c r="AJ469" s="1193">
        <f>VLOOKUP($I469,'Price List, Weapons &amp; Items'!B:F,5,0)</f>
        <v>0</v>
      </c>
      <c r="AK469" s="1193">
        <f t="shared" si="108"/>
        <v>0</v>
      </c>
      <c r="AL469" s="1193">
        <f t="shared" si="109"/>
        <v>0</v>
      </c>
      <c r="AM469" s="1193">
        <f t="shared" si="110"/>
        <v>0</v>
      </c>
      <c r="AN469" s="1194" t="str">
        <f>VLOOKUP($I469,'Price List, Weapons &amp; Items'!B:L,COLUMN('Price List, Weapons &amp; Items'!$J$11)-1,0)</f>
        <v>.</v>
      </c>
      <c r="AO469" s="1194" t="str">
        <f>IF(I469=".",".",VLOOKUP($I469,'Price List, Weapons &amp; Items'!B:J,3,0))</f>
        <v>Humanitarian</v>
      </c>
      <c r="AP469" s="1195" t="str">
        <f t="shared" ca="1" si="104"/>
        <v/>
      </c>
      <c r="AQ469" s="1194">
        <f>VLOOKUP($I469,'Price List, Weapons &amp; Items'!B:L,COLUMN('Price List, Weapons &amp; Items'!$L$11)-1,0)</f>
        <v>0</v>
      </c>
      <c r="AR469" s="1194">
        <f t="shared" si="111"/>
        <v>1</v>
      </c>
      <c r="AS469" s="1194">
        <f t="shared" si="112"/>
        <v>0</v>
      </c>
      <c r="AT469" s="1194">
        <f t="shared" si="113"/>
        <v>1</v>
      </c>
      <c r="AU469" s="1194" t="str">
        <f t="shared" si="114"/>
        <v>.</v>
      </c>
      <c r="AV469" s="1194" t="str">
        <f t="shared" si="105"/>
        <v>.</v>
      </c>
      <c r="AW469" s="1194" t="str">
        <f t="shared" si="115"/>
        <v>.</v>
      </c>
      <c r="AX469" s="1194">
        <f>IFERROR(VLOOKUP(B469,'Share, Heavy Weapons to Ukraine'!B:Z,COLUMN('Share, Heavy Weapons to Ukraine'!C479)-1,0),0)</f>
        <v>0</v>
      </c>
      <c r="AY469" s="1194">
        <f>VLOOKUP('Bilateral Assistance, MAIN DATA'!B469,'Country Summary (€)'!B:F,COLUMN('Country Summary (€)'!C480)-1,FALSE)</f>
        <v>1</v>
      </c>
      <c r="AZ469" s="1194" t="str">
        <f>IF(AND(AD469=1,D469="Military",H469&lt;&gt;"Not given")=TRUE,IF(SUMIFS(P:P,A:A,A469)&gt;0,ABS((SUMIFS(P:P,A:A,A469)/VLOOKUP("USD",'Exchange Rates'!B:C,2,0)))/S469,"."),".")</f>
        <v>.</v>
      </c>
      <c r="BA469" s="1196" t="str">
        <f>IF(AND(AD469=1,D469="Military",H469&lt;&gt;"Not given")=TRUE,IF(SUMIFS(P:P,A:A,A469)&gt;0,IF((ABS((SUMIFS(P:P,A:A,A469)/VLOOKUP("USD",'Exchange Rates'!B:C,2,0)))/S469)&gt;1,(SUMIFS(P:P,A:A,A469)-S469)/S469,(S469-SUMIFS(P:P,A:A,A469))/SUMIFS(P:P,A:A,A469)),"."),".")</f>
        <v>.</v>
      </c>
    </row>
    <row r="470" spans="1:53" s="1194" customFormat="1" ht="15.95" customHeight="1">
      <c r="A470" s="1180" t="s">
        <v>1598</v>
      </c>
      <c r="B470" s="1180" t="s">
        <v>1523</v>
      </c>
      <c r="C470" s="1181">
        <v>44832</v>
      </c>
      <c r="D470" s="1182" t="s">
        <v>360</v>
      </c>
      <c r="E470" s="1182" t="s">
        <v>759</v>
      </c>
      <c r="F470" s="1183" t="s">
        <v>1599</v>
      </c>
      <c r="G470" s="1184" t="s">
        <v>483</v>
      </c>
      <c r="H470" s="1185">
        <v>9000000</v>
      </c>
      <c r="I470" s="1208" t="s">
        <v>437</v>
      </c>
      <c r="J470" s="1186" t="str">
        <f>VLOOKUP($I470,'Price List, Weapons &amp; Items'!B:C,2,0)</f>
        <v>Military equipment</v>
      </c>
      <c r="K470" s="1186" t="str">
        <f>IF(I470=".",I470,VLOOKUP($I470,'Price List, Weapons &amp; Items'!B:D,3,0))</f>
        <v>Military equipment</v>
      </c>
      <c r="L470" s="1187">
        <f>VLOOKUP(I470,'Price List, Weapons &amp; Items'!B:E,4,0)</f>
        <v>0</v>
      </c>
      <c r="M470" s="1241" t="s">
        <v>364</v>
      </c>
      <c r="N470" s="1275" t="s">
        <v>364</v>
      </c>
      <c r="O470" s="1188" t="str">
        <f>VLOOKUP($I470,'Price List, Weapons &amp; Items'!B:G,6,0)</f>
        <v>.</v>
      </c>
      <c r="P470" s="1185" t="str">
        <f t="shared" si="106"/>
        <v>.</v>
      </c>
      <c r="Q470" s="1185" t="str">
        <f t="shared" si="107"/>
        <v>.</v>
      </c>
      <c r="R470" s="1185" t="str">
        <f t="shared" si="103"/>
        <v/>
      </c>
      <c r="S470" s="1185" t="str">
        <f>IF(AND(AD470=1,R470&lt;&gt;".")=TRUE,R470/VLOOKUP(G470,'Exchange Rates'!B:C,2,0),IF(R470=".",".",""))</f>
        <v/>
      </c>
      <c r="T470" s="1185" t="str">
        <f>IF(AD470=1,IF(AF470="Value is not given at all",".",IF(AF470="Value is given by the source",S470,IF(AF470="Value is calculated with prices",(IF(SUMIFS(Q:Q,A:A,A470)&gt;0,SUMIFS(Q:Q,A:A,A470),"."))/VLOOKUP("USD",'Exchange Rates'!B:C,2,0),"Error with coding"))),"")</f>
        <v/>
      </c>
      <c r="U470" s="1184" t="s">
        <v>365</v>
      </c>
      <c r="V470" s="972" t="s">
        <v>1600</v>
      </c>
      <c r="W470" s="980" t="s">
        <v>1601</v>
      </c>
      <c r="X470" s="979" t="s">
        <v>1602</v>
      </c>
      <c r="Y470" s="979" t="s">
        <v>1603</v>
      </c>
      <c r="Z470" s="1184">
        <v>0</v>
      </c>
      <c r="AA470" s="1194">
        <v>0</v>
      </c>
      <c r="AB470" s="982" t="s">
        <v>1601</v>
      </c>
      <c r="AC470" s="1192" t="str">
        <f>""</f>
        <v/>
      </c>
      <c r="AD470" s="985">
        <v>0</v>
      </c>
      <c r="AE470" s="985" t="s">
        <v>368</v>
      </c>
      <c r="AF470" s="985" t="s">
        <v>368</v>
      </c>
      <c r="AG470" s="985">
        <v>1</v>
      </c>
      <c r="AH470" s="1193">
        <v>9</v>
      </c>
      <c r="AI470" s="1193">
        <v>0</v>
      </c>
      <c r="AJ470" s="1193">
        <f>VLOOKUP($I470,'Price List, Weapons &amp; Items'!B:F,5,0)</f>
        <v>0</v>
      </c>
      <c r="AK470" s="1193">
        <f t="shared" si="108"/>
        <v>0</v>
      </c>
      <c r="AL470" s="1193">
        <f t="shared" si="109"/>
        <v>0</v>
      </c>
      <c r="AM470" s="1193">
        <f t="shared" si="110"/>
        <v>0</v>
      </c>
      <c r="AN470" s="1194" t="str">
        <f>VLOOKUP($I470,'Price List, Weapons &amp; Items'!B:L,COLUMN('Price List, Weapons &amp; Items'!$J$11)-1,0)</f>
        <v>.</v>
      </c>
      <c r="AO470" s="1194" t="str">
        <f>IF(I470=".",".",VLOOKUP($I470,'Price List, Weapons &amp; Items'!B:J,3,0))</f>
        <v>Military equipment</v>
      </c>
      <c r="AP470" s="1195" t="str">
        <f t="shared" ca="1" si="104"/>
        <v/>
      </c>
      <c r="AQ470" s="1194" t="str">
        <f>VLOOKUP($I470,'Price List, Weapons &amp; Items'!B:L,COLUMN('Price List, Weapons &amp; Items'!$L$11)-1,0)</f>
        <v>no price, 0 count</v>
      </c>
      <c r="AR470" s="1194">
        <f t="shared" si="111"/>
        <v>1</v>
      </c>
      <c r="AS470" s="1194">
        <f t="shared" si="112"/>
        <v>0</v>
      </c>
      <c r="AT470" s="1194">
        <f t="shared" si="113"/>
        <v>1</v>
      </c>
      <c r="AU470" s="1194" t="str">
        <f t="shared" si="114"/>
        <v>.</v>
      </c>
      <c r="AV470" s="1194" t="str">
        <f t="shared" si="105"/>
        <v>.</v>
      </c>
      <c r="AW470" s="1194" t="str">
        <f t="shared" si="115"/>
        <v>.</v>
      </c>
      <c r="AX470" s="1194">
        <f>IFERROR(VLOOKUP(B470,'Share, Heavy Weapons to Ukraine'!B:Z,COLUMN('Share, Heavy Weapons to Ukraine'!C480)-1,0),0)</f>
        <v>0</v>
      </c>
      <c r="AY470" s="1194">
        <f>VLOOKUP('Bilateral Assistance, MAIN DATA'!B470,'Country Summary (€)'!B:F,COLUMN('Country Summary (€)'!C481)-1,FALSE)</f>
        <v>1</v>
      </c>
      <c r="AZ470" s="1194" t="str">
        <f>IF(AND(AD470=1,D470="Military",H470&lt;&gt;"Not given")=TRUE,IF(SUMIFS(P:P,A:A,A470)&gt;0,ABS((SUMIFS(P:P,A:A,A470)/VLOOKUP("USD",'Exchange Rates'!B:C,2,0)))/S470,"."),".")</f>
        <v>.</v>
      </c>
      <c r="BA470" s="1196" t="str">
        <f>IF(AND(AD470=1,D470="Military",H470&lt;&gt;"Not given")=TRUE,IF(SUMIFS(P:P,A:A,A470)&gt;0,IF((ABS((SUMIFS(P:P,A:A,A470)/VLOOKUP("USD",'Exchange Rates'!B:C,2,0)))/S470)&gt;1,(SUMIFS(P:P,A:A,A470)-S470)/S470,(S470-SUMIFS(P:P,A:A,A470))/SUMIFS(P:P,A:A,A470)),"."),".")</f>
        <v>.</v>
      </c>
    </row>
    <row r="471" spans="1:53" s="1194" customFormat="1" ht="15.95" customHeight="1">
      <c r="A471" s="1180" t="s">
        <v>1598</v>
      </c>
      <c r="B471" s="1180" t="s">
        <v>1523</v>
      </c>
      <c r="C471" s="1181">
        <v>44832</v>
      </c>
      <c r="D471" s="1182" t="s">
        <v>360</v>
      </c>
      <c r="E471" s="1182" t="s">
        <v>759</v>
      </c>
      <c r="F471" s="1183" t="s">
        <v>1599</v>
      </c>
      <c r="G471" s="1184" t="s">
        <v>483</v>
      </c>
      <c r="H471" s="1185">
        <v>9000000</v>
      </c>
      <c r="I471" s="1208" t="s">
        <v>989</v>
      </c>
      <c r="J471" s="1186" t="str">
        <f>VLOOKUP($I471,'Price List, Weapons &amp; Items'!B:C,2,0)</f>
        <v>Humanitarian</v>
      </c>
      <c r="K471" s="1186" t="str">
        <f>IF(I471=".",I471,VLOOKUP($I471,'Price List, Weapons &amp; Items'!B:D,3,0))</f>
        <v>Humanitarian</v>
      </c>
      <c r="L471" s="1187">
        <f>VLOOKUP(I471,'Price List, Weapons &amp; Items'!B:E,4,0)</f>
        <v>0</v>
      </c>
      <c r="M471" s="1241">
        <v>5</v>
      </c>
      <c r="N471" s="1275">
        <v>5</v>
      </c>
      <c r="O471" s="1188" t="str">
        <f>VLOOKUP($I471,'Price List, Weapons &amp; Items'!B:G,6,0)</f>
        <v>.</v>
      </c>
      <c r="P471" s="1185" t="str">
        <f t="shared" si="106"/>
        <v>No price</v>
      </c>
      <c r="Q471" s="1185" t="str">
        <f t="shared" si="107"/>
        <v>No price</v>
      </c>
      <c r="R471" s="1185" t="str">
        <f t="shared" si="103"/>
        <v/>
      </c>
      <c r="S471" s="1185" t="str">
        <f>IF(AND(AD471=1,R471&lt;&gt;".")=TRUE,R471/VLOOKUP(G471,'Exchange Rates'!B:C,2,0),IF(R471=".",".",""))</f>
        <v/>
      </c>
      <c r="T471" s="1185" t="str">
        <f>IF(AD471=1,IF(AF471="Value is not given at all",".",IF(AF471="Value is given by the source",S471,IF(AF471="Value is calculated with prices",(IF(SUMIFS(Q:Q,A:A,A471)&gt;0,SUMIFS(Q:Q,A:A,A471),"."))/VLOOKUP("USD",'Exchange Rates'!B:C,2,0),"Error with coding"))),"")</f>
        <v/>
      </c>
      <c r="U471" s="1184" t="s">
        <v>365</v>
      </c>
      <c r="V471" s="972" t="s">
        <v>1600</v>
      </c>
      <c r="W471" s="980" t="s">
        <v>1601</v>
      </c>
      <c r="X471" s="979" t="s">
        <v>1602</v>
      </c>
      <c r="Y471" s="979" t="s">
        <v>1603</v>
      </c>
      <c r="Z471" s="1184">
        <v>0</v>
      </c>
      <c r="AA471" s="1194">
        <v>0</v>
      </c>
      <c r="AB471" s="982" t="s">
        <v>1601</v>
      </c>
      <c r="AC471" s="1192" t="str">
        <f>""</f>
        <v/>
      </c>
      <c r="AD471" s="985">
        <v>0</v>
      </c>
      <c r="AE471" s="985" t="s">
        <v>368</v>
      </c>
      <c r="AF471" s="985" t="s">
        <v>368</v>
      </c>
      <c r="AG471" s="985">
        <v>1</v>
      </c>
      <c r="AH471" s="1193">
        <v>9</v>
      </c>
      <c r="AI471" s="1193">
        <v>0</v>
      </c>
      <c r="AJ471" s="1193">
        <f>VLOOKUP($I471,'Price List, Weapons &amp; Items'!B:F,5,0)</f>
        <v>0</v>
      </c>
      <c r="AK471" s="1193">
        <f t="shared" si="108"/>
        <v>0</v>
      </c>
      <c r="AL471" s="1193">
        <f t="shared" si="109"/>
        <v>0</v>
      </c>
      <c r="AM471" s="1193">
        <f t="shared" si="110"/>
        <v>0</v>
      </c>
      <c r="AN471" s="1194" t="str">
        <f>VLOOKUP($I471,'Price List, Weapons &amp; Items'!B:L,COLUMN('Price List, Weapons &amp; Items'!$J$11)-1,0)</f>
        <v>Media reports (incl. social media)</v>
      </c>
      <c r="AO471" s="1194" t="str">
        <f>IF(I471=".",".",VLOOKUP($I471,'Price List, Weapons &amp; Items'!B:J,3,0))</f>
        <v>Humanitarian</v>
      </c>
      <c r="AP471" s="1195" t="str">
        <f t="shared" ca="1" si="104"/>
        <v/>
      </c>
      <c r="AQ471" s="1194">
        <f>VLOOKUP($I471,'Price List, Weapons &amp; Items'!B:L,COLUMN('Price List, Weapons &amp; Items'!$L$11)-1,0)</f>
        <v>0</v>
      </c>
      <c r="AR471" s="1194">
        <f t="shared" si="111"/>
        <v>1</v>
      </c>
      <c r="AS471" s="1194">
        <f t="shared" si="112"/>
        <v>0</v>
      </c>
      <c r="AT471" s="1194">
        <f t="shared" si="113"/>
        <v>1</v>
      </c>
      <c r="AU471" s="1194" t="str">
        <f t="shared" si="114"/>
        <v>.</v>
      </c>
      <c r="AV471" s="1194" t="str">
        <f t="shared" si="105"/>
        <v>.</v>
      </c>
      <c r="AW471" s="1194" t="str">
        <f t="shared" si="115"/>
        <v>.</v>
      </c>
      <c r="AX471" s="1194">
        <f>IFERROR(VLOOKUP(B471,'Share, Heavy Weapons to Ukraine'!B:Z,COLUMN('Share, Heavy Weapons to Ukraine'!C481)-1,0),0)</f>
        <v>0</v>
      </c>
      <c r="AY471" s="1194">
        <f>VLOOKUP('Bilateral Assistance, MAIN DATA'!B471,'Country Summary (€)'!B:F,COLUMN('Country Summary (€)'!C482)-1,FALSE)</f>
        <v>1</v>
      </c>
      <c r="AZ471" s="1194" t="str">
        <f>IF(AND(AD471=1,D471="Military",H471&lt;&gt;"Not given")=TRUE,IF(SUMIFS(P:P,A:A,A471)&gt;0,ABS((SUMIFS(P:P,A:A,A471)/VLOOKUP("USD",'Exchange Rates'!B:C,2,0)))/S471,"."),".")</f>
        <v>.</v>
      </c>
      <c r="BA471" s="1196" t="str">
        <f>IF(AND(AD471=1,D471="Military",H471&lt;&gt;"Not given")=TRUE,IF(SUMIFS(P:P,A:A,A471)&gt;0,IF((ABS((SUMIFS(P:P,A:A,A471)/VLOOKUP("USD",'Exchange Rates'!B:C,2,0)))/S471)&gt;1,(SUMIFS(P:P,A:A,A471)-S471)/S471,(S471-SUMIFS(P:P,A:A,A471))/SUMIFS(P:P,A:A,A471)),"."),".")</f>
        <v>.</v>
      </c>
    </row>
    <row r="472" spans="1:53" s="1194" customFormat="1" ht="15.95" customHeight="1">
      <c r="A472" s="1180" t="s">
        <v>1598</v>
      </c>
      <c r="B472" s="1180" t="s">
        <v>1523</v>
      </c>
      <c r="C472" s="1181">
        <v>44832</v>
      </c>
      <c r="D472" s="1182" t="s">
        <v>360</v>
      </c>
      <c r="E472" s="1182" t="s">
        <v>759</v>
      </c>
      <c r="F472" s="1183" t="s">
        <v>1599</v>
      </c>
      <c r="G472" s="1184" t="s">
        <v>483</v>
      </c>
      <c r="H472" s="1185">
        <v>9000000</v>
      </c>
      <c r="I472" s="1208" t="s">
        <v>1605</v>
      </c>
      <c r="J472" s="1186" t="str">
        <f>VLOOKUP($I472,'Price List, Weapons &amp; Items'!B:C,2,0)</f>
        <v>Humanitarian</v>
      </c>
      <c r="K472" s="1186" t="str">
        <f>IF(I472=".",I472,VLOOKUP($I472,'Price List, Weapons &amp; Items'!B:D,3,0))</f>
        <v>Humanitarian</v>
      </c>
      <c r="L472" s="1187">
        <f>VLOOKUP(I472,'Price List, Weapons &amp; Items'!B:E,4,0)</f>
        <v>0</v>
      </c>
      <c r="M472" s="1241" t="s">
        <v>374</v>
      </c>
      <c r="N472" s="1275" t="s">
        <v>374</v>
      </c>
      <c r="O472" s="1188" t="str">
        <f>VLOOKUP($I472,'Price List, Weapons &amp; Items'!B:G,6,0)</f>
        <v>.</v>
      </c>
      <c r="P472" s="1185" t="str">
        <f t="shared" si="106"/>
        <v>.</v>
      </c>
      <c r="Q472" s="1185" t="str">
        <f t="shared" si="107"/>
        <v>.</v>
      </c>
      <c r="R472" s="1185" t="str">
        <f t="shared" si="103"/>
        <v/>
      </c>
      <c r="S472" s="1185" t="str">
        <f>IF(AND(AD472=1,R472&lt;&gt;".")=TRUE,R472/VLOOKUP(G472,'Exchange Rates'!B:C,2,0),IF(R472=".",".",""))</f>
        <v/>
      </c>
      <c r="T472" s="1185" t="str">
        <f>IF(AD472=1,IF(AF472="Value is not given at all",".",IF(AF472="Value is given by the source",S472,IF(AF472="Value is calculated with prices",(IF(SUMIFS(Q:Q,A:A,A472)&gt;0,SUMIFS(Q:Q,A:A,A472),"."))/VLOOKUP("USD",'Exchange Rates'!B:C,2,0),"Error with coding"))),"")</f>
        <v/>
      </c>
      <c r="U472" s="1184" t="s">
        <v>365</v>
      </c>
      <c r="V472" s="972" t="s">
        <v>1600</v>
      </c>
      <c r="W472" s="980" t="s">
        <v>1601</v>
      </c>
      <c r="X472" s="979" t="s">
        <v>1602</v>
      </c>
      <c r="Y472" s="979" t="s">
        <v>1603</v>
      </c>
      <c r="Z472" s="1184">
        <v>0</v>
      </c>
      <c r="AA472" s="1194">
        <v>0</v>
      </c>
      <c r="AB472" s="982" t="s">
        <v>1601</v>
      </c>
      <c r="AC472" s="1192" t="str">
        <f>""</f>
        <v/>
      </c>
      <c r="AD472" s="985">
        <v>0</v>
      </c>
      <c r="AE472" s="985" t="s">
        <v>368</v>
      </c>
      <c r="AF472" s="985" t="s">
        <v>368</v>
      </c>
      <c r="AG472" s="985">
        <v>1</v>
      </c>
      <c r="AH472" s="1193">
        <v>9</v>
      </c>
      <c r="AI472" s="1193">
        <v>0</v>
      </c>
      <c r="AJ472" s="1193">
        <f>VLOOKUP($I472,'Price List, Weapons &amp; Items'!B:F,5,0)</f>
        <v>0</v>
      </c>
      <c r="AK472" s="1193">
        <f t="shared" si="108"/>
        <v>0</v>
      </c>
      <c r="AL472" s="1193">
        <f t="shared" si="109"/>
        <v>0</v>
      </c>
      <c r="AM472" s="1193">
        <f t="shared" si="110"/>
        <v>0</v>
      </c>
      <c r="AN472" s="1194" t="str">
        <f>VLOOKUP($I472,'Price List, Weapons &amp; Items'!B:L,COLUMN('Price List, Weapons &amp; Items'!$J$11)-1,0)</f>
        <v>.</v>
      </c>
      <c r="AO472" s="1194" t="str">
        <f>IF(I472=".",".",VLOOKUP($I472,'Price List, Weapons &amp; Items'!B:J,3,0))</f>
        <v>Humanitarian</v>
      </c>
      <c r="AP472" s="1195" t="str">
        <f t="shared" ca="1" si="104"/>
        <v/>
      </c>
      <c r="AQ472" s="1194">
        <f>VLOOKUP($I472,'Price List, Weapons &amp; Items'!B:L,COLUMN('Price List, Weapons &amp; Items'!$L$11)-1,0)</f>
        <v>0</v>
      </c>
      <c r="AR472" s="1194">
        <f t="shared" si="111"/>
        <v>1</v>
      </c>
      <c r="AS472" s="1194">
        <f t="shared" si="112"/>
        <v>0</v>
      </c>
      <c r="AT472" s="1194">
        <f t="shared" si="113"/>
        <v>1</v>
      </c>
      <c r="AU472" s="1194" t="str">
        <f t="shared" si="114"/>
        <v>.</v>
      </c>
      <c r="AV472" s="1194" t="str">
        <f t="shared" si="105"/>
        <v>.</v>
      </c>
      <c r="AW472" s="1194" t="str">
        <f t="shared" si="115"/>
        <v>.</v>
      </c>
      <c r="AX472" s="1194">
        <f>IFERROR(VLOOKUP(B472,'Share, Heavy Weapons to Ukraine'!B:Z,COLUMN('Share, Heavy Weapons to Ukraine'!C482)-1,0),0)</f>
        <v>0</v>
      </c>
      <c r="AY472" s="1194">
        <f>VLOOKUP('Bilateral Assistance, MAIN DATA'!B472,'Country Summary (€)'!B:F,COLUMN('Country Summary (€)'!C483)-1,FALSE)</f>
        <v>1</v>
      </c>
      <c r="AZ472" s="1194" t="str">
        <f>IF(AND(AD472=1,D472="Military",H472&lt;&gt;"Not given")=TRUE,IF(SUMIFS(P:P,A:A,A472)&gt;0,ABS((SUMIFS(P:P,A:A,A472)/VLOOKUP("USD",'Exchange Rates'!B:C,2,0)))/S472,"."),".")</f>
        <v>.</v>
      </c>
      <c r="BA472" s="1196" t="str">
        <f>IF(AND(AD472=1,D472="Military",H472&lt;&gt;"Not given")=TRUE,IF(SUMIFS(P:P,A:A,A472)&gt;0,IF((ABS((SUMIFS(P:P,A:A,A472)/VLOOKUP("USD",'Exchange Rates'!B:C,2,0)))/S472)&gt;1,(SUMIFS(P:P,A:A,A472)-S472)/S472,(S472-SUMIFS(P:P,A:A,A472))/SUMIFS(P:P,A:A,A472)),"."),".")</f>
        <v>.</v>
      </c>
    </row>
    <row r="473" spans="1:53" s="1194" customFormat="1" ht="15.95" customHeight="1">
      <c r="A473" s="1180" t="s">
        <v>1598</v>
      </c>
      <c r="B473" s="1180" t="s">
        <v>1523</v>
      </c>
      <c r="C473" s="1181">
        <v>44832</v>
      </c>
      <c r="D473" s="1182" t="s">
        <v>360</v>
      </c>
      <c r="E473" s="1182" t="s">
        <v>759</v>
      </c>
      <c r="F473" s="1183" t="s">
        <v>1599</v>
      </c>
      <c r="G473" s="1184" t="s">
        <v>483</v>
      </c>
      <c r="H473" s="1185">
        <v>9000000</v>
      </c>
      <c r="I473" s="1208" t="s">
        <v>1606</v>
      </c>
      <c r="J473" s="1186" t="str">
        <f>VLOOKUP($I473,'Price List, Weapons &amp; Items'!B:C,2,0)</f>
        <v>Humanitarian</v>
      </c>
      <c r="K473" s="1186" t="str">
        <f>IF(I473=".",I473,VLOOKUP($I473,'Price List, Weapons &amp; Items'!B:D,3,0))</f>
        <v>Humanitarian</v>
      </c>
      <c r="L473" s="1187">
        <f>VLOOKUP(I473,'Price List, Weapons &amp; Items'!B:E,4,0)</f>
        <v>0</v>
      </c>
      <c r="M473" s="1241" t="s">
        <v>374</v>
      </c>
      <c r="N473" s="1275" t="s">
        <v>374</v>
      </c>
      <c r="O473" s="1188">
        <f>VLOOKUP($I473,'Price List, Weapons &amp; Items'!B:G,6,0)</f>
        <v>25</v>
      </c>
      <c r="P473" s="1185" t="str">
        <f t="shared" si="106"/>
        <v>.</v>
      </c>
      <c r="Q473" s="1185" t="str">
        <f t="shared" si="107"/>
        <v>.</v>
      </c>
      <c r="R473" s="1185" t="str">
        <f t="shared" si="103"/>
        <v/>
      </c>
      <c r="S473" s="1185" t="str">
        <f>IF(AND(AD473=1,R473&lt;&gt;".")=TRUE,R473/VLOOKUP(G473,'Exchange Rates'!B:C,2,0),IF(R473=".",".",""))</f>
        <v/>
      </c>
      <c r="T473" s="1185" t="str">
        <f>IF(AD473=1,IF(AF473="Value is not given at all",".",IF(AF473="Value is given by the source",S473,IF(AF473="Value is calculated with prices",(IF(SUMIFS(Q:Q,A:A,A473)&gt;0,SUMIFS(Q:Q,A:A,A473),"."))/VLOOKUP("USD",'Exchange Rates'!B:C,2,0),"Error with coding"))),"")</f>
        <v/>
      </c>
      <c r="U473" s="1184" t="s">
        <v>365</v>
      </c>
      <c r="V473" s="972" t="s">
        <v>1600</v>
      </c>
      <c r="W473" s="980" t="s">
        <v>1601</v>
      </c>
      <c r="X473" s="979" t="s">
        <v>1602</v>
      </c>
      <c r="Y473" s="979" t="s">
        <v>1603</v>
      </c>
      <c r="Z473" s="1184">
        <v>0</v>
      </c>
      <c r="AA473" s="1194">
        <v>0</v>
      </c>
      <c r="AB473" s="982" t="s">
        <v>1601</v>
      </c>
      <c r="AC473" s="1192" t="str">
        <f>""</f>
        <v/>
      </c>
      <c r="AD473" s="985">
        <v>0</v>
      </c>
      <c r="AE473" s="985" t="s">
        <v>368</v>
      </c>
      <c r="AF473" s="985" t="s">
        <v>368</v>
      </c>
      <c r="AG473" s="985">
        <v>1</v>
      </c>
      <c r="AH473" s="1193">
        <v>9</v>
      </c>
      <c r="AI473" s="1193">
        <v>0</v>
      </c>
      <c r="AJ473" s="1193">
        <f>VLOOKUP($I473,'Price List, Weapons &amp; Items'!B:F,5,0)</f>
        <v>0</v>
      </c>
      <c r="AK473" s="1193">
        <f t="shared" si="108"/>
        <v>0</v>
      </c>
      <c r="AL473" s="1193">
        <f t="shared" si="109"/>
        <v>0</v>
      </c>
      <c r="AM473" s="1193">
        <f t="shared" si="110"/>
        <v>0</v>
      </c>
      <c r="AN473" s="1194" t="str">
        <f>VLOOKUP($I473,'Price List, Weapons &amp; Items'!B:L,COLUMN('Price List, Weapons &amp; Items'!$J$11)-1,0)</f>
        <v>Online marketplace and stores</v>
      </c>
      <c r="AO473" s="1194" t="str">
        <f>IF(I473=".",".",VLOOKUP($I473,'Price List, Weapons &amp; Items'!B:J,3,0))</f>
        <v>Humanitarian</v>
      </c>
      <c r="AP473" s="1195" t="str">
        <f t="shared" ca="1" si="104"/>
        <v/>
      </c>
      <c r="AQ473" s="1194">
        <f>VLOOKUP($I473,'Price List, Weapons &amp; Items'!B:L,COLUMN('Price List, Weapons &amp; Items'!$L$11)-1,0)</f>
        <v>0</v>
      </c>
      <c r="AR473" s="1194">
        <f t="shared" si="111"/>
        <v>1</v>
      </c>
      <c r="AS473" s="1194">
        <f t="shared" si="112"/>
        <v>0</v>
      </c>
      <c r="AT473" s="1194">
        <f t="shared" si="113"/>
        <v>1</v>
      </c>
      <c r="AU473" s="1194" t="str">
        <f t="shared" si="114"/>
        <v>.</v>
      </c>
      <c r="AV473" s="1194" t="str">
        <f t="shared" si="105"/>
        <v>.</v>
      </c>
      <c r="AW473" s="1194" t="str">
        <f t="shared" si="115"/>
        <v>.</v>
      </c>
      <c r="AX473" s="1194">
        <f>IFERROR(VLOOKUP(B473,'Share, Heavy Weapons to Ukraine'!B:Z,COLUMN('Share, Heavy Weapons to Ukraine'!C483)-1,0),0)</f>
        <v>0</v>
      </c>
      <c r="AY473" s="1194">
        <f>VLOOKUP('Bilateral Assistance, MAIN DATA'!B473,'Country Summary (€)'!B:F,COLUMN('Country Summary (€)'!C484)-1,FALSE)</f>
        <v>1</v>
      </c>
      <c r="AZ473" s="1194" t="str">
        <f>IF(AND(AD473=1,D473="Military",H473&lt;&gt;"Not given")=TRUE,IF(SUMIFS(P:P,A:A,A473)&gt;0,ABS((SUMIFS(P:P,A:A,A473)/VLOOKUP("USD",'Exchange Rates'!B:C,2,0)))/S473,"."),".")</f>
        <v>.</v>
      </c>
      <c r="BA473" s="1196" t="str">
        <f>IF(AND(AD473=1,D473="Military",H473&lt;&gt;"Not given")=TRUE,IF(SUMIFS(P:P,A:A,A473)&gt;0,IF((ABS((SUMIFS(P:P,A:A,A473)/VLOOKUP("USD",'Exchange Rates'!B:C,2,0)))/S473)&gt;1,(SUMIFS(P:P,A:A,A473)-S473)/S473,(S473-SUMIFS(P:P,A:A,A473))/SUMIFS(P:P,A:A,A473)),"."),".")</f>
        <v>.</v>
      </c>
    </row>
    <row r="474" spans="1:53" s="1194" customFormat="1" ht="15.95" customHeight="1">
      <c r="A474" s="1180" t="s">
        <v>1598</v>
      </c>
      <c r="B474" s="1180" t="s">
        <v>1523</v>
      </c>
      <c r="C474" s="1181">
        <v>44832</v>
      </c>
      <c r="D474" s="1182" t="s">
        <v>360</v>
      </c>
      <c r="E474" s="1182" t="s">
        <v>759</v>
      </c>
      <c r="F474" s="1183" t="s">
        <v>1599</v>
      </c>
      <c r="G474" s="1184" t="s">
        <v>483</v>
      </c>
      <c r="H474" s="1185">
        <v>9000000</v>
      </c>
      <c r="I474" s="1208" t="s">
        <v>1607</v>
      </c>
      <c r="J474" s="1186" t="str">
        <f>VLOOKUP($I474,'Price List, Weapons &amp; Items'!B:C,2,0)</f>
        <v>Humanitarian</v>
      </c>
      <c r="K474" s="1186" t="str">
        <f>IF(I474=".",I474,VLOOKUP($I474,'Price List, Weapons &amp; Items'!B:D,3,0))</f>
        <v>Humanitarian</v>
      </c>
      <c r="L474" s="1187">
        <f>VLOOKUP(I474,'Price List, Weapons &amp; Items'!B:E,4,0)</f>
        <v>0</v>
      </c>
      <c r="M474" s="1241">
        <v>1</v>
      </c>
      <c r="N474" s="1275">
        <v>1</v>
      </c>
      <c r="O474" s="1188" t="str">
        <f>VLOOKUP($I474,'Price List, Weapons &amp; Items'!B:G,6,0)</f>
        <v>.</v>
      </c>
      <c r="P474" s="1185" t="str">
        <f t="shared" si="106"/>
        <v>No price</v>
      </c>
      <c r="Q474" s="1185" t="str">
        <f t="shared" si="107"/>
        <v>No price</v>
      </c>
      <c r="R474" s="1185" t="str">
        <f t="shared" si="103"/>
        <v/>
      </c>
      <c r="S474" s="1185" t="str">
        <f>IF(AND(AD474=1,R474&lt;&gt;".")=TRUE,R474/VLOOKUP(G474,'Exchange Rates'!B:C,2,0),IF(R474=".",".",""))</f>
        <v/>
      </c>
      <c r="T474" s="1185" t="str">
        <f>IF(AD474=1,IF(AF474="Value is not given at all",".",IF(AF474="Value is given by the source",S474,IF(AF474="Value is calculated with prices",(IF(SUMIFS(Q:Q,A:A,A474)&gt;0,SUMIFS(Q:Q,A:A,A474),"."))/VLOOKUP("USD",'Exchange Rates'!B:C,2,0),"Error with coding"))),"")</f>
        <v/>
      </c>
      <c r="U474" s="1184" t="s">
        <v>365</v>
      </c>
      <c r="V474" s="972" t="s">
        <v>1600</v>
      </c>
      <c r="W474" s="980" t="s">
        <v>1601</v>
      </c>
      <c r="X474" s="979" t="s">
        <v>1602</v>
      </c>
      <c r="Y474" s="979" t="s">
        <v>1603</v>
      </c>
      <c r="Z474" s="1184">
        <v>0</v>
      </c>
      <c r="AA474" s="1194">
        <v>0</v>
      </c>
      <c r="AB474" s="982" t="s">
        <v>1601</v>
      </c>
      <c r="AC474" s="1192" t="str">
        <f>""</f>
        <v/>
      </c>
      <c r="AD474" s="985">
        <v>0</v>
      </c>
      <c r="AE474" s="985" t="s">
        <v>368</v>
      </c>
      <c r="AF474" s="985" t="s">
        <v>368</v>
      </c>
      <c r="AG474" s="985">
        <v>1</v>
      </c>
      <c r="AH474" s="1193">
        <v>9</v>
      </c>
      <c r="AI474" s="1193">
        <v>0</v>
      </c>
      <c r="AJ474" s="1193">
        <f>VLOOKUP($I474,'Price List, Weapons &amp; Items'!B:F,5,0)</f>
        <v>0</v>
      </c>
      <c r="AK474" s="1193">
        <f t="shared" si="108"/>
        <v>0</v>
      </c>
      <c r="AL474" s="1193">
        <f t="shared" si="109"/>
        <v>0</v>
      </c>
      <c r="AM474" s="1193">
        <f t="shared" si="110"/>
        <v>0</v>
      </c>
      <c r="AN474" s="1194" t="str">
        <f>VLOOKUP($I474,'Price List, Weapons &amp; Items'!B:L,COLUMN('Price List, Weapons &amp; Items'!$J$11)-1,0)</f>
        <v>.</v>
      </c>
      <c r="AO474" s="1194" t="str">
        <f>IF(I474=".",".",VLOOKUP($I474,'Price List, Weapons &amp; Items'!B:J,3,0))</f>
        <v>Humanitarian</v>
      </c>
      <c r="AP474" s="1195" t="str">
        <f t="shared" ca="1" si="104"/>
        <v/>
      </c>
      <c r="AQ474" s="1194">
        <f>VLOOKUP($I474,'Price List, Weapons &amp; Items'!B:L,COLUMN('Price List, Weapons &amp; Items'!$L$11)-1,0)</f>
        <v>0</v>
      </c>
      <c r="AR474" s="1194">
        <f t="shared" si="111"/>
        <v>1</v>
      </c>
      <c r="AS474" s="1194">
        <f t="shared" si="112"/>
        <v>0</v>
      </c>
      <c r="AT474" s="1194">
        <f t="shared" si="113"/>
        <v>1</v>
      </c>
      <c r="AU474" s="1194" t="str">
        <f t="shared" si="114"/>
        <v>.</v>
      </c>
      <c r="AV474" s="1194" t="str">
        <f t="shared" si="105"/>
        <v>.</v>
      </c>
      <c r="AW474" s="1194" t="str">
        <f t="shared" si="115"/>
        <v>.</v>
      </c>
      <c r="AX474" s="1194">
        <f>IFERROR(VLOOKUP(B474,'Share, Heavy Weapons to Ukraine'!B:Z,COLUMN('Share, Heavy Weapons to Ukraine'!C484)-1,0),0)</f>
        <v>0</v>
      </c>
      <c r="AY474" s="1194">
        <f>VLOOKUP('Bilateral Assistance, MAIN DATA'!B474,'Country Summary (€)'!B:F,COLUMN('Country Summary (€)'!C485)-1,FALSE)</f>
        <v>1</v>
      </c>
      <c r="AZ474" s="1194" t="str">
        <f>IF(AND(AD474=1,D474="Military",H474&lt;&gt;"Not given")=TRUE,IF(SUMIFS(P:P,A:A,A474)&gt;0,ABS((SUMIFS(P:P,A:A,A474)/VLOOKUP("USD",'Exchange Rates'!B:C,2,0)))/S474,"."),".")</f>
        <v>.</v>
      </c>
      <c r="BA474" s="1196" t="str">
        <f>IF(AND(AD474=1,D474="Military",H474&lt;&gt;"Not given")=TRUE,IF(SUMIFS(P:P,A:A,A474)&gt;0,IF((ABS((SUMIFS(P:P,A:A,A474)/VLOOKUP("USD",'Exchange Rates'!B:C,2,0)))/S474)&gt;1,(SUMIFS(P:P,A:A,A474)-S474)/S474,(S474-SUMIFS(P:P,A:A,A474))/SUMIFS(P:P,A:A,A474)),"."),".")</f>
        <v>.</v>
      </c>
    </row>
    <row r="475" spans="1:53" s="1194" customFormat="1" ht="15.95" customHeight="1">
      <c r="A475" s="1180" t="s">
        <v>1598</v>
      </c>
      <c r="B475" s="1180" t="s">
        <v>1523</v>
      </c>
      <c r="C475" s="1181">
        <v>44832</v>
      </c>
      <c r="D475" s="1182" t="s">
        <v>360</v>
      </c>
      <c r="E475" s="1182" t="s">
        <v>759</v>
      </c>
      <c r="F475" s="1183" t="s">
        <v>1599</v>
      </c>
      <c r="G475" s="1184" t="s">
        <v>483</v>
      </c>
      <c r="H475" s="1185">
        <v>9000000</v>
      </c>
      <c r="I475" s="1208" t="s">
        <v>1608</v>
      </c>
      <c r="J475" s="1186" t="str">
        <f>VLOOKUP($I475,'Price List, Weapons &amp; Items'!B:C,2,0)</f>
        <v>Humanitarian</v>
      </c>
      <c r="K475" s="1186" t="str">
        <f>IF(I475=".",I475,VLOOKUP($I475,'Price List, Weapons &amp; Items'!B:D,3,0))</f>
        <v>Humanitarian</v>
      </c>
      <c r="L475" s="1187">
        <f>VLOOKUP(I475,'Price List, Weapons &amp; Items'!B:E,4,0)</f>
        <v>0</v>
      </c>
      <c r="M475" s="1241">
        <v>25</v>
      </c>
      <c r="N475" s="1275">
        <v>25</v>
      </c>
      <c r="O475" s="1188" t="str">
        <f>VLOOKUP($I475,'Price List, Weapons &amp; Items'!B:G,6,0)</f>
        <v>.</v>
      </c>
      <c r="P475" s="1185" t="str">
        <f t="shared" si="106"/>
        <v>No price</v>
      </c>
      <c r="Q475" s="1185" t="str">
        <f t="shared" si="107"/>
        <v>No price</v>
      </c>
      <c r="R475" s="1185" t="str">
        <f t="shared" si="103"/>
        <v/>
      </c>
      <c r="S475" s="1185" t="str">
        <f>IF(AND(AD475=1,R475&lt;&gt;".")=TRUE,R475/VLOOKUP(G475,'Exchange Rates'!B:C,2,0),IF(R475=".",".",""))</f>
        <v/>
      </c>
      <c r="T475" s="1185" t="str">
        <f>IF(AD475=1,IF(AF475="Value is not given at all",".",IF(AF475="Value is given by the source",S475,IF(AF475="Value is calculated with prices",(IF(SUMIFS(Q:Q,A:A,A475)&gt;0,SUMIFS(Q:Q,A:A,A475),"."))/VLOOKUP("USD",'Exchange Rates'!B:C,2,0),"Error with coding"))),"")</f>
        <v/>
      </c>
      <c r="U475" s="1184" t="s">
        <v>365</v>
      </c>
      <c r="V475" s="972" t="s">
        <v>1600</v>
      </c>
      <c r="W475" s="980" t="s">
        <v>1601</v>
      </c>
      <c r="X475" s="979" t="s">
        <v>1602</v>
      </c>
      <c r="Y475" s="979" t="s">
        <v>1603</v>
      </c>
      <c r="Z475" s="1184">
        <v>0</v>
      </c>
      <c r="AA475" s="1194">
        <v>0</v>
      </c>
      <c r="AB475" s="982" t="s">
        <v>1601</v>
      </c>
      <c r="AC475" s="1192" t="str">
        <f>""</f>
        <v/>
      </c>
      <c r="AD475" s="985">
        <v>0</v>
      </c>
      <c r="AE475" s="985" t="s">
        <v>368</v>
      </c>
      <c r="AF475" s="985" t="s">
        <v>368</v>
      </c>
      <c r="AG475" s="985">
        <v>1</v>
      </c>
      <c r="AH475" s="1193">
        <v>9</v>
      </c>
      <c r="AI475" s="1193">
        <v>0</v>
      </c>
      <c r="AJ475" s="1193">
        <f>VLOOKUP($I475,'Price List, Weapons &amp; Items'!B:F,5,0)</f>
        <v>0</v>
      </c>
      <c r="AK475" s="1193">
        <f t="shared" si="108"/>
        <v>0</v>
      </c>
      <c r="AL475" s="1193">
        <f t="shared" si="109"/>
        <v>0</v>
      </c>
      <c r="AM475" s="1193">
        <f t="shared" si="110"/>
        <v>0</v>
      </c>
      <c r="AN475" s="1194" t="str">
        <f>VLOOKUP($I475,'Price List, Weapons &amp; Items'!B:L,COLUMN('Price List, Weapons &amp; Items'!$J$11)-1,0)</f>
        <v>.</v>
      </c>
      <c r="AO475" s="1194" t="str">
        <f>IF(I475=".",".",VLOOKUP($I475,'Price List, Weapons &amp; Items'!B:J,3,0))</f>
        <v>Humanitarian</v>
      </c>
      <c r="AP475" s="1195" t="str">
        <f t="shared" ca="1" si="104"/>
        <v/>
      </c>
      <c r="AQ475" s="1194">
        <f>VLOOKUP($I475,'Price List, Weapons &amp; Items'!B:L,COLUMN('Price List, Weapons &amp; Items'!$L$11)-1,0)</f>
        <v>0</v>
      </c>
      <c r="AR475" s="1194">
        <f t="shared" si="111"/>
        <v>1</v>
      </c>
      <c r="AS475" s="1194">
        <f t="shared" si="112"/>
        <v>0</v>
      </c>
      <c r="AT475" s="1194">
        <f t="shared" si="113"/>
        <v>1</v>
      </c>
      <c r="AU475" s="1194" t="str">
        <f t="shared" si="114"/>
        <v>.</v>
      </c>
      <c r="AV475" s="1194" t="str">
        <f t="shared" si="105"/>
        <v>.</v>
      </c>
      <c r="AW475" s="1194" t="str">
        <f t="shared" si="115"/>
        <v>.</v>
      </c>
      <c r="AX475" s="1194">
        <f>IFERROR(VLOOKUP(B475,'Share, Heavy Weapons to Ukraine'!B:Z,COLUMN('Share, Heavy Weapons to Ukraine'!C485)-1,0),0)</f>
        <v>0</v>
      </c>
      <c r="AY475" s="1194">
        <f>VLOOKUP('Bilateral Assistance, MAIN DATA'!B475,'Country Summary (€)'!B:F,COLUMN('Country Summary (€)'!C486)-1,FALSE)</f>
        <v>1</v>
      </c>
      <c r="AZ475" s="1194" t="str">
        <f>IF(AND(AD475=1,D475="Military",H475&lt;&gt;"Not given")=TRUE,IF(SUMIFS(P:P,A:A,A475)&gt;0,ABS((SUMIFS(P:P,A:A,A475)/VLOOKUP("USD",'Exchange Rates'!B:C,2,0)))/S475,"."),".")</f>
        <v>.</v>
      </c>
      <c r="BA475" s="1196" t="str">
        <f>IF(AND(AD475=1,D475="Military",H475&lt;&gt;"Not given")=TRUE,IF(SUMIFS(P:P,A:A,A475)&gt;0,IF((ABS((SUMIFS(P:P,A:A,A475)/VLOOKUP("USD",'Exchange Rates'!B:C,2,0)))/S475)&gt;1,(SUMIFS(P:P,A:A,A475)-S475)/S475,(S475-SUMIFS(P:P,A:A,A475))/SUMIFS(P:P,A:A,A475)),"."),".")</f>
        <v>.</v>
      </c>
    </row>
    <row r="476" spans="1:53" s="1194" customFormat="1" ht="15.95" customHeight="1">
      <c r="A476" s="1180" t="s">
        <v>1598</v>
      </c>
      <c r="B476" s="1180" t="s">
        <v>1523</v>
      </c>
      <c r="C476" s="1181">
        <v>44832</v>
      </c>
      <c r="D476" s="1182" t="s">
        <v>360</v>
      </c>
      <c r="E476" s="1182" t="s">
        <v>759</v>
      </c>
      <c r="F476" s="1183" t="s">
        <v>1599</v>
      </c>
      <c r="G476" s="1184" t="s">
        <v>483</v>
      </c>
      <c r="H476" s="1185">
        <v>9000000</v>
      </c>
      <c r="I476" s="1208" t="s">
        <v>1570</v>
      </c>
      <c r="J476" s="1186" t="str">
        <f>VLOOKUP($I476,'Price List, Weapons &amp; Items'!B:C,2,0)</f>
        <v>Humanitarian</v>
      </c>
      <c r="K476" s="1186" t="str">
        <f>IF(I476=".",I476,VLOOKUP($I476,'Price List, Weapons &amp; Items'!B:D,3,0))</f>
        <v>Humanitarian</v>
      </c>
      <c r="L476" s="1187">
        <f>VLOOKUP(I476,'Price List, Weapons &amp; Items'!B:E,4,0)</f>
        <v>0</v>
      </c>
      <c r="M476" s="1241">
        <v>60000</v>
      </c>
      <c r="N476" s="1275">
        <v>60000</v>
      </c>
      <c r="O476" s="1188">
        <f>VLOOKUP($I476,'Price List, Weapons &amp; Items'!B:G,6,0)</f>
        <v>22</v>
      </c>
      <c r="P476" s="1185">
        <f t="shared" si="106"/>
        <v>1320000</v>
      </c>
      <c r="Q476" s="1185">
        <f t="shared" si="107"/>
        <v>1320000</v>
      </c>
      <c r="R476" s="1185" t="str">
        <f t="shared" si="103"/>
        <v/>
      </c>
      <c r="S476" s="1185" t="str">
        <f>IF(AND(AD476=1,R476&lt;&gt;".")=TRUE,R476/VLOOKUP(G476,'Exchange Rates'!B:C,2,0),IF(R476=".",".",""))</f>
        <v/>
      </c>
      <c r="T476" s="1185" t="str">
        <f>IF(AD476=1,IF(AF476="Value is not given at all",".",IF(AF476="Value is given by the source",S476,IF(AF476="Value is calculated with prices",(IF(SUMIFS(Q:Q,A:A,A476)&gt;0,SUMIFS(Q:Q,A:A,A476),"."))/VLOOKUP("USD",'Exchange Rates'!B:C,2,0),"Error with coding"))),"")</f>
        <v/>
      </c>
      <c r="U476" s="1184" t="s">
        <v>365</v>
      </c>
      <c r="V476" s="972" t="s">
        <v>1600</v>
      </c>
      <c r="W476" s="980" t="s">
        <v>1601</v>
      </c>
      <c r="X476" s="979" t="s">
        <v>1602</v>
      </c>
      <c r="Y476" s="979" t="s">
        <v>1603</v>
      </c>
      <c r="Z476" s="1184">
        <v>0</v>
      </c>
      <c r="AA476" s="1194">
        <v>0</v>
      </c>
      <c r="AB476" s="982" t="s">
        <v>1601</v>
      </c>
      <c r="AC476" s="1192" t="str">
        <f>""</f>
        <v/>
      </c>
      <c r="AD476" s="985">
        <v>0</v>
      </c>
      <c r="AE476" s="985" t="s">
        <v>368</v>
      </c>
      <c r="AF476" s="985" t="s">
        <v>368</v>
      </c>
      <c r="AG476" s="985">
        <v>1</v>
      </c>
      <c r="AH476" s="1193">
        <v>9</v>
      </c>
      <c r="AI476" s="1193">
        <v>0</v>
      </c>
      <c r="AJ476" s="1193">
        <f>VLOOKUP($I476,'Price List, Weapons &amp; Items'!B:F,5,0)</f>
        <v>0</v>
      </c>
      <c r="AK476" s="1193">
        <f t="shared" si="108"/>
        <v>0</v>
      </c>
      <c r="AL476" s="1193">
        <f t="shared" si="109"/>
        <v>0</v>
      </c>
      <c r="AM476" s="1193">
        <f t="shared" si="110"/>
        <v>0</v>
      </c>
      <c r="AN476" s="1194" t="str">
        <f>VLOOKUP($I476,'Price List, Weapons &amp; Items'!B:L,COLUMN('Price List, Weapons &amp; Items'!$J$11)-1,0)</f>
        <v>Online marketplaces and stores</v>
      </c>
      <c r="AO476" s="1194" t="str">
        <f>IF(I476=".",".",VLOOKUP($I476,'Price List, Weapons &amp; Items'!B:J,3,0))</f>
        <v>Humanitarian</v>
      </c>
      <c r="AP476" s="1195" t="str">
        <f t="shared" ca="1" si="104"/>
        <v/>
      </c>
      <c r="AQ476" s="1194">
        <f>VLOOKUP($I476,'Price List, Weapons &amp; Items'!B:L,COLUMN('Price List, Weapons &amp; Items'!$L$11)-1,0)</f>
        <v>0</v>
      </c>
      <c r="AR476" s="1194">
        <f t="shared" si="111"/>
        <v>1</v>
      </c>
      <c r="AS476" s="1194">
        <f t="shared" si="112"/>
        <v>0</v>
      </c>
      <c r="AT476" s="1194">
        <f t="shared" si="113"/>
        <v>1</v>
      </c>
      <c r="AU476" s="1194" t="str">
        <f t="shared" si="114"/>
        <v>.</v>
      </c>
      <c r="AV476" s="1194" t="str">
        <f t="shared" si="105"/>
        <v>.</v>
      </c>
      <c r="AW476" s="1194" t="str">
        <f t="shared" si="115"/>
        <v>.</v>
      </c>
      <c r="AX476" s="1194">
        <f>IFERROR(VLOOKUP(B476,'Share, Heavy Weapons to Ukraine'!B:Z,COLUMN('Share, Heavy Weapons to Ukraine'!C486)-1,0),0)</f>
        <v>0</v>
      </c>
      <c r="AY476" s="1194">
        <f>VLOOKUP('Bilateral Assistance, MAIN DATA'!B476,'Country Summary (€)'!B:F,COLUMN('Country Summary (€)'!C487)-1,FALSE)</f>
        <v>1</v>
      </c>
      <c r="AZ476" s="1194" t="str">
        <f>IF(AND(AD476=1,D476="Military",H476&lt;&gt;"Not given")=TRUE,IF(SUMIFS(P:P,A:A,A476)&gt;0,ABS((SUMIFS(P:P,A:A,A476)/VLOOKUP("USD",'Exchange Rates'!B:C,2,0)))/S476,"."),".")</f>
        <v>.</v>
      </c>
      <c r="BA476" s="1196" t="str">
        <f>IF(AND(AD476=1,D476="Military",H476&lt;&gt;"Not given")=TRUE,IF(SUMIFS(P:P,A:A,A476)&gt;0,IF((ABS((SUMIFS(P:P,A:A,A476)/VLOOKUP("USD",'Exchange Rates'!B:C,2,0)))/S476)&gt;1,(SUMIFS(P:P,A:A,A476)-S476)/S476,(S476-SUMIFS(P:P,A:A,A476))/SUMIFS(P:P,A:A,A476)),"."),".")</f>
        <v>.</v>
      </c>
    </row>
    <row r="477" spans="1:53" s="1194" customFormat="1" ht="15.95" customHeight="1">
      <c r="A477" s="1208" t="s">
        <v>1598</v>
      </c>
      <c r="B477" s="1208" t="s">
        <v>1523</v>
      </c>
      <c r="C477" s="1181">
        <v>44833</v>
      </c>
      <c r="D477" s="1208" t="s">
        <v>360</v>
      </c>
      <c r="E477" s="1208" t="s">
        <v>759</v>
      </c>
      <c r="F477" s="1183" t="s">
        <v>1599</v>
      </c>
      <c r="G477" s="1184" t="s">
        <v>483</v>
      </c>
      <c r="H477" s="1185">
        <v>9000000</v>
      </c>
      <c r="I477" s="1208" t="s">
        <v>1609</v>
      </c>
      <c r="J477" s="1186" t="str">
        <f>VLOOKUP($I477,'Price List, Weapons &amp; Items'!B:C,2,0)</f>
        <v>Humanitarian</v>
      </c>
      <c r="K477" s="1186" t="str">
        <f>IF(I477=".",I477,VLOOKUP($I477,'Price List, Weapons &amp; Items'!B:D,3,0))</f>
        <v>Humanitarian</v>
      </c>
      <c r="L477" s="1187">
        <f>VLOOKUP(I477,'Price List, Weapons &amp; Items'!B:E,4,0)</f>
        <v>0</v>
      </c>
      <c r="M477" s="1241">
        <v>8</v>
      </c>
      <c r="N477" s="1211">
        <v>8</v>
      </c>
      <c r="O477" s="1188" t="str">
        <f>VLOOKUP($I477,'Price List, Weapons &amp; Items'!B:G,6,0)</f>
        <v>.</v>
      </c>
      <c r="P477" s="1185" t="str">
        <f t="shared" si="106"/>
        <v>No price</v>
      </c>
      <c r="Q477" s="1185" t="str">
        <f t="shared" si="107"/>
        <v>No price</v>
      </c>
      <c r="R477" s="1185" t="str">
        <f t="shared" si="103"/>
        <v/>
      </c>
      <c r="S477" s="1185" t="str">
        <f>IF(AND(AD477=1,R477&lt;&gt;".")=TRUE,R477/VLOOKUP(G477,'Exchange Rates'!B:C,2,0),IF(R477=".",".",""))</f>
        <v/>
      </c>
      <c r="T477" s="1185" t="str">
        <f>IF(AD477=1,IF(AF477="Value is not given at all",".",IF(AF477="Value is given by the source",S477,IF(AF477="Value is calculated with prices",(IF(SUMIFS(Q:Q,A:A,A477)&gt;0,SUMIFS(Q:Q,A:A,A477),"."))/VLOOKUP("USD",'Exchange Rates'!B:C,2,0),"Error with coding"))),"")</f>
        <v/>
      </c>
      <c r="U477" s="1184" t="s">
        <v>365</v>
      </c>
      <c r="V477" s="972" t="s">
        <v>1600</v>
      </c>
      <c r="W477" s="980" t="s">
        <v>1601</v>
      </c>
      <c r="X477" s="979" t="s">
        <v>1602</v>
      </c>
      <c r="Y477" s="979" t="s">
        <v>1603</v>
      </c>
      <c r="Z477" s="1184">
        <v>0</v>
      </c>
      <c r="AA477" s="1194">
        <v>0</v>
      </c>
      <c r="AB477" s="982" t="s">
        <v>1601</v>
      </c>
      <c r="AC477" s="1192" t="str">
        <f>""</f>
        <v/>
      </c>
      <c r="AD477" s="985">
        <v>0</v>
      </c>
      <c r="AE477" s="985" t="s">
        <v>368</v>
      </c>
      <c r="AF477" s="985" t="s">
        <v>368</v>
      </c>
      <c r="AG477" s="985">
        <v>1</v>
      </c>
      <c r="AH477" s="1193">
        <v>9</v>
      </c>
      <c r="AI477" s="1193">
        <v>0</v>
      </c>
      <c r="AJ477" s="1193">
        <f>VLOOKUP($I477,'Price List, Weapons &amp; Items'!B:F,5,0)</f>
        <v>0</v>
      </c>
      <c r="AK477" s="1193">
        <f t="shared" si="108"/>
        <v>0</v>
      </c>
      <c r="AL477" s="1193">
        <f t="shared" si="109"/>
        <v>0</v>
      </c>
      <c r="AM477" s="1193">
        <f t="shared" si="110"/>
        <v>0</v>
      </c>
      <c r="AN477" s="1194" t="str">
        <f>VLOOKUP($I477,'Price List, Weapons &amp; Items'!B:L,COLUMN('Price List, Weapons &amp; Items'!$J$11)-1,0)</f>
        <v>.</v>
      </c>
      <c r="AO477" s="1194" t="str">
        <f>IF(I477=".",".",VLOOKUP($I477,'Price List, Weapons &amp; Items'!B:J,3,0))</f>
        <v>Humanitarian</v>
      </c>
      <c r="AP477" s="1195" t="str">
        <f t="shared" ca="1" si="104"/>
        <v/>
      </c>
      <c r="AQ477" s="1194">
        <f>VLOOKUP($I477,'Price List, Weapons &amp; Items'!B:L,COLUMN('Price List, Weapons &amp; Items'!$L$11)-1,0)</f>
        <v>0</v>
      </c>
      <c r="AR477" s="1194">
        <f t="shared" si="111"/>
        <v>1</v>
      </c>
      <c r="AS477" s="1194">
        <f t="shared" si="112"/>
        <v>0</v>
      </c>
      <c r="AT477" s="1194">
        <f t="shared" si="113"/>
        <v>1</v>
      </c>
      <c r="AU477" s="1194" t="str">
        <f t="shared" si="114"/>
        <v>.</v>
      </c>
      <c r="AV477" s="1194" t="str">
        <f t="shared" si="105"/>
        <v>.</v>
      </c>
      <c r="AW477" s="1194" t="str">
        <f t="shared" si="115"/>
        <v>.</v>
      </c>
      <c r="AX477" s="1194">
        <f>IFERROR(VLOOKUP(B477,'Share, Heavy Weapons to Ukraine'!B:Z,COLUMN('Share, Heavy Weapons to Ukraine'!C487)-1,0),0)</f>
        <v>0</v>
      </c>
      <c r="AY477" s="1194">
        <f>VLOOKUP('Bilateral Assistance, MAIN DATA'!B477,'Country Summary (€)'!B:F,COLUMN('Country Summary (€)'!C488)-1,FALSE)</f>
        <v>1</v>
      </c>
      <c r="AZ477" s="1194" t="str">
        <f>IF(AND(AD477=1,D477="Military",H477&lt;&gt;"Not given")=TRUE,IF(SUMIFS(P:P,A:A,A477)&gt;0,ABS((SUMIFS(P:P,A:A,A477)/VLOOKUP("USD",'Exchange Rates'!B:C,2,0)))/S477,"."),".")</f>
        <v>.</v>
      </c>
      <c r="BA477" s="1196" t="str">
        <f>IF(AND(AD477=1,D477="Military",H477&lt;&gt;"Not given")=TRUE,IF(SUMIFS(P:P,A:A,A477)&gt;0,IF((ABS((SUMIFS(P:P,A:A,A477)/VLOOKUP("USD",'Exchange Rates'!B:C,2,0)))/S477)&gt;1,(SUMIFS(P:P,A:A,A477)-S477)/S477,(S477-SUMIFS(P:P,A:A,A477))/SUMIFS(P:P,A:A,A477)),"."),".")</f>
        <v>.</v>
      </c>
    </row>
    <row r="478" spans="1:53" s="1194" customFormat="1" ht="15.95" customHeight="1">
      <c r="A478" s="1208" t="s">
        <v>1610</v>
      </c>
      <c r="B478" s="1208" t="s">
        <v>1523</v>
      </c>
      <c r="C478" s="1181">
        <v>44867</v>
      </c>
      <c r="D478" s="1208" t="s">
        <v>360</v>
      </c>
      <c r="E478" s="1208" t="s">
        <v>1152</v>
      </c>
      <c r="F478" s="1183" t="s">
        <v>1611</v>
      </c>
      <c r="G478" s="1184" t="s">
        <v>483</v>
      </c>
      <c r="H478" s="1185" t="s">
        <v>457</v>
      </c>
      <c r="I478" s="1208" t="s">
        <v>364</v>
      </c>
      <c r="J478" s="1186" t="str">
        <f>VLOOKUP($I478,'Price List, Weapons &amp; Items'!B:C,2,0)</f>
        <v>.</v>
      </c>
      <c r="K478" s="1186" t="str">
        <f>IF(I478=".",I478,VLOOKUP($I478,'Price List, Weapons &amp; Items'!B:D,3,0))</f>
        <v>.</v>
      </c>
      <c r="L478" s="1187">
        <f>VLOOKUP(I478,'Price List, Weapons &amp; Items'!B:E,4,0)</f>
        <v>0</v>
      </c>
      <c r="M478" s="1241" t="s">
        <v>364</v>
      </c>
      <c r="N478" s="1211" t="s">
        <v>364</v>
      </c>
      <c r="O478" s="1188" t="str">
        <f>VLOOKUP($I478,'Price List, Weapons &amp; Items'!B:G,6,0)</f>
        <v>.</v>
      </c>
      <c r="P478" s="1185" t="str">
        <f t="shared" si="106"/>
        <v>.</v>
      </c>
      <c r="Q478" s="1185" t="str">
        <f t="shared" si="107"/>
        <v>.</v>
      </c>
      <c r="R478" s="1185" t="str">
        <f t="shared" si="103"/>
        <v>.</v>
      </c>
      <c r="S478" s="1185" t="str">
        <f>IF(AND(AD478=1,R478&lt;&gt;".")=TRUE,R478/VLOOKUP(G478,'Exchange Rates'!B:C,2,0),IF(R478=".",".",""))</f>
        <v>.</v>
      </c>
      <c r="T478" s="1185" t="str">
        <f>IF(AD478=1,IF(AF478="Value is not given at all",".",IF(AF478="Value is given by the source",S478,IF(AF478="Value is calculated with prices",(IF(SUMIFS(Q:Q,A:A,A478)&gt;0,SUMIFS(Q:Q,A:A,A478),"."))/VLOOKUP("USD",'Exchange Rates'!B:C,2,0),"Error with coding"))),"")</f>
        <v>.</v>
      </c>
      <c r="U478" s="1184" t="s">
        <v>365</v>
      </c>
      <c r="V478" s="973" t="s">
        <v>1612</v>
      </c>
      <c r="W478" s="1011" t="s">
        <v>1613</v>
      </c>
      <c r="X478" s="986" t="s">
        <v>364</v>
      </c>
      <c r="Y478" s="981" t="s">
        <v>364</v>
      </c>
      <c r="Z478" s="1184">
        <v>0</v>
      </c>
      <c r="AA478" s="1194">
        <v>0</v>
      </c>
      <c r="AB478" s="1000" t="s">
        <v>364</v>
      </c>
      <c r="AC478" s="1192" t="str">
        <f>""</f>
        <v/>
      </c>
      <c r="AD478" s="985">
        <v>1</v>
      </c>
      <c r="AE478" s="985" t="s">
        <v>369</v>
      </c>
      <c r="AF478" s="985" t="s">
        <v>369</v>
      </c>
      <c r="AG478" s="1184">
        <v>1</v>
      </c>
      <c r="AH478" s="1184">
        <v>11</v>
      </c>
      <c r="AI478" s="1193">
        <v>0</v>
      </c>
      <c r="AJ478" s="1193">
        <f>VLOOKUP($I478,'Price List, Weapons &amp; Items'!B:F,5,0)</f>
        <v>0</v>
      </c>
      <c r="AK478" s="1193">
        <f t="shared" si="108"/>
        <v>0</v>
      </c>
      <c r="AL478" s="1193">
        <f t="shared" si="109"/>
        <v>0</v>
      </c>
      <c r="AM478" s="1193">
        <f t="shared" si="110"/>
        <v>0</v>
      </c>
      <c r="AN478" s="1194" t="str">
        <f>VLOOKUP($I478,'Price List, Weapons &amp; Items'!B:L,COLUMN('Price List, Weapons &amp; Items'!$J$11)-1,0)</f>
        <v>.</v>
      </c>
      <c r="AO478" s="1194" t="str">
        <f>IF(I478=".",".",VLOOKUP($I478,'Price List, Weapons &amp; Items'!B:J,3,0))</f>
        <v>.</v>
      </c>
      <c r="AP478" s="1195" t="str">
        <f t="shared" ca="1" si="104"/>
        <v>.</v>
      </c>
      <c r="AQ478" s="1194">
        <f>VLOOKUP($I478,'Price List, Weapons &amp; Items'!B:L,COLUMN('Price List, Weapons &amp; Items'!$L$11)-1,0)</f>
        <v>0</v>
      </c>
      <c r="AR478" s="1194">
        <f t="shared" si="111"/>
        <v>1</v>
      </c>
      <c r="AS478" s="1194">
        <f t="shared" si="112"/>
        <v>0</v>
      </c>
      <c r="AT478" s="1194">
        <f t="shared" si="113"/>
        <v>1</v>
      </c>
      <c r="AU478" s="1194" t="str">
        <f t="shared" si="114"/>
        <v>.</v>
      </c>
      <c r="AV478" s="1194" t="str">
        <f t="shared" si="105"/>
        <v>.</v>
      </c>
      <c r="AW478" s="1194" t="str">
        <f t="shared" si="115"/>
        <v>.</v>
      </c>
      <c r="AX478" s="1194">
        <f>IFERROR(VLOOKUP(B478,'Share, Heavy Weapons to Ukraine'!B:Z,COLUMN('Share, Heavy Weapons to Ukraine'!C488)-1,0),0)</f>
        <v>0</v>
      </c>
      <c r="AY478" s="1194">
        <f>VLOOKUP('Bilateral Assistance, MAIN DATA'!B478,'Country Summary (€)'!B:F,COLUMN('Country Summary (€)'!C489)-1,FALSE)</f>
        <v>1</v>
      </c>
      <c r="AZ478" s="1194" t="str">
        <f>IF(AND(AD478=1,D478="Military",H478&lt;&gt;"Not given")=TRUE,IF(SUMIFS(P:P,A:A,A478)&gt;0,ABS((SUMIFS(P:P,A:A,A478)/VLOOKUP("USD",'Exchange Rates'!B:C,2,0)))/S478,"."),".")</f>
        <v>.</v>
      </c>
      <c r="BA478" s="1196" t="str">
        <f>IF(AND(AD478=1,D478="Military",H478&lt;&gt;"Not given")=TRUE,IF(SUMIFS(P:P,A:A,A478)&gt;0,IF((ABS((SUMIFS(P:P,A:A,A478)/VLOOKUP("USD",'Exchange Rates'!B:C,2,0)))/S478)&gt;1,(SUMIFS(P:P,A:A,A478)-S478)/S478,(S478-SUMIFS(P:P,A:A,A478))/SUMIFS(P:P,A:A,A478)),"."),".")</f>
        <v>.</v>
      </c>
    </row>
    <row r="479" spans="1:53" s="1194" customFormat="1" ht="15.95" customHeight="1">
      <c r="A479" s="1208" t="s">
        <v>1610</v>
      </c>
      <c r="B479" s="1208" t="s">
        <v>1523</v>
      </c>
      <c r="C479" s="1181">
        <v>44867</v>
      </c>
      <c r="D479" s="1208" t="s">
        <v>360</v>
      </c>
      <c r="E479" s="1208" t="s">
        <v>1152</v>
      </c>
      <c r="F479" s="1183" t="s">
        <v>1611</v>
      </c>
      <c r="G479" s="1184" t="s">
        <v>483</v>
      </c>
      <c r="H479" s="1185" t="s">
        <v>457</v>
      </c>
      <c r="I479" s="1208" t="s">
        <v>989</v>
      </c>
      <c r="J479" s="1186" t="str">
        <f>VLOOKUP($I479,'Price List, Weapons &amp; Items'!B:C,2,0)</f>
        <v>Humanitarian</v>
      </c>
      <c r="K479" s="1186" t="str">
        <f>IF(I479=".",I479,VLOOKUP($I479,'Price List, Weapons &amp; Items'!B:D,3,0))</f>
        <v>Humanitarian</v>
      </c>
      <c r="L479" s="1187">
        <f>VLOOKUP(I479,'Price List, Weapons &amp; Items'!B:E,4,0)</f>
        <v>0</v>
      </c>
      <c r="M479" s="1241">
        <v>100</v>
      </c>
      <c r="N479" s="1211">
        <v>100</v>
      </c>
      <c r="O479" s="1188" t="str">
        <f>VLOOKUP($I479,'Price List, Weapons &amp; Items'!B:G,6,0)</f>
        <v>.</v>
      </c>
      <c r="P479" s="1185" t="str">
        <f t="shared" si="106"/>
        <v>No price</v>
      </c>
      <c r="Q479" s="1185" t="str">
        <f t="shared" si="107"/>
        <v>No price</v>
      </c>
      <c r="R479" s="1185" t="str">
        <f t="shared" si="103"/>
        <v/>
      </c>
      <c r="S479" s="1185" t="str">
        <f>IF(AND(AD479=1,R479&lt;&gt;".")=TRUE,R479/VLOOKUP(G479,'Exchange Rates'!B:C,2,0),IF(R479=".",".",""))</f>
        <v/>
      </c>
      <c r="T479" s="1185" t="str">
        <f>IF(AD479=1,IF(AF479="Value is not given at all",".",IF(AF479="Value is given by the source",S479,IF(AF479="Value is calculated with prices",(IF(SUMIFS(Q:Q,A:A,A479)&gt;0,SUMIFS(Q:Q,A:A,A479),"."))/VLOOKUP("USD",'Exchange Rates'!B:C,2,0),"Error with coding"))),"")</f>
        <v/>
      </c>
      <c r="U479" s="1184" t="s">
        <v>365</v>
      </c>
      <c r="V479" s="973" t="s">
        <v>1612</v>
      </c>
      <c r="W479" s="1011" t="s">
        <v>1613</v>
      </c>
      <c r="X479" s="986" t="s">
        <v>364</v>
      </c>
      <c r="Y479" s="981" t="s">
        <v>364</v>
      </c>
      <c r="Z479" s="1184">
        <v>0</v>
      </c>
      <c r="AA479" s="1194">
        <v>0</v>
      </c>
      <c r="AB479" s="982" t="s">
        <v>1612</v>
      </c>
      <c r="AC479" s="1192" t="str">
        <f>""</f>
        <v/>
      </c>
      <c r="AD479" s="985">
        <v>0</v>
      </c>
      <c r="AE479" s="985" t="s">
        <v>369</v>
      </c>
      <c r="AF479" s="985" t="s">
        <v>369</v>
      </c>
      <c r="AG479" s="1184">
        <v>1</v>
      </c>
      <c r="AH479" s="1184">
        <v>11</v>
      </c>
      <c r="AI479" s="1193">
        <v>0</v>
      </c>
      <c r="AJ479" s="1193">
        <f>VLOOKUP($I479,'Price List, Weapons &amp; Items'!B:F,5,0)</f>
        <v>0</v>
      </c>
      <c r="AK479" s="1193">
        <f t="shared" si="108"/>
        <v>0</v>
      </c>
      <c r="AL479" s="1193">
        <f t="shared" si="109"/>
        <v>0</v>
      </c>
      <c r="AM479" s="1193">
        <f t="shared" si="110"/>
        <v>0</v>
      </c>
      <c r="AN479" s="1194" t="str">
        <f>VLOOKUP($I479,'Price List, Weapons &amp; Items'!B:L,COLUMN('Price List, Weapons &amp; Items'!$J$11)-1,0)</f>
        <v>Media reports (incl. social media)</v>
      </c>
      <c r="AO479" s="1194" t="str">
        <f>IF(I479=".",".",VLOOKUP($I479,'Price List, Weapons &amp; Items'!B:J,3,0))</f>
        <v>Humanitarian</v>
      </c>
      <c r="AP479" s="1195" t="str">
        <f t="shared" ca="1" si="104"/>
        <v/>
      </c>
      <c r="AQ479" s="1194">
        <f>VLOOKUP($I479,'Price List, Weapons &amp; Items'!B:L,COLUMN('Price List, Weapons &amp; Items'!$L$11)-1,0)</f>
        <v>0</v>
      </c>
      <c r="AR479" s="1194">
        <f t="shared" si="111"/>
        <v>1</v>
      </c>
      <c r="AS479" s="1194">
        <f t="shared" si="112"/>
        <v>0</v>
      </c>
      <c r="AT479" s="1194">
        <f t="shared" si="113"/>
        <v>1</v>
      </c>
      <c r="AU479" s="1194" t="str">
        <f t="shared" si="114"/>
        <v>.</v>
      </c>
      <c r="AV479" s="1194" t="str">
        <f t="shared" si="105"/>
        <v>.</v>
      </c>
      <c r="AW479" s="1194" t="str">
        <f t="shared" si="115"/>
        <v>.</v>
      </c>
      <c r="AX479" s="1194">
        <f>IFERROR(VLOOKUP(B479,'Share, Heavy Weapons to Ukraine'!B:Z,COLUMN('Share, Heavy Weapons to Ukraine'!C489)-1,0),0)</f>
        <v>0</v>
      </c>
      <c r="AY479" s="1194">
        <f>VLOOKUP('Bilateral Assistance, MAIN DATA'!B479,'Country Summary (€)'!B:F,COLUMN('Country Summary (€)'!C490)-1,FALSE)</f>
        <v>1</v>
      </c>
      <c r="AZ479" s="1194" t="str">
        <f>IF(AND(AD479=1,D479="Military",H479&lt;&gt;"Not given")=TRUE,IF(SUMIFS(P:P,A:A,A479)&gt;0,ABS((SUMIFS(P:P,A:A,A479)/VLOOKUP("USD",'Exchange Rates'!B:C,2,0)))/S479,"."),".")</f>
        <v>.</v>
      </c>
      <c r="BA479" s="1196" t="str">
        <f>IF(AND(AD479=1,D479="Military",H479&lt;&gt;"Not given")=TRUE,IF(SUMIFS(P:P,A:A,A479)&gt;0,IF((ABS((SUMIFS(P:P,A:A,A479)/VLOOKUP("USD",'Exchange Rates'!B:C,2,0)))/S479)&gt;1,(SUMIFS(P:P,A:A,A479)-S479)/S479,(S479-SUMIFS(P:P,A:A,A479))/SUMIFS(P:P,A:A,A479)),"."),".")</f>
        <v>.</v>
      </c>
    </row>
    <row r="480" spans="1:53" s="1194" customFormat="1" ht="15.95" customHeight="1">
      <c r="A480" s="1208" t="s">
        <v>1614</v>
      </c>
      <c r="B480" s="1208" t="s">
        <v>1523</v>
      </c>
      <c r="C480" s="1181">
        <v>44908</v>
      </c>
      <c r="D480" s="1208" t="s">
        <v>360</v>
      </c>
      <c r="E480" s="1208" t="s">
        <v>1152</v>
      </c>
      <c r="F480" s="1183" t="s">
        <v>1615</v>
      </c>
      <c r="G480" s="1184" t="s">
        <v>483</v>
      </c>
      <c r="H480" s="1185">
        <v>48500000</v>
      </c>
      <c r="I480" s="1208" t="s">
        <v>989</v>
      </c>
      <c r="J480" s="1186" t="str">
        <f>VLOOKUP($I480,'Price List, Weapons &amp; Items'!B:C,2,0)</f>
        <v>Humanitarian</v>
      </c>
      <c r="K480" s="1186" t="str">
        <f>IF(I480=".",I480,VLOOKUP($I480,'Price List, Weapons &amp; Items'!B:D,3,0))</f>
        <v>Humanitarian</v>
      </c>
      <c r="L480" s="1187">
        <f>VLOOKUP(I480,'Price List, Weapons &amp; Items'!B:E,4,0)</f>
        <v>0</v>
      </c>
      <c r="M480" s="1241">
        <v>63</v>
      </c>
      <c r="N480" s="1211" t="s">
        <v>374</v>
      </c>
      <c r="O480" s="1188" t="str">
        <f>VLOOKUP($I480,'Price List, Weapons &amp; Items'!B:G,6,0)</f>
        <v>.</v>
      </c>
      <c r="P480" s="1185" t="str">
        <f t="shared" si="106"/>
        <v>No price</v>
      </c>
      <c r="Q480" s="1185" t="str">
        <f t="shared" si="107"/>
        <v>.</v>
      </c>
      <c r="R480" s="1185">
        <f t="shared" si="103"/>
        <v>48500000</v>
      </c>
      <c r="S480" s="1185">
        <f>IF(AND(AD480=1,R480&lt;&gt;".")=TRUE,R480/VLOOKUP(G480,'Exchange Rates'!B:C,2,0),IF(R480=".",".",""))</f>
        <v>48500000</v>
      </c>
      <c r="T480" s="1185" t="str">
        <f>IF(AD480=1,IF(AF480="Value is not given at all",".",IF(AF480="Value is given by the source",S480,IF(AF480="Value is calculated with prices",(IF(SUMIFS(Q:Q,A:A,A480)&gt;0,SUMIFS(Q:Q,A:A,A480),"."))/VLOOKUP("USD",'Exchange Rates'!B:C,2,0),"Error with coding"))),"")</f>
        <v>.</v>
      </c>
      <c r="U480" s="1184" t="s">
        <v>365</v>
      </c>
      <c r="V480" s="1017" t="s">
        <v>1616</v>
      </c>
      <c r="W480" s="1020" t="s">
        <v>1617</v>
      </c>
      <c r="X480" s="966" t="s">
        <v>1612</v>
      </c>
      <c r="Y480" s="966" t="s">
        <v>1618</v>
      </c>
      <c r="Z480" s="1184">
        <v>0</v>
      </c>
      <c r="AA480" s="1194">
        <v>0</v>
      </c>
      <c r="AB480" s="1022" t="s">
        <v>364</v>
      </c>
      <c r="AC480" s="1192" t="str">
        <f>""</f>
        <v/>
      </c>
      <c r="AD480" s="985">
        <v>1</v>
      </c>
      <c r="AE480" s="985" t="s">
        <v>368</v>
      </c>
      <c r="AF480" s="985" t="s">
        <v>369</v>
      </c>
      <c r="AG480" s="1184">
        <v>1</v>
      </c>
      <c r="AH480" s="1184">
        <v>12</v>
      </c>
      <c r="AI480" s="1193">
        <v>0</v>
      </c>
      <c r="AJ480" s="1193">
        <f>VLOOKUP($I480,'Price List, Weapons &amp; Items'!B:F,5,0)</f>
        <v>0</v>
      </c>
      <c r="AK480" s="1193">
        <f t="shared" si="108"/>
        <v>0</v>
      </c>
      <c r="AL480" s="1193">
        <f t="shared" si="109"/>
        <v>0</v>
      </c>
      <c r="AM480" s="1193">
        <f t="shared" si="110"/>
        <v>0</v>
      </c>
      <c r="AN480" s="1194" t="str">
        <f>VLOOKUP($I480,'Price List, Weapons &amp; Items'!B:L,COLUMN('Price List, Weapons &amp; Items'!$J$11)-1,0)</f>
        <v>Media reports (incl. social media)</v>
      </c>
      <c r="AO480" s="1194" t="str">
        <f>IF(I480=".",".",VLOOKUP($I480,'Price List, Weapons &amp; Items'!B:J,3,0))</f>
        <v>Humanitarian</v>
      </c>
      <c r="AP480" s="1195" t="str">
        <f t="shared" ca="1" si="104"/>
        <v>Power generator</v>
      </c>
      <c r="AQ480" s="1194">
        <f>VLOOKUP($I480,'Price List, Weapons &amp; Items'!B:L,COLUMN('Price List, Weapons &amp; Items'!$L$11)-1,0)</f>
        <v>0</v>
      </c>
      <c r="AR480" s="1194">
        <f t="shared" si="111"/>
        <v>1</v>
      </c>
      <c r="AS480" s="1194">
        <f t="shared" si="112"/>
        <v>0</v>
      </c>
      <c r="AT480" s="1194">
        <f t="shared" si="113"/>
        <v>1</v>
      </c>
      <c r="AU480" s="1194" t="str">
        <f t="shared" si="114"/>
        <v>.</v>
      </c>
      <c r="AV480" s="1194" t="str">
        <f t="shared" si="105"/>
        <v>.</v>
      </c>
      <c r="AW480" s="1194" t="str">
        <f t="shared" si="115"/>
        <v>.</v>
      </c>
      <c r="AX480" s="1194">
        <f>IFERROR(VLOOKUP(B480,'Share, Heavy Weapons to Ukraine'!B:Z,COLUMN('Share, Heavy Weapons to Ukraine'!C490)-1,0),0)</f>
        <v>0</v>
      </c>
      <c r="AY480" s="1194">
        <f>VLOOKUP('Bilateral Assistance, MAIN DATA'!B480,'Country Summary (€)'!B:F,COLUMN('Country Summary (€)'!C491)-1,FALSE)</f>
        <v>1</v>
      </c>
      <c r="AZ480" s="1194" t="str">
        <f>IF(AND(AD480=1,D480="Military",H480&lt;&gt;"Not given")=TRUE,IF(SUMIFS(P:P,A:A,A480)&gt;0,ABS((SUMIFS(P:P,A:A,A480)/VLOOKUP("USD",'Exchange Rates'!B:C,2,0)))/S480,"."),".")</f>
        <v>.</v>
      </c>
      <c r="BA480" s="1196" t="str">
        <f>IF(AND(AD480=1,D480="Military",H480&lt;&gt;"Not given")=TRUE,IF(SUMIFS(P:P,A:A,A480)&gt;0,IF((ABS((SUMIFS(P:P,A:A,A480)/VLOOKUP("USD",'Exchange Rates'!B:C,2,0)))/S480)&gt;1,(SUMIFS(P:P,A:A,A480)-S480)/S480,(S480-SUMIFS(P:P,A:A,A480))/SUMIFS(P:P,A:A,A480)),"."),".")</f>
        <v>.</v>
      </c>
    </row>
    <row r="481" spans="1:53" s="1194" customFormat="1" ht="15.95" customHeight="1">
      <c r="A481" s="1208" t="s">
        <v>1614</v>
      </c>
      <c r="B481" s="1208" t="s">
        <v>1523</v>
      </c>
      <c r="C481" s="1181">
        <v>44908</v>
      </c>
      <c r="D481" s="1208" t="s">
        <v>360</v>
      </c>
      <c r="E481" s="1208" t="s">
        <v>1152</v>
      </c>
      <c r="F481" s="1183" t="s">
        <v>1619</v>
      </c>
      <c r="G481" s="1184" t="s">
        <v>483</v>
      </c>
      <c r="H481" s="1185">
        <v>48500000</v>
      </c>
      <c r="I481" s="1281" t="s">
        <v>1620</v>
      </c>
      <c r="J481" s="1186" t="str">
        <f>VLOOKUP($I481,'Price List, Weapons &amp; Items'!B:C,2,0)</f>
        <v>Humanitarian</v>
      </c>
      <c r="K481" s="1186" t="str">
        <f>IF(I481=".",I481,VLOOKUP($I481,'Price List, Weapons &amp; Items'!B:D,3,0))</f>
        <v>Humanitarian</v>
      </c>
      <c r="L481" s="1187">
        <f>VLOOKUP(I481,'Price List, Weapons &amp; Items'!B:E,4,0)</f>
        <v>0</v>
      </c>
      <c r="M481" s="1282">
        <v>5000000</v>
      </c>
      <c r="N481" s="1208">
        <v>5000000</v>
      </c>
      <c r="O481" s="1188">
        <f>VLOOKUP($I481,'Price List, Weapons &amp; Items'!B:G,6,0)</f>
        <v>3.5</v>
      </c>
      <c r="P481" s="1185">
        <f t="shared" si="106"/>
        <v>17500000</v>
      </c>
      <c r="Q481" s="1185">
        <f t="shared" si="107"/>
        <v>17500000</v>
      </c>
      <c r="R481" s="1185" t="str">
        <f t="shared" si="103"/>
        <v/>
      </c>
      <c r="S481" s="1185" t="str">
        <f>IF(AND(AD481=1,R481&lt;&gt;".")=TRUE,R481/VLOOKUP(G481,'Exchange Rates'!B:C,2,0),IF(R481=".",".",""))</f>
        <v/>
      </c>
      <c r="T481" s="1185" t="str">
        <f>IF(AD481=1,IF(AF481="Value is not given at all",".",IF(AF481="Value is given by the source",S481,IF(AF481="Value is calculated with prices",(IF(SUMIFS(Q:Q,A:A,A481)&gt;0,SUMIFS(Q:Q,A:A,A481),"."))/VLOOKUP("USD",'Exchange Rates'!B:C,2,0),"Error with coding"))),"")</f>
        <v/>
      </c>
      <c r="U481" s="1184" t="s">
        <v>365</v>
      </c>
      <c r="V481" s="1011" t="s">
        <v>1616</v>
      </c>
      <c r="W481" s="1020" t="s">
        <v>1617</v>
      </c>
      <c r="X481" s="1020" t="s">
        <v>1612</v>
      </c>
      <c r="Y481" s="1020" t="s">
        <v>1618</v>
      </c>
      <c r="Z481" s="1184">
        <v>0</v>
      </c>
      <c r="AA481" s="1194">
        <v>1</v>
      </c>
      <c r="AB481" s="966" t="s">
        <v>1621</v>
      </c>
      <c r="AC481" s="1192" t="str">
        <f>""</f>
        <v/>
      </c>
      <c r="AD481" s="985">
        <v>0</v>
      </c>
      <c r="AE481" s="985" t="s">
        <v>368</v>
      </c>
      <c r="AF481" s="985" t="s">
        <v>369</v>
      </c>
      <c r="AG481" s="1184">
        <v>1</v>
      </c>
      <c r="AH481" s="1184">
        <v>12</v>
      </c>
      <c r="AI481" s="1193">
        <v>0</v>
      </c>
      <c r="AJ481" s="1193">
        <f>VLOOKUP($I481,'Price List, Weapons &amp; Items'!B:F,5,0)</f>
        <v>0</v>
      </c>
      <c r="AK481" s="1193">
        <f t="shared" si="108"/>
        <v>0</v>
      </c>
      <c r="AL481" s="1193">
        <f t="shared" si="109"/>
        <v>0</v>
      </c>
      <c r="AM481" s="1193">
        <f t="shared" si="110"/>
        <v>0</v>
      </c>
      <c r="AN481" s="1194" t="str">
        <f>VLOOKUP($I481,'Price List, Weapons &amp; Items'!B:L,COLUMN('Price List, Weapons &amp; Items'!$J$11)-1,0)</f>
        <v>Miscellaneous</v>
      </c>
      <c r="AO481" s="1194" t="str">
        <f>IF(I481=".",".",VLOOKUP($I481,'Price List, Weapons &amp; Items'!B:J,3,0))</f>
        <v>Humanitarian</v>
      </c>
      <c r="AP481" s="1195" t="str">
        <f t="shared" ca="1" si="104"/>
        <v/>
      </c>
      <c r="AQ481" s="1194">
        <f>VLOOKUP($I481,'Price List, Weapons &amp; Items'!B:L,COLUMN('Price List, Weapons &amp; Items'!$L$11)-1,0)</f>
        <v>0</v>
      </c>
      <c r="AR481" s="1194">
        <f t="shared" si="111"/>
        <v>1</v>
      </c>
      <c r="AS481" s="1194">
        <f t="shared" si="112"/>
        <v>0</v>
      </c>
      <c r="AT481" s="1194">
        <f t="shared" si="113"/>
        <v>1</v>
      </c>
      <c r="AU481" s="1194" t="str">
        <f t="shared" si="114"/>
        <v>1</v>
      </c>
      <c r="AV481" s="1194" t="str">
        <f t="shared" si="105"/>
        <v>.</v>
      </c>
      <c r="AW481" s="1194" t="str">
        <f t="shared" si="115"/>
        <v>.</v>
      </c>
      <c r="AX481" s="1194">
        <f>IFERROR(VLOOKUP(B481,'Share, Heavy Weapons to Ukraine'!B:Z,COLUMN('Share, Heavy Weapons to Ukraine'!C491)-1,0),0)</f>
        <v>0</v>
      </c>
      <c r="AY481" s="1194">
        <f>VLOOKUP('Bilateral Assistance, MAIN DATA'!B481,'Country Summary (€)'!B:F,COLUMN('Country Summary (€)'!C492)-1,FALSE)</f>
        <v>1</v>
      </c>
      <c r="AZ481" s="1194" t="str">
        <f>IF(AND(AD481=1,D481="Military",H481&lt;&gt;"Not given")=TRUE,IF(SUMIFS(P:P,A:A,A481)&gt;0,ABS((SUMIFS(P:P,A:A,A481)/VLOOKUP("USD",'Exchange Rates'!B:C,2,0)))/S481,"."),".")</f>
        <v>.</v>
      </c>
      <c r="BA481" s="1196" t="str">
        <f>IF(AND(AD481=1,D481="Military",H481&lt;&gt;"Not given")=TRUE,IF(SUMIFS(P:P,A:A,A481)&gt;0,IF((ABS((SUMIFS(P:P,A:A,A481)/VLOOKUP("USD",'Exchange Rates'!B:C,2,0)))/S481)&gt;1,(SUMIFS(P:P,A:A,A481)-S481)/S481,(S481-SUMIFS(P:P,A:A,A481))/SUMIFS(P:P,A:A,A481)),"."),".")</f>
        <v>.</v>
      </c>
    </row>
    <row r="482" spans="1:53" s="1194" customFormat="1" ht="15.95" customHeight="1">
      <c r="A482" s="1208" t="s">
        <v>1622</v>
      </c>
      <c r="B482" s="1208" t="s">
        <v>1523</v>
      </c>
      <c r="C482" s="1181">
        <v>44908</v>
      </c>
      <c r="D482" s="1208" t="s">
        <v>360</v>
      </c>
      <c r="E482" s="1208" t="s">
        <v>1152</v>
      </c>
      <c r="F482" s="1183" t="s">
        <v>1623</v>
      </c>
      <c r="G482" s="1184" t="s">
        <v>483</v>
      </c>
      <c r="H482" s="1185">
        <v>76500000</v>
      </c>
      <c r="I482" s="1208" t="s">
        <v>364</v>
      </c>
      <c r="J482" s="1186" t="str">
        <f>VLOOKUP($I482,'Price List, Weapons &amp; Items'!B:C,2,0)</f>
        <v>.</v>
      </c>
      <c r="K482" s="1186" t="str">
        <f>IF(I482=".",I482,VLOOKUP($I482,'Price List, Weapons &amp; Items'!B:D,3,0))</f>
        <v>.</v>
      </c>
      <c r="L482" s="1187">
        <f>VLOOKUP(I482,'Price List, Weapons &amp; Items'!B:E,4,0)</f>
        <v>0</v>
      </c>
      <c r="M482" s="1241" t="s">
        <v>364</v>
      </c>
      <c r="N482" s="1211" t="s">
        <v>364</v>
      </c>
      <c r="O482" s="1188" t="str">
        <f>VLOOKUP($I482,'Price List, Weapons &amp; Items'!B:G,6,0)</f>
        <v>.</v>
      </c>
      <c r="P482" s="1185" t="str">
        <f t="shared" si="106"/>
        <v>.</v>
      </c>
      <c r="Q482" s="1185" t="str">
        <f t="shared" si="107"/>
        <v>.</v>
      </c>
      <c r="R482" s="1185">
        <f t="shared" si="103"/>
        <v>76500000</v>
      </c>
      <c r="S482" s="1185">
        <f>IF(AND(AD482=1,R482&lt;&gt;".")=TRUE,R482/VLOOKUP(G482,'Exchange Rates'!B:C,2,0),IF(R482=".",".",""))</f>
        <v>76500000</v>
      </c>
      <c r="T482" s="1185" t="str">
        <f>IF(AD482=1,IF(AF482="Value is not given at all",".",IF(AF482="Value is given by the source",S482,IF(AF482="Value is calculated with prices",(IF(SUMIFS(Q:Q,A:A,A482)&gt;0,SUMIFS(Q:Q,A:A,A482),"."))/VLOOKUP("USD",'Exchange Rates'!B:C,2,0),"Error with coding"))),"")</f>
        <v>.</v>
      </c>
      <c r="U482" s="1184" t="s">
        <v>365</v>
      </c>
      <c r="V482" s="1011" t="s">
        <v>1616</v>
      </c>
      <c r="W482" s="1020" t="s">
        <v>1617</v>
      </c>
      <c r="X482" s="1020" t="s">
        <v>1612</v>
      </c>
      <c r="Y482" s="1020" t="s">
        <v>1618</v>
      </c>
      <c r="Z482" s="1184">
        <v>0</v>
      </c>
      <c r="AA482" s="1194">
        <v>0</v>
      </c>
      <c r="AB482" s="1022" t="s">
        <v>364</v>
      </c>
      <c r="AC482" s="1192" t="str">
        <f>""</f>
        <v/>
      </c>
      <c r="AD482" s="985">
        <v>1</v>
      </c>
      <c r="AE482" s="985" t="s">
        <v>368</v>
      </c>
      <c r="AF482" s="985" t="s">
        <v>369</v>
      </c>
      <c r="AG482" s="1184">
        <v>1</v>
      </c>
      <c r="AH482" s="1184">
        <v>12</v>
      </c>
      <c r="AI482" s="1193">
        <v>0</v>
      </c>
      <c r="AJ482" s="1193">
        <f>VLOOKUP($I482,'Price List, Weapons &amp; Items'!B:F,5,0)</f>
        <v>0</v>
      </c>
      <c r="AK482" s="1193">
        <f t="shared" si="108"/>
        <v>0</v>
      </c>
      <c r="AL482" s="1193">
        <f t="shared" si="109"/>
        <v>0</v>
      </c>
      <c r="AM482" s="1193">
        <f t="shared" si="110"/>
        <v>0</v>
      </c>
      <c r="AN482" s="1194" t="str">
        <f>VLOOKUP($I482,'Price List, Weapons &amp; Items'!B:L,COLUMN('Price List, Weapons &amp; Items'!$J$11)-1,0)</f>
        <v>.</v>
      </c>
      <c r="AO482" s="1194" t="str">
        <f>IF(I482=".",".",VLOOKUP($I482,'Price List, Weapons &amp; Items'!B:J,3,0))</f>
        <v>.</v>
      </c>
      <c r="AP482" s="1195" t="str">
        <f t="shared" ca="1" si="104"/>
        <v>.</v>
      </c>
      <c r="AQ482" s="1194">
        <f>VLOOKUP($I482,'Price List, Weapons &amp; Items'!B:L,COLUMN('Price List, Weapons &amp; Items'!$L$11)-1,0)</f>
        <v>0</v>
      </c>
      <c r="AR482" s="1194">
        <f t="shared" si="111"/>
        <v>1</v>
      </c>
      <c r="AS482" s="1194">
        <f t="shared" si="112"/>
        <v>0</v>
      </c>
      <c r="AT482" s="1194">
        <f t="shared" si="113"/>
        <v>1</v>
      </c>
      <c r="AU482" s="1194" t="str">
        <f t="shared" si="114"/>
        <v>.</v>
      </c>
      <c r="AV482" s="1194" t="str">
        <f t="shared" si="105"/>
        <v>.</v>
      </c>
      <c r="AW482" s="1194" t="str">
        <f t="shared" si="115"/>
        <v>.</v>
      </c>
      <c r="AX482" s="1194">
        <f>IFERROR(VLOOKUP(B482,'Share, Heavy Weapons to Ukraine'!B:Z,COLUMN('Share, Heavy Weapons to Ukraine'!C492)-1,0),0)</f>
        <v>0</v>
      </c>
      <c r="AY482" s="1194">
        <f>VLOOKUP('Bilateral Assistance, MAIN DATA'!B482,'Country Summary (€)'!B:F,COLUMN('Country Summary (€)'!C493)-1,FALSE)</f>
        <v>1</v>
      </c>
      <c r="AZ482" s="1194" t="str">
        <f>IF(AND(AD482=1,D482="Military",H482&lt;&gt;"Not given")=TRUE,IF(SUMIFS(P:P,A:A,A482)&gt;0,ABS((SUMIFS(P:P,A:A,A482)/VLOOKUP("USD",'Exchange Rates'!B:C,2,0)))/S482,"."),".")</f>
        <v>.</v>
      </c>
      <c r="BA482" s="1196" t="str">
        <f>IF(AND(AD482=1,D482="Military",H482&lt;&gt;"Not given")=TRUE,IF(SUMIFS(P:P,A:A,A482)&gt;0,IF((ABS((SUMIFS(P:P,A:A,A482)/VLOOKUP("USD",'Exchange Rates'!B:C,2,0)))/S482)&gt;1,(SUMIFS(P:P,A:A,A482)-S482)/S482,(S482-SUMIFS(P:P,A:A,A482))/SUMIFS(P:P,A:A,A482)),"."),".")</f>
        <v>.</v>
      </c>
    </row>
    <row r="483" spans="1:53" s="1194" customFormat="1" ht="15.95" customHeight="1">
      <c r="A483" s="1208" t="s">
        <v>1624</v>
      </c>
      <c r="B483" s="1208" t="s">
        <v>1523</v>
      </c>
      <c r="C483" s="1181">
        <v>44908</v>
      </c>
      <c r="D483" s="1208" t="s">
        <v>360</v>
      </c>
      <c r="E483" s="1208" t="s">
        <v>361</v>
      </c>
      <c r="F483" s="1183" t="s">
        <v>1625</v>
      </c>
      <c r="G483" s="1184" t="s">
        <v>483</v>
      </c>
      <c r="H483" s="1185">
        <f>200000000-H480-H477-H441-H440</f>
        <v>40900000</v>
      </c>
      <c r="I483" s="1208" t="s">
        <v>364</v>
      </c>
      <c r="J483" s="1186" t="str">
        <f>VLOOKUP($I483,'Price List, Weapons &amp; Items'!B:C,2,0)</f>
        <v>.</v>
      </c>
      <c r="K483" s="1186" t="str">
        <f>IF(I483=".",I483,VLOOKUP($I483,'Price List, Weapons &amp; Items'!B:D,3,0))</f>
        <v>.</v>
      </c>
      <c r="L483" s="1187">
        <f>VLOOKUP(I483,'Price List, Weapons &amp; Items'!B:E,4,0)</f>
        <v>0</v>
      </c>
      <c r="M483" s="1241" t="s">
        <v>364</v>
      </c>
      <c r="N483" s="1211" t="s">
        <v>364</v>
      </c>
      <c r="O483" s="1188" t="str">
        <f>VLOOKUP($I483,'Price List, Weapons &amp; Items'!B:G,6,0)</f>
        <v>.</v>
      </c>
      <c r="P483" s="1185" t="str">
        <f t="shared" si="106"/>
        <v>.</v>
      </c>
      <c r="Q483" s="1185" t="str">
        <f t="shared" si="107"/>
        <v>.</v>
      </c>
      <c r="R483" s="1185">
        <f t="shared" si="103"/>
        <v>40900000</v>
      </c>
      <c r="S483" s="1185">
        <f>IF(AND(AD483=1,R483&lt;&gt;".")=TRUE,R483/VLOOKUP(G483,'Exchange Rates'!B:C,2,0),IF(R483=".",".",""))</f>
        <v>40900000</v>
      </c>
      <c r="T483" s="1185" t="str">
        <f>IF(AD483=1,IF(AF483="Value is not given at all",".",IF(AF483="Value is given by the source",S483,IF(AF483="Value is calculated with prices",(IF(SUMIFS(Q:Q,A:A,A483)&gt;0,SUMIFS(Q:Q,A:A,A483),"."))/VLOOKUP("USD",'Exchange Rates'!B:C,2,0),"Error with coding"))),"")</f>
        <v>.</v>
      </c>
      <c r="U483" s="1184" t="s">
        <v>365</v>
      </c>
      <c r="V483" s="1017" t="s">
        <v>1616</v>
      </c>
      <c r="W483" s="1017" t="s">
        <v>1626</v>
      </c>
      <c r="X483" s="1023" t="s">
        <v>364</v>
      </c>
      <c r="Y483" s="1024" t="s">
        <v>364</v>
      </c>
      <c r="Z483" s="1184">
        <v>0</v>
      </c>
      <c r="AA483" s="1194">
        <v>0</v>
      </c>
      <c r="AB483" s="1022" t="s">
        <v>364</v>
      </c>
      <c r="AC483" s="1192" t="str">
        <f>""</f>
        <v/>
      </c>
      <c r="AD483" s="985">
        <v>1</v>
      </c>
      <c r="AE483" s="985" t="s">
        <v>368</v>
      </c>
      <c r="AF483" s="985" t="s">
        <v>369</v>
      </c>
      <c r="AG483" s="1184">
        <v>1</v>
      </c>
      <c r="AH483" s="1184">
        <v>12</v>
      </c>
      <c r="AI483" s="1193">
        <v>0</v>
      </c>
      <c r="AJ483" s="1193">
        <f>VLOOKUP($I483,'Price List, Weapons &amp; Items'!B:F,5,0)</f>
        <v>0</v>
      </c>
      <c r="AK483" s="1193">
        <f t="shared" si="108"/>
        <v>0</v>
      </c>
      <c r="AL483" s="1193">
        <f t="shared" si="109"/>
        <v>0</v>
      </c>
      <c r="AM483" s="1193">
        <f t="shared" si="110"/>
        <v>0</v>
      </c>
      <c r="AN483" s="1194" t="str">
        <f>VLOOKUP($I483,'Price List, Weapons &amp; Items'!B:L,COLUMN('Price List, Weapons &amp; Items'!$J$11)-1,0)</f>
        <v>.</v>
      </c>
      <c r="AO483" s="1194" t="str">
        <f>IF(I483=".",".",VLOOKUP($I483,'Price List, Weapons &amp; Items'!B:J,3,0))</f>
        <v>.</v>
      </c>
      <c r="AP483" s="1195" t="str">
        <f t="shared" ca="1" si="104"/>
        <v>.</v>
      </c>
      <c r="AQ483" s="1194">
        <f>VLOOKUP($I483,'Price List, Weapons &amp; Items'!B:L,COLUMN('Price List, Weapons &amp; Items'!$L$11)-1,0)</f>
        <v>0</v>
      </c>
      <c r="AR483" s="1194">
        <f t="shared" si="111"/>
        <v>1</v>
      </c>
      <c r="AS483" s="1194">
        <f t="shared" si="112"/>
        <v>0</v>
      </c>
      <c r="AT483" s="1194">
        <f t="shared" si="113"/>
        <v>1</v>
      </c>
      <c r="AU483" s="1194" t="str">
        <f t="shared" si="114"/>
        <v>.</v>
      </c>
      <c r="AV483" s="1194" t="str">
        <f t="shared" si="105"/>
        <v>.</v>
      </c>
      <c r="AW483" s="1194" t="str">
        <f t="shared" si="115"/>
        <v>.</v>
      </c>
      <c r="AX483" s="1194">
        <f>IFERROR(VLOOKUP(B483,'Share, Heavy Weapons to Ukraine'!B:Z,COLUMN('Share, Heavy Weapons to Ukraine'!C493)-1,0),0)</f>
        <v>0</v>
      </c>
      <c r="AY483" s="1194">
        <f>VLOOKUP('Bilateral Assistance, MAIN DATA'!B483,'Country Summary (€)'!B:F,COLUMN('Country Summary (€)'!C494)-1,FALSE)</f>
        <v>1</v>
      </c>
      <c r="AZ483" s="1194" t="str">
        <f>IF(AND(AD483=1,D483="Military",H483&lt;&gt;"Not given")=TRUE,IF(SUMIFS(P:P,A:A,A483)&gt;0,ABS((SUMIFS(P:P,A:A,A483)/VLOOKUP("USD",'Exchange Rates'!B:C,2,0)))/S483,"."),".")</f>
        <v>.</v>
      </c>
      <c r="BA483" s="1196" t="str">
        <f>IF(AND(AD483=1,D483="Military",H483&lt;&gt;"Not given")=TRUE,IF(SUMIFS(P:P,A:A,A483)&gt;0,IF((ABS((SUMIFS(P:P,A:A,A483)/VLOOKUP("USD",'Exchange Rates'!B:C,2,0)))/S483)&gt;1,(SUMIFS(P:P,A:A,A483)-S483)/S483,(S483-SUMIFS(P:P,A:A,A483))/SUMIFS(P:P,A:A,A483)),"."),".")</f>
        <v>.</v>
      </c>
    </row>
    <row r="484" spans="1:53" s="1194" customFormat="1" ht="15.95" customHeight="1">
      <c r="A484" s="1208" t="s">
        <v>1627</v>
      </c>
      <c r="B484" s="1208" t="s">
        <v>1523</v>
      </c>
      <c r="C484" s="1209">
        <v>45056</v>
      </c>
      <c r="D484" s="1208" t="s">
        <v>360</v>
      </c>
      <c r="E484" s="1208" t="s">
        <v>1152</v>
      </c>
      <c r="F484" s="1208" t="s">
        <v>1628</v>
      </c>
      <c r="G484" s="1184" t="s">
        <v>483</v>
      </c>
      <c r="H484" s="1210">
        <v>2000000</v>
      </c>
      <c r="I484" s="1208" t="s">
        <v>364</v>
      </c>
      <c r="J484" s="1186" t="str">
        <f>VLOOKUP($I484,'Price List, Weapons &amp; Items'!B:C,2,0)</f>
        <v>.</v>
      </c>
      <c r="K484" s="1186" t="str">
        <f>IF(I484=".",I484,VLOOKUP($I484,'Price List, Weapons &amp; Items'!B:D,3,0))</f>
        <v>.</v>
      </c>
      <c r="L484" s="1187">
        <f>VLOOKUP(I484,'Price List, Weapons &amp; Items'!B:E,4,0)</f>
        <v>0</v>
      </c>
      <c r="M484" s="1241" t="s">
        <v>364</v>
      </c>
      <c r="N484" s="1211" t="s">
        <v>364</v>
      </c>
      <c r="O484" s="1188" t="str">
        <f>VLOOKUP($I484,'Price List, Weapons &amp; Items'!B:G,6,0)</f>
        <v>.</v>
      </c>
      <c r="P484" s="1185" t="str">
        <f t="shared" si="106"/>
        <v>.</v>
      </c>
      <c r="Q484" s="1185" t="str">
        <f t="shared" si="107"/>
        <v>.</v>
      </c>
      <c r="R484" s="1185">
        <f t="shared" si="103"/>
        <v>2000000</v>
      </c>
      <c r="S484" s="1185">
        <f>IF(AND(AD484=1,R484&lt;&gt;".")=TRUE,R484/VLOOKUP(G484,'Exchange Rates'!B:C,2,0),IF(R484=".",".",""))</f>
        <v>2000000</v>
      </c>
      <c r="T484" s="1185" t="str">
        <f>IF(AD484=1,IF(AF484="Value is not given at all",".",IF(AF484="Value is given by the source",S484,IF(AF484="Value is calculated with prices",(IF(SUMIFS(Q:Q,A:A,A484)&gt;0,SUMIFS(Q:Q,A:A,A484),"."))/VLOOKUP("USD",'Exchange Rates'!B:C,2,0),"Error with coding"))),"")</f>
        <v>.</v>
      </c>
      <c r="U484" s="1184" t="s">
        <v>365</v>
      </c>
      <c r="V484" s="966" t="s">
        <v>1629</v>
      </c>
      <c r="W484" s="1262" t="s">
        <v>364</v>
      </c>
      <c r="X484" s="1208" t="s">
        <v>364</v>
      </c>
      <c r="Y484" s="1208" t="s">
        <v>364</v>
      </c>
      <c r="Z484" s="1184">
        <v>0</v>
      </c>
      <c r="AA484" s="1194">
        <v>1</v>
      </c>
      <c r="AB484" s="983" t="s">
        <v>1629</v>
      </c>
      <c r="AC484" s="1192" t="str">
        <f>""</f>
        <v/>
      </c>
      <c r="AD484" s="985">
        <v>1</v>
      </c>
      <c r="AE484" s="985" t="s">
        <v>368</v>
      </c>
      <c r="AF484" s="985" t="s">
        <v>369</v>
      </c>
      <c r="AG484" s="1184">
        <v>1</v>
      </c>
      <c r="AH484" s="1184">
        <v>17</v>
      </c>
      <c r="AI484" s="1193">
        <v>0</v>
      </c>
      <c r="AJ484" s="1193">
        <f>VLOOKUP($I484,'Price List, Weapons &amp; Items'!B:F,5,0)</f>
        <v>0</v>
      </c>
      <c r="AK484" s="1193">
        <f t="shared" si="108"/>
        <v>0</v>
      </c>
      <c r="AL484" s="1193">
        <f t="shared" si="109"/>
        <v>0</v>
      </c>
      <c r="AM484" s="1193">
        <f t="shared" si="110"/>
        <v>0</v>
      </c>
      <c r="AN484" s="1194" t="str">
        <f>VLOOKUP($I484,'Price List, Weapons &amp; Items'!B:L,COLUMN('Price List, Weapons &amp; Items'!$J$11)-1,0)</f>
        <v>.</v>
      </c>
      <c r="AO484" s="1194" t="str">
        <f>IF(I484=".",".",VLOOKUP($I484,'Price List, Weapons &amp; Items'!B:J,3,0))</f>
        <v>.</v>
      </c>
      <c r="AP484" s="1195" t="str">
        <f t="shared" ca="1" si="104"/>
        <v>.</v>
      </c>
      <c r="AQ484" s="1194">
        <f>VLOOKUP($I484,'Price List, Weapons &amp; Items'!B:L,COLUMN('Price List, Weapons &amp; Items'!$L$11)-1,0)</f>
        <v>0</v>
      </c>
      <c r="AR484" s="1194">
        <f t="shared" si="111"/>
        <v>1</v>
      </c>
      <c r="AS484" s="1194">
        <f t="shared" si="112"/>
        <v>0</v>
      </c>
      <c r="AT484" s="1194">
        <f t="shared" si="113"/>
        <v>1</v>
      </c>
      <c r="AU484" s="1194" t="str">
        <f t="shared" si="114"/>
        <v>.</v>
      </c>
      <c r="AV484" s="1194" t="str">
        <f t="shared" si="105"/>
        <v>.</v>
      </c>
      <c r="AW484" s="1194" t="str">
        <f t="shared" si="115"/>
        <v>.</v>
      </c>
      <c r="AX484" s="1194">
        <f>IFERROR(VLOOKUP(B484,'Share, Heavy Weapons to Ukraine'!B:Z,COLUMN('Share, Heavy Weapons to Ukraine'!C494)-1,0),0)</f>
        <v>0</v>
      </c>
      <c r="AY484" s="1194">
        <f>VLOOKUP('Bilateral Assistance, MAIN DATA'!B484,'Country Summary (€)'!B:F,COLUMN('Country Summary (€)'!C495)-1,FALSE)</f>
        <v>1</v>
      </c>
      <c r="AZ484" s="1194" t="str">
        <f>IF(AND(AD484=1,D484="Military",H484&lt;&gt;"Not given")=TRUE,IF(SUMIFS(P:P,A:A,A484)&gt;0,ABS((SUMIFS(P:P,A:A,A484)/VLOOKUP("USD",'Exchange Rates'!B:C,2,0)))/S484,"."),".")</f>
        <v>.</v>
      </c>
      <c r="BA484" s="1196" t="str">
        <f>IF(AND(AD484=1,D484="Military",H484&lt;&gt;"Not given")=TRUE,IF(SUMIFS(P:P,A:A,A484)&gt;0,IF((ABS((SUMIFS(P:P,A:A,A484)/VLOOKUP("USD",'Exchange Rates'!B:C,2,0)))/S484)&gt;1,(SUMIFS(P:P,A:A,A484)-S484)/S484,(S484-SUMIFS(P:P,A:A,A484))/SUMIFS(P:P,A:A,A484)),"."),".")</f>
        <v>.</v>
      </c>
    </row>
    <row r="485" spans="1:53" s="1194" customFormat="1" ht="15.95" customHeight="1">
      <c r="A485" s="1208" t="s">
        <v>1630</v>
      </c>
      <c r="B485" s="1208" t="s">
        <v>1523</v>
      </c>
      <c r="C485" s="1181">
        <v>44600</v>
      </c>
      <c r="D485" s="1208" t="s">
        <v>544</v>
      </c>
      <c r="E485" s="1208" t="s">
        <v>714</v>
      </c>
      <c r="F485" s="1183" t="s">
        <v>1631</v>
      </c>
      <c r="G485" s="1184" t="s">
        <v>483</v>
      </c>
      <c r="H485" s="1185">
        <v>200000000</v>
      </c>
      <c r="I485" s="1208" t="s">
        <v>364</v>
      </c>
      <c r="J485" s="1186" t="str">
        <f>VLOOKUP($I485,'Price List, Weapons &amp; Items'!B:C,2,0)</f>
        <v>.</v>
      </c>
      <c r="K485" s="1186" t="str">
        <f>IF(I485=".",I485,VLOOKUP($I485,'Price List, Weapons &amp; Items'!B:D,3,0))</f>
        <v>.</v>
      </c>
      <c r="L485" s="1187">
        <f>VLOOKUP(I485,'Price List, Weapons &amp; Items'!B:E,4,0)</f>
        <v>0</v>
      </c>
      <c r="M485" s="1241" t="s">
        <v>364</v>
      </c>
      <c r="N485" s="1211" t="s">
        <v>364</v>
      </c>
      <c r="O485" s="1188" t="str">
        <f>VLOOKUP($I485,'Price List, Weapons &amp; Items'!B:G,6,0)</f>
        <v>.</v>
      </c>
      <c r="P485" s="1185" t="str">
        <f t="shared" si="106"/>
        <v>.</v>
      </c>
      <c r="Q485" s="1185" t="str">
        <f t="shared" si="107"/>
        <v>.</v>
      </c>
      <c r="R485" s="1185">
        <f t="shared" si="103"/>
        <v>200000000</v>
      </c>
      <c r="S485" s="1185">
        <f>IF(AND(AD485=1,R485&lt;&gt;".")=TRUE,R485/VLOOKUP(G485,'Exchange Rates'!B:C,2,0),IF(R485=".",".",""))</f>
        <v>200000000</v>
      </c>
      <c r="T485" s="1185" t="str">
        <f>IF(AD485=1,IF(AF485="Value is not given at all",".",IF(AF485="Value is given by the source",S485,IF(AF485="Value is calculated with prices",(IF(SUMIFS(Q:Q,A:A,A485)&gt;0,SUMIFS(Q:Q,A:A,A485),"."))/VLOOKUP("USD",'Exchange Rates'!B:C,2,0),"Error with coding"))),"")</f>
        <v>.</v>
      </c>
      <c r="U485" s="1184" t="s">
        <v>365</v>
      </c>
      <c r="V485" s="966" t="s">
        <v>1632</v>
      </c>
      <c r="W485" s="966" t="s">
        <v>1633</v>
      </c>
      <c r="X485" s="973" t="s">
        <v>1634</v>
      </c>
      <c r="Y485" s="980" t="s">
        <v>1635</v>
      </c>
      <c r="Z485" s="1184">
        <v>0</v>
      </c>
      <c r="AA485" s="1194">
        <v>0</v>
      </c>
      <c r="AB485" s="1022" t="s">
        <v>364</v>
      </c>
      <c r="AC485" s="1192" t="str">
        <f>""</f>
        <v/>
      </c>
      <c r="AD485" s="985">
        <v>1</v>
      </c>
      <c r="AE485" s="985" t="s">
        <v>368</v>
      </c>
      <c r="AF485" s="985" t="s">
        <v>369</v>
      </c>
      <c r="AG485" s="1184">
        <v>1</v>
      </c>
      <c r="AH485" s="1184">
        <v>2</v>
      </c>
      <c r="AI485" s="1193">
        <v>1</v>
      </c>
      <c r="AJ485" s="1193">
        <f>VLOOKUP($I485,'Price List, Weapons &amp; Items'!B:F,5,0)</f>
        <v>0</v>
      </c>
      <c r="AK485" s="1193">
        <f t="shared" si="108"/>
        <v>0</v>
      </c>
      <c r="AL485" s="1193">
        <f t="shared" si="109"/>
        <v>0</v>
      </c>
      <c r="AM485" s="1193">
        <f t="shared" si="110"/>
        <v>0</v>
      </c>
      <c r="AN485" s="1194" t="str">
        <f>VLOOKUP($I485,'Price List, Weapons &amp; Items'!B:L,COLUMN('Price List, Weapons &amp; Items'!$J$11)-1,0)</f>
        <v>.</v>
      </c>
      <c r="AO485" s="1194" t="str">
        <f>IF(I485=".",".",VLOOKUP($I485,'Price List, Weapons &amp; Items'!B:J,3,0))</f>
        <v>.</v>
      </c>
      <c r="AP485" s="1195" t="str">
        <f t="shared" ca="1" si="104"/>
        <v>.</v>
      </c>
      <c r="AQ485" s="1194">
        <f>VLOOKUP($I485,'Price List, Weapons &amp; Items'!B:L,COLUMN('Price List, Weapons &amp; Items'!$L$11)-1,0)</f>
        <v>0</v>
      </c>
      <c r="AR485" s="1194">
        <f t="shared" si="111"/>
        <v>1</v>
      </c>
      <c r="AS485" s="1194">
        <f t="shared" si="112"/>
        <v>0</v>
      </c>
      <c r="AT485" s="1194">
        <f t="shared" si="113"/>
        <v>1</v>
      </c>
      <c r="AU485" s="1194" t="str">
        <f t="shared" si="114"/>
        <v>.</v>
      </c>
      <c r="AV485" s="1194" t="str">
        <f t="shared" si="105"/>
        <v>.</v>
      </c>
      <c r="AW485" s="1194" t="str">
        <f t="shared" si="115"/>
        <v>.</v>
      </c>
      <c r="AX485" s="1194">
        <f>IFERROR(VLOOKUP(B485,'Share, Heavy Weapons to Ukraine'!B:Z,COLUMN('Share, Heavy Weapons to Ukraine'!C495)-1,0),0)</f>
        <v>0</v>
      </c>
      <c r="AY485" s="1194">
        <f>VLOOKUP('Bilateral Assistance, MAIN DATA'!B485,'Country Summary (€)'!B:F,COLUMN('Country Summary (€)'!C496)-1,FALSE)</f>
        <v>1</v>
      </c>
      <c r="AZ485" s="1194" t="str">
        <f>IF(AND(AD485=1,D485="Military",H485&lt;&gt;"Not given")=TRUE,IF(SUMIFS(P:P,A:A,A485)&gt;0,ABS((SUMIFS(P:P,A:A,A485)/VLOOKUP("USD",'Exchange Rates'!B:C,2,0)))/S485,"."),".")</f>
        <v>.</v>
      </c>
      <c r="BA485" s="1196" t="str">
        <f>IF(AND(AD485=1,D485="Military",H485&lt;&gt;"Not given")=TRUE,IF(SUMIFS(P:P,A:A,A485)&gt;0,IF((ABS((SUMIFS(P:P,A:A,A485)/VLOOKUP("USD",'Exchange Rates'!B:C,2,0)))/S485)&gt;1,(SUMIFS(P:P,A:A,A485)-S485)/S485,(S485-SUMIFS(P:P,A:A,A485))/SUMIFS(P:P,A:A,A485)),"."),".")</f>
        <v>.</v>
      </c>
    </row>
    <row r="486" spans="1:53" ht="15.95" customHeight="1">
      <c r="A486" s="1180" t="s">
        <v>1636</v>
      </c>
      <c r="B486" s="1180" t="s">
        <v>1523</v>
      </c>
      <c r="C486" s="1181">
        <v>44617</v>
      </c>
      <c r="D486" s="1182" t="s">
        <v>544</v>
      </c>
      <c r="E486" s="1182" t="s">
        <v>714</v>
      </c>
      <c r="F486" s="1183" t="s">
        <v>1637</v>
      </c>
      <c r="G486" s="1184" t="s">
        <v>483</v>
      </c>
      <c r="H486" s="1185">
        <v>300000000</v>
      </c>
      <c r="I486" s="1180" t="s">
        <v>364</v>
      </c>
      <c r="J486" s="1186" t="str">
        <f>VLOOKUP($I486,'Price List, Weapons &amp; Items'!B:C,2,0)</f>
        <v>.</v>
      </c>
      <c r="K486" s="1186" t="str">
        <f>IF(I486=".",I486,VLOOKUP($I486,'Price List, Weapons &amp; Items'!B:D,3,0))</f>
        <v>.</v>
      </c>
      <c r="L486" s="1187">
        <f>VLOOKUP(I486,'Price List, Weapons &amp; Items'!B:E,4,0)</f>
        <v>0</v>
      </c>
      <c r="M486" s="1188" t="s">
        <v>364</v>
      </c>
      <c r="N486" s="1188" t="s">
        <v>364</v>
      </c>
      <c r="O486" s="1188" t="str">
        <f>VLOOKUP($I486,'Price List, Weapons &amp; Items'!B:G,6,0)</f>
        <v>.</v>
      </c>
      <c r="P486" s="1185" t="str">
        <f t="shared" si="106"/>
        <v>.</v>
      </c>
      <c r="Q486" s="1185" t="str">
        <f t="shared" si="107"/>
        <v>.</v>
      </c>
      <c r="R486" s="1185">
        <f t="shared" si="103"/>
        <v>300000000</v>
      </c>
      <c r="S486" s="1185">
        <f>IF(AND(AD486=1,R486&lt;&gt;".")=TRUE,R486/VLOOKUP(G486,'Exchange Rates'!B:C,2,0),IF(R486=".",".",""))</f>
        <v>300000000</v>
      </c>
      <c r="T486" s="1185" t="str">
        <f>IF(AD486=1,IF(AF486="Value is not given at all",".",IF(AF486="Value is given by the source",S486,IF(AF486="Value is calculated with prices",(IF(SUMIFS(Q:Q,A:A,A486)&gt;0,SUMIFS(Q:Q,A:A,A486),"."))/VLOOKUP("USD",'Exchange Rates'!B:C,2,0),"Error with coding"))),"")</f>
        <v>.</v>
      </c>
      <c r="U486" s="1184" t="s">
        <v>365</v>
      </c>
      <c r="V486" s="971" t="s">
        <v>1638</v>
      </c>
      <c r="W486" s="971" t="s">
        <v>1639</v>
      </c>
      <c r="X486" s="971" t="s">
        <v>1640</v>
      </c>
      <c r="Y486" s="980" t="s">
        <v>1641</v>
      </c>
      <c r="Z486" s="1184">
        <v>0</v>
      </c>
      <c r="AA486" s="1194">
        <v>0</v>
      </c>
      <c r="AB486" s="1201" t="s">
        <v>364</v>
      </c>
      <c r="AC486" s="1192" t="str">
        <f>""</f>
        <v/>
      </c>
      <c r="AD486" s="1193">
        <v>1</v>
      </c>
      <c r="AE486" s="1193" t="s">
        <v>368</v>
      </c>
      <c r="AF486" s="1193" t="s">
        <v>369</v>
      </c>
      <c r="AG486" s="1193">
        <v>1</v>
      </c>
      <c r="AH486" s="1193">
        <v>2</v>
      </c>
      <c r="AI486" s="1193">
        <v>0</v>
      </c>
      <c r="AJ486" s="1193">
        <f>VLOOKUP($I486,'Price List, Weapons &amp; Items'!B:F,5,0)</f>
        <v>0</v>
      </c>
      <c r="AK486" s="1193">
        <f t="shared" si="108"/>
        <v>0</v>
      </c>
      <c r="AL486" s="1193">
        <f t="shared" si="109"/>
        <v>0</v>
      </c>
      <c r="AM486" s="1193">
        <f t="shared" si="110"/>
        <v>0</v>
      </c>
      <c r="AN486" s="1194" t="str">
        <f>VLOOKUP($I486,'Price List, Weapons &amp; Items'!B:L,COLUMN('Price List, Weapons &amp; Items'!$J$11)-1,0)</f>
        <v>.</v>
      </c>
      <c r="AO486" s="1194" t="str">
        <f>IF(I486=".",".",VLOOKUP($I486,'Price List, Weapons &amp; Items'!B:J,3,0))</f>
        <v>.</v>
      </c>
      <c r="AP486" s="1195" t="str">
        <f t="shared" ca="1" si="104"/>
        <v>.</v>
      </c>
      <c r="AQ486" s="1194">
        <f>VLOOKUP($I486,'Price List, Weapons &amp; Items'!B:L,COLUMN('Price List, Weapons &amp; Items'!$L$11)-1,0)</f>
        <v>0</v>
      </c>
      <c r="AR486" s="1194">
        <f t="shared" si="111"/>
        <v>1</v>
      </c>
      <c r="AS486" s="1194">
        <f t="shared" si="112"/>
        <v>0</v>
      </c>
      <c r="AT486" s="1194">
        <f t="shared" si="113"/>
        <v>1</v>
      </c>
      <c r="AU486" s="1194" t="str">
        <f t="shared" si="114"/>
        <v>.</v>
      </c>
      <c r="AV486" s="1194" t="str">
        <f t="shared" si="105"/>
        <v>.</v>
      </c>
      <c r="AW486" s="1194" t="str">
        <f t="shared" si="115"/>
        <v>.</v>
      </c>
      <c r="AX486" s="1194">
        <f>IFERROR(VLOOKUP(B486,'Share, Heavy Weapons to Ukraine'!B:Z,COLUMN('Share, Heavy Weapons to Ukraine'!C496)-1,0),0)</f>
        <v>0</v>
      </c>
      <c r="AY486" s="1194">
        <f>VLOOKUP('Bilateral Assistance, MAIN DATA'!B486,'Country Summary (€)'!B:F,COLUMN('Country Summary (€)'!C497)-1,FALSE)</f>
        <v>1</v>
      </c>
      <c r="AZ486" s="1194" t="str">
        <f>IF(AND(AD486=1,D486="Military",H486&lt;&gt;"Not given")=TRUE,IF(SUMIFS(P:P,A:A,A486)&gt;0,ABS((SUMIFS(P:P,A:A,A486)/VLOOKUP("USD",'Exchange Rates'!B:C,2,0)))/S486,"."),".")</f>
        <v>.</v>
      </c>
      <c r="BA486" s="1196" t="str">
        <f>IF(AND(AD486=1,D486="Military",H486&lt;&gt;"Not given")=TRUE,IF(SUMIFS(P:P,A:A,A486)&gt;0,IF((ABS((SUMIFS(P:P,A:A,A486)/VLOOKUP("USD",'Exchange Rates'!B:C,2,0)))/S486)&gt;1,(SUMIFS(P:P,A:A,A486)-S486)/S486,(S486-SUMIFS(P:P,A:A,A486))/SUMIFS(P:P,A:A,A486)),"."),".")</f>
        <v>.</v>
      </c>
    </row>
    <row r="487" spans="1:53" ht="15.95" customHeight="1">
      <c r="A487" s="1180" t="s">
        <v>1642</v>
      </c>
      <c r="B487" s="1180" t="s">
        <v>1523</v>
      </c>
      <c r="C487" s="1181">
        <v>44893</v>
      </c>
      <c r="D487" s="1182" t="s">
        <v>544</v>
      </c>
      <c r="E487" s="1182" t="s">
        <v>714</v>
      </c>
      <c r="F487" s="1183" t="s">
        <v>1643</v>
      </c>
      <c r="G487" s="1184" t="s">
        <v>483</v>
      </c>
      <c r="H487" s="1185">
        <v>100000000</v>
      </c>
      <c r="I487" s="1180" t="s">
        <v>364</v>
      </c>
      <c r="J487" s="1186" t="str">
        <f>VLOOKUP($I487,'Price List, Weapons &amp; Items'!B:C,2,0)</f>
        <v>.</v>
      </c>
      <c r="K487" s="1186" t="str">
        <f>IF(I487=".",I487,VLOOKUP($I487,'Price List, Weapons &amp; Items'!B:D,3,0))</f>
        <v>.</v>
      </c>
      <c r="L487" s="1187">
        <f>VLOOKUP(I487,'Price List, Weapons &amp; Items'!B:E,4,0)</f>
        <v>0</v>
      </c>
      <c r="M487" s="1188" t="s">
        <v>364</v>
      </c>
      <c r="N487" s="1188" t="s">
        <v>364</v>
      </c>
      <c r="O487" s="1188" t="str">
        <f>VLOOKUP($I487,'Price List, Weapons &amp; Items'!B:G,6,0)</f>
        <v>.</v>
      </c>
      <c r="P487" s="1185" t="str">
        <f t="shared" si="106"/>
        <v>.</v>
      </c>
      <c r="Q487" s="1185" t="str">
        <f t="shared" si="107"/>
        <v>.</v>
      </c>
      <c r="R487" s="1185">
        <f t="shared" si="103"/>
        <v>100000000</v>
      </c>
      <c r="S487" s="1185">
        <f>IF(AND(AD487=1,R487&lt;&gt;".")=TRUE,R487/VLOOKUP(G487,'Exchange Rates'!B:C,2,0),IF(R487=".",".",""))</f>
        <v>100000000</v>
      </c>
      <c r="T487" s="1185" t="str">
        <f>IF(AD487=1,IF(AF487="Value is not given at all",".",IF(AF487="Value is given by the source",S487,IF(AF487="Value is calculated with prices",(IF(SUMIFS(Q:Q,A:A,A487)&gt;0,SUMIFS(Q:Q,A:A,A487),"."))/VLOOKUP("USD",'Exchange Rates'!B:C,2,0),"Error with coding"))),"")</f>
        <v>.</v>
      </c>
      <c r="U487" s="1184" t="s">
        <v>365</v>
      </c>
      <c r="V487" s="973" t="s">
        <v>1644</v>
      </c>
      <c r="W487" s="1025" t="s">
        <v>1645</v>
      </c>
      <c r="X487" s="994" t="s">
        <v>1646</v>
      </c>
      <c r="Y487" s="994" t="s">
        <v>1647</v>
      </c>
      <c r="Z487" s="1184">
        <v>0</v>
      </c>
      <c r="AA487" s="1194">
        <v>0</v>
      </c>
      <c r="AB487" s="1026" t="s">
        <v>1645</v>
      </c>
      <c r="AC487" s="1192" t="str">
        <f>""</f>
        <v/>
      </c>
      <c r="AD487" s="1193">
        <v>1</v>
      </c>
      <c r="AE487" s="1193" t="s">
        <v>368</v>
      </c>
      <c r="AF487" s="1193" t="s">
        <v>369</v>
      </c>
      <c r="AG487" s="1193">
        <v>1</v>
      </c>
      <c r="AH487" s="1193">
        <v>11</v>
      </c>
      <c r="AI487" s="1193">
        <v>0</v>
      </c>
      <c r="AJ487" s="1193">
        <f>VLOOKUP($I487,'Price List, Weapons &amp; Items'!B:F,5,0)</f>
        <v>0</v>
      </c>
      <c r="AK487" s="1193">
        <f t="shared" si="108"/>
        <v>0</v>
      </c>
      <c r="AL487" s="1193">
        <f t="shared" si="109"/>
        <v>0</v>
      </c>
      <c r="AM487" s="1193">
        <f t="shared" si="110"/>
        <v>0</v>
      </c>
      <c r="AN487" s="1194" t="str">
        <f>VLOOKUP($I487,'Price List, Weapons &amp; Items'!B:L,COLUMN('Price List, Weapons &amp; Items'!$J$11)-1,0)</f>
        <v>.</v>
      </c>
      <c r="AO487" s="1194" t="str">
        <f>IF(I487=".",".",VLOOKUP($I487,'Price List, Weapons &amp; Items'!B:J,3,0))</f>
        <v>.</v>
      </c>
      <c r="AP487" s="1195" t="str">
        <f t="shared" ca="1" si="104"/>
        <v>.</v>
      </c>
      <c r="AQ487" s="1194">
        <f>VLOOKUP($I487,'Price List, Weapons &amp; Items'!B:L,COLUMN('Price List, Weapons &amp; Items'!$L$11)-1,0)</f>
        <v>0</v>
      </c>
      <c r="AR487" s="1194">
        <f t="shared" si="111"/>
        <v>1</v>
      </c>
      <c r="AS487" s="1194">
        <f t="shared" si="112"/>
        <v>0</v>
      </c>
      <c r="AT487" s="1194">
        <f t="shared" si="113"/>
        <v>1</v>
      </c>
      <c r="AU487" s="1194" t="str">
        <f t="shared" si="114"/>
        <v>.</v>
      </c>
      <c r="AV487" s="1194" t="str">
        <f t="shared" si="105"/>
        <v>.</v>
      </c>
      <c r="AW487" s="1194" t="str">
        <f t="shared" si="115"/>
        <v>.</v>
      </c>
      <c r="AX487" s="1194">
        <f>IFERROR(VLOOKUP(B487,'Share, Heavy Weapons to Ukraine'!B:Z,COLUMN('Share, Heavy Weapons to Ukraine'!C497)-1,0),0)</f>
        <v>0</v>
      </c>
      <c r="AY487" s="1194">
        <f>VLOOKUP('Bilateral Assistance, MAIN DATA'!B487,'Country Summary (€)'!B:F,COLUMN('Country Summary (€)'!C498)-1,FALSE)</f>
        <v>1</v>
      </c>
      <c r="AZ487" s="1194" t="str">
        <f>IF(AND(AD487=1,D487="Military",H487&lt;&gt;"Not given")=TRUE,IF(SUMIFS(P:P,A:A,A487)&gt;0,ABS((SUMIFS(P:P,A:A,A487)/VLOOKUP("USD",'Exchange Rates'!B:C,2,0)))/S487,"."),".")</f>
        <v>.</v>
      </c>
      <c r="BA487" s="1196" t="str">
        <f>IF(AND(AD487=1,D487="Military",H487&lt;&gt;"Not given")=TRUE,IF(SUMIFS(P:P,A:A,A487)&gt;0,IF((ABS((SUMIFS(P:P,A:A,A487)/VLOOKUP("USD",'Exchange Rates'!B:C,2,0)))/S487)&gt;1,(SUMIFS(P:P,A:A,A487)-S487)/S487,(S487-SUMIFS(P:P,A:A,A487))/SUMIFS(P:P,A:A,A487)),"."),".")</f>
        <v>.</v>
      </c>
    </row>
    <row r="488" spans="1:53" ht="15.95" customHeight="1">
      <c r="A488" s="1180" t="s">
        <v>1648</v>
      </c>
      <c r="B488" s="1180" t="s">
        <v>1523</v>
      </c>
      <c r="C488" s="1181">
        <v>44908</v>
      </c>
      <c r="D488" s="1182" t="s">
        <v>544</v>
      </c>
      <c r="E488" s="1182" t="s">
        <v>714</v>
      </c>
      <c r="F488" s="1183" t="s">
        <v>1649</v>
      </c>
      <c r="G488" s="1184" t="s">
        <v>483</v>
      </c>
      <c r="H488" s="1185">
        <v>49400000</v>
      </c>
      <c r="I488" s="1180" t="s">
        <v>364</v>
      </c>
      <c r="J488" s="1186" t="str">
        <f>VLOOKUP($I488,'Price List, Weapons &amp; Items'!B:C,2,0)</f>
        <v>.</v>
      </c>
      <c r="K488" s="1186" t="str">
        <f>IF(I488=".",I488,VLOOKUP($I488,'Price List, Weapons &amp; Items'!B:D,3,0))</f>
        <v>.</v>
      </c>
      <c r="L488" s="1187">
        <f>VLOOKUP(I488,'Price List, Weapons &amp; Items'!B:E,4,0)</f>
        <v>0</v>
      </c>
      <c r="M488" s="1188" t="s">
        <v>364</v>
      </c>
      <c r="N488" s="1188" t="s">
        <v>364</v>
      </c>
      <c r="O488" s="1188" t="str">
        <f>VLOOKUP($I488,'Price List, Weapons &amp; Items'!B:G,6,0)</f>
        <v>.</v>
      </c>
      <c r="P488" s="1185" t="str">
        <f t="shared" si="106"/>
        <v>.</v>
      </c>
      <c r="Q488" s="1185" t="str">
        <f t="shared" si="107"/>
        <v>.</v>
      </c>
      <c r="R488" s="1185">
        <f t="shared" si="103"/>
        <v>49400000</v>
      </c>
      <c r="S488" s="1185">
        <f>IF(AND(AD488=1,R488&lt;&gt;".")=TRUE,R488/VLOOKUP(G488,'Exchange Rates'!B:C,2,0),IF(R488=".",".",""))</f>
        <v>49400000</v>
      </c>
      <c r="T488" s="1185" t="str">
        <f>IF(AD488=1,IF(AF488="Value is not given at all",".",IF(AF488="Value is given by the source",S488,IF(AF488="Value is calculated with prices",(IF(SUMIFS(Q:Q,A:A,A488)&gt;0,SUMIFS(Q:Q,A:A,A488),"."))/VLOOKUP("USD",'Exchange Rates'!B:C,2,0),"Error with coding"))),"")</f>
        <v>.</v>
      </c>
      <c r="U488" s="1184" t="s">
        <v>365</v>
      </c>
      <c r="V488" s="973" t="s">
        <v>1650</v>
      </c>
      <c r="W488" s="1025" t="s">
        <v>1617</v>
      </c>
      <c r="X488" s="1027" t="s">
        <v>364</v>
      </c>
      <c r="Y488" s="1027" t="s">
        <v>364</v>
      </c>
      <c r="Z488" s="1184">
        <v>0</v>
      </c>
      <c r="AA488" s="1194">
        <v>0</v>
      </c>
      <c r="AB488" s="1028" t="s">
        <v>364</v>
      </c>
      <c r="AC488" s="1192" t="str">
        <f>""</f>
        <v/>
      </c>
      <c r="AD488" s="1193">
        <v>1</v>
      </c>
      <c r="AE488" s="1193" t="s">
        <v>368</v>
      </c>
      <c r="AF488" s="1193" t="s">
        <v>369</v>
      </c>
      <c r="AG488" s="1193">
        <v>1</v>
      </c>
      <c r="AH488" s="1193">
        <v>12</v>
      </c>
      <c r="AI488" s="1193">
        <v>0</v>
      </c>
      <c r="AJ488" s="1193">
        <f>VLOOKUP($I488,'Price List, Weapons &amp; Items'!B:F,5,0)</f>
        <v>0</v>
      </c>
      <c r="AK488" s="1193">
        <f t="shared" si="108"/>
        <v>0</v>
      </c>
      <c r="AL488" s="1193">
        <f t="shared" si="109"/>
        <v>0</v>
      </c>
      <c r="AM488" s="1193">
        <f t="shared" si="110"/>
        <v>0</v>
      </c>
      <c r="AN488" s="1194" t="str">
        <f>VLOOKUP($I488,'Price List, Weapons &amp; Items'!B:L,COLUMN('Price List, Weapons &amp; Items'!$J$11)-1,0)</f>
        <v>.</v>
      </c>
      <c r="AO488" s="1194" t="str">
        <f>IF(I488=".",".",VLOOKUP($I488,'Price List, Weapons &amp; Items'!B:J,3,0))</f>
        <v>.</v>
      </c>
      <c r="AP488" s="1195" t="str">
        <f t="shared" ca="1" si="104"/>
        <v>.</v>
      </c>
      <c r="AQ488" s="1194">
        <f>VLOOKUP($I488,'Price List, Weapons &amp; Items'!B:L,COLUMN('Price List, Weapons &amp; Items'!$L$11)-1,0)</f>
        <v>0</v>
      </c>
      <c r="AR488" s="1194">
        <f t="shared" si="111"/>
        <v>1</v>
      </c>
      <c r="AS488" s="1194">
        <f t="shared" si="112"/>
        <v>0</v>
      </c>
      <c r="AT488" s="1194">
        <f t="shared" si="113"/>
        <v>1</v>
      </c>
      <c r="AU488" s="1194" t="str">
        <f t="shared" si="114"/>
        <v>.</v>
      </c>
      <c r="AV488" s="1194" t="str">
        <f t="shared" si="105"/>
        <v>.</v>
      </c>
      <c r="AW488" s="1194" t="str">
        <f t="shared" si="115"/>
        <v>.</v>
      </c>
      <c r="AX488" s="1194">
        <f>IFERROR(VLOOKUP(B488,'Share, Heavy Weapons to Ukraine'!B:Z,COLUMN('Share, Heavy Weapons to Ukraine'!C498)-1,0),0)</f>
        <v>0</v>
      </c>
      <c r="AY488" s="1194">
        <f>VLOOKUP('Bilateral Assistance, MAIN DATA'!B488,'Country Summary (€)'!B:F,COLUMN('Country Summary (€)'!C499)-1,FALSE)</f>
        <v>1</v>
      </c>
      <c r="AZ488" s="1194" t="str">
        <f>IF(AND(AD488=1,D488="Military",H488&lt;&gt;"Not given")=TRUE,IF(SUMIFS(P:P,A:A,A488)&gt;0,ABS((SUMIFS(P:P,A:A,A488)/VLOOKUP("USD",'Exchange Rates'!B:C,2,0)))/S488,"."),".")</f>
        <v>.</v>
      </c>
      <c r="BA488" s="1196" t="str">
        <f>IF(AND(AD488=1,D488="Military",H488&lt;&gt;"Not given")=TRUE,IF(SUMIFS(P:P,A:A,A488)&gt;0,IF((ABS((SUMIFS(P:P,A:A,A488)/VLOOKUP("USD",'Exchange Rates'!B:C,2,0)))/S488)&gt;1,(SUMIFS(P:P,A:A,A488)-S488)/S488,(S488-SUMIFS(P:P,A:A,A488))/SUMIFS(P:P,A:A,A488)),"."),".")</f>
        <v>.</v>
      </c>
    </row>
    <row r="489" spans="1:53" ht="15.95" customHeight="1">
      <c r="A489" s="1180" t="s">
        <v>1651</v>
      </c>
      <c r="B489" s="1180" t="s">
        <v>1523</v>
      </c>
      <c r="C489" s="1181">
        <v>44908</v>
      </c>
      <c r="D489" s="1182" t="s">
        <v>544</v>
      </c>
      <c r="E489" s="1182" t="s">
        <v>714</v>
      </c>
      <c r="F489" s="1183" t="s">
        <v>1649</v>
      </c>
      <c r="G489" s="1184" t="s">
        <v>483</v>
      </c>
      <c r="H489" s="1185">
        <v>50000000</v>
      </c>
      <c r="I489" s="1180" t="s">
        <v>364</v>
      </c>
      <c r="J489" s="1186" t="str">
        <f>VLOOKUP($I489,'Price List, Weapons &amp; Items'!B:C,2,0)</f>
        <v>.</v>
      </c>
      <c r="K489" s="1186" t="str">
        <f>IF(I489=".",I489,VLOOKUP($I489,'Price List, Weapons &amp; Items'!B:D,3,0))</f>
        <v>.</v>
      </c>
      <c r="L489" s="1187">
        <f>VLOOKUP(I489,'Price List, Weapons &amp; Items'!B:E,4,0)</f>
        <v>0</v>
      </c>
      <c r="M489" s="1188" t="s">
        <v>364</v>
      </c>
      <c r="N489" s="1188" t="s">
        <v>364</v>
      </c>
      <c r="O489" s="1188" t="str">
        <f>VLOOKUP($I489,'Price List, Weapons &amp; Items'!B:G,6,0)</f>
        <v>.</v>
      </c>
      <c r="P489" s="1185" t="str">
        <f t="shared" si="106"/>
        <v>.</v>
      </c>
      <c r="Q489" s="1185" t="str">
        <f t="shared" si="107"/>
        <v>.</v>
      </c>
      <c r="R489" s="1185">
        <f t="shared" si="103"/>
        <v>50000000</v>
      </c>
      <c r="S489" s="1185">
        <f>IF(AND(AD489=1,R489&lt;&gt;".")=TRUE,R489/VLOOKUP(G489,'Exchange Rates'!B:C,2,0),IF(R489=".",".",""))</f>
        <v>50000000</v>
      </c>
      <c r="T489" s="1185" t="str">
        <f>IF(AD489=1,IF(AF489="Value is not given at all",".",IF(AF489="Value is given by the source",S489,IF(AF489="Value is calculated with prices",(IF(SUMIFS(Q:Q,A:A,A489)&gt;0,SUMIFS(Q:Q,A:A,A489),"."))/VLOOKUP("USD",'Exchange Rates'!B:C,2,0),"Error with coding"))),"")</f>
        <v>.</v>
      </c>
      <c r="U489" s="1184" t="s">
        <v>365</v>
      </c>
      <c r="V489" s="973" t="s">
        <v>1650</v>
      </c>
      <c r="W489" s="1025" t="s">
        <v>1617</v>
      </c>
      <c r="X489" s="1027" t="s">
        <v>364</v>
      </c>
      <c r="Y489" s="1027" t="s">
        <v>364</v>
      </c>
      <c r="Z489" s="1184">
        <v>0</v>
      </c>
      <c r="AA489" s="1194">
        <v>0</v>
      </c>
      <c r="AB489" s="1028" t="s">
        <v>364</v>
      </c>
      <c r="AC489" s="1192" t="str">
        <f>""</f>
        <v/>
      </c>
      <c r="AD489" s="1193">
        <v>1</v>
      </c>
      <c r="AE489" s="1193" t="s">
        <v>368</v>
      </c>
      <c r="AF489" s="1193" t="s">
        <v>369</v>
      </c>
      <c r="AG489" s="1193">
        <v>1</v>
      </c>
      <c r="AH489" s="1193">
        <v>12</v>
      </c>
      <c r="AI489" s="1193">
        <v>0</v>
      </c>
      <c r="AJ489" s="1193">
        <f>VLOOKUP($I489,'Price List, Weapons &amp; Items'!B:F,5,0)</f>
        <v>0</v>
      </c>
      <c r="AK489" s="1193">
        <f t="shared" si="108"/>
        <v>0</v>
      </c>
      <c r="AL489" s="1193">
        <f t="shared" si="109"/>
        <v>0</v>
      </c>
      <c r="AM489" s="1193">
        <f t="shared" si="110"/>
        <v>0</v>
      </c>
      <c r="AN489" s="1194" t="str">
        <f>VLOOKUP($I489,'Price List, Weapons &amp; Items'!B:L,COLUMN('Price List, Weapons &amp; Items'!$J$11)-1,0)</f>
        <v>.</v>
      </c>
      <c r="AO489" s="1194" t="str">
        <f>IF(I489=".",".",VLOOKUP($I489,'Price List, Weapons &amp; Items'!B:J,3,0))</f>
        <v>.</v>
      </c>
      <c r="AP489" s="1195" t="str">
        <f t="shared" ca="1" si="104"/>
        <v>.</v>
      </c>
      <c r="AQ489" s="1194">
        <f>VLOOKUP($I489,'Price List, Weapons &amp; Items'!B:L,COLUMN('Price List, Weapons &amp; Items'!$L$11)-1,0)</f>
        <v>0</v>
      </c>
      <c r="AR489" s="1194">
        <f t="shared" si="111"/>
        <v>1</v>
      </c>
      <c r="AS489" s="1194">
        <f t="shared" si="112"/>
        <v>0</v>
      </c>
      <c r="AT489" s="1194">
        <f t="shared" si="113"/>
        <v>1</v>
      </c>
      <c r="AU489" s="1194" t="str">
        <f t="shared" si="114"/>
        <v>.</v>
      </c>
      <c r="AV489" s="1194" t="str">
        <f t="shared" si="105"/>
        <v>.</v>
      </c>
      <c r="AW489" s="1194" t="str">
        <f t="shared" si="115"/>
        <v>.</v>
      </c>
      <c r="AX489" s="1194">
        <f>IFERROR(VLOOKUP(B489,'Share, Heavy Weapons to Ukraine'!B:Z,COLUMN('Share, Heavy Weapons to Ukraine'!C499)-1,0),0)</f>
        <v>0</v>
      </c>
      <c r="AY489" s="1194">
        <f>VLOOKUP('Bilateral Assistance, MAIN DATA'!B489,'Country Summary (€)'!B:F,COLUMN('Country Summary (€)'!C500)-1,FALSE)</f>
        <v>1</v>
      </c>
      <c r="AZ489" s="1194" t="str">
        <f>IF(AND(AD489=1,D489="Military",H489&lt;&gt;"Not given")=TRUE,IF(SUMIFS(P:P,A:A,A489)&gt;0,ABS((SUMIFS(P:P,A:A,A489)/VLOOKUP("USD",'Exchange Rates'!B:C,2,0)))/S489,"."),".")</f>
        <v>.</v>
      </c>
      <c r="BA489" s="1196" t="str">
        <f>IF(AND(AD489=1,D489="Military",H489&lt;&gt;"Not given")=TRUE,IF(SUMIFS(P:P,A:A,A489)&gt;0,IF((ABS((SUMIFS(P:P,A:A,A489)/VLOOKUP("USD",'Exchange Rates'!B:C,2,0)))/S489)&gt;1,(SUMIFS(P:P,A:A,A489)-S489)/S489,(S489-SUMIFS(P:P,A:A,A489))/SUMIFS(P:P,A:A,A489)),"."),".")</f>
        <v>.</v>
      </c>
    </row>
    <row r="490" spans="1:53" ht="15.95" customHeight="1">
      <c r="A490" s="1180" t="s">
        <v>1652</v>
      </c>
      <c r="B490" s="1180" t="s">
        <v>1523</v>
      </c>
      <c r="C490" s="1181" t="s">
        <v>1653</v>
      </c>
      <c r="D490" s="1182" t="s">
        <v>389</v>
      </c>
      <c r="E490" s="1182" t="s">
        <v>390</v>
      </c>
      <c r="F490" s="1183" t="s">
        <v>1654</v>
      </c>
      <c r="G490" s="1184" t="s">
        <v>483</v>
      </c>
      <c r="H490" s="1185">
        <v>100000000</v>
      </c>
      <c r="I490" s="1180" t="s">
        <v>1655</v>
      </c>
      <c r="J490" s="1186" t="str">
        <f>VLOOKUP($I490,'Price List, Weapons &amp; Items'!B:C,2,0)</f>
        <v>Ammunition for portable defence system</v>
      </c>
      <c r="K490" s="1186" t="str">
        <f>IF(I490=".",I490,VLOOKUP($I490,'Price List, Weapons &amp; Items'!B:D,3,0))</f>
        <v>Light Anti-armor Weapon (LAW)</v>
      </c>
      <c r="L490" s="1187">
        <f>VLOOKUP(I490,'Price List, Weapons &amp; Items'!B:E,4,0)</f>
        <v>0</v>
      </c>
      <c r="M490" s="1188">
        <v>24</v>
      </c>
      <c r="N490" s="1188">
        <v>24</v>
      </c>
      <c r="O490" s="1188">
        <f>VLOOKUP($I490,'Price List, Weapons &amp; Items'!B:G,6,0)</f>
        <v>122527.7</v>
      </c>
      <c r="P490" s="1185">
        <f t="shared" si="106"/>
        <v>2940664.8</v>
      </c>
      <c r="Q490" s="1185">
        <f t="shared" si="107"/>
        <v>2940664.8</v>
      </c>
      <c r="R490" s="1185">
        <f t="shared" si="103"/>
        <v>100000000</v>
      </c>
      <c r="S490" s="1185">
        <f>IF(AND(AD490=1,R490&lt;&gt;".")=TRUE,R490/VLOOKUP(G490,'Exchange Rates'!B:C,2,0),IF(R490=".",".",""))</f>
        <v>100000000</v>
      </c>
      <c r="T490" s="1185">
        <f>IF(AD490=1,IF(AF490="Value is not given at all",".",IF(AF490="Value is given by the source",S490,IF(AF490="Value is calculated with prices",(IF(SUMIFS(Q:Q,A:A,A490)&gt;0,SUMIFS(Q:Q,A:A,A490),"."))/VLOOKUP("USD",'Exchange Rates'!B:C,2,0),"Error with coding"))),"")</f>
        <v>100000000</v>
      </c>
      <c r="U490" s="1184" t="s">
        <v>365</v>
      </c>
      <c r="V490" s="971" t="s">
        <v>1656</v>
      </c>
      <c r="W490" s="971" t="s">
        <v>1657</v>
      </c>
      <c r="X490" s="971" t="s">
        <v>1658</v>
      </c>
      <c r="Y490" s="971" t="s">
        <v>1659</v>
      </c>
      <c r="Z490" s="1184">
        <v>0</v>
      </c>
      <c r="AA490" s="1194">
        <v>0</v>
      </c>
      <c r="AB490" s="975" t="s">
        <v>1660</v>
      </c>
      <c r="AC490" s="1192" t="str">
        <f>""</f>
        <v/>
      </c>
      <c r="AD490" s="1193">
        <v>1</v>
      </c>
      <c r="AE490" s="1193" t="s">
        <v>368</v>
      </c>
      <c r="AF490" s="1193" t="s">
        <v>368</v>
      </c>
      <c r="AG490" s="1193">
        <v>1</v>
      </c>
      <c r="AH490" s="1193">
        <v>4</v>
      </c>
      <c r="AI490" s="1193">
        <v>0</v>
      </c>
      <c r="AJ490" s="1193">
        <f>VLOOKUP($I490,'Price List, Weapons &amp; Items'!B:F,5,0)</f>
        <v>0</v>
      </c>
      <c r="AK490" s="1193">
        <f t="shared" si="108"/>
        <v>0</v>
      </c>
      <c r="AL490" s="1193">
        <f t="shared" si="109"/>
        <v>0</v>
      </c>
      <c r="AM490" s="1193">
        <f t="shared" si="110"/>
        <v>0</v>
      </c>
      <c r="AN490" s="1194" t="str">
        <f>VLOOKUP($I490,'Price List, Weapons &amp; Items'!B:L,COLUMN('Price List, Weapons &amp; Items'!$J$11)-1,0)</f>
        <v>Contracts</v>
      </c>
      <c r="AO490" s="1194" t="str">
        <f>IF(I490=".",".",VLOOKUP($I490,'Price List, Weapons &amp; Items'!B:J,3,0))</f>
        <v>Light Anti-armor Weapon (LAW)</v>
      </c>
      <c r="AP490" s="1195" t="str">
        <f t="shared" ca="1" si="104"/>
        <v>Milan</v>
      </c>
      <c r="AQ490" s="1194">
        <f>VLOOKUP($I490,'Price List, Weapons &amp; Items'!B:L,COLUMN('Price List, Weapons &amp; Items'!$L$11)-1,0)</f>
        <v>2</v>
      </c>
      <c r="AR490" s="1194">
        <f t="shared" si="111"/>
        <v>1</v>
      </c>
      <c r="AS490" s="1194">
        <f t="shared" si="112"/>
        <v>1</v>
      </c>
      <c r="AT490" s="1194" t="str">
        <f t="shared" si="113"/>
        <v>Value is not in date format</v>
      </c>
      <c r="AU490" s="1194" t="str">
        <f t="shared" si="114"/>
        <v>.</v>
      </c>
      <c r="AV490" s="1194" t="str">
        <f t="shared" si="105"/>
        <v>.</v>
      </c>
      <c r="AW490" s="1194" t="str">
        <f t="shared" si="115"/>
        <v>.</v>
      </c>
      <c r="AX490" s="1194">
        <f>IFERROR(VLOOKUP(B490,'Share, Heavy Weapons to Ukraine'!B:Z,COLUMN('Share, Heavy Weapons to Ukraine'!C500)-1,0),0)</f>
        <v>0</v>
      </c>
      <c r="AY490" s="1194">
        <f>VLOOKUP('Bilateral Assistance, MAIN DATA'!B490,'Country Summary (€)'!B:F,COLUMN('Country Summary (€)'!C501)-1,FALSE)</f>
        <v>1</v>
      </c>
      <c r="AZ490" s="1194">
        <f>IF(AND(AD490=1,D490="Military",H490&lt;&gt;"Not given")=TRUE,IF(SUMIFS(P:P,A:A,A490)&gt;0,ABS((SUMIFS(P:P,A:A,A490)/VLOOKUP("USD",'Exchange Rates'!B:C,2,0)))/S490,"."),".")</f>
        <v>0.72772071287304063</v>
      </c>
      <c r="BA490" s="1196">
        <f>IF(AND(AD490=1,D490="Military",H490&lt;&gt;"Not given")=TRUE,IF(SUMIFS(P:P,A:A,A490)&gt;0,IF((ABS((SUMIFS(P:P,A:A,A490)/VLOOKUP("USD",'Exchange Rates'!B:C,2,0)))/S490)&gt;1,(SUMIFS(P:P,A:A,A490)-S490)/S490,(S490-SUMIFS(P:P,A:A,A490))/SUMIFS(P:P,A:A,A490)),"."),".")</f>
        <v>0.26440333881275052</v>
      </c>
    </row>
    <row r="491" spans="1:53" ht="15.95" customHeight="1">
      <c r="A491" s="1180" t="s">
        <v>1652</v>
      </c>
      <c r="B491" s="1180" t="s">
        <v>1523</v>
      </c>
      <c r="C491" s="1181">
        <v>44674</v>
      </c>
      <c r="D491" s="1182" t="s">
        <v>389</v>
      </c>
      <c r="E491" s="1182" t="s">
        <v>443</v>
      </c>
      <c r="F491" s="1183" t="s">
        <v>1654</v>
      </c>
      <c r="G491" s="1184" t="s">
        <v>456</v>
      </c>
      <c r="H491" s="1185">
        <v>100000000</v>
      </c>
      <c r="I491" s="1180" t="s">
        <v>1283</v>
      </c>
      <c r="J491" s="1186" t="str">
        <f>VLOOKUP($I491,'Price List, Weapons &amp; Items'!B:C,2,0)</f>
        <v>Heavy weapon</v>
      </c>
      <c r="K491" s="1186" t="str">
        <f>IF(I491=".",I491,VLOOKUP($I491,'Price List, Weapons &amp; Items'!B:D,3,0))</f>
        <v>155mm howitzer</v>
      </c>
      <c r="L491" s="1187">
        <f>VLOOKUP(I491,'Price List, Weapons &amp; Items'!B:E,4,0)</f>
        <v>0</v>
      </c>
      <c r="M491" s="1188">
        <v>12</v>
      </c>
      <c r="N491" s="1188">
        <v>12</v>
      </c>
      <c r="O491" s="1188">
        <f>VLOOKUP($I491,'Price List, Weapons &amp; Items'!B:G,6,0)</f>
        <v>6345668.5229201708</v>
      </c>
      <c r="P491" s="1185">
        <f t="shared" si="106"/>
        <v>76148022.275042057</v>
      </c>
      <c r="Q491" s="1185">
        <f t="shared" si="107"/>
        <v>76148022.275042057</v>
      </c>
      <c r="R491" s="1185" t="str">
        <f t="shared" si="103"/>
        <v/>
      </c>
      <c r="S491" s="1185" t="str">
        <f>IF(AND(AD491=1,R491&lt;&gt;".")=TRUE,R491/VLOOKUP(G491,'Exchange Rates'!B:C,2,0),IF(R491=".",".",""))</f>
        <v/>
      </c>
      <c r="T491" s="1185" t="str">
        <f>IF(AD491=1,IF(AF491="Value is not given at all",".",IF(AF491="Value is given by the source",S491,IF(AF491="Value is calculated with prices",(IF(SUMIFS(Q:Q,A:A,A491)&gt;0,SUMIFS(Q:Q,A:A,A491),"."))/VLOOKUP("USD",'Exchange Rates'!B:C,2,0),"Error with coding"))),"")</f>
        <v/>
      </c>
      <c r="U491" s="1184" t="s">
        <v>365</v>
      </c>
      <c r="V491" s="987" t="s">
        <v>1661</v>
      </c>
      <c r="W491" s="971" t="s">
        <v>1658</v>
      </c>
      <c r="X491" s="987" t="s">
        <v>1661</v>
      </c>
      <c r="Y491" s="1277" t="s">
        <v>364</v>
      </c>
      <c r="Z491" s="1184">
        <v>0</v>
      </c>
      <c r="AA491" s="1194">
        <v>0</v>
      </c>
      <c r="AB491" s="975" t="s">
        <v>1662</v>
      </c>
      <c r="AC491" s="1192" t="str">
        <f>""</f>
        <v/>
      </c>
      <c r="AD491" s="1193">
        <v>0</v>
      </c>
      <c r="AE491" s="1193" t="s">
        <v>436</v>
      </c>
      <c r="AF491" s="1193" t="s">
        <v>436</v>
      </c>
      <c r="AG491" s="1193">
        <v>1</v>
      </c>
      <c r="AH491" s="1193">
        <v>4</v>
      </c>
      <c r="AI491" s="1193">
        <v>0</v>
      </c>
      <c r="AJ491" s="1193">
        <f>VLOOKUP($I491,'Price List, Weapons &amp; Items'!B:F,5,0)</f>
        <v>1</v>
      </c>
      <c r="AK491" s="1193">
        <f t="shared" si="108"/>
        <v>0</v>
      </c>
      <c r="AL491" s="1193">
        <f t="shared" si="109"/>
        <v>0</v>
      </c>
      <c r="AM491" s="1193">
        <f t="shared" si="110"/>
        <v>0</v>
      </c>
      <c r="AN491" s="1194" t="str">
        <f>VLOOKUP($I491,'Price List, Weapons &amp; Items'!B:L,COLUMN('Price List, Weapons &amp; Items'!$J$11)-1,0)</f>
        <v>Contracts</v>
      </c>
      <c r="AO491" s="1194" t="str">
        <f>IF(I491=".",".",VLOOKUP($I491,'Price List, Weapons &amp; Items'!B:J,3,0))</f>
        <v>155mm howitzer</v>
      </c>
      <c r="AP491" s="1195" t="str">
        <f t="shared" ca="1" si="104"/>
        <v/>
      </c>
      <c r="AQ491" s="1194">
        <f>VLOOKUP($I491,'Price List, Weapons &amp; Items'!B:L,COLUMN('Price List, Weapons &amp; Items'!$L$11)-1,0)</f>
        <v>2</v>
      </c>
      <c r="AR491" s="1194">
        <f t="shared" si="111"/>
        <v>1</v>
      </c>
      <c r="AS491" s="1194">
        <f t="shared" si="112"/>
        <v>1</v>
      </c>
      <c r="AT491" s="1194">
        <f t="shared" si="113"/>
        <v>1</v>
      </c>
      <c r="AU491" s="1194" t="str">
        <f t="shared" si="114"/>
        <v>.</v>
      </c>
      <c r="AV491" s="1194" t="str">
        <f t="shared" si="105"/>
        <v>.</v>
      </c>
      <c r="AW491" s="1194" t="str">
        <f t="shared" si="115"/>
        <v>.</v>
      </c>
      <c r="AX491" s="1194">
        <f>IFERROR(VLOOKUP(B491,'Share, Heavy Weapons to Ukraine'!B:Z,COLUMN('Share, Heavy Weapons to Ukraine'!C501)-1,0),0)</f>
        <v>0</v>
      </c>
      <c r="AY491" s="1194">
        <f>VLOOKUP('Bilateral Assistance, MAIN DATA'!B491,'Country Summary (€)'!B:F,COLUMN('Country Summary (€)'!C502)-1,FALSE)</f>
        <v>1</v>
      </c>
      <c r="AZ491" s="1194" t="str">
        <f>IF(AND(AD491=1,D491="Military",H491&lt;&gt;"Not given")=TRUE,IF(SUMIFS(P:P,A:A,A491)&gt;0,ABS((SUMIFS(P:P,A:A,A491)/VLOOKUP("USD",'Exchange Rates'!B:C,2,0)))/S491,"."),".")</f>
        <v>.</v>
      </c>
      <c r="BA491" s="1196" t="str">
        <f>IF(AND(AD491=1,D491="Military",H491&lt;&gt;"Not given")=TRUE,IF(SUMIFS(P:P,A:A,A491)&gt;0,IF((ABS((SUMIFS(P:P,A:A,A491)/VLOOKUP("USD",'Exchange Rates'!B:C,2,0)))/S491)&gt;1,(SUMIFS(P:P,A:A,A491)-S491)/S491,(S491-SUMIFS(P:P,A:A,A491))/SUMIFS(P:P,A:A,A491)),"."),".")</f>
        <v>.</v>
      </c>
    </row>
    <row r="492" spans="1:53" ht="15.95" customHeight="1">
      <c r="A492" s="1182" t="s">
        <v>1663</v>
      </c>
      <c r="B492" s="1182" t="s">
        <v>1523</v>
      </c>
      <c r="C492" s="1181">
        <v>44742</v>
      </c>
      <c r="D492" s="1182" t="s">
        <v>389</v>
      </c>
      <c r="E492" s="1182" t="s">
        <v>443</v>
      </c>
      <c r="F492" s="1183" t="s">
        <v>1664</v>
      </c>
      <c r="G492" s="1184" t="s">
        <v>456</v>
      </c>
      <c r="H492" s="1185" t="s">
        <v>457</v>
      </c>
      <c r="I492" s="1180" t="s">
        <v>1283</v>
      </c>
      <c r="J492" s="1186" t="str">
        <f>VLOOKUP($I492,'Price List, Weapons &amp; Items'!B:C,2,0)</f>
        <v>Heavy weapon</v>
      </c>
      <c r="K492" s="1186" t="str">
        <f>IF(I492=".",I492,VLOOKUP($I492,'Price List, Weapons &amp; Items'!B:D,3,0))</f>
        <v>155mm howitzer</v>
      </c>
      <c r="L492" s="1187">
        <f>VLOOKUP(I492,'Price List, Weapons &amp; Items'!B:E,4,0)</f>
        <v>0</v>
      </c>
      <c r="M492" s="1188">
        <v>6</v>
      </c>
      <c r="N492" s="1188">
        <v>6</v>
      </c>
      <c r="O492" s="1188">
        <f>VLOOKUP($I492,'Price List, Weapons &amp; Items'!B:G,6,0)</f>
        <v>6345668.5229201708</v>
      </c>
      <c r="P492" s="1185">
        <f t="shared" si="106"/>
        <v>38074011.137521029</v>
      </c>
      <c r="Q492" s="1185">
        <f t="shared" si="107"/>
        <v>38074011.137521029</v>
      </c>
      <c r="R492" s="1185">
        <f t="shared" si="103"/>
        <v>110484057.73752104</v>
      </c>
      <c r="S492" s="1185">
        <f>IF(AND(AD492=1,R492&lt;&gt;".")=TRUE,R492/VLOOKUP(G492,'Exchange Rates'!B:C,2,0),IF(R492=".",".",""))</f>
        <v>101659972.1545096</v>
      </c>
      <c r="T492" s="1185">
        <f>IF(AD492=1,IF(AF492="Value is not given at all",".",IF(AF492="Value is given by the source",S492,IF(AF492="Value is calculated with prices",(IF(SUMIFS(Q:Q,A:A,A492)&gt;0,SUMIFS(Q:Q,A:A,A492),"."))/VLOOKUP("USD",'Exchange Rates'!B:C,2,0),"Error with coding"))),"")</f>
        <v>101659972.1545096</v>
      </c>
      <c r="U492" s="1184" t="s">
        <v>365</v>
      </c>
      <c r="V492" s="974" t="s">
        <v>1665</v>
      </c>
      <c r="W492" s="1007" t="s">
        <v>1666</v>
      </c>
      <c r="X492" s="1029" t="s">
        <v>1667</v>
      </c>
      <c r="Y492" s="1183" t="s">
        <v>364</v>
      </c>
      <c r="Z492" s="1184">
        <v>0</v>
      </c>
      <c r="AA492" s="1194">
        <v>0</v>
      </c>
      <c r="AB492" s="1016" t="s">
        <v>1668</v>
      </c>
      <c r="AC492" s="1192" t="str">
        <f>""</f>
        <v/>
      </c>
      <c r="AD492" s="1193">
        <v>1</v>
      </c>
      <c r="AE492" s="1193" t="s">
        <v>436</v>
      </c>
      <c r="AF492" s="1193" t="s">
        <v>436</v>
      </c>
      <c r="AG492" s="1193">
        <v>1</v>
      </c>
      <c r="AH492" s="1193">
        <v>6</v>
      </c>
      <c r="AI492" s="1193">
        <v>0</v>
      </c>
      <c r="AJ492" s="1193">
        <f>VLOOKUP($I492,'Price List, Weapons &amp; Items'!B:F,5,0)</f>
        <v>1</v>
      </c>
      <c r="AK492" s="1193">
        <f t="shared" si="108"/>
        <v>0</v>
      </c>
      <c r="AL492" s="1193">
        <f t="shared" si="109"/>
        <v>0</v>
      </c>
      <c r="AM492" s="1193">
        <f t="shared" si="110"/>
        <v>0</v>
      </c>
      <c r="AN492" s="1194" t="str">
        <f>VLOOKUP($I492,'Price List, Weapons &amp; Items'!B:L,COLUMN('Price List, Weapons &amp; Items'!$J$11)-1,0)</f>
        <v>Contracts</v>
      </c>
      <c r="AO492" s="1194" t="str">
        <f>IF(I492=".",".",VLOOKUP($I492,'Price List, Weapons &amp; Items'!B:J,3,0))</f>
        <v>155mm howitzer</v>
      </c>
      <c r="AP492" s="1195" t="str">
        <f t="shared" ca="1" si="104"/>
        <v>CAESAR artillery howitzer</v>
      </c>
      <c r="AQ492" s="1194">
        <f>VLOOKUP($I492,'Price List, Weapons &amp; Items'!B:L,COLUMN('Price List, Weapons &amp; Items'!$L$11)-1,0)</f>
        <v>2</v>
      </c>
      <c r="AR492" s="1194">
        <f t="shared" si="111"/>
        <v>1</v>
      </c>
      <c r="AS492" s="1194">
        <f t="shared" si="112"/>
        <v>1</v>
      </c>
      <c r="AT492" s="1194">
        <f t="shared" si="113"/>
        <v>1</v>
      </c>
      <c r="AU492" s="1194" t="str">
        <f t="shared" si="114"/>
        <v>.</v>
      </c>
      <c r="AV492" s="1194" t="str">
        <f t="shared" si="105"/>
        <v>.</v>
      </c>
      <c r="AW492" s="1194" t="str">
        <f t="shared" si="115"/>
        <v>.</v>
      </c>
      <c r="AX492" s="1194">
        <f>IFERROR(VLOOKUP(B492,'Share, Heavy Weapons to Ukraine'!B:Z,COLUMN('Share, Heavy Weapons to Ukraine'!C502)-1,0),0)</f>
        <v>0</v>
      </c>
      <c r="AY492" s="1194">
        <f>VLOOKUP('Bilateral Assistance, MAIN DATA'!B492,'Country Summary (€)'!B:F,COLUMN('Country Summary (€)'!C503)-1,FALSE)</f>
        <v>1</v>
      </c>
      <c r="AZ492" s="1194" t="str">
        <f>IF(AND(AD492=1,D492="Military",H492&lt;&gt;"Not given")=TRUE,IF(SUMIFS(P:P,A:A,A492)&gt;0,ABS((SUMIFS(P:P,A:A,A492)/VLOOKUP("USD",'Exchange Rates'!B:C,2,0)))/S492,"."),".")</f>
        <v>.</v>
      </c>
      <c r="BA492" s="1196" t="str">
        <f>IF(AND(AD492=1,D492="Military",H492&lt;&gt;"Not given")=TRUE,IF(SUMIFS(P:P,A:A,A492)&gt;0,IF((ABS((SUMIFS(P:P,A:A,A492)/VLOOKUP("USD",'Exchange Rates'!B:C,2,0)))/S492)&gt;1,(SUMIFS(P:P,A:A,A492)-S492)/S492,(S492-SUMIFS(P:P,A:A,A492))/SUMIFS(P:P,A:A,A492)),"."),".")</f>
        <v>.</v>
      </c>
    </row>
    <row r="493" spans="1:53" ht="15.95" customHeight="1">
      <c r="A493" s="1182" t="s">
        <v>1663</v>
      </c>
      <c r="B493" s="1182" t="s">
        <v>1523</v>
      </c>
      <c r="C493" s="1181">
        <v>44742</v>
      </c>
      <c r="D493" s="1182" t="s">
        <v>389</v>
      </c>
      <c r="E493" s="1182" t="s">
        <v>443</v>
      </c>
      <c r="F493" s="1183" t="s">
        <v>1664</v>
      </c>
      <c r="G493" s="1184" t="s">
        <v>456</v>
      </c>
      <c r="H493" s="1185" t="s">
        <v>457</v>
      </c>
      <c r="I493" s="1270" t="s">
        <v>1669</v>
      </c>
      <c r="J493" s="1186" t="str">
        <f>VLOOKUP($I493,'Price List, Weapons &amp; Items'!B:C,2,0)</f>
        <v>Ammunition for heavy weapon</v>
      </c>
      <c r="K493" s="1186" t="str">
        <f>IF(I493=".",I493,VLOOKUP($I493,'Price List, Weapons &amp; Items'!B:D,3,0))</f>
        <v>155mm howitzer ammunition</v>
      </c>
      <c r="L493" s="1187">
        <f>VLOOKUP(I493,'Price List, Weapons &amp; Items'!B:E,4,0)</f>
        <v>0</v>
      </c>
      <c r="M493" s="1188" t="s">
        <v>374</v>
      </c>
      <c r="N493" s="1188" t="s">
        <v>374</v>
      </c>
      <c r="O493" s="1188">
        <f>VLOOKUP($I493,'Price List, Weapons &amp; Items'!B:G,6,0)</f>
        <v>3800</v>
      </c>
      <c r="P493" s="1185" t="str">
        <f t="shared" si="106"/>
        <v>.</v>
      </c>
      <c r="Q493" s="1185" t="str">
        <f t="shared" si="107"/>
        <v>.</v>
      </c>
      <c r="R493" s="1185" t="str">
        <f t="shared" si="103"/>
        <v/>
      </c>
      <c r="S493" s="1185" t="str">
        <f>IF(AND(AD493=1,R493&lt;&gt;".")=TRUE,R493/VLOOKUP(G493,'Exchange Rates'!B:C,2,0),IF(R493=".",".",""))</f>
        <v/>
      </c>
      <c r="T493" s="1185" t="str">
        <f>IF(AD493=1,IF(AF493="Value is not given at all",".",IF(AF493="Value is given by the source",S493,IF(AF493="Value is calculated with prices",(IF(SUMIFS(Q:Q,A:A,A493)&gt;0,SUMIFS(Q:Q,A:A,A493),"."))/VLOOKUP("USD",'Exchange Rates'!B:C,2,0),"Error with coding"))),"")</f>
        <v/>
      </c>
      <c r="U493" s="1184" t="s">
        <v>365</v>
      </c>
      <c r="V493" s="974" t="s">
        <v>1665</v>
      </c>
      <c r="W493" s="1007" t="s">
        <v>1666</v>
      </c>
      <c r="X493" s="1029" t="s">
        <v>1667</v>
      </c>
      <c r="Y493" s="1183" t="s">
        <v>364</v>
      </c>
      <c r="Z493" s="1184">
        <v>0</v>
      </c>
      <c r="AA493" s="1194">
        <v>0</v>
      </c>
      <c r="AB493" s="975" t="s">
        <v>1667</v>
      </c>
      <c r="AC493" s="1192" t="str">
        <f>""</f>
        <v/>
      </c>
      <c r="AD493" s="1193">
        <v>0</v>
      </c>
      <c r="AE493" s="1193" t="s">
        <v>436</v>
      </c>
      <c r="AF493" s="1193" t="s">
        <v>436</v>
      </c>
      <c r="AG493" s="1193">
        <v>1</v>
      </c>
      <c r="AH493" s="1193">
        <v>6</v>
      </c>
      <c r="AI493" s="1193">
        <v>0</v>
      </c>
      <c r="AJ493" s="1193">
        <f>VLOOKUP($I493,'Price List, Weapons &amp; Items'!B:F,5,0)</f>
        <v>1</v>
      </c>
      <c r="AK493" s="1193">
        <f t="shared" si="108"/>
        <v>1</v>
      </c>
      <c r="AL493" s="1193">
        <f t="shared" si="109"/>
        <v>1</v>
      </c>
      <c r="AM493" s="1193">
        <f t="shared" si="110"/>
        <v>1</v>
      </c>
      <c r="AN493" s="1194" t="str">
        <f>VLOOKUP($I493,'Price List, Weapons &amp; Items'!B:L,COLUMN('Price List, Weapons &amp; Items'!$J$11)-1,0)</f>
        <v>Government information</v>
      </c>
      <c r="AO493" s="1194" t="str">
        <f>IF(I493=".",".",VLOOKUP($I493,'Price List, Weapons &amp; Items'!B:J,3,0))</f>
        <v>155mm howitzer ammunition</v>
      </c>
      <c r="AP493" s="1195" t="str">
        <f t="shared" ca="1" si="104"/>
        <v/>
      </c>
      <c r="AQ493" s="1194">
        <f>VLOOKUP($I493,'Price List, Weapons &amp; Items'!B:L,COLUMN('Price List, Weapons &amp; Items'!$L$11)-1,0)</f>
        <v>2</v>
      </c>
      <c r="AR493" s="1194">
        <f t="shared" si="111"/>
        <v>1</v>
      </c>
      <c r="AS493" s="1194">
        <f t="shared" si="112"/>
        <v>1</v>
      </c>
      <c r="AT493" s="1194">
        <f t="shared" si="113"/>
        <v>1</v>
      </c>
      <c r="AU493" s="1194" t="str">
        <f t="shared" si="114"/>
        <v>.</v>
      </c>
      <c r="AV493" s="1194" t="str">
        <f t="shared" si="105"/>
        <v>.</v>
      </c>
      <c r="AW493" s="1194" t="str">
        <f t="shared" si="115"/>
        <v>.</v>
      </c>
      <c r="AX493" s="1194">
        <f>IFERROR(VLOOKUP(B493,'Share, Heavy Weapons to Ukraine'!B:Z,COLUMN('Share, Heavy Weapons to Ukraine'!C503)-1,0),0)</f>
        <v>0</v>
      </c>
      <c r="AY493" s="1194">
        <f>VLOOKUP('Bilateral Assistance, MAIN DATA'!B493,'Country Summary (€)'!B:F,COLUMN('Country Summary (€)'!C504)-1,FALSE)</f>
        <v>1</v>
      </c>
      <c r="AZ493" s="1194" t="str">
        <f>IF(AND(AD493=1,D493="Military",H493&lt;&gt;"Not given")=TRUE,IF(SUMIFS(P:P,A:A,A493)&gt;0,ABS((SUMIFS(P:P,A:A,A493)/VLOOKUP("USD",'Exchange Rates'!B:C,2,0)))/S493,"."),".")</f>
        <v>.</v>
      </c>
      <c r="BA493" s="1196" t="str">
        <f>IF(AND(AD493=1,D493="Military",H493&lt;&gt;"Not given")=TRUE,IF(SUMIFS(P:P,A:A,A493)&gt;0,IF((ABS((SUMIFS(P:P,A:A,A493)/VLOOKUP("USD",'Exchange Rates'!B:C,2,0)))/S493)&gt;1,(SUMIFS(P:P,A:A,A493)-S493)/S493,(S493-SUMIFS(P:P,A:A,A493))/SUMIFS(P:P,A:A,A493)),"."),".")</f>
        <v>.</v>
      </c>
    </row>
    <row r="494" spans="1:53" ht="15.95" customHeight="1">
      <c r="A494" s="1182" t="s">
        <v>1663</v>
      </c>
      <c r="B494" s="1182" t="s">
        <v>1523</v>
      </c>
      <c r="C494" s="1181">
        <v>44742</v>
      </c>
      <c r="D494" s="1182" t="s">
        <v>389</v>
      </c>
      <c r="E494" s="1182" t="s">
        <v>443</v>
      </c>
      <c r="F494" s="1183" t="s">
        <v>1664</v>
      </c>
      <c r="G494" s="1184" t="s">
        <v>456</v>
      </c>
      <c r="H494" s="1185" t="s">
        <v>457</v>
      </c>
      <c r="I494" s="1180" t="s">
        <v>1670</v>
      </c>
      <c r="J494" s="1186" t="str">
        <f>VLOOKUP($I494,'Price List, Weapons &amp; Items'!B:C,2,0)</f>
        <v>Heavy weapon</v>
      </c>
      <c r="K494" s="1186" t="str">
        <f>IF(I494=".",I494,VLOOKUP($I494,'Price List, Weapons &amp; Items'!B:D,3,0))</f>
        <v>Armored Personnel Carrier (APC)</v>
      </c>
      <c r="L494" s="1187">
        <f>VLOOKUP(I494,'Price List, Weapons &amp; Items'!B:E,4,0)</f>
        <v>0</v>
      </c>
      <c r="M494" s="1188">
        <v>60</v>
      </c>
      <c r="N494" s="1188">
        <v>60</v>
      </c>
      <c r="O494" s="1188">
        <f>VLOOKUP($I494,'Price List, Weapons &amp; Items'!B:G,6,0)</f>
        <v>1206834.1100000001</v>
      </c>
      <c r="P494" s="1185">
        <f t="shared" si="106"/>
        <v>72410046.600000009</v>
      </c>
      <c r="Q494" s="1185">
        <f t="shared" si="107"/>
        <v>72410046.600000009</v>
      </c>
      <c r="R494" s="1185" t="str">
        <f t="shared" si="103"/>
        <v/>
      </c>
      <c r="S494" s="1185" t="str">
        <f>IF(AND(AD494=1,R494&lt;&gt;".")=TRUE,R494/VLOOKUP(G494,'Exchange Rates'!B:C,2,0),IF(R494=".",".",""))</f>
        <v/>
      </c>
      <c r="T494" s="1185" t="str">
        <f>IF(AD494=1,IF(AF494="Value is not given at all",".",IF(AF494="Value is given by the source",S494,IF(AF494="Value is calculated with prices",(IF(SUMIFS(Q:Q,A:A,A494)&gt;0,SUMIFS(Q:Q,A:A,A494),"."))/VLOOKUP("USD",'Exchange Rates'!B:C,2,0),"Error with coding"))),"")</f>
        <v/>
      </c>
      <c r="U494" s="1184" t="s">
        <v>365</v>
      </c>
      <c r="V494" s="974" t="s">
        <v>1665</v>
      </c>
      <c r="W494" s="1007" t="s">
        <v>1666</v>
      </c>
      <c r="X494" s="1029" t="s">
        <v>1667</v>
      </c>
      <c r="Y494" s="1183" t="s">
        <v>364</v>
      </c>
      <c r="Z494" s="1184">
        <v>0</v>
      </c>
      <c r="AA494" s="1194">
        <v>0</v>
      </c>
      <c r="AB494" s="1361" t="s">
        <v>1667</v>
      </c>
      <c r="AC494" s="1192" t="str">
        <f>""</f>
        <v/>
      </c>
      <c r="AD494" s="1193">
        <v>0</v>
      </c>
      <c r="AE494" s="1193" t="s">
        <v>436</v>
      </c>
      <c r="AF494" s="1193" t="s">
        <v>436</v>
      </c>
      <c r="AG494" s="1193">
        <v>1</v>
      </c>
      <c r="AH494" s="1193">
        <v>6</v>
      </c>
      <c r="AI494" s="1193">
        <v>0</v>
      </c>
      <c r="AJ494" s="1193">
        <f>VLOOKUP($I494,'Price List, Weapons &amp; Items'!B:F,5,0)</f>
        <v>1</v>
      </c>
      <c r="AK494" s="1193">
        <f t="shared" si="108"/>
        <v>0</v>
      </c>
      <c r="AL494" s="1193">
        <f t="shared" si="109"/>
        <v>0</v>
      </c>
      <c r="AM494" s="1193">
        <f t="shared" si="110"/>
        <v>0</v>
      </c>
      <c r="AN494" s="1194" t="str">
        <f>VLOOKUP($I494,'Price List, Weapons &amp; Items'!B:L,COLUMN('Price List, Weapons &amp; Items'!$J$11)-1,0)</f>
        <v>Contracts</v>
      </c>
      <c r="AO494" s="1194" t="str">
        <f>IF(I494=".",".",VLOOKUP($I494,'Price List, Weapons &amp; Items'!B:J,3,0))</f>
        <v>Armored Personnel Carrier (APC)</v>
      </c>
      <c r="AP494" s="1195" t="str">
        <f t="shared" ca="1" si="104"/>
        <v/>
      </c>
      <c r="AQ494" s="1194">
        <f>VLOOKUP($I494,'Price List, Weapons &amp; Items'!B:L,COLUMN('Price List, Weapons &amp; Items'!$L$11)-1,0)</f>
        <v>2</v>
      </c>
      <c r="AR494" s="1194">
        <f t="shared" si="111"/>
        <v>1</v>
      </c>
      <c r="AS494" s="1194">
        <f t="shared" si="112"/>
        <v>1</v>
      </c>
      <c r="AT494" s="1194">
        <f t="shared" si="113"/>
        <v>1</v>
      </c>
      <c r="AU494" s="1194" t="str">
        <f t="shared" si="114"/>
        <v>.</v>
      </c>
      <c r="AV494" s="1194" t="str">
        <f t="shared" si="105"/>
        <v>.</v>
      </c>
      <c r="AW494" s="1194" t="str">
        <f t="shared" si="115"/>
        <v>.</v>
      </c>
      <c r="AX494" s="1194">
        <f>IFERROR(VLOOKUP(B494,'Share, Heavy Weapons to Ukraine'!B:Z,COLUMN('Share, Heavy Weapons to Ukraine'!C504)-1,0),0)</f>
        <v>0</v>
      </c>
      <c r="AY494" s="1194">
        <f>VLOOKUP('Bilateral Assistance, MAIN DATA'!B494,'Country Summary (€)'!B:F,COLUMN('Country Summary (€)'!C505)-1,FALSE)</f>
        <v>1</v>
      </c>
      <c r="AZ494" s="1194" t="str">
        <f>IF(AND(AD494=1,D494="Military",H494&lt;&gt;"Not given")=TRUE,IF(SUMIFS(P:P,A:A,A494)&gt;0,ABS((SUMIFS(P:P,A:A,A494)/VLOOKUP("USD",'Exchange Rates'!B:C,2,0)))/S494,"."),".")</f>
        <v>.</v>
      </c>
      <c r="BA494" s="1196" t="str">
        <f>IF(AND(AD494=1,D494="Military",H494&lt;&gt;"Not given")=TRUE,IF(SUMIFS(P:P,A:A,A494)&gt;0,IF((ABS((SUMIFS(P:P,A:A,A494)/VLOOKUP("USD",'Exchange Rates'!B:C,2,0)))/S494)&gt;1,(SUMIFS(P:P,A:A,A494)-S494)/S494,(S494-SUMIFS(P:P,A:A,A494))/SUMIFS(P:P,A:A,A494)),"."),".")</f>
        <v>.</v>
      </c>
    </row>
    <row r="495" spans="1:53" ht="15.95" customHeight="1">
      <c r="A495" s="1182" t="s">
        <v>1671</v>
      </c>
      <c r="B495" s="1182" t="s">
        <v>1523</v>
      </c>
      <c r="C495" s="1181">
        <v>44841</v>
      </c>
      <c r="D495" s="1182" t="s">
        <v>389</v>
      </c>
      <c r="E495" s="1182" t="s">
        <v>390</v>
      </c>
      <c r="F495" s="1183" t="s">
        <v>1672</v>
      </c>
      <c r="G495" s="1184" t="s">
        <v>483</v>
      </c>
      <c r="H495" s="1185">
        <v>200000000</v>
      </c>
      <c r="I495" s="1180" t="s">
        <v>364</v>
      </c>
      <c r="J495" s="1186" t="str">
        <f>VLOOKUP($I495,'Price List, Weapons &amp; Items'!B:C,2,0)</f>
        <v>.</v>
      </c>
      <c r="K495" s="1186" t="str">
        <f>IF(I495=".",I495,VLOOKUP($I495,'Price List, Weapons &amp; Items'!B:D,3,0))</f>
        <v>.</v>
      </c>
      <c r="L495" s="1187">
        <f>VLOOKUP(I495,'Price List, Weapons &amp; Items'!B:E,4,0)</f>
        <v>0</v>
      </c>
      <c r="M495" s="1188" t="s">
        <v>364</v>
      </c>
      <c r="N495" s="1188" t="s">
        <v>364</v>
      </c>
      <c r="O495" s="1188" t="str">
        <f>VLOOKUP($I495,'Price List, Weapons &amp; Items'!B:G,6,0)</f>
        <v>.</v>
      </c>
      <c r="P495" s="1185" t="str">
        <f t="shared" si="106"/>
        <v>.</v>
      </c>
      <c r="Q495" s="1185" t="str">
        <f t="shared" si="107"/>
        <v>.</v>
      </c>
      <c r="R495" s="1185">
        <f t="shared" si="103"/>
        <v>200000000</v>
      </c>
      <c r="S495" s="1185">
        <f>IF(AND(AD495=1,R495&lt;&gt;".")=TRUE,R495/VLOOKUP(G495,'Exchange Rates'!B:C,2,0),IF(R495=".",".",""))</f>
        <v>200000000</v>
      </c>
      <c r="T495" s="1185" t="str">
        <f>IF(AD495=1,IF(AF495="Value is not given at all",".",IF(AF495="Value is given by the source",S495,IF(AF495="Value is calculated with prices",(IF(SUMIFS(Q:Q,A:A,A495)&gt;0,SUMIFS(Q:Q,A:A,A495),"."))/VLOOKUP("USD",'Exchange Rates'!B:C,2,0),"Error with coding"))),"")</f>
        <v>.</v>
      </c>
      <c r="U495" s="1184" t="s">
        <v>365</v>
      </c>
      <c r="V495" s="1030" t="s">
        <v>1673</v>
      </c>
      <c r="W495" s="987" t="s">
        <v>1661</v>
      </c>
      <c r="X495" s="1020" t="s">
        <v>1674</v>
      </c>
      <c r="Y495" s="1012" t="s">
        <v>1675</v>
      </c>
      <c r="Z495" s="1184">
        <v>0</v>
      </c>
      <c r="AA495" s="1194">
        <v>0</v>
      </c>
      <c r="AB495" s="1201" t="s">
        <v>364</v>
      </c>
      <c r="AC495" s="1192" t="str">
        <f>""</f>
        <v/>
      </c>
      <c r="AD495" s="1193">
        <v>1</v>
      </c>
      <c r="AE495" s="1193" t="s">
        <v>368</v>
      </c>
      <c r="AF495" s="1193" t="s">
        <v>369</v>
      </c>
      <c r="AG495" s="1193">
        <v>1</v>
      </c>
      <c r="AH495" s="1193">
        <v>10</v>
      </c>
      <c r="AI495" s="1193">
        <v>0</v>
      </c>
      <c r="AJ495" s="1193">
        <f>VLOOKUP($I495,'Price List, Weapons &amp; Items'!B:F,5,0)</f>
        <v>0</v>
      </c>
      <c r="AK495" s="1193">
        <f t="shared" si="108"/>
        <v>0</v>
      </c>
      <c r="AL495" s="1193">
        <f t="shared" si="109"/>
        <v>0</v>
      </c>
      <c r="AM495" s="1193">
        <f t="shared" si="110"/>
        <v>0</v>
      </c>
      <c r="AN495" s="1194" t="str">
        <f>VLOOKUP($I495,'Price List, Weapons &amp; Items'!B:L,COLUMN('Price List, Weapons &amp; Items'!$J$11)-1,0)</f>
        <v>.</v>
      </c>
      <c r="AO495" s="1194" t="str">
        <f>IF(I495=".",".",VLOOKUP($I495,'Price List, Weapons &amp; Items'!B:J,3,0))</f>
        <v>.</v>
      </c>
      <c r="AP495" s="1195" t="str">
        <f t="shared" ca="1" si="104"/>
        <v>.</v>
      </c>
      <c r="AQ495" s="1194">
        <f>VLOOKUP($I495,'Price List, Weapons &amp; Items'!B:L,COLUMN('Price List, Weapons &amp; Items'!$L$11)-1,0)</f>
        <v>0</v>
      </c>
      <c r="AR495" s="1194">
        <f t="shared" si="111"/>
        <v>1</v>
      </c>
      <c r="AS495" s="1194">
        <f t="shared" si="112"/>
        <v>1</v>
      </c>
      <c r="AT495" s="1194">
        <f t="shared" si="113"/>
        <v>1</v>
      </c>
      <c r="AU495" s="1194" t="str">
        <f t="shared" si="114"/>
        <v>.</v>
      </c>
      <c r="AV495" s="1194" t="str">
        <f t="shared" si="105"/>
        <v>.</v>
      </c>
      <c r="AW495" s="1194" t="str">
        <f t="shared" si="115"/>
        <v>.</v>
      </c>
      <c r="AX495" s="1194">
        <f>IFERROR(VLOOKUP(B495,'Share, Heavy Weapons to Ukraine'!B:Z,COLUMN('Share, Heavy Weapons to Ukraine'!C505)-1,0),0)</f>
        <v>0</v>
      </c>
      <c r="AY495" s="1194">
        <f>VLOOKUP('Bilateral Assistance, MAIN DATA'!B495,'Country Summary (€)'!B:F,COLUMN('Country Summary (€)'!C506)-1,FALSE)</f>
        <v>1</v>
      </c>
      <c r="AZ495" s="1194">
        <f>IF(AND(AD495=1,D495="Military",H495&lt;&gt;"Not given")=TRUE,IF(SUMIFS(P:P,A:A,A495)&gt;0,ABS((SUMIFS(P:P,A:A,A495)/VLOOKUP("USD",'Exchange Rates'!B:C,2,0)))/S495,"."),".")</f>
        <v>0.44276651060472055</v>
      </c>
      <c r="BA495" s="1196">
        <f>IF(AND(AD495=1,D495="Military",H495&lt;&gt;"Not given")=TRUE,IF(SUMIFS(P:P,A:A,A495)&gt;0,IF((ABS((SUMIFS(P:P,A:A,A495)/VLOOKUP("USD",'Exchange Rates'!B:C,2,0)))/S495)&gt;1,(SUMIFS(P:P,A:A,A495)-S495)/S495,(S495-SUMIFS(P:P,A:A,A495))/SUMIFS(P:P,A:A,A495)),"."),".")</f>
        <v>1.078143845665227</v>
      </c>
    </row>
    <row r="496" spans="1:53" ht="15.95" customHeight="1">
      <c r="A496" s="1182" t="s">
        <v>1671</v>
      </c>
      <c r="B496" s="1182" t="s">
        <v>1523</v>
      </c>
      <c r="C496" s="1181">
        <v>44924</v>
      </c>
      <c r="D496" s="1182" t="s">
        <v>389</v>
      </c>
      <c r="E496" s="1182" t="s">
        <v>390</v>
      </c>
      <c r="F496" s="1183" t="s">
        <v>1672</v>
      </c>
      <c r="G496" s="1184" t="s">
        <v>483</v>
      </c>
      <c r="H496" s="1185">
        <v>200000000</v>
      </c>
      <c r="I496" s="1180" t="s">
        <v>1283</v>
      </c>
      <c r="J496" s="1186" t="str">
        <f>VLOOKUP($I496,'Price List, Weapons &amp; Items'!B:C,2,0)</f>
        <v>Heavy weapon</v>
      </c>
      <c r="K496" s="1186" t="str">
        <f>IF(I496=".",I496,VLOOKUP($I496,'Price List, Weapons &amp; Items'!B:D,3,0))</f>
        <v>155mm howitzer</v>
      </c>
      <c r="L496" s="1187">
        <f>VLOOKUP(I496,'Price List, Weapons &amp; Items'!B:E,4,0)</f>
        <v>0</v>
      </c>
      <c r="M496" s="1188">
        <v>12</v>
      </c>
      <c r="N496" s="1188" t="s">
        <v>374</v>
      </c>
      <c r="O496" s="1188">
        <f>VLOOKUP($I496,'Price List, Weapons &amp; Items'!B:G,6,0)</f>
        <v>6345668.5229201708</v>
      </c>
      <c r="P496" s="1185">
        <f t="shared" si="106"/>
        <v>76148022.275042057</v>
      </c>
      <c r="Q496" s="1185" t="str">
        <f t="shared" si="107"/>
        <v>.</v>
      </c>
      <c r="R496" s="1185" t="str">
        <f t="shared" si="103"/>
        <v/>
      </c>
      <c r="S496" s="1185" t="str">
        <f>IF(AND(AD496=1,R496&lt;&gt;".")=TRUE,R496/VLOOKUP(G496,'Exchange Rates'!B:C,2,0),IF(R496=".",".",""))</f>
        <v/>
      </c>
      <c r="T496" s="1185" t="str">
        <f>IF(AD496=1,IF(AF496="Value is not given at all",".",IF(AF496="Value is given by the source",S496,IF(AF496="Value is calculated with prices",(IF(SUMIFS(Q:Q,A:A,A496)&gt;0,SUMIFS(Q:Q,A:A,A496),"."))/VLOOKUP("USD",'Exchange Rates'!B:C,2,0),"Error with coding"))),"")</f>
        <v/>
      </c>
      <c r="U496" s="1184" t="s">
        <v>365</v>
      </c>
      <c r="V496" s="1030" t="s">
        <v>1673</v>
      </c>
      <c r="W496" s="987" t="s">
        <v>1661</v>
      </c>
      <c r="X496" s="1020" t="s">
        <v>1674</v>
      </c>
      <c r="Y496" s="1012" t="s">
        <v>1675</v>
      </c>
      <c r="Z496" s="1184">
        <v>0</v>
      </c>
      <c r="AA496" s="1184">
        <v>0</v>
      </c>
      <c r="AB496" s="1201" t="s">
        <v>364</v>
      </c>
      <c r="AC496" s="1192" t="str">
        <f>""</f>
        <v/>
      </c>
      <c r="AD496" s="1193">
        <v>0</v>
      </c>
      <c r="AE496" s="1193" t="s">
        <v>368</v>
      </c>
      <c r="AF496" s="1193" t="s">
        <v>369</v>
      </c>
      <c r="AG496" s="1193">
        <v>1</v>
      </c>
      <c r="AH496" s="1193">
        <v>12</v>
      </c>
      <c r="AI496" s="1193">
        <v>0</v>
      </c>
      <c r="AJ496" s="1193">
        <f>VLOOKUP($I496,'Price List, Weapons &amp; Items'!B:F,5,0)</f>
        <v>1</v>
      </c>
      <c r="AK496" s="1193">
        <f t="shared" si="108"/>
        <v>0</v>
      </c>
      <c r="AL496" s="1193">
        <f t="shared" si="109"/>
        <v>1</v>
      </c>
      <c r="AM496" s="1193">
        <f t="shared" si="110"/>
        <v>0</v>
      </c>
      <c r="AN496" s="1194" t="str">
        <f>VLOOKUP($I496,'Price List, Weapons &amp; Items'!B:L,COLUMN('Price List, Weapons &amp; Items'!$J$11)-1,0)</f>
        <v>Contracts</v>
      </c>
      <c r="AO496" s="1194" t="str">
        <f>IF(I496=".",".",VLOOKUP($I496,'Price List, Weapons &amp; Items'!B:J,3,0))</f>
        <v>155mm howitzer</v>
      </c>
      <c r="AP496" s="1195" t="str">
        <f t="shared" ca="1" si="104"/>
        <v/>
      </c>
      <c r="AQ496" s="1194">
        <f>VLOOKUP($I496,'Price List, Weapons &amp; Items'!B:L,COLUMN('Price List, Weapons &amp; Items'!$L$11)-1,0)</f>
        <v>2</v>
      </c>
      <c r="AR496" s="1194">
        <f t="shared" si="111"/>
        <v>1</v>
      </c>
      <c r="AS496" s="1194">
        <f t="shared" si="112"/>
        <v>1</v>
      </c>
      <c r="AT496" s="1194">
        <f t="shared" si="113"/>
        <v>1</v>
      </c>
      <c r="AU496" s="1194" t="str">
        <f t="shared" si="114"/>
        <v>.</v>
      </c>
      <c r="AV496" s="1194" t="str">
        <f t="shared" si="105"/>
        <v>.</v>
      </c>
      <c r="AW496" s="1194" t="str">
        <f t="shared" si="115"/>
        <v>.</v>
      </c>
      <c r="AX496" s="1194">
        <f>IFERROR(VLOOKUP(B496,'Share, Heavy Weapons to Ukraine'!B:Z,COLUMN('Share, Heavy Weapons to Ukraine'!C506)-1,0),0)</f>
        <v>0</v>
      </c>
      <c r="AY496" s="1194">
        <f>VLOOKUP('Bilateral Assistance, MAIN DATA'!B496,'Country Summary (€)'!B:F,COLUMN('Country Summary (€)'!C507)-1,FALSE)</f>
        <v>1</v>
      </c>
      <c r="AZ496" s="1194" t="str">
        <f>IF(AND(AD496=1,D496="Military",H496&lt;&gt;"Not given")=TRUE,IF(SUMIFS(P:P,A:A,A496)&gt;0,ABS((SUMIFS(P:P,A:A,A496)/VLOOKUP("USD",'Exchange Rates'!B:C,2,0)))/S496,"."),".")</f>
        <v>.</v>
      </c>
      <c r="BA496" s="1196" t="str">
        <f>IF(AND(AD496=1,D496="Military",H496&lt;&gt;"Not given")=TRUE,IF(SUMIFS(P:P,A:A,A496)&gt;0,IF((ABS((SUMIFS(P:P,A:A,A496)/VLOOKUP("USD",'Exchange Rates'!B:C,2,0)))/S496)&gt;1,(SUMIFS(P:P,A:A,A496)-S496)/S496,(S496-SUMIFS(P:P,A:A,A496))/SUMIFS(P:P,A:A,A496)),"."),".")</f>
        <v>.</v>
      </c>
    </row>
    <row r="497" spans="1:53" ht="15.95" customHeight="1">
      <c r="A497" s="1182" t="s">
        <v>1671</v>
      </c>
      <c r="B497" s="1182" t="s">
        <v>1523</v>
      </c>
      <c r="C497" s="1181">
        <v>44958</v>
      </c>
      <c r="D497" s="1182" t="s">
        <v>389</v>
      </c>
      <c r="E497" s="1182" t="s">
        <v>1676</v>
      </c>
      <c r="F497" s="1263" t="s">
        <v>1677</v>
      </c>
      <c r="G497" s="1184" t="s">
        <v>456</v>
      </c>
      <c r="H497" s="1185">
        <v>200000000</v>
      </c>
      <c r="I497" s="1180" t="s">
        <v>1678</v>
      </c>
      <c r="J497" s="1186" t="str">
        <f>VLOOKUP($I497,'Price List, Weapons &amp; Items'!B:C,2,0)</f>
        <v xml:space="preserve">Military equipment </v>
      </c>
      <c r="K497" s="1186" t="str">
        <f>IF(I497=".",I497,VLOOKUP($I497,'Price List, Weapons &amp; Items'!B:D,3,0))</f>
        <v>Radar or imagery systems</v>
      </c>
      <c r="L497" s="1187">
        <f>VLOOKUP(I497,'Price List, Weapons &amp; Items'!B:E,4,0)</f>
        <v>0</v>
      </c>
      <c r="M497" s="1188">
        <v>1</v>
      </c>
      <c r="N497" s="1188" t="s">
        <v>374</v>
      </c>
      <c r="O497" s="1188">
        <f>VLOOKUP($I497,'Price List, Weapons &amp; Items'!B:G,6,0)</f>
        <v>20091706.469999999</v>
      </c>
      <c r="P497" s="1185">
        <f t="shared" si="106"/>
        <v>20091706.469999999</v>
      </c>
      <c r="Q497" s="1185" t="str">
        <f t="shared" si="107"/>
        <v>.</v>
      </c>
      <c r="R497" s="1185" t="str">
        <f t="shared" si="103"/>
        <v/>
      </c>
      <c r="S497" s="1185" t="str">
        <f>IF(AND(AD497=1,R497&lt;&gt;".")=TRUE,R497/VLOOKUP(G497,'Exchange Rates'!B:C,2,0),IF(R497=".",".",""))</f>
        <v/>
      </c>
      <c r="T497" s="1185" t="str">
        <f>IF(AD497=1,IF(AF497="Value is not given at all",".",IF(AF497="Value is given by the source",S497,IF(AF497="Value is calculated with prices",(IF(SUMIFS(Q:Q,A:A,A497)&gt;0,SUMIFS(Q:Q,A:A,A497),"."))/VLOOKUP("USD",'Exchange Rates'!B:C,2,0),"Error with coding"))),"")</f>
        <v/>
      </c>
      <c r="U497" s="1184" t="s">
        <v>365</v>
      </c>
      <c r="V497" s="976" t="s">
        <v>1661</v>
      </c>
      <c r="W497" s="1020" t="s">
        <v>1675</v>
      </c>
      <c r="X497" s="1020" t="s">
        <v>1679</v>
      </c>
      <c r="Y497" s="1009" t="s">
        <v>1680</v>
      </c>
      <c r="Z497" s="1184">
        <v>0</v>
      </c>
      <c r="AA497" s="1184">
        <v>0</v>
      </c>
      <c r="AB497" s="1201" t="s">
        <v>364</v>
      </c>
      <c r="AC497" s="1192" t="str">
        <f>""</f>
        <v/>
      </c>
      <c r="AD497" s="1193">
        <v>0</v>
      </c>
      <c r="AE497" s="1193" t="s">
        <v>436</v>
      </c>
      <c r="AF497" s="1193" t="s">
        <v>369</v>
      </c>
      <c r="AG497" s="1193">
        <v>1</v>
      </c>
      <c r="AH497" s="1193">
        <v>14</v>
      </c>
      <c r="AI497" s="1193">
        <v>0</v>
      </c>
      <c r="AJ497" s="1193">
        <f>VLOOKUP($I497,'Price List, Weapons &amp; Items'!B:F,5,0)</f>
        <v>0</v>
      </c>
      <c r="AK497" s="1193">
        <f t="shared" si="108"/>
        <v>0</v>
      </c>
      <c r="AL497" s="1193">
        <f t="shared" si="109"/>
        <v>0</v>
      </c>
      <c r="AM497" s="1193">
        <f t="shared" si="110"/>
        <v>0</v>
      </c>
      <c r="AN497" s="1194" t="str">
        <f>VLOOKUP($I497,'Price List, Weapons &amp; Items'!B:L,COLUMN('Price List, Weapons &amp; Items'!$J$11)-1,0)</f>
        <v>Contracts</v>
      </c>
      <c r="AO497" s="1194" t="str">
        <f>IF(I497=".",".",VLOOKUP($I497,'Price List, Weapons &amp; Items'!B:J,3,0))</f>
        <v>Radar or imagery systems</v>
      </c>
      <c r="AP497" s="1195" t="str">
        <f t="shared" ca="1" si="104"/>
        <v/>
      </c>
      <c r="AQ497" s="1194">
        <f>VLOOKUP($I497,'Price List, Weapons &amp; Items'!B:L,COLUMN('Price List, Weapons &amp; Items'!$L$11)-1,0)</f>
        <v>2</v>
      </c>
      <c r="AR497" s="1194">
        <f t="shared" si="111"/>
        <v>1</v>
      </c>
      <c r="AS497" s="1194">
        <f t="shared" si="112"/>
        <v>1</v>
      </c>
      <c r="AT497" s="1194">
        <f t="shared" si="113"/>
        <v>1</v>
      </c>
      <c r="AU497" s="1194" t="str">
        <f t="shared" si="114"/>
        <v>.</v>
      </c>
      <c r="AV497" s="1194" t="str">
        <f t="shared" si="105"/>
        <v>.</v>
      </c>
      <c r="AW497" s="1194" t="str">
        <f t="shared" si="115"/>
        <v>.</v>
      </c>
      <c r="AX497" s="1194">
        <f>IFERROR(VLOOKUP(B497,'Share, Heavy Weapons to Ukraine'!B:Z,COLUMN('Share, Heavy Weapons to Ukraine'!C507)-1,0),0)</f>
        <v>0</v>
      </c>
      <c r="AY497" s="1194">
        <f>VLOOKUP('Bilateral Assistance, MAIN DATA'!B497,'Country Summary (€)'!B:F,COLUMN('Country Summary (€)'!C508)-1,FALSE)</f>
        <v>1</v>
      </c>
      <c r="AZ497" s="1194" t="str">
        <f>IF(AND(AD497=1,D497="Military",H497&lt;&gt;"Not given")=TRUE,IF(SUMIFS(P:P,A:A,A497)&gt;0,ABS((SUMIFS(P:P,A:A,A497)/VLOOKUP("USD",'Exchange Rates'!B:C,2,0)))/S497,"."),".")</f>
        <v>.</v>
      </c>
      <c r="BA497" s="1196" t="str">
        <f>IF(AND(AD497=1,D497="Military",H497&lt;&gt;"Not given")=TRUE,IF(SUMIFS(P:P,A:A,A497)&gt;0,IF((ABS((SUMIFS(P:P,A:A,A497)/VLOOKUP("USD",'Exchange Rates'!B:C,2,0)))/S497)&gt;1,(SUMIFS(P:P,A:A,A497)-S497)/S497,(S497-SUMIFS(P:P,A:A,A497))/SUMIFS(P:P,A:A,A497)),"."),".")</f>
        <v>.</v>
      </c>
    </row>
    <row r="498" spans="1:53" ht="15.95" customHeight="1">
      <c r="A498" s="1182" t="s">
        <v>1681</v>
      </c>
      <c r="B498" s="1182" t="s">
        <v>1523</v>
      </c>
      <c r="C498" s="1181">
        <v>44883</v>
      </c>
      <c r="D498" s="1182" t="s">
        <v>389</v>
      </c>
      <c r="E498" s="1182" t="s">
        <v>390</v>
      </c>
      <c r="F498" s="1263" t="s">
        <v>1682</v>
      </c>
      <c r="G498" s="1184" t="s">
        <v>456</v>
      </c>
      <c r="H498" s="1185" t="s">
        <v>457</v>
      </c>
      <c r="I498" s="1180" t="s">
        <v>1683</v>
      </c>
      <c r="J498" s="1186" t="str">
        <f>VLOOKUP($I498,'Price List, Weapons &amp; Items'!B:C,2,0)</f>
        <v>Heavy weapon</v>
      </c>
      <c r="K498" s="1186" t="str">
        <f>IF(I498=".",I498,VLOOKUP($I498,'Price List, Weapons &amp; Items'!B:D,3,0))</f>
        <v>Anti-aircraft surface-to-air missile (SAM) system (short-range)</v>
      </c>
      <c r="L498" s="1187">
        <f>VLOOKUP(I498,'Price List, Weapons &amp; Items'!B:E,4,0)</f>
        <v>0</v>
      </c>
      <c r="M498" s="1188">
        <v>2</v>
      </c>
      <c r="N498" s="1188">
        <v>2</v>
      </c>
      <c r="O498" s="1188">
        <f>VLOOKUP($I498,'Price List, Weapons &amp; Items'!B:G,6,0)</f>
        <v>10335642.57</v>
      </c>
      <c r="P498" s="1185">
        <f t="shared" si="106"/>
        <v>20671285.140000001</v>
      </c>
      <c r="Q498" s="1185">
        <f t="shared" si="107"/>
        <v>20671285.140000001</v>
      </c>
      <c r="R498" s="1185">
        <f t="shared" si="103"/>
        <v>47902603.397762574</v>
      </c>
      <c r="S498" s="1185">
        <f>IF(AND(AD498=1,R498&lt;&gt;".")=TRUE,R498/VLOOKUP(G498,'Exchange Rates'!B:C,2,0),IF(R498=".",".",""))</f>
        <v>44076742.176815033</v>
      </c>
      <c r="T498" s="1185">
        <f>IF(AD498=1,IF(AF498="Value is not given at all",".",IF(AF498="Value is given by the source",S498,IF(AF498="Value is calculated with prices",(IF(SUMIFS(Q:Q,A:A,A498)&gt;0,SUMIFS(Q:Q,A:A,A498),"."))/VLOOKUP("USD",'Exchange Rates'!B:C,2,0),"Error with coding"))),"")</f>
        <v>44076742.176815033</v>
      </c>
      <c r="U498" s="1184" t="s">
        <v>365</v>
      </c>
      <c r="V498" s="987" t="s">
        <v>1661</v>
      </c>
      <c r="W498" s="1017" t="s">
        <v>1684</v>
      </c>
      <c r="X498" s="1017" t="s">
        <v>1685</v>
      </c>
      <c r="Y498" s="1029" t="s">
        <v>1667</v>
      </c>
      <c r="Z498" s="1184">
        <v>0</v>
      </c>
      <c r="AA498" s="1184">
        <v>0</v>
      </c>
      <c r="AB498" s="1026" t="s">
        <v>1661</v>
      </c>
      <c r="AC498" s="1192" t="str">
        <f>""</f>
        <v/>
      </c>
      <c r="AD498" s="1193">
        <v>1</v>
      </c>
      <c r="AE498" s="1193" t="s">
        <v>436</v>
      </c>
      <c r="AF498" s="1193" t="s">
        <v>436</v>
      </c>
      <c r="AG498" s="1193">
        <v>1</v>
      </c>
      <c r="AH498" s="1193">
        <v>11</v>
      </c>
      <c r="AI498" s="1193">
        <v>0</v>
      </c>
      <c r="AJ498" s="1193">
        <f>VLOOKUP($I498,'Price List, Weapons &amp; Items'!B:F,5,0)</f>
        <v>0</v>
      </c>
      <c r="AK498" s="1193">
        <f t="shared" si="108"/>
        <v>0</v>
      </c>
      <c r="AL498" s="1193">
        <f t="shared" si="109"/>
        <v>0</v>
      </c>
      <c r="AM498" s="1193">
        <f t="shared" si="110"/>
        <v>0</v>
      </c>
      <c r="AN498" s="1194" t="str">
        <f>VLOOKUP($I498,'Price List, Weapons &amp; Items'!B:L,COLUMN('Price List, Weapons &amp; Items'!$J$11)-1,0)</f>
        <v>.</v>
      </c>
      <c r="AO498" s="1194" t="str">
        <f>IF(I498=".",".",VLOOKUP($I498,'Price List, Weapons &amp; Items'!B:J,3,0))</f>
        <v>Anti-aircraft surface-to-air missile (SAM) system (short-range)</v>
      </c>
      <c r="AP498" s="1195" t="str">
        <f t="shared" ca="1" si="104"/>
        <v>Cortale air-defense system</v>
      </c>
      <c r="AQ498" s="1194">
        <f>VLOOKUP($I498,'Price List, Weapons &amp; Items'!B:L,COLUMN('Price List, Weapons &amp; Items'!$L$11)-1,0)</f>
        <v>2</v>
      </c>
      <c r="AR498" s="1194">
        <f t="shared" si="111"/>
        <v>1</v>
      </c>
      <c r="AS498" s="1194">
        <f t="shared" si="112"/>
        <v>1</v>
      </c>
      <c r="AT498" s="1194">
        <f t="shared" si="113"/>
        <v>1</v>
      </c>
      <c r="AU498" s="1194" t="str">
        <f t="shared" si="114"/>
        <v>.</v>
      </c>
      <c r="AV498" s="1194" t="str">
        <f t="shared" si="105"/>
        <v>.</v>
      </c>
      <c r="AW498" s="1194" t="str">
        <f t="shared" si="115"/>
        <v>.</v>
      </c>
      <c r="AX498" s="1194">
        <f>IFERROR(VLOOKUP(B498,'Share, Heavy Weapons to Ukraine'!B:Z,COLUMN('Share, Heavy Weapons to Ukraine'!C508)-1,0),0)</f>
        <v>0</v>
      </c>
      <c r="AY498" s="1194">
        <f>VLOOKUP('Bilateral Assistance, MAIN DATA'!B498,'Country Summary (€)'!B:F,COLUMN('Country Summary (€)'!C509)-1,FALSE)</f>
        <v>1</v>
      </c>
      <c r="AZ498" s="1194" t="str">
        <f>IF(AND(AD498=1,D498="Military",H498&lt;&gt;"Not given")=TRUE,IF(SUMIFS(P:P,A:A,A498)&gt;0,ABS((SUMIFS(P:P,A:A,A498)/VLOOKUP("USD",'Exchange Rates'!B:C,2,0)))/S498,"."),".")</f>
        <v>.</v>
      </c>
      <c r="BA498" s="1196" t="str">
        <f>IF(AND(AD498=1,D498="Military",H498&lt;&gt;"Not given")=TRUE,IF(SUMIFS(P:P,A:A,A498)&gt;0,IF((ABS((SUMIFS(P:P,A:A,A498)/VLOOKUP("USD",'Exchange Rates'!B:C,2,0)))/S498)&gt;1,(SUMIFS(P:P,A:A,A498)-S498)/S498,(S498-SUMIFS(P:P,A:A,A498))/SUMIFS(P:P,A:A,A498)),"."),".")</f>
        <v>.</v>
      </c>
    </row>
    <row r="499" spans="1:53" ht="15.95" customHeight="1">
      <c r="A499" s="1182" t="s">
        <v>1681</v>
      </c>
      <c r="B499" s="1182" t="s">
        <v>1523</v>
      </c>
      <c r="C499" s="1181">
        <v>44883</v>
      </c>
      <c r="D499" s="1182" t="s">
        <v>389</v>
      </c>
      <c r="E499" s="1182" t="s">
        <v>390</v>
      </c>
      <c r="F499" s="1263" t="s">
        <v>1682</v>
      </c>
      <c r="G499" s="1184" t="s">
        <v>456</v>
      </c>
      <c r="H499" s="1185" t="s">
        <v>457</v>
      </c>
      <c r="I499" s="1180" t="s">
        <v>1686</v>
      </c>
      <c r="J499" s="1186" t="str">
        <f>VLOOKUP($I499,'Price List, Weapons &amp; Items'!B:C,2,0)</f>
        <v>Heavy weapon</v>
      </c>
      <c r="K499" s="1186" t="str">
        <f>IF(I499=".",I499,VLOOKUP($I499,'Price List, Weapons &amp; Items'!B:D,3,0))</f>
        <v>227mm MLRS</v>
      </c>
      <c r="L499" s="1187">
        <f>VLOOKUP(I499,'Price List, Weapons &amp; Items'!B:E,4,0)</f>
        <v>0</v>
      </c>
      <c r="M499" s="1188">
        <v>2</v>
      </c>
      <c r="N499" s="1188">
        <v>2</v>
      </c>
      <c r="O499" s="1188">
        <f>VLOOKUP($I499,'Price List, Weapons &amp; Items'!B:G,6,0)</f>
        <v>13615659.128881287</v>
      </c>
      <c r="P499" s="1185">
        <f t="shared" si="106"/>
        <v>27231318.257762574</v>
      </c>
      <c r="Q499" s="1185">
        <f t="shared" si="107"/>
        <v>27231318.257762574</v>
      </c>
      <c r="R499" s="1185" t="str">
        <f t="shared" si="103"/>
        <v/>
      </c>
      <c r="S499" s="1185" t="str">
        <f>IF(AND(AD499=1,R499&lt;&gt;".")=TRUE,R499/VLOOKUP(G499,'Exchange Rates'!B:C,2,0),IF(R499=".",".",""))</f>
        <v/>
      </c>
      <c r="T499" s="1185" t="str">
        <f>IF(AD499=1,IF(AF499="Value is not given at all",".",IF(AF499="Value is given by the source",S499,IF(AF499="Value is calculated with prices",(IF(SUMIFS(Q:Q,A:A,A499)&gt;0,SUMIFS(Q:Q,A:A,A499),"."))/VLOOKUP("USD",'Exchange Rates'!B:C,2,0),"Error with coding"))),"")</f>
        <v/>
      </c>
      <c r="U499" s="1184" t="s">
        <v>365</v>
      </c>
      <c r="V499" s="987" t="s">
        <v>1661</v>
      </c>
      <c r="W499" s="1017" t="s">
        <v>1684</v>
      </c>
      <c r="X499" s="1017" t="s">
        <v>1685</v>
      </c>
      <c r="Y499" s="1029" t="s">
        <v>1667</v>
      </c>
      <c r="Z499" s="1184">
        <v>0</v>
      </c>
      <c r="AA499" s="1184">
        <v>0</v>
      </c>
      <c r="AB499" s="1016" t="s">
        <v>1687</v>
      </c>
      <c r="AC499" s="1192" t="str">
        <f>""</f>
        <v/>
      </c>
      <c r="AD499" s="1193">
        <v>0</v>
      </c>
      <c r="AE499" s="1193" t="s">
        <v>436</v>
      </c>
      <c r="AF499" s="1193" t="s">
        <v>436</v>
      </c>
      <c r="AG499" s="1193">
        <v>1</v>
      </c>
      <c r="AH499" s="1193">
        <v>11</v>
      </c>
      <c r="AI499" s="1193">
        <v>0</v>
      </c>
      <c r="AJ499" s="1193">
        <f>VLOOKUP($I499,'Price List, Weapons &amp; Items'!B:F,5,0)</f>
        <v>1</v>
      </c>
      <c r="AK499" s="1193">
        <f t="shared" si="108"/>
        <v>0</v>
      </c>
      <c r="AL499" s="1193">
        <f t="shared" si="109"/>
        <v>0</v>
      </c>
      <c r="AM499" s="1193">
        <f t="shared" si="110"/>
        <v>0</v>
      </c>
      <c r="AN499" s="1194" t="str">
        <f>VLOOKUP($I499,'Price List, Weapons &amp; Items'!B:L,COLUMN('Price List, Weapons &amp; Items'!$J$11)-1,0)</f>
        <v>Contracts</v>
      </c>
      <c r="AO499" s="1194" t="str">
        <f>IF(I499=".",".",VLOOKUP($I499,'Price List, Weapons &amp; Items'!B:J,3,0))</f>
        <v>227mm MLRS</v>
      </c>
      <c r="AP499" s="1195" t="str">
        <f t="shared" ca="1" si="104"/>
        <v/>
      </c>
      <c r="AQ499" s="1194">
        <f>VLOOKUP($I499,'Price List, Weapons &amp; Items'!B:L,COLUMN('Price List, Weapons &amp; Items'!$L$11)-1,0)</f>
        <v>2</v>
      </c>
      <c r="AR499" s="1194">
        <f t="shared" si="111"/>
        <v>1</v>
      </c>
      <c r="AS499" s="1194">
        <f t="shared" si="112"/>
        <v>1</v>
      </c>
      <c r="AT499" s="1194">
        <f t="shared" si="113"/>
        <v>1</v>
      </c>
      <c r="AU499" s="1194" t="str">
        <f t="shared" si="114"/>
        <v>.</v>
      </c>
      <c r="AV499" s="1194" t="str">
        <f t="shared" si="105"/>
        <v>.</v>
      </c>
      <c r="AW499" s="1194" t="str">
        <f t="shared" si="115"/>
        <v>.</v>
      </c>
      <c r="AX499" s="1194">
        <f>IFERROR(VLOOKUP(B499,'Share, Heavy Weapons to Ukraine'!B:Z,COLUMN('Share, Heavy Weapons to Ukraine'!C509)-1,0),0)</f>
        <v>0</v>
      </c>
      <c r="AY499" s="1194">
        <f>VLOOKUP('Bilateral Assistance, MAIN DATA'!B499,'Country Summary (€)'!B:F,COLUMN('Country Summary (€)'!C510)-1,FALSE)</f>
        <v>1</v>
      </c>
      <c r="AZ499" s="1194" t="str">
        <f>IF(AND(AD499=1,D499="Military",H499&lt;&gt;"Not given")=TRUE,IF(SUMIFS(P:P,A:A,A499)&gt;0,ABS((SUMIFS(P:P,A:A,A499)/VLOOKUP("USD",'Exchange Rates'!B:C,2,0)))/S499,"."),".")</f>
        <v>.</v>
      </c>
      <c r="BA499" s="1196" t="str">
        <f>IF(AND(AD499=1,D499="Military",H499&lt;&gt;"Not given")=TRUE,IF(SUMIFS(P:P,A:A,A499)&gt;0,IF((ABS((SUMIFS(P:P,A:A,A499)/VLOOKUP("USD",'Exchange Rates'!B:C,2,0)))/S499)&gt;1,(SUMIFS(P:P,A:A,A499)-S499)/S499,(S499-SUMIFS(P:P,A:A,A499))/SUMIFS(P:P,A:A,A499)),"."),".")</f>
        <v>.</v>
      </c>
    </row>
    <row r="500" spans="1:53" ht="15.75" customHeight="1">
      <c r="A500" s="1180" t="s">
        <v>1688</v>
      </c>
      <c r="B500" s="1180" t="s">
        <v>1523</v>
      </c>
      <c r="C500" s="1181">
        <v>44930</v>
      </c>
      <c r="D500" s="1182" t="s">
        <v>389</v>
      </c>
      <c r="E500" s="1182" t="s">
        <v>390</v>
      </c>
      <c r="F500" s="1183" t="s">
        <v>1689</v>
      </c>
      <c r="G500" s="1184" t="s">
        <v>456</v>
      </c>
      <c r="H500" s="1185" t="s">
        <v>457</v>
      </c>
      <c r="I500" s="1180" t="s">
        <v>1690</v>
      </c>
      <c r="J500" s="1186" t="str">
        <f>VLOOKUP($I500,'Price List, Weapons &amp; Items'!B:C,2,0)</f>
        <v>Heavy weapon</v>
      </c>
      <c r="K500" s="1186" t="str">
        <f>IF(I500=".",I500,VLOOKUP($I500,'Price List, Weapons &amp; Items'!B:D,3,0))</f>
        <v>Armored Personnel Carrier (APC)</v>
      </c>
      <c r="L500" s="1187">
        <f>VLOOKUP(I500,'Price List, Weapons &amp; Items'!B:E,4,0)</f>
        <v>0</v>
      </c>
      <c r="M500" s="1188" t="s">
        <v>374</v>
      </c>
      <c r="N500" s="1188" t="s">
        <v>374</v>
      </c>
      <c r="O500" s="1188">
        <f>VLOOKUP($I500,'Price List, Weapons &amp; Items'!B:G,6,0)</f>
        <v>833000</v>
      </c>
      <c r="P500" s="1185" t="str">
        <f t="shared" si="106"/>
        <v>.</v>
      </c>
      <c r="Q500" s="1185" t="str">
        <f t="shared" si="107"/>
        <v>.</v>
      </c>
      <c r="R500" s="1185" t="str">
        <f t="shared" si="103"/>
        <v>.</v>
      </c>
      <c r="S500" s="1185" t="str">
        <f>IF(AND(AD500=1,R500&lt;&gt;".")=TRUE,R500/VLOOKUP(G500,'Exchange Rates'!B:C,2,0),IF(R500=".",".",""))</f>
        <v>.</v>
      </c>
      <c r="T500" s="1185" t="str">
        <f>IF(AD500=1,IF(AF500="Value is not given at all",".",IF(AF500="Value is given by the source",S500,IF(AF500="Value is calculated with prices",(IF(SUMIFS(Q:Q,A:A,A500)&gt;0,SUMIFS(Q:Q,A:A,A500),"."))/VLOOKUP("USD",'Exchange Rates'!B:C,2,0),"Error with coding"))),"")</f>
        <v>.</v>
      </c>
      <c r="U500" s="1184" t="s">
        <v>365</v>
      </c>
      <c r="V500" s="980" t="s">
        <v>1691</v>
      </c>
      <c r="Z500" s="1184">
        <v>0</v>
      </c>
      <c r="AA500" s="1194">
        <v>0</v>
      </c>
      <c r="AC500" s="1192" t="str">
        <f>""</f>
        <v/>
      </c>
      <c r="AD500" s="1194">
        <v>1</v>
      </c>
      <c r="AE500" s="1194" t="s">
        <v>369</v>
      </c>
      <c r="AF500" s="1194" t="s">
        <v>369</v>
      </c>
      <c r="AG500" s="1194">
        <v>1</v>
      </c>
      <c r="AH500" s="1194">
        <v>13</v>
      </c>
      <c r="AI500" s="1194">
        <v>0</v>
      </c>
      <c r="AJ500" s="1193">
        <f>VLOOKUP($I500,'Price List, Weapons &amp; Items'!B:F,5,0)</f>
        <v>1</v>
      </c>
      <c r="AK500" s="1193">
        <f t="shared" si="108"/>
        <v>1</v>
      </c>
      <c r="AL500" s="1193">
        <f t="shared" si="109"/>
        <v>1</v>
      </c>
      <c r="AM500" s="1193">
        <f t="shared" si="110"/>
        <v>0</v>
      </c>
      <c r="AN500" s="1194" t="str">
        <f>VLOOKUP($I500,'Price List, Weapons &amp; Items'!B:L,COLUMN('Price List, Weapons &amp; Items'!$J$11)-1,0)</f>
        <v>Contracts</v>
      </c>
      <c r="AO500" s="1194" t="str">
        <f>IF(I500=".",".",VLOOKUP($I500,'Price List, Weapons &amp; Items'!B:J,3,0))</f>
        <v>Armored Personnel Carrier (APC)</v>
      </c>
      <c r="AP500" s="1195" t="str">
        <f t="shared" ca="1" si="104"/>
        <v>Bastion APC</v>
      </c>
      <c r="AQ500" s="1194" t="str">
        <f>VLOOKUP($I500,'Price List, Weapons &amp; Items'!B:L,COLUMN('Price List, Weapons &amp; Items'!$L$11)-1,0)</f>
        <v>no price, 0 count</v>
      </c>
      <c r="AR500" s="1194">
        <f t="shared" si="111"/>
        <v>1</v>
      </c>
      <c r="AS500" s="1194">
        <f t="shared" si="112"/>
        <v>1</v>
      </c>
      <c r="AT500" s="1194">
        <f t="shared" si="113"/>
        <v>1</v>
      </c>
      <c r="AU500" s="1194" t="str">
        <f t="shared" si="114"/>
        <v>.</v>
      </c>
      <c r="AV500" s="1194" t="str">
        <f t="shared" si="105"/>
        <v>.</v>
      </c>
      <c r="AW500" s="1194" t="str">
        <f t="shared" si="115"/>
        <v>.</v>
      </c>
      <c r="AX500" s="1194">
        <f>IFERROR(VLOOKUP(B500,'Share, Heavy Weapons to Ukraine'!B:Z,COLUMN('Share, Heavy Weapons to Ukraine'!C510)-1,0),0)</f>
        <v>0</v>
      </c>
      <c r="AY500" s="1194">
        <f>VLOOKUP('Bilateral Assistance, MAIN DATA'!B500,'Country Summary (€)'!B:F,COLUMN('Country Summary (€)'!C511)-1,FALSE)</f>
        <v>1</v>
      </c>
      <c r="AZ500" s="1194" t="str">
        <f>IF(AND(AD500=1,D500="Military",H500&lt;&gt;"Not given")=TRUE,IF(SUMIFS(P:P,A:A,A500)&gt;0,ABS((SUMIFS(P:P,A:A,A500)/VLOOKUP("USD",'Exchange Rates'!B:C,2,0)))/S500,"."),".")</f>
        <v>.</v>
      </c>
      <c r="BA500" s="1196" t="str">
        <f>IF(AND(AD500=1,D500="Military",H500&lt;&gt;"Not given")=TRUE,IF(SUMIFS(P:P,A:A,A500)&gt;0,IF((ABS((SUMIFS(P:P,A:A,A500)/VLOOKUP("USD",'Exchange Rates'!B:C,2,0)))/S500)&gt;1,(SUMIFS(P:P,A:A,A500)-S500)/S500,(S500-SUMIFS(P:P,A:A,A500))/SUMIFS(P:P,A:A,A500)),"."),".")</f>
        <v>.</v>
      </c>
    </row>
    <row r="501" spans="1:53" ht="15.95" customHeight="1">
      <c r="A501" s="1182" t="s">
        <v>1692</v>
      </c>
      <c r="B501" s="1182" t="s">
        <v>1523</v>
      </c>
      <c r="C501" s="1181">
        <v>44931</v>
      </c>
      <c r="D501" s="1182" t="s">
        <v>389</v>
      </c>
      <c r="E501" s="1182" t="s">
        <v>390</v>
      </c>
      <c r="F501" s="1263" t="s">
        <v>1693</v>
      </c>
      <c r="G501" s="1184" t="s">
        <v>456</v>
      </c>
      <c r="H501" s="1185" t="s">
        <v>457</v>
      </c>
      <c r="I501" s="1180" t="s">
        <v>1694</v>
      </c>
      <c r="J501" s="1186" t="str">
        <f>VLOOKUP($I501,'Price List, Weapons &amp; Items'!B:C,2,0)</f>
        <v>Heavy weapon</v>
      </c>
      <c r="K501" s="1186" t="str">
        <f>IF(I501=".",I501,VLOOKUP($I501,'Price List, Weapons &amp; Items'!B:D,3,0))</f>
        <v>Wheeled Assault Gun (ASLT)</v>
      </c>
      <c r="L501" s="1187">
        <f>VLOOKUP(I501,'Price List, Weapons &amp; Items'!B:E,4,0)</f>
        <v>0</v>
      </c>
      <c r="M501" s="1188" t="s">
        <v>374</v>
      </c>
      <c r="N501" s="1188" t="s">
        <v>374</v>
      </c>
      <c r="O501" s="1188">
        <f>VLOOKUP($I501,'Price List, Weapons &amp; Items'!B:G,6,0)</f>
        <v>4857353.4800000004</v>
      </c>
      <c r="P501" s="1185" t="str">
        <f t="shared" si="106"/>
        <v>.</v>
      </c>
      <c r="Q501" s="1185" t="str">
        <f t="shared" si="107"/>
        <v>.</v>
      </c>
      <c r="R501" s="1185" t="str">
        <f t="shared" si="103"/>
        <v>.</v>
      </c>
      <c r="S501" s="1185" t="str">
        <f>IF(AND(AD501=1,R501&lt;&gt;".")=TRUE,R501/VLOOKUP(G501,'Exchange Rates'!B:C,2,0),IF(R501=".",".",""))</f>
        <v>.</v>
      </c>
      <c r="T501" s="1185" t="str">
        <f>IF(AD501=1,IF(AF501="Value is not given at all",".",IF(AF501="Value is given by the source",S501,IF(AF501="Value is calculated with prices",(IF(SUMIFS(Q:Q,A:A,A501)&gt;0,SUMIFS(Q:Q,A:A,A501),"."))/VLOOKUP("USD",'Exchange Rates'!B:C,2,0),"Error with coding"))),"")</f>
        <v>.</v>
      </c>
      <c r="U501" s="1184" t="s">
        <v>365</v>
      </c>
      <c r="V501" s="1029" t="s">
        <v>1673</v>
      </c>
      <c r="W501" s="1017" t="s">
        <v>1695</v>
      </c>
      <c r="X501" s="1017" t="s">
        <v>1696</v>
      </c>
      <c r="Y501" s="1029" t="s">
        <v>1697</v>
      </c>
      <c r="Z501" s="1184">
        <v>0</v>
      </c>
      <c r="AA501" s="1184">
        <v>0</v>
      </c>
      <c r="AB501" s="1201" t="s">
        <v>364</v>
      </c>
      <c r="AC501" s="1192" t="str">
        <f>""</f>
        <v/>
      </c>
      <c r="AD501" s="1193">
        <v>1</v>
      </c>
      <c r="AE501" s="1193" t="s">
        <v>369</v>
      </c>
      <c r="AF501" s="1193" t="s">
        <v>369</v>
      </c>
      <c r="AG501" s="1193">
        <v>1</v>
      </c>
      <c r="AH501" s="1193">
        <v>13</v>
      </c>
      <c r="AI501" s="1193">
        <v>0</v>
      </c>
      <c r="AJ501" s="1193">
        <f>VLOOKUP($I501,'Price List, Weapons &amp; Items'!B:F,5,0)</f>
        <v>0</v>
      </c>
      <c r="AK501" s="1193">
        <f t="shared" si="108"/>
        <v>0</v>
      </c>
      <c r="AL501" s="1193">
        <f t="shared" si="109"/>
        <v>0</v>
      </c>
      <c r="AM501" s="1193">
        <f t="shared" si="110"/>
        <v>0</v>
      </c>
      <c r="AN501" s="1194" t="str">
        <f>VLOOKUP($I501,'Price List, Weapons &amp; Items'!B:L,COLUMN('Price List, Weapons &amp; Items'!$J$11)-1,0)</f>
        <v>Contracts</v>
      </c>
      <c r="AO501" s="1194" t="str">
        <f>IF(I501=".",".",VLOOKUP($I501,'Price List, Weapons &amp; Items'!B:J,3,0))</f>
        <v>Wheeled Assault Gun (ASLT)</v>
      </c>
      <c r="AP501" s="1195" t="str">
        <f t="shared" ca="1" si="104"/>
        <v>AMX-10 RC</v>
      </c>
      <c r="AQ501" s="1194" t="str">
        <f>VLOOKUP($I501,'Price List, Weapons &amp; Items'!B:L,COLUMN('Price List, Weapons &amp; Items'!$L$11)-1,0)</f>
        <v>no price, 0 count</v>
      </c>
      <c r="AR501" s="1194">
        <f t="shared" si="111"/>
        <v>1</v>
      </c>
      <c r="AS501" s="1194">
        <f t="shared" si="112"/>
        <v>1</v>
      </c>
      <c r="AT501" s="1194">
        <f t="shared" si="113"/>
        <v>1</v>
      </c>
      <c r="AU501" s="1194" t="str">
        <f t="shared" si="114"/>
        <v>.</v>
      </c>
      <c r="AV501" s="1194" t="str">
        <f t="shared" si="105"/>
        <v>.</v>
      </c>
      <c r="AW501" s="1194" t="str">
        <f t="shared" si="115"/>
        <v>.</v>
      </c>
      <c r="AX501" s="1194">
        <f>IFERROR(VLOOKUP(B501,'Share, Heavy Weapons to Ukraine'!B:Z,COLUMN('Share, Heavy Weapons to Ukraine'!C511)-1,0),0)</f>
        <v>0</v>
      </c>
      <c r="AY501" s="1194">
        <f>VLOOKUP('Bilateral Assistance, MAIN DATA'!B501,'Country Summary (€)'!B:F,COLUMN('Country Summary (€)'!C512)-1,FALSE)</f>
        <v>1</v>
      </c>
      <c r="AZ501" s="1194" t="str">
        <f>IF(AND(AD501=1,D501="Military",H501&lt;&gt;"Not given")=TRUE,IF(SUMIFS(P:P,A:A,A501)&gt;0,ABS((SUMIFS(P:P,A:A,A501)/VLOOKUP("USD",'Exchange Rates'!B:C,2,0)))/S501,"."),".")</f>
        <v>.</v>
      </c>
      <c r="BA501" s="1196" t="str">
        <f>IF(AND(AD501=1,D501="Military",H501&lt;&gt;"Not given")=TRUE,IF(SUMIFS(P:P,A:A,A501)&gt;0,IF((ABS((SUMIFS(P:P,A:A,A501)/VLOOKUP("USD",'Exchange Rates'!B:C,2,0)))/S501)&gt;1,(SUMIFS(P:P,A:A,A501)-S501)/S501,(S501-SUMIFS(P:P,A:A,A501))/SUMIFS(P:P,A:A,A501)),"."),".")</f>
        <v>.</v>
      </c>
    </row>
    <row r="502" spans="1:53" ht="15.95" customHeight="1">
      <c r="A502" s="1182" t="s">
        <v>1698</v>
      </c>
      <c r="B502" s="1182" t="s">
        <v>1523</v>
      </c>
      <c r="C502" s="1181">
        <v>44960</v>
      </c>
      <c r="D502" s="1182" t="s">
        <v>389</v>
      </c>
      <c r="E502" s="1182" t="s">
        <v>1676</v>
      </c>
      <c r="F502" s="1263" t="s">
        <v>1699</v>
      </c>
      <c r="G502" s="1184" t="s">
        <v>456</v>
      </c>
      <c r="H502" s="1185" t="s">
        <v>457</v>
      </c>
      <c r="I502" s="1180" t="s">
        <v>1700</v>
      </c>
      <c r="J502" s="1186" t="str">
        <f>VLOOKUP($I502,'Price List, Weapons &amp; Items'!B:C,2,0)</f>
        <v>Ammunition for heavy weapon</v>
      </c>
      <c r="K502" s="1186" t="str">
        <f>IF(I502=".",I502,VLOOKUP($I502,'Price List, Weapons &amp; Items'!B:D,3,0))</f>
        <v>missile</v>
      </c>
      <c r="L502" s="1187">
        <f>VLOOKUP(I502,'Price List, Weapons &amp; Items'!B:E,4,0)</f>
        <v>0</v>
      </c>
      <c r="M502" s="1188" t="s">
        <v>374</v>
      </c>
      <c r="N502" s="1188" t="s">
        <v>374</v>
      </c>
      <c r="O502" s="1188">
        <f>VLOOKUP($I502,'Price List, Weapons &amp; Items'!B:G,6,0)</f>
        <v>2857000</v>
      </c>
      <c r="P502" s="1185" t="str">
        <f t="shared" si="106"/>
        <v>.</v>
      </c>
      <c r="Q502" s="1185" t="str">
        <f t="shared" si="107"/>
        <v>.</v>
      </c>
      <c r="R502" s="1185" t="str">
        <f t="shared" si="103"/>
        <v>.</v>
      </c>
      <c r="S502" s="1185" t="str">
        <f>IF(AND(AD502=1,R502&lt;&gt;".")=TRUE,R502/VLOOKUP(G502,'Exchange Rates'!B:C,2,0),IF(R502=".",".",""))</f>
        <v>.</v>
      </c>
      <c r="T502" s="1185" t="str">
        <f>IF(AD502=1,IF(AF502="Value is not given at all",".",IF(AF502="Value is given by the source",S502,IF(AF502="Value is calculated with prices",(IF(SUMIFS(Q:Q,A:A,A502)&gt;0,SUMIFS(Q:Q,A:A,A502),"."))/VLOOKUP("USD",'Exchange Rates'!B:C,2,0),"Error with coding"))),"")</f>
        <v>.</v>
      </c>
      <c r="U502" s="1184" t="s">
        <v>365</v>
      </c>
      <c r="V502" s="964" t="s">
        <v>1661</v>
      </c>
      <c r="W502" s="976" t="s">
        <v>1701</v>
      </c>
      <c r="X502" s="966" t="s">
        <v>1702</v>
      </c>
      <c r="Y502" s="1029" t="s">
        <v>1703</v>
      </c>
      <c r="Z502" s="1184">
        <v>0</v>
      </c>
      <c r="AA502" s="1184">
        <v>0</v>
      </c>
      <c r="AB502" s="1201" t="s">
        <v>364</v>
      </c>
      <c r="AC502" s="1192" t="str">
        <f>""</f>
        <v/>
      </c>
      <c r="AD502" s="1193">
        <v>1</v>
      </c>
      <c r="AE502" s="1193" t="s">
        <v>436</v>
      </c>
      <c r="AF502" s="1193" t="s">
        <v>369</v>
      </c>
      <c r="AG502" s="1193">
        <v>1</v>
      </c>
      <c r="AH502" s="1193">
        <v>14</v>
      </c>
      <c r="AI502" s="1193">
        <v>0</v>
      </c>
      <c r="AJ502" s="1193">
        <f>VLOOKUP($I502,'Price List, Weapons &amp; Items'!B:F,5,0)</f>
        <v>0</v>
      </c>
      <c r="AK502" s="1193">
        <f t="shared" si="108"/>
        <v>0</v>
      </c>
      <c r="AL502" s="1193">
        <f t="shared" si="109"/>
        <v>0</v>
      </c>
      <c r="AM502" s="1193">
        <f t="shared" si="110"/>
        <v>0</v>
      </c>
      <c r="AN502" s="1194" t="str">
        <f>VLOOKUP($I502,'Price List, Weapons &amp; Items'!B:L,COLUMN('Price List, Weapons &amp; Items'!$J$11)-1,0)</f>
        <v>Military media (incl. websites)</v>
      </c>
      <c r="AO502" s="1194" t="str">
        <f>IF(I502=".",".",VLOOKUP($I502,'Price List, Weapons &amp; Items'!B:J,3,0))</f>
        <v>missile</v>
      </c>
      <c r="AP502" s="1195" t="str">
        <f t="shared" ca="1" si="104"/>
        <v>SAMP/T anti-air missile</v>
      </c>
      <c r="AQ502" s="1194" t="str">
        <f>VLOOKUP($I502,'Price List, Weapons &amp; Items'!B:L,COLUMN('Price List, Weapons &amp; Items'!$L$11)-1,0)</f>
        <v>no price, 0 count</v>
      </c>
      <c r="AR502" s="1194">
        <f t="shared" si="111"/>
        <v>1</v>
      </c>
      <c r="AS502" s="1194">
        <f t="shared" si="112"/>
        <v>1</v>
      </c>
      <c r="AT502" s="1194">
        <f t="shared" si="113"/>
        <v>1</v>
      </c>
      <c r="AU502" s="1194" t="str">
        <f t="shared" si="114"/>
        <v>.</v>
      </c>
      <c r="AV502" s="1194" t="str">
        <f t="shared" si="105"/>
        <v>.</v>
      </c>
      <c r="AW502" s="1194" t="str">
        <f t="shared" si="115"/>
        <v>.</v>
      </c>
      <c r="AX502" s="1194">
        <f>IFERROR(VLOOKUP(B502,'Share, Heavy Weapons to Ukraine'!B:Z,COLUMN('Share, Heavy Weapons to Ukraine'!C512)-1,0),0)</f>
        <v>0</v>
      </c>
      <c r="AY502" s="1194">
        <f>VLOOKUP('Bilateral Assistance, MAIN DATA'!B502,'Country Summary (€)'!B:F,COLUMN('Country Summary (€)'!C513)-1,FALSE)</f>
        <v>1</v>
      </c>
      <c r="AZ502" s="1194" t="str">
        <f>IF(AND(AD502=1,D502="Military",H502&lt;&gt;"Not given")=TRUE,IF(SUMIFS(P:P,A:A,A502)&gt;0,ABS((SUMIFS(P:P,A:A,A502)/VLOOKUP("USD",'Exchange Rates'!B:C,2,0)))/S502,"."),".")</f>
        <v>.</v>
      </c>
      <c r="BA502" s="1196" t="str">
        <f>IF(AND(AD502=1,D502="Military",H502&lt;&gt;"Not given")=TRUE,IF(SUMIFS(P:P,A:A,A502)&gt;0,IF((ABS((SUMIFS(P:P,A:A,A502)/VLOOKUP("USD",'Exchange Rates'!B:C,2,0)))/S502)&gt;1,(SUMIFS(P:P,A:A,A502)-S502)/S502,(S502-SUMIFS(P:P,A:A,A502))/SUMIFS(P:P,A:A,A502)),"."),".")</f>
        <v>.</v>
      </c>
    </row>
    <row r="503" spans="1:53" ht="15.75" customHeight="1">
      <c r="A503" s="1182" t="s">
        <v>1704</v>
      </c>
      <c r="B503" s="1182" t="s">
        <v>1523</v>
      </c>
      <c r="C503" s="1181">
        <v>45061</v>
      </c>
      <c r="D503" s="1182" t="s">
        <v>389</v>
      </c>
      <c r="E503" s="1182" t="s">
        <v>390</v>
      </c>
      <c r="F503" s="1263" t="s">
        <v>1705</v>
      </c>
      <c r="G503" s="1184" t="s">
        <v>456</v>
      </c>
      <c r="H503" s="1185" t="s">
        <v>457</v>
      </c>
      <c r="I503" s="1180" t="s">
        <v>1694</v>
      </c>
      <c r="J503" s="1186" t="str">
        <f>VLOOKUP($I503,'Price List, Weapons &amp; Items'!B:C,2,0)</f>
        <v>Heavy weapon</v>
      </c>
      <c r="K503" s="1186" t="str">
        <f>IF(I503=".",I503,VLOOKUP($I503,'Price List, Weapons &amp; Items'!B:D,3,0))</f>
        <v>Wheeled Assault Gun (ASLT)</v>
      </c>
      <c r="L503" s="1187">
        <f>VLOOKUP(I503,'Price List, Weapons &amp; Items'!B:E,4,0)</f>
        <v>0</v>
      </c>
      <c r="M503" s="1188" t="s">
        <v>374</v>
      </c>
      <c r="N503" s="1188" t="s">
        <v>374</v>
      </c>
      <c r="O503" s="1188">
        <f>VLOOKUP($I503,'Price List, Weapons &amp; Items'!B:G,6,0)</f>
        <v>4857353.4800000004</v>
      </c>
      <c r="P503" s="1185" t="str">
        <f t="shared" si="106"/>
        <v>.</v>
      </c>
      <c r="Q503" s="1185" t="str">
        <f t="shared" si="107"/>
        <v>.</v>
      </c>
      <c r="R503" s="1185" t="str">
        <f t="shared" si="103"/>
        <v>.</v>
      </c>
      <c r="S503" s="1185" t="str">
        <f>IF(AND(AD503=1,R503&lt;&gt;".")=TRUE,R503/VLOOKUP(G503,'Exchange Rates'!B:C,2,0),IF(R503=".",".",""))</f>
        <v>.</v>
      </c>
      <c r="T503" s="1185" t="str">
        <f>IF(AD503=1,IF(AF503="Value is not given at all",".",IF(AF503="Value is given by the source",S503,IF(AF503="Value is calculated with prices",(IF(SUMIFS(Q:Q,A:A,A503)&gt;0,SUMIFS(Q:Q,A:A,A503),"."))/VLOOKUP("USD",'Exchange Rates'!B:C,2,0),"Error with coding"))),"")</f>
        <v>.</v>
      </c>
      <c r="U503" s="1184" t="s">
        <v>365</v>
      </c>
      <c r="V503" s="964" t="s">
        <v>1706</v>
      </c>
      <c r="W503" s="976" t="s">
        <v>1707</v>
      </c>
      <c r="X503" s="966" t="s">
        <v>1708</v>
      </c>
      <c r="Y503" s="976" t="s">
        <v>1709</v>
      </c>
      <c r="Z503" s="1184">
        <v>0</v>
      </c>
      <c r="AA503" s="1184">
        <v>1</v>
      </c>
      <c r="AB503" s="1026" t="s">
        <v>364</v>
      </c>
      <c r="AC503" s="1192" t="str">
        <f>""</f>
        <v/>
      </c>
      <c r="AD503" s="1193">
        <v>1</v>
      </c>
      <c r="AE503" s="1193" t="s">
        <v>369</v>
      </c>
      <c r="AF503" s="1193" t="s">
        <v>369</v>
      </c>
      <c r="AG503" s="1193">
        <v>1</v>
      </c>
      <c r="AH503" s="1193">
        <v>17</v>
      </c>
      <c r="AI503" s="1193">
        <v>0</v>
      </c>
      <c r="AJ503" s="1193">
        <f>VLOOKUP($I503,'Price List, Weapons &amp; Items'!B:F,5,0)</f>
        <v>0</v>
      </c>
      <c r="AK503" s="1193">
        <f t="shared" si="108"/>
        <v>0</v>
      </c>
      <c r="AL503" s="1193">
        <f t="shared" si="109"/>
        <v>0</v>
      </c>
      <c r="AM503" s="1193">
        <f t="shared" si="110"/>
        <v>0</v>
      </c>
      <c r="AN503" s="1194" t="str">
        <f>VLOOKUP($I503,'Price List, Weapons &amp; Items'!B:L,COLUMN('Price List, Weapons &amp; Items'!$J$11)-1,0)</f>
        <v>Contracts</v>
      </c>
      <c r="AO503" s="1194" t="str">
        <f>IF(I503=".",".",VLOOKUP($I503,'Price List, Weapons &amp; Items'!B:J,3,0))</f>
        <v>Wheeled Assault Gun (ASLT)</v>
      </c>
      <c r="AP503" s="1195" t="str">
        <f t="shared" ca="1" si="104"/>
        <v>AMX-10 RC</v>
      </c>
      <c r="AQ503" s="1194" t="str">
        <f>VLOOKUP($I503,'Price List, Weapons &amp; Items'!B:L,COLUMN('Price List, Weapons &amp; Items'!$L$11)-1,0)</f>
        <v>no price, 0 count</v>
      </c>
      <c r="AR503" s="1194">
        <f t="shared" si="111"/>
        <v>1</v>
      </c>
      <c r="AS503" s="1194">
        <f t="shared" si="112"/>
        <v>1</v>
      </c>
      <c r="AT503" s="1194">
        <f t="shared" si="113"/>
        <v>1</v>
      </c>
      <c r="AU503" s="1194" t="str">
        <f t="shared" si="114"/>
        <v>.</v>
      </c>
      <c r="AV503" s="1194" t="str">
        <f t="shared" si="105"/>
        <v>.</v>
      </c>
      <c r="AW503" s="1194" t="str">
        <f t="shared" si="115"/>
        <v>.</v>
      </c>
      <c r="AX503" s="1194">
        <f>IFERROR(VLOOKUP(B503,'Share, Heavy Weapons to Ukraine'!B:Z,COLUMN('Share, Heavy Weapons to Ukraine'!C513)-1,0),0)</f>
        <v>0</v>
      </c>
      <c r="AY503" s="1194">
        <f>VLOOKUP('Bilateral Assistance, MAIN DATA'!B503,'Country Summary (€)'!B:F,COLUMN('Country Summary (€)'!C514)-1,FALSE)</f>
        <v>1</v>
      </c>
      <c r="AZ503" s="1194" t="str">
        <f>IF(AND(AD503=1,D503="Military",H503&lt;&gt;"Not given")=TRUE,IF(SUMIFS(P:P,A:A,A503)&gt;0,ABS((SUMIFS(P:P,A:A,A503)/VLOOKUP("USD",'Exchange Rates'!B:C,2,0)))/S503,"."),".")</f>
        <v>.</v>
      </c>
      <c r="BA503" s="1196" t="str">
        <f>IF(AND(AD503=1,D503="Military",H503&lt;&gt;"Not given")=TRUE,IF(SUMIFS(P:P,A:A,A503)&gt;0,IF((ABS((SUMIFS(P:P,A:A,A503)/VLOOKUP("USD",'Exchange Rates'!B:C,2,0)))/S503)&gt;1,(SUMIFS(P:P,A:A,A503)-S503)/S503,(S503-SUMIFS(P:P,A:A,A503))/SUMIFS(P:P,A:A,A503)),"."),".")</f>
        <v>.</v>
      </c>
    </row>
    <row r="504" spans="1:53" ht="15.95" customHeight="1">
      <c r="A504" s="1180" t="s">
        <v>1710</v>
      </c>
      <c r="B504" s="1180" t="s">
        <v>1711</v>
      </c>
      <c r="C504" s="1181" t="s">
        <v>1712</v>
      </c>
      <c r="D504" s="1182" t="s">
        <v>360</v>
      </c>
      <c r="E504" s="1182" t="s">
        <v>1152</v>
      </c>
      <c r="F504" s="1183" t="s">
        <v>1713</v>
      </c>
      <c r="G504" s="1184" t="s">
        <v>483</v>
      </c>
      <c r="H504" s="1185">
        <v>185000000</v>
      </c>
      <c r="I504" s="1201" t="s">
        <v>364</v>
      </c>
      <c r="J504" s="1186" t="str">
        <f>VLOOKUP($I504,'Price List, Weapons &amp; Items'!B:C,2,0)</f>
        <v>.</v>
      </c>
      <c r="K504" s="1186" t="str">
        <f>IF(I504=".",I504,VLOOKUP($I504,'Price List, Weapons &amp; Items'!B:D,3,0))</f>
        <v>.</v>
      </c>
      <c r="L504" s="1187">
        <f>VLOOKUP(I504,'Price List, Weapons &amp; Items'!B:E,4,0)</f>
        <v>0</v>
      </c>
      <c r="M504" s="1188" t="s">
        <v>364</v>
      </c>
      <c r="N504" s="1188" t="s">
        <v>364</v>
      </c>
      <c r="O504" s="1188" t="str">
        <f>VLOOKUP($I504,'Price List, Weapons &amp; Items'!B:G,6,0)</f>
        <v>.</v>
      </c>
      <c r="P504" s="1185" t="str">
        <f t="shared" si="106"/>
        <v>.</v>
      </c>
      <c r="Q504" s="1185" t="str">
        <f t="shared" si="107"/>
        <v>.</v>
      </c>
      <c r="R504" s="1185">
        <f t="shared" si="103"/>
        <v>185000000</v>
      </c>
      <c r="S504" s="1185">
        <f>IF(AND(AD504=1,R504&lt;&gt;".")=TRUE,R504/VLOOKUP(G504,'Exchange Rates'!B:C,2,0),IF(R504=".",".",""))</f>
        <v>185000000</v>
      </c>
      <c r="T504" s="1185" t="str">
        <f>IF(AD504=1,IF(AF504="Value is not given at all",".",IF(AF504="Value is given by the source",S504,IF(AF504="Value is calculated with prices",(IF(SUMIFS(Q:Q,A:A,A504)&gt;0,SUMIFS(Q:Q,A:A,A504),"."))/VLOOKUP("USD",'Exchange Rates'!B:C,2,0),"Error with coding"))),"")</f>
        <v>.</v>
      </c>
      <c r="U504" s="1184" t="s">
        <v>365</v>
      </c>
      <c r="V504" s="971" t="s">
        <v>1714</v>
      </c>
      <c r="W504" s="971" t="s">
        <v>1715</v>
      </c>
      <c r="X504" s="972" t="s">
        <v>1716</v>
      </c>
      <c r="Y504" s="972" t="s">
        <v>1717</v>
      </c>
      <c r="Z504" s="1184">
        <v>0</v>
      </c>
      <c r="AA504" s="1194">
        <v>0</v>
      </c>
      <c r="AB504" s="1201" t="s">
        <v>364</v>
      </c>
      <c r="AC504" s="1192" t="str">
        <f>""</f>
        <v/>
      </c>
      <c r="AD504" s="1193">
        <v>1</v>
      </c>
      <c r="AE504" s="1193" t="s">
        <v>368</v>
      </c>
      <c r="AF504" s="1193" t="s">
        <v>369</v>
      </c>
      <c r="AG504" s="1193">
        <v>1</v>
      </c>
      <c r="AH504" s="1193">
        <v>5</v>
      </c>
      <c r="AI504" s="1193">
        <v>0</v>
      </c>
      <c r="AJ504" s="1193">
        <f>VLOOKUP($I504,'Price List, Weapons &amp; Items'!B:F,5,0)</f>
        <v>0</v>
      </c>
      <c r="AK504" s="1193">
        <f t="shared" si="108"/>
        <v>0</v>
      </c>
      <c r="AL504" s="1193">
        <f t="shared" si="109"/>
        <v>0</v>
      </c>
      <c r="AM504" s="1193">
        <f t="shared" si="110"/>
        <v>0</v>
      </c>
      <c r="AN504" s="1194" t="str">
        <f>VLOOKUP($I504,'Price List, Weapons &amp; Items'!B:L,COLUMN('Price List, Weapons &amp; Items'!$J$11)-1,0)</f>
        <v>.</v>
      </c>
      <c r="AO504" s="1194" t="str">
        <f>IF(I504=".",".",VLOOKUP($I504,'Price List, Weapons &amp; Items'!B:J,3,0))</f>
        <v>.</v>
      </c>
      <c r="AP504" s="1195" t="str">
        <f t="shared" ca="1" si="104"/>
        <v>.</v>
      </c>
      <c r="AQ504" s="1194">
        <f>VLOOKUP($I504,'Price List, Weapons &amp; Items'!B:L,COLUMN('Price List, Weapons &amp; Items'!$L$11)-1,0)</f>
        <v>0</v>
      </c>
      <c r="AR504" s="1194">
        <f t="shared" si="111"/>
        <v>1</v>
      </c>
      <c r="AS504" s="1194">
        <f t="shared" si="112"/>
        <v>0</v>
      </c>
      <c r="AT504" s="1194" t="str">
        <f t="shared" si="113"/>
        <v>Value is not in date format</v>
      </c>
      <c r="AU504" s="1194" t="str">
        <f t="shared" si="114"/>
        <v>.</v>
      </c>
      <c r="AV504" s="1194" t="str">
        <f t="shared" si="105"/>
        <v>.</v>
      </c>
      <c r="AW504" s="1194" t="str">
        <f t="shared" si="115"/>
        <v>.</v>
      </c>
      <c r="AX504" s="1194">
        <f>IFERROR(VLOOKUP(B504,'Share, Heavy Weapons to Ukraine'!B:Z,COLUMN('Share, Heavy Weapons to Ukraine'!C514)-1,0),0)</f>
        <v>0</v>
      </c>
      <c r="AY504" s="1194">
        <f>VLOOKUP('Bilateral Assistance, MAIN DATA'!B504,'Country Summary (€)'!B:F,COLUMN('Country Summary (€)'!C515)-1,FALSE)</f>
        <v>1</v>
      </c>
      <c r="AZ504" s="1194" t="str">
        <f>IF(AND(AD504=1,D504="Military",H504&lt;&gt;"Not given")=TRUE,IF(SUMIFS(P:P,A:A,A504)&gt;0,ABS((SUMIFS(P:P,A:A,A504)/VLOOKUP("USD",'Exchange Rates'!B:C,2,0)))/S504,"."),".")</f>
        <v>.</v>
      </c>
      <c r="BA504" s="1196" t="str">
        <f>IF(AND(AD504=1,D504="Military",H504&lt;&gt;"Not given")=TRUE,IF(SUMIFS(P:P,A:A,A504)&gt;0,IF((ABS((SUMIFS(P:P,A:A,A504)/VLOOKUP("USD",'Exchange Rates'!B:C,2,0)))/S504)&gt;1,(SUMIFS(P:P,A:A,A504)-S504)/S504,(S504-SUMIFS(P:P,A:A,A504))/SUMIFS(P:P,A:A,A504)),"."),".")</f>
        <v>.</v>
      </c>
    </row>
    <row r="505" spans="1:53" ht="15.95" customHeight="1">
      <c r="A505" s="1180" t="s">
        <v>1718</v>
      </c>
      <c r="B505" s="1180" t="s">
        <v>1711</v>
      </c>
      <c r="C505" s="1181" t="s">
        <v>1719</v>
      </c>
      <c r="D505" s="1182" t="s">
        <v>360</v>
      </c>
      <c r="E505" s="1182" t="s">
        <v>361</v>
      </c>
      <c r="F505" s="1183" t="s">
        <v>1720</v>
      </c>
      <c r="G505" s="1184" t="s">
        <v>483</v>
      </c>
      <c r="H505" s="1185">
        <v>127046050</v>
      </c>
      <c r="I505" s="1201" t="s">
        <v>364</v>
      </c>
      <c r="J505" s="1186" t="str">
        <f>VLOOKUP($I505,'Price List, Weapons &amp; Items'!B:C,2,0)</f>
        <v>.</v>
      </c>
      <c r="K505" s="1186" t="str">
        <f>IF(I505=".",I505,VLOOKUP($I505,'Price List, Weapons &amp; Items'!B:D,3,0))</f>
        <v>.</v>
      </c>
      <c r="L505" s="1187">
        <f>VLOOKUP(I505,'Price List, Weapons &amp; Items'!B:E,4,0)</f>
        <v>0</v>
      </c>
      <c r="M505" s="1188" t="s">
        <v>364</v>
      </c>
      <c r="N505" s="1188" t="s">
        <v>364</v>
      </c>
      <c r="O505" s="1188" t="str">
        <f>VLOOKUP($I505,'Price List, Weapons &amp; Items'!B:G,6,0)</f>
        <v>.</v>
      </c>
      <c r="P505" s="1185" t="str">
        <f t="shared" si="106"/>
        <v>.</v>
      </c>
      <c r="Q505" s="1185" t="str">
        <f t="shared" si="107"/>
        <v>.</v>
      </c>
      <c r="R505" s="1185">
        <f t="shared" si="103"/>
        <v>127046050</v>
      </c>
      <c r="S505" s="1185">
        <f>IF(AND(AD505=1,R505&lt;&gt;".")=TRUE,R505/VLOOKUP(G505,'Exchange Rates'!B:C,2,0),IF(R505=".",".",""))</f>
        <v>127046050</v>
      </c>
      <c r="T505" s="1185" t="str">
        <f>IF(AD505=1,IF(AF505="Value is not given at all",".",IF(AF505="Value is given by the source",S505,IF(AF505="Value is calculated with prices",(IF(SUMIFS(Q:Q,A:A,A505)&gt;0,SUMIFS(Q:Q,A:A,A505),"."))/VLOOKUP("USD",'Exchange Rates'!B:C,2,0),"Error with coding"))),"")</f>
        <v>.</v>
      </c>
      <c r="U505" s="1184" t="s">
        <v>365</v>
      </c>
      <c r="V505" s="972" t="s">
        <v>1717</v>
      </c>
      <c r="W505" s="972" t="s">
        <v>1716</v>
      </c>
      <c r="X505" s="972" t="s">
        <v>364</v>
      </c>
      <c r="Y505" s="972" t="s">
        <v>364</v>
      </c>
      <c r="Z505" s="1184">
        <v>0</v>
      </c>
      <c r="AA505" s="1194">
        <v>0</v>
      </c>
      <c r="AB505" s="1201" t="s">
        <v>364</v>
      </c>
      <c r="AC505" s="1192" t="str">
        <f>""</f>
        <v/>
      </c>
      <c r="AD505" s="985">
        <v>1</v>
      </c>
      <c r="AE505" s="985" t="s">
        <v>368</v>
      </c>
      <c r="AF505" s="985" t="s">
        <v>369</v>
      </c>
      <c r="AG505" s="985">
        <v>0</v>
      </c>
      <c r="AH505" s="1193">
        <v>0</v>
      </c>
      <c r="AI505" s="1193">
        <v>0</v>
      </c>
      <c r="AJ505" s="1193">
        <f>VLOOKUP($I505,'Price List, Weapons &amp; Items'!B:F,5,0)</f>
        <v>0</v>
      </c>
      <c r="AK505" s="1193">
        <f t="shared" si="108"/>
        <v>0</v>
      </c>
      <c r="AL505" s="1193">
        <f t="shared" si="109"/>
        <v>0</v>
      </c>
      <c r="AM505" s="1193">
        <f t="shared" si="110"/>
        <v>0</v>
      </c>
      <c r="AN505" s="1194" t="str">
        <f>VLOOKUP($I505,'Price List, Weapons &amp; Items'!B:L,COLUMN('Price List, Weapons &amp; Items'!$J$11)-1,0)</f>
        <v>.</v>
      </c>
      <c r="AO505" s="1194" t="str">
        <f>IF(I505=".",".",VLOOKUP($I505,'Price List, Weapons &amp; Items'!B:J,3,0))</f>
        <v>.</v>
      </c>
      <c r="AP505" s="1195" t="str">
        <f t="shared" ca="1" si="104"/>
        <v>.</v>
      </c>
      <c r="AQ505" s="1194">
        <f>VLOOKUP($I505,'Price List, Weapons &amp; Items'!B:L,COLUMN('Price List, Weapons &amp; Items'!$L$11)-1,0)</f>
        <v>0</v>
      </c>
      <c r="AR505" s="1194">
        <f t="shared" si="111"/>
        <v>1</v>
      </c>
      <c r="AS505" s="1194">
        <f t="shared" si="112"/>
        <v>0</v>
      </c>
      <c r="AT505" s="1194" t="str">
        <f t="shared" si="113"/>
        <v>Value is not in date format</v>
      </c>
      <c r="AU505" s="1194" t="str">
        <f t="shared" si="114"/>
        <v>.</v>
      </c>
      <c r="AV505" s="1194" t="str">
        <f t="shared" si="105"/>
        <v>.</v>
      </c>
      <c r="AW505" s="1194" t="str">
        <f t="shared" si="115"/>
        <v>.</v>
      </c>
      <c r="AX505" s="1194">
        <f>IFERROR(VLOOKUP(B505,'Share, Heavy Weapons to Ukraine'!B:Z,COLUMN('Share, Heavy Weapons to Ukraine'!C515)-1,0),0)</f>
        <v>0</v>
      </c>
      <c r="AY505" s="1194">
        <f>VLOOKUP('Bilateral Assistance, MAIN DATA'!B505,'Country Summary (€)'!B:F,COLUMN('Country Summary (€)'!C516)-1,FALSE)</f>
        <v>1</v>
      </c>
      <c r="AZ505" s="1194" t="str">
        <f>IF(AND(AD505=1,D505="Military",H505&lt;&gt;"Not given")=TRUE,IF(SUMIFS(P:P,A:A,A505)&gt;0,ABS((SUMIFS(P:P,A:A,A505)/VLOOKUP("USD",'Exchange Rates'!B:C,2,0)))/S505,"."),".")</f>
        <v>.</v>
      </c>
      <c r="BA505" s="1196" t="str">
        <f>IF(AND(AD505=1,D505="Military",H505&lt;&gt;"Not given")=TRUE,IF(SUMIFS(P:P,A:A,A505)&gt;0,IF((ABS((SUMIFS(P:P,A:A,A505)/VLOOKUP("USD",'Exchange Rates'!B:C,2,0)))/S505)&gt;1,(SUMIFS(P:P,A:A,A505)-S505)/S505,(S505-SUMIFS(P:P,A:A,A505))/SUMIFS(P:P,A:A,A505)),"."),".")</f>
        <v>.</v>
      </c>
    </row>
    <row r="506" spans="1:53" ht="15.95" customHeight="1">
      <c r="A506" s="1180" t="s">
        <v>1721</v>
      </c>
      <c r="B506" s="1180" t="s">
        <v>1711</v>
      </c>
      <c r="C506" s="1181">
        <v>44660</v>
      </c>
      <c r="D506" s="1182" t="s">
        <v>360</v>
      </c>
      <c r="E506" s="1182" t="s">
        <v>361</v>
      </c>
      <c r="F506" s="1183" t="s">
        <v>1722</v>
      </c>
      <c r="G506" s="1184" t="s">
        <v>483</v>
      </c>
      <c r="H506" s="1185">
        <v>370000000</v>
      </c>
      <c r="I506" s="1201" t="s">
        <v>364</v>
      </c>
      <c r="J506" s="1186" t="str">
        <f>VLOOKUP($I506,'Price List, Weapons &amp; Items'!B:C,2,0)</f>
        <v>.</v>
      </c>
      <c r="K506" s="1186" t="str">
        <f>IF(I506=".",I506,VLOOKUP($I506,'Price List, Weapons &amp; Items'!B:D,3,0))</f>
        <v>.</v>
      </c>
      <c r="L506" s="1187">
        <f>VLOOKUP(I506,'Price List, Weapons &amp; Items'!B:E,4,0)</f>
        <v>0</v>
      </c>
      <c r="M506" s="1188" t="s">
        <v>364</v>
      </c>
      <c r="N506" s="1188" t="s">
        <v>364</v>
      </c>
      <c r="O506" s="1188" t="str">
        <f>VLOOKUP($I506,'Price List, Weapons &amp; Items'!B:G,6,0)</f>
        <v>.</v>
      </c>
      <c r="P506" s="1185" t="str">
        <f t="shared" si="106"/>
        <v>.</v>
      </c>
      <c r="Q506" s="1185" t="str">
        <f t="shared" si="107"/>
        <v>.</v>
      </c>
      <c r="R506" s="1185">
        <f t="shared" si="103"/>
        <v>370000000</v>
      </c>
      <c r="S506" s="1185">
        <f>IF(AND(AD506=1,R506&lt;&gt;".")=TRUE,R506/VLOOKUP(G506,'Exchange Rates'!B:C,2,0),IF(R506=".",".",""))</f>
        <v>370000000</v>
      </c>
      <c r="T506" s="1185" t="str">
        <f>IF(AD506=1,IF(AF506="Value is not given at all",".",IF(AF506="Value is given by the source",S506,IF(AF506="Value is calculated with prices",(IF(SUMIFS(Q:Q,A:A,A506)&gt;0,SUMIFS(Q:Q,A:A,A506),"."))/VLOOKUP("USD",'Exchange Rates'!B:C,2,0),"Error with coding"))),"")</f>
        <v>.</v>
      </c>
      <c r="U506" s="1184" t="s">
        <v>365</v>
      </c>
      <c r="V506" s="972" t="s">
        <v>1723</v>
      </c>
      <c r="W506" s="972" t="s">
        <v>1724</v>
      </c>
      <c r="X506" s="972" t="s">
        <v>1717</v>
      </c>
      <c r="Y506" s="972" t="s">
        <v>1716</v>
      </c>
      <c r="Z506" s="1184">
        <v>0</v>
      </c>
      <c r="AA506" s="1194">
        <v>0</v>
      </c>
      <c r="AB506" s="1201" t="s">
        <v>364</v>
      </c>
      <c r="AC506" s="1192" t="str">
        <f>""</f>
        <v/>
      </c>
      <c r="AD506" s="985">
        <v>1</v>
      </c>
      <c r="AE506" s="985" t="s">
        <v>368</v>
      </c>
      <c r="AF506" s="985" t="s">
        <v>369</v>
      </c>
      <c r="AG506" s="985">
        <v>1</v>
      </c>
      <c r="AH506" s="1193">
        <v>4</v>
      </c>
      <c r="AI506" s="1193">
        <v>0</v>
      </c>
      <c r="AJ506" s="1193">
        <f>VLOOKUP($I506,'Price List, Weapons &amp; Items'!B:F,5,0)</f>
        <v>0</v>
      </c>
      <c r="AK506" s="1193">
        <f t="shared" si="108"/>
        <v>0</v>
      </c>
      <c r="AL506" s="1193">
        <f t="shared" si="109"/>
        <v>0</v>
      </c>
      <c r="AM506" s="1193">
        <f t="shared" si="110"/>
        <v>0</v>
      </c>
      <c r="AN506" s="1194" t="str">
        <f>VLOOKUP($I506,'Price List, Weapons &amp; Items'!B:L,COLUMN('Price List, Weapons &amp; Items'!$J$11)-1,0)</f>
        <v>.</v>
      </c>
      <c r="AO506" s="1194" t="str">
        <f>IF(I506=".",".",VLOOKUP($I506,'Price List, Weapons &amp; Items'!B:J,3,0))</f>
        <v>.</v>
      </c>
      <c r="AP506" s="1195" t="str">
        <f t="shared" ca="1" si="104"/>
        <v>.</v>
      </c>
      <c r="AQ506" s="1194">
        <f>VLOOKUP($I506,'Price List, Weapons &amp; Items'!B:L,COLUMN('Price List, Weapons &amp; Items'!$L$11)-1,0)</f>
        <v>0</v>
      </c>
      <c r="AR506" s="1194">
        <f t="shared" si="111"/>
        <v>1</v>
      </c>
      <c r="AS506" s="1194">
        <f t="shared" si="112"/>
        <v>0</v>
      </c>
      <c r="AT506" s="1194">
        <f t="shared" si="113"/>
        <v>1</v>
      </c>
      <c r="AU506" s="1194" t="str">
        <f t="shared" si="114"/>
        <v>.</v>
      </c>
      <c r="AV506" s="1194" t="str">
        <f t="shared" si="105"/>
        <v>.</v>
      </c>
      <c r="AW506" s="1194" t="str">
        <f t="shared" si="115"/>
        <v>.</v>
      </c>
      <c r="AX506" s="1194">
        <f>IFERROR(VLOOKUP(B506,'Share, Heavy Weapons to Ukraine'!B:Z,COLUMN('Share, Heavy Weapons to Ukraine'!C516)-1,0),0)</f>
        <v>0</v>
      </c>
      <c r="AY506" s="1194">
        <f>VLOOKUP('Bilateral Assistance, MAIN DATA'!B506,'Country Summary (€)'!B:F,COLUMN('Country Summary (€)'!C517)-1,FALSE)</f>
        <v>1</v>
      </c>
      <c r="AZ506" s="1194" t="str">
        <f>IF(AND(AD506=1,D506="Military",H506&lt;&gt;"Not given")=TRUE,IF(SUMIFS(P:P,A:A,A506)&gt;0,ABS((SUMIFS(P:P,A:A,A506)/VLOOKUP("USD",'Exchange Rates'!B:C,2,0)))/S506,"."),".")</f>
        <v>.</v>
      </c>
      <c r="BA506" s="1196" t="str">
        <f>IF(AND(AD506=1,D506="Military",H506&lt;&gt;"Not given")=TRUE,IF(SUMIFS(P:P,A:A,A506)&gt;0,IF((ABS((SUMIFS(P:P,A:A,A506)/VLOOKUP("USD",'Exchange Rates'!B:C,2,0)))/S506)&gt;1,(SUMIFS(P:P,A:A,A506)-S506)/S506,(S506-SUMIFS(P:P,A:A,A506))/SUMIFS(P:P,A:A,A506)),"."),".")</f>
        <v>.</v>
      </c>
    </row>
    <row r="507" spans="1:53" ht="15.95" customHeight="1">
      <c r="A507" s="1180" t="s">
        <v>1721</v>
      </c>
      <c r="B507" s="1180" t="s">
        <v>1711</v>
      </c>
      <c r="C507" s="1181">
        <v>44686</v>
      </c>
      <c r="D507" s="1182" t="s">
        <v>360</v>
      </c>
      <c r="E507" s="1182" t="s">
        <v>361</v>
      </c>
      <c r="F507" s="1183" t="s">
        <v>1722</v>
      </c>
      <c r="G507" s="1184" t="s">
        <v>483</v>
      </c>
      <c r="H507" s="1185">
        <v>125000000</v>
      </c>
      <c r="I507" s="1180" t="s">
        <v>364</v>
      </c>
      <c r="J507" s="1186" t="str">
        <f>VLOOKUP($I507,'Price List, Weapons &amp; Items'!B:C,2,0)</f>
        <v>.</v>
      </c>
      <c r="K507" s="1186" t="str">
        <f>IF(I507=".",I507,VLOOKUP($I507,'Price List, Weapons &amp; Items'!B:D,3,0))</f>
        <v>.</v>
      </c>
      <c r="L507" s="1187">
        <f>VLOOKUP(I507,'Price List, Weapons &amp; Items'!B:E,4,0)</f>
        <v>0</v>
      </c>
      <c r="M507" s="1188" t="s">
        <v>364</v>
      </c>
      <c r="N507" s="1188" t="s">
        <v>364</v>
      </c>
      <c r="O507" s="1188" t="str">
        <f>VLOOKUP($I507,'Price List, Weapons &amp; Items'!B:G,6,0)</f>
        <v>.</v>
      </c>
      <c r="P507" s="1185" t="str">
        <f t="shared" si="106"/>
        <v>.</v>
      </c>
      <c r="Q507" s="1185" t="str">
        <f t="shared" si="107"/>
        <v>.</v>
      </c>
      <c r="R507" s="1185">
        <f t="shared" si="103"/>
        <v>125000000</v>
      </c>
      <c r="S507" s="1185">
        <f>IF(AND(AD507=1,R507&lt;&gt;".")=TRUE,R507/VLOOKUP(G507,'Exchange Rates'!B:C,2,0),IF(R507=".",".",""))</f>
        <v>125000000</v>
      </c>
      <c r="T507" s="1185" t="str">
        <f>IF(AD507=1,IF(AF507="Value is not given at all",".",IF(AF507="Value is given by the source",S507,IF(AF507="Value is calculated with prices",(IF(SUMIFS(Q:Q,A:A,A507)&gt;0,SUMIFS(Q:Q,A:A,A507),"."))/VLOOKUP("USD",'Exchange Rates'!B:C,2,0),"Error with coding"))),"")</f>
        <v>.</v>
      </c>
      <c r="U507" s="1184" t="s">
        <v>365</v>
      </c>
      <c r="V507" s="972" t="s">
        <v>1723</v>
      </c>
      <c r="W507" s="972" t="s">
        <v>1724</v>
      </c>
      <c r="X507" s="972" t="s">
        <v>1717</v>
      </c>
      <c r="Y507" s="972" t="s">
        <v>1716</v>
      </c>
      <c r="Z507" s="1184">
        <v>0</v>
      </c>
      <c r="AA507" s="1194">
        <v>0</v>
      </c>
      <c r="AB507" s="1201" t="s">
        <v>364</v>
      </c>
      <c r="AC507" s="1192" t="str">
        <f>""</f>
        <v/>
      </c>
      <c r="AD507" s="985">
        <v>1</v>
      </c>
      <c r="AE507" s="985" t="s">
        <v>368</v>
      </c>
      <c r="AF507" s="985" t="s">
        <v>369</v>
      </c>
      <c r="AG507" s="985">
        <v>1</v>
      </c>
      <c r="AH507" s="1193">
        <v>5</v>
      </c>
      <c r="AI507" s="1193">
        <v>0</v>
      </c>
      <c r="AJ507" s="1193">
        <f>VLOOKUP($I507,'Price List, Weapons &amp; Items'!B:F,5,0)</f>
        <v>0</v>
      </c>
      <c r="AK507" s="1193">
        <f t="shared" si="108"/>
        <v>0</v>
      </c>
      <c r="AL507" s="1193">
        <f t="shared" si="109"/>
        <v>0</v>
      </c>
      <c r="AM507" s="1193">
        <f t="shared" si="110"/>
        <v>0</v>
      </c>
      <c r="AN507" s="1194" t="str">
        <f>VLOOKUP($I507,'Price List, Weapons &amp; Items'!B:L,COLUMN('Price List, Weapons &amp; Items'!$J$11)-1,0)</f>
        <v>.</v>
      </c>
      <c r="AO507" s="1194" t="str">
        <f>IF(I507=".",".",VLOOKUP($I507,'Price List, Weapons &amp; Items'!B:J,3,0))</f>
        <v>.</v>
      </c>
      <c r="AP507" s="1195" t="str">
        <f t="shared" ca="1" si="104"/>
        <v>.</v>
      </c>
      <c r="AQ507" s="1194">
        <f>VLOOKUP($I507,'Price List, Weapons &amp; Items'!B:L,COLUMN('Price List, Weapons &amp; Items'!$L$11)-1,0)</f>
        <v>0</v>
      </c>
      <c r="AR507" s="1194">
        <f t="shared" si="111"/>
        <v>1</v>
      </c>
      <c r="AS507" s="1194">
        <f t="shared" si="112"/>
        <v>0</v>
      </c>
      <c r="AT507" s="1194">
        <f t="shared" si="113"/>
        <v>1</v>
      </c>
      <c r="AU507" s="1194" t="str">
        <f t="shared" si="114"/>
        <v>.</v>
      </c>
      <c r="AV507" s="1194" t="str">
        <f t="shared" si="105"/>
        <v>.</v>
      </c>
      <c r="AW507" s="1194" t="str">
        <f t="shared" si="115"/>
        <v>.</v>
      </c>
      <c r="AX507" s="1194">
        <f>IFERROR(VLOOKUP(B507,'Share, Heavy Weapons to Ukraine'!B:Z,COLUMN('Share, Heavy Weapons to Ukraine'!C517)-1,0),0)</f>
        <v>0</v>
      </c>
      <c r="AY507" s="1194">
        <f>VLOOKUP('Bilateral Assistance, MAIN DATA'!B507,'Country Summary (€)'!B:F,COLUMN('Country Summary (€)'!C518)-1,FALSE)</f>
        <v>1</v>
      </c>
      <c r="AZ507" s="1194" t="str">
        <f>IF(AND(AD507=1,D507="Military",H507&lt;&gt;"Not given")=TRUE,IF(SUMIFS(P:P,A:A,A507)&gt;0,ABS((SUMIFS(P:P,A:A,A507)/VLOOKUP("USD",'Exchange Rates'!B:C,2,0)))/S507,"."),".")</f>
        <v>.</v>
      </c>
      <c r="BA507" s="1196" t="str">
        <f>IF(AND(AD507=1,D507="Military",H507&lt;&gt;"Not given")=TRUE,IF(SUMIFS(P:P,A:A,A507)&gt;0,IF((ABS((SUMIFS(P:P,A:A,A507)/VLOOKUP("USD",'Exchange Rates'!B:C,2,0)))/S507)&gt;1,(SUMIFS(P:P,A:A,A507)-S507)/S507,(S507-SUMIFS(P:P,A:A,A507))/SUMIFS(P:P,A:A,A507)),"."),".")</f>
        <v>.</v>
      </c>
    </row>
    <row r="508" spans="1:53" ht="15.95" customHeight="1">
      <c r="A508" s="1180" t="s">
        <v>1725</v>
      </c>
      <c r="B508" s="1180" t="s">
        <v>1711</v>
      </c>
      <c r="C508" s="1181">
        <v>44660</v>
      </c>
      <c r="D508" s="1182" t="s">
        <v>360</v>
      </c>
      <c r="E508" s="1182" t="s">
        <v>361</v>
      </c>
      <c r="F508" s="1263" t="s">
        <v>1726</v>
      </c>
      <c r="G508" s="1184" t="s">
        <v>483</v>
      </c>
      <c r="H508" s="1185">
        <v>70000000</v>
      </c>
      <c r="I508" s="1180" t="s">
        <v>364</v>
      </c>
      <c r="J508" s="1186" t="str">
        <f>VLOOKUP($I508,'Price List, Weapons &amp; Items'!B:C,2,0)</f>
        <v>.</v>
      </c>
      <c r="K508" s="1186" t="str">
        <f>IF(I508=".",I508,VLOOKUP($I508,'Price List, Weapons &amp; Items'!B:D,3,0))</f>
        <v>.</v>
      </c>
      <c r="L508" s="1187">
        <f>VLOOKUP(I508,'Price List, Weapons &amp; Items'!B:E,4,0)</f>
        <v>0</v>
      </c>
      <c r="M508" s="1188" t="s">
        <v>364</v>
      </c>
      <c r="N508" s="1188" t="s">
        <v>364</v>
      </c>
      <c r="O508" s="1188" t="str">
        <f>VLOOKUP($I508,'Price List, Weapons &amp; Items'!B:G,6,0)</f>
        <v>.</v>
      </c>
      <c r="P508" s="1185" t="str">
        <f t="shared" si="106"/>
        <v>.</v>
      </c>
      <c r="Q508" s="1185" t="str">
        <f t="shared" si="107"/>
        <v>.</v>
      </c>
      <c r="R508" s="1185">
        <f t="shared" si="103"/>
        <v>70000000</v>
      </c>
      <c r="S508" s="1185">
        <f>IF(AND(AD508=1,R508&lt;&gt;".")=TRUE,R508/VLOOKUP(G508,'Exchange Rates'!B:C,2,0),IF(R508=".",".",""))</f>
        <v>70000000</v>
      </c>
      <c r="T508" s="1185" t="str">
        <f>IF(AD508=1,IF(AF508="Value is not given at all",".",IF(AF508="Value is given by the source",S508,IF(AF508="Value is calculated with prices",(IF(SUMIFS(Q:Q,A:A,A508)&gt;0,SUMIFS(Q:Q,A:A,A508),"."))/VLOOKUP("USD",'Exchange Rates'!B:C,2,0),"Error with coding"))),"")</f>
        <v>.</v>
      </c>
      <c r="U508" s="1184" t="s">
        <v>365</v>
      </c>
      <c r="V508" s="971" t="s">
        <v>1724</v>
      </c>
      <c r="W508" s="971" t="s">
        <v>1727</v>
      </c>
      <c r="X508" s="971" t="s">
        <v>1728</v>
      </c>
      <c r="Y508" s="971" t="s">
        <v>1717</v>
      </c>
      <c r="Z508" s="1184">
        <v>0</v>
      </c>
      <c r="AA508" s="1194">
        <v>0</v>
      </c>
      <c r="AB508" s="1201" t="s">
        <v>364</v>
      </c>
      <c r="AC508" s="1192" t="str">
        <f>""</f>
        <v/>
      </c>
      <c r="AD508" s="985">
        <v>1</v>
      </c>
      <c r="AE508" s="985" t="s">
        <v>368</v>
      </c>
      <c r="AF508" s="985" t="s">
        <v>369</v>
      </c>
      <c r="AG508" s="985">
        <v>1</v>
      </c>
      <c r="AH508" s="1193">
        <v>4</v>
      </c>
      <c r="AI508" s="1193">
        <v>0</v>
      </c>
      <c r="AJ508" s="1193">
        <f>VLOOKUP($I508,'Price List, Weapons &amp; Items'!B:F,5,0)</f>
        <v>0</v>
      </c>
      <c r="AK508" s="1193">
        <f t="shared" si="108"/>
        <v>0</v>
      </c>
      <c r="AL508" s="1193">
        <f t="shared" si="109"/>
        <v>0</v>
      </c>
      <c r="AM508" s="1193">
        <f t="shared" si="110"/>
        <v>0</v>
      </c>
      <c r="AN508" s="1194" t="str">
        <f>VLOOKUP($I508,'Price List, Weapons &amp; Items'!B:L,COLUMN('Price List, Weapons &amp; Items'!$J$11)-1,0)</f>
        <v>.</v>
      </c>
      <c r="AO508" s="1194" t="str">
        <f>IF(I508=".",".",VLOOKUP($I508,'Price List, Weapons &amp; Items'!B:J,3,0))</f>
        <v>.</v>
      </c>
      <c r="AP508" s="1195" t="str">
        <f t="shared" ca="1" si="104"/>
        <v>.</v>
      </c>
      <c r="AQ508" s="1194">
        <f>VLOOKUP($I508,'Price List, Weapons &amp; Items'!B:L,COLUMN('Price List, Weapons &amp; Items'!$L$11)-1,0)</f>
        <v>0</v>
      </c>
      <c r="AR508" s="1194">
        <f t="shared" si="111"/>
        <v>1</v>
      </c>
      <c r="AS508" s="1194">
        <f t="shared" si="112"/>
        <v>0</v>
      </c>
      <c r="AT508" s="1194">
        <f t="shared" si="113"/>
        <v>1</v>
      </c>
      <c r="AU508" s="1194" t="str">
        <f t="shared" si="114"/>
        <v>.</v>
      </c>
      <c r="AV508" s="1194" t="str">
        <f t="shared" si="105"/>
        <v>.</v>
      </c>
      <c r="AW508" s="1194" t="str">
        <f t="shared" si="115"/>
        <v>.</v>
      </c>
      <c r="AX508" s="1194">
        <f>IFERROR(VLOOKUP(B508,'Share, Heavy Weapons to Ukraine'!B:Z,COLUMN('Share, Heavy Weapons to Ukraine'!C518)-1,0),0)</f>
        <v>0</v>
      </c>
      <c r="AY508" s="1194">
        <f>VLOOKUP('Bilateral Assistance, MAIN DATA'!B508,'Country Summary (€)'!B:F,COLUMN('Country Summary (€)'!C519)-1,FALSE)</f>
        <v>1</v>
      </c>
      <c r="AZ508" s="1194" t="str">
        <f>IF(AND(AD508=1,D508="Military",H508&lt;&gt;"Not given")=TRUE,IF(SUMIFS(P:P,A:A,A508)&gt;0,ABS((SUMIFS(P:P,A:A,A508)/VLOOKUP("USD",'Exchange Rates'!B:C,2,0)))/S508,"."),".")</f>
        <v>.</v>
      </c>
      <c r="BA508" s="1196" t="str">
        <f>IF(AND(AD508=1,D508="Military",H508&lt;&gt;"Not given")=TRUE,IF(SUMIFS(P:P,A:A,A508)&gt;0,IF((ABS((SUMIFS(P:P,A:A,A508)/VLOOKUP("USD",'Exchange Rates'!B:C,2,0)))/S508)&gt;1,(SUMIFS(P:P,A:A,A508)-S508)/S508,(S508-SUMIFS(P:P,A:A,A508))/SUMIFS(P:P,A:A,A508)),"."),".")</f>
        <v>.</v>
      </c>
    </row>
    <row r="509" spans="1:53" ht="15.95" customHeight="1">
      <c r="A509" s="1180" t="s">
        <v>1725</v>
      </c>
      <c r="B509" s="1180" t="s">
        <v>1711</v>
      </c>
      <c r="C509" s="1181">
        <v>44797</v>
      </c>
      <c r="D509" s="1182" t="s">
        <v>360</v>
      </c>
      <c r="E509" s="1182" t="s">
        <v>361</v>
      </c>
      <c r="F509" s="1263" t="s">
        <v>1726</v>
      </c>
      <c r="G509" s="1184" t="s">
        <v>483</v>
      </c>
      <c r="H509" s="1185">
        <v>30000000</v>
      </c>
      <c r="I509" s="1180" t="s">
        <v>364</v>
      </c>
      <c r="J509" s="1186" t="str">
        <f>VLOOKUP($I509,'Price List, Weapons &amp; Items'!B:C,2,0)</f>
        <v>.</v>
      </c>
      <c r="K509" s="1186" t="str">
        <f>IF(I509=".",I509,VLOOKUP($I509,'Price List, Weapons &amp; Items'!B:D,3,0))</f>
        <v>.</v>
      </c>
      <c r="L509" s="1187">
        <f>VLOOKUP(I509,'Price List, Weapons &amp; Items'!B:E,4,0)</f>
        <v>0</v>
      </c>
      <c r="M509" s="1188" t="s">
        <v>364</v>
      </c>
      <c r="N509" s="1188" t="s">
        <v>364</v>
      </c>
      <c r="O509" s="1188" t="str">
        <f>VLOOKUP($I509,'Price List, Weapons &amp; Items'!B:G,6,0)</f>
        <v>.</v>
      </c>
      <c r="P509" s="1185" t="str">
        <f t="shared" si="106"/>
        <v>.</v>
      </c>
      <c r="Q509" s="1185" t="str">
        <f t="shared" si="107"/>
        <v>.</v>
      </c>
      <c r="R509" s="1185">
        <f t="shared" si="103"/>
        <v>30000000</v>
      </c>
      <c r="S509" s="1185">
        <f>IF(AND(AD509=1,R509&lt;&gt;".")=TRUE,R509/VLOOKUP(G509,'Exchange Rates'!B:C,2,0),IF(R509=".",".",""))</f>
        <v>30000000</v>
      </c>
      <c r="T509" s="1185" t="str">
        <f>IF(AD509=1,IF(AF509="Value is not given at all",".",IF(AF509="Value is given by the source",S509,IF(AF509="Value is calculated with prices",(IF(SUMIFS(Q:Q,A:A,A509)&gt;0,SUMIFS(Q:Q,A:A,A509),"."))/VLOOKUP("USD",'Exchange Rates'!B:C,2,0),"Error with coding"))),"")</f>
        <v>.</v>
      </c>
      <c r="U509" s="1184" t="s">
        <v>365</v>
      </c>
      <c r="V509" s="971" t="s">
        <v>1724</v>
      </c>
      <c r="W509" s="971" t="s">
        <v>1727</v>
      </c>
      <c r="X509" s="971" t="s">
        <v>1728</v>
      </c>
      <c r="Y509" s="971" t="s">
        <v>1717</v>
      </c>
      <c r="Z509" s="1184">
        <v>0</v>
      </c>
      <c r="AA509" s="1194">
        <v>0</v>
      </c>
      <c r="AB509" s="1201" t="s">
        <v>364</v>
      </c>
      <c r="AC509" s="1192" t="str">
        <f>""</f>
        <v/>
      </c>
      <c r="AD509" s="985">
        <v>1</v>
      </c>
      <c r="AE509" s="985" t="s">
        <v>368</v>
      </c>
      <c r="AF509" s="985" t="s">
        <v>369</v>
      </c>
      <c r="AG509" s="985">
        <v>1</v>
      </c>
      <c r="AH509" s="1193">
        <v>8</v>
      </c>
      <c r="AI509" s="1193">
        <v>0</v>
      </c>
      <c r="AJ509" s="1193">
        <f>VLOOKUP($I509,'Price List, Weapons &amp; Items'!B:F,5,0)</f>
        <v>0</v>
      </c>
      <c r="AK509" s="1193">
        <f t="shared" si="108"/>
        <v>0</v>
      </c>
      <c r="AL509" s="1193">
        <f t="shared" si="109"/>
        <v>0</v>
      </c>
      <c r="AM509" s="1193">
        <f t="shared" si="110"/>
        <v>0</v>
      </c>
      <c r="AN509" s="1194" t="str">
        <f>VLOOKUP($I509,'Price List, Weapons &amp; Items'!B:L,COLUMN('Price List, Weapons &amp; Items'!$J$11)-1,0)</f>
        <v>.</v>
      </c>
      <c r="AO509" s="1194" t="str">
        <f>IF(I509=".",".",VLOOKUP($I509,'Price List, Weapons &amp; Items'!B:J,3,0))</f>
        <v>.</v>
      </c>
      <c r="AP509" s="1195" t="str">
        <f t="shared" ca="1" si="104"/>
        <v>.</v>
      </c>
      <c r="AQ509" s="1194">
        <f>VLOOKUP($I509,'Price List, Weapons &amp; Items'!B:L,COLUMN('Price List, Weapons &amp; Items'!$L$11)-1,0)</f>
        <v>0</v>
      </c>
      <c r="AR509" s="1194">
        <f t="shared" si="111"/>
        <v>1</v>
      </c>
      <c r="AS509" s="1194">
        <f t="shared" si="112"/>
        <v>0</v>
      </c>
      <c r="AT509" s="1194">
        <f t="shared" si="113"/>
        <v>1</v>
      </c>
      <c r="AU509" s="1194" t="str">
        <f t="shared" si="114"/>
        <v>.</v>
      </c>
      <c r="AV509" s="1194" t="str">
        <f t="shared" si="105"/>
        <v>.</v>
      </c>
      <c r="AW509" s="1194" t="str">
        <f t="shared" si="115"/>
        <v>.</v>
      </c>
      <c r="AX509" s="1194">
        <f>IFERROR(VLOOKUP(B509,'Share, Heavy Weapons to Ukraine'!B:Z,COLUMN('Share, Heavy Weapons to Ukraine'!C519)-1,0),0)</f>
        <v>0</v>
      </c>
      <c r="AY509" s="1194">
        <f>VLOOKUP('Bilateral Assistance, MAIN DATA'!B509,'Country Summary (€)'!B:F,COLUMN('Country Summary (€)'!C520)-1,FALSE)</f>
        <v>1</v>
      </c>
      <c r="AZ509" s="1194" t="str">
        <f>IF(AND(AD509=1,D509="Military",H509&lt;&gt;"Not given")=TRUE,IF(SUMIFS(P:P,A:A,A509)&gt;0,ABS((SUMIFS(P:P,A:A,A509)/VLOOKUP("USD",'Exchange Rates'!B:C,2,0)))/S509,"."),".")</f>
        <v>.</v>
      </c>
      <c r="BA509" s="1196" t="str">
        <f>IF(AND(AD509=1,D509="Military",H509&lt;&gt;"Not given")=TRUE,IF(SUMIFS(P:P,A:A,A509)&gt;0,IF((ABS((SUMIFS(P:P,A:A,A509)/VLOOKUP("USD",'Exchange Rates'!B:C,2,0)))/S509)&gt;1,(SUMIFS(P:P,A:A,A509)-S509)/S509,(S509-SUMIFS(P:P,A:A,A509))/SUMIFS(P:P,A:A,A509)),"."),".")</f>
        <v>.</v>
      </c>
    </row>
    <row r="510" spans="1:53" ht="15.95" customHeight="1">
      <c r="A510" s="1180" t="s">
        <v>1729</v>
      </c>
      <c r="B510" s="1180" t="s">
        <v>1711</v>
      </c>
      <c r="C510" s="1181">
        <v>44746</v>
      </c>
      <c r="D510" s="1182" t="s">
        <v>360</v>
      </c>
      <c r="E510" s="1182" t="s">
        <v>361</v>
      </c>
      <c r="F510" s="1183" t="s">
        <v>1730</v>
      </c>
      <c r="G510" s="1184" t="s">
        <v>483</v>
      </c>
      <c r="H510" s="1185">
        <v>121500000</v>
      </c>
      <c r="I510" s="1180" t="s">
        <v>364</v>
      </c>
      <c r="J510" s="1186" t="str">
        <f>VLOOKUP($I510,'Price List, Weapons &amp; Items'!B:C,2,0)</f>
        <v>.</v>
      </c>
      <c r="K510" s="1186" t="str">
        <f>IF(I510=".",I510,VLOOKUP($I510,'Price List, Weapons &amp; Items'!B:D,3,0))</f>
        <v>.</v>
      </c>
      <c r="L510" s="1187">
        <f>VLOOKUP(I510,'Price List, Weapons &amp; Items'!B:E,4,0)</f>
        <v>0</v>
      </c>
      <c r="M510" s="1188" t="s">
        <v>364</v>
      </c>
      <c r="N510" s="1188" t="s">
        <v>364</v>
      </c>
      <c r="O510" s="1188" t="str">
        <f>VLOOKUP($I510,'Price List, Weapons &amp; Items'!B:G,6,0)</f>
        <v>.</v>
      </c>
      <c r="P510" s="1185" t="str">
        <f t="shared" si="106"/>
        <v>.</v>
      </c>
      <c r="Q510" s="1185" t="str">
        <f t="shared" si="107"/>
        <v>.</v>
      </c>
      <c r="R510" s="1185">
        <f t="shared" si="103"/>
        <v>121500000</v>
      </c>
      <c r="S510" s="1185">
        <f>IF(AND(AD510=1,R510&lt;&gt;".")=TRUE,R510/VLOOKUP(G510,'Exchange Rates'!B:C,2,0),IF(R510=".",".",""))</f>
        <v>121500000</v>
      </c>
      <c r="T510" s="1185" t="str">
        <f>IF(AD510=1,IF(AF510="Value is not given at all",".",IF(AF510="Value is given by the source",S510,IF(AF510="Value is calculated with prices",(IF(SUMIFS(Q:Q,A:A,A510)&gt;0,SUMIFS(Q:Q,A:A,A510),"."))/VLOOKUP("USD",'Exchange Rates'!B:C,2,0),"Error with coding"))),"")</f>
        <v>.</v>
      </c>
      <c r="U510" s="1184" t="s">
        <v>365</v>
      </c>
      <c r="V510" s="971" t="s">
        <v>1716</v>
      </c>
      <c r="W510" s="972" t="s">
        <v>1731</v>
      </c>
      <c r="X510" s="972" t="s">
        <v>1732</v>
      </c>
      <c r="Y510" s="972" t="s">
        <v>364</v>
      </c>
      <c r="Z510" s="1184">
        <v>0</v>
      </c>
      <c r="AA510" s="1184">
        <v>0</v>
      </c>
      <c r="AB510" s="1201" t="s">
        <v>364</v>
      </c>
      <c r="AC510" s="1192" t="str">
        <f>""</f>
        <v/>
      </c>
      <c r="AD510" s="985">
        <v>1</v>
      </c>
      <c r="AE510" s="985" t="s">
        <v>368</v>
      </c>
      <c r="AF510" s="985" t="s">
        <v>369</v>
      </c>
      <c r="AG510" s="985">
        <v>1</v>
      </c>
      <c r="AH510" s="1193">
        <v>7</v>
      </c>
      <c r="AI510" s="1193">
        <v>0</v>
      </c>
      <c r="AJ510" s="1193">
        <f>VLOOKUP($I510,'Price List, Weapons &amp; Items'!B:F,5,0)</f>
        <v>0</v>
      </c>
      <c r="AK510" s="1193">
        <f t="shared" si="108"/>
        <v>0</v>
      </c>
      <c r="AL510" s="1193">
        <f t="shared" si="109"/>
        <v>0</v>
      </c>
      <c r="AM510" s="1193">
        <f t="shared" si="110"/>
        <v>0</v>
      </c>
      <c r="AN510" s="1194" t="str">
        <f>VLOOKUP($I510,'Price List, Weapons &amp; Items'!B:L,COLUMN('Price List, Weapons &amp; Items'!$J$11)-1,0)</f>
        <v>.</v>
      </c>
      <c r="AO510" s="1194" t="str">
        <f>IF(I510=".",".",VLOOKUP($I510,'Price List, Weapons &amp; Items'!B:J,3,0))</f>
        <v>.</v>
      </c>
      <c r="AP510" s="1195" t="str">
        <f t="shared" ca="1" si="104"/>
        <v>.</v>
      </c>
      <c r="AQ510" s="1194">
        <f>VLOOKUP($I510,'Price List, Weapons &amp; Items'!B:L,COLUMN('Price List, Weapons &amp; Items'!$L$11)-1,0)</f>
        <v>0</v>
      </c>
      <c r="AR510" s="1194">
        <f t="shared" si="111"/>
        <v>1</v>
      </c>
      <c r="AS510" s="1194">
        <f t="shared" si="112"/>
        <v>0</v>
      </c>
      <c r="AT510" s="1194">
        <f t="shared" si="113"/>
        <v>1</v>
      </c>
      <c r="AU510" s="1194" t="str">
        <f t="shared" si="114"/>
        <v>.</v>
      </c>
      <c r="AV510" s="1194" t="str">
        <f t="shared" si="105"/>
        <v>.</v>
      </c>
      <c r="AW510" s="1194" t="str">
        <f t="shared" si="115"/>
        <v>.</v>
      </c>
      <c r="AX510" s="1194">
        <f>IFERROR(VLOOKUP(B510,'Share, Heavy Weapons to Ukraine'!B:Z,COLUMN('Share, Heavy Weapons to Ukraine'!C520)-1,0),0)</f>
        <v>0</v>
      </c>
      <c r="AY510" s="1194">
        <f>VLOOKUP('Bilateral Assistance, MAIN DATA'!B510,'Country Summary (€)'!B:F,COLUMN('Country Summary (€)'!C521)-1,FALSE)</f>
        <v>1</v>
      </c>
      <c r="AZ510" s="1194" t="str">
        <f>IF(AND(AD510=1,D510="Military",H510&lt;&gt;"Not given")=TRUE,IF(SUMIFS(P:P,A:A,A510)&gt;0,ABS((SUMIFS(P:P,A:A,A510)/VLOOKUP("USD",'Exchange Rates'!B:C,2,0)))/S510,"."),".")</f>
        <v>.</v>
      </c>
      <c r="BA510" s="1196" t="str">
        <f>IF(AND(AD510=1,D510="Military",H510&lt;&gt;"Not given")=TRUE,IF(SUMIFS(P:P,A:A,A510)&gt;0,IF((ABS((SUMIFS(P:P,A:A,A510)/VLOOKUP("USD",'Exchange Rates'!B:C,2,0)))/S510)&gt;1,(SUMIFS(P:P,A:A,A510)-S510)/S510,(S510-SUMIFS(P:P,A:A,A510))/SUMIFS(P:P,A:A,A510)),"."),".")</f>
        <v>.</v>
      </c>
    </row>
    <row r="511" spans="1:53" ht="15.95" customHeight="1">
      <c r="A511" s="1180" t="s">
        <v>1729</v>
      </c>
      <c r="B511" s="1180" t="s">
        <v>1711</v>
      </c>
      <c r="C511" s="1181">
        <v>44746</v>
      </c>
      <c r="D511" s="1182" t="s">
        <v>360</v>
      </c>
      <c r="E511" s="1182" t="s">
        <v>481</v>
      </c>
      <c r="F511" s="1183" t="s">
        <v>1730</v>
      </c>
      <c r="G511" s="1184" t="s">
        <v>483</v>
      </c>
      <c r="H511" s="1185">
        <v>233000000</v>
      </c>
      <c r="I511" s="1180" t="s">
        <v>364</v>
      </c>
      <c r="J511" s="1186" t="str">
        <f>VLOOKUP($I511,'Price List, Weapons &amp; Items'!B:C,2,0)</f>
        <v>.</v>
      </c>
      <c r="K511" s="1186" t="str">
        <f>IF(I511=".",I511,VLOOKUP($I511,'Price List, Weapons &amp; Items'!B:D,3,0))</f>
        <v>.</v>
      </c>
      <c r="L511" s="1187">
        <f>VLOOKUP(I511,'Price List, Weapons &amp; Items'!B:E,4,0)</f>
        <v>0</v>
      </c>
      <c r="M511" s="1188" t="s">
        <v>364</v>
      </c>
      <c r="N511" s="1188" t="s">
        <v>364</v>
      </c>
      <c r="O511" s="1188" t="str">
        <f>VLOOKUP($I511,'Price List, Weapons &amp; Items'!B:G,6,0)</f>
        <v>.</v>
      </c>
      <c r="P511" s="1185" t="str">
        <f t="shared" si="106"/>
        <v>.</v>
      </c>
      <c r="Q511" s="1185" t="str">
        <f t="shared" si="107"/>
        <v>.</v>
      </c>
      <c r="R511" s="1185">
        <f t="shared" si="103"/>
        <v>233000000</v>
      </c>
      <c r="S511" s="1185">
        <f>IF(AND(AD511=1,R511&lt;&gt;".")=TRUE,R511/VLOOKUP(G511,'Exchange Rates'!B:C,2,0),IF(R511=".",".",""))</f>
        <v>233000000</v>
      </c>
      <c r="T511" s="1185" t="str">
        <f>IF(AD511=1,IF(AF511="Value is not given at all",".",IF(AF511="Value is given by the source",S511,IF(AF511="Value is calculated with prices",(IF(SUMIFS(Q:Q,A:A,A511)&gt;0,SUMIFS(Q:Q,A:A,A511),"."))/VLOOKUP("USD",'Exchange Rates'!B:C,2,0),"Error with coding"))),"")</f>
        <v>.</v>
      </c>
      <c r="U511" s="1184" t="s">
        <v>365</v>
      </c>
      <c r="V511" s="972" t="s">
        <v>1716</v>
      </c>
      <c r="W511" s="972" t="s">
        <v>1731</v>
      </c>
      <c r="X511" s="972" t="s">
        <v>1732</v>
      </c>
      <c r="Y511" s="972" t="s">
        <v>364</v>
      </c>
      <c r="Z511" s="1184">
        <v>0</v>
      </c>
      <c r="AA511" s="1184">
        <v>0</v>
      </c>
      <c r="AB511" s="1201" t="s">
        <v>364</v>
      </c>
      <c r="AC511" s="1192" t="str">
        <f>""</f>
        <v/>
      </c>
      <c r="AD511" s="985">
        <v>1</v>
      </c>
      <c r="AE511" s="985" t="s">
        <v>368</v>
      </c>
      <c r="AF511" s="985" t="s">
        <v>369</v>
      </c>
      <c r="AG511" s="985">
        <v>1</v>
      </c>
      <c r="AH511" s="1193">
        <v>7</v>
      </c>
      <c r="AI511" s="1193">
        <v>0</v>
      </c>
      <c r="AJ511" s="1193">
        <f>VLOOKUP($I511,'Price List, Weapons &amp; Items'!B:F,5,0)</f>
        <v>0</v>
      </c>
      <c r="AK511" s="1193">
        <f t="shared" si="108"/>
        <v>0</v>
      </c>
      <c r="AL511" s="1193">
        <f t="shared" si="109"/>
        <v>0</v>
      </c>
      <c r="AM511" s="1193">
        <f t="shared" si="110"/>
        <v>0</v>
      </c>
      <c r="AN511" s="1194" t="str">
        <f>VLOOKUP($I511,'Price List, Weapons &amp; Items'!B:L,COLUMN('Price List, Weapons &amp; Items'!$J$11)-1,0)</f>
        <v>.</v>
      </c>
      <c r="AO511" s="1194" t="str">
        <f>IF(I511=".",".",VLOOKUP($I511,'Price List, Weapons &amp; Items'!B:J,3,0))</f>
        <v>.</v>
      </c>
      <c r="AP511" s="1195" t="str">
        <f t="shared" ca="1" si="104"/>
        <v>.</v>
      </c>
      <c r="AQ511" s="1194">
        <f>VLOOKUP($I511,'Price List, Weapons &amp; Items'!B:L,COLUMN('Price List, Weapons &amp; Items'!$L$11)-1,0)</f>
        <v>0</v>
      </c>
      <c r="AR511" s="1194">
        <f t="shared" si="111"/>
        <v>1</v>
      </c>
      <c r="AS511" s="1194">
        <f t="shared" si="112"/>
        <v>0</v>
      </c>
      <c r="AT511" s="1194">
        <f t="shared" si="113"/>
        <v>1</v>
      </c>
      <c r="AU511" s="1194" t="str">
        <f t="shared" si="114"/>
        <v>.</v>
      </c>
      <c r="AV511" s="1194" t="str">
        <f t="shared" si="105"/>
        <v>.</v>
      </c>
      <c r="AW511" s="1194" t="str">
        <f t="shared" si="115"/>
        <v>.</v>
      </c>
      <c r="AX511" s="1194">
        <f>IFERROR(VLOOKUP(B511,'Share, Heavy Weapons to Ukraine'!B:Z,COLUMN('Share, Heavy Weapons to Ukraine'!C521)-1,0),0)</f>
        <v>0</v>
      </c>
      <c r="AY511" s="1194">
        <f>VLOOKUP('Bilateral Assistance, MAIN DATA'!B511,'Country Summary (€)'!B:F,COLUMN('Country Summary (€)'!C522)-1,FALSE)</f>
        <v>1</v>
      </c>
      <c r="AZ511" s="1194" t="str">
        <f>IF(AND(AD511=1,D511="Military",H511&lt;&gt;"Not given")=TRUE,IF(SUMIFS(P:P,A:A,A511)&gt;0,ABS((SUMIFS(P:P,A:A,A511)/VLOOKUP("USD",'Exchange Rates'!B:C,2,0)))/S511,"."),".")</f>
        <v>.</v>
      </c>
      <c r="BA511" s="1196" t="str">
        <f>IF(AND(AD511=1,D511="Military",H511&lt;&gt;"Not given")=TRUE,IF(SUMIFS(P:P,A:A,A511)&gt;0,IF((ABS((SUMIFS(P:P,A:A,A511)/VLOOKUP("USD",'Exchange Rates'!B:C,2,0)))/S511)&gt;1,(SUMIFS(P:P,A:A,A511)-S511)/S511,(S511-SUMIFS(P:P,A:A,A511))/SUMIFS(P:P,A:A,A511)),"."),".")</f>
        <v>.</v>
      </c>
    </row>
    <row r="512" spans="1:53" ht="15.95" customHeight="1">
      <c r="A512" s="1180" t="s">
        <v>1733</v>
      </c>
      <c r="B512" s="1180" t="s">
        <v>1711</v>
      </c>
      <c r="C512" s="1181">
        <v>44746</v>
      </c>
      <c r="D512" s="1182" t="s">
        <v>360</v>
      </c>
      <c r="E512" s="1182" t="s">
        <v>481</v>
      </c>
      <c r="F512" s="1183" t="s">
        <v>1734</v>
      </c>
      <c r="G512" s="1184" t="s">
        <v>483</v>
      </c>
      <c r="H512" s="1185">
        <v>51500000</v>
      </c>
      <c r="I512" s="1180" t="s">
        <v>364</v>
      </c>
      <c r="J512" s="1186" t="str">
        <f>VLOOKUP($I512,'Price List, Weapons &amp; Items'!B:C,2,0)</f>
        <v>.</v>
      </c>
      <c r="K512" s="1186" t="str">
        <f>IF(I512=".",I512,VLOOKUP($I512,'Price List, Weapons &amp; Items'!B:D,3,0))</f>
        <v>.</v>
      </c>
      <c r="L512" s="1187">
        <f>VLOOKUP(I512,'Price List, Weapons &amp; Items'!B:E,4,0)</f>
        <v>0</v>
      </c>
      <c r="M512" s="1188" t="s">
        <v>364</v>
      </c>
      <c r="N512" s="1188" t="s">
        <v>364</v>
      </c>
      <c r="O512" s="1188" t="str">
        <f>VLOOKUP($I512,'Price List, Weapons &amp; Items'!B:G,6,0)</f>
        <v>.</v>
      </c>
      <c r="P512" s="1185" t="str">
        <f t="shared" si="106"/>
        <v>.</v>
      </c>
      <c r="Q512" s="1185" t="str">
        <f t="shared" si="107"/>
        <v>.</v>
      </c>
      <c r="R512" s="1185">
        <f t="shared" si="103"/>
        <v>51500000</v>
      </c>
      <c r="S512" s="1185">
        <f>IF(AND(AD512=1,R512&lt;&gt;".")=TRUE,R512/VLOOKUP(G512,'Exchange Rates'!B:C,2,0),IF(R512=".",".",""))</f>
        <v>51500000</v>
      </c>
      <c r="T512" s="1185" t="str">
        <f>IF(AD512=1,IF(AF512="Value is not given at all",".",IF(AF512="Value is given by the source",S512,IF(AF512="Value is calculated with prices",(IF(SUMIFS(Q:Q,A:A,A512)&gt;0,SUMIFS(Q:Q,A:A,A512),"."))/VLOOKUP("USD",'Exchange Rates'!B:C,2,0),"Error with coding"))),"")</f>
        <v>.</v>
      </c>
      <c r="U512" s="1184" t="s">
        <v>365</v>
      </c>
      <c r="V512" s="971" t="s">
        <v>1716</v>
      </c>
      <c r="W512" s="972" t="s">
        <v>1731</v>
      </c>
      <c r="X512" s="972" t="s">
        <v>364</v>
      </c>
      <c r="Y512" s="972" t="s">
        <v>364</v>
      </c>
      <c r="Z512" s="1184">
        <v>1</v>
      </c>
      <c r="AA512" s="1184">
        <v>0</v>
      </c>
      <c r="AB512" s="1201" t="s">
        <v>364</v>
      </c>
      <c r="AC512" s="1192" t="str">
        <f>""</f>
        <v/>
      </c>
      <c r="AD512" s="985">
        <v>1</v>
      </c>
      <c r="AE512" s="985" t="s">
        <v>368</v>
      </c>
      <c r="AF512" s="985" t="s">
        <v>369</v>
      </c>
      <c r="AG512" s="985">
        <v>1</v>
      </c>
      <c r="AH512" s="1193">
        <v>7</v>
      </c>
      <c r="AI512" s="1193">
        <v>0</v>
      </c>
      <c r="AJ512" s="1193">
        <f>VLOOKUP($I512,'Price List, Weapons &amp; Items'!B:F,5,0)</f>
        <v>0</v>
      </c>
      <c r="AK512" s="1193">
        <f t="shared" si="108"/>
        <v>0</v>
      </c>
      <c r="AL512" s="1193">
        <f t="shared" si="109"/>
        <v>0</v>
      </c>
      <c r="AM512" s="1193">
        <f t="shared" si="110"/>
        <v>0</v>
      </c>
      <c r="AN512" s="1194" t="str">
        <f>VLOOKUP($I512,'Price List, Weapons &amp; Items'!B:L,COLUMN('Price List, Weapons &amp; Items'!$J$11)-1,0)</f>
        <v>.</v>
      </c>
      <c r="AO512" s="1194" t="str">
        <f>IF(I512=".",".",VLOOKUP($I512,'Price List, Weapons &amp; Items'!B:J,3,0))</f>
        <v>.</v>
      </c>
      <c r="AP512" s="1195" t="str">
        <f t="shared" ca="1" si="104"/>
        <v>.</v>
      </c>
      <c r="AQ512" s="1194">
        <f>VLOOKUP($I512,'Price List, Weapons &amp; Items'!B:L,COLUMN('Price List, Weapons &amp; Items'!$L$11)-1,0)</f>
        <v>0</v>
      </c>
      <c r="AR512" s="1194">
        <f t="shared" si="111"/>
        <v>1</v>
      </c>
      <c r="AS512" s="1194">
        <f t="shared" si="112"/>
        <v>0</v>
      </c>
      <c r="AT512" s="1194">
        <f t="shared" si="113"/>
        <v>1</v>
      </c>
      <c r="AU512" s="1194" t="str">
        <f t="shared" si="114"/>
        <v>.</v>
      </c>
      <c r="AV512" s="1194" t="str">
        <f t="shared" si="105"/>
        <v>.</v>
      </c>
      <c r="AW512" s="1194" t="str">
        <f t="shared" si="115"/>
        <v>.</v>
      </c>
      <c r="AX512" s="1194">
        <f>IFERROR(VLOOKUP(B512,'Share, Heavy Weapons to Ukraine'!B:Z,COLUMN('Share, Heavy Weapons to Ukraine'!C522)-1,0),0)</f>
        <v>0</v>
      </c>
      <c r="AY512" s="1194">
        <f>VLOOKUP('Bilateral Assistance, MAIN DATA'!B512,'Country Summary (€)'!B:F,COLUMN('Country Summary (€)'!C523)-1,FALSE)</f>
        <v>1</v>
      </c>
      <c r="AZ512" s="1194" t="str">
        <f>IF(AND(AD512=1,D512="Military",H512&lt;&gt;"Not given")=TRUE,IF(SUMIFS(P:P,A:A,A512)&gt;0,ABS((SUMIFS(P:P,A:A,A512)/VLOOKUP("USD",'Exchange Rates'!B:C,2,0)))/S512,"."),".")</f>
        <v>.</v>
      </c>
      <c r="BA512" s="1196" t="str">
        <f>IF(AND(AD512=1,D512="Military",H512&lt;&gt;"Not given")=TRUE,IF(SUMIFS(P:P,A:A,A512)&gt;0,IF((ABS((SUMIFS(P:P,A:A,A512)/VLOOKUP("USD",'Exchange Rates'!B:C,2,0)))/S512)&gt;1,(SUMIFS(P:P,A:A,A512)-S512)/S512,(S512-SUMIFS(P:P,A:A,A512))/SUMIFS(P:P,A:A,A512)),"."),".")</f>
        <v>.</v>
      </c>
    </row>
    <row r="513" spans="1:53" ht="15.95" customHeight="1">
      <c r="A513" s="1180" t="s">
        <v>1735</v>
      </c>
      <c r="B513" s="1180" t="s">
        <v>1711</v>
      </c>
      <c r="C513" s="1181">
        <v>44774</v>
      </c>
      <c r="D513" s="1182" t="s">
        <v>360</v>
      </c>
      <c r="E513" s="1182" t="s">
        <v>361</v>
      </c>
      <c r="F513" s="1263" t="s">
        <v>1736</v>
      </c>
      <c r="G513" s="1184" t="s">
        <v>483</v>
      </c>
      <c r="H513" s="1185">
        <v>2300000</v>
      </c>
      <c r="I513" s="1180" t="s">
        <v>364</v>
      </c>
      <c r="J513" s="1186" t="str">
        <f>VLOOKUP($I513,'Price List, Weapons &amp; Items'!B:C,2,0)</f>
        <v>.</v>
      </c>
      <c r="K513" s="1186" t="str">
        <f>IF(I513=".",I513,VLOOKUP($I513,'Price List, Weapons &amp; Items'!B:D,3,0))</f>
        <v>.</v>
      </c>
      <c r="L513" s="1187">
        <f>VLOOKUP(I513,'Price List, Weapons &amp; Items'!B:E,4,0)</f>
        <v>0</v>
      </c>
      <c r="M513" s="1188" t="s">
        <v>364</v>
      </c>
      <c r="N513" s="1188" t="s">
        <v>364</v>
      </c>
      <c r="O513" s="1188" t="str">
        <f>VLOOKUP($I513,'Price List, Weapons &amp; Items'!B:G,6,0)</f>
        <v>.</v>
      </c>
      <c r="P513" s="1185" t="str">
        <f t="shared" si="106"/>
        <v>.</v>
      </c>
      <c r="Q513" s="1185" t="str">
        <f t="shared" si="107"/>
        <v>.</v>
      </c>
      <c r="R513" s="1185">
        <f t="shared" si="103"/>
        <v>2300000</v>
      </c>
      <c r="S513" s="1185">
        <f>IF(AND(AD513=1,R513&lt;&gt;".")=TRUE,R513/VLOOKUP(G513,'Exchange Rates'!B:C,2,0),IF(R513=".",".",""))</f>
        <v>2300000</v>
      </c>
      <c r="T513" s="1185" t="str">
        <f>IF(AD513=1,IF(AF513="Value is not given at all",".",IF(AF513="Value is given by the source",S513,IF(AF513="Value is calculated with prices",(IF(SUMIFS(Q:Q,A:A,A513)&gt;0,SUMIFS(Q:Q,A:A,A513),"."))/VLOOKUP("USD",'Exchange Rates'!B:C,2,0),"Error with coding"))),"")</f>
        <v>.</v>
      </c>
      <c r="U513" s="1184" t="s">
        <v>365</v>
      </c>
      <c r="V513" s="972" t="s">
        <v>1717</v>
      </c>
      <c r="W513" s="972" t="s">
        <v>1728</v>
      </c>
      <c r="X513" s="972" t="s">
        <v>364</v>
      </c>
      <c r="Y513" s="972" t="s">
        <v>364</v>
      </c>
      <c r="Z513" s="1184">
        <v>0</v>
      </c>
      <c r="AA513" s="1184">
        <v>0</v>
      </c>
      <c r="AB513" s="1201" t="s">
        <v>364</v>
      </c>
      <c r="AC513" s="1192" t="str">
        <f>""</f>
        <v/>
      </c>
      <c r="AD513" s="985">
        <v>1</v>
      </c>
      <c r="AE513" s="985" t="s">
        <v>368</v>
      </c>
      <c r="AF513" s="985" t="s">
        <v>369</v>
      </c>
      <c r="AG513" s="985">
        <v>1</v>
      </c>
      <c r="AH513" s="1193">
        <v>8</v>
      </c>
      <c r="AI513" s="1193">
        <v>0</v>
      </c>
      <c r="AJ513" s="1193">
        <f>VLOOKUP($I513,'Price List, Weapons &amp; Items'!B:F,5,0)</f>
        <v>0</v>
      </c>
      <c r="AK513" s="1193">
        <f t="shared" si="108"/>
        <v>0</v>
      </c>
      <c r="AL513" s="1193">
        <f t="shared" si="109"/>
        <v>0</v>
      </c>
      <c r="AM513" s="1193">
        <f t="shared" si="110"/>
        <v>0</v>
      </c>
      <c r="AN513" s="1194" t="str">
        <f>VLOOKUP($I513,'Price List, Weapons &amp; Items'!B:L,COLUMN('Price List, Weapons &amp; Items'!$J$11)-1,0)</f>
        <v>.</v>
      </c>
      <c r="AO513" s="1194" t="str">
        <f>IF(I513=".",".",VLOOKUP($I513,'Price List, Weapons &amp; Items'!B:J,3,0))</f>
        <v>.</v>
      </c>
      <c r="AP513" s="1195" t="str">
        <f t="shared" ca="1" si="104"/>
        <v>.</v>
      </c>
      <c r="AQ513" s="1194">
        <f>VLOOKUP($I513,'Price List, Weapons &amp; Items'!B:L,COLUMN('Price List, Weapons &amp; Items'!$L$11)-1,0)</f>
        <v>0</v>
      </c>
      <c r="AR513" s="1194">
        <f t="shared" si="111"/>
        <v>1</v>
      </c>
      <c r="AS513" s="1194">
        <f t="shared" si="112"/>
        <v>0</v>
      </c>
      <c r="AT513" s="1194">
        <f t="shared" si="113"/>
        <v>1</v>
      </c>
      <c r="AU513" s="1194" t="str">
        <f t="shared" si="114"/>
        <v>.</v>
      </c>
      <c r="AV513" s="1194" t="str">
        <f t="shared" si="105"/>
        <v>.</v>
      </c>
      <c r="AW513" s="1194" t="str">
        <f t="shared" si="115"/>
        <v>.</v>
      </c>
      <c r="AX513" s="1194">
        <f>IFERROR(VLOOKUP(B513,'Share, Heavy Weapons to Ukraine'!B:Z,COLUMN('Share, Heavy Weapons to Ukraine'!C523)-1,0),0)</f>
        <v>0</v>
      </c>
      <c r="AY513" s="1194">
        <f>VLOOKUP('Bilateral Assistance, MAIN DATA'!B513,'Country Summary (€)'!B:F,COLUMN('Country Summary (€)'!C524)-1,FALSE)</f>
        <v>1</v>
      </c>
      <c r="AZ513" s="1194" t="str">
        <f>IF(AND(AD513=1,D513="Military",H513&lt;&gt;"Not given")=TRUE,IF(SUMIFS(P:P,A:A,A513)&gt;0,ABS((SUMIFS(P:P,A:A,A513)/VLOOKUP("USD",'Exchange Rates'!B:C,2,0)))/S513,"."),".")</f>
        <v>.</v>
      </c>
      <c r="BA513" s="1196" t="str">
        <f>IF(AND(AD513=1,D513="Military",H513&lt;&gt;"Not given")=TRUE,IF(SUMIFS(P:P,A:A,A513)&gt;0,IF((ABS((SUMIFS(P:P,A:A,A513)/VLOOKUP("USD",'Exchange Rates'!B:C,2,0)))/S513)&gt;1,(SUMIFS(P:P,A:A,A513)-S513)/S513,(S513-SUMIFS(P:P,A:A,A513))/SUMIFS(P:P,A:A,A513)),"."),".")</f>
        <v>.</v>
      </c>
    </row>
    <row r="514" spans="1:53" ht="15.95" customHeight="1">
      <c r="A514" s="1180" t="s">
        <v>1737</v>
      </c>
      <c r="B514" s="1180" t="s">
        <v>1711</v>
      </c>
      <c r="C514" s="1181">
        <v>44805</v>
      </c>
      <c r="D514" s="1182" t="s">
        <v>360</v>
      </c>
      <c r="E514" s="1182" t="s">
        <v>361</v>
      </c>
      <c r="F514" s="1263" t="s">
        <v>1738</v>
      </c>
      <c r="G514" s="1184" t="s">
        <v>483</v>
      </c>
      <c r="H514" s="1185">
        <v>2700000</v>
      </c>
      <c r="I514" s="1180" t="s">
        <v>364</v>
      </c>
      <c r="J514" s="1186" t="str">
        <f>VLOOKUP($I514,'Price List, Weapons &amp; Items'!B:C,2,0)</f>
        <v>.</v>
      </c>
      <c r="K514" s="1186" t="str">
        <f>IF(I514=".",I514,VLOOKUP($I514,'Price List, Weapons &amp; Items'!B:D,3,0))</f>
        <v>.</v>
      </c>
      <c r="L514" s="1187">
        <f>VLOOKUP(I514,'Price List, Weapons &amp; Items'!B:E,4,0)</f>
        <v>0</v>
      </c>
      <c r="M514" s="1188" t="s">
        <v>364</v>
      </c>
      <c r="N514" s="1188" t="s">
        <v>364</v>
      </c>
      <c r="O514" s="1188" t="str">
        <f>VLOOKUP($I514,'Price List, Weapons &amp; Items'!B:G,6,0)</f>
        <v>.</v>
      </c>
      <c r="P514" s="1185" t="str">
        <f t="shared" si="106"/>
        <v>.</v>
      </c>
      <c r="Q514" s="1185" t="str">
        <f t="shared" si="107"/>
        <v>.</v>
      </c>
      <c r="R514" s="1185">
        <f t="shared" ref="R514:R577" si="116">IF(AD514=1,IF(H514&lt;&gt;"Not given",H514,IF(TYPE(H514)=2,IF(SUMIFS(P:P,A:A,A514)&gt;0,SUMIFS(P:P,A:A,A514),"."),"Format error")),"")</f>
        <v>2700000</v>
      </c>
      <c r="S514" s="1185">
        <f>IF(AND(AD514=1,R514&lt;&gt;".")=TRUE,R514/VLOOKUP(G514,'Exchange Rates'!B:C,2,0),IF(R514=".",".",""))</f>
        <v>2700000</v>
      </c>
      <c r="T514" s="1185" t="str">
        <f>IF(AD514=1,IF(AF514="Value is not given at all",".",IF(AF514="Value is given by the source",S514,IF(AF514="Value is calculated with prices",(IF(SUMIFS(Q:Q,A:A,A514)&gt;0,SUMIFS(Q:Q,A:A,A514),"."))/VLOOKUP("USD",'Exchange Rates'!B:C,2,0),"Error with coding"))),"")</f>
        <v>.</v>
      </c>
      <c r="U514" s="1184" t="s">
        <v>365</v>
      </c>
      <c r="V514" s="972" t="s">
        <v>1717</v>
      </c>
      <c r="W514" s="972" t="s">
        <v>1739</v>
      </c>
      <c r="X514" s="972" t="s">
        <v>364</v>
      </c>
      <c r="Y514" s="972" t="s">
        <v>364</v>
      </c>
      <c r="Z514" s="1184">
        <v>0</v>
      </c>
      <c r="AA514" s="1184">
        <v>0</v>
      </c>
      <c r="AB514" s="1201" t="s">
        <v>364</v>
      </c>
      <c r="AC514" s="1192" t="str">
        <f>""</f>
        <v/>
      </c>
      <c r="AD514" s="985">
        <v>1</v>
      </c>
      <c r="AE514" s="985" t="s">
        <v>368</v>
      </c>
      <c r="AF514" s="985" t="s">
        <v>369</v>
      </c>
      <c r="AG514" s="985">
        <v>1</v>
      </c>
      <c r="AH514" s="1193">
        <v>9</v>
      </c>
      <c r="AI514" s="1193">
        <v>0</v>
      </c>
      <c r="AJ514" s="1193">
        <f>VLOOKUP($I514,'Price List, Weapons &amp; Items'!B:F,5,0)</f>
        <v>0</v>
      </c>
      <c r="AK514" s="1193">
        <f t="shared" si="108"/>
        <v>0</v>
      </c>
      <c r="AL514" s="1193">
        <f t="shared" si="109"/>
        <v>0</v>
      </c>
      <c r="AM514" s="1193">
        <f t="shared" si="110"/>
        <v>0</v>
      </c>
      <c r="AN514" s="1194" t="str">
        <f>VLOOKUP($I514,'Price List, Weapons &amp; Items'!B:L,COLUMN('Price List, Weapons &amp; Items'!$J$11)-1,0)</f>
        <v>.</v>
      </c>
      <c r="AO514" s="1194" t="str">
        <f>IF(I514=".",".",VLOOKUP($I514,'Price List, Weapons &amp; Items'!B:J,3,0))</f>
        <v>.</v>
      </c>
      <c r="AP514" s="1195" t="str">
        <f t="shared" ref="AP514:AP577" ca="1" si="117">IF(AD514=1,(OFFSET(I514,0,0,COUNTIF(A:A,A514),1)),"")</f>
        <v>.</v>
      </c>
      <c r="AQ514" s="1194">
        <f>VLOOKUP($I514,'Price List, Weapons &amp; Items'!B:L,COLUMN('Price List, Weapons &amp; Items'!$L$11)-1,0)</f>
        <v>0</v>
      </c>
      <c r="AR514" s="1194">
        <f t="shared" si="111"/>
        <v>1</v>
      </c>
      <c r="AS514" s="1194">
        <f t="shared" si="112"/>
        <v>0</v>
      </c>
      <c r="AT514" s="1194">
        <f t="shared" si="113"/>
        <v>1</v>
      </c>
      <c r="AU514" s="1194" t="str">
        <f t="shared" si="114"/>
        <v>.</v>
      </c>
      <c r="AV514" s="1194" t="str">
        <f t="shared" ref="AV514:AV577" si="118">IF(AND(_xlfn.ISFORMULA(R514),_xlfn.ISFORMULA(S514),_xlfn.ISFORMULA(T514))=TRUE,".",1)</f>
        <v>.</v>
      </c>
      <c r="AW514" s="1194" t="str">
        <f t="shared" si="115"/>
        <v>.</v>
      </c>
      <c r="AX514" s="1194">
        <f>IFERROR(VLOOKUP(B514,'Share, Heavy Weapons to Ukraine'!B:Z,COLUMN('Share, Heavy Weapons to Ukraine'!C524)-1,0),0)</f>
        <v>0</v>
      </c>
      <c r="AY514" s="1194">
        <f>VLOOKUP('Bilateral Assistance, MAIN DATA'!B514,'Country Summary (€)'!B:F,COLUMN('Country Summary (€)'!C525)-1,FALSE)</f>
        <v>1</v>
      </c>
      <c r="AZ514" s="1194" t="str">
        <f>IF(AND(AD514=1,D514="Military",H514&lt;&gt;"Not given")=TRUE,IF(SUMIFS(P:P,A:A,A514)&gt;0,ABS((SUMIFS(P:P,A:A,A514)/VLOOKUP("USD",'Exchange Rates'!B:C,2,0)))/S514,"."),".")</f>
        <v>.</v>
      </c>
      <c r="BA514" s="1196" t="str">
        <f>IF(AND(AD514=1,D514="Military",H514&lt;&gt;"Not given")=TRUE,IF(SUMIFS(P:P,A:A,A514)&gt;0,IF((ABS((SUMIFS(P:P,A:A,A514)/VLOOKUP("USD",'Exchange Rates'!B:C,2,0)))/S514)&gt;1,(SUMIFS(P:P,A:A,A514)-S514)/S514,(S514-SUMIFS(P:P,A:A,A514))/SUMIFS(P:P,A:A,A514)),"."),".")</f>
        <v>.</v>
      </c>
    </row>
    <row r="515" spans="1:53" ht="15.95" customHeight="1">
      <c r="A515" s="1180" t="s">
        <v>1740</v>
      </c>
      <c r="B515" s="1180" t="s">
        <v>1711</v>
      </c>
      <c r="C515" s="1181">
        <v>44819</v>
      </c>
      <c r="D515" s="1182" t="s">
        <v>360</v>
      </c>
      <c r="E515" s="1182" t="s">
        <v>361</v>
      </c>
      <c r="F515" s="1183" t="s">
        <v>1741</v>
      </c>
      <c r="G515" s="1184" t="s">
        <v>483</v>
      </c>
      <c r="H515" s="1185">
        <v>12000000</v>
      </c>
      <c r="I515" s="1180" t="s">
        <v>364</v>
      </c>
      <c r="J515" s="1186" t="str">
        <f>VLOOKUP($I515,'Price List, Weapons &amp; Items'!B:C,2,0)</f>
        <v>.</v>
      </c>
      <c r="K515" s="1186" t="str">
        <f>IF(I515=".",I515,VLOOKUP($I515,'Price List, Weapons &amp; Items'!B:D,3,0))</f>
        <v>.</v>
      </c>
      <c r="L515" s="1187">
        <f>VLOOKUP(I515,'Price List, Weapons &amp; Items'!B:E,4,0)</f>
        <v>0</v>
      </c>
      <c r="M515" s="1188" t="s">
        <v>364</v>
      </c>
      <c r="N515" s="1188" t="s">
        <v>364</v>
      </c>
      <c r="O515" s="1188" t="str">
        <f>VLOOKUP($I515,'Price List, Weapons &amp; Items'!B:G,6,0)</f>
        <v>.</v>
      </c>
      <c r="P515" s="1185" t="str">
        <f t="shared" ref="P515:P578" si="119">IF(TYPE(M515)=1,IF(TYPE(O515)=1,M515*O515,"No price"),".")</f>
        <v>.</v>
      </c>
      <c r="Q515" s="1185" t="str">
        <f t="shared" ref="Q515:Q578" si="120">IF(TYPE(N515)=1,IF(TYPE(O515)=1,N515*O515,"No price"),".")</f>
        <v>.</v>
      </c>
      <c r="R515" s="1185">
        <f t="shared" si="116"/>
        <v>12000000</v>
      </c>
      <c r="S515" s="1185">
        <f>IF(AND(AD515=1,R515&lt;&gt;".")=TRUE,R515/VLOOKUP(G515,'Exchange Rates'!B:C,2,0),IF(R515=".",".",""))</f>
        <v>12000000</v>
      </c>
      <c r="T515" s="1185" t="str">
        <f>IF(AD515=1,IF(AF515="Value is not given at all",".",IF(AF515="Value is given by the source",S515,IF(AF515="Value is calculated with prices",(IF(SUMIFS(Q:Q,A:A,A515)&gt;0,SUMIFS(Q:Q,A:A,A515),"."))/VLOOKUP("USD",'Exchange Rates'!B:C,2,0),"Error with coding"))),"")</f>
        <v>.</v>
      </c>
      <c r="U515" s="1184" t="s">
        <v>365</v>
      </c>
      <c r="V515" s="972" t="s">
        <v>1717</v>
      </c>
      <c r="W515" s="972" t="s">
        <v>1742</v>
      </c>
      <c r="X515" s="972" t="s">
        <v>364</v>
      </c>
      <c r="Y515" s="972" t="s">
        <v>364</v>
      </c>
      <c r="Z515" s="1184">
        <v>0</v>
      </c>
      <c r="AA515" s="1184">
        <v>0</v>
      </c>
      <c r="AB515" s="1201" t="s">
        <v>364</v>
      </c>
      <c r="AC515" s="1192" t="str">
        <f>""</f>
        <v/>
      </c>
      <c r="AD515" s="985">
        <v>1</v>
      </c>
      <c r="AE515" s="985" t="s">
        <v>368</v>
      </c>
      <c r="AF515" s="985" t="s">
        <v>369</v>
      </c>
      <c r="AG515" s="985">
        <v>1</v>
      </c>
      <c r="AH515" s="1193">
        <v>9</v>
      </c>
      <c r="AI515" s="1193">
        <v>0</v>
      </c>
      <c r="AJ515" s="1193">
        <f>VLOOKUP($I515,'Price List, Weapons &amp; Items'!B:F,5,0)</f>
        <v>0</v>
      </c>
      <c r="AK515" s="1193">
        <f t="shared" ref="AK515:AK578" si="121">IF(AND(AJ515=1,M515="undisclosed")=TRUE,1,0)</f>
        <v>0</v>
      </c>
      <c r="AL515" s="1193">
        <f t="shared" ref="AL515:AL578" si="122">IF(AND(AJ515=1,N515="undisclosed")=TRUE,1,0)</f>
        <v>0</v>
      </c>
      <c r="AM515" s="1193">
        <f t="shared" ref="AM515:AM578" si="123">IFERROR(IF(SEARCH("ammuni",I515,1)&gt;0,1,0),0)</f>
        <v>0</v>
      </c>
      <c r="AN515" s="1194" t="str">
        <f>VLOOKUP($I515,'Price List, Weapons &amp; Items'!B:L,COLUMN('Price List, Weapons &amp; Items'!$J$11)-1,0)</f>
        <v>.</v>
      </c>
      <c r="AO515" s="1194" t="str">
        <f>IF(I515=".",".",VLOOKUP($I515,'Price List, Weapons &amp; Items'!B:J,3,0))</f>
        <v>.</v>
      </c>
      <c r="AP515" s="1195" t="str">
        <f t="shared" ca="1" si="117"/>
        <v>.</v>
      </c>
      <c r="AQ515" s="1194">
        <f>VLOOKUP($I515,'Price List, Weapons &amp; Items'!B:L,COLUMN('Price List, Weapons &amp; Items'!$L$11)-1,0)</f>
        <v>0</v>
      </c>
      <c r="AR515" s="1194">
        <f t="shared" ref="AR515:AR578" si="124">IF(U515="Yes",1,0)</f>
        <v>1</v>
      </c>
      <c r="AS515" s="1194">
        <f t="shared" ref="AS515:AS578" si="125">IF(D515="Military",IF(OR(IFERROR(SEARCH("equipment",E515,1),0)&gt;0,IFERROR(SEARCH("weapons",E515,1),0)&gt;0),1,0),0)</f>
        <v>0</v>
      </c>
      <c r="AT515" s="1194">
        <f t="shared" ref="AT515:AT578" si="126">IFERROR(IF(VALUE(TEXT(C515,"mm"))=IF(AH515&gt;12,AH515-12,AH515),".",IF(TEXT(C515,"mm")="01",".",1)),"Value is not in date format")</f>
        <v>1</v>
      </c>
      <c r="AU515" s="1194" t="str">
        <f t="shared" ref="AU515:AU578" si="127">IF(AND(A515=A514,C515=C514)=TRUE,IF(F515=F514,".","1"),".")</f>
        <v>.</v>
      </c>
      <c r="AV515" s="1194" t="str">
        <f t="shared" si="118"/>
        <v>.</v>
      </c>
      <c r="AW515" s="1194" t="str">
        <f t="shared" ref="AW515:AW578" si="128">IF(T515&lt;&gt;".",IF(T515&gt;S515,1,"."),".")</f>
        <v>.</v>
      </c>
      <c r="AX515" s="1194">
        <f>IFERROR(VLOOKUP(B515,'Share, Heavy Weapons to Ukraine'!B:Z,COLUMN('Share, Heavy Weapons to Ukraine'!C525)-1,0),0)</f>
        <v>0</v>
      </c>
      <c r="AY515" s="1194">
        <f>VLOOKUP('Bilateral Assistance, MAIN DATA'!B515,'Country Summary (€)'!B:F,COLUMN('Country Summary (€)'!C526)-1,FALSE)</f>
        <v>1</v>
      </c>
      <c r="AZ515" s="1194" t="str">
        <f>IF(AND(AD515=1,D515="Military",H515&lt;&gt;"Not given")=TRUE,IF(SUMIFS(P:P,A:A,A515)&gt;0,ABS((SUMIFS(P:P,A:A,A515)/VLOOKUP("USD",'Exchange Rates'!B:C,2,0)))/S515,"."),".")</f>
        <v>.</v>
      </c>
      <c r="BA515" s="1196" t="str">
        <f>IF(AND(AD515=1,D515="Military",H515&lt;&gt;"Not given")=TRUE,IF(SUMIFS(P:P,A:A,A515)&gt;0,IF((ABS((SUMIFS(P:P,A:A,A515)/VLOOKUP("USD",'Exchange Rates'!B:C,2,0)))/S515)&gt;1,(SUMIFS(P:P,A:A,A515)-S515)/S515,(S515-SUMIFS(P:P,A:A,A515))/SUMIFS(P:P,A:A,A515)),"."),".")</f>
        <v>.</v>
      </c>
    </row>
    <row r="516" spans="1:53" ht="15.95" customHeight="1">
      <c r="A516" s="1180" t="s">
        <v>1743</v>
      </c>
      <c r="B516" s="1180" t="s">
        <v>1711</v>
      </c>
      <c r="C516" s="1181">
        <v>44835</v>
      </c>
      <c r="D516" s="1182" t="s">
        <v>360</v>
      </c>
      <c r="E516" s="1182" t="s">
        <v>361</v>
      </c>
      <c r="F516" s="1183" t="s">
        <v>1744</v>
      </c>
      <c r="G516" s="1184" t="s">
        <v>483</v>
      </c>
      <c r="H516" s="1185">
        <v>800000</v>
      </c>
      <c r="I516" s="1180" t="s">
        <v>364</v>
      </c>
      <c r="J516" s="1186" t="str">
        <f>VLOOKUP($I516,'Price List, Weapons &amp; Items'!B:C,2,0)</f>
        <v>.</v>
      </c>
      <c r="K516" s="1186" t="str">
        <f>IF(I516=".",I516,VLOOKUP($I516,'Price List, Weapons &amp; Items'!B:D,3,0))</f>
        <v>.</v>
      </c>
      <c r="L516" s="1187">
        <f>VLOOKUP(I516,'Price List, Weapons &amp; Items'!B:E,4,0)</f>
        <v>0</v>
      </c>
      <c r="M516" s="1188" t="s">
        <v>364</v>
      </c>
      <c r="N516" s="1188" t="s">
        <v>364</v>
      </c>
      <c r="O516" s="1188" t="str">
        <f>VLOOKUP($I516,'Price List, Weapons &amp; Items'!B:G,6,0)</f>
        <v>.</v>
      </c>
      <c r="P516" s="1185" t="str">
        <f t="shared" si="119"/>
        <v>.</v>
      </c>
      <c r="Q516" s="1185" t="str">
        <f t="shared" si="120"/>
        <v>.</v>
      </c>
      <c r="R516" s="1185">
        <f t="shared" si="116"/>
        <v>800000</v>
      </c>
      <c r="S516" s="1185">
        <f>IF(AND(AD516=1,R516&lt;&gt;".")=TRUE,R516/VLOOKUP(G516,'Exchange Rates'!B:C,2,0),IF(R516=".",".",""))</f>
        <v>800000</v>
      </c>
      <c r="T516" s="1185" t="str">
        <f>IF(AD516=1,IF(AF516="Value is not given at all",".",IF(AF516="Value is given by the source",S516,IF(AF516="Value is calculated with prices",(IF(SUMIFS(Q:Q,A:A,A516)&gt;0,SUMIFS(Q:Q,A:A,A516),"."))/VLOOKUP("USD",'Exchange Rates'!B:C,2,0),"Error with coding"))),"")</f>
        <v>.</v>
      </c>
      <c r="U516" s="1184" t="s">
        <v>365</v>
      </c>
      <c r="V516" s="972" t="s">
        <v>1717</v>
      </c>
      <c r="W516" s="972" t="s">
        <v>1728</v>
      </c>
      <c r="X516" s="972" t="s">
        <v>364</v>
      </c>
      <c r="Y516" s="972" t="s">
        <v>364</v>
      </c>
      <c r="Z516" s="1184">
        <v>0</v>
      </c>
      <c r="AA516" s="1184">
        <v>0</v>
      </c>
      <c r="AB516" s="1201" t="s">
        <v>364</v>
      </c>
      <c r="AC516" s="1192" t="str">
        <f>""</f>
        <v/>
      </c>
      <c r="AD516" s="985">
        <v>1</v>
      </c>
      <c r="AE516" s="985" t="s">
        <v>368</v>
      </c>
      <c r="AF516" s="985" t="s">
        <v>369</v>
      </c>
      <c r="AG516" s="985">
        <v>1</v>
      </c>
      <c r="AH516" s="1193">
        <v>10</v>
      </c>
      <c r="AI516" s="1193">
        <v>0</v>
      </c>
      <c r="AJ516" s="1193">
        <f>VLOOKUP($I516,'Price List, Weapons &amp; Items'!B:F,5,0)</f>
        <v>0</v>
      </c>
      <c r="AK516" s="1193">
        <f t="shared" si="121"/>
        <v>0</v>
      </c>
      <c r="AL516" s="1193">
        <f t="shared" si="122"/>
        <v>0</v>
      </c>
      <c r="AM516" s="1193">
        <f t="shared" si="123"/>
        <v>0</v>
      </c>
      <c r="AN516" s="1194" t="str">
        <f>VLOOKUP($I516,'Price List, Weapons &amp; Items'!B:L,COLUMN('Price List, Weapons &amp; Items'!$J$11)-1,0)</f>
        <v>.</v>
      </c>
      <c r="AO516" s="1194" t="str">
        <f>IF(I516=".",".",VLOOKUP($I516,'Price List, Weapons &amp; Items'!B:J,3,0))</f>
        <v>.</v>
      </c>
      <c r="AP516" s="1195" t="str">
        <f t="shared" ca="1" si="117"/>
        <v>.</v>
      </c>
      <c r="AQ516" s="1194">
        <f>VLOOKUP($I516,'Price List, Weapons &amp; Items'!B:L,COLUMN('Price List, Weapons &amp; Items'!$L$11)-1,0)</f>
        <v>0</v>
      </c>
      <c r="AR516" s="1194">
        <f t="shared" si="124"/>
        <v>1</v>
      </c>
      <c r="AS516" s="1194">
        <f t="shared" si="125"/>
        <v>0</v>
      </c>
      <c r="AT516" s="1194">
        <f t="shared" si="126"/>
        <v>1</v>
      </c>
      <c r="AU516" s="1194" t="str">
        <f t="shared" si="127"/>
        <v>.</v>
      </c>
      <c r="AV516" s="1194" t="str">
        <f t="shared" si="118"/>
        <v>.</v>
      </c>
      <c r="AW516" s="1194" t="str">
        <f t="shared" si="128"/>
        <v>.</v>
      </c>
      <c r="AX516" s="1194">
        <f>IFERROR(VLOOKUP(B516,'Share, Heavy Weapons to Ukraine'!B:Z,COLUMN('Share, Heavy Weapons to Ukraine'!C526)-1,0),0)</f>
        <v>0</v>
      </c>
      <c r="AY516" s="1194">
        <f>VLOOKUP('Bilateral Assistance, MAIN DATA'!B516,'Country Summary (€)'!B:F,COLUMN('Country Summary (€)'!C527)-1,FALSE)</f>
        <v>1</v>
      </c>
      <c r="AZ516" s="1194" t="str">
        <f>IF(AND(AD516=1,D516="Military",H516&lt;&gt;"Not given")=TRUE,IF(SUMIFS(P:P,A:A,A516)&gt;0,ABS((SUMIFS(P:P,A:A,A516)/VLOOKUP("USD",'Exchange Rates'!B:C,2,0)))/S516,"."),".")</f>
        <v>.</v>
      </c>
      <c r="BA516" s="1196" t="str">
        <f>IF(AND(AD516=1,D516="Military",H516&lt;&gt;"Not given")=TRUE,IF(SUMIFS(P:P,A:A,A516)&gt;0,IF((ABS((SUMIFS(P:P,A:A,A516)/VLOOKUP("USD",'Exchange Rates'!B:C,2,0)))/S516)&gt;1,(SUMIFS(P:P,A:A,A516)-S516)/S516,(S516-SUMIFS(P:P,A:A,A516))/SUMIFS(P:P,A:A,A516)),"."),".")</f>
        <v>.</v>
      </c>
    </row>
    <row r="517" spans="1:53" ht="15.95" customHeight="1">
      <c r="A517" s="1180" t="s">
        <v>1745</v>
      </c>
      <c r="B517" s="1180" t="s">
        <v>1711</v>
      </c>
      <c r="C517" s="1181">
        <v>44876</v>
      </c>
      <c r="D517" s="1182" t="s">
        <v>360</v>
      </c>
      <c r="E517" s="1182" t="s">
        <v>361</v>
      </c>
      <c r="F517" s="1183" t="s">
        <v>1746</v>
      </c>
      <c r="G517" s="1184" t="s">
        <v>483</v>
      </c>
      <c r="H517" s="1185">
        <v>1148000</v>
      </c>
      <c r="I517" s="1180" t="s">
        <v>364</v>
      </c>
      <c r="J517" s="1186" t="str">
        <f>VLOOKUP($I517,'Price List, Weapons &amp; Items'!B:C,2,0)</f>
        <v>.</v>
      </c>
      <c r="K517" s="1186" t="str">
        <f>IF(I517=".",I517,VLOOKUP($I517,'Price List, Weapons &amp; Items'!B:D,3,0))</f>
        <v>.</v>
      </c>
      <c r="L517" s="1187">
        <f>VLOOKUP(I517,'Price List, Weapons &amp; Items'!B:E,4,0)</f>
        <v>0</v>
      </c>
      <c r="M517" s="1188" t="s">
        <v>364</v>
      </c>
      <c r="N517" s="1188" t="s">
        <v>364</v>
      </c>
      <c r="O517" s="1188" t="str">
        <f>VLOOKUP($I517,'Price List, Weapons &amp; Items'!B:G,6,0)</f>
        <v>.</v>
      </c>
      <c r="P517" s="1185" t="str">
        <f t="shared" si="119"/>
        <v>.</v>
      </c>
      <c r="Q517" s="1185" t="str">
        <f t="shared" si="120"/>
        <v>.</v>
      </c>
      <c r="R517" s="1185">
        <f t="shared" si="116"/>
        <v>1148000</v>
      </c>
      <c r="S517" s="1185">
        <f>IF(AND(AD517=1,R517&lt;&gt;".")=TRUE,R517/VLOOKUP(G517,'Exchange Rates'!B:C,2,0),IF(R517=".",".",""))</f>
        <v>1148000</v>
      </c>
      <c r="T517" s="1185" t="str">
        <f>IF(AD517=1,IF(AF517="Value is not given at all",".",IF(AF517="Value is given by the source",S517,IF(AF517="Value is calculated with prices",(IF(SUMIFS(Q:Q,A:A,A517)&gt;0,SUMIFS(Q:Q,A:A,A517),"."))/VLOOKUP("USD",'Exchange Rates'!B:C,2,0),"Error with coding"))),"")</f>
        <v>.</v>
      </c>
      <c r="U517" s="1184" t="s">
        <v>365</v>
      </c>
      <c r="V517" s="972" t="s">
        <v>1717</v>
      </c>
      <c r="W517" s="972" t="s">
        <v>1747</v>
      </c>
      <c r="X517" s="972" t="s">
        <v>364</v>
      </c>
      <c r="Y517" s="972" t="s">
        <v>364</v>
      </c>
      <c r="Z517" s="1184">
        <v>0</v>
      </c>
      <c r="AA517" s="1184">
        <v>1</v>
      </c>
      <c r="AB517" s="1000" t="s">
        <v>364</v>
      </c>
      <c r="AC517" s="1192" t="str">
        <f>""</f>
        <v/>
      </c>
      <c r="AD517" s="985">
        <v>1</v>
      </c>
      <c r="AE517" s="985" t="s">
        <v>368</v>
      </c>
      <c r="AF517" s="985" t="s">
        <v>369</v>
      </c>
      <c r="AG517" s="985">
        <v>1</v>
      </c>
      <c r="AH517" s="1193">
        <v>11</v>
      </c>
      <c r="AI517" s="1193">
        <v>0</v>
      </c>
      <c r="AJ517" s="1193">
        <f>VLOOKUP($I517,'Price List, Weapons &amp; Items'!B:F,5,0)</f>
        <v>0</v>
      </c>
      <c r="AK517" s="1193">
        <f t="shared" si="121"/>
        <v>0</v>
      </c>
      <c r="AL517" s="1193">
        <f t="shared" si="122"/>
        <v>0</v>
      </c>
      <c r="AM517" s="1193">
        <f t="shared" si="123"/>
        <v>0</v>
      </c>
      <c r="AN517" s="1194" t="str">
        <f>VLOOKUP($I517,'Price List, Weapons &amp; Items'!B:L,COLUMN('Price List, Weapons &amp; Items'!$J$11)-1,0)</f>
        <v>.</v>
      </c>
      <c r="AO517" s="1194" t="str">
        <f>IF(I517=".",".",VLOOKUP($I517,'Price List, Weapons &amp; Items'!B:J,3,0))</f>
        <v>.</v>
      </c>
      <c r="AP517" s="1195" t="str">
        <f t="shared" ca="1" si="117"/>
        <v>.</v>
      </c>
      <c r="AQ517" s="1194">
        <f>VLOOKUP($I517,'Price List, Weapons &amp; Items'!B:L,COLUMN('Price List, Weapons &amp; Items'!$L$11)-1,0)</f>
        <v>0</v>
      </c>
      <c r="AR517" s="1194">
        <f t="shared" si="124"/>
        <v>1</v>
      </c>
      <c r="AS517" s="1194">
        <f t="shared" si="125"/>
        <v>0</v>
      </c>
      <c r="AT517" s="1194">
        <f t="shared" si="126"/>
        <v>1</v>
      </c>
      <c r="AU517" s="1194" t="str">
        <f t="shared" si="127"/>
        <v>.</v>
      </c>
      <c r="AV517" s="1194" t="str">
        <f t="shared" si="118"/>
        <v>.</v>
      </c>
      <c r="AW517" s="1194" t="str">
        <f t="shared" si="128"/>
        <v>.</v>
      </c>
      <c r="AX517" s="1194">
        <f>IFERROR(VLOOKUP(B517,'Share, Heavy Weapons to Ukraine'!B:Z,COLUMN('Share, Heavy Weapons to Ukraine'!C527)-1,0),0)</f>
        <v>0</v>
      </c>
      <c r="AY517" s="1194">
        <f>VLOOKUP('Bilateral Assistance, MAIN DATA'!B517,'Country Summary (€)'!B:F,COLUMN('Country Summary (€)'!C528)-1,FALSE)</f>
        <v>1</v>
      </c>
      <c r="AZ517" s="1194" t="str">
        <f>IF(AND(AD517=1,D517="Military",H517&lt;&gt;"Not given")=TRUE,IF(SUMIFS(P:P,A:A,A517)&gt;0,ABS((SUMIFS(P:P,A:A,A517)/VLOOKUP("USD",'Exchange Rates'!B:C,2,0)))/S517,"."),".")</f>
        <v>.</v>
      </c>
      <c r="BA517" s="1196" t="str">
        <f>IF(AND(AD517=1,D517="Military",H517&lt;&gt;"Not given")=TRUE,IF(SUMIFS(P:P,A:A,A517)&gt;0,IF((ABS((SUMIFS(P:P,A:A,A517)/VLOOKUP("USD",'Exchange Rates'!B:C,2,0)))/S517)&gt;1,(SUMIFS(P:P,A:A,A517)-S517)/S517,(S517-SUMIFS(P:P,A:A,A517))/SUMIFS(P:P,A:A,A517)),"."),".")</f>
        <v>.</v>
      </c>
    </row>
    <row r="518" spans="1:53" ht="15.95" customHeight="1">
      <c r="A518" s="1180" t="s">
        <v>1748</v>
      </c>
      <c r="B518" s="1180" t="s">
        <v>1711</v>
      </c>
      <c r="C518" s="1181">
        <v>44886</v>
      </c>
      <c r="D518" s="1182" t="s">
        <v>360</v>
      </c>
      <c r="E518" s="1182" t="s">
        <v>481</v>
      </c>
      <c r="F518" s="1183" t="s">
        <v>1749</v>
      </c>
      <c r="G518" s="1184" t="s">
        <v>483</v>
      </c>
      <c r="H518" s="1185">
        <v>40000000</v>
      </c>
      <c r="I518" s="1180" t="s">
        <v>364</v>
      </c>
      <c r="J518" s="1186" t="str">
        <f>VLOOKUP($I518,'Price List, Weapons &amp; Items'!B:C,2,0)</f>
        <v>.</v>
      </c>
      <c r="K518" s="1186" t="str">
        <f>IF(I518=".",I518,VLOOKUP($I518,'Price List, Weapons &amp; Items'!B:D,3,0))</f>
        <v>.</v>
      </c>
      <c r="L518" s="1187">
        <f>VLOOKUP(I518,'Price List, Weapons &amp; Items'!B:E,4,0)</f>
        <v>0</v>
      </c>
      <c r="M518" s="1188" t="s">
        <v>364</v>
      </c>
      <c r="N518" s="1188" t="s">
        <v>364</v>
      </c>
      <c r="O518" s="1188" t="str">
        <f>VLOOKUP($I518,'Price List, Weapons &amp; Items'!B:G,6,0)</f>
        <v>.</v>
      </c>
      <c r="P518" s="1185" t="str">
        <f t="shared" si="119"/>
        <v>.</v>
      </c>
      <c r="Q518" s="1185" t="str">
        <f t="shared" si="120"/>
        <v>.</v>
      </c>
      <c r="R518" s="1185">
        <f t="shared" si="116"/>
        <v>40000000</v>
      </c>
      <c r="S518" s="1185">
        <f>IF(AND(AD518=1,R518&lt;&gt;".")=TRUE,R518/VLOOKUP(G518,'Exchange Rates'!B:C,2,0),IF(R518=".",".",""))</f>
        <v>40000000</v>
      </c>
      <c r="T518" s="1185" t="str">
        <f>IF(AD518=1,IF(AF518="Value is not given at all",".",IF(AF518="Value is given by the source",S518,IF(AF518="Value is calculated with prices",(IF(SUMIFS(Q:Q,A:A,A518)&gt;0,SUMIFS(Q:Q,A:A,A518),"."))/VLOOKUP("USD",'Exchange Rates'!B:C,2,0),"Error with coding"))),"")</f>
        <v>.</v>
      </c>
      <c r="U518" s="1184" t="s">
        <v>365</v>
      </c>
      <c r="V518" s="972" t="s">
        <v>1716</v>
      </c>
      <c r="W518" s="972" t="s">
        <v>1750</v>
      </c>
      <c r="X518" s="972" t="s">
        <v>1716</v>
      </c>
      <c r="Y518" s="972" t="s">
        <v>1751</v>
      </c>
      <c r="Z518" s="1184">
        <v>0</v>
      </c>
      <c r="AA518" s="1184">
        <v>0</v>
      </c>
      <c r="AB518" s="1000" t="s">
        <v>364</v>
      </c>
      <c r="AC518" s="1192" t="str">
        <f>""</f>
        <v/>
      </c>
      <c r="AD518" s="985">
        <v>1</v>
      </c>
      <c r="AE518" s="985" t="s">
        <v>368</v>
      </c>
      <c r="AF518" s="985" t="s">
        <v>369</v>
      </c>
      <c r="AG518" s="985">
        <v>1</v>
      </c>
      <c r="AH518" s="1193">
        <v>11</v>
      </c>
      <c r="AI518" s="1193">
        <v>0</v>
      </c>
      <c r="AJ518" s="1193">
        <f>VLOOKUP($I518,'Price List, Weapons &amp; Items'!B:F,5,0)</f>
        <v>0</v>
      </c>
      <c r="AK518" s="1193">
        <f t="shared" si="121"/>
        <v>0</v>
      </c>
      <c r="AL518" s="1193">
        <f t="shared" si="122"/>
        <v>0</v>
      </c>
      <c r="AM518" s="1193">
        <f t="shared" si="123"/>
        <v>0</v>
      </c>
      <c r="AN518" s="1194" t="str">
        <f>VLOOKUP($I518,'Price List, Weapons &amp; Items'!B:L,COLUMN('Price List, Weapons &amp; Items'!$J$11)-1,0)</f>
        <v>.</v>
      </c>
      <c r="AO518" s="1194" t="str">
        <f>IF(I518=".",".",VLOOKUP($I518,'Price List, Weapons &amp; Items'!B:J,3,0))</f>
        <v>.</v>
      </c>
      <c r="AP518" s="1195" t="str">
        <f t="shared" ca="1" si="117"/>
        <v>.</v>
      </c>
      <c r="AQ518" s="1194">
        <f>VLOOKUP($I518,'Price List, Weapons &amp; Items'!B:L,COLUMN('Price List, Weapons &amp; Items'!$L$11)-1,0)</f>
        <v>0</v>
      </c>
      <c r="AR518" s="1194">
        <f t="shared" si="124"/>
        <v>1</v>
      </c>
      <c r="AS518" s="1194">
        <f t="shared" si="125"/>
        <v>0</v>
      </c>
      <c r="AT518" s="1194">
        <f t="shared" si="126"/>
        <v>1</v>
      </c>
      <c r="AU518" s="1194" t="str">
        <f t="shared" si="127"/>
        <v>.</v>
      </c>
      <c r="AV518" s="1194" t="str">
        <f t="shared" si="118"/>
        <v>.</v>
      </c>
      <c r="AW518" s="1194" t="str">
        <f t="shared" si="128"/>
        <v>.</v>
      </c>
      <c r="AX518" s="1194">
        <f>IFERROR(VLOOKUP(B518,'Share, Heavy Weapons to Ukraine'!B:Z,COLUMN('Share, Heavy Weapons to Ukraine'!C528)-1,0),0)</f>
        <v>0</v>
      </c>
      <c r="AY518" s="1194">
        <f>VLOOKUP('Bilateral Assistance, MAIN DATA'!B518,'Country Summary (€)'!B:F,COLUMN('Country Summary (€)'!C529)-1,FALSE)</f>
        <v>1</v>
      </c>
      <c r="AZ518" s="1194" t="str">
        <f>IF(AND(AD518=1,D518="Military",H518&lt;&gt;"Not given")=TRUE,IF(SUMIFS(P:P,A:A,A518)&gt;0,ABS((SUMIFS(P:P,A:A,A518)/VLOOKUP("USD",'Exchange Rates'!B:C,2,0)))/S518,"."),".")</f>
        <v>.</v>
      </c>
      <c r="BA518" s="1196" t="str">
        <f>IF(AND(AD518=1,D518="Military",H518&lt;&gt;"Not given")=TRUE,IF(SUMIFS(P:P,A:A,A518)&gt;0,IF((ABS((SUMIFS(P:P,A:A,A518)/VLOOKUP("USD",'Exchange Rates'!B:C,2,0)))/S518)&gt;1,(SUMIFS(P:P,A:A,A518)-S518)/S518,(S518-SUMIFS(P:P,A:A,A518))/SUMIFS(P:P,A:A,A518)),"."),".")</f>
        <v>.</v>
      </c>
    </row>
    <row r="519" spans="1:53" ht="15.95" customHeight="1">
      <c r="A519" s="1180" t="s">
        <v>1752</v>
      </c>
      <c r="B519" s="1180" t="s">
        <v>1711</v>
      </c>
      <c r="C519" s="1181">
        <v>44887</v>
      </c>
      <c r="D519" s="1182" t="s">
        <v>360</v>
      </c>
      <c r="E519" s="1182" t="s">
        <v>361</v>
      </c>
      <c r="F519" s="1183" t="s">
        <v>1753</v>
      </c>
      <c r="G519" s="1184" t="s">
        <v>483</v>
      </c>
      <c r="H519" s="1185">
        <v>600000</v>
      </c>
      <c r="I519" s="1180" t="s">
        <v>1754</v>
      </c>
      <c r="J519" s="1186" t="str">
        <f>VLOOKUP($I519,'Price List, Weapons &amp; Items'!B:C,2,0)</f>
        <v>Military equipment</v>
      </c>
      <c r="K519" s="1186" t="str">
        <f>IF(I519=".",I519,VLOOKUP($I519,'Price List, Weapons &amp; Items'!B:D,3,0))</f>
        <v>non combat military vehicle</v>
      </c>
      <c r="L519" s="1187">
        <f>VLOOKUP(I519,'Price List, Weapons &amp; Items'!B:E,4,0)</f>
        <v>0</v>
      </c>
      <c r="M519" s="1188">
        <v>100</v>
      </c>
      <c r="N519" s="1188" t="s">
        <v>374</v>
      </c>
      <c r="O519" s="1188">
        <f>VLOOKUP($I519,'Price List, Weapons &amp; Items'!B:G,6,0)</f>
        <v>31500</v>
      </c>
      <c r="P519" s="1185">
        <f t="shared" si="119"/>
        <v>3150000</v>
      </c>
      <c r="Q519" s="1185" t="str">
        <f t="shared" si="120"/>
        <v>.</v>
      </c>
      <c r="R519" s="1185">
        <f t="shared" si="116"/>
        <v>600000</v>
      </c>
      <c r="S519" s="1185">
        <f>IF(AND(AD519=1,R519&lt;&gt;".")=TRUE,R519/VLOOKUP(G519,'Exchange Rates'!B:C,2,0),IF(R519=".",".",""))</f>
        <v>600000</v>
      </c>
      <c r="T519" s="1185" t="str">
        <f>IF(AD519=1,IF(AF519="Value is not given at all",".",IF(AF519="Value is given by the source",S519,IF(AF519="Value is calculated with prices",(IF(SUMIFS(Q:Q,A:A,A519)&gt;0,SUMIFS(Q:Q,A:A,A519),"."))/VLOOKUP("USD",'Exchange Rates'!B:C,2,0),"Error with coding"))),"")</f>
        <v>.</v>
      </c>
      <c r="U519" s="1184" t="s">
        <v>365</v>
      </c>
      <c r="V519" s="972" t="s">
        <v>1716</v>
      </c>
      <c r="W519" s="972" t="s">
        <v>1750</v>
      </c>
      <c r="X519" s="972" t="s">
        <v>1716</v>
      </c>
      <c r="Y519" s="972" t="s">
        <v>364</v>
      </c>
      <c r="Z519" s="1184">
        <v>0</v>
      </c>
      <c r="AA519" s="1184">
        <v>0</v>
      </c>
      <c r="AB519" s="1000" t="s">
        <v>364</v>
      </c>
      <c r="AC519" s="1192" t="str">
        <f>""</f>
        <v/>
      </c>
      <c r="AD519" s="985">
        <v>1</v>
      </c>
      <c r="AE519" s="985" t="s">
        <v>368</v>
      </c>
      <c r="AF519" s="985" t="s">
        <v>369</v>
      </c>
      <c r="AG519" s="985">
        <v>1</v>
      </c>
      <c r="AH519" s="1193">
        <v>11</v>
      </c>
      <c r="AI519" s="1193">
        <v>0</v>
      </c>
      <c r="AJ519" s="1193">
        <f>VLOOKUP($I519,'Price List, Weapons &amp; Items'!B:F,5,0)</f>
        <v>0</v>
      </c>
      <c r="AK519" s="1193">
        <f t="shared" si="121"/>
        <v>0</v>
      </c>
      <c r="AL519" s="1193">
        <f t="shared" si="122"/>
        <v>0</v>
      </c>
      <c r="AM519" s="1193">
        <f t="shared" si="123"/>
        <v>0</v>
      </c>
      <c r="AN519" s="1194" t="str">
        <f>VLOOKUP($I519,'Price List, Weapons &amp; Items'!B:L,COLUMN('Price List, Weapons &amp; Items'!$J$11)-1,0)</f>
        <v>Online marketplaces and stores</v>
      </c>
      <c r="AO519" s="1194" t="str">
        <f>IF(I519=".",".",VLOOKUP($I519,'Price List, Weapons &amp; Items'!B:J,3,0))</f>
        <v>non combat military vehicle</v>
      </c>
      <c r="AP519" s="1195" t="str">
        <f t="shared" ca="1" si="117"/>
        <v>vehicle (trucks, minibuses, all-terrain vehicles)</v>
      </c>
      <c r="AQ519" s="1194">
        <f>VLOOKUP($I519,'Price List, Weapons &amp; Items'!B:L,COLUMN('Price List, Weapons &amp; Items'!$L$11)-1,0)</f>
        <v>2</v>
      </c>
      <c r="AR519" s="1194">
        <f t="shared" si="124"/>
        <v>1</v>
      </c>
      <c r="AS519" s="1194">
        <f t="shared" si="125"/>
        <v>0</v>
      </c>
      <c r="AT519" s="1194">
        <f t="shared" si="126"/>
        <v>1</v>
      </c>
      <c r="AU519" s="1194" t="str">
        <f t="shared" si="127"/>
        <v>.</v>
      </c>
      <c r="AV519" s="1194" t="str">
        <f t="shared" si="118"/>
        <v>.</v>
      </c>
      <c r="AW519" s="1194" t="str">
        <f t="shared" si="128"/>
        <v>.</v>
      </c>
      <c r="AX519" s="1194">
        <f>IFERROR(VLOOKUP(B519,'Share, Heavy Weapons to Ukraine'!B:Z,COLUMN('Share, Heavy Weapons to Ukraine'!C529)-1,0),0)</f>
        <v>0</v>
      </c>
      <c r="AY519" s="1194">
        <f>VLOOKUP('Bilateral Assistance, MAIN DATA'!B519,'Country Summary (€)'!B:F,COLUMN('Country Summary (€)'!C530)-1,FALSE)</f>
        <v>1</v>
      </c>
      <c r="AZ519" s="1194" t="str">
        <f>IF(AND(AD519=1,D519="Military",H519&lt;&gt;"Not given")=TRUE,IF(SUMIFS(P:P,A:A,A519)&gt;0,ABS((SUMIFS(P:P,A:A,A519)/VLOOKUP("USD",'Exchange Rates'!B:C,2,0)))/S519,"."),".")</f>
        <v>.</v>
      </c>
      <c r="BA519" s="1196" t="str">
        <f>IF(AND(AD519=1,D519="Military",H519&lt;&gt;"Not given")=TRUE,IF(SUMIFS(P:P,A:A,A519)&gt;0,IF((ABS((SUMIFS(P:P,A:A,A519)/VLOOKUP("USD",'Exchange Rates'!B:C,2,0)))/S519)&gt;1,(SUMIFS(P:P,A:A,A519)-S519)/S519,(S519-SUMIFS(P:P,A:A,A519))/SUMIFS(P:P,A:A,A519)),"."),".")</f>
        <v>.</v>
      </c>
    </row>
    <row r="520" spans="1:53" ht="15.95" customHeight="1">
      <c r="A520" s="1180" t="s">
        <v>1755</v>
      </c>
      <c r="B520" s="1180" t="s">
        <v>1711</v>
      </c>
      <c r="C520" s="1181">
        <v>44887</v>
      </c>
      <c r="D520" s="1182" t="s">
        <v>360</v>
      </c>
      <c r="E520" s="1182" t="s">
        <v>361</v>
      </c>
      <c r="F520" s="1183" t="s">
        <v>1756</v>
      </c>
      <c r="G520" s="1184" t="s">
        <v>483</v>
      </c>
      <c r="H520" s="1185">
        <v>5000000</v>
      </c>
      <c r="I520" s="1180" t="s">
        <v>364</v>
      </c>
      <c r="J520" s="1186" t="str">
        <f>VLOOKUP($I520,'Price List, Weapons &amp; Items'!B:C,2,0)</f>
        <v>.</v>
      </c>
      <c r="K520" s="1186" t="str">
        <f>IF(I520=".",I520,VLOOKUP($I520,'Price List, Weapons &amp; Items'!B:D,3,0))</f>
        <v>.</v>
      </c>
      <c r="L520" s="1187">
        <f>VLOOKUP(I520,'Price List, Weapons &amp; Items'!B:E,4,0)</f>
        <v>0</v>
      </c>
      <c r="M520" s="1188" t="s">
        <v>364</v>
      </c>
      <c r="N520" s="1188" t="s">
        <v>364</v>
      </c>
      <c r="O520" s="1188" t="str">
        <f>VLOOKUP($I520,'Price List, Weapons &amp; Items'!B:G,6,0)</f>
        <v>.</v>
      </c>
      <c r="P520" s="1185" t="str">
        <f t="shared" si="119"/>
        <v>.</v>
      </c>
      <c r="Q520" s="1185" t="str">
        <f t="shared" si="120"/>
        <v>.</v>
      </c>
      <c r="R520" s="1185">
        <f t="shared" si="116"/>
        <v>5000000</v>
      </c>
      <c r="S520" s="1185">
        <f>IF(AND(AD520=1,R520&lt;&gt;".")=TRUE,R520/VLOOKUP(G520,'Exchange Rates'!B:C,2,0),IF(R520=".",".",""))</f>
        <v>5000000</v>
      </c>
      <c r="T520" s="1185" t="str">
        <f>IF(AD520=1,IF(AF520="Value is not given at all",".",IF(AF520="Value is given by the source",S520,IF(AF520="Value is calculated with prices",(IF(SUMIFS(Q:Q,A:A,A520)&gt;0,SUMIFS(Q:Q,A:A,A520),"."))/VLOOKUP("USD",'Exchange Rates'!B:C,2,0),"Error with coding"))),"")</f>
        <v>.</v>
      </c>
      <c r="U520" s="1184" t="s">
        <v>365</v>
      </c>
      <c r="V520" s="972" t="s">
        <v>1716</v>
      </c>
      <c r="W520" s="972" t="s">
        <v>1757</v>
      </c>
      <c r="X520" s="972" t="s">
        <v>364</v>
      </c>
      <c r="Y520" s="972" t="s">
        <v>364</v>
      </c>
      <c r="Z520" s="1184">
        <v>0</v>
      </c>
      <c r="AA520" s="1184">
        <v>0</v>
      </c>
      <c r="AB520" s="1000" t="s">
        <v>364</v>
      </c>
      <c r="AC520" s="1192" t="str">
        <f>""</f>
        <v/>
      </c>
      <c r="AD520" s="985">
        <v>1</v>
      </c>
      <c r="AE520" s="985" t="s">
        <v>368</v>
      </c>
      <c r="AF520" s="985" t="s">
        <v>369</v>
      </c>
      <c r="AG520" s="985">
        <v>1</v>
      </c>
      <c r="AH520" s="1193">
        <v>11</v>
      </c>
      <c r="AI520" s="1193">
        <v>0</v>
      </c>
      <c r="AJ520" s="1193">
        <f>VLOOKUP($I520,'Price List, Weapons &amp; Items'!B:F,5,0)</f>
        <v>0</v>
      </c>
      <c r="AK520" s="1193">
        <f t="shared" si="121"/>
        <v>0</v>
      </c>
      <c r="AL520" s="1193">
        <f t="shared" si="122"/>
        <v>0</v>
      </c>
      <c r="AM520" s="1193">
        <f t="shared" si="123"/>
        <v>0</v>
      </c>
      <c r="AN520" s="1194" t="str">
        <f>VLOOKUP($I520,'Price List, Weapons &amp; Items'!B:L,COLUMN('Price List, Weapons &amp; Items'!$J$11)-1,0)</f>
        <v>.</v>
      </c>
      <c r="AO520" s="1194" t="str">
        <f>IF(I520=".",".",VLOOKUP($I520,'Price List, Weapons &amp; Items'!B:J,3,0))</f>
        <v>.</v>
      </c>
      <c r="AP520" s="1195" t="str">
        <f t="shared" ca="1" si="117"/>
        <v>.</v>
      </c>
      <c r="AQ520" s="1194">
        <f>VLOOKUP($I520,'Price List, Weapons &amp; Items'!B:L,COLUMN('Price List, Weapons &amp; Items'!$L$11)-1,0)</f>
        <v>0</v>
      </c>
      <c r="AR520" s="1194">
        <f t="shared" si="124"/>
        <v>1</v>
      </c>
      <c r="AS520" s="1194">
        <f t="shared" si="125"/>
        <v>0</v>
      </c>
      <c r="AT520" s="1194">
        <f t="shared" si="126"/>
        <v>1</v>
      </c>
      <c r="AU520" s="1194" t="str">
        <f t="shared" si="127"/>
        <v>.</v>
      </c>
      <c r="AV520" s="1194" t="str">
        <f t="shared" si="118"/>
        <v>.</v>
      </c>
      <c r="AW520" s="1194" t="str">
        <f t="shared" si="128"/>
        <v>.</v>
      </c>
      <c r="AX520" s="1194">
        <f>IFERROR(VLOOKUP(B520,'Share, Heavy Weapons to Ukraine'!B:Z,COLUMN('Share, Heavy Weapons to Ukraine'!C530)-1,0),0)</f>
        <v>0</v>
      </c>
      <c r="AY520" s="1194">
        <f>VLOOKUP('Bilateral Assistance, MAIN DATA'!B520,'Country Summary (€)'!B:F,COLUMN('Country Summary (€)'!C531)-1,FALSE)</f>
        <v>1</v>
      </c>
      <c r="AZ520" s="1194" t="str">
        <f>IF(AND(AD520=1,D520="Military",H520&lt;&gt;"Not given")=TRUE,IF(SUMIFS(P:P,A:A,A520)&gt;0,ABS((SUMIFS(P:P,A:A,A520)/VLOOKUP("USD",'Exchange Rates'!B:C,2,0)))/S520,"."),".")</f>
        <v>.</v>
      </c>
      <c r="BA520" s="1196" t="str">
        <f>IF(AND(AD520=1,D520="Military",H520&lt;&gt;"Not given")=TRUE,IF(SUMIFS(P:P,A:A,A520)&gt;0,IF((ABS((SUMIFS(P:P,A:A,A520)/VLOOKUP("USD",'Exchange Rates'!B:C,2,0)))/S520)&gt;1,(SUMIFS(P:P,A:A,A520)-S520)/S520,(S520-SUMIFS(P:P,A:A,A520))/SUMIFS(P:P,A:A,A520)),"."),".")</f>
        <v>.</v>
      </c>
    </row>
    <row r="521" spans="1:53" ht="15.95" customHeight="1">
      <c r="A521" s="1180" t="s">
        <v>1758</v>
      </c>
      <c r="B521" s="1180" t="s">
        <v>1711</v>
      </c>
      <c r="C521" s="1181">
        <v>44908</v>
      </c>
      <c r="D521" s="1182" t="s">
        <v>360</v>
      </c>
      <c r="E521" s="1182" t="s">
        <v>481</v>
      </c>
      <c r="F521" s="1183" t="s">
        <v>1759</v>
      </c>
      <c r="G521" s="1184" t="s">
        <v>483</v>
      </c>
      <c r="H521" s="1185">
        <v>50000000</v>
      </c>
      <c r="I521" s="1180" t="s">
        <v>364</v>
      </c>
      <c r="J521" s="1186" t="str">
        <f>VLOOKUP($I521,'Price List, Weapons &amp; Items'!B:C,2,0)</f>
        <v>.</v>
      </c>
      <c r="K521" s="1186" t="str">
        <f>IF(I521=".",I521,VLOOKUP($I521,'Price List, Weapons &amp; Items'!B:D,3,0))</f>
        <v>.</v>
      </c>
      <c r="L521" s="1187">
        <f>VLOOKUP(I521,'Price List, Weapons &amp; Items'!B:E,4,0)</f>
        <v>0</v>
      </c>
      <c r="M521" s="1188" t="s">
        <v>364</v>
      </c>
      <c r="N521" s="1188" t="s">
        <v>364</v>
      </c>
      <c r="O521" s="1188" t="str">
        <f>VLOOKUP($I521,'Price List, Weapons &amp; Items'!B:G,6,0)</f>
        <v>.</v>
      </c>
      <c r="P521" s="1185" t="str">
        <f t="shared" si="119"/>
        <v>.</v>
      </c>
      <c r="Q521" s="1185" t="str">
        <f t="shared" si="120"/>
        <v>.</v>
      </c>
      <c r="R521" s="1185">
        <f t="shared" si="116"/>
        <v>50000000</v>
      </c>
      <c r="S521" s="1185">
        <f>IF(AND(AD521=1,R521&lt;&gt;".")=TRUE,R521/VLOOKUP(G521,'Exchange Rates'!B:C,2,0),IF(R521=".",".",""))</f>
        <v>50000000</v>
      </c>
      <c r="T521" s="1185" t="str">
        <f>IF(AD521=1,IF(AF521="Value is not given at all",".",IF(AF521="Value is given by the source",S521,IF(AF521="Value is calculated with prices",(IF(SUMIFS(Q:Q,A:A,A521)&gt;0,SUMIFS(Q:Q,A:A,A521),"."))/VLOOKUP("USD",'Exchange Rates'!B:C,2,0),"Error with coding"))),"")</f>
        <v>.</v>
      </c>
      <c r="U521" s="1184" t="s">
        <v>365</v>
      </c>
      <c r="V521" s="972" t="s">
        <v>1760</v>
      </c>
      <c r="W521" s="972" t="s">
        <v>1761</v>
      </c>
      <c r="X521" s="972" t="s">
        <v>364</v>
      </c>
      <c r="Y521" s="972" t="s">
        <v>364</v>
      </c>
      <c r="Z521" s="1184">
        <v>0</v>
      </c>
      <c r="AA521" s="1184">
        <v>0</v>
      </c>
      <c r="AB521" s="1022" t="s">
        <v>364</v>
      </c>
      <c r="AC521" s="1192" t="str">
        <f>""</f>
        <v/>
      </c>
      <c r="AD521" s="985">
        <v>1</v>
      </c>
      <c r="AE521" s="985" t="s">
        <v>368</v>
      </c>
      <c r="AF521" s="985" t="s">
        <v>369</v>
      </c>
      <c r="AG521" s="985">
        <v>1</v>
      </c>
      <c r="AH521" s="1193">
        <v>12</v>
      </c>
      <c r="AI521" s="1193">
        <v>0</v>
      </c>
      <c r="AJ521" s="1193">
        <f>VLOOKUP($I521,'Price List, Weapons &amp; Items'!B:F,5,0)</f>
        <v>0</v>
      </c>
      <c r="AK521" s="1193">
        <f t="shared" si="121"/>
        <v>0</v>
      </c>
      <c r="AL521" s="1193">
        <f t="shared" si="122"/>
        <v>0</v>
      </c>
      <c r="AM521" s="1193">
        <f t="shared" si="123"/>
        <v>0</v>
      </c>
      <c r="AN521" s="1194" t="str">
        <f>VLOOKUP($I521,'Price List, Weapons &amp; Items'!B:L,COLUMN('Price List, Weapons &amp; Items'!$J$11)-1,0)</f>
        <v>.</v>
      </c>
      <c r="AO521" s="1194" t="str">
        <f>IF(I521=".",".",VLOOKUP($I521,'Price List, Weapons &amp; Items'!B:J,3,0))</f>
        <v>.</v>
      </c>
      <c r="AP521" s="1195" t="str">
        <f t="shared" ca="1" si="117"/>
        <v>.</v>
      </c>
      <c r="AQ521" s="1194">
        <f>VLOOKUP($I521,'Price List, Weapons &amp; Items'!B:L,COLUMN('Price List, Weapons &amp; Items'!$L$11)-1,0)</f>
        <v>0</v>
      </c>
      <c r="AR521" s="1194">
        <f t="shared" si="124"/>
        <v>1</v>
      </c>
      <c r="AS521" s="1194">
        <f t="shared" si="125"/>
        <v>0</v>
      </c>
      <c r="AT521" s="1194">
        <f t="shared" si="126"/>
        <v>1</v>
      </c>
      <c r="AU521" s="1194" t="str">
        <f t="shared" si="127"/>
        <v>.</v>
      </c>
      <c r="AV521" s="1194" t="str">
        <f t="shared" si="118"/>
        <v>.</v>
      </c>
      <c r="AW521" s="1194" t="str">
        <f t="shared" si="128"/>
        <v>.</v>
      </c>
      <c r="AX521" s="1194">
        <f>IFERROR(VLOOKUP(B521,'Share, Heavy Weapons to Ukraine'!B:Z,COLUMN('Share, Heavy Weapons to Ukraine'!C531)-1,0),0)</f>
        <v>0</v>
      </c>
      <c r="AY521" s="1194">
        <f>VLOOKUP('Bilateral Assistance, MAIN DATA'!B521,'Country Summary (€)'!B:F,COLUMN('Country Summary (€)'!C532)-1,FALSE)</f>
        <v>1</v>
      </c>
      <c r="AZ521" s="1194" t="str">
        <f>IF(AND(AD521=1,D521="Military",H521&lt;&gt;"Not given")=TRUE,IF(SUMIFS(P:P,A:A,A521)&gt;0,ABS((SUMIFS(P:P,A:A,A521)/VLOOKUP("USD",'Exchange Rates'!B:C,2,0)))/S521,"."),".")</f>
        <v>.</v>
      </c>
      <c r="BA521" s="1196" t="str">
        <f>IF(AND(AD521=1,D521="Military",H521&lt;&gt;"Not given")=TRUE,IF(SUMIFS(P:P,A:A,A521)&gt;0,IF((ABS((SUMIFS(P:P,A:A,A521)/VLOOKUP("USD",'Exchange Rates'!B:C,2,0)))/S521)&gt;1,(SUMIFS(P:P,A:A,A521)-S521)/S521,(S521-SUMIFS(P:P,A:A,A521))/SUMIFS(P:P,A:A,A521)),"."),".")</f>
        <v>.</v>
      </c>
    </row>
    <row r="522" spans="1:53" ht="15.95" customHeight="1">
      <c r="A522" s="1180" t="s">
        <v>1762</v>
      </c>
      <c r="B522" s="1180" t="s">
        <v>1711</v>
      </c>
      <c r="C522" s="1181">
        <v>44909</v>
      </c>
      <c r="D522" s="1182" t="s">
        <v>360</v>
      </c>
      <c r="E522" s="1182" t="s">
        <v>361</v>
      </c>
      <c r="F522" s="1183" t="s">
        <v>1763</v>
      </c>
      <c r="G522" s="1184" t="s">
        <v>483</v>
      </c>
      <c r="H522" s="1185">
        <v>130000000</v>
      </c>
      <c r="I522" s="1180" t="s">
        <v>364</v>
      </c>
      <c r="J522" s="1186" t="str">
        <f>VLOOKUP($I522,'Price List, Weapons &amp; Items'!B:C,2,0)</f>
        <v>.</v>
      </c>
      <c r="K522" s="1186" t="str">
        <f>IF(I522=".",I522,VLOOKUP($I522,'Price List, Weapons &amp; Items'!B:D,3,0))</f>
        <v>.</v>
      </c>
      <c r="L522" s="1187">
        <f>VLOOKUP(I522,'Price List, Weapons &amp; Items'!B:E,4,0)</f>
        <v>0</v>
      </c>
      <c r="M522" s="1188" t="s">
        <v>364</v>
      </c>
      <c r="N522" s="1188" t="s">
        <v>364</v>
      </c>
      <c r="O522" s="1188" t="str">
        <f>VLOOKUP($I522,'Price List, Weapons &amp; Items'!B:G,6,0)</f>
        <v>.</v>
      </c>
      <c r="P522" s="1185" t="str">
        <f t="shared" si="119"/>
        <v>.</v>
      </c>
      <c r="Q522" s="1185" t="str">
        <f t="shared" si="120"/>
        <v>.</v>
      </c>
      <c r="R522" s="1185">
        <f t="shared" si="116"/>
        <v>130000000</v>
      </c>
      <c r="S522" s="1185">
        <f>IF(AND(AD522=1,R522&lt;&gt;".")=TRUE,R522/VLOOKUP(G522,'Exchange Rates'!B:C,2,0),IF(R522=".",".",""))</f>
        <v>130000000</v>
      </c>
      <c r="T522" s="1185" t="str">
        <f>IF(AD522=1,IF(AF522="Value is not given at all",".",IF(AF522="Value is given by the source",S522,IF(AF522="Value is calculated with prices",(IF(SUMIFS(Q:Q,A:A,A522)&gt;0,SUMIFS(Q:Q,A:A,A522),"."))/VLOOKUP("USD",'Exchange Rates'!B:C,2,0),"Error with coding"))),"")</f>
        <v>.</v>
      </c>
      <c r="U522" s="1184" t="s">
        <v>365</v>
      </c>
      <c r="V522" s="972" t="s">
        <v>1716</v>
      </c>
      <c r="W522" s="972" t="s">
        <v>1764</v>
      </c>
      <c r="X522" s="972" t="s">
        <v>1717</v>
      </c>
      <c r="Y522" s="972" t="s">
        <v>1751</v>
      </c>
      <c r="Z522" s="1184">
        <v>0</v>
      </c>
      <c r="AA522" s="1184">
        <v>1</v>
      </c>
      <c r="AB522" s="1000" t="s">
        <v>364</v>
      </c>
      <c r="AC522" s="1192" t="str">
        <f>""</f>
        <v/>
      </c>
      <c r="AD522" s="985">
        <v>1</v>
      </c>
      <c r="AE522" s="985" t="s">
        <v>368</v>
      </c>
      <c r="AF522" s="985" t="s">
        <v>369</v>
      </c>
      <c r="AG522" s="985">
        <v>1</v>
      </c>
      <c r="AH522" s="1193">
        <v>12</v>
      </c>
      <c r="AI522" s="1193">
        <v>0</v>
      </c>
      <c r="AJ522" s="1193">
        <f>VLOOKUP($I522,'Price List, Weapons &amp; Items'!B:F,5,0)</f>
        <v>0</v>
      </c>
      <c r="AK522" s="1193">
        <f t="shared" si="121"/>
        <v>0</v>
      </c>
      <c r="AL522" s="1193">
        <f t="shared" si="122"/>
        <v>0</v>
      </c>
      <c r="AM522" s="1193">
        <f t="shared" si="123"/>
        <v>0</v>
      </c>
      <c r="AN522" s="1194" t="str">
        <f>VLOOKUP($I522,'Price List, Weapons &amp; Items'!B:L,COLUMN('Price List, Weapons &amp; Items'!$J$11)-1,0)</f>
        <v>.</v>
      </c>
      <c r="AO522" s="1194" t="str">
        <f>IF(I522=".",".",VLOOKUP($I522,'Price List, Weapons &amp; Items'!B:J,3,0))</f>
        <v>.</v>
      </c>
      <c r="AP522" s="1195" t="str">
        <f t="shared" ca="1" si="117"/>
        <v>.</v>
      </c>
      <c r="AQ522" s="1194">
        <f>VLOOKUP($I522,'Price List, Weapons &amp; Items'!B:L,COLUMN('Price List, Weapons &amp; Items'!$L$11)-1,0)</f>
        <v>0</v>
      </c>
      <c r="AR522" s="1194">
        <f t="shared" si="124"/>
        <v>1</v>
      </c>
      <c r="AS522" s="1194">
        <f t="shared" si="125"/>
        <v>0</v>
      </c>
      <c r="AT522" s="1194">
        <f t="shared" si="126"/>
        <v>1</v>
      </c>
      <c r="AU522" s="1194" t="str">
        <f t="shared" si="127"/>
        <v>.</v>
      </c>
      <c r="AV522" s="1194" t="str">
        <f t="shared" si="118"/>
        <v>.</v>
      </c>
      <c r="AW522" s="1194" t="str">
        <f t="shared" si="128"/>
        <v>.</v>
      </c>
      <c r="AX522" s="1194">
        <f>IFERROR(VLOOKUP(B522,'Share, Heavy Weapons to Ukraine'!B:Z,COLUMN('Share, Heavy Weapons to Ukraine'!C532)-1,0),0)</f>
        <v>0</v>
      </c>
      <c r="AY522" s="1194">
        <f>VLOOKUP('Bilateral Assistance, MAIN DATA'!B522,'Country Summary (€)'!B:F,COLUMN('Country Summary (€)'!C533)-1,FALSE)</f>
        <v>1</v>
      </c>
      <c r="AZ522" s="1194" t="str">
        <f>IF(AND(AD522=1,D522="Military",H522&lt;&gt;"Not given")=TRUE,IF(SUMIFS(P:P,A:A,A522)&gt;0,ABS((SUMIFS(P:P,A:A,A522)/VLOOKUP("USD",'Exchange Rates'!B:C,2,0)))/S522,"."),".")</f>
        <v>.</v>
      </c>
      <c r="BA522" s="1196" t="str">
        <f>IF(AND(AD522=1,D522="Military",H522&lt;&gt;"Not given")=TRUE,IF(SUMIFS(P:P,A:A,A522)&gt;0,IF((ABS((SUMIFS(P:P,A:A,A522)/VLOOKUP("USD",'Exchange Rates'!B:C,2,0)))/S522)&gt;1,(SUMIFS(P:P,A:A,A522)-S522)/S522,(S522-SUMIFS(P:P,A:A,A522))/SUMIFS(P:P,A:A,A522)),"."),".")</f>
        <v>.</v>
      </c>
    </row>
    <row r="523" spans="1:53" ht="15.95" customHeight="1">
      <c r="A523" s="1180" t="s">
        <v>1765</v>
      </c>
      <c r="B523" s="1180" t="s">
        <v>1711</v>
      </c>
      <c r="C523" s="1181">
        <v>44916</v>
      </c>
      <c r="D523" s="1182" t="s">
        <v>360</v>
      </c>
      <c r="E523" s="1182" t="s">
        <v>361</v>
      </c>
      <c r="F523" s="1183" t="s">
        <v>1766</v>
      </c>
      <c r="G523" s="1184" t="s">
        <v>483</v>
      </c>
      <c r="H523" s="1185">
        <v>2130000</v>
      </c>
      <c r="I523" s="1190" t="s">
        <v>364</v>
      </c>
      <c r="J523" s="1186" t="str">
        <f>VLOOKUP($I523,'Price List, Weapons &amp; Items'!B:C,2,0)</f>
        <v>.</v>
      </c>
      <c r="K523" s="1186" t="str">
        <f>IF(I523=".",I523,VLOOKUP($I523,'Price List, Weapons &amp; Items'!B:D,3,0))</f>
        <v>.</v>
      </c>
      <c r="L523" s="1187">
        <f>VLOOKUP(I523,'Price List, Weapons &amp; Items'!B:E,4,0)</f>
        <v>0</v>
      </c>
      <c r="M523" s="1188" t="s">
        <v>364</v>
      </c>
      <c r="N523" s="1188" t="s">
        <v>364</v>
      </c>
      <c r="O523" s="1188" t="str">
        <f>VLOOKUP($I523,'Price List, Weapons &amp; Items'!B:G,6,0)</f>
        <v>.</v>
      </c>
      <c r="P523" s="1185" t="str">
        <f t="shared" si="119"/>
        <v>.</v>
      </c>
      <c r="Q523" s="1185" t="str">
        <f t="shared" si="120"/>
        <v>.</v>
      </c>
      <c r="R523" s="1185">
        <f t="shared" si="116"/>
        <v>2130000</v>
      </c>
      <c r="S523" s="1185">
        <f>IF(AND(AD523=1,R523&lt;&gt;".")=TRUE,R523/VLOOKUP(G523,'Exchange Rates'!B:C,2,0),IF(R523=".",".",""))</f>
        <v>2130000</v>
      </c>
      <c r="T523" s="1185" t="str">
        <f>IF(AD523=1,IF(AF523="Value is not given at all",".",IF(AF523="Value is given by the source",S523,IF(AF523="Value is calculated with prices",(IF(SUMIFS(Q:Q,A:A,A523)&gt;0,SUMIFS(Q:Q,A:A,A523),"."))/VLOOKUP("USD",'Exchange Rates'!B:C,2,0),"Error with coding"))),"")</f>
        <v>.</v>
      </c>
      <c r="U523" s="1184" t="s">
        <v>365</v>
      </c>
      <c r="V523" s="972" t="s">
        <v>1716</v>
      </c>
      <c r="W523" s="972" t="s">
        <v>1717</v>
      </c>
      <c r="X523" s="972" t="s">
        <v>364</v>
      </c>
      <c r="Y523" s="972" t="s">
        <v>364</v>
      </c>
      <c r="Z523" s="1184">
        <v>0</v>
      </c>
      <c r="AA523" s="1184">
        <v>0</v>
      </c>
      <c r="AB523" s="1000" t="s">
        <v>364</v>
      </c>
      <c r="AC523" s="1192" t="str">
        <f>""</f>
        <v/>
      </c>
      <c r="AD523" s="985">
        <v>1</v>
      </c>
      <c r="AE523" s="985" t="s">
        <v>368</v>
      </c>
      <c r="AF523" s="985" t="s">
        <v>369</v>
      </c>
      <c r="AG523" s="985">
        <v>1</v>
      </c>
      <c r="AH523" s="1193">
        <v>12</v>
      </c>
      <c r="AI523" s="1193">
        <v>0</v>
      </c>
      <c r="AJ523" s="1193">
        <f>VLOOKUP($I523,'Price List, Weapons &amp; Items'!B:F,5,0)</f>
        <v>0</v>
      </c>
      <c r="AK523" s="1193">
        <f t="shared" si="121"/>
        <v>0</v>
      </c>
      <c r="AL523" s="1193">
        <f t="shared" si="122"/>
        <v>0</v>
      </c>
      <c r="AM523" s="1193">
        <f t="shared" si="123"/>
        <v>0</v>
      </c>
      <c r="AN523" s="1194" t="str">
        <f>VLOOKUP($I523,'Price List, Weapons &amp; Items'!B:L,COLUMN('Price List, Weapons &amp; Items'!$J$11)-1,0)</f>
        <v>.</v>
      </c>
      <c r="AO523" s="1194" t="str">
        <f>IF(I523=".",".",VLOOKUP($I523,'Price List, Weapons &amp; Items'!B:J,3,0))</f>
        <v>.</v>
      </c>
      <c r="AP523" s="1195" t="str">
        <f t="shared" ca="1" si="117"/>
        <v>.</v>
      </c>
      <c r="AQ523" s="1194">
        <f>VLOOKUP($I523,'Price List, Weapons &amp; Items'!B:L,COLUMN('Price List, Weapons &amp; Items'!$L$11)-1,0)</f>
        <v>0</v>
      </c>
      <c r="AR523" s="1194">
        <f t="shared" si="124"/>
        <v>1</v>
      </c>
      <c r="AS523" s="1194">
        <f t="shared" si="125"/>
        <v>0</v>
      </c>
      <c r="AT523" s="1194">
        <f t="shared" si="126"/>
        <v>1</v>
      </c>
      <c r="AU523" s="1194" t="str">
        <f t="shared" si="127"/>
        <v>.</v>
      </c>
      <c r="AV523" s="1194" t="str">
        <f t="shared" si="118"/>
        <v>.</v>
      </c>
      <c r="AW523" s="1194" t="str">
        <f t="shared" si="128"/>
        <v>.</v>
      </c>
      <c r="AX523" s="1194">
        <f>IFERROR(VLOOKUP(B523,'Share, Heavy Weapons to Ukraine'!B:Z,COLUMN('Share, Heavy Weapons to Ukraine'!C533)-1,0),0)</f>
        <v>0</v>
      </c>
      <c r="AY523" s="1194">
        <f>VLOOKUP('Bilateral Assistance, MAIN DATA'!B523,'Country Summary (€)'!B:F,COLUMN('Country Summary (€)'!C534)-1,FALSE)</f>
        <v>1</v>
      </c>
      <c r="AZ523" s="1194" t="str">
        <f>IF(AND(AD523=1,D523="Military",H523&lt;&gt;"Not given")=TRUE,IF(SUMIFS(P:P,A:A,A523)&gt;0,ABS((SUMIFS(P:P,A:A,A523)/VLOOKUP("USD",'Exchange Rates'!B:C,2,0)))/S523,"."),".")</f>
        <v>.</v>
      </c>
      <c r="BA523" s="1196" t="str">
        <f>IF(AND(AD523=1,D523="Military",H523&lt;&gt;"Not given")=TRUE,IF(SUMIFS(P:P,A:A,A523)&gt;0,IF((ABS((SUMIFS(P:P,A:A,A523)/VLOOKUP("USD",'Exchange Rates'!B:C,2,0)))/S523)&gt;1,(SUMIFS(P:P,A:A,A523)-S523)/S523,(S523-SUMIFS(P:P,A:A,A523))/SUMIFS(P:P,A:A,A523)),"."),".")</f>
        <v>.</v>
      </c>
    </row>
    <row r="524" spans="1:53" ht="15.95" customHeight="1">
      <c r="A524" s="1180" t="s">
        <v>1767</v>
      </c>
      <c r="B524" s="1180" t="s">
        <v>1711</v>
      </c>
      <c r="C524" s="1181">
        <v>44946</v>
      </c>
      <c r="D524" s="1182" t="s">
        <v>360</v>
      </c>
      <c r="E524" s="1182" t="s">
        <v>361</v>
      </c>
      <c r="F524" s="1183" t="s">
        <v>1768</v>
      </c>
      <c r="G524" s="1184" t="s">
        <v>483</v>
      </c>
      <c r="H524" s="1185">
        <v>52000000</v>
      </c>
      <c r="I524" s="1190" t="s">
        <v>364</v>
      </c>
      <c r="J524" s="1186" t="str">
        <f>VLOOKUP($I524,'Price List, Weapons &amp; Items'!B:C,2,0)</f>
        <v>.</v>
      </c>
      <c r="K524" s="1186" t="str">
        <f>IF(I524=".",I524,VLOOKUP($I524,'Price List, Weapons &amp; Items'!B:D,3,0))</f>
        <v>.</v>
      </c>
      <c r="L524" s="1187">
        <f>VLOOKUP(I524,'Price List, Weapons &amp; Items'!B:E,4,0)</f>
        <v>0</v>
      </c>
      <c r="M524" s="1188" t="s">
        <v>364</v>
      </c>
      <c r="N524" s="1188" t="s">
        <v>364</v>
      </c>
      <c r="O524" s="1188" t="str">
        <f>VLOOKUP($I524,'Price List, Weapons &amp; Items'!B:G,6,0)</f>
        <v>.</v>
      </c>
      <c r="P524" s="1185" t="str">
        <f t="shared" si="119"/>
        <v>.</v>
      </c>
      <c r="Q524" s="1185" t="str">
        <f t="shared" si="120"/>
        <v>.</v>
      </c>
      <c r="R524" s="1185">
        <f t="shared" si="116"/>
        <v>52000000</v>
      </c>
      <c r="S524" s="1185">
        <f>IF(AND(AD524=1,R524&lt;&gt;".")=TRUE,R524/VLOOKUP(G524,'Exchange Rates'!B:C,2,0),IF(R524=".",".",""))</f>
        <v>52000000</v>
      </c>
      <c r="T524" s="1185" t="str">
        <f>IF(AD524=1,IF(AF524="Value is not given at all",".",IF(AF524="Value is given by the source",S524,IF(AF524="Value is calculated with prices",(IF(SUMIFS(Q:Q,A:A,A524)&gt;0,SUMIFS(Q:Q,A:A,A524),"."))/VLOOKUP("USD",'Exchange Rates'!B:C,2,0),"Error with coding"))),"")</f>
        <v>.</v>
      </c>
      <c r="U524" s="1184" t="s">
        <v>365</v>
      </c>
      <c r="V524" s="972" t="s">
        <v>1717</v>
      </c>
      <c r="W524" s="972" t="s">
        <v>1769</v>
      </c>
      <c r="X524" s="972" t="s">
        <v>1770</v>
      </c>
      <c r="Y524" s="972" t="s">
        <v>364</v>
      </c>
      <c r="Z524" s="1184">
        <v>0</v>
      </c>
      <c r="AA524" s="1184">
        <v>0</v>
      </c>
      <c r="AB524" s="1000" t="s">
        <v>364</v>
      </c>
      <c r="AC524" s="1192" t="str">
        <f>""</f>
        <v/>
      </c>
      <c r="AD524" s="985">
        <v>1</v>
      </c>
      <c r="AE524" s="985" t="s">
        <v>368</v>
      </c>
      <c r="AF524" s="985" t="s">
        <v>369</v>
      </c>
      <c r="AG524" s="985">
        <v>1</v>
      </c>
      <c r="AH524" s="1193">
        <v>13</v>
      </c>
      <c r="AI524" s="1193">
        <v>0</v>
      </c>
      <c r="AJ524" s="1193">
        <f>VLOOKUP($I524,'Price List, Weapons &amp; Items'!B:F,5,0)</f>
        <v>0</v>
      </c>
      <c r="AK524" s="1193">
        <f t="shared" si="121"/>
        <v>0</v>
      </c>
      <c r="AL524" s="1193">
        <f t="shared" si="122"/>
        <v>0</v>
      </c>
      <c r="AM524" s="1193">
        <f t="shared" si="123"/>
        <v>0</v>
      </c>
      <c r="AN524" s="1194" t="str">
        <f>VLOOKUP($I524,'Price List, Weapons &amp; Items'!B:L,COLUMN('Price List, Weapons &amp; Items'!$J$11)-1,0)</f>
        <v>.</v>
      </c>
      <c r="AO524" s="1194" t="str">
        <f>IF(I524=".",".",VLOOKUP($I524,'Price List, Weapons &amp; Items'!B:J,3,0))</f>
        <v>.</v>
      </c>
      <c r="AP524" s="1195" t="str">
        <f t="shared" ca="1" si="117"/>
        <v>.</v>
      </c>
      <c r="AQ524" s="1194">
        <f>VLOOKUP($I524,'Price List, Weapons &amp; Items'!B:L,COLUMN('Price List, Weapons &amp; Items'!$L$11)-1,0)</f>
        <v>0</v>
      </c>
      <c r="AR524" s="1194">
        <f t="shared" si="124"/>
        <v>1</v>
      </c>
      <c r="AS524" s="1194">
        <f t="shared" si="125"/>
        <v>0</v>
      </c>
      <c r="AT524" s="1194">
        <f t="shared" si="126"/>
        <v>1</v>
      </c>
      <c r="AU524" s="1194" t="str">
        <f t="shared" si="127"/>
        <v>.</v>
      </c>
      <c r="AV524" s="1194" t="str">
        <f t="shared" si="118"/>
        <v>.</v>
      </c>
      <c r="AW524" s="1194" t="str">
        <f t="shared" si="128"/>
        <v>.</v>
      </c>
      <c r="AX524" s="1194">
        <f>IFERROR(VLOOKUP(B524,'Share, Heavy Weapons to Ukraine'!B:Z,COLUMN('Share, Heavy Weapons to Ukraine'!C534)-1,0),0)</f>
        <v>0</v>
      </c>
      <c r="AY524" s="1194">
        <f>VLOOKUP('Bilateral Assistance, MAIN DATA'!B524,'Country Summary (€)'!B:F,COLUMN('Country Summary (€)'!C535)-1,FALSE)</f>
        <v>1</v>
      </c>
      <c r="AZ524" s="1194" t="str">
        <f>IF(AND(AD524=1,D524="Military",H524&lt;&gt;"Not given")=TRUE,IF(SUMIFS(P:P,A:A,A524)&gt;0,ABS((SUMIFS(P:P,A:A,A524)/VLOOKUP("USD",'Exchange Rates'!B:C,2,0)))/S524,"."),".")</f>
        <v>.</v>
      </c>
      <c r="BA524" s="1196" t="str">
        <f>IF(AND(AD524=1,D524="Military",H524&lt;&gt;"Not given")=TRUE,IF(SUMIFS(P:P,A:A,A524)&gt;0,IF((ABS((SUMIFS(P:P,A:A,A524)/VLOOKUP("USD",'Exchange Rates'!B:C,2,0)))/S524)&gt;1,(SUMIFS(P:P,A:A,A524)-S524)/S524,(S524-SUMIFS(P:P,A:A,A524))/SUMIFS(P:P,A:A,A524)),"."),".")</f>
        <v>.</v>
      </c>
    </row>
    <row r="525" spans="1:53" ht="15.95" customHeight="1">
      <c r="A525" s="1180" t="s">
        <v>1771</v>
      </c>
      <c r="B525" s="1180" t="s">
        <v>1711</v>
      </c>
      <c r="C525" s="1181">
        <v>44980</v>
      </c>
      <c r="D525" s="1182" t="s">
        <v>360</v>
      </c>
      <c r="E525" s="1182" t="s">
        <v>361</v>
      </c>
      <c r="F525" s="1183" t="s">
        <v>1772</v>
      </c>
      <c r="G525" s="1184" t="s">
        <v>483</v>
      </c>
      <c r="H525" s="1185">
        <v>9000000</v>
      </c>
      <c r="I525" s="1190" t="s">
        <v>364</v>
      </c>
      <c r="J525" s="1186" t="str">
        <f>VLOOKUP($I525,'Price List, Weapons &amp; Items'!B:C,2,0)</f>
        <v>.</v>
      </c>
      <c r="K525" s="1186" t="str">
        <f>IF(I525=".",I525,VLOOKUP($I525,'Price List, Weapons &amp; Items'!B:D,3,0))</f>
        <v>.</v>
      </c>
      <c r="L525" s="1187">
        <f>VLOOKUP(I525,'Price List, Weapons &amp; Items'!B:E,4,0)</f>
        <v>0</v>
      </c>
      <c r="M525" s="1188" t="s">
        <v>364</v>
      </c>
      <c r="N525" s="1188" t="s">
        <v>364</v>
      </c>
      <c r="O525" s="1188" t="str">
        <f>VLOOKUP($I525,'Price List, Weapons &amp; Items'!B:G,6,0)</f>
        <v>.</v>
      </c>
      <c r="P525" s="1185" t="str">
        <f t="shared" si="119"/>
        <v>.</v>
      </c>
      <c r="Q525" s="1185" t="str">
        <f t="shared" si="120"/>
        <v>.</v>
      </c>
      <c r="R525" s="1185">
        <f t="shared" si="116"/>
        <v>9000000</v>
      </c>
      <c r="S525" s="1185">
        <f>IF(AND(AD525=1,R525&lt;&gt;".")=TRUE,R525/VLOOKUP(G525,'Exchange Rates'!B:C,2,0),IF(R525=".",".",""))</f>
        <v>9000000</v>
      </c>
      <c r="T525" s="1185" t="str">
        <f>IF(AD525=1,IF(AF525="Value is not given at all",".",IF(AF525="Value is given by the source",S525,IF(AF525="Value is calculated with prices",(IF(SUMIFS(Q:Q,A:A,A525)&gt;0,SUMIFS(Q:Q,A:A,A525),"."))/VLOOKUP("USD",'Exchange Rates'!B:C,2,0),"Error with coding"))),"")</f>
        <v>.</v>
      </c>
      <c r="U525" s="1184" t="s">
        <v>365</v>
      </c>
      <c r="V525" s="972" t="s">
        <v>1717</v>
      </c>
      <c r="W525" s="972" t="s">
        <v>1773</v>
      </c>
      <c r="X525" s="972" t="s">
        <v>364</v>
      </c>
      <c r="Y525" s="972" t="s">
        <v>364</v>
      </c>
      <c r="Z525" s="1184">
        <v>0</v>
      </c>
      <c r="AA525" s="1184">
        <v>0</v>
      </c>
      <c r="AB525" s="1000" t="s">
        <v>364</v>
      </c>
      <c r="AC525" s="1192" t="str">
        <f>""</f>
        <v/>
      </c>
      <c r="AD525" s="985">
        <v>1</v>
      </c>
      <c r="AE525" s="985" t="s">
        <v>368</v>
      </c>
      <c r="AF525" s="985" t="s">
        <v>369</v>
      </c>
      <c r="AG525" s="985">
        <v>1</v>
      </c>
      <c r="AH525" s="1193">
        <v>14</v>
      </c>
      <c r="AI525" s="1193">
        <v>0</v>
      </c>
      <c r="AJ525" s="1193">
        <f>VLOOKUP($I525,'Price List, Weapons &amp; Items'!B:F,5,0)</f>
        <v>0</v>
      </c>
      <c r="AK525" s="1193">
        <f t="shared" si="121"/>
        <v>0</v>
      </c>
      <c r="AL525" s="1193">
        <f t="shared" si="122"/>
        <v>0</v>
      </c>
      <c r="AM525" s="1193">
        <f t="shared" si="123"/>
        <v>0</v>
      </c>
      <c r="AN525" s="1194" t="str">
        <f>VLOOKUP($I525,'Price List, Weapons &amp; Items'!B:L,COLUMN('Price List, Weapons &amp; Items'!$J$11)-1,0)</f>
        <v>.</v>
      </c>
      <c r="AO525" s="1194" t="str">
        <f>IF(I525=".",".",VLOOKUP($I525,'Price List, Weapons &amp; Items'!B:J,3,0))</f>
        <v>.</v>
      </c>
      <c r="AP525" s="1195" t="str">
        <f t="shared" ca="1" si="117"/>
        <v>.</v>
      </c>
      <c r="AQ525" s="1194">
        <f>VLOOKUP($I525,'Price List, Weapons &amp; Items'!B:L,COLUMN('Price List, Weapons &amp; Items'!$L$11)-1,0)</f>
        <v>0</v>
      </c>
      <c r="AR525" s="1194">
        <f t="shared" si="124"/>
        <v>1</v>
      </c>
      <c r="AS525" s="1194">
        <f t="shared" si="125"/>
        <v>0</v>
      </c>
      <c r="AT525" s="1194">
        <f t="shared" si="126"/>
        <v>1</v>
      </c>
      <c r="AU525" s="1194" t="str">
        <f t="shared" si="127"/>
        <v>.</v>
      </c>
      <c r="AV525" s="1194" t="str">
        <f t="shared" si="118"/>
        <v>.</v>
      </c>
      <c r="AW525" s="1194" t="str">
        <f t="shared" si="128"/>
        <v>.</v>
      </c>
      <c r="AX525" s="1194">
        <f>IFERROR(VLOOKUP(B525,'Share, Heavy Weapons to Ukraine'!B:Z,COLUMN('Share, Heavy Weapons to Ukraine'!C535)-1,0),0)</f>
        <v>0</v>
      </c>
      <c r="AY525" s="1194">
        <f>VLOOKUP('Bilateral Assistance, MAIN DATA'!B525,'Country Summary (€)'!B:F,COLUMN('Country Summary (€)'!C536)-1,FALSE)</f>
        <v>1</v>
      </c>
      <c r="AZ525" s="1194" t="str">
        <f>IF(AND(AD525=1,D525="Military",H525&lt;&gt;"Not given")=TRUE,IF(SUMIFS(P:P,A:A,A525)&gt;0,ABS((SUMIFS(P:P,A:A,A525)/VLOOKUP("USD",'Exchange Rates'!B:C,2,0)))/S525,"."),".")</f>
        <v>.</v>
      </c>
      <c r="BA525" s="1196" t="str">
        <f>IF(AND(AD525=1,D525="Military",H525&lt;&gt;"Not given")=TRUE,IF(SUMIFS(P:P,A:A,A525)&gt;0,IF((ABS((SUMIFS(P:P,A:A,A525)/VLOOKUP("USD",'Exchange Rates'!B:C,2,0)))/S525)&gt;1,(SUMIFS(P:P,A:A,A525)-S525)/S525,(S525-SUMIFS(P:P,A:A,A525))/SUMIFS(P:P,A:A,A525)),"."),".")</f>
        <v>.</v>
      </c>
    </row>
    <row r="526" spans="1:53" ht="15.95" customHeight="1">
      <c r="A526" s="1180" t="s">
        <v>1774</v>
      </c>
      <c r="B526" s="1180" t="s">
        <v>1711</v>
      </c>
      <c r="C526" s="1181">
        <v>44981</v>
      </c>
      <c r="D526" s="1182" t="s">
        <v>360</v>
      </c>
      <c r="E526" s="1182" t="s">
        <v>361</v>
      </c>
      <c r="F526" s="1183" t="s">
        <v>1775</v>
      </c>
      <c r="G526" s="1184" t="s">
        <v>483</v>
      </c>
      <c r="H526" s="1185">
        <v>55000000</v>
      </c>
      <c r="I526" s="1190" t="s">
        <v>364</v>
      </c>
      <c r="J526" s="1186" t="str">
        <f>VLOOKUP($I526,'Price List, Weapons &amp; Items'!B:C,2,0)</f>
        <v>.</v>
      </c>
      <c r="K526" s="1186" t="str">
        <f>IF(I526=".",I526,VLOOKUP($I526,'Price List, Weapons &amp; Items'!B:D,3,0))</f>
        <v>.</v>
      </c>
      <c r="L526" s="1187">
        <f>VLOOKUP(I526,'Price List, Weapons &amp; Items'!B:E,4,0)</f>
        <v>0</v>
      </c>
      <c r="M526" s="1188" t="s">
        <v>364</v>
      </c>
      <c r="N526" s="1188" t="s">
        <v>364</v>
      </c>
      <c r="O526" s="1188" t="str">
        <f>VLOOKUP($I526,'Price List, Weapons &amp; Items'!B:G,6,0)</f>
        <v>.</v>
      </c>
      <c r="P526" s="1185" t="str">
        <f t="shared" si="119"/>
        <v>.</v>
      </c>
      <c r="Q526" s="1185" t="str">
        <f t="shared" si="120"/>
        <v>.</v>
      </c>
      <c r="R526" s="1185">
        <f t="shared" si="116"/>
        <v>55000000</v>
      </c>
      <c r="S526" s="1185">
        <f>IF(AND(AD526=1,R526&lt;&gt;".")=TRUE,R526/VLOOKUP(G526,'Exchange Rates'!B:C,2,0),IF(R526=".",".",""))</f>
        <v>55000000</v>
      </c>
      <c r="T526" s="1185" t="str">
        <f>IF(AD526=1,IF(AF526="Value is not given at all",".",IF(AF526="Value is given by the source",S526,IF(AF526="Value is calculated with prices",(IF(SUMIFS(Q:Q,A:A,A526)&gt;0,SUMIFS(Q:Q,A:A,A526),"."))/VLOOKUP("USD",'Exchange Rates'!B:C,2,0),"Error with coding"))),"")</f>
        <v>.</v>
      </c>
      <c r="U526" s="1184" t="s">
        <v>365</v>
      </c>
      <c r="V526" s="972" t="s">
        <v>1717</v>
      </c>
      <c r="W526" s="972" t="s">
        <v>1751</v>
      </c>
      <c r="X526" s="972" t="s">
        <v>364</v>
      </c>
      <c r="Y526" s="972" t="s">
        <v>364</v>
      </c>
      <c r="Z526" s="1184">
        <v>0</v>
      </c>
      <c r="AA526" s="1184">
        <v>0</v>
      </c>
      <c r="AB526" s="1000" t="s">
        <v>364</v>
      </c>
      <c r="AC526" s="1192" t="str">
        <f>""</f>
        <v/>
      </c>
      <c r="AD526" s="985">
        <v>1</v>
      </c>
      <c r="AE526" s="985" t="s">
        <v>368</v>
      </c>
      <c r="AF526" s="985" t="s">
        <v>369</v>
      </c>
      <c r="AG526" s="985">
        <v>1</v>
      </c>
      <c r="AH526" s="1193">
        <v>14</v>
      </c>
      <c r="AI526" s="1193">
        <v>0</v>
      </c>
      <c r="AJ526" s="1193">
        <f>VLOOKUP($I526,'Price List, Weapons &amp; Items'!B:F,5,0)</f>
        <v>0</v>
      </c>
      <c r="AK526" s="1193">
        <f t="shared" si="121"/>
        <v>0</v>
      </c>
      <c r="AL526" s="1193">
        <f t="shared" si="122"/>
        <v>0</v>
      </c>
      <c r="AM526" s="1193">
        <f t="shared" si="123"/>
        <v>0</v>
      </c>
      <c r="AN526" s="1194" t="str">
        <f>VLOOKUP($I526,'Price List, Weapons &amp; Items'!B:L,COLUMN('Price List, Weapons &amp; Items'!$J$11)-1,0)</f>
        <v>.</v>
      </c>
      <c r="AO526" s="1194" t="str">
        <f>IF(I526=".",".",VLOOKUP($I526,'Price List, Weapons &amp; Items'!B:J,3,0))</f>
        <v>.</v>
      </c>
      <c r="AP526" s="1195" t="str">
        <f t="shared" ca="1" si="117"/>
        <v>.</v>
      </c>
      <c r="AQ526" s="1194">
        <f>VLOOKUP($I526,'Price List, Weapons &amp; Items'!B:L,COLUMN('Price List, Weapons &amp; Items'!$L$11)-1,0)</f>
        <v>0</v>
      </c>
      <c r="AR526" s="1194">
        <f t="shared" si="124"/>
        <v>1</v>
      </c>
      <c r="AS526" s="1194">
        <f t="shared" si="125"/>
        <v>0</v>
      </c>
      <c r="AT526" s="1194">
        <f t="shared" si="126"/>
        <v>1</v>
      </c>
      <c r="AU526" s="1194" t="str">
        <f t="shared" si="127"/>
        <v>.</v>
      </c>
      <c r="AV526" s="1194" t="str">
        <f t="shared" si="118"/>
        <v>.</v>
      </c>
      <c r="AW526" s="1194" t="str">
        <f t="shared" si="128"/>
        <v>.</v>
      </c>
      <c r="AX526" s="1194">
        <f>IFERROR(VLOOKUP(B526,'Share, Heavy Weapons to Ukraine'!B:Z,COLUMN('Share, Heavy Weapons to Ukraine'!C536)-1,0),0)</f>
        <v>0</v>
      </c>
      <c r="AY526" s="1194">
        <f>VLOOKUP('Bilateral Assistance, MAIN DATA'!B526,'Country Summary (€)'!B:F,COLUMN('Country Summary (€)'!C537)-1,FALSE)</f>
        <v>1</v>
      </c>
      <c r="AZ526" s="1194" t="str">
        <f>IF(AND(AD526=1,D526="Military",H526&lt;&gt;"Not given")=TRUE,IF(SUMIFS(P:P,A:A,A526)&gt;0,ABS((SUMIFS(P:P,A:A,A526)/VLOOKUP("USD",'Exchange Rates'!B:C,2,0)))/S526,"."),".")</f>
        <v>.</v>
      </c>
      <c r="BA526" s="1196" t="str">
        <f>IF(AND(AD526=1,D526="Military",H526&lt;&gt;"Not given")=TRUE,IF(SUMIFS(P:P,A:A,A526)&gt;0,IF((ABS((SUMIFS(P:P,A:A,A526)/VLOOKUP("USD",'Exchange Rates'!B:C,2,0)))/S526)&gt;1,(SUMIFS(P:P,A:A,A526)-S526)/S526,(S526-SUMIFS(P:P,A:A,A526))/SUMIFS(P:P,A:A,A526)),"."),".")</f>
        <v>.</v>
      </c>
    </row>
    <row r="527" spans="1:53" ht="15.95" customHeight="1">
      <c r="A527" s="1180" t="s">
        <v>1776</v>
      </c>
      <c r="B527" s="1180" t="s">
        <v>1711</v>
      </c>
      <c r="C527" s="1181">
        <v>44981</v>
      </c>
      <c r="D527" s="1182" t="s">
        <v>360</v>
      </c>
      <c r="E527" s="1182" t="s">
        <v>361</v>
      </c>
      <c r="F527" s="1183" t="s">
        <v>1777</v>
      </c>
      <c r="G527" s="1184" t="s">
        <v>483</v>
      </c>
      <c r="H527" s="1185">
        <v>48000000</v>
      </c>
      <c r="I527" s="1190" t="s">
        <v>1778</v>
      </c>
      <c r="J527" s="1186" t="str">
        <f>VLOOKUP($I527,'Price List, Weapons &amp; Items'!B:C,2,0)</f>
        <v>humanitarian</v>
      </c>
      <c r="K527" s="1186" t="str">
        <f>IF(I527=".",I527,VLOOKUP($I527,'Price List, Weapons &amp; Items'!B:D,3,0))</f>
        <v>Humanitarian</v>
      </c>
      <c r="L527" s="1187">
        <f>VLOOKUP(I527,'Price List, Weapons &amp; Items'!B:E,4,0)</f>
        <v>0</v>
      </c>
      <c r="M527" s="1188">
        <v>10000</v>
      </c>
      <c r="N527" s="1188" t="s">
        <v>374</v>
      </c>
      <c r="O527" s="1188">
        <f>VLOOKUP($I527,'Price List, Weapons &amp; Items'!B:G,6,0)</f>
        <v>1500</v>
      </c>
      <c r="P527" s="1185">
        <f t="shared" si="119"/>
        <v>15000000</v>
      </c>
      <c r="Q527" s="1185" t="str">
        <f t="shared" si="120"/>
        <v>.</v>
      </c>
      <c r="R527" s="1185">
        <f t="shared" si="116"/>
        <v>48000000</v>
      </c>
      <c r="S527" s="1185">
        <f>IF(AND(AD527=1,R527&lt;&gt;".")=TRUE,R527/VLOOKUP(G527,'Exchange Rates'!B:C,2,0),IF(R527=".",".",""))</f>
        <v>48000000</v>
      </c>
      <c r="T527" s="1185" t="str">
        <f>IF(AD527=1,IF(AF527="Value is not given at all",".",IF(AF527="Value is given by the source",S527,IF(AF527="Value is calculated with prices",(IF(SUMIFS(Q:Q,A:A,A527)&gt;0,SUMIFS(Q:Q,A:A,A527),"."))/VLOOKUP("USD",'Exchange Rates'!B:C,2,0),"Error with coding"))),"")</f>
        <v>.</v>
      </c>
      <c r="U527" s="1184" t="s">
        <v>365</v>
      </c>
      <c r="V527" s="972" t="s">
        <v>1717</v>
      </c>
      <c r="W527" s="972" t="s">
        <v>1751</v>
      </c>
      <c r="X527" s="972" t="s">
        <v>1779</v>
      </c>
      <c r="Y527" s="972" t="s">
        <v>364</v>
      </c>
      <c r="Z527" s="1184">
        <v>0</v>
      </c>
      <c r="AA527" s="1184">
        <v>0</v>
      </c>
      <c r="AB527" s="1000" t="s">
        <v>364</v>
      </c>
      <c r="AC527" s="1192" t="str">
        <f>""</f>
        <v/>
      </c>
      <c r="AD527" s="985">
        <v>1</v>
      </c>
      <c r="AE527" s="985" t="s">
        <v>368</v>
      </c>
      <c r="AF527" s="985" t="s">
        <v>369</v>
      </c>
      <c r="AG527" s="985">
        <v>1</v>
      </c>
      <c r="AH527" s="1193">
        <v>14</v>
      </c>
      <c r="AI527" s="1193">
        <v>0</v>
      </c>
      <c r="AJ527" s="1193">
        <f>VLOOKUP($I527,'Price List, Weapons &amp; Items'!B:F,5,0)</f>
        <v>0</v>
      </c>
      <c r="AK527" s="1193">
        <f t="shared" si="121"/>
        <v>0</v>
      </c>
      <c r="AL527" s="1193">
        <f t="shared" si="122"/>
        <v>0</v>
      </c>
      <c r="AM527" s="1193">
        <f t="shared" si="123"/>
        <v>0</v>
      </c>
      <c r="AN527" s="1194" t="str">
        <f>VLOOKUP($I527,'Price List, Weapons &amp; Items'!B:L,COLUMN('Price List, Weapons &amp; Items'!$J$11)-1,0)</f>
        <v>Contracts</v>
      </c>
      <c r="AO527" s="1194" t="str">
        <f>IF(I527=".",".",VLOOKUP($I527,'Price List, Weapons &amp; Items'!B:J,3,0))</f>
        <v>Humanitarian</v>
      </c>
      <c r="AP527" s="1195" t="str">
        <f t="shared" ca="1" si="117"/>
        <v>Starlink terminal</v>
      </c>
      <c r="AQ527" s="1194">
        <f>VLOOKUP($I527,'Price List, Weapons &amp; Items'!B:L,COLUMN('Price List, Weapons &amp; Items'!$L$11)-1,0)</f>
        <v>0</v>
      </c>
      <c r="AR527" s="1194">
        <f t="shared" si="124"/>
        <v>1</v>
      </c>
      <c r="AS527" s="1194">
        <f t="shared" si="125"/>
        <v>0</v>
      </c>
      <c r="AT527" s="1194">
        <f t="shared" si="126"/>
        <v>1</v>
      </c>
      <c r="AU527" s="1194" t="str">
        <f t="shared" si="127"/>
        <v>.</v>
      </c>
      <c r="AV527" s="1194" t="str">
        <f t="shared" si="118"/>
        <v>.</v>
      </c>
      <c r="AW527" s="1194" t="str">
        <f t="shared" si="128"/>
        <v>.</v>
      </c>
      <c r="AX527" s="1194">
        <f>IFERROR(VLOOKUP(B527,'Share, Heavy Weapons to Ukraine'!B:Z,COLUMN('Share, Heavy Weapons to Ukraine'!C537)-1,0),0)</f>
        <v>0</v>
      </c>
      <c r="AY527" s="1194">
        <f>VLOOKUP('Bilateral Assistance, MAIN DATA'!B527,'Country Summary (€)'!B:F,COLUMN('Country Summary (€)'!C538)-1,FALSE)</f>
        <v>1</v>
      </c>
      <c r="AZ527" s="1194" t="str">
        <f>IF(AND(AD527=1,D527="Military",H527&lt;&gt;"Not given")=TRUE,IF(SUMIFS(P:P,A:A,A527)&gt;0,ABS((SUMIFS(P:P,A:A,A527)/VLOOKUP("USD",'Exchange Rates'!B:C,2,0)))/S527,"."),".")</f>
        <v>.</v>
      </c>
      <c r="BA527" s="1196" t="str">
        <f>IF(AND(AD527=1,D527="Military",H527&lt;&gt;"Not given")=TRUE,IF(SUMIFS(P:P,A:A,A527)&gt;0,IF((ABS((SUMIFS(P:P,A:A,A527)/VLOOKUP("USD",'Exchange Rates'!B:C,2,0)))/S527)&gt;1,(SUMIFS(P:P,A:A,A527)-S527)/S527,(S527-SUMIFS(P:P,A:A,A527))/SUMIFS(P:P,A:A,A527)),"."),".")</f>
        <v>.</v>
      </c>
    </row>
    <row r="528" spans="1:53" ht="15.95" customHeight="1">
      <c r="A528" s="1180" t="s">
        <v>1776</v>
      </c>
      <c r="B528" s="1180" t="s">
        <v>1711</v>
      </c>
      <c r="C528" s="1181">
        <v>44981</v>
      </c>
      <c r="D528" s="1182" t="s">
        <v>360</v>
      </c>
      <c r="E528" s="1182" t="s">
        <v>361</v>
      </c>
      <c r="F528" s="1183" t="s">
        <v>1777</v>
      </c>
      <c r="G528" s="1184" t="s">
        <v>483</v>
      </c>
      <c r="H528" s="1185">
        <v>48000000</v>
      </c>
      <c r="I528" s="1190" t="s">
        <v>364</v>
      </c>
      <c r="J528" s="1186" t="str">
        <f>VLOOKUP($I528,'Price List, Weapons &amp; Items'!B:C,2,0)</f>
        <v>.</v>
      </c>
      <c r="K528" s="1186" t="str">
        <f>IF(I528=".",I528,VLOOKUP($I528,'Price List, Weapons &amp; Items'!B:D,3,0))</f>
        <v>.</v>
      </c>
      <c r="L528" s="1187">
        <f>VLOOKUP(I528,'Price List, Weapons &amp; Items'!B:E,4,0)</f>
        <v>0</v>
      </c>
      <c r="M528" s="1188" t="s">
        <v>364</v>
      </c>
      <c r="N528" s="1188" t="s">
        <v>364</v>
      </c>
      <c r="O528" s="1188" t="str">
        <f>VLOOKUP($I528,'Price List, Weapons &amp; Items'!B:G,6,0)</f>
        <v>.</v>
      </c>
      <c r="P528" s="1185" t="str">
        <f t="shared" si="119"/>
        <v>.</v>
      </c>
      <c r="Q528" s="1185" t="str">
        <f t="shared" si="120"/>
        <v>.</v>
      </c>
      <c r="R528" s="1185" t="str">
        <f t="shared" si="116"/>
        <v/>
      </c>
      <c r="S528" s="1185" t="str">
        <f>IF(AND(AD528=1,R528&lt;&gt;".")=TRUE,R528/VLOOKUP(G528,'Exchange Rates'!B:C,2,0),IF(R528=".",".",""))</f>
        <v/>
      </c>
      <c r="T528" s="1185" t="str">
        <f>IF(AD528=1,IF(AF528="Value is not given at all",".",IF(AF528="Value is given by the source",S528,IF(AF528="Value is calculated with prices",(IF(SUMIFS(Q:Q,A:A,A528)&gt;0,SUMIFS(Q:Q,A:A,A528),"."))/VLOOKUP("USD",'Exchange Rates'!B:C,2,0),"Error with coding"))),"")</f>
        <v/>
      </c>
      <c r="U528" s="1184" t="s">
        <v>365</v>
      </c>
      <c r="V528" s="972" t="s">
        <v>1717</v>
      </c>
      <c r="W528" s="972" t="s">
        <v>1751</v>
      </c>
      <c r="X528" s="972" t="s">
        <v>364</v>
      </c>
      <c r="Y528" s="972" t="s">
        <v>364</v>
      </c>
      <c r="Z528" s="1184">
        <v>0</v>
      </c>
      <c r="AA528" s="1184">
        <v>0</v>
      </c>
      <c r="AB528" s="1000" t="s">
        <v>364</v>
      </c>
      <c r="AC528" s="1192" t="str">
        <f>""</f>
        <v/>
      </c>
      <c r="AD528" s="985">
        <v>0</v>
      </c>
      <c r="AE528" s="985" t="s">
        <v>368</v>
      </c>
      <c r="AF528" s="985" t="s">
        <v>369</v>
      </c>
      <c r="AG528" s="985">
        <v>1</v>
      </c>
      <c r="AH528" s="1193">
        <v>14</v>
      </c>
      <c r="AI528" s="1193">
        <v>0</v>
      </c>
      <c r="AJ528" s="1193">
        <f>VLOOKUP($I528,'Price List, Weapons &amp; Items'!B:F,5,0)</f>
        <v>0</v>
      </c>
      <c r="AK528" s="1193">
        <f t="shared" si="121"/>
        <v>0</v>
      </c>
      <c r="AL528" s="1193">
        <f t="shared" si="122"/>
        <v>0</v>
      </c>
      <c r="AM528" s="1193">
        <f t="shared" si="123"/>
        <v>0</v>
      </c>
      <c r="AN528" s="1194" t="str">
        <f>VLOOKUP($I528,'Price List, Weapons &amp; Items'!B:L,COLUMN('Price List, Weapons &amp; Items'!$J$11)-1,0)</f>
        <v>.</v>
      </c>
      <c r="AO528" s="1194" t="str">
        <f>IF(I528=".",".",VLOOKUP($I528,'Price List, Weapons &amp; Items'!B:J,3,0))</f>
        <v>.</v>
      </c>
      <c r="AP528" s="1195" t="str">
        <f t="shared" ca="1" si="117"/>
        <v/>
      </c>
      <c r="AQ528" s="1194">
        <f>VLOOKUP($I528,'Price List, Weapons &amp; Items'!B:L,COLUMN('Price List, Weapons &amp; Items'!$L$11)-1,0)</f>
        <v>0</v>
      </c>
      <c r="AR528" s="1194">
        <f t="shared" si="124"/>
        <v>1</v>
      </c>
      <c r="AS528" s="1194">
        <f t="shared" si="125"/>
        <v>0</v>
      </c>
      <c r="AT528" s="1194">
        <f t="shared" si="126"/>
        <v>1</v>
      </c>
      <c r="AU528" s="1194" t="str">
        <f t="shared" si="127"/>
        <v>.</v>
      </c>
      <c r="AV528" s="1194" t="str">
        <f t="shared" si="118"/>
        <v>.</v>
      </c>
      <c r="AW528" s="1194" t="str">
        <f t="shared" si="128"/>
        <v>.</v>
      </c>
      <c r="AX528" s="1194">
        <f>IFERROR(VLOOKUP(B528,'Share, Heavy Weapons to Ukraine'!B:Z,COLUMN('Share, Heavy Weapons to Ukraine'!C538)-1,0),0)</f>
        <v>0</v>
      </c>
      <c r="AY528" s="1194">
        <f>VLOOKUP('Bilateral Assistance, MAIN DATA'!B528,'Country Summary (€)'!B:F,COLUMN('Country Summary (€)'!C539)-1,FALSE)</f>
        <v>1</v>
      </c>
      <c r="AZ528" s="1194" t="str">
        <f>IF(AND(AD528=1,D528="Military",H528&lt;&gt;"Not given")=TRUE,IF(SUMIFS(P:P,A:A,A528)&gt;0,ABS((SUMIFS(P:P,A:A,A528)/VLOOKUP("USD",'Exchange Rates'!B:C,2,0)))/S528,"."),".")</f>
        <v>.</v>
      </c>
      <c r="BA528" s="1196" t="str">
        <f>IF(AND(AD528=1,D528="Military",H528&lt;&gt;"Not given")=TRUE,IF(SUMIFS(P:P,A:A,A528)&gt;0,IF((ABS((SUMIFS(P:P,A:A,A528)/VLOOKUP("USD",'Exchange Rates'!B:C,2,0)))/S528)&gt;1,(SUMIFS(P:P,A:A,A528)-S528)/S528,(S528-SUMIFS(P:P,A:A,A528))/SUMIFS(P:P,A:A,A528)),"."),".")</f>
        <v>.</v>
      </c>
    </row>
    <row r="529" spans="1:72" ht="15.75" customHeight="1">
      <c r="A529" s="1180" t="s">
        <v>1780</v>
      </c>
      <c r="B529" s="1180" t="s">
        <v>1711</v>
      </c>
      <c r="C529" s="1181">
        <v>45012</v>
      </c>
      <c r="D529" s="1182" t="s">
        <v>360</v>
      </c>
      <c r="E529" s="1182" t="s">
        <v>361</v>
      </c>
      <c r="F529" s="1183" t="s">
        <v>1781</v>
      </c>
      <c r="G529" s="1184" t="s">
        <v>483</v>
      </c>
      <c r="H529" s="1185">
        <v>25000000</v>
      </c>
      <c r="I529" s="1190" t="s">
        <v>364</v>
      </c>
      <c r="J529" s="1186" t="str">
        <f>VLOOKUP($I529,'Price List, Weapons &amp; Items'!B:C,2,0)</f>
        <v>.</v>
      </c>
      <c r="K529" s="1186" t="str">
        <f>IF(I529=".",I529,VLOOKUP($I529,'Price List, Weapons &amp; Items'!B:D,3,0))</f>
        <v>.</v>
      </c>
      <c r="L529" s="1187">
        <f>VLOOKUP(I529,'Price List, Weapons &amp; Items'!B:E,4,0)</f>
        <v>0</v>
      </c>
      <c r="M529" s="1188" t="s">
        <v>364</v>
      </c>
      <c r="N529" s="1275" t="s">
        <v>364</v>
      </c>
      <c r="O529" s="1188" t="str">
        <f>VLOOKUP($I529,'Price List, Weapons &amp; Items'!B:G,6,0)</f>
        <v>.</v>
      </c>
      <c r="P529" s="1185" t="str">
        <f t="shared" si="119"/>
        <v>.</v>
      </c>
      <c r="Q529" s="1185" t="str">
        <f t="shared" si="120"/>
        <v>.</v>
      </c>
      <c r="R529" s="1185">
        <f t="shared" si="116"/>
        <v>25000000</v>
      </c>
      <c r="S529" s="1185">
        <f>IF(AND(AD529=1,R529&lt;&gt;".")=TRUE,R529/VLOOKUP(G529,'Exchange Rates'!B:C,2,0),IF(R529=".",".",""))</f>
        <v>25000000</v>
      </c>
      <c r="T529" s="1185" t="str">
        <f>IF(AD529=1,IF(AF529="Value is not given at all",".",IF(AF529="Value is given by the source",S529,IF(AF529="Value is calculated with prices",(IF(SUMIFS(Q:Q,A:A,A529)&gt;0,SUMIFS(Q:Q,A:A,A529),"."))/VLOOKUP("USD",'Exchange Rates'!B:C,2,0),"Error with coding"))),"")</f>
        <v>.</v>
      </c>
      <c r="U529" s="1184" t="s">
        <v>365</v>
      </c>
      <c r="V529" s="980" t="s">
        <v>1782</v>
      </c>
      <c r="W529" s="972" t="s">
        <v>1783</v>
      </c>
      <c r="X529" s="972" t="s">
        <v>364</v>
      </c>
      <c r="Y529" s="972" t="s">
        <v>364</v>
      </c>
      <c r="Z529" s="1184">
        <v>0</v>
      </c>
      <c r="AA529" s="1184">
        <v>1</v>
      </c>
      <c r="AB529" s="1180" t="s">
        <v>364</v>
      </c>
      <c r="AC529" s="1192" t="str">
        <f>""</f>
        <v/>
      </c>
      <c r="AD529" s="1184">
        <v>1</v>
      </c>
      <c r="AE529" s="1184" t="s">
        <v>368</v>
      </c>
      <c r="AF529" s="1184" t="s">
        <v>369</v>
      </c>
      <c r="AG529" s="1184">
        <v>1</v>
      </c>
      <c r="AH529" s="1184">
        <v>15</v>
      </c>
      <c r="AI529" s="1184">
        <v>0</v>
      </c>
      <c r="AJ529" s="1193">
        <f>VLOOKUP($I529,'Price List, Weapons &amp; Items'!B:F,5,0)</f>
        <v>0</v>
      </c>
      <c r="AK529" s="1193">
        <f t="shared" si="121"/>
        <v>0</v>
      </c>
      <c r="AL529" s="1193">
        <f t="shared" si="122"/>
        <v>0</v>
      </c>
      <c r="AM529" s="1193">
        <f t="shared" si="123"/>
        <v>0</v>
      </c>
      <c r="AN529" s="1194" t="str">
        <f>VLOOKUP($I529,'Price List, Weapons &amp; Items'!B:L,COLUMN('Price List, Weapons &amp; Items'!$J$11)-1,0)</f>
        <v>.</v>
      </c>
      <c r="AO529" s="1194" t="str">
        <f>IF(I529=".",".",VLOOKUP($I529,'Price List, Weapons &amp; Items'!B:J,3,0))</f>
        <v>.</v>
      </c>
      <c r="AP529" s="1195" t="str">
        <f t="shared" ca="1" si="117"/>
        <v>.</v>
      </c>
      <c r="AQ529" s="1194">
        <f>VLOOKUP($I529,'Price List, Weapons &amp; Items'!B:L,COLUMN('Price List, Weapons &amp; Items'!$L$11)-1,0)</f>
        <v>0</v>
      </c>
      <c r="AR529" s="1194">
        <f t="shared" si="124"/>
        <v>1</v>
      </c>
      <c r="AS529" s="1194">
        <f t="shared" si="125"/>
        <v>0</v>
      </c>
      <c r="AT529" s="1194">
        <f t="shared" si="126"/>
        <v>1</v>
      </c>
      <c r="AU529" s="1194" t="str">
        <f t="shared" si="127"/>
        <v>.</v>
      </c>
      <c r="AV529" s="1194" t="str">
        <f t="shared" si="118"/>
        <v>.</v>
      </c>
      <c r="AW529" s="1194" t="str">
        <f t="shared" si="128"/>
        <v>.</v>
      </c>
      <c r="AX529" s="1194">
        <f>IFERROR(VLOOKUP(B529,'Share, Heavy Weapons to Ukraine'!B:Z,COLUMN('Share, Heavy Weapons to Ukraine'!C539)-1,0),0)</f>
        <v>0</v>
      </c>
      <c r="AY529" s="1194">
        <f>VLOOKUP('Bilateral Assistance, MAIN DATA'!B529,'Country Summary (€)'!B:F,COLUMN('Country Summary (€)'!C540)-1,FALSE)</f>
        <v>1</v>
      </c>
      <c r="AZ529" s="1194" t="str">
        <f>IF(AND(AD529=1,D529="Military",H529&lt;&gt;"Not given")=TRUE,IF(SUMIFS(P:P,A:A,A529)&gt;0,ABS((SUMIFS(P:P,A:A,A529)/VLOOKUP("USD",'Exchange Rates'!B:C,2,0)))/S529,"."),".")</f>
        <v>.</v>
      </c>
      <c r="BA529" s="1196" t="str">
        <f>IF(AND(AD529=1,D529="Military",H529&lt;&gt;"Not given")=TRUE,IF(SUMIFS(P:P,A:A,A529)&gt;0,IF((ABS((SUMIFS(P:P,A:A,A529)/VLOOKUP("USD",'Exchange Rates'!B:C,2,0)))/S529)&gt;1,(SUMIFS(P:P,A:A,A529)-S529)/S529,(S529-SUMIFS(P:P,A:A,A529))/SUMIFS(P:P,A:A,A529)),"."),".")</f>
        <v>.</v>
      </c>
      <c r="BB529" s="1180"/>
      <c r="BC529" s="1180"/>
      <c r="BD529" s="1180"/>
      <c r="BE529" s="1180"/>
      <c r="BF529" s="1180"/>
      <c r="BG529" s="1180"/>
      <c r="BH529" s="1180"/>
      <c r="BI529" s="1180"/>
      <c r="BJ529" s="1180"/>
      <c r="BK529" s="1180"/>
      <c r="BL529" s="1180"/>
      <c r="BM529" s="1180"/>
      <c r="BN529" s="1180"/>
      <c r="BO529" s="1180"/>
      <c r="BP529" s="1180"/>
      <c r="BQ529" s="1180"/>
      <c r="BR529" s="1180"/>
      <c r="BS529" s="1180"/>
      <c r="BT529" s="1180"/>
    </row>
    <row r="530" spans="1:72" ht="15.75" customHeight="1">
      <c r="A530" s="1180" t="s">
        <v>1784</v>
      </c>
      <c r="B530" s="1180" t="s">
        <v>1711</v>
      </c>
      <c r="C530" s="1181">
        <v>45035</v>
      </c>
      <c r="D530" s="1182" t="s">
        <v>360</v>
      </c>
      <c r="E530" s="1182" t="s">
        <v>361</v>
      </c>
      <c r="F530" s="1183" t="s">
        <v>1785</v>
      </c>
      <c r="G530" s="1184" t="s">
        <v>483</v>
      </c>
      <c r="H530" s="1185">
        <v>111000000</v>
      </c>
      <c r="I530" s="1190" t="s">
        <v>364</v>
      </c>
      <c r="J530" s="1186" t="str">
        <f>VLOOKUP($I530,'Price List, Weapons &amp; Items'!B:C,2,0)</f>
        <v>.</v>
      </c>
      <c r="K530" s="1186" t="str">
        <f>IF(I530=".",I530,VLOOKUP($I530,'Price List, Weapons &amp; Items'!B:D,3,0))</f>
        <v>.</v>
      </c>
      <c r="L530" s="1187">
        <f>VLOOKUP(I530,'Price List, Weapons &amp; Items'!B:E,4,0)</f>
        <v>0</v>
      </c>
      <c r="M530" s="1188" t="s">
        <v>364</v>
      </c>
      <c r="N530" s="1275" t="s">
        <v>364</v>
      </c>
      <c r="O530" s="1188" t="str">
        <f>VLOOKUP($I530,'Price List, Weapons &amp; Items'!B:G,6,0)</f>
        <v>.</v>
      </c>
      <c r="P530" s="1185" t="str">
        <f t="shared" si="119"/>
        <v>.</v>
      </c>
      <c r="Q530" s="1185" t="str">
        <f t="shared" si="120"/>
        <v>.</v>
      </c>
      <c r="R530" s="1185">
        <f t="shared" si="116"/>
        <v>111000000</v>
      </c>
      <c r="S530" s="1185">
        <f>IF(AND(AD530=1,R530&lt;&gt;".")=TRUE,R530/VLOOKUP(G530,'Exchange Rates'!B:C,2,0),IF(R530=".",".",""))</f>
        <v>111000000</v>
      </c>
      <c r="T530" s="1185" t="str">
        <f>IF(AD530=1,IF(AF530="Value is not given at all",".",IF(AF530="Value is given by the source",S530,IF(AF530="Value is calculated with prices",(IF(SUMIFS(Q:Q,A:A,A530)&gt;0,SUMIFS(Q:Q,A:A,A530),"."))/VLOOKUP("USD",'Exchange Rates'!B:C,2,0),"Error with coding"))),"")</f>
        <v>.</v>
      </c>
      <c r="U530" s="1184" t="s">
        <v>365</v>
      </c>
      <c r="V530" s="972" t="s">
        <v>1782</v>
      </c>
      <c r="W530" s="972" t="s">
        <v>1786</v>
      </c>
      <c r="X530" s="972" t="s">
        <v>364</v>
      </c>
      <c r="Y530" s="972" t="s">
        <v>364</v>
      </c>
      <c r="Z530" s="1184">
        <v>0</v>
      </c>
      <c r="AA530" s="1184">
        <v>1</v>
      </c>
      <c r="AB530" s="1180" t="s">
        <v>364</v>
      </c>
      <c r="AC530" s="1192" t="str">
        <f>""</f>
        <v/>
      </c>
      <c r="AD530" s="1184">
        <v>1</v>
      </c>
      <c r="AE530" s="1184" t="s">
        <v>368</v>
      </c>
      <c r="AF530" s="1184" t="s">
        <v>369</v>
      </c>
      <c r="AG530" s="1184">
        <v>1</v>
      </c>
      <c r="AH530" s="1184">
        <v>16</v>
      </c>
      <c r="AI530" s="1184">
        <v>0</v>
      </c>
      <c r="AJ530" s="1193">
        <f>VLOOKUP($I530,'Price List, Weapons &amp; Items'!B:F,5,0)</f>
        <v>0</v>
      </c>
      <c r="AK530" s="1193">
        <f t="shared" si="121"/>
        <v>0</v>
      </c>
      <c r="AL530" s="1193">
        <f t="shared" si="122"/>
        <v>0</v>
      </c>
      <c r="AM530" s="1193">
        <f t="shared" si="123"/>
        <v>0</v>
      </c>
      <c r="AN530" s="1194" t="str">
        <f>VLOOKUP($I530,'Price List, Weapons &amp; Items'!B:L,COLUMN('Price List, Weapons &amp; Items'!$J$11)-1,0)</f>
        <v>.</v>
      </c>
      <c r="AO530" s="1194" t="str">
        <f>IF(I530=".",".",VLOOKUP($I530,'Price List, Weapons &amp; Items'!B:J,3,0))</f>
        <v>.</v>
      </c>
      <c r="AP530" s="1195" t="str">
        <f t="shared" ca="1" si="117"/>
        <v>.</v>
      </c>
      <c r="AQ530" s="1194">
        <f>VLOOKUP($I530,'Price List, Weapons &amp; Items'!B:L,COLUMN('Price List, Weapons &amp; Items'!$L$11)-1,0)</f>
        <v>0</v>
      </c>
      <c r="AR530" s="1194">
        <f t="shared" si="124"/>
        <v>1</v>
      </c>
      <c r="AS530" s="1194">
        <f t="shared" si="125"/>
        <v>0</v>
      </c>
      <c r="AT530" s="1194">
        <f t="shared" si="126"/>
        <v>1</v>
      </c>
      <c r="AU530" s="1194" t="str">
        <f t="shared" si="127"/>
        <v>.</v>
      </c>
      <c r="AV530" s="1194" t="str">
        <f t="shared" si="118"/>
        <v>.</v>
      </c>
      <c r="AW530" s="1194" t="str">
        <f t="shared" si="128"/>
        <v>.</v>
      </c>
      <c r="AX530" s="1194">
        <f>IFERROR(VLOOKUP(B530,'Share, Heavy Weapons to Ukraine'!B:Z,COLUMN('Share, Heavy Weapons to Ukraine'!C540)-1,0),0)</f>
        <v>0</v>
      </c>
      <c r="AY530" s="1194">
        <f>VLOOKUP('Bilateral Assistance, MAIN DATA'!B530,'Country Summary (€)'!B:F,COLUMN('Country Summary (€)'!C541)-1,FALSE)</f>
        <v>1</v>
      </c>
      <c r="AZ530" s="1194" t="str">
        <f>IF(AND(AD530=1,D530="Military",H530&lt;&gt;"Not given")=TRUE,IF(SUMIFS(P:P,A:A,A530)&gt;0,ABS((SUMIFS(P:P,A:A,A530)/VLOOKUP("USD",'Exchange Rates'!B:C,2,0)))/S530,"."),".")</f>
        <v>.</v>
      </c>
      <c r="BA530" s="1196" t="str">
        <f>IF(AND(AD530=1,D530="Military",H530&lt;&gt;"Not given")=TRUE,IF(SUMIFS(P:P,A:A,A530)&gt;0,IF((ABS((SUMIFS(P:P,A:A,A530)/VLOOKUP("USD",'Exchange Rates'!B:C,2,0)))/S530)&gt;1,(SUMIFS(P:P,A:A,A530)-S530)/S530,(S530-SUMIFS(P:P,A:A,A530))/SUMIFS(P:P,A:A,A530)),"."),".")</f>
        <v>.</v>
      </c>
      <c r="BB530" s="1180"/>
      <c r="BC530" s="1180"/>
      <c r="BD530" s="1180"/>
      <c r="BE530" s="1180"/>
      <c r="BF530" s="1180"/>
      <c r="BG530" s="1180"/>
      <c r="BH530" s="1180"/>
      <c r="BI530" s="1180"/>
      <c r="BJ530" s="1180"/>
      <c r="BK530" s="1180"/>
      <c r="BL530" s="1180"/>
      <c r="BM530" s="1180"/>
      <c r="BN530" s="1180"/>
      <c r="BO530" s="1180"/>
      <c r="BP530" s="1180"/>
      <c r="BQ530" s="1180"/>
      <c r="BR530" s="1180"/>
      <c r="BS530" s="1180"/>
      <c r="BT530" s="1180"/>
    </row>
    <row r="531" spans="1:72" ht="15.75" customHeight="1">
      <c r="A531" s="1180" t="s">
        <v>1787</v>
      </c>
      <c r="B531" s="1180" t="s">
        <v>1711</v>
      </c>
      <c r="C531" s="1181" t="s">
        <v>1788</v>
      </c>
      <c r="D531" s="1182" t="s">
        <v>360</v>
      </c>
      <c r="E531" s="1182" t="s">
        <v>361</v>
      </c>
      <c r="F531" s="1183" t="s">
        <v>1789</v>
      </c>
      <c r="G531" s="1184" t="s">
        <v>483</v>
      </c>
      <c r="H531" s="1185">
        <v>-1500000</v>
      </c>
      <c r="I531" s="1190" t="s">
        <v>364</v>
      </c>
      <c r="J531" s="1186" t="str">
        <f>VLOOKUP($I531,'Price List, Weapons &amp; Items'!B:C,2,0)</f>
        <v>.</v>
      </c>
      <c r="K531" s="1186" t="str">
        <f>IF(I531=".",I531,VLOOKUP($I531,'Price List, Weapons &amp; Items'!B:D,3,0))</f>
        <v>.</v>
      </c>
      <c r="L531" s="1187">
        <f>VLOOKUP(I531,'Price List, Weapons &amp; Items'!B:E,4,0)</f>
        <v>0</v>
      </c>
      <c r="M531" s="1188" t="s">
        <v>364</v>
      </c>
      <c r="N531" s="1275" t="s">
        <v>364</v>
      </c>
      <c r="O531" s="1188" t="str">
        <f>VLOOKUP($I531,'Price List, Weapons &amp; Items'!B:G,6,0)</f>
        <v>.</v>
      </c>
      <c r="P531" s="1185" t="str">
        <f t="shared" si="119"/>
        <v>.</v>
      </c>
      <c r="Q531" s="1185" t="str">
        <f t="shared" si="120"/>
        <v>.</v>
      </c>
      <c r="R531" s="1185">
        <f t="shared" si="116"/>
        <v>-1500000</v>
      </c>
      <c r="S531" s="1185">
        <f>IF(AND(AD531=1,R531&lt;&gt;".")=TRUE,R531/VLOOKUP(G531,'Exchange Rates'!B:C,2,0),IF(R531=".",".",""))</f>
        <v>-1500000</v>
      </c>
      <c r="T531" s="1185" t="str">
        <f>IF(AD531=1,IF(AF531="Value is not given at all",".",IF(AF531="Value is given by the source",S531,IF(AF531="Value is calculated with prices",(IF(SUMIFS(Q:Q,A:A,A531)&gt;0,SUMIFS(Q:Q,A:A,A531),"."))/VLOOKUP("USD",'Exchange Rates'!B:C,2,0),"Error with coding"))),"")</f>
        <v>.</v>
      </c>
      <c r="U531" s="1184" t="s">
        <v>365</v>
      </c>
      <c r="V531" s="980" t="s">
        <v>1782</v>
      </c>
      <c r="W531" s="980" t="s">
        <v>1717</v>
      </c>
      <c r="X531" s="972" t="s">
        <v>364</v>
      </c>
      <c r="Y531" s="972" t="s">
        <v>364</v>
      </c>
      <c r="Z531" s="1184">
        <v>0</v>
      </c>
      <c r="AA531" s="1184">
        <v>1</v>
      </c>
      <c r="AB531" s="1180" t="s">
        <v>364</v>
      </c>
      <c r="AC531" s="1192" t="str">
        <f>""</f>
        <v/>
      </c>
      <c r="AD531" s="1184">
        <v>1</v>
      </c>
      <c r="AE531" s="1184" t="s">
        <v>368</v>
      </c>
      <c r="AF531" s="1184" t="s">
        <v>369</v>
      </c>
      <c r="AG531" s="1184">
        <v>1</v>
      </c>
      <c r="AH531" s="1184">
        <v>16</v>
      </c>
      <c r="AI531" s="1184">
        <v>0</v>
      </c>
      <c r="AJ531" s="1193">
        <f>VLOOKUP($I531,'Price List, Weapons &amp; Items'!B:F,5,0)</f>
        <v>0</v>
      </c>
      <c r="AK531" s="1193">
        <f t="shared" si="121"/>
        <v>0</v>
      </c>
      <c r="AL531" s="1193">
        <f t="shared" si="122"/>
        <v>0</v>
      </c>
      <c r="AM531" s="1193">
        <f t="shared" si="123"/>
        <v>0</v>
      </c>
      <c r="AN531" s="1194" t="str">
        <f>VLOOKUP($I531,'Price List, Weapons &amp; Items'!B:L,COLUMN('Price List, Weapons &amp; Items'!$J$11)-1,0)</f>
        <v>.</v>
      </c>
      <c r="AO531" s="1194" t="str">
        <f>IF(I531=".",".",VLOOKUP($I531,'Price List, Weapons &amp; Items'!B:J,3,0))</f>
        <v>.</v>
      </c>
      <c r="AP531" s="1195" t="str">
        <f t="shared" ca="1" si="117"/>
        <v>.</v>
      </c>
      <c r="AQ531" s="1194">
        <f>VLOOKUP($I531,'Price List, Weapons &amp; Items'!B:L,COLUMN('Price List, Weapons &amp; Items'!$L$11)-1,0)</f>
        <v>0</v>
      </c>
      <c r="AR531" s="1194">
        <f t="shared" si="124"/>
        <v>1</v>
      </c>
      <c r="AS531" s="1194">
        <f t="shared" si="125"/>
        <v>0</v>
      </c>
      <c r="AT531" s="1194" t="str">
        <f t="shared" si="126"/>
        <v>Value is not in date format</v>
      </c>
      <c r="AU531" s="1194" t="str">
        <f t="shared" si="127"/>
        <v>.</v>
      </c>
      <c r="AV531" s="1194" t="str">
        <f t="shared" si="118"/>
        <v>.</v>
      </c>
      <c r="AW531" s="1194" t="str">
        <f t="shared" si="128"/>
        <v>.</v>
      </c>
      <c r="AX531" s="1194">
        <f>IFERROR(VLOOKUP(B531,'Share, Heavy Weapons to Ukraine'!B:Z,COLUMN('Share, Heavy Weapons to Ukraine'!C541)-1,0),0)</f>
        <v>0</v>
      </c>
      <c r="AY531" s="1194">
        <f>VLOOKUP('Bilateral Assistance, MAIN DATA'!B531,'Country Summary (€)'!B:F,COLUMN('Country Summary (€)'!C542)-1,FALSE)</f>
        <v>1</v>
      </c>
      <c r="AZ531" s="1194" t="str">
        <f>IF(AND(AD531=1,D531="Military",H531&lt;&gt;"Not given")=TRUE,IF(SUMIFS(P:P,A:A,A531)&gt;0,ABS((SUMIFS(P:P,A:A,A531)/VLOOKUP("USD",'Exchange Rates'!B:C,2,0)))/S531,"."),".")</f>
        <v>.</v>
      </c>
      <c r="BA531" s="1196" t="str">
        <f>IF(AND(AD531=1,D531="Military",H531&lt;&gt;"Not given")=TRUE,IF(SUMIFS(P:P,A:A,A531)&gt;0,IF((ABS((SUMIFS(P:P,A:A,A531)/VLOOKUP("USD",'Exchange Rates'!B:C,2,0)))/S531)&gt;1,(SUMIFS(P:P,A:A,A531)-S531)/S531,(S531-SUMIFS(P:P,A:A,A531))/SUMIFS(P:P,A:A,A531)),"."),".")</f>
        <v>.</v>
      </c>
      <c r="BB531" s="1180"/>
      <c r="BC531" s="1180"/>
      <c r="BD531" s="1180"/>
      <c r="BE531" s="1180"/>
      <c r="BF531" s="1180"/>
      <c r="BG531" s="1180"/>
      <c r="BH531" s="1180"/>
      <c r="BI531" s="1180"/>
      <c r="BJ531" s="1180"/>
      <c r="BK531" s="1180"/>
      <c r="BL531" s="1180"/>
      <c r="BM531" s="1180"/>
      <c r="BN531" s="1180"/>
      <c r="BO531" s="1180"/>
      <c r="BP531" s="1180"/>
      <c r="BQ531" s="1180"/>
      <c r="BR531" s="1180"/>
      <c r="BS531" s="1180"/>
      <c r="BT531" s="1180"/>
    </row>
    <row r="532" spans="1:72" ht="15.75" customHeight="1">
      <c r="A532" s="1180" t="s">
        <v>1790</v>
      </c>
      <c r="B532" s="1180" t="s">
        <v>1711</v>
      </c>
      <c r="C532" s="1181" t="s">
        <v>1791</v>
      </c>
      <c r="D532" s="1182" t="s">
        <v>360</v>
      </c>
      <c r="E532" s="1182" t="s">
        <v>361</v>
      </c>
      <c r="F532" s="1183" t="s">
        <v>1792</v>
      </c>
      <c r="G532" s="1184" t="s">
        <v>483</v>
      </c>
      <c r="H532" s="1185">
        <v>16130000</v>
      </c>
      <c r="I532" s="1190" t="s">
        <v>364</v>
      </c>
      <c r="J532" s="1186" t="str">
        <f>VLOOKUP($I532,'Price List, Weapons &amp; Items'!B:C,2,0)</f>
        <v>.</v>
      </c>
      <c r="K532" s="1186" t="str">
        <f>IF(I532=".",I532,VLOOKUP($I532,'Price List, Weapons &amp; Items'!B:D,3,0))</f>
        <v>.</v>
      </c>
      <c r="L532" s="1187">
        <f>VLOOKUP(I532,'Price List, Weapons &amp; Items'!B:E,4,0)</f>
        <v>0</v>
      </c>
      <c r="M532" s="1188" t="s">
        <v>364</v>
      </c>
      <c r="N532" s="1275" t="s">
        <v>364</v>
      </c>
      <c r="O532" s="1188" t="str">
        <f>VLOOKUP($I532,'Price List, Weapons &amp; Items'!B:G,6,0)</f>
        <v>.</v>
      </c>
      <c r="P532" s="1185" t="str">
        <f t="shared" si="119"/>
        <v>.</v>
      </c>
      <c r="Q532" s="1185" t="str">
        <f t="shared" si="120"/>
        <v>.</v>
      </c>
      <c r="R532" s="1185">
        <f t="shared" si="116"/>
        <v>16130000</v>
      </c>
      <c r="S532" s="1185">
        <f>IF(AND(AD532=1,R532&lt;&gt;".")=TRUE,R532/VLOOKUP(G532,'Exchange Rates'!B:C,2,0),IF(R532=".",".",""))</f>
        <v>16130000</v>
      </c>
      <c r="T532" s="1185" t="str">
        <f>IF(AD532=1,IF(AF532="Value is not given at all",".",IF(AF532="Value is given by the source",S532,IF(AF532="Value is calculated with prices",(IF(SUMIFS(Q:Q,A:A,A532)&gt;0,SUMIFS(Q:Q,A:A,A532),"."))/VLOOKUP("USD",'Exchange Rates'!B:C,2,0),"Error with coding"))),"")</f>
        <v>.</v>
      </c>
      <c r="U532" s="1184" t="s">
        <v>365</v>
      </c>
      <c r="V532" s="980" t="s">
        <v>1782</v>
      </c>
      <c r="W532" s="972" t="s">
        <v>1717</v>
      </c>
      <c r="X532" s="972" t="s">
        <v>364</v>
      </c>
      <c r="Y532" s="972" t="s">
        <v>364</v>
      </c>
      <c r="Z532" s="1184">
        <v>0</v>
      </c>
      <c r="AA532" s="1184">
        <v>1</v>
      </c>
      <c r="AB532" s="1180" t="s">
        <v>364</v>
      </c>
      <c r="AC532" s="1192" t="str">
        <f>""</f>
        <v/>
      </c>
      <c r="AD532" s="1184">
        <v>1</v>
      </c>
      <c r="AE532" s="1184" t="s">
        <v>368</v>
      </c>
      <c r="AF532" s="1184" t="s">
        <v>369</v>
      </c>
      <c r="AG532" s="1184">
        <v>1</v>
      </c>
      <c r="AH532" s="1184">
        <v>16</v>
      </c>
      <c r="AI532" s="1184">
        <v>0</v>
      </c>
      <c r="AJ532" s="1193">
        <f>VLOOKUP($I532,'Price List, Weapons &amp; Items'!B:F,5,0)</f>
        <v>0</v>
      </c>
      <c r="AK532" s="1193">
        <f t="shared" si="121"/>
        <v>0</v>
      </c>
      <c r="AL532" s="1193">
        <f t="shared" si="122"/>
        <v>0</v>
      </c>
      <c r="AM532" s="1193">
        <f t="shared" si="123"/>
        <v>0</v>
      </c>
      <c r="AN532" s="1194" t="str">
        <f>VLOOKUP($I532,'Price List, Weapons &amp; Items'!B:L,COLUMN('Price List, Weapons &amp; Items'!$J$11)-1,0)</f>
        <v>.</v>
      </c>
      <c r="AO532" s="1194" t="str">
        <f>IF(I532=".",".",VLOOKUP($I532,'Price List, Weapons &amp; Items'!B:J,3,0))</f>
        <v>.</v>
      </c>
      <c r="AP532" s="1195" t="str">
        <f t="shared" ca="1" si="117"/>
        <v>.</v>
      </c>
      <c r="AQ532" s="1194">
        <f>VLOOKUP($I532,'Price List, Weapons &amp; Items'!B:L,COLUMN('Price List, Weapons &amp; Items'!$L$11)-1,0)</f>
        <v>0</v>
      </c>
      <c r="AR532" s="1194">
        <f t="shared" si="124"/>
        <v>1</v>
      </c>
      <c r="AS532" s="1194">
        <f t="shared" si="125"/>
        <v>0</v>
      </c>
      <c r="AT532" s="1194" t="str">
        <f t="shared" si="126"/>
        <v>Value is not in date format</v>
      </c>
      <c r="AU532" s="1194" t="str">
        <f t="shared" si="127"/>
        <v>.</v>
      </c>
      <c r="AV532" s="1194" t="str">
        <f t="shared" si="118"/>
        <v>.</v>
      </c>
      <c r="AW532" s="1194" t="str">
        <f t="shared" si="128"/>
        <v>.</v>
      </c>
      <c r="AX532" s="1194">
        <f>IFERROR(VLOOKUP(B532,'Share, Heavy Weapons to Ukraine'!B:Z,COLUMN('Share, Heavy Weapons to Ukraine'!C542)-1,0),0)</f>
        <v>0</v>
      </c>
      <c r="AY532" s="1194">
        <f>VLOOKUP('Bilateral Assistance, MAIN DATA'!B532,'Country Summary (€)'!B:F,COLUMN('Country Summary (€)'!C543)-1,FALSE)</f>
        <v>1</v>
      </c>
      <c r="AZ532" s="1194" t="str">
        <f>IF(AND(AD532=1,D532="Military",H532&lt;&gt;"Not given")=TRUE,IF(SUMIFS(P:P,A:A,A532)&gt;0,ABS((SUMIFS(P:P,A:A,A532)/VLOOKUP("USD",'Exchange Rates'!B:C,2,0)))/S532,"."),".")</f>
        <v>.</v>
      </c>
      <c r="BA532" s="1196" t="str">
        <f>IF(AND(AD532=1,D532="Military",H532&lt;&gt;"Not given")=TRUE,IF(SUMIFS(P:P,A:A,A532)&gt;0,IF((ABS((SUMIFS(P:P,A:A,A532)/VLOOKUP("USD",'Exchange Rates'!B:C,2,0)))/S532)&gt;1,(SUMIFS(P:P,A:A,A532)-S532)/S532,(S532-SUMIFS(P:P,A:A,A532))/SUMIFS(P:P,A:A,A532)),"."),".")</f>
        <v>.</v>
      </c>
      <c r="BB532" s="1180"/>
      <c r="BC532" s="1180"/>
      <c r="BD532" s="1180"/>
      <c r="BE532" s="1180"/>
      <c r="BF532" s="1180"/>
      <c r="BG532" s="1180"/>
      <c r="BH532" s="1180"/>
      <c r="BI532" s="1180"/>
      <c r="BJ532" s="1180"/>
      <c r="BK532" s="1180"/>
      <c r="BL532" s="1180"/>
      <c r="BM532" s="1180"/>
      <c r="BN532" s="1180"/>
      <c r="BO532" s="1180"/>
      <c r="BP532" s="1180"/>
      <c r="BQ532" s="1180"/>
      <c r="BR532" s="1180"/>
      <c r="BS532" s="1180"/>
      <c r="BT532" s="1180"/>
    </row>
    <row r="533" spans="1:72" ht="15.75" customHeight="1">
      <c r="A533" s="1180" t="s">
        <v>1793</v>
      </c>
      <c r="B533" s="1180" t="s">
        <v>1711</v>
      </c>
      <c r="C533" s="1181" t="s">
        <v>1794</v>
      </c>
      <c r="D533" s="1182" t="s">
        <v>360</v>
      </c>
      <c r="E533" s="1182" t="s">
        <v>481</v>
      </c>
      <c r="F533" s="1183" t="s">
        <v>1795</v>
      </c>
      <c r="G533" s="1184" t="s">
        <v>483</v>
      </c>
      <c r="H533" s="1185">
        <v>4752000</v>
      </c>
      <c r="I533" s="1190" t="s">
        <v>364</v>
      </c>
      <c r="J533" s="1186" t="str">
        <f>VLOOKUP($I533,'Price List, Weapons &amp; Items'!B:C,2,0)</f>
        <v>.</v>
      </c>
      <c r="K533" s="1186" t="str">
        <f>IF(I533=".",I533,VLOOKUP($I533,'Price List, Weapons &amp; Items'!B:D,3,0))</f>
        <v>.</v>
      </c>
      <c r="L533" s="1187">
        <f>VLOOKUP(I533,'Price List, Weapons &amp; Items'!B:E,4,0)</f>
        <v>0</v>
      </c>
      <c r="M533" s="1188" t="s">
        <v>364</v>
      </c>
      <c r="N533" s="1275" t="s">
        <v>364</v>
      </c>
      <c r="O533" s="1188" t="str">
        <f>VLOOKUP($I533,'Price List, Weapons &amp; Items'!B:G,6,0)</f>
        <v>.</v>
      </c>
      <c r="P533" s="1185" t="str">
        <f t="shared" si="119"/>
        <v>.</v>
      </c>
      <c r="Q533" s="1185" t="str">
        <f t="shared" si="120"/>
        <v>.</v>
      </c>
      <c r="R533" s="1185">
        <f t="shared" si="116"/>
        <v>4752000</v>
      </c>
      <c r="S533" s="1185">
        <f>IF(AND(AD533=1,R533&lt;&gt;".")=TRUE,R533/VLOOKUP(G533,'Exchange Rates'!B:C,2,0),IF(R533=".",".",""))</f>
        <v>4752000</v>
      </c>
      <c r="T533" s="1185" t="str">
        <f>IF(AD533=1,IF(AF533="Value is not given at all",".",IF(AF533="Value is given by the source",S533,IF(AF533="Value is calculated with prices",(IF(SUMIFS(Q:Q,A:A,A533)&gt;0,SUMIFS(Q:Q,A:A,A533),"."))/VLOOKUP("USD",'Exchange Rates'!B:C,2,0),"Error with coding"))),"")</f>
        <v>.</v>
      </c>
      <c r="U533" s="1184" t="s">
        <v>365</v>
      </c>
      <c r="V533" s="980" t="s">
        <v>1782</v>
      </c>
      <c r="W533" s="980" t="s">
        <v>1717</v>
      </c>
      <c r="X533" s="972" t="s">
        <v>364</v>
      </c>
      <c r="Y533" s="972" t="s">
        <v>364</v>
      </c>
      <c r="Z533" s="1184">
        <v>0</v>
      </c>
      <c r="AA533" s="1184">
        <v>1</v>
      </c>
      <c r="AB533" s="1180" t="s">
        <v>364</v>
      </c>
      <c r="AC533" s="1192" t="str">
        <f>""</f>
        <v/>
      </c>
      <c r="AD533" s="1184">
        <v>1</v>
      </c>
      <c r="AE533" s="1184" t="s">
        <v>368</v>
      </c>
      <c r="AF533" s="1184" t="s">
        <v>369</v>
      </c>
      <c r="AG533" s="1184">
        <v>1</v>
      </c>
      <c r="AH533" s="1184">
        <v>16</v>
      </c>
      <c r="AI533" s="1184">
        <v>0</v>
      </c>
      <c r="AJ533" s="1193">
        <f>VLOOKUP($I533,'Price List, Weapons &amp; Items'!B:F,5,0)</f>
        <v>0</v>
      </c>
      <c r="AK533" s="1193">
        <f t="shared" si="121"/>
        <v>0</v>
      </c>
      <c r="AL533" s="1193">
        <f t="shared" si="122"/>
        <v>0</v>
      </c>
      <c r="AM533" s="1193">
        <f t="shared" si="123"/>
        <v>0</v>
      </c>
      <c r="AN533" s="1194" t="str">
        <f>VLOOKUP($I533,'Price List, Weapons &amp; Items'!B:L,COLUMN('Price List, Weapons &amp; Items'!$J$11)-1,0)</f>
        <v>.</v>
      </c>
      <c r="AO533" s="1194" t="str">
        <f>IF(I533=".",".",VLOOKUP($I533,'Price List, Weapons &amp; Items'!B:J,3,0))</f>
        <v>.</v>
      </c>
      <c r="AP533" s="1195" t="str">
        <f t="shared" ca="1" si="117"/>
        <v>.</v>
      </c>
      <c r="AQ533" s="1194">
        <f>VLOOKUP($I533,'Price List, Weapons &amp; Items'!B:L,COLUMN('Price List, Weapons &amp; Items'!$L$11)-1,0)</f>
        <v>0</v>
      </c>
      <c r="AR533" s="1194">
        <f t="shared" si="124"/>
        <v>1</v>
      </c>
      <c r="AS533" s="1194">
        <f t="shared" si="125"/>
        <v>0</v>
      </c>
      <c r="AT533" s="1194" t="str">
        <f t="shared" si="126"/>
        <v>Value is not in date format</v>
      </c>
      <c r="AU533" s="1194" t="str">
        <f t="shared" si="127"/>
        <v>.</v>
      </c>
      <c r="AV533" s="1194" t="str">
        <f t="shared" si="118"/>
        <v>.</v>
      </c>
      <c r="AW533" s="1194" t="str">
        <f t="shared" si="128"/>
        <v>.</v>
      </c>
      <c r="AX533" s="1194">
        <f>IFERROR(VLOOKUP(B533,'Share, Heavy Weapons to Ukraine'!B:Z,COLUMN('Share, Heavy Weapons to Ukraine'!C543)-1,0),0)</f>
        <v>0</v>
      </c>
      <c r="AY533" s="1194">
        <f>VLOOKUP('Bilateral Assistance, MAIN DATA'!B533,'Country Summary (€)'!B:F,COLUMN('Country Summary (€)'!C544)-1,FALSE)</f>
        <v>1</v>
      </c>
      <c r="AZ533" s="1194" t="str">
        <f>IF(AND(AD533=1,D533="Military",H533&lt;&gt;"Not given")=TRUE,IF(SUMIFS(P:P,A:A,A533)&gt;0,ABS((SUMIFS(P:P,A:A,A533)/VLOOKUP("USD",'Exchange Rates'!B:C,2,0)))/S533,"."),".")</f>
        <v>.</v>
      </c>
      <c r="BA533" s="1196" t="str">
        <f>IF(AND(AD533=1,D533="Military",H533&lt;&gt;"Not given")=TRUE,IF(SUMIFS(P:P,A:A,A533)&gt;0,IF((ABS((SUMIFS(P:P,A:A,A533)/VLOOKUP("USD",'Exchange Rates'!B:C,2,0)))/S533)&gt;1,(SUMIFS(P:P,A:A,A533)-S533)/S533,(S533-SUMIFS(P:P,A:A,A533))/SUMIFS(P:P,A:A,A533)),"."),".")</f>
        <v>.</v>
      </c>
      <c r="BB533" s="1180"/>
      <c r="BC533" s="1180"/>
      <c r="BD533" s="1180"/>
      <c r="BE533" s="1180"/>
      <c r="BF533" s="1180"/>
      <c r="BG533" s="1180"/>
      <c r="BH533" s="1180"/>
      <c r="BI533" s="1180"/>
      <c r="BJ533" s="1180"/>
      <c r="BK533" s="1180"/>
      <c r="BL533" s="1180"/>
      <c r="BM533" s="1180"/>
      <c r="BN533" s="1180"/>
      <c r="BO533" s="1180"/>
      <c r="BP533" s="1180"/>
      <c r="BQ533" s="1180"/>
      <c r="BR533" s="1180"/>
      <c r="BS533" s="1180"/>
      <c r="BT533" s="1180"/>
    </row>
    <row r="534" spans="1:72" ht="15.95" customHeight="1">
      <c r="A534" s="1180" t="s">
        <v>1796</v>
      </c>
      <c r="B534" s="1180" t="s">
        <v>1711</v>
      </c>
      <c r="C534" s="1181" t="s">
        <v>1797</v>
      </c>
      <c r="D534" s="1182" t="s">
        <v>389</v>
      </c>
      <c r="E534" s="1182" t="s">
        <v>1676</v>
      </c>
      <c r="F534" s="1263" t="s">
        <v>1798</v>
      </c>
      <c r="G534" s="1184" t="s">
        <v>483</v>
      </c>
      <c r="H534" s="1185">
        <v>1630000000</v>
      </c>
      <c r="I534" s="1180" t="s">
        <v>364</v>
      </c>
      <c r="J534" s="1186" t="str">
        <f>VLOOKUP($I534,'Price List, Weapons &amp; Items'!B:C,2,0)</f>
        <v>.</v>
      </c>
      <c r="K534" s="1186" t="str">
        <f>IF(I534=".",I534,VLOOKUP($I534,'Price List, Weapons &amp; Items'!B:D,3,0))</f>
        <v>.</v>
      </c>
      <c r="L534" s="1187">
        <f>VLOOKUP(I534,'Price List, Weapons &amp; Items'!B:E,4,0)</f>
        <v>0</v>
      </c>
      <c r="M534" s="1188" t="s">
        <v>364</v>
      </c>
      <c r="N534" s="1188" t="s">
        <v>364</v>
      </c>
      <c r="O534" s="1188" t="str">
        <f>VLOOKUP($I534,'Price List, Weapons &amp; Items'!B:G,6,0)</f>
        <v>.</v>
      </c>
      <c r="P534" s="1185" t="str">
        <f t="shared" si="119"/>
        <v>.</v>
      </c>
      <c r="Q534" s="1185" t="str">
        <f t="shared" si="120"/>
        <v>.</v>
      </c>
      <c r="R534" s="1185">
        <f t="shared" si="116"/>
        <v>1630000000</v>
      </c>
      <c r="S534" s="1185">
        <f>IF(AND(AD534=1,R534&lt;&gt;".")=TRUE,R534/VLOOKUP(G534,'Exchange Rates'!B:C,2,0),IF(R534=".",".",""))</f>
        <v>1630000000</v>
      </c>
      <c r="T534" s="1185" t="str">
        <f>IF(AD534=1,IF(AF534="Value is not given at all",".",IF(AF534="Value is given by the source",S534,IF(AF534="Value is calculated with prices",(IF(SUMIFS(Q:Q,A:A,A534)&gt;0,SUMIFS(Q:Q,A:A,A534),"."))/VLOOKUP("USD",'Exchange Rates'!B:C,2,0),"Error with coding"))),"")</f>
        <v>.</v>
      </c>
      <c r="U534" s="1184" t="s">
        <v>365</v>
      </c>
      <c r="V534" s="972" t="s">
        <v>1799</v>
      </c>
      <c r="W534" s="972" t="s">
        <v>1280</v>
      </c>
      <c r="X534" s="972" t="s">
        <v>1800</v>
      </c>
      <c r="Y534" s="972" t="s">
        <v>1801</v>
      </c>
      <c r="Z534" s="1184">
        <v>0</v>
      </c>
      <c r="AA534" s="1194">
        <v>1</v>
      </c>
      <c r="AB534" s="1032" t="s">
        <v>1802</v>
      </c>
      <c r="AC534" s="1192" t="str">
        <f>""</f>
        <v/>
      </c>
      <c r="AD534" s="1194">
        <v>1</v>
      </c>
      <c r="AE534" s="1194" t="s">
        <v>368</v>
      </c>
      <c r="AF534" s="1194" t="s">
        <v>369</v>
      </c>
      <c r="AG534" s="1194">
        <v>1</v>
      </c>
      <c r="AH534" s="1194">
        <v>6</v>
      </c>
      <c r="AI534" s="1194">
        <v>0</v>
      </c>
      <c r="AJ534" s="1193">
        <f>VLOOKUP($I534,'Price List, Weapons &amp; Items'!B:F,5,0)</f>
        <v>0</v>
      </c>
      <c r="AK534" s="1193">
        <f t="shared" si="121"/>
        <v>0</v>
      </c>
      <c r="AL534" s="1193">
        <f t="shared" si="122"/>
        <v>0</v>
      </c>
      <c r="AM534" s="1193">
        <f t="shared" si="123"/>
        <v>0</v>
      </c>
      <c r="AN534" s="1194" t="str">
        <f>VLOOKUP($I534,'Price List, Weapons &amp; Items'!B:L,COLUMN('Price List, Weapons &amp; Items'!$J$11)-1,0)</f>
        <v>.</v>
      </c>
      <c r="AO534" s="1194" t="str">
        <f>IF(I534=".",".",VLOOKUP($I534,'Price List, Weapons &amp; Items'!B:J,3,0))</f>
        <v>.</v>
      </c>
      <c r="AP534" s="1195" t="str">
        <f t="shared" ca="1" si="117"/>
        <v>.</v>
      </c>
      <c r="AQ534" s="1194">
        <f>VLOOKUP($I534,'Price List, Weapons &amp; Items'!B:L,COLUMN('Price List, Weapons &amp; Items'!$L$11)-1,0)</f>
        <v>0</v>
      </c>
      <c r="AR534" s="1194">
        <f t="shared" si="124"/>
        <v>1</v>
      </c>
      <c r="AS534" s="1194">
        <f t="shared" si="125"/>
        <v>1</v>
      </c>
      <c r="AT534" s="1194" t="str">
        <f t="shared" si="126"/>
        <v>Value is not in date format</v>
      </c>
      <c r="AU534" s="1194" t="str">
        <f t="shared" si="127"/>
        <v>.</v>
      </c>
      <c r="AV534" s="1194" t="str">
        <f t="shared" si="118"/>
        <v>.</v>
      </c>
      <c r="AW534" s="1194" t="str">
        <f t="shared" si="128"/>
        <v>.</v>
      </c>
      <c r="AX534" s="1194">
        <f>IFERROR(VLOOKUP(B534,'Share, Heavy Weapons to Ukraine'!B:Z,COLUMN('Share, Heavy Weapons to Ukraine'!C544)-1,0),0)</f>
        <v>0</v>
      </c>
      <c r="AY534" s="1194">
        <f>VLOOKUP('Bilateral Assistance, MAIN DATA'!B534,'Country Summary (€)'!B:F,COLUMN('Country Summary (€)'!C545)-1,FALSE)</f>
        <v>1</v>
      </c>
      <c r="AZ534" s="1194">
        <f>IF(AND(AD534=1,D534="Military",H534&lt;&gt;"Not given")=TRUE,IF(SUMIFS(P:P,A:A,A534)&gt;0,ABS((SUMIFS(P:P,A:A,A534)/VLOOKUP("USD",'Exchange Rates'!B:C,2,0)))/S534,"."),".")</f>
        <v>2.6040961515701357</v>
      </c>
      <c r="BA534" s="1196">
        <f>IF(AND(AD534=1,D534="Military",H534&lt;&gt;"Not given")=TRUE,IF(SUMIFS(P:P,A:A,A534)&gt;0,IF((ABS((SUMIFS(P:P,A:A,A534)/VLOOKUP("USD",'Exchange Rates'!B:C,2,0)))/S534)&gt;1,(SUMIFS(P:P,A:A,A534)-S534)/S534,(S534-SUMIFS(P:P,A:A,A534))/SUMIFS(P:P,A:A,A534)),"."),".")</f>
        <v>1.8301316975264232</v>
      </c>
    </row>
    <row r="535" spans="1:72" ht="15.95" customHeight="1">
      <c r="A535" s="1182" t="s">
        <v>1796</v>
      </c>
      <c r="B535" s="1182" t="s">
        <v>1711</v>
      </c>
      <c r="C535" s="1181" t="s">
        <v>1797</v>
      </c>
      <c r="D535" s="1182" t="s">
        <v>389</v>
      </c>
      <c r="E535" s="1182" t="s">
        <v>1676</v>
      </c>
      <c r="F535" s="1263" t="s">
        <v>1798</v>
      </c>
      <c r="G535" s="1184" t="s">
        <v>483</v>
      </c>
      <c r="H535" s="1185">
        <v>1880000000</v>
      </c>
      <c r="I535" s="1266" t="s">
        <v>364</v>
      </c>
      <c r="J535" s="1186" t="str">
        <f>VLOOKUP($I535,'Price List, Weapons &amp; Items'!B:C,2,0)</f>
        <v>.</v>
      </c>
      <c r="K535" s="1186" t="str">
        <f>IF(I535=".",I535,VLOOKUP($I535,'Price List, Weapons &amp; Items'!B:D,3,0))</f>
        <v>.</v>
      </c>
      <c r="L535" s="1187">
        <f>VLOOKUP(I535,'Price List, Weapons &amp; Items'!B:E,4,0)</f>
        <v>0</v>
      </c>
      <c r="M535" s="1188" t="s">
        <v>364</v>
      </c>
      <c r="N535" s="1188" t="s">
        <v>364</v>
      </c>
      <c r="O535" s="1188" t="str">
        <f>VLOOKUP($I535,'Price List, Weapons &amp; Items'!B:G,6,0)</f>
        <v>.</v>
      </c>
      <c r="P535" s="1185" t="str">
        <f t="shared" si="119"/>
        <v>.</v>
      </c>
      <c r="Q535" s="1185" t="str">
        <f t="shared" si="120"/>
        <v>.</v>
      </c>
      <c r="R535" s="1185">
        <f t="shared" si="116"/>
        <v>1880000000</v>
      </c>
      <c r="S535" s="1185">
        <f>IF(AND(AD535=1,R535&lt;&gt;".")=TRUE,R535/VLOOKUP(G535,'Exchange Rates'!B:C,2,0),IF(R535=".",".",""))</f>
        <v>1880000000</v>
      </c>
      <c r="T535" s="1185" t="str">
        <f>IF(AD535=1,IF(AF535="Value is not given at all",".",IF(AF535="Value is given by the source",S535,IF(AF535="Value is calculated with prices",(IF(SUMIFS(Q:Q,A:A,A535)&gt;0,SUMIFS(Q:Q,A:A,A535),"."))/VLOOKUP("USD",'Exchange Rates'!B:C,2,0),"Error with coding"))),"")</f>
        <v>.</v>
      </c>
      <c r="U535" s="1184" t="s">
        <v>365</v>
      </c>
      <c r="V535" s="972" t="s">
        <v>1799</v>
      </c>
      <c r="W535" s="972" t="s">
        <v>1280</v>
      </c>
      <c r="X535" s="972" t="s">
        <v>364</v>
      </c>
      <c r="Y535" s="972" t="s">
        <v>364</v>
      </c>
      <c r="Z535" s="1184">
        <v>0</v>
      </c>
      <c r="AA535" s="1194">
        <v>0</v>
      </c>
      <c r="AB535" s="1032" t="s">
        <v>1803</v>
      </c>
      <c r="AC535" s="1192" t="str">
        <f>""</f>
        <v/>
      </c>
      <c r="AD535" s="985">
        <v>1</v>
      </c>
      <c r="AE535" s="1194" t="s">
        <v>368</v>
      </c>
      <c r="AF535" s="985" t="s">
        <v>369</v>
      </c>
      <c r="AG535" s="985">
        <v>1</v>
      </c>
      <c r="AH535" s="985">
        <v>13</v>
      </c>
      <c r="AI535" s="985">
        <v>0</v>
      </c>
      <c r="AJ535" s="1193">
        <f>VLOOKUP($I535,'Price List, Weapons &amp; Items'!B:F,5,0)</f>
        <v>0</v>
      </c>
      <c r="AK535" s="1193">
        <f t="shared" si="121"/>
        <v>0</v>
      </c>
      <c r="AL535" s="1193">
        <f t="shared" si="122"/>
        <v>0</v>
      </c>
      <c r="AM535" s="1193">
        <f t="shared" si="123"/>
        <v>0</v>
      </c>
      <c r="AN535" s="1194" t="str">
        <f>VLOOKUP($I535,'Price List, Weapons &amp; Items'!B:L,COLUMN('Price List, Weapons &amp; Items'!$J$11)-1,0)</f>
        <v>.</v>
      </c>
      <c r="AO535" s="1194" t="str">
        <f>IF(I535=".",".",VLOOKUP($I535,'Price List, Weapons &amp; Items'!B:J,3,0))</f>
        <v>.</v>
      </c>
      <c r="AP535" s="1195" t="str">
        <f t="shared" ca="1" si="117"/>
        <v>.</v>
      </c>
      <c r="AQ535" s="1194">
        <f>VLOOKUP($I535,'Price List, Weapons &amp; Items'!B:L,COLUMN('Price List, Weapons &amp; Items'!$L$11)-1,0)</f>
        <v>0</v>
      </c>
      <c r="AR535" s="1194">
        <f t="shared" si="124"/>
        <v>1</v>
      </c>
      <c r="AS535" s="1194">
        <f t="shared" si="125"/>
        <v>1</v>
      </c>
      <c r="AT535" s="1194" t="str">
        <f t="shared" si="126"/>
        <v>Value is not in date format</v>
      </c>
      <c r="AU535" s="1194" t="str">
        <f t="shared" si="127"/>
        <v>.</v>
      </c>
      <c r="AV535" s="1194" t="str">
        <f t="shared" si="118"/>
        <v>.</v>
      </c>
      <c r="AW535" s="1194" t="str">
        <f t="shared" si="128"/>
        <v>.</v>
      </c>
      <c r="AX535" s="1194">
        <f>IFERROR(VLOOKUP(B535,'Share, Heavy Weapons to Ukraine'!B:Z,COLUMN('Share, Heavy Weapons to Ukraine'!C545)-1,0),0)</f>
        <v>0</v>
      </c>
      <c r="AY535" s="1194">
        <f>VLOOKUP('Bilateral Assistance, MAIN DATA'!B535,'Country Summary (€)'!B:F,COLUMN('Country Summary (€)'!C546)-1,FALSE)</f>
        <v>1</v>
      </c>
      <c r="AZ535" s="1194">
        <f>IF(AND(AD535=1,D535="Military",H535&lt;&gt;"Not given")=TRUE,IF(SUMIFS(P:P,A:A,A535)&gt;0,ABS((SUMIFS(P:P,A:A,A535)/VLOOKUP("USD",'Exchange Rates'!B:C,2,0)))/S535,"."),".")</f>
        <v>2.2578067697124049</v>
      </c>
      <c r="BA535" s="1196">
        <f>IF(AND(AD535=1,D535="Military",H535&lt;&gt;"Not given")=TRUE,IF(SUMIFS(P:P,A:A,A535)&gt;0,IF((ABS((SUMIFS(P:P,A:A,A535)/VLOOKUP("USD",'Exchange Rates'!B:C,2,0)))/S535)&gt;1,(SUMIFS(P:P,A:A,A535)-S535)/S535,(S535-SUMIFS(P:P,A:A,A535))/SUMIFS(P:P,A:A,A535)),"."),".")</f>
        <v>1.4537843973234414</v>
      </c>
    </row>
    <row r="536" spans="1:72" ht="15.95" customHeight="1">
      <c r="A536" s="1182" t="s">
        <v>1796</v>
      </c>
      <c r="B536" s="1182" t="s">
        <v>1711</v>
      </c>
      <c r="C536" s="1275" t="s">
        <v>1788</v>
      </c>
      <c r="D536" s="1182" t="s">
        <v>389</v>
      </c>
      <c r="E536" s="1182" t="s">
        <v>1676</v>
      </c>
      <c r="F536" s="1263" t="s">
        <v>1804</v>
      </c>
      <c r="G536" s="1184" t="s">
        <v>483</v>
      </c>
      <c r="H536" s="1185">
        <v>3240000000</v>
      </c>
      <c r="I536" s="1266" t="s">
        <v>364</v>
      </c>
      <c r="J536" s="1186" t="str">
        <f>VLOOKUP($I536,'Price List, Weapons &amp; Items'!B:C,2,0)</f>
        <v>.</v>
      </c>
      <c r="K536" s="1186" t="str">
        <f>IF(I536=".",I536,VLOOKUP($I536,'Price List, Weapons &amp; Items'!B:D,3,0))</f>
        <v>.</v>
      </c>
      <c r="L536" s="1187">
        <f>VLOOKUP(I536,'Price List, Weapons &amp; Items'!B:E,4,0)</f>
        <v>0</v>
      </c>
      <c r="M536" s="1188" t="s">
        <v>364</v>
      </c>
      <c r="N536" s="1275" t="s">
        <v>364</v>
      </c>
      <c r="O536" s="1188" t="str">
        <f>VLOOKUP($I536,'Price List, Weapons &amp; Items'!B:G,6,0)</f>
        <v>.</v>
      </c>
      <c r="P536" s="1185" t="str">
        <f t="shared" si="119"/>
        <v>.</v>
      </c>
      <c r="Q536" s="1185" t="str">
        <f t="shared" si="120"/>
        <v>.</v>
      </c>
      <c r="R536" s="1185">
        <f t="shared" si="116"/>
        <v>3240000000</v>
      </c>
      <c r="S536" s="1185">
        <f>IF(AND(AD536=1,R536&lt;&gt;".")=TRUE,R536/VLOOKUP(G536,'Exchange Rates'!B:C,2,0),IF(R536=".",".",""))</f>
        <v>3240000000</v>
      </c>
      <c r="T536" s="1185">
        <f>IF(AD536=1,IF(AF536="Value is not given at all",".",IF(AF536="Value is given by the source",S536,IF(AF536="Value is calculated with prices",(IF(SUMIFS(Q:Q,A:A,A536)&gt;0,SUMIFS(Q:Q,A:A,A536),"."))/VLOOKUP("USD",'Exchange Rates'!B:C,2,0),"Error with coding"))),"")</f>
        <v>760422796.78116</v>
      </c>
      <c r="U536" s="1184" t="s">
        <v>365</v>
      </c>
      <c r="V536" s="972" t="s">
        <v>1801</v>
      </c>
      <c r="W536" s="972" t="s">
        <v>1782</v>
      </c>
      <c r="X536" s="972" t="s">
        <v>1805</v>
      </c>
      <c r="Y536" s="972" t="s">
        <v>364</v>
      </c>
      <c r="Z536" s="1184">
        <v>0</v>
      </c>
      <c r="AA536" s="1184">
        <v>1</v>
      </c>
      <c r="AB536" s="964" t="s">
        <v>1280</v>
      </c>
      <c r="AC536" s="1192" t="str">
        <f>""</f>
        <v/>
      </c>
      <c r="AD536" s="1184">
        <v>1</v>
      </c>
      <c r="AE536" s="1184" t="s">
        <v>368</v>
      </c>
      <c r="AF536" s="985" t="s">
        <v>436</v>
      </c>
      <c r="AG536" s="1184">
        <v>1</v>
      </c>
      <c r="AH536" s="1184">
        <v>16</v>
      </c>
      <c r="AI536" s="1184">
        <v>0</v>
      </c>
      <c r="AJ536" s="1193">
        <f>VLOOKUP($I536,'Price List, Weapons &amp; Items'!B:F,5,0)</f>
        <v>0</v>
      </c>
      <c r="AK536" s="1193">
        <f t="shared" si="121"/>
        <v>0</v>
      </c>
      <c r="AL536" s="1193">
        <f t="shared" si="122"/>
        <v>0</v>
      </c>
      <c r="AM536" s="1193">
        <f t="shared" si="123"/>
        <v>0</v>
      </c>
      <c r="AN536" s="1194" t="str">
        <f>VLOOKUP($I536,'Price List, Weapons &amp; Items'!B:L,COLUMN('Price List, Weapons &amp; Items'!$J$11)-1,0)</f>
        <v>.</v>
      </c>
      <c r="AO536" s="1194" t="str">
        <f>IF(I536=".",".",VLOOKUP($I536,'Price List, Weapons &amp; Items'!B:J,3,0))</f>
        <v>.</v>
      </c>
      <c r="AP536" s="1195" t="str">
        <f t="shared" ca="1" si="117"/>
        <v>.</v>
      </c>
      <c r="AQ536" s="1194">
        <f>VLOOKUP($I536,'Price List, Weapons &amp; Items'!B:L,COLUMN('Price List, Weapons &amp; Items'!$L$11)-1,0)</f>
        <v>0</v>
      </c>
      <c r="AR536" s="1194">
        <f t="shared" si="124"/>
        <v>1</v>
      </c>
      <c r="AS536" s="1194">
        <f t="shared" si="125"/>
        <v>1</v>
      </c>
      <c r="AT536" s="1194" t="str">
        <f t="shared" si="126"/>
        <v>Value is not in date format</v>
      </c>
      <c r="AU536" s="1194" t="str">
        <f t="shared" si="127"/>
        <v>.</v>
      </c>
      <c r="AV536" s="1194" t="str">
        <f t="shared" si="118"/>
        <v>.</v>
      </c>
      <c r="AW536" s="1194" t="str">
        <f t="shared" si="128"/>
        <v>.</v>
      </c>
      <c r="AX536" s="1194">
        <f>IFERROR(VLOOKUP(B536,'Share, Heavy Weapons to Ukraine'!B:Z,COLUMN('Share, Heavy Weapons to Ukraine'!C546)-1,0),0)</f>
        <v>0</v>
      </c>
      <c r="AY536" s="1194">
        <f>VLOOKUP('Bilateral Assistance, MAIN DATA'!B536,'Country Summary (€)'!B:F,COLUMN('Country Summary (€)'!C547)-1,FALSE)</f>
        <v>1</v>
      </c>
      <c r="AZ536" s="1194">
        <f>IF(AND(AD536=1,D536="Military",H536&lt;&gt;"Not given")=TRUE,IF(SUMIFS(P:P,A:A,A536)&gt;0,ABS((SUMIFS(P:P,A:A,A536)/VLOOKUP("USD",'Exchange Rates'!B:C,2,0)))/S536,"."),".")</f>
        <v>1.3100854095862102</v>
      </c>
      <c r="BA536" s="1196">
        <f>IF(AND(AD536=1,D536="Military",H536&lt;&gt;"Not given")=TRUE,IF(SUMIFS(P:P,A:A,A536)&gt;0,IF((ABS((SUMIFS(P:P,A:A,A536)/VLOOKUP("USD",'Exchange Rates'!B:C,2,0)))/S536)&gt;1,(SUMIFS(P:P,A:A,A536)-S536)/S536,(S536-SUMIFS(P:P,A:A,A536))/SUMIFS(P:P,A:A,A536)),"."),".")</f>
        <v>0.4238008231382932</v>
      </c>
      <c r="BB536" s="1180"/>
      <c r="BC536" s="1180"/>
      <c r="BD536" s="1180"/>
      <c r="BE536" s="1180"/>
      <c r="BF536" s="1180"/>
      <c r="BG536" s="1180"/>
      <c r="BH536" s="1180"/>
      <c r="BI536" s="1180"/>
      <c r="BJ536" s="1180"/>
      <c r="BK536" s="1180"/>
      <c r="BL536" s="1180"/>
      <c r="BM536" s="1180"/>
      <c r="BN536" s="1180"/>
      <c r="BO536" s="1180"/>
      <c r="BP536" s="1180"/>
      <c r="BQ536" s="1180"/>
      <c r="BR536" s="1180"/>
      <c r="BS536" s="1180"/>
      <c r="BT536" s="1180"/>
    </row>
    <row r="537" spans="1:72" ht="15.95" customHeight="1">
      <c r="A537" s="1182" t="s">
        <v>1796</v>
      </c>
      <c r="B537" s="1182" t="s">
        <v>1711</v>
      </c>
      <c r="C537" s="1181" t="s">
        <v>1797</v>
      </c>
      <c r="D537" s="1182" t="s">
        <v>389</v>
      </c>
      <c r="E537" s="1182" t="s">
        <v>1676</v>
      </c>
      <c r="F537" s="1263" t="s">
        <v>1806</v>
      </c>
      <c r="G537" s="1184" t="s">
        <v>483</v>
      </c>
      <c r="H537" s="1185">
        <v>6750000000</v>
      </c>
      <c r="I537" s="1266" t="s">
        <v>1807</v>
      </c>
      <c r="J537" s="1186" t="str">
        <f>VLOOKUP($I537,'Price List, Weapons &amp; Items'!B:C,2,0)</f>
        <v>Military equipment</v>
      </c>
      <c r="K537" s="1186" t="str">
        <f>IF(I537=".",I537,VLOOKUP($I537,'Price List, Weapons &amp; Items'!B:D,3,0))</f>
        <v>Military equipment</v>
      </c>
      <c r="L537" s="1187">
        <f>VLOOKUP(I537,'Price List, Weapons &amp; Items'!B:E,4,0)</f>
        <v>0</v>
      </c>
      <c r="M537" s="1188">
        <v>10</v>
      </c>
      <c r="N537" s="1188">
        <v>10</v>
      </c>
      <c r="O537" s="1188">
        <f>VLOOKUP($I537,'Price List, Weapons &amp; Items'!B:G,6,0)</f>
        <v>1334</v>
      </c>
      <c r="P537" s="1185">
        <f t="shared" si="119"/>
        <v>13340</v>
      </c>
      <c r="Q537" s="1185">
        <f t="shared" si="120"/>
        <v>13340</v>
      </c>
      <c r="R537" s="1185" t="str">
        <f t="shared" si="116"/>
        <v/>
      </c>
      <c r="S537" s="1185" t="str">
        <f>IF(AND(AD537=1,R537&lt;&gt;".")=TRUE,R537/VLOOKUP(G537,'Exchange Rates'!B:C,2,0),IF(R537=".",".",""))</f>
        <v/>
      </c>
      <c r="T537" s="1185" t="str">
        <f>IF(AD537=1,IF(AF537="Value is not given at all",".",IF(AF537="Value is given by the source",S537,IF(AF537="Value is calculated with prices",(IF(SUMIFS(Q:Q,A:A,A537)&gt;0,SUMIFS(Q:Q,A:A,A537),"."))/VLOOKUP("USD",'Exchange Rates'!B:C,2,0),"Error with coding"))),"")</f>
        <v/>
      </c>
      <c r="U537" s="1184" t="s">
        <v>365</v>
      </c>
      <c r="V537" s="972" t="s">
        <v>1782</v>
      </c>
      <c r="W537" s="972" t="s">
        <v>1280</v>
      </c>
      <c r="X537" s="972" t="s">
        <v>364</v>
      </c>
      <c r="Y537" s="972" t="s">
        <v>364</v>
      </c>
      <c r="Z537" s="1184">
        <v>0</v>
      </c>
      <c r="AA537" s="1194">
        <v>0</v>
      </c>
      <c r="AB537" s="1360" t="s">
        <v>1280</v>
      </c>
      <c r="AC537" s="1192" t="str">
        <f>""</f>
        <v/>
      </c>
      <c r="AD537" s="985">
        <v>0</v>
      </c>
      <c r="AE537" s="985" t="s">
        <v>368</v>
      </c>
      <c r="AF537" s="985" t="s">
        <v>436</v>
      </c>
      <c r="AG537" s="985">
        <v>0</v>
      </c>
      <c r="AH537" s="985">
        <v>0</v>
      </c>
      <c r="AI537" s="985">
        <v>0</v>
      </c>
      <c r="AJ537" s="1193">
        <f>VLOOKUP($I537,'Price List, Weapons &amp; Items'!B:F,5,0)</f>
        <v>0</v>
      </c>
      <c r="AK537" s="1193">
        <f t="shared" si="121"/>
        <v>0</v>
      </c>
      <c r="AL537" s="1193">
        <f t="shared" si="122"/>
        <v>0</v>
      </c>
      <c r="AM537" s="1193">
        <f t="shared" si="123"/>
        <v>0</v>
      </c>
      <c r="AN537" s="1194" t="str">
        <f>VLOOKUP($I537,'Price List, Weapons &amp; Items'!B:L,COLUMN('Price List, Weapons &amp; Items'!$J$11)-1,0)</f>
        <v>Online marketplaces and stores</v>
      </c>
      <c r="AO537" s="1194" t="str">
        <f>IF(I537=".",".",VLOOKUP($I537,'Price List, Weapons &amp; Items'!B:J,3,0))</f>
        <v>Military equipment</v>
      </c>
      <c r="AP537" s="1195" t="str">
        <f t="shared" ca="1" si="117"/>
        <v/>
      </c>
      <c r="AQ537" s="1194">
        <f>VLOOKUP($I537,'Price List, Weapons &amp; Items'!B:L,COLUMN('Price List, Weapons &amp; Items'!$L$11)-1,0)</f>
        <v>1</v>
      </c>
      <c r="AR537" s="1194">
        <f t="shared" si="124"/>
        <v>1</v>
      </c>
      <c r="AS537" s="1194">
        <f t="shared" si="125"/>
        <v>1</v>
      </c>
      <c r="AT537" s="1194" t="str">
        <f t="shared" si="126"/>
        <v>Value is not in date format</v>
      </c>
      <c r="AU537" s="1194" t="str">
        <f t="shared" si="127"/>
        <v>.</v>
      </c>
      <c r="AV537" s="1194" t="str">
        <f t="shared" si="118"/>
        <v>.</v>
      </c>
      <c r="AW537" s="1194" t="str">
        <f t="shared" si="128"/>
        <v>.</v>
      </c>
      <c r="AX537" s="1194">
        <f>IFERROR(VLOOKUP(B537,'Share, Heavy Weapons to Ukraine'!B:Z,COLUMN('Share, Heavy Weapons to Ukraine'!C547)-1,0),0)</f>
        <v>0</v>
      </c>
      <c r="AY537" s="1194">
        <f>VLOOKUP('Bilateral Assistance, MAIN DATA'!B537,'Country Summary (€)'!B:F,COLUMN('Country Summary (€)'!C548)-1,FALSE)</f>
        <v>1</v>
      </c>
      <c r="AZ537" s="1194" t="str">
        <f>IF(AND(AD537=1,D537="Military",H537&lt;&gt;"Not given")=TRUE,IF(SUMIFS(P:P,A:A,A537)&gt;0,ABS((SUMIFS(P:P,A:A,A537)/VLOOKUP("USD",'Exchange Rates'!B:C,2,0)))/S537,"."),".")</f>
        <v>.</v>
      </c>
      <c r="BA537" s="1196" t="str">
        <f>IF(AND(AD537=1,D537="Military",H537&lt;&gt;"Not given")=TRUE,IF(SUMIFS(P:P,A:A,A537)&gt;0,IF((ABS((SUMIFS(P:P,A:A,A537)/VLOOKUP("USD",'Exchange Rates'!B:C,2,0)))/S537)&gt;1,(SUMIFS(P:P,A:A,A537)-S537)/S537,(S537-SUMIFS(P:P,A:A,A537))/SUMIFS(P:P,A:A,A537)),"."),".")</f>
        <v>.</v>
      </c>
    </row>
    <row r="538" spans="1:72" ht="15.95" customHeight="1">
      <c r="A538" s="1182" t="s">
        <v>1796</v>
      </c>
      <c r="B538" s="1182" t="s">
        <v>1711</v>
      </c>
      <c r="C538" s="1181" t="s">
        <v>1797</v>
      </c>
      <c r="D538" s="1182" t="s">
        <v>389</v>
      </c>
      <c r="E538" s="1182" t="s">
        <v>1676</v>
      </c>
      <c r="F538" s="1263" t="s">
        <v>1806</v>
      </c>
      <c r="G538" s="1184" t="s">
        <v>483</v>
      </c>
      <c r="H538" s="1185">
        <v>6750000000</v>
      </c>
      <c r="I538" s="1266" t="s">
        <v>634</v>
      </c>
      <c r="J538" s="1186" t="str">
        <f>VLOOKUP($I538,'Price List, Weapons &amp; Items'!B:C,2,0)</f>
        <v>Humanitarian</v>
      </c>
      <c r="K538" s="1186" t="str">
        <f>IF(I538=".",I538,VLOOKUP($I538,'Price List, Weapons &amp; Items'!B:D,3,0))</f>
        <v>Humanitarian</v>
      </c>
      <c r="L538" s="1187">
        <f>VLOOKUP(I538,'Price List, Weapons &amp; Items'!B:E,4,0)</f>
        <v>0</v>
      </c>
      <c r="M538" s="1188">
        <v>49</v>
      </c>
      <c r="N538" s="1188">
        <v>36</v>
      </c>
      <c r="O538" s="1188">
        <f>VLOOKUP($I538,'Price List, Weapons &amp; Items'!B:G,6,0)</f>
        <v>220000</v>
      </c>
      <c r="P538" s="1185">
        <f t="shared" si="119"/>
        <v>10780000</v>
      </c>
      <c r="Q538" s="1185">
        <f t="shared" si="120"/>
        <v>7920000</v>
      </c>
      <c r="R538" s="1185" t="str">
        <f t="shared" si="116"/>
        <v/>
      </c>
      <c r="S538" s="1185" t="str">
        <f>IF(AND(AD538=1,R538&lt;&gt;".")=TRUE,R538/VLOOKUP(G538,'Exchange Rates'!B:C,2,0),IF(R538=".",".",""))</f>
        <v/>
      </c>
      <c r="T538" s="1185" t="str">
        <f>IF(AD538=1,IF(AF538="Value is not given at all",".",IF(AF538="Value is given by the source",S538,IF(AF538="Value is calculated with prices",(IF(SUMIFS(Q:Q,A:A,A538)&gt;0,SUMIFS(Q:Q,A:A,A538),"."))/VLOOKUP("USD",'Exchange Rates'!B:C,2,0),"Error with coding"))),"")</f>
        <v/>
      </c>
      <c r="U538" s="1184" t="s">
        <v>365</v>
      </c>
      <c r="V538" s="972" t="s">
        <v>1782</v>
      </c>
      <c r="W538" s="972" t="s">
        <v>1280</v>
      </c>
      <c r="X538" s="972" t="s">
        <v>364</v>
      </c>
      <c r="Y538" s="972" t="s">
        <v>364</v>
      </c>
      <c r="Z538" s="1184">
        <v>0</v>
      </c>
      <c r="AA538" s="1194">
        <v>1</v>
      </c>
      <c r="AB538" s="1360" t="s">
        <v>1280</v>
      </c>
      <c r="AC538" s="1192" t="str">
        <f>""</f>
        <v/>
      </c>
      <c r="AD538" s="985">
        <v>0</v>
      </c>
      <c r="AE538" s="1194" t="s">
        <v>368</v>
      </c>
      <c r="AF538" s="985" t="s">
        <v>369</v>
      </c>
      <c r="AG538" s="985">
        <v>0</v>
      </c>
      <c r="AH538" s="985">
        <v>0</v>
      </c>
      <c r="AI538" s="985">
        <v>0</v>
      </c>
      <c r="AJ538" s="1193">
        <f>VLOOKUP($I538,'Price List, Weapons &amp; Items'!B:F,5,0)</f>
        <v>0</v>
      </c>
      <c r="AK538" s="1193">
        <f t="shared" si="121"/>
        <v>0</v>
      </c>
      <c r="AL538" s="1193">
        <f t="shared" si="122"/>
        <v>0</v>
      </c>
      <c r="AM538" s="1193">
        <f t="shared" si="123"/>
        <v>0</v>
      </c>
      <c r="AN538" s="1194" t="str">
        <f>VLOOKUP($I538,'Price List, Weapons &amp; Items'!B:L,COLUMN('Price List, Weapons &amp; Items'!$J$11)-1,0)</f>
        <v>Miscellaneous</v>
      </c>
      <c r="AO538" s="1194" t="str">
        <f>IF(I538=".",".",VLOOKUP($I538,'Price List, Weapons &amp; Items'!B:J,3,0))</f>
        <v>Humanitarian</v>
      </c>
      <c r="AP538" s="1195" t="str">
        <f t="shared" ca="1" si="117"/>
        <v/>
      </c>
      <c r="AQ538" s="1194">
        <f>VLOOKUP($I538,'Price List, Weapons &amp; Items'!B:L,COLUMN('Price List, Weapons &amp; Items'!$L$11)-1,0)</f>
        <v>0</v>
      </c>
      <c r="AR538" s="1194">
        <f t="shared" si="124"/>
        <v>1</v>
      </c>
      <c r="AS538" s="1194">
        <f t="shared" si="125"/>
        <v>1</v>
      </c>
      <c r="AT538" s="1194" t="str">
        <f t="shared" si="126"/>
        <v>Value is not in date format</v>
      </c>
      <c r="AU538" s="1194" t="str">
        <f t="shared" si="127"/>
        <v>.</v>
      </c>
      <c r="AV538" s="1194" t="str">
        <f t="shared" si="118"/>
        <v>.</v>
      </c>
      <c r="AW538" s="1194" t="str">
        <f t="shared" si="128"/>
        <v>.</v>
      </c>
      <c r="AX538" s="1194">
        <f>IFERROR(VLOOKUP(B538,'Share, Heavy Weapons to Ukraine'!B:Z,COLUMN('Share, Heavy Weapons to Ukraine'!C548)-1,0),0)</f>
        <v>0</v>
      </c>
      <c r="AY538" s="1194">
        <f>VLOOKUP('Bilateral Assistance, MAIN DATA'!B538,'Country Summary (€)'!B:F,COLUMN('Country Summary (€)'!C549)-1,FALSE)</f>
        <v>1</v>
      </c>
      <c r="AZ538" s="1194" t="str">
        <f>IF(AND(AD538=1,D538="Military",H538&lt;&gt;"Not given")=TRUE,IF(SUMIFS(P:P,A:A,A538)&gt;0,ABS((SUMIFS(P:P,A:A,A538)/VLOOKUP("USD",'Exchange Rates'!B:C,2,0)))/S538,"."),".")</f>
        <v>.</v>
      </c>
      <c r="BA538" s="1196" t="str">
        <f>IF(AND(AD538=1,D538="Military",H538&lt;&gt;"Not given")=TRUE,IF(SUMIFS(P:P,A:A,A538)&gt;0,IF((ABS((SUMIFS(P:P,A:A,A538)/VLOOKUP("USD",'Exchange Rates'!B:C,2,0)))/S538)&gt;1,(SUMIFS(P:P,A:A,A538)-S538)/S538,(S538-SUMIFS(P:P,A:A,A538))/SUMIFS(P:P,A:A,A538)),"."),".")</f>
        <v>.</v>
      </c>
    </row>
    <row r="539" spans="1:72" ht="15.95" customHeight="1">
      <c r="A539" s="1182" t="s">
        <v>1796</v>
      </c>
      <c r="B539" s="1182" t="s">
        <v>1711</v>
      </c>
      <c r="C539" s="1181" t="s">
        <v>1797</v>
      </c>
      <c r="D539" s="1182" t="s">
        <v>389</v>
      </c>
      <c r="E539" s="1182" t="s">
        <v>1676</v>
      </c>
      <c r="F539" s="1263" t="s">
        <v>1806</v>
      </c>
      <c r="G539" s="1184" t="s">
        <v>483</v>
      </c>
      <c r="H539" s="1185">
        <v>6750000000</v>
      </c>
      <c r="I539" s="1266" t="s">
        <v>1808</v>
      </c>
      <c r="J539" s="1186" t="str">
        <f>VLOOKUP($I539,'Price List, Weapons &amp; Items'!B:C,2,0)</f>
        <v>Portable defence system</v>
      </c>
      <c r="K539" s="1186" t="str">
        <f>IF(I539=".",I539,VLOOKUP($I539,'Price List, Weapons &amp; Items'!B:D,3,0))</f>
        <v>Military equipment</v>
      </c>
      <c r="L539" s="1187">
        <f>VLOOKUP(I539,'Price List, Weapons &amp; Items'!B:E,4,0)</f>
        <v>0</v>
      </c>
      <c r="M539" s="1188">
        <v>10</v>
      </c>
      <c r="N539" s="1188">
        <v>10</v>
      </c>
      <c r="O539" s="1188">
        <f>VLOOKUP($I539,'Price List, Weapons &amp; Items'!B:G,6,0)</f>
        <v>12000</v>
      </c>
      <c r="P539" s="1185">
        <f t="shared" si="119"/>
        <v>120000</v>
      </c>
      <c r="Q539" s="1185">
        <f t="shared" si="120"/>
        <v>120000</v>
      </c>
      <c r="R539" s="1185" t="str">
        <f t="shared" si="116"/>
        <v/>
      </c>
      <c r="S539" s="1185" t="str">
        <f>IF(AND(AD539=1,R539&lt;&gt;".")=TRUE,R539/VLOOKUP(G539,'Exchange Rates'!B:C,2,0),IF(R539=".",".",""))</f>
        <v/>
      </c>
      <c r="T539" s="1185" t="str">
        <f>IF(AD539=1,IF(AF539="Value is not given at all",".",IF(AF539="Value is given by the source",S539,IF(AF539="Value is calculated with prices",(IF(SUMIFS(Q:Q,A:A,A539)&gt;0,SUMIFS(Q:Q,A:A,A539),"."))/VLOOKUP("USD",'Exchange Rates'!B:C,2,0),"Error with coding"))),"")</f>
        <v/>
      </c>
      <c r="U539" s="1184" t="s">
        <v>365</v>
      </c>
      <c r="V539" s="972" t="s">
        <v>1782</v>
      </c>
      <c r="W539" s="972" t="s">
        <v>1280</v>
      </c>
      <c r="X539" s="972" t="s">
        <v>364</v>
      </c>
      <c r="Y539" s="972" t="s">
        <v>364</v>
      </c>
      <c r="Z539" s="1184">
        <v>0</v>
      </c>
      <c r="AA539" s="1194">
        <v>0</v>
      </c>
      <c r="AB539" s="1360" t="s">
        <v>1280</v>
      </c>
      <c r="AC539" s="1192" t="str">
        <f>""</f>
        <v/>
      </c>
      <c r="AD539" s="985">
        <v>0</v>
      </c>
      <c r="AE539" s="1194" t="s">
        <v>368</v>
      </c>
      <c r="AF539" s="985" t="s">
        <v>369</v>
      </c>
      <c r="AG539" s="985">
        <v>0</v>
      </c>
      <c r="AH539" s="985">
        <v>0</v>
      </c>
      <c r="AI539" s="985">
        <v>0</v>
      </c>
      <c r="AJ539" s="1193">
        <f>VLOOKUP($I539,'Price List, Weapons &amp; Items'!B:F,5,0)</f>
        <v>0</v>
      </c>
      <c r="AK539" s="1193">
        <f t="shared" si="121"/>
        <v>0</v>
      </c>
      <c r="AL539" s="1193">
        <f t="shared" si="122"/>
        <v>0</v>
      </c>
      <c r="AM539" s="1193">
        <f t="shared" si="123"/>
        <v>0</v>
      </c>
      <c r="AN539" s="1194" t="str">
        <f>VLOOKUP($I539,'Price List, Weapons &amp; Items'!B:L,COLUMN('Price List, Weapons &amp; Items'!$J$11)-1,0)</f>
        <v>Media reports (incl. social media)</v>
      </c>
      <c r="AO539" s="1194" t="str">
        <f>IF(I539=".",".",VLOOKUP($I539,'Price List, Weapons &amp; Items'!B:J,3,0))</f>
        <v>Military equipment</v>
      </c>
      <c r="AP539" s="1195" t="str">
        <f t="shared" ca="1" si="117"/>
        <v/>
      </c>
      <c r="AQ539" s="1194">
        <f>VLOOKUP($I539,'Price List, Weapons &amp; Items'!B:L,COLUMN('Price List, Weapons &amp; Items'!$L$11)-1,0)</f>
        <v>1</v>
      </c>
      <c r="AR539" s="1194">
        <f t="shared" si="124"/>
        <v>1</v>
      </c>
      <c r="AS539" s="1194">
        <f t="shared" si="125"/>
        <v>1</v>
      </c>
      <c r="AT539" s="1194" t="str">
        <f t="shared" si="126"/>
        <v>Value is not in date format</v>
      </c>
      <c r="AU539" s="1194" t="str">
        <f t="shared" si="127"/>
        <v>.</v>
      </c>
      <c r="AV539" s="1194" t="str">
        <f t="shared" si="118"/>
        <v>.</v>
      </c>
      <c r="AW539" s="1194" t="str">
        <f t="shared" si="128"/>
        <v>.</v>
      </c>
      <c r="AX539" s="1194">
        <f>IFERROR(VLOOKUP(B539,'Share, Heavy Weapons to Ukraine'!B:Z,COLUMN('Share, Heavy Weapons to Ukraine'!C549)-1,0),0)</f>
        <v>0</v>
      </c>
      <c r="AY539" s="1194">
        <f>VLOOKUP('Bilateral Assistance, MAIN DATA'!B539,'Country Summary (€)'!B:F,COLUMN('Country Summary (€)'!C550)-1,FALSE)</f>
        <v>1</v>
      </c>
      <c r="AZ539" s="1194" t="str">
        <f>IF(AND(AD539=1,D539="Military",H539&lt;&gt;"Not given")=TRUE,IF(SUMIFS(P:P,A:A,A539)&gt;0,ABS((SUMIFS(P:P,A:A,A539)/VLOOKUP("USD",'Exchange Rates'!B:C,2,0)))/S539,"."),".")</f>
        <v>.</v>
      </c>
      <c r="BA539" s="1196" t="str">
        <f>IF(AND(AD539=1,D539="Military",H539&lt;&gt;"Not given")=TRUE,IF(SUMIFS(P:P,A:A,A539)&gt;0,IF((ABS((SUMIFS(P:P,A:A,A539)/VLOOKUP("USD",'Exchange Rates'!B:C,2,0)))/S539)&gt;1,(SUMIFS(P:P,A:A,A539)-S539)/S539,(S539-SUMIFS(P:P,A:A,A539))/SUMIFS(P:P,A:A,A539)),"."),".")</f>
        <v>.</v>
      </c>
    </row>
    <row r="540" spans="1:72" ht="15.95" customHeight="1">
      <c r="A540" s="1182" t="s">
        <v>1796</v>
      </c>
      <c r="B540" s="1182" t="s">
        <v>1711</v>
      </c>
      <c r="C540" s="1181" t="s">
        <v>1797</v>
      </c>
      <c r="D540" s="1182" t="s">
        <v>389</v>
      </c>
      <c r="E540" s="1182" t="s">
        <v>1676</v>
      </c>
      <c r="F540" s="1263" t="s">
        <v>1806</v>
      </c>
      <c r="G540" s="1184" t="s">
        <v>483</v>
      </c>
      <c r="H540" s="1185">
        <v>6750000000</v>
      </c>
      <c r="I540" s="1266" t="s">
        <v>1809</v>
      </c>
      <c r="J540" s="1186" t="str">
        <f>VLOOKUP($I540,'Price List, Weapons &amp; Items'!B:C,2,0)</f>
        <v>Military equipment</v>
      </c>
      <c r="K540" s="1186" t="str">
        <f>IF(I540=".",I540,VLOOKUP($I540,'Price List, Weapons &amp; Items'!B:D,3,0))</f>
        <v>Anti-drone</v>
      </c>
      <c r="L540" s="1187">
        <f>VLOOKUP(I540,'Price List, Weapons &amp; Items'!B:E,4,0)</f>
        <v>0</v>
      </c>
      <c r="M540" s="1188">
        <v>55</v>
      </c>
      <c r="N540" s="1188">
        <v>55</v>
      </c>
      <c r="O540" s="1188">
        <f>VLOOKUP($I540,'Price List, Weapons &amp; Items'!B:G,6,0)</f>
        <v>10794.5</v>
      </c>
      <c r="P540" s="1185">
        <f t="shared" si="119"/>
        <v>593697.5</v>
      </c>
      <c r="Q540" s="1185">
        <f t="shared" si="120"/>
        <v>593697.5</v>
      </c>
      <c r="R540" s="1185" t="str">
        <f t="shared" si="116"/>
        <v/>
      </c>
      <c r="S540" s="1185" t="str">
        <f>IF(AND(AD540=1,R540&lt;&gt;".")=TRUE,R540/VLOOKUP(G540,'Exchange Rates'!B:C,2,0),IF(R540=".",".",""))</f>
        <v/>
      </c>
      <c r="T540" s="1185" t="str">
        <f>IF(AD540=1,IF(AF540="Value is not given at all",".",IF(AF540="Value is given by the source",S540,IF(AF540="Value is calculated with prices",(IF(SUMIFS(Q:Q,A:A,A540)&gt;0,SUMIFS(Q:Q,A:A,A540),"."))/VLOOKUP("USD",'Exchange Rates'!B:C,2,0),"Error with coding"))),"")</f>
        <v/>
      </c>
      <c r="U540" s="1184" t="s">
        <v>365</v>
      </c>
      <c r="V540" s="972" t="s">
        <v>1782</v>
      </c>
      <c r="W540" s="972" t="s">
        <v>1280</v>
      </c>
      <c r="X540" s="972" t="s">
        <v>364</v>
      </c>
      <c r="Y540" s="972" t="s">
        <v>364</v>
      </c>
      <c r="Z540" s="1184">
        <v>0</v>
      </c>
      <c r="AA540" s="1194">
        <v>0</v>
      </c>
      <c r="AB540" s="1360" t="s">
        <v>1280</v>
      </c>
      <c r="AC540" s="1192" t="str">
        <f>""</f>
        <v/>
      </c>
      <c r="AD540" s="985">
        <v>0</v>
      </c>
      <c r="AE540" s="1194" t="s">
        <v>368</v>
      </c>
      <c r="AF540" s="985" t="s">
        <v>369</v>
      </c>
      <c r="AG540" s="985">
        <v>0</v>
      </c>
      <c r="AH540" s="985">
        <v>0</v>
      </c>
      <c r="AI540" s="985">
        <v>0</v>
      </c>
      <c r="AJ540" s="1193">
        <f>VLOOKUP($I540,'Price List, Weapons &amp; Items'!B:F,5,0)</f>
        <v>0</v>
      </c>
      <c r="AK540" s="1193">
        <f t="shared" si="121"/>
        <v>0</v>
      </c>
      <c r="AL540" s="1193">
        <f t="shared" si="122"/>
        <v>0</v>
      </c>
      <c r="AM540" s="1193">
        <f t="shared" si="123"/>
        <v>0</v>
      </c>
      <c r="AN540" s="1194" t="str">
        <f>VLOOKUP($I540,'Price List, Weapons &amp; Items'!B:L,COLUMN('Price List, Weapons &amp; Items'!$J$11)-1,0)</f>
        <v>Online marketplaces and stores</v>
      </c>
      <c r="AO540" s="1194" t="str">
        <f>IF(I540=".",".",VLOOKUP($I540,'Price List, Weapons &amp; Items'!B:J,3,0))</f>
        <v>Anti-drone</v>
      </c>
      <c r="AP540" s="1195" t="str">
        <f t="shared" ca="1" si="117"/>
        <v/>
      </c>
      <c r="AQ540" s="1194">
        <f>VLOOKUP($I540,'Price List, Weapons &amp; Items'!B:L,COLUMN('Price List, Weapons &amp; Items'!$L$11)-1,0)</f>
        <v>1</v>
      </c>
      <c r="AR540" s="1194">
        <f t="shared" si="124"/>
        <v>1</v>
      </c>
      <c r="AS540" s="1194">
        <f t="shared" si="125"/>
        <v>1</v>
      </c>
      <c r="AT540" s="1194" t="str">
        <f t="shared" si="126"/>
        <v>Value is not in date format</v>
      </c>
      <c r="AU540" s="1194" t="str">
        <f t="shared" si="127"/>
        <v>.</v>
      </c>
      <c r="AV540" s="1194" t="str">
        <f t="shared" si="118"/>
        <v>.</v>
      </c>
      <c r="AW540" s="1194" t="str">
        <f t="shared" si="128"/>
        <v>.</v>
      </c>
      <c r="AX540" s="1194">
        <f>IFERROR(VLOOKUP(B540,'Share, Heavy Weapons to Ukraine'!B:Z,COLUMN('Share, Heavy Weapons to Ukraine'!C550)-1,0),0)</f>
        <v>0</v>
      </c>
      <c r="AY540" s="1194">
        <f>VLOOKUP('Bilateral Assistance, MAIN DATA'!B540,'Country Summary (€)'!B:F,COLUMN('Country Summary (€)'!C551)-1,FALSE)</f>
        <v>1</v>
      </c>
      <c r="AZ540" s="1194" t="str">
        <f>IF(AND(AD540=1,D540="Military",H540&lt;&gt;"Not given")=TRUE,IF(SUMIFS(P:P,A:A,A540)&gt;0,ABS((SUMIFS(P:P,A:A,A540)/VLOOKUP("USD",'Exchange Rates'!B:C,2,0)))/S540,"."),".")</f>
        <v>.</v>
      </c>
      <c r="BA540" s="1196" t="str">
        <f>IF(AND(AD540=1,D540="Military",H540&lt;&gt;"Not given")=TRUE,IF(SUMIFS(P:P,A:A,A540)&gt;0,IF((ABS((SUMIFS(P:P,A:A,A540)/VLOOKUP("USD",'Exchange Rates'!B:C,2,0)))/S540)&gt;1,(SUMIFS(P:P,A:A,A540)-S540)/S540,(S540-SUMIFS(P:P,A:A,A540))/SUMIFS(P:P,A:A,A540)),"."),".")</f>
        <v>.</v>
      </c>
    </row>
    <row r="541" spans="1:72" ht="15.95" customHeight="1">
      <c r="A541" s="1182" t="s">
        <v>1796</v>
      </c>
      <c r="B541" s="1182" t="s">
        <v>1711</v>
      </c>
      <c r="C541" s="1181" t="s">
        <v>1797</v>
      </c>
      <c r="D541" s="1182" t="s">
        <v>389</v>
      </c>
      <c r="E541" s="1182" t="s">
        <v>1676</v>
      </c>
      <c r="F541" s="1263" t="s">
        <v>1806</v>
      </c>
      <c r="G541" s="1184" t="s">
        <v>483</v>
      </c>
      <c r="H541" s="1185">
        <v>6750000000</v>
      </c>
      <c r="I541" s="1266" t="s">
        <v>1810</v>
      </c>
      <c r="J541" s="1186" t="str">
        <f>VLOOKUP($I541,'Price List, Weapons &amp; Items'!B:C,2,0)</f>
        <v>Heavy weapon</v>
      </c>
      <c r="K541" s="1186" t="str">
        <f>IF(I541=".",I541,VLOOKUP($I541,'Price List, Weapons &amp; Items'!B:D,3,0))</f>
        <v>Armored Recovery Vehicle (ARV)</v>
      </c>
      <c r="L541" s="1187">
        <f>VLOOKUP(I541,'Price List, Weapons &amp; Items'!B:E,4,0)</f>
        <v>0</v>
      </c>
      <c r="M541" s="1188">
        <v>3</v>
      </c>
      <c r="N541" s="1188">
        <v>3</v>
      </c>
      <c r="O541" s="1188">
        <f>VLOOKUP($I541,'Price List, Weapons &amp; Items'!B:G,6,0)</f>
        <v>934237.75</v>
      </c>
      <c r="P541" s="1185">
        <f t="shared" si="119"/>
        <v>2802713.25</v>
      </c>
      <c r="Q541" s="1185">
        <f t="shared" si="120"/>
        <v>2802713.25</v>
      </c>
      <c r="R541" s="1185" t="str">
        <f t="shared" si="116"/>
        <v/>
      </c>
      <c r="S541" s="1185" t="str">
        <f>IF(AND(AD541=1,R541&lt;&gt;".")=TRUE,R541/VLOOKUP(G541,'Exchange Rates'!B:C,2,0),IF(R541=".",".",""))</f>
        <v/>
      </c>
      <c r="T541" s="1185" t="str">
        <f>IF(AD541=1,IF(AF541="Value is not given at all",".",IF(AF541="Value is given by the source",S541,IF(AF541="Value is calculated with prices",(IF(SUMIFS(Q:Q,A:A,A541)&gt;0,SUMIFS(Q:Q,A:A,A541),"."))/VLOOKUP("USD",'Exchange Rates'!B:C,2,0),"Error with coding"))),"")</f>
        <v/>
      </c>
      <c r="U541" s="1184" t="s">
        <v>365</v>
      </c>
      <c r="V541" s="972" t="s">
        <v>1782</v>
      </c>
      <c r="W541" s="972" t="s">
        <v>1280</v>
      </c>
      <c r="X541" s="972" t="s">
        <v>364</v>
      </c>
      <c r="Y541" s="972" t="s">
        <v>364</v>
      </c>
      <c r="Z541" s="1184">
        <v>0</v>
      </c>
      <c r="AA541" s="1194">
        <v>0</v>
      </c>
      <c r="AB541" s="1360" t="s">
        <v>1280</v>
      </c>
      <c r="AC541" s="1192" t="str">
        <f>""</f>
        <v/>
      </c>
      <c r="AD541" s="985">
        <v>0</v>
      </c>
      <c r="AE541" s="1194" t="s">
        <v>368</v>
      </c>
      <c r="AF541" s="985" t="s">
        <v>369</v>
      </c>
      <c r="AG541" s="985">
        <v>1</v>
      </c>
      <c r="AH541" s="985">
        <v>7</v>
      </c>
      <c r="AI541" s="985">
        <v>0</v>
      </c>
      <c r="AJ541" s="1193">
        <f>VLOOKUP($I541,'Price List, Weapons &amp; Items'!B:F,5,0)</f>
        <v>1</v>
      </c>
      <c r="AK541" s="1193">
        <f t="shared" si="121"/>
        <v>0</v>
      </c>
      <c r="AL541" s="1193">
        <f t="shared" si="122"/>
        <v>0</v>
      </c>
      <c r="AM541" s="1193">
        <f t="shared" si="123"/>
        <v>0</v>
      </c>
      <c r="AN541" s="1194" t="str">
        <f>VLOOKUP($I541,'Price List, Weapons &amp; Items'!B:L,COLUMN('Price List, Weapons &amp; Items'!$J$11)-1,0)</f>
        <v>Contracts</v>
      </c>
      <c r="AO541" s="1194" t="str">
        <f>IF(I541=".",".",VLOOKUP($I541,'Price List, Weapons &amp; Items'!B:J,3,0))</f>
        <v>Armored Recovery Vehicle (ARV)</v>
      </c>
      <c r="AP541" s="1195" t="str">
        <f t="shared" ca="1" si="117"/>
        <v/>
      </c>
      <c r="AQ541" s="1194">
        <f>VLOOKUP($I541,'Price List, Weapons &amp; Items'!B:L,COLUMN('Price List, Weapons &amp; Items'!$L$11)-1,0)</f>
        <v>2</v>
      </c>
      <c r="AR541" s="1194">
        <f t="shared" si="124"/>
        <v>1</v>
      </c>
      <c r="AS541" s="1194">
        <f t="shared" si="125"/>
        <v>1</v>
      </c>
      <c r="AT541" s="1194" t="str">
        <f t="shared" si="126"/>
        <v>Value is not in date format</v>
      </c>
      <c r="AU541" s="1194" t="str">
        <f t="shared" si="127"/>
        <v>.</v>
      </c>
      <c r="AV541" s="1194" t="str">
        <f t="shared" si="118"/>
        <v>.</v>
      </c>
      <c r="AW541" s="1194" t="str">
        <f t="shared" si="128"/>
        <v>.</v>
      </c>
      <c r="AX541" s="1194">
        <f>IFERROR(VLOOKUP(B541,'Share, Heavy Weapons to Ukraine'!B:Z,COLUMN('Share, Heavy Weapons to Ukraine'!C551)-1,0),0)</f>
        <v>0</v>
      </c>
      <c r="AY541" s="1194">
        <f>VLOOKUP('Bilateral Assistance, MAIN DATA'!B541,'Country Summary (€)'!B:F,COLUMN('Country Summary (€)'!C552)-1,FALSE)</f>
        <v>1</v>
      </c>
      <c r="AZ541" s="1194" t="str">
        <f>IF(AND(AD541=1,D541="Military",H541&lt;&gt;"Not given")=TRUE,IF(SUMIFS(P:P,A:A,A541)&gt;0,ABS((SUMIFS(P:P,A:A,A541)/VLOOKUP("USD",'Exchange Rates'!B:C,2,0)))/S541,"."),".")</f>
        <v>.</v>
      </c>
      <c r="BA541" s="1196" t="str">
        <f>IF(AND(AD541=1,D541="Military",H541&lt;&gt;"Not given")=TRUE,IF(SUMIFS(P:P,A:A,A541)&gt;0,IF((ABS((SUMIFS(P:P,A:A,A541)/VLOOKUP("USD",'Exchange Rates'!B:C,2,0)))/S541)&gt;1,(SUMIFS(P:P,A:A,A541)-S541)/S541,(S541-SUMIFS(P:P,A:A,A541))/SUMIFS(P:P,A:A,A541)),"."),".")</f>
        <v>.</v>
      </c>
    </row>
    <row r="542" spans="1:72" ht="15.95" customHeight="1">
      <c r="A542" s="1182" t="s">
        <v>1796</v>
      </c>
      <c r="B542" s="1182" t="s">
        <v>1711</v>
      </c>
      <c r="C542" s="1181" t="s">
        <v>1797</v>
      </c>
      <c r="D542" s="1182" t="s">
        <v>389</v>
      </c>
      <c r="E542" s="1182" t="s">
        <v>1676</v>
      </c>
      <c r="F542" s="1263" t="s">
        <v>1806</v>
      </c>
      <c r="G542" s="1184" t="s">
        <v>483</v>
      </c>
      <c r="H542" s="1185">
        <v>6750000000</v>
      </c>
      <c r="I542" s="1266" t="s">
        <v>1810</v>
      </c>
      <c r="J542" s="1186" t="str">
        <f>VLOOKUP($I542,'Price List, Weapons &amp; Items'!B:C,2,0)</f>
        <v>Heavy weapon</v>
      </c>
      <c r="K542" s="1186" t="str">
        <f>IF(I542=".",I542,VLOOKUP($I542,'Price List, Weapons &amp; Items'!B:D,3,0))</f>
        <v>Armored Recovery Vehicle (ARV)</v>
      </c>
      <c r="L542" s="1187">
        <f>VLOOKUP(I542,'Price List, Weapons &amp; Items'!B:E,4,0)</f>
        <v>0</v>
      </c>
      <c r="M542" s="1188">
        <v>12</v>
      </c>
      <c r="N542" s="1188">
        <v>12</v>
      </c>
      <c r="O542" s="1188">
        <f>VLOOKUP($I542,'Price List, Weapons &amp; Items'!B:G,6,0)</f>
        <v>934237.75</v>
      </c>
      <c r="P542" s="1185">
        <f t="shared" si="119"/>
        <v>11210853</v>
      </c>
      <c r="Q542" s="1185">
        <f t="shared" si="120"/>
        <v>11210853</v>
      </c>
      <c r="R542" s="1185" t="str">
        <f t="shared" si="116"/>
        <v/>
      </c>
      <c r="S542" s="1185" t="str">
        <f>IF(AND(AD542=1,R542&lt;&gt;".")=TRUE,R542/VLOOKUP(G542,'Exchange Rates'!B:C,2,0),IF(R542=".",".",""))</f>
        <v/>
      </c>
      <c r="T542" s="1185" t="str">
        <f>IF(AD542=1,IF(AF542="Value is not given at all",".",IF(AF542="Value is given by the source",S542,IF(AF542="Value is calculated with prices",(IF(SUMIFS(Q:Q,A:A,A542)&gt;0,SUMIFS(Q:Q,A:A,A542),"."))/VLOOKUP("USD",'Exchange Rates'!B:C,2,0),"Error with coding"))),"")</f>
        <v/>
      </c>
      <c r="U542" s="1184" t="s">
        <v>365</v>
      </c>
      <c r="V542" s="972" t="s">
        <v>1782</v>
      </c>
      <c r="W542" s="972" t="s">
        <v>1280</v>
      </c>
      <c r="X542" s="972" t="s">
        <v>364</v>
      </c>
      <c r="Y542" s="972" t="s">
        <v>364</v>
      </c>
      <c r="Z542" s="1184">
        <v>0</v>
      </c>
      <c r="AA542" s="1194">
        <v>0</v>
      </c>
      <c r="AB542" s="1360" t="s">
        <v>1280</v>
      </c>
      <c r="AC542" s="1192" t="str">
        <f>""</f>
        <v/>
      </c>
      <c r="AD542" s="985">
        <v>0</v>
      </c>
      <c r="AE542" s="1194" t="s">
        <v>368</v>
      </c>
      <c r="AF542" s="985" t="s">
        <v>369</v>
      </c>
      <c r="AG542" s="985">
        <v>1</v>
      </c>
      <c r="AH542" s="985">
        <v>8</v>
      </c>
      <c r="AI542" s="985">
        <v>0</v>
      </c>
      <c r="AJ542" s="1193">
        <f>VLOOKUP($I542,'Price List, Weapons &amp; Items'!B:F,5,0)</f>
        <v>1</v>
      </c>
      <c r="AK542" s="1193">
        <f t="shared" si="121"/>
        <v>0</v>
      </c>
      <c r="AL542" s="1193">
        <f t="shared" si="122"/>
        <v>0</v>
      </c>
      <c r="AM542" s="1193">
        <f t="shared" si="123"/>
        <v>0</v>
      </c>
      <c r="AN542" s="1194" t="str">
        <f>VLOOKUP($I542,'Price List, Weapons &amp; Items'!B:L,COLUMN('Price List, Weapons &amp; Items'!$J$11)-1,0)</f>
        <v>Contracts</v>
      </c>
      <c r="AO542" s="1194" t="str">
        <f>IF(I542=".",".",VLOOKUP($I542,'Price List, Weapons &amp; Items'!B:J,3,0))</f>
        <v>Armored Recovery Vehicle (ARV)</v>
      </c>
      <c r="AP542" s="1195" t="str">
        <f t="shared" ca="1" si="117"/>
        <v/>
      </c>
      <c r="AQ542" s="1194">
        <f>VLOOKUP($I542,'Price List, Weapons &amp; Items'!B:L,COLUMN('Price List, Weapons &amp; Items'!$L$11)-1,0)</f>
        <v>2</v>
      </c>
      <c r="AR542" s="1194">
        <f t="shared" si="124"/>
        <v>1</v>
      </c>
      <c r="AS542" s="1194">
        <f t="shared" si="125"/>
        <v>1</v>
      </c>
      <c r="AT542" s="1194" t="str">
        <f t="shared" si="126"/>
        <v>Value is not in date format</v>
      </c>
      <c r="AU542" s="1194" t="str">
        <f t="shared" si="127"/>
        <v>.</v>
      </c>
      <c r="AV542" s="1194" t="str">
        <f t="shared" si="118"/>
        <v>.</v>
      </c>
      <c r="AW542" s="1194" t="str">
        <f t="shared" si="128"/>
        <v>.</v>
      </c>
      <c r="AX542" s="1194">
        <f>IFERROR(VLOOKUP(B542,'Share, Heavy Weapons to Ukraine'!B:Z,COLUMN('Share, Heavy Weapons to Ukraine'!C552)-1,0),0)</f>
        <v>0</v>
      </c>
      <c r="AY542" s="1194">
        <f>VLOOKUP('Bilateral Assistance, MAIN DATA'!B542,'Country Summary (€)'!B:F,COLUMN('Country Summary (€)'!C553)-1,FALSE)</f>
        <v>1</v>
      </c>
      <c r="AZ542" s="1194" t="str">
        <f>IF(AND(AD542=1,D542="Military",H542&lt;&gt;"Not given")=TRUE,IF(SUMIFS(P:P,A:A,A542)&gt;0,ABS((SUMIFS(P:P,A:A,A542)/VLOOKUP("USD",'Exchange Rates'!B:C,2,0)))/S542,"."),".")</f>
        <v>.</v>
      </c>
      <c r="BA542" s="1196" t="str">
        <f>IF(AND(AD542=1,D542="Military",H542&lt;&gt;"Not given")=TRUE,IF(SUMIFS(P:P,A:A,A542)&gt;0,IF((ABS((SUMIFS(P:P,A:A,A542)/VLOOKUP("USD",'Exchange Rates'!B:C,2,0)))/S542)&gt;1,(SUMIFS(P:P,A:A,A542)-S542)/S542,(S542-SUMIFS(P:P,A:A,A542))/SUMIFS(P:P,A:A,A542)),"."),".")</f>
        <v>.</v>
      </c>
    </row>
    <row r="543" spans="1:72" ht="15.95" customHeight="1">
      <c r="A543" s="1182" t="s">
        <v>1796</v>
      </c>
      <c r="B543" s="1182" t="s">
        <v>1711</v>
      </c>
      <c r="C543" s="1181" t="s">
        <v>1797</v>
      </c>
      <c r="D543" s="1182" t="s">
        <v>389</v>
      </c>
      <c r="E543" s="1182" t="s">
        <v>1676</v>
      </c>
      <c r="F543" s="1263" t="s">
        <v>1806</v>
      </c>
      <c r="G543" s="1184" t="s">
        <v>483</v>
      </c>
      <c r="H543" s="1185">
        <v>6750000000</v>
      </c>
      <c r="I543" s="1266" t="s">
        <v>1811</v>
      </c>
      <c r="J543" s="1186" t="str">
        <f>VLOOKUP($I543,'Price List, Weapons &amp; Items'!B:C,2,0)</f>
        <v>Heavy weapon</v>
      </c>
      <c r="K543" s="1186" t="str">
        <f>IF(I543=".",I543,VLOOKUP($I543,'Price List, Weapons &amp; Items'!B:D,3,0))</f>
        <v>Vehicle Launched Bridge (VLB)</v>
      </c>
      <c r="L543" s="1187">
        <f>VLOOKUP(I543,'Price List, Weapons &amp; Items'!B:E,4,0)</f>
        <v>0</v>
      </c>
      <c r="M543" s="1188">
        <v>16</v>
      </c>
      <c r="N543" s="1275">
        <v>8</v>
      </c>
      <c r="O543" s="1188">
        <f>VLOOKUP($I543,'Price List, Weapons &amp; Items'!B:G,6,0)</f>
        <v>2528458.11</v>
      </c>
      <c r="P543" s="1185">
        <f t="shared" si="119"/>
        <v>40455329.759999998</v>
      </c>
      <c r="Q543" s="1185">
        <f t="shared" si="120"/>
        <v>20227664.879999999</v>
      </c>
      <c r="R543" s="1185" t="str">
        <f t="shared" si="116"/>
        <v/>
      </c>
      <c r="S543" s="1185" t="str">
        <f>IF(AND(AD543=1,R543&lt;&gt;".")=TRUE,R543/VLOOKUP(G543,'Exchange Rates'!B:C,2,0),IF(R543=".",".",""))</f>
        <v/>
      </c>
      <c r="T543" s="1185" t="str">
        <f>IF(AD543=1,IF(AF543="Value is not given at all",".",IF(AF543="Value is given by the source",S543,IF(AF543="Value is calculated with prices",(IF(SUMIFS(Q:Q,A:A,A543)&gt;0,SUMIFS(Q:Q,A:A,A543),"."))/VLOOKUP("USD",'Exchange Rates'!B:C,2,0),"Error with coding"))),"")</f>
        <v/>
      </c>
      <c r="U543" s="1184" t="s">
        <v>365</v>
      </c>
      <c r="V543" s="972" t="s">
        <v>1782</v>
      </c>
      <c r="W543" s="972" t="s">
        <v>1280</v>
      </c>
      <c r="X543" s="972" t="s">
        <v>364</v>
      </c>
      <c r="Y543" s="972" t="s">
        <v>364</v>
      </c>
      <c r="Z543" s="1184">
        <v>0</v>
      </c>
      <c r="AA543" s="1194">
        <v>1</v>
      </c>
      <c r="AB543" s="1360" t="s">
        <v>1280</v>
      </c>
      <c r="AC543" s="1192" t="str">
        <f>""</f>
        <v/>
      </c>
      <c r="AD543" s="985">
        <v>0</v>
      </c>
      <c r="AE543" s="1194" t="s">
        <v>368</v>
      </c>
      <c r="AF543" s="985" t="s">
        <v>369</v>
      </c>
      <c r="AG543" s="985">
        <v>1</v>
      </c>
      <c r="AH543" s="985">
        <v>8</v>
      </c>
      <c r="AI543" s="985">
        <v>0</v>
      </c>
      <c r="AJ543" s="1193">
        <f>VLOOKUP($I543,'Price List, Weapons &amp; Items'!B:F,5,0)</f>
        <v>0</v>
      </c>
      <c r="AK543" s="1193">
        <f t="shared" si="121"/>
        <v>0</v>
      </c>
      <c r="AL543" s="1193">
        <f t="shared" si="122"/>
        <v>0</v>
      </c>
      <c r="AM543" s="1193">
        <f t="shared" si="123"/>
        <v>0</v>
      </c>
      <c r="AN543" s="1194" t="str">
        <f>VLOOKUP($I543,'Price List, Weapons &amp; Items'!B:L,COLUMN('Price List, Weapons &amp; Items'!$J$11)-1,0)</f>
        <v>Contracts</v>
      </c>
      <c r="AO543" s="1194" t="str">
        <f>IF(I543=".",".",VLOOKUP($I543,'Price List, Weapons &amp; Items'!B:J,3,0))</f>
        <v>Vehicle Launched Bridge (VLB)</v>
      </c>
      <c r="AP543" s="1195" t="str">
        <f t="shared" ca="1" si="117"/>
        <v/>
      </c>
      <c r="AQ543" s="1194">
        <f>VLOOKUP($I543,'Price List, Weapons &amp; Items'!B:L,COLUMN('Price List, Weapons &amp; Items'!$L$11)-1,0)</f>
        <v>2</v>
      </c>
      <c r="AR543" s="1194">
        <f t="shared" si="124"/>
        <v>1</v>
      </c>
      <c r="AS543" s="1194">
        <f t="shared" si="125"/>
        <v>1</v>
      </c>
      <c r="AT543" s="1194" t="str">
        <f t="shared" si="126"/>
        <v>Value is not in date format</v>
      </c>
      <c r="AU543" s="1194" t="str">
        <f t="shared" si="127"/>
        <v>.</v>
      </c>
      <c r="AV543" s="1194" t="str">
        <f t="shared" si="118"/>
        <v>.</v>
      </c>
      <c r="AW543" s="1194" t="str">
        <f t="shared" si="128"/>
        <v>.</v>
      </c>
      <c r="AX543" s="1194">
        <f>IFERROR(VLOOKUP(B543,'Share, Heavy Weapons to Ukraine'!B:Z,COLUMN('Share, Heavy Weapons to Ukraine'!C553)-1,0),0)</f>
        <v>0</v>
      </c>
      <c r="AY543" s="1194">
        <f>VLOOKUP('Bilateral Assistance, MAIN DATA'!B543,'Country Summary (€)'!B:F,COLUMN('Country Summary (€)'!C554)-1,FALSE)</f>
        <v>1</v>
      </c>
      <c r="AZ543" s="1194" t="str">
        <f>IF(AND(AD543=1,D543="Military",H543&lt;&gt;"Not given")=TRUE,IF(SUMIFS(P:P,A:A,A543)&gt;0,ABS((SUMIFS(P:P,A:A,A543)/VLOOKUP("USD",'Exchange Rates'!B:C,2,0)))/S543,"."),".")</f>
        <v>.</v>
      </c>
      <c r="BA543" s="1196" t="str">
        <f>IF(AND(AD543=1,D543="Military",H543&lt;&gt;"Not given")=TRUE,IF(SUMIFS(P:P,A:A,A543)&gt;0,IF((ABS((SUMIFS(P:P,A:A,A543)/VLOOKUP("USD",'Exchange Rates'!B:C,2,0)))/S543)&gt;1,(SUMIFS(P:P,A:A,A543)-S543)/S543,(S543-SUMIFS(P:P,A:A,A543))/SUMIFS(P:P,A:A,A543)),"."),".")</f>
        <v>.</v>
      </c>
    </row>
    <row r="544" spans="1:72" ht="15.95" customHeight="1">
      <c r="A544" s="1182" t="s">
        <v>1796</v>
      </c>
      <c r="B544" s="1182" t="s">
        <v>1711</v>
      </c>
      <c r="C544" s="1181" t="s">
        <v>1797</v>
      </c>
      <c r="D544" s="1182" t="s">
        <v>389</v>
      </c>
      <c r="E544" s="1182" t="s">
        <v>1676</v>
      </c>
      <c r="F544" s="1263" t="s">
        <v>1806</v>
      </c>
      <c r="G544" s="1184" t="s">
        <v>483</v>
      </c>
      <c r="H544" s="1185">
        <v>6750000000</v>
      </c>
      <c r="I544" s="1266" t="s">
        <v>1812</v>
      </c>
      <c r="J544" s="1186" t="str">
        <f>VLOOKUP($I544,'Price List, Weapons &amp; Items'!B:C,2,0)</f>
        <v>Military equipment</v>
      </c>
      <c r="K544" s="1186" t="str">
        <f>IF(I544=".",I544,VLOOKUP($I544,'Price List, Weapons &amp; Items'!B:D,3,0))</f>
        <v>non combat military vehicle</v>
      </c>
      <c r="L544" s="1187">
        <f>VLOOKUP(I544,'Price List, Weapons &amp; Items'!B:E,4,0)</f>
        <v>0</v>
      </c>
      <c r="M544" s="1188">
        <v>500</v>
      </c>
      <c r="N544" s="1275">
        <v>130</v>
      </c>
      <c r="O544" s="1188">
        <f>VLOOKUP($I544,'Price List, Weapons &amp; Items'!B:G,6,0)</f>
        <v>350000</v>
      </c>
      <c r="P544" s="1185">
        <f t="shared" si="119"/>
        <v>175000000</v>
      </c>
      <c r="Q544" s="1185">
        <f t="shared" si="120"/>
        <v>45500000</v>
      </c>
      <c r="R544" s="1185" t="str">
        <f t="shared" si="116"/>
        <v/>
      </c>
      <c r="S544" s="1185" t="str">
        <f>IF(AND(AD544=1,R544&lt;&gt;".")=TRUE,R544/VLOOKUP(G544,'Exchange Rates'!B:C,2,0),IF(R544=".",".",""))</f>
        <v/>
      </c>
      <c r="T544" s="1185" t="str">
        <f>IF(AD544=1,IF(AF544="Value is not given at all",".",IF(AF544="Value is given by the source",S544,IF(AF544="Value is calculated with prices",(IF(SUMIFS(Q:Q,A:A,A544)&gt;0,SUMIFS(Q:Q,A:A,A544),"."))/VLOOKUP("USD",'Exchange Rates'!B:C,2,0),"Error with coding"))),"")</f>
        <v/>
      </c>
      <c r="U544" s="1184" t="s">
        <v>365</v>
      </c>
      <c r="V544" s="972" t="s">
        <v>1782</v>
      </c>
      <c r="W544" s="972" t="s">
        <v>1280</v>
      </c>
      <c r="X544" s="972" t="s">
        <v>364</v>
      </c>
      <c r="Y544" s="972" t="s">
        <v>364</v>
      </c>
      <c r="Z544" s="1184">
        <v>0</v>
      </c>
      <c r="AA544" s="1194">
        <v>1</v>
      </c>
      <c r="AB544" s="1360" t="s">
        <v>1280</v>
      </c>
      <c r="AC544" s="1192" t="str">
        <f>""</f>
        <v/>
      </c>
      <c r="AD544" s="985">
        <v>0</v>
      </c>
      <c r="AE544" s="1194" t="s">
        <v>368</v>
      </c>
      <c r="AF544" s="985" t="s">
        <v>369</v>
      </c>
      <c r="AG544" s="985">
        <v>1</v>
      </c>
      <c r="AH544" s="1193">
        <v>6</v>
      </c>
      <c r="AI544" s="1193">
        <v>0</v>
      </c>
      <c r="AJ544" s="1193">
        <f>VLOOKUP($I544,'Price List, Weapons &amp; Items'!B:F,5,0)</f>
        <v>0</v>
      </c>
      <c r="AK544" s="1193">
        <f t="shared" si="121"/>
        <v>0</v>
      </c>
      <c r="AL544" s="1193">
        <f t="shared" si="122"/>
        <v>0</v>
      </c>
      <c r="AM544" s="1193">
        <f t="shared" si="123"/>
        <v>0</v>
      </c>
      <c r="AN544" s="1194" t="str">
        <f>VLOOKUP($I544,'Price List, Weapons &amp; Items'!B:L,COLUMN('Price List, Weapons &amp; Items'!$J$11)-1,0)</f>
        <v>Media reports (incl. social media)</v>
      </c>
      <c r="AO544" s="1194" t="str">
        <f>IF(I544=".",".",VLOOKUP($I544,'Price List, Weapons &amp; Items'!B:J,3,0))</f>
        <v>non combat military vehicle</v>
      </c>
      <c r="AP544" s="1195" t="str">
        <f t="shared" ca="1" si="117"/>
        <v/>
      </c>
      <c r="AQ544" s="1194">
        <f>VLOOKUP($I544,'Price List, Weapons &amp; Items'!B:L,COLUMN('Price List, Weapons &amp; Items'!$L$11)-1,0)</f>
        <v>2</v>
      </c>
      <c r="AR544" s="1194">
        <f t="shared" si="124"/>
        <v>1</v>
      </c>
      <c r="AS544" s="1194">
        <f t="shared" si="125"/>
        <v>1</v>
      </c>
      <c r="AT544" s="1194" t="str">
        <f t="shared" si="126"/>
        <v>Value is not in date format</v>
      </c>
      <c r="AU544" s="1194" t="str">
        <f t="shared" si="127"/>
        <v>.</v>
      </c>
      <c r="AV544" s="1194" t="str">
        <f t="shared" si="118"/>
        <v>.</v>
      </c>
      <c r="AW544" s="1194" t="str">
        <f t="shared" si="128"/>
        <v>.</v>
      </c>
      <c r="AX544" s="1194">
        <f>IFERROR(VLOOKUP(B544,'Share, Heavy Weapons to Ukraine'!B:Z,COLUMN('Share, Heavy Weapons to Ukraine'!C554)-1,0),0)</f>
        <v>0</v>
      </c>
      <c r="AY544" s="1194">
        <f>VLOOKUP('Bilateral Assistance, MAIN DATA'!B544,'Country Summary (€)'!B:F,COLUMN('Country Summary (€)'!C555)-1,FALSE)</f>
        <v>1</v>
      </c>
      <c r="AZ544" s="1194" t="str">
        <f>IF(AND(AD544=1,D544="Military",H544&lt;&gt;"Not given")=TRUE,IF(SUMIFS(P:P,A:A,A544)&gt;0,ABS((SUMIFS(P:P,A:A,A544)/VLOOKUP("USD",'Exchange Rates'!B:C,2,0)))/S544,"."),".")</f>
        <v>.</v>
      </c>
      <c r="BA544" s="1196" t="str">
        <f>IF(AND(AD544=1,D544="Military",H544&lt;&gt;"Not given")=TRUE,IF(SUMIFS(P:P,A:A,A544)&gt;0,IF((ABS((SUMIFS(P:P,A:A,A544)/VLOOKUP("USD",'Exchange Rates'!B:C,2,0)))/S544)&gt;1,(SUMIFS(P:P,A:A,A544)-S544)/S544,(S544-SUMIFS(P:P,A:A,A544))/SUMIFS(P:P,A:A,A544)),"."),".")</f>
        <v>.</v>
      </c>
    </row>
    <row r="545" spans="1:53" ht="15.95" customHeight="1">
      <c r="A545" s="1182" t="s">
        <v>1796</v>
      </c>
      <c r="B545" s="1182" t="s">
        <v>1711</v>
      </c>
      <c r="C545" s="1181" t="s">
        <v>1797</v>
      </c>
      <c r="D545" s="1182" t="s">
        <v>389</v>
      </c>
      <c r="E545" s="1182" t="s">
        <v>1676</v>
      </c>
      <c r="F545" s="1263" t="s">
        <v>1806</v>
      </c>
      <c r="G545" s="1184" t="s">
        <v>483</v>
      </c>
      <c r="H545" s="1185">
        <v>6750000000</v>
      </c>
      <c r="I545" s="1266" t="s">
        <v>1813</v>
      </c>
      <c r="J545" s="1186" t="str">
        <f>VLOOKUP($I545,'Price List, Weapons &amp; Items'!B:C,2,0)</f>
        <v>Military equipment</v>
      </c>
      <c r="K545" s="1186" t="str">
        <f>IF(I545=".",I545,VLOOKUP($I545,'Price List, Weapons &amp; Items'!B:D,3,0))</f>
        <v>Military equipment</v>
      </c>
      <c r="L545" s="1187">
        <f>VLOOKUP(I545,'Price List, Weapons &amp; Items'!B:E,4,0)</f>
        <v>0</v>
      </c>
      <c r="M545" s="1188">
        <v>12</v>
      </c>
      <c r="N545" s="1188">
        <v>1</v>
      </c>
      <c r="O545" s="1188" t="str">
        <f>VLOOKUP($I545,'Price List, Weapons &amp; Items'!B:G,6,0)</f>
        <v>.</v>
      </c>
      <c r="P545" s="1185" t="str">
        <f t="shared" si="119"/>
        <v>No price</v>
      </c>
      <c r="Q545" s="1185" t="str">
        <f t="shared" si="120"/>
        <v>No price</v>
      </c>
      <c r="R545" s="1185" t="str">
        <f t="shared" si="116"/>
        <v/>
      </c>
      <c r="S545" s="1185" t="str">
        <f>IF(AND(AD545=1,R545&lt;&gt;".")=TRUE,R545/VLOOKUP(G545,'Exchange Rates'!B:C,2,0),IF(R545=".",".",""))</f>
        <v/>
      </c>
      <c r="T545" s="1185" t="str">
        <f>IF(AD545=1,IF(AF545="Value is not given at all",".",IF(AF545="Value is given by the source",S545,IF(AF545="Value is calculated with prices",(IF(SUMIFS(Q:Q,A:A,A545)&gt;0,SUMIFS(Q:Q,A:A,A545),"."))/VLOOKUP("USD",'Exchange Rates'!B:C,2,0),"Error with coding"))),"")</f>
        <v/>
      </c>
      <c r="U545" s="1184" t="s">
        <v>365</v>
      </c>
      <c r="V545" s="972" t="s">
        <v>1782</v>
      </c>
      <c r="W545" s="972" t="s">
        <v>1280</v>
      </c>
      <c r="X545" s="972" t="s">
        <v>364</v>
      </c>
      <c r="Y545" s="972" t="s">
        <v>364</v>
      </c>
      <c r="Z545" s="1184">
        <v>0</v>
      </c>
      <c r="AA545" s="1194">
        <v>0</v>
      </c>
      <c r="AB545" s="600" t="s">
        <v>1280</v>
      </c>
      <c r="AC545" s="1192" t="str">
        <f>""</f>
        <v/>
      </c>
      <c r="AD545" s="985">
        <v>0</v>
      </c>
      <c r="AE545" s="1194" t="s">
        <v>368</v>
      </c>
      <c r="AF545" s="985" t="s">
        <v>369</v>
      </c>
      <c r="AG545" s="985">
        <v>0</v>
      </c>
      <c r="AH545" s="985">
        <v>0</v>
      </c>
      <c r="AI545" s="985">
        <v>0</v>
      </c>
      <c r="AJ545" s="1193">
        <f>VLOOKUP($I545,'Price List, Weapons &amp; Items'!B:F,5,0)</f>
        <v>0</v>
      </c>
      <c r="AK545" s="1193">
        <f t="shared" si="121"/>
        <v>0</v>
      </c>
      <c r="AL545" s="1193">
        <f t="shared" si="122"/>
        <v>0</v>
      </c>
      <c r="AM545" s="1193">
        <f t="shared" si="123"/>
        <v>0</v>
      </c>
      <c r="AN545" s="1194" t="str">
        <f>VLOOKUP($I545,'Price List, Weapons &amp; Items'!B:L,COLUMN('Price List, Weapons &amp; Items'!$J$11)-1,0)</f>
        <v>.</v>
      </c>
      <c r="AO545" s="1194" t="str">
        <f>IF(I545=".",".",VLOOKUP($I545,'Price List, Weapons &amp; Items'!B:J,3,0))</f>
        <v>Military equipment</v>
      </c>
      <c r="AP545" s="1195" t="str">
        <f t="shared" ca="1" si="117"/>
        <v/>
      </c>
      <c r="AQ545" s="1194">
        <f>VLOOKUP($I545,'Price List, Weapons &amp; Items'!B:L,COLUMN('Price List, Weapons &amp; Items'!$L$11)-1,0)</f>
        <v>0</v>
      </c>
      <c r="AR545" s="1194">
        <f t="shared" si="124"/>
        <v>1</v>
      </c>
      <c r="AS545" s="1194">
        <f t="shared" si="125"/>
        <v>1</v>
      </c>
      <c r="AT545" s="1194" t="str">
        <f t="shared" si="126"/>
        <v>Value is not in date format</v>
      </c>
      <c r="AU545" s="1194" t="str">
        <f t="shared" si="127"/>
        <v>.</v>
      </c>
      <c r="AV545" s="1194" t="str">
        <f t="shared" si="118"/>
        <v>.</v>
      </c>
      <c r="AW545" s="1194" t="str">
        <f t="shared" si="128"/>
        <v>.</v>
      </c>
      <c r="AX545" s="1194">
        <f>IFERROR(VLOOKUP(B545,'Share, Heavy Weapons to Ukraine'!B:Z,COLUMN('Share, Heavy Weapons to Ukraine'!C555)-1,0),0)</f>
        <v>0</v>
      </c>
      <c r="AY545" s="1194">
        <f>VLOOKUP('Bilateral Assistance, MAIN DATA'!B545,'Country Summary (€)'!B:F,COLUMN('Country Summary (€)'!C556)-1,FALSE)</f>
        <v>1</v>
      </c>
      <c r="AZ545" s="1194" t="str">
        <f>IF(AND(AD545=1,D545="Military",H545&lt;&gt;"Not given")=TRUE,IF(SUMIFS(P:P,A:A,A545)&gt;0,ABS((SUMIFS(P:P,A:A,A545)/VLOOKUP("USD",'Exchange Rates'!B:C,2,0)))/S545,"."),".")</f>
        <v>.</v>
      </c>
      <c r="BA545" s="1196" t="str">
        <f>IF(AND(AD545=1,D545="Military",H545&lt;&gt;"Not given")=TRUE,IF(SUMIFS(P:P,A:A,A545)&gt;0,IF((ABS((SUMIFS(P:P,A:A,A545)/VLOOKUP("USD",'Exchange Rates'!B:C,2,0)))/S545)&gt;1,(SUMIFS(P:P,A:A,A545)-S545)/S545,(S545-SUMIFS(P:P,A:A,A545))/SUMIFS(P:P,A:A,A545)),"."),".")</f>
        <v>.</v>
      </c>
    </row>
    <row r="546" spans="1:53" ht="15.95" customHeight="1">
      <c r="A546" s="1182" t="s">
        <v>1796</v>
      </c>
      <c r="B546" s="1182" t="s">
        <v>1711</v>
      </c>
      <c r="C546" s="1181" t="s">
        <v>1797</v>
      </c>
      <c r="D546" s="1182" t="s">
        <v>389</v>
      </c>
      <c r="E546" s="1182" t="s">
        <v>1676</v>
      </c>
      <c r="F546" s="1263" t="s">
        <v>1806</v>
      </c>
      <c r="G546" s="1184" t="s">
        <v>483</v>
      </c>
      <c r="H546" s="1185">
        <v>6750000000</v>
      </c>
      <c r="I546" s="1266" t="s">
        <v>1814</v>
      </c>
      <c r="J546" s="1186" t="str">
        <f>VLOOKUP($I546,'Price List, Weapons &amp; Items'!B:C,2,0)</f>
        <v>military equipment</v>
      </c>
      <c r="K546" s="1186" t="str">
        <f>IF(I546=".",I546,VLOOKUP($I546,'Price List, Weapons &amp; Items'!B:D,3,0))</f>
        <v>Radar or imagery systems</v>
      </c>
      <c r="L546" s="1187">
        <f>VLOOKUP(I546,'Price List, Weapons &amp; Items'!B:E,4,0)</f>
        <v>0</v>
      </c>
      <c r="M546" s="1188">
        <v>1</v>
      </c>
      <c r="N546" s="1188">
        <v>1</v>
      </c>
      <c r="O546" s="1188">
        <f>VLOOKUP($I546,'Price List, Weapons &amp; Items'!B:G,6,0)</f>
        <v>19354990.84</v>
      </c>
      <c r="P546" s="1185">
        <f t="shared" si="119"/>
        <v>19354990.84</v>
      </c>
      <c r="Q546" s="1185">
        <f t="shared" si="120"/>
        <v>19354990.84</v>
      </c>
      <c r="R546" s="1185" t="str">
        <f t="shared" si="116"/>
        <v/>
      </c>
      <c r="S546" s="1185" t="str">
        <f>IF(AND(AD546=1,R546&lt;&gt;".")=TRUE,R546/VLOOKUP(G546,'Exchange Rates'!B:C,2,0),IF(R546=".",".",""))</f>
        <v/>
      </c>
      <c r="T546" s="1185" t="str">
        <f>IF(AD546=1,IF(AF546="Value is not given at all",".",IF(AF546="Value is given by the source",S546,IF(AF546="Value is calculated with prices",(IF(SUMIFS(Q:Q,A:A,A546)&gt;0,SUMIFS(Q:Q,A:A,A546),"."))/VLOOKUP("USD",'Exchange Rates'!B:C,2,0),"Error with coding"))),"")</f>
        <v/>
      </c>
      <c r="U546" s="1184" t="s">
        <v>365</v>
      </c>
      <c r="V546" s="972" t="s">
        <v>1782</v>
      </c>
      <c r="W546" s="972" t="s">
        <v>1280</v>
      </c>
      <c r="X546" s="972" t="s">
        <v>364</v>
      </c>
      <c r="Y546" s="972" t="s">
        <v>364</v>
      </c>
      <c r="Z546" s="1184">
        <v>0</v>
      </c>
      <c r="AA546" s="1194">
        <v>0</v>
      </c>
      <c r="AB546" s="600" t="s">
        <v>1280</v>
      </c>
      <c r="AC546" s="1192" t="str">
        <f>""</f>
        <v/>
      </c>
      <c r="AD546" s="985">
        <v>0</v>
      </c>
      <c r="AE546" s="1194" t="s">
        <v>368</v>
      </c>
      <c r="AF546" s="985" t="s">
        <v>369</v>
      </c>
      <c r="AG546" s="985">
        <v>0</v>
      </c>
      <c r="AH546" s="985">
        <v>0</v>
      </c>
      <c r="AI546" s="985">
        <v>0</v>
      </c>
      <c r="AJ546" s="1193">
        <f>VLOOKUP($I546,'Price List, Weapons &amp; Items'!B:F,5,0)</f>
        <v>0</v>
      </c>
      <c r="AK546" s="1193">
        <f t="shared" si="121"/>
        <v>0</v>
      </c>
      <c r="AL546" s="1193">
        <f t="shared" si="122"/>
        <v>0</v>
      </c>
      <c r="AM546" s="1193">
        <f t="shared" si="123"/>
        <v>0</v>
      </c>
      <c r="AN546" s="1194" t="str">
        <f>VLOOKUP($I546,'Price List, Weapons &amp; Items'!B:L,COLUMN('Price List, Weapons &amp; Items'!$J$11)-1,0)</f>
        <v>Contracts</v>
      </c>
      <c r="AO546" s="1194" t="str">
        <f>IF(I546=".",".",VLOOKUP($I546,'Price List, Weapons &amp; Items'!B:J,3,0))</f>
        <v>Radar or imagery systems</v>
      </c>
      <c r="AP546" s="1195" t="str">
        <f t="shared" ca="1" si="117"/>
        <v/>
      </c>
      <c r="AQ546" s="1194">
        <f>VLOOKUP($I546,'Price List, Weapons &amp; Items'!B:L,COLUMN('Price List, Weapons &amp; Items'!$L$11)-1,0)</f>
        <v>2</v>
      </c>
      <c r="AR546" s="1194">
        <f t="shared" si="124"/>
        <v>1</v>
      </c>
      <c r="AS546" s="1194">
        <f t="shared" si="125"/>
        <v>1</v>
      </c>
      <c r="AT546" s="1194" t="str">
        <f t="shared" si="126"/>
        <v>Value is not in date format</v>
      </c>
      <c r="AU546" s="1194" t="str">
        <f t="shared" si="127"/>
        <v>.</v>
      </c>
      <c r="AV546" s="1194" t="str">
        <f t="shared" si="118"/>
        <v>.</v>
      </c>
      <c r="AW546" s="1194" t="str">
        <f t="shared" si="128"/>
        <v>.</v>
      </c>
      <c r="AX546" s="1194">
        <f>IFERROR(VLOOKUP(B546,'Share, Heavy Weapons to Ukraine'!B:Z,COLUMN('Share, Heavy Weapons to Ukraine'!C556)-1,0),0)</f>
        <v>0</v>
      </c>
      <c r="AY546" s="1194">
        <f>VLOOKUP('Bilateral Assistance, MAIN DATA'!B546,'Country Summary (€)'!B:F,COLUMN('Country Summary (€)'!C557)-1,FALSE)</f>
        <v>1</v>
      </c>
      <c r="AZ546" s="1194" t="str">
        <f>IF(AND(AD546=1,D546="Military",H546&lt;&gt;"Not given")=TRUE,IF(SUMIFS(P:P,A:A,A546)&gt;0,ABS((SUMIFS(P:P,A:A,A546)/VLOOKUP("USD",'Exchange Rates'!B:C,2,0)))/S546,"."),".")</f>
        <v>.</v>
      </c>
      <c r="BA546" s="1196" t="str">
        <f>IF(AND(AD546=1,D546="Military",H546&lt;&gt;"Not given")=TRUE,IF(SUMIFS(P:P,A:A,A546)&gt;0,IF((ABS((SUMIFS(P:P,A:A,A546)/VLOOKUP("USD",'Exchange Rates'!B:C,2,0)))/S546)&gt;1,(SUMIFS(P:P,A:A,A546)-S546)/S546,(S546-SUMIFS(P:P,A:A,A546))/SUMIFS(P:P,A:A,A546)),"."),".")</f>
        <v>.</v>
      </c>
    </row>
    <row r="547" spans="1:53" ht="15.95" customHeight="1">
      <c r="A547" s="1182" t="s">
        <v>1796</v>
      </c>
      <c r="B547" s="1182" t="s">
        <v>1711</v>
      </c>
      <c r="C547" s="1181" t="s">
        <v>1797</v>
      </c>
      <c r="D547" s="1182" t="s">
        <v>389</v>
      </c>
      <c r="E547" s="1182" t="s">
        <v>1676</v>
      </c>
      <c r="F547" s="1263" t="s">
        <v>1806</v>
      </c>
      <c r="G547" s="1184" t="s">
        <v>483</v>
      </c>
      <c r="H547" s="1185">
        <v>6750000000</v>
      </c>
      <c r="I547" s="1266" t="s">
        <v>1815</v>
      </c>
      <c r="J547" s="1186" t="str">
        <f>VLOOKUP($I547,'Price List, Weapons &amp; Items'!B:C,2,0)</f>
        <v>Military equipment</v>
      </c>
      <c r="K547" s="1186" t="str">
        <f>IF(I547=".",I547,VLOOKUP($I547,'Price List, Weapons &amp; Items'!B:D,3,0))</f>
        <v>Military equipment</v>
      </c>
      <c r="L547" s="1187">
        <f>VLOOKUP(I547,'Price List, Weapons &amp; Items'!B:E,4,0)</f>
        <v>0</v>
      </c>
      <c r="M547" s="1188" t="s">
        <v>374</v>
      </c>
      <c r="N547" s="1188" t="s">
        <v>374</v>
      </c>
      <c r="O547" s="1188" t="str">
        <f>VLOOKUP($I547,'Price List, Weapons &amp; Items'!B:G,6,0)</f>
        <v>.</v>
      </c>
      <c r="P547" s="1185" t="str">
        <f t="shared" si="119"/>
        <v>.</v>
      </c>
      <c r="Q547" s="1185" t="str">
        <f t="shared" si="120"/>
        <v>.</v>
      </c>
      <c r="R547" s="1185" t="str">
        <f t="shared" si="116"/>
        <v/>
      </c>
      <c r="S547" s="1185" t="str">
        <f>IF(AND(AD547=1,R547&lt;&gt;".")=TRUE,R547/VLOOKUP(G547,'Exchange Rates'!B:C,2,0),IF(R547=".",".",""))</f>
        <v/>
      </c>
      <c r="T547" s="1185" t="str">
        <f>IF(AD547=1,IF(AF547="Value is not given at all",".",IF(AF547="Value is given by the source",S547,IF(AF547="Value is calculated with prices",(IF(SUMIFS(Q:Q,A:A,A547)&gt;0,SUMIFS(Q:Q,A:A,A547),"."))/VLOOKUP("USD",'Exchange Rates'!B:C,2,0),"Error with coding"))),"")</f>
        <v/>
      </c>
      <c r="U547" s="1184" t="s">
        <v>365</v>
      </c>
      <c r="V547" s="972" t="s">
        <v>1782</v>
      </c>
      <c r="W547" s="972" t="s">
        <v>1280</v>
      </c>
      <c r="X547" s="972" t="s">
        <v>364</v>
      </c>
      <c r="Y547" s="972" t="s">
        <v>364</v>
      </c>
      <c r="Z547" s="1184">
        <v>0</v>
      </c>
      <c r="AA547" s="1194">
        <v>0</v>
      </c>
      <c r="AB547" s="600" t="s">
        <v>1280</v>
      </c>
      <c r="AC547" s="1192" t="str">
        <f>""</f>
        <v/>
      </c>
      <c r="AD547" s="985">
        <v>0</v>
      </c>
      <c r="AE547" s="1194" t="s">
        <v>368</v>
      </c>
      <c r="AF547" s="985" t="s">
        <v>369</v>
      </c>
      <c r="AG547" s="985">
        <v>0</v>
      </c>
      <c r="AH547" s="985">
        <v>0</v>
      </c>
      <c r="AI547" s="985">
        <v>0</v>
      </c>
      <c r="AJ547" s="1193">
        <f>VLOOKUP($I547,'Price List, Weapons &amp; Items'!B:F,5,0)</f>
        <v>0</v>
      </c>
      <c r="AK547" s="1193">
        <f t="shared" si="121"/>
        <v>0</v>
      </c>
      <c r="AL547" s="1193">
        <f t="shared" si="122"/>
        <v>0</v>
      </c>
      <c r="AM547" s="1193">
        <f t="shared" si="123"/>
        <v>0</v>
      </c>
      <c r="AN547" s="1194" t="str">
        <f>VLOOKUP($I547,'Price List, Weapons &amp; Items'!B:L,COLUMN('Price List, Weapons &amp; Items'!$J$11)-1,0)</f>
        <v>.</v>
      </c>
      <c r="AO547" s="1194" t="str">
        <f>IF(I547=".",".",VLOOKUP($I547,'Price List, Weapons &amp; Items'!B:J,3,0))</f>
        <v>Military equipment</v>
      </c>
      <c r="AP547" s="1195" t="str">
        <f t="shared" ca="1" si="117"/>
        <v/>
      </c>
      <c r="AQ547" s="1194" t="str">
        <f>VLOOKUP($I547,'Price List, Weapons &amp; Items'!B:L,COLUMN('Price List, Weapons &amp; Items'!$L$11)-1,0)</f>
        <v>no price, 0 count</v>
      </c>
      <c r="AR547" s="1194">
        <f t="shared" si="124"/>
        <v>1</v>
      </c>
      <c r="AS547" s="1194">
        <f t="shared" si="125"/>
        <v>1</v>
      </c>
      <c r="AT547" s="1194" t="str">
        <f t="shared" si="126"/>
        <v>Value is not in date format</v>
      </c>
      <c r="AU547" s="1194" t="str">
        <f t="shared" si="127"/>
        <v>.</v>
      </c>
      <c r="AV547" s="1194" t="str">
        <f t="shared" si="118"/>
        <v>.</v>
      </c>
      <c r="AW547" s="1194" t="str">
        <f t="shared" si="128"/>
        <v>.</v>
      </c>
      <c r="AX547" s="1194">
        <f>IFERROR(VLOOKUP(B547,'Share, Heavy Weapons to Ukraine'!B:Z,COLUMN('Share, Heavy Weapons to Ukraine'!C557)-1,0),0)</f>
        <v>0</v>
      </c>
      <c r="AY547" s="1194">
        <f>VLOOKUP('Bilateral Assistance, MAIN DATA'!B547,'Country Summary (€)'!B:F,COLUMN('Country Summary (€)'!C558)-1,FALSE)</f>
        <v>1</v>
      </c>
      <c r="AZ547" s="1194" t="str">
        <f>IF(AND(AD547=1,D547="Military",H547&lt;&gt;"Not given")=TRUE,IF(SUMIFS(P:P,A:A,A547)&gt;0,ABS((SUMIFS(P:P,A:A,A547)/VLOOKUP("USD",'Exchange Rates'!B:C,2,0)))/S547,"."),".")</f>
        <v>.</v>
      </c>
      <c r="BA547" s="1196" t="str">
        <f>IF(AND(AD547=1,D547="Military",H547&lt;&gt;"Not given")=TRUE,IF(SUMIFS(P:P,A:A,A547)&gt;0,IF((ABS((SUMIFS(P:P,A:A,A547)/VLOOKUP("USD",'Exchange Rates'!B:C,2,0)))/S547)&gt;1,(SUMIFS(P:P,A:A,A547)-S547)/S547,(S547-SUMIFS(P:P,A:A,A547))/SUMIFS(P:P,A:A,A547)),"."),".")</f>
        <v>.</v>
      </c>
    </row>
    <row r="548" spans="1:53" ht="15.95" customHeight="1">
      <c r="A548" s="1182" t="s">
        <v>1796</v>
      </c>
      <c r="B548" s="1182" t="s">
        <v>1711</v>
      </c>
      <c r="C548" s="1181" t="s">
        <v>1797</v>
      </c>
      <c r="D548" s="1182" t="s">
        <v>389</v>
      </c>
      <c r="E548" s="1182" t="s">
        <v>1676</v>
      </c>
      <c r="F548" s="1263" t="s">
        <v>1806</v>
      </c>
      <c r="G548" s="1184" t="s">
        <v>483</v>
      </c>
      <c r="H548" s="1185">
        <v>6750000000</v>
      </c>
      <c r="I548" s="1266" t="s">
        <v>1816</v>
      </c>
      <c r="J548" s="1186" t="str">
        <f>VLOOKUP($I548,'Price List, Weapons &amp; Items'!B:C,2,0)</f>
        <v>Military equipment</v>
      </c>
      <c r="K548" s="1186" t="str">
        <f>IF(I548=".",I548,VLOOKUP($I548,'Price List, Weapons &amp; Items'!B:D,3,0))</f>
        <v>Military equipment</v>
      </c>
      <c r="L548" s="1187">
        <f>VLOOKUP(I548,'Price List, Weapons &amp; Items'!B:E,4,0)</f>
        <v>0</v>
      </c>
      <c r="M548" s="1188">
        <v>12</v>
      </c>
      <c r="N548" s="1188">
        <v>12</v>
      </c>
      <c r="O548" s="1188">
        <f>VLOOKUP($I548,'Price List, Weapons &amp; Items'!B:G,6,0)</f>
        <v>12000</v>
      </c>
      <c r="P548" s="1185">
        <f t="shared" si="119"/>
        <v>144000</v>
      </c>
      <c r="Q548" s="1185">
        <f t="shared" si="120"/>
        <v>144000</v>
      </c>
      <c r="R548" s="1185" t="str">
        <f t="shared" si="116"/>
        <v/>
      </c>
      <c r="S548" s="1185" t="str">
        <f>IF(AND(AD548=1,R548&lt;&gt;".")=TRUE,R548/VLOOKUP(G548,'Exchange Rates'!B:C,2,0),IF(R548=".",".",""))</f>
        <v/>
      </c>
      <c r="T548" s="1185" t="str">
        <f>IF(AD548=1,IF(AF548="Value is not given at all",".",IF(AF548="Value is given by the source",S548,IF(AF548="Value is calculated with prices",(IF(SUMIFS(Q:Q,A:A,A548)&gt;0,SUMIFS(Q:Q,A:A,A548),"."))/VLOOKUP("USD",'Exchange Rates'!B:C,2,0),"Error with coding"))),"")</f>
        <v/>
      </c>
      <c r="U548" s="1184" t="s">
        <v>365</v>
      </c>
      <c r="V548" s="972" t="s">
        <v>1782</v>
      </c>
      <c r="W548" s="972" t="s">
        <v>1280</v>
      </c>
      <c r="X548" s="972" t="s">
        <v>364</v>
      </c>
      <c r="Y548" s="972" t="s">
        <v>364</v>
      </c>
      <c r="Z548" s="1184">
        <v>0</v>
      </c>
      <c r="AA548" s="1194">
        <v>0</v>
      </c>
      <c r="AB548" s="600" t="s">
        <v>1280</v>
      </c>
      <c r="AC548" s="1192" t="str">
        <f>""</f>
        <v/>
      </c>
      <c r="AD548" s="985">
        <v>0</v>
      </c>
      <c r="AE548" s="1194" t="s">
        <v>368</v>
      </c>
      <c r="AF548" s="985" t="s">
        <v>369</v>
      </c>
      <c r="AG548" s="985">
        <v>0</v>
      </c>
      <c r="AH548" s="985">
        <v>0</v>
      </c>
      <c r="AI548" s="985">
        <v>0</v>
      </c>
      <c r="AJ548" s="1193">
        <f>VLOOKUP($I548,'Price List, Weapons &amp; Items'!B:F,5,0)</f>
        <v>0</v>
      </c>
      <c r="AK548" s="1193">
        <f t="shared" si="121"/>
        <v>0</v>
      </c>
      <c r="AL548" s="1193">
        <f t="shared" si="122"/>
        <v>0</v>
      </c>
      <c r="AM548" s="1193">
        <f t="shared" si="123"/>
        <v>0</v>
      </c>
      <c r="AN548" s="1194" t="str">
        <f>VLOOKUP($I548,'Price List, Weapons &amp; Items'!B:L,COLUMN('Price List, Weapons &amp; Items'!$J$11)-1,0)</f>
        <v>Media reports (incl. social media)</v>
      </c>
      <c r="AO548" s="1194" t="str">
        <f>IF(I548=".",".",VLOOKUP($I548,'Price List, Weapons &amp; Items'!B:J,3,0))</f>
        <v>Military equipment</v>
      </c>
      <c r="AP548" s="1195" t="str">
        <f t="shared" ca="1" si="117"/>
        <v/>
      </c>
      <c r="AQ548" s="1194">
        <f>VLOOKUP($I548,'Price List, Weapons &amp; Items'!B:L,COLUMN('Price List, Weapons &amp; Items'!$L$11)-1,0)</f>
        <v>1</v>
      </c>
      <c r="AR548" s="1194">
        <f t="shared" si="124"/>
        <v>1</v>
      </c>
      <c r="AS548" s="1194">
        <f t="shared" si="125"/>
        <v>1</v>
      </c>
      <c r="AT548" s="1194" t="str">
        <f t="shared" si="126"/>
        <v>Value is not in date format</v>
      </c>
      <c r="AU548" s="1194" t="str">
        <f t="shared" si="127"/>
        <v>.</v>
      </c>
      <c r="AV548" s="1194" t="str">
        <f t="shared" si="118"/>
        <v>.</v>
      </c>
      <c r="AW548" s="1194" t="str">
        <f t="shared" si="128"/>
        <v>.</v>
      </c>
      <c r="AX548" s="1194">
        <f>IFERROR(VLOOKUP(B548,'Share, Heavy Weapons to Ukraine'!B:Z,COLUMN('Share, Heavy Weapons to Ukraine'!C558)-1,0),0)</f>
        <v>0</v>
      </c>
      <c r="AY548" s="1194">
        <f>VLOOKUP('Bilateral Assistance, MAIN DATA'!B548,'Country Summary (€)'!B:F,COLUMN('Country Summary (€)'!C559)-1,FALSE)</f>
        <v>1</v>
      </c>
      <c r="AZ548" s="1194" t="str">
        <f>IF(AND(AD548=1,D548="Military",H548&lt;&gt;"Not given")=TRUE,IF(SUMIFS(P:P,A:A,A548)&gt;0,ABS((SUMIFS(P:P,A:A,A548)/VLOOKUP("USD",'Exchange Rates'!B:C,2,0)))/S548,"."),".")</f>
        <v>.</v>
      </c>
      <c r="BA548" s="1196" t="str">
        <f>IF(AND(AD548=1,D548="Military",H548&lt;&gt;"Not given")=TRUE,IF(SUMIFS(P:P,A:A,A548)&gt;0,IF((ABS((SUMIFS(P:P,A:A,A548)/VLOOKUP("USD",'Exchange Rates'!B:C,2,0)))/S548)&gt;1,(SUMIFS(P:P,A:A,A548)-S548)/S548,(S548-SUMIFS(P:P,A:A,A548))/SUMIFS(P:P,A:A,A548)),"."),".")</f>
        <v>.</v>
      </c>
    </row>
    <row r="549" spans="1:53" ht="15.95" customHeight="1">
      <c r="A549" s="1182" t="s">
        <v>1796</v>
      </c>
      <c r="B549" s="1182" t="s">
        <v>1711</v>
      </c>
      <c r="C549" s="1181" t="s">
        <v>1797</v>
      </c>
      <c r="D549" s="1182" t="s">
        <v>389</v>
      </c>
      <c r="E549" s="1182" t="s">
        <v>1676</v>
      </c>
      <c r="F549" s="1263" t="s">
        <v>1806</v>
      </c>
      <c r="G549" s="1184" t="s">
        <v>483</v>
      </c>
      <c r="H549" s="1185">
        <v>6750000000</v>
      </c>
      <c r="I549" s="1266" t="s">
        <v>1817</v>
      </c>
      <c r="J549" s="1186" t="str">
        <f>VLOOKUP($I549,'Price List, Weapons &amp; Items'!B:C,2,0)</f>
        <v>Military equipment</v>
      </c>
      <c r="K549" s="1186" t="str">
        <f>IF(I549=".",I549,VLOOKUP($I549,'Price List, Weapons &amp; Items'!B:D,3,0))</f>
        <v>Military equipment</v>
      </c>
      <c r="L549" s="1187">
        <f>VLOOKUP(I549,'Price List, Weapons &amp; Items'!B:E,4,0)</f>
        <v>0</v>
      </c>
      <c r="M549" s="1188">
        <v>165</v>
      </c>
      <c r="N549" s="1188">
        <v>165</v>
      </c>
      <c r="O549" s="1188">
        <f>VLOOKUP($I549,'Price List, Weapons &amp; Items'!B:G,6,0)</f>
        <v>11.99</v>
      </c>
      <c r="P549" s="1185">
        <f t="shared" si="119"/>
        <v>1978.3500000000001</v>
      </c>
      <c r="Q549" s="1185">
        <f t="shared" si="120"/>
        <v>1978.3500000000001</v>
      </c>
      <c r="R549" s="1185" t="str">
        <f t="shared" si="116"/>
        <v/>
      </c>
      <c r="S549" s="1185" t="str">
        <f>IF(AND(AD549=1,R549&lt;&gt;".")=TRUE,R549/VLOOKUP(G549,'Exchange Rates'!B:C,2,0),IF(R549=".",".",""))</f>
        <v/>
      </c>
      <c r="T549" s="1185" t="str">
        <f>IF(AD549=1,IF(AF549="Value is not given at all",".",IF(AF549="Value is given by the source",S549,IF(AF549="Value is calculated with prices",(IF(SUMIFS(Q:Q,A:A,A549)&gt;0,SUMIFS(Q:Q,A:A,A549),"."))/VLOOKUP("USD",'Exchange Rates'!B:C,2,0),"Error with coding"))),"")</f>
        <v/>
      </c>
      <c r="U549" s="1184" t="s">
        <v>365</v>
      </c>
      <c r="V549" s="972" t="s">
        <v>1782</v>
      </c>
      <c r="W549" s="972" t="s">
        <v>1280</v>
      </c>
      <c r="X549" s="972" t="s">
        <v>364</v>
      </c>
      <c r="Y549" s="972" t="s">
        <v>364</v>
      </c>
      <c r="Z549" s="1184">
        <v>0</v>
      </c>
      <c r="AA549" s="1194">
        <v>0</v>
      </c>
      <c r="AB549" s="600" t="s">
        <v>1280</v>
      </c>
      <c r="AC549" s="1192" t="str">
        <f>""</f>
        <v/>
      </c>
      <c r="AD549" s="985">
        <v>0</v>
      </c>
      <c r="AE549" s="1194" t="s">
        <v>368</v>
      </c>
      <c r="AF549" s="985" t="s">
        <v>369</v>
      </c>
      <c r="AG549" s="985">
        <v>0</v>
      </c>
      <c r="AH549" s="985">
        <v>0</v>
      </c>
      <c r="AI549" s="985">
        <v>0</v>
      </c>
      <c r="AJ549" s="1193">
        <f>VLOOKUP($I549,'Price List, Weapons &amp; Items'!B:F,5,0)</f>
        <v>0</v>
      </c>
      <c r="AK549" s="1193">
        <f t="shared" si="121"/>
        <v>0</v>
      </c>
      <c r="AL549" s="1193">
        <f t="shared" si="122"/>
        <v>0</v>
      </c>
      <c r="AM549" s="1193">
        <f t="shared" si="123"/>
        <v>0</v>
      </c>
      <c r="AN549" s="1194" t="str">
        <f>VLOOKUP($I549,'Price List, Weapons &amp; Items'!B:L,COLUMN('Price List, Weapons &amp; Items'!$J$11)-1,0)</f>
        <v>Online marketplaces and stores</v>
      </c>
      <c r="AO549" s="1194" t="str">
        <f>IF(I549=".",".",VLOOKUP($I549,'Price List, Weapons &amp; Items'!B:J,3,0))</f>
        <v>Military equipment</v>
      </c>
      <c r="AP549" s="1195" t="str">
        <f t="shared" ca="1" si="117"/>
        <v/>
      </c>
      <c r="AQ549" s="1194">
        <f>VLOOKUP($I549,'Price List, Weapons &amp; Items'!B:L,COLUMN('Price List, Weapons &amp; Items'!$L$11)-1,0)</f>
        <v>1</v>
      </c>
      <c r="AR549" s="1194">
        <f t="shared" si="124"/>
        <v>1</v>
      </c>
      <c r="AS549" s="1194">
        <f t="shared" si="125"/>
        <v>1</v>
      </c>
      <c r="AT549" s="1194" t="str">
        <f t="shared" si="126"/>
        <v>Value is not in date format</v>
      </c>
      <c r="AU549" s="1194" t="str">
        <f t="shared" si="127"/>
        <v>.</v>
      </c>
      <c r="AV549" s="1194" t="str">
        <f t="shared" si="118"/>
        <v>.</v>
      </c>
      <c r="AW549" s="1194" t="str">
        <f t="shared" si="128"/>
        <v>.</v>
      </c>
      <c r="AX549" s="1194">
        <f>IFERROR(VLOOKUP(B549,'Share, Heavy Weapons to Ukraine'!B:Z,COLUMN('Share, Heavy Weapons to Ukraine'!C559)-1,0),0)</f>
        <v>0</v>
      </c>
      <c r="AY549" s="1194">
        <f>VLOOKUP('Bilateral Assistance, MAIN DATA'!B549,'Country Summary (€)'!B:F,COLUMN('Country Summary (€)'!C560)-1,FALSE)</f>
        <v>1</v>
      </c>
      <c r="AZ549" s="1194" t="str">
        <f>IF(AND(AD549=1,D549="Military",H549&lt;&gt;"Not given")=TRUE,IF(SUMIFS(P:P,A:A,A549)&gt;0,ABS((SUMIFS(P:P,A:A,A549)/VLOOKUP("USD",'Exchange Rates'!B:C,2,0)))/S549,"."),".")</f>
        <v>.</v>
      </c>
      <c r="BA549" s="1196" t="str">
        <f>IF(AND(AD549=1,D549="Military",H549&lt;&gt;"Not given")=TRUE,IF(SUMIFS(P:P,A:A,A549)&gt;0,IF((ABS((SUMIFS(P:P,A:A,A549)/VLOOKUP("USD",'Exchange Rates'!B:C,2,0)))/S549)&gt;1,(SUMIFS(P:P,A:A,A549)-S549)/S549,(S549-SUMIFS(P:P,A:A,A549))/SUMIFS(P:P,A:A,A549)),"."),".")</f>
        <v>.</v>
      </c>
    </row>
    <row r="550" spans="1:53" ht="15.95" customHeight="1">
      <c r="A550" s="1182" t="s">
        <v>1796</v>
      </c>
      <c r="B550" s="1182" t="s">
        <v>1711</v>
      </c>
      <c r="C550" s="1181" t="s">
        <v>1797</v>
      </c>
      <c r="D550" s="1182" t="s">
        <v>389</v>
      </c>
      <c r="E550" s="1182" t="s">
        <v>1676</v>
      </c>
      <c r="F550" s="1263" t="s">
        <v>1806</v>
      </c>
      <c r="G550" s="1184" t="s">
        <v>483</v>
      </c>
      <c r="H550" s="1185">
        <v>6750000000</v>
      </c>
      <c r="I550" s="1266" t="s">
        <v>1818</v>
      </c>
      <c r="J550" s="1186" t="str">
        <f>VLOOKUP($I550,'Price List, Weapons &amp; Items'!B:C,2,0)</f>
        <v>Military equipment</v>
      </c>
      <c r="K550" s="1186" t="str">
        <f>IF(I550=".",I550,VLOOKUP($I550,'Price List, Weapons &amp; Items'!B:D,3,0))</f>
        <v>Military equipment</v>
      </c>
      <c r="L550" s="1187">
        <f>VLOOKUP(I550,'Price List, Weapons &amp; Items'!B:E,4,0)</f>
        <v>0</v>
      </c>
      <c r="M550" s="1188">
        <v>2</v>
      </c>
      <c r="N550" s="1188">
        <v>1</v>
      </c>
      <c r="O550" s="1188">
        <f>VLOOKUP($I550,'Price List, Weapons &amp; Items'!B:G,6,0)</f>
        <v>6060550</v>
      </c>
      <c r="P550" s="1185">
        <f t="shared" si="119"/>
        <v>12121100</v>
      </c>
      <c r="Q550" s="1185">
        <f t="shared" si="120"/>
        <v>6060550</v>
      </c>
      <c r="R550" s="1185" t="str">
        <f t="shared" si="116"/>
        <v/>
      </c>
      <c r="S550" s="1185" t="str">
        <f>IF(AND(AD550=1,R550&lt;&gt;".")=TRUE,R550/VLOOKUP(G550,'Exchange Rates'!B:C,2,0),IF(R550=".",".",""))</f>
        <v/>
      </c>
      <c r="T550" s="1185" t="str">
        <f>IF(AD550=1,IF(AF550="Value is not given at all",".",IF(AF550="Value is given by the source",S550,IF(AF550="Value is calculated with prices",(IF(SUMIFS(Q:Q,A:A,A550)&gt;0,SUMIFS(Q:Q,A:A,A550),"."))/VLOOKUP("USD",'Exchange Rates'!B:C,2,0),"Error with coding"))),"")</f>
        <v/>
      </c>
      <c r="U550" s="1184" t="s">
        <v>365</v>
      </c>
      <c r="V550" s="972" t="s">
        <v>1782</v>
      </c>
      <c r="W550" s="972" t="s">
        <v>1280</v>
      </c>
      <c r="X550" s="972" t="s">
        <v>364</v>
      </c>
      <c r="Y550" s="972" t="s">
        <v>364</v>
      </c>
      <c r="Z550" s="1184">
        <v>0</v>
      </c>
      <c r="AA550" s="1194">
        <v>0</v>
      </c>
      <c r="AB550" s="600" t="s">
        <v>1280</v>
      </c>
      <c r="AC550" s="1192" t="str">
        <f>""</f>
        <v/>
      </c>
      <c r="AD550" s="985">
        <v>0</v>
      </c>
      <c r="AE550" s="1194" t="s">
        <v>368</v>
      </c>
      <c r="AF550" s="985" t="s">
        <v>369</v>
      </c>
      <c r="AG550" s="985">
        <v>0</v>
      </c>
      <c r="AH550" s="985">
        <v>0</v>
      </c>
      <c r="AI550" s="985">
        <v>0</v>
      </c>
      <c r="AJ550" s="1193">
        <f>VLOOKUP($I550,'Price List, Weapons &amp; Items'!B:F,5,0)</f>
        <v>0</v>
      </c>
      <c r="AK550" s="1193">
        <f t="shared" si="121"/>
        <v>0</v>
      </c>
      <c r="AL550" s="1193">
        <f t="shared" si="122"/>
        <v>0</v>
      </c>
      <c r="AM550" s="1193">
        <f t="shared" si="123"/>
        <v>0</v>
      </c>
      <c r="AN550" s="1194" t="str">
        <f>VLOOKUP($I550,'Price List, Weapons &amp; Items'!B:L,COLUMN('Price List, Weapons &amp; Items'!$J$11)-1,0)</f>
        <v>Media reports (incl. social media)</v>
      </c>
      <c r="AO550" s="1194" t="str">
        <f>IF(I550=".",".",VLOOKUP($I550,'Price List, Weapons &amp; Items'!B:J,3,0))</f>
        <v>Military equipment</v>
      </c>
      <c r="AP550" s="1195" t="str">
        <f t="shared" ca="1" si="117"/>
        <v/>
      </c>
      <c r="AQ550" s="1194">
        <f>VLOOKUP($I550,'Price List, Weapons &amp; Items'!B:L,COLUMN('Price List, Weapons &amp; Items'!$L$11)-1,0)</f>
        <v>2</v>
      </c>
      <c r="AR550" s="1194">
        <f t="shared" si="124"/>
        <v>1</v>
      </c>
      <c r="AS550" s="1194">
        <f t="shared" si="125"/>
        <v>1</v>
      </c>
      <c r="AT550" s="1194" t="str">
        <f t="shared" si="126"/>
        <v>Value is not in date format</v>
      </c>
      <c r="AU550" s="1194" t="str">
        <f t="shared" si="127"/>
        <v>.</v>
      </c>
      <c r="AV550" s="1194" t="str">
        <f t="shared" si="118"/>
        <v>.</v>
      </c>
      <c r="AW550" s="1194" t="str">
        <f t="shared" si="128"/>
        <v>.</v>
      </c>
      <c r="AX550" s="1194">
        <f>IFERROR(VLOOKUP(B550,'Share, Heavy Weapons to Ukraine'!B:Z,COLUMN('Share, Heavy Weapons to Ukraine'!C560)-1,0),0)</f>
        <v>0</v>
      </c>
      <c r="AY550" s="1194">
        <f>VLOOKUP('Bilateral Assistance, MAIN DATA'!B550,'Country Summary (€)'!B:F,COLUMN('Country Summary (€)'!C561)-1,FALSE)</f>
        <v>1</v>
      </c>
      <c r="AZ550" s="1194" t="str">
        <f>IF(AND(AD550=1,D550="Military",H550&lt;&gt;"Not given")=TRUE,IF(SUMIFS(P:P,A:A,A550)&gt;0,ABS((SUMIFS(P:P,A:A,A550)/VLOOKUP("USD",'Exchange Rates'!B:C,2,0)))/S550,"."),".")</f>
        <v>.</v>
      </c>
      <c r="BA550" s="1196" t="str">
        <f>IF(AND(AD550=1,D550="Military",H550&lt;&gt;"Not given")=TRUE,IF(SUMIFS(P:P,A:A,A550)&gt;0,IF((ABS((SUMIFS(P:P,A:A,A550)/VLOOKUP("USD",'Exchange Rates'!B:C,2,0)))/S550)&gt;1,(SUMIFS(P:P,A:A,A550)-S550)/S550,(S550-SUMIFS(P:P,A:A,A550))/SUMIFS(P:P,A:A,A550)),"."),".")</f>
        <v>.</v>
      </c>
    </row>
    <row r="551" spans="1:53" ht="15.95" customHeight="1">
      <c r="A551" s="1182" t="s">
        <v>1796</v>
      </c>
      <c r="B551" s="1182" t="s">
        <v>1711</v>
      </c>
      <c r="C551" s="1181" t="s">
        <v>1797</v>
      </c>
      <c r="D551" s="1182" t="s">
        <v>389</v>
      </c>
      <c r="E551" s="1182" t="s">
        <v>1676</v>
      </c>
      <c r="F551" s="1263" t="s">
        <v>1806</v>
      </c>
      <c r="G551" s="1184" t="s">
        <v>483</v>
      </c>
      <c r="H551" s="1185">
        <v>6750000000</v>
      </c>
      <c r="I551" s="1266" t="s">
        <v>1819</v>
      </c>
      <c r="J551" s="1186" t="str">
        <f>VLOOKUP($I551,'Price List, Weapons &amp; Items'!B:C,2,0)</f>
        <v>Military equipment</v>
      </c>
      <c r="K551" s="1186" t="str">
        <f>IF(I551=".",I551,VLOOKUP($I551,'Price List, Weapons &amp; Items'!B:D,3,0))</f>
        <v>Military equipment</v>
      </c>
      <c r="L551" s="1187">
        <f>VLOOKUP(I551,'Price List, Weapons &amp; Items'!B:E,4,0)</f>
        <v>0</v>
      </c>
      <c r="M551" s="1188">
        <v>200000</v>
      </c>
      <c r="N551" s="1275">
        <v>160000</v>
      </c>
      <c r="O551" s="1188">
        <f>VLOOKUP($I551,'Price List, Weapons &amp; Items'!B:G,6,0)</f>
        <v>37.82</v>
      </c>
      <c r="P551" s="1185">
        <f t="shared" si="119"/>
        <v>7564000</v>
      </c>
      <c r="Q551" s="1185">
        <f t="shared" si="120"/>
        <v>6051200</v>
      </c>
      <c r="R551" s="1185" t="str">
        <f t="shared" si="116"/>
        <v/>
      </c>
      <c r="S551" s="1185" t="str">
        <f>IF(AND(AD551=1,R551&lt;&gt;".")=TRUE,R551/VLOOKUP(G551,'Exchange Rates'!B:C,2,0),IF(R551=".",".",""))</f>
        <v/>
      </c>
      <c r="T551" s="1185" t="str">
        <f>IF(AD551=1,IF(AF551="Value is not given at all",".",IF(AF551="Value is given by the source",S551,IF(AF551="Value is calculated with prices",(IF(SUMIFS(Q:Q,A:A,A551)&gt;0,SUMIFS(Q:Q,A:A,A551),"."))/VLOOKUP("USD",'Exchange Rates'!B:C,2,0),"Error with coding"))),"")</f>
        <v/>
      </c>
      <c r="U551" s="1184" t="s">
        <v>365</v>
      </c>
      <c r="V551" s="972" t="s">
        <v>1782</v>
      </c>
      <c r="W551" s="972" t="s">
        <v>1280</v>
      </c>
      <c r="X551" s="972" t="s">
        <v>364</v>
      </c>
      <c r="Y551" s="972" t="s">
        <v>364</v>
      </c>
      <c r="Z551" s="1184">
        <v>0</v>
      </c>
      <c r="AA551" s="1194">
        <v>1</v>
      </c>
      <c r="AB551" s="600" t="s">
        <v>1280</v>
      </c>
      <c r="AC551" s="1192" t="str">
        <f>""</f>
        <v/>
      </c>
      <c r="AD551" s="985">
        <v>0</v>
      </c>
      <c r="AE551" s="1194" t="s">
        <v>368</v>
      </c>
      <c r="AF551" s="985" t="s">
        <v>369</v>
      </c>
      <c r="AG551" s="985">
        <v>0</v>
      </c>
      <c r="AH551" s="985">
        <v>0</v>
      </c>
      <c r="AI551" s="985">
        <v>0</v>
      </c>
      <c r="AJ551" s="1193">
        <f>VLOOKUP($I551,'Price List, Weapons &amp; Items'!B:F,5,0)</f>
        <v>0</v>
      </c>
      <c r="AK551" s="1193">
        <f t="shared" si="121"/>
        <v>0</v>
      </c>
      <c r="AL551" s="1193">
        <f t="shared" si="122"/>
        <v>0</v>
      </c>
      <c r="AM551" s="1193">
        <f t="shared" si="123"/>
        <v>0</v>
      </c>
      <c r="AN551" s="1194" t="str">
        <f>VLOOKUP($I551,'Price List, Weapons &amp; Items'!B:L,COLUMN('Price List, Weapons &amp; Items'!$J$11)-1,0)</f>
        <v>Online marketplaces and stores</v>
      </c>
      <c r="AO551" s="1194" t="str">
        <f>IF(I551=".",".",VLOOKUP($I551,'Price List, Weapons &amp; Items'!B:J,3,0))</f>
        <v>Military equipment</v>
      </c>
      <c r="AP551" s="1195" t="str">
        <f t="shared" ca="1" si="117"/>
        <v/>
      </c>
      <c r="AQ551" s="1194">
        <f>VLOOKUP($I551,'Price List, Weapons &amp; Items'!B:L,COLUMN('Price List, Weapons &amp; Items'!$L$11)-1,0)</f>
        <v>2</v>
      </c>
      <c r="AR551" s="1194">
        <f t="shared" si="124"/>
        <v>1</v>
      </c>
      <c r="AS551" s="1194">
        <f t="shared" si="125"/>
        <v>1</v>
      </c>
      <c r="AT551" s="1194" t="str">
        <f t="shared" si="126"/>
        <v>Value is not in date format</v>
      </c>
      <c r="AU551" s="1194" t="str">
        <f t="shared" si="127"/>
        <v>.</v>
      </c>
      <c r="AV551" s="1194" t="str">
        <f t="shared" si="118"/>
        <v>.</v>
      </c>
      <c r="AW551" s="1194" t="str">
        <f t="shared" si="128"/>
        <v>.</v>
      </c>
      <c r="AX551" s="1194">
        <f>IFERROR(VLOOKUP(B551,'Share, Heavy Weapons to Ukraine'!B:Z,COLUMN('Share, Heavy Weapons to Ukraine'!C561)-1,0),0)</f>
        <v>0</v>
      </c>
      <c r="AY551" s="1194">
        <f>VLOOKUP('Bilateral Assistance, MAIN DATA'!B551,'Country Summary (€)'!B:F,COLUMN('Country Summary (€)'!C562)-1,FALSE)</f>
        <v>1</v>
      </c>
      <c r="AZ551" s="1194" t="str">
        <f>IF(AND(AD551=1,D551="Military",H551&lt;&gt;"Not given")=TRUE,IF(SUMIFS(P:P,A:A,A551)&gt;0,ABS((SUMIFS(P:P,A:A,A551)/VLOOKUP("USD",'Exchange Rates'!B:C,2,0)))/S551,"."),".")</f>
        <v>.</v>
      </c>
      <c r="BA551" s="1196" t="str">
        <f>IF(AND(AD551=1,D551="Military",H551&lt;&gt;"Not given")=TRUE,IF(SUMIFS(P:P,A:A,A551)&gt;0,IF((ABS((SUMIFS(P:P,A:A,A551)/VLOOKUP("USD",'Exchange Rates'!B:C,2,0)))/S551)&gt;1,(SUMIFS(P:P,A:A,A551)-S551)/S551,(S551-SUMIFS(P:P,A:A,A551))/SUMIFS(P:P,A:A,A551)),"."),".")</f>
        <v>.</v>
      </c>
    </row>
    <row r="552" spans="1:53" ht="15.95" customHeight="1">
      <c r="A552" s="1182" t="s">
        <v>1796</v>
      </c>
      <c r="B552" s="1182" t="s">
        <v>1711</v>
      </c>
      <c r="C552" s="1181" t="s">
        <v>1797</v>
      </c>
      <c r="D552" s="1182" t="s">
        <v>389</v>
      </c>
      <c r="E552" s="1182" t="s">
        <v>1676</v>
      </c>
      <c r="F552" s="1263" t="s">
        <v>1806</v>
      </c>
      <c r="G552" s="1184" t="s">
        <v>483</v>
      </c>
      <c r="H552" s="1185">
        <v>6750000000</v>
      </c>
      <c r="I552" s="1266" t="s">
        <v>1820</v>
      </c>
      <c r="J552" s="1186" t="str">
        <f>VLOOKUP($I552,'Price List, Weapons &amp; Items'!B:C,2,0)</f>
        <v>Military equipment</v>
      </c>
      <c r="K552" s="1186" t="str">
        <f>IF(I552=".",I552,VLOOKUP($I552,'Price List, Weapons &amp; Items'!B:D,3,0))</f>
        <v>Military equipment</v>
      </c>
      <c r="L552" s="1187">
        <f>VLOOKUP(I552,'Price List, Weapons &amp; Items'!B:E,4,0)</f>
        <v>0</v>
      </c>
      <c r="M552" s="1188">
        <v>40</v>
      </c>
      <c r="N552" s="1188">
        <v>40</v>
      </c>
      <c r="O552" s="1188" t="str">
        <f>VLOOKUP($I552,'Price List, Weapons &amp; Items'!B:G,6,0)</f>
        <v>.</v>
      </c>
      <c r="P552" s="1185" t="str">
        <f t="shared" si="119"/>
        <v>No price</v>
      </c>
      <c r="Q552" s="1185" t="str">
        <f t="shared" si="120"/>
        <v>No price</v>
      </c>
      <c r="R552" s="1185" t="str">
        <f t="shared" si="116"/>
        <v/>
      </c>
      <c r="S552" s="1185" t="str">
        <f>IF(AND(AD552=1,R552&lt;&gt;".")=TRUE,R552/VLOOKUP(G552,'Exchange Rates'!B:C,2,0),IF(R552=".",".",""))</f>
        <v/>
      </c>
      <c r="T552" s="1185" t="str">
        <f>IF(AD552=1,IF(AF552="Value is not given at all",".",IF(AF552="Value is given by the source",S552,IF(AF552="Value is calculated with prices",(IF(SUMIFS(Q:Q,A:A,A552)&gt;0,SUMIFS(Q:Q,A:A,A552),"."))/VLOOKUP("USD",'Exchange Rates'!B:C,2,0),"Error with coding"))),"")</f>
        <v/>
      </c>
      <c r="U552" s="1184" t="s">
        <v>365</v>
      </c>
      <c r="V552" s="972" t="s">
        <v>1782</v>
      </c>
      <c r="W552" s="972" t="s">
        <v>1280</v>
      </c>
      <c r="X552" s="972" t="s">
        <v>364</v>
      </c>
      <c r="Y552" s="972" t="s">
        <v>364</v>
      </c>
      <c r="Z552" s="1184">
        <v>0</v>
      </c>
      <c r="AA552" s="1194">
        <v>0</v>
      </c>
      <c r="AB552" s="600" t="s">
        <v>1280</v>
      </c>
      <c r="AC552" s="1192" t="str">
        <f>""</f>
        <v/>
      </c>
      <c r="AD552" s="985">
        <v>0</v>
      </c>
      <c r="AE552" s="1194" t="s">
        <v>368</v>
      </c>
      <c r="AF552" s="985" t="s">
        <v>369</v>
      </c>
      <c r="AG552" s="985">
        <v>0</v>
      </c>
      <c r="AH552" s="985">
        <v>0</v>
      </c>
      <c r="AI552" s="985">
        <v>0</v>
      </c>
      <c r="AJ552" s="1193">
        <f>VLOOKUP($I552,'Price List, Weapons &amp; Items'!B:F,5,0)</f>
        <v>0</v>
      </c>
      <c r="AK552" s="1193">
        <f t="shared" si="121"/>
        <v>0</v>
      </c>
      <c r="AL552" s="1193">
        <f t="shared" si="122"/>
        <v>0</v>
      </c>
      <c r="AM552" s="1193">
        <f t="shared" si="123"/>
        <v>0</v>
      </c>
      <c r="AN552" s="1194" t="str">
        <f>VLOOKUP($I552,'Price List, Weapons &amp; Items'!B:L,COLUMN('Price List, Weapons &amp; Items'!$J$11)-1,0)</f>
        <v>.</v>
      </c>
      <c r="AO552" s="1194" t="str">
        <f>IF(I552=".",".",VLOOKUP($I552,'Price List, Weapons &amp; Items'!B:J,3,0))</f>
        <v>Military equipment</v>
      </c>
      <c r="AP552" s="1195" t="str">
        <f t="shared" ca="1" si="117"/>
        <v/>
      </c>
      <c r="AQ552" s="1194">
        <f>VLOOKUP($I552,'Price List, Weapons &amp; Items'!B:L,COLUMN('Price List, Weapons &amp; Items'!$L$11)-1,0)</f>
        <v>0</v>
      </c>
      <c r="AR552" s="1194">
        <f t="shared" si="124"/>
        <v>1</v>
      </c>
      <c r="AS552" s="1194">
        <f t="shared" si="125"/>
        <v>1</v>
      </c>
      <c r="AT552" s="1194" t="str">
        <f t="shared" si="126"/>
        <v>Value is not in date format</v>
      </c>
      <c r="AU552" s="1194" t="str">
        <f t="shared" si="127"/>
        <v>.</v>
      </c>
      <c r="AV552" s="1194" t="str">
        <f t="shared" si="118"/>
        <v>.</v>
      </c>
      <c r="AW552" s="1194" t="str">
        <f t="shared" si="128"/>
        <v>.</v>
      </c>
      <c r="AX552" s="1194">
        <f>IFERROR(VLOOKUP(B552,'Share, Heavy Weapons to Ukraine'!B:Z,COLUMN('Share, Heavy Weapons to Ukraine'!C562)-1,0),0)</f>
        <v>0</v>
      </c>
      <c r="AY552" s="1194">
        <f>VLOOKUP('Bilateral Assistance, MAIN DATA'!B552,'Country Summary (€)'!B:F,COLUMN('Country Summary (€)'!C563)-1,FALSE)</f>
        <v>1</v>
      </c>
      <c r="AZ552" s="1194" t="str">
        <f>IF(AND(AD552=1,D552="Military",H552&lt;&gt;"Not given")=TRUE,IF(SUMIFS(P:P,A:A,A552)&gt;0,ABS((SUMIFS(P:P,A:A,A552)/VLOOKUP("USD",'Exchange Rates'!B:C,2,0)))/S552,"."),".")</f>
        <v>.</v>
      </c>
      <c r="BA552" s="1196" t="str">
        <f>IF(AND(AD552=1,D552="Military",H552&lt;&gt;"Not given")=TRUE,IF(SUMIFS(P:P,A:A,A552)&gt;0,IF((ABS((SUMIFS(P:P,A:A,A552)/VLOOKUP("USD",'Exchange Rates'!B:C,2,0)))/S552)&gt;1,(SUMIFS(P:P,A:A,A552)-S552)/S552,(S552-SUMIFS(P:P,A:A,A552))/SUMIFS(P:P,A:A,A552)),"."),".")</f>
        <v>.</v>
      </c>
    </row>
    <row r="553" spans="1:53" ht="15.95" customHeight="1">
      <c r="A553" s="1182" t="s">
        <v>1796</v>
      </c>
      <c r="B553" s="1182" t="s">
        <v>1711</v>
      </c>
      <c r="C553" s="1181" t="s">
        <v>1797</v>
      </c>
      <c r="D553" s="1182" t="s">
        <v>389</v>
      </c>
      <c r="E553" s="1182" t="s">
        <v>1676</v>
      </c>
      <c r="F553" s="1263" t="s">
        <v>1806</v>
      </c>
      <c r="G553" s="1184" t="s">
        <v>483</v>
      </c>
      <c r="H553" s="1185">
        <v>6750000000</v>
      </c>
      <c r="I553" s="1266" t="s">
        <v>1821</v>
      </c>
      <c r="J553" s="1186" t="str">
        <f>VLOOKUP($I553,'Price List, Weapons &amp; Items'!B:C,2,0)</f>
        <v>Military equipment</v>
      </c>
      <c r="K553" s="1186" t="str">
        <f>IF(I553=".",I553,VLOOKUP($I553,'Price List, Weapons &amp; Items'!B:D,3,0))</f>
        <v>Military equipment</v>
      </c>
      <c r="L553" s="1187">
        <f>VLOOKUP(I553,'Price List, Weapons &amp; Items'!B:E,4,0)</f>
        <v>0</v>
      </c>
      <c r="M553" s="1188">
        <v>20</v>
      </c>
      <c r="N553" s="1188">
        <v>17</v>
      </c>
      <c r="O553" s="1188">
        <f>VLOOKUP($I553,'Price List, Weapons &amp; Items'!B:G,6,0)</f>
        <v>2268127</v>
      </c>
      <c r="P553" s="1185">
        <f t="shared" si="119"/>
        <v>45362540</v>
      </c>
      <c r="Q553" s="1185">
        <f t="shared" si="120"/>
        <v>38558159</v>
      </c>
      <c r="R553" s="1185" t="str">
        <f t="shared" si="116"/>
        <v/>
      </c>
      <c r="S553" s="1185" t="str">
        <f>IF(AND(AD553=1,R553&lt;&gt;".")=TRUE,R553/VLOOKUP(G553,'Exchange Rates'!B:C,2,0),IF(R553=".",".",""))</f>
        <v/>
      </c>
      <c r="T553" s="1185" t="str">
        <f>IF(AD553=1,IF(AF553="Value is not given at all",".",IF(AF553="Value is given by the source",S553,IF(AF553="Value is calculated with prices",(IF(SUMIFS(Q:Q,A:A,A553)&gt;0,SUMIFS(Q:Q,A:A,A553),"."))/VLOOKUP("USD",'Exchange Rates'!B:C,2,0),"Error with coding"))),"")</f>
        <v/>
      </c>
      <c r="U553" s="1184" t="s">
        <v>365</v>
      </c>
      <c r="V553" s="972" t="s">
        <v>1782</v>
      </c>
      <c r="W553" s="972" t="s">
        <v>1280</v>
      </c>
      <c r="X553" s="972" t="s">
        <v>364</v>
      </c>
      <c r="Y553" s="972" t="s">
        <v>364</v>
      </c>
      <c r="Z553" s="1184">
        <v>0</v>
      </c>
      <c r="AA553" s="1194">
        <v>0</v>
      </c>
      <c r="AB553" s="600" t="s">
        <v>1280</v>
      </c>
      <c r="AC553" s="1192" t="str">
        <f>""</f>
        <v/>
      </c>
      <c r="AD553" s="985">
        <v>0</v>
      </c>
      <c r="AE553" s="1194" t="s">
        <v>368</v>
      </c>
      <c r="AF553" s="985" t="s">
        <v>369</v>
      </c>
      <c r="AG553" s="985">
        <v>0</v>
      </c>
      <c r="AH553" s="985">
        <v>0</v>
      </c>
      <c r="AI553" s="985">
        <v>0</v>
      </c>
      <c r="AJ553" s="1193">
        <f>VLOOKUP($I553,'Price List, Weapons &amp; Items'!B:F,5,0)</f>
        <v>0</v>
      </c>
      <c r="AK553" s="1193">
        <f t="shared" si="121"/>
        <v>0</v>
      </c>
      <c r="AL553" s="1193">
        <f t="shared" si="122"/>
        <v>0</v>
      </c>
      <c r="AM553" s="1193">
        <f t="shared" si="123"/>
        <v>0</v>
      </c>
      <c r="AN553" s="1194" t="str">
        <f>VLOOKUP($I553,'Price List, Weapons &amp; Items'!B:L,COLUMN('Price List, Weapons &amp; Items'!$J$11)-1,0)</f>
        <v>Media reports (incl. social media)</v>
      </c>
      <c r="AO553" s="1194" t="str">
        <f>IF(I553=".",".",VLOOKUP($I553,'Price List, Weapons &amp; Items'!B:J,3,0))</f>
        <v>Military equipment</v>
      </c>
      <c r="AP553" s="1195" t="str">
        <f t="shared" ca="1" si="117"/>
        <v/>
      </c>
      <c r="AQ553" s="1194">
        <f>VLOOKUP($I553,'Price List, Weapons &amp; Items'!B:L,COLUMN('Price List, Weapons &amp; Items'!$L$11)-1,0)</f>
        <v>2</v>
      </c>
      <c r="AR553" s="1194">
        <f t="shared" si="124"/>
        <v>1</v>
      </c>
      <c r="AS553" s="1194">
        <f t="shared" si="125"/>
        <v>1</v>
      </c>
      <c r="AT553" s="1194" t="str">
        <f t="shared" si="126"/>
        <v>Value is not in date format</v>
      </c>
      <c r="AU553" s="1194" t="str">
        <f t="shared" si="127"/>
        <v>.</v>
      </c>
      <c r="AV553" s="1194" t="str">
        <f t="shared" si="118"/>
        <v>.</v>
      </c>
      <c r="AW553" s="1194" t="str">
        <f t="shared" si="128"/>
        <v>.</v>
      </c>
      <c r="AX553" s="1194">
        <f>IFERROR(VLOOKUP(B553,'Share, Heavy Weapons to Ukraine'!B:Z,COLUMN('Share, Heavy Weapons to Ukraine'!C563)-1,0),0)</f>
        <v>0</v>
      </c>
      <c r="AY553" s="1194">
        <f>VLOOKUP('Bilateral Assistance, MAIN DATA'!B553,'Country Summary (€)'!B:F,COLUMN('Country Summary (€)'!C564)-1,FALSE)</f>
        <v>1</v>
      </c>
      <c r="AZ553" s="1194" t="str">
        <f>IF(AND(AD553=1,D553="Military",H553&lt;&gt;"Not given")=TRUE,IF(SUMIFS(P:P,A:A,A553)&gt;0,ABS((SUMIFS(P:P,A:A,A553)/VLOOKUP("USD",'Exchange Rates'!B:C,2,0)))/S553,"."),".")</f>
        <v>.</v>
      </c>
      <c r="BA553" s="1196" t="str">
        <f>IF(AND(AD553=1,D553="Military",H553&lt;&gt;"Not given")=TRUE,IF(SUMIFS(P:P,A:A,A553)&gt;0,IF((ABS((SUMIFS(P:P,A:A,A553)/VLOOKUP("USD",'Exchange Rates'!B:C,2,0)))/S553)&gt;1,(SUMIFS(P:P,A:A,A553)-S553)/S553,(S553-SUMIFS(P:P,A:A,A553))/SUMIFS(P:P,A:A,A553)),"."),".")</f>
        <v>.</v>
      </c>
    </row>
    <row r="554" spans="1:53" ht="15.95" customHeight="1">
      <c r="A554" s="1182" t="s">
        <v>1796</v>
      </c>
      <c r="B554" s="1182" t="s">
        <v>1711</v>
      </c>
      <c r="C554" s="1181" t="s">
        <v>1797</v>
      </c>
      <c r="D554" s="1182" t="s">
        <v>389</v>
      </c>
      <c r="E554" s="1182" t="s">
        <v>1676</v>
      </c>
      <c r="F554" s="1263" t="s">
        <v>1806</v>
      </c>
      <c r="G554" s="1184" t="s">
        <v>483</v>
      </c>
      <c r="H554" s="1185">
        <v>6750000000</v>
      </c>
      <c r="I554" s="1266" t="s">
        <v>1822</v>
      </c>
      <c r="J554" s="1186" t="str">
        <f>VLOOKUP($I554,'Price List, Weapons &amp; Items'!B:C,2,0)</f>
        <v>Military equipment</v>
      </c>
      <c r="K554" s="1186" t="str">
        <f>IF(I554=".",I554,VLOOKUP($I554,'Price List, Weapons &amp; Items'!B:D,3,0))</f>
        <v>non combat military vehicle</v>
      </c>
      <c r="L554" s="1187">
        <f>VLOOKUP(I554,'Price List, Weapons &amp; Items'!B:E,4,0)</f>
        <v>0</v>
      </c>
      <c r="M554" s="1188">
        <v>90</v>
      </c>
      <c r="N554" s="1188">
        <v>12</v>
      </c>
      <c r="O554" s="1188">
        <f>VLOOKUP($I554,'Price List, Weapons &amp; Items'!B:G,6,0)</f>
        <v>350000</v>
      </c>
      <c r="P554" s="1185">
        <f t="shared" si="119"/>
        <v>31500000</v>
      </c>
      <c r="Q554" s="1185">
        <f t="shared" si="120"/>
        <v>4200000</v>
      </c>
      <c r="R554" s="1185" t="str">
        <f t="shared" si="116"/>
        <v/>
      </c>
      <c r="S554" s="1185" t="str">
        <f>IF(AND(AD554=1,R554&lt;&gt;".")=TRUE,R554/VLOOKUP(G554,'Exchange Rates'!B:C,2,0),IF(R554=".",".",""))</f>
        <v/>
      </c>
      <c r="T554" s="1185" t="str">
        <f>IF(AD554=1,IF(AF554="Value is not given at all",".",IF(AF554="Value is given by the source",S554,IF(AF554="Value is calculated with prices",(IF(SUMIFS(Q:Q,A:A,A554)&gt;0,SUMIFS(Q:Q,A:A,A554),"."))/VLOOKUP("USD",'Exchange Rates'!B:C,2,0),"Error with coding"))),"")</f>
        <v/>
      </c>
      <c r="U554" s="1184" t="s">
        <v>365</v>
      </c>
      <c r="V554" s="972" t="s">
        <v>1782</v>
      </c>
      <c r="W554" s="972" t="s">
        <v>1280</v>
      </c>
      <c r="X554" s="972" t="s">
        <v>364</v>
      </c>
      <c r="Y554" s="972" t="s">
        <v>364</v>
      </c>
      <c r="Z554" s="1184">
        <v>0</v>
      </c>
      <c r="AA554" s="1194">
        <v>0</v>
      </c>
      <c r="AB554" s="600" t="s">
        <v>1280</v>
      </c>
      <c r="AC554" s="1192" t="str">
        <f>""</f>
        <v/>
      </c>
      <c r="AD554" s="985">
        <v>0</v>
      </c>
      <c r="AE554" s="1194" t="s">
        <v>368</v>
      </c>
      <c r="AF554" s="985" t="s">
        <v>369</v>
      </c>
      <c r="AG554" s="985">
        <v>0</v>
      </c>
      <c r="AH554" s="985">
        <v>0</v>
      </c>
      <c r="AI554" s="985">
        <v>0</v>
      </c>
      <c r="AJ554" s="1193">
        <f>VLOOKUP($I554,'Price List, Weapons &amp; Items'!B:F,5,0)</f>
        <v>0</v>
      </c>
      <c r="AK554" s="1193">
        <f t="shared" si="121"/>
        <v>0</v>
      </c>
      <c r="AL554" s="1193">
        <f t="shared" si="122"/>
        <v>0</v>
      </c>
      <c r="AM554" s="1193">
        <f t="shared" si="123"/>
        <v>0</v>
      </c>
      <c r="AN554" s="1194" t="str">
        <f>VLOOKUP($I554,'Price List, Weapons &amp; Items'!B:L,COLUMN('Price List, Weapons &amp; Items'!$J$11)-1,0)</f>
        <v>Media reports (incl. social media)</v>
      </c>
      <c r="AO554" s="1194" t="str">
        <f>IF(I554=".",".",VLOOKUP($I554,'Price List, Weapons &amp; Items'!B:J,3,0))</f>
        <v>non combat military vehicle</v>
      </c>
      <c r="AP554" s="1195" t="str">
        <f t="shared" ca="1" si="117"/>
        <v/>
      </c>
      <c r="AQ554" s="1194">
        <f>VLOOKUP($I554,'Price List, Weapons &amp; Items'!B:L,COLUMN('Price List, Weapons &amp; Items'!$L$11)-1,0)</f>
        <v>2</v>
      </c>
      <c r="AR554" s="1194">
        <f t="shared" si="124"/>
        <v>1</v>
      </c>
      <c r="AS554" s="1194">
        <f t="shared" si="125"/>
        <v>1</v>
      </c>
      <c r="AT554" s="1194" t="str">
        <f t="shared" si="126"/>
        <v>Value is not in date format</v>
      </c>
      <c r="AU554" s="1194" t="str">
        <f t="shared" si="127"/>
        <v>.</v>
      </c>
      <c r="AV554" s="1194" t="str">
        <f t="shared" si="118"/>
        <v>.</v>
      </c>
      <c r="AW554" s="1194" t="str">
        <f t="shared" si="128"/>
        <v>.</v>
      </c>
      <c r="AX554" s="1194">
        <f>IFERROR(VLOOKUP(B554,'Share, Heavy Weapons to Ukraine'!B:Z,COLUMN('Share, Heavy Weapons to Ukraine'!C564)-1,0),0)</f>
        <v>0</v>
      </c>
      <c r="AY554" s="1194">
        <f>VLOOKUP('Bilateral Assistance, MAIN DATA'!B554,'Country Summary (€)'!B:F,COLUMN('Country Summary (€)'!C565)-1,FALSE)</f>
        <v>1</v>
      </c>
      <c r="AZ554" s="1194" t="str">
        <f>IF(AND(AD554=1,D554="Military",H554&lt;&gt;"Not given")=TRUE,IF(SUMIFS(P:P,A:A,A554)&gt;0,ABS((SUMIFS(P:P,A:A,A554)/VLOOKUP("USD",'Exchange Rates'!B:C,2,0)))/S554,"."),".")</f>
        <v>.</v>
      </c>
      <c r="BA554" s="1196" t="str">
        <f>IF(AND(AD554=1,D554="Military",H554&lt;&gt;"Not given")=TRUE,IF(SUMIFS(P:P,A:A,A554)&gt;0,IF((ABS((SUMIFS(P:P,A:A,A554)/VLOOKUP("USD",'Exchange Rates'!B:C,2,0)))/S554)&gt;1,(SUMIFS(P:P,A:A,A554)-S554)/S554,(S554-SUMIFS(P:P,A:A,A554))/SUMIFS(P:P,A:A,A554)),"."),".")</f>
        <v>.</v>
      </c>
    </row>
    <row r="555" spans="1:53" ht="15.95" customHeight="1">
      <c r="A555" s="1182" t="s">
        <v>1796</v>
      </c>
      <c r="B555" s="1182" t="s">
        <v>1711</v>
      </c>
      <c r="C555" s="1181" t="s">
        <v>1797</v>
      </c>
      <c r="D555" s="1182" t="s">
        <v>389</v>
      </c>
      <c r="E555" s="1182" t="s">
        <v>1676</v>
      </c>
      <c r="F555" s="1263" t="s">
        <v>1806</v>
      </c>
      <c r="G555" s="1184" t="s">
        <v>483</v>
      </c>
      <c r="H555" s="1185">
        <v>6750000000</v>
      </c>
      <c r="I555" s="1266" t="s">
        <v>1823</v>
      </c>
      <c r="J555" s="1186" t="str">
        <f>VLOOKUP($I555,'Price List, Weapons &amp; Items'!B:C,2,0)</f>
        <v>Military equipment</v>
      </c>
      <c r="K555" s="1186" t="str">
        <f>IF(I555=".",I555,VLOOKUP($I555,'Price List, Weapons &amp; Items'!B:D,3,0))</f>
        <v>Military equipment</v>
      </c>
      <c r="L555" s="1187">
        <f>VLOOKUP(I555,'Price List, Weapons &amp; Items'!B:E,4,0)</f>
        <v>0</v>
      </c>
      <c r="M555" s="1188">
        <v>1</v>
      </c>
      <c r="N555" s="1188">
        <v>1</v>
      </c>
      <c r="O555" s="1188" t="str">
        <f>VLOOKUP($I555,'Price List, Weapons &amp; Items'!B:G,6,0)</f>
        <v>.</v>
      </c>
      <c r="P555" s="1185" t="str">
        <f t="shared" si="119"/>
        <v>No price</v>
      </c>
      <c r="Q555" s="1185" t="str">
        <f t="shared" si="120"/>
        <v>No price</v>
      </c>
      <c r="R555" s="1185" t="str">
        <f t="shared" si="116"/>
        <v/>
      </c>
      <c r="S555" s="1185" t="str">
        <f>IF(AND(AD555=1,R555&lt;&gt;".")=TRUE,R555/VLOOKUP(G555,'Exchange Rates'!B:C,2,0),IF(R555=".",".",""))</f>
        <v/>
      </c>
      <c r="T555" s="1185" t="str">
        <f>IF(AD555=1,IF(AF555="Value is not given at all",".",IF(AF555="Value is given by the source",S555,IF(AF555="Value is calculated with prices",(IF(SUMIFS(Q:Q,A:A,A555)&gt;0,SUMIFS(Q:Q,A:A,A555),"."))/VLOOKUP("USD",'Exchange Rates'!B:C,2,0),"Error with coding"))),"")</f>
        <v/>
      </c>
      <c r="U555" s="1184" t="s">
        <v>365</v>
      </c>
      <c r="V555" s="972" t="s">
        <v>1782</v>
      </c>
      <c r="W555" s="972" t="s">
        <v>1280</v>
      </c>
      <c r="X555" s="972" t="s">
        <v>364</v>
      </c>
      <c r="Y555" s="972" t="s">
        <v>364</v>
      </c>
      <c r="Z555" s="1184">
        <v>0</v>
      </c>
      <c r="AA555" s="1194">
        <v>0</v>
      </c>
      <c r="AB555" s="600" t="s">
        <v>1280</v>
      </c>
      <c r="AC555" s="1192" t="str">
        <f>""</f>
        <v/>
      </c>
      <c r="AD555" s="985">
        <v>0</v>
      </c>
      <c r="AE555" s="1194" t="s">
        <v>368</v>
      </c>
      <c r="AF555" s="985" t="s">
        <v>369</v>
      </c>
      <c r="AG555" s="985">
        <v>0</v>
      </c>
      <c r="AH555" s="985">
        <v>0</v>
      </c>
      <c r="AI555" s="985">
        <v>0</v>
      </c>
      <c r="AJ555" s="1193">
        <f>VLOOKUP($I555,'Price List, Weapons &amp; Items'!B:F,5,0)</f>
        <v>0</v>
      </c>
      <c r="AK555" s="1193">
        <f t="shared" si="121"/>
        <v>0</v>
      </c>
      <c r="AL555" s="1193">
        <f t="shared" si="122"/>
        <v>0</v>
      </c>
      <c r="AM555" s="1193">
        <f t="shared" si="123"/>
        <v>0</v>
      </c>
      <c r="AN555" s="1194" t="str">
        <f>VLOOKUP($I555,'Price List, Weapons &amp; Items'!B:L,COLUMN('Price List, Weapons &amp; Items'!$J$11)-1,0)</f>
        <v>.</v>
      </c>
      <c r="AO555" s="1194" t="str">
        <f>IF(I555=".",".",VLOOKUP($I555,'Price List, Weapons &amp; Items'!B:J,3,0))</f>
        <v>Military equipment</v>
      </c>
      <c r="AP555" s="1195" t="str">
        <f t="shared" ca="1" si="117"/>
        <v/>
      </c>
      <c r="AQ555" s="1194">
        <f>VLOOKUP($I555,'Price List, Weapons &amp; Items'!B:L,COLUMN('Price List, Weapons &amp; Items'!$L$11)-1,0)</f>
        <v>0</v>
      </c>
      <c r="AR555" s="1194">
        <f t="shared" si="124"/>
        <v>1</v>
      </c>
      <c r="AS555" s="1194">
        <f t="shared" si="125"/>
        <v>1</v>
      </c>
      <c r="AT555" s="1194" t="str">
        <f t="shared" si="126"/>
        <v>Value is not in date format</v>
      </c>
      <c r="AU555" s="1194" t="str">
        <f t="shared" si="127"/>
        <v>.</v>
      </c>
      <c r="AV555" s="1194" t="str">
        <f t="shared" si="118"/>
        <v>.</v>
      </c>
      <c r="AW555" s="1194" t="str">
        <f t="shared" si="128"/>
        <v>.</v>
      </c>
      <c r="AX555" s="1194">
        <f>IFERROR(VLOOKUP(B555,'Share, Heavy Weapons to Ukraine'!B:Z,COLUMN('Share, Heavy Weapons to Ukraine'!C565)-1,0),0)</f>
        <v>0</v>
      </c>
      <c r="AY555" s="1194">
        <f>VLOOKUP('Bilateral Assistance, MAIN DATA'!B555,'Country Summary (€)'!B:F,COLUMN('Country Summary (€)'!C566)-1,FALSE)</f>
        <v>1</v>
      </c>
      <c r="AZ555" s="1194" t="str">
        <f>IF(AND(AD555=1,D555="Military",H555&lt;&gt;"Not given")=TRUE,IF(SUMIFS(P:P,A:A,A555)&gt;0,ABS((SUMIFS(P:P,A:A,A555)/VLOOKUP("USD",'Exchange Rates'!B:C,2,0)))/S555,"."),".")</f>
        <v>.</v>
      </c>
      <c r="BA555" s="1196" t="str">
        <f>IF(AND(AD555=1,D555="Military",H555&lt;&gt;"Not given")=TRUE,IF(SUMIFS(P:P,A:A,A555)&gt;0,IF((ABS((SUMIFS(P:P,A:A,A555)/VLOOKUP("USD",'Exchange Rates'!B:C,2,0)))/S555)&gt;1,(SUMIFS(P:P,A:A,A555)-S555)/S555,(S555-SUMIFS(P:P,A:A,A555))/SUMIFS(P:P,A:A,A555)),"."),".")</f>
        <v>.</v>
      </c>
    </row>
    <row r="556" spans="1:53" ht="15.95" customHeight="1">
      <c r="A556" s="1182" t="s">
        <v>1796</v>
      </c>
      <c r="B556" s="1182" t="s">
        <v>1711</v>
      </c>
      <c r="C556" s="1181" t="s">
        <v>1797</v>
      </c>
      <c r="D556" s="1182" t="s">
        <v>389</v>
      </c>
      <c r="E556" s="1182" t="s">
        <v>1676</v>
      </c>
      <c r="F556" s="1263" t="s">
        <v>1806</v>
      </c>
      <c r="G556" s="1184" t="s">
        <v>483</v>
      </c>
      <c r="H556" s="1185">
        <v>6750000000</v>
      </c>
      <c r="I556" s="1266" t="s">
        <v>1824</v>
      </c>
      <c r="J556" s="1186" t="str">
        <f>VLOOKUP($I556,'Price List, Weapons &amp; Items'!B:C,2,0)</f>
        <v>Heavy weapon</v>
      </c>
      <c r="K556" s="1186" t="str">
        <f>IF(I556=".",I556,VLOOKUP($I556,'Price List, Weapons &amp; Items'!B:D,3,0))</f>
        <v>Armored Utility Vehicle (AUV)</v>
      </c>
      <c r="L556" s="1187">
        <f>VLOOKUP(I556,'Price List, Weapons &amp; Items'!B:E,4,0)</f>
        <v>0</v>
      </c>
      <c r="M556" s="1188">
        <v>10</v>
      </c>
      <c r="N556" s="1188">
        <v>10</v>
      </c>
      <c r="O556" s="1188">
        <f>VLOOKUP($I556,'Price List, Weapons &amp; Items'!B:G,6,0)</f>
        <v>254717</v>
      </c>
      <c r="P556" s="1185">
        <f t="shared" si="119"/>
        <v>2547170</v>
      </c>
      <c r="Q556" s="1185">
        <f t="shared" si="120"/>
        <v>2547170</v>
      </c>
      <c r="R556" s="1185" t="str">
        <f t="shared" si="116"/>
        <v/>
      </c>
      <c r="S556" s="1185" t="str">
        <f>IF(AND(AD556=1,R556&lt;&gt;".")=TRUE,R556/VLOOKUP(G556,'Exchange Rates'!B:C,2,0),IF(R556=".",".",""))</f>
        <v/>
      </c>
      <c r="T556" s="1185" t="str">
        <f>IF(AD556=1,IF(AF556="Value is not given at all",".",IF(AF556="Value is given by the source",S556,IF(AF556="Value is calculated with prices",(IF(SUMIFS(Q:Q,A:A,A556)&gt;0,SUMIFS(Q:Q,A:A,A556),"."))/VLOOKUP("USD",'Exchange Rates'!B:C,2,0),"Error with coding"))),"")</f>
        <v/>
      </c>
      <c r="U556" s="1184" t="s">
        <v>365</v>
      </c>
      <c r="V556" s="972" t="s">
        <v>1782</v>
      </c>
      <c r="W556" s="972" t="s">
        <v>1280</v>
      </c>
      <c r="X556" s="972" t="s">
        <v>364</v>
      </c>
      <c r="Y556" s="972" t="s">
        <v>364</v>
      </c>
      <c r="Z556" s="1184">
        <v>0</v>
      </c>
      <c r="AA556" s="1194">
        <v>0</v>
      </c>
      <c r="AB556" s="600" t="s">
        <v>1280</v>
      </c>
      <c r="AC556" s="1192" t="str">
        <f>""</f>
        <v/>
      </c>
      <c r="AD556" s="985">
        <v>0</v>
      </c>
      <c r="AE556" s="1194" t="s">
        <v>368</v>
      </c>
      <c r="AF556" s="985" t="s">
        <v>369</v>
      </c>
      <c r="AG556" s="985">
        <v>1</v>
      </c>
      <c r="AH556" s="985">
        <v>7</v>
      </c>
      <c r="AI556" s="985">
        <v>0</v>
      </c>
      <c r="AJ556" s="1193">
        <f>VLOOKUP($I556,'Price List, Weapons &amp; Items'!B:F,5,0)</f>
        <v>1</v>
      </c>
      <c r="AK556" s="1193">
        <f t="shared" si="121"/>
        <v>0</v>
      </c>
      <c r="AL556" s="1193">
        <f t="shared" si="122"/>
        <v>0</v>
      </c>
      <c r="AM556" s="1193">
        <f t="shared" si="123"/>
        <v>0</v>
      </c>
      <c r="AN556" s="1194" t="str">
        <f>VLOOKUP($I556,'Price List, Weapons &amp; Items'!B:L,COLUMN('Price List, Weapons &amp; Items'!$J$11)-1,0)</f>
        <v>Military media (incl. websites)</v>
      </c>
      <c r="AO556" s="1194" t="str">
        <f>IF(I556=".",".",VLOOKUP($I556,'Price List, Weapons &amp; Items'!B:J,3,0))</f>
        <v>Armored Utility Vehicle (AUV)</v>
      </c>
      <c r="AP556" s="1195" t="str">
        <f t="shared" ca="1" si="117"/>
        <v/>
      </c>
      <c r="AQ556" s="1194">
        <f>VLOOKUP($I556,'Price List, Weapons &amp; Items'!B:L,COLUMN('Price List, Weapons &amp; Items'!$L$11)-1,0)</f>
        <v>2</v>
      </c>
      <c r="AR556" s="1194">
        <f t="shared" si="124"/>
        <v>1</v>
      </c>
      <c r="AS556" s="1194">
        <f t="shared" si="125"/>
        <v>1</v>
      </c>
      <c r="AT556" s="1194" t="str">
        <f t="shared" si="126"/>
        <v>Value is not in date format</v>
      </c>
      <c r="AU556" s="1194" t="str">
        <f t="shared" si="127"/>
        <v>.</v>
      </c>
      <c r="AV556" s="1194" t="str">
        <f t="shared" si="118"/>
        <v>.</v>
      </c>
      <c r="AW556" s="1194" t="str">
        <f t="shared" si="128"/>
        <v>.</v>
      </c>
      <c r="AX556" s="1194">
        <f>IFERROR(VLOOKUP(B556,'Share, Heavy Weapons to Ukraine'!B:Z,COLUMN('Share, Heavy Weapons to Ukraine'!C566)-1,0),0)</f>
        <v>0</v>
      </c>
      <c r="AY556" s="1194">
        <f>VLOOKUP('Bilateral Assistance, MAIN DATA'!B556,'Country Summary (€)'!B:F,COLUMN('Country Summary (€)'!C567)-1,FALSE)</f>
        <v>1</v>
      </c>
      <c r="AZ556" s="1194" t="str">
        <f>IF(AND(AD556=1,D556="Military",H556&lt;&gt;"Not given")=TRUE,IF(SUMIFS(P:P,A:A,A556)&gt;0,ABS((SUMIFS(P:P,A:A,A556)/VLOOKUP("USD",'Exchange Rates'!B:C,2,0)))/S556,"."),".")</f>
        <v>.</v>
      </c>
      <c r="BA556" s="1196" t="str">
        <f>IF(AND(AD556=1,D556="Military",H556&lt;&gt;"Not given")=TRUE,IF(SUMIFS(P:P,A:A,A556)&gt;0,IF((ABS((SUMIFS(P:P,A:A,A556)/VLOOKUP("USD",'Exchange Rates'!B:C,2,0)))/S556)&gt;1,(SUMIFS(P:P,A:A,A556)-S556)/S556,(S556-SUMIFS(P:P,A:A,A556))/SUMIFS(P:P,A:A,A556)),"."),".")</f>
        <v>.</v>
      </c>
    </row>
    <row r="557" spans="1:53" ht="15.95" customHeight="1">
      <c r="A557" s="1182" t="s">
        <v>1796</v>
      </c>
      <c r="B557" s="1182" t="s">
        <v>1711</v>
      </c>
      <c r="C557" s="1181" t="s">
        <v>1797</v>
      </c>
      <c r="D557" s="1182" t="s">
        <v>389</v>
      </c>
      <c r="E557" s="1182" t="s">
        <v>1676</v>
      </c>
      <c r="F557" s="1263" t="s">
        <v>1806</v>
      </c>
      <c r="G557" s="1184" t="s">
        <v>483</v>
      </c>
      <c r="H557" s="1185">
        <v>6750000000</v>
      </c>
      <c r="I557" s="1266" t="s">
        <v>1825</v>
      </c>
      <c r="J557" s="1186" t="str">
        <f>VLOOKUP($I557,'Price List, Weapons &amp; Items'!B:C,2,0)</f>
        <v>Heavy weapon</v>
      </c>
      <c r="K557" s="1186" t="str">
        <f>IF(I557=".",I557,VLOOKUP($I557,'Price List, Weapons &amp; Items'!B:D,3,0))</f>
        <v>Anti-aircraft surface-to-air missile (SAM) system (medium-range)</v>
      </c>
      <c r="L557" s="1187">
        <f>VLOOKUP(I557,'Price List, Weapons &amp; Items'!B:E,4,0)</f>
        <v>0</v>
      </c>
      <c r="M557" s="1188">
        <v>4</v>
      </c>
      <c r="N557" s="1188">
        <v>2</v>
      </c>
      <c r="O557" s="1188">
        <f>VLOOKUP($I557,'Price List, Weapons &amp; Items'!B:G,6,0)</f>
        <v>152152000</v>
      </c>
      <c r="P557" s="1185">
        <f t="shared" si="119"/>
        <v>608608000</v>
      </c>
      <c r="Q557" s="1185">
        <f t="shared" si="120"/>
        <v>304304000</v>
      </c>
      <c r="R557" s="1185" t="str">
        <f t="shared" si="116"/>
        <v/>
      </c>
      <c r="S557" s="1185" t="str">
        <f>IF(AND(AD557=1,R557&lt;&gt;".")=TRUE,R557/VLOOKUP(G557,'Exchange Rates'!B:C,2,0),IF(R557=".",".",""))</f>
        <v/>
      </c>
      <c r="T557" s="1185" t="str">
        <f>IF(AD557=1,IF(AF557="Value is not given at all",".",IF(AF557="Value is given by the source",S557,IF(AF557="Value is calculated with prices",(IF(SUMIFS(Q:Q,A:A,A557)&gt;0,SUMIFS(Q:Q,A:A,A557),"."))/VLOOKUP("USD",'Exchange Rates'!B:C,2,0),"Error with coding"))),"")</f>
        <v/>
      </c>
      <c r="U557" s="1184" t="s">
        <v>365</v>
      </c>
      <c r="V557" s="972" t="s">
        <v>1782</v>
      </c>
      <c r="W557" s="972" t="s">
        <v>1280</v>
      </c>
      <c r="X557" s="972" t="s">
        <v>364</v>
      </c>
      <c r="Y557" s="972" t="s">
        <v>364</v>
      </c>
      <c r="Z557" s="1184">
        <v>0</v>
      </c>
      <c r="AA557" s="1194">
        <v>1</v>
      </c>
      <c r="AB557" s="600" t="s">
        <v>1280</v>
      </c>
      <c r="AC557" s="1192" t="str">
        <f>""</f>
        <v/>
      </c>
      <c r="AD557" s="985">
        <v>0</v>
      </c>
      <c r="AE557" s="1194" t="s">
        <v>368</v>
      </c>
      <c r="AF557" s="985" t="s">
        <v>369</v>
      </c>
      <c r="AG557" s="985">
        <v>1</v>
      </c>
      <c r="AH557" s="985">
        <v>9</v>
      </c>
      <c r="AI557" s="985">
        <v>0</v>
      </c>
      <c r="AJ557" s="1193">
        <f>VLOOKUP($I557,'Price List, Weapons &amp; Items'!B:F,5,0)</f>
        <v>0</v>
      </c>
      <c r="AK557" s="1193">
        <f t="shared" si="121"/>
        <v>0</v>
      </c>
      <c r="AL557" s="1193">
        <f t="shared" si="122"/>
        <v>0</v>
      </c>
      <c r="AM557" s="1193">
        <f t="shared" si="123"/>
        <v>0</v>
      </c>
      <c r="AN557" s="1194" t="str">
        <f>VLOOKUP($I557,'Price List, Weapons &amp; Items'!B:L,COLUMN('Price List, Weapons &amp; Items'!$J$11)-1,0)</f>
        <v>Media reports (incl. social media)</v>
      </c>
      <c r="AO557" s="1194" t="str">
        <f>IF(I557=".",".",VLOOKUP($I557,'Price List, Weapons &amp; Items'!B:J,3,0))</f>
        <v>Anti-aircraft surface-to-air missile (SAM) system (medium-range)</v>
      </c>
      <c r="AP557" s="1195" t="str">
        <f t="shared" ca="1" si="117"/>
        <v/>
      </c>
      <c r="AQ557" s="1194">
        <f>VLOOKUP($I557,'Price List, Weapons &amp; Items'!B:L,COLUMN('Price List, Weapons &amp; Items'!$L$11)-1,0)</f>
        <v>2</v>
      </c>
      <c r="AR557" s="1194">
        <f t="shared" si="124"/>
        <v>1</v>
      </c>
      <c r="AS557" s="1194">
        <f t="shared" si="125"/>
        <v>1</v>
      </c>
      <c r="AT557" s="1194" t="str">
        <f t="shared" si="126"/>
        <v>Value is not in date format</v>
      </c>
      <c r="AU557" s="1194" t="str">
        <f t="shared" si="127"/>
        <v>.</v>
      </c>
      <c r="AV557" s="1194" t="str">
        <f t="shared" si="118"/>
        <v>.</v>
      </c>
      <c r="AW557" s="1194" t="str">
        <f t="shared" si="128"/>
        <v>.</v>
      </c>
      <c r="AX557" s="1194">
        <f>IFERROR(VLOOKUP(B557,'Share, Heavy Weapons to Ukraine'!B:Z,COLUMN('Share, Heavy Weapons to Ukraine'!C567)-1,0),0)</f>
        <v>0</v>
      </c>
      <c r="AY557" s="1194">
        <f>VLOOKUP('Bilateral Assistance, MAIN DATA'!B557,'Country Summary (€)'!B:F,COLUMN('Country Summary (€)'!C568)-1,FALSE)</f>
        <v>1</v>
      </c>
      <c r="AZ557" s="1194" t="str">
        <f>IF(AND(AD557=1,D557="Military",H557&lt;&gt;"Not given")=TRUE,IF(SUMIFS(P:P,A:A,A557)&gt;0,ABS((SUMIFS(P:P,A:A,A557)/VLOOKUP("USD",'Exchange Rates'!B:C,2,0)))/S557,"."),".")</f>
        <v>.</v>
      </c>
      <c r="BA557" s="1196" t="str">
        <f>IF(AND(AD557=1,D557="Military",H557&lt;&gt;"Not given")=TRUE,IF(SUMIFS(P:P,A:A,A557)&gt;0,IF((ABS((SUMIFS(P:P,A:A,A557)/VLOOKUP("USD",'Exchange Rates'!B:C,2,0)))/S557)&gt;1,(SUMIFS(P:P,A:A,A557)-S557)/S557,(S557-SUMIFS(P:P,A:A,A557))/SUMIFS(P:P,A:A,A557)),"."),".")</f>
        <v>.</v>
      </c>
    </row>
    <row r="558" spans="1:53" ht="15.95" customHeight="1">
      <c r="A558" s="1182" t="s">
        <v>1796</v>
      </c>
      <c r="B558" s="1182" t="s">
        <v>1711</v>
      </c>
      <c r="C558" s="1181" t="s">
        <v>1797</v>
      </c>
      <c r="D558" s="1182" t="s">
        <v>389</v>
      </c>
      <c r="E558" s="1182" t="s">
        <v>1676</v>
      </c>
      <c r="F558" s="1263" t="s">
        <v>1806</v>
      </c>
      <c r="G558" s="1184" t="s">
        <v>483</v>
      </c>
      <c r="H558" s="1185">
        <v>6750000000</v>
      </c>
      <c r="I558" s="1266" t="s">
        <v>1826</v>
      </c>
      <c r="J558" s="1186" t="str">
        <f>VLOOKUP($I558,'Price List, Weapons &amp; Items'!B:C,2,0)</f>
        <v>Ammunition for heavy weapon</v>
      </c>
      <c r="K558" s="1186" t="str">
        <f>IF(I558=".",I558,VLOOKUP($I558,'Price List, Weapons &amp; Items'!B:D,3,0))</f>
        <v>Anti-aircraft system ammunition</v>
      </c>
      <c r="L558" s="1187">
        <f>VLOOKUP(I558,'Price List, Weapons &amp; Items'!B:E,4,0)</f>
        <v>0</v>
      </c>
      <c r="M558" s="1188" t="s">
        <v>374</v>
      </c>
      <c r="N558" s="1188" t="s">
        <v>374</v>
      </c>
      <c r="O558" s="1188">
        <f>VLOOKUP($I558,'Price List, Weapons &amp; Items'!B:G,6,0)</f>
        <v>616680.63641107001</v>
      </c>
      <c r="P558" s="1185" t="str">
        <f t="shared" si="119"/>
        <v>.</v>
      </c>
      <c r="Q558" s="1185" t="str">
        <f t="shared" si="120"/>
        <v>.</v>
      </c>
      <c r="R558" s="1185" t="str">
        <f t="shared" si="116"/>
        <v/>
      </c>
      <c r="S558" s="1185" t="str">
        <f>IF(AND(AD558=1,R558&lt;&gt;".")=TRUE,R558/VLOOKUP(G558,'Exchange Rates'!B:C,2,0),IF(R558=".",".",""))</f>
        <v/>
      </c>
      <c r="T558" s="1185" t="str">
        <f>IF(AD558=1,IF(AF558="Value is not given at all",".",IF(AF558="Value is given by the source",S558,IF(AF558="Value is calculated with prices",(IF(SUMIFS(Q:Q,A:A,A558)&gt;0,SUMIFS(Q:Q,A:A,A558),"."))/VLOOKUP("USD",'Exchange Rates'!B:C,2,0),"Error with coding"))),"")</f>
        <v/>
      </c>
      <c r="U558" s="1184" t="s">
        <v>365</v>
      </c>
      <c r="V558" s="972" t="s">
        <v>1782</v>
      </c>
      <c r="W558" s="972" t="s">
        <v>1280</v>
      </c>
      <c r="X558" s="972" t="s">
        <v>364</v>
      </c>
      <c r="Y558" s="972" t="s">
        <v>364</v>
      </c>
      <c r="Z558" s="1184">
        <v>0</v>
      </c>
      <c r="AA558" s="1194">
        <v>0</v>
      </c>
      <c r="AB558" s="600" t="s">
        <v>1280</v>
      </c>
      <c r="AC558" s="1192" t="str">
        <f>""</f>
        <v/>
      </c>
      <c r="AD558" s="985">
        <v>0</v>
      </c>
      <c r="AE558" s="1194" t="s">
        <v>368</v>
      </c>
      <c r="AF558" s="985" t="s">
        <v>369</v>
      </c>
      <c r="AG558" s="985">
        <v>0</v>
      </c>
      <c r="AH558" s="985">
        <v>0</v>
      </c>
      <c r="AI558" s="985">
        <v>0</v>
      </c>
      <c r="AJ558" s="1193">
        <f>VLOOKUP($I558,'Price List, Weapons &amp; Items'!B:F,5,0)</f>
        <v>0</v>
      </c>
      <c r="AK558" s="1193">
        <f t="shared" si="121"/>
        <v>0</v>
      </c>
      <c r="AL558" s="1193">
        <f t="shared" si="122"/>
        <v>0</v>
      </c>
      <c r="AM558" s="1193">
        <f t="shared" si="123"/>
        <v>0</v>
      </c>
      <c r="AN558" s="1194" t="str">
        <f>VLOOKUP($I558,'Price List, Weapons &amp; Items'!B:L,COLUMN('Price List, Weapons &amp; Items'!$J$11)-1,0)</f>
        <v>Contracts</v>
      </c>
      <c r="AO558" s="1194" t="str">
        <f>IF(I558=".",".",VLOOKUP($I558,'Price List, Weapons &amp; Items'!B:J,3,0))</f>
        <v>Anti-aircraft system ammunition</v>
      </c>
      <c r="AP558" s="1195" t="str">
        <f t="shared" ca="1" si="117"/>
        <v/>
      </c>
      <c r="AQ558" s="1194" t="str">
        <f>VLOOKUP($I558,'Price List, Weapons &amp; Items'!B:L,COLUMN('Price List, Weapons &amp; Items'!$L$11)-1,0)</f>
        <v>no price, 0 count</v>
      </c>
      <c r="AR558" s="1194">
        <f t="shared" si="124"/>
        <v>1</v>
      </c>
      <c r="AS558" s="1194">
        <f t="shared" si="125"/>
        <v>1</v>
      </c>
      <c r="AT558" s="1194" t="str">
        <f t="shared" si="126"/>
        <v>Value is not in date format</v>
      </c>
      <c r="AU558" s="1194" t="str">
        <f t="shared" si="127"/>
        <v>.</v>
      </c>
      <c r="AV558" s="1194" t="str">
        <f t="shared" si="118"/>
        <v>.</v>
      </c>
      <c r="AW558" s="1194" t="str">
        <f t="shared" si="128"/>
        <v>.</v>
      </c>
      <c r="AX558" s="1194">
        <f>IFERROR(VLOOKUP(B558,'Share, Heavy Weapons to Ukraine'!B:Z,COLUMN('Share, Heavy Weapons to Ukraine'!C568)-1,0),0)</f>
        <v>0</v>
      </c>
      <c r="AY558" s="1194">
        <f>VLOOKUP('Bilateral Assistance, MAIN DATA'!B558,'Country Summary (€)'!B:F,COLUMN('Country Summary (€)'!C569)-1,FALSE)</f>
        <v>1</v>
      </c>
      <c r="AZ558" s="1194" t="str">
        <f>IF(AND(AD558=1,D558="Military",H558&lt;&gt;"Not given")=TRUE,IF(SUMIFS(P:P,A:A,A558)&gt;0,ABS((SUMIFS(P:P,A:A,A558)/VLOOKUP("USD",'Exchange Rates'!B:C,2,0)))/S558,"."),".")</f>
        <v>.</v>
      </c>
      <c r="BA558" s="1196" t="str">
        <f>IF(AND(AD558=1,D558="Military",H558&lt;&gt;"Not given")=TRUE,IF(SUMIFS(P:P,A:A,A558)&gt;0,IF((ABS((SUMIFS(P:P,A:A,A558)/VLOOKUP("USD",'Exchange Rates'!B:C,2,0)))/S558)&gt;1,(SUMIFS(P:P,A:A,A558)-S558)/S558,(S558-SUMIFS(P:P,A:A,A558))/SUMIFS(P:P,A:A,A558)),"."),".")</f>
        <v>.</v>
      </c>
    </row>
    <row r="559" spans="1:53" ht="15.95" customHeight="1">
      <c r="A559" s="1182" t="s">
        <v>1796</v>
      </c>
      <c r="B559" s="1182" t="s">
        <v>1711</v>
      </c>
      <c r="C559" s="1181" t="s">
        <v>1797</v>
      </c>
      <c r="D559" s="1182" t="s">
        <v>389</v>
      </c>
      <c r="E559" s="1182" t="s">
        <v>1676</v>
      </c>
      <c r="F559" s="1263" t="s">
        <v>1806</v>
      </c>
      <c r="G559" s="1184" t="s">
        <v>483</v>
      </c>
      <c r="H559" s="1185">
        <v>6750000000</v>
      </c>
      <c r="I559" s="1266" t="s">
        <v>1326</v>
      </c>
      <c r="J559" s="1186" t="str">
        <f>VLOOKUP($I559,'Price List, Weapons &amp; Items'!B:C,2,0)</f>
        <v>Military equipment</v>
      </c>
      <c r="K559" s="1186" t="str">
        <f>IF(I559=".",I559,VLOOKUP($I559,'Price List, Weapons &amp; Items'!B:D,3,0))</f>
        <v>Military equipment</v>
      </c>
      <c r="L559" s="1187">
        <f>VLOOKUP(I559,'Price List, Weapons &amp; Items'!B:E,4,0)</f>
        <v>0</v>
      </c>
      <c r="M559" s="1188">
        <v>38</v>
      </c>
      <c r="N559" s="1188">
        <v>38</v>
      </c>
      <c r="O559" s="1188">
        <f>VLOOKUP($I559,'Price List, Weapons &amp; Items'!B:G,6,0)</f>
        <v>51404</v>
      </c>
      <c r="P559" s="1185">
        <f t="shared" si="119"/>
        <v>1953352</v>
      </c>
      <c r="Q559" s="1185">
        <f t="shared" si="120"/>
        <v>1953352</v>
      </c>
      <c r="R559" s="1185" t="str">
        <f t="shared" si="116"/>
        <v/>
      </c>
      <c r="S559" s="1185" t="str">
        <f>IF(AND(AD559=1,R559&lt;&gt;".")=TRUE,R559/VLOOKUP(G559,'Exchange Rates'!B:C,2,0),IF(R559=".",".",""))</f>
        <v/>
      </c>
      <c r="T559" s="1185" t="str">
        <f>IF(AD559=1,IF(AF559="Value is not given at all",".",IF(AF559="Value is given by the source",S559,IF(AF559="Value is calculated with prices",(IF(SUMIFS(Q:Q,A:A,A559)&gt;0,SUMIFS(Q:Q,A:A,A559),"."))/VLOOKUP("USD",'Exchange Rates'!B:C,2,0),"Error with coding"))),"")</f>
        <v/>
      </c>
      <c r="U559" s="1184" t="s">
        <v>365</v>
      </c>
      <c r="V559" s="972" t="s">
        <v>1782</v>
      </c>
      <c r="W559" s="972" t="s">
        <v>1280</v>
      </c>
      <c r="X559" s="972" t="s">
        <v>364</v>
      </c>
      <c r="Y559" s="972" t="s">
        <v>364</v>
      </c>
      <c r="Z559" s="1184">
        <v>0</v>
      </c>
      <c r="AA559" s="1194">
        <v>0</v>
      </c>
      <c r="AB559" s="600" t="s">
        <v>1280</v>
      </c>
      <c r="AC559" s="1192" t="str">
        <f>""</f>
        <v/>
      </c>
      <c r="AD559" s="985">
        <v>0</v>
      </c>
      <c r="AE559" s="1194" t="s">
        <v>368</v>
      </c>
      <c r="AF559" s="985" t="s">
        <v>369</v>
      </c>
      <c r="AG559" s="985">
        <v>0</v>
      </c>
      <c r="AH559" s="985">
        <v>0</v>
      </c>
      <c r="AI559" s="985">
        <v>0</v>
      </c>
      <c r="AJ559" s="1193">
        <f>VLOOKUP($I559,'Price List, Weapons &amp; Items'!B:F,5,0)</f>
        <v>0</v>
      </c>
      <c r="AK559" s="1193">
        <f t="shared" si="121"/>
        <v>0</v>
      </c>
      <c r="AL559" s="1193">
        <f t="shared" si="122"/>
        <v>0</v>
      </c>
      <c r="AM559" s="1193">
        <f t="shared" si="123"/>
        <v>0</v>
      </c>
      <c r="AN559" s="1194" t="str">
        <f>VLOOKUP($I559,'Price List, Weapons &amp; Items'!B:L,COLUMN('Price List, Weapons &amp; Items'!$J$11)-1,0)</f>
        <v>Contracts</v>
      </c>
      <c r="AO559" s="1194" t="str">
        <f>IF(I559=".",".",VLOOKUP($I559,'Price List, Weapons &amp; Items'!B:J,3,0))</f>
        <v>Military equipment</v>
      </c>
      <c r="AP559" s="1195" t="str">
        <f t="shared" ca="1" si="117"/>
        <v/>
      </c>
      <c r="AQ559" s="1194">
        <f>VLOOKUP($I559,'Price List, Weapons &amp; Items'!B:L,COLUMN('Price List, Weapons &amp; Items'!$L$11)-1,0)</f>
        <v>2</v>
      </c>
      <c r="AR559" s="1194">
        <f t="shared" si="124"/>
        <v>1</v>
      </c>
      <c r="AS559" s="1194">
        <f t="shared" si="125"/>
        <v>1</v>
      </c>
      <c r="AT559" s="1194" t="str">
        <f t="shared" si="126"/>
        <v>Value is not in date format</v>
      </c>
      <c r="AU559" s="1194" t="str">
        <f t="shared" si="127"/>
        <v>.</v>
      </c>
      <c r="AV559" s="1194" t="str">
        <f t="shared" si="118"/>
        <v>.</v>
      </c>
      <c r="AW559" s="1194" t="str">
        <f t="shared" si="128"/>
        <v>.</v>
      </c>
      <c r="AX559" s="1194">
        <f>IFERROR(VLOOKUP(B559,'Share, Heavy Weapons to Ukraine'!B:Z,COLUMN('Share, Heavy Weapons to Ukraine'!C569)-1,0),0)</f>
        <v>0</v>
      </c>
      <c r="AY559" s="1194">
        <f>VLOOKUP('Bilateral Assistance, MAIN DATA'!B559,'Country Summary (€)'!B:F,COLUMN('Country Summary (€)'!C570)-1,FALSE)</f>
        <v>1</v>
      </c>
      <c r="AZ559" s="1194" t="str">
        <f>IF(AND(AD559=1,D559="Military",H559&lt;&gt;"Not given")=TRUE,IF(SUMIFS(P:P,A:A,A559)&gt;0,ABS((SUMIFS(P:P,A:A,A559)/VLOOKUP("USD",'Exchange Rates'!B:C,2,0)))/S559,"."),".")</f>
        <v>.</v>
      </c>
      <c r="BA559" s="1196" t="str">
        <f>IF(AND(AD559=1,D559="Military",H559&lt;&gt;"Not given")=TRUE,IF(SUMIFS(P:P,A:A,A559)&gt;0,IF((ABS((SUMIFS(P:P,A:A,A559)/VLOOKUP("USD",'Exchange Rates'!B:C,2,0)))/S559)&gt;1,(SUMIFS(P:P,A:A,A559)-S559)/S559,(S559-SUMIFS(P:P,A:A,A559))/SUMIFS(P:P,A:A,A559)),"."),".")</f>
        <v>.</v>
      </c>
    </row>
    <row r="560" spans="1:53" ht="15.95" customHeight="1">
      <c r="A560" s="1182" t="s">
        <v>1796</v>
      </c>
      <c r="B560" s="1182" t="s">
        <v>1711</v>
      </c>
      <c r="C560" s="1181" t="s">
        <v>1797</v>
      </c>
      <c r="D560" s="1182" t="s">
        <v>389</v>
      </c>
      <c r="E560" s="1182" t="s">
        <v>1676</v>
      </c>
      <c r="F560" s="1263" t="s">
        <v>1806</v>
      </c>
      <c r="G560" s="1184" t="s">
        <v>483</v>
      </c>
      <c r="H560" s="1185">
        <v>6750000000</v>
      </c>
      <c r="I560" s="1266" t="s">
        <v>1827</v>
      </c>
      <c r="J560" s="1186" t="str">
        <f>VLOOKUP($I560,'Price List, Weapons &amp; Items'!B:C,2,0)</f>
        <v>Military equipment</v>
      </c>
      <c r="K560" s="1186" t="str">
        <f>IF(I560=".",I560,VLOOKUP($I560,'Price List, Weapons &amp; Items'!B:D,3,0))</f>
        <v>Military equipment</v>
      </c>
      <c r="L560" s="1187">
        <f>VLOOKUP(I560,'Price List, Weapons &amp; Items'!B:E,4,0)</f>
        <v>0</v>
      </c>
      <c r="M560" s="1188">
        <v>20</v>
      </c>
      <c r="N560" s="1188">
        <v>20</v>
      </c>
      <c r="O560" s="1188">
        <f>VLOOKUP($I560,'Price List, Weapons &amp; Items'!B:G,6,0)</f>
        <v>102216.33</v>
      </c>
      <c r="P560" s="1185">
        <f t="shared" si="119"/>
        <v>2044326.6</v>
      </c>
      <c r="Q560" s="1185">
        <f t="shared" si="120"/>
        <v>2044326.6</v>
      </c>
      <c r="R560" s="1185" t="str">
        <f t="shared" si="116"/>
        <v/>
      </c>
      <c r="S560" s="1185" t="str">
        <f>IF(AND(AD560=1,R560&lt;&gt;".")=TRUE,R560/VLOOKUP(G560,'Exchange Rates'!B:C,2,0),IF(R560=".",".",""))</f>
        <v/>
      </c>
      <c r="T560" s="1185" t="str">
        <f>IF(AD560=1,IF(AF560="Value is not given at all",".",IF(AF560="Value is given by the source",S560,IF(AF560="Value is calculated with prices",(IF(SUMIFS(Q:Q,A:A,A560)&gt;0,SUMIFS(Q:Q,A:A,A560),"."))/VLOOKUP("USD",'Exchange Rates'!B:C,2,0),"Error with coding"))),"")</f>
        <v/>
      </c>
      <c r="U560" s="1184" t="s">
        <v>365</v>
      </c>
      <c r="V560" s="972" t="s">
        <v>1782</v>
      </c>
      <c r="W560" s="972" t="s">
        <v>1280</v>
      </c>
      <c r="X560" s="972" t="s">
        <v>364</v>
      </c>
      <c r="Y560" s="972" t="s">
        <v>364</v>
      </c>
      <c r="Z560" s="1184">
        <v>0</v>
      </c>
      <c r="AA560" s="1194">
        <v>0</v>
      </c>
      <c r="AB560" s="600" t="s">
        <v>1280</v>
      </c>
      <c r="AC560" s="1192" t="str">
        <f>""</f>
        <v/>
      </c>
      <c r="AD560" s="985">
        <v>0</v>
      </c>
      <c r="AE560" s="1194" t="s">
        <v>368</v>
      </c>
      <c r="AF560" s="985" t="s">
        <v>369</v>
      </c>
      <c r="AG560" s="985">
        <v>0</v>
      </c>
      <c r="AH560" s="985">
        <v>0</v>
      </c>
      <c r="AI560" s="985">
        <v>0</v>
      </c>
      <c r="AJ560" s="1193">
        <f>VLOOKUP($I560,'Price List, Weapons &amp; Items'!B:F,5,0)</f>
        <v>0</v>
      </c>
      <c r="AK560" s="1193">
        <f t="shared" si="121"/>
        <v>0</v>
      </c>
      <c r="AL560" s="1193">
        <f t="shared" si="122"/>
        <v>0</v>
      </c>
      <c r="AM560" s="1193">
        <f t="shared" si="123"/>
        <v>0</v>
      </c>
      <c r="AN560" s="1194" t="str">
        <f>VLOOKUP($I560,'Price List, Weapons &amp; Items'!B:L,COLUMN('Price List, Weapons &amp; Items'!$J$11)-1,0)</f>
        <v>Government information</v>
      </c>
      <c r="AO560" s="1194" t="str">
        <f>IF(I560=".",".",VLOOKUP($I560,'Price List, Weapons &amp; Items'!B:J,3,0))</f>
        <v>Military equipment</v>
      </c>
      <c r="AP560" s="1195" t="str">
        <f t="shared" ca="1" si="117"/>
        <v/>
      </c>
      <c r="AQ560" s="1194">
        <f>VLOOKUP($I560,'Price List, Weapons &amp; Items'!B:L,COLUMN('Price List, Weapons &amp; Items'!$L$11)-1,0)</f>
        <v>2</v>
      </c>
      <c r="AR560" s="1194">
        <f t="shared" si="124"/>
        <v>1</v>
      </c>
      <c r="AS560" s="1194">
        <f t="shared" si="125"/>
        <v>1</v>
      </c>
      <c r="AT560" s="1194" t="str">
        <f t="shared" si="126"/>
        <v>Value is not in date format</v>
      </c>
      <c r="AU560" s="1194" t="str">
        <f t="shared" si="127"/>
        <v>.</v>
      </c>
      <c r="AV560" s="1194" t="str">
        <f t="shared" si="118"/>
        <v>.</v>
      </c>
      <c r="AW560" s="1194" t="str">
        <f t="shared" si="128"/>
        <v>.</v>
      </c>
      <c r="AX560" s="1194">
        <f>IFERROR(VLOOKUP(B560,'Share, Heavy Weapons to Ukraine'!B:Z,COLUMN('Share, Heavy Weapons to Ukraine'!C570)-1,0),0)</f>
        <v>0</v>
      </c>
      <c r="AY560" s="1194">
        <f>VLOOKUP('Bilateral Assistance, MAIN DATA'!B560,'Country Summary (€)'!B:F,COLUMN('Country Summary (€)'!C571)-1,FALSE)</f>
        <v>1</v>
      </c>
      <c r="AZ560" s="1194" t="str">
        <f>IF(AND(AD560=1,D560="Military",H560&lt;&gt;"Not given")=TRUE,IF(SUMIFS(P:P,A:A,A560)&gt;0,ABS((SUMIFS(P:P,A:A,A560)/VLOOKUP("USD",'Exchange Rates'!B:C,2,0)))/S560,"."),".")</f>
        <v>.</v>
      </c>
      <c r="BA560" s="1196" t="str">
        <f>IF(AND(AD560=1,D560="Military",H560&lt;&gt;"Not given")=TRUE,IF(SUMIFS(P:P,A:A,A560)&gt;0,IF((ABS((SUMIFS(P:P,A:A,A560)/VLOOKUP("USD",'Exchange Rates'!B:C,2,0)))/S560)&gt;1,(SUMIFS(P:P,A:A,A560)-S560)/S560,(S560-SUMIFS(P:P,A:A,A560))/SUMIFS(P:P,A:A,A560)),"."),".")</f>
        <v>.</v>
      </c>
    </row>
    <row r="561" spans="1:53" ht="15.95" customHeight="1">
      <c r="A561" s="1182" t="s">
        <v>1796</v>
      </c>
      <c r="B561" s="1182" t="s">
        <v>1711</v>
      </c>
      <c r="C561" s="1181" t="s">
        <v>1797</v>
      </c>
      <c r="D561" s="1182" t="s">
        <v>389</v>
      </c>
      <c r="E561" s="1182" t="s">
        <v>1676</v>
      </c>
      <c r="F561" s="1263" t="s">
        <v>1806</v>
      </c>
      <c r="G561" s="1184" t="s">
        <v>483</v>
      </c>
      <c r="H561" s="1185">
        <v>6750000000</v>
      </c>
      <c r="I561" s="1266" t="s">
        <v>1828</v>
      </c>
      <c r="J561" s="1186" t="str">
        <f>VLOOKUP($I561,'Price List, Weapons &amp; Items'!B:C,2,0)</f>
        <v>Military equipment</v>
      </c>
      <c r="K561" s="1186" t="str">
        <f>IF(I561=".",I561,VLOOKUP($I561,'Price List, Weapons &amp; Items'!B:D,3,0))</f>
        <v>non combat military vehicle</v>
      </c>
      <c r="L561" s="1187">
        <f>VLOOKUP(I561,'Price List, Weapons &amp; Items'!B:E,4,0)</f>
        <v>0</v>
      </c>
      <c r="M561" s="1188">
        <v>8</v>
      </c>
      <c r="N561" s="1275">
        <v>8</v>
      </c>
      <c r="O561" s="1188">
        <f>VLOOKUP($I561,'Price List, Weapons &amp; Items'!B:G,6,0)</f>
        <v>32500</v>
      </c>
      <c r="P561" s="1185">
        <f t="shared" si="119"/>
        <v>260000</v>
      </c>
      <c r="Q561" s="1185">
        <f t="shared" si="120"/>
        <v>260000</v>
      </c>
      <c r="R561" s="1185" t="str">
        <f t="shared" si="116"/>
        <v/>
      </c>
      <c r="S561" s="1185" t="str">
        <f>IF(AND(AD561=1,R561&lt;&gt;".")=TRUE,R561/VLOOKUP(G561,'Exchange Rates'!B:C,2,0),IF(R561=".",".",""))</f>
        <v/>
      </c>
      <c r="T561" s="1185" t="str">
        <f>IF(AD561=1,IF(AF561="Value is not given at all",".",IF(AF561="Value is given by the source",S561,IF(AF561="Value is calculated with prices",(IF(SUMIFS(Q:Q,A:A,A561)&gt;0,SUMIFS(Q:Q,A:A,A561),"."))/VLOOKUP("USD",'Exchange Rates'!B:C,2,0),"Error with coding"))),"")</f>
        <v/>
      </c>
      <c r="U561" s="1184" t="s">
        <v>365</v>
      </c>
      <c r="V561" s="972" t="s">
        <v>1782</v>
      </c>
      <c r="W561" s="972" t="s">
        <v>1280</v>
      </c>
      <c r="X561" s="972" t="s">
        <v>364</v>
      </c>
      <c r="Y561" s="972" t="s">
        <v>364</v>
      </c>
      <c r="Z561" s="1184">
        <v>0</v>
      </c>
      <c r="AA561" s="1194">
        <v>1</v>
      </c>
      <c r="AB561" s="600" t="s">
        <v>1280</v>
      </c>
      <c r="AC561" s="1192" t="str">
        <f>""</f>
        <v/>
      </c>
      <c r="AD561" s="985">
        <v>0</v>
      </c>
      <c r="AE561" s="1194" t="s">
        <v>368</v>
      </c>
      <c r="AF561" s="985" t="s">
        <v>369</v>
      </c>
      <c r="AG561" s="985">
        <v>0</v>
      </c>
      <c r="AH561" s="985">
        <v>0</v>
      </c>
      <c r="AI561" s="985">
        <v>0</v>
      </c>
      <c r="AJ561" s="1193">
        <f>VLOOKUP($I561,'Price List, Weapons &amp; Items'!B:F,5,0)</f>
        <v>0</v>
      </c>
      <c r="AK561" s="1193">
        <f t="shared" si="121"/>
        <v>0</v>
      </c>
      <c r="AL561" s="1193">
        <f t="shared" si="122"/>
        <v>0</v>
      </c>
      <c r="AM561" s="1193">
        <f t="shared" si="123"/>
        <v>0</v>
      </c>
      <c r="AN561" s="1194" t="str">
        <f>VLOOKUP($I561,'Price List, Weapons &amp; Items'!B:L,COLUMN('Price List, Weapons &amp; Items'!$J$11)-1,0)</f>
        <v>Online marketplaces and stores</v>
      </c>
      <c r="AO561" s="1194" t="str">
        <f>IF(I561=".",".",VLOOKUP($I561,'Price List, Weapons &amp; Items'!B:J,3,0))</f>
        <v>non combat military vehicle</v>
      </c>
      <c r="AP561" s="1195" t="str">
        <f t="shared" ca="1" si="117"/>
        <v/>
      </c>
      <c r="AQ561" s="1194">
        <f>VLOOKUP($I561,'Price List, Weapons &amp; Items'!B:L,COLUMN('Price List, Weapons &amp; Items'!$L$11)-1,0)</f>
        <v>1</v>
      </c>
      <c r="AR561" s="1194">
        <f t="shared" si="124"/>
        <v>1</v>
      </c>
      <c r="AS561" s="1194">
        <f t="shared" si="125"/>
        <v>1</v>
      </c>
      <c r="AT561" s="1194" t="str">
        <f t="shared" si="126"/>
        <v>Value is not in date format</v>
      </c>
      <c r="AU561" s="1194" t="str">
        <f t="shared" si="127"/>
        <v>.</v>
      </c>
      <c r="AV561" s="1194" t="str">
        <f t="shared" si="118"/>
        <v>.</v>
      </c>
      <c r="AW561" s="1194" t="str">
        <f t="shared" si="128"/>
        <v>.</v>
      </c>
      <c r="AX561" s="1194">
        <f>IFERROR(VLOOKUP(B561,'Share, Heavy Weapons to Ukraine'!B:Z,COLUMN('Share, Heavy Weapons to Ukraine'!C571)-1,0),0)</f>
        <v>0</v>
      </c>
      <c r="AY561" s="1194">
        <f>VLOOKUP('Bilateral Assistance, MAIN DATA'!B561,'Country Summary (€)'!B:F,COLUMN('Country Summary (€)'!C572)-1,FALSE)</f>
        <v>1</v>
      </c>
      <c r="AZ561" s="1194" t="str">
        <f>IF(AND(AD561=1,D561="Military",H561&lt;&gt;"Not given")=TRUE,IF(SUMIFS(P:P,A:A,A561)&gt;0,ABS((SUMIFS(P:P,A:A,A561)/VLOOKUP("USD",'Exchange Rates'!B:C,2,0)))/S561,"."),".")</f>
        <v>.</v>
      </c>
      <c r="BA561" s="1196" t="str">
        <f>IF(AND(AD561=1,D561="Military",H561&lt;&gt;"Not given")=TRUE,IF(SUMIFS(P:P,A:A,A561)&gt;0,IF((ABS((SUMIFS(P:P,A:A,A561)/VLOOKUP("USD",'Exchange Rates'!B:C,2,0)))/S561)&gt;1,(SUMIFS(P:P,A:A,A561)-S561)/S561,(S561-SUMIFS(P:P,A:A,A561))/SUMIFS(P:P,A:A,A561)),"."),".")</f>
        <v>.</v>
      </c>
    </row>
    <row r="562" spans="1:53" ht="15.95" customHeight="1">
      <c r="A562" s="1182" t="s">
        <v>1796</v>
      </c>
      <c r="B562" s="1182" t="s">
        <v>1711</v>
      </c>
      <c r="C562" s="1181" t="s">
        <v>1797</v>
      </c>
      <c r="D562" s="1182" t="s">
        <v>389</v>
      </c>
      <c r="E562" s="1182" t="s">
        <v>1676</v>
      </c>
      <c r="F562" s="1263" t="s">
        <v>1806</v>
      </c>
      <c r="G562" s="1184" t="s">
        <v>483</v>
      </c>
      <c r="H562" s="1185">
        <v>6750000000</v>
      </c>
      <c r="I562" s="1280" t="s">
        <v>1829</v>
      </c>
      <c r="J562" s="1186" t="str">
        <f>VLOOKUP($I562,'Price List, Weapons &amp; Items'!B:C,2,0)</f>
        <v>Heavy weapon</v>
      </c>
      <c r="K562" s="1186" t="str">
        <f>IF(I562=".",I562,VLOOKUP($I562,'Price List, Weapons &amp; Items'!B:D,3,0))</f>
        <v>overhaul/repair</v>
      </c>
      <c r="L562" s="1187">
        <f>VLOOKUP(I562,'Price List, Weapons &amp; Items'!B:E,4,0)</f>
        <v>0</v>
      </c>
      <c r="M562" s="1188">
        <v>54</v>
      </c>
      <c r="N562" s="1188">
        <v>54</v>
      </c>
      <c r="O562" s="1188" t="str">
        <f>VLOOKUP($I562,'Price List, Weapons &amp; Items'!B:G,6,0)</f>
        <v>.</v>
      </c>
      <c r="P562" s="1185" t="str">
        <f t="shared" si="119"/>
        <v>No price</v>
      </c>
      <c r="Q562" s="1185" t="str">
        <f t="shared" si="120"/>
        <v>No price</v>
      </c>
      <c r="R562" s="1185" t="str">
        <f t="shared" si="116"/>
        <v/>
      </c>
      <c r="S562" s="1185" t="str">
        <f>IF(AND(AD562=1,R562&lt;&gt;".")=TRUE,R562/VLOOKUP(G562,'Exchange Rates'!B:C,2,0),IF(R562=".",".",""))</f>
        <v/>
      </c>
      <c r="T562" s="1185" t="str">
        <f>IF(AD562=1,IF(AF562="Value is not given at all",".",IF(AF562="Value is given by the source",S562,IF(AF562="Value is calculated with prices",(IF(SUMIFS(Q:Q,A:A,A562)&gt;0,SUMIFS(Q:Q,A:A,A562),"."))/VLOOKUP("USD",'Exchange Rates'!B:C,2,0),"Error with coding"))),"")</f>
        <v/>
      </c>
      <c r="U562" s="1184" t="s">
        <v>365</v>
      </c>
      <c r="V562" s="972" t="s">
        <v>1782</v>
      </c>
      <c r="W562" s="972" t="s">
        <v>1280</v>
      </c>
      <c r="X562" s="972" t="s">
        <v>364</v>
      </c>
      <c r="Y562" s="972" t="s">
        <v>364</v>
      </c>
      <c r="Z562" s="1184">
        <v>0</v>
      </c>
      <c r="AA562" s="1194">
        <v>0</v>
      </c>
      <c r="AB562" s="600" t="s">
        <v>1280</v>
      </c>
      <c r="AC562" s="1192" t="str">
        <f>""</f>
        <v/>
      </c>
      <c r="AD562" s="985">
        <v>0</v>
      </c>
      <c r="AE562" s="1194" t="s">
        <v>368</v>
      </c>
      <c r="AF562" s="985" t="s">
        <v>369</v>
      </c>
      <c r="AG562" s="985">
        <v>1</v>
      </c>
      <c r="AH562" s="985">
        <v>4</v>
      </c>
      <c r="AI562" s="985">
        <v>0</v>
      </c>
      <c r="AJ562" s="1193">
        <f>VLOOKUP($I562,'Price List, Weapons &amp; Items'!B:F,5,0)</f>
        <v>0</v>
      </c>
      <c r="AK562" s="1193">
        <f t="shared" si="121"/>
        <v>0</v>
      </c>
      <c r="AL562" s="1193">
        <f t="shared" si="122"/>
        <v>0</v>
      </c>
      <c r="AM562" s="1193">
        <f t="shared" si="123"/>
        <v>0</v>
      </c>
      <c r="AN562" s="1194" t="str">
        <f>VLOOKUP($I562,'Price List, Weapons &amp; Items'!B:L,COLUMN('Price List, Weapons &amp; Items'!$J$11)-1,0)</f>
        <v>.</v>
      </c>
      <c r="AO562" s="1194" t="str">
        <f>IF(I562=".",".",VLOOKUP($I562,'Price List, Weapons &amp; Items'!B:J,3,0))</f>
        <v>overhaul/repair</v>
      </c>
      <c r="AP562" s="1195" t="str">
        <f t="shared" ca="1" si="117"/>
        <v/>
      </c>
      <c r="AQ562" s="1194">
        <f>VLOOKUP($I562,'Price List, Weapons &amp; Items'!B:L,COLUMN('Price List, Weapons &amp; Items'!$L$11)-1,0)</f>
        <v>0</v>
      </c>
      <c r="AR562" s="1194">
        <f t="shared" si="124"/>
        <v>1</v>
      </c>
      <c r="AS562" s="1194">
        <f t="shared" si="125"/>
        <v>1</v>
      </c>
      <c r="AT562" s="1194" t="str">
        <f t="shared" si="126"/>
        <v>Value is not in date format</v>
      </c>
      <c r="AU562" s="1194" t="str">
        <f t="shared" si="127"/>
        <v>.</v>
      </c>
      <c r="AV562" s="1194" t="str">
        <f t="shared" si="118"/>
        <v>.</v>
      </c>
      <c r="AW562" s="1194" t="str">
        <f t="shared" si="128"/>
        <v>.</v>
      </c>
      <c r="AX562" s="1194">
        <f>IFERROR(VLOOKUP(B562,'Share, Heavy Weapons to Ukraine'!B:Z,COLUMN('Share, Heavy Weapons to Ukraine'!C572)-1,0),0)</f>
        <v>0</v>
      </c>
      <c r="AY562" s="1194">
        <f>VLOOKUP('Bilateral Assistance, MAIN DATA'!B562,'Country Summary (€)'!B:F,COLUMN('Country Summary (€)'!C573)-1,FALSE)</f>
        <v>1</v>
      </c>
      <c r="AZ562" s="1194" t="str">
        <f>IF(AND(AD562=1,D562="Military",H562&lt;&gt;"Not given")=TRUE,IF(SUMIFS(P:P,A:A,A562)&gt;0,ABS((SUMIFS(P:P,A:A,A562)/VLOOKUP("USD",'Exchange Rates'!B:C,2,0)))/S562,"."),".")</f>
        <v>.</v>
      </c>
      <c r="BA562" s="1196" t="str">
        <f>IF(AND(AD562=1,D562="Military",H562&lt;&gt;"Not given")=TRUE,IF(SUMIFS(P:P,A:A,A562)&gt;0,IF((ABS((SUMIFS(P:P,A:A,A562)/VLOOKUP("USD",'Exchange Rates'!B:C,2,0)))/S562)&gt;1,(SUMIFS(P:P,A:A,A562)-S562)/S562,(S562-SUMIFS(P:P,A:A,A562))/SUMIFS(P:P,A:A,A562)),"."),".")</f>
        <v>.</v>
      </c>
    </row>
    <row r="563" spans="1:53" ht="15.95" customHeight="1">
      <c r="A563" s="1182" t="s">
        <v>1796</v>
      </c>
      <c r="B563" s="1182" t="s">
        <v>1711</v>
      </c>
      <c r="C563" s="1181" t="s">
        <v>1797</v>
      </c>
      <c r="D563" s="1182" t="s">
        <v>389</v>
      </c>
      <c r="E563" s="1182" t="s">
        <v>1676</v>
      </c>
      <c r="F563" s="1263" t="s">
        <v>1806</v>
      </c>
      <c r="G563" s="1184" t="s">
        <v>483</v>
      </c>
      <c r="H563" s="1185">
        <v>6750000000</v>
      </c>
      <c r="I563" s="1266" t="s">
        <v>1830</v>
      </c>
      <c r="J563" s="1186" t="str">
        <f>VLOOKUP($I563,'Price List, Weapons &amp; Items'!B:C,2,0)</f>
        <v>humanitarian</v>
      </c>
      <c r="K563" s="1186" t="str">
        <f>IF(I563=".",I563,VLOOKUP($I563,'Price List, Weapons &amp; Items'!B:D,3,0))</f>
        <v>Humanitarian</v>
      </c>
      <c r="L563" s="1187">
        <f>VLOOKUP(I563,'Price List, Weapons &amp; Items'!B:E,4,0)</f>
        <v>0</v>
      </c>
      <c r="M563" s="1188">
        <v>500</v>
      </c>
      <c r="N563" s="1188">
        <v>500</v>
      </c>
      <c r="O563" s="1188">
        <f>VLOOKUP($I563,'Price List, Weapons &amp; Items'!B:G,6,0)</f>
        <v>55</v>
      </c>
      <c r="P563" s="1185">
        <f t="shared" si="119"/>
        <v>27500</v>
      </c>
      <c r="Q563" s="1185">
        <f t="shared" si="120"/>
        <v>27500</v>
      </c>
      <c r="R563" s="1185" t="str">
        <f t="shared" si="116"/>
        <v/>
      </c>
      <c r="S563" s="1185" t="str">
        <f>IF(AND(AD563=1,R563&lt;&gt;".")=TRUE,R563/VLOOKUP(G563,'Exchange Rates'!B:C,2,0),IF(R563=".",".",""))</f>
        <v/>
      </c>
      <c r="T563" s="1185" t="str">
        <f>IF(AD563=1,IF(AF563="Value is not given at all",".",IF(AF563="Value is given by the source",S563,IF(AF563="Value is calculated with prices",(IF(SUMIFS(Q:Q,A:A,A563)&gt;0,SUMIFS(Q:Q,A:A,A563),"."))/VLOOKUP("USD",'Exchange Rates'!B:C,2,0),"Error with coding"))),"")</f>
        <v/>
      </c>
      <c r="U563" s="1184" t="s">
        <v>365</v>
      </c>
      <c r="V563" s="972" t="s">
        <v>1782</v>
      </c>
      <c r="W563" s="972" t="s">
        <v>1280</v>
      </c>
      <c r="X563" s="972" t="s">
        <v>364</v>
      </c>
      <c r="Y563" s="972" t="s">
        <v>364</v>
      </c>
      <c r="Z563" s="1184">
        <v>0</v>
      </c>
      <c r="AA563" s="1194">
        <v>0</v>
      </c>
      <c r="AB563" s="600" t="s">
        <v>1280</v>
      </c>
      <c r="AC563" s="1192" t="str">
        <f>""</f>
        <v/>
      </c>
      <c r="AD563" s="985">
        <v>0</v>
      </c>
      <c r="AE563" s="1194" t="s">
        <v>368</v>
      </c>
      <c r="AF563" s="985" t="s">
        <v>369</v>
      </c>
      <c r="AG563" s="985">
        <v>0</v>
      </c>
      <c r="AH563" s="985">
        <v>0</v>
      </c>
      <c r="AI563" s="985">
        <v>0</v>
      </c>
      <c r="AJ563" s="1193">
        <f>VLOOKUP($I563,'Price List, Weapons &amp; Items'!B:F,5,0)</f>
        <v>0</v>
      </c>
      <c r="AK563" s="1193">
        <f t="shared" si="121"/>
        <v>0</v>
      </c>
      <c r="AL563" s="1193">
        <f t="shared" si="122"/>
        <v>0</v>
      </c>
      <c r="AM563" s="1193">
        <f t="shared" si="123"/>
        <v>0</v>
      </c>
      <c r="AN563" s="1194" t="str">
        <f>VLOOKUP($I563,'Price List, Weapons &amp; Items'!B:L,COLUMN('Price List, Weapons &amp; Items'!$J$11)-1,0)</f>
        <v>Online marketplace and stores</v>
      </c>
      <c r="AO563" s="1194" t="str">
        <f>IF(I563=".",".",VLOOKUP($I563,'Price List, Weapons &amp; Items'!B:J,3,0))</f>
        <v>Humanitarian</v>
      </c>
      <c r="AP563" s="1195" t="str">
        <f t="shared" ca="1" si="117"/>
        <v/>
      </c>
      <c r="AQ563" s="1194">
        <f>VLOOKUP($I563,'Price List, Weapons &amp; Items'!B:L,COLUMN('Price List, Weapons &amp; Items'!$L$11)-1,0)</f>
        <v>0</v>
      </c>
      <c r="AR563" s="1194">
        <f t="shared" si="124"/>
        <v>1</v>
      </c>
      <c r="AS563" s="1194">
        <f t="shared" si="125"/>
        <v>1</v>
      </c>
      <c r="AT563" s="1194" t="str">
        <f t="shared" si="126"/>
        <v>Value is not in date format</v>
      </c>
      <c r="AU563" s="1194" t="str">
        <f t="shared" si="127"/>
        <v>.</v>
      </c>
      <c r="AV563" s="1194" t="str">
        <f t="shared" si="118"/>
        <v>.</v>
      </c>
      <c r="AW563" s="1194" t="str">
        <f t="shared" si="128"/>
        <v>.</v>
      </c>
      <c r="AX563" s="1194">
        <f>IFERROR(VLOOKUP(B563,'Share, Heavy Weapons to Ukraine'!B:Z,COLUMN('Share, Heavy Weapons to Ukraine'!C573)-1,0),0)</f>
        <v>0</v>
      </c>
      <c r="AY563" s="1194">
        <f>VLOOKUP('Bilateral Assistance, MAIN DATA'!B563,'Country Summary (€)'!B:F,COLUMN('Country Summary (€)'!C574)-1,FALSE)</f>
        <v>1</v>
      </c>
      <c r="AZ563" s="1194" t="str">
        <f>IF(AND(AD563=1,D563="Military",H563&lt;&gt;"Not given")=TRUE,IF(SUMIFS(P:P,A:A,A563)&gt;0,ABS((SUMIFS(P:P,A:A,A563)/VLOOKUP("USD",'Exchange Rates'!B:C,2,0)))/S563,"."),".")</f>
        <v>.</v>
      </c>
      <c r="BA563" s="1196" t="str">
        <f>IF(AND(AD563=1,D563="Military",H563&lt;&gt;"Not given")=TRUE,IF(SUMIFS(P:P,A:A,A563)&gt;0,IF((ABS((SUMIFS(P:P,A:A,A563)/VLOOKUP("USD",'Exchange Rates'!B:C,2,0)))/S563)&gt;1,(SUMIFS(P:P,A:A,A563)-S563)/S563,(S563-SUMIFS(P:P,A:A,A563))/SUMIFS(P:P,A:A,A563)),"."),".")</f>
        <v>.</v>
      </c>
    </row>
    <row r="564" spans="1:53" ht="15.95" customHeight="1">
      <c r="A564" s="1182" t="s">
        <v>1796</v>
      </c>
      <c r="B564" s="1182" t="s">
        <v>1711</v>
      </c>
      <c r="C564" s="1181" t="s">
        <v>1797</v>
      </c>
      <c r="D564" s="1182" t="s">
        <v>389</v>
      </c>
      <c r="E564" s="1182" t="s">
        <v>1676</v>
      </c>
      <c r="F564" s="1263" t="s">
        <v>1806</v>
      </c>
      <c r="G564" s="1184" t="s">
        <v>483</v>
      </c>
      <c r="H564" s="1185">
        <v>6750000000</v>
      </c>
      <c r="I564" s="1266" t="s">
        <v>1831</v>
      </c>
      <c r="J564" s="1186" t="str">
        <f>VLOOKUP($I564,'Price List, Weapons &amp; Items'!B:C,2,0)</f>
        <v>Military equipment</v>
      </c>
      <c r="K564" s="1186" t="str">
        <f>IF(I564=".",I564,VLOOKUP($I564,'Price List, Weapons &amp; Items'!B:D,3,0))</f>
        <v>spare parts</v>
      </c>
      <c r="L564" s="1187">
        <f>VLOOKUP(I564,'Price List, Weapons &amp; Items'!B:E,4,0)</f>
        <v>0</v>
      </c>
      <c r="M564" s="1188" t="s">
        <v>374</v>
      </c>
      <c r="N564" s="1188" t="s">
        <v>374</v>
      </c>
      <c r="O564" s="1188" t="str">
        <f>VLOOKUP($I564,'Price List, Weapons &amp; Items'!B:G,6,0)</f>
        <v>.</v>
      </c>
      <c r="P564" s="1185" t="str">
        <f t="shared" si="119"/>
        <v>.</v>
      </c>
      <c r="Q564" s="1185" t="str">
        <f t="shared" si="120"/>
        <v>.</v>
      </c>
      <c r="R564" s="1185" t="str">
        <f t="shared" si="116"/>
        <v/>
      </c>
      <c r="S564" s="1185" t="str">
        <f>IF(AND(AD564=1,R564&lt;&gt;".")=TRUE,R564/VLOOKUP(G564,'Exchange Rates'!B:C,2,0),IF(R564=".",".",""))</f>
        <v/>
      </c>
      <c r="T564" s="1185" t="str">
        <f>IF(AD564=1,IF(AF564="Value is not given at all",".",IF(AF564="Value is given by the source",S564,IF(AF564="Value is calculated with prices",(IF(SUMIFS(Q:Q,A:A,A564)&gt;0,SUMIFS(Q:Q,A:A,A564),"."))/VLOOKUP("USD",'Exchange Rates'!B:C,2,0),"Error with coding"))),"")</f>
        <v/>
      </c>
      <c r="U564" s="1184" t="s">
        <v>365</v>
      </c>
      <c r="V564" s="972" t="s">
        <v>1782</v>
      </c>
      <c r="W564" s="972" t="s">
        <v>1280</v>
      </c>
      <c r="X564" s="972" t="s">
        <v>364</v>
      </c>
      <c r="Y564" s="972" t="s">
        <v>364</v>
      </c>
      <c r="Z564" s="1184">
        <v>0</v>
      </c>
      <c r="AA564" s="1194">
        <v>0</v>
      </c>
      <c r="AB564" s="600" t="s">
        <v>1280</v>
      </c>
      <c r="AC564" s="1192" t="str">
        <f>""</f>
        <v/>
      </c>
      <c r="AD564" s="985">
        <v>0</v>
      </c>
      <c r="AE564" s="1194" t="s">
        <v>368</v>
      </c>
      <c r="AF564" s="985" t="s">
        <v>369</v>
      </c>
      <c r="AG564" s="985">
        <v>0</v>
      </c>
      <c r="AH564" s="985">
        <v>0</v>
      </c>
      <c r="AI564" s="985">
        <v>0</v>
      </c>
      <c r="AJ564" s="1193">
        <f>VLOOKUP($I564,'Price List, Weapons &amp; Items'!B:F,5,0)</f>
        <v>0</v>
      </c>
      <c r="AK564" s="1193">
        <f t="shared" si="121"/>
        <v>0</v>
      </c>
      <c r="AL564" s="1193">
        <f t="shared" si="122"/>
        <v>0</v>
      </c>
      <c r="AM564" s="1193">
        <f t="shared" si="123"/>
        <v>0</v>
      </c>
      <c r="AN564" s="1194" t="str">
        <f>VLOOKUP($I564,'Price List, Weapons &amp; Items'!B:L,COLUMN('Price List, Weapons &amp; Items'!$J$11)-1,0)</f>
        <v>.</v>
      </c>
      <c r="AO564" s="1194" t="str">
        <f>IF(I564=".",".",VLOOKUP($I564,'Price List, Weapons &amp; Items'!B:J,3,0))</f>
        <v>spare parts</v>
      </c>
      <c r="AP564" s="1195" t="str">
        <f t="shared" ca="1" si="117"/>
        <v/>
      </c>
      <c r="AQ564" s="1194" t="str">
        <f>VLOOKUP($I564,'Price List, Weapons &amp; Items'!B:L,COLUMN('Price List, Weapons &amp; Items'!$L$11)-1,0)</f>
        <v>no price, 0 count</v>
      </c>
      <c r="AR564" s="1194">
        <f t="shared" si="124"/>
        <v>1</v>
      </c>
      <c r="AS564" s="1194">
        <f t="shared" si="125"/>
        <v>1</v>
      </c>
      <c r="AT564" s="1194" t="str">
        <f t="shared" si="126"/>
        <v>Value is not in date format</v>
      </c>
      <c r="AU564" s="1194" t="str">
        <f t="shared" si="127"/>
        <v>.</v>
      </c>
      <c r="AV564" s="1194" t="str">
        <f t="shared" si="118"/>
        <v>.</v>
      </c>
      <c r="AW564" s="1194" t="str">
        <f t="shared" si="128"/>
        <v>.</v>
      </c>
      <c r="AX564" s="1194">
        <f>IFERROR(VLOOKUP(B564,'Share, Heavy Weapons to Ukraine'!B:Z,COLUMN('Share, Heavy Weapons to Ukraine'!C574)-1,0),0)</f>
        <v>0</v>
      </c>
      <c r="AY564" s="1194">
        <f>VLOOKUP('Bilateral Assistance, MAIN DATA'!B564,'Country Summary (€)'!B:F,COLUMN('Country Summary (€)'!C575)-1,FALSE)</f>
        <v>1</v>
      </c>
      <c r="AZ564" s="1194" t="str">
        <f>IF(AND(AD564=1,D564="Military",H564&lt;&gt;"Not given")=TRUE,IF(SUMIFS(P:P,A:A,A564)&gt;0,ABS((SUMIFS(P:P,A:A,A564)/VLOOKUP("USD",'Exchange Rates'!B:C,2,0)))/S564,"."),".")</f>
        <v>.</v>
      </c>
      <c r="BA564" s="1196" t="str">
        <f>IF(AND(AD564=1,D564="Military",H564&lt;&gt;"Not given")=TRUE,IF(SUMIFS(P:P,A:A,A564)&gt;0,IF((ABS((SUMIFS(P:P,A:A,A564)/VLOOKUP("USD",'Exchange Rates'!B:C,2,0)))/S564)&gt;1,(SUMIFS(P:P,A:A,A564)-S564)/S564,(S564-SUMIFS(P:P,A:A,A564))/SUMIFS(P:P,A:A,A564)),"."),".")</f>
        <v>.</v>
      </c>
    </row>
    <row r="565" spans="1:53" ht="15.95" customHeight="1">
      <c r="A565" s="1182" t="s">
        <v>1796</v>
      </c>
      <c r="B565" s="1182" t="s">
        <v>1711</v>
      </c>
      <c r="C565" s="1181" t="s">
        <v>1797</v>
      </c>
      <c r="D565" s="1182" t="s">
        <v>389</v>
      </c>
      <c r="E565" s="1182" t="s">
        <v>1676</v>
      </c>
      <c r="F565" s="1263" t="s">
        <v>1806</v>
      </c>
      <c r="G565" s="1184" t="s">
        <v>483</v>
      </c>
      <c r="H565" s="1185">
        <v>6750000000</v>
      </c>
      <c r="I565" s="1266" t="s">
        <v>1832</v>
      </c>
      <c r="J565" s="1186" t="str">
        <f>VLOOKUP($I565,'Price List, Weapons &amp; Items'!B:C,2,0)</f>
        <v>Heavy weapon</v>
      </c>
      <c r="K565" s="1186" t="str">
        <f>IF(I565=".",I565,VLOOKUP($I565,'Price List, Weapons &amp; Items'!B:D,3,0))</f>
        <v>Armored Recovery Vehicle (ARV)</v>
      </c>
      <c r="L565" s="1187">
        <f>VLOOKUP(I565,'Price List, Weapons &amp; Items'!B:E,4,0)</f>
        <v>0</v>
      </c>
      <c r="M565" s="1188">
        <v>42</v>
      </c>
      <c r="N565" s="1275">
        <v>2</v>
      </c>
      <c r="O565" s="1188">
        <f>VLOOKUP($I565,'Price List, Weapons &amp; Items'!B:G,6,0)</f>
        <v>405530</v>
      </c>
      <c r="P565" s="1185">
        <f t="shared" si="119"/>
        <v>17032260</v>
      </c>
      <c r="Q565" s="1185">
        <f t="shared" si="120"/>
        <v>811060</v>
      </c>
      <c r="R565" s="1185" t="str">
        <f t="shared" si="116"/>
        <v/>
      </c>
      <c r="S565" s="1185" t="str">
        <f>IF(AND(AD565=1,R565&lt;&gt;".")=TRUE,R565/VLOOKUP(G565,'Exchange Rates'!B:C,2,0),IF(R565=".",".",""))</f>
        <v/>
      </c>
      <c r="T565" s="1185" t="str">
        <f>IF(AD565=1,IF(AF565="Value is not given at all",".",IF(AF565="Value is given by the source",S565,IF(AF565="Value is calculated with prices",(IF(SUMIFS(Q:Q,A:A,A565)&gt;0,SUMIFS(Q:Q,A:A,A565),"."))/VLOOKUP("USD",'Exchange Rates'!B:C,2,0),"Error with coding"))),"")</f>
        <v/>
      </c>
      <c r="U565" s="1184" t="s">
        <v>365</v>
      </c>
      <c r="V565" s="972" t="s">
        <v>1782</v>
      </c>
      <c r="W565" s="972" t="s">
        <v>1280</v>
      </c>
      <c r="X565" s="972" t="s">
        <v>364</v>
      </c>
      <c r="Y565" s="972" t="s">
        <v>364</v>
      </c>
      <c r="Z565" s="1184">
        <v>0</v>
      </c>
      <c r="AA565" s="1194">
        <v>1</v>
      </c>
      <c r="AB565" s="600" t="s">
        <v>1280</v>
      </c>
      <c r="AC565" s="1192" t="str">
        <f>""</f>
        <v/>
      </c>
      <c r="AD565" s="985">
        <v>0</v>
      </c>
      <c r="AE565" s="1194" t="s">
        <v>368</v>
      </c>
      <c r="AF565" s="985" t="s">
        <v>369</v>
      </c>
      <c r="AG565" s="985">
        <v>0</v>
      </c>
      <c r="AH565" s="985">
        <v>0</v>
      </c>
      <c r="AI565" s="985">
        <v>0</v>
      </c>
      <c r="AJ565" s="1193">
        <f>VLOOKUP($I565,'Price List, Weapons &amp; Items'!B:F,5,0)</f>
        <v>1</v>
      </c>
      <c r="AK565" s="1193">
        <f t="shared" si="121"/>
        <v>0</v>
      </c>
      <c r="AL565" s="1193">
        <f t="shared" si="122"/>
        <v>0</v>
      </c>
      <c r="AM565" s="1193">
        <f t="shared" si="123"/>
        <v>0</v>
      </c>
      <c r="AN565" s="1194" t="str">
        <f>VLOOKUP($I565,'Price List, Weapons &amp; Items'!B:L,COLUMN('Price List, Weapons &amp; Items'!$J$11)-1,0)</f>
        <v>Contract</v>
      </c>
      <c r="AO565" s="1194" t="str">
        <f>IF(I565=".",".",VLOOKUP($I565,'Price List, Weapons &amp; Items'!B:J,3,0))</f>
        <v>Armored Recovery Vehicle (ARV)</v>
      </c>
      <c r="AP565" s="1195" t="str">
        <f t="shared" ca="1" si="117"/>
        <v/>
      </c>
      <c r="AQ565" s="1194">
        <f>VLOOKUP($I565,'Price List, Weapons &amp; Items'!B:L,COLUMN('Price List, Weapons &amp; Items'!$L$11)-1,0)</f>
        <v>2</v>
      </c>
      <c r="AR565" s="1194">
        <f t="shared" si="124"/>
        <v>1</v>
      </c>
      <c r="AS565" s="1194">
        <f t="shared" si="125"/>
        <v>1</v>
      </c>
      <c r="AT565" s="1194" t="str">
        <f t="shared" si="126"/>
        <v>Value is not in date format</v>
      </c>
      <c r="AU565" s="1194" t="str">
        <f t="shared" si="127"/>
        <v>.</v>
      </c>
      <c r="AV565" s="1194" t="str">
        <f t="shared" si="118"/>
        <v>.</v>
      </c>
      <c r="AW565" s="1194" t="str">
        <f t="shared" si="128"/>
        <v>.</v>
      </c>
      <c r="AX565" s="1194">
        <f>IFERROR(VLOOKUP(B565,'Share, Heavy Weapons to Ukraine'!B:Z,COLUMN('Share, Heavy Weapons to Ukraine'!C575)-1,0),0)</f>
        <v>0</v>
      </c>
      <c r="AY565" s="1194">
        <f>VLOOKUP('Bilateral Assistance, MAIN DATA'!B565,'Country Summary (€)'!B:F,COLUMN('Country Summary (€)'!C576)-1,FALSE)</f>
        <v>1</v>
      </c>
      <c r="AZ565" s="1194" t="str">
        <f>IF(AND(AD565=1,D565="Military",H565&lt;&gt;"Not given")=TRUE,IF(SUMIFS(P:P,A:A,A565)&gt;0,ABS((SUMIFS(P:P,A:A,A565)/VLOOKUP("USD",'Exchange Rates'!B:C,2,0)))/S565,"."),".")</f>
        <v>.</v>
      </c>
      <c r="BA565" s="1196" t="str">
        <f>IF(AND(AD565=1,D565="Military",H565&lt;&gt;"Not given")=TRUE,IF(SUMIFS(P:P,A:A,A565)&gt;0,IF((ABS((SUMIFS(P:P,A:A,A565)/VLOOKUP("USD",'Exchange Rates'!B:C,2,0)))/S565)&gt;1,(SUMIFS(P:P,A:A,A565)-S565)/S565,(S565-SUMIFS(P:P,A:A,A565))/SUMIFS(P:P,A:A,A565)),"."),".")</f>
        <v>.</v>
      </c>
    </row>
    <row r="566" spans="1:53" ht="15.95" customHeight="1">
      <c r="A566" s="1182" t="s">
        <v>1796</v>
      </c>
      <c r="B566" s="1182" t="s">
        <v>1711</v>
      </c>
      <c r="C566" s="1181" t="s">
        <v>1797</v>
      </c>
      <c r="D566" s="1182" t="s">
        <v>389</v>
      </c>
      <c r="E566" s="1182" t="s">
        <v>1676</v>
      </c>
      <c r="F566" s="1263" t="s">
        <v>1806</v>
      </c>
      <c r="G566" s="1184" t="s">
        <v>483</v>
      </c>
      <c r="H566" s="1185">
        <v>6750000000</v>
      </c>
      <c r="I566" s="1266" t="s">
        <v>966</v>
      </c>
      <c r="J566" s="1186" t="str">
        <f>VLOOKUP($I566,'Price List, Weapons &amp; Items'!B:C,2,0)</f>
        <v>Heavy weapon</v>
      </c>
      <c r="K566" s="1186" t="str">
        <f>IF(I566=".",I566,VLOOKUP($I566,'Price List, Weapons &amp; Items'!B:D,3,0))</f>
        <v>Armored Recovery Vehicle (ARV)</v>
      </c>
      <c r="L566" s="1187">
        <f>VLOOKUP(I566,'Price List, Weapons &amp; Items'!B:E,4,0)</f>
        <v>0</v>
      </c>
      <c r="M566" s="1188">
        <v>14</v>
      </c>
      <c r="N566" s="1275">
        <v>11</v>
      </c>
      <c r="O566" s="1188">
        <f>VLOOKUP($I566,'Price List, Weapons &amp; Items'!B:G,6,0)</f>
        <v>405530</v>
      </c>
      <c r="P566" s="1185">
        <f t="shared" si="119"/>
        <v>5677420</v>
      </c>
      <c r="Q566" s="1185">
        <f t="shared" si="120"/>
        <v>4460830</v>
      </c>
      <c r="R566" s="1185" t="str">
        <f t="shared" si="116"/>
        <v/>
      </c>
      <c r="S566" s="1185" t="str">
        <f>IF(AND(AD566=1,R566&lt;&gt;".")=TRUE,R566/VLOOKUP(G566,'Exchange Rates'!B:C,2,0),IF(R566=".",".",""))</f>
        <v/>
      </c>
      <c r="T566" s="1185" t="str">
        <f>IF(AD566=1,IF(AF566="Value is not given at all",".",IF(AF566="Value is given by the source",S566,IF(AF566="Value is calculated with prices",(IF(SUMIFS(Q:Q,A:A,A566)&gt;0,SUMIFS(Q:Q,A:A,A566),"."))/VLOOKUP("USD",'Exchange Rates'!B:C,2,0),"Error with coding"))),"")</f>
        <v/>
      </c>
      <c r="U566" s="1184" t="s">
        <v>365</v>
      </c>
      <c r="V566" s="972" t="s">
        <v>1782</v>
      </c>
      <c r="W566" s="972" t="s">
        <v>1280</v>
      </c>
      <c r="X566" s="972" t="s">
        <v>364</v>
      </c>
      <c r="Y566" s="972" t="s">
        <v>364</v>
      </c>
      <c r="Z566" s="1184">
        <v>0</v>
      </c>
      <c r="AA566" s="1194">
        <v>1</v>
      </c>
      <c r="AB566" s="600" t="s">
        <v>1280</v>
      </c>
      <c r="AC566" s="1192" t="str">
        <f>""</f>
        <v/>
      </c>
      <c r="AD566" s="985">
        <v>0</v>
      </c>
      <c r="AE566" s="1194" t="s">
        <v>368</v>
      </c>
      <c r="AF566" s="985" t="s">
        <v>369</v>
      </c>
      <c r="AG566" s="985">
        <v>0</v>
      </c>
      <c r="AH566" s="985">
        <v>0</v>
      </c>
      <c r="AI566" s="985">
        <v>0</v>
      </c>
      <c r="AJ566" s="1193">
        <f>VLOOKUP($I566,'Price List, Weapons &amp; Items'!B:F,5,0)</f>
        <v>1</v>
      </c>
      <c r="AK566" s="1193">
        <f t="shared" si="121"/>
        <v>0</v>
      </c>
      <c r="AL566" s="1193">
        <f t="shared" si="122"/>
        <v>0</v>
      </c>
      <c r="AM566" s="1193">
        <f t="shared" si="123"/>
        <v>0</v>
      </c>
      <c r="AN566" s="1194" t="str">
        <f>VLOOKUP($I566,'Price List, Weapons &amp; Items'!B:L,COLUMN('Price List, Weapons &amp; Items'!$J$11)-1,0)</f>
        <v>Contract</v>
      </c>
      <c r="AO566" s="1194" t="str">
        <f>IF(I566=".",".",VLOOKUP($I566,'Price List, Weapons &amp; Items'!B:J,3,0))</f>
        <v>Armored Recovery Vehicle (ARV)</v>
      </c>
      <c r="AP566" s="1195" t="str">
        <f t="shared" ca="1" si="117"/>
        <v/>
      </c>
      <c r="AQ566" s="1194">
        <f>VLOOKUP($I566,'Price List, Weapons &amp; Items'!B:L,COLUMN('Price List, Weapons &amp; Items'!$L$11)-1,0)</f>
        <v>2</v>
      </c>
      <c r="AR566" s="1194">
        <f t="shared" si="124"/>
        <v>1</v>
      </c>
      <c r="AS566" s="1194">
        <f t="shared" si="125"/>
        <v>1</v>
      </c>
      <c r="AT566" s="1194" t="str">
        <f t="shared" si="126"/>
        <v>Value is not in date format</v>
      </c>
      <c r="AU566" s="1194" t="str">
        <f t="shared" si="127"/>
        <v>.</v>
      </c>
      <c r="AV566" s="1194" t="str">
        <f t="shared" si="118"/>
        <v>.</v>
      </c>
      <c r="AW566" s="1194" t="str">
        <f t="shared" si="128"/>
        <v>.</v>
      </c>
      <c r="AX566" s="1194">
        <f>IFERROR(VLOOKUP(B566,'Share, Heavy Weapons to Ukraine'!B:Z,COLUMN('Share, Heavy Weapons to Ukraine'!C576)-1,0),0)</f>
        <v>0</v>
      </c>
      <c r="AY566" s="1194">
        <f>VLOOKUP('Bilateral Assistance, MAIN DATA'!B566,'Country Summary (€)'!B:F,COLUMN('Country Summary (€)'!C577)-1,FALSE)</f>
        <v>1</v>
      </c>
      <c r="AZ566" s="1194" t="str">
        <f>IF(AND(AD566=1,D566="Military",H566&lt;&gt;"Not given")=TRUE,IF(SUMIFS(P:P,A:A,A566)&gt;0,ABS((SUMIFS(P:P,A:A,A566)/VLOOKUP("USD",'Exchange Rates'!B:C,2,0)))/S566,"."),".")</f>
        <v>.</v>
      </c>
      <c r="BA566" s="1196" t="str">
        <f>IF(AND(AD566=1,D566="Military",H566&lt;&gt;"Not given")=TRUE,IF(SUMIFS(P:P,A:A,A566)&gt;0,IF((ABS((SUMIFS(P:P,A:A,A566)/VLOOKUP("USD",'Exchange Rates'!B:C,2,0)))/S566)&gt;1,(SUMIFS(P:P,A:A,A566)-S566)/S566,(S566-SUMIFS(P:P,A:A,A566))/SUMIFS(P:P,A:A,A566)),"."),".")</f>
        <v>.</v>
      </c>
    </row>
    <row r="567" spans="1:53" ht="15.95" customHeight="1">
      <c r="A567" s="1182" t="s">
        <v>1796</v>
      </c>
      <c r="B567" s="1182" t="s">
        <v>1711</v>
      </c>
      <c r="C567" s="1181" t="s">
        <v>1797</v>
      </c>
      <c r="D567" s="1182" t="s">
        <v>389</v>
      </c>
      <c r="E567" s="1182" t="s">
        <v>1676</v>
      </c>
      <c r="F567" s="1263" t="s">
        <v>1806</v>
      </c>
      <c r="G567" s="1184" t="s">
        <v>483</v>
      </c>
      <c r="H567" s="1185">
        <v>6750000000</v>
      </c>
      <c r="I567" s="1266" t="s">
        <v>1833</v>
      </c>
      <c r="J567" s="1186" t="str">
        <f>VLOOKUP($I567,'Price List, Weapons &amp; Items'!B:C,2,0)</f>
        <v>Military equipment</v>
      </c>
      <c r="K567" s="1186" t="str">
        <f>IF(I567=".",I567,VLOOKUP($I567,'Price List, Weapons &amp; Items'!B:D,3,0))</f>
        <v>Military equipment</v>
      </c>
      <c r="L567" s="1187">
        <f>VLOOKUP(I567,'Price List, Weapons &amp; Items'!B:E,4,0)</f>
        <v>0</v>
      </c>
      <c r="M567" s="1188">
        <v>8</v>
      </c>
      <c r="N567" s="1188">
        <v>8</v>
      </c>
      <c r="O567" s="1188">
        <f>VLOOKUP($I567,'Price List, Weapons &amp; Items'!B:G,6,0)</f>
        <v>25000</v>
      </c>
      <c r="P567" s="1185">
        <f t="shared" si="119"/>
        <v>200000</v>
      </c>
      <c r="Q567" s="1185">
        <f t="shared" si="120"/>
        <v>200000</v>
      </c>
      <c r="R567" s="1185" t="str">
        <f t="shared" si="116"/>
        <v/>
      </c>
      <c r="S567" s="1185" t="str">
        <f>IF(AND(AD567=1,R567&lt;&gt;".")=TRUE,R567/VLOOKUP(G567,'Exchange Rates'!B:C,2,0),IF(R567=".",".",""))</f>
        <v/>
      </c>
      <c r="T567" s="1185" t="str">
        <f>IF(AD567=1,IF(AF567="Value is not given at all",".",IF(AF567="Value is given by the source",S567,IF(AF567="Value is calculated with prices",(IF(SUMIFS(Q:Q,A:A,A567)&gt;0,SUMIFS(Q:Q,A:A,A567),"."))/VLOOKUP("USD",'Exchange Rates'!B:C,2,0),"Error with coding"))),"")</f>
        <v/>
      </c>
      <c r="U567" s="1184" t="s">
        <v>365</v>
      </c>
      <c r="V567" s="972" t="s">
        <v>1782</v>
      </c>
      <c r="W567" s="972" t="s">
        <v>1280</v>
      </c>
      <c r="X567" s="972" t="s">
        <v>364</v>
      </c>
      <c r="Y567" s="972" t="s">
        <v>364</v>
      </c>
      <c r="Z567" s="1184">
        <v>0</v>
      </c>
      <c r="AA567" s="1194">
        <v>0</v>
      </c>
      <c r="AB567" s="600" t="s">
        <v>1280</v>
      </c>
      <c r="AC567" s="1192" t="str">
        <f>""</f>
        <v/>
      </c>
      <c r="AD567" s="985">
        <v>0</v>
      </c>
      <c r="AE567" s="1194" t="s">
        <v>368</v>
      </c>
      <c r="AF567" s="985" t="s">
        <v>369</v>
      </c>
      <c r="AG567" s="985">
        <v>0</v>
      </c>
      <c r="AH567" s="985">
        <v>0</v>
      </c>
      <c r="AI567" s="985">
        <v>0</v>
      </c>
      <c r="AJ567" s="1193">
        <f>VLOOKUP($I567,'Price List, Weapons &amp; Items'!B:F,5,0)</f>
        <v>0</v>
      </c>
      <c r="AK567" s="1193">
        <f t="shared" si="121"/>
        <v>0</v>
      </c>
      <c r="AL567" s="1193">
        <f t="shared" si="122"/>
        <v>0</v>
      </c>
      <c r="AM567" s="1193">
        <f t="shared" si="123"/>
        <v>0</v>
      </c>
      <c r="AN567" s="1194" t="str">
        <f>VLOOKUP($I567,'Price List, Weapons &amp; Items'!B:L,COLUMN('Price List, Weapons &amp; Items'!$J$11)-1,0)</f>
        <v>Online marketplaces and stores</v>
      </c>
      <c r="AO567" s="1194" t="str">
        <f>IF(I567=".",".",VLOOKUP($I567,'Price List, Weapons &amp; Items'!B:J,3,0))</f>
        <v>Military equipment</v>
      </c>
      <c r="AP567" s="1195" t="str">
        <f t="shared" ca="1" si="117"/>
        <v/>
      </c>
      <c r="AQ567" s="1194">
        <f>VLOOKUP($I567,'Price List, Weapons &amp; Items'!B:L,COLUMN('Price List, Weapons &amp; Items'!$L$11)-1,0)</f>
        <v>1</v>
      </c>
      <c r="AR567" s="1194">
        <f t="shared" si="124"/>
        <v>1</v>
      </c>
      <c r="AS567" s="1194">
        <f t="shared" si="125"/>
        <v>1</v>
      </c>
      <c r="AT567" s="1194" t="str">
        <f t="shared" si="126"/>
        <v>Value is not in date format</v>
      </c>
      <c r="AU567" s="1194" t="str">
        <f t="shared" si="127"/>
        <v>.</v>
      </c>
      <c r="AV567" s="1194" t="str">
        <f t="shared" si="118"/>
        <v>.</v>
      </c>
      <c r="AW567" s="1194" t="str">
        <f t="shared" si="128"/>
        <v>.</v>
      </c>
      <c r="AX567" s="1194">
        <f>IFERROR(VLOOKUP(B567,'Share, Heavy Weapons to Ukraine'!B:Z,COLUMN('Share, Heavy Weapons to Ukraine'!C577)-1,0),0)</f>
        <v>0</v>
      </c>
      <c r="AY567" s="1194">
        <f>VLOOKUP('Bilateral Assistance, MAIN DATA'!B567,'Country Summary (€)'!B:F,COLUMN('Country Summary (€)'!C578)-1,FALSE)</f>
        <v>1</v>
      </c>
      <c r="AZ567" s="1194" t="str">
        <f>IF(AND(AD567=1,D567="Military",H567&lt;&gt;"Not given")=TRUE,IF(SUMIFS(P:P,A:A,A567)&gt;0,ABS((SUMIFS(P:P,A:A,A567)/VLOOKUP("USD",'Exchange Rates'!B:C,2,0)))/S567,"."),".")</f>
        <v>.</v>
      </c>
      <c r="BA567" s="1196" t="str">
        <f>IF(AND(AD567=1,D567="Military",H567&lt;&gt;"Not given")=TRUE,IF(SUMIFS(P:P,A:A,A567)&gt;0,IF((ABS((SUMIFS(P:P,A:A,A567)/VLOOKUP("USD",'Exchange Rates'!B:C,2,0)))/S567)&gt;1,(SUMIFS(P:P,A:A,A567)-S567)/S567,(S567-SUMIFS(P:P,A:A,A567))/SUMIFS(P:P,A:A,A567)),"."),".")</f>
        <v>.</v>
      </c>
    </row>
    <row r="568" spans="1:53" ht="15.95" customHeight="1">
      <c r="A568" s="1182" t="s">
        <v>1796</v>
      </c>
      <c r="B568" s="1182" t="s">
        <v>1711</v>
      </c>
      <c r="C568" s="1181" t="s">
        <v>1797</v>
      </c>
      <c r="D568" s="1182" t="s">
        <v>389</v>
      </c>
      <c r="E568" s="1182" t="s">
        <v>1676</v>
      </c>
      <c r="F568" s="1263" t="s">
        <v>1806</v>
      </c>
      <c r="G568" s="1184" t="s">
        <v>483</v>
      </c>
      <c r="H568" s="1185">
        <v>6750000000</v>
      </c>
      <c r="I568" s="1266" t="s">
        <v>601</v>
      </c>
      <c r="J568" s="1186" t="str">
        <f>VLOOKUP($I568,'Price List, Weapons &amp; Items'!B:C,2,0)</f>
        <v>Humanitarian</v>
      </c>
      <c r="K568" s="1186" t="str">
        <f>IF(I568=".",I568,VLOOKUP($I568,'Price List, Weapons &amp; Items'!B:D,3,0))</f>
        <v>Humanitarian</v>
      </c>
      <c r="L568" s="1187">
        <f>VLOOKUP(I568,'Price List, Weapons &amp; Items'!B:E,4,0)</f>
        <v>0</v>
      </c>
      <c r="M568" s="1188">
        <v>185</v>
      </c>
      <c r="N568" s="1188">
        <v>168</v>
      </c>
      <c r="O568" s="1188">
        <f>VLOOKUP($I568,'Price List, Weapons &amp; Items'!B:G,6,0)</f>
        <v>300</v>
      </c>
      <c r="P568" s="1185">
        <f t="shared" si="119"/>
        <v>55500</v>
      </c>
      <c r="Q568" s="1185">
        <f t="shared" si="120"/>
        <v>50400</v>
      </c>
      <c r="R568" s="1185" t="str">
        <f t="shared" si="116"/>
        <v/>
      </c>
      <c r="S568" s="1185" t="str">
        <f>IF(AND(AD568=1,R568&lt;&gt;".")=TRUE,R568/VLOOKUP(G568,'Exchange Rates'!B:C,2,0),IF(R568=".",".",""))</f>
        <v/>
      </c>
      <c r="T568" s="1185" t="str">
        <f>IF(AD568=1,IF(AF568="Value is not given at all",".",IF(AF568="Value is given by the source",S568,IF(AF568="Value is calculated with prices",(IF(SUMIFS(Q:Q,A:A,A568)&gt;0,SUMIFS(Q:Q,A:A,A568),"."))/VLOOKUP("USD",'Exchange Rates'!B:C,2,0),"Error with coding"))),"")</f>
        <v/>
      </c>
      <c r="U568" s="1184" t="s">
        <v>365</v>
      </c>
      <c r="V568" s="972" t="s">
        <v>1782</v>
      </c>
      <c r="W568" s="972" t="s">
        <v>1280</v>
      </c>
      <c r="X568" s="972" t="s">
        <v>364</v>
      </c>
      <c r="Y568" s="972" t="s">
        <v>364</v>
      </c>
      <c r="Z568" s="1184">
        <v>0</v>
      </c>
      <c r="AA568" s="1194">
        <v>0</v>
      </c>
      <c r="AB568" s="600" t="s">
        <v>1280</v>
      </c>
      <c r="AC568" s="1192" t="str">
        <f>""</f>
        <v/>
      </c>
      <c r="AD568" s="985">
        <v>0</v>
      </c>
      <c r="AE568" s="1194" t="s">
        <v>368</v>
      </c>
      <c r="AF568" s="985" t="s">
        <v>369</v>
      </c>
      <c r="AG568" s="985">
        <v>0</v>
      </c>
      <c r="AH568" s="985">
        <v>0</v>
      </c>
      <c r="AI568" s="985">
        <v>0</v>
      </c>
      <c r="AJ568" s="1193">
        <f>VLOOKUP($I568,'Price List, Weapons &amp; Items'!B:F,5,0)</f>
        <v>0</v>
      </c>
      <c r="AK568" s="1193">
        <f t="shared" si="121"/>
        <v>0</v>
      </c>
      <c r="AL568" s="1193">
        <f t="shared" si="122"/>
        <v>0</v>
      </c>
      <c r="AM568" s="1193">
        <f t="shared" si="123"/>
        <v>0</v>
      </c>
      <c r="AN568" s="1194" t="str">
        <f>VLOOKUP($I568,'Price List, Weapons &amp; Items'!B:L,COLUMN('Price List, Weapons &amp; Items'!$J$11)-1,0)</f>
        <v>Miscellaneous</v>
      </c>
      <c r="AO568" s="1194" t="str">
        <f>IF(I568=".",".",VLOOKUP($I568,'Price List, Weapons &amp; Items'!B:J,3,0))</f>
        <v>Humanitarian</v>
      </c>
      <c r="AP568" s="1195" t="str">
        <f t="shared" ca="1" si="117"/>
        <v/>
      </c>
      <c r="AQ568" s="1194">
        <f>VLOOKUP($I568,'Price List, Weapons &amp; Items'!B:L,COLUMN('Price List, Weapons &amp; Items'!$L$11)-1,0)</f>
        <v>0</v>
      </c>
      <c r="AR568" s="1194">
        <f t="shared" si="124"/>
        <v>1</v>
      </c>
      <c r="AS568" s="1194">
        <f t="shared" si="125"/>
        <v>1</v>
      </c>
      <c r="AT568" s="1194" t="str">
        <f t="shared" si="126"/>
        <v>Value is not in date format</v>
      </c>
      <c r="AU568" s="1194" t="str">
        <f t="shared" si="127"/>
        <v>.</v>
      </c>
      <c r="AV568" s="1194" t="str">
        <f t="shared" si="118"/>
        <v>.</v>
      </c>
      <c r="AW568" s="1194" t="str">
        <f t="shared" si="128"/>
        <v>.</v>
      </c>
      <c r="AX568" s="1194">
        <f>IFERROR(VLOOKUP(B568,'Share, Heavy Weapons to Ukraine'!B:Z,COLUMN('Share, Heavy Weapons to Ukraine'!C578)-1,0),0)</f>
        <v>0</v>
      </c>
      <c r="AY568" s="1194">
        <f>VLOOKUP('Bilateral Assistance, MAIN DATA'!B568,'Country Summary (€)'!B:F,COLUMN('Country Summary (€)'!C579)-1,FALSE)</f>
        <v>1</v>
      </c>
      <c r="AZ568" s="1194" t="str">
        <f>IF(AND(AD568=1,D568="Military",H568&lt;&gt;"Not given")=TRUE,IF(SUMIFS(P:P,A:A,A568)&gt;0,ABS((SUMIFS(P:P,A:A,A568)/VLOOKUP("USD",'Exchange Rates'!B:C,2,0)))/S568,"."),".")</f>
        <v>.</v>
      </c>
      <c r="BA568" s="1196" t="str">
        <f>IF(AND(AD568=1,D568="Military",H568&lt;&gt;"Not given")=TRUE,IF(SUMIFS(P:P,A:A,A568)&gt;0,IF((ABS((SUMIFS(P:P,A:A,A568)/VLOOKUP("USD",'Exchange Rates'!B:C,2,0)))/S568)&gt;1,(SUMIFS(P:P,A:A,A568)-S568)/S568,(S568-SUMIFS(P:P,A:A,A568))/SUMIFS(P:P,A:A,A568)),"."),".")</f>
        <v>.</v>
      </c>
    </row>
    <row r="569" spans="1:53" ht="15.95" customHeight="1">
      <c r="A569" s="1182" t="s">
        <v>1796</v>
      </c>
      <c r="B569" s="1182" t="s">
        <v>1711</v>
      </c>
      <c r="C569" s="1181" t="s">
        <v>1797</v>
      </c>
      <c r="D569" s="1182" t="s">
        <v>389</v>
      </c>
      <c r="E569" s="1182" t="s">
        <v>1676</v>
      </c>
      <c r="F569" s="1263" t="s">
        <v>1806</v>
      </c>
      <c r="G569" s="1184" t="s">
        <v>483</v>
      </c>
      <c r="H569" s="1185">
        <v>6750000000</v>
      </c>
      <c r="I569" s="1266" t="s">
        <v>1834</v>
      </c>
      <c r="J569" s="1186" t="str">
        <f>VLOOKUP($I569,'Price List, Weapons &amp; Items'!B:C,2,0)</f>
        <v>Heavy weapon</v>
      </c>
      <c r="K569" s="1186" t="str">
        <f>IF(I569=".",I569,VLOOKUP($I569,'Price List, Weapons &amp; Items'!B:D,3,0))</f>
        <v>Armored Recovery Vehicle (ARV)</v>
      </c>
      <c r="L569" s="1187">
        <f>VLOOKUP(I569,'Price List, Weapons &amp; Items'!B:E,4,0)</f>
        <v>0</v>
      </c>
      <c r="M569" s="1188">
        <v>3</v>
      </c>
      <c r="N569" s="1188">
        <v>3</v>
      </c>
      <c r="O569" s="1188">
        <f>VLOOKUP($I569,'Price List, Weapons &amp; Items'!B:G,6,0)</f>
        <v>405530</v>
      </c>
      <c r="P569" s="1185">
        <f t="shared" si="119"/>
        <v>1216590</v>
      </c>
      <c r="Q569" s="1185">
        <f t="shared" si="120"/>
        <v>1216590</v>
      </c>
      <c r="R569" s="1185" t="str">
        <f t="shared" si="116"/>
        <v/>
      </c>
      <c r="S569" s="1185" t="str">
        <f>IF(AND(AD569=1,R569&lt;&gt;".")=TRUE,R569/VLOOKUP(G569,'Exchange Rates'!B:C,2,0),IF(R569=".",".",""))</f>
        <v/>
      </c>
      <c r="T569" s="1185" t="str">
        <f>IF(AD569=1,IF(AF569="Value is not given at all",".",IF(AF569="Value is given by the source",S569,IF(AF569="Value is calculated with prices",(IF(SUMIFS(Q:Q,A:A,A569)&gt;0,SUMIFS(Q:Q,A:A,A569),"."))/VLOOKUP("USD",'Exchange Rates'!B:C,2,0),"Error with coding"))),"")</f>
        <v/>
      </c>
      <c r="U569" s="1184" t="s">
        <v>365</v>
      </c>
      <c r="V569" s="972" t="s">
        <v>1782</v>
      </c>
      <c r="W569" s="972" t="s">
        <v>1280</v>
      </c>
      <c r="X569" s="972" t="s">
        <v>364</v>
      </c>
      <c r="Y569" s="972" t="s">
        <v>364</v>
      </c>
      <c r="Z569" s="1184">
        <v>0</v>
      </c>
      <c r="AA569" s="1194">
        <v>0</v>
      </c>
      <c r="AB569" s="600" t="s">
        <v>1280</v>
      </c>
      <c r="AC569" s="1192" t="str">
        <f>""</f>
        <v/>
      </c>
      <c r="AD569" s="985">
        <v>0</v>
      </c>
      <c r="AE569" s="1194" t="s">
        <v>368</v>
      </c>
      <c r="AF569" s="985" t="s">
        <v>369</v>
      </c>
      <c r="AG569" s="985">
        <v>0</v>
      </c>
      <c r="AH569" s="985">
        <v>0</v>
      </c>
      <c r="AI569" s="985">
        <v>0</v>
      </c>
      <c r="AJ569" s="1193">
        <f>VLOOKUP($I569,'Price List, Weapons &amp; Items'!B:F,5,0)</f>
        <v>1</v>
      </c>
      <c r="AK569" s="1193">
        <f t="shared" si="121"/>
        <v>0</v>
      </c>
      <c r="AL569" s="1193">
        <f t="shared" si="122"/>
        <v>0</v>
      </c>
      <c r="AM569" s="1193">
        <f t="shared" si="123"/>
        <v>0</v>
      </c>
      <c r="AN569" s="1194" t="str">
        <f>VLOOKUP($I569,'Price List, Weapons &amp; Items'!B:L,COLUMN('Price List, Weapons &amp; Items'!$J$11)-1,0)</f>
        <v>Contract</v>
      </c>
      <c r="AO569" s="1194" t="str">
        <f>IF(I569=".",".",VLOOKUP($I569,'Price List, Weapons &amp; Items'!B:J,3,0))</f>
        <v>Armored Recovery Vehicle (ARV)</v>
      </c>
      <c r="AP569" s="1195" t="str">
        <f t="shared" ca="1" si="117"/>
        <v/>
      </c>
      <c r="AQ569" s="1194">
        <f>VLOOKUP($I569,'Price List, Weapons &amp; Items'!B:L,COLUMN('Price List, Weapons &amp; Items'!$L$11)-1,0)</f>
        <v>1</v>
      </c>
      <c r="AR569" s="1194">
        <f t="shared" si="124"/>
        <v>1</v>
      </c>
      <c r="AS569" s="1194">
        <f t="shared" si="125"/>
        <v>1</v>
      </c>
      <c r="AT569" s="1194" t="str">
        <f t="shared" si="126"/>
        <v>Value is not in date format</v>
      </c>
      <c r="AU569" s="1194" t="str">
        <f t="shared" si="127"/>
        <v>.</v>
      </c>
      <c r="AV569" s="1194" t="str">
        <f t="shared" si="118"/>
        <v>.</v>
      </c>
      <c r="AW569" s="1194" t="str">
        <f t="shared" si="128"/>
        <v>.</v>
      </c>
      <c r="AX569" s="1194">
        <f>IFERROR(VLOOKUP(B569,'Share, Heavy Weapons to Ukraine'!B:Z,COLUMN('Share, Heavy Weapons to Ukraine'!C579)-1,0),0)</f>
        <v>0</v>
      </c>
      <c r="AY569" s="1194">
        <f>VLOOKUP('Bilateral Assistance, MAIN DATA'!B569,'Country Summary (€)'!B:F,COLUMN('Country Summary (€)'!C580)-1,FALSE)</f>
        <v>1</v>
      </c>
      <c r="AZ569" s="1194" t="str">
        <f>IF(AND(AD569=1,D569="Military",H569&lt;&gt;"Not given")=TRUE,IF(SUMIFS(P:P,A:A,A569)&gt;0,ABS((SUMIFS(P:P,A:A,A569)/VLOOKUP("USD",'Exchange Rates'!B:C,2,0)))/S569,"."),".")</f>
        <v>.</v>
      </c>
      <c r="BA569" s="1196" t="str">
        <f>IF(AND(AD569=1,D569="Military",H569&lt;&gt;"Not given")=TRUE,IF(SUMIFS(P:P,A:A,A569)&gt;0,IF((ABS((SUMIFS(P:P,A:A,A569)/VLOOKUP("USD",'Exchange Rates'!B:C,2,0)))/S569)&gt;1,(SUMIFS(P:P,A:A,A569)-S569)/S569,(S569-SUMIFS(P:P,A:A,A569))/SUMIFS(P:P,A:A,A569)),"."),".")</f>
        <v>.</v>
      </c>
    </row>
    <row r="570" spans="1:53" ht="15.95" customHeight="1">
      <c r="A570" s="1182" t="s">
        <v>1796</v>
      </c>
      <c r="B570" s="1182" t="s">
        <v>1711</v>
      </c>
      <c r="C570" s="1181" t="s">
        <v>1797</v>
      </c>
      <c r="D570" s="1182" t="s">
        <v>389</v>
      </c>
      <c r="E570" s="1182" t="s">
        <v>1676</v>
      </c>
      <c r="F570" s="1263" t="s">
        <v>1806</v>
      </c>
      <c r="G570" s="1184" t="s">
        <v>483</v>
      </c>
      <c r="H570" s="1185">
        <v>6750000000</v>
      </c>
      <c r="I570" s="1270" t="s">
        <v>619</v>
      </c>
      <c r="J570" s="1186" t="str">
        <f>VLOOKUP($I570,'Price List, Weapons &amp; Items'!B:C,2,0)</f>
        <v>Military equipment</v>
      </c>
      <c r="K570" s="1186" t="str">
        <f>IF(I570=".",I570,VLOOKUP($I570,'Price List, Weapons &amp; Items'!B:D,3,0))</f>
        <v>Military equipment</v>
      </c>
      <c r="L570" s="1187">
        <f>VLOOKUP(I570,'Price List, Weapons &amp; Items'!B:E,4,0)</f>
        <v>0</v>
      </c>
      <c r="M570" s="1188">
        <v>353</v>
      </c>
      <c r="N570" s="1188">
        <v>353</v>
      </c>
      <c r="O570" s="1188">
        <f>VLOOKUP($I570,'Price List, Weapons &amp; Items'!B:G,6,0)</f>
        <v>2320</v>
      </c>
      <c r="P570" s="1185">
        <f t="shared" si="119"/>
        <v>818960</v>
      </c>
      <c r="Q570" s="1185">
        <f t="shared" si="120"/>
        <v>818960</v>
      </c>
      <c r="R570" s="1185" t="str">
        <f t="shared" si="116"/>
        <v/>
      </c>
      <c r="S570" s="1185" t="str">
        <f>IF(AND(AD570=1,R570&lt;&gt;".")=TRUE,R570/VLOOKUP(G570,'Exchange Rates'!B:C,2,0),IF(R570=".",".",""))</f>
        <v/>
      </c>
      <c r="T570" s="1185" t="str">
        <f>IF(AD570=1,IF(AF570="Value is not given at all",".",IF(AF570="Value is given by the source",S570,IF(AF570="Value is calculated with prices",(IF(SUMIFS(Q:Q,A:A,A570)&gt;0,SUMIFS(Q:Q,A:A,A570),"."))/VLOOKUP("USD",'Exchange Rates'!B:C,2,0),"Error with coding"))),"")</f>
        <v/>
      </c>
      <c r="U570" s="1184" t="s">
        <v>365</v>
      </c>
      <c r="V570" s="972" t="s">
        <v>1782</v>
      </c>
      <c r="W570" s="972" t="s">
        <v>1280</v>
      </c>
      <c r="X570" s="972" t="s">
        <v>364</v>
      </c>
      <c r="Y570" s="972" t="s">
        <v>364</v>
      </c>
      <c r="Z570" s="1184">
        <v>0</v>
      </c>
      <c r="AA570" s="1194">
        <v>0</v>
      </c>
      <c r="AB570" s="600" t="s">
        <v>1280</v>
      </c>
      <c r="AC570" s="1192" t="str">
        <f>""</f>
        <v/>
      </c>
      <c r="AD570" s="985">
        <v>0</v>
      </c>
      <c r="AE570" s="1194" t="s">
        <v>368</v>
      </c>
      <c r="AF570" s="985" t="s">
        <v>369</v>
      </c>
      <c r="AG570" s="985">
        <v>0</v>
      </c>
      <c r="AH570" s="985">
        <v>0</v>
      </c>
      <c r="AI570" s="985">
        <v>0</v>
      </c>
      <c r="AJ570" s="1193">
        <f>VLOOKUP($I570,'Price List, Weapons &amp; Items'!B:F,5,0)</f>
        <v>0</v>
      </c>
      <c r="AK570" s="1193">
        <f t="shared" si="121"/>
        <v>0</v>
      </c>
      <c r="AL570" s="1193">
        <f t="shared" si="122"/>
        <v>0</v>
      </c>
      <c r="AM570" s="1193">
        <f t="shared" si="123"/>
        <v>0</v>
      </c>
      <c r="AN570" s="1194" t="str">
        <f>VLOOKUP($I570,'Price List, Weapons &amp; Items'!B:L,COLUMN('Price List, Weapons &amp; Items'!$J$11)-1,0)</f>
        <v>Media reports (incl. social media)</v>
      </c>
      <c r="AO570" s="1194" t="str">
        <f>IF(I570=".",".",VLOOKUP($I570,'Price List, Weapons &amp; Items'!B:J,3,0))</f>
        <v>Military equipment</v>
      </c>
      <c r="AP570" s="1195" t="str">
        <f t="shared" ca="1" si="117"/>
        <v/>
      </c>
      <c r="AQ570" s="1194">
        <f>VLOOKUP($I570,'Price List, Weapons &amp; Items'!B:L,COLUMN('Price List, Weapons &amp; Items'!$L$11)-1,0)</f>
        <v>1</v>
      </c>
      <c r="AR570" s="1194">
        <f t="shared" si="124"/>
        <v>1</v>
      </c>
      <c r="AS570" s="1194">
        <f t="shared" si="125"/>
        <v>1</v>
      </c>
      <c r="AT570" s="1194" t="str">
        <f t="shared" si="126"/>
        <v>Value is not in date format</v>
      </c>
      <c r="AU570" s="1194" t="str">
        <f t="shared" si="127"/>
        <v>.</v>
      </c>
      <c r="AV570" s="1194" t="str">
        <f t="shared" si="118"/>
        <v>.</v>
      </c>
      <c r="AW570" s="1194" t="str">
        <f t="shared" si="128"/>
        <v>.</v>
      </c>
      <c r="AX570" s="1194">
        <f>IFERROR(VLOOKUP(B570,'Share, Heavy Weapons to Ukraine'!B:Z,COLUMN('Share, Heavy Weapons to Ukraine'!C580)-1,0),0)</f>
        <v>0</v>
      </c>
      <c r="AY570" s="1194">
        <f>VLOOKUP('Bilateral Assistance, MAIN DATA'!B570,'Country Summary (€)'!B:F,COLUMN('Country Summary (€)'!C581)-1,FALSE)</f>
        <v>1</v>
      </c>
      <c r="AZ570" s="1194" t="str">
        <f>IF(AND(AD570=1,D570="Military",H570&lt;&gt;"Not given")=TRUE,IF(SUMIFS(P:P,A:A,A570)&gt;0,ABS((SUMIFS(P:P,A:A,A570)/VLOOKUP("USD",'Exchange Rates'!B:C,2,0)))/S570,"."),".")</f>
        <v>.</v>
      </c>
      <c r="BA570" s="1196" t="str">
        <f>IF(AND(AD570=1,D570="Military",H570&lt;&gt;"Not given")=TRUE,IF(SUMIFS(P:P,A:A,A570)&gt;0,IF((ABS((SUMIFS(P:P,A:A,A570)/VLOOKUP("USD",'Exchange Rates'!B:C,2,0)))/S570)&gt;1,(SUMIFS(P:P,A:A,A570)-S570)/S570,(S570-SUMIFS(P:P,A:A,A570))/SUMIFS(P:P,A:A,A570)),"."),".")</f>
        <v>.</v>
      </c>
    </row>
    <row r="571" spans="1:53" ht="15.95" customHeight="1">
      <c r="A571" s="1182" t="s">
        <v>1796</v>
      </c>
      <c r="B571" s="1182" t="s">
        <v>1711</v>
      </c>
      <c r="C571" s="1181" t="s">
        <v>1797</v>
      </c>
      <c r="D571" s="1182" t="s">
        <v>389</v>
      </c>
      <c r="E571" s="1182" t="s">
        <v>1676</v>
      </c>
      <c r="F571" s="1263" t="s">
        <v>1806</v>
      </c>
      <c r="G571" s="1184" t="s">
        <v>483</v>
      </c>
      <c r="H571" s="1185">
        <v>6750000000</v>
      </c>
      <c r="I571" s="1266" t="s">
        <v>1835</v>
      </c>
      <c r="J571" s="1186" t="str">
        <f>VLOOKUP($I571,'Price List, Weapons &amp; Items'!B:C,2,0)</f>
        <v>Military equipment</v>
      </c>
      <c r="K571" s="1186" t="str">
        <f>IF(I571=".",I571,VLOOKUP($I571,'Price List, Weapons &amp; Items'!B:D,3,0))</f>
        <v>non combat military vehicle</v>
      </c>
      <c r="L571" s="1187">
        <f>VLOOKUP(I571,'Price List, Weapons &amp; Items'!B:E,4,0)</f>
        <v>0</v>
      </c>
      <c r="M571" s="1188">
        <v>143</v>
      </c>
      <c r="N571" s="1188">
        <v>143</v>
      </c>
      <c r="O571" s="1188">
        <f>VLOOKUP($I571,'Price List, Weapons &amp; Items'!B:G,6,0)</f>
        <v>25000</v>
      </c>
      <c r="P571" s="1185">
        <f t="shared" si="119"/>
        <v>3575000</v>
      </c>
      <c r="Q571" s="1185">
        <f t="shared" si="120"/>
        <v>3575000</v>
      </c>
      <c r="R571" s="1185" t="str">
        <f t="shared" si="116"/>
        <v/>
      </c>
      <c r="S571" s="1185" t="str">
        <f>IF(AND(AD571=1,R571&lt;&gt;".")=TRUE,R571/VLOOKUP(G571,'Exchange Rates'!B:C,2,0),IF(R571=".",".",""))</f>
        <v/>
      </c>
      <c r="T571" s="1185" t="str">
        <f>IF(AD571=1,IF(AF571="Value is not given at all",".",IF(AF571="Value is given by the source",S571,IF(AF571="Value is calculated with prices",(IF(SUMIFS(Q:Q,A:A,A571)&gt;0,SUMIFS(Q:Q,A:A,A571),"."))/VLOOKUP("USD",'Exchange Rates'!B:C,2,0),"Error with coding"))),"")</f>
        <v/>
      </c>
      <c r="U571" s="1184" t="s">
        <v>365</v>
      </c>
      <c r="V571" s="972" t="s">
        <v>1782</v>
      </c>
      <c r="W571" s="972" t="s">
        <v>1280</v>
      </c>
      <c r="X571" s="972" t="s">
        <v>364</v>
      </c>
      <c r="Y571" s="972" t="s">
        <v>364</v>
      </c>
      <c r="Z571" s="1184">
        <v>0</v>
      </c>
      <c r="AA571" s="1194">
        <v>0</v>
      </c>
      <c r="AB571" s="600" t="s">
        <v>1280</v>
      </c>
      <c r="AC571" s="1192" t="str">
        <f>""</f>
        <v/>
      </c>
      <c r="AD571" s="985">
        <v>0</v>
      </c>
      <c r="AE571" s="1194" t="s">
        <v>368</v>
      </c>
      <c r="AF571" s="985" t="s">
        <v>369</v>
      </c>
      <c r="AG571" s="985">
        <v>0</v>
      </c>
      <c r="AH571" s="985">
        <v>0</v>
      </c>
      <c r="AI571" s="985">
        <v>0</v>
      </c>
      <c r="AJ571" s="1193">
        <f>VLOOKUP($I571,'Price List, Weapons &amp; Items'!B:F,5,0)</f>
        <v>0</v>
      </c>
      <c r="AK571" s="1193">
        <f t="shared" si="121"/>
        <v>0</v>
      </c>
      <c r="AL571" s="1193">
        <f t="shared" si="122"/>
        <v>0</v>
      </c>
      <c r="AM571" s="1193">
        <f t="shared" si="123"/>
        <v>0</v>
      </c>
      <c r="AN571" s="1194" t="str">
        <f>VLOOKUP($I571,'Price List, Weapons &amp; Items'!B:L,COLUMN('Price List, Weapons &amp; Items'!$J$11)-1,0)</f>
        <v>Online marketplaces and stores</v>
      </c>
      <c r="AO571" s="1194" t="str">
        <f>IF(I571=".",".",VLOOKUP($I571,'Price List, Weapons &amp; Items'!B:J,3,0))</f>
        <v>non combat military vehicle</v>
      </c>
      <c r="AP571" s="1195" t="str">
        <f t="shared" ca="1" si="117"/>
        <v/>
      </c>
      <c r="AQ571" s="1194">
        <f>VLOOKUP($I571,'Price List, Weapons &amp; Items'!B:L,COLUMN('Price List, Weapons &amp; Items'!$L$11)-1,0)</f>
        <v>2</v>
      </c>
      <c r="AR571" s="1194">
        <f t="shared" si="124"/>
        <v>1</v>
      </c>
      <c r="AS571" s="1194">
        <f t="shared" si="125"/>
        <v>1</v>
      </c>
      <c r="AT571" s="1194" t="str">
        <f t="shared" si="126"/>
        <v>Value is not in date format</v>
      </c>
      <c r="AU571" s="1194" t="str">
        <f t="shared" si="127"/>
        <v>.</v>
      </c>
      <c r="AV571" s="1194" t="str">
        <f t="shared" si="118"/>
        <v>.</v>
      </c>
      <c r="AW571" s="1194" t="str">
        <f t="shared" si="128"/>
        <v>.</v>
      </c>
      <c r="AX571" s="1194">
        <f>IFERROR(VLOOKUP(B571,'Share, Heavy Weapons to Ukraine'!B:Z,COLUMN('Share, Heavy Weapons to Ukraine'!C581)-1,0),0)</f>
        <v>0</v>
      </c>
      <c r="AY571" s="1194">
        <f>VLOOKUP('Bilateral Assistance, MAIN DATA'!B571,'Country Summary (€)'!B:F,COLUMN('Country Summary (€)'!C582)-1,FALSE)</f>
        <v>1</v>
      </c>
      <c r="AZ571" s="1194" t="str">
        <f>IF(AND(AD571=1,D571="Military",H571&lt;&gt;"Not given")=TRUE,IF(SUMIFS(P:P,A:A,A571)&gt;0,ABS((SUMIFS(P:P,A:A,A571)/VLOOKUP("USD",'Exchange Rates'!B:C,2,0)))/S571,"."),".")</f>
        <v>.</v>
      </c>
      <c r="BA571" s="1196" t="str">
        <f>IF(AND(AD571=1,D571="Military",H571&lt;&gt;"Not given")=TRUE,IF(SUMIFS(P:P,A:A,A571)&gt;0,IF((ABS((SUMIFS(P:P,A:A,A571)/VLOOKUP("USD",'Exchange Rates'!B:C,2,0)))/S571)&gt;1,(SUMIFS(P:P,A:A,A571)-S571)/S571,(S571-SUMIFS(P:P,A:A,A571))/SUMIFS(P:P,A:A,A571)),"."),".")</f>
        <v>.</v>
      </c>
    </row>
    <row r="572" spans="1:53" ht="15.95" customHeight="1">
      <c r="A572" s="1182" t="s">
        <v>1796</v>
      </c>
      <c r="B572" s="1182" t="s">
        <v>1711</v>
      </c>
      <c r="C572" s="1181" t="s">
        <v>1797</v>
      </c>
      <c r="D572" s="1182" t="s">
        <v>389</v>
      </c>
      <c r="E572" s="1182" t="s">
        <v>1676</v>
      </c>
      <c r="F572" s="1263" t="s">
        <v>1806</v>
      </c>
      <c r="G572" s="1184" t="s">
        <v>483</v>
      </c>
      <c r="H572" s="1185">
        <v>6750000000</v>
      </c>
      <c r="I572" s="1266" t="s">
        <v>1836</v>
      </c>
      <c r="J572" s="1186" t="str">
        <f>VLOOKUP($I572,'Price List, Weapons &amp; Items'!B:C,2,0)</f>
        <v>Heavy weapon</v>
      </c>
      <c r="K572" s="1186" t="str">
        <f>IF(I572=".",I572,VLOOKUP($I572,'Price List, Weapons &amp; Items'!B:D,3,0))</f>
        <v>Armored Utility Vehicle (AUV)</v>
      </c>
      <c r="L572" s="1187">
        <f>VLOOKUP(I572,'Price List, Weapons &amp; Items'!B:E,4,0)</f>
        <v>0</v>
      </c>
      <c r="M572" s="1188">
        <v>30</v>
      </c>
      <c r="N572" s="1188">
        <v>30</v>
      </c>
      <c r="O572" s="1188">
        <f>VLOOKUP($I572,'Price List, Weapons &amp; Items'!B:G,6,0)</f>
        <v>1650000</v>
      </c>
      <c r="P572" s="1185">
        <f t="shared" si="119"/>
        <v>49500000</v>
      </c>
      <c r="Q572" s="1185">
        <f t="shared" si="120"/>
        <v>49500000</v>
      </c>
      <c r="R572" s="1185" t="str">
        <f t="shared" si="116"/>
        <v/>
      </c>
      <c r="S572" s="1185" t="str">
        <f>IF(AND(AD572=1,R572&lt;&gt;".")=TRUE,R572/VLOOKUP(G572,'Exchange Rates'!B:C,2,0),IF(R572=".",".",""))</f>
        <v/>
      </c>
      <c r="T572" s="1185" t="str">
        <f>IF(AD572=1,IF(AF572="Value is not given at all",".",IF(AF572="Value is given by the source",S572,IF(AF572="Value is calculated with prices",(IF(SUMIFS(Q:Q,A:A,A572)&gt;0,SUMIFS(Q:Q,A:A,A572),"."))/VLOOKUP("USD",'Exchange Rates'!B:C,2,0),"Error with coding"))),"")</f>
        <v/>
      </c>
      <c r="U572" s="1184" t="s">
        <v>365</v>
      </c>
      <c r="V572" s="972" t="s">
        <v>1782</v>
      </c>
      <c r="W572" s="972" t="s">
        <v>1280</v>
      </c>
      <c r="X572" s="972" t="s">
        <v>364</v>
      </c>
      <c r="Y572" s="972" t="s">
        <v>364</v>
      </c>
      <c r="Z572" s="1184">
        <v>0</v>
      </c>
      <c r="AA572" s="1194">
        <v>0</v>
      </c>
      <c r="AB572" s="600" t="s">
        <v>1280</v>
      </c>
      <c r="AC572" s="1192" t="str">
        <f>""</f>
        <v/>
      </c>
      <c r="AD572" s="985">
        <v>0</v>
      </c>
      <c r="AE572" s="1194" t="s">
        <v>368</v>
      </c>
      <c r="AF572" s="985" t="s">
        <v>369</v>
      </c>
      <c r="AG572" s="985">
        <v>1</v>
      </c>
      <c r="AH572" s="985">
        <v>7</v>
      </c>
      <c r="AI572" s="985">
        <v>0</v>
      </c>
      <c r="AJ572" s="1193">
        <f>VLOOKUP($I572,'Price List, Weapons &amp; Items'!B:F,5,0)</f>
        <v>1</v>
      </c>
      <c r="AK572" s="1193">
        <f t="shared" si="121"/>
        <v>0</v>
      </c>
      <c r="AL572" s="1193">
        <f t="shared" si="122"/>
        <v>0</v>
      </c>
      <c r="AM572" s="1193">
        <f t="shared" si="123"/>
        <v>0</v>
      </c>
      <c r="AN572" s="1194" t="str">
        <f>VLOOKUP($I572,'Price List, Weapons &amp; Items'!B:L,COLUMN('Price List, Weapons &amp; Items'!$J$11)-1,0)</f>
        <v>Miscellaneous</v>
      </c>
      <c r="AO572" s="1194" t="str">
        <f>IF(I572=".",".",VLOOKUP($I572,'Price List, Weapons &amp; Items'!B:J,3,0))</f>
        <v>Armored Utility Vehicle (AUV)</v>
      </c>
      <c r="AP572" s="1195" t="str">
        <f t="shared" ca="1" si="117"/>
        <v/>
      </c>
      <c r="AQ572" s="1194">
        <f>VLOOKUP($I572,'Price List, Weapons &amp; Items'!B:L,COLUMN('Price List, Weapons &amp; Items'!$L$11)-1,0)</f>
        <v>2</v>
      </c>
      <c r="AR572" s="1194">
        <f t="shared" si="124"/>
        <v>1</v>
      </c>
      <c r="AS572" s="1194">
        <f t="shared" si="125"/>
        <v>1</v>
      </c>
      <c r="AT572" s="1194" t="str">
        <f t="shared" si="126"/>
        <v>Value is not in date format</v>
      </c>
      <c r="AU572" s="1194" t="str">
        <f t="shared" si="127"/>
        <v>.</v>
      </c>
      <c r="AV572" s="1194" t="str">
        <f t="shared" si="118"/>
        <v>.</v>
      </c>
      <c r="AW572" s="1194" t="str">
        <f t="shared" si="128"/>
        <v>.</v>
      </c>
      <c r="AX572" s="1194">
        <f>IFERROR(VLOOKUP(B572,'Share, Heavy Weapons to Ukraine'!B:Z,COLUMN('Share, Heavy Weapons to Ukraine'!C582)-1,0),0)</f>
        <v>0</v>
      </c>
      <c r="AY572" s="1194">
        <f>VLOOKUP('Bilateral Assistance, MAIN DATA'!B572,'Country Summary (€)'!B:F,COLUMN('Country Summary (€)'!C583)-1,FALSE)</f>
        <v>1</v>
      </c>
      <c r="AZ572" s="1194" t="str">
        <f>IF(AND(AD572=1,D572="Military",H572&lt;&gt;"Not given")=TRUE,IF(SUMIFS(P:P,A:A,A572)&gt;0,ABS((SUMIFS(P:P,A:A,A572)/VLOOKUP("USD",'Exchange Rates'!B:C,2,0)))/S572,"."),".")</f>
        <v>.</v>
      </c>
      <c r="BA572" s="1196" t="str">
        <f>IF(AND(AD572=1,D572="Military",H572&lt;&gt;"Not given")=TRUE,IF(SUMIFS(P:P,A:A,A572)&gt;0,IF((ABS((SUMIFS(P:P,A:A,A572)/VLOOKUP("USD",'Exchange Rates'!B:C,2,0)))/S572)&gt;1,(SUMIFS(P:P,A:A,A572)-S572)/S572,(S572-SUMIFS(P:P,A:A,A572))/SUMIFS(P:P,A:A,A572)),"."),".")</f>
        <v>.</v>
      </c>
    </row>
    <row r="573" spans="1:53" ht="15.95" customHeight="1">
      <c r="A573" s="1182" t="s">
        <v>1796</v>
      </c>
      <c r="B573" s="1182" t="s">
        <v>1711</v>
      </c>
      <c r="C573" s="1181" t="s">
        <v>1797</v>
      </c>
      <c r="D573" s="1182" t="s">
        <v>389</v>
      </c>
      <c r="E573" s="1182" t="s">
        <v>1676</v>
      </c>
      <c r="F573" s="1263" t="s">
        <v>1806</v>
      </c>
      <c r="G573" s="1184" t="s">
        <v>483</v>
      </c>
      <c r="H573" s="1185">
        <v>6750000000</v>
      </c>
      <c r="I573" s="1266" t="s">
        <v>1836</v>
      </c>
      <c r="J573" s="1186" t="str">
        <f>VLOOKUP($I573,'Price List, Weapons &amp; Items'!B:C,2,0)</f>
        <v>Heavy weapon</v>
      </c>
      <c r="K573" s="1186" t="str">
        <f>IF(I573=".",I573,VLOOKUP($I573,'Price List, Weapons &amp; Items'!B:D,3,0))</f>
        <v>Armored Utility Vehicle (AUV)</v>
      </c>
      <c r="L573" s="1187">
        <f>VLOOKUP(I573,'Price List, Weapons &amp; Items'!B:E,4,0)</f>
        <v>0</v>
      </c>
      <c r="M573" s="1188">
        <v>10</v>
      </c>
      <c r="N573" s="1188">
        <v>0</v>
      </c>
      <c r="O573" s="1188">
        <f>VLOOKUP($I573,'Price List, Weapons &amp; Items'!B:G,6,0)</f>
        <v>1650000</v>
      </c>
      <c r="P573" s="1185">
        <f t="shared" si="119"/>
        <v>16500000</v>
      </c>
      <c r="Q573" s="1185">
        <f t="shared" si="120"/>
        <v>0</v>
      </c>
      <c r="R573" s="1185" t="str">
        <f t="shared" si="116"/>
        <v/>
      </c>
      <c r="S573" s="1185" t="str">
        <f>IF(AND(AD573=1,R573&lt;&gt;".")=TRUE,R573/VLOOKUP(G573,'Exchange Rates'!B:C,2,0),IF(R573=".",".",""))</f>
        <v/>
      </c>
      <c r="T573" s="1185" t="str">
        <f>IF(AD573=1,IF(AF573="Value is not given at all",".",IF(AF573="Value is given by the source",S573,IF(AF573="Value is calculated with prices",(IF(SUMIFS(Q:Q,A:A,A573)&gt;0,SUMIFS(Q:Q,A:A,A573),"."))/VLOOKUP("USD",'Exchange Rates'!B:C,2,0),"Error with coding"))),"")</f>
        <v/>
      </c>
      <c r="U573" s="1184" t="s">
        <v>365</v>
      </c>
      <c r="V573" s="972" t="s">
        <v>1782</v>
      </c>
      <c r="W573" s="972" t="s">
        <v>1280</v>
      </c>
      <c r="X573" s="972" t="s">
        <v>364</v>
      </c>
      <c r="Y573" s="972" t="s">
        <v>364</v>
      </c>
      <c r="Z573" s="1184">
        <v>0</v>
      </c>
      <c r="AA573" s="1194">
        <v>0</v>
      </c>
      <c r="AB573" s="600" t="s">
        <v>1280</v>
      </c>
      <c r="AC573" s="1192" t="str">
        <f>""</f>
        <v/>
      </c>
      <c r="AD573" s="985">
        <v>0</v>
      </c>
      <c r="AE573" s="1194" t="s">
        <v>368</v>
      </c>
      <c r="AF573" s="985" t="s">
        <v>369</v>
      </c>
      <c r="AG573" s="985">
        <v>1</v>
      </c>
      <c r="AH573" s="985">
        <v>7</v>
      </c>
      <c r="AI573" s="985">
        <v>0</v>
      </c>
      <c r="AJ573" s="1193">
        <f>VLOOKUP($I573,'Price List, Weapons &amp; Items'!B:F,5,0)</f>
        <v>1</v>
      </c>
      <c r="AK573" s="1193">
        <f t="shared" si="121"/>
        <v>0</v>
      </c>
      <c r="AL573" s="1193">
        <f t="shared" si="122"/>
        <v>0</v>
      </c>
      <c r="AM573" s="1193">
        <f t="shared" si="123"/>
        <v>0</v>
      </c>
      <c r="AN573" s="1194" t="str">
        <f>VLOOKUP($I573,'Price List, Weapons &amp; Items'!B:L,COLUMN('Price List, Weapons &amp; Items'!$J$11)-1,0)</f>
        <v>Miscellaneous</v>
      </c>
      <c r="AO573" s="1194" t="str">
        <f>IF(I573=".",".",VLOOKUP($I573,'Price List, Weapons &amp; Items'!B:J,3,0))</f>
        <v>Armored Utility Vehicle (AUV)</v>
      </c>
      <c r="AP573" s="1195" t="str">
        <f t="shared" ca="1" si="117"/>
        <v/>
      </c>
      <c r="AQ573" s="1194">
        <f>VLOOKUP($I573,'Price List, Weapons &amp; Items'!B:L,COLUMN('Price List, Weapons &amp; Items'!$L$11)-1,0)</f>
        <v>2</v>
      </c>
      <c r="AR573" s="1194">
        <f t="shared" si="124"/>
        <v>1</v>
      </c>
      <c r="AS573" s="1194">
        <f t="shared" si="125"/>
        <v>1</v>
      </c>
      <c r="AT573" s="1194" t="str">
        <f t="shared" si="126"/>
        <v>Value is not in date format</v>
      </c>
      <c r="AU573" s="1194" t="str">
        <f t="shared" si="127"/>
        <v>.</v>
      </c>
      <c r="AV573" s="1194" t="str">
        <f t="shared" si="118"/>
        <v>.</v>
      </c>
      <c r="AW573" s="1194" t="str">
        <f t="shared" si="128"/>
        <v>.</v>
      </c>
      <c r="AX573" s="1194">
        <f>IFERROR(VLOOKUP(B573,'Share, Heavy Weapons to Ukraine'!B:Z,COLUMN('Share, Heavy Weapons to Ukraine'!C583)-1,0),0)</f>
        <v>0</v>
      </c>
      <c r="AY573" s="1194">
        <f>VLOOKUP('Bilateral Assistance, MAIN DATA'!B573,'Country Summary (€)'!B:F,COLUMN('Country Summary (€)'!C584)-1,FALSE)</f>
        <v>1</v>
      </c>
      <c r="AZ573" s="1194" t="str">
        <f>IF(AND(AD573=1,D573="Military",H573&lt;&gt;"Not given")=TRUE,IF(SUMIFS(P:P,A:A,A573)&gt;0,ABS((SUMIFS(P:P,A:A,A573)/VLOOKUP("USD",'Exchange Rates'!B:C,2,0)))/S573,"."),".")</f>
        <v>.</v>
      </c>
      <c r="BA573" s="1196" t="str">
        <f>IF(AND(AD573=1,D573="Military",H573&lt;&gt;"Not given")=TRUE,IF(SUMIFS(P:P,A:A,A573)&gt;0,IF((ABS((SUMIFS(P:P,A:A,A573)/VLOOKUP("USD",'Exchange Rates'!B:C,2,0)))/S573)&gt;1,(SUMIFS(P:P,A:A,A573)-S573)/S573,(S573-SUMIFS(P:P,A:A,A573))/SUMIFS(P:P,A:A,A573)),"."),".")</f>
        <v>.</v>
      </c>
    </row>
    <row r="574" spans="1:53" ht="15.95" customHeight="1">
      <c r="A574" s="1182" t="s">
        <v>1796</v>
      </c>
      <c r="B574" s="1182" t="s">
        <v>1711</v>
      </c>
      <c r="C574" s="1181" t="s">
        <v>1797</v>
      </c>
      <c r="D574" s="1182" t="s">
        <v>389</v>
      </c>
      <c r="E574" s="1182" t="s">
        <v>1676</v>
      </c>
      <c r="F574" s="1263" t="s">
        <v>1806</v>
      </c>
      <c r="G574" s="1184" t="s">
        <v>483</v>
      </c>
      <c r="H574" s="1185">
        <v>6750000000</v>
      </c>
      <c r="I574" s="1266" t="s">
        <v>1837</v>
      </c>
      <c r="J574" s="1186" t="str">
        <f>VLOOKUP($I574,'Price List, Weapons &amp; Items'!B:C,2,0)</f>
        <v>Military equipment</v>
      </c>
      <c r="K574" s="1186" t="str">
        <f>IF(I574=".",I574,VLOOKUP($I574,'Price List, Weapons &amp; Items'!B:D,3,0))</f>
        <v>Military equipment</v>
      </c>
      <c r="L574" s="1187">
        <f>VLOOKUP(I574,'Price List, Weapons &amp; Items'!B:E,4,0)</f>
        <v>0</v>
      </c>
      <c r="M574" s="1188">
        <v>7</v>
      </c>
      <c r="N574" s="1188">
        <v>7</v>
      </c>
      <c r="O574" s="1188" t="str">
        <f>VLOOKUP($I574,'Price List, Weapons &amp; Items'!B:G,6,0)</f>
        <v>.</v>
      </c>
      <c r="P574" s="1185" t="str">
        <f t="shared" si="119"/>
        <v>No price</v>
      </c>
      <c r="Q574" s="1185" t="str">
        <f t="shared" si="120"/>
        <v>No price</v>
      </c>
      <c r="R574" s="1185" t="str">
        <f t="shared" si="116"/>
        <v/>
      </c>
      <c r="S574" s="1185" t="str">
        <f>IF(AND(AD574=1,R574&lt;&gt;".")=TRUE,R574/VLOOKUP(G574,'Exchange Rates'!B:C,2,0),IF(R574=".",".",""))</f>
        <v/>
      </c>
      <c r="T574" s="1185" t="str">
        <f>IF(AD574=1,IF(AF574="Value is not given at all",".",IF(AF574="Value is given by the source",S574,IF(AF574="Value is calculated with prices",(IF(SUMIFS(Q:Q,A:A,A574)&gt;0,SUMIFS(Q:Q,A:A,A574),"."))/VLOOKUP("USD",'Exchange Rates'!B:C,2,0),"Error with coding"))),"")</f>
        <v/>
      </c>
      <c r="U574" s="1184" t="s">
        <v>365</v>
      </c>
      <c r="V574" s="972" t="s">
        <v>1782</v>
      </c>
      <c r="W574" s="972" t="s">
        <v>1280</v>
      </c>
      <c r="X574" s="972" t="s">
        <v>364</v>
      </c>
      <c r="Y574" s="972" t="s">
        <v>364</v>
      </c>
      <c r="Z574" s="1184">
        <v>0</v>
      </c>
      <c r="AA574" s="1194">
        <v>0</v>
      </c>
      <c r="AB574" s="600" t="s">
        <v>1280</v>
      </c>
      <c r="AC574" s="1192" t="str">
        <f>""</f>
        <v/>
      </c>
      <c r="AD574" s="985">
        <v>0</v>
      </c>
      <c r="AE574" s="1194" t="s">
        <v>368</v>
      </c>
      <c r="AF574" s="985" t="s">
        <v>369</v>
      </c>
      <c r="AG574" s="985">
        <v>0</v>
      </c>
      <c r="AH574" s="985">
        <v>0</v>
      </c>
      <c r="AI574" s="985">
        <v>0</v>
      </c>
      <c r="AJ574" s="1193">
        <f>VLOOKUP($I574,'Price List, Weapons &amp; Items'!B:F,5,0)</f>
        <v>0</v>
      </c>
      <c r="AK574" s="1193">
        <f t="shared" si="121"/>
        <v>0</v>
      </c>
      <c r="AL574" s="1193">
        <f t="shared" si="122"/>
        <v>0</v>
      </c>
      <c r="AM574" s="1193">
        <f t="shared" si="123"/>
        <v>0</v>
      </c>
      <c r="AN574" s="1194" t="str">
        <f>VLOOKUP($I574,'Price List, Weapons &amp; Items'!B:L,COLUMN('Price List, Weapons &amp; Items'!$J$11)-1,0)</f>
        <v>.</v>
      </c>
      <c r="AO574" s="1194" t="str">
        <f>IF(I574=".",".",VLOOKUP($I574,'Price List, Weapons &amp; Items'!B:J,3,0))</f>
        <v>Military equipment</v>
      </c>
      <c r="AP574" s="1195" t="str">
        <f t="shared" ca="1" si="117"/>
        <v/>
      </c>
      <c r="AQ574" s="1194">
        <f>VLOOKUP($I574,'Price List, Weapons &amp; Items'!B:L,COLUMN('Price List, Weapons &amp; Items'!$L$11)-1,0)</f>
        <v>0</v>
      </c>
      <c r="AR574" s="1194">
        <f t="shared" si="124"/>
        <v>1</v>
      </c>
      <c r="AS574" s="1194">
        <f t="shared" si="125"/>
        <v>1</v>
      </c>
      <c r="AT574" s="1194" t="str">
        <f t="shared" si="126"/>
        <v>Value is not in date format</v>
      </c>
      <c r="AU574" s="1194" t="str">
        <f t="shared" si="127"/>
        <v>.</v>
      </c>
      <c r="AV574" s="1194" t="str">
        <f t="shared" si="118"/>
        <v>.</v>
      </c>
      <c r="AW574" s="1194" t="str">
        <f t="shared" si="128"/>
        <v>.</v>
      </c>
      <c r="AX574" s="1194">
        <f>IFERROR(VLOOKUP(B574,'Share, Heavy Weapons to Ukraine'!B:Z,COLUMN('Share, Heavy Weapons to Ukraine'!C584)-1,0),0)</f>
        <v>0</v>
      </c>
      <c r="AY574" s="1194">
        <f>VLOOKUP('Bilateral Assistance, MAIN DATA'!B574,'Country Summary (€)'!B:F,COLUMN('Country Summary (€)'!C585)-1,FALSE)</f>
        <v>1</v>
      </c>
      <c r="AZ574" s="1194" t="str">
        <f>IF(AND(AD574=1,D574="Military",H574&lt;&gt;"Not given")=TRUE,IF(SUMIFS(P:P,A:A,A574)&gt;0,ABS((SUMIFS(P:P,A:A,A574)/VLOOKUP("USD",'Exchange Rates'!B:C,2,0)))/S574,"."),".")</f>
        <v>.</v>
      </c>
      <c r="BA574" s="1196" t="str">
        <f>IF(AND(AD574=1,D574="Military",H574&lt;&gt;"Not given")=TRUE,IF(SUMIFS(P:P,A:A,A574)&gt;0,IF((ABS((SUMIFS(P:P,A:A,A574)/VLOOKUP("USD",'Exchange Rates'!B:C,2,0)))/S574)&gt;1,(SUMIFS(P:P,A:A,A574)-S574)/S574,(S574-SUMIFS(P:P,A:A,A574))/SUMIFS(P:P,A:A,A574)),"."),".")</f>
        <v>.</v>
      </c>
    </row>
    <row r="575" spans="1:53" ht="15.95" customHeight="1">
      <c r="A575" s="1182" t="s">
        <v>1796</v>
      </c>
      <c r="B575" s="1182" t="s">
        <v>1711</v>
      </c>
      <c r="C575" s="1181" t="s">
        <v>1797</v>
      </c>
      <c r="D575" s="1182" t="s">
        <v>389</v>
      </c>
      <c r="E575" s="1182" t="s">
        <v>1676</v>
      </c>
      <c r="F575" s="1263" t="s">
        <v>1806</v>
      </c>
      <c r="G575" s="1184" t="s">
        <v>483</v>
      </c>
      <c r="H575" s="1185">
        <v>6750000000</v>
      </c>
      <c r="I575" s="1266" t="s">
        <v>1838</v>
      </c>
      <c r="J575" s="1186" t="str">
        <f>VLOOKUP($I575,'Price List, Weapons &amp; Items'!B:C,2,0)</f>
        <v>Aviation and drones</v>
      </c>
      <c r="K575" s="1186" t="str">
        <f>IF(I575=".",I575,VLOOKUP($I575,'Price List, Weapons &amp; Items'!B:D,3,0))</f>
        <v>drone</v>
      </c>
      <c r="L575" s="1187">
        <f>VLOOKUP(I575,'Price List, Weapons &amp; Items'!B:E,4,0)</f>
        <v>0</v>
      </c>
      <c r="M575" s="1188">
        <v>278</v>
      </c>
      <c r="N575" s="1275">
        <v>86</v>
      </c>
      <c r="O575" s="1188">
        <f>VLOOKUP($I575,'Price List, Weapons &amp; Items'!B:G,6,0)</f>
        <v>1035567.45</v>
      </c>
      <c r="P575" s="1185">
        <f t="shared" si="119"/>
        <v>287887751.09999996</v>
      </c>
      <c r="Q575" s="1185">
        <f t="shared" si="120"/>
        <v>89058800.700000003</v>
      </c>
      <c r="R575" s="1185" t="str">
        <f t="shared" si="116"/>
        <v/>
      </c>
      <c r="S575" s="1185" t="str">
        <f>IF(AND(AD575=1,R575&lt;&gt;".")=TRUE,R575/VLOOKUP(G575,'Exchange Rates'!B:C,2,0),IF(R575=".",".",""))</f>
        <v/>
      </c>
      <c r="T575" s="1185" t="str">
        <f>IF(AD575=1,IF(AF575="Value is not given at all",".",IF(AF575="Value is given by the source",S575,IF(AF575="Value is calculated with prices",(IF(SUMIFS(Q:Q,A:A,A575)&gt;0,SUMIFS(Q:Q,A:A,A575),"."))/VLOOKUP("USD",'Exchange Rates'!B:C,2,0),"Error with coding"))),"")</f>
        <v/>
      </c>
      <c r="U575" s="1184" t="s">
        <v>365</v>
      </c>
      <c r="V575" s="972" t="s">
        <v>1782</v>
      </c>
      <c r="W575" s="972" t="s">
        <v>1280</v>
      </c>
      <c r="X575" s="972" t="s">
        <v>364</v>
      </c>
      <c r="Y575" s="972" t="s">
        <v>364</v>
      </c>
      <c r="Z575" s="1184">
        <v>0</v>
      </c>
      <c r="AA575" s="1194">
        <v>1</v>
      </c>
      <c r="AB575" s="600" t="s">
        <v>1280</v>
      </c>
      <c r="AC575" s="1192" t="str">
        <f>""</f>
        <v/>
      </c>
      <c r="AD575" s="985">
        <v>0</v>
      </c>
      <c r="AE575" s="1194" t="s">
        <v>368</v>
      </c>
      <c r="AF575" s="985" t="s">
        <v>369</v>
      </c>
      <c r="AG575" s="985">
        <v>0</v>
      </c>
      <c r="AH575" s="985">
        <v>0</v>
      </c>
      <c r="AI575" s="985">
        <v>0</v>
      </c>
      <c r="AJ575" s="1193">
        <f>VLOOKUP($I575,'Price List, Weapons &amp; Items'!B:F,5,0)</f>
        <v>0</v>
      </c>
      <c r="AK575" s="1193">
        <f t="shared" si="121"/>
        <v>0</v>
      </c>
      <c r="AL575" s="1193">
        <f t="shared" si="122"/>
        <v>0</v>
      </c>
      <c r="AM575" s="1193">
        <f t="shared" si="123"/>
        <v>0</v>
      </c>
      <c r="AN575" s="1194" t="str">
        <f>VLOOKUP($I575,'Price List, Weapons &amp; Items'!B:L,COLUMN('Price List, Weapons &amp; Items'!$J$11)-1,0)</f>
        <v>Miscellaneous</v>
      </c>
      <c r="AO575" s="1194" t="str">
        <f>IF(I575=".",".",VLOOKUP($I575,'Price List, Weapons &amp; Items'!B:J,3,0))</f>
        <v>drone</v>
      </c>
      <c r="AP575" s="1195" t="str">
        <f t="shared" ca="1" si="117"/>
        <v/>
      </c>
      <c r="AQ575" s="1194">
        <f>VLOOKUP($I575,'Price List, Weapons &amp; Items'!B:L,COLUMN('Price List, Weapons &amp; Items'!$L$11)-1,0)</f>
        <v>2</v>
      </c>
      <c r="AR575" s="1194">
        <f t="shared" si="124"/>
        <v>1</v>
      </c>
      <c r="AS575" s="1194">
        <f t="shared" si="125"/>
        <v>1</v>
      </c>
      <c r="AT575" s="1194" t="str">
        <f t="shared" si="126"/>
        <v>Value is not in date format</v>
      </c>
      <c r="AU575" s="1194" t="str">
        <f t="shared" si="127"/>
        <v>.</v>
      </c>
      <c r="AV575" s="1194" t="str">
        <f t="shared" si="118"/>
        <v>.</v>
      </c>
      <c r="AW575" s="1194" t="str">
        <f t="shared" si="128"/>
        <v>.</v>
      </c>
      <c r="AX575" s="1194">
        <f>IFERROR(VLOOKUP(B575,'Share, Heavy Weapons to Ukraine'!B:Z,COLUMN('Share, Heavy Weapons to Ukraine'!C585)-1,0),0)</f>
        <v>0</v>
      </c>
      <c r="AY575" s="1194">
        <f>VLOOKUP('Bilateral Assistance, MAIN DATA'!B575,'Country Summary (€)'!B:F,COLUMN('Country Summary (€)'!C586)-1,FALSE)</f>
        <v>1</v>
      </c>
      <c r="AZ575" s="1194" t="str">
        <f>IF(AND(AD575=1,D575="Military",H575&lt;&gt;"Not given")=TRUE,IF(SUMIFS(P:P,A:A,A575)&gt;0,ABS((SUMIFS(P:P,A:A,A575)/VLOOKUP("USD",'Exchange Rates'!B:C,2,0)))/S575,"."),".")</f>
        <v>.</v>
      </c>
      <c r="BA575" s="1196" t="str">
        <f>IF(AND(AD575=1,D575="Military",H575&lt;&gt;"Not given")=TRUE,IF(SUMIFS(P:P,A:A,A575)&gt;0,IF((ABS((SUMIFS(P:P,A:A,A575)/VLOOKUP("USD",'Exchange Rates'!B:C,2,0)))/S575)&gt;1,(SUMIFS(P:P,A:A,A575)-S575)/S575,(S575-SUMIFS(P:P,A:A,A575))/SUMIFS(P:P,A:A,A575)),"."),".")</f>
        <v>.</v>
      </c>
    </row>
    <row r="576" spans="1:53" ht="15.95" customHeight="1">
      <c r="A576" s="1182" t="s">
        <v>1796</v>
      </c>
      <c r="B576" s="1182" t="s">
        <v>1711</v>
      </c>
      <c r="C576" s="1181" t="s">
        <v>1797</v>
      </c>
      <c r="D576" s="1182" t="s">
        <v>389</v>
      </c>
      <c r="E576" s="1182" t="s">
        <v>1676</v>
      </c>
      <c r="F576" s="1263" t="s">
        <v>1806</v>
      </c>
      <c r="G576" s="1184" t="s">
        <v>483</v>
      </c>
      <c r="H576" s="1185">
        <v>6750000000</v>
      </c>
      <c r="I576" s="1266" t="s">
        <v>1839</v>
      </c>
      <c r="J576" s="1186" t="str">
        <f>VLOOKUP($I576,'Price List, Weapons &amp; Items'!B:C,2,0)</f>
        <v>Portable defence system</v>
      </c>
      <c r="K576" s="1186" t="str">
        <f>IF(I576=".",I576,VLOOKUP($I576,'Price List, Weapons &amp; Items'!B:D,3,0))</f>
        <v>Light Anti-armor Weapon (LAW)</v>
      </c>
      <c r="L576" s="1187">
        <f>VLOOKUP(I576,'Price List, Weapons &amp; Items'!B:E,4,0)</f>
        <v>0</v>
      </c>
      <c r="M576" s="1188">
        <v>7944</v>
      </c>
      <c r="N576" s="1188">
        <v>7944</v>
      </c>
      <c r="O576" s="1188">
        <f>VLOOKUP($I576,'Price List, Weapons &amp; Items'!B:G,6,0)</f>
        <v>5372.5490196078435</v>
      </c>
      <c r="P576" s="1185">
        <f t="shared" si="119"/>
        <v>42679529.411764711</v>
      </c>
      <c r="Q576" s="1185">
        <f t="shared" si="120"/>
        <v>42679529.411764711</v>
      </c>
      <c r="R576" s="1185" t="str">
        <f t="shared" si="116"/>
        <v/>
      </c>
      <c r="S576" s="1185" t="str">
        <f>IF(AND(AD576=1,R576&lt;&gt;".")=TRUE,R576/VLOOKUP(G576,'Exchange Rates'!B:C,2,0),IF(R576=".",".",""))</f>
        <v/>
      </c>
      <c r="T576" s="1185" t="str">
        <f>IF(AD576=1,IF(AF576="Value is not given at all",".",IF(AF576="Value is given by the source",S576,IF(AF576="Value is calculated with prices",(IF(SUMIFS(Q:Q,A:A,A576)&gt;0,SUMIFS(Q:Q,A:A,A576),"."))/VLOOKUP("USD",'Exchange Rates'!B:C,2,0),"Error with coding"))),"")</f>
        <v/>
      </c>
      <c r="U576" s="1184" t="s">
        <v>365</v>
      </c>
      <c r="V576" s="972" t="s">
        <v>1782</v>
      </c>
      <c r="W576" s="972" t="s">
        <v>1280</v>
      </c>
      <c r="X576" s="972" t="s">
        <v>364</v>
      </c>
      <c r="Y576" s="972" t="s">
        <v>364</v>
      </c>
      <c r="Z576" s="1184">
        <v>0</v>
      </c>
      <c r="AA576" s="1194">
        <v>0</v>
      </c>
      <c r="AB576" s="600" t="s">
        <v>1280</v>
      </c>
      <c r="AC576" s="1192" t="str">
        <f>""</f>
        <v/>
      </c>
      <c r="AD576" s="985">
        <v>0</v>
      </c>
      <c r="AE576" s="1194" t="s">
        <v>368</v>
      </c>
      <c r="AF576" s="985" t="s">
        <v>369</v>
      </c>
      <c r="AG576" s="985">
        <v>0</v>
      </c>
      <c r="AH576" s="985">
        <v>0</v>
      </c>
      <c r="AI576" s="985">
        <v>0</v>
      </c>
      <c r="AJ576" s="1193">
        <f>VLOOKUP($I576,'Price List, Weapons &amp; Items'!B:F,5,0)</f>
        <v>0</v>
      </c>
      <c r="AK576" s="1193">
        <f t="shared" si="121"/>
        <v>0</v>
      </c>
      <c r="AL576" s="1193">
        <f t="shared" si="122"/>
        <v>0</v>
      </c>
      <c r="AM576" s="1193">
        <f t="shared" si="123"/>
        <v>0</v>
      </c>
      <c r="AN576" s="1194" t="str">
        <f>VLOOKUP($I576,'Price List, Weapons &amp; Items'!B:L,COLUMN('Price List, Weapons &amp; Items'!$J$11)-1,0)</f>
        <v>Media reports (incl. social media)</v>
      </c>
      <c r="AO576" s="1194" t="str">
        <f>IF(I576=".",".",VLOOKUP($I576,'Price List, Weapons &amp; Items'!B:J,3,0))</f>
        <v>Light Anti-armor Weapon (LAW)</v>
      </c>
      <c r="AP576" s="1195" t="str">
        <f t="shared" ca="1" si="117"/>
        <v/>
      </c>
      <c r="AQ576" s="1194">
        <f>VLOOKUP($I576,'Price List, Weapons &amp; Items'!B:L,COLUMN('Price List, Weapons &amp; Items'!$L$11)-1,0)</f>
        <v>2</v>
      </c>
      <c r="AR576" s="1194">
        <f t="shared" si="124"/>
        <v>1</v>
      </c>
      <c r="AS576" s="1194">
        <f t="shared" si="125"/>
        <v>1</v>
      </c>
      <c r="AT576" s="1194" t="str">
        <f t="shared" si="126"/>
        <v>Value is not in date format</v>
      </c>
      <c r="AU576" s="1194" t="str">
        <f t="shared" si="127"/>
        <v>.</v>
      </c>
      <c r="AV576" s="1194" t="str">
        <f t="shared" si="118"/>
        <v>.</v>
      </c>
      <c r="AW576" s="1194" t="str">
        <f t="shared" si="128"/>
        <v>.</v>
      </c>
      <c r="AX576" s="1194">
        <f>IFERROR(VLOOKUP(B576,'Share, Heavy Weapons to Ukraine'!B:Z,COLUMN('Share, Heavy Weapons to Ukraine'!C586)-1,0),0)</f>
        <v>0</v>
      </c>
      <c r="AY576" s="1194">
        <f>VLOOKUP('Bilateral Assistance, MAIN DATA'!B576,'Country Summary (€)'!B:F,COLUMN('Country Summary (€)'!C587)-1,FALSE)</f>
        <v>1</v>
      </c>
      <c r="AZ576" s="1194" t="str">
        <f>IF(AND(AD576=1,D576="Military",H576&lt;&gt;"Not given")=TRUE,IF(SUMIFS(P:P,A:A,A576)&gt;0,ABS((SUMIFS(P:P,A:A,A576)/VLOOKUP("USD",'Exchange Rates'!B:C,2,0)))/S576,"."),".")</f>
        <v>.</v>
      </c>
      <c r="BA576" s="1196" t="str">
        <f>IF(AND(AD576=1,D576="Military",H576&lt;&gt;"Not given")=TRUE,IF(SUMIFS(P:P,A:A,A576)&gt;0,IF((ABS((SUMIFS(P:P,A:A,A576)/VLOOKUP("USD",'Exchange Rates'!B:C,2,0)))/S576)&gt;1,(SUMIFS(P:P,A:A,A576)-S576)/S576,(S576-SUMIFS(P:P,A:A,A576))/SUMIFS(P:P,A:A,A576)),"."),".")</f>
        <v>.</v>
      </c>
    </row>
    <row r="577" spans="1:53" ht="15.95" customHeight="1">
      <c r="A577" s="1182" t="s">
        <v>1796</v>
      </c>
      <c r="B577" s="1182" t="s">
        <v>1711</v>
      </c>
      <c r="C577" s="1181" t="s">
        <v>1797</v>
      </c>
      <c r="D577" s="1182" t="s">
        <v>389</v>
      </c>
      <c r="E577" s="1182" t="s">
        <v>1676</v>
      </c>
      <c r="F577" s="1263" t="s">
        <v>1806</v>
      </c>
      <c r="G577" s="1184" t="s">
        <v>483</v>
      </c>
      <c r="H577" s="1185">
        <v>6750000000</v>
      </c>
      <c r="I577" s="1266" t="s">
        <v>1840</v>
      </c>
      <c r="J577" s="1186" t="str">
        <f>VLOOKUP($I577,'Price List, Weapons &amp; Items'!B:C,2,0)</f>
        <v>Military equipment</v>
      </c>
      <c r="K577" s="1186" t="str">
        <f>IF(I577=".",I577,VLOOKUP($I577,'Price List, Weapons &amp; Items'!B:D,3,0))</f>
        <v>anti-armor weapon</v>
      </c>
      <c r="L577" s="1187">
        <f>VLOOKUP(I577,'Price List, Weapons &amp; Items'!B:E,4,0)</f>
        <v>0</v>
      </c>
      <c r="M577" s="1188">
        <v>20</v>
      </c>
      <c r="N577" s="1188">
        <v>20</v>
      </c>
      <c r="O577" s="1188">
        <f>VLOOKUP($I577,'Price List, Weapons &amp; Items'!B:G,6,0)</f>
        <v>22000</v>
      </c>
      <c r="P577" s="1185">
        <f t="shared" si="119"/>
        <v>440000</v>
      </c>
      <c r="Q577" s="1185">
        <f t="shared" si="120"/>
        <v>440000</v>
      </c>
      <c r="R577" s="1185" t="str">
        <f t="shared" si="116"/>
        <v/>
      </c>
      <c r="S577" s="1185" t="str">
        <f>IF(AND(AD577=1,R577&lt;&gt;".")=TRUE,R577/VLOOKUP(G577,'Exchange Rates'!B:C,2,0),IF(R577=".",".",""))</f>
        <v/>
      </c>
      <c r="T577" s="1185" t="str">
        <f>IF(AD577=1,IF(AF577="Value is not given at all",".",IF(AF577="Value is given by the source",S577,IF(AF577="Value is calculated with prices",(IF(SUMIFS(Q:Q,A:A,A577)&gt;0,SUMIFS(Q:Q,A:A,A577),"."))/VLOOKUP("USD",'Exchange Rates'!B:C,2,0),"Error with coding"))),"")</f>
        <v/>
      </c>
      <c r="U577" s="1184" t="s">
        <v>365</v>
      </c>
      <c r="V577" s="972" t="s">
        <v>1782</v>
      </c>
      <c r="W577" s="972" t="s">
        <v>1280</v>
      </c>
      <c r="X577" s="972" t="s">
        <v>364</v>
      </c>
      <c r="Y577" s="972" t="s">
        <v>364</v>
      </c>
      <c r="Z577" s="1184">
        <v>0</v>
      </c>
      <c r="AA577" s="1194">
        <v>0</v>
      </c>
      <c r="AB577" s="600" t="s">
        <v>1280</v>
      </c>
      <c r="AC577" s="1192" t="str">
        <f>""</f>
        <v/>
      </c>
      <c r="AD577" s="985">
        <v>0</v>
      </c>
      <c r="AE577" s="1194" t="s">
        <v>368</v>
      </c>
      <c r="AF577" s="985" t="s">
        <v>369</v>
      </c>
      <c r="AG577" s="985">
        <v>1</v>
      </c>
      <c r="AH577" s="985">
        <v>8</v>
      </c>
      <c r="AI577" s="985">
        <v>0</v>
      </c>
      <c r="AJ577" s="1193">
        <f>VLOOKUP($I577,'Price List, Weapons &amp; Items'!B:F,5,0)</f>
        <v>0</v>
      </c>
      <c r="AK577" s="1193">
        <f t="shared" si="121"/>
        <v>0</v>
      </c>
      <c r="AL577" s="1193">
        <f t="shared" si="122"/>
        <v>0</v>
      </c>
      <c r="AM577" s="1193">
        <f t="shared" si="123"/>
        <v>0</v>
      </c>
      <c r="AN577" s="1194" t="str">
        <f>VLOOKUP($I577,'Price List, Weapons &amp; Items'!B:L,COLUMN('Price List, Weapons &amp; Items'!$J$11)-1,0)</f>
        <v>Media reports (incl. social media)</v>
      </c>
      <c r="AO577" s="1194" t="str">
        <f>IF(I577=".",".",VLOOKUP($I577,'Price List, Weapons &amp; Items'!B:J,3,0))</f>
        <v>anti-armor weapon</v>
      </c>
      <c r="AP577" s="1195" t="str">
        <f t="shared" ca="1" si="117"/>
        <v/>
      </c>
      <c r="AQ577" s="1194">
        <f>VLOOKUP($I577,'Price List, Weapons &amp; Items'!B:L,COLUMN('Price List, Weapons &amp; Items'!$L$11)-1,0)</f>
        <v>1</v>
      </c>
      <c r="AR577" s="1194">
        <f t="shared" si="124"/>
        <v>1</v>
      </c>
      <c r="AS577" s="1194">
        <f t="shared" si="125"/>
        <v>1</v>
      </c>
      <c r="AT577" s="1194" t="str">
        <f t="shared" si="126"/>
        <v>Value is not in date format</v>
      </c>
      <c r="AU577" s="1194" t="str">
        <f t="shared" si="127"/>
        <v>.</v>
      </c>
      <c r="AV577" s="1194" t="str">
        <f t="shared" si="118"/>
        <v>.</v>
      </c>
      <c r="AW577" s="1194" t="str">
        <f t="shared" si="128"/>
        <v>.</v>
      </c>
      <c r="AX577" s="1194">
        <f>IFERROR(VLOOKUP(B577,'Share, Heavy Weapons to Ukraine'!B:Z,COLUMN('Share, Heavy Weapons to Ukraine'!C587)-1,0),0)</f>
        <v>0</v>
      </c>
      <c r="AY577" s="1194">
        <f>VLOOKUP('Bilateral Assistance, MAIN DATA'!B577,'Country Summary (€)'!B:F,COLUMN('Country Summary (€)'!C588)-1,FALSE)</f>
        <v>1</v>
      </c>
      <c r="AZ577" s="1194" t="str">
        <f>IF(AND(AD577=1,D577="Military",H577&lt;&gt;"Not given")=TRUE,IF(SUMIFS(P:P,A:A,A577)&gt;0,ABS((SUMIFS(P:P,A:A,A577)/VLOOKUP("USD",'Exchange Rates'!B:C,2,0)))/S577,"."),".")</f>
        <v>.</v>
      </c>
      <c r="BA577" s="1196" t="str">
        <f>IF(AND(AD577=1,D577="Military",H577&lt;&gt;"Not given")=TRUE,IF(SUMIFS(P:P,A:A,A577)&gt;0,IF((ABS((SUMIFS(P:P,A:A,A577)/VLOOKUP("USD",'Exchange Rates'!B:C,2,0)))/S577)&gt;1,(SUMIFS(P:P,A:A,A577)-S577)/S577,(S577-SUMIFS(P:P,A:A,A577))/SUMIFS(P:P,A:A,A577)),"."),".")</f>
        <v>.</v>
      </c>
    </row>
    <row r="578" spans="1:53" ht="15.95" customHeight="1">
      <c r="A578" s="1182" t="s">
        <v>1796</v>
      </c>
      <c r="B578" s="1182" t="s">
        <v>1711</v>
      </c>
      <c r="C578" s="1181" t="s">
        <v>1797</v>
      </c>
      <c r="D578" s="1182" t="s">
        <v>389</v>
      </c>
      <c r="E578" s="1182" t="s">
        <v>1676</v>
      </c>
      <c r="F578" s="1263" t="s">
        <v>1806</v>
      </c>
      <c r="G578" s="1184" t="s">
        <v>483</v>
      </c>
      <c r="H578" s="1185">
        <v>6750000000</v>
      </c>
      <c r="I578" s="1266" t="s">
        <v>1841</v>
      </c>
      <c r="J578" s="1186" t="str">
        <f>VLOOKUP($I578,'Price List, Weapons &amp; Items'!B:C,2,0)</f>
        <v>ammunition for heavy weapon</v>
      </c>
      <c r="K578" s="1186" t="str">
        <f>IF(I578=".",I578,VLOOKUP($I578,'Price List, Weapons &amp; Items'!B:D,3,0))</f>
        <v>missile</v>
      </c>
      <c r="L578" s="1187">
        <f>VLOOKUP(I578,'Price List, Weapons &amp; Items'!B:E,4,0)</f>
        <v>0</v>
      </c>
      <c r="M578" s="1188" t="s">
        <v>374</v>
      </c>
      <c r="N578" s="1188" t="s">
        <v>374</v>
      </c>
      <c r="O578" s="1188">
        <f>VLOOKUP($I578,'Price List, Weapons &amp; Items'!B:G,6,0)</f>
        <v>2799</v>
      </c>
      <c r="P578" s="1185" t="str">
        <f t="shared" si="119"/>
        <v>.</v>
      </c>
      <c r="Q578" s="1185" t="str">
        <f t="shared" si="120"/>
        <v>.</v>
      </c>
      <c r="R578" s="1185" t="str">
        <f t="shared" ref="R578:R641" si="129">IF(AD578=1,IF(H578&lt;&gt;"Not given",H578,IF(TYPE(H578)=2,IF(SUMIFS(P:P,A:A,A578)&gt;0,SUMIFS(P:P,A:A,A578),"."),"Format error")),"")</f>
        <v/>
      </c>
      <c r="S578" s="1185" t="str">
        <f>IF(AND(AD578=1,R578&lt;&gt;".")=TRUE,R578/VLOOKUP(G578,'Exchange Rates'!B:C,2,0),IF(R578=".",".",""))</f>
        <v/>
      </c>
      <c r="T578" s="1185" t="str">
        <f>IF(AD578=1,IF(AF578="Value is not given at all",".",IF(AF578="Value is given by the source",S578,IF(AF578="Value is calculated with prices",(IF(SUMIFS(Q:Q,A:A,A578)&gt;0,SUMIFS(Q:Q,A:A,A578),"."))/VLOOKUP("USD",'Exchange Rates'!B:C,2,0),"Error with coding"))),"")</f>
        <v/>
      </c>
      <c r="U578" s="1184" t="s">
        <v>365</v>
      </c>
      <c r="V578" s="972" t="s">
        <v>1782</v>
      </c>
      <c r="W578" s="972" t="s">
        <v>1280</v>
      </c>
      <c r="X578" s="972" t="s">
        <v>364</v>
      </c>
      <c r="Y578" s="972" t="s">
        <v>364</v>
      </c>
      <c r="Z578" s="1184">
        <v>0</v>
      </c>
      <c r="AA578" s="1194">
        <v>0</v>
      </c>
      <c r="AB578" s="600" t="s">
        <v>1280</v>
      </c>
      <c r="AC578" s="1192" t="str">
        <f>""</f>
        <v/>
      </c>
      <c r="AD578" s="985">
        <v>0</v>
      </c>
      <c r="AE578" s="1194" t="s">
        <v>368</v>
      </c>
      <c r="AF578" s="985" t="s">
        <v>369</v>
      </c>
      <c r="AG578" s="985">
        <v>0</v>
      </c>
      <c r="AH578" s="985">
        <v>0</v>
      </c>
      <c r="AI578" s="985">
        <v>0</v>
      </c>
      <c r="AJ578" s="1193">
        <f>VLOOKUP($I578,'Price List, Weapons &amp; Items'!B:F,5,0)</f>
        <v>0</v>
      </c>
      <c r="AK578" s="1193">
        <f t="shared" si="121"/>
        <v>0</v>
      </c>
      <c r="AL578" s="1193">
        <f t="shared" si="122"/>
        <v>0</v>
      </c>
      <c r="AM578" s="1193">
        <f t="shared" si="123"/>
        <v>0</v>
      </c>
      <c r="AN578" s="1194" t="str">
        <f>VLOOKUP($I578,'Price List, Weapons &amp; Items'!B:L,COLUMN('Price List, Weapons &amp; Items'!$J$11)-1,0)</f>
        <v>Media reports (incl. social media)</v>
      </c>
      <c r="AO578" s="1194" t="str">
        <f>IF(I578=".",".",VLOOKUP($I578,'Price List, Weapons &amp; Items'!B:J,3,0))</f>
        <v>missile</v>
      </c>
      <c r="AP578" s="1195" t="str">
        <f t="shared" ref="AP578:AP641" ca="1" si="130">IF(AD578=1,(OFFSET(I578,0,0,COUNTIF(A:A,A578),1)),"")</f>
        <v/>
      </c>
      <c r="AQ578" s="1194" t="str">
        <f>VLOOKUP($I578,'Price List, Weapons &amp; Items'!B:L,COLUMN('Price List, Weapons &amp; Items'!$L$11)-1,0)</f>
        <v>no price, 0 count</v>
      </c>
      <c r="AR578" s="1194">
        <f t="shared" si="124"/>
        <v>1</v>
      </c>
      <c r="AS578" s="1194">
        <f t="shared" si="125"/>
        <v>1</v>
      </c>
      <c r="AT578" s="1194" t="str">
        <f t="shared" si="126"/>
        <v>Value is not in date format</v>
      </c>
      <c r="AU578" s="1194" t="str">
        <f t="shared" si="127"/>
        <v>.</v>
      </c>
      <c r="AV578" s="1194" t="str">
        <f t="shared" ref="AV578:AV641" si="131">IF(AND(_xlfn.ISFORMULA(R578),_xlfn.ISFORMULA(S578),_xlfn.ISFORMULA(T578))=TRUE,".",1)</f>
        <v>.</v>
      </c>
      <c r="AW578" s="1194" t="str">
        <f t="shared" si="128"/>
        <v>.</v>
      </c>
      <c r="AX578" s="1194">
        <f>IFERROR(VLOOKUP(B578,'Share, Heavy Weapons to Ukraine'!B:Z,COLUMN('Share, Heavy Weapons to Ukraine'!C588)-1,0),0)</f>
        <v>0</v>
      </c>
      <c r="AY578" s="1194">
        <f>VLOOKUP('Bilateral Assistance, MAIN DATA'!B578,'Country Summary (€)'!B:F,COLUMN('Country Summary (€)'!C589)-1,FALSE)</f>
        <v>1</v>
      </c>
      <c r="AZ578" s="1194" t="str">
        <f>IF(AND(AD578=1,D578="Military",H578&lt;&gt;"Not given")=TRUE,IF(SUMIFS(P:P,A:A,A578)&gt;0,ABS((SUMIFS(P:P,A:A,A578)/VLOOKUP("USD",'Exchange Rates'!B:C,2,0)))/S578,"."),".")</f>
        <v>.</v>
      </c>
      <c r="BA578" s="1196" t="str">
        <f>IF(AND(AD578=1,D578="Military",H578&lt;&gt;"Not given")=TRUE,IF(SUMIFS(P:P,A:A,A578)&gt;0,IF((ABS((SUMIFS(P:P,A:A,A578)/VLOOKUP("USD",'Exchange Rates'!B:C,2,0)))/S578)&gt;1,(SUMIFS(P:P,A:A,A578)-S578)/S578,(S578-SUMIFS(P:P,A:A,A578))/SUMIFS(P:P,A:A,A578)),"."),".")</f>
        <v>.</v>
      </c>
    </row>
    <row r="579" spans="1:53" ht="15.95" customHeight="1">
      <c r="A579" s="1182" t="s">
        <v>1796</v>
      </c>
      <c r="B579" s="1182" t="s">
        <v>1711</v>
      </c>
      <c r="C579" s="1181" t="s">
        <v>1797</v>
      </c>
      <c r="D579" s="1182" t="s">
        <v>389</v>
      </c>
      <c r="E579" s="1182" t="s">
        <v>1676</v>
      </c>
      <c r="F579" s="1263" t="s">
        <v>1806</v>
      </c>
      <c r="G579" s="1184" t="s">
        <v>483</v>
      </c>
      <c r="H579" s="1185">
        <v>6750000000</v>
      </c>
      <c r="I579" s="1266" t="s">
        <v>856</v>
      </c>
      <c r="J579" s="1186" t="str">
        <f>VLOOKUP($I579,'Price List, Weapons &amp; Items'!B:C,2,0)</f>
        <v>Ammunition for heavy weapon</v>
      </c>
      <c r="K579" s="1186" t="str">
        <f>IF(I579=".",I579,VLOOKUP($I579,'Price List, Weapons &amp; Items'!B:D,3,0))</f>
        <v>155mm howitzer ammunition</v>
      </c>
      <c r="L579" s="1187">
        <f>VLOOKUP(I579,'Price List, Weapons &amp; Items'!B:E,4,0)</f>
        <v>0</v>
      </c>
      <c r="M579" s="1188">
        <v>26350</v>
      </c>
      <c r="N579" s="1188">
        <v>0</v>
      </c>
      <c r="O579" s="1188">
        <f>VLOOKUP($I579,'Price List, Weapons &amp; Items'!B:G,6,0)</f>
        <v>3800</v>
      </c>
      <c r="P579" s="1185">
        <f t="shared" ref="P579:P642" si="132">IF(TYPE(M579)=1,IF(TYPE(O579)=1,M579*O579,"No price"),".")</f>
        <v>100130000</v>
      </c>
      <c r="Q579" s="1185">
        <f t="shared" ref="Q579:Q642" si="133">IF(TYPE(N579)=1,IF(TYPE(O579)=1,N579*O579,"No price"),".")</f>
        <v>0</v>
      </c>
      <c r="R579" s="1185" t="str">
        <f t="shared" si="129"/>
        <v/>
      </c>
      <c r="S579" s="1185" t="str">
        <f>IF(AND(AD579=1,R579&lt;&gt;".")=TRUE,R579/VLOOKUP(G579,'Exchange Rates'!B:C,2,0),IF(R579=".",".",""))</f>
        <v/>
      </c>
      <c r="T579" s="1185" t="str">
        <f>IF(AD579=1,IF(AF579="Value is not given at all",".",IF(AF579="Value is given by the source",S579,IF(AF579="Value is calculated with prices",(IF(SUMIFS(Q:Q,A:A,A579)&gt;0,SUMIFS(Q:Q,A:A,A579),"."))/VLOOKUP("USD",'Exchange Rates'!B:C,2,0),"Error with coding"))),"")</f>
        <v/>
      </c>
      <c r="U579" s="1184" t="s">
        <v>365</v>
      </c>
      <c r="V579" s="972" t="s">
        <v>1782</v>
      </c>
      <c r="W579" s="972" t="s">
        <v>1280</v>
      </c>
      <c r="X579" s="972" t="s">
        <v>364</v>
      </c>
      <c r="Y579" s="972" t="s">
        <v>364</v>
      </c>
      <c r="Z579" s="1184">
        <v>0</v>
      </c>
      <c r="AA579" s="1194">
        <v>0</v>
      </c>
      <c r="AB579" s="600" t="s">
        <v>1280</v>
      </c>
      <c r="AC579" s="1192" t="str">
        <f>""</f>
        <v/>
      </c>
      <c r="AD579" s="985">
        <v>0</v>
      </c>
      <c r="AE579" s="1194" t="s">
        <v>368</v>
      </c>
      <c r="AF579" s="985" t="s">
        <v>369</v>
      </c>
      <c r="AG579" s="985">
        <v>0</v>
      </c>
      <c r="AH579" s="985">
        <v>0</v>
      </c>
      <c r="AI579" s="985">
        <v>0</v>
      </c>
      <c r="AJ579" s="1193">
        <f>VLOOKUP($I579,'Price List, Weapons &amp; Items'!B:F,5,0)</f>
        <v>1</v>
      </c>
      <c r="AK579" s="1193">
        <f t="shared" ref="AK579:AK642" si="134">IF(AND(AJ579=1,M579="undisclosed")=TRUE,1,0)</f>
        <v>0</v>
      </c>
      <c r="AL579" s="1193">
        <f t="shared" ref="AL579:AL642" si="135">IF(AND(AJ579=1,N579="undisclosed")=TRUE,1,0)</f>
        <v>0</v>
      </c>
      <c r="AM579" s="1193">
        <f t="shared" ref="AM579:AM642" si="136">IFERROR(IF(SEARCH("ammuni",I579,1)&gt;0,1,0),0)</f>
        <v>0</v>
      </c>
      <c r="AN579" s="1194" t="str">
        <f>VLOOKUP($I579,'Price List, Weapons &amp; Items'!B:L,COLUMN('Price List, Weapons &amp; Items'!$J$11)-1,0)</f>
        <v>Government information</v>
      </c>
      <c r="AO579" s="1194" t="str">
        <f>IF(I579=".",".",VLOOKUP($I579,'Price List, Weapons &amp; Items'!B:J,3,0))</f>
        <v>155mm howitzer ammunition</v>
      </c>
      <c r="AP579" s="1195" t="str">
        <f t="shared" ca="1" si="130"/>
        <v/>
      </c>
      <c r="AQ579" s="1194">
        <f>VLOOKUP($I579,'Price List, Weapons &amp; Items'!B:L,COLUMN('Price List, Weapons &amp; Items'!$L$11)-1,0)</f>
        <v>2</v>
      </c>
      <c r="AR579" s="1194">
        <f t="shared" ref="AR579:AR642" si="137">IF(U579="Yes",1,0)</f>
        <v>1</v>
      </c>
      <c r="AS579" s="1194">
        <f t="shared" ref="AS579:AS642" si="138">IF(D579="Military",IF(OR(IFERROR(SEARCH("equipment",E579,1),0)&gt;0,IFERROR(SEARCH("weapons",E579,1),0)&gt;0),1,0),0)</f>
        <v>1</v>
      </c>
      <c r="AT579" s="1194" t="str">
        <f t="shared" ref="AT579:AT642" si="139">IFERROR(IF(VALUE(TEXT(C579,"mm"))=IF(AH579&gt;12,AH579-12,AH579),".",IF(TEXT(C579,"mm")="01",".",1)),"Value is not in date format")</f>
        <v>Value is not in date format</v>
      </c>
      <c r="AU579" s="1194" t="str">
        <f t="shared" ref="AU579:AU642" si="140">IF(AND(A579=A578,C579=C578)=TRUE,IF(F579=F578,".","1"),".")</f>
        <v>.</v>
      </c>
      <c r="AV579" s="1194" t="str">
        <f t="shared" si="131"/>
        <v>.</v>
      </c>
      <c r="AW579" s="1194" t="str">
        <f t="shared" ref="AW579:AW642" si="141">IF(T579&lt;&gt;".",IF(T579&gt;S579,1,"."),".")</f>
        <v>.</v>
      </c>
      <c r="AX579" s="1194">
        <f>IFERROR(VLOOKUP(B579,'Share, Heavy Weapons to Ukraine'!B:Z,COLUMN('Share, Heavy Weapons to Ukraine'!C589)-1,0),0)</f>
        <v>0</v>
      </c>
      <c r="AY579" s="1194">
        <f>VLOOKUP('Bilateral Assistance, MAIN DATA'!B579,'Country Summary (€)'!B:F,COLUMN('Country Summary (€)'!C590)-1,FALSE)</f>
        <v>1</v>
      </c>
      <c r="AZ579" s="1194" t="str">
        <f>IF(AND(AD579=1,D579="Military",H579&lt;&gt;"Not given")=TRUE,IF(SUMIFS(P:P,A:A,A579)&gt;0,ABS((SUMIFS(P:P,A:A,A579)/VLOOKUP("USD",'Exchange Rates'!B:C,2,0)))/S579,"."),".")</f>
        <v>.</v>
      </c>
      <c r="BA579" s="1196" t="str">
        <f>IF(AND(AD579=1,D579="Military",H579&lt;&gt;"Not given")=TRUE,IF(SUMIFS(P:P,A:A,A579)&gt;0,IF((ABS((SUMIFS(P:P,A:A,A579)/VLOOKUP("USD",'Exchange Rates'!B:C,2,0)))/S579)&gt;1,(SUMIFS(P:P,A:A,A579)-S579)/S579,(S579-SUMIFS(P:P,A:A,A579))/SUMIFS(P:P,A:A,A579)),"."),".")</f>
        <v>.</v>
      </c>
    </row>
    <row r="580" spans="1:53" ht="15.95" customHeight="1">
      <c r="A580" s="1182" t="s">
        <v>1796</v>
      </c>
      <c r="B580" s="1182" t="s">
        <v>1711</v>
      </c>
      <c r="C580" s="1181" t="s">
        <v>1797</v>
      </c>
      <c r="D580" s="1182" t="s">
        <v>389</v>
      </c>
      <c r="E580" s="1182" t="s">
        <v>1676</v>
      </c>
      <c r="F580" s="1263" t="s">
        <v>1806</v>
      </c>
      <c r="G580" s="1184" t="s">
        <v>483</v>
      </c>
      <c r="H580" s="1185">
        <v>6750000000</v>
      </c>
      <c r="I580" s="1266" t="s">
        <v>1842</v>
      </c>
      <c r="J580" s="1186" t="str">
        <f>VLOOKUP($I580,'Price List, Weapons &amp; Items'!B:C,2,0)</f>
        <v>Ammunition for light infantry</v>
      </c>
      <c r="K580" s="1186" t="str">
        <f>IF(I580=".",I580,VLOOKUP($I580,'Price List, Weapons &amp; Items'!B:D,3,0))</f>
        <v>Small Arms and Light Weapons (SALW) ammunition</v>
      </c>
      <c r="L580" s="1187">
        <f>VLOOKUP(I580,'Price List, Weapons &amp; Items'!B:E,4,0)</f>
        <v>0</v>
      </c>
      <c r="M580" s="1188">
        <v>216000</v>
      </c>
      <c r="N580" s="1275">
        <v>83520</v>
      </c>
      <c r="O580" s="1188">
        <f>VLOOKUP($I580,'Price List, Weapons &amp; Items'!B:G,6,0)</f>
        <v>55</v>
      </c>
      <c r="P580" s="1185">
        <f t="shared" si="132"/>
        <v>11880000</v>
      </c>
      <c r="Q580" s="1185">
        <f t="shared" si="133"/>
        <v>4593600</v>
      </c>
      <c r="R580" s="1185" t="str">
        <f t="shared" si="129"/>
        <v/>
      </c>
      <c r="S580" s="1185" t="str">
        <f>IF(AND(AD580=1,R580&lt;&gt;".")=TRUE,R580/VLOOKUP(G580,'Exchange Rates'!B:C,2,0),IF(R580=".",".",""))</f>
        <v/>
      </c>
      <c r="T580" s="1185" t="str">
        <f>IF(AD580=1,IF(AF580="Value is not given at all",".",IF(AF580="Value is given by the source",S580,IF(AF580="Value is calculated with prices",(IF(SUMIFS(Q:Q,A:A,A580)&gt;0,SUMIFS(Q:Q,A:A,A580),"."))/VLOOKUP("USD",'Exchange Rates'!B:C,2,0),"Error with coding"))),"")</f>
        <v/>
      </c>
      <c r="U580" s="1184" t="s">
        <v>365</v>
      </c>
      <c r="V580" s="972" t="s">
        <v>1782</v>
      </c>
      <c r="W580" s="972" t="s">
        <v>1280</v>
      </c>
      <c r="X580" s="972" t="s">
        <v>364</v>
      </c>
      <c r="Y580" s="972" t="s">
        <v>364</v>
      </c>
      <c r="Z580" s="1184">
        <v>0</v>
      </c>
      <c r="AA580" s="1194">
        <v>1</v>
      </c>
      <c r="AB580" s="600" t="s">
        <v>1280</v>
      </c>
      <c r="AC580" s="1192" t="str">
        <f>""</f>
        <v/>
      </c>
      <c r="AD580" s="985">
        <v>0</v>
      </c>
      <c r="AE580" s="1194" t="s">
        <v>368</v>
      </c>
      <c r="AF580" s="985" t="s">
        <v>369</v>
      </c>
      <c r="AG580" s="985">
        <v>0</v>
      </c>
      <c r="AH580" s="985">
        <v>0</v>
      </c>
      <c r="AI580" s="985">
        <v>0</v>
      </c>
      <c r="AJ580" s="1193">
        <f>VLOOKUP($I580,'Price List, Weapons &amp; Items'!B:F,5,0)</f>
        <v>0</v>
      </c>
      <c r="AK580" s="1193">
        <f t="shared" si="134"/>
        <v>0</v>
      </c>
      <c r="AL580" s="1193">
        <f t="shared" si="135"/>
        <v>0</v>
      </c>
      <c r="AM580" s="1193">
        <f t="shared" si="136"/>
        <v>1</v>
      </c>
      <c r="AN580" s="1194" t="str">
        <f>VLOOKUP($I580,'Price List, Weapons &amp; Items'!B:L,COLUMN('Price List, Weapons &amp; Items'!$J$11)-1,0)</f>
        <v>Military media (incl. websites)</v>
      </c>
      <c r="AO580" s="1194" t="str">
        <f>IF(I580=".",".",VLOOKUP($I580,'Price List, Weapons &amp; Items'!B:J,3,0))</f>
        <v>Small Arms and Light Weapons (SALW) ammunition</v>
      </c>
      <c r="AP580" s="1195" t="str">
        <f t="shared" ca="1" si="130"/>
        <v/>
      </c>
      <c r="AQ580" s="1194">
        <f>VLOOKUP($I580,'Price List, Weapons &amp; Items'!B:L,COLUMN('Price List, Weapons &amp; Items'!$L$11)-1,0)</f>
        <v>2</v>
      </c>
      <c r="AR580" s="1194">
        <f t="shared" si="137"/>
        <v>1</v>
      </c>
      <c r="AS580" s="1194">
        <f t="shared" si="138"/>
        <v>1</v>
      </c>
      <c r="AT580" s="1194" t="str">
        <f t="shared" si="139"/>
        <v>Value is not in date format</v>
      </c>
      <c r="AU580" s="1194" t="str">
        <f t="shared" si="140"/>
        <v>.</v>
      </c>
      <c r="AV580" s="1194" t="str">
        <f t="shared" si="131"/>
        <v>.</v>
      </c>
      <c r="AW580" s="1194" t="str">
        <f t="shared" si="141"/>
        <v>.</v>
      </c>
      <c r="AX580" s="1194">
        <f>IFERROR(VLOOKUP(B580,'Share, Heavy Weapons to Ukraine'!B:Z,COLUMN('Share, Heavy Weapons to Ukraine'!C590)-1,0),0)</f>
        <v>0</v>
      </c>
      <c r="AY580" s="1194">
        <f>VLOOKUP('Bilateral Assistance, MAIN DATA'!B580,'Country Summary (€)'!B:F,COLUMN('Country Summary (€)'!C591)-1,FALSE)</f>
        <v>1</v>
      </c>
      <c r="AZ580" s="1194" t="str">
        <f>IF(AND(AD580=1,D580="Military",H580&lt;&gt;"Not given")=TRUE,IF(SUMIFS(P:P,A:A,A580)&gt;0,ABS((SUMIFS(P:P,A:A,A580)/VLOOKUP("USD",'Exchange Rates'!B:C,2,0)))/S580,"."),".")</f>
        <v>.</v>
      </c>
      <c r="BA580" s="1196" t="str">
        <f>IF(AND(AD580=1,D580="Military",H580&lt;&gt;"Not given")=TRUE,IF(SUMIFS(P:P,A:A,A580)&gt;0,IF((ABS((SUMIFS(P:P,A:A,A580)/VLOOKUP("USD",'Exchange Rates'!B:C,2,0)))/S580)&gt;1,(SUMIFS(P:P,A:A,A580)-S580)/S580,(S580-SUMIFS(P:P,A:A,A580))/SUMIFS(P:P,A:A,A580)),"."),".")</f>
        <v>.</v>
      </c>
    </row>
    <row r="581" spans="1:53" ht="15.95" customHeight="1">
      <c r="A581" s="1182" t="s">
        <v>1796</v>
      </c>
      <c r="B581" s="1182" t="s">
        <v>1711</v>
      </c>
      <c r="C581" s="1181" t="s">
        <v>1797</v>
      </c>
      <c r="D581" s="1182" t="s">
        <v>389</v>
      </c>
      <c r="E581" s="1182" t="s">
        <v>1676</v>
      </c>
      <c r="F581" s="1263" t="s">
        <v>1806</v>
      </c>
      <c r="G581" s="1184" t="s">
        <v>483</v>
      </c>
      <c r="H581" s="1185">
        <v>6750000000</v>
      </c>
      <c r="I581" s="1278" t="s">
        <v>1843</v>
      </c>
      <c r="J581" s="1186" t="str">
        <f>VLOOKUP($I581,'Price List, Weapons &amp; Items'!B:C,2,0)</f>
        <v>Heavy weapon</v>
      </c>
      <c r="K581" s="1186" t="str">
        <f>IF(I581=".",I581,VLOOKUP($I581,'Price List, Weapons &amp; Items'!B:D,3,0))</f>
        <v>Self-propelled anti-aircraft weapon</v>
      </c>
      <c r="L581" s="1187">
        <f>VLOOKUP(I581,'Price List, Weapons &amp; Items'!B:E,4,0)</f>
        <v>0</v>
      </c>
      <c r="M581" s="1188">
        <v>30</v>
      </c>
      <c r="N581" s="1188">
        <v>30</v>
      </c>
      <c r="O581" s="1188">
        <f>VLOOKUP($I581,'Price List, Weapons &amp; Items'!B:G,6,0)</f>
        <v>1190651.93</v>
      </c>
      <c r="P581" s="1185">
        <f t="shared" si="132"/>
        <v>35719557.899999999</v>
      </c>
      <c r="Q581" s="1185">
        <f t="shared" si="133"/>
        <v>35719557.899999999</v>
      </c>
      <c r="R581" s="1185" t="str">
        <f t="shared" si="129"/>
        <v/>
      </c>
      <c r="S581" s="1185" t="str">
        <f>IF(AND(AD581=1,R581&lt;&gt;".")=TRUE,R581/VLOOKUP(G581,'Exchange Rates'!B:C,2,0),IF(R581=".",".",""))</f>
        <v/>
      </c>
      <c r="T581" s="1185" t="str">
        <f>IF(AD581=1,IF(AF581="Value is not given at all",".",IF(AF581="Value is given by the source",S581,IF(AF581="Value is calculated with prices",(IF(SUMIFS(Q:Q,A:A,A581)&gt;0,SUMIFS(Q:Q,A:A,A581),"."))/VLOOKUP("USD",'Exchange Rates'!B:C,2,0),"Error with coding"))),"")</f>
        <v/>
      </c>
      <c r="U581" s="1184" t="s">
        <v>365</v>
      </c>
      <c r="V581" s="972" t="s">
        <v>1782</v>
      </c>
      <c r="W581" s="972" t="s">
        <v>1280</v>
      </c>
      <c r="X581" s="972" t="s">
        <v>364</v>
      </c>
      <c r="Y581" s="972" t="s">
        <v>364</v>
      </c>
      <c r="Z581" s="1184">
        <v>0</v>
      </c>
      <c r="AA581" s="1194">
        <v>0</v>
      </c>
      <c r="AB581" s="600" t="s">
        <v>1280</v>
      </c>
      <c r="AC581" s="1192" t="str">
        <f>""</f>
        <v/>
      </c>
      <c r="AD581" s="985">
        <v>0</v>
      </c>
      <c r="AE581" s="1194" t="s">
        <v>368</v>
      </c>
      <c r="AF581" s="985" t="s">
        <v>369</v>
      </c>
      <c r="AG581" s="985">
        <v>1</v>
      </c>
      <c r="AH581" s="985">
        <v>4</v>
      </c>
      <c r="AI581" s="985">
        <v>0</v>
      </c>
      <c r="AJ581" s="1193">
        <f>VLOOKUP($I581,'Price List, Weapons &amp; Items'!B:F,5,0)</f>
        <v>0</v>
      </c>
      <c r="AK581" s="1193">
        <f t="shared" si="134"/>
        <v>0</v>
      </c>
      <c r="AL581" s="1193">
        <f t="shared" si="135"/>
        <v>0</v>
      </c>
      <c r="AM581" s="1193">
        <f t="shared" si="136"/>
        <v>0</v>
      </c>
      <c r="AN581" s="1194" t="str">
        <f>VLOOKUP($I581,'Price List, Weapons &amp; Items'!B:L,COLUMN('Price List, Weapons &amp; Items'!$J$11)-1,0)</f>
        <v>Military media (incl. websites)</v>
      </c>
      <c r="AO581" s="1194" t="str">
        <f>IF(I581=".",".",VLOOKUP($I581,'Price List, Weapons &amp; Items'!B:J,3,0))</f>
        <v>Self-propelled anti-aircraft weapon</v>
      </c>
      <c r="AP581" s="1195" t="str">
        <f t="shared" ca="1" si="130"/>
        <v/>
      </c>
      <c r="AQ581" s="1194">
        <f>VLOOKUP($I581,'Price List, Weapons &amp; Items'!B:L,COLUMN('Price List, Weapons &amp; Items'!$L$11)-1,0)</f>
        <v>2</v>
      </c>
      <c r="AR581" s="1194">
        <f t="shared" si="137"/>
        <v>1</v>
      </c>
      <c r="AS581" s="1194">
        <f t="shared" si="138"/>
        <v>1</v>
      </c>
      <c r="AT581" s="1194" t="str">
        <f t="shared" si="139"/>
        <v>Value is not in date format</v>
      </c>
      <c r="AU581" s="1194" t="str">
        <f t="shared" si="140"/>
        <v>.</v>
      </c>
      <c r="AV581" s="1194" t="str">
        <f t="shared" si="131"/>
        <v>.</v>
      </c>
      <c r="AW581" s="1194" t="str">
        <f t="shared" si="141"/>
        <v>.</v>
      </c>
      <c r="AX581" s="1194">
        <f>IFERROR(VLOOKUP(B581,'Share, Heavy Weapons to Ukraine'!B:Z,COLUMN('Share, Heavy Weapons to Ukraine'!C591)-1,0),0)</f>
        <v>0</v>
      </c>
      <c r="AY581" s="1194">
        <f>VLOOKUP('Bilateral Assistance, MAIN DATA'!B581,'Country Summary (€)'!B:F,COLUMN('Country Summary (€)'!C592)-1,FALSE)</f>
        <v>1</v>
      </c>
      <c r="AZ581" s="1194" t="str">
        <f>IF(AND(AD581=1,D581="Military",H581&lt;&gt;"Not given")=TRUE,IF(SUMIFS(P:P,A:A,A581)&gt;0,ABS((SUMIFS(P:P,A:A,A581)/VLOOKUP("USD",'Exchange Rates'!B:C,2,0)))/S581,"."),".")</f>
        <v>.</v>
      </c>
      <c r="BA581" s="1196" t="str">
        <f>IF(AND(AD581=1,D581="Military",H581&lt;&gt;"Not given")=TRUE,IF(SUMIFS(P:P,A:A,A581)&gt;0,IF((ABS((SUMIFS(P:P,A:A,A581)/VLOOKUP("USD",'Exchange Rates'!B:C,2,0)))/S581)&gt;1,(SUMIFS(P:P,A:A,A581)-S581)/S581,(S581-SUMIFS(P:P,A:A,A581))/SUMIFS(P:P,A:A,A581)),"."),".")</f>
        <v>.</v>
      </c>
    </row>
    <row r="582" spans="1:53" ht="15.95" customHeight="1">
      <c r="A582" s="1182" t="s">
        <v>1796</v>
      </c>
      <c r="B582" s="1182" t="s">
        <v>1711</v>
      </c>
      <c r="C582" s="1181" t="s">
        <v>1797</v>
      </c>
      <c r="D582" s="1182" t="s">
        <v>389</v>
      </c>
      <c r="E582" s="1182" t="s">
        <v>1676</v>
      </c>
      <c r="F582" s="1263" t="s">
        <v>1806</v>
      </c>
      <c r="G582" s="1184" t="s">
        <v>483</v>
      </c>
      <c r="H582" s="1185">
        <v>6750000000</v>
      </c>
      <c r="I582" s="1278" t="s">
        <v>1843</v>
      </c>
      <c r="J582" s="1186" t="str">
        <f>VLOOKUP($I582,'Price List, Weapons &amp; Items'!B:C,2,0)</f>
        <v>Heavy weapon</v>
      </c>
      <c r="K582" s="1186" t="str">
        <f>IF(I582=".",I582,VLOOKUP($I582,'Price List, Weapons &amp; Items'!B:D,3,0))</f>
        <v>Self-propelled anti-aircraft weapon</v>
      </c>
      <c r="L582" s="1187">
        <f>VLOOKUP(I582,'Price List, Weapons &amp; Items'!B:E,4,0)</f>
        <v>0</v>
      </c>
      <c r="M582" s="1188">
        <v>22</v>
      </c>
      <c r="N582" s="1275">
        <v>4</v>
      </c>
      <c r="O582" s="1188">
        <f>VLOOKUP($I582,'Price List, Weapons &amp; Items'!B:G,6,0)</f>
        <v>1190651.93</v>
      </c>
      <c r="P582" s="1185">
        <f t="shared" si="132"/>
        <v>26194342.459999997</v>
      </c>
      <c r="Q582" s="1185">
        <f t="shared" si="133"/>
        <v>4762607.72</v>
      </c>
      <c r="R582" s="1185" t="str">
        <f t="shared" si="129"/>
        <v/>
      </c>
      <c r="S582" s="1185" t="str">
        <f>IF(AND(AD582=1,R582&lt;&gt;".")=TRUE,R582/VLOOKUP(G582,'Exchange Rates'!B:C,2,0),IF(R582=".",".",""))</f>
        <v/>
      </c>
      <c r="T582" s="1185" t="str">
        <f>IF(AD582=1,IF(AF582="Value is not given at all",".",IF(AF582="Value is given by the source",S582,IF(AF582="Value is calculated with prices",(IF(SUMIFS(Q:Q,A:A,A582)&gt;0,SUMIFS(Q:Q,A:A,A582),"."))/VLOOKUP("USD",'Exchange Rates'!B:C,2,0),"Error with coding"))),"")</f>
        <v/>
      </c>
      <c r="U582" s="1184" t="s">
        <v>365</v>
      </c>
      <c r="V582" s="972" t="s">
        <v>1782</v>
      </c>
      <c r="W582" s="972" t="s">
        <v>1280</v>
      </c>
      <c r="X582" s="972" t="s">
        <v>364</v>
      </c>
      <c r="Y582" s="972" t="s">
        <v>364</v>
      </c>
      <c r="Z582" s="1184">
        <v>0</v>
      </c>
      <c r="AA582" s="1194">
        <v>1</v>
      </c>
      <c r="AB582" s="600" t="s">
        <v>1280</v>
      </c>
      <c r="AC582" s="1192" t="str">
        <f>""</f>
        <v/>
      </c>
      <c r="AD582" s="985">
        <v>0</v>
      </c>
      <c r="AE582" s="1194" t="s">
        <v>368</v>
      </c>
      <c r="AF582" s="985" t="s">
        <v>369</v>
      </c>
      <c r="AG582" s="985">
        <v>1</v>
      </c>
      <c r="AH582" s="985">
        <v>12</v>
      </c>
      <c r="AI582" s="985">
        <v>0</v>
      </c>
      <c r="AJ582" s="1193">
        <f>VLOOKUP($I582,'Price List, Weapons &amp; Items'!B:F,5,0)</f>
        <v>0</v>
      </c>
      <c r="AK582" s="1193">
        <f t="shared" si="134"/>
        <v>0</v>
      </c>
      <c r="AL582" s="1193">
        <f t="shared" si="135"/>
        <v>0</v>
      </c>
      <c r="AM582" s="1193">
        <f t="shared" si="136"/>
        <v>0</v>
      </c>
      <c r="AN582" s="1194" t="str">
        <f>VLOOKUP($I582,'Price List, Weapons &amp; Items'!B:L,COLUMN('Price List, Weapons &amp; Items'!$J$11)-1,0)</f>
        <v>Military media (incl. websites)</v>
      </c>
      <c r="AO582" s="1194" t="str">
        <f>IF(I582=".",".",VLOOKUP($I582,'Price List, Weapons &amp; Items'!B:J,3,0))</f>
        <v>Self-propelled anti-aircraft weapon</v>
      </c>
      <c r="AP582" s="1195" t="str">
        <f t="shared" ca="1" si="130"/>
        <v/>
      </c>
      <c r="AQ582" s="1194">
        <f>VLOOKUP($I582,'Price List, Weapons &amp; Items'!B:L,COLUMN('Price List, Weapons &amp; Items'!$L$11)-1,0)</f>
        <v>2</v>
      </c>
      <c r="AR582" s="1194">
        <f t="shared" si="137"/>
        <v>1</v>
      </c>
      <c r="AS582" s="1194">
        <f t="shared" si="138"/>
        <v>1</v>
      </c>
      <c r="AT582" s="1194" t="str">
        <f t="shared" si="139"/>
        <v>Value is not in date format</v>
      </c>
      <c r="AU582" s="1194" t="str">
        <f t="shared" si="140"/>
        <v>.</v>
      </c>
      <c r="AV582" s="1194" t="str">
        <f t="shared" si="131"/>
        <v>.</v>
      </c>
      <c r="AW582" s="1194" t="str">
        <f t="shared" si="141"/>
        <v>.</v>
      </c>
      <c r="AX582" s="1194">
        <f>IFERROR(VLOOKUP(B582,'Share, Heavy Weapons to Ukraine'!B:Z,COLUMN('Share, Heavy Weapons to Ukraine'!C592)-1,0),0)</f>
        <v>0</v>
      </c>
      <c r="AY582" s="1194">
        <f>VLOOKUP('Bilateral Assistance, MAIN DATA'!B582,'Country Summary (€)'!B:F,COLUMN('Country Summary (€)'!C593)-1,FALSE)</f>
        <v>1</v>
      </c>
      <c r="AZ582" s="1194" t="str">
        <f>IF(AND(AD582=1,D582="Military",H582&lt;&gt;"Not given")=TRUE,IF(SUMIFS(P:P,A:A,A582)&gt;0,ABS((SUMIFS(P:P,A:A,A582)/VLOOKUP("USD",'Exchange Rates'!B:C,2,0)))/S582,"."),".")</f>
        <v>.</v>
      </c>
      <c r="BA582" s="1196" t="str">
        <f>IF(AND(AD582=1,D582="Military",H582&lt;&gt;"Not given")=TRUE,IF(SUMIFS(P:P,A:A,A582)&gt;0,IF((ABS((SUMIFS(P:P,A:A,A582)/VLOOKUP("USD",'Exchange Rates'!B:C,2,0)))/S582)&gt;1,(SUMIFS(P:P,A:A,A582)-S582)/S582,(S582-SUMIFS(P:P,A:A,A582))/SUMIFS(P:P,A:A,A582)),"."),".")</f>
        <v>.</v>
      </c>
    </row>
    <row r="583" spans="1:53" ht="15.95" customHeight="1">
      <c r="A583" s="1182" t="s">
        <v>1796</v>
      </c>
      <c r="B583" s="1182" t="s">
        <v>1711</v>
      </c>
      <c r="C583" s="1181" t="s">
        <v>1797</v>
      </c>
      <c r="D583" s="1182" t="s">
        <v>389</v>
      </c>
      <c r="E583" s="1182" t="s">
        <v>1676</v>
      </c>
      <c r="F583" s="1263" t="s">
        <v>1806</v>
      </c>
      <c r="G583" s="1184" t="s">
        <v>483</v>
      </c>
      <c r="H583" s="1185">
        <v>6750000000</v>
      </c>
      <c r="I583" s="1266" t="s">
        <v>1844</v>
      </c>
      <c r="J583" s="1186" t="str">
        <f>VLOOKUP($I583,'Price List, Weapons &amp; Items'!B:C,2,0)</f>
        <v>Military equipment</v>
      </c>
      <c r="K583" s="1186" t="str">
        <f>IF(I583=".",I583,VLOOKUP($I583,'Price List, Weapons &amp; Items'!B:D,3,0))</f>
        <v>non combat military vehicle</v>
      </c>
      <c r="L583" s="1187">
        <f>VLOOKUP(I583,'Price List, Weapons &amp; Items'!B:E,4,0)</f>
        <v>0</v>
      </c>
      <c r="M583" s="1188">
        <v>14</v>
      </c>
      <c r="N583" s="1188">
        <v>14</v>
      </c>
      <c r="O583" s="1188" t="str">
        <f>VLOOKUP($I583,'Price List, Weapons &amp; Items'!B:G,6,0)</f>
        <v>.</v>
      </c>
      <c r="P583" s="1185" t="str">
        <f t="shared" si="132"/>
        <v>No price</v>
      </c>
      <c r="Q583" s="1185" t="str">
        <f t="shared" si="133"/>
        <v>No price</v>
      </c>
      <c r="R583" s="1185" t="str">
        <f t="shared" si="129"/>
        <v/>
      </c>
      <c r="S583" s="1185" t="str">
        <f>IF(AND(AD583=1,R583&lt;&gt;".")=TRUE,R583/VLOOKUP(G583,'Exchange Rates'!B:C,2,0),IF(R583=".",".",""))</f>
        <v/>
      </c>
      <c r="T583" s="1185" t="str">
        <f>IF(AD583=1,IF(AF583="Value is not given at all",".",IF(AF583="Value is given by the source",S583,IF(AF583="Value is calculated with prices",(IF(SUMIFS(Q:Q,A:A,A583)&gt;0,SUMIFS(Q:Q,A:A,A583),"."))/VLOOKUP("USD",'Exchange Rates'!B:C,2,0),"Error with coding"))),"")</f>
        <v/>
      </c>
      <c r="U583" s="1184" t="s">
        <v>365</v>
      </c>
      <c r="V583" s="972" t="s">
        <v>1782</v>
      </c>
      <c r="W583" s="972" t="s">
        <v>1280</v>
      </c>
      <c r="X583" s="972" t="s">
        <v>364</v>
      </c>
      <c r="Y583" s="972" t="s">
        <v>364</v>
      </c>
      <c r="Z583" s="1184">
        <v>0</v>
      </c>
      <c r="AA583" s="1194">
        <v>0</v>
      </c>
      <c r="AB583" s="600" t="s">
        <v>1280</v>
      </c>
      <c r="AC583" s="1192" t="str">
        <f>""</f>
        <v/>
      </c>
      <c r="AD583" s="985">
        <v>0</v>
      </c>
      <c r="AE583" s="1194" t="s">
        <v>368</v>
      </c>
      <c r="AF583" s="985" t="s">
        <v>369</v>
      </c>
      <c r="AG583" s="985">
        <v>0</v>
      </c>
      <c r="AH583" s="985">
        <v>0</v>
      </c>
      <c r="AI583" s="985">
        <v>0</v>
      </c>
      <c r="AJ583" s="1193">
        <f>VLOOKUP($I583,'Price List, Weapons &amp; Items'!B:F,5,0)</f>
        <v>0</v>
      </c>
      <c r="AK583" s="1193">
        <f t="shared" si="134"/>
        <v>0</v>
      </c>
      <c r="AL583" s="1193">
        <f t="shared" si="135"/>
        <v>0</v>
      </c>
      <c r="AM583" s="1193">
        <f t="shared" si="136"/>
        <v>0</v>
      </c>
      <c r="AN583" s="1194" t="str">
        <f>VLOOKUP($I583,'Price List, Weapons &amp; Items'!B:L,COLUMN('Price List, Weapons &amp; Items'!$J$11)-1,0)</f>
        <v>.</v>
      </c>
      <c r="AO583" s="1194" t="str">
        <f>IF(I583=".",".",VLOOKUP($I583,'Price List, Weapons &amp; Items'!B:J,3,0))</f>
        <v>non combat military vehicle</v>
      </c>
      <c r="AP583" s="1195" t="str">
        <f t="shared" ca="1" si="130"/>
        <v/>
      </c>
      <c r="AQ583" s="1194">
        <f>VLOOKUP($I583,'Price List, Weapons &amp; Items'!B:L,COLUMN('Price List, Weapons &amp; Items'!$L$11)-1,0)</f>
        <v>0</v>
      </c>
      <c r="AR583" s="1194">
        <f t="shared" si="137"/>
        <v>1</v>
      </c>
      <c r="AS583" s="1194">
        <f t="shared" si="138"/>
        <v>1</v>
      </c>
      <c r="AT583" s="1194" t="str">
        <f t="shared" si="139"/>
        <v>Value is not in date format</v>
      </c>
      <c r="AU583" s="1194" t="str">
        <f t="shared" si="140"/>
        <v>.</v>
      </c>
      <c r="AV583" s="1194" t="str">
        <f t="shared" si="131"/>
        <v>.</v>
      </c>
      <c r="AW583" s="1194" t="str">
        <f t="shared" si="141"/>
        <v>.</v>
      </c>
      <c r="AX583" s="1194">
        <f>IFERROR(VLOOKUP(B583,'Share, Heavy Weapons to Ukraine'!B:Z,COLUMN('Share, Heavy Weapons to Ukraine'!C593)-1,0),0)</f>
        <v>0</v>
      </c>
      <c r="AY583" s="1194">
        <f>VLOOKUP('Bilateral Assistance, MAIN DATA'!B583,'Country Summary (€)'!B:F,COLUMN('Country Summary (€)'!C594)-1,FALSE)</f>
        <v>1</v>
      </c>
      <c r="AZ583" s="1194" t="str">
        <f>IF(AND(AD583=1,D583="Military",H583&lt;&gt;"Not given")=TRUE,IF(SUMIFS(P:P,A:A,A583)&gt;0,ABS((SUMIFS(P:P,A:A,A583)/VLOOKUP("USD",'Exchange Rates'!B:C,2,0)))/S583,"."),".")</f>
        <v>.</v>
      </c>
      <c r="BA583" s="1196" t="str">
        <f>IF(AND(AD583=1,D583="Military",H583&lt;&gt;"Not given")=TRUE,IF(SUMIFS(P:P,A:A,A583)&gt;0,IF((ABS((SUMIFS(P:P,A:A,A583)/VLOOKUP("USD",'Exchange Rates'!B:C,2,0)))/S583)&gt;1,(SUMIFS(P:P,A:A,A583)-S583)/S583,(S583-SUMIFS(P:P,A:A,A583))/SUMIFS(P:P,A:A,A583)),"."),".")</f>
        <v>.</v>
      </c>
    </row>
    <row r="584" spans="1:53" ht="15.95" customHeight="1">
      <c r="A584" s="1182" t="s">
        <v>1796</v>
      </c>
      <c r="B584" s="1182" t="s">
        <v>1711</v>
      </c>
      <c r="C584" s="1181" t="s">
        <v>1797</v>
      </c>
      <c r="D584" s="1182" t="s">
        <v>389</v>
      </c>
      <c r="E584" s="1182" t="s">
        <v>1676</v>
      </c>
      <c r="F584" s="1263" t="s">
        <v>1806</v>
      </c>
      <c r="G584" s="1184" t="s">
        <v>483</v>
      </c>
      <c r="H584" s="1185">
        <v>6750000000</v>
      </c>
      <c r="I584" s="1266" t="s">
        <v>1845</v>
      </c>
      <c r="J584" s="1186" t="str">
        <f>VLOOKUP($I584,'Price List, Weapons &amp; Items'!B:C,2,0)</f>
        <v>Military equipment</v>
      </c>
      <c r="K584" s="1186" t="str">
        <f>IF(I584=".",I584,VLOOKUP($I584,'Price List, Weapons &amp; Items'!B:D,3,0))</f>
        <v>non combat military vehicle</v>
      </c>
      <c r="L584" s="1187">
        <f>VLOOKUP(I584,'Price List, Weapons &amp; Items'!B:E,4,0)</f>
        <v>0</v>
      </c>
      <c r="M584" s="1188">
        <v>24</v>
      </c>
      <c r="N584" s="1275">
        <v>12</v>
      </c>
      <c r="O584" s="1188">
        <f>VLOOKUP($I584,'Price List, Weapons &amp; Items'!B:G,6,0)</f>
        <v>94550</v>
      </c>
      <c r="P584" s="1185">
        <f t="shared" si="132"/>
        <v>2269200</v>
      </c>
      <c r="Q584" s="1185">
        <f t="shared" si="133"/>
        <v>1134600</v>
      </c>
      <c r="R584" s="1185" t="str">
        <f t="shared" si="129"/>
        <v/>
      </c>
      <c r="S584" s="1185" t="str">
        <f>IF(AND(AD584=1,R584&lt;&gt;".")=TRUE,R584/VLOOKUP(G584,'Exchange Rates'!B:C,2,0),IF(R584=".",".",""))</f>
        <v/>
      </c>
      <c r="T584" s="1185" t="str">
        <f>IF(AD584=1,IF(AF584="Value is not given at all",".",IF(AF584="Value is given by the source",S584,IF(AF584="Value is calculated with prices",(IF(SUMIFS(Q:Q,A:A,A584)&gt;0,SUMIFS(Q:Q,A:A,A584),"."))/VLOOKUP("USD",'Exchange Rates'!B:C,2,0),"Error with coding"))),"")</f>
        <v/>
      </c>
      <c r="U584" s="1184" t="s">
        <v>365</v>
      </c>
      <c r="V584" s="972" t="s">
        <v>1782</v>
      </c>
      <c r="W584" s="972" t="s">
        <v>1280</v>
      </c>
      <c r="X584" s="972" t="s">
        <v>364</v>
      </c>
      <c r="Y584" s="972" t="s">
        <v>364</v>
      </c>
      <c r="Z584" s="1184">
        <v>0</v>
      </c>
      <c r="AA584" s="1194">
        <v>1</v>
      </c>
      <c r="AB584" s="600" t="s">
        <v>1280</v>
      </c>
      <c r="AC584" s="1192" t="str">
        <f>""</f>
        <v/>
      </c>
      <c r="AD584" s="985">
        <v>0</v>
      </c>
      <c r="AE584" s="1194" t="s">
        <v>368</v>
      </c>
      <c r="AF584" s="985" t="s">
        <v>369</v>
      </c>
      <c r="AG584" s="985">
        <v>1</v>
      </c>
      <c r="AH584" s="1193">
        <v>6</v>
      </c>
      <c r="AI584" s="985">
        <v>0</v>
      </c>
      <c r="AJ584" s="1193">
        <f>VLOOKUP($I584,'Price List, Weapons &amp; Items'!B:F,5,0)</f>
        <v>0</v>
      </c>
      <c r="AK584" s="1193">
        <f t="shared" si="134"/>
        <v>0</v>
      </c>
      <c r="AL584" s="1193">
        <f t="shared" si="135"/>
        <v>0</v>
      </c>
      <c r="AM584" s="1193">
        <f t="shared" si="136"/>
        <v>0</v>
      </c>
      <c r="AN584" s="1194" t="str">
        <f>VLOOKUP($I584,'Price List, Weapons &amp; Items'!B:L,COLUMN('Price List, Weapons &amp; Items'!$J$11)-1,0)</f>
        <v>Online marketplaces and stores</v>
      </c>
      <c r="AO584" s="1194" t="str">
        <f>IF(I584=".",".",VLOOKUP($I584,'Price List, Weapons &amp; Items'!B:J,3,0))</f>
        <v>non combat military vehicle</v>
      </c>
      <c r="AP584" s="1195" t="str">
        <f t="shared" ca="1" si="130"/>
        <v/>
      </c>
      <c r="AQ584" s="1194">
        <f>VLOOKUP($I584,'Price List, Weapons &amp; Items'!B:L,COLUMN('Price List, Weapons &amp; Items'!$L$11)-1,0)</f>
        <v>2</v>
      </c>
      <c r="AR584" s="1194">
        <f t="shared" si="137"/>
        <v>1</v>
      </c>
      <c r="AS584" s="1194">
        <f t="shared" si="138"/>
        <v>1</v>
      </c>
      <c r="AT584" s="1194" t="str">
        <f t="shared" si="139"/>
        <v>Value is not in date format</v>
      </c>
      <c r="AU584" s="1194" t="str">
        <f t="shared" si="140"/>
        <v>.</v>
      </c>
      <c r="AV584" s="1194" t="str">
        <f t="shared" si="131"/>
        <v>.</v>
      </c>
      <c r="AW584" s="1194" t="str">
        <f t="shared" si="141"/>
        <v>.</v>
      </c>
      <c r="AX584" s="1194">
        <f>IFERROR(VLOOKUP(B584,'Share, Heavy Weapons to Ukraine'!B:Z,COLUMN('Share, Heavy Weapons to Ukraine'!C594)-1,0),0)</f>
        <v>0</v>
      </c>
      <c r="AY584" s="1194">
        <f>VLOOKUP('Bilateral Assistance, MAIN DATA'!B584,'Country Summary (€)'!B:F,COLUMN('Country Summary (€)'!C595)-1,FALSE)</f>
        <v>1</v>
      </c>
      <c r="AZ584" s="1194" t="str">
        <f>IF(AND(AD584=1,D584="Military",H584&lt;&gt;"Not given")=TRUE,IF(SUMIFS(P:P,A:A,A584)&gt;0,ABS((SUMIFS(P:P,A:A,A584)/VLOOKUP("USD",'Exchange Rates'!B:C,2,0)))/S584,"."),".")</f>
        <v>.</v>
      </c>
      <c r="BA584" s="1196" t="str">
        <f>IF(AND(AD584=1,D584="Military",H584&lt;&gt;"Not given")=TRUE,IF(SUMIFS(P:P,A:A,A584)&gt;0,IF((ABS((SUMIFS(P:P,A:A,A584)/VLOOKUP("USD",'Exchange Rates'!B:C,2,0)))/S584)&gt;1,(SUMIFS(P:P,A:A,A584)-S584)/S584,(S584-SUMIFS(P:P,A:A,A584))/SUMIFS(P:P,A:A,A584)),"."),".")</f>
        <v>.</v>
      </c>
    </row>
    <row r="585" spans="1:53" ht="15.95" customHeight="1">
      <c r="A585" s="1182" t="s">
        <v>1796</v>
      </c>
      <c r="B585" s="1182" t="s">
        <v>1711</v>
      </c>
      <c r="C585" s="1181" t="s">
        <v>1797</v>
      </c>
      <c r="D585" s="1182" t="s">
        <v>389</v>
      </c>
      <c r="E585" s="1182" t="s">
        <v>1676</v>
      </c>
      <c r="F585" s="1263" t="s">
        <v>1806</v>
      </c>
      <c r="G585" s="1184" t="s">
        <v>483</v>
      </c>
      <c r="H585" s="1185">
        <v>6750000000</v>
      </c>
      <c r="I585" s="1266" t="s">
        <v>1846</v>
      </c>
      <c r="J585" s="1186" t="str">
        <f>VLOOKUP($I585,'Price List, Weapons &amp; Items'!B:C,2,0)</f>
        <v>Military equipment</v>
      </c>
      <c r="K585" s="1186" t="str">
        <f>IF(I585=".",I585,VLOOKUP($I585,'Price List, Weapons &amp; Items'!B:D,3,0))</f>
        <v>Military equipment</v>
      </c>
      <c r="L585" s="1187">
        <f>VLOOKUP(I585,'Price List, Weapons &amp; Items'!B:E,4,0)</f>
        <v>0</v>
      </c>
      <c r="M585" s="1188">
        <v>8</v>
      </c>
      <c r="N585" s="1188">
        <v>8</v>
      </c>
      <c r="O585" s="1188">
        <f>VLOOKUP($I585,'Price List, Weapons &amp; Items'!B:G,6,0)</f>
        <v>5000</v>
      </c>
      <c r="P585" s="1185">
        <f t="shared" si="132"/>
        <v>40000</v>
      </c>
      <c r="Q585" s="1185">
        <f t="shared" si="133"/>
        <v>40000</v>
      </c>
      <c r="R585" s="1185" t="str">
        <f t="shared" si="129"/>
        <v/>
      </c>
      <c r="S585" s="1185" t="str">
        <f>IF(AND(AD585=1,R585&lt;&gt;".")=TRUE,R585/VLOOKUP(G585,'Exchange Rates'!B:C,2,0),IF(R585=".",".",""))</f>
        <v/>
      </c>
      <c r="T585" s="1185" t="str">
        <f>IF(AD585=1,IF(AF585="Value is not given at all",".",IF(AF585="Value is given by the source",S585,IF(AF585="Value is calculated with prices",(IF(SUMIFS(Q:Q,A:A,A585)&gt;0,SUMIFS(Q:Q,A:A,A585),"."))/VLOOKUP("USD",'Exchange Rates'!B:C,2,0),"Error with coding"))),"")</f>
        <v/>
      </c>
      <c r="U585" s="1184" t="s">
        <v>365</v>
      </c>
      <c r="V585" s="972" t="s">
        <v>1782</v>
      </c>
      <c r="W585" s="972" t="s">
        <v>1280</v>
      </c>
      <c r="X585" s="972" t="s">
        <v>364</v>
      </c>
      <c r="Y585" s="972" t="s">
        <v>364</v>
      </c>
      <c r="Z585" s="1184">
        <v>0</v>
      </c>
      <c r="AA585" s="1194">
        <v>0</v>
      </c>
      <c r="AB585" s="600" t="s">
        <v>1280</v>
      </c>
      <c r="AC585" s="1192" t="str">
        <f>""</f>
        <v/>
      </c>
      <c r="AD585" s="985">
        <v>0</v>
      </c>
      <c r="AE585" s="1194" t="s">
        <v>368</v>
      </c>
      <c r="AF585" s="985" t="s">
        <v>369</v>
      </c>
      <c r="AG585" s="985">
        <v>0</v>
      </c>
      <c r="AH585" s="985">
        <v>0</v>
      </c>
      <c r="AI585" s="985">
        <v>0</v>
      </c>
      <c r="AJ585" s="1193">
        <f>VLOOKUP($I585,'Price List, Weapons &amp; Items'!B:F,5,0)</f>
        <v>0</v>
      </c>
      <c r="AK585" s="1193">
        <f t="shared" si="134"/>
        <v>0</v>
      </c>
      <c r="AL585" s="1193">
        <f t="shared" si="135"/>
        <v>0</v>
      </c>
      <c r="AM585" s="1193">
        <f t="shared" si="136"/>
        <v>0</v>
      </c>
      <c r="AN585" s="1194" t="str">
        <f>VLOOKUP($I585,'Price List, Weapons &amp; Items'!B:L,COLUMN('Price List, Weapons &amp; Items'!$J$11)-1,0)</f>
        <v>Miscellaneous</v>
      </c>
      <c r="AO585" s="1194" t="str">
        <f>IF(I585=".",".",VLOOKUP($I585,'Price List, Weapons &amp; Items'!B:J,3,0))</f>
        <v>Military equipment</v>
      </c>
      <c r="AP585" s="1195" t="str">
        <f t="shared" ca="1" si="130"/>
        <v/>
      </c>
      <c r="AQ585" s="1194">
        <f>VLOOKUP($I585,'Price List, Weapons &amp; Items'!B:L,COLUMN('Price List, Weapons &amp; Items'!$L$11)-1,0)</f>
        <v>1</v>
      </c>
      <c r="AR585" s="1194">
        <f t="shared" si="137"/>
        <v>1</v>
      </c>
      <c r="AS585" s="1194">
        <f t="shared" si="138"/>
        <v>1</v>
      </c>
      <c r="AT585" s="1194" t="str">
        <f t="shared" si="139"/>
        <v>Value is not in date format</v>
      </c>
      <c r="AU585" s="1194" t="str">
        <f t="shared" si="140"/>
        <v>.</v>
      </c>
      <c r="AV585" s="1194" t="str">
        <f t="shared" si="131"/>
        <v>.</v>
      </c>
      <c r="AW585" s="1194" t="str">
        <f t="shared" si="141"/>
        <v>.</v>
      </c>
      <c r="AX585" s="1194">
        <f>IFERROR(VLOOKUP(B585,'Share, Heavy Weapons to Ukraine'!B:Z,COLUMN('Share, Heavy Weapons to Ukraine'!C595)-1,0),0)</f>
        <v>0</v>
      </c>
      <c r="AY585" s="1194">
        <f>VLOOKUP('Bilateral Assistance, MAIN DATA'!B585,'Country Summary (€)'!B:F,COLUMN('Country Summary (€)'!C596)-1,FALSE)</f>
        <v>1</v>
      </c>
      <c r="AZ585" s="1194" t="str">
        <f>IF(AND(AD585=1,D585="Military",H585&lt;&gt;"Not given")=TRUE,IF(SUMIFS(P:P,A:A,A585)&gt;0,ABS((SUMIFS(P:P,A:A,A585)/VLOOKUP("USD",'Exchange Rates'!B:C,2,0)))/S585,"."),".")</f>
        <v>.</v>
      </c>
      <c r="BA585" s="1196" t="str">
        <f>IF(AND(AD585=1,D585="Military",H585&lt;&gt;"Not given")=TRUE,IF(SUMIFS(P:P,A:A,A585)&gt;0,IF((ABS((SUMIFS(P:P,A:A,A585)/VLOOKUP("USD",'Exchange Rates'!B:C,2,0)))/S585)&gt;1,(SUMIFS(P:P,A:A,A585)-S585)/S585,(S585-SUMIFS(P:P,A:A,A585))/SUMIFS(P:P,A:A,A585)),"."),".")</f>
        <v>.</v>
      </c>
    </row>
    <row r="586" spans="1:53" ht="15.95" customHeight="1">
      <c r="A586" s="1182" t="s">
        <v>1796</v>
      </c>
      <c r="B586" s="1182" t="s">
        <v>1711</v>
      </c>
      <c r="C586" s="1181" t="s">
        <v>1797</v>
      </c>
      <c r="D586" s="1182" t="s">
        <v>389</v>
      </c>
      <c r="E586" s="1182" t="s">
        <v>1676</v>
      </c>
      <c r="F586" s="1263" t="s">
        <v>1806</v>
      </c>
      <c r="G586" s="1184" t="s">
        <v>483</v>
      </c>
      <c r="H586" s="1185">
        <v>6750000000</v>
      </c>
      <c r="I586" s="1266" t="s">
        <v>1847</v>
      </c>
      <c r="J586" s="1186" t="str">
        <f>VLOOKUP($I586,'Price List, Weapons &amp; Items'!B:C,2,0)</f>
        <v>Military equipment</v>
      </c>
      <c r="K586" s="1186" t="str">
        <f>IF(I586=".",I586,VLOOKUP($I586,'Price List, Weapons &amp; Items'!B:D,3,0))</f>
        <v>non combat military vehicle</v>
      </c>
      <c r="L586" s="1187">
        <f>VLOOKUP(I586,'Price List, Weapons &amp; Items'!B:E,4,0)</f>
        <v>0</v>
      </c>
      <c r="M586" s="1188">
        <v>2</v>
      </c>
      <c r="N586" s="1188">
        <v>0</v>
      </c>
      <c r="O586" s="1188" t="str">
        <f>VLOOKUP($I586,'Price List, Weapons &amp; Items'!B:G,6,0)</f>
        <v>.</v>
      </c>
      <c r="P586" s="1185" t="str">
        <f t="shared" si="132"/>
        <v>No price</v>
      </c>
      <c r="Q586" s="1185" t="str">
        <f t="shared" si="133"/>
        <v>No price</v>
      </c>
      <c r="R586" s="1185" t="str">
        <f t="shared" si="129"/>
        <v/>
      </c>
      <c r="S586" s="1185" t="str">
        <f>IF(AND(AD586=1,R586&lt;&gt;".")=TRUE,R586/VLOOKUP(G586,'Exchange Rates'!B:C,2,0),IF(R586=".",".",""))</f>
        <v/>
      </c>
      <c r="T586" s="1185" t="str">
        <f>IF(AD586=1,IF(AF586="Value is not given at all",".",IF(AF586="Value is given by the source",S586,IF(AF586="Value is calculated with prices",(IF(SUMIFS(Q:Q,A:A,A586)&gt;0,SUMIFS(Q:Q,A:A,A586),"."))/VLOOKUP("USD",'Exchange Rates'!B:C,2,0),"Error with coding"))),"")</f>
        <v/>
      </c>
      <c r="U586" s="1184" t="s">
        <v>365</v>
      </c>
      <c r="V586" s="972" t="s">
        <v>1782</v>
      </c>
      <c r="W586" s="972" t="s">
        <v>1280</v>
      </c>
      <c r="X586" s="972" t="s">
        <v>364</v>
      </c>
      <c r="Y586" s="972" t="s">
        <v>364</v>
      </c>
      <c r="Z586" s="1184">
        <v>0</v>
      </c>
      <c r="AA586" s="1194">
        <v>0</v>
      </c>
      <c r="AB586" s="600" t="s">
        <v>1280</v>
      </c>
      <c r="AC586" s="1192" t="str">
        <f>""</f>
        <v/>
      </c>
      <c r="AD586" s="985">
        <v>0</v>
      </c>
      <c r="AE586" s="1194" t="s">
        <v>368</v>
      </c>
      <c r="AF586" s="985" t="s">
        <v>369</v>
      </c>
      <c r="AG586" s="985">
        <v>0</v>
      </c>
      <c r="AH586" s="985">
        <v>0</v>
      </c>
      <c r="AI586" s="985">
        <v>0</v>
      </c>
      <c r="AJ586" s="1193">
        <f>VLOOKUP($I586,'Price List, Weapons &amp; Items'!B:F,5,0)</f>
        <v>0</v>
      </c>
      <c r="AK586" s="1193">
        <f t="shared" si="134"/>
        <v>0</v>
      </c>
      <c r="AL586" s="1193">
        <f t="shared" si="135"/>
        <v>0</v>
      </c>
      <c r="AM586" s="1193">
        <f t="shared" si="136"/>
        <v>0</v>
      </c>
      <c r="AN586" s="1194" t="str">
        <f>VLOOKUP($I586,'Price List, Weapons &amp; Items'!B:L,COLUMN('Price List, Weapons &amp; Items'!$J$11)-1,0)</f>
        <v>.</v>
      </c>
      <c r="AO586" s="1194" t="str">
        <f>IF(I586=".",".",VLOOKUP($I586,'Price List, Weapons &amp; Items'!B:J,3,0))</f>
        <v>non combat military vehicle</v>
      </c>
      <c r="AP586" s="1195" t="str">
        <f t="shared" ca="1" si="130"/>
        <v/>
      </c>
      <c r="AQ586" s="1194">
        <f>VLOOKUP($I586,'Price List, Weapons &amp; Items'!B:L,COLUMN('Price List, Weapons &amp; Items'!$L$11)-1,0)</f>
        <v>0</v>
      </c>
      <c r="AR586" s="1194">
        <f t="shared" si="137"/>
        <v>1</v>
      </c>
      <c r="AS586" s="1194">
        <f t="shared" si="138"/>
        <v>1</v>
      </c>
      <c r="AT586" s="1194" t="str">
        <f t="shared" si="139"/>
        <v>Value is not in date format</v>
      </c>
      <c r="AU586" s="1194" t="str">
        <f t="shared" si="140"/>
        <v>.</v>
      </c>
      <c r="AV586" s="1194" t="str">
        <f t="shared" si="131"/>
        <v>.</v>
      </c>
      <c r="AW586" s="1194" t="str">
        <f t="shared" si="141"/>
        <v>.</v>
      </c>
      <c r="AX586" s="1194">
        <f>IFERROR(VLOOKUP(B586,'Share, Heavy Weapons to Ukraine'!B:Z,COLUMN('Share, Heavy Weapons to Ukraine'!C596)-1,0),0)</f>
        <v>0</v>
      </c>
      <c r="AY586" s="1194">
        <f>VLOOKUP('Bilateral Assistance, MAIN DATA'!B586,'Country Summary (€)'!B:F,COLUMN('Country Summary (€)'!C597)-1,FALSE)</f>
        <v>1</v>
      </c>
      <c r="AZ586" s="1194" t="str">
        <f>IF(AND(AD586=1,D586="Military",H586&lt;&gt;"Not given")=TRUE,IF(SUMIFS(P:P,A:A,A586)&gt;0,ABS((SUMIFS(P:P,A:A,A586)/VLOOKUP("USD",'Exchange Rates'!B:C,2,0)))/S586,"."),".")</f>
        <v>.</v>
      </c>
      <c r="BA586" s="1196" t="str">
        <f>IF(AND(AD586=1,D586="Military",H586&lt;&gt;"Not given")=TRUE,IF(SUMIFS(P:P,A:A,A586)&gt;0,IF((ABS((SUMIFS(P:P,A:A,A586)/VLOOKUP("USD",'Exchange Rates'!B:C,2,0)))/S586)&gt;1,(SUMIFS(P:P,A:A,A586)-S586)/S586,(S586-SUMIFS(P:P,A:A,A586))/SUMIFS(P:P,A:A,A586)),"."),".")</f>
        <v>.</v>
      </c>
    </row>
    <row r="587" spans="1:53" ht="15.95" customHeight="1">
      <c r="A587" s="1182" t="s">
        <v>1796</v>
      </c>
      <c r="B587" s="1182" t="s">
        <v>1711</v>
      </c>
      <c r="C587" s="1181" t="s">
        <v>1797</v>
      </c>
      <c r="D587" s="1182" t="s">
        <v>389</v>
      </c>
      <c r="E587" s="1182" t="s">
        <v>1676</v>
      </c>
      <c r="F587" s="1263" t="s">
        <v>1806</v>
      </c>
      <c r="G587" s="1184" t="s">
        <v>483</v>
      </c>
      <c r="H587" s="1185">
        <v>6750000000</v>
      </c>
      <c r="I587" s="1266" t="s">
        <v>1848</v>
      </c>
      <c r="J587" s="1186" t="str">
        <f>VLOOKUP($I587,'Price List, Weapons &amp; Items'!B:C,2,0)</f>
        <v>Military equipment</v>
      </c>
      <c r="K587" s="1186" t="str">
        <f>IF(I587=".",I587,VLOOKUP($I587,'Price List, Weapons &amp; Items'!B:D,3,0))</f>
        <v>non combat military vehicle</v>
      </c>
      <c r="L587" s="1187">
        <f>VLOOKUP(I587,'Price List, Weapons &amp; Items'!B:E,4,0)</f>
        <v>0</v>
      </c>
      <c r="M587" s="1188">
        <v>4</v>
      </c>
      <c r="N587" s="1188">
        <v>0</v>
      </c>
      <c r="O587" s="1188">
        <f>VLOOKUP($I587,'Price List, Weapons &amp; Items'!B:G,6,0)</f>
        <v>50000</v>
      </c>
      <c r="P587" s="1185">
        <f t="shared" si="132"/>
        <v>200000</v>
      </c>
      <c r="Q587" s="1185">
        <f t="shared" si="133"/>
        <v>0</v>
      </c>
      <c r="R587" s="1185" t="str">
        <f t="shared" si="129"/>
        <v/>
      </c>
      <c r="S587" s="1185" t="str">
        <f>IF(AND(AD587=1,R587&lt;&gt;".")=TRUE,R587/VLOOKUP(G587,'Exchange Rates'!B:C,2,0),IF(R587=".",".",""))</f>
        <v/>
      </c>
      <c r="T587" s="1185" t="str">
        <f>IF(AD587=1,IF(AF587="Value is not given at all",".",IF(AF587="Value is given by the source",S587,IF(AF587="Value is calculated with prices",(IF(SUMIFS(Q:Q,A:A,A587)&gt;0,SUMIFS(Q:Q,A:A,A587),"."))/VLOOKUP("USD",'Exchange Rates'!B:C,2,0),"Error with coding"))),"")</f>
        <v/>
      </c>
      <c r="U587" s="1184" t="s">
        <v>365</v>
      </c>
      <c r="V587" s="972" t="s">
        <v>1782</v>
      </c>
      <c r="W587" s="972" t="s">
        <v>1280</v>
      </c>
      <c r="X587" s="972" t="s">
        <v>364</v>
      </c>
      <c r="Y587" s="972" t="s">
        <v>364</v>
      </c>
      <c r="Z587" s="1184">
        <v>0</v>
      </c>
      <c r="AA587" s="1194">
        <v>0</v>
      </c>
      <c r="AB587" s="600" t="s">
        <v>1280</v>
      </c>
      <c r="AC587" s="1192" t="str">
        <f>""</f>
        <v/>
      </c>
      <c r="AD587" s="985">
        <v>0</v>
      </c>
      <c r="AE587" s="1194" t="s">
        <v>368</v>
      </c>
      <c r="AF587" s="985" t="s">
        <v>369</v>
      </c>
      <c r="AG587" s="985">
        <v>0</v>
      </c>
      <c r="AH587" s="985">
        <v>0</v>
      </c>
      <c r="AI587" s="985">
        <v>0</v>
      </c>
      <c r="AJ587" s="1193">
        <f>VLOOKUP($I587,'Price List, Weapons &amp; Items'!B:F,5,0)</f>
        <v>0</v>
      </c>
      <c r="AK587" s="1193">
        <f t="shared" si="134"/>
        <v>0</v>
      </c>
      <c r="AL587" s="1193">
        <f t="shared" si="135"/>
        <v>0</v>
      </c>
      <c r="AM587" s="1193">
        <f t="shared" si="136"/>
        <v>0</v>
      </c>
      <c r="AN587" s="1194" t="str">
        <f>VLOOKUP($I587,'Price List, Weapons &amp; Items'!B:L,COLUMN('Price List, Weapons &amp; Items'!$J$11)-1,0)</f>
        <v>Miscellaneous</v>
      </c>
      <c r="AO587" s="1194" t="str">
        <f>IF(I587=".",".",VLOOKUP($I587,'Price List, Weapons &amp; Items'!B:J,3,0))</f>
        <v>non combat military vehicle</v>
      </c>
      <c r="AP587" s="1195" t="str">
        <f t="shared" ca="1" si="130"/>
        <v/>
      </c>
      <c r="AQ587" s="1194">
        <f>VLOOKUP($I587,'Price List, Weapons &amp; Items'!B:L,COLUMN('Price List, Weapons &amp; Items'!$L$11)-1,0)</f>
        <v>2</v>
      </c>
      <c r="AR587" s="1194">
        <f t="shared" si="137"/>
        <v>1</v>
      </c>
      <c r="AS587" s="1194">
        <f t="shared" si="138"/>
        <v>1</v>
      </c>
      <c r="AT587" s="1194" t="str">
        <f t="shared" si="139"/>
        <v>Value is not in date format</v>
      </c>
      <c r="AU587" s="1194" t="str">
        <f t="shared" si="140"/>
        <v>.</v>
      </c>
      <c r="AV587" s="1194" t="str">
        <f t="shared" si="131"/>
        <v>.</v>
      </c>
      <c r="AW587" s="1194" t="str">
        <f t="shared" si="141"/>
        <v>.</v>
      </c>
      <c r="AX587" s="1194">
        <f>IFERROR(VLOOKUP(B587,'Share, Heavy Weapons to Ukraine'!B:Z,COLUMN('Share, Heavy Weapons to Ukraine'!C597)-1,0),0)</f>
        <v>0</v>
      </c>
      <c r="AY587" s="1194">
        <f>VLOOKUP('Bilateral Assistance, MAIN DATA'!B587,'Country Summary (€)'!B:F,COLUMN('Country Summary (€)'!C598)-1,FALSE)</f>
        <v>1</v>
      </c>
      <c r="AZ587" s="1194" t="str">
        <f>IF(AND(AD587=1,D587="Military",H587&lt;&gt;"Not given")=TRUE,IF(SUMIFS(P:P,A:A,A587)&gt;0,ABS((SUMIFS(P:P,A:A,A587)/VLOOKUP("USD",'Exchange Rates'!B:C,2,0)))/S587,"."),".")</f>
        <v>.</v>
      </c>
      <c r="BA587" s="1196" t="str">
        <f>IF(AND(AD587=1,D587="Military",H587&lt;&gt;"Not given")=TRUE,IF(SUMIFS(P:P,A:A,A587)&gt;0,IF((ABS((SUMIFS(P:P,A:A,A587)/VLOOKUP("USD",'Exchange Rates'!B:C,2,0)))/S587)&gt;1,(SUMIFS(P:P,A:A,A587)-S587)/S587,(S587-SUMIFS(P:P,A:A,A587))/SUMIFS(P:P,A:A,A587)),"."),".")</f>
        <v>.</v>
      </c>
    </row>
    <row r="588" spans="1:53" ht="15.95" customHeight="1">
      <c r="A588" s="1182" t="s">
        <v>1796</v>
      </c>
      <c r="B588" s="1182" t="s">
        <v>1711</v>
      </c>
      <c r="C588" s="1181" t="s">
        <v>1797</v>
      </c>
      <c r="D588" s="1182" t="s">
        <v>389</v>
      </c>
      <c r="E588" s="1182" t="s">
        <v>1676</v>
      </c>
      <c r="F588" s="1263" t="s">
        <v>1806</v>
      </c>
      <c r="G588" s="1184" t="s">
        <v>483</v>
      </c>
      <c r="H588" s="1185">
        <v>6750000000</v>
      </c>
      <c r="I588" s="1266" t="s">
        <v>1548</v>
      </c>
      <c r="J588" s="1186" t="str">
        <f>VLOOKUP($I588,'Price List, Weapons &amp; Items'!B:C,2,0)</f>
        <v>Military equipment</v>
      </c>
      <c r="K588" s="1186" t="str">
        <f>IF(I588=".",I588,VLOOKUP($I588,'Price List, Weapons &amp; Items'!B:D,3,0))</f>
        <v>non combat military vehicle</v>
      </c>
      <c r="L588" s="1187">
        <f>VLOOKUP(I588,'Price List, Weapons &amp; Items'!B:E,4,0)</f>
        <v>0</v>
      </c>
      <c r="M588" s="1188">
        <v>172</v>
      </c>
      <c r="N588" s="1188">
        <v>0</v>
      </c>
      <c r="O588" s="1188">
        <f>VLOOKUP($I588,'Price List, Weapons &amp; Items'!B:G,6,0)</f>
        <v>350000</v>
      </c>
      <c r="P588" s="1185">
        <f t="shared" si="132"/>
        <v>60200000</v>
      </c>
      <c r="Q588" s="1185">
        <f t="shared" si="133"/>
        <v>0</v>
      </c>
      <c r="R588" s="1185" t="str">
        <f t="shared" si="129"/>
        <v/>
      </c>
      <c r="S588" s="1185" t="str">
        <f>IF(AND(AD588=1,R588&lt;&gt;".")=TRUE,R588/VLOOKUP(G588,'Exchange Rates'!B:C,2,0),IF(R588=".",".",""))</f>
        <v/>
      </c>
      <c r="T588" s="1185" t="str">
        <f>IF(AD588=1,IF(AF588="Value is not given at all",".",IF(AF588="Value is given by the source",S588,IF(AF588="Value is calculated with prices",(IF(SUMIFS(Q:Q,A:A,A588)&gt;0,SUMIFS(Q:Q,A:A,A588),"."))/VLOOKUP("USD",'Exchange Rates'!B:C,2,0),"Error with coding"))),"")</f>
        <v/>
      </c>
      <c r="U588" s="1184" t="s">
        <v>365</v>
      </c>
      <c r="V588" s="972" t="s">
        <v>1782</v>
      </c>
      <c r="W588" s="972" t="s">
        <v>1280</v>
      </c>
      <c r="X588" s="972" t="s">
        <v>364</v>
      </c>
      <c r="Y588" s="972" t="s">
        <v>364</v>
      </c>
      <c r="Z588" s="1184">
        <v>0</v>
      </c>
      <c r="AA588" s="1194">
        <v>0</v>
      </c>
      <c r="AB588" s="600" t="s">
        <v>1280</v>
      </c>
      <c r="AC588" s="1192" t="str">
        <f>""</f>
        <v/>
      </c>
      <c r="AD588" s="985">
        <v>0</v>
      </c>
      <c r="AE588" s="1194" t="s">
        <v>368</v>
      </c>
      <c r="AF588" s="985" t="s">
        <v>369</v>
      </c>
      <c r="AG588" s="985">
        <v>0</v>
      </c>
      <c r="AH588" s="985">
        <v>0</v>
      </c>
      <c r="AI588" s="985">
        <v>0</v>
      </c>
      <c r="AJ588" s="1193">
        <f>VLOOKUP($I588,'Price List, Weapons &amp; Items'!B:F,5,0)</f>
        <v>0</v>
      </c>
      <c r="AK588" s="1193">
        <f t="shared" si="134"/>
        <v>0</v>
      </c>
      <c r="AL588" s="1193">
        <f t="shared" si="135"/>
        <v>0</v>
      </c>
      <c r="AM588" s="1193">
        <f t="shared" si="136"/>
        <v>0</v>
      </c>
      <c r="AN588" s="1194" t="str">
        <f>VLOOKUP($I588,'Price List, Weapons &amp; Items'!B:L,COLUMN('Price List, Weapons &amp; Items'!$J$11)-1,0)</f>
        <v>Media reports (incl. social media)</v>
      </c>
      <c r="AO588" s="1194" t="str">
        <f>IF(I588=".",".",VLOOKUP($I588,'Price List, Weapons &amp; Items'!B:J,3,0))</f>
        <v>non combat military vehicle</v>
      </c>
      <c r="AP588" s="1195" t="str">
        <f t="shared" ca="1" si="130"/>
        <v/>
      </c>
      <c r="AQ588" s="1194">
        <f>VLOOKUP($I588,'Price List, Weapons &amp; Items'!B:L,COLUMN('Price List, Weapons &amp; Items'!$L$11)-1,0)</f>
        <v>2</v>
      </c>
      <c r="AR588" s="1194">
        <f t="shared" si="137"/>
        <v>1</v>
      </c>
      <c r="AS588" s="1194">
        <f t="shared" si="138"/>
        <v>1</v>
      </c>
      <c r="AT588" s="1194" t="str">
        <f t="shared" si="139"/>
        <v>Value is not in date format</v>
      </c>
      <c r="AU588" s="1194" t="str">
        <f t="shared" si="140"/>
        <v>.</v>
      </c>
      <c r="AV588" s="1194" t="str">
        <f t="shared" si="131"/>
        <v>.</v>
      </c>
      <c r="AW588" s="1194" t="str">
        <f t="shared" si="141"/>
        <v>.</v>
      </c>
      <c r="AX588" s="1194">
        <f>IFERROR(VLOOKUP(B588,'Share, Heavy Weapons to Ukraine'!B:Z,COLUMN('Share, Heavy Weapons to Ukraine'!C598)-1,0),0)</f>
        <v>0</v>
      </c>
      <c r="AY588" s="1194">
        <f>VLOOKUP('Bilateral Assistance, MAIN DATA'!B588,'Country Summary (€)'!B:F,COLUMN('Country Summary (€)'!C599)-1,FALSE)</f>
        <v>1</v>
      </c>
      <c r="AZ588" s="1194" t="str">
        <f>IF(AND(AD588=1,D588="Military",H588&lt;&gt;"Not given")=TRUE,IF(SUMIFS(P:P,A:A,A588)&gt;0,ABS((SUMIFS(P:P,A:A,A588)/VLOOKUP("USD",'Exchange Rates'!B:C,2,0)))/S588,"."),".")</f>
        <v>.</v>
      </c>
      <c r="BA588" s="1196" t="str">
        <f>IF(AND(AD588=1,D588="Military",H588&lt;&gt;"Not given")=TRUE,IF(SUMIFS(P:P,A:A,A588)&gt;0,IF((ABS((SUMIFS(P:P,A:A,A588)/VLOOKUP("USD",'Exchange Rates'!B:C,2,0)))/S588)&gt;1,(SUMIFS(P:P,A:A,A588)-S588)/S588,(S588-SUMIFS(P:P,A:A,A588))/SUMIFS(P:P,A:A,A588)),"."),".")</f>
        <v>.</v>
      </c>
    </row>
    <row r="589" spans="1:53" ht="15.95" customHeight="1">
      <c r="A589" s="1182" t="s">
        <v>1796</v>
      </c>
      <c r="B589" s="1182" t="s">
        <v>1711</v>
      </c>
      <c r="C589" s="1181" t="s">
        <v>1797</v>
      </c>
      <c r="D589" s="1182" t="s">
        <v>389</v>
      </c>
      <c r="E589" s="1182" t="s">
        <v>1676</v>
      </c>
      <c r="F589" s="1263" t="s">
        <v>1806</v>
      </c>
      <c r="G589" s="1184" t="s">
        <v>483</v>
      </c>
      <c r="H589" s="1185">
        <v>6750000000</v>
      </c>
      <c r="I589" s="1266" t="s">
        <v>1849</v>
      </c>
      <c r="J589" s="1186" t="str">
        <f>VLOOKUP($I589,'Price List, Weapons &amp; Items'!B:C,2,0)</f>
        <v>Military equipment</v>
      </c>
      <c r="K589" s="1186" t="str">
        <f>IF(I589=".",I589,VLOOKUP($I589,'Price List, Weapons &amp; Items'!B:D,3,0))</f>
        <v>Armored Utility Vehicle (AUV)</v>
      </c>
      <c r="L589" s="1187">
        <f>VLOOKUP(I589,'Price List, Weapons &amp; Items'!B:E,4,0)</f>
        <v>0</v>
      </c>
      <c r="M589" s="1188">
        <v>14</v>
      </c>
      <c r="N589" s="1275">
        <v>14</v>
      </c>
      <c r="O589" s="1188">
        <f>VLOOKUP($I589,'Price List, Weapons &amp; Items'!B:G,6,0)</f>
        <v>120000</v>
      </c>
      <c r="P589" s="1185">
        <f t="shared" si="132"/>
        <v>1680000</v>
      </c>
      <c r="Q589" s="1185">
        <f t="shared" si="133"/>
        <v>1680000</v>
      </c>
      <c r="R589" s="1185" t="str">
        <f t="shared" si="129"/>
        <v/>
      </c>
      <c r="S589" s="1185" t="str">
        <f>IF(AND(AD589=1,R589&lt;&gt;".")=TRUE,R589/VLOOKUP(G589,'Exchange Rates'!B:C,2,0),IF(R589=".",".",""))</f>
        <v/>
      </c>
      <c r="T589" s="1185" t="str">
        <f>IF(AD589=1,IF(AF589="Value is not given at all",".",IF(AF589="Value is given by the source",S589,IF(AF589="Value is calculated with prices",(IF(SUMIFS(Q:Q,A:A,A589)&gt;0,SUMIFS(Q:Q,A:A,A589),"."))/VLOOKUP("USD",'Exchange Rates'!B:C,2,0),"Error with coding"))),"")</f>
        <v/>
      </c>
      <c r="U589" s="1184" t="s">
        <v>365</v>
      </c>
      <c r="V589" s="972" t="s">
        <v>1782</v>
      </c>
      <c r="W589" s="972" t="s">
        <v>1280</v>
      </c>
      <c r="X589" s="972" t="s">
        <v>364</v>
      </c>
      <c r="Y589" s="972" t="s">
        <v>364</v>
      </c>
      <c r="Z589" s="1184">
        <v>0</v>
      </c>
      <c r="AA589" s="1194">
        <v>1</v>
      </c>
      <c r="AB589" s="600" t="s">
        <v>1280</v>
      </c>
      <c r="AC589" s="1192" t="str">
        <f>""</f>
        <v/>
      </c>
      <c r="AD589" s="985">
        <v>0</v>
      </c>
      <c r="AE589" s="1194" t="s">
        <v>368</v>
      </c>
      <c r="AF589" s="985" t="s">
        <v>369</v>
      </c>
      <c r="AG589" s="985">
        <v>0</v>
      </c>
      <c r="AH589" s="985">
        <v>0</v>
      </c>
      <c r="AI589" s="985">
        <v>0</v>
      </c>
      <c r="AJ589" s="1193">
        <f>VLOOKUP($I589,'Price List, Weapons &amp; Items'!B:F,5,0)</f>
        <v>1</v>
      </c>
      <c r="AK589" s="1193">
        <f t="shared" si="134"/>
        <v>0</v>
      </c>
      <c r="AL589" s="1193">
        <f t="shared" si="135"/>
        <v>0</v>
      </c>
      <c r="AM589" s="1193">
        <f t="shared" si="136"/>
        <v>0</v>
      </c>
      <c r="AN589" s="1194" t="str">
        <f>VLOOKUP($I589,'Price List, Weapons &amp; Items'!B:L,COLUMN('Price List, Weapons &amp; Items'!$J$11)-1,0)</f>
        <v>Online marketplaces and stores</v>
      </c>
      <c r="AO589" s="1194" t="str">
        <f>IF(I589=".",".",VLOOKUP($I589,'Price List, Weapons &amp; Items'!B:J,3,0))</f>
        <v>Armored Utility Vehicle (AUV)</v>
      </c>
      <c r="AP589" s="1195" t="str">
        <f t="shared" ca="1" si="130"/>
        <v/>
      </c>
      <c r="AQ589" s="1194">
        <f>VLOOKUP($I589,'Price List, Weapons &amp; Items'!B:L,COLUMN('Price List, Weapons &amp; Items'!$L$11)-1,0)</f>
        <v>2</v>
      </c>
      <c r="AR589" s="1194">
        <f t="shared" si="137"/>
        <v>1</v>
      </c>
      <c r="AS589" s="1194">
        <f t="shared" si="138"/>
        <v>1</v>
      </c>
      <c r="AT589" s="1194" t="str">
        <f t="shared" si="139"/>
        <v>Value is not in date format</v>
      </c>
      <c r="AU589" s="1194" t="str">
        <f t="shared" si="140"/>
        <v>.</v>
      </c>
      <c r="AV589" s="1194" t="str">
        <f t="shared" si="131"/>
        <v>.</v>
      </c>
      <c r="AW589" s="1194" t="str">
        <f t="shared" si="141"/>
        <v>.</v>
      </c>
      <c r="AX589" s="1194">
        <f>IFERROR(VLOOKUP(B589,'Share, Heavy Weapons to Ukraine'!B:Z,COLUMN('Share, Heavy Weapons to Ukraine'!C599)-1,0),0)</f>
        <v>0</v>
      </c>
      <c r="AY589" s="1194">
        <f>VLOOKUP('Bilateral Assistance, MAIN DATA'!B589,'Country Summary (€)'!B:F,COLUMN('Country Summary (€)'!C600)-1,FALSE)</f>
        <v>1</v>
      </c>
      <c r="AZ589" s="1194" t="str">
        <f>IF(AND(AD589=1,D589="Military",H589&lt;&gt;"Not given")=TRUE,IF(SUMIFS(P:P,A:A,A589)&gt;0,ABS((SUMIFS(P:P,A:A,A589)/VLOOKUP("USD",'Exchange Rates'!B:C,2,0)))/S589,"."),".")</f>
        <v>.</v>
      </c>
      <c r="BA589" s="1196" t="str">
        <f>IF(AND(AD589=1,D589="Military",H589&lt;&gt;"Not given")=TRUE,IF(SUMIFS(P:P,A:A,A589)&gt;0,IF((ABS((SUMIFS(P:P,A:A,A589)/VLOOKUP("USD",'Exchange Rates'!B:C,2,0)))/S589)&gt;1,(SUMIFS(P:P,A:A,A589)-S589)/S589,(S589-SUMIFS(P:P,A:A,A589))/SUMIFS(P:P,A:A,A589)),"."),".")</f>
        <v>.</v>
      </c>
    </row>
    <row r="590" spans="1:53" ht="15.95" customHeight="1">
      <c r="A590" s="1182" t="s">
        <v>1796</v>
      </c>
      <c r="B590" s="1182" t="s">
        <v>1711</v>
      </c>
      <c r="C590" s="1181" t="s">
        <v>1797</v>
      </c>
      <c r="D590" s="1182" t="s">
        <v>389</v>
      </c>
      <c r="E590" s="1182" t="s">
        <v>1676</v>
      </c>
      <c r="F590" s="1263" t="s">
        <v>1806</v>
      </c>
      <c r="G590" s="1184" t="s">
        <v>483</v>
      </c>
      <c r="H590" s="1185">
        <v>6750000000</v>
      </c>
      <c r="I590" s="1266" t="s">
        <v>1850</v>
      </c>
      <c r="J590" s="1186" t="str">
        <f>VLOOKUP($I590,'Price List, Weapons &amp; Items'!B:C,2,0)</f>
        <v>Military equipment</v>
      </c>
      <c r="K590" s="1186" t="str">
        <f>IF(I590=".",I590,VLOOKUP($I590,'Price List, Weapons &amp; Items'!B:D,3,0))</f>
        <v>Patrol and coastal combatants</v>
      </c>
      <c r="L590" s="1187">
        <f>VLOOKUP(I590,'Price List, Weapons &amp; Items'!B:E,4,0)</f>
        <v>0</v>
      </c>
      <c r="M590" s="1188">
        <v>10</v>
      </c>
      <c r="N590" s="1188">
        <v>10</v>
      </c>
      <c r="O590" s="1188">
        <f>VLOOKUP($I590,'Price List, Weapons &amp; Items'!B:G,6,0)</f>
        <v>2548204.5789999999</v>
      </c>
      <c r="P590" s="1185">
        <f t="shared" si="132"/>
        <v>25482045.789999999</v>
      </c>
      <c r="Q590" s="1185">
        <f t="shared" si="133"/>
        <v>25482045.789999999</v>
      </c>
      <c r="R590" s="1185" t="str">
        <f t="shared" si="129"/>
        <v/>
      </c>
      <c r="S590" s="1185" t="str">
        <f>IF(AND(AD590=1,R590&lt;&gt;".")=TRUE,R590/VLOOKUP(G590,'Exchange Rates'!B:C,2,0),IF(R590=".",".",""))</f>
        <v/>
      </c>
      <c r="T590" s="1185" t="str">
        <f>IF(AD590=1,IF(AF590="Value is not given at all",".",IF(AF590="Value is given by the source",S590,IF(AF590="Value is calculated with prices",(IF(SUMIFS(Q:Q,A:A,A590)&gt;0,SUMIFS(Q:Q,A:A,A590),"."))/VLOOKUP("USD",'Exchange Rates'!B:C,2,0),"Error with coding"))),"")</f>
        <v/>
      </c>
      <c r="U590" s="1184" t="s">
        <v>365</v>
      </c>
      <c r="V590" s="972" t="s">
        <v>1782</v>
      </c>
      <c r="W590" s="972" t="s">
        <v>1280</v>
      </c>
      <c r="X590" s="972" t="s">
        <v>364</v>
      </c>
      <c r="Y590" s="972" t="s">
        <v>364</v>
      </c>
      <c r="Z590" s="1184">
        <v>0</v>
      </c>
      <c r="AA590" s="1194">
        <v>0</v>
      </c>
      <c r="AB590" s="600" t="s">
        <v>1280</v>
      </c>
      <c r="AC590" s="1192" t="str">
        <f>""</f>
        <v/>
      </c>
      <c r="AD590" s="985">
        <v>0</v>
      </c>
      <c r="AE590" s="1194" t="s">
        <v>368</v>
      </c>
      <c r="AF590" s="985" t="s">
        <v>369</v>
      </c>
      <c r="AG590" s="985">
        <v>0</v>
      </c>
      <c r="AH590" s="985">
        <v>0</v>
      </c>
      <c r="AI590" s="985">
        <v>0</v>
      </c>
      <c r="AJ590" s="1193">
        <f>VLOOKUP($I590,'Price List, Weapons &amp; Items'!B:F,5,0)</f>
        <v>0</v>
      </c>
      <c r="AK590" s="1193">
        <f t="shared" si="134"/>
        <v>0</v>
      </c>
      <c r="AL590" s="1193">
        <f t="shared" si="135"/>
        <v>0</v>
      </c>
      <c r="AM590" s="1193">
        <f t="shared" si="136"/>
        <v>0</v>
      </c>
      <c r="AN590" s="1194" t="str">
        <f>VLOOKUP($I590,'Price List, Weapons &amp; Items'!B:L,COLUMN('Price List, Weapons &amp; Items'!$J$11)-1,0)</f>
        <v>Government information</v>
      </c>
      <c r="AO590" s="1194" t="str">
        <f>IF(I590=".",".",VLOOKUP($I590,'Price List, Weapons &amp; Items'!B:J,3,0))</f>
        <v>Patrol and coastal combatants</v>
      </c>
      <c r="AP590" s="1195" t="str">
        <f t="shared" ca="1" si="130"/>
        <v/>
      </c>
      <c r="AQ590" s="1194">
        <f>VLOOKUP($I590,'Price List, Weapons &amp; Items'!B:L,COLUMN('Price List, Weapons &amp; Items'!$L$11)-1,0)</f>
        <v>2</v>
      </c>
      <c r="AR590" s="1194">
        <f t="shared" si="137"/>
        <v>1</v>
      </c>
      <c r="AS590" s="1194">
        <f t="shared" si="138"/>
        <v>1</v>
      </c>
      <c r="AT590" s="1194" t="str">
        <f t="shared" si="139"/>
        <v>Value is not in date format</v>
      </c>
      <c r="AU590" s="1194" t="str">
        <f t="shared" si="140"/>
        <v>.</v>
      </c>
      <c r="AV590" s="1194" t="str">
        <f t="shared" si="131"/>
        <v>.</v>
      </c>
      <c r="AW590" s="1194" t="str">
        <f t="shared" si="141"/>
        <v>.</v>
      </c>
      <c r="AX590" s="1194">
        <f>IFERROR(VLOOKUP(B590,'Share, Heavy Weapons to Ukraine'!B:Z,COLUMN('Share, Heavy Weapons to Ukraine'!C600)-1,0),0)</f>
        <v>0</v>
      </c>
      <c r="AY590" s="1194">
        <f>VLOOKUP('Bilateral Assistance, MAIN DATA'!B590,'Country Summary (€)'!B:F,COLUMN('Country Summary (€)'!C601)-1,FALSE)</f>
        <v>1</v>
      </c>
      <c r="AZ590" s="1194" t="str">
        <f>IF(AND(AD590=1,D590="Military",H590&lt;&gt;"Not given")=TRUE,IF(SUMIFS(P:P,A:A,A590)&gt;0,ABS((SUMIFS(P:P,A:A,A590)/VLOOKUP("USD",'Exchange Rates'!B:C,2,0)))/S590,"."),".")</f>
        <v>.</v>
      </c>
      <c r="BA590" s="1196" t="str">
        <f>IF(AND(AD590=1,D590="Military",H590&lt;&gt;"Not given")=TRUE,IF(SUMIFS(P:P,A:A,A590)&gt;0,IF((ABS((SUMIFS(P:P,A:A,A590)/VLOOKUP("USD",'Exchange Rates'!B:C,2,0)))/S590)&gt;1,(SUMIFS(P:P,A:A,A590)-S590)/S590,(S590-SUMIFS(P:P,A:A,A590))/SUMIFS(P:P,A:A,A590)),"."),".")</f>
        <v>.</v>
      </c>
    </row>
    <row r="591" spans="1:53" ht="15.95" customHeight="1">
      <c r="A591" s="1182" t="s">
        <v>1796</v>
      </c>
      <c r="B591" s="1182" t="s">
        <v>1711</v>
      </c>
      <c r="C591" s="1181" t="s">
        <v>1797</v>
      </c>
      <c r="D591" s="1182" t="s">
        <v>389</v>
      </c>
      <c r="E591" s="1182" t="s">
        <v>1676</v>
      </c>
      <c r="F591" s="1263" t="s">
        <v>1806</v>
      </c>
      <c r="G591" s="1184" t="s">
        <v>483</v>
      </c>
      <c r="H591" s="1185">
        <v>6750000000</v>
      </c>
      <c r="I591" s="1180" t="s">
        <v>1260</v>
      </c>
      <c r="J591" s="1186" t="str">
        <f>VLOOKUP($I591,'Price List, Weapons &amp; Items'!B:C,2,0)</f>
        <v>Heavy weapon</v>
      </c>
      <c r="K591" s="1186" t="str">
        <f>IF(I591=".",I591,VLOOKUP($I591,'Price List, Weapons &amp; Items'!B:D,3,0))</f>
        <v>155mm howitzer</v>
      </c>
      <c r="L591" s="1187">
        <f>VLOOKUP(I591,'Price List, Weapons &amp; Items'!B:E,4,0)</f>
        <v>1</v>
      </c>
      <c r="M591" s="1188">
        <f>16/3</f>
        <v>5.333333333333333</v>
      </c>
      <c r="N591" s="1188">
        <v>0</v>
      </c>
      <c r="O591" s="1188">
        <f>VLOOKUP($I591,'Price List, Weapons &amp; Items'!B:G,6,0)</f>
        <v>8661378.4511823338</v>
      </c>
      <c r="P591" s="1185">
        <f t="shared" si="132"/>
        <v>46194018.406305775</v>
      </c>
      <c r="Q591" s="1185">
        <f t="shared" si="133"/>
        <v>0</v>
      </c>
      <c r="R591" s="1185" t="str">
        <f t="shared" si="129"/>
        <v/>
      </c>
      <c r="S591" s="1185" t="str">
        <f>IF(AND(AD591=1,R591&lt;&gt;".")=TRUE,R591/VLOOKUP(G591,'Exchange Rates'!B:C,2,0),IF(R591=".",".",""))</f>
        <v/>
      </c>
      <c r="T591" s="1185" t="str">
        <f>IF(AD591=1,IF(AF591="Value is not given at all",".",IF(AF591="Value is given by the source",S591,IF(AF591="Value is calculated with prices",(IF(SUMIFS(Q:Q,A:A,A591)&gt;0,SUMIFS(Q:Q,A:A,A591),"."))/VLOOKUP("USD",'Exchange Rates'!B:C,2,0),"Error with coding"))),"")</f>
        <v/>
      </c>
      <c r="U591" s="1184" t="s">
        <v>365</v>
      </c>
      <c r="V591" s="972" t="s">
        <v>1782</v>
      </c>
      <c r="W591" s="972" t="s">
        <v>1280</v>
      </c>
      <c r="X591" s="972" t="s">
        <v>364</v>
      </c>
      <c r="Y591" s="972" t="s">
        <v>364</v>
      </c>
      <c r="Z591" s="1184">
        <v>0</v>
      </c>
      <c r="AA591" s="1194">
        <v>0</v>
      </c>
      <c r="AB591" s="600" t="s">
        <v>1280</v>
      </c>
      <c r="AC591" s="1192" t="str">
        <f>""</f>
        <v/>
      </c>
      <c r="AD591" s="985">
        <v>0</v>
      </c>
      <c r="AE591" s="1194" t="s">
        <v>368</v>
      </c>
      <c r="AF591" s="985" t="s">
        <v>369</v>
      </c>
      <c r="AG591" s="985">
        <v>1</v>
      </c>
      <c r="AH591" s="985">
        <v>10</v>
      </c>
      <c r="AI591" s="985">
        <v>0</v>
      </c>
      <c r="AJ591" s="1193">
        <f>VLOOKUP($I591,'Price List, Weapons &amp; Items'!B:F,5,0)</f>
        <v>1</v>
      </c>
      <c r="AK591" s="1193">
        <f t="shared" si="134"/>
        <v>0</v>
      </c>
      <c r="AL591" s="1193">
        <f t="shared" si="135"/>
        <v>0</v>
      </c>
      <c r="AM591" s="1193">
        <f t="shared" si="136"/>
        <v>0</v>
      </c>
      <c r="AN591" s="1194" t="str">
        <f>VLOOKUP($I591,'Price List, Weapons &amp; Items'!B:L,COLUMN('Price List, Weapons &amp; Items'!$J$11)-1,0)</f>
        <v>Government information</v>
      </c>
      <c r="AO591" s="1194" t="str">
        <f>IF(I591=".",".",VLOOKUP($I591,'Price List, Weapons &amp; Items'!B:J,3,0))</f>
        <v>155mm howitzer</v>
      </c>
      <c r="AP591" s="1195" t="str">
        <f t="shared" ca="1" si="130"/>
        <v/>
      </c>
      <c r="AQ591" s="1194">
        <f>VLOOKUP($I591,'Price List, Weapons &amp; Items'!B:L,COLUMN('Price List, Weapons &amp; Items'!$L$11)-1,0)</f>
        <v>2</v>
      </c>
      <c r="AR591" s="1194">
        <f t="shared" si="137"/>
        <v>1</v>
      </c>
      <c r="AS591" s="1194">
        <f t="shared" si="138"/>
        <v>1</v>
      </c>
      <c r="AT591" s="1194" t="str">
        <f t="shared" si="139"/>
        <v>Value is not in date format</v>
      </c>
      <c r="AU591" s="1194" t="str">
        <f t="shared" si="140"/>
        <v>.</v>
      </c>
      <c r="AV591" s="1194" t="str">
        <f t="shared" si="131"/>
        <v>.</v>
      </c>
      <c r="AW591" s="1194" t="str">
        <f t="shared" si="141"/>
        <v>.</v>
      </c>
      <c r="AX591" s="1194">
        <f>IFERROR(VLOOKUP(B591,'Share, Heavy Weapons to Ukraine'!B:Z,COLUMN('Share, Heavy Weapons to Ukraine'!C601)-1,0),0)</f>
        <v>0</v>
      </c>
      <c r="AY591" s="1194">
        <f>VLOOKUP('Bilateral Assistance, MAIN DATA'!B591,'Country Summary (€)'!B:F,COLUMN('Country Summary (€)'!C602)-1,FALSE)</f>
        <v>1</v>
      </c>
      <c r="AZ591" s="1194" t="str">
        <f>IF(AND(AD591=1,D591="Military",H591&lt;&gt;"Not given")=TRUE,IF(SUMIFS(P:P,A:A,A591)&gt;0,ABS((SUMIFS(P:P,A:A,A591)/VLOOKUP("USD",'Exchange Rates'!B:C,2,0)))/S591,"."),".")</f>
        <v>.</v>
      </c>
      <c r="BA591" s="1196" t="str">
        <f>IF(AND(AD591=1,D591="Military",H591&lt;&gt;"Not given")=TRUE,IF(SUMIFS(P:P,A:A,A591)&gt;0,IF((ABS((SUMIFS(P:P,A:A,A591)/VLOOKUP("USD",'Exchange Rates'!B:C,2,0)))/S591)&gt;1,(SUMIFS(P:P,A:A,A591)-S591)/S591,(S591-SUMIFS(P:P,A:A,A591))/SUMIFS(P:P,A:A,A591)),"."),".")</f>
        <v>.</v>
      </c>
    </row>
    <row r="592" spans="1:53" ht="15.95" customHeight="1">
      <c r="A592" s="1182" t="s">
        <v>1796</v>
      </c>
      <c r="B592" s="1182" t="s">
        <v>1711</v>
      </c>
      <c r="C592" s="1181" t="s">
        <v>1797</v>
      </c>
      <c r="D592" s="1182" t="s">
        <v>389</v>
      </c>
      <c r="E592" s="1182" t="s">
        <v>1676</v>
      </c>
      <c r="F592" s="1263" t="s">
        <v>1806</v>
      </c>
      <c r="G592" s="1184" t="s">
        <v>483</v>
      </c>
      <c r="H592" s="1185">
        <v>6750000000</v>
      </c>
      <c r="I592" s="1180" t="s">
        <v>1851</v>
      </c>
      <c r="J592" s="1186" t="str">
        <f>VLOOKUP($I592,'Price List, Weapons &amp; Items'!B:C,2,0)</f>
        <v xml:space="preserve">Military equipment </v>
      </c>
      <c r="K592" s="1186" t="str">
        <f>IF(I592=".",I592,VLOOKUP($I592,'Price List, Weapons &amp; Items'!B:D,3,0))</f>
        <v>Light Anti-armor Weapon (LAW)</v>
      </c>
      <c r="L592" s="1187">
        <f>VLOOKUP(I592,'Price List, Weapons &amp; Items'!B:E,4,0)</f>
        <v>0</v>
      </c>
      <c r="M592" s="1188">
        <v>14</v>
      </c>
      <c r="N592" s="1275">
        <v>14</v>
      </c>
      <c r="O592" s="1188" t="str">
        <f>VLOOKUP($I592,'Price List, Weapons &amp; Items'!B:G,6,0)</f>
        <v>.</v>
      </c>
      <c r="P592" s="1185" t="str">
        <f t="shared" si="132"/>
        <v>No price</v>
      </c>
      <c r="Q592" s="1185" t="str">
        <f t="shared" si="133"/>
        <v>No price</v>
      </c>
      <c r="R592" s="1185" t="str">
        <f t="shared" si="129"/>
        <v/>
      </c>
      <c r="S592" s="1185" t="str">
        <f>IF(AND(AD592=1,R592&lt;&gt;".")=TRUE,R592/VLOOKUP(G592,'Exchange Rates'!B:C,2,0),IF(R592=".",".",""))</f>
        <v/>
      </c>
      <c r="T592" s="1185" t="str">
        <f>IF(AD592=1,IF(AF592="Value is not given at all",".",IF(AF592="Value is given by the source",S592,IF(AF592="Value is calculated with prices",(IF(SUMIFS(Q:Q,A:A,A592)&gt;0,SUMIFS(Q:Q,A:A,A592),"."))/VLOOKUP("USD",'Exchange Rates'!B:C,2,0),"Error with coding"))),"")</f>
        <v/>
      </c>
      <c r="U592" s="1184" t="s">
        <v>365</v>
      </c>
      <c r="V592" s="972" t="s">
        <v>1782</v>
      </c>
      <c r="W592" s="972" t="s">
        <v>1280</v>
      </c>
      <c r="X592" s="972" t="s">
        <v>364</v>
      </c>
      <c r="Y592" s="972" t="s">
        <v>364</v>
      </c>
      <c r="Z592" s="1184">
        <v>0</v>
      </c>
      <c r="AA592" s="1194">
        <v>1</v>
      </c>
      <c r="AB592" s="600" t="s">
        <v>1280</v>
      </c>
      <c r="AC592" s="1192" t="str">
        <f>""</f>
        <v/>
      </c>
      <c r="AD592" s="985">
        <v>0</v>
      </c>
      <c r="AE592" s="1194" t="s">
        <v>368</v>
      </c>
      <c r="AF592" s="985" t="s">
        <v>369</v>
      </c>
      <c r="AG592" s="1194">
        <v>0</v>
      </c>
      <c r="AH592" s="1194">
        <v>0</v>
      </c>
      <c r="AI592" s="985">
        <v>0</v>
      </c>
      <c r="AJ592" s="1193">
        <f>VLOOKUP($I592,'Price List, Weapons &amp; Items'!B:F,5,0)</f>
        <v>0</v>
      </c>
      <c r="AK592" s="1193">
        <f t="shared" si="134"/>
        <v>0</v>
      </c>
      <c r="AL592" s="1193">
        <f t="shared" si="135"/>
        <v>0</v>
      </c>
      <c r="AM592" s="1193">
        <f t="shared" si="136"/>
        <v>0</v>
      </c>
      <c r="AN592" s="1194" t="str">
        <f>VLOOKUP($I592,'Price List, Weapons &amp; Items'!B:L,COLUMN('Price List, Weapons &amp; Items'!$J$11)-1,0)</f>
        <v>.</v>
      </c>
      <c r="AO592" s="1194" t="str">
        <f>IF(I592=".",".",VLOOKUP($I592,'Price List, Weapons &amp; Items'!B:J,3,0))</f>
        <v>Light Anti-armor Weapon (LAW)</v>
      </c>
      <c r="AP592" s="1195" t="str">
        <f t="shared" ca="1" si="130"/>
        <v/>
      </c>
      <c r="AQ592" s="1194">
        <f>VLOOKUP($I592,'Price List, Weapons &amp; Items'!B:L,COLUMN('Price List, Weapons &amp; Items'!$L$11)-1,0)</f>
        <v>0</v>
      </c>
      <c r="AR592" s="1194">
        <f t="shared" si="137"/>
        <v>1</v>
      </c>
      <c r="AS592" s="1194">
        <f t="shared" si="138"/>
        <v>1</v>
      </c>
      <c r="AT592" s="1194" t="str">
        <f t="shared" si="139"/>
        <v>Value is not in date format</v>
      </c>
      <c r="AU592" s="1194" t="str">
        <f t="shared" si="140"/>
        <v>.</v>
      </c>
      <c r="AV592" s="1194" t="str">
        <f t="shared" si="131"/>
        <v>.</v>
      </c>
      <c r="AW592" s="1194" t="str">
        <f t="shared" si="141"/>
        <v>.</v>
      </c>
      <c r="AX592" s="1194">
        <f>IFERROR(VLOOKUP(B592,'Share, Heavy Weapons to Ukraine'!B:Z,COLUMN('Share, Heavy Weapons to Ukraine'!C602)-1,0),0)</f>
        <v>0</v>
      </c>
      <c r="AY592" s="1194">
        <f>VLOOKUP('Bilateral Assistance, MAIN DATA'!B592,'Country Summary (€)'!B:F,COLUMN('Country Summary (€)'!C603)-1,FALSE)</f>
        <v>1</v>
      </c>
      <c r="AZ592" s="1194" t="str">
        <f>IF(AND(AD592=1,D592="Military",H592&lt;&gt;"Not given")=TRUE,IF(SUMIFS(P:P,A:A,A592)&gt;0,ABS((SUMIFS(P:P,A:A,A592)/VLOOKUP("USD",'Exchange Rates'!B:C,2,0)))/S592,"."),".")</f>
        <v>.</v>
      </c>
      <c r="BA592" s="1196" t="str">
        <f>IF(AND(AD592=1,D592="Military",H592&lt;&gt;"Not given")=TRUE,IF(SUMIFS(P:P,A:A,A592)&gt;0,IF((ABS((SUMIFS(P:P,A:A,A592)/VLOOKUP("USD",'Exchange Rates'!B:C,2,0)))/S592)&gt;1,(SUMIFS(P:P,A:A,A592)-S592)/S592,(S592-SUMIFS(P:P,A:A,A592))/SUMIFS(P:P,A:A,A592)),"."),".")</f>
        <v>.</v>
      </c>
    </row>
    <row r="593" spans="1:53" ht="15.95" customHeight="1">
      <c r="A593" s="1182" t="s">
        <v>1796</v>
      </c>
      <c r="B593" s="1182" t="s">
        <v>1711</v>
      </c>
      <c r="C593" s="1181" t="s">
        <v>1797</v>
      </c>
      <c r="D593" s="1182" t="s">
        <v>389</v>
      </c>
      <c r="E593" s="1182" t="s">
        <v>1676</v>
      </c>
      <c r="F593" s="1263" t="s">
        <v>1806</v>
      </c>
      <c r="G593" s="1184" t="s">
        <v>483</v>
      </c>
      <c r="H593" s="1185">
        <v>6750000000</v>
      </c>
      <c r="I593" s="1180" t="s">
        <v>1852</v>
      </c>
      <c r="J593" s="1186" t="str">
        <f>VLOOKUP($I593,'Price List, Weapons &amp; Items'!B:C,2,0)</f>
        <v>Military equipment</v>
      </c>
      <c r="K593" s="1186" t="str">
        <f>IF(I593=".",I593,VLOOKUP($I593,'Price List, Weapons &amp; Items'!B:D,3,0))</f>
        <v>Military equipment</v>
      </c>
      <c r="L593" s="1187">
        <f>VLOOKUP(I593,'Price List, Weapons &amp; Items'!B:E,4,0)</f>
        <v>0</v>
      </c>
      <c r="M593" s="1188">
        <v>90</v>
      </c>
      <c r="N593" s="1275">
        <v>90</v>
      </c>
      <c r="O593" s="1188" t="str">
        <f>VLOOKUP($I593,'Price List, Weapons &amp; Items'!B:G,6,0)</f>
        <v>.</v>
      </c>
      <c r="P593" s="1185" t="str">
        <f t="shared" si="132"/>
        <v>No price</v>
      </c>
      <c r="Q593" s="1185" t="str">
        <f t="shared" si="133"/>
        <v>No price</v>
      </c>
      <c r="R593" s="1185" t="str">
        <f t="shared" si="129"/>
        <v/>
      </c>
      <c r="S593" s="1185" t="str">
        <f>IF(AND(AD593=1,R593&lt;&gt;".")=TRUE,R593/VLOOKUP(G593,'Exchange Rates'!B:C,2,0),IF(R593=".",".",""))</f>
        <v/>
      </c>
      <c r="T593" s="1185" t="str">
        <f>IF(AD593=1,IF(AF593="Value is not given at all",".",IF(AF593="Value is given by the source",S593,IF(AF593="Value is calculated with prices",(IF(SUMIFS(Q:Q,A:A,A593)&gt;0,SUMIFS(Q:Q,A:A,A593),"."))/VLOOKUP("USD",'Exchange Rates'!B:C,2,0),"Error with coding"))),"")</f>
        <v/>
      </c>
      <c r="U593" s="1184" t="s">
        <v>365</v>
      </c>
      <c r="V593" s="972" t="s">
        <v>1782</v>
      </c>
      <c r="W593" s="972" t="s">
        <v>1280</v>
      </c>
      <c r="X593" s="972" t="s">
        <v>364</v>
      </c>
      <c r="Y593" s="972" t="s">
        <v>364</v>
      </c>
      <c r="Z593" s="1184">
        <v>0</v>
      </c>
      <c r="AA593" s="1194">
        <v>1</v>
      </c>
      <c r="AB593" s="600" t="s">
        <v>1280</v>
      </c>
      <c r="AC593" s="1192" t="str">
        <f>""</f>
        <v/>
      </c>
      <c r="AD593" s="985">
        <v>0</v>
      </c>
      <c r="AE593" s="1194" t="s">
        <v>368</v>
      </c>
      <c r="AF593" s="985" t="s">
        <v>369</v>
      </c>
      <c r="AG593" s="1194">
        <v>0</v>
      </c>
      <c r="AH593" s="1194">
        <v>0</v>
      </c>
      <c r="AI593" s="985">
        <v>0</v>
      </c>
      <c r="AJ593" s="1193">
        <f>VLOOKUP($I593,'Price List, Weapons &amp; Items'!B:F,5,0)</f>
        <v>0</v>
      </c>
      <c r="AK593" s="1193">
        <f t="shared" si="134"/>
        <v>0</v>
      </c>
      <c r="AL593" s="1193">
        <f t="shared" si="135"/>
        <v>0</v>
      </c>
      <c r="AM593" s="1193">
        <f t="shared" si="136"/>
        <v>0</v>
      </c>
      <c r="AN593" s="1194" t="str">
        <f>VLOOKUP($I593,'Price List, Weapons &amp; Items'!B:L,COLUMN('Price List, Weapons &amp; Items'!$J$11)-1,0)</f>
        <v>.</v>
      </c>
      <c r="AO593" s="1194" t="str">
        <f>IF(I593=".",".",VLOOKUP($I593,'Price List, Weapons &amp; Items'!B:J,3,0))</f>
        <v>Military equipment</v>
      </c>
      <c r="AP593" s="1195" t="str">
        <f t="shared" ca="1" si="130"/>
        <v/>
      </c>
      <c r="AQ593" s="1194">
        <f>VLOOKUP($I593,'Price List, Weapons &amp; Items'!B:L,COLUMN('Price List, Weapons &amp; Items'!$L$11)-1,0)</f>
        <v>0</v>
      </c>
      <c r="AR593" s="1194">
        <f t="shared" si="137"/>
        <v>1</v>
      </c>
      <c r="AS593" s="1194">
        <f t="shared" si="138"/>
        <v>1</v>
      </c>
      <c r="AT593" s="1194" t="str">
        <f t="shared" si="139"/>
        <v>Value is not in date format</v>
      </c>
      <c r="AU593" s="1194" t="str">
        <f t="shared" si="140"/>
        <v>.</v>
      </c>
      <c r="AV593" s="1194" t="str">
        <f t="shared" si="131"/>
        <v>.</v>
      </c>
      <c r="AW593" s="1194" t="str">
        <f t="shared" si="141"/>
        <v>.</v>
      </c>
      <c r="AX593" s="1194">
        <f>IFERROR(VLOOKUP(B593,'Share, Heavy Weapons to Ukraine'!B:Z,COLUMN('Share, Heavy Weapons to Ukraine'!C603)-1,0),0)</f>
        <v>0</v>
      </c>
      <c r="AY593" s="1194">
        <f>VLOOKUP('Bilateral Assistance, MAIN DATA'!B593,'Country Summary (€)'!B:F,COLUMN('Country Summary (€)'!C604)-1,FALSE)</f>
        <v>1</v>
      </c>
      <c r="AZ593" s="1194" t="str">
        <f>IF(AND(AD593=1,D593="Military",H593&lt;&gt;"Not given")=TRUE,IF(SUMIFS(P:P,A:A,A593)&gt;0,ABS((SUMIFS(P:P,A:A,A593)/VLOOKUP("USD",'Exchange Rates'!B:C,2,0)))/S593,"."),".")</f>
        <v>.</v>
      </c>
      <c r="BA593" s="1196" t="str">
        <f>IF(AND(AD593=1,D593="Military",H593&lt;&gt;"Not given")=TRUE,IF(SUMIFS(P:P,A:A,A593)&gt;0,IF((ABS((SUMIFS(P:P,A:A,A593)/VLOOKUP("USD",'Exchange Rates'!B:C,2,0)))/S593)&gt;1,(SUMIFS(P:P,A:A,A593)-S593)/S593,(S593-SUMIFS(P:P,A:A,A593))/SUMIFS(P:P,A:A,A593)),"."),".")</f>
        <v>.</v>
      </c>
    </row>
    <row r="594" spans="1:53" ht="15.95" customHeight="1">
      <c r="A594" s="1182" t="s">
        <v>1796</v>
      </c>
      <c r="B594" s="1182" t="s">
        <v>1711</v>
      </c>
      <c r="C594" s="1181" t="s">
        <v>1797</v>
      </c>
      <c r="D594" s="1182" t="s">
        <v>389</v>
      </c>
      <c r="E594" s="1182" t="s">
        <v>1676</v>
      </c>
      <c r="F594" s="1263" t="s">
        <v>1806</v>
      </c>
      <c r="G594" s="1184" t="s">
        <v>483</v>
      </c>
      <c r="H594" s="1185">
        <v>6750000000</v>
      </c>
      <c r="I594" s="1180" t="s">
        <v>1853</v>
      </c>
      <c r="J594" s="1186" t="str">
        <f>VLOOKUP($I594,'Price List, Weapons &amp; Items'!B:C,2,0)</f>
        <v>Military equipment</v>
      </c>
      <c r="K594" s="1186" t="str">
        <f>IF(I594=".",I594,VLOOKUP($I594,'Price List, Weapons &amp; Items'!B:D,3,0))</f>
        <v>spare parts</v>
      </c>
      <c r="L594" s="1187">
        <f>VLOOKUP(I594,'Price List, Weapons &amp; Items'!B:E,4,0)</f>
        <v>0</v>
      </c>
      <c r="M594" s="1188" t="s">
        <v>374</v>
      </c>
      <c r="N594" s="1188" t="s">
        <v>374</v>
      </c>
      <c r="O594" s="1188" t="str">
        <f>VLOOKUP($I594,'Price List, Weapons &amp; Items'!B:G,6,0)</f>
        <v>.</v>
      </c>
      <c r="P594" s="1185" t="str">
        <f t="shared" si="132"/>
        <v>.</v>
      </c>
      <c r="Q594" s="1185" t="str">
        <f t="shared" si="133"/>
        <v>.</v>
      </c>
      <c r="R594" s="1185" t="str">
        <f t="shared" si="129"/>
        <v/>
      </c>
      <c r="S594" s="1185" t="str">
        <f>IF(AND(AD594=1,R594&lt;&gt;".")=TRUE,R594/VLOOKUP(G594,'Exchange Rates'!B:C,2,0),IF(R594=".",".",""))</f>
        <v/>
      </c>
      <c r="T594" s="1185" t="str">
        <f>IF(AD594=1,IF(AF594="Value is not given at all",".",IF(AF594="Value is given by the source",S594,IF(AF594="Value is calculated with prices",(IF(SUMIFS(Q:Q,A:A,A594)&gt;0,SUMIFS(Q:Q,A:A,A594),"."))/VLOOKUP("USD",'Exchange Rates'!B:C,2,0),"Error with coding"))),"")</f>
        <v/>
      </c>
      <c r="U594" s="1184" t="s">
        <v>365</v>
      </c>
      <c r="V594" s="972" t="s">
        <v>1782</v>
      </c>
      <c r="W594" s="972" t="s">
        <v>1280</v>
      </c>
      <c r="X594" s="972" t="s">
        <v>364</v>
      </c>
      <c r="Y594" s="972" t="s">
        <v>364</v>
      </c>
      <c r="Z594" s="1184">
        <v>0</v>
      </c>
      <c r="AA594" s="1194">
        <v>0</v>
      </c>
      <c r="AB594" s="600" t="s">
        <v>1280</v>
      </c>
      <c r="AC594" s="1192" t="str">
        <f>""</f>
        <v/>
      </c>
      <c r="AD594" s="985">
        <v>0</v>
      </c>
      <c r="AE594" s="1194" t="s">
        <v>368</v>
      </c>
      <c r="AF594" s="985" t="s">
        <v>369</v>
      </c>
      <c r="AG594" s="1194">
        <v>0</v>
      </c>
      <c r="AH594" s="1194">
        <v>0</v>
      </c>
      <c r="AI594" s="985">
        <v>0</v>
      </c>
      <c r="AJ594" s="1193">
        <f>VLOOKUP($I594,'Price List, Weapons &amp; Items'!B:F,5,0)</f>
        <v>0</v>
      </c>
      <c r="AK594" s="1193">
        <f t="shared" si="134"/>
        <v>0</v>
      </c>
      <c r="AL594" s="1193">
        <f t="shared" si="135"/>
        <v>0</v>
      </c>
      <c r="AM594" s="1193">
        <f t="shared" si="136"/>
        <v>0</v>
      </c>
      <c r="AN594" s="1194" t="str">
        <f>VLOOKUP($I594,'Price List, Weapons &amp; Items'!B:L,COLUMN('Price List, Weapons &amp; Items'!$J$11)-1,0)</f>
        <v>.</v>
      </c>
      <c r="AO594" s="1194" t="str">
        <f>IF(I594=".",".",VLOOKUP($I594,'Price List, Weapons &amp; Items'!B:J,3,0))</f>
        <v>spare parts</v>
      </c>
      <c r="AP594" s="1195" t="str">
        <f t="shared" ca="1" si="130"/>
        <v/>
      </c>
      <c r="AQ594" s="1194" t="str">
        <f>VLOOKUP($I594,'Price List, Weapons &amp; Items'!B:L,COLUMN('Price List, Weapons &amp; Items'!$L$11)-1,0)</f>
        <v>no price, 0 count</v>
      </c>
      <c r="AR594" s="1194">
        <f t="shared" si="137"/>
        <v>1</v>
      </c>
      <c r="AS594" s="1194">
        <f t="shared" si="138"/>
        <v>1</v>
      </c>
      <c r="AT594" s="1194" t="str">
        <f t="shared" si="139"/>
        <v>Value is not in date format</v>
      </c>
      <c r="AU594" s="1194" t="str">
        <f t="shared" si="140"/>
        <v>.</v>
      </c>
      <c r="AV594" s="1194" t="str">
        <f t="shared" si="131"/>
        <v>.</v>
      </c>
      <c r="AW594" s="1194" t="str">
        <f t="shared" si="141"/>
        <v>.</v>
      </c>
      <c r="AX594" s="1194">
        <f>IFERROR(VLOOKUP(B594,'Share, Heavy Weapons to Ukraine'!B:Z,COLUMN('Share, Heavy Weapons to Ukraine'!C604)-1,0),0)</f>
        <v>0</v>
      </c>
      <c r="AY594" s="1194">
        <f>VLOOKUP('Bilateral Assistance, MAIN DATA'!B594,'Country Summary (€)'!B:F,COLUMN('Country Summary (€)'!C605)-1,FALSE)</f>
        <v>1</v>
      </c>
      <c r="AZ594" s="1194" t="str">
        <f>IF(AND(AD594=1,D594="Military",H594&lt;&gt;"Not given")=TRUE,IF(SUMIFS(P:P,A:A,A594)&gt;0,ABS((SUMIFS(P:P,A:A,A594)/VLOOKUP("USD",'Exchange Rates'!B:C,2,0)))/S594,"."),".")</f>
        <v>.</v>
      </c>
      <c r="BA594" s="1196" t="str">
        <f>IF(AND(AD594=1,D594="Military",H594&lt;&gt;"Not given")=TRUE,IF(SUMIFS(P:P,A:A,A594)&gt;0,IF((ABS((SUMIFS(P:P,A:A,A594)/VLOOKUP("USD",'Exchange Rates'!B:C,2,0)))/S594)&gt;1,(SUMIFS(P:P,A:A,A594)-S594)/S594,(S594-SUMIFS(P:P,A:A,A594))/SUMIFS(P:P,A:A,A594)),"."),".")</f>
        <v>.</v>
      </c>
    </row>
    <row r="595" spans="1:53" ht="15.95" customHeight="1">
      <c r="A595" s="1182" t="s">
        <v>1796</v>
      </c>
      <c r="B595" s="1182" t="s">
        <v>1711</v>
      </c>
      <c r="C595" s="1181" t="s">
        <v>1797</v>
      </c>
      <c r="D595" s="1182" t="s">
        <v>389</v>
      </c>
      <c r="E595" s="1182" t="s">
        <v>1676</v>
      </c>
      <c r="F595" s="1263" t="s">
        <v>1806</v>
      </c>
      <c r="G595" s="1184" t="s">
        <v>483</v>
      </c>
      <c r="H595" s="1185">
        <v>6750000000</v>
      </c>
      <c r="I595" s="1180" t="s">
        <v>1854</v>
      </c>
      <c r="J595" s="1186" t="str">
        <f>VLOOKUP($I595,'Price List, Weapons &amp; Items'!B:C,2,0)</f>
        <v>Military equipment</v>
      </c>
      <c r="K595" s="1186" t="str">
        <f>IF(I595=".",I595,VLOOKUP($I595,'Price List, Weapons &amp; Items'!B:D,3,0))</f>
        <v>Military equipment</v>
      </c>
      <c r="L595" s="1187">
        <f>VLOOKUP(I595,'Price List, Weapons &amp; Items'!B:E,4,0)</f>
        <v>0</v>
      </c>
      <c r="M595" s="1188">
        <v>6000</v>
      </c>
      <c r="N595" s="1188">
        <v>6000</v>
      </c>
      <c r="O595" s="1188" t="str">
        <f>VLOOKUP($I595,'Price List, Weapons &amp; Items'!B:G,6,0)</f>
        <v>.</v>
      </c>
      <c r="P595" s="1185" t="str">
        <f t="shared" si="132"/>
        <v>No price</v>
      </c>
      <c r="Q595" s="1185" t="str">
        <f t="shared" si="133"/>
        <v>No price</v>
      </c>
      <c r="R595" s="1185" t="str">
        <f t="shared" si="129"/>
        <v/>
      </c>
      <c r="S595" s="1185" t="str">
        <f>IF(AND(AD595=1,R595&lt;&gt;".")=TRUE,R595/VLOOKUP(G595,'Exchange Rates'!B:C,2,0),IF(R595=".",".",""))</f>
        <v/>
      </c>
      <c r="T595" s="1185" t="str">
        <f>IF(AD595=1,IF(AF595="Value is not given at all",".",IF(AF595="Value is given by the source",S595,IF(AF595="Value is calculated with prices",(IF(SUMIFS(Q:Q,A:A,A595)&gt;0,SUMIFS(Q:Q,A:A,A595),"."))/VLOOKUP("USD",'Exchange Rates'!B:C,2,0),"Error with coding"))),"")</f>
        <v/>
      </c>
      <c r="U595" s="1184" t="s">
        <v>365</v>
      </c>
      <c r="V595" s="972" t="s">
        <v>1782</v>
      </c>
      <c r="W595" s="972" t="s">
        <v>1280</v>
      </c>
      <c r="X595" s="972" t="s">
        <v>364</v>
      </c>
      <c r="Y595" s="972" t="s">
        <v>364</v>
      </c>
      <c r="Z595" s="1184">
        <v>0</v>
      </c>
      <c r="AA595" s="1194">
        <v>0</v>
      </c>
      <c r="AB595" s="600" t="s">
        <v>1280</v>
      </c>
      <c r="AC595" s="1192" t="str">
        <f>""</f>
        <v/>
      </c>
      <c r="AD595" s="985">
        <v>0</v>
      </c>
      <c r="AE595" s="1194" t="s">
        <v>368</v>
      </c>
      <c r="AF595" s="985" t="s">
        <v>369</v>
      </c>
      <c r="AG595" s="1194">
        <v>0</v>
      </c>
      <c r="AH595" s="1194">
        <v>0</v>
      </c>
      <c r="AI595" s="985">
        <v>0</v>
      </c>
      <c r="AJ595" s="1193">
        <f>VLOOKUP($I595,'Price List, Weapons &amp; Items'!B:F,5,0)</f>
        <v>0</v>
      </c>
      <c r="AK595" s="1193">
        <f t="shared" si="134"/>
        <v>0</v>
      </c>
      <c r="AL595" s="1193">
        <f t="shared" si="135"/>
        <v>0</v>
      </c>
      <c r="AM595" s="1193">
        <f t="shared" si="136"/>
        <v>1</v>
      </c>
      <c r="AN595" s="1194" t="str">
        <f>VLOOKUP($I595,'Price List, Weapons &amp; Items'!B:L,COLUMN('Price List, Weapons &amp; Items'!$J$11)-1,0)</f>
        <v>.</v>
      </c>
      <c r="AO595" s="1194" t="str">
        <f>IF(I595=".",".",VLOOKUP($I595,'Price List, Weapons &amp; Items'!B:J,3,0))</f>
        <v>Military equipment</v>
      </c>
      <c r="AP595" s="1195" t="str">
        <f t="shared" ca="1" si="130"/>
        <v/>
      </c>
      <c r="AQ595" s="1194">
        <f>VLOOKUP($I595,'Price List, Weapons &amp; Items'!B:L,COLUMN('Price List, Weapons &amp; Items'!$L$11)-1,0)</f>
        <v>0</v>
      </c>
      <c r="AR595" s="1194">
        <f t="shared" si="137"/>
        <v>1</v>
      </c>
      <c r="AS595" s="1194">
        <f t="shared" si="138"/>
        <v>1</v>
      </c>
      <c r="AT595" s="1194" t="str">
        <f t="shared" si="139"/>
        <v>Value is not in date format</v>
      </c>
      <c r="AU595" s="1194" t="str">
        <f t="shared" si="140"/>
        <v>.</v>
      </c>
      <c r="AV595" s="1194" t="str">
        <f t="shared" si="131"/>
        <v>.</v>
      </c>
      <c r="AW595" s="1194" t="str">
        <f t="shared" si="141"/>
        <v>.</v>
      </c>
      <c r="AX595" s="1194">
        <f>IFERROR(VLOOKUP(B595,'Share, Heavy Weapons to Ukraine'!B:Z,COLUMN('Share, Heavy Weapons to Ukraine'!C605)-1,0),0)</f>
        <v>0</v>
      </c>
      <c r="AY595" s="1194">
        <f>VLOOKUP('Bilateral Assistance, MAIN DATA'!B595,'Country Summary (€)'!B:F,COLUMN('Country Summary (€)'!C606)-1,FALSE)</f>
        <v>1</v>
      </c>
      <c r="AZ595" s="1194" t="str">
        <f>IF(AND(AD595=1,D595="Military",H595&lt;&gt;"Not given")=TRUE,IF(SUMIFS(P:P,A:A,A595)&gt;0,ABS((SUMIFS(P:P,A:A,A595)/VLOOKUP("USD",'Exchange Rates'!B:C,2,0)))/S595,"."),".")</f>
        <v>.</v>
      </c>
      <c r="BA595" s="1196" t="str">
        <f>IF(AND(AD595=1,D595="Military",H595&lt;&gt;"Not given")=TRUE,IF(SUMIFS(P:P,A:A,A595)&gt;0,IF((ABS((SUMIFS(P:P,A:A,A595)/VLOOKUP("USD",'Exchange Rates'!B:C,2,0)))/S595)&gt;1,(SUMIFS(P:P,A:A,A595)-S595)/S595,(S595-SUMIFS(P:P,A:A,A595))/SUMIFS(P:P,A:A,A595)),"."),".")</f>
        <v>.</v>
      </c>
    </row>
    <row r="596" spans="1:53" ht="15.95" customHeight="1">
      <c r="A596" s="1182" t="s">
        <v>1796</v>
      </c>
      <c r="B596" s="1182" t="s">
        <v>1711</v>
      </c>
      <c r="C596" s="1181" t="s">
        <v>1797</v>
      </c>
      <c r="D596" s="1182" t="s">
        <v>389</v>
      </c>
      <c r="E596" s="1182" t="s">
        <v>1676</v>
      </c>
      <c r="F596" s="1263" t="s">
        <v>1806</v>
      </c>
      <c r="G596" s="1184" t="s">
        <v>483</v>
      </c>
      <c r="H596" s="1185">
        <v>6750000000</v>
      </c>
      <c r="I596" s="1180" t="s">
        <v>1855</v>
      </c>
      <c r="J596" s="1186" t="str">
        <f>VLOOKUP($I596,'Price List, Weapons &amp; Items'!B:C,2,0)</f>
        <v>Heavy weapon</v>
      </c>
      <c r="K596" s="1186" t="str">
        <f>IF(I596=".",I596,VLOOKUP($I596,'Price List, Weapons &amp; Items'!B:D,3,0))</f>
        <v>155mm howitzer</v>
      </c>
      <c r="L596" s="1187">
        <f>VLOOKUP(I596,'Price List, Weapons &amp; Items'!B:E,4,0)</f>
        <v>0</v>
      </c>
      <c r="M596" s="1188">
        <v>18</v>
      </c>
      <c r="N596" s="1188">
        <v>0</v>
      </c>
      <c r="O596" s="1188">
        <f>VLOOKUP($I596,'Price List, Weapons &amp; Items'!B:G,6,0)</f>
        <v>12000000</v>
      </c>
      <c r="P596" s="1185">
        <f t="shared" si="132"/>
        <v>216000000</v>
      </c>
      <c r="Q596" s="1185">
        <f t="shared" si="133"/>
        <v>0</v>
      </c>
      <c r="R596" s="1185" t="str">
        <f t="shared" si="129"/>
        <v/>
      </c>
      <c r="S596" s="1185" t="str">
        <f>IF(AND(AD596=1,R596&lt;&gt;".")=TRUE,R596/VLOOKUP(G596,'Exchange Rates'!B:C,2,0),IF(R596=".",".",""))</f>
        <v/>
      </c>
      <c r="T596" s="1185" t="str">
        <f>IF(AD596=1,IF(AF596="Value is not given at all",".",IF(AF596="Value is given by the source",S596,IF(AF596="Value is calculated with prices",(IF(SUMIFS(Q:Q,A:A,A596)&gt;0,SUMIFS(Q:Q,A:A,A596),"."))/VLOOKUP("USD",'Exchange Rates'!B:C,2,0),"Error with coding"))),"")</f>
        <v/>
      </c>
      <c r="U596" s="1184" t="s">
        <v>365</v>
      </c>
      <c r="V596" s="972" t="s">
        <v>1782</v>
      </c>
      <c r="W596" s="972" t="s">
        <v>1280</v>
      </c>
      <c r="X596" s="972" t="s">
        <v>364</v>
      </c>
      <c r="Y596" s="972" t="s">
        <v>364</v>
      </c>
      <c r="Z596" s="1184">
        <v>0</v>
      </c>
      <c r="AA596" s="1194">
        <v>0</v>
      </c>
      <c r="AB596" s="600" t="s">
        <v>1280</v>
      </c>
      <c r="AC596" s="1192" t="str">
        <f>""</f>
        <v/>
      </c>
      <c r="AD596" s="985">
        <v>0</v>
      </c>
      <c r="AE596" s="1194" t="s">
        <v>368</v>
      </c>
      <c r="AF596" s="985" t="s">
        <v>369</v>
      </c>
      <c r="AG596" s="1194">
        <v>1</v>
      </c>
      <c r="AH596" s="1194">
        <v>12</v>
      </c>
      <c r="AI596" s="985">
        <v>0</v>
      </c>
      <c r="AJ596" s="1193">
        <f>VLOOKUP($I596,'Price List, Weapons &amp; Items'!B:F,5,0)</f>
        <v>1</v>
      </c>
      <c r="AK596" s="1193">
        <f t="shared" si="134"/>
        <v>0</v>
      </c>
      <c r="AL596" s="1193">
        <f t="shared" si="135"/>
        <v>0</v>
      </c>
      <c r="AM596" s="1193">
        <f t="shared" si="136"/>
        <v>0</v>
      </c>
      <c r="AN596" s="1194" t="str">
        <f>VLOOKUP($I596,'Price List, Weapons &amp; Items'!B:L,COLUMN('Price List, Weapons &amp; Items'!$J$11)-1,0)</f>
        <v>Media reports (incl. social media)</v>
      </c>
      <c r="AO596" s="1194" t="str">
        <f>IF(I596=".",".",VLOOKUP($I596,'Price List, Weapons &amp; Items'!B:J,3,0))</f>
        <v>155mm howitzer</v>
      </c>
      <c r="AP596" s="1195" t="str">
        <f t="shared" ca="1" si="130"/>
        <v/>
      </c>
      <c r="AQ596" s="1194">
        <f>VLOOKUP($I596,'Price List, Weapons &amp; Items'!B:L,COLUMN('Price List, Weapons &amp; Items'!$L$11)-1,0)</f>
        <v>2</v>
      </c>
      <c r="AR596" s="1194">
        <f t="shared" si="137"/>
        <v>1</v>
      </c>
      <c r="AS596" s="1194">
        <f t="shared" si="138"/>
        <v>1</v>
      </c>
      <c r="AT596" s="1194" t="str">
        <f t="shared" si="139"/>
        <v>Value is not in date format</v>
      </c>
      <c r="AU596" s="1194" t="str">
        <f t="shared" si="140"/>
        <v>.</v>
      </c>
      <c r="AV596" s="1194" t="str">
        <f t="shared" si="131"/>
        <v>.</v>
      </c>
      <c r="AW596" s="1194" t="str">
        <f t="shared" si="141"/>
        <v>.</v>
      </c>
      <c r="AX596" s="1194">
        <f>IFERROR(VLOOKUP(B596,'Share, Heavy Weapons to Ukraine'!B:Z,COLUMN('Share, Heavy Weapons to Ukraine'!C606)-1,0),0)</f>
        <v>0</v>
      </c>
      <c r="AY596" s="1194">
        <f>VLOOKUP('Bilateral Assistance, MAIN DATA'!B596,'Country Summary (€)'!B:F,COLUMN('Country Summary (€)'!C607)-1,FALSE)</f>
        <v>1</v>
      </c>
      <c r="AZ596" s="1194" t="str">
        <f>IF(AND(AD596=1,D596="Military",H596&lt;&gt;"Not given")=TRUE,IF(SUMIFS(P:P,A:A,A596)&gt;0,ABS((SUMIFS(P:P,A:A,A596)/VLOOKUP("USD",'Exchange Rates'!B:C,2,0)))/S596,"."),".")</f>
        <v>.</v>
      </c>
      <c r="BA596" s="1196" t="str">
        <f>IF(AND(AD596=1,D596="Military",H596&lt;&gt;"Not given")=TRUE,IF(SUMIFS(P:P,A:A,A596)&gt;0,IF((ABS((SUMIFS(P:P,A:A,A596)/VLOOKUP("USD",'Exchange Rates'!B:C,2,0)))/S596)&gt;1,(SUMIFS(P:P,A:A,A596)-S596)/S596,(S596-SUMIFS(P:P,A:A,A596))/SUMIFS(P:P,A:A,A596)),"."),".")</f>
        <v>.</v>
      </c>
    </row>
    <row r="597" spans="1:53" ht="15.95" customHeight="1">
      <c r="A597" s="1182" t="s">
        <v>1796</v>
      </c>
      <c r="B597" s="1182" t="s">
        <v>1711</v>
      </c>
      <c r="C597" s="1181" t="s">
        <v>1797</v>
      </c>
      <c r="D597" s="1182" t="s">
        <v>389</v>
      </c>
      <c r="E597" s="1182" t="s">
        <v>1676</v>
      </c>
      <c r="F597" s="1263" t="s">
        <v>1806</v>
      </c>
      <c r="G597" s="1184" t="s">
        <v>483</v>
      </c>
      <c r="H597" s="1185">
        <v>6750000000</v>
      </c>
      <c r="I597" s="1196" t="s">
        <v>1856</v>
      </c>
      <c r="J597" s="1186" t="str">
        <f>VLOOKUP($I597,'Price List, Weapons &amp; Items'!B:C,2,0)</f>
        <v>Military equipment</v>
      </c>
      <c r="K597" s="1186" t="str">
        <f>IF(I597=".",I597,VLOOKUP($I597,'Price List, Weapons &amp; Items'!B:D,3,0))</f>
        <v>Military equipment</v>
      </c>
      <c r="L597" s="1187">
        <f>VLOOKUP(I597,'Price List, Weapons &amp; Items'!B:E,4,0)</f>
        <v>0</v>
      </c>
      <c r="M597" s="1188">
        <v>2</v>
      </c>
      <c r="N597" s="1275">
        <v>2</v>
      </c>
      <c r="O597" s="1188" t="str">
        <f>VLOOKUP($I597,'Price List, Weapons &amp; Items'!B:G,6,0)</f>
        <v>.</v>
      </c>
      <c r="P597" s="1185" t="str">
        <f t="shared" si="132"/>
        <v>No price</v>
      </c>
      <c r="Q597" s="1185" t="str">
        <f t="shared" si="133"/>
        <v>No price</v>
      </c>
      <c r="R597" s="1185" t="str">
        <f t="shared" si="129"/>
        <v/>
      </c>
      <c r="S597" s="1185" t="str">
        <f>IF(AND(AD597=1,R597&lt;&gt;".")=TRUE,R597/VLOOKUP(G597,'Exchange Rates'!B:C,2,0),IF(R597=".",".",""))</f>
        <v/>
      </c>
      <c r="T597" s="1185" t="str">
        <f>IF(AD597=1,IF(AF597="Value is not given at all",".",IF(AF597="Value is given by the source",S597,IF(AF597="Value is calculated with prices",(IF(SUMIFS(Q:Q,A:A,A597)&gt;0,SUMIFS(Q:Q,A:A,A597),"."))/VLOOKUP("USD",'Exchange Rates'!B:C,2,0),"Error with coding"))),"")</f>
        <v/>
      </c>
      <c r="U597" s="1184" t="s">
        <v>365</v>
      </c>
      <c r="V597" s="972" t="s">
        <v>1782</v>
      </c>
      <c r="W597" s="972" t="s">
        <v>1280</v>
      </c>
      <c r="X597" s="972" t="s">
        <v>364</v>
      </c>
      <c r="Y597" s="972" t="s">
        <v>364</v>
      </c>
      <c r="Z597" s="1184">
        <v>0</v>
      </c>
      <c r="AA597" s="1194">
        <v>1</v>
      </c>
      <c r="AB597" s="600" t="s">
        <v>1280</v>
      </c>
      <c r="AC597" s="1192" t="str">
        <f>""</f>
        <v/>
      </c>
      <c r="AD597" s="985">
        <v>0</v>
      </c>
      <c r="AE597" s="1194" t="s">
        <v>368</v>
      </c>
      <c r="AF597" s="985" t="s">
        <v>369</v>
      </c>
      <c r="AG597" s="1194">
        <v>0</v>
      </c>
      <c r="AH597" s="1194">
        <v>0</v>
      </c>
      <c r="AI597" s="985">
        <v>0</v>
      </c>
      <c r="AJ597" s="1193">
        <f>VLOOKUP($I597,'Price List, Weapons &amp; Items'!B:F,5,0)</f>
        <v>0</v>
      </c>
      <c r="AK597" s="1193">
        <f t="shared" si="134"/>
        <v>0</v>
      </c>
      <c r="AL597" s="1193">
        <f t="shared" si="135"/>
        <v>0</v>
      </c>
      <c r="AM597" s="1193">
        <f t="shared" si="136"/>
        <v>0</v>
      </c>
      <c r="AN597" s="1194" t="str">
        <f>VLOOKUP($I597,'Price List, Weapons &amp; Items'!B:L,COLUMN('Price List, Weapons &amp; Items'!$J$11)-1,0)</f>
        <v>.</v>
      </c>
      <c r="AO597" s="1194" t="str">
        <f>IF(I597=".",".",VLOOKUP($I597,'Price List, Weapons &amp; Items'!B:J,3,0))</f>
        <v>Military equipment</v>
      </c>
      <c r="AP597" s="1195" t="str">
        <f t="shared" ca="1" si="130"/>
        <v/>
      </c>
      <c r="AQ597" s="1194">
        <f>VLOOKUP($I597,'Price List, Weapons &amp; Items'!B:L,COLUMN('Price List, Weapons &amp; Items'!$L$11)-1,0)</f>
        <v>0</v>
      </c>
      <c r="AR597" s="1194">
        <f t="shared" si="137"/>
        <v>1</v>
      </c>
      <c r="AS597" s="1194">
        <f t="shared" si="138"/>
        <v>1</v>
      </c>
      <c r="AT597" s="1194" t="str">
        <f t="shared" si="139"/>
        <v>Value is not in date format</v>
      </c>
      <c r="AU597" s="1194" t="str">
        <f t="shared" si="140"/>
        <v>.</v>
      </c>
      <c r="AV597" s="1194" t="str">
        <f t="shared" si="131"/>
        <v>.</v>
      </c>
      <c r="AW597" s="1194" t="str">
        <f t="shared" si="141"/>
        <v>.</v>
      </c>
      <c r="AX597" s="1194">
        <f>IFERROR(VLOOKUP(B597,'Share, Heavy Weapons to Ukraine'!B:Z,COLUMN('Share, Heavy Weapons to Ukraine'!C607)-1,0),0)</f>
        <v>0</v>
      </c>
      <c r="AY597" s="1194">
        <f>VLOOKUP('Bilateral Assistance, MAIN DATA'!B597,'Country Summary (€)'!B:F,COLUMN('Country Summary (€)'!C608)-1,FALSE)</f>
        <v>1</v>
      </c>
      <c r="AZ597" s="1194" t="str">
        <f>IF(AND(AD597=1,D597="Military",H597&lt;&gt;"Not given")=TRUE,IF(SUMIFS(P:P,A:A,A597)&gt;0,ABS((SUMIFS(P:P,A:A,A597)/VLOOKUP("USD",'Exchange Rates'!B:C,2,0)))/S597,"."),".")</f>
        <v>.</v>
      </c>
      <c r="BA597" s="1196" t="str">
        <f>IF(AND(AD597=1,D597="Military",H597&lt;&gt;"Not given")=TRUE,IF(SUMIFS(P:P,A:A,A597)&gt;0,IF((ABS((SUMIFS(P:P,A:A,A597)/VLOOKUP("USD",'Exchange Rates'!B:C,2,0)))/S597)&gt;1,(SUMIFS(P:P,A:A,A597)-S597)/S597,(S597-SUMIFS(P:P,A:A,A597))/SUMIFS(P:P,A:A,A597)),"."),".")</f>
        <v>.</v>
      </c>
    </row>
    <row r="598" spans="1:53" ht="15.95" customHeight="1">
      <c r="A598" s="1182" t="s">
        <v>1796</v>
      </c>
      <c r="B598" s="1182" t="s">
        <v>1711</v>
      </c>
      <c r="C598" s="1181" t="s">
        <v>1797</v>
      </c>
      <c r="D598" s="1182" t="s">
        <v>389</v>
      </c>
      <c r="E598" s="1182" t="s">
        <v>1676</v>
      </c>
      <c r="F598" s="1263" t="s">
        <v>1806</v>
      </c>
      <c r="G598" s="1184" t="s">
        <v>483</v>
      </c>
      <c r="H598" s="1185">
        <v>6750000000</v>
      </c>
      <c r="I598" s="1196" t="s">
        <v>1857</v>
      </c>
      <c r="J598" s="1186" t="str">
        <f>VLOOKUP($I598,'Price List, Weapons &amp; Items'!B:C,2,0)</f>
        <v>Military equipment</v>
      </c>
      <c r="K598" s="1186" t="str">
        <f>IF(I598=".",I598,VLOOKUP($I598,'Price List, Weapons &amp; Items'!B:D,3,0))</f>
        <v>non combat military vehicle</v>
      </c>
      <c r="L598" s="1187">
        <f>VLOOKUP(I598,'Price List, Weapons &amp; Items'!B:E,4,0)</f>
        <v>0</v>
      </c>
      <c r="M598" s="1188">
        <v>7</v>
      </c>
      <c r="N598" s="1275">
        <v>4</v>
      </c>
      <c r="O598" s="1188">
        <f>VLOOKUP($I598,'Price List, Weapons &amp; Items'!B:G,6,0)</f>
        <v>350000</v>
      </c>
      <c r="P598" s="1185">
        <f t="shared" si="132"/>
        <v>2450000</v>
      </c>
      <c r="Q598" s="1185">
        <f t="shared" si="133"/>
        <v>1400000</v>
      </c>
      <c r="R598" s="1185" t="str">
        <f t="shared" si="129"/>
        <v/>
      </c>
      <c r="S598" s="1185" t="str">
        <f>IF(AND(AD598=1,R598&lt;&gt;".")=TRUE,R598/VLOOKUP(G598,'Exchange Rates'!B:C,2,0),IF(R598=".",".",""))</f>
        <v/>
      </c>
      <c r="T598" s="1185" t="str">
        <f>IF(AD598=1,IF(AF598="Value is not given at all",".",IF(AF598="Value is given by the source",S598,IF(AF598="Value is calculated with prices",(IF(SUMIFS(Q:Q,A:A,A598)&gt;0,SUMIFS(Q:Q,A:A,A598),"."))/VLOOKUP("USD",'Exchange Rates'!B:C,2,0),"Error with coding"))),"")</f>
        <v/>
      </c>
      <c r="U598" s="1184" t="s">
        <v>365</v>
      </c>
      <c r="V598" s="972" t="s">
        <v>1782</v>
      </c>
      <c r="W598" s="972" t="s">
        <v>1280</v>
      </c>
      <c r="X598" s="972" t="s">
        <v>364</v>
      </c>
      <c r="Y598" s="972" t="s">
        <v>364</v>
      </c>
      <c r="Z598" s="1184">
        <v>0</v>
      </c>
      <c r="AA598" s="1194">
        <v>1</v>
      </c>
      <c r="AB598" s="600" t="s">
        <v>1280</v>
      </c>
      <c r="AC598" s="1192" t="str">
        <f>""</f>
        <v/>
      </c>
      <c r="AD598" s="985">
        <v>0</v>
      </c>
      <c r="AE598" s="1194" t="s">
        <v>368</v>
      </c>
      <c r="AF598" s="985" t="s">
        <v>369</v>
      </c>
      <c r="AG598" s="1194">
        <v>0</v>
      </c>
      <c r="AH598" s="1194">
        <v>0</v>
      </c>
      <c r="AI598" s="985">
        <v>0</v>
      </c>
      <c r="AJ598" s="1193">
        <f>VLOOKUP($I598,'Price List, Weapons &amp; Items'!B:F,5,0)</f>
        <v>0</v>
      </c>
      <c r="AK598" s="1193">
        <f t="shared" si="134"/>
        <v>0</v>
      </c>
      <c r="AL598" s="1193">
        <f t="shared" si="135"/>
        <v>0</v>
      </c>
      <c r="AM598" s="1193">
        <f t="shared" si="136"/>
        <v>0</v>
      </c>
      <c r="AN598" s="1194" t="str">
        <f>VLOOKUP($I598,'Price List, Weapons &amp; Items'!B:L,COLUMN('Price List, Weapons &amp; Items'!$J$11)-1,0)</f>
        <v>Media reports (incl. social media)</v>
      </c>
      <c r="AO598" s="1194" t="str">
        <f>IF(I598=".",".",VLOOKUP($I598,'Price List, Weapons &amp; Items'!B:J,3,0))</f>
        <v>non combat military vehicle</v>
      </c>
      <c r="AP598" s="1195" t="str">
        <f t="shared" ca="1" si="130"/>
        <v/>
      </c>
      <c r="AQ598" s="1194">
        <f>VLOOKUP($I598,'Price List, Weapons &amp; Items'!B:L,COLUMN('Price List, Weapons &amp; Items'!$L$11)-1,0)</f>
        <v>2</v>
      </c>
      <c r="AR598" s="1194">
        <f t="shared" si="137"/>
        <v>1</v>
      </c>
      <c r="AS598" s="1194">
        <f t="shared" si="138"/>
        <v>1</v>
      </c>
      <c r="AT598" s="1194" t="str">
        <f t="shared" si="139"/>
        <v>Value is not in date format</v>
      </c>
      <c r="AU598" s="1194" t="str">
        <f t="shared" si="140"/>
        <v>.</v>
      </c>
      <c r="AV598" s="1194" t="str">
        <f t="shared" si="131"/>
        <v>.</v>
      </c>
      <c r="AW598" s="1194" t="str">
        <f t="shared" si="141"/>
        <v>.</v>
      </c>
      <c r="AX598" s="1194">
        <f>IFERROR(VLOOKUP(B598,'Share, Heavy Weapons to Ukraine'!B:Z,COLUMN('Share, Heavy Weapons to Ukraine'!C608)-1,0),0)</f>
        <v>0</v>
      </c>
      <c r="AY598" s="1194">
        <f>VLOOKUP('Bilateral Assistance, MAIN DATA'!B598,'Country Summary (€)'!B:F,COLUMN('Country Summary (€)'!C609)-1,FALSE)</f>
        <v>1</v>
      </c>
      <c r="AZ598" s="1194" t="str">
        <f>IF(AND(AD598=1,D598="Military",H598&lt;&gt;"Not given")=TRUE,IF(SUMIFS(P:P,A:A,A598)&gt;0,ABS((SUMIFS(P:P,A:A,A598)/VLOOKUP("USD",'Exchange Rates'!B:C,2,0)))/S598,"."),".")</f>
        <v>.</v>
      </c>
      <c r="BA598" s="1196" t="str">
        <f>IF(AND(AD598=1,D598="Military",H598&lt;&gt;"Not given")=TRUE,IF(SUMIFS(P:P,A:A,A598)&gt;0,IF((ABS((SUMIFS(P:P,A:A,A598)/VLOOKUP("USD",'Exchange Rates'!B:C,2,0)))/S598)&gt;1,(SUMIFS(P:P,A:A,A598)-S598)/S598,(S598-SUMIFS(P:P,A:A,A598))/SUMIFS(P:P,A:A,A598)),"."),".")</f>
        <v>.</v>
      </c>
    </row>
    <row r="599" spans="1:53" ht="15.95" customHeight="1">
      <c r="A599" s="1182" t="s">
        <v>1796</v>
      </c>
      <c r="B599" s="1182" t="s">
        <v>1711</v>
      </c>
      <c r="C599" s="1181" t="s">
        <v>1797</v>
      </c>
      <c r="D599" s="1182" t="s">
        <v>389</v>
      </c>
      <c r="E599" s="1182" t="s">
        <v>1676</v>
      </c>
      <c r="F599" s="1263" t="s">
        <v>1806</v>
      </c>
      <c r="G599" s="1184" t="s">
        <v>483</v>
      </c>
      <c r="H599" s="1185">
        <v>6750000000</v>
      </c>
      <c r="I599" s="1266" t="s">
        <v>1858</v>
      </c>
      <c r="J599" s="1186" t="str">
        <f>VLOOKUP($I599,'Price List, Weapons &amp; Items'!B:C,2,0)</f>
        <v>Military equipment</v>
      </c>
      <c r="K599" s="1186" t="str">
        <f>IF(I599=".",I599,VLOOKUP($I599,'Price List, Weapons &amp; Items'!B:D,3,0))</f>
        <v>Infantry fighting vehicle (IFV)</v>
      </c>
      <c r="L599" s="1187">
        <f>VLOOKUP(I599,'Price List, Weapons &amp; Items'!B:E,4,0)</f>
        <v>0</v>
      </c>
      <c r="M599" s="1188">
        <v>40</v>
      </c>
      <c r="N599" s="1275">
        <v>40</v>
      </c>
      <c r="O599" s="1188">
        <f>VLOOKUP($I599,'Price List, Weapons &amp; Items'!B:G,6,0)</f>
        <v>1530000</v>
      </c>
      <c r="P599" s="1185">
        <f t="shared" si="132"/>
        <v>61200000</v>
      </c>
      <c r="Q599" s="1185">
        <f t="shared" si="133"/>
        <v>61200000</v>
      </c>
      <c r="R599" s="1185" t="str">
        <f t="shared" si="129"/>
        <v/>
      </c>
      <c r="S599" s="1185" t="str">
        <f>IF(AND(AD599=1,R599&lt;&gt;".")=TRUE,R599/VLOOKUP(G599,'Exchange Rates'!B:C,2,0),IF(R599=".",".",""))</f>
        <v/>
      </c>
      <c r="T599" s="1185" t="str">
        <f>IF(AD599=1,IF(AF599="Value is not given at all",".",IF(AF599="Value is given by the source",S599,IF(AF599="Value is calculated with prices",(IF(SUMIFS(Q:Q,A:A,A599)&gt;0,SUMIFS(Q:Q,A:A,A599),"."))/VLOOKUP("USD",'Exchange Rates'!B:C,2,0),"Error with coding"))),"")</f>
        <v/>
      </c>
      <c r="U599" s="1184" t="s">
        <v>365</v>
      </c>
      <c r="V599" s="972" t="s">
        <v>1782</v>
      </c>
      <c r="W599" s="972" t="s">
        <v>1280</v>
      </c>
      <c r="X599" s="972" t="s">
        <v>364</v>
      </c>
      <c r="Y599" s="972" t="s">
        <v>364</v>
      </c>
      <c r="Z599" s="1184">
        <v>0</v>
      </c>
      <c r="AA599" s="1194">
        <v>1</v>
      </c>
      <c r="AB599" s="600" t="s">
        <v>1280</v>
      </c>
      <c r="AC599" s="1192" t="str">
        <f>""</f>
        <v/>
      </c>
      <c r="AD599" s="985">
        <v>0</v>
      </c>
      <c r="AE599" s="1194" t="s">
        <v>368</v>
      </c>
      <c r="AF599" s="985" t="s">
        <v>369</v>
      </c>
      <c r="AG599" s="985">
        <v>1</v>
      </c>
      <c r="AH599" s="985">
        <v>13</v>
      </c>
      <c r="AI599" s="985">
        <v>0</v>
      </c>
      <c r="AJ599" s="1193">
        <f>VLOOKUP($I599,'Price List, Weapons &amp; Items'!B:F,5,0)</f>
        <v>1</v>
      </c>
      <c r="AK599" s="1193">
        <f t="shared" si="134"/>
        <v>0</v>
      </c>
      <c r="AL599" s="1193">
        <f t="shared" si="135"/>
        <v>0</v>
      </c>
      <c r="AM599" s="1193">
        <f t="shared" si="136"/>
        <v>0</v>
      </c>
      <c r="AN599" s="1194" t="str">
        <f>VLOOKUP($I599,'Price List, Weapons &amp; Items'!B:L,COLUMN('Price List, Weapons &amp; Items'!$J$11)-1,0)</f>
        <v>Media reports (incl. social media)</v>
      </c>
      <c r="AO599" s="1194" t="str">
        <f>IF(I599=".",".",VLOOKUP($I599,'Price List, Weapons &amp; Items'!B:J,3,0))</f>
        <v>Infantry fighting vehicle (IFV)</v>
      </c>
      <c r="AP599" s="1195" t="str">
        <f t="shared" ca="1" si="130"/>
        <v/>
      </c>
      <c r="AQ599" s="1194">
        <f>VLOOKUP($I599,'Price List, Weapons &amp; Items'!B:L,COLUMN('Price List, Weapons &amp; Items'!$L$11)-1,0)</f>
        <v>2</v>
      </c>
      <c r="AR599" s="1194">
        <f t="shared" si="137"/>
        <v>1</v>
      </c>
      <c r="AS599" s="1194">
        <f t="shared" si="138"/>
        <v>1</v>
      </c>
      <c r="AT599" s="1194" t="str">
        <f t="shared" si="139"/>
        <v>Value is not in date format</v>
      </c>
      <c r="AU599" s="1194" t="str">
        <f t="shared" si="140"/>
        <v>.</v>
      </c>
      <c r="AV599" s="1194" t="str">
        <f t="shared" si="131"/>
        <v>.</v>
      </c>
      <c r="AW599" s="1194" t="str">
        <f t="shared" si="141"/>
        <v>.</v>
      </c>
      <c r="AX599" s="1194">
        <f>IFERROR(VLOOKUP(B599,'Share, Heavy Weapons to Ukraine'!B:Z,COLUMN('Share, Heavy Weapons to Ukraine'!C609)-1,0),0)</f>
        <v>0</v>
      </c>
      <c r="AY599" s="1194">
        <f>VLOOKUP('Bilateral Assistance, MAIN DATA'!B599,'Country Summary (€)'!B:F,COLUMN('Country Summary (€)'!C610)-1,FALSE)</f>
        <v>1</v>
      </c>
      <c r="AZ599" s="1194" t="str">
        <f>IF(AND(AD599=1,D599="Military",H599&lt;&gt;"Not given")=TRUE,IF(SUMIFS(P:P,A:A,A599)&gt;0,ABS((SUMIFS(P:P,A:A,A599)/VLOOKUP("USD",'Exchange Rates'!B:C,2,0)))/S599,"."),".")</f>
        <v>.</v>
      </c>
      <c r="BA599" s="1196" t="str">
        <f>IF(AND(AD599=1,D599="Military",H599&lt;&gt;"Not given")=TRUE,IF(SUMIFS(P:P,A:A,A599)&gt;0,IF((ABS((SUMIFS(P:P,A:A,A599)/VLOOKUP("USD",'Exchange Rates'!B:C,2,0)))/S599)&gt;1,(SUMIFS(P:P,A:A,A599)-S599)/S599,(S599-SUMIFS(P:P,A:A,A599))/SUMIFS(P:P,A:A,A599)),"."),".")</f>
        <v>.</v>
      </c>
    </row>
    <row r="600" spans="1:53" ht="15.95" customHeight="1">
      <c r="A600" s="1182" t="s">
        <v>1796</v>
      </c>
      <c r="B600" s="1182" t="s">
        <v>1711</v>
      </c>
      <c r="C600" s="1181" t="s">
        <v>1797</v>
      </c>
      <c r="D600" s="1182" t="s">
        <v>389</v>
      </c>
      <c r="E600" s="1182" t="s">
        <v>1676</v>
      </c>
      <c r="F600" s="1263" t="s">
        <v>1806</v>
      </c>
      <c r="G600" s="1184" t="s">
        <v>483</v>
      </c>
      <c r="H600" s="1185">
        <v>6750000000</v>
      </c>
      <c r="I600" s="1266" t="s">
        <v>1859</v>
      </c>
      <c r="J600" s="1186" t="str">
        <f>VLOOKUP($I600,'Price List, Weapons &amp; Items'!B:C,2,0)</f>
        <v>Military equipment</v>
      </c>
      <c r="K600" s="1186" t="str">
        <f>IF(I600=".",I600,VLOOKUP($I600,'Price List, Weapons &amp; Items'!B:D,3,0))</f>
        <v>Military equipment</v>
      </c>
      <c r="L600" s="1187">
        <f>VLOOKUP(I600,'Price List, Weapons &amp; Items'!B:E,4,0)</f>
        <v>0</v>
      </c>
      <c r="M600" s="1188" t="s">
        <v>374</v>
      </c>
      <c r="N600" s="1188" t="s">
        <v>374</v>
      </c>
      <c r="O600" s="1188" t="str">
        <f>VLOOKUP($I600,'Price List, Weapons &amp; Items'!B:G,6,0)</f>
        <v>.</v>
      </c>
      <c r="P600" s="1185" t="str">
        <f t="shared" si="132"/>
        <v>.</v>
      </c>
      <c r="Q600" s="1185" t="str">
        <f t="shared" si="133"/>
        <v>.</v>
      </c>
      <c r="R600" s="1185" t="str">
        <f t="shared" si="129"/>
        <v/>
      </c>
      <c r="S600" s="1185" t="str">
        <f>IF(AND(AD600=1,R600&lt;&gt;".")=TRUE,R600/VLOOKUP(G600,'Exchange Rates'!B:C,2,0),IF(R600=".",".",""))</f>
        <v/>
      </c>
      <c r="T600" s="1185" t="str">
        <f>IF(AD600=1,IF(AF600="Value is not given at all",".",IF(AF600="Value is given by the source",S600,IF(AF600="Value is calculated with prices",(IF(SUMIFS(Q:Q,A:A,A600)&gt;0,SUMIFS(Q:Q,A:A,A600),"."))/VLOOKUP("USD",'Exchange Rates'!B:C,2,0),"Error with coding"))),"")</f>
        <v/>
      </c>
      <c r="U600" s="1184" t="s">
        <v>365</v>
      </c>
      <c r="V600" s="972" t="s">
        <v>1782</v>
      </c>
      <c r="W600" s="972" t="s">
        <v>1280</v>
      </c>
      <c r="X600" s="972" t="s">
        <v>364</v>
      </c>
      <c r="Y600" s="972" t="s">
        <v>364</v>
      </c>
      <c r="Z600" s="1184">
        <v>0</v>
      </c>
      <c r="AA600" s="1194">
        <v>0</v>
      </c>
      <c r="AB600" s="600" t="s">
        <v>1280</v>
      </c>
      <c r="AC600" s="1192" t="str">
        <f>""</f>
        <v/>
      </c>
      <c r="AD600" s="985">
        <v>0</v>
      </c>
      <c r="AE600" s="1194" t="s">
        <v>368</v>
      </c>
      <c r="AF600" s="985" t="s">
        <v>369</v>
      </c>
      <c r="AG600" s="985">
        <v>1</v>
      </c>
      <c r="AH600" s="985">
        <v>13</v>
      </c>
      <c r="AI600" s="985">
        <v>0</v>
      </c>
      <c r="AJ600" s="1193">
        <f>VLOOKUP($I600,'Price List, Weapons &amp; Items'!B:F,5,0)</f>
        <v>0</v>
      </c>
      <c r="AK600" s="1193">
        <f t="shared" si="134"/>
        <v>0</v>
      </c>
      <c r="AL600" s="1193">
        <f t="shared" si="135"/>
        <v>0</v>
      </c>
      <c r="AM600" s="1193">
        <f t="shared" si="136"/>
        <v>0</v>
      </c>
      <c r="AN600" s="1194" t="str">
        <f>VLOOKUP($I600,'Price List, Weapons &amp; Items'!B:L,COLUMN('Price List, Weapons &amp; Items'!$J$11)-1,0)</f>
        <v>.</v>
      </c>
      <c r="AO600" s="1194" t="str">
        <f>IF(I600=".",".",VLOOKUP($I600,'Price List, Weapons &amp; Items'!B:J,3,0))</f>
        <v>Military equipment</v>
      </c>
      <c r="AP600" s="1195" t="str">
        <f t="shared" ca="1" si="130"/>
        <v/>
      </c>
      <c r="AQ600" s="1194" t="str">
        <f>VLOOKUP($I600,'Price List, Weapons &amp; Items'!B:L,COLUMN('Price List, Weapons &amp; Items'!$L$11)-1,0)</f>
        <v>no price, 0 count</v>
      </c>
      <c r="AR600" s="1194">
        <f t="shared" si="137"/>
        <v>1</v>
      </c>
      <c r="AS600" s="1194">
        <f t="shared" si="138"/>
        <v>1</v>
      </c>
      <c r="AT600" s="1194" t="str">
        <f t="shared" si="139"/>
        <v>Value is not in date format</v>
      </c>
      <c r="AU600" s="1194" t="str">
        <f t="shared" si="140"/>
        <v>.</v>
      </c>
      <c r="AV600" s="1194" t="str">
        <f t="shared" si="131"/>
        <v>.</v>
      </c>
      <c r="AW600" s="1194" t="str">
        <f t="shared" si="141"/>
        <v>.</v>
      </c>
      <c r="AX600" s="1194">
        <f>IFERROR(VLOOKUP(B600,'Share, Heavy Weapons to Ukraine'!B:Z,COLUMN('Share, Heavy Weapons to Ukraine'!C610)-1,0),0)</f>
        <v>0</v>
      </c>
      <c r="AY600" s="1194">
        <f>VLOOKUP('Bilateral Assistance, MAIN DATA'!B600,'Country Summary (€)'!B:F,COLUMN('Country Summary (€)'!C611)-1,FALSE)</f>
        <v>1</v>
      </c>
      <c r="AZ600" s="1194" t="str">
        <f>IF(AND(AD600=1,D600="Military",H600&lt;&gt;"Not given")=TRUE,IF(SUMIFS(P:P,A:A,A600)&gt;0,ABS((SUMIFS(P:P,A:A,A600)/VLOOKUP("USD",'Exchange Rates'!B:C,2,0)))/S600,"."),".")</f>
        <v>.</v>
      </c>
      <c r="BA600" s="1196" t="str">
        <f>IF(AND(AD600=1,D600="Military",H600&lt;&gt;"Not given")=TRUE,IF(SUMIFS(P:P,A:A,A600)&gt;0,IF((ABS((SUMIFS(P:P,A:A,A600)/VLOOKUP("USD",'Exchange Rates'!B:C,2,0)))/S600)&gt;1,(SUMIFS(P:P,A:A,A600)-S600)/S600,(S600-SUMIFS(P:P,A:A,A600))/SUMIFS(P:P,A:A,A600)),"."),".")</f>
        <v>.</v>
      </c>
    </row>
    <row r="601" spans="1:53" ht="15.95" customHeight="1">
      <c r="A601" s="1182" t="s">
        <v>1796</v>
      </c>
      <c r="B601" s="1182" t="s">
        <v>1711</v>
      </c>
      <c r="C601" s="1181" t="s">
        <v>1797</v>
      </c>
      <c r="D601" s="1182" t="s">
        <v>389</v>
      </c>
      <c r="E601" s="1182" t="s">
        <v>1676</v>
      </c>
      <c r="F601" s="1263" t="s">
        <v>1806</v>
      </c>
      <c r="G601" s="1184" t="s">
        <v>483</v>
      </c>
      <c r="H601" s="1185">
        <v>6750000000</v>
      </c>
      <c r="I601" s="1266" t="s">
        <v>1860</v>
      </c>
      <c r="J601" s="1186" t="str">
        <f>VLOOKUP($I601,'Price List, Weapons &amp; Items'!B:C,2,0)</f>
        <v xml:space="preserve">Military equipment </v>
      </c>
      <c r="K601" s="1186" t="str">
        <f>IF(I601=".",I601,VLOOKUP($I601,'Price List, Weapons &amp; Items'!B:D,3,0))</f>
        <v>Radar or imagery systems</v>
      </c>
      <c r="L601" s="1187">
        <f>VLOOKUP(I601,'Price List, Weapons &amp; Items'!B:E,4,0)</f>
        <v>0</v>
      </c>
      <c r="M601" s="1188">
        <v>8</v>
      </c>
      <c r="N601" s="1275">
        <v>1</v>
      </c>
      <c r="O601" s="1188" t="str">
        <f>VLOOKUP($I601,'Price List, Weapons &amp; Items'!B:G,6,0)</f>
        <v>.</v>
      </c>
      <c r="P601" s="1185" t="str">
        <f t="shared" si="132"/>
        <v>No price</v>
      </c>
      <c r="Q601" s="1185" t="str">
        <f t="shared" si="133"/>
        <v>No price</v>
      </c>
      <c r="R601" s="1185" t="str">
        <f t="shared" si="129"/>
        <v/>
      </c>
      <c r="S601" s="1185" t="str">
        <f>IF(AND(AD601=1,R601&lt;&gt;".")=TRUE,R601/VLOOKUP(G601,'Exchange Rates'!B:C,2,0),IF(R601=".",".",""))</f>
        <v/>
      </c>
      <c r="T601" s="1185" t="str">
        <f>IF(AD601=1,IF(AF601="Value is not given at all",".",IF(AF601="Value is given by the source",S601,IF(AF601="Value is calculated with prices",(IF(SUMIFS(Q:Q,A:A,A601)&gt;0,SUMIFS(Q:Q,A:A,A601),"."))/VLOOKUP("USD",'Exchange Rates'!B:C,2,0),"Error with coding"))),"")</f>
        <v/>
      </c>
      <c r="U601" s="1184" t="s">
        <v>365</v>
      </c>
      <c r="V601" s="972" t="s">
        <v>1782</v>
      </c>
      <c r="W601" s="972" t="s">
        <v>1280</v>
      </c>
      <c r="X601" s="972" t="s">
        <v>364</v>
      </c>
      <c r="Y601" s="972" t="s">
        <v>364</v>
      </c>
      <c r="Z601" s="1184">
        <v>0</v>
      </c>
      <c r="AA601" s="1194">
        <v>1</v>
      </c>
      <c r="AB601" s="600" t="s">
        <v>1280</v>
      </c>
      <c r="AC601" s="1192" t="str">
        <f>""</f>
        <v/>
      </c>
      <c r="AD601" s="985">
        <v>0</v>
      </c>
      <c r="AE601" s="1194" t="s">
        <v>368</v>
      </c>
      <c r="AF601" s="985" t="s">
        <v>436</v>
      </c>
      <c r="AG601" s="985">
        <v>1</v>
      </c>
      <c r="AH601" s="985">
        <v>13</v>
      </c>
      <c r="AI601" s="985">
        <v>0</v>
      </c>
      <c r="AJ601" s="1193">
        <f>VLOOKUP($I601,'Price List, Weapons &amp; Items'!B:F,5,0)</f>
        <v>0</v>
      </c>
      <c r="AK601" s="1193">
        <f t="shared" si="134"/>
        <v>0</v>
      </c>
      <c r="AL601" s="1193">
        <f t="shared" si="135"/>
        <v>0</v>
      </c>
      <c r="AM601" s="1193">
        <f t="shared" si="136"/>
        <v>0</v>
      </c>
      <c r="AN601" s="1194" t="str">
        <f>VLOOKUP($I601,'Price List, Weapons &amp; Items'!B:L,COLUMN('Price List, Weapons &amp; Items'!$J$11)-1,0)</f>
        <v>.</v>
      </c>
      <c r="AO601" s="1194" t="str">
        <f>IF(I601=".",".",VLOOKUP($I601,'Price List, Weapons &amp; Items'!B:J,3,0))</f>
        <v>Radar or imagery systems</v>
      </c>
      <c r="AP601" s="1195" t="str">
        <f t="shared" ca="1" si="130"/>
        <v/>
      </c>
      <c r="AQ601" s="1194">
        <f>VLOOKUP($I601,'Price List, Weapons &amp; Items'!B:L,COLUMN('Price List, Weapons &amp; Items'!$L$11)-1,0)</f>
        <v>0</v>
      </c>
      <c r="AR601" s="1194">
        <f t="shared" si="137"/>
        <v>1</v>
      </c>
      <c r="AS601" s="1194">
        <f t="shared" si="138"/>
        <v>1</v>
      </c>
      <c r="AT601" s="1194" t="str">
        <f t="shared" si="139"/>
        <v>Value is not in date format</v>
      </c>
      <c r="AU601" s="1194" t="str">
        <f t="shared" si="140"/>
        <v>.</v>
      </c>
      <c r="AV601" s="1194" t="str">
        <f t="shared" si="131"/>
        <v>.</v>
      </c>
      <c r="AW601" s="1194" t="str">
        <f t="shared" si="141"/>
        <v>.</v>
      </c>
      <c r="AX601" s="1194">
        <f>IFERROR(VLOOKUP(B601,'Share, Heavy Weapons to Ukraine'!B:Z,COLUMN('Share, Heavy Weapons to Ukraine'!C611)-1,0),0)</f>
        <v>0</v>
      </c>
      <c r="AY601" s="1194">
        <f>VLOOKUP('Bilateral Assistance, MAIN DATA'!B601,'Country Summary (€)'!B:F,COLUMN('Country Summary (€)'!C612)-1,FALSE)</f>
        <v>1</v>
      </c>
      <c r="AZ601" s="1194" t="str">
        <f>IF(AND(AD601=1,D601="Military",H601&lt;&gt;"Not given")=TRUE,IF(SUMIFS(P:P,A:A,A601)&gt;0,ABS((SUMIFS(P:P,A:A,A601)/VLOOKUP("USD",'Exchange Rates'!B:C,2,0)))/S601,"."),".")</f>
        <v>.</v>
      </c>
      <c r="BA601" s="1196" t="str">
        <f>IF(AND(AD601=1,D601="Military",H601&lt;&gt;"Not given")=TRUE,IF(SUMIFS(P:P,A:A,A601)&gt;0,IF((ABS((SUMIFS(P:P,A:A,A601)/VLOOKUP("USD",'Exchange Rates'!B:C,2,0)))/S601)&gt;1,(SUMIFS(P:P,A:A,A601)-S601)/S601,(S601-SUMIFS(P:P,A:A,A601))/SUMIFS(P:P,A:A,A601)),"."),".")</f>
        <v>.</v>
      </c>
    </row>
    <row r="602" spans="1:53" ht="15.95" customHeight="1">
      <c r="A602" s="1182" t="s">
        <v>1796</v>
      </c>
      <c r="B602" s="1182" t="s">
        <v>1711</v>
      </c>
      <c r="C602" s="1181" t="s">
        <v>1797</v>
      </c>
      <c r="D602" s="1182" t="s">
        <v>389</v>
      </c>
      <c r="E602" s="1182" t="s">
        <v>1676</v>
      </c>
      <c r="F602" s="1263" t="s">
        <v>1806</v>
      </c>
      <c r="G602" s="1184" t="s">
        <v>483</v>
      </c>
      <c r="H602" s="1185">
        <v>6750000000</v>
      </c>
      <c r="I602" s="1266" t="s">
        <v>1849</v>
      </c>
      <c r="J602" s="1186" t="str">
        <f>VLOOKUP($I602,'Price List, Weapons &amp; Items'!B:C,2,0)</f>
        <v>Military equipment</v>
      </c>
      <c r="K602" s="1186" t="str">
        <f>IF(I602=".",I602,VLOOKUP($I602,'Price List, Weapons &amp; Items'!B:D,3,0))</f>
        <v>Armored Utility Vehicle (AUV)</v>
      </c>
      <c r="L602" s="1187">
        <f>VLOOKUP(I602,'Price List, Weapons &amp; Items'!B:E,4,0)</f>
        <v>0</v>
      </c>
      <c r="M602" s="1188">
        <v>81</v>
      </c>
      <c r="N602" s="1275">
        <v>3</v>
      </c>
      <c r="O602" s="1188">
        <f>VLOOKUP($I602,'Price List, Weapons &amp; Items'!B:G,6,0)</f>
        <v>120000</v>
      </c>
      <c r="P602" s="1185">
        <f t="shared" si="132"/>
        <v>9720000</v>
      </c>
      <c r="Q602" s="1185">
        <f t="shared" si="133"/>
        <v>360000</v>
      </c>
      <c r="R602" s="1185" t="str">
        <f t="shared" si="129"/>
        <v/>
      </c>
      <c r="S602" s="1185" t="str">
        <f>IF(AND(AD602=1,R602&lt;&gt;".")=TRUE,R602/VLOOKUP(G602,'Exchange Rates'!B:C,2,0),IF(R602=".",".",""))</f>
        <v/>
      </c>
      <c r="T602" s="1185" t="str">
        <f>IF(AD602=1,IF(AF602="Value is not given at all",".",IF(AF602="Value is given by the source",S602,IF(AF602="Value is calculated with prices",(IF(SUMIFS(Q:Q,A:A,A602)&gt;0,SUMIFS(Q:Q,A:A,A602),"."))/VLOOKUP("USD",'Exchange Rates'!B:C,2,0),"Error with coding"))),"")</f>
        <v/>
      </c>
      <c r="U602" s="1184" t="s">
        <v>365</v>
      </c>
      <c r="V602" s="972" t="s">
        <v>1782</v>
      </c>
      <c r="W602" s="972" t="s">
        <v>1280</v>
      </c>
      <c r="X602" s="972" t="s">
        <v>364</v>
      </c>
      <c r="Y602" s="972" t="s">
        <v>364</v>
      </c>
      <c r="Z602" s="1184">
        <v>0</v>
      </c>
      <c r="AA602" s="1194">
        <v>1</v>
      </c>
      <c r="AB602" s="600" t="s">
        <v>1280</v>
      </c>
      <c r="AC602" s="1192" t="str">
        <f>""</f>
        <v/>
      </c>
      <c r="AD602" s="985">
        <v>0</v>
      </c>
      <c r="AE602" s="1194" t="s">
        <v>368</v>
      </c>
      <c r="AF602" s="985" t="s">
        <v>436</v>
      </c>
      <c r="AG602" s="985">
        <v>1</v>
      </c>
      <c r="AH602" s="985">
        <v>13</v>
      </c>
      <c r="AI602" s="985">
        <v>0</v>
      </c>
      <c r="AJ602" s="1193">
        <f>VLOOKUP($I602,'Price List, Weapons &amp; Items'!B:F,5,0)</f>
        <v>1</v>
      </c>
      <c r="AK602" s="1193">
        <f t="shared" si="134"/>
        <v>0</v>
      </c>
      <c r="AL602" s="1193">
        <f t="shared" si="135"/>
        <v>0</v>
      </c>
      <c r="AM602" s="1193">
        <f t="shared" si="136"/>
        <v>0</v>
      </c>
      <c r="AN602" s="1194" t="str">
        <f>VLOOKUP($I602,'Price List, Weapons &amp; Items'!B:L,COLUMN('Price List, Weapons &amp; Items'!$J$11)-1,0)</f>
        <v>Online marketplaces and stores</v>
      </c>
      <c r="AO602" s="1194" t="str">
        <f>IF(I602=".",".",VLOOKUP($I602,'Price List, Weapons &amp; Items'!B:J,3,0))</f>
        <v>Armored Utility Vehicle (AUV)</v>
      </c>
      <c r="AP602" s="1195" t="str">
        <f t="shared" ca="1" si="130"/>
        <v/>
      </c>
      <c r="AQ602" s="1194">
        <f>VLOOKUP($I602,'Price List, Weapons &amp; Items'!B:L,COLUMN('Price List, Weapons &amp; Items'!$L$11)-1,0)</f>
        <v>2</v>
      </c>
      <c r="AR602" s="1194">
        <f t="shared" si="137"/>
        <v>1</v>
      </c>
      <c r="AS602" s="1194">
        <f t="shared" si="138"/>
        <v>1</v>
      </c>
      <c r="AT602" s="1194" t="str">
        <f t="shared" si="139"/>
        <v>Value is not in date format</v>
      </c>
      <c r="AU602" s="1194" t="str">
        <f t="shared" si="140"/>
        <v>.</v>
      </c>
      <c r="AV602" s="1194" t="str">
        <f t="shared" si="131"/>
        <v>.</v>
      </c>
      <c r="AW602" s="1194" t="str">
        <f t="shared" si="141"/>
        <v>.</v>
      </c>
      <c r="AX602" s="1194">
        <f>IFERROR(VLOOKUP(B602,'Share, Heavy Weapons to Ukraine'!B:Z,COLUMN('Share, Heavy Weapons to Ukraine'!C612)-1,0),0)</f>
        <v>0</v>
      </c>
      <c r="AY602" s="1194">
        <f>VLOOKUP('Bilateral Assistance, MAIN DATA'!B602,'Country Summary (€)'!B:F,COLUMN('Country Summary (€)'!C613)-1,FALSE)</f>
        <v>1</v>
      </c>
      <c r="AZ602" s="1194" t="str">
        <f>IF(AND(AD602=1,D602="Military",H602&lt;&gt;"Not given")=TRUE,IF(SUMIFS(P:P,A:A,A602)&gt;0,ABS((SUMIFS(P:P,A:A,A602)/VLOOKUP("USD",'Exchange Rates'!B:C,2,0)))/S602,"."),".")</f>
        <v>.</v>
      </c>
      <c r="BA602" s="1196" t="str">
        <f>IF(AND(AD602=1,D602="Military",H602&lt;&gt;"Not given")=TRUE,IF(SUMIFS(P:P,A:A,A602)&gt;0,IF((ABS((SUMIFS(P:P,A:A,A602)/VLOOKUP("USD",'Exchange Rates'!B:C,2,0)))/S602)&gt;1,(SUMIFS(P:P,A:A,A602)-S602)/S602,(S602-SUMIFS(P:P,A:A,A602))/SUMIFS(P:P,A:A,A602)),"."),".")</f>
        <v>.</v>
      </c>
    </row>
    <row r="603" spans="1:53" ht="15.95" customHeight="1">
      <c r="A603" s="1182" t="s">
        <v>1796</v>
      </c>
      <c r="B603" s="1182" t="s">
        <v>1711</v>
      </c>
      <c r="C603" s="1181" t="s">
        <v>1797</v>
      </c>
      <c r="D603" s="1182" t="s">
        <v>389</v>
      </c>
      <c r="E603" s="1182" t="s">
        <v>1676</v>
      </c>
      <c r="F603" s="1263" t="s">
        <v>1806</v>
      </c>
      <c r="G603" s="1184" t="s">
        <v>483</v>
      </c>
      <c r="H603" s="1185">
        <v>6750000000</v>
      </c>
      <c r="I603" s="1190" t="s">
        <v>1844</v>
      </c>
      <c r="J603" s="1186" t="str">
        <f>VLOOKUP($I603,'Price List, Weapons &amp; Items'!B:C,2,0)</f>
        <v>Military equipment</v>
      </c>
      <c r="K603" s="1186" t="str">
        <f>IF(I603=".",I603,VLOOKUP($I603,'Price List, Weapons &amp; Items'!B:D,3,0))</f>
        <v>non combat military vehicle</v>
      </c>
      <c r="L603" s="1187">
        <f>VLOOKUP(I603,'Price List, Weapons &amp; Items'!B:E,4,0)</f>
        <v>0</v>
      </c>
      <c r="M603" s="1188">
        <v>150</v>
      </c>
      <c r="N603" s="1275">
        <v>2</v>
      </c>
      <c r="O603" s="1188" t="str">
        <f>VLOOKUP($I603,'Price List, Weapons &amp; Items'!B:G,6,0)</f>
        <v>.</v>
      </c>
      <c r="P603" s="1185" t="str">
        <f t="shared" si="132"/>
        <v>No price</v>
      </c>
      <c r="Q603" s="1185" t="str">
        <f t="shared" si="133"/>
        <v>No price</v>
      </c>
      <c r="R603" s="1185" t="str">
        <f t="shared" si="129"/>
        <v/>
      </c>
      <c r="S603" s="1185" t="str">
        <f>IF(AND(AD603=1,R603&lt;&gt;".")=TRUE,R603/VLOOKUP(G603,'Exchange Rates'!B:C,2,0),IF(R603=".",".",""))</f>
        <v/>
      </c>
      <c r="T603" s="1185" t="str">
        <f>IF(AD603=1,IF(AF603="Value is not given at all",".",IF(AF603="Value is given by the source",S603,IF(AF603="Value is calculated with prices",(IF(SUMIFS(Q:Q,A:A,A603)&gt;0,SUMIFS(Q:Q,A:A,A603),"."))/VLOOKUP("USD",'Exchange Rates'!B:C,2,0),"Error with coding"))),"")</f>
        <v/>
      </c>
      <c r="U603" s="1184" t="s">
        <v>365</v>
      </c>
      <c r="V603" s="972" t="s">
        <v>1782</v>
      </c>
      <c r="W603" s="972" t="s">
        <v>1280</v>
      </c>
      <c r="X603" s="972" t="s">
        <v>364</v>
      </c>
      <c r="Y603" s="972" t="s">
        <v>364</v>
      </c>
      <c r="Z603" s="1184">
        <v>0</v>
      </c>
      <c r="AA603" s="1194">
        <v>1</v>
      </c>
      <c r="AB603" s="600" t="s">
        <v>1280</v>
      </c>
      <c r="AC603" s="1192" t="str">
        <f>""</f>
        <v/>
      </c>
      <c r="AD603" s="985">
        <v>0</v>
      </c>
      <c r="AE603" s="1194" t="s">
        <v>368</v>
      </c>
      <c r="AF603" s="985" t="s">
        <v>436</v>
      </c>
      <c r="AG603" s="985">
        <v>1</v>
      </c>
      <c r="AH603" s="985">
        <v>13</v>
      </c>
      <c r="AI603" s="985">
        <v>0</v>
      </c>
      <c r="AJ603" s="1193">
        <f>VLOOKUP($I603,'Price List, Weapons &amp; Items'!B:F,5,0)</f>
        <v>0</v>
      </c>
      <c r="AK603" s="1193">
        <f t="shared" si="134"/>
        <v>0</v>
      </c>
      <c r="AL603" s="1193">
        <f t="shared" si="135"/>
        <v>0</v>
      </c>
      <c r="AM603" s="1193">
        <f t="shared" si="136"/>
        <v>0</v>
      </c>
      <c r="AN603" s="1194" t="str">
        <f>VLOOKUP($I603,'Price List, Weapons &amp; Items'!B:L,COLUMN('Price List, Weapons &amp; Items'!$J$11)-1,0)</f>
        <v>.</v>
      </c>
      <c r="AO603" s="1194" t="str">
        <f>IF(I603=".",".",VLOOKUP($I603,'Price List, Weapons &amp; Items'!B:J,3,0))</f>
        <v>non combat military vehicle</v>
      </c>
      <c r="AP603" s="1195" t="str">
        <f t="shared" ca="1" si="130"/>
        <v/>
      </c>
      <c r="AQ603" s="1194">
        <f>VLOOKUP($I603,'Price List, Weapons &amp; Items'!B:L,COLUMN('Price List, Weapons &amp; Items'!$L$11)-1,0)</f>
        <v>0</v>
      </c>
      <c r="AR603" s="1194">
        <f t="shared" si="137"/>
        <v>1</v>
      </c>
      <c r="AS603" s="1194">
        <f t="shared" si="138"/>
        <v>1</v>
      </c>
      <c r="AT603" s="1194" t="str">
        <f t="shared" si="139"/>
        <v>Value is not in date format</v>
      </c>
      <c r="AU603" s="1194" t="str">
        <f t="shared" si="140"/>
        <v>.</v>
      </c>
      <c r="AV603" s="1194" t="str">
        <f t="shared" si="131"/>
        <v>.</v>
      </c>
      <c r="AW603" s="1194" t="str">
        <f t="shared" si="141"/>
        <v>.</v>
      </c>
      <c r="AX603" s="1194">
        <f>IFERROR(VLOOKUP(B603,'Share, Heavy Weapons to Ukraine'!B:Z,COLUMN('Share, Heavy Weapons to Ukraine'!C613)-1,0),0)</f>
        <v>0</v>
      </c>
      <c r="AY603" s="1194">
        <f>VLOOKUP('Bilateral Assistance, MAIN DATA'!B603,'Country Summary (€)'!B:F,COLUMN('Country Summary (€)'!C614)-1,FALSE)</f>
        <v>1</v>
      </c>
      <c r="AZ603" s="1194" t="str">
        <f>IF(AND(AD603=1,D603="Military",H603&lt;&gt;"Not given")=TRUE,IF(SUMIFS(P:P,A:A,A603)&gt;0,ABS((SUMIFS(P:P,A:A,A603)/VLOOKUP("USD",'Exchange Rates'!B:C,2,0)))/S603,"."),".")</f>
        <v>.</v>
      </c>
      <c r="BA603" s="1196" t="str">
        <f>IF(AND(AD603=1,D603="Military",H603&lt;&gt;"Not given")=TRUE,IF(SUMIFS(P:P,A:A,A603)&gt;0,IF((ABS((SUMIFS(P:P,A:A,A603)/VLOOKUP("USD",'Exchange Rates'!B:C,2,0)))/S603)&gt;1,(SUMIFS(P:P,A:A,A603)-S603)/S603,(S603-SUMIFS(P:P,A:A,A603))/SUMIFS(P:P,A:A,A603)),"."),".")</f>
        <v>.</v>
      </c>
    </row>
    <row r="604" spans="1:53" ht="15.95" customHeight="1">
      <c r="A604" s="1182" t="s">
        <v>1796</v>
      </c>
      <c r="B604" s="1182" t="s">
        <v>1711</v>
      </c>
      <c r="C604" s="1181" t="s">
        <v>1797</v>
      </c>
      <c r="D604" s="1182" t="s">
        <v>389</v>
      </c>
      <c r="E604" s="1182" t="s">
        <v>1676</v>
      </c>
      <c r="F604" s="1263" t="s">
        <v>1806</v>
      </c>
      <c r="G604" s="1184" t="s">
        <v>483</v>
      </c>
      <c r="H604" s="1185">
        <v>6750000000</v>
      </c>
      <c r="I604" s="1266" t="s">
        <v>1861</v>
      </c>
      <c r="J604" s="1186" t="str">
        <f>VLOOKUP($I604,'Price List, Weapons &amp; Items'!B:C,2,0)</f>
        <v xml:space="preserve">Military equipment </v>
      </c>
      <c r="K604" s="1186" t="str">
        <f>IF(I604=".",I604,VLOOKUP($I604,'Price List, Weapons &amp; Items'!B:D,3,0))</f>
        <v>Military equipment</v>
      </c>
      <c r="L604" s="1187">
        <f>VLOOKUP(I604,'Price List, Weapons &amp; Items'!B:E,4,0)</f>
        <v>0</v>
      </c>
      <c r="M604" s="1188">
        <v>50</v>
      </c>
      <c r="N604" s="1275">
        <v>42</v>
      </c>
      <c r="O604" s="1188" t="str">
        <f>VLOOKUP($I604,'Price List, Weapons &amp; Items'!B:G,6,0)</f>
        <v>.</v>
      </c>
      <c r="P604" s="1185" t="str">
        <f t="shared" si="132"/>
        <v>No price</v>
      </c>
      <c r="Q604" s="1185" t="str">
        <f t="shared" si="133"/>
        <v>No price</v>
      </c>
      <c r="R604" s="1185" t="str">
        <f t="shared" si="129"/>
        <v/>
      </c>
      <c r="S604" s="1185" t="str">
        <f>IF(AND(AD604=1,R604&lt;&gt;".")=TRUE,R604/VLOOKUP(G604,'Exchange Rates'!B:C,2,0),IF(R604=".",".",""))</f>
        <v/>
      </c>
      <c r="T604" s="1185" t="str">
        <f>IF(AD604=1,IF(AF604="Value is not given at all",".",IF(AF604="Value is given by the source",S604,IF(AF604="Value is calculated with prices",(IF(SUMIFS(Q:Q,A:A,A604)&gt;0,SUMIFS(Q:Q,A:A,A604),"."))/VLOOKUP("USD",'Exchange Rates'!B:C,2,0),"Error with coding"))),"")</f>
        <v/>
      </c>
      <c r="U604" s="1184" t="s">
        <v>365</v>
      </c>
      <c r="V604" s="972" t="s">
        <v>1782</v>
      </c>
      <c r="W604" s="972" t="s">
        <v>1280</v>
      </c>
      <c r="X604" s="972" t="s">
        <v>364</v>
      </c>
      <c r="Y604" s="972" t="s">
        <v>364</v>
      </c>
      <c r="Z604" s="1184">
        <v>0</v>
      </c>
      <c r="AA604" s="1194">
        <v>1</v>
      </c>
      <c r="AB604" s="600" t="s">
        <v>1280</v>
      </c>
      <c r="AC604" s="1192" t="str">
        <f>""</f>
        <v/>
      </c>
      <c r="AD604" s="985">
        <v>0</v>
      </c>
      <c r="AE604" s="1194" t="s">
        <v>368</v>
      </c>
      <c r="AF604" s="985" t="s">
        <v>436</v>
      </c>
      <c r="AG604" s="985">
        <v>1</v>
      </c>
      <c r="AH604" s="985">
        <v>14</v>
      </c>
      <c r="AI604" s="985">
        <v>0</v>
      </c>
      <c r="AJ604" s="1193">
        <f>VLOOKUP($I604,'Price List, Weapons &amp; Items'!B:F,5,0)</f>
        <v>0</v>
      </c>
      <c r="AK604" s="1193">
        <f t="shared" si="134"/>
        <v>0</v>
      </c>
      <c r="AL604" s="1193">
        <f t="shared" si="135"/>
        <v>0</v>
      </c>
      <c r="AM604" s="1193">
        <f t="shared" si="136"/>
        <v>0</v>
      </c>
      <c r="AN604" s="1194" t="str">
        <f>VLOOKUP($I604,'Price List, Weapons &amp; Items'!B:L,COLUMN('Price List, Weapons &amp; Items'!$J$11)-1,0)</f>
        <v>.</v>
      </c>
      <c r="AO604" s="1194" t="str">
        <f>IF(I604=".",".",VLOOKUP($I604,'Price List, Weapons &amp; Items'!B:J,3,0))</f>
        <v>Military equipment</v>
      </c>
      <c r="AP604" s="1195" t="str">
        <f t="shared" ca="1" si="130"/>
        <v/>
      </c>
      <c r="AQ604" s="1194">
        <f>VLOOKUP($I604,'Price List, Weapons &amp; Items'!B:L,COLUMN('Price List, Weapons &amp; Items'!$L$11)-1,0)</f>
        <v>0</v>
      </c>
      <c r="AR604" s="1194">
        <f t="shared" si="137"/>
        <v>1</v>
      </c>
      <c r="AS604" s="1194">
        <f t="shared" si="138"/>
        <v>1</v>
      </c>
      <c r="AT604" s="1194" t="str">
        <f t="shared" si="139"/>
        <v>Value is not in date format</v>
      </c>
      <c r="AU604" s="1194" t="str">
        <f t="shared" si="140"/>
        <v>.</v>
      </c>
      <c r="AV604" s="1194" t="str">
        <f t="shared" si="131"/>
        <v>.</v>
      </c>
      <c r="AW604" s="1194" t="str">
        <f t="shared" si="141"/>
        <v>.</v>
      </c>
      <c r="AX604" s="1194">
        <f>IFERROR(VLOOKUP(B604,'Share, Heavy Weapons to Ukraine'!B:Z,COLUMN('Share, Heavy Weapons to Ukraine'!C614)-1,0),0)</f>
        <v>0</v>
      </c>
      <c r="AY604" s="1194">
        <f>VLOOKUP('Bilateral Assistance, MAIN DATA'!B604,'Country Summary (€)'!B:F,COLUMN('Country Summary (€)'!C615)-1,FALSE)</f>
        <v>1</v>
      </c>
      <c r="AZ604" s="1194" t="str">
        <f>IF(AND(AD604=1,D604="Military",H604&lt;&gt;"Not given")=TRUE,IF(SUMIFS(P:P,A:A,A604)&gt;0,ABS((SUMIFS(P:P,A:A,A604)/VLOOKUP("USD",'Exchange Rates'!B:C,2,0)))/S604,"."),".")</f>
        <v>.</v>
      </c>
      <c r="BA604" s="1196" t="str">
        <f>IF(AND(AD604=1,D604="Military",H604&lt;&gt;"Not given")=TRUE,IF(SUMIFS(P:P,A:A,A604)&gt;0,IF((ABS((SUMIFS(P:P,A:A,A604)/VLOOKUP("USD",'Exchange Rates'!B:C,2,0)))/S604)&gt;1,(SUMIFS(P:P,A:A,A604)-S604)/S604,(S604-SUMIFS(P:P,A:A,A604))/SUMIFS(P:P,A:A,A604)),"."),".")</f>
        <v>.</v>
      </c>
    </row>
    <row r="605" spans="1:53" ht="15.95" customHeight="1">
      <c r="A605" s="1182" t="s">
        <v>1796</v>
      </c>
      <c r="B605" s="1182" t="s">
        <v>1711</v>
      </c>
      <c r="C605" s="1181" t="s">
        <v>1797</v>
      </c>
      <c r="D605" s="1182" t="s">
        <v>389</v>
      </c>
      <c r="E605" s="1182" t="s">
        <v>1676</v>
      </c>
      <c r="F605" s="1263" t="s">
        <v>1806</v>
      </c>
      <c r="G605" s="1184" t="s">
        <v>483</v>
      </c>
      <c r="H605" s="1185">
        <v>6750000000</v>
      </c>
      <c r="I605" s="1190" t="s">
        <v>1862</v>
      </c>
      <c r="J605" s="1186" t="str">
        <f>VLOOKUP($I605,'Price List, Weapons &amp; Items'!B:C,2,0)</f>
        <v>Military equipment</v>
      </c>
      <c r="K605" s="1186" t="str">
        <f>IF(I605=".",I605,VLOOKUP($I605,'Price List, Weapons &amp; Items'!B:D,3,0))</f>
        <v>Military equipment</v>
      </c>
      <c r="L605" s="1187">
        <f>VLOOKUP(I605,'Price List, Weapons &amp; Items'!B:E,4,0)</f>
        <v>0</v>
      </c>
      <c r="M605" s="1188">
        <v>20</v>
      </c>
      <c r="N605" s="1188">
        <v>20</v>
      </c>
      <c r="O605" s="1188">
        <f>VLOOKUP($I605,'Price List, Weapons &amp; Items'!B:G,6,0)</f>
        <v>102216.33</v>
      </c>
      <c r="P605" s="1185">
        <f t="shared" si="132"/>
        <v>2044326.6</v>
      </c>
      <c r="Q605" s="1185">
        <f t="shared" si="133"/>
        <v>2044326.6</v>
      </c>
      <c r="R605" s="1185" t="str">
        <f t="shared" si="129"/>
        <v/>
      </c>
      <c r="S605" s="1185" t="str">
        <f>IF(AND(AD605=1,R605&lt;&gt;".")=TRUE,R605/VLOOKUP(G605,'Exchange Rates'!B:C,2,0),IF(R605=".",".",""))</f>
        <v/>
      </c>
      <c r="T605" s="1185" t="str">
        <f>IF(AD605=1,IF(AF605="Value is not given at all",".",IF(AF605="Value is given by the source",S605,IF(AF605="Value is calculated with prices",(IF(SUMIFS(Q:Q,A:A,A605)&gt;0,SUMIFS(Q:Q,A:A,A605),"."))/VLOOKUP("USD",'Exchange Rates'!B:C,2,0),"Error with coding"))),"")</f>
        <v/>
      </c>
      <c r="U605" s="1184" t="s">
        <v>365</v>
      </c>
      <c r="V605" s="972" t="s">
        <v>1782</v>
      </c>
      <c r="W605" s="972" t="s">
        <v>1280</v>
      </c>
      <c r="X605" s="972" t="s">
        <v>364</v>
      </c>
      <c r="Y605" s="972" t="s">
        <v>364</v>
      </c>
      <c r="Z605" s="1184">
        <v>0</v>
      </c>
      <c r="AA605" s="1194">
        <v>0</v>
      </c>
      <c r="AB605" s="600" t="s">
        <v>1280</v>
      </c>
      <c r="AC605" s="1192" t="str">
        <f>""</f>
        <v/>
      </c>
      <c r="AD605" s="985">
        <v>0</v>
      </c>
      <c r="AE605" s="1194" t="s">
        <v>368</v>
      </c>
      <c r="AF605" s="985" t="s">
        <v>436</v>
      </c>
      <c r="AG605" s="985">
        <v>1</v>
      </c>
      <c r="AH605" s="985">
        <v>14</v>
      </c>
      <c r="AI605" s="985">
        <v>0</v>
      </c>
      <c r="AJ605" s="1193">
        <f>VLOOKUP($I605,'Price List, Weapons &amp; Items'!B:F,5,0)</f>
        <v>0</v>
      </c>
      <c r="AK605" s="1193">
        <f t="shared" si="134"/>
        <v>0</v>
      </c>
      <c r="AL605" s="1193">
        <f t="shared" si="135"/>
        <v>0</v>
      </c>
      <c r="AM605" s="1193">
        <f t="shared" si="136"/>
        <v>0</v>
      </c>
      <c r="AN605" s="1194" t="str">
        <f>VLOOKUP($I605,'Price List, Weapons &amp; Items'!B:L,COLUMN('Price List, Weapons &amp; Items'!$J$11)-1,0)</f>
        <v>Government information</v>
      </c>
      <c r="AO605" s="1194" t="str">
        <f>IF(I605=".",".",VLOOKUP($I605,'Price List, Weapons &amp; Items'!B:J,3,0))</f>
        <v>Military equipment</v>
      </c>
      <c r="AP605" s="1195" t="str">
        <f t="shared" ca="1" si="130"/>
        <v/>
      </c>
      <c r="AQ605" s="1194">
        <f>VLOOKUP($I605,'Price List, Weapons &amp; Items'!B:L,COLUMN('Price List, Weapons &amp; Items'!$L$11)-1,0)</f>
        <v>2</v>
      </c>
      <c r="AR605" s="1194">
        <f t="shared" si="137"/>
        <v>1</v>
      </c>
      <c r="AS605" s="1194">
        <f t="shared" si="138"/>
        <v>1</v>
      </c>
      <c r="AT605" s="1194" t="str">
        <f t="shared" si="139"/>
        <v>Value is not in date format</v>
      </c>
      <c r="AU605" s="1194" t="str">
        <f t="shared" si="140"/>
        <v>.</v>
      </c>
      <c r="AV605" s="1194" t="str">
        <f t="shared" si="131"/>
        <v>.</v>
      </c>
      <c r="AW605" s="1194" t="str">
        <f t="shared" si="141"/>
        <v>.</v>
      </c>
      <c r="AX605" s="1194">
        <f>IFERROR(VLOOKUP(B605,'Share, Heavy Weapons to Ukraine'!B:Z,COLUMN('Share, Heavy Weapons to Ukraine'!C615)-1,0),0)</f>
        <v>0</v>
      </c>
      <c r="AY605" s="1194">
        <f>VLOOKUP('Bilateral Assistance, MAIN DATA'!B605,'Country Summary (€)'!B:F,COLUMN('Country Summary (€)'!C616)-1,FALSE)</f>
        <v>1</v>
      </c>
      <c r="AZ605" s="1194" t="str">
        <f>IF(AND(AD605=1,D605="Military",H605&lt;&gt;"Not given")=TRUE,IF(SUMIFS(P:P,A:A,A605)&gt;0,ABS((SUMIFS(P:P,A:A,A605)/VLOOKUP("USD",'Exchange Rates'!B:C,2,0)))/S605,"."),".")</f>
        <v>.</v>
      </c>
      <c r="BA605" s="1196" t="str">
        <f>IF(AND(AD605=1,D605="Military",H605&lt;&gt;"Not given")=TRUE,IF(SUMIFS(P:P,A:A,A605)&gt;0,IF((ABS((SUMIFS(P:P,A:A,A605)/VLOOKUP("USD",'Exchange Rates'!B:C,2,0)))/S605)&gt;1,(SUMIFS(P:P,A:A,A605)-S605)/S605,(S605-SUMIFS(P:P,A:A,A605))/SUMIFS(P:P,A:A,A605)),"."),".")</f>
        <v>.</v>
      </c>
    </row>
    <row r="606" spans="1:53" ht="15.95" customHeight="1">
      <c r="A606" s="1182" t="s">
        <v>1796</v>
      </c>
      <c r="B606" s="1182" t="s">
        <v>1711</v>
      </c>
      <c r="C606" s="1181" t="s">
        <v>1797</v>
      </c>
      <c r="D606" s="1182" t="s">
        <v>389</v>
      </c>
      <c r="E606" s="1182" t="s">
        <v>1676</v>
      </c>
      <c r="F606" s="1263" t="s">
        <v>1806</v>
      </c>
      <c r="G606" s="1184" t="s">
        <v>483</v>
      </c>
      <c r="H606" s="1185">
        <v>6750000000</v>
      </c>
      <c r="I606" s="1183" t="s">
        <v>1863</v>
      </c>
      <c r="J606" s="1186" t="str">
        <f>VLOOKUP($I606,'Price List, Weapons &amp; Items'!B:C,2,0)</f>
        <v>Military equipment</v>
      </c>
      <c r="K606" s="1186" t="str">
        <f>IF(I606=".",I606,VLOOKUP($I606,'Price List, Weapons &amp; Items'!B:D,3,0))</f>
        <v>non combat military vehicle</v>
      </c>
      <c r="L606" s="1187">
        <f>VLOOKUP(I606,'Price List, Weapons &amp; Items'!B:E,4,0)</f>
        <v>0</v>
      </c>
      <c r="M606" s="1188">
        <v>36</v>
      </c>
      <c r="N606" s="1275">
        <v>36</v>
      </c>
      <c r="O606" s="1188">
        <f>VLOOKUP($I606,'Price List, Weapons &amp; Items'!B:G,6,0)</f>
        <v>25000</v>
      </c>
      <c r="P606" s="1185">
        <f t="shared" si="132"/>
        <v>900000</v>
      </c>
      <c r="Q606" s="1185">
        <f t="shared" si="133"/>
        <v>900000</v>
      </c>
      <c r="R606" s="1185" t="str">
        <f t="shared" si="129"/>
        <v/>
      </c>
      <c r="S606" s="1185" t="str">
        <f>IF(AND(AD606=1,R606&lt;&gt;".")=TRUE,R606/VLOOKUP(G606,'Exchange Rates'!B:C,2,0),IF(R606=".",".",""))</f>
        <v/>
      </c>
      <c r="T606" s="1185" t="str">
        <f>IF(AD606=1,IF(AF606="Value is not given at all",".",IF(AF606="Value is given by the source",S606,IF(AF606="Value is calculated with prices",(IF(SUMIFS(Q:Q,A:A,A606)&gt;0,SUMIFS(Q:Q,A:A,A606),"."))/VLOOKUP("USD",'Exchange Rates'!B:C,2,0),"Error with coding"))),"")</f>
        <v/>
      </c>
      <c r="U606" s="1184" t="s">
        <v>365</v>
      </c>
      <c r="V606" s="972" t="s">
        <v>1782</v>
      </c>
      <c r="W606" s="972" t="s">
        <v>1280</v>
      </c>
      <c r="X606" s="972" t="s">
        <v>364</v>
      </c>
      <c r="Y606" s="972" t="s">
        <v>364</v>
      </c>
      <c r="Z606" s="1184">
        <v>0</v>
      </c>
      <c r="AA606" s="1194">
        <v>1</v>
      </c>
      <c r="AB606" s="600" t="s">
        <v>1280</v>
      </c>
      <c r="AC606" s="1192" t="str">
        <f>""</f>
        <v/>
      </c>
      <c r="AD606" s="985">
        <v>0</v>
      </c>
      <c r="AE606" s="1194" t="s">
        <v>368</v>
      </c>
      <c r="AF606" s="985" t="s">
        <v>436</v>
      </c>
      <c r="AG606" s="985">
        <v>1</v>
      </c>
      <c r="AH606" s="985">
        <v>13</v>
      </c>
      <c r="AI606" s="985">
        <v>0</v>
      </c>
      <c r="AJ606" s="1193">
        <f>VLOOKUP($I606,'Price List, Weapons &amp; Items'!B:F,5,0)</f>
        <v>0</v>
      </c>
      <c r="AK606" s="1193">
        <f t="shared" si="134"/>
        <v>0</v>
      </c>
      <c r="AL606" s="1193">
        <f t="shared" si="135"/>
        <v>0</v>
      </c>
      <c r="AM606" s="1193">
        <f t="shared" si="136"/>
        <v>0</v>
      </c>
      <c r="AN606" s="1194" t="str">
        <f>VLOOKUP($I606,'Price List, Weapons &amp; Items'!B:L,COLUMN('Price List, Weapons &amp; Items'!$J$11)-1,0)</f>
        <v>Online marketplaces and stores</v>
      </c>
      <c r="AO606" s="1194" t="str">
        <f>IF(I606=".",".",VLOOKUP($I606,'Price List, Weapons &amp; Items'!B:J,3,0))</f>
        <v>non combat military vehicle</v>
      </c>
      <c r="AP606" s="1195" t="str">
        <f t="shared" ca="1" si="130"/>
        <v/>
      </c>
      <c r="AQ606" s="1194">
        <f>VLOOKUP($I606,'Price List, Weapons &amp; Items'!B:L,COLUMN('Price List, Weapons &amp; Items'!$L$11)-1,0)</f>
        <v>2</v>
      </c>
      <c r="AR606" s="1194">
        <f t="shared" si="137"/>
        <v>1</v>
      </c>
      <c r="AS606" s="1194">
        <f t="shared" si="138"/>
        <v>1</v>
      </c>
      <c r="AT606" s="1194" t="str">
        <f t="shared" si="139"/>
        <v>Value is not in date format</v>
      </c>
      <c r="AU606" s="1194" t="str">
        <f t="shared" si="140"/>
        <v>.</v>
      </c>
      <c r="AV606" s="1194" t="str">
        <f t="shared" si="131"/>
        <v>.</v>
      </c>
      <c r="AW606" s="1194" t="str">
        <f t="shared" si="141"/>
        <v>.</v>
      </c>
      <c r="AX606" s="1194">
        <f>IFERROR(VLOOKUP(B606,'Share, Heavy Weapons to Ukraine'!B:Z,COLUMN('Share, Heavy Weapons to Ukraine'!C616)-1,0),0)</f>
        <v>0</v>
      </c>
      <c r="AY606" s="1194">
        <f>VLOOKUP('Bilateral Assistance, MAIN DATA'!B606,'Country Summary (€)'!B:F,COLUMN('Country Summary (€)'!C617)-1,FALSE)</f>
        <v>1</v>
      </c>
      <c r="AZ606" s="1194" t="str">
        <f>IF(AND(AD606=1,D606="Military",H606&lt;&gt;"Not given")=TRUE,IF(SUMIFS(P:P,A:A,A606)&gt;0,ABS((SUMIFS(P:P,A:A,A606)/VLOOKUP("USD",'Exchange Rates'!B:C,2,0)))/S606,"."),".")</f>
        <v>.</v>
      </c>
      <c r="BA606" s="1196" t="str">
        <f>IF(AND(AD606=1,D606="Military",H606&lt;&gt;"Not given")=TRUE,IF(SUMIFS(P:P,A:A,A606)&gt;0,IF((ABS((SUMIFS(P:P,A:A,A606)/VLOOKUP("USD",'Exchange Rates'!B:C,2,0)))/S606)&gt;1,(SUMIFS(P:P,A:A,A606)-S606)/S606,(S606-SUMIFS(P:P,A:A,A606))/SUMIFS(P:P,A:A,A606)),"."),".")</f>
        <v>.</v>
      </c>
    </row>
    <row r="607" spans="1:53" ht="15.95" customHeight="1">
      <c r="A607" s="1182" t="s">
        <v>1796</v>
      </c>
      <c r="B607" s="1182" t="s">
        <v>1711</v>
      </c>
      <c r="C607" s="1181" t="s">
        <v>1797</v>
      </c>
      <c r="D607" s="1182" t="s">
        <v>389</v>
      </c>
      <c r="E607" s="1182" t="s">
        <v>1676</v>
      </c>
      <c r="F607" s="1263" t="s">
        <v>1806</v>
      </c>
      <c r="G607" s="1184" t="s">
        <v>483</v>
      </c>
      <c r="H607" s="1185">
        <v>6750000000</v>
      </c>
      <c r="I607" s="1266" t="s">
        <v>1864</v>
      </c>
      <c r="J607" s="1186" t="str">
        <f>VLOOKUP($I607,'Price List, Weapons &amp; Items'!B:C,2,0)</f>
        <v xml:space="preserve">Military equipment </v>
      </c>
      <c r="K607" s="1186" t="str">
        <f>IF(I607=".",I607,VLOOKUP($I607,'Price List, Weapons &amp; Items'!B:D,3,0))</f>
        <v>Armored Utility Vehicle (AUV)</v>
      </c>
      <c r="L607" s="1187">
        <f>VLOOKUP(I607,'Price List, Weapons &amp; Items'!B:E,4,0)</f>
        <v>0</v>
      </c>
      <c r="M607" s="1188">
        <v>92</v>
      </c>
      <c r="N607" s="1275">
        <v>92</v>
      </c>
      <c r="O607" s="1188">
        <f>VLOOKUP($I607,'Price List, Weapons &amp; Items'!B:G,6,0)</f>
        <v>160890.5</v>
      </c>
      <c r="P607" s="1185">
        <f t="shared" si="132"/>
        <v>14801926</v>
      </c>
      <c r="Q607" s="1185">
        <f t="shared" si="133"/>
        <v>14801926</v>
      </c>
      <c r="R607" s="1185" t="str">
        <f t="shared" si="129"/>
        <v/>
      </c>
      <c r="S607" s="1185" t="str">
        <f>IF(AND(AD607=1,R607&lt;&gt;".")=TRUE,R607/VLOOKUP(G607,'Exchange Rates'!B:C,2,0),IF(R607=".",".",""))</f>
        <v/>
      </c>
      <c r="T607" s="1185" t="str">
        <f>IF(AD607=1,IF(AF607="Value is not given at all",".",IF(AF607="Value is given by the source",S607,IF(AF607="Value is calculated with prices",(IF(SUMIFS(Q:Q,A:A,A607)&gt;0,SUMIFS(Q:Q,A:A,A607),"."))/VLOOKUP("USD",'Exchange Rates'!B:C,2,0),"Error with coding"))),"")</f>
        <v/>
      </c>
      <c r="U607" s="1184" t="s">
        <v>365</v>
      </c>
      <c r="V607" s="972" t="s">
        <v>1782</v>
      </c>
      <c r="W607" s="972" t="s">
        <v>1280</v>
      </c>
      <c r="X607" s="972" t="s">
        <v>364</v>
      </c>
      <c r="Y607" s="972" t="s">
        <v>364</v>
      </c>
      <c r="Z607" s="1184">
        <v>0</v>
      </c>
      <c r="AA607" s="1194">
        <v>1</v>
      </c>
      <c r="AB607" s="600" t="s">
        <v>1280</v>
      </c>
      <c r="AC607" s="1192" t="str">
        <f>""</f>
        <v/>
      </c>
      <c r="AD607" s="985">
        <v>0</v>
      </c>
      <c r="AE607" s="1194" t="s">
        <v>368</v>
      </c>
      <c r="AF607" s="985" t="s">
        <v>436</v>
      </c>
      <c r="AG607" s="985">
        <v>1</v>
      </c>
      <c r="AH607" s="985">
        <v>14</v>
      </c>
      <c r="AI607" s="985">
        <v>0</v>
      </c>
      <c r="AJ607" s="1193">
        <f>VLOOKUP($I607,'Price List, Weapons &amp; Items'!B:F,5,0)</f>
        <v>1</v>
      </c>
      <c r="AK607" s="1193">
        <f t="shared" si="134"/>
        <v>0</v>
      </c>
      <c r="AL607" s="1193">
        <f t="shared" si="135"/>
        <v>0</v>
      </c>
      <c r="AM607" s="1193">
        <f t="shared" si="136"/>
        <v>0</v>
      </c>
      <c r="AN607" s="1194" t="str">
        <f>VLOOKUP($I607,'Price List, Weapons &amp; Items'!B:L,COLUMN('Price List, Weapons &amp; Items'!$J$11)-1,0)</f>
        <v>Media reports (incl. social media)</v>
      </c>
      <c r="AO607" s="1194" t="str">
        <f>IF(I607=".",".",VLOOKUP($I607,'Price List, Weapons &amp; Items'!B:J,3,0))</f>
        <v>Armored Utility Vehicle (AUV)</v>
      </c>
      <c r="AP607" s="1195" t="str">
        <f t="shared" ca="1" si="130"/>
        <v/>
      </c>
      <c r="AQ607" s="1194">
        <f>VLOOKUP($I607,'Price List, Weapons &amp; Items'!B:L,COLUMN('Price List, Weapons &amp; Items'!$L$11)-1,0)</f>
        <v>2</v>
      </c>
      <c r="AR607" s="1194">
        <f t="shared" si="137"/>
        <v>1</v>
      </c>
      <c r="AS607" s="1194">
        <f t="shared" si="138"/>
        <v>1</v>
      </c>
      <c r="AT607" s="1194" t="str">
        <f t="shared" si="139"/>
        <v>Value is not in date format</v>
      </c>
      <c r="AU607" s="1194" t="str">
        <f t="shared" si="140"/>
        <v>.</v>
      </c>
      <c r="AV607" s="1194" t="str">
        <f t="shared" si="131"/>
        <v>.</v>
      </c>
      <c r="AW607" s="1194" t="str">
        <f t="shared" si="141"/>
        <v>.</v>
      </c>
      <c r="AX607" s="1194">
        <f>IFERROR(VLOOKUP(B607,'Share, Heavy Weapons to Ukraine'!B:Z,COLUMN('Share, Heavy Weapons to Ukraine'!C617)-1,0),0)</f>
        <v>0</v>
      </c>
      <c r="AY607" s="1194">
        <f>VLOOKUP('Bilateral Assistance, MAIN DATA'!B607,'Country Summary (€)'!B:F,COLUMN('Country Summary (€)'!C618)-1,FALSE)</f>
        <v>1</v>
      </c>
      <c r="AZ607" s="1194" t="str">
        <f>IF(AND(AD607=1,D607="Military",H607&lt;&gt;"Not given")=TRUE,IF(SUMIFS(P:P,A:A,A607)&gt;0,ABS((SUMIFS(P:P,A:A,A607)/VLOOKUP("USD",'Exchange Rates'!B:C,2,0)))/S607,"."),".")</f>
        <v>.</v>
      </c>
      <c r="BA607" s="1196" t="str">
        <f>IF(AND(AD607=1,D607="Military",H607&lt;&gt;"Not given")=TRUE,IF(SUMIFS(P:P,A:A,A607)&gt;0,IF((ABS((SUMIFS(P:P,A:A,A607)/VLOOKUP("USD",'Exchange Rates'!B:C,2,0)))/S607)&gt;1,(SUMIFS(P:P,A:A,A607)-S607)/S607,(S607-SUMIFS(P:P,A:A,A607))/SUMIFS(P:P,A:A,A607)),"."),".")</f>
        <v>.</v>
      </c>
    </row>
    <row r="608" spans="1:53" ht="15.95" customHeight="1">
      <c r="A608" s="1182" t="s">
        <v>1796</v>
      </c>
      <c r="B608" s="1182" t="s">
        <v>1711</v>
      </c>
      <c r="C608" s="1181" t="s">
        <v>1797</v>
      </c>
      <c r="D608" s="1182" t="s">
        <v>389</v>
      </c>
      <c r="E608" s="1182" t="s">
        <v>1676</v>
      </c>
      <c r="F608" s="1263" t="s">
        <v>1806</v>
      </c>
      <c r="G608" s="1184" t="s">
        <v>483</v>
      </c>
      <c r="H608" s="1185">
        <v>6750000000</v>
      </c>
      <c r="I608" s="1266" t="s">
        <v>1865</v>
      </c>
      <c r="J608" s="1186" t="str">
        <f>VLOOKUP($I608,'Price List, Weapons &amp; Items'!B:C,2,0)</f>
        <v>Military equipment</v>
      </c>
      <c r="K608" s="1186" t="str">
        <f>IF(I608=".",I608,VLOOKUP($I608,'Price List, Weapons &amp; Items'!B:D,3,0))</f>
        <v>Military equipment</v>
      </c>
      <c r="L608" s="1187">
        <f>VLOOKUP(I608,'Price List, Weapons &amp; Items'!B:E,4,0)</f>
        <v>0</v>
      </c>
      <c r="M608" s="1188">
        <v>28</v>
      </c>
      <c r="N608" s="1275">
        <v>20</v>
      </c>
      <c r="O608" s="1188">
        <f>VLOOKUP($I608,'Price List, Weapons &amp; Items'!B:G,6,0)</f>
        <v>8000</v>
      </c>
      <c r="P608" s="1185">
        <f t="shared" si="132"/>
        <v>224000</v>
      </c>
      <c r="Q608" s="1185">
        <f t="shared" si="133"/>
        <v>160000</v>
      </c>
      <c r="R608" s="1185" t="str">
        <f t="shared" si="129"/>
        <v/>
      </c>
      <c r="S608" s="1185" t="str">
        <f>IF(AND(AD608=1,R608&lt;&gt;".")=TRUE,R608/VLOOKUP(G608,'Exchange Rates'!B:C,2,0),IF(R608=".",".",""))</f>
        <v/>
      </c>
      <c r="T608" s="1185" t="str">
        <f>IF(AD608=1,IF(AF608="Value is not given at all",".",IF(AF608="Value is given by the source",S608,IF(AF608="Value is calculated with prices",(IF(SUMIFS(Q:Q,A:A,A608)&gt;0,SUMIFS(Q:Q,A:A,A608),"."))/VLOOKUP("USD",'Exchange Rates'!B:C,2,0),"Error with coding"))),"")</f>
        <v/>
      </c>
      <c r="U608" s="1184" t="s">
        <v>365</v>
      </c>
      <c r="V608" s="972" t="s">
        <v>1782</v>
      </c>
      <c r="W608" s="972" t="s">
        <v>1280</v>
      </c>
      <c r="X608" s="972" t="s">
        <v>364</v>
      </c>
      <c r="Y608" s="972" t="s">
        <v>364</v>
      </c>
      <c r="Z608" s="1184">
        <v>0</v>
      </c>
      <c r="AA608" s="1194">
        <v>1</v>
      </c>
      <c r="AB608" s="600" t="s">
        <v>1280</v>
      </c>
      <c r="AC608" s="1192" t="str">
        <f>""</f>
        <v/>
      </c>
      <c r="AD608" s="985">
        <v>0</v>
      </c>
      <c r="AE608" s="1194" t="s">
        <v>368</v>
      </c>
      <c r="AF608" s="985" t="s">
        <v>436</v>
      </c>
      <c r="AG608" s="985">
        <v>1</v>
      </c>
      <c r="AH608" s="985">
        <v>14</v>
      </c>
      <c r="AI608" s="985">
        <v>0</v>
      </c>
      <c r="AJ608" s="1193">
        <f>VLOOKUP($I608,'Price List, Weapons &amp; Items'!B:F,5,0)</f>
        <v>0</v>
      </c>
      <c r="AK608" s="1193">
        <f t="shared" si="134"/>
        <v>0</v>
      </c>
      <c r="AL608" s="1193">
        <f t="shared" si="135"/>
        <v>0</v>
      </c>
      <c r="AM608" s="1193">
        <f t="shared" si="136"/>
        <v>0</v>
      </c>
      <c r="AN608" s="1194" t="str">
        <f>VLOOKUP($I608,'Price List, Weapons &amp; Items'!B:L,COLUMN('Price List, Weapons &amp; Items'!$J$11)-1,0)</f>
        <v>Media reports (incl. social media)</v>
      </c>
      <c r="AO608" s="1194" t="str">
        <f>IF(I608=".",".",VLOOKUP($I608,'Price List, Weapons &amp; Items'!B:J,3,0))</f>
        <v>Military equipment</v>
      </c>
      <c r="AP608" s="1195" t="str">
        <f t="shared" ca="1" si="130"/>
        <v/>
      </c>
      <c r="AQ608" s="1194">
        <f>VLOOKUP($I608,'Price List, Weapons &amp; Items'!B:L,COLUMN('Price List, Weapons &amp; Items'!$L$11)-1,0)</f>
        <v>1</v>
      </c>
      <c r="AR608" s="1194">
        <f t="shared" si="137"/>
        <v>1</v>
      </c>
      <c r="AS608" s="1194">
        <f t="shared" si="138"/>
        <v>1</v>
      </c>
      <c r="AT608" s="1194" t="str">
        <f t="shared" si="139"/>
        <v>Value is not in date format</v>
      </c>
      <c r="AU608" s="1194" t="str">
        <f t="shared" si="140"/>
        <v>.</v>
      </c>
      <c r="AV608" s="1194" t="str">
        <f t="shared" si="131"/>
        <v>.</v>
      </c>
      <c r="AW608" s="1194" t="str">
        <f t="shared" si="141"/>
        <v>.</v>
      </c>
      <c r="AX608" s="1194">
        <f>IFERROR(VLOOKUP(B608,'Share, Heavy Weapons to Ukraine'!B:Z,COLUMN('Share, Heavy Weapons to Ukraine'!C618)-1,0),0)</f>
        <v>0</v>
      </c>
      <c r="AY608" s="1194">
        <f>VLOOKUP('Bilateral Assistance, MAIN DATA'!B608,'Country Summary (€)'!B:F,COLUMN('Country Summary (€)'!C619)-1,FALSE)</f>
        <v>1</v>
      </c>
      <c r="AZ608" s="1194" t="str">
        <f>IF(AND(AD608=1,D608="Military",H608&lt;&gt;"Not given")=TRUE,IF(SUMIFS(P:P,A:A,A608)&gt;0,ABS((SUMIFS(P:P,A:A,A608)/VLOOKUP("USD",'Exchange Rates'!B:C,2,0)))/S608,"."),".")</f>
        <v>.</v>
      </c>
      <c r="BA608" s="1196" t="str">
        <f>IF(AND(AD608=1,D608="Military",H608&lt;&gt;"Not given")=TRUE,IF(SUMIFS(P:P,A:A,A608)&gt;0,IF((ABS((SUMIFS(P:P,A:A,A608)/VLOOKUP("USD",'Exchange Rates'!B:C,2,0)))/S608)&gt;1,(SUMIFS(P:P,A:A,A608)-S608)/S608,(S608-SUMIFS(P:P,A:A,A608))/SUMIFS(P:P,A:A,A608)),"."),".")</f>
        <v>.</v>
      </c>
    </row>
    <row r="609" spans="1:72" ht="15.95" customHeight="1">
      <c r="A609" s="1182" t="s">
        <v>1796</v>
      </c>
      <c r="B609" s="1182" t="s">
        <v>1711</v>
      </c>
      <c r="C609" s="1181" t="s">
        <v>1797</v>
      </c>
      <c r="D609" s="1182" t="s">
        <v>389</v>
      </c>
      <c r="E609" s="1182" t="s">
        <v>1676</v>
      </c>
      <c r="F609" s="1263" t="s">
        <v>1806</v>
      </c>
      <c r="G609" s="1184" t="s">
        <v>483</v>
      </c>
      <c r="H609" s="1185">
        <v>6750000000</v>
      </c>
      <c r="I609" s="1180" t="s">
        <v>1276</v>
      </c>
      <c r="J609" s="1186" t="str">
        <f>VLOOKUP($I609,'Price List, Weapons &amp; Items'!B:C,2,0)</f>
        <v>Heavy weapon</v>
      </c>
      <c r="K609" s="1186" t="str">
        <f>IF(I609=".",I609,VLOOKUP($I609,'Price List, Weapons &amp; Items'!B:D,3,0))</f>
        <v>Main Battle Tank (MBT)</v>
      </c>
      <c r="L609" s="1187">
        <f>VLOOKUP(I609,'Price List, Weapons &amp; Items'!B:E,4,0)</f>
        <v>0</v>
      </c>
      <c r="M609" s="1188">
        <v>37</v>
      </c>
      <c r="N609" s="1275" t="s">
        <v>374</v>
      </c>
      <c r="O609" s="1188">
        <f>VLOOKUP($I609,'Price List, Weapons &amp; Items'!B:G,6,0)</f>
        <v>582304.68000000005</v>
      </c>
      <c r="P609" s="1185">
        <f t="shared" si="132"/>
        <v>21545273.16</v>
      </c>
      <c r="Q609" s="1185" t="str">
        <f t="shared" si="133"/>
        <v>.</v>
      </c>
      <c r="R609" s="1185" t="str">
        <f t="shared" si="129"/>
        <v/>
      </c>
      <c r="S609" s="1185" t="str">
        <f>IF(AND(AD609=1,R609&lt;&gt;".")=TRUE,R609/VLOOKUP(G609,'Exchange Rates'!B:C,2,0),IF(R609=".",".",""))</f>
        <v/>
      </c>
      <c r="T609" s="1185" t="str">
        <f>IF(AD609=1,IF(AF609="Value is not given at all",".",IF(AF609="Value is given by the source",S609,IF(AF609="Value is calculated with prices",(IF(SUMIFS(Q:Q,A:A,A609)&gt;0,SUMIFS(Q:Q,A:A,A609),"."))/VLOOKUP("USD",'Exchange Rates'!B:C,2,0),"Error with coding"))),"")</f>
        <v/>
      </c>
      <c r="U609" s="1184" t="s">
        <v>365</v>
      </c>
      <c r="V609" s="972" t="s">
        <v>1782</v>
      </c>
      <c r="W609" s="972" t="s">
        <v>1280</v>
      </c>
      <c r="X609" s="972" t="s">
        <v>364</v>
      </c>
      <c r="Y609" s="972" t="s">
        <v>364</v>
      </c>
      <c r="Z609" s="1184">
        <v>0</v>
      </c>
      <c r="AA609" s="1194">
        <v>1</v>
      </c>
      <c r="AB609" s="600" t="s">
        <v>1280</v>
      </c>
      <c r="AC609" s="1192" t="str">
        <f>""</f>
        <v/>
      </c>
      <c r="AD609" s="985">
        <v>0</v>
      </c>
      <c r="AE609" s="1194" t="s">
        <v>368</v>
      </c>
      <c r="AF609" s="985" t="s">
        <v>436</v>
      </c>
      <c r="AG609" s="985">
        <v>1</v>
      </c>
      <c r="AH609" s="985">
        <v>14</v>
      </c>
      <c r="AI609" s="985">
        <v>0</v>
      </c>
      <c r="AJ609" s="1193">
        <f>VLOOKUP($I609,'Price List, Weapons &amp; Items'!B:F,5,0)</f>
        <v>1</v>
      </c>
      <c r="AK609" s="1193">
        <f t="shared" si="134"/>
        <v>0</v>
      </c>
      <c r="AL609" s="1193">
        <f t="shared" si="135"/>
        <v>1</v>
      </c>
      <c r="AM609" s="1193">
        <f t="shared" si="136"/>
        <v>0</v>
      </c>
      <c r="AN609" s="1194" t="str">
        <f>VLOOKUP($I609,'Price List, Weapons &amp; Items'!B:L,COLUMN('Price List, Weapons &amp; Items'!$J$11)-1,0)</f>
        <v>Contracts</v>
      </c>
      <c r="AO609" s="1194" t="str">
        <f>IF(I609=".",".",VLOOKUP($I609,'Price List, Weapons &amp; Items'!B:J,3,0))</f>
        <v>Main Battle Tank (MBT)</v>
      </c>
      <c r="AP609" s="1195" t="str">
        <f t="shared" ca="1" si="130"/>
        <v/>
      </c>
      <c r="AQ609" s="1194">
        <f>VLOOKUP($I609,'Price List, Weapons &amp; Items'!B:L,COLUMN('Price List, Weapons &amp; Items'!$L$11)-1,0)</f>
        <v>2</v>
      </c>
      <c r="AR609" s="1194">
        <f t="shared" si="137"/>
        <v>1</v>
      </c>
      <c r="AS609" s="1194">
        <f t="shared" si="138"/>
        <v>1</v>
      </c>
      <c r="AT609" s="1194" t="str">
        <f t="shared" si="139"/>
        <v>Value is not in date format</v>
      </c>
      <c r="AU609" s="1194" t="str">
        <f t="shared" si="140"/>
        <v>.</v>
      </c>
      <c r="AV609" s="1194" t="str">
        <f t="shared" si="131"/>
        <v>.</v>
      </c>
      <c r="AW609" s="1194" t="str">
        <f t="shared" si="141"/>
        <v>.</v>
      </c>
      <c r="AX609" s="1194">
        <f>IFERROR(VLOOKUP(B609,'Share, Heavy Weapons to Ukraine'!B:Z,COLUMN('Share, Heavy Weapons to Ukraine'!C619)-1,0),0)</f>
        <v>0</v>
      </c>
      <c r="AY609" s="1194">
        <f>VLOOKUP('Bilateral Assistance, MAIN DATA'!B609,'Country Summary (€)'!B:F,COLUMN('Country Summary (€)'!C620)-1,FALSE)</f>
        <v>1</v>
      </c>
      <c r="AZ609" s="1194" t="str">
        <f>IF(AND(AD609=1,D609="Military",H609&lt;&gt;"Not given")=TRUE,IF(SUMIFS(P:P,A:A,A609)&gt;0,ABS((SUMIFS(P:P,A:A,A609)/VLOOKUP("USD",'Exchange Rates'!B:C,2,0)))/S609,"."),".")</f>
        <v>.</v>
      </c>
      <c r="BA609" s="1196" t="str">
        <f>IF(AND(AD609=1,D609="Military",H609&lt;&gt;"Not given")=TRUE,IF(SUMIFS(P:P,A:A,A609)&gt;0,IF((ABS((SUMIFS(P:P,A:A,A609)/VLOOKUP("USD",'Exchange Rates'!B:C,2,0)))/S609)&gt;1,(SUMIFS(P:P,A:A,A609)-S609)/S609,(S609-SUMIFS(P:P,A:A,A609))/SUMIFS(P:P,A:A,A609)),"."),".")</f>
        <v>.</v>
      </c>
    </row>
    <row r="610" spans="1:72" ht="15.95" customHeight="1">
      <c r="A610" s="1180" t="s">
        <v>1796</v>
      </c>
      <c r="B610" s="1182" t="s">
        <v>1711</v>
      </c>
      <c r="C610" s="1275" t="s">
        <v>1797</v>
      </c>
      <c r="D610" s="1182" t="s">
        <v>389</v>
      </c>
      <c r="E610" s="1182" t="s">
        <v>1676</v>
      </c>
      <c r="F610" s="1263" t="s">
        <v>1806</v>
      </c>
      <c r="G610" s="1184" t="s">
        <v>483</v>
      </c>
      <c r="H610" s="1185">
        <v>6750000000</v>
      </c>
      <c r="I610" s="1266" t="s">
        <v>1866</v>
      </c>
      <c r="J610" s="1186" t="str">
        <f>VLOOKUP($I610,'Price List, Weapons &amp; Items'!B:C,2,0)</f>
        <v>Heavy weapon</v>
      </c>
      <c r="K610" s="1186" t="str">
        <f>IF(I610=".",I610,VLOOKUP($I610,'Price List, Weapons &amp; Items'!B:D,3,0))</f>
        <v>Armored Utility Vehicle (AUV)</v>
      </c>
      <c r="L610" s="1187">
        <f>VLOOKUP(I610,'Price List, Weapons &amp; Items'!B:E,4,0)</f>
        <v>0</v>
      </c>
      <c r="M610" s="1188">
        <v>5</v>
      </c>
      <c r="N610" s="1275">
        <v>4</v>
      </c>
      <c r="O610" s="1188">
        <f>VLOOKUP($I610,'Price List, Weapons &amp; Items'!B:G,6,0)</f>
        <v>1240159</v>
      </c>
      <c r="P610" s="1185">
        <f t="shared" si="132"/>
        <v>6200795</v>
      </c>
      <c r="Q610" s="1185">
        <f t="shared" si="133"/>
        <v>4960636</v>
      </c>
      <c r="R610" s="1185" t="str">
        <f t="shared" si="129"/>
        <v/>
      </c>
      <c r="S610" s="1185" t="str">
        <f>IF(AND(AD610=1,R610&lt;&gt;".")=TRUE,R610/VLOOKUP(G610,'Exchange Rates'!B:C,2,0),IF(R610=".",".",""))</f>
        <v/>
      </c>
      <c r="T610" s="1185" t="str">
        <f>IF(AD610=1,IF(AF610="Value is not given at all",".",IF(AF610="Value is given by the source",S610,IF(AF610="Value is calculated with prices",(IF(SUMIFS(Q:Q,A:A,A610)&gt;0,SUMIFS(Q:Q,A:A,A610),"."))/VLOOKUP("USD",'Exchange Rates'!B:C,2,0),"Error with coding"))),"")</f>
        <v/>
      </c>
      <c r="U610" s="1184" t="s">
        <v>365</v>
      </c>
      <c r="V610" s="972" t="s">
        <v>1782</v>
      </c>
      <c r="W610" s="972" t="s">
        <v>1280</v>
      </c>
      <c r="X610" s="972" t="s">
        <v>364</v>
      </c>
      <c r="Y610" s="972" t="s">
        <v>364</v>
      </c>
      <c r="Z610" s="1184">
        <v>0</v>
      </c>
      <c r="AA610" s="1184">
        <v>1</v>
      </c>
      <c r="AB610" s="600" t="s">
        <v>1280</v>
      </c>
      <c r="AC610" s="1192" t="str">
        <f>""</f>
        <v/>
      </c>
      <c r="AD610" s="1184">
        <v>0</v>
      </c>
      <c r="AE610" s="1184" t="s">
        <v>368</v>
      </c>
      <c r="AF610" s="1184" t="s">
        <v>369</v>
      </c>
      <c r="AG610" s="1184">
        <v>1</v>
      </c>
      <c r="AH610" s="1184">
        <v>14</v>
      </c>
      <c r="AI610" s="1184">
        <v>0</v>
      </c>
      <c r="AJ610" s="1193">
        <f>VLOOKUP($I610,'Price List, Weapons &amp; Items'!B:F,5,0)</f>
        <v>1</v>
      </c>
      <c r="AK610" s="1193">
        <f t="shared" si="134"/>
        <v>0</v>
      </c>
      <c r="AL610" s="1193">
        <f t="shared" si="135"/>
        <v>0</v>
      </c>
      <c r="AM610" s="1193">
        <f t="shared" si="136"/>
        <v>0</v>
      </c>
      <c r="AN610" s="1194" t="str">
        <f>VLOOKUP($I610,'Price List, Weapons &amp; Items'!B:L,COLUMN('Price List, Weapons &amp; Items'!$J$11)-1,0)</f>
        <v>Government information</v>
      </c>
      <c r="AO610" s="1194" t="str">
        <f>IF(I610=".",".",VLOOKUP($I610,'Price List, Weapons &amp; Items'!B:J,3,0))</f>
        <v>Armored Utility Vehicle (AUV)</v>
      </c>
      <c r="AP610" s="1195" t="str">
        <f t="shared" ca="1" si="130"/>
        <v/>
      </c>
      <c r="AQ610" s="1194">
        <f>VLOOKUP($I610,'Price List, Weapons &amp; Items'!B:L,COLUMN('Price List, Weapons &amp; Items'!$L$11)-1,0)</f>
        <v>2</v>
      </c>
      <c r="AR610" s="1194">
        <f t="shared" si="137"/>
        <v>1</v>
      </c>
      <c r="AS610" s="1194">
        <f t="shared" si="138"/>
        <v>1</v>
      </c>
      <c r="AT610" s="1194" t="str">
        <f t="shared" si="139"/>
        <v>Value is not in date format</v>
      </c>
      <c r="AU610" s="1194" t="str">
        <f t="shared" si="140"/>
        <v>.</v>
      </c>
      <c r="AV610" s="1194" t="str">
        <f t="shared" si="131"/>
        <v>.</v>
      </c>
      <c r="AW610" s="1194" t="str">
        <f t="shared" si="141"/>
        <v>.</v>
      </c>
      <c r="AX610" s="1194">
        <f>IFERROR(VLOOKUP(B610,'Share, Heavy Weapons to Ukraine'!B:Z,COLUMN('Share, Heavy Weapons to Ukraine'!C620)-1,0),0)</f>
        <v>0</v>
      </c>
      <c r="AY610" s="1194">
        <f>VLOOKUP('Bilateral Assistance, MAIN DATA'!B610,'Country Summary (€)'!B:F,COLUMN('Country Summary (€)'!C621)-1,FALSE)</f>
        <v>1</v>
      </c>
      <c r="AZ610" s="1194" t="str">
        <f>IF(AND(AD610=1,D610="Military",H610&lt;&gt;"Not given")=TRUE,IF(SUMIFS(P:P,A:A,A610)&gt;0,ABS((SUMIFS(P:P,A:A,A610)/VLOOKUP("USD",'Exchange Rates'!B:C,2,0)))/S610,"."),".")</f>
        <v>.</v>
      </c>
      <c r="BA610" s="1196" t="str">
        <f>IF(AND(AD610=1,D610="Military",H610&lt;&gt;"Not given")=TRUE,IF(SUMIFS(P:P,A:A,A610)&gt;0,IF((ABS((SUMIFS(P:P,A:A,A610)/VLOOKUP("USD",'Exchange Rates'!B:C,2,0)))/S610)&gt;1,(SUMIFS(P:P,A:A,A610)-S610)/S610,(S610-SUMIFS(P:P,A:A,A610))/SUMIFS(P:P,A:A,A610)),"."),".")</f>
        <v>.</v>
      </c>
      <c r="BC610" s="1180"/>
      <c r="BD610" s="1180"/>
      <c r="BE610" s="1180"/>
      <c r="BF610" s="1180"/>
      <c r="BG610" s="1180"/>
      <c r="BH610" s="1180"/>
      <c r="BI610" s="1180"/>
      <c r="BJ610" s="1180"/>
      <c r="BK610" s="1180"/>
      <c r="BL610" s="1180"/>
      <c r="BM610" s="1180"/>
      <c r="BN610" s="1180"/>
      <c r="BO610" s="1180"/>
      <c r="BP610" s="1180"/>
      <c r="BQ610" s="1180"/>
      <c r="BR610" s="1180"/>
      <c r="BS610" s="1180"/>
      <c r="BT610" s="1180"/>
    </row>
    <row r="611" spans="1:72" ht="15.95" customHeight="1">
      <c r="A611" s="1182" t="s">
        <v>1796</v>
      </c>
      <c r="B611" s="1182" t="s">
        <v>1711</v>
      </c>
      <c r="C611" s="1275" t="s">
        <v>1867</v>
      </c>
      <c r="D611" s="1182" t="s">
        <v>389</v>
      </c>
      <c r="E611" s="1182" t="s">
        <v>1676</v>
      </c>
      <c r="F611" s="1263" t="s">
        <v>1806</v>
      </c>
      <c r="G611" s="1184" t="s">
        <v>483</v>
      </c>
      <c r="H611" s="1185">
        <v>6750000000</v>
      </c>
      <c r="I611" s="1266" t="s">
        <v>1811</v>
      </c>
      <c r="J611" s="1186" t="str">
        <f>VLOOKUP($I611,'Price List, Weapons &amp; Items'!B:C,2,0)</f>
        <v>Heavy weapon</v>
      </c>
      <c r="K611" s="1186" t="str">
        <f>IF(I611=".",I611,VLOOKUP($I611,'Price List, Weapons &amp; Items'!B:D,3,0))</f>
        <v>Vehicle Launched Bridge (VLB)</v>
      </c>
      <c r="L611" s="1187">
        <f>VLOOKUP(I611,'Price List, Weapons &amp; Items'!B:E,4,0)</f>
        <v>0</v>
      </c>
      <c r="M611" s="1188">
        <v>10</v>
      </c>
      <c r="N611" s="1275" t="s">
        <v>374</v>
      </c>
      <c r="O611" s="1188">
        <f>VLOOKUP($I611,'Price List, Weapons &amp; Items'!B:G,6,0)</f>
        <v>2528458.11</v>
      </c>
      <c r="P611" s="1185">
        <f t="shared" si="132"/>
        <v>25284581.099999998</v>
      </c>
      <c r="Q611" s="1185" t="str">
        <f t="shared" si="133"/>
        <v>.</v>
      </c>
      <c r="R611" s="1185" t="str">
        <f t="shared" si="129"/>
        <v/>
      </c>
      <c r="S611" s="1185" t="str">
        <f>IF(AND(AD611=1,R611&lt;&gt;".")=TRUE,R611/VLOOKUP(G611,'Exchange Rates'!B:C,2,0),IF(R611=".",".",""))</f>
        <v/>
      </c>
      <c r="T611" s="1185" t="str">
        <f>IF(AD611=1,IF(AF611="Value is not given at all",".",IF(AF611="Value is given by the source",S611,IF(AF611="Value is calculated with prices",(IF(SUMIFS(Q:Q,A:A,A611)&gt;0,SUMIFS(Q:Q,A:A,A611),"."))/VLOOKUP("USD",'Exchange Rates'!B:C,2,0),"Error with coding"))),"")</f>
        <v/>
      </c>
      <c r="U611" s="1184" t="s">
        <v>365</v>
      </c>
      <c r="V611" s="972" t="s">
        <v>1782</v>
      </c>
      <c r="W611" s="972" t="s">
        <v>1802</v>
      </c>
      <c r="X611" s="972" t="s">
        <v>364</v>
      </c>
      <c r="Y611" s="972" t="s">
        <v>364</v>
      </c>
      <c r="Z611" s="1184">
        <v>0</v>
      </c>
      <c r="AA611" s="1184">
        <v>1</v>
      </c>
      <c r="AB611" s="600" t="s">
        <v>1280</v>
      </c>
      <c r="AC611" s="1192" t="str">
        <f>""</f>
        <v/>
      </c>
      <c r="AD611" s="1184">
        <v>0</v>
      </c>
      <c r="AE611" s="1184" t="s">
        <v>368</v>
      </c>
      <c r="AF611" s="1184" t="s">
        <v>436</v>
      </c>
      <c r="AG611" s="1184">
        <v>1</v>
      </c>
      <c r="AH611" s="1184">
        <v>15</v>
      </c>
      <c r="AI611" s="1184">
        <v>0</v>
      </c>
      <c r="AJ611" s="1193">
        <f>VLOOKUP($I611,'Price List, Weapons &amp; Items'!B:F,5,0)</f>
        <v>0</v>
      </c>
      <c r="AK611" s="1193">
        <f t="shared" si="134"/>
        <v>0</v>
      </c>
      <c r="AL611" s="1193">
        <f t="shared" si="135"/>
        <v>0</v>
      </c>
      <c r="AM611" s="1193">
        <f t="shared" si="136"/>
        <v>0</v>
      </c>
      <c r="AN611" s="1194" t="str">
        <f>VLOOKUP($I611,'Price List, Weapons &amp; Items'!B:L,COLUMN('Price List, Weapons &amp; Items'!$J$11)-1,0)</f>
        <v>Contracts</v>
      </c>
      <c r="AO611" s="1194" t="str">
        <f>IF(I611=".",".",VLOOKUP($I611,'Price List, Weapons &amp; Items'!B:J,3,0))</f>
        <v>Vehicle Launched Bridge (VLB)</v>
      </c>
      <c r="AP611" s="1195" t="str">
        <f t="shared" ca="1" si="130"/>
        <v/>
      </c>
      <c r="AQ611" s="1194">
        <f>VLOOKUP($I611,'Price List, Weapons &amp; Items'!B:L,COLUMN('Price List, Weapons &amp; Items'!$L$11)-1,0)</f>
        <v>2</v>
      </c>
      <c r="AR611" s="1194">
        <f t="shared" si="137"/>
        <v>1</v>
      </c>
      <c r="AS611" s="1194">
        <f t="shared" si="138"/>
        <v>1</v>
      </c>
      <c r="AT611" s="1194" t="str">
        <f t="shared" si="139"/>
        <v>Value is not in date format</v>
      </c>
      <c r="AU611" s="1194" t="str">
        <f t="shared" si="140"/>
        <v>.</v>
      </c>
      <c r="AV611" s="1194" t="str">
        <f t="shared" si="131"/>
        <v>.</v>
      </c>
      <c r="AW611" s="1194" t="str">
        <f t="shared" si="141"/>
        <v>.</v>
      </c>
      <c r="AX611" s="1194">
        <f>IFERROR(VLOOKUP(B611,'Share, Heavy Weapons to Ukraine'!B:Z,COLUMN('Share, Heavy Weapons to Ukraine'!C621)-1,0),0)</f>
        <v>0</v>
      </c>
      <c r="AY611" s="1194">
        <f>VLOOKUP('Bilateral Assistance, MAIN DATA'!B611,'Country Summary (€)'!B:F,COLUMN('Country Summary (€)'!C622)-1,FALSE)</f>
        <v>1</v>
      </c>
      <c r="AZ611" s="1194" t="str">
        <f>IF(AND(AD611=1,D611="Military",H611&lt;&gt;"Not given")=TRUE,IF(SUMIFS(P:P,A:A,A611)&gt;0,ABS((SUMIFS(P:P,A:A,A611)/VLOOKUP("USD",'Exchange Rates'!B:C,2,0)))/S611,"."),".")</f>
        <v>.</v>
      </c>
      <c r="BA611" s="1196" t="str">
        <f>IF(AND(AD611=1,D611="Military",H611&lt;&gt;"Not given")=TRUE,IF(SUMIFS(P:P,A:A,A611)&gt;0,IF((ABS((SUMIFS(P:P,A:A,A611)/VLOOKUP("USD",'Exchange Rates'!B:C,2,0)))/S611)&gt;1,(SUMIFS(P:P,A:A,A611)-S611)/S611,(S611-SUMIFS(P:P,A:A,A611))/SUMIFS(P:P,A:A,A611)),"."),".")</f>
        <v>.</v>
      </c>
      <c r="BC611" s="1180"/>
      <c r="BD611" s="1180"/>
      <c r="BE611" s="1180"/>
      <c r="BF611" s="1180"/>
      <c r="BG611" s="1180"/>
      <c r="BH611" s="1180"/>
      <c r="BI611" s="1180"/>
      <c r="BJ611" s="1180"/>
      <c r="BK611" s="1180"/>
      <c r="BL611" s="1180"/>
      <c r="BM611" s="1180"/>
      <c r="BN611" s="1180"/>
      <c r="BO611" s="1180"/>
      <c r="BP611" s="1180"/>
      <c r="BQ611" s="1180"/>
      <c r="BR611" s="1180"/>
      <c r="BS611" s="1180"/>
      <c r="BT611" s="1180"/>
    </row>
    <row r="612" spans="1:72" ht="15.95" customHeight="1">
      <c r="A612" s="1180" t="s">
        <v>1796</v>
      </c>
      <c r="B612" s="1182" t="s">
        <v>1711</v>
      </c>
      <c r="C612" s="1181" t="s">
        <v>1867</v>
      </c>
      <c r="D612" s="1182" t="s">
        <v>389</v>
      </c>
      <c r="E612" s="1182" t="s">
        <v>1676</v>
      </c>
      <c r="F612" s="1263" t="s">
        <v>1806</v>
      </c>
      <c r="G612" s="1184" t="s">
        <v>483</v>
      </c>
      <c r="H612" s="1185">
        <v>6750000000</v>
      </c>
      <c r="I612" s="1180" t="s">
        <v>1868</v>
      </c>
      <c r="J612" s="1186" t="str">
        <f>VLOOKUP($I612,'Price List, Weapons &amp; Items'!B:C,2,0)</f>
        <v>Light armaments &amp; infantry</v>
      </c>
      <c r="K612" s="1186" t="str">
        <f>IF(I612=".",I612,VLOOKUP($I612,'Price List, Weapons &amp; Items'!B:D,3,0))</f>
        <v>Small Arms and Light Weapons (SALW)</v>
      </c>
      <c r="L612" s="1187">
        <f>VLOOKUP(I612,'Price List, Weapons &amp; Items'!B:E,4,0)</f>
        <v>0</v>
      </c>
      <c r="M612" s="1188">
        <v>500</v>
      </c>
      <c r="N612" s="1275">
        <v>500</v>
      </c>
      <c r="O612" s="1188">
        <f>VLOOKUP($I612,'Price List, Weapons &amp; Items'!B:G,6,0)</f>
        <v>963.06</v>
      </c>
      <c r="P612" s="1185">
        <f t="shared" si="132"/>
        <v>481530</v>
      </c>
      <c r="Q612" s="1185">
        <f t="shared" si="133"/>
        <v>481530</v>
      </c>
      <c r="R612" s="1185" t="str">
        <f t="shared" si="129"/>
        <v/>
      </c>
      <c r="S612" s="1185" t="str">
        <f>IF(AND(AD612=1,R612&lt;&gt;".")=TRUE,R612/VLOOKUP(G612,'Exchange Rates'!B:C,2,0),IF(R612=".",".",""))</f>
        <v/>
      </c>
      <c r="T612" s="1185" t="str">
        <f>IF(AD612=1,IF(AF612="Value is not given at all",".",IF(AF612="Value is given by the source",S612,IF(AF612="Value is calculated with prices",(IF(SUMIFS(Q:Q,A:A,A612)&gt;0,SUMIFS(Q:Q,A:A,A612),"."))/VLOOKUP("USD",'Exchange Rates'!B:C,2,0),"Error with coding"))),"")</f>
        <v/>
      </c>
      <c r="U612" s="1184" t="s">
        <v>365</v>
      </c>
      <c r="V612" s="972" t="s">
        <v>1782</v>
      </c>
      <c r="W612" s="972" t="s">
        <v>1280</v>
      </c>
      <c r="X612" s="972" t="s">
        <v>364</v>
      </c>
      <c r="Y612" s="972" t="s">
        <v>364</v>
      </c>
      <c r="Z612" s="1184">
        <v>0</v>
      </c>
      <c r="AA612" s="1184">
        <v>1</v>
      </c>
      <c r="AB612" s="600" t="s">
        <v>1280</v>
      </c>
      <c r="AC612" s="1192" t="str">
        <f>""</f>
        <v/>
      </c>
      <c r="AD612" s="1184">
        <v>0</v>
      </c>
      <c r="AE612" s="1184" t="s">
        <v>368</v>
      </c>
      <c r="AF612" s="1184" t="s">
        <v>369</v>
      </c>
      <c r="AG612" s="1184">
        <v>1</v>
      </c>
      <c r="AH612" s="1184">
        <v>15</v>
      </c>
      <c r="AI612" s="1184">
        <v>0</v>
      </c>
      <c r="AJ612" s="1193">
        <f>VLOOKUP($I612,'Price List, Weapons &amp; Items'!B:F,5,0)</f>
        <v>0</v>
      </c>
      <c r="AK612" s="1193">
        <f t="shared" si="134"/>
        <v>0</v>
      </c>
      <c r="AL612" s="1193">
        <f t="shared" si="135"/>
        <v>0</v>
      </c>
      <c r="AM612" s="1193">
        <f t="shared" si="136"/>
        <v>0</v>
      </c>
      <c r="AN612" s="1194" t="str">
        <f>VLOOKUP($I612,'Price List, Weapons &amp; Items'!B:L,COLUMN('Price List, Weapons &amp; Items'!$J$11)-1,0)</f>
        <v>Online marketplaces and stores</v>
      </c>
      <c r="AO612" s="1194" t="str">
        <f>IF(I612=".",".",VLOOKUP($I612,'Price List, Weapons &amp; Items'!B:J,3,0))</f>
        <v>Small Arms and Light Weapons (SALW)</v>
      </c>
      <c r="AP612" s="1195" t="str">
        <f t="shared" ca="1" si="130"/>
        <v/>
      </c>
      <c r="AQ612" s="1194">
        <f>VLOOKUP($I612,'Price List, Weapons &amp; Items'!B:L,COLUMN('Price List, Weapons &amp; Items'!$L$11)-1,0)</f>
        <v>1</v>
      </c>
      <c r="AR612" s="1194">
        <f t="shared" si="137"/>
        <v>1</v>
      </c>
      <c r="AS612" s="1194">
        <f t="shared" si="138"/>
        <v>1</v>
      </c>
      <c r="AT612" s="1194" t="str">
        <f t="shared" si="139"/>
        <v>Value is not in date format</v>
      </c>
      <c r="AU612" s="1194" t="str">
        <f t="shared" si="140"/>
        <v>.</v>
      </c>
      <c r="AV612" s="1194" t="str">
        <f t="shared" si="131"/>
        <v>.</v>
      </c>
      <c r="AW612" s="1194" t="str">
        <f t="shared" si="141"/>
        <v>.</v>
      </c>
      <c r="AX612" s="1194">
        <f>IFERROR(VLOOKUP(B612,'Share, Heavy Weapons to Ukraine'!B:Z,COLUMN('Share, Heavy Weapons to Ukraine'!C622)-1,0),0)</f>
        <v>0</v>
      </c>
      <c r="AY612" s="1194">
        <f>VLOOKUP('Bilateral Assistance, MAIN DATA'!B612,'Country Summary (€)'!B:F,COLUMN('Country Summary (€)'!C623)-1,FALSE)</f>
        <v>1</v>
      </c>
      <c r="AZ612" s="1194" t="str">
        <f>IF(AND(AD612=1,D612="Military",H612&lt;&gt;"Not given")=TRUE,IF(SUMIFS(P:P,A:A,A612)&gt;0,ABS((SUMIFS(P:P,A:A,A612)/VLOOKUP("USD",'Exchange Rates'!B:C,2,0)))/S612,"."),".")</f>
        <v>.</v>
      </c>
      <c r="BA612" s="1196" t="str">
        <f>IF(AND(AD612=1,D612="Military",H612&lt;&gt;"Not given")=TRUE,IF(SUMIFS(P:P,A:A,A612)&gt;0,IF((ABS((SUMIFS(P:P,A:A,A612)/VLOOKUP("USD",'Exchange Rates'!B:C,2,0)))/S612)&gt;1,(SUMIFS(P:P,A:A,A612)-S612)/S612,(S612-SUMIFS(P:P,A:A,A612))/SUMIFS(P:P,A:A,A612)),"."),".")</f>
        <v>.</v>
      </c>
      <c r="BC612" s="1180"/>
      <c r="BD612" s="1180"/>
      <c r="BE612" s="1180"/>
      <c r="BF612" s="1180"/>
      <c r="BG612" s="1180"/>
      <c r="BH612" s="1180"/>
      <c r="BI612" s="1180"/>
      <c r="BJ612" s="1180"/>
      <c r="BK612" s="1180"/>
      <c r="BL612" s="1180"/>
      <c r="BM612" s="1180"/>
      <c r="BN612" s="1180"/>
      <c r="BO612" s="1180"/>
      <c r="BP612" s="1180"/>
      <c r="BQ612" s="1180"/>
      <c r="BR612" s="1180"/>
      <c r="BS612" s="1180"/>
      <c r="BT612" s="1180"/>
    </row>
    <row r="613" spans="1:72" ht="15.95" customHeight="1">
      <c r="A613" s="1180" t="s">
        <v>1796</v>
      </c>
      <c r="B613" s="1182" t="s">
        <v>1711</v>
      </c>
      <c r="C613" s="1181" t="s">
        <v>1788</v>
      </c>
      <c r="D613" s="1182" t="s">
        <v>389</v>
      </c>
      <c r="E613" s="1182" t="s">
        <v>1676</v>
      </c>
      <c r="F613" s="1263" t="s">
        <v>1806</v>
      </c>
      <c r="G613" s="1184" t="s">
        <v>483</v>
      </c>
      <c r="H613" s="1185">
        <v>6750000000</v>
      </c>
      <c r="I613" s="1266" t="s">
        <v>1858</v>
      </c>
      <c r="J613" s="1186" t="str">
        <f>VLOOKUP($I613,'Price List, Weapons &amp; Items'!B:C,2,0)</f>
        <v>Military equipment</v>
      </c>
      <c r="K613" s="1186" t="str">
        <f>IF(I613=".",I613,VLOOKUP($I613,'Price List, Weapons &amp; Items'!B:D,3,0))</f>
        <v>Infantry fighting vehicle (IFV)</v>
      </c>
      <c r="L613" s="1187">
        <f>VLOOKUP(I613,'Price List, Weapons &amp; Items'!B:E,4,0)</f>
        <v>0</v>
      </c>
      <c r="M613" s="1188">
        <v>20</v>
      </c>
      <c r="N613" s="1275" t="s">
        <v>374</v>
      </c>
      <c r="O613" s="1188">
        <f>VLOOKUP($I613,'Price List, Weapons &amp; Items'!B:G,6,0)</f>
        <v>1530000</v>
      </c>
      <c r="P613" s="1185">
        <f t="shared" si="132"/>
        <v>30600000</v>
      </c>
      <c r="Q613" s="1185" t="str">
        <f t="shared" si="133"/>
        <v>.</v>
      </c>
      <c r="R613" s="1185" t="str">
        <f t="shared" si="129"/>
        <v/>
      </c>
      <c r="S613" s="1185" t="str">
        <f>IF(AND(AD613=1,R613&lt;&gt;".")=TRUE,R613/VLOOKUP(G613,'Exchange Rates'!B:C,2,0),IF(R613=".",".",""))</f>
        <v/>
      </c>
      <c r="T613" s="1185" t="str">
        <f>IF(AD613=1,IF(AF613="Value is not given at all",".",IF(AF613="Value is given by the source",S613,IF(AF613="Value is calculated with prices",(IF(SUMIFS(Q:Q,A:A,A613)&gt;0,SUMIFS(Q:Q,A:A,A613),"."))/VLOOKUP("USD",'Exchange Rates'!B:C,2,0),"Error with coding"))),"")</f>
        <v/>
      </c>
      <c r="U613" s="1184" t="s">
        <v>365</v>
      </c>
      <c r="V613" s="972" t="s">
        <v>1782</v>
      </c>
      <c r="W613" s="972" t="s">
        <v>1280</v>
      </c>
      <c r="X613" s="972" t="s">
        <v>364</v>
      </c>
      <c r="Y613" s="972" t="s">
        <v>364</v>
      </c>
      <c r="Z613" s="1184">
        <v>0</v>
      </c>
      <c r="AA613" s="1184">
        <v>1</v>
      </c>
      <c r="AB613" s="600" t="s">
        <v>1280</v>
      </c>
      <c r="AC613" s="1192" t="str">
        <f>""</f>
        <v/>
      </c>
      <c r="AD613" s="1184">
        <v>0</v>
      </c>
      <c r="AE613" s="1184" t="s">
        <v>368</v>
      </c>
      <c r="AF613" s="1184" t="s">
        <v>369</v>
      </c>
      <c r="AG613" s="1184">
        <v>1</v>
      </c>
      <c r="AH613" s="1184">
        <v>17</v>
      </c>
      <c r="AI613" s="1184">
        <v>0</v>
      </c>
      <c r="AJ613" s="1193">
        <f>VLOOKUP($I613,'Price List, Weapons &amp; Items'!B:F,5,0)</f>
        <v>1</v>
      </c>
      <c r="AK613" s="1193">
        <f t="shared" si="134"/>
        <v>0</v>
      </c>
      <c r="AL613" s="1193">
        <f t="shared" si="135"/>
        <v>1</v>
      </c>
      <c r="AM613" s="1193">
        <f t="shared" si="136"/>
        <v>0</v>
      </c>
      <c r="AN613" s="1194" t="str">
        <f>VLOOKUP($I613,'Price List, Weapons &amp; Items'!B:L,COLUMN('Price List, Weapons &amp; Items'!$J$11)-1,0)</f>
        <v>Media reports (incl. social media)</v>
      </c>
      <c r="AO613" s="1194" t="str">
        <f>IF(I613=".",".",VLOOKUP($I613,'Price List, Weapons &amp; Items'!B:J,3,0))</f>
        <v>Infantry fighting vehicle (IFV)</v>
      </c>
      <c r="AP613" s="1195" t="str">
        <f t="shared" ca="1" si="130"/>
        <v/>
      </c>
      <c r="AQ613" s="1194">
        <f>VLOOKUP($I613,'Price List, Weapons &amp; Items'!B:L,COLUMN('Price List, Weapons &amp; Items'!$L$11)-1,0)</f>
        <v>2</v>
      </c>
      <c r="AR613" s="1194">
        <f t="shared" si="137"/>
        <v>1</v>
      </c>
      <c r="AS613" s="1194">
        <f t="shared" si="138"/>
        <v>1</v>
      </c>
      <c r="AT613" s="1194" t="str">
        <f t="shared" si="139"/>
        <v>Value is not in date format</v>
      </c>
      <c r="AU613" s="1194" t="str">
        <f t="shared" si="140"/>
        <v>.</v>
      </c>
      <c r="AV613" s="1194" t="str">
        <f t="shared" si="131"/>
        <v>.</v>
      </c>
      <c r="AW613" s="1194" t="str">
        <f t="shared" si="141"/>
        <v>.</v>
      </c>
      <c r="AX613" s="1194">
        <f>IFERROR(VLOOKUP(B613,'Share, Heavy Weapons to Ukraine'!B:Z,COLUMN('Share, Heavy Weapons to Ukraine'!C623)-1,0),0)</f>
        <v>0</v>
      </c>
      <c r="AY613" s="1194">
        <f>VLOOKUP('Bilateral Assistance, MAIN DATA'!B613,'Country Summary (€)'!B:F,COLUMN('Country Summary (€)'!C624)-1,FALSE)</f>
        <v>1</v>
      </c>
      <c r="AZ613" s="1194" t="str">
        <f>IF(AND(AD613=1,D613="Military",H613&lt;&gt;"Not given")=TRUE,IF(SUMIFS(P:P,A:A,A613)&gt;0,ABS((SUMIFS(P:P,A:A,A613)/VLOOKUP("USD",'Exchange Rates'!B:C,2,0)))/S613,"."),".")</f>
        <v>.</v>
      </c>
      <c r="BA613" s="1196" t="str">
        <f>IF(AND(AD613=1,D613="Military",H613&lt;&gt;"Not given")=TRUE,IF(SUMIFS(P:P,A:A,A613)&gt;0,IF((ABS((SUMIFS(P:P,A:A,A613)/VLOOKUP("USD",'Exchange Rates'!B:C,2,0)))/S613)&gt;1,(SUMIFS(P:P,A:A,A613)-S613)/S613,(S613-SUMIFS(P:P,A:A,A613))/SUMIFS(P:P,A:A,A613)),"."),".")</f>
        <v>.</v>
      </c>
      <c r="BC613" s="1180"/>
      <c r="BD613" s="1180"/>
      <c r="BE613" s="1180"/>
      <c r="BF613" s="1180"/>
      <c r="BG613" s="1180"/>
      <c r="BH613" s="1180"/>
      <c r="BI613" s="1180"/>
      <c r="BJ613" s="1180"/>
      <c r="BK613" s="1180"/>
      <c r="BL613" s="1180"/>
      <c r="BM613" s="1180"/>
      <c r="BN613" s="1180"/>
      <c r="BO613" s="1180"/>
      <c r="BP613" s="1180"/>
      <c r="BQ613" s="1180"/>
      <c r="BR613" s="1180"/>
      <c r="BS613" s="1180"/>
      <c r="BT613" s="1180"/>
    </row>
    <row r="614" spans="1:72" ht="15.95" customHeight="1">
      <c r="A614" s="1180" t="s">
        <v>1796</v>
      </c>
      <c r="B614" s="1182" t="s">
        <v>1711</v>
      </c>
      <c r="C614" s="1181" t="s">
        <v>1788</v>
      </c>
      <c r="D614" s="1182" t="s">
        <v>389</v>
      </c>
      <c r="E614" s="1182" t="s">
        <v>1676</v>
      </c>
      <c r="F614" s="1263" t="s">
        <v>1806</v>
      </c>
      <c r="G614" s="1184" t="s">
        <v>483</v>
      </c>
      <c r="H614" s="1185">
        <v>6750000000</v>
      </c>
      <c r="I614" s="1266" t="s">
        <v>888</v>
      </c>
      <c r="J614" s="1186" t="str">
        <f>VLOOKUP($I614,'Price List, Weapons &amp; Items'!B:C,2,0)</f>
        <v>Ammunition for heavy weapon</v>
      </c>
      <c r="K614" s="1186" t="str">
        <f>IF(I614=".",I614,VLOOKUP($I614,'Price List, Weapons &amp; Items'!B:D,3,0))</f>
        <v>Military equipment</v>
      </c>
      <c r="L614" s="1187">
        <f>VLOOKUP(I614,'Price List, Weapons &amp; Items'!B:E,4,0)</f>
        <v>0</v>
      </c>
      <c r="M614" s="1188" t="s">
        <v>374</v>
      </c>
      <c r="N614" s="1275" t="s">
        <v>374</v>
      </c>
      <c r="O614" s="1188" t="str">
        <f>VLOOKUP($I614,'Price List, Weapons &amp; Items'!B:G,6,0)</f>
        <v>.</v>
      </c>
      <c r="P614" s="1185" t="str">
        <f t="shared" si="132"/>
        <v>.</v>
      </c>
      <c r="Q614" s="1185" t="str">
        <f t="shared" si="133"/>
        <v>.</v>
      </c>
      <c r="R614" s="1185" t="str">
        <f t="shared" si="129"/>
        <v/>
      </c>
      <c r="S614" s="1185" t="str">
        <f>IF(AND(AD614=1,R614&lt;&gt;".")=TRUE,R614/VLOOKUP(G614,'Exchange Rates'!B:C,2,0),IF(R614=".",".",""))</f>
        <v/>
      </c>
      <c r="T614" s="1185" t="str">
        <f>IF(AD614=1,IF(AF614="Value is not given at all",".",IF(AF614="Value is given by the source",S614,IF(AF614="Value is calculated with prices",(IF(SUMIFS(Q:Q,A:A,A614)&gt;0,SUMIFS(Q:Q,A:A,A614),"."))/VLOOKUP("USD",'Exchange Rates'!B:C,2,0),"Error with coding"))),"")</f>
        <v/>
      </c>
      <c r="U614" s="1184" t="s">
        <v>365</v>
      </c>
      <c r="V614" s="972" t="s">
        <v>1782</v>
      </c>
      <c r="W614" s="972" t="s">
        <v>1280</v>
      </c>
      <c r="X614" s="972" t="s">
        <v>364</v>
      </c>
      <c r="Y614" s="972" t="s">
        <v>364</v>
      </c>
      <c r="Z614" s="1184">
        <v>0</v>
      </c>
      <c r="AA614" s="1184">
        <v>1</v>
      </c>
      <c r="AB614" s="600" t="s">
        <v>1280</v>
      </c>
      <c r="AC614" s="1192" t="str">
        <f>""</f>
        <v/>
      </c>
      <c r="AD614" s="1184">
        <v>0</v>
      </c>
      <c r="AE614" s="1184" t="s">
        <v>368</v>
      </c>
      <c r="AF614" s="1184" t="s">
        <v>369</v>
      </c>
      <c r="AG614" s="1184">
        <v>1</v>
      </c>
      <c r="AH614" s="1184">
        <v>17</v>
      </c>
      <c r="AI614" s="1184">
        <v>0</v>
      </c>
      <c r="AJ614" s="1193">
        <f>VLOOKUP($I614,'Price List, Weapons &amp; Items'!B:F,5,0)</f>
        <v>0</v>
      </c>
      <c r="AK614" s="1193">
        <f t="shared" si="134"/>
        <v>0</v>
      </c>
      <c r="AL614" s="1193">
        <f t="shared" si="135"/>
        <v>0</v>
      </c>
      <c r="AM614" s="1193">
        <f t="shared" si="136"/>
        <v>1</v>
      </c>
      <c r="AN614" s="1194" t="str">
        <f>VLOOKUP($I614,'Price List, Weapons &amp; Items'!B:L,COLUMN('Price List, Weapons &amp; Items'!$J$11)-1,0)</f>
        <v>.</v>
      </c>
      <c r="AO614" s="1194" t="str">
        <f>IF(I614=".",".",VLOOKUP($I614,'Price List, Weapons &amp; Items'!B:J,3,0))</f>
        <v>Military equipment</v>
      </c>
      <c r="AP614" s="1195" t="str">
        <f t="shared" ca="1" si="130"/>
        <v/>
      </c>
      <c r="AQ614" s="1194">
        <f>VLOOKUP($I614,'Price List, Weapons &amp; Items'!B:L,COLUMN('Price List, Weapons &amp; Items'!$L$11)-1,0)</f>
        <v>0</v>
      </c>
      <c r="AR614" s="1194">
        <f t="shared" si="137"/>
        <v>1</v>
      </c>
      <c r="AS614" s="1194">
        <f t="shared" si="138"/>
        <v>1</v>
      </c>
      <c r="AT614" s="1194" t="str">
        <f t="shared" si="139"/>
        <v>Value is not in date format</v>
      </c>
      <c r="AU614" s="1194" t="str">
        <f t="shared" si="140"/>
        <v>.</v>
      </c>
      <c r="AV614" s="1194" t="str">
        <f t="shared" si="131"/>
        <v>.</v>
      </c>
      <c r="AW614" s="1194" t="str">
        <f t="shared" si="141"/>
        <v>.</v>
      </c>
      <c r="AX614" s="1194">
        <f>IFERROR(VLOOKUP(B614,'Share, Heavy Weapons to Ukraine'!B:Z,COLUMN('Share, Heavy Weapons to Ukraine'!C624)-1,0),0)</f>
        <v>0</v>
      </c>
      <c r="AY614" s="1194">
        <f>VLOOKUP('Bilateral Assistance, MAIN DATA'!B614,'Country Summary (€)'!B:F,COLUMN('Country Summary (€)'!C625)-1,FALSE)</f>
        <v>1</v>
      </c>
      <c r="AZ614" s="1194" t="str">
        <f>IF(AND(AD614=1,D614="Military",H614&lt;&gt;"Not given")=TRUE,IF(SUMIFS(P:P,A:A,A614)&gt;0,ABS((SUMIFS(P:P,A:A,A614)/VLOOKUP("USD",'Exchange Rates'!B:C,2,0)))/S614,"."),".")</f>
        <v>.</v>
      </c>
      <c r="BA614" s="1196" t="str">
        <f>IF(AND(AD614=1,D614="Military",H614&lt;&gt;"Not given")=TRUE,IF(SUMIFS(P:P,A:A,A614)&gt;0,IF((ABS((SUMIFS(P:P,A:A,A614)/VLOOKUP("USD",'Exchange Rates'!B:C,2,0)))/S614)&gt;1,(SUMIFS(P:P,A:A,A614)-S614)/S614,(S614-SUMIFS(P:P,A:A,A614))/SUMIFS(P:P,A:A,A614)),"."),".")</f>
        <v>.</v>
      </c>
      <c r="BC614" s="1180"/>
      <c r="BD614" s="1180"/>
      <c r="BE614" s="1180"/>
      <c r="BF614" s="1180"/>
      <c r="BG614" s="1180"/>
      <c r="BH614" s="1180"/>
      <c r="BI614" s="1180"/>
      <c r="BJ614" s="1180"/>
      <c r="BK614" s="1180"/>
      <c r="BL614" s="1180"/>
      <c r="BM614" s="1180"/>
      <c r="BN614" s="1180"/>
      <c r="BO614" s="1180"/>
      <c r="BP614" s="1180"/>
      <c r="BQ614" s="1180"/>
      <c r="BR614" s="1180"/>
      <c r="BS614" s="1180"/>
      <c r="BT614" s="1180"/>
    </row>
    <row r="615" spans="1:72" ht="15.95" customHeight="1">
      <c r="A615" s="1180" t="s">
        <v>1796</v>
      </c>
      <c r="B615" s="1182" t="s">
        <v>1711</v>
      </c>
      <c r="C615" s="1181" t="s">
        <v>1788</v>
      </c>
      <c r="D615" s="1182" t="s">
        <v>389</v>
      </c>
      <c r="E615" s="1182" t="s">
        <v>1676</v>
      </c>
      <c r="F615" s="1263" t="s">
        <v>1806</v>
      </c>
      <c r="G615" s="1184" t="s">
        <v>483</v>
      </c>
      <c r="H615" s="1185">
        <v>6750000000</v>
      </c>
      <c r="I615" s="1266" t="s">
        <v>1869</v>
      </c>
      <c r="J615" s="1186" t="str">
        <f>VLOOKUP($I615,'Price List, Weapons &amp; Items'!B:C,2,0)</f>
        <v>Heavy weapon</v>
      </c>
      <c r="K615" s="1186" t="str">
        <f>IF(I615=".",I615,VLOOKUP($I615,'Price List, Weapons &amp; Items'!B:D,3,0))</f>
        <v>Anti-aircraft surface-to-air missile (SAM) system (short-range)</v>
      </c>
      <c r="L615" s="1187">
        <f>VLOOKUP(I615,'Price List, Weapons &amp; Items'!B:E,4,0)</f>
        <v>0</v>
      </c>
      <c r="M615" s="1188">
        <v>12</v>
      </c>
      <c r="N615" s="1275" t="s">
        <v>374</v>
      </c>
      <c r="O615" s="1188">
        <f>VLOOKUP($I615,'Price List, Weapons &amp; Items'!B:G,6,0)</f>
        <v>152152000</v>
      </c>
      <c r="P615" s="1185">
        <f t="shared" si="132"/>
        <v>1825824000</v>
      </c>
      <c r="Q615" s="1185" t="str">
        <f t="shared" si="133"/>
        <v>.</v>
      </c>
      <c r="R615" s="1185" t="str">
        <f t="shared" si="129"/>
        <v/>
      </c>
      <c r="S615" s="1185" t="str">
        <f>IF(AND(AD615=1,R615&lt;&gt;".")=TRUE,R615/VLOOKUP(G615,'Exchange Rates'!B:C,2,0),IF(R615=".",".",""))</f>
        <v/>
      </c>
      <c r="T615" s="1185" t="str">
        <f>IF(AD615=1,IF(AF615="Value is not given at all",".",IF(AF615="Value is given by the source",S615,IF(AF615="Value is calculated with prices",(IF(SUMIFS(Q:Q,A:A,A615)&gt;0,SUMIFS(Q:Q,A:A,A615),"."))/VLOOKUP("USD",'Exchange Rates'!B:C,2,0),"Error with coding"))),"")</f>
        <v/>
      </c>
      <c r="U615" s="1184" t="s">
        <v>365</v>
      </c>
      <c r="V615" s="972" t="s">
        <v>1782</v>
      </c>
      <c r="W615" s="972" t="s">
        <v>1280</v>
      </c>
      <c r="X615" s="972" t="s">
        <v>364</v>
      </c>
      <c r="Y615" s="972" t="s">
        <v>364</v>
      </c>
      <c r="Z615" s="1184">
        <v>0</v>
      </c>
      <c r="AA615" s="1184">
        <v>1</v>
      </c>
      <c r="AB615" s="600" t="s">
        <v>1280</v>
      </c>
      <c r="AC615" s="1192" t="str">
        <f>""</f>
        <v/>
      </c>
      <c r="AD615" s="1184">
        <v>0</v>
      </c>
      <c r="AE615" s="1184" t="s">
        <v>368</v>
      </c>
      <c r="AF615" s="1184" t="s">
        <v>369</v>
      </c>
      <c r="AG615" s="1184">
        <v>1</v>
      </c>
      <c r="AH615" s="1184">
        <v>17</v>
      </c>
      <c r="AI615" s="1184">
        <v>0</v>
      </c>
      <c r="AJ615" s="1193">
        <f>VLOOKUP($I615,'Price List, Weapons &amp; Items'!B:F,5,0)</f>
        <v>0</v>
      </c>
      <c r="AK615" s="1193">
        <f t="shared" si="134"/>
        <v>0</v>
      </c>
      <c r="AL615" s="1193">
        <f t="shared" si="135"/>
        <v>0</v>
      </c>
      <c r="AM615" s="1193">
        <f t="shared" si="136"/>
        <v>0</v>
      </c>
      <c r="AN615" s="1194" t="str">
        <f>VLOOKUP($I615,'Price List, Weapons &amp; Items'!B:L,COLUMN('Price List, Weapons &amp; Items'!$J$11)-1,0)</f>
        <v>Media reports (incl. social media)</v>
      </c>
      <c r="AO615" s="1194" t="str">
        <f>IF(I615=".",".",VLOOKUP($I615,'Price List, Weapons &amp; Items'!B:J,3,0))</f>
        <v>Anti-aircraft surface-to-air missile (SAM) system (short-range)</v>
      </c>
      <c r="AP615" s="1195" t="str">
        <f t="shared" ca="1" si="130"/>
        <v/>
      </c>
      <c r="AQ615" s="1194">
        <f>VLOOKUP($I615,'Price List, Weapons &amp; Items'!B:L,COLUMN('Price List, Weapons &amp; Items'!$L$11)-1,0)</f>
        <v>2</v>
      </c>
      <c r="AR615" s="1194">
        <f t="shared" si="137"/>
        <v>1</v>
      </c>
      <c r="AS615" s="1194">
        <f t="shared" si="138"/>
        <v>1</v>
      </c>
      <c r="AT615" s="1194" t="str">
        <f t="shared" si="139"/>
        <v>Value is not in date format</v>
      </c>
      <c r="AU615" s="1194" t="str">
        <f t="shared" si="140"/>
        <v>.</v>
      </c>
      <c r="AV615" s="1194" t="str">
        <f t="shared" si="131"/>
        <v>.</v>
      </c>
      <c r="AW615" s="1194" t="str">
        <f t="shared" si="141"/>
        <v>.</v>
      </c>
      <c r="AX615" s="1194">
        <f>IFERROR(VLOOKUP(B615,'Share, Heavy Weapons to Ukraine'!B:Z,COLUMN('Share, Heavy Weapons to Ukraine'!C625)-1,0),0)</f>
        <v>0</v>
      </c>
      <c r="AY615" s="1194">
        <f>VLOOKUP('Bilateral Assistance, MAIN DATA'!B615,'Country Summary (€)'!B:F,COLUMN('Country Summary (€)'!C626)-1,FALSE)</f>
        <v>1</v>
      </c>
      <c r="AZ615" s="1194" t="str">
        <f>IF(AND(AD615=1,D615="Military",H615&lt;&gt;"Not given")=TRUE,IF(SUMIFS(P:P,A:A,A615)&gt;0,ABS((SUMIFS(P:P,A:A,A615)/VLOOKUP("USD",'Exchange Rates'!B:C,2,0)))/S615,"."),".")</f>
        <v>.</v>
      </c>
      <c r="BA615" s="1196" t="str">
        <f>IF(AND(AD615=1,D615="Military",H615&lt;&gt;"Not given")=TRUE,IF(SUMIFS(P:P,A:A,A615)&gt;0,IF((ABS((SUMIFS(P:P,A:A,A615)/VLOOKUP("USD",'Exchange Rates'!B:C,2,0)))/S615)&gt;1,(SUMIFS(P:P,A:A,A615)-S615)/S615,(S615-SUMIFS(P:P,A:A,A615))/SUMIFS(P:P,A:A,A615)),"."),".")</f>
        <v>.</v>
      </c>
      <c r="BC615" s="1180"/>
      <c r="BD615" s="1180"/>
      <c r="BE615" s="1180"/>
      <c r="BF615" s="1180"/>
      <c r="BG615" s="1180"/>
      <c r="BH615" s="1180"/>
      <c r="BI615" s="1180"/>
      <c r="BJ615" s="1180"/>
      <c r="BK615" s="1180"/>
      <c r="BL615" s="1180"/>
      <c r="BM615" s="1180"/>
      <c r="BN615" s="1180"/>
      <c r="BO615" s="1180"/>
      <c r="BP615" s="1180"/>
      <c r="BQ615" s="1180"/>
      <c r="BR615" s="1180"/>
      <c r="BS615" s="1180"/>
      <c r="BT615" s="1180"/>
    </row>
    <row r="616" spans="1:72" ht="15.95" customHeight="1">
      <c r="A616" s="1180" t="s">
        <v>1796</v>
      </c>
      <c r="B616" s="1182" t="s">
        <v>1711</v>
      </c>
      <c r="C616" s="1181" t="s">
        <v>1788</v>
      </c>
      <c r="D616" s="1182" t="s">
        <v>389</v>
      </c>
      <c r="E616" s="1182" t="s">
        <v>1676</v>
      </c>
      <c r="F616" s="1263" t="s">
        <v>1806</v>
      </c>
      <c r="G616" s="1184" t="s">
        <v>483</v>
      </c>
      <c r="H616" s="1185">
        <v>6750000000</v>
      </c>
      <c r="I616" s="1266" t="s">
        <v>1870</v>
      </c>
      <c r="J616" s="1186" t="str">
        <f>VLOOKUP($I616,'Price List, Weapons &amp; Items'!B:C,2,0)</f>
        <v>Ammunition for heavy weapon</v>
      </c>
      <c r="K616" s="1186" t="str">
        <f>IF(I616=".",I616,VLOOKUP($I616,'Price List, Weapons &amp; Items'!B:D,3,0))</f>
        <v>Anti-aircraft system ammunition</v>
      </c>
      <c r="L616" s="1187">
        <f>VLOOKUP(I616,'Price List, Weapons &amp; Items'!B:E,4,0)</f>
        <v>0</v>
      </c>
      <c r="M616" s="1188" t="s">
        <v>374</v>
      </c>
      <c r="N616" s="1275" t="s">
        <v>374</v>
      </c>
      <c r="O616" s="1188">
        <f>VLOOKUP($I616,'Price List, Weapons &amp; Items'!B:G,6,0)</f>
        <v>616680.63641107001</v>
      </c>
      <c r="P616" s="1185" t="str">
        <f t="shared" si="132"/>
        <v>.</v>
      </c>
      <c r="Q616" s="1185" t="str">
        <f t="shared" si="133"/>
        <v>.</v>
      </c>
      <c r="R616" s="1185" t="str">
        <f t="shared" si="129"/>
        <v/>
      </c>
      <c r="S616" s="1185" t="str">
        <f>IF(AND(AD616=1,R616&lt;&gt;".")=TRUE,R616/VLOOKUP(G616,'Exchange Rates'!B:C,2,0),IF(R616=".",".",""))</f>
        <v/>
      </c>
      <c r="T616" s="1185" t="str">
        <f>IF(AD616=1,IF(AF616="Value is not given at all",".",IF(AF616="Value is given by the source",S616,IF(AF616="Value is calculated with prices",(IF(SUMIFS(Q:Q,A:A,A616)&gt;0,SUMIFS(Q:Q,A:A,A616),"."))/VLOOKUP("USD",'Exchange Rates'!B:C,2,0),"Error with coding"))),"")</f>
        <v/>
      </c>
      <c r="U616" s="1184" t="s">
        <v>365</v>
      </c>
      <c r="V616" s="972" t="s">
        <v>1782</v>
      </c>
      <c r="W616" s="972" t="s">
        <v>1280</v>
      </c>
      <c r="X616" s="972" t="s">
        <v>364</v>
      </c>
      <c r="Y616" s="972" t="s">
        <v>364</v>
      </c>
      <c r="Z616" s="1184">
        <v>0</v>
      </c>
      <c r="AA616" s="1184">
        <v>1</v>
      </c>
      <c r="AB616" s="600" t="s">
        <v>1280</v>
      </c>
      <c r="AC616" s="1192" t="str">
        <f>""</f>
        <v/>
      </c>
      <c r="AD616" s="1184">
        <v>0</v>
      </c>
      <c r="AE616" s="1184" t="s">
        <v>368</v>
      </c>
      <c r="AF616" s="1184" t="s">
        <v>369</v>
      </c>
      <c r="AG616" s="1184">
        <v>1</v>
      </c>
      <c r="AH616" s="1184">
        <v>17</v>
      </c>
      <c r="AI616" s="1184">
        <v>0</v>
      </c>
      <c r="AJ616" s="1193">
        <f>VLOOKUP($I616,'Price List, Weapons &amp; Items'!B:F,5,0)</f>
        <v>0</v>
      </c>
      <c r="AK616" s="1193">
        <f t="shared" si="134"/>
        <v>0</v>
      </c>
      <c r="AL616" s="1193">
        <f t="shared" si="135"/>
        <v>0</v>
      </c>
      <c r="AM616" s="1193">
        <f t="shared" si="136"/>
        <v>0</v>
      </c>
      <c r="AN616" s="1194" t="str">
        <f>VLOOKUP($I616,'Price List, Weapons &amp; Items'!B:L,COLUMN('Price List, Weapons &amp; Items'!$J$11)-1,0)</f>
        <v>Contracts</v>
      </c>
      <c r="AO616" s="1194" t="str">
        <f>IF(I616=".",".",VLOOKUP($I616,'Price List, Weapons &amp; Items'!B:J,3,0))</f>
        <v>Anti-aircraft system ammunition</v>
      </c>
      <c r="AP616" s="1195" t="str">
        <f t="shared" ca="1" si="130"/>
        <v/>
      </c>
      <c r="AQ616" s="1194" t="str">
        <f>VLOOKUP($I616,'Price List, Weapons &amp; Items'!B:L,COLUMN('Price List, Weapons &amp; Items'!$L$11)-1,0)</f>
        <v>no price, 0 count</v>
      </c>
      <c r="AR616" s="1194">
        <f t="shared" si="137"/>
        <v>1</v>
      </c>
      <c r="AS616" s="1194">
        <f t="shared" si="138"/>
        <v>1</v>
      </c>
      <c r="AT616" s="1194" t="str">
        <f t="shared" si="139"/>
        <v>Value is not in date format</v>
      </c>
      <c r="AU616" s="1194" t="str">
        <f t="shared" si="140"/>
        <v>.</v>
      </c>
      <c r="AV616" s="1194" t="str">
        <f t="shared" si="131"/>
        <v>.</v>
      </c>
      <c r="AW616" s="1194" t="str">
        <f t="shared" si="141"/>
        <v>.</v>
      </c>
      <c r="AX616" s="1194">
        <f>IFERROR(VLOOKUP(B616,'Share, Heavy Weapons to Ukraine'!B:Z,COLUMN('Share, Heavy Weapons to Ukraine'!C626)-1,0),0)</f>
        <v>0</v>
      </c>
      <c r="AY616" s="1194">
        <f>VLOOKUP('Bilateral Assistance, MAIN DATA'!B616,'Country Summary (€)'!B:F,COLUMN('Country Summary (€)'!C627)-1,FALSE)</f>
        <v>1</v>
      </c>
      <c r="AZ616" s="1194" t="str">
        <f>IF(AND(AD616=1,D616="Military",H616&lt;&gt;"Not given")=TRUE,IF(SUMIFS(P:P,A:A,A616)&gt;0,ABS((SUMIFS(P:P,A:A,A616)/VLOOKUP("USD",'Exchange Rates'!B:C,2,0)))/S616,"."),".")</f>
        <v>.</v>
      </c>
      <c r="BA616" s="1196" t="str">
        <f>IF(AND(AD616=1,D616="Military",H616&lt;&gt;"Not given")=TRUE,IF(SUMIFS(P:P,A:A,A616)&gt;0,IF((ABS((SUMIFS(P:P,A:A,A616)/VLOOKUP("USD",'Exchange Rates'!B:C,2,0)))/S616)&gt;1,(SUMIFS(P:P,A:A,A616)-S616)/S616,(S616-SUMIFS(P:P,A:A,A616))/SUMIFS(P:P,A:A,A616)),"."),".")</f>
        <v>.</v>
      </c>
      <c r="BC616" s="1180"/>
      <c r="BD616" s="1180"/>
      <c r="BE616" s="1180"/>
      <c r="BF616" s="1180"/>
      <c r="BG616" s="1180"/>
      <c r="BH616" s="1180"/>
      <c r="BI616" s="1180"/>
      <c r="BJ616" s="1180"/>
      <c r="BK616" s="1180"/>
      <c r="BL616" s="1180"/>
      <c r="BM616" s="1180"/>
      <c r="BN616" s="1180"/>
      <c r="BO616" s="1180"/>
      <c r="BP616" s="1180"/>
      <c r="BQ616" s="1180"/>
      <c r="BR616" s="1180"/>
      <c r="BS616" s="1180"/>
      <c r="BT616" s="1180"/>
    </row>
    <row r="617" spans="1:72" ht="15.95" customHeight="1">
      <c r="A617" s="1182" t="s">
        <v>1796</v>
      </c>
      <c r="B617" s="1182" t="s">
        <v>1711</v>
      </c>
      <c r="C617" s="1181" t="s">
        <v>1788</v>
      </c>
      <c r="D617" s="1182" t="s">
        <v>389</v>
      </c>
      <c r="E617" s="1182" t="s">
        <v>1676</v>
      </c>
      <c r="F617" s="1263" t="s">
        <v>1806</v>
      </c>
      <c r="G617" s="1184" t="s">
        <v>483</v>
      </c>
      <c r="H617" s="1185">
        <v>6750000000</v>
      </c>
      <c r="I617" s="1280" t="s">
        <v>1843</v>
      </c>
      <c r="J617" s="1186" t="str">
        <f>VLOOKUP($I617,'Price List, Weapons &amp; Items'!B:C,2,0)</f>
        <v>Heavy weapon</v>
      </c>
      <c r="K617" s="1186" t="str">
        <f>IF(I617=".",I617,VLOOKUP($I617,'Price List, Weapons &amp; Items'!B:D,3,0))</f>
        <v>Self-propelled anti-aircraft weapon</v>
      </c>
      <c r="L617" s="1187">
        <f>VLOOKUP(I617,'Price List, Weapons &amp; Items'!B:E,4,0)</f>
        <v>0</v>
      </c>
      <c r="M617" s="1188">
        <v>15</v>
      </c>
      <c r="N617" s="1275" t="s">
        <v>374</v>
      </c>
      <c r="O617" s="1188">
        <f>VLOOKUP($I617,'Price List, Weapons &amp; Items'!B:G,6,0)</f>
        <v>1190651.93</v>
      </c>
      <c r="P617" s="1185">
        <f t="shared" si="132"/>
        <v>17859778.949999999</v>
      </c>
      <c r="Q617" s="1185" t="str">
        <f t="shared" si="133"/>
        <v>.</v>
      </c>
      <c r="R617" s="1185" t="str">
        <f t="shared" si="129"/>
        <v/>
      </c>
      <c r="S617" s="1185" t="str">
        <f>IF(AND(AD617=1,R617&lt;&gt;".")=TRUE,R617/VLOOKUP(G617,'Exchange Rates'!B:C,2,0),IF(R617=".",".",""))</f>
        <v/>
      </c>
      <c r="T617" s="1185" t="str">
        <f>IF(AD617=1,IF(AF617="Value is not given at all",".",IF(AF617="Value is given by the source",S617,IF(AF617="Value is calculated with prices",(IF(SUMIFS(Q:Q,A:A,A617)&gt;0,SUMIFS(Q:Q,A:A,A617),"."))/VLOOKUP("USD",'Exchange Rates'!B:C,2,0),"Error with coding"))),"")</f>
        <v/>
      </c>
      <c r="U617" s="1184" t="s">
        <v>365</v>
      </c>
      <c r="V617" s="972" t="s">
        <v>1782</v>
      </c>
      <c r="W617" s="972" t="s">
        <v>1280</v>
      </c>
      <c r="X617" s="972" t="s">
        <v>364</v>
      </c>
      <c r="Y617" s="972" t="s">
        <v>364</v>
      </c>
      <c r="Z617" s="1184">
        <v>0</v>
      </c>
      <c r="AA617" s="1184">
        <v>1</v>
      </c>
      <c r="AB617" s="600" t="s">
        <v>1280</v>
      </c>
      <c r="AC617" s="1192" t="str">
        <f>""</f>
        <v/>
      </c>
      <c r="AD617" s="1184">
        <v>0</v>
      </c>
      <c r="AE617" s="1184" t="s">
        <v>368</v>
      </c>
      <c r="AF617" s="1184" t="s">
        <v>369</v>
      </c>
      <c r="AG617" s="1184">
        <v>1</v>
      </c>
      <c r="AH617" s="1184">
        <v>17</v>
      </c>
      <c r="AI617" s="1184">
        <v>0</v>
      </c>
      <c r="AJ617" s="1193">
        <f>VLOOKUP($I617,'Price List, Weapons &amp; Items'!B:F,5,0)</f>
        <v>0</v>
      </c>
      <c r="AK617" s="1193">
        <f t="shared" si="134"/>
        <v>0</v>
      </c>
      <c r="AL617" s="1193">
        <f t="shared" si="135"/>
        <v>0</v>
      </c>
      <c r="AM617" s="1193">
        <f t="shared" si="136"/>
        <v>0</v>
      </c>
      <c r="AN617" s="1194" t="str">
        <f>VLOOKUP($I617,'Price List, Weapons &amp; Items'!B:L,COLUMN('Price List, Weapons &amp; Items'!$J$11)-1,0)</f>
        <v>Military media (incl. websites)</v>
      </c>
      <c r="AO617" s="1194" t="str">
        <f>IF(I617=".",".",VLOOKUP($I617,'Price List, Weapons &amp; Items'!B:J,3,0))</f>
        <v>Self-propelled anti-aircraft weapon</v>
      </c>
      <c r="AP617" s="1195" t="str">
        <f t="shared" ca="1" si="130"/>
        <v/>
      </c>
      <c r="AQ617" s="1194">
        <f>VLOOKUP($I617,'Price List, Weapons &amp; Items'!B:L,COLUMN('Price List, Weapons &amp; Items'!$L$11)-1,0)</f>
        <v>2</v>
      </c>
      <c r="AR617" s="1194">
        <f t="shared" si="137"/>
        <v>1</v>
      </c>
      <c r="AS617" s="1194">
        <f t="shared" si="138"/>
        <v>1</v>
      </c>
      <c r="AT617" s="1194" t="str">
        <f t="shared" si="139"/>
        <v>Value is not in date format</v>
      </c>
      <c r="AU617" s="1194" t="str">
        <f t="shared" si="140"/>
        <v>.</v>
      </c>
      <c r="AV617" s="1194" t="str">
        <f t="shared" si="131"/>
        <v>.</v>
      </c>
      <c r="AW617" s="1194" t="str">
        <f t="shared" si="141"/>
        <v>.</v>
      </c>
      <c r="AX617" s="1194">
        <f>IFERROR(VLOOKUP(B617,'Share, Heavy Weapons to Ukraine'!B:Z,COLUMN('Share, Heavy Weapons to Ukraine'!C627)-1,0),0)</f>
        <v>0</v>
      </c>
      <c r="AY617" s="1194">
        <f>VLOOKUP('Bilateral Assistance, MAIN DATA'!B617,'Country Summary (€)'!B:F,COLUMN('Country Summary (€)'!C628)-1,FALSE)</f>
        <v>1</v>
      </c>
      <c r="AZ617" s="1194" t="str">
        <f>IF(AND(AD617=1,D617="Military",H617&lt;&gt;"Not given")=TRUE,IF(SUMIFS(P:P,A:A,A617)&gt;0,ABS((SUMIFS(P:P,A:A,A617)/VLOOKUP("USD",'Exchange Rates'!B:C,2,0)))/S617,"."),".")</f>
        <v>.</v>
      </c>
      <c r="BA617" s="1196" t="str">
        <f>IF(AND(AD617=1,D617="Military",H617&lt;&gt;"Not given")=TRUE,IF(SUMIFS(P:P,A:A,A617)&gt;0,IF((ABS((SUMIFS(P:P,A:A,A617)/VLOOKUP("USD",'Exchange Rates'!B:C,2,0)))/S617)&gt;1,(SUMIFS(P:P,A:A,A617)-S617)/S617,(S617-SUMIFS(P:P,A:A,A617))/SUMIFS(P:P,A:A,A617)),"."),".")</f>
        <v>.</v>
      </c>
      <c r="BC617" s="1180"/>
      <c r="BD617" s="1180"/>
      <c r="BE617" s="1180"/>
      <c r="BF617" s="1180"/>
      <c r="BG617" s="1180"/>
      <c r="BH617" s="1180"/>
      <c r="BI617" s="1180"/>
      <c r="BJ617" s="1180"/>
      <c r="BK617" s="1180"/>
      <c r="BL617" s="1180"/>
      <c r="BM617" s="1180"/>
      <c r="BN617" s="1180"/>
      <c r="BO617" s="1180"/>
      <c r="BP617" s="1180"/>
      <c r="BQ617" s="1180"/>
      <c r="BR617" s="1180"/>
      <c r="BS617" s="1180"/>
      <c r="BT617" s="1180"/>
    </row>
    <row r="618" spans="1:72" ht="15.95" customHeight="1">
      <c r="A618" s="1182" t="s">
        <v>1796</v>
      </c>
      <c r="B618" s="1182" t="s">
        <v>1711</v>
      </c>
      <c r="C618" s="1181" t="s">
        <v>1788</v>
      </c>
      <c r="D618" s="1182" t="s">
        <v>389</v>
      </c>
      <c r="E618" s="1182" t="s">
        <v>1676</v>
      </c>
      <c r="F618" s="1263" t="s">
        <v>1806</v>
      </c>
      <c r="G618" s="1184" t="s">
        <v>483</v>
      </c>
      <c r="H618" s="1185">
        <v>6750000000</v>
      </c>
      <c r="I618" s="1266" t="s">
        <v>1871</v>
      </c>
      <c r="J618" s="1186" t="str">
        <f>VLOOKUP($I618,'Price List, Weapons &amp; Items'!B:C,2,0)</f>
        <v>Military equipment</v>
      </c>
      <c r="K618" s="1186" t="str">
        <f>IF(I618=".",I618,VLOOKUP($I618,'Price List, Weapons &amp; Items'!B:D,3,0))</f>
        <v>Military equipment</v>
      </c>
      <c r="L618" s="1187">
        <f>VLOOKUP(I618,'Price List, Weapons &amp; Items'!B:E,4,0)</f>
        <v>0</v>
      </c>
      <c r="M618" s="1188">
        <v>5</v>
      </c>
      <c r="N618" s="1275" t="s">
        <v>374</v>
      </c>
      <c r="O618" s="1188" t="str">
        <f>VLOOKUP($I618,'Price List, Weapons &amp; Items'!B:G,6,0)</f>
        <v>.</v>
      </c>
      <c r="P618" s="1185" t="str">
        <f t="shared" si="132"/>
        <v>No price</v>
      </c>
      <c r="Q618" s="1185" t="str">
        <f t="shared" si="133"/>
        <v>.</v>
      </c>
      <c r="R618" s="1185" t="str">
        <f t="shared" si="129"/>
        <v/>
      </c>
      <c r="S618" s="1185" t="str">
        <f>IF(AND(AD618=1,R618&lt;&gt;".")=TRUE,R618/VLOOKUP(G618,'Exchange Rates'!B:C,2,0),IF(R618=".",".",""))</f>
        <v/>
      </c>
      <c r="T618" s="1185" t="str">
        <f>IF(AD618=1,IF(AF618="Value is not given at all",".",IF(AF618="Value is given by the source",S618,IF(AF618="Value is calculated with prices",(IF(SUMIFS(Q:Q,A:A,A618)&gt;0,SUMIFS(Q:Q,A:A,A618),"."))/VLOOKUP("USD",'Exchange Rates'!B:C,2,0),"Error with coding"))),"")</f>
        <v/>
      </c>
      <c r="U618" s="1184" t="s">
        <v>365</v>
      </c>
      <c r="V618" s="972" t="s">
        <v>1782</v>
      </c>
      <c r="W618" s="972" t="s">
        <v>1280</v>
      </c>
      <c r="X618" s="972" t="s">
        <v>364</v>
      </c>
      <c r="Y618" s="972" t="s">
        <v>364</v>
      </c>
      <c r="Z618" s="1184">
        <v>0</v>
      </c>
      <c r="AA618" s="1184">
        <v>1</v>
      </c>
      <c r="AB618" s="600" t="s">
        <v>1280</v>
      </c>
      <c r="AC618" s="1192" t="str">
        <f>""</f>
        <v/>
      </c>
      <c r="AD618" s="1184">
        <v>0</v>
      </c>
      <c r="AE618" s="1184" t="s">
        <v>368</v>
      </c>
      <c r="AF618" s="1184" t="s">
        <v>369</v>
      </c>
      <c r="AG618" s="1184">
        <v>1</v>
      </c>
      <c r="AH618" s="1184">
        <v>17</v>
      </c>
      <c r="AI618" s="1184">
        <v>0</v>
      </c>
      <c r="AJ618" s="1193">
        <f>VLOOKUP($I618,'Price List, Weapons &amp; Items'!B:F,5,0)</f>
        <v>0</v>
      </c>
      <c r="AK618" s="1193">
        <f t="shared" si="134"/>
        <v>0</v>
      </c>
      <c r="AL618" s="1193">
        <f t="shared" si="135"/>
        <v>0</v>
      </c>
      <c r="AM618" s="1193">
        <f t="shared" si="136"/>
        <v>0</v>
      </c>
      <c r="AN618" s="1194" t="str">
        <f>VLOOKUP($I618,'Price List, Weapons &amp; Items'!B:L,COLUMN('Price List, Weapons &amp; Items'!$J$11)-1,0)</f>
        <v>.</v>
      </c>
      <c r="AO618" s="1194" t="str">
        <f>IF(I618=".",".",VLOOKUP($I618,'Price List, Weapons &amp; Items'!B:J,3,0))</f>
        <v>Military equipment</v>
      </c>
      <c r="AP618" s="1195" t="str">
        <f t="shared" ca="1" si="130"/>
        <v/>
      </c>
      <c r="AQ618" s="1194">
        <f>VLOOKUP($I618,'Price List, Weapons &amp; Items'!B:L,COLUMN('Price List, Weapons &amp; Items'!$L$11)-1,0)</f>
        <v>0</v>
      </c>
      <c r="AR618" s="1194">
        <f t="shared" si="137"/>
        <v>1</v>
      </c>
      <c r="AS618" s="1194">
        <f t="shared" si="138"/>
        <v>1</v>
      </c>
      <c r="AT618" s="1194" t="str">
        <f t="shared" si="139"/>
        <v>Value is not in date format</v>
      </c>
      <c r="AU618" s="1194" t="str">
        <f t="shared" si="140"/>
        <v>.</v>
      </c>
      <c r="AV618" s="1194" t="str">
        <f t="shared" si="131"/>
        <v>.</v>
      </c>
      <c r="AW618" s="1194" t="str">
        <f t="shared" si="141"/>
        <v>.</v>
      </c>
      <c r="AX618" s="1194">
        <f>IFERROR(VLOOKUP(B618,'Share, Heavy Weapons to Ukraine'!B:Z,COLUMN('Share, Heavy Weapons to Ukraine'!C628)-1,0),0)</f>
        <v>0</v>
      </c>
      <c r="AY618" s="1194">
        <f>VLOOKUP('Bilateral Assistance, MAIN DATA'!B618,'Country Summary (€)'!B:F,COLUMN('Country Summary (€)'!C629)-1,FALSE)</f>
        <v>1</v>
      </c>
      <c r="AZ618" s="1194" t="str">
        <f>IF(AND(AD618=1,D618="Military",H618&lt;&gt;"Not given")=TRUE,IF(SUMIFS(P:P,A:A,A618)&gt;0,ABS((SUMIFS(P:P,A:A,A618)/VLOOKUP("USD",'Exchange Rates'!B:C,2,0)))/S618,"."),".")</f>
        <v>.</v>
      </c>
      <c r="BA618" s="1196" t="str">
        <f>IF(AND(AD618=1,D618="Military",H618&lt;&gt;"Not given")=TRUE,IF(SUMIFS(P:P,A:A,A618)&gt;0,IF((ABS((SUMIFS(P:P,A:A,A618)/VLOOKUP("USD",'Exchange Rates'!B:C,2,0)))/S618)&gt;1,(SUMIFS(P:P,A:A,A618)-S618)/S618,(S618-SUMIFS(P:P,A:A,A618))/SUMIFS(P:P,A:A,A618)),"."),".")</f>
        <v>.</v>
      </c>
      <c r="BC618" s="1180"/>
      <c r="BD618" s="1180"/>
      <c r="BE618" s="1180"/>
      <c r="BF618" s="1180"/>
      <c r="BG618" s="1180"/>
      <c r="BH618" s="1180"/>
      <c r="BI618" s="1180"/>
      <c r="BJ618" s="1180"/>
      <c r="BK618" s="1180"/>
      <c r="BL618" s="1180"/>
      <c r="BM618" s="1180"/>
      <c r="BN618" s="1180"/>
      <c r="BO618" s="1180"/>
      <c r="BP618" s="1180"/>
      <c r="BQ618" s="1180"/>
      <c r="BR618" s="1180"/>
      <c r="BS618" s="1180"/>
      <c r="BT618" s="1180"/>
    </row>
    <row r="619" spans="1:72" ht="15.95" customHeight="1">
      <c r="A619" s="1182" t="s">
        <v>1796</v>
      </c>
      <c r="B619" s="1182" t="s">
        <v>1711</v>
      </c>
      <c r="C619" s="1181" t="s">
        <v>1788</v>
      </c>
      <c r="D619" s="1182" t="s">
        <v>389</v>
      </c>
      <c r="E619" s="1182" t="s">
        <v>1676</v>
      </c>
      <c r="F619" s="1263" t="s">
        <v>1806</v>
      </c>
      <c r="G619" s="1184" t="s">
        <v>483</v>
      </c>
      <c r="H619" s="1185">
        <v>6750000000</v>
      </c>
      <c r="I619" s="1266" t="s">
        <v>1850</v>
      </c>
      <c r="J619" s="1186" t="str">
        <f>VLOOKUP($I619,'Price List, Weapons &amp; Items'!B:C,2,0)</f>
        <v>Military equipment</v>
      </c>
      <c r="K619" s="1186" t="str">
        <f>IF(I619=".",I619,VLOOKUP($I619,'Price List, Weapons &amp; Items'!B:D,3,0))</f>
        <v>Patrol and coastal combatants</v>
      </c>
      <c r="L619" s="1187">
        <f>VLOOKUP(I619,'Price List, Weapons &amp; Items'!B:E,4,0)</f>
        <v>0</v>
      </c>
      <c r="M619" s="1188">
        <v>10</v>
      </c>
      <c r="N619" s="1275" t="s">
        <v>374</v>
      </c>
      <c r="O619" s="1188">
        <f>VLOOKUP($I619,'Price List, Weapons &amp; Items'!B:G,6,0)</f>
        <v>2548204.5789999999</v>
      </c>
      <c r="P619" s="1185">
        <f t="shared" si="132"/>
        <v>25482045.789999999</v>
      </c>
      <c r="Q619" s="1185" t="str">
        <f t="shared" si="133"/>
        <v>.</v>
      </c>
      <c r="R619" s="1185" t="str">
        <f t="shared" si="129"/>
        <v/>
      </c>
      <c r="S619" s="1185" t="str">
        <f>IF(AND(AD619=1,R619&lt;&gt;".")=TRUE,R619/VLOOKUP(G619,'Exchange Rates'!B:C,2,0),IF(R619=".",".",""))</f>
        <v/>
      </c>
      <c r="T619" s="1185" t="str">
        <f>IF(AD619=1,IF(AF619="Value is not given at all",".",IF(AF619="Value is given by the source",S619,IF(AF619="Value is calculated with prices",(IF(SUMIFS(Q:Q,A:A,A619)&gt;0,SUMIFS(Q:Q,A:A,A619),"."))/VLOOKUP("USD",'Exchange Rates'!B:C,2,0),"Error with coding"))),"")</f>
        <v/>
      </c>
      <c r="U619" s="1184" t="s">
        <v>365</v>
      </c>
      <c r="V619" s="972" t="s">
        <v>1782</v>
      </c>
      <c r="W619" s="972" t="s">
        <v>1280</v>
      </c>
      <c r="X619" s="972" t="s">
        <v>364</v>
      </c>
      <c r="Y619" s="972" t="s">
        <v>364</v>
      </c>
      <c r="Z619" s="1184">
        <v>0</v>
      </c>
      <c r="AA619" s="1184">
        <v>1</v>
      </c>
      <c r="AB619" s="600" t="s">
        <v>1280</v>
      </c>
      <c r="AC619" s="1192" t="str">
        <f>""</f>
        <v/>
      </c>
      <c r="AD619" s="1184">
        <v>0</v>
      </c>
      <c r="AE619" s="1184" t="s">
        <v>368</v>
      </c>
      <c r="AF619" s="1184" t="s">
        <v>369</v>
      </c>
      <c r="AG619" s="1184">
        <v>1</v>
      </c>
      <c r="AH619" s="1184">
        <v>17</v>
      </c>
      <c r="AI619" s="1184">
        <v>0</v>
      </c>
      <c r="AJ619" s="1193">
        <f>VLOOKUP($I619,'Price List, Weapons &amp; Items'!B:F,5,0)</f>
        <v>0</v>
      </c>
      <c r="AK619" s="1193">
        <f t="shared" si="134"/>
        <v>0</v>
      </c>
      <c r="AL619" s="1193">
        <f t="shared" si="135"/>
        <v>0</v>
      </c>
      <c r="AM619" s="1193">
        <f t="shared" si="136"/>
        <v>0</v>
      </c>
      <c r="AN619" s="1194" t="str">
        <f>VLOOKUP($I619,'Price List, Weapons &amp; Items'!B:L,COLUMN('Price List, Weapons &amp; Items'!$J$11)-1,0)</f>
        <v>Government information</v>
      </c>
      <c r="AO619" s="1194" t="str">
        <f>IF(I619=".",".",VLOOKUP($I619,'Price List, Weapons &amp; Items'!B:J,3,0))</f>
        <v>Patrol and coastal combatants</v>
      </c>
      <c r="AP619" s="1195" t="str">
        <f t="shared" ca="1" si="130"/>
        <v/>
      </c>
      <c r="AQ619" s="1194">
        <f>VLOOKUP($I619,'Price List, Weapons &amp; Items'!B:L,COLUMN('Price List, Weapons &amp; Items'!$L$11)-1,0)</f>
        <v>2</v>
      </c>
      <c r="AR619" s="1194">
        <f t="shared" si="137"/>
        <v>1</v>
      </c>
      <c r="AS619" s="1194">
        <f t="shared" si="138"/>
        <v>1</v>
      </c>
      <c r="AT619" s="1194" t="str">
        <f t="shared" si="139"/>
        <v>Value is not in date format</v>
      </c>
      <c r="AU619" s="1194" t="str">
        <f t="shared" si="140"/>
        <v>.</v>
      </c>
      <c r="AV619" s="1194" t="str">
        <f t="shared" si="131"/>
        <v>.</v>
      </c>
      <c r="AW619" s="1194" t="str">
        <f t="shared" si="141"/>
        <v>.</v>
      </c>
      <c r="AX619" s="1194">
        <f>IFERROR(VLOOKUP(B619,'Share, Heavy Weapons to Ukraine'!B:Z,COLUMN('Share, Heavy Weapons to Ukraine'!C629)-1,0),0)</f>
        <v>0</v>
      </c>
      <c r="AY619" s="1194">
        <f>VLOOKUP('Bilateral Assistance, MAIN DATA'!B619,'Country Summary (€)'!B:F,COLUMN('Country Summary (€)'!C630)-1,FALSE)</f>
        <v>1</v>
      </c>
      <c r="AZ619" s="1194" t="str">
        <f>IF(AND(AD619=1,D619="Military",H619&lt;&gt;"Not given")=TRUE,IF(SUMIFS(P:P,A:A,A619)&gt;0,ABS((SUMIFS(P:P,A:A,A619)/VLOOKUP("USD",'Exchange Rates'!B:C,2,0)))/S619,"."),".")</f>
        <v>.</v>
      </c>
      <c r="BA619" s="1196" t="str">
        <f>IF(AND(AD619=1,D619="Military",H619&lt;&gt;"Not given")=TRUE,IF(SUMIFS(P:P,A:A,A619)&gt;0,IF((ABS((SUMIFS(P:P,A:A,A619)/VLOOKUP("USD",'Exchange Rates'!B:C,2,0)))/S619)&gt;1,(SUMIFS(P:P,A:A,A619)-S619)/S619,(S619-SUMIFS(P:P,A:A,A619))/SUMIFS(P:P,A:A,A619)),"."),".")</f>
        <v>.</v>
      </c>
      <c r="BC619" s="1180"/>
      <c r="BD619" s="1180"/>
      <c r="BE619" s="1180"/>
      <c r="BF619" s="1180"/>
      <c r="BG619" s="1180"/>
      <c r="BH619" s="1180"/>
      <c r="BI619" s="1180"/>
      <c r="BJ619" s="1180"/>
      <c r="BK619" s="1180"/>
      <c r="BL619" s="1180"/>
      <c r="BM619" s="1180"/>
      <c r="BN619" s="1180"/>
      <c r="BO619" s="1180"/>
      <c r="BP619" s="1180"/>
      <c r="BQ619" s="1180"/>
      <c r="BR619" s="1180"/>
      <c r="BS619" s="1180"/>
      <c r="BT619" s="1180"/>
    </row>
    <row r="620" spans="1:72" ht="15.95" customHeight="1">
      <c r="A620" s="1182" t="s">
        <v>1796</v>
      </c>
      <c r="B620" s="1182" t="s">
        <v>1711</v>
      </c>
      <c r="C620" s="1181" t="s">
        <v>1788</v>
      </c>
      <c r="D620" s="1182" t="s">
        <v>389</v>
      </c>
      <c r="E620" s="1182" t="s">
        <v>1676</v>
      </c>
      <c r="F620" s="1263" t="s">
        <v>1806</v>
      </c>
      <c r="G620" s="1184" t="s">
        <v>483</v>
      </c>
      <c r="H620" s="1185">
        <v>6750000000</v>
      </c>
      <c r="I620" s="1266" t="s">
        <v>1872</v>
      </c>
      <c r="J620" s="1186" t="str">
        <f>VLOOKUP($I620,'Price List, Weapons &amp; Items'!B:C,2,0)</f>
        <v>Military equipment</v>
      </c>
      <c r="K620" s="1186" t="str">
        <f>IF(I620=".",I620,VLOOKUP($I620,'Price List, Weapons &amp; Items'!B:D,3,0))</f>
        <v>Military equipment</v>
      </c>
      <c r="L620" s="1187">
        <f>VLOOKUP(I620,'Price List, Weapons &amp; Items'!B:E,4,0)</f>
        <v>0</v>
      </c>
      <c r="M620" s="1188">
        <v>40</v>
      </c>
      <c r="N620" s="1275" t="s">
        <v>374</v>
      </c>
      <c r="O620" s="1188">
        <f>VLOOKUP($I620,'Price List, Weapons &amp; Items'!B:G,6,0)</f>
        <v>50000</v>
      </c>
      <c r="P620" s="1185">
        <f t="shared" si="132"/>
        <v>2000000</v>
      </c>
      <c r="Q620" s="1185" t="str">
        <f t="shared" si="133"/>
        <v>.</v>
      </c>
      <c r="R620" s="1185" t="str">
        <f t="shared" si="129"/>
        <v/>
      </c>
      <c r="S620" s="1185" t="str">
        <f>IF(AND(AD620=1,R620&lt;&gt;".")=TRUE,R620/VLOOKUP(G620,'Exchange Rates'!B:C,2,0),IF(R620=".",".",""))</f>
        <v/>
      </c>
      <c r="T620" s="1185" t="str">
        <f>IF(AD620=1,IF(AF620="Value is not given at all",".",IF(AF620="Value is given by the source",S620,IF(AF620="Value is calculated with prices",(IF(SUMIFS(Q:Q,A:A,A620)&gt;0,SUMIFS(Q:Q,A:A,A620),"."))/VLOOKUP("USD",'Exchange Rates'!B:C,2,0),"Error with coding"))),"")</f>
        <v/>
      </c>
      <c r="U620" s="1184" t="s">
        <v>365</v>
      </c>
      <c r="V620" s="972" t="s">
        <v>1782</v>
      </c>
      <c r="W620" s="972" t="s">
        <v>1280</v>
      </c>
      <c r="X620" s="972" t="s">
        <v>364</v>
      </c>
      <c r="Y620" s="972" t="s">
        <v>364</v>
      </c>
      <c r="Z620" s="1184">
        <v>0</v>
      </c>
      <c r="AA620" s="1184">
        <v>1</v>
      </c>
      <c r="AB620" s="600" t="s">
        <v>1280</v>
      </c>
      <c r="AC620" s="1192" t="str">
        <f>""</f>
        <v/>
      </c>
      <c r="AD620" s="1184">
        <v>0</v>
      </c>
      <c r="AE620" s="1184" t="s">
        <v>368</v>
      </c>
      <c r="AF620" s="1184" t="s">
        <v>369</v>
      </c>
      <c r="AG620" s="1184">
        <v>1</v>
      </c>
      <c r="AH620" s="1184">
        <v>17</v>
      </c>
      <c r="AI620" s="1184">
        <v>0</v>
      </c>
      <c r="AJ620" s="1193">
        <f>VLOOKUP($I620,'Price List, Weapons &amp; Items'!B:F,5,0)</f>
        <v>0</v>
      </c>
      <c r="AK620" s="1193">
        <f t="shared" si="134"/>
        <v>0</v>
      </c>
      <c r="AL620" s="1193">
        <f t="shared" si="135"/>
        <v>0</v>
      </c>
      <c r="AM620" s="1193">
        <f t="shared" si="136"/>
        <v>0</v>
      </c>
      <c r="AN620" s="1194" t="str">
        <f>VLOOKUP($I620,'Price List, Weapons &amp; Items'!B:L,COLUMN('Price List, Weapons &amp; Items'!$J$11)-1,0)</f>
        <v>Online marketplaces and stores</v>
      </c>
      <c r="AO620" s="1194" t="str">
        <f>IF(I620=".",".",VLOOKUP($I620,'Price List, Weapons &amp; Items'!B:J,3,0))</f>
        <v>Military equipment</v>
      </c>
      <c r="AP620" s="1195" t="str">
        <f t="shared" ca="1" si="130"/>
        <v/>
      </c>
      <c r="AQ620" s="1194">
        <f>VLOOKUP($I620,'Price List, Weapons &amp; Items'!B:L,COLUMN('Price List, Weapons &amp; Items'!$L$11)-1,0)</f>
        <v>2</v>
      </c>
      <c r="AR620" s="1194">
        <f t="shared" si="137"/>
        <v>1</v>
      </c>
      <c r="AS620" s="1194">
        <f t="shared" si="138"/>
        <v>1</v>
      </c>
      <c r="AT620" s="1194" t="str">
        <f t="shared" si="139"/>
        <v>Value is not in date format</v>
      </c>
      <c r="AU620" s="1194" t="str">
        <f t="shared" si="140"/>
        <v>.</v>
      </c>
      <c r="AV620" s="1194" t="str">
        <f t="shared" si="131"/>
        <v>.</v>
      </c>
      <c r="AW620" s="1194" t="str">
        <f t="shared" si="141"/>
        <v>.</v>
      </c>
      <c r="AX620" s="1194">
        <f>IFERROR(VLOOKUP(B620,'Share, Heavy Weapons to Ukraine'!B:Z,COLUMN('Share, Heavy Weapons to Ukraine'!C630)-1,0),0)</f>
        <v>0</v>
      </c>
      <c r="AY620" s="1194">
        <f>VLOOKUP('Bilateral Assistance, MAIN DATA'!B620,'Country Summary (€)'!B:F,COLUMN('Country Summary (€)'!C631)-1,FALSE)</f>
        <v>1</v>
      </c>
      <c r="AZ620" s="1194" t="str">
        <f>IF(AND(AD620=1,D620="Military",H620&lt;&gt;"Not given")=TRUE,IF(SUMIFS(P:P,A:A,A620)&gt;0,ABS((SUMIFS(P:P,A:A,A620)/VLOOKUP("USD",'Exchange Rates'!B:C,2,0)))/S620,"."),".")</f>
        <v>.</v>
      </c>
      <c r="BA620" s="1196" t="str">
        <f>IF(AND(AD620=1,D620="Military",H620&lt;&gt;"Not given")=TRUE,IF(SUMIFS(P:P,A:A,A620)&gt;0,IF((ABS((SUMIFS(P:P,A:A,A620)/VLOOKUP("USD",'Exchange Rates'!B:C,2,0)))/S620)&gt;1,(SUMIFS(P:P,A:A,A620)-S620)/S620,(S620-SUMIFS(P:P,A:A,A620))/SUMIFS(P:P,A:A,A620)),"."),".")</f>
        <v>.</v>
      </c>
      <c r="BC620" s="1180"/>
      <c r="BD620" s="1180"/>
      <c r="BE620" s="1180"/>
      <c r="BF620" s="1180"/>
      <c r="BG620" s="1180"/>
      <c r="BH620" s="1180"/>
      <c r="BI620" s="1180"/>
      <c r="BJ620" s="1180"/>
      <c r="BK620" s="1180"/>
      <c r="BL620" s="1180"/>
      <c r="BM620" s="1180"/>
      <c r="BN620" s="1180"/>
      <c r="BO620" s="1180"/>
      <c r="BP620" s="1180"/>
      <c r="BQ620" s="1180"/>
      <c r="BR620" s="1180"/>
      <c r="BS620" s="1180"/>
      <c r="BT620" s="1180"/>
    </row>
    <row r="621" spans="1:72" ht="15.95" customHeight="1">
      <c r="A621" s="1182" t="s">
        <v>1796</v>
      </c>
      <c r="B621" s="1182" t="s">
        <v>1711</v>
      </c>
      <c r="C621" s="1181" t="s">
        <v>1788</v>
      </c>
      <c r="D621" s="1182" t="s">
        <v>389</v>
      </c>
      <c r="E621" s="1182" t="s">
        <v>1676</v>
      </c>
      <c r="F621" s="1263" t="s">
        <v>1806</v>
      </c>
      <c r="G621" s="1184" t="s">
        <v>483</v>
      </c>
      <c r="H621" s="1185">
        <v>6750000000</v>
      </c>
      <c r="I621" s="1266" t="s">
        <v>1873</v>
      </c>
      <c r="J621" s="1186" t="str">
        <f>VLOOKUP($I621,'Price List, Weapons &amp; Items'!B:C,2,0)</f>
        <v>Military equipment</v>
      </c>
      <c r="K621" s="1186" t="str">
        <f>IF(I621=".",I621,VLOOKUP($I621,'Price List, Weapons &amp; Items'!B:D,3,0))</f>
        <v>Military equipment</v>
      </c>
      <c r="L621" s="1187">
        <f>VLOOKUP(I621,'Price List, Weapons &amp; Items'!B:E,4,0)</f>
        <v>0</v>
      </c>
      <c r="M621" s="1188">
        <v>1</v>
      </c>
      <c r="N621" s="1275" t="s">
        <v>374</v>
      </c>
      <c r="O621" s="1188" t="str">
        <f>VLOOKUP($I621,'Price List, Weapons &amp; Items'!B:G,6,0)</f>
        <v>.</v>
      </c>
      <c r="P621" s="1185" t="str">
        <f t="shared" si="132"/>
        <v>No price</v>
      </c>
      <c r="Q621" s="1185" t="str">
        <f t="shared" si="133"/>
        <v>.</v>
      </c>
      <c r="R621" s="1185" t="str">
        <f t="shared" si="129"/>
        <v/>
      </c>
      <c r="S621" s="1185" t="str">
        <f>IF(AND(AD621=1,R621&lt;&gt;".")=TRUE,R621/VLOOKUP(G621,'Exchange Rates'!B:C,2,0),IF(R621=".",".",""))</f>
        <v/>
      </c>
      <c r="T621" s="1185" t="str">
        <f>IF(AD621=1,IF(AF621="Value is not given at all",".",IF(AF621="Value is given by the source",S621,IF(AF621="Value is calculated with prices",(IF(SUMIFS(Q:Q,A:A,A621)&gt;0,SUMIFS(Q:Q,A:A,A621),"."))/VLOOKUP("USD",'Exchange Rates'!B:C,2,0),"Error with coding"))),"")</f>
        <v/>
      </c>
      <c r="U621" s="1184" t="s">
        <v>365</v>
      </c>
      <c r="V621" s="972" t="s">
        <v>1782</v>
      </c>
      <c r="W621" s="972" t="s">
        <v>1280</v>
      </c>
      <c r="X621" s="972" t="s">
        <v>364</v>
      </c>
      <c r="Y621" s="972" t="s">
        <v>364</v>
      </c>
      <c r="Z621" s="1184">
        <v>0</v>
      </c>
      <c r="AA621" s="1184">
        <v>1</v>
      </c>
      <c r="AB621" s="600" t="s">
        <v>1280</v>
      </c>
      <c r="AC621" s="1192" t="str">
        <f>""</f>
        <v/>
      </c>
      <c r="AD621" s="1184">
        <v>0</v>
      </c>
      <c r="AE621" s="1184" t="s">
        <v>368</v>
      </c>
      <c r="AF621" s="1184" t="s">
        <v>369</v>
      </c>
      <c r="AG621" s="1184">
        <v>1</v>
      </c>
      <c r="AH621" s="1184">
        <v>17</v>
      </c>
      <c r="AI621" s="1184">
        <v>0</v>
      </c>
      <c r="AJ621" s="1193">
        <f>VLOOKUP($I621,'Price List, Weapons &amp; Items'!B:F,5,0)</f>
        <v>0</v>
      </c>
      <c r="AK621" s="1193">
        <f t="shared" si="134"/>
        <v>0</v>
      </c>
      <c r="AL621" s="1193">
        <f t="shared" si="135"/>
        <v>0</v>
      </c>
      <c r="AM621" s="1193">
        <f t="shared" si="136"/>
        <v>0</v>
      </c>
      <c r="AN621" s="1194" t="str">
        <f>VLOOKUP($I621,'Price List, Weapons &amp; Items'!B:L,COLUMN('Price List, Weapons &amp; Items'!$J$11)-1,0)</f>
        <v>.</v>
      </c>
      <c r="AO621" s="1194" t="str">
        <f>IF(I621=".",".",VLOOKUP($I621,'Price List, Weapons &amp; Items'!B:J,3,0))</f>
        <v>Military equipment</v>
      </c>
      <c r="AP621" s="1195" t="str">
        <f t="shared" ca="1" si="130"/>
        <v/>
      </c>
      <c r="AQ621" s="1194">
        <f>VLOOKUP($I621,'Price List, Weapons &amp; Items'!B:L,COLUMN('Price List, Weapons &amp; Items'!$L$11)-1,0)</f>
        <v>0</v>
      </c>
      <c r="AR621" s="1194">
        <f t="shared" si="137"/>
        <v>1</v>
      </c>
      <c r="AS621" s="1194">
        <f t="shared" si="138"/>
        <v>1</v>
      </c>
      <c r="AT621" s="1194" t="str">
        <f t="shared" si="139"/>
        <v>Value is not in date format</v>
      </c>
      <c r="AU621" s="1194" t="str">
        <f t="shared" si="140"/>
        <v>.</v>
      </c>
      <c r="AV621" s="1194" t="str">
        <f t="shared" si="131"/>
        <v>.</v>
      </c>
      <c r="AW621" s="1194" t="str">
        <f t="shared" si="141"/>
        <v>.</v>
      </c>
      <c r="AX621" s="1194">
        <f>IFERROR(VLOOKUP(B621,'Share, Heavy Weapons to Ukraine'!B:Z,COLUMN('Share, Heavy Weapons to Ukraine'!C631)-1,0),0)</f>
        <v>0</v>
      </c>
      <c r="AY621" s="1194">
        <f>VLOOKUP('Bilateral Assistance, MAIN DATA'!B621,'Country Summary (€)'!B:F,COLUMN('Country Summary (€)'!C632)-1,FALSE)</f>
        <v>1</v>
      </c>
      <c r="AZ621" s="1194" t="str">
        <f>IF(AND(AD621=1,D621="Military",H621&lt;&gt;"Not given")=TRUE,IF(SUMIFS(P:P,A:A,A621)&gt;0,ABS((SUMIFS(P:P,A:A,A621)/VLOOKUP("USD",'Exchange Rates'!B:C,2,0)))/S621,"."),".")</f>
        <v>.</v>
      </c>
      <c r="BA621" s="1196" t="str">
        <f>IF(AND(AD621=1,D621="Military",H621&lt;&gt;"Not given")=TRUE,IF(SUMIFS(P:P,A:A,A621)&gt;0,IF((ABS((SUMIFS(P:P,A:A,A621)/VLOOKUP("USD",'Exchange Rates'!B:C,2,0)))/S621)&gt;1,(SUMIFS(P:P,A:A,A621)-S621)/S621,(S621-SUMIFS(P:P,A:A,A621))/SUMIFS(P:P,A:A,A621)),"."),".")</f>
        <v>.</v>
      </c>
      <c r="BC621" s="1180"/>
      <c r="BD621" s="1180"/>
      <c r="BE621" s="1180"/>
      <c r="BF621" s="1180"/>
      <c r="BG621" s="1180"/>
      <c r="BH621" s="1180"/>
      <c r="BI621" s="1180"/>
      <c r="BJ621" s="1180"/>
      <c r="BK621" s="1180"/>
      <c r="BL621" s="1180"/>
      <c r="BM621" s="1180"/>
      <c r="BN621" s="1180"/>
      <c r="BO621" s="1180"/>
      <c r="BP621" s="1180"/>
      <c r="BQ621" s="1180"/>
      <c r="BR621" s="1180"/>
      <c r="BS621" s="1180"/>
      <c r="BT621" s="1180"/>
    </row>
    <row r="622" spans="1:72" ht="15.95" customHeight="1">
      <c r="A622" s="1182" t="s">
        <v>1796</v>
      </c>
      <c r="B622" s="1182" t="s">
        <v>1711</v>
      </c>
      <c r="C622" s="1181" t="s">
        <v>1788</v>
      </c>
      <c r="D622" s="1182" t="s">
        <v>389</v>
      </c>
      <c r="E622" s="1182" t="s">
        <v>1676</v>
      </c>
      <c r="F622" s="1263" t="s">
        <v>1806</v>
      </c>
      <c r="G622" s="1184" t="s">
        <v>483</v>
      </c>
      <c r="H622" s="1185">
        <v>6750000000</v>
      </c>
      <c r="I622" s="1266" t="s">
        <v>1874</v>
      </c>
      <c r="J622" s="1186" t="str">
        <f>VLOOKUP($I622,'Price List, Weapons &amp; Items'!B:C,2,0)</f>
        <v>Military equipment</v>
      </c>
      <c r="K622" s="1186" t="str">
        <f>IF(I622=".",I622,VLOOKUP($I622,'Price List, Weapons &amp; Items'!B:D,3,0))</f>
        <v>Military equipment</v>
      </c>
      <c r="L622" s="1187">
        <f>VLOOKUP(I622,'Price List, Weapons &amp; Items'!B:E,4,0)</f>
        <v>0</v>
      </c>
      <c r="M622" s="1188">
        <v>2000</v>
      </c>
      <c r="N622" s="1275" t="s">
        <v>374</v>
      </c>
      <c r="O622" s="1188">
        <f>VLOOKUP($I622,'Price List, Weapons &amp; Items'!B:G,6,0)</f>
        <v>1487.81</v>
      </c>
      <c r="P622" s="1185">
        <f t="shared" si="132"/>
        <v>2975620</v>
      </c>
      <c r="Q622" s="1185" t="str">
        <f t="shared" si="133"/>
        <v>.</v>
      </c>
      <c r="R622" s="1185" t="str">
        <f t="shared" si="129"/>
        <v/>
      </c>
      <c r="S622" s="1185" t="str">
        <f>IF(AND(AD622=1,R622&lt;&gt;".")=TRUE,R622/VLOOKUP(G622,'Exchange Rates'!B:C,2,0),IF(R622=".",".",""))</f>
        <v/>
      </c>
      <c r="T622" s="1185" t="str">
        <f>IF(AD622=1,IF(AF622="Value is not given at all",".",IF(AF622="Value is given by the source",S622,IF(AF622="Value is calculated with prices",(IF(SUMIFS(Q:Q,A:A,A622)&gt;0,SUMIFS(Q:Q,A:A,A622),"."))/VLOOKUP("USD",'Exchange Rates'!B:C,2,0),"Error with coding"))),"")</f>
        <v/>
      </c>
      <c r="U622" s="1184" t="s">
        <v>365</v>
      </c>
      <c r="V622" s="972" t="s">
        <v>1782</v>
      </c>
      <c r="W622" s="972" t="s">
        <v>1280</v>
      </c>
      <c r="X622" s="972" t="s">
        <v>364</v>
      </c>
      <c r="Y622" s="972" t="s">
        <v>364</v>
      </c>
      <c r="Z622" s="1184">
        <v>0</v>
      </c>
      <c r="AA622" s="1184">
        <v>1</v>
      </c>
      <c r="AB622" s="600" t="s">
        <v>1280</v>
      </c>
      <c r="AC622" s="1192" t="str">
        <f>""</f>
        <v/>
      </c>
      <c r="AD622" s="1184">
        <v>0</v>
      </c>
      <c r="AE622" s="1184" t="s">
        <v>368</v>
      </c>
      <c r="AF622" s="1184" t="s">
        <v>369</v>
      </c>
      <c r="AG622" s="1184">
        <v>1</v>
      </c>
      <c r="AH622" s="1184">
        <v>17</v>
      </c>
      <c r="AI622" s="1184">
        <v>0</v>
      </c>
      <c r="AJ622" s="1193">
        <f>VLOOKUP($I622,'Price List, Weapons &amp; Items'!B:F,5,0)</f>
        <v>0</v>
      </c>
      <c r="AK622" s="1193">
        <f t="shared" si="134"/>
        <v>0</v>
      </c>
      <c r="AL622" s="1193">
        <f t="shared" si="135"/>
        <v>0</v>
      </c>
      <c r="AM622" s="1193">
        <f t="shared" si="136"/>
        <v>0</v>
      </c>
      <c r="AN622" s="1194" t="str">
        <f>VLOOKUP($I622,'Price List, Weapons &amp; Items'!B:L,COLUMN('Price List, Weapons &amp; Items'!$J$11)-1,0)</f>
        <v>Online marketplaces and stores</v>
      </c>
      <c r="AO622" s="1194" t="str">
        <f>IF(I622=".",".",VLOOKUP($I622,'Price List, Weapons &amp; Items'!B:J,3,0))</f>
        <v>Military equipment</v>
      </c>
      <c r="AP622" s="1195" t="str">
        <f t="shared" ca="1" si="130"/>
        <v/>
      </c>
      <c r="AQ622" s="1194">
        <f>VLOOKUP($I622,'Price List, Weapons &amp; Items'!B:L,COLUMN('Price List, Weapons &amp; Items'!$L$11)-1,0)</f>
        <v>2</v>
      </c>
      <c r="AR622" s="1194">
        <f t="shared" si="137"/>
        <v>1</v>
      </c>
      <c r="AS622" s="1194">
        <f t="shared" si="138"/>
        <v>1</v>
      </c>
      <c r="AT622" s="1194" t="str">
        <f t="shared" si="139"/>
        <v>Value is not in date format</v>
      </c>
      <c r="AU622" s="1194" t="str">
        <f t="shared" si="140"/>
        <v>.</v>
      </c>
      <c r="AV622" s="1194" t="str">
        <f t="shared" si="131"/>
        <v>.</v>
      </c>
      <c r="AW622" s="1194" t="str">
        <f t="shared" si="141"/>
        <v>.</v>
      </c>
      <c r="AX622" s="1194">
        <f>IFERROR(VLOOKUP(B622,'Share, Heavy Weapons to Ukraine'!B:Z,COLUMN('Share, Heavy Weapons to Ukraine'!C632)-1,0),0)</f>
        <v>0</v>
      </c>
      <c r="AY622" s="1194">
        <f>VLOOKUP('Bilateral Assistance, MAIN DATA'!B622,'Country Summary (€)'!B:F,COLUMN('Country Summary (€)'!C633)-1,FALSE)</f>
        <v>1</v>
      </c>
      <c r="AZ622" s="1194" t="str">
        <f>IF(AND(AD622=1,D622="Military",H622&lt;&gt;"Not given")=TRUE,IF(SUMIFS(P:P,A:A,A622)&gt;0,ABS((SUMIFS(P:P,A:A,A622)/VLOOKUP("USD",'Exchange Rates'!B:C,2,0)))/S622,"."),".")</f>
        <v>.</v>
      </c>
      <c r="BA622" s="1196" t="str">
        <f>IF(AND(AD622=1,D622="Military",H622&lt;&gt;"Not given")=TRUE,IF(SUMIFS(P:P,A:A,A622)&gt;0,IF((ABS((SUMIFS(P:P,A:A,A622)/VLOOKUP("USD",'Exchange Rates'!B:C,2,0)))/S622)&gt;1,(SUMIFS(P:P,A:A,A622)-S622)/S622,(S622-SUMIFS(P:P,A:A,A622))/SUMIFS(P:P,A:A,A622)),"."),".")</f>
        <v>.</v>
      </c>
      <c r="BC622" s="1180"/>
      <c r="BD622" s="1180"/>
      <c r="BE622" s="1180"/>
      <c r="BF622" s="1180"/>
      <c r="BG622" s="1180"/>
      <c r="BH622" s="1180"/>
      <c r="BI622" s="1180"/>
      <c r="BJ622" s="1180"/>
      <c r="BK622" s="1180"/>
      <c r="BL622" s="1180"/>
      <c r="BM622" s="1180"/>
      <c r="BN622" s="1180"/>
      <c r="BO622" s="1180"/>
      <c r="BP622" s="1180"/>
      <c r="BQ622" s="1180"/>
      <c r="BR622" s="1180"/>
      <c r="BS622" s="1180"/>
      <c r="BT622" s="1180"/>
    </row>
    <row r="623" spans="1:72" ht="15.95" customHeight="1">
      <c r="A623" s="1182" t="s">
        <v>1796</v>
      </c>
      <c r="B623" s="1182" t="s">
        <v>1711</v>
      </c>
      <c r="C623" s="1275" t="s">
        <v>1797</v>
      </c>
      <c r="D623" s="1182" t="s">
        <v>389</v>
      </c>
      <c r="E623" s="1182" t="s">
        <v>1676</v>
      </c>
      <c r="F623" s="1263" t="s">
        <v>1806</v>
      </c>
      <c r="G623" s="1184" t="s">
        <v>483</v>
      </c>
      <c r="H623" s="1185">
        <v>6750000000</v>
      </c>
      <c r="I623" s="1266" t="s">
        <v>1825</v>
      </c>
      <c r="J623" s="1186" t="str">
        <f>VLOOKUP($I623,'Price List, Weapons &amp; Items'!B:C,2,0)</f>
        <v>Heavy weapon</v>
      </c>
      <c r="K623" s="1186" t="str">
        <f>IF(I623=".",I623,VLOOKUP($I623,'Price List, Weapons &amp; Items'!B:D,3,0))</f>
        <v>Anti-aircraft surface-to-air missile (SAM) system (medium-range)</v>
      </c>
      <c r="L623" s="1187">
        <f>VLOOKUP(I623,'Price List, Weapons &amp; Items'!B:E,4,0)</f>
        <v>0</v>
      </c>
      <c r="M623" s="1188">
        <v>4</v>
      </c>
      <c r="N623" s="1275" t="s">
        <v>374</v>
      </c>
      <c r="O623" s="1188">
        <f>VLOOKUP($I623,'Price List, Weapons &amp; Items'!B:G,6,0)</f>
        <v>152152000</v>
      </c>
      <c r="P623" s="1185">
        <f t="shared" si="132"/>
        <v>608608000</v>
      </c>
      <c r="Q623" s="1185" t="str">
        <f t="shared" si="133"/>
        <v>.</v>
      </c>
      <c r="R623" s="1185" t="str">
        <f t="shared" si="129"/>
        <v/>
      </c>
      <c r="S623" s="1185" t="str">
        <f>IF(AND(AD623=1,R623&lt;&gt;".")=TRUE,R623/VLOOKUP(G623,'Exchange Rates'!B:C,2,0),IF(R623=".",".",""))</f>
        <v/>
      </c>
      <c r="T623" s="1185" t="str">
        <f>IF(AD623=1,IF(AF623="Value is not given at all",".",IF(AF623="Value is given by the source",S623,IF(AF623="Value is calculated with prices",(IF(SUMIFS(Q:Q,A:A,A623)&gt;0,SUMIFS(Q:Q,A:A,A623),"."))/VLOOKUP("USD",'Exchange Rates'!B:C,2,0),"Error with coding"))),"")</f>
        <v/>
      </c>
      <c r="U623" s="1184" t="s">
        <v>365</v>
      </c>
      <c r="V623" s="972" t="s">
        <v>1782</v>
      </c>
      <c r="W623" s="972" t="s">
        <v>1280</v>
      </c>
      <c r="X623" s="972" t="s">
        <v>364</v>
      </c>
      <c r="Y623" s="972" t="s">
        <v>364</v>
      </c>
      <c r="Z623" s="1184">
        <v>0</v>
      </c>
      <c r="AA623" s="1184">
        <v>1</v>
      </c>
      <c r="AB623" s="964" t="s">
        <v>1875</v>
      </c>
      <c r="AC623" s="1192" t="str">
        <f>""</f>
        <v/>
      </c>
      <c r="AD623" s="1184">
        <v>0</v>
      </c>
      <c r="AE623" s="1184" t="s">
        <v>368</v>
      </c>
      <c r="AF623" s="1184" t="s">
        <v>369</v>
      </c>
      <c r="AG623" s="1184">
        <v>1</v>
      </c>
      <c r="AH623" s="1184">
        <v>17</v>
      </c>
      <c r="AI623" s="1184">
        <v>0</v>
      </c>
      <c r="AJ623" s="1193">
        <f>VLOOKUP($I623,'Price List, Weapons &amp; Items'!B:F,5,0)</f>
        <v>0</v>
      </c>
      <c r="AK623" s="1193">
        <f t="shared" si="134"/>
        <v>0</v>
      </c>
      <c r="AL623" s="1193">
        <f t="shared" si="135"/>
        <v>0</v>
      </c>
      <c r="AM623" s="1193">
        <f t="shared" si="136"/>
        <v>0</v>
      </c>
      <c r="AN623" s="1194" t="str">
        <f>VLOOKUP($I623,'Price List, Weapons &amp; Items'!B:L,COLUMN('Price List, Weapons &amp; Items'!$J$11)-1,0)</f>
        <v>Media reports (incl. social media)</v>
      </c>
      <c r="AO623" s="1194" t="str">
        <f>IF(I623=".",".",VLOOKUP($I623,'Price List, Weapons &amp; Items'!B:J,3,0))</f>
        <v>Anti-aircraft surface-to-air missile (SAM) system (medium-range)</v>
      </c>
      <c r="AP623" s="1195" t="str">
        <f t="shared" ca="1" si="130"/>
        <v/>
      </c>
      <c r="AQ623" s="1194">
        <f>VLOOKUP($I623,'Price List, Weapons &amp; Items'!B:L,COLUMN('Price List, Weapons &amp; Items'!$L$11)-1,0)</f>
        <v>2</v>
      </c>
      <c r="AR623" s="1194">
        <f t="shared" si="137"/>
        <v>1</v>
      </c>
      <c r="AS623" s="1194">
        <f t="shared" si="138"/>
        <v>1</v>
      </c>
      <c r="AT623" s="1194" t="str">
        <f t="shared" si="139"/>
        <v>Value is not in date format</v>
      </c>
      <c r="AU623" s="1194" t="str">
        <f t="shared" si="140"/>
        <v>.</v>
      </c>
      <c r="AV623" s="1194" t="str">
        <f t="shared" si="131"/>
        <v>.</v>
      </c>
      <c r="AW623" s="1194" t="str">
        <f t="shared" si="141"/>
        <v>.</v>
      </c>
      <c r="AX623" s="1194">
        <f>IFERROR(VLOOKUP(B623,'Share, Heavy Weapons to Ukraine'!B:Z,COLUMN('Share, Heavy Weapons to Ukraine'!C633)-1,0),0)</f>
        <v>0</v>
      </c>
      <c r="AY623" s="1194">
        <f>VLOOKUP('Bilateral Assistance, MAIN DATA'!B623,'Country Summary (€)'!B:F,COLUMN('Country Summary (€)'!C634)-1,FALSE)</f>
        <v>1</v>
      </c>
      <c r="AZ623" s="1194" t="str">
        <f>IF(AND(AD623=1,D623="Military",H623&lt;&gt;"Not given")=TRUE,IF(SUMIFS(P:P,A:A,A623)&gt;0,ABS((SUMIFS(P:P,A:A,A623)/VLOOKUP("USD",'Exchange Rates'!B:C,2,0)))/S623,"."),".")</f>
        <v>.</v>
      </c>
      <c r="BA623" s="1196" t="str">
        <f>IF(AND(AD623=1,D623="Military",H623&lt;&gt;"Not given")=TRUE,IF(SUMIFS(P:P,A:A,A623)&gt;0,IF((ABS((SUMIFS(P:P,A:A,A623)/VLOOKUP("USD",'Exchange Rates'!B:C,2,0)))/S623)&gt;1,(SUMIFS(P:P,A:A,A623)-S623)/S623,(S623-SUMIFS(P:P,A:A,A623))/SUMIFS(P:P,A:A,A623)),"."),".")</f>
        <v>.</v>
      </c>
      <c r="BC623" s="1180"/>
      <c r="BD623" s="1180"/>
      <c r="BE623" s="1180"/>
      <c r="BF623" s="1180"/>
      <c r="BG623" s="1180"/>
      <c r="BH623" s="1180"/>
      <c r="BI623" s="1180"/>
      <c r="BJ623" s="1180"/>
      <c r="BK623" s="1180"/>
      <c r="BL623" s="1180"/>
      <c r="BM623" s="1180"/>
      <c r="BN623" s="1180"/>
      <c r="BO623" s="1180"/>
      <c r="BP623" s="1180"/>
      <c r="BQ623" s="1180"/>
      <c r="BR623" s="1180"/>
      <c r="BS623" s="1180"/>
      <c r="BT623" s="1180"/>
    </row>
    <row r="624" spans="1:72" ht="15.95" customHeight="1">
      <c r="A624" s="1182" t="s">
        <v>1796</v>
      </c>
      <c r="B624" s="1182" t="s">
        <v>1711</v>
      </c>
      <c r="C624" s="1181" t="s">
        <v>1788</v>
      </c>
      <c r="D624" s="1182" t="s">
        <v>389</v>
      </c>
      <c r="E624" s="1182" t="s">
        <v>1676</v>
      </c>
      <c r="F624" s="1263" t="s">
        <v>1806</v>
      </c>
      <c r="G624" s="1184" t="s">
        <v>483</v>
      </c>
      <c r="H624" s="1185">
        <v>6750000000</v>
      </c>
      <c r="I624" s="1266" t="s">
        <v>1876</v>
      </c>
      <c r="J624" s="1186" t="str">
        <f>VLOOKUP($I624,'Price List, Weapons &amp; Items'!B:C,2,0)</f>
        <v>Military equipment</v>
      </c>
      <c r="K624" s="1186" t="str">
        <f>IF(I624=".",I624,VLOOKUP($I624,'Price List, Weapons &amp; Items'!B:D,3,0))</f>
        <v>Military equipment</v>
      </c>
      <c r="L624" s="1187">
        <f>VLOOKUP(I624,'Price List, Weapons &amp; Items'!B:E,4,0)</f>
        <v>0</v>
      </c>
      <c r="M624" s="1188">
        <v>30</v>
      </c>
      <c r="N624" s="1275" t="s">
        <v>374</v>
      </c>
      <c r="O624" s="1188">
        <f>VLOOKUP($I624,'Price List, Weapons &amp; Items'!B:G,6,0)</f>
        <v>350000</v>
      </c>
      <c r="P624" s="1185">
        <f t="shared" si="132"/>
        <v>10500000</v>
      </c>
      <c r="Q624" s="1185" t="str">
        <f t="shared" si="133"/>
        <v>.</v>
      </c>
      <c r="R624" s="1185" t="str">
        <f t="shared" si="129"/>
        <v/>
      </c>
      <c r="S624" s="1185" t="str">
        <f>IF(AND(AD624=1,R624&lt;&gt;".")=TRUE,R624/VLOOKUP(G624,'Exchange Rates'!B:C,2,0),IF(R624=".",".",""))</f>
        <v/>
      </c>
      <c r="T624" s="1185" t="str">
        <f>IF(AD624=1,IF(AF624="Value is not given at all",".",IF(AF624="Value is given by the source",S624,IF(AF624="Value is calculated with prices",(IF(SUMIFS(Q:Q,A:A,A624)&gt;0,SUMIFS(Q:Q,A:A,A624),"."))/VLOOKUP("USD",'Exchange Rates'!B:C,2,0),"Error with coding"))),"")</f>
        <v/>
      </c>
      <c r="U624" s="1184" t="s">
        <v>365</v>
      </c>
      <c r="V624" s="972" t="s">
        <v>1782</v>
      </c>
      <c r="W624" s="972" t="s">
        <v>1280</v>
      </c>
      <c r="X624" s="972" t="s">
        <v>364</v>
      </c>
      <c r="Y624" s="972" t="s">
        <v>364</v>
      </c>
      <c r="Z624" s="1184">
        <v>0</v>
      </c>
      <c r="AA624" s="1184">
        <v>1</v>
      </c>
      <c r="AB624" s="964" t="s">
        <v>1877</v>
      </c>
      <c r="AC624" s="1192" t="str">
        <f>""</f>
        <v/>
      </c>
      <c r="AD624" s="1184">
        <v>0</v>
      </c>
      <c r="AE624" s="1184" t="s">
        <v>368</v>
      </c>
      <c r="AF624" s="1184" t="s">
        <v>369</v>
      </c>
      <c r="AG624" s="1184">
        <v>1</v>
      </c>
      <c r="AH624" s="1184">
        <v>17</v>
      </c>
      <c r="AI624" s="1184">
        <v>0</v>
      </c>
      <c r="AJ624" s="1193">
        <f>VLOOKUP($I624,'Price List, Weapons &amp; Items'!B:F,5,0)</f>
        <v>0</v>
      </c>
      <c r="AK624" s="1193">
        <f t="shared" si="134"/>
        <v>0</v>
      </c>
      <c r="AL624" s="1193">
        <f t="shared" si="135"/>
        <v>0</v>
      </c>
      <c r="AM624" s="1193">
        <f t="shared" si="136"/>
        <v>0</v>
      </c>
      <c r="AN624" s="1194" t="str">
        <f>VLOOKUP($I624,'Price List, Weapons &amp; Items'!B:L,COLUMN('Price List, Weapons &amp; Items'!$J$11)-1,0)</f>
        <v>Media reports (incl. social media)</v>
      </c>
      <c r="AO624" s="1194" t="str">
        <f>IF(I624=".",".",VLOOKUP($I624,'Price List, Weapons &amp; Items'!B:J,3,0))</f>
        <v>Military equipment</v>
      </c>
      <c r="AP624" s="1195" t="str">
        <f t="shared" ca="1" si="130"/>
        <v/>
      </c>
      <c r="AQ624" s="1194">
        <f>VLOOKUP($I624,'Price List, Weapons &amp; Items'!B:L,COLUMN('Price List, Weapons &amp; Items'!$L$11)-1,0)</f>
        <v>2</v>
      </c>
      <c r="AR624" s="1194">
        <f t="shared" si="137"/>
        <v>1</v>
      </c>
      <c r="AS624" s="1194">
        <f t="shared" si="138"/>
        <v>1</v>
      </c>
      <c r="AT624" s="1194" t="str">
        <f t="shared" si="139"/>
        <v>Value is not in date format</v>
      </c>
      <c r="AU624" s="1194" t="str">
        <f t="shared" si="140"/>
        <v>.</v>
      </c>
      <c r="AV624" s="1194" t="str">
        <f t="shared" si="131"/>
        <v>.</v>
      </c>
      <c r="AW624" s="1194" t="str">
        <f t="shared" si="141"/>
        <v>.</v>
      </c>
      <c r="AX624" s="1194">
        <f>IFERROR(VLOOKUP(B624,'Share, Heavy Weapons to Ukraine'!B:Z,COLUMN('Share, Heavy Weapons to Ukraine'!C634)-1,0),0)</f>
        <v>0</v>
      </c>
      <c r="AY624" s="1194">
        <f>VLOOKUP('Bilateral Assistance, MAIN DATA'!B624,'Country Summary (€)'!B:F,COLUMN('Country Summary (€)'!C635)-1,FALSE)</f>
        <v>1</v>
      </c>
      <c r="AZ624" s="1194" t="str">
        <f>IF(AND(AD624=1,D624="Military",H624&lt;&gt;"Not given")=TRUE,IF(SUMIFS(P:P,A:A,A624)&gt;0,ABS((SUMIFS(P:P,A:A,A624)/VLOOKUP("USD",'Exchange Rates'!B:C,2,0)))/S624,"."),".")</f>
        <v>.</v>
      </c>
      <c r="BA624" s="1196" t="str">
        <f>IF(AND(AD624=1,D624="Military",H624&lt;&gt;"Not given")=TRUE,IF(SUMIFS(P:P,A:A,A624)&gt;0,IF((ABS((SUMIFS(P:P,A:A,A624)/VLOOKUP("USD",'Exchange Rates'!B:C,2,0)))/S624)&gt;1,(SUMIFS(P:P,A:A,A624)-S624)/S624,(S624-SUMIFS(P:P,A:A,A624))/SUMIFS(P:P,A:A,A624)),"."),".")</f>
        <v>.</v>
      </c>
      <c r="BC624" s="1180"/>
      <c r="BD624" s="1180"/>
      <c r="BE624" s="1180"/>
      <c r="BF624" s="1180"/>
      <c r="BG624" s="1180"/>
      <c r="BH624" s="1180"/>
      <c r="BI624" s="1180"/>
      <c r="BJ624" s="1180"/>
      <c r="BK624" s="1180"/>
      <c r="BL624" s="1180"/>
      <c r="BM624" s="1180"/>
      <c r="BN624" s="1180"/>
      <c r="BO624" s="1180"/>
      <c r="BP624" s="1180"/>
      <c r="BQ624" s="1180"/>
      <c r="BR624" s="1180"/>
      <c r="BS624" s="1180"/>
      <c r="BT624" s="1180"/>
    </row>
    <row r="625" spans="1:72" ht="15.95" customHeight="1">
      <c r="A625" s="1182" t="s">
        <v>1796</v>
      </c>
      <c r="B625" s="1182" t="s">
        <v>1711</v>
      </c>
      <c r="C625" s="1181" t="s">
        <v>1788</v>
      </c>
      <c r="D625" s="1182" t="s">
        <v>389</v>
      </c>
      <c r="E625" s="1182" t="s">
        <v>1676</v>
      </c>
      <c r="F625" s="1263" t="s">
        <v>1806</v>
      </c>
      <c r="G625" s="1184" t="s">
        <v>483</v>
      </c>
      <c r="H625" s="1185">
        <v>6750000000</v>
      </c>
      <c r="I625" s="1266" t="s">
        <v>1878</v>
      </c>
      <c r="J625" s="1186" t="str">
        <f>VLOOKUP($I625,'Price List, Weapons &amp; Items'!B:C,2,0)</f>
        <v>Military equipment</v>
      </c>
      <c r="K625" s="1186" t="str">
        <f>IF(I625=".",I625,VLOOKUP($I625,'Price List, Weapons &amp; Items'!B:D,3,0))</f>
        <v>Military equipment</v>
      </c>
      <c r="L625" s="1187">
        <f>VLOOKUP(I625,'Price List, Weapons &amp; Items'!B:E,4,0)</f>
        <v>0</v>
      </c>
      <c r="M625" s="1188">
        <v>100</v>
      </c>
      <c r="N625" s="1275" t="s">
        <v>374</v>
      </c>
      <c r="O625" s="1188">
        <f>VLOOKUP($I625,'Price List, Weapons &amp; Items'!B:G,6,0)</f>
        <v>16941.240000000002</v>
      </c>
      <c r="P625" s="1185">
        <f t="shared" si="132"/>
        <v>1694124.0000000002</v>
      </c>
      <c r="Q625" s="1185" t="str">
        <f t="shared" si="133"/>
        <v>.</v>
      </c>
      <c r="R625" s="1185" t="str">
        <f t="shared" si="129"/>
        <v/>
      </c>
      <c r="S625" s="1185" t="str">
        <f>IF(AND(AD625=1,R625&lt;&gt;".")=TRUE,R625/VLOOKUP(G625,'Exchange Rates'!B:C,2,0),IF(R625=".",".",""))</f>
        <v/>
      </c>
      <c r="T625" s="1185" t="str">
        <f>IF(AD625=1,IF(AF625="Value is not given at all",".",IF(AF625="Value is given by the source",S625,IF(AF625="Value is calculated with prices",(IF(SUMIFS(Q:Q,A:A,A625)&gt;0,SUMIFS(Q:Q,A:A,A625),"."))/VLOOKUP("USD",'Exchange Rates'!B:C,2,0),"Error with coding"))),"")</f>
        <v/>
      </c>
      <c r="U625" s="1184" t="s">
        <v>365</v>
      </c>
      <c r="V625" s="972" t="s">
        <v>1782</v>
      </c>
      <c r="W625" s="972" t="s">
        <v>1280</v>
      </c>
      <c r="X625" s="972" t="s">
        <v>364</v>
      </c>
      <c r="Y625" s="972" t="s">
        <v>364</v>
      </c>
      <c r="Z625" s="1184">
        <v>0</v>
      </c>
      <c r="AA625" s="1184">
        <v>1</v>
      </c>
      <c r="AB625" s="964" t="s">
        <v>1877</v>
      </c>
      <c r="AC625" s="1192" t="str">
        <f>""</f>
        <v/>
      </c>
      <c r="AD625" s="1184">
        <v>0</v>
      </c>
      <c r="AE625" s="1184" t="s">
        <v>368</v>
      </c>
      <c r="AF625" s="1184" t="s">
        <v>369</v>
      </c>
      <c r="AG625" s="1184">
        <v>1</v>
      </c>
      <c r="AH625" s="1184">
        <v>17</v>
      </c>
      <c r="AI625" s="1184">
        <v>0</v>
      </c>
      <c r="AJ625" s="1193">
        <f>VLOOKUP($I625,'Price List, Weapons &amp; Items'!B:F,5,0)</f>
        <v>0</v>
      </c>
      <c r="AK625" s="1193">
        <f t="shared" si="134"/>
        <v>0</v>
      </c>
      <c r="AL625" s="1193">
        <f t="shared" si="135"/>
        <v>0</v>
      </c>
      <c r="AM625" s="1193">
        <f t="shared" si="136"/>
        <v>0</v>
      </c>
      <c r="AN625" s="1194" t="str">
        <f>VLOOKUP($I625,'Price List, Weapons &amp; Items'!B:L,COLUMN('Price List, Weapons &amp; Items'!$J$11)-1,0)</f>
        <v>Contracts</v>
      </c>
      <c r="AO625" s="1194" t="str">
        <f>IF(I625=".",".",VLOOKUP($I625,'Price List, Weapons &amp; Items'!B:J,3,0))</f>
        <v>Military equipment</v>
      </c>
      <c r="AP625" s="1195" t="str">
        <f t="shared" ca="1" si="130"/>
        <v/>
      </c>
      <c r="AQ625" s="1194">
        <f>VLOOKUP($I625,'Price List, Weapons &amp; Items'!B:L,COLUMN('Price List, Weapons &amp; Items'!$L$11)-1,0)</f>
        <v>1</v>
      </c>
      <c r="AR625" s="1194">
        <f t="shared" si="137"/>
        <v>1</v>
      </c>
      <c r="AS625" s="1194">
        <f t="shared" si="138"/>
        <v>1</v>
      </c>
      <c r="AT625" s="1194" t="str">
        <f t="shared" si="139"/>
        <v>Value is not in date format</v>
      </c>
      <c r="AU625" s="1194" t="str">
        <f t="shared" si="140"/>
        <v>.</v>
      </c>
      <c r="AV625" s="1194" t="str">
        <f t="shared" si="131"/>
        <v>.</v>
      </c>
      <c r="AW625" s="1194" t="str">
        <f t="shared" si="141"/>
        <v>.</v>
      </c>
      <c r="AX625" s="1194">
        <f>IFERROR(VLOOKUP(B625,'Share, Heavy Weapons to Ukraine'!B:Z,COLUMN('Share, Heavy Weapons to Ukraine'!C635)-1,0),0)</f>
        <v>0</v>
      </c>
      <c r="AY625" s="1194">
        <f>VLOOKUP('Bilateral Assistance, MAIN DATA'!B625,'Country Summary (€)'!B:F,COLUMN('Country Summary (€)'!C636)-1,FALSE)</f>
        <v>1</v>
      </c>
      <c r="AZ625" s="1194" t="str">
        <f>IF(AND(AD625=1,D625="Military",H625&lt;&gt;"Not given")=TRUE,IF(SUMIFS(P:P,A:A,A625)&gt;0,ABS((SUMIFS(P:P,A:A,A625)/VLOOKUP("USD",'Exchange Rates'!B:C,2,0)))/S625,"."),".")</f>
        <v>.</v>
      </c>
      <c r="BA625" s="1196" t="str">
        <f>IF(AND(AD625=1,D625="Military",H625&lt;&gt;"Not given")=TRUE,IF(SUMIFS(P:P,A:A,A625)&gt;0,IF((ABS((SUMIFS(P:P,A:A,A625)/VLOOKUP("USD",'Exchange Rates'!B:C,2,0)))/S625)&gt;1,(SUMIFS(P:P,A:A,A625)-S625)/S625,(S625-SUMIFS(P:P,A:A,A625))/SUMIFS(P:P,A:A,A625)),"."),".")</f>
        <v>.</v>
      </c>
      <c r="BC625" s="1180"/>
      <c r="BD625" s="1180"/>
      <c r="BE625" s="1180"/>
      <c r="BF625" s="1180"/>
      <c r="BG625" s="1180"/>
      <c r="BH625" s="1180"/>
      <c r="BI625" s="1180"/>
      <c r="BJ625" s="1180"/>
      <c r="BK625" s="1180"/>
      <c r="BL625" s="1180"/>
      <c r="BM625" s="1180"/>
      <c r="BN625" s="1180"/>
      <c r="BO625" s="1180"/>
      <c r="BP625" s="1180"/>
      <c r="BQ625" s="1180"/>
      <c r="BR625" s="1180"/>
      <c r="BS625" s="1180"/>
      <c r="BT625" s="1180"/>
    </row>
    <row r="626" spans="1:72" ht="15.95" customHeight="1">
      <c r="A626" s="1182" t="s">
        <v>1796</v>
      </c>
      <c r="B626" s="1182" t="s">
        <v>1711</v>
      </c>
      <c r="C626" s="1181" t="s">
        <v>1788</v>
      </c>
      <c r="D626" s="1182" t="s">
        <v>389</v>
      </c>
      <c r="E626" s="1182" t="s">
        <v>1676</v>
      </c>
      <c r="F626" s="1263" t="s">
        <v>1806</v>
      </c>
      <c r="G626" s="1184" t="s">
        <v>483</v>
      </c>
      <c r="H626" s="1185">
        <v>6750000000</v>
      </c>
      <c r="I626" s="1266" t="s">
        <v>1879</v>
      </c>
      <c r="J626" s="1186" t="str">
        <f>VLOOKUP($I626,'Price List, Weapons &amp; Items'!B:C,2,0)</f>
        <v>Portable defence system</v>
      </c>
      <c r="K626" s="1186" t="str">
        <f>IF(I626=".",I626,VLOOKUP($I626,'Price List, Weapons &amp; Items'!B:D,3,0))</f>
        <v>Grenade launcher</v>
      </c>
      <c r="L626" s="1187">
        <f>VLOOKUP(I626,'Price List, Weapons &amp; Items'!B:E,4,0)</f>
        <v>0</v>
      </c>
      <c r="M626" s="1188">
        <v>100</v>
      </c>
      <c r="N626" s="1275" t="s">
        <v>374</v>
      </c>
      <c r="O626" s="1188">
        <f>VLOOKUP($I626,'Price List, Weapons &amp; Items'!B:G,6,0)</f>
        <v>20000</v>
      </c>
      <c r="P626" s="1185">
        <f t="shared" si="132"/>
        <v>2000000</v>
      </c>
      <c r="Q626" s="1185" t="str">
        <f t="shared" si="133"/>
        <v>.</v>
      </c>
      <c r="R626" s="1185" t="str">
        <f t="shared" si="129"/>
        <v/>
      </c>
      <c r="S626" s="1185" t="str">
        <f>IF(AND(AD626=1,R626&lt;&gt;".")=TRUE,R626/VLOOKUP(G626,'Exchange Rates'!B:C,2,0),IF(R626=".",".",""))</f>
        <v/>
      </c>
      <c r="T626" s="1185" t="str">
        <f>IF(AD626=1,IF(AF626="Value is not given at all",".",IF(AF626="Value is given by the source",S626,IF(AF626="Value is calculated with prices",(IF(SUMIFS(Q:Q,A:A,A626)&gt;0,SUMIFS(Q:Q,A:A,A626),"."))/VLOOKUP("USD",'Exchange Rates'!B:C,2,0),"Error with coding"))),"")</f>
        <v/>
      </c>
      <c r="U626" s="1184" t="s">
        <v>365</v>
      </c>
      <c r="V626" s="972" t="s">
        <v>1782</v>
      </c>
      <c r="W626" s="972" t="s">
        <v>1280</v>
      </c>
      <c r="X626" s="972" t="s">
        <v>364</v>
      </c>
      <c r="Y626" s="972" t="s">
        <v>364</v>
      </c>
      <c r="Z626" s="1184">
        <v>0</v>
      </c>
      <c r="AA626" s="1184">
        <v>1</v>
      </c>
      <c r="AB626" s="964" t="s">
        <v>1877</v>
      </c>
      <c r="AC626" s="1192" t="str">
        <f>""</f>
        <v/>
      </c>
      <c r="AD626" s="1184">
        <v>0</v>
      </c>
      <c r="AE626" s="1184" t="s">
        <v>368</v>
      </c>
      <c r="AF626" s="1184" t="s">
        <v>369</v>
      </c>
      <c r="AG626" s="1184">
        <v>1</v>
      </c>
      <c r="AH626" s="1184">
        <v>17</v>
      </c>
      <c r="AI626" s="1184">
        <v>0</v>
      </c>
      <c r="AJ626" s="1193">
        <f>VLOOKUP($I626,'Price List, Weapons &amp; Items'!B:F,5,0)</f>
        <v>0</v>
      </c>
      <c r="AK626" s="1193">
        <f t="shared" si="134"/>
        <v>0</v>
      </c>
      <c r="AL626" s="1193">
        <f t="shared" si="135"/>
        <v>0</v>
      </c>
      <c r="AM626" s="1193">
        <f t="shared" si="136"/>
        <v>0</v>
      </c>
      <c r="AN626" s="1194" t="str">
        <f>VLOOKUP($I626,'Price List, Weapons &amp; Items'!B:L,COLUMN('Price List, Weapons &amp; Items'!$J$11)-1,0)</f>
        <v>Miscellaneous</v>
      </c>
      <c r="AO626" s="1194" t="str">
        <f>IF(I626=".",".",VLOOKUP($I626,'Price List, Weapons &amp; Items'!B:J,3,0))</f>
        <v>Grenade launcher</v>
      </c>
      <c r="AP626" s="1195" t="str">
        <f t="shared" ca="1" si="130"/>
        <v/>
      </c>
      <c r="AQ626" s="1194">
        <f>VLOOKUP($I626,'Price List, Weapons &amp; Items'!B:L,COLUMN('Price List, Weapons &amp; Items'!$L$11)-1,0)</f>
        <v>2</v>
      </c>
      <c r="AR626" s="1194">
        <f t="shared" si="137"/>
        <v>1</v>
      </c>
      <c r="AS626" s="1194">
        <f t="shared" si="138"/>
        <v>1</v>
      </c>
      <c r="AT626" s="1194" t="str">
        <f t="shared" si="139"/>
        <v>Value is not in date format</v>
      </c>
      <c r="AU626" s="1194" t="str">
        <f t="shared" si="140"/>
        <v>.</v>
      </c>
      <c r="AV626" s="1194" t="str">
        <f t="shared" si="131"/>
        <v>.</v>
      </c>
      <c r="AW626" s="1194" t="str">
        <f t="shared" si="141"/>
        <v>.</v>
      </c>
      <c r="AX626" s="1194">
        <f>IFERROR(VLOOKUP(B626,'Share, Heavy Weapons to Ukraine'!B:Z,COLUMN('Share, Heavy Weapons to Ukraine'!C636)-1,0),0)</f>
        <v>0</v>
      </c>
      <c r="AY626" s="1194">
        <f>VLOOKUP('Bilateral Assistance, MAIN DATA'!B626,'Country Summary (€)'!B:F,COLUMN('Country Summary (€)'!C637)-1,FALSE)</f>
        <v>1</v>
      </c>
      <c r="AZ626" s="1194" t="str">
        <f>IF(AND(AD626=1,D626="Military",H626&lt;&gt;"Not given")=TRUE,IF(SUMIFS(P:P,A:A,A626)&gt;0,ABS((SUMIFS(P:P,A:A,A626)/VLOOKUP("USD",'Exchange Rates'!B:C,2,0)))/S626,"."),".")</f>
        <v>.</v>
      </c>
      <c r="BA626" s="1196" t="str">
        <f>IF(AND(AD626=1,D626="Military",H626&lt;&gt;"Not given")=TRUE,IF(SUMIFS(P:P,A:A,A626)&gt;0,IF((ABS((SUMIFS(P:P,A:A,A626)/VLOOKUP("USD",'Exchange Rates'!B:C,2,0)))/S626)&gt;1,(SUMIFS(P:P,A:A,A626)-S626)/S626,(S626-SUMIFS(P:P,A:A,A626))/SUMIFS(P:P,A:A,A626)),"."),".")</f>
        <v>.</v>
      </c>
      <c r="BC626" s="1180"/>
      <c r="BD626" s="1180"/>
      <c r="BE626" s="1180"/>
      <c r="BF626" s="1180"/>
      <c r="BG626" s="1180"/>
      <c r="BH626" s="1180"/>
      <c r="BI626" s="1180"/>
      <c r="BJ626" s="1180"/>
      <c r="BK626" s="1180"/>
      <c r="BL626" s="1180"/>
      <c r="BM626" s="1180"/>
      <c r="BN626" s="1180"/>
      <c r="BO626" s="1180"/>
      <c r="BP626" s="1180"/>
      <c r="BQ626" s="1180"/>
      <c r="BR626" s="1180"/>
      <c r="BS626" s="1180"/>
      <c r="BT626" s="1180"/>
    </row>
    <row r="627" spans="1:72" ht="15.95" customHeight="1">
      <c r="A627" s="1182" t="s">
        <v>1796</v>
      </c>
      <c r="B627" s="1182" t="s">
        <v>1711</v>
      </c>
      <c r="C627" s="1181" t="s">
        <v>1788</v>
      </c>
      <c r="D627" s="1182" t="s">
        <v>389</v>
      </c>
      <c r="E627" s="1182" t="s">
        <v>1676</v>
      </c>
      <c r="F627" s="1263" t="s">
        <v>1806</v>
      </c>
      <c r="G627" s="1184" t="s">
        <v>483</v>
      </c>
      <c r="H627" s="1185">
        <v>6750000000</v>
      </c>
      <c r="I627" s="1266" t="s">
        <v>1880</v>
      </c>
      <c r="J627" s="1186" t="str">
        <f>VLOOKUP($I627,'Price List, Weapons &amp; Items'!B:C,2,0)</f>
        <v>Military equipment</v>
      </c>
      <c r="K627" s="1186" t="str">
        <f>IF(I627=".",I627,VLOOKUP($I627,'Price List, Weapons &amp; Items'!B:D,3,0))</f>
        <v>non combat military vehicle</v>
      </c>
      <c r="L627" s="1187">
        <f>VLOOKUP(I627,'Price List, Weapons &amp; Items'!B:E,4,0)</f>
        <v>0</v>
      </c>
      <c r="M627" s="1188">
        <v>64</v>
      </c>
      <c r="N627" s="1275" t="s">
        <v>374</v>
      </c>
      <c r="O627" s="1188">
        <f>VLOOKUP($I627,'Price List, Weapons &amp; Items'!B:G,6,0)</f>
        <v>21400</v>
      </c>
      <c r="P627" s="1185">
        <f t="shared" si="132"/>
        <v>1369600</v>
      </c>
      <c r="Q627" s="1185" t="str">
        <f t="shared" si="133"/>
        <v>.</v>
      </c>
      <c r="R627" s="1185" t="str">
        <f t="shared" si="129"/>
        <v/>
      </c>
      <c r="S627" s="1185" t="str">
        <f>IF(AND(AD627=1,R627&lt;&gt;".")=TRUE,R627/VLOOKUP(G627,'Exchange Rates'!B:C,2,0),IF(R627=".",".",""))</f>
        <v/>
      </c>
      <c r="T627" s="1185" t="str">
        <f>IF(AD627=1,IF(AF627="Value is not given at all",".",IF(AF627="Value is given by the source",S627,IF(AF627="Value is calculated with prices",(IF(SUMIFS(Q:Q,A:A,A627)&gt;0,SUMIFS(Q:Q,A:A,A627),"."))/VLOOKUP("USD",'Exchange Rates'!B:C,2,0),"Error with coding"))),"")</f>
        <v/>
      </c>
      <c r="U627" s="1184" t="s">
        <v>365</v>
      </c>
      <c r="V627" s="972" t="s">
        <v>1782</v>
      </c>
      <c r="W627" s="972" t="s">
        <v>1280</v>
      </c>
      <c r="X627" s="972" t="s">
        <v>364</v>
      </c>
      <c r="Y627" s="972" t="s">
        <v>364</v>
      </c>
      <c r="Z627" s="1184">
        <v>0</v>
      </c>
      <c r="AA627" s="1184">
        <v>1</v>
      </c>
      <c r="AB627" s="964" t="s">
        <v>1877</v>
      </c>
      <c r="AC627" s="1192" t="str">
        <f>""</f>
        <v/>
      </c>
      <c r="AD627" s="1184">
        <v>0</v>
      </c>
      <c r="AE627" s="1184" t="s">
        <v>368</v>
      </c>
      <c r="AF627" s="1184" t="s">
        <v>369</v>
      </c>
      <c r="AG627" s="1184">
        <v>1</v>
      </c>
      <c r="AH627" s="1184">
        <v>17</v>
      </c>
      <c r="AI627" s="1184">
        <v>0</v>
      </c>
      <c r="AJ627" s="1193">
        <f>VLOOKUP($I627,'Price List, Weapons &amp; Items'!B:F,5,0)</f>
        <v>0</v>
      </c>
      <c r="AK627" s="1193">
        <f t="shared" si="134"/>
        <v>0</v>
      </c>
      <c r="AL627" s="1193">
        <f t="shared" si="135"/>
        <v>0</v>
      </c>
      <c r="AM627" s="1193">
        <f t="shared" si="136"/>
        <v>0</v>
      </c>
      <c r="AN627" s="1194" t="str">
        <f>VLOOKUP($I627,'Price List, Weapons &amp; Items'!B:L,COLUMN('Price List, Weapons &amp; Items'!$J$11)-1,0)</f>
        <v>Online marketplaces and stores</v>
      </c>
      <c r="AO627" s="1194" t="str">
        <f>IF(I627=".",".",VLOOKUP($I627,'Price List, Weapons &amp; Items'!B:J,3,0))</f>
        <v>non combat military vehicle</v>
      </c>
      <c r="AP627" s="1195" t="str">
        <f t="shared" ca="1" si="130"/>
        <v/>
      </c>
      <c r="AQ627" s="1194">
        <f>VLOOKUP($I627,'Price List, Weapons &amp; Items'!B:L,COLUMN('Price List, Weapons &amp; Items'!$L$11)-1,0)</f>
        <v>1</v>
      </c>
      <c r="AR627" s="1194">
        <f t="shared" si="137"/>
        <v>1</v>
      </c>
      <c r="AS627" s="1194">
        <f t="shared" si="138"/>
        <v>1</v>
      </c>
      <c r="AT627" s="1194" t="str">
        <f t="shared" si="139"/>
        <v>Value is not in date format</v>
      </c>
      <c r="AU627" s="1194" t="str">
        <f t="shared" si="140"/>
        <v>.</v>
      </c>
      <c r="AV627" s="1194" t="str">
        <f t="shared" si="131"/>
        <v>.</v>
      </c>
      <c r="AW627" s="1194" t="str">
        <f t="shared" si="141"/>
        <v>.</v>
      </c>
      <c r="AX627" s="1194">
        <f>IFERROR(VLOOKUP(B627,'Share, Heavy Weapons to Ukraine'!B:Z,COLUMN('Share, Heavy Weapons to Ukraine'!C637)-1,0),0)</f>
        <v>0</v>
      </c>
      <c r="AY627" s="1194">
        <f>VLOOKUP('Bilateral Assistance, MAIN DATA'!B627,'Country Summary (€)'!B:F,COLUMN('Country Summary (€)'!C638)-1,FALSE)</f>
        <v>1</v>
      </c>
      <c r="AZ627" s="1194" t="str">
        <f>IF(AND(AD627=1,D627="Military",H627&lt;&gt;"Not given")=TRUE,IF(SUMIFS(P:P,A:A,A627)&gt;0,ABS((SUMIFS(P:P,A:A,A627)/VLOOKUP("USD",'Exchange Rates'!B:C,2,0)))/S627,"."),".")</f>
        <v>.</v>
      </c>
      <c r="BA627" s="1196" t="str">
        <f>IF(AND(AD627=1,D627="Military",H627&lt;&gt;"Not given")=TRUE,IF(SUMIFS(P:P,A:A,A627)&gt;0,IF((ABS((SUMIFS(P:P,A:A,A627)/VLOOKUP("USD",'Exchange Rates'!B:C,2,0)))/S627)&gt;1,(SUMIFS(P:P,A:A,A627)-S627)/S627,(S627-SUMIFS(P:P,A:A,A627))/SUMIFS(P:P,A:A,A627)),"."),".")</f>
        <v>.</v>
      </c>
      <c r="BC627" s="1180"/>
      <c r="BD627" s="1180"/>
      <c r="BE627" s="1180"/>
      <c r="BF627" s="1180"/>
      <c r="BG627" s="1180"/>
      <c r="BH627" s="1180"/>
      <c r="BI627" s="1180"/>
      <c r="BJ627" s="1180"/>
      <c r="BK627" s="1180"/>
      <c r="BL627" s="1180"/>
      <c r="BM627" s="1180"/>
      <c r="BN627" s="1180"/>
      <c r="BO627" s="1180"/>
      <c r="BP627" s="1180"/>
      <c r="BQ627" s="1180"/>
      <c r="BR627" s="1180"/>
      <c r="BS627" s="1180"/>
      <c r="BT627" s="1180"/>
    </row>
    <row r="628" spans="1:72" ht="15.95" customHeight="1">
      <c r="A628" s="1182" t="s">
        <v>1796</v>
      </c>
      <c r="B628" s="1182" t="s">
        <v>1711</v>
      </c>
      <c r="C628" s="1181" t="s">
        <v>1788</v>
      </c>
      <c r="D628" s="1182" t="s">
        <v>389</v>
      </c>
      <c r="E628" s="1182" t="s">
        <v>1676</v>
      </c>
      <c r="F628" s="1263" t="s">
        <v>1806</v>
      </c>
      <c r="G628" s="1184" t="s">
        <v>483</v>
      </c>
      <c r="H628" s="1185">
        <v>6750000000</v>
      </c>
      <c r="I628" s="1180" t="s">
        <v>1881</v>
      </c>
      <c r="J628" s="1186" t="str">
        <f>VLOOKUP($I628,'Price List, Weapons &amp; Items'!B:C,2,0)</f>
        <v>Heavy weapon</v>
      </c>
      <c r="K628" s="1186" t="str">
        <f>IF(I628=".",I628,VLOOKUP($I628,'Price List, Weapons &amp; Items'!B:D,3,0))</f>
        <v>Armored Personnel Carrier (APC)</v>
      </c>
      <c r="L628" s="1187">
        <f>VLOOKUP(I628,'Price List, Weapons &amp; Items'!B:E,4,0)</f>
        <v>0</v>
      </c>
      <c r="M628" s="1188">
        <v>66</v>
      </c>
      <c r="N628" s="1275" t="s">
        <v>374</v>
      </c>
      <c r="O628" s="1188">
        <f>VLOOKUP($I628,'Price List, Weapons &amp; Items'!B:G,6,0)</f>
        <v>232000</v>
      </c>
      <c r="P628" s="1185">
        <f t="shared" si="132"/>
        <v>15312000</v>
      </c>
      <c r="Q628" s="1185" t="str">
        <f t="shared" si="133"/>
        <v>.</v>
      </c>
      <c r="R628" s="1185" t="str">
        <f t="shared" si="129"/>
        <v/>
      </c>
      <c r="S628" s="1185" t="str">
        <f>IF(AND(AD628=1,R628&lt;&gt;".")=TRUE,R628/VLOOKUP(G628,'Exchange Rates'!B:C,2,0),IF(R628=".",".",""))</f>
        <v/>
      </c>
      <c r="T628" s="1185" t="str">
        <f>IF(AD628=1,IF(AF628="Value is not given at all",".",IF(AF628="Value is given by the source",S628,IF(AF628="Value is calculated with prices",(IF(SUMIFS(Q:Q,A:A,A628)&gt;0,SUMIFS(Q:Q,A:A,A628),"."))/VLOOKUP("USD",'Exchange Rates'!B:C,2,0),"Error with coding"))),"")</f>
        <v/>
      </c>
      <c r="U628" s="1184" t="s">
        <v>365</v>
      </c>
      <c r="V628" s="972" t="s">
        <v>1782</v>
      </c>
      <c r="W628" s="972" t="s">
        <v>1280</v>
      </c>
      <c r="X628" s="972" t="s">
        <v>1882</v>
      </c>
      <c r="Y628" s="972" t="s">
        <v>1883</v>
      </c>
      <c r="Z628" s="1184">
        <v>0</v>
      </c>
      <c r="AA628" s="1184">
        <v>1</v>
      </c>
      <c r="AB628" s="964" t="s">
        <v>1877</v>
      </c>
      <c r="AC628" s="1192" t="str">
        <f>""</f>
        <v/>
      </c>
      <c r="AD628" s="1184">
        <v>0</v>
      </c>
      <c r="AE628" s="1184" t="s">
        <v>368</v>
      </c>
      <c r="AF628" s="1184" t="s">
        <v>369</v>
      </c>
      <c r="AG628" s="1184">
        <v>1</v>
      </c>
      <c r="AH628" s="1184">
        <v>17</v>
      </c>
      <c r="AI628" s="1184">
        <v>0</v>
      </c>
      <c r="AJ628" s="1193">
        <f>VLOOKUP($I628,'Price List, Weapons &amp; Items'!B:F,5,0)</f>
        <v>1</v>
      </c>
      <c r="AK628" s="1193">
        <f t="shared" si="134"/>
        <v>0</v>
      </c>
      <c r="AL628" s="1193">
        <f t="shared" si="135"/>
        <v>1</v>
      </c>
      <c r="AM628" s="1193">
        <f t="shared" si="136"/>
        <v>0</v>
      </c>
      <c r="AN628" s="1194" t="str">
        <f>VLOOKUP($I628,'Price List, Weapons &amp; Items'!B:L,COLUMN('Price List, Weapons &amp; Items'!$J$11)-1,0)</f>
        <v>Contracts</v>
      </c>
      <c r="AO628" s="1194" t="str">
        <f>IF(I628=".",".",VLOOKUP($I628,'Price List, Weapons &amp; Items'!B:J,3,0))</f>
        <v>Armored Personnel Carrier (APC)</v>
      </c>
      <c r="AP628" s="1195" t="str">
        <f t="shared" ca="1" si="130"/>
        <v/>
      </c>
      <c r="AQ628" s="1194">
        <f>VLOOKUP($I628,'Price List, Weapons &amp; Items'!B:L,COLUMN('Price List, Weapons &amp; Items'!$L$11)-1,0)</f>
        <v>2</v>
      </c>
      <c r="AR628" s="1194">
        <f t="shared" si="137"/>
        <v>1</v>
      </c>
      <c r="AS628" s="1194">
        <f t="shared" si="138"/>
        <v>1</v>
      </c>
      <c r="AT628" s="1194" t="str">
        <f t="shared" si="139"/>
        <v>Value is not in date format</v>
      </c>
      <c r="AU628" s="1194" t="str">
        <f t="shared" si="140"/>
        <v>.</v>
      </c>
      <c r="AV628" s="1194" t="str">
        <f t="shared" si="131"/>
        <v>.</v>
      </c>
      <c r="AW628" s="1194" t="str">
        <f t="shared" si="141"/>
        <v>.</v>
      </c>
      <c r="AX628" s="1194">
        <f>IFERROR(VLOOKUP(B628,'Share, Heavy Weapons to Ukraine'!B:Z,COLUMN('Share, Heavy Weapons to Ukraine'!C638)-1,0),0)</f>
        <v>0</v>
      </c>
      <c r="AY628" s="1194">
        <f>VLOOKUP('Bilateral Assistance, MAIN DATA'!B628,'Country Summary (€)'!B:F,COLUMN('Country Summary (€)'!C639)-1,FALSE)</f>
        <v>1</v>
      </c>
      <c r="AZ628" s="1194" t="str">
        <f>IF(AND(AD628=1,D628="Military",H628&lt;&gt;"Not given")=TRUE,IF(SUMIFS(P:P,A:A,A628)&gt;0,ABS((SUMIFS(P:P,A:A,A628)/VLOOKUP("USD",'Exchange Rates'!B:C,2,0)))/S628,"."),".")</f>
        <v>.</v>
      </c>
      <c r="BA628" s="1196" t="str">
        <f>IF(AND(AD628=1,D628="Military",H628&lt;&gt;"Not given")=TRUE,IF(SUMIFS(P:P,A:A,A628)&gt;0,IF((ABS((SUMIFS(P:P,A:A,A628)/VLOOKUP("USD",'Exchange Rates'!B:C,2,0)))/S628)&gt;1,(SUMIFS(P:P,A:A,A628)-S628)/S628,(S628-SUMIFS(P:P,A:A,A628))/SUMIFS(P:P,A:A,A628)),"."),".")</f>
        <v>.</v>
      </c>
      <c r="BC628" s="1180"/>
      <c r="BD628" s="1180"/>
      <c r="BE628" s="1180"/>
      <c r="BF628" s="1180"/>
      <c r="BG628" s="1180"/>
      <c r="BH628" s="1180"/>
      <c r="BI628" s="1180"/>
      <c r="BJ628" s="1180"/>
      <c r="BK628" s="1180"/>
      <c r="BL628" s="1180"/>
      <c r="BM628" s="1180"/>
      <c r="BN628" s="1180"/>
      <c r="BO628" s="1180"/>
      <c r="BP628" s="1180"/>
      <c r="BQ628" s="1180"/>
      <c r="BR628" s="1180"/>
      <c r="BS628" s="1180"/>
      <c r="BT628" s="1180"/>
    </row>
    <row r="629" spans="1:72" ht="15.95" customHeight="1">
      <c r="A629" s="1180" t="s">
        <v>1884</v>
      </c>
      <c r="B629" s="1180" t="s">
        <v>1711</v>
      </c>
      <c r="C629" s="1181" t="s">
        <v>1797</v>
      </c>
      <c r="D629" s="1182" t="s">
        <v>389</v>
      </c>
      <c r="E629" s="1182" t="s">
        <v>1676</v>
      </c>
      <c r="F629" s="1263" t="s">
        <v>1885</v>
      </c>
      <c r="G629" s="1184" t="s">
        <v>483</v>
      </c>
      <c r="H629" s="1185">
        <v>530000000</v>
      </c>
      <c r="I629" s="1180" t="s">
        <v>364</v>
      </c>
      <c r="J629" s="1186" t="str">
        <f>VLOOKUP($I629,'Price List, Weapons &amp; Items'!B:C,2,0)</f>
        <v>.</v>
      </c>
      <c r="K629" s="1186" t="str">
        <f>IF(I629=".",I629,VLOOKUP($I629,'Price List, Weapons &amp; Items'!B:D,3,0))</f>
        <v>.</v>
      </c>
      <c r="L629" s="1187">
        <f>VLOOKUP(I629,'Price List, Weapons &amp; Items'!B:E,4,0)</f>
        <v>0</v>
      </c>
      <c r="M629" s="1188" t="s">
        <v>364</v>
      </c>
      <c r="N629" s="1188" t="s">
        <v>364</v>
      </c>
      <c r="O629" s="1188" t="str">
        <f>VLOOKUP($I629,'Price List, Weapons &amp; Items'!B:G,6,0)</f>
        <v>.</v>
      </c>
      <c r="P629" s="1185" t="str">
        <f t="shared" si="132"/>
        <v>.</v>
      </c>
      <c r="Q629" s="1185" t="str">
        <f t="shared" si="133"/>
        <v>.</v>
      </c>
      <c r="R629" s="1185">
        <f t="shared" si="129"/>
        <v>530000000</v>
      </c>
      <c r="S629" s="1185">
        <f>IF(AND(AD629=1,R629&lt;&gt;".")=TRUE,R629/VLOOKUP(G629,'Exchange Rates'!B:C,2,0),IF(R629=".",".",""))</f>
        <v>530000000</v>
      </c>
      <c r="T629" s="1185">
        <f>IF(AD629=1,IF(AF629="Value is not given at all",".",IF(AF629="Value is given by the source",S629,IF(AF629="Value is calculated with prices",(IF(SUMIFS(Q:Q,A:A,A629)&gt;0,SUMIFS(Q:Q,A:A,A629),"."))/VLOOKUP("USD",'Exchange Rates'!B:C,2,0),"Error with coding"))),"")</f>
        <v>530000000</v>
      </c>
      <c r="U629" s="1184" t="s">
        <v>365</v>
      </c>
      <c r="V629" s="972" t="s">
        <v>1782</v>
      </c>
      <c r="W629" s="987" t="s">
        <v>1280</v>
      </c>
      <c r="X629" s="1031" t="s">
        <v>364</v>
      </c>
      <c r="Y629" s="1031" t="s">
        <v>364</v>
      </c>
      <c r="Z629" s="1184">
        <v>0</v>
      </c>
      <c r="AA629" s="1194">
        <v>0</v>
      </c>
      <c r="AB629" s="600" t="s">
        <v>1280</v>
      </c>
      <c r="AC629" s="1192" t="str">
        <f>""</f>
        <v/>
      </c>
      <c r="AD629" s="1194">
        <v>1</v>
      </c>
      <c r="AE629" s="1194" t="s">
        <v>368</v>
      </c>
      <c r="AF629" s="985" t="s">
        <v>368</v>
      </c>
      <c r="AG629" s="1194">
        <v>1</v>
      </c>
      <c r="AH629" s="1194">
        <v>6</v>
      </c>
      <c r="AI629" s="1194">
        <v>0</v>
      </c>
      <c r="AJ629" s="1193">
        <f>VLOOKUP($I629,'Price List, Weapons &amp; Items'!B:F,5,0)</f>
        <v>0</v>
      </c>
      <c r="AK629" s="1193">
        <f t="shared" si="134"/>
        <v>0</v>
      </c>
      <c r="AL629" s="1193">
        <f t="shared" si="135"/>
        <v>0</v>
      </c>
      <c r="AM629" s="1193">
        <f t="shared" si="136"/>
        <v>0</v>
      </c>
      <c r="AN629" s="1194" t="str">
        <f>VLOOKUP($I629,'Price List, Weapons &amp; Items'!B:L,COLUMN('Price List, Weapons &amp; Items'!$J$11)-1,0)</f>
        <v>.</v>
      </c>
      <c r="AO629" s="1194" t="str">
        <f>IF(I629=".",".",VLOOKUP($I629,'Price List, Weapons &amp; Items'!B:J,3,0))</f>
        <v>.</v>
      </c>
      <c r="AP629" s="1195" t="str">
        <f t="shared" ca="1" si="130"/>
        <v>.</v>
      </c>
      <c r="AQ629" s="1194">
        <f>VLOOKUP($I629,'Price List, Weapons &amp; Items'!B:L,COLUMN('Price List, Weapons &amp; Items'!$L$11)-1,0)</f>
        <v>0</v>
      </c>
      <c r="AR629" s="1194">
        <f t="shared" si="137"/>
        <v>1</v>
      </c>
      <c r="AS629" s="1194">
        <f t="shared" si="138"/>
        <v>1</v>
      </c>
      <c r="AT629" s="1194" t="str">
        <f t="shared" si="139"/>
        <v>Value is not in date format</v>
      </c>
      <c r="AU629" s="1194" t="str">
        <f t="shared" si="140"/>
        <v>.</v>
      </c>
      <c r="AV629" s="1194" t="str">
        <f t="shared" si="131"/>
        <v>.</v>
      </c>
      <c r="AW629" s="1194" t="str">
        <f t="shared" si="141"/>
        <v>.</v>
      </c>
      <c r="AX629" s="1194">
        <f>IFERROR(VLOOKUP(B629,'Share, Heavy Weapons to Ukraine'!B:Z,COLUMN('Share, Heavy Weapons to Ukraine'!C639)-1,0),0)</f>
        <v>0</v>
      </c>
      <c r="AY629" s="1194">
        <f>VLOOKUP('Bilateral Assistance, MAIN DATA'!B629,'Country Summary (€)'!B:F,COLUMN('Country Summary (€)'!C640)-1,FALSE)</f>
        <v>1</v>
      </c>
      <c r="AZ629" s="1194">
        <f>IF(AND(AD629=1,D629="Military",H629&lt;&gt;"Not given")=TRUE,IF(SUMIFS(P:P,A:A,A629)&gt;0,ABS((SUMIFS(P:P,A:A,A629)/VLOOKUP("USD",'Exchange Rates'!B:C,2,0)))/S629,"."),".")</f>
        <v>3.3952435144530524</v>
      </c>
      <c r="BA629" s="1196">
        <f>IF(AND(AD629=1,D629="Military",H629&lt;&gt;"Not given")=TRUE,IF(SUMIFS(P:P,A:A,A629)&gt;0,IF((ABS((SUMIFS(P:P,A:A,A629)/VLOOKUP("USD",'Exchange Rates'!B:C,2,0)))/S629)&gt;1,(SUMIFS(P:P,A:A,A629)-S629)/S629,(S629-SUMIFS(P:P,A:A,A629))/SUMIFS(P:P,A:A,A629)),"."),".")</f>
        <v>2.6899506515075773</v>
      </c>
    </row>
    <row r="630" spans="1:72" ht="15.95" customHeight="1">
      <c r="A630" s="1180" t="s">
        <v>1884</v>
      </c>
      <c r="B630" s="1182" t="s">
        <v>1711</v>
      </c>
      <c r="C630" s="1181" t="s">
        <v>1797</v>
      </c>
      <c r="D630" s="1182" t="s">
        <v>389</v>
      </c>
      <c r="E630" s="1182" t="s">
        <v>1676</v>
      </c>
      <c r="F630" s="1263" t="s">
        <v>1885</v>
      </c>
      <c r="G630" s="1184" t="s">
        <v>483</v>
      </c>
      <c r="H630" s="1185">
        <v>70000000</v>
      </c>
      <c r="I630" s="1180" t="s">
        <v>364</v>
      </c>
      <c r="J630" s="1186" t="str">
        <f>VLOOKUP($I630,'Price List, Weapons &amp; Items'!B:C,2,0)</f>
        <v>.</v>
      </c>
      <c r="K630" s="1186" t="str">
        <f>IF(I630=".",I630,VLOOKUP($I630,'Price List, Weapons &amp; Items'!B:D,3,0))</f>
        <v>.</v>
      </c>
      <c r="L630" s="1187">
        <f>VLOOKUP(I630,'Price List, Weapons &amp; Items'!B:E,4,0)</f>
        <v>0</v>
      </c>
      <c r="M630" s="1188" t="s">
        <v>364</v>
      </c>
      <c r="N630" s="1188" t="s">
        <v>364</v>
      </c>
      <c r="O630" s="1188" t="str">
        <f>VLOOKUP($I630,'Price List, Weapons &amp; Items'!B:G,6,0)</f>
        <v>.</v>
      </c>
      <c r="P630" s="1185" t="str">
        <f t="shared" si="132"/>
        <v>.</v>
      </c>
      <c r="Q630" s="1185" t="str">
        <f t="shared" si="133"/>
        <v>.</v>
      </c>
      <c r="R630" s="1185">
        <f t="shared" si="129"/>
        <v>70000000</v>
      </c>
      <c r="S630" s="1185">
        <f>IF(AND(AD630=1,R630&lt;&gt;".")=TRUE,R630/VLOOKUP(G630,'Exchange Rates'!B:C,2,0),IF(R630=".",".",""))</f>
        <v>70000000</v>
      </c>
      <c r="T630" s="1185">
        <f>IF(AD630=1,IF(AF630="Value is not given at all",".",IF(AF630="Value is given by the source",S630,IF(AF630="Value is calculated with prices",(IF(SUMIFS(Q:Q,A:A,A630)&gt;0,SUMIFS(Q:Q,A:A,A630),"."))/VLOOKUP("USD",'Exchange Rates'!B:C,2,0),"Error with coding"))),"")</f>
        <v>70000000</v>
      </c>
      <c r="U630" s="1184" t="s">
        <v>365</v>
      </c>
      <c r="V630" s="972" t="s">
        <v>1782</v>
      </c>
      <c r="W630" s="966" t="s">
        <v>1280</v>
      </c>
      <c r="X630" s="1031" t="s">
        <v>364</v>
      </c>
      <c r="Y630" s="1031" t="s">
        <v>364</v>
      </c>
      <c r="Z630" s="1184">
        <v>0</v>
      </c>
      <c r="AA630" s="1194">
        <v>0</v>
      </c>
      <c r="AB630" s="1032" t="s">
        <v>1886</v>
      </c>
      <c r="AC630" s="1192" t="str">
        <f>""</f>
        <v/>
      </c>
      <c r="AD630" s="985">
        <v>1</v>
      </c>
      <c r="AE630" s="1194" t="s">
        <v>368</v>
      </c>
      <c r="AF630" s="985" t="s">
        <v>368</v>
      </c>
      <c r="AG630" s="985">
        <v>1</v>
      </c>
      <c r="AH630" s="985">
        <v>13</v>
      </c>
      <c r="AI630" s="985">
        <v>0</v>
      </c>
      <c r="AJ630" s="1193">
        <f>VLOOKUP($I630,'Price List, Weapons &amp; Items'!B:F,5,0)</f>
        <v>0</v>
      </c>
      <c r="AK630" s="1193">
        <f t="shared" si="134"/>
        <v>0</v>
      </c>
      <c r="AL630" s="1193">
        <f t="shared" si="135"/>
        <v>0</v>
      </c>
      <c r="AM630" s="1193">
        <f t="shared" si="136"/>
        <v>0</v>
      </c>
      <c r="AN630" s="1194" t="str">
        <f>VLOOKUP($I630,'Price List, Weapons &amp; Items'!B:L,COLUMN('Price List, Weapons &amp; Items'!$J$11)-1,0)</f>
        <v>.</v>
      </c>
      <c r="AO630" s="1194" t="str">
        <f>IF(I630=".",".",VLOOKUP($I630,'Price List, Weapons &amp; Items'!B:J,3,0))</f>
        <v>.</v>
      </c>
      <c r="AP630" s="1195" t="str">
        <f t="shared" ca="1" si="130"/>
        <v>.</v>
      </c>
      <c r="AQ630" s="1194">
        <f>VLOOKUP($I630,'Price List, Weapons &amp; Items'!B:L,COLUMN('Price List, Weapons &amp; Items'!$L$11)-1,0)</f>
        <v>0</v>
      </c>
      <c r="AR630" s="1194">
        <f t="shared" si="137"/>
        <v>1</v>
      </c>
      <c r="AS630" s="1194">
        <f t="shared" si="138"/>
        <v>1</v>
      </c>
      <c r="AT630" s="1194" t="str">
        <f t="shared" si="139"/>
        <v>Value is not in date format</v>
      </c>
      <c r="AU630" s="1194" t="str">
        <f t="shared" si="140"/>
        <v>.</v>
      </c>
      <c r="AV630" s="1194" t="str">
        <f t="shared" si="131"/>
        <v>.</v>
      </c>
      <c r="AW630" s="1194" t="str">
        <f t="shared" si="141"/>
        <v>.</v>
      </c>
      <c r="AX630" s="1194">
        <f>IFERROR(VLOOKUP(B630,'Share, Heavy Weapons to Ukraine'!B:Z,COLUMN('Share, Heavy Weapons to Ukraine'!C640)-1,0),0)</f>
        <v>0</v>
      </c>
      <c r="AY630" s="1194">
        <f>VLOOKUP('Bilateral Assistance, MAIN DATA'!B630,'Country Summary (€)'!B:F,COLUMN('Country Summary (€)'!C641)-1,FALSE)</f>
        <v>1</v>
      </c>
      <c r="AZ630" s="1194">
        <f>IF(AND(AD630=1,D630="Military",H630&lt;&gt;"Not given")=TRUE,IF(SUMIFS(P:P,A:A,A630)&gt;0,ABS((SUMIFS(P:P,A:A,A630)/VLOOKUP("USD",'Exchange Rates'!B:C,2,0)))/S630,"."),".")</f>
        <v>25.706843752287398</v>
      </c>
      <c r="BA630" s="1196">
        <f>IF(AND(AD630=1,D630="Military",H630&lt;&gt;"Not given")=TRUE,IF(SUMIFS(P:P,A:A,A630)&gt;0,IF((ABS((SUMIFS(P:P,A:A,A630)/VLOOKUP("USD",'Exchange Rates'!B:C,2,0)))/S630)&gt;1,(SUMIFS(P:P,A:A,A630)-S630)/S630,(S630-SUMIFS(P:P,A:A,A630))/SUMIFS(P:P,A:A,A630)),"."),".")</f>
        <v>26.938197789985942</v>
      </c>
    </row>
    <row r="631" spans="1:72" ht="15.95" customHeight="1">
      <c r="A631" s="1180" t="s">
        <v>1884</v>
      </c>
      <c r="B631" s="1182" t="s">
        <v>1711</v>
      </c>
      <c r="C631" s="1181" t="s">
        <v>1797</v>
      </c>
      <c r="D631" s="1182" t="s">
        <v>389</v>
      </c>
      <c r="E631" s="1182" t="s">
        <v>1676</v>
      </c>
      <c r="F631" s="1263" t="s">
        <v>1885</v>
      </c>
      <c r="G631" s="1184" t="s">
        <v>483</v>
      </c>
      <c r="H631" s="1185">
        <v>600000000</v>
      </c>
      <c r="I631" s="1266" t="s">
        <v>596</v>
      </c>
      <c r="J631" s="1186" t="str">
        <f>VLOOKUP($I631,'Price List, Weapons &amp; Items'!B:C,2,0)</f>
        <v>Military equipment</v>
      </c>
      <c r="K631" s="1186" t="str">
        <f>IF(I631=".",I631,VLOOKUP($I631,'Price List, Weapons &amp; Items'!B:D,3,0))</f>
        <v>Military equipment</v>
      </c>
      <c r="L631" s="1187">
        <f>VLOOKUP(I631,'Price List, Weapons &amp; Items'!B:E,4,0)</f>
        <v>0</v>
      </c>
      <c r="M631" s="1188">
        <v>295</v>
      </c>
      <c r="N631" s="1275">
        <v>295</v>
      </c>
      <c r="O631" s="1188">
        <f>VLOOKUP($I631,'Price List, Weapons &amp; Items'!B:G,6,0)</f>
        <v>22216</v>
      </c>
      <c r="P631" s="1185">
        <f t="shared" si="132"/>
        <v>6553720</v>
      </c>
      <c r="Q631" s="1185">
        <f t="shared" si="133"/>
        <v>6553720</v>
      </c>
      <c r="R631" s="1185" t="str">
        <f t="shared" si="129"/>
        <v/>
      </c>
      <c r="S631" s="1185" t="str">
        <f>IF(AND(AD631=1,R631&lt;&gt;".")=TRUE,R631/VLOOKUP(G631,'Exchange Rates'!B:C,2,0),IF(R631=".",".",""))</f>
        <v/>
      </c>
      <c r="T631" s="1185" t="str">
        <f>IF(AD631=1,IF(AF631="Value is not given at all",".",IF(AF631="Value is given by the source",S631,IF(AF631="Value is calculated with prices",(IF(SUMIFS(Q:Q,A:A,A631)&gt;0,SUMIFS(Q:Q,A:A,A631),"."))/VLOOKUP("USD",'Exchange Rates'!B:C,2,0),"Error with coding"))),"")</f>
        <v/>
      </c>
      <c r="U631" s="1184" t="s">
        <v>365</v>
      </c>
      <c r="V631" s="972" t="s">
        <v>1782</v>
      </c>
      <c r="W631" s="987" t="s">
        <v>1280</v>
      </c>
      <c r="X631" s="1031" t="s">
        <v>364</v>
      </c>
      <c r="Y631" s="1031" t="s">
        <v>364</v>
      </c>
      <c r="Z631" s="1184">
        <v>0</v>
      </c>
      <c r="AA631" s="1194">
        <v>1</v>
      </c>
      <c r="AB631" s="600" t="s">
        <v>1280</v>
      </c>
      <c r="AC631" s="1192" t="str">
        <f>""</f>
        <v/>
      </c>
      <c r="AD631" s="985">
        <v>0</v>
      </c>
      <c r="AE631" s="1194" t="s">
        <v>368</v>
      </c>
      <c r="AF631" s="985" t="s">
        <v>369</v>
      </c>
      <c r="AG631" s="985">
        <v>0</v>
      </c>
      <c r="AH631" s="985">
        <v>0</v>
      </c>
      <c r="AI631" s="985">
        <v>0</v>
      </c>
      <c r="AJ631" s="1193">
        <f>VLOOKUP($I631,'Price List, Weapons &amp; Items'!B:F,5,0)</f>
        <v>0</v>
      </c>
      <c r="AK631" s="1193">
        <f t="shared" si="134"/>
        <v>0</v>
      </c>
      <c r="AL631" s="1193">
        <f t="shared" si="135"/>
        <v>0</v>
      </c>
      <c r="AM631" s="1193">
        <f t="shared" si="136"/>
        <v>0</v>
      </c>
      <c r="AN631" s="1194" t="str">
        <f>VLOOKUP($I631,'Price List, Weapons &amp; Items'!B:L,COLUMN('Price List, Weapons &amp; Items'!$J$11)-1,0)</f>
        <v>Government information</v>
      </c>
      <c r="AO631" s="1194" t="str">
        <f>IF(I631=".",".",VLOOKUP($I631,'Price List, Weapons &amp; Items'!B:J,3,0))</f>
        <v>Military equipment</v>
      </c>
      <c r="AP631" s="1195" t="str">
        <f t="shared" ca="1" si="130"/>
        <v/>
      </c>
      <c r="AQ631" s="1194">
        <f>VLOOKUP($I631,'Price List, Weapons &amp; Items'!B:L,COLUMN('Price List, Weapons &amp; Items'!$L$11)-1,0)</f>
        <v>2</v>
      </c>
      <c r="AR631" s="1194">
        <f t="shared" si="137"/>
        <v>1</v>
      </c>
      <c r="AS631" s="1194">
        <f t="shared" si="138"/>
        <v>1</v>
      </c>
      <c r="AT631" s="1194" t="str">
        <f t="shared" si="139"/>
        <v>Value is not in date format</v>
      </c>
      <c r="AU631" s="1194" t="str">
        <f t="shared" si="140"/>
        <v>.</v>
      </c>
      <c r="AV631" s="1194" t="str">
        <f t="shared" si="131"/>
        <v>.</v>
      </c>
      <c r="AW631" s="1194" t="str">
        <f t="shared" si="141"/>
        <v>.</v>
      </c>
      <c r="AX631" s="1194">
        <f>IFERROR(VLOOKUP(B631,'Share, Heavy Weapons to Ukraine'!B:Z,COLUMN('Share, Heavy Weapons to Ukraine'!C641)-1,0),0)</f>
        <v>0</v>
      </c>
      <c r="AY631" s="1194">
        <f>VLOOKUP('Bilateral Assistance, MAIN DATA'!B631,'Country Summary (€)'!B:F,COLUMN('Country Summary (€)'!C642)-1,FALSE)</f>
        <v>1</v>
      </c>
      <c r="AZ631" s="1194" t="str">
        <f>IF(AND(AD631=1,D631="Military",H631&lt;&gt;"Not given")=TRUE,IF(SUMIFS(P:P,A:A,A631)&gt;0,ABS((SUMIFS(P:P,A:A,A631)/VLOOKUP("USD",'Exchange Rates'!B:C,2,0)))/S631,"."),".")</f>
        <v>.</v>
      </c>
      <c r="BA631" s="1196" t="str">
        <f>IF(AND(AD631=1,D631="Military",H631&lt;&gt;"Not given")=TRUE,IF(SUMIFS(P:P,A:A,A631)&gt;0,IF((ABS((SUMIFS(P:P,A:A,A631)/VLOOKUP("USD",'Exchange Rates'!B:C,2,0)))/S631)&gt;1,(SUMIFS(P:P,A:A,A631)-S631)/S631,(S631-SUMIFS(P:P,A:A,A631))/SUMIFS(P:P,A:A,A631)),"."),".")</f>
        <v>.</v>
      </c>
    </row>
    <row r="632" spans="1:72" ht="15.95" customHeight="1">
      <c r="A632" s="1180" t="s">
        <v>1884</v>
      </c>
      <c r="B632" s="1182" t="s">
        <v>1711</v>
      </c>
      <c r="C632" s="1181" t="s">
        <v>1797</v>
      </c>
      <c r="D632" s="1182" t="s">
        <v>389</v>
      </c>
      <c r="E632" s="1182" t="s">
        <v>1676</v>
      </c>
      <c r="F632" s="1263" t="s">
        <v>1885</v>
      </c>
      <c r="G632" s="1184" t="s">
        <v>483</v>
      </c>
      <c r="H632" s="1185">
        <v>600000000</v>
      </c>
      <c r="I632" s="1266" t="s">
        <v>1887</v>
      </c>
      <c r="J632" s="1186" t="str">
        <f>VLOOKUP($I632,'Price List, Weapons &amp; Items'!B:C,2,0)</f>
        <v>Military equipment</v>
      </c>
      <c r="K632" s="1186" t="str">
        <f>IF(I632=".",I632,VLOOKUP($I632,'Price List, Weapons &amp; Items'!B:D,3,0))</f>
        <v>non combat military vehicle</v>
      </c>
      <c r="L632" s="1187">
        <f>VLOOKUP(I632,'Price List, Weapons &amp; Items'!B:E,4,0)</f>
        <v>0</v>
      </c>
      <c r="M632" s="1188">
        <v>35</v>
      </c>
      <c r="N632" s="1188">
        <v>35</v>
      </c>
      <c r="O632" s="1188">
        <f>VLOOKUP($I632,'Price List, Weapons &amp; Items'!B:G,6,0)</f>
        <v>350000</v>
      </c>
      <c r="P632" s="1185">
        <f t="shared" si="132"/>
        <v>12250000</v>
      </c>
      <c r="Q632" s="1185">
        <f t="shared" si="133"/>
        <v>12250000</v>
      </c>
      <c r="R632" s="1185" t="str">
        <f t="shared" si="129"/>
        <v/>
      </c>
      <c r="S632" s="1185" t="str">
        <f>IF(AND(AD632=1,R632&lt;&gt;".")=TRUE,R632/VLOOKUP(G632,'Exchange Rates'!B:C,2,0),IF(R632=".",".",""))</f>
        <v/>
      </c>
      <c r="T632" s="1185" t="str">
        <f>IF(AD632=1,IF(AF632="Value is not given at all",".",IF(AF632="Value is given by the source",S632,IF(AF632="Value is calculated with prices",(IF(SUMIFS(Q:Q,A:A,A632)&gt;0,SUMIFS(Q:Q,A:A,A632),"."))/VLOOKUP("USD",'Exchange Rates'!B:C,2,0),"Error with coding"))),"")</f>
        <v/>
      </c>
      <c r="U632" s="1184" t="s">
        <v>365</v>
      </c>
      <c r="V632" s="972" t="s">
        <v>1782</v>
      </c>
      <c r="W632" s="966" t="s">
        <v>1280</v>
      </c>
      <c r="X632" s="1031" t="s">
        <v>364</v>
      </c>
      <c r="Y632" s="1031" t="s">
        <v>364</v>
      </c>
      <c r="Z632" s="1184">
        <v>0</v>
      </c>
      <c r="AA632" s="1194">
        <v>0</v>
      </c>
      <c r="AB632" s="600" t="s">
        <v>1280</v>
      </c>
      <c r="AC632" s="1192" t="str">
        <f>""</f>
        <v/>
      </c>
      <c r="AD632" s="985">
        <v>0</v>
      </c>
      <c r="AE632" s="1194" t="s">
        <v>368</v>
      </c>
      <c r="AF632" s="985" t="s">
        <v>369</v>
      </c>
      <c r="AG632" s="985">
        <v>0</v>
      </c>
      <c r="AH632" s="985">
        <v>0</v>
      </c>
      <c r="AI632" s="985">
        <v>0</v>
      </c>
      <c r="AJ632" s="1193">
        <f>VLOOKUP($I632,'Price List, Weapons &amp; Items'!B:F,5,0)</f>
        <v>0</v>
      </c>
      <c r="AK632" s="1193">
        <f t="shared" si="134"/>
        <v>0</v>
      </c>
      <c r="AL632" s="1193">
        <f t="shared" si="135"/>
        <v>0</v>
      </c>
      <c r="AM632" s="1193">
        <f t="shared" si="136"/>
        <v>0</v>
      </c>
      <c r="AN632" s="1194" t="str">
        <f>VLOOKUP($I632,'Price List, Weapons &amp; Items'!B:L,COLUMN('Price List, Weapons &amp; Items'!$J$11)-1,0)</f>
        <v>Media reports (incl. social media)</v>
      </c>
      <c r="AO632" s="1194" t="str">
        <f>IF(I632=".",".",VLOOKUP($I632,'Price List, Weapons &amp; Items'!B:J,3,0))</f>
        <v>non combat military vehicle</v>
      </c>
      <c r="AP632" s="1195" t="str">
        <f t="shared" ca="1" si="130"/>
        <v/>
      </c>
      <c r="AQ632" s="1194">
        <f>VLOOKUP($I632,'Price List, Weapons &amp; Items'!B:L,COLUMN('Price List, Weapons &amp; Items'!$L$11)-1,0)</f>
        <v>2</v>
      </c>
      <c r="AR632" s="1194">
        <f t="shared" si="137"/>
        <v>1</v>
      </c>
      <c r="AS632" s="1194">
        <f t="shared" si="138"/>
        <v>1</v>
      </c>
      <c r="AT632" s="1194" t="str">
        <f t="shared" si="139"/>
        <v>Value is not in date format</v>
      </c>
      <c r="AU632" s="1194" t="str">
        <f t="shared" si="140"/>
        <v>.</v>
      </c>
      <c r="AV632" s="1194" t="str">
        <f t="shared" si="131"/>
        <v>.</v>
      </c>
      <c r="AW632" s="1194" t="str">
        <f t="shared" si="141"/>
        <v>.</v>
      </c>
      <c r="AX632" s="1194">
        <f>IFERROR(VLOOKUP(B632,'Share, Heavy Weapons to Ukraine'!B:Z,COLUMN('Share, Heavy Weapons to Ukraine'!C642)-1,0),0)</f>
        <v>0</v>
      </c>
      <c r="AY632" s="1194">
        <f>VLOOKUP('Bilateral Assistance, MAIN DATA'!B632,'Country Summary (€)'!B:F,COLUMN('Country Summary (€)'!C643)-1,FALSE)</f>
        <v>1</v>
      </c>
      <c r="AZ632" s="1194" t="str">
        <f>IF(AND(AD632=1,D632="Military",H632&lt;&gt;"Not given")=TRUE,IF(SUMIFS(P:P,A:A,A632)&gt;0,ABS((SUMIFS(P:P,A:A,A632)/VLOOKUP("USD",'Exchange Rates'!B:C,2,0)))/S632,"."),".")</f>
        <v>.</v>
      </c>
      <c r="BA632" s="1196" t="str">
        <f>IF(AND(AD632=1,D632="Military",H632&lt;&gt;"Not given")=TRUE,IF(SUMIFS(P:P,A:A,A632)&gt;0,IF((ABS((SUMIFS(P:P,A:A,A632)/VLOOKUP("USD",'Exchange Rates'!B:C,2,0)))/S632)&gt;1,(SUMIFS(P:P,A:A,A632)-S632)/S632,(S632-SUMIFS(P:P,A:A,A632))/SUMIFS(P:P,A:A,A632)),"."),".")</f>
        <v>.</v>
      </c>
    </row>
    <row r="633" spans="1:72" ht="15.95" customHeight="1">
      <c r="A633" s="1180" t="s">
        <v>1884</v>
      </c>
      <c r="B633" s="1182" t="s">
        <v>1711</v>
      </c>
      <c r="C633" s="1181" t="s">
        <v>1797</v>
      </c>
      <c r="D633" s="1182" t="s">
        <v>389</v>
      </c>
      <c r="E633" s="1182" t="s">
        <v>1676</v>
      </c>
      <c r="F633" s="1263" t="s">
        <v>1885</v>
      </c>
      <c r="G633" s="1184" t="s">
        <v>483</v>
      </c>
      <c r="H633" s="1185">
        <v>600000000</v>
      </c>
      <c r="I633" s="1180" t="s">
        <v>1888</v>
      </c>
      <c r="J633" s="1186" t="str">
        <f>VLOOKUP($I633,'Price List, Weapons &amp; Items'!B:C,2,0)</f>
        <v>Military equipment</v>
      </c>
      <c r="K633" s="1186" t="str">
        <f>IF(I633=".",I633,VLOOKUP($I633,'Price List, Weapons &amp; Items'!B:D,3,0))</f>
        <v>Military equipment</v>
      </c>
      <c r="L633" s="1187">
        <f>VLOOKUP(I633,'Price List, Weapons &amp; Items'!B:E,4,0)</f>
        <v>0</v>
      </c>
      <c r="M633" s="1188">
        <v>36400</v>
      </c>
      <c r="N633" s="1188">
        <v>36400</v>
      </c>
      <c r="O633" s="1188">
        <f>VLOOKUP($I633,'Price List, Weapons &amp; Items'!B:G,6,0)</f>
        <v>85</v>
      </c>
      <c r="P633" s="1185">
        <f t="shared" si="132"/>
        <v>3094000</v>
      </c>
      <c r="Q633" s="1185">
        <f t="shared" si="133"/>
        <v>3094000</v>
      </c>
      <c r="R633" s="1185" t="str">
        <f t="shared" si="129"/>
        <v/>
      </c>
      <c r="S633" s="1185" t="str">
        <f>IF(AND(AD633=1,R633&lt;&gt;".")=TRUE,R633/VLOOKUP(G633,'Exchange Rates'!B:C,2,0),IF(R633=".",".",""))</f>
        <v/>
      </c>
      <c r="T633" s="1185" t="str">
        <f>IF(AD633=1,IF(AF633="Value is not given at all",".",IF(AF633="Value is given by the source",S633,IF(AF633="Value is calculated with prices",(IF(SUMIFS(Q:Q,A:A,A633)&gt;0,SUMIFS(Q:Q,A:A,A633),"."))/VLOOKUP("USD",'Exchange Rates'!B:C,2,0),"Error with coding"))),"")</f>
        <v/>
      </c>
      <c r="U633" s="1184" t="s">
        <v>365</v>
      </c>
      <c r="V633" s="972" t="s">
        <v>1782</v>
      </c>
      <c r="W633" s="987" t="s">
        <v>1280</v>
      </c>
      <c r="X633" s="1031" t="s">
        <v>364</v>
      </c>
      <c r="Y633" s="1031" t="s">
        <v>364</v>
      </c>
      <c r="Z633" s="1184">
        <v>0</v>
      </c>
      <c r="AA633" s="1194">
        <v>0</v>
      </c>
      <c r="AB633" s="600" t="s">
        <v>1280</v>
      </c>
      <c r="AC633" s="1192" t="str">
        <f>""</f>
        <v/>
      </c>
      <c r="AD633" s="985">
        <v>0</v>
      </c>
      <c r="AE633" s="1194" t="s">
        <v>368</v>
      </c>
      <c r="AF633" s="985" t="s">
        <v>369</v>
      </c>
      <c r="AG633" s="1194">
        <v>0</v>
      </c>
      <c r="AH633" s="1194">
        <v>0</v>
      </c>
      <c r="AI633" s="985">
        <v>0</v>
      </c>
      <c r="AJ633" s="1193">
        <f>VLOOKUP($I633,'Price List, Weapons &amp; Items'!B:F,5,0)</f>
        <v>0</v>
      </c>
      <c r="AK633" s="1193">
        <f t="shared" si="134"/>
        <v>0</v>
      </c>
      <c r="AL633" s="1193">
        <f t="shared" si="135"/>
        <v>0</v>
      </c>
      <c r="AM633" s="1193">
        <f t="shared" si="136"/>
        <v>0</v>
      </c>
      <c r="AN633" s="1194" t="str">
        <f>VLOOKUP($I633,'Price List, Weapons &amp; Items'!B:L,COLUMN('Price List, Weapons &amp; Items'!$J$11)-1,0)</f>
        <v>Online marketplaces and stores</v>
      </c>
      <c r="AO633" s="1194" t="str">
        <f>IF(I633=".",".",VLOOKUP($I633,'Price List, Weapons &amp; Items'!B:J,3,0))</f>
        <v>Military equipment</v>
      </c>
      <c r="AP633" s="1195" t="str">
        <f t="shared" ca="1" si="130"/>
        <v/>
      </c>
      <c r="AQ633" s="1194">
        <f>VLOOKUP($I633,'Price List, Weapons &amp; Items'!B:L,COLUMN('Price List, Weapons &amp; Items'!$L$11)-1,0)</f>
        <v>2</v>
      </c>
      <c r="AR633" s="1194">
        <f t="shared" si="137"/>
        <v>1</v>
      </c>
      <c r="AS633" s="1194">
        <f t="shared" si="138"/>
        <v>1</v>
      </c>
      <c r="AT633" s="1194" t="str">
        <f t="shared" si="139"/>
        <v>Value is not in date format</v>
      </c>
      <c r="AU633" s="1194" t="str">
        <f t="shared" si="140"/>
        <v>.</v>
      </c>
      <c r="AV633" s="1194" t="str">
        <f t="shared" si="131"/>
        <v>.</v>
      </c>
      <c r="AW633" s="1194" t="str">
        <f t="shared" si="141"/>
        <v>.</v>
      </c>
      <c r="AX633" s="1194">
        <f>IFERROR(VLOOKUP(B633,'Share, Heavy Weapons to Ukraine'!B:Z,COLUMN('Share, Heavy Weapons to Ukraine'!C643)-1,0),0)</f>
        <v>0</v>
      </c>
      <c r="AY633" s="1194">
        <f>VLOOKUP('Bilateral Assistance, MAIN DATA'!B633,'Country Summary (€)'!B:F,COLUMN('Country Summary (€)'!C644)-1,FALSE)</f>
        <v>1</v>
      </c>
      <c r="AZ633" s="1194" t="str">
        <f>IF(AND(AD633=1,D633="Military",H633&lt;&gt;"Not given")=TRUE,IF(SUMIFS(P:P,A:A,A633)&gt;0,ABS((SUMIFS(P:P,A:A,A633)/VLOOKUP("USD",'Exchange Rates'!B:C,2,0)))/S633,"."),".")</f>
        <v>.</v>
      </c>
      <c r="BA633" s="1196" t="str">
        <f>IF(AND(AD633=1,D633="Military",H633&lt;&gt;"Not given")=TRUE,IF(SUMIFS(P:P,A:A,A633)&gt;0,IF((ABS((SUMIFS(P:P,A:A,A633)/VLOOKUP("USD",'Exchange Rates'!B:C,2,0)))/S633)&gt;1,(SUMIFS(P:P,A:A,A633)-S633)/S633,(S633-SUMIFS(P:P,A:A,A633))/SUMIFS(P:P,A:A,A633)),"."),".")</f>
        <v>.</v>
      </c>
    </row>
    <row r="634" spans="1:72" ht="15.95" customHeight="1">
      <c r="A634" s="1180" t="s">
        <v>1884</v>
      </c>
      <c r="B634" s="1182" t="s">
        <v>1711</v>
      </c>
      <c r="C634" s="1181" t="s">
        <v>1797</v>
      </c>
      <c r="D634" s="1182" t="s">
        <v>389</v>
      </c>
      <c r="E634" s="1182" t="s">
        <v>1676</v>
      </c>
      <c r="F634" s="1263" t="s">
        <v>1885</v>
      </c>
      <c r="G634" s="1184" t="s">
        <v>483</v>
      </c>
      <c r="H634" s="1185">
        <v>600000000</v>
      </c>
      <c r="I634" s="1266" t="s">
        <v>856</v>
      </c>
      <c r="J634" s="1186" t="str">
        <f>VLOOKUP($I634,'Price List, Weapons &amp; Items'!B:C,2,0)</f>
        <v>Ammunition for heavy weapon</v>
      </c>
      <c r="K634" s="1186" t="str">
        <f>IF(I634=".",I634,VLOOKUP($I634,'Price List, Weapons &amp; Items'!B:D,3,0))</f>
        <v>155mm howitzer ammunition</v>
      </c>
      <c r="L634" s="1187">
        <f>VLOOKUP(I634,'Price List, Weapons &amp; Items'!B:E,4,0)</f>
        <v>0</v>
      </c>
      <c r="M634" s="1188">
        <v>23500</v>
      </c>
      <c r="N634" s="1275">
        <v>23500</v>
      </c>
      <c r="O634" s="1188">
        <f>VLOOKUP($I634,'Price List, Weapons &amp; Items'!B:G,6,0)</f>
        <v>3800</v>
      </c>
      <c r="P634" s="1185">
        <f t="shared" si="132"/>
        <v>89300000</v>
      </c>
      <c r="Q634" s="1185">
        <f t="shared" si="133"/>
        <v>89300000</v>
      </c>
      <c r="R634" s="1185" t="str">
        <f t="shared" si="129"/>
        <v/>
      </c>
      <c r="S634" s="1185" t="str">
        <f>IF(AND(AD634=1,R634&lt;&gt;".")=TRUE,R634/VLOOKUP(G634,'Exchange Rates'!B:C,2,0),IF(R634=".",".",""))</f>
        <v/>
      </c>
      <c r="T634" s="1185" t="str">
        <f>IF(AD634=1,IF(AF634="Value is not given at all",".",IF(AF634="Value is given by the source",S634,IF(AF634="Value is calculated with prices",(IF(SUMIFS(Q:Q,A:A,A634)&gt;0,SUMIFS(Q:Q,A:A,A634),"."))/VLOOKUP("USD",'Exchange Rates'!B:C,2,0),"Error with coding"))),"")</f>
        <v/>
      </c>
      <c r="U634" s="1184" t="s">
        <v>365</v>
      </c>
      <c r="V634" s="972" t="s">
        <v>1782</v>
      </c>
      <c r="W634" s="966" t="s">
        <v>1280</v>
      </c>
      <c r="X634" s="1031" t="s">
        <v>364</v>
      </c>
      <c r="Y634" s="1031" t="s">
        <v>364</v>
      </c>
      <c r="Z634" s="1184">
        <v>0</v>
      </c>
      <c r="AA634" s="1194">
        <v>1</v>
      </c>
      <c r="AB634" s="600" t="s">
        <v>1280</v>
      </c>
      <c r="AC634" s="1192" t="str">
        <f>""</f>
        <v/>
      </c>
      <c r="AD634" s="985">
        <v>0</v>
      </c>
      <c r="AE634" s="1194" t="s">
        <v>368</v>
      </c>
      <c r="AF634" s="985" t="s">
        <v>369</v>
      </c>
      <c r="AG634" s="1194">
        <v>0</v>
      </c>
      <c r="AH634" s="1194">
        <v>0</v>
      </c>
      <c r="AI634" s="1194">
        <v>0</v>
      </c>
      <c r="AJ634" s="1193">
        <f>VLOOKUP($I634,'Price List, Weapons &amp; Items'!B:F,5,0)</f>
        <v>1</v>
      </c>
      <c r="AK634" s="1193">
        <f t="shared" si="134"/>
        <v>0</v>
      </c>
      <c r="AL634" s="1193">
        <f t="shared" si="135"/>
        <v>0</v>
      </c>
      <c r="AM634" s="1193">
        <f t="shared" si="136"/>
        <v>0</v>
      </c>
      <c r="AN634" s="1194" t="str">
        <f>VLOOKUP($I634,'Price List, Weapons &amp; Items'!B:L,COLUMN('Price List, Weapons &amp; Items'!$J$11)-1,0)</f>
        <v>Government information</v>
      </c>
      <c r="AO634" s="1194" t="str">
        <f>IF(I634=".",".",VLOOKUP($I634,'Price List, Weapons &amp; Items'!B:J,3,0))</f>
        <v>155mm howitzer ammunition</v>
      </c>
      <c r="AP634" s="1195" t="str">
        <f t="shared" ca="1" si="130"/>
        <v/>
      </c>
      <c r="AQ634" s="1194">
        <f>VLOOKUP($I634,'Price List, Weapons &amp; Items'!B:L,COLUMN('Price List, Weapons &amp; Items'!$L$11)-1,0)</f>
        <v>2</v>
      </c>
      <c r="AR634" s="1194">
        <f t="shared" si="137"/>
        <v>1</v>
      </c>
      <c r="AS634" s="1194">
        <f t="shared" si="138"/>
        <v>1</v>
      </c>
      <c r="AT634" s="1194" t="str">
        <f t="shared" si="139"/>
        <v>Value is not in date format</v>
      </c>
      <c r="AU634" s="1194" t="str">
        <f t="shared" si="140"/>
        <v>.</v>
      </c>
      <c r="AV634" s="1194" t="str">
        <f t="shared" si="131"/>
        <v>.</v>
      </c>
      <c r="AW634" s="1194" t="str">
        <f t="shared" si="141"/>
        <v>.</v>
      </c>
      <c r="AX634" s="1194">
        <f>IFERROR(VLOOKUP(B634,'Share, Heavy Weapons to Ukraine'!B:Z,COLUMN('Share, Heavy Weapons to Ukraine'!C644)-1,0),0)</f>
        <v>0</v>
      </c>
      <c r="AY634" s="1194">
        <f>VLOOKUP('Bilateral Assistance, MAIN DATA'!B634,'Country Summary (€)'!B:F,COLUMN('Country Summary (€)'!C645)-1,FALSE)</f>
        <v>1</v>
      </c>
      <c r="AZ634" s="1194" t="str">
        <f>IF(AND(AD634=1,D634="Military",H634&lt;&gt;"Not given")=TRUE,IF(SUMIFS(P:P,A:A,A634)&gt;0,ABS((SUMIFS(P:P,A:A,A634)/VLOOKUP("USD",'Exchange Rates'!B:C,2,0)))/S634,"."),".")</f>
        <v>.</v>
      </c>
      <c r="BA634" s="1196" t="str">
        <f>IF(AND(AD634=1,D634="Military",H634&lt;&gt;"Not given")=TRUE,IF(SUMIFS(P:P,A:A,A634)&gt;0,IF((ABS((SUMIFS(P:P,A:A,A634)/VLOOKUP("USD",'Exchange Rates'!B:C,2,0)))/S634)&gt;1,(SUMIFS(P:P,A:A,A634)-S634)/S634,(S634-SUMIFS(P:P,A:A,A634))/SUMIFS(P:P,A:A,A634)),"."),".")</f>
        <v>.</v>
      </c>
    </row>
    <row r="635" spans="1:72" ht="15.95" customHeight="1">
      <c r="A635" s="1180" t="s">
        <v>1884</v>
      </c>
      <c r="B635" s="1182" t="s">
        <v>1711</v>
      </c>
      <c r="C635" s="1181" t="s">
        <v>1797</v>
      </c>
      <c r="D635" s="1182" t="s">
        <v>389</v>
      </c>
      <c r="E635" s="1182" t="s">
        <v>1676</v>
      </c>
      <c r="F635" s="1263" t="s">
        <v>1885</v>
      </c>
      <c r="G635" s="1184" t="s">
        <v>483</v>
      </c>
      <c r="H635" s="1185">
        <v>600000000</v>
      </c>
      <c r="I635" s="1266" t="s">
        <v>1889</v>
      </c>
      <c r="J635" s="1186" t="str">
        <f>VLOOKUP($I635,'Price List, Weapons &amp; Items'!B:C,2,0)</f>
        <v>Heavy weapon</v>
      </c>
      <c r="K635" s="1186" t="str">
        <f>IF(I635=".",I635,VLOOKUP($I635,'Price List, Weapons &amp; Items'!B:D,3,0))</f>
        <v>Armored Utility Vehicle (AUV)</v>
      </c>
      <c r="L635" s="1187">
        <f>VLOOKUP(I635,'Price List, Weapons &amp; Items'!B:E,4,0)</f>
        <v>0</v>
      </c>
      <c r="M635" s="1188">
        <v>50</v>
      </c>
      <c r="N635" s="1188">
        <v>50</v>
      </c>
      <c r="O635" s="1188">
        <f>VLOOKUP($I635,'Price List, Weapons &amp; Items'!B:G,6,0)</f>
        <v>500000</v>
      </c>
      <c r="P635" s="1185">
        <f t="shared" si="132"/>
        <v>25000000</v>
      </c>
      <c r="Q635" s="1185">
        <f t="shared" si="133"/>
        <v>25000000</v>
      </c>
      <c r="R635" s="1185" t="str">
        <f t="shared" si="129"/>
        <v/>
      </c>
      <c r="S635" s="1185" t="str">
        <f>IF(AND(AD635=1,R635&lt;&gt;".")=TRUE,R635/VLOOKUP(G635,'Exchange Rates'!B:C,2,0),IF(R635=".",".",""))</f>
        <v/>
      </c>
      <c r="T635" s="1185" t="str">
        <f>IF(AD635=1,IF(AF635="Value is not given at all",".",IF(AF635="Value is given by the source",S635,IF(AF635="Value is calculated with prices",(IF(SUMIFS(Q:Q,A:A,A635)&gt;0,SUMIFS(Q:Q,A:A,A635),"."))/VLOOKUP("USD",'Exchange Rates'!B:C,2,0),"Error with coding"))),"")</f>
        <v/>
      </c>
      <c r="U635" s="1184" t="s">
        <v>365</v>
      </c>
      <c r="V635" s="972" t="s">
        <v>1782</v>
      </c>
      <c r="W635" s="966" t="s">
        <v>1280</v>
      </c>
      <c r="X635" s="1031" t="s">
        <v>364</v>
      </c>
      <c r="Y635" s="1031" t="s">
        <v>364</v>
      </c>
      <c r="Z635" s="1184">
        <v>0</v>
      </c>
      <c r="AA635" s="1194">
        <v>0</v>
      </c>
      <c r="AB635" s="600" t="s">
        <v>1280</v>
      </c>
      <c r="AC635" s="1192" t="str">
        <f>""</f>
        <v/>
      </c>
      <c r="AD635" s="985">
        <v>0</v>
      </c>
      <c r="AE635" s="1194" t="s">
        <v>368</v>
      </c>
      <c r="AF635" s="985" t="s">
        <v>369</v>
      </c>
      <c r="AG635" s="985">
        <v>1</v>
      </c>
      <c r="AH635" s="985">
        <v>9</v>
      </c>
      <c r="AI635" s="985">
        <v>0</v>
      </c>
      <c r="AJ635" s="1193">
        <f>VLOOKUP($I635,'Price List, Weapons &amp; Items'!B:F,5,0)</f>
        <v>1</v>
      </c>
      <c r="AK635" s="1193">
        <f t="shared" si="134"/>
        <v>0</v>
      </c>
      <c r="AL635" s="1193">
        <f t="shared" si="135"/>
        <v>0</v>
      </c>
      <c r="AM635" s="1193">
        <f t="shared" si="136"/>
        <v>0</v>
      </c>
      <c r="AN635" s="1194" t="str">
        <f>VLOOKUP($I635,'Price List, Weapons &amp; Items'!B:L,COLUMN('Price List, Weapons &amp; Items'!$J$11)-1,0)</f>
        <v>Military media (incl. websites)</v>
      </c>
      <c r="AO635" s="1194" t="str">
        <f>IF(I635=".",".",VLOOKUP($I635,'Price List, Weapons &amp; Items'!B:J,3,0))</f>
        <v>Armored Utility Vehicle (AUV)</v>
      </c>
      <c r="AP635" s="1195" t="str">
        <f t="shared" ca="1" si="130"/>
        <v/>
      </c>
      <c r="AQ635" s="1194">
        <f>VLOOKUP($I635,'Price List, Weapons &amp; Items'!B:L,COLUMN('Price List, Weapons &amp; Items'!$L$11)-1,0)</f>
        <v>2</v>
      </c>
      <c r="AR635" s="1194">
        <f t="shared" si="137"/>
        <v>1</v>
      </c>
      <c r="AS635" s="1194">
        <f t="shared" si="138"/>
        <v>1</v>
      </c>
      <c r="AT635" s="1194" t="str">
        <f t="shared" si="139"/>
        <v>Value is not in date format</v>
      </c>
      <c r="AU635" s="1194" t="str">
        <f t="shared" si="140"/>
        <v>.</v>
      </c>
      <c r="AV635" s="1194" t="str">
        <f t="shared" si="131"/>
        <v>.</v>
      </c>
      <c r="AW635" s="1194" t="str">
        <f t="shared" si="141"/>
        <v>.</v>
      </c>
      <c r="AX635" s="1194">
        <f>IFERROR(VLOOKUP(B635,'Share, Heavy Weapons to Ukraine'!B:Z,COLUMN('Share, Heavy Weapons to Ukraine'!C645)-1,0),0)</f>
        <v>0</v>
      </c>
      <c r="AY635" s="1194">
        <f>VLOOKUP('Bilateral Assistance, MAIN DATA'!B635,'Country Summary (€)'!B:F,COLUMN('Country Summary (€)'!C646)-1,FALSE)</f>
        <v>1</v>
      </c>
      <c r="AZ635" s="1194" t="str">
        <f>IF(AND(AD635=1,D635="Military",H635&lt;&gt;"Not given")=TRUE,IF(SUMIFS(P:P,A:A,A635)&gt;0,ABS((SUMIFS(P:P,A:A,A635)/VLOOKUP("USD",'Exchange Rates'!B:C,2,0)))/S635,"."),".")</f>
        <v>.</v>
      </c>
      <c r="BA635" s="1196" t="str">
        <f>IF(AND(AD635=1,D635="Military",H635&lt;&gt;"Not given")=TRUE,IF(SUMIFS(P:P,A:A,A635)&gt;0,IF((ABS((SUMIFS(P:P,A:A,A635)/VLOOKUP("USD",'Exchange Rates'!B:C,2,0)))/S635)&gt;1,(SUMIFS(P:P,A:A,A635)-S635)/S635,(S635-SUMIFS(P:P,A:A,A635))/SUMIFS(P:P,A:A,A635)),"."),".")</f>
        <v>.</v>
      </c>
    </row>
    <row r="636" spans="1:72" ht="15.95" customHeight="1">
      <c r="A636" s="1180" t="s">
        <v>1884</v>
      </c>
      <c r="B636" s="1182" t="s">
        <v>1711</v>
      </c>
      <c r="C636" s="1181" t="s">
        <v>1797</v>
      </c>
      <c r="D636" s="1182" t="s">
        <v>389</v>
      </c>
      <c r="E636" s="1182" t="s">
        <v>1676</v>
      </c>
      <c r="F636" s="1263" t="s">
        <v>1885</v>
      </c>
      <c r="G636" s="1184" t="s">
        <v>483</v>
      </c>
      <c r="H636" s="1185">
        <v>600000000</v>
      </c>
      <c r="I636" s="1266" t="s">
        <v>471</v>
      </c>
      <c r="J636" s="1186" t="str">
        <f>VLOOKUP($I636,'Price List, Weapons &amp; Items'!B:C,2,0)</f>
        <v>Humanitarian</v>
      </c>
      <c r="K636" s="1186" t="str">
        <f>IF(I636=".",I636,VLOOKUP($I636,'Price List, Weapons &amp; Items'!B:D,3,0))</f>
        <v>Humanitarian</v>
      </c>
      <c r="L636" s="1187">
        <f>VLOOKUP(I636,'Price List, Weapons &amp; Items'!B:E,4,0)</f>
        <v>0</v>
      </c>
      <c r="M636" s="1188">
        <v>14000</v>
      </c>
      <c r="N636" s="1188">
        <v>14000</v>
      </c>
      <c r="O636" s="1188">
        <f>VLOOKUP($I636,'Price List, Weapons &amp; Items'!B:G,6,0)</f>
        <v>150</v>
      </c>
      <c r="P636" s="1185">
        <f t="shared" si="132"/>
        <v>2100000</v>
      </c>
      <c r="Q636" s="1185">
        <f t="shared" si="133"/>
        <v>2100000</v>
      </c>
      <c r="R636" s="1185" t="str">
        <f t="shared" si="129"/>
        <v/>
      </c>
      <c r="S636" s="1185" t="str">
        <f>IF(AND(AD636=1,R636&lt;&gt;".")=TRUE,R636/VLOOKUP(G636,'Exchange Rates'!B:C,2,0),IF(R636=".",".",""))</f>
        <v/>
      </c>
      <c r="T636" s="1185" t="str">
        <f>IF(AD636=1,IF(AF636="Value is not given at all",".",IF(AF636="Value is given by the source",S636,IF(AF636="Value is calculated with prices",(IF(SUMIFS(Q:Q,A:A,A636)&gt;0,SUMIFS(Q:Q,A:A,A636),"."))/VLOOKUP("USD",'Exchange Rates'!B:C,2,0),"Error with coding"))),"")</f>
        <v/>
      </c>
      <c r="U636" s="1184" t="s">
        <v>365</v>
      </c>
      <c r="V636" s="972" t="s">
        <v>1782</v>
      </c>
      <c r="W636" s="987" t="s">
        <v>1280</v>
      </c>
      <c r="X636" s="1031" t="s">
        <v>364</v>
      </c>
      <c r="Y636" s="1031" t="s">
        <v>364</v>
      </c>
      <c r="Z636" s="1184">
        <v>0</v>
      </c>
      <c r="AA636" s="1194">
        <v>0</v>
      </c>
      <c r="AB636" s="600" t="s">
        <v>1280</v>
      </c>
      <c r="AC636" s="1192" t="str">
        <f>""</f>
        <v/>
      </c>
      <c r="AD636" s="985">
        <v>0</v>
      </c>
      <c r="AE636" s="1194" t="s">
        <v>368</v>
      </c>
      <c r="AF636" s="985" t="s">
        <v>369</v>
      </c>
      <c r="AG636" s="985">
        <v>0</v>
      </c>
      <c r="AH636" s="985">
        <v>0</v>
      </c>
      <c r="AI636" s="985">
        <v>0</v>
      </c>
      <c r="AJ636" s="1193">
        <f>VLOOKUP($I636,'Price List, Weapons &amp; Items'!B:F,5,0)</f>
        <v>0</v>
      </c>
      <c r="AK636" s="1193">
        <f t="shared" si="134"/>
        <v>0</v>
      </c>
      <c r="AL636" s="1193">
        <f t="shared" si="135"/>
        <v>0</v>
      </c>
      <c r="AM636" s="1193">
        <f t="shared" si="136"/>
        <v>0</v>
      </c>
      <c r="AN636" s="1194" t="str">
        <f>VLOOKUP($I636,'Price List, Weapons &amp; Items'!B:L,COLUMN('Price List, Weapons &amp; Items'!$J$11)-1,0)</f>
        <v>Miscellaneous</v>
      </c>
      <c r="AO636" s="1194" t="str">
        <f>IF(I636=".",".",VLOOKUP($I636,'Price List, Weapons &amp; Items'!B:J,3,0))</f>
        <v>Humanitarian</v>
      </c>
      <c r="AP636" s="1195" t="str">
        <f t="shared" ca="1" si="130"/>
        <v/>
      </c>
      <c r="AQ636" s="1194">
        <f>VLOOKUP($I636,'Price List, Weapons &amp; Items'!B:L,COLUMN('Price List, Weapons &amp; Items'!$L$11)-1,0)</f>
        <v>0</v>
      </c>
      <c r="AR636" s="1194">
        <f t="shared" si="137"/>
        <v>1</v>
      </c>
      <c r="AS636" s="1194">
        <f t="shared" si="138"/>
        <v>1</v>
      </c>
      <c r="AT636" s="1194" t="str">
        <f t="shared" si="139"/>
        <v>Value is not in date format</v>
      </c>
      <c r="AU636" s="1194" t="str">
        <f t="shared" si="140"/>
        <v>.</v>
      </c>
      <c r="AV636" s="1194" t="str">
        <f t="shared" si="131"/>
        <v>.</v>
      </c>
      <c r="AW636" s="1194" t="str">
        <f t="shared" si="141"/>
        <v>.</v>
      </c>
      <c r="AX636" s="1194">
        <f>IFERROR(VLOOKUP(B636,'Share, Heavy Weapons to Ukraine'!B:Z,COLUMN('Share, Heavy Weapons to Ukraine'!C646)-1,0),0)</f>
        <v>0</v>
      </c>
      <c r="AY636" s="1194">
        <f>VLOOKUP('Bilateral Assistance, MAIN DATA'!B636,'Country Summary (€)'!B:F,COLUMN('Country Summary (€)'!C647)-1,FALSE)</f>
        <v>1</v>
      </c>
      <c r="AZ636" s="1194" t="str">
        <f>IF(AND(AD636=1,D636="Military",H636&lt;&gt;"Not given")=TRUE,IF(SUMIFS(P:P,A:A,A636)&gt;0,ABS((SUMIFS(P:P,A:A,A636)/VLOOKUP("USD",'Exchange Rates'!B:C,2,0)))/S636,"."),".")</f>
        <v>.</v>
      </c>
      <c r="BA636" s="1196" t="str">
        <f>IF(AND(AD636=1,D636="Military",H636&lt;&gt;"Not given")=TRUE,IF(SUMIFS(P:P,A:A,A636)&gt;0,IF((ABS((SUMIFS(P:P,A:A,A636)/VLOOKUP("USD",'Exchange Rates'!B:C,2,0)))/S636)&gt;1,(SUMIFS(P:P,A:A,A636)-S636)/S636,(S636-SUMIFS(P:P,A:A,A636))/SUMIFS(P:P,A:A,A636)),"."),".")</f>
        <v>.</v>
      </c>
    </row>
    <row r="637" spans="1:72" ht="15.95" customHeight="1">
      <c r="A637" s="1180" t="s">
        <v>1884</v>
      </c>
      <c r="B637" s="1182" t="s">
        <v>1711</v>
      </c>
      <c r="C637" s="1181" t="s">
        <v>1797</v>
      </c>
      <c r="D637" s="1182" t="s">
        <v>389</v>
      </c>
      <c r="E637" s="1182" t="s">
        <v>1676</v>
      </c>
      <c r="F637" s="1263" t="s">
        <v>1885</v>
      </c>
      <c r="G637" s="1184" t="s">
        <v>483</v>
      </c>
      <c r="H637" s="1185">
        <v>600000000</v>
      </c>
      <c r="I637" s="1266" t="s">
        <v>1890</v>
      </c>
      <c r="J637" s="1186" t="str">
        <f>VLOOKUP($I637,'Price List, Weapons &amp; Items'!B:C,2,0)</f>
        <v>Ammunition for heavy weapon</v>
      </c>
      <c r="K637" s="1186" t="str">
        <f>IF(I637=".",I637,VLOOKUP($I637,'Price List, Weapons &amp; Items'!B:D,3,0))</f>
        <v>127mm MLRS ammunition</v>
      </c>
      <c r="L637" s="1187">
        <f>VLOOKUP(I637,'Price List, Weapons &amp; Items'!B:E,4,0)</f>
        <v>0</v>
      </c>
      <c r="M637" s="1188" t="s">
        <v>374</v>
      </c>
      <c r="N637" s="1188" t="s">
        <v>374</v>
      </c>
      <c r="O637" s="1188">
        <f>VLOOKUP($I637,'Price List, Weapons &amp; Items'!B:G,6,0)</f>
        <v>625000</v>
      </c>
      <c r="P637" s="1185" t="str">
        <f t="shared" si="132"/>
        <v>.</v>
      </c>
      <c r="Q637" s="1185" t="str">
        <f t="shared" si="133"/>
        <v>.</v>
      </c>
      <c r="R637" s="1185" t="str">
        <f t="shared" si="129"/>
        <v/>
      </c>
      <c r="S637" s="1185" t="str">
        <f>IF(AND(AD637=1,R637&lt;&gt;".")=TRUE,R637/VLOOKUP(G637,'Exchange Rates'!B:C,2,0),IF(R637=".",".",""))</f>
        <v/>
      </c>
      <c r="T637" s="1185" t="str">
        <f>IF(AD637=1,IF(AF637="Value is not given at all",".",IF(AF637="Value is given by the source",S637,IF(AF637="Value is calculated with prices",(IF(SUMIFS(Q:Q,A:A,A637)&gt;0,SUMIFS(Q:Q,A:A,A637),"."))/VLOOKUP("USD",'Exchange Rates'!B:C,2,0),"Error with coding"))),"")</f>
        <v/>
      </c>
      <c r="U637" s="1184" t="s">
        <v>365</v>
      </c>
      <c r="V637" s="972" t="s">
        <v>1782</v>
      </c>
      <c r="W637" s="966" t="s">
        <v>1280</v>
      </c>
      <c r="X637" s="1031" t="s">
        <v>364</v>
      </c>
      <c r="Y637" s="1031" t="s">
        <v>364</v>
      </c>
      <c r="Z637" s="1184">
        <v>0</v>
      </c>
      <c r="AA637" s="1194">
        <v>0</v>
      </c>
      <c r="AB637" s="600" t="s">
        <v>1280</v>
      </c>
      <c r="AC637" s="1192" t="str">
        <f>""</f>
        <v/>
      </c>
      <c r="AD637" s="985">
        <v>0</v>
      </c>
      <c r="AE637" s="1194" t="s">
        <v>368</v>
      </c>
      <c r="AF637" s="1193" t="s">
        <v>368</v>
      </c>
      <c r="AG637" s="985">
        <v>1</v>
      </c>
      <c r="AH637" s="1193">
        <v>4</v>
      </c>
      <c r="AI637" s="1193">
        <v>0</v>
      </c>
      <c r="AJ637" s="1193">
        <f>VLOOKUP($I637,'Price List, Weapons &amp; Items'!B:F,5,0)</f>
        <v>1</v>
      </c>
      <c r="AK637" s="1193">
        <f t="shared" si="134"/>
        <v>1</v>
      </c>
      <c r="AL637" s="1193">
        <f t="shared" si="135"/>
        <v>1</v>
      </c>
      <c r="AM637" s="1193">
        <f t="shared" si="136"/>
        <v>1</v>
      </c>
      <c r="AN637" s="1194" t="str">
        <f>VLOOKUP($I637,'Price List, Weapons &amp; Items'!B:L,COLUMN('Price List, Weapons &amp; Items'!$J$11)-1,0)</f>
        <v>Government information</v>
      </c>
      <c r="AO637" s="1194" t="str">
        <f>IF(I637=".",".",VLOOKUP($I637,'Price List, Weapons &amp; Items'!B:J,3,0))</f>
        <v>127mm MLRS ammunition</v>
      </c>
      <c r="AP637" s="1195" t="str">
        <f t="shared" ca="1" si="130"/>
        <v/>
      </c>
      <c r="AQ637" s="1194" t="str">
        <f>VLOOKUP($I637,'Price List, Weapons &amp; Items'!B:L,COLUMN('Price List, Weapons &amp; Items'!$L$11)-1,0)</f>
        <v>no price, 0 count</v>
      </c>
      <c r="AR637" s="1194">
        <f t="shared" si="137"/>
        <v>1</v>
      </c>
      <c r="AS637" s="1194">
        <f t="shared" si="138"/>
        <v>1</v>
      </c>
      <c r="AT637" s="1194" t="str">
        <f t="shared" si="139"/>
        <v>Value is not in date format</v>
      </c>
      <c r="AU637" s="1194" t="str">
        <f t="shared" si="140"/>
        <v>.</v>
      </c>
      <c r="AV637" s="1194" t="str">
        <f t="shared" si="131"/>
        <v>.</v>
      </c>
      <c r="AW637" s="1194" t="str">
        <f t="shared" si="141"/>
        <v>.</v>
      </c>
      <c r="AX637" s="1194">
        <f>IFERROR(VLOOKUP(B637,'Share, Heavy Weapons to Ukraine'!B:Z,COLUMN('Share, Heavy Weapons to Ukraine'!C647)-1,0),0)</f>
        <v>0</v>
      </c>
      <c r="AY637" s="1194">
        <f>VLOOKUP('Bilateral Assistance, MAIN DATA'!B637,'Country Summary (€)'!B:F,COLUMN('Country Summary (€)'!C648)-1,FALSE)</f>
        <v>1</v>
      </c>
      <c r="AZ637" s="1194" t="str">
        <f>IF(AND(AD637=1,D637="Military",H637&lt;&gt;"Not given")=TRUE,IF(SUMIFS(P:P,A:A,A637)&gt;0,ABS((SUMIFS(P:P,A:A,A637)/VLOOKUP("USD",'Exchange Rates'!B:C,2,0)))/S637,"."),".")</f>
        <v>.</v>
      </c>
      <c r="BA637" s="1196" t="str">
        <f>IF(AND(AD637=1,D637="Military",H637&lt;&gt;"Not given")=TRUE,IF(SUMIFS(P:P,A:A,A637)&gt;0,IF((ABS((SUMIFS(P:P,A:A,A637)/VLOOKUP("USD",'Exchange Rates'!B:C,2,0)))/S637)&gt;1,(SUMIFS(P:P,A:A,A637)-S637)/S637,(S637-SUMIFS(P:P,A:A,A637))/SUMIFS(P:P,A:A,A637)),"."),".")</f>
        <v>.</v>
      </c>
    </row>
    <row r="638" spans="1:72" ht="15.95" customHeight="1">
      <c r="A638" s="1180" t="s">
        <v>1884</v>
      </c>
      <c r="B638" s="1182" t="s">
        <v>1711</v>
      </c>
      <c r="C638" s="1181" t="s">
        <v>1797</v>
      </c>
      <c r="D638" s="1182" t="s">
        <v>389</v>
      </c>
      <c r="E638" s="1182" t="s">
        <v>1676</v>
      </c>
      <c r="F638" s="1263" t="s">
        <v>1885</v>
      </c>
      <c r="G638" s="1184" t="s">
        <v>483</v>
      </c>
      <c r="H638" s="1185">
        <v>600000000</v>
      </c>
      <c r="I638" s="1266" t="s">
        <v>1891</v>
      </c>
      <c r="J638" s="1186" t="str">
        <f>VLOOKUP($I638,'Price List, Weapons &amp; Items'!B:C,2,0)</f>
        <v>Military equipment</v>
      </c>
      <c r="K638" s="1186" t="str">
        <f>IF(I638=".",I638,VLOOKUP($I638,'Price List, Weapons &amp; Items'!B:D,3,0))</f>
        <v>spare parts</v>
      </c>
      <c r="L638" s="1187">
        <f>VLOOKUP(I638,'Price List, Weapons &amp; Items'!B:E,4,0)</f>
        <v>0</v>
      </c>
      <c r="M638" s="1188" t="s">
        <v>374</v>
      </c>
      <c r="N638" s="1188" t="s">
        <v>374</v>
      </c>
      <c r="O638" s="1188" t="str">
        <f>VLOOKUP($I638,'Price List, Weapons &amp; Items'!B:G,6,0)</f>
        <v>.</v>
      </c>
      <c r="P638" s="1185" t="str">
        <f t="shared" si="132"/>
        <v>.</v>
      </c>
      <c r="Q638" s="1185" t="str">
        <f t="shared" si="133"/>
        <v>.</v>
      </c>
      <c r="R638" s="1185" t="str">
        <f t="shared" si="129"/>
        <v/>
      </c>
      <c r="S638" s="1185" t="str">
        <f>IF(AND(AD638=1,R638&lt;&gt;".")=TRUE,R638/VLOOKUP(G638,'Exchange Rates'!B:C,2,0),IF(R638=".",".",""))</f>
        <v/>
      </c>
      <c r="T638" s="1185" t="str">
        <f>IF(AD638=1,IF(AF638="Value is not given at all",".",IF(AF638="Value is given by the source",S638,IF(AF638="Value is calculated with prices",(IF(SUMIFS(Q:Q,A:A,A638)&gt;0,SUMIFS(Q:Q,A:A,A638),"."))/VLOOKUP("USD",'Exchange Rates'!B:C,2,0),"Error with coding"))),"")</f>
        <v/>
      </c>
      <c r="U638" s="1184" t="s">
        <v>365</v>
      </c>
      <c r="V638" s="972" t="s">
        <v>1782</v>
      </c>
      <c r="W638" s="987" t="s">
        <v>1280</v>
      </c>
      <c r="X638" s="1031" t="s">
        <v>364</v>
      </c>
      <c r="Y638" s="1031" t="s">
        <v>364</v>
      </c>
      <c r="Z638" s="1184">
        <v>0</v>
      </c>
      <c r="AA638" s="1194">
        <v>0</v>
      </c>
      <c r="AB638" s="600" t="s">
        <v>1280</v>
      </c>
      <c r="AC638" s="1192" t="str">
        <f>""</f>
        <v/>
      </c>
      <c r="AD638" s="985">
        <v>0</v>
      </c>
      <c r="AE638" s="1194" t="s">
        <v>368</v>
      </c>
      <c r="AF638" s="985" t="s">
        <v>369</v>
      </c>
      <c r="AG638" s="985">
        <v>0</v>
      </c>
      <c r="AH638" s="985">
        <v>0</v>
      </c>
      <c r="AI638" s="985">
        <v>0</v>
      </c>
      <c r="AJ638" s="1193">
        <f>VLOOKUP($I638,'Price List, Weapons &amp; Items'!B:F,5,0)</f>
        <v>0</v>
      </c>
      <c r="AK638" s="1193">
        <f t="shared" si="134"/>
        <v>0</v>
      </c>
      <c r="AL638" s="1193">
        <f t="shared" si="135"/>
        <v>0</v>
      </c>
      <c r="AM638" s="1193">
        <f t="shared" si="136"/>
        <v>0</v>
      </c>
      <c r="AN638" s="1194" t="str">
        <f>VLOOKUP($I638,'Price List, Weapons &amp; Items'!B:L,COLUMN('Price List, Weapons &amp; Items'!$J$11)-1,0)</f>
        <v>.</v>
      </c>
      <c r="AO638" s="1194" t="str">
        <f>IF(I638=".",".",VLOOKUP($I638,'Price List, Weapons &amp; Items'!B:J,3,0))</f>
        <v>spare parts</v>
      </c>
      <c r="AP638" s="1195" t="str">
        <f t="shared" ca="1" si="130"/>
        <v/>
      </c>
      <c r="AQ638" s="1194" t="str">
        <f>VLOOKUP($I638,'Price List, Weapons &amp; Items'!B:L,COLUMN('Price List, Weapons &amp; Items'!$L$11)-1,0)</f>
        <v>no price, 0 count</v>
      </c>
      <c r="AR638" s="1194">
        <f t="shared" si="137"/>
        <v>1</v>
      </c>
      <c r="AS638" s="1194">
        <f t="shared" si="138"/>
        <v>1</v>
      </c>
      <c r="AT638" s="1194" t="str">
        <f t="shared" si="139"/>
        <v>Value is not in date format</v>
      </c>
      <c r="AU638" s="1194" t="str">
        <f t="shared" si="140"/>
        <v>.</v>
      </c>
      <c r="AV638" s="1194" t="str">
        <f t="shared" si="131"/>
        <v>.</v>
      </c>
      <c r="AW638" s="1194" t="str">
        <f t="shared" si="141"/>
        <v>.</v>
      </c>
      <c r="AX638" s="1194">
        <f>IFERROR(VLOOKUP(B638,'Share, Heavy Weapons to Ukraine'!B:Z,COLUMN('Share, Heavy Weapons to Ukraine'!C648)-1,0),0)</f>
        <v>0</v>
      </c>
      <c r="AY638" s="1194">
        <f>VLOOKUP('Bilateral Assistance, MAIN DATA'!B638,'Country Summary (€)'!B:F,COLUMN('Country Summary (€)'!C649)-1,FALSE)</f>
        <v>1</v>
      </c>
      <c r="AZ638" s="1194" t="str">
        <f>IF(AND(AD638=1,D638="Military",H638&lt;&gt;"Not given")=TRUE,IF(SUMIFS(P:P,A:A,A638)&gt;0,ABS((SUMIFS(P:P,A:A,A638)/VLOOKUP("USD",'Exchange Rates'!B:C,2,0)))/S638,"."),".")</f>
        <v>.</v>
      </c>
      <c r="BA638" s="1196" t="str">
        <f>IF(AND(AD638=1,D638="Military",H638&lt;&gt;"Not given")=TRUE,IF(SUMIFS(P:P,A:A,A638)&gt;0,IF((ABS((SUMIFS(P:P,A:A,A638)/VLOOKUP("USD",'Exchange Rates'!B:C,2,0)))/S638)&gt;1,(SUMIFS(P:P,A:A,A638)-S638)/S638,(S638-SUMIFS(P:P,A:A,A638))/SUMIFS(P:P,A:A,A638)),"."),".")</f>
        <v>.</v>
      </c>
    </row>
    <row r="639" spans="1:72" ht="15.95" customHeight="1">
      <c r="A639" s="1180" t="s">
        <v>1884</v>
      </c>
      <c r="B639" s="1182" t="s">
        <v>1711</v>
      </c>
      <c r="C639" s="1181" t="s">
        <v>1797</v>
      </c>
      <c r="D639" s="1182" t="s">
        <v>389</v>
      </c>
      <c r="E639" s="1182" t="s">
        <v>1676</v>
      </c>
      <c r="F639" s="1263" t="s">
        <v>1885</v>
      </c>
      <c r="G639" s="1184" t="s">
        <v>483</v>
      </c>
      <c r="H639" s="1185">
        <v>600000000</v>
      </c>
      <c r="I639" s="1266" t="s">
        <v>1892</v>
      </c>
      <c r="J639" s="1186" t="str">
        <f>VLOOKUP($I639,'Price List, Weapons &amp; Items'!B:C,2,0)</f>
        <v>Light armaments &amp; infantry</v>
      </c>
      <c r="K639" s="1186" t="str">
        <f>IF(I639=".",I639,VLOOKUP($I639,'Price List, Weapons &amp; Items'!B:D,3,0))</f>
        <v>Small Arms and Light Weapons (SALW)</v>
      </c>
      <c r="L639" s="1187">
        <f>VLOOKUP(I639,'Price List, Weapons &amp; Items'!B:E,4,0)</f>
        <v>0</v>
      </c>
      <c r="M639" s="1188">
        <v>118</v>
      </c>
      <c r="N639" s="1275">
        <v>118</v>
      </c>
      <c r="O639" s="1188">
        <f>VLOOKUP($I639,'Price List, Weapons &amp; Items'!B:G,6,0)</f>
        <v>3000</v>
      </c>
      <c r="P639" s="1185">
        <f t="shared" si="132"/>
        <v>354000</v>
      </c>
      <c r="Q639" s="1185">
        <f t="shared" si="133"/>
        <v>354000</v>
      </c>
      <c r="R639" s="1185" t="str">
        <f t="shared" si="129"/>
        <v/>
      </c>
      <c r="S639" s="1185" t="str">
        <f>IF(AND(AD639=1,R639&lt;&gt;".")=TRUE,R639/VLOOKUP(G639,'Exchange Rates'!B:C,2,0),IF(R639=".",".",""))</f>
        <v/>
      </c>
      <c r="T639" s="1185" t="str">
        <f>IF(AD639=1,IF(AF639="Value is not given at all",".",IF(AF639="Value is given by the source",S639,IF(AF639="Value is calculated with prices",(IF(SUMIFS(Q:Q,A:A,A639)&gt;0,SUMIFS(Q:Q,A:A,A639),"."))/VLOOKUP("USD",'Exchange Rates'!B:C,2,0),"Error with coding"))),"")</f>
        <v/>
      </c>
      <c r="U639" s="1184" t="s">
        <v>365</v>
      </c>
      <c r="V639" s="972" t="s">
        <v>1782</v>
      </c>
      <c r="W639" s="966" t="s">
        <v>1280</v>
      </c>
      <c r="X639" s="1031" t="s">
        <v>364</v>
      </c>
      <c r="Y639" s="1031" t="s">
        <v>364</v>
      </c>
      <c r="Z639" s="1184">
        <v>0</v>
      </c>
      <c r="AA639" s="1194">
        <v>1</v>
      </c>
      <c r="AB639" s="600" t="s">
        <v>1280</v>
      </c>
      <c r="AC639" s="1192" t="str">
        <f>""</f>
        <v/>
      </c>
      <c r="AD639" s="985">
        <v>0</v>
      </c>
      <c r="AE639" s="1194" t="s">
        <v>368</v>
      </c>
      <c r="AF639" s="985" t="s">
        <v>369</v>
      </c>
      <c r="AG639" s="985">
        <v>0</v>
      </c>
      <c r="AH639" s="985">
        <v>0</v>
      </c>
      <c r="AI639" s="985">
        <v>0</v>
      </c>
      <c r="AJ639" s="1193">
        <f>VLOOKUP($I639,'Price List, Weapons &amp; Items'!B:F,5,0)</f>
        <v>0</v>
      </c>
      <c r="AK639" s="1193">
        <f t="shared" si="134"/>
        <v>0</v>
      </c>
      <c r="AL639" s="1193">
        <f t="shared" si="135"/>
        <v>0</v>
      </c>
      <c r="AM639" s="1193">
        <f t="shared" si="136"/>
        <v>0</v>
      </c>
      <c r="AN639" s="1194" t="str">
        <f>VLOOKUP($I639,'Price List, Weapons &amp; Items'!B:L,COLUMN('Price List, Weapons &amp; Items'!$J$11)-1,0)</f>
        <v>Military media (incl. websites)</v>
      </c>
      <c r="AO639" s="1194" t="str">
        <f>IF(I639=".",".",VLOOKUP($I639,'Price List, Weapons &amp; Items'!B:J,3,0))</f>
        <v>Small Arms and Light Weapons (SALW)</v>
      </c>
      <c r="AP639" s="1195" t="str">
        <f t="shared" ca="1" si="130"/>
        <v/>
      </c>
      <c r="AQ639" s="1194">
        <f>VLOOKUP($I639,'Price List, Weapons &amp; Items'!B:L,COLUMN('Price List, Weapons &amp; Items'!$L$11)-1,0)</f>
        <v>1</v>
      </c>
      <c r="AR639" s="1194">
        <f t="shared" si="137"/>
        <v>1</v>
      </c>
      <c r="AS639" s="1194">
        <f t="shared" si="138"/>
        <v>1</v>
      </c>
      <c r="AT639" s="1194" t="str">
        <f t="shared" si="139"/>
        <v>Value is not in date format</v>
      </c>
      <c r="AU639" s="1194" t="str">
        <f t="shared" si="140"/>
        <v>.</v>
      </c>
      <c r="AV639" s="1194" t="str">
        <f t="shared" si="131"/>
        <v>.</v>
      </c>
      <c r="AW639" s="1194" t="str">
        <f t="shared" si="141"/>
        <v>.</v>
      </c>
      <c r="AX639" s="1194">
        <f>IFERROR(VLOOKUP(B639,'Share, Heavy Weapons to Ukraine'!B:Z,COLUMN('Share, Heavy Weapons to Ukraine'!C649)-1,0),0)</f>
        <v>0</v>
      </c>
      <c r="AY639" s="1194">
        <f>VLOOKUP('Bilateral Assistance, MAIN DATA'!B639,'Country Summary (€)'!B:F,COLUMN('Country Summary (€)'!C650)-1,FALSE)</f>
        <v>1</v>
      </c>
      <c r="AZ639" s="1194" t="str">
        <f>IF(AND(AD639=1,D639="Military",H639&lt;&gt;"Not given")=TRUE,IF(SUMIFS(P:P,A:A,A639)&gt;0,ABS((SUMIFS(P:P,A:A,A639)/VLOOKUP("USD",'Exchange Rates'!B:C,2,0)))/S639,"."),".")</f>
        <v>.</v>
      </c>
      <c r="BA639" s="1196" t="str">
        <f>IF(AND(AD639=1,D639="Military",H639&lt;&gt;"Not given")=TRUE,IF(SUMIFS(P:P,A:A,A639)&gt;0,IF((ABS((SUMIFS(P:P,A:A,A639)/VLOOKUP("USD",'Exchange Rates'!B:C,2,0)))/S639)&gt;1,(SUMIFS(P:P,A:A,A639)-S639)/S639,(S639-SUMIFS(P:P,A:A,A639))/SUMIFS(P:P,A:A,A639)),"."),".")</f>
        <v>.</v>
      </c>
    </row>
    <row r="640" spans="1:72" ht="15.95" customHeight="1">
      <c r="A640" s="1180" t="s">
        <v>1884</v>
      </c>
      <c r="B640" s="1182" t="s">
        <v>1711</v>
      </c>
      <c r="C640" s="1181" t="s">
        <v>1797</v>
      </c>
      <c r="D640" s="1182" t="s">
        <v>389</v>
      </c>
      <c r="E640" s="1182" t="s">
        <v>1676</v>
      </c>
      <c r="F640" s="1263" t="s">
        <v>1885</v>
      </c>
      <c r="G640" s="1184" t="s">
        <v>483</v>
      </c>
      <c r="H640" s="1185">
        <v>600000000</v>
      </c>
      <c r="I640" s="1266" t="s">
        <v>1893</v>
      </c>
      <c r="J640" s="1186" t="str">
        <f>VLOOKUP($I640,'Price List, Weapons &amp; Items'!B:C,2,0)</f>
        <v>Heavy weapon</v>
      </c>
      <c r="K640" s="1186" t="str">
        <f>IF(I640=".",I640,VLOOKUP($I640,'Price List, Weapons &amp; Items'!B:D,3,0))</f>
        <v>127mm MLRS</v>
      </c>
      <c r="L640" s="1187">
        <f>VLOOKUP(I640,'Price List, Weapons &amp; Items'!B:E,4,0)</f>
        <v>0</v>
      </c>
      <c r="M640" s="1188">
        <v>3</v>
      </c>
      <c r="N640" s="1188">
        <v>3</v>
      </c>
      <c r="O640" s="1188">
        <f>VLOOKUP($I640,'Price List, Weapons &amp; Items'!B:G,6,0)</f>
        <v>20783363.949999999</v>
      </c>
      <c r="P640" s="1185">
        <f t="shared" si="132"/>
        <v>62350091.849999994</v>
      </c>
      <c r="Q640" s="1185">
        <f t="shared" si="133"/>
        <v>62350091.849999994</v>
      </c>
      <c r="R640" s="1185" t="str">
        <f t="shared" si="129"/>
        <v/>
      </c>
      <c r="S640" s="1185" t="str">
        <f>IF(AND(AD640=1,R640&lt;&gt;".")=TRUE,R640/VLOOKUP(G640,'Exchange Rates'!B:C,2,0),IF(R640=".",".",""))</f>
        <v/>
      </c>
      <c r="T640" s="1185" t="str">
        <f>IF(AD640=1,IF(AF640="Value is not given at all",".",IF(AF640="Value is given by the source",S640,IF(AF640="Value is calculated with prices",(IF(SUMIFS(Q:Q,A:A,A640)&gt;0,SUMIFS(Q:Q,A:A,A640),"."))/VLOOKUP("USD",'Exchange Rates'!B:C,2,0),"Error with coding"))),"")</f>
        <v/>
      </c>
      <c r="U640" s="1184" t="s">
        <v>365</v>
      </c>
      <c r="V640" s="972" t="s">
        <v>1782</v>
      </c>
      <c r="W640" s="987" t="s">
        <v>1280</v>
      </c>
      <c r="X640" s="1031" t="s">
        <v>364</v>
      </c>
      <c r="Y640" s="1031" t="s">
        <v>364</v>
      </c>
      <c r="Z640" s="1184">
        <v>0</v>
      </c>
      <c r="AA640" s="1194">
        <v>0</v>
      </c>
      <c r="AB640" s="600" t="s">
        <v>1280</v>
      </c>
      <c r="AC640" s="1192" t="str">
        <f>""</f>
        <v/>
      </c>
      <c r="AD640" s="985">
        <v>0</v>
      </c>
      <c r="AE640" s="1194" t="s">
        <v>368</v>
      </c>
      <c r="AF640" s="985" t="s">
        <v>369</v>
      </c>
      <c r="AG640" s="985">
        <v>1</v>
      </c>
      <c r="AH640" s="985">
        <v>6</v>
      </c>
      <c r="AI640" s="985">
        <v>0</v>
      </c>
      <c r="AJ640" s="1193">
        <f>VLOOKUP($I640,'Price List, Weapons &amp; Items'!B:F,5,0)</f>
        <v>1</v>
      </c>
      <c r="AK640" s="1193">
        <f t="shared" si="134"/>
        <v>0</v>
      </c>
      <c r="AL640" s="1193">
        <f t="shared" si="135"/>
        <v>0</v>
      </c>
      <c r="AM640" s="1193">
        <f t="shared" si="136"/>
        <v>0</v>
      </c>
      <c r="AN640" s="1194" t="str">
        <f>VLOOKUP($I640,'Price List, Weapons &amp; Items'!B:L,COLUMN('Price List, Weapons &amp; Items'!$J$11)-1,0)</f>
        <v>Contracts</v>
      </c>
      <c r="AO640" s="1194" t="str">
        <f>IF(I640=".",".",VLOOKUP($I640,'Price List, Weapons &amp; Items'!B:J,3,0))</f>
        <v>127mm MLRS</v>
      </c>
      <c r="AP640" s="1195" t="str">
        <f t="shared" ca="1" si="130"/>
        <v/>
      </c>
      <c r="AQ640" s="1194">
        <f>VLOOKUP($I640,'Price List, Weapons &amp; Items'!B:L,COLUMN('Price List, Weapons &amp; Items'!$L$11)-1,0)</f>
        <v>2</v>
      </c>
      <c r="AR640" s="1194">
        <f t="shared" si="137"/>
        <v>1</v>
      </c>
      <c r="AS640" s="1194">
        <f t="shared" si="138"/>
        <v>1</v>
      </c>
      <c r="AT640" s="1194" t="str">
        <f t="shared" si="139"/>
        <v>Value is not in date format</v>
      </c>
      <c r="AU640" s="1194" t="str">
        <f t="shared" si="140"/>
        <v>.</v>
      </c>
      <c r="AV640" s="1194" t="str">
        <f t="shared" si="131"/>
        <v>.</v>
      </c>
      <c r="AW640" s="1194" t="str">
        <f t="shared" si="141"/>
        <v>.</v>
      </c>
      <c r="AX640" s="1194">
        <f>IFERROR(VLOOKUP(B640,'Share, Heavy Weapons to Ukraine'!B:Z,COLUMN('Share, Heavy Weapons to Ukraine'!C650)-1,0),0)</f>
        <v>0</v>
      </c>
      <c r="AY640" s="1194">
        <f>VLOOKUP('Bilateral Assistance, MAIN DATA'!B640,'Country Summary (€)'!B:F,COLUMN('Country Summary (€)'!C651)-1,FALSE)</f>
        <v>1</v>
      </c>
      <c r="AZ640" s="1194" t="str">
        <f>IF(AND(AD640=1,D640="Military",H640&lt;&gt;"Not given")=TRUE,IF(SUMIFS(P:P,A:A,A640)&gt;0,ABS((SUMIFS(P:P,A:A,A640)/VLOOKUP("USD",'Exchange Rates'!B:C,2,0)))/S640,"."),".")</f>
        <v>.</v>
      </c>
      <c r="BA640" s="1196" t="str">
        <f>IF(AND(AD640=1,D640="Military",H640&lt;&gt;"Not given")=TRUE,IF(SUMIFS(P:P,A:A,A640)&gt;0,IF((ABS((SUMIFS(P:P,A:A,A640)/VLOOKUP("USD",'Exchange Rates'!B:C,2,0)))/S640)&gt;1,(SUMIFS(P:P,A:A,A640)-S640)/S640,(S640-SUMIFS(P:P,A:A,A640))/SUMIFS(P:P,A:A,A640)),"."),".")</f>
        <v>.</v>
      </c>
    </row>
    <row r="641" spans="1:53" ht="15.95" customHeight="1">
      <c r="A641" s="1180" t="s">
        <v>1884</v>
      </c>
      <c r="B641" s="1182" t="s">
        <v>1711</v>
      </c>
      <c r="C641" s="1181" t="s">
        <v>1797</v>
      </c>
      <c r="D641" s="1182" t="s">
        <v>389</v>
      </c>
      <c r="E641" s="1182" t="s">
        <v>1676</v>
      </c>
      <c r="F641" s="1263" t="s">
        <v>1885</v>
      </c>
      <c r="G641" s="1184" t="s">
        <v>483</v>
      </c>
      <c r="H641" s="1185">
        <v>600000000</v>
      </c>
      <c r="I641" s="1266" t="s">
        <v>1893</v>
      </c>
      <c r="J641" s="1186" t="str">
        <f>VLOOKUP($I641,'Price List, Weapons &amp; Items'!B:C,2,0)</f>
        <v>Heavy weapon</v>
      </c>
      <c r="K641" s="1186" t="str">
        <f>IF(I641=".",I641,VLOOKUP($I641,'Price List, Weapons &amp; Items'!B:D,3,0))</f>
        <v>127mm MLRS</v>
      </c>
      <c r="L641" s="1187">
        <f>VLOOKUP(I641,'Price List, Weapons &amp; Items'!B:E,4,0)</f>
        <v>0</v>
      </c>
      <c r="M641" s="1188">
        <v>2</v>
      </c>
      <c r="N641" s="1188">
        <v>2</v>
      </c>
      <c r="O641" s="1188">
        <f>VLOOKUP($I641,'Price List, Weapons &amp; Items'!B:G,6,0)</f>
        <v>20783363.949999999</v>
      </c>
      <c r="P641" s="1185">
        <f t="shared" si="132"/>
        <v>41566727.899999999</v>
      </c>
      <c r="Q641" s="1185">
        <f t="shared" si="133"/>
        <v>41566727.899999999</v>
      </c>
      <c r="R641" s="1185" t="str">
        <f t="shared" si="129"/>
        <v/>
      </c>
      <c r="S641" s="1185" t="str">
        <f>IF(AND(AD641=1,R641&lt;&gt;".")=TRUE,R641/VLOOKUP(G641,'Exchange Rates'!B:C,2,0),IF(R641=".",".",""))</f>
        <v/>
      </c>
      <c r="T641" s="1185" t="str">
        <f>IF(AD641=1,IF(AF641="Value is not given at all",".",IF(AF641="Value is given by the source",S641,IF(AF641="Value is calculated with prices",(IF(SUMIFS(Q:Q,A:A,A641)&gt;0,SUMIFS(Q:Q,A:A,A641),"."))/VLOOKUP("USD",'Exchange Rates'!B:C,2,0),"Error with coding"))),"")</f>
        <v/>
      </c>
      <c r="U641" s="1184" t="s">
        <v>365</v>
      </c>
      <c r="V641" s="972" t="s">
        <v>1782</v>
      </c>
      <c r="W641" s="966" t="s">
        <v>1280</v>
      </c>
      <c r="X641" s="1031" t="s">
        <v>364</v>
      </c>
      <c r="Y641" s="1031" t="s">
        <v>364</v>
      </c>
      <c r="Z641" s="1184">
        <v>0</v>
      </c>
      <c r="AA641" s="1194">
        <v>0</v>
      </c>
      <c r="AB641" s="600" t="s">
        <v>1280</v>
      </c>
      <c r="AC641" s="1192" t="str">
        <f>""</f>
        <v/>
      </c>
      <c r="AD641" s="985">
        <v>0</v>
      </c>
      <c r="AE641" s="1194" t="s">
        <v>368</v>
      </c>
      <c r="AF641" s="985" t="s">
        <v>369</v>
      </c>
      <c r="AG641" s="985">
        <v>1</v>
      </c>
      <c r="AH641" s="985">
        <v>9</v>
      </c>
      <c r="AI641" s="985">
        <v>0</v>
      </c>
      <c r="AJ641" s="1193">
        <f>VLOOKUP($I641,'Price List, Weapons &amp; Items'!B:F,5,0)</f>
        <v>1</v>
      </c>
      <c r="AK641" s="1193">
        <f t="shared" si="134"/>
        <v>0</v>
      </c>
      <c r="AL641" s="1193">
        <f t="shared" si="135"/>
        <v>0</v>
      </c>
      <c r="AM641" s="1193">
        <f t="shared" si="136"/>
        <v>0</v>
      </c>
      <c r="AN641" s="1194" t="str">
        <f>VLOOKUP($I641,'Price List, Weapons &amp; Items'!B:L,COLUMN('Price List, Weapons &amp; Items'!$J$11)-1,0)</f>
        <v>Contracts</v>
      </c>
      <c r="AO641" s="1194" t="str">
        <f>IF(I641=".",".",VLOOKUP($I641,'Price List, Weapons &amp; Items'!B:J,3,0))</f>
        <v>127mm MLRS</v>
      </c>
      <c r="AP641" s="1195" t="str">
        <f t="shared" ca="1" si="130"/>
        <v/>
      </c>
      <c r="AQ641" s="1194">
        <f>VLOOKUP($I641,'Price List, Weapons &amp; Items'!B:L,COLUMN('Price List, Weapons &amp; Items'!$L$11)-1,0)</f>
        <v>2</v>
      </c>
      <c r="AR641" s="1194">
        <f t="shared" si="137"/>
        <v>1</v>
      </c>
      <c r="AS641" s="1194">
        <f t="shared" si="138"/>
        <v>1</v>
      </c>
      <c r="AT641" s="1194" t="str">
        <f t="shared" si="139"/>
        <v>Value is not in date format</v>
      </c>
      <c r="AU641" s="1194" t="str">
        <f t="shared" si="140"/>
        <v>.</v>
      </c>
      <c r="AV641" s="1194" t="str">
        <f t="shared" si="131"/>
        <v>.</v>
      </c>
      <c r="AW641" s="1194" t="str">
        <f t="shared" si="141"/>
        <v>.</v>
      </c>
      <c r="AX641" s="1194">
        <f>IFERROR(VLOOKUP(B641,'Share, Heavy Weapons to Ukraine'!B:Z,COLUMN('Share, Heavy Weapons to Ukraine'!C651)-1,0),0)</f>
        <v>0</v>
      </c>
      <c r="AY641" s="1194">
        <f>VLOOKUP('Bilateral Assistance, MAIN DATA'!B641,'Country Summary (€)'!B:F,COLUMN('Country Summary (€)'!C652)-1,FALSE)</f>
        <v>1</v>
      </c>
      <c r="AZ641" s="1194" t="str">
        <f>IF(AND(AD641=1,D641="Military",H641&lt;&gt;"Not given")=TRUE,IF(SUMIFS(P:P,A:A,A641)&gt;0,ABS((SUMIFS(P:P,A:A,A641)/VLOOKUP("USD",'Exchange Rates'!B:C,2,0)))/S641,"."),".")</f>
        <v>.</v>
      </c>
      <c r="BA641" s="1196" t="str">
        <f>IF(AND(AD641=1,D641="Military",H641&lt;&gt;"Not given")=TRUE,IF(SUMIFS(P:P,A:A,A641)&gt;0,IF((ABS((SUMIFS(P:P,A:A,A641)/VLOOKUP("USD",'Exchange Rates'!B:C,2,0)))/S641)&gt;1,(SUMIFS(P:P,A:A,A641)-S641)/S641,(S641-SUMIFS(P:P,A:A,A641))/SUMIFS(P:P,A:A,A641)),"."),".")</f>
        <v>.</v>
      </c>
    </row>
    <row r="642" spans="1:53" ht="15.95" customHeight="1">
      <c r="A642" s="1180" t="s">
        <v>1884</v>
      </c>
      <c r="B642" s="1182" t="s">
        <v>1711</v>
      </c>
      <c r="C642" s="1181" t="s">
        <v>1797</v>
      </c>
      <c r="D642" s="1182" t="s">
        <v>389</v>
      </c>
      <c r="E642" s="1182" t="s">
        <v>1676</v>
      </c>
      <c r="F642" s="1263" t="s">
        <v>1885</v>
      </c>
      <c r="G642" s="1184" t="s">
        <v>483</v>
      </c>
      <c r="H642" s="1185">
        <v>600000000</v>
      </c>
      <c r="I642" s="1266" t="s">
        <v>1894</v>
      </c>
      <c r="J642" s="1186" t="str">
        <f>VLOOKUP($I642,'Price List, Weapons &amp; Items'!B:C,2,0)</f>
        <v>Heavy weapon</v>
      </c>
      <c r="K642" s="1186" t="str">
        <f>IF(I642=".",I642,VLOOKUP($I642,'Price List, Weapons &amp; Items'!B:D,3,0))</f>
        <v>155mm howitzer</v>
      </c>
      <c r="L642" s="1187">
        <f>VLOOKUP(I642,'Price List, Weapons &amp; Items'!B:E,4,0)</f>
        <v>0</v>
      </c>
      <c r="M642" s="1188">
        <v>7</v>
      </c>
      <c r="N642" s="1188">
        <v>7</v>
      </c>
      <c r="O642" s="1188">
        <f>VLOOKUP($I642,'Price List, Weapons &amp; Items'!B:G,6,0)</f>
        <v>13778907.188501142</v>
      </c>
      <c r="P642" s="1185">
        <f t="shared" si="132"/>
        <v>96452350.319507986</v>
      </c>
      <c r="Q642" s="1185">
        <f t="shared" si="133"/>
        <v>96452350.319507986</v>
      </c>
      <c r="R642" s="1185" t="str">
        <f t="shared" ref="R642:R705" si="142">IF(AD642=1,IF(H642&lt;&gt;"Not given",H642,IF(TYPE(H642)=2,IF(SUMIFS(P:P,A:A,A642)&gt;0,SUMIFS(P:P,A:A,A642),"."),"Format error")),"")</f>
        <v/>
      </c>
      <c r="S642" s="1185" t="str">
        <f>IF(AND(AD642=1,R642&lt;&gt;".")=TRUE,R642/VLOOKUP(G642,'Exchange Rates'!B:C,2,0),IF(R642=".",".",""))</f>
        <v/>
      </c>
      <c r="T642" s="1185" t="str">
        <f>IF(AD642=1,IF(AF642="Value is not given at all",".",IF(AF642="Value is given by the source",S642,IF(AF642="Value is calculated with prices",(IF(SUMIFS(Q:Q,A:A,A642)&gt;0,SUMIFS(Q:Q,A:A,A642),"."))/VLOOKUP("USD",'Exchange Rates'!B:C,2,0),"Error with coding"))),"")</f>
        <v/>
      </c>
      <c r="U642" s="1184" t="s">
        <v>365</v>
      </c>
      <c r="V642" s="972" t="s">
        <v>1782</v>
      </c>
      <c r="W642" s="987" t="s">
        <v>1280</v>
      </c>
      <c r="X642" s="1031" t="s">
        <v>364</v>
      </c>
      <c r="Y642" s="1031" t="s">
        <v>364</v>
      </c>
      <c r="Z642" s="1184">
        <v>0</v>
      </c>
      <c r="AA642" s="1194">
        <v>0</v>
      </c>
      <c r="AB642" s="600" t="s">
        <v>1280</v>
      </c>
      <c r="AC642" s="1192" t="str">
        <f>""</f>
        <v/>
      </c>
      <c r="AD642" s="985">
        <v>0</v>
      </c>
      <c r="AE642" s="1194" t="s">
        <v>368</v>
      </c>
      <c r="AF642" s="985" t="s">
        <v>369</v>
      </c>
      <c r="AG642" s="985">
        <v>1</v>
      </c>
      <c r="AH642" s="985">
        <v>4</v>
      </c>
      <c r="AI642" s="985">
        <v>0</v>
      </c>
      <c r="AJ642" s="1193">
        <f>VLOOKUP($I642,'Price List, Weapons &amp; Items'!B:F,5,0)</f>
        <v>1</v>
      </c>
      <c r="AK642" s="1193">
        <f t="shared" si="134"/>
        <v>0</v>
      </c>
      <c r="AL642" s="1193">
        <f t="shared" si="135"/>
        <v>0</v>
      </c>
      <c r="AM642" s="1193">
        <f t="shared" si="136"/>
        <v>0</v>
      </c>
      <c r="AN642" s="1194" t="str">
        <f>VLOOKUP($I642,'Price List, Weapons &amp; Items'!B:L,COLUMN('Price List, Weapons &amp; Items'!$J$11)-1,0)</f>
        <v>Contracts</v>
      </c>
      <c r="AO642" s="1194" t="str">
        <f>IF(I642=".",".",VLOOKUP($I642,'Price List, Weapons &amp; Items'!B:J,3,0))</f>
        <v>155mm howitzer</v>
      </c>
      <c r="AP642" s="1195" t="str">
        <f t="shared" ref="AP642:AP705" ca="1" si="143">IF(AD642=1,(OFFSET(I642,0,0,COUNTIF(A:A,A642),1)),"")</f>
        <v/>
      </c>
      <c r="AQ642" s="1194">
        <f>VLOOKUP($I642,'Price List, Weapons &amp; Items'!B:L,COLUMN('Price List, Weapons &amp; Items'!$L$11)-1,0)</f>
        <v>2</v>
      </c>
      <c r="AR642" s="1194">
        <f t="shared" si="137"/>
        <v>1</v>
      </c>
      <c r="AS642" s="1194">
        <f t="shared" si="138"/>
        <v>1</v>
      </c>
      <c r="AT642" s="1194" t="str">
        <f t="shared" si="139"/>
        <v>Value is not in date format</v>
      </c>
      <c r="AU642" s="1194" t="str">
        <f t="shared" si="140"/>
        <v>.</v>
      </c>
      <c r="AV642" s="1194" t="str">
        <f t="shared" ref="AV642:AV705" si="144">IF(AND(_xlfn.ISFORMULA(R642),_xlfn.ISFORMULA(S642),_xlfn.ISFORMULA(T642))=TRUE,".",1)</f>
        <v>.</v>
      </c>
      <c r="AW642" s="1194" t="str">
        <f t="shared" si="141"/>
        <v>.</v>
      </c>
      <c r="AX642" s="1194">
        <f>IFERROR(VLOOKUP(B642,'Share, Heavy Weapons to Ukraine'!B:Z,COLUMN('Share, Heavy Weapons to Ukraine'!C652)-1,0),0)</f>
        <v>0</v>
      </c>
      <c r="AY642" s="1194">
        <f>VLOOKUP('Bilateral Assistance, MAIN DATA'!B642,'Country Summary (€)'!B:F,COLUMN('Country Summary (€)'!C653)-1,FALSE)</f>
        <v>1</v>
      </c>
      <c r="AZ642" s="1194" t="str">
        <f>IF(AND(AD642=1,D642="Military",H642&lt;&gt;"Not given")=TRUE,IF(SUMIFS(P:P,A:A,A642)&gt;0,ABS((SUMIFS(P:P,A:A,A642)/VLOOKUP("USD",'Exchange Rates'!B:C,2,0)))/S642,"."),".")</f>
        <v>.</v>
      </c>
      <c r="BA642" s="1196" t="str">
        <f>IF(AND(AD642=1,D642="Military",H642&lt;&gt;"Not given")=TRUE,IF(SUMIFS(P:P,A:A,A642)&gt;0,IF((ABS((SUMIFS(P:P,A:A,A642)/VLOOKUP("USD",'Exchange Rates'!B:C,2,0)))/S642)&gt;1,(SUMIFS(P:P,A:A,A642)-S642)/S642,(S642-SUMIFS(P:P,A:A,A642))/SUMIFS(P:P,A:A,A642)),"."),".")</f>
        <v>.</v>
      </c>
    </row>
    <row r="643" spans="1:53" ht="15.95" customHeight="1">
      <c r="A643" s="1180" t="s">
        <v>1884</v>
      </c>
      <c r="B643" s="1182" t="s">
        <v>1711</v>
      </c>
      <c r="C643" s="1181" t="s">
        <v>1797</v>
      </c>
      <c r="D643" s="1182" t="s">
        <v>389</v>
      </c>
      <c r="E643" s="1182" t="s">
        <v>1676</v>
      </c>
      <c r="F643" s="1263" t="s">
        <v>1885</v>
      </c>
      <c r="G643" s="1184" t="s">
        <v>483</v>
      </c>
      <c r="H643" s="1185">
        <v>600000000</v>
      </c>
      <c r="I643" s="1266" t="s">
        <v>1894</v>
      </c>
      <c r="J643" s="1186" t="str">
        <f>VLOOKUP($I643,'Price List, Weapons &amp; Items'!B:C,2,0)</f>
        <v>Heavy weapon</v>
      </c>
      <c r="K643" s="1186" t="str">
        <f>IF(I643=".",I643,VLOOKUP($I643,'Price List, Weapons &amp; Items'!B:D,3,0))</f>
        <v>155mm howitzer</v>
      </c>
      <c r="L643" s="1187">
        <f>VLOOKUP(I643,'Price List, Weapons &amp; Items'!B:E,4,0)</f>
        <v>0</v>
      </c>
      <c r="M643" s="1188">
        <v>3</v>
      </c>
      <c r="N643" s="1188">
        <v>3</v>
      </c>
      <c r="O643" s="1188">
        <f>VLOOKUP($I643,'Price List, Weapons &amp; Items'!B:G,6,0)</f>
        <v>13778907.188501142</v>
      </c>
      <c r="P643" s="1185">
        <f t="shared" ref="P643:P706" si="145">IF(TYPE(M643)=1,IF(TYPE(O643)=1,M643*O643,"No price"),".")</f>
        <v>41336721.565503426</v>
      </c>
      <c r="Q643" s="1185">
        <f t="shared" ref="Q643:Q706" si="146">IF(TYPE(N643)=1,IF(TYPE(O643)=1,N643*O643,"No price"),".")</f>
        <v>41336721.565503426</v>
      </c>
      <c r="R643" s="1185" t="str">
        <f t="shared" si="142"/>
        <v/>
      </c>
      <c r="S643" s="1185" t="str">
        <f>IF(AND(AD643=1,R643&lt;&gt;".")=TRUE,R643/VLOOKUP(G643,'Exchange Rates'!B:C,2,0),IF(R643=".",".",""))</f>
        <v/>
      </c>
      <c r="T643" s="1185" t="str">
        <f>IF(AD643=1,IF(AF643="Value is not given at all",".",IF(AF643="Value is given by the source",S643,IF(AF643="Value is calculated with prices",(IF(SUMIFS(Q:Q,A:A,A643)&gt;0,SUMIFS(Q:Q,A:A,A643),"."))/VLOOKUP("USD",'Exchange Rates'!B:C,2,0),"Error with coding"))),"")</f>
        <v/>
      </c>
      <c r="U643" s="1184" t="s">
        <v>365</v>
      </c>
      <c r="V643" s="972" t="s">
        <v>1782</v>
      </c>
      <c r="W643" s="966" t="s">
        <v>1280</v>
      </c>
      <c r="X643" s="1031" t="s">
        <v>364</v>
      </c>
      <c r="Y643" s="1031" t="s">
        <v>364</v>
      </c>
      <c r="Z643" s="1184">
        <v>0</v>
      </c>
      <c r="AA643" s="1194">
        <v>0</v>
      </c>
      <c r="AB643" s="600" t="s">
        <v>1280</v>
      </c>
      <c r="AC643" s="1192" t="str">
        <f>""</f>
        <v/>
      </c>
      <c r="AD643" s="985">
        <v>0</v>
      </c>
      <c r="AE643" s="1194" t="s">
        <v>368</v>
      </c>
      <c r="AF643" s="985" t="s">
        <v>369</v>
      </c>
      <c r="AG643" s="985">
        <v>1</v>
      </c>
      <c r="AH643" s="985">
        <v>7</v>
      </c>
      <c r="AI643" s="985">
        <v>7</v>
      </c>
      <c r="AJ643" s="1193">
        <f>VLOOKUP($I643,'Price List, Weapons &amp; Items'!B:F,5,0)</f>
        <v>1</v>
      </c>
      <c r="AK643" s="1193">
        <f t="shared" ref="AK643:AK706" si="147">IF(AND(AJ643=1,M643="undisclosed")=TRUE,1,0)</f>
        <v>0</v>
      </c>
      <c r="AL643" s="1193">
        <f t="shared" ref="AL643:AL706" si="148">IF(AND(AJ643=1,N643="undisclosed")=TRUE,1,0)</f>
        <v>0</v>
      </c>
      <c r="AM643" s="1193">
        <f t="shared" ref="AM643:AM706" si="149">IFERROR(IF(SEARCH("ammuni",I643,1)&gt;0,1,0),0)</f>
        <v>0</v>
      </c>
      <c r="AN643" s="1194" t="str">
        <f>VLOOKUP($I643,'Price List, Weapons &amp; Items'!B:L,COLUMN('Price List, Weapons &amp; Items'!$J$11)-1,0)</f>
        <v>Contracts</v>
      </c>
      <c r="AO643" s="1194" t="str">
        <f>IF(I643=".",".",VLOOKUP($I643,'Price List, Weapons &amp; Items'!B:J,3,0))</f>
        <v>155mm howitzer</v>
      </c>
      <c r="AP643" s="1195" t="str">
        <f t="shared" ca="1" si="143"/>
        <v/>
      </c>
      <c r="AQ643" s="1194">
        <f>VLOOKUP($I643,'Price List, Weapons &amp; Items'!B:L,COLUMN('Price List, Weapons &amp; Items'!$L$11)-1,0)</f>
        <v>2</v>
      </c>
      <c r="AR643" s="1194">
        <f t="shared" ref="AR643:AR706" si="150">IF(U643="Yes",1,0)</f>
        <v>1</v>
      </c>
      <c r="AS643" s="1194">
        <f t="shared" ref="AS643:AS706" si="151">IF(D643="Military",IF(OR(IFERROR(SEARCH("equipment",E643,1),0)&gt;0,IFERROR(SEARCH("weapons",E643,1),0)&gt;0),1,0),0)</f>
        <v>1</v>
      </c>
      <c r="AT643" s="1194" t="str">
        <f t="shared" ref="AT643:AT706" si="152">IFERROR(IF(VALUE(TEXT(C643,"mm"))=IF(AH643&gt;12,AH643-12,AH643),".",IF(TEXT(C643,"mm")="01",".",1)),"Value is not in date format")</f>
        <v>Value is not in date format</v>
      </c>
      <c r="AU643" s="1194" t="str">
        <f t="shared" ref="AU643:AU706" si="153">IF(AND(A643=A642,C643=C642)=TRUE,IF(F643=F642,".","1"),".")</f>
        <v>.</v>
      </c>
      <c r="AV643" s="1194" t="str">
        <f t="shared" si="144"/>
        <v>.</v>
      </c>
      <c r="AW643" s="1194" t="str">
        <f t="shared" ref="AW643:AW706" si="154">IF(T643&lt;&gt;".",IF(T643&gt;S643,1,"."),".")</f>
        <v>.</v>
      </c>
      <c r="AX643" s="1194">
        <f>IFERROR(VLOOKUP(B643,'Share, Heavy Weapons to Ukraine'!B:Z,COLUMN('Share, Heavy Weapons to Ukraine'!C653)-1,0),0)</f>
        <v>0</v>
      </c>
      <c r="AY643" s="1194">
        <f>VLOOKUP('Bilateral Assistance, MAIN DATA'!B643,'Country Summary (€)'!B:F,COLUMN('Country Summary (€)'!C654)-1,FALSE)</f>
        <v>1</v>
      </c>
      <c r="AZ643" s="1194" t="str">
        <f>IF(AND(AD643=1,D643="Military",H643&lt;&gt;"Not given")=TRUE,IF(SUMIFS(P:P,A:A,A643)&gt;0,ABS((SUMIFS(P:P,A:A,A643)/VLOOKUP("USD",'Exchange Rates'!B:C,2,0)))/S643,"."),".")</f>
        <v>.</v>
      </c>
      <c r="BA643" s="1196" t="str">
        <f>IF(AND(AD643=1,D643="Military",H643&lt;&gt;"Not given")=TRUE,IF(SUMIFS(P:P,A:A,A643)&gt;0,IF((ABS((SUMIFS(P:P,A:A,A643)/VLOOKUP("USD",'Exchange Rates'!B:C,2,0)))/S643)&gt;1,(SUMIFS(P:P,A:A,A643)-S643)/S643,(S643-SUMIFS(P:P,A:A,A643))/SUMIFS(P:P,A:A,A643)),"."),".")</f>
        <v>.</v>
      </c>
    </row>
    <row r="644" spans="1:53" ht="15.95" customHeight="1">
      <c r="A644" s="1180" t="s">
        <v>1884</v>
      </c>
      <c r="B644" s="1182" t="s">
        <v>1711</v>
      </c>
      <c r="C644" s="1181" t="s">
        <v>1797</v>
      </c>
      <c r="D644" s="1182" t="s">
        <v>389</v>
      </c>
      <c r="E644" s="1182" t="s">
        <v>1676</v>
      </c>
      <c r="F644" s="1263" t="s">
        <v>1885</v>
      </c>
      <c r="G644" s="1184" t="s">
        <v>483</v>
      </c>
      <c r="H644" s="1185">
        <v>600000000</v>
      </c>
      <c r="I644" s="1266" t="s">
        <v>1894</v>
      </c>
      <c r="J644" s="1186" t="str">
        <f>VLOOKUP($I644,'Price List, Weapons &amp; Items'!B:C,2,0)</f>
        <v>Heavy weapon</v>
      </c>
      <c r="K644" s="1186" t="str">
        <f>IF(I644=".",I644,VLOOKUP($I644,'Price List, Weapons &amp; Items'!B:D,3,0))</f>
        <v>155mm howitzer</v>
      </c>
      <c r="L644" s="1187">
        <f>VLOOKUP(I644,'Price List, Weapons &amp; Items'!B:E,4,0)</f>
        <v>0</v>
      </c>
      <c r="M644" s="1188">
        <v>4</v>
      </c>
      <c r="N644" s="1188">
        <v>4</v>
      </c>
      <c r="O644" s="1188">
        <f>VLOOKUP($I644,'Price List, Weapons &amp; Items'!B:G,6,0)</f>
        <v>13778907.188501142</v>
      </c>
      <c r="P644" s="1185">
        <f t="shared" si="145"/>
        <v>55115628.754004568</v>
      </c>
      <c r="Q644" s="1185">
        <f t="shared" si="146"/>
        <v>55115628.754004568</v>
      </c>
      <c r="R644" s="1185" t="str">
        <f t="shared" si="142"/>
        <v/>
      </c>
      <c r="S644" s="1185" t="str">
        <f>IF(AND(AD644=1,R644&lt;&gt;".")=TRUE,R644/VLOOKUP(G644,'Exchange Rates'!B:C,2,0),IF(R644=".",".",""))</f>
        <v/>
      </c>
      <c r="T644" s="1185" t="str">
        <f>IF(AD644=1,IF(AF644="Value is not given at all",".",IF(AF644="Value is given by the source",S644,IF(AF644="Value is calculated with prices",(IF(SUMIFS(Q:Q,A:A,A644)&gt;0,SUMIFS(Q:Q,A:A,A644),"."))/VLOOKUP("USD",'Exchange Rates'!B:C,2,0),"Error with coding"))),"")</f>
        <v/>
      </c>
      <c r="U644" s="1184" t="s">
        <v>365</v>
      </c>
      <c r="V644" s="972" t="s">
        <v>1782</v>
      </c>
      <c r="W644" s="987" t="s">
        <v>1280</v>
      </c>
      <c r="X644" s="1031" t="s">
        <v>364</v>
      </c>
      <c r="Y644" s="1031" t="s">
        <v>364</v>
      </c>
      <c r="Z644" s="1184">
        <v>0</v>
      </c>
      <c r="AA644" s="1194">
        <v>0</v>
      </c>
      <c r="AB644" s="600" t="s">
        <v>1280</v>
      </c>
      <c r="AC644" s="1192" t="str">
        <f>""</f>
        <v/>
      </c>
      <c r="AD644" s="985">
        <v>0</v>
      </c>
      <c r="AE644" s="1194" t="s">
        <v>368</v>
      </c>
      <c r="AF644" s="985" t="s">
        <v>369</v>
      </c>
      <c r="AG644" s="985">
        <v>1</v>
      </c>
      <c r="AH644" s="985">
        <v>9</v>
      </c>
      <c r="AI644" s="985">
        <v>9</v>
      </c>
      <c r="AJ644" s="1193">
        <f>VLOOKUP($I644,'Price List, Weapons &amp; Items'!B:F,5,0)</f>
        <v>1</v>
      </c>
      <c r="AK644" s="1193">
        <f t="shared" si="147"/>
        <v>0</v>
      </c>
      <c r="AL644" s="1193">
        <f t="shared" si="148"/>
        <v>0</v>
      </c>
      <c r="AM644" s="1193">
        <f t="shared" si="149"/>
        <v>0</v>
      </c>
      <c r="AN644" s="1194" t="str">
        <f>VLOOKUP($I644,'Price List, Weapons &amp; Items'!B:L,COLUMN('Price List, Weapons &amp; Items'!$J$11)-1,0)</f>
        <v>Contracts</v>
      </c>
      <c r="AO644" s="1194" t="str">
        <f>IF(I644=".",".",VLOOKUP($I644,'Price List, Weapons &amp; Items'!B:J,3,0))</f>
        <v>155mm howitzer</v>
      </c>
      <c r="AP644" s="1195" t="str">
        <f t="shared" ca="1" si="143"/>
        <v/>
      </c>
      <c r="AQ644" s="1194">
        <f>VLOOKUP($I644,'Price List, Weapons &amp; Items'!B:L,COLUMN('Price List, Weapons &amp; Items'!$L$11)-1,0)</f>
        <v>2</v>
      </c>
      <c r="AR644" s="1194">
        <f t="shared" si="150"/>
        <v>1</v>
      </c>
      <c r="AS644" s="1194">
        <f t="shared" si="151"/>
        <v>1</v>
      </c>
      <c r="AT644" s="1194" t="str">
        <f t="shared" si="152"/>
        <v>Value is not in date format</v>
      </c>
      <c r="AU644" s="1194" t="str">
        <f t="shared" si="153"/>
        <v>.</v>
      </c>
      <c r="AV644" s="1194" t="str">
        <f t="shared" si="144"/>
        <v>.</v>
      </c>
      <c r="AW644" s="1194" t="str">
        <f t="shared" si="154"/>
        <v>.</v>
      </c>
      <c r="AX644" s="1194">
        <f>IFERROR(VLOOKUP(B644,'Share, Heavy Weapons to Ukraine'!B:Z,COLUMN('Share, Heavy Weapons to Ukraine'!C654)-1,0),0)</f>
        <v>0</v>
      </c>
      <c r="AY644" s="1194">
        <f>VLOOKUP('Bilateral Assistance, MAIN DATA'!B644,'Country Summary (€)'!B:F,COLUMN('Country Summary (€)'!C655)-1,FALSE)</f>
        <v>1</v>
      </c>
      <c r="AZ644" s="1194" t="str">
        <f>IF(AND(AD644=1,D644="Military",H644&lt;&gt;"Not given")=TRUE,IF(SUMIFS(P:P,A:A,A644)&gt;0,ABS((SUMIFS(P:P,A:A,A644)/VLOOKUP("USD",'Exchange Rates'!B:C,2,0)))/S644,"."),".")</f>
        <v>.</v>
      </c>
      <c r="BA644" s="1196" t="str">
        <f>IF(AND(AD644=1,D644="Military",H644&lt;&gt;"Not given")=TRUE,IF(SUMIFS(P:P,A:A,A644)&gt;0,IF((ABS((SUMIFS(P:P,A:A,A644)/VLOOKUP("USD",'Exchange Rates'!B:C,2,0)))/S644)&gt;1,(SUMIFS(P:P,A:A,A644)-S644)/S644,(S644-SUMIFS(P:P,A:A,A644))/SUMIFS(P:P,A:A,A644)),"."),".")</f>
        <v>.</v>
      </c>
    </row>
    <row r="645" spans="1:53" ht="15.95" customHeight="1">
      <c r="A645" s="1180" t="s">
        <v>1884</v>
      </c>
      <c r="B645" s="1182" t="s">
        <v>1711</v>
      </c>
      <c r="C645" s="1181" t="s">
        <v>1797</v>
      </c>
      <c r="D645" s="1182" t="s">
        <v>389</v>
      </c>
      <c r="E645" s="1182" t="s">
        <v>1676</v>
      </c>
      <c r="F645" s="1263" t="s">
        <v>1885</v>
      </c>
      <c r="G645" s="1184" t="s">
        <v>483</v>
      </c>
      <c r="H645" s="1185">
        <v>600000000</v>
      </c>
      <c r="I645" s="1266" t="s">
        <v>1895</v>
      </c>
      <c r="J645" s="1186" t="str">
        <f>VLOOKUP($I645,'Price List, Weapons &amp; Items'!B:C,2,0)</f>
        <v>Military equipment</v>
      </c>
      <c r="K645" s="1186" t="str">
        <f>IF(I645=".",I645,VLOOKUP($I645,'Price List, Weapons &amp; Items'!B:D,3,0))</f>
        <v>Military equipment</v>
      </c>
      <c r="L645" s="1187">
        <f>VLOOKUP(I645,'Price List, Weapons &amp; Items'!B:E,4,0)</f>
        <v>0</v>
      </c>
      <c r="M645" s="1188">
        <v>200</v>
      </c>
      <c r="N645" s="1188">
        <v>200</v>
      </c>
      <c r="O645" s="1188">
        <f>VLOOKUP($I645,'Price List, Weapons &amp; Items'!B:G,6,0)</f>
        <v>70</v>
      </c>
      <c r="P645" s="1185">
        <f t="shared" si="145"/>
        <v>14000</v>
      </c>
      <c r="Q645" s="1185">
        <f t="shared" si="146"/>
        <v>14000</v>
      </c>
      <c r="R645" s="1185" t="str">
        <f t="shared" si="142"/>
        <v/>
      </c>
      <c r="S645" s="1185" t="str">
        <f>IF(AND(AD645=1,R645&lt;&gt;".")=TRUE,R645/VLOOKUP(G645,'Exchange Rates'!B:C,2,0),IF(R645=".",".",""))</f>
        <v/>
      </c>
      <c r="T645" s="1185" t="str">
        <f>IF(AD645=1,IF(AF645="Value is not given at all",".",IF(AF645="Value is given by the source",S645,IF(AF645="Value is calculated with prices",(IF(SUMIFS(Q:Q,A:A,A645)&gt;0,SUMIFS(Q:Q,A:A,A645),"."))/VLOOKUP("USD",'Exchange Rates'!B:C,2,0),"Error with coding"))),"")</f>
        <v/>
      </c>
      <c r="U645" s="1184" t="s">
        <v>365</v>
      </c>
      <c r="V645" s="972" t="s">
        <v>1782</v>
      </c>
      <c r="W645" s="966" t="s">
        <v>1280</v>
      </c>
      <c r="X645" s="1031" t="s">
        <v>364</v>
      </c>
      <c r="Y645" s="1031" t="s">
        <v>364</v>
      </c>
      <c r="Z645" s="1184">
        <v>0</v>
      </c>
      <c r="AA645" s="1194">
        <v>0</v>
      </c>
      <c r="AB645" s="600" t="s">
        <v>1280</v>
      </c>
      <c r="AC645" s="1192" t="str">
        <f>""</f>
        <v/>
      </c>
      <c r="AD645" s="985">
        <v>0</v>
      </c>
      <c r="AE645" s="1194" t="s">
        <v>368</v>
      </c>
      <c r="AF645" s="985" t="s">
        <v>369</v>
      </c>
      <c r="AG645" s="985">
        <v>0</v>
      </c>
      <c r="AH645" s="985">
        <v>0</v>
      </c>
      <c r="AI645" s="985">
        <v>0</v>
      </c>
      <c r="AJ645" s="1193">
        <f>VLOOKUP($I645,'Price List, Weapons &amp; Items'!B:F,5,0)</f>
        <v>0</v>
      </c>
      <c r="AK645" s="1193">
        <f t="shared" si="147"/>
        <v>0</v>
      </c>
      <c r="AL645" s="1193">
        <f t="shared" si="148"/>
        <v>0</v>
      </c>
      <c r="AM645" s="1193">
        <f t="shared" si="149"/>
        <v>0</v>
      </c>
      <c r="AN645" s="1194" t="str">
        <f>VLOOKUP($I645,'Price List, Weapons &amp; Items'!B:L,COLUMN('Price List, Weapons &amp; Items'!$J$11)-1,0)</f>
        <v>Online marketplaces and stores</v>
      </c>
      <c r="AO645" s="1194" t="str">
        <f>IF(I645=".",".",VLOOKUP($I645,'Price List, Weapons &amp; Items'!B:J,3,0))</f>
        <v>Military equipment</v>
      </c>
      <c r="AP645" s="1195" t="str">
        <f t="shared" ca="1" si="143"/>
        <v/>
      </c>
      <c r="AQ645" s="1194">
        <f>VLOOKUP($I645,'Price List, Weapons &amp; Items'!B:L,COLUMN('Price List, Weapons &amp; Items'!$L$11)-1,0)</f>
        <v>1</v>
      </c>
      <c r="AR645" s="1194">
        <f t="shared" si="150"/>
        <v>1</v>
      </c>
      <c r="AS645" s="1194">
        <f t="shared" si="151"/>
        <v>1</v>
      </c>
      <c r="AT645" s="1194" t="str">
        <f t="shared" si="152"/>
        <v>Value is not in date format</v>
      </c>
      <c r="AU645" s="1194" t="str">
        <f t="shared" si="153"/>
        <v>.</v>
      </c>
      <c r="AV645" s="1194" t="str">
        <f t="shared" si="144"/>
        <v>.</v>
      </c>
      <c r="AW645" s="1194" t="str">
        <f t="shared" si="154"/>
        <v>.</v>
      </c>
      <c r="AX645" s="1194">
        <f>IFERROR(VLOOKUP(B645,'Share, Heavy Weapons to Ukraine'!B:Z,COLUMN('Share, Heavy Weapons to Ukraine'!C655)-1,0),0)</f>
        <v>0</v>
      </c>
      <c r="AY645" s="1194">
        <f>VLOOKUP('Bilateral Assistance, MAIN DATA'!B645,'Country Summary (€)'!B:F,COLUMN('Country Summary (€)'!C656)-1,FALSE)</f>
        <v>1</v>
      </c>
      <c r="AZ645" s="1194" t="str">
        <f>IF(AND(AD645=1,D645="Military",H645&lt;&gt;"Not given")=TRUE,IF(SUMIFS(P:P,A:A,A645)&gt;0,ABS((SUMIFS(P:P,A:A,A645)/VLOOKUP("USD",'Exchange Rates'!B:C,2,0)))/S645,"."),".")</f>
        <v>.</v>
      </c>
      <c r="BA645" s="1196" t="str">
        <f>IF(AND(AD645=1,D645="Military",H645&lt;&gt;"Not given")=TRUE,IF(SUMIFS(P:P,A:A,A645)&gt;0,IF((ABS((SUMIFS(P:P,A:A,A645)/VLOOKUP("USD",'Exchange Rates'!B:C,2,0)))/S645)&gt;1,(SUMIFS(P:P,A:A,A645)-S645)/S645,(S645-SUMIFS(P:P,A:A,A645))/SUMIFS(P:P,A:A,A645)),"."),".")</f>
        <v>.</v>
      </c>
    </row>
    <row r="646" spans="1:53" ht="15.95" customHeight="1">
      <c r="A646" s="1180" t="s">
        <v>1884</v>
      </c>
      <c r="B646" s="1182" t="s">
        <v>1711</v>
      </c>
      <c r="C646" s="1181" t="s">
        <v>1797</v>
      </c>
      <c r="D646" s="1182" t="s">
        <v>389</v>
      </c>
      <c r="E646" s="1182" t="s">
        <v>1676</v>
      </c>
      <c r="F646" s="1263" t="s">
        <v>1885</v>
      </c>
      <c r="G646" s="1184" t="s">
        <v>483</v>
      </c>
      <c r="H646" s="1185">
        <v>600000000</v>
      </c>
      <c r="I646" s="1266" t="s">
        <v>1896</v>
      </c>
      <c r="J646" s="1186" t="str">
        <f>VLOOKUP($I646,'Price List, Weapons &amp; Items'!B:C,2,0)</f>
        <v>humanitarian</v>
      </c>
      <c r="K646" s="1186" t="str">
        <f>IF(I646=".",I646,VLOOKUP($I646,'Price List, Weapons &amp; Items'!B:D,3,0))</f>
        <v>Humanitarian</v>
      </c>
      <c r="L646" s="1187">
        <f>VLOOKUP(I646,'Price List, Weapons &amp; Items'!B:E,4,0)</f>
        <v>0</v>
      </c>
      <c r="M646" s="1188">
        <v>116000</v>
      </c>
      <c r="N646" s="1188">
        <v>116000</v>
      </c>
      <c r="O646" s="1188" t="str">
        <f>VLOOKUP($I646,'Price List, Weapons &amp; Items'!B:G,6,0)</f>
        <v>.</v>
      </c>
      <c r="P646" s="1185" t="str">
        <f t="shared" si="145"/>
        <v>No price</v>
      </c>
      <c r="Q646" s="1185" t="str">
        <f t="shared" si="146"/>
        <v>No price</v>
      </c>
      <c r="R646" s="1185" t="str">
        <f t="shared" si="142"/>
        <v/>
      </c>
      <c r="S646" s="1185" t="str">
        <f>IF(AND(AD646=1,R646&lt;&gt;".")=TRUE,R646/VLOOKUP(G646,'Exchange Rates'!B:C,2,0),IF(R646=".",".",""))</f>
        <v/>
      </c>
      <c r="T646" s="1185" t="str">
        <f>IF(AD646=1,IF(AF646="Value is not given at all",".",IF(AF646="Value is given by the source",S646,IF(AF646="Value is calculated with prices",(IF(SUMIFS(Q:Q,A:A,A646)&gt;0,SUMIFS(Q:Q,A:A,A646),"."))/VLOOKUP("USD",'Exchange Rates'!B:C,2,0),"Error with coding"))),"")</f>
        <v/>
      </c>
      <c r="U646" s="1184" t="s">
        <v>365</v>
      </c>
      <c r="V646" s="972" t="s">
        <v>1782</v>
      </c>
      <c r="W646" s="987" t="s">
        <v>1280</v>
      </c>
      <c r="X646" s="1031" t="s">
        <v>364</v>
      </c>
      <c r="Y646" s="1031" t="s">
        <v>364</v>
      </c>
      <c r="Z646" s="1184">
        <v>0</v>
      </c>
      <c r="AA646" s="1194">
        <v>0</v>
      </c>
      <c r="AB646" s="600" t="s">
        <v>1280</v>
      </c>
      <c r="AC646" s="1192" t="str">
        <f>""</f>
        <v/>
      </c>
      <c r="AD646" s="985">
        <v>0</v>
      </c>
      <c r="AE646" s="1194" t="s">
        <v>368</v>
      </c>
      <c r="AF646" s="985" t="s">
        <v>369</v>
      </c>
      <c r="AG646" s="985">
        <v>0</v>
      </c>
      <c r="AH646" s="985">
        <v>0</v>
      </c>
      <c r="AI646" s="985">
        <v>0</v>
      </c>
      <c r="AJ646" s="1193">
        <f>VLOOKUP($I646,'Price List, Weapons &amp; Items'!B:F,5,0)</f>
        <v>0</v>
      </c>
      <c r="AK646" s="1193">
        <f t="shared" si="147"/>
        <v>0</v>
      </c>
      <c r="AL646" s="1193">
        <f t="shared" si="148"/>
        <v>0</v>
      </c>
      <c r="AM646" s="1193">
        <f t="shared" si="149"/>
        <v>0</v>
      </c>
      <c r="AN646" s="1194" t="str">
        <f>VLOOKUP($I646,'Price List, Weapons &amp; Items'!B:L,COLUMN('Price List, Weapons &amp; Items'!$J$11)-1,0)</f>
        <v>.</v>
      </c>
      <c r="AO646" s="1194" t="str">
        <f>IF(I646=".",".",VLOOKUP($I646,'Price List, Weapons &amp; Items'!B:J,3,0))</f>
        <v>Humanitarian</v>
      </c>
      <c r="AP646" s="1195" t="str">
        <f t="shared" ca="1" si="143"/>
        <v/>
      </c>
      <c r="AQ646" s="1194">
        <f>VLOOKUP($I646,'Price List, Weapons &amp; Items'!B:L,COLUMN('Price List, Weapons &amp; Items'!$L$11)-1,0)</f>
        <v>0</v>
      </c>
      <c r="AR646" s="1194">
        <f t="shared" si="150"/>
        <v>1</v>
      </c>
      <c r="AS646" s="1194">
        <f t="shared" si="151"/>
        <v>1</v>
      </c>
      <c r="AT646" s="1194" t="str">
        <f t="shared" si="152"/>
        <v>Value is not in date format</v>
      </c>
      <c r="AU646" s="1194" t="str">
        <f t="shared" si="153"/>
        <v>.</v>
      </c>
      <c r="AV646" s="1194" t="str">
        <f t="shared" si="144"/>
        <v>.</v>
      </c>
      <c r="AW646" s="1194" t="str">
        <f t="shared" si="154"/>
        <v>.</v>
      </c>
      <c r="AX646" s="1194">
        <f>IFERROR(VLOOKUP(B646,'Share, Heavy Weapons to Ukraine'!B:Z,COLUMN('Share, Heavy Weapons to Ukraine'!C656)-1,0),0)</f>
        <v>0</v>
      </c>
      <c r="AY646" s="1194">
        <f>VLOOKUP('Bilateral Assistance, MAIN DATA'!B646,'Country Summary (€)'!B:F,COLUMN('Country Summary (€)'!C657)-1,FALSE)</f>
        <v>1</v>
      </c>
      <c r="AZ646" s="1194" t="str">
        <f>IF(AND(AD646=1,D646="Military",H646&lt;&gt;"Not given")=TRUE,IF(SUMIFS(P:P,A:A,A646)&gt;0,ABS((SUMIFS(P:P,A:A,A646)/VLOOKUP("USD",'Exchange Rates'!B:C,2,0)))/S646,"."),".")</f>
        <v>.</v>
      </c>
      <c r="BA646" s="1196" t="str">
        <f>IF(AND(AD646=1,D646="Military",H646&lt;&gt;"Not given")=TRUE,IF(SUMIFS(P:P,A:A,A646)&gt;0,IF((ABS((SUMIFS(P:P,A:A,A646)/VLOOKUP("USD",'Exchange Rates'!B:C,2,0)))/S646)&gt;1,(SUMIFS(P:P,A:A,A646)-S646)/S646,(S646-SUMIFS(P:P,A:A,A646))/SUMIFS(P:P,A:A,A646)),"."),".")</f>
        <v>.</v>
      </c>
    </row>
    <row r="647" spans="1:53" ht="15.95" customHeight="1">
      <c r="A647" s="1180" t="s">
        <v>1884</v>
      </c>
      <c r="B647" s="1182" t="s">
        <v>1711</v>
      </c>
      <c r="C647" s="1181" t="s">
        <v>1797</v>
      </c>
      <c r="D647" s="1182" t="s">
        <v>389</v>
      </c>
      <c r="E647" s="1182" t="s">
        <v>1676</v>
      </c>
      <c r="F647" s="1263" t="s">
        <v>1885</v>
      </c>
      <c r="G647" s="1184" t="s">
        <v>483</v>
      </c>
      <c r="H647" s="1185">
        <v>600000000</v>
      </c>
      <c r="I647" s="1266" t="s">
        <v>1897</v>
      </c>
      <c r="J647" s="1186" t="str">
        <f>VLOOKUP($I647,'Price List, Weapons &amp; Items'!B:C,2,0)</f>
        <v>humanitarian</v>
      </c>
      <c r="K647" s="1186" t="str">
        <f>IF(I647=".",I647,VLOOKUP($I647,'Price List, Weapons &amp; Items'!B:D,3,0))</f>
        <v>Humanitarian</v>
      </c>
      <c r="L647" s="1187">
        <f>VLOOKUP(I647,'Price List, Weapons &amp; Items'!B:E,4,0)</f>
        <v>0</v>
      </c>
      <c r="M647" s="1188">
        <v>80000</v>
      </c>
      <c r="N647" s="1188">
        <v>80000</v>
      </c>
      <c r="O647" s="1188" t="str">
        <f>VLOOKUP($I647,'Price List, Weapons &amp; Items'!B:G,6,0)</f>
        <v>.</v>
      </c>
      <c r="P647" s="1185" t="str">
        <f t="shared" si="145"/>
        <v>No price</v>
      </c>
      <c r="Q647" s="1185" t="str">
        <f t="shared" si="146"/>
        <v>No price</v>
      </c>
      <c r="R647" s="1185" t="str">
        <f t="shared" si="142"/>
        <v/>
      </c>
      <c r="S647" s="1185" t="str">
        <f>IF(AND(AD647=1,R647&lt;&gt;".")=TRUE,R647/VLOOKUP(G647,'Exchange Rates'!B:C,2,0),IF(R647=".",".",""))</f>
        <v/>
      </c>
      <c r="T647" s="1185" t="str">
        <f>IF(AD647=1,IF(AF647="Value is not given at all",".",IF(AF647="Value is given by the source",S647,IF(AF647="Value is calculated with prices",(IF(SUMIFS(Q:Q,A:A,A647)&gt;0,SUMIFS(Q:Q,A:A,A647),"."))/VLOOKUP("USD",'Exchange Rates'!B:C,2,0),"Error with coding"))),"")</f>
        <v/>
      </c>
      <c r="U647" s="1184" t="s">
        <v>365</v>
      </c>
      <c r="V647" s="972" t="s">
        <v>1782</v>
      </c>
      <c r="W647" s="966" t="s">
        <v>1280</v>
      </c>
      <c r="X647" s="1031" t="s">
        <v>364</v>
      </c>
      <c r="Y647" s="1031" t="s">
        <v>364</v>
      </c>
      <c r="Z647" s="1184">
        <v>0</v>
      </c>
      <c r="AA647" s="1194">
        <v>0</v>
      </c>
      <c r="AB647" s="600" t="s">
        <v>1280</v>
      </c>
      <c r="AC647" s="1192" t="str">
        <f>""</f>
        <v/>
      </c>
      <c r="AD647" s="985">
        <v>0</v>
      </c>
      <c r="AE647" s="1194" t="s">
        <v>368</v>
      </c>
      <c r="AF647" s="985" t="s">
        <v>369</v>
      </c>
      <c r="AG647" s="985">
        <v>0</v>
      </c>
      <c r="AH647" s="985">
        <v>0</v>
      </c>
      <c r="AI647" s="985">
        <v>0</v>
      </c>
      <c r="AJ647" s="1193">
        <f>VLOOKUP($I647,'Price List, Weapons &amp; Items'!B:F,5,0)</f>
        <v>0</v>
      </c>
      <c r="AK647" s="1193">
        <f t="shared" si="147"/>
        <v>0</v>
      </c>
      <c r="AL647" s="1193">
        <f t="shared" si="148"/>
        <v>0</v>
      </c>
      <c r="AM647" s="1193">
        <f t="shared" si="149"/>
        <v>0</v>
      </c>
      <c r="AN647" s="1194" t="str">
        <f>VLOOKUP($I647,'Price List, Weapons &amp; Items'!B:L,COLUMN('Price List, Weapons &amp; Items'!$J$11)-1,0)</f>
        <v>.</v>
      </c>
      <c r="AO647" s="1194" t="str">
        <f>IF(I647=".",".",VLOOKUP($I647,'Price List, Weapons &amp; Items'!B:J,3,0))</f>
        <v>Humanitarian</v>
      </c>
      <c r="AP647" s="1195" t="str">
        <f t="shared" ca="1" si="143"/>
        <v/>
      </c>
      <c r="AQ647" s="1194">
        <f>VLOOKUP($I647,'Price List, Weapons &amp; Items'!B:L,COLUMN('Price List, Weapons &amp; Items'!$L$11)-1,0)</f>
        <v>0</v>
      </c>
      <c r="AR647" s="1194">
        <f t="shared" si="150"/>
        <v>1</v>
      </c>
      <c r="AS647" s="1194">
        <f t="shared" si="151"/>
        <v>1</v>
      </c>
      <c r="AT647" s="1194" t="str">
        <f t="shared" si="152"/>
        <v>Value is not in date format</v>
      </c>
      <c r="AU647" s="1194" t="str">
        <f t="shared" si="153"/>
        <v>.</v>
      </c>
      <c r="AV647" s="1194" t="str">
        <f t="shared" si="144"/>
        <v>.</v>
      </c>
      <c r="AW647" s="1194" t="str">
        <f t="shared" si="154"/>
        <v>.</v>
      </c>
      <c r="AX647" s="1194">
        <f>IFERROR(VLOOKUP(B647,'Share, Heavy Weapons to Ukraine'!B:Z,COLUMN('Share, Heavy Weapons to Ukraine'!C657)-1,0),0)</f>
        <v>0</v>
      </c>
      <c r="AY647" s="1194">
        <f>VLOOKUP('Bilateral Assistance, MAIN DATA'!B647,'Country Summary (€)'!B:F,COLUMN('Country Summary (€)'!C658)-1,FALSE)</f>
        <v>1</v>
      </c>
      <c r="AZ647" s="1194" t="str">
        <f>IF(AND(AD647=1,D647="Military",H647&lt;&gt;"Not given")=TRUE,IF(SUMIFS(P:P,A:A,A647)&gt;0,ABS((SUMIFS(P:P,A:A,A647)/VLOOKUP("USD",'Exchange Rates'!B:C,2,0)))/S647,"."),".")</f>
        <v>.</v>
      </c>
      <c r="BA647" s="1196" t="str">
        <f>IF(AND(AD647=1,D647="Military",H647&lt;&gt;"Not given")=TRUE,IF(SUMIFS(P:P,A:A,A647)&gt;0,IF((ABS((SUMIFS(P:P,A:A,A647)/VLOOKUP("USD",'Exchange Rates'!B:C,2,0)))/S647)&gt;1,(SUMIFS(P:P,A:A,A647)-S647)/S647,(S647-SUMIFS(P:P,A:A,A647))/SUMIFS(P:P,A:A,A647)),"."),".")</f>
        <v>.</v>
      </c>
    </row>
    <row r="648" spans="1:53" ht="15.95" customHeight="1">
      <c r="A648" s="1180" t="s">
        <v>1884</v>
      </c>
      <c r="B648" s="1182" t="s">
        <v>1711</v>
      </c>
      <c r="C648" s="1181" t="s">
        <v>1797</v>
      </c>
      <c r="D648" s="1182" t="s">
        <v>389</v>
      </c>
      <c r="E648" s="1182" t="s">
        <v>1676</v>
      </c>
      <c r="F648" s="1263" t="s">
        <v>1885</v>
      </c>
      <c r="G648" s="1184" t="s">
        <v>483</v>
      </c>
      <c r="H648" s="1185">
        <v>600000000</v>
      </c>
      <c r="I648" s="1266" t="s">
        <v>1898</v>
      </c>
      <c r="J648" s="1186" t="str">
        <f>VLOOKUP($I648,'Price List, Weapons &amp; Items'!B:C,2,0)</f>
        <v>humanitarian</v>
      </c>
      <c r="K648" s="1186" t="str">
        <f>IF(I648=".",I648,VLOOKUP($I648,'Price List, Weapons &amp; Items'!B:D,3,0))</f>
        <v>Humanitarian</v>
      </c>
      <c r="L648" s="1187">
        <f>VLOOKUP(I648,'Price List, Weapons &amp; Items'!B:E,4,0)</f>
        <v>0</v>
      </c>
      <c r="M648" s="1188">
        <v>240000</v>
      </c>
      <c r="N648" s="1188">
        <v>240000</v>
      </c>
      <c r="O648" s="1188" t="str">
        <f>VLOOKUP($I648,'Price List, Weapons &amp; Items'!B:G,6,0)</f>
        <v>.</v>
      </c>
      <c r="P648" s="1185" t="str">
        <f t="shared" si="145"/>
        <v>No price</v>
      </c>
      <c r="Q648" s="1185" t="str">
        <f t="shared" si="146"/>
        <v>No price</v>
      </c>
      <c r="R648" s="1185" t="str">
        <f t="shared" si="142"/>
        <v/>
      </c>
      <c r="S648" s="1185" t="str">
        <f>IF(AND(AD648=1,R648&lt;&gt;".")=TRUE,R648/VLOOKUP(G648,'Exchange Rates'!B:C,2,0),IF(R648=".",".",""))</f>
        <v/>
      </c>
      <c r="T648" s="1185" t="str">
        <f>IF(AD648=1,IF(AF648="Value is not given at all",".",IF(AF648="Value is given by the source",S648,IF(AF648="Value is calculated with prices",(IF(SUMIFS(Q:Q,A:A,A648)&gt;0,SUMIFS(Q:Q,A:A,A648),"."))/VLOOKUP("USD",'Exchange Rates'!B:C,2,0),"Error with coding"))),"")</f>
        <v/>
      </c>
      <c r="U648" s="1184" t="s">
        <v>365</v>
      </c>
      <c r="V648" s="972" t="s">
        <v>1782</v>
      </c>
      <c r="W648" s="987" t="s">
        <v>1280</v>
      </c>
      <c r="X648" s="1031" t="s">
        <v>364</v>
      </c>
      <c r="Y648" s="1031" t="s">
        <v>364</v>
      </c>
      <c r="Z648" s="1184">
        <v>0</v>
      </c>
      <c r="AA648" s="1194">
        <v>0</v>
      </c>
      <c r="AB648" s="600" t="s">
        <v>1280</v>
      </c>
      <c r="AC648" s="1192" t="str">
        <f>""</f>
        <v/>
      </c>
      <c r="AD648" s="985">
        <v>0</v>
      </c>
      <c r="AE648" s="1194" t="s">
        <v>368</v>
      </c>
      <c r="AF648" s="985" t="s">
        <v>369</v>
      </c>
      <c r="AG648" s="985">
        <v>0</v>
      </c>
      <c r="AH648" s="985">
        <v>0</v>
      </c>
      <c r="AI648" s="985">
        <v>0</v>
      </c>
      <c r="AJ648" s="1193">
        <f>VLOOKUP($I648,'Price List, Weapons &amp; Items'!B:F,5,0)</f>
        <v>0</v>
      </c>
      <c r="AK648" s="1193">
        <f t="shared" si="147"/>
        <v>0</v>
      </c>
      <c r="AL648" s="1193">
        <f t="shared" si="148"/>
        <v>0</v>
      </c>
      <c r="AM648" s="1193">
        <f t="shared" si="149"/>
        <v>0</v>
      </c>
      <c r="AN648" s="1194" t="str">
        <f>VLOOKUP($I648,'Price List, Weapons &amp; Items'!B:L,COLUMN('Price List, Weapons &amp; Items'!$J$11)-1,0)</f>
        <v>.</v>
      </c>
      <c r="AO648" s="1194" t="str">
        <f>IF(I648=".",".",VLOOKUP($I648,'Price List, Weapons &amp; Items'!B:J,3,0))</f>
        <v>Humanitarian</v>
      </c>
      <c r="AP648" s="1195" t="str">
        <f t="shared" ca="1" si="143"/>
        <v/>
      </c>
      <c r="AQ648" s="1194">
        <f>VLOOKUP($I648,'Price List, Weapons &amp; Items'!B:L,COLUMN('Price List, Weapons &amp; Items'!$L$11)-1,0)</f>
        <v>0</v>
      </c>
      <c r="AR648" s="1194">
        <f t="shared" si="150"/>
        <v>1</v>
      </c>
      <c r="AS648" s="1194">
        <f t="shared" si="151"/>
        <v>1</v>
      </c>
      <c r="AT648" s="1194" t="str">
        <f t="shared" si="152"/>
        <v>Value is not in date format</v>
      </c>
      <c r="AU648" s="1194" t="str">
        <f t="shared" si="153"/>
        <v>.</v>
      </c>
      <c r="AV648" s="1194" t="str">
        <f t="shared" si="144"/>
        <v>.</v>
      </c>
      <c r="AW648" s="1194" t="str">
        <f t="shared" si="154"/>
        <v>.</v>
      </c>
      <c r="AX648" s="1194">
        <f>IFERROR(VLOOKUP(B648,'Share, Heavy Weapons to Ukraine'!B:Z,COLUMN('Share, Heavy Weapons to Ukraine'!C658)-1,0),0)</f>
        <v>0</v>
      </c>
      <c r="AY648" s="1194">
        <f>VLOOKUP('Bilateral Assistance, MAIN DATA'!B648,'Country Summary (€)'!B:F,COLUMN('Country Summary (€)'!C659)-1,FALSE)</f>
        <v>1</v>
      </c>
      <c r="AZ648" s="1194" t="str">
        <f>IF(AND(AD648=1,D648="Military",H648&lt;&gt;"Not given")=TRUE,IF(SUMIFS(P:P,A:A,A648)&gt;0,ABS((SUMIFS(P:P,A:A,A648)/VLOOKUP("USD",'Exchange Rates'!B:C,2,0)))/S648,"."),".")</f>
        <v>.</v>
      </c>
      <c r="BA648" s="1196" t="str">
        <f>IF(AND(AD648=1,D648="Military",H648&lt;&gt;"Not given")=TRUE,IF(SUMIFS(P:P,A:A,A648)&gt;0,IF((ABS((SUMIFS(P:P,A:A,A648)/VLOOKUP("USD",'Exchange Rates'!B:C,2,0)))/S648)&gt;1,(SUMIFS(P:P,A:A,A648)-S648)/S648,(S648-SUMIFS(P:P,A:A,A648))/SUMIFS(P:P,A:A,A648)),"."),".")</f>
        <v>.</v>
      </c>
    </row>
    <row r="649" spans="1:53" ht="15.95" customHeight="1">
      <c r="A649" s="1180" t="s">
        <v>1884</v>
      </c>
      <c r="B649" s="1182" t="s">
        <v>1711</v>
      </c>
      <c r="C649" s="1181" t="s">
        <v>1797</v>
      </c>
      <c r="D649" s="1182" t="s">
        <v>389</v>
      </c>
      <c r="E649" s="1182" t="s">
        <v>1676</v>
      </c>
      <c r="F649" s="1263" t="s">
        <v>1885</v>
      </c>
      <c r="G649" s="1184" t="s">
        <v>483</v>
      </c>
      <c r="H649" s="1185">
        <v>600000000</v>
      </c>
      <c r="I649" s="1266" t="s">
        <v>1899</v>
      </c>
      <c r="J649" s="1186" t="str">
        <f>VLOOKUP($I649,'Price List, Weapons &amp; Items'!B:C,2,0)</f>
        <v>Military equipment</v>
      </c>
      <c r="K649" s="1186" t="str">
        <f>IF(I649=".",I649,VLOOKUP($I649,'Price List, Weapons &amp; Items'!B:D,3,0))</f>
        <v>Military equipment</v>
      </c>
      <c r="L649" s="1187">
        <f>VLOOKUP(I649,'Price List, Weapons &amp; Items'!B:E,4,0)</f>
        <v>0</v>
      </c>
      <c r="M649" s="1188">
        <v>405000</v>
      </c>
      <c r="N649" s="1188">
        <v>405000</v>
      </c>
      <c r="O649" s="1188">
        <f>VLOOKUP($I649,'Price List, Weapons &amp; Items'!B:G,6,0)</f>
        <v>22</v>
      </c>
      <c r="P649" s="1185">
        <f t="shared" si="145"/>
        <v>8910000</v>
      </c>
      <c r="Q649" s="1185">
        <f t="shared" si="146"/>
        <v>8910000</v>
      </c>
      <c r="R649" s="1185" t="str">
        <f t="shared" si="142"/>
        <v/>
      </c>
      <c r="S649" s="1185" t="str">
        <f>IF(AND(AD649=1,R649&lt;&gt;".")=TRUE,R649/VLOOKUP(G649,'Exchange Rates'!B:C,2,0),IF(R649=".",".",""))</f>
        <v/>
      </c>
      <c r="T649" s="1185" t="str">
        <f>IF(AD649=1,IF(AF649="Value is not given at all",".",IF(AF649="Value is given by the source",S649,IF(AF649="Value is calculated with prices",(IF(SUMIFS(Q:Q,A:A,A649)&gt;0,SUMIFS(Q:Q,A:A,A649),"."))/VLOOKUP("USD",'Exchange Rates'!B:C,2,0),"Error with coding"))),"")</f>
        <v/>
      </c>
      <c r="U649" s="1184" t="s">
        <v>365</v>
      </c>
      <c r="V649" s="972" t="s">
        <v>1782</v>
      </c>
      <c r="W649" s="966" t="s">
        <v>1280</v>
      </c>
      <c r="X649" s="1031" t="s">
        <v>364</v>
      </c>
      <c r="Y649" s="1031" t="s">
        <v>364</v>
      </c>
      <c r="Z649" s="1184">
        <v>0</v>
      </c>
      <c r="AA649" s="1194">
        <v>0</v>
      </c>
      <c r="AB649" s="600" t="s">
        <v>1280</v>
      </c>
      <c r="AC649" s="1192" t="str">
        <f>""</f>
        <v/>
      </c>
      <c r="AD649" s="985">
        <v>0</v>
      </c>
      <c r="AE649" s="1194" t="s">
        <v>368</v>
      </c>
      <c r="AF649" s="985" t="s">
        <v>369</v>
      </c>
      <c r="AG649" s="985">
        <v>0</v>
      </c>
      <c r="AH649" s="985">
        <v>0</v>
      </c>
      <c r="AI649" s="985">
        <v>0</v>
      </c>
      <c r="AJ649" s="1193">
        <f>VLOOKUP($I649,'Price List, Weapons &amp; Items'!B:F,5,0)</f>
        <v>0</v>
      </c>
      <c r="AK649" s="1193">
        <f t="shared" si="147"/>
        <v>0</v>
      </c>
      <c r="AL649" s="1193">
        <f t="shared" si="148"/>
        <v>0</v>
      </c>
      <c r="AM649" s="1193">
        <f t="shared" si="149"/>
        <v>0</v>
      </c>
      <c r="AN649" s="1194" t="str">
        <f>VLOOKUP($I649,'Price List, Weapons &amp; Items'!B:L,COLUMN('Price List, Weapons &amp; Items'!$J$11)-1,0)</f>
        <v>Online marketplaces and stores</v>
      </c>
      <c r="AO649" s="1194" t="str">
        <f>IF(I649=".",".",VLOOKUP($I649,'Price List, Weapons &amp; Items'!B:J,3,0))</f>
        <v>Military equipment</v>
      </c>
      <c r="AP649" s="1195" t="str">
        <f t="shared" ca="1" si="143"/>
        <v/>
      </c>
      <c r="AQ649" s="1194">
        <f>VLOOKUP($I649,'Price List, Weapons &amp; Items'!B:L,COLUMN('Price List, Weapons &amp; Items'!$L$11)-1,0)</f>
        <v>2</v>
      </c>
      <c r="AR649" s="1194">
        <f t="shared" si="150"/>
        <v>1</v>
      </c>
      <c r="AS649" s="1194">
        <f t="shared" si="151"/>
        <v>1</v>
      </c>
      <c r="AT649" s="1194" t="str">
        <f t="shared" si="152"/>
        <v>Value is not in date format</v>
      </c>
      <c r="AU649" s="1194" t="str">
        <f t="shared" si="153"/>
        <v>.</v>
      </c>
      <c r="AV649" s="1194" t="str">
        <f t="shared" si="144"/>
        <v>.</v>
      </c>
      <c r="AW649" s="1194" t="str">
        <f t="shared" si="154"/>
        <v>.</v>
      </c>
      <c r="AX649" s="1194">
        <f>IFERROR(VLOOKUP(B649,'Share, Heavy Weapons to Ukraine'!B:Z,COLUMN('Share, Heavy Weapons to Ukraine'!C659)-1,0),0)</f>
        <v>0</v>
      </c>
      <c r="AY649" s="1194">
        <f>VLOOKUP('Bilateral Assistance, MAIN DATA'!B649,'Country Summary (€)'!B:F,COLUMN('Country Summary (€)'!C660)-1,FALSE)</f>
        <v>1</v>
      </c>
      <c r="AZ649" s="1194" t="str">
        <f>IF(AND(AD649=1,D649="Military",H649&lt;&gt;"Not given")=TRUE,IF(SUMIFS(P:P,A:A,A649)&gt;0,ABS((SUMIFS(P:P,A:A,A649)/VLOOKUP("USD",'Exchange Rates'!B:C,2,0)))/S649,"."),".")</f>
        <v>.</v>
      </c>
      <c r="BA649" s="1196" t="str">
        <f>IF(AND(AD649=1,D649="Military",H649&lt;&gt;"Not given")=TRUE,IF(SUMIFS(P:P,A:A,A649)&gt;0,IF((ABS((SUMIFS(P:P,A:A,A649)/VLOOKUP("USD",'Exchange Rates'!B:C,2,0)))/S649)&gt;1,(SUMIFS(P:P,A:A,A649)-S649)/S649,(S649-SUMIFS(P:P,A:A,A649))/SUMIFS(P:P,A:A,A649)),"."),".")</f>
        <v>.</v>
      </c>
    </row>
    <row r="650" spans="1:53" ht="15.95" customHeight="1">
      <c r="A650" s="1180" t="s">
        <v>1884</v>
      </c>
      <c r="B650" s="1182" t="s">
        <v>1711</v>
      </c>
      <c r="C650" s="1181" t="s">
        <v>1797</v>
      </c>
      <c r="D650" s="1182" t="s">
        <v>389</v>
      </c>
      <c r="E650" s="1182" t="s">
        <v>1676</v>
      </c>
      <c r="F650" s="1263" t="s">
        <v>1885</v>
      </c>
      <c r="G650" s="1184" t="s">
        <v>483</v>
      </c>
      <c r="H650" s="1185">
        <v>600000000</v>
      </c>
      <c r="I650" s="1266" t="s">
        <v>1900</v>
      </c>
      <c r="J650" s="1186" t="str">
        <f>VLOOKUP($I650,'Price List, Weapons &amp; Items'!B:C,2,0)</f>
        <v>Ammunition for heavy weapon</v>
      </c>
      <c r="K650" s="1186" t="str">
        <f>IF(I650=".",I650,VLOOKUP($I650,'Price List, Weapons &amp; Items'!B:D,3,0))</f>
        <v>Anti-aircraft guns ammunition</v>
      </c>
      <c r="L650" s="1187">
        <f>VLOOKUP(I650,'Price List, Weapons &amp; Items'!B:E,4,0)</f>
        <v>0</v>
      </c>
      <c r="M650" s="1188">
        <v>4000</v>
      </c>
      <c r="N650" s="1188">
        <v>4000</v>
      </c>
      <c r="O650" s="1188">
        <f>VLOOKUP($I650,'Price List, Weapons &amp; Items'!B:G,6,0)</f>
        <v>266.94</v>
      </c>
      <c r="P650" s="1185">
        <f t="shared" si="145"/>
        <v>1067760</v>
      </c>
      <c r="Q650" s="1185">
        <f t="shared" si="146"/>
        <v>1067760</v>
      </c>
      <c r="R650" s="1185" t="str">
        <f t="shared" si="142"/>
        <v/>
      </c>
      <c r="S650" s="1185" t="str">
        <f>IF(AND(AD650=1,R650&lt;&gt;".")=TRUE,R650/VLOOKUP(G650,'Exchange Rates'!B:C,2,0),IF(R650=".",".",""))</f>
        <v/>
      </c>
      <c r="T650" s="1185" t="str">
        <f>IF(AD650=1,IF(AF650="Value is not given at all",".",IF(AF650="Value is given by the source",S650,IF(AF650="Value is calculated with prices",(IF(SUMIFS(Q:Q,A:A,A650)&gt;0,SUMIFS(Q:Q,A:A,A650),"."))/VLOOKUP("USD",'Exchange Rates'!B:C,2,0),"Error with coding"))),"")</f>
        <v/>
      </c>
      <c r="U650" s="1184" t="s">
        <v>365</v>
      </c>
      <c r="V650" s="972" t="s">
        <v>1782</v>
      </c>
      <c r="W650" s="987" t="s">
        <v>1280</v>
      </c>
      <c r="X650" s="1031" t="s">
        <v>364</v>
      </c>
      <c r="Y650" s="1031" t="s">
        <v>364</v>
      </c>
      <c r="Z650" s="1184">
        <v>0</v>
      </c>
      <c r="AA650" s="1194">
        <v>0</v>
      </c>
      <c r="AB650" s="600" t="s">
        <v>1280</v>
      </c>
      <c r="AC650" s="1192" t="str">
        <f>""</f>
        <v/>
      </c>
      <c r="AD650" s="985">
        <v>0</v>
      </c>
      <c r="AE650" s="1194" t="s">
        <v>368</v>
      </c>
      <c r="AF650" s="985" t="s">
        <v>369</v>
      </c>
      <c r="AG650" s="985">
        <v>0</v>
      </c>
      <c r="AH650" s="985">
        <v>0</v>
      </c>
      <c r="AI650" s="985">
        <v>0</v>
      </c>
      <c r="AJ650" s="1193">
        <f>VLOOKUP($I650,'Price List, Weapons &amp; Items'!B:F,5,0)</f>
        <v>0</v>
      </c>
      <c r="AK650" s="1193">
        <f t="shared" si="147"/>
        <v>0</v>
      </c>
      <c r="AL650" s="1193">
        <f t="shared" si="148"/>
        <v>0</v>
      </c>
      <c r="AM650" s="1193">
        <f t="shared" si="149"/>
        <v>1</v>
      </c>
      <c r="AN650" s="1194" t="str">
        <f>VLOOKUP($I650,'Price List, Weapons &amp; Items'!B:L,COLUMN('Price List, Weapons &amp; Items'!$J$11)-1,0)</f>
        <v>Miscellaneous</v>
      </c>
      <c r="AO650" s="1194" t="str">
        <f>IF(I650=".",".",VLOOKUP($I650,'Price List, Weapons &amp; Items'!B:J,3,0))</f>
        <v>Anti-aircraft guns ammunition</v>
      </c>
      <c r="AP650" s="1195" t="str">
        <f t="shared" ca="1" si="143"/>
        <v/>
      </c>
      <c r="AQ650" s="1194">
        <f>VLOOKUP($I650,'Price List, Weapons &amp; Items'!B:L,COLUMN('Price List, Weapons &amp; Items'!$L$11)-1,0)</f>
        <v>1</v>
      </c>
      <c r="AR650" s="1194">
        <f t="shared" si="150"/>
        <v>1</v>
      </c>
      <c r="AS650" s="1194">
        <f t="shared" si="151"/>
        <v>1</v>
      </c>
      <c r="AT650" s="1194" t="str">
        <f t="shared" si="152"/>
        <v>Value is not in date format</v>
      </c>
      <c r="AU650" s="1194" t="str">
        <f t="shared" si="153"/>
        <v>.</v>
      </c>
      <c r="AV650" s="1194" t="str">
        <f t="shared" si="144"/>
        <v>.</v>
      </c>
      <c r="AW650" s="1194" t="str">
        <f t="shared" si="154"/>
        <v>.</v>
      </c>
      <c r="AX650" s="1194">
        <f>IFERROR(VLOOKUP(B650,'Share, Heavy Weapons to Ukraine'!B:Z,COLUMN('Share, Heavy Weapons to Ukraine'!C660)-1,0),0)</f>
        <v>0</v>
      </c>
      <c r="AY650" s="1194">
        <f>VLOOKUP('Bilateral Assistance, MAIN DATA'!B650,'Country Summary (€)'!B:F,COLUMN('Country Summary (€)'!C661)-1,FALSE)</f>
        <v>1</v>
      </c>
      <c r="AZ650" s="1194" t="str">
        <f>IF(AND(AD650=1,D650="Military",H650&lt;&gt;"Not given")=TRUE,IF(SUMIFS(P:P,A:A,A650)&gt;0,ABS((SUMIFS(P:P,A:A,A650)/VLOOKUP("USD",'Exchange Rates'!B:C,2,0)))/S650,"."),".")</f>
        <v>.</v>
      </c>
      <c r="BA650" s="1196" t="str">
        <f>IF(AND(AD650=1,D650="Military",H650&lt;&gt;"Not given")=TRUE,IF(SUMIFS(P:P,A:A,A650)&gt;0,IF((ABS((SUMIFS(P:P,A:A,A650)/VLOOKUP("USD",'Exchange Rates'!B:C,2,0)))/S650)&gt;1,(SUMIFS(P:P,A:A,A650)-S650)/S650,(S650-SUMIFS(P:P,A:A,A650))/SUMIFS(P:P,A:A,A650)),"."),".")</f>
        <v>.</v>
      </c>
    </row>
    <row r="651" spans="1:53" ht="15.95" customHeight="1">
      <c r="A651" s="1180" t="s">
        <v>1884</v>
      </c>
      <c r="B651" s="1182" t="s">
        <v>1711</v>
      </c>
      <c r="C651" s="1181" t="s">
        <v>1797</v>
      </c>
      <c r="D651" s="1182" t="s">
        <v>389</v>
      </c>
      <c r="E651" s="1182" t="s">
        <v>1676</v>
      </c>
      <c r="F651" s="1263" t="s">
        <v>1885</v>
      </c>
      <c r="G651" s="1184" t="s">
        <v>483</v>
      </c>
      <c r="H651" s="1185">
        <v>600000000</v>
      </c>
      <c r="I651" s="1266" t="s">
        <v>1901</v>
      </c>
      <c r="J651" s="1186" t="str">
        <f>VLOOKUP($I651,'Price List, Weapons &amp; Items'!B:C,2,0)</f>
        <v>Ammunition for heavy weapon</v>
      </c>
      <c r="K651" s="1186" t="str">
        <f>IF(I651=".",I651,VLOOKUP($I651,'Price List, Weapons &amp; Items'!B:D,3,0))</f>
        <v>Anti-aircraft guns ammunition</v>
      </c>
      <c r="L651" s="1187">
        <f>VLOOKUP(I651,'Price List, Weapons &amp; Items'!B:E,4,0)</f>
        <v>0</v>
      </c>
      <c r="M651" s="1188">
        <v>53000</v>
      </c>
      <c r="N651" s="1275">
        <v>53000</v>
      </c>
      <c r="O651" s="1188">
        <f>VLOOKUP($I651,'Price List, Weapons &amp; Items'!B:G,6,0)</f>
        <v>266.94</v>
      </c>
      <c r="P651" s="1185">
        <f t="shared" si="145"/>
        <v>14147820</v>
      </c>
      <c r="Q651" s="1185">
        <f t="shared" si="146"/>
        <v>14147820</v>
      </c>
      <c r="R651" s="1185" t="str">
        <f t="shared" si="142"/>
        <v/>
      </c>
      <c r="S651" s="1185" t="str">
        <f>IF(AND(AD651=1,R651&lt;&gt;".")=TRUE,R651/VLOOKUP(G651,'Exchange Rates'!B:C,2,0),IF(R651=".",".",""))</f>
        <v/>
      </c>
      <c r="T651" s="1185" t="str">
        <f>IF(AD651=1,IF(AF651="Value is not given at all",".",IF(AF651="Value is given by the source",S651,IF(AF651="Value is calculated with prices",(IF(SUMIFS(Q:Q,A:A,A651)&gt;0,SUMIFS(Q:Q,A:A,A651),"."))/VLOOKUP("USD",'Exchange Rates'!B:C,2,0),"Error with coding"))),"")</f>
        <v/>
      </c>
      <c r="U651" s="1184" t="s">
        <v>365</v>
      </c>
      <c r="V651" s="972" t="s">
        <v>1782</v>
      </c>
      <c r="W651" s="966" t="s">
        <v>1280</v>
      </c>
      <c r="X651" s="1031" t="s">
        <v>364</v>
      </c>
      <c r="Y651" s="1031" t="s">
        <v>364</v>
      </c>
      <c r="Z651" s="1184">
        <v>0</v>
      </c>
      <c r="AA651" s="1194">
        <v>1</v>
      </c>
      <c r="AB651" s="600" t="s">
        <v>1280</v>
      </c>
      <c r="AC651" s="1192" t="str">
        <f>""</f>
        <v/>
      </c>
      <c r="AD651" s="985">
        <v>0</v>
      </c>
      <c r="AE651" s="1194" t="s">
        <v>368</v>
      </c>
      <c r="AF651" s="985" t="s">
        <v>369</v>
      </c>
      <c r="AG651" s="985">
        <v>0</v>
      </c>
      <c r="AH651" s="985">
        <v>0</v>
      </c>
      <c r="AI651" s="985">
        <v>0</v>
      </c>
      <c r="AJ651" s="1193">
        <f>VLOOKUP($I651,'Price List, Weapons &amp; Items'!B:F,5,0)</f>
        <v>0</v>
      </c>
      <c r="AK651" s="1193">
        <f t="shared" si="147"/>
        <v>0</v>
      </c>
      <c r="AL651" s="1193">
        <f t="shared" si="148"/>
        <v>0</v>
      </c>
      <c r="AM651" s="1193">
        <f t="shared" si="149"/>
        <v>1</v>
      </c>
      <c r="AN651" s="1194" t="str">
        <f>VLOOKUP($I651,'Price List, Weapons &amp; Items'!B:L,COLUMN('Price List, Weapons &amp; Items'!$J$11)-1,0)</f>
        <v>Miscellaneous</v>
      </c>
      <c r="AO651" s="1194" t="str">
        <f>IF(I651=".",".",VLOOKUP($I651,'Price List, Weapons &amp; Items'!B:J,3,0))</f>
        <v>Anti-aircraft guns ammunition</v>
      </c>
      <c r="AP651" s="1195" t="str">
        <f t="shared" ca="1" si="143"/>
        <v/>
      </c>
      <c r="AQ651" s="1194">
        <f>VLOOKUP($I651,'Price List, Weapons &amp; Items'!B:L,COLUMN('Price List, Weapons &amp; Items'!$L$11)-1,0)</f>
        <v>2</v>
      </c>
      <c r="AR651" s="1194">
        <f t="shared" si="150"/>
        <v>1</v>
      </c>
      <c r="AS651" s="1194">
        <f t="shared" si="151"/>
        <v>1</v>
      </c>
      <c r="AT651" s="1194" t="str">
        <f t="shared" si="152"/>
        <v>Value is not in date format</v>
      </c>
      <c r="AU651" s="1194" t="str">
        <f t="shared" si="153"/>
        <v>.</v>
      </c>
      <c r="AV651" s="1194" t="str">
        <f t="shared" si="144"/>
        <v>.</v>
      </c>
      <c r="AW651" s="1194" t="str">
        <f t="shared" si="154"/>
        <v>.</v>
      </c>
      <c r="AX651" s="1194">
        <f>IFERROR(VLOOKUP(B651,'Share, Heavy Weapons to Ukraine'!B:Z,COLUMN('Share, Heavy Weapons to Ukraine'!C661)-1,0),0)</f>
        <v>0</v>
      </c>
      <c r="AY651" s="1194">
        <f>VLOOKUP('Bilateral Assistance, MAIN DATA'!B651,'Country Summary (€)'!B:F,COLUMN('Country Summary (€)'!C662)-1,FALSE)</f>
        <v>1</v>
      </c>
      <c r="AZ651" s="1194" t="str">
        <f>IF(AND(AD651=1,D651="Military",H651&lt;&gt;"Not given")=TRUE,IF(SUMIFS(P:P,A:A,A651)&gt;0,ABS((SUMIFS(P:P,A:A,A651)/VLOOKUP("USD",'Exchange Rates'!B:C,2,0)))/S651,"."),".")</f>
        <v>.</v>
      </c>
      <c r="BA651" s="1196" t="str">
        <f>IF(AND(AD651=1,D651="Military",H651&lt;&gt;"Not given")=TRUE,IF(SUMIFS(P:P,A:A,A651)&gt;0,IF((ABS((SUMIFS(P:P,A:A,A651)/VLOOKUP("USD",'Exchange Rates'!B:C,2,0)))/S651)&gt;1,(SUMIFS(P:P,A:A,A651)-S651)/S651,(S651-SUMIFS(P:P,A:A,A651))/SUMIFS(P:P,A:A,A651)),"."),".")</f>
        <v>.</v>
      </c>
    </row>
    <row r="652" spans="1:53" ht="15.95" customHeight="1">
      <c r="A652" s="1180" t="s">
        <v>1884</v>
      </c>
      <c r="B652" s="1182" t="s">
        <v>1711</v>
      </c>
      <c r="C652" s="1181" t="s">
        <v>1797</v>
      </c>
      <c r="D652" s="1182" t="s">
        <v>389</v>
      </c>
      <c r="E652" s="1182" t="s">
        <v>1676</v>
      </c>
      <c r="F652" s="1263" t="s">
        <v>1885</v>
      </c>
      <c r="G652" s="1184" t="s">
        <v>483</v>
      </c>
      <c r="H652" s="1185">
        <v>600000000</v>
      </c>
      <c r="I652" s="1266" t="s">
        <v>1902</v>
      </c>
      <c r="J652" s="1186" t="str">
        <f>VLOOKUP($I652,'Price List, Weapons &amp; Items'!B:C,2,0)</f>
        <v>Portable defence system</v>
      </c>
      <c r="K652" s="1186" t="str">
        <f>IF(I652=".",I652,VLOOKUP($I652,'Price List, Weapons &amp; Items'!B:D,3,0))</f>
        <v>Light Anti-armor Weapon (LAW)</v>
      </c>
      <c r="L652" s="1187">
        <f>VLOOKUP(I652,'Price List, Weapons &amp; Items'!B:E,4,0)</f>
        <v>0</v>
      </c>
      <c r="M652" s="1188">
        <v>3000</v>
      </c>
      <c r="N652" s="1188">
        <v>3000</v>
      </c>
      <c r="O652" s="1188">
        <f>VLOOKUP($I652,'Price List, Weapons &amp; Items'!B:G,6,0)</f>
        <v>11108</v>
      </c>
      <c r="P652" s="1185">
        <f t="shared" si="145"/>
        <v>33324000</v>
      </c>
      <c r="Q652" s="1185">
        <f t="shared" si="146"/>
        <v>33324000</v>
      </c>
      <c r="R652" s="1185" t="str">
        <f t="shared" si="142"/>
        <v/>
      </c>
      <c r="S652" s="1185" t="str">
        <f>IF(AND(AD652=1,R652&lt;&gt;".")=TRUE,R652/VLOOKUP(G652,'Exchange Rates'!B:C,2,0),IF(R652=".",".",""))</f>
        <v/>
      </c>
      <c r="T652" s="1185" t="str">
        <f>IF(AD652=1,IF(AF652="Value is not given at all",".",IF(AF652="Value is given by the source",S652,IF(AF652="Value is calculated with prices",(IF(SUMIFS(Q:Q,A:A,A652)&gt;0,SUMIFS(Q:Q,A:A,A652),"."))/VLOOKUP("USD",'Exchange Rates'!B:C,2,0),"Error with coding"))),"")</f>
        <v/>
      </c>
      <c r="U652" s="1184" t="s">
        <v>365</v>
      </c>
      <c r="V652" s="972" t="s">
        <v>1782</v>
      </c>
      <c r="W652" s="987" t="s">
        <v>1280</v>
      </c>
      <c r="X652" s="1031" t="s">
        <v>364</v>
      </c>
      <c r="Y652" s="1031" t="s">
        <v>364</v>
      </c>
      <c r="Z652" s="1184">
        <v>0</v>
      </c>
      <c r="AA652" s="1194">
        <v>0</v>
      </c>
      <c r="AB652" s="600" t="s">
        <v>1280</v>
      </c>
      <c r="AC652" s="1192" t="str">
        <f>""</f>
        <v/>
      </c>
      <c r="AD652" s="985">
        <v>0</v>
      </c>
      <c r="AE652" s="1194" t="s">
        <v>368</v>
      </c>
      <c r="AF652" s="985" t="s">
        <v>369</v>
      </c>
      <c r="AG652" s="985">
        <v>0</v>
      </c>
      <c r="AH652" s="985">
        <v>0</v>
      </c>
      <c r="AI652" s="985">
        <v>0</v>
      </c>
      <c r="AJ652" s="1193">
        <f>VLOOKUP($I652,'Price List, Weapons &amp; Items'!B:F,5,0)</f>
        <v>0</v>
      </c>
      <c r="AK652" s="1193">
        <f t="shared" si="147"/>
        <v>0</v>
      </c>
      <c r="AL652" s="1193">
        <f t="shared" si="148"/>
        <v>0</v>
      </c>
      <c r="AM652" s="1193">
        <f t="shared" si="149"/>
        <v>0</v>
      </c>
      <c r="AN652" s="1194" t="str">
        <f>VLOOKUP($I652,'Price List, Weapons &amp; Items'!B:L,COLUMN('Price List, Weapons &amp; Items'!$J$11)-1,0)</f>
        <v>Military media (incl. websites)</v>
      </c>
      <c r="AO652" s="1194" t="str">
        <f>IF(I652=".",".",VLOOKUP($I652,'Price List, Weapons &amp; Items'!B:J,3,0))</f>
        <v>Light Anti-armor Weapon (LAW)</v>
      </c>
      <c r="AP652" s="1195" t="str">
        <f t="shared" ca="1" si="143"/>
        <v/>
      </c>
      <c r="AQ652" s="1194">
        <f>VLOOKUP($I652,'Price List, Weapons &amp; Items'!B:L,COLUMN('Price List, Weapons &amp; Items'!$L$11)-1,0)</f>
        <v>2</v>
      </c>
      <c r="AR652" s="1194">
        <f t="shared" si="150"/>
        <v>1</v>
      </c>
      <c r="AS652" s="1194">
        <f t="shared" si="151"/>
        <v>1</v>
      </c>
      <c r="AT652" s="1194" t="str">
        <f t="shared" si="152"/>
        <v>Value is not in date format</v>
      </c>
      <c r="AU652" s="1194" t="str">
        <f t="shared" si="153"/>
        <v>.</v>
      </c>
      <c r="AV652" s="1194" t="str">
        <f t="shared" si="144"/>
        <v>.</v>
      </c>
      <c r="AW652" s="1194" t="str">
        <f t="shared" si="154"/>
        <v>.</v>
      </c>
      <c r="AX652" s="1194">
        <f>IFERROR(VLOOKUP(B652,'Share, Heavy Weapons to Ukraine'!B:Z,COLUMN('Share, Heavy Weapons to Ukraine'!C662)-1,0),0)</f>
        <v>0</v>
      </c>
      <c r="AY652" s="1194">
        <f>VLOOKUP('Bilateral Assistance, MAIN DATA'!B652,'Country Summary (€)'!B:F,COLUMN('Country Summary (€)'!C663)-1,FALSE)</f>
        <v>1</v>
      </c>
      <c r="AZ652" s="1194" t="str">
        <f>IF(AND(AD652=1,D652="Military",H652&lt;&gt;"Not given")=TRUE,IF(SUMIFS(P:P,A:A,A652)&gt;0,ABS((SUMIFS(P:P,A:A,A652)/VLOOKUP("USD",'Exchange Rates'!B:C,2,0)))/S652,"."),".")</f>
        <v>.</v>
      </c>
      <c r="BA652" s="1196" t="str">
        <f>IF(AND(AD652=1,D652="Military",H652&lt;&gt;"Not given")=TRUE,IF(SUMIFS(P:P,A:A,A652)&gt;0,IF((ABS((SUMIFS(P:P,A:A,A652)/VLOOKUP("USD",'Exchange Rates'!B:C,2,0)))/S652)&gt;1,(SUMIFS(P:P,A:A,A652)-S652)/S652,(S652-SUMIFS(P:P,A:A,A652))/SUMIFS(P:P,A:A,A652)),"."),".")</f>
        <v>.</v>
      </c>
    </row>
    <row r="653" spans="1:53" ht="15.95" customHeight="1">
      <c r="A653" s="1180" t="s">
        <v>1884</v>
      </c>
      <c r="B653" s="1182" t="s">
        <v>1711</v>
      </c>
      <c r="C653" s="1181" t="s">
        <v>1797</v>
      </c>
      <c r="D653" s="1182" t="s">
        <v>389</v>
      </c>
      <c r="E653" s="1182" t="s">
        <v>1676</v>
      </c>
      <c r="F653" s="1263" t="s">
        <v>1885</v>
      </c>
      <c r="G653" s="1184" t="s">
        <v>483</v>
      </c>
      <c r="H653" s="1185">
        <v>600000000</v>
      </c>
      <c r="I653" s="1266" t="s">
        <v>1903</v>
      </c>
      <c r="J653" s="1186" t="str">
        <f>VLOOKUP($I653,'Price List, Weapons &amp; Items'!B:C,2,0)</f>
        <v>Military equipment</v>
      </c>
      <c r="K653" s="1186" t="str">
        <f>IF(I653=".",I653,VLOOKUP($I653,'Price List, Weapons &amp; Items'!B:D,3,0))</f>
        <v>Military equipment</v>
      </c>
      <c r="L653" s="1187">
        <f>VLOOKUP(I653,'Price List, Weapons &amp; Items'!B:E,4,0)</f>
        <v>0</v>
      </c>
      <c r="M653" s="1188">
        <v>900</v>
      </c>
      <c r="N653" s="1188">
        <v>900</v>
      </c>
      <c r="O653" s="1188" t="str">
        <f>VLOOKUP($I653,'Price List, Weapons &amp; Items'!B:G,6,0)</f>
        <v>.</v>
      </c>
      <c r="P653" s="1185" t="str">
        <f t="shared" si="145"/>
        <v>No price</v>
      </c>
      <c r="Q653" s="1185" t="str">
        <f t="shared" si="146"/>
        <v>No price</v>
      </c>
      <c r="R653" s="1185" t="str">
        <f t="shared" si="142"/>
        <v/>
      </c>
      <c r="S653" s="1185" t="str">
        <f>IF(AND(AD653=1,R653&lt;&gt;".")=TRUE,R653/VLOOKUP(G653,'Exchange Rates'!B:C,2,0),IF(R653=".",".",""))</f>
        <v/>
      </c>
      <c r="T653" s="1185" t="str">
        <f>IF(AD653=1,IF(AF653="Value is not given at all",".",IF(AF653="Value is given by the source",S653,IF(AF653="Value is calculated with prices",(IF(SUMIFS(Q:Q,A:A,A653)&gt;0,SUMIFS(Q:Q,A:A,A653),"."))/VLOOKUP("USD",'Exchange Rates'!B:C,2,0),"Error with coding"))),"")</f>
        <v/>
      </c>
      <c r="U653" s="1184" t="s">
        <v>365</v>
      </c>
      <c r="V653" s="972" t="s">
        <v>1782</v>
      </c>
      <c r="W653" s="966" t="s">
        <v>1280</v>
      </c>
      <c r="X653" s="1031" t="s">
        <v>364</v>
      </c>
      <c r="Y653" s="1031" t="s">
        <v>364</v>
      </c>
      <c r="Z653" s="1184">
        <v>0</v>
      </c>
      <c r="AA653" s="1194">
        <v>0</v>
      </c>
      <c r="AB653" s="600" t="s">
        <v>1280</v>
      </c>
      <c r="AC653" s="1192" t="str">
        <f>""</f>
        <v/>
      </c>
      <c r="AD653" s="985">
        <v>0</v>
      </c>
      <c r="AE653" s="1194" t="s">
        <v>368</v>
      </c>
      <c r="AF653" s="985" t="s">
        <v>369</v>
      </c>
      <c r="AG653" s="985">
        <v>0</v>
      </c>
      <c r="AH653" s="985">
        <v>0</v>
      </c>
      <c r="AI653" s="985">
        <v>0</v>
      </c>
      <c r="AJ653" s="1193">
        <f>VLOOKUP($I653,'Price List, Weapons &amp; Items'!B:F,5,0)</f>
        <v>0</v>
      </c>
      <c r="AK653" s="1193">
        <f t="shared" si="147"/>
        <v>0</v>
      </c>
      <c r="AL653" s="1193">
        <f t="shared" si="148"/>
        <v>0</v>
      </c>
      <c r="AM653" s="1193">
        <f t="shared" si="149"/>
        <v>0</v>
      </c>
      <c r="AN653" s="1194" t="str">
        <f>VLOOKUP($I653,'Price List, Weapons &amp; Items'!B:L,COLUMN('Price List, Weapons &amp; Items'!$J$11)-1,0)</f>
        <v>.</v>
      </c>
      <c r="AO653" s="1194" t="str">
        <f>IF(I653=".",".",VLOOKUP($I653,'Price List, Weapons &amp; Items'!B:J,3,0))</f>
        <v>Military equipment</v>
      </c>
      <c r="AP653" s="1195" t="str">
        <f t="shared" ca="1" si="143"/>
        <v/>
      </c>
      <c r="AQ653" s="1194">
        <f>VLOOKUP($I653,'Price List, Weapons &amp; Items'!B:L,COLUMN('Price List, Weapons &amp; Items'!$L$11)-1,0)</f>
        <v>0</v>
      </c>
      <c r="AR653" s="1194">
        <f t="shared" si="150"/>
        <v>1</v>
      </c>
      <c r="AS653" s="1194">
        <f t="shared" si="151"/>
        <v>1</v>
      </c>
      <c r="AT653" s="1194" t="str">
        <f t="shared" si="152"/>
        <v>Value is not in date format</v>
      </c>
      <c r="AU653" s="1194" t="str">
        <f t="shared" si="153"/>
        <v>.</v>
      </c>
      <c r="AV653" s="1194" t="str">
        <f t="shared" si="144"/>
        <v>.</v>
      </c>
      <c r="AW653" s="1194" t="str">
        <f t="shared" si="154"/>
        <v>.</v>
      </c>
      <c r="AX653" s="1194">
        <f>IFERROR(VLOOKUP(B653,'Share, Heavy Weapons to Ukraine'!B:Z,COLUMN('Share, Heavy Weapons to Ukraine'!C663)-1,0),0)</f>
        <v>0</v>
      </c>
      <c r="AY653" s="1194">
        <f>VLOOKUP('Bilateral Assistance, MAIN DATA'!B653,'Country Summary (€)'!B:F,COLUMN('Country Summary (€)'!C664)-1,FALSE)</f>
        <v>1</v>
      </c>
      <c r="AZ653" s="1194" t="str">
        <f>IF(AND(AD653=1,D653="Military",H653&lt;&gt;"Not given")=TRUE,IF(SUMIFS(P:P,A:A,A653)&gt;0,ABS((SUMIFS(P:P,A:A,A653)/VLOOKUP("USD",'Exchange Rates'!B:C,2,0)))/S653,"."),".")</f>
        <v>.</v>
      </c>
      <c r="BA653" s="1196" t="str">
        <f>IF(AND(AD653=1,D653="Military",H653&lt;&gt;"Not given")=TRUE,IF(SUMIFS(P:P,A:A,A653)&gt;0,IF((ABS((SUMIFS(P:P,A:A,A653)/VLOOKUP("USD",'Exchange Rates'!B:C,2,0)))/S653)&gt;1,(SUMIFS(P:P,A:A,A653)-S653)/S653,(S653-SUMIFS(P:P,A:A,A653))/SUMIFS(P:P,A:A,A653)),"."),".")</f>
        <v>.</v>
      </c>
    </row>
    <row r="654" spans="1:53" ht="15.95" customHeight="1">
      <c r="A654" s="1180" t="s">
        <v>1884</v>
      </c>
      <c r="B654" s="1182" t="s">
        <v>1711</v>
      </c>
      <c r="C654" s="1181" t="s">
        <v>1797</v>
      </c>
      <c r="D654" s="1182" t="s">
        <v>389</v>
      </c>
      <c r="E654" s="1182" t="s">
        <v>1676</v>
      </c>
      <c r="F654" s="1263" t="s">
        <v>1885</v>
      </c>
      <c r="G654" s="1184" t="s">
        <v>483</v>
      </c>
      <c r="H654" s="1185">
        <v>600000000</v>
      </c>
      <c r="I654" s="1266" t="s">
        <v>644</v>
      </c>
      <c r="J654" s="1186" t="str">
        <f>VLOOKUP($I654,'Price List, Weapons &amp; Items'!B:C,2,0)</f>
        <v>Military equipment</v>
      </c>
      <c r="K654" s="1186" t="str">
        <f>IF(I654=".",I654,VLOOKUP($I654,'Price List, Weapons &amp; Items'!B:D,3,0))</f>
        <v>Mine</v>
      </c>
      <c r="L654" s="1187">
        <f>VLOOKUP(I654,'Price List, Weapons &amp; Items'!B:E,4,0)</f>
        <v>0</v>
      </c>
      <c r="M654" s="1188">
        <v>14900</v>
      </c>
      <c r="N654" s="1188">
        <v>14900</v>
      </c>
      <c r="O654" s="1188">
        <f>VLOOKUP($I654,'Price List, Weapons &amp; Items'!B:G,6,0)</f>
        <v>1300</v>
      </c>
      <c r="P654" s="1185">
        <f t="shared" si="145"/>
        <v>19370000</v>
      </c>
      <c r="Q654" s="1185">
        <f t="shared" si="146"/>
        <v>19370000</v>
      </c>
      <c r="R654" s="1185" t="str">
        <f t="shared" si="142"/>
        <v/>
      </c>
      <c r="S654" s="1185" t="str">
        <f>IF(AND(AD654=1,R654&lt;&gt;".")=TRUE,R654/VLOOKUP(G654,'Exchange Rates'!B:C,2,0),IF(R654=".",".",""))</f>
        <v/>
      </c>
      <c r="T654" s="1185" t="str">
        <f>IF(AD654=1,IF(AF654="Value is not given at all",".",IF(AF654="Value is given by the source",S654,IF(AF654="Value is calculated with prices",(IF(SUMIFS(Q:Q,A:A,A654)&gt;0,SUMIFS(Q:Q,A:A,A654),"."))/VLOOKUP("USD",'Exchange Rates'!B:C,2,0),"Error with coding"))),"")</f>
        <v/>
      </c>
      <c r="U654" s="1184" t="s">
        <v>365</v>
      </c>
      <c r="V654" s="972" t="s">
        <v>1782</v>
      </c>
      <c r="W654" s="987" t="s">
        <v>1280</v>
      </c>
      <c r="X654" s="1031" t="s">
        <v>364</v>
      </c>
      <c r="Y654" s="1031" t="s">
        <v>364</v>
      </c>
      <c r="Z654" s="1184">
        <v>0</v>
      </c>
      <c r="AA654" s="1194">
        <v>0</v>
      </c>
      <c r="AB654" s="600" t="s">
        <v>1280</v>
      </c>
      <c r="AC654" s="1192" t="str">
        <f>""</f>
        <v/>
      </c>
      <c r="AD654" s="985">
        <v>0</v>
      </c>
      <c r="AE654" s="1194" t="s">
        <v>368</v>
      </c>
      <c r="AF654" s="985" t="s">
        <v>369</v>
      </c>
      <c r="AG654" s="985">
        <v>0</v>
      </c>
      <c r="AH654" s="985">
        <v>0</v>
      </c>
      <c r="AI654" s="985">
        <v>0</v>
      </c>
      <c r="AJ654" s="1193">
        <f>VLOOKUP($I654,'Price List, Weapons &amp; Items'!B:F,5,0)</f>
        <v>0</v>
      </c>
      <c r="AK654" s="1193">
        <f t="shared" si="147"/>
        <v>0</v>
      </c>
      <c r="AL654" s="1193">
        <f t="shared" si="148"/>
        <v>0</v>
      </c>
      <c r="AM654" s="1193">
        <f t="shared" si="149"/>
        <v>0</v>
      </c>
      <c r="AN654" s="1194" t="str">
        <f>VLOOKUP($I654,'Price List, Weapons &amp; Items'!B:L,COLUMN('Price List, Weapons &amp; Items'!$J$11)-1,0)</f>
        <v>Source mentions price between 1200 and 1400 USD per piece, we average at 1300.</v>
      </c>
      <c r="AO654" s="1194" t="str">
        <f>IF(I654=".",".",VLOOKUP($I654,'Price List, Weapons &amp; Items'!B:J,3,0))</f>
        <v>Mine</v>
      </c>
      <c r="AP654" s="1195" t="str">
        <f t="shared" ca="1" si="143"/>
        <v/>
      </c>
      <c r="AQ654" s="1194">
        <f>VLOOKUP($I654,'Price List, Weapons &amp; Items'!B:L,COLUMN('Price List, Weapons &amp; Items'!$L$11)-1,0)</f>
        <v>2</v>
      </c>
      <c r="AR654" s="1194">
        <f t="shared" si="150"/>
        <v>1</v>
      </c>
      <c r="AS654" s="1194">
        <f t="shared" si="151"/>
        <v>1</v>
      </c>
      <c r="AT654" s="1194" t="str">
        <f t="shared" si="152"/>
        <v>Value is not in date format</v>
      </c>
      <c r="AU654" s="1194" t="str">
        <f t="shared" si="153"/>
        <v>.</v>
      </c>
      <c r="AV654" s="1194" t="str">
        <f t="shared" si="144"/>
        <v>.</v>
      </c>
      <c r="AW654" s="1194" t="str">
        <f t="shared" si="154"/>
        <v>.</v>
      </c>
      <c r="AX654" s="1194">
        <f>IFERROR(VLOOKUP(B654,'Share, Heavy Weapons to Ukraine'!B:Z,COLUMN('Share, Heavy Weapons to Ukraine'!C664)-1,0),0)</f>
        <v>0</v>
      </c>
      <c r="AY654" s="1194">
        <f>VLOOKUP('Bilateral Assistance, MAIN DATA'!B654,'Country Summary (€)'!B:F,COLUMN('Country Summary (€)'!C665)-1,FALSE)</f>
        <v>1</v>
      </c>
      <c r="AZ654" s="1194" t="str">
        <f>IF(AND(AD654=1,D654="Military",H654&lt;&gt;"Not given")=TRUE,IF(SUMIFS(P:P,A:A,A654)&gt;0,ABS((SUMIFS(P:P,A:A,A654)/VLOOKUP("USD",'Exchange Rates'!B:C,2,0)))/S654,"."),".")</f>
        <v>.</v>
      </c>
      <c r="BA654" s="1196" t="str">
        <f>IF(AND(AD654=1,D654="Military",H654&lt;&gt;"Not given")=TRUE,IF(SUMIFS(P:P,A:A,A654)&gt;0,IF((ABS((SUMIFS(P:P,A:A,A654)/VLOOKUP("USD",'Exchange Rates'!B:C,2,0)))/S654)&gt;1,(SUMIFS(P:P,A:A,A654)-S654)/S654,(S654-SUMIFS(P:P,A:A,A654))/SUMIFS(P:P,A:A,A654)),"."),".")</f>
        <v>.</v>
      </c>
    </row>
    <row r="655" spans="1:53" ht="15.95" customHeight="1">
      <c r="A655" s="1180" t="s">
        <v>1884</v>
      </c>
      <c r="B655" s="1182" t="s">
        <v>1711</v>
      </c>
      <c r="C655" s="1181" t="s">
        <v>1797</v>
      </c>
      <c r="D655" s="1182" t="s">
        <v>389</v>
      </c>
      <c r="E655" s="1182" t="s">
        <v>1676</v>
      </c>
      <c r="F655" s="1263" t="s">
        <v>1885</v>
      </c>
      <c r="G655" s="1184" t="s">
        <v>483</v>
      </c>
      <c r="H655" s="1185">
        <v>600000000</v>
      </c>
      <c r="I655" s="1266" t="s">
        <v>1239</v>
      </c>
      <c r="J655" s="1186" t="str">
        <f>VLOOKUP($I655,'Price List, Weapons &amp; Items'!B:C,2,0)</f>
        <v>Portable defence system</v>
      </c>
      <c r="K655" s="1186" t="str">
        <f>IF(I655=".",I655,VLOOKUP($I655,'Price List, Weapons &amp; Items'!B:D,3,0))</f>
        <v>MANPADS</v>
      </c>
      <c r="L655" s="1187">
        <f>VLOOKUP(I655,'Price List, Weapons &amp; Items'!B:E,4,0)</f>
        <v>0</v>
      </c>
      <c r="M655" s="1188">
        <v>500</v>
      </c>
      <c r="N655" s="1188">
        <v>500</v>
      </c>
      <c r="O655" s="1188">
        <f>VLOOKUP($I655,'Price List, Weapons &amp; Items'!B:G,6,0)</f>
        <v>119000</v>
      </c>
      <c r="P655" s="1185">
        <f t="shared" si="145"/>
        <v>59500000</v>
      </c>
      <c r="Q655" s="1185">
        <f t="shared" si="146"/>
        <v>59500000</v>
      </c>
      <c r="R655" s="1185" t="str">
        <f t="shared" si="142"/>
        <v/>
      </c>
      <c r="S655" s="1185" t="str">
        <f>IF(AND(AD655=1,R655&lt;&gt;".")=TRUE,R655/VLOOKUP(G655,'Exchange Rates'!B:C,2,0),IF(R655=".",".",""))</f>
        <v/>
      </c>
      <c r="T655" s="1185" t="str">
        <f>IF(AD655=1,IF(AF655="Value is not given at all",".",IF(AF655="Value is given by the source",S655,IF(AF655="Value is calculated with prices",(IF(SUMIFS(Q:Q,A:A,A655)&gt;0,SUMIFS(Q:Q,A:A,A655),"."))/VLOOKUP("USD",'Exchange Rates'!B:C,2,0),"Error with coding"))),"")</f>
        <v/>
      </c>
      <c r="U655" s="1184" t="s">
        <v>365</v>
      </c>
      <c r="V655" s="972" t="s">
        <v>1782</v>
      </c>
      <c r="W655" s="966" t="s">
        <v>1280</v>
      </c>
      <c r="X655" s="1031" t="s">
        <v>364</v>
      </c>
      <c r="Y655" s="1031" t="s">
        <v>364</v>
      </c>
      <c r="Z655" s="1184">
        <v>0</v>
      </c>
      <c r="AA655" s="1194">
        <v>0</v>
      </c>
      <c r="AB655" s="600" t="s">
        <v>1280</v>
      </c>
      <c r="AC655" s="1192" t="str">
        <f>""</f>
        <v/>
      </c>
      <c r="AD655" s="985">
        <v>0</v>
      </c>
      <c r="AE655" s="1194" t="s">
        <v>368</v>
      </c>
      <c r="AF655" s="985" t="s">
        <v>369</v>
      </c>
      <c r="AG655" s="985">
        <v>0</v>
      </c>
      <c r="AH655" s="985">
        <v>0</v>
      </c>
      <c r="AI655" s="985">
        <v>0</v>
      </c>
      <c r="AJ655" s="1193">
        <f>VLOOKUP($I655,'Price List, Weapons &amp; Items'!B:F,5,0)</f>
        <v>0</v>
      </c>
      <c r="AK655" s="1193">
        <f t="shared" si="147"/>
        <v>0</v>
      </c>
      <c r="AL655" s="1193">
        <f t="shared" si="148"/>
        <v>0</v>
      </c>
      <c r="AM655" s="1193">
        <f t="shared" si="149"/>
        <v>0</v>
      </c>
      <c r="AN655" s="1194" t="str">
        <f>VLOOKUP($I655,'Price List, Weapons &amp; Items'!B:L,COLUMN('Price List, Weapons &amp; Items'!$J$11)-1,0)</f>
        <v>Miscellaneous</v>
      </c>
      <c r="AO655" s="1194" t="str">
        <f>IF(I655=".",".",VLOOKUP($I655,'Price List, Weapons &amp; Items'!B:J,3,0))</f>
        <v>MANPADS</v>
      </c>
      <c r="AP655" s="1195" t="str">
        <f t="shared" ca="1" si="143"/>
        <v/>
      </c>
      <c r="AQ655" s="1194">
        <f>VLOOKUP($I655,'Price List, Weapons &amp; Items'!B:L,COLUMN('Price List, Weapons &amp; Items'!$L$11)-1,0)</f>
        <v>2</v>
      </c>
      <c r="AR655" s="1194">
        <f t="shared" si="150"/>
        <v>1</v>
      </c>
      <c r="AS655" s="1194">
        <f t="shared" si="151"/>
        <v>1</v>
      </c>
      <c r="AT655" s="1194" t="str">
        <f t="shared" si="152"/>
        <v>Value is not in date format</v>
      </c>
      <c r="AU655" s="1194" t="str">
        <f t="shared" si="153"/>
        <v>.</v>
      </c>
      <c r="AV655" s="1194" t="str">
        <f t="shared" si="144"/>
        <v>.</v>
      </c>
      <c r="AW655" s="1194" t="str">
        <f t="shared" si="154"/>
        <v>.</v>
      </c>
      <c r="AX655" s="1194">
        <f>IFERROR(VLOOKUP(B655,'Share, Heavy Weapons to Ukraine'!B:Z,COLUMN('Share, Heavy Weapons to Ukraine'!C665)-1,0),0)</f>
        <v>0</v>
      </c>
      <c r="AY655" s="1194">
        <f>VLOOKUP('Bilateral Assistance, MAIN DATA'!B655,'Country Summary (€)'!B:F,COLUMN('Country Summary (€)'!C666)-1,FALSE)</f>
        <v>1</v>
      </c>
      <c r="AZ655" s="1194" t="str">
        <f>IF(AND(AD655=1,D655="Military",H655&lt;&gt;"Not given")=TRUE,IF(SUMIFS(P:P,A:A,A655)&gt;0,ABS((SUMIFS(P:P,A:A,A655)/VLOOKUP("USD",'Exchange Rates'!B:C,2,0)))/S655,"."),".")</f>
        <v>.</v>
      </c>
      <c r="BA655" s="1196" t="str">
        <f>IF(AND(AD655=1,D655="Military",H655&lt;&gt;"Not given")=TRUE,IF(SUMIFS(P:P,A:A,A655)&gt;0,IF((ABS((SUMIFS(P:P,A:A,A655)/VLOOKUP("USD",'Exchange Rates'!B:C,2,0)))/S655)&gt;1,(SUMIFS(P:P,A:A,A655)-S655)/S655,(S655-SUMIFS(P:P,A:A,A655))/SUMIFS(P:P,A:A,A655)),"."),".")</f>
        <v>.</v>
      </c>
    </row>
    <row r="656" spans="1:53" ht="15.95" customHeight="1">
      <c r="A656" s="1180" t="s">
        <v>1884</v>
      </c>
      <c r="B656" s="1182" t="s">
        <v>1711</v>
      </c>
      <c r="C656" s="1181" t="s">
        <v>1797</v>
      </c>
      <c r="D656" s="1182" t="s">
        <v>389</v>
      </c>
      <c r="E656" s="1182" t="s">
        <v>1676</v>
      </c>
      <c r="F656" s="1263" t="s">
        <v>1885</v>
      </c>
      <c r="G656" s="1184" t="s">
        <v>483</v>
      </c>
      <c r="H656" s="1185">
        <v>600000000</v>
      </c>
      <c r="I656" s="1266" t="s">
        <v>1904</v>
      </c>
      <c r="J656" s="1186" t="str">
        <f>VLOOKUP($I656,'Price List, Weapons &amp; Items'!B:C,2,0)</f>
        <v>Portable defence system</v>
      </c>
      <c r="K656" s="1186" t="str">
        <f>IF(I656=".",I656,VLOOKUP($I656,'Price List, Weapons &amp; Items'!B:D,3,0))</f>
        <v>Light Anti-armor Weapon (LAW)</v>
      </c>
      <c r="L656" s="1187">
        <f>VLOOKUP(I656,'Price List, Weapons &amp; Items'!B:E,4,0)</f>
        <v>0</v>
      </c>
      <c r="M656" s="1188">
        <v>2700</v>
      </c>
      <c r="N656" s="1188">
        <v>2700</v>
      </c>
      <c r="O656" s="1188">
        <f>VLOOKUP($I656,'Price List, Weapons &amp; Items'!B:G,6,0)</f>
        <v>120000</v>
      </c>
      <c r="P656" s="1185">
        <f t="shared" si="145"/>
        <v>324000000</v>
      </c>
      <c r="Q656" s="1185">
        <f t="shared" si="146"/>
        <v>324000000</v>
      </c>
      <c r="R656" s="1185" t="str">
        <f t="shared" si="142"/>
        <v/>
      </c>
      <c r="S656" s="1185" t="str">
        <f>IF(AND(AD656=1,R656&lt;&gt;".")=TRUE,R656/VLOOKUP(G656,'Exchange Rates'!B:C,2,0),IF(R656=".",".",""))</f>
        <v/>
      </c>
      <c r="T656" s="1185" t="str">
        <f>IF(AD656=1,IF(AF656="Value is not given at all",".",IF(AF656="Value is given by the source",S656,IF(AF656="Value is calculated with prices",(IF(SUMIFS(Q:Q,A:A,A656)&gt;0,SUMIFS(Q:Q,A:A,A656),"."))/VLOOKUP("USD",'Exchange Rates'!B:C,2,0),"Error with coding"))),"")</f>
        <v/>
      </c>
      <c r="U656" s="1184" t="s">
        <v>365</v>
      </c>
      <c r="V656" s="972" t="s">
        <v>1782</v>
      </c>
      <c r="W656" s="987" t="s">
        <v>1280</v>
      </c>
      <c r="X656" s="1031" t="s">
        <v>364</v>
      </c>
      <c r="Y656" s="1031" t="s">
        <v>364</v>
      </c>
      <c r="Z656" s="1184">
        <v>0</v>
      </c>
      <c r="AA656" s="1194">
        <v>0</v>
      </c>
      <c r="AB656" s="600" t="s">
        <v>1280</v>
      </c>
      <c r="AC656" s="1192" t="str">
        <f>""</f>
        <v/>
      </c>
      <c r="AD656" s="985">
        <v>0</v>
      </c>
      <c r="AE656" s="1194" t="s">
        <v>368</v>
      </c>
      <c r="AF656" s="985" t="s">
        <v>369</v>
      </c>
      <c r="AG656" s="985">
        <v>0</v>
      </c>
      <c r="AH656" s="985">
        <v>0</v>
      </c>
      <c r="AI656" s="985">
        <v>0</v>
      </c>
      <c r="AJ656" s="1193">
        <f>VLOOKUP($I656,'Price List, Weapons &amp; Items'!B:F,5,0)</f>
        <v>1</v>
      </c>
      <c r="AK656" s="1193">
        <f t="shared" si="147"/>
        <v>0</v>
      </c>
      <c r="AL656" s="1193">
        <f t="shared" si="148"/>
        <v>0</v>
      </c>
      <c r="AM656" s="1193">
        <f t="shared" si="149"/>
        <v>0</v>
      </c>
      <c r="AN656" s="1194" t="str">
        <f>VLOOKUP($I656,'Price List, Weapons &amp; Items'!B:L,COLUMN('Price List, Weapons &amp; Items'!$J$11)-1,0)</f>
        <v>.</v>
      </c>
      <c r="AO656" s="1194" t="str">
        <f>IF(I656=".",".",VLOOKUP($I656,'Price List, Weapons &amp; Items'!B:J,3,0))</f>
        <v>Light Anti-armor Weapon (LAW)</v>
      </c>
      <c r="AP656" s="1195" t="str">
        <f t="shared" ca="1" si="143"/>
        <v/>
      </c>
      <c r="AQ656" s="1194">
        <f>VLOOKUP($I656,'Price List, Weapons &amp; Items'!B:L,COLUMN('Price List, Weapons &amp; Items'!$L$11)-1,0)</f>
        <v>2</v>
      </c>
      <c r="AR656" s="1194">
        <f t="shared" si="150"/>
        <v>1</v>
      </c>
      <c r="AS656" s="1194">
        <f t="shared" si="151"/>
        <v>1</v>
      </c>
      <c r="AT656" s="1194" t="str">
        <f t="shared" si="152"/>
        <v>Value is not in date format</v>
      </c>
      <c r="AU656" s="1194" t="str">
        <f t="shared" si="153"/>
        <v>.</v>
      </c>
      <c r="AV656" s="1194" t="str">
        <f t="shared" si="144"/>
        <v>.</v>
      </c>
      <c r="AW656" s="1194" t="str">
        <f t="shared" si="154"/>
        <v>.</v>
      </c>
      <c r="AX656" s="1194">
        <f>IFERROR(VLOOKUP(B656,'Share, Heavy Weapons to Ukraine'!B:Z,COLUMN('Share, Heavy Weapons to Ukraine'!C666)-1,0),0)</f>
        <v>0</v>
      </c>
      <c r="AY656" s="1194">
        <f>VLOOKUP('Bilateral Assistance, MAIN DATA'!B656,'Country Summary (€)'!B:F,COLUMN('Country Summary (€)'!C667)-1,FALSE)</f>
        <v>1</v>
      </c>
      <c r="AZ656" s="1194" t="str">
        <f>IF(AND(AD656=1,D656="Military",H656&lt;&gt;"Not given")=TRUE,IF(SUMIFS(P:P,A:A,A656)&gt;0,ABS((SUMIFS(P:P,A:A,A656)/VLOOKUP("USD",'Exchange Rates'!B:C,2,0)))/S656,"."),".")</f>
        <v>.</v>
      </c>
      <c r="BA656" s="1196" t="str">
        <f>IF(AND(AD656=1,D656="Military",H656&lt;&gt;"Not given")=TRUE,IF(SUMIFS(P:P,A:A,A656)&gt;0,IF((ABS((SUMIFS(P:P,A:A,A656)/VLOOKUP("USD",'Exchange Rates'!B:C,2,0)))/S656)&gt;1,(SUMIFS(P:P,A:A,A656)-S656)/S656,(S656-SUMIFS(P:P,A:A,A656))/SUMIFS(P:P,A:A,A656)),"."),".")</f>
        <v>.</v>
      </c>
    </row>
    <row r="657" spans="1:53" ht="15.95" customHeight="1">
      <c r="A657" s="1180" t="s">
        <v>1884</v>
      </c>
      <c r="B657" s="1182" t="s">
        <v>1711</v>
      </c>
      <c r="C657" s="1181" t="s">
        <v>1797</v>
      </c>
      <c r="D657" s="1182" t="s">
        <v>389</v>
      </c>
      <c r="E657" s="1182" t="s">
        <v>1676</v>
      </c>
      <c r="F657" s="1263" t="s">
        <v>1885</v>
      </c>
      <c r="G657" s="1184" t="s">
        <v>483</v>
      </c>
      <c r="H657" s="1185">
        <v>600000000</v>
      </c>
      <c r="I657" s="1266" t="s">
        <v>623</v>
      </c>
      <c r="J657" s="1186" t="str">
        <f>VLOOKUP($I657,'Price List, Weapons &amp; Items'!B:C,2,0)</f>
        <v>Ammunition for light infantry</v>
      </c>
      <c r="K657" s="1186" t="str">
        <f>IF(I657=".",I657,VLOOKUP($I657,'Price List, Weapons &amp; Items'!B:D,3,0))</f>
        <v>Small Arms and Light Weapons (SALW) ammunition</v>
      </c>
      <c r="L657" s="1187">
        <f>VLOOKUP(I657,'Price List, Weapons &amp; Items'!B:E,4,0)</f>
        <v>0</v>
      </c>
      <c r="M657" s="1188">
        <v>22000000</v>
      </c>
      <c r="N657" s="1188">
        <v>22000000</v>
      </c>
      <c r="O657" s="1188">
        <f>VLOOKUP($I657,'Price List, Weapons &amp; Items'!B:G,6,0)</f>
        <v>5</v>
      </c>
      <c r="P657" s="1185">
        <f t="shared" si="145"/>
        <v>110000000</v>
      </c>
      <c r="Q657" s="1185">
        <f t="shared" si="146"/>
        <v>110000000</v>
      </c>
      <c r="R657" s="1185" t="str">
        <f t="shared" si="142"/>
        <v/>
      </c>
      <c r="S657" s="1185" t="str">
        <f>IF(AND(AD657=1,R657&lt;&gt;".")=TRUE,R657/VLOOKUP(G657,'Exchange Rates'!B:C,2,0),IF(R657=".",".",""))</f>
        <v/>
      </c>
      <c r="T657" s="1185" t="str">
        <f>IF(AD657=1,IF(AF657="Value is not given at all",".",IF(AF657="Value is given by the source",S657,IF(AF657="Value is calculated with prices",(IF(SUMIFS(Q:Q,A:A,A657)&gt;0,SUMIFS(Q:Q,A:A,A657),"."))/VLOOKUP("USD",'Exchange Rates'!B:C,2,0),"Error with coding"))),"")</f>
        <v/>
      </c>
      <c r="U657" s="1184" t="s">
        <v>365</v>
      </c>
      <c r="V657" s="972" t="s">
        <v>1782</v>
      </c>
      <c r="W657" s="966" t="s">
        <v>1280</v>
      </c>
      <c r="X657" s="1031" t="s">
        <v>364</v>
      </c>
      <c r="Y657" s="1031" t="s">
        <v>364</v>
      </c>
      <c r="Z657" s="1184">
        <v>0</v>
      </c>
      <c r="AA657" s="1194">
        <v>0</v>
      </c>
      <c r="AB657" s="600" t="s">
        <v>1280</v>
      </c>
      <c r="AC657" s="1192" t="str">
        <f>""</f>
        <v/>
      </c>
      <c r="AD657" s="985">
        <v>0</v>
      </c>
      <c r="AE657" s="1194" t="s">
        <v>368</v>
      </c>
      <c r="AF657" s="985" t="s">
        <v>369</v>
      </c>
      <c r="AG657" s="985">
        <v>0</v>
      </c>
      <c r="AH657" s="985">
        <v>0</v>
      </c>
      <c r="AI657" s="985">
        <v>0</v>
      </c>
      <c r="AJ657" s="1193">
        <f>VLOOKUP($I657,'Price List, Weapons &amp; Items'!B:F,5,0)</f>
        <v>0</v>
      </c>
      <c r="AK657" s="1193">
        <f t="shared" si="147"/>
        <v>0</v>
      </c>
      <c r="AL657" s="1193">
        <f t="shared" si="148"/>
        <v>0</v>
      </c>
      <c r="AM657" s="1193">
        <f t="shared" si="149"/>
        <v>1</v>
      </c>
      <c r="AN657" s="1194" t="str">
        <f>VLOOKUP($I657,'Price List, Weapons &amp; Items'!B:L,COLUMN('Price List, Weapons &amp; Items'!$J$11)-1,0)</f>
        <v>Miscellaneous</v>
      </c>
      <c r="AO657" s="1194" t="str">
        <f>IF(I657=".",".",VLOOKUP($I657,'Price List, Weapons &amp; Items'!B:J,3,0))</f>
        <v>Small Arms and Light Weapons (SALW) ammunition</v>
      </c>
      <c r="AP657" s="1195" t="str">
        <f t="shared" ca="1" si="143"/>
        <v/>
      </c>
      <c r="AQ657" s="1194">
        <f>VLOOKUP($I657,'Price List, Weapons &amp; Items'!B:L,COLUMN('Price List, Weapons &amp; Items'!$L$11)-1,0)</f>
        <v>2</v>
      </c>
      <c r="AR657" s="1194">
        <f t="shared" si="150"/>
        <v>1</v>
      </c>
      <c r="AS657" s="1194">
        <f t="shared" si="151"/>
        <v>1</v>
      </c>
      <c r="AT657" s="1194" t="str">
        <f t="shared" si="152"/>
        <v>Value is not in date format</v>
      </c>
      <c r="AU657" s="1194" t="str">
        <f t="shared" si="153"/>
        <v>.</v>
      </c>
      <c r="AV657" s="1194" t="str">
        <f t="shared" si="144"/>
        <v>.</v>
      </c>
      <c r="AW657" s="1194" t="str">
        <f t="shared" si="154"/>
        <v>.</v>
      </c>
      <c r="AX657" s="1194">
        <f>IFERROR(VLOOKUP(B657,'Share, Heavy Weapons to Ukraine'!B:Z,COLUMN('Share, Heavy Weapons to Ukraine'!C667)-1,0),0)</f>
        <v>0</v>
      </c>
      <c r="AY657" s="1194">
        <f>VLOOKUP('Bilateral Assistance, MAIN DATA'!B657,'Country Summary (€)'!B:F,COLUMN('Country Summary (€)'!C668)-1,FALSE)</f>
        <v>1</v>
      </c>
      <c r="AZ657" s="1194" t="str">
        <f>IF(AND(AD657=1,D657="Military",H657&lt;&gt;"Not given")=TRUE,IF(SUMIFS(P:P,A:A,A657)&gt;0,ABS((SUMIFS(P:P,A:A,A657)/VLOOKUP("USD",'Exchange Rates'!B:C,2,0)))/S657,"."),".")</f>
        <v>.</v>
      </c>
      <c r="BA657" s="1196" t="str">
        <f>IF(AND(AD657=1,D657="Military",H657&lt;&gt;"Not given")=TRUE,IF(SUMIFS(P:P,A:A,A657)&gt;0,IF((ABS((SUMIFS(P:P,A:A,A657)/VLOOKUP("USD",'Exchange Rates'!B:C,2,0)))/S657)&gt;1,(SUMIFS(P:P,A:A,A657)-S657)/S657,(S657-SUMIFS(P:P,A:A,A657))/SUMIFS(P:P,A:A,A657)),"."),".")</f>
        <v>.</v>
      </c>
    </row>
    <row r="658" spans="1:53" ht="15.95" customHeight="1">
      <c r="A658" s="1180" t="s">
        <v>1884</v>
      </c>
      <c r="B658" s="1182" t="s">
        <v>1711</v>
      </c>
      <c r="C658" s="1181" t="s">
        <v>1797</v>
      </c>
      <c r="D658" s="1182" t="s">
        <v>389</v>
      </c>
      <c r="E658" s="1182" t="s">
        <v>1676</v>
      </c>
      <c r="F658" s="1263" t="s">
        <v>1885</v>
      </c>
      <c r="G658" s="1184" t="s">
        <v>483</v>
      </c>
      <c r="H658" s="1185">
        <v>600000000</v>
      </c>
      <c r="I658" s="1266" t="s">
        <v>1905</v>
      </c>
      <c r="J658" s="1186" t="str">
        <f>VLOOKUP($I658,'Price List, Weapons &amp; Items'!B:C,2,0)</f>
        <v>Portable defence system</v>
      </c>
      <c r="K658" s="1186" t="str">
        <f>IF(I658=".",I658,VLOOKUP($I658,'Price List, Weapons &amp; Items'!B:D,3,0))</f>
        <v>Light Anti-armor Weapon (LAW)</v>
      </c>
      <c r="L658" s="1187">
        <f>VLOOKUP(I658,'Price List, Weapons &amp; Items'!B:E,4,0)</f>
        <v>0</v>
      </c>
      <c r="M658" s="1188">
        <v>50</v>
      </c>
      <c r="N658" s="1188">
        <v>50</v>
      </c>
      <c r="O658" s="1188">
        <f>VLOOKUP($I658,'Price List, Weapons &amp; Items'!B:G,6,0)</f>
        <v>11108</v>
      </c>
      <c r="P658" s="1185">
        <f t="shared" si="145"/>
        <v>555400</v>
      </c>
      <c r="Q658" s="1185">
        <f t="shared" si="146"/>
        <v>555400</v>
      </c>
      <c r="R658" s="1185" t="str">
        <f t="shared" si="142"/>
        <v/>
      </c>
      <c r="S658" s="1185" t="str">
        <f>IF(AND(AD658=1,R658&lt;&gt;".")=TRUE,R658/VLOOKUP(G658,'Exchange Rates'!B:C,2,0),IF(R658=".",".",""))</f>
        <v/>
      </c>
      <c r="T658" s="1185" t="str">
        <f>IF(AD658=1,IF(AF658="Value is not given at all",".",IF(AF658="Value is given by the source",S658,IF(AF658="Value is calculated with prices",(IF(SUMIFS(Q:Q,A:A,A658)&gt;0,SUMIFS(Q:Q,A:A,A658),"."))/VLOOKUP("USD",'Exchange Rates'!B:C,2,0),"Error with coding"))),"")</f>
        <v/>
      </c>
      <c r="U658" s="1184" t="s">
        <v>365</v>
      </c>
      <c r="V658" s="972" t="s">
        <v>1782</v>
      </c>
      <c r="W658" s="987" t="s">
        <v>1280</v>
      </c>
      <c r="X658" s="1031" t="s">
        <v>364</v>
      </c>
      <c r="Y658" s="1031" t="s">
        <v>364</v>
      </c>
      <c r="Z658" s="1184">
        <v>0</v>
      </c>
      <c r="AA658" s="1194">
        <v>0</v>
      </c>
      <c r="AB658" s="600" t="s">
        <v>1280</v>
      </c>
      <c r="AC658" s="1192" t="str">
        <f>""</f>
        <v/>
      </c>
      <c r="AD658" s="985">
        <v>0</v>
      </c>
      <c r="AE658" s="1194" t="s">
        <v>368</v>
      </c>
      <c r="AF658" s="985" t="s">
        <v>369</v>
      </c>
      <c r="AG658" s="985">
        <v>0</v>
      </c>
      <c r="AH658" s="985">
        <v>0</v>
      </c>
      <c r="AI658" s="985">
        <v>0</v>
      </c>
      <c r="AJ658" s="1193">
        <f>VLOOKUP($I658,'Price List, Weapons &amp; Items'!B:F,5,0)</f>
        <v>0</v>
      </c>
      <c r="AK658" s="1193">
        <f t="shared" si="147"/>
        <v>0</v>
      </c>
      <c r="AL658" s="1193">
        <f t="shared" si="148"/>
        <v>0</v>
      </c>
      <c r="AM658" s="1193">
        <f t="shared" si="149"/>
        <v>0</v>
      </c>
      <c r="AN658" s="1194" t="str">
        <f>VLOOKUP($I658,'Price List, Weapons &amp; Items'!B:L,COLUMN('Price List, Weapons &amp; Items'!$J$11)-1,0)</f>
        <v>Military media (incl. websites)</v>
      </c>
      <c r="AO658" s="1194" t="str">
        <f>IF(I658=".",".",VLOOKUP($I658,'Price List, Weapons &amp; Items'!B:J,3,0))</f>
        <v>Light Anti-armor Weapon (LAW)</v>
      </c>
      <c r="AP658" s="1195" t="str">
        <f t="shared" ca="1" si="143"/>
        <v/>
      </c>
      <c r="AQ658" s="1194">
        <f>VLOOKUP($I658,'Price List, Weapons &amp; Items'!B:L,COLUMN('Price List, Weapons &amp; Items'!$L$11)-1,0)</f>
        <v>1</v>
      </c>
      <c r="AR658" s="1194">
        <f t="shared" si="150"/>
        <v>1</v>
      </c>
      <c r="AS658" s="1194">
        <f t="shared" si="151"/>
        <v>1</v>
      </c>
      <c r="AT658" s="1194" t="str">
        <f t="shared" si="152"/>
        <v>Value is not in date format</v>
      </c>
      <c r="AU658" s="1194" t="str">
        <f t="shared" si="153"/>
        <v>.</v>
      </c>
      <c r="AV658" s="1194" t="str">
        <f t="shared" si="144"/>
        <v>.</v>
      </c>
      <c r="AW658" s="1194" t="str">
        <f t="shared" si="154"/>
        <v>.</v>
      </c>
      <c r="AX658" s="1194">
        <f>IFERROR(VLOOKUP(B658,'Share, Heavy Weapons to Ukraine'!B:Z,COLUMN('Share, Heavy Weapons to Ukraine'!C668)-1,0),0)</f>
        <v>0</v>
      </c>
      <c r="AY658" s="1194">
        <f>VLOOKUP('Bilateral Assistance, MAIN DATA'!B658,'Country Summary (€)'!B:F,COLUMN('Country Summary (€)'!C669)-1,FALSE)</f>
        <v>1</v>
      </c>
      <c r="AZ658" s="1194" t="str">
        <f>IF(AND(AD658=1,D658="Military",H658&lt;&gt;"Not given")=TRUE,IF(SUMIFS(P:P,A:A,A658)&gt;0,ABS((SUMIFS(P:P,A:A,A658)/VLOOKUP("USD",'Exchange Rates'!B:C,2,0)))/S658,"."),".")</f>
        <v>.</v>
      </c>
      <c r="BA658" s="1196" t="str">
        <f>IF(AND(AD658=1,D658="Military",H658&lt;&gt;"Not given")=TRUE,IF(SUMIFS(P:P,A:A,A658)&gt;0,IF((ABS((SUMIFS(P:P,A:A,A658)/VLOOKUP("USD",'Exchange Rates'!B:C,2,0)))/S658)&gt;1,(SUMIFS(P:P,A:A,A658)-S658)/S658,(S658-SUMIFS(P:P,A:A,A658))/SUMIFS(P:P,A:A,A658)),"."),".")</f>
        <v>.</v>
      </c>
    </row>
    <row r="659" spans="1:53" ht="15.95" customHeight="1">
      <c r="A659" s="1180" t="s">
        <v>1884</v>
      </c>
      <c r="B659" s="1182" t="s">
        <v>1711</v>
      </c>
      <c r="C659" s="1181" t="s">
        <v>1797</v>
      </c>
      <c r="D659" s="1182" t="s">
        <v>389</v>
      </c>
      <c r="E659" s="1182" t="s">
        <v>1676</v>
      </c>
      <c r="F659" s="1263" t="s">
        <v>1885</v>
      </c>
      <c r="G659" s="1184" t="s">
        <v>483</v>
      </c>
      <c r="H659" s="1185">
        <v>600000000</v>
      </c>
      <c r="I659" s="1266" t="s">
        <v>1906</v>
      </c>
      <c r="J659" s="1186" t="str">
        <f>VLOOKUP($I659,'Price List, Weapons &amp; Items'!B:C,2,0)</f>
        <v>Light armaments &amp; infantry</v>
      </c>
      <c r="K659" s="1186" t="str">
        <f>IF(I659=".",I659,VLOOKUP($I659,'Price List, Weapons &amp; Items'!B:D,3,0))</f>
        <v>Small Arms and Light Weapons (SALW)</v>
      </c>
      <c r="L659" s="1187">
        <f>VLOOKUP(I659,'Price List, Weapons &amp; Items'!B:E,4,0)</f>
        <v>0</v>
      </c>
      <c r="M659" s="1188">
        <v>100</v>
      </c>
      <c r="N659" s="1188">
        <v>100</v>
      </c>
      <c r="O659" s="1188">
        <f>VLOOKUP($I659,'Price List, Weapons &amp; Items'!B:G,6,0)</f>
        <v>3000</v>
      </c>
      <c r="P659" s="1185">
        <f t="shared" si="145"/>
        <v>300000</v>
      </c>
      <c r="Q659" s="1185">
        <f t="shared" si="146"/>
        <v>300000</v>
      </c>
      <c r="R659" s="1185" t="str">
        <f t="shared" si="142"/>
        <v/>
      </c>
      <c r="S659" s="1185" t="str">
        <f>IF(AND(AD659=1,R659&lt;&gt;".")=TRUE,R659/VLOOKUP(G659,'Exchange Rates'!B:C,2,0),IF(R659=".",".",""))</f>
        <v/>
      </c>
      <c r="T659" s="1185" t="str">
        <f>IF(AD659=1,IF(AF659="Value is not given at all",".",IF(AF659="Value is given by the source",S659,IF(AF659="Value is calculated with prices",(IF(SUMIFS(Q:Q,A:A,A659)&gt;0,SUMIFS(Q:Q,A:A,A659),"."))/VLOOKUP("USD",'Exchange Rates'!B:C,2,0),"Error with coding"))),"")</f>
        <v/>
      </c>
      <c r="U659" s="1184" t="s">
        <v>365</v>
      </c>
      <c r="V659" s="972" t="s">
        <v>1782</v>
      </c>
      <c r="W659" s="966" t="s">
        <v>1280</v>
      </c>
      <c r="X659" s="1031" t="s">
        <v>364</v>
      </c>
      <c r="Y659" s="1031" t="s">
        <v>364</v>
      </c>
      <c r="Z659" s="1184">
        <v>0</v>
      </c>
      <c r="AA659" s="1194">
        <v>0</v>
      </c>
      <c r="AB659" s="600" t="s">
        <v>1280</v>
      </c>
      <c r="AC659" s="1192" t="str">
        <f>""</f>
        <v/>
      </c>
      <c r="AD659" s="985">
        <v>0</v>
      </c>
      <c r="AE659" s="1194" t="s">
        <v>368</v>
      </c>
      <c r="AF659" s="985" t="s">
        <v>369</v>
      </c>
      <c r="AG659" s="985">
        <v>0</v>
      </c>
      <c r="AH659" s="985">
        <v>0</v>
      </c>
      <c r="AI659" s="985">
        <v>0</v>
      </c>
      <c r="AJ659" s="1193">
        <f>VLOOKUP($I659,'Price List, Weapons &amp; Items'!B:F,5,0)</f>
        <v>0</v>
      </c>
      <c r="AK659" s="1193">
        <f t="shared" si="147"/>
        <v>0</v>
      </c>
      <c r="AL659" s="1193">
        <f t="shared" si="148"/>
        <v>0</v>
      </c>
      <c r="AM659" s="1193">
        <f t="shared" si="149"/>
        <v>0</v>
      </c>
      <c r="AN659" s="1194" t="str">
        <f>VLOOKUP($I659,'Price List, Weapons &amp; Items'!B:L,COLUMN('Price List, Weapons &amp; Items'!$J$11)-1,0)</f>
        <v>Military media (incl. websites)</v>
      </c>
      <c r="AO659" s="1194" t="str">
        <f>IF(I659=".",".",VLOOKUP($I659,'Price List, Weapons &amp; Items'!B:J,3,0))</f>
        <v>Small Arms and Light Weapons (SALW)</v>
      </c>
      <c r="AP659" s="1195" t="str">
        <f t="shared" ca="1" si="143"/>
        <v/>
      </c>
      <c r="AQ659" s="1194">
        <f>VLOOKUP($I659,'Price List, Weapons &amp; Items'!B:L,COLUMN('Price List, Weapons &amp; Items'!$L$11)-1,0)</f>
        <v>1</v>
      </c>
      <c r="AR659" s="1194">
        <f t="shared" si="150"/>
        <v>1</v>
      </c>
      <c r="AS659" s="1194">
        <f t="shared" si="151"/>
        <v>1</v>
      </c>
      <c r="AT659" s="1194" t="str">
        <f t="shared" si="152"/>
        <v>Value is not in date format</v>
      </c>
      <c r="AU659" s="1194" t="str">
        <f t="shared" si="153"/>
        <v>.</v>
      </c>
      <c r="AV659" s="1194" t="str">
        <f t="shared" si="144"/>
        <v>.</v>
      </c>
      <c r="AW659" s="1194" t="str">
        <f t="shared" si="154"/>
        <v>.</v>
      </c>
      <c r="AX659" s="1194">
        <f>IFERROR(VLOOKUP(B659,'Share, Heavy Weapons to Ukraine'!B:Z,COLUMN('Share, Heavy Weapons to Ukraine'!C669)-1,0),0)</f>
        <v>0</v>
      </c>
      <c r="AY659" s="1194">
        <f>VLOOKUP('Bilateral Assistance, MAIN DATA'!B659,'Country Summary (€)'!B:F,COLUMN('Country Summary (€)'!C670)-1,FALSE)</f>
        <v>1</v>
      </c>
      <c r="AZ659" s="1194" t="str">
        <f>IF(AND(AD659=1,D659="Military",H659&lt;&gt;"Not given")=TRUE,IF(SUMIFS(P:P,A:A,A659)&gt;0,ABS((SUMIFS(P:P,A:A,A659)/VLOOKUP("USD",'Exchange Rates'!B:C,2,0)))/S659,"."),".")</f>
        <v>.</v>
      </c>
      <c r="BA659" s="1196" t="str">
        <f>IF(AND(AD659=1,D659="Military",H659&lt;&gt;"Not given")=TRUE,IF(SUMIFS(P:P,A:A,A659)&gt;0,IF((ABS((SUMIFS(P:P,A:A,A659)/VLOOKUP("USD",'Exchange Rates'!B:C,2,0)))/S659)&gt;1,(SUMIFS(P:P,A:A,A659)-S659)/S659,(S659-SUMIFS(P:P,A:A,A659))/SUMIFS(P:P,A:A,A659)),"."),".")</f>
        <v>.</v>
      </c>
    </row>
    <row r="660" spans="1:53" ht="15.95" customHeight="1">
      <c r="A660" s="1180" t="s">
        <v>1884</v>
      </c>
      <c r="B660" s="1182" t="s">
        <v>1711</v>
      </c>
      <c r="C660" s="1181" t="s">
        <v>1797</v>
      </c>
      <c r="D660" s="1182" t="s">
        <v>389</v>
      </c>
      <c r="E660" s="1182" t="s">
        <v>1676</v>
      </c>
      <c r="F660" s="1263" t="s">
        <v>1885</v>
      </c>
      <c r="G660" s="1184" t="s">
        <v>483</v>
      </c>
      <c r="H660" s="1185">
        <v>600000000</v>
      </c>
      <c r="I660" s="1266" t="s">
        <v>1907</v>
      </c>
      <c r="J660" s="1186" t="str">
        <f>VLOOKUP($I660,'Price List, Weapons &amp; Items'!B:C,2,0)</f>
        <v>Military equipment</v>
      </c>
      <c r="K660" s="1186" t="str">
        <f>IF(I660=".",I660,VLOOKUP($I660,'Price List, Weapons &amp; Items'!B:D,3,0))</f>
        <v>spare parts</v>
      </c>
      <c r="L660" s="1187">
        <f>VLOOKUP(I660,'Price List, Weapons &amp; Items'!B:E,4,0)</f>
        <v>0</v>
      </c>
      <c r="M660" s="1188">
        <v>500</v>
      </c>
      <c r="N660" s="1188">
        <v>500</v>
      </c>
      <c r="O660" s="1188" t="str">
        <f>VLOOKUP($I660,'Price List, Weapons &amp; Items'!B:G,6,0)</f>
        <v>.</v>
      </c>
      <c r="P660" s="1185" t="str">
        <f t="shared" si="145"/>
        <v>No price</v>
      </c>
      <c r="Q660" s="1185" t="str">
        <f t="shared" si="146"/>
        <v>No price</v>
      </c>
      <c r="R660" s="1185" t="str">
        <f t="shared" si="142"/>
        <v/>
      </c>
      <c r="S660" s="1185" t="str">
        <f>IF(AND(AD660=1,R660&lt;&gt;".")=TRUE,R660/VLOOKUP(G660,'Exchange Rates'!B:C,2,0),IF(R660=".",".",""))</f>
        <v/>
      </c>
      <c r="T660" s="1185" t="str">
        <f>IF(AD660=1,IF(AF660="Value is not given at all",".",IF(AF660="Value is given by the source",S660,IF(AF660="Value is calculated with prices",(IF(SUMIFS(Q:Q,A:A,A660)&gt;0,SUMIFS(Q:Q,A:A,A660),"."))/VLOOKUP("USD",'Exchange Rates'!B:C,2,0),"Error with coding"))),"")</f>
        <v/>
      </c>
      <c r="U660" s="1184" t="s">
        <v>365</v>
      </c>
      <c r="V660" s="972" t="s">
        <v>1782</v>
      </c>
      <c r="W660" s="987" t="s">
        <v>1280</v>
      </c>
      <c r="X660" s="1031" t="s">
        <v>364</v>
      </c>
      <c r="Y660" s="1031" t="s">
        <v>364</v>
      </c>
      <c r="Z660" s="1184">
        <v>0</v>
      </c>
      <c r="AA660" s="1194">
        <v>0</v>
      </c>
      <c r="AB660" s="600" t="s">
        <v>1280</v>
      </c>
      <c r="AC660" s="1192" t="str">
        <f>""</f>
        <v/>
      </c>
      <c r="AD660" s="985">
        <v>0</v>
      </c>
      <c r="AE660" s="1194" t="s">
        <v>368</v>
      </c>
      <c r="AF660" s="985" t="s">
        <v>369</v>
      </c>
      <c r="AG660" s="985">
        <v>0</v>
      </c>
      <c r="AH660" s="985">
        <v>0</v>
      </c>
      <c r="AI660" s="985">
        <v>0</v>
      </c>
      <c r="AJ660" s="1193">
        <f>VLOOKUP($I660,'Price List, Weapons &amp; Items'!B:F,5,0)</f>
        <v>0</v>
      </c>
      <c r="AK660" s="1193">
        <f t="shared" si="147"/>
        <v>0</v>
      </c>
      <c r="AL660" s="1193">
        <f t="shared" si="148"/>
        <v>0</v>
      </c>
      <c r="AM660" s="1193">
        <f t="shared" si="149"/>
        <v>0</v>
      </c>
      <c r="AN660" s="1194" t="str">
        <f>VLOOKUP($I660,'Price List, Weapons &amp; Items'!B:L,COLUMN('Price List, Weapons &amp; Items'!$J$11)-1,0)</f>
        <v>.</v>
      </c>
      <c r="AO660" s="1194" t="str">
        <f>IF(I660=".",".",VLOOKUP($I660,'Price List, Weapons &amp; Items'!B:J,3,0))</f>
        <v>spare parts</v>
      </c>
      <c r="AP660" s="1195" t="str">
        <f t="shared" ca="1" si="143"/>
        <v/>
      </c>
      <c r="AQ660" s="1194">
        <f>VLOOKUP($I660,'Price List, Weapons &amp; Items'!B:L,COLUMN('Price List, Weapons &amp; Items'!$L$11)-1,0)</f>
        <v>0</v>
      </c>
      <c r="AR660" s="1194">
        <f t="shared" si="150"/>
        <v>1</v>
      </c>
      <c r="AS660" s="1194">
        <f t="shared" si="151"/>
        <v>1</v>
      </c>
      <c r="AT660" s="1194" t="str">
        <f t="shared" si="152"/>
        <v>Value is not in date format</v>
      </c>
      <c r="AU660" s="1194" t="str">
        <f t="shared" si="153"/>
        <v>.</v>
      </c>
      <c r="AV660" s="1194" t="str">
        <f t="shared" si="144"/>
        <v>.</v>
      </c>
      <c r="AW660" s="1194" t="str">
        <f t="shared" si="154"/>
        <v>.</v>
      </c>
      <c r="AX660" s="1194">
        <f>IFERROR(VLOOKUP(B660,'Share, Heavy Weapons to Ukraine'!B:Z,COLUMN('Share, Heavy Weapons to Ukraine'!C670)-1,0),0)</f>
        <v>0</v>
      </c>
      <c r="AY660" s="1194">
        <f>VLOOKUP('Bilateral Assistance, MAIN DATA'!B660,'Country Summary (€)'!B:F,COLUMN('Country Summary (€)'!C671)-1,FALSE)</f>
        <v>1</v>
      </c>
      <c r="AZ660" s="1194" t="str">
        <f>IF(AND(AD660=1,D660="Military",H660&lt;&gt;"Not given")=TRUE,IF(SUMIFS(P:P,A:A,A660)&gt;0,ABS((SUMIFS(P:P,A:A,A660)/VLOOKUP("USD",'Exchange Rates'!B:C,2,0)))/S660,"."),".")</f>
        <v>.</v>
      </c>
      <c r="BA660" s="1196" t="str">
        <f>IF(AND(AD660=1,D660="Military",H660&lt;&gt;"Not given")=TRUE,IF(SUMIFS(P:P,A:A,A660)&gt;0,IF((ABS((SUMIFS(P:P,A:A,A660)/VLOOKUP("USD",'Exchange Rates'!B:C,2,0)))/S660)&gt;1,(SUMIFS(P:P,A:A,A660)-S660)/S660,(S660-SUMIFS(P:P,A:A,A660))/SUMIFS(P:P,A:A,A660)),"."),".")</f>
        <v>.</v>
      </c>
    </row>
    <row r="661" spans="1:53" ht="15.95" customHeight="1">
      <c r="A661" s="1180" t="s">
        <v>1884</v>
      </c>
      <c r="B661" s="1182" t="s">
        <v>1711</v>
      </c>
      <c r="C661" s="1181" t="s">
        <v>1797</v>
      </c>
      <c r="D661" s="1182" t="s">
        <v>389</v>
      </c>
      <c r="E661" s="1182" t="s">
        <v>1676</v>
      </c>
      <c r="F661" s="1263" t="s">
        <v>1885</v>
      </c>
      <c r="G661" s="1184" t="s">
        <v>483</v>
      </c>
      <c r="H661" s="1185">
        <v>600000000</v>
      </c>
      <c r="I661" s="1266" t="s">
        <v>622</v>
      </c>
      <c r="J661" s="1186" t="str">
        <f>VLOOKUP($I661,'Price List, Weapons &amp; Items'!B:C,2,0)</f>
        <v>Light armaments &amp; infantry</v>
      </c>
      <c r="K661" s="1186" t="str">
        <f>IF(I661=".",I661,VLOOKUP($I661,'Price List, Weapons &amp; Items'!B:D,3,0))</f>
        <v>Explosive</v>
      </c>
      <c r="L661" s="1187">
        <f>VLOOKUP(I661,'Price List, Weapons &amp; Items'!B:E,4,0)</f>
        <v>0</v>
      </c>
      <c r="M661" s="1188">
        <v>100000</v>
      </c>
      <c r="N661" s="1188">
        <v>100000</v>
      </c>
      <c r="O661" s="1188">
        <f>VLOOKUP($I661,'Price List, Weapons &amp; Items'!B:G,6,0)</f>
        <v>45</v>
      </c>
      <c r="P661" s="1185">
        <f t="shared" si="145"/>
        <v>4500000</v>
      </c>
      <c r="Q661" s="1185">
        <f t="shared" si="146"/>
        <v>4500000</v>
      </c>
      <c r="R661" s="1185" t="str">
        <f t="shared" si="142"/>
        <v/>
      </c>
      <c r="S661" s="1185" t="str">
        <f>IF(AND(AD661=1,R661&lt;&gt;".")=TRUE,R661/VLOOKUP(G661,'Exchange Rates'!B:C,2,0),IF(R661=".",".",""))</f>
        <v/>
      </c>
      <c r="T661" s="1185" t="str">
        <f>IF(AD661=1,IF(AF661="Value is not given at all",".",IF(AF661="Value is given by the source",S661,IF(AF661="Value is calculated with prices",(IF(SUMIFS(Q:Q,A:A,A661)&gt;0,SUMIFS(Q:Q,A:A,A661),"."))/VLOOKUP("USD",'Exchange Rates'!B:C,2,0),"Error with coding"))),"")</f>
        <v/>
      </c>
      <c r="U661" s="1184" t="s">
        <v>365</v>
      </c>
      <c r="V661" s="972" t="s">
        <v>1782</v>
      </c>
      <c r="W661" s="966" t="s">
        <v>1280</v>
      </c>
      <c r="X661" s="1031" t="s">
        <v>364</v>
      </c>
      <c r="Y661" s="1031" t="s">
        <v>364</v>
      </c>
      <c r="Z661" s="1184">
        <v>0</v>
      </c>
      <c r="AA661" s="1194">
        <v>0</v>
      </c>
      <c r="AB661" s="600" t="s">
        <v>1280</v>
      </c>
      <c r="AC661" s="1192" t="str">
        <f>""</f>
        <v/>
      </c>
      <c r="AD661" s="985">
        <v>0</v>
      </c>
      <c r="AE661" s="1194" t="s">
        <v>368</v>
      </c>
      <c r="AF661" s="985" t="s">
        <v>369</v>
      </c>
      <c r="AG661" s="985">
        <v>0</v>
      </c>
      <c r="AH661" s="985">
        <v>0</v>
      </c>
      <c r="AI661" s="985">
        <v>0</v>
      </c>
      <c r="AJ661" s="1193">
        <f>VLOOKUP($I661,'Price List, Weapons &amp; Items'!B:F,5,0)</f>
        <v>0</v>
      </c>
      <c r="AK661" s="1193">
        <f t="shared" si="147"/>
        <v>0</v>
      </c>
      <c r="AL661" s="1193">
        <f t="shared" si="148"/>
        <v>0</v>
      </c>
      <c r="AM661" s="1193">
        <f t="shared" si="149"/>
        <v>0</v>
      </c>
      <c r="AN661" s="1194" t="str">
        <f>VLOOKUP($I661,'Price List, Weapons &amp; Items'!B:L,COLUMN('Price List, Weapons &amp; Items'!$J$11)-1,0)</f>
        <v>Miscellaneous</v>
      </c>
      <c r="AO661" s="1194" t="str">
        <f>IF(I661=".",".",VLOOKUP($I661,'Price List, Weapons &amp; Items'!B:J,3,0))</f>
        <v>Explosive</v>
      </c>
      <c r="AP661" s="1195" t="str">
        <f t="shared" ca="1" si="143"/>
        <v/>
      </c>
      <c r="AQ661" s="1194">
        <f>VLOOKUP($I661,'Price List, Weapons &amp; Items'!B:L,COLUMN('Price List, Weapons &amp; Items'!$L$11)-1,0)</f>
        <v>2</v>
      </c>
      <c r="AR661" s="1194">
        <f t="shared" si="150"/>
        <v>1</v>
      </c>
      <c r="AS661" s="1194">
        <f t="shared" si="151"/>
        <v>1</v>
      </c>
      <c r="AT661" s="1194" t="str">
        <f t="shared" si="152"/>
        <v>Value is not in date format</v>
      </c>
      <c r="AU661" s="1194" t="str">
        <f t="shared" si="153"/>
        <v>.</v>
      </c>
      <c r="AV661" s="1194" t="str">
        <f t="shared" si="144"/>
        <v>.</v>
      </c>
      <c r="AW661" s="1194" t="str">
        <f t="shared" si="154"/>
        <v>.</v>
      </c>
      <c r="AX661" s="1194">
        <f>IFERROR(VLOOKUP(B661,'Share, Heavy Weapons to Ukraine'!B:Z,COLUMN('Share, Heavy Weapons to Ukraine'!C671)-1,0),0)</f>
        <v>0</v>
      </c>
      <c r="AY661" s="1194">
        <f>VLOOKUP('Bilateral Assistance, MAIN DATA'!B661,'Country Summary (€)'!B:F,COLUMN('Country Summary (€)'!C672)-1,FALSE)</f>
        <v>1</v>
      </c>
      <c r="AZ661" s="1194" t="str">
        <f>IF(AND(AD661=1,D661="Military",H661&lt;&gt;"Not given")=TRUE,IF(SUMIFS(P:P,A:A,A661)&gt;0,ABS((SUMIFS(P:P,A:A,A661)/VLOOKUP("USD",'Exchange Rates'!B:C,2,0)))/S661,"."),".")</f>
        <v>.</v>
      </c>
      <c r="BA661" s="1196" t="str">
        <f>IF(AND(AD661=1,D661="Military",H661&lt;&gt;"Not given")=TRUE,IF(SUMIFS(P:P,A:A,A661)&gt;0,IF((ABS((SUMIFS(P:P,A:A,A661)/VLOOKUP("USD",'Exchange Rates'!B:C,2,0)))/S661)&gt;1,(SUMIFS(P:P,A:A,A661)-S661)/S661,(S661-SUMIFS(P:P,A:A,A661))/SUMIFS(P:P,A:A,A661)),"."),".")</f>
        <v>.</v>
      </c>
    </row>
    <row r="662" spans="1:53" ht="15.95" customHeight="1">
      <c r="A662" s="1180" t="s">
        <v>1884</v>
      </c>
      <c r="B662" s="1182" t="s">
        <v>1711</v>
      </c>
      <c r="C662" s="1181" t="s">
        <v>1797</v>
      </c>
      <c r="D662" s="1182" t="s">
        <v>389</v>
      </c>
      <c r="E662" s="1182" t="s">
        <v>1676</v>
      </c>
      <c r="F662" s="1263" t="s">
        <v>1885</v>
      </c>
      <c r="G662" s="1184" t="s">
        <v>483</v>
      </c>
      <c r="H662" s="1185">
        <v>600000000</v>
      </c>
      <c r="I662" s="1266" t="s">
        <v>1908</v>
      </c>
      <c r="J662" s="1186" t="str">
        <f>VLOOKUP($I662,'Price List, Weapons &amp; Items'!B:C,2,0)</f>
        <v>Ammunition for light infantry</v>
      </c>
      <c r="K662" s="1186" t="str">
        <f>IF(I662=".",I662,VLOOKUP($I662,'Price List, Weapons &amp; Items'!B:D,3,0))</f>
        <v>Explosive</v>
      </c>
      <c r="L662" s="1187">
        <f>VLOOKUP(I662,'Price List, Weapons &amp; Items'!B:E,4,0)</f>
        <v>0</v>
      </c>
      <c r="M662" s="1188">
        <v>5300</v>
      </c>
      <c r="N662" s="1188">
        <v>5300</v>
      </c>
      <c r="O662" s="1188">
        <f>VLOOKUP($I662,'Price List, Weapons &amp; Items'!B:G,6,0)</f>
        <v>15</v>
      </c>
      <c r="P662" s="1185">
        <f t="shared" si="145"/>
        <v>79500</v>
      </c>
      <c r="Q662" s="1185">
        <f t="shared" si="146"/>
        <v>79500</v>
      </c>
      <c r="R662" s="1185" t="str">
        <f t="shared" si="142"/>
        <v/>
      </c>
      <c r="S662" s="1185" t="str">
        <f>IF(AND(AD662=1,R662&lt;&gt;".")=TRUE,R662/VLOOKUP(G662,'Exchange Rates'!B:C,2,0),IF(R662=".",".",""))</f>
        <v/>
      </c>
      <c r="T662" s="1185" t="str">
        <f>IF(AD662=1,IF(AF662="Value is not given at all",".",IF(AF662="Value is given by the source",S662,IF(AF662="Value is calculated with prices",(IF(SUMIFS(Q:Q,A:A,A662)&gt;0,SUMIFS(Q:Q,A:A,A662),"."))/VLOOKUP("USD",'Exchange Rates'!B:C,2,0),"Error with coding"))),"")</f>
        <v/>
      </c>
      <c r="U662" s="1184" t="s">
        <v>365</v>
      </c>
      <c r="V662" s="972" t="s">
        <v>1782</v>
      </c>
      <c r="W662" s="987" t="s">
        <v>1280</v>
      </c>
      <c r="X662" s="1031" t="s">
        <v>364</v>
      </c>
      <c r="Y662" s="1031" t="s">
        <v>364</v>
      </c>
      <c r="Z662" s="1184">
        <v>0</v>
      </c>
      <c r="AA662" s="1194">
        <v>0</v>
      </c>
      <c r="AB662" s="600" t="s">
        <v>1280</v>
      </c>
      <c r="AC662" s="1192" t="str">
        <f>""</f>
        <v/>
      </c>
      <c r="AD662" s="985">
        <v>0</v>
      </c>
      <c r="AE662" s="1194" t="s">
        <v>368</v>
      </c>
      <c r="AF662" s="985" t="s">
        <v>369</v>
      </c>
      <c r="AG662" s="985">
        <v>0</v>
      </c>
      <c r="AH662" s="985">
        <v>0</v>
      </c>
      <c r="AI662" s="985">
        <v>0</v>
      </c>
      <c r="AJ662" s="1193">
        <f>VLOOKUP($I662,'Price List, Weapons &amp; Items'!B:F,5,0)</f>
        <v>0</v>
      </c>
      <c r="AK662" s="1193">
        <f t="shared" si="147"/>
        <v>0</v>
      </c>
      <c r="AL662" s="1193">
        <f t="shared" si="148"/>
        <v>0</v>
      </c>
      <c r="AM662" s="1193">
        <f t="shared" si="149"/>
        <v>0</v>
      </c>
      <c r="AN662" s="1194" t="str">
        <f>VLOOKUP($I662,'Price List, Weapons &amp; Items'!B:L,COLUMN('Price List, Weapons &amp; Items'!$J$11)-1,0)</f>
        <v>Military media (incl. websites)</v>
      </c>
      <c r="AO662" s="1194" t="str">
        <f>IF(I662=".",".",VLOOKUP($I662,'Price List, Weapons &amp; Items'!B:J,3,0))</f>
        <v>Explosive</v>
      </c>
      <c r="AP662" s="1195" t="str">
        <f t="shared" ca="1" si="143"/>
        <v/>
      </c>
      <c r="AQ662" s="1194">
        <f>VLOOKUP($I662,'Price List, Weapons &amp; Items'!B:L,COLUMN('Price List, Weapons &amp; Items'!$L$11)-1,0)</f>
        <v>1</v>
      </c>
      <c r="AR662" s="1194">
        <f t="shared" si="150"/>
        <v>1</v>
      </c>
      <c r="AS662" s="1194">
        <f t="shared" si="151"/>
        <v>1</v>
      </c>
      <c r="AT662" s="1194" t="str">
        <f t="shared" si="152"/>
        <v>Value is not in date format</v>
      </c>
      <c r="AU662" s="1194" t="str">
        <f t="shared" si="153"/>
        <v>.</v>
      </c>
      <c r="AV662" s="1194" t="str">
        <f t="shared" si="144"/>
        <v>.</v>
      </c>
      <c r="AW662" s="1194" t="str">
        <f t="shared" si="154"/>
        <v>.</v>
      </c>
      <c r="AX662" s="1194">
        <f>IFERROR(VLOOKUP(B662,'Share, Heavy Weapons to Ukraine'!B:Z,COLUMN('Share, Heavy Weapons to Ukraine'!C672)-1,0),0)</f>
        <v>0</v>
      </c>
      <c r="AY662" s="1194">
        <f>VLOOKUP('Bilateral Assistance, MAIN DATA'!B662,'Country Summary (€)'!B:F,COLUMN('Country Summary (€)'!C673)-1,FALSE)</f>
        <v>1</v>
      </c>
      <c r="AZ662" s="1194" t="str">
        <f>IF(AND(AD662=1,D662="Military",H662&lt;&gt;"Not given")=TRUE,IF(SUMIFS(P:P,A:A,A662)&gt;0,ABS((SUMIFS(P:P,A:A,A662)/VLOOKUP("USD",'Exchange Rates'!B:C,2,0)))/S662,"."),".")</f>
        <v>.</v>
      </c>
      <c r="BA662" s="1196" t="str">
        <f>IF(AND(AD662=1,D662="Military",H662&lt;&gt;"Not given")=TRUE,IF(SUMIFS(P:P,A:A,A662)&gt;0,IF((ABS((SUMIFS(P:P,A:A,A662)/VLOOKUP("USD",'Exchange Rates'!B:C,2,0)))/S662)&gt;1,(SUMIFS(P:P,A:A,A662)-S662)/S662,(S662-SUMIFS(P:P,A:A,A662))/SUMIFS(P:P,A:A,A662)),"."),".")</f>
        <v>.</v>
      </c>
    </row>
    <row r="663" spans="1:53" ht="15.95" customHeight="1">
      <c r="A663" s="1180" t="s">
        <v>1884</v>
      </c>
      <c r="B663" s="1182" t="s">
        <v>1711</v>
      </c>
      <c r="C663" s="1181" t="s">
        <v>1797</v>
      </c>
      <c r="D663" s="1182" t="s">
        <v>389</v>
      </c>
      <c r="E663" s="1182" t="s">
        <v>1676</v>
      </c>
      <c r="F663" s="1263" t="s">
        <v>1885</v>
      </c>
      <c r="G663" s="1184" t="s">
        <v>483</v>
      </c>
      <c r="H663" s="1185">
        <v>600000000</v>
      </c>
      <c r="I663" s="1266" t="s">
        <v>1909</v>
      </c>
      <c r="J663" s="1186" t="str">
        <f>VLOOKUP($I663,'Price List, Weapons &amp; Items'!B:C,2,0)</f>
        <v>Military equipment</v>
      </c>
      <c r="K663" s="1186" t="str">
        <f>IF(I663=".",I663,VLOOKUP($I663,'Price List, Weapons &amp; Items'!B:D,3,0))</f>
        <v>Military equipment</v>
      </c>
      <c r="L663" s="1187">
        <f>VLOOKUP(I663,'Price List, Weapons &amp; Items'!B:E,4,0)</f>
        <v>0</v>
      </c>
      <c r="M663" s="1188" t="s">
        <v>374</v>
      </c>
      <c r="N663" s="1188" t="s">
        <v>374</v>
      </c>
      <c r="O663" s="1188">
        <f>VLOOKUP($I663,'Price List, Weapons &amp; Items'!B:G,6,0)</f>
        <v>99.18</v>
      </c>
      <c r="P663" s="1185" t="str">
        <f t="shared" si="145"/>
        <v>.</v>
      </c>
      <c r="Q663" s="1185" t="str">
        <f t="shared" si="146"/>
        <v>.</v>
      </c>
      <c r="R663" s="1185" t="str">
        <f t="shared" si="142"/>
        <v/>
      </c>
      <c r="S663" s="1185" t="str">
        <f>IF(AND(AD663=1,R663&lt;&gt;".")=TRUE,R663/VLOOKUP(G663,'Exchange Rates'!B:C,2,0),IF(R663=".",".",""))</f>
        <v/>
      </c>
      <c r="T663" s="1185" t="str">
        <f>IF(AD663=1,IF(AF663="Value is not given at all",".",IF(AF663="Value is given by the source",S663,IF(AF663="Value is calculated with prices",(IF(SUMIFS(Q:Q,A:A,A663)&gt;0,SUMIFS(Q:Q,A:A,A663),"."))/VLOOKUP("USD",'Exchange Rates'!B:C,2,0),"Error with coding"))),"")</f>
        <v/>
      </c>
      <c r="U663" s="1184" t="s">
        <v>365</v>
      </c>
      <c r="V663" s="972" t="s">
        <v>1782</v>
      </c>
      <c r="W663" s="966" t="s">
        <v>1280</v>
      </c>
      <c r="X663" s="1031" t="s">
        <v>364</v>
      </c>
      <c r="Y663" s="1031" t="s">
        <v>364</v>
      </c>
      <c r="Z663" s="1184">
        <v>0</v>
      </c>
      <c r="AA663" s="1194">
        <v>0</v>
      </c>
      <c r="AB663" s="600" t="s">
        <v>1280</v>
      </c>
      <c r="AC663" s="1192" t="str">
        <f>""</f>
        <v/>
      </c>
      <c r="AD663" s="985">
        <v>0</v>
      </c>
      <c r="AE663" s="1194" t="s">
        <v>368</v>
      </c>
      <c r="AF663" s="985" t="s">
        <v>369</v>
      </c>
      <c r="AG663" s="985">
        <v>0</v>
      </c>
      <c r="AH663" s="985">
        <v>0</v>
      </c>
      <c r="AI663" s="985">
        <v>0</v>
      </c>
      <c r="AJ663" s="1193">
        <f>VLOOKUP($I663,'Price List, Weapons &amp; Items'!B:F,5,0)</f>
        <v>0</v>
      </c>
      <c r="AK663" s="1193">
        <f t="shared" si="147"/>
        <v>0</v>
      </c>
      <c r="AL663" s="1193">
        <f t="shared" si="148"/>
        <v>0</v>
      </c>
      <c r="AM663" s="1193">
        <f t="shared" si="149"/>
        <v>0</v>
      </c>
      <c r="AN663" s="1194" t="str">
        <f>VLOOKUP($I663,'Price List, Weapons &amp; Items'!B:L,COLUMN('Price List, Weapons &amp; Items'!$J$11)-1,0)</f>
        <v>Manufacturer price</v>
      </c>
      <c r="AO663" s="1194" t="str">
        <f>IF(I663=".",".",VLOOKUP($I663,'Price List, Weapons &amp; Items'!B:J,3,0))</f>
        <v>Military equipment</v>
      </c>
      <c r="AP663" s="1195" t="str">
        <f t="shared" ca="1" si="143"/>
        <v/>
      </c>
      <c r="AQ663" s="1194" t="str">
        <f>VLOOKUP($I663,'Price List, Weapons &amp; Items'!B:L,COLUMN('Price List, Weapons &amp; Items'!$L$11)-1,0)</f>
        <v>no price, 0 count</v>
      </c>
      <c r="AR663" s="1194">
        <f t="shared" si="150"/>
        <v>1</v>
      </c>
      <c r="AS663" s="1194">
        <f t="shared" si="151"/>
        <v>1</v>
      </c>
      <c r="AT663" s="1194" t="str">
        <f t="shared" si="152"/>
        <v>Value is not in date format</v>
      </c>
      <c r="AU663" s="1194" t="str">
        <f t="shared" si="153"/>
        <v>.</v>
      </c>
      <c r="AV663" s="1194" t="str">
        <f t="shared" si="144"/>
        <v>.</v>
      </c>
      <c r="AW663" s="1194" t="str">
        <f t="shared" si="154"/>
        <v>.</v>
      </c>
      <c r="AX663" s="1194">
        <f>IFERROR(VLOOKUP(B663,'Share, Heavy Weapons to Ukraine'!B:Z,COLUMN('Share, Heavy Weapons to Ukraine'!C673)-1,0),0)</f>
        <v>0</v>
      </c>
      <c r="AY663" s="1194">
        <f>VLOOKUP('Bilateral Assistance, MAIN DATA'!B663,'Country Summary (€)'!B:F,COLUMN('Country Summary (€)'!C674)-1,FALSE)</f>
        <v>1</v>
      </c>
      <c r="AZ663" s="1194" t="str">
        <f>IF(AND(AD663=1,D663="Military",H663&lt;&gt;"Not given")=TRUE,IF(SUMIFS(P:P,A:A,A663)&gt;0,ABS((SUMIFS(P:P,A:A,A663)/VLOOKUP("USD",'Exchange Rates'!B:C,2,0)))/S663,"."),".")</f>
        <v>.</v>
      </c>
      <c r="BA663" s="1196" t="str">
        <f>IF(AND(AD663=1,D663="Military",H663&lt;&gt;"Not given")=TRUE,IF(SUMIFS(P:P,A:A,A663)&gt;0,IF((ABS((SUMIFS(P:P,A:A,A663)/VLOOKUP("USD",'Exchange Rates'!B:C,2,0)))/S663)&gt;1,(SUMIFS(P:P,A:A,A663)-S663)/S663,(S663-SUMIFS(P:P,A:A,A663))/SUMIFS(P:P,A:A,A663)),"."),".")</f>
        <v>.</v>
      </c>
    </row>
    <row r="664" spans="1:53" ht="15.95" customHeight="1">
      <c r="A664" s="1180" t="s">
        <v>1884</v>
      </c>
      <c r="B664" s="1182" t="s">
        <v>1711</v>
      </c>
      <c r="C664" s="1181" t="s">
        <v>1797</v>
      </c>
      <c r="D664" s="1182" t="s">
        <v>389</v>
      </c>
      <c r="E664" s="1182" t="s">
        <v>1676</v>
      </c>
      <c r="F664" s="1263" t="s">
        <v>1885</v>
      </c>
      <c r="G664" s="1184" t="s">
        <v>483</v>
      </c>
      <c r="H664" s="1185">
        <v>600000000</v>
      </c>
      <c r="I664" s="1266" t="s">
        <v>1910</v>
      </c>
      <c r="J664" s="1186" t="str">
        <f>VLOOKUP($I664,'Price List, Weapons &amp; Items'!B:C,2,0)</f>
        <v>Military equipment</v>
      </c>
      <c r="K664" s="1186" t="str">
        <f>IF(I664=".",I664,VLOOKUP($I664,'Price List, Weapons &amp; Items'!B:D,3,0))</f>
        <v>Military equipment</v>
      </c>
      <c r="L664" s="1187">
        <f>VLOOKUP(I664,'Price List, Weapons &amp; Items'!B:E,4,0)</f>
        <v>0</v>
      </c>
      <c r="M664" s="1188">
        <v>100000</v>
      </c>
      <c r="N664" s="1188">
        <v>100000</v>
      </c>
      <c r="O664" s="1188">
        <f>VLOOKUP($I664,'Price List, Weapons &amp; Items'!B:G,6,0)</f>
        <v>8.76</v>
      </c>
      <c r="P664" s="1185">
        <f t="shared" si="145"/>
        <v>876000</v>
      </c>
      <c r="Q664" s="1185">
        <f t="shared" si="146"/>
        <v>876000</v>
      </c>
      <c r="R664" s="1185" t="str">
        <f t="shared" si="142"/>
        <v/>
      </c>
      <c r="S664" s="1185" t="str">
        <f>IF(AND(AD664=1,R664&lt;&gt;".")=TRUE,R664/VLOOKUP(G664,'Exchange Rates'!B:C,2,0),IF(R664=".",".",""))</f>
        <v/>
      </c>
      <c r="T664" s="1185" t="str">
        <f>IF(AD664=1,IF(AF664="Value is not given at all",".",IF(AF664="Value is given by the source",S664,IF(AF664="Value is calculated with prices",(IF(SUMIFS(Q:Q,A:A,A664)&gt;0,SUMIFS(Q:Q,A:A,A664),"."))/VLOOKUP("USD",'Exchange Rates'!B:C,2,0),"Error with coding"))),"")</f>
        <v/>
      </c>
      <c r="U664" s="1184" t="s">
        <v>365</v>
      </c>
      <c r="V664" s="972" t="s">
        <v>1782</v>
      </c>
      <c r="W664" s="987" t="s">
        <v>1280</v>
      </c>
      <c r="X664" s="1031" t="s">
        <v>364</v>
      </c>
      <c r="Y664" s="1031" t="s">
        <v>364</v>
      </c>
      <c r="Z664" s="1184">
        <v>0</v>
      </c>
      <c r="AA664" s="1194">
        <v>0</v>
      </c>
      <c r="AB664" s="600" t="s">
        <v>1280</v>
      </c>
      <c r="AC664" s="1192" t="str">
        <f>""</f>
        <v/>
      </c>
      <c r="AD664" s="985">
        <v>0</v>
      </c>
      <c r="AE664" s="1194" t="s">
        <v>368</v>
      </c>
      <c r="AF664" s="985" t="s">
        <v>369</v>
      </c>
      <c r="AG664" s="985">
        <v>0</v>
      </c>
      <c r="AH664" s="985">
        <v>0</v>
      </c>
      <c r="AI664" s="985">
        <v>0</v>
      </c>
      <c r="AJ664" s="1193">
        <f>VLOOKUP($I664,'Price List, Weapons &amp; Items'!B:F,5,0)</f>
        <v>0</v>
      </c>
      <c r="AK664" s="1193">
        <f t="shared" si="147"/>
        <v>0</v>
      </c>
      <c r="AL664" s="1193">
        <f t="shared" si="148"/>
        <v>0</v>
      </c>
      <c r="AM664" s="1193">
        <f t="shared" si="149"/>
        <v>0</v>
      </c>
      <c r="AN664" s="1194" t="str">
        <f>VLOOKUP($I664,'Price List, Weapons &amp; Items'!B:L,COLUMN('Price List, Weapons &amp; Items'!$J$11)-1,0)</f>
        <v>Online marketplaces and stores</v>
      </c>
      <c r="AO664" s="1194" t="str">
        <f>IF(I664=".",".",VLOOKUP($I664,'Price List, Weapons &amp; Items'!B:J,3,0))</f>
        <v>Military equipment</v>
      </c>
      <c r="AP664" s="1195" t="str">
        <f t="shared" ca="1" si="143"/>
        <v/>
      </c>
      <c r="AQ664" s="1194">
        <f>VLOOKUP($I664,'Price List, Weapons &amp; Items'!B:L,COLUMN('Price List, Weapons &amp; Items'!$L$11)-1,0)</f>
        <v>2</v>
      </c>
      <c r="AR664" s="1194">
        <f t="shared" si="150"/>
        <v>1</v>
      </c>
      <c r="AS664" s="1194">
        <f t="shared" si="151"/>
        <v>1</v>
      </c>
      <c r="AT664" s="1194" t="str">
        <f t="shared" si="152"/>
        <v>Value is not in date format</v>
      </c>
      <c r="AU664" s="1194" t="str">
        <f t="shared" si="153"/>
        <v>.</v>
      </c>
      <c r="AV664" s="1194" t="str">
        <f t="shared" si="144"/>
        <v>.</v>
      </c>
      <c r="AW664" s="1194" t="str">
        <f t="shared" si="154"/>
        <v>.</v>
      </c>
      <c r="AX664" s="1194">
        <f>IFERROR(VLOOKUP(B664,'Share, Heavy Weapons to Ukraine'!B:Z,COLUMN('Share, Heavy Weapons to Ukraine'!C674)-1,0),0)</f>
        <v>0</v>
      </c>
      <c r="AY664" s="1194">
        <f>VLOOKUP('Bilateral Assistance, MAIN DATA'!B664,'Country Summary (€)'!B:F,COLUMN('Country Summary (€)'!C675)-1,FALSE)</f>
        <v>1</v>
      </c>
      <c r="AZ664" s="1194" t="str">
        <f>IF(AND(AD664=1,D664="Military",H664&lt;&gt;"Not given")=TRUE,IF(SUMIFS(P:P,A:A,A664)&gt;0,ABS((SUMIFS(P:P,A:A,A664)/VLOOKUP("USD",'Exchange Rates'!B:C,2,0)))/S664,"."),".")</f>
        <v>.</v>
      </c>
      <c r="BA664" s="1196" t="str">
        <f>IF(AND(AD664=1,D664="Military",H664&lt;&gt;"Not given")=TRUE,IF(SUMIFS(P:P,A:A,A664)&gt;0,IF((ABS((SUMIFS(P:P,A:A,A664)/VLOOKUP("USD",'Exchange Rates'!B:C,2,0)))/S664)&gt;1,(SUMIFS(P:P,A:A,A664)-S664)/S664,(S664-SUMIFS(P:P,A:A,A664))/SUMIFS(P:P,A:A,A664)),"."),".")</f>
        <v>.</v>
      </c>
    </row>
    <row r="665" spans="1:53" ht="15.95" customHeight="1">
      <c r="A665" s="1180" t="s">
        <v>1884</v>
      </c>
      <c r="B665" s="1182" t="s">
        <v>1711</v>
      </c>
      <c r="C665" s="1181" t="s">
        <v>1797</v>
      </c>
      <c r="D665" s="1182" t="s">
        <v>389</v>
      </c>
      <c r="E665" s="1182" t="s">
        <v>1676</v>
      </c>
      <c r="F665" s="1263" t="s">
        <v>1885</v>
      </c>
      <c r="G665" s="1184" t="s">
        <v>483</v>
      </c>
      <c r="H665" s="1185">
        <v>600000000</v>
      </c>
      <c r="I665" s="1266" t="s">
        <v>1910</v>
      </c>
      <c r="J665" s="1186" t="str">
        <f>VLOOKUP($I665,'Price List, Weapons &amp; Items'!B:C,2,0)</f>
        <v>Military equipment</v>
      </c>
      <c r="K665" s="1186" t="str">
        <f>IF(I665=".",I665,VLOOKUP($I665,'Price List, Weapons &amp; Items'!B:D,3,0))</f>
        <v>Military equipment</v>
      </c>
      <c r="L665" s="1187">
        <f>VLOOKUP(I665,'Price List, Weapons &amp; Items'!B:E,4,0)</f>
        <v>0</v>
      </c>
      <c r="M665" s="1188">
        <v>350000</v>
      </c>
      <c r="N665" s="1188">
        <v>350000</v>
      </c>
      <c r="O665" s="1188">
        <f>VLOOKUP($I665,'Price List, Weapons &amp; Items'!B:G,6,0)</f>
        <v>8.76</v>
      </c>
      <c r="P665" s="1185">
        <f t="shared" si="145"/>
        <v>3066000</v>
      </c>
      <c r="Q665" s="1185">
        <f t="shared" si="146"/>
        <v>3066000</v>
      </c>
      <c r="R665" s="1185" t="str">
        <f t="shared" si="142"/>
        <v/>
      </c>
      <c r="S665" s="1185" t="str">
        <f>IF(AND(AD665=1,R665&lt;&gt;".")=TRUE,R665/VLOOKUP(G665,'Exchange Rates'!B:C,2,0),IF(R665=".",".",""))</f>
        <v/>
      </c>
      <c r="T665" s="1185" t="str">
        <f>IF(AD665=1,IF(AF665="Value is not given at all",".",IF(AF665="Value is given by the source",S665,IF(AF665="Value is calculated with prices",(IF(SUMIFS(Q:Q,A:A,A665)&gt;0,SUMIFS(Q:Q,A:A,A665),"."))/VLOOKUP("USD",'Exchange Rates'!B:C,2,0),"Error with coding"))),"")</f>
        <v/>
      </c>
      <c r="U665" s="1184" t="s">
        <v>365</v>
      </c>
      <c r="V665" s="972" t="s">
        <v>1782</v>
      </c>
      <c r="W665" s="966" t="s">
        <v>1280</v>
      </c>
      <c r="X665" s="1031" t="s">
        <v>364</v>
      </c>
      <c r="Y665" s="1031" t="s">
        <v>364</v>
      </c>
      <c r="Z665" s="1184">
        <v>0</v>
      </c>
      <c r="AA665" s="1194">
        <v>0</v>
      </c>
      <c r="AB665" s="600" t="s">
        <v>1280</v>
      </c>
      <c r="AC665" s="1192" t="str">
        <f>""</f>
        <v/>
      </c>
      <c r="AD665" s="985">
        <v>0</v>
      </c>
      <c r="AE665" s="1194" t="s">
        <v>368</v>
      </c>
      <c r="AF665" s="985" t="s">
        <v>369</v>
      </c>
      <c r="AG665" s="985">
        <v>0</v>
      </c>
      <c r="AH665" s="985">
        <v>0</v>
      </c>
      <c r="AI665" s="985">
        <v>0</v>
      </c>
      <c r="AJ665" s="1193">
        <f>VLOOKUP($I665,'Price List, Weapons &amp; Items'!B:F,5,0)</f>
        <v>0</v>
      </c>
      <c r="AK665" s="1193">
        <f t="shared" si="147"/>
        <v>0</v>
      </c>
      <c r="AL665" s="1193">
        <f t="shared" si="148"/>
        <v>0</v>
      </c>
      <c r="AM665" s="1193">
        <f t="shared" si="149"/>
        <v>0</v>
      </c>
      <c r="AN665" s="1194" t="str">
        <f>VLOOKUP($I665,'Price List, Weapons &amp; Items'!B:L,COLUMN('Price List, Weapons &amp; Items'!$J$11)-1,0)</f>
        <v>Online marketplaces and stores</v>
      </c>
      <c r="AO665" s="1194" t="str">
        <f>IF(I665=".",".",VLOOKUP($I665,'Price List, Weapons &amp; Items'!B:J,3,0))</f>
        <v>Military equipment</v>
      </c>
      <c r="AP665" s="1195" t="str">
        <f t="shared" ca="1" si="143"/>
        <v/>
      </c>
      <c r="AQ665" s="1194">
        <f>VLOOKUP($I665,'Price List, Weapons &amp; Items'!B:L,COLUMN('Price List, Weapons &amp; Items'!$L$11)-1,0)</f>
        <v>2</v>
      </c>
      <c r="AR665" s="1194">
        <f t="shared" si="150"/>
        <v>1</v>
      </c>
      <c r="AS665" s="1194">
        <f t="shared" si="151"/>
        <v>1</v>
      </c>
      <c r="AT665" s="1194" t="str">
        <f t="shared" si="152"/>
        <v>Value is not in date format</v>
      </c>
      <c r="AU665" s="1194" t="str">
        <f t="shared" si="153"/>
        <v>.</v>
      </c>
      <c r="AV665" s="1194" t="str">
        <f t="shared" si="144"/>
        <v>.</v>
      </c>
      <c r="AW665" s="1194" t="str">
        <f t="shared" si="154"/>
        <v>.</v>
      </c>
      <c r="AX665" s="1194">
        <f>IFERROR(VLOOKUP(B665,'Share, Heavy Weapons to Ukraine'!B:Z,COLUMN('Share, Heavy Weapons to Ukraine'!C675)-1,0),0)</f>
        <v>0</v>
      </c>
      <c r="AY665" s="1194">
        <f>VLOOKUP('Bilateral Assistance, MAIN DATA'!B665,'Country Summary (€)'!B:F,COLUMN('Country Summary (€)'!C676)-1,FALSE)</f>
        <v>1</v>
      </c>
      <c r="AZ665" s="1194" t="str">
        <f>IF(AND(AD665=1,D665="Military",H665&lt;&gt;"Not given")=TRUE,IF(SUMIFS(P:P,A:A,A665)&gt;0,ABS((SUMIFS(P:P,A:A,A665)/VLOOKUP("USD",'Exchange Rates'!B:C,2,0)))/S665,"."),".")</f>
        <v>.</v>
      </c>
      <c r="BA665" s="1196" t="str">
        <f>IF(AND(AD665=1,D665="Military",H665&lt;&gt;"Not given")=TRUE,IF(SUMIFS(P:P,A:A,A665)&gt;0,IF((ABS((SUMIFS(P:P,A:A,A665)/VLOOKUP("USD",'Exchange Rates'!B:C,2,0)))/S665)&gt;1,(SUMIFS(P:P,A:A,A665)-S665)/S665,(S665-SUMIFS(P:P,A:A,A665))/SUMIFS(P:P,A:A,A665)),"."),".")</f>
        <v>.</v>
      </c>
    </row>
    <row r="666" spans="1:53" ht="15.95" customHeight="1">
      <c r="A666" s="1180" t="s">
        <v>1884</v>
      </c>
      <c r="B666" s="1182" t="s">
        <v>1711</v>
      </c>
      <c r="C666" s="1181" t="s">
        <v>1797</v>
      </c>
      <c r="D666" s="1182" t="s">
        <v>389</v>
      </c>
      <c r="E666" s="1182" t="s">
        <v>1676</v>
      </c>
      <c r="F666" s="1263" t="s">
        <v>1885</v>
      </c>
      <c r="G666" s="1184" t="s">
        <v>483</v>
      </c>
      <c r="H666" s="1185">
        <v>600000000</v>
      </c>
      <c r="I666" s="1266" t="s">
        <v>1911</v>
      </c>
      <c r="J666" s="1186" t="str">
        <f>VLOOKUP($I666,'Price List, Weapons &amp; Items'!B:C,2,0)</f>
        <v>Military equipment</v>
      </c>
      <c r="K666" s="1186" t="str">
        <f>IF(I666=".",I666,VLOOKUP($I666,'Price List, Weapons &amp; Items'!B:D,3,0))</f>
        <v>Military equipment</v>
      </c>
      <c r="L666" s="1187">
        <f>VLOOKUP(I666,'Price List, Weapons &amp; Items'!B:E,4,0)</f>
        <v>0</v>
      </c>
      <c r="M666" s="1188">
        <v>100</v>
      </c>
      <c r="N666" s="1188">
        <v>100</v>
      </c>
      <c r="O666" s="1188">
        <f>VLOOKUP($I666,'Price List, Weapons &amp; Items'!B:G,6,0)</f>
        <v>9.93</v>
      </c>
      <c r="P666" s="1185">
        <f t="shared" si="145"/>
        <v>993</v>
      </c>
      <c r="Q666" s="1185">
        <f t="shared" si="146"/>
        <v>993</v>
      </c>
      <c r="R666" s="1185" t="str">
        <f t="shared" si="142"/>
        <v/>
      </c>
      <c r="S666" s="1185" t="str">
        <f>IF(AND(AD666=1,R666&lt;&gt;".")=TRUE,R666/VLOOKUP(G666,'Exchange Rates'!B:C,2,0),IF(R666=".",".",""))</f>
        <v/>
      </c>
      <c r="T666" s="1185" t="str">
        <f>IF(AD666=1,IF(AF666="Value is not given at all",".",IF(AF666="Value is given by the source",S666,IF(AF666="Value is calculated with prices",(IF(SUMIFS(Q:Q,A:A,A666)&gt;0,SUMIFS(Q:Q,A:A,A666),"."))/VLOOKUP("USD",'Exchange Rates'!B:C,2,0),"Error with coding"))),"")</f>
        <v/>
      </c>
      <c r="U666" s="1184" t="s">
        <v>365</v>
      </c>
      <c r="V666" s="972" t="s">
        <v>1782</v>
      </c>
      <c r="W666" s="987" t="s">
        <v>1280</v>
      </c>
      <c r="X666" s="1031" t="s">
        <v>364</v>
      </c>
      <c r="Y666" s="1031" t="s">
        <v>364</v>
      </c>
      <c r="Z666" s="1184">
        <v>0</v>
      </c>
      <c r="AA666" s="1194">
        <v>0</v>
      </c>
      <c r="AB666" s="600" t="s">
        <v>1280</v>
      </c>
      <c r="AC666" s="1192" t="str">
        <f>""</f>
        <v/>
      </c>
      <c r="AD666" s="985">
        <v>0</v>
      </c>
      <c r="AE666" s="1194" t="s">
        <v>368</v>
      </c>
      <c r="AF666" s="985" t="s">
        <v>369</v>
      </c>
      <c r="AG666" s="985">
        <v>0</v>
      </c>
      <c r="AH666" s="985">
        <v>0</v>
      </c>
      <c r="AI666" s="985">
        <v>0</v>
      </c>
      <c r="AJ666" s="1193">
        <f>VLOOKUP($I666,'Price List, Weapons &amp; Items'!B:F,5,0)</f>
        <v>0</v>
      </c>
      <c r="AK666" s="1193">
        <f t="shared" si="147"/>
        <v>0</v>
      </c>
      <c r="AL666" s="1193">
        <f t="shared" si="148"/>
        <v>0</v>
      </c>
      <c r="AM666" s="1193">
        <f t="shared" si="149"/>
        <v>0</v>
      </c>
      <c r="AN666" s="1194" t="str">
        <f>VLOOKUP($I666,'Price List, Weapons &amp; Items'!B:L,COLUMN('Price List, Weapons &amp; Items'!$J$11)-1,0)</f>
        <v>Online marketplaces and stores</v>
      </c>
      <c r="AO666" s="1194" t="str">
        <f>IF(I666=".",".",VLOOKUP($I666,'Price List, Weapons &amp; Items'!B:J,3,0))</f>
        <v>Military equipment</v>
      </c>
      <c r="AP666" s="1195" t="str">
        <f t="shared" ca="1" si="143"/>
        <v/>
      </c>
      <c r="AQ666" s="1194">
        <f>VLOOKUP($I666,'Price List, Weapons &amp; Items'!B:L,COLUMN('Price List, Weapons &amp; Items'!$L$11)-1,0)</f>
        <v>1</v>
      </c>
      <c r="AR666" s="1194">
        <f t="shared" si="150"/>
        <v>1</v>
      </c>
      <c r="AS666" s="1194">
        <f t="shared" si="151"/>
        <v>1</v>
      </c>
      <c r="AT666" s="1194" t="str">
        <f t="shared" si="152"/>
        <v>Value is not in date format</v>
      </c>
      <c r="AU666" s="1194" t="str">
        <f t="shared" si="153"/>
        <v>.</v>
      </c>
      <c r="AV666" s="1194" t="str">
        <f t="shared" si="144"/>
        <v>.</v>
      </c>
      <c r="AW666" s="1194" t="str">
        <f t="shared" si="154"/>
        <v>.</v>
      </c>
      <c r="AX666" s="1194">
        <f>IFERROR(VLOOKUP(B666,'Share, Heavy Weapons to Ukraine'!B:Z,COLUMN('Share, Heavy Weapons to Ukraine'!C676)-1,0),0)</f>
        <v>0</v>
      </c>
      <c r="AY666" s="1194">
        <f>VLOOKUP('Bilateral Assistance, MAIN DATA'!B666,'Country Summary (€)'!B:F,COLUMN('Country Summary (€)'!C677)-1,FALSE)</f>
        <v>1</v>
      </c>
      <c r="AZ666" s="1194" t="str">
        <f>IF(AND(AD666=1,D666="Military",H666&lt;&gt;"Not given")=TRUE,IF(SUMIFS(P:P,A:A,A666)&gt;0,ABS((SUMIFS(P:P,A:A,A666)/VLOOKUP("USD",'Exchange Rates'!B:C,2,0)))/S666,"."),".")</f>
        <v>.</v>
      </c>
      <c r="BA666" s="1196" t="str">
        <f>IF(AND(AD666=1,D666="Military",H666&lt;&gt;"Not given")=TRUE,IF(SUMIFS(P:P,A:A,A666)&gt;0,IF((ABS((SUMIFS(P:P,A:A,A666)/VLOOKUP("USD",'Exchange Rates'!B:C,2,0)))/S666)&gt;1,(SUMIFS(P:P,A:A,A666)-S666)/S666,(S666-SUMIFS(P:P,A:A,A666))/SUMIFS(P:P,A:A,A666)),"."),".")</f>
        <v>.</v>
      </c>
    </row>
    <row r="667" spans="1:53" ht="15.95" customHeight="1">
      <c r="A667" s="1180" t="s">
        <v>1884</v>
      </c>
      <c r="B667" s="1182" t="s">
        <v>1711</v>
      </c>
      <c r="C667" s="1181" t="s">
        <v>1797</v>
      </c>
      <c r="D667" s="1182" t="s">
        <v>389</v>
      </c>
      <c r="E667" s="1182" t="s">
        <v>1676</v>
      </c>
      <c r="F667" s="1263" t="s">
        <v>1885</v>
      </c>
      <c r="G667" s="1184" t="s">
        <v>483</v>
      </c>
      <c r="H667" s="1185">
        <v>600000000</v>
      </c>
      <c r="I667" s="1266" t="s">
        <v>1912</v>
      </c>
      <c r="J667" s="1186" t="str">
        <f>VLOOKUP($I667,'Price List, Weapons &amp; Items'!B:C,2,0)</f>
        <v>Military equipment</v>
      </c>
      <c r="K667" s="1186" t="str">
        <f>IF(I667=".",I667,VLOOKUP($I667,'Price List, Weapons &amp; Items'!B:D,3,0))</f>
        <v>Military equipment</v>
      </c>
      <c r="L667" s="1187">
        <f>VLOOKUP(I667,'Price List, Weapons &amp; Items'!B:E,4,0)</f>
        <v>0</v>
      </c>
      <c r="M667" s="1188">
        <v>28000</v>
      </c>
      <c r="N667" s="1188">
        <v>28000</v>
      </c>
      <c r="O667" s="1188">
        <f>VLOOKUP($I667,'Price List, Weapons &amp; Items'!B:G,6,0)</f>
        <v>1400</v>
      </c>
      <c r="P667" s="1185">
        <f t="shared" si="145"/>
        <v>39200000</v>
      </c>
      <c r="Q667" s="1185">
        <f t="shared" si="146"/>
        <v>39200000</v>
      </c>
      <c r="R667" s="1185" t="str">
        <f t="shared" si="142"/>
        <v/>
      </c>
      <c r="S667" s="1185" t="str">
        <f>IF(AND(AD667=1,R667&lt;&gt;".")=TRUE,R667/VLOOKUP(G667,'Exchange Rates'!B:C,2,0),IF(R667=".",".",""))</f>
        <v/>
      </c>
      <c r="T667" s="1185" t="str">
        <f>IF(AD667=1,IF(AF667="Value is not given at all",".",IF(AF667="Value is given by the source",S667,IF(AF667="Value is calculated with prices",(IF(SUMIFS(Q:Q,A:A,A667)&gt;0,SUMIFS(Q:Q,A:A,A667),"."))/VLOOKUP("USD",'Exchange Rates'!B:C,2,0),"Error with coding"))),"")</f>
        <v/>
      </c>
      <c r="U667" s="1184" t="s">
        <v>365</v>
      </c>
      <c r="V667" s="972" t="s">
        <v>1782</v>
      </c>
      <c r="W667" s="966" t="s">
        <v>1280</v>
      </c>
      <c r="X667" s="1031" t="s">
        <v>364</v>
      </c>
      <c r="Y667" s="1031" t="s">
        <v>364</v>
      </c>
      <c r="Z667" s="1184">
        <v>0</v>
      </c>
      <c r="AA667" s="1194">
        <v>0</v>
      </c>
      <c r="AB667" s="600" t="s">
        <v>1280</v>
      </c>
      <c r="AC667" s="1192" t="str">
        <f>""</f>
        <v/>
      </c>
      <c r="AD667" s="985">
        <v>0</v>
      </c>
      <c r="AE667" s="1194" t="s">
        <v>368</v>
      </c>
      <c r="AF667" s="985" t="s">
        <v>369</v>
      </c>
      <c r="AG667" s="985">
        <v>0</v>
      </c>
      <c r="AH667" s="985">
        <v>0</v>
      </c>
      <c r="AI667" s="985">
        <v>0</v>
      </c>
      <c r="AJ667" s="1193">
        <f>VLOOKUP($I667,'Price List, Weapons &amp; Items'!B:F,5,0)</f>
        <v>0</v>
      </c>
      <c r="AK667" s="1193">
        <f t="shared" si="147"/>
        <v>0</v>
      </c>
      <c r="AL667" s="1193">
        <f t="shared" si="148"/>
        <v>0</v>
      </c>
      <c r="AM667" s="1193">
        <f t="shared" si="149"/>
        <v>0</v>
      </c>
      <c r="AN667" s="1194" t="str">
        <f>VLOOKUP($I667,'Price List, Weapons &amp; Items'!B:L,COLUMN('Price List, Weapons &amp; Items'!$J$11)-1,0)</f>
        <v>Military media (incl. websites)</v>
      </c>
      <c r="AO667" s="1194" t="str">
        <f>IF(I667=".",".",VLOOKUP($I667,'Price List, Weapons &amp; Items'!B:J,3,0))</f>
        <v>Military equipment</v>
      </c>
      <c r="AP667" s="1195" t="str">
        <f t="shared" ca="1" si="143"/>
        <v/>
      </c>
      <c r="AQ667" s="1194">
        <f>VLOOKUP($I667,'Price List, Weapons &amp; Items'!B:L,COLUMN('Price List, Weapons &amp; Items'!$L$11)-1,0)</f>
        <v>2</v>
      </c>
      <c r="AR667" s="1194">
        <f t="shared" si="150"/>
        <v>1</v>
      </c>
      <c r="AS667" s="1194">
        <f t="shared" si="151"/>
        <v>1</v>
      </c>
      <c r="AT667" s="1194" t="str">
        <f t="shared" si="152"/>
        <v>Value is not in date format</v>
      </c>
      <c r="AU667" s="1194" t="str">
        <f t="shared" si="153"/>
        <v>.</v>
      </c>
      <c r="AV667" s="1194" t="str">
        <f t="shared" si="144"/>
        <v>.</v>
      </c>
      <c r="AW667" s="1194" t="str">
        <f t="shared" si="154"/>
        <v>.</v>
      </c>
      <c r="AX667" s="1194">
        <f>IFERROR(VLOOKUP(B667,'Share, Heavy Weapons to Ukraine'!B:Z,COLUMN('Share, Heavy Weapons to Ukraine'!C677)-1,0),0)</f>
        <v>0</v>
      </c>
      <c r="AY667" s="1194">
        <f>VLOOKUP('Bilateral Assistance, MAIN DATA'!B667,'Country Summary (€)'!B:F,COLUMN('Country Summary (€)'!C678)-1,FALSE)</f>
        <v>1</v>
      </c>
      <c r="AZ667" s="1194" t="str">
        <f>IF(AND(AD667=1,D667="Military",H667&lt;&gt;"Not given")=TRUE,IF(SUMIFS(P:P,A:A,A667)&gt;0,ABS((SUMIFS(P:P,A:A,A667)/VLOOKUP("USD",'Exchange Rates'!B:C,2,0)))/S667,"."),".")</f>
        <v>.</v>
      </c>
      <c r="BA667" s="1196" t="str">
        <f>IF(AND(AD667=1,D667="Military",H667&lt;&gt;"Not given")=TRUE,IF(SUMIFS(P:P,A:A,A667)&gt;0,IF((ABS((SUMIFS(P:P,A:A,A667)/VLOOKUP("USD",'Exchange Rates'!B:C,2,0)))/S667)&gt;1,(SUMIFS(P:P,A:A,A667)-S667)/S667,(S667-SUMIFS(P:P,A:A,A667))/SUMIFS(P:P,A:A,A667)),"."),".")</f>
        <v>.</v>
      </c>
    </row>
    <row r="668" spans="1:53" ht="15.95" customHeight="1">
      <c r="A668" s="1180" t="s">
        <v>1884</v>
      </c>
      <c r="B668" s="1182" t="s">
        <v>1711</v>
      </c>
      <c r="C668" s="1181" t="s">
        <v>1797</v>
      </c>
      <c r="D668" s="1182" t="s">
        <v>389</v>
      </c>
      <c r="E668" s="1182" t="s">
        <v>1676</v>
      </c>
      <c r="F668" s="1263" t="s">
        <v>1885</v>
      </c>
      <c r="G668" s="1184" t="s">
        <v>483</v>
      </c>
      <c r="H668" s="1185">
        <v>600000000</v>
      </c>
      <c r="I668" s="1266" t="s">
        <v>1913</v>
      </c>
      <c r="J668" s="1186" t="str">
        <f>VLOOKUP($I668,'Price List, Weapons &amp; Items'!B:C,2,0)</f>
        <v>Military equipment</v>
      </c>
      <c r="K668" s="1186" t="str">
        <f>IF(I668=".",I668,VLOOKUP($I668,'Price List, Weapons &amp; Items'!B:D,3,0))</f>
        <v>Military equipment</v>
      </c>
      <c r="L668" s="1187">
        <f>VLOOKUP(I668,'Price List, Weapons &amp; Items'!B:E,4,0)</f>
        <v>0</v>
      </c>
      <c r="M668" s="1188">
        <v>15</v>
      </c>
      <c r="N668" s="1188">
        <v>15</v>
      </c>
      <c r="O668" s="1188" t="str">
        <f>VLOOKUP($I668,'Price List, Weapons &amp; Items'!B:G,6,0)</f>
        <v>.</v>
      </c>
      <c r="P668" s="1185" t="str">
        <f t="shared" si="145"/>
        <v>No price</v>
      </c>
      <c r="Q668" s="1185" t="str">
        <f t="shared" si="146"/>
        <v>No price</v>
      </c>
      <c r="R668" s="1185" t="str">
        <f t="shared" si="142"/>
        <v/>
      </c>
      <c r="S668" s="1185" t="str">
        <f>IF(AND(AD668=1,R668&lt;&gt;".")=TRUE,R668/VLOOKUP(G668,'Exchange Rates'!B:C,2,0),IF(R668=".",".",""))</f>
        <v/>
      </c>
      <c r="T668" s="1185" t="str">
        <f>IF(AD668=1,IF(AF668="Value is not given at all",".",IF(AF668="Value is given by the source",S668,IF(AF668="Value is calculated with prices",(IF(SUMIFS(Q:Q,A:A,A668)&gt;0,SUMIFS(Q:Q,A:A,A668),"."))/VLOOKUP("USD",'Exchange Rates'!B:C,2,0),"Error with coding"))),"")</f>
        <v/>
      </c>
      <c r="U668" s="1184" t="s">
        <v>365</v>
      </c>
      <c r="V668" s="972" t="s">
        <v>1782</v>
      </c>
      <c r="W668" s="987" t="s">
        <v>1280</v>
      </c>
      <c r="X668" s="1031" t="s">
        <v>364</v>
      </c>
      <c r="Y668" s="1031" t="s">
        <v>364</v>
      </c>
      <c r="Z668" s="1184">
        <v>0</v>
      </c>
      <c r="AA668" s="1194">
        <v>0</v>
      </c>
      <c r="AB668" s="600" t="s">
        <v>1280</v>
      </c>
      <c r="AC668" s="1192" t="str">
        <f>""</f>
        <v/>
      </c>
      <c r="AD668" s="985">
        <v>0</v>
      </c>
      <c r="AE668" s="1194" t="s">
        <v>368</v>
      </c>
      <c r="AF668" s="985" t="s">
        <v>369</v>
      </c>
      <c r="AG668" s="985">
        <v>0</v>
      </c>
      <c r="AH668" s="985">
        <v>0</v>
      </c>
      <c r="AI668" s="985">
        <v>0</v>
      </c>
      <c r="AJ668" s="1193">
        <f>VLOOKUP($I668,'Price List, Weapons &amp; Items'!B:F,5,0)</f>
        <v>0</v>
      </c>
      <c r="AK668" s="1193">
        <f t="shared" si="147"/>
        <v>0</v>
      </c>
      <c r="AL668" s="1193">
        <f t="shared" si="148"/>
        <v>0</v>
      </c>
      <c r="AM668" s="1193">
        <f t="shared" si="149"/>
        <v>0</v>
      </c>
      <c r="AN668" s="1194" t="str">
        <f>VLOOKUP($I668,'Price List, Weapons &amp; Items'!B:L,COLUMN('Price List, Weapons &amp; Items'!$J$11)-1,0)</f>
        <v>.</v>
      </c>
      <c r="AO668" s="1194" t="str">
        <f>IF(I668=".",".",VLOOKUP($I668,'Price List, Weapons &amp; Items'!B:J,3,0))</f>
        <v>Military equipment</v>
      </c>
      <c r="AP668" s="1195" t="str">
        <f t="shared" ca="1" si="143"/>
        <v/>
      </c>
      <c r="AQ668" s="1194">
        <f>VLOOKUP($I668,'Price List, Weapons &amp; Items'!B:L,COLUMN('Price List, Weapons &amp; Items'!$L$11)-1,0)</f>
        <v>0</v>
      </c>
      <c r="AR668" s="1194">
        <f t="shared" si="150"/>
        <v>1</v>
      </c>
      <c r="AS668" s="1194">
        <f t="shared" si="151"/>
        <v>1</v>
      </c>
      <c r="AT668" s="1194" t="str">
        <f t="shared" si="152"/>
        <v>Value is not in date format</v>
      </c>
      <c r="AU668" s="1194" t="str">
        <f t="shared" si="153"/>
        <v>.</v>
      </c>
      <c r="AV668" s="1194" t="str">
        <f t="shared" si="144"/>
        <v>.</v>
      </c>
      <c r="AW668" s="1194" t="str">
        <f t="shared" si="154"/>
        <v>.</v>
      </c>
      <c r="AX668" s="1194">
        <f>IFERROR(VLOOKUP(B668,'Share, Heavy Weapons to Ukraine'!B:Z,COLUMN('Share, Heavy Weapons to Ukraine'!C678)-1,0),0)</f>
        <v>0</v>
      </c>
      <c r="AY668" s="1194">
        <f>VLOOKUP('Bilateral Assistance, MAIN DATA'!B668,'Country Summary (€)'!B:F,COLUMN('Country Summary (€)'!C679)-1,FALSE)</f>
        <v>1</v>
      </c>
      <c r="AZ668" s="1194" t="str">
        <f>IF(AND(AD668=1,D668="Military",H668&lt;&gt;"Not given")=TRUE,IF(SUMIFS(P:P,A:A,A668)&gt;0,ABS((SUMIFS(P:P,A:A,A668)/VLOOKUP("USD",'Exchange Rates'!B:C,2,0)))/S668,"."),".")</f>
        <v>.</v>
      </c>
      <c r="BA668" s="1196" t="str">
        <f>IF(AND(AD668=1,D668="Military",H668&lt;&gt;"Not given")=TRUE,IF(SUMIFS(P:P,A:A,A668)&gt;0,IF((ABS((SUMIFS(P:P,A:A,A668)/VLOOKUP("USD",'Exchange Rates'!B:C,2,0)))/S668)&gt;1,(SUMIFS(P:P,A:A,A668)-S668)/S668,(S668-SUMIFS(P:P,A:A,A668))/SUMIFS(P:P,A:A,A668)),"."),".")</f>
        <v>.</v>
      </c>
    </row>
    <row r="669" spans="1:53" ht="15.95" customHeight="1">
      <c r="A669" s="1180" t="s">
        <v>1884</v>
      </c>
      <c r="B669" s="1182" t="s">
        <v>1711</v>
      </c>
      <c r="C669" s="1181" t="s">
        <v>1797</v>
      </c>
      <c r="D669" s="1182" t="s">
        <v>389</v>
      </c>
      <c r="E669" s="1182" t="s">
        <v>1676</v>
      </c>
      <c r="F669" s="1263" t="s">
        <v>1885</v>
      </c>
      <c r="G669" s="1184" t="s">
        <v>483</v>
      </c>
      <c r="H669" s="1185">
        <v>600000000</v>
      </c>
      <c r="I669" s="1266" t="s">
        <v>1754</v>
      </c>
      <c r="J669" s="1186" t="str">
        <f>VLOOKUP($I669,'Price List, Weapons &amp; Items'!B:C,2,0)</f>
        <v>Military equipment</v>
      </c>
      <c r="K669" s="1186" t="str">
        <f>IF(I669=".",I669,VLOOKUP($I669,'Price List, Weapons &amp; Items'!B:D,3,0))</f>
        <v>non combat military vehicle</v>
      </c>
      <c r="L669" s="1187">
        <f>VLOOKUP(I669,'Price List, Weapons &amp; Items'!B:E,4,0)</f>
        <v>0</v>
      </c>
      <c r="M669" s="1188">
        <v>288</v>
      </c>
      <c r="N669" s="1275">
        <v>288</v>
      </c>
      <c r="O669" s="1188">
        <f>VLOOKUP($I669,'Price List, Weapons &amp; Items'!B:G,6,0)</f>
        <v>31500</v>
      </c>
      <c r="P669" s="1185">
        <f t="shared" si="145"/>
        <v>9072000</v>
      </c>
      <c r="Q669" s="1185">
        <f t="shared" si="146"/>
        <v>9072000</v>
      </c>
      <c r="R669" s="1185" t="str">
        <f t="shared" si="142"/>
        <v/>
      </c>
      <c r="S669" s="1185" t="str">
        <f>IF(AND(AD669=1,R669&lt;&gt;".")=TRUE,R669/VLOOKUP(G669,'Exchange Rates'!B:C,2,0),IF(R669=".",".",""))</f>
        <v/>
      </c>
      <c r="T669" s="1185" t="str">
        <f>IF(AD669=1,IF(AF669="Value is not given at all",".",IF(AF669="Value is given by the source",S669,IF(AF669="Value is calculated with prices",(IF(SUMIFS(Q:Q,A:A,A669)&gt;0,SUMIFS(Q:Q,A:A,A669),"."))/VLOOKUP("USD",'Exchange Rates'!B:C,2,0),"Error with coding"))),"")</f>
        <v/>
      </c>
      <c r="U669" s="1184" t="s">
        <v>365</v>
      </c>
      <c r="V669" s="972" t="s">
        <v>1782</v>
      </c>
      <c r="W669" s="966" t="s">
        <v>1280</v>
      </c>
      <c r="X669" s="1031" t="s">
        <v>364</v>
      </c>
      <c r="Y669" s="1031" t="s">
        <v>364</v>
      </c>
      <c r="Z669" s="1184">
        <v>0</v>
      </c>
      <c r="AA669" s="1194">
        <v>1</v>
      </c>
      <c r="AB669" s="600" t="s">
        <v>1280</v>
      </c>
      <c r="AC669" s="1192" t="str">
        <f>""</f>
        <v/>
      </c>
      <c r="AD669" s="985">
        <v>0</v>
      </c>
      <c r="AE669" s="1194" t="s">
        <v>368</v>
      </c>
      <c r="AF669" s="985" t="s">
        <v>369</v>
      </c>
      <c r="AG669" s="985">
        <v>0</v>
      </c>
      <c r="AH669" s="985">
        <v>0</v>
      </c>
      <c r="AI669" s="985">
        <v>0</v>
      </c>
      <c r="AJ669" s="1193">
        <f>VLOOKUP($I669,'Price List, Weapons &amp; Items'!B:F,5,0)</f>
        <v>0</v>
      </c>
      <c r="AK669" s="1193">
        <f t="shared" si="147"/>
        <v>0</v>
      </c>
      <c r="AL669" s="1193">
        <f t="shared" si="148"/>
        <v>0</v>
      </c>
      <c r="AM669" s="1193">
        <f t="shared" si="149"/>
        <v>0</v>
      </c>
      <c r="AN669" s="1194" t="str">
        <f>VLOOKUP($I669,'Price List, Weapons &amp; Items'!B:L,COLUMN('Price List, Weapons &amp; Items'!$J$11)-1,0)</f>
        <v>Online marketplaces and stores</v>
      </c>
      <c r="AO669" s="1194" t="str">
        <f>IF(I669=".",".",VLOOKUP($I669,'Price List, Weapons &amp; Items'!B:J,3,0))</f>
        <v>non combat military vehicle</v>
      </c>
      <c r="AP669" s="1195" t="str">
        <f t="shared" ca="1" si="143"/>
        <v/>
      </c>
      <c r="AQ669" s="1194">
        <f>VLOOKUP($I669,'Price List, Weapons &amp; Items'!B:L,COLUMN('Price List, Weapons &amp; Items'!$L$11)-1,0)</f>
        <v>2</v>
      </c>
      <c r="AR669" s="1194">
        <f t="shared" si="150"/>
        <v>1</v>
      </c>
      <c r="AS669" s="1194">
        <f t="shared" si="151"/>
        <v>1</v>
      </c>
      <c r="AT669" s="1194" t="str">
        <f t="shared" si="152"/>
        <v>Value is not in date format</v>
      </c>
      <c r="AU669" s="1194" t="str">
        <f t="shared" si="153"/>
        <v>.</v>
      </c>
      <c r="AV669" s="1194" t="str">
        <f t="shared" si="144"/>
        <v>.</v>
      </c>
      <c r="AW669" s="1194" t="str">
        <f t="shared" si="154"/>
        <v>.</v>
      </c>
      <c r="AX669" s="1194">
        <f>IFERROR(VLOOKUP(B669,'Share, Heavy Weapons to Ukraine'!B:Z,COLUMN('Share, Heavy Weapons to Ukraine'!C679)-1,0),0)</f>
        <v>0</v>
      </c>
      <c r="AY669" s="1194">
        <f>VLOOKUP('Bilateral Assistance, MAIN DATA'!B669,'Country Summary (€)'!B:F,COLUMN('Country Summary (€)'!C680)-1,FALSE)</f>
        <v>1</v>
      </c>
      <c r="AZ669" s="1194" t="str">
        <f>IF(AND(AD669=1,D669="Military",H669&lt;&gt;"Not given")=TRUE,IF(SUMIFS(P:P,A:A,A669)&gt;0,ABS((SUMIFS(P:P,A:A,A669)/VLOOKUP("USD",'Exchange Rates'!B:C,2,0)))/S669,"."),".")</f>
        <v>.</v>
      </c>
      <c r="BA669" s="1196" t="str">
        <f>IF(AND(AD669=1,D669="Military",H669&lt;&gt;"Not given")=TRUE,IF(SUMIFS(P:P,A:A,A669)&gt;0,IF((ABS((SUMIFS(P:P,A:A,A669)/VLOOKUP("USD",'Exchange Rates'!B:C,2,0)))/S669)&gt;1,(SUMIFS(P:P,A:A,A669)-S669)/S669,(S669-SUMIFS(P:P,A:A,A669))/SUMIFS(P:P,A:A,A669)),"."),".")</f>
        <v>.</v>
      </c>
    </row>
    <row r="670" spans="1:53" ht="15.95" customHeight="1">
      <c r="A670" s="1180" t="s">
        <v>1884</v>
      </c>
      <c r="B670" s="1182" t="s">
        <v>1711</v>
      </c>
      <c r="C670" s="1181" t="s">
        <v>1797</v>
      </c>
      <c r="D670" s="1182" t="s">
        <v>389</v>
      </c>
      <c r="E670" s="1182" t="s">
        <v>1676</v>
      </c>
      <c r="F670" s="1263" t="s">
        <v>1885</v>
      </c>
      <c r="G670" s="1184" t="s">
        <v>483</v>
      </c>
      <c r="H670" s="1185">
        <v>600000000</v>
      </c>
      <c r="I670" s="1266" t="s">
        <v>1914</v>
      </c>
      <c r="J670" s="1186" t="str">
        <f>VLOOKUP($I670,'Price List, Weapons &amp; Items'!B:C,2,0)</f>
        <v>Military equipment</v>
      </c>
      <c r="K670" s="1186" t="str">
        <f>IF(I670=".",I670,VLOOKUP($I670,'Price List, Weapons &amp; Items'!B:D,3,0))</f>
        <v>Military equipment</v>
      </c>
      <c r="L670" s="1187">
        <f>VLOOKUP(I670,'Price List, Weapons &amp; Items'!B:E,4,0)</f>
        <v>0</v>
      </c>
      <c r="M670" s="1188">
        <v>6</v>
      </c>
      <c r="N670" s="1188">
        <v>6</v>
      </c>
      <c r="O670" s="1188" t="str">
        <f>VLOOKUP($I670,'Price List, Weapons &amp; Items'!B:G,6,0)</f>
        <v>.</v>
      </c>
      <c r="P670" s="1185" t="str">
        <f t="shared" si="145"/>
        <v>No price</v>
      </c>
      <c r="Q670" s="1185" t="str">
        <f t="shared" si="146"/>
        <v>No price</v>
      </c>
      <c r="R670" s="1185" t="str">
        <f t="shared" si="142"/>
        <v/>
      </c>
      <c r="S670" s="1185" t="str">
        <f>IF(AND(AD670=1,R670&lt;&gt;".")=TRUE,R670/VLOOKUP(G670,'Exchange Rates'!B:C,2,0),IF(R670=".",".",""))</f>
        <v/>
      </c>
      <c r="T670" s="1185" t="str">
        <f>IF(AD670=1,IF(AF670="Value is not given at all",".",IF(AF670="Value is given by the source",S670,IF(AF670="Value is calculated with prices",(IF(SUMIFS(Q:Q,A:A,A670)&gt;0,SUMIFS(Q:Q,A:A,A670),"."))/VLOOKUP("USD",'Exchange Rates'!B:C,2,0),"Error with coding"))),"")</f>
        <v/>
      </c>
      <c r="U670" s="1184" t="s">
        <v>365</v>
      </c>
      <c r="V670" s="972" t="s">
        <v>1782</v>
      </c>
      <c r="W670" s="987" t="s">
        <v>1280</v>
      </c>
      <c r="X670" s="1031" t="s">
        <v>364</v>
      </c>
      <c r="Y670" s="1031" t="s">
        <v>364</v>
      </c>
      <c r="Z670" s="1184">
        <v>0</v>
      </c>
      <c r="AA670" s="1194">
        <v>0</v>
      </c>
      <c r="AB670" s="600" t="s">
        <v>1280</v>
      </c>
      <c r="AC670" s="1192" t="str">
        <f>""</f>
        <v/>
      </c>
      <c r="AD670" s="985">
        <v>0</v>
      </c>
      <c r="AE670" s="1194" t="s">
        <v>368</v>
      </c>
      <c r="AF670" s="985" t="s">
        <v>369</v>
      </c>
      <c r="AG670" s="985">
        <v>0</v>
      </c>
      <c r="AH670" s="985">
        <v>0</v>
      </c>
      <c r="AI670" s="985">
        <v>0</v>
      </c>
      <c r="AJ670" s="1193">
        <f>VLOOKUP($I670,'Price List, Weapons &amp; Items'!B:F,5,0)</f>
        <v>0</v>
      </c>
      <c r="AK670" s="1193">
        <f t="shared" si="147"/>
        <v>0</v>
      </c>
      <c r="AL670" s="1193">
        <f t="shared" si="148"/>
        <v>0</v>
      </c>
      <c r="AM670" s="1193">
        <f t="shared" si="149"/>
        <v>0</v>
      </c>
      <c r="AN670" s="1194" t="str">
        <f>VLOOKUP($I670,'Price List, Weapons &amp; Items'!B:L,COLUMN('Price List, Weapons &amp; Items'!$J$11)-1,0)</f>
        <v>.</v>
      </c>
      <c r="AO670" s="1194" t="str">
        <f>IF(I670=".",".",VLOOKUP($I670,'Price List, Weapons &amp; Items'!B:J,3,0))</f>
        <v>Military equipment</v>
      </c>
      <c r="AP670" s="1195" t="str">
        <f t="shared" ca="1" si="143"/>
        <v/>
      </c>
      <c r="AQ670" s="1194">
        <f>VLOOKUP($I670,'Price List, Weapons &amp; Items'!B:L,COLUMN('Price List, Weapons &amp; Items'!$L$11)-1,0)</f>
        <v>0</v>
      </c>
      <c r="AR670" s="1194">
        <f t="shared" si="150"/>
        <v>1</v>
      </c>
      <c r="AS670" s="1194">
        <f t="shared" si="151"/>
        <v>1</v>
      </c>
      <c r="AT670" s="1194" t="str">
        <f t="shared" si="152"/>
        <v>Value is not in date format</v>
      </c>
      <c r="AU670" s="1194" t="str">
        <f t="shared" si="153"/>
        <v>.</v>
      </c>
      <c r="AV670" s="1194" t="str">
        <f t="shared" si="144"/>
        <v>.</v>
      </c>
      <c r="AW670" s="1194" t="str">
        <f t="shared" si="154"/>
        <v>.</v>
      </c>
      <c r="AX670" s="1194">
        <f>IFERROR(VLOOKUP(B670,'Share, Heavy Weapons to Ukraine'!B:Z,COLUMN('Share, Heavy Weapons to Ukraine'!C680)-1,0),0)</f>
        <v>0</v>
      </c>
      <c r="AY670" s="1194">
        <f>VLOOKUP('Bilateral Assistance, MAIN DATA'!B670,'Country Summary (€)'!B:F,COLUMN('Country Summary (€)'!C681)-1,FALSE)</f>
        <v>1</v>
      </c>
      <c r="AZ670" s="1194" t="str">
        <f>IF(AND(AD670=1,D670="Military",H670&lt;&gt;"Not given")=TRUE,IF(SUMIFS(P:P,A:A,A670)&gt;0,ABS((SUMIFS(P:P,A:A,A670)/VLOOKUP("USD",'Exchange Rates'!B:C,2,0)))/S670,"."),".")</f>
        <v>.</v>
      </c>
      <c r="BA670" s="1196" t="str">
        <f>IF(AND(AD670=1,D670="Military",H670&lt;&gt;"Not given")=TRUE,IF(SUMIFS(P:P,A:A,A670)&gt;0,IF((ABS((SUMIFS(P:P,A:A,A670)/VLOOKUP("USD",'Exchange Rates'!B:C,2,0)))/S670)&gt;1,(SUMIFS(P:P,A:A,A670)-S670)/S670,(S670-SUMIFS(P:P,A:A,A670))/SUMIFS(P:P,A:A,A670)),"."),".")</f>
        <v>.</v>
      </c>
    </row>
    <row r="671" spans="1:53" ht="15.95" customHeight="1">
      <c r="A671" s="1180" t="s">
        <v>1884</v>
      </c>
      <c r="B671" s="1182" t="s">
        <v>1711</v>
      </c>
      <c r="C671" s="1181" t="s">
        <v>1797</v>
      </c>
      <c r="D671" s="1182" t="s">
        <v>389</v>
      </c>
      <c r="E671" s="1182" t="s">
        <v>1676</v>
      </c>
      <c r="F671" s="1263" t="s">
        <v>1885</v>
      </c>
      <c r="G671" s="1184" t="s">
        <v>483</v>
      </c>
      <c r="H671" s="1185">
        <v>600000000</v>
      </c>
      <c r="I671" s="1266" t="s">
        <v>595</v>
      </c>
      <c r="J671" s="1186" t="str">
        <f>VLOOKUP($I671,'Price List, Weapons &amp; Items'!B:C,2,0)</f>
        <v>Military equipment</v>
      </c>
      <c r="K671" s="1186" t="str">
        <f>IF(I671=".",I671,VLOOKUP($I671,'Price List, Weapons &amp; Items'!B:D,3,0))</f>
        <v>Military equipment</v>
      </c>
      <c r="L671" s="1187">
        <f>VLOOKUP(I671,'Price List, Weapons &amp; Items'!B:E,4,0)</f>
        <v>0</v>
      </c>
      <c r="M671" s="1188">
        <v>125</v>
      </c>
      <c r="N671" s="1188">
        <v>125</v>
      </c>
      <c r="O671" s="1188">
        <f>VLOOKUP($I671,'Price List, Weapons &amp; Items'!B:G,6,0)</f>
        <v>45</v>
      </c>
      <c r="P671" s="1185">
        <f t="shared" si="145"/>
        <v>5625</v>
      </c>
      <c r="Q671" s="1185">
        <f t="shared" si="146"/>
        <v>5625</v>
      </c>
      <c r="R671" s="1185" t="str">
        <f t="shared" si="142"/>
        <v/>
      </c>
      <c r="S671" s="1185" t="str">
        <f>IF(AND(AD671=1,R671&lt;&gt;".")=TRUE,R671/VLOOKUP(G671,'Exchange Rates'!B:C,2,0),IF(R671=".",".",""))</f>
        <v/>
      </c>
      <c r="T671" s="1185" t="str">
        <f>IF(AD671=1,IF(AF671="Value is not given at all",".",IF(AF671="Value is given by the source",S671,IF(AF671="Value is calculated with prices",(IF(SUMIFS(Q:Q,A:A,A671)&gt;0,SUMIFS(Q:Q,A:A,A671),"."))/VLOOKUP("USD",'Exchange Rates'!B:C,2,0),"Error with coding"))),"")</f>
        <v/>
      </c>
      <c r="U671" s="1184" t="s">
        <v>365</v>
      </c>
      <c r="V671" s="972" t="s">
        <v>1782</v>
      </c>
      <c r="W671" s="966" t="s">
        <v>1280</v>
      </c>
      <c r="X671" s="1031" t="s">
        <v>364</v>
      </c>
      <c r="Y671" s="1031" t="s">
        <v>364</v>
      </c>
      <c r="Z671" s="1184">
        <v>0</v>
      </c>
      <c r="AA671" s="1194">
        <v>0</v>
      </c>
      <c r="AB671" s="600" t="s">
        <v>1280</v>
      </c>
      <c r="AC671" s="1192" t="str">
        <f>""</f>
        <v/>
      </c>
      <c r="AD671" s="985">
        <v>0</v>
      </c>
      <c r="AE671" s="1194" t="s">
        <v>368</v>
      </c>
      <c r="AF671" s="985" t="s">
        <v>369</v>
      </c>
      <c r="AG671" s="985">
        <v>0</v>
      </c>
      <c r="AH671" s="985">
        <v>0</v>
      </c>
      <c r="AI671" s="985">
        <v>0</v>
      </c>
      <c r="AJ671" s="1193">
        <f>VLOOKUP($I671,'Price List, Weapons &amp; Items'!B:F,5,0)</f>
        <v>0</v>
      </c>
      <c r="AK671" s="1193">
        <f t="shared" si="147"/>
        <v>0</v>
      </c>
      <c r="AL671" s="1193">
        <f t="shared" si="148"/>
        <v>0</v>
      </c>
      <c r="AM671" s="1193">
        <f t="shared" si="149"/>
        <v>0</v>
      </c>
      <c r="AN671" s="1194" t="str">
        <f>VLOOKUP($I671,'Price List, Weapons &amp; Items'!B:L,COLUMN('Price List, Weapons &amp; Items'!$J$11)-1,0)</f>
        <v>Online marketplaces and stores</v>
      </c>
      <c r="AO671" s="1194" t="str">
        <f>IF(I671=".",".",VLOOKUP($I671,'Price List, Weapons &amp; Items'!B:J,3,0))</f>
        <v>Military equipment</v>
      </c>
      <c r="AP671" s="1195" t="str">
        <f t="shared" ca="1" si="143"/>
        <v/>
      </c>
      <c r="AQ671" s="1194">
        <f>VLOOKUP($I671,'Price List, Weapons &amp; Items'!B:L,COLUMN('Price List, Weapons &amp; Items'!$L$11)-1,0)</f>
        <v>1</v>
      </c>
      <c r="AR671" s="1194">
        <f t="shared" si="150"/>
        <v>1</v>
      </c>
      <c r="AS671" s="1194">
        <f t="shared" si="151"/>
        <v>1</v>
      </c>
      <c r="AT671" s="1194" t="str">
        <f t="shared" si="152"/>
        <v>Value is not in date format</v>
      </c>
      <c r="AU671" s="1194" t="str">
        <f t="shared" si="153"/>
        <v>.</v>
      </c>
      <c r="AV671" s="1194" t="str">
        <f t="shared" si="144"/>
        <v>.</v>
      </c>
      <c r="AW671" s="1194" t="str">
        <f t="shared" si="154"/>
        <v>.</v>
      </c>
      <c r="AX671" s="1194">
        <f>IFERROR(VLOOKUP(B671,'Share, Heavy Weapons to Ukraine'!B:Z,COLUMN('Share, Heavy Weapons to Ukraine'!C681)-1,0),0)</f>
        <v>0</v>
      </c>
      <c r="AY671" s="1194">
        <f>VLOOKUP('Bilateral Assistance, MAIN DATA'!B671,'Country Summary (€)'!B:F,COLUMN('Country Summary (€)'!C682)-1,FALSE)</f>
        <v>1</v>
      </c>
      <c r="AZ671" s="1194" t="str">
        <f>IF(AND(AD671=1,D671="Military",H671&lt;&gt;"Not given")=TRUE,IF(SUMIFS(P:P,A:A,A671)&gt;0,ABS((SUMIFS(P:P,A:A,A671)/VLOOKUP("USD",'Exchange Rates'!B:C,2,0)))/S671,"."),".")</f>
        <v>.</v>
      </c>
      <c r="BA671" s="1196" t="str">
        <f>IF(AND(AD671=1,D671="Military",H671&lt;&gt;"Not given")=TRUE,IF(SUMIFS(P:P,A:A,A671)&gt;0,IF((ABS((SUMIFS(P:P,A:A,A671)/VLOOKUP("USD",'Exchange Rates'!B:C,2,0)))/S671)&gt;1,(SUMIFS(P:P,A:A,A671)-S671)/S671,(S671-SUMIFS(P:P,A:A,A671))/SUMIFS(P:P,A:A,A671)),"."),".")</f>
        <v>.</v>
      </c>
    </row>
    <row r="672" spans="1:53" ht="15.95" customHeight="1">
      <c r="A672" s="1180" t="s">
        <v>1884</v>
      </c>
      <c r="B672" s="1182" t="s">
        <v>1711</v>
      </c>
      <c r="C672" s="1181" t="s">
        <v>1797</v>
      </c>
      <c r="D672" s="1182" t="s">
        <v>389</v>
      </c>
      <c r="E672" s="1182" t="s">
        <v>1676</v>
      </c>
      <c r="F672" s="1263" t="s">
        <v>1885</v>
      </c>
      <c r="G672" s="1184" t="s">
        <v>483</v>
      </c>
      <c r="H672" s="1185">
        <v>600000000</v>
      </c>
      <c r="I672" s="1266" t="s">
        <v>1915</v>
      </c>
      <c r="J672" s="1186" t="str">
        <f>VLOOKUP($I672,'Price List, Weapons &amp; Items'!B:C,2,0)</f>
        <v>Humanitarian</v>
      </c>
      <c r="K672" s="1186" t="str">
        <f>IF(I672=".",I672,VLOOKUP($I672,'Price List, Weapons &amp; Items'!B:D,3,0))</f>
        <v>Humanitarian</v>
      </c>
      <c r="L672" s="1187">
        <f>VLOOKUP(I672,'Price List, Weapons &amp; Items'!B:E,4,0)</f>
        <v>0</v>
      </c>
      <c r="M672" s="1188">
        <v>1200</v>
      </c>
      <c r="N672" s="1188">
        <v>1200</v>
      </c>
      <c r="O672" s="1188">
        <f>VLOOKUP($I672,'Price List, Weapons &amp; Items'!B:G,6,0)</f>
        <v>6000</v>
      </c>
      <c r="P672" s="1185">
        <f t="shared" si="145"/>
        <v>7200000</v>
      </c>
      <c r="Q672" s="1185">
        <f t="shared" si="146"/>
        <v>7200000</v>
      </c>
      <c r="R672" s="1185" t="str">
        <f t="shared" si="142"/>
        <v/>
      </c>
      <c r="S672" s="1185" t="str">
        <f>IF(AND(AD672=1,R672&lt;&gt;".")=TRUE,R672/VLOOKUP(G672,'Exchange Rates'!B:C,2,0),IF(R672=".",".",""))</f>
        <v/>
      </c>
      <c r="T672" s="1185" t="str">
        <f>IF(AD672=1,IF(AF672="Value is not given at all",".",IF(AF672="Value is given by the source",S672,IF(AF672="Value is calculated with prices",(IF(SUMIFS(Q:Q,A:A,A672)&gt;0,SUMIFS(Q:Q,A:A,A672),"."))/VLOOKUP("USD",'Exchange Rates'!B:C,2,0),"Error with coding"))),"")</f>
        <v/>
      </c>
      <c r="U672" s="1184" t="s">
        <v>365</v>
      </c>
      <c r="V672" s="972" t="s">
        <v>1782</v>
      </c>
      <c r="W672" s="987" t="s">
        <v>1280</v>
      </c>
      <c r="X672" s="1031" t="s">
        <v>364</v>
      </c>
      <c r="Y672" s="1031" t="s">
        <v>364</v>
      </c>
      <c r="Z672" s="1184">
        <v>0</v>
      </c>
      <c r="AA672" s="1194">
        <v>0</v>
      </c>
      <c r="AB672" s="600" t="s">
        <v>1280</v>
      </c>
      <c r="AC672" s="1192" t="str">
        <f>""</f>
        <v/>
      </c>
      <c r="AD672" s="985">
        <v>0</v>
      </c>
      <c r="AE672" s="1194" t="s">
        <v>368</v>
      </c>
      <c r="AF672" s="985" t="s">
        <v>369</v>
      </c>
      <c r="AG672" s="985">
        <v>0</v>
      </c>
      <c r="AH672" s="985">
        <v>0</v>
      </c>
      <c r="AI672" s="985">
        <v>0</v>
      </c>
      <c r="AJ672" s="1193">
        <f>VLOOKUP($I672,'Price List, Weapons &amp; Items'!B:F,5,0)</f>
        <v>0</v>
      </c>
      <c r="AK672" s="1193">
        <f t="shared" si="147"/>
        <v>0</v>
      </c>
      <c r="AL672" s="1193">
        <f t="shared" si="148"/>
        <v>0</v>
      </c>
      <c r="AM672" s="1193">
        <f t="shared" si="149"/>
        <v>0</v>
      </c>
      <c r="AN672" s="1194" t="str">
        <f>VLOOKUP($I672,'Price List, Weapons &amp; Items'!B:L,COLUMN('Price List, Weapons &amp; Items'!$J$11)-1,0)</f>
        <v>Miscellaneous</v>
      </c>
      <c r="AO672" s="1194" t="str">
        <f>IF(I672=".",".",VLOOKUP($I672,'Price List, Weapons &amp; Items'!B:J,3,0))</f>
        <v>Humanitarian</v>
      </c>
      <c r="AP672" s="1195" t="str">
        <f t="shared" ca="1" si="143"/>
        <v/>
      </c>
      <c r="AQ672" s="1194">
        <f>VLOOKUP($I672,'Price List, Weapons &amp; Items'!B:L,COLUMN('Price List, Weapons &amp; Items'!$L$11)-1,0)</f>
        <v>0</v>
      </c>
      <c r="AR672" s="1194">
        <f t="shared" si="150"/>
        <v>1</v>
      </c>
      <c r="AS672" s="1194">
        <f t="shared" si="151"/>
        <v>1</v>
      </c>
      <c r="AT672" s="1194" t="str">
        <f t="shared" si="152"/>
        <v>Value is not in date format</v>
      </c>
      <c r="AU672" s="1194" t="str">
        <f t="shared" si="153"/>
        <v>.</v>
      </c>
      <c r="AV672" s="1194" t="str">
        <f t="shared" si="144"/>
        <v>.</v>
      </c>
      <c r="AW672" s="1194" t="str">
        <f t="shared" si="154"/>
        <v>.</v>
      </c>
      <c r="AX672" s="1194">
        <f>IFERROR(VLOOKUP(B672,'Share, Heavy Weapons to Ukraine'!B:Z,COLUMN('Share, Heavy Weapons to Ukraine'!C682)-1,0),0)</f>
        <v>0</v>
      </c>
      <c r="AY672" s="1194">
        <f>VLOOKUP('Bilateral Assistance, MAIN DATA'!B672,'Country Summary (€)'!B:F,COLUMN('Country Summary (€)'!C683)-1,FALSE)</f>
        <v>1</v>
      </c>
      <c r="AZ672" s="1194" t="str">
        <f>IF(AND(AD672=1,D672="Military",H672&lt;&gt;"Not given")=TRUE,IF(SUMIFS(P:P,A:A,A672)&gt;0,ABS((SUMIFS(P:P,A:A,A672)/VLOOKUP("USD",'Exchange Rates'!B:C,2,0)))/S672,"."),".")</f>
        <v>.</v>
      </c>
      <c r="BA672" s="1196" t="str">
        <f>IF(AND(AD672=1,D672="Military",H672&lt;&gt;"Not given")=TRUE,IF(SUMIFS(P:P,A:A,A672)&gt;0,IF((ABS((SUMIFS(P:P,A:A,A672)/VLOOKUP("USD",'Exchange Rates'!B:C,2,0)))/S672)&gt;1,(SUMIFS(P:P,A:A,A672)-S672)/S672,(S672-SUMIFS(P:P,A:A,A672))/SUMIFS(P:P,A:A,A672)),"."),".")</f>
        <v>.</v>
      </c>
    </row>
    <row r="673" spans="1:53" ht="15.95" customHeight="1">
      <c r="A673" s="1180" t="s">
        <v>1884</v>
      </c>
      <c r="B673" s="1182" t="s">
        <v>1711</v>
      </c>
      <c r="C673" s="1181" t="s">
        <v>1797</v>
      </c>
      <c r="D673" s="1182" t="s">
        <v>389</v>
      </c>
      <c r="E673" s="1182" t="s">
        <v>1676</v>
      </c>
      <c r="F673" s="1263" t="s">
        <v>1885</v>
      </c>
      <c r="G673" s="1184" t="s">
        <v>483</v>
      </c>
      <c r="H673" s="1185">
        <v>600000000</v>
      </c>
      <c r="I673" s="1266" t="s">
        <v>1916</v>
      </c>
      <c r="J673" s="1186" t="str">
        <f>VLOOKUP($I673,'Price List, Weapons &amp; Items'!B:C,2,0)</f>
        <v>Humanitarian</v>
      </c>
      <c r="K673" s="1186" t="str">
        <f>IF(I673=".",I673,VLOOKUP($I673,'Price List, Weapons &amp; Items'!B:D,3,0))</f>
        <v>Humanitarian</v>
      </c>
      <c r="L673" s="1187">
        <f>VLOOKUP(I673,'Price List, Weapons &amp; Items'!B:E,4,0)</f>
        <v>0</v>
      </c>
      <c r="M673" s="1188">
        <v>18</v>
      </c>
      <c r="N673" s="1188">
        <v>18</v>
      </c>
      <c r="O673" s="1188" t="str">
        <f>VLOOKUP($I673,'Price List, Weapons &amp; Items'!B:G,6,0)</f>
        <v>.</v>
      </c>
      <c r="P673" s="1185" t="str">
        <f t="shared" si="145"/>
        <v>No price</v>
      </c>
      <c r="Q673" s="1185" t="str">
        <f t="shared" si="146"/>
        <v>No price</v>
      </c>
      <c r="R673" s="1185" t="str">
        <f t="shared" si="142"/>
        <v/>
      </c>
      <c r="S673" s="1185" t="str">
        <f>IF(AND(AD673=1,R673&lt;&gt;".")=TRUE,R673/VLOOKUP(G673,'Exchange Rates'!B:C,2,0),IF(R673=".",".",""))</f>
        <v/>
      </c>
      <c r="T673" s="1185" t="str">
        <f>IF(AD673=1,IF(AF673="Value is not given at all",".",IF(AF673="Value is given by the source",S673,IF(AF673="Value is calculated with prices",(IF(SUMIFS(Q:Q,A:A,A673)&gt;0,SUMIFS(Q:Q,A:A,A673),"."))/VLOOKUP("USD",'Exchange Rates'!B:C,2,0),"Error with coding"))),"")</f>
        <v/>
      </c>
      <c r="U673" s="1184" t="s">
        <v>365</v>
      </c>
      <c r="V673" s="972" t="s">
        <v>1782</v>
      </c>
      <c r="W673" s="966" t="s">
        <v>1280</v>
      </c>
      <c r="X673" s="1031" t="s">
        <v>364</v>
      </c>
      <c r="Y673" s="1031" t="s">
        <v>364</v>
      </c>
      <c r="Z673" s="1184">
        <v>0</v>
      </c>
      <c r="AA673" s="1194">
        <v>0</v>
      </c>
      <c r="AB673" s="600" t="s">
        <v>1280</v>
      </c>
      <c r="AC673" s="1192" t="str">
        <f>""</f>
        <v/>
      </c>
      <c r="AD673" s="985">
        <v>0</v>
      </c>
      <c r="AE673" s="1194" t="s">
        <v>368</v>
      </c>
      <c r="AF673" s="985" t="s">
        <v>369</v>
      </c>
      <c r="AG673" s="985">
        <v>0</v>
      </c>
      <c r="AH673" s="985">
        <v>0</v>
      </c>
      <c r="AI673" s="985">
        <v>0</v>
      </c>
      <c r="AJ673" s="1193">
        <f>VLOOKUP($I673,'Price List, Weapons &amp; Items'!B:F,5,0)</f>
        <v>0</v>
      </c>
      <c r="AK673" s="1193">
        <f t="shared" si="147"/>
        <v>0</v>
      </c>
      <c r="AL673" s="1193">
        <f t="shared" si="148"/>
        <v>0</v>
      </c>
      <c r="AM673" s="1193">
        <f t="shared" si="149"/>
        <v>0</v>
      </c>
      <c r="AN673" s="1194" t="str">
        <f>VLOOKUP($I673,'Price List, Weapons &amp; Items'!B:L,COLUMN('Price List, Weapons &amp; Items'!$J$11)-1,0)</f>
        <v>.</v>
      </c>
      <c r="AO673" s="1194" t="str">
        <f>IF(I673=".",".",VLOOKUP($I673,'Price List, Weapons &amp; Items'!B:J,3,0))</f>
        <v>Humanitarian</v>
      </c>
      <c r="AP673" s="1195" t="str">
        <f t="shared" ca="1" si="143"/>
        <v/>
      </c>
      <c r="AQ673" s="1194">
        <f>VLOOKUP($I673,'Price List, Weapons &amp; Items'!B:L,COLUMN('Price List, Weapons &amp; Items'!$L$11)-1,0)</f>
        <v>0</v>
      </c>
      <c r="AR673" s="1194">
        <f t="shared" si="150"/>
        <v>1</v>
      </c>
      <c r="AS673" s="1194">
        <f t="shared" si="151"/>
        <v>1</v>
      </c>
      <c r="AT673" s="1194" t="str">
        <f t="shared" si="152"/>
        <v>Value is not in date format</v>
      </c>
      <c r="AU673" s="1194" t="str">
        <f t="shared" si="153"/>
        <v>.</v>
      </c>
      <c r="AV673" s="1194" t="str">
        <f t="shared" si="144"/>
        <v>.</v>
      </c>
      <c r="AW673" s="1194" t="str">
        <f t="shared" si="154"/>
        <v>.</v>
      </c>
      <c r="AX673" s="1194">
        <f>IFERROR(VLOOKUP(B673,'Share, Heavy Weapons to Ukraine'!B:Z,COLUMN('Share, Heavy Weapons to Ukraine'!C683)-1,0),0)</f>
        <v>0</v>
      </c>
      <c r="AY673" s="1194">
        <f>VLOOKUP('Bilateral Assistance, MAIN DATA'!B673,'Country Summary (€)'!B:F,COLUMN('Country Summary (€)'!C684)-1,FALSE)</f>
        <v>1</v>
      </c>
      <c r="AZ673" s="1194" t="str">
        <f>IF(AND(AD673=1,D673="Military",H673&lt;&gt;"Not given")=TRUE,IF(SUMIFS(P:P,A:A,A673)&gt;0,ABS((SUMIFS(P:P,A:A,A673)/VLOOKUP("USD",'Exchange Rates'!B:C,2,0)))/S673,"."),".")</f>
        <v>.</v>
      </c>
      <c r="BA673" s="1196" t="str">
        <f>IF(AND(AD673=1,D673="Military",H673&lt;&gt;"Not given")=TRUE,IF(SUMIFS(P:P,A:A,A673)&gt;0,IF((ABS((SUMIFS(P:P,A:A,A673)/VLOOKUP("USD",'Exchange Rates'!B:C,2,0)))/S673)&gt;1,(SUMIFS(P:P,A:A,A673)-S673)/S673,(S673-SUMIFS(P:P,A:A,A673))/SUMIFS(P:P,A:A,A673)),"."),".")</f>
        <v>.</v>
      </c>
    </row>
    <row r="674" spans="1:53" ht="15.95" customHeight="1">
      <c r="A674" s="1180" t="s">
        <v>1884</v>
      </c>
      <c r="B674" s="1182" t="s">
        <v>1711</v>
      </c>
      <c r="C674" s="1181" t="s">
        <v>1797</v>
      </c>
      <c r="D674" s="1182" t="s">
        <v>389</v>
      </c>
      <c r="E674" s="1182" t="s">
        <v>1676</v>
      </c>
      <c r="F674" s="1263" t="s">
        <v>1885</v>
      </c>
      <c r="G674" s="1184" t="s">
        <v>483</v>
      </c>
      <c r="H674" s="1185">
        <v>600000000</v>
      </c>
      <c r="I674" s="1266" t="s">
        <v>1917</v>
      </c>
      <c r="J674" s="1186" t="str">
        <f>VLOOKUP($I674,'Price List, Weapons &amp; Items'!B:C,2,0)</f>
        <v>Military equipment</v>
      </c>
      <c r="K674" s="1186" t="str">
        <f>IF(I674=".",I674,VLOOKUP($I674,'Price List, Weapons &amp; Items'!B:D,3,0))</f>
        <v>Military equipment</v>
      </c>
      <c r="L674" s="1187">
        <f>VLOOKUP(I674,'Price List, Weapons &amp; Items'!B:E,4,0)</f>
        <v>0</v>
      </c>
      <c r="M674" s="1188">
        <v>60</v>
      </c>
      <c r="N674" s="1188">
        <v>60</v>
      </c>
      <c r="O674" s="1188">
        <f>VLOOKUP($I674,'Price List, Weapons &amp; Items'!B:G,6,0)</f>
        <v>19500</v>
      </c>
      <c r="P674" s="1185">
        <f t="shared" si="145"/>
        <v>1170000</v>
      </c>
      <c r="Q674" s="1185">
        <f t="shared" si="146"/>
        <v>1170000</v>
      </c>
      <c r="R674" s="1185" t="str">
        <f t="shared" si="142"/>
        <v/>
      </c>
      <c r="S674" s="1185" t="str">
        <f>IF(AND(AD674=1,R674&lt;&gt;".")=TRUE,R674/VLOOKUP(G674,'Exchange Rates'!B:C,2,0),IF(R674=".",".",""))</f>
        <v/>
      </c>
      <c r="T674" s="1185" t="str">
        <f>IF(AD674=1,IF(AF674="Value is not given at all",".",IF(AF674="Value is given by the source",S674,IF(AF674="Value is calculated with prices",(IF(SUMIFS(Q:Q,A:A,A674)&gt;0,SUMIFS(Q:Q,A:A,A674),"."))/VLOOKUP("USD",'Exchange Rates'!B:C,2,0),"Error with coding"))),"")</f>
        <v/>
      </c>
      <c r="U674" s="1184" t="s">
        <v>365</v>
      </c>
      <c r="V674" s="972" t="s">
        <v>1782</v>
      </c>
      <c r="W674" s="987" t="s">
        <v>1280</v>
      </c>
      <c r="X674" s="1031" t="s">
        <v>364</v>
      </c>
      <c r="Y674" s="1031" t="s">
        <v>364</v>
      </c>
      <c r="Z674" s="1184">
        <v>0</v>
      </c>
      <c r="AA674" s="1194">
        <v>0</v>
      </c>
      <c r="AB674" s="600" t="s">
        <v>1280</v>
      </c>
      <c r="AC674" s="1192" t="str">
        <f>""</f>
        <v/>
      </c>
      <c r="AD674" s="985">
        <v>0</v>
      </c>
      <c r="AE674" s="1194" t="s">
        <v>368</v>
      </c>
      <c r="AF674" s="985" t="s">
        <v>369</v>
      </c>
      <c r="AG674" s="985">
        <v>0</v>
      </c>
      <c r="AH674" s="985">
        <v>0</v>
      </c>
      <c r="AI674" s="985">
        <v>0</v>
      </c>
      <c r="AJ674" s="1193">
        <f>VLOOKUP($I674,'Price List, Weapons &amp; Items'!B:F,5,0)</f>
        <v>0</v>
      </c>
      <c r="AK674" s="1193">
        <f t="shared" si="147"/>
        <v>0</v>
      </c>
      <c r="AL674" s="1193">
        <f t="shared" si="148"/>
        <v>0</v>
      </c>
      <c r="AM674" s="1193">
        <f t="shared" si="149"/>
        <v>0</v>
      </c>
      <c r="AN674" s="1194" t="str">
        <f>VLOOKUP($I674,'Price List, Weapons &amp; Items'!B:L,COLUMN('Price List, Weapons &amp; Items'!$J$11)-1,0)</f>
        <v>Government information</v>
      </c>
      <c r="AO674" s="1194" t="str">
        <f>IF(I674=".",".",VLOOKUP($I674,'Price List, Weapons &amp; Items'!B:J,3,0))</f>
        <v>Military equipment</v>
      </c>
      <c r="AP674" s="1195" t="str">
        <f t="shared" ca="1" si="143"/>
        <v/>
      </c>
      <c r="AQ674" s="1194">
        <f>VLOOKUP($I674,'Price List, Weapons &amp; Items'!B:L,COLUMN('Price List, Weapons &amp; Items'!$L$11)-1,0)</f>
        <v>1</v>
      </c>
      <c r="AR674" s="1194">
        <f t="shared" si="150"/>
        <v>1</v>
      </c>
      <c r="AS674" s="1194">
        <f t="shared" si="151"/>
        <v>1</v>
      </c>
      <c r="AT674" s="1194" t="str">
        <f t="shared" si="152"/>
        <v>Value is not in date format</v>
      </c>
      <c r="AU674" s="1194" t="str">
        <f t="shared" si="153"/>
        <v>.</v>
      </c>
      <c r="AV674" s="1194" t="str">
        <f t="shared" si="144"/>
        <v>.</v>
      </c>
      <c r="AW674" s="1194" t="str">
        <f t="shared" si="154"/>
        <v>.</v>
      </c>
      <c r="AX674" s="1194">
        <f>IFERROR(VLOOKUP(B674,'Share, Heavy Weapons to Ukraine'!B:Z,COLUMN('Share, Heavy Weapons to Ukraine'!C684)-1,0),0)</f>
        <v>0</v>
      </c>
      <c r="AY674" s="1194">
        <f>VLOOKUP('Bilateral Assistance, MAIN DATA'!B674,'Country Summary (€)'!B:F,COLUMN('Country Summary (€)'!C685)-1,FALSE)</f>
        <v>1</v>
      </c>
      <c r="AZ674" s="1194" t="str">
        <f>IF(AND(AD674=1,D674="Military",H674&lt;&gt;"Not given")=TRUE,IF(SUMIFS(P:P,A:A,A674)&gt;0,ABS((SUMIFS(P:P,A:A,A674)/VLOOKUP("USD",'Exchange Rates'!B:C,2,0)))/S674,"."),".")</f>
        <v>.</v>
      </c>
      <c r="BA674" s="1196" t="str">
        <f>IF(AND(AD674=1,D674="Military",H674&lt;&gt;"Not given")=TRUE,IF(SUMIFS(P:P,A:A,A674)&gt;0,IF((ABS((SUMIFS(P:P,A:A,A674)/VLOOKUP("USD",'Exchange Rates'!B:C,2,0)))/S674)&gt;1,(SUMIFS(P:P,A:A,A674)-S674)/S674,(S674-SUMIFS(P:P,A:A,A674))/SUMIFS(P:P,A:A,A674)),"."),".")</f>
        <v>.</v>
      </c>
    </row>
    <row r="675" spans="1:53" ht="15.95" customHeight="1">
      <c r="A675" s="1180" t="s">
        <v>1884</v>
      </c>
      <c r="B675" s="1182" t="s">
        <v>1711</v>
      </c>
      <c r="C675" s="1181" t="s">
        <v>1797</v>
      </c>
      <c r="D675" s="1182" t="s">
        <v>389</v>
      </c>
      <c r="E675" s="1182" t="s">
        <v>1676</v>
      </c>
      <c r="F675" s="1263" t="s">
        <v>1885</v>
      </c>
      <c r="G675" s="1184" t="s">
        <v>483</v>
      </c>
      <c r="H675" s="1185">
        <v>600000000</v>
      </c>
      <c r="I675" s="1266" t="s">
        <v>1918</v>
      </c>
      <c r="J675" s="1186" t="str">
        <f>VLOOKUP($I675,'Price List, Weapons &amp; Items'!B:C,2,0)</f>
        <v>Humanitarian</v>
      </c>
      <c r="K675" s="1186" t="str">
        <f>IF(I675=".",I675,VLOOKUP($I675,'Price List, Weapons &amp; Items'!B:D,3,0))</f>
        <v>Humanitarian</v>
      </c>
      <c r="L675" s="1187">
        <f>VLOOKUP(I675,'Price List, Weapons &amp; Items'!B:E,4,0)</f>
        <v>0</v>
      </c>
      <c r="M675" s="1188" t="s">
        <v>374</v>
      </c>
      <c r="N675" s="1188" t="s">
        <v>374</v>
      </c>
      <c r="O675" s="1188" t="str">
        <f>VLOOKUP($I675,'Price List, Weapons &amp; Items'!B:G,6,0)</f>
        <v>.</v>
      </c>
      <c r="P675" s="1185" t="str">
        <f t="shared" si="145"/>
        <v>.</v>
      </c>
      <c r="Q675" s="1185" t="str">
        <f t="shared" si="146"/>
        <v>.</v>
      </c>
      <c r="R675" s="1185" t="str">
        <f t="shared" si="142"/>
        <v/>
      </c>
      <c r="S675" s="1185" t="str">
        <f>IF(AND(AD675=1,R675&lt;&gt;".")=TRUE,R675/VLOOKUP(G675,'Exchange Rates'!B:C,2,0),IF(R675=".",".",""))</f>
        <v/>
      </c>
      <c r="T675" s="1185" t="str">
        <f>IF(AD675=1,IF(AF675="Value is not given at all",".",IF(AF675="Value is given by the source",S675,IF(AF675="Value is calculated with prices",(IF(SUMIFS(Q:Q,A:A,A675)&gt;0,SUMIFS(Q:Q,A:A,A675),"."))/VLOOKUP("USD",'Exchange Rates'!B:C,2,0),"Error with coding"))),"")</f>
        <v/>
      </c>
      <c r="U675" s="1184" t="s">
        <v>365</v>
      </c>
      <c r="V675" s="972" t="s">
        <v>1782</v>
      </c>
      <c r="W675" s="966" t="s">
        <v>1280</v>
      </c>
      <c r="X675" s="1031" t="s">
        <v>364</v>
      </c>
      <c r="Y675" s="1031" t="s">
        <v>364</v>
      </c>
      <c r="Z675" s="1184">
        <v>0</v>
      </c>
      <c r="AA675" s="1194">
        <v>0</v>
      </c>
      <c r="AB675" s="600" t="s">
        <v>1280</v>
      </c>
      <c r="AC675" s="1192" t="str">
        <f>""</f>
        <v/>
      </c>
      <c r="AD675" s="985">
        <v>0</v>
      </c>
      <c r="AE675" s="1194" t="s">
        <v>368</v>
      </c>
      <c r="AF675" s="985" t="s">
        <v>369</v>
      </c>
      <c r="AG675" s="985">
        <v>0</v>
      </c>
      <c r="AH675" s="985">
        <v>0</v>
      </c>
      <c r="AI675" s="985">
        <v>0</v>
      </c>
      <c r="AJ675" s="1193">
        <f>VLOOKUP($I675,'Price List, Weapons &amp; Items'!B:F,5,0)</f>
        <v>0</v>
      </c>
      <c r="AK675" s="1193">
        <f t="shared" si="147"/>
        <v>0</v>
      </c>
      <c r="AL675" s="1193">
        <f t="shared" si="148"/>
        <v>0</v>
      </c>
      <c r="AM675" s="1193">
        <f t="shared" si="149"/>
        <v>0</v>
      </c>
      <c r="AN675" s="1194" t="str">
        <f>VLOOKUP($I675,'Price List, Weapons &amp; Items'!B:L,COLUMN('Price List, Weapons &amp; Items'!$J$11)-1,0)</f>
        <v>.</v>
      </c>
      <c r="AO675" s="1194" t="str">
        <f>IF(I675=".",".",VLOOKUP($I675,'Price List, Weapons &amp; Items'!B:J,3,0))</f>
        <v>Humanitarian</v>
      </c>
      <c r="AP675" s="1195" t="str">
        <f t="shared" ca="1" si="143"/>
        <v/>
      </c>
      <c r="AQ675" s="1194">
        <f>VLOOKUP($I675,'Price List, Weapons &amp; Items'!B:L,COLUMN('Price List, Weapons &amp; Items'!$L$11)-1,0)</f>
        <v>0</v>
      </c>
      <c r="AR675" s="1194">
        <f t="shared" si="150"/>
        <v>1</v>
      </c>
      <c r="AS675" s="1194">
        <f t="shared" si="151"/>
        <v>1</v>
      </c>
      <c r="AT675" s="1194" t="str">
        <f t="shared" si="152"/>
        <v>Value is not in date format</v>
      </c>
      <c r="AU675" s="1194" t="str">
        <f t="shared" si="153"/>
        <v>.</v>
      </c>
      <c r="AV675" s="1194" t="str">
        <f t="shared" si="144"/>
        <v>.</v>
      </c>
      <c r="AW675" s="1194" t="str">
        <f t="shared" si="154"/>
        <v>.</v>
      </c>
      <c r="AX675" s="1194">
        <f>IFERROR(VLOOKUP(B675,'Share, Heavy Weapons to Ukraine'!B:Z,COLUMN('Share, Heavy Weapons to Ukraine'!C685)-1,0),0)</f>
        <v>0</v>
      </c>
      <c r="AY675" s="1194">
        <f>VLOOKUP('Bilateral Assistance, MAIN DATA'!B675,'Country Summary (€)'!B:F,COLUMN('Country Summary (€)'!C686)-1,FALSE)</f>
        <v>1</v>
      </c>
      <c r="AZ675" s="1194" t="str">
        <f>IF(AND(AD675=1,D675="Military",H675&lt;&gt;"Not given")=TRUE,IF(SUMIFS(P:P,A:A,A675)&gt;0,ABS((SUMIFS(P:P,A:A,A675)/VLOOKUP("USD",'Exchange Rates'!B:C,2,0)))/S675,"."),".")</f>
        <v>.</v>
      </c>
      <c r="BA675" s="1196" t="str">
        <f>IF(AND(AD675=1,D675="Military",H675&lt;&gt;"Not given")=TRUE,IF(SUMIFS(P:P,A:A,A675)&gt;0,IF((ABS((SUMIFS(P:P,A:A,A675)/VLOOKUP("USD",'Exchange Rates'!B:C,2,0)))/S675)&gt;1,(SUMIFS(P:P,A:A,A675)-S675)/S675,(S675-SUMIFS(P:P,A:A,A675))/SUMIFS(P:P,A:A,A675)),"."),".")</f>
        <v>.</v>
      </c>
    </row>
    <row r="676" spans="1:53" ht="15.95" customHeight="1">
      <c r="A676" s="1180" t="s">
        <v>1884</v>
      </c>
      <c r="B676" s="1182" t="s">
        <v>1711</v>
      </c>
      <c r="C676" s="1181" t="s">
        <v>1797</v>
      </c>
      <c r="D676" s="1182" t="s">
        <v>389</v>
      </c>
      <c r="E676" s="1182" t="s">
        <v>1676</v>
      </c>
      <c r="F676" s="1263" t="s">
        <v>1885</v>
      </c>
      <c r="G676" s="1184" t="s">
        <v>483</v>
      </c>
      <c r="H676" s="1185">
        <v>600000000</v>
      </c>
      <c r="I676" s="1266" t="s">
        <v>1919</v>
      </c>
      <c r="J676" s="1186" t="str">
        <f>VLOOKUP($I676,'Price List, Weapons &amp; Items'!B:C,2,0)</f>
        <v>Humanitarian</v>
      </c>
      <c r="K676" s="1186" t="str">
        <f>IF(I676=".",I676,VLOOKUP($I676,'Price List, Weapons &amp; Items'!B:D,3,0))</f>
        <v>Humanitarian</v>
      </c>
      <c r="L676" s="1187">
        <f>VLOOKUP(I676,'Price List, Weapons &amp; Items'!B:E,4,0)</f>
        <v>0</v>
      </c>
      <c r="M676" s="1188" t="s">
        <v>374</v>
      </c>
      <c r="N676" s="1188" t="s">
        <v>374</v>
      </c>
      <c r="O676" s="1188">
        <f>VLOOKUP($I676,'Price List, Weapons &amp; Items'!B:G,6,0)</f>
        <v>0.24</v>
      </c>
      <c r="P676" s="1185" t="str">
        <f t="shared" si="145"/>
        <v>.</v>
      </c>
      <c r="Q676" s="1185" t="str">
        <f t="shared" si="146"/>
        <v>.</v>
      </c>
      <c r="R676" s="1185" t="str">
        <f t="shared" si="142"/>
        <v/>
      </c>
      <c r="S676" s="1185" t="str">
        <f>IF(AND(AD676=1,R676&lt;&gt;".")=TRUE,R676/VLOOKUP(G676,'Exchange Rates'!B:C,2,0),IF(R676=".",".",""))</f>
        <v/>
      </c>
      <c r="T676" s="1185" t="str">
        <f>IF(AD676=1,IF(AF676="Value is not given at all",".",IF(AF676="Value is given by the source",S676,IF(AF676="Value is calculated with prices",(IF(SUMIFS(Q:Q,A:A,A676)&gt;0,SUMIFS(Q:Q,A:A,A676),"."))/VLOOKUP("USD",'Exchange Rates'!B:C,2,0),"Error with coding"))),"")</f>
        <v/>
      </c>
      <c r="U676" s="1184" t="s">
        <v>365</v>
      </c>
      <c r="V676" s="972" t="s">
        <v>1782</v>
      </c>
      <c r="W676" s="987" t="s">
        <v>1280</v>
      </c>
      <c r="X676" s="1031" t="s">
        <v>364</v>
      </c>
      <c r="Y676" s="1031" t="s">
        <v>364</v>
      </c>
      <c r="Z676" s="1184">
        <v>0</v>
      </c>
      <c r="AA676" s="1194">
        <v>0</v>
      </c>
      <c r="AB676" s="600" t="s">
        <v>1280</v>
      </c>
      <c r="AC676" s="1192" t="str">
        <f>""</f>
        <v/>
      </c>
      <c r="AD676" s="985">
        <v>0</v>
      </c>
      <c r="AE676" s="1194" t="s">
        <v>368</v>
      </c>
      <c r="AF676" s="985" t="s">
        <v>369</v>
      </c>
      <c r="AG676" s="985">
        <v>0</v>
      </c>
      <c r="AH676" s="985">
        <v>0</v>
      </c>
      <c r="AI676" s="985">
        <v>0</v>
      </c>
      <c r="AJ676" s="1193">
        <f>VLOOKUP($I676,'Price List, Weapons &amp; Items'!B:F,5,0)</f>
        <v>0</v>
      </c>
      <c r="AK676" s="1193">
        <f t="shared" si="147"/>
        <v>0</v>
      </c>
      <c r="AL676" s="1193">
        <f t="shared" si="148"/>
        <v>0</v>
      </c>
      <c r="AM676" s="1193">
        <f t="shared" si="149"/>
        <v>0</v>
      </c>
      <c r="AN676" s="1194" t="str">
        <f>VLOOKUP($I676,'Price List, Weapons &amp; Items'!B:L,COLUMN('Price List, Weapons &amp; Items'!$J$11)-1,0)</f>
        <v>Online marketplaces and stores</v>
      </c>
      <c r="AO676" s="1194" t="str">
        <f>IF(I676=".",".",VLOOKUP($I676,'Price List, Weapons &amp; Items'!B:J,3,0))</f>
        <v>Humanitarian</v>
      </c>
      <c r="AP676" s="1195" t="str">
        <f t="shared" ca="1" si="143"/>
        <v/>
      </c>
      <c r="AQ676" s="1194">
        <f>VLOOKUP($I676,'Price List, Weapons &amp; Items'!B:L,COLUMN('Price List, Weapons &amp; Items'!$L$11)-1,0)</f>
        <v>0</v>
      </c>
      <c r="AR676" s="1194">
        <f t="shared" si="150"/>
        <v>1</v>
      </c>
      <c r="AS676" s="1194">
        <f t="shared" si="151"/>
        <v>1</v>
      </c>
      <c r="AT676" s="1194" t="str">
        <f t="shared" si="152"/>
        <v>Value is not in date format</v>
      </c>
      <c r="AU676" s="1194" t="str">
        <f t="shared" si="153"/>
        <v>.</v>
      </c>
      <c r="AV676" s="1194" t="str">
        <f t="shared" si="144"/>
        <v>.</v>
      </c>
      <c r="AW676" s="1194" t="str">
        <f t="shared" si="154"/>
        <v>.</v>
      </c>
      <c r="AX676" s="1194">
        <f>IFERROR(VLOOKUP(B676,'Share, Heavy Weapons to Ukraine'!B:Z,COLUMN('Share, Heavy Weapons to Ukraine'!C686)-1,0),0)</f>
        <v>0</v>
      </c>
      <c r="AY676" s="1194">
        <f>VLOOKUP('Bilateral Assistance, MAIN DATA'!B676,'Country Summary (€)'!B:F,COLUMN('Country Summary (€)'!C687)-1,FALSE)</f>
        <v>1</v>
      </c>
      <c r="AZ676" s="1194" t="str">
        <f>IF(AND(AD676=1,D676="Military",H676&lt;&gt;"Not given")=TRUE,IF(SUMIFS(P:P,A:A,A676)&gt;0,ABS((SUMIFS(P:P,A:A,A676)/VLOOKUP("USD",'Exchange Rates'!B:C,2,0)))/S676,"."),".")</f>
        <v>.</v>
      </c>
      <c r="BA676" s="1196" t="str">
        <f>IF(AND(AD676=1,D676="Military",H676&lt;&gt;"Not given")=TRUE,IF(SUMIFS(P:P,A:A,A676)&gt;0,IF((ABS((SUMIFS(P:P,A:A,A676)/VLOOKUP("USD",'Exchange Rates'!B:C,2,0)))/S676)&gt;1,(SUMIFS(P:P,A:A,A676)-S676)/S676,(S676-SUMIFS(P:P,A:A,A676))/SUMIFS(P:P,A:A,A676)),"."),".")</f>
        <v>.</v>
      </c>
    </row>
    <row r="677" spans="1:53" ht="15.95" customHeight="1">
      <c r="A677" s="1180" t="s">
        <v>1884</v>
      </c>
      <c r="B677" s="1182" t="s">
        <v>1711</v>
      </c>
      <c r="C677" s="1181" t="s">
        <v>1797</v>
      </c>
      <c r="D677" s="1182" t="s">
        <v>389</v>
      </c>
      <c r="E677" s="1182" t="s">
        <v>1676</v>
      </c>
      <c r="F677" s="1263" t="s">
        <v>1885</v>
      </c>
      <c r="G677" s="1184" t="s">
        <v>483</v>
      </c>
      <c r="H677" s="1185">
        <v>600000000</v>
      </c>
      <c r="I677" s="1266" t="s">
        <v>463</v>
      </c>
      <c r="J677" s="1186" t="str">
        <f>VLOOKUP($I677,'Price List, Weapons &amp; Items'!B:C,2,0)</f>
        <v>Humanitarian</v>
      </c>
      <c r="K677" s="1186" t="str">
        <f>IF(I677=".",I677,VLOOKUP($I677,'Price List, Weapons &amp; Items'!B:D,3,0))</f>
        <v>Humanitarian</v>
      </c>
      <c r="L677" s="1187">
        <f>VLOOKUP(I677,'Price List, Weapons &amp; Items'!B:E,4,0)</f>
        <v>0</v>
      </c>
      <c r="M677" s="1188">
        <v>600</v>
      </c>
      <c r="N677" s="1188">
        <v>600</v>
      </c>
      <c r="O677" s="1188">
        <f>VLOOKUP($I677,'Price List, Weapons &amp; Items'!B:G,6,0)</f>
        <v>10</v>
      </c>
      <c r="P677" s="1185">
        <f t="shared" si="145"/>
        <v>6000</v>
      </c>
      <c r="Q677" s="1185">
        <f t="shared" si="146"/>
        <v>6000</v>
      </c>
      <c r="R677" s="1185" t="str">
        <f t="shared" si="142"/>
        <v/>
      </c>
      <c r="S677" s="1185" t="str">
        <f>IF(AND(AD677=1,R677&lt;&gt;".")=TRUE,R677/VLOOKUP(G677,'Exchange Rates'!B:C,2,0),IF(R677=".",".",""))</f>
        <v/>
      </c>
      <c r="T677" s="1185" t="str">
        <f>IF(AD677=1,IF(AF677="Value is not given at all",".",IF(AF677="Value is given by the source",S677,IF(AF677="Value is calculated with prices",(IF(SUMIFS(Q:Q,A:A,A677)&gt;0,SUMIFS(Q:Q,A:A,A677),"."))/VLOOKUP("USD",'Exchange Rates'!B:C,2,0),"Error with coding"))),"")</f>
        <v/>
      </c>
      <c r="U677" s="1184" t="s">
        <v>365</v>
      </c>
      <c r="V677" s="972" t="s">
        <v>1782</v>
      </c>
      <c r="W677" s="966" t="s">
        <v>1280</v>
      </c>
      <c r="X677" s="1031" t="s">
        <v>364</v>
      </c>
      <c r="Y677" s="1031" t="s">
        <v>364</v>
      </c>
      <c r="Z677" s="1184">
        <v>0</v>
      </c>
      <c r="AA677" s="1194">
        <v>0</v>
      </c>
      <c r="AB677" s="600" t="s">
        <v>1280</v>
      </c>
      <c r="AC677" s="1192" t="str">
        <f>""</f>
        <v/>
      </c>
      <c r="AD677" s="985">
        <v>0</v>
      </c>
      <c r="AE677" s="1194" t="s">
        <v>368</v>
      </c>
      <c r="AF677" s="985" t="s">
        <v>369</v>
      </c>
      <c r="AG677" s="985">
        <v>0</v>
      </c>
      <c r="AH677" s="985">
        <v>0</v>
      </c>
      <c r="AI677" s="985">
        <v>0</v>
      </c>
      <c r="AJ677" s="1193">
        <f>VLOOKUP($I677,'Price List, Weapons &amp; Items'!B:F,5,0)</f>
        <v>0</v>
      </c>
      <c r="AK677" s="1193">
        <f t="shared" si="147"/>
        <v>0</v>
      </c>
      <c r="AL677" s="1193">
        <f t="shared" si="148"/>
        <v>0</v>
      </c>
      <c r="AM677" s="1193">
        <f t="shared" si="149"/>
        <v>0</v>
      </c>
      <c r="AN677" s="1194" t="str">
        <f>VLOOKUP($I677,'Price List, Weapons &amp; Items'!B:L,COLUMN('Price List, Weapons &amp; Items'!$J$11)-1,0)</f>
        <v>Online marketplaces and stores</v>
      </c>
      <c r="AO677" s="1194" t="str">
        <f>IF(I677=".",".",VLOOKUP($I677,'Price List, Weapons &amp; Items'!B:J,3,0))</f>
        <v>Humanitarian</v>
      </c>
      <c r="AP677" s="1195" t="str">
        <f t="shared" ca="1" si="143"/>
        <v/>
      </c>
      <c r="AQ677" s="1194">
        <f>VLOOKUP($I677,'Price List, Weapons &amp; Items'!B:L,COLUMN('Price List, Weapons &amp; Items'!$L$11)-1,0)</f>
        <v>0</v>
      </c>
      <c r="AR677" s="1194">
        <f t="shared" si="150"/>
        <v>1</v>
      </c>
      <c r="AS677" s="1194">
        <f t="shared" si="151"/>
        <v>1</v>
      </c>
      <c r="AT677" s="1194" t="str">
        <f t="shared" si="152"/>
        <v>Value is not in date format</v>
      </c>
      <c r="AU677" s="1194" t="str">
        <f t="shared" si="153"/>
        <v>.</v>
      </c>
      <c r="AV677" s="1194" t="str">
        <f t="shared" si="144"/>
        <v>.</v>
      </c>
      <c r="AW677" s="1194" t="str">
        <f t="shared" si="154"/>
        <v>.</v>
      </c>
      <c r="AX677" s="1194">
        <f>IFERROR(VLOOKUP(B677,'Share, Heavy Weapons to Ukraine'!B:Z,COLUMN('Share, Heavy Weapons to Ukraine'!C687)-1,0),0)</f>
        <v>0</v>
      </c>
      <c r="AY677" s="1194">
        <f>VLOOKUP('Bilateral Assistance, MAIN DATA'!B677,'Country Summary (€)'!B:F,COLUMN('Country Summary (€)'!C688)-1,FALSE)</f>
        <v>1</v>
      </c>
      <c r="AZ677" s="1194" t="str">
        <f>IF(AND(AD677=1,D677="Military",H677&lt;&gt;"Not given")=TRUE,IF(SUMIFS(P:P,A:A,A677)&gt;0,ABS((SUMIFS(P:P,A:A,A677)/VLOOKUP("USD",'Exchange Rates'!B:C,2,0)))/S677,"."),".")</f>
        <v>.</v>
      </c>
      <c r="BA677" s="1196" t="str">
        <f>IF(AND(AD677=1,D677="Military",H677&lt;&gt;"Not given")=TRUE,IF(SUMIFS(P:P,A:A,A677)&gt;0,IF((ABS((SUMIFS(P:P,A:A,A677)/VLOOKUP("USD",'Exchange Rates'!B:C,2,0)))/S677)&gt;1,(SUMIFS(P:P,A:A,A677)-S677)/S677,(S677-SUMIFS(P:P,A:A,A677))/SUMIFS(P:P,A:A,A677)),"."),".")</f>
        <v>.</v>
      </c>
    </row>
    <row r="678" spans="1:53" ht="15.95" customHeight="1">
      <c r="A678" s="1180" t="s">
        <v>1884</v>
      </c>
      <c r="B678" s="1182" t="s">
        <v>1711</v>
      </c>
      <c r="C678" s="1181" t="s">
        <v>1797</v>
      </c>
      <c r="D678" s="1182" t="s">
        <v>389</v>
      </c>
      <c r="E678" s="1182" t="s">
        <v>1676</v>
      </c>
      <c r="F678" s="1263" t="s">
        <v>1885</v>
      </c>
      <c r="G678" s="1184" t="s">
        <v>483</v>
      </c>
      <c r="H678" s="1185">
        <v>600000000</v>
      </c>
      <c r="I678" s="1266" t="s">
        <v>1920</v>
      </c>
      <c r="J678" s="1186" t="str">
        <f>VLOOKUP($I678,'Price List, Weapons &amp; Items'!B:C,2,0)</f>
        <v>Military equipment</v>
      </c>
      <c r="K678" s="1186" t="str">
        <f>IF(I678=".",I678,VLOOKUP($I678,'Price List, Weapons &amp; Items'!B:D,3,0))</f>
        <v>Military equipment</v>
      </c>
      <c r="L678" s="1187">
        <f>VLOOKUP(I678,'Price List, Weapons &amp; Items'!B:E,4,0)</f>
        <v>0</v>
      </c>
      <c r="M678" s="1188">
        <v>1</v>
      </c>
      <c r="N678" s="1188">
        <v>1</v>
      </c>
      <c r="O678" s="1188">
        <f>VLOOKUP($I678,'Price List, Weapons &amp; Items'!B:G,6,0)</f>
        <v>126.69</v>
      </c>
      <c r="P678" s="1185">
        <f t="shared" si="145"/>
        <v>126.69</v>
      </c>
      <c r="Q678" s="1185">
        <f t="shared" si="146"/>
        <v>126.69</v>
      </c>
      <c r="R678" s="1185" t="str">
        <f t="shared" si="142"/>
        <v/>
      </c>
      <c r="S678" s="1185" t="str">
        <f>IF(AND(AD678=1,R678&lt;&gt;".")=TRUE,R678/VLOOKUP(G678,'Exchange Rates'!B:C,2,0),IF(R678=".",".",""))</f>
        <v/>
      </c>
      <c r="T678" s="1185" t="str">
        <f>IF(AD678=1,IF(AF678="Value is not given at all",".",IF(AF678="Value is given by the source",S678,IF(AF678="Value is calculated with prices",(IF(SUMIFS(Q:Q,A:A,A678)&gt;0,SUMIFS(Q:Q,A:A,A678),"."))/VLOOKUP("USD",'Exchange Rates'!B:C,2,0),"Error with coding"))),"")</f>
        <v/>
      </c>
      <c r="U678" s="1184" t="s">
        <v>365</v>
      </c>
      <c r="V678" s="972" t="s">
        <v>1782</v>
      </c>
      <c r="W678" s="987" t="s">
        <v>1280</v>
      </c>
      <c r="X678" s="1031" t="s">
        <v>364</v>
      </c>
      <c r="Y678" s="1031" t="s">
        <v>364</v>
      </c>
      <c r="Z678" s="1184">
        <v>0</v>
      </c>
      <c r="AA678" s="1194">
        <v>0</v>
      </c>
      <c r="AB678" s="600" t="s">
        <v>1280</v>
      </c>
      <c r="AC678" s="1192" t="str">
        <f>""</f>
        <v/>
      </c>
      <c r="AD678" s="985">
        <v>0</v>
      </c>
      <c r="AE678" s="1194" t="s">
        <v>368</v>
      </c>
      <c r="AF678" s="985" t="s">
        <v>369</v>
      </c>
      <c r="AG678" s="985">
        <v>0</v>
      </c>
      <c r="AH678" s="985">
        <v>0</v>
      </c>
      <c r="AI678" s="985">
        <v>0</v>
      </c>
      <c r="AJ678" s="1193">
        <f>VLOOKUP($I678,'Price List, Weapons &amp; Items'!B:F,5,0)</f>
        <v>0</v>
      </c>
      <c r="AK678" s="1193">
        <f t="shared" si="147"/>
        <v>0</v>
      </c>
      <c r="AL678" s="1193">
        <f t="shared" si="148"/>
        <v>0</v>
      </c>
      <c r="AM678" s="1193">
        <f t="shared" si="149"/>
        <v>0</v>
      </c>
      <c r="AN678" s="1194" t="str">
        <f>VLOOKUP($I678,'Price List, Weapons &amp; Items'!B:L,COLUMN('Price List, Weapons &amp; Items'!$J$11)-1,0)</f>
        <v>Online marketplaces and stores</v>
      </c>
      <c r="AO678" s="1194" t="str">
        <f>IF(I678=".",".",VLOOKUP($I678,'Price List, Weapons &amp; Items'!B:J,3,0))</f>
        <v>Military equipment</v>
      </c>
      <c r="AP678" s="1195" t="str">
        <f t="shared" ca="1" si="143"/>
        <v/>
      </c>
      <c r="AQ678" s="1194">
        <f>VLOOKUP($I678,'Price List, Weapons &amp; Items'!B:L,COLUMN('Price List, Weapons &amp; Items'!$L$11)-1,0)</f>
        <v>1</v>
      </c>
      <c r="AR678" s="1194">
        <f t="shared" si="150"/>
        <v>1</v>
      </c>
      <c r="AS678" s="1194">
        <f t="shared" si="151"/>
        <v>1</v>
      </c>
      <c r="AT678" s="1194" t="str">
        <f t="shared" si="152"/>
        <v>Value is not in date format</v>
      </c>
      <c r="AU678" s="1194" t="str">
        <f t="shared" si="153"/>
        <v>.</v>
      </c>
      <c r="AV678" s="1194" t="str">
        <f t="shared" si="144"/>
        <v>.</v>
      </c>
      <c r="AW678" s="1194" t="str">
        <f t="shared" si="154"/>
        <v>.</v>
      </c>
      <c r="AX678" s="1194">
        <f>IFERROR(VLOOKUP(B678,'Share, Heavy Weapons to Ukraine'!B:Z,COLUMN('Share, Heavy Weapons to Ukraine'!C688)-1,0),0)</f>
        <v>0</v>
      </c>
      <c r="AY678" s="1194">
        <f>VLOOKUP('Bilateral Assistance, MAIN DATA'!B678,'Country Summary (€)'!B:F,COLUMN('Country Summary (€)'!C689)-1,FALSE)</f>
        <v>1</v>
      </c>
      <c r="AZ678" s="1194" t="str">
        <f>IF(AND(AD678=1,D678="Military",H678&lt;&gt;"Not given")=TRUE,IF(SUMIFS(P:P,A:A,A678)&gt;0,ABS((SUMIFS(P:P,A:A,A678)/VLOOKUP("USD",'Exchange Rates'!B:C,2,0)))/S678,"."),".")</f>
        <v>.</v>
      </c>
      <c r="BA678" s="1196" t="str">
        <f>IF(AND(AD678=1,D678="Military",H678&lt;&gt;"Not given")=TRUE,IF(SUMIFS(P:P,A:A,A678)&gt;0,IF((ABS((SUMIFS(P:P,A:A,A678)/VLOOKUP("USD",'Exchange Rates'!B:C,2,0)))/S678)&gt;1,(SUMIFS(P:P,A:A,A678)-S678)/S678,(S678-SUMIFS(P:P,A:A,A678))/SUMIFS(P:P,A:A,A678)),"."),".")</f>
        <v>.</v>
      </c>
    </row>
    <row r="679" spans="1:53" ht="15.95" customHeight="1">
      <c r="A679" s="1180" t="s">
        <v>1884</v>
      </c>
      <c r="B679" s="1182" t="s">
        <v>1711</v>
      </c>
      <c r="C679" s="1181" t="s">
        <v>1797</v>
      </c>
      <c r="D679" s="1182" t="s">
        <v>389</v>
      </c>
      <c r="E679" s="1182" t="s">
        <v>1676</v>
      </c>
      <c r="F679" s="1263" t="s">
        <v>1885</v>
      </c>
      <c r="G679" s="1184" t="s">
        <v>483</v>
      </c>
      <c r="H679" s="1185">
        <v>600000000</v>
      </c>
      <c r="I679" s="1266" t="s">
        <v>1921</v>
      </c>
      <c r="J679" s="1186" t="str">
        <f>VLOOKUP($I679,'Price List, Weapons &amp; Items'!B:C,2,0)</f>
        <v>Military equipment</v>
      </c>
      <c r="K679" s="1186" t="str">
        <f>IF(I679=".",I679,VLOOKUP($I679,'Price List, Weapons &amp; Items'!B:D,3,0))</f>
        <v>Military equipment</v>
      </c>
      <c r="L679" s="1187">
        <f>VLOOKUP(I679,'Price List, Weapons &amp; Items'!B:E,4,0)</f>
        <v>0</v>
      </c>
      <c r="M679" s="1188">
        <v>3000</v>
      </c>
      <c r="N679" s="1188">
        <v>3000</v>
      </c>
      <c r="O679" s="1188">
        <f>VLOOKUP($I679,'Price List, Weapons &amp; Items'!B:G,6,0)</f>
        <v>69</v>
      </c>
      <c r="P679" s="1185">
        <f t="shared" si="145"/>
        <v>207000</v>
      </c>
      <c r="Q679" s="1185">
        <f t="shared" si="146"/>
        <v>207000</v>
      </c>
      <c r="R679" s="1185" t="str">
        <f t="shared" si="142"/>
        <v/>
      </c>
      <c r="S679" s="1185" t="str">
        <f>IF(AND(AD679=1,R679&lt;&gt;".")=TRUE,R679/VLOOKUP(G679,'Exchange Rates'!B:C,2,0),IF(R679=".",".",""))</f>
        <v/>
      </c>
      <c r="T679" s="1185" t="str">
        <f>IF(AD679=1,IF(AF679="Value is not given at all",".",IF(AF679="Value is given by the source",S679,IF(AF679="Value is calculated with prices",(IF(SUMIFS(Q:Q,A:A,A679)&gt;0,SUMIFS(Q:Q,A:A,A679),"."))/VLOOKUP("USD",'Exchange Rates'!B:C,2,0),"Error with coding"))),"")</f>
        <v/>
      </c>
      <c r="U679" s="1184" t="s">
        <v>365</v>
      </c>
      <c r="V679" s="972" t="s">
        <v>1782</v>
      </c>
      <c r="W679" s="966" t="s">
        <v>1280</v>
      </c>
      <c r="X679" s="1031" t="s">
        <v>364</v>
      </c>
      <c r="Y679" s="1031" t="s">
        <v>364</v>
      </c>
      <c r="Z679" s="1184">
        <v>0</v>
      </c>
      <c r="AA679" s="1194">
        <v>0</v>
      </c>
      <c r="AB679" s="600" t="s">
        <v>1280</v>
      </c>
      <c r="AC679" s="1192" t="str">
        <f>""</f>
        <v/>
      </c>
      <c r="AD679" s="985">
        <v>0</v>
      </c>
      <c r="AE679" s="1194" t="s">
        <v>368</v>
      </c>
      <c r="AF679" s="985" t="s">
        <v>369</v>
      </c>
      <c r="AG679" s="985">
        <v>0</v>
      </c>
      <c r="AH679" s="985">
        <v>0</v>
      </c>
      <c r="AI679" s="985">
        <v>0</v>
      </c>
      <c r="AJ679" s="1193">
        <f>VLOOKUP($I679,'Price List, Weapons &amp; Items'!B:F,5,0)</f>
        <v>0</v>
      </c>
      <c r="AK679" s="1193">
        <f t="shared" si="147"/>
        <v>0</v>
      </c>
      <c r="AL679" s="1193">
        <f t="shared" si="148"/>
        <v>0</v>
      </c>
      <c r="AM679" s="1193">
        <f t="shared" si="149"/>
        <v>0</v>
      </c>
      <c r="AN679" s="1194" t="str">
        <f>VLOOKUP($I679,'Price List, Weapons &amp; Items'!B:L,COLUMN('Price List, Weapons &amp; Items'!$J$11)-1,0)</f>
        <v>Online marketplaces and stores</v>
      </c>
      <c r="AO679" s="1194" t="str">
        <f>IF(I679=".",".",VLOOKUP($I679,'Price List, Weapons &amp; Items'!B:J,3,0))</f>
        <v>Military equipment</v>
      </c>
      <c r="AP679" s="1195" t="str">
        <f t="shared" ca="1" si="143"/>
        <v/>
      </c>
      <c r="AQ679" s="1194">
        <f>VLOOKUP($I679,'Price List, Weapons &amp; Items'!B:L,COLUMN('Price List, Weapons &amp; Items'!$L$11)-1,0)</f>
        <v>1</v>
      </c>
      <c r="AR679" s="1194">
        <f t="shared" si="150"/>
        <v>1</v>
      </c>
      <c r="AS679" s="1194">
        <f t="shared" si="151"/>
        <v>1</v>
      </c>
      <c r="AT679" s="1194" t="str">
        <f t="shared" si="152"/>
        <v>Value is not in date format</v>
      </c>
      <c r="AU679" s="1194" t="str">
        <f t="shared" si="153"/>
        <v>.</v>
      </c>
      <c r="AV679" s="1194" t="str">
        <f t="shared" si="144"/>
        <v>.</v>
      </c>
      <c r="AW679" s="1194" t="str">
        <f t="shared" si="154"/>
        <v>.</v>
      </c>
      <c r="AX679" s="1194">
        <f>IFERROR(VLOOKUP(B679,'Share, Heavy Weapons to Ukraine'!B:Z,COLUMN('Share, Heavy Weapons to Ukraine'!C689)-1,0),0)</f>
        <v>0</v>
      </c>
      <c r="AY679" s="1194">
        <f>VLOOKUP('Bilateral Assistance, MAIN DATA'!B679,'Country Summary (€)'!B:F,COLUMN('Country Summary (€)'!C690)-1,FALSE)</f>
        <v>1</v>
      </c>
      <c r="AZ679" s="1194" t="str">
        <f>IF(AND(AD679=1,D679="Military",H679&lt;&gt;"Not given")=TRUE,IF(SUMIFS(P:P,A:A,A679)&gt;0,ABS((SUMIFS(P:P,A:A,A679)/VLOOKUP("USD",'Exchange Rates'!B:C,2,0)))/S679,"."),".")</f>
        <v>.</v>
      </c>
      <c r="BA679" s="1196" t="str">
        <f>IF(AND(AD679=1,D679="Military",H679&lt;&gt;"Not given")=TRUE,IF(SUMIFS(P:P,A:A,A679)&gt;0,IF((ABS((SUMIFS(P:P,A:A,A679)/VLOOKUP("USD",'Exchange Rates'!B:C,2,0)))/S679)&gt;1,(SUMIFS(P:P,A:A,A679)-S679)/S679,(S679-SUMIFS(P:P,A:A,A679))/SUMIFS(P:P,A:A,A679)),"."),".")</f>
        <v>.</v>
      </c>
    </row>
    <row r="680" spans="1:53" ht="15.95" customHeight="1">
      <c r="A680" s="1180" t="s">
        <v>1884</v>
      </c>
      <c r="B680" s="1182" t="s">
        <v>1711</v>
      </c>
      <c r="C680" s="1181" t="s">
        <v>1797</v>
      </c>
      <c r="D680" s="1182" t="s">
        <v>389</v>
      </c>
      <c r="E680" s="1182" t="s">
        <v>1676</v>
      </c>
      <c r="F680" s="1263" t="s">
        <v>1885</v>
      </c>
      <c r="G680" s="1184" t="s">
        <v>483</v>
      </c>
      <c r="H680" s="1185">
        <v>600000000</v>
      </c>
      <c r="I680" s="1266" t="s">
        <v>1922</v>
      </c>
      <c r="J680" s="1186" t="str">
        <f>VLOOKUP($I680,'Price List, Weapons &amp; Items'!B:C,2,0)</f>
        <v>Military equipment</v>
      </c>
      <c r="K680" s="1186" t="str">
        <f>IF(I680=".",I680,VLOOKUP($I680,'Price List, Weapons &amp; Items'!B:D,3,0))</f>
        <v>Military equipment</v>
      </c>
      <c r="L680" s="1187">
        <f>VLOOKUP(I680,'Price List, Weapons &amp; Items'!B:E,4,0)</f>
        <v>0</v>
      </c>
      <c r="M680" s="1188">
        <v>5000</v>
      </c>
      <c r="N680" s="1188">
        <v>5000</v>
      </c>
      <c r="O680" s="1188">
        <f>VLOOKUP($I680,'Price List, Weapons &amp; Items'!B:G,6,0)</f>
        <v>34.99</v>
      </c>
      <c r="P680" s="1185">
        <f t="shared" si="145"/>
        <v>174950</v>
      </c>
      <c r="Q680" s="1185">
        <f t="shared" si="146"/>
        <v>174950</v>
      </c>
      <c r="R680" s="1185" t="str">
        <f t="shared" si="142"/>
        <v/>
      </c>
      <c r="S680" s="1185" t="str">
        <f>IF(AND(AD680=1,R680&lt;&gt;".")=TRUE,R680/VLOOKUP(G680,'Exchange Rates'!B:C,2,0),IF(R680=".",".",""))</f>
        <v/>
      </c>
      <c r="T680" s="1185" t="str">
        <f>IF(AD680=1,IF(AF680="Value is not given at all",".",IF(AF680="Value is given by the source",S680,IF(AF680="Value is calculated with prices",(IF(SUMIFS(Q:Q,A:A,A680)&gt;0,SUMIFS(Q:Q,A:A,A680),"."))/VLOOKUP("USD",'Exchange Rates'!B:C,2,0),"Error with coding"))),"")</f>
        <v/>
      </c>
      <c r="U680" s="1184" t="s">
        <v>365</v>
      </c>
      <c r="V680" s="972" t="s">
        <v>1782</v>
      </c>
      <c r="W680" s="987" t="s">
        <v>1280</v>
      </c>
      <c r="X680" s="1031" t="s">
        <v>364</v>
      </c>
      <c r="Y680" s="1031" t="s">
        <v>364</v>
      </c>
      <c r="Z680" s="1184">
        <v>0</v>
      </c>
      <c r="AA680" s="1194">
        <v>0</v>
      </c>
      <c r="AB680" s="600" t="s">
        <v>1280</v>
      </c>
      <c r="AC680" s="1192" t="str">
        <f>""</f>
        <v/>
      </c>
      <c r="AD680" s="985">
        <v>0</v>
      </c>
      <c r="AE680" s="1194" t="s">
        <v>368</v>
      </c>
      <c r="AF680" s="985" t="s">
        <v>369</v>
      </c>
      <c r="AG680" s="985">
        <v>0</v>
      </c>
      <c r="AH680" s="985">
        <v>0</v>
      </c>
      <c r="AI680" s="985">
        <v>0</v>
      </c>
      <c r="AJ680" s="1193">
        <f>VLOOKUP($I680,'Price List, Weapons &amp; Items'!B:F,5,0)</f>
        <v>0</v>
      </c>
      <c r="AK680" s="1193">
        <f t="shared" si="147"/>
        <v>0</v>
      </c>
      <c r="AL680" s="1193">
        <f t="shared" si="148"/>
        <v>0</v>
      </c>
      <c r="AM680" s="1193">
        <f t="shared" si="149"/>
        <v>0</v>
      </c>
      <c r="AN680" s="1194" t="str">
        <f>VLOOKUP($I680,'Price List, Weapons &amp; Items'!B:L,COLUMN('Price List, Weapons &amp; Items'!$J$11)-1,0)</f>
        <v>Online marketplaces and stores</v>
      </c>
      <c r="AO680" s="1194" t="str">
        <f>IF(I680=".",".",VLOOKUP($I680,'Price List, Weapons &amp; Items'!B:J,3,0))</f>
        <v>Military equipment</v>
      </c>
      <c r="AP680" s="1195" t="str">
        <f t="shared" ca="1" si="143"/>
        <v/>
      </c>
      <c r="AQ680" s="1194">
        <f>VLOOKUP($I680,'Price List, Weapons &amp; Items'!B:L,COLUMN('Price List, Weapons &amp; Items'!$L$11)-1,0)</f>
        <v>1</v>
      </c>
      <c r="AR680" s="1194">
        <f t="shared" si="150"/>
        <v>1</v>
      </c>
      <c r="AS680" s="1194">
        <f t="shared" si="151"/>
        <v>1</v>
      </c>
      <c r="AT680" s="1194" t="str">
        <f t="shared" si="152"/>
        <v>Value is not in date format</v>
      </c>
      <c r="AU680" s="1194" t="str">
        <f t="shared" si="153"/>
        <v>.</v>
      </c>
      <c r="AV680" s="1194" t="str">
        <f t="shared" si="144"/>
        <v>.</v>
      </c>
      <c r="AW680" s="1194" t="str">
        <f t="shared" si="154"/>
        <v>.</v>
      </c>
      <c r="AX680" s="1194">
        <f>IFERROR(VLOOKUP(B680,'Share, Heavy Weapons to Ukraine'!B:Z,COLUMN('Share, Heavy Weapons to Ukraine'!C690)-1,0),0)</f>
        <v>0</v>
      </c>
      <c r="AY680" s="1194">
        <f>VLOOKUP('Bilateral Assistance, MAIN DATA'!B680,'Country Summary (€)'!B:F,COLUMN('Country Summary (€)'!C691)-1,FALSE)</f>
        <v>1</v>
      </c>
      <c r="AZ680" s="1194" t="str">
        <f>IF(AND(AD680=1,D680="Military",H680&lt;&gt;"Not given")=TRUE,IF(SUMIFS(P:P,A:A,A680)&gt;0,ABS((SUMIFS(P:P,A:A,A680)/VLOOKUP("USD",'Exchange Rates'!B:C,2,0)))/S680,"."),".")</f>
        <v>.</v>
      </c>
      <c r="BA680" s="1196" t="str">
        <f>IF(AND(AD680=1,D680="Military",H680&lt;&gt;"Not given")=TRUE,IF(SUMIFS(P:P,A:A,A680)&gt;0,IF((ABS((SUMIFS(P:P,A:A,A680)/VLOOKUP("USD",'Exchange Rates'!B:C,2,0)))/S680)&gt;1,(SUMIFS(P:P,A:A,A680)-S680)/S680,(S680-SUMIFS(P:P,A:A,A680))/SUMIFS(P:P,A:A,A680)),"."),".")</f>
        <v>.</v>
      </c>
    </row>
    <row r="681" spans="1:53" ht="15.95" customHeight="1">
      <c r="A681" s="1180" t="s">
        <v>1884</v>
      </c>
      <c r="B681" s="1182" t="s">
        <v>1711</v>
      </c>
      <c r="C681" s="1181" t="s">
        <v>1797</v>
      </c>
      <c r="D681" s="1182" t="s">
        <v>389</v>
      </c>
      <c r="E681" s="1182" t="s">
        <v>1676</v>
      </c>
      <c r="F681" s="1263" t="s">
        <v>1885</v>
      </c>
      <c r="G681" s="1184" t="s">
        <v>483</v>
      </c>
      <c r="H681" s="1185">
        <v>600000000</v>
      </c>
      <c r="I681" s="1266" t="s">
        <v>1923</v>
      </c>
      <c r="J681" s="1186" t="str">
        <f>VLOOKUP($I681,'Price List, Weapons &amp; Items'!B:C,2,0)</f>
        <v>humanitarian</v>
      </c>
      <c r="K681" s="1186" t="str">
        <f>IF(I681=".",I681,VLOOKUP($I681,'Price List, Weapons &amp; Items'!B:D,3,0))</f>
        <v>Humanitarian</v>
      </c>
      <c r="L681" s="1187">
        <f>VLOOKUP(I681,'Price List, Weapons &amp; Items'!B:E,4,0)</f>
        <v>0</v>
      </c>
      <c r="M681" s="1188" t="s">
        <v>374</v>
      </c>
      <c r="N681" s="1188" t="s">
        <v>374</v>
      </c>
      <c r="O681" s="1188" t="str">
        <f>VLOOKUP($I681,'Price List, Weapons &amp; Items'!B:G,6,0)</f>
        <v>.</v>
      </c>
      <c r="P681" s="1185" t="str">
        <f t="shared" si="145"/>
        <v>.</v>
      </c>
      <c r="Q681" s="1185" t="str">
        <f t="shared" si="146"/>
        <v>.</v>
      </c>
      <c r="R681" s="1185" t="str">
        <f t="shared" si="142"/>
        <v/>
      </c>
      <c r="S681" s="1185" t="str">
        <f>IF(AND(AD681=1,R681&lt;&gt;".")=TRUE,R681/VLOOKUP(G681,'Exchange Rates'!B:C,2,0),IF(R681=".",".",""))</f>
        <v/>
      </c>
      <c r="T681" s="1185" t="str">
        <f>IF(AD681=1,IF(AF681="Value is not given at all",".",IF(AF681="Value is given by the source",S681,IF(AF681="Value is calculated with prices",(IF(SUMIFS(Q:Q,A:A,A681)&gt;0,SUMIFS(Q:Q,A:A,A681),"."))/VLOOKUP("USD",'Exchange Rates'!B:C,2,0),"Error with coding"))),"")</f>
        <v/>
      </c>
      <c r="U681" s="1184" t="s">
        <v>365</v>
      </c>
      <c r="V681" s="972" t="s">
        <v>1782</v>
      </c>
      <c r="W681" s="966" t="s">
        <v>1280</v>
      </c>
      <c r="X681" s="1031" t="s">
        <v>364</v>
      </c>
      <c r="Y681" s="1031" t="s">
        <v>364</v>
      </c>
      <c r="Z681" s="1184">
        <v>0</v>
      </c>
      <c r="AA681" s="1194">
        <v>0</v>
      </c>
      <c r="AB681" s="600" t="s">
        <v>1280</v>
      </c>
      <c r="AC681" s="1192" t="str">
        <f>""</f>
        <v/>
      </c>
      <c r="AD681" s="985">
        <v>0</v>
      </c>
      <c r="AE681" s="1194" t="s">
        <v>368</v>
      </c>
      <c r="AF681" s="985" t="s">
        <v>369</v>
      </c>
      <c r="AG681" s="985">
        <v>0</v>
      </c>
      <c r="AH681" s="985">
        <v>0</v>
      </c>
      <c r="AI681" s="985">
        <v>0</v>
      </c>
      <c r="AJ681" s="1193">
        <f>VLOOKUP($I681,'Price List, Weapons &amp; Items'!B:F,5,0)</f>
        <v>0</v>
      </c>
      <c r="AK681" s="1193">
        <f t="shared" si="147"/>
        <v>0</v>
      </c>
      <c r="AL681" s="1193">
        <f t="shared" si="148"/>
        <v>0</v>
      </c>
      <c r="AM681" s="1193">
        <f t="shared" si="149"/>
        <v>0</v>
      </c>
      <c r="AN681" s="1194" t="str">
        <f>VLOOKUP($I681,'Price List, Weapons &amp; Items'!B:L,COLUMN('Price List, Weapons &amp; Items'!$J$11)-1,0)</f>
        <v>.</v>
      </c>
      <c r="AO681" s="1194" t="str">
        <f>IF(I681=".",".",VLOOKUP($I681,'Price List, Weapons &amp; Items'!B:J,3,0))</f>
        <v>Humanitarian</v>
      </c>
      <c r="AP681" s="1195" t="str">
        <f t="shared" ca="1" si="143"/>
        <v/>
      </c>
      <c r="AQ681" s="1194">
        <f>VLOOKUP($I681,'Price List, Weapons &amp; Items'!B:L,COLUMN('Price List, Weapons &amp; Items'!$L$11)-1,0)</f>
        <v>0</v>
      </c>
      <c r="AR681" s="1194">
        <f t="shared" si="150"/>
        <v>1</v>
      </c>
      <c r="AS681" s="1194">
        <f t="shared" si="151"/>
        <v>1</v>
      </c>
      <c r="AT681" s="1194" t="str">
        <f t="shared" si="152"/>
        <v>Value is not in date format</v>
      </c>
      <c r="AU681" s="1194" t="str">
        <f t="shared" si="153"/>
        <v>.</v>
      </c>
      <c r="AV681" s="1194" t="str">
        <f t="shared" si="144"/>
        <v>.</v>
      </c>
      <c r="AW681" s="1194" t="str">
        <f t="shared" si="154"/>
        <v>.</v>
      </c>
      <c r="AX681" s="1194">
        <f>IFERROR(VLOOKUP(B681,'Share, Heavy Weapons to Ukraine'!B:Z,COLUMN('Share, Heavy Weapons to Ukraine'!C691)-1,0),0)</f>
        <v>0</v>
      </c>
      <c r="AY681" s="1194">
        <f>VLOOKUP('Bilateral Assistance, MAIN DATA'!B681,'Country Summary (€)'!B:F,COLUMN('Country Summary (€)'!C692)-1,FALSE)</f>
        <v>1</v>
      </c>
      <c r="AZ681" s="1194" t="str">
        <f>IF(AND(AD681=1,D681="Military",H681&lt;&gt;"Not given")=TRUE,IF(SUMIFS(P:P,A:A,A681)&gt;0,ABS((SUMIFS(P:P,A:A,A681)/VLOOKUP("USD",'Exchange Rates'!B:C,2,0)))/S681,"."),".")</f>
        <v>.</v>
      </c>
      <c r="BA681" s="1196" t="str">
        <f>IF(AND(AD681=1,D681="Military",H681&lt;&gt;"Not given")=TRUE,IF(SUMIFS(P:P,A:A,A681)&gt;0,IF((ABS((SUMIFS(P:P,A:A,A681)/VLOOKUP("USD",'Exchange Rates'!B:C,2,0)))/S681)&gt;1,(SUMIFS(P:P,A:A,A681)-S681)/S681,(S681-SUMIFS(P:P,A:A,A681))/SUMIFS(P:P,A:A,A681)),"."),".")</f>
        <v>.</v>
      </c>
    </row>
    <row r="682" spans="1:53" ht="15.95" customHeight="1">
      <c r="A682" s="1180" t="s">
        <v>1884</v>
      </c>
      <c r="B682" s="1182" t="s">
        <v>1711</v>
      </c>
      <c r="C682" s="1181" t="s">
        <v>1797</v>
      </c>
      <c r="D682" s="1182" t="s">
        <v>389</v>
      </c>
      <c r="E682" s="1182" t="s">
        <v>1676</v>
      </c>
      <c r="F682" s="1263" t="s">
        <v>1885</v>
      </c>
      <c r="G682" s="1184" t="s">
        <v>483</v>
      </c>
      <c r="H682" s="1185">
        <v>600000000</v>
      </c>
      <c r="I682" s="1266" t="s">
        <v>1924</v>
      </c>
      <c r="J682" s="1186" t="str">
        <f>VLOOKUP($I682,'Price List, Weapons &amp; Items'!B:C,2,0)</f>
        <v>humanitarian</v>
      </c>
      <c r="K682" s="1186" t="str">
        <f>IF(I682=".",I682,VLOOKUP($I682,'Price List, Weapons &amp; Items'!B:D,3,0))</f>
        <v>Humanitarian</v>
      </c>
      <c r="L682" s="1187">
        <f>VLOOKUP(I682,'Price List, Weapons &amp; Items'!B:E,4,0)</f>
        <v>0</v>
      </c>
      <c r="M682" s="1188">
        <v>6</v>
      </c>
      <c r="N682" s="1188">
        <v>6</v>
      </c>
      <c r="O682" s="1188">
        <f>VLOOKUP($I682,'Price List, Weapons &amp; Items'!B:G,6,0)</f>
        <v>600000</v>
      </c>
      <c r="P682" s="1185">
        <f t="shared" si="145"/>
        <v>3600000</v>
      </c>
      <c r="Q682" s="1185">
        <f t="shared" si="146"/>
        <v>3600000</v>
      </c>
      <c r="R682" s="1185" t="str">
        <f t="shared" si="142"/>
        <v/>
      </c>
      <c r="S682" s="1185" t="str">
        <f>IF(AND(AD682=1,R682&lt;&gt;".")=TRUE,R682/VLOOKUP(G682,'Exchange Rates'!B:C,2,0),IF(R682=".",".",""))</f>
        <v/>
      </c>
      <c r="T682" s="1185" t="str">
        <f>IF(AD682=1,IF(AF682="Value is not given at all",".",IF(AF682="Value is given by the source",S682,IF(AF682="Value is calculated with prices",(IF(SUMIFS(Q:Q,A:A,A682)&gt;0,SUMIFS(Q:Q,A:A,A682),"."))/VLOOKUP("USD",'Exchange Rates'!B:C,2,0),"Error with coding"))),"")</f>
        <v/>
      </c>
      <c r="U682" s="1184" t="s">
        <v>365</v>
      </c>
      <c r="V682" s="972" t="s">
        <v>1782</v>
      </c>
      <c r="W682" s="987" t="s">
        <v>1280</v>
      </c>
      <c r="X682" s="1031" t="s">
        <v>364</v>
      </c>
      <c r="Y682" s="1031" t="s">
        <v>364</v>
      </c>
      <c r="Z682" s="1184">
        <v>0</v>
      </c>
      <c r="AA682" s="1194">
        <v>0</v>
      </c>
      <c r="AB682" s="600" t="s">
        <v>1280</v>
      </c>
      <c r="AC682" s="1192" t="str">
        <f>""</f>
        <v/>
      </c>
      <c r="AD682" s="985">
        <v>0</v>
      </c>
      <c r="AE682" s="1194" t="s">
        <v>368</v>
      </c>
      <c r="AF682" s="985" t="s">
        <v>369</v>
      </c>
      <c r="AG682" s="985">
        <v>0</v>
      </c>
      <c r="AH682" s="985">
        <v>0</v>
      </c>
      <c r="AI682" s="985">
        <v>0</v>
      </c>
      <c r="AJ682" s="1193">
        <f>VLOOKUP($I682,'Price List, Weapons &amp; Items'!B:F,5,0)</f>
        <v>0</v>
      </c>
      <c r="AK682" s="1193">
        <f t="shared" si="147"/>
        <v>0</v>
      </c>
      <c r="AL682" s="1193">
        <f t="shared" si="148"/>
        <v>0</v>
      </c>
      <c r="AM682" s="1193">
        <f t="shared" si="149"/>
        <v>0</v>
      </c>
      <c r="AN682" s="1194" t="str">
        <f>VLOOKUP($I682,'Price List, Weapons &amp; Items'!B:L,COLUMN('Price List, Weapons &amp; Items'!$J$11)-1,0)</f>
        <v>Government information</v>
      </c>
      <c r="AO682" s="1194" t="str">
        <f>IF(I682=".",".",VLOOKUP($I682,'Price List, Weapons &amp; Items'!B:J,3,0))</f>
        <v>Humanitarian</v>
      </c>
      <c r="AP682" s="1195" t="str">
        <f t="shared" ca="1" si="143"/>
        <v/>
      </c>
      <c r="AQ682" s="1194">
        <f>VLOOKUP($I682,'Price List, Weapons &amp; Items'!B:L,COLUMN('Price List, Weapons &amp; Items'!$L$11)-1,0)</f>
        <v>0</v>
      </c>
      <c r="AR682" s="1194">
        <f t="shared" si="150"/>
        <v>1</v>
      </c>
      <c r="AS682" s="1194">
        <f t="shared" si="151"/>
        <v>1</v>
      </c>
      <c r="AT682" s="1194" t="str">
        <f t="shared" si="152"/>
        <v>Value is not in date format</v>
      </c>
      <c r="AU682" s="1194" t="str">
        <f t="shared" si="153"/>
        <v>.</v>
      </c>
      <c r="AV682" s="1194" t="str">
        <f t="shared" si="144"/>
        <v>.</v>
      </c>
      <c r="AW682" s="1194" t="str">
        <f t="shared" si="154"/>
        <v>.</v>
      </c>
      <c r="AX682" s="1194">
        <f>IFERROR(VLOOKUP(B682,'Share, Heavy Weapons to Ukraine'!B:Z,COLUMN('Share, Heavy Weapons to Ukraine'!C692)-1,0),0)</f>
        <v>0</v>
      </c>
      <c r="AY682" s="1194">
        <f>VLOOKUP('Bilateral Assistance, MAIN DATA'!B682,'Country Summary (€)'!B:F,COLUMN('Country Summary (€)'!C693)-1,FALSE)</f>
        <v>1</v>
      </c>
      <c r="AZ682" s="1194" t="str">
        <f>IF(AND(AD682=1,D682="Military",H682&lt;&gt;"Not given")=TRUE,IF(SUMIFS(P:P,A:A,A682)&gt;0,ABS((SUMIFS(P:P,A:A,A682)/VLOOKUP("USD",'Exchange Rates'!B:C,2,0)))/S682,"."),".")</f>
        <v>.</v>
      </c>
      <c r="BA682" s="1196" t="str">
        <f>IF(AND(AD682=1,D682="Military",H682&lt;&gt;"Not given")=TRUE,IF(SUMIFS(P:P,A:A,A682)&gt;0,IF((ABS((SUMIFS(P:P,A:A,A682)/VLOOKUP("USD",'Exchange Rates'!B:C,2,0)))/S682)&gt;1,(SUMIFS(P:P,A:A,A682)-S682)/S682,(S682-SUMIFS(P:P,A:A,A682))/SUMIFS(P:P,A:A,A682)),"."),".")</f>
        <v>.</v>
      </c>
    </row>
    <row r="683" spans="1:53" ht="15.95" customHeight="1">
      <c r="A683" s="1180" t="s">
        <v>1884</v>
      </c>
      <c r="B683" s="1182" t="s">
        <v>1711</v>
      </c>
      <c r="C683" s="1181" t="s">
        <v>1797</v>
      </c>
      <c r="D683" s="1182" t="s">
        <v>389</v>
      </c>
      <c r="E683" s="1182" t="s">
        <v>1676</v>
      </c>
      <c r="F683" s="1263" t="s">
        <v>1885</v>
      </c>
      <c r="G683" s="1184" t="s">
        <v>483</v>
      </c>
      <c r="H683" s="1185">
        <v>600000000</v>
      </c>
      <c r="I683" s="1266" t="s">
        <v>1925</v>
      </c>
      <c r="J683" s="1186" t="str">
        <f>VLOOKUP($I683,'Price List, Weapons &amp; Items'!B:C,2,0)</f>
        <v>Military equipment</v>
      </c>
      <c r="K683" s="1186" t="str">
        <f>IF(I683=".",I683,VLOOKUP($I683,'Price List, Weapons &amp; Items'!B:D,3,0))</f>
        <v>non combat military vehicle</v>
      </c>
      <c r="L683" s="1187">
        <f>VLOOKUP(I683,'Price List, Weapons &amp; Items'!B:E,4,0)</f>
        <v>0</v>
      </c>
      <c r="M683" s="1188">
        <v>26</v>
      </c>
      <c r="N683" s="1188">
        <v>26</v>
      </c>
      <c r="O683" s="1188">
        <f>VLOOKUP($I683,'Price List, Weapons &amp; Items'!B:G,6,0)</f>
        <v>350000</v>
      </c>
      <c r="P683" s="1185">
        <f t="shared" si="145"/>
        <v>9100000</v>
      </c>
      <c r="Q683" s="1185">
        <f t="shared" si="146"/>
        <v>9100000</v>
      </c>
      <c r="R683" s="1185" t="str">
        <f t="shared" si="142"/>
        <v/>
      </c>
      <c r="S683" s="1185" t="str">
        <f>IF(AND(AD683=1,R683&lt;&gt;".")=TRUE,R683/VLOOKUP(G683,'Exchange Rates'!B:C,2,0),IF(R683=".",".",""))</f>
        <v/>
      </c>
      <c r="T683" s="1185" t="str">
        <f>IF(AD683=1,IF(AF683="Value is not given at all",".",IF(AF683="Value is given by the source",S683,IF(AF683="Value is calculated with prices",(IF(SUMIFS(Q:Q,A:A,A683)&gt;0,SUMIFS(Q:Q,A:A,A683),"."))/VLOOKUP("USD",'Exchange Rates'!B:C,2,0),"Error with coding"))),"")</f>
        <v/>
      </c>
      <c r="U683" s="1184" t="s">
        <v>365</v>
      </c>
      <c r="V683" s="972" t="s">
        <v>1782</v>
      </c>
      <c r="W683" s="966" t="s">
        <v>1280</v>
      </c>
      <c r="X683" s="1031" t="s">
        <v>364</v>
      </c>
      <c r="Y683" s="1031" t="s">
        <v>364</v>
      </c>
      <c r="Z683" s="1184">
        <v>0</v>
      </c>
      <c r="AA683" s="1194">
        <v>0</v>
      </c>
      <c r="AB683" s="600" t="s">
        <v>1280</v>
      </c>
      <c r="AC683" s="1192" t="str">
        <f>""</f>
        <v/>
      </c>
      <c r="AD683" s="985">
        <v>0</v>
      </c>
      <c r="AE683" s="1194" t="s">
        <v>368</v>
      </c>
      <c r="AF683" s="985" t="s">
        <v>369</v>
      </c>
      <c r="AG683" s="985">
        <v>0</v>
      </c>
      <c r="AH683" s="985">
        <v>0</v>
      </c>
      <c r="AI683" s="985">
        <v>0</v>
      </c>
      <c r="AJ683" s="1193">
        <f>VLOOKUP($I683,'Price List, Weapons &amp; Items'!B:F,5,0)</f>
        <v>0</v>
      </c>
      <c r="AK683" s="1193">
        <f t="shared" si="147"/>
        <v>0</v>
      </c>
      <c r="AL683" s="1193">
        <f t="shared" si="148"/>
        <v>0</v>
      </c>
      <c r="AM683" s="1193">
        <f t="shared" si="149"/>
        <v>0</v>
      </c>
      <c r="AN683" s="1194" t="str">
        <f>VLOOKUP($I683,'Price List, Weapons &amp; Items'!B:L,COLUMN('Price List, Weapons &amp; Items'!$J$11)-1,0)</f>
        <v>Media reports (incl. social media)</v>
      </c>
      <c r="AO683" s="1194" t="str">
        <f>IF(I683=".",".",VLOOKUP($I683,'Price List, Weapons &amp; Items'!B:J,3,0))</f>
        <v>non combat military vehicle</v>
      </c>
      <c r="AP683" s="1195" t="str">
        <f t="shared" ca="1" si="143"/>
        <v/>
      </c>
      <c r="AQ683" s="1194">
        <f>VLOOKUP($I683,'Price List, Weapons &amp; Items'!B:L,COLUMN('Price List, Weapons &amp; Items'!$L$11)-1,0)</f>
        <v>2</v>
      </c>
      <c r="AR683" s="1194">
        <f t="shared" si="150"/>
        <v>1</v>
      </c>
      <c r="AS683" s="1194">
        <f t="shared" si="151"/>
        <v>1</v>
      </c>
      <c r="AT683" s="1194" t="str">
        <f t="shared" si="152"/>
        <v>Value is not in date format</v>
      </c>
      <c r="AU683" s="1194" t="str">
        <f t="shared" si="153"/>
        <v>.</v>
      </c>
      <c r="AV683" s="1194" t="str">
        <f t="shared" si="144"/>
        <v>.</v>
      </c>
      <c r="AW683" s="1194" t="str">
        <f t="shared" si="154"/>
        <v>.</v>
      </c>
      <c r="AX683" s="1194">
        <f>IFERROR(VLOOKUP(B683,'Share, Heavy Weapons to Ukraine'!B:Z,COLUMN('Share, Heavy Weapons to Ukraine'!C693)-1,0),0)</f>
        <v>0</v>
      </c>
      <c r="AY683" s="1194">
        <f>VLOOKUP('Bilateral Assistance, MAIN DATA'!B683,'Country Summary (€)'!B:F,COLUMN('Country Summary (€)'!C694)-1,FALSE)</f>
        <v>1</v>
      </c>
      <c r="AZ683" s="1194" t="str">
        <f>IF(AND(AD683=1,D683="Military",H683&lt;&gt;"Not given")=TRUE,IF(SUMIFS(P:P,A:A,A683)&gt;0,ABS((SUMIFS(P:P,A:A,A683)/VLOOKUP("USD",'Exchange Rates'!B:C,2,0)))/S683,"."),".")</f>
        <v>.</v>
      </c>
      <c r="BA683" s="1196" t="str">
        <f>IF(AND(AD683=1,D683="Military",H683&lt;&gt;"Not given")=TRUE,IF(SUMIFS(P:P,A:A,A683)&gt;0,IF((ABS((SUMIFS(P:P,A:A,A683)/VLOOKUP("USD",'Exchange Rates'!B:C,2,0)))/S683)&gt;1,(SUMIFS(P:P,A:A,A683)-S683)/S683,(S683-SUMIFS(P:P,A:A,A683))/SUMIFS(P:P,A:A,A683)),"."),".")</f>
        <v>.</v>
      </c>
    </row>
    <row r="684" spans="1:53" ht="15.95" customHeight="1">
      <c r="A684" s="1180" t="s">
        <v>1884</v>
      </c>
      <c r="B684" s="1182" t="s">
        <v>1711</v>
      </c>
      <c r="C684" s="1181" t="s">
        <v>1797</v>
      </c>
      <c r="D684" s="1182" t="s">
        <v>389</v>
      </c>
      <c r="E684" s="1182" t="s">
        <v>1676</v>
      </c>
      <c r="F684" s="1263" t="s">
        <v>1885</v>
      </c>
      <c r="G684" s="1184" t="s">
        <v>483</v>
      </c>
      <c r="H684" s="1185">
        <v>600000000</v>
      </c>
      <c r="I684" s="1266" t="s">
        <v>1926</v>
      </c>
      <c r="J684" s="1186" t="str">
        <f>VLOOKUP($I684,'Price List, Weapons &amp; Items'!B:C,2,0)</f>
        <v>Aviation and drones</v>
      </c>
      <c r="K684" s="1186" t="str">
        <f>IF(I684=".",I684,VLOOKUP($I684,'Price List, Weapons &amp; Items'!B:D,3,0))</f>
        <v>drone</v>
      </c>
      <c r="L684" s="1187">
        <f>VLOOKUP(I684,'Price List, Weapons &amp; Items'!B:E,4,0)</f>
        <v>0</v>
      </c>
      <c r="M684" s="1188">
        <v>5</v>
      </c>
      <c r="N684" s="1188">
        <v>0</v>
      </c>
      <c r="O684" s="1188">
        <f>VLOOKUP($I684,'Price List, Weapons &amp; Items'!B:G,6,0)</f>
        <v>1035567.45</v>
      </c>
      <c r="P684" s="1185">
        <f t="shared" si="145"/>
        <v>5177837.25</v>
      </c>
      <c r="Q684" s="1185">
        <f t="shared" si="146"/>
        <v>0</v>
      </c>
      <c r="R684" s="1185" t="str">
        <f t="shared" si="142"/>
        <v/>
      </c>
      <c r="S684" s="1185" t="str">
        <f>IF(AND(AD684=1,R684&lt;&gt;".")=TRUE,R684/VLOOKUP(G684,'Exchange Rates'!B:C,2,0),IF(R684=".",".",""))</f>
        <v/>
      </c>
      <c r="T684" s="1185" t="str">
        <f>IF(AD684=1,IF(AF684="Value is not given at all",".",IF(AF684="Value is given by the source",S684,IF(AF684="Value is calculated with prices",(IF(SUMIFS(Q:Q,A:A,A684)&gt;0,SUMIFS(Q:Q,A:A,A684),"."))/VLOOKUP("USD",'Exchange Rates'!B:C,2,0),"Error with coding"))),"")</f>
        <v/>
      </c>
      <c r="U684" s="1184" t="s">
        <v>365</v>
      </c>
      <c r="V684" s="972" t="s">
        <v>1782</v>
      </c>
      <c r="W684" s="987" t="s">
        <v>1280</v>
      </c>
      <c r="X684" s="1031" t="s">
        <v>364</v>
      </c>
      <c r="Y684" s="1031" t="s">
        <v>364</v>
      </c>
      <c r="Z684" s="1184">
        <v>0</v>
      </c>
      <c r="AA684" s="1194">
        <v>0</v>
      </c>
      <c r="AB684" s="600" t="s">
        <v>1280</v>
      </c>
      <c r="AC684" s="1192" t="str">
        <f>""</f>
        <v/>
      </c>
      <c r="AD684" s="985">
        <v>0</v>
      </c>
      <c r="AE684" s="1194" t="s">
        <v>368</v>
      </c>
      <c r="AF684" s="985" t="s">
        <v>369</v>
      </c>
      <c r="AG684" s="985">
        <v>0</v>
      </c>
      <c r="AH684" s="985">
        <v>0</v>
      </c>
      <c r="AI684" s="985">
        <v>0</v>
      </c>
      <c r="AJ684" s="1193">
        <f>VLOOKUP($I684,'Price List, Weapons &amp; Items'!B:F,5,0)</f>
        <v>0</v>
      </c>
      <c r="AK684" s="1193">
        <f t="shared" si="147"/>
        <v>0</v>
      </c>
      <c r="AL684" s="1193">
        <f t="shared" si="148"/>
        <v>0</v>
      </c>
      <c r="AM684" s="1193">
        <f t="shared" si="149"/>
        <v>0</v>
      </c>
      <c r="AN684" s="1194" t="str">
        <f>VLOOKUP($I684,'Price List, Weapons &amp; Items'!B:L,COLUMN('Price List, Weapons &amp; Items'!$J$11)-1,0)</f>
        <v>Miscellaneous</v>
      </c>
      <c r="AO684" s="1194" t="str">
        <f>IF(I684=".",".",VLOOKUP($I684,'Price List, Weapons &amp; Items'!B:J,3,0))</f>
        <v>drone</v>
      </c>
      <c r="AP684" s="1195" t="str">
        <f t="shared" ca="1" si="143"/>
        <v/>
      </c>
      <c r="AQ684" s="1194">
        <f>VLOOKUP($I684,'Price List, Weapons &amp; Items'!B:L,COLUMN('Price List, Weapons &amp; Items'!$L$11)-1,0)</f>
        <v>2</v>
      </c>
      <c r="AR684" s="1194">
        <f t="shared" si="150"/>
        <v>1</v>
      </c>
      <c r="AS684" s="1194">
        <f t="shared" si="151"/>
        <v>1</v>
      </c>
      <c r="AT684" s="1194" t="str">
        <f t="shared" si="152"/>
        <v>Value is not in date format</v>
      </c>
      <c r="AU684" s="1194" t="str">
        <f t="shared" si="153"/>
        <v>.</v>
      </c>
      <c r="AV684" s="1194" t="str">
        <f t="shared" si="144"/>
        <v>.</v>
      </c>
      <c r="AW684" s="1194" t="str">
        <f t="shared" si="154"/>
        <v>.</v>
      </c>
      <c r="AX684" s="1194">
        <f>IFERROR(VLOOKUP(B684,'Share, Heavy Weapons to Ukraine'!B:Z,COLUMN('Share, Heavy Weapons to Ukraine'!C694)-1,0),0)</f>
        <v>0</v>
      </c>
      <c r="AY684" s="1194">
        <f>VLOOKUP('Bilateral Assistance, MAIN DATA'!B684,'Country Summary (€)'!B:F,COLUMN('Country Summary (€)'!C695)-1,FALSE)</f>
        <v>1</v>
      </c>
      <c r="AZ684" s="1194" t="str">
        <f>IF(AND(AD684=1,D684="Military",H684&lt;&gt;"Not given")=TRUE,IF(SUMIFS(P:P,A:A,A684)&gt;0,ABS((SUMIFS(P:P,A:A,A684)/VLOOKUP("USD",'Exchange Rates'!B:C,2,0)))/S684,"."),".")</f>
        <v>.</v>
      </c>
      <c r="BA684" s="1196" t="str">
        <f>IF(AND(AD684=1,D684="Military",H684&lt;&gt;"Not given")=TRUE,IF(SUMIFS(P:P,A:A,A684)&gt;0,IF((ABS((SUMIFS(P:P,A:A,A684)/VLOOKUP("USD",'Exchange Rates'!B:C,2,0)))/S684)&gt;1,(SUMIFS(P:P,A:A,A684)-S684)/S684,(S684-SUMIFS(P:P,A:A,A684))/SUMIFS(P:P,A:A,A684)),"."),".")</f>
        <v>.</v>
      </c>
    </row>
    <row r="685" spans="1:53" ht="15.95" customHeight="1">
      <c r="A685" s="1180" t="s">
        <v>1884</v>
      </c>
      <c r="B685" s="1182" t="s">
        <v>1711</v>
      </c>
      <c r="C685" s="1181" t="s">
        <v>1797</v>
      </c>
      <c r="D685" s="1182" t="s">
        <v>389</v>
      </c>
      <c r="E685" s="1182" t="s">
        <v>1676</v>
      </c>
      <c r="F685" s="1263" t="s">
        <v>1885</v>
      </c>
      <c r="G685" s="1184" t="s">
        <v>483</v>
      </c>
      <c r="H685" s="1185">
        <v>600000000</v>
      </c>
      <c r="I685" s="1266" t="s">
        <v>1927</v>
      </c>
      <c r="J685" s="1186" t="str">
        <f>VLOOKUP($I685,'Price List, Weapons &amp; Items'!B:C,2,0)</f>
        <v>humanitarian</v>
      </c>
      <c r="K685" s="1186" t="str">
        <f>IF(I685=".",I685,VLOOKUP($I685,'Price List, Weapons &amp; Items'!B:D,3,0))</f>
        <v>Humanitarian</v>
      </c>
      <c r="L685" s="1187">
        <f>VLOOKUP(I685,'Price List, Weapons &amp; Items'!B:E,4,0)</f>
        <v>0</v>
      </c>
      <c r="M685" s="1188">
        <v>1</v>
      </c>
      <c r="N685" s="1188">
        <v>0</v>
      </c>
      <c r="O685" s="1188">
        <f>VLOOKUP($I685,'Price List, Weapons &amp; Items'!B:G,6,0)</f>
        <v>600000</v>
      </c>
      <c r="P685" s="1185">
        <f t="shared" si="145"/>
        <v>600000</v>
      </c>
      <c r="Q685" s="1185">
        <f t="shared" si="146"/>
        <v>0</v>
      </c>
      <c r="R685" s="1185" t="str">
        <f t="shared" si="142"/>
        <v/>
      </c>
      <c r="S685" s="1185" t="str">
        <f>IF(AND(AD685=1,R685&lt;&gt;".")=TRUE,R685/VLOOKUP(G685,'Exchange Rates'!B:C,2,0),IF(R685=".",".",""))</f>
        <v/>
      </c>
      <c r="T685" s="1185" t="str">
        <f>IF(AD685=1,IF(AF685="Value is not given at all",".",IF(AF685="Value is given by the source",S685,IF(AF685="Value is calculated with prices",(IF(SUMIFS(Q:Q,A:A,A685)&gt;0,SUMIFS(Q:Q,A:A,A685),"."))/VLOOKUP("USD",'Exchange Rates'!B:C,2,0),"Error with coding"))),"")</f>
        <v/>
      </c>
      <c r="U685" s="1184" t="s">
        <v>365</v>
      </c>
      <c r="V685" s="972" t="s">
        <v>1782</v>
      </c>
      <c r="W685" s="987" t="s">
        <v>1280</v>
      </c>
      <c r="X685" s="1031" t="s">
        <v>364</v>
      </c>
      <c r="Y685" s="1031" t="s">
        <v>364</v>
      </c>
      <c r="Z685" s="1184">
        <v>0</v>
      </c>
      <c r="AA685" s="1194">
        <v>0</v>
      </c>
      <c r="AB685" s="600" t="s">
        <v>1280</v>
      </c>
      <c r="AC685" s="1192" t="str">
        <f>""</f>
        <v/>
      </c>
      <c r="AD685" s="985">
        <v>0</v>
      </c>
      <c r="AE685" s="1194" t="s">
        <v>368</v>
      </c>
      <c r="AF685" s="985" t="s">
        <v>369</v>
      </c>
      <c r="AG685" s="985">
        <v>0</v>
      </c>
      <c r="AH685" s="985">
        <v>0</v>
      </c>
      <c r="AI685" s="985">
        <v>0</v>
      </c>
      <c r="AJ685" s="1193">
        <f>VLOOKUP($I685,'Price List, Weapons &amp; Items'!B:F,5,0)</f>
        <v>0</v>
      </c>
      <c r="AK685" s="1193">
        <f t="shared" si="147"/>
        <v>0</v>
      </c>
      <c r="AL685" s="1193">
        <f t="shared" si="148"/>
        <v>0</v>
      </c>
      <c r="AM685" s="1193">
        <f t="shared" si="149"/>
        <v>0</v>
      </c>
      <c r="AN685" s="1194" t="str">
        <f>VLOOKUP($I685,'Price List, Weapons &amp; Items'!B:L,COLUMN('Price List, Weapons &amp; Items'!$J$11)-1,0)</f>
        <v>Government information</v>
      </c>
      <c r="AO685" s="1194" t="str">
        <f>IF(I685=".",".",VLOOKUP($I685,'Price List, Weapons &amp; Items'!B:J,3,0))</f>
        <v>Humanitarian</v>
      </c>
      <c r="AP685" s="1195" t="str">
        <f t="shared" ca="1" si="143"/>
        <v/>
      </c>
      <c r="AQ685" s="1194">
        <f>VLOOKUP($I685,'Price List, Weapons &amp; Items'!B:L,COLUMN('Price List, Weapons &amp; Items'!$L$11)-1,0)</f>
        <v>0</v>
      </c>
      <c r="AR685" s="1194">
        <f t="shared" si="150"/>
        <v>1</v>
      </c>
      <c r="AS685" s="1194">
        <f t="shared" si="151"/>
        <v>1</v>
      </c>
      <c r="AT685" s="1194" t="str">
        <f t="shared" si="152"/>
        <v>Value is not in date format</v>
      </c>
      <c r="AU685" s="1194" t="str">
        <f t="shared" si="153"/>
        <v>.</v>
      </c>
      <c r="AV685" s="1194" t="str">
        <f t="shared" si="144"/>
        <v>.</v>
      </c>
      <c r="AW685" s="1194" t="str">
        <f t="shared" si="154"/>
        <v>.</v>
      </c>
      <c r="AX685" s="1194">
        <f>IFERROR(VLOOKUP(B685,'Share, Heavy Weapons to Ukraine'!B:Z,COLUMN('Share, Heavy Weapons to Ukraine'!C695)-1,0),0)</f>
        <v>0</v>
      </c>
      <c r="AY685" s="1194">
        <f>VLOOKUP('Bilateral Assistance, MAIN DATA'!B685,'Country Summary (€)'!B:F,COLUMN('Country Summary (€)'!C696)-1,FALSE)</f>
        <v>1</v>
      </c>
      <c r="AZ685" s="1194" t="str">
        <f>IF(AND(AD685=1,D685="Military",H685&lt;&gt;"Not given")=TRUE,IF(SUMIFS(P:P,A:A,A685)&gt;0,ABS((SUMIFS(P:P,A:A,A685)/VLOOKUP("USD",'Exchange Rates'!B:C,2,0)))/S685,"."),".")</f>
        <v>.</v>
      </c>
      <c r="BA685" s="1196" t="str">
        <f>IF(AND(AD685=1,D685="Military",H685&lt;&gt;"Not given")=TRUE,IF(SUMIFS(P:P,A:A,A685)&gt;0,IF((ABS((SUMIFS(P:P,A:A,A685)/VLOOKUP("USD",'Exchange Rates'!B:C,2,0)))/S685)&gt;1,(SUMIFS(P:P,A:A,A685)-S685)/S685,(S685-SUMIFS(P:P,A:A,A685))/SUMIFS(P:P,A:A,A685)),"."),".")</f>
        <v>.</v>
      </c>
    </row>
    <row r="686" spans="1:53" ht="15.95" customHeight="1">
      <c r="A686" s="1180" t="s">
        <v>1884</v>
      </c>
      <c r="B686" s="1182" t="s">
        <v>1711</v>
      </c>
      <c r="C686" s="1181" t="s">
        <v>1797</v>
      </c>
      <c r="D686" s="1182" t="s">
        <v>389</v>
      </c>
      <c r="E686" s="1182" t="s">
        <v>1676</v>
      </c>
      <c r="F686" s="1263" t="s">
        <v>1885</v>
      </c>
      <c r="G686" s="1184" t="s">
        <v>483</v>
      </c>
      <c r="H686" s="1185">
        <v>600000000</v>
      </c>
      <c r="I686" s="1266" t="s">
        <v>1928</v>
      </c>
      <c r="J686" s="1186" t="str">
        <f>VLOOKUP($I686,'Price List, Weapons &amp; Items'!B:C,2,0)</f>
        <v>Portable defence system</v>
      </c>
      <c r="K686" s="1186" t="str">
        <f>IF(I686=".",I686,VLOOKUP($I686,'Price List, Weapons &amp; Items'!B:D,3,0))</f>
        <v>Light Anti-armor Weapon (LAW)</v>
      </c>
      <c r="L686" s="1187">
        <f>VLOOKUP(I686,'Price List, Weapons &amp; Items'!B:E,4,0)</f>
        <v>0</v>
      </c>
      <c r="M686" s="1188">
        <v>5032</v>
      </c>
      <c r="N686" s="1188">
        <v>0</v>
      </c>
      <c r="O686" s="1188">
        <f>VLOOKUP($I686,'Price List, Weapons &amp; Items'!B:G,6,0)</f>
        <v>40000</v>
      </c>
      <c r="P686" s="1185">
        <f t="shared" si="145"/>
        <v>201280000</v>
      </c>
      <c r="Q686" s="1185">
        <f t="shared" si="146"/>
        <v>0</v>
      </c>
      <c r="R686" s="1185" t="str">
        <f t="shared" si="142"/>
        <v/>
      </c>
      <c r="S686" s="1185" t="str">
        <f>IF(AND(AD686=1,R686&lt;&gt;".")=TRUE,R686/VLOOKUP(G686,'Exchange Rates'!B:C,2,0),IF(R686=".",".",""))</f>
        <v/>
      </c>
      <c r="T686" s="1185" t="str">
        <f>IF(AD686=1,IF(AF686="Value is not given at all",".",IF(AF686="Value is given by the source",S686,IF(AF686="Value is calculated with prices",(IF(SUMIFS(Q:Q,A:A,A686)&gt;0,SUMIFS(Q:Q,A:A,A686),"."))/VLOOKUP("USD",'Exchange Rates'!B:C,2,0),"Error with coding"))),"")</f>
        <v/>
      </c>
      <c r="U686" s="1184" t="s">
        <v>365</v>
      </c>
      <c r="V686" s="972" t="s">
        <v>1782</v>
      </c>
      <c r="W686" s="966" t="s">
        <v>1280</v>
      </c>
      <c r="X686" s="1031" t="s">
        <v>364</v>
      </c>
      <c r="Y686" s="1031" t="s">
        <v>364</v>
      </c>
      <c r="Z686" s="1184">
        <v>0</v>
      </c>
      <c r="AA686" s="1194">
        <v>0</v>
      </c>
      <c r="AB686" s="600" t="s">
        <v>1280</v>
      </c>
      <c r="AC686" s="1192" t="str">
        <f>""</f>
        <v/>
      </c>
      <c r="AD686" s="985">
        <v>0</v>
      </c>
      <c r="AE686" s="1194" t="s">
        <v>368</v>
      </c>
      <c r="AF686" s="985" t="s">
        <v>369</v>
      </c>
      <c r="AG686" s="985">
        <v>0</v>
      </c>
      <c r="AH686" s="985">
        <v>0</v>
      </c>
      <c r="AI686" s="985">
        <v>0</v>
      </c>
      <c r="AJ686" s="1193">
        <f>VLOOKUP($I686,'Price List, Weapons &amp; Items'!B:F,5,0)</f>
        <v>0</v>
      </c>
      <c r="AK686" s="1193">
        <f t="shared" si="147"/>
        <v>0</v>
      </c>
      <c r="AL686" s="1193">
        <f t="shared" si="148"/>
        <v>0</v>
      </c>
      <c r="AM686" s="1193">
        <f t="shared" si="149"/>
        <v>0</v>
      </c>
      <c r="AN686" s="1194" t="str">
        <f>VLOOKUP($I686,'Price List, Weapons &amp; Items'!B:L,COLUMN('Price List, Weapons &amp; Items'!$J$11)-1,0)</f>
        <v>Media reports (incl. social media)</v>
      </c>
      <c r="AO686" s="1194" t="str">
        <f>IF(I686=".",".",VLOOKUP($I686,'Price List, Weapons &amp; Items'!B:J,3,0))</f>
        <v>Light Anti-armor Weapon (LAW)</v>
      </c>
      <c r="AP686" s="1195" t="str">
        <f t="shared" ca="1" si="143"/>
        <v/>
      </c>
      <c r="AQ686" s="1194">
        <f>VLOOKUP($I686,'Price List, Weapons &amp; Items'!B:L,COLUMN('Price List, Weapons &amp; Items'!$L$11)-1,0)</f>
        <v>2</v>
      </c>
      <c r="AR686" s="1194">
        <f t="shared" si="150"/>
        <v>1</v>
      </c>
      <c r="AS686" s="1194">
        <f t="shared" si="151"/>
        <v>1</v>
      </c>
      <c r="AT686" s="1194" t="str">
        <f t="shared" si="152"/>
        <v>Value is not in date format</v>
      </c>
      <c r="AU686" s="1194" t="str">
        <f t="shared" si="153"/>
        <v>.</v>
      </c>
      <c r="AV686" s="1194" t="str">
        <f t="shared" si="144"/>
        <v>.</v>
      </c>
      <c r="AW686" s="1194" t="str">
        <f t="shared" si="154"/>
        <v>.</v>
      </c>
      <c r="AX686" s="1194">
        <f>IFERROR(VLOOKUP(B686,'Share, Heavy Weapons to Ukraine'!B:Z,COLUMN('Share, Heavy Weapons to Ukraine'!C696)-1,0),0)</f>
        <v>0</v>
      </c>
      <c r="AY686" s="1194">
        <f>VLOOKUP('Bilateral Assistance, MAIN DATA'!B686,'Country Summary (€)'!B:F,COLUMN('Country Summary (€)'!C697)-1,FALSE)</f>
        <v>1</v>
      </c>
      <c r="AZ686" s="1194" t="str">
        <f>IF(AND(AD686=1,D686="Military",H686&lt;&gt;"Not given")=TRUE,IF(SUMIFS(P:P,A:A,A686)&gt;0,ABS((SUMIFS(P:P,A:A,A686)/VLOOKUP("USD",'Exchange Rates'!B:C,2,0)))/S686,"."),".")</f>
        <v>.</v>
      </c>
      <c r="BA686" s="1196" t="str">
        <f>IF(AND(AD686=1,D686="Military",H686&lt;&gt;"Not given")=TRUE,IF(SUMIFS(P:P,A:A,A686)&gt;0,IF((ABS((SUMIFS(P:P,A:A,A686)/VLOOKUP("USD",'Exchange Rates'!B:C,2,0)))/S686)&gt;1,(SUMIFS(P:P,A:A,A686)-S686)/S686,(S686-SUMIFS(P:P,A:A,A686))/SUMIFS(P:P,A:A,A686)),"."),".")</f>
        <v>.</v>
      </c>
    </row>
    <row r="687" spans="1:53" ht="15.95" customHeight="1">
      <c r="A687" s="1180" t="s">
        <v>1884</v>
      </c>
      <c r="B687" s="1182" t="s">
        <v>1711</v>
      </c>
      <c r="C687" s="1181" t="s">
        <v>1797</v>
      </c>
      <c r="D687" s="1182" t="s">
        <v>389</v>
      </c>
      <c r="E687" s="1182" t="s">
        <v>1676</v>
      </c>
      <c r="F687" s="1263" t="s">
        <v>1885</v>
      </c>
      <c r="G687" s="1184" t="s">
        <v>483</v>
      </c>
      <c r="H687" s="1185">
        <v>600000000</v>
      </c>
      <c r="I687" s="1266" t="s">
        <v>1929</v>
      </c>
      <c r="J687" s="1186" t="str">
        <f>VLOOKUP($I687,'Price List, Weapons &amp; Items'!B:C,2,0)</f>
        <v>Humanitarian</v>
      </c>
      <c r="K687" s="1186" t="str">
        <f>IF(I687=".",I687,VLOOKUP($I687,'Price List, Weapons &amp; Items'!B:D,3,0))</f>
        <v>Humanitarian</v>
      </c>
      <c r="L687" s="1187">
        <f>VLOOKUP(I687,'Price List, Weapons &amp; Items'!B:E,4,0)</f>
        <v>0</v>
      </c>
      <c r="M687" s="1188" t="s">
        <v>374</v>
      </c>
      <c r="N687" s="1188" t="s">
        <v>374</v>
      </c>
      <c r="O687" s="1188" t="str">
        <f>VLOOKUP($I687,'Price List, Weapons &amp; Items'!B:G,6,0)</f>
        <v>.</v>
      </c>
      <c r="P687" s="1185" t="str">
        <f t="shared" si="145"/>
        <v>.</v>
      </c>
      <c r="Q687" s="1185" t="str">
        <f t="shared" si="146"/>
        <v>.</v>
      </c>
      <c r="R687" s="1185" t="str">
        <f t="shared" si="142"/>
        <v/>
      </c>
      <c r="S687" s="1185" t="str">
        <f>IF(AND(AD687=1,R687&lt;&gt;".")=TRUE,R687/VLOOKUP(G687,'Exchange Rates'!B:C,2,0),IF(R687=".",".",""))</f>
        <v/>
      </c>
      <c r="T687" s="1185" t="str">
        <f>IF(AD687=1,IF(AF687="Value is not given at all",".",IF(AF687="Value is given by the source",S687,IF(AF687="Value is calculated with prices",(IF(SUMIFS(Q:Q,A:A,A687)&gt;0,SUMIFS(Q:Q,A:A,A687),"."))/VLOOKUP("USD",'Exchange Rates'!B:C,2,0),"Error with coding"))),"")</f>
        <v/>
      </c>
      <c r="U687" s="1184" t="s">
        <v>365</v>
      </c>
      <c r="V687" s="972" t="s">
        <v>1782</v>
      </c>
      <c r="W687" s="966" t="s">
        <v>1280</v>
      </c>
      <c r="X687" s="1031" t="s">
        <v>364</v>
      </c>
      <c r="Y687" s="1031" t="s">
        <v>364</v>
      </c>
      <c r="Z687" s="1184">
        <v>0</v>
      </c>
      <c r="AA687" s="1194">
        <v>0</v>
      </c>
      <c r="AB687" s="600" t="s">
        <v>1280</v>
      </c>
      <c r="AC687" s="1192" t="str">
        <f>""</f>
        <v/>
      </c>
      <c r="AD687" s="985">
        <v>0</v>
      </c>
      <c r="AE687" s="1194" t="s">
        <v>368</v>
      </c>
      <c r="AF687" s="985" t="s">
        <v>369</v>
      </c>
      <c r="AG687" s="985">
        <v>0</v>
      </c>
      <c r="AH687" s="985">
        <v>0</v>
      </c>
      <c r="AI687" s="985">
        <v>0</v>
      </c>
      <c r="AJ687" s="1193">
        <f>VLOOKUP($I687,'Price List, Weapons &amp; Items'!B:F,5,0)</f>
        <v>0</v>
      </c>
      <c r="AK687" s="1193">
        <f t="shared" si="147"/>
        <v>0</v>
      </c>
      <c r="AL687" s="1193">
        <f t="shared" si="148"/>
        <v>0</v>
      </c>
      <c r="AM687" s="1193">
        <f t="shared" si="149"/>
        <v>0</v>
      </c>
      <c r="AN687" s="1194" t="str">
        <f>VLOOKUP($I687,'Price List, Weapons &amp; Items'!B:L,COLUMN('Price List, Weapons &amp; Items'!$J$11)-1,0)</f>
        <v>.</v>
      </c>
      <c r="AO687" s="1194" t="str">
        <f>IF(I687=".",".",VLOOKUP($I687,'Price List, Weapons &amp; Items'!B:J,3,0))</f>
        <v>Humanitarian</v>
      </c>
      <c r="AP687" s="1195" t="str">
        <f t="shared" ca="1" si="143"/>
        <v/>
      </c>
      <c r="AQ687" s="1194">
        <f>VLOOKUP($I687,'Price List, Weapons &amp; Items'!B:L,COLUMN('Price List, Weapons &amp; Items'!$L$11)-1,0)</f>
        <v>0</v>
      </c>
      <c r="AR687" s="1194">
        <f t="shared" si="150"/>
        <v>1</v>
      </c>
      <c r="AS687" s="1194">
        <f t="shared" si="151"/>
        <v>1</v>
      </c>
      <c r="AT687" s="1194" t="str">
        <f t="shared" si="152"/>
        <v>Value is not in date format</v>
      </c>
      <c r="AU687" s="1194" t="str">
        <f t="shared" si="153"/>
        <v>.</v>
      </c>
      <c r="AV687" s="1194" t="str">
        <f t="shared" si="144"/>
        <v>.</v>
      </c>
      <c r="AW687" s="1194" t="str">
        <f t="shared" si="154"/>
        <v>.</v>
      </c>
      <c r="AX687" s="1194">
        <f>IFERROR(VLOOKUP(B687,'Share, Heavy Weapons to Ukraine'!B:Z,COLUMN('Share, Heavy Weapons to Ukraine'!C697)-1,0),0)</f>
        <v>0</v>
      </c>
      <c r="AY687" s="1194">
        <f>VLOOKUP('Bilateral Assistance, MAIN DATA'!B687,'Country Summary (€)'!B:F,COLUMN('Country Summary (€)'!C698)-1,FALSE)</f>
        <v>1</v>
      </c>
      <c r="AZ687" s="1194" t="str">
        <f>IF(AND(AD687=1,D687="Military",H687&lt;&gt;"Not given")=TRUE,IF(SUMIFS(P:P,A:A,A687)&gt;0,ABS((SUMIFS(P:P,A:A,A687)/VLOOKUP("USD",'Exchange Rates'!B:C,2,0)))/S687,"."),".")</f>
        <v>.</v>
      </c>
      <c r="BA687" s="1196" t="str">
        <f>IF(AND(AD687=1,D687="Military",H687&lt;&gt;"Not given")=TRUE,IF(SUMIFS(P:P,A:A,A687)&gt;0,IF((ABS((SUMIFS(P:P,A:A,A687)/VLOOKUP("USD",'Exchange Rates'!B:C,2,0)))/S687)&gt;1,(SUMIFS(P:P,A:A,A687)-S687)/S687,(S687-SUMIFS(P:P,A:A,A687))/SUMIFS(P:P,A:A,A687)),"."),".")</f>
        <v>.</v>
      </c>
    </row>
    <row r="688" spans="1:53" ht="15.95" customHeight="1">
      <c r="A688" s="1180" t="s">
        <v>1884</v>
      </c>
      <c r="B688" s="1182" t="s">
        <v>1711</v>
      </c>
      <c r="C688" s="1181" t="s">
        <v>1797</v>
      </c>
      <c r="D688" s="1182" t="s">
        <v>389</v>
      </c>
      <c r="E688" s="1182" t="s">
        <v>1676</v>
      </c>
      <c r="F688" s="1263" t="s">
        <v>1885</v>
      </c>
      <c r="G688" s="1184" t="s">
        <v>483</v>
      </c>
      <c r="H688" s="1185">
        <v>600000000</v>
      </c>
      <c r="I688" s="1266" t="s">
        <v>1930</v>
      </c>
      <c r="J688" s="1186" t="str">
        <f>VLOOKUP($I688,'Price List, Weapons &amp; Items'!B:C,2,0)</f>
        <v>Military equipment</v>
      </c>
      <c r="K688" s="1186" t="str">
        <f>IF(I688=".",I688,VLOOKUP($I688,'Price List, Weapons &amp; Items'!B:D,3,0))</f>
        <v>Military equipment</v>
      </c>
      <c r="L688" s="1187">
        <f>VLOOKUP(I688,'Price List, Weapons &amp; Items'!B:E,4,0)</f>
        <v>0</v>
      </c>
      <c r="M688" s="1188">
        <v>67</v>
      </c>
      <c r="N688" s="1188">
        <v>67</v>
      </c>
      <c r="O688" s="1188">
        <f>VLOOKUP($I688,'Price List, Weapons &amp; Items'!B:G,6,0)</f>
        <v>1486.91</v>
      </c>
      <c r="P688" s="1185">
        <f t="shared" si="145"/>
        <v>99622.97</v>
      </c>
      <c r="Q688" s="1185">
        <f t="shared" si="146"/>
        <v>99622.97</v>
      </c>
      <c r="R688" s="1185" t="str">
        <f t="shared" si="142"/>
        <v/>
      </c>
      <c r="S688" s="1185" t="str">
        <f>IF(AND(AD688=1,R688&lt;&gt;".")=TRUE,R688/VLOOKUP(G688,'Exchange Rates'!B:C,2,0),IF(R688=".",".",""))</f>
        <v/>
      </c>
      <c r="T688" s="1185" t="str">
        <f>IF(AD688=1,IF(AF688="Value is not given at all",".",IF(AF688="Value is given by the source",S688,IF(AF688="Value is calculated with prices",(IF(SUMIFS(Q:Q,A:A,A688)&gt;0,SUMIFS(Q:Q,A:A,A688),"."))/VLOOKUP("USD",'Exchange Rates'!B:C,2,0),"Error with coding"))),"")</f>
        <v/>
      </c>
      <c r="U688" s="1184" t="s">
        <v>365</v>
      </c>
      <c r="V688" s="972" t="s">
        <v>1782</v>
      </c>
      <c r="W688" s="987" t="s">
        <v>1280</v>
      </c>
      <c r="X688" s="1031" t="s">
        <v>364</v>
      </c>
      <c r="Y688" s="1031" t="s">
        <v>364</v>
      </c>
      <c r="Z688" s="1184">
        <v>0</v>
      </c>
      <c r="AA688" s="1194">
        <v>0</v>
      </c>
      <c r="AB688" s="600" t="s">
        <v>1280</v>
      </c>
      <c r="AC688" s="1192" t="str">
        <f>""</f>
        <v/>
      </c>
      <c r="AD688" s="985">
        <v>0</v>
      </c>
      <c r="AE688" s="1194" t="s">
        <v>368</v>
      </c>
      <c r="AF688" s="985" t="s">
        <v>369</v>
      </c>
      <c r="AG688" s="985">
        <v>0</v>
      </c>
      <c r="AH688" s="985">
        <v>0</v>
      </c>
      <c r="AI688" s="985">
        <v>0</v>
      </c>
      <c r="AJ688" s="1193">
        <f>VLOOKUP($I688,'Price List, Weapons &amp; Items'!B:F,5,0)</f>
        <v>0</v>
      </c>
      <c r="AK688" s="1193">
        <f t="shared" si="147"/>
        <v>0</v>
      </c>
      <c r="AL688" s="1193">
        <f t="shared" si="148"/>
        <v>0</v>
      </c>
      <c r="AM688" s="1193">
        <f t="shared" si="149"/>
        <v>0</v>
      </c>
      <c r="AN688" s="1194" t="str">
        <f>VLOOKUP($I688,'Price List, Weapons &amp; Items'!B:L,COLUMN('Price List, Weapons &amp; Items'!$J$11)-1,0)</f>
        <v>Online marketplaces and stores</v>
      </c>
      <c r="AO688" s="1194" t="str">
        <f>IF(I688=".",".",VLOOKUP($I688,'Price List, Weapons &amp; Items'!B:J,3,0))</f>
        <v>Military equipment</v>
      </c>
      <c r="AP688" s="1195" t="str">
        <f t="shared" ca="1" si="143"/>
        <v/>
      </c>
      <c r="AQ688" s="1194">
        <f>VLOOKUP($I688,'Price List, Weapons &amp; Items'!B:L,COLUMN('Price List, Weapons &amp; Items'!$L$11)-1,0)</f>
        <v>1</v>
      </c>
      <c r="AR688" s="1194">
        <f t="shared" si="150"/>
        <v>1</v>
      </c>
      <c r="AS688" s="1194">
        <f t="shared" si="151"/>
        <v>1</v>
      </c>
      <c r="AT688" s="1194" t="str">
        <f t="shared" si="152"/>
        <v>Value is not in date format</v>
      </c>
      <c r="AU688" s="1194" t="str">
        <f t="shared" si="153"/>
        <v>.</v>
      </c>
      <c r="AV688" s="1194" t="str">
        <f t="shared" si="144"/>
        <v>.</v>
      </c>
      <c r="AW688" s="1194" t="str">
        <f t="shared" si="154"/>
        <v>.</v>
      </c>
      <c r="AX688" s="1194">
        <f>IFERROR(VLOOKUP(B688,'Share, Heavy Weapons to Ukraine'!B:Z,COLUMN('Share, Heavy Weapons to Ukraine'!C698)-1,0),0)</f>
        <v>0</v>
      </c>
      <c r="AY688" s="1194">
        <f>VLOOKUP('Bilateral Assistance, MAIN DATA'!B688,'Country Summary (€)'!B:F,COLUMN('Country Summary (€)'!C699)-1,FALSE)</f>
        <v>1</v>
      </c>
      <c r="AZ688" s="1194" t="str">
        <f>IF(AND(AD688=1,D688="Military",H688&lt;&gt;"Not given")=TRUE,IF(SUMIFS(P:P,A:A,A688)&gt;0,ABS((SUMIFS(P:P,A:A,A688)/VLOOKUP("USD",'Exchange Rates'!B:C,2,0)))/S688,"."),".")</f>
        <v>.</v>
      </c>
      <c r="BA688" s="1196" t="str">
        <f>IF(AND(AD688=1,D688="Military",H688&lt;&gt;"Not given")=TRUE,IF(SUMIFS(P:P,A:A,A688)&gt;0,IF((ABS((SUMIFS(P:P,A:A,A688)/VLOOKUP("USD",'Exchange Rates'!B:C,2,0)))/S688)&gt;1,(SUMIFS(P:P,A:A,A688)-S688)/S688,(S688-SUMIFS(P:P,A:A,A688))/SUMIFS(P:P,A:A,A688)),"."),".")</f>
        <v>.</v>
      </c>
    </row>
    <row r="689" spans="1:72" ht="15.95" customHeight="1">
      <c r="A689" s="1180" t="s">
        <v>1884</v>
      </c>
      <c r="B689" s="1182" t="s">
        <v>1711</v>
      </c>
      <c r="C689" s="1181" t="s">
        <v>1797</v>
      </c>
      <c r="D689" s="1182" t="s">
        <v>389</v>
      </c>
      <c r="E689" s="1182" t="s">
        <v>1676</v>
      </c>
      <c r="F689" s="1263" t="s">
        <v>1885</v>
      </c>
      <c r="G689" s="1184" t="s">
        <v>483</v>
      </c>
      <c r="H689" s="1185">
        <v>600000000</v>
      </c>
      <c r="I689" s="1180" t="s">
        <v>1931</v>
      </c>
      <c r="J689" s="1186" t="str">
        <f>VLOOKUP($I689,'Price List, Weapons &amp; Items'!B:C,2,0)</f>
        <v>Heavy weapon</v>
      </c>
      <c r="K689" s="1186" t="str">
        <f>IF(I689=".",I689,VLOOKUP($I689,'Price List, Weapons &amp; Items'!B:D,3,0))</f>
        <v>Anti-aircraft surface-to-air missile (SAM) system (long-range)</v>
      </c>
      <c r="L689" s="1187">
        <f>VLOOKUP(I689,'Price List, Weapons &amp; Items'!B:E,4,0)</f>
        <v>0</v>
      </c>
      <c r="M689" s="1188">
        <v>1</v>
      </c>
      <c r="N689" s="1275">
        <v>1</v>
      </c>
      <c r="O689" s="1188">
        <f>VLOOKUP($I689,'Price List, Weapons &amp; Items'!B:G,6,0)</f>
        <v>400000000</v>
      </c>
      <c r="P689" s="1185">
        <f t="shared" si="145"/>
        <v>400000000</v>
      </c>
      <c r="Q689" s="1185">
        <f t="shared" si="146"/>
        <v>400000000</v>
      </c>
      <c r="R689" s="1185" t="str">
        <f t="shared" si="142"/>
        <v/>
      </c>
      <c r="S689" s="1185" t="str">
        <f>IF(AND(AD689=1,R689&lt;&gt;".")=TRUE,R689/VLOOKUP(G689,'Exchange Rates'!B:C,2,0),IF(R689=".",".",""))</f>
        <v/>
      </c>
      <c r="T689" s="1185" t="str">
        <f>IF(AD689=1,IF(AF689="Value is not given at all",".",IF(AF689="Value is given by the source",S689,IF(AF689="Value is calculated with prices",(IF(SUMIFS(Q:Q,A:A,A689)&gt;0,SUMIFS(Q:Q,A:A,A689),"."))/VLOOKUP("USD",'Exchange Rates'!B:C,2,0),"Error with coding"))),"")</f>
        <v/>
      </c>
      <c r="U689" s="1184" t="s">
        <v>365</v>
      </c>
      <c r="V689" s="972" t="s">
        <v>1782</v>
      </c>
      <c r="W689" s="966" t="s">
        <v>1280</v>
      </c>
      <c r="X689" s="1031" t="s">
        <v>364</v>
      </c>
      <c r="Y689" s="1031" t="s">
        <v>364</v>
      </c>
      <c r="Z689" s="1184">
        <v>0</v>
      </c>
      <c r="AA689" s="1194">
        <v>1</v>
      </c>
      <c r="AB689" s="600" t="s">
        <v>1280</v>
      </c>
      <c r="AC689" s="1192" t="str">
        <f>""</f>
        <v/>
      </c>
      <c r="AD689" s="985">
        <v>0</v>
      </c>
      <c r="AE689" s="1194" t="s">
        <v>368</v>
      </c>
      <c r="AF689" s="985" t="s">
        <v>369</v>
      </c>
      <c r="AG689" s="985">
        <v>1</v>
      </c>
      <c r="AH689" s="985">
        <v>13</v>
      </c>
      <c r="AI689" s="985">
        <v>0</v>
      </c>
      <c r="AJ689" s="1193">
        <f>VLOOKUP($I689,'Price List, Weapons &amp; Items'!B:F,5,0)</f>
        <v>0</v>
      </c>
      <c r="AK689" s="1193">
        <f t="shared" si="147"/>
        <v>0</v>
      </c>
      <c r="AL689" s="1193">
        <f t="shared" si="148"/>
        <v>0</v>
      </c>
      <c r="AM689" s="1193">
        <f t="shared" si="149"/>
        <v>0</v>
      </c>
      <c r="AN689" s="1194" t="str">
        <f>VLOOKUP($I689,'Price List, Weapons &amp; Items'!B:L,COLUMN('Price List, Weapons &amp; Items'!$J$11)-1,0)</f>
        <v>Military media (incl. websites)</v>
      </c>
      <c r="AO689" s="1194" t="str">
        <f>IF(I689=".",".",VLOOKUP($I689,'Price List, Weapons &amp; Items'!B:J,3,0))</f>
        <v>Anti-aircraft surface-to-air missile (SAM) system (long-range)</v>
      </c>
      <c r="AP689" s="1195" t="str">
        <f t="shared" ca="1" si="143"/>
        <v/>
      </c>
      <c r="AQ689" s="1194">
        <f>VLOOKUP($I689,'Price List, Weapons &amp; Items'!B:L,COLUMN('Price List, Weapons &amp; Items'!$L$11)-1,0)</f>
        <v>2</v>
      </c>
      <c r="AR689" s="1194">
        <f t="shared" si="150"/>
        <v>1</v>
      </c>
      <c r="AS689" s="1194">
        <f t="shared" si="151"/>
        <v>1</v>
      </c>
      <c r="AT689" s="1194" t="str">
        <f t="shared" si="152"/>
        <v>Value is not in date format</v>
      </c>
      <c r="AU689" s="1194" t="str">
        <f t="shared" si="153"/>
        <v>.</v>
      </c>
      <c r="AV689" s="1194" t="str">
        <f t="shared" si="144"/>
        <v>.</v>
      </c>
      <c r="AW689" s="1194" t="str">
        <f t="shared" si="154"/>
        <v>.</v>
      </c>
      <c r="AX689" s="1194">
        <f>IFERROR(VLOOKUP(B689,'Share, Heavy Weapons to Ukraine'!B:Z,COLUMN('Share, Heavy Weapons to Ukraine'!C699)-1,0),0)</f>
        <v>0</v>
      </c>
      <c r="AY689" s="1194">
        <f>VLOOKUP('Bilateral Assistance, MAIN DATA'!B689,'Country Summary (€)'!B:F,COLUMN('Country Summary (€)'!C700)-1,FALSE)</f>
        <v>1</v>
      </c>
      <c r="AZ689" s="1194" t="str">
        <f>IF(AND(AD689=1,D689="Military",H689&lt;&gt;"Not given")=TRUE,IF(SUMIFS(P:P,A:A,A689)&gt;0,ABS((SUMIFS(P:P,A:A,A689)/VLOOKUP("USD",'Exchange Rates'!B:C,2,0)))/S689,"."),".")</f>
        <v>.</v>
      </c>
      <c r="BA689" s="1196" t="str">
        <f>IF(AND(AD689=1,D689="Military",H689&lt;&gt;"Not given")=TRUE,IF(SUMIFS(P:P,A:A,A689)&gt;0,IF((ABS((SUMIFS(P:P,A:A,A689)/VLOOKUP("USD",'Exchange Rates'!B:C,2,0)))/S689)&gt;1,(SUMIFS(P:P,A:A,A689)-S689)/S689,(S689-SUMIFS(P:P,A:A,A689))/SUMIFS(P:P,A:A,A689)),"."),".")</f>
        <v>.</v>
      </c>
    </row>
    <row r="690" spans="1:72" ht="15.95" customHeight="1">
      <c r="A690" s="1180" t="s">
        <v>1884</v>
      </c>
      <c r="B690" s="1182" t="s">
        <v>1711</v>
      </c>
      <c r="C690" s="1181" t="s">
        <v>1797</v>
      </c>
      <c r="D690" s="1182" t="s">
        <v>389</v>
      </c>
      <c r="E690" s="1182" t="s">
        <v>1676</v>
      </c>
      <c r="F690" s="1263" t="s">
        <v>1885</v>
      </c>
      <c r="G690" s="1184" t="s">
        <v>483</v>
      </c>
      <c r="H690" s="1185">
        <v>600000000</v>
      </c>
      <c r="I690" s="1180" t="s">
        <v>1932</v>
      </c>
      <c r="J690" s="1186" t="str">
        <f>VLOOKUP($I690,'Price List, Weapons &amp; Items'!B:C,2,0)</f>
        <v>Heavy weapon</v>
      </c>
      <c r="K690" s="1186" t="str">
        <f>IF(I690=".",I690,VLOOKUP($I690,'Price List, Weapons &amp; Items'!B:D,3,0))</f>
        <v>Surface-to-air missile (SAM)</v>
      </c>
      <c r="L690" s="1187">
        <f>VLOOKUP(I690,'Price List, Weapons &amp; Items'!B:E,4,0)</f>
        <v>0</v>
      </c>
      <c r="M690" s="1188" t="s">
        <v>374</v>
      </c>
      <c r="N690" s="1188" t="s">
        <v>374</v>
      </c>
      <c r="O690" s="1188">
        <f>VLOOKUP($I690,'Price List, Weapons &amp; Items'!B:G,6,0)</f>
        <v>3000000</v>
      </c>
      <c r="P690" s="1185" t="str">
        <f t="shared" si="145"/>
        <v>.</v>
      </c>
      <c r="Q690" s="1185" t="str">
        <f t="shared" si="146"/>
        <v>.</v>
      </c>
      <c r="R690" s="1185" t="str">
        <f t="shared" si="142"/>
        <v/>
      </c>
      <c r="S690" s="1185" t="str">
        <f>IF(AND(AD690=1,R690&lt;&gt;".")=TRUE,R690/VLOOKUP(G690,'Exchange Rates'!B:C,2,0),IF(R690=".",".",""))</f>
        <v/>
      </c>
      <c r="T690" s="1185" t="str">
        <f>IF(AD690=1,IF(AF690="Value is not given at all",".",IF(AF690="Value is given by the source",S690,IF(AF690="Value is calculated with prices",(IF(SUMIFS(Q:Q,A:A,A690)&gt;0,SUMIFS(Q:Q,A:A,A690),"."))/VLOOKUP("USD",'Exchange Rates'!B:C,2,0),"Error with coding"))),"")</f>
        <v/>
      </c>
      <c r="U690" s="1184" t="s">
        <v>365</v>
      </c>
      <c r="V690" s="972" t="s">
        <v>1782</v>
      </c>
      <c r="W690" s="987" t="s">
        <v>1280</v>
      </c>
      <c r="X690" s="1031" t="s">
        <v>364</v>
      </c>
      <c r="Y690" s="1031" t="s">
        <v>364</v>
      </c>
      <c r="Z690" s="1184">
        <v>0</v>
      </c>
      <c r="AA690" s="1194">
        <v>0</v>
      </c>
      <c r="AB690" s="600" t="s">
        <v>1280</v>
      </c>
      <c r="AC690" s="1192" t="str">
        <f>""</f>
        <v/>
      </c>
      <c r="AD690" s="985">
        <v>0</v>
      </c>
      <c r="AE690" s="1194" t="s">
        <v>368</v>
      </c>
      <c r="AF690" s="985" t="s">
        <v>369</v>
      </c>
      <c r="AG690" s="985">
        <v>1</v>
      </c>
      <c r="AH690" s="985">
        <v>13</v>
      </c>
      <c r="AI690" s="985">
        <v>0</v>
      </c>
      <c r="AJ690" s="1193">
        <f>VLOOKUP($I690,'Price List, Weapons &amp; Items'!B:F,5,0)</f>
        <v>0</v>
      </c>
      <c r="AK690" s="1193">
        <f t="shared" si="147"/>
        <v>0</v>
      </c>
      <c r="AL690" s="1193">
        <f t="shared" si="148"/>
        <v>0</v>
      </c>
      <c r="AM690" s="1193">
        <f t="shared" si="149"/>
        <v>0</v>
      </c>
      <c r="AN690" s="1194" t="str">
        <f>VLOOKUP($I690,'Price List, Weapons &amp; Items'!B:L,COLUMN('Price List, Weapons &amp; Items'!$J$11)-1,0)</f>
        <v>Media reports (incl. social media)</v>
      </c>
      <c r="AO690" s="1194" t="str">
        <f>IF(I690=".",".",VLOOKUP($I690,'Price List, Weapons &amp; Items'!B:J,3,0))</f>
        <v>Surface-to-air missile (SAM)</v>
      </c>
      <c r="AP690" s="1195" t="str">
        <f t="shared" ca="1" si="143"/>
        <v/>
      </c>
      <c r="AQ690" s="1194" t="str">
        <f>VLOOKUP($I690,'Price List, Weapons &amp; Items'!B:L,COLUMN('Price List, Weapons &amp; Items'!$L$11)-1,0)</f>
        <v>no price, 0 count</v>
      </c>
      <c r="AR690" s="1194">
        <f t="shared" si="150"/>
        <v>1</v>
      </c>
      <c r="AS690" s="1194">
        <f t="shared" si="151"/>
        <v>1</v>
      </c>
      <c r="AT690" s="1194" t="str">
        <f t="shared" si="152"/>
        <v>Value is not in date format</v>
      </c>
      <c r="AU690" s="1194" t="str">
        <f t="shared" si="153"/>
        <v>.</v>
      </c>
      <c r="AV690" s="1194" t="str">
        <f t="shared" si="144"/>
        <v>.</v>
      </c>
      <c r="AW690" s="1194" t="str">
        <f t="shared" si="154"/>
        <v>.</v>
      </c>
      <c r="AX690" s="1194">
        <f>IFERROR(VLOOKUP(B690,'Share, Heavy Weapons to Ukraine'!B:Z,COLUMN('Share, Heavy Weapons to Ukraine'!C700)-1,0),0)</f>
        <v>0</v>
      </c>
      <c r="AY690" s="1194">
        <f>VLOOKUP('Bilateral Assistance, MAIN DATA'!B690,'Country Summary (€)'!B:F,COLUMN('Country Summary (€)'!C701)-1,FALSE)</f>
        <v>1</v>
      </c>
      <c r="AZ690" s="1194" t="str">
        <f>IF(AND(AD690=1,D690="Military",H690&lt;&gt;"Not given")=TRUE,IF(SUMIFS(P:P,A:A,A690)&gt;0,ABS((SUMIFS(P:P,A:A,A690)/VLOOKUP("USD",'Exchange Rates'!B:C,2,0)))/S690,"."),".")</f>
        <v>.</v>
      </c>
      <c r="BA690" s="1196" t="str">
        <f>IF(AND(AD690=1,D690="Military",H690&lt;&gt;"Not given")=TRUE,IF(SUMIFS(P:P,A:A,A690)&gt;0,IF((ABS((SUMIFS(P:P,A:A,A690)/VLOOKUP("USD",'Exchange Rates'!B:C,2,0)))/S690)&gt;1,(SUMIFS(P:P,A:A,A690)-S690)/S690,(S690-SUMIFS(P:P,A:A,A690))/SUMIFS(P:P,A:A,A690)),"."),".")</f>
        <v>.</v>
      </c>
    </row>
    <row r="691" spans="1:72" s="1180" customFormat="1" ht="15.95" customHeight="1">
      <c r="A691" s="1180" t="s">
        <v>1884</v>
      </c>
      <c r="B691" s="1182" t="s">
        <v>1711</v>
      </c>
      <c r="C691" s="1181" t="s">
        <v>1797</v>
      </c>
      <c r="D691" s="1182" t="s">
        <v>389</v>
      </c>
      <c r="E691" s="1182" t="s">
        <v>1676</v>
      </c>
      <c r="F691" s="1263" t="s">
        <v>1885</v>
      </c>
      <c r="G691" s="1184" t="s">
        <v>483</v>
      </c>
      <c r="H691" s="1185">
        <v>600000000</v>
      </c>
      <c r="I691" s="1180" t="s">
        <v>1933</v>
      </c>
      <c r="J691" s="1186" t="str">
        <f>VLOOKUP($I691,'Price List, Weapons &amp; Items'!B:C,2,0)</f>
        <v>Heavy weapon</v>
      </c>
      <c r="K691" s="1186" t="str">
        <f>IF(I691=".",I691,VLOOKUP($I691,'Price List, Weapons &amp; Items'!B:D,3,0))</f>
        <v>Main Battle Tank (MBT)</v>
      </c>
      <c r="L691" s="1187">
        <f>VLOOKUP(I691,'Price List, Weapons &amp; Items'!B:E,4,0)</f>
        <v>0</v>
      </c>
      <c r="M691" s="1188">
        <v>14</v>
      </c>
      <c r="N691" s="1275">
        <v>14</v>
      </c>
      <c r="O691" s="1188">
        <f>VLOOKUP($I691,'Price List, Weapons &amp; Items'!B:G,6,0)</f>
        <v>10000000</v>
      </c>
      <c r="P691" s="1185">
        <f t="shared" si="145"/>
        <v>140000000</v>
      </c>
      <c r="Q691" s="1185">
        <f t="shared" si="146"/>
        <v>140000000</v>
      </c>
      <c r="R691" s="1185" t="str">
        <f t="shared" si="142"/>
        <v/>
      </c>
      <c r="S691" s="1185" t="str">
        <f>IF(AND(AD691=1,R691&lt;&gt;".")=TRUE,R691/VLOOKUP(G691,'Exchange Rates'!B:C,2,0),IF(R691=".",".",""))</f>
        <v/>
      </c>
      <c r="T691" s="1185" t="str">
        <f>IF(AD691=1,IF(AF691="Value is not given at all",".",IF(AF691="Value is given by the source",S691,IF(AF691="Value is calculated with prices",(IF(SUMIFS(Q:Q,A:A,A691)&gt;0,SUMIFS(Q:Q,A:A,A691),"."))/VLOOKUP("USD",'Exchange Rates'!B:C,2,0),"Error with coding"))),"")</f>
        <v/>
      </c>
      <c r="U691" s="1184" t="s">
        <v>365</v>
      </c>
      <c r="V691" s="972" t="s">
        <v>1782</v>
      </c>
      <c r="W691" s="966" t="s">
        <v>1280</v>
      </c>
      <c r="X691" s="1031" t="s">
        <v>364</v>
      </c>
      <c r="Y691" s="1031" t="s">
        <v>364</v>
      </c>
      <c r="Z691" s="1184">
        <v>0</v>
      </c>
      <c r="AA691" s="1184">
        <v>1</v>
      </c>
      <c r="AB691" s="600" t="s">
        <v>1280</v>
      </c>
      <c r="AC691" s="1192" t="str">
        <f>""</f>
        <v/>
      </c>
      <c r="AD691" s="985">
        <v>0</v>
      </c>
      <c r="AE691" s="1184" t="s">
        <v>368</v>
      </c>
      <c r="AF691" s="985" t="s">
        <v>369</v>
      </c>
      <c r="AG691" s="985">
        <v>1</v>
      </c>
      <c r="AH691" s="985">
        <v>13</v>
      </c>
      <c r="AI691" s="985">
        <v>0</v>
      </c>
      <c r="AJ691" s="1193">
        <f>VLOOKUP($I691,'Price List, Weapons &amp; Items'!B:F,5,0)</f>
        <v>1</v>
      </c>
      <c r="AK691" s="1193">
        <f t="shared" si="147"/>
        <v>0</v>
      </c>
      <c r="AL691" s="1193">
        <f t="shared" si="148"/>
        <v>0</v>
      </c>
      <c r="AM691" s="1193">
        <f t="shared" si="149"/>
        <v>0</v>
      </c>
      <c r="AN691" s="1194" t="str">
        <f>VLOOKUP($I691,'Price List, Weapons &amp; Items'!B:L,COLUMN('Price List, Weapons &amp; Items'!$J$11)-1,0)</f>
        <v>Contracts</v>
      </c>
      <c r="AO691" s="1194" t="str">
        <f>IF(I691=".",".",VLOOKUP($I691,'Price List, Weapons &amp; Items'!B:J,3,0))</f>
        <v>Main Battle Tank (MBT)</v>
      </c>
      <c r="AP691" s="1195" t="str">
        <f t="shared" ca="1" si="143"/>
        <v/>
      </c>
      <c r="AQ691" s="1194">
        <f>VLOOKUP($I691,'Price List, Weapons &amp; Items'!B:L,COLUMN('Price List, Weapons &amp; Items'!$L$11)-1,0)</f>
        <v>2</v>
      </c>
      <c r="AR691" s="1194">
        <f t="shared" si="150"/>
        <v>1</v>
      </c>
      <c r="AS691" s="1194">
        <f t="shared" si="151"/>
        <v>1</v>
      </c>
      <c r="AT691" s="1194" t="str">
        <f t="shared" si="152"/>
        <v>Value is not in date format</v>
      </c>
      <c r="AU691" s="1194" t="str">
        <f t="shared" si="153"/>
        <v>.</v>
      </c>
      <c r="AV691" s="1194" t="str">
        <f t="shared" si="144"/>
        <v>.</v>
      </c>
      <c r="AW691" s="1194" t="str">
        <f t="shared" si="154"/>
        <v>.</v>
      </c>
      <c r="AX691" s="1194">
        <f>IFERROR(VLOOKUP(B691,'Share, Heavy Weapons to Ukraine'!B:Z,COLUMN('Share, Heavy Weapons to Ukraine'!C701)-1,0),0)</f>
        <v>0</v>
      </c>
      <c r="AY691" s="1194">
        <f>VLOOKUP('Bilateral Assistance, MAIN DATA'!B691,'Country Summary (€)'!B:F,COLUMN('Country Summary (€)'!C702)-1,FALSE)</f>
        <v>1</v>
      </c>
      <c r="AZ691" s="1194" t="str">
        <f>IF(AND(AD691=1,D691="Military",H691&lt;&gt;"Not given")=TRUE,IF(SUMIFS(P:P,A:A,A691)&gt;0,ABS((SUMIFS(P:P,A:A,A691)/VLOOKUP("USD",'Exchange Rates'!B:C,2,0)))/S691,"."),".")</f>
        <v>.</v>
      </c>
      <c r="BA691" s="1196" t="str">
        <f>IF(AND(AD691=1,D691="Military",H691&lt;&gt;"Not given")=TRUE,IF(SUMIFS(P:P,A:A,A691)&gt;0,IF((ABS((SUMIFS(P:P,A:A,A691)/VLOOKUP("USD",'Exchange Rates'!B:C,2,0)))/S691)&gt;1,(SUMIFS(P:P,A:A,A691)-S691)/S691,(S691-SUMIFS(P:P,A:A,A691))/SUMIFS(P:P,A:A,A691)),"."),".")</f>
        <v>.</v>
      </c>
    </row>
    <row r="692" spans="1:72" ht="15.95" customHeight="1">
      <c r="A692" s="1180" t="s">
        <v>1884</v>
      </c>
      <c r="B692" s="1182" t="s">
        <v>1711</v>
      </c>
      <c r="C692" s="1181" t="s">
        <v>1797</v>
      </c>
      <c r="D692" s="1182" t="s">
        <v>389</v>
      </c>
      <c r="E692" s="1182" t="s">
        <v>1676</v>
      </c>
      <c r="F692" s="1263" t="s">
        <v>1885</v>
      </c>
      <c r="G692" s="1184" t="s">
        <v>483</v>
      </c>
      <c r="H692" s="1185">
        <v>600000000</v>
      </c>
      <c r="I692" s="1180" t="s">
        <v>1934</v>
      </c>
      <c r="J692" s="1186" t="str">
        <f>VLOOKUP($I692,'Price List, Weapons &amp; Items'!B:C,2,0)</f>
        <v>Ammunition for heavy weapon</v>
      </c>
      <c r="K692" s="1186" t="str">
        <f>IF(I692=".",I692,VLOOKUP($I692,'Price List, Weapons &amp; Items'!B:D,3,0))</f>
        <v>120mm tank ammunition</v>
      </c>
      <c r="L692" s="1187">
        <f>VLOOKUP(I692,'Price List, Weapons &amp; Items'!B:E,4,0)</f>
        <v>0</v>
      </c>
      <c r="M692" s="1188" t="s">
        <v>374</v>
      </c>
      <c r="N692" s="1188" t="s">
        <v>374</v>
      </c>
      <c r="O692" s="1188">
        <f>VLOOKUP($I692,'Price List, Weapons &amp; Items'!B:G,6,0)</f>
        <v>20001.25</v>
      </c>
      <c r="P692" s="1185" t="str">
        <f t="shared" si="145"/>
        <v>.</v>
      </c>
      <c r="Q692" s="1185" t="str">
        <f t="shared" si="146"/>
        <v>.</v>
      </c>
      <c r="R692" s="1185" t="str">
        <f t="shared" si="142"/>
        <v/>
      </c>
      <c r="S692" s="1185" t="str">
        <f>IF(AND(AD692=1,R692&lt;&gt;".")=TRUE,R692/VLOOKUP(G692,'Exchange Rates'!B:C,2,0),IF(R692=".",".",""))</f>
        <v/>
      </c>
      <c r="T692" s="1185" t="str">
        <f>IF(AD692=1,IF(AF692="Value is not given at all",".",IF(AF692="Value is given by the source",S692,IF(AF692="Value is calculated with prices",(IF(SUMIFS(Q:Q,A:A,A692)&gt;0,SUMIFS(Q:Q,A:A,A692),"."))/VLOOKUP("USD",'Exchange Rates'!B:C,2,0),"Error with coding"))),"")</f>
        <v/>
      </c>
      <c r="U692" s="1184" t="s">
        <v>365</v>
      </c>
      <c r="V692" s="972" t="s">
        <v>1782</v>
      </c>
      <c r="W692" s="987" t="s">
        <v>1280</v>
      </c>
      <c r="X692" s="1031" t="s">
        <v>364</v>
      </c>
      <c r="Y692" s="1031" t="s">
        <v>364</v>
      </c>
      <c r="Z692" s="1184">
        <v>0</v>
      </c>
      <c r="AA692" s="1194">
        <v>0</v>
      </c>
      <c r="AB692" s="600" t="s">
        <v>1280</v>
      </c>
      <c r="AC692" s="1192" t="str">
        <f>""</f>
        <v/>
      </c>
      <c r="AD692" s="985">
        <v>0</v>
      </c>
      <c r="AE692" s="1194" t="s">
        <v>368</v>
      </c>
      <c r="AF692" s="985" t="s">
        <v>369</v>
      </c>
      <c r="AG692" s="985">
        <v>1</v>
      </c>
      <c r="AH692" s="985">
        <v>13</v>
      </c>
      <c r="AI692" s="985">
        <v>0</v>
      </c>
      <c r="AJ692" s="1193">
        <f>VLOOKUP($I692,'Price List, Weapons &amp; Items'!B:F,5,0)</f>
        <v>0</v>
      </c>
      <c r="AK692" s="1193">
        <f t="shared" si="147"/>
        <v>0</v>
      </c>
      <c r="AL692" s="1193">
        <f t="shared" si="148"/>
        <v>0</v>
      </c>
      <c r="AM692" s="1193">
        <f t="shared" si="149"/>
        <v>1</v>
      </c>
      <c r="AN692" s="1194" t="str">
        <f>VLOOKUP($I692,'Price List, Weapons &amp; Items'!B:L,COLUMN('Price List, Weapons &amp; Items'!$J$11)-1,0)</f>
        <v>Government information</v>
      </c>
      <c r="AO692" s="1194" t="str">
        <f>IF(I692=".",".",VLOOKUP($I692,'Price List, Weapons &amp; Items'!B:J,3,0))</f>
        <v>120mm tank ammunition</v>
      </c>
      <c r="AP692" s="1195" t="str">
        <f t="shared" ca="1" si="143"/>
        <v/>
      </c>
      <c r="AQ692" s="1194" t="str">
        <f>VLOOKUP($I692,'Price List, Weapons &amp; Items'!B:L,COLUMN('Price List, Weapons &amp; Items'!$L$11)-1,0)</f>
        <v>no price, 0 count</v>
      </c>
      <c r="AR692" s="1194">
        <f t="shared" si="150"/>
        <v>1</v>
      </c>
      <c r="AS692" s="1194">
        <f t="shared" si="151"/>
        <v>1</v>
      </c>
      <c r="AT692" s="1194" t="str">
        <f t="shared" si="152"/>
        <v>Value is not in date format</v>
      </c>
      <c r="AU692" s="1194" t="str">
        <f t="shared" si="153"/>
        <v>.</v>
      </c>
      <c r="AV692" s="1194" t="str">
        <f t="shared" si="144"/>
        <v>.</v>
      </c>
      <c r="AW692" s="1194" t="str">
        <f t="shared" si="154"/>
        <v>.</v>
      </c>
      <c r="AX692" s="1194">
        <f>IFERROR(VLOOKUP(B692,'Share, Heavy Weapons to Ukraine'!B:Z,COLUMN('Share, Heavy Weapons to Ukraine'!C702)-1,0),0)</f>
        <v>0</v>
      </c>
      <c r="AY692" s="1194">
        <f>VLOOKUP('Bilateral Assistance, MAIN DATA'!B692,'Country Summary (€)'!B:F,COLUMN('Country Summary (€)'!C703)-1,FALSE)</f>
        <v>1</v>
      </c>
      <c r="AZ692" s="1194" t="str">
        <f>IF(AND(AD692=1,D692="Military",H692&lt;&gt;"Not given")=TRUE,IF(SUMIFS(P:P,A:A,A692)&gt;0,ABS((SUMIFS(P:P,A:A,A692)/VLOOKUP("USD",'Exchange Rates'!B:C,2,0)))/S692,"."),".")</f>
        <v>.</v>
      </c>
      <c r="BA692" s="1196" t="str">
        <f>IF(AND(AD692=1,D692="Military",H692&lt;&gt;"Not given")=TRUE,IF(SUMIFS(P:P,A:A,A692)&gt;0,IF((ABS((SUMIFS(P:P,A:A,A692)/VLOOKUP("USD",'Exchange Rates'!B:C,2,0)))/S692)&gt;1,(SUMIFS(P:P,A:A,A692)-S692)/S692,(S692-SUMIFS(P:P,A:A,A692))/SUMIFS(P:P,A:A,A692)),"."),".")</f>
        <v>.</v>
      </c>
    </row>
    <row r="693" spans="1:72" ht="15.95" customHeight="1">
      <c r="A693" s="1180" t="s">
        <v>1884</v>
      </c>
      <c r="B693" s="1182" t="s">
        <v>1711</v>
      </c>
      <c r="C693" s="1181" t="s">
        <v>1797</v>
      </c>
      <c r="D693" s="1182" t="s">
        <v>389</v>
      </c>
      <c r="E693" s="1182" t="s">
        <v>1676</v>
      </c>
      <c r="F693" s="1263" t="s">
        <v>1885</v>
      </c>
      <c r="G693" s="1184" t="s">
        <v>483</v>
      </c>
      <c r="H693" s="1185">
        <v>600000000</v>
      </c>
      <c r="I693" s="1180" t="s">
        <v>1935</v>
      </c>
      <c r="J693" s="1186" t="str">
        <f>VLOOKUP($I693,'Price List, Weapons &amp; Items'!B:C,2,0)</f>
        <v>Heavy weapon</v>
      </c>
      <c r="K693" s="1186" t="str">
        <f>IF(I693=".",I693,VLOOKUP($I693,'Price List, Weapons &amp; Items'!B:D,3,0))</f>
        <v>Armored Recovery Vehicle (ARV)</v>
      </c>
      <c r="L693" s="1187">
        <f>VLOOKUP(I693,'Price List, Weapons &amp; Items'!B:E,4,0)</f>
        <v>0</v>
      </c>
      <c r="M693" s="1188">
        <v>2</v>
      </c>
      <c r="N693" s="1275">
        <v>2</v>
      </c>
      <c r="O693" s="1188" t="str">
        <f>VLOOKUP($I693,'Price List, Weapons &amp; Items'!B:G,6,0)</f>
        <v>.</v>
      </c>
      <c r="P693" s="1185" t="str">
        <f t="shared" si="145"/>
        <v>No price</v>
      </c>
      <c r="Q693" s="1185" t="str">
        <f t="shared" si="146"/>
        <v>No price</v>
      </c>
      <c r="R693" s="1185" t="str">
        <f t="shared" si="142"/>
        <v/>
      </c>
      <c r="S693" s="1185" t="str">
        <f>IF(AND(AD693=1,R693&lt;&gt;".")=TRUE,R693/VLOOKUP(G693,'Exchange Rates'!B:C,2,0),IF(R693=".",".",""))</f>
        <v/>
      </c>
      <c r="T693" s="1185" t="str">
        <f>IF(AD693=1,IF(AF693="Value is not given at all",".",IF(AF693="Value is given by the source",S693,IF(AF693="Value is calculated with prices",(IF(SUMIFS(Q:Q,A:A,A693)&gt;0,SUMIFS(Q:Q,A:A,A693),"."))/VLOOKUP("USD",'Exchange Rates'!B:C,2,0),"Error with coding"))),"")</f>
        <v/>
      </c>
      <c r="U693" s="1184" t="s">
        <v>365</v>
      </c>
      <c r="V693" s="972" t="s">
        <v>1782</v>
      </c>
      <c r="W693" s="966" t="s">
        <v>1280</v>
      </c>
      <c r="X693" s="1031" t="s">
        <v>364</v>
      </c>
      <c r="Y693" s="1031" t="s">
        <v>364</v>
      </c>
      <c r="Z693" s="1184">
        <v>0</v>
      </c>
      <c r="AA693" s="1194">
        <v>1</v>
      </c>
      <c r="AB693" s="600" t="s">
        <v>1280</v>
      </c>
      <c r="AC693" s="1192" t="str">
        <f>""</f>
        <v/>
      </c>
      <c r="AD693" s="985">
        <v>0</v>
      </c>
      <c r="AE693" s="1194" t="s">
        <v>368</v>
      </c>
      <c r="AF693" s="985" t="s">
        <v>369</v>
      </c>
      <c r="AG693" s="985">
        <v>1</v>
      </c>
      <c r="AH693" s="985">
        <v>13</v>
      </c>
      <c r="AI693" s="985">
        <v>0</v>
      </c>
      <c r="AJ693" s="1193">
        <f>VLOOKUP($I693,'Price List, Weapons &amp; Items'!B:F,5,0)</f>
        <v>1</v>
      </c>
      <c r="AK693" s="1193">
        <f t="shared" si="147"/>
        <v>0</v>
      </c>
      <c r="AL693" s="1193">
        <f t="shared" si="148"/>
        <v>0</v>
      </c>
      <c r="AM693" s="1193">
        <f t="shared" si="149"/>
        <v>0</v>
      </c>
      <c r="AN693" s="1194">
        <f>VLOOKUP($I693,'Price List, Weapons &amp; Items'!B:L,COLUMN('Price List, Weapons &amp; Items'!$J$11)-1,0)</f>
        <v>0</v>
      </c>
      <c r="AO693" s="1194" t="str">
        <f>IF(I693=".",".",VLOOKUP($I693,'Price List, Weapons &amp; Items'!B:J,3,0))</f>
        <v>Armored Recovery Vehicle (ARV)</v>
      </c>
      <c r="AP693" s="1195" t="str">
        <f t="shared" ca="1" si="143"/>
        <v/>
      </c>
      <c r="AQ693" s="1194">
        <f>VLOOKUP($I693,'Price List, Weapons &amp; Items'!B:L,COLUMN('Price List, Weapons &amp; Items'!$L$11)-1,0)</f>
        <v>0</v>
      </c>
      <c r="AR693" s="1194">
        <f t="shared" si="150"/>
        <v>1</v>
      </c>
      <c r="AS693" s="1194">
        <f t="shared" si="151"/>
        <v>1</v>
      </c>
      <c r="AT693" s="1194" t="str">
        <f t="shared" si="152"/>
        <v>Value is not in date format</v>
      </c>
      <c r="AU693" s="1194" t="str">
        <f t="shared" si="153"/>
        <v>.</v>
      </c>
      <c r="AV693" s="1194" t="str">
        <f t="shared" si="144"/>
        <v>.</v>
      </c>
      <c r="AW693" s="1194" t="str">
        <f t="shared" si="154"/>
        <v>.</v>
      </c>
      <c r="AX693" s="1194">
        <f>IFERROR(VLOOKUP(B693,'Share, Heavy Weapons to Ukraine'!B:Z,COLUMN('Share, Heavy Weapons to Ukraine'!C703)-1,0),0)</f>
        <v>0</v>
      </c>
      <c r="AY693" s="1194">
        <f>VLOOKUP('Bilateral Assistance, MAIN DATA'!B693,'Country Summary (€)'!B:F,COLUMN('Country Summary (€)'!C704)-1,FALSE)</f>
        <v>1</v>
      </c>
      <c r="AZ693" s="1194" t="str">
        <f>IF(AND(AD693=1,D693="Military",H693&lt;&gt;"Not given")=TRUE,IF(SUMIFS(P:P,A:A,A693)&gt;0,ABS((SUMIFS(P:P,A:A,A693)/VLOOKUP("USD",'Exchange Rates'!B:C,2,0)))/S693,"."),".")</f>
        <v>.</v>
      </c>
      <c r="BA693" s="1196" t="str">
        <f>IF(AND(AD693=1,D693="Military",H693&lt;&gt;"Not given")=TRUE,IF(SUMIFS(P:P,A:A,A693)&gt;0,IF((ABS((SUMIFS(P:P,A:A,A693)/VLOOKUP("USD",'Exchange Rates'!B:C,2,0)))/S693)&gt;1,(SUMIFS(P:P,A:A,A693)-S693)/S693,(S693-SUMIFS(P:P,A:A,A693))/SUMIFS(P:P,A:A,A693)),"."),".")</f>
        <v>.</v>
      </c>
    </row>
    <row r="694" spans="1:72" ht="15.95" customHeight="1">
      <c r="A694" s="1180" t="s">
        <v>1884</v>
      </c>
      <c r="B694" s="1182" t="s">
        <v>1711</v>
      </c>
      <c r="C694" s="1181" t="s">
        <v>1797</v>
      </c>
      <c r="D694" s="1182" t="s">
        <v>389</v>
      </c>
      <c r="E694" s="1182" t="s">
        <v>1676</v>
      </c>
      <c r="F694" s="1263" t="s">
        <v>1885</v>
      </c>
      <c r="G694" s="1184" t="s">
        <v>483</v>
      </c>
      <c r="H694" s="1185">
        <v>600000000</v>
      </c>
      <c r="I694" s="1180" t="s">
        <v>1936</v>
      </c>
      <c r="J694" s="1186" t="str">
        <f>VLOOKUP($I694,'Price List, Weapons &amp; Items'!B:C,2,0)</f>
        <v>Ammunition for heavy weapon</v>
      </c>
      <c r="K694" s="1186" t="str">
        <f>IF(I694=".",I694,VLOOKUP($I694,'Price List, Weapons &amp; Items'!B:D,3,0))</f>
        <v>Anti-aircraft guns ammunition</v>
      </c>
      <c r="L694" s="1187">
        <f>VLOOKUP(I694,'Price List, Weapons &amp; Items'!B:E,4,0)</f>
        <v>0</v>
      </c>
      <c r="M694" s="1188">
        <v>300000</v>
      </c>
      <c r="N694" s="1188" t="s">
        <v>374</v>
      </c>
      <c r="O694" s="1188">
        <f>VLOOKUP($I694,'Price List, Weapons &amp; Items'!B:G,6,0)</f>
        <v>266.94</v>
      </c>
      <c r="P694" s="1185">
        <f t="shared" si="145"/>
        <v>80082000</v>
      </c>
      <c r="Q694" s="1185" t="str">
        <f t="shared" si="146"/>
        <v>.</v>
      </c>
      <c r="R694" s="1185" t="str">
        <f t="shared" si="142"/>
        <v/>
      </c>
      <c r="S694" s="1185" t="str">
        <f>IF(AND(AD694=1,R694&lt;&gt;".")=TRUE,R694/VLOOKUP(G694,'Exchange Rates'!B:C,2,0),IF(R694=".",".",""))</f>
        <v/>
      </c>
      <c r="T694" s="1185" t="str">
        <f>IF(AD694=1,IF(AF694="Value is not given at all",".",IF(AF694="Value is given by the source",S694,IF(AF694="Value is calculated with prices",(IF(SUMIFS(Q:Q,A:A,A694)&gt;0,SUMIFS(Q:Q,A:A,A694),"."))/VLOOKUP("USD",'Exchange Rates'!B:C,2,0),"Error with coding"))),"")</f>
        <v/>
      </c>
      <c r="U694" s="1184" t="s">
        <v>365</v>
      </c>
      <c r="V694" s="972" t="s">
        <v>1782</v>
      </c>
      <c r="W694" s="987" t="s">
        <v>1280</v>
      </c>
      <c r="X694" s="1031" t="s">
        <v>364</v>
      </c>
      <c r="Y694" s="1031" t="s">
        <v>364</v>
      </c>
      <c r="Z694" s="1184">
        <v>0</v>
      </c>
      <c r="AA694" s="1194">
        <v>0</v>
      </c>
      <c r="AB694" s="600" t="s">
        <v>1280</v>
      </c>
      <c r="AC694" s="1192" t="str">
        <f>""</f>
        <v/>
      </c>
      <c r="AD694" s="985">
        <v>0</v>
      </c>
      <c r="AE694" s="1194" t="s">
        <v>368</v>
      </c>
      <c r="AF694" s="985" t="s">
        <v>369</v>
      </c>
      <c r="AG694" s="985">
        <v>1</v>
      </c>
      <c r="AH694" s="985">
        <v>14</v>
      </c>
      <c r="AI694" s="985">
        <v>0</v>
      </c>
      <c r="AJ694" s="1193">
        <f>VLOOKUP($I694,'Price List, Weapons &amp; Items'!B:F,5,0)</f>
        <v>0</v>
      </c>
      <c r="AK694" s="1193">
        <f t="shared" si="147"/>
        <v>0</v>
      </c>
      <c r="AL694" s="1193">
        <f t="shared" si="148"/>
        <v>0</v>
      </c>
      <c r="AM694" s="1193">
        <f t="shared" si="149"/>
        <v>1</v>
      </c>
      <c r="AN694" s="1194" t="str">
        <f>VLOOKUP($I694,'Price List, Weapons &amp; Items'!B:L,COLUMN('Price List, Weapons &amp; Items'!$J$11)-1,0)</f>
        <v>Miscellaneous</v>
      </c>
      <c r="AO694" s="1194" t="str">
        <f>IF(I694=".",".",VLOOKUP($I694,'Price List, Weapons &amp; Items'!B:J,3,0))</f>
        <v>Anti-aircraft guns ammunition</v>
      </c>
      <c r="AP694" s="1195" t="str">
        <f t="shared" ca="1" si="143"/>
        <v/>
      </c>
      <c r="AQ694" s="1194">
        <f>VLOOKUP($I694,'Price List, Weapons &amp; Items'!B:L,COLUMN('Price List, Weapons &amp; Items'!$L$11)-1,0)</f>
        <v>2</v>
      </c>
      <c r="AR694" s="1194">
        <f t="shared" si="150"/>
        <v>1</v>
      </c>
      <c r="AS694" s="1194">
        <f t="shared" si="151"/>
        <v>1</v>
      </c>
      <c r="AT694" s="1194" t="str">
        <f t="shared" si="152"/>
        <v>Value is not in date format</v>
      </c>
      <c r="AU694" s="1194" t="str">
        <f t="shared" si="153"/>
        <v>.</v>
      </c>
      <c r="AV694" s="1194" t="str">
        <f t="shared" si="144"/>
        <v>.</v>
      </c>
      <c r="AW694" s="1194" t="str">
        <f t="shared" si="154"/>
        <v>.</v>
      </c>
      <c r="AX694" s="1194">
        <f>IFERROR(VLOOKUP(B694,'Share, Heavy Weapons to Ukraine'!B:Z,COLUMN('Share, Heavy Weapons to Ukraine'!C704)-1,0),0)</f>
        <v>0</v>
      </c>
      <c r="AY694" s="1194">
        <f>VLOOKUP('Bilateral Assistance, MAIN DATA'!B694,'Country Summary (€)'!B:F,COLUMN('Country Summary (€)'!C705)-1,FALSE)</f>
        <v>1</v>
      </c>
      <c r="AZ694" s="1194" t="str">
        <f>IF(AND(AD694=1,D694="Military",H694&lt;&gt;"Not given")=TRUE,IF(SUMIFS(P:P,A:A,A694)&gt;0,ABS((SUMIFS(P:P,A:A,A694)/VLOOKUP("USD",'Exchange Rates'!B:C,2,0)))/S694,"."),".")</f>
        <v>.</v>
      </c>
      <c r="BA694" s="1196" t="str">
        <f>IF(AND(AD694=1,D694="Military",H694&lt;&gt;"Not given")=TRUE,IF(SUMIFS(P:P,A:A,A694)&gt;0,IF((ABS((SUMIFS(P:P,A:A,A694)/VLOOKUP("USD",'Exchange Rates'!B:C,2,0)))/S694)&gt;1,(SUMIFS(P:P,A:A,A694)-S694)/S694,(S694-SUMIFS(P:P,A:A,A694))/SUMIFS(P:P,A:A,A694)),"."),".")</f>
        <v>.</v>
      </c>
    </row>
    <row r="695" spans="1:72" ht="15.95" customHeight="1">
      <c r="A695" s="1180" t="s">
        <v>1884</v>
      </c>
      <c r="B695" s="1182" t="s">
        <v>1711</v>
      </c>
      <c r="C695" s="1181" t="s">
        <v>1797</v>
      </c>
      <c r="D695" s="1182" t="s">
        <v>389</v>
      </c>
      <c r="E695" s="1182" t="s">
        <v>1676</v>
      </c>
      <c r="F695" s="1263" t="s">
        <v>1885</v>
      </c>
      <c r="G695" s="1184" t="s">
        <v>483</v>
      </c>
      <c r="H695" s="1185">
        <v>600000000</v>
      </c>
      <c r="I695" s="1180" t="s">
        <v>1937</v>
      </c>
      <c r="J695" s="1186" t="str">
        <f>VLOOKUP($I695,'Price List, Weapons &amp; Items'!B:C,2,0)</f>
        <v>Military equipment</v>
      </c>
      <c r="K695" s="1186" t="str">
        <f>IF(I695=".",I695,VLOOKUP($I695,'Price List, Weapons &amp; Items'!B:D,3,0))</f>
        <v>Military equipment</v>
      </c>
      <c r="L695" s="1187">
        <f>VLOOKUP(I695,'Price List, Weapons &amp; Items'!B:E,4,0)</f>
        <v>0</v>
      </c>
      <c r="M695" s="1188">
        <v>10</v>
      </c>
      <c r="N695" s="1188">
        <v>10</v>
      </c>
      <c r="O695" s="1188" t="str">
        <f>VLOOKUP($I695,'Price List, Weapons &amp; Items'!B:G,6,0)</f>
        <v>.</v>
      </c>
      <c r="P695" s="1185" t="str">
        <f t="shared" si="145"/>
        <v>No price</v>
      </c>
      <c r="Q695" s="1185" t="str">
        <f t="shared" si="146"/>
        <v>No price</v>
      </c>
      <c r="R695" s="1185" t="str">
        <f t="shared" si="142"/>
        <v/>
      </c>
      <c r="S695" s="1185" t="str">
        <f>IF(AND(AD695=1,R695&lt;&gt;".")=TRUE,R695/VLOOKUP(G695,'Exchange Rates'!B:C,2,0),IF(R695=".",".",""))</f>
        <v/>
      </c>
      <c r="T695" s="1185" t="str">
        <f>IF(AD695=1,IF(AF695="Value is not given at all",".",IF(AF695="Value is given by the source",S695,IF(AF695="Value is calculated with prices",(IF(SUMIFS(Q:Q,A:A,A695)&gt;0,SUMIFS(Q:Q,A:A,A695),"."))/VLOOKUP("USD",'Exchange Rates'!B:C,2,0),"Error with coding"))),"")</f>
        <v/>
      </c>
      <c r="U695" s="1184" t="s">
        <v>365</v>
      </c>
      <c r="V695" s="972" t="s">
        <v>1782</v>
      </c>
      <c r="W695" s="966" t="s">
        <v>1280</v>
      </c>
      <c r="X695" s="1031" t="s">
        <v>364</v>
      </c>
      <c r="Y695" s="1031" t="s">
        <v>364</v>
      </c>
      <c r="Z695" s="1184">
        <v>0</v>
      </c>
      <c r="AA695" s="1194">
        <v>0</v>
      </c>
      <c r="AB695" s="600" t="s">
        <v>1280</v>
      </c>
      <c r="AC695" s="1192" t="str">
        <f>""</f>
        <v/>
      </c>
      <c r="AD695" s="985">
        <v>0</v>
      </c>
      <c r="AE695" s="1194" t="s">
        <v>368</v>
      </c>
      <c r="AF695" s="985" t="s">
        <v>369</v>
      </c>
      <c r="AG695" s="985">
        <v>1</v>
      </c>
      <c r="AH695" s="985">
        <v>14</v>
      </c>
      <c r="AI695" s="985">
        <v>0</v>
      </c>
      <c r="AJ695" s="1193">
        <f>VLOOKUP($I695,'Price List, Weapons &amp; Items'!B:F,5,0)</f>
        <v>0</v>
      </c>
      <c r="AK695" s="1193">
        <f t="shared" si="147"/>
        <v>0</v>
      </c>
      <c r="AL695" s="1193">
        <f t="shared" si="148"/>
        <v>0</v>
      </c>
      <c r="AM695" s="1193">
        <f t="shared" si="149"/>
        <v>0</v>
      </c>
      <c r="AN695" s="1194">
        <f>VLOOKUP($I695,'Price List, Weapons &amp; Items'!B:L,COLUMN('Price List, Weapons &amp; Items'!$J$11)-1,0)</f>
        <v>0</v>
      </c>
      <c r="AO695" s="1194" t="str">
        <f>IF(I695=".",".",VLOOKUP($I695,'Price List, Weapons &amp; Items'!B:J,3,0))</f>
        <v>Military equipment</v>
      </c>
      <c r="AP695" s="1195" t="str">
        <f t="shared" ca="1" si="143"/>
        <v/>
      </c>
      <c r="AQ695" s="1194">
        <f>VLOOKUP($I695,'Price List, Weapons &amp; Items'!B:L,COLUMN('Price List, Weapons &amp; Items'!$L$11)-1,0)</f>
        <v>0</v>
      </c>
      <c r="AR695" s="1194">
        <f t="shared" si="150"/>
        <v>1</v>
      </c>
      <c r="AS695" s="1194">
        <f t="shared" si="151"/>
        <v>1</v>
      </c>
      <c r="AT695" s="1194" t="str">
        <f t="shared" si="152"/>
        <v>Value is not in date format</v>
      </c>
      <c r="AU695" s="1194" t="str">
        <f t="shared" si="153"/>
        <v>.</v>
      </c>
      <c r="AV695" s="1194" t="str">
        <f t="shared" si="144"/>
        <v>.</v>
      </c>
      <c r="AW695" s="1194" t="str">
        <f t="shared" si="154"/>
        <v>.</v>
      </c>
      <c r="AX695" s="1194">
        <f>IFERROR(VLOOKUP(B695,'Share, Heavy Weapons to Ukraine'!B:Z,COLUMN('Share, Heavy Weapons to Ukraine'!C705)-1,0),0)</f>
        <v>0</v>
      </c>
      <c r="AY695" s="1194">
        <f>VLOOKUP('Bilateral Assistance, MAIN DATA'!B695,'Country Summary (€)'!B:F,COLUMN('Country Summary (€)'!C706)-1,FALSE)</f>
        <v>1</v>
      </c>
      <c r="AZ695" s="1194" t="str">
        <f>IF(AND(AD695=1,D695="Military",H695&lt;&gt;"Not given")=TRUE,IF(SUMIFS(P:P,A:A,A695)&gt;0,ABS((SUMIFS(P:P,A:A,A695)/VLOOKUP("USD",'Exchange Rates'!B:C,2,0)))/S695,"."),".")</f>
        <v>.</v>
      </c>
      <c r="BA695" s="1196" t="str">
        <f>IF(AND(AD695=1,D695="Military",H695&lt;&gt;"Not given")=TRUE,IF(SUMIFS(P:P,A:A,A695)&gt;0,IF((ABS((SUMIFS(P:P,A:A,A695)/VLOOKUP("USD",'Exchange Rates'!B:C,2,0)))/S695)&gt;1,(SUMIFS(P:P,A:A,A695)-S695)/S695,(S695-SUMIFS(P:P,A:A,A695))/SUMIFS(P:P,A:A,A695)),"."),".")</f>
        <v>.</v>
      </c>
    </row>
    <row r="696" spans="1:72" ht="15.95" customHeight="1">
      <c r="A696" s="1180" t="s">
        <v>1884</v>
      </c>
      <c r="B696" s="1182" t="s">
        <v>1711</v>
      </c>
      <c r="C696" s="1181">
        <v>45346</v>
      </c>
      <c r="D696" s="1182" t="s">
        <v>389</v>
      </c>
      <c r="E696" s="1182" t="s">
        <v>1676</v>
      </c>
      <c r="F696" s="1263" t="s">
        <v>1885</v>
      </c>
      <c r="G696" s="1184" t="s">
        <v>483</v>
      </c>
      <c r="H696" s="1185">
        <v>600000000</v>
      </c>
      <c r="I696" s="1180" t="s">
        <v>1933</v>
      </c>
      <c r="J696" s="1186" t="str">
        <f>VLOOKUP($I696,'Price List, Weapons &amp; Items'!B:C,2,0)</f>
        <v>Heavy weapon</v>
      </c>
      <c r="K696" s="1186" t="str">
        <f>IF(I696=".",I696,VLOOKUP($I696,'Price List, Weapons &amp; Items'!B:D,3,0))</f>
        <v>Main Battle Tank (MBT)</v>
      </c>
      <c r="L696" s="1187">
        <f>VLOOKUP(I696,'Price List, Weapons &amp; Items'!B:E,4,0)</f>
        <v>0</v>
      </c>
      <c r="M696" s="1188">
        <v>4</v>
      </c>
      <c r="N696" s="1275">
        <v>4</v>
      </c>
      <c r="O696" s="1188">
        <f>VLOOKUP($I696,'Price List, Weapons &amp; Items'!B:G,6,0)</f>
        <v>10000000</v>
      </c>
      <c r="P696" s="1185">
        <f t="shared" si="145"/>
        <v>40000000</v>
      </c>
      <c r="Q696" s="1185">
        <f t="shared" si="146"/>
        <v>40000000</v>
      </c>
      <c r="R696" s="1185" t="str">
        <f t="shared" si="142"/>
        <v/>
      </c>
      <c r="S696" s="1185" t="str">
        <f>IF(AND(AD696=1,R696&lt;&gt;".")=TRUE,R696/VLOOKUP(G696,'Exchange Rates'!B:C,2,0),IF(R696=".",".",""))</f>
        <v/>
      </c>
      <c r="T696" s="1185" t="str">
        <f>IF(AD696=1,IF(AF696="Value is not given at all",".",IF(AF696="Value is given by the source",S696,IF(AF696="Value is calculated with prices",(IF(SUMIFS(Q:Q,A:A,A696)&gt;0,SUMIFS(Q:Q,A:A,A696),"."))/VLOOKUP("USD",'Exchange Rates'!B:C,2,0),"Error with coding"))),"")</f>
        <v/>
      </c>
      <c r="U696" s="1184" t="s">
        <v>365</v>
      </c>
      <c r="V696" s="972" t="s">
        <v>1782</v>
      </c>
      <c r="W696" s="966" t="s">
        <v>1280</v>
      </c>
      <c r="X696" s="976" t="s">
        <v>1938</v>
      </c>
      <c r="Y696" s="1183" t="s">
        <v>364</v>
      </c>
      <c r="Z696" s="1184">
        <v>0</v>
      </c>
      <c r="AA696" s="1184">
        <v>1</v>
      </c>
      <c r="AB696" s="600" t="s">
        <v>1280</v>
      </c>
      <c r="AC696" s="1192" t="str">
        <f>""</f>
        <v/>
      </c>
      <c r="AD696" s="1184">
        <v>0</v>
      </c>
      <c r="AE696" s="1184" t="s">
        <v>368</v>
      </c>
      <c r="AF696" s="1184" t="s">
        <v>369</v>
      </c>
      <c r="AG696" s="1184">
        <v>1</v>
      </c>
      <c r="AH696" s="1184">
        <v>14</v>
      </c>
      <c r="AI696" s="1184">
        <v>0</v>
      </c>
      <c r="AJ696" s="1193">
        <f>VLOOKUP($I696,'Price List, Weapons &amp; Items'!B:F,5,0)</f>
        <v>1</v>
      </c>
      <c r="AK696" s="1193">
        <f t="shared" si="147"/>
        <v>0</v>
      </c>
      <c r="AL696" s="1193">
        <f t="shared" si="148"/>
        <v>0</v>
      </c>
      <c r="AM696" s="1193">
        <f t="shared" si="149"/>
        <v>0</v>
      </c>
      <c r="AN696" s="1194" t="str">
        <f>VLOOKUP($I696,'Price List, Weapons &amp; Items'!B:L,COLUMN('Price List, Weapons &amp; Items'!$J$11)-1,0)</f>
        <v>Contracts</v>
      </c>
      <c r="AO696" s="1194" t="str">
        <f>IF(I696=".",".",VLOOKUP($I696,'Price List, Weapons &amp; Items'!B:J,3,0))</f>
        <v>Main Battle Tank (MBT)</v>
      </c>
      <c r="AP696" s="1195" t="str">
        <f t="shared" ca="1" si="143"/>
        <v/>
      </c>
      <c r="AQ696" s="1194">
        <f>VLOOKUP($I696,'Price List, Weapons &amp; Items'!B:L,COLUMN('Price List, Weapons &amp; Items'!$L$11)-1,0)</f>
        <v>2</v>
      </c>
      <c r="AR696" s="1194">
        <f t="shared" si="150"/>
        <v>1</v>
      </c>
      <c r="AS696" s="1194">
        <f t="shared" si="151"/>
        <v>1</v>
      </c>
      <c r="AT696" s="1194">
        <f t="shared" si="152"/>
        <v>1</v>
      </c>
      <c r="AU696" s="1194" t="str">
        <f t="shared" si="153"/>
        <v>.</v>
      </c>
      <c r="AV696" s="1194" t="str">
        <f t="shared" si="144"/>
        <v>.</v>
      </c>
      <c r="AW696" s="1194" t="str">
        <f t="shared" si="154"/>
        <v>.</v>
      </c>
      <c r="AX696" s="1194">
        <f>IFERROR(VLOOKUP(B696,'Share, Heavy Weapons to Ukraine'!B:Z,COLUMN('Share, Heavy Weapons to Ukraine'!C706)-1,0),0)</f>
        <v>0</v>
      </c>
      <c r="AY696" s="1194">
        <f>VLOOKUP('Bilateral Assistance, MAIN DATA'!B696,'Country Summary (€)'!B:F,COLUMN('Country Summary (€)'!C707)-1,FALSE)</f>
        <v>1</v>
      </c>
      <c r="AZ696" s="1194" t="str">
        <f>IF(AND(AD696=1,D696="Military",H696&lt;&gt;"Not given")=TRUE,IF(SUMIFS(P:P,A:A,A696)&gt;0,ABS((SUMIFS(P:P,A:A,A696)/VLOOKUP("USD",'Exchange Rates'!B:C,2,0)))/S696,"."),".")</f>
        <v>.</v>
      </c>
      <c r="BA696" s="1196" t="str">
        <f>IF(AND(AD696=1,D696="Military",H696&lt;&gt;"Not given")=TRUE,IF(SUMIFS(P:P,A:A,A696)&gt;0,IF((ABS((SUMIFS(P:P,A:A,A696)/VLOOKUP("USD",'Exchange Rates'!B:C,2,0)))/S696)&gt;1,(SUMIFS(P:P,A:A,A696)-S696)/S696,(S696-SUMIFS(P:P,A:A,A696))/SUMIFS(P:P,A:A,A696)),"."),".")</f>
        <v>.</v>
      </c>
      <c r="BB696" s="1180"/>
      <c r="BC696" s="1180"/>
      <c r="BD696" s="1180"/>
      <c r="BE696" s="1180"/>
      <c r="BF696" s="1180"/>
      <c r="BG696" s="1180"/>
      <c r="BH696" s="1180"/>
      <c r="BI696" s="1180"/>
      <c r="BJ696" s="1180"/>
      <c r="BK696" s="1180"/>
      <c r="BL696" s="1180"/>
      <c r="BM696" s="1180"/>
      <c r="BN696" s="1180"/>
      <c r="BO696" s="1180"/>
      <c r="BP696" s="1180"/>
      <c r="BQ696" s="1180"/>
      <c r="BR696" s="1180"/>
      <c r="BS696" s="1180"/>
      <c r="BT696" s="1180"/>
    </row>
    <row r="697" spans="1:72" ht="15.95" customHeight="1">
      <c r="A697" s="1180" t="s">
        <v>1884</v>
      </c>
      <c r="B697" s="1182" t="s">
        <v>1711</v>
      </c>
      <c r="C697" s="1181" t="s">
        <v>1939</v>
      </c>
      <c r="D697" s="1182" t="s">
        <v>389</v>
      </c>
      <c r="E697" s="1182" t="s">
        <v>1676</v>
      </c>
      <c r="F697" s="1263" t="s">
        <v>1885</v>
      </c>
      <c r="G697" s="1184" t="s">
        <v>483</v>
      </c>
      <c r="H697" s="1185">
        <v>600000000</v>
      </c>
      <c r="I697" s="1283" t="s">
        <v>1940</v>
      </c>
      <c r="J697" s="1186" t="str">
        <f>VLOOKUP($I697,'Price List, Weapons &amp; Items'!B:C,2,0)</f>
        <v>Military equipment</v>
      </c>
      <c r="K697" s="1186" t="str">
        <f>IF(I697=".",I697,VLOOKUP($I697,'Price List, Weapons &amp; Items'!B:D,3,0))</f>
        <v>Military equipment</v>
      </c>
      <c r="L697" s="1187">
        <f>VLOOKUP(I697,'Price List, Weapons &amp; Items'!B:E,4,0)</f>
        <v>0</v>
      </c>
      <c r="M697" s="1188" t="s">
        <v>374</v>
      </c>
      <c r="N697" s="1275" t="s">
        <v>374</v>
      </c>
      <c r="O697" s="1188" t="str">
        <f>VLOOKUP($I697,'Price List, Weapons &amp; Items'!B:G,6,0)</f>
        <v>.</v>
      </c>
      <c r="P697" s="1185" t="str">
        <f t="shared" si="145"/>
        <v>.</v>
      </c>
      <c r="Q697" s="1185" t="str">
        <f t="shared" si="146"/>
        <v>.</v>
      </c>
      <c r="R697" s="1185" t="str">
        <f t="shared" si="142"/>
        <v/>
      </c>
      <c r="S697" s="1185" t="str">
        <f>IF(AND(AD697=1,R697&lt;&gt;".")=TRUE,R697/VLOOKUP(G697,'Exchange Rates'!B:C,2,0),IF(R697=".",".",""))</f>
        <v/>
      </c>
      <c r="T697" s="1185" t="str">
        <f>IF(AD697=1,IF(AF697="Value is not given at all",".",IF(AF697="Value is given by the source",S697,IF(AF697="Value is calculated with prices",(IF(SUMIFS(Q:Q,A:A,A697)&gt;0,SUMIFS(Q:Q,A:A,A697),"."))/VLOOKUP("USD",'Exchange Rates'!B:C,2,0),"Error with coding"))),"")</f>
        <v/>
      </c>
      <c r="U697" s="1184" t="s">
        <v>365</v>
      </c>
      <c r="V697" s="972" t="s">
        <v>1782</v>
      </c>
      <c r="W697" s="966" t="s">
        <v>1280</v>
      </c>
      <c r="X697" s="976" t="s">
        <v>364</v>
      </c>
      <c r="Y697" s="1183" t="s">
        <v>364</v>
      </c>
      <c r="Z697" s="1184">
        <v>0</v>
      </c>
      <c r="AA697" s="1184">
        <v>1</v>
      </c>
      <c r="AB697" s="600" t="s">
        <v>1280</v>
      </c>
      <c r="AC697" s="1192" t="str">
        <f>""</f>
        <v/>
      </c>
      <c r="AD697" s="1184">
        <v>0</v>
      </c>
      <c r="AE697" s="1184" t="s">
        <v>368</v>
      </c>
      <c r="AF697" s="1184" t="s">
        <v>369</v>
      </c>
      <c r="AG697" s="1184">
        <v>1</v>
      </c>
      <c r="AH697" s="1184">
        <v>15</v>
      </c>
      <c r="AI697" s="1184">
        <v>0</v>
      </c>
      <c r="AJ697" s="1193">
        <f>VLOOKUP($I697,'Price List, Weapons &amp; Items'!B:F,5,0)</f>
        <v>0</v>
      </c>
      <c r="AK697" s="1193">
        <f t="shared" si="147"/>
        <v>0</v>
      </c>
      <c r="AL697" s="1193">
        <f t="shared" si="148"/>
        <v>0</v>
      </c>
      <c r="AM697" s="1193">
        <f t="shared" si="149"/>
        <v>0</v>
      </c>
      <c r="AN697" s="1194" t="str">
        <f>VLOOKUP($I697,'Price List, Weapons &amp; Items'!B:L,COLUMN('Price List, Weapons &amp; Items'!$J$11)-1,0)</f>
        <v>.</v>
      </c>
      <c r="AO697" s="1194" t="str">
        <f>IF(I697=".",".",VLOOKUP($I697,'Price List, Weapons &amp; Items'!B:J,3,0))</f>
        <v>Military equipment</v>
      </c>
      <c r="AP697" s="1195" t="str">
        <f t="shared" ca="1" si="143"/>
        <v/>
      </c>
      <c r="AQ697" s="1194" t="str">
        <f>VLOOKUP($I697,'Price List, Weapons &amp; Items'!B:L,COLUMN('Price List, Weapons &amp; Items'!$L$11)-1,0)</f>
        <v>no price, 0 count</v>
      </c>
      <c r="AR697" s="1194">
        <f t="shared" si="150"/>
        <v>1</v>
      </c>
      <c r="AS697" s="1194">
        <f t="shared" si="151"/>
        <v>1</v>
      </c>
      <c r="AT697" s="1194" t="str">
        <f t="shared" si="152"/>
        <v>Value is not in date format</v>
      </c>
      <c r="AU697" s="1194" t="str">
        <f t="shared" si="153"/>
        <v>.</v>
      </c>
      <c r="AV697" s="1194" t="str">
        <f t="shared" si="144"/>
        <v>.</v>
      </c>
      <c r="AW697" s="1194" t="str">
        <f t="shared" si="154"/>
        <v>.</v>
      </c>
      <c r="AX697" s="1194">
        <f>IFERROR(VLOOKUP(B697,'Share, Heavy Weapons to Ukraine'!B:Z,COLUMN('Share, Heavy Weapons to Ukraine'!C707)-1,0),0)</f>
        <v>0</v>
      </c>
      <c r="AY697" s="1194">
        <f>VLOOKUP('Bilateral Assistance, MAIN DATA'!B697,'Country Summary (€)'!B:F,COLUMN('Country Summary (€)'!C708)-1,FALSE)</f>
        <v>1</v>
      </c>
      <c r="AZ697" s="1194" t="str">
        <f>IF(AND(AD697=1,D697="Military",H697&lt;&gt;"Not given")=TRUE,IF(SUMIFS(P:P,A:A,A697)&gt;0,ABS((SUMIFS(P:P,A:A,A697)/VLOOKUP("USD",'Exchange Rates'!B:C,2,0)))/S697,"."),".")</f>
        <v>.</v>
      </c>
      <c r="BA697" s="1196" t="str">
        <f>IF(AND(AD697=1,D697="Military",H697&lt;&gt;"Not given")=TRUE,IF(SUMIFS(P:P,A:A,A697)&gt;0,IF((ABS((SUMIFS(P:P,A:A,A697)/VLOOKUP("USD",'Exchange Rates'!B:C,2,0)))/S697)&gt;1,(SUMIFS(P:P,A:A,A697)-S697)/S697,(S697-SUMIFS(P:P,A:A,A697))/SUMIFS(P:P,A:A,A697)),"."),".")</f>
        <v>.</v>
      </c>
      <c r="BB697" s="1180"/>
      <c r="BC697" s="1180"/>
      <c r="BD697" s="1180"/>
      <c r="BE697" s="1180"/>
      <c r="BF697" s="1180"/>
      <c r="BG697" s="1180"/>
      <c r="BH697" s="1180"/>
      <c r="BI697" s="1180"/>
      <c r="BJ697" s="1180"/>
      <c r="BK697" s="1180"/>
      <c r="BL697" s="1180"/>
      <c r="BM697" s="1180"/>
      <c r="BN697" s="1180"/>
      <c r="BO697" s="1180"/>
      <c r="BP697" s="1180"/>
      <c r="BQ697" s="1180"/>
      <c r="BR697" s="1180"/>
      <c r="BS697" s="1180"/>
      <c r="BT697" s="1180"/>
    </row>
    <row r="698" spans="1:72" ht="15.95" customHeight="1">
      <c r="A698" s="1180" t="s">
        <v>1884</v>
      </c>
      <c r="B698" s="1182" t="s">
        <v>1711</v>
      </c>
      <c r="C698" s="1181" t="s">
        <v>1941</v>
      </c>
      <c r="D698" s="1182" t="s">
        <v>389</v>
      </c>
      <c r="E698" s="1182" t="s">
        <v>1676</v>
      </c>
      <c r="F698" s="1263" t="s">
        <v>1885</v>
      </c>
      <c r="G698" s="1184" t="s">
        <v>483</v>
      </c>
      <c r="H698" s="1185">
        <v>600000000</v>
      </c>
      <c r="I698" s="1283" t="s">
        <v>1942</v>
      </c>
      <c r="J698" s="1186" t="str">
        <f>VLOOKUP($I698,'Price List, Weapons &amp; Items'!B:C,2,0)</f>
        <v>Military equipment</v>
      </c>
      <c r="K698" s="1186" t="str">
        <f>IF(I698=".",I698,VLOOKUP($I698,'Price List, Weapons &amp; Items'!B:D,3,0))</f>
        <v>Military equipment</v>
      </c>
      <c r="L698" s="1187">
        <f>VLOOKUP(I698,'Price List, Weapons &amp; Items'!B:E,4,0)</f>
        <v>0</v>
      </c>
      <c r="M698" s="1188">
        <v>103000</v>
      </c>
      <c r="N698" s="1275">
        <v>103000</v>
      </c>
      <c r="O698" s="1188">
        <f>VLOOKUP($I698,'Price List, Weapons &amp; Items'!B:G,6,0)</f>
        <v>30.99</v>
      </c>
      <c r="P698" s="1185">
        <f t="shared" si="145"/>
        <v>3191970</v>
      </c>
      <c r="Q698" s="1185">
        <f t="shared" si="146"/>
        <v>3191970</v>
      </c>
      <c r="R698" s="1185" t="str">
        <f t="shared" si="142"/>
        <v/>
      </c>
      <c r="S698" s="1185" t="str">
        <f>IF(AND(AD698=1,R698&lt;&gt;".")=TRUE,R698/VLOOKUP(G698,'Exchange Rates'!B:C,2,0),IF(R698=".",".",""))</f>
        <v/>
      </c>
      <c r="T698" s="1185" t="str">
        <f>IF(AD698=1,IF(AF698="Value is not given at all",".",IF(AF698="Value is given by the source",S698,IF(AF698="Value is calculated with prices",(IF(SUMIFS(Q:Q,A:A,A698)&gt;0,SUMIFS(Q:Q,A:A,A698),"."))/VLOOKUP("USD",'Exchange Rates'!B:C,2,0),"Error with coding"))),"")</f>
        <v/>
      </c>
      <c r="U698" s="1184" t="s">
        <v>365</v>
      </c>
      <c r="V698" s="972" t="s">
        <v>1782</v>
      </c>
      <c r="W698" s="966" t="s">
        <v>1280</v>
      </c>
      <c r="X698" s="976" t="s">
        <v>364</v>
      </c>
      <c r="Y698" s="1183" t="s">
        <v>364</v>
      </c>
      <c r="Z698" s="1184">
        <v>0</v>
      </c>
      <c r="AA698" s="1184">
        <v>1</v>
      </c>
      <c r="AB698" s="600" t="s">
        <v>1280</v>
      </c>
      <c r="AC698" s="1192" t="str">
        <f>""</f>
        <v/>
      </c>
      <c r="AD698" s="1184">
        <v>0</v>
      </c>
      <c r="AE698" s="1184" t="s">
        <v>368</v>
      </c>
      <c r="AF698" s="1184" t="s">
        <v>369</v>
      </c>
      <c r="AG698" s="1184">
        <v>1</v>
      </c>
      <c r="AH698" s="1184">
        <v>15</v>
      </c>
      <c r="AI698" s="1184">
        <v>0</v>
      </c>
      <c r="AJ698" s="1193">
        <f>VLOOKUP($I698,'Price List, Weapons &amp; Items'!B:F,5,0)</f>
        <v>0</v>
      </c>
      <c r="AK698" s="1193">
        <f t="shared" si="147"/>
        <v>0</v>
      </c>
      <c r="AL698" s="1193">
        <f t="shared" si="148"/>
        <v>0</v>
      </c>
      <c r="AM698" s="1193">
        <f t="shared" si="149"/>
        <v>0</v>
      </c>
      <c r="AN698" s="1194" t="str">
        <f>VLOOKUP($I698,'Price List, Weapons &amp; Items'!B:L,COLUMN('Price List, Weapons &amp; Items'!$J$11)-1,0)</f>
        <v>Online marketplaces and stores</v>
      </c>
      <c r="AO698" s="1194" t="str">
        <f>IF(I698=".",".",VLOOKUP($I698,'Price List, Weapons &amp; Items'!B:J,3,0))</f>
        <v>Military equipment</v>
      </c>
      <c r="AP698" s="1195" t="str">
        <f t="shared" ca="1" si="143"/>
        <v/>
      </c>
      <c r="AQ698" s="1194">
        <f>VLOOKUP($I698,'Price List, Weapons &amp; Items'!B:L,COLUMN('Price List, Weapons &amp; Items'!$L$11)-1,0)</f>
        <v>2</v>
      </c>
      <c r="AR698" s="1194">
        <f t="shared" si="150"/>
        <v>1</v>
      </c>
      <c r="AS698" s="1194">
        <f t="shared" si="151"/>
        <v>1</v>
      </c>
      <c r="AT698" s="1194" t="str">
        <f t="shared" si="152"/>
        <v>Value is not in date format</v>
      </c>
      <c r="AU698" s="1194" t="str">
        <f t="shared" si="153"/>
        <v>.</v>
      </c>
      <c r="AV698" s="1194" t="str">
        <f t="shared" si="144"/>
        <v>.</v>
      </c>
      <c r="AW698" s="1194" t="str">
        <f t="shared" si="154"/>
        <v>.</v>
      </c>
      <c r="AX698" s="1194">
        <f>IFERROR(VLOOKUP(B698,'Share, Heavy Weapons to Ukraine'!B:Z,COLUMN('Share, Heavy Weapons to Ukraine'!C708)-1,0),0)</f>
        <v>0</v>
      </c>
      <c r="AY698" s="1194">
        <f>VLOOKUP('Bilateral Assistance, MAIN DATA'!B698,'Country Summary (€)'!B:F,COLUMN('Country Summary (€)'!C709)-1,FALSE)</f>
        <v>1</v>
      </c>
      <c r="AZ698" s="1194" t="str">
        <f>IF(AND(AD698=1,D698="Military",H698&lt;&gt;"Not given")=TRUE,IF(SUMIFS(P:P,A:A,A698)&gt;0,ABS((SUMIFS(P:P,A:A,A698)/VLOOKUP("USD",'Exchange Rates'!B:C,2,0)))/S698,"."),".")</f>
        <v>.</v>
      </c>
      <c r="BA698" s="1196" t="str">
        <f>IF(AND(AD698=1,D698="Military",H698&lt;&gt;"Not given")=TRUE,IF(SUMIFS(P:P,A:A,A698)&gt;0,IF((ABS((SUMIFS(P:P,A:A,A698)/VLOOKUP("USD",'Exchange Rates'!B:C,2,0)))/S698)&gt;1,(SUMIFS(P:P,A:A,A698)-S698)/S698,(S698-SUMIFS(P:P,A:A,A698))/SUMIFS(P:P,A:A,A698)),"."),".")</f>
        <v>.</v>
      </c>
      <c r="BB698" s="1180"/>
      <c r="BC698" s="1180"/>
      <c r="BD698" s="1180"/>
      <c r="BE698" s="1180"/>
      <c r="BF698" s="1180"/>
      <c r="BG698" s="1180"/>
      <c r="BH698" s="1180"/>
      <c r="BI698" s="1180"/>
      <c r="BJ698" s="1180"/>
      <c r="BK698" s="1180"/>
      <c r="BL698" s="1180"/>
      <c r="BM698" s="1180"/>
      <c r="BN698" s="1180"/>
      <c r="BO698" s="1180"/>
      <c r="BP698" s="1180"/>
      <c r="BQ698" s="1180"/>
      <c r="BR698" s="1180"/>
      <c r="BS698" s="1180"/>
      <c r="BT698" s="1180"/>
    </row>
    <row r="699" spans="1:72" ht="15.95" customHeight="1">
      <c r="A699" s="1180" t="s">
        <v>1884</v>
      </c>
      <c r="B699" s="1182" t="s">
        <v>1711</v>
      </c>
      <c r="C699" s="1181" t="s">
        <v>1941</v>
      </c>
      <c r="D699" s="1182" t="s">
        <v>389</v>
      </c>
      <c r="E699" s="1182" t="s">
        <v>1676</v>
      </c>
      <c r="F699" s="1263" t="s">
        <v>1885</v>
      </c>
      <c r="G699" s="1184" t="s">
        <v>483</v>
      </c>
      <c r="H699" s="1185">
        <v>600000000</v>
      </c>
      <c r="I699" s="1283" t="s">
        <v>1865</v>
      </c>
      <c r="J699" s="1186" t="str">
        <f>VLOOKUP($I699,'Price List, Weapons &amp; Items'!B:C,2,0)</f>
        <v>Military equipment</v>
      </c>
      <c r="K699" s="1186" t="str">
        <f>IF(I699=".",I699,VLOOKUP($I699,'Price List, Weapons &amp; Items'!B:D,3,0))</f>
        <v>Military equipment</v>
      </c>
      <c r="L699" s="1187">
        <f>VLOOKUP(I699,'Price List, Weapons &amp; Items'!B:E,4,0)</f>
        <v>0</v>
      </c>
      <c r="M699" s="1188">
        <v>10</v>
      </c>
      <c r="N699" s="1275">
        <v>10</v>
      </c>
      <c r="O699" s="1188">
        <f>VLOOKUP($I699,'Price List, Weapons &amp; Items'!B:G,6,0)</f>
        <v>8000</v>
      </c>
      <c r="P699" s="1185">
        <f t="shared" si="145"/>
        <v>80000</v>
      </c>
      <c r="Q699" s="1185">
        <f t="shared" si="146"/>
        <v>80000</v>
      </c>
      <c r="R699" s="1185" t="str">
        <f t="shared" si="142"/>
        <v/>
      </c>
      <c r="S699" s="1185" t="str">
        <f>IF(AND(AD699=1,R699&lt;&gt;".")=TRUE,R699/VLOOKUP(G699,'Exchange Rates'!B:C,2,0),IF(R699=".",".",""))</f>
        <v/>
      </c>
      <c r="T699" s="1185" t="str">
        <f>IF(AD699=1,IF(AF699="Value is not given at all",".",IF(AF699="Value is given by the source",S699,IF(AF699="Value is calculated with prices",(IF(SUMIFS(Q:Q,A:A,A699)&gt;0,SUMIFS(Q:Q,A:A,A699),"."))/VLOOKUP("USD",'Exchange Rates'!B:C,2,0),"Error with coding"))),"")</f>
        <v/>
      </c>
      <c r="U699" s="1184" t="s">
        <v>365</v>
      </c>
      <c r="V699" s="972" t="s">
        <v>1782</v>
      </c>
      <c r="W699" s="966" t="s">
        <v>1280</v>
      </c>
      <c r="X699" s="976" t="s">
        <v>364</v>
      </c>
      <c r="Y699" s="1183" t="s">
        <v>364</v>
      </c>
      <c r="Z699" s="1184">
        <v>0</v>
      </c>
      <c r="AA699" s="1184">
        <v>1</v>
      </c>
      <c r="AB699" s="600" t="s">
        <v>1280</v>
      </c>
      <c r="AC699" s="1192" t="str">
        <f>""</f>
        <v/>
      </c>
      <c r="AD699" s="1184">
        <v>0</v>
      </c>
      <c r="AE699" s="1184" t="s">
        <v>368</v>
      </c>
      <c r="AF699" s="1184" t="s">
        <v>369</v>
      </c>
      <c r="AG699" s="1184">
        <v>1</v>
      </c>
      <c r="AH699" s="1184">
        <v>15</v>
      </c>
      <c r="AI699" s="1184">
        <v>0</v>
      </c>
      <c r="AJ699" s="1193">
        <f>VLOOKUP($I699,'Price List, Weapons &amp; Items'!B:F,5,0)</f>
        <v>0</v>
      </c>
      <c r="AK699" s="1193">
        <f t="shared" si="147"/>
        <v>0</v>
      </c>
      <c r="AL699" s="1193">
        <f t="shared" si="148"/>
        <v>0</v>
      </c>
      <c r="AM699" s="1193">
        <f t="shared" si="149"/>
        <v>0</v>
      </c>
      <c r="AN699" s="1194" t="str">
        <f>VLOOKUP($I699,'Price List, Weapons &amp; Items'!B:L,COLUMN('Price List, Weapons &amp; Items'!$J$11)-1,0)</f>
        <v>Media reports (incl. social media)</v>
      </c>
      <c r="AO699" s="1194" t="str">
        <f>IF(I699=".",".",VLOOKUP($I699,'Price List, Weapons &amp; Items'!B:J,3,0))</f>
        <v>Military equipment</v>
      </c>
      <c r="AP699" s="1195" t="str">
        <f t="shared" ca="1" si="143"/>
        <v/>
      </c>
      <c r="AQ699" s="1194">
        <f>VLOOKUP($I699,'Price List, Weapons &amp; Items'!B:L,COLUMN('Price List, Weapons &amp; Items'!$L$11)-1,0)</f>
        <v>1</v>
      </c>
      <c r="AR699" s="1194">
        <f t="shared" si="150"/>
        <v>1</v>
      </c>
      <c r="AS699" s="1194">
        <f t="shared" si="151"/>
        <v>1</v>
      </c>
      <c r="AT699" s="1194" t="str">
        <f t="shared" si="152"/>
        <v>Value is not in date format</v>
      </c>
      <c r="AU699" s="1194" t="str">
        <f t="shared" si="153"/>
        <v>.</v>
      </c>
      <c r="AV699" s="1194" t="str">
        <f t="shared" si="144"/>
        <v>.</v>
      </c>
      <c r="AW699" s="1194" t="str">
        <f t="shared" si="154"/>
        <v>.</v>
      </c>
      <c r="AX699" s="1194">
        <f>IFERROR(VLOOKUP(B699,'Share, Heavy Weapons to Ukraine'!B:Z,COLUMN('Share, Heavy Weapons to Ukraine'!C709)-1,0),0)</f>
        <v>0</v>
      </c>
      <c r="AY699" s="1194">
        <f>VLOOKUP('Bilateral Assistance, MAIN DATA'!B699,'Country Summary (€)'!B:F,COLUMN('Country Summary (€)'!C710)-1,FALSE)</f>
        <v>1</v>
      </c>
      <c r="AZ699" s="1194" t="str">
        <f>IF(AND(AD699=1,D699="Military",H699&lt;&gt;"Not given")=TRUE,IF(SUMIFS(P:P,A:A,A699)&gt;0,ABS((SUMIFS(P:P,A:A,A699)/VLOOKUP("USD",'Exchange Rates'!B:C,2,0)))/S699,"."),".")</f>
        <v>.</v>
      </c>
      <c r="BA699" s="1196" t="str">
        <f>IF(AND(AD699=1,D699="Military",H699&lt;&gt;"Not given")=TRUE,IF(SUMIFS(P:P,A:A,A699)&gt;0,IF((ABS((SUMIFS(P:P,A:A,A699)/VLOOKUP("USD",'Exchange Rates'!B:C,2,0)))/S699)&gt;1,(SUMIFS(P:P,A:A,A699)-S699)/S699,(S699-SUMIFS(P:P,A:A,A699))/SUMIFS(P:P,A:A,A699)),"."),".")</f>
        <v>.</v>
      </c>
      <c r="BB699" s="1180"/>
      <c r="BC699" s="1180"/>
      <c r="BD699" s="1180"/>
      <c r="BE699" s="1180"/>
      <c r="BF699" s="1180"/>
      <c r="BG699" s="1180"/>
      <c r="BH699" s="1180"/>
      <c r="BI699" s="1180"/>
      <c r="BJ699" s="1180"/>
      <c r="BK699" s="1180"/>
      <c r="BL699" s="1180"/>
      <c r="BM699" s="1180"/>
      <c r="BN699" s="1180"/>
      <c r="BO699" s="1180"/>
      <c r="BP699" s="1180"/>
      <c r="BQ699" s="1180"/>
      <c r="BR699" s="1180"/>
      <c r="BS699" s="1180"/>
      <c r="BT699" s="1180"/>
    </row>
    <row r="700" spans="1:72" ht="15.95" customHeight="1">
      <c r="A700" s="1180" t="s">
        <v>1884</v>
      </c>
      <c r="B700" s="1182" t="s">
        <v>1711</v>
      </c>
      <c r="C700" s="1181" t="s">
        <v>1788</v>
      </c>
      <c r="D700" s="1182" t="s">
        <v>389</v>
      </c>
      <c r="E700" s="1182" t="s">
        <v>1676</v>
      </c>
      <c r="F700" s="1263" t="s">
        <v>1885</v>
      </c>
      <c r="G700" s="1184" t="s">
        <v>483</v>
      </c>
      <c r="H700" s="1185">
        <v>600000000</v>
      </c>
      <c r="I700" s="1266" t="s">
        <v>1943</v>
      </c>
      <c r="J700" s="1186" t="str">
        <f>VLOOKUP($I700,'Price List, Weapons &amp; Items'!B:C,2,0)</f>
        <v>Military equipment</v>
      </c>
      <c r="K700" s="1186" t="str">
        <f>IF(I700=".",I700,VLOOKUP($I700,'Price List, Weapons &amp; Items'!B:D,3,0))</f>
        <v>Military equipment</v>
      </c>
      <c r="L700" s="1187">
        <f>VLOOKUP(I700,'Price List, Weapons &amp; Items'!B:E,4,0)</f>
        <v>0</v>
      </c>
      <c r="M700" s="1188">
        <v>11000</v>
      </c>
      <c r="N700" s="1275" t="s">
        <v>374</v>
      </c>
      <c r="O700" s="1188">
        <f>VLOOKUP($I700,'Price List, Weapons &amp; Items'!B:G,6,0)</f>
        <v>22</v>
      </c>
      <c r="P700" s="1185">
        <f t="shared" si="145"/>
        <v>242000</v>
      </c>
      <c r="Q700" s="1185" t="str">
        <f t="shared" si="146"/>
        <v>.</v>
      </c>
      <c r="R700" s="1185" t="str">
        <f t="shared" si="142"/>
        <v/>
      </c>
      <c r="S700" s="1185" t="str">
        <f>IF(AND(AD700=1,R700&lt;&gt;".")=TRUE,R700/VLOOKUP(G700,'Exchange Rates'!B:C,2,0),IF(R700=".",".",""))</f>
        <v/>
      </c>
      <c r="T700" s="1185" t="str">
        <f>IF(AD700=1,IF(AF700="Value is not given at all",".",IF(AF700="Value is given by the source",S700,IF(AF700="Value is calculated with prices",(IF(SUMIFS(Q:Q,A:A,A700)&gt;0,SUMIFS(Q:Q,A:A,A700),"."))/VLOOKUP("USD",'Exchange Rates'!B:C,2,0),"Error with coding"))),"")</f>
        <v/>
      </c>
      <c r="U700" s="1184" t="s">
        <v>365</v>
      </c>
      <c r="V700" s="972" t="s">
        <v>1782</v>
      </c>
      <c r="W700" s="966" t="s">
        <v>1280</v>
      </c>
      <c r="X700" s="976" t="s">
        <v>364</v>
      </c>
      <c r="Y700" s="1183" t="s">
        <v>364</v>
      </c>
      <c r="Z700" s="1184">
        <v>0</v>
      </c>
      <c r="AA700" s="1184">
        <v>1</v>
      </c>
      <c r="AB700" s="600" t="s">
        <v>1280</v>
      </c>
      <c r="AC700" s="1192" t="str">
        <f>""</f>
        <v/>
      </c>
      <c r="AD700" s="1184">
        <v>0</v>
      </c>
      <c r="AE700" s="1184" t="s">
        <v>368</v>
      </c>
      <c r="AF700" s="1184" t="s">
        <v>369</v>
      </c>
      <c r="AG700" s="1184">
        <v>1</v>
      </c>
      <c r="AH700" s="1184">
        <v>17</v>
      </c>
      <c r="AI700" s="1184">
        <v>0</v>
      </c>
      <c r="AJ700" s="1193">
        <f>VLOOKUP($I700,'Price List, Weapons &amp; Items'!B:F,5,0)</f>
        <v>0</v>
      </c>
      <c r="AK700" s="1193">
        <f t="shared" si="147"/>
        <v>0</v>
      </c>
      <c r="AL700" s="1193">
        <f t="shared" si="148"/>
        <v>0</v>
      </c>
      <c r="AM700" s="1193">
        <f t="shared" si="149"/>
        <v>0</v>
      </c>
      <c r="AN700" s="1194" t="str">
        <f>VLOOKUP($I700,'Price List, Weapons &amp; Items'!B:L,COLUMN('Price List, Weapons &amp; Items'!$J$11)-1,0)</f>
        <v>Online marketplaces and stores</v>
      </c>
      <c r="AO700" s="1194" t="str">
        <f>IF(I700=".",".",VLOOKUP($I700,'Price List, Weapons &amp; Items'!B:J,3,0))</f>
        <v>Military equipment</v>
      </c>
      <c r="AP700" s="1195" t="str">
        <f t="shared" ca="1" si="143"/>
        <v/>
      </c>
      <c r="AQ700" s="1194">
        <f>VLOOKUP($I700,'Price List, Weapons &amp; Items'!B:L,COLUMN('Price List, Weapons &amp; Items'!$L$11)-1,0)</f>
        <v>2</v>
      </c>
      <c r="AR700" s="1194">
        <f t="shared" si="150"/>
        <v>1</v>
      </c>
      <c r="AS700" s="1194">
        <f t="shared" si="151"/>
        <v>1</v>
      </c>
      <c r="AT700" s="1194" t="str">
        <f t="shared" si="152"/>
        <v>Value is not in date format</v>
      </c>
      <c r="AU700" s="1194" t="str">
        <f t="shared" si="153"/>
        <v>.</v>
      </c>
      <c r="AV700" s="1194" t="str">
        <f t="shared" si="144"/>
        <v>.</v>
      </c>
      <c r="AW700" s="1194" t="str">
        <f t="shared" si="154"/>
        <v>.</v>
      </c>
      <c r="AX700" s="1194">
        <f>IFERROR(VLOOKUP(B700,'Share, Heavy Weapons to Ukraine'!B:Z,COLUMN('Share, Heavy Weapons to Ukraine'!C710)-1,0),0)</f>
        <v>0</v>
      </c>
      <c r="AY700" s="1194">
        <f>VLOOKUP('Bilateral Assistance, MAIN DATA'!B700,'Country Summary (€)'!B:F,COLUMN('Country Summary (€)'!C711)-1,FALSE)</f>
        <v>1</v>
      </c>
      <c r="AZ700" s="1194" t="str">
        <f>IF(AND(AD700=1,D700="Military",H700&lt;&gt;"Not given")=TRUE,IF(SUMIFS(P:P,A:A,A700)&gt;0,ABS((SUMIFS(P:P,A:A,A700)/VLOOKUP("USD",'Exchange Rates'!B:C,2,0)))/S700,"."),".")</f>
        <v>.</v>
      </c>
      <c r="BA700" s="1196" t="str">
        <f>IF(AND(AD700=1,D700="Military",H700&lt;&gt;"Not given")=TRUE,IF(SUMIFS(P:P,A:A,A700)&gt;0,IF((ABS((SUMIFS(P:P,A:A,A700)/VLOOKUP("USD",'Exchange Rates'!B:C,2,0)))/S700)&gt;1,(SUMIFS(P:P,A:A,A700)-S700)/S700,(S700-SUMIFS(P:P,A:A,A700))/SUMIFS(P:P,A:A,A700)),"."),".")</f>
        <v>.</v>
      </c>
      <c r="BC700" s="1180"/>
      <c r="BD700" s="1180"/>
      <c r="BE700" s="1180"/>
      <c r="BF700" s="1180"/>
      <c r="BG700" s="1180"/>
      <c r="BH700" s="1180"/>
      <c r="BI700" s="1180"/>
      <c r="BJ700" s="1180"/>
      <c r="BK700" s="1180"/>
      <c r="BL700" s="1180"/>
      <c r="BM700" s="1180"/>
      <c r="BN700" s="1180"/>
      <c r="BO700" s="1180"/>
      <c r="BP700" s="1180"/>
      <c r="BQ700" s="1180"/>
      <c r="BR700" s="1180"/>
      <c r="BS700" s="1180"/>
      <c r="BT700" s="1180"/>
    </row>
    <row r="701" spans="1:72" ht="15.95" customHeight="1">
      <c r="A701" s="1180" t="s">
        <v>1944</v>
      </c>
      <c r="B701" s="1182" t="s">
        <v>1711</v>
      </c>
      <c r="C701" s="1181">
        <v>44836</v>
      </c>
      <c r="D701" s="1182" t="s">
        <v>389</v>
      </c>
      <c r="E701" s="1182" t="s">
        <v>1945</v>
      </c>
      <c r="F701" s="1183" t="s">
        <v>1946</v>
      </c>
      <c r="G701" s="1184" t="s">
        <v>483</v>
      </c>
      <c r="H701" s="1185" t="s">
        <v>457</v>
      </c>
      <c r="I701" s="1180" t="s">
        <v>364</v>
      </c>
      <c r="J701" s="1186" t="str">
        <f>VLOOKUP($I701,'Price List, Weapons &amp; Items'!B:C,2,0)</f>
        <v>.</v>
      </c>
      <c r="K701" s="1186" t="str">
        <f>IF(I701=".",I701,VLOOKUP($I701,'Price List, Weapons &amp; Items'!B:D,3,0))</f>
        <v>.</v>
      </c>
      <c r="L701" s="1187">
        <f>VLOOKUP(I701,'Price List, Weapons &amp; Items'!B:E,4,0)</f>
        <v>0</v>
      </c>
      <c r="M701" s="1188" t="s">
        <v>364</v>
      </c>
      <c r="N701" s="1188" t="s">
        <v>364</v>
      </c>
      <c r="O701" s="1188" t="str">
        <f>VLOOKUP($I701,'Price List, Weapons &amp; Items'!B:G,6,0)</f>
        <v>.</v>
      </c>
      <c r="P701" s="1185" t="str">
        <f t="shared" si="145"/>
        <v>.</v>
      </c>
      <c r="Q701" s="1185" t="str">
        <f t="shared" si="146"/>
        <v>.</v>
      </c>
      <c r="R701" s="1185" t="str">
        <f t="shared" si="142"/>
        <v>.</v>
      </c>
      <c r="S701" s="1185" t="str">
        <f>IF(AND(AD701=1,R701&lt;&gt;".")=TRUE,R701/VLOOKUP(G701,'Exchange Rates'!B:C,2,0),IF(R701=".",".",""))</f>
        <v>.</v>
      </c>
      <c r="T701" s="1185" t="str">
        <f>IF(AD701=1,IF(AF701="Value is not given at all",".",IF(AF701="Value is given by the source",S701,IF(AF701="Value is calculated with prices",(IF(SUMIFS(Q:Q,A:A,A701)&gt;0,SUMIFS(Q:Q,A:A,A701),"."))/VLOOKUP("USD",'Exchange Rates'!B:C,2,0),"Error with coding"))),"")</f>
        <v>.</v>
      </c>
      <c r="U701" s="1184" t="s">
        <v>365</v>
      </c>
      <c r="V701" s="1007" t="s">
        <v>1947</v>
      </c>
      <c r="W701" s="1007" t="s">
        <v>1948</v>
      </c>
      <c r="X701" s="1007" t="s">
        <v>1949</v>
      </c>
      <c r="Y701" s="1033" t="s">
        <v>1950</v>
      </c>
      <c r="Z701" s="1184">
        <v>0</v>
      </c>
      <c r="AA701" s="1194">
        <v>0</v>
      </c>
      <c r="AB701" s="1201" t="s">
        <v>364</v>
      </c>
      <c r="AC701" s="1192" t="str">
        <f>""</f>
        <v/>
      </c>
      <c r="AD701" s="985">
        <v>1</v>
      </c>
      <c r="AE701" s="985" t="s">
        <v>368</v>
      </c>
      <c r="AF701" s="985" t="s">
        <v>369</v>
      </c>
      <c r="AG701" s="985">
        <v>1</v>
      </c>
      <c r="AH701" s="985">
        <v>10</v>
      </c>
      <c r="AI701" s="985">
        <v>0</v>
      </c>
      <c r="AJ701" s="1193">
        <f>VLOOKUP($I701,'Price List, Weapons &amp; Items'!B:F,5,0)</f>
        <v>0</v>
      </c>
      <c r="AK701" s="1193">
        <f t="shared" si="147"/>
        <v>0</v>
      </c>
      <c r="AL701" s="1193">
        <f t="shared" si="148"/>
        <v>0</v>
      </c>
      <c r="AM701" s="1193">
        <f t="shared" si="149"/>
        <v>0</v>
      </c>
      <c r="AN701" s="1194" t="str">
        <f>VLOOKUP($I701,'Price List, Weapons &amp; Items'!B:L,COLUMN('Price List, Weapons &amp; Items'!$J$11)-1,0)</f>
        <v>.</v>
      </c>
      <c r="AO701" s="1194" t="str">
        <f>IF(I701=".",".",VLOOKUP($I701,'Price List, Weapons &amp; Items'!B:J,3,0))</f>
        <v>.</v>
      </c>
      <c r="AP701" s="1195" t="str">
        <f t="shared" ca="1" si="143"/>
        <v>.</v>
      </c>
      <c r="AQ701" s="1194">
        <f>VLOOKUP($I701,'Price List, Weapons &amp; Items'!B:L,COLUMN('Price List, Weapons &amp; Items'!$L$11)-1,0)</f>
        <v>0</v>
      </c>
      <c r="AR701" s="1194">
        <f t="shared" si="150"/>
        <v>1</v>
      </c>
      <c r="AS701" s="1194">
        <f t="shared" si="151"/>
        <v>1</v>
      </c>
      <c r="AT701" s="1194">
        <f t="shared" si="152"/>
        <v>1</v>
      </c>
      <c r="AU701" s="1194" t="str">
        <f t="shared" si="153"/>
        <v>.</v>
      </c>
      <c r="AV701" s="1194" t="str">
        <f t="shared" si="144"/>
        <v>.</v>
      </c>
      <c r="AW701" s="1194" t="str">
        <f t="shared" si="154"/>
        <v>.</v>
      </c>
      <c r="AX701" s="1194">
        <f>IFERROR(VLOOKUP(B701,'Share, Heavy Weapons to Ukraine'!B:Z,COLUMN('Share, Heavy Weapons to Ukraine'!C711)-1,0),0)</f>
        <v>0</v>
      </c>
      <c r="AY701" s="1194">
        <f>VLOOKUP('Bilateral Assistance, MAIN DATA'!B701,'Country Summary (€)'!B:F,COLUMN('Country Summary (€)'!C712)-1,FALSE)</f>
        <v>1</v>
      </c>
      <c r="AZ701" s="1194" t="str">
        <f>IF(AND(AD701=1,D701="Military",H701&lt;&gt;"Not given")=TRUE,IF(SUMIFS(P:P,A:A,A701)&gt;0,ABS((SUMIFS(P:P,A:A,A701)/VLOOKUP("USD",'Exchange Rates'!B:C,2,0)))/S701,"."),".")</f>
        <v>.</v>
      </c>
      <c r="BA701" s="1196" t="str">
        <f>IF(AND(AD701=1,D701="Military",H701&lt;&gt;"Not given")=TRUE,IF(SUMIFS(P:P,A:A,A701)&gt;0,IF((ABS((SUMIFS(P:P,A:A,A701)/VLOOKUP("USD",'Exchange Rates'!B:C,2,0)))/S701)&gt;1,(SUMIFS(P:P,A:A,A701)-S701)/S701,(S701-SUMIFS(P:P,A:A,A701))/SUMIFS(P:P,A:A,A701)),"."),".")</f>
        <v>.</v>
      </c>
    </row>
    <row r="702" spans="1:72" ht="15.95" customHeight="1">
      <c r="A702" s="1182" t="s">
        <v>1951</v>
      </c>
      <c r="B702" s="1182" t="s">
        <v>1711</v>
      </c>
      <c r="C702" s="1181" t="s">
        <v>1719</v>
      </c>
      <c r="D702" s="1182" t="s">
        <v>389</v>
      </c>
      <c r="E702" s="1182" t="s">
        <v>361</v>
      </c>
      <c r="F702" s="1183" t="s">
        <v>1952</v>
      </c>
      <c r="G702" s="1184" t="s">
        <v>483</v>
      </c>
      <c r="H702" s="1185">
        <v>50000000</v>
      </c>
      <c r="I702" s="1180" t="s">
        <v>364</v>
      </c>
      <c r="J702" s="1186" t="str">
        <f>VLOOKUP($I702,'Price List, Weapons &amp; Items'!B:C,2,0)</f>
        <v>.</v>
      </c>
      <c r="K702" s="1186" t="str">
        <f>IF(I702=".",I702,VLOOKUP($I702,'Price List, Weapons &amp; Items'!B:D,3,0))</f>
        <v>.</v>
      </c>
      <c r="L702" s="1187">
        <f>VLOOKUP(I702,'Price List, Weapons &amp; Items'!B:E,4,0)</f>
        <v>0</v>
      </c>
      <c r="M702" s="1188" t="s">
        <v>364</v>
      </c>
      <c r="N702" s="1188" t="s">
        <v>364</v>
      </c>
      <c r="O702" s="1188" t="str">
        <f>VLOOKUP($I702,'Price List, Weapons &amp; Items'!B:G,6,0)</f>
        <v>.</v>
      </c>
      <c r="P702" s="1185" t="str">
        <f t="shared" si="145"/>
        <v>.</v>
      </c>
      <c r="Q702" s="1185" t="str">
        <f t="shared" si="146"/>
        <v>.</v>
      </c>
      <c r="R702" s="1185">
        <f t="shared" si="142"/>
        <v>50000000</v>
      </c>
      <c r="S702" s="1185">
        <f>IF(AND(AD702=1,R702&lt;&gt;".")=TRUE,R702/VLOOKUP(G702,'Exchange Rates'!B:C,2,0),IF(R702=".",".",""))</f>
        <v>50000000</v>
      </c>
      <c r="T702" s="1185" t="str">
        <f>IF(AD702=1,IF(AF702="Value is not given at all",".",IF(AF702="Value is given by the source",S702,IF(AF702="Value is calculated with prices",(IF(SUMIFS(Q:Q,A:A,A702)&gt;0,SUMIFS(Q:Q,A:A,A702),"."))/VLOOKUP("USD",'Exchange Rates'!B:C,2,0),"Error with coding"))),"")</f>
        <v>.</v>
      </c>
      <c r="U702" s="1184" t="s">
        <v>365</v>
      </c>
      <c r="V702" s="987" t="s">
        <v>1717</v>
      </c>
      <c r="W702" s="987" t="s">
        <v>1799</v>
      </c>
      <c r="X702" s="1031" t="s">
        <v>364</v>
      </c>
      <c r="Y702" s="1031" t="s">
        <v>364</v>
      </c>
      <c r="Z702" s="1184">
        <v>0</v>
      </c>
      <c r="AA702" s="1194">
        <v>0</v>
      </c>
      <c r="AB702" s="1201" t="s">
        <v>364</v>
      </c>
      <c r="AC702" s="1192" t="str">
        <f>""</f>
        <v/>
      </c>
      <c r="AD702" s="985">
        <v>1</v>
      </c>
      <c r="AE702" s="985" t="s">
        <v>368</v>
      </c>
      <c r="AF702" s="985" t="s">
        <v>369</v>
      </c>
      <c r="AG702" s="985">
        <v>0</v>
      </c>
      <c r="AH702" s="985">
        <v>0</v>
      </c>
      <c r="AI702" s="985">
        <v>0</v>
      </c>
      <c r="AJ702" s="1193">
        <f>VLOOKUP($I702,'Price List, Weapons &amp; Items'!B:F,5,0)</f>
        <v>0</v>
      </c>
      <c r="AK702" s="1193">
        <f t="shared" si="147"/>
        <v>0</v>
      </c>
      <c r="AL702" s="1193">
        <f t="shared" si="148"/>
        <v>0</v>
      </c>
      <c r="AM702" s="1193">
        <f t="shared" si="149"/>
        <v>0</v>
      </c>
      <c r="AN702" s="1194" t="str">
        <f>VLOOKUP($I702,'Price List, Weapons &amp; Items'!B:L,COLUMN('Price List, Weapons &amp; Items'!$J$11)-1,0)</f>
        <v>.</v>
      </c>
      <c r="AO702" s="1194" t="str">
        <f>IF(I702=".",".",VLOOKUP($I702,'Price List, Weapons &amp; Items'!B:J,3,0))</f>
        <v>.</v>
      </c>
      <c r="AP702" s="1195" t="str">
        <f t="shared" ca="1" si="143"/>
        <v>.</v>
      </c>
      <c r="AQ702" s="1194">
        <f>VLOOKUP($I702,'Price List, Weapons &amp; Items'!B:L,COLUMN('Price List, Weapons &amp; Items'!$L$11)-1,0)</f>
        <v>0</v>
      </c>
      <c r="AR702" s="1194">
        <f t="shared" si="150"/>
        <v>1</v>
      </c>
      <c r="AS702" s="1194">
        <f t="shared" si="151"/>
        <v>0</v>
      </c>
      <c r="AT702" s="1194" t="str">
        <f t="shared" si="152"/>
        <v>Value is not in date format</v>
      </c>
      <c r="AU702" s="1194" t="str">
        <f t="shared" si="153"/>
        <v>.</v>
      </c>
      <c r="AV702" s="1194" t="str">
        <f t="shared" si="144"/>
        <v>.</v>
      </c>
      <c r="AW702" s="1194" t="str">
        <f t="shared" si="154"/>
        <v>.</v>
      </c>
      <c r="AX702" s="1194">
        <f>IFERROR(VLOOKUP(B702,'Share, Heavy Weapons to Ukraine'!B:Z,COLUMN('Share, Heavy Weapons to Ukraine'!C712)-1,0),0)</f>
        <v>0</v>
      </c>
      <c r="AY702" s="1194">
        <f>VLOOKUP('Bilateral Assistance, MAIN DATA'!B702,'Country Summary (€)'!B:F,COLUMN('Country Summary (€)'!C713)-1,FALSE)</f>
        <v>1</v>
      </c>
      <c r="AZ702" s="1194" t="str">
        <f>IF(AND(AD702=1,D702="Military",H702&lt;&gt;"Not given")=TRUE,IF(SUMIFS(P:P,A:A,A702)&gt;0,ABS((SUMIFS(P:P,A:A,A702)/VLOOKUP("USD",'Exchange Rates'!B:C,2,0)))/S702,"."),".")</f>
        <v>.</v>
      </c>
      <c r="BA702" s="1196" t="str">
        <f>IF(AND(AD702=1,D702="Military",H702&lt;&gt;"Not given")=TRUE,IF(SUMIFS(P:P,A:A,A702)&gt;0,IF((ABS((SUMIFS(P:P,A:A,A702)/VLOOKUP("USD",'Exchange Rates'!B:C,2,0)))/S702)&gt;1,(SUMIFS(P:P,A:A,A702)-S702)/S702,(S702-SUMIFS(P:P,A:A,A702))/SUMIFS(P:P,A:A,A702)),"."),".")</f>
        <v>.</v>
      </c>
    </row>
    <row r="703" spans="1:72" ht="15.95" customHeight="1">
      <c r="A703" s="1182" t="s">
        <v>1953</v>
      </c>
      <c r="B703" s="1182" t="s">
        <v>1711</v>
      </c>
      <c r="C703" s="1181" t="s">
        <v>1719</v>
      </c>
      <c r="D703" s="1182" t="s">
        <v>389</v>
      </c>
      <c r="E703" s="1182" t="s">
        <v>1676</v>
      </c>
      <c r="F703" s="1183" t="s">
        <v>1954</v>
      </c>
      <c r="G703" s="1184" t="s">
        <v>483</v>
      </c>
      <c r="H703" s="1185">
        <v>36000000</v>
      </c>
      <c r="I703" s="1180" t="s">
        <v>364</v>
      </c>
      <c r="J703" s="1186" t="str">
        <f>VLOOKUP($I703,'Price List, Weapons &amp; Items'!B:C,2,0)</f>
        <v>.</v>
      </c>
      <c r="K703" s="1186" t="str">
        <f>IF(I703=".",I703,VLOOKUP($I703,'Price List, Weapons &amp; Items'!B:D,3,0))</f>
        <v>.</v>
      </c>
      <c r="L703" s="1187">
        <f>VLOOKUP(I703,'Price List, Weapons &amp; Items'!B:E,4,0)</f>
        <v>0</v>
      </c>
      <c r="M703" s="1188" t="s">
        <v>364</v>
      </c>
      <c r="N703" s="1188" t="s">
        <v>364</v>
      </c>
      <c r="O703" s="1188" t="str">
        <f>VLOOKUP($I703,'Price List, Weapons &amp; Items'!B:G,6,0)</f>
        <v>.</v>
      </c>
      <c r="P703" s="1185" t="str">
        <f t="shared" si="145"/>
        <v>.</v>
      </c>
      <c r="Q703" s="1185" t="str">
        <f t="shared" si="146"/>
        <v>.</v>
      </c>
      <c r="R703" s="1185">
        <f t="shared" si="142"/>
        <v>36000000</v>
      </c>
      <c r="S703" s="1185">
        <f>IF(AND(AD703=1,R703&lt;&gt;".")=TRUE,R703/VLOOKUP(G703,'Exchange Rates'!B:C,2,0),IF(R703=".",".",""))</f>
        <v>36000000</v>
      </c>
      <c r="T703" s="1185" t="str">
        <f>IF(AD703=1,IF(AF703="Value is not given at all",".",IF(AF703="Value is given by the source",S703,IF(AF703="Value is calculated with prices",(IF(SUMIFS(Q:Q,A:A,A703)&gt;0,SUMIFS(Q:Q,A:A,A703),"."))/VLOOKUP("USD",'Exchange Rates'!B:C,2,0),"Error with coding"))),"")</f>
        <v>.</v>
      </c>
      <c r="U703" s="1184" t="s">
        <v>365</v>
      </c>
      <c r="V703" s="987" t="s">
        <v>1717</v>
      </c>
      <c r="W703" s="987" t="s">
        <v>1799</v>
      </c>
      <c r="X703" s="1031" t="s">
        <v>364</v>
      </c>
      <c r="Y703" s="1031" t="s">
        <v>364</v>
      </c>
      <c r="Z703" s="1184">
        <v>0</v>
      </c>
      <c r="AA703" s="1194">
        <v>0</v>
      </c>
      <c r="AB703" s="1201" t="s">
        <v>364</v>
      </c>
      <c r="AC703" s="1192" t="str">
        <f>""</f>
        <v/>
      </c>
      <c r="AD703" s="985">
        <v>1</v>
      </c>
      <c r="AE703" s="985" t="s">
        <v>368</v>
      </c>
      <c r="AF703" s="985" t="s">
        <v>369</v>
      </c>
      <c r="AG703" s="985">
        <v>0</v>
      </c>
      <c r="AH703" s="985">
        <v>0</v>
      </c>
      <c r="AI703" s="985">
        <v>0</v>
      </c>
      <c r="AJ703" s="1193">
        <f>VLOOKUP($I703,'Price List, Weapons &amp; Items'!B:F,5,0)</f>
        <v>0</v>
      </c>
      <c r="AK703" s="1193">
        <f t="shared" si="147"/>
        <v>0</v>
      </c>
      <c r="AL703" s="1193">
        <f t="shared" si="148"/>
        <v>0</v>
      </c>
      <c r="AM703" s="1193">
        <f t="shared" si="149"/>
        <v>0</v>
      </c>
      <c r="AN703" s="1194" t="str">
        <f>VLOOKUP($I703,'Price List, Weapons &amp; Items'!B:L,COLUMN('Price List, Weapons &amp; Items'!$J$11)-1,0)</f>
        <v>.</v>
      </c>
      <c r="AO703" s="1194" t="str">
        <f>IF(I703=".",".",VLOOKUP($I703,'Price List, Weapons &amp; Items'!B:J,3,0))</f>
        <v>.</v>
      </c>
      <c r="AP703" s="1195" t="str">
        <f t="shared" ca="1" si="143"/>
        <v>.</v>
      </c>
      <c r="AQ703" s="1194">
        <f>VLOOKUP($I703,'Price List, Weapons &amp; Items'!B:L,COLUMN('Price List, Weapons &amp; Items'!$L$11)-1,0)</f>
        <v>0</v>
      </c>
      <c r="AR703" s="1194">
        <f t="shared" si="150"/>
        <v>1</v>
      </c>
      <c r="AS703" s="1194">
        <f t="shared" si="151"/>
        <v>1</v>
      </c>
      <c r="AT703" s="1194" t="str">
        <f t="shared" si="152"/>
        <v>Value is not in date format</v>
      </c>
      <c r="AU703" s="1194" t="str">
        <f t="shared" si="153"/>
        <v>.</v>
      </c>
      <c r="AV703" s="1194" t="str">
        <f t="shared" si="144"/>
        <v>.</v>
      </c>
      <c r="AW703" s="1194" t="str">
        <f t="shared" si="154"/>
        <v>.</v>
      </c>
      <c r="AX703" s="1194">
        <f>IFERROR(VLOOKUP(B703,'Share, Heavy Weapons to Ukraine'!B:Z,COLUMN('Share, Heavy Weapons to Ukraine'!C713)-1,0),0)</f>
        <v>0</v>
      </c>
      <c r="AY703" s="1194">
        <f>VLOOKUP('Bilateral Assistance, MAIN DATA'!B703,'Country Summary (€)'!B:F,COLUMN('Country Summary (€)'!C714)-1,FALSE)</f>
        <v>1</v>
      </c>
      <c r="AZ703" s="1194" t="str">
        <f>IF(AND(AD703=1,D703="Military",H703&lt;&gt;"Not given")=TRUE,IF(SUMIFS(P:P,A:A,A703)&gt;0,ABS((SUMIFS(P:P,A:A,A703)/VLOOKUP("USD",'Exchange Rates'!B:C,2,0)))/S703,"."),".")</f>
        <v>.</v>
      </c>
      <c r="BA703" s="1196" t="str">
        <f>IF(AND(AD703=1,D703="Military",H703&lt;&gt;"Not given")=TRUE,IF(SUMIFS(P:P,A:A,A703)&gt;0,IF((ABS((SUMIFS(P:P,A:A,A703)/VLOOKUP("USD",'Exchange Rates'!B:C,2,0)))/S703)&gt;1,(SUMIFS(P:P,A:A,A703)-S703)/S703,(S703-SUMIFS(P:P,A:A,A703))/SUMIFS(P:P,A:A,A703)),"."),".")</f>
        <v>.</v>
      </c>
    </row>
    <row r="704" spans="1:72" ht="15.95" customHeight="1">
      <c r="A704" s="1182" t="s">
        <v>1955</v>
      </c>
      <c r="B704" s="1182" t="s">
        <v>1711</v>
      </c>
      <c r="C704" s="1181">
        <v>44782</v>
      </c>
      <c r="D704" s="1182" t="s">
        <v>389</v>
      </c>
      <c r="E704" s="1182" t="s">
        <v>361</v>
      </c>
      <c r="F704" s="1183" t="s">
        <v>1956</v>
      </c>
      <c r="G704" s="1184" t="s">
        <v>483</v>
      </c>
      <c r="H704" s="1185">
        <v>26300000</v>
      </c>
      <c r="I704" s="1180" t="s">
        <v>364</v>
      </c>
      <c r="J704" s="1186" t="str">
        <f>VLOOKUP($I704,'Price List, Weapons &amp; Items'!B:C,2,0)</f>
        <v>.</v>
      </c>
      <c r="K704" s="1186" t="str">
        <f>IF(I704=".",I704,VLOOKUP($I704,'Price List, Weapons &amp; Items'!B:D,3,0))</f>
        <v>.</v>
      </c>
      <c r="L704" s="1187">
        <f>VLOOKUP(I704,'Price List, Weapons &amp; Items'!B:E,4,0)</f>
        <v>0</v>
      </c>
      <c r="M704" s="1188" t="s">
        <v>364</v>
      </c>
      <c r="N704" s="1188" t="s">
        <v>364</v>
      </c>
      <c r="O704" s="1188" t="str">
        <f>VLOOKUP($I704,'Price List, Weapons &amp; Items'!B:G,6,0)</f>
        <v>.</v>
      </c>
      <c r="P704" s="1185" t="str">
        <f t="shared" si="145"/>
        <v>.</v>
      </c>
      <c r="Q704" s="1185" t="str">
        <f t="shared" si="146"/>
        <v>.</v>
      </c>
      <c r="R704" s="1185">
        <f t="shared" si="142"/>
        <v>26300000</v>
      </c>
      <c r="S704" s="1185">
        <f>IF(AND(AD704=1,R704&lt;&gt;".")=TRUE,R704/VLOOKUP(G704,'Exchange Rates'!B:C,2,0),IF(R704=".",".",""))</f>
        <v>26300000</v>
      </c>
      <c r="T704" s="1185" t="str">
        <f>IF(AD704=1,IF(AF704="Value is not given at all",".",IF(AF704="Value is given by the source",S704,IF(AF704="Value is calculated with prices",(IF(SUMIFS(Q:Q,A:A,A704)&gt;0,SUMIFS(Q:Q,A:A,A704),"."))/VLOOKUP("USD",'Exchange Rates'!B:C,2,0),"Error with coding"))),"")</f>
        <v>.</v>
      </c>
      <c r="U704" s="1184" t="s">
        <v>365</v>
      </c>
      <c r="V704" s="987" t="s">
        <v>1717</v>
      </c>
      <c r="W704" s="987" t="s">
        <v>1957</v>
      </c>
      <c r="X704" s="987" t="s">
        <v>1799</v>
      </c>
      <c r="Y704" s="1031" t="s">
        <v>364</v>
      </c>
      <c r="Z704" s="1184">
        <v>0</v>
      </c>
      <c r="AA704" s="1194">
        <v>0</v>
      </c>
      <c r="AB704" s="1201" t="s">
        <v>364</v>
      </c>
      <c r="AC704" s="1192" t="str">
        <f>""</f>
        <v/>
      </c>
      <c r="AD704" s="985">
        <v>1</v>
      </c>
      <c r="AE704" s="985" t="s">
        <v>368</v>
      </c>
      <c r="AF704" s="985" t="s">
        <v>369</v>
      </c>
      <c r="AG704" s="985">
        <v>1</v>
      </c>
      <c r="AH704" s="985">
        <v>8</v>
      </c>
      <c r="AI704" s="985">
        <v>0</v>
      </c>
      <c r="AJ704" s="1193">
        <f>VLOOKUP($I704,'Price List, Weapons &amp; Items'!B:F,5,0)</f>
        <v>0</v>
      </c>
      <c r="AK704" s="1193">
        <f t="shared" si="147"/>
        <v>0</v>
      </c>
      <c r="AL704" s="1193">
        <f t="shared" si="148"/>
        <v>0</v>
      </c>
      <c r="AM704" s="1193">
        <f t="shared" si="149"/>
        <v>0</v>
      </c>
      <c r="AN704" s="1194" t="str">
        <f>VLOOKUP($I704,'Price List, Weapons &amp; Items'!B:L,COLUMN('Price List, Weapons &amp; Items'!$J$11)-1,0)</f>
        <v>.</v>
      </c>
      <c r="AO704" s="1194" t="str">
        <f>IF(I704=".",".",VLOOKUP($I704,'Price List, Weapons &amp; Items'!B:J,3,0))</f>
        <v>.</v>
      </c>
      <c r="AP704" s="1195" t="str">
        <f t="shared" ca="1" si="143"/>
        <v>.</v>
      </c>
      <c r="AQ704" s="1194">
        <f>VLOOKUP($I704,'Price List, Weapons &amp; Items'!B:L,COLUMN('Price List, Weapons &amp; Items'!$L$11)-1,0)</f>
        <v>0</v>
      </c>
      <c r="AR704" s="1194">
        <f t="shared" si="150"/>
        <v>1</v>
      </c>
      <c r="AS704" s="1194">
        <f t="shared" si="151"/>
        <v>0</v>
      </c>
      <c r="AT704" s="1194">
        <f t="shared" si="152"/>
        <v>1</v>
      </c>
      <c r="AU704" s="1194" t="str">
        <f t="shared" si="153"/>
        <v>.</v>
      </c>
      <c r="AV704" s="1194" t="str">
        <f t="shared" si="144"/>
        <v>.</v>
      </c>
      <c r="AW704" s="1194" t="str">
        <f t="shared" si="154"/>
        <v>.</v>
      </c>
      <c r="AX704" s="1194">
        <f>IFERROR(VLOOKUP(B704,'Share, Heavy Weapons to Ukraine'!B:Z,COLUMN('Share, Heavy Weapons to Ukraine'!C714)-1,0),0)</f>
        <v>0</v>
      </c>
      <c r="AY704" s="1194">
        <f>VLOOKUP('Bilateral Assistance, MAIN DATA'!B704,'Country Summary (€)'!B:F,COLUMN('Country Summary (€)'!C715)-1,FALSE)</f>
        <v>1</v>
      </c>
      <c r="AZ704" s="1194" t="str">
        <f>IF(AND(AD704=1,D704="Military",H704&lt;&gt;"Not given")=TRUE,IF(SUMIFS(P:P,A:A,A704)&gt;0,ABS((SUMIFS(P:P,A:A,A704)/VLOOKUP("USD",'Exchange Rates'!B:C,2,0)))/S704,"."),".")</f>
        <v>.</v>
      </c>
      <c r="BA704" s="1196" t="str">
        <f>IF(AND(AD704=1,D704="Military",H704&lt;&gt;"Not given")=TRUE,IF(SUMIFS(P:P,A:A,A704)&gt;0,IF((ABS((SUMIFS(P:P,A:A,A704)/VLOOKUP("USD",'Exchange Rates'!B:C,2,0)))/S704)&gt;1,(SUMIFS(P:P,A:A,A704)-S704)/S704,(S704-SUMIFS(P:P,A:A,A704))/SUMIFS(P:P,A:A,A704)),"."),".")</f>
        <v>.</v>
      </c>
    </row>
    <row r="705" spans="1:72" ht="15.75" customHeight="1">
      <c r="A705" s="1182" t="s">
        <v>1958</v>
      </c>
      <c r="B705" s="1180" t="s">
        <v>1711</v>
      </c>
      <c r="C705" s="1181" t="s">
        <v>1791</v>
      </c>
      <c r="D705" s="1182" t="s">
        <v>389</v>
      </c>
      <c r="E705" s="1182" t="s">
        <v>398</v>
      </c>
      <c r="F705" s="1183" t="s">
        <v>1959</v>
      </c>
      <c r="G705" s="1184" t="s">
        <v>483</v>
      </c>
      <c r="H705" s="1185">
        <v>40000000</v>
      </c>
      <c r="I705" s="1190" t="s">
        <v>364</v>
      </c>
      <c r="J705" s="1186" t="str">
        <f>VLOOKUP($I705,'Price List, Weapons &amp; Items'!B:C,2,0)</f>
        <v>.</v>
      </c>
      <c r="K705" s="1186" t="str">
        <f>IF(I705=".",I705,VLOOKUP($I705,'Price List, Weapons &amp; Items'!B:D,3,0))</f>
        <v>.</v>
      </c>
      <c r="L705" s="1187">
        <f>VLOOKUP(I705,'Price List, Weapons &amp; Items'!B:E,4,0)</f>
        <v>0</v>
      </c>
      <c r="M705" s="1188" t="s">
        <v>364</v>
      </c>
      <c r="N705" s="1275" t="s">
        <v>364</v>
      </c>
      <c r="O705" s="1188" t="str">
        <f>VLOOKUP($I705,'Price List, Weapons &amp; Items'!B:G,6,0)</f>
        <v>.</v>
      </c>
      <c r="P705" s="1185" t="str">
        <f t="shared" si="145"/>
        <v>.</v>
      </c>
      <c r="Q705" s="1185" t="str">
        <f t="shared" si="146"/>
        <v>.</v>
      </c>
      <c r="R705" s="1185">
        <f t="shared" si="142"/>
        <v>40000000</v>
      </c>
      <c r="S705" s="1185">
        <f>IF(AND(AD705=1,R705&lt;&gt;".")=TRUE,R705/VLOOKUP(G705,'Exchange Rates'!B:C,2,0),IF(R705=".",".",""))</f>
        <v>40000000</v>
      </c>
      <c r="T705" s="1185" t="str">
        <f>IF(AD705=1,IF(AF705="Value is not given at all",".",IF(AF705="Value is given by the source",S705,IF(AF705="Value is calculated with prices",(IF(SUMIFS(Q:Q,A:A,A705)&gt;0,SUMIFS(Q:Q,A:A,A705),"."))/VLOOKUP("USD",'Exchange Rates'!B:C,2,0),"Error with coding"))),"")</f>
        <v>.</v>
      </c>
      <c r="U705" s="1184" t="s">
        <v>365</v>
      </c>
      <c r="V705" s="980" t="s">
        <v>1782</v>
      </c>
      <c r="W705" s="980" t="s">
        <v>1717</v>
      </c>
      <c r="X705" s="1190" t="s">
        <v>364</v>
      </c>
      <c r="Y705" s="1190" t="s">
        <v>364</v>
      </c>
      <c r="Z705" s="1184">
        <v>0</v>
      </c>
      <c r="AA705" s="1184">
        <v>1</v>
      </c>
      <c r="AB705" s="1180" t="s">
        <v>364</v>
      </c>
      <c r="AC705" s="1192" t="str">
        <f>""</f>
        <v/>
      </c>
      <c r="AD705" s="1184">
        <v>1</v>
      </c>
      <c r="AE705" s="1184" t="s">
        <v>368</v>
      </c>
      <c r="AF705" s="1184" t="s">
        <v>369</v>
      </c>
      <c r="AG705" s="1184">
        <v>1</v>
      </c>
      <c r="AH705" s="1184">
        <v>16</v>
      </c>
      <c r="AI705" s="1184">
        <v>0</v>
      </c>
      <c r="AJ705" s="1193">
        <f>VLOOKUP($I705,'Price List, Weapons &amp; Items'!B:F,5,0)</f>
        <v>0</v>
      </c>
      <c r="AK705" s="1193">
        <f t="shared" si="147"/>
        <v>0</v>
      </c>
      <c r="AL705" s="1193">
        <f t="shared" si="148"/>
        <v>0</v>
      </c>
      <c r="AM705" s="1193">
        <f t="shared" si="149"/>
        <v>0</v>
      </c>
      <c r="AN705" s="1194" t="str">
        <f>VLOOKUP($I705,'Price List, Weapons &amp; Items'!B:L,COLUMN('Price List, Weapons &amp; Items'!$J$11)-1,0)</f>
        <v>.</v>
      </c>
      <c r="AO705" s="1194" t="str">
        <f>IF(I705=".",".",VLOOKUP($I705,'Price List, Weapons &amp; Items'!B:J,3,0))</f>
        <v>.</v>
      </c>
      <c r="AP705" s="1195" t="str">
        <f t="shared" ca="1" si="143"/>
        <v>.</v>
      </c>
      <c r="AQ705" s="1194">
        <f>VLOOKUP($I705,'Price List, Weapons &amp; Items'!B:L,COLUMN('Price List, Weapons &amp; Items'!$L$11)-1,0)</f>
        <v>0</v>
      </c>
      <c r="AR705" s="1194">
        <f t="shared" si="150"/>
        <v>1</v>
      </c>
      <c r="AS705" s="1194">
        <f t="shared" si="151"/>
        <v>1</v>
      </c>
      <c r="AT705" s="1194" t="str">
        <f t="shared" si="152"/>
        <v>Value is not in date format</v>
      </c>
      <c r="AU705" s="1194" t="str">
        <f t="shared" si="153"/>
        <v>.</v>
      </c>
      <c r="AV705" s="1194" t="str">
        <f t="shared" si="144"/>
        <v>.</v>
      </c>
      <c r="AW705" s="1194" t="str">
        <f t="shared" si="154"/>
        <v>.</v>
      </c>
      <c r="AX705" s="1194">
        <f>IFERROR(VLOOKUP(B705,'Share, Heavy Weapons to Ukraine'!B:Z,COLUMN('Share, Heavy Weapons to Ukraine'!C715)-1,0),0)</f>
        <v>0</v>
      </c>
      <c r="AY705" s="1194">
        <f>VLOOKUP('Bilateral Assistance, MAIN DATA'!B705,'Country Summary (€)'!B:F,COLUMN('Country Summary (€)'!C716)-1,FALSE)</f>
        <v>1</v>
      </c>
      <c r="AZ705" s="1194" t="str">
        <f>IF(AND(AD705=1,D705="Military",H705&lt;&gt;"Not given")=TRUE,IF(SUMIFS(P:P,A:A,A705)&gt;0,ABS((SUMIFS(P:P,A:A,A705)/VLOOKUP("USD",'Exchange Rates'!B:C,2,0)))/S705,"."),".")</f>
        <v>.</v>
      </c>
      <c r="BA705" s="1196" t="str">
        <f>IF(AND(AD705=1,D705="Military",H705&lt;&gt;"Not given")=TRUE,IF(SUMIFS(P:P,A:A,A705)&gt;0,IF((ABS((SUMIFS(P:P,A:A,A705)/VLOOKUP("USD",'Exchange Rates'!B:C,2,0)))/S705)&gt;1,(SUMIFS(P:P,A:A,A705)-S705)/S705,(S705-SUMIFS(P:P,A:A,A705))/SUMIFS(P:P,A:A,A705)),"."),".")</f>
        <v>.</v>
      </c>
      <c r="BB705" s="1180"/>
      <c r="BC705" s="1180"/>
      <c r="BD705" s="1180"/>
      <c r="BE705" s="1180"/>
      <c r="BF705" s="1180"/>
      <c r="BG705" s="1180"/>
      <c r="BH705" s="1180"/>
      <c r="BI705" s="1180"/>
      <c r="BJ705" s="1180"/>
      <c r="BK705" s="1180"/>
      <c r="BL705" s="1180"/>
      <c r="BM705" s="1180"/>
      <c r="BN705" s="1180"/>
      <c r="BO705" s="1180"/>
      <c r="BP705" s="1180"/>
      <c r="BQ705" s="1180"/>
      <c r="BR705" s="1180"/>
      <c r="BS705" s="1180"/>
      <c r="BT705" s="1180"/>
    </row>
    <row r="706" spans="1:72" ht="15.95" customHeight="1">
      <c r="A706" s="1180" t="s">
        <v>1960</v>
      </c>
      <c r="B706" s="1180" t="s">
        <v>1711</v>
      </c>
      <c r="C706" s="1181">
        <v>44644</v>
      </c>
      <c r="D706" s="1182" t="s">
        <v>544</v>
      </c>
      <c r="E706" s="1182" t="s">
        <v>714</v>
      </c>
      <c r="F706" s="1183" t="s">
        <v>1961</v>
      </c>
      <c r="G706" s="1184" t="s">
        <v>483</v>
      </c>
      <c r="H706" s="1185">
        <v>150000000</v>
      </c>
      <c r="I706" s="1180" t="s">
        <v>364</v>
      </c>
      <c r="J706" s="1186" t="str">
        <f>VLOOKUP($I706,'Price List, Weapons &amp; Items'!B:C,2,0)</f>
        <v>.</v>
      </c>
      <c r="K706" s="1186" t="str">
        <f>IF(I706=".",I706,VLOOKUP($I706,'Price List, Weapons &amp; Items'!B:D,3,0))</f>
        <v>.</v>
      </c>
      <c r="L706" s="1187">
        <f>VLOOKUP(I706,'Price List, Weapons &amp; Items'!B:E,4,0)</f>
        <v>0</v>
      </c>
      <c r="M706" s="1188" t="s">
        <v>364</v>
      </c>
      <c r="N706" s="1188" t="s">
        <v>364</v>
      </c>
      <c r="O706" s="1188" t="str">
        <f>VLOOKUP($I706,'Price List, Weapons &amp; Items'!B:G,6,0)</f>
        <v>.</v>
      </c>
      <c r="P706" s="1185" t="str">
        <f t="shared" si="145"/>
        <v>.</v>
      </c>
      <c r="Q706" s="1185" t="str">
        <f t="shared" si="146"/>
        <v>.</v>
      </c>
      <c r="R706" s="1185">
        <f t="shared" ref="R706:R769" si="155">IF(AD706=1,IF(H706&lt;&gt;"Not given",H706,IF(TYPE(H706)=2,IF(SUMIFS(P:P,A:A,A706)&gt;0,SUMIFS(P:P,A:A,A706),"."),"Format error")),"")</f>
        <v>150000000</v>
      </c>
      <c r="S706" s="1185">
        <f>IF(AND(AD706=1,R706&lt;&gt;".")=TRUE,R706/VLOOKUP(G706,'Exchange Rates'!B:C,2,0),IF(R706=".",".",""))</f>
        <v>150000000</v>
      </c>
      <c r="T706" s="1185" t="str">
        <f>IF(AD706=1,IF(AF706="Value is not given at all",".",IF(AF706="Value is given by the source",S706,IF(AF706="Value is calculated with prices",(IF(SUMIFS(Q:Q,A:A,A706)&gt;0,SUMIFS(Q:Q,A:A,A706),"."))/VLOOKUP("USD",'Exchange Rates'!B:C,2,0),"Error with coding"))),"")</f>
        <v>.</v>
      </c>
      <c r="U706" s="1184" t="s">
        <v>675</v>
      </c>
      <c r="V706" s="973" t="s">
        <v>1962</v>
      </c>
      <c r="W706" s="980" t="s">
        <v>1716</v>
      </c>
      <c r="X706" s="980" t="s">
        <v>1963</v>
      </c>
      <c r="Y706" s="1190" t="s">
        <v>364</v>
      </c>
      <c r="Z706" s="1184">
        <v>0</v>
      </c>
      <c r="AA706" s="1194">
        <v>0</v>
      </c>
      <c r="AB706" s="1201" t="s">
        <v>364</v>
      </c>
      <c r="AC706" s="1192" t="str">
        <f>""</f>
        <v/>
      </c>
      <c r="AD706" s="1193">
        <v>1</v>
      </c>
      <c r="AE706" s="1193" t="s">
        <v>368</v>
      </c>
      <c r="AF706" s="1193" t="s">
        <v>369</v>
      </c>
      <c r="AG706" s="1193">
        <v>1</v>
      </c>
      <c r="AH706" s="1193">
        <v>3</v>
      </c>
      <c r="AI706" s="1193">
        <v>0</v>
      </c>
      <c r="AJ706" s="1193">
        <f>VLOOKUP($I706,'Price List, Weapons &amp; Items'!B:F,5,0)</f>
        <v>0</v>
      </c>
      <c r="AK706" s="1193">
        <f t="shared" si="147"/>
        <v>0</v>
      </c>
      <c r="AL706" s="1193">
        <f t="shared" si="148"/>
        <v>0</v>
      </c>
      <c r="AM706" s="1193">
        <f t="shared" si="149"/>
        <v>0</v>
      </c>
      <c r="AN706" s="1194" t="str">
        <f>VLOOKUP($I706,'Price List, Weapons &amp; Items'!B:L,COLUMN('Price List, Weapons &amp; Items'!$J$11)-1,0)</f>
        <v>.</v>
      </c>
      <c r="AO706" s="1194" t="str">
        <f>IF(I706=".",".",VLOOKUP($I706,'Price List, Weapons &amp; Items'!B:J,3,0))</f>
        <v>.</v>
      </c>
      <c r="AP706" s="1195" t="str">
        <f t="shared" ref="AP706:AP769" ca="1" si="156">IF(AD706=1,(OFFSET(I706,0,0,COUNTIF(A:A,A706),1)),"")</f>
        <v>.</v>
      </c>
      <c r="AQ706" s="1194">
        <f>VLOOKUP($I706,'Price List, Weapons &amp; Items'!B:L,COLUMN('Price List, Weapons &amp; Items'!$L$11)-1,0)</f>
        <v>0</v>
      </c>
      <c r="AR706" s="1194">
        <f t="shared" si="150"/>
        <v>0</v>
      </c>
      <c r="AS706" s="1194">
        <f t="shared" si="151"/>
        <v>0</v>
      </c>
      <c r="AT706" s="1194">
        <f t="shared" si="152"/>
        <v>1</v>
      </c>
      <c r="AU706" s="1194" t="str">
        <f t="shared" si="153"/>
        <v>.</v>
      </c>
      <c r="AV706" s="1194" t="str">
        <f t="shared" ref="AV706:AV769" si="157">IF(AND(_xlfn.ISFORMULA(R706),_xlfn.ISFORMULA(S706),_xlfn.ISFORMULA(T706))=TRUE,".",1)</f>
        <v>.</v>
      </c>
      <c r="AW706" s="1194" t="str">
        <f t="shared" si="154"/>
        <v>.</v>
      </c>
      <c r="AX706" s="1194">
        <f>IFERROR(VLOOKUP(B706,'Share, Heavy Weapons to Ukraine'!B:Z,COLUMN('Share, Heavy Weapons to Ukraine'!C716)-1,0),0)</f>
        <v>0</v>
      </c>
      <c r="AY706" s="1194">
        <f>VLOOKUP('Bilateral Assistance, MAIN DATA'!B706,'Country Summary (€)'!B:F,COLUMN('Country Summary (€)'!C717)-1,FALSE)</f>
        <v>1</v>
      </c>
      <c r="AZ706" s="1194" t="str">
        <f>IF(AND(AD706=1,D706="Military",H706&lt;&gt;"Not given")=TRUE,IF(SUMIFS(P:P,A:A,A706)&gt;0,ABS((SUMIFS(P:P,A:A,A706)/VLOOKUP("USD",'Exchange Rates'!B:C,2,0)))/S706,"."),".")</f>
        <v>.</v>
      </c>
      <c r="BA706" s="1196" t="str">
        <f>IF(AND(AD706=1,D706="Military",H706&lt;&gt;"Not given")=TRUE,IF(SUMIFS(P:P,A:A,A706)&gt;0,IF((ABS((SUMIFS(P:P,A:A,A706)/VLOOKUP("USD",'Exchange Rates'!B:C,2,0)))/S706)&gt;1,(SUMIFS(P:P,A:A,A706)-S706)/S706,(S706-SUMIFS(P:P,A:A,A706))/SUMIFS(P:P,A:A,A706)),"."),".")</f>
        <v>.</v>
      </c>
    </row>
    <row r="707" spans="1:72" ht="15.95" customHeight="1">
      <c r="A707" s="1180" t="s">
        <v>1964</v>
      </c>
      <c r="B707" s="1180" t="s">
        <v>1711</v>
      </c>
      <c r="C707" s="1181">
        <v>44686</v>
      </c>
      <c r="D707" s="1182" t="s">
        <v>544</v>
      </c>
      <c r="E707" s="1182" t="s">
        <v>714</v>
      </c>
      <c r="F707" s="1183" t="s">
        <v>1965</v>
      </c>
      <c r="G707" s="1184" t="s">
        <v>483</v>
      </c>
      <c r="H707" s="1185">
        <v>150000000</v>
      </c>
      <c r="I707" s="1180" t="s">
        <v>364</v>
      </c>
      <c r="J707" s="1186" t="str">
        <f>VLOOKUP($I707,'Price List, Weapons &amp; Items'!B:C,2,0)</f>
        <v>.</v>
      </c>
      <c r="K707" s="1186" t="str">
        <f>IF(I707=".",I707,VLOOKUP($I707,'Price List, Weapons &amp; Items'!B:D,3,0))</f>
        <v>.</v>
      </c>
      <c r="L707" s="1187">
        <f>VLOOKUP(I707,'Price List, Weapons &amp; Items'!B:E,4,0)</f>
        <v>0</v>
      </c>
      <c r="M707" s="1188" t="s">
        <v>364</v>
      </c>
      <c r="N707" s="1188" t="s">
        <v>364</v>
      </c>
      <c r="O707" s="1188" t="str">
        <f>VLOOKUP($I707,'Price List, Weapons &amp; Items'!B:G,6,0)</f>
        <v>.</v>
      </c>
      <c r="P707" s="1185" t="str">
        <f t="shared" ref="P707:P770" si="158">IF(TYPE(M707)=1,IF(TYPE(O707)=1,M707*O707,"No price"),".")</f>
        <v>.</v>
      </c>
      <c r="Q707" s="1185" t="str">
        <f t="shared" ref="Q707:Q770" si="159">IF(TYPE(N707)=1,IF(TYPE(O707)=1,N707*O707,"No price"),".")</f>
        <v>.</v>
      </c>
      <c r="R707" s="1185">
        <f t="shared" si="155"/>
        <v>150000000</v>
      </c>
      <c r="S707" s="1185">
        <f>IF(AND(AD707=1,R707&lt;&gt;".")=TRUE,R707/VLOOKUP(G707,'Exchange Rates'!B:C,2,0),IF(R707=".",".",""))</f>
        <v>150000000</v>
      </c>
      <c r="T707" s="1185" t="str">
        <f>IF(AD707=1,IF(AF707="Value is not given at all",".",IF(AF707="Value is given by the source",S707,IF(AF707="Value is calculated with prices",(IF(SUMIFS(Q:Q,A:A,A707)&gt;0,SUMIFS(Q:Q,A:A,A707),"."))/VLOOKUP("USD",'Exchange Rates'!B:C,2,0),"Error with coding"))),"")</f>
        <v>.</v>
      </c>
      <c r="U707" s="1184" t="s">
        <v>365</v>
      </c>
      <c r="V707" s="972" t="s">
        <v>1716</v>
      </c>
      <c r="W707" s="971" t="s">
        <v>1966</v>
      </c>
      <c r="X707" s="980" t="s">
        <v>1967</v>
      </c>
      <c r="Y707" s="1190" t="s">
        <v>364</v>
      </c>
      <c r="Z707" s="1184">
        <v>0</v>
      </c>
      <c r="AA707" s="1194">
        <v>0</v>
      </c>
      <c r="AB707" s="1201" t="s">
        <v>364</v>
      </c>
      <c r="AC707" s="1192" t="str">
        <f>""</f>
        <v/>
      </c>
      <c r="AD707" s="1193">
        <v>1</v>
      </c>
      <c r="AE707" s="1193" t="s">
        <v>368</v>
      </c>
      <c r="AF707" s="1193" t="s">
        <v>369</v>
      </c>
      <c r="AG707" s="1193">
        <v>1</v>
      </c>
      <c r="AH707" s="1193">
        <v>5</v>
      </c>
      <c r="AI707" s="1193">
        <v>0</v>
      </c>
      <c r="AJ707" s="1193">
        <f>VLOOKUP($I707,'Price List, Weapons &amp; Items'!B:F,5,0)</f>
        <v>0</v>
      </c>
      <c r="AK707" s="1193">
        <f t="shared" ref="AK707:AK770" si="160">IF(AND(AJ707=1,M707="undisclosed")=TRUE,1,0)</f>
        <v>0</v>
      </c>
      <c r="AL707" s="1193">
        <f t="shared" ref="AL707:AL770" si="161">IF(AND(AJ707=1,N707="undisclosed")=TRUE,1,0)</f>
        <v>0</v>
      </c>
      <c r="AM707" s="1193">
        <f t="shared" ref="AM707:AM770" si="162">IFERROR(IF(SEARCH("ammuni",I707,1)&gt;0,1,0),0)</f>
        <v>0</v>
      </c>
      <c r="AN707" s="1194" t="str">
        <f>VLOOKUP($I707,'Price List, Weapons &amp; Items'!B:L,COLUMN('Price List, Weapons &amp; Items'!$J$11)-1,0)</f>
        <v>.</v>
      </c>
      <c r="AO707" s="1194" t="str">
        <f>IF(I707=".",".",VLOOKUP($I707,'Price List, Weapons &amp; Items'!B:J,3,0))</f>
        <v>.</v>
      </c>
      <c r="AP707" s="1195" t="str">
        <f t="shared" ca="1" si="156"/>
        <v>.</v>
      </c>
      <c r="AQ707" s="1194">
        <f>VLOOKUP($I707,'Price List, Weapons &amp; Items'!B:L,COLUMN('Price List, Weapons &amp; Items'!$L$11)-1,0)</f>
        <v>0</v>
      </c>
      <c r="AR707" s="1194">
        <f t="shared" ref="AR707:AR770" si="163">IF(U707="Yes",1,0)</f>
        <v>1</v>
      </c>
      <c r="AS707" s="1194">
        <f t="shared" ref="AS707:AS770" si="164">IF(D707="Military",IF(OR(IFERROR(SEARCH("equipment",E707,1),0)&gt;0,IFERROR(SEARCH("weapons",E707,1),0)&gt;0),1,0),0)</f>
        <v>0</v>
      </c>
      <c r="AT707" s="1194">
        <f t="shared" ref="AT707:AT770" si="165">IFERROR(IF(VALUE(TEXT(C707,"mm"))=IF(AH707&gt;12,AH707-12,AH707),".",IF(TEXT(C707,"mm")="01",".",1)),"Value is not in date format")</f>
        <v>1</v>
      </c>
      <c r="AU707" s="1194" t="str">
        <f t="shared" ref="AU707:AU770" si="166">IF(AND(A707=A706,C707=C706)=TRUE,IF(F707=F706,".","1"),".")</f>
        <v>.</v>
      </c>
      <c r="AV707" s="1194" t="str">
        <f t="shared" si="157"/>
        <v>.</v>
      </c>
      <c r="AW707" s="1194" t="str">
        <f t="shared" ref="AW707:AW770" si="167">IF(T707&lt;&gt;".",IF(T707&gt;S707,1,"."),".")</f>
        <v>.</v>
      </c>
      <c r="AX707" s="1194">
        <f>IFERROR(VLOOKUP(B707,'Share, Heavy Weapons to Ukraine'!B:Z,COLUMN('Share, Heavy Weapons to Ukraine'!C717)-1,0),0)</f>
        <v>0</v>
      </c>
      <c r="AY707" s="1194">
        <f>VLOOKUP('Bilateral Assistance, MAIN DATA'!B707,'Country Summary (€)'!B:F,COLUMN('Country Summary (€)'!C718)-1,FALSE)</f>
        <v>1</v>
      </c>
      <c r="AZ707" s="1194" t="str">
        <f>IF(AND(AD707=1,D707="Military",H707&lt;&gt;"Not given")=TRUE,IF(SUMIFS(P:P,A:A,A707)&gt;0,ABS((SUMIFS(P:P,A:A,A707)/VLOOKUP("USD",'Exchange Rates'!B:C,2,0)))/S707,"."),".")</f>
        <v>.</v>
      </c>
      <c r="BA707" s="1196" t="str">
        <f>IF(AND(AD707=1,D707="Military",H707&lt;&gt;"Not given")=TRUE,IF(SUMIFS(P:P,A:A,A707)&gt;0,IF((ABS((SUMIFS(P:P,A:A,A707)/VLOOKUP("USD",'Exchange Rates'!B:C,2,0)))/S707)&gt;1,(SUMIFS(P:P,A:A,A707)-S707)/S707,(S707-SUMIFS(P:P,A:A,A707))/SUMIFS(P:P,A:A,A707)),"."),".")</f>
        <v>.</v>
      </c>
    </row>
    <row r="708" spans="1:72" ht="15.95" customHeight="1">
      <c r="A708" s="1180" t="s">
        <v>1968</v>
      </c>
      <c r="B708" s="1180" t="s">
        <v>1711</v>
      </c>
      <c r="C708" s="1181">
        <v>44700</v>
      </c>
      <c r="D708" s="1182" t="s">
        <v>544</v>
      </c>
      <c r="E708" s="1182" t="s">
        <v>481</v>
      </c>
      <c r="F708" s="1183" t="s">
        <v>1969</v>
      </c>
      <c r="G708" s="1184" t="s">
        <v>483</v>
      </c>
      <c r="H708" s="1185">
        <v>1000000000</v>
      </c>
      <c r="I708" s="1180" t="s">
        <v>364</v>
      </c>
      <c r="J708" s="1186" t="str">
        <f>VLOOKUP($I708,'Price List, Weapons &amp; Items'!B:C,2,0)</f>
        <v>.</v>
      </c>
      <c r="K708" s="1186" t="str">
        <f>IF(I708=".",I708,VLOOKUP($I708,'Price List, Weapons &amp; Items'!B:D,3,0))</f>
        <v>.</v>
      </c>
      <c r="L708" s="1187">
        <f>VLOOKUP(I708,'Price List, Weapons &amp; Items'!B:E,4,0)</f>
        <v>0</v>
      </c>
      <c r="M708" s="1188" t="s">
        <v>364</v>
      </c>
      <c r="N708" s="1188" t="s">
        <v>364</v>
      </c>
      <c r="O708" s="1188" t="str">
        <f>VLOOKUP($I708,'Price List, Weapons &amp; Items'!B:G,6,0)</f>
        <v>.</v>
      </c>
      <c r="P708" s="1185" t="str">
        <f t="shared" si="158"/>
        <v>.</v>
      </c>
      <c r="Q708" s="1185" t="str">
        <f t="shared" si="159"/>
        <v>.</v>
      </c>
      <c r="R708" s="1185">
        <f t="shared" si="155"/>
        <v>1000000000</v>
      </c>
      <c r="S708" s="1185">
        <f>IF(AND(AD708=1,R708&lt;&gt;".")=TRUE,R708/VLOOKUP(G708,'Exchange Rates'!B:C,2,0),IF(R708=".",".",""))</f>
        <v>1000000000</v>
      </c>
      <c r="T708" s="1185" t="str">
        <f>IF(AD708=1,IF(AF708="Value is not given at all",".",IF(AF708="Value is given by the source",S708,IF(AF708="Value is calculated with prices",(IF(SUMIFS(Q:Q,A:A,A708)&gt;0,SUMIFS(Q:Q,A:A,A708),"."))/VLOOKUP("USD",'Exchange Rates'!B:C,2,0),"Error with coding"))),"")</f>
        <v>.</v>
      </c>
      <c r="U708" s="1184" t="s">
        <v>365</v>
      </c>
      <c r="V708" s="972" t="s">
        <v>1716</v>
      </c>
      <c r="W708" s="971" t="s">
        <v>1970</v>
      </c>
      <c r="X708" s="971" t="s">
        <v>1971</v>
      </c>
      <c r="Y708" s="1196" t="s">
        <v>364</v>
      </c>
      <c r="Z708" s="1184">
        <v>0</v>
      </c>
      <c r="AA708" s="1194">
        <v>0</v>
      </c>
      <c r="AB708" s="1180" t="s">
        <v>364</v>
      </c>
      <c r="AC708" s="1192" t="str">
        <f>""</f>
        <v/>
      </c>
      <c r="AD708" s="1193">
        <v>1</v>
      </c>
      <c r="AE708" s="1193" t="s">
        <v>368</v>
      </c>
      <c r="AF708" s="1193" t="s">
        <v>369</v>
      </c>
      <c r="AG708" s="1193">
        <v>1</v>
      </c>
      <c r="AH708" s="1193">
        <v>5</v>
      </c>
      <c r="AI708" s="1193">
        <v>0</v>
      </c>
      <c r="AJ708" s="1193">
        <f>VLOOKUP($I708,'Price List, Weapons &amp; Items'!B:F,5,0)</f>
        <v>0</v>
      </c>
      <c r="AK708" s="1193">
        <f t="shared" si="160"/>
        <v>0</v>
      </c>
      <c r="AL708" s="1193">
        <f t="shared" si="161"/>
        <v>0</v>
      </c>
      <c r="AM708" s="1193">
        <f t="shared" si="162"/>
        <v>0</v>
      </c>
      <c r="AN708" s="1194" t="str">
        <f>VLOOKUP($I708,'Price List, Weapons &amp; Items'!B:L,COLUMN('Price List, Weapons &amp; Items'!$J$11)-1,0)</f>
        <v>.</v>
      </c>
      <c r="AO708" s="1194" t="str">
        <f>IF(I708=".",".",VLOOKUP($I708,'Price List, Weapons &amp; Items'!B:J,3,0))</f>
        <v>.</v>
      </c>
      <c r="AP708" s="1195" t="str">
        <f t="shared" ca="1" si="156"/>
        <v>.</v>
      </c>
      <c r="AQ708" s="1194">
        <f>VLOOKUP($I708,'Price List, Weapons &amp; Items'!B:L,COLUMN('Price List, Weapons &amp; Items'!$L$11)-1,0)</f>
        <v>0</v>
      </c>
      <c r="AR708" s="1194">
        <f t="shared" si="163"/>
        <v>1</v>
      </c>
      <c r="AS708" s="1194">
        <f t="shared" si="164"/>
        <v>0</v>
      </c>
      <c r="AT708" s="1194">
        <f t="shared" si="165"/>
        <v>1</v>
      </c>
      <c r="AU708" s="1194" t="str">
        <f t="shared" si="166"/>
        <v>.</v>
      </c>
      <c r="AV708" s="1194" t="str">
        <f t="shared" si="157"/>
        <v>.</v>
      </c>
      <c r="AW708" s="1194" t="str">
        <f t="shared" si="167"/>
        <v>.</v>
      </c>
      <c r="AX708" s="1194">
        <f>IFERROR(VLOOKUP(B708,'Share, Heavy Weapons to Ukraine'!B:Z,COLUMN('Share, Heavy Weapons to Ukraine'!C718)-1,0),0)</f>
        <v>0</v>
      </c>
      <c r="AY708" s="1194">
        <f>VLOOKUP('Bilateral Assistance, MAIN DATA'!B708,'Country Summary (€)'!B:F,COLUMN('Country Summary (€)'!C719)-1,FALSE)</f>
        <v>1</v>
      </c>
      <c r="AZ708" s="1194" t="str">
        <f>IF(AND(AD708=1,D708="Military",H708&lt;&gt;"Not given")=TRUE,IF(SUMIFS(P:P,A:A,A708)&gt;0,ABS((SUMIFS(P:P,A:A,A708)/VLOOKUP("USD",'Exchange Rates'!B:C,2,0)))/S708,"."),".")</f>
        <v>.</v>
      </c>
      <c r="BA708" s="1196" t="str">
        <f>IF(AND(AD708=1,D708="Military",H708&lt;&gt;"Not given")=TRUE,IF(SUMIFS(P:P,A:A,A708)&gt;0,IF((ABS((SUMIFS(P:P,A:A,A708)/VLOOKUP("USD",'Exchange Rates'!B:C,2,0)))/S708)&gt;1,(SUMIFS(P:P,A:A,A708)-S708)/S708,(S708-SUMIFS(P:P,A:A,A708))/SUMIFS(P:P,A:A,A708)),"."),".")</f>
        <v>.</v>
      </c>
    </row>
    <row r="709" spans="1:72" ht="15.95" customHeight="1">
      <c r="A709" s="1180" t="s">
        <v>1972</v>
      </c>
      <c r="B709" s="1180" t="s">
        <v>1973</v>
      </c>
      <c r="C709" s="1181">
        <v>44619</v>
      </c>
      <c r="D709" s="1182" t="s">
        <v>360</v>
      </c>
      <c r="E709" s="1182" t="s">
        <v>371</v>
      </c>
      <c r="F709" s="1183" t="s">
        <v>1974</v>
      </c>
      <c r="G709" s="1184" t="s">
        <v>364</v>
      </c>
      <c r="H709" s="1185" t="s">
        <v>457</v>
      </c>
      <c r="I709" s="1180" t="s">
        <v>364</v>
      </c>
      <c r="J709" s="1186" t="str">
        <f>VLOOKUP($I709,'Price List, Weapons &amp; Items'!B:C,2,0)</f>
        <v>.</v>
      </c>
      <c r="K709" s="1186" t="str">
        <f>IF(I709=".",I709,VLOOKUP($I709,'Price List, Weapons &amp; Items'!B:D,3,0))</f>
        <v>.</v>
      </c>
      <c r="L709" s="1187">
        <f>VLOOKUP(I709,'Price List, Weapons &amp; Items'!B:E,4,0)</f>
        <v>0</v>
      </c>
      <c r="M709" s="1188" t="s">
        <v>364</v>
      </c>
      <c r="N709" s="1188" t="s">
        <v>364</v>
      </c>
      <c r="O709" s="1188" t="str">
        <f>VLOOKUP($I709,'Price List, Weapons &amp; Items'!B:G,6,0)</f>
        <v>.</v>
      </c>
      <c r="P709" s="1185" t="str">
        <f t="shared" si="158"/>
        <v>.</v>
      </c>
      <c r="Q709" s="1185" t="str">
        <f t="shared" si="159"/>
        <v>.</v>
      </c>
      <c r="R709" s="1185" t="str">
        <f t="shared" si="155"/>
        <v>.</v>
      </c>
      <c r="S709" s="1185" t="str">
        <f>IF(AND(AD709=1,R709&lt;&gt;".")=TRUE,R709/VLOOKUP(G709,'Exchange Rates'!B:C,2,0),IF(R709=".",".",""))</f>
        <v>.</v>
      </c>
      <c r="T709" s="1185" t="str">
        <f>IF(AD709=1,IF(AF709="Value is not given at all",".",IF(AF709="Value is given by the source",S709,IF(AF709="Value is calculated with prices",(IF(SUMIFS(Q:Q,A:A,A709)&gt;0,SUMIFS(Q:Q,A:A,A709),"."))/VLOOKUP("USD",'Exchange Rates'!B:C,2,0),"Error with coding"))),"")</f>
        <v>.</v>
      </c>
      <c r="U709" s="1184" t="s">
        <v>365</v>
      </c>
      <c r="V709" s="971" t="s">
        <v>1975</v>
      </c>
      <c r="W709" s="1284" t="s">
        <v>1976</v>
      </c>
      <c r="X709" s="1190" t="s">
        <v>364</v>
      </c>
      <c r="Y709" s="1190" t="s">
        <v>364</v>
      </c>
      <c r="Z709" s="1184">
        <v>0</v>
      </c>
      <c r="AA709" s="1194">
        <v>0</v>
      </c>
      <c r="AB709" s="1201" t="s">
        <v>364</v>
      </c>
      <c r="AC709" s="1192" t="str">
        <f>""</f>
        <v/>
      </c>
      <c r="AD709" s="985">
        <v>1</v>
      </c>
      <c r="AE709" s="985" t="s">
        <v>369</v>
      </c>
      <c r="AF709" s="985" t="s">
        <v>369</v>
      </c>
      <c r="AG709" s="985">
        <v>1</v>
      </c>
      <c r="AH709" s="1193">
        <v>2</v>
      </c>
      <c r="AI709" s="1193">
        <v>0</v>
      </c>
      <c r="AJ709" s="1193">
        <f>VLOOKUP($I709,'Price List, Weapons &amp; Items'!B:F,5,0)</f>
        <v>0</v>
      </c>
      <c r="AK709" s="1193">
        <f t="shared" si="160"/>
        <v>0</v>
      </c>
      <c r="AL709" s="1193">
        <f t="shared" si="161"/>
        <v>0</v>
      </c>
      <c r="AM709" s="1193">
        <f t="shared" si="162"/>
        <v>0</v>
      </c>
      <c r="AN709" s="1194" t="str">
        <f>VLOOKUP($I709,'Price List, Weapons &amp; Items'!B:L,COLUMN('Price List, Weapons &amp; Items'!$J$11)-1,0)</f>
        <v>.</v>
      </c>
      <c r="AO709" s="1194" t="str">
        <f>IF(I709=".",".",VLOOKUP($I709,'Price List, Weapons &amp; Items'!B:J,3,0))</f>
        <v>.</v>
      </c>
      <c r="AP709" s="1195" t="str">
        <f t="shared" ca="1" si="156"/>
        <v>.</v>
      </c>
      <c r="AQ709" s="1194">
        <f>VLOOKUP($I709,'Price List, Weapons &amp; Items'!B:L,COLUMN('Price List, Weapons &amp; Items'!$L$11)-1,0)</f>
        <v>0</v>
      </c>
      <c r="AR709" s="1194">
        <f t="shared" si="163"/>
        <v>1</v>
      </c>
      <c r="AS709" s="1194">
        <f t="shared" si="164"/>
        <v>0</v>
      </c>
      <c r="AT709" s="1194">
        <f t="shared" si="165"/>
        <v>1</v>
      </c>
      <c r="AU709" s="1194" t="str">
        <f t="shared" si="166"/>
        <v>.</v>
      </c>
      <c r="AV709" s="1194" t="str">
        <f t="shared" si="157"/>
        <v>.</v>
      </c>
      <c r="AW709" s="1194" t="str">
        <f t="shared" si="167"/>
        <v>.</v>
      </c>
      <c r="AX709" s="1194">
        <f>IFERROR(VLOOKUP(B709,'Share, Heavy Weapons to Ukraine'!B:Z,COLUMN('Share, Heavy Weapons to Ukraine'!C719)-1,0),0)</f>
        <v>0</v>
      </c>
      <c r="AY709" s="1194">
        <f>VLOOKUP('Bilateral Assistance, MAIN DATA'!B709,'Country Summary (€)'!B:F,COLUMN('Country Summary (€)'!C720)-1,FALSE)</f>
        <v>1</v>
      </c>
      <c r="AZ709" s="1194" t="str">
        <f>IF(AND(AD709=1,D709="Military",H709&lt;&gt;"Not given")=TRUE,IF(SUMIFS(P:P,A:A,A709)&gt;0,ABS((SUMIFS(P:P,A:A,A709)/VLOOKUP("USD",'Exchange Rates'!B:C,2,0)))/S709,"."),".")</f>
        <v>.</v>
      </c>
      <c r="BA709" s="1196" t="str">
        <f>IF(AND(AD709=1,D709="Military",H709&lt;&gt;"Not given")=TRUE,IF(SUMIFS(P:P,A:A,A709)&gt;0,IF((ABS((SUMIFS(P:P,A:A,A709)/VLOOKUP("USD",'Exchange Rates'!B:C,2,0)))/S709)&gt;1,(SUMIFS(P:P,A:A,A709)-S709)/S709,(S709-SUMIFS(P:P,A:A,A709))/SUMIFS(P:P,A:A,A709)),"."),".")</f>
        <v>.</v>
      </c>
    </row>
    <row r="710" spans="1:72" ht="15.95" customHeight="1">
      <c r="A710" s="1180" t="s">
        <v>1977</v>
      </c>
      <c r="B710" s="1180" t="s">
        <v>1973</v>
      </c>
      <c r="C710" s="1181">
        <v>44638</v>
      </c>
      <c r="D710" s="1182" t="s">
        <v>360</v>
      </c>
      <c r="E710" s="1182" t="s">
        <v>371</v>
      </c>
      <c r="F710" s="1183" t="s">
        <v>1978</v>
      </c>
      <c r="G710" s="1184" t="s">
        <v>364</v>
      </c>
      <c r="H710" s="1185" t="s">
        <v>457</v>
      </c>
      <c r="I710" s="1180" t="s">
        <v>364</v>
      </c>
      <c r="J710" s="1186" t="str">
        <f>VLOOKUP($I710,'Price List, Weapons &amp; Items'!B:C,2,0)</f>
        <v>.</v>
      </c>
      <c r="K710" s="1186" t="str">
        <f>IF(I710=".",I710,VLOOKUP($I710,'Price List, Weapons &amp; Items'!B:D,3,0))</f>
        <v>.</v>
      </c>
      <c r="L710" s="1187">
        <f>VLOOKUP(I710,'Price List, Weapons &amp; Items'!B:E,4,0)</f>
        <v>0</v>
      </c>
      <c r="M710" s="1188" t="s">
        <v>364</v>
      </c>
      <c r="N710" s="1188" t="s">
        <v>364</v>
      </c>
      <c r="O710" s="1188" t="str">
        <f>VLOOKUP($I710,'Price List, Weapons &amp; Items'!B:G,6,0)</f>
        <v>.</v>
      </c>
      <c r="P710" s="1185" t="str">
        <f t="shared" si="158"/>
        <v>.</v>
      </c>
      <c r="Q710" s="1185" t="str">
        <f t="shared" si="159"/>
        <v>.</v>
      </c>
      <c r="R710" s="1185" t="str">
        <f t="shared" si="155"/>
        <v>.</v>
      </c>
      <c r="S710" s="1185" t="str">
        <f>IF(AND(AD710=1,R710&lt;&gt;".")=TRUE,R710/VLOOKUP(G710,'Exchange Rates'!B:C,2,0),IF(R710=".",".",""))</f>
        <v>.</v>
      </c>
      <c r="T710" s="1185" t="str">
        <f>IF(AD710=1,IF(AF710="Value is not given at all",".",IF(AF710="Value is given by the source",S710,IF(AF710="Value is calculated with prices",(IF(SUMIFS(Q:Q,A:A,A710)&gt;0,SUMIFS(Q:Q,A:A,A710),"."))/VLOOKUP("USD",'Exchange Rates'!B:C,2,0),"Error with coding"))),"")</f>
        <v>.</v>
      </c>
      <c r="U710" s="1184" t="s">
        <v>365</v>
      </c>
      <c r="V710" s="973" t="s">
        <v>1979</v>
      </c>
      <c r="W710" s="971" t="s">
        <v>1980</v>
      </c>
      <c r="X710" s="1190" t="s">
        <v>364</v>
      </c>
      <c r="Y710" s="1190" t="s">
        <v>364</v>
      </c>
      <c r="Z710" s="1184">
        <v>0</v>
      </c>
      <c r="AA710" s="1194">
        <v>0</v>
      </c>
      <c r="AB710" s="1201" t="s">
        <v>364</v>
      </c>
      <c r="AC710" s="1192" t="str">
        <f>""</f>
        <v/>
      </c>
      <c r="AD710" s="985">
        <v>1</v>
      </c>
      <c r="AE710" s="985" t="s">
        <v>369</v>
      </c>
      <c r="AF710" s="985" t="s">
        <v>369</v>
      </c>
      <c r="AG710" s="985">
        <v>1</v>
      </c>
      <c r="AH710" s="1193">
        <v>3</v>
      </c>
      <c r="AI710" s="1193">
        <v>0</v>
      </c>
      <c r="AJ710" s="1193">
        <f>VLOOKUP($I710,'Price List, Weapons &amp; Items'!B:F,5,0)</f>
        <v>0</v>
      </c>
      <c r="AK710" s="1193">
        <f t="shared" si="160"/>
        <v>0</v>
      </c>
      <c r="AL710" s="1193">
        <f t="shared" si="161"/>
        <v>0</v>
      </c>
      <c r="AM710" s="1193">
        <f t="shared" si="162"/>
        <v>0</v>
      </c>
      <c r="AN710" s="1194" t="str">
        <f>VLOOKUP($I710,'Price List, Weapons &amp; Items'!B:L,COLUMN('Price List, Weapons &amp; Items'!$J$11)-1,0)</f>
        <v>.</v>
      </c>
      <c r="AO710" s="1194" t="str">
        <f>IF(I710=".",".",VLOOKUP($I710,'Price List, Weapons &amp; Items'!B:J,3,0))</f>
        <v>.</v>
      </c>
      <c r="AP710" s="1195" t="str">
        <f t="shared" ca="1" si="156"/>
        <v>.</v>
      </c>
      <c r="AQ710" s="1194">
        <f>VLOOKUP($I710,'Price List, Weapons &amp; Items'!B:L,COLUMN('Price List, Weapons &amp; Items'!$L$11)-1,0)</f>
        <v>0</v>
      </c>
      <c r="AR710" s="1194">
        <f t="shared" si="163"/>
        <v>1</v>
      </c>
      <c r="AS710" s="1194">
        <f t="shared" si="164"/>
        <v>0</v>
      </c>
      <c r="AT710" s="1194">
        <f t="shared" si="165"/>
        <v>1</v>
      </c>
      <c r="AU710" s="1194" t="str">
        <f t="shared" si="166"/>
        <v>.</v>
      </c>
      <c r="AV710" s="1194" t="str">
        <f t="shared" si="157"/>
        <v>.</v>
      </c>
      <c r="AW710" s="1194" t="str">
        <f t="shared" si="167"/>
        <v>.</v>
      </c>
      <c r="AX710" s="1194">
        <f>IFERROR(VLOOKUP(B710,'Share, Heavy Weapons to Ukraine'!B:Z,COLUMN('Share, Heavy Weapons to Ukraine'!C720)-1,0),0)</f>
        <v>0</v>
      </c>
      <c r="AY710" s="1194">
        <f>VLOOKUP('Bilateral Assistance, MAIN DATA'!B710,'Country Summary (€)'!B:F,COLUMN('Country Summary (€)'!C721)-1,FALSE)</f>
        <v>1</v>
      </c>
      <c r="AZ710" s="1194" t="str">
        <f>IF(AND(AD710=1,D710="Military",H710&lt;&gt;"Not given")=TRUE,IF(SUMIFS(P:P,A:A,A710)&gt;0,ABS((SUMIFS(P:P,A:A,A710)/VLOOKUP("USD",'Exchange Rates'!B:C,2,0)))/S710,"."),".")</f>
        <v>.</v>
      </c>
      <c r="BA710" s="1196" t="str">
        <f>IF(AND(AD710=1,D710="Military",H710&lt;&gt;"Not given")=TRUE,IF(SUMIFS(P:P,A:A,A710)&gt;0,IF((ABS((SUMIFS(P:P,A:A,A710)/VLOOKUP("USD",'Exchange Rates'!B:C,2,0)))/S710)&gt;1,(SUMIFS(P:P,A:A,A710)-S710)/S710,(S710-SUMIFS(P:P,A:A,A710))/SUMIFS(P:P,A:A,A710)),"."),".")</f>
        <v>.</v>
      </c>
    </row>
    <row r="711" spans="1:72" ht="15.95" customHeight="1">
      <c r="A711" s="1180" t="s">
        <v>1981</v>
      </c>
      <c r="B711" s="1180" t="s">
        <v>1973</v>
      </c>
      <c r="C711" s="1181">
        <v>44654</v>
      </c>
      <c r="D711" s="1182" t="s">
        <v>360</v>
      </c>
      <c r="E711" s="1182" t="s">
        <v>371</v>
      </c>
      <c r="F711" s="1183" t="s">
        <v>1982</v>
      </c>
      <c r="G711" s="1184" t="s">
        <v>364</v>
      </c>
      <c r="H711" s="1185" t="s">
        <v>457</v>
      </c>
      <c r="I711" s="1180" t="s">
        <v>364</v>
      </c>
      <c r="J711" s="1186" t="str">
        <f>VLOOKUP($I711,'Price List, Weapons &amp; Items'!B:C,2,0)</f>
        <v>.</v>
      </c>
      <c r="K711" s="1186" t="str">
        <f>IF(I711=".",I711,VLOOKUP($I711,'Price List, Weapons &amp; Items'!B:D,3,0))</f>
        <v>.</v>
      </c>
      <c r="L711" s="1187">
        <f>VLOOKUP(I711,'Price List, Weapons &amp; Items'!B:E,4,0)</f>
        <v>0</v>
      </c>
      <c r="M711" s="1188" t="s">
        <v>364</v>
      </c>
      <c r="N711" s="1188" t="s">
        <v>364</v>
      </c>
      <c r="O711" s="1188" t="str">
        <f>VLOOKUP($I711,'Price List, Weapons &amp; Items'!B:G,6,0)</f>
        <v>.</v>
      </c>
      <c r="P711" s="1185" t="str">
        <f t="shared" si="158"/>
        <v>.</v>
      </c>
      <c r="Q711" s="1185" t="str">
        <f t="shared" si="159"/>
        <v>.</v>
      </c>
      <c r="R711" s="1185" t="str">
        <f t="shared" si="155"/>
        <v>.</v>
      </c>
      <c r="S711" s="1185" t="str">
        <f>IF(AND(AD711=1,R711&lt;&gt;".")=TRUE,R711/VLOOKUP(G711,'Exchange Rates'!B:C,2,0),IF(R711=".",".",""))</f>
        <v>.</v>
      </c>
      <c r="T711" s="1185" t="str">
        <f>IF(AD711=1,IF(AF711="Value is not given at all",".",IF(AF711="Value is given by the source",S711,IF(AF711="Value is calculated with prices",(IF(SUMIFS(Q:Q,A:A,A711)&gt;0,SUMIFS(Q:Q,A:A,A711),"."))/VLOOKUP("USD",'Exchange Rates'!B:C,2,0),"Error with coding"))),"")</f>
        <v>.</v>
      </c>
      <c r="U711" s="1184" t="s">
        <v>365</v>
      </c>
      <c r="V711" s="973" t="s">
        <v>1983</v>
      </c>
      <c r="W711" s="971" t="s">
        <v>1984</v>
      </c>
      <c r="X711" s="1190" t="s">
        <v>364</v>
      </c>
      <c r="Y711" s="1190" t="s">
        <v>364</v>
      </c>
      <c r="Z711" s="1184">
        <v>0</v>
      </c>
      <c r="AA711" s="1194">
        <v>0</v>
      </c>
      <c r="AB711" s="1201" t="s">
        <v>364</v>
      </c>
      <c r="AC711" s="1192" t="str">
        <f>""</f>
        <v/>
      </c>
      <c r="AD711" s="985">
        <v>1</v>
      </c>
      <c r="AE711" s="985" t="s">
        <v>369</v>
      </c>
      <c r="AF711" s="985" t="s">
        <v>369</v>
      </c>
      <c r="AG711" s="985">
        <v>1</v>
      </c>
      <c r="AH711" s="1193">
        <v>4</v>
      </c>
      <c r="AI711" s="1193">
        <v>0</v>
      </c>
      <c r="AJ711" s="1193">
        <f>VLOOKUP($I711,'Price List, Weapons &amp; Items'!B:F,5,0)</f>
        <v>0</v>
      </c>
      <c r="AK711" s="1193">
        <f t="shared" si="160"/>
        <v>0</v>
      </c>
      <c r="AL711" s="1193">
        <f t="shared" si="161"/>
        <v>0</v>
      </c>
      <c r="AM711" s="1193">
        <f t="shared" si="162"/>
        <v>0</v>
      </c>
      <c r="AN711" s="1194" t="str">
        <f>VLOOKUP($I711,'Price List, Weapons &amp; Items'!B:L,COLUMN('Price List, Weapons &amp; Items'!$J$11)-1,0)</f>
        <v>.</v>
      </c>
      <c r="AO711" s="1194" t="str">
        <f>IF(I711=".",".",VLOOKUP($I711,'Price List, Weapons &amp; Items'!B:J,3,0))</f>
        <v>.</v>
      </c>
      <c r="AP711" s="1195" t="str">
        <f t="shared" ca="1" si="156"/>
        <v>.</v>
      </c>
      <c r="AQ711" s="1194">
        <f>VLOOKUP($I711,'Price List, Weapons &amp; Items'!B:L,COLUMN('Price List, Weapons &amp; Items'!$L$11)-1,0)</f>
        <v>0</v>
      </c>
      <c r="AR711" s="1194">
        <f t="shared" si="163"/>
        <v>1</v>
      </c>
      <c r="AS711" s="1194">
        <f t="shared" si="164"/>
        <v>0</v>
      </c>
      <c r="AT711" s="1194">
        <f t="shared" si="165"/>
        <v>1</v>
      </c>
      <c r="AU711" s="1194" t="str">
        <f t="shared" si="166"/>
        <v>.</v>
      </c>
      <c r="AV711" s="1194" t="str">
        <f t="shared" si="157"/>
        <v>.</v>
      </c>
      <c r="AW711" s="1194" t="str">
        <f t="shared" si="167"/>
        <v>.</v>
      </c>
      <c r="AX711" s="1194">
        <f>IFERROR(VLOOKUP(B711,'Share, Heavy Weapons to Ukraine'!B:Z,COLUMN('Share, Heavy Weapons to Ukraine'!C721)-1,0),0)</f>
        <v>0</v>
      </c>
      <c r="AY711" s="1194">
        <f>VLOOKUP('Bilateral Assistance, MAIN DATA'!B711,'Country Summary (€)'!B:F,COLUMN('Country Summary (€)'!C722)-1,FALSE)</f>
        <v>1</v>
      </c>
      <c r="AZ711" s="1194" t="str">
        <f>IF(AND(AD711=1,D711="Military",H711&lt;&gt;"Not given")=TRUE,IF(SUMIFS(P:P,A:A,A711)&gt;0,ABS((SUMIFS(P:P,A:A,A711)/VLOOKUP("USD",'Exchange Rates'!B:C,2,0)))/S711,"."),".")</f>
        <v>.</v>
      </c>
      <c r="BA711" s="1196" t="str">
        <f>IF(AND(AD711=1,D711="Military",H711&lt;&gt;"Not given")=TRUE,IF(SUMIFS(P:P,A:A,A711)&gt;0,IF((ABS((SUMIFS(P:P,A:A,A711)/VLOOKUP("USD",'Exchange Rates'!B:C,2,0)))/S711)&gt;1,(SUMIFS(P:P,A:A,A711)-S711)/S711,(S711-SUMIFS(P:P,A:A,A711))/SUMIFS(P:P,A:A,A711)),"."),".")</f>
        <v>.</v>
      </c>
    </row>
    <row r="712" spans="1:72" ht="15.95" customHeight="1">
      <c r="A712" s="1180" t="s">
        <v>1985</v>
      </c>
      <c r="B712" s="1180" t="s">
        <v>1973</v>
      </c>
      <c r="C712" s="1181">
        <v>44662</v>
      </c>
      <c r="D712" s="1182" t="s">
        <v>360</v>
      </c>
      <c r="E712" s="1182" t="s">
        <v>371</v>
      </c>
      <c r="F712" s="1183" t="s">
        <v>1986</v>
      </c>
      <c r="G712" s="1184" t="s">
        <v>364</v>
      </c>
      <c r="H712" s="1185" t="s">
        <v>457</v>
      </c>
      <c r="I712" s="1180" t="s">
        <v>364</v>
      </c>
      <c r="J712" s="1186" t="str">
        <f>VLOOKUP($I712,'Price List, Weapons &amp; Items'!B:C,2,0)</f>
        <v>.</v>
      </c>
      <c r="K712" s="1186" t="str">
        <f>IF(I712=".",I712,VLOOKUP($I712,'Price List, Weapons &amp; Items'!B:D,3,0))</f>
        <v>.</v>
      </c>
      <c r="L712" s="1187">
        <f>VLOOKUP(I712,'Price List, Weapons &amp; Items'!B:E,4,0)</f>
        <v>0</v>
      </c>
      <c r="M712" s="1188" t="s">
        <v>364</v>
      </c>
      <c r="N712" s="1188" t="s">
        <v>364</v>
      </c>
      <c r="O712" s="1188" t="str">
        <f>VLOOKUP($I712,'Price List, Weapons &amp; Items'!B:G,6,0)</f>
        <v>.</v>
      </c>
      <c r="P712" s="1185" t="str">
        <f t="shared" si="158"/>
        <v>.</v>
      </c>
      <c r="Q712" s="1185" t="str">
        <f t="shared" si="159"/>
        <v>.</v>
      </c>
      <c r="R712" s="1185" t="str">
        <f t="shared" si="155"/>
        <v>.</v>
      </c>
      <c r="S712" s="1185" t="str">
        <f>IF(AND(AD712=1,R712&lt;&gt;".")=TRUE,R712/VLOOKUP(G712,'Exchange Rates'!B:C,2,0),IF(R712=".",".",""))</f>
        <v>.</v>
      </c>
      <c r="T712" s="1185" t="str">
        <f>IF(AD712=1,IF(AF712="Value is not given at all",".",IF(AF712="Value is given by the source",S712,IF(AF712="Value is calculated with prices",(IF(SUMIFS(Q:Q,A:A,A712)&gt;0,SUMIFS(Q:Q,A:A,A712),"."))/VLOOKUP("USD",'Exchange Rates'!B:C,2,0),"Error with coding"))),"")</f>
        <v>.</v>
      </c>
      <c r="U712" s="1184" t="s">
        <v>365</v>
      </c>
      <c r="V712" s="971" t="s">
        <v>1987</v>
      </c>
      <c r="W712" s="980" t="s">
        <v>1988</v>
      </c>
      <c r="X712" s="1190" t="s">
        <v>364</v>
      </c>
      <c r="Y712" s="1190" t="s">
        <v>364</v>
      </c>
      <c r="Z712" s="1184">
        <v>0</v>
      </c>
      <c r="AA712" s="1194">
        <v>0</v>
      </c>
      <c r="AB712" s="1201" t="s">
        <v>364</v>
      </c>
      <c r="AC712" s="1192" t="str">
        <f>""</f>
        <v/>
      </c>
      <c r="AD712" s="985">
        <v>1</v>
      </c>
      <c r="AE712" s="985" t="s">
        <v>369</v>
      </c>
      <c r="AF712" s="985" t="s">
        <v>369</v>
      </c>
      <c r="AG712" s="985">
        <v>1</v>
      </c>
      <c r="AH712" s="1193">
        <v>4</v>
      </c>
      <c r="AI712" s="1193">
        <v>0</v>
      </c>
      <c r="AJ712" s="1193">
        <f>VLOOKUP($I712,'Price List, Weapons &amp; Items'!B:F,5,0)</f>
        <v>0</v>
      </c>
      <c r="AK712" s="1193">
        <f t="shared" si="160"/>
        <v>0</v>
      </c>
      <c r="AL712" s="1193">
        <f t="shared" si="161"/>
        <v>0</v>
      </c>
      <c r="AM712" s="1193">
        <f t="shared" si="162"/>
        <v>0</v>
      </c>
      <c r="AN712" s="1194" t="str">
        <f>VLOOKUP($I712,'Price List, Weapons &amp; Items'!B:L,COLUMN('Price List, Weapons &amp; Items'!$J$11)-1,0)</f>
        <v>.</v>
      </c>
      <c r="AO712" s="1194" t="str">
        <f>IF(I712=".",".",VLOOKUP($I712,'Price List, Weapons &amp; Items'!B:J,3,0))</f>
        <v>.</v>
      </c>
      <c r="AP712" s="1195" t="str">
        <f t="shared" ca="1" si="156"/>
        <v>.</v>
      </c>
      <c r="AQ712" s="1194">
        <f>VLOOKUP($I712,'Price List, Weapons &amp; Items'!B:L,COLUMN('Price List, Weapons &amp; Items'!$L$11)-1,0)</f>
        <v>0</v>
      </c>
      <c r="AR712" s="1194">
        <f t="shared" si="163"/>
        <v>1</v>
      </c>
      <c r="AS712" s="1194">
        <f t="shared" si="164"/>
        <v>0</v>
      </c>
      <c r="AT712" s="1194">
        <f t="shared" si="165"/>
        <v>1</v>
      </c>
      <c r="AU712" s="1194" t="str">
        <f t="shared" si="166"/>
        <v>.</v>
      </c>
      <c r="AV712" s="1194" t="str">
        <f t="shared" si="157"/>
        <v>.</v>
      </c>
      <c r="AW712" s="1194" t="str">
        <f t="shared" si="167"/>
        <v>.</v>
      </c>
      <c r="AX712" s="1194">
        <f>IFERROR(VLOOKUP(B712,'Share, Heavy Weapons to Ukraine'!B:Z,COLUMN('Share, Heavy Weapons to Ukraine'!C722)-1,0),0)</f>
        <v>0</v>
      </c>
      <c r="AY712" s="1194">
        <f>VLOOKUP('Bilateral Assistance, MAIN DATA'!B712,'Country Summary (€)'!B:F,COLUMN('Country Summary (€)'!C723)-1,FALSE)</f>
        <v>1</v>
      </c>
      <c r="AZ712" s="1194" t="str">
        <f>IF(AND(AD712=1,D712="Military",H712&lt;&gt;"Not given")=TRUE,IF(SUMIFS(P:P,A:A,A712)&gt;0,ABS((SUMIFS(P:P,A:A,A712)/VLOOKUP("USD",'Exchange Rates'!B:C,2,0)))/S712,"."),".")</f>
        <v>.</v>
      </c>
      <c r="BA712" s="1196" t="str">
        <f>IF(AND(AD712=1,D712="Military",H712&lt;&gt;"Not given")=TRUE,IF(SUMIFS(P:P,A:A,A712)&gt;0,IF((ABS((SUMIFS(P:P,A:A,A712)/VLOOKUP("USD",'Exchange Rates'!B:C,2,0)))/S712)&gt;1,(SUMIFS(P:P,A:A,A712)-S712)/S712,(S712-SUMIFS(P:P,A:A,A712))/SUMIFS(P:P,A:A,A712)),"."),".")</f>
        <v>.</v>
      </c>
    </row>
    <row r="713" spans="1:72" ht="15.95" customHeight="1">
      <c r="A713" s="1182" t="s">
        <v>1989</v>
      </c>
      <c r="B713" s="1182" t="s">
        <v>1973</v>
      </c>
      <c r="C713" s="1181" t="s">
        <v>1990</v>
      </c>
      <c r="D713" s="1182" t="s">
        <v>389</v>
      </c>
      <c r="E713" s="1182" t="s">
        <v>443</v>
      </c>
      <c r="F713" s="1183" t="s">
        <v>1991</v>
      </c>
      <c r="G713" s="1184" t="s">
        <v>456</v>
      </c>
      <c r="H713" s="1185" t="s">
        <v>457</v>
      </c>
      <c r="I713" s="1180" t="s">
        <v>1992</v>
      </c>
      <c r="J713" s="1186" t="str">
        <f>VLOOKUP($I713,'Price List, Weapons &amp; Items'!B:C,2,0)</f>
        <v>Light armaments &amp; infantry</v>
      </c>
      <c r="K713" s="1186" t="str">
        <f>IF(I713=".",I713,VLOOKUP($I713,'Price List, Weapons &amp; Items'!B:D,3,0))</f>
        <v>Small Arms and Light Weapons (SALW)</v>
      </c>
      <c r="L713" s="1187">
        <f>VLOOKUP(I713,'Price List, Weapons &amp; Items'!B:E,4,0)</f>
        <v>1</v>
      </c>
      <c r="M713" s="1188">
        <v>20000</v>
      </c>
      <c r="N713" s="1188">
        <v>20000</v>
      </c>
      <c r="O713" s="1188">
        <f>VLOOKUP($I713,'Price List, Weapons &amp; Items'!B:G,6,0)</f>
        <v>850</v>
      </c>
      <c r="P713" s="1185">
        <f t="shared" si="158"/>
        <v>17000000</v>
      </c>
      <c r="Q713" s="1185">
        <f t="shared" si="159"/>
        <v>17000000</v>
      </c>
      <c r="R713" s="1185">
        <f t="shared" si="155"/>
        <v>17291259.199999999</v>
      </c>
      <c r="S713" s="1185">
        <f>IF(AND(AD713=1,R713&lt;&gt;".")=TRUE,R713/VLOOKUP(G713,'Exchange Rates'!B:C,2,0),IF(R713=".",".",""))</f>
        <v>15910249.53993375</v>
      </c>
      <c r="T713" s="1185">
        <f>IF(AD713=1,IF(AF713="Value is not given at all",".",IF(AF713="Value is given by the source",S713,IF(AF713="Value is calculated with prices",(IF(SUMIFS(Q:Q,A:A,A713)&gt;0,SUMIFS(Q:Q,A:A,A713),"."))/VLOOKUP("USD",'Exchange Rates'!B:C,2,0),"Error with coding"))),"")</f>
        <v>15910249.53993375</v>
      </c>
      <c r="U713" s="1184" t="s">
        <v>675</v>
      </c>
      <c r="V713" s="974" t="s">
        <v>1993</v>
      </c>
      <c r="W713" s="974" t="s">
        <v>1994</v>
      </c>
      <c r="X713" s="1180" t="s">
        <v>364</v>
      </c>
      <c r="Y713" s="1183" t="s">
        <v>364</v>
      </c>
      <c r="Z713" s="1184">
        <v>0</v>
      </c>
      <c r="AA713" s="1194">
        <v>0</v>
      </c>
      <c r="AB713" s="977" t="s">
        <v>1995</v>
      </c>
      <c r="AC713" s="1192" t="str">
        <f>""</f>
        <v/>
      </c>
      <c r="AD713" s="1193">
        <v>1</v>
      </c>
      <c r="AE713" s="1193" t="s">
        <v>436</v>
      </c>
      <c r="AF713" s="1193" t="s">
        <v>436</v>
      </c>
      <c r="AG713" s="1193">
        <v>1</v>
      </c>
      <c r="AH713" s="1193">
        <v>3</v>
      </c>
      <c r="AI713" s="1193">
        <v>0</v>
      </c>
      <c r="AJ713" s="1193">
        <f>VLOOKUP($I713,'Price List, Weapons &amp; Items'!B:F,5,0)</f>
        <v>0</v>
      </c>
      <c r="AK713" s="1193">
        <f t="shared" si="160"/>
        <v>0</v>
      </c>
      <c r="AL713" s="1193">
        <f t="shared" si="161"/>
        <v>0</v>
      </c>
      <c r="AM713" s="1193">
        <f t="shared" si="162"/>
        <v>0</v>
      </c>
      <c r="AN713" s="1194" t="str">
        <f>VLOOKUP($I713,'Price List, Weapons &amp; Items'!B:L,COLUMN('Price List, Weapons &amp; Items'!$J$11)-1,0)</f>
        <v>Miscellaneous</v>
      </c>
      <c r="AO713" s="1194" t="str">
        <f>IF(I713=".",".",VLOOKUP($I713,'Price List, Weapons &amp; Items'!B:J,3,0))</f>
        <v>Small Arms and Light Weapons (SALW)</v>
      </c>
      <c r="AP713" s="1195" t="str">
        <f t="shared" ca="1" si="156"/>
        <v>AK-47-type assault rifle</v>
      </c>
      <c r="AQ713" s="1194">
        <f>VLOOKUP($I713,'Price List, Weapons &amp; Items'!B:L,COLUMN('Price List, Weapons &amp; Items'!$L$11)-1,0)</f>
        <v>2</v>
      </c>
      <c r="AR713" s="1194">
        <f t="shared" si="163"/>
        <v>0</v>
      </c>
      <c r="AS713" s="1194">
        <f t="shared" si="164"/>
        <v>1</v>
      </c>
      <c r="AT713" s="1194" t="str">
        <f t="shared" si="165"/>
        <v>Value is not in date format</v>
      </c>
      <c r="AU713" s="1194" t="str">
        <f t="shared" si="166"/>
        <v>.</v>
      </c>
      <c r="AV713" s="1194" t="str">
        <f t="shared" si="157"/>
        <v>.</v>
      </c>
      <c r="AW713" s="1194" t="str">
        <f t="shared" si="167"/>
        <v>.</v>
      </c>
      <c r="AX713" s="1194">
        <f>IFERROR(VLOOKUP(B713,'Share, Heavy Weapons to Ukraine'!B:Z,COLUMN('Share, Heavy Weapons to Ukraine'!C723)-1,0),0)</f>
        <v>0</v>
      </c>
      <c r="AY713" s="1194">
        <f>VLOOKUP('Bilateral Assistance, MAIN DATA'!B713,'Country Summary (€)'!B:F,COLUMN('Country Summary (€)'!C724)-1,FALSE)</f>
        <v>1</v>
      </c>
      <c r="AZ713" s="1194" t="str">
        <f>IF(AND(AD713=1,D713="Military",H713&lt;&gt;"Not given")=TRUE,IF(SUMIFS(P:P,A:A,A713)&gt;0,ABS((SUMIFS(P:P,A:A,A713)/VLOOKUP("USD",'Exchange Rates'!B:C,2,0)))/S713,"."),".")</f>
        <v>.</v>
      </c>
      <c r="BA713" s="1196" t="str">
        <f>IF(AND(AD713=1,D713="Military",H713&lt;&gt;"Not given")=TRUE,IF(SUMIFS(P:P,A:A,A713)&gt;0,IF((ABS((SUMIFS(P:P,A:A,A713)/VLOOKUP("USD",'Exchange Rates'!B:C,2,0)))/S713)&gt;1,(SUMIFS(P:P,A:A,A713)-S713)/S713,(S713-SUMIFS(P:P,A:A,A713))/SUMIFS(P:P,A:A,A713)),"."),".")</f>
        <v>.</v>
      </c>
    </row>
    <row r="714" spans="1:72" ht="15.95" customHeight="1">
      <c r="A714" s="1182" t="s">
        <v>1989</v>
      </c>
      <c r="B714" s="1182" t="s">
        <v>1973</v>
      </c>
      <c r="C714" s="1181" t="s">
        <v>1990</v>
      </c>
      <c r="D714" s="1182" t="s">
        <v>389</v>
      </c>
      <c r="E714" s="1182" t="s">
        <v>443</v>
      </c>
      <c r="F714" s="1183" t="s">
        <v>1991</v>
      </c>
      <c r="G714" s="1184" t="s">
        <v>456</v>
      </c>
      <c r="H714" s="1185" t="s">
        <v>457</v>
      </c>
      <c r="I714" s="1180" t="s">
        <v>1996</v>
      </c>
      <c r="J714" s="1186" t="str">
        <f>VLOOKUP($I714,'Price List, Weapons &amp; Items'!B:C,2,0)</f>
        <v>Portable defence system</v>
      </c>
      <c r="K714" s="1186" t="str">
        <f>IF(I714=".",I714,VLOOKUP($I714,'Price List, Weapons &amp; Items'!B:D,3,0))</f>
        <v>Light Anti-armor Weapon (LAW)</v>
      </c>
      <c r="L714" s="1187">
        <f>VLOOKUP(I714,'Price List, Weapons &amp; Items'!B:E,4,0)</f>
        <v>1</v>
      </c>
      <c r="M714" s="1188">
        <v>815</v>
      </c>
      <c r="N714" s="1188">
        <v>815</v>
      </c>
      <c r="O714" s="1188">
        <f>VLOOKUP($I714,'Price List, Weapons &amp; Items'!B:G,6,0)</f>
        <v>207.68</v>
      </c>
      <c r="P714" s="1185">
        <f t="shared" si="158"/>
        <v>169259.2</v>
      </c>
      <c r="Q714" s="1185">
        <f t="shared" si="159"/>
        <v>169259.2</v>
      </c>
      <c r="R714" s="1185" t="str">
        <f t="shared" si="155"/>
        <v/>
      </c>
      <c r="S714" s="1185" t="str">
        <f>IF(AND(AD714=1,R714&lt;&gt;".")=TRUE,R714/VLOOKUP(G714,'Exchange Rates'!B:C,2,0),IF(R714=".",".",""))</f>
        <v/>
      </c>
      <c r="T714" s="1185" t="str">
        <f>IF(AD714=1,IF(AF714="Value is not given at all",".",IF(AF714="Value is given by the source",S714,IF(AF714="Value is calculated with prices",(IF(SUMIFS(Q:Q,A:A,A714)&gt;0,SUMIFS(Q:Q,A:A,A714),"."))/VLOOKUP("USD",'Exchange Rates'!B:C,2,0),"Error with coding"))),"")</f>
        <v/>
      </c>
      <c r="U714" s="1184" t="s">
        <v>675</v>
      </c>
      <c r="V714" s="974" t="s">
        <v>1993</v>
      </c>
      <c r="W714" s="974" t="s">
        <v>1994</v>
      </c>
      <c r="X714" s="1180" t="s">
        <v>364</v>
      </c>
      <c r="Y714" s="1183" t="s">
        <v>364</v>
      </c>
      <c r="Z714" s="1184">
        <v>0</v>
      </c>
      <c r="AA714" s="1194">
        <v>0</v>
      </c>
      <c r="AB714" s="977" t="s">
        <v>1997</v>
      </c>
      <c r="AC714" s="1192" t="str">
        <f>""</f>
        <v/>
      </c>
      <c r="AD714" s="1193">
        <v>0</v>
      </c>
      <c r="AE714" s="1193" t="s">
        <v>436</v>
      </c>
      <c r="AF714" s="1193" t="s">
        <v>436</v>
      </c>
      <c r="AG714" s="1193">
        <v>1</v>
      </c>
      <c r="AH714" s="1193">
        <v>3</v>
      </c>
      <c r="AI714" s="1193">
        <v>0</v>
      </c>
      <c r="AJ714" s="1193">
        <f>VLOOKUP($I714,'Price List, Weapons &amp; Items'!B:F,5,0)</f>
        <v>0</v>
      </c>
      <c r="AK714" s="1193">
        <f t="shared" si="160"/>
        <v>0</v>
      </c>
      <c r="AL714" s="1193">
        <f t="shared" si="161"/>
        <v>0</v>
      </c>
      <c r="AM714" s="1193">
        <f t="shared" si="162"/>
        <v>0</v>
      </c>
      <c r="AN714" s="1194" t="str">
        <f>VLOOKUP($I714,'Price List, Weapons &amp; Items'!B:L,COLUMN('Price List, Weapons &amp; Items'!$J$11)-1,0)</f>
        <v>Online marketplaces and stores</v>
      </c>
      <c r="AO714" s="1194" t="str">
        <f>IF(I714=".",".",VLOOKUP($I714,'Price List, Weapons &amp; Items'!B:J,3,0))</f>
        <v>Light Anti-armor Weapon (LAW)</v>
      </c>
      <c r="AP714" s="1195" t="str">
        <f t="shared" ca="1" si="156"/>
        <v/>
      </c>
      <c r="AQ714" s="1194">
        <f>VLOOKUP($I714,'Price List, Weapons &amp; Items'!B:L,COLUMN('Price List, Weapons &amp; Items'!$L$11)-1,0)</f>
        <v>1</v>
      </c>
      <c r="AR714" s="1194">
        <f t="shared" si="163"/>
        <v>0</v>
      </c>
      <c r="AS714" s="1194">
        <f t="shared" si="164"/>
        <v>1</v>
      </c>
      <c r="AT714" s="1194" t="str">
        <f t="shared" si="165"/>
        <v>Value is not in date format</v>
      </c>
      <c r="AU714" s="1194" t="str">
        <f t="shared" si="166"/>
        <v>.</v>
      </c>
      <c r="AV714" s="1194" t="str">
        <f t="shared" si="157"/>
        <v>.</v>
      </c>
      <c r="AW714" s="1194" t="str">
        <f t="shared" si="167"/>
        <v>.</v>
      </c>
      <c r="AX714" s="1194">
        <f>IFERROR(VLOOKUP(B714,'Share, Heavy Weapons to Ukraine'!B:Z,COLUMN('Share, Heavy Weapons to Ukraine'!C724)-1,0),0)</f>
        <v>0</v>
      </c>
      <c r="AY714" s="1194">
        <f>VLOOKUP('Bilateral Assistance, MAIN DATA'!B714,'Country Summary (€)'!B:F,COLUMN('Country Summary (€)'!C725)-1,FALSE)</f>
        <v>1</v>
      </c>
      <c r="AZ714" s="1194" t="str">
        <f>IF(AND(AD714=1,D714="Military",H714&lt;&gt;"Not given")=TRUE,IF(SUMIFS(P:P,A:A,A714)&gt;0,ABS((SUMIFS(P:P,A:A,A714)/VLOOKUP("USD",'Exchange Rates'!B:C,2,0)))/S714,"."),".")</f>
        <v>.</v>
      </c>
      <c r="BA714" s="1196" t="str">
        <f>IF(AND(AD714=1,D714="Military",H714&lt;&gt;"Not given")=TRUE,IF(SUMIFS(P:P,A:A,A714)&gt;0,IF((ABS((SUMIFS(P:P,A:A,A714)/VLOOKUP("USD",'Exchange Rates'!B:C,2,0)))/S714)&gt;1,(SUMIFS(P:P,A:A,A714)-S714)/S714,(S714-SUMIFS(P:P,A:A,A714))/SUMIFS(P:P,A:A,A714)),"."),".")</f>
        <v>.</v>
      </c>
    </row>
    <row r="715" spans="1:72" ht="15.95" customHeight="1">
      <c r="A715" s="1182" t="s">
        <v>1989</v>
      </c>
      <c r="B715" s="1182" t="s">
        <v>1973</v>
      </c>
      <c r="C715" s="1181" t="s">
        <v>1990</v>
      </c>
      <c r="D715" s="1182" t="s">
        <v>389</v>
      </c>
      <c r="E715" s="1182" t="s">
        <v>443</v>
      </c>
      <c r="F715" s="1183" t="s">
        <v>1991</v>
      </c>
      <c r="G715" s="1184" t="s">
        <v>456</v>
      </c>
      <c r="H715" s="1185" t="s">
        <v>457</v>
      </c>
      <c r="I715" s="1180" t="s">
        <v>1998</v>
      </c>
      <c r="J715" s="1186" t="str">
        <f>VLOOKUP($I715,'Price List, Weapons &amp; Items'!B:C,2,0)</f>
        <v>Ammunition for heavy weapon</v>
      </c>
      <c r="K715" s="1186" t="str">
        <f>IF(I715=".",I715,VLOOKUP($I715,'Price List, Weapons &amp; Items'!B:D,3,0))</f>
        <v>122mm MLRS ammunition</v>
      </c>
      <c r="L715" s="1187">
        <f>VLOOKUP(I715,'Price List, Weapons &amp; Items'!B:E,4,0)</f>
        <v>1</v>
      </c>
      <c r="M715" s="1188">
        <v>122</v>
      </c>
      <c r="N715" s="1188">
        <v>122</v>
      </c>
      <c r="O715" s="1188">
        <f>VLOOKUP($I715,'Price List, Weapons &amp; Items'!B:G,6,0)</f>
        <v>1000</v>
      </c>
      <c r="P715" s="1185">
        <f t="shared" si="158"/>
        <v>122000</v>
      </c>
      <c r="Q715" s="1185">
        <f t="shared" si="159"/>
        <v>122000</v>
      </c>
      <c r="R715" s="1185" t="str">
        <f t="shared" si="155"/>
        <v/>
      </c>
      <c r="S715" s="1185" t="str">
        <f>IF(AND(AD715=1,R715&lt;&gt;".")=TRUE,R715/VLOOKUP(G715,'Exchange Rates'!B:C,2,0),IF(R715=".",".",""))</f>
        <v/>
      </c>
      <c r="T715" s="1185" t="str">
        <f>IF(AD715=1,IF(AF715="Value is not given at all",".",IF(AF715="Value is given by the source",S715,IF(AF715="Value is calculated with prices",(IF(SUMIFS(Q:Q,A:A,A715)&gt;0,SUMIFS(Q:Q,A:A,A715),"."))/VLOOKUP("USD",'Exchange Rates'!B:C,2,0),"Error with coding"))),"")</f>
        <v/>
      </c>
      <c r="U715" s="1184" t="s">
        <v>675</v>
      </c>
      <c r="V715" s="974" t="s">
        <v>1993</v>
      </c>
      <c r="W715" s="974" t="s">
        <v>1994</v>
      </c>
      <c r="X715" s="1180" t="s">
        <v>364</v>
      </c>
      <c r="Y715" s="1183" t="s">
        <v>364</v>
      </c>
      <c r="Z715" s="1184">
        <v>0</v>
      </c>
      <c r="AA715" s="1194">
        <v>0</v>
      </c>
      <c r="AB715" s="977" t="s">
        <v>1997</v>
      </c>
      <c r="AC715" s="1192" t="str">
        <f>""</f>
        <v/>
      </c>
      <c r="AD715" s="1193">
        <v>0</v>
      </c>
      <c r="AE715" s="1193" t="s">
        <v>436</v>
      </c>
      <c r="AF715" s="1193" t="s">
        <v>436</v>
      </c>
      <c r="AG715" s="1193">
        <v>1</v>
      </c>
      <c r="AH715" s="1193">
        <v>3</v>
      </c>
      <c r="AI715" s="1193">
        <v>0</v>
      </c>
      <c r="AJ715" s="1193">
        <f>VLOOKUP($I715,'Price List, Weapons &amp; Items'!B:F,5,0)</f>
        <v>1</v>
      </c>
      <c r="AK715" s="1193">
        <f t="shared" si="160"/>
        <v>0</v>
      </c>
      <c r="AL715" s="1193">
        <f t="shared" si="161"/>
        <v>0</v>
      </c>
      <c r="AM715" s="1193">
        <f t="shared" si="162"/>
        <v>0</v>
      </c>
      <c r="AN715" s="1194" t="str">
        <f>VLOOKUP($I715,'Price List, Weapons &amp; Items'!B:L,COLUMN('Price List, Weapons &amp; Items'!$J$11)-1,0)</f>
        <v>Media reports (incl. social media)</v>
      </c>
      <c r="AO715" s="1194" t="str">
        <f>IF(I715=".",".",VLOOKUP($I715,'Price List, Weapons &amp; Items'!B:J,3,0))</f>
        <v>122mm MLRS ammunition</v>
      </c>
      <c r="AP715" s="1195" t="str">
        <f t="shared" ca="1" si="156"/>
        <v/>
      </c>
      <c r="AQ715" s="1194">
        <f>VLOOKUP($I715,'Price List, Weapons &amp; Items'!B:L,COLUMN('Price List, Weapons &amp; Items'!$L$11)-1,0)</f>
        <v>2</v>
      </c>
      <c r="AR715" s="1194">
        <f t="shared" si="163"/>
        <v>0</v>
      </c>
      <c r="AS715" s="1194">
        <f t="shared" si="164"/>
        <v>1</v>
      </c>
      <c r="AT715" s="1194" t="str">
        <f t="shared" si="165"/>
        <v>Value is not in date format</v>
      </c>
      <c r="AU715" s="1194" t="str">
        <f t="shared" si="166"/>
        <v>.</v>
      </c>
      <c r="AV715" s="1194" t="str">
        <f t="shared" si="157"/>
        <v>.</v>
      </c>
      <c r="AW715" s="1194" t="str">
        <f t="shared" si="167"/>
        <v>.</v>
      </c>
      <c r="AX715" s="1194">
        <f>IFERROR(VLOOKUP(B715,'Share, Heavy Weapons to Ukraine'!B:Z,COLUMN('Share, Heavy Weapons to Ukraine'!C725)-1,0),0)</f>
        <v>0</v>
      </c>
      <c r="AY715" s="1194">
        <f>VLOOKUP('Bilateral Assistance, MAIN DATA'!B715,'Country Summary (€)'!B:F,COLUMN('Country Summary (€)'!C726)-1,FALSE)</f>
        <v>1</v>
      </c>
      <c r="AZ715" s="1194" t="str">
        <f>IF(AND(AD715=1,D715="Military",H715&lt;&gt;"Not given")=TRUE,IF(SUMIFS(P:P,A:A,A715)&gt;0,ABS((SUMIFS(P:P,A:A,A715)/VLOOKUP("USD",'Exchange Rates'!B:C,2,0)))/S715,"."),".")</f>
        <v>.</v>
      </c>
      <c r="BA715" s="1196" t="str">
        <f>IF(AND(AD715=1,D715="Military",H715&lt;&gt;"Not given")=TRUE,IF(SUMIFS(P:P,A:A,A715)&gt;0,IF((ABS((SUMIFS(P:P,A:A,A715)/VLOOKUP("USD",'Exchange Rates'!B:C,2,0)))/S715)&gt;1,(SUMIFS(P:P,A:A,A715)-S715)/S715,(S715-SUMIFS(P:P,A:A,A715))/SUMIFS(P:P,A:A,A715)),"."),".")</f>
        <v>.</v>
      </c>
    </row>
    <row r="716" spans="1:72" ht="15.95" customHeight="1">
      <c r="A716" s="1182" t="s">
        <v>1999</v>
      </c>
      <c r="B716" s="1182" t="s">
        <v>1973</v>
      </c>
      <c r="C716" s="1181">
        <v>44707</v>
      </c>
      <c r="D716" s="1182" t="s">
        <v>389</v>
      </c>
      <c r="E716" s="1182" t="s">
        <v>443</v>
      </c>
      <c r="F716" s="1183" t="s">
        <v>2000</v>
      </c>
      <c r="G716" s="1184" t="s">
        <v>456</v>
      </c>
      <c r="H716" s="1185" t="s">
        <v>457</v>
      </c>
      <c r="I716" s="1180" t="s">
        <v>2001</v>
      </c>
      <c r="J716" s="1186" t="str">
        <f>VLOOKUP($I716,'Price List, Weapons &amp; Items'!B:C,2,0)</f>
        <v>Ammunition for portable defence system</v>
      </c>
      <c r="K716" s="1186" t="str">
        <f>IF(I716=".",I716,VLOOKUP($I716,'Price List, Weapons &amp; Items'!B:D,3,0))</f>
        <v>MANPADS ammunition</v>
      </c>
      <c r="L716" s="1187">
        <f>VLOOKUP(I716,'Price List, Weapons &amp; Items'!B:E,4,0)</f>
        <v>0</v>
      </c>
      <c r="M716" s="1188">
        <v>15000</v>
      </c>
      <c r="N716" s="1188">
        <v>15000</v>
      </c>
      <c r="O716" s="1188">
        <f>VLOOKUP($I716,'Price List, Weapons &amp; Items'!B:G,6,0)</f>
        <v>2500</v>
      </c>
      <c r="P716" s="1185">
        <f t="shared" si="158"/>
        <v>37500000</v>
      </c>
      <c r="Q716" s="1185">
        <f t="shared" si="159"/>
        <v>37500000</v>
      </c>
      <c r="R716" s="1185">
        <f t="shared" si="155"/>
        <v>152084448</v>
      </c>
      <c r="S716" s="1185">
        <f>IF(AND(AD716=1,R716&lt;&gt;".")=TRUE,R716/VLOOKUP(G716,'Exchange Rates'!B:C,2,0),IF(R716=".",".",""))</f>
        <v>139937843.20942217</v>
      </c>
      <c r="T716" s="1185">
        <f>IF(AD716=1,IF(AF716="Value is not given at all",".",IF(AF716="Value is given by the source",S716,IF(AF716="Value is calculated with prices",(IF(SUMIFS(Q:Q,A:A,A716)&gt;0,SUMIFS(Q:Q,A:A,A716),"."))/VLOOKUP("USD",'Exchange Rates'!B:C,2,0),"Error with coding"))),"")</f>
        <v>139937843.20942217</v>
      </c>
      <c r="U716" s="1184" t="s">
        <v>675</v>
      </c>
      <c r="V716" s="974" t="s">
        <v>2002</v>
      </c>
      <c r="W716" s="974" t="s">
        <v>2003</v>
      </c>
      <c r="X716" s="974" t="s">
        <v>2004</v>
      </c>
      <c r="Y716" s="1001" t="s">
        <v>364</v>
      </c>
      <c r="Z716" s="1194">
        <v>0</v>
      </c>
      <c r="AA716" s="1194">
        <v>0</v>
      </c>
      <c r="AB716" s="974" t="s">
        <v>2003</v>
      </c>
      <c r="AC716" s="1192" t="str">
        <f>""</f>
        <v/>
      </c>
      <c r="AD716" s="1193">
        <v>1</v>
      </c>
      <c r="AE716" s="1193" t="s">
        <v>436</v>
      </c>
      <c r="AF716" s="1193" t="s">
        <v>436</v>
      </c>
      <c r="AG716" s="1193">
        <v>1</v>
      </c>
      <c r="AH716" s="1193">
        <v>5</v>
      </c>
      <c r="AI716" s="1193">
        <v>0</v>
      </c>
      <c r="AJ716" s="1193">
        <f>VLOOKUP($I716,'Price List, Weapons &amp; Items'!B:F,5,0)</f>
        <v>0</v>
      </c>
      <c r="AK716" s="1193">
        <f t="shared" si="160"/>
        <v>0</v>
      </c>
      <c r="AL716" s="1193">
        <f t="shared" si="161"/>
        <v>0</v>
      </c>
      <c r="AM716" s="1193">
        <f t="shared" si="162"/>
        <v>0</v>
      </c>
      <c r="AN716" s="1194" t="str">
        <f>VLOOKUP($I716,'Price List, Weapons &amp; Items'!B:L,COLUMN('Price List, Weapons &amp; Items'!$J$11)-1,0)</f>
        <v>Miscellaneous</v>
      </c>
      <c r="AO716" s="1194" t="str">
        <f>IF(I716=".",".",VLOOKUP($I716,'Price List, Weapons &amp; Items'!B:J,3,0))</f>
        <v>MANPADS ammunition</v>
      </c>
      <c r="AP716" s="1195" t="str">
        <f t="shared" ca="1" si="156"/>
        <v>73mm missile</v>
      </c>
      <c r="AQ716" s="1194">
        <f>VLOOKUP($I716,'Price List, Weapons &amp; Items'!B:L,COLUMN('Price List, Weapons &amp; Items'!$L$11)-1,0)</f>
        <v>2</v>
      </c>
      <c r="AR716" s="1194">
        <f t="shared" si="163"/>
        <v>0</v>
      </c>
      <c r="AS716" s="1194">
        <f t="shared" si="164"/>
        <v>1</v>
      </c>
      <c r="AT716" s="1194">
        <f t="shared" si="165"/>
        <v>1</v>
      </c>
      <c r="AU716" s="1194" t="str">
        <f t="shared" si="166"/>
        <v>.</v>
      </c>
      <c r="AV716" s="1194" t="str">
        <f t="shared" si="157"/>
        <v>.</v>
      </c>
      <c r="AW716" s="1194" t="str">
        <f t="shared" si="167"/>
        <v>.</v>
      </c>
      <c r="AX716" s="1194">
        <f>IFERROR(VLOOKUP(B716,'Share, Heavy Weapons to Ukraine'!B:Z,COLUMN('Share, Heavy Weapons to Ukraine'!C726)-1,0),0)</f>
        <v>0</v>
      </c>
      <c r="AY716" s="1194">
        <f>VLOOKUP('Bilateral Assistance, MAIN DATA'!B716,'Country Summary (€)'!B:F,COLUMN('Country Summary (€)'!C727)-1,FALSE)</f>
        <v>1</v>
      </c>
      <c r="AZ716" s="1194" t="str">
        <f>IF(AND(AD716=1,D716="Military",H716&lt;&gt;"Not given")=TRUE,IF(SUMIFS(P:P,A:A,A716)&gt;0,ABS((SUMIFS(P:P,A:A,A716)/VLOOKUP("USD",'Exchange Rates'!B:C,2,0)))/S716,"."),".")</f>
        <v>.</v>
      </c>
      <c r="BA716" s="1196" t="str">
        <f>IF(AND(AD716=1,D716="Military",H716&lt;&gt;"Not given")=TRUE,IF(SUMIFS(P:P,A:A,A716)&gt;0,IF((ABS((SUMIFS(P:P,A:A,A716)/VLOOKUP("USD",'Exchange Rates'!B:C,2,0)))/S716)&gt;1,(SUMIFS(P:P,A:A,A716)-S716)/S716,(S716-SUMIFS(P:P,A:A,A716))/SUMIFS(P:P,A:A,A716)),"."),".")</f>
        <v>.</v>
      </c>
    </row>
    <row r="717" spans="1:72" ht="15.95" customHeight="1">
      <c r="A717" s="1182" t="s">
        <v>1999</v>
      </c>
      <c r="B717" s="1182" t="s">
        <v>1973</v>
      </c>
      <c r="C717" s="1181">
        <v>44707</v>
      </c>
      <c r="D717" s="1182" t="s">
        <v>389</v>
      </c>
      <c r="E717" s="1182" t="s">
        <v>443</v>
      </c>
      <c r="F717" s="1183" t="s">
        <v>2000</v>
      </c>
      <c r="G717" s="1184" t="s">
        <v>456</v>
      </c>
      <c r="H717" s="1185" t="s">
        <v>457</v>
      </c>
      <c r="I717" s="1180" t="s">
        <v>1998</v>
      </c>
      <c r="J717" s="1186" t="str">
        <f>VLOOKUP($I717,'Price List, Weapons &amp; Items'!B:C,2,0)</f>
        <v>Ammunition for heavy weapon</v>
      </c>
      <c r="K717" s="1186" t="str">
        <f>IF(I717=".",I717,VLOOKUP($I717,'Price List, Weapons &amp; Items'!B:D,3,0))</f>
        <v>122mm MLRS ammunition</v>
      </c>
      <c r="L717" s="1187">
        <f>VLOOKUP(I717,'Price List, Weapons &amp; Items'!B:E,4,0)</f>
        <v>1</v>
      </c>
      <c r="M717" s="1188">
        <v>2100</v>
      </c>
      <c r="N717" s="1188">
        <v>2100</v>
      </c>
      <c r="O717" s="1188">
        <f>VLOOKUP($I717,'Price List, Weapons &amp; Items'!B:G,6,0)</f>
        <v>1000</v>
      </c>
      <c r="P717" s="1185">
        <f t="shared" si="158"/>
        <v>2100000</v>
      </c>
      <c r="Q717" s="1185">
        <f t="shared" si="159"/>
        <v>2100000</v>
      </c>
      <c r="R717" s="1185" t="str">
        <f t="shared" si="155"/>
        <v/>
      </c>
      <c r="S717" s="1185" t="str">
        <f>IF(AND(AD717=1,R717&lt;&gt;".")=TRUE,R717/VLOOKUP(G717,'Exchange Rates'!B:C,2,0),IF(R717=".",".",""))</f>
        <v/>
      </c>
      <c r="T717" s="1185" t="str">
        <f>IF(AD717=1,IF(AF717="Value is not given at all",".",IF(AF717="Value is given by the source",S717,IF(AF717="Value is calculated with prices",(IF(SUMIFS(Q:Q,A:A,A717)&gt;0,SUMIFS(Q:Q,A:A,A717),"."))/VLOOKUP("USD",'Exchange Rates'!B:C,2,0),"Error with coding"))),"")</f>
        <v/>
      </c>
      <c r="U717" s="1184" t="s">
        <v>675</v>
      </c>
      <c r="V717" s="974" t="s">
        <v>2002</v>
      </c>
      <c r="W717" s="974" t="s">
        <v>2003</v>
      </c>
      <c r="X717" s="974" t="s">
        <v>2004</v>
      </c>
      <c r="Y717" s="1001" t="s">
        <v>364</v>
      </c>
      <c r="Z717" s="1194">
        <v>0</v>
      </c>
      <c r="AA717" s="1194">
        <v>0</v>
      </c>
      <c r="AB717" s="974" t="s">
        <v>2003</v>
      </c>
      <c r="AC717" s="1192" t="str">
        <f>""</f>
        <v/>
      </c>
      <c r="AD717" s="1193">
        <v>0</v>
      </c>
      <c r="AE717" s="1193" t="s">
        <v>436</v>
      </c>
      <c r="AF717" s="1193" t="s">
        <v>436</v>
      </c>
      <c r="AG717" s="1193">
        <v>1</v>
      </c>
      <c r="AH717" s="1193">
        <v>5</v>
      </c>
      <c r="AI717" s="1193">
        <v>0</v>
      </c>
      <c r="AJ717" s="1193">
        <f>VLOOKUP($I717,'Price List, Weapons &amp; Items'!B:F,5,0)</f>
        <v>1</v>
      </c>
      <c r="AK717" s="1193">
        <f t="shared" si="160"/>
        <v>0</v>
      </c>
      <c r="AL717" s="1193">
        <f t="shared" si="161"/>
        <v>0</v>
      </c>
      <c r="AM717" s="1193">
        <f t="shared" si="162"/>
        <v>0</v>
      </c>
      <c r="AN717" s="1194" t="str">
        <f>VLOOKUP($I717,'Price List, Weapons &amp; Items'!B:L,COLUMN('Price List, Weapons &amp; Items'!$J$11)-1,0)</f>
        <v>Media reports (incl. social media)</v>
      </c>
      <c r="AO717" s="1194" t="str">
        <f>IF(I717=".",".",VLOOKUP($I717,'Price List, Weapons &amp; Items'!B:J,3,0))</f>
        <v>122mm MLRS ammunition</v>
      </c>
      <c r="AP717" s="1195" t="str">
        <f t="shared" ca="1" si="156"/>
        <v/>
      </c>
      <c r="AQ717" s="1194">
        <f>VLOOKUP($I717,'Price List, Weapons &amp; Items'!B:L,COLUMN('Price List, Weapons &amp; Items'!$L$11)-1,0)</f>
        <v>2</v>
      </c>
      <c r="AR717" s="1194">
        <f t="shared" si="163"/>
        <v>0</v>
      </c>
      <c r="AS717" s="1194">
        <f t="shared" si="164"/>
        <v>1</v>
      </c>
      <c r="AT717" s="1194">
        <f t="shared" si="165"/>
        <v>1</v>
      </c>
      <c r="AU717" s="1194" t="str">
        <f t="shared" si="166"/>
        <v>.</v>
      </c>
      <c r="AV717" s="1194" t="str">
        <f t="shared" si="157"/>
        <v>.</v>
      </c>
      <c r="AW717" s="1194" t="str">
        <f t="shared" si="167"/>
        <v>.</v>
      </c>
      <c r="AX717" s="1194">
        <f>IFERROR(VLOOKUP(B717,'Share, Heavy Weapons to Ukraine'!B:Z,COLUMN('Share, Heavy Weapons to Ukraine'!C727)-1,0),0)</f>
        <v>0</v>
      </c>
      <c r="AY717" s="1194">
        <f>VLOOKUP('Bilateral Assistance, MAIN DATA'!B717,'Country Summary (€)'!B:F,COLUMN('Country Summary (€)'!C728)-1,FALSE)</f>
        <v>1</v>
      </c>
      <c r="AZ717" s="1194" t="str">
        <f>IF(AND(AD717=1,D717="Military",H717&lt;&gt;"Not given")=TRUE,IF(SUMIFS(P:P,A:A,A717)&gt;0,ABS((SUMIFS(P:P,A:A,A717)/VLOOKUP("USD",'Exchange Rates'!B:C,2,0)))/S717,"."),".")</f>
        <v>.</v>
      </c>
      <c r="BA717" s="1196" t="str">
        <f>IF(AND(AD717=1,D717="Military",H717&lt;&gt;"Not given")=TRUE,IF(SUMIFS(P:P,A:A,A717)&gt;0,IF((ABS((SUMIFS(P:P,A:A,A717)/VLOOKUP("USD",'Exchange Rates'!B:C,2,0)))/S717)&gt;1,(SUMIFS(P:P,A:A,A717)-S717)/S717,(S717-SUMIFS(P:P,A:A,A717))/SUMIFS(P:P,A:A,A717)),"."),".")</f>
        <v>.</v>
      </c>
    </row>
    <row r="718" spans="1:72" ht="15.95" customHeight="1">
      <c r="A718" s="1182" t="s">
        <v>1999</v>
      </c>
      <c r="B718" s="1182" t="s">
        <v>1973</v>
      </c>
      <c r="C718" s="1181">
        <v>44707</v>
      </c>
      <c r="D718" s="1182" t="s">
        <v>389</v>
      </c>
      <c r="E718" s="1182" t="s">
        <v>443</v>
      </c>
      <c r="F718" s="1183" t="s">
        <v>2000</v>
      </c>
      <c r="G718" s="1184" t="s">
        <v>456</v>
      </c>
      <c r="H718" s="1185" t="s">
        <v>457</v>
      </c>
      <c r="I718" s="1180" t="s">
        <v>2005</v>
      </c>
      <c r="J718" s="1186" t="str">
        <f>VLOOKUP($I718,'Price List, Weapons &amp; Items'!B:C,2,0)</f>
        <v>Ammunition for light infantry</v>
      </c>
      <c r="K718" s="1186" t="str">
        <f>IF(I718=".",I718,VLOOKUP($I718,'Price List, Weapons &amp; Items'!B:D,3,0))</f>
        <v>Small Arms and Light Weapons (SALW) ammunition</v>
      </c>
      <c r="L718" s="1187">
        <f>VLOOKUP(I718,'Price List, Weapons &amp; Items'!B:E,4,0)</f>
        <v>0</v>
      </c>
      <c r="M718" s="1188">
        <v>3200000</v>
      </c>
      <c r="N718" s="1188">
        <v>3200000</v>
      </c>
      <c r="O718" s="1188">
        <f>VLOOKUP($I718,'Price List, Weapons &amp; Items'!B:G,6,0)</f>
        <v>0.57999999999999996</v>
      </c>
      <c r="P718" s="1185">
        <f t="shared" si="158"/>
        <v>1855999.9999999998</v>
      </c>
      <c r="Q718" s="1185">
        <f t="shared" si="159"/>
        <v>1855999.9999999998</v>
      </c>
      <c r="R718" s="1185" t="str">
        <f t="shared" si="155"/>
        <v/>
      </c>
      <c r="S718" s="1185" t="str">
        <f>IF(AND(AD718=1,R718&lt;&gt;".")=TRUE,R718/VLOOKUP(G718,'Exchange Rates'!B:C,2,0),IF(R718=".",".",""))</f>
        <v/>
      </c>
      <c r="T718" s="1185" t="str">
        <f>IF(AD718=1,IF(AF718="Value is not given at all",".",IF(AF718="Value is given by the source",S718,IF(AF718="Value is calculated with prices",(IF(SUMIFS(Q:Q,A:A,A718)&gt;0,SUMIFS(Q:Q,A:A,A718),"."))/VLOOKUP("USD",'Exchange Rates'!B:C,2,0),"Error with coding"))),"")</f>
        <v/>
      </c>
      <c r="U718" s="1184" t="s">
        <v>675</v>
      </c>
      <c r="V718" s="974" t="s">
        <v>2002</v>
      </c>
      <c r="W718" s="974" t="s">
        <v>2003</v>
      </c>
      <c r="X718" s="974" t="s">
        <v>2004</v>
      </c>
      <c r="Y718" s="1001" t="s">
        <v>364</v>
      </c>
      <c r="Z718" s="1194">
        <v>0</v>
      </c>
      <c r="AA718" s="1194">
        <v>0</v>
      </c>
      <c r="AB718" s="974" t="s">
        <v>2003</v>
      </c>
      <c r="AC718" s="1192" t="str">
        <f>""</f>
        <v/>
      </c>
      <c r="AD718" s="1193">
        <v>0</v>
      </c>
      <c r="AE718" s="1193" t="s">
        <v>436</v>
      </c>
      <c r="AF718" s="1193" t="s">
        <v>436</v>
      </c>
      <c r="AG718" s="1193">
        <v>1</v>
      </c>
      <c r="AH718" s="1193">
        <v>5</v>
      </c>
      <c r="AI718" s="1193">
        <v>0</v>
      </c>
      <c r="AJ718" s="1193">
        <f>VLOOKUP($I718,'Price List, Weapons &amp; Items'!B:F,5,0)</f>
        <v>0</v>
      </c>
      <c r="AK718" s="1193">
        <f t="shared" si="160"/>
        <v>0</v>
      </c>
      <c r="AL718" s="1193">
        <f t="shared" si="161"/>
        <v>0</v>
      </c>
      <c r="AM718" s="1193">
        <f t="shared" si="162"/>
        <v>0</v>
      </c>
      <c r="AN718" s="1194" t="str">
        <f>VLOOKUP($I718,'Price List, Weapons &amp; Items'!B:L,COLUMN('Price List, Weapons &amp; Items'!$J$11)-1,0)</f>
        <v>Online marketplaces and stores</v>
      </c>
      <c r="AO718" s="1194" t="str">
        <f>IF(I718=".",".",VLOOKUP($I718,'Price List, Weapons &amp; Items'!B:J,3,0))</f>
        <v>Small Arms and Light Weapons (SALW) ammunition</v>
      </c>
      <c r="AP718" s="1195" t="str">
        <f t="shared" ca="1" si="156"/>
        <v/>
      </c>
      <c r="AQ718" s="1194">
        <f>VLOOKUP($I718,'Price List, Weapons &amp; Items'!B:L,COLUMN('Price List, Weapons &amp; Items'!$L$11)-1,0)</f>
        <v>1</v>
      </c>
      <c r="AR718" s="1194">
        <f t="shared" si="163"/>
        <v>0</v>
      </c>
      <c r="AS718" s="1194">
        <f t="shared" si="164"/>
        <v>1</v>
      </c>
      <c r="AT718" s="1194">
        <f t="shared" si="165"/>
        <v>1</v>
      </c>
      <c r="AU718" s="1194" t="str">
        <f t="shared" si="166"/>
        <v>.</v>
      </c>
      <c r="AV718" s="1194" t="str">
        <f t="shared" si="157"/>
        <v>.</v>
      </c>
      <c r="AW718" s="1194" t="str">
        <f t="shared" si="167"/>
        <v>.</v>
      </c>
      <c r="AX718" s="1194">
        <f>IFERROR(VLOOKUP(B718,'Share, Heavy Weapons to Ukraine'!B:Z,COLUMN('Share, Heavy Weapons to Ukraine'!C728)-1,0),0)</f>
        <v>0</v>
      </c>
      <c r="AY718" s="1194">
        <f>VLOOKUP('Bilateral Assistance, MAIN DATA'!B718,'Country Summary (€)'!B:F,COLUMN('Country Summary (€)'!C729)-1,FALSE)</f>
        <v>1</v>
      </c>
      <c r="AZ718" s="1194" t="str">
        <f>IF(AND(AD718=1,D718="Military",H718&lt;&gt;"Not given")=TRUE,IF(SUMIFS(P:P,A:A,A718)&gt;0,ABS((SUMIFS(P:P,A:A,A718)/VLOOKUP("USD",'Exchange Rates'!B:C,2,0)))/S718,"."),".")</f>
        <v>.</v>
      </c>
      <c r="BA718" s="1196" t="str">
        <f>IF(AND(AD718=1,D718="Military",H718&lt;&gt;"Not given")=TRUE,IF(SUMIFS(P:P,A:A,A718)&gt;0,IF((ABS((SUMIFS(P:P,A:A,A718)/VLOOKUP("USD",'Exchange Rates'!B:C,2,0)))/S718)&gt;1,(SUMIFS(P:P,A:A,A718)-S718)/S718,(S718-SUMIFS(P:P,A:A,A718))/SUMIFS(P:P,A:A,A718)),"."),".")</f>
        <v>.</v>
      </c>
    </row>
    <row r="719" spans="1:72" ht="15.95" customHeight="1">
      <c r="A719" s="1182" t="s">
        <v>1999</v>
      </c>
      <c r="B719" s="1182" t="s">
        <v>1973</v>
      </c>
      <c r="C719" s="1181">
        <v>44707</v>
      </c>
      <c r="D719" s="1182" t="s">
        <v>389</v>
      </c>
      <c r="E719" s="1182" t="s">
        <v>443</v>
      </c>
      <c r="F719" s="1183" t="s">
        <v>2000</v>
      </c>
      <c r="G719" s="1184" t="s">
        <v>456</v>
      </c>
      <c r="H719" s="1185" t="s">
        <v>457</v>
      </c>
      <c r="I719" s="1180" t="s">
        <v>1992</v>
      </c>
      <c r="J719" s="1186" t="str">
        <f>VLOOKUP($I719,'Price List, Weapons &amp; Items'!B:C,2,0)</f>
        <v>Light armaments &amp; infantry</v>
      </c>
      <c r="K719" s="1186" t="str">
        <f>IF(I719=".",I719,VLOOKUP($I719,'Price List, Weapons &amp; Items'!B:D,3,0))</f>
        <v>Small Arms and Light Weapons (SALW)</v>
      </c>
      <c r="L719" s="1187">
        <f>VLOOKUP(I719,'Price List, Weapons &amp; Items'!B:E,4,0)</f>
        <v>1</v>
      </c>
      <c r="M719" s="1188">
        <v>20000</v>
      </c>
      <c r="N719" s="1188">
        <v>20000</v>
      </c>
      <c r="O719" s="1188">
        <f>VLOOKUP($I719,'Price List, Weapons &amp; Items'!B:G,6,0)</f>
        <v>850</v>
      </c>
      <c r="P719" s="1185">
        <f t="shared" si="158"/>
        <v>17000000</v>
      </c>
      <c r="Q719" s="1185">
        <f t="shared" si="159"/>
        <v>17000000</v>
      </c>
      <c r="R719" s="1185" t="str">
        <f t="shared" si="155"/>
        <v/>
      </c>
      <c r="S719" s="1185" t="str">
        <f>IF(AND(AD719=1,R719&lt;&gt;".")=TRUE,R719/VLOOKUP(G719,'Exchange Rates'!B:C,2,0),IF(R719=".",".",""))</f>
        <v/>
      </c>
      <c r="T719" s="1185" t="str">
        <f>IF(AD719=1,IF(AF719="Value is not given at all",".",IF(AF719="Value is given by the source",S719,IF(AF719="Value is calculated with prices",(IF(SUMIFS(Q:Q,A:A,A719)&gt;0,SUMIFS(Q:Q,A:A,A719),"."))/VLOOKUP("USD",'Exchange Rates'!B:C,2,0),"Error with coding"))),"")</f>
        <v/>
      </c>
      <c r="U719" s="1184" t="s">
        <v>675</v>
      </c>
      <c r="V719" s="974" t="s">
        <v>2002</v>
      </c>
      <c r="W719" s="974" t="s">
        <v>2003</v>
      </c>
      <c r="X719" s="974" t="s">
        <v>2004</v>
      </c>
      <c r="Y719" s="1001" t="s">
        <v>364</v>
      </c>
      <c r="Z719" s="1194">
        <v>0</v>
      </c>
      <c r="AA719" s="1194">
        <v>0</v>
      </c>
      <c r="AB719" s="974" t="s">
        <v>2003</v>
      </c>
      <c r="AC719" s="1192" t="str">
        <f>""</f>
        <v/>
      </c>
      <c r="AD719" s="1193">
        <v>0</v>
      </c>
      <c r="AE719" s="1193" t="s">
        <v>436</v>
      </c>
      <c r="AF719" s="1193" t="s">
        <v>436</v>
      </c>
      <c r="AG719" s="1193">
        <v>1</v>
      </c>
      <c r="AH719" s="1193">
        <v>5</v>
      </c>
      <c r="AI719" s="1193">
        <v>0</v>
      </c>
      <c r="AJ719" s="1193">
        <f>VLOOKUP($I719,'Price List, Weapons &amp; Items'!B:F,5,0)</f>
        <v>0</v>
      </c>
      <c r="AK719" s="1193">
        <f t="shared" si="160"/>
        <v>0</v>
      </c>
      <c r="AL719" s="1193">
        <f t="shared" si="161"/>
        <v>0</v>
      </c>
      <c r="AM719" s="1193">
        <f t="shared" si="162"/>
        <v>0</v>
      </c>
      <c r="AN719" s="1194" t="str">
        <f>VLOOKUP($I719,'Price List, Weapons &amp; Items'!B:L,COLUMN('Price List, Weapons &amp; Items'!$J$11)-1,0)</f>
        <v>Miscellaneous</v>
      </c>
      <c r="AO719" s="1194" t="str">
        <f>IF(I719=".",".",VLOOKUP($I719,'Price List, Weapons &amp; Items'!B:J,3,0))</f>
        <v>Small Arms and Light Weapons (SALW)</v>
      </c>
      <c r="AP719" s="1195" t="str">
        <f t="shared" ca="1" si="156"/>
        <v/>
      </c>
      <c r="AQ719" s="1194">
        <f>VLOOKUP($I719,'Price List, Weapons &amp; Items'!B:L,COLUMN('Price List, Weapons &amp; Items'!$L$11)-1,0)</f>
        <v>2</v>
      </c>
      <c r="AR719" s="1194">
        <f t="shared" si="163"/>
        <v>0</v>
      </c>
      <c r="AS719" s="1194">
        <f t="shared" si="164"/>
        <v>1</v>
      </c>
      <c r="AT719" s="1194">
        <f t="shared" si="165"/>
        <v>1</v>
      </c>
      <c r="AU719" s="1194" t="str">
        <f t="shared" si="166"/>
        <v>.</v>
      </c>
      <c r="AV719" s="1194" t="str">
        <f t="shared" si="157"/>
        <v>.</v>
      </c>
      <c r="AW719" s="1194" t="str">
        <f t="shared" si="167"/>
        <v>.</v>
      </c>
      <c r="AX719" s="1194">
        <f>IFERROR(VLOOKUP(B719,'Share, Heavy Weapons to Ukraine'!B:Z,COLUMN('Share, Heavy Weapons to Ukraine'!C729)-1,0),0)</f>
        <v>0</v>
      </c>
      <c r="AY719" s="1194">
        <f>VLOOKUP('Bilateral Assistance, MAIN DATA'!B719,'Country Summary (€)'!B:F,COLUMN('Country Summary (€)'!C730)-1,FALSE)</f>
        <v>1</v>
      </c>
      <c r="AZ719" s="1194" t="str">
        <f>IF(AND(AD719=1,D719="Military",H719&lt;&gt;"Not given")=TRUE,IF(SUMIFS(P:P,A:A,A719)&gt;0,ABS((SUMIFS(P:P,A:A,A719)/VLOOKUP("USD",'Exchange Rates'!B:C,2,0)))/S719,"."),".")</f>
        <v>.</v>
      </c>
      <c r="BA719" s="1196" t="str">
        <f>IF(AND(AD719=1,D719="Military",H719&lt;&gt;"Not given")=TRUE,IF(SUMIFS(P:P,A:A,A719)&gt;0,IF((ABS((SUMIFS(P:P,A:A,A719)/VLOOKUP("USD",'Exchange Rates'!B:C,2,0)))/S719)&gt;1,(SUMIFS(P:P,A:A,A719)-S719)/S719,(S719-SUMIFS(P:P,A:A,A719))/SUMIFS(P:P,A:A,A719)),"."),".")</f>
        <v>.</v>
      </c>
    </row>
    <row r="720" spans="1:72" ht="15.95" customHeight="1">
      <c r="A720" s="1182" t="s">
        <v>1999</v>
      </c>
      <c r="B720" s="1182" t="s">
        <v>1973</v>
      </c>
      <c r="C720" s="1181">
        <v>44707</v>
      </c>
      <c r="D720" s="1182" t="s">
        <v>389</v>
      </c>
      <c r="E720" s="1182" t="s">
        <v>443</v>
      </c>
      <c r="F720" s="1183" t="s">
        <v>2000</v>
      </c>
      <c r="G720" s="1184" t="s">
        <v>456</v>
      </c>
      <c r="H720" s="1185" t="s">
        <v>457</v>
      </c>
      <c r="I720" s="1180" t="s">
        <v>2006</v>
      </c>
      <c r="J720" s="1186" t="str">
        <f>VLOOKUP($I720,'Price List, Weapons &amp; Items'!B:C,2,0)</f>
        <v>Ammunition for portable defence system</v>
      </c>
      <c r="K720" s="1186" t="str">
        <f>IF(I720=".",I720,VLOOKUP($I720,'Price List, Weapons &amp; Items'!B:D,3,0))</f>
        <v>MANPADS ammunition</v>
      </c>
      <c r="L720" s="1187">
        <f>VLOOKUP(I720,'Price List, Weapons &amp; Items'!B:E,4,0)</f>
        <v>0</v>
      </c>
      <c r="M720" s="1188">
        <v>60</v>
      </c>
      <c r="N720" s="1188">
        <v>60</v>
      </c>
      <c r="O720" s="1188">
        <f>VLOOKUP($I720,'Price List, Weapons &amp; Items'!B:G,6,0)</f>
        <v>480000</v>
      </c>
      <c r="P720" s="1185">
        <f t="shared" si="158"/>
        <v>28800000</v>
      </c>
      <c r="Q720" s="1185">
        <f t="shared" si="159"/>
        <v>28800000</v>
      </c>
      <c r="R720" s="1185" t="str">
        <f t="shared" si="155"/>
        <v/>
      </c>
      <c r="S720" s="1185" t="str">
        <f>IF(AND(AD720=1,R720&lt;&gt;".")=TRUE,R720/VLOOKUP(G720,'Exchange Rates'!B:C,2,0),IF(R720=".",".",""))</f>
        <v/>
      </c>
      <c r="T720" s="1185" t="str">
        <f>IF(AD720=1,IF(AF720="Value is not given at all",".",IF(AF720="Value is given by the source",S720,IF(AF720="Value is calculated with prices",(IF(SUMIFS(Q:Q,A:A,A720)&gt;0,SUMIFS(Q:Q,A:A,A720),"."))/VLOOKUP("USD",'Exchange Rates'!B:C,2,0),"Error with coding"))),"")</f>
        <v/>
      </c>
      <c r="U720" s="1184" t="s">
        <v>675</v>
      </c>
      <c r="V720" s="974" t="s">
        <v>2002</v>
      </c>
      <c r="W720" s="974" t="s">
        <v>2003</v>
      </c>
      <c r="X720" s="974" t="s">
        <v>2004</v>
      </c>
      <c r="Y720" s="1001" t="s">
        <v>364</v>
      </c>
      <c r="Z720" s="1194">
        <v>0</v>
      </c>
      <c r="AA720" s="1194">
        <v>0</v>
      </c>
      <c r="AB720" s="974" t="s">
        <v>2003</v>
      </c>
      <c r="AC720" s="1192" t="str">
        <f>""</f>
        <v/>
      </c>
      <c r="AD720" s="1193">
        <v>0</v>
      </c>
      <c r="AE720" s="1193" t="s">
        <v>436</v>
      </c>
      <c r="AF720" s="1193" t="s">
        <v>436</v>
      </c>
      <c r="AG720" s="1193">
        <v>1</v>
      </c>
      <c r="AH720" s="1193">
        <v>5</v>
      </c>
      <c r="AI720" s="1193">
        <v>0</v>
      </c>
      <c r="AJ720" s="1193">
        <f>VLOOKUP($I720,'Price List, Weapons &amp; Items'!B:F,5,0)</f>
        <v>0</v>
      </c>
      <c r="AK720" s="1193">
        <f t="shared" si="160"/>
        <v>0</v>
      </c>
      <c r="AL720" s="1193">
        <f t="shared" si="161"/>
        <v>0</v>
      </c>
      <c r="AM720" s="1193">
        <f t="shared" si="162"/>
        <v>0</v>
      </c>
      <c r="AN720" s="1194" t="str">
        <f>VLOOKUP($I720,'Price List, Weapons &amp; Items'!B:L,COLUMN('Price List, Weapons &amp; Items'!$J$11)-1,0)</f>
        <v>Media reports (incl. social media)</v>
      </c>
      <c r="AO720" s="1194" t="str">
        <f>IF(I720=".",".",VLOOKUP($I720,'Price List, Weapons &amp; Items'!B:J,3,0))</f>
        <v>MANPADS ammunition</v>
      </c>
      <c r="AP720" s="1195" t="str">
        <f t="shared" ca="1" si="156"/>
        <v/>
      </c>
      <c r="AQ720" s="1194">
        <f>VLOOKUP($I720,'Price List, Weapons &amp; Items'!B:L,COLUMN('Price List, Weapons &amp; Items'!$L$11)-1,0)</f>
        <v>2</v>
      </c>
      <c r="AR720" s="1194">
        <f t="shared" si="163"/>
        <v>0</v>
      </c>
      <c r="AS720" s="1194">
        <f t="shared" si="164"/>
        <v>1</v>
      </c>
      <c r="AT720" s="1194">
        <f t="shared" si="165"/>
        <v>1</v>
      </c>
      <c r="AU720" s="1194" t="str">
        <f t="shared" si="166"/>
        <v>.</v>
      </c>
      <c r="AV720" s="1194" t="str">
        <f t="shared" si="157"/>
        <v>.</v>
      </c>
      <c r="AW720" s="1194" t="str">
        <f t="shared" si="167"/>
        <v>.</v>
      </c>
      <c r="AX720" s="1194">
        <f>IFERROR(VLOOKUP(B720,'Share, Heavy Weapons to Ukraine'!B:Z,COLUMN('Share, Heavy Weapons to Ukraine'!C730)-1,0),0)</f>
        <v>0</v>
      </c>
      <c r="AY720" s="1194">
        <f>VLOOKUP('Bilateral Assistance, MAIN DATA'!B720,'Country Summary (€)'!B:F,COLUMN('Country Summary (€)'!C731)-1,FALSE)</f>
        <v>1</v>
      </c>
      <c r="AZ720" s="1194" t="str">
        <f>IF(AND(AD720=1,D720="Military",H720&lt;&gt;"Not given")=TRUE,IF(SUMIFS(P:P,A:A,A720)&gt;0,ABS((SUMIFS(P:P,A:A,A720)/VLOOKUP("USD",'Exchange Rates'!B:C,2,0)))/S720,"."),".")</f>
        <v>.</v>
      </c>
      <c r="BA720" s="1196" t="str">
        <f>IF(AND(AD720=1,D720="Military",H720&lt;&gt;"Not given")=TRUE,IF(SUMIFS(P:P,A:A,A720)&gt;0,IF((ABS((SUMIFS(P:P,A:A,A720)/VLOOKUP("USD",'Exchange Rates'!B:C,2,0)))/S720)&gt;1,(SUMIFS(P:P,A:A,A720)-S720)/S720,(S720-SUMIFS(P:P,A:A,A720))/SUMIFS(P:P,A:A,A720)),"."),".")</f>
        <v>.</v>
      </c>
    </row>
    <row r="721" spans="1:53" ht="15.95" customHeight="1">
      <c r="A721" s="1182" t="s">
        <v>1999</v>
      </c>
      <c r="B721" s="1182" t="s">
        <v>1973</v>
      </c>
      <c r="C721" s="1181">
        <v>44707</v>
      </c>
      <c r="D721" s="1182" t="s">
        <v>389</v>
      </c>
      <c r="E721" s="1182" t="s">
        <v>443</v>
      </c>
      <c r="F721" s="1183" t="s">
        <v>2000</v>
      </c>
      <c r="G721" s="1184" t="s">
        <v>456</v>
      </c>
      <c r="H721" s="1185" t="s">
        <v>457</v>
      </c>
      <c r="I721" s="1180" t="s">
        <v>835</v>
      </c>
      <c r="J721" s="1186" t="str">
        <f>VLOOKUP($I721,'Price List, Weapons &amp; Items'!B:C,2,0)</f>
        <v>Ammunition for heavy weapon</v>
      </c>
      <c r="K721" s="1186" t="str">
        <f>IF(I721=".",I721,VLOOKUP($I721,'Price List, Weapons &amp; Items'!B:D,3,0))</f>
        <v>155mm howitzer ammunition</v>
      </c>
      <c r="L721" s="1187">
        <f>VLOOKUP(I721,'Price List, Weapons &amp; Items'!B:E,4,0)</f>
        <v>0</v>
      </c>
      <c r="M721" s="1188">
        <v>17000</v>
      </c>
      <c r="N721" s="1188">
        <v>17000</v>
      </c>
      <c r="O721" s="1188">
        <f>VLOOKUP($I721,'Price List, Weapons &amp; Items'!B:G,6,0)</f>
        <v>3800</v>
      </c>
      <c r="P721" s="1185">
        <f t="shared" si="158"/>
        <v>64600000</v>
      </c>
      <c r="Q721" s="1185">
        <f t="shared" si="159"/>
        <v>64600000</v>
      </c>
      <c r="R721" s="1185" t="str">
        <f t="shared" si="155"/>
        <v/>
      </c>
      <c r="S721" s="1185" t="str">
        <f>IF(AND(AD721=1,R721&lt;&gt;".")=TRUE,R721/VLOOKUP(G721,'Exchange Rates'!B:C,2,0),IF(R721=".",".",""))</f>
        <v/>
      </c>
      <c r="T721" s="1185" t="str">
        <f>IF(AD721=1,IF(AF721="Value is not given at all",".",IF(AF721="Value is given by the source",S721,IF(AF721="Value is calculated with prices",(IF(SUMIFS(Q:Q,A:A,A721)&gt;0,SUMIFS(Q:Q,A:A,A721),"."))/VLOOKUP("USD",'Exchange Rates'!B:C,2,0),"Error with coding"))),"")</f>
        <v/>
      </c>
      <c r="U721" s="1184" t="s">
        <v>675</v>
      </c>
      <c r="V721" s="974" t="s">
        <v>2002</v>
      </c>
      <c r="W721" s="974" t="s">
        <v>2003</v>
      </c>
      <c r="X721" s="974" t="s">
        <v>2004</v>
      </c>
      <c r="Y721" s="1001" t="s">
        <v>364</v>
      </c>
      <c r="Z721" s="1194">
        <v>0</v>
      </c>
      <c r="AA721" s="1194">
        <v>0</v>
      </c>
      <c r="AB721" s="974" t="s">
        <v>2003</v>
      </c>
      <c r="AC721" s="1192" t="str">
        <f>""</f>
        <v/>
      </c>
      <c r="AD721" s="1193">
        <v>0</v>
      </c>
      <c r="AE721" s="1193" t="s">
        <v>436</v>
      </c>
      <c r="AF721" s="1193" t="s">
        <v>436</v>
      </c>
      <c r="AG721" s="1193">
        <v>1</v>
      </c>
      <c r="AH721" s="1193">
        <v>5</v>
      </c>
      <c r="AI721" s="1193">
        <v>0</v>
      </c>
      <c r="AJ721" s="1193">
        <f>VLOOKUP($I721,'Price List, Weapons &amp; Items'!B:F,5,0)</f>
        <v>1</v>
      </c>
      <c r="AK721" s="1193">
        <f t="shared" si="160"/>
        <v>0</v>
      </c>
      <c r="AL721" s="1193">
        <f t="shared" si="161"/>
        <v>0</v>
      </c>
      <c r="AM721" s="1193">
        <f t="shared" si="162"/>
        <v>1</v>
      </c>
      <c r="AN721" s="1194" t="str">
        <f>VLOOKUP($I721,'Price List, Weapons &amp; Items'!B:L,COLUMN('Price List, Weapons &amp; Items'!$J$11)-1,0)</f>
        <v>Government information</v>
      </c>
      <c r="AO721" s="1194" t="str">
        <f>IF(I721=".",".",VLOOKUP($I721,'Price List, Weapons &amp; Items'!B:J,3,0))</f>
        <v>155mm howitzer ammunition</v>
      </c>
      <c r="AP721" s="1195" t="str">
        <f t="shared" ca="1" si="156"/>
        <v/>
      </c>
      <c r="AQ721" s="1194">
        <f>VLOOKUP($I721,'Price List, Weapons &amp; Items'!B:L,COLUMN('Price List, Weapons &amp; Items'!$L$11)-1,0)</f>
        <v>2</v>
      </c>
      <c r="AR721" s="1194">
        <f t="shared" si="163"/>
        <v>0</v>
      </c>
      <c r="AS721" s="1194">
        <f t="shared" si="164"/>
        <v>1</v>
      </c>
      <c r="AT721" s="1194">
        <f t="shared" si="165"/>
        <v>1</v>
      </c>
      <c r="AU721" s="1194" t="str">
        <f t="shared" si="166"/>
        <v>.</v>
      </c>
      <c r="AV721" s="1194" t="str">
        <f t="shared" si="157"/>
        <v>.</v>
      </c>
      <c r="AW721" s="1194" t="str">
        <f t="shared" si="167"/>
        <v>.</v>
      </c>
      <c r="AX721" s="1194">
        <f>IFERROR(VLOOKUP(B721,'Share, Heavy Weapons to Ukraine'!B:Z,COLUMN('Share, Heavy Weapons to Ukraine'!C731)-1,0),0)</f>
        <v>0</v>
      </c>
      <c r="AY721" s="1194">
        <f>VLOOKUP('Bilateral Assistance, MAIN DATA'!B721,'Country Summary (€)'!B:F,COLUMN('Country Summary (€)'!C732)-1,FALSE)</f>
        <v>1</v>
      </c>
      <c r="AZ721" s="1194" t="str">
        <f>IF(AND(AD721=1,D721="Military",H721&lt;&gt;"Not given")=TRUE,IF(SUMIFS(P:P,A:A,A721)&gt;0,ABS((SUMIFS(P:P,A:A,A721)/VLOOKUP("USD",'Exchange Rates'!B:C,2,0)))/S721,"."),".")</f>
        <v>.</v>
      </c>
      <c r="BA721" s="1196" t="str">
        <f>IF(AND(AD721=1,D721="Military",H721&lt;&gt;"Not given")=TRUE,IF(SUMIFS(P:P,A:A,A721)&gt;0,IF((ABS((SUMIFS(P:P,A:A,A721)/VLOOKUP("USD",'Exchange Rates'!B:C,2,0)))/S721)&gt;1,(SUMIFS(P:P,A:A,A721)-S721)/S721,(S721-SUMIFS(P:P,A:A,A721))/SUMIFS(P:P,A:A,A721)),"."),".")</f>
        <v>.</v>
      </c>
    </row>
    <row r="722" spans="1:53" ht="15.95" customHeight="1">
      <c r="A722" s="1182" t="s">
        <v>1999</v>
      </c>
      <c r="B722" s="1182" t="s">
        <v>1973</v>
      </c>
      <c r="C722" s="1181">
        <v>44707</v>
      </c>
      <c r="D722" s="1182" t="s">
        <v>389</v>
      </c>
      <c r="E722" s="1182" t="s">
        <v>443</v>
      </c>
      <c r="F722" s="1183" t="s">
        <v>2000</v>
      </c>
      <c r="G722" s="1184" t="s">
        <v>456</v>
      </c>
      <c r="H722" s="1185" t="s">
        <v>457</v>
      </c>
      <c r="I722" s="1180" t="s">
        <v>1996</v>
      </c>
      <c r="J722" s="1186" t="str">
        <f>VLOOKUP($I722,'Price List, Weapons &amp; Items'!B:C,2,0)</f>
        <v>Portable defence system</v>
      </c>
      <c r="K722" s="1186" t="str">
        <f>IF(I722=".",I722,VLOOKUP($I722,'Price List, Weapons &amp; Items'!B:D,3,0))</f>
        <v>Light Anti-armor Weapon (LAW)</v>
      </c>
      <c r="L722" s="1187">
        <f>VLOOKUP(I722,'Price List, Weapons &amp; Items'!B:E,4,0)</f>
        <v>1</v>
      </c>
      <c r="M722" s="1188">
        <v>1100</v>
      </c>
      <c r="N722" s="1188">
        <v>1100</v>
      </c>
      <c r="O722" s="1188">
        <f>VLOOKUP($I722,'Price List, Weapons &amp; Items'!B:G,6,0)</f>
        <v>207.68</v>
      </c>
      <c r="P722" s="1185">
        <f t="shared" si="158"/>
        <v>228448</v>
      </c>
      <c r="Q722" s="1185">
        <f t="shared" si="159"/>
        <v>228448</v>
      </c>
      <c r="R722" s="1185" t="str">
        <f t="shared" si="155"/>
        <v/>
      </c>
      <c r="S722" s="1185" t="str">
        <f>IF(AND(AD722=1,R722&lt;&gt;".")=TRUE,R722/VLOOKUP(G722,'Exchange Rates'!B:C,2,0),IF(R722=".",".",""))</f>
        <v/>
      </c>
      <c r="T722" s="1185" t="str">
        <f>IF(AD722=1,IF(AF722="Value is not given at all",".",IF(AF722="Value is given by the source",S722,IF(AF722="Value is calculated with prices",(IF(SUMIFS(Q:Q,A:A,A722)&gt;0,SUMIFS(Q:Q,A:A,A722),"."))/VLOOKUP("USD",'Exchange Rates'!B:C,2,0),"Error with coding"))),"")</f>
        <v/>
      </c>
      <c r="U722" s="1184" t="s">
        <v>675</v>
      </c>
      <c r="V722" s="974" t="s">
        <v>2002</v>
      </c>
      <c r="W722" s="974" t="s">
        <v>2003</v>
      </c>
      <c r="X722" s="974" t="s">
        <v>2004</v>
      </c>
      <c r="Y722" s="1001" t="s">
        <v>364</v>
      </c>
      <c r="Z722" s="1194">
        <v>0</v>
      </c>
      <c r="AA722" s="1194">
        <v>0</v>
      </c>
      <c r="AB722" s="974" t="s">
        <v>2003</v>
      </c>
      <c r="AC722" s="1192" t="str">
        <f>""</f>
        <v/>
      </c>
      <c r="AD722" s="1193">
        <v>0</v>
      </c>
      <c r="AE722" s="1193" t="s">
        <v>436</v>
      </c>
      <c r="AF722" s="1193" t="s">
        <v>436</v>
      </c>
      <c r="AG722" s="1193">
        <v>1</v>
      </c>
      <c r="AH722" s="1193">
        <v>5</v>
      </c>
      <c r="AI722" s="1193">
        <v>0</v>
      </c>
      <c r="AJ722" s="1193">
        <f>VLOOKUP($I722,'Price List, Weapons &amp; Items'!B:F,5,0)</f>
        <v>0</v>
      </c>
      <c r="AK722" s="1193">
        <f t="shared" si="160"/>
        <v>0</v>
      </c>
      <c r="AL722" s="1193">
        <f t="shared" si="161"/>
        <v>0</v>
      </c>
      <c r="AM722" s="1193">
        <f t="shared" si="162"/>
        <v>0</v>
      </c>
      <c r="AN722" s="1194" t="str">
        <f>VLOOKUP($I722,'Price List, Weapons &amp; Items'!B:L,COLUMN('Price List, Weapons &amp; Items'!$J$11)-1,0)</f>
        <v>Online marketplaces and stores</v>
      </c>
      <c r="AO722" s="1194" t="str">
        <f>IF(I722=".",".",VLOOKUP($I722,'Price List, Weapons &amp; Items'!B:J,3,0))</f>
        <v>Light Anti-armor Weapon (LAW)</v>
      </c>
      <c r="AP722" s="1195" t="str">
        <f t="shared" ca="1" si="156"/>
        <v/>
      </c>
      <c r="AQ722" s="1194">
        <f>VLOOKUP($I722,'Price List, Weapons &amp; Items'!B:L,COLUMN('Price List, Weapons &amp; Items'!$L$11)-1,0)</f>
        <v>1</v>
      </c>
      <c r="AR722" s="1194">
        <f t="shared" si="163"/>
        <v>0</v>
      </c>
      <c r="AS722" s="1194">
        <f t="shared" si="164"/>
        <v>1</v>
      </c>
      <c r="AT722" s="1194">
        <f t="shared" si="165"/>
        <v>1</v>
      </c>
      <c r="AU722" s="1194" t="str">
        <f t="shared" si="166"/>
        <v>.</v>
      </c>
      <c r="AV722" s="1194" t="str">
        <f t="shared" si="157"/>
        <v>.</v>
      </c>
      <c r="AW722" s="1194" t="str">
        <f t="shared" si="167"/>
        <v>.</v>
      </c>
      <c r="AX722" s="1194">
        <f>IFERROR(VLOOKUP(B722,'Share, Heavy Weapons to Ukraine'!B:Z,COLUMN('Share, Heavy Weapons to Ukraine'!C732)-1,0),0)</f>
        <v>0</v>
      </c>
      <c r="AY722" s="1194">
        <f>VLOOKUP('Bilateral Assistance, MAIN DATA'!B722,'Country Summary (€)'!B:F,COLUMN('Country Summary (€)'!C733)-1,FALSE)</f>
        <v>1</v>
      </c>
      <c r="AZ722" s="1194" t="str">
        <f>IF(AND(AD722=1,D722="Military",H722&lt;&gt;"Not given")=TRUE,IF(SUMIFS(P:P,A:A,A722)&gt;0,ABS((SUMIFS(P:P,A:A,A722)/VLOOKUP("USD",'Exchange Rates'!B:C,2,0)))/S722,"."),".")</f>
        <v>.</v>
      </c>
      <c r="BA722" s="1196" t="str">
        <f>IF(AND(AD722=1,D722="Military",H722&lt;&gt;"Not given")=TRUE,IF(SUMIFS(P:P,A:A,A722)&gt;0,IF((ABS((SUMIFS(P:P,A:A,A722)/VLOOKUP("USD",'Exchange Rates'!B:C,2,0)))/S722)&gt;1,(SUMIFS(P:P,A:A,A722)-S722)/S722,(S722-SUMIFS(P:P,A:A,A722))/SUMIFS(P:P,A:A,A722)),"."),".")</f>
        <v>.</v>
      </c>
    </row>
    <row r="723" spans="1:53" ht="15.95" customHeight="1">
      <c r="A723" s="1182" t="s">
        <v>2007</v>
      </c>
      <c r="B723" s="1182" t="s">
        <v>1973</v>
      </c>
      <c r="C723" s="1181">
        <v>44822</v>
      </c>
      <c r="D723" s="1182" t="s">
        <v>389</v>
      </c>
      <c r="E723" s="1182" t="s">
        <v>443</v>
      </c>
      <c r="F723" s="1183" t="s">
        <v>2008</v>
      </c>
      <c r="G723" s="1184" t="s">
        <v>456</v>
      </c>
      <c r="H723" s="1185" t="s">
        <v>457</v>
      </c>
      <c r="I723" s="1180" t="s">
        <v>2009</v>
      </c>
      <c r="J723" s="1186" t="str">
        <f>VLOOKUP($I723,'Price List, Weapons &amp; Items'!B:C,2,0)</f>
        <v>Heavy weapon</v>
      </c>
      <c r="K723" s="1186" t="str">
        <f>IF(I723=".",I723,VLOOKUP($I723,'Price List, Weapons &amp; Items'!B:D,3,0))</f>
        <v>Infantry fighting vehicle (IFV)</v>
      </c>
      <c r="L723" s="1187">
        <f>VLOOKUP(I723,'Price List, Weapons &amp; Items'!B:E,4,0)</f>
        <v>1</v>
      </c>
      <c r="M723" s="1188">
        <v>40</v>
      </c>
      <c r="N723" s="1188">
        <v>40</v>
      </c>
      <c r="O723" s="1188">
        <f>VLOOKUP($I723,'Price List, Weapons &amp; Items'!B:G,6,0)</f>
        <v>561542.53</v>
      </c>
      <c r="P723" s="1185">
        <f t="shared" si="158"/>
        <v>22461701.200000003</v>
      </c>
      <c r="Q723" s="1185">
        <f t="shared" si="159"/>
        <v>22461701.200000003</v>
      </c>
      <c r="R723" s="1185">
        <f t="shared" si="155"/>
        <v>22461701.200000003</v>
      </c>
      <c r="S723" s="1185">
        <f>IF(AND(AD723=1,R723&lt;&gt;".")=TRUE,R723/VLOOKUP(G723,'Exchange Rates'!B:C,2,0),IF(R723=".",".",""))</f>
        <v>20667741.258741263</v>
      </c>
      <c r="T723" s="1185">
        <f>IF(AD723=1,IF(AF723="Value is not given at all",".",IF(AF723="Value is given by the source",S723,IF(AF723="Value is calculated with prices",(IF(SUMIFS(Q:Q,A:A,A723)&gt;0,SUMIFS(Q:Q,A:A,A723),"."))/VLOOKUP("USD",'Exchange Rates'!B:C,2,0),"Error with coding"))),"")</f>
        <v>20667741.258741263</v>
      </c>
      <c r="U723" s="1184" t="s">
        <v>365</v>
      </c>
      <c r="V723" s="974" t="s">
        <v>2010</v>
      </c>
      <c r="W723" s="974" t="s">
        <v>2011</v>
      </c>
      <c r="X723" s="1001" t="s">
        <v>364</v>
      </c>
      <c r="Y723" s="1001" t="s">
        <v>364</v>
      </c>
      <c r="Z723" s="1194">
        <v>0</v>
      </c>
      <c r="AA723" s="1194">
        <v>0</v>
      </c>
      <c r="AB723" s="982" t="s">
        <v>2012</v>
      </c>
      <c r="AC723" s="1192" t="str">
        <f>""</f>
        <v/>
      </c>
      <c r="AD723" s="1193">
        <v>1</v>
      </c>
      <c r="AE723" s="1193" t="s">
        <v>436</v>
      </c>
      <c r="AF723" s="1193" t="s">
        <v>436</v>
      </c>
      <c r="AG723" s="1193">
        <v>1</v>
      </c>
      <c r="AH723" s="1193">
        <v>9</v>
      </c>
      <c r="AI723" s="1193">
        <v>0</v>
      </c>
      <c r="AJ723" s="1193">
        <f>VLOOKUP($I723,'Price List, Weapons &amp; Items'!B:F,5,0)</f>
        <v>1</v>
      </c>
      <c r="AK723" s="1193">
        <f t="shared" si="160"/>
        <v>0</v>
      </c>
      <c r="AL723" s="1193">
        <f t="shared" si="161"/>
        <v>0</v>
      </c>
      <c r="AM723" s="1193">
        <f t="shared" si="162"/>
        <v>0</v>
      </c>
      <c r="AN723" s="1194" t="str">
        <f>VLOOKUP($I723,'Price List, Weapons &amp; Items'!B:L,COLUMN('Price List, Weapons &amp; Items'!$J$11)-1,0)</f>
        <v>Contracts</v>
      </c>
      <c r="AO723" s="1194" t="str">
        <f>IF(I723=".",".",VLOOKUP($I723,'Price List, Weapons &amp; Items'!B:J,3,0))</f>
        <v>Infantry fighting vehicle (IFV)</v>
      </c>
      <c r="AP723" s="1195" t="str">
        <f t="shared" ca="1" si="156"/>
        <v>BMP-1</v>
      </c>
      <c r="AQ723" s="1194">
        <f>VLOOKUP($I723,'Price List, Weapons &amp; Items'!B:L,COLUMN('Price List, Weapons &amp; Items'!$L$11)-1,0)</f>
        <v>2</v>
      </c>
      <c r="AR723" s="1194">
        <f t="shared" si="163"/>
        <v>1</v>
      </c>
      <c r="AS723" s="1194">
        <f t="shared" si="164"/>
        <v>1</v>
      </c>
      <c r="AT723" s="1194">
        <f t="shared" si="165"/>
        <v>1</v>
      </c>
      <c r="AU723" s="1194" t="str">
        <f t="shared" si="166"/>
        <v>.</v>
      </c>
      <c r="AV723" s="1194" t="str">
        <f t="shared" si="157"/>
        <v>.</v>
      </c>
      <c r="AW723" s="1194" t="str">
        <f t="shared" si="167"/>
        <v>.</v>
      </c>
      <c r="AX723" s="1194">
        <f>IFERROR(VLOOKUP(B723,'Share, Heavy Weapons to Ukraine'!B:Z,COLUMN('Share, Heavy Weapons to Ukraine'!C733)-1,0),0)</f>
        <v>0</v>
      </c>
      <c r="AY723" s="1194">
        <f>VLOOKUP('Bilateral Assistance, MAIN DATA'!B723,'Country Summary (€)'!B:F,COLUMN('Country Summary (€)'!C734)-1,FALSE)</f>
        <v>1</v>
      </c>
      <c r="AZ723" s="1194" t="str">
        <f>IF(AND(AD723=1,D723="Military",H723&lt;&gt;"Not given")=TRUE,IF(SUMIFS(P:P,A:A,A723)&gt;0,ABS((SUMIFS(P:P,A:A,A723)/VLOOKUP("USD",'Exchange Rates'!B:C,2,0)))/S723,"."),".")</f>
        <v>.</v>
      </c>
      <c r="BA723" s="1196" t="str">
        <f>IF(AND(AD723=1,D723="Military",H723&lt;&gt;"Not given")=TRUE,IF(SUMIFS(P:P,A:A,A723)&gt;0,IF((ABS((SUMIFS(P:P,A:A,A723)/VLOOKUP("USD",'Exchange Rates'!B:C,2,0)))/S723)&gt;1,(SUMIFS(P:P,A:A,A723)-S723)/S723,(S723-SUMIFS(P:P,A:A,A723))/SUMIFS(P:P,A:A,A723)),"."),".")</f>
        <v>.</v>
      </c>
    </row>
    <row r="724" spans="1:53" ht="15.95" customHeight="1">
      <c r="A724" s="1182" t="s">
        <v>2013</v>
      </c>
      <c r="B724" s="1182" t="s">
        <v>1973</v>
      </c>
      <c r="C724" s="1181">
        <v>44971</v>
      </c>
      <c r="D724" s="1182" t="s">
        <v>389</v>
      </c>
      <c r="E724" s="1182" t="s">
        <v>443</v>
      </c>
      <c r="F724" s="1183" t="s">
        <v>2014</v>
      </c>
      <c r="G724" s="1184" t="s">
        <v>456</v>
      </c>
      <c r="H724" s="1185" t="s">
        <v>457</v>
      </c>
      <c r="I724" s="1180" t="s">
        <v>2009</v>
      </c>
      <c r="J724" s="1186" t="str">
        <f>VLOOKUP($I724,'Price List, Weapons &amp; Items'!B:C,2,0)</f>
        <v>Heavy weapon</v>
      </c>
      <c r="K724" s="1186" t="str">
        <f>IF(I724=".",I724,VLOOKUP($I724,'Price List, Weapons &amp; Items'!B:D,3,0))</f>
        <v>Infantry fighting vehicle (IFV)</v>
      </c>
      <c r="L724" s="1187">
        <f>VLOOKUP(I724,'Price List, Weapons &amp; Items'!B:E,4,0)</f>
        <v>1</v>
      </c>
      <c r="M724" s="1188">
        <v>20</v>
      </c>
      <c r="N724" s="1188">
        <v>20</v>
      </c>
      <c r="O724" s="1188">
        <f>VLOOKUP($I724,'Price List, Weapons &amp; Items'!B:G,6,0)</f>
        <v>561542.53</v>
      </c>
      <c r="P724" s="1185">
        <f t="shared" si="158"/>
        <v>11230850.600000001</v>
      </c>
      <c r="Q724" s="1185">
        <f t="shared" si="159"/>
        <v>11230850.600000001</v>
      </c>
      <c r="R724" s="1185">
        <f t="shared" si="155"/>
        <v>11230850.600000001</v>
      </c>
      <c r="S724" s="1185">
        <f>IF(AND(AD724=1,R724&lt;&gt;".")=TRUE,R724/VLOOKUP(G724,'Exchange Rates'!B:C,2,0),IF(R724=".",".",""))</f>
        <v>10333870.629370632</v>
      </c>
      <c r="T724" s="1185">
        <f>IF(AD724=1,IF(AF724="Value is not given at all",".",IF(AF724="Value is given by the source",S724,IF(AF724="Value is calculated with prices",(IF(SUMIFS(Q:Q,A:A,A724)&gt;0,SUMIFS(Q:Q,A:A,A724),"."))/VLOOKUP("USD",'Exchange Rates'!B:C,2,0),"Error with coding"))),"")</f>
        <v>10333870.629370632</v>
      </c>
      <c r="U724" s="1184" t="s">
        <v>365</v>
      </c>
      <c r="V724" s="1006" t="s">
        <v>2015</v>
      </c>
      <c r="W724" s="1006" t="s">
        <v>2016</v>
      </c>
      <c r="X724" s="1006" t="s">
        <v>2017</v>
      </c>
      <c r="Y724" s="1006" t="s">
        <v>2018</v>
      </c>
      <c r="Z724" s="1194">
        <v>0</v>
      </c>
      <c r="AA724" s="1194">
        <v>0</v>
      </c>
      <c r="AB724" s="982" t="s">
        <v>2015</v>
      </c>
      <c r="AC724" s="1192" t="str">
        <f>""</f>
        <v/>
      </c>
      <c r="AD724" s="1193">
        <v>1</v>
      </c>
      <c r="AE724" s="1193" t="s">
        <v>436</v>
      </c>
      <c r="AF724" s="1193" t="s">
        <v>436</v>
      </c>
      <c r="AG724" s="1193">
        <v>1</v>
      </c>
      <c r="AH724" s="1193">
        <v>14</v>
      </c>
      <c r="AI724" s="1193">
        <v>0</v>
      </c>
      <c r="AJ724" s="1193">
        <f>VLOOKUP($I724,'Price List, Weapons &amp; Items'!B:F,5,0)</f>
        <v>1</v>
      </c>
      <c r="AK724" s="1193">
        <f t="shared" si="160"/>
        <v>0</v>
      </c>
      <c r="AL724" s="1193">
        <f t="shared" si="161"/>
        <v>0</v>
      </c>
      <c r="AM724" s="1193">
        <f t="shared" si="162"/>
        <v>0</v>
      </c>
      <c r="AN724" s="1194" t="str">
        <f>VLOOKUP($I724,'Price List, Weapons &amp; Items'!B:L,COLUMN('Price List, Weapons &amp; Items'!$J$11)-1,0)</f>
        <v>Contracts</v>
      </c>
      <c r="AO724" s="1194" t="str">
        <f>IF(I724=".",".",VLOOKUP($I724,'Price List, Weapons &amp; Items'!B:J,3,0))</f>
        <v>Infantry fighting vehicle (IFV)</v>
      </c>
      <c r="AP724" s="1195" t="str">
        <f t="shared" ca="1" si="156"/>
        <v>BMP-1</v>
      </c>
      <c r="AQ724" s="1194">
        <f>VLOOKUP($I724,'Price List, Weapons &amp; Items'!B:L,COLUMN('Price List, Weapons &amp; Items'!$L$11)-1,0)</f>
        <v>2</v>
      </c>
      <c r="AR724" s="1194">
        <f t="shared" si="163"/>
        <v>1</v>
      </c>
      <c r="AS724" s="1194">
        <f t="shared" si="164"/>
        <v>1</v>
      </c>
      <c r="AT724" s="1194">
        <f t="shared" si="165"/>
        <v>1</v>
      </c>
      <c r="AU724" s="1194" t="str">
        <f t="shared" si="166"/>
        <v>.</v>
      </c>
      <c r="AV724" s="1194" t="str">
        <f t="shared" si="157"/>
        <v>.</v>
      </c>
      <c r="AW724" s="1194" t="str">
        <f t="shared" si="167"/>
        <v>.</v>
      </c>
      <c r="AX724" s="1194">
        <f>IFERROR(VLOOKUP(B724,'Share, Heavy Weapons to Ukraine'!B:Z,COLUMN('Share, Heavy Weapons to Ukraine'!C734)-1,0),0)</f>
        <v>0</v>
      </c>
      <c r="AY724" s="1194">
        <f>VLOOKUP('Bilateral Assistance, MAIN DATA'!B724,'Country Summary (€)'!B:F,COLUMN('Country Summary (€)'!C735)-1,FALSE)</f>
        <v>1</v>
      </c>
      <c r="AZ724" s="1194" t="str">
        <f>IF(AND(AD724=1,D724="Military",H724&lt;&gt;"Not given")=TRUE,IF(SUMIFS(P:P,A:A,A724)&gt;0,ABS((SUMIFS(P:P,A:A,A724)/VLOOKUP("USD",'Exchange Rates'!B:C,2,0)))/S724,"."),".")</f>
        <v>.</v>
      </c>
      <c r="BA724" s="1196" t="str">
        <f>IF(AND(AD724=1,D724="Military",H724&lt;&gt;"Not given")=TRUE,IF(SUMIFS(P:P,A:A,A724)&gt;0,IF((ABS((SUMIFS(P:P,A:A,A724)/VLOOKUP("USD",'Exchange Rates'!B:C,2,0)))/S724)&gt;1,(SUMIFS(P:P,A:A,A724)-S724)/S724,(S724-SUMIFS(P:P,A:A,A724))/SUMIFS(P:P,A:A,A724)),"."),".")</f>
        <v>.</v>
      </c>
    </row>
    <row r="725" spans="1:53" ht="15.95" customHeight="1">
      <c r="A725" s="1182" t="s">
        <v>2013</v>
      </c>
      <c r="B725" s="1182" t="s">
        <v>1973</v>
      </c>
      <c r="C725" s="1181">
        <v>44971</v>
      </c>
      <c r="D725" s="1182" t="s">
        <v>389</v>
      </c>
      <c r="E725" s="1182" t="s">
        <v>443</v>
      </c>
      <c r="F725" s="1183" t="s">
        <v>2014</v>
      </c>
      <c r="G725" s="1184" t="s">
        <v>456</v>
      </c>
      <c r="H725" s="1185" t="s">
        <v>457</v>
      </c>
      <c r="I725" s="1190" t="s">
        <v>602</v>
      </c>
      <c r="J725" s="1186" t="str">
        <f>VLOOKUP($I725,'Price List, Weapons &amp; Items'!B:C,2,0)</f>
        <v>Ammunition</v>
      </c>
      <c r="K725" s="1186" t="str">
        <f>IF(I725=".",I725,VLOOKUP($I725,'Price List, Weapons &amp; Items'!B:D,3,0))</f>
        <v>Military equipment</v>
      </c>
      <c r="L725" s="1187">
        <f>VLOOKUP(I725,'Price List, Weapons &amp; Items'!B:E,4,0)</f>
        <v>0</v>
      </c>
      <c r="M725" s="1188" t="s">
        <v>374</v>
      </c>
      <c r="N725" s="1188" t="s">
        <v>374</v>
      </c>
      <c r="O725" s="1188" t="str">
        <f>VLOOKUP($I725,'Price List, Weapons &amp; Items'!B:G,6,0)</f>
        <v>.</v>
      </c>
      <c r="P725" s="1185" t="str">
        <f t="shared" si="158"/>
        <v>.</v>
      </c>
      <c r="Q725" s="1185" t="str">
        <f t="shared" si="159"/>
        <v>.</v>
      </c>
      <c r="R725" s="1185" t="str">
        <f t="shared" si="155"/>
        <v/>
      </c>
      <c r="S725" s="1185" t="str">
        <f>IF(AND(AD725=1,R725&lt;&gt;".")=TRUE,R725/VLOOKUP(G725,'Exchange Rates'!B:C,2,0),IF(R725=".",".",""))</f>
        <v/>
      </c>
      <c r="T725" s="1185" t="str">
        <f>IF(AD725=1,IF(AF725="Value is not given at all",".",IF(AF725="Value is given by the source",S725,IF(AF725="Value is calculated with prices",(IF(SUMIFS(Q:Q,A:A,A725)&gt;0,SUMIFS(Q:Q,A:A,A725),"."))/VLOOKUP("USD",'Exchange Rates'!B:C,2,0),"Error with coding"))),"")</f>
        <v/>
      </c>
      <c r="U725" s="1184" t="s">
        <v>365</v>
      </c>
      <c r="V725" s="1006" t="s">
        <v>2015</v>
      </c>
      <c r="W725" s="1006" t="s">
        <v>2016</v>
      </c>
      <c r="X725" s="1006" t="s">
        <v>2017</v>
      </c>
      <c r="Y725" s="1006" t="s">
        <v>2018</v>
      </c>
      <c r="Z725" s="1194">
        <v>0</v>
      </c>
      <c r="AA725" s="1194">
        <v>0</v>
      </c>
      <c r="AB725" s="982" t="s">
        <v>2015</v>
      </c>
      <c r="AC725" s="1192" t="str">
        <f>""</f>
        <v/>
      </c>
      <c r="AD725" s="1193">
        <v>0</v>
      </c>
      <c r="AE725" s="1193" t="s">
        <v>436</v>
      </c>
      <c r="AF725" s="1193" t="s">
        <v>436</v>
      </c>
      <c r="AG725" s="1193">
        <v>1</v>
      </c>
      <c r="AH725" s="1193">
        <v>14</v>
      </c>
      <c r="AI725" s="1193">
        <v>0</v>
      </c>
      <c r="AJ725" s="1193">
        <f>VLOOKUP($I725,'Price List, Weapons &amp; Items'!B:F,5,0)</f>
        <v>0</v>
      </c>
      <c r="AK725" s="1193">
        <f t="shared" si="160"/>
        <v>0</v>
      </c>
      <c r="AL725" s="1193">
        <f t="shared" si="161"/>
        <v>0</v>
      </c>
      <c r="AM725" s="1193">
        <f t="shared" si="162"/>
        <v>1</v>
      </c>
      <c r="AN725" s="1194" t="str">
        <f>VLOOKUP($I725,'Price List, Weapons &amp; Items'!B:L,COLUMN('Price List, Weapons &amp; Items'!$J$11)-1,0)</f>
        <v>.</v>
      </c>
      <c r="AO725" s="1194" t="str">
        <f>IF(I725=".",".",VLOOKUP($I725,'Price List, Weapons &amp; Items'!B:J,3,0))</f>
        <v>Military equipment</v>
      </c>
      <c r="AP725" s="1195" t="str">
        <f t="shared" ca="1" si="156"/>
        <v/>
      </c>
      <c r="AQ725" s="1194">
        <f>VLOOKUP($I725,'Price List, Weapons &amp; Items'!B:L,COLUMN('Price List, Weapons &amp; Items'!$L$11)-1,0)</f>
        <v>0</v>
      </c>
      <c r="AR725" s="1194">
        <f t="shared" si="163"/>
        <v>1</v>
      </c>
      <c r="AS725" s="1194">
        <f t="shared" si="164"/>
        <v>1</v>
      </c>
      <c r="AT725" s="1194">
        <f t="shared" si="165"/>
        <v>1</v>
      </c>
      <c r="AU725" s="1194" t="str">
        <f t="shared" si="166"/>
        <v>.</v>
      </c>
      <c r="AV725" s="1194" t="str">
        <f t="shared" si="157"/>
        <v>.</v>
      </c>
      <c r="AW725" s="1194" t="str">
        <f t="shared" si="167"/>
        <v>.</v>
      </c>
      <c r="AX725" s="1194">
        <f>IFERROR(VLOOKUP(B725,'Share, Heavy Weapons to Ukraine'!B:Z,COLUMN('Share, Heavy Weapons to Ukraine'!C735)-1,0),0)</f>
        <v>0</v>
      </c>
      <c r="AY725" s="1194">
        <f>VLOOKUP('Bilateral Assistance, MAIN DATA'!B725,'Country Summary (€)'!B:F,COLUMN('Country Summary (€)'!C736)-1,FALSE)</f>
        <v>1</v>
      </c>
      <c r="AZ725" s="1194" t="str">
        <f>IF(AND(AD725=1,D725="Military",H725&lt;&gt;"Not given")=TRUE,IF(SUMIFS(P:P,A:A,A725)&gt;0,ABS((SUMIFS(P:P,A:A,A725)/VLOOKUP("USD",'Exchange Rates'!B:C,2,0)))/S725,"."),".")</f>
        <v>.</v>
      </c>
      <c r="BA725" s="1196" t="str">
        <f>IF(AND(AD725=1,D725="Military",H725&lt;&gt;"Not given")=TRUE,IF(SUMIFS(P:P,A:A,A725)&gt;0,IF((ABS((SUMIFS(P:P,A:A,A725)/VLOOKUP("USD",'Exchange Rates'!B:C,2,0)))/S725)&gt;1,(SUMIFS(P:P,A:A,A725)-S725)/S725,(S725-SUMIFS(P:P,A:A,A725))/SUMIFS(P:P,A:A,A725)),"."),".")</f>
        <v>.</v>
      </c>
    </row>
    <row r="726" spans="1:53" ht="15.95" customHeight="1">
      <c r="A726" s="1182" t="s">
        <v>2019</v>
      </c>
      <c r="B726" s="1182" t="s">
        <v>1973</v>
      </c>
      <c r="C726" s="1181">
        <v>45022</v>
      </c>
      <c r="D726" s="1182" t="s">
        <v>389</v>
      </c>
      <c r="E726" s="1182" t="s">
        <v>443</v>
      </c>
      <c r="F726" s="1183" t="s">
        <v>2020</v>
      </c>
      <c r="G726" s="1184" t="s">
        <v>456</v>
      </c>
      <c r="H726" s="1185" t="s">
        <v>457</v>
      </c>
      <c r="I726" s="1183" t="s">
        <v>1101</v>
      </c>
      <c r="J726" s="1186" t="str">
        <f>VLOOKUP($I726,'Price List, Weapons &amp; Items'!B:C,2,0)</f>
        <v>Ammunition for heavy weapon</v>
      </c>
      <c r="K726" s="1186" t="str">
        <f>IF(I726=".",I726,VLOOKUP($I726,'Price List, Weapons &amp; Items'!B:D,3,0))</f>
        <v>howitzer ammunition</v>
      </c>
      <c r="L726" s="1187">
        <f>VLOOKUP(I726,'Price List, Weapons &amp; Items'!B:E,4,0)</f>
        <v>0</v>
      </c>
      <c r="M726" s="1188" t="s">
        <v>374</v>
      </c>
      <c r="N726" s="1188" t="s">
        <v>374</v>
      </c>
      <c r="O726" s="1188">
        <f>VLOOKUP($I726,'Price List, Weapons &amp; Items'!B:G,6,0)</f>
        <v>2000</v>
      </c>
      <c r="P726" s="1185" t="str">
        <f t="shared" si="158"/>
        <v>.</v>
      </c>
      <c r="Q726" s="1185" t="str">
        <f t="shared" si="159"/>
        <v>.</v>
      </c>
      <c r="R726" s="1185" t="str">
        <f t="shared" si="155"/>
        <v>.</v>
      </c>
      <c r="S726" s="1185" t="str">
        <f>IF(AND(AD726=1,R726&lt;&gt;".")=TRUE,R726/VLOOKUP(G726,'Exchange Rates'!B:C,2,0),IF(R726=".",".",""))</f>
        <v>.</v>
      </c>
      <c r="T726" s="1185" t="str">
        <f>IF(AD726=1,IF(AF726="Value is not given at all",".",IF(AF726="Value is given by the source",S726,IF(AF726="Value is calculated with prices",(IF(SUMIFS(Q:Q,A:A,A726)&gt;0,SUMIFS(Q:Q,A:A,A726),"."))/VLOOKUP("USD",'Exchange Rates'!B:C,2,0),"Error with coding"))),"")</f>
        <v>.</v>
      </c>
      <c r="U726" s="1184" t="s">
        <v>675</v>
      </c>
      <c r="V726" s="1009" t="s">
        <v>2021</v>
      </c>
      <c r="W726" s="1009" t="s">
        <v>2022</v>
      </c>
      <c r="X726" s="1009" t="s">
        <v>2023</v>
      </c>
      <c r="Y726" s="1009" t="s">
        <v>2024</v>
      </c>
      <c r="Z726" s="1194">
        <v>0</v>
      </c>
      <c r="AA726" s="1194">
        <v>1</v>
      </c>
      <c r="AB726" s="1285" t="s">
        <v>364</v>
      </c>
      <c r="AC726" s="1192" t="str">
        <f>""</f>
        <v/>
      </c>
      <c r="AD726" s="1193">
        <v>1</v>
      </c>
      <c r="AE726" s="1193" t="s">
        <v>369</v>
      </c>
      <c r="AF726" s="1193" t="s">
        <v>369</v>
      </c>
      <c r="AG726" s="1193">
        <v>1</v>
      </c>
      <c r="AH726" s="1193">
        <v>16</v>
      </c>
      <c r="AI726" s="1193">
        <v>0</v>
      </c>
      <c r="AJ726" s="1193">
        <f>VLOOKUP($I726,'Price List, Weapons &amp; Items'!B:F,5,0)</f>
        <v>0</v>
      </c>
      <c r="AK726" s="1193">
        <f t="shared" si="160"/>
        <v>0</v>
      </c>
      <c r="AL726" s="1193">
        <f t="shared" si="161"/>
        <v>0</v>
      </c>
      <c r="AM726" s="1193">
        <f t="shared" si="162"/>
        <v>1</v>
      </c>
      <c r="AN726" s="1194" t="str">
        <f>VLOOKUP($I726,'Price List, Weapons &amp; Items'!B:L,COLUMN('Price List, Weapons &amp; Items'!$J$11)-1,0)</f>
        <v>Media reports (incl. social media)</v>
      </c>
      <c r="AO726" s="1194" t="str">
        <f>IF(I726=".",".",VLOOKUP($I726,'Price List, Weapons &amp; Items'!B:J,3,0))</f>
        <v>howitzer ammunition</v>
      </c>
      <c r="AP726" s="1195" t="str">
        <f t="shared" ca="1" si="156"/>
        <v>Artillery ammunition</v>
      </c>
      <c r="AQ726" s="1194">
        <f>VLOOKUP($I726,'Price List, Weapons &amp; Items'!B:L,COLUMN('Price List, Weapons &amp; Items'!$L$11)-1,0)</f>
        <v>2</v>
      </c>
      <c r="AR726" s="1194">
        <f t="shared" si="163"/>
        <v>0</v>
      </c>
      <c r="AS726" s="1194">
        <f t="shared" si="164"/>
        <v>1</v>
      </c>
      <c r="AT726" s="1194">
        <f t="shared" si="165"/>
        <v>1</v>
      </c>
      <c r="AU726" s="1194" t="str">
        <f t="shared" si="166"/>
        <v>.</v>
      </c>
      <c r="AV726" s="1194" t="str">
        <f t="shared" si="157"/>
        <v>.</v>
      </c>
      <c r="AW726" s="1194" t="str">
        <f t="shared" si="167"/>
        <v>.</v>
      </c>
      <c r="AX726" s="1194">
        <f>IFERROR(VLOOKUP(B726,'Share, Heavy Weapons to Ukraine'!B:Z,COLUMN('Share, Heavy Weapons to Ukraine'!C736)-1,0),0)</f>
        <v>0</v>
      </c>
      <c r="AY726" s="1194">
        <f>VLOOKUP('Bilateral Assistance, MAIN DATA'!B726,'Country Summary (€)'!B:F,COLUMN('Country Summary (€)'!C737)-1,FALSE)</f>
        <v>1</v>
      </c>
      <c r="AZ726" s="1194" t="str">
        <f>IF(AND(AD726=1,D726="Military",H726&lt;&gt;"Not given")=TRUE,IF(SUMIFS(P:P,A:A,A726)&gt;0,ABS((SUMIFS(P:P,A:A,A726)/VLOOKUP("USD",'Exchange Rates'!B:C,2,0)))/S726,"."),".")</f>
        <v>.</v>
      </c>
      <c r="BA726" s="1196" t="str">
        <f>IF(AND(AD726=1,D726="Military",H726&lt;&gt;"Not given")=TRUE,IF(SUMIFS(P:P,A:A,A726)&gt;0,IF((ABS((SUMIFS(P:P,A:A,A726)/VLOOKUP("USD",'Exchange Rates'!B:C,2,0)))/S726)&gt;1,(SUMIFS(P:P,A:A,A726)-S726)/S726,(S726-SUMIFS(P:P,A:A,A726))/SUMIFS(P:P,A:A,A726)),"."),".")</f>
        <v>.</v>
      </c>
    </row>
    <row r="727" spans="1:53" ht="15.95" customHeight="1">
      <c r="A727" s="1182" t="s">
        <v>2019</v>
      </c>
      <c r="B727" s="1182" t="s">
        <v>1973</v>
      </c>
      <c r="C727" s="1181">
        <v>45022</v>
      </c>
      <c r="D727" s="1182" t="s">
        <v>389</v>
      </c>
      <c r="E727" s="1182" t="s">
        <v>443</v>
      </c>
      <c r="F727" s="1183" t="s">
        <v>2020</v>
      </c>
      <c r="G727" s="1184" t="s">
        <v>456</v>
      </c>
      <c r="H727" s="1185" t="s">
        <v>457</v>
      </c>
      <c r="I727" s="1208" t="s">
        <v>2025</v>
      </c>
      <c r="J727" s="1186" t="str">
        <f>VLOOKUP($I727,'Price List, Weapons &amp; Items'!B:C,2,0)</f>
        <v>Ammunition for light infantry</v>
      </c>
      <c r="K727" s="1186" t="str">
        <f>IF(I727=".",I727,VLOOKUP($I727,'Price List, Weapons &amp; Items'!B:D,3,0))</f>
        <v>Small Arms and Light Weapons (SALW) ammunition</v>
      </c>
      <c r="L727" s="1187">
        <f>VLOOKUP(I727,'Price List, Weapons &amp; Items'!B:E,4,0)</f>
        <v>0</v>
      </c>
      <c r="M727" s="1188" t="s">
        <v>374</v>
      </c>
      <c r="N727" s="1188" t="s">
        <v>374</v>
      </c>
      <c r="O727" s="1188">
        <f>VLOOKUP($I727,'Price List, Weapons &amp; Items'!B:G,6,0)</f>
        <v>0.47</v>
      </c>
      <c r="P727" s="1185" t="str">
        <f t="shared" si="158"/>
        <v>.</v>
      </c>
      <c r="Q727" s="1185" t="str">
        <f t="shared" si="159"/>
        <v>.</v>
      </c>
      <c r="R727" s="1185" t="str">
        <f t="shared" si="155"/>
        <v/>
      </c>
      <c r="S727" s="1185" t="str">
        <f>IF(AND(AD727=1,R727&lt;&gt;".")=TRUE,R727/VLOOKUP(G727,'Exchange Rates'!B:C,2,0),IF(R727=".",".",""))</f>
        <v/>
      </c>
      <c r="T727" s="1185" t="str">
        <f>IF(AD727=1,IF(AF727="Value is not given at all",".",IF(AF727="Value is given by the source",S727,IF(AF727="Value is calculated with prices",(IF(SUMIFS(Q:Q,A:A,A727)&gt;0,SUMIFS(Q:Q,A:A,A727),"."))/VLOOKUP("USD",'Exchange Rates'!B:C,2,0),"Error with coding"))),"")</f>
        <v/>
      </c>
      <c r="U727" s="1184" t="s">
        <v>675</v>
      </c>
      <c r="V727" s="1009" t="s">
        <v>2021</v>
      </c>
      <c r="W727" s="1009" t="s">
        <v>2022</v>
      </c>
      <c r="X727" s="1009" t="s">
        <v>2023</v>
      </c>
      <c r="Y727" s="1009" t="s">
        <v>2024</v>
      </c>
      <c r="Z727" s="1194">
        <v>0</v>
      </c>
      <c r="AA727" s="1194">
        <v>1</v>
      </c>
      <c r="AB727" s="1285" t="s">
        <v>364</v>
      </c>
      <c r="AC727" s="1192" t="str">
        <f>""</f>
        <v/>
      </c>
      <c r="AD727" s="1193">
        <v>0</v>
      </c>
      <c r="AE727" s="1193" t="s">
        <v>369</v>
      </c>
      <c r="AF727" s="1193" t="s">
        <v>369</v>
      </c>
      <c r="AG727" s="1193">
        <v>1</v>
      </c>
      <c r="AH727" s="1193">
        <v>16</v>
      </c>
      <c r="AI727" s="1193">
        <v>0</v>
      </c>
      <c r="AJ727" s="1193">
        <f>VLOOKUP($I727,'Price List, Weapons &amp; Items'!B:F,5,0)</f>
        <v>0</v>
      </c>
      <c r="AK727" s="1193">
        <f t="shared" si="160"/>
        <v>0</v>
      </c>
      <c r="AL727" s="1193">
        <f t="shared" si="161"/>
        <v>0</v>
      </c>
      <c r="AM727" s="1193">
        <f t="shared" si="162"/>
        <v>1</v>
      </c>
      <c r="AN727" s="1194" t="str">
        <f>VLOOKUP($I727,'Price List, Weapons &amp; Items'!B:L,COLUMN('Price List, Weapons &amp; Items'!$J$11)-1,0)</f>
        <v>Miscellaneous</v>
      </c>
      <c r="AO727" s="1194" t="str">
        <f>IF(I727=".",".",VLOOKUP($I727,'Price List, Weapons &amp; Items'!B:J,3,0))</f>
        <v>Small Arms and Light Weapons (SALW) ammunition</v>
      </c>
      <c r="AP727" s="1195" t="str">
        <f t="shared" ca="1" si="156"/>
        <v/>
      </c>
      <c r="AQ727" s="1194">
        <f>VLOOKUP($I727,'Price List, Weapons &amp; Items'!B:L,COLUMN('Price List, Weapons &amp; Items'!$L$11)-1,0)</f>
        <v>2</v>
      </c>
      <c r="AR727" s="1194">
        <f t="shared" si="163"/>
        <v>0</v>
      </c>
      <c r="AS727" s="1194">
        <f t="shared" si="164"/>
        <v>1</v>
      </c>
      <c r="AT727" s="1194">
        <f t="shared" si="165"/>
        <v>1</v>
      </c>
      <c r="AU727" s="1194" t="str">
        <f t="shared" si="166"/>
        <v>.</v>
      </c>
      <c r="AV727" s="1194" t="str">
        <f t="shared" si="157"/>
        <v>.</v>
      </c>
      <c r="AW727" s="1194" t="str">
        <f t="shared" si="167"/>
        <v>.</v>
      </c>
      <c r="AX727" s="1194">
        <f>IFERROR(VLOOKUP(B727,'Share, Heavy Weapons to Ukraine'!B:Z,COLUMN('Share, Heavy Weapons to Ukraine'!C737)-1,0),0)</f>
        <v>0</v>
      </c>
      <c r="AY727" s="1194">
        <f>VLOOKUP('Bilateral Assistance, MAIN DATA'!B727,'Country Summary (€)'!B:F,COLUMN('Country Summary (€)'!C738)-1,FALSE)</f>
        <v>1</v>
      </c>
      <c r="AZ727" s="1194" t="str">
        <f>IF(AND(AD727=1,D727="Military",H727&lt;&gt;"Not given")=TRUE,IF(SUMIFS(P:P,A:A,A727)&gt;0,ABS((SUMIFS(P:P,A:A,A727)/VLOOKUP("USD",'Exchange Rates'!B:C,2,0)))/S727,"."),".")</f>
        <v>.</v>
      </c>
      <c r="BA727" s="1196" t="str">
        <f>IF(AND(AD727=1,D727="Military",H727&lt;&gt;"Not given")=TRUE,IF(SUMIFS(P:P,A:A,A727)&gt;0,IF((ABS((SUMIFS(P:P,A:A,A727)/VLOOKUP("USD",'Exchange Rates'!B:C,2,0)))/S727)&gt;1,(SUMIFS(P:P,A:A,A727)-S727)/S727,(S727-SUMIFS(P:P,A:A,A727))/SUMIFS(P:P,A:A,A727)),"."),".")</f>
        <v>.</v>
      </c>
    </row>
    <row r="728" spans="1:53" ht="15.95" customHeight="1">
      <c r="A728" s="1182" t="s">
        <v>2019</v>
      </c>
      <c r="B728" s="1182" t="s">
        <v>1973</v>
      </c>
      <c r="C728" s="1181">
        <v>45022</v>
      </c>
      <c r="D728" s="1182" t="s">
        <v>389</v>
      </c>
      <c r="E728" s="1182" t="s">
        <v>443</v>
      </c>
      <c r="F728" s="1183" t="s">
        <v>2020</v>
      </c>
      <c r="G728" s="1184" t="s">
        <v>456</v>
      </c>
      <c r="H728" s="1185" t="s">
        <v>457</v>
      </c>
      <c r="I728" s="1180" t="s">
        <v>2009</v>
      </c>
      <c r="J728" s="1186" t="str">
        <f>VLOOKUP($I728,'Price List, Weapons &amp; Items'!B:C,2,0)</f>
        <v>Heavy weapon</v>
      </c>
      <c r="K728" s="1186" t="str">
        <f>IF(I728=".",I728,VLOOKUP($I728,'Price List, Weapons &amp; Items'!B:D,3,0))</f>
        <v>Infantry fighting vehicle (IFV)</v>
      </c>
      <c r="L728" s="1187">
        <f>VLOOKUP(I728,'Price List, Weapons &amp; Items'!B:E,4,0)</f>
        <v>1</v>
      </c>
      <c r="M728" s="1188" t="s">
        <v>374</v>
      </c>
      <c r="N728" s="1188" t="s">
        <v>374</v>
      </c>
      <c r="O728" s="1188">
        <f>VLOOKUP($I728,'Price List, Weapons &amp; Items'!B:G,6,0)</f>
        <v>561542.53</v>
      </c>
      <c r="P728" s="1185" t="str">
        <f t="shared" si="158"/>
        <v>.</v>
      </c>
      <c r="Q728" s="1185" t="str">
        <f t="shared" si="159"/>
        <v>.</v>
      </c>
      <c r="R728" s="1185" t="str">
        <f t="shared" si="155"/>
        <v/>
      </c>
      <c r="S728" s="1185" t="str">
        <f>IF(AND(AD728=1,R728&lt;&gt;".")=TRUE,R728/VLOOKUP(G728,'Exchange Rates'!B:C,2,0),IF(R728=".",".",""))</f>
        <v/>
      </c>
      <c r="T728" s="1185" t="str">
        <f>IF(AD728=1,IF(AF728="Value is not given at all",".",IF(AF728="Value is given by the source",S728,IF(AF728="Value is calculated with prices",(IF(SUMIFS(Q:Q,A:A,A728)&gt;0,SUMIFS(Q:Q,A:A,A728),"."))/VLOOKUP("USD",'Exchange Rates'!B:C,2,0),"Error with coding"))),"")</f>
        <v/>
      </c>
      <c r="U728" s="1184" t="s">
        <v>675</v>
      </c>
      <c r="V728" s="1009" t="s">
        <v>2021</v>
      </c>
      <c r="W728" s="1009" t="s">
        <v>2022</v>
      </c>
      <c r="X728" s="1009" t="s">
        <v>2023</v>
      </c>
      <c r="Y728" s="1009" t="s">
        <v>2024</v>
      </c>
      <c r="Z728" s="1194">
        <v>0</v>
      </c>
      <c r="AA728" s="1194">
        <v>1</v>
      </c>
      <c r="AB728" s="1285" t="s">
        <v>364</v>
      </c>
      <c r="AC728" s="1192" t="str">
        <f>""</f>
        <v/>
      </c>
      <c r="AD728" s="1193">
        <v>0</v>
      </c>
      <c r="AE728" s="1193" t="s">
        <v>369</v>
      </c>
      <c r="AF728" s="1193" t="s">
        <v>369</v>
      </c>
      <c r="AG728" s="1193">
        <v>1</v>
      </c>
      <c r="AH728" s="1193">
        <v>16</v>
      </c>
      <c r="AI728" s="1193">
        <v>0</v>
      </c>
      <c r="AJ728" s="1193">
        <f>VLOOKUP($I728,'Price List, Weapons &amp; Items'!B:F,5,0)</f>
        <v>1</v>
      </c>
      <c r="AK728" s="1193">
        <f t="shared" si="160"/>
        <v>1</v>
      </c>
      <c r="AL728" s="1193">
        <f t="shared" si="161"/>
        <v>1</v>
      </c>
      <c r="AM728" s="1193">
        <f t="shared" si="162"/>
        <v>0</v>
      </c>
      <c r="AN728" s="1194" t="str">
        <f>VLOOKUP($I728,'Price List, Weapons &amp; Items'!B:L,COLUMN('Price List, Weapons &amp; Items'!$J$11)-1,0)</f>
        <v>Contracts</v>
      </c>
      <c r="AO728" s="1194" t="str">
        <f>IF(I728=".",".",VLOOKUP($I728,'Price List, Weapons &amp; Items'!B:J,3,0))</f>
        <v>Infantry fighting vehicle (IFV)</v>
      </c>
      <c r="AP728" s="1195" t="str">
        <f t="shared" ca="1" si="156"/>
        <v/>
      </c>
      <c r="AQ728" s="1194">
        <f>VLOOKUP($I728,'Price List, Weapons &amp; Items'!B:L,COLUMN('Price List, Weapons &amp; Items'!$L$11)-1,0)</f>
        <v>2</v>
      </c>
      <c r="AR728" s="1194">
        <f t="shared" si="163"/>
        <v>0</v>
      </c>
      <c r="AS728" s="1194">
        <f t="shared" si="164"/>
        <v>1</v>
      </c>
      <c r="AT728" s="1194">
        <f t="shared" si="165"/>
        <v>1</v>
      </c>
      <c r="AU728" s="1194" t="str">
        <f t="shared" si="166"/>
        <v>.</v>
      </c>
      <c r="AV728" s="1194" t="str">
        <f t="shared" si="157"/>
        <v>.</v>
      </c>
      <c r="AW728" s="1194" t="str">
        <f t="shared" si="167"/>
        <v>.</v>
      </c>
      <c r="AX728" s="1194">
        <f>IFERROR(VLOOKUP(B728,'Share, Heavy Weapons to Ukraine'!B:Z,COLUMN('Share, Heavy Weapons to Ukraine'!C738)-1,0),0)</f>
        <v>0</v>
      </c>
      <c r="AY728" s="1194">
        <f>VLOOKUP('Bilateral Assistance, MAIN DATA'!B728,'Country Summary (€)'!B:F,COLUMN('Country Summary (€)'!C739)-1,FALSE)</f>
        <v>1</v>
      </c>
      <c r="AZ728" s="1194" t="str">
        <f>IF(AND(AD728=1,D728="Military",H728&lt;&gt;"Not given")=TRUE,IF(SUMIFS(P:P,A:A,A728)&gt;0,ABS((SUMIFS(P:P,A:A,A728)/VLOOKUP("USD",'Exchange Rates'!B:C,2,0)))/S728,"."),".")</f>
        <v>.</v>
      </c>
      <c r="BA728" s="1196" t="str">
        <f>IF(AND(AD728=1,D728="Military",H728&lt;&gt;"Not given")=TRUE,IF(SUMIFS(P:P,A:A,A728)&gt;0,IF((ABS((SUMIFS(P:P,A:A,A728)/VLOOKUP("USD",'Exchange Rates'!B:C,2,0)))/S728)&gt;1,(SUMIFS(P:P,A:A,A728)-S728)/S728,(S728-SUMIFS(P:P,A:A,A728))/SUMIFS(P:P,A:A,A728)),"."),".")</f>
        <v>.</v>
      </c>
    </row>
    <row r="729" spans="1:53" ht="15.95" customHeight="1">
      <c r="A729" s="1182" t="s">
        <v>2019</v>
      </c>
      <c r="B729" s="1182" t="s">
        <v>1973</v>
      </c>
      <c r="C729" s="1181">
        <v>45022</v>
      </c>
      <c r="D729" s="1182" t="s">
        <v>389</v>
      </c>
      <c r="E729" s="1182" t="s">
        <v>2026</v>
      </c>
      <c r="F729" s="1183" t="s">
        <v>2020</v>
      </c>
      <c r="G729" s="1184" t="s">
        <v>456</v>
      </c>
      <c r="H729" s="1185" t="s">
        <v>457</v>
      </c>
      <c r="I729" s="1180" t="s">
        <v>364</v>
      </c>
      <c r="J729" s="1186" t="str">
        <f>VLOOKUP($I729,'Price List, Weapons &amp; Items'!B:C,2,0)</f>
        <v>.</v>
      </c>
      <c r="K729" s="1186" t="str">
        <f>IF(I729=".",I729,VLOOKUP($I729,'Price List, Weapons &amp; Items'!B:D,3,0))</f>
        <v>.</v>
      </c>
      <c r="L729" s="1187">
        <f>VLOOKUP(I729,'Price List, Weapons &amp; Items'!B:E,4,0)</f>
        <v>0</v>
      </c>
      <c r="M729" s="1188" t="s">
        <v>364</v>
      </c>
      <c r="N729" s="1188" t="s">
        <v>364</v>
      </c>
      <c r="O729" s="1188" t="str">
        <f>VLOOKUP($I729,'Price List, Weapons &amp; Items'!B:G,6,0)</f>
        <v>.</v>
      </c>
      <c r="P729" s="1185" t="str">
        <f t="shared" si="158"/>
        <v>.</v>
      </c>
      <c r="Q729" s="1185" t="str">
        <f t="shared" si="159"/>
        <v>.</v>
      </c>
      <c r="R729" s="1185" t="str">
        <f t="shared" si="155"/>
        <v/>
      </c>
      <c r="S729" s="1185" t="str">
        <f>IF(AND(AD729=1,R729&lt;&gt;".")=TRUE,R729/VLOOKUP(G729,'Exchange Rates'!B:C,2,0),IF(R729=".",".",""))</f>
        <v/>
      </c>
      <c r="T729" s="1185" t="str">
        <f>IF(AD729=1,IF(AF729="Value is not given at all",".",IF(AF729="Value is given by the source",S729,IF(AF729="Value is calculated with prices",(IF(SUMIFS(Q:Q,A:A,A729)&gt;0,SUMIFS(Q:Q,A:A,A729),"."))/VLOOKUP("USD",'Exchange Rates'!B:C,2,0),"Error with coding"))),"")</f>
        <v/>
      </c>
      <c r="U729" s="1184" t="s">
        <v>675</v>
      </c>
      <c r="V729" s="1009" t="s">
        <v>2021</v>
      </c>
      <c r="W729" s="1009" t="s">
        <v>2022</v>
      </c>
      <c r="X729" s="1009" t="s">
        <v>2023</v>
      </c>
      <c r="Y729" s="1009" t="s">
        <v>2024</v>
      </c>
      <c r="Z729" s="1194">
        <v>0</v>
      </c>
      <c r="AA729" s="1194">
        <v>1</v>
      </c>
      <c r="AB729" s="1285" t="s">
        <v>364</v>
      </c>
      <c r="AC729" s="1192" t="str">
        <f>""</f>
        <v/>
      </c>
      <c r="AD729" s="1193">
        <v>0</v>
      </c>
      <c r="AE729" s="1193" t="s">
        <v>369</v>
      </c>
      <c r="AF729" s="1193" t="s">
        <v>369</v>
      </c>
      <c r="AG729" s="1193">
        <v>1</v>
      </c>
      <c r="AH729" s="1193">
        <v>16</v>
      </c>
      <c r="AI729" s="1193">
        <v>0</v>
      </c>
      <c r="AJ729" s="1193">
        <f>VLOOKUP($I729,'Price List, Weapons &amp; Items'!B:F,5,0)</f>
        <v>0</v>
      </c>
      <c r="AK729" s="1193">
        <f t="shared" si="160"/>
        <v>0</v>
      </c>
      <c r="AL729" s="1193">
        <f t="shared" si="161"/>
        <v>0</v>
      </c>
      <c r="AM729" s="1193">
        <f t="shared" si="162"/>
        <v>0</v>
      </c>
      <c r="AN729" s="1194" t="str">
        <f>VLOOKUP($I729,'Price List, Weapons &amp; Items'!B:L,COLUMN('Price List, Weapons &amp; Items'!$J$11)-1,0)</f>
        <v>.</v>
      </c>
      <c r="AO729" s="1194" t="str">
        <f>IF(I729=".",".",VLOOKUP($I729,'Price List, Weapons &amp; Items'!B:J,3,0))</f>
        <v>.</v>
      </c>
      <c r="AP729" s="1195" t="str">
        <f t="shared" ca="1" si="156"/>
        <v/>
      </c>
      <c r="AQ729" s="1194">
        <f>VLOOKUP($I729,'Price List, Weapons &amp; Items'!B:L,COLUMN('Price List, Weapons &amp; Items'!$L$11)-1,0)</f>
        <v>0</v>
      </c>
      <c r="AR729" s="1194">
        <f t="shared" si="163"/>
        <v>0</v>
      </c>
      <c r="AS729" s="1194">
        <f t="shared" si="164"/>
        <v>0</v>
      </c>
      <c r="AT729" s="1194">
        <f t="shared" si="165"/>
        <v>1</v>
      </c>
      <c r="AU729" s="1194" t="str">
        <f t="shared" si="166"/>
        <v>.</v>
      </c>
      <c r="AV729" s="1194" t="str">
        <f t="shared" si="157"/>
        <v>.</v>
      </c>
      <c r="AW729" s="1194" t="str">
        <f t="shared" si="167"/>
        <v>.</v>
      </c>
      <c r="AX729" s="1194">
        <f>IFERROR(VLOOKUP(B729,'Share, Heavy Weapons to Ukraine'!B:Z,COLUMN('Share, Heavy Weapons to Ukraine'!C739)-1,0),0)</f>
        <v>0</v>
      </c>
      <c r="AY729" s="1194">
        <f>VLOOKUP('Bilateral Assistance, MAIN DATA'!B729,'Country Summary (€)'!B:F,COLUMN('Country Summary (€)'!C740)-1,FALSE)</f>
        <v>1</v>
      </c>
      <c r="AZ729" s="1194" t="str">
        <f>IF(AND(AD729=1,D729="Military",H729&lt;&gt;"Not given")=TRUE,IF(SUMIFS(P:P,A:A,A729)&gt;0,ABS((SUMIFS(P:P,A:A,A729)/VLOOKUP("USD",'Exchange Rates'!B:C,2,0)))/S729,"."),".")</f>
        <v>.</v>
      </c>
      <c r="BA729" s="1196" t="str">
        <f>IF(AND(AD729=1,D729="Military",H729&lt;&gt;"Not given")=TRUE,IF(SUMIFS(P:P,A:A,A729)&gt;0,IF((ABS((SUMIFS(P:P,A:A,A729)/VLOOKUP("USD",'Exchange Rates'!B:C,2,0)))/S729)&gt;1,(SUMIFS(P:P,A:A,A729)-S729)/S729,(S729-SUMIFS(P:P,A:A,A729))/SUMIFS(P:P,A:A,A729)),"."),".")</f>
        <v>.</v>
      </c>
    </row>
    <row r="730" spans="1:53" ht="15.95" customHeight="1">
      <c r="A730" s="1182" t="s">
        <v>2027</v>
      </c>
      <c r="B730" s="1182" t="s">
        <v>2028</v>
      </c>
      <c r="C730" s="1181">
        <v>44619</v>
      </c>
      <c r="D730" s="1182" t="s">
        <v>360</v>
      </c>
      <c r="E730" s="1182" t="s">
        <v>371</v>
      </c>
      <c r="F730" s="1183" t="s">
        <v>2029</v>
      </c>
      <c r="G730" s="1184" t="s">
        <v>456</v>
      </c>
      <c r="H730" s="1185" t="s">
        <v>457</v>
      </c>
      <c r="I730" s="1180" t="s">
        <v>2030</v>
      </c>
      <c r="J730" s="1186" t="str">
        <f>VLOOKUP($I730,'Price List, Weapons &amp; Items'!B:C,2,0)</f>
        <v>Humanitarian</v>
      </c>
      <c r="K730" s="1186" t="str">
        <f>IF(I730=".",I730,VLOOKUP($I730,'Price List, Weapons &amp; Items'!B:D,3,0))</f>
        <v>Humanitarian</v>
      </c>
      <c r="L730" s="1187">
        <f>VLOOKUP(I730,'Price List, Weapons &amp; Items'!B:E,4,0)</f>
        <v>0</v>
      </c>
      <c r="M730" s="1188">
        <v>32000</v>
      </c>
      <c r="N730" s="1188" t="s">
        <v>374</v>
      </c>
      <c r="O730" s="1188">
        <f>VLOOKUP($I730,'Price List, Weapons &amp; Items'!B:G,6,0)</f>
        <v>1.35</v>
      </c>
      <c r="P730" s="1185">
        <f t="shared" si="158"/>
        <v>43200</v>
      </c>
      <c r="Q730" s="1185" t="str">
        <f t="shared" si="159"/>
        <v>.</v>
      </c>
      <c r="R730" s="1185">
        <f t="shared" si="155"/>
        <v>198960</v>
      </c>
      <c r="S730" s="1185">
        <f>IF(AND(AD730=1,R730&lt;&gt;".")=TRUE,R730/VLOOKUP(G730,'Exchange Rates'!B:C,2,0),IF(R730=".",".",""))</f>
        <v>183069.56201693043</v>
      </c>
      <c r="T730" s="1185" t="str">
        <f>IF(AD730=1,IF(AF730="Value is not given at all",".",IF(AF730="Value is given by the source",S730,IF(AF730="Value is calculated with prices",(IF(SUMIFS(Q:Q,A:A,A730)&gt;0,SUMIFS(Q:Q,A:A,A730),"."))/VLOOKUP("USD",'Exchange Rates'!B:C,2,0),"Error with coding"))),"")</f>
        <v>.</v>
      </c>
      <c r="U730" s="1184" t="s">
        <v>675</v>
      </c>
      <c r="V730" s="974" t="s">
        <v>2031</v>
      </c>
      <c r="W730" s="974" t="s">
        <v>2032</v>
      </c>
      <c r="X730" s="1183" t="s">
        <v>364</v>
      </c>
      <c r="Y730" s="1183" t="s">
        <v>364</v>
      </c>
      <c r="Z730" s="1184">
        <v>0</v>
      </c>
      <c r="AA730" s="1194">
        <v>0</v>
      </c>
      <c r="AB730" s="1201" t="s">
        <v>364</v>
      </c>
      <c r="AC730" s="1192" t="str">
        <f>""</f>
        <v/>
      </c>
      <c r="AD730" s="1193">
        <v>1</v>
      </c>
      <c r="AE730" s="1193" t="s">
        <v>436</v>
      </c>
      <c r="AF730" s="1193" t="s">
        <v>369</v>
      </c>
      <c r="AG730" s="1193">
        <v>1</v>
      </c>
      <c r="AH730" s="1193">
        <v>2</v>
      </c>
      <c r="AI730" s="1193">
        <v>0</v>
      </c>
      <c r="AJ730" s="1193">
        <f>VLOOKUP($I730,'Price List, Weapons &amp; Items'!B:F,5,0)</f>
        <v>0</v>
      </c>
      <c r="AK730" s="1193">
        <f t="shared" si="160"/>
        <v>0</v>
      </c>
      <c r="AL730" s="1193">
        <f t="shared" si="161"/>
        <v>0</v>
      </c>
      <c r="AM730" s="1193">
        <f t="shared" si="162"/>
        <v>0</v>
      </c>
      <c r="AN730" s="1194" t="str">
        <f>VLOOKUP($I730,'Price List, Weapons &amp; Items'!B:L,COLUMN('Price List, Weapons &amp; Items'!$J$11)-1,0)</f>
        <v>Miscellaneous</v>
      </c>
      <c r="AO730" s="1194" t="str">
        <f>IF(I730=".",".",VLOOKUP($I730,'Price List, Weapons &amp; Items'!B:J,3,0))</f>
        <v>Humanitarian</v>
      </c>
      <c r="AP730" s="1195" t="str">
        <f t="shared" ca="1" si="156"/>
        <v>liter of diesel H</v>
      </c>
      <c r="AQ730" s="1194">
        <f>VLOOKUP($I730,'Price List, Weapons &amp; Items'!B:L,COLUMN('Price List, Weapons &amp; Items'!$L$11)-1,0)</f>
        <v>0</v>
      </c>
      <c r="AR730" s="1194">
        <f t="shared" si="163"/>
        <v>0</v>
      </c>
      <c r="AS730" s="1194">
        <f t="shared" si="164"/>
        <v>0</v>
      </c>
      <c r="AT730" s="1194">
        <f t="shared" si="165"/>
        <v>1</v>
      </c>
      <c r="AU730" s="1194" t="str">
        <f t="shared" si="166"/>
        <v>.</v>
      </c>
      <c r="AV730" s="1194" t="str">
        <f t="shared" si="157"/>
        <v>.</v>
      </c>
      <c r="AW730" s="1194" t="str">
        <f t="shared" si="167"/>
        <v>.</v>
      </c>
      <c r="AX730" s="1194">
        <f>IFERROR(VLOOKUP(B730,'Share, Heavy Weapons to Ukraine'!B:Z,COLUMN('Share, Heavy Weapons to Ukraine'!C740)-1,0),0)</f>
        <v>0</v>
      </c>
      <c r="AY730" s="1194">
        <f>VLOOKUP('Bilateral Assistance, MAIN DATA'!B730,'Country Summary (€)'!B:F,COLUMN('Country Summary (€)'!C741)-1,FALSE)</f>
        <v>1</v>
      </c>
      <c r="AZ730" s="1194" t="str">
        <f>IF(AND(AD730=1,D730="Military",H730&lt;&gt;"Not given")=TRUE,IF(SUMIFS(P:P,A:A,A730)&gt;0,ABS((SUMIFS(P:P,A:A,A730)/VLOOKUP("USD",'Exchange Rates'!B:C,2,0)))/S730,"."),".")</f>
        <v>.</v>
      </c>
      <c r="BA730" s="1196" t="str">
        <f>IF(AND(AD730=1,D730="Military",H730&lt;&gt;"Not given")=TRUE,IF(SUMIFS(P:P,A:A,A730)&gt;0,IF((ABS((SUMIFS(P:P,A:A,A730)/VLOOKUP("USD",'Exchange Rates'!B:C,2,0)))/S730)&gt;1,(SUMIFS(P:P,A:A,A730)-S730)/S730,(S730-SUMIFS(P:P,A:A,A730))/SUMIFS(P:P,A:A,A730)),"."),".")</f>
        <v>.</v>
      </c>
    </row>
    <row r="731" spans="1:53" ht="15.95" customHeight="1">
      <c r="A731" s="1182" t="s">
        <v>2027</v>
      </c>
      <c r="B731" s="1182" t="s">
        <v>2028</v>
      </c>
      <c r="C731" s="1181">
        <v>44619</v>
      </c>
      <c r="D731" s="1182" t="s">
        <v>360</v>
      </c>
      <c r="E731" s="1182" t="s">
        <v>371</v>
      </c>
      <c r="F731" s="1183" t="s">
        <v>2029</v>
      </c>
      <c r="G731" s="1184" t="s">
        <v>456</v>
      </c>
      <c r="H731" s="1185" t="s">
        <v>457</v>
      </c>
      <c r="I731" s="1180" t="s">
        <v>2033</v>
      </c>
      <c r="J731" s="1186" t="str">
        <f>VLOOKUP($I731,'Price List, Weapons &amp; Items'!B:C,2,0)</f>
        <v>Humanitarian</v>
      </c>
      <c r="K731" s="1186" t="str">
        <f>IF(I731=".",I731,VLOOKUP($I731,'Price List, Weapons &amp; Items'!B:D,3,0))</f>
        <v>Humanitarian</v>
      </c>
      <c r="L731" s="1187">
        <f>VLOOKUP(I731,'Price List, Weapons &amp; Items'!B:E,4,0)</f>
        <v>0</v>
      </c>
      <c r="M731" s="1188">
        <v>68000</v>
      </c>
      <c r="N731" s="1188" t="s">
        <v>374</v>
      </c>
      <c r="O731" s="1188">
        <f>VLOOKUP($I731,'Price List, Weapons &amp; Items'!B:G,6,0)</f>
        <v>1.29</v>
      </c>
      <c r="P731" s="1185">
        <f t="shared" si="158"/>
        <v>87720</v>
      </c>
      <c r="Q731" s="1185" t="str">
        <f t="shared" si="159"/>
        <v>.</v>
      </c>
      <c r="R731" s="1185" t="str">
        <f t="shared" si="155"/>
        <v/>
      </c>
      <c r="S731" s="1185" t="str">
        <f>IF(AND(AD731=1,R731&lt;&gt;".")=TRUE,R731/VLOOKUP(G731,'Exchange Rates'!B:C,2,0),IF(R731=".",".",""))</f>
        <v/>
      </c>
      <c r="T731" s="1185" t="str">
        <f>IF(AD731=1,IF(AF731="Value is not given at all",".",IF(AF731="Value is given by the source",S731,IF(AF731="Value is calculated with prices",(IF(SUMIFS(Q:Q,A:A,A731)&gt;0,SUMIFS(Q:Q,A:A,A731),"."))/VLOOKUP("USD",'Exchange Rates'!B:C,2,0),"Error with coding"))),"")</f>
        <v/>
      </c>
      <c r="U731" s="1184" t="s">
        <v>675</v>
      </c>
      <c r="V731" s="974" t="s">
        <v>2031</v>
      </c>
      <c r="W731" s="974" t="s">
        <v>2032</v>
      </c>
      <c r="X731" s="1183" t="s">
        <v>364</v>
      </c>
      <c r="Y731" s="1183" t="s">
        <v>364</v>
      </c>
      <c r="Z731" s="1184">
        <v>0</v>
      </c>
      <c r="AA731" s="1194">
        <v>0</v>
      </c>
      <c r="AB731" s="1201" t="s">
        <v>364</v>
      </c>
      <c r="AC731" s="1192" t="str">
        <f>""</f>
        <v/>
      </c>
      <c r="AD731" s="1193">
        <v>0</v>
      </c>
      <c r="AE731" s="1193" t="s">
        <v>436</v>
      </c>
      <c r="AF731" s="1193" t="s">
        <v>369</v>
      </c>
      <c r="AG731" s="1193">
        <v>1</v>
      </c>
      <c r="AH731" s="1193">
        <v>2</v>
      </c>
      <c r="AI731" s="1193">
        <v>0</v>
      </c>
      <c r="AJ731" s="1193">
        <f>VLOOKUP($I731,'Price List, Weapons &amp; Items'!B:F,5,0)</f>
        <v>0</v>
      </c>
      <c r="AK731" s="1193">
        <f t="shared" si="160"/>
        <v>0</v>
      </c>
      <c r="AL731" s="1193">
        <f t="shared" si="161"/>
        <v>0</v>
      </c>
      <c r="AM731" s="1193">
        <f t="shared" si="162"/>
        <v>0</v>
      </c>
      <c r="AN731" s="1194" t="str">
        <f>VLOOKUP($I731,'Price List, Weapons &amp; Items'!B:L,COLUMN('Price List, Weapons &amp; Items'!$J$11)-1,0)</f>
        <v>Miscellaneous</v>
      </c>
      <c r="AO731" s="1194" t="str">
        <f>IF(I731=".",".",VLOOKUP($I731,'Price List, Weapons &amp; Items'!B:J,3,0))</f>
        <v>Humanitarian</v>
      </c>
      <c r="AP731" s="1195" t="str">
        <f t="shared" ca="1" si="156"/>
        <v/>
      </c>
      <c r="AQ731" s="1194">
        <f>VLOOKUP($I731,'Price List, Weapons &amp; Items'!B:L,COLUMN('Price List, Weapons &amp; Items'!$L$11)-1,0)</f>
        <v>0</v>
      </c>
      <c r="AR731" s="1194">
        <f t="shared" si="163"/>
        <v>0</v>
      </c>
      <c r="AS731" s="1194">
        <f t="shared" si="164"/>
        <v>0</v>
      </c>
      <c r="AT731" s="1194">
        <f t="shared" si="165"/>
        <v>1</v>
      </c>
      <c r="AU731" s="1194" t="str">
        <f t="shared" si="166"/>
        <v>.</v>
      </c>
      <c r="AV731" s="1194" t="str">
        <f t="shared" si="157"/>
        <v>.</v>
      </c>
      <c r="AW731" s="1194" t="str">
        <f t="shared" si="167"/>
        <v>.</v>
      </c>
      <c r="AX731" s="1194">
        <f>IFERROR(VLOOKUP(B731,'Share, Heavy Weapons to Ukraine'!B:Z,COLUMN('Share, Heavy Weapons to Ukraine'!C741)-1,0),0)</f>
        <v>0</v>
      </c>
      <c r="AY731" s="1194">
        <f>VLOOKUP('Bilateral Assistance, MAIN DATA'!B731,'Country Summary (€)'!B:F,COLUMN('Country Summary (€)'!C742)-1,FALSE)</f>
        <v>1</v>
      </c>
      <c r="AZ731" s="1194" t="str">
        <f>IF(AND(AD731=1,D731="Military",H731&lt;&gt;"Not given")=TRUE,IF(SUMIFS(P:P,A:A,A731)&gt;0,ABS((SUMIFS(P:P,A:A,A731)/VLOOKUP("USD",'Exchange Rates'!B:C,2,0)))/S731,"."),".")</f>
        <v>.</v>
      </c>
      <c r="BA731" s="1196" t="str">
        <f>IF(AND(AD731=1,D731="Military",H731&lt;&gt;"Not given")=TRUE,IF(SUMIFS(P:P,A:A,A731)&gt;0,IF((ABS((SUMIFS(P:P,A:A,A731)/VLOOKUP("USD",'Exchange Rates'!B:C,2,0)))/S731)&gt;1,(SUMIFS(P:P,A:A,A731)-S731)/S731,(S731-SUMIFS(P:P,A:A,A731))/SUMIFS(P:P,A:A,A731)),"."),".")</f>
        <v>.</v>
      </c>
    </row>
    <row r="732" spans="1:53" ht="15.95" customHeight="1">
      <c r="A732" s="1182" t="s">
        <v>2027</v>
      </c>
      <c r="B732" s="1182" t="s">
        <v>2028</v>
      </c>
      <c r="C732" s="1181">
        <v>44619</v>
      </c>
      <c r="D732" s="1182" t="s">
        <v>360</v>
      </c>
      <c r="E732" s="1182" t="s">
        <v>371</v>
      </c>
      <c r="F732" s="1183" t="s">
        <v>2029</v>
      </c>
      <c r="G732" s="1184" t="s">
        <v>456</v>
      </c>
      <c r="H732" s="1185" t="s">
        <v>457</v>
      </c>
      <c r="I732" s="1180" t="s">
        <v>983</v>
      </c>
      <c r="J732" s="1186" t="str">
        <f>VLOOKUP($I732,'Price List, Weapons &amp; Items'!B:C,2,0)</f>
        <v>Humanitarian</v>
      </c>
      <c r="K732" s="1186" t="str">
        <f>IF(I732=".",I732,VLOOKUP($I732,'Price List, Weapons &amp; Items'!B:D,3,0))</f>
        <v>Humanitarian</v>
      </c>
      <c r="L732" s="1187">
        <f>VLOOKUP(I732,'Price List, Weapons &amp; Items'!B:E,4,0)</f>
        <v>0</v>
      </c>
      <c r="M732" s="1188">
        <v>28</v>
      </c>
      <c r="N732" s="1188" t="s">
        <v>374</v>
      </c>
      <c r="O732" s="1188">
        <f>VLOOKUP($I732,'Price List, Weapons &amp; Items'!B:G,6,0)</f>
        <v>2430</v>
      </c>
      <c r="P732" s="1185">
        <f t="shared" si="158"/>
        <v>68040</v>
      </c>
      <c r="Q732" s="1185" t="str">
        <f t="shared" si="159"/>
        <v>.</v>
      </c>
      <c r="R732" s="1185" t="str">
        <f t="shared" si="155"/>
        <v/>
      </c>
      <c r="S732" s="1185" t="str">
        <f>IF(AND(AD732=1,R732&lt;&gt;".")=TRUE,R732/VLOOKUP(G732,'Exchange Rates'!B:C,2,0),IF(R732=".",".",""))</f>
        <v/>
      </c>
      <c r="T732" s="1185" t="str">
        <f>IF(AD732=1,IF(AF732="Value is not given at all",".",IF(AF732="Value is given by the source",S732,IF(AF732="Value is calculated with prices",(IF(SUMIFS(Q:Q,A:A,A732)&gt;0,SUMIFS(Q:Q,A:A,A732),"."))/VLOOKUP("USD",'Exchange Rates'!B:C,2,0),"Error with coding"))),"")</f>
        <v/>
      </c>
      <c r="U732" s="1184" t="s">
        <v>675</v>
      </c>
      <c r="V732" s="974" t="s">
        <v>2031</v>
      </c>
      <c r="W732" s="974" t="s">
        <v>2032</v>
      </c>
      <c r="X732" s="1183" t="s">
        <v>364</v>
      </c>
      <c r="Y732" s="1183" t="s">
        <v>364</v>
      </c>
      <c r="Z732" s="1184">
        <v>0</v>
      </c>
      <c r="AA732" s="1194">
        <v>0</v>
      </c>
      <c r="AB732" s="1201" t="s">
        <v>364</v>
      </c>
      <c r="AC732" s="1192" t="str">
        <f>""</f>
        <v/>
      </c>
      <c r="AD732" s="1193">
        <v>0</v>
      </c>
      <c r="AE732" s="1193" t="s">
        <v>436</v>
      </c>
      <c r="AF732" s="1193" t="s">
        <v>369</v>
      </c>
      <c r="AG732" s="1193">
        <v>1</v>
      </c>
      <c r="AH732" s="1193">
        <v>2</v>
      </c>
      <c r="AI732" s="1193">
        <v>0</v>
      </c>
      <c r="AJ732" s="1193">
        <f>VLOOKUP($I732,'Price List, Weapons &amp; Items'!B:F,5,0)</f>
        <v>0</v>
      </c>
      <c r="AK732" s="1193">
        <f t="shared" si="160"/>
        <v>0</v>
      </c>
      <c r="AL732" s="1193">
        <f t="shared" si="161"/>
        <v>0</v>
      </c>
      <c r="AM732" s="1193">
        <f t="shared" si="162"/>
        <v>0</v>
      </c>
      <c r="AN732" s="1194" t="str">
        <f>VLOOKUP($I732,'Price List, Weapons &amp; Items'!B:L,COLUMN('Price List, Weapons &amp; Items'!$J$11)-1,0)</f>
        <v>Government information</v>
      </c>
      <c r="AO732" s="1194" t="str">
        <f>IF(I732=".",".",VLOOKUP($I732,'Price List, Weapons &amp; Items'!B:J,3,0))</f>
        <v>Humanitarian</v>
      </c>
      <c r="AP732" s="1195" t="str">
        <f t="shared" ca="1" si="156"/>
        <v/>
      </c>
      <c r="AQ732" s="1194">
        <f>VLOOKUP($I732,'Price List, Weapons &amp; Items'!B:L,COLUMN('Price List, Weapons &amp; Items'!$L$11)-1,0)</f>
        <v>0</v>
      </c>
      <c r="AR732" s="1194">
        <f t="shared" si="163"/>
        <v>0</v>
      </c>
      <c r="AS732" s="1194">
        <f t="shared" si="164"/>
        <v>0</v>
      </c>
      <c r="AT732" s="1194">
        <f t="shared" si="165"/>
        <v>1</v>
      </c>
      <c r="AU732" s="1194" t="str">
        <f t="shared" si="166"/>
        <v>.</v>
      </c>
      <c r="AV732" s="1194" t="str">
        <f t="shared" si="157"/>
        <v>.</v>
      </c>
      <c r="AW732" s="1194" t="str">
        <f t="shared" si="167"/>
        <v>.</v>
      </c>
      <c r="AX732" s="1194">
        <f>IFERROR(VLOOKUP(B732,'Share, Heavy Weapons to Ukraine'!B:Z,COLUMN('Share, Heavy Weapons to Ukraine'!C742)-1,0),0)</f>
        <v>0</v>
      </c>
      <c r="AY732" s="1194">
        <f>VLOOKUP('Bilateral Assistance, MAIN DATA'!B732,'Country Summary (€)'!B:F,COLUMN('Country Summary (€)'!C743)-1,FALSE)</f>
        <v>1</v>
      </c>
      <c r="AZ732" s="1194" t="str">
        <f>IF(AND(AD732=1,D732="Military",H732&lt;&gt;"Not given")=TRUE,IF(SUMIFS(P:P,A:A,A732)&gt;0,ABS((SUMIFS(P:P,A:A,A732)/VLOOKUP("USD",'Exchange Rates'!B:C,2,0)))/S732,"."),".")</f>
        <v>.</v>
      </c>
      <c r="BA732" s="1196" t="str">
        <f>IF(AND(AD732=1,D732="Military",H732&lt;&gt;"Not given")=TRUE,IF(SUMIFS(P:P,A:A,A732)&gt;0,IF((ABS((SUMIFS(P:P,A:A,A732)/VLOOKUP("USD",'Exchange Rates'!B:C,2,0)))/S732)&gt;1,(SUMIFS(P:P,A:A,A732)-S732)/S732,(S732-SUMIFS(P:P,A:A,A732))/SUMIFS(P:P,A:A,A732)),"."),".")</f>
        <v>.</v>
      </c>
    </row>
    <row r="733" spans="1:53" ht="15.95" customHeight="1">
      <c r="A733" s="1182" t="s">
        <v>2034</v>
      </c>
      <c r="B733" s="1182" t="s">
        <v>2028</v>
      </c>
      <c r="C733" s="1181">
        <v>44641</v>
      </c>
      <c r="D733" s="1182" t="s">
        <v>360</v>
      </c>
      <c r="E733" s="1182" t="s">
        <v>371</v>
      </c>
      <c r="F733" s="1183" t="s">
        <v>2035</v>
      </c>
      <c r="G733" s="1184" t="s">
        <v>456</v>
      </c>
      <c r="H733" s="1185" t="s">
        <v>457</v>
      </c>
      <c r="I733" s="1180" t="s">
        <v>2036</v>
      </c>
      <c r="J733" s="1186" t="str">
        <f>VLOOKUP($I733,'Price List, Weapons &amp; Items'!B:C,2,0)</f>
        <v>Humanitarian</v>
      </c>
      <c r="K733" s="1186" t="str">
        <f>IF(I733=".",I733,VLOOKUP($I733,'Price List, Weapons &amp; Items'!B:D,3,0))</f>
        <v>Humanitarian</v>
      </c>
      <c r="L733" s="1187">
        <f>VLOOKUP(I733,'Price List, Weapons &amp; Items'!B:E,4,0)</f>
        <v>0</v>
      </c>
      <c r="M733" s="1188">
        <v>200</v>
      </c>
      <c r="N733" s="1188" t="s">
        <v>374</v>
      </c>
      <c r="O733" s="1188">
        <f>VLOOKUP($I733,'Price List, Weapons &amp; Items'!B:G,6,0)</f>
        <v>27500</v>
      </c>
      <c r="P733" s="1185">
        <f t="shared" si="158"/>
        <v>5500000</v>
      </c>
      <c r="Q733" s="1185" t="str">
        <f t="shared" si="159"/>
        <v>.</v>
      </c>
      <c r="R733" s="1185">
        <f t="shared" si="155"/>
        <v>6549500</v>
      </c>
      <c r="S733" s="1185">
        <f>IF(AND(AD733=1,R733&lt;&gt;".")=TRUE,R733/VLOOKUP(G733,'Exchange Rates'!B:C,2,0),IF(R733=".",".",""))</f>
        <v>6026407.8027235921</v>
      </c>
      <c r="T733" s="1185" t="str">
        <f>IF(AD733=1,IF(AF733="Value is not given at all",".",IF(AF733="Value is given by the source",S733,IF(AF733="Value is calculated with prices",(IF(SUMIFS(Q:Q,A:A,A733)&gt;0,SUMIFS(Q:Q,A:A,A733),"."))/VLOOKUP("USD",'Exchange Rates'!B:C,2,0),"Error with coding"))),"")</f>
        <v>.</v>
      </c>
      <c r="U733" s="1184" t="s">
        <v>365</v>
      </c>
      <c r="V733" s="974" t="s">
        <v>2037</v>
      </c>
      <c r="W733" s="974" t="s">
        <v>2038</v>
      </c>
      <c r="X733" s="1183" t="s">
        <v>364</v>
      </c>
      <c r="Y733" s="1183" t="s">
        <v>364</v>
      </c>
      <c r="Z733" s="1184">
        <v>0</v>
      </c>
      <c r="AA733" s="1194">
        <v>0</v>
      </c>
      <c r="AB733" s="1201" t="s">
        <v>364</v>
      </c>
      <c r="AC733" s="1192" t="str">
        <f>""</f>
        <v/>
      </c>
      <c r="AD733" s="1193">
        <v>1</v>
      </c>
      <c r="AE733" s="1193" t="s">
        <v>436</v>
      </c>
      <c r="AF733" s="1193" t="s">
        <v>369</v>
      </c>
      <c r="AG733" s="1193">
        <v>1</v>
      </c>
      <c r="AH733" s="1193">
        <v>3</v>
      </c>
      <c r="AI733" s="1193">
        <v>0</v>
      </c>
      <c r="AJ733" s="1193">
        <f>VLOOKUP($I733,'Price List, Weapons &amp; Items'!B:F,5,0)</f>
        <v>0</v>
      </c>
      <c r="AK733" s="1193">
        <f t="shared" si="160"/>
        <v>0</v>
      </c>
      <c r="AL733" s="1193">
        <f t="shared" si="161"/>
        <v>0</v>
      </c>
      <c r="AM733" s="1193">
        <f t="shared" si="162"/>
        <v>0</v>
      </c>
      <c r="AN733" s="1194" t="str">
        <f>VLOOKUP($I733,'Price List, Weapons &amp; Items'!B:L,COLUMN('Price List, Weapons &amp; Items'!$J$11)-1,0)</f>
        <v>Miscellaneous</v>
      </c>
      <c r="AO733" s="1194" t="str">
        <f>IF(I733=".",".",VLOOKUP($I733,'Price List, Weapons &amp; Items'!B:J,3,0))</f>
        <v>Humanitarian</v>
      </c>
      <c r="AP733" s="1195" t="str">
        <f t="shared" ca="1" si="156"/>
        <v>ventilator</v>
      </c>
      <c r="AQ733" s="1194">
        <f>VLOOKUP($I733,'Price List, Weapons &amp; Items'!B:L,COLUMN('Price List, Weapons &amp; Items'!$L$11)-1,0)</f>
        <v>0</v>
      </c>
      <c r="AR733" s="1194">
        <f t="shared" si="163"/>
        <v>1</v>
      </c>
      <c r="AS733" s="1194">
        <f t="shared" si="164"/>
        <v>0</v>
      </c>
      <c r="AT733" s="1194">
        <f t="shared" si="165"/>
        <v>1</v>
      </c>
      <c r="AU733" s="1194" t="str">
        <f t="shared" si="166"/>
        <v>.</v>
      </c>
      <c r="AV733" s="1194" t="str">
        <f t="shared" si="157"/>
        <v>.</v>
      </c>
      <c r="AW733" s="1194" t="str">
        <f t="shared" si="167"/>
        <v>.</v>
      </c>
      <c r="AX733" s="1194">
        <f>IFERROR(VLOOKUP(B733,'Share, Heavy Weapons to Ukraine'!B:Z,COLUMN('Share, Heavy Weapons to Ukraine'!C743)-1,0),0)</f>
        <v>0</v>
      </c>
      <c r="AY733" s="1194">
        <f>VLOOKUP('Bilateral Assistance, MAIN DATA'!B733,'Country Summary (€)'!B:F,COLUMN('Country Summary (€)'!C744)-1,FALSE)</f>
        <v>1</v>
      </c>
      <c r="AZ733" s="1194" t="str">
        <f>IF(AND(AD733=1,D733="Military",H733&lt;&gt;"Not given")=TRUE,IF(SUMIFS(P:P,A:A,A733)&gt;0,ABS((SUMIFS(P:P,A:A,A733)/VLOOKUP("USD",'Exchange Rates'!B:C,2,0)))/S733,"."),".")</f>
        <v>.</v>
      </c>
      <c r="BA733" s="1196" t="str">
        <f>IF(AND(AD733=1,D733="Military",H733&lt;&gt;"Not given")=TRUE,IF(SUMIFS(P:P,A:A,A733)&gt;0,IF((ABS((SUMIFS(P:P,A:A,A733)/VLOOKUP("USD",'Exchange Rates'!B:C,2,0)))/S733)&gt;1,(SUMIFS(P:P,A:A,A733)-S733)/S733,(S733-SUMIFS(P:P,A:A,A733))/SUMIFS(P:P,A:A,A733)),"."),".")</f>
        <v>.</v>
      </c>
    </row>
    <row r="734" spans="1:53" ht="15.95" customHeight="1">
      <c r="A734" s="1182" t="s">
        <v>2034</v>
      </c>
      <c r="B734" s="1182" t="s">
        <v>2028</v>
      </c>
      <c r="C734" s="1181">
        <v>44641</v>
      </c>
      <c r="D734" s="1182" t="s">
        <v>360</v>
      </c>
      <c r="E734" s="1182" t="s">
        <v>371</v>
      </c>
      <c r="F734" s="1183" t="s">
        <v>2035</v>
      </c>
      <c r="G734" s="1184" t="s">
        <v>456</v>
      </c>
      <c r="H734" s="1185" t="s">
        <v>457</v>
      </c>
      <c r="I734" s="1180" t="s">
        <v>2039</v>
      </c>
      <c r="J734" s="1186" t="str">
        <f>VLOOKUP($I734,'Price List, Weapons &amp; Items'!B:C,2,0)</f>
        <v>Humanitarian</v>
      </c>
      <c r="K734" s="1186" t="str">
        <f>IF(I734=".",I734,VLOOKUP($I734,'Price List, Weapons &amp; Items'!B:D,3,0))</f>
        <v>Humanitarian</v>
      </c>
      <c r="L734" s="1187">
        <f>VLOOKUP(I734,'Price List, Weapons &amp; Items'!B:E,4,0)</f>
        <v>0</v>
      </c>
      <c r="M734" s="1188">
        <v>250</v>
      </c>
      <c r="N734" s="1188" t="s">
        <v>374</v>
      </c>
      <c r="O734" s="1188">
        <f>VLOOKUP($I734,'Price List, Weapons &amp; Items'!B:G,6,0)</f>
        <v>4173</v>
      </c>
      <c r="P734" s="1185">
        <f t="shared" si="158"/>
        <v>1043250</v>
      </c>
      <c r="Q734" s="1185" t="str">
        <f t="shared" si="159"/>
        <v>.</v>
      </c>
      <c r="R734" s="1185" t="str">
        <f t="shared" si="155"/>
        <v/>
      </c>
      <c r="S734" s="1185" t="str">
        <f>IF(AND(AD734=1,R734&lt;&gt;".")=TRUE,R734/VLOOKUP(G734,'Exchange Rates'!B:C,2,0),IF(R734=".",".",""))</f>
        <v/>
      </c>
      <c r="T734" s="1185" t="str">
        <f>IF(AD734=1,IF(AF734="Value is not given at all",".",IF(AF734="Value is given by the source",S734,IF(AF734="Value is calculated with prices",(IF(SUMIFS(Q:Q,A:A,A734)&gt;0,SUMIFS(Q:Q,A:A,A734),"."))/VLOOKUP("USD",'Exchange Rates'!B:C,2,0),"Error with coding"))),"")</f>
        <v/>
      </c>
      <c r="U734" s="1184" t="s">
        <v>365</v>
      </c>
      <c r="V734" s="974" t="s">
        <v>2037</v>
      </c>
      <c r="W734" s="974" t="s">
        <v>2038</v>
      </c>
      <c r="X734" s="1183" t="s">
        <v>364</v>
      </c>
      <c r="Y734" s="1183" t="s">
        <v>364</v>
      </c>
      <c r="Z734" s="1184">
        <v>0</v>
      </c>
      <c r="AA734" s="1194">
        <v>0</v>
      </c>
      <c r="AB734" s="1201" t="s">
        <v>364</v>
      </c>
      <c r="AC734" s="1192" t="str">
        <f>""</f>
        <v/>
      </c>
      <c r="AD734" s="1193">
        <v>0</v>
      </c>
      <c r="AE734" s="1193" t="s">
        <v>436</v>
      </c>
      <c r="AF734" s="1193" t="s">
        <v>369</v>
      </c>
      <c r="AG734" s="1193">
        <v>1</v>
      </c>
      <c r="AH734" s="1193">
        <v>3</v>
      </c>
      <c r="AI734" s="1193">
        <v>0</v>
      </c>
      <c r="AJ734" s="1193">
        <f>VLOOKUP($I734,'Price List, Weapons &amp; Items'!B:F,5,0)</f>
        <v>0</v>
      </c>
      <c r="AK734" s="1193">
        <f t="shared" si="160"/>
        <v>0</v>
      </c>
      <c r="AL734" s="1193">
        <f t="shared" si="161"/>
        <v>0</v>
      </c>
      <c r="AM734" s="1193">
        <f t="shared" si="162"/>
        <v>0</v>
      </c>
      <c r="AN734" s="1194" t="str">
        <f>VLOOKUP($I734,'Price List, Weapons &amp; Items'!B:L,COLUMN('Price List, Weapons &amp; Items'!$J$11)-1,0)</f>
        <v>Miscellaneous</v>
      </c>
      <c r="AO734" s="1194" t="str">
        <f>IF(I734=".",".",VLOOKUP($I734,'Price List, Weapons &amp; Items'!B:J,3,0))</f>
        <v>Humanitarian</v>
      </c>
      <c r="AP734" s="1195" t="str">
        <f t="shared" ca="1" si="156"/>
        <v/>
      </c>
      <c r="AQ734" s="1194">
        <f>VLOOKUP($I734,'Price List, Weapons &amp; Items'!B:L,COLUMN('Price List, Weapons &amp; Items'!$L$11)-1,0)</f>
        <v>0</v>
      </c>
      <c r="AR734" s="1194">
        <f t="shared" si="163"/>
        <v>1</v>
      </c>
      <c r="AS734" s="1194">
        <f t="shared" si="164"/>
        <v>0</v>
      </c>
      <c r="AT734" s="1194">
        <f t="shared" si="165"/>
        <v>1</v>
      </c>
      <c r="AU734" s="1194" t="str">
        <f t="shared" si="166"/>
        <v>.</v>
      </c>
      <c r="AV734" s="1194" t="str">
        <f t="shared" si="157"/>
        <v>.</v>
      </c>
      <c r="AW734" s="1194" t="str">
        <f t="shared" si="167"/>
        <v>.</v>
      </c>
      <c r="AX734" s="1194">
        <f>IFERROR(VLOOKUP(B734,'Share, Heavy Weapons to Ukraine'!B:Z,COLUMN('Share, Heavy Weapons to Ukraine'!C744)-1,0),0)</f>
        <v>0</v>
      </c>
      <c r="AY734" s="1194">
        <f>VLOOKUP('Bilateral Assistance, MAIN DATA'!B734,'Country Summary (€)'!B:F,COLUMN('Country Summary (€)'!C745)-1,FALSE)</f>
        <v>1</v>
      </c>
      <c r="AZ734" s="1194" t="str">
        <f>IF(AND(AD734=1,D734="Military",H734&lt;&gt;"Not given")=TRUE,IF(SUMIFS(P:P,A:A,A734)&gt;0,ABS((SUMIFS(P:P,A:A,A734)/VLOOKUP("USD",'Exchange Rates'!B:C,2,0)))/S734,"."),".")</f>
        <v>.</v>
      </c>
      <c r="BA734" s="1196" t="str">
        <f>IF(AND(AD734=1,D734="Military",H734&lt;&gt;"Not given")=TRUE,IF(SUMIFS(P:P,A:A,A734)&gt;0,IF((ABS((SUMIFS(P:P,A:A,A734)/VLOOKUP("USD",'Exchange Rates'!B:C,2,0)))/S734)&gt;1,(SUMIFS(P:P,A:A,A734)-S734)/S734,(S734-SUMIFS(P:P,A:A,A734))/SUMIFS(P:P,A:A,A734)),"."),".")</f>
        <v>.</v>
      </c>
    </row>
    <row r="735" spans="1:53" ht="15.95" customHeight="1">
      <c r="A735" s="1182" t="s">
        <v>2034</v>
      </c>
      <c r="B735" s="1182" t="s">
        <v>2028</v>
      </c>
      <c r="C735" s="1181">
        <v>44641</v>
      </c>
      <c r="D735" s="1182" t="s">
        <v>360</v>
      </c>
      <c r="E735" s="1182" t="s">
        <v>371</v>
      </c>
      <c r="F735" s="1183" t="s">
        <v>2035</v>
      </c>
      <c r="G735" s="1184" t="s">
        <v>456</v>
      </c>
      <c r="H735" s="1185" t="s">
        <v>457</v>
      </c>
      <c r="I735" s="1180" t="s">
        <v>2040</v>
      </c>
      <c r="J735" s="1186" t="str">
        <f>VLOOKUP($I735,'Price List, Weapons &amp; Items'!B:C,2,0)</f>
        <v>Humanitarian</v>
      </c>
      <c r="K735" s="1186" t="str">
        <f>IF(I735=".",I735,VLOOKUP($I735,'Price List, Weapons &amp; Items'!B:D,3,0))</f>
        <v>Humanitarian</v>
      </c>
      <c r="L735" s="1187">
        <f>VLOOKUP(I735,'Price List, Weapons &amp; Items'!B:E,4,0)</f>
        <v>0</v>
      </c>
      <c r="M735" s="1188">
        <v>25</v>
      </c>
      <c r="N735" s="1188" t="s">
        <v>374</v>
      </c>
      <c r="O735" s="1188">
        <f>VLOOKUP($I735,'Price List, Weapons &amp; Items'!B:G,6,0)</f>
        <v>250</v>
      </c>
      <c r="P735" s="1185">
        <f t="shared" si="158"/>
        <v>6250</v>
      </c>
      <c r="Q735" s="1185" t="str">
        <f t="shared" si="159"/>
        <v>.</v>
      </c>
      <c r="R735" s="1185" t="str">
        <f t="shared" si="155"/>
        <v/>
      </c>
      <c r="S735" s="1185" t="str">
        <f>IF(AND(AD735=1,R735&lt;&gt;".")=TRUE,R735/VLOOKUP(G735,'Exchange Rates'!B:C,2,0),IF(R735=".",".",""))</f>
        <v/>
      </c>
      <c r="T735" s="1185" t="str">
        <f>IF(AD735=1,IF(AF735="Value is not given at all",".",IF(AF735="Value is given by the source",S735,IF(AF735="Value is calculated with prices",(IF(SUMIFS(Q:Q,A:A,A735)&gt;0,SUMIFS(Q:Q,A:A,A735),"."))/VLOOKUP("USD",'Exchange Rates'!B:C,2,0),"Error with coding"))),"")</f>
        <v/>
      </c>
      <c r="U735" s="1184" t="s">
        <v>365</v>
      </c>
      <c r="V735" s="974" t="s">
        <v>2037</v>
      </c>
      <c r="W735" s="974" t="s">
        <v>2038</v>
      </c>
      <c r="X735" s="1183" t="s">
        <v>364</v>
      </c>
      <c r="Y735" s="1183" t="s">
        <v>364</v>
      </c>
      <c r="Z735" s="1184">
        <v>0</v>
      </c>
      <c r="AA735" s="1194">
        <v>0</v>
      </c>
      <c r="AB735" s="1201" t="s">
        <v>364</v>
      </c>
      <c r="AC735" s="1192" t="str">
        <f>""</f>
        <v/>
      </c>
      <c r="AD735" s="1193">
        <v>0</v>
      </c>
      <c r="AE735" s="1193" t="s">
        <v>436</v>
      </c>
      <c r="AF735" s="1193" t="s">
        <v>369</v>
      </c>
      <c r="AG735" s="1193">
        <v>1</v>
      </c>
      <c r="AH735" s="1193">
        <v>3</v>
      </c>
      <c r="AI735" s="1193">
        <v>0</v>
      </c>
      <c r="AJ735" s="1193">
        <f>VLOOKUP($I735,'Price List, Weapons &amp; Items'!B:F,5,0)</f>
        <v>0</v>
      </c>
      <c r="AK735" s="1193">
        <f t="shared" si="160"/>
        <v>0</v>
      </c>
      <c r="AL735" s="1193">
        <f t="shared" si="161"/>
        <v>0</v>
      </c>
      <c r="AM735" s="1193">
        <f t="shared" si="162"/>
        <v>0</v>
      </c>
      <c r="AN735" s="1194" t="str">
        <f>VLOOKUP($I735,'Price List, Weapons &amp; Items'!B:L,COLUMN('Price List, Weapons &amp; Items'!$J$11)-1,0)</f>
        <v>Miscellaneous</v>
      </c>
      <c r="AO735" s="1194" t="str">
        <f>IF(I735=".",".",VLOOKUP($I735,'Price List, Weapons &amp; Items'!B:J,3,0))</f>
        <v>Humanitarian</v>
      </c>
      <c r="AP735" s="1195" t="str">
        <f t="shared" ca="1" si="156"/>
        <v/>
      </c>
      <c r="AQ735" s="1194">
        <f>VLOOKUP($I735,'Price List, Weapons &amp; Items'!B:L,COLUMN('Price List, Weapons &amp; Items'!$L$11)-1,0)</f>
        <v>0</v>
      </c>
      <c r="AR735" s="1194">
        <f t="shared" si="163"/>
        <v>1</v>
      </c>
      <c r="AS735" s="1194">
        <f t="shared" si="164"/>
        <v>0</v>
      </c>
      <c r="AT735" s="1194">
        <f t="shared" si="165"/>
        <v>1</v>
      </c>
      <c r="AU735" s="1194" t="str">
        <f t="shared" si="166"/>
        <v>.</v>
      </c>
      <c r="AV735" s="1194" t="str">
        <f t="shared" si="157"/>
        <v>.</v>
      </c>
      <c r="AW735" s="1194" t="str">
        <f t="shared" si="167"/>
        <v>.</v>
      </c>
      <c r="AX735" s="1194">
        <f>IFERROR(VLOOKUP(B735,'Share, Heavy Weapons to Ukraine'!B:Z,COLUMN('Share, Heavy Weapons to Ukraine'!C745)-1,0),0)</f>
        <v>0</v>
      </c>
      <c r="AY735" s="1194">
        <f>VLOOKUP('Bilateral Assistance, MAIN DATA'!B735,'Country Summary (€)'!B:F,COLUMN('Country Summary (€)'!C746)-1,FALSE)</f>
        <v>1</v>
      </c>
      <c r="AZ735" s="1194" t="str">
        <f>IF(AND(AD735=1,D735="Military",H735&lt;&gt;"Not given")=TRUE,IF(SUMIFS(P:P,A:A,A735)&gt;0,ABS((SUMIFS(P:P,A:A,A735)/VLOOKUP("USD",'Exchange Rates'!B:C,2,0)))/S735,"."),".")</f>
        <v>.</v>
      </c>
      <c r="BA735" s="1196" t="str">
        <f>IF(AND(AD735=1,D735="Military",H735&lt;&gt;"Not given")=TRUE,IF(SUMIFS(P:P,A:A,A735)&gt;0,IF((ABS((SUMIFS(P:P,A:A,A735)/VLOOKUP("USD",'Exchange Rates'!B:C,2,0)))/S735)&gt;1,(SUMIFS(P:P,A:A,A735)-S735)/S735,(S735-SUMIFS(P:P,A:A,A735))/SUMIFS(P:P,A:A,A735)),"."),".")</f>
        <v>.</v>
      </c>
    </row>
    <row r="736" spans="1:53" ht="15.95" customHeight="1">
      <c r="A736" s="1182" t="s">
        <v>2034</v>
      </c>
      <c r="B736" s="1182" t="s">
        <v>2028</v>
      </c>
      <c r="C736" s="1181">
        <v>44641</v>
      </c>
      <c r="D736" s="1182" t="s">
        <v>360</v>
      </c>
      <c r="E736" s="1182" t="s">
        <v>371</v>
      </c>
      <c r="F736" s="1183" t="s">
        <v>2035</v>
      </c>
      <c r="G736" s="1184" t="s">
        <v>456</v>
      </c>
      <c r="H736" s="1185" t="s">
        <v>457</v>
      </c>
      <c r="I736" s="1180" t="s">
        <v>2041</v>
      </c>
      <c r="J736" s="1186" t="str">
        <f>VLOOKUP($I736,'Price List, Weapons &amp; Items'!B:C,2,0)</f>
        <v>Humanitarian</v>
      </c>
      <c r="K736" s="1186" t="str">
        <f>IF(I736=".",I736,VLOOKUP($I736,'Price List, Weapons &amp; Items'!B:D,3,0))</f>
        <v>Humanitarian</v>
      </c>
      <c r="L736" s="1187">
        <f>VLOOKUP(I736,'Price List, Weapons &amp; Items'!B:E,4,0)</f>
        <v>0</v>
      </c>
      <c r="M736" s="1188">
        <v>100</v>
      </c>
      <c r="N736" s="1188" t="s">
        <v>374</v>
      </c>
      <c r="O736" s="1188" t="str">
        <f>VLOOKUP($I736,'Price List, Weapons &amp; Items'!B:G,6,0)</f>
        <v>.</v>
      </c>
      <c r="P736" s="1185" t="str">
        <f t="shared" si="158"/>
        <v>No price</v>
      </c>
      <c r="Q736" s="1185" t="str">
        <f t="shared" si="159"/>
        <v>.</v>
      </c>
      <c r="R736" s="1185" t="str">
        <f t="shared" si="155"/>
        <v/>
      </c>
      <c r="S736" s="1185" t="str">
        <f>IF(AND(AD736=1,R736&lt;&gt;".")=TRUE,R736/VLOOKUP(G736,'Exchange Rates'!B:C,2,0),IF(R736=".",".",""))</f>
        <v/>
      </c>
      <c r="T736" s="1185" t="str">
        <f>IF(AD736=1,IF(AF736="Value is not given at all",".",IF(AF736="Value is given by the source",S736,IF(AF736="Value is calculated with prices",(IF(SUMIFS(Q:Q,A:A,A736)&gt;0,SUMIFS(Q:Q,A:A,A736),"."))/VLOOKUP("USD",'Exchange Rates'!B:C,2,0),"Error with coding"))),"")</f>
        <v/>
      </c>
      <c r="U736" s="1184" t="s">
        <v>365</v>
      </c>
      <c r="V736" s="974" t="s">
        <v>2037</v>
      </c>
      <c r="W736" s="974" t="s">
        <v>2038</v>
      </c>
      <c r="X736" s="1183" t="s">
        <v>364</v>
      </c>
      <c r="Y736" s="1183" t="s">
        <v>364</v>
      </c>
      <c r="Z736" s="1184">
        <v>0</v>
      </c>
      <c r="AA736" s="1194">
        <v>0</v>
      </c>
      <c r="AB736" s="1201" t="s">
        <v>364</v>
      </c>
      <c r="AC736" s="1192" t="str">
        <f>""</f>
        <v/>
      </c>
      <c r="AD736" s="1193">
        <v>0</v>
      </c>
      <c r="AE736" s="1193" t="s">
        <v>436</v>
      </c>
      <c r="AF736" s="1193" t="s">
        <v>369</v>
      </c>
      <c r="AG736" s="1193">
        <v>1</v>
      </c>
      <c r="AH736" s="1193">
        <v>3</v>
      </c>
      <c r="AI736" s="1193">
        <v>0</v>
      </c>
      <c r="AJ736" s="1193">
        <f>VLOOKUP($I736,'Price List, Weapons &amp; Items'!B:F,5,0)</f>
        <v>0</v>
      </c>
      <c r="AK736" s="1193">
        <f t="shared" si="160"/>
        <v>0</v>
      </c>
      <c r="AL736" s="1193">
        <f t="shared" si="161"/>
        <v>0</v>
      </c>
      <c r="AM736" s="1193">
        <f t="shared" si="162"/>
        <v>0</v>
      </c>
      <c r="AN736" s="1194" t="str">
        <f>VLOOKUP($I736,'Price List, Weapons &amp; Items'!B:L,COLUMN('Price List, Weapons &amp; Items'!$J$11)-1,0)</f>
        <v>.</v>
      </c>
      <c r="AO736" s="1194" t="str">
        <f>IF(I736=".",".",VLOOKUP($I736,'Price List, Weapons &amp; Items'!B:J,3,0))</f>
        <v>Humanitarian</v>
      </c>
      <c r="AP736" s="1195" t="str">
        <f t="shared" ca="1" si="156"/>
        <v/>
      </c>
      <c r="AQ736" s="1194">
        <f>VLOOKUP($I736,'Price List, Weapons &amp; Items'!B:L,COLUMN('Price List, Weapons &amp; Items'!$L$11)-1,0)</f>
        <v>0</v>
      </c>
      <c r="AR736" s="1194">
        <f t="shared" si="163"/>
        <v>1</v>
      </c>
      <c r="AS736" s="1194">
        <f t="shared" si="164"/>
        <v>0</v>
      </c>
      <c r="AT736" s="1194">
        <f t="shared" si="165"/>
        <v>1</v>
      </c>
      <c r="AU736" s="1194" t="str">
        <f t="shared" si="166"/>
        <v>.</v>
      </c>
      <c r="AV736" s="1194" t="str">
        <f t="shared" si="157"/>
        <v>.</v>
      </c>
      <c r="AW736" s="1194" t="str">
        <f t="shared" si="167"/>
        <v>.</v>
      </c>
      <c r="AX736" s="1194">
        <f>IFERROR(VLOOKUP(B736,'Share, Heavy Weapons to Ukraine'!B:Z,COLUMN('Share, Heavy Weapons to Ukraine'!C746)-1,0),0)</f>
        <v>0</v>
      </c>
      <c r="AY736" s="1194">
        <f>VLOOKUP('Bilateral Assistance, MAIN DATA'!B736,'Country Summary (€)'!B:F,COLUMN('Country Summary (€)'!C747)-1,FALSE)</f>
        <v>1</v>
      </c>
      <c r="AZ736" s="1194" t="str">
        <f>IF(AND(AD736=1,D736="Military",H736&lt;&gt;"Not given")=TRUE,IF(SUMIFS(P:P,A:A,A736)&gt;0,ABS((SUMIFS(P:P,A:A,A736)/VLOOKUP("USD",'Exchange Rates'!B:C,2,0)))/S736,"."),".")</f>
        <v>.</v>
      </c>
      <c r="BA736" s="1196" t="str">
        <f>IF(AND(AD736=1,D736="Military",H736&lt;&gt;"Not given")=TRUE,IF(SUMIFS(P:P,A:A,A736)&gt;0,IF((ABS((SUMIFS(P:P,A:A,A736)/VLOOKUP("USD",'Exchange Rates'!B:C,2,0)))/S736)&gt;1,(SUMIFS(P:P,A:A,A736)-S736)/S736,(S736-SUMIFS(P:P,A:A,A736))/SUMIFS(P:P,A:A,A736)),"."),".")</f>
        <v>.</v>
      </c>
    </row>
    <row r="737" spans="1:53" ht="15.95" customHeight="1">
      <c r="A737" s="1180" t="s">
        <v>2042</v>
      </c>
      <c r="B737" s="1180" t="s">
        <v>2028</v>
      </c>
      <c r="C737" s="1181">
        <v>44641</v>
      </c>
      <c r="D737" s="1182" t="s">
        <v>360</v>
      </c>
      <c r="E737" s="1182" t="s">
        <v>371</v>
      </c>
      <c r="F737" s="1183" t="s">
        <v>2043</v>
      </c>
      <c r="G737" s="1184" t="s">
        <v>364</v>
      </c>
      <c r="H737" s="1185" t="s">
        <v>457</v>
      </c>
      <c r="I737" s="1180" t="s">
        <v>364</v>
      </c>
      <c r="J737" s="1186" t="str">
        <f>VLOOKUP($I737,'Price List, Weapons &amp; Items'!B:C,2,0)</f>
        <v>.</v>
      </c>
      <c r="K737" s="1186" t="str">
        <f>IF(I737=".",I737,VLOOKUP($I737,'Price List, Weapons &amp; Items'!B:D,3,0))</f>
        <v>.</v>
      </c>
      <c r="L737" s="1187">
        <f>VLOOKUP(I737,'Price List, Weapons &amp; Items'!B:E,4,0)</f>
        <v>0</v>
      </c>
      <c r="M737" s="1188" t="s">
        <v>364</v>
      </c>
      <c r="N737" s="1188" t="s">
        <v>364</v>
      </c>
      <c r="O737" s="1188" t="str">
        <f>VLOOKUP($I737,'Price List, Weapons &amp; Items'!B:G,6,0)</f>
        <v>.</v>
      </c>
      <c r="P737" s="1185" t="str">
        <f t="shared" si="158"/>
        <v>.</v>
      </c>
      <c r="Q737" s="1185" t="str">
        <f t="shared" si="159"/>
        <v>.</v>
      </c>
      <c r="R737" s="1185" t="str">
        <f t="shared" si="155"/>
        <v>.</v>
      </c>
      <c r="S737" s="1185" t="str">
        <f>IF(AND(AD737=1,R737&lt;&gt;".")=TRUE,R737/VLOOKUP(G737,'Exchange Rates'!B:C,2,0),IF(R737=".",".",""))</f>
        <v>.</v>
      </c>
      <c r="T737" s="1185" t="str">
        <f>IF(AD737=1,IF(AF737="Value is not given at all",".",IF(AF737="Value is given by the source",S737,IF(AF737="Value is calculated with prices",(IF(SUMIFS(Q:Q,A:A,A737)&gt;0,SUMIFS(Q:Q,A:A,A737),"."))/VLOOKUP("USD",'Exchange Rates'!B:C,2,0),"Error with coding"))),"")</f>
        <v>.</v>
      </c>
      <c r="U737" s="1184" t="s">
        <v>365</v>
      </c>
      <c r="V737" s="971" t="s">
        <v>2037</v>
      </c>
      <c r="W737" s="971" t="s">
        <v>2044</v>
      </c>
      <c r="X737" s="1190" t="s">
        <v>364</v>
      </c>
      <c r="Y737" s="1190" t="s">
        <v>364</v>
      </c>
      <c r="Z737" s="1184">
        <v>0</v>
      </c>
      <c r="AA737" s="1194">
        <v>0</v>
      </c>
      <c r="AB737" s="1201" t="s">
        <v>364</v>
      </c>
      <c r="AC737" s="1192" t="str">
        <f>""</f>
        <v/>
      </c>
      <c r="AD737" s="1193">
        <v>1</v>
      </c>
      <c r="AE737" s="1193" t="s">
        <v>369</v>
      </c>
      <c r="AF737" s="1193" t="s">
        <v>369</v>
      </c>
      <c r="AG737" s="1193">
        <v>1</v>
      </c>
      <c r="AH737" s="1193">
        <v>3</v>
      </c>
      <c r="AI737" s="1193">
        <v>0</v>
      </c>
      <c r="AJ737" s="1193">
        <f>VLOOKUP($I737,'Price List, Weapons &amp; Items'!B:F,5,0)</f>
        <v>0</v>
      </c>
      <c r="AK737" s="1193">
        <f t="shared" si="160"/>
        <v>0</v>
      </c>
      <c r="AL737" s="1193">
        <f t="shared" si="161"/>
        <v>0</v>
      </c>
      <c r="AM737" s="1193">
        <f t="shared" si="162"/>
        <v>0</v>
      </c>
      <c r="AN737" s="1194" t="str">
        <f>VLOOKUP($I737,'Price List, Weapons &amp; Items'!B:L,COLUMN('Price List, Weapons &amp; Items'!$J$11)-1,0)</f>
        <v>.</v>
      </c>
      <c r="AO737" s="1194" t="str">
        <f>IF(I737=".",".",VLOOKUP($I737,'Price List, Weapons &amp; Items'!B:J,3,0))</f>
        <v>.</v>
      </c>
      <c r="AP737" s="1195" t="str">
        <f t="shared" ca="1" si="156"/>
        <v>.</v>
      </c>
      <c r="AQ737" s="1194">
        <f>VLOOKUP($I737,'Price List, Weapons &amp; Items'!B:L,COLUMN('Price List, Weapons &amp; Items'!$L$11)-1,0)</f>
        <v>0</v>
      </c>
      <c r="AR737" s="1194">
        <f t="shared" si="163"/>
        <v>1</v>
      </c>
      <c r="AS737" s="1194">
        <f t="shared" si="164"/>
        <v>0</v>
      </c>
      <c r="AT737" s="1194">
        <f t="shared" si="165"/>
        <v>1</v>
      </c>
      <c r="AU737" s="1194" t="str">
        <f t="shared" si="166"/>
        <v>.</v>
      </c>
      <c r="AV737" s="1194" t="str">
        <f t="shared" si="157"/>
        <v>.</v>
      </c>
      <c r="AW737" s="1194" t="str">
        <f t="shared" si="167"/>
        <v>.</v>
      </c>
      <c r="AX737" s="1194">
        <f>IFERROR(VLOOKUP(B737,'Share, Heavy Weapons to Ukraine'!B:Z,COLUMN('Share, Heavy Weapons to Ukraine'!C747)-1,0),0)</f>
        <v>0</v>
      </c>
      <c r="AY737" s="1194">
        <f>VLOOKUP('Bilateral Assistance, MAIN DATA'!B737,'Country Summary (€)'!B:F,COLUMN('Country Summary (€)'!C748)-1,FALSE)</f>
        <v>1</v>
      </c>
      <c r="AZ737" s="1194" t="str">
        <f>IF(AND(AD737=1,D737="Military",H737&lt;&gt;"Not given")=TRUE,IF(SUMIFS(P:P,A:A,A737)&gt;0,ABS((SUMIFS(P:P,A:A,A737)/VLOOKUP("USD",'Exchange Rates'!B:C,2,0)))/S737,"."),".")</f>
        <v>.</v>
      </c>
      <c r="BA737" s="1196" t="str">
        <f>IF(AND(AD737=1,D737="Military",H737&lt;&gt;"Not given")=TRUE,IF(SUMIFS(P:P,A:A,A737)&gt;0,IF((ABS((SUMIFS(P:P,A:A,A737)/VLOOKUP("USD",'Exchange Rates'!B:C,2,0)))/S737)&gt;1,(SUMIFS(P:P,A:A,A737)-S737)/S737,(S737-SUMIFS(P:P,A:A,A737))/SUMIFS(P:P,A:A,A737)),"."),".")</f>
        <v>.</v>
      </c>
    </row>
    <row r="738" spans="1:53" ht="15.95" customHeight="1">
      <c r="A738" s="1180" t="s">
        <v>2045</v>
      </c>
      <c r="B738" s="1180" t="s">
        <v>2028</v>
      </c>
      <c r="C738" s="1181">
        <v>44643</v>
      </c>
      <c r="D738" s="1182" t="s">
        <v>360</v>
      </c>
      <c r="E738" s="1182" t="s">
        <v>361</v>
      </c>
      <c r="F738" s="1183" t="s">
        <v>2046</v>
      </c>
      <c r="G738" s="1184" t="s">
        <v>2047</v>
      </c>
      <c r="H738" s="1185">
        <v>66000000</v>
      </c>
      <c r="I738" s="1180" t="s">
        <v>364</v>
      </c>
      <c r="J738" s="1186" t="str">
        <f>VLOOKUP($I738,'Price List, Weapons &amp; Items'!B:C,2,0)</f>
        <v>.</v>
      </c>
      <c r="K738" s="1186" t="str">
        <f>IF(I738=".",I738,VLOOKUP($I738,'Price List, Weapons &amp; Items'!B:D,3,0))</f>
        <v>.</v>
      </c>
      <c r="L738" s="1187">
        <f>VLOOKUP(I738,'Price List, Weapons &amp; Items'!B:E,4,0)</f>
        <v>0</v>
      </c>
      <c r="M738" s="1188" t="s">
        <v>364</v>
      </c>
      <c r="N738" s="1188" t="s">
        <v>364</v>
      </c>
      <c r="O738" s="1188" t="str">
        <f>VLOOKUP($I738,'Price List, Weapons &amp; Items'!B:G,6,0)</f>
        <v>.</v>
      </c>
      <c r="P738" s="1185" t="str">
        <f t="shared" si="158"/>
        <v>.</v>
      </c>
      <c r="Q738" s="1185" t="str">
        <f t="shared" si="159"/>
        <v>.</v>
      </c>
      <c r="R738" s="1185">
        <f t="shared" si="155"/>
        <v>66000000</v>
      </c>
      <c r="S738" s="1185">
        <f>IF(AND(AD738=1,R738&lt;&gt;".")=TRUE,R738/VLOOKUP(G738,'Exchange Rates'!B:C,2,0),IF(R738=".",".",""))</f>
        <v>177243.06469371862</v>
      </c>
      <c r="T738" s="1185" t="str">
        <f>IF(AD738=1,IF(AF738="Value is not given at all",".",IF(AF738="Value is given by the source",S738,IF(AF738="Value is calculated with prices",(IF(SUMIFS(Q:Q,A:A,A738)&gt;0,SUMIFS(Q:Q,A:A,A738),"."))/VLOOKUP("USD",'Exchange Rates'!B:C,2,0),"Error with coding"))),"")</f>
        <v>.</v>
      </c>
      <c r="U738" s="1184" t="s">
        <v>365</v>
      </c>
      <c r="V738" s="971" t="s">
        <v>2048</v>
      </c>
      <c r="W738" s="980" t="s">
        <v>2049</v>
      </c>
      <c r="X738" s="980" t="s">
        <v>2050</v>
      </c>
      <c r="Y738" s="1190" t="s">
        <v>364</v>
      </c>
      <c r="Z738" s="1184">
        <v>0</v>
      </c>
      <c r="AA738" s="1194">
        <v>0</v>
      </c>
      <c r="AB738" s="1201" t="s">
        <v>364</v>
      </c>
      <c r="AC738" s="1192" t="str">
        <f>""</f>
        <v/>
      </c>
      <c r="AD738" s="1193">
        <v>1</v>
      </c>
      <c r="AE738" s="1193" t="s">
        <v>368</v>
      </c>
      <c r="AF738" s="1193" t="s">
        <v>369</v>
      </c>
      <c r="AG738" s="1193">
        <v>1</v>
      </c>
      <c r="AH738" s="1193">
        <v>3</v>
      </c>
      <c r="AI738" s="1193">
        <v>0</v>
      </c>
      <c r="AJ738" s="1193">
        <f>VLOOKUP($I738,'Price List, Weapons &amp; Items'!B:F,5,0)</f>
        <v>0</v>
      </c>
      <c r="AK738" s="1193">
        <f t="shared" si="160"/>
        <v>0</v>
      </c>
      <c r="AL738" s="1193">
        <f t="shared" si="161"/>
        <v>0</v>
      </c>
      <c r="AM738" s="1193">
        <f t="shared" si="162"/>
        <v>0</v>
      </c>
      <c r="AN738" s="1194" t="str">
        <f>VLOOKUP($I738,'Price List, Weapons &amp; Items'!B:L,COLUMN('Price List, Weapons &amp; Items'!$J$11)-1,0)</f>
        <v>.</v>
      </c>
      <c r="AO738" s="1194" t="str">
        <f>IF(I738=".",".",VLOOKUP($I738,'Price List, Weapons &amp; Items'!B:J,3,0))</f>
        <v>.</v>
      </c>
      <c r="AP738" s="1195" t="str">
        <f t="shared" ca="1" si="156"/>
        <v>.</v>
      </c>
      <c r="AQ738" s="1194">
        <f>VLOOKUP($I738,'Price List, Weapons &amp; Items'!B:L,COLUMN('Price List, Weapons &amp; Items'!$L$11)-1,0)</f>
        <v>0</v>
      </c>
      <c r="AR738" s="1194">
        <f t="shared" si="163"/>
        <v>1</v>
      </c>
      <c r="AS738" s="1194">
        <f t="shared" si="164"/>
        <v>0</v>
      </c>
      <c r="AT738" s="1194">
        <f t="shared" si="165"/>
        <v>1</v>
      </c>
      <c r="AU738" s="1194" t="str">
        <f t="shared" si="166"/>
        <v>.</v>
      </c>
      <c r="AV738" s="1194" t="str">
        <f t="shared" si="157"/>
        <v>.</v>
      </c>
      <c r="AW738" s="1194" t="str">
        <f t="shared" si="167"/>
        <v>.</v>
      </c>
      <c r="AX738" s="1194">
        <f>IFERROR(VLOOKUP(B738,'Share, Heavy Weapons to Ukraine'!B:Z,COLUMN('Share, Heavy Weapons to Ukraine'!C748)-1,0),0)</f>
        <v>0</v>
      </c>
      <c r="AY738" s="1194">
        <f>VLOOKUP('Bilateral Assistance, MAIN DATA'!B738,'Country Summary (€)'!B:F,COLUMN('Country Summary (€)'!C749)-1,FALSE)</f>
        <v>1</v>
      </c>
      <c r="AZ738" s="1194" t="str">
        <f>IF(AND(AD738=1,D738="Military",H738&lt;&gt;"Not given")=TRUE,IF(SUMIFS(P:P,A:A,A738)&gt;0,ABS((SUMIFS(P:P,A:A,A738)/VLOOKUP("USD",'Exchange Rates'!B:C,2,0)))/S738,"."),".")</f>
        <v>.</v>
      </c>
      <c r="BA738" s="1196" t="str">
        <f>IF(AND(AD738=1,D738="Military",H738&lt;&gt;"Not given")=TRUE,IF(SUMIFS(P:P,A:A,A738)&gt;0,IF((ABS((SUMIFS(P:P,A:A,A738)/VLOOKUP("USD",'Exchange Rates'!B:C,2,0)))/S738)&gt;1,(SUMIFS(P:P,A:A,A738)-S738)/S738,(S738-SUMIFS(P:P,A:A,A738))/SUMIFS(P:P,A:A,A738)),"."),".")</f>
        <v>.</v>
      </c>
    </row>
    <row r="739" spans="1:53" ht="15.95" customHeight="1">
      <c r="A739" s="1180" t="s">
        <v>2051</v>
      </c>
      <c r="B739" s="1180" t="s">
        <v>2028</v>
      </c>
      <c r="C739" s="1181" t="s">
        <v>2052</v>
      </c>
      <c r="D739" s="1182" t="s">
        <v>360</v>
      </c>
      <c r="E739" s="1182" t="s">
        <v>371</v>
      </c>
      <c r="F739" s="1183" t="s">
        <v>2053</v>
      </c>
      <c r="G739" s="1184" t="s">
        <v>456</v>
      </c>
      <c r="H739" s="1185" t="s">
        <v>457</v>
      </c>
      <c r="I739" s="1180" t="s">
        <v>2054</v>
      </c>
      <c r="J739" s="1186" t="str">
        <f>VLOOKUP($I739,'Price List, Weapons &amp; Items'!B:C,2,0)</f>
        <v>Humanitarian</v>
      </c>
      <c r="K739" s="1186" t="str">
        <f>IF(I739=".",I739,VLOOKUP($I739,'Price List, Weapons &amp; Items'!B:D,3,0))</f>
        <v>Humanitarian</v>
      </c>
      <c r="L739" s="1187">
        <f>VLOOKUP(I739,'Price List, Weapons &amp; Items'!B:E,4,0)</f>
        <v>0</v>
      </c>
      <c r="M739" s="1188">
        <f>((1300*6000)-6500000)/6000</f>
        <v>216.66666666666666</v>
      </c>
      <c r="N739" s="1188" t="s">
        <v>374</v>
      </c>
      <c r="O739" s="1188">
        <f>VLOOKUP($I739,'Price List, Weapons &amp; Items'!B:G,6,0)</f>
        <v>10000</v>
      </c>
      <c r="P739" s="1185">
        <f t="shared" si="158"/>
        <v>2166666.6666666665</v>
      </c>
      <c r="Q739" s="1185" t="str">
        <f t="shared" si="159"/>
        <v>.</v>
      </c>
      <c r="R739" s="1185">
        <f t="shared" si="155"/>
        <v>2166666.6666666665</v>
      </c>
      <c r="S739" s="1185">
        <f>IF(AND(AD739=1,R739&lt;&gt;".")=TRUE,R739/VLOOKUP(G739,'Exchange Rates'!B:C,2,0),IF(R739=".",".",""))</f>
        <v>1993620.4146730462</v>
      </c>
      <c r="T739" s="1185" t="str">
        <f>IF(AD739=1,IF(AF739="Value is not given at all",".",IF(AF739="Value is given by the source",S739,IF(AF739="Value is calculated with prices",(IF(SUMIFS(Q:Q,A:A,A739)&gt;0,SUMIFS(Q:Q,A:A,A739),"."))/VLOOKUP("USD",'Exchange Rates'!B:C,2,0),"Error with coding"))),"")</f>
        <v>.</v>
      </c>
      <c r="U739" s="1184" t="s">
        <v>365</v>
      </c>
      <c r="V739" s="980" t="s">
        <v>2055</v>
      </c>
      <c r="W739" s="971" t="s">
        <v>2056</v>
      </c>
      <c r="X739" s="1190" t="s">
        <v>364</v>
      </c>
      <c r="Y739" s="1190" t="s">
        <v>364</v>
      </c>
      <c r="Z739" s="1184">
        <v>0</v>
      </c>
      <c r="AA739" s="1194">
        <v>0</v>
      </c>
      <c r="AB739" s="1201" t="s">
        <v>364</v>
      </c>
      <c r="AC739" s="1192" t="str">
        <f>""</f>
        <v/>
      </c>
      <c r="AD739" s="985">
        <v>1</v>
      </c>
      <c r="AE739" s="985" t="s">
        <v>436</v>
      </c>
      <c r="AF739" s="985" t="s">
        <v>369</v>
      </c>
      <c r="AG739" s="985">
        <v>0</v>
      </c>
      <c r="AH739" s="1193">
        <v>0</v>
      </c>
      <c r="AI739" s="1193">
        <v>0</v>
      </c>
      <c r="AJ739" s="1193">
        <f>VLOOKUP($I739,'Price List, Weapons &amp; Items'!B:F,5,0)</f>
        <v>0</v>
      </c>
      <c r="AK739" s="1193">
        <f t="shared" si="160"/>
        <v>0</v>
      </c>
      <c r="AL739" s="1193">
        <f t="shared" si="161"/>
        <v>0</v>
      </c>
      <c r="AM739" s="1193">
        <f t="shared" si="162"/>
        <v>0</v>
      </c>
      <c r="AN739" s="1194" t="str">
        <f>VLOOKUP($I739,'Price List, Weapons &amp; Items'!B:L,COLUMN('Price List, Weapons &amp; Items'!$J$11)-1,0)</f>
        <v>Miscellaneous</v>
      </c>
      <c r="AO739" s="1194" t="str">
        <f>IF(I739=".",".",VLOOKUP($I739,'Price List, Weapons &amp; Items'!B:J,3,0))</f>
        <v>Humanitarian</v>
      </c>
      <c r="AP739" s="1195" t="str">
        <f t="shared" ca="1" si="156"/>
        <v>ton of necessity items</v>
      </c>
      <c r="AQ739" s="1194">
        <f>VLOOKUP($I739,'Price List, Weapons &amp; Items'!B:L,COLUMN('Price List, Weapons &amp; Items'!$L$11)-1,0)</f>
        <v>0</v>
      </c>
      <c r="AR739" s="1194">
        <f t="shared" si="163"/>
        <v>1</v>
      </c>
      <c r="AS739" s="1194">
        <f t="shared" si="164"/>
        <v>0</v>
      </c>
      <c r="AT739" s="1194" t="str">
        <f t="shared" si="165"/>
        <v>Value is not in date format</v>
      </c>
      <c r="AU739" s="1194" t="str">
        <f t="shared" si="166"/>
        <v>.</v>
      </c>
      <c r="AV739" s="1194" t="str">
        <f t="shared" si="157"/>
        <v>.</v>
      </c>
      <c r="AW739" s="1194" t="str">
        <f t="shared" si="167"/>
        <v>.</v>
      </c>
      <c r="AX739" s="1194">
        <f>IFERROR(VLOOKUP(B739,'Share, Heavy Weapons to Ukraine'!B:Z,COLUMN('Share, Heavy Weapons to Ukraine'!C749)-1,0),0)</f>
        <v>0</v>
      </c>
      <c r="AY739" s="1194">
        <f>VLOOKUP('Bilateral Assistance, MAIN DATA'!B739,'Country Summary (€)'!B:F,COLUMN('Country Summary (€)'!C750)-1,FALSE)</f>
        <v>1</v>
      </c>
      <c r="AZ739" s="1194" t="str">
        <f>IF(AND(AD739=1,D739="Military",H739&lt;&gt;"Not given")=TRUE,IF(SUMIFS(P:P,A:A,A739)&gt;0,ABS((SUMIFS(P:P,A:A,A739)/VLOOKUP("USD",'Exchange Rates'!B:C,2,0)))/S739,"."),".")</f>
        <v>.</v>
      </c>
      <c r="BA739" s="1196" t="str">
        <f>IF(AND(AD739=1,D739="Military",H739&lt;&gt;"Not given")=TRUE,IF(SUMIFS(P:P,A:A,A739)&gt;0,IF((ABS((SUMIFS(P:P,A:A,A739)/VLOOKUP("USD",'Exchange Rates'!B:C,2,0)))/S739)&gt;1,(SUMIFS(P:P,A:A,A739)-S739)/S739,(S739-SUMIFS(P:P,A:A,A739))/SUMIFS(P:P,A:A,A739)),"."),".")</f>
        <v>.</v>
      </c>
    </row>
    <row r="740" spans="1:53" ht="15.95" customHeight="1">
      <c r="A740" s="1180" t="s">
        <v>2057</v>
      </c>
      <c r="B740" s="1180" t="s">
        <v>2028</v>
      </c>
      <c r="C740" s="1181">
        <v>44685</v>
      </c>
      <c r="D740" s="1182" t="s">
        <v>360</v>
      </c>
      <c r="E740" s="1182" t="s">
        <v>371</v>
      </c>
      <c r="F740" s="1183" t="s">
        <v>2058</v>
      </c>
      <c r="G740" s="1184" t="s">
        <v>2047</v>
      </c>
      <c r="H740" s="1185">
        <v>262000000</v>
      </c>
      <c r="I740" s="1180" t="s">
        <v>364</v>
      </c>
      <c r="J740" s="1186" t="str">
        <f>VLOOKUP($I740,'Price List, Weapons &amp; Items'!B:C,2,0)</f>
        <v>.</v>
      </c>
      <c r="K740" s="1186" t="str">
        <f>IF(I740=".",I740,VLOOKUP($I740,'Price List, Weapons &amp; Items'!B:D,3,0))</f>
        <v>.</v>
      </c>
      <c r="L740" s="1187">
        <f>VLOOKUP(I740,'Price List, Weapons &amp; Items'!B:E,4,0)</f>
        <v>0</v>
      </c>
      <c r="M740" s="1188" t="s">
        <v>364</v>
      </c>
      <c r="N740" s="1188" t="s">
        <v>364</v>
      </c>
      <c r="O740" s="1188" t="str">
        <f>VLOOKUP($I740,'Price List, Weapons &amp; Items'!B:G,6,0)</f>
        <v>.</v>
      </c>
      <c r="P740" s="1185" t="str">
        <f t="shared" si="158"/>
        <v>.</v>
      </c>
      <c r="Q740" s="1185" t="str">
        <f t="shared" si="159"/>
        <v>.</v>
      </c>
      <c r="R740" s="1185">
        <f t="shared" si="155"/>
        <v>262000000</v>
      </c>
      <c r="S740" s="1185">
        <f>IF(AND(AD740=1,R740&lt;&gt;".")=TRUE,R740/VLOOKUP(G740,'Exchange Rates'!B:C,2,0),IF(R740=".",".",""))</f>
        <v>703601.25681445876</v>
      </c>
      <c r="T740" s="1185" t="str">
        <f>IF(AD740=1,IF(AF740="Value is not given at all",".",IF(AF740="Value is given by the source",S740,IF(AF740="Value is calculated with prices",(IF(SUMIFS(Q:Q,A:A,A740)&gt;0,SUMIFS(Q:Q,A:A,A740),"."))/VLOOKUP("USD",'Exchange Rates'!B:C,2,0),"Error with coding"))),"")</f>
        <v>.</v>
      </c>
      <c r="U740" s="1184" t="s">
        <v>365</v>
      </c>
      <c r="V740" s="980" t="s">
        <v>2059</v>
      </c>
      <c r="W740" s="971" t="s">
        <v>2060</v>
      </c>
      <c r="X740" s="980" t="s">
        <v>2061</v>
      </c>
      <c r="Y740" s="1190" t="s">
        <v>364</v>
      </c>
      <c r="Z740" s="1184">
        <v>0</v>
      </c>
      <c r="AA740" s="1194">
        <v>0</v>
      </c>
      <c r="AB740" s="1201" t="s">
        <v>364</v>
      </c>
      <c r="AC740" s="1192" t="str">
        <f>""</f>
        <v/>
      </c>
      <c r="AD740" s="985">
        <v>1</v>
      </c>
      <c r="AE740" s="985" t="s">
        <v>368</v>
      </c>
      <c r="AF740" s="985" t="s">
        <v>369</v>
      </c>
      <c r="AG740" s="985">
        <v>1</v>
      </c>
      <c r="AH740" s="1193">
        <v>5</v>
      </c>
      <c r="AI740" s="1193">
        <v>0</v>
      </c>
      <c r="AJ740" s="1193">
        <f>VLOOKUP($I740,'Price List, Weapons &amp; Items'!B:F,5,0)</f>
        <v>0</v>
      </c>
      <c r="AK740" s="1193">
        <f t="shared" si="160"/>
        <v>0</v>
      </c>
      <c r="AL740" s="1193">
        <f t="shared" si="161"/>
        <v>0</v>
      </c>
      <c r="AM740" s="1193">
        <f t="shared" si="162"/>
        <v>0</v>
      </c>
      <c r="AN740" s="1194" t="str">
        <f>VLOOKUP($I740,'Price List, Weapons &amp; Items'!B:L,COLUMN('Price List, Weapons &amp; Items'!$J$11)-1,0)</f>
        <v>.</v>
      </c>
      <c r="AO740" s="1194" t="str">
        <f>IF(I740=".",".",VLOOKUP($I740,'Price List, Weapons &amp; Items'!B:J,3,0))</f>
        <v>.</v>
      </c>
      <c r="AP740" s="1195" t="str">
        <f t="shared" ca="1" si="156"/>
        <v>.</v>
      </c>
      <c r="AQ740" s="1194">
        <f>VLOOKUP($I740,'Price List, Weapons &amp; Items'!B:L,COLUMN('Price List, Weapons &amp; Items'!$L$11)-1,0)</f>
        <v>0</v>
      </c>
      <c r="AR740" s="1194">
        <f t="shared" si="163"/>
        <v>1</v>
      </c>
      <c r="AS740" s="1194">
        <f t="shared" si="164"/>
        <v>0</v>
      </c>
      <c r="AT740" s="1194">
        <f t="shared" si="165"/>
        <v>1</v>
      </c>
      <c r="AU740" s="1194" t="str">
        <f t="shared" si="166"/>
        <v>.</v>
      </c>
      <c r="AV740" s="1194" t="str">
        <f t="shared" si="157"/>
        <v>.</v>
      </c>
      <c r="AW740" s="1194" t="str">
        <f t="shared" si="167"/>
        <v>.</v>
      </c>
      <c r="AX740" s="1194">
        <f>IFERROR(VLOOKUP(B740,'Share, Heavy Weapons to Ukraine'!B:Z,COLUMN('Share, Heavy Weapons to Ukraine'!C750)-1,0),0)</f>
        <v>0</v>
      </c>
      <c r="AY740" s="1194">
        <f>VLOOKUP('Bilateral Assistance, MAIN DATA'!B740,'Country Summary (€)'!B:F,COLUMN('Country Summary (€)'!C751)-1,FALSE)</f>
        <v>1</v>
      </c>
      <c r="AZ740" s="1194" t="str">
        <f>IF(AND(AD740=1,D740="Military",H740&lt;&gt;"Not given")=TRUE,IF(SUMIFS(P:P,A:A,A740)&gt;0,ABS((SUMIFS(P:P,A:A,A740)/VLOOKUP("USD",'Exchange Rates'!B:C,2,0)))/S740,"."),".")</f>
        <v>.</v>
      </c>
      <c r="BA740" s="1196" t="str">
        <f>IF(AND(AD740=1,D740="Military",H740&lt;&gt;"Not given")=TRUE,IF(SUMIFS(P:P,A:A,A740)&gt;0,IF((ABS((SUMIFS(P:P,A:A,A740)/VLOOKUP("USD",'Exchange Rates'!B:C,2,0)))/S740)&gt;1,(SUMIFS(P:P,A:A,A740)-S740)/S740,(S740-SUMIFS(P:P,A:A,A740))/SUMIFS(P:P,A:A,A740)),"."),".")</f>
        <v>.</v>
      </c>
    </row>
    <row r="741" spans="1:53" ht="15.95" customHeight="1">
      <c r="A741" s="1182" t="s">
        <v>2062</v>
      </c>
      <c r="B741" s="1182" t="s">
        <v>2028</v>
      </c>
      <c r="C741" s="1181">
        <v>44686</v>
      </c>
      <c r="D741" s="1182" t="s">
        <v>360</v>
      </c>
      <c r="E741" s="1182" t="s">
        <v>371</v>
      </c>
      <c r="F741" s="1183" t="s">
        <v>2063</v>
      </c>
      <c r="G741" s="1184" t="s">
        <v>483</v>
      </c>
      <c r="H741" s="1185">
        <v>37000000</v>
      </c>
      <c r="I741" s="1180" t="s">
        <v>2064</v>
      </c>
      <c r="J741" s="1186" t="str">
        <f>VLOOKUP($I741,'Price List, Weapons &amp; Items'!B:C,2,0)</f>
        <v>Humanitarian</v>
      </c>
      <c r="K741" s="1186" t="str">
        <f>IF(I741=".",I741,VLOOKUP($I741,'Price List, Weapons &amp; Items'!B:D,3,0))</f>
        <v>Humanitarian</v>
      </c>
      <c r="L741" s="1187">
        <f>VLOOKUP(I741,'Price List, Weapons &amp; Items'!B:E,4,0)</f>
        <v>0</v>
      </c>
      <c r="M741" s="1188">
        <v>1</v>
      </c>
      <c r="N741" s="1188" t="s">
        <v>374</v>
      </c>
      <c r="O741" s="1188">
        <f>VLOOKUP($I741,'Price List, Weapons &amp; Items'!B:G,6,0)</f>
        <v>125000000</v>
      </c>
      <c r="P741" s="1185">
        <f t="shared" si="158"/>
        <v>125000000</v>
      </c>
      <c r="Q741" s="1185" t="str">
        <f t="shared" si="159"/>
        <v>.</v>
      </c>
      <c r="R741" s="1185">
        <f t="shared" si="155"/>
        <v>37000000</v>
      </c>
      <c r="S741" s="1185">
        <f>IF(AND(AD741=1,R741&lt;&gt;".")=TRUE,R741/VLOOKUP(G741,'Exchange Rates'!B:C,2,0),IF(R741=".",".",""))</f>
        <v>37000000</v>
      </c>
      <c r="T741" s="1185" t="str">
        <f>IF(AD741=1,IF(AF741="Value is not given at all",".",IF(AF741="Value is given by the source",S741,IF(AF741="Value is calculated with prices",(IF(SUMIFS(Q:Q,A:A,A741)&gt;0,SUMIFS(Q:Q,A:A,A741),"."))/VLOOKUP("USD",'Exchange Rates'!B:C,2,0),"Error with coding"))),"")</f>
        <v>.</v>
      </c>
      <c r="U741" s="1184" t="s">
        <v>365</v>
      </c>
      <c r="V741" s="974" t="s">
        <v>930</v>
      </c>
      <c r="W741" s="976" t="s">
        <v>2065</v>
      </c>
      <c r="X741" s="976" t="s">
        <v>2066</v>
      </c>
      <c r="Y741" s="1183" t="s">
        <v>364</v>
      </c>
      <c r="Z741" s="1184">
        <v>0</v>
      </c>
      <c r="AA741" s="1194">
        <v>0</v>
      </c>
      <c r="AB741" s="1180" t="s">
        <v>364</v>
      </c>
      <c r="AC741" s="1192" t="str">
        <f>""</f>
        <v/>
      </c>
      <c r="AD741" s="985">
        <v>1</v>
      </c>
      <c r="AE741" s="985" t="s">
        <v>368</v>
      </c>
      <c r="AF741" s="985" t="s">
        <v>369</v>
      </c>
      <c r="AG741" s="985">
        <v>1</v>
      </c>
      <c r="AH741" s="985">
        <v>5</v>
      </c>
      <c r="AI741" s="985">
        <v>0</v>
      </c>
      <c r="AJ741" s="1193">
        <f>VLOOKUP($I741,'Price List, Weapons &amp; Items'!B:F,5,0)</f>
        <v>0</v>
      </c>
      <c r="AK741" s="1193">
        <f t="shared" si="160"/>
        <v>0</v>
      </c>
      <c r="AL741" s="1193">
        <f t="shared" si="161"/>
        <v>0</v>
      </c>
      <c r="AM741" s="1193">
        <f t="shared" si="162"/>
        <v>0</v>
      </c>
      <c r="AN741" s="1194" t="str">
        <f>VLOOKUP($I741,'Price List, Weapons &amp; Items'!B:L,COLUMN('Price List, Weapons &amp; Items'!$J$11)-1,0)</f>
        <v>Media reports (incl. social media)</v>
      </c>
      <c r="AO741" s="1194" t="str">
        <f>IF(I741=".",".",VLOOKUP($I741,'Price List, Weapons &amp; Items'!B:J,3,0))</f>
        <v>Humanitarian</v>
      </c>
      <c r="AP741" s="1195" t="str">
        <f t="shared" ca="1" si="156"/>
        <v>hospital</v>
      </c>
      <c r="AQ741" s="1194">
        <f>VLOOKUP($I741,'Price List, Weapons &amp; Items'!B:L,COLUMN('Price List, Weapons &amp; Items'!$L$11)-1,0)</f>
        <v>0</v>
      </c>
      <c r="AR741" s="1194">
        <f t="shared" si="163"/>
        <v>1</v>
      </c>
      <c r="AS741" s="1194">
        <f t="shared" si="164"/>
        <v>0</v>
      </c>
      <c r="AT741" s="1194">
        <f t="shared" si="165"/>
        <v>1</v>
      </c>
      <c r="AU741" s="1194" t="str">
        <f t="shared" si="166"/>
        <v>.</v>
      </c>
      <c r="AV741" s="1194" t="str">
        <f t="shared" si="157"/>
        <v>.</v>
      </c>
      <c r="AW741" s="1194" t="str">
        <f t="shared" si="167"/>
        <v>.</v>
      </c>
      <c r="AX741" s="1194">
        <f>IFERROR(VLOOKUP(B741,'Share, Heavy Weapons to Ukraine'!B:Z,COLUMN('Share, Heavy Weapons to Ukraine'!C751)-1,0),0)</f>
        <v>0</v>
      </c>
      <c r="AY741" s="1194">
        <f>VLOOKUP('Bilateral Assistance, MAIN DATA'!B741,'Country Summary (€)'!B:F,COLUMN('Country Summary (€)'!C752)-1,FALSE)</f>
        <v>1</v>
      </c>
      <c r="AZ741" s="1194" t="str">
        <f>IF(AND(AD741=1,D741="Military",H741&lt;&gt;"Not given")=TRUE,IF(SUMIFS(P:P,A:A,A741)&gt;0,ABS((SUMIFS(P:P,A:A,A741)/VLOOKUP("USD",'Exchange Rates'!B:C,2,0)))/S741,"."),".")</f>
        <v>.</v>
      </c>
      <c r="BA741" s="1196" t="str">
        <f>IF(AND(AD741=1,D741="Military",H741&lt;&gt;"Not given")=TRUE,IF(SUMIFS(P:P,A:A,A741)&gt;0,IF((ABS((SUMIFS(P:P,A:A,A741)/VLOOKUP("USD",'Exchange Rates'!B:C,2,0)))/S741)&gt;1,(SUMIFS(P:P,A:A,A741)-S741)/S741,(S741-SUMIFS(P:P,A:A,A741))/SUMIFS(P:P,A:A,A741)),"."),".")</f>
        <v>.</v>
      </c>
    </row>
    <row r="742" spans="1:53" ht="15.95" customHeight="1">
      <c r="A742" s="1182" t="s">
        <v>2062</v>
      </c>
      <c r="B742" s="1182" t="s">
        <v>2028</v>
      </c>
      <c r="C742" s="1181">
        <v>44686</v>
      </c>
      <c r="D742" s="1182" t="s">
        <v>360</v>
      </c>
      <c r="E742" s="1182" t="s">
        <v>371</v>
      </c>
      <c r="F742" s="1183" t="s">
        <v>2063</v>
      </c>
      <c r="G742" s="1184" t="s">
        <v>483</v>
      </c>
      <c r="H742" s="1185">
        <v>37000000</v>
      </c>
      <c r="I742" s="1180" t="s">
        <v>1419</v>
      </c>
      <c r="J742" s="1186" t="str">
        <f>VLOOKUP($I742,'Price List, Weapons &amp; Items'!B:C,2,0)</f>
        <v>Humanitarian</v>
      </c>
      <c r="K742" s="1186" t="str">
        <f>IF(I742=".",I742,VLOOKUP($I742,'Price List, Weapons &amp; Items'!B:D,3,0))</f>
        <v>Humanitarian</v>
      </c>
      <c r="L742" s="1187">
        <f>VLOOKUP(I742,'Price List, Weapons &amp; Items'!B:E,4,0)</f>
        <v>0</v>
      </c>
      <c r="M742" s="1188">
        <v>1</v>
      </c>
      <c r="N742" s="1188" t="s">
        <v>374</v>
      </c>
      <c r="O742" s="1188" t="str">
        <f>VLOOKUP($I742,'Price List, Weapons &amp; Items'!B:G,6,0)</f>
        <v>.</v>
      </c>
      <c r="P742" s="1185" t="str">
        <f t="shared" si="158"/>
        <v>No price</v>
      </c>
      <c r="Q742" s="1185" t="str">
        <f t="shared" si="159"/>
        <v>.</v>
      </c>
      <c r="R742" s="1185" t="str">
        <f t="shared" si="155"/>
        <v/>
      </c>
      <c r="S742" s="1185" t="str">
        <f>IF(AND(AD742=1,R742&lt;&gt;".")=TRUE,R742/VLOOKUP(G742,'Exchange Rates'!B:C,2,0),IF(R742=".",".",""))</f>
        <v/>
      </c>
      <c r="T742" s="1185" t="str">
        <f>IF(AD742=1,IF(AF742="Value is not given at all",".",IF(AF742="Value is given by the source",S742,IF(AF742="Value is calculated with prices",(IF(SUMIFS(Q:Q,A:A,A742)&gt;0,SUMIFS(Q:Q,A:A,A742),"."))/VLOOKUP("USD",'Exchange Rates'!B:C,2,0),"Error with coding"))),"")</f>
        <v/>
      </c>
      <c r="U742" s="1184" t="s">
        <v>365</v>
      </c>
      <c r="V742" s="974" t="s">
        <v>930</v>
      </c>
      <c r="W742" s="976" t="s">
        <v>2065</v>
      </c>
      <c r="X742" s="976" t="s">
        <v>2066</v>
      </c>
      <c r="Y742" s="1183" t="s">
        <v>364</v>
      </c>
      <c r="Z742" s="1184">
        <v>0</v>
      </c>
      <c r="AA742" s="1194">
        <v>0</v>
      </c>
      <c r="AB742" s="1180" t="s">
        <v>364</v>
      </c>
      <c r="AC742" s="1192" t="str">
        <f>""</f>
        <v/>
      </c>
      <c r="AD742" s="985">
        <v>0</v>
      </c>
      <c r="AE742" s="985" t="s">
        <v>368</v>
      </c>
      <c r="AF742" s="985" t="s">
        <v>369</v>
      </c>
      <c r="AG742" s="985">
        <v>1</v>
      </c>
      <c r="AH742" s="985">
        <v>5</v>
      </c>
      <c r="AI742" s="985">
        <v>0</v>
      </c>
      <c r="AJ742" s="1193">
        <f>VLOOKUP($I742,'Price List, Weapons &amp; Items'!B:F,5,0)</f>
        <v>0</v>
      </c>
      <c r="AK742" s="1193">
        <f t="shared" si="160"/>
        <v>0</v>
      </c>
      <c r="AL742" s="1193">
        <f t="shared" si="161"/>
        <v>0</v>
      </c>
      <c r="AM742" s="1193">
        <f t="shared" si="162"/>
        <v>0</v>
      </c>
      <c r="AN742" s="1194" t="str">
        <f>VLOOKUP($I742,'Price List, Weapons &amp; Items'!B:L,COLUMN('Price List, Weapons &amp; Items'!$J$11)-1,0)</f>
        <v>.</v>
      </c>
      <c r="AO742" s="1194" t="str">
        <f>IF(I742=".",".",VLOOKUP($I742,'Price List, Weapons &amp; Items'!B:J,3,0))</f>
        <v>Humanitarian</v>
      </c>
      <c r="AP742" s="1195" t="str">
        <f t="shared" ca="1" si="156"/>
        <v/>
      </c>
      <c r="AQ742" s="1194">
        <f>VLOOKUP($I742,'Price List, Weapons &amp; Items'!B:L,COLUMN('Price List, Weapons &amp; Items'!$L$11)-1,0)</f>
        <v>0</v>
      </c>
      <c r="AR742" s="1194">
        <f t="shared" si="163"/>
        <v>1</v>
      </c>
      <c r="AS742" s="1194">
        <f t="shared" si="164"/>
        <v>0</v>
      </c>
      <c r="AT742" s="1194">
        <f t="shared" si="165"/>
        <v>1</v>
      </c>
      <c r="AU742" s="1194" t="str">
        <f t="shared" si="166"/>
        <v>.</v>
      </c>
      <c r="AV742" s="1194" t="str">
        <f t="shared" si="157"/>
        <v>.</v>
      </c>
      <c r="AW742" s="1194" t="str">
        <f t="shared" si="167"/>
        <v>.</v>
      </c>
      <c r="AX742" s="1194">
        <f>IFERROR(VLOOKUP(B742,'Share, Heavy Weapons to Ukraine'!B:Z,COLUMN('Share, Heavy Weapons to Ukraine'!C752)-1,0),0)</f>
        <v>0</v>
      </c>
      <c r="AY742" s="1194">
        <f>VLOOKUP('Bilateral Assistance, MAIN DATA'!B742,'Country Summary (€)'!B:F,COLUMN('Country Summary (€)'!C753)-1,FALSE)</f>
        <v>1</v>
      </c>
      <c r="AZ742" s="1194" t="str">
        <f>IF(AND(AD742=1,D742="Military",H742&lt;&gt;"Not given")=TRUE,IF(SUMIFS(P:P,A:A,A742)&gt;0,ABS((SUMIFS(P:P,A:A,A742)/VLOOKUP("USD",'Exchange Rates'!B:C,2,0)))/S742,"."),".")</f>
        <v>.</v>
      </c>
      <c r="BA742" s="1196" t="str">
        <f>IF(AND(AD742=1,D742="Military",H742&lt;&gt;"Not given")=TRUE,IF(SUMIFS(P:P,A:A,A742)&gt;0,IF((ABS((SUMIFS(P:P,A:A,A742)/VLOOKUP("USD",'Exchange Rates'!B:C,2,0)))/S742)&gt;1,(SUMIFS(P:P,A:A,A742)-S742)/S742,(S742-SUMIFS(P:P,A:A,A742))/SUMIFS(P:P,A:A,A742)),"."),".")</f>
        <v>.</v>
      </c>
    </row>
    <row r="743" spans="1:53" ht="15.95" customHeight="1">
      <c r="A743" s="1182" t="s">
        <v>2062</v>
      </c>
      <c r="B743" s="1182" t="s">
        <v>2028</v>
      </c>
      <c r="C743" s="1181">
        <v>44686</v>
      </c>
      <c r="D743" s="1182" t="s">
        <v>360</v>
      </c>
      <c r="E743" s="1182" t="s">
        <v>371</v>
      </c>
      <c r="F743" s="1183" t="s">
        <v>2063</v>
      </c>
      <c r="G743" s="1184" t="s">
        <v>483</v>
      </c>
      <c r="H743" s="1185">
        <v>37000000</v>
      </c>
      <c r="I743" s="1180" t="s">
        <v>2067</v>
      </c>
      <c r="J743" s="1186" t="str">
        <f>VLOOKUP($I743,'Price List, Weapons &amp; Items'!B:C,2,0)</f>
        <v>Humanitarian</v>
      </c>
      <c r="K743" s="1186" t="str">
        <f>IF(I743=".",I743,VLOOKUP($I743,'Price List, Weapons &amp; Items'!B:D,3,0))</f>
        <v>Humanitarian</v>
      </c>
      <c r="L743" s="1187">
        <f>VLOOKUP(I743,'Price List, Weapons &amp; Items'!B:E,4,0)</f>
        <v>0</v>
      </c>
      <c r="M743" s="1188" t="s">
        <v>374</v>
      </c>
      <c r="N743" s="1188" t="s">
        <v>374</v>
      </c>
      <c r="O743" s="1188">
        <f>VLOOKUP($I743,'Price List, Weapons &amp; Items'!B:G,6,0)</f>
        <v>76400</v>
      </c>
      <c r="P743" s="1185" t="str">
        <f t="shared" si="158"/>
        <v>.</v>
      </c>
      <c r="Q743" s="1185" t="str">
        <f t="shared" si="159"/>
        <v>.</v>
      </c>
      <c r="R743" s="1185" t="str">
        <f t="shared" si="155"/>
        <v/>
      </c>
      <c r="S743" s="1185" t="str">
        <f>IF(AND(AD743=1,R743&lt;&gt;".")=TRUE,R743/VLOOKUP(G743,'Exchange Rates'!B:C,2,0),IF(R743=".",".",""))</f>
        <v/>
      </c>
      <c r="T743" s="1185" t="str">
        <f>IF(AD743=1,IF(AF743="Value is not given at all",".",IF(AF743="Value is given by the source",S743,IF(AF743="Value is calculated with prices",(IF(SUMIFS(Q:Q,A:A,A743)&gt;0,SUMIFS(Q:Q,A:A,A743),"."))/VLOOKUP("USD",'Exchange Rates'!B:C,2,0),"Error with coding"))),"")</f>
        <v/>
      </c>
      <c r="U743" s="1184" t="s">
        <v>365</v>
      </c>
      <c r="V743" s="974" t="s">
        <v>930</v>
      </c>
      <c r="W743" s="976" t="s">
        <v>2065</v>
      </c>
      <c r="X743" s="976" t="s">
        <v>2066</v>
      </c>
      <c r="Y743" s="1183" t="s">
        <v>364</v>
      </c>
      <c r="Z743" s="1184">
        <v>0</v>
      </c>
      <c r="AA743" s="1194">
        <v>0</v>
      </c>
      <c r="AB743" s="1180" t="s">
        <v>364</v>
      </c>
      <c r="AC743" s="1192" t="str">
        <f>""</f>
        <v/>
      </c>
      <c r="AD743" s="985">
        <v>0</v>
      </c>
      <c r="AE743" s="985" t="s">
        <v>368</v>
      </c>
      <c r="AF743" s="985" t="s">
        <v>369</v>
      </c>
      <c r="AG743" s="985">
        <v>1</v>
      </c>
      <c r="AH743" s="985">
        <v>5</v>
      </c>
      <c r="AI743" s="985">
        <v>0</v>
      </c>
      <c r="AJ743" s="1193">
        <f>VLOOKUP($I743,'Price List, Weapons &amp; Items'!B:F,5,0)</f>
        <v>0</v>
      </c>
      <c r="AK743" s="1193">
        <f t="shared" si="160"/>
        <v>0</v>
      </c>
      <c r="AL743" s="1193">
        <f t="shared" si="161"/>
        <v>0</v>
      </c>
      <c r="AM743" s="1193">
        <f t="shared" si="162"/>
        <v>0</v>
      </c>
      <c r="AN743" s="1194" t="str">
        <f>VLOOKUP($I743,'Price List, Weapons &amp; Items'!B:L,COLUMN('Price List, Weapons &amp; Items'!$J$11)-1,0)</f>
        <v>Media reports (incl. social media)</v>
      </c>
      <c r="AO743" s="1194" t="str">
        <f>IF(I743=".",".",VLOOKUP($I743,'Price List, Weapons &amp; Items'!B:J,3,0))</f>
        <v>Humanitarian</v>
      </c>
      <c r="AP743" s="1195" t="str">
        <f t="shared" ca="1" si="156"/>
        <v/>
      </c>
      <c r="AQ743" s="1194">
        <f>VLOOKUP($I743,'Price List, Weapons &amp; Items'!B:L,COLUMN('Price List, Weapons &amp; Items'!$L$11)-1,0)</f>
        <v>0</v>
      </c>
      <c r="AR743" s="1194">
        <f t="shared" si="163"/>
        <v>1</v>
      </c>
      <c r="AS743" s="1194">
        <f t="shared" si="164"/>
        <v>0</v>
      </c>
      <c r="AT743" s="1194">
        <f t="shared" si="165"/>
        <v>1</v>
      </c>
      <c r="AU743" s="1194" t="str">
        <f t="shared" si="166"/>
        <v>.</v>
      </c>
      <c r="AV743" s="1194" t="str">
        <f t="shared" si="157"/>
        <v>.</v>
      </c>
      <c r="AW743" s="1194" t="str">
        <f t="shared" si="167"/>
        <v>.</v>
      </c>
      <c r="AX743" s="1194">
        <f>IFERROR(VLOOKUP(B743,'Share, Heavy Weapons to Ukraine'!B:Z,COLUMN('Share, Heavy Weapons to Ukraine'!C753)-1,0),0)</f>
        <v>0</v>
      </c>
      <c r="AY743" s="1194">
        <f>VLOOKUP('Bilateral Assistance, MAIN DATA'!B743,'Country Summary (€)'!B:F,COLUMN('Country Summary (€)'!C754)-1,FALSE)</f>
        <v>1</v>
      </c>
      <c r="AZ743" s="1194" t="str">
        <f>IF(AND(AD743=1,D743="Military",H743&lt;&gt;"Not given")=TRUE,IF(SUMIFS(P:P,A:A,A743)&gt;0,ABS((SUMIFS(P:P,A:A,A743)/VLOOKUP("USD",'Exchange Rates'!B:C,2,0)))/S743,"."),".")</f>
        <v>.</v>
      </c>
      <c r="BA743" s="1196" t="str">
        <f>IF(AND(AD743=1,D743="Military",H743&lt;&gt;"Not given")=TRUE,IF(SUMIFS(P:P,A:A,A743)&gt;0,IF((ABS((SUMIFS(P:P,A:A,A743)/VLOOKUP("USD",'Exchange Rates'!B:C,2,0)))/S743)&gt;1,(SUMIFS(P:P,A:A,A743)-S743)/S743,(S743-SUMIFS(P:P,A:A,A743))/SUMIFS(P:P,A:A,A743)),"."),".")</f>
        <v>.</v>
      </c>
    </row>
    <row r="744" spans="1:53" ht="15.95" customHeight="1">
      <c r="A744" s="1182" t="s">
        <v>2068</v>
      </c>
      <c r="B744" s="1182" t="s">
        <v>2028</v>
      </c>
      <c r="C744" s="1181">
        <v>44876</v>
      </c>
      <c r="D744" s="1182" t="s">
        <v>360</v>
      </c>
      <c r="E744" s="1182" t="s">
        <v>361</v>
      </c>
      <c r="F744" s="1183" t="s">
        <v>2069</v>
      </c>
      <c r="G744" s="1184" t="s">
        <v>2047</v>
      </c>
      <c r="H744" s="1185">
        <v>382000000</v>
      </c>
      <c r="I744" s="1180" t="s">
        <v>1419</v>
      </c>
      <c r="J744" s="1186" t="str">
        <f>VLOOKUP($I744,'Price List, Weapons &amp; Items'!B:C,2,0)</f>
        <v>Humanitarian</v>
      </c>
      <c r="K744" s="1186" t="str">
        <f>IF(I744=".",I744,VLOOKUP($I744,'Price List, Weapons &amp; Items'!B:D,3,0))</f>
        <v>Humanitarian</v>
      </c>
      <c r="L744" s="1187">
        <f>VLOOKUP(I744,'Price List, Weapons &amp; Items'!B:E,4,0)</f>
        <v>0</v>
      </c>
      <c r="M744" s="1188">
        <v>1</v>
      </c>
      <c r="N744" s="1188" t="s">
        <v>374</v>
      </c>
      <c r="O744" s="1188" t="str">
        <f>VLOOKUP($I744,'Price List, Weapons &amp; Items'!B:G,6,0)</f>
        <v>.</v>
      </c>
      <c r="P744" s="1185" t="str">
        <f t="shared" si="158"/>
        <v>No price</v>
      </c>
      <c r="Q744" s="1185" t="str">
        <f t="shared" si="159"/>
        <v>.</v>
      </c>
      <c r="R744" s="1185">
        <f t="shared" si="155"/>
        <v>382000000</v>
      </c>
      <c r="S744" s="1185">
        <f>IF(AND(AD744=1,R744&lt;&gt;".")=TRUE,R744/VLOOKUP(G744,'Exchange Rates'!B:C,2,0),IF(R744=".",".",""))</f>
        <v>1025861.3744394017</v>
      </c>
      <c r="T744" s="1185" t="str">
        <f>IF(AD744=1,IF(AF744="Value is not given at all",".",IF(AF744="Value is given by the source",S744,IF(AF744="Value is calculated with prices",(IF(SUMIFS(Q:Q,A:A,A744)&gt;0,SUMIFS(Q:Q,A:A,A744),"."))/VLOOKUP("USD",'Exchange Rates'!B:C,2,0),"Error with coding"))),"")</f>
        <v>.</v>
      </c>
      <c r="U744" s="1184" t="s">
        <v>675</v>
      </c>
      <c r="V744" s="974" t="s">
        <v>2070</v>
      </c>
      <c r="W744" s="1029" t="s">
        <v>2071</v>
      </c>
      <c r="X744" s="1183" t="s">
        <v>364</v>
      </c>
      <c r="Y744" s="1183" t="s">
        <v>364</v>
      </c>
      <c r="Z744" s="1184">
        <v>0</v>
      </c>
      <c r="AA744" s="1194">
        <v>0</v>
      </c>
      <c r="AB744" s="1180" t="s">
        <v>364</v>
      </c>
      <c r="AC744" s="1192" t="str">
        <f>""</f>
        <v/>
      </c>
      <c r="AD744" s="985">
        <v>1</v>
      </c>
      <c r="AE744" s="985" t="s">
        <v>368</v>
      </c>
      <c r="AF744" s="985" t="s">
        <v>369</v>
      </c>
      <c r="AG744" s="985">
        <v>1</v>
      </c>
      <c r="AH744" s="985">
        <v>11</v>
      </c>
      <c r="AI744" s="985">
        <v>0</v>
      </c>
      <c r="AJ744" s="1193">
        <f>VLOOKUP($I744,'Price List, Weapons &amp; Items'!B:F,5,0)</f>
        <v>0</v>
      </c>
      <c r="AK744" s="1193">
        <f t="shared" si="160"/>
        <v>0</v>
      </c>
      <c r="AL744" s="1193">
        <f t="shared" si="161"/>
        <v>0</v>
      </c>
      <c r="AM744" s="1193">
        <f t="shared" si="162"/>
        <v>0</v>
      </c>
      <c r="AN744" s="1194" t="str">
        <f>VLOOKUP($I744,'Price List, Weapons &amp; Items'!B:L,COLUMN('Price List, Weapons &amp; Items'!$J$11)-1,0)</f>
        <v>.</v>
      </c>
      <c r="AO744" s="1194" t="str">
        <f>IF(I744=".",".",VLOOKUP($I744,'Price List, Weapons &amp; Items'!B:J,3,0))</f>
        <v>Humanitarian</v>
      </c>
      <c r="AP744" s="1195" t="str">
        <f t="shared" ca="1" si="156"/>
        <v>school</v>
      </c>
      <c r="AQ744" s="1194">
        <f>VLOOKUP($I744,'Price List, Weapons &amp; Items'!B:L,COLUMN('Price List, Weapons &amp; Items'!$L$11)-1,0)</f>
        <v>0</v>
      </c>
      <c r="AR744" s="1194">
        <f t="shared" si="163"/>
        <v>0</v>
      </c>
      <c r="AS744" s="1194">
        <f t="shared" si="164"/>
        <v>0</v>
      </c>
      <c r="AT744" s="1194">
        <f t="shared" si="165"/>
        <v>1</v>
      </c>
      <c r="AU744" s="1194" t="str">
        <f t="shared" si="166"/>
        <v>.</v>
      </c>
      <c r="AV744" s="1194" t="str">
        <f t="shared" si="157"/>
        <v>.</v>
      </c>
      <c r="AW744" s="1194" t="str">
        <f t="shared" si="167"/>
        <v>.</v>
      </c>
      <c r="AX744" s="1194">
        <f>IFERROR(VLOOKUP(B744,'Share, Heavy Weapons to Ukraine'!B:Z,COLUMN('Share, Heavy Weapons to Ukraine'!C754)-1,0),0)</f>
        <v>0</v>
      </c>
      <c r="AY744" s="1194">
        <f>VLOOKUP('Bilateral Assistance, MAIN DATA'!B744,'Country Summary (€)'!B:F,COLUMN('Country Summary (€)'!C755)-1,FALSE)</f>
        <v>1</v>
      </c>
      <c r="AZ744" s="1194" t="str">
        <f>IF(AND(AD744=1,D744="Military",H744&lt;&gt;"Not given")=TRUE,IF(SUMIFS(P:P,A:A,A744)&gt;0,ABS((SUMIFS(P:P,A:A,A744)/VLOOKUP("USD",'Exchange Rates'!B:C,2,0)))/S744,"."),".")</f>
        <v>.</v>
      </c>
      <c r="BA744" s="1196" t="str">
        <f>IF(AND(AD744=1,D744="Military",H744&lt;&gt;"Not given")=TRUE,IF(SUMIFS(P:P,A:A,A744)&gt;0,IF((ABS((SUMIFS(P:P,A:A,A744)/VLOOKUP("USD",'Exchange Rates'!B:C,2,0)))/S744)&gt;1,(SUMIFS(P:P,A:A,A744)-S744)/S744,(S744-SUMIFS(P:P,A:A,A744))/SUMIFS(P:P,A:A,A744)),"."),".")</f>
        <v>.</v>
      </c>
    </row>
    <row r="745" spans="1:53" ht="15.95" customHeight="1">
      <c r="A745" s="1182" t="s">
        <v>2072</v>
      </c>
      <c r="B745" s="1182" t="s">
        <v>2028</v>
      </c>
      <c r="C745" s="1181">
        <v>44908</v>
      </c>
      <c r="D745" s="1182" t="s">
        <v>360</v>
      </c>
      <c r="E745" s="1182" t="s">
        <v>361</v>
      </c>
      <c r="F745" s="1183" t="s">
        <v>2073</v>
      </c>
      <c r="G745" s="1184" t="s">
        <v>364</v>
      </c>
      <c r="H745" s="1185" t="s">
        <v>457</v>
      </c>
      <c r="I745" s="1180" t="s">
        <v>364</v>
      </c>
      <c r="J745" s="1186" t="str">
        <f>VLOOKUP($I745,'Price List, Weapons &amp; Items'!B:C,2,0)</f>
        <v>.</v>
      </c>
      <c r="K745" s="1186" t="str">
        <f>IF(I745=".",I745,VLOOKUP($I745,'Price List, Weapons &amp; Items'!B:D,3,0))</f>
        <v>.</v>
      </c>
      <c r="L745" s="1187">
        <f>VLOOKUP(I745,'Price List, Weapons &amp; Items'!B:E,4,0)</f>
        <v>0</v>
      </c>
      <c r="M745" s="1188" t="s">
        <v>364</v>
      </c>
      <c r="N745" s="1188" t="s">
        <v>364</v>
      </c>
      <c r="O745" s="1188" t="str">
        <f>VLOOKUP($I745,'Price List, Weapons &amp; Items'!B:G,6,0)</f>
        <v>.</v>
      </c>
      <c r="P745" s="1185" t="str">
        <f t="shared" si="158"/>
        <v>.</v>
      </c>
      <c r="Q745" s="1185" t="str">
        <f t="shared" si="159"/>
        <v>.</v>
      </c>
      <c r="R745" s="1185" t="str">
        <f t="shared" si="155"/>
        <v>.</v>
      </c>
      <c r="S745" s="1185" t="str">
        <f>IF(AND(AD745=1,R745&lt;&gt;".")=TRUE,R745/VLOOKUP(G745,'Exchange Rates'!B:C,2,0),IF(R745=".",".",""))</f>
        <v>.</v>
      </c>
      <c r="T745" s="1185" t="str">
        <f>IF(AD745=1,IF(AF745="Value is not given at all",".",IF(AF745="Value is given by the source",S745,IF(AF745="Value is calculated with prices",(IF(SUMIFS(Q:Q,A:A,A745)&gt;0,SUMIFS(Q:Q,A:A,A745),"."))/VLOOKUP("USD",'Exchange Rates'!B:C,2,0),"Error with coding"))),"")</f>
        <v>.</v>
      </c>
      <c r="U745" s="1184" t="s">
        <v>365</v>
      </c>
      <c r="V745" s="974" t="s">
        <v>2074</v>
      </c>
      <c r="W745" s="1183" t="s">
        <v>364</v>
      </c>
      <c r="X745" s="1183" t="s">
        <v>364</v>
      </c>
      <c r="Y745" s="1183" t="s">
        <v>364</v>
      </c>
      <c r="Z745" s="1184">
        <v>0</v>
      </c>
      <c r="AA745" s="1194">
        <v>0</v>
      </c>
      <c r="AB745" s="1180" t="s">
        <v>364</v>
      </c>
      <c r="AC745" s="1192" t="str">
        <f>""</f>
        <v/>
      </c>
      <c r="AD745" s="985">
        <v>1</v>
      </c>
      <c r="AE745" s="985" t="s">
        <v>369</v>
      </c>
      <c r="AF745" s="985" t="s">
        <v>369</v>
      </c>
      <c r="AG745" s="985">
        <v>1</v>
      </c>
      <c r="AH745" s="985">
        <v>12</v>
      </c>
      <c r="AI745" s="985">
        <v>0</v>
      </c>
      <c r="AJ745" s="1193">
        <f>VLOOKUP($I745,'Price List, Weapons &amp; Items'!B:F,5,0)</f>
        <v>0</v>
      </c>
      <c r="AK745" s="1193">
        <f t="shared" si="160"/>
        <v>0</v>
      </c>
      <c r="AL745" s="1193">
        <f t="shared" si="161"/>
        <v>0</v>
      </c>
      <c r="AM745" s="1193">
        <f t="shared" si="162"/>
        <v>0</v>
      </c>
      <c r="AN745" s="1194" t="str">
        <f>VLOOKUP($I745,'Price List, Weapons &amp; Items'!B:L,COLUMN('Price List, Weapons &amp; Items'!$J$11)-1,0)</f>
        <v>.</v>
      </c>
      <c r="AO745" s="1194" t="str">
        <f>IF(I745=".",".",VLOOKUP($I745,'Price List, Weapons &amp; Items'!B:J,3,0))</f>
        <v>.</v>
      </c>
      <c r="AP745" s="1195" t="str">
        <f t="shared" ca="1" si="156"/>
        <v>.</v>
      </c>
      <c r="AQ745" s="1194">
        <f>VLOOKUP($I745,'Price List, Weapons &amp; Items'!B:L,COLUMN('Price List, Weapons &amp; Items'!$L$11)-1,0)</f>
        <v>0</v>
      </c>
      <c r="AR745" s="1194">
        <f t="shared" si="163"/>
        <v>1</v>
      </c>
      <c r="AS745" s="1194">
        <f t="shared" si="164"/>
        <v>0</v>
      </c>
      <c r="AT745" s="1194">
        <f t="shared" si="165"/>
        <v>1</v>
      </c>
      <c r="AU745" s="1194" t="str">
        <f t="shared" si="166"/>
        <v>.</v>
      </c>
      <c r="AV745" s="1194" t="str">
        <f t="shared" si="157"/>
        <v>.</v>
      </c>
      <c r="AW745" s="1194" t="str">
        <f t="shared" si="167"/>
        <v>.</v>
      </c>
      <c r="AX745" s="1194">
        <f>IFERROR(VLOOKUP(B745,'Share, Heavy Weapons to Ukraine'!B:Z,COLUMN('Share, Heavy Weapons to Ukraine'!C755)-1,0),0)</f>
        <v>0</v>
      </c>
      <c r="AY745" s="1194">
        <f>VLOOKUP('Bilateral Assistance, MAIN DATA'!B745,'Country Summary (€)'!B:F,COLUMN('Country Summary (€)'!C756)-1,FALSE)</f>
        <v>1</v>
      </c>
      <c r="AZ745" s="1194" t="str">
        <f>IF(AND(AD745=1,D745="Military",H745&lt;&gt;"Not given")=TRUE,IF(SUMIFS(P:P,A:A,A745)&gt;0,ABS((SUMIFS(P:P,A:A,A745)/VLOOKUP("USD",'Exchange Rates'!B:C,2,0)))/S745,"."),".")</f>
        <v>.</v>
      </c>
      <c r="BA745" s="1196" t="str">
        <f>IF(AND(AD745=1,D745="Military",H745&lt;&gt;"Not given")=TRUE,IF(SUMIFS(P:P,A:A,A745)&gt;0,IF((ABS((SUMIFS(P:P,A:A,A745)/VLOOKUP("USD",'Exchange Rates'!B:C,2,0)))/S745)&gt;1,(SUMIFS(P:P,A:A,A745)-S745)/S745,(S745-SUMIFS(P:P,A:A,A745))/SUMIFS(P:P,A:A,A745)),"."),".")</f>
        <v>.</v>
      </c>
    </row>
    <row r="746" spans="1:53" ht="15.95" customHeight="1">
      <c r="A746" s="1180" t="s">
        <v>2075</v>
      </c>
      <c r="B746" s="1180" t="s">
        <v>2076</v>
      </c>
      <c r="C746" s="1181" t="s">
        <v>2077</v>
      </c>
      <c r="D746" s="1182" t="s">
        <v>360</v>
      </c>
      <c r="E746" s="1182" t="s">
        <v>361</v>
      </c>
      <c r="F746" s="1183" t="s">
        <v>2078</v>
      </c>
      <c r="G746" s="1184" t="s">
        <v>456</v>
      </c>
      <c r="H746" s="1185" t="s">
        <v>457</v>
      </c>
      <c r="I746" s="1180" t="s">
        <v>986</v>
      </c>
      <c r="J746" s="1186" t="str">
        <f>VLOOKUP($I746,'Price List, Weapons &amp; Items'!B:C,2,0)</f>
        <v>Humanitarian</v>
      </c>
      <c r="K746" s="1186" t="str">
        <f>IF(I746=".",I746,VLOOKUP($I746,'Price List, Weapons &amp; Items'!B:D,3,0))</f>
        <v>Humanitarian</v>
      </c>
      <c r="L746" s="1187">
        <f>VLOOKUP(I746,'Price List, Weapons &amp; Items'!B:E,4,0)</f>
        <v>0</v>
      </c>
      <c r="M746" s="1188">
        <v>187</v>
      </c>
      <c r="N746" s="1188" t="s">
        <v>374</v>
      </c>
      <c r="O746" s="1188">
        <f>VLOOKUP($I746,'Price List, Weapons &amp; Items'!B:G,6,0)</f>
        <v>10000</v>
      </c>
      <c r="P746" s="1185">
        <f t="shared" si="158"/>
        <v>1870000</v>
      </c>
      <c r="Q746" s="1185" t="str">
        <f t="shared" si="159"/>
        <v>.</v>
      </c>
      <c r="R746" s="1185">
        <f t="shared" si="155"/>
        <v>1870000</v>
      </c>
      <c r="S746" s="1185">
        <f>IF(AND(AD746=1,R746&lt;&gt;".")=TRUE,R746/VLOOKUP(G746,'Exchange Rates'!B:C,2,0),IF(R746=".",".",""))</f>
        <v>1720647.7732793523</v>
      </c>
      <c r="T746" s="1185" t="str">
        <f>IF(AD746=1,IF(AF746="Value is not given at all",".",IF(AF746="Value is given by the source",S746,IF(AF746="Value is calculated with prices",(IF(SUMIFS(Q:Q,A:A,A746)&gt;0,SUMIFS(Q:Q,A:A,A746),"."))/VLOOKUP("USD",'Exchange Rates'!B:C,2,0),"Error with coding"))),"")</f>
        <v>.</v>
      </c>
      <c r="U746" s="1184" t="s">
        <v>365</v>
      </c>
      <c r="V746" s="1284" t="s">
        <v>2079</v>
      </c>
      <c r="W746" s="971" t="s">
        <v>2080</v>
      </c>
      <c r="X746" s="971" t="s">
        <v>2081</v>
      </c>
      <c r="Y746" s="971" t="s">
        <v>2082</v>
      </c>
      <c r="Z746" s="1184">
        <v>0</v>
      </c>
      <c r="AA746" s="1194">
        <v>0</v>
      </c>
      <c r="AB746" s="1201" t="s">
        <v>364</v>
      </c>
      <c r="AC746" s="1192" t="str">
        <f>""</f>
        <v/>
      </c>
      <c r="AD746" s="985">
        <v>1</v>
      </c>
      <c r="AE746" s="985" t="s">
        <v>436</v>
      </c>
      <c r="AF746" s="985" t="s">
        <v>369</v>
      </c>
      <c r="AG746" s="985">
        <v>0</v>
      </c>
      <c r="AH746" s="1193">
        <v>0</v>
      </c>
      <c r="AI746" s="1193">
        <v>0</v>
      </c>
      <c r="AJ746" s="1193">
        <f>VLOOKUP($I746,'Price List, Weapons &amp; Items'!B:F,5,0)</f>
        <v>0</v>
      </c>
      <c r="AK746" s="1193">
        <f t="shared" si="160"/>
        <v>0</v>
      </c>
      <c r="AL746" s="1193">
        <f t="shared" si="161"/>
        <v>0</v>
      </c>
      <c r="AM746" s="1193">
        <f t="shared" si="162"/>
        <v>0</v>
      </c>
      <c r="AN746" s="1194" t="str">
        <f>VLOOKUP($I746,'Price List, Weapons &amp; Items'!B:L,COLUMN('Price List, Weapons &amp; Items'!$J$11)-1,0)</f>
        <v>Miscellaneous</v>
      </c>
      <c r="AO746" s="1194" t="str">
        <f>IF(I746=".",".",VLOOKUP($I746,'Price List, Weapons &amp; Items'!B:J,3,0))</f>
        <v>Humanitarian</v>
      </c>
      <c r="AP746" s="1195" t="str">
        <f t="shared" ca="1" si="156"/>
        <v>ton of medical equipment</v>
      </c>
      <c r="AQ746" s="1194">
        <f>VLOOKUP($I746,'Price List, Weapons &amp; Items'!B:L,COLUMN('Price List, Weapons &amp; Items'!$L$11)-1,0)</f>
        <v>0</v>
      </c>
      <c r="AR746" s="1194">
        <f t="shared" si="163"/>
        <v>1</v>
      </c>
      <c r="AS746" s="1194">
        <f t="shared" si="164"/>
        <v>0</v>
      </c>
      <c r="AT746" s="1194" t="str">
        <f t="shared" si="165"/>
        <v>Value is not in date format</v>
      </c>
      <c r="AU746" s="1194" t="str">
        <f t="shared" si="166"/>
        <v>.</v>
      </c>
      <c r="AV746" s="1194" t="str">
        <f t="shared" si="157"/>
        <v>.</v>
      </c>
      <c r="AW746" s="1194" t="str">
        <f t="shared" si="167"/>
        <v>.</v>
      </c>
      <c r="AX746" s="1194">
        <f>IFERROR(VLOOKUP(B746,'Share, Heavy Weapons to Ukraine'!B:Z,COLUMN('Share, Heavy Weapons to Ukraine'!C756)-1,0),0)</f>
        <v>0</v>
      </c>
      <c r="AY746" s="1194">
        <f>VLOOKUP('Bilateral Assistance, MAIN DATA'!B746,'Country Summary (€)'!B:F,COLUMN('Country Summary (€)'!C757)-1,FALSE)</f>
        <v>0</v>
      </c>
      <c r="AZ746" s="1194" t="str">
        <f>IF(AND(AD746=1,D746="Military",H746&lt;&gt;"Not given")=TRUE,IF(SUMIFS(P:P,A:A,A746)&gt;0,ABS((SUMIFS(P:P,A:A,A746)/VLOOKUP("USD",'Exchange Rates'!B:C,2,0)))/S746,"."),".")</f>
        <v>.</v>
      </c>
      <c r="BA746" s="1196" t="str">
        <f>IF(AND(AD746=1,D746="Military",H746&lt;&gt;"Not given")=TRUE,IF(SUMIFS(P:P,A:A,A746)&gt;0,IF((ABS((SUMIFS(P:P,A:A,A746)/VLOOKUP("USD",'Exchange Rates'!B:C,2,0)))/S746)&gt;1,(SUMIFS(P:P,A:A,A746)-S746)/S746,(S746-SUMIFS(P:P,A:A,A746))/SUMIFS(P:P,A:A,A746)),"."),".")</f>
        <v>.</v>
      </c>
    </row>
    <row r="747" spans="1:53" ht="15.95" customHeight="1">
      <c r="A747" s="1180" t="s">
        <v>2083</v>
      </c>
      <c r="B747" s="1180" t="s">
        <v>2076</v>
      </c>
      <c r="C747" s="1220">
        <v>44816</v>
      </c>
      <c r="D747" s="1208" t="s">
        <v>360</v>
      </c>
      <c r="E747" s="1208" t="s">
        <v>361</v>
      </c>
      <c r="F747" s="1208" t="s">
        <v>2084</v>
      </c>
      <c r="G747" s="1184" t="s">
        <v>456</v>
      </c>
      <c r="H747" s="1185" t="s">
        <v>457</v>
      </c>
      <c r="I747" s="1180" t="s">
        <v>986</v>
      </c>
      <c r="J747" s="1186" t="str">
        <f>VLOOKUP($I747,'Price List, Weapons &amp; Items'!B:C,2,0)</f>
        <v>Humanitarian</v>
      </c>
      <c r="K747" s="1186" t="str">
        <f>IF(I747=".",I747,VLOOKUP($I747,'Price List, Weapons &amp; Items'!B:D,3,0))</f>
        <v>Humanitarian</v>
      </c>
      <c r="L747" s="1187">
        <f>VLOOKUP(I747,'Price List, Weapons &amp; Items'!B:E,4,0)</f>
        <v>0</v>
      </c>
      <c r="M747" s="1188">
        <v>7.7249999999999996</v>
      </c>
      <c r="N747" s="1188" t="s">
        <v>374</v>
      </c>
      <c r="O747" s="1188">
        <f>VLOOKUP($I747,'Price List, Weapons &amp; Items'!B:G,6,0)</f>
        <v>10000</v>
      </c>
      <c r="P747" s="1185">
        <f t="shared" si="158"/>
        <v>77250</v>
      </c>
      <c r="Q747" s="1185" t="str">
        <f t="shared" si="159"/>
        <v>.</v>
      </c>
      <c r="R747" s="1185">
        <f t="shared" si="155"/>
        <v>77250</v>
      </c>
      <c r="S747" s="1185">
        <f>IF(AND(AD747=1,R747&lt;&gt;".")=TRUE,R747/VLOOKUP(G747,'Exchange Rates'!B:C,2,0),IF(R747=".",".",""))</f>
        <v>71080.23555391976</v>
      </c>
      <c r="T747" s="1185" t="str">
        <f>IF(AD747=1,IF(AF747="Value is not given at all",".",IF(AF747="Value is given by the source",S747,IF(AF747="Value is calculated with prices",(IF(SUMIFS(Q:Q,A:A,A747)&gt;0,SUMIFS(Q:Q,A:A,A747),"."))/VLOOKUP("USD",'Exchange Rates'!B:C,2,0),"Error with coding"))),"")</f>
        <v>.</v>
      </c>
      <c r="U747" s="1184" t="s">
        <v>365</v>
      </c>
      <c r="V747" s="979" t="s">
        <v>2085</v>
      </c>
      <c r="W747" s="979" t="s">
        <v>2086</v>
      </c>
      <c r="X747" s="971" t="s">
        <v>2087</v>
      </c>
      <c r="Y747" s="971" t="s">
        <v>2088</v>
      </c>
      <c r="Z747" s="1184">
        <v>0</v>
      </c>
      <c r="AA747" s="1194">
        <v>0</v>
      </c>
      <c r="AB747" s="991" t="s">
        <v>2085</v>
      </c>
      <c r="AC747" s="1192" t="str">
        <f>""</f>
        <v/>
      </c>
      <c r="AD747" s="985">
        <v>1</v>
      </c>
      <c r="AE747" s="985" t="s">
        <v>436</v>
      </c>
      <c r="AF747" s="985" t="s">
        <v>369</v>
      </c>
      <c r="AG747" s="985">
        <v>1</v>
      </c>
      <c r="AH747" s="1193">
        <v>9</v>
      </c>
      <c r="AI747" s="1193">
        <v>0</v>
      </c>
      <c r="AJ747" s="1193">
        <f>VLOOKUP($I747,'Price List, Weapons &amp; Items'!B:F,5,0)</f>
        <v>0</v>
      </c>
      <c r="AK747" s="1193">
        <f t="shared" si="160"/>
        <v>0</v>
      </c>
      <c r="AL747" s="1193">
        <f t="shared" si="161"/>
        <v>0</v>
      </c>
      <c r="AM747" s="1193">
        <f t="shared" si="162"/>
        <v>0</v>
      </c>
      <c r="AN747" s="1194" t="str">
        <f>VLOOKUP($I747,'Price List, Weapons &amp; Items'!B:L,COLUMN('Price List, Weapons &amp; Items'!$J$11)-1,0)</f>
        <v>Miscellaneous</v>
      </c>
      <c r="AO747" s="1194" t="str">
        <f>IF(I747=".",".",VLOOKUP($I747,'Price List, Weapons &amp; Items'!B:J,3,0))</f>
        <v>Humanitarian</v>
      </c>
      <c r="AP747" s="1195" t="str">
        <f t="shared" ca="1" si="156"/>
        <v>ton of medical equipment</v>
      </c>
      <c r="AQ747" s="1194">
        <f>VLOOKUP($I747,'Price List, Weapons &amp; Items'!B:L,COLUMN('Price List, Weapons &amp; Items'!$L$11)-1,0)</f>
        <v>0</v>
      </c>
      <c r="AR747" s="1194">
        <f t="shared" si="163"/>
        <v>1</v>
      </c>
      <c r="AS747" s="1194">
        <f t="shared" si="164"/>
        <v>0</v>
      </c>
      <c r="AT747" s="1194">
        <f t="shared" si="165"/>
        <v>1</v>
      </c>
      <c r="AU747" s="1194" t="str">
        <f t="shared" si="166"/>
        <v>.</v>
      </c>
      <c r="AV747" s="1194" t="str">
        <f t="shared" si="157"/>
        <v>.</v>
      </c>
      <c r="AW747" s="1194" t="str">
        <f t="shared" si="167"/>
        <v>.</v>
      </c>
      <c r="AX747" s="1194">
        <f>IFERROR(VLOOKUP(B747,'Share, Heavy Weapons to Ukraine'!B:Z,COLUMN('Share, Heavy Weapons to Ukraine'!C757)-1,0),0)</f>
        <v>0</v>
      </c>
      <c r="AY747" s="1194">
        <f>VLOOKUP('Bilateral Assistance, MAIN DATA'!B747,'Country Summary (€)'!B:F,COLUMN('Country Summary (€)'!C758)-1,FALSE)</f>
        <v>0</v>
      </c>
      <c r="AZ747" s="1194" t="str">
        <f>IF(AND(AD747=1,D747="Military",H747&lt;&gt;"Not given")=TRUE,IF(SUMIFS(P:P,A:A,A747)&gt;0,ABS((SUMIFS(P:P,A:A,A747)/VLOOKUP("USD",'Exchange Rates'!B:C,2,0)))/S747,"."),".")</f>
        <v>.</v>
      </c>
      <c r="BA747" s="1196" t="str">
        <f>IF(AND(AD747=1,D747="Military",H747&lt;&gt;"Not given")=TRUE,IF(SUMIFS(P:P,A:A,A747)&gt;0,IF((ABS((SUMIFS(P:P,A:A,A747)/VLOOKUP("USD",'Exchange Rates'!B:C,2,0)))/S747)&gt;1,(SUMIFS(P:P,A:A,A747)-S747)/S747,(S747-SUMIFS(P:P,A:A,A747))/SUMIFS(P:P,A:A,A747)),"."),".")</f>
        <v>.</v>
      </c>
    </row>
    <row r="748" spans="1:53" ht="15.95" customHeight="1">
      <c r="A748" s="1180" t="s">
        <v>2089</v>
      </c>
      <c r="B748" s="1180" t="s">
        <v>2076</v>
      </c>
      <c r="C748" s="1220">
        <v>45028</v>
      </c>
      <c r="D748" s="1208" t="s">
        <v>360</v>
      </c>
      <c r="E748" s="1208" t="s">
        <v>371</v>
      </c>
      <c r="F748" s="1208" t="s">
        <v>2090</v>
      </c>
      <c r="G748" s="1184" t="s">
        <v>456</v>
      </c>
      <c r="H748" s="1185" t="s">
        <v>457</v>
      </c>
      <c r="I748" s="1180" t="s">
        <v>2091</v>
      </c>
      <c r="J748" s="1186" t="str">
        <f>VLOOKUP($I748,'Price List, Weapons &amp; Items'!B:C,2,0)</f>
        <v>Humanitarian</v>
      </c>
      <c r="K748" s="1186" t="str">
        <f>IF(I748=".",I748,VLOOKUP($I748,'Price List, Weapons &amp; Items'!B:D,3,0))</f>
        <v>Humanitarian</v>
      </c>
      <c r="L748" s="1187">
        <f>VLOOKUP(I748,'Price List, Weapons &amp; Items'!B:E,4,0)</f>
        <v>0</v>
      </c>
      <c r="M748" s="1188" t="s">
        <v>374</v>
      </c>
      <c r="N748" s="1188" t="s">
        <v>374</v>
      </c>
      <c r="O748" s="1188">
        <f>VLOOKUP($I748,'Price List, Weapons &amp; Items'!B:G,6,0)</f>
        <v>190000</v>
      </c>
      <c r="P748" s="1185" t="str">
        <f t="shared" si="158"/>
        <v>.</v>
      </c>
      <c r="Q748" s="1185" t="str">
        <f t="shared" si="159"/>
        <v>.</v>
      </c>
      <c r="R748" s="1185" t="str">
        <f t="shared" si="155"/>
        <v>.</v>
      </c>
      <c r="S748" s="1185" t="str">
        <f>IF(AND(AD748=1,R748&lt;&gt;".")=TRUE,R748/VLOOKUP(G748,'Exchange Rates'!B:C,2,0),IF(R748=".",".",""))</f>
        <v>.</v>
      </c>
      <c r="T748" s="1185" t="str">
        <f>IF(AD748=1,IF(AF748="Value is not given at all",".",IF(AF748="Value is given by the source",S748,IF(AF748="Value is calculated with prices",(IF(SUMIFS(Q:Q,A:A,A748)&gt;0,SUMIFS(Q:Q,A:A,A748),"."))/VLOOKUP("USD",'Exchange Rates'!B:C,2,0),"Error with coding"))),"")</f>
        <v>.</v>
      </c>
      <c r="U748" s="1184" t="s">
        <v>675</v>
      </c>
      <c r="V748" s="979" t="s">
        <v>2092</v>
      </c>
      <c r="W748" s="979" t="s">
        <v>2093</v>
      </c>
      <c r="X748" s="971" t="s">
        <v>2094</v>
      </c>
      <c r="Y748" s="971" t="s">
        <v>364</v>
      </c>
      <c r="Z748" s="1184">
        <v>0</v>
      </c>
      <c r="AA748" s="1194">
        <v>1</v>
      </c>
      <c r="AB748" s="991" t="s">
        <v>364</v>
      </c>
      <c r="AC748" s="1192" t="str">
        <f>""</f>
        <v/>
      </c>
      <c r="AD748" s="985">
        <v>1</v>
      </c>
      <c r="AE748" s="985" t="s">
        <v>369</v>
      </c>
      <c r="AF748" s="985" t="s">
        <v>369</v>
      </c>
      <c r="AG748" s="985">
        <v>1</v>
      </c>
      <c r="AH748" s="1193">
        <v>16</v>
      </c>
      <c r="AI748" s="1193">
        <v>0</v>
      </c>
      <c r="AJ748" s="1193">
        <f>VLOOKUP($I748,'Price List, Weapons &amp; Items'!B:F,5,0)</f>
        <v>0</v>
      </c>
      <c r="AK748" s="1193">
        <f t="shared" si="160"/>
        <v>0</v>
      </c>
      <c r="AL748" s="1193">
        <f t="shared" si="161"/>
        <v>0</v>
      </c>
      <c r="AM748" s="1193">
        <f t="shared" si="162"/>
        <v>0</v>
      </c>
      <c r="AN748" s="1194" t="str">
        <f>VLOOKUP($I748,'Price List, Weapons &amp; Items'!B:L,COLUMN('Price List, Weapons &amp; Items'!$J$11)-1,0)</f>
        <v>Miscellaneous</v>
      </c>
      <c r="AO748" s="1194" t="str">
        <f>IF(I748=".",".",VLOOKUP($I748,'Price List, Weapons &amp; Items'!B:J,3,0))</f>
        <v>Humanitarian</v>
      </c>
      <c r="AP748" s="1195" t="str">
        <f t="shared" ca="1" si="156"/>
        <v>school bus</v>
      </c>
      <c r="AQ748" s="1194">
        <f>VLOOKUP($I748,'Price List, Weapons &amp; Items'!B:L,COLUMN('Price List, Weapons &amp; Items'!$L$11)-1,0)</f>
        <v>0</v>
      </c>
      <c r="AR748" s="1194">
        <f t="shared" si="163"/>
        <v>0</v>
      </c>
      <c r="AS748" s="1194">
        <f t="shared" si="164"/>
        <v>0</v>
      </c>
      <c r="AT748" s="1194">
        <f t="shared" si="165"/>
        <v>1</v>
      </c>
      <c r="AU748" s="1194" t="str">
        <f t="shared" si="166"/>
        <v>.</v>
      </c>
      <c r="AV748" s="1194" t="str">
        <f t="shared" si="157"/>
        <v>.</v>
      </c>
      <c r="AW748" s="1194" t="str">
        <f t="shared" si="167"/>
        <v>.</v>
      </c>
      <c r="AX748" s="1194">
        <f>IFERROR(VLOOKUP(B748,'Share, Heavy Weapons to Ukraine'!B:Z,COLUMN('Share, Heavy Weapons to Ukraine'!C758)-1,0),0)</f>
        <v>0</v>
      </c>
      <c r="AY748" s="1194">
        <f>VLOOKUP('Bilateral Assistance, MAIN DATA'!B748,'Country Summary (€)'!B:F,COLUMN('Country Summary (€)'!C759)-1,FALSE)</f>
        <v>0</v>
      </c>
      <c r="AZ748" s="1194" t="str">
        <f>IF(AND(AD748=1,D748="Military",H748&lt;&gt;"Not given")=TRUE,IF(SUMIFS(P:P,A:A,A748)&gt;0,ABS((SUMIFS(P:P,A:A,A748)/VLOOKUP("USD",'Exchange Rates'!B:C,2,0)))/S748,"."),".")</f>
        <v>.</v>
      </c>
      <c r="BA748" s="1196" t="str">
        <f>IF(AND(AD748=1,D748="Military",H748&lt;&gt;"Not given")=TRUE,IF(SUMIFS(P:P,A:A,A748)&gt;0,IF((ABS((SUMIFS(P:P,A:A,A748)/VLOOKUP("USD",'Exchange Rates'!B:C,2,0)))/S748)&gt;1,(SUMIFS(P:P,A:A,A748)-S748)/S748,(S748-SUMIFS(P:P,A:A,A748))/SUMIFS(P:P,A:A,A748)),"."),".")</f>
        <v>.</v>
      </c>
    </row>
    <row r="749" spans="1:53" ht="15.95" customHeight="1">
      <c r="A749" s="1180" t="s">
        <v>2095</v>
      </c>
      <c r="B749" s="1180" t="s">
        <v>2096</v>
      </c>
      <c r="C749" s="1181">
        <v>44616</v>
      </c>
      <c r="D749" s="1182" t="s">
        <v>360</v>
      </c>
      <c r="E749" s="1182" t="s">
        <v>361</v>
      </c>
      <c r="F749" s="1183" t="s">
        <v>2097</v>
      </c>
      <c r="G749" s="1184" t="s">
        <v>483</v>
      </c>
      <c r="H749" s="1185">
        <v>19000000</v>
      </c>
      <c r="I749" s="1180" t="s">
        <v>364</v>
      </c>
      <c r="J749" s="1186" t="str">
        <f>VLOOKUP($I749,'Price List, Weapons &amp; Items'!B:C,2,0)</f>
        <v>.</v>
      </c>
      <c r="K749" s="1186" t="str">
        <f>IF(I749=".",I749,VLOOKUP($I749,'Price List, Weapons &amp; Items'!B:D,3,0))</f>
        <v>.</v>
      </c>
      <c r="L749" s="1187">
        <f>VLOOKUP(I749,'Price List, Weapons &amp; Items'!B:E,4,0)</f>
        <v>0</v>
      </c>
      <c r="M749" s="1188" t="s">
        <v>364</v>
      </c>
      <c r="N749" s="1188" t="s">
        <v>364</v>
      </c>
      <c r="O749" s="1188" t="str">
        <f>VLOOKUP($I749,'Price List, Weapons &amp; Items'!B:G,6,0)</f>
        <v>.</v>
      </c>
      <c r="P749" s="1185" t="str">
        <f t="shared" si="158"/>
        <v>.</v>
      </c>
      <c r="Q749" s="1185" t="str">
        <f t="shared" si="159"/>
        <v>.</v>
      </c>
      <c r="R749" s="1185">
        <f t="shared" si="155"/>
        <v>19000000</v>
      </c>
      <c r="S749" s="1185">
        <f>IF(AND(AD749=1,R749&lt;&gt;".")=TRUE,R749/VLOOKUP(G749,'Exchange Rates'!B:C,2,0),IF(R749=".",".",""))</f>
        <v>19000000</v>
      </c>
      <c r="T749" s="1185" t="str">
        <f>IF(AD749=1,IF(AF749="Value is not given at all",".",IF(AF749="Value is given by the source",S749,IF(AF749="Value is calculated with prices",(IF(SUMIFS(Q:Q,A:A,A749)&gt;0,SUMIFS(Q:Q,A:A,A749),"."))/VLOOKUP("USD",'Exchange Rates'!B:C,2,0),"Error with coding"))),"")</f>
        <v>.</v>
      </c>
      <c r="U749" s="1184" t="s">
        <v>365</v>
      </c>
      <c r="V749" s="980" t="s">
        <v>2098</v>
      </c>
      <c r="W749" s="971" t="s">
        <v>2099</v>
      </c>
      <c r="X749" s="1190" t="s">
        <v>364</v>
      </c>
      <c r="Y749" s="1190" t="s">
        <v>364</v>
      </c>
      <c r="Z749" s="1184">
        <v>0</v>
      </c>
      <c r="AA749" s="1194">
        <v>1</v>
      </c>
      <c r="AB749" s="1201" t="s">
        <v>364</v>
      </c>
      <c r="AC749" s="1192" t="str">
        <f>""</f>
        <v/>
      </c>
      <c r="AD749" s="1193">
        <v>1</v>
      </c>
      <c r="AE749" s="1193" t="s">
        <v>368</v>
      </c>
      <c r="AF749" s="1193" t="s">
        <v>369</v>
      </c>
      <c r="AG749" s="1193">
        <v>1</v>
      </c>
      <c r="AH749" s="1193">
        <v>2</v>
      </c>
      <c r="AI749" s="1193">
        <v>0</v>
      </c>
      <c r="AJ749" s="1193">
        <f>VLOOKUP($I749,'Price List, Weapons &amp; Items'!B:F,5,0)</f>
        <v>0</v>
      </c>
      <c r="AK749" s="1193">
        <f t="shared" si="160"/>
        <v>0</v>
      </c>
      <c r="AL749" s="1193">
        <f t="shared" si="161"/>
        <v>0</v>
      </c>
      <c r="AM749" s="1193">
        <f t="shared" si="162"/>
        <v>0</v>
      </c>
      <c r="AN749" s="1194" t="str">
        <f>VLOOKUP($I749,'Price List, Weapons &amp; Items'!B:L,COLUMN('Price List, Weapons &amp; Items'!$J$11)-1,0)</f>
        <v>.</v>
      </c>
      <c r="AO749" s="1194" t="str">
        <f>IF(I749=".",".",VLOOKUP($I749,'Price List, Weapons &amp; Items'!B:J,3,0))</f>
        <v>.</v>
      </c>
      <c r="AP749" s="1195" t="str">
        <f t="shared" ca="1" si="156"/>
        <v>.</v>
      </c>
      <c r="AQ749" s="1194">
        <f>VLOOKUP($I749,'Price List, Weapons &amp; Items'!B:L,COLUMN('Price List, Weapons &amp; Items'!$L$11)-1,0)</f>
        <v>0</v>
      </c>
      <c r="AR749" s="1194">
        <f t="shared" si="163"/>
        <v>1</v>
      </c>
      <c r="AS749" s="1194">
        <f t="shared" si="164"/>
        <v>0</v>
      </c>
      <c r="AT749" s="1194">
        <f t="shared" si="165"/>
        <v>1</v>
      </c>
      <c r="AU749" s="1194" t="str">
        <f t="shared" si="166"/>
        <v>.</v>
      </c>
      <c r="AV749" s="1194" t="str">
        <f t="shared" si="157"/>
        <v>.</v>
      </c>
      <c r="AW749" s="1194" t="str">
        <f t="shared" si="167"/>
        <v>.</v>
      </c>
      <c r="AX749" s="1194">
        <f>IFERROR(VLOOKUP(B749,'Share, Heavy Weapons to Ukraine'!B:Z,COLUMN('Share, Heavy Weapons to Ukraine'!C759)-1,0),0)</f>
        <v>0</v>
      </c>
      <c r="AY749" s="1194">
        <f>VLOOKUP('Bilateral Assistance, MAIN DATA'!B749,'Country Summary (€)'!B:F,COLUMN('Country Summary (€)'!C760)-1,FALSE)</f>
        <v>1</v>
      </c>
      <c r="AZ749" s="1194" t="str">
        <f>IF(AND(AD749=1,D749="Military",H749&lt;&gt;"Not given")=TRUE,IF(SUMIFS(P:P,A:A,A749)&gt;0,ABS((SUMIFS(P:P,A:A,A749)/VLOOKUP("USD",'Exchange Rates'!B:C,2,0)))/S749,"."),".")</f>
        <v>.</v>
      </c>
      <c r="BA749" s="1196" t="str">
        <f>IF(AND(AD749=1,D749="Military",H749&lt;&gt;"Not given")=TRUE,IF(SUMIFS(P:P,A:A,A749)&gt;0,IF((ABS((SUMIFS(P:P,A:A,A749)/VLOOKUP("USD",'Exchange Rates'!B:C,2,0)))/S749)&gt;1,(SUMIFS(P:P,A:A,A749)-S749)/S749,(S749-SUMIFS(P:P,A:A,A749))/SUMIFS(P:P,A:A,A749)),"."),".")</f>
        <v>.</v>
      </c>
    </row>
    <row r="750" spans="1:53" ht="15.95" customHeight="1">
      <c r="A750" s="1180" t="s">
        <v>2100</v>
      </c>
      <c r="B750" s="1180" t="s">
        <v>2096</v>
      </c>
      <c r="C750" s="1181">
        <v>44627</v>
      </c>
      <c r="D750" s="1182" t="s">
        <v>360</v>
      </c>
      <c r="E750" s="1182" t="s">
        <v>371</v>
      </c>
      <c r="F750" s="1183" t="s">
        <v>2101</v>
      </c>
      <c r="G750" s="1184" t="s">
        <v>364</v>
      </c>
      <c r="H750" s="1185" t="s">
        <v>457</v>
      </c>
      <c r="I750" s="1180" t="s">
        <v>2102</v>
      </c>
      <c r="J750" s="1186" t="str">
        <f>VLOOKUP($I750,'Price List, Weapons &amp; Items'!B:C,2,0)</f>
        <v>Humanitarian</v>
      </c>
      <c r="K750" s="1186" t="str">
        <f>IF(I750=".",I750,VLOOKUP($I750,'Price List, Weapons &amp; Items'!B:D,3,0))</f>
        <v>Humanitarian</v>
      </c>
      <c r="L750" s="1187">
        <f>VLOOKUP(I750,'Price List, Weapons &amp; Items'!B:E,4,0)</f>
        <v>0</v>
      </c>
      <c r="M750" s="1188">
        <v>4000</v>
      </c>
      <c r="N750" s="1188" t="s">
        <v>374</v>
      </c>
      <c r="O750" s="1188" t="str">
        <f>VLOOKUP($I750,'Price List, Weapons &amp; Items'!B:G,6,0)</f>
        <v>.</v>
      </c>
      <c r="P750" s="1185" t="str">
        <f t="shared" si="158"/>
        <v>No price</v>
      </c>
      <c r="Q750" s="1185" t="str">
        <f t="shared" si="159"/>
        <v>.</v>
      </c>
      <c r="R750" s="1185" t="str">
        <f t="shared" si="155"/>
        <v>.</v>
      </c>
      <c r="S750" s="1185" t="str">
        <f>IF(AND(AD750=1,R750&lt;&gt;".")=TRUE,R750/VLOOKUP(G750,'Exchange Rates'!B:C,2,0),IF(R750=".",".",""))</f>
        <v>.</v>
      </c>
      <c r="T750" s="1185" t="str">
        <f>IF(AD750=1,IF(AF750="Value is not given at all",".",IF(AF750="Value is given by the source",S750,IF(AF750="Value is calculated with prices",(IF(SUMIFS(Q:Q,A:A,A750)&gt;0,SUMIFS(Q:Q,A:A,A750),"."))/VLOOKUP("USD",'Exchange Rates'!B:C,2,0),"Error with coding"))),"")</f>
        <v>.</v>
      </c>
      <c r="U750" s="1184" t="s">
        <v>365</v>
      </c>
      <c r="V750" s="971" t="s">
        <v>2103</v>
      </c>
      <c r="W750" s="971" t="s">
        <v>2104</v>
      </c>
      <c r="X750" s="1190" t="s">
        <v>364</v>
      </c>
      <c r="Y750" s="1190" t="s">
        <v>364</v>
      </c>
      <c r="Z750" s="1184">
        <v>0</v>
      </c>
      <c r="AA750" s="1194">
        <v>0</v>
      </c>
      <c r="AB750" s="1201" t="s">
        <v>364</v>
      </c>
      <c r="AC750" s="1192" t="str">
        <f>""</f>
        <v/>
      </c>
      <c r="AD750" s="1193">
        <v>1</v>
      </c>
      <c r="AE750" s="1193" t="s">
        <v>369</v>
      </c>
      <c r="AF750" s="1193" t="s">
        <v>369</v>
      </c>
      <c r="AG750" s="1193">
        <v>1</v>
      </c>
      <c r="AH750" s="1193">
        <v>3</v>
      </c>
      <c r="AI750" s="1193">
        <v>0</v>
      </c>
      <c r="AJ750" s="1193">
        <f>VLOOKUP($I750,'Price List, Weapons &amp; Items'!B:F,5,0)</f>
        <v>0</v>
      </c>
      <c r="AK750" s="1193">
        <f t="shared" si="160"/>
        <v>0</v>
      </c>
      <c r="AL750" s="1193">
        <f t="shared" si="161"/>
        <v>0</v>
      </c>
      <c r="AM750" s="1193">
        <f t="shared" si="162"/>
        <v>0</v>
      </c>
      <c r="AN750" s="1194" t="str">
        <f>VLOOKUP($I750,'Price List, Weapons &amp; Items'!B:L,COLUMN('Price List, Weapons &amp; Items'!$J$11)-1,0)</f>
        <v>.</v>
      </c>
      <c r="AO750" s="1194" t="str">
        <f>IF(I750=".",".",VLOOKUP($I750,'Price List, Weapons &amp; Items'!B:J,3,0))</f>
        <v>Humanitarian</v>
      </c>
      <c r="AP750" s="1195" t="str">
        <f t="shared" ca="1" si="156"/>
        <v>blood bag</v>
      </c>
      <c r="AQ750" s="1194">
        <f>VLOOKUP($I750,'Price List, Weapons &amp; Items'!B:L,COLUMN('Price List, Weapons &amp; Items'!$L$11)-1,0)</f>
        <v>0</v>
      </c>
      <c r="AR750" s="1194">
        <f t="shared" si="163"/>
        <v>1</v>
      </c>
      <c r="AS750" s="1194">
        <f t="shared" si="164"/>
        <v>0</v>
      </c>
      <c r="AT750" s="1194">
        <f t="shared" si="165"/>
        <v>1</v>
      </c>
      <c r="AU750" s="1194" t="str">
        <f t="shared" si="166"/>
        <v>.</v>
      </c>
      <c r="AV750" s="1194" t="str">
        <f t="shared" si="157"/>
        <v>.</v>
      </c>
      <c r="AW750" s="1194" t="str">
        <f t="shared" si="167"/>
        <v>.</v>
      </c>
      <c r="AX750" s="1194">
        <f>IFERROR(VLOOKUP(B750,'Share, Heavy Weapons to Ukraine'!B:Z,COLUMN('Share, Heavy Weapons to Ukraine'!C760)-1,0),0)</f>
        <v>0</v>
      </c>
      <c r="AY750" s="1194">
        <f>VLOOKUP('Bilateral Assistance, MAIN DATA'!B750,'Country Summary (€)'!B:F,COLUMN('Country Summary (€)'!C761)-1,FALSE)</f>
        <v>1</v>
      </c>
      <c r="AZ750" s="1194" t="str">
        <f>IF(AND(AD750=1,D750="Military",H750&lt;&gt;"Not given")=TRUE,IF(SUMIFS(P:P,A:A,A750)&gt;0,ABS((SUMIFS(P:P,A:A,A750)/VLOOKUP("USD",'Exchange Rates'!B:C,2,0)))/S750,"."),".")</f>
        <v>.</v>
      </c>
      <c r="BA750" s="1196" t="str">
        <f>IF(AND(AD750=1,D750="Military",H750&lt;&gt;"Not given")=TRUE,IF(SUMIFS(P:P,A:A,A750)&gt;0,IF((ABS((SUMIFS(P:P,A:A,A750)/VLOOKUP("USD",'Exchange Rates'!B:C,2,0)))/S750)&gt;1,(SUMIFS(P:P,A:A,A750)-S750)/S750,(S750-SUMIFS(P:P,A:A,A750))/SUMIFS(P:P,A:A,A750)),"."),".")</f>
        <v>.</v>
      </c>
    </row>
    <row r="751" spans="1:53" ht="15.95" customHeight="1">
      <c r="A751" s="1182" t="s">
        <v>2105</v>
      </c>
      <c r="B751" s="1182" t="s">
        <v>2096</v>
      </c>
      <c r="C751" s="1181">
        <v>44631</v>
      </c>
      <c r="D751" s="1182" t="s">
        <v>360</v>
      </c>
      <c r="E751" s="1182" t="s">
        <v>371</v>
      </c>
      <c r="F751" s="1183" t="s">
        <v>2106</v>
      </c>
      <c r="G751" s="1184" t="s">
        <v>456</v>
      </c>
      <c r="H751" s="1185" t="s">
        <v>457</v>
      </c>
      <c r="I751" s="1180" t="s">
        <v>2107</v>
      </c>
      <c r="J751" s="1186" t="str">
        <f>VLOOKUP($I751,'Price List, Weapons &amp; Items'!B:C,2,0)</f>
        <v>Humanitarian</v>
      </c>
      <c r="K751" s="1186" t="str">
        <f>IF(I751=".",I751,VLOOKUP($I751,'Price List, Weapons &amp; Items'!B:D,3,0))</f>
        <v>Humanitarian</v>
      </c>
      <c r="L751" s="1187">
        <f>VLOOKUP(I751,'Price List, Weapons &amp; Items'!B:E,4,0)</f>
        <v>0</v>
      </c>
      <c r="M751" s="1188">
        <v>10000</v>
      </c>
      <c r="N751" s="1188" t="s">
        <v>374</v>
      </c>
      <c r="O751" s="1188">
        <f>VLOOKUP($I751,'Price List, Weapons &amp; Items'!B:G,6,0)</f>
        <v>10</v>
      </c>
      <c r="P751" s="1185">
        <f t="shared" si="158"/>
        <v>100000</v>
      </c>
      <c r="Q751" s="1185" t="str">
        <f t="shared" si="159"/>
        <v>.</v>
      </c>
      <c r="R751" s="1185">
        <f t="shared" si="155"/>
        <v>142996</v>
      </c>
      <c r="S751" s="1185">
        <f>IF(AND(AD751=1,R751&lt;&gt;".")=TRUE,R751/VLOOKUP(G751,'Exchange Rates'!B:C,2,0),IF(R751=".",".",""))</f>
        <v>131575.26683842472</v>
      </c>
      <c r="T751" s="1185" t="str">
        <f>IF(AD751=1,IF(AF751="Value is not given at all",".",IF(AF751="Value is given by the source",S751,IF(AF751="Value is calculated with prices",(IF(SUMIFS(Q:Q,A:A,A751)&gt;0,SUMIFS(Q:Q,A:A,A751),"."))/VLOOKUP("USD",'Exchange Rates'!B:C,2,0),"Error with coding"))),"")</f>
        <v>.</v>
      </c>
      <c r="U751" s="1184" t="s">
        <v>365</v>
      </c>
      <c r="V751" s="974" t="s">
        <v>2103</v>
      </c>
      <c r="W751" s="974" t="s">
        <v>2104</v>
      </c>
      <c r="X751" s="1183" t="s">
        <v>364</v>
      </c>
      <c r="Y751" s="1183" t="s">
        <v>364</v>
      </c>
      <c r="Z751" s="1184">
        <v>0</v>
      </c>
      <c r="AA751" s="1194">
        <v>0</v>
      </c>
      <c r="AB751" s="1201" t="s">
        <v>364</v>
      </c>
      <c r="AC751" s="1192" t="str">
        <f>""</f>
        <v/>
      </c>
      <c r="AD751" s="1193">
        <v>1</v>
      </c>
      <c r="AE751" s="1193" t="s">
        <v>436</v>
      </c>
      <c r="AF751" s="1193" t="s">
        <v>369</v>
      </c>
      <c r="AG751" s="1193">
        <v>1</v>
      </c>
      <c r="AH751" s="1193">
        <v>3</v>
      </c>
      <c r="AI751" s="1193">
        <v>0</v>
      </c>
      <c r="AJ751" s="1193">
        <f>VLOOKUP($I751,'Price List, Weapons &amp; Items'!B:F,5,0)</f>
        <v>0</v>
      </c>
      <c r="AK751" s="1193">
        <f t="shared" si="160"/>
        <v>0</v>
      </c>
      <c r="AL751" s="1193">
        <f t="shared" si="161"/>
        <v>0</v>
      </c>
      <c r="AM751" s="1193">
        <f t="shared" si="162"/>
        <v>0</v>
      </c>
      <c r="AN751" s="1194" t="str">
        <f>VLOOKUP($I751,'Price List, Weapons &amp; Items'!B:L,COLUMN('Price List, Weapons &amp; Items'!$J$11)-1,0)</f>
        <v>Online marketplaces and stores</v>
      </c>
      <c r="AO751" s="1194" t="str">
        <f>IF(I751=".",".",VLOOKUP($I751,'Price List, Weapons &amp; Items'!B:J,3,0))</f>
        <v>Humanitarian</v>
      </c>
      <c r="AP751" s="1195" t="str">
        <f t="shared" ca="1" si="156"/>
        <v>bio protection suit</v>
      </c>
      <c r="AQ751" s="1194">
        <f>VLOOKUP($I751,'Price List, Weapons &amp; Items'!B:L,COLUMN('Price List, Weapons &amp; Items'!$L$11)-1,0)</f>
        <v>0</v>
      </c>
      <c r="AR751" s="1194">
        <f t="shared" si="163"/>
        <v>1</v>
      </c>
      <c r="AS751" s="1194">
        <f t="shared" si="164"/>
        <v>0</v>
      </c>
      <c r="AT751" s="1194">
        <f t="shared" si="165"/>
        <v>1</v>
      </c>
      <c r="AU751" s="1194" t="str">
        <f t="shared" si="166"/>
        <v>.</v>
      </c>
      <c r="AV751" s="1194" t="str">
        <f t="shared" si="157"/>
        <v>.</v>
      </c>
      <c r="AW751" s="1194" t="str">
        <f t="shared" si="167"/>
        <v>.</v>
      </c>
      <c r="AX751" s="1194">
        <f>IFERROR(VLOOKUP(B751,'Share, Heavy Weapons to Ukraine'!B:Z,COLUMN('Share, Heavy Weapons to Ukraine'!C761)-1,0),0)</f>
        <v>0</v>
      </c>
      <c r="AY751" s="1194">
        <f>VLOOKUP('Bilateral Assistance, MAIN DATA'!B751,'Country Summary (€)'!B:F,COLUMN('Country Summary (€)'!C762)-1,FALSE)</f>
        <v>1</v>
      </c>
      <c r="AZ751" s="1194" t="str">
        <f>IF(AND(AD751=1,D751="Military",H751&lt;&gt;"Not given")=TRUE,IF(SUMIFS(P:P,A:A,A751)&gt;0,ABS((SUMIFS(P:P,A:A,A751)/VLOOKUP("USD",'Exchange Rates'!B:C,2,0)))/S751,"."),".")</f>
        <v>.</v>
      </c>
      <c r="BA751" s="1196" t="str">
        <f>IF(AND(AD751=1,D751="Military",H751&lt;&gt;"Not given")=TRUE,IF(SUMIFS(P:P,A:A,A751)&gt;0,IF((ABS((SUMIFS(P:P,A:A,A751)/VLOOKUP("USD",'Exchange Rates'!B:C,2,0)))/S751)&gt;1,(SUMIFS(P:P,A:A,A751)-S751)/S751,(S751-SUMIFS(P:P,A:A,A751))/SUMIFS(P:P,A:A,A751)),"."),".")</f>
        <v>.</v>
      </c>
    </row>
    <row r="752" spans="1:53" ht="15.95" customHeight="1">
      <c r="A752" s="1182" t="s">
        <v>2105</v>
      </c>
      <c r="B752" s="1182" t="s">
        <v>2096</v>
      </c>
      <c r="C752" s="1181">
        <v>44631</v>
      </c>
      <c r="D752" s="1182" t="s">
        <v>360</v>
      </c>
      <c r="E752" s="1182" t="s">
        <v>371</v>
      </c>
      <c r="F752" s="1183" t="s">
        <v>2106</v>
      </c>
      <c r="G752" s="1184" t="s">
        <v>456</v>
      </c>
      <c r="H752" s="1185" t="s">
        <v>457</v>
      </c>
      <c r="I752" s="1180" t="s">
        <v>465</v>
      </c>
      <c r="J752" s="1186" t="str">
        <f>VLOOKUP($I752,'Price List, Weapons &amp; Items'!B:C,2,0)</f>
        <v>Humanitarian</v>
      </c>
      <c r="K752" s="1186" t="str">
        <f>IF(I752=".",I752,VLOOKUP($I752,'Price List, Weapons &amp; Items'!B:D,3,0))</f>
        <v>Humanitarian</v>
      </c>
      <c r="L752" s="1187">
        <f>VLOOKUP(I752,'Price List, Weapons &amp; Items'!B:E,4,0)</f>
        <v>0</v>
      </c>
      <c r="M752" s="1188">
        <v>50000</v>
      </c>
      <c r="N752" s="1188" t="s">
        <v>374</v>
      </c>
      <c r="O752" s="1188">
        <f>VLOOKUP($I752,'Price List, Weapons &amp; Items'!B:G,6,0)</f>
        <v>0.24</v>
      </c>
      <c r="P752" s="1185">
        <f t="shared" si="158"/>
        <v>12000</v>
      </c>
      <c r="Q752" s="1185" t="str">
        <f t="shared" si="159"/>
        <v>.</v>
      </c>
      <c r="R752" s="1185" t="str">
        <f t="shared" si="155"/>
        <v/>
      </c>
      <c r="S752" s="1185" t="str">
        <f>IF(AND(AD752=1,R752&lt;&gt;".")=TRUE,R752/VLOOKUP(G752,'Exchange Rates'!B:C,2,0),IF(R752=".",".",""))</f>
        <v/>
      </c>
      <c r="T752" s="1185" t="str">
        <f>IF(AD752=1,IF(AF752="Value is not given at all",".",IF(AF752="Value is given by the source",S752,IF(AF752="Value is calculated with prices",(IF(SUMIFS(Q:Q,A:A,A752)&gt;0,SUMIFS(Q:Q,A:A,A752),"."))/VLOOKUP("USD",'Exchange Rates'!B:C,2,0),"Error with coding"))),"")</f>
        <v/>
      </c>
      <c r="U752" s="1184" t="s">
        <v>365</v>
      </c>
      <c r="V752" s="974" t="s">
        <v>2103</v>
      </c>
      <c r="W752" s="974" t="s">
        <v>2104</v>
      </c>
      <c r="X752" s="1183" t="s">
        <v>364</v>
      </c>
      <c r="Y752" s="1183" t="s">
        <v>364</v>
      </c>
      <c r="Z752" s="1184">
        <v>0</v>
      </c>
      <c r="AA752" s="1194">
        <v>0</v>
      </c>
      <c r="AB752" s="1201" t="s">
        <v>364</v>
      </c>
      <c r="AC752" s="1192" t="str">
        <f>""</f>
        <v/>
      </c>
      <c r="AD752" s="1193">
        <v>0</v>
      </c>
      <c r="AE752" s="1193" t="s">
        <v>436</v>
      </c>
      <c r="AF752" s="1193" t="s">
        <v>369</v>
      </c>
      <c r="AG752" s="1193">
        <v>1</v>
      </c>
      <c r="AH752" s="1193">
        <v>3</v>
      </c>
      <c r="AI752" s="1193">
        <v>0</v>
      </c>
      <c r="AJ752" s="1193">
        <f>VLOOKUP($I752,'Price List, Weapons &amp; Items'!B:F,5,0)</f>
        <v>0</v>
      </c>
      <c r="AK752" s="1193">
        <f t="shared" si="160"/>
        <v>0</v>
      </c>
      <c r="AL752" s="1193">
        <f t="shared" si="161"/>
        <v>0</v>
      </c>
      <c r="AM752" s="1193">
        <f t="shared" si="162"/>
        <v>0</v>
      </c>
      <c r="AN752" s="1194" t="str">
        <f>VLOOKUP($I752,'Price List, Weapons &amp; Items'!B:L,COLUMN('Price List, Weapons &amp; Items'!$J$11)-1,0)</f>
        <v>Online marketplaces and stores</v>
      </c>
      <c r="AO752" s="1194" t="str">
        <f>IF(I752=".",".",VLOOKUP($I752,'Price List, Weapons &amp; Items'!B:J,3,0))</f>
        <v>Humanitarian</v>
      </c>
      <c r="AP752" s="1195" t="str">
        <f t="shared" ca="1" si="156"/>
        <v/>
      </c>
      <c r="AQ752" s="1194">
        <f>VLOOKUP($I752,'Price List, Weapons &amp; Items'!B:L,COLUMN('Price List, Weapons &amp; Items'!$L$11)-1,0)</f>
        <v>0</v>
      </c>
      <c r="AR752" s="1194">
        <f t="shared" si="163"/>
        <v>1</v>
      </c>
      <c r="AS752" s="1194">
        <f t="shared" si="164"/>
        <v>0</v>
      </c>
      <c r="AT752" s="1194">
        <f t="shared" si="165"/>
        <v>1</v>
      </c>
      <c r="AU752" s="1194" t="str">
        <f t="shared" si="166"/>
        <v>.</v>
      </c>
      <c r="AV752" s="1194" t="str">
        <f t="shared" si="157"/>
        <v>.</v>
      </c>
      <c r="AW752" s="1194" t="str">
        <f t="shared" si="167"/>
        <v>.</v>
      </c>
      <c r="AX752" s="1194">
        <f>IFERROR(VLOOKUP(B752,'Share, Heavy Weapons to Ukraine'!B:Z,COLUMN('Share, Heavy Weapons to Ukraine'!C762)-1,0),0)</f>
        <v>0</v>
      </c>
      <c r="AY752" s="1194">
        <f>VLOOKUP('Bilateral Assistance, MAIN DATA'!B752,'Country Summary (€)'!B:F,COLUMN('Country Summary (€)'!C763)-1,FALSE)</f>
        <v>1</v>
      </c>
      <c r="AZ752" s="1194" t="str">
        <f>IF(AND(AD752=1,D752="Military",H752&lt;&gt;"Not given")=TRUE,IF(SUMIFS(P:P,A:A,A752)&gt;0,ABS((SUMIFS(P:P,A:A,A752)/VLOOKUP("USD",'Exchange Rates'!B:C,2,0)))/S752,"."),".")</f>
        <v>.</v>
      </c>
      <c r="BA752" s="1196" t="str">
        <f>IF(AND(AD752=1,D752="Military",H752&lt;&gt;"Not given")=TRUE,IF(SUMIFS(P:P,A:A,A752)&gt;0,IF((ABS((SUMIFS(P:P,A:A,A752)/VLOOKUP("USD",'Exchange Rates'!B:C,2,0)))/S752)&gt;1,(SUMIFS(P:P,A:A,A752)-S752)/S752,(S752-SUMIFS(P:P,A:A,A752))/SUMIFS(P:P,A:A,A752)),"."),".")</f>
        <v>.</v>
      </c>
    </row>
    <row r="753" spans="1:71" ht="15.95" customHeight="1">
      <c r="A753" s="1182" t="s">
        <v>2105</v>
      </c>
      <c r="B753" s="1182" t="s">
        <v>2096</v>
      </c>
      <c r="C753" s="1181">
        <v>44631</v>
      </c>
      <c r="D753" s="1182" t="s">
        <v>360</v>
      </c>
      <c r="E753" s="1182" t="s">
        <v>371</v>
      </c>
      <c r="F753" s="1183" t="s">
        <v>2106</v>
      </c>
      <c r="G753" s="1184" t="s">
        <v>456</v>
      </c>
      <c r="H753" s="1185" t="s">
        <v>457</v>
      </c>
      <c r="I753" s="1180" t="s">
        <v>461</v>
      </c>
      <c r="J753" s="1186" t="str">
        <f>VLOOKUP($I753,'Price List, Weapons &amp; Items'!B:C,2,0)</f>
        <v>Humanitarian</v>
      </c>
      <c r="K753" s="1186" t="str">
        <f>IF(I753=".",I753,VLOOKUP($I753,'Price List, Weapons &amp; Items'!B:D,3,0))</f>
        <v>Humanitarian</v>
      </c>
      <c r="L753" s="1187">
        <f>VLOOKUP(I753,'Price List, Weapons &amp; Items'!B:E,4,0)</f>
        <v>0</v>
      </c>
      <c r="M753" s="1188">
        <v>2583</v>
      </c>
      <c r="N753" s="1188" t="s">
        <v>374</v>
      </c>
      <c r="O753" s="1188">
        <f>VLOOKUP($I753,'Price List, Weapons &amp; Items'!B:G,6,0)</f>
        <v>12</v>
      </c>
      <c r="P753" s="1185">
        <f t="shared" si="158"/>
        <v>30996</v>
      </c>
      <c r="Q753" s="1185" t="str">
        <f t="shared" si="159"/>
        <v>.</v>
      </c>
      <c r="R753" s="1185" t="str">
        <f t="shared" si="155"/>
        <v/>
      </c>
      <c r="S753" s="1185" t="str">
        <f>IF(AND(AD753=1,R753&lt;&gt;".")=TRUE,R753/VLOOKUP(G753,'Exchange Rates'!B:C,2,0),IF(R753=".",".",""))</f>
        <v/>
      </c>
      <c r="T753" s="1185" t="str">
        <f>IF(AD753=1,IF(AF753="Value is not given at all",".",IF(AF753="Value is given by the source",S753,IF(AF753="Value is calculated with prices",(IF(SUMIFS(Q:Q,A:A,A753)&gt;0,SUMIFS(Q:Q,A:A,A753),"."))/VLOOKUP("USD",'Exchange Rates'!B:C,2,0),"Error with coding"))),"")</f>
        <v/>
      </c>
      <c r="U753" s="1184" t="s">
        <v>365</v>
      </c>
      <c r="V753" s="974" t="s">
        <v>2103</v>
      </c>
      <c r="W753" s="974" t="s">
        <v>2104</v>
      </c>
      <c r="X753" s="1183" t="s">
        <v>364</v>
      </c>
      <c r="Y753" s="1183" t="s">
        <v>364</v>
      </c>
      <c r="Z753" s="1184">
        <v>0</v>
      </c>
      <c r="AA753" s="1194">
        <v>0</v>
      </c>
      <c r="AB753" s="1201" t="s">
        <v>364</v>
      </c>
      <c r="AC753" s="1192" t="str">
        <f>""</f>
        <v/>
      </c>
      <c r="AD753" s="1193">
        <v>0</v>
      </c>
      <c r="AE753" s="1193" t="s">
        <v>436</v>
      </c>
      <c r="AF753" s="1193" t="s">
        <v>369</v>
      </c>
      <c r="AG753" s="1193">
        <v>1</v>
      </c>
      <c r="AH753" s="1193">
        <v>3</v>
      </c>
      <c r="AI753" s="1193">
        <v>0</v>
      </c>
      <c r="AJ753" s="1193">
        <f>VLOOKUP($I753,'Price List, Weapons &amp; Items'!B:F,5,0)</f>
        <v>0</v>
      </c>
      <c r="AK753" s="1193">
        <f t="shared" si="160"/>
        <v>0</v>
      </c>
      <c r="AL753" s="1193">
        <f t="shared" si="161"/>
        <v>0</v>
      </c>
      <c r="AM753" s="1193">
        <f t="shared" si="162"/>
        <v>0</v>
      </c>
      <c r="AN753" s="1194" t="str">
        <f>VLOOKUP($I753,'Price List, Weapons &amp; Items'!B:L,COLUMN('Price List, Weapons &amp; Items'!$J$11)-1,0)</f>
        <v>Online marketplaces and stores</v>
      </c>
      <c r="AO753" s="1194" t="str">
        <f>IF(I753=".",".",VLOOKUP($I753,'Price List, Weapons &amp; Items'!B:J,3,0))</f>
        <v>Humanitarian</v>
      </c>
      <c r="AP753" s="1195" t="str">
        <f t="shared" ca="1" si="156"/>
        <v/>
      </c>
      <c r="AQ753" s="1194">
        <f>VLOOKUP($I753,'Price List, Weapons &amp; Items'!B:L,COLUMN('Price List, Weapons &amp; Items'!$L$11)-1,0)</f>
        <v>0</v>
      </c>
      <c r="AR753" s="1194">
        <f t="shared" si="163"/>
        <v>1</v>
      </c>
      <c r="AS753" s="1194">
        <f t="shared" si="164"/>
        <v>0</v>
      </c>
      <c r="AT753" s="1194">
        <f t="shared" si="165"/>
        <v>1</v>
      </c>
      <c r="AU753" s="1194" t="str">
        <f t="shared" si="166"/>
        <v>.</v>
      </c>
      <c r="AV753" s="1194" t="str">
        <f t="shared" si="157"/>
        <v>.</v>
      </c>
      <c r="AW753" s="1194" t="str">
        <f t="shared" si="167"/>
        <v>.</v>
      </c>
      <c r="AX753" s="1194">
        <f>IFERROR(VLOOKUP(B753,'Share, Heavy Weapons to Ukraine'!B:Z,COLUMN('Share, Heavy Weapons to Ukraine'!C763)-1,0),0)</f>
        <v>0</v>
      </c>
      <c r="AY753" s="1194">
        <f>VLOOKUP('Bilateral Assistance, MAIN DATA'!B753,'Country Summary (€)'!B:F,COLUMN('Country Summary (€)'!C764)-1,FALSE)</f>
        <v>1</v>
      </c>
      <c r="AZ753" s="1194" t="str">
        <f>IF(AND(AD753=1,D753="Military",H753&lt;&gt;"Not given")=TRUE,IF(SUMIFS(P:P,A:A,A753)&gt;0,ABS((SUMIFS(P:P,A:A,A753)/VLOOKUP("USD",'Exchange Rates'!B:C,2,0)))/S753,"."),".")</f>
        <v>.</v>
      </c>
      <c r="BA753" s="1196" t="str">
        <f>IF(AND(AD753=1,D753="Military",H753&lt;&gt;"Not given")=TRUE,IF(SUMIFS(P:P,A:A,A753)&gt;0,IF((ABS((SUMIFS(P:P,A:A,A753)/VLOOKUP("USD",'Exchange Rates'!B:C,2,0)))/S753)&gt;1,(SUMIFS(P:P,A:A,A753)-S753)/S753,(S753-SUMIFS(P:P,A:A,A753))/SUMIFS(P:P,A:A,A753)),"."),".")</f>
        <v>.</v>
      </c>
    </row>
    <row r="754" spans="1:71" ht="15.95" customHeight="1">
      <c r="A754" s="1180" t="s">
        <v>2108</v>
      </c>
      <c r="B754" s="1180" t="s">
        <v>2096</v>
      </c>
      <c r="C754" s="1181" t="s">
        <v>2109</v>
      </c>
      <c r="D754" s="1182" t="s">
        <v>360</v>
      </c>
      <c r="E754" s="1182" t="s">
        <v>371</v>
      </c>
      <c r="F754" s="1183" t="s">
        <v>2110</v>
      </c>
      <c r="G754" s="1184" t="s">
        <v>456</v>
      </c>
      <c r="H754" s="1185" t="s">
        <v>457</v>
      </c>
      <c r="I754" s="1180" t="s">
        <v>477</v>
      </c>
      <c r="J754" s="1186" t="str">
        <f>VLOOKUP($I754,'Price List, Weapons &amp; Items'!B:C,2,0)</f>
        <v>Humanitarian</v>
      </c>
      <c r="K754" s="1186" t="str">
        <f>IF(I754=".",I754,VLOOKUP($I754,'Price List, Weapons &amp; Items'!B:D,3,0))</f>
        <v>Humanitarian</v>
      </c>
      <c r="L754" s="1187">
        <f>VLOOKUP(I754,'Price List, Weapons &amp; Items'!B:E,4,0)</f>
        <v>0</v>
      </c>
      <c r="M754" s="1188">
        <v>9</v>
      </c>
      <c r="N754" s="1188" t="s">
        <v>374</v>
      </c>
      <c r="O754" s="1188">
        <f>VLOOKUP($I754,'Price List, Weapons &amp; Items'!B:G,6,0)</f>
        <v>317500</v>
      </c>
      <c r="P754" s="1185">
        <f t="shared" si="158"/>
        <v>2857500</v>
      </c>
      <c r="Q754" s="1185" t="str">
        <f t="shared" si="159"/>
        <v>.</v>
      </c>
      <c r="R754" s="1185">
        <f t="shared" si="155"/>
        <v>2857500</v>
      </c>
      <c r="S754" s="1185">
        <f>IF(AND(AD754=1,R754&lt;&gt;".")=TRUE,R754/VLOOKUP(G754,'Exchange Rates'!B:C,2,0),IF(R754=".",".",""))</f>
        <v>2629278.6161207212</v>
      </c>
      <c r="T754" s="1185" t="str">
        <f>IF(AD754=1,IF(AF754="Value is not given at all",".",IF(AF754="Value is given by the source",S754,IF(AF754="Value is calculated with prices",(IF(SUMIFS(Q:Q,A:A,A754)&gt;0,SUMIFS(Q:Q,A:A,A754),"."))/VLOOKUP("USD",'Exchange Rates'!B:C,2,0),"Error with coding"))),"")</f>
        <v>.</v>
      </c>
      <c r="U754" s="1184" t="s">
        <v>365</v>
      </c>
      <c r="V754" s="971" t="s">
        <v>2111</v>
      </c>
      <c r="W754" s="980" t="s">
        <v>2098</v>
      </c>
      <c r="X754" s="1190" t="s">
        <v>364</v>
      </c>
      <c r="Y754" s="1190" t="s">
        <v>364</v>
      </c>
      <c r="Z754" s="1184">
        <v>0</v>
      </c>
      <c r="AA754" s="1194">
        <v>0</v>
      </c>
      <c r="AB754" s="1201" t="s">
        <v>364</v>
      </c>
      <c r="AC754" s="1192" t="str">
        <f>""</f>
        <v/>
      </c>
      <c r="AD754" s="1193">
        <v>1</v>
      </c>
      <c r="AE754" s="1193" t="s">
        <v>436</v>
      </c>
      <c r="AF754" s="1193" t="s">
        <v>369</v>
      </c>
      <c r="AG754" s="1193">
        <v>0</v>
      </c>
      <c r="AH754" s="1193">
        <v>0</v>
      </c>
      <c r="AI754" s="1193">
        <v>0</v>
      </c>
      <c r="AJ754" s="1193">
        <f>VLOOKUP($I754,'Price List, Weapons &amp; Items'!B:F,5,0)</f>
        <v>0</v>
      </c>
      <c r="AK754" s="1193">
        <f t="shared" si="160"/>
        <v>0</v>
      </c>
      <c r="AL754" s="1193">
        <f t="shared" si="161"/>
        <v>0</v>
      </c>
      <c r="AM754" s="1193">
        <f t="shared" si="162"/>
        <v>0</v>
      </c>
      <c r="AN754" s="1194" t="str">
        <f>VLOOKUP($I754,'Price List, Weapons &amp; Items'!B:L,COLUMN('Price List, Weapons &amp; Items'!$J$11)-1,0)</f>
        <v>Media reports (incl. social media)</v>
      </c>
      <c r="AO754" s="1194" t="str">
        <f>IF(I754=".",".",VLOOKUP($I754,'Price List, Weapons &amp; Items'!B:J,3,0))</f>
        <v>Humanitarian</v>
      </c>
      <c r="AP754" s="1195" t="str">
        <f t="shared" ca="1" si="156"/>
        <v>ambulance H</v>
      </c>
      <c r="AQ754" s="1194">
        <f>VLOOKUP($I754,'Price List, Weapons &amp; Items'!B:L,COLUMN('Price List, Weapons &amp; Items'!$L$11)-1,0)</f>
        <v>0</v>
      </c>
      <c r="AR754" s="1194">
        <f t="shared" si="163"/>
        <v>1</v>
      </c>
      <c r="AS754" s="1194">
        <f t="shared" si="164"/>
        <v>0</v>
      </c>
      <c r="AT754" s="1194" t="str">
        <f t="shared" si="165"/>
        <v>Value is not in date format</v>
      </c>
      <c r="AU754" s="1194" t="str">
        <f t="shared" si="166"/>
        <v>.</v>
      </c>
      <c r="AV754" s="1194" t="str">
        <f t="shared" si="157"/>
        <v>.</v>
      </c>
      <c r="AW754" s="1194" t="str">
        <f t="shared" si="167"/>
        <v>.</v>
      </c>
      <c r="AX754" s="1194">
        <f>IFERROR(VLOOKUP(B754,'Share, Heavy Weapons to Ukraine'!B:Z,COLUMN('Share, Heavy Weapons to Ukraine'!C764)-1,0),0)</f>
        <v>0</v>
      </c>
      <c r="AY754" s="1194">
        <f>VLOOKUP('Bilateral Assistance, MAIN DATA'!B754,'Country Summary (€)'!B:F,COLUMN('Country Summary (€)'!C765)-1,FALSE)</f>
        <v>1</v>
      </c>
      <c r="AZ754" s="1194" t="str">
        <f>IF(AND(AD754=1,D754="Military",H754&lt;&gt;"Not given")=TRUE,IF(SUMIFS(P:P,A:A,A754)&gt;0,ABS((SUMIFS(P:P,A:A,A754)/VLOOKUP("USD",'Exchange Rates'!B:C,2,0)))/S754,"."),".")</f>
        <v>.</v>
      </c>
      <c r="BA754" s="1196" t="str">
        <f>IF(AND(AD754=1,D754="Military",H754&lt;&gt;"Not given")=TRUE,IF(SUMIFS(P:P,A:A,A754)&gt;0,IF((ABS((SUMIFS(P:P,A:A,A754)/VLOOKUP("USD",'Exchange Rates'!B:C,2,0)))/S754)&gt;1,(SUMIFS(P:P,A:A,A754)-S754)/S754,(S754-SUMIFS(P:P,A:A,A754))/SUMIFS(P:P,A:A,A754)),"."),".")</f>
        <v>.</v>
      </c>
    </row>
    <row r="755" spans="1:71" ht="15.95" customHeight="1">
      <c r="A755" s="1180" t="s">
        <v>2112</v>
      </c>
      <c r="B755" s="1180" t="s">
        <v>2096</v>
      </c>
      <c r="C755" s="1181">
        <v>44646</v>
      </c>
      <c r="D755" s="1182" t="s">
        <v>360</v>
      </c>
      <c r="E755" s="1182" t="s">
        <v>371</v>
      </c>
      <c r="F755" s="1183" t="s">
        <v>2113</v>
      </c>
      <c r="G755" s="1184" t="s">
        <v>364</v>
      </c>
      <c r="H755" s="1185" t="s">
        <v>457</v>
      </c>
      <c r="I755" s="1180" t="s">
        <v>364</v>
      </c>
      <c r="J755" s="1186" t="str">
        <f>VLOOKUP($I755,'Price List, Weapons &amp; Items'!B:C,2,0)</f>
        <v>.</v>
      </c>
      <c r="K755" s="1186" t="str">
        <f>IF(I755=".",I755,VLOOKUP($I755,'Price List, Weapons &amp; Items'!B:D,3,0))</f>
        <v>.</v>
      </c>
      <c r="L755" s="1187">
        <f>VLOOKUP(I755,'Price List, Weapons &amp; Items'!B:E,4,0)</f>
        <v>0</v>
      </c>
      <c r="M755" s="1188" t="s">
        <v>364</v>
      </c>
      <c r="N755" s="1188" t="s">
        <v>364</v>
      </c>
      <c r="O755" s="1188" t="str">
        <f>VLOOKUP($I755,'Price List, Weapons &amp; Items'!B:G,6,0)</f>
        <v>.</v>
      </c>
      <c r="P755" s="1185" t="str">
        <f t="shared" si="158"/>
        <v>.</v>
      </c>
      <c r="Q755" s="1185" t="str">
        <f t="shared" si="159"/>
        <v>.</v>
      </c>
      <c r="R755" s="1185" t="str">
        <f t="shared" si="155"/>
        <v>.</v>
      </c>
      <c r="S755" s="1185" t="str">
        <f>IF(AND(AD755=1,R755&lt;&gt;".")=TRUE,R755/VLOOKUP(G755,'Exchange Rates'!B:C,2,0),IF(R755=".",".",""))</f>
        <v>.</v>
      </c>
      <c r="T755" s="1185" t="str">
        <f>IF(AD755=1,IF(AF755="Value is not given at all",".",IF(AF755="Value is given by the source",S755,IF(AF755="Value is calculated with prices",(IF(SUMIFS(Q:Q,A:A,A755)&gt;0,SUMIFS(Q:Q,A:A,A755),"."))/VLOOKUP("USD",'Exchange Rates'!B:C,2,0),"Error with coding"))),"")</f>
        <v>.</v>
      </c>
      <c r="U755" s="1184" t="s">
        <v>365</v>
      </c>
      <c r="V755" s="971" t="s">
        <v>2111</v>
      </c>
      <c r="W755" s="980" t="s">
        <v>2098</v>
      </c>
      <c r="X755" s="1190" t="s">
        <v>364</v>
      </c>
      <c r="Y755" s="1190" t="s">
        <v>364</v>
      </c>
      <c r="Z755" s="1184">
        <v>0</v>
      </c>
      <c r="AA755" s="1194">
        <v>0</v>
      </c>
      <c r="AB755" s="1201" t="s">
        <v>364</v>
      </c>
      <c r="AC755" s="1192" t="str">
        <f>""</f>
        <v/>
      </c>
      <c r="AD755" s="1193">
        <v>1</v>
      </c>
      <c r="AE755" s="1193" t="s">
        <v>369</v>
      </c>
      <c r="AF755" s="1193" t="s">
        <v>369</v>
      </c>
      <c r="AG755" s="1193">
        <v>1</v>
      </c>
      <c r="AH755" s="1193">
        <v>3</v>
      </c>
      <c r="AI755" s="1193">
        <v>0</v>
      </c>
      <c r="AJ755" s="1193">
        <f>VLOOKUP($I755,'Price List, Weapons &amp; Items'!B:F,5,0)</f>
        <v>0</v>
      </c>
      <c r="AK755" s="1193">
        <f t="shared" si="160"/>
        <v>0</v>
      </c>
      <c r="AL755" s="1193">
        <f t="shared" si="161"/>
        <v>0</v>
      </c>
      <c r="AM755" s="1193">
        <f t="shared" si="162"/>
        <v>0</v>
      </c>
      <c r="AN755" s="1194" t="str">
        <f>VLOOKUP($I755,'Price List, Weapons &amp; Items'!B:L,COLUMN('Price List, Weapons &amp; Items'!$J$11)-1,0)</f>
        <v>.</v>
      </c>
      <c r="AO755" s="1194" t="str">
        <f>IF(I755=".",".",VLOOKUP($I755,'Price List, Weapons &amp; Items'!B:J,3,0))</f>
        <v>.</v>
      </c>
      <c r="AP755" s="1195" t="str">
        <f t="shared" ca="1" si="156"/>
        <v>.</v>
      </c>
      <c r="AQ755" s="1194">
        <f>VLOOKUP($I755,'Price List, Weapons &amp; Items'!B:L,COLUMN('Price List, Weapons &amp; Items'!$L$11)-1,0)</f>
        <v>0</v>
      </c>
      <c r="AR755" s="1194">
        <f t="shared" si="163"/>
        <v>1</v>
      </c>
      <c r="AS755" s="1194">
        <f t="shared" si="164"/>
        <v>0</v>
      </c>
      <c r="AT755" s="1194">
        <f t="shared" si="165"/>
        <v>1</v>
      </c>
      <c r="AU755" s="1194" t="str">
        <f t="shared" si="166"/>
        <v>.</v>
      </c>
      <c r="AV755" s="1194" t="str">
        <f t="shared" si="157"/>
        <v>.</v>
      </c>
      <c r="AW755" s="1194" t="str">
        <f t="shared" si="167"/>
        <v>.</v>
      </c>
      <c r="AX755" s="1194">
        <f>IFERROR(VLOOKUP(B755,'Share, Heavy Weapons to Ukraine'!B:Z,COLUMN('Share, Heavy Weapons to Ukraine'!C765)-1,0),0)</f>
        <v>0</v>
      </c>
      <c r="AY755" s="1194">
        <f>VLOOKUP('Bilateral Assistance, MAIN DATA'!B755,'Country Summary (€)'!B:F,COLUMN('Country Summary (€)'!C766)-1,FALSE)</f>
        <v>1</v>
      </c>
      <c r="AZ755" s="1194" t="str">
        <f>IF(AND(AD755=1,D755="Military",H755&lt;&gt;"Not given")=TRUE,IF(SUMIFS(P:P,A:A,A755)&gt;0,ABS((SUMIFS(P:P,A:A,A755)/VLOOKUP("USD",'Exchange Rates'!B:C,2,0)))/S755,"."),".")</f>
        <v>.</v>
      </c>
      <c r="BA755" s="1196" t="str">
        <f>IF(AND(AD755=1,D755="Military",H755&lt;&gt;"Not given")=TRUE,IF(SUMIFS(P:P,A:A,A755)&gt;0,IF((ABS((SUMIFS(P:P,A:A,A755)/VLOOKUP("USD",'Exchange Rates'!B:C,2,0)))/S755)&gt;1,(SUMIFS(P:P,A:A,A755)-S755)/S755,(S755-SUMIFS(P:P,A:A,A755))/SUMIFS(P:P,A:A,A755)),"."),".")</f>
        <v>.</v>
      </c>
    </row>
    <row r="756" spans="1:71" ht="15.95" customHeight="1">
      <c r="A756" s="1180" t="s">
        <v>2114</v>
      </c>
      <c r="B756" s="1180" t="s">
        <v>2096</v>
      </c>
      <c r="C756" s="1181">
        <v>44648</v>
      </c>
      <c r="D756" s="1182" t="s">
        <v>360</v>
      </c>
      <c r="E756" s="1182" t="s">
        <v>371</v>
      </c>
      <c r="F756" s="1183" t="s">
        <v>2115</v>
      </c>
      <c r="G756" s="1184" t="s">
        <v>364</v>
      </c>
      <c r="H756" s="1185" t="s">
        <v>457</v>
      </c>
      <c r="I756" s="1180" t="s">
        <v>364</v>
      </c>
      <c r="J756" s="1186" t="str">
        <f>VLOOKUP($I756,'Price List, Weapons &amp; Items'!B:C,2,0)</f>
        <v>.</v>
      </c>
      <c r="K756" s="1186" t="str">
        <f>IF(I756=".",I756,VLOOKUP($I756,'Price List, Weapons &amp; Items'!B:D,3,0))</f>
        <v>.</v>
      </c>
      <c r="L756" s="1187">
        <f>VLOOKUP(I756,'Price List, Weapons &amp; Items'!B:E,4,0)</f>
        <v>0</v>
      </c>
      <c r="M756" s="1188" t="s">
        <v>364</v>
      </c>
      <c r="N756" s="1188" t="s">
        <v>364</v>
      </c>
      <c r="O756" s="1188" t="str">
        <f>VLOOKUP($I756,'Price List, Weapons &amp; Items'!B:G,6,0)</f>
        <v>.</v>
      </c>
      <c r="P756" s="1185" t="str">
        <f t="shared" si="158"/>
        <v>.</v>
      </c>
      <c r="Q756" s="1185" t="str">
        <f t="shared" si="159"/>
        <v>.</v>
      </c>
      <c r="R756" s="1185" t="str">
        <f t="shared" si="155"/>
        <v>.</v>
      </c>
      <c r="S756" s="1185" t="str">
        <f>IF(AND(AD756=1,R756&lt;&gt;".")=TRUE,R756/VLOOKUP(G756,'Exchange Rates'!B:C,2,0),IF(R756=".",".",""))</f>
        <v>.</v>
      </c>
      <c r="T756" s="1185" t="str">
        <f>IF(AD756=1,IF(AF756="Value is not given at all",".",IF(AF756="Value is given by the source",S756,IF(AF756="Value is calculated with prices",(IF(SUMIFS(Q:Q,A:A,A756)&gt;0,SUMIFS(Q:Q,A:A,A756),"."))/VLOOKUP("USD",'Exchange Rates'!B:C,2,0),"Error with coding"))),"")</f>
        <v>.</v>
      </c>
      <c r="U756" s="1184" t="s">
        <v>365</v>
      </c>
      <c r="V756" s="971" t="s">
        <v>2111</v>
      </c>
      <c r="W756" s="980" t="s">
        <v>2098</v>
      </c>
      <c r="X756" s="1190" t="s">
        <v>364</v>
      </c>
      <c r="Y756" s="1190" t="s">
        <v>364</v>
      </c>
      <c r="Z756" s="1184">
        <v>0</v>
      </c>
      <c r="AA756" s="1194">
        <v>0</v>
      </c>
      <c r="AB756" s="1201" t="s">
        <v>364</v>
      </c>
      <c r="AC756" s="1192" t="str">
        <f>""</f>
        <v/>
      </c>
      <c r="AD756" s="1193">
        <v>1</v>
      </c>
      <c r="AE756" s="1193" t="s">
        <v>369</v>
      </c>
      <c r="AF756" s="1193" t="s">
        <v>369</v>
      </c>
      <c r="AG756" s="1193">
        <v>1</v>
      </c>
      <c r="AH756" s="1193">
        <v>3</v>
      </c>
      <c r="AI756" s="1193">
        <v>0</v>
      </c>
      <c r="AJ756" s="1193">
        <f>VLOOKUP($I756,'Price List, Weapons &amp; Items'!B:F,5,0)</f>
        <v>0</v>
      </c>
      <c r="AK756" s="1193">
        <f t="shared" si="160"/>
        <v>0</v>
      </c>
      <c r="AL756" s="1193">
        <f t="shared" si="161"/>
        <v>0</v>
      </c>
      <c r="AM756" s="1193">
        <f t="shared" si="162"/>
        <v>0</v>
      </c>
      <c r="AN756" s="1194" t="str">
        <f>VLOOKUP($I756,'Price List, Weapons &amp; Items'!B:L,COLUMN('Price List, Weapons &amp; Items'!$J$11)-1,0)</f>
        <v>.</v>
      </c>
      <c r="AO756" s="1194" t="str">
        <f>IF(I756=".",".",VLOOKUP($I756,'Price List, Weapons &amp; Items'!B:J,3,0))</f>
        <v>.</v>
      </c>
      <c r="AP756" s="1195" t="str">
        <f t="shared" ca="1" si="156"/>
        <v>.</v>
      </c>
      <c r="AQ756" s="1194">
        <f>VLOOKUP($I756,'Price List, Weapons &amp; Items'!B:L,COLUMN('Price List, Weapons &amp; Items'!$L$11)-1,0)</f>
        <v>0</v>
      </c>
      <c r="AR756" s="1194">
        <f t="shared" si="163"/>
        <v>1</v>
      </c>
      <c r="AS756" s="1194">
        <f t="shared" si="164"/>
        <v>0</v>
      </c>
      <c r="AT756" s="1194">
        <f t="shared" si="165"/>
        <v>1</v>
      </c>
      <c r="AU756" s="1194" t="str">
        <f t="shared" si="166"/>
        <v>.</v>
      </c>
      <c r="AV756" s="1194" t="str">
        <f t="shared" si="157"/>
        <v>.</v>
      </c>
      <c r="AW756" s="1194" t="str">
        <f t="shared" si="167"/>
        <v>.</v>
      </c>
      <c r="AX756" s="1194">
        <f>IFERROR(VLOOKUP(B756,'Share, Heavy Weapons to Ukraine'!B:Z,COLUMN('Share, Heavy Weapons to Ukraine'!C766)-1,0),0)</f>
        <v>0</v>
      </c>
      <c r="AY756" s="1194">
        <f>VLOOKUP('Bilateral Assistance, MAIN DATA'!B756,'Country Summary (€)'!B:F,COLUMN('Country Summary (€)'!C767)-1,FALSE)</f>
        <v>1</v>
      </c>
      <c r="AZ756" s="1194" t="str">
        <f>IF(AND(AD756=1,D756="Military",H756&lt;&gt;"Not given")=TRUE,IF(SUMIFS(P:P,A:A,A756)&gt;0,ABS((SUMIFS(P:P,A:A,A756)/VLOOKUP("USD",'Exchange Rates'!B:C,2,0)))/S756,"."),".")</f>
        <v>.</v>
      </c>
      <c r="BA756" s="1196" t="str">
        <f>IF(AND(AD756=1,D756="Military",H756&lt;&gt;"Not given")=TRUE,IF(SUMIFS(P:P,A:A,A756)&gt;0,IF((ABS((SUMIFS(P:P,A:A,A756)/VLOOKUP("USD",'Exchange Rates'!B:C,2,0)))/S756)&gt;1,(SUMIFS(P:P,A:A,A756)-S756)/S756,(S756-SUMIFS(P:P,A:A,A756))/SUMIFS(P:P,A:A,A756)),"."),".")</f>
        <v>.</v>
      </c>
    </row>
    <row r="757" spans="1:71" ht="15.95" customHeight="1">
      <c r="A757" s="1180" t="s">
        <v>2116</v>
      </c>
      <c r="B757" s="1180" t="s">
        <v>2096</v>
      </c>
      <c r="C757" s="1181">
        <v>44701</v>
      </c>
      <c r="D757" s="1182" t="s">
        <v>360</v>
      </c>
      <c r="E757" s="1182" t="s">
        <v>361</v>
      </c>
      <c r="F757" s="1183" t="s">
        <v>2117</v>
      </c>
      <c r="G757" s="1184" t="s">
        <v>483</v>
      </c>
      <c r="H757" s="1185">
        <v>500000</v>
      </c>
      <c r="I757" s="1180" t="s">
        <v>364</v>
      </c>
      <c r="J757" s="1186" t="str">
        <f>VLOOKUP($I757,'Price List, Weapons &amp; Items'!B:C,2,0)</f>
        <v>.</v>
      </c>
      <c r="K757" s="1186" t="str">
        <f>IF(I757=".",I757,VLOOKUP($I757,'Price List, Weapons &amp; Items'!B:D,3,0))</f>
        <v>.</v>
      </c>
      <c r="L757" s="1187">
        <f>VLOOKUP(I757,'Price List, Weapons &amp; Items'!B:E,4,0)</f>
        <v>0</v>
      </c>
      <c r="M757" s="1188" t="s">
        <v>364</v>
      </c>
      <c r="N757" s="1188" t="s">
        <v>364</v>
      </c>
      <c r="O757" s="1188" t="str">
        <f>VLOOKUP($I757,'Price List, Weapons &amp; Items'!B:G,6,0)</f>
        <v>.</v>
      </c>
      <c r="P757" s="1185" t="str">
        <f t="shared" si="158"/>
        <v>.</v>
      </c>
      <c r="Q757" s="1185" t="str">
        <f t="shared" si="159"/>
        <v>.</v>
      </c>
      <c r="R757" s="1185">
        <f t="shared" si="155"/>
        <v>500000</v>
      </c>
      <c r="S757" s="1185">
        <f>IF(AND(AD757=1,R757&lt;&gt;".")=TRUE,R757/VLOOKUP(G757,'Exchange Rates'!B:C,2,0),IF(R757=".",".",""))</f>
        <v>500000</v>
      </c>
      <c r="T757" s="1185" t="str">
        <f>IF(AD757=1,IF(AF757="Value is not given at all",".",IF(AF757="Value is given by the source",S757,IF(AF757="Value is calculated with prices",(IF(SUMIFS(Q:Q,A:A,A757)&gt;0,SUMIFS(Q:Q,A:A,A757),"."))/VLOOKUP("USD",'Exchange Rates'!B:C,2,0),"Error with coding"))),"")</f>
        <v>.</v>
      </c>
      <c r="U757" s="1184" t="s">
        <v>365</v>
      </c>
      <c r="V757" s="980" t="s">
        <v>2098</v>
      </c>
      <c r="W757" s="971" t="s">
        <v>2118</v>
      </c>
      <c r="X757" s="1196"/>
      <c r="Y757" s="1190" t="s">
        <v>364</v>
      </c>
      <c r="Z757" s="1184">
        <v>0</v>
      </c>
      <c r="AA757" s="1194">
        <v>0</v>
      </c>
      <c r="AB757" s="1180" t="s">
        <v>364</v>
      </c>
      <c r="AC757" s="1192" t="str">
        <f>""</f>
        <v/>
      </c>
      <c r="AD757" s="1193">
        <v>1</v>
      </c>
      <c r="AE757" s="1193" t="s">
        <v>368</v>
      </c>
      <c r="AF757" s="1193" t="s">
        <v>369</v>
      </c>
      <c r="AG757" s="1193">
        <v>1</v>
      </c>
      <c r="AH757" s="1193">
        <v>5</v>
      </c>
      <c r="AI757" s="1193">
        <v>0</v>
      </c>
      <c r="AJ757" s="1193">
        <f>VLOOKUP($I757,'Price List, Weapons &amp; Items'!B:F,5,0)</f>
        <v>0</v>
      </c>
      <c r="AK757" s="1193">
        <f t="shared" si="160"/>
        <v>0</v>
      </c>
      <c r="AL757" s="1193">
        <f t="shared" si="161"/>
        <v>0</v>
      </c>
      <c r="AM757" s="1193">
        <f t="shared" si="162"/>
        <v>0</v>
      </c>
      <c r="AN757" s="1194" t="str">
        <f>VLOOKUP($I757,'Price List, Weapons &amp; Items'!B:L,COLUMN('Price List, Weapons &amp; Items'!$J$11)-1,0)</f>
        <v>.</v>
      </c>
      <c r="AO757" s="1194" t="str">
        <f>IF(I757=".",".",VLOOKUP($I757,'Price List, Weapons &amp; Items'!B:J,3,0))</f>
        <v>.</v>
      </c>
      <c r="AP757" s="1195" t="str">
        <f t="shared" ca="1" si="156"/>
        <v>.</v>
      </c>
      <c r="AQ757" s="1194">
        <f>VLOOKUP($I757,'Price List, Weapons &amp; Items'!B:L,COLUMN('Price List, Weapons &amp; Items'!$L$11)-1,0)</f>
        <v>0</v>
      </c>
      <c r="AR757" s="1194">
        <f t="shared" si="163"/>
        <v>1</v>
      </c>
      <c r="AS757" s="1194">
        <f t="shared" si="164"/>
        <v>0</v>
      </c>
      <c r="AT757" s="1194">
        <f t="shared" si="165"/>
        <v>1</v>
      </c>
      <c r="AU757" s="1194" t="str">
        <f t="shared" si="166"/>
        <v>.</v>
      </c>
      <c r="AV757" s="1194" t="str">
        <f t="shared" si="157"/>
        <v>.</v>
      </c>
      <c r="AW757" s="1194" t="str">
        <f t="shared" si="167"/>
        <v>.</v>
      </c>
      <c r="AX757" s="1194">
        <f>IFERROR(VLOOKUP(B757,'Share, Heavy Weapons to Ukraine'!B:Z,COLUMN('Share, Heavy Weapons to Ukraine'!C767)-1,0),0)</f>
        <v>0</v>
      </c>
      <c r="AY757" s="1194">
        <f>VLOOKUP('Bilateral Assistance, MAIN DATA'!B757,'Country Summary (€)'!B:F,COLUMN('Country Summary (€)'!C768)-1,FALSE)</f>
        <v>1</v>
      </c>
      <c r="AZ757" s="1194" t="str">
        <f>IF(AND(AD757=1,D757="Military",H757&lt;&gt;"Not given")=TRUE,IF(SUMIFS(P:P,A:A,A757)&gt;0,ABS((SUMIFS(P:P,A:A,A757)/VLOOKUP("USD",'Exchange Rates'!B:C,2,0)))/S757,"."),".")</f>
        <v>.</v>
      </c>
      <c r="BA757" s="1196" t="str">
        <f>IF(AND(AD757=1,D757="Military",H757&lt;&gt;"Not given")=TRUE,IF(SUMIFS(P:P,A:A,A757)&gt;0,IF((ABS((SUMIFS(P:P,A:A,A757)/VLOOKUP("USD",'Exchange Rates'!B:C,2,0)))/S757)&gt;1,(SUMIFS(P:P,A:A,A757)-S757)/S757,(S757-SUMIFS(P:P,A:A,A757))/SUMIFS(P:P,A:A,A757)),"."),".")</f>
        <v>.</v>
      </c>
    </row>
    <row r="758" spans="1:71" ht="15.95" customHeight="1">
      <c r="A758" s="1180" t="s">
        <v>2119</v>
      </c>
      <c r="B758" s="1180" t="s">
        <v>2096</v>
      </c>
      <c r="C758" s="1181">
        <v>44740</v>
      </c>
      <c r="D758" s="1182" t="s">
        <v>360</v>
      </c>
      <c r="E758" s="1182" t="s">
        <v>371</v>
      </c>
      <c r="F758" s="1183" t="s">
        <v>2120</v>
      </c>
      <c r="G758" s="1184" t="s">
        <v>483</v>
      </c>
      <c r="H758" s="1185">
        <v>2197000</v>
      </c>
      <c r="I758" s="1180" t="s">
        <v>477</v>
      </c>
      <c r="J758" s="1186" t="str">
        <f>VLOOKUP($I758,'Price List, Weapons &amp; Items'!B:C,2,0)</f>
        <v>Humanitarian</v>
      </c>
      <c r="K758" s="1186" t="str">
        <f>IF(I758=".",I758,VLOOKUP($I758,'Price List, Weapons &amp; Items'!B:D,3,0))</f>
        <v>Humanitarian</v>
      </c>
      <c r="L758" s="1187">
        <f>VLOOKUP(I758,'Price List, Weapons &amp; Items'!B:E,4,0)</f>
        <v>0</v>
      </c>
      <c r="M758" s="1188">
        <v>10</v>
      </c>
      <c r="N758" s="1188" t="s">
        <v>374</v>
      </c>
      <c r="O758" s="1188">
        <f>VLOOKUP($I758,'Price List, Weapons &amp; Items'!B:G,6,0)</f>
        <v>317500</v>
      </c>
      <c r="P758" s="1185">
        <f t="shared" si="158"/>
        <v>3175000</v>
      </c>
      <c r="Q758" s="1185" t="str">
        <f t="shared" si="159"/>
        <v>.</v>
      </c>
      <c r="R758" s="1185">
        <f t="shared" si="155"/>
        <v>2197000</v>
      </c>
      <c r="S758" s="1185">
        <f>IF(AND(AD758=1,R758&lt;&gt;".")=TRUE,R758/VLOOKUP(G758,'Exchange Rates'!B:C,2,0),IF(R758=".",".",""))</f>
        <v>2197000</v>
      </c>
      <c r="T758" s="1185" t="str">
        <f>IF(AD758=1,IF(AF758="Value is not given at all",".",IF(AF758="Value is given by the source",S758,IF(AF758="Value is calculated with prices",(IF(SUMIFS(Q:Q,A:A,A758)&gt;0,SUMIFS(Q:Q,A:A,A758),"."))/VLOOKUP("USD",'Exchange Rates'!B:C,2,0),"Error with coding"))),"")</f>
        <v>.</v>
      </c>
      <c r="U758" s="1184" t="s">
        <v>365</v>
      </c>
      <c r="V758" s="971" t="s">
        <v>2121</v>
      </c>
      <c r="W758" s="971" t="s">
        <v>2122</v>
      </c>
      <c r="X758" s="1190" t="s">
        <v>364</v>
      </c>
      <c r="Y758" s="1190" t="s">
        <v>364</v>
      </c>
      <c r="Z758" s="1184">
        <v>0</v>
      </c>
      <c r="AA758" s="1194">
        <v>0</v>
      </c>
      <c r="AB758" s="1180" t="s">
        <v>364</v>
      </c>
      <c r="AC758" s="1192" t="str">
        <f>""</f>
        <v/>
      </c>
      <c r="AD758" s="985">
        <v>1</v>
      </c>
      <c r="AE758" s="985" t="s">
        <v>368</v>
      </c>
      <c r="AF758" s="985" t="s">
        <v>369</v>
      </c>
      <c r="AG758" s="985">
        <v>1</v>
      </c>
      <c r="AH758" s="1193">
        <v>6</v>
      </c>
      <c r="AI758" s="1193">
        <v>0</v>
      </c>
      <c r="AJ758" s="1193">
        <f>VLOOKUP($I758,'Price List, Weapons &amp; Items'!B:F,5,0)</f>
        <v>0</v>
      </c>
      <c r="AK758" s="1193">
        <f t="shared" si="160"/>
        <v>0</v>
      </c>
      <c r="AL758" s="1193">
        <f t="shared" si="161"/>
        <v>0</v>
      </c>
      <c r="AM758" s="1193">
        <f t="shared" si="162"/>
        <v>0</v>
      </c>
      <c r="AN758" s="1194" t="str">
        <f>VLOOKUP($I758,'Price List, Weapons &amp; Items'!B:L,COLUMN('Price List, Weapons &amp; Items'!$J$11)-1,0)</f>
        <v>Media reports (incl. social media)</v>
      </c>
      <c r="AO758" s="1194" t="str">
        <f>IF(I758=".",".",VLOOKUP($I758,'Price List, Weapons &amp; Items'!B:J,3,0))</f>
        <v>Humanitarian</v>
      </c>
      <c r="AP758" s="1195" t="str">
        <f t="shared" ca="1" si="156"/>
        <v>ambulance H</v>
      </c>
      <c r="AQ758" s="1194">
        <f>VLOOKUP($I758,'Price List, Weapons &amp; Items'!B:L,COLUMN('Price List, Weapons &amp; Items'!$L$11)-1,0)</f>
        <v>0</v>
      </c>
      <c r="AR758" s="1194">
        <f t="shared" si="163"/>
        <v>1</v>
      </c>
      <c r="AS758" s="1194">
        <f t="shared" si="164"/>
        <v>0</v>
      </c>
      <c r="AT758" s="1194">
        <f t="shared" si="165"/>
        <v>1</v>
      </c>
      <c r="AU758" s="1194" t="str">
        <f t="shared" si="166"/>
        <v>.</v>
      </c>
      <c r="AV758" s="1194" t="str">
        <f t="shared" si="157"/>
        <v>.</v>
      </c>
      <c r="AW758" s="1194" t="str">
        <f t="shared" si="167"/>
        <v>.</v>
      </c>
      <c r="AX758" s="1194">
        <f>IFERROR(VLOOKUP(B758,'Share, Heavy Weapons to Ukraine'!B:Z,COLUMN('Share, Heavy Weapons to Ukraine'!C768)-1,0),0)</f>
        <v>0</v>
      </c>
      <c r="AY758" s="1194">
        <f>VLOOKUP('Bilateral Assistance, MAIN DATA'!B758,'Country Summary (€)'!B:F,COLUMN('Country Summary (€)'!C769)-1,FALSE)</f>
        <v>1</v>
      </c>
      <c r="AZ758" s="1194" t="str">
        <f>IF(AND(AD758=1,D758="Military",H758&lt;&gt;"Not given")=TRUE,IF(SUMIFS(P:P,A:A,A758)&gt;0,ABS((SUMIFS(P:P,A:A,A758)/VLOOKUP("USD",'Exchange Rates'!B:C,2,0)))/S758,"."),".")</f>
        <v>.</v>
      </c>
      <c r="BA758" s="1196" t="str">
        <f>IF(AND(AD758=1,D758="Military",H758&lt;&gt;"Not given")=TRUE,IF(SUMIFS(P:P,A:A,A758)&gt;0,IF((ABS((SUMIFS(P:P,A:A,A758)/VLOOKUP("USD",'Exchange Rates'!B:C,2,0)))/S758)&gt;1,(SUMIFS(P:P,A:A,A758)-S758)/S758,(S758-SUMIFS(P:P,A:A,A758))/SUMIFS(P:P,A:A,A758)),"."),".")</f>
        <v>.</v>
      </c>
    </row>
    <row r="759" spans="1:71" ht="15.95" customHeight="1">
      <c r="A759" s="1180" t="s">
        <v>2123</v>
      </c>
      <c r="B759" s="1180" t="s">
        <v>2096</v>
      </c>
      <c r="C759" s="1181">
        <v>45196</v>
      </c>
      <c r="D759" s="1182" t="s">
        <v>360</v>
      </c>
      <c r="E759" s="1182" t="s">
        <v>361</v>
      </c>
      <c r="F759" s="1183" t="s">
        <v>2124</v>
      </c>
      <c r="G759" s="1184" t="s">
        <v>483</v>
      </c>
      <c r="H759" s="1185">
        <v>32000000</v>
      </c>
      <c r="I759" s="1180" t="s">
        <v>364</v>
      </c>
      <c r="J759" s="1186" t="str">
        <f>VLOOKUP($I759,'Price List, Weapons &amp; Items'!B:C,2,0)</f>
        <v>.</v>
      </c>
      <c r="K759" s="1186" t="str">
        <f>IF(I759=".",I759,VLOOKUP($I759,'Price List, Weapons &amp; Items'!B:D,3,0))</f>
        <v>.</v>
      </c>
      <c r="L759" s="1187">
        <f>VLOOKUP(I759,'Price List, Weapons &amp; Items'!B:E,4,0)</f>
        <v>0</v>
      </c>
      <c r="M759" s="1188" t="s">
        <v>364</v>
      </c>
      <c r="N759" s="1188" t="s">
        <v>364</v>
      </c>
      <c r="O759" s="1188" t="str">
        <f>VLOOKUP($I759,'Price List, Weapons &amp; Items'!B:G,6,0)</f>
        <v>.</v>
      </c>
      <c r="P759" s="1185" t="str">
        <f t="shared" si="158"/>
        <v>.</v>
      </c>
      <c r="Q759" s="1185" t="str">
        <f t="shared" si="159"/>
        <v>.</v>
      </c>
      <c r="R759" s="1185">
        <f t="shared" si="155"/>
        <v>32000000</v>
      </c>
      <c r="S759" s="1185">
        <f>IF(AND(AD759=1,R759&lt;&gt;".")=TRUE,R759/VLOOKUP(G759,'Exchange Rates'!B:C,2,0),IF(R759=".",".",""))</f>
        <v>32000000</v>
      </c>
      <c r="T759" s="1185" t="str">
        <f>IF(AD759=1,IF(AF759="Value is not given at all",".",IF(AF759="Value is given by the source",S759,IF(AF759="Value is calculated with prices",(IF(SUMIFS(Q:Q,A:A,A759)&gt;0,SUMIFS(Q:Q,A:A,A759),"."))/VLOOKUP("USD",'Exchange Rates'!B:C,2,0),"Error with coding"))),"")</f>
        <v>.</v>
      </c>
      <c r="U759" s="1184" t="s">
        <v>365</v>
      </c>
      <c r="V759" s="980" t="s">
        <v>2125</v>
      </c>
      <c r="W759" s="980" t="s">
        <v>2126</v>
      </c>
      <c r="X759" s="1219" t="s">
        <v>364</v>
      </c>
      <c r="Z759" s="1184">
        <v>0</v>
      </c>
      <c r="AA759" s="1194">
        <v>1</v>
      </c>
      <c r="AB759" s="1212" t="s">
        <v>364</v>
      </c>
      <c r="AC759" s="1192" t="str">
        <f>""</f>
        <v/>
      </c>
      <c r="AD759" s="985">
        <v>1</v>
      </c>
      <c r="AE759" s="1194" t="s">
        <v>368</v>
      </c>
      <c r="AF759" s="1194" t="s">
        <v>369</v>
      </c>
      <c r="AG759" s="1194">
        <v>1</v>
      </c>
      <c r="AH759" s="1194">
        <v>9</v>
      </c>
      <c r="AI759" s="1194">
        <v>0</v>
      </c>
      <c r="AJ759" s="1193">
        <f>VLOOKUP($I759,'Price List, Weapons &amp; Items'!B:F,5,0)</f>
        <v>0</v>
      </c>
      <c r="AK759" s="1193">
        <f t="shared" si="160"/>
        <v>0</v>
      </c>
      <c r="AL759" s="1193">
        <f t="shared" si="161"/>
        <v>0</v>
      </c>
      <c r="AM759" s="1193">
        <f t="shared" si="162"/>
        <v>0</v>
      </c>
      <c r="AN759" s="1194" t="str">
        <f>VLOOKUP($I759,'Price List, Weapons &amp; Items'!B:L,COLUMN('Price List, Weapons &amp; Items'!$J$11)-1,0)</f>
        <v>.</v>
      </c>
      <c r="AO759" s="1194" t="str">
        <f>IF(I759=".",".",VLOOKUP($I759,'Price List, Weapons &amp; Items'!B:J,3,0))</f>
        <v>.</v>
      </c>
      <c r="AP759" s="1195" t="str">
        <f t="shared" ca="1" si="156"/>
        <v>.</v>
      </c>
      <c r="AQ759" s="1194">
        <f>VLOOKUP($I759,'Price List, Weapons &amp; Items'!B:L,COLUMN('Price List, Weapons &amp; Items'!$L$11)-1,0)</f>
        <v>0</v>
      </c>
      <c r="AR759" s="1194">
        <f t="shared" si="163"/>
        <v>1</v>
      </c>
      <c r="AS759" s="1194">
        <f t="shared" si="164"/>
        <v>0</v>
      </c>
      <c r="AT759" s="1194">
        <f t="shared" si="165"/>
        <v>1</v>
      </c>
      <c r="AU759" s="1194" t="str">
        <f t="shared" si="166"/>
        <v>.</v>
      </c>
      <c r="AV759" s="1194" t="str">
        <f t="shared" si="157"/>
        <v>.</v>
      </c>
      <c r="AW759" s="1194" t="str">
        <f t="shared" si="167"/>
        <v>.</v>
      </c>
      <c r="AX759" s="1194">
        <f>IFERROR(VLOOKUP(B759,'Share, Heavy Weapons to Ukraine'!B:Z,COLUMN('Share, Heavy Weapons to Ukraine'!C769)-1,0),0)</f>
        <v>0</v>
      </c>
      <c r="AY759" s="1194">
        <f>VLOOKUP('Bilateral Assistance, MAIN DATA'!B759,'Country Summary (€)'!B:F,COLUMN('Country Summary (€)'!C770)-1,FALSE)</f>
        <v>1</v>
      </c>
      <c r="AZ759" s="1194" t="str">
        <f>IF(AND(AD759=1,D759="Military",H759&lt;&gt;"Not given")=TRUE,IF(SUMIFS(P:P,A:A,A759)&gt;0,ABS((SUMIFS(P:P,A:A,A759)/VLOOKUP("USD",'Exchange Rates'!B:C,2,0)))/S759,"."),".")</f>
        <v>.</v>
      </c>
      <c r="BA759" s="1196" t="str">
        <f>IF(AND(AD759=1,D759="Military",H759&lt;&gt;"Not given")=TRUE,IF(SUMIFS(P:P,A:A,A759)&gt;0,IF((ABS((SUMIFS(P:P,A:A,A759)/VLOOKUP("USD",'Exchange Rates'!B:C,2,0)))/S759)&gt;1,(SUMIFS(P:P,A:A,A759)-S759)/S759,(S759-SUMIFS(P:P,A:A,A759))/SUMIFS(P:P,A:A,A759)),"."),".")</f>
        <v>.</v>
      </c>
    </row>
    <row r="760" spans="1:71" ht="15.95" customHeight="1">
      <c r="A760" s="1180" t="s">
        <v>2127</v>
      </c>
      <c r="B760" s="1180" t="s">
        <v>2096</v>
      </c>
      <c r="C760" s="1181">
        <v>45006</v>
      </c>
      <c r="D760" s="1182" t="s">
        <v>360</v>
      </c>
      <c r="E760" s="1182" t="s">
        <v>371</v>
      </c>
      <c r="F760" s="1183" t="s">
        <v>2128</v>
      </c>
      <c r="G760" s="1184" t="s">
        <v>483</v>
      </c>
      <c r="H760" s="1185">
        <v>5100000</v>
      </c>
      <c r="I760" s="1180" t="s">
        <v>364</v>
      </c>
      <c r="J760" s="1186" t="str">
        <f>VLOOKUP($I760,'Price List, Weapons &amp; Items'!B:C,2,0)</f>
        <v>.</v>
      </c>
      <c r="K760" s="1186" t="str">
        <f>IF(I760=".",I760,VLOOKUP($I760,'Price List, Weapons &amp; Items'!B:D,3,0))</f>
        <v>.</v>
      </c>
      <c r="L760" s="1187">
        <f>VLOOKUP(I760,'Price List, Weapons &amp; Items'!B:E,4,0)</f>
        <v>0</v>
      </c>
      <c r="M760" s="1188" t="s">
        <v>364</v>
      </c>
      <c r="N760" s="1188" t="s">
        <v>364</v>
      </c>
      <c r="O760" s="1188" t="str">
        <f>VLOOKUP($I760,'Price List, Weapons &amp; Items'!B:G,6,0)</f>
        <v>.</v>
      </c>
      <c r="P760" s="1185" t="str">
        <f t="shared" si="158"/>
        <v>.</v>
      </c>
      <c r="Q760" s="1185" t="str">
        <f t="shared" si="159"/>
        <v>.</v>
      </c>
      <c r="R760" s="1185">
        <f t="shared" si="155"/>
        <v>5100000</v>
      </c>
      <c r="S760" s="1185">
        <f>IF(AND(AD760=1,R760&lt;&gt;".")=TRUE,R760/VLOOKUP(G760,'Exchange Rates'!B:C,2,0),IF(R760=".",".",""))</f>
        <v>5100000</v>
      </c>
      <c r="T760" s="1185" t="str">
        <f>IF(AD760=1,IF(AF760="Value is not given at all",".",IF(AF760="Value is given by the source",S760,IF(AF760="Value is calculated with prices",(IF(SUMIFS(Q:Q,A:A,A760)&gt;0,SUMIFS(Q:Q,A:A,A760),"."))/VLOOKUP("USD",'Exchange Rates'!B:C,2,0),"Error with coding"))),"")</f>
        <v>.</v>
      </c>
      <c r="U760" s="1184" t="s">
        <v>365</v>
      </c>
      <c r="V760" s="980" t="s">
        <v>2129</v>
      </c>
      <c r="W760" s="980" t="s">
        <v>364</v>
      </c>
      <c r="X760" s="1219" t="s">
        <v>364</v>
      </c>
      <c r="Y760" s="1219" t="s">
        <v>364</v>
      </c>
      <c r="Z760" s="1184">
        <v>0</v>
      </c>
      <c r="AA760" s="1194">
        <v>1</v>
      </c>
      <c r="AB760" s="1212" t="s">
        <v>364</v>
      </c>
      <c r="AC760" s="1192" t="str">
        <f>""</f>
        <v/>
      </c>
      <c r="AD760" s="985">
        <v>1</v>
      </c>
      <c r="AE760" s="1194" t="s">
        <v>368</v>
      </c>
      <c r="AF760" s="1194" t="s">
        <v>369</v>
      </c>
      <c r="AG760" s="1194">
        <v>1</v>
      </c>
      <c r="AH760" s="1194">
        <v>15</v>
      </c>
      <c r="AI760" s="1194">
        <v>0</v>
      </c>
      <c r="AJ760" s="1193">
        <f>VLOOKUP($I760,'Price List, Weapons &amp; Items'!B:F,5,0)</f>
        <v>0</v>
      </c>
      <c r="AK760" s="1193">
        <f t="shared" si="160"/>
        <v>0</v>
      </c>
      <c r="AL760" s="1193">
        <f t="shared" si="161"/>
        <v>0</v>
      </c>
      <c r="AM760" s="1193">
        <f t="shared" si="162"/>
        <v>0</v>
      </c>
      <c r="AN760" s="1194" t="str">
        <f>VLOOKUP($I760,'Price List, Weapons &amp; Items'!B:L,COLUMN('Price List, Weapons &amp; Items'!$J$11)-1,0)</f>
        <v>.</v>
      </c>
      <c r="AO760" s="1194" t="str">
        <f>IF(I760=".",".",VLOOKUP($I760,'Price List, Weapons &amp; Items'!B:J,3,0))</f>
        <v>.</v>
      </c>
      <c r="AP760" s="1195" t="str">
        <f t="shared" ca="1" si="156"/>
        <v>.</v>
      </c>
      <c r="AQ760" s="1194">
        <f>VLOOKUP($I760,'Price List, Weapons &amp; Items'!B:L,COLUMN('Price List, Weapons &amp; Items'!$L$11)-1,0)</f>
        <v>0</v>
      </c>
      <c r="AR760" s="1194">
        <f t="shared" si="163"/>
        <v>1</v>
      </c>
      <c r="AS760" s="1194">
        <f t="shared" si="164"/>
        <v>0</v>
      </c>
      <c r="AT760" s="1194">
        <f t="shared" si="165"/>
        <v>1</v>
      </c>
      <c r="AU760" s="1194" t="str">
        <f t="shared" si="166"/>
        <v>.</v>
      </c>
      <c r="AV760" s="1194" t="str">
        <f t="shared" si="157"/>
        <v>.</v>
      </c>
      <c r="AW760" s="1194" t="str">
        <f t="shared" si="167"/>
        <v>.</v>
      </c>
      <c r="AX760" s="1194">
        <f>IFERROR(VLOOKUP(B760,'Share, Heavy Weapons to Ukraine'!B:Z,COLUMN('Share, Heavy Weapons to Ukraine'!C770)-1,0),0)</f>
        <v>0</v>
      </c>
      <c r="AY760" s="1194">
        <f>VLOOKUP('Bilateral Assistance, MAIN DATA'!B760,'Country Summary (€)'!B:F,COLUMN('Country Summary (€)'!C771)-1,FALSE)</f>
        <v>1</v>
      </c>
      <c r="AZ760" s="1194" t="str">
        <f>IF(AND(AD760=1,D760="Military",H760&lt;&gt;"Not given")=TRUE,IF(SUMIFS(P:P,A:A,A760)&gt;0,ABS((SUMIFS(P:P,A:A,A760)/VLOOKUP("USD",'Exchange Rates'!B:C,2,0)))/S760,"."),".")</f>
        <v>.</v>
      </c>
      <c r="BA760" s="1196" t="str">
        <f>IF(AND(AD760=1,D760="Military",H760&lt;&gt;"Not given")=TRUE,IF(SUMIFS(P:P,A:A,A760)&gt;0,IF((ABS((SUMIFS(P:P,A:A,A760)/VLOOKUP("USD",'Exchange Rates'!B:C,2,0)))/S760)&gt;1,(SUMIFS(P:P,A:A,A760)-S760)/S760,(S760-SUMIFS(P:P,A:A,A760))/SUMIFS(P:P,A:A,A760)),"."),".")</f>
        <v>.</v>
      </c>
    </row>
    <row r="761" spans="1:71" ht="15.95" customHeight="1">
      <c r="A761" s="1180" t="s">
        <v>2130</v>
      </c>
      <c r="B761" s="1180" t="s">
        <v>2096</v>
      </c>
      <c r="C761" s="1181">
        <v>44978</v>
      </c>
      <c r="D761" s="1182" t="s">
        <v>389</v>
      </c>
      <c r="E761" s="1182" t="s">
        <v>361</v>
      </c>
      <c r="F761" s="1183" t="s">
        <v>2131</v>
      </c>
      <c r="G761" s="1184" t="s">
        <v>483</v>
      </c>
      <c r="H761" s="1185">
        <v>3850000</v>
      </c>
      <c r="I761" s="1180" t="s">
        <v>364</v>
      </c>
      <c r="J761" s="1186" t="str">
        <f>VLOOKUP($I761,'Price List, Weapons &amp; Items'!B:C,2,0)</f>
        <v>.</v>
      </c>
      <c r="K761" s="1186" t="str">
        <f>IF(I761=".",I761,VLOOKUP($I761,'Price List, Weapons &amp; Items'!B:D,3,0))</f>
        <v>.</v>
      </c>
      <c r="L761" s="1187">
        <f>VLOOKUP(I761,'Price List, Weapons &amp; Items'!B:E,4,0)</f>
        <v>0</v>
      </c>
      <c r="M761" s="1188" t="s">
        <v>364</v>
      </c>
      <c r="N761" s="1188" t="s">
        <v>364</v>
      </c>
      <c r="O761" s="1188" t="str">
        <f>VLOOKUP($I761,'Price List, Weapons &amp; Items'!B:G,6,0)</f>
        <v>.</v>
      </c>
      <c r="P761" s="1185" t="str">
        <f t="shared" si="158"/>
        <v>.</v>
      </c>
      <c r="Q761" s="1185" t="str">
        <f t="shared" si="159"/>
        <v>.</v>
      </c>
      <c r="R761" s="1185">
        <f t="shared" si="155"/>
        <v>3850000</v>
      </c>
      <c r="S761" s="1185">
        <f>IF(AND(AD761=1,R761&lt;&gt;".")=TRUE,R761/VLOOKUP(G761,'Exchange Rates'!B:C,2,0),IF(R761=".",".",""))</f>
        <v>3850000</v>
      </c>
      <c r="T761" s="1185" t="str">
        <f>IF(AD761=1,IF(AF761="Value is not given at all",".",IF(AF761="Value is given by the source",S761,IF(AF761="Value is calculated with prices",(IF(SUMIFS(Q:Q,A:A,A761)&gt;0,SUMIFS(Q:Q,A:A,A761),"."))/VLOOKUP("USD",'Exchange Rates'!B:C,2,0),"Error with coding"))),"")</f>
        <v>.</v>
      </c>
      <c r="U761" s="1184" t="s">
        <v>365</v>
      </c>
      <c r="V761" s="980" t="s">
        <v>2132</v>
      </c>
      <c r="W761" s="980" t="s">
        <v>2133</v>
      </c>
      <c r="X761" s="1219" t="s">
        <v>2134</v>
      </c>
      <c r="Y761" s="1219" t="s">
        <v>364</v>
      </c>
      <c r="Z761" s="1184">
        <v>0</v>
      </c>
      <c r="AA761" s="1194">
        <v>1</v>
      </c>
      <c r="AB761" s="1212" t="s">
        <v>364</v>
      </c>
      <c r="AC761" s="1192" t="str">
        <f>""</f>
        <v/>
      </c>
      <c r="AD761" s="985">
        <v>1</v>
      </c>
      <c r="AE761" s="1194" t="s">
        <v>368</v>
      </c>
      <c r="AF761" s="1194" t="s">
        <v>369</v>
      </c>
      <c r="AG761" s="1194">
        <v>1</v>
      </c>
      <c r="AH761" s="1194">
        <v>14</v>
      </c>
      <c r="AI761" s="1194">
        <v>0</v>
      </c>
      <c r="AJ761" s="1193">
        <f>VLOOKUP($I761,'Price List, Weapons &amp; Items'!B:F,5,0)</f>
        <v>0</v>
      </c>
      <c r="AK761" s="1193">
        <f t="shared" si="160"/>
        <v>0</v>
      </c>
      <c r="AL761" s="1193">
        <f t="shared" si="161"/>
        <v>0</v>
      </c>
      <c r="AM761" s="1193">
        <f t="shared" si="162"/>
        <v>0</v>
      </c>
      <c r="AN761" s="1194" t="str">
        <f>VLOOKUP($I761,'Price List, Weapons &amp; Items'!B:L,COLUMN('Price List, Weapons &amp; Items'!$J$11)-1,0)</f>
        <v>.</v>
      </c>
      <c r="AO761" s="1194" t="str">
        <f>IF(I761=".",".",VLOOKUP($I761,'Price List, Weapons &amp; Items'!B:J,3,0))</f>
        <v>.</v>
      </c>
      <c r="AP761" s="1195" t="str">
        <f t="shared" ca="1" si="156"/>
        <v>.</v>
      </c>
      <c r="AQ761" s="1194">
        <f>VLOOKUP($I761,'Price List, Weapons &amp; Items'!B:L,COLUMN('Price List, Weapons &amp; Items'!$L$11)-1,0)</f>
        <v>0</v>
      </c>
      <c r="AR761" s="1194">
        <f t="shared" si="163"/>
        <v>1</v>
      </c>
      <c r="AS761" s="1194">
        <f t="shared" si="164"/>
        <v>0</v>
      </c>
      <c r="AT761" s="1194">
        <f t="shared" si="165"/>
        <v>1</v>
      </c>
      <c r="AU761" s="1194" t="str">
        <f t="shared" si="166"/>
        <v>.</v>
      </c>
      <c r="AV761" s="1194" t="str">
        <f t="shared" si="157"/>
        <v>.</v>
      </c>
      <c r="AW761" s="1194" t="str">
        <f t="shared" si="167"/>
        <v>.</v>
      </c>
      <c r="AX761" s="1194">
        <f>IFERROR(VLOOKUP(B761,'Share, Heavy Weapons to Ukraine'!B:Z,COLUMN('Share, Heavy Weapons to Ukraine'!C771)-1,0),0)</f>
        <v>0</v>
      </c>
      <c r="AY761" s="1194">
        <f>VLOOKUP('Bilateral Assistance, MAIN DATA'!B761,'Country Summary (€)'!B:F,COLUMN('Country Summary (€)'!C772)-1,FALSE)</f>
        <v>1</v>
      </c>
      <c r="AZ761" s="1194" t="str">
        <f>IF(AND(AD761=1,D761="Military",H761&lt;&gt;"Not given")=TRUE,IF(SUMIFS(P:P,A:A,A761)&gt;0,ABS((SUMIFS(P:P,A:A,A761)/VLOOKUP("USD",'Exchange Rates'!B:C,2,0)))/S761,"."),".")</f>
        <v>.</v>
      </c>
      <c r="BA761" s="1196" t="str">
        <f>IF(AND(AD761=1,D761="Military",H761&lt;&gt;"Not given")=TRUE,IF(SUMIFS(P:P,A:A,A761)&gt;0,IF((ABS((SUMIFS(P:P,A:A,A761)/VLOOKUP("USD",'Exchange Rates'!B:C,2,0)))/S761)&gt;1,(SUMIFS(P:P,A:A,A761)-S761)/S761,(S761-SUMIFS(P:P,A:A,A761))/SUMIFS(P:P,A:A,A761)),"."),".")</f>
        <v>.</v>
      </c>
    </row>
    <row r="762" spans="1:71" ht="15.95" customHeight="1">
      <c r="A762" s="1208" t="s">
        <v>2135</v>
      </c>
      <c r="B762" s="1208" t="s">
        <v>2096</v>
      </c>
      <c r="C762" s="1209">
        <v>44874</v>
      </c>
      <c r="D762" s="1208" t="s">
        <v>544</v>
      </c>
      <c r="E762" s="1208" t="s">
        <v>481</v>
      </c>
      <c r="F762" s="1208" t="s">
        <v>2136</v>
      </c>
      <c r="G762" s="1184" t="s">
        <v>483</v>
      </c>
      <c r="H762" s="1210">
        <v>25000000</v>
      </c>
      <c r="I762" s="1208" t="s">
        <v>364</v>
      </c>
      <c r="J762" s="1186" t="str">
        <f>VLOOKUP($I762,'Price List, Weapons &amp; Items'!B:C,2,0)</f>
        <v>.</v>
      </c>
      <c r="K762" s="1186" t="str">
        <f>IF(I762=".",I762,VLOOKUP($I762,'Price List, Weapons &amp; Items'!B:D,3,0))</f>
        <v>.</v>
      </c>
      <c r="L762" s="1187">
        <f>VLOOKUP(I762,'Price List, Weapons &amp; Items'!B:E,4,0)</f>
        <v>0</v>
      </c>
      <c r="M762" s="1241" t="s">
        <v>364</v>
      </c>
      <c r="N762" s="1211" t="s">
        <v>364</v>
      </c>
      <c r="O762" s="1188" t="str">
        <f>VLOOKUP($I762,'Price List, Weapons &amp; Items'!B:G,6,0)</f>
        <v>.</v>
      </c>
      <c r="P762" s="1185" t="str">
        <f t="shared" si="158"/>
        <v>.</v>
      </c>
      <c r="Q762" s="1185" t="str">
        <f t="shared" si="159"/>
        <v>.</v>
      </c>
      <c r="R762" s="1185">
        <f t="shared" si="155"/>
        <v>25000000</v>
      </c>
      <c r="S762" s="1185">
        <f>IF(AND(AD762=1,R762&lt;&gt;".")=TRUE,R762/VLOOKUP(G762,'Exchange Rates'!B:C,2,0),IF(R762=".",".",""))</f>
        <v>25000000</v>
      </c>
      <c r="T762" s="1185" t="str">
        <f>IF(AD762=1,IF(AF762="Value is not given at all",".",IF(AF762="Value is given by the source",S762,IF(AF762="Value is calculated with prices",(IF(SUMIFS(Q:Q,A:A,A762)&gt;0,SUMIFS(Q:Q,A:A,A762),"."))/VLOOKUP("USD",'Exchange Rates'!B:C,2,0),"Error with coding"))),"")</f>
        <v>.</v>
      </c>
      <c r="U762" s="1191" t="s">
        <v>365</v>
      </c>
      <c r="V762" s="983" t="s">
        <v>2137</v>
      </c>
      <c r="W762" s="983" t="s">
        <v>2098</v>
      </c>
      <c r="X762" s="1208" t="s">
        <v>364</v>
      </c>
      <c r="Y762" s="1208" t="s">
        <v>364</v>
      </c>
      <c r="Z762" s="1191">
        <v>1</v>
      </c>
      <c r="AA762" s="1191">
        <v>0</v>
      </c>
      <c r="AB762" s="1208" t="s">
        <v>364</v>
      </c>
      <c r="AC762" s="1192" t="str">
        <f>""</f>
        <v/>
      </c>
      <c r="AD762" s="1191">
        <v>1</v>
      </c>
      <c r="AE762" s="1191" t="s">
        <v>368</v>
      </c>
      <c r="AF762" s="1191" t="s">
        <v>369</v>
      </c>
      <c r="AG762" s="1191">
        <v>1</v>
      </c>
      <c r="AH762" s="1191">
        <v>11</v>
      </c>
      <c r="AI762" s="1193">
        <v>0</v>
      </c>
      <c r="AJ762" s="1193">
        <f>VLOOKUP($I762,'Price List, Weapons &amp; Items'!B:F,5,0)</f>
        <v>0</v>
      </c>
      <c r="AK762" s="1193">
        <f t="shared" si="160"/>
        <v>0</v>
      </c>
      <c r="AL762" s="1193">
        <f t="shared" si="161"/>
        <v>0</v>
      </c>
      <c r="AM762" s="1193">
        <f t="shared" si="162"/>
        <v>0</v>
      </c>
      <c r="AN762" s="1194" t="str">
        <f>VLOOKUP($I762,'Price List, Weapons &amp; Items'!B:L,COLUMN('Price List, Weapons &amp; Items'!$J$11)-1,0)</f>
        <v>.</v>
      </c>
      <c r="AO762" s="1194" t="str">
        <f>IF(I762=".",".",VLOOKUP($I762,'Price List, Weapons &amp; Items'!B:J,3,0))</f>
        <v>.</v>
      </c>
      <c r="AP762" s="1195" t="str">
        <f t="shared" ca="1" si="156"/>
        <v>.</v>
      </c>
      <c r="AQ762" s="1194">
        <f>VLOOKUP($I762,'Price List, Weapons &amp; Items'!B:L,COLUMN('Price List, Weapons &amp; Items'!$L$11)-1,0)</f>
        <v>0</v>
      </c>
      <c r="AR762" s="1194">
        <f t="shared" si="163"/>
        <v>1</v>
      </c>
      <c r="AS762" s="1194">
        <f t="shared" si="164"/>
        <v>0</v>
      </c>
      <c r="AT762" s="1194">
        <f t="shared" si="165"/>
        <v>1</v>
      </c>
      <c r="AU762" s="1194" t="str">
        <f t="shared" si="166"/>
        <v>.</v>
      </c>
      <c r="AV762" s="1194" t="str">
        <f t="shared" si="157"/>
        <v>.</v>
      </c>
      <c r="AW762" s="1194" t="str">
        <f t="shared" si="167"/>
        <v>.</v>
      </c>
      <c r="AX762" s="1194">
        <f>IFERROR(VLOOKUP(B762,'Share, Heavy Weapons to Ukraine'!B:Z,COLUMN('Share, Heavy Weapons to Ukraine'!C772)-1,0),0)</f>
        <v>0</v>
      </c>
      <c r="AY762" s="1194">
        <f>VLOOKUP('Bilateral Assistance, MAIN DATA'!B762,'Country Summary (€)'!B:F,COLUMN('Country Summary (€)'!C773)-1,FALSE)</f>
        <v>1</v>
      </c>
      <c r="AZ762" s="1194" t="str">
        <f>IF(AND(AD762=1,D762="Military",H762&lt;&gt;"Not given")=TRUE,IF(SUMIFS(P:P,A:A,A762)&gt;0,ABS((SUMIFS(P:P,A:A,A762)/VLOOKUP("USD",'Exchange Rates'!B:C,2,0)))/S762,"."),".")</f>
        <v>.</v>
      </c>
      <c r="BA762" s="1196" t="str">
        <f>IF(AND(AD762=1,D762="Military",H762&lt;&gt;"Not given")=TRUE,IF(SUMIFS(P:P,A:A,A762)&gt;0,IF((ABS((SUMIFS(P:P,A:A,A762)/VLOOKUP("USD",'Exchange Rates'!B:C,2,0)))/S762)&gt;1,(SUMIFS(P:P,A:A,A762)-S762)/S762,(S762-SUMIFS(P:P,A:A,A762))/SUMIFS(P:P,A:A,A762)),"."),".")</f>
        <v>.</v>
      </c>
      <c r="BB762" s="1208" t="s">
        <v>38</v>
      </c>
      <c r="BC762" s="1208" t="s">
        <v>38</v>
      </c>
      <c r="BD762" s="1208" t="s">
        <v>38</v>
      </c>
      <c r="BE762" s="1208" t="s">
        <v>38</v>
      </c>
      <c r="BF762" s="1208" t="s">
        <v>38</v>
      </c>
      <c r="BG762" s="1208" t="s">
        <v>38</v>
      </c>
      <c r="BH762" s="1208" t="s">
        <v>38</v>
      </c>
      <c r="BI762" s="1208" t="s">
        <v>38</v>
      </c>
      <c r="BJ762" s="1208" t="s">
        <v>38</v>
      </c>
      <c r="BK762" s="1208" t="s">
        <v>38</v>
      </c>
      <c r="BL762" s="1208" t="s">
        <v>38</v>
      </c>
      <c r="BM762" s="1208" t="s">
        <v>38</v>
      </c>
      <c r="BN762" s="1208" t="s">
        <v>38</v>
      </c>
      <c r="BO762" s="1208" t="s">
        <v>38</v>
      </c>
      <c r="BP762" s="1208" t="s">
        <v>38</v>
      </c>
      <c r="BQ762" s="1208" t="s">
        <v>38</v>
      </c>
      <c r="BR762" s="1208" t="s">
        <v>38</v>
      </c>
      <c r="BS762" s="1208" t="s">
        <v>38</v>
      </c>
    </row>
    <row r="763" spans="1:71" ht="15.95" customHeight="1">
      <c r="A763" s="1208" t="s">
        <v>2138</v>
      </c>
      <c r="B763" s="1208" t="s">
        <v>2139</v>
      </c>
      <c r="C763" s="1209">
        <v>44620</v>
      </c>
      <c r="D763" s="1208" t="s">
        <v>360</v>
      </c>
      <c r="E763" s="1208" t="s">
        <v>361</v>
      </c>
      <c r="F763" s="1208" t="s">
        <v>2140</v>
      </c>
      <c r="G763" s="1184" t="s">
        <v>2141</v>
      </c>
      <c r="H763" s="1210">
        <v>145000000</v>
      </c>
      <c r="I763" s="1208" t="s">
        <v>364</v>
      </c>
      <c r="J763" s="1186" t="str">
        <f>VLOOKUP($I763,'Price List, Weapons &amp; Items'!B:C,2,0)</f>
        <v>.</v>
      </c>
      <c r="K763" s="1186" t="str">
        <f>IF(I763=".",I763,VLOOKUP($I763,'Price List, Weapons &amp; Items'!B:D,3,0))</f>
        <v>.</v>
      </c>
      <c r="L763" s="1187">
        <f>VLOOKUP(I763,'Price List, Weapons &amp; Items'!B:E,4,0)</f>
        <v>0</v>
      </c>
      <c r="M763" s="1241" t="s">
        <v>364</v>
      </c>
      <c r="N763" s="1211" t="s">
        <v>364</v>
      </c>
      <c r="O763" s="1188" t="str">
        <f>VLOOKUP($I763,'Price List, Weapons &amp; Items'!B:G,6,0)</f>
        <v>.</v>
      </c>
      <c r="P763" s="1185" t="str">
        <f t="shared" si="158"/>
        <v>.</v>
      </c>
      <c r="Q763" s="1185" t="str">
        <f t="shared" si="159"/>
        <v>.</v>
      </c>
      <c r="R763" s="1185">
        <f t="shared" si="155"/>
        <v>145000000</v>
      </c>
      <c r="S763" s="1185">
        <f>IF(AND(AD763=1,R763&lt;&gt;".")=TRUE,R763/VLOOKUP(G763,'Exchange Rates'!B:C,2,0),IF(R763=".",".",""))</f>
        <v>963647.23865222302</v>
      </c>
      <c r="T763" s="1185" t="str">
        <f>IF(AD763=1,IF(AF763="Value is not given at all",".",IF(AF763="Value is given by the source",S763,IF(AF763="Value is calculated with prices",(IF(SUMIFS(Q:Q,A:A,A763)&gt;0,SUMIFS(Q:Q,A:A,A763),"."))/VLOOKUP("USD",'Exchange Rates'!B:C,2,0),"Error with coding"))),"")</f>
        <v>.</v>
      </c>
      <c r="U763" s="1191" t="s">
        <v>365</v>
      </c>
      <c r="V763" s="983" t="s">
        <v>2142</v>
      </c>
      <c r="W763" s="983" t="s">
        <v>364</v>
      </c>
      <c r="X763" s="1208" t="s">
        <v>364</v>
      </c>
      <c r="Y763" s="1208" t="s">
        <v>364</v>
      </c>
      <c r="Z763" s="1191">
        <v>0</v>
      </c>
      <c r="AA763" s="1191">
        <v>1</v>
      </c>
      <c r="AB763" s="1208" t="s">
        <v>364</v>
      </c>
      <c r="AC763" s="1192" t="str">
        <f>""</f>
        <v/>
      </c>
      <c r="AD763" s="1191">
        <v>1</v>
      </c>
      <c r="AE763" s="1191" t="s">
        <v>368</v>
      </c>
      <c r="AF763" s="1191" t="s">
        <v>369</v>
      </c>
      <c r="AG763" s="1191">
        <v>1</v>
      </c>
      <c r="AH763" s="1191">
        <v>2</v>
      </c>
      <c r="AI763" s="1193">
        <v>0</v>
      </c>
      <c r="AJ763" s="1193">
        <f>VLOOKUP($I763,'Price List, Weapons &amp; Items'!B:F,5,0)</f>
        <v>0</v>
      </c>
      <c r="AK763" s="1193">
        <f t="shared" si="160"/>
        <v>0</v>
      </c>
      <c r="AL763" s="1193">
        <f t="shared" si="161"/>
        <v>0</v>
      </c>
      <c r="AM763" s="1193">
        <f t="shared" si="162"/>
        <v>0</v>
      </c>
      <c r="AN763" s="1194" t="str">
        <f>VLOOKUP($I763,'Price List, Weapons &amp; Items'!B:L,COLUMN('Price List, Weapons &amp; Items'!$J$11)-1,0)</f>
        <v>.</v>
      </c>
      <c r="AO763" s="1194" t="str">
        <f>IF(I763=".",".",VLOOKUP($I763,'Price List, Weapons &amp; Items'!B:J,3,0))</f>
        <v>.</v>
      </c>
      <c r="AP763" s="1195" t="str">
        <f t="shared" ca="1" si="156"/>
        <v>.</v>
      </c>
      <c r="AQ763" s="1194">
        <f>VLOOKUP($I763,'Price List, Weapons &amp; Items'!B:L,COLUMN('Price List, Weapons &amp; Items'!$L$11)-1,0)</f>
        <v>0</v>
      </c>
      <c r="AR763" s="1194">
        <f t="shared" si="163"/>
        <v>1</v>
      </c>
      <c r="AS763" s="1194">
        <f t="shared" si="164"/>
        <v>0</v>
      </c>
      <c r="AT763" s="1194">
        <f t="shared" si="165"/>
        <v>1</v>
      </c>
      <c r="AU763" s="1194" t="str">
        <f t="shared" si="166"/>
        <v>.</v>
      </c>
      <c r="AV763" s="1194" t="str">
        <f t="shared" si="157"/>
        <v>.</v>
      </c>
      <c r="AW763" s="1194" t="str">
        <f t="shared" si="167"/>
        <v>.</v>
      </c>
      <c r="AX763" s="1194">
        <f>IFERROR(VLOOKUP(B763,'Share, Heavy Weapons to Ukraine'!B:Z,COLUMN('Share, Heavy Weapons to Ukraine'!C773)-1,0),0)</f>
        <v>0</v>
      </c>
      <c r="AY763" s="1194">
        <f>VLOOKUP('Bilateral Assistance, MAIN DATA'!B763,'Country Summary (€)'!B:F,COLUMN('Country Summary (€)'!C774)-1,FALSE)</f>
        <v>0</v>
      </c>
      <c r="AZ763" s="1194" t="str">
        <f>IF(AND(AD763=1,D763="Military",H763&lt;&gt;"Not given")=TRUE,IF(SUMIFS(P:P,A:A,A763)&gt;0,ABS((SUMIFS(P:P,A:A,A763)/VLOOKUP("USD",'Exchange Rates'!B:C,2,0)))/S763,"."),".")</f>
        <v>.</v>
      </c>
      <c r="BA763" s="1196" t="str">
        <f>IF(AND(AD763=1,D763="Military",H763&lt;&gt;"Not given")=TRUE,IF(SUMIFS(P:P,A:A,A763)&gt;0,IF((ABS((SUMIFS(P:P,A:A,A763)/VLOOKUP("USD",'Exchange Rates'!B:C,2,0)))/S763)&gt;1,(SUMIFS(P:P,A:A,A763)-S763)/S763,(S763-SUMIFS(P:P,A:A,A763))/SUMIFS(P:P,A:A,A763)),"."),".")</f>
        <v>.</v>
      </c>
      <c r="BB763" s="1208"/>
      <c r="BC763" s="1208"/>
      <c r="BD763" s="1208"/>
      <c r="BE763" s="1208"/>
      <c r="BF763" s="1208"/>
      <c r="BG763" s="1208"/>
      <c r="BH763" s="1208"/>
      <c r="BI763" s="1208"/>
      <c r="BJ763" s="1208"/>
      <c r="BK763" s="1208"/>
      <c r="BL763" s="1208"/>
      <c r="BM763" s="1208"/>
      <c r="BN763" s="1208"/>
      <c r="BO763" s="1208"/>
      <c r="BP763" s="1208"/>
      <c r="BQ763" s="1208"/>
      <c r="BR763" s="1208"/>
      <c r="BS763" s="1208"/>
    </row>
    <row r="764" spans="1:71" ht="15.95" customHeight="1">
      <c r="A764" s="1208" t="s">
        <v>2143</v>
      </c>
      <c r="B764" s="1208" t="s">
        <v>2139</v>
      </c>
      <c r="C764" s="1209">
        <v>44623</v>
      </c>
      <c r="D764" s="1208" t="s">
        <v>360</v>
      </c>
      <c r="E764" s="1208" t="s">
        <v>361</v>
      </c>
      <c r="F764" s="1208" t="s">
        <v>2144</v>
      </c>
      <c r="G764" s="1184" t="s">
        <v>2141</v>
      </c>
      <c r="H764" s="1210">
        <v>100000000</v>
      </c>
      <c r="I764" s="1208" t="s">
        <v>364</v>
      </c>
      <c r="J764" s="1186" t="str">
        <f>VLOOKUP($I764,'Price List, Weapons &amp; Items'!B:C,2,0)</f>
        <v>.</v>
      </c>
      <c r="K764" s="1186" t="str">
        <f>IF(I764=".",I764,VLOOKUP($I764,'Price List, Weapons &amp; Items'!B:D,3,0))</f>
        <v>.</v>
      </c>
      <c r="L764" s="1187">
        <f>VLOOKUP(I764,'Price List, Weapons &amp; Items'!B:E,4,0)</f>
        <v>0</v>
      </c>
      <c r="M764" s="1241" t="s">
        <v>364</v>
      </c>
      <c r="N764" s="1211" t="s">
        <v>364</v>
      </c>
      <c r="O764" s="1188" t="str">
        <f>VLOOKUP($I764,'Price List, Weapons &amp; Items'!B:G,6,0)</f>
        <v>.</v>
      </c>
      <c r="P764" s="1185" t="str">
        <f t="shared" si="158"/>
        <v>.</v>
      </c>
      <c r="Q764" s="1185" t="str">
        <f t="shared" si="159"/>
        <v>.</v>
      </c>
      <c r="R764" s="1185">
        <f t="shared" si="155"/>
        <v>100000000</v>
      </c>
      <c r="S764" s="1185">
        <f>IF(AND(AD764=1,R764&lt;&gt;".")=TRUE,R764/VLOOKUP(G764,'Exchange Rates'!B:C,2,0),IF(R764=".",".",""))</f>
        <v>664584.30251877452</v>
      </c>
      <c r="T764" s="1185" t="str">
        <f>IF(AD764=1,IF(AF764="Value is not given at all",".",IF(AF764="Value is given by the source",S764,IF(AF764="Value is calculated with prices",(IF(SUMIFS(Q:Q,A:A,A764)&gt;0,SUMIFS(Q:Q,A:A,A764),"."))/VLOOKUP("USD",'Exchange Rates'!B:C,2,0),"Error with coding"))),"")</f>
        <v>.</v>
      </c>
      <c r="U764" s="1191" t="s">
        <v>365</v>
      </c>
      <c r="V764" s="983" t="s">
        <v>2145</v>
      </c>
      <c r="W764" s="983" t="s">
        <v>364</v>
      </c>
      <c r="X764" s="1208" t="s">
        <v>364</v>
      </c>
      <c r="Y764" s="1208" t="s">
        <v>364</v>
      </c>
      <c r="Z764" s="1191">
        <v>0</v>
      </c>
      <c r="AA764" s="1191">
        <v>1</v>
      </c>
      <c r="AB764" s="1208" t="s">
        <v>364</v>
      </c>
      <c r="AC764" s="1192" t="str">
        <f>""</f>
        <v/>
      </c>
      <c r="AD764" s="1191">
        <v>1</v>
      </c>
      <c r="AE764" s="1191" t="s">
        <v>368</v>
      </c>
      <c r="AF764" s="1191" t="s">
        <v>369</v>
      </c>
      <c r="AG764" s="1191">
        <v>1</v>
      </c>
      <c r="AH764" s="1191">
        <v>3</v>
      </c>
      <c r="AI764" s="1193">
        <v>0</v>
      </c>
      <c r="AJ764" s="1193">
        <f>VLOOKUP($I764,'Price List, Weapons &amp; Items'!B:F,5,0)</f>
        <v>0</v>
      </c>
      <c r="AK764" s="1193">
        <f t="shared" si="160"/>
        <v>0</v>
      </c>
      <c r="AL764" s="1193">
        <f t="shared" si="161"/>
        <v>0</v>
      </c>
      <c r="AM764" s="1193">
        <f t="shared" si="162"/>
        <v>0</v>
      </c>
      <c r="AN764" s="1194" t="str">
        <f>VLOOKUP($I764,'Price List, Weapons &amp; Items'!B:L,COLUMN('Price List, Weapons &amp; Items'!$J$11)-1,0)</f>
        <v>.</v>
      </c>
      <c r="AO764" s="1194" t="str">
        <f>IF(I764=".",".",VLOOKUP($I764,'Price List, Weapons &amp; Items'!B:J,3,0))</f>
        <v>.</v>
      </c>
      <c r="AP764" s="1195" t="str">
        <f t="shared" ca="1" si="156"/>
        <v>.</v>
      </c>
      <c r="AQ764" s="1194">
        <f>VLOOKUP($I764,'Price List, Weapons &amp; Items'!B:L,COLUMN('Price List, Weapons &amp; Items'!$L$11)-1,0)</f>
        <v>0</v>
      </c>
      <c r="AR764" s="1194">
        <f t="shared" si="163"/>
        <v>1</v>
      </c>
      <c r="AS764" s="1194">
        <f t="shared" si="164"/>
        <v>0</v>
      </c>
      <c r="AT764" s="1194">
        <f t="shared" si="165"/>
        <v>1</v>
      </c>
      <c r="AU764" s="1194" t="str">
        <f t="shared" si="166"/>
        <v>.</v>
      </c>
      <c r="AV764" s="1194" t="str">
        <f t="shared" si="157"/>
        <v>.</v>
      </c>
      <c r="AW764" s="1194" t="str">
        <f t="shared" si="167"/>
        <v>.</v>
      </c>
      <c r="AX764" s="1194">
        <f>IFERROR(VLOOKUP(B764,'Share, Heavy Weapons to Ukraine'!B:Z,COLUMN('Share, Heavy Weapons to Ukraine'!C774)-1,0),0)</f>
        <v>0</v>
      </c>
      <c r="AY764" s="1194">
        <f>VLOOKUP('Bilateral Assistance, MAIN DATA'!B764,'Country Summary (€)'!B:F,COLUMN('Country Summary (€)'!C775)-1,FALSE)</f>
        <v>0</v>
      </c>
      <c r="AZ764" s="1194" t="str">
        <f>IF(AND(AD764=1,D764="Military",H764&lt;&gt;"Not given")=TRUE,IF(SUMIFS(P:P,A:A,A764)&gt;0,ABS((SUMIFS(P:P,A:A,A764)/VLOOKUP("USD",'Exchange Rates'!B:C,2,0)))/S764,"."),".")</f>
        <v>.</v>
      </c>
      <c r="BA764" s="1196" t="str">
        <f>IF(AND(AD764=1,D764="Military",H764&lt;&gt;"Not given")=TRUE,IF(SUMIFS(P:P,A:A,A764)&gt;0,IF((ABS((SUMIFS(P:P,A:A,A764)/VLOOKUP("USD",'Exchange Rates'!B:C,2,0)))/S764)&gt;1,(SUMIFS(P:P,A:A,A764)-S764)/S764,(S764-SUMIFS(P:P,A:A,A764))/SUMIFS(P:P,A:A,A764)),"."),".")</f>
        <v>.</v>
      </c>
      <c r="BB764" s="1208"/>
      <c r="BC764" s="1208"/>
      <c r="BD764" s="1208"/>
      <c r="BE764" s="1208"/>
      <c r="BF764" s="1208"/>
      <c r="BG764" s="1208"/>
      <c r="BH764" s="1208"/>
      <c r="BI764" s="1208"/>
      <c r="BJ764" s="1208"/>
      <c r="BK764" s="1208"/>
      <c r="BL764" s="1208"/>
      <c r="BM764" s="1208"/>
      <c r="BN764" s="1208"/>
      <c r="BO764" s="1208"/>
      <c r="BP764" s="1208"/>
      <c r="BQ764" s="1208"/>
      <c r="BR764" s="1208"/>
      <c r="BS764" s="1208"/>
    </row>
    <row r="765" spans="1:71" ht="15.95" customHeight="1">
      <c r="A765" s="1208" t="s">
        <v>2146</v>
      </c>
      <c r="B765" s="1208" t="s">
        <v>2139</v>
      </c>
      <c r="C765" s="1209">
        <v>44645</v>
      </c>
      <c r="D765" s="1208" t="s">
        <v>360</v>
      </c>
      <c r="E765" s="1208" t="s">
        <v>361</v>
      </c>
      <c r="F765" s="1208" t="s">
        <v>2147</v>
      </c>
      <c r="G765" s="1184" t="s">
        <v>2141</v>
      </c>
      <c r="H765" s="1210">
        <v>100000000</v>
      </c>
      <c r="I765" s="1208" t="s">
        <v>364</v>
      </c>
      <c r="J765" s="1186" t="str">
        <f>VLOOKUP($I765,'Price List, Weapons &amp; Items'!B:C,2,0)</f>
        <v>.</v>
      </c>
      <c r="K765" s="1186" t="str">
        <f>IF(I765=".",I765,VLOOKUP($I765,'Price List, Weapons &amp; Items'!B:D,3,0))</f>
        <v>.</v>
      </c>
      <c r="L765" s="1187">
        <f>VLOOKUP(I765,'Price List, Weapons &amp; Items'!B:E,4,0)</f>
        <v>0</v>
      </c>
      <c r="M765" s="1241" t="s">
        <v>364</v>
      </c>
      <c r="N765" s="1211" t="s">
        <v>364</v>
      </c>
      <c r="O765" s="1188" t="str">
        <f>VLOOKUP($I765,'Price List, Weapons &amp; Items'!B:G,6,0)</f>
        <v>.</v>
      </c>
      <c r="P765" s="1185" t="str">
        <f t="shared" si="158"/>
        <v>.</v>
      </c>
      <c r="Q765" s="1185" t="str">
        <f t="shared" si="159"/>
        <v>.</v>
      </c>
      <c r="R765" s="1185">
        <f t="shared" si="155"/>
        <v>100000000</v>
      </c>
      <c r="S765" s="1185">
        <f>IF(AND(AD765=1,R765&lt;&gt;".")=TRUE,R765/VLOOKUP(G765,'Exchange Rates'!B:C,2,0),IF(R765=".",".",""))</f>
        <v>664584.30251877452</v>
      </c>
      <c r="T765" s="1185" t="str">
        <f>IF(AD765=1,IF(AF765="Value is not given at all",".",IF(AF765="Value is given by the source",S765,IF(AF765="Value is calculated with prices",(IF(SUMIFS(Q:Q,A:A,A765)&gt;0,SUMIFS(Q:Q,A:A,A765),"."))/VLOOKUP("USD",'Exchange Rates'!B:C,2,0),"Error with coding"))),"")</f>
        <v>.</v>
      </c>
      <c r="U765" s="1191" t="s">
        <v>365</v>
      </c>
      <c r="V765" s="983" t="s">
        <v>2145</v>
      </c>
      <c r="W765" s="983" t="s">
        <v>364</v>
      </c>
      <c r="X765" s="1208" t="s">
        <v>364</v>
      </c>
      <c r="Y765" s="1208" t="s">
        <v>364</v>
      </c>
      <c r="Z765" s="1191">
        <v>0</v>
      </c>
      <c r="AA765" s="1191">
        <v>1</v>
      </c>
      <c r="AB765" s="1208" t="s">
        <v>364</v>
      </c>
      <c r="AC765" s="1192" t="str">
        <f>""</f>
        <v/>
      </c>
      <c r="AD765" s="1191">
        <v>1</v>
      </c>
      <c r="AE765" s="1191" t="s">
        <v>368</v>
      </c>
      <c r="AF765" s="1191" t="s">
        <v>369</v>
      </c>
      <c r="AG765" s="1191">
        <v>1</v>
      </c>
      <c r="AH765" s="1191">
        <v>3</v>
      </c>
      <c r="AI765" s="1193">
        <v>0</v>
      </c>
      <c r="AJ765" s="1193">
        <f>VLOOKUP($I765,'Price List, Weapons &amp; Items'!B:F,5,0)</f>
        <v>0</v>
      </c>
      <c r="AK765" s="1193">
        <f t="shared" si="160"/>
        <v>0</v>
      </c>
      <c r="AL765" s="1193">
        <f t="shared" si="161"/>
        <v>0</v>
      </c>
      <c r="AM765" s="1193">
        <f t="shared" si="162"/>
        <v>0</v>
      </c>
      <c r="AN765" s="1194" t="str">
        <f>VLOOKUP($I765,'Price List, Weapons &amp; Items'!B:L,COLUMN('Price List, Weapons &amp; Items'!$J$11)-1,0)</f>
        <v>.</v>
      </c>
      <c r="AO765" s="1194" t="str">
        <f>IF(I765=".",".",VLOOKUP($I765,'Price List, Weapons &amp; Items'!B:J,3,0))</f>
        <v>.</v>
      </c>
      <c r="AP765" s="1195" t="str">
        <f t="shared" ca="1" si="156"/>
        <v>.</v>
      </c>
      <c r="AQ765" s="1194">
        <f>VLOOKUP($I765,'Price List, Weapons &amp; Items'!B:L,COLUMN('Price List, Weapons &amp; Items'!$L$11)-1,0)</f>
        <v>0</v>
      </c>
      <c r="AR765" s="1194">
        <f t="shared" si="163"/>
        <v>1</v>
      </c>
      <c r="AS765" s="1194">
        <f t="shared" si="164"/>
        <v>0</v>
      </c>
      <c r="AT765" s="1194">
        <f t="shared" si="165"/>
        <v>1</v>
      </c>
      <c r="AU765" s="1194" t="str">
        <f t="shared" si="166"/>
        <v>.</v>
      </c>
      <c r="AV765" s="1194" t="str">
        <f t="shared" si="157"/>
        <v>.</v>
      </c>
      <c r="AW765" s="1194" t="str">
        <f t="shared" si="167"/>
        <v>.</v>
      </c>
      <c r="AX765" s="1194">
        <f>IFERROR(VLOOKUP(B765,'Share, Heavy Weapons to Ukraine'!B:Z,COLUMN('Share, Heavy Weapons to Ukraine'!C775)-1,0),0)</f>
        <v>0</v>
      </c>
      <c r="AY765" s="1194">
        <f>VLOOKUP('Bilateral Assistance, MAIN DATA'!B765,'Country Summary (€)'!B:F,COLUMN('Country Summary (€)'!C776)-1,FALSE)</f>
        <v>0</v>
      </c>
      <c r="AZ765" s="1194" t="str">
        <f>IF(AND(AD765=1,D765="Military",H765&lt;&gt;"Not given")=TRUE,IF(SUMIFS(P:P,A:A,A765)&gt;0,ABS((SUMIFS(P:P,A:A,A765)/VLOOKUP("USD",'Exchange Rates'!B:C,2,0)))/S765,"."),".")</f>
        <v>.</v>
      </c>
      <c r="BA765" s="1196" t="str">
        <f>IF(AND(AD765=1,D765="Military",H765&lt;&gt;"Not given")=TRUE,IF(SUMIFS(P:P,A:A,A765)&gt;0,IF((ABS((SUMIFS(P:P,A:A,A765)/VLOOKUP("USD",'Exchange Rates'!B:C,2,0)))/S765)&gt;1,(SUMIFS(P:P,A:A,A765)-S765)/S765,(S765-SUMIFS(P:P,A:A,A765))/SUMIFS(P:P,A:A,A765)),"."),".")</f>
        <v>.</v>
      </c>
      <c r="BB765" s="1208"/>
      <c r="BC765" s="1208"/>
      <c r="BD765" s="1208"/>
      <c r="BE765" s="1208"/>
      <c r="BF765" s="1208"/>
      <c r="BG765" s="1208"/>
      <c r="BH765" s="1208"/>
      <c r="BI765" s="1208"/>
      <c r="BJ765" s="1208"/>
      <c r="BK765" s="1208"/>
      <c r="BL765" s="1208"/>
      <c r="BM765" s="1208"/>
      <c r="BN765" s="1208"/>
      <c r="BO765" s="1208"/>
      <c r="BP765" s="1208"/>
      <c r="BQ765" s="1208"/>
      <c r="BR765" s="1208"/>
      <c r="BS765" s="1208"/>
    </row>
    <row r="766" spans="1:71" ht="15.95" customHeight="1">
      <c r="A766" s="1208" t="s">
        <v>2148</v>
      </c>
      <c r="B766" s="1208" t="s">
        <v>2139</v>
      </c>
      <c r="C766" s="1209">
        <v>44686</v>
      </c>
      <c r="D766" s="1208" t="s">
        <v>360</v>
      </c>
      <c r="E766" s="1208" t="s">
        <v>361</v>
      </c>
      <c r="F766" s="1208" t="s">
        <v>2149</v>
      </c>
      <c r="G766" s="1184" t="s">
        <v>2141</v>
      </c>
      <c r="H766" s="1210">
        <v>295000000</v>
      </c>
      <c r="I766" s="1208" t="s">
        <v>364</v>
      </c>
      <c r="J766" s="1186" t="str">
        <f>VLOOKUP($I766,'Price List, Weapons &amp; Items'!B:C,2,0)</f>
        <v>.</v>
      </c>
      <c r="K766" s="1186" t="str">
        <f>IF(I766=".",I766,VLOOKUP($I766,'Price List, Weapons &amp; Items'!B:D,3,0))</f>
        <v>.</v>
      </c>
      <c r="L766" s="1187">
        <f>VLOOKUP(I766,'Price List, Weapons &amp; Items'!B:E,4,0)</f>
        <v>0</v>
      </c>
      <c r="M766" s="1241" t="s">
        <v>364</v>
      </c>
      <c r="N766" s="1211" t="s">
        <v>364</v>
      </c>
      <c r="O766" s="1188" t="str">
        <f>VLOOKUP($I766,'Price List, Weapons &amp; Items'!B:G,6,0)</f>
        <v>.</v>
      </c>
      <c r="P766" s="1185" t="str">
        <f t="shared" si="158"/>
        <v>.</v>
      </c>
      <c r="Q766" s="1185" t="str">
        <f t="shared" si="159"/>
        <v>.</v>
      </c>
      <c r="R766" s="1185">
        <f t="shared" si="155"/>
        <v>295000000</v>
      </c>
      <c r="S766" s="1185">
        <f>IF(AND(AD766=1,R766&lt;&gt;".")=TRUE,R766/VLOOKUP(G766,'Exchange Rates'!B:C,2,0),IF(R766=".",".",""))</f>
        <v>1960523.6924303849</v>
      </c>
      <c r="T766" s="1185" t="str">
        <f>IF(AD766=1,IF(AF766="Value is not given at all",".",IF(AF766="Value is given by the source",S766,IF(AF766="Value is calculated with prices",(IF(SUMIFS(Q:Q,A:A,A766)&gt;0,SUMIFS(Q:Q,A:A,A766),"."))/VLOOKUP("USD",'Exchange Rates'!B:C,2,0),"Error with coding"))),"")</f>
        <v>.</v>
      </c>
      <c r="U766" s="1191" t="s">
        <v>365</v>
      </c>
      <c r="V766" s="983" t="s">
        <v>2145</v>
      </c>
      <c r="W766" s="983" t="s">
        <v>364</v>
      </c>
      <c r="X766" s="1208" t="s">
        <v>364</v>
      </c>
      <c r="Y766" s="1208" t="s">
        <v>364</v>
      </c>
      <c r="Z766" s="1191">
        <v>0</v>
      </c>
      <c r="AA766" s="1191">
        <v>1</v>
      </c>
      <c r="AB766" s="1208" t="s">
        <v>364</v>
      </c>
      <c r="AC766" s="1192" t="str">
        <f>""</f>
        <v/>
      </c>
      <c r="AD766" s="1191">
        <v>1</v>
      </c>
      <c r="AE766" s="1191" t="s">
        <v>368</v>
      </c>
      <c r="AF766" s="1191" t="s">
        <v>369</v>
      </c>
      <c r="AG766" s="1191">
        <v>1</v>
      </c>
      <c r="AH766" s="1191">
        <v>5</v>
      </c>
      <c r="AI766" s="1193">
        <v>0</v>
      </c>
      <c r="AJ766" s="1193">
        <f>VLOOKUP($I766,'Price List, Weapons &amp; Items'!B:F,5,0)</f>
        <v>0</v>
      </c>
      <c r="AK766" s="1193">
        <f t="shared" si="160"/>
        <v>0</v>
      </c>
      <c r="AL766" s="1193">
        <f t="shared" si="161"/>
        <v>0</v>
      </c>
      <c r="AM766" s="1193">
        <f t="shared" si="162"/>
        <v>0</v>
      </c>
      <c r="AN766" s="1194" t="str">
        <f>VLOOKUP($I766,'Price List, Weapons &amp; Items'!B:L,COLUMN('Price List, Weapons &amp; Items'!$J$11)-1,0)</f>
        <v>.</v>
      </c>
      <c r="AO766" s="1194" t="str">
        <f>IF(I766=".",".",VLOOKUP($I766,'Price List, Weapons &amp; Items'!B:J,3,0))</f>
        <v>.</v>
      </c>
      <c r="AP766" s="1195" t="str">
        <f t="shared" ca="1" si="156"/>
        <v>.</v>
      </c>
      <c r="AQ766" s="1194">
        <f>VLOOKUP($I766,'Price List, Weapons &amp; Items'!B:L,COLUMN('Price List, Weapons &amp; Items'!$L$11)-1,0)</f>
        <v>0</v>
      </c>
      <c r="AR766" s="1194">
        <f t="shared" si="163"/>
        <v>1</v>
      </c>
      <c r="AS766" s="1194">
        <f t="shared" si="164"/>
        <v>0</v>
      </c>
      <c r="AT766" s="1194">
        <f t="shared" si="165"/>
        <v>1</v>
      </c>
      <c r="AU766" s="1194" t="str">
        <f t="shared" si="166"/>
        <v>.</v>
      </c>
      <c r="AV766" s="1194" t="str">
        <f t="shared" si="157"/>
        <v>.</v>
      </c>
      <c r="AW766" s="1194" t="str">
        <f t="shared" si="167"/>
        <v>.</v>
      </c>
      <c r="AX766" s="1194">
        <f>IFERROR(VLOOKUP(B766,'Share, Heavy Weapons to Ukraine'!B:Z,COLUMN('Share, Heavy Weapons to Ukraine'!C776)-1,0),0)</f>
        <v>0</v>
      </c>
      <c r="AY766" s="1194">
        <f>VLOOKUP('Bilateral Assistance, MAIN DATA'!B766,'Country Summary (€)'!B:F,COLUMN('Country Summary (€)'!C777)-1,FALSE)</f>
        <v>0</v>
      </c>
      <c r="AZ766" s="1194" t="str">
        <f>IF(AND(AD766=1,D766="Military",H766&lt;&gt;"Not given")=TRUE,IF(SUMIFS(P:P,A:A,A766)&gt;0,ABS((SUMIFS(P:P,A:A,A766)/VLOOKUP("USD",'Exchange Rates'!B:C,2,0)))/S766,"."),".")</f>
        <v>.</v>
      </c>
      <c r="BA766" s="1196" t="str">
        <f>IF(AND(AD766=1,D766="Military",H766&lt;&gt;"Not given")=TRUE,IF(SUMIFS(P:P,A:A,A766)&gt;0,IF((ABS((SUMIFS(P:P,A:A,A766)/VLOOKUP("USD",'Exchange Rates'!B:C,2,0)))/S766)&gt;1,(SUMIFS(P:P,A:A,A766)-S766)/S766,(S766-SUMIFS(P:P,A:A,A766))/SUMIFS(P:P,A:A,A766)),"."),".")</f>
        <v>.</v>
      </c>
      <c r="BB766" s="1208"/>
      <c r="BC766" s="1208"/>
      <c r="BD766" s="1208"/>
      <c r="BE766" s="1208"/>
      <c r="BF766" s="1208"/>
      <c r="BG766" s="1208"/>
      <c r="BH766" s="1208"/>
      <c r="BI766" s="1208"/>
      <c r="BJ766" s="1208"/>
      <c r="BK766" s="1208"/>
      <c r="BL766" s="1208"/>
      <c r="BM766" s="1208"/>
      <c r="BN766" s="1208"/>
      <c r="BO766" s="1208"/>
      <c r="BP766" s="1208"/>
      <c r="BQ766" s="1208"/>
      <c r="BR766" s="1208"/>
      <c r="BS766" s="1208"/>
    </row>
    <row r="767" spans="1:71" ht="15.95" customHeight="1">
      <c r="A767" s="1208" t="s">
        <v>2150</v>
      </c>
      <c r="B767" s="1208" t="s">
        <v>2139</v>
      </c>
      <c r="C767" s="1209">
        <v>44960</v>
      </c>
      <c r="D767" s="1208" t="s">
        <v>360</v>
      </c>
      <c r="E767" s="1208" t="s">
        <v>361</v>
      </c>
      <c r="F767" s="1208" t="s">
        <v>2151</v>
      </c>
      <c r="G767" s="1184" t="s">
        <v>2141</v>
      </c>
      <c r="H767" s="1210">
        <v>215000000</v>
      </c>
      <c r="I767" s="1208" t="s">
        <v>364</v>
      </c>
      <c r="J767" s="1186" t="str">
        <f>VLOOKUP($I767,'Price List, Weapons &amp; Items'!B:C,2,0)</f>
        <v>.</v>
      </c>
      <c r="K767" s="1186" t="str">
        <f>IF(I767=".",I767,VLOOKUP($I767,'Price List, Weapons &amp; Items'!B:D,3,0))</f>
        <v>.</v>
      </c>
      <c r="L767" s="1187">
        <f>VLOOKUP(I767,'Price List, Weapons &amp; Items'!B:E,4,0)</f>
        <v>0</v>
      </c>
      <c r="M767" s="1241" t="s">
        <v>364</v>
      </c>
      <c r="N767" s="1211" t="s">
        <v>364</v>
      </c>
      <c r="O767" s="1188" t="str">
        <f>VLOOKUP($I767,'Price List, Weapons &amp; Items'!B:G,6,0)</f>
        <v>.</v>
      </c>
      <c r="P767" s="1185" t="str">
        <f t="shared" si="158"/>
        <v>.</v>
      </c>
      <c r="Q767" s="1185" t="str">
        <f t="shared" si="159"/>
        <v>.</v>
      </c>
      <c r="R767" s="1185">
        <f t="shared" si="155"/>
        <v>215000000</v>
      </c>
      <c r="S767" s="1185">
        <f>IF(AND(AD767=1,R767&lt;&gt;".")=TRUE,R767/VLOOKUP(G767,'Exchange Rates'!B:C,2,0),IF(R767=".",".",""))</f>
        <v>1428856.2504153652</v>
      </c>
      <c r="T767" s="1185" t="str">
        <f>IF(AD767=1,IF(AF767="Value is not given at all",".",IF(AF767="Value is given by the source",S767,IF(AF767="Value is calculated with prices",(IF(SUMIFS(Q:Q,A:A,A767)&gt;0,SUMIFS(Q:Q,A:A,A767),"."))/VLOOKUP("USD",'Exchange Rates'!B:C,2,0),"Error with coding"))),"")</f>
        <v>.</v>
      </c>
      <c r="U767" s="1191" t="s">
        <v>365</v>
      </c>
      <c r="V767" s="983" t="s">
        <v>2152</v>
      </c>
      <c r="W767" s="983" t="s">
        <v>2153</v>
      </c>
      <c r="X767" s="1208" t="s">
        <v>364</v>
      </c>
      <c r="Y767" s="1208" t="s">
        <v>364</v>
      </c>
      <c r="Z767" s="1191">
        <v>0</v>
      </c>
      <c r="AA767" s="1191">
        <v>1</v>
      </c>
      <c r="AB767" s="1208" t="s">
        <v>364</v>
      </c>
      <c r="AC767" s="1192" t="str">
        <f>""</f>
        <v/>
      </c>
      <c r="AD767" s="1191">
        <v>1</v>
      </c>
      <c r="AE767" s="1191" t="s">
        <v>368</v>
      </c>
      <c r="AF767" s="1191" t="s">
        <v>369</v>
      </c>
      <c r="AG767" s="1191">
        <v>1</v>
      </c>
      <c r="AH767" s="1191">
        <v>14</v>
      </c>
      <c r="AI767" s="1193">
        <v>0</v>
      </c>
      <c r="AJ767" s="1193">
        <f>VLOOKUP($I767,'Price List, Weapons &amp; Items'!B:F,5,0)</f>
        <v>0</v>
      </c>
      <c r="AK767" s="1193">
        <f t="shared" si="160"/>
        <v>0</v>
      </c>
      <c r="AL767" s="1193">
        <f t="shared" si="161"/>
        <v>0</v>
      </c>
      <c r="AM767" s="1193">
        <f t="shared" si="162"/>
        <v>0</v>
      </c>
      <c r="AN767" s="1194" t="str">
        <f>VLOOKUP($I767,'Price List, Weapons &amp; Items'!B:L,COLUMN('Price List, Weapons &amp; Items'!$J$11)-1,0)</f>
        <v>.</v>
      </c>
      <c r="AO767" s="1194" t="str">
        <f>IF(I767=".",".",VLOOKUP($I767,'Price List, Weapons &amp; Items'!B:J,3,0))</f>
        <v>.</v>
      </c>
      <c r="AP767" s="1195" t="str">
        <f t="shared" ca="1" si="156"/>
        <v>.</v>
      </c>
      <c r="AQ767" s="1194">
        <f>VLOOKUP($I767,'Price List, Weapons &amp; Items'!B:L,COLUMN('Price List, Weapons &amp; Items'!$L$11)-1,0)</f>
        <v>0</v>
      </c>
      <c r="AR767" s="1194">
        <f t="shared" si="163"/>
        <v>1</v>
      </c>
      <c r="AS767" s="1194">
        <f t="shared" si="164"/>
        <v>0</v>
      </c>
      <c r="AT767" s="1194">
        <f t="shared" si="165"/>
        <v>1</v>
      </c>
      <c r="AU767" s="1194" t="str">
        <f t="shared" si="166"/>
        <v>.</v>
      </c>
      <c r="AV767" s="1194" t="str">
        <f t="shared" si="157"/>
        <v>.</v>
      </c>
      <c r="AW767" s="1194" t="str">
        <f t="shared" si="167"/>
        <v>.</v>
      </c>
      <c r="AX767" s="1194">
        <f>IFERROR(VLOOKUP(B767,'Share, Heavy Weapons to Ukraine'!B:Z,COLUMN('Share, Heavy Weapons to Ukraine'!C777)-1,0),0)</f>
        <v>0</v>
      </c>
      <c r="AY767" s="1194">
        <f>VLOOKUP('Bilateral Assistance, MAIN DATA'!B767,'Country Summary (€)'!B:F,COLUMN('Country Summary (€)'!C778)-1,FALSE)</f>
        <v>0</v>
      </c>
      <c r="AZ767" s="1194" t="str">
        <f>IF(AND(AD767=1,D767="Military",H767&lt;&gt;"Not given")=TRUE,IF(SUMIFS(P:P,A:A,A767)&gt;0,ABS((SUMIFS(P:P,A:A,A767)/VLOOKUP("USD",'Exchange Rates'!B:C,2,0)))/S767,"."),".")</f>
        <v>.</v>
      </c>
      <c r="BA767" s="1196" t="str">
        <f>IF(AND(AD767=1,D767="Military",H767&lt;&gt;"Not given")=TRUE,IF(SUMIFS(P:P,A:A,A767)&gt;0,IF((ABS((SUMIFS(P:P,A:A,A767)/VLOOKUP("USD",'Exchange Rates'!B:C,2,0)))/S767)&gt;1,(SUMIFS(P:P,A:A,A767)-S767)/S767,(S767-SUMIFS(P:P,A:A,A767))/SUMIFS(P:P,A:A,A767)),"."),".")</f>
        <v>.</v>
      </c>
      <c r="BB767" s="1208"/>
      <c r="BC767" s="1208"/>
      <c r="BD767" s="1208"/>
      <c r="BE767" s="1208"/>
      <c r="BF767" s="1208"/>
      <c r="BG767" s="1208"/>
      <c r="BH767" s="1208"/>
      <c r="BI767" s="1208"/>
      <c r="BJ767" s="1208"/>
      <c r="BK767" s="1208"/>
      <c r="BL767" s="1208"/>
      <c r="BM767" s="1208"/>
      <c r="BN767" s="1208"/>
      <c r="BO767" s="1208"/>
      <c r="BP767" s="1208"/>
      <c r="BQ767" s="1208"/>
      <c r="BR767" s="1208"/>
      <c r="BS767" s="1208"/>
    </row>
    <row r="768" spans="1:71" ht="15.95" customHeight="1">
      <c r="A768" s="1208" t="s">
        <v>2154</v>
      </c>
      <c r="B768" s="1208" t="s">
        <v>2139</v>
      </c>
      <c r="C768" s="1181" t="s">
        <v>2155</v>
      </c>
      <c r="D768" s="1208" t="s">
        <v>360</v>
      </c>
      <c r="E768" s="1208" t="s">
        <v>371</v>
      </c>
      <c r="F768" s="1208" t="s">
        <v>2156</v>
      </c>
      <c r="G768" s="1184" t="s">
        <v>2141</v>
      </c>
      <c r="H768" s="1210">
        <v>60000000</v>
      </c>
      <c r="I768" s="1208" t="s">
        <v>364</v>
      </c>
      <c r="J768" s="1186" t="str">
        <f>VLOOKUP($I768,'Price List, Weapons &amp; Items'!B:C,2,0)</f>
        <v>.</v>
      </c>
      <c r="K768" s="1186" t="str">
        <f>IF(I768=".",I768,VLOOKUP($I768,'Price List, Weapons &amp; Items'!B:D,3,0))</f>
        <v>.</v>
      </c>
      <c r="L768" s="1187">
        <f>VLOOKUP(I768,'Price List, Weapons &amp; Items'!B:E,4,0)</f>
        <v>0</v>
      </c>
      <c r="M768" s="1241" t="s">
        <v>364</v>
      </c>
      <c r="N768" s="1211" t="s">
        <v>364</v>
      </c>
      <c r="O768" s="1188" t="str">
        <f>VLOOKUP($I768,'Price List, Weapons &amp; Items'!B:G,6,0)</f>
        <v>.</v>
      </c>
      <c r="P768" s="1185" t="str">
        <f t="shared" si="158"/>
        <v>.</v>
      </c>
      <c r="Q768" s="1185" t="str">
        <f t="shared" si="159"/>
        <v>.</v>
      </c>
      <c r="R768" s="1185">
        <f t="shared" si="155"/>
        <v>60000000</v>
      </c>
      <c r="S768" s="1185">
        <f>IF(AND(AD768=1,R768&lt;&gt;".")=TRUE,R768/VLOOKUP(G768,'Exchange Rates'!B:C,2,0),IF(R768=".",".",""))</f>
        <v>398750.58151126473</v>
      </c>
      <c r="T768" s="1185" t="str">
        <f>IF(AD768=1,IF(AF768="Value is not given at all",".",IF(AF768="Value is given by the source",S768,IF(AF768="Value is calculated with prices",(IF(SUMIFS(Q:Q,A:A,A768)&gt;0,SUMIFS(Q:Q,A:A,A768),"."))/VLOOKUP("USD",'Exchange Rates'!B:C,2,0),"Error with coding"))),"")</f>
        <v>.</v>
      </c>
      <c r="U768" s="1191" t="s">
        <v>365</v>
      </c>
      <c r="V768" s="983" t="s">
        <v>2153</v>
      </c>
      <c r="W768" s="983" t="s">
        <v>364</v>
      </c>
      <c r="X768" s="1208" t="s">
        <v>364</v>
      </c>
      <c r="Y768" s="1208" t="s">
        <v>364</v>
      </c>
      <c r="Z768" s="1191">
        <v>0</v>
      </c>
      <c r="AA768" s="1191">
        <v>1</v>
      </c>
      <c r="AB768" s="1208" t="s">
        <v>364</v>
      </c>
      <c r="AC768" s="1192" t="str">
        <f>""</f>
        <v/>
      </c>
      <c r="AD768" s="1191">
        <v>1</v>
      </c>
      <c r="AE768" s="1191" t="s">
        <v>368</v>
      </c>
      <c r="AF768" s="1191" t="s">
        <v>369</v>
      </c>
      <c r="AG768" s="1191">
        <v>1</v>
      </c>
      <c r="AH768" s="1191">
        <v>15</v>
      </c>
      <c r="AI768" s="1193">
        <v>0</v>
      </c>
      <c r="AJ768" s="1193">
        <f>VLOOKUP($I768,'Price List, Weapons &amp; Items'!B:F,5,0)</f>
        <v>0</v>
      </c>
      <c r="AK768" s="1193">
        <f t="shared" si="160"/>
        <v>0</v>
      </c>
      <c r="AL768" s="1193">
        <f t="shared" si="161"/>
        <v>0</v>
      </c>
      <c r="AM768" s="1193">
        <f t="shared" si="162"/>
        <v>0</v>
      </c>
      <c r="AN768" s="1194" t="str">
        <f>VLOOKUP($I768,'Price List, Weapons &amp; Items'!B:L,COLUMN('Price List, Weapons &amp; Items'!$J$11)-1,0)</f>
        <v>.</v>
      </c>
      <c r="AO768" s="1194" t="str">
        <f>IF(I768=".",".",VLOOKUP($I768,'Price List, Weapons &amp; Items'!B:J,3,0))</f>
        <v>.</v>
      </c>
      <c r="AP768" s="1195" t="str">
        <f t="shared" ca="1" si="156"/>
        <v>.</v>
      </c>
      <c r="AQ768" s="1194">
        <f>VLOOKUP($I768,'Price List, Weapons &amp; Items'!B:L,COLUMN('Price List, Weapons &amp; Items'!$L$11)-1,0)</f>
        <v>0</v>
      </c>
      <c r="AR768" s="1194">
        <f t="shared" si="163"/>
        <v>1</v>
      </c>
      <c r="AS768" s="1194">
        <f t="shared" si="164"/>
        <v>0</v>
      </c>
      <c r="AT768" s="1194" t="str">
        <f t="shared" si="165"/>
        <v>Value is not in date format</v>
      </c>
      <c r="AU768" s="1194" t="str">
        <f t="shared" si="166"/>
        <v>.</v>
      </c>
      <c r="AV768" s="1194" t="str">
        <f t="shared" si="157"/>
        <v>.</v>
      </c>
      <c r="AW768" s="1194" t="str">
        <f t="shared" si="167"/>
        <v>.</v>
      </c>
      <c r="AX768" s="1194">
        <f>IFERROR(VLOOKUP(B768,'Share, Heavy Weapons to Ukraine'!B:Z,COLUMN('Share, Heavy Weapons to Ukraine'!C778)-1,0),0)</f>
        <v>0</v>
      </c>
      <c r="AY768" s="1194">
        <f>VLOOKUP('Bilateral Assistance, MAIN DATA'!B768,'Country Summary (€)'!B:F,COLUMN('Country Summary (€)'!C779)-1,FALSE)</f>
        <v>0</v>
      </c>
      <c r="AZ768" s="1194" t="str">
        <f>IF(AND(AD768=1,D768="Military",H768&lt;&gt;"Not given")=TRUE,IF(SUMIFS(P:P,A:A,A768)&gt;0,ABS((SUMIFS(P:P,A:A,A768)/VLOOKUP("USD",'Exchange Rates'!B:C,2,0)))/S768,"."),".")</f>
        <v>.</v>
      </c>
      <c r="BA768" s="1196" t="str">
        <f>IF(AND(AD768=1,D768="Military",H768&lt;&gt;"Not given")=TRUE,IF(SUMIFS(P:P,A:A,A768)&gt;0,IF((ABS((SUMIFS(P:P,A:A,A768)/VLOOKUP("USD",'Exchange Rates'!B:C,2,0)))/S768)&gt;1,(SUMIFS(P:P,A:A,A768)-S768)/S768,(S768-SUMIFS(P:P,A:A,A768))/SUMIFS(P:P,A:A,A768)),"."),".")</f>
        <v>.</v>
      </c>
      <c r="BB768" s="1208"/>
      <c r="BC768" s="1208"/>
      <c r="BD768" s="1208"/>
      <c r="BE768" s="1208"/>
      <c r="BF768" s="1208"/>
      <c r="BG768" s="1208"/>
      <c r="BH768" s="1208"/>
      <c r="BI768" s="1208"/>
      <c r="BJ768" s="1208"/>
      <c r="BK768" s="1208"/>
      <c r="BL768" s="1208"/>
      <c r="BM768" s="1208"/>
      <c r="BN768" s="1208"/>
      <c r="BO768" s="1208"/>
      <c r="BP768" s="1208"/>
      <c r="BQ768" s="1208"/>
      <c r="BR768" s="1208"/>
      <c r="BS768" s="1208"/>
    </row>
    <row r="769" spans="1:71" ht="15.95" customHeight="1">
      <c r="A769" s="1208" t="s">
        <v>2157</v>
      </c>
      <c r="B769" s="1208" t="s">
        <v>2139</v>
      </c>
      <c r="C769" s="1181" t="s">
        <v>1407</v>
      </c>
      <c r="D769" s="1208" t="s">
        <v>360</v>
      </c>
      <c r="E769" s="1208" t="s">
        <v>361</v>
      </c>
      <c r="F769" s="1208" t="s">
        <v>2158</v>
      </c>
      <c r="G769" s="1184" t="s">
        <v>2141</v>
      </c>
      <c r="H769" s="1210">
        <v>645000000</v>
      </c>
      <c r="I769" s="1208" t="s">
        <v>364</v>
      </c>
      <c r="J769" s="1186" t="str">
        <f>VLOOKUP($I769,'Price List, Weapons &amp; Items'!B:C,2,0)</f>
        <v>.</v>
      </c>
      <c r="K769" s="1186" t="str">
        <f>IF(I769=".",I769,VLOOKUP($I769,'Price List, Weapons &amp; Items'!B:D,3,0))</f>
        <v>.</v>
      </c>
      <c r="L769" s="1187">
        <f>VLOOKUP(I769,'Price List, Weapons &amp; Items'!B:E,4,0)</f>
        <v>0</v>
      </c>
      <c r="M769" s="1241" t="s">
        <v>364</v>
      </c>
      <c r="N769" s="1211" t="s">
        <v>364</v>
      </c>
      <c r="O769" s="1188" t="str">
        <f>VLOOKUP($I769,'Price List, Weapons &amp; Items'!B:G,6,0)</f>
        <v>.</v>
      </c>
      <c r="P769" s="1185" t="str">
        <f t="shared" si="158"/>
        <v>.</v>
      </c>
      <c r="Q769" s="1185" t="str">
        <f t="shared" si="159"/>
        <v>.</v>
      </c>
      <c r="R769" s="1185">
        <f t="shared" si="155"/>
        <v>645000000</v>
      </c>
      <c r="S769" s="1185">
        <f>IF(AND(AD769=1,R769&lt;&gt;".")=TRUE,R769/VLOOKUP(G769,'Exchange Rates'!B:C,2,0),IF(R769=".",".",""))</f>
        <v>4286568.7512460956</v>
      </c>
      <c r="T769" s="1185" t="str">
        <f>IF(AD769=1,IF(AF769="Value is not given at all",".",IF(AF769="Value is given by the source",S769,IF(AF769="Value is calculated with prices",(IF(SUMIFS(Q:Q,A:A,A769)&gt;0,SUMIFS(Q:Q,A:A,A769),"."))/VLOOKUP("USD",'Exchange Rates'!B:C,2,0),"Error with coding"))),"")</f>
        <v>.</v>
      </c>
      <c r="U769" s="1191" t="s">
        <v>365</v>
      </c>
      <c r="V769" s="983" t="s">
        <v>2159</v>
      </c>
      <c r="W769" s="983" t="s">
        <v>364</v>
      </c>
      <c r="X769" s="1208" t="s">
        <v>364</v>
      </c>
      <c r="Y769" s="1208" t="s">
        <v>364</v>
      </c>
      <c r="Z769" s="1191">
        <v>0</v>
      </c>
      <c r="AA769" s="1191">
        <v>1</v>
      </c>
      <c r="AB769" s="1208" t="s">
        <v>364</v>
      </c>
      <c r="AC769" s="1192" t="str">
        <f>""</f>
        <v/>
      </c>
      <c r="AD769" s="1191">
        <v>1</v>
      </c>
      <c r="AE769" s="1191" t="s">
        <v>368</v>
      </c>
      <c r="AF769" s="1191" t="s">
        <v>369</v>
      </c>
      <c r="AG769" s="1191">
        <v>1</v>
      </c>
      <c r="AH769" s="1191">
        <v>17</v>
      </c>
      <c r="AI769" s="1193">
        <v>0</v>
      </c>
      <c r="AJ769" s="1193">
        <f>VLOOKUP($I769,'Price List, Weapons &amp; Items'!B:F,5,0)</f>
        <v>0</v>
      </c>
      <c r="AK769" s="1193">
        <f t="shared" si="160"/>
        <v>0</v>
      </c>
      <c r="AL769" s="1193">
        <f t="shared" si="161"/>
        <v>0</v>
      </c>
      <c r="AM769" s="1193">
        <f t="shared" si="162"/>
        <v>0</v>
      </c>
      <c r="AN769" s="1194" t="str">
        <f>VLOOKUP($I769,'Price List, Weapons &amp; Items'!B:L,COLUMN('Price List, Weapons &amp; Items'!$J$11)-1,0)</f>
        <v>.</v>
      </c>
      <c r="AO769" s="1194" t="str">
        <f>IF(I769=".",".",VLOOKUP($I769,'Price List, Weapons &amp; Items'!B:J,3,0))</f>
        <v>.</v>
      </c>
      <c r="AP769" s="1195" t="str">
        <f t="shared" ca="1" si="156"/>
        <v>.</v>
      </c>
      <c r="AQ769" s="1194">
        <f>VLOOKUP($I769,'Price List, Weapons &amp; Items'!B:L,COLUMN('Price List, Weapons &amp; Items'!$L$11)-1,0)</f>
        <v>0</v>
      </c>
      <c r="AR769" s="1194">
        <f t="shared" si="163"/>
        <v>1</v>
      </c>
      <c r="AS769" s="1194">
        <f t="shared" si="164"/>
        <v>0</v>
      </c>
      <c r="AT769" s="1194" t="str">
        <f t="shared" si="165"/>
        <v>Value is not in date format</v>
      </c>
      <c r="AU769" s="1194" t="str">
        <f t="shared" si="166"/>
        <v>.</v>
      </c>
      <c r="AV769" s="1194" t="str">
        <f t="shared" si="157"/>
        <v>.</v>
      </c>
      <c r="AW769" s="1194" t="str">
        <f t="shared" si="167"/>
        <v>.</v>
      </c>
      <c r="AX769" s="1194">
        <f>IFERROR(VLOOKUP(B769,'Share, Heavy Weapons to Ukraine'!B:Z,COLUMN('Share, Heavy Weapons to Ukraine'!C779)-1,0),0)</f>
        <v>0</v>
      </c>
      <c r="AY769" s="1194">
        <f>VLOOKUP('Bilateral Assistance, MAIN DATA'!B769,'Country Summary (€)'!B:F,COLUMN('Country Summary (€)'!C780)-1,FALSE)</f>
        <v>0</v>
      </c>
      <c r="AZ769" s="1194" t="str">
        <f>IF(AND(AD769=1,D769="Military",H769&lt;&gt;"Not given")=TRUE,IF(SUMIFS(P:P,A:A,A769)&gt;0,ABS((SUMIFS(P:P,A:A,A769)/VLOOKUP("USD",'Exchange Rates'!B:C,2,0)))/S769,"."),".")</f>
        <v>.</v>
      </c>
      <c r="BA769" s="1196" t="str">
        <f>IF(AND(AD769=1,D769="Military",H769&lt;&gt;"Not given")=TRUE,IF(SUMIFS(P:P,A:A,A769)&gt;0,IF((ABS((SUMIFS(P:P,A:A,A769)/VLOOKUP("USD",'Exchange Rates'!B:C,2,0)))/S769)&gt;1,(SUMIFS(P:P,A:A,A769)-S769)/S769,(S769-SUMIFS(P:P,A:A,A769))/SUMIFS(P:P,A:A,A769)),"."),".")</f>
        <v>.</v>
      </c>
      <c r="BB769" s="1208"/>
      <c r="BC769" s="1208"/>
      <c r="BD769" s="1208"/>
      <c r="BE769" s="1208"/>
      <c r="BF769" s="1208"/>
      <c r="BG769" s="1208"/>
      <c r="BH769" s="1208"/>
      <c r="BI769" s="1208"/>
      <c r="BJ769" s="1208"/>
      <c r="BK769" s="1208"/>
      <c r="BL769" s="1208"/>
      <c r="BM769" s="1208"/>
      <c r="BN769" s="1208"/>
      <c r="BO769" s="1208"/>
      <c r="BP769" s="1208"/>
      <c r="BQ769" s="1208"/>
      <c r="BR769" s="1208"/>
      <c r="BS769" s="1208"/>
    </row>
    <row r="770" spans="1:71" ht="15.95" customHeight="1">
      <c r="A770" s="1208" t="s">
        <v>2160</v>
      </c>
      <c r="B770" s="1208" t="s">
        <v>2139</v>
      </c>
      <c r="C770" s="1181" t="s">
        <v>1407</v>
      </c>
      <c r="D770" s="1208" t="s">
        <v>360</v>
      </c>
      <c r="E770" s="1208" t="s">
        <v>361</v>
      </c>
      <c r="F770" s="1208" t="s">
        <v>2161</v>
      </c>
      <c r="G770" s="1184" t="s">
        <v>2141</v>
      </c>
      <c r="H770" s="1210">
        <v>100000000</v>
      </c>
      <c r="I770" s="1208" t="s">
        <v>364</v>
      </c>
      <c r="J770" s="1186" t="str">
        <f>VLOOKUP($I770,'Price List, Weapons &amp; Items'!B:C,2,0)</f>
        <v>.</v>
      </c>
      <c r="K770" s="1186" t="str">
        <f>IF(I770=".",I770,VLOOKUP($I770,'Price List, Weapons &amp; Items'!B:D,3,0))</f>
        <v>.</v>
      </c>
      <c r="L770" s="1187">
        <f>VLOOKUP(I770,'Price List, Weapons &amp; Items'!B:E,4,0)</f>
        <v>0</v>
      </c>
      <c r="M770" s="1241" t="s">
        <v>364</v>
      </c>
      <c r="N770" s="1211" t="s">
        <v>364</v>
      </c>
      <c r="O770" s="1188" t="str">
        <f>VLOOKUP($I770,'Price List, Weapons &amp; Items'!B:G,6,0)</f>
        <v>.</v>
      </c>
      <c r="P770" s="1185" t="str">
        <f t="shared" si="158"/>
        <v>.</v>
      </c>
      <c r="Q770" s="1185" t="str">
        <f t="shared" si="159"/>
        <v>.</v>
      </c>
      <c r="R770" s="1185">
        <f t="shared" ref="R770:R833" si="168">IF(AD770=1,IF(H770&lt;&gt;"Not given",H770,IF(TYPE(H770)=2,IF(SUMIFS(P:P,A:A,A770)&gt;0,SUMIFS(P:P,A:A,A770),"."),"Format error")),"")</f>
        <v>100000000</v>
      </c>
      <c r="S770" s="1185">
        <f>IF(AND(AD770=1,R770&lt;&gt;".")=TRUE,R770/VLOOKUP(G770,'Exchange Rates'!B:C,2,0),IF(R770=".",".",""))</f>
        <v>664584.30251877452</v>
      </c>
      <c r="T770" s="1185" t="str">
        <f>IF(AD770=1,IF(AF770="Value is not given at all",".",IF(AF770="Value is given by the source",S770,IF(AF770="Value is calculated with prices",(IF(SUMIFS(Q:Q,A:A,A770)&gt;0,SUMIFS(Q:Q,A:A,A770),"."))/VLOOKUP("USD",'Exchange Rates'!B:C,2,0),"Error with coding"))),"")</f>
        <v>.</v>
      </c>
      <c r="U770" s="1191" t="s">
        <v>365</v>
      </c>
      <c r="V770" s="983" t="s">
        <v>2159</v>
      </c>
      <c r="W770" s="983" t="s">
        <v>364</v>
      </c>
      <c r="X770" s="1208" t="s">
        <v>364</v>
      </c>
      <c r="Y770" s="1208" t="s">
        <v>364</v>
      </c>
      <c r="Z770" s="1191">
        <v>0</v>
      </c>
      <c r="AA770" s="1191">
        <v>1</v>
      </c>
      <c r="AB770" s="1208" t="s">
        <v>364</v>
      </c>
      <c r="AC770" s="1192" t="str">
        <f>""</f>
        <v/>
      </c>
      <c r="AD770" s="1191">
        <v>1</v>
      </c>
      <c r="AE770" s="1191" t="s">
        <v>368</v>
      </c>
      <c r="AF770" s="1191" t="s">
        <v>369</v>
      </c>
      <c r="AG770" s="1191">
        <v>1</v>
      </c>
      <c r="AH770" s="1191">
        <v>17</v>
      </c>
      <c r="AI770" s="1193">
        <v>0</v>
      </c>
      <c r="AJ770" s="1193">
        <f>VLOOKUP($I770,'Price List, Weapons &amp; Items'!B:F,5,0)</f>
        <v>0</v>
      </c>
      <c r="AK770" s="1193">
        <f t="shared" si="160"/>
        <v>0</v>
      </c>
      <c r="AL770" s="1193">
        <f t="shared" si="161"/>
        <v>0</v>
      </c>
      <c r="AM770" s="1193">
        <f t="shared" si="162"/>
        <v>0</v>
      </c>
      <c r="AN770" s="1194" t="str">
        <f>VLOOKUP($I770,'Price List, Weapons &amp; Items'!B:L,COLUMN('Price List, Weapons &amp; Items'!$J$11)-1,0)</f>
        <v>.</v>
      </c>
      <c r="AO770" s="1194" t="str">
        <f>IF(I770=".",".",VLOOKUP($I770,'Price List, Weapons &amp; Items'!B:J,3,0))</f>
        <v>.</v>
      </c>
      <c r="AP770" s="1195" t="str">
        <f t="shared" ref="AP770:AP833" ca="1" si="169">IF(AD770=1,(OFFSET(I770,0,0,COUNTIF(A:A,A770),1)),"")</f>
        <v>.</v>
      </c>
      <c r="AQ770" s="1194">
        <f>VLOOKUP($I770,'Price List, Weapons &amp; Items'!B:L,COLUMN('Price List, Weapons &amp; Items'!$L$11)-1,0)</f>
        <v>0</v>
      </c>
      <c r="AR770" s="1194">
        <f t="shared" si="163"/>
        <v>1</v>
      </c>
      <c r="AS770" s="1194">
        <f t="shared" si="164"/>
        <v>0</v>
      </c>
      <c r="AT770" s="1194" t="str">
        <f t="shared" si="165"/>
        <v>Value is not in date format</v>
      </c>
      <c r="AU770" s="1194" t="str">
        <f t="shared" si="166"/>
        <v>.</v>
      </c>
      <c r="AV770" s="1194" t="str">
        <f t="shared" ref="AV770:AV833" si="170">IF(AND(_xlfn.ISFORMULA(R770),_xlfn.ISFORMULA(S770),_xlfn.ISFORMULA(T770))=TRUE,".",1)</f>
        <v>.</v>
      </c>
      <c r="AW770" s="1194" t="str">
        <f t="shared" si="167"/>
        <v>.</v>
      </c>
      <c r="AX770" s="1194">
        <f>IFERROR(VLOOKUP(B770,'Share, Heavy Weapons to Ukraine'!B:Z,COLUMN('Share, Heavy Weapons to Ukraine'!C780)-1,0),0)</f>
        <v>0</v>
      </c>
      <c r="AY770" s="1194">
        <f>VLOOKUP('Bilateral Assistance, MAIN DATA'!B770,'Country Summary (€)'!B:F,COLUMN('Country Summary (€)'!C781)-1,FALSE)</f>
        <v>0</v>
      </c>
      <c r="AZ770" s="1194" t="str">
        <f>IF(AND(AD770=1,D770="Military",H770&lt;&gt;"Not given")=TRUE,IF(SUMIFS(P:P,A:A,A770)&gt;0,ABS((SUMIFS(P:P,A:A,A770)/VLOOKUP("USD",'Exchange Rates'!B:C,2,0)))/S770,"."),".")</f>
        <v>.</v>
      </c>
      <c r="BA770" s="1196" t="str">
        <f>IF(AND(AD770=1,D770="Military",H770&lt;&gt;"Not given")=TRUE,IF(SUMIFS(P:P,A:A,A770)&gt;0,IF((ABS((SUMIFS(P:P,A:A,A770)/VLOOKUP("USD",'Exchange Rates'!B:C,2,0)))/S770)&gt;1,(SUMIFS(P:P,A:A,A770)-S770)/S770,(S770-SUMIFS(P:P,A:A,A770))/SUMIFS(P:P,A:A,A770)),"."),".")</f>
        <v>.</v>
      </c>
      <c r="BB770" s="1208"/>
      <c r="BC770" s="1208"/>
      <c r="BD770" s="1208"/>
      <c r="BE770" s="1208"/>
      <c r="BF770" s="1208"/>
      <c r="BG770" s="1208"/>
      <c r="BH770" s="1208"/>
      <c r="BI770" s="1208"/>
      <c r="BJ770" s="1208"/>
      <c r="BK770" s="1208"/>
      <c r="BL770" s="1208"/>
      <c r="BM770" s="1208"/>
      <c r="BN770" s="1208"/>
      <c r="BO770" s="1208"/>
      <c r="BP770" s="1208"/>
      <c r="BQ770" s="1208"/>
      <c r="BR770" s="1208"/>
      <c r="BS770" s="1208"/>
    </row>
    <row r="771" spans="1:71" ht="15.95" customHeight="1">
      <c r="A771" s="1208" t="s">
        <v>2162</v>
      </c>
      <c r="B771" s="1208" t="s">
        <v>2139</v>
      </c>
      <c r="C771" s="1181">
        <v>44675</v>
      </c>
      <c r="D771" s="1208" t="s">
        <v>389</v>
      </c>
      <c r="E771" s="1208" t="s">
        <v>361</v>
      </c>
      <c r="F771" s="1208" t="s">
        <v>2163</v>
      </c>
      <c r="G771" s="1184" t="s">
        <v>483</v>
      </c>
      <c r="H771" s="1210">
        <v>200000</v>
      </c>
      <c r="I771" s="1208" t="s">
        <v>364</v>
      </c>
      <c r="J771" s="1186" t="str">
        <f>VLOOKUP($I771,'Price List, Weapons &amp; Items'!B:C,2,0)</f>
        <v>.</v>
      </c>
      <c r="K771" s="1186" t="str">
        <f>IF(I771=".",I771,VLOOKUP($I771,'Price List, Weapons &amp; Items'!B:D,3,0))</f>
        <v>.</v>
      </c>
      <c r="L771" s="1187">
        <f>VLOOKUP(I771,'Price List, Weapons &amp; Items'!B:E,4,0)</f>
        <v>0</v>
      </c>
      <c r="M771" s="1241" t="s">
        <v>364</v>
      </c>
      <c r="N771" s="1211" t="s">
        <v>364</v>
      </c>
      <c r="O771" s="1188" t="str">
        <f>VLOOKUP($I771,'Price List, Weapons &amp; Items'!B:G,6,0)</f>
        <v>.</v>
      </c>
      <c r="P771" s="1185" t="str">
        <f t="shared" ref="P771:P834" si="171">IF(TYPE(M771)=1,IF(TYPE(O771)=1,M771*O771,"No price"),".")</f>
        <v>.</v>
      </c>
      <c r="Q771" s="1185" t="str">
        <f t="shared" ref="Q771:Q834" si="172">IF(TYPE(N771)=1,IF(TYPE(O771)=1,N771*O771,"No price"),".")</f>
        <v>.</v>
      </c>
      <c r="R771" s="1185">
        <f t="shared" si="168"/>
        <v>200000</v>
      </c>
      <c r="S771" s="1185">
        <f>IF(AND(AD771=1,R771&lt;&gt;".")=TRUE,R771/VLOOKUP(G771,'Exchange Rates'!B:C,2,0),IF(R771=".",".",""))</f>
        <v>200000</v>
      </c>
      <c r="T771" s="1185" t="str">
        <f>IF(AD771=1,IF(AF771="Value is not given at all",".",IF(AF771="Value is given by the source",S771,IF(AF771="Value is calculated with prices",(IF(SUMIFS(Q:Q,A:A,A771)&gt;0,SUMIFS(Q:Q,A:A,A771),"."))/VLOOKUP("USD",'Exchange Rates'!B:C,2,0),"Error with coding"))),"")</f>
        <v>.</v>
      </c>
      <c r="U771" s="1191" t="s">
        <v>365</v>
      </c>
      <c r="V771" s="983" t="s">
        <v>2164</v>
      </c>
      <c r="W771" s="983" t="s">
        <v>2165</v>
      </c>
      <c r="X771" s="1208" t="s">
        <v>364</v>
      </c>
      <c r="Y771" s="1208" t="s">
        <v>364</v>
      </c>
      <c r="Z771" s="1191">
        <v>0</v>
      </c>
      <c r="AA771" s="1191">
        <v>1</v>
      </c>
      <c r="AB771" s="1208" t="s">
        <v>364</v>
      </c>
      <c r="AC771" s="1192" t="str">
        <f>""</f>
        <v/>
      </c>
      <c r="AD771" s="1191">
        <v>1</v>
      </c>
      <c r="AE771" s="1191" t="s">
        <v>368</v>
      </c>
      <c r="AF771" s="1191" t="s">
        <v>369</v>
      </c>
      <c r="AG771" s="1191">
        <v>1</v>
      </c>
      <c r="AH771" s="1191">
        <v>4</v>
      </c>
      <c r="AI771" s="1193">
        <v>0</v>
      </c>
      <c r="AJ771" s="1193">
        <f>VLOOKUP($I771,'Price List, Weapons &amp; Items'!B:F,5,0)</f>
        <v>0</v>
      </c>
      <c r="AK771" s="1193">
        <f t="shared" ref="AK771:AK834" si="173">IF(AND(AJ771=1,M771="undisclosed")=TRUE,1,0)</f>
        <v>0</v>
      </c>
      <c r="AL771" s="1193">
        <f t="shared" ref="AL771:AL834" si="174">IF(AND(AJ771=1,N771="undisclosed")=TRUE,1,0)</f>
        <v>0</v>
      </c>
      <c r="AM771" s="1193">
        <f t="shared" ref="AM771:AM834" si="175">IFERROR(IF(SEARCH("ammuni",I771,1)&gt;0,1,0),0)</f>
        <v>0</v>
      </c>
      <c r="AN771" s="1194" t="str">
        <f>VLOOKUP($I771,'Price List, Weapons &amp; Items'!B:L,COLUMN('Price List, Weapons &amp; Items'!$J$11)-1,0)</f>
        <v>.</v>
      </c>
      <c r="AO771" s="1194" t="str">
        <f>IF(I771=".",".",VLOOKUP($I771,'Price List, Weapons &amp; Items'!B:J,3,0))</f>
        <v>.</v>
      </c>
      <c r="AP771" s="1195" t="str">
        <f t="shared" ca="1" si="169"/>
        <v>.</v>
      </c>
      <c r="AQ771" s="1194">
        <f>VLOOKUP($I771,'Price List, Weapons &amp; Items'!B:L,COLUMN('Price List, Weapons &amp; Items'!$L$11)-1,0)</f>
        <v>0</v>
      </c>
      <c r="AR771" s="1194">
        <f t="shared" ref="AR771:AR834" si="176">IF(U771="Yes",1,0)</f>
        <v>1</v>
      </c>
      <c r="AS771" s="1194">
        <f t="shared" ref="AS771:AS834" si="177">IF(D771="Military",IF(OR(IFERROR(SEARCH("equipment",E771,1),0)&gt;0,IFERROR(SEARCH("weapons",E771,1),0)&gt;0),1,0),0)</f>
        <v>0</v>
      </c>
      <c r="AT771" s="1194">
        <f t="shared" ref="AT771:AT834" si="178">IFERROR(IF(VALUE(TEXT(C771,"mm"))=IF(AH771&gt;12,AH771-12,AH771),".",IF(TEXT(C771,"mm")="01",".",1)),"Value is not in date format")</f>
        <v>1</v>
      </c>
      <c r="AU771" s="1194" t="str">
        <f t="shared" ref="AU771:AU834" si="179">IF(AND(A771=A770,C771=C770)=TRUE,IF(F771=F770,".","1"),".")</f>
        <v>.</v>
      </c>
      <c r="AV771" s="1194" t="str">
        <f t="shared" si="170"/>
        <v>.</v>
      </c>
      <c r="AW771" s="1194" t="str">
        <f t="shared" ref="AW771:AW834" si="180">IF(T771&lt;&gt;".",IF(T771&gt;S771,1,"."),".")</f>
        <v>.</v>
      </c>
      <c r="AX771" s="1194">
        <f>IFERROR(VLOOKUP(B771,'Share, Heavy Weapons to Ukraine'!B:Z,COLUMN('Share, Heavy Weapons to Ukraine'!C781)-1,0),0)</f>
        <v>0</v>
      </c>
      <c r="AY771" s="1194">
        <f>VLOOKUP('Bilateral Assistance, MAIN DATA'!B771,'Country Summary (€)'!B:F,COLUMN('Country Summary (€)'!C782)-1,FALSE)</f>
        <v>0</v>
      </c>
      <c r="AZ771" s="1194" t="str">
        <f>IF(AND(AD771=1,D771="Military",H771&lt;&gt;"Not given")=TRUE,IF(SUMIFS(P:P,A:A,A771)&gt;0,ABS((SUMIFS(P:P,A:A,A771)/VLOOKUP("USD",'Exchange Rates'!B:C,2,0)))/S771,"."),".")</f>
        <v>.</v>
      </c>
      <c r="BA771" s="1196" t="str">
        <f>IF(AND(AD771=1,D771="Military",H771&lt;&gt;"Not given")=TRUE,IF(SUMIFS(P:P,A:A,A771)&gt;0,IF((ABS((SUMIFS(P:P,A:A,A771)/VLOOKUP("USD",'Exchange Rates'!B:C,2,0)))/S771)&gt;1,(SUMIFS(P:P,A:A,A771)-S771)/S771,(S771-SUMIFS(P:P,A:A,A771))/SUMIFS(P:P,A:A,A771)),"."),".")</f>
        <v>.</v>
      </c>
      <c r="BB771" s="1208"/>
      <c r="BC771" s="1208"/>
      <c r="BD771" s="1208"/>
      <c r="BE771" s="1208"/>
      <c r="BF771" s="1208"/>
      <c r="BG771" s="1208"/>
      <c r="BH771" s="1208"/>
      <c r="BI771" s="1208"/>
      <c r="BJ771" s="1208"/>
      <c r="BK771" s="1208"/>
      <c r="BL771" s="1208"/>
      <c r="BM771" s="1208"/>
      <c r="BN771" s="1208"/>
      <c r="BO771" s="1208"/>
      <c r="BP771" s="1208"/>
      <c r="BQ771" s="1208"/>
      <c r="BR771" s="1208"/>
      <c r="BS771" s="1208"/>
    </row>
    <row r="772" spans="1:71" ht="15.95" customHeight="1">
      <c r="A772" s="1208" t="s">
        <v>2166</v>
      </c>
      <c r="B772" s="1208" t="s">
        <v>2139</v>
      </c>
      <c r="C772" s="1209">
        <v>44788</v>
      </c>
      <c r="D772" s="1208" t="s">
        <v>389</v>
      </c>
      <c r="E772" s="1208" t="s">
        <v>361</v>
      </c>
      <c r="F772" s="1208" t="s">
        <v>2167</v>
      </c>
      <c r="G772" s="1184" t="s">
        <v>364</v>
      </c>
      <c r="H772" s="1185" t="s">
        <v>457</v>
      </c>
      <c r="I772" s="1208" t="s">
        <v>364</v>
      </c>
      <c r="J772" s="1186" t="str">
        <f>VLOOKUP($I772,'Price List, Weapons &amp; Items'!B:C,2,0)</f>
        <v>.</v>
      </c>
      <c r="K772" s="1186" t="str">
        <f>IF(I772=".",I772,VLOOKUP($I772,'Price List, Weapons &amp; Items'!B:D,3,0))</f>
        <v>.</v>
      </c>
      <c r="L772" s="1187">
        <f>VLOOKUP(I772,'Price List, Weapons &amp; Items'!B:E,4,0)</f>
        <v>0</v>
      </c>
      <c r="M772" s="1241" t="s">
        <v>364</v>
      </c>
      <c r="N772" s="1211" t="s">
        <v>364</v>
      </c>
      <c r="O772" s="1188" t="str">
        <f>VLOOKUP($I772,'Price List, Weapons &amp; Items'!B:G,6,0)</f>
        <v>.</v>
      </c>
      <c r="P772" s="1185" t="str">
        <f t="shared" si="171"/>
        <v>.</v>
      </c>
      <c r="Q772" s="1185" t="str">
        <f t="shared" si="172"/>
        <v>.</v>
      </c>
      <c r="R772" s="1185" t="str">
        <f t="shared" si="168"/>
        <v>.</v>
      </c>
      <c r="S772" s="1185" t="str">
        <f>IF(AND(AD772=1,R772&lt;&gt;".")=TRUE,R772/VLOOKUP(G772,'Exchange Rates'!B:C,2,0),IF(R772=".",".",""))</f>
        <v>.</v>
      </c>
      <c r="T772" s="1185" t="str">
        <f>IF(AD772=1,IF(AF772="Value is not given at all",".",IF(AF772="Value is given by the source",S772,IF(AF772="Value is calculated with prices",(IF(SUMIFS(Q:Q,A:A,A772)&gt;0,SUMIFS(Q:Q,A:A,A772),"."))/VLOOKUP("USD",'Exchange Rates'!B:C,2,0),"Error with coding"))),"")</f>
        <v>.</v>
      </c>
      <c r="U772" s="1191" t="s">
        <v>365</v>
      </c>
      <c r="V772" s="983" t="s">
        <v>2159</v>
      </c>
      <c r="W772" s="983" t="s">
        <v>2168</v>
      </c>
      <c r="X772" s="966" t="s">
        <v>2169</v>
      </c>
      <c r="Y772" s="966" t="s">
        <v>2170</v>
      </c>
      <c r="Z772" s="1191">
        <v>0</v>
      </c>
      <c r="AA772" s="1191">
        <v>1</v>
      </c>
      <c r="AB772" s="1208" t="s">
        <v>364</v>
      </c>
      <c r="AC772" s="1192" t="str">
        <f>""</f>
        <v/>
      </c>
      <c r="AD772" s="1191">
        <v>1</v>
      </c>
      <c r="AE772" s="1191" t="s">
        <v>369</v>
      </c>
      <c r="AF772" s="1191" t="s">
        <v>369</v>
      </c>
      <c r="AG772" s="1191">
        <v>1</v>
      </c>
      <c r="AH772" s="1191">
        <v>8</v>
      </c>
      <c r="AI772" s="1193">
        <v>0</v>
      </c>
      <c r="AJ772" s="1193">
        <f>VLOOKUP($I772,'Price List, Weapons &amp; Items'!B:F,5,0)</f>
        <v>0</v>
      </c>
      <c r="AK772" s="1193">
        <f t="shared" si="173"/>
        <v>0</v>
      </c>
      <c r="AL772" s="1193">
        <f t="shared" si="174"/>
        <v>0</v>
      </c>
      <c r="AM772" s="1193">
        <f t="shared" si="175"/>
        <v>0</v>
      </c>
      <c r="AN772" s="1194" t="str">
        <f>VLOOKUP($I772,'Price List, Weapons &amp; Items'!B:L,COLUMN('Price List, Weapons &amp; Items'!$J$11)-1,0)</f>
        <v>.</v>
      </c>
      <c r="AO772" s="1194" t="str">
        <f>IF(I772=".",".",VLOOKUP($I772,'Price List, Weapons &amp; Items'!B:J,3,0))</f>
        <v>.</v>
      </c>
      <c r="AP772" s="1195" t="str">
        <f t="shared" ca="1" si="169"/>
        <v>.</v>
      </c>
      <c r="AQ772" s="1194">
        <f>VLOOKUP($I772,'Price List, Weapons &amp; Items'!B:L,COLUMN('Price List, Weapons &amp; Items'!$L$11)-1,0)</f>
        <v>0</v>
      </c>
      <c r="AR772" s="1194">
        <f t="shared" si="176"/>
        <v>1</v>
      </c>
      <c r="AS772" s="1194">
        <f t="shared" si="177"/>
        <v>0</v>
      </c>
      <c r="AT772" s="1194">
        <f t="shared" si="178"/>
        <v>1</v>
      </c>
      <c r="AU772" s="1194" t="str">
        <f t="shared" si="179"/>
        <v>.</v>
      </c>
      <c r="AV772" s="1194" t="str">
        <f t="shared" si="170"/>
        <v>.</v>
      </c>
      <c r="AW772" s="1194" t="str">
        <f t="shared" si="180"/>
        <v>.</v>
      </c>
      <c r="AX772" s="1194">
        <f>IFERROR(VLOOKUP(B772,'Share, Heavy Weapons to Ukraine'!B:Z,COLUMN('Share, Heavy Weapons to Ukraine'!C782)-1,0),0)</f>
        <v>0</v>
      </c>
      <c r="AY772" s="1194">
        <f>VLOOKUP('Bilateral Assistance, MAIN DATA'!B772,'Country Summary (€)'!B:F,COLUMN('Country Summary (€)'!C783)-1,FALSE)</f>
        <v>0</v>
      </c>
      <c r="AZ772" s="1194" t="str">
        <f>IF(AND(AD772=1,D772="Military",H772&lt;&gt;"Not given")=TRUE,IF(SUMIFS(P:P,A:A,A772)&gt;0,ABS((SUMIFS(P:P,A:A,A772)/VLOOKUP("USD",'Exchange Rates'!B:C,2,0)))/S772,"."),".")</f>
        <v>.</v>
      </c>
      <c r="BA772" s="1196" t="str">
        <f>IF(AND(AD772=1,D772="Military",H772&lt;&gt;"Not given")=TRUE,IF(SUMIFS(P:P,A:A,A772)&gt;0,IF((ABS((SUMIFS(P:P,A:A,A772)/VLOOKUP("USD",'Exchange Rates'!B:C,2,0)))/S772)&gt;1,(SUMIFS(P:P,A:A,A772)-S772)/S772,(S772-SUMIFS(P:P,A:A,A772))/SUMIFS(P:P,A:A,A772)),"."),".")</f>
        <v>.</v>
      </c>
      <c r="BB772" s="1208"/>
      <c r="BC772" s="1208"/>
      <c r="BD772" s="1208"/>
      <c r="BE772" s="1208"/>
      <c r="BF772" s="1208"/>
      <c r="BG772" s="1208"/>
      <c r="BH772" s="1208"/>
      <c r="BI772" s="1208"/>
      <c r="BJ772" s="1208"/>
      <c r="BK772" s="1208"/>
      <c r="BL772" s="1208"/>
      <c r="BM772" s="1208"/>
      <c r="BN772" s="1208"/>
      <c r="BO772" s="1208"/>
      <c r="BP772" s="1208"/>
      <c r="BQ772" s="1208"/>
      <c r="BR772" s="1208"/>
      <c r="BS772" s="1208"/>
    </row>
    <row r="773" spans="1:71" ht="15.95" customHeight="1">
      <c r="A773" s="1208" t="s">
        <v>2171</v>
      </c>
      <c r="B773" s="1208" t="s">
        <v>2139</v>
      </c>
      <c r="C773" s="1209">
        <v>44916</v>
      </c>
      <c r="D773" s="1208" t="s">
        <v>389</v>
      </c>
      <c r="E773" s="1208" t="s">
        <v>398</v>
      </c>
      <c r="F773" s="1208" t="s">
        <v>2172</v>
      </c>
      <c r="G773" s="1184" t="s">
        <v>456</v>
      </c>
      <c r="H773" s="1185" t="s">
        <v>457</v>
      </c>
      <c r="I773" s="1208" t="s">
        <v>618</v>
      </c>
      <c r="J773" s="1186" t="str">
        <f>VLOOKUP($I773,'Price List, Weapons &amp; Items'!B:C,2,0)</f>
        <v>Military equipment</v>
      </c>
      <c r="K773" s="1186" t="str">
        <f>IF(I773=".",I773,VLOOKUP($I773,'Price List, Weapons &amp; Items'!B:D,3,0))</f>
        <v>Military equipment</v>
      </c>
      <c r="L773" s="1187">
        <f>VLOOKUP(I773,'Price List, Weapons &amp; Items'!B:E,4,0)</f>
        <v>0</v>
      </c>
      <c r="M773" s="1241">
        <v>12000</v>
      </c>
      <c r="N773" s="1211">
        <v>12000</v>
      </c>
      <c r="O773" s="1188">
        <f>VLOOKUP($I773,'Price List, Weapons &amp; Items'!B:G,6,0)</f>
        <v>59.234999999999999</v>
      </c>
      <c r="P773" s="1185">
        <f t="shared" si="171"/>
        <v>710820</v>
      </c>
      <c r="Q773" s="1185">
        <f t="shared" si="172"/>
        <v>710820</v>
      </c>
      <c r="R773" s="1185">
        <f t="shared" si="168"/>
        <v>710820</v>
      </c>
      <c r="S773" s="1185">
        <f>IF(AND(AD773=1,R773&lt;&gt;".")=TRUE,R773/VLOOKUP(G773,'Exchange Rates'!B:C,2,0),IF(R773=".",".",""))</f>
        <v>654048.58299595141</v>
      </c>
      <c r="T773" s="1185">
        <f>IF(AD773=1,IF(AF773="Value is not given at all",".",IF(AF773="Value is given by the source",S773,IF(AF773="Value is calculated with prices",(IF(SUMIFS(Q:Q,A:A,A773)&gt;0,SUMIFS(Q:Q,A:A,A773),"."))/VLOOKUP("USD",'Exchange Rates'!B:C,2,0),"Error with coding"))),"")</f>
        <v>654048.58299595141</v>
      </c>
      <c r="U773" s="1191" t="s">
        <v>365</v>
      </c>
      <c r="V773" s="983" t="s">
        <v>2159</v>
      </c>
      <c r="W773" s="983" t="s">
        <v>2173</v>
      </c>
      <c r="X773" s="966" t="s">
        <v>2174</v>
      </c>
      <c r="Y773" s="966" t="s">
        <v>2175</v>
      </c>
      <c r="Z773" s="1191">
        <v>0</v>
      </c>
      <c r="AA773" s="1191">
        <v>1</v>
      </c>
      <c r="AB773" s="966" t="s">
        <v>2176</v>
      </c>
      <c r="AC773" s="1192" t="str">
        <f>""</f>
        <v/>
      </c>
      <c r="AD773" s="1191">
        <v>1</v>
      </c>
      <c r="AE773" s="1191" t="s">
        <v>436</v>
      </c>
      <c r="AF773" s="1191" t="s">
        <v>436</v>
      </c>
      <c r="AG773" s="1191">
        <v>1</v>
      </c>
      <c r="AH773" s="1191">
        <v>12</v>
      </c>
      <c r="AI773" s="1193">
        <v>0</v>
      </c>
      <c r="AJ773" s="1193">
        <f>VLOOKUP($I773,'Price List, Weapons &amp; Items'!B:F,5,0)</f>
        <v>0</v>
      </c>
      <c r="AK773" s="1193">
        <f t="shared" si="173"/>
        <v>0</v>
      </c>
      <c r="AL773" s="1193">
        <f t="shared" si="174"/>
        <v>0</v>
      </c>
      <c r="AM773" s="1193">
        <f t="shared" si="175"/>
        <v>0</v>
      </c>
      <c r="AN773" s="1194" t="str">
        <f>VLOOKUP($I773,'Price List, Weapons &amp; Items'!B:L,COLUMN('Price List, Weapons &amp; Items'!$J$11)-1,0)</f>
        <v>Government information</v>
      </c>
      <c r="AO773" s="1194" t="str">
        <f>IF(I773=".",".",VLOOKUP($I773,'Price List, Weapons &amp; Items'!B:J,3,0))</f>
        <v>Military equipment</v>
      </c>
      <c r="AP773" s="1195" t="str">
        <f t="shared" ca="1" si="169"/>
        <v>winter clothing (general)</v>
      </c>
      <c r="AQ773" s="1194">
        <f>VLOOKUP($I773,'Price List, Weapons &amp; Items'!B:L,COLUMN('Price List, Weapons &amp; Items'!$L$11)-1,0)</f>
        <v>2</v>
      </c>
      <c r="AR773" s="1194">
        <f t="shared" si="176"/>
        <v>1</v>
      </c>
      <c r="AS773" s="1194">
        <f t="shared" si="177"/>
        <v>1</v>
      </c>
      <c r="AT773" s="1194">
        <f t="shared" si="178"/>
        <v>1</v>
      </c>
      <c r="AU773" s="1194" t="str">
        <f t="shared" si="179"/>
        <v>.</v>
      </c>
      <c r="AV773" s="1194" t="str">
        <f t="shared" si="170"/>
        <v>.</v>
      </c>
      <c r="AW773" s="1194" t="str">
        <f t="shared" si="180"/>
        <v>.</v>
      </c>
      <c r="AX773" s="1194">
        <f>IFERROR(VLOOKUP(B773,'Share, Heavy Weapons to Ukraine'!B:Z,COLUMN('Share, Heavy Weapons to Ukraine'!C783)-1,0),0)</f>
        <v>0</v>
      </c>
      <c r="AY773" s="1194">
        <f>VLOOKUP('Bilateral Assistance, MAIN DATA'!B773,'Country Summary (€)'!B:F,COLUMN('Country Summary (€)'!C784)-1,FALSE)</f>
        <v>0</v>
      </c>
      <c r="AZ773" s="1194" t="str">
        <f>IF(AND(AD773=1,D773="Military",H773&lt;&gt;"Not given")=TRUE,IF(SUMIFS(P:P,A:A,A773)&gt;0,ABS((SUMIFS(P:P,A:A,A773)/VLOOKUP("USD",'Exchange Rates'!B:C,2,0)))/S773,"."),".")</f>
        <v>.</v>
      </c>
      <c r="BA773" s="1196" t="str">
        <f>IF(AND(AD773=1,D773="Military",H773&lt;&gt;"Not given")=TRUE,IF(SUMIFS(P:P,A:A,A773)&gt;0,IF((ABS((SUMIFS(P:P,A:A,A773)/VLOOKUP("USD",'Exchange Rates'!B:C,2,0)))/S773)&gt;1,(SUMIFS(P:P,A:A,A773)-S773)/S773,(S773-SUMIFS(P:P,A:A,A773))/SUMIFS(P:P,A:A,A773)),"."),".")</f>
        <v>.</v>
      </c>
      <c r="BB773" s="1208"/>
      <c r="BC773" s="1208"/>
      <c r="BD773" s="1208"/>
      <c r="BE773" s="1208"/>
      <c r="BF773" s="1208"/>
      <c r="BG773" s="1208"/>
      <c r="BH773" s="1208"/>
      <c r="BI773" s="1208"/>
      <c r="BJ773" s="1208"/>
      <c r="BK773" s="1208"/>
      <c r="BL773" s="1208"/>
      <c r="BM773" s="1208"/>
      <c r="BN773" s="1208"/>
      <c r="BO773" s="1208"/>
      <c r="BP773" s="1208"/>
      <c r="BQ773" s="1208"/>
      <c r="BR773" s="1208"/>
      <c r="BS773" s="1208"/>
    </row>
    <row r="774" spans="1:71" ht="15.95" customHeight="1">
      <c r="A774" s="1208" t="s">
        <v>2177</v>
      </c>
      <c r="B774" s="1208" t="s">
        <v>2139</v>
      </c>
      <c r="C774" s="1181" t="s">
        <v>2155</v>
      </c>
      <c r="D774" s="1208" t="s">
        <v>389</v>
      </c>
      <c r="E774" s="1208" t="s">
        <v>398</v>
      </c>
      <c r="F774" s="1208" t="s">
        <v>2178</v>
      </c>
      <c r="G774" s="1184" t="s">
        <v>2141</v>
      </c>
      <c r="H774" s="1210">
        <v>521900000</v>
      </c>
      <c r="I774" s="1208" t="s">
        <v>364</v>
      </c>
      <c r="J774" s="1186" t="str">
        <f>VLOOKUP($I774,'Price List, Weapons &amp; Items'!B:C,2,0)</f>
        <v>.</v>
      </c>
      <c r="K774" s="1186" t="str">
        <f>IF(I774=".",I774,VLOOKUP($I774,'Price List, Weapons &amp; Items'!B:D,3,0))</f>
        <v>.</v>
      </c>
      <c r="L774" s="1187">
        <f>VLOOKUP(I774,'Price List, Weapons &amp; Items'!B:E,4,0)</f>
        <v>0</v>
      </c>
      <c r="M774" s="1241" t="s">
        <v>364</v>
      </c>
      <c r="N774" s="1211" t="s">
        <v>364</v>
      </c>
      <c r="O774" s="1188" t="str">
        <f>VLOOKUP($I774,'Price List, Weapons &amp; Items'!B:G,6,0)</f>
        <v>.</v>
      </c>
      <c r="P774" s="1185" t="str">
        <f t="shared" si="171"/>
        <v>.</v>
      </c>
      <c r="Q774" s="1185" t="str">
        <f t="shared" si="172"/>
        <v>.</v>
      </c>
      <c r="R774" s="1185">
        <f t="shared" si="168"/>
        <v>521900000</v>
      </c>
      <c r="S774" s="1185">
        <f>IF(AND(AD774=1,R774&lt;&gt;".")=TRUE,R774/VLOOKUP(G774,'Exchange Rates'!B:C,2,0),IF(R774=".",".",""))</f>
        <v>3468465.4748454844</v>
      </c>
      <c r="T774" s="1185" t="str">
        <f>IF(AD774=1,IF(AF774="Value is not given at all",".",IF(AF774="Value is given by the source",S774,IF(AF774="Value is calculated with prices",(IF(SUMIFS(Q:Q,A:A,A774)&gt;0,SUMIFS(Q:Q,A:A,A774),"."))/VLOOKUP("USD",'Exchange Rates'!B:C,2,0),"Error with coding"))),"")</f>
        <v>.</v>
      </c>
      <c r="U774" s="1191" t="s">
        <v>365</v>
      </c>
      <c r="V774" s="983" t="s">
        <v>2179</v>
      </c>
      <c r="W774" s="983" t="s">
        <v>364</v>
      </c>
      <c r="X774" s="1208" t="s">
        <v>364</v>
      </c>
      <c r="Y774" s="1208" t="s">
        <v>364</v>
      </c>
      <c r="Z774" s="1191">
        <v>0</v>
      </c>
      <c r="AA774" s="1191">
        <v>1</v>
      </c>
      <c r="AB774" s="1208" t="s">
        <v>364</v>
      </c>
      <c r="AC774" s="1192" t="str">
        <f>""</f>
        <v/>
      </c>
      <c r="AD774" s="1191">
        <v>1</v>
      </c>
      <c r="AE774" s="1191" t="s">
        <v>368</v>
      </c>
      <c r="AF774" s="1191" t="s">
        <v>369</v>
      </c>
      <c r="AG774" s="1191">
        <v>1</v>
      </c>
      <c r="AH774" s="1191">
        <v>15</v>
      </c>
      <c r="AI774" s="1193">
        <v>0</v>
      </c>
      <c r="AJ774" s="1193">
        <f>VLOOKUP($I774,'Price List, Weapons &amp; Items'!B:F,5,0)</f>
        <v>0</v>
      </c>
      <c r="AK774" s="1193">
        <f t="shared" si="173"/>
        <v>0</v>
      </c>
      <c r="AL774" s="1193">
        <f t="shared" si="174"/>
        <v>0</v>
      </c>
      <c r="AM774" s="1193">
        <f t="shared" si="175"/>
        <v>0</v>
      </c>
      <c r="AN774" s="1194" t="str">
        <f>VLOOKUP($I774,'Price List, Weapons &amp; Items'!B:L,COLUMN('Price List, Weapons &amp; Items'!$J$11)-1,0)</f>
        <v>.</v>
      </c>
      <c r="AO774" s="1194" t="str">
        <f>IF(I774=".",".",VLOOKUP($I774,'Price List, Weapons &amp; Items'!B:J,3,0))</f>
        <v>.</v>
      </c>
      <c r="AP774" s="1195" t="str">
        <f t="shared" ca="1" si="169"/>
        <v>.</v>
      </c>
      <c r="AQ774" s="1194">
        <f>VLOOKUP($I774,'Price List, Weapons &amp; Items'!B:L,COLUMN('Price List, Weapons &amp; Items'!$L$11)-1,0)</f>
        <v>0</v>
      </c>
      <c r="AR774" s="1194">
        <f t="shared" si="176"/>
        <v>1</v>
      </c>
      <c r="AS774" s="1194">
        <f t="shared" si="177"/>
        <v>1</v>
      </c>
      <c r="AT774" s="1194" t="str">
        <f t="shared" si="178"/>
        <v>Value is not in date format</v>
      </c>
      <c r="AU774" s="1194" t="str">
        <f t="shared" si="179"/>
        <v>.</v>
      </c>
      <c r="AV774" s="1194" t="str">
        <f t="shared" si="170"/>
        <v>.</v>
      </c>
      <c r="AW774" s="1194" t="str">
        <f t="shared" si="180"/>
        <v>.</v>
      </c>
      <c r="AX774" s="1194">
        <f>IFERROR(VLOOKUP(B774,'Share, Heavy Weapons to Ukraine'!B:Z,COLUMN('Share, Heavy Weapons to Ukraine'!C784)-1,0),0)</f>
        <v>0</v>
      </c>
      <c r="AY774" s="1194">
        <f>VLOOKUP('Bilateral Assistance, MAIN DATA'!B774,'Country Summary (€)'!B:F,COLUMN('Country Summary (€)'!C785)-1,FALSE)</f>
        <v>0</v>
      </c>
      <c r="AZ774" s="1194" t="str">
        <f>IF(AND(AD774=1,D774="Military",H774&lt;&gt;"Not given")=TRUE,IF(SUMIFS(P:P,A:A,A774)&gt;0,ABS((SUMIFS(P:P,A:A,A774)/VLOOKUP("USD",'Exchange Rates'!B:C,2,0)))/S774,"."),".")</f>
        <v>.</v>
      </c>
      <c r="BA774" s="1196" t="str">
        <f>IF(AND(AD774=1,D774="Military",H774&lt;&gt;"Not given")=TRUE,IF(SUMIFS(P:P,A:A,A774)&gt;0,IF((ABS((SUMIFS(P:P,A:A,A774)/VLOOKUP("USD",'Exchange Rates'!B:C,2,0)))/S774)&gt;1,(SUMIFS(P:P,A:A,A774)-S774)/S774,(S774-SUMIFS(P:P,A:A,A774))/SUMIFS(P:P,A:A,A774)),"."),".")</f>
        <v>.</v>
      </c>
      <c r="BB774" s="1208"/>
      <c r="BC774" s="1208"/>
      <c r="BD774" s="1208"/>
      <c r="BE774" s="1208"/>
      <c r="BF774" s="1208"/>
      <c r="BG774" s="1208"/>
      <c r="BH774" s="1208"/>
      <c r="BI774" s="1208"/>
      <c r="BJ774" s="1208"/>
      <c r="BK774" s="1208"/>
      <c r="BL774" s="1208"/>
      <c r="BM774" s="1208"/>
      <c r="BN774" s="1208"/>
      <c r="BO774" s="1208"/>
      <c r="BP774" s="1208"/>
      <c r="BQ774" s="1208"/>
      <c r="BR774" s="1208"/>
      <c r="BS774" s="1208"/>
    </row>
    <row r="775" spans="1:71" ht="15.95" customHeight="1">
      <c r="A775" s="1208" t="s">
        <v>2180</v>
      </c>
      <c r="B775" s="1208" t="s">
        <v>2139</v>
      </c>
      <c r="C775" s="1181" t="s">
        <v>2155</v>
      </c>
      <c r="D775" s="1208" t="s">
        <v>389</v>
      </c>
      <c r="E775" s="1208" t="s">
        <v>398</v>
      </c>
      <c r="F775" s="1208" t="s">
        <v>2181</v>
      </c>
      <c r="G775" s="1184" t="s">
        <v>2141</v>
      </c>
      <c r="H775" s="1210">
        <v>527900000</v>
      </c>
      <c r="I775" s="1208" t="s">
        <v>364</v>
      </c>
      <c r="J775" s="1186" t="str">
        <f>VLOOKUP($I775,'Price List, Weapons &amp; Items'!B:C,2,0)</f>
        <v>.</v>
      </c>
      <c r="K775" s="1186" t="str">
        <f>IF(I775=".",I775,VLOOKUP($I775,'Price List, Weapons &amp; Items'!B:D,3,0))</f>
        <v>.</v>
      </c>
      <c r="L775" s="1187">
        <f>VLOOKUP(I775,'Price List, Weapons &amp; Items'!B:E,4,0)</f>
        <v>0</v>
      </c>
      <c r="M775" s="1241" t="s">
        <v>364</v>
      </c>
      <c r="N775" s="1211" t="s">
        <v>364</v>
      </c>
      <c r="O775" s="1188" t="str">
        <f>VLOOKUP($I775,'Price List, Weapons &amp; Items'!B:G,6,0)</f>
        <v>.</v>
      </c>
      <c r="P775" s="1185" t="str">
        <f t="shared" si="171"/>
        <v>.</v>
      </c>
      <c r="Q775" s="1185" t="str">
        <f t="shared" si="172"/>
        <v>.</v>
      </c>
      <c r="R775" s="1185">
        <f t="shared" si="168"/>
        <v>527900000</v>
      </c>
      <c r="S775" s="1185">
        <f>IF(AND(AD775=1,R775&lt;&gt;".")=TRUE,R775/VLOOKUP(G775,'Exchange Rates'!B:C,2,0),IF(R775=".",".",""))</f>
        <v>3508340.5329966107</v>
      </c>
      <c r="T775" s="1185" t="str">
        <f>IF(AD775=1,IF(AF775="Value is not given at all",".",IF(AF775="Value is given by the source",S775,IF(AF775="Value is calculated with prices",(IF(SUMIFS(Q:Q,A:A,A775)&gt;0,SUMIFS(Q:Q,A:A,A775),"."))/VLOOKUP("USD",'Exchange Rates'!B:C,2,0),"Error with coding"))),"")</f>
        <v>.</v>
      </c>
      <c r="U775" s="1191" t="s">
        <v>365</v>
      </c>
      <c r="V775" s="983" t="s">
        <v>2179</v>
      </c>
      <c r="W775" s="983" t="s">
        <v>364</v>
      </c>
      <c r="X775" s="1208" t="s">
        <v>364</v>
      </c>
      <c r="Y775" s="1208" t="s">
        <v>364</v>
      </c>
      <c r="Z775" s="1191">
        <v>0</v>
      </c>
      <c r="AA775" s="1191">
        <v>1</v>
      </c>
      <c r="AB775" s="1208" t="s">
        <v>364</v>
      </c>
      <c r="AC775" s="1192" t="str">
        <f>""</f>
        <v/>
      </c>
      <c r="AD775" s="1191">
        <v>1</v>
      </c>
      <c r="AE775" s="1191" t="s">
        <v>368</v>
      </c>
      <c r="AF775" s="1191" t="s">
        <v>369</v>
      </c>
      <c r="AG775" s="1191">
        <v>1</v>
      </c>
      <c r="AH775" s="1191">
        <v>15</v>
      </c>
      <c r="AI775" s="1193">
        <v>0</v>
      </c>
      <c r="AJ775" s="1193">
        <f>VLOOKUP($I775,'Price List, Weapons &amp; Items'!B:F,5,0)</f>
        <v>0</v>
      </c>
      <c r="AK775" s="1193">
        <f t="shared" si="173"/>
        <v>0</v>
      </c>
      <c r="AL775" s="1193">
        <f t="shared" si="174"/>
        <v>0</v>
      </c>
      <c r="AM775" s="1193">
        <f t="shared" si="175"/>
        <v>0</v>
      </c>
      <c r="AN775" s="1194" t="str">
        <f>VLOOKUP($I775,'Price List, Weapons &amp; Items'!B:L,COLUMN('Price List, Weapons &amp; Items'!$J$11)-1,0)</f>
        <v>.</v>
      </c>
      <c r="AO775" s="1194" t="str">
        <f>IF(I775=".",".",VLOOKUP($I775,'Price List, Weapons &amp; Items'!B:J,3,0))</f>
        <v>.</v>
      </c>
      <c r="AP775" s="1195" t="str">
        <f t="shared" ca="1" si="169"/>
        <v>.</v>
      </c>
      <c r="AQ775" s="1194">
        <f>VLOOKUP($I775,'Price List, Weapons &amp; Items'!B:L,COLUMN('Price List, Weapons &amp; Items'!$L$11)-1,0)</f>
        <v>0</v>
      </c>
      <c r="AR775" s="1194">
        <f t="shared" si="176"/>
        <v>1</v>
      </c>
      <c r="AS775" s="1194">
        <f t="shared" si="177"/>
        <v>1</v>
      </c>
      <c r="AT775" s="1194" t="str">
        <f t="shared" si="178"/>
        <v>Value is not in date format</v>
      </c>
      <c r="AU775" s="1194" t="str">
        <f t="shared" si="179"/>
        <v>.</v>
      </c>
      <c r="AV775" s="1194" t="str">
        <f t="shared" si="170"/>
        <v>.</v>
      </c>
      <c r="AW775" s="1194" t="str">
        <f t="shared" si="180"/>
        <v>.</v>
      </c>
      <c r="AX775" s="1194">
        <f>IFERROR(VLOOKUP(B775,'Share, Heavy Weapons to Ukraine'!B:Z,COLUMN('Share, Heavy Weapons to Ukraine'!C785)-1,0),0)</f>
        <v>0</v>
      </c>
      <c r="AY775" s="1194">
        <f>VLOOKUP('Bilateral Assistance, MAIN DATA'!B775,'Country Summary (€)'!B:F,COLUMN('Country Summary (€)'!C786)-1,FALSE)</f>
        <v>0</v>
      </c>
      <c r="AZ775" s="1194" t="str">
        <f>IF(AND(AD775=1,D775="Military",H775&lt;&gt;"Not given")=TRUE,IF(SUMIFS(P:P,A:A,A775)&gt;0,ABS((SUMIFS(P:P,A:A,A775)/VLOOKUP("USD",'Exchange Rates'!B:C,2,0)))/S775,"."),".")</f>
        <v>.</v>
      </c>
      <c r="BA775" s="1196" t="str">
        <f>IF(AND(AD775=1,D775="Military",H775&lt;&gt;"Not given")=TRUE,IF(SUMIFS(P:P,A:A,A775)&gt;0,IF((ABS((SUMIFS(P:P,A:A,A775)/VLOOKUP("USD",'Exchange Rates'!B:C,2,0)))/S775)&gt;1,(SUMIFS(P:P,A:A,A775)-S775)/S775,(S775-SUMIFS(P:P,A:A,A775))/SUMIFS(P:P,A:A,A775)),"."),".")</f>
        <v>.</v>
      </c>
      <c r="BB775" s="1208"/>
      <c r="BC775" s="1208"/>
      <c r="BD775" s="1208"/>
      <c r="BE775" s="1208"/>
      <c r="BF775" s="1208"/>
      <c r="BG775" s="1208"/>
      <c r="BH775" s="1208"/>
      <c r="BI775" s="1208"/>
      <c r="BJ775" s="1208"/>
      <c r="BK775" s="1208"/>
      <c r="BL775" s="1208"/>
      <c r="BM775" s="1208"/>
      <c r="BN775" s="1208"/>
      <c r="BO775" s="1208"/>
      <c r="BP775" s="1208"/>
      <c r="BQ775" s="1208"/>
      <c r="BR775" s="1208"/>
      <c r="BS775" s="1208"/>
    </row>
    <row r="776" spans="1:71" ht="15.95" customHeight="1">
      <c r="A776" s="1208" t="s">
        <v>2182</v>
      </c>
      <c r="B776" s="1208" t="s">
        <v>2139</v>
      </c>
      <c r="C776" s="1209">
        <v>45061</v>
      </c>
      <c r="D776" s="1208" t="s">
        <v>389</v>
      </c>
      <c r="E776" s="1208" t="s">
        <v>398</v>
      </c>
      <c r="F776" s="1208" t="s">
        <v>2183</v>
      </c>
      <c r="G776" s="1184" t="s">
        <v>456</v>
      </c>
      <c r="H776" s="1210">
        <v>1000000</v>
      </c>
      <c r="I776" s="1208" t="s">
        <v>2184</v>
      </c>
      <c r="J776" s="1186" t="str">
        <f>VLOOKUP($I776,'Price List, Weapons &amp; Items'!B:C,2,0)</f>
        <v>Humanitarian</v>
      </c>
      <c r="K776" s="1186" t="str">
        <f>IF(I776=".",I776,VLOOKUP($I776,'Price List, Weapons &amp; Items'!B:D,3,0))</f>
        <v>Humanitarian</v>
      </c>
      <c r="L776" s="1187">
        <f>VLOOKUP(I776,'Price List, Weapons &amp; Items'!B:E,4,0)</f>
        <v>0</v>
      </c>
      <c r="M776" s="1241">
        <v>1</v>
      </c>
      <c r="N776" s="1211" t="s">
        <v>374</v>
      </c>
      <c r="O776" s="1188">
        <f>VLOOKUP($I776,'Price List, Weapons &amp; Items'!B:G,6,0)</f>
        <v>1000000</v>
      </c>
      <c r="P776" s="1185">
        <f t="shared" si="171"/>
        <v>1000000</v>
      </c>
      <c r="Q776" s="1185" t="str">
        <f t="shared" si="172"/>
        <v>.</v>
      </c>
      <c r="R776" s="1185">
        <f t="shared" si="168"/>
        <v>1000000</v>
      </c>
      <c r="S776" s="1185">
        <f>IF(AND(AD776=1,R776&lt;&gt;".")=TRUE,R776/VLOOKUP(G776,'Exchange Rates'!B:C,2,0),IF(R776=".",".",""))</f>
        <v>920132.4990798675</v>
      </c>
      <c r="T776" s="1185" t="str">
        <f>IF(AD776=1,IF(AF776="Value is not given at all",".",IF(AF776="Value is given by the source",S776,IF(AF776="Value is calculated with prices",(IF(SUMIFS(Q:Q,A:A,A776)&gt;0,SUMIFS(Q:Q,A:A,A776),"."))/VLOOKUP("USD",'Exchange Rates'!B:C,2,0),"Error with coding"))),"")</f>
        <v>.</v>
      </c>
      <c r="U776" s="1191" t="s">
        <v>365</v>
      </c>
      <c r="V776" s="983" t="s">
        <v>2159</v>
      </c>
      <c r="W776" s="983" t="s">
        <v>2185</v>
      </c>
      <c r="X776" s="966" t="s">
        <v>2186</v>
      </c>
      <c r="Y776" s="966" t="s">
        <v>2187</v>
      </c>
      <c r="Z776" s="1191">
        <v>0</v>
      </c>
      <c r="AA776" s="1191">
        <v>1</v>
      </c>
      <c r="AB776" s="1208" t="s">
        <v>364</v>
      </c>
      <c r="AC776" s="1192" t="str">
        <f>""</f>
        <v/>
      </c>
      <c r="AD776" s="1191">
        <v>1</v>
      </c>
      <c r="AE776" s="1191" t="s">
        <v>368</v>
      </c>
      <c r="AF776" s="1191" t="s">
        <v>369</v>
      </c>
      <c r="AG776" s="1191">
        <v>1</v>
      </c>
      <c r="AH776" s="1191">
        <v>17</v>
      </c>
      <c r="AI776" s="1193">
        <v>0</v>
      </c>
      <c r="AJ776" s="1193">
        <f>VLOOKUP($I776,'Price List, Weapons &amp; Items'!B:F,5,0)</f>
        <v>0</v>
      </c>
      <c r="AK776" s="1193">
        <f t="shared" si="173"/>
        <v>0</v>
      </c>
      <c r="AL776" s="1193">
        <f t="shared" si="174"/>
        <v>0</v>
      </c>
      <c r="AM776" s="1193">
        <f t="shared" si="175"/>
        <v>0</v>
      </c>
      <c r="AN776" s="1194">
        <f>VLOOKUP($I776,'Price List, Weapons &amp; Items'!B:L,COLUMN('Price List, Weapons &amp; Items'!$J$11)-1,0)</f>
        <v>0</v>
      </c>
      <c r="AO776" s="1194" t="str">
        <f>IF(I776=".",".",VLOOKUP($I776,'Price List, Weapons &amp; Items'!B:J,3,0))</f>
        <v>Humanitarian</v>
      </c>
      <c r="AP776" s="1195" t="str">
        <f t="shared" ca="1" si="169"/>
        <v>field hospital (Iceland)</v>
      </c>
      <c r="AQ776" s="1194">
        <f>VLOOKUP($I776,'Price List, Weapons &amp; Items'!B:L,COLUMN('Price List, Weapons &amp; Items'!$L$11)-1,0)</f>
        <v>0</v>
      </c>
      <c r="AR776" s="1194">
        <f t="shared" si="176"/>
        <v>1</v>
      </c>
      <c r="AS776" s="1194">
        <f t="shared" si="177"/>
        <v>1</v>
      </c>
      <c r="AT776" s="1194">
        <f t="shared" si="178"/>
        <v>1</v>
      </c>
      <c r="AU776" s="1194" t="str">
        <f t="shared" si="179"/>
        <v>.</v>
      </c>
      <c r="AV776" s="1194" t="str">
        <f t="shared" si="170"/>
        <v>.</v>
      </c>
      <c r="AW776" s="1194" t="str">
        <f t="shared" si="180"/>
        <v>.</v>
      </c>
      <c r="AX776" s="1194">
        <f>IFERROR(VLOOKUP(B776,'Share, Heavy Weapons to Ukraine'!B:Z,COLUMN('Share, Heavy Weapons to Ukraine'!C786)-1,0),0)</f>
        <v>0</v>
      </c>
      <c r="AY776" s="1194">
        <f>VLOOKUP('Bilateral Assistance, MAIN DATA'!B776,'Country Summary (€)'!B:F,COLUMN('Country Summary (€)'!C787)-1,FALSE)</f>
        <v>0</v>
      </c>
      <c r="AZ776" s="1194">
        <f>IF(AND(AD776=1,D776="Military",H776&lt;&gt;"Not given")=TRUE,IF(SUMIFS(P:P,A:A,A776)&gt;0,ABS((SUMIFS(P:P,A:A,A776)/VLOOKUP("USD",'Exchange Rates'!B:C,2,0)))/S776,"."),".")</f>
        <v>1</v>
      </c>
      <c r="BA776" s="1196">
        <f>IF(AND(AD776=1,D776="Military",H776&lt;&gt;"Not given")=TRUE,IF(SUMIFS(P:P,A:A,A776)&gt;0,IF((ABS((SUMIFS(P:P,A:A,A776)/VLOOKUP("USD",'Exchange Rates'!B:C,2,0)))/S776)&gt;1,(SUMIFS(P:P,A:A,A776)-S776)/S776,(S776-SUMIFS(P:P,A:A,A776))/SUMIFS(P:P,A:A,A776)),"."),".")</f>
        <v>-7.9867500920132506E-2</v>
      </c>
      <c r="BB776" s="1208"/>
      <c r="BC776" s="1208"/>
      <c r="BD776" s="1208"/>
      <c r="BE776" s="1208"/>
      <c r="BF776" s="1208"/>
      <c r="BG776" s="1208"/>
      <c r="BH776" s="1208"/>
      <c r="BI776" s="1208"/>
      <c r="BJ776" s="1208"/>
      <c r="BK776" s="1208"/>
      <c r="BL776" s="1208"/>
      <c r="BM776" s="1208"/>
      <c r="BN776" s="1208"/>
      <c r="BO776" s="1208"/>
      <c r="BP776" s="1208"/>
      <c r="BQ776" s="1208"/>
      <c r="BR776" s="1208"/>
      <c r="BS776" s="1208"/>
    </row>
    <row r="777" spans="1:71" ht="15.95" customHeight="1">
      <c r="A777" s="1208" t="s">
        <v>2188</v>
      </c>
      <c r="B777" s="1208" t="s">
        <v>2139</v>
      </c>
      <c r="C777" s="1209">
        <v>45069</v>
      </c>
      <c r="D777" s="1208" t="s">
        <v>389</v>
      </c>
      <c r="E777" s="1208" t="s">
        <v>398</v>
      </c>
      <c r="F777" s="1208" t="s">
        <v>2189</v>
      </c>
      <c r="G777" s="1184" t="s">
        <v>2141</v>
      </c>
      <c r="H777" s="1210">
        <v>60000000</v>
      </c>
      <c r="I777" s="1208" t="s">
        <v>1876</v>
      </c>
      <c r="J777" s="1186" t="str">
        <f>VLOOKUP($I777,'Price List, Weapons &amp; Items'!B:C,2,0)</f>
        <v>Military equipment</v>
      </c>
      <c r="K777" s="1186" t="str">
        <f>IF(I777=".",I777,VLOOKUP($I777,'Price List, Weapons &amp; Items'!B:D,3,0))</f>
        <v>Military equipment</v>
      </c>
      <c r="L777" s="1187">
        <f>VLOOKUP(I777,'Price List, Weapons &amp; Items'!B:E,4,0)</f>
        <v>0</v>
      </c>
      <c r="M777" s="1241">
        <v>10</v>
      </c>
      <c r="N777" s="1211">
        <v>10</v>
      </c>
      <c r="O777" s="1188">
        <f>VLOOKUP($I777,'Price List, Weapons &amp; Items'!B:G,6,0)</f>
        <v>350000</v>
      </c>
      <c r="P777" s="1185">
        <f t="shared" si="171"/>
        <v>3500000</v>
      </c>
      <c r="Q777" s="1185">
        <f t="shared" si="172"/>
        <v>3500000</v>
      </c>
      <c r="R777" s="1185">
        <f t="shared" si="168"/>
        <v>60000000</v>
      </c>
      <c r="S777" s="1185">
        <f>IF(AND(AD777=1,R777&lt;&gt;".")=TRUE,R777/VLOOKUP(G777,'Exchange Rates'!B:C,2,0),IF(R777=".",".",""))</f>
        <v>398750.58151126473</v>
      </c>
      <c r="T777" s="1185">
        <f>IF(AD777=1,IF(AF777="Value is not given at all",".",IF(AF777="Value is given by the source",S777,IF(AF777="Value is calculated with prices",(IF(SUMIFS(Q:Q,A:A,A777)&gt;0,SUMIFS(Q:Q,A:A,A777),"."))/VLOOKUP("USD",'Exchange Rates'!B:C,2,0),"Error with coding"))),"")</f>
        <v>398750.58151126473</v>
      </c>
      <c r="U777" s="1191" t="s">
        <v>365</v>
      </c>
      <c r="V777" s="983" t="s">
        <v>2190</v>
      </c>
      <c r="W777" s="983" t="s">
        <v>2191</v>
      </c>
      <c r="X777" s="1208" t="s">
        <v>364</v>
      </c>
      <c r="Y777" s="1208" t="s">
        <v>364</v>
      </c>
      <c r="Z777" s="1191">
        <v>0</v>
      </c>
      <c r="AA777" s="1191">
        <v>1</v>
      </c>
      <c r="AB777" s="966" t="s">
        <v>2192</v>
      </c>
      <c r="AC777" s="1192" t="str">
        <f>""</f>
        <v/>
      </c>
      <c r="AD777" s="1191">
        <v>1</v>
      </c>
      <c r="AE777" s="1191" t="s">
        <v>368</v>
      </c>
      <c r="AF777" s="1191" t="s">
        <v>368</v>
      </c>
      <c r="AG777" s="1191">
        <v>1</v>
      </c>
      <c r="AH777" s="1191">
        <v>17</v>
      </c>
      <c r="AI777" s="1193">
        <v>0</v>
      </c>
      <c r="AJ777" s="1193">
        <f>VLOOKUP($I777,'Price List, Weapons &amp; Items'!B:F,5,0)</f>
        <v>0</v>
      </c>
      <c r="AK777" s="1193">
        <f t="shared" si="173"/>
        <v>0</v>
      </c>
      <c r="AL777" s="1193">
        <f t="shared" si="174"/>
        <v>0</v>
      </c>
      <c r="AM777" s="1193">
        <f t="shared" si="175"/>
        <v>0</v>
      </c>
      <c r="AN777" s="1194" t="str">
        <f>VLOOKUP($I777,'Price List, Weapons &amp; Items'!B:L,COLUMN('Price List, Weapons &amp; Items'!$J$11)-1,0)</f>
        <v>Media reports (incl. social media)</v>
      </c>
      <c r="AO777" s="1194" t="str">
        <f>IF(I777=".",".",VLOOKUP($I777,'Price List, Weapons &amp; Items'!B:J,3,0))</f>
        <v>Military equipment</v>
      </c>
      <c r="AP777" s="1195" t="str">
        <f t="shared" ca="1" si="169"/>
        <v>Tank truck</v>
      </c>
      <c r="AQ777" s="1194">
        <f>VLOOKUP($I777,'Price List, Weapons &amp; Items'!B:L,COLUMN('Price List, Weapons &amp; Items'!$L$11)-1,0)</f>
        <v>2</v>
      </c>
      <c r="AR777" s="1194">
        <f t="shared" si="176"/>
        <v>1</v>
      </c>
      <c r="AS777" s="1194">
        <f t="shared" si="177"/>
        <v>1</v>
      </c>
      <c r="AT777" s="1194">
        <f t="shared" si="178"/>
        <v>1</v>
      </c>
      <c r="AU777" s="1194" t="str">
        <f t="shared" si="179"/>
        <v>.</v>
      </c>
      <c r="AV777" s="1194" t="str">
        <f t="shared" si="170"/>
        <v>.</v>
      </c>
      <c r="AW777" s="1194" t="str">
        <f t="shared" si="180"/>
        <v>.</v>
      </c>
      <c r="AX777" s="1194">
        <f>IFERROR(VLOOKUP(B777,'Share, Heavy Weapons to Ukraine'!B:Z,COLUMN('Share, Heavy Weapons to Ukraine'!C787)-1,0),0)</f>
        <v>0</v>
      </c>
      <c r="AY777" s="1194">
        <f>VLOOKUP('Bilateral Assistance, MAIN DATA'!B777,'Country Summary (€)'!B:F,COLUMN('Country Summary (€)'!C788)-1,FALSE)</f>
        <v>0</v>
      </c>
      <c r="AZ777" s="1194">
        <f>IF(AND(AD777=1,D777="Military",H777&lt;&gt;"Not given")=TRUE,IF(SUMIFS(P:P,A:A,A777)&gt;0,ABS((SUMIFS(P:P,A:A,A777)/VLOOKUP("USD",'Exchange Rates'!B:C,2,0)))/S777,"."),".")</f>
        <v>8.0763863329652796</v>
      </c>
      <c r="BA777" s="1196">
        <f>IF(AND(AD777=1,D777="Military",H777&lt;&gt;"Not given")=TRUE,IF(SUMIFS(P:P,A:A,A777)&gt;0,IF((ABS((SUMIFS(P:P,A:A,A777)/VLOOKUP("USD",'Exchange Rates'!B:C,2,0)))/S777)&gt;1,(SUMIFS(P:P,A:A,A777)-S777)/S777,(S777-SUMIFS(P:P,A:A,A777))/SUMIFS(P:P,A:A,A777)),"."),".")</f>
        <v>7.7774166666666664</v>
      </c>
      <c r="BB777" s="1208"/>
      <c r="BC777" s="1208"/>
      <c r="BD777" s="1208"/>
      <c r="BE777" s="1208"/>
      <c r="BF777" s="1208"/>
      <c r="BG777" s="1208"/>
      <c r="BH777" s="1208"/>
      <c r="BI777" s="1208"/>
      <c r="BJ777" s="1208"/>
      <c r="BK777" s="1208"/>
      <c r="BL777" s="1208"/>
      <c r="BM777" s="1208"/>
      <c r="BN777" s="1208"/>
      <c r="BO777" s="1208"/>
      <c r="BP777" s="1208"/>
      <c r="BQ777" s="1208"/>
      <c r="BR777" s="1208"/>
      <c r="BS777" s="1208"/>
    </row>
    <row r="778" spans="1:71" ht="15.95" customHeight="1">
      <c r="A778" s="1208" t="s">
        <v>2193</v>
      </c>
      <c r="B778" s="1208" t="s">
        <v>2139</v>
      </c>
      <c r="C778" s="1209">
        <v>44675</v>
      </c>
      <c r="D778" s="1208" t="s">
        <v>544</v>
      </c>
      <c r="E778" s="1208" t="s">
        <v>481</v>
      </c>
      <c r="F778" s="1208" t="s">
        <v>2194</v>
      </c>
      <c r="G778" s="1184" t="s">
        <v>2141</v>
      </c>
      <c r="H778" s="1210">
        <v>130000000</v>
      </c>
      <c r="I778" s="1208" t="s">
        <v>364</v>
      </c>
      <c r="J778" s="1186" t="str">
        <f>VLOOKUP($I778,'Price List, Weapons &amp; Items'!B:C,2,0)</f>
        <v>.</v>
      </c>
      <c r="K778" s="1186" t="str">
        <f>IF(I778=".",I778,VLOOKUP($I778,'Price List, Weapons &amp; Items'!B:D,3,0))</f>
        <v>.</v>
      </c>
      <c r="L778" s="1187">
        <f>VLOOKUP(I778,'Price List, Weapons &amp; Items'!B:E,4,0)</f>
        <v>0</v>
      </c>
      <c r="M778" s="1241" t="s">
        <v>364</v>
      </c>
      <c r="N778" s="1211" t="s">
        <v>364</v>
      </c>
      <c r="O778" s="1188" t="str">
        <f>VLOOKUP($I778,'Price List, Weapons &amp; Items'!B:G,6,0)</f>
        <v>.</v>
      </c>
      <c r="P778" s="1185" t="str">
        <f t="shared" si="171"/>
        <v>.</v>
      </c>
      <c r="Q778" s="1185" t="str">
        <f t="shared" si="172"/>
        <v>.</v>
      </c>
      <c r="R778" s="1185">
        <f t="shared" si="168"/>
        <v>130000000</v>
      </c>
      <c r="S778" s="1185">
        <f>IF(AND(AD778=1,R778&lt;&gt;".")=TRUE,R778/VLOOKUP(G778,'Exchange Rates'!B:C,2,0),IF(R778=".",".",""))</f>
        <v>863959.59327440686</v>
      </c>
      <c r="T778" s="1185" t="str">
        <f>IF(AD778=1,IF(AF778="Value is not given at all",".",IF(AF778="Value is given by the source",S778,IF(AF778="Value is calculated with prices",(IF(SUMIFS(Q:Q,A:A,A778)&gt;0,SUMIFS(Q:Q,A:A,A778),"."))/VLOOKUP("USD",'Exchange Rates'!B:C,2,0),"Error with coding"))),"")</f>
        <v>.</v>
      </c>
      <c r="U778" s="1191" t="s">
        <v>365</v>
      </c>
      <c r="V778" s="983" t="s">
        <v>2195</v>
      </c>
      <c r="W778" s="983" t="s">
        <v>2142</v>
      </c>
      <c r="X778" s="1208" t="s">
        <v>2196</v>
      </c>
      <c r="Y778" s="1208" t="s">
        <v>2196</v>
      </c>
      <c r="Z778" s="1191">
        <v>1</v>
      </c>
      <c r="AA778" s="1191">
        <v>1</v>
      </c>
      <c r="AB778" s="1208" t="s">
        <v>364</v>
      </c>
      <c r="AC778" s="1192" t="str">
        <f>""</f>
        <v/>
      </c>
      <c r="AD778" s="1191">
        <v>1</v>
      </c>
      <c r="AE778" s="1191" t="s">
        <v>368</v>
      </c>
      <c r="AF778" s="1191" t="s">
        <v>369</v>
      </c>
      <c r="AG778" s="1191">
        <v>1</v>
      </c>
      <c r="AH778" s="1191">
        <v>4</v>
      </c>
      <c r="AI778" s="1193">
        <v>0</v>
      </c>
      <c r="AJ778" s="1193">
        <f>VLOOKUP($I778,'Price List, Weapons &amp; Items'!B:F,5,0)</f>
        <v>0</v>
      </c>
      <c r="AK778" s="1193">
        <f t="shared" si="173"/>
        <v>0</v>
      </c>
      <c r="AL778" s="1193">
        <f t="shared" si="174"/>
        <v>0</v>
      </c>
      <c r="AM778" s="1193">
        <f t="shared" si="175"/>
        <v>0</v>
      </c>
      <c r="AN778" s="1194" t="str">
        <f>VLOOKUP($I778,'Price List, Weapons &amp; Items'!B:L,COLUMN('Price List, Weapons &amp; Items'!$J$11)-1,0)</f>
        <v>.</v>
      </c>
      <c r="AO778" s="1194" t="str">
        <f>IF(I778=".",".",VLOOKUP($I778,'Price List, Weapons &amp; Items'!B:J,3,0))</f>
        <v>.</v>
      </c>
      <c r="AP778" s="1195" t="str">
        <f t="shared" ca="1" si="169"/>
        <v>.</v>
      </c>
      <c r="AQ778" s="1194">
        <f>VLOOKUP($I778,'Price List, Weapons &amp; Items'!B:L,COLUMN('Price List, Weapons &amp; Items'!$L$11)-1,0)</f>
        <v>0</v>
      </c>
      <c r="AR778" s="1194">
        <f t="shared" si="176"/>
        <v>1</v>
      </c>
      <c r="AS778" s="1194">
        <f t="shared" si="177"/>
        <v>0</v>
      </c>
      <c r="AT778" s="1194">
        <f t="shared" si="178"/>
        <v>1</v>
      </c>
      <c r="AU778" s="1194" t="str">
        <f t="shared" si="179"/>
        <v>.</v>
      </c>
      <c r="AV778" s="1194" t="str">
        <f t="shared" si="170"/>
        <v>.</v>
      </c>
      <c r="AW778" s="1194" t="str">
        <f t="shared" si="180"/>
        <v>.</v>
      </c>
      <c r="AX778" s="1194">
        <f>IFERROR(VLOOKUP(B778,'Share, Heavy Weapons to Ukraine'!B:Z,COLUMN('Share, Heavy Weapons to Ukraine'!C788)-1,0),0)</f>
        <v>0</v>
      </c>
      <c r="AY778" s="1194">
        <f>VLOOKUP('Bilateral Assistance, MAIN DATA'!B778,'Country Summary (€)'!B:F,COLUMN('Country Summary (€)'!C789)-1,FALSE)</f>
        <v>0</v>
      </c>
      <c r="AZ778" s="1194" t="str">
        <f>IF(AND(AD778=1,D778="Military",H778&lt;&gt;"Not given")=TRUE,IF(SUMIFS(P:P,A:A,A778)&gt;0,ABS((SUMIFS(P:P,A:A,A778)/VLOOKUP("USD",'Exchange Rates'!B:C,2,0)))/S778,"."),".")</f>
        <v>.</v>
      </c>
      <c r="BA778" s="1196" t="str">
        <f>IF(AND(AD778=1,D778="Military",H778&lt;&gt;"Not given")=TRUE,IF(SUMIFS(P:P,A:A,A778)&gt;0,IF((ABS((SUMIFS(P:P,A:A,A778)/VLOOKUP("USD",'Exchange Rates'!B:C,2,0)))/S778)&gt;1,(SUMIFS(P:P,A:A,A778)-S778)/S778,(S778-SUMIFS(P:P,A:A,A778))/SUMIFS(P:P,A:A,A778)),"."),".")</f>
        <v>.</v>
      </c>
      <c r="BB778" s="1208"/>
      <c r="BC778" s="1208"/>
      <c r="BD778" s="1208"/>
      <c r="BE778" s="1208"/>
      <c r="BF778" s="1208"/>
      <c r="BG778" s="1208"/>
      <c r="BH778" s="1208"/>
      <c r="BI778" s="1208"/>
      <c r="BJ778" s="1208"/>
      <c r="BK778" s="1208"/>
      <c r="BL778" s="1208"/>
      <c r="BM778" s="1208"/>
      <c r="BN778" s="1208"/>
      <c r="BO778" s="1208"/>
      <c r="BP778" s="1208"/>
      <c r="BQ778" s="1208"/>
      <c r="BR778" s="1208"/>
      <c r="BS778" s="1208"/>
    </row>
    <row r="779" spans="1:71" ht="15.95" customHeight="1">
      <c r="A779" s="1208" t="s">
        <v>2197</v>
      </c>
      <c r="B779" s="1208" t="s">
        <v>2139</v>
      </c>
      <c r="C779" s="1209">
        <v>44686</v>
      </c>
      <c r="D779" s="1208" t="s">
        <v>544</v>
      </c>
      <c r="E779" s="1208" t="s">
        <v>481</v>
      </c>
      <c r="F779" s="1208" t="s">
        <v>2198</v>
      </c>
      <c r="G779" s="1184" t="s">
        <v>2141</v>
      </c>
      <c r="H779" s="1210">
        <v>130000000</v>
      </c>
      <c r="I779" s="1208" t="s">
        <v>364</v>
      </c>
      <c r="J779" s="1186" t="str">
        <f>VLOOKUP($I779,'Price List, Weapons &amp; Items'!B:C,2,0)</f>
        <v>.</v>
      </c>
      <c r="K779" s="1186" t="str">
        <f>IF(I779=".",I779,VLOOKUP($I779,'Price List, Weapons &amp; Items'!B:D,3,0))</f>
        <v>.</v>
      </c>
      <c r="L779" s="1187">
        <f>VLOOKUP(I779,'Price List, Weapons &amp; Items'!B:E,4,0)</f>
        <v>0</v>
      </c>
      <c r="M779" s="1241" t="s">
        <v>364</v>
      </c>
      <c r="N779" s="1211" t="s">
        <v>364</v>
      </c>
      <c r="O779" s="1188" t="str">
        <f>VLOOKUP($I779,'Price List, Weapons &amp; Items'!B:G,6,0)</f>
        <v>.</v>
      </c>
      <c r="P779" s="1185" t="str">
        <f t="shared" si="171"/>
        <v>.</v>
      </c>
      <c r="Q779" s="1185" t="str">
        <f t="shared" si="172"/>
        <v>.</v>
      </c>
      <c r="R779" s="1185">
        <f t="shared" si="168"/>
        <v>130000000</v>
      </c>
      <c r="S779" s="1185">
        <f>IF(AND(AD779=1,R779&lt;&gt;".")=TRUE,R779/VLOOKUP(G779,'Exchange Rates'!B:C,2,0),IF(R779=".",".",""))</f>
        <v>863959.59327440686</v>
      </c>
      <c r="T779" s="1185" t="str">
        <f>IF(AD779=1,IF(AF779="Value is not given at all",".",IF(AF779="Value is given by the source",S779,IF(AF779="Value is calculated with prices",(IF(SUMIFS(Q:Q,A:A,A779)&gt;0,SUMIFS(Q:Q,A:A,A779),"."))/VLOOKUP("USD",'Exchange Rates'!B:C,2,0),"Error with coding"))),"")</f>
        <v>.</v>
      </c>
      <c r="U779" s="1191" t="s">
        <v>365</v>
      </c>
      <c r="V779" s="983" t="s">
        <v>2142</v>
      </c>
      <c r="W779" s="983" t="s">
        <v>364</v>
      </c>
      <c r="X779" s="1208" t="s">
        <v>364</v>
      </c>
      <c r="Y779" s="1208" t="s">
        <v>364</v>
      </c>
      <c r="Z779" s="1191">
        <v>1</v>
      </c>
      <c r="AA779" s="1191">
        <v>1</v>
      </c>
      <c r="AB779" s="1208" t="s">
        <v>364</v>
      </c>
      <c r="AC779" s="1192" t="str">
        <f>""</f>
        <v/>
      </c>
      <c r="AD779" s="1191">
        <v>1</v>
      </c>
      <c r="AE779" s="1191" t="s">
        <v>368</v>
      </c>
      <c r="AF779" s="1191" t="s">
        <v>369</v>
      </c>
      <c r="AG779" s="1191">
        <v>1</v>
      </c>
      <c r="AH779" s="1191">
        <v>5</v>
      </c>
      <c r="AI779" s="1193">
        <v>0</v>
      </c>
      <c r="AJ779" s="1193">
        <f>VLOOKUP($I779,'Price List, Weapons &amp; Items'!B:F,5,0)</f>
        <v>0</v>
      </c>
      <c r="AK779" s="1193">
        <f t="shared" si="173"/>
        <v>0</v>
      </c>
      <c r="AL779" s="1193">
        <f t="shared" si="174"/>
        <v>0</v>
      </c>
      <c r="AM779" s="1193">
        <f t="shared" si="175"/>
        <v>0</v>
      </c>
      <c r="AN779" s="1194" t="str">
        <f>VLOOKUP($I779,'Price List, Weapons &amp; Items'!B:L,COLUMN('Price List, Weapons &amp; Items'!$J$11)-1,0)</f>
        <v>.</v>
      </c>
      <c r="AO779" s="1194" t="str">
        <f>IF(I779=".",".",VLOOKUP($I779,'Price List, Weapons &amp; Items'!B:J,3,0))</f>
        <v>.</v>
      </c>
      <c r="AP779" s="1195" t="str">
        <f t="shared" ca="1" si="169"/>
        <v>.</v>
      </c>
      <c r="AQ779" s="1194">
        <f>VLOOKUP($I779,'Price List, Weapons &amp; Items'!B:L,COLUMN('Price List, Weapons &amp; Items'!$L$11)-1,0)</f>
        <v>0</v>
      </c>
      <c r="AR779" s="1194">
        <f t="shared" si="176"/>
        <v>1</v>
      </c>
      <c r="AS779" s="1194">
        <f t="shared" si="177"/>
        <v>0</v>
      </c>
      <c r="AT779" s="1194">
        <f t="shared" si="178"/>
        <v>1</v>
      </c>
      <c r="AU779" s="1194" t="str">
        <f t="shared" si="179"/>
        <v>.</v>
      </c>
      <c r="AV779" s="1194" t="str">
        <f t="shared" si="170"/>
        <v>.</v>
      </c>
      <c r="AW779" s="1194" t="str">
        <f t="shared" si="180"/>
        <v>.</v>
      </c>
      <c r="AX779" s="1194">
        <f>IFERROR(VLOOKUP(B779,'Share, Heavy Weapons to Ukraine'!B:Z,COLUMN('Share, Heavy Weapons to Ukraine'!C789)-1,0),0)</f>
        <v>0</v>
      </c>
      <c r="AY779" s="1194">
        <f>VLOOKUP('Bilateral Assistance, MAIN DATA'!B779,'Country Summary (€)'!B:F,COLUMN('Country Summary (€)'!C790)-1,FALSE)</f>
        <v>0</v>
      </c>
      <c r="AZ779" s="1194" t="str">
        <f>IF(AND(AD779=1,D779="Military",H779&lt;&gt;"Not given")=TRUE,IF(SUMIFS(P:P,A:A,A779)&gt;0,ABS((SUMIFS(P:P,A:A,A779)/VLOOKUP("USD",'Exchange Rates'!B:C,2,0)))/S779,"."),".")</f>
        <v>.</v>
      </c>
      <c r="BA779" s="1196" t="str">
        <f>IF(AND(AD779=1,D779="Military",H779&lt;&gt;"Not given")=TRUE,IF(SUMIFS(P:P,A:A,A779)&gt;0,IF((ABS((SUMIFS(P:P,A:A,A779)/VLOOKUP("USD",'Exchange Rates'!B:C,2,0)))/S779)&gt;1,(SUMIFS(P:P,A:A,A779)-S779)/S779,(S779-SUMIFS(P:P,A:A,A779))/SUMIFS(P:P,A:A,A779)),"."),".")</f>
        <v>.</v>
      </c>
      <c r="BB779" s="1208"/>
      <c r="BC779" s="1208"/>
      <c r="BD779" s="1208"/>
      <c r="BE779" s="1208"/>
      <c r="BF779" s="1208"/>
      <c r="BG779" s="1208"/>
      <c r="BH779" s="1208"/>
      <c r="BI779" s="1208"/>
      <c r="BJ779" s="1208"/>
      <c r="BK779" s="1208"/>
      <c r="BL779" s="1208"/>
      <c r="BM779" s="1208"/>
      <c r="BN779" s="1208"/>
      <c r="BO779" s="1208"/>
      <c r="BP779" s="1208"/>
      <c r="BQ779" s="1208"/>
      <c r="BR779" s="1208"/>
      <c r="BS779" s="1208"/>
    </row>
    <row r="780" spans="1:71" ht="15.95" customHeight="1">
      <c r="A780" s="1208" t="s">
        <v>2199</v>
      </c>
      <c r="B780" s="1208" t="s">
        <v>2139</v>
      </c>
      <c r="C780" s="1181" t="s">
        <v>2155</v>
      </c>
      <c r="D780" s="1208" t="s">
        <v>544</v>
      </c>
      <c r="E780" s="1208" t="s">
        <v>481</v>
      </c>
      <c r="F780" s="1208" t="s">
        <v>2200</v>
      </c>
      <c r="G780" s="1184" t="s">
        <v>2141</v>
      </c>
      <c r="H780" s="1210">
        <v>455000000</v>
      </c>
      <c r="I780" s="1208" t="s">
        <v>364</v>
      </c>
      <c r="J780" s="1186" t="str">
        <f>VLOOKUP($I780,'Price List, Weapons &amp; Items'!B:C,2,0)</f>
        <v>.</v>
      </c>
      <c r="K780" s="1186" t="str">
        <f>IF(I780=".",I780,VLOOKUP($I780,'Price List, Weapons &amp; Items'!B:D,3,0))</f>
        <v>.</v>
      </c>
      <c r="L780" s="1187">
        <f>VLOOKUP(I780,'Price List, Weapons &amp; Items'!B:E,4,0)</f>
        <v>0</v>
      </c>
      <c r="M780" s="1241" t="s">
        <v>364</v>
      </c>
      <c r="N780" s="1211" t="s">
        <v>364</v>
      </c>
      <c r="O780" s="1188" t="str">
        <f>VLOOKUP($I780,'Price List, Weapons &amp; Items'!B:G,6,0)</f>
        <v>.</v>
      </c>
      <c r="P780" s="1185" t="str">
        <f t="shared" si="171"/>
        <v>.</v>
      </c>
      <c r="Q780" s="1185" t="str">
        <f t="shared" si="172"/>
        <v>.</v>
      </c>
      <c r="R780" s="1185">
        <f t="shared" si="168"/>
        <v>455000000</v>
      </c>
      <c r="S780" s="1185">
        <f>IF(AND(AD780=1,R780&lt;&gt;".")=TRUE,R780/VLOOKUP(G780,'Exchange Rates'!B:C,2,0),IF(R780=".",".",""))</f>
        <v>3023858.5764604239</v>
      </c>
      <c r="T780" s="1185" t="str">
        <f>IF(AD780=1,IF(AF780="Value is not given at all",".",IF(AF780="Value is given by the source",S780,IF(AF780="Value is calculated with prices",(IF(SUMIFS(Q:Q,A:A,A780)&gt;0,SUMIFS(Q:Q,A:A,A780),"."))/VLOOKUP("USD",'Exchange Rates'!B:C,2,0),"Error with coding"))),"")</f>
        <v>.</v>
      </c>
      <c r="U780" s="1191" t="s">
        <v>365</v>
      </c>
      <c r="V780" s="983" t="s">
        <v>2153</v>
      </c>
      <c r="W780" s="983" t="s">
        <v>364</v>
      </c>
      <c r="X780" s="1208" t="s">
        <v>364</v>
      </c>
      <c r="Y780" s="1208" t="s">
        <v>364</v>
      </c>
      <c r="Z780" s="1191">
        <v>1</v>
      </c>
      <c r="AA780" s="1191">
        <v>1</v>
      </c>
      <c r="AB780" s="1208" t="s">
        <v>364</v>
      </c>
      <c r="AC780" s="1192" t="str">
        <f>""</f>
        <v/>
      </c>
      <c r="AD780" s="1191">
        <v>1</v>
      </c>
      <c r="AE780" s="1191" t="s">
        <v>368</v>
      </c>
      <c r="AF780" s="1191" t="s">
        <v>369</v>
      </c>
      <c r="AG780" s="1191">
        <v>1</v>
      </c>
      <c r="AH780" s="1191">
        <v>15</v>
      </c>
      <c r="AI780" s="1193">
        <v>0</v>
      </c>
      <c r="AJ780" s="1193">
        <f>VLOOKUP($I780,'Price List, Weapons &amp; Items'!B:F,5,0)</f>
        <v>0</v>
      </c>
      <c r="AK780" s="1193">
        <f t="shared" si="173"/>
        <v>0</v>
      </c>
      <c r="AL780" s="1193">
        <f t="shared" si="174"/>
        <v>0</v>
      </c>
      <c r="AM780" s="1193">
        <f t="shared" si="175"/>
        <v>0</v>
      </c>
      <c r="AN780" s="1194" t="str">
        <f>VLOOKUP($I780,'Price List, Weapons &amp; Items'!B:L,COLUMN('Price List, Weapons &amp; Items'!$J$11)-1,0)</f>
        <v>.</v>
      </c>
      <c r="AO780" s="1194" t="str">
        <f>IF(I780=".",".",VLOOKUP($I780,'Price List, Weapons &amp; Items'!B:J,3,0))</f>
        <v>.</v>
      </c>
      <c r="AP780" s="1195" t="str">
        <f t="shared" ca="1" si="169"/>
        <v>.</v>
      </c>
      <c r="AQ780" s="1194">
        <f>VLOOKUP($I780,'Price List, Weapons &amp; Items'!B:L,COLUMN('Price List, Weapons &amp; Items'!$L$11)-1,0)</f>
        <v>0</v>
      </c>
      <c r="AR780" s="1194">
        <f t="shared" si="176"/>
        <v>1</v>
      </c>
      <c r="AS780" s="1194">
        <f t="shared" si="177"/>
        <v>0</v>
      </c>
      <c r="AT780" s="1194" t="str">
        <f t="shared" si="178"/>
        <v>Value is not in date format</v>
      </c>
      <c r="AU780" s="1194" t="str">
        <f t="shared" si="179"/>
        <v>.</v>
      </c>
      <c r="AV780" s="1194" t="str">
        <f t="shared" si="170"/>
        <v>.</v>
      </c>
      <c r="AW780" s="1194" t="str">
        <f t="shared" si="180"/>
        <v>.</v>
      </c>
      <c r="AX780" s="1194">
        <f>IFERROR(VLOOKUP(B780,'Share, Heavy Weapons to Ukraine'!B:Z,COLUMN('Share, Heavy Weapons to Ukraine'!C790)-1,0),0)</f>
        <v>0</v>
      </c>
      <c r="AY780" s="1194">
        <f>VLOOKUP('Bilateral Assistance, MAIN DATA'!B780,'Country Summary (€)'!B:F,COLUMN('Country Summary (€)'!C791)-1,FALSE)</f>
        <v>0</v>
      </c>
      <c r="AZ780" s="1194" t="str">
        <f>IF(AND(AD780=1,D780="Military",H780&lt;&gt;"Not given")=TRUE,IF(SUMIFS(P:P,A:A,A780)&gt;0,ABS((SUMIFS(P:P,A:A,A780)/VLOOKUP("USD",'Exchange Rates'!B:C,2,0)))/S780,"."),".")</f>
        <v>.</v>
      </c>
      <c r="BA780" s="1196" t="str">
        <f>IF(AND(AD780=1,D780="Military",H780&lt;&gt;"Not given")=TRUE,IF(SUMIFS(P:P,A:A,A780)&gt;0,IF((ABS((SUMIFS(P:P,A:A,A780)/VLOOKUP("USD",'Exchange Rates'!B:C,2,0)))/S780)&gt;1,(SUMIFS(P:P,A:A,A780)-S780)/S780,(S780-SUMIFS(P:P,A:A,A780))/SUMIFS(P:P,A:A,A780)),"."),".")</f>
        <v>.</v>
      </c>
      <c r="BB780" s="1208"/>
      <c r="BC780" s="1208"/>
      <c r="BD780" s="1208"/>
      <c r="BE780" s="1208"/>
      <c r="BF780" s="1208"/>
      <c r="BG780" s="1208"/>
      <c r="BH780" s="1208"/>
      <c r="BI780" s="1208"/>
      <c r="BJ780" s="1208"/>
      <c r="BK780" s="1208"/>
      <c r="BL780" s="1208"/>
      <c r="BM780" s="1208"/>
      <c r="BN780" s="1208"/>
      <c r="BO780" s="1208"/>
      <c r="BP780" s="1208"/>
      <c r="BQ780" s="1208"/>
      <c r="BR780" s="1208"/>
      <c r="BS780" s="1208"/>
    </row>
    <row r="781" spans="1:71" ht="15.95" customHeight="1">
      <c r="A781" s="1208" t="s">
        <v>2201</v>
      </c>
      <c r="B781" s="1208" t="s">
        <v>2139</v>
      </c>
      <c r="C781" s="1181" t="s">
        <v>1407</v>
      </c>
      <c r="D781" s="1208" t="s">
        <v>544</v>
      </c>
      <c r="E781" s="1208" t="s">
        <v>481</v>
      </c>
      <c r="F781" s="1208" t="s">
        <v>2202</v>
      </c>
      <c r="G781" s="1184" t="s">
        <v>2141</v>
      </c>
      <c r="H781" s="1210">
        <v>700000000</v>
      </c>
      <c r="I781" s="1208" t="s">
        <v>364</v>
      </c>
      <c r="J781" s="1186" t="str">
        <f>VLOOKUP($I781,'Price List, Weapons &amp; Items'!B:C,2,0)</f>
        <v>.</v>
      </c>
      <c r="K781" s="1186" t="str">
        <f>IF(I781=".",I781,VLOOKUP($I781,'Price List, Weapons &amp; Items'!B:D,3,0))</f>
        <v>.</v>
      </c>
      <c r="L781" s="1187">
        <f>VLOOKUP(I781,'Price List, Weapons &amp; Items'!B:E,4,0)</f>
        <v>0</v>
      </c>
      <c r="M781" s="1241" t="s">
        <v>364</v>
      </c>
      <c r="N781" s="1211" t="s">
        <v>364</v>
      </c>
      <c r="O781" s="1188" t="str">
        <f>VLOOKUP($I781,'Price List, Weapons &amp; Items'!B:G,6,0)</f>
        <v>.</v>
      </c>
      <c r="P781" s="1185" t="str">
        <f t="shared" si="171"/>
        <v>.</v>
      </c>
      <c r="Q781" s="1185" t="str">
        <f t="shared" si="172"/>
        <v>.</v>
      </c>
      <c r="R781" s="1185">
        <f t="shared" si="168"/>
        <v>700000000</v>
      </c>
      <c r="S781" s="1185">
        <f>IF(AND(AD781=1,R781&lt;&gt;".")=TRUE,R781/VLOOKUP(G781,'Exchange Rates'!B:C,2,0),IF(R781=".",".",""))</f>
        <v>4652090.1176314214</v>
      </c>
      <c r="T781" s="1185" t="str">
        <f>IF(AD781=1,IF(AF781="Value is not given at all",".",IF(AF781="Value is given by the source",S781,IF(AF781="Value is calculated with prices",(IF(SUMIFS(Q:Q,A:A,A781)&gt;0,SUMIFS(Q:Q,A:A,A781),"."))/VLOOKUP("USD",'Exchange Rates'!B:C,2,0),"Error with coding"))),"")</f>
        <v>.</v>
      </c>
      <c r="U781" s="1191" t="s">
        <v>365</v>
      </c>
      <c r="V781" s="983" t="s">
        <v>2159</v>
      </c>
      <c r="W781" s="983" t="s">
        <v>364</v>
      </c>
      <c r="X781" s="1208" t="s">
        <v>364</v>
      </c>
      <c r="Y781" s="1208" t="s">
        <v>364</v>
      </c>
      <c r="Z781" s="1191">
        <v>1</v>
      </c>
      <c r="AA781" s="1191">
        <v>1</v>
      </c>
      <c r="AB781" s="1208" t="s">
        <v>364</v>
      </c>
      <c r="AC781" s="1192" t="str">
        <f>""</f>
        <v/>
      </c>
      <c r="AD781" s="1191">
        <v>1</v>
      </c>
      <c r="AE781" s="1191" t="s">
        <v>368</v>
      </c>
      <c r="AF781" s="1191" t="s">
        <v>369</v>
      </c>
      <c r="AG781" s="1191">
        <v>1</v>
      </c>
      <c r="AH781" s="1191">
        <v>17</v>
      </c>
      <c r="AI781" s="1193">
        <v>0</v>
      </c>
      <c r="AJ781" s="1193">
        <f>VLOOKUP($I781,'Price List, Weapons &amp; Items'!B:F,5,0)</f>
        <v>0</v>
      </c>
      <c r="AK781" s="1193">
        <f t="shared" si="173"/>
        <v>0</v>
      </c>
      <c r="AL781" s="1193">
        <f t="shared" si="174"/>
        <v>0</v>
      </c>
      <c r="AM781" s="1193">
        <f t="shared" si="175"/>
        <v>0</v>
      </c>
      <c r="AN781" s="1194" t="str">
        <f>VLOOKUP($I781,'Price List, Weapons &amp; Items'!B:L,COLUMN('Price List, Weapons &amp; Items'!$J$11)-1,0)</f>
        <v>.</v>
      </c>
      <c r="AO781" s="1194" t="str">
        <f>IF(I781=".",".",VLOOKUP($I781,'Price List, Weapons &amp; Items'!B:J,3,0))</f>
        <v>.</v>
      </c>
      <c r="AP781" s="1195" t="str">
        <f t="shared" ca="1" si="169"/>
        <v>.</v>
      </c>
      <c r="AQ781" s="1194">
        <f>VLOOKUP($I781,'Price List, Weapons &amp; Items'!B:L,COLUMN('Price List, Weapons &amp; Items'!$L$11)-1,0)</f>
        <v>0</v>
      </c>
      <c r="AR781" s="1194">
        <f t="shared" si="176"/>
        <v>1</v>
      </c>
      <c r="AS781" s="1194">
        <f t="shared" si="177"/>
        <v>0</v>
      </c>
      <c r="AT781" s="1194" t="str">
        <f t="shared" si="178"/>
        <v>Value is not in date format</v>
      </c>
      <c r="AU781" s="1194" t="str">
        <f t="shared" si="179"/>
        <v>.</v>
      </c>
      <c r="AV781" s="1194" t="str">
        <f t="shared" si="170"/>
        <v>.</v>
      </c>
      <c r="AW781" s="1194" t="str">
        <f t="shared" si="180"/>
        <v>.</v>
      </c>
      <c r="AX781" s="1194">
        <f>IFERROR(VLOOKUP(B781,'Share, Heavy Weapons to Ukraine'!B:Z,COLUMN('Share, Heavy Weapons to Ukraine'!C791)-1,0),0)</f>
        <v>0</v>
      </c>
      <c r="AY781" s="1194">
        <f>VLOOKUP('Bilateral Assistance, MAIN DATA'!B781,'Country Summary (€)'!B:F,COLUMN('Country Summary (€)'!C792)-1,FALSE)</f>
        <v>0</v>
      </c>
      <c r="AZ781" s="1194" t="str">
        <f>IF(AND(AD781=1,D781="Military",H781&lt;&gt;"Not given")=TRUE,IF(SUMIFS(P:P,A:A,A781)&gt;0,ABS((SUMIFS(P:P,A:A,A781)/VLOOKUP("USD",'Exchange Rates'!B:C,2,0)))/S781,"."),".")</f>
        <v>.</v>
      </c>
      <c r="BA781" s="1196" t="str">
        <f>IF(AND(AD781=1,D781="Military",H781&lt;&gt;"Not given")=TRUE,IF(SUMIFS(P:P,A:A,A781)&gt;0,IF((ABS((SUMIFS(P:P,A:A,A781)/VLOOKUP("USD",'Exchange Rates'!B:C,2,0)))/S781)&gt;1,(SUMIFS(P:P,A:A,A781)-S781)/S781,(S781-SUMIFS(P:P,A:A,A781))/SUMIFS(P:P,A:A,A781)),"."),".")</f>
        <v>.</v>
      </c>
      <c r="BB781" s="1208"/>
      <c r="BC781" s="1208"/>
      <c r="BD781" s="1208"/>
      <c r="BE781" s="1208"/>
      <c r="BF781" s="1208"/>
      <c r="BG781" s="1208"/>
      <c r="BH781" s="1208"/>
      <c r="BI781" s="1208"/>
      <c r="BJ781" s="1208"/>
      <c r="BK781" s="1208"/>
      <c r="BL781" s="1208"/>
      <c r="BM781" s="1208"/>
      <c r="BN781" s="1208"/>
      <c r="BO781" s="1208"/>
      <c r="BP781" s="1208"/>
      <c r="BQ781" s="1208"/>
      <c r="BR781" s="1208"/>
      <c r="BS781" s="1208"/>
    </row>
    <row r="782" spans="1:71" ht="15.95" customHeight="1">
      <c r="A782" s="1180" t="s">
        <v>2203</v>
      </c>
      <c r="B782" s="1180" t="s">
        <v>2204</v>
      </c>
      <c r="C782" s="1181">
        <v>44616</v>
      </c>
      <c r="D782" s="1182" t="s">
        <v>360</v>
      </c>
      <c r="E782" s="1182" t="s">
        <v>481</v>
      </c>
      <c r="F782" s="1183" t="s">
        <v>2205</v>
      </c>
      <c r="G782" s="1184" t="s">
        <v>483</v>
      </c>
      <c r="H782" s="1185">
        <v>1000000</v>
      </c>
      <c r="I782" s="1180" t="s">
        <v>364</v>
      </c>
      <c r="J782" s="1186" t="str">
        <f>VLOOKUP($I782,'Price List, Weapons &amp; Items'!B:C,2,0)</f>
        <v>.</v>
      </c>
      <c r="K782" s="1186" t="str">
        <f>IF(I782=".",I782,VLOOKUP($I782,'Price List, Weapons &amp; Items'!B:D,3,0))</f>
        <v>.</v>
      </c>
      <c r="L782" s="1187">
        <f>VLOOKUP(I782,'Price List, Weapons &amp; Items'!B:E,4,0)</f>
        <v>0</v>
      </c>
      <c r="M782" s="1188" t="s">
        <v>364</v>
      </c>
      <c r="N782" s="1188" t="s">
        <v>364</v>
      </c>
      <c r="O782" s="1188" t="str">
        <f>VLOOKUP($I782,'Price List, Weapons &amp; Items'!B:G,6,0)</f>
        <v>.</v>
      </c>
      <c r="P782" s="1185" t="str">
        <f t="shared" si="171"/>
        <v>.</v>
      </c>
      <c r="Q782" s="1185" t="str">
        <f t="shared" si="172"/>
        <v>.</v>
      </c>
      <c r="R782" s="1185">
        <f t="shared" si="168"/>
        <v>1000000</v>
      </c>
      <c r="S782" s="1185">
        <f>IF(AND(AD782=1,R782&lt;&gt;".")=TRUE,R782/VLOOKUP(G782,'Exchange Rates'!B:C,2,0),IF(R782=".",".",""))</f>
        <v>1000000</v>
      </c>
      <c r="T782" s="1185" t="str">
        <f>IF(AD782=1,IF(AF782="Value is not given at all",".",IF(AF782="Value is given by the source",S782,IF(AF782="Value is calculated with prices",(IF(SUMIFS(Q:Q,A:A,A782)&gt;0,SUMIFS(Q:Q,A:A,A782),"."))/VLOOKUP("USD",'Exchange Rates'!B:C,2,0),"Error with coding"))),"")</f>
        <v>.</v>
      </c>
      <c r="U782" s="1184" t="s">
        <v>365</v>
      </c>
      <c r="V782" s="971" t="s">
        <v>2206</v>
      </c>
      <c r="W782" s="1190" t="s">
        <v>364</v>
      </c>
      <c r="X782" s="1190" t="s">
        <v>364</v>
      </c>
      <c r="Y782" s="1190" t="s">
        <v>364</v>
      </c>
      <c r="Z782" s="1184">
        <v>1</v>
      </c>
      <c r="AA782" s="1194">
        <v>0</v>
      </c>
      <c r="AB782" s="1180" t="s">
        <v>364</v>
      </c>
      <c r="AC782" s="1192" t="str">
        <f>""</f>
        <v/>
      </c>
      <c r="AD782" s="1193">
        <v>1</v>
      </c>
      <c r="AE782" s="1193" t="s">
        <v>368</v>
      </c>
      <c r="AF782" s="1193" t="s">
        <v>369</v>
      </c>
      <c r="AG782" s="1193">
        <v>1</v>
      </c>
      <c r="AH782" s="1193">
        <v>2</v>
      </c>
      <c r="AI782" s="1193">
        <v>0</v>
      </c>
      <c r="AJ782" s="1193">
        <f>VLOOKUP($I782,'Price List, Weapons &amp; Items'!B:F,5,0)</f>
        <v>0</v>
      </c>
      <c r="AK782" s="1193">
        <f t="shared" si="173"/>
        <v>0</v>
      </c>
      <c r="AL782" s="1193">
        <f t="shared" si="174"/>
        <v>0</v>
      </c>
      <c r="AM782" s="1193">
        <f t="shared" si="175"/>
        <v>0</v>
      </c>
      <c r="AN782" s="1194" t="str">
        <f>VLOOKUP($I782,'Price List, Weapons &amp; Items'!B:L,COLUMN('Price List, Weapons &amp; Items'!$J$11)-1,0)</f>
        <v>.</v>
      </c>
      <c r="AO782" s="1194" t="str">
        <f>IF(I782=".",".",VLOOKUP($I782,'Price List, Weapons &amp; Items'!B:J,3,0))</f>
        <v>.</v>
      </c>
      <c r="AP782" s="1195" t="str">
        <f t="shared" ca="1" si="169"/>
        <v>.</v>
      </c>
      <c r="AQ782" s="1194">
        <f>VLOOKUP($I782,'Price List, Weapons &amp; Items'!B:L,COLUMN('Price List, Weapons &amp; Items'!$L$11)-1,0)</f>
        <v>0</v>
      </c>
      <c r="AR782" s="1194">
        <f t="shared" si="176"/>
        <v>1</v>
      </c>
      <c r="AS782" s="1194">
        <f t="shared" si="177"/>
        <v>0</v>
      </c>
      <c r="AT782" s="1194">
        <f t="shared" si="178"/>
        <v>1</v>
      </c>
      <c r="AU782" s="1194" t="str">
        <f t="shared" si="179"/>
        <v>.</v>
      </c>
      <c r="AV782" s="1194" t="str">
        <f t="shared" si="170"/>
        <v>.</v>
      </c>
      <c r="AW782" s="1194" t="str">
        <f t="shared" si="180"/>
        <v>.</v>
      </c>
      <c r="AX782" s="1194">
        <f>IFERROR(VLOOKUP(B782,'Share, Heavy Weapons to Ukraine'!B:Z,COLUMN('Share, Heavy Weapons to Ukraine'!C792)-1,0),0)</f>
        <v>0</v>
      </c>
      <c r="AY782" s="1194">
        <f>VLOOKUP('Bilateral Assistance, MAIN DATA'!B782,'Country Summary (€)'!B:F,COLUMN('Country Summary (€)'!C793)-1,FALSE)</f>
        <v>1</v>
      </c>
      <c r="AZ782" s="1194" t="str">
        <f>IF(AND(AD782=1,D782="Military",H782&lt;&gt;"Not given")=TRUE,IF(SUMIFS(P:P,A:A,A782)&gt;0,ABS((SUMIFS(P:P,A:A,A782)/VLOOKUP("USD",'Exchange Rates'!B:C,2,0)))/S782,"."),".")</f>
        <v>.</v>
      </c>
      <c r="BA782" s="1196" t="str">
        <f>IF(AND(AD782=1,D782="Military",H782&lt;&gt;"Not given")=TRUE,IF(SUMIFS(P:P,A:A,A782)&gt;0,IF((ABS((SUMIFS(P:P,A:A,A782)/VLOOKUP("USD",'Exchange Rates'!B:C,2,0)))/S782)&gt;1,(SUMIFS(P:P,A:A,A782)-S782)/S782,(S782-SUMIFS(P:P,A:A,A782))/SUMIFS(P:P,A:A,A782)),"."),".")</f>
        <v>.</v>
      </c>
    </row>
    <row r="783" spans="1:71" ht="15.95" customHeight="1">
      <c r="A783" s="1180" t="s">
        <v>2207</v>
      </c>
      <c r="B783" s="1180" t="s">
        <v>2204</v>
      </c>
      <c r="C783" s="1181">
        <v>44627</v>
      </c>
      <c r="D783" s="1182" t="s">
        <v>360</v>
      </c>
      <c r="E783" s="1182" t="s">
        <v>371</v>
      </c>
      <c r="F783" s="1183" t="s">
        <v>2208</v>
      </c>
      <c r="G783" s="1184" t="s">
        <v>456</v>
      </c>
      <c r="H783" s="1185" t="s">
        <v>457</v>
      </c>
      <c r="I783" s="1180" t="s">
        <v>2054</v>
      </c>
      <c r="J783" s="1186" t="str">
        <f>VLOOKUP($I783,'Price List, Weapons &amp; Items'!B:C,2,0)</f>
        <v>Humanitarian</v>
      </c>
      <c r="K783" s="1186" t="str">
        <f>IF(I783=".",I783,VLOOKUP($I783,'Price List, Weapons &amp; Items'!B:D,3,0))</f>
        <v>Humanitarian</v>
      </c>
      <c r="L783" s="1187">
        <f>VLOOKUP(I783,'Price List, Weapons &amp; Items'!B:E,4,0)</f>
        <v>0</v>
      </c>
      <c r="M783" s="1188">
        <v>20</v>
      </c>
      <c r="N783" s="1188" t="s">
        <v>374</v>
      </c>
      <c r="O783" s="1188">
        <f>VLOOKUP($I783,'Price List, Weapons &amp; Items'!B:G,6,0)</f>
        <v>10000</v>
      </c>
      <c r="P783" s="1185">
        <f t="shared" si="171"/>
        <v>200000</v>
      </c>
      <c r="Q783" s="1185" t="str">
        <f t="shared" si="172"/>
        <v>.</v>
      </c>
      <c r="R783" s="1185">
        <f t="shared" si="168"/>
        <v>200000</v>
      </c>
      <c r="S783" s="1185">
        <f>IF(AND(AD783=1,R783&lt;&gt;".")=TRUE,R783/VLOOKUP(G783,'Exchange Rates'!B:C,2,0),IF(R783=".",".",""))</f>
        <v>184026.49981597351</v>
      </c>
      <c r="T783" s="1185" t="str">
        <f>IF(AD783=1,IF(AF783="Value is not given at all",".",IF(AF783="Value is given by the source",S783,IF(AF783="Value is calculated with prices",(IF(SUMIFS(Q:Q,A:A,A783)&gt;0,SUMIFS(Q:Q,A:A,A783),"."))/VLOOKUP("USD",'Exchange Rates'!B:C,2,0),"Error with coding"))),"")</f>
        <v>.</v>
      </c>
      <c r="U783" s="1184" t="s">
        <v>365</v>
      </c>
      <c r="V783" s="971" t="s">
        <v>2209</v>
      </c>
      <c r="W783" s="1190" t="s">
        <v>364</v>
      </c>
      <c r="X783" s="1190" t="s">
        <v>364</v>
      </c>
      <c r="Y783" s="1190" t="s">
        <v>364</v>
      </c>
      <c r="Z783" s="1184">
        <v>0</v>
      </c>
      <c r="AA783" s="1194">
        <v>0</v>
      </c>
      <c r="AB783" s="1201" t="s">
        <v>364</v>
      </c>
      <c r="AC783" s="1192" t="str">
        <f>""</f>
        <v/>
      </c>
      <c r="AD783" s="985">
        <v>1</v>
      </c>
      <c r="AE783" s="985" t="s">
        <v>436</v>
      </c>
      <c r="AF783" s="985" t="s">
        <v>369</v>
      </c>
      <c r="AG783" s="985">
        <v>1</v>
      </c>
      <c r="AH783" s="1193">
        <v>3</v>
      </c>
      <c r="AI783" s="1193">
        <v>0</v>
      </c>
      <c r="AJ783" s="1193">
        <f>VLOOKUP($I783,'Price List, Weapons &amp; Items'!B:F,5,0)</f>
        <v>0</v>
      </c>
      <c r="AK783" s="1193">
        <f t="shared" si="173"/>
        <v>0</v>
      </c>
      <c r="AL783" s="1193">
        <f t="shared" si="174"/>
        <v>0</v>
      </c>
      <c r="AM783" s="1193">
        <f t="shared" si="175"/>
        <v>0</v>
      </c>
      <c r="AN783" s="1194" t="str">
        <f>VLOOKUP($I783,'Price List, Weapons &amp; Items'!B:L,COLUMN('Price List, Weapons &amp; Items'!$J$11)-1,0)</f>
        <v>Miscellaneous</v>
      </c>
      <c r="AO783" s="1194" t="str">
        <f>IF(I783=".",".",VLOOKUP($I783,'Price List, Weapons &amp; Items'!B:J,3,0))</f>
        <v>Humanitarian</v>
      </c>
      <c r="AP783" s="1195" t="str">
        <f t="shared" ca="1" si="169"/>
        <v>ton of necessity items</v>
      </c>
      <c r="AQ783" s="1194">
        <f>VLOOKUP($I783,'Price List, Weapons &amp; Items'!B:L,COLUMN('Price List, Weapons &amp; Items'!$L$11)-1,0)</f>
        <v>0</v>
      </c>
      <c r="AR783" s="1194">
        <f t="shared" si="176"/>
        <v>1</v>
      </c>
      <c r="AS783" s="1194">
        <f t="shared" si="177"/>
        <v>0</v>
      </c>
      <c r="AT783" s="1194">
        <f t="shared" si="178"/>
        <v>1</v>
      </c>
      <c r="AU783" s="1194" t="str">
        <f t="shared" si="179"/>
        <v>.</v>
      </c>
      <c r="AV783" s="1194" t="str">
        <f t="shared" si="170"/>
        <v>.</v>
      </c>
      <c r="AW783" s="1194" t="str">
        <f t="shared" si="180"/>
        <v>.</v>
      </c>
      <c r="AX783" s="1194">
        <f>IFERROR(VLOOKUP(B783,'Share, Heavy Weapons to Ukraine'!B:Z,COLUMN('Share, Heavy Weapons to Ukraine'!C793)-1,0),0)</f>
        <v>0</v>
      </c>
      <c r="AY783" s="1194">
        <f>VLOOKUP('Bilateral Assistance, MAIN DATA'!B783,'Country Summary (€)'!B:F,COLUMN('Country Summary (€)'!C794)-1,FALSE)</f>
        <v>1</v>
      </c>
      <c r="AZ783" s="1194" t="str">
        <f>IF(AND(AD783=1,D783="Military",H783&lt;&gt;"Not given")=TRUE,IF(SUMIFS(P:P,A:A,A783)&gt;0,ABS((SUMIFS(P:P,A:A,A783)/VLOOKUP("USD",'Exchange Rates'!B:C,2,0)))/S783,"."),".")</f>
        <v>.</v>
      </c>
      <c r="BA783" s="1196" t="str">
        <f>IF(AND(AD783=1,D783="Military",H783&lt;&gt;"Not given")=TRUE,IF(SUMIFS(P:P,A:A,A783)&gt;0,IF((ABS((SUMIFS(P:P,A:A,A783)/VLOOKUP("USD",'Exchange Rates'!B:C,2,0)))/S783)&gt;1,(SUMIFS(P:P,A:A,A783)-S783)/S783,(S783-SUMIFS(P:P,A:A,A783))/SUMIFS(P:P,A:A,A783)),"."),".")</f>
        <v>.</v>
      </c>
    </row>
    <row r="784" spans="1:71" ht="15.95" customHeight="1">
      <c r="A784" s="1182" t="s">
        <v>2210</v>
      </c>
      <c r="B784" s="1182" t="s">
        <v>2204</v>
      </c>
      <c r="C784" s="1181">
        <v>44634</v>
      </c>
      <c r="D784" s="1182" t="s">
        <v>360</v>
      </c>
      <c r="E784" s="1182" t="s">
        <v>371</v>
      </c>
      <c r="F784" s="1183" t="s">
        <v>2211</v>
      </c>
      <c r="G784" s="1184" t="s">
        <v>456</v>
      </c>
      <c r="H784" s="1185" t="s">
        <v>457</v>
      </c>
      <c r="I784" s="1180" t="s">
        <v>1442</v>
      </c>
      <c r="J784" s="1186" t="str">
        <f>VLOOKUP($I784,'Price List, Weapons &amp; Items'!B:C,2,0)</f>
        <v>Humanitarian</v>
      </c>
      <c r="K784" s="1186" t="str">
        <f>IF(I784=".",I784,VLOOKUP($I784,'Price List, Weapons &amp; Items'!B:D,3,0))</f>
        <v>Humanitarian</v>
      </c>
      <c r="L784" s="1187">
        <f>VLOOKUP(I784,'Price List, Weapons &amp; Items'!B:E,4,0)</f>
        <v>0</v>
      </c>
      <c r="M784" s="1188">
        <v>200</v>
      </c>
      <c r="N784" s="1188" t="s">
        <v>374</v>
      </c>
      <c r="O784" s="1188">
        <f>VLOOKUP($I784,'Price List, Weapons &amp; Items'!B:G,6,0)</f>
        <v>3000</v>
      </c>
      <c r="P784" s="1185">
        <f t="shared" si="171"/>
        <v>600000</v>
      </c>
      <c r="Q784" s="1185" t="str">
        <f t="shared" si="172"/>
        <v>.</v>
      </c>
      <c r="R784" s="1185">
        <f t="shared" si="168"/>
        <v>8267485</v>
      </c>
      <c r="S784" s="1185">
        <f>IF(AND(AD784=1,R784&lt;&gt;".")=TRUE,R784/VLOOKUP(G784,'Exchange Rates'!B:C,2,0),IF(R784=".",".",""))</f>
        <v>7607181.6341553181</v>
      </c>
      <c r="T784" s="1185" t="str">
        <f>IF(AD784=1,IF(AF784="Value is not given at all",".",IF(AF784="Value is given by the source",S784,IF(AF784="Value is calculated with prices",(IF(SUMIFS(Q:Q,A:A,A784)&gt;0,SUMIFS(Q:Q,A:A,A784),"."))/VLOOKUP("USD",'Exchange Rates'!B:C,2,0),"Error with coding"))),"")</f>
        <v>.</v>
      </c>
      <c r="U784" s="1184" t="s">
        <v>365</v>
      </c>
      <c r="V784" s="974" t="s">
        <v>2206</v>
      </c>
      <c r="W784" s="1183" t="s">
        <v>364</v>
      </c>
      <c r="X784" s="1183" t="s">
        <v>364</v>
      </c>
      <c r="Y784" s="1183" t="s">
        <v>364</v>
      </c>
      <c r="Z784" s="1184">
        <v>0</v>
      </c>
      <c r="AA784" s="1194">
        <v>0</v>
      </c>
      <c r="AB784" s="1180" t="s">
        <v>364</v>
      </c>
      <c r="AC784" s="1192" t="str">
        <f>""</f>
        <v/>
      </c>
      <c r="AD784" s="985">
        <v>1</v>
      </c>
      <c r="AE784" s="985" t="s">
        <v>436</v>
      </c>
      <c r="AF784" s="985" t="s">
        <v>369</v>
      </c>
      <c r="AG784" s="985">
        <v>1</v>
      </c>
      <c r="AH784" s="985">
        <v>3</v>
      </c>
      <c r="AI784" s="985">
        <v>0</v>
      </c>
      <c r="AJ784" s="1193">
        <f>VLOOKUP($I784,'Price List, Weapons &amp; Items'!B:F,5,0)</f>
        <v>0</v>
      </c>
      <c r="AK784" s="1193">
        <f t="shared" si="173"/>
        <v>0</v>
      </c>
      <c r="AL784" s="1193">
        <f t="shared" si="174"/>
        <v>0</v>
      </c>
      <c r="AM784" s="1193">
        <f t="shared" si="175"/>
        <v>0</v>
      </c>
      <c r="AN784" s="1194" t="str">
        <f>VLOOKUP($I784,'Price List, Weapons &amp; Items'!B:L,COLUMN('Price List, Weapons &amp; Items'!$J$11)-1,0)</f>
        <v>Online marketplaces and stores</v>
      </c>
      <c r="AO784" s="1194" t="str">
        <f>IF(I784=".",".",VLOOKUP($I784,'Price List, Weapons &amp; Items'!B:J,3,0))</f>
        <v>Humanitarian</v>
      </c>
      <c r="AP784" s="1195" t="str">
        <f t="shared" ca="1" si="169"/>
        <v>general purpose tent</v>
      </c>
      <c r="AQ784" s="1194">
        <f>VLOOKUP($I784,'Price List, Weapons &amp; Items'!B:L,COLUMN('Price List, Weapons &amp; Items'!$L$11)-1,0)</f>
        <v>0</v>
      </c>
      <c r="AR784" s="1194">
        <f t="shared" si="176"/>
        <v>1</v>
      </c>
      <c r="AS784" s="1194">
        <f t="shared" si="177"/>
        <v>0</v>
      </c>
      <c r="AT784" s="1194">
        <f t="shared" si="178"/>
        <v>1</v>
      </c>
      <c r="AU784" s="1194" t="str">
        <f t="shared" si="179"/>
        <v>.</v>
      </c>
      <c r="AV784" s="1194" t="str">
        <f t="shared" si="170"/>
        <v>.</v>
      </c>
      <c r="AW784" s="1194" t="str">
        <f t="shared" si="180"/>
        <v>.</v>
      </c>
      <c r="AX784" s="1194">
        <f>IFERROR(VLOOKUP(B784,'Share, Heavy Weapons to Ukraine'!B:Z,COLUMN('Share, Heavy Weapons to Ukraine'!C794)-1,0),0)</f>
        <v>0</v>
      </c>
      <c r="AY784" s="1194">
        <f>VLOOKUP('Bilateral Assistance, MAIN DATA'!B784,'Country Summary (€)'!B:F,COLUMN('Country Summary (€)'!C795)-1,FALSE)</f>
        <v>1</v>
      </c>
      <c r="AZ784" s="1194" t="str">
        <f>IF(AND(AD784=1,D784="Military",H784&lt;&gt;"Not given")=TRUE,IF(SUMIFS(P:P,A:A,A784)&gt;0,ABS((SUMIFS(P:P,A:A,A784)/VLOOKUP("USD",'Exchange Rates'!B:C,2,0)))/S784,"."),".")</f>
        <v>.</v>
      </c>
      <c r="BA784" s="1196" t="str">
        <f>IF(AND(AD784=1,D784="Military",H784&lt;&gt;"Not given")=TRUE,IF(SUMIFS(P:P,A:A,A784)&gt;0,IF((ABS((SUMIFS(P:P,A:A,A784)/VLOOKUP("USD",'Exchange Rates'!B:C,2,0)))/S784)&gt;1,(SUMIFS(P:P,A:A,A784)-S784)/S784,(S784-SUMIFS(P:P,A:A,A784))/SUMIFS(P:P,A:A,A784)),"."),".")</f>
        <v>.</v>
      </c>
    </row>
    <row r="785" spans="1:53" ht="15.95" customHeight="1">
      <c r="A785" s="1182" t="s">
        <v>2210</v>
      </c>
      <c r="B785" s="1182" t="s">
        <v>2204</v>
      </c>
      <c r="C785" s="1181">
        <v>44634</v>
      </c>
      <c r="D785" s="1182" t="s">
        <v>360</v>
      </c>
      <c r="E785" s="1182" t="s">
        <v>371</v>
      </c>
      <c r="F785" s="1183" t="s">
        <v>2211</v>
      </c>
      <c r="G785" s="1184" t="s">
        <v>456</v>
      </c>
      <c r="H785" s="1185" t="s">
        <v>457</v>
      </c>
      <c r="I785" s="1180" t="s">
        <v>599</v>
      </c>
      <c r="J785" s="1186" t="str">
        <f>VLOOKUP($I785,'Price List, Weapons &amp; Items'!B:C,2,0)</f>
        <v>Humanitarian</v>
      </c>
      <c r="K785" s="1186" t="str">
        <f>IF(I785=".",I785,VLOOKUP($I785,'Price List, Weapons &amp; Items'!B:D,3,0))</f>
        <v>Humanitarian</v>
      </c>
      <c r="L785" s="1187">
        <f>VLOOKUP(I785,'Price List, Weapons &amp; Items'!B:E,4,0)</f>
        <v>0</v>
      </c>
      <c r="M785" s="1188">
        <v>1000</v>
      </c>
      <c r="N785" s="1188" t="s">
        <v>374</v>
      </c>
      <c r="O785" s="1188">
        <f>VLOOKUP($I785,'Price List, Weapons &amp; Items'!B:G,6,0)</f>
        <v>200</v>
      </c>
      <c r="P785" s="1185">
        <f t="shared" si="171"/>
        <v>200000</v>
      </c>
      <c r="Q785" s="1185" t="str">
        <f t="shared" si="172"/>
        <v>.</v>
      </c>
      <c r="R785" s="1185" t="str">
        <f t="shared" si="168"/>
        <v/>
      </c>
      <c r="S785" s="1185" t="str">
        <f>IF(AND(AD785=1,R785&lt;&gt;".")=TRUE,R785/VLOOKUP(G785,'Exchange Rates'!B:C,2,0),IF(R785=".",".",""))</f>
        <v/>
      </c>
      <c r="T785" s="1185" t="str">
        <f>IF(AD785=1,IF(AF785="Value is not given at all",".",IF(AF785="Value is given by the source",S785,IF(AF785="Value is calculated with prices",(IF(SUMIFS(Q:Q,A:A,A785)&gt;0,SUMIFS(Q:Q,A:A,A785),"."))/VLOOKUP("USD",'Exchange Rates'!B:C,2,0),"Error with coding"))),"")</f>
        <v/>
      </c>
      <c r="U785" s="1184" t="s">
        <v>365</v>
      </c>
      <c r="V785" s="974" t="s">
        <v>2206</v>
      </c>
      <c r="W785" s="1183" t="s">
        <v>364</v>
      </c>
      <c r="X785" s="1183" t="s">
        <v>364</v>
      </c>
      <c r="Y785" s="1183" t="s">
        <v>364</v>
      </c>
      <c r="Z785" s="1184">
        <v>0</v>
      </c>
      <c r="AA785" s="1194">
        <v>0</v>
      </c>
      <c r="AB785" s="1180" t="s">
        <v>364</v>
      </c>
      <c r="AC785" s="1192" t="str">
        <f>""</f>
        <v/>
      </c>
      <c r="AD785" s="985">
        <v>0</v>
      </c>
      <c r="AE785" s="985" t="s">
        <v>436</v>
      </c>
      <c r="AF785" s="985" t="s">
        <v>369</v>
      </c>
      <c r="AG785" s="985">
        <v>1</v>
      </c>
      <c r="AH785" s="985">
        <v>3</v>
      </c>
      <c r="AI785" s="985">
        <v>0</v>
      </c>
      <c r="AJ785" s="1193">
        <f>VLOOKUP($I785,'Price List, Weapons &amp; Items'!B:F,5,0)</f>
        <v>0</v>
      </c>
      <c r="AK785" s="1193">
        <f t="shared" si="173"/>
        <v>0</v>
      </c>
      <c r="AL785" s="1193">
        <f t="shared" si="174"/>
        <v>0</v>
      </c>
      <c r="AM785" s="1193">
        <f t="shared" si="175"/>
        <v>0</v>
      </c>
      <c r="AN785" s="1194" t="str">
        <f>VLOOKUP($I785,'Price List, Weapons &amp; Items'!B:L,COLUMN('Price List, Weapons &amp; Items'!$J$11)-1,0)</f>
        <v>Online marketplaces and stores</v>
      </c>
      <c r="AO785" s="1194" t="str">
        <f>IF(I785=".",".",VLOOKUP($I785,'Price List, Weapons &amp; Items'!B:J,3,0))</f>
        <v>Humanitarian</v>
      </c>
      <c r="AP785" s="1195" t="str">
        <f t="shared" ca="1" si="169"/>
        <v/>
      </c>
      <c r="AQ785" s="1194">
        <f>VLOOKUP($I785,'Price List, Weapons &amp; Items'!B:L,COLUMN('Price List, Weapons &amp; Items'!$L$11)-1,0)</f>
        <v>0</v>
      </c>
      <c r="AR785" s="1194">
        <f t="shared" si="176"/>
        <v>1</v>
      </c>
      <c r="AS785" s="1194">
        <f t="shared" si="177"/>
        <v>0</v>
      </c>
      <c r="AT785" s="1194">
        <f t="shared" si="178"/>
        <v>1</v>
      </c>
      <c r="AU785" s="1194" t="str">
        <f t="shared" si="179"/>
        <v>.</v>
      </c>
      <c r="AV785" s="1194" t="str">
        <f t="shared" si="170"/>
        <v>.</v>
      </c>
      <c r="AW785" s="1194" t="str">
        <f t="shared" si="180"/>
        <v>.</v>
      </c>
      <c r="AX785" s="1194">
        <f>IFERROR(VLOOKUP(B785,'Share, Heavy Weapons to Ukraine'!B:Z,COLUMN('Share, Heavy Weapons to Ukraine'!C795)-1,0),0)</f>
        <v>0</v>
      </c>
      <c r="AY785" s="1194">
        <f>VLOOKUP('Bilateral Assistance, MAIN DATA'!B785,'Country Summary (€)'!B:F,COLUMN('Country Summary (€)'!C796)-1,FALSE)</f>
        <v>1</v>
      </c>
      <c r="AZ785" s="1194" t="str">
        <f>IF(AND(AD785=1,D785="Military",H785&lt;&gt;"Not given")=TRUE,IF(SUMIFS(P:P,A:A,A785)&gt;0,ABS((SUMIFS(P:P,A:A,A785)/VLOOKUP("USD",'Exchange Rates'!B:C,2,0)))/S785,"."),".")</f>
        <v>.</v>
      </c>
      <c r="BA785" s="1196" t="str">
        <f>IF(AND(AD785=1,D785="Military",H785&lt;&gt;"Not given")=TRUE,IF(SUMIFS(P:P,A:A,A785)&gt;0,IF((ABS((SUMIFS(P:P,A:A,A785)/VLOOKUP("USD",'Exchange Rates'!B:C,2,0)))/S785)&gt;1,(SUMIFS(P:P,A:A,A785)-S785)/S785,(S785-SUMIFS(P:P,A:A,A785))/SUMIFS(P:P,A:A,A785)),"."),".")</f>
        <v>.</v>
      </c>
    </row>
    <row r="786" spans="1:53" ht="15.95" customHeight="1">
      <c r="A786" s="1182" t="s">
        <v>2210</v>
      </c>
      <c r="B786" s="1182" t="s">
        <v>2204</v>
      </c>
      <c r="C786" s="1181">
        <v>44634</v>
      </c>
      <c r="D786" s="1182" t="s">
        <v>360</v>
      </c>
      <c r="E786" s="1182" t="s">
        <v>371</v>
      </c>
      <c r="F786" s="1183" t="s">
        <v>2211</v>
      </c>
      <c r="G786" s="1184" t="s">
        <v>456</v>
      </c>
      <c r="H786" s="1185" t="s">
        <v>457</v>
      </c>
      <c r="I786" s="1180" t="s">
        <v>471</v>
      </c>
      <c r="J786" s="1186" t="str">
        <f>VLOOKUP($I786,'Price List, Weapons &amp; Items'!B:C,2,0)</f>
        <v>Humanitarian</v>
      </c>
      <c r="K786" s="1186" t="str">
        <f>IF(I786=".",I786,VLOOKUP($I786,'Price List, Weapons &amp; Items'!B:D,3,0))</f>
        <v>Humanitarian</v>
      </c>
      <c r="L786" s="1187">
        <f>VLOOKUP(I786,'Price List, Weapons &amp; Items'!B:E,4,0)</f>
        <v>0</v>
      </c>
      <c r="M786" s="1188">
        <v>1000</v>
      </c>
      <c r="N786" s="1188" t="s">
        <v>374</v>
      </c>
      <c r="O786" s="1188">
        <f>VLOOKUP($I786,'Price List, Weapons &amp; Items'!B:G,6,0)</f>
        <v>150</v>
      </c>
      <c r="P786" s="1185">
        <f t="shared" si="171"/>
        <v>150000</v>
      </c>
      <c r="Q786" s="1185" t="str">
        <f t="shared" si="172"/>
        <v>.</v>
      </c>
      <c r="R786" s="1185" t="str">
        <f t="shared" si="168"/>
        <v/>
      </c>
      <c r="S786" s="1185" t="str">
        <f>IF(AND(AD786=1,R786&lt;&gt;".")=TRUE,R786/VLOOKUP(G786,'Exchange Rates'!B:C,2,0),IF(R786=".",".",""))</f>
        <v/>
      </c>
      <c r="T786" s="1185" t="str">
        <f>IF(AD786=1,IF(AF786="Value is not given at all",".",IF(AF786="Value is given by the source",S786,IF(AF786="Value is calculated with prices",(IF(SUMIFS(Q:Q,A:A,A786)&gt;0,SUMIFS(Q:Q,A:A,A786),"."))/VLOOKUP("USD",'Exchange Rates'!B:C,2,0),"Error with coding"))),"")</f>
        <v/>
      </c>
      <c r="U786" s="1184" t="s">
        <v>365</v>
      </c>
      <c r="V786" s="974" t="s">
        <v>2206</v>
      </c>
      <c r="W786" s="1183" t="s">
        <v>364</v>
      </c>
      <c r="X786" s="1183" t="s">
        <v>364</v>
      </c>
      <c r="Y786" s="1183" t="s">
        <v>364</v>
      </c>
      <c r="Z786" s="1184">
        <v>0</v>
      </c>
      <c r="AA786" s="1194">
        <v>0</v>
      </c>
      <c r="AB786" s="1180" t="s">
        <v>364</v>
      </c>
      <c r="AC786" s="1192" t="str">
        <f>""</f>
        <v/>
      </c>
      <c r="AD786" s="985">
        <v>0</v>
      </c>
      <c r="AE786" s="985" t="s">
        <v>436</v>
      </c>
      <c r="AF786" s="985" t="s">
        <v>369</v>
      </c>
      <c r="AG786" s="985">
        <v>1</v>
      </c>
      <c r="AH786" s="985">
        <v>3</v>
      </c>
      <c r="AI786" s="985">
        <v>0</v>
      </c>
      <c r="AJ786" s="1193">
        <f>VLOOKUP($I786,'Price List, Weapons &amp; Items'!B:F,5,0)</f>
        <v>0</v>
      </c>
      <c r="AK786" s="1193">
        <f t="shared" si="173"/>
        <v>0</v>
      </c>
      <c r="AL786" s="1193">
        <f t="shared" si="174"/>
        <v>0</v>
      </c>
      <c r="AM786" s="1193">
        <f t="shared" si="175"/>
        <v>0</v>
      </c>
      <c r="AN786" s="1194" t="str">
        <f>VLOOKUP($I786,'Price List, Weapons &amp; Items'!B:L,COLUMN('Price List, Weapons &amp; Items'!$J$11)-1,0)</f>
        <v>Miscellaneous</v>
      </c>
      <c r="AO786" s="1194" t="str">
        <f>IF(I786=".",".",VLOOKUP($I786,'Price List, Weapons &amp; Items'!B:J,3,0))</f>
        <v>Humanitarian</v>
      </c>
      <c r="AP786" s="1195" t="str">
        <f t="shared" ca="1" si="169"/>
        <v/>
      </c>
      <c r="AQ786" s="1194">
        <f>VLOOKUP($I786,'Price List, Weapons &amp; Items'!B:L,COLUMN('Price List, Weapons &amp; Items'!$L$11)-1,0)</f>
        <v>0</v>
      </c>
      <c r="AR786" s="1194">
        <f t="shared" si="176"/>
        <v>1</v>
      </c>
      <c r="AS786" s="1194">
        <f t="shared" si="177"/>
        <v>0</v>
      </c>
      <c r="AT786" s="1194">
        <f t="shared" si="178"/>
        <v>1</v>
      </c>
      <c r="AU786" s="1194" t="str">
        <f t="shared" si="179"/>
        <v>.</v>
      </c>
      <c r="AV786" s="1194" t="str">
        <f t="shared" si="170"/>
        <v>.</v>
      </c>
      <c r="AW786" s="1194" t="str">
        <f t="shared" si="180"/>
        <v>.</v>
      </c>
      <c r="AX786" s="1194">
        <f>IFERROR(VLOOKUP(B786,'Share, Heavy Weapons to Ukraine'!B:Z,COLUMN('Share, Heavy Weapons to Ukraine'!C796)-1,0),0)</f>
        <v>0</v>
      </c>
      <c r="AY786" s="1194">
        <f>VLOOKUP('Bilateral Assistance, MAIN DATA'!B786,'Country Summary (€)'!B:F,COLUMN('Country Summary (€)'!C797)-1,FALSE)</f>
        <v>1</v>
      </c>
      <c r="AZ786" s="1194" t="str">
        <f>IF(AND(AD786=1,D786="Military",H786&lt;&gt;"Not given")=TRUE,IF(SUMIFS(P:P,A:A,A786)&gt;0,ABS((SUMIFS(P:P,A:A,A786)/VLOOKUP("USD",'Exchange Rates'!B:C,2,0)))/S786,"."),".")</f>
        <v>.</v>
      </c>
      <c r="BA786" s="1196" t="str">
        <f>IF(AND(AD786=1,D786="Military",H786&lt;&gt;"Not given")=TRUE,IF(SUMIFS(P:P,A:A,A786)&gt;0,IF((ABS((SUMIFS(P:P,A:A,A786)/VLOOKUP("USD",'Exchange Rates'!B:C,2,0)))/S786)&gt;1,(SUMIFS(P:P,A:A,A786)-S786)/S786,(S786-SUMIFS(P:P,A:A,A786))/SUMIFS(P:P,A:A,A786)),"."),".")</f>
        <v>.</v>
      </c>
    </row>
    <row r="787" spans="1:53" ht="15.95" customHeight="1">
      <c r="A787" s="1182" t="s">
        <v>2210</v>
      </c>
      <c r="B787" s="1182" t="s">
        <v>2204</v>
      </c>
      <c r="C787" s="1181">
        <v>44634</v>
      </c>
      <c r="D787" s="1182" t="s">
        <v>360</v>
      </c>
      <c r="E787" s="1182" t="s">
        <v>371</v>
      </c>
      <c r="F787" s="1183" t="s">
        <v>2211</v>
      </c>
      <c r="G787" s="1184" t="s">
        <v>456</v>
      </c>
      <c r="H787" s="1185" t="s">
        <v>457</v>
      </c>
      <c r="I787" s="1180" t="s">
        <v>477</v>
      </c>
      <c r="J787" s="1186" t="str">
        <f>VLOOKUP($I787,'Price List, Weapons &amp; Items'!B:C,2,0)</f>
        <v>Humanitarian</v>
      </c>
      <c r="K787" s="1186" t="str">
        <f>IF(I787=".",I787,VLOOKUP($I787,'Price List, Weapons &amp; Items'!B:D,3,0))</f>
        <v>Humanitarian</v>
      </c>
      <c r="L787" s="1187">
        <f>VLOOKUP(I787,'Price List, Weapons &amp; Items'!B:E,4,0)</f>
        <v>0</v>
      </c>
      <c r="M787" s="1188">
        <v>23</v>
      </c>
      <c r="N787" s="1188" t="s">
        <v>374</v>
      </c>
      <c r="O787" s="1188">
        <f>VLOOKUP($I787,'Price List, Weapons &amp; Items'!B:G,6,0)</f>
        <v>317500</v>
      </c>
      <c r="P787" s="1185">
        <f t="shared" si="171"/>
        <v>7302500</v>
      </c>
      <c r="Q787" s="1185" t="str">
        <f t="shared" si="172"/>
        <v>.</v>
      </c>
      <c r="R787" s="1185" t="str">
        <f t="shared" si="168"/>
        <v/>
      </c>
      <c r="S787" s="1185" t="str">
        <f>IF(AND(AD787=1,R787&lt;&gt;".")=TRUE,R787/VLOOKUP(G787,'Exchange Rates'!B:C,2,0),IF(R787=".",".",""))</f>
        <v/>
      </c>
      <c r="T787" s="1185" t="str">
        <f>IF(AD787=1,IF(AF787="Value is not given at all",".",IF(AF787="Value is given by the source",S787,IF(AF787="Value is calculated with prices",(IF(SUMIFS(Q:Q,A:A,A787)&gt;0,SUMIFS(Q:Q,A:A,A787),"."))/VLOOKUP("USD",'Exchange Rates'!B:C,2,0),"Error with coding"))),"")</f>
        <v/>
      </c>
      <c r="U787" s="1184" t="s">
        <v>365</v>
      </c>
      <c r="V787" s="974" t="s">
        <v>2206</v>
      </c>
      <c r="W787" s="1183" t="s">
        <v>364</v>
      </c>
      <c r="X787" s="1183" t="s">
        <v>364</v>
      </c>
      <c r="Y787" s="1183" t="s">
        <v>364</v>
      </c>
      <c r="Z787" s="1184">
        <v>0</v>
      </c>
      <c r="AA787" s="1194">
        <v>0</v>
      </c>
      <c r="AB787" s="1180" t="s">
        <v>364</v>
      </c>
      <c r="AC787" s="1192" t="str">
        <f>""</f>
        <v/>
      </c>
      <c r="AD787" s="985">
        <v>0</v>
      </c>
      <c r="AE787" s="985" t="s">
        <v>436</v>
      </c>
      <c r="AF787" s="985" t="s">
        <v>369</v>
      </c>
      <c r="AG787" s="985">
        <v>1</v>
      </c>
      <c r="AH787" s="985">
        <v>3</v>
      </c>
      <c r="AI787" s="985">
        <v>0</v>
      </c>
      <c r="AJ787" s="1193">
        <f>VLOOKUP($I787,'Price List, Weapons &amp; Items'!B:F,5,0)</f>
        <v>0</v>
      </c>
      <c r="AK787" s="1193">
        <f t="shared" si="173"/>
        <v>0</v>
      </c>
      <c r="AL787" s="1193">
        <f t="shared" si="174"/>
        <v>0</v>
      </c>
      <c r="AM787" s="1193">
        <f t="shared" si="175"/>
        <v>0</v>
      </c>
      <c r="AN787" s="1194" t="str">
        <f>VLOOKUP($I787,'Price List, Weapons &amp; Items'!B:L,COLUMN('Price List, Weapons &amp; Items'!$J$11)-1,0)</f>
        <v>Media reports (incl. social media)</v>
      </c>
      <c r="AO787" s="1194" t="str">
        <f>IF(I787=".",".",VLOOKUP($I787,'Price List, Weapons &amp; Items'!B:J,3,0))</f>
        <v>Humanitarian</v>
      </c>
      <c r="AP787" s="1195" t="str">
        <f t="shared" ca="1" si="169"/>
        <v/>
      </c>
      <c r="AQ787" s="1194">
        <f>VLOOKUP($I787,'Price List, Weapons &amp; Items'!B:L,COLUMN('Price List, Weapons &amp; Items'!$L$11)-1,0)</f>
        <v>0</v>
      </c>
      <c r="AR787" s="1194">
        <f t="shared" si="176"/>
        <v>1</v>
      </c>
      <c r="AS787" s="1194">
        <f t="shared" si="177"/>
        <v>0</v>
      </c>
      <c r="AT787" s="1194">
        <f t="shared" si="178"/>
        <v>1</v>
      </c>
      <c r="AU787" s="1194" t="str">
        <f t="shared" si="179"/>
        <v>.</v>
      </c>
      <c r="AV787" s="1194" t="str">
        <f t="shared" si="170"/>
        <v>.</v>
      </c>
      <c r="AW787" s="1194" t="str">
        <f t="shared" si="180"/>
        <v>.</v>
      </c>
      <c r="AX787" s="1194">
        <f>IFERROR(VLOOKUP(B787,'Share, Heavy Weapons to Ukraine'!B:Z,COLUMN('Share, Heavy Weapons to Ukraine'!C797)-1,0),0)</f>
        <v>0</v>
      </c>
      <c r="AY787" s="1194">
        <f>VLOOKUP('Bilateral Assistance, MAIN DATA'!B787,'Country Summary (€)'!B:F,COLUMN('Country Summary (€)'!C798)-1,FALSE)</f>
        <v>1</v>
      </c>
      <c r="AZ787" s="1194" t="str">
        <f>IF(AND(AD787=1,D787="Military",H787&lt;&gt;"Not given")=TRUE,IF(SUMIFS(P:P,A:A,A787)&gt;0,ABS((SUMIFS(P:P,A:A,A787)/VLOOKUP("USD",'Exchange Rates'!B:C,2,0)))/S787,"."),".")</f>
        <v>.</v>
      </c>
      <c r="BA787" s="1196" t="str">
        <f>IF(AND(AD787=1,D787="Military",H787&lt;&gt;"Not given")=TRUE,IF(SUMIFS(P:P,A:A,A787)&gt;0,IF((ABS((SUMIFS(P:P,A:A,A787)/VLOOKUP("USD",'Exchange Rates'!B:C,2,0)))/S787)&gt;1,(SUMIFS(P:P,A:A,A787)-S787)/S787,(S787-SUMIFS(P:P,A:A,A787))/SUMIFS(P:P,A:A,A787)),"."),".")</f>
        <v>.</v>
      </c>
    </row>
    <row r="788" spans="1:53" ht="15.95" customHeight="1">
      <c r="A788" s="1182" t="s">
        <v>2210</v>
      </c>
      <c r="B788" s="1182" t="s">
        <v>2204</v>
      </c>
      <c r="C788" s="1181">
        <v>44634</v>
      </c>
      <c r="D788" s="1182" t="s">
        <v>360</v>
      </c>
      <c r="E788" s="1182" t="s">
        <v>371</v>
      </c>
      <c r="F788" s="1183" t="s">
        <v>2211</v>
      </c>
      <c r="G788" s="1184" t="s">
        <v>456</v>
      </c>
      <c r="H788" s="1185" t="s">
        <v>457</v>
      </c>
      <c r="I788" s="1180" t="s">
        <v>1440</v>
      </c>
      <c r="J788" s="1186" t="str">
        <f>VLOOKUP($I788,'Price List, Weapons &amp; Items'!B:C,2,0)</f>
        <v>Humanitarian</v>
      </c>
      <c r="K788" s="1186" t="str">
        <f>IF(I788=".",I788,VLOOKUP($I788,'Price List, Weapons &amp; Items'!B:D,3,0))</f>
        <v>Humanitarian</v>
      </c>
      <c r="L788" s="1187">
        <f>VLOOKUP(I788,'Price List, Weapons &amp; Items'!B:E,4,0)</f>
        <v>0</v>
      </c>
      <c r="M788" s="1188">
        <v>3</v>
      </c>
      <c r="N788" s="1188" t="s">
        <v>374</v>
      </c>
      <c r="O788" s="1188">
        <f>VLOOKUP($I788,'Price List, Weapons &amp; Items'!B:G,6,0)</f>
        <v>4995</v>
      </c>
      <c r="P788" s="1185">
        <f t="shared" si="171"/>
        <v>14985</v>
      </c>
      <c r="Q788" s="1185" t="str">
        <f t="shared" si="172"/>
        <v>.</v>
      </c>
      <c r="R788" s="1185" t="str">
        <f t="shared" si="168"/>
        <v/>
      </c>
      <c r="S788" s="1185" t="str">
        <f>IF(AND(AD788=1,R788&lt;&gt;".")=TRUE,R788/VLOOKUP(G788,'Exchange Rates'!B:C,2,0),IF(R788=".",".",""))</f>
        <v/>
      </c>
      <c r="T788" s="1185" t="str">
        <f>IF(AD788=1,IF(AF788="Value is not given at all",".",IF(AF788="Value is given by the source",S788,IF(AF788="Value is calculated with prices",(IF(SUMIFS(Q:Q,A:A,A788)&gt;0,SUMIFS(Q:Q,A:A,A788),"."))/VLOOKUP("USD",'Exchange Rates'!B:C,2,0),"Error with coding"))),"")</f>
        <v/>
      </c>
      <c r="U788" s="1184" t="s">
        <v>365</v>
      </c>
      <c r="V788" s="974" t="s">
        <v>2206</v>
      </c>
      <c r="W788" s="1183" t="s">
        <v>364</v>
      </c>
      <c r="X788" s="1183" t="s">
        <v>364</v>
      </c>
      <c r="Y788" s="1183" t="s">
        <v>364</v>
      </c>
      <c r="Z788" s="1184">
        <v>0</v>
      </c>
      <c r="AA788" s="1194">
        <v>0</v>
      </c>
      <c r="AB788" s="1180" t="s">
        <v>364</v>
      </c>
      <c r="AC788" s="1192" t="str">
        <f>""</f>
        <v/>
      </c>
      <c r="AD788" s="985">
        <v>0</v>
      </c>
      <c r="AE788" s="985" t="s">
        <v>436</v>
      </c>
      <c r="AF788" s="985" t="s">
        <v>369</v>
      </c>
      <c r="AG788" s="985">
        <v>1</v>
      </c>
      <c r="AH788" s="985">
        <v>3</v>
      </c>
      <c r="AI788" s="985">
        <v>0</v>
      </c>
      <c r="AJ788" s="1193">
        <f>VLOOKUP($I788,'Price List, Weapons &amp; Items'!B:F,5,0)</f>
        <v>0</v>
      </c>
      <c r="AK788" s="1193">
        <f t="shared" si="173"/>
        <v>0</v>
      </c>
      <c r="AL788" s="1193">
        <f t="shared" si="174"/>
        <v>0</v>
      </c>
      <c r="AM788" s="1193">
        <f t="shared" si="175"/>
        <v>0</v>
      </c>
      <c r="AN788" s="1194" t="str">
        <f>VLOOKUP($I788,'Price List, Weapons &amp; Items'!B:L,COLUMN('Price List, Weapons &amp; Items'!$J$11)-1,0)</f>
        <v>Online marketplaces and stores</v>
      </c>
      <c r="AO788" s="1194" t="str">
        <f>IF(I788=".",".",VLOOKUP($I788,'Price List, Weapons &amp; Items'!B:J,3,0))</f>
        <v>Humanitarian</v>
      </c>
      <c r="AP788" s="1195" t="str">
        <f t="shared" ca="1" si="169"/>
        <v/>
      </c>
      <c r="AQ788" s="1194">
        <f>VLOOKUP($I788,'Price List, Weapons &amp; Items'!B:L,COLUMN('Price List, Weapons &amp; Items'!$L$11)-1,0)</f>
        <v>0</v>
      </c>
      <c r="AR788" s="1194">
        <f t="shared" si="176"/>
        <v>1</v>
      </c>
      <c r="AS788" s="1194">
        <f t="shared" si="177"/>
        <v>0</v>
      </c>
      <c r="AT788" s="1194">
        <f t="shared" si="178"/>
        <v>1</v>
      </c>
      <c r="AU788" s="1194" t="str">
        <f t="shared" si="179"/>
        <v>.</v>
      </c>
      <c r="AV788" s="1194" t="str">
        <f t="shared" si="170"/>
        <v>.</v>
      </c>
      <c r="AW788" s="1194" t="str">
        <f t="shared" si="180"/>
        <v>.</v>
      </c>
      <c r="AX788" s="1194">
        <f>IFERROR(VLOOKUP(B788,'Share, Heavy Weapons to Ukraine'!B:Z,COLUMN('Share, Heavy Weapons to Ukraine'!C798)-1,0),0)</f>
        <v>0</v>
      </c>
      <c r="AY788" s="1194">
        <f>VLOOKUP('Bilateral Assistance, MAIN DATA'!B788,'Country Summary (€)'!B:F,COLUMN('Country Summary (€)'!C799)-1,FALSE)</f>
        <v>1</v>
      </c>
      <c r="AZ788" s="1194" t="str">
        <f>IF(AND(AD788=1,D788="Military",H788&lt;&gt;"Not given")=TRUE,IF(SUMIFS(P:P,A:A,A788)&gt;0,ABS((SUMIFS(P:P,A:A,A788)/VLOOKUP("USD",'Exchange Rates'!B:C,2,0)))/S788,"."),".")</f>
        <v>.</v>
      </c>
      <c r="BA788" s="1196" t="str">
        <f>IF(AND(AD788=1,D788="Military",H788&lt;&gt;"Not given")=TRUE,IF(SUMIFS(P:P,A:A,A788)&gt;0,IF((ABS((SUMIFS(P:P,A:A,A788)/VLOOKUP("USD",'Exchange Rates'!B:C,2,0)))/S788)&gt;1,(SUMIFS(P:P,A:A,A788)-S788)/S788,(S788-SUMIFS(P:P,A:A,A788))/SUMIFS(P:P,A:A,A788)),"."),".")</f>
        <v>.</v>
      </c>
    </row>
    <row r="789" spans="1:53" ht="15.95" customHeight="1">
      <c r="A789" s="1180" t="s">
        <v>2212</v>
      </c>
      <c r="B789" s="1180" t="s">
        <v>2204</v>
      </c>
      <c r="C789" s="1181">
        <v>44670</v>
      </c>
      <c r="D789" s="1182" t="s">
        <v>360</v>
      </c>
      <c r="E789" s="1182" t="s">
        <v>371</v>
      </c>
      <c r="F789" s="1183" t="s">
        <v>2213</v>
      </c>
      <c r="G789" s="1184" t="s">
        <v>456</v>
      </c>
      <c r="H789" s="1185" t="s">
        <v>457</v>
      </c>
      <c r="I789" s="1180" t="s">
        <v>2214</v>
      </c>
      <c r="J789" s="1186" t="str">
        <f>VLOOKUP($I789,'Price List, Weapons &amp; Items'!B:C,2,0)</f>
        <v>Humanitarian</v>
      </c>
      <c r="K789" s="1186" t="str">
        <f>IF(I789=".",I789,VLOOKUP($I789,'Price List, Weapons &amp; Items'!B:D,3,0))</f>
        <v>Humanitarian</v>
      </c>
      <c r="L789" s="1187">
        <f>VLOOKUP(I789,'Price List, Weapons &amp; Items'!B:E,4,0)</f>
        <v>0</v>
      </c>
      <c r="M789" s="1188">
        <v>45</v>
      </c>
      <c r="N789" s="1188" t="s">
        <v>374</v>
      </c>
      <c r="O789" s="1188">
        <f>VLOOKUP($I789,'Price List, Weapons &amp; Items'!B:G,6,0)</f>
        <v>400000</v>
      </c>
      <c r="P789" s="1185">
        <f t="shared" si="171"/>
        <v>18000000</v>
      </c>
      <c r="Q789" s="1185" t="str">
        <f t="shared" si="172"/>
        <v>.</v>
      </c>
      <c r="R789" s="1185">
        <f t="shared" si="168"/>
        <v>18000000</v>
      </c>
      <c r="S789" s="1185">
        <f>IF(AND(AD789=1,R789&lt;&gt;".")=TRUE,R789/VLOOKUP(G789,'Exchange Rates'!B:C,2,0),IF(R789=".",".",""))</f>
        <v>16562384.983437615</v>
      </c>
      <c r="T789" s="1185" t="str">
        <f>IF(AD789=1,IF(AF789="Value is not given at all",".",IF(AF789="Value is given by the source",S789,IF(AF789="Value is calculated with prices",(IF(SUMIFS(Q:Q,A:A,A789)&gt;0,SUMIFS(Q:Q,A:A,A789),"."))/VLOOKUP("USD",'Exchange Rates'!B:C,2,0),"Error with coding"))),"")</f>
        <v>.</v>
      </c>
      <c r="U789" s="1184" t="s">
        <v>365</v>
      </c>
      <c r="V789" s="971" t="s">
        <v>2206</v>
      </c>
      <c r="W789" s="971" t="s">
        <v>2215</v>
      </c>
      <c r="X789" s="1190" t="s">
        <v>364</v>
      </c>
      <c r="Y789" s="1190" t="s">
        <v>364</v>
      </c>
      <c r="Z789" s="1184">
        <v>0</v>
      </c>
      <c r="AA789" s="1194">
        <v>0</v>
      </c>
      <c r="AB789" s="1180" t="s">
        <v>364</v>
      </c>
      <c r="AC789" s="1192" t="str">
        <f>""</f>
        <v/>
      </c>
      <c r="AD789" s="985">
        <v>1</v>
      </c>
      <c r="AE789" s="985" t="s">
        <v>436</v>
      </c>
      <c r="AF789" s="985" t="s">
        <v>369</v>
      </c>
      <c r="AG789" s="985">
        <v>1</v>
      </c>
      <c r="AH789" s="1193">
        <v>4</v>
      </c>
      <c r="AI789" s="1193">
        <v>0</v>
      </c>
      <c r="AJ789" s="1193">
        <f>VLOOKUP($I789,'Price List, Weapons &amp; Items'!B:F,5,0)</f>
        <v>0</v>
      </c>
      <c r="AK789" s="1193">
        <f t="shared" si="173"/>
        <v>0</v>
      </c>
      <c r="AL789" s="1193">
        <f t="shared" si="174"/>
        <v>0</v>
      </c>
      <c r="AM789" s="1193">
        <f t="shared" si="175"/>
        <v>0</v>
      </c>
      <c r="AN789" s="1194" t="str">
        <f>VLOOKUP($I789,'Price List, Weapons &amp; Items'!B:L,COLUMN('Price List, Weapons &amp; Items'!$J$11)-1,0)</f>
        <v>Media reports (incl. social media)</v>
      </c>
      <c r="AO789" s="1194" t="str">
        <f>IF(I789=".",".",VLOOKUP($I789,'Price List, Weapons &amp; Items'!B:J,3,0))</f>
        <v>Humanitarian</v>
      </c>
      <c r="AP789" s="1195" t="str">
        <f t="shared" ca="1" si="169"/>
        <v>fire-vehicle</v>
      </c>
      <c r="AQ789" s="1194">
        <f>VLOOKUP($I789,'Price List, Weapons &amp; Items'!B:L,COLUMN('Price List, Weapons &amp; Items'!$L$11)-1,0)</f>
        <v>0</v>
      </c>
      <c r="AR789" s="1194">
        <f t="shared" si="176"/>
        <v>1</v>
      </c>
      <c r="AS789" s="1194">
        <f t="shared" si="177"/>
        <v>0</v>
      </c>
      <c r="AT789" s="1194">
        <f t="shared" si="178"/>
        <v>1</v>
      </c>
      <c r="AU789" s="1194" t="str">
        <f t="shared" si="179"/>
        <v>.</v>
      </c>
      <c r="AV789" s="1194" t="str">
        <f t="shared" si="170"/>
        <v>.</v>
      </c>
      <c r="AW789" s="1194" t="str">
        <f t="shared" si="180"/>
        <v>.</v>
      </c>
      <c r="AX789" s="1194">
        <f>IFERROR(VLOOKUP(B789,'Share, Heavy Weapons to Ukraine'!B:Z,COLUMN('Share, Heavy Weapons to Ukraine'!C799)-1,0),0)</f>
        <v>0</v>
      </c>
      <c r="AY789" s="1194">
        <f>VLOOKUP('Bilateral Assistance, MAIN DATA'!B789,'Country Summary (€)'!B:F,COLUMN('Country Summary (€)'!C800)-1,FALSE)</f>
        <v>1</v>
      </c>
      <c r="AZ789" s="1194" t="str">
        <f>IF(AND(AD789=1,D789="Military",H789&lt;&gt;"Not given")=TRUE,IF(SUMIFS(P:P,A:A,A789)&gt;0,ABS((SUMIFS(P:P,A:A,A789)/VLOOKUP("USD",'Exchange Rates'!B:C,2,0)))/S789,"."),".")</f>
        <v>.</v>
      </c>
      <c r="BA789" s="1196" t="str">
        <f>IF(AND(AD789=1,D789="Military",H789&lt;&gt;"Not given")=TRUE,IF(SUMIFS(P:P,A:A,A789)&gt;0,IF((ABS((SUMIFS(P:P,A:A,A789)/VLOOKUP("USD",'Exchange Rates'!B:C,2,0)))/S789)&gt;1,(SUMIFS(P:P,A:A,A789)-S789)/S789,(S789-SUMIFS(P:P,A:A,A789))/SUMIFS(P:P,A:A,A789)),"."),".")</f>
        <v>.</v>
      </c>
    </row>
    <row r="790" spans="1:53" ht="15.95" customHeight="1">
      <c r="A790" s="1180" t="s">
        <v>2216</v>
      </c>
      <c r="B790" s="1180" t="s">
        <v>2204</v>
      </c>
      <c r="C790" s="1181">
        <v>44671</v>
      </c>
      <c r="D790" s="1182" t="s">
        <v>360</v>
      </c>
      <c r="E790" s="1182" t="s">
        <v>481</v>
      </c>
      <c r="F790" s="1183" t="s">
        <v>2217</v>
      </c>
      <c r="G790" s="1184" t="s">
        <v>483</v>
      </c>
      <c r="H790" s="1185">
        <v>16000000</v>
      </c>
      <c r="I790" s="1180" t="s">
        <v>364</v>
      </c>
      <c r="J790" s="1186" t="str">
        <f>VLOOKUP($I790,'Price List, Weapons &amp; Items'!B:C,2,0)</f>
        <v>.</v>
      </c>
      <c r="K790" s="1186" t="str">
        <f>IF(I790=".",I790,VLOOKUP($I790,'Price List, Weapons &amp; Items'!B:D,3,0))</f>
        <v>.</v>
      </c>
      <c r="L790" s="1187">
        <f>VLOOKUP(I790,'Price List, Weapons &amp; Items'!B:E,4,0)</f>
        <v>0</v>
      </c>
      <c r="M790" s="1188" t="s">
        <v>364</v>
      </c>
      <c r="N790" s="1188" t="s">
        <v>364</v>
      </c>
      <c r="O790" s="1188" t="str">
        <f>VLOOKUP($I790,'Price List, Weapons &amp; Items'!B:G,6,0)</f>
        <v>.</v>
      </c>
      <c r="P790" s="1185" t="str">
        <f t="shared" si="171"/>
        <v>.</v>
      </c>
      <c r="Q790" s="1185" t="str">
        <f t="shared" si="172"/>
        <v>.</v>
      </c>
      <c r="R790" s="1185">
        <f t="shared" si="168"/>
        <v>16000000</v>
      </c>
      <c r="S790" s="1185">
        <f>IF(AND(AD790=1,R790&lt;&gt;".")=TRUE,R790/VLOOKUP(G790,'Exchange Rates'!B:C,2,0),IF(R790=".",".",""))</f>
        <v>16000000</v>
      </c>
      <c r="T790" s="1185" t="str">
        <f>IF(AD790=1,IF(AF790="Value is not given at all",".",IF(AF790="Value is given by the source",S790,IF(AF790="Value is calculated with prices",(IF(SUMIFS(Q:Q,A:A,A790)&gt;0,SUMIFS(Q:Q,A:A,A790),"."))/VLOOKUP("USD",'Exchange Rates'!B:C,2,0),"Error with coding"))),"")</f>
        <v>.</v>
      </c>
      <c r="U790" s="1184" t="s">
        <v>365</v>
      </c>
      <c r="V790" s="980" t="s">
        <v>2218</v>
      </c>
      <c r="W790" s="971" t="s">
        <v>2219</v>
      </c>
      <c r="X790" s="1190" t="s">
        <v>364</v>
      </c>
      <c r="Y790" s="1190" t="s">
        <v>364</v>
      </c>
      <c r="Z790" s="1184">
        <v>0</v>
      </c>
      <c r="AA790" s="1194">
        <v>0</v>
      </c>
      <c r="AB790" s="1180" t="s">
        <v>364</v>
      </c>
      <c r="AC790" s="1192" t="str">
        <f>""</f>
        <v/>
      </c>
      <c r="AD790" s="985">
        <v>1</v>
      </c>
      <c r="AE790" s="985" t="s">
        <v>368</v>
      </c>
      <c r="AF790" s="985" t="s">
        <v>369</v>
      </c>
      <c r="AG790" s="985">
        <v>1</v>
      </c>
      <c r="AH790" s="1193">
        <v>4</v>
      </c>
      <c r="AI790" s="1193">
        <v>0</v>
      </c>
      <c r="AJ790" s="1193">
        <f>VLOOKUP($I790,'Price List, Weapons &amp; Items'!B:F,5,0)</f>
        <v>0</v>
      </c>
      <c r="AK790" s="1193">
        <f t="shared" si="173"/>
        <v>0</v>
      </c>
      <c r="AL790" s="1193">
        <f t="shared" si="174"/>
        <v>0</v>
      </c>
      <c r="AM790" s="1193">
        <f t="shared" si="175"/>
        <v>0</v>
      </c>
      <c r="AN790" s="1194" t="str">
        <f>VLOOKUP($I790,'Price List, Weapons &amp; Items'!B:L,COLUMN('Price List, Weapons &amp; Items'!$J$11)-1,0)</f>
        <v>.</v>
      </c>
      <c r="AO790" s="1194" t="str">
        <f>IF(I790=".",".",VLOOKUP($I790,'Price List, Weapons &amp; Items'!B:J,3,0))</f>
        <v>.</v>
      </c>
      <c r="AP790" s="1195" t="str">
        <f t="shared" ca="1" si="169"/>
        <v>.</v>
      </c>
      <c r="AQ790" s="1194">
        <f>VLOOKUP($I790,'Price List, Weapons &amp; Items'!B:L,COLUMN('Price List, Weapons &amp; Items'!$L$11)-1,0)</f>
        <v>0</v>
      </c>
      <c r="AR790" s="1194">
        <f t="shared" si="176"/>
        <v>1</v>
      </c>
      <c r="AS790" s="1194">
        <f t="shared" si="177"/>
        <v>0</v>
      </c>
      <c r="AT790" s="1194">
        <f t="shared" si="178"/>
        <v>1</v>
      </c>
      <c r="AU790" s="1194" t="str">
        <f t="shared" si="179"/>
        <v>.</v>
      </c>
      <c r="AV790" s="1194" t="str">
        <f t="shared" si="170"/>
        <v>.</v>
      </c>
      <c r="AW790" s="1194" t="str">
        <f t="shared" si="180"/>
        <v>.</v>
      </c>
      <c r="AX790" s="1194">
        <f>IFERROR(VLOOKUP(B790,'Share, Heavy Weapons to Ukraine'!B:Z,COLUMN('Share, Heavy Weapons to Ukraine'!C800)-1,0),0)</f>
        <v>0</v>
      </c>
      <c r="AY790" s="1194">
        <f>VLOOKUP('Bilateral Assistance, MAIN DATA'!B790,'Country Summary (€)'!B:F,COLUMN('Country Summary (€)'!C801)-1,FALSE)</f>
        <v>1</v>
      </c>
      <c r="AZ790" s="1194" t="str">
        <f>IF(AND(AD790=1,D790="Military",H790&lt;&gt;"Not given")=TRUE,IF(SUMIFS(P:P,A:A,A790)&gt;0,ABS((SUMIFS(P:P,A:A,A790)/VLOOKUP("USD",'Exchange Rates'!B:C,2,0)))/S790,"."),".")</f>
        <v>.</v>
      </c>
      <c r="BA790" s="1196" t="str">
        <f>IF(AND(AD790=1,D790="Military",H790&lt;&gt;"Not given")=TRUE,IF(SUMIFS(P:P,A:A,A790)&gt;0,IF((ABS((SUMIFS(P:P,A:A,A790)/VLOOKUP("USD",'Exchange Rates'!B:C,2,0)))/S790)&gt;1,(SUMIFS(P:P,A:A,A790)-S790)/S790,(S790-SUMIFS(P:P,A:A,A790))/SUMIFS(P:P,A:A,A790)),"."),".")</f>
        <v>.</v>
      </c>
    </row>
    <row r="791" spans="1:53" ht="15.95" customHeight="1">
      <c r="A791" s="1180" t="s">
        <v>2220</v>
      </c>
      <c r="B791" s="1180" t="s">
        <v>2204</v>
      </c>
      <c r="C791" s="1181">
        <v>44908</v>
      </c>
      <c r="D791" s="1182" t="s">
        <v>360</v>
      </c>
      <c r="E791" s="1182" t="s">
        <v>361</v>
      </c>
      <c r="F791" s="1183" t="s">
        <v>2221</v>
      </c>
      <c r="G791" s="1184" t="s">
        <v>483</v>
      </c>
      <c r="H791" s="1185">
        <v>10000000</v>
      </c>
      <c r="I791" s="1180" t="s">
        <v>364</v>
      </c>
      <c r="J791" s="1186" t="str">
        <f>VLOOKUP($I791,'Price List, Weapons &amp; Items'!B:C,2,0)</f>
        <v>.</v>
      </c>
      <c r="K791" s="1186" t="str">
        <f>IF(I791=".",I791,VLOOKUP($I791,'Price List, Weapons &amp; Items'!B:D,3,0))</f>
        <v>.</v>
      </c>
      <c r="L791" s="1187">
        <f>VLOOKUP(I791,'Price List, Weapons &amp; Items'!B:E,4,0)</f>
        <v>0</v>
      </c>
      <c r="M791" s="1188" t="s">
        <v>364</v>
      </c>
      <c r="N791" s="1188" t="s">
        <v>364</v>
      </c>
      <c r="O791" s="1188" t="str">
        <f>VLOOKUP($I791,'Price List, Weapons &amp; Items'!B:G,6,0)</f>
        <v>.</v>
      </c>
      <c r="P791" s="1185" t="str">
        <f t="shared" si="171"/>
        <v>.</v>
      </c>
      <c r="Q791" s="1185" t="str">
        <f t="shared" si="172"/>
        <v>.</v>
      </c>
      <c r="R791" s="1185">
        <f t="shared" si="168"/>
        <v>10000000</v>
      </c>
      <c r="S791" s="1185">
        <f>IF(AND(AD791=1,R791&lt;&gt;".")=TRUE,R791/VLOOKUP(G791,'Exchange Rates'!B:C,2,0),IF(R791=".",".",""))</f>
        <v>10000000</v>
      </c>
      <c r="T791" s="1185" t="str">
        <f>IF(AD791=1,IF(AF791="Value is not given at all",".",IF(AF791="Value is given by the source",S791,IF(AF791="Value is calculated with prices",(IF(SUMIFS(Q:Q,A:A,A791)&gt;0,SUMIFS(Q:Q,A:A,A791),"."))/VLOOKUP("USD",'Exchange Rates'!B:C,2,0),"Error with coding"))),"")</f>
        <v>.</v>
      </c>
      <c r="U791" s="1184" t="s">
        <v>365</v>
      </c>
      <c r="V791" s="973" t="s">
        <v>2222</v>
      </c>
      <c r="W791" s="980" t="s">
        <v>2223</v>
      </c>
      <c r="X791" s="980" t="s">
        <v>2224</v>
      </c>
      <c r="Y791" s="1190" t="s">
        <v>364</v>
      </c>
      <c r="Z791" s="1184">
        <v>0</v>
      </c>
      <c r="AA791" s="1184">
        <v>0</v>
      </c>
      <c r="AB791" s="1180" t="s">
        <v>364</v>
      </c>
      <c r="AC791" s="1192" t="str">
        <f>""</f>
        <v/>
      </c>
      <c r="AD791" s="985">
        <v>1</v>
      </c>
      <c r="AE791" s="985" t="s">
        <v>368</v>
      </c>
      <c r="AF791" s="985" t="s">
        <v>369</v>
      </c>
      <c r="AG791" s="985">
        <v>1</v>
      </c>
      <c r="AH791" s="1193">
        <v>12</v>
      </c>
      <c r="AI791" s="1193">
        <v>0</v>
      </c>
      <c r="AJ791" s="1193">
        <f>VLOOKUP($I791,'Price List, Weapons &amp; Items'!B:F,5,0)</f>
        <v>0</v>
      </c>
      <c r="AK791" s="1193">
        <f t="shared" si="173"/>
        <v>0</v>
      </c>
      <c r="AL791" s="1193">
        <f t="shared" si="174"/>
        <v>0</v>
      </c>
      <c r="AM791" s="1193">
        <f t="shared" si="175"/>
        <v>0</v>
      </c>
      <c r="AN791" s="1194" t="str">
        <f>VLOOKUP($I791,'Price List, Weapons &amp; Items'!B:L,COLUMN('Price List, Weapons &amp; Items'!$J$11)-1,0)</f>
        <v>.</v>
      </c>
      <c r="AO791" s="1194" t="str">
        <f>IF(I791=".",".",VLOOKUP($I791,'Price List, Weapons &amp; Items'!B:J,3,0))</f>
        <v>.</v>
      </c>
      <c r="AP791" s="1195" t="str">
        <f t="shared" ca="1" si="169"/>
        <v>.</v>
      </c>
      <c r="AQ791" s="1194">
        <f>VLOOKUP($I791,'Price List, Weapons &amp; Items'!B:L,COLUMN('Price List, Weapons &amp; Items'!$L$11)-1,0)</f>
        <v>0</v>
      </c>
      <c r="AR791" s="1194">
        <f t="shared" si="176"/>
        <v>1</v>
      </c>
      <c r="AS791" s="1194">
        <f t="shared" si="177"/>
        <v>0</v>
      </c>
      <c r="AT791" s="1194">
        <f t="shared" si="178"/>
        <v>1</v>
      </c>
      <c r="AU791" s="1194" t="str">
        <f t="shared" si="179"/>
        <v>.</v>
      </c>
      <c r="AV791" s="1194" t="str">
        <f t="shared" si="170"/>
        <v>.</v>
      </c>
      <c r="AW791" s="1194" t="str">
        <f t="shared" si="180"/>
        <v>.</v>
      </c>
      <c r="AX791" s="1194">
        <f>IFERROR(VLOOKUP(B791,'Share, Heavy Weapons to Ukraine'!B:Z,COLUMN('Share, Heavy Weapons to Ukraine'!C801)-1,0),0)</f>
        <v>0</v>
      </c>
      <c r="AY791" s="1194">
        <f>VLOOKUP('Bilateral Assistance, MAIN DATA'!B791,'Country Summary (€)'!B:F,COLUMN('Country Summary (€)'!C802)-1,FALSE)</f>
        <v>1</v>
      </c>
      <c r="AZ791" s="1194" t="str">
        <f>IF(AND(AD791=1,D791="Military",H791&lt;&gt;"Not given")=TRUE,IF(SUMIFS(P:P,A:A,A791)&gt;0,ABS((SUMIFS(P:P,A:A,A791)/VLOOKUP("USD",'Exchange Rates'!B:C,2,0)))/S791,"."),".")</f>
        <v>.</v>
      </c>
      <c r="BA791" s="1196" t="str">
        <f>IF(AND(AD791=1,D791="Military",H791&lt;&gt;"Not given")=TRUE,IF(SUMIFS(P:P,A:A,A791)&gt;0,IF((ABS((SUMIFS(P:P,A:A,A791)/VLOOKUP("USD",'Exchange Rates'!B:C,2,0)))/S791)&gt;1,(SUMIFS(P:P,A:A,A791)-S791)/S791,(S791-SUMIFS(P:P,A:A,A791))/SUMIFS(P:P,A:A,A791)),"."),".")</f>
        <v>.</v>
      </c>
    </row>
    <row r="792" spans="1:53" ht="15.95" customHeight="1">
      <c r="A792" s="1180" t="s">
        <v>2225</v>
      </c>
      <c r="B792" s="1180" t="s">
        <v>2204</v>
      </c>
      <c r="C792" s="1181">
        <v>44937</v>
      </c>
      <c r="D792" s="1182" t="s">
        <v>360</v>
      </c>
      <c r="E792" s="1182" t="s">
        <v>361</v>
      </c>
      <c r="F792" s="1183" t="s">
        <v>2226</v>
      </c>
      <c r="G792" s="1184" t="s">
        <v>364</v>
      </c>
      <c r="H792" s="1185" t="s">
        <v>457</v>
      </c>
      <c r="I792" s="1180" t="s">
        <v>364</v>
      </c>
      <c r="J792" s="1186" t="str">
        <f>VLOOKUP($I792,'Price List, Weapons &amp; Items'!B:C,2,0)</f>
        <v>.</v>
      </c>
      <c r="K792" s="1186" t="str">
        <f>IF(I792=".",I792,VLOOKUP($I792,'Price List, Weapons &amp; Items'!B:D,3,0))</f>
        <v>.</v>
      </c>
      <c r="L792" s="1187">
        <f>VLOOKUP(I792,'Price List, Weapons &amp; Items'!B:E,4,0)</f>
        <v>0</v>
      </c>
      <c r="M792" s="1188" t="s">
        <v>364</v>
      </c>
      <c r="N792" s="1188" t="s">
        <v>364</v>
      </c>
      <c r="O792" s="1188" t="str">
        <f>VLOOKUP($I792,'Price List, Weapons &amp; Items'!B:G,6,0)</f>
        <v>.</v>
      </c>
      <c r="P792" s="1185" t="str">
        <f t="shared" si="171"/>
        <v>.</v>
      </c>
      <c r="Q792" s="1185" t="str">
        <f t="shared" si="172"/>
        <v>.</v>
      </c>
      <c r="R792" s="1185" t="str">
        <f t="shared" si="168"/>
        <v>.</v>
      </c>
      <c r="S792" s="1185" t="str">
        <f>IF(AND(AD792=1,R792&lt;&gt;".")=TRUE,R792/VLOOKUP(G792,'Exchange Rates'!B:C,2,0),IF(R792=".",".",""))</f>
        <v>.</v>
      </c>
      <c r="T792" s="1185" t="str">
        <f>IF(AD792=1,IF(AF792="Value is not given at all",".",IF(AF792="Value is given by the source",S792,IF(AF792="Value is calculated with prices",(IF(SUMIFS(Q:Q,A:A,A792)&gt;0,SUMIFS(Q:Q,A:A,A792),"."))/VLOOKUP("USD",'Exchange Rates'!B:C,2,0),"Error with coding"))),"")</f>
        <v>.</v>
      </c>
      <c r="U792" s="1184" t="s">
        <v>675</v>
      </c>
      <c r="V792" s="971" t="s">
        <v>2227</v>
      </c>
      <c r="W792" s="972" t="s">
        <v>2228</v>
      </c>
      <c r="X792" s="1190" t="s">
        <v>364</v>
      </c>
      <c r="Y792" s="1190" t="s">
        <v>364</v>
      </c>
      <c r="Z792" s="1184">
        <v>0</v>
      </c>
      <c r="AA792" s="1184">
        <v>0</v>
      </c>
      <c r="AB792" s="1180" t="s">
        <v>364</v>
      </c>
      <c r="AC792" s="1192" t="str">
        <f>""</f>
        <v/>
      </c>
      <c r="AD792" s="985">
        <v>1</v>
      </c>
      <c r="AE792" s="985" t="s">
        <v>369</v>
      </c>
      <c r="AF792" s="985" t="s">
        <v>369</v>
      </c>
      <c r="AG792" s="985">
        <v>1</v>
      </c>
      <c r="AH792" s="1193">
        <v>13</v>
      </c>
      <c r="AI792" s="1193">
        <v>0</v>
      </c>
      <c r="AJ792" s="1193">
        <f>VLOOKUP($I792,'Price List, Weapons &amp; Items'!B:F,5,0)</f>
        <v>0</v>
      </c>
      <c r="AK792" s="1193">
        <f t="shared" si="173"/>
        <v>0</v>
      </c>
      <c r="AL792" s="1193">
        <f t="shared" si="174"/>
        <v>0</v>
      </c>
      <c r="AM792" s="1193">
        <f t="shared" si="175"/>
        <v>0</v>
      </c>
      <c r="AN792" s="1194" t="str">
        <f>VLOOKUP($I792,'Price List, Weapons &amp; Items'!B:L,COLUMN('Price List, Weapons &amp; Items'!$J$11)-1,0)</f>
        <v>.</v>
      </c>
      <c r="AO792" s="1194" t="str">
        <f>IF(I792=".",".",VLOOKUP($I792,'Price List, Weapons &amp; Items'!B:J,3,0))</f>
        <v>.</v>
      </c>
      <c r="AP792" s="1195" t="str">
        <f t="shared" ca="1" si="169"/>
        <v>.</v>
      </c>
      <c r="AQ792" s="1194">
        <f>VLOOKUP($I792,'Price List, Weapons &amp; Items'!B:L,COLUMN('Price List, Weapons &amp; Items'!$L$11)-1,0)</f>
        <v>0</v>
      </c>
      <c r="AR792" s="1194">
        <f t="shared" si="176"/>
        <v>0</v>
      </c>
      <c r="AS792" s="1194">
        <f t="shared" si="177"/>
        <v>0</v>
      </c>
      <c r="AT792" s="1194">
        <f t="shared" si="178"/>
        <v>1</v>
      </c>
      <c r="AU792" s="1194" t="str">
        <f t="shared" si="179"/>
        <v>.</v>
      </c>
      <c r="AV792" s="1194" t="str">
        <f t="shared" si="170"/>
        <v>.</v>
      </c>
      <c r="AW792" s="1194" t="str">
        <f t="shared" si="180"/>
        <v>.</v>
      </c>
      <c r="AX792" s="1194">
        <f>IFERROR(VLOOKUP(B792,'Share, Heavy Weapons to Ukraine'!B:Z,COLUMN('Share, Heavy Weapons to Ukraine'!C802)-1,0),0)</f>
        <v>0</v>
      </c>
      <c r="AY792" s="1194">
        <f>VLOOKUP('Bilateral Assistance, MAIN DATA'!B792,'Country Summary (€)'!B:F,COLUMN('Country Summary (€)'!C803)-1,FALSE)</f>
        <v>1</v>
      </c>
      <c r="AZ792" s="1194" t="str">
        <f>IF(AND(AD792=1,D792="Military",H792&lt;&gt;"Not given")=TRUE,IF(SUMIFS(P:P,A:A,A792)&gt;0,ABS((SUMIFS(P:P,A:A,A792)/VLOOKUP("USD",'Exchange Rates'!B:C,2,0)))/S792,"."),".")</f>
        <v>.</v>
      </c>
      <c r="BA792" s="1196" t="str">
        <f>IF(AND(AD792=1,D792="Military",H792&lt;&gt;"Not given")=TRUE,IF(SUMIFS(P:P,A:A,A792)&gt;0,IF((ABS((SUMIFS(P:P,A:A,A792)/VLOOKUP("USD",'Exchange Rates'!B:C,2,0)))/S792)&gt;1,(SUMIFS(P:P,A:A,A792)-S792)/S792,(S792-SUMIFS(P:P,A:A,A792))/SUMIFS(P:P,A:A,A792)),"."),".")</f>
        <v>.</v>
      </c>
    </row>
    <row r="793" spans="1:53" ht="15.95" customHeight="1">
      <c r="A793" s="1180" t="s">
        <v>2229</v>
      </c>
      <c r="B793" s="1180" t="s">
        <v>2204</v>
      </c>
      <c r="C793" s="1181">
        <v>45042</v>
      </c>
      <c r="D793" s="1182" t="s">
        <v>360</v>
      </c>
      <c r="E793" s="1182" t="s">
        <v>361</v>
      </c>
      <c r="F793" s="1183" t="s">
        <v>2230</v>
      </c>
      <c r="G793" s="1184" t="s">
        <v>483</v>
      </c>
      <c r="H793" s="1185">
        <v>160000000</v>
      </c>
      <c r="I793" s="1180" t="s">
        <v>364</v>
      </c>
      <c r="J793" s="1186" t="str">
        <f>VLOOKUP($I793,'Price List, Weapons &amp; Items'!B:C,2,0)</f>
        <v>.</v>
      </c>
      <c r="K793" s="1186" t="str">
        <f>IF(I793=".",I793,VLOOKUP($I793,'Price List, Weapons &amp; Items'!B:D,3,0))</f>
        <v>.</v>
      </c>
      <c r="L793" s="1187">
        <f>VLOOKUP(I793,'Price List, Weapons &amp; Items'!B:E,4,0)</f>
        <v>0</v>
      </c>
      <c r="M793" s="1188" t="s">
        <v>364</v>
      </c>
      <c r="N793" s="1188" t="s">
        <v>364</v>
      </c>
      <c r="O793" s="1188" t="str">
        <f>VLOOKUP($I793,'Price List, Weapons &amp; Items'!B:G,6,0)</f>
        <v>.</v>
      </c>
      <c r="P793" s="1185" t="str">
        <f t="shared" si="171"/>
        <v>.</v>
      </c>
      <c r="Q793" s="1185" t="str">
        <f t="shared" si="172"/>
        <v>.</v>
      </c>
      <c r="R793" s="1185">
        <f t="shared" si="168"/>
        <v>160000000</v>
      </c>
      <c r="S793" s="1185">
        <f>IF(AND(AD793=1,R793&lt;&gt;".")=TRUE,R793/VLOOKUP(G793,'Exchange Rates'!B:C,2,0),IF(R793=".",".",""))</f>
        <v>160000000</v>
      </c>
      <c r="T793" s="1185" t="str">
        <f>IF(AD793=1,IF(AF793="Value is not given at all",".",IF(AF793="Value is given by the source",S793,IF(AF793="Value is calculated with prices",(IF(SUMIFS(Q:Q,A:A,A793)&gt;0,SUMIFS(Q:Q,A:A,A793),"."))/VLOOKUP("USD",'Exchange Rates'!B:C,2,0),"Error with coding"))),"")</f>
        <v>.</v>
      </c>
      <c r="U793" s="1184" t="s">
        <v>365</v>
      </c>
      <c r="V793" s="1003" t="s">
        <v>2231</v>
      </c>
      <c r="W793" s="1003" t="s">
        <v>2232</v>
      </c>
      <c r="X793" s="1190" t="s">
        <v>364</v>
      </c>
      <c r="Y793" s="1190" t="s">
        <v>364</v>
      </c>
      <c r="Z793" s="1184">
        <v>0</v>
      </c>
      <c r="AA793" s="1184">
        <v>1</v>
      </c>
      <c r="AB793" s="1180" t="s">
        <v>364</v>
      </c>
      <c r="AC793" s="1192" t="str">
        <f>""</f>
        <v/>
      </c>
      <c r="AD793" s="985">
        <v>1</v>
      </c>
      <c r="AE793" s="985" t="s">
        <v>368</v>
      </c>
      <c r="AF793" s="985" t="s">
        <v>369</v>
      </c>
      <c r="AG793" s="985">
        <v>1</v>
      </c>
      <c r="AH793" s="1193">
        <v>16</v>
      </c>
      <c r="AI793" s="1193">
        <v>0</v>
      </c>
      <c r="AJ793" s="1193">
        <f>VLOOKUP($I793,'Price List, Weapons &amp; Items'!B:F,5,0)</f>
        <v>0</v>
      </c>
      <c r="AK793" s="1193">
        <f t="shared" si="173"/>
        <v>0</v>
      </c>
      <c r="AL793" s="1193">
        <f t="shared" si="174"/>
        <v>0</v>
      </c>
      <c r="AM793" s="1193">
        <f t="shared" si="175"/>
        <v>0</v>
      </c>
      <c r="AN793" s="1194" t="str">
        <f>VLOOKUP($I793,'Price List, Weapons &amp; Items'!B:L,COLUMN('Price List, Weapons &amp; Items'!$J$11)-1,0)</f>
        <v>.</v>
      </c>
      <c r="AO793" s="1194" t="str">
        <f>IF(I793=".",".",VLOOKUP($I793,'Price List, Weapons &amp; Items'!B:J,3,0))</f>
        <v>.</v>
      </c>
      <c r="AP793" s="1195" t="str">
        <f t="shared" ca="1" si="169"/>
        <v>.</v>
      </c>
      <c r="AQ793" s="1194">
        <f>VLOOKUP($I793,'Price List, Weapons &amp; Items'!B:L,COLUMN('Price List, Weapons &amp; Items'!$L$11)-1,0)</f>
        <v>0</v>
      </c>
      <c r="AR793" s="1194">
        <f t="shared" si="176"/>
        <v>1</v>
      </c>
      <c r="AS793" s="1194">
        <f t="shared" si="177"/>
        <v>0</v>
      </c>
      <c r="AT793" s="1194">
        <f t="shared" si="178"/>
        <v>1</v>
      </c>
      <c r="AU793" s="1194" t="str">
        <f t="shared" si="179"/>
        <v>.</v>
      </c>
      <c r="AV793" s="1194" t="str">
        <f t="shared" si="170"/>
        <v>.</v>
      </c>
      <c r="AW793" s="1194" t="str">
        <f t="shared" si="180"/>
        <v>.</v>
      </c>
      <c r="AX793" s="1194">
        <f>IFERROR(VLOOKUP(B793,'Share, Heavy Weapons to Ukraine'!B:Z,COLUMN('Share, Heavy Weapons to Ukraine'!C803)-1,0),0)</f>
        <v>0</v>
      </c>
      <c r="AY793" s="1194">
        <f>VLOOKUP('Bilateral Assistance, MAIN DATA'!B793,'Country Summary (€)'!B:F,COLUMN('Country Summary (€)'!C804)-1,FALSE)</f>
        <v>1</v>
      </c>
      <c r="AZ793" s="1194" t="str">
        <f>IF(AND(AD793=1,D793="Military",H793&lt;&gt;"Not given")=TRUE,IF(SUMIFS(P:P,A:A,A793)&gt;0,ABS((SUMIFS(P:P,A:A,A793)/VLOOKUP("USD",'Exchange Rates'!B:C,2,0)))/S793,"."),".")</f>
        <v>.</v>
      </c>
      <c r="BA793" s="1196" t="str">
        <f>IF(AND(AD793=1,D793="Military",H793&lt;&gt;"Not given")=TRUE,IF(SUMIFS(P:P,A:A,A793)&gt;0,IF((ABS((SUMIFS(P:P,A:A,A793)/VLOOKUP("USD",'Exchange Rates'!B:C,2,0)))/S793)&gt;1,(SUMIFS(P:P,A:A,A793)-S793)/S793,(S793-SUMIFS(P:P,A:A,A793))/SUMIFS(P:P,A:A,A793)),"."),".")</f>
        <v>.</v>
      </c>
    </row>
    <row r="794" spans="1:53" ht="15.95" customHeight="1">
      <c r="A794" s="1180" t="s">
        <v>2233</v>
      </c>
      <c r="B794" s="1180" t="s">
        <v>2204</v>
      </c>
      <c r="C794" s="1181">
        <v>45042</v>
      </c>
      <c r="D794" s="1182" t="s">
        <v>360</v>
      </c>
      <c r="E794" s="1182" t="s">
        <v>361</v>
      </c>
      <c r="F794" s="1183" t="s">
        <v>2234</v>
      </c>
      <c r="G794" s="1184" t="s">
        <v>483</v>
      </c>
      <c r="H794" s="1185">
        <v>10000000</v>
      </c>
      <c r="I794" s="1180" t="s">
        <v>364</v>
      </c>
      <c r="J794" s="1186" t="str">
        <f>VLOOKUP($I794,'Price List, Weapons &amp; Items'!B:C,2,0)</f>
        <v>.</v>
      </c>
      <c r="K794" s="1186" t="str">
        <f>IF(I794=".",I794,VLOOKUP($I794,'Price List, Weapons &amp; Items'!B:D,3,0))</f>
        <v>.</v>
      </c>
      <c r="L794" s="1187">
        <f>VLOOKUP(I794,'Price List, Weapons &amp; Items'!B:E,4,0)</f>
        <v>0</v>
      </c>
      <c r="M794" s="1188" t="s">
        <v>364</v>
      </c>
      <c r="N794" s="1188" t="s">
        <v>364</v>
      </c>
      <c r="O794" s="1188" t="str">
        <f>VLOOKUP($I794,'Price List, Weapons &amp; Items'!B:G,6,0)</f>
        <v>.</v>
      </c>
      <c r="P794" s="1185" t="str">
        <f t="shared" si="171"/>
        <v>.</v>
      </c>
      <c r="Q794" s="1185" t="str">
        <f t="shared" si="172"/>
        <v>.</v>
      </c>
      <c r="R794" s="1185">
        <f t="shared" si="168"/>
        <v>10000000</v>
      </c>
      <c r="S794" s="1185">
        <f>IF(AND(AD794=1,R794&lt;&gt;".")=TRUE,R794/VLOOKUP(G794,'Exchange Rates'!B:C,2,0),IF(R794=".",".",""))</f>
        <v>10000000</v>
      </c>
      <c r="T794" s="1185" t="str">
        <f>IF(AD794=1,IF(AF794="Value is not given at all",".",IF(AF794="Value is given by the source",S794,IF(AF794="Value is calculated with prices",(IF(SUMIFS(Q:Q,A:A,A794)&gt;0,SUMIFS(Q:Q,A:A,A794),"."))/VLOOKUP("USD",'Exchange Rates'!B:C,2,0),"Error with coding"))),"")</f>
        <v>.</v>
      </c>
      <c r="U794" s="1184" t="s">
        <v>365</v>
      </c>
      <c r="V794" s="1003" t="s">
        <v>2231</v>
      </c>
      <c r="W794" s="1003" t="s">
        <v>2232</v>
      </c>
      <c r="X794" s="1190" t="s">
        <v>364</v>
      </c>
      <c r="Y794" s="1190" t="s">
        <v>364</v>
      </c>
      <c r="Z794" s="1184">
        <v>0</v>
      </c>
      <c r="AA794" s="1184">
        <v>1</v>
      </c>
      <c r="AB794" s="1180" t="s">
        <v>364</v>
      </c>
      <c r="AC794" s="1192" t="str">
        <f>""</f>
        <v/>
      </c>
      <c r="AD794" s="985">
        <v>1</v>
      </c>
      <c r="AE794" s="985" t="s">
        <v>368</v>
      </c>
      <c r="AF794" s="985" t="s">
        <v>369</v>
      </c>
      <c r="AG794" s="985">
        <v>1</v>
      </c>
      <c r="AH794" s="1193">
        <v>16</v>
      </c>
      <c r="AI794" s="1193">
        <v>0</v>
      </c>
      <c r="AJ794" s="1193">
        <f>VLOOKUP($I794,'Price List, Weapons &amp; Items'!B:F,5,0)</f>
        <v>0</v>
      </c>
      <c r="AK794" s="1193">
        <f t="shared" si="173"/>
        <v>0</v>
      </c>
      <c r="AL794" s="1193">
        <f t="shared" si="174"/>
        <v>0</v>
      </c>
      <c r="AM794" s="1193">
        <f t="shared" si="175"/>
        <v>0</v>
      </c>
      <c r="AN794" s="1194" t="str">
        <f>VLOOKUP($I794,'Price List, Weapons &amp; Items'!B:L,COLUMN('Price List, Weapons &amp; Items'!$J$11)-1,0)</f>
        <v>.</v>
      </c>
      <c r="AO794" s="1194" t="str">
        <f>IF(I794=".",".",VLOOKUP($I794,'Price List, Weapons &amp; Items'!B:J,3,0))</f>
        <v>.</v>
      </c>
      <c r="AP794" s="1195" t="str">
        <f t="shared" ca="1" si="169"/>
        <v>.</v>
      </c>
      <c r="AQ794" s="1194">
        <f>VLOOKUP($I794,'Price List, Weapons &amp; Items'!B:L,COLUMN('Price List, Weapons &amp; Items'!$L$11)-1,0)</f>
        <v>0</v>
      </c>
      <c r="AR794" s="1194">
        <f t="shared" si="176"/>
        <v>1</v>
      </c>
      <c r="AS794" s="1194">
        <f t="shared" si="177"/>
        <v>0</v>
      </c>
      <c r="AT794" s="1194">
        <f t="shared" si="178"/>
        <v>1</v>
      </c>
      <c r="AU794" s="1194" t="str">
        <f t="shared" si="179"/>
        <v>.</v>
      </c>
      <c r="AV794" s="1194" t="str">
        <f t="shared" si="170"/>
        <v>.</v>
      </c>
      <c r="AW794" s="1194" t="str">
        <f t="shared" si="180"/>
        <v>.</v>
      </c>
      <c r="AX794" s="1194">
        <f>IFERROR(VLOOKUP(B794,'Share, Heavy Weapons to Ukraine'!B:Z,COLUMN('Share, Heavy Weapons to Ukraine'!C804)-1,0),0)</f>
        <v>0</v>
      </c>
      <c r="AY794" s="1194">
        <f>VLOOKUP('Bilateral Assistance, MAIN DATA'!B794,'Country Summary (€)'!B:F,COLUMN('Country Summary (€)'!C805)-1,FALSE)</f>
        <v>1</v>
      </c>
      <c r="AZ794" s="1194" t="str">
        <f>IF(AND(AD794=1,D794="Military",H794&lt;&gt;"Not given")=TRUE,IF(SUMIFS(P:P,A:A,A794)&gt;0,ABS((SUMIFS(P:P,A:A,A794)/VLOOKUP("USD",'Exchange Rates'!B:C,2,0)))/S794,"."),".")</f>
        <v>.</v>
      </c>
      <c r="BA794" s="1196" t="str">
        <f>IF(AND(AD794=1,D794="Military",H794&lt;&gt;"Not given")=TRUE,IF(SUMIFS(P:P,A:A,A794)&gt;0,IF((ABS((SUMIFS(P:P,A:A,A794)/VLOOKUP("USD",'Exchange Rates'!B:C,2,0)))/S794)&gt;1,(SUMIFS(P:P,A:A,A794)-S794)/S794,(S794-SUMIFS(P:P,A:A,A794))/SUMIFS(P:P,A:A,A794)),"."),".")</f>
        <v>.</v>
      </c>
    </row>
    <row r="795" spans="1:53" ht="15.95" customHeight="1">
      <c r="A795" s="1180" t="s">
        <v>2235</v>
      </c>
      <c r="B795" s="1180" t="s">
        <v>2204</v>
      </c>
      <c r="C795" s="1181">
        <v>44620</v>
      </c>
      <c r="D795" s="1182" t="s">
        <v>389</v>
      </c>
      <c r="E795" s="1182" t="s">
        <v>390</v>
      </c>
      <c r="F795" s="1183" t="s">
        <v>2236</v>
      </c>
      <c r="G795" s="1184" t="s">
        <v>483</v>
      </c>
      <c r="H795" s="1185">
        <v>150000000</v>
      </c>
      <c r="I795" s="1180" t="s">
        <v>364</v>
      </c>
      <c r="J795" s="1186" t="str">
        <f>VLOOKUP($I795,'Price List, Weapons &amp; Items'!B:C,2,0)</f>
        <v>.</v>
      </c>
      <c r="K795" s="1186" t="str">
        <f>IF(I795=".",I795,VLOOKUP($I795,'Price List, Weapons &amp; Items'!B:D,3,0))</f>
        <v>.</v>
      </c>
      <c r="L795" s="1187">
        <f>VLOOKUP(I795,'Price List, Weapons &amp; Items'!B:E,4,0)</f>
        <v>0</v>
      </c>
      <c r="M795" s="1188" t="s">
        <v>364</v>
      </c>
      <c r="N795" s="1188" t="s">
        <v>364</v>
      </c>
      <c r="O795" s="1188" t="str">
        <f>VLOOKUP($I795,'Price List, Weapons &amp; Items'!B:G,6,0)</f>
        <v>.</v>
      </c>
      <c r="P795" s="1185" t="str">
        <f t="shared" si="171"/>
        <v>.</v>
      </c>
      <c r="Q795" s="1185" t="str">
        <f t="shared" si="172"/>
        <v>.</v>
      </c>
      <c r="R795" s="1185">
        <f t="shared" si="168"/>
        <v>150000000</v>
      </c>
      <c r="S795" s="1185">
        <f>IF(AND(AD795=1,R795&lt;&gt;".")=TRUE,R795/VLOOKUP(G795,'Exchange Rates'!B:C,2,0),IF(R795=".",".",""))</f>
        <v>150000000</v>
      </c>
      <c r="T795" s="1185">
        <f>IF(AD795=1,IF(AF795="Value is not given at all",".",IF(AF795="Value is given by the source",S795,IF(AF795="Value is calculated with prices",(IF(SUMIFS(Q:Q,A:A,A795)&gt;0,SUMIFS(Q:Q,A:A,A795),"."))/VLOOKUP("USD",'Exchange Rates'!B:C,2,0),"Error with coding"))),"")</f>
        <v>150000000</v>
      </c>
      <c r="U795" s="1184" t="s">
        <v>675</v>
      </c>
      <c r="V795" s="971" t="s">
        <v>2237</v>
      </c>
      <c r="W795" s="971" t="s">
        <v>2238</v>
      </c>
      <c r="X795" s="971" t="s">
        <v>2239</v>
      </c>
      <c r="Y795" s="1190" t="s">
        <v>364</v>
      </c>
      <c r="Z795" s="1184">
        <v>0</v>
      </c>
      <c r="AA795" s="1194">
        <v>0</v>
      </c>
      <c r="AB795" s="975" t="s">
        <v>2240</v>
      </c>
      <c r="AC795" s="1192" t="str">
        <f>""</f>
        <v/>
      </c>
      <c r="AD795" s="1193">
        <v>1</v>
      </c>
      <c r="AE795" s="1193" t="s">
        <v>368</v>
      </c>
      <c r="AF795" s="1193" t="s">
        <v>368</v>
      </c>
      <c r="AG795" s="1193">
        <v>1</v>
      </c>
      <c r="AH795" s="1193">
        <v>2</v>
      </c>
      <c r="AI795" s="1193">
        <v>0</v>
      </c>
      <c r="AJ795" s="1193">
        <f>VLOOKUP($I795,'Price List, Weapons &amp; Items'!B:F,5,0)</f>
        <v>0</v>
      </c>
      <c r="AK795" s="1193">
        <f t="shared" si="173"/>
        <v>0</v>
      </c>
      <c r="AL795" s="1193">
        <f t="shared" si="174"/>
        <v>0</v>
      </c>
      <c r="AM795" s="1193">
        <f t="shared" si="175"/>
        <v>0</v>
      </c>
      <c r="AN795" s="1194" t="str">
        <f>VLOOKUP($I795,'Price List, Weapons &amp; Items'!B:L,COLUMN('Price List, Weapons &amp; Items'!$J$11)-1,0)</f>
        <v>.</v>
      </c>
      <c r="AO795" s="1194" t="str">
        <f>IF(I795=".",".",VLOOKUP($I795,'Price List, Weapons &amp; Items'!B:J,3,0))</f>
        <v>.</v>
      </c>
      <c r="AP795" s="1195" t="str">
        <f t="shared" ca="1" si="169"/>
        <v>.</v>
      </c>
      <c r="AQ795" s="1194">
        <f>VLOOKUP($I795,'Price List, Weapons &amp; Items'!B:L,COLUMN('Price List, Weapons &amp; Items'!$L$11)-1,0)</f>
        <v>0</v>
      </c>
      <c r="AR795" s="1194">
        <f t="shared" si="176"/>
        <v>0</v>
      </c>
      <c r="AS795" s="1194">
        <f t="shared" si="177"/>
        <v>1</v>
      </c>
      <c r="AT795" s="1194">
        <f t="shared" si="178"/>
        <v>1</v>
      </c>
      <c r="AU795" s="1194" t="str">
        <f t="shared" si="179"/>
        <v>.</v>
      </c>
      <c r="AV795" s="1194" t="str">
        <f t="shared" si="170"/>
        <v>.</v>
      </c>
      <c r="AW795" s="1194" t="str">
        <f t="shared" si="180"/>
        <v>.</v>
      </c>
      <c r="AX795" s="1194">
        <f>IFERROR(VLOOKUP(B795,'Share, Heavy Weapons to Ukraine'!B:Z,COLUMN('Share, Heavy Weapons to Ukraine'!C805)-1,0),0)</f>
        <v>0</v>
      </c>
      <c r="AY795" s="1194">
        <f>VLOOKUP('Bilateral Assistance, MAIN DATA'!B795,'Country Summary (€)'!B:F,COLUMN('Country Summary (€)'!C806)-1,FALSE)</f>
        <v>1</v>
      </c>
      <c r="AZ795" s="1194" t="str">
        <f>IF(AND(AD795=1,D795="Military",H795&lt;&gt;"Not given")=TRUE,IF(SUMIFS(P:P,A:A,A795)&gt;0,ABS((SUMIFS(P:P,A:A,A795)/VLOOKUP("USD",'Exchange Rates'!B:C,2,0)))/S795,"."),".")</f>
        <v>.</v>
      </c>
      <c r="BA795" s="1196" t="str">
        <f>IF(AND(AD795=1,D795="Military",H795&lt;&gt;"Not given")=TRUE,IF(SUMIFS(P:P,A:A,A795)&gt;0,IF((ABS((SUMIFS(P:P,A:A,A795)/VLOOKUP("USD",'Exchange Rates'!B:C,2,0)))/S795)&gt;1,(SUMIFS(P:P,A:A,A795)-S795)/S795,(S795-SUMIFS(P:P,A:A,A795))/SUMIFS(P:P,A:A,A795)),"."),".")</f>
        <v>.</v>
      </c>
    </row>
    <row r="796" spans="1:53" ht="15.95" customHeight="1">
      <c r="A796" s="1180" t="s">
        <v>2241</v>
      </c>
      <c r="B796" s="1180" t="s">
        <v>2204</v>
      </c>
      <c r="C796" s="1181">
        <v>44673</v>
      </c>
      <c r="D796" s="1182" t="s">
        <v>389</v>
      </c>
      <c r="E796" s="1182" t="s">
        <v>443</v>
      </c>
      <c r="F796" s="1183" t="s">
        <v>2242</v>
      </c>
      <c r="G796" s="1184" t="s">
        <v>364</v>
      </c>
      <c r="H796" s="1185" t="s">
        <v>457</v>
      </c>
      <c r="I796" s="1180" t="s">
        <v>364</v>
      </c>
      <c r="J796" s="1186" t="str">
        <f>VLOOKUP($I796,'Price List, Weapons &amp; Items'!B:C,2,0)</f>
        <v>.</v>
      </c>
      <c r="K796" s="1186" t="str">
        <f>IF(I796=".",I796,VLOOKUP($I796,'Price List, Weapons &amp; Items'!B:D,3,0))</f>
        <v>.</v>
      </c>
      <c r="L796" s="1187">
        <f>VLOOKUP(I796,'Price List, Weapons &amp; Items'!B:E,4,0)</f>
        <v>0</v>
      </c>
      <c r="M796" s="1188" t="s">
        <v>364</v>
      </c>
      <c r="N796" s="1188" t="s">
        <v>364</v>
      </c>
      <c r="O796" s="1188" t="str">
        <f>VLOOKUP($I796,'Price List, Weapons &amp; Items'!B:G,6,0)</f>
        <v>.</v>
      </c>
      <c r="P796" s="1185" t="str">
        <f t="shared" si="171"/>
        <v>.</v>
      </c>
      <c r="Q796" s="1185" t="str">
        <f t="shared" si="172"/>
        <v>.</v>
      </c>
      <c r="R796" s="1185" t="str">
        <f t="shared" si="168"/>
        <v>.</v>
      </c>
      <c r="S796" s="1185" t="str">
        <f>IF(AND(AD796=1,R796&lt;&gt;".")=TRUE,R796/VLOOKUP(G796,'Exchange Rates'!B:C,2,0),IF(R796=".",".",""))</f>
        <v>.</v>
      </c>
      <c r="T796" s="1185" t="str">
        <f>IF(AD796=1,IF(AF796="Value is not given at all",".",IF(AF796="Value is given by the source",S796,IF(AF796="Value is calculated with prices",(IF(SUMIFS(Q:Q,A:A,A796)&gt;0,SUMIFS(Q:Q,A:A,A796),"."))/VLOOKUP("USD",'Exchange Rates'!B:C,2,0),"Error with coding"))),"")</f>
        <v>.</v>
      </c>
      <c r="U796" s="1184" t="s">
        <v>365</v>
      </c>
      <c r="V796" s="971" t="s">
        <v>2243</v>
      </c>
      <c r="W796" s="971" t="s">
        <v>2244</v>
      </c>
      <c r="X796" s="1190" t="s">
        <v>364</v>
      </c>
      <c r="Y796" s="1190" t="s">
        <v>364</v>
      </c>
      <c r="Z796" s="1184">
        <v>0</v>
      </c>
      <c r="AA796" s="1194">
        <v>0</v>
      </c>
      <c r="AB796" s="1180" t="s">
        <v>364</v>
      </c>
      <c r="AC796" s="1192" t="str">
        <f>""</f>
        <v/>
      </c>
      <c r="AD796" s="1193">
        <v>1</v>
      </c>
      <c r="AE796" s="1193" t="s">
        <v>369</v>
      </c>
      <c r="AF796" s="1193" t="s">
        <v>369</v>
      </c>
      <c r="AG796" s="1193">
        <v>1</v>
      </c>
      <c r="AH796" s="1193">
        <v>4</v>
      </c>
      <c r="AI796" s="1193">
        <v>0</v>
      </c>
      <c r="AJ796" s="1193">
        <f>VLOOKUP($I796,'Price List, Weapons &amp; Items'!B:F,5,0)</f>
        <v>0</v>
      </c>
      <c r="AK796" s="1193">
        <f t="shared" si="173"/>
        <v>0</v>
      </c>
      <c r="AL796" s="1193">
        <f t="shared" si="174"/>
        <v>0</v>
      </c>
      <c r="AM796" s="1193">
        <f t="shared" si="175"/>
        <v>0</v>
      </c>
      <c r="AN796" s="1194" t="str">
        <f>VLOOKUP($I796,'Price List, Weapons &amp; Items'!B:L,COLUMN('Price List, Weapons &amp; Items'!$J$11)-1,0)</f>
        <v>.</v>
      </c>
      <c r="AO796" s="1194" t="str">
        <f>IF(I796=".",".",VLOOKUP($I796,'Price List, Weapons &amp; Items'!B:J,3,0))</f>
        <v>.</v>
      </c>
      <c r="AP796" s="1195" t="str">
        <f t="shared" ca="1" si="169"/>
        <v>.</v>
      </c>
      <c r="AQ796" s="1194">
        <f>VLOOKUP($I796,'Price List, Weapons &amp; Items'!B:L,COLUMN('Price List, Weapons &amp; Items'!$L$11)-1,0)</f>
        <v>0</v>
      </c>
      <c r="AR796" s="1194">
        <f t="shared" si="176"/>
        <v>1</v>
      </c>
      <c r="AS796" s="1194">
        <f t="shared" si="177"/>
        <v>1</v>
      </c>
      <c r="AT796" s="1194">
        <f t="shared" si="178"/>
        <v>1</v>
      </c>
      <c r="AU796" s="1194" t="str">
        <f t="shared" si="179"/>
        <v>.</v>
      </c>
      <c r="AV796" s="1194" t="str">
        <f t="shared" si="170"/>
        <v>.</v>
      </c>
      <c r="AW796" s="1194" t="str">
        <f t="shared" si="180"/>
        <v>.</v>
      </c>
      <c r="AX796" s="1194">
        <f>IFERROR(VLOOKUP(B796,'Share, Heavy Weapons to Ukraine'!B:Z,COLUMN('Share, Heavy Weapons to Ukraine'!C806)-1,0),0)</f>
        <v>0</v>
      </c>
      <c r="AY796" s="1194">
        <f>VLOOKUP('Bilateral Assistance, MAIN DATA'!B796,'Country Summary (€)'!B:F,COLUMN('Country Summary (€)'!C807)-1,FALSE)</f>
        <v>1</v>
      </c>
      <c r="AZ796" s="1194" t="str">
        <f>IF(AND(AD796=1,D796="Military",H796&lt;&gt;"Not given")=TRUE,IF(SUMIFS(P:P,A:A,A796)&gt;0,ABS((SUMIFS(P:P,A:A,A796)/VLOOKUP("USD",'Exchange Rates'!B:C,2,0)))/S796,"."),".")</f>
        <v>.</v>
      </c>
      <c r="BA796" s="1196" t="str">
        <f>IF(AND(AD796=1,D796="Military",H796&lt;&gt;"Not given")=TRUE,IF(SUMIFS(P:P,A:A,A796)&gt;0,IF((ABS((SUMIFS(P:P,A:A,A796)/VLOOKUP("USD",'Exchange Rates'!B:C,2,0)))/S796)&gt;1,(SUMIFS(P:P,A:A,A796)-S796)/S796,(S796-SUMIFS(P:P,A:A,A796))/SUMIFS(P:P,A:A,A796)),"."),".")</f>
        <v>.</v>
      </c>
    </row>
    <row r="797" spans="1:53" ht="15.95" customHeight="1">
      <c r="A797" s="1182" t="s">
        <v>2245</v>
      </c>
      <c r="B797" s="1182" t="s">
        <v>2204</v>
      </c>
      <c r="C797" s="1181">
        <v>44691</v>
      </c>
      <c r="D797" s="1182" t="s">
        <v>389</v>
      </c>
      <c r="E797" s="1182" t="s">
        <v>443</v>
      </c>
      <c r="F797" s="1183" t="s">
        <v>2246</v>
      </c>
      <c r="G797" s="1184" t="s">
        <v>364</v>
      </c>
      <c r="H797" s="1185" t="s">
        <v>457</v>
      </c>
      <c r="I797" s="1180" t="s">
        <v>1371</v>
      </c>
      <c r="J797" s="1186" t="str">
        <f>VLOOKUP($I797,'Price List, Weapons &amp; Items'!B:C,2,0)</f>
        <v>Heavy weapon</v>
      </c>
      <c r="K797" s="1186" t="str">
        <f>IF(I797=".",I797,VLOOKUP($I797,'Price List, Weapons &amp; Items'!B:D,3,0))</f>
        <v>155mm howitzer</v>
      </c>
      <c r="L797" s="1187">
        <f>VLOOKUP(I797,'Price List, Weapons &amp; Items'!B:E,4,0)</f>
        <v>0</v>
      </c>
      <c r="M797" s="1188" t="s">
        <v>374</v>
      </c>
      <c r="N797" s="1188" t="s">
        <v>374</v>
      </c>
      <c r="O797" s="1188">
        <f>VLOOKUP($I797,'Price List, Weapons &amp; Items'!B:G,6,0)</f>
        <v>895040.34</v>
      </c>
      <c r="P797" s="1185" t="str">
        <f t="shared" si="171"/>
        <v>.</v>
      </c>
      <c r="Q797" s="1185" t="str">
        <f t="shared" si="172"/>
        <v>.</v>
      </c>
      <c r="R797" s="1185" t="str">
        <f t="shared" si="168"/>
        <v>.</v>
      </c>
      <c r="S797" s="1185" t="str">
        <f>IF(AND(AD797=1,R797&lt;&gt;".")=TRUE,R797/VLOOKUP(G797,'Exchange Rates'!B:C,2,0),IF(R797=".",".",""))</f>
        <v>.</v>
      </c>
      <c r="T797" s="1185" t="str">
        <f>IF(AD797=1,IF(AF797="Value is not given at all",".",IF(AF797="Value is given by the source",S797,IF(AF797="Value is calculated with prices",(IF(SUMIFS(Q:Q,A:A,A797)&gt;0,SUMIFS(Q:Q,A:A,A797),"."))/VLOOKUP("USD",'Exchange Rates'!B:C,2,0),"Error with coding"))),"")</f>
        <v>.</v>
      </c>
      <c r="U797" s="1184" t="s">
        <v>365</v>
      </c>
      <c r="V797" s="974" t="s">
        <v>2247</v>
      </c>
      <c r="W797" s="974" t="s">
        <v>2248</v>
      </c>
      <c r="X797" s="974" t="s">
        <v>2249</v>
      </c>
      <c r="Y797" s="974" t="s">
        <v>2250</v>
      </c>
      <c r="Z797" s="1184">
        <v>0</v>
      </c>
      <c r="AA797" s="1194">
        <v>0</v>
      </c>
      <c r="AB797" s="977" t="s">
        <v>2251</v>
      </c>
      <c r="AC797" s="1192" t="str">
        <f>""</f>
        <v/>
      </c>
      <c r="AD797" s="1193">
        <v>1</v>
      </c>
      <c r="AE797" s="1193" t="s">
        <v>369</v>
      </c>
      <c r="AF797" s="1193" t="s">
        <v>369</v>
      </c>
      <c r="AG797" s="1193">
        <v>1</v>
      </c>
      <c r="AH797" s="1193">
        <v>5</v>
      </c>
      <c r="AI797" s="1193">
        <v>0</v>
      </c>
      <c r="AJ797" s="1193">
        <f>VLOOKUP($I797,'Price List, Weapons &amp; Items'!B:F,5,0)</f>
        <v>1</v>
      </c>
      <c r="AK797" s="1193">
        <f t="shared" si="173"/>
        <v>1</v>
      </c>
      <c r="AL797" s="1193">
        <f t="shared" si="174"/>
        <v>1</v>
      </c>
      <c r="AM797" s="1193">
        <f t="shared" si="175"/>
        <v>0</v>
      </c>
      <c r="AN797" s="1194" t="str">
        <f>VLOOKUP($I797,'Price List, Weapons &amp; Items'!B:L,COLUMN('Price List, Weapons &amp; Items'!$J$11)-1,0)</f>
        <v>Military media (incl. websites)</v>
      </c>
      <c r="AO797" s="1194" t="str">
        <f>IF(I797=".",".",VLOOKUP($I797,'Price List, Weapons &amp; Items'!B:J,3,0))</f>
        <v>155mm howitzer</v>
      </c>
      <c r="AP797" s="1195" t="str">
        <f t="shared" ca="1" si="169"/>
        <v>FH70 155mm howitzer</v>
      </c>
      <c r="AQ797" s="1194">
        <f>VLOOKUP($I797,'Price List, Weapons &amp; Items'!B:L,COLUMN('Price List, Weapons &amp; Items'!$L$11)-1,0)</f>
        <v>2</v>
      </c>
      <c r="AR797" s="1194">
        <f t="shared" si="176"/>
        <v>1</v>
      </c>
      <c r="AS797" s="1194">
        <f t="shared" si="177"/>
        <v>1</v>
      </c>
      <c r="AT797" s="1194">
        <f t="shared" si="178"/>
        <v>1</v>
      </c>
      <c r="AU797" s="1194" t="str">
        <f t="shared" si="179"/>
        <v>.</v>
      </c>
      <c r="AV797" s="1194" t="str">
        <f t="shared" si="170"/>
        <v>.</v>
      </c>
      <c r="AW797" s="1194" t="str">
        <f t="shared" si="180"/>
        <v>.</v>
      </c>
      <c r="AX797" s="1194">
        <f>IFERROR(VLOOKUP(B797,'Share, Heavy Weapons to Ukraine'!B:Z,COLUMN('Share, Heavy Weapons to Ukraine'!C807)-1,0),0)</f>
        <v>0</v>
      </c>
      <c r="AY797" s="1194">
        <f>VLOOKUP('Bilateral Assistance, MAIN DATA'!B797,'Country Summary (€)'!B:F,COLUMN('Country Summary (€)'!C808)-1,FALSE)</f>
        <v>1</v>
      </c>
      <c r="AZ797" s="1194" t="str">
        <f>IF(AND(AD797=1,D797="Military",H797&lt;&gt;"Not given")=TRUE,IF(SUMIFS(P:P,A:A,A797)&gt;0,ABS((SUMIFS(P:P,A:A,A797)/VLOOKUP("USD",'Exchange Rates'!B:C,2,0)))/S797,"."),".")</f>
        <v>.</v>
      </c>
      <c r="BA797" s="1196" t="str">
        <f>IF(AND(AD797=1,D797="Military",H797&lt;&gt;"Not given")=TRUE,IF(SUMIFS(P:P,A:A,A797)&gt;0,IF((ABS((SUMIFS(P:P,A:A,A797)/VLOOKUP("USD",'Exchange Rates'!B:C,2,0)))/S797)&gt;1,(SUMIFS(P:P,A:A,A797)-S797)/S797,(S797-SUMIFS(P:P,A:A,A797))/SUMIFS(P:P,A:A,A797)),"."),".")</f>
        <v>.</v>
      </c>
    </row>
    <row r="798" spans="1:53" ht="15.95" customHeight="1">
      <c r="A798" s="1182" t="s">
        <v>2245</v>
      </c>
      <c r="B798" s="1182" t="s">
        <v>2204</v>
      </c>
      <c r="C798" s="1181">
        <v>44691</v>
      </c>
      <c r="D798" s="1182" t="s">
        <v>389</v>
      </c>
      <c r="E798" s="1182" t="s">
        <v>443</v>
      </c>
      <c r="F798" s="1183" t="s">
        <v>2246</v>
      </c>
      <c r="G798" s="1184" t="s">
        <v>364</v>
      </c>
      <c r="H798" s="1185" t="s">
        <v>457</v>
      </c>
      <c r="I798" s="1180" t="s">
        <v>2252</v>
      </c>
      <c r="J798" s="1186" t="str">
        <f>VLOOKUP($I798,'Price List, Weapons &amp; Items'!B:C,2,0)</f>
        <v>Heavy weapon</v>
      </c>
      <c r="K798" s="1186" t="str">
        <f>IF(I798=".",I798,VLOOKUP($I798,'Price List, Weapons &amp; Items'!B:D,3,0))</f>
        <v>Armored Personnel Carrier (APC)</v>
      </c>
      <c r="L798" s="1187">
        <f>VLOOKUP(I798,'Price List, Weapons &amp; Items'!B:E,4,0)</f>
        <v>0</v>
      </c>
      <c r="M798" s="1188" t="s">
        <v>374</v>
      </c>
      <c r="N798" s="1188" t="s">
        <v>374</v>
      </c>
      <c r="O798" s="1188">
        <f>VLOOKUP($I798,'Price List, Weapons &amp; Items'!B:G,6,0)</f>
        <v>300000</v>
      </c>
      <c r="P798" s="1185" t="str">
        <f t="shared" si="171"/>
        <v>.</v>
      </c>
      <c r="Q798" s="1185" t="str">
        <f t="shared" si="172"/>
        <v>.</v>
      </c>
      <c r="R798" s="1185" t="str">
        <f t="shared" si="168"/>
        <v/>
      </c>
      <c r="S798" s="1185" t="str">
        <f>IF(AND(AD798=1,R798&lt;&gt;".")=TRUE,R798/VLOOKUP(G798,'Exchange Rates'!B:C,2,0),IF(R798=".",".",""))</f>
        <v/>
      </c>
      <c r="T798" s="1185" t="str">
        <f>IF(AD798=1,IF(AF798="Value is not given at all",".",IF(AF798="Value is given by the source",S798,IF(AF798="Value is calculated with prices",(IF(SUMIFS(Q:Q,A:A,A798)&gt;0,SUMIFS(Q:Q,A:A,A798),"."))/VLOOKUP("USD",'Exchange Rates'!B:C,2,0),"Error with coding"))),"")</f>
        <v/>
      </c>
      <c r="U798" s="1184" t="s">
        <v>365</v>
      </c>
      <c r="V798" s="974" t="s">
        <v>2247</v>
      </c>
      <c r="W798" s="974" t="s">
        <v>2248</v>
      </c>
      <c r="X798" s="974" t="s">
        <v>2249</v>
      </c>
      <c r="Y798" s="974" t="s">
        <v>2250</v>
      </c>
      <c r="Z798" s="1184">
        <v>0</v>
      </c>
      <c r="AA798" s="1194">
        <v>0</v>
      </c>
      <c r="AB798" s="977" t="s">
        <v>2251</v>
      </c>
      <c r="AC798" s="1192" t="str">
        <f>""</f>
        <v/>
      </c>
      <c r="AD798" s="1193">
        <v>0</v>
      </c>
      <c r="AE798" s="1193" t="s">
        <v>369</v>
      </c>
      <c r="AF798" s="1193" t="s">
        <v>369</v>
      </c>
      <c r="AG798" s="1193">
        <v>1</v>
      </c>
      <c r="AH798" s="1193">
        <v>5</v>
      </c>
      <c r="AI798" s="1193">
        <v>0</v>
      </c>
      <c r="AJ798" s="1193">
        <f>VLOOKUP($I798,'Price List, Weapons &amp; Items'!B:F,5,0)</f>
        <v>1</v>
      </c>
      <c r="AK798" s="1193">
        <f t="shared" si="173"/>
        <v>1</v>
      </c>
      <c r="AL798" s="1193">
        <f t="shared" si="174"/>
        <v>1</v>
      </c>
      <c r="AM798" s="1193">
        <f t="shared" si="175"/>
        <v>0</v>
      </c>
      <c r="AN798" s="1194" t="str">
        <f>VLOOKUP($I798,'Price List, Weapons &amp; Items'!B:L,COLUMN('Price List, Weapons &amp; Items'!$J$11)-1,0)</f>
        <v>Miscellaneous</v>
      </c>
      <c r="AO798" s="1194" t="str">
        <f>IF(I798=".",".",VLOOKUP($I798,'Price List, Weapons &amp; Items'!B:J,3,0))</f>
        <v>Armored Personnel Carrier (APC)</v>
      </c>
      <c r="AP798" s="1195" t="str">
        <f t="shared" ca="1" si="169"/>
        <v/>
      </c>
      <c r="AQ798" s="1194" t="str">
        <f>VLOOKUP($I798,'Price List, Weapons &amp; Items'!B:L,COLUMN('Price List, Weapons &amp; Items'!$L$11)-1,0)</f>
        <v>no price, 0 count</v>
      </c>
      <c r="AR798" s="1194">
        <f t="shared" si="176"/>
        <v>1</v>
      </c>
      <c r="AS798" s="1194">
        <f t="shared" si="177"/>
        <v>1</v>
      </c>
      <c r="AT798" s="1194">
        <f t="shared" si="178"/>
        <v>1</v>
      </c>
      <c r="AU798" s="1194" t="str">
        <f t="shared" si="179"/>
        <v>.</v>
      </c>
      <c r="AV798" s="1194" t="str">
        <f t="shared" si="170"/>
        <v>.</v>
      </c>
      <c r="AW798" s="1194" t="str">
        <f t="shared" si="180"/>
        <v>.</v>
      </c>
      <c r="AX798" s="1194">
        <f>IFERROR(VLOOKUP(B798,'Share, Heavy Weapons to Ukraine'!B:Z,COLUMN('Share, Heavy Weapons to Ukraine'!C808)-1,0),0)</f>
        <v>0</v>
      </c>
      <c r="AY798" s="1194">
        <f>VLOOKUP('Bilateral Assistance, MAIN DATA'!B798,'Country Summary (€)'!B:F,COLUMN('Country Summary (€)'!C809)-1,FALSE)</f>
        <v>1</v>
      </c>
      <c r="AZ798" s="1194" t="str">
        <f>IF(AND(AD798=1,D798="Military",H798&lt;&gt;"Not given")=TRUE,IF(SUMIFS(P:P,A:A,A798)&gt;0,ABS((SUMIFS(P:P,A:A,A798)/VLOOKUP("USD",'Exchange Rates'!B:C,2,0)))/S798,"."),".")</f>
        <v>.</v>
      </c>
      <c r="BA798" s="1196" t="str">
        <f>IF(AND(AD798=1,D798="Military",H798&lt;&gt;"Not given")=TRUE,IF(SUMIFS(P:P,A:A,A798)&gt;0,IF((ABS((SUMIFS(P:P,A:A,A798)/VLOOKUP("USD",'Exchange Rates'!B:C,2,0)))/S798)&gt;1,(SUMIFS(P:P,A:A,A798)-S798)/S798,(S798-SUMIFS(P:P,A:A,A798))/SUMIFS(P:P,A:A,A798)),"."),".")</f>
        <v>.</v>
      </c>
    </row>
    <row r="799" spans="1:53" ht="15.95" customHeight="1">
      <c r="A799" s="1182" t="s">
        <v>2245</v>
      </c>
      <c r="B799" s="1182" t="s">
        <v>2204</v>
      </c>
      <c r="C799" s="1181">
        <v>44691</v>
      </c>
      <c r="D799" s="1182" t="s">
        <v>389</v>
      </c>
      <c r="E799" s="1182" t="s">
        <v>443</v>
      </c>
      <c r="F799" s="1183" t="s">
        <v>2246</v>
      </c>
      <c r="G799" s="1184" t="s">
        <v>364</v>
      </c>
      <c r="H799" s="1185" t="s">
        <v>457</v>
      </c>
      <c r="I799" s="1180" t="s">
        <v>649</v>
      </c>
      <c r="J799" s="1186" t="str">
        <f>VLOOKUP($I799,'Price List, Weapons &amp; Items'!B:C,2,0)</f>
        <v>Heavy weapon</v>
      </c>
      <c r="K799" s="1186" t="str">
        <f>IF(I799=".",I799,VLOOKUP($I799,'Price List, Weapons &amp; Items'!B:D,3,0))</f>
        <v>Armored Utility Vehicle (AUV)</v>
      </c>
      <c r="L799" s="1187">
        <f>VLOOKUP(I799,'Price List, Weapons &amp; Items'!B:E,4,0)</f>
        <v>0</v>
      </c>
      <c r="M799" s="1188" t="s">
        <v>374</v>
      </c>
      <c r="N799" s="1188" t="s">
        <v>374</v>
      </c>
      <c r="O799" s="1188">
        <f>VLOOKUP($I799,'Price List, Weapons &amp; Items'!B:G,6,0)</f>
        <v>533100</v>
      </c>
      <c r="P799" s="1185" t="str">
        <f t="shared" si="171"/>
        <v>.</v>
      </c>
      <c r="Q799" s="1185" t="str">
        <f t="shared" si="172"/>
        <v>.</v>
      </c>
      <c r="R799" s="1185" t="str">
        <f t="shared" si="168"/>
        <v/>
      </c>
      <c r="S799" s="1185" t="str">
        <f>IF(AND(AD799=1,R799&lt;&gt;".")=TRUE,R799/VLOOKUP(G799,'Exchange Rates'!B:C,2,0),IF(R799=".",".",""))</f>
        <v/>
      </c>
      <c r="T799" s="1185" t="str">
        <f>IF(AD799=1,IF(AF799="Value is not given at all",".",IF(AF799="Value is given by the source",S799,IF(AF799="Value is calculated with prices",(IF(SUMIFS(Q:Q,A:A,A799)&gt;0,SUMIFS(Q:Q,A:A,A799),"."))/VLOOKUP("USD",'Exchange Rates'!B:C,2,0),"Error with coding"))),"")</f>
        <v/>
      </c>
      <c r="U799" s="1184" t="s">
        <v>365</v>
      </c>
      <c r="V799" s="974" t="s">
        <v>2247</v>
      </c>
      <c r="W799" s="974" t="s">
        <v>2248</v>
      </c>
      <c r="X799" s="974" t="s">
        <v>2249</v>
      </c>
      <c r="Y799" s="974" t="s">
        <v>2250</v>
      </c>
      <c r="Z799" s="1184">
        <v>0</v>
      </c>
      <c r="AA799" s="1194">
        <v>0</v>
      </c>
      <c r="AB799" s="1180" t="s">
        <v>364</v>
      </c>
      <c r="AC799" s="1192" t="str">
        <f>""</f>
        <v/>
      </c>
      <c r="AD799" s="1193">
        <v>0</v>
      </c>
      <c r="AE799" s="1193" t="s">
        <v>369</v>
      </c>
      <c r="AF799" s="1193" t="s">
        <v>369</v>
      </c>
      <c r="AG799" s="1193">
        <v>1</v>
      </c>
      <c r="AH799" s="1193">
        <v>5</v>
      </c>
      <c r="AI799" s="1193">
        <v>0</v>
      </c>
      <c r="AJ799" s="1193">
        <f>VLOOKUP($I799,'Price List, Weapons &amp; Items'!B:F,5,0)</f>
        <v>1</v>
      </c>
      <c r="AK799" s="1193">
        <f t="shared" si="173"/>
        <v>1</v>
      </c>
      <c r="AL799" s="1193">
        <f t="shared" si="174"/>
        <v>1</v>
      </c>
      <c r="AM799" s="1193">
        <f t="shared" si="175"/>
        <v>0</v>
      </c>
      <c r="AN799" s="1194" t="str">
        <f>VLOOKUP($I799,'Price List, Weapons &amp; Items'!B:L,COLUMN('Price List, Weapons &amp; Items'!$J$11)-1,0)</f>
        <v>Contracts</v>
      </c>
      <c r="AO799" s="1194" t="str">
        <f>IF(I799=".",".",VLOOKUP($I799,'Price List, Weapons &amp; Items'!B:J,3,0))</f>
        <v>Armored Utility Vehicle (AUV)</v>
      </c>
      <c r="AP799" s="1195" t="str">
        <f t="shared" ca="1" si="169"/>
        <v/>
      </c>
      <c r="AQ799" s="1194">
        <f>VLOOKUP($I799,'Price List, Weapons &amp; Items'!B:L,COLUMN('Price List, Weapons &amp; Items'!$L$11)-1,0)</f>
        <v>2</v>
      </c>
      <c r="AR799" s="1194">
        <f t="shared" si="176"/>
        <v>1</v>
      </c>
      <c r="AS799" s="1194">
        <f t="shared" si="177"/>
        <v>1</v>
      </c>
      <c r="AT799" s="1194">
        <f t="shared" si="178"/>
        <v>1</v>
      </c>
      <c r="AU799" s="1194" t="str">
        <f t="shared" si="179"/>
        <v>.</v>
      </c>
      <c r="AV799" s="1194" t="str">
        <f t="shared" si="170"/>
        <v>.</v>
      </c>
      <c r="AW799" s="1194" t="str">
        <f t="shared" si="180"/>
        <v>.</v>
      </c>
      <c r="AX799" s="1194">
        <f>IFERROR(VLOOKUP(B799,'Share, Heavy Weapons to Ukraine'!B:Z,COLUMN('Share, Heavy Weapons to Ukraine'!C809)-1,0),0)</f>
        <v>0</v>
      </c>
      <c r="AY799" s="1194">
        <f>VLOOKUP('Bilateral Assistance, MAIN DATA'!B799,'Country Summary (€)'!B:F,COLUMN('Country Summary (€)'!C810)-1,FALSE)</f>
        <v>1</v>
      </c>
      <c r="AZ799" s="1194" t="str">
        <f>IF(AND(AD799=1,D799="Military",H799&lt;&gt;"Not given")=TRUE,IF(SUMIFS(P:P,A:A,A799)&gt;0,ABS((SUMIFS(P:P,A:A,A799)/VLOOKUP("USD",'Exchange Rates'!B:C,2,0)))/S799,"."),".")</f>
        <v>.</v>
      </c>
      <c r="BA799" s="1196" t="str">
        <f>IF(AND(AD799=1,D799="Military",H799&lt;&gt;"Not given")=TRUE,IF(SUMIFS(P:P,A:A,A799)&gt;0,IF((ABS((SUMIFS(P:P,A:A,A799)/VLOOKUP("USD",'Exchange Rates'!B:C,2,0)))/S799)&gt;1,(SUMIFS(P:P,A:A,A799)-S799)/S799,(S799-SUMIFS(P:P,A:A,A799))/SUMIFS(P:P,A:A,A799)),"."),".")</f>
        <v>.</v>
      </c>
    </row>
    <row r="800" spans="1:53" ht="15.95" customHeight="1">
      <c r="A800" s="1182" t="s">
        <v>2245</v>
      </c>
      <c r="B800" s="1182" t="s">
        <v>2204</v>
      </c>
      <c r="C800" s="1181">
        <v>44691</v>
      </c>
      <c r="D800" s="1182" t="s">
        <v>389</v>
      </c>
      <c r="E800" s="1182" t="s">
        <v>443</v>
      </c>
      <c r="F800" s="1183" t="s">
        <v>2246</v>
      </c>
      <c r="G800" s="1184" t="s">
        <v>364</v>
      </c>
      <c r="H800" s="1185" t="s">
        <v>457</v>
      </c>
      <c r="I800" s="1180" t="s">
        <v>2253</v>
      </c>
      <c r="J800" s="1186" t="str">
        <f>VLOOKUP($I800,'Price List, Weapons &amp; Items'!B:C,2,0)</f>
        <v>Ammunition for heavy weapon</v>
      </c>
      <c r="K800" s="1186" t="str">
        <f>IF(I800=".",I800,VLOOKUP($I800,'Price List, Weapons &amp; Items'!B:D,3,0))</f>
        <v>105mm field gun ammunition</v>
      </c>
      <c r="L800" s="1187">
        <f>VLOOKUP(I800,'Price List, Weapons &amp; Items'!B:E,4,0)</f>
        <v>0</v>
      </c>
      <c r="M800" s="1188" t="s">
        <v>374</v>
      </c>
      <c r="N800" s="1188" t="s">
        <v>374</v>
      </c>
      <c r="O800" s="1188">
        <f>VLOOKUP($I800,'Price List, Weapons &amp; Items'!B:G,6,0)</f>
        <v>400</v>
      </c>
      <c r="P800" s="1185" t="str">
        <f t="shared" si="171"/>
        <v>.</v>
      </c>
      <c r="Q800" s="1185" t="str">
        <f t="shared" si="172"/>
        <v>.</v>
      </c>
      <c r="R800" s="1185" t="str">
        <f t="shared" si="168"/>
        <v/>
      </c>
      <c r="S800" s="1185" t="str">
        <f>IF(AND(AD800=1,R800&lt;&gt;".")=TRUE,R800/VLOOKUP(G800,'Exchange Rates'!B:C,2,0),IF(R800=".",".",""))</f>
        <v/>
      </c>
      <c r="T800" s="1185" t="str">
        <f>IF(AD800=1,IF(AF800="Value is not given at all",".",IF(AF800="Value is given by the source",S800,IF(AF800="Value is calculated with prices",(IF(SUMIFS(Q:Q,A:A,A800)&gt;0,SUMIFS(Q:Q,A:A,A800),"."))/VLOOKUP("USD",'Exchange Rates'!B:C,2,0),"Error with coding"))),"")</f>
        <v/>
      </c>
      <c r="U800" s="1184" t="s">
        <v>365</v>
      </c>
      <c r="V800" s="974" t="s">
        <v>2247</v>
      </c>
      <c r="W800" s="974" t="s">
        <v>2248</v>
      </c>
      <c r="X800" s="974" t="s">
        <v>2249</v>
      </c>
      <c r="Y800" s="974" t="s">
        <v>2250</v>
      </c>
      <c r="Z800" s="1184">
        <v>0</v>
      </c>
      <c r="AA800" s="1194">
        <v>0</v>
      </c>
      <c r="AB800" s="1180" t="s">
        <v>364</v>
      </c>
      <c r="AC800" s="1192" t="str">
        <f>""</f>
        <v/>
      </c>
      <c r="AD800" s="1193">
        <v>0</v>
      </c>
      <c r="AE800" s="1193" t="s">
        <v>369</v>
      </c>
      <c r="AF800" s="1193" t="s">
        <v>369</v>
      </c>
      <c r="AG800" s="1193">
        <v>1</v>
      </c>
      <c r="AH800" s="1193">
        <v>5</v>
      </c>
      <c r="AI800" s="1193">
        <v>0</v>
      </c>
      <c r="AJ800" s="1193">
        <f>VLOOKUP($I800,'Price List, Weapons &amp; Items'!B:F,5,0)</f>
        <v>0</v>
      </c>
      <c r="AK800" s="1193">
        <f t="shared" si="173"/>
        <v>0</v>
      </c>
      <c r="AL800" s="1193">
        <f t="shared" si="174"/>
        <v>0</v>
      </c>
      <c r="AM800" s="1193">
        <f t="shared" si="175"/>
        <v>1</v>
      </c>
      <c r="AN800" s="1194" t="str">
        <f>VLOOKUP($I800,'Price List, Weapons &amp; Items'!B:L,COLUMN('Price List, Weapons &amp; Items'!$J$11)-1,0)</f>
        <v>Military media (incl. websites)</v>
      </c>
      <c r="AO800" s="1194" t="str">
        <f>IF(I800=".",".",VLOOKUP($I800,'Price List, Weapons &amp; Items'!B:J,3,0))</f>
        <v>105mm field gun ammunition</v>
      </c>
      <c r="AP800" s="1195" t="str">
        <f t="shared" ca="1" si="169"/>
        <v/>
      </c>
      <c r="AQ800" s="1194">
        <f>VLOOKUP($I800,'Price List, Weapons &amp; Items'!B:L,COLUMN('Price List, Weapons &amp; Items'!$L$11)-1,0)</f>
        <v>2</v>
      </c>
      <c r="AR800" s="1194">
        <f t="shared" si="176"/>
        <v>1</v>
      </c>
      <c r="AS800" s="1194">
        <f t="shared" si="177"/>
        <v>1</v>
      </c>
      <c r="AT800" s="1194">
        <f t="shared" si="178"/>
        <v>1</v>
      </c>
      <c r="AU800" s="1194" t="str">
        <f t="shared" si="179"/>
        <v>.</v>
      </c>
      <c r="AV800" s="1194" t="str">
        <f t="shared" si="170"/>
        <v>.</v>
      </c>
      <c r="AW800" s="1194" t="str">
        <f t="shared" si="180"/>
        <v>.</v>
      </c>
      <c r="AX800" s="1194">
        <f>IFERROR(VLOOKUP(B800,'Share, Heavy Weapons to Ukraine'!B:Z,COLUMN('Share, Heavy Weapons to Ukraine'!C810)-1,0),0)</f>
        <v>0</v>
      </c>
      <c r="AY800" s="1194">
        <f>VLOOKUP('Bilateral Assistance, MAIN DATA'!B800,'Country Summary (€)'!B:F,COLUMN('Country Summary (€)'!C811)-1,FALSE)</f>
        <v>1</v>
      </c>
      <c r="AZ800" s="1194" t="str">
        <f>IF(AND(AD800=1,D800="Military",H800&lt;&gt;"Not given")=TRUE,IF(SUMIFS(P:P,A:A,A800)&gt;0,ABS((SUMIFS(P:P,A:A,A800)/VLOOKUP("USD",'Exchange Rates'!B:C,2,0)))/S800,"."),".")</f>
        <v>.</v>
      </c>
      <c r="BA800" s="1196" t="str">
        <f>IF(AND(AD800=1,D800="Military",H800&lt;&gt;"Not given")=TRUE,IF(SUMIFS(P:P,A:A,A800)&gt;0,IF((ABS((SUMIFS(P:P,A:A,A800)/VLOOKUP("USD",'Exchange Rates'!B:C,2,0)))/S800)&gt;1,(SUMIFS(P:P,A:A,A800)-S800)/S800,(S800-SUMIFS(P:P,A:A,A800))/SUMIFS(P:P,A:A,A800)),"."),".")</f>
        <v>.</v>
      </c>
    </row>
    <row r="801" spans="1:53" ht="15.95" customHeight="1">
      <c r="A801" s="1180" t="s">
        <v>2254</v>
      </c>
      <c r="B801" s="1180" t="s">
        <v>2204</v>
      </c>
      <c r="C801" s="1181">
        <v>44769</v>
      </c>
      <c r="D801" s="1182" t="s">
        <v>389</v>
      </c>
      <c r="E801" s="1182" t="s">
        <v>443</v>
      </c>
      <c r="F801" s="1183" t="s">
        <v>2255</v>
      </c>
      <c r="G801" s="1184" t="s">
        <v>364</v>
      </c>
      <c r="H801" s="1185" t="s">
        <v>457</v>
      </c>
      <c r="I801" s="1180" t="s">
        <v>364</v>
      </c>
      <c r="J801" s="1186" t="str">
        <f>VLOOKUP($I801,'Price List, Weapons &amp; Items'!B:C,2,0)</f>
        <v>.</v>
      </c>
      <c r="K801" s="1186" t="str">
        <f>IF(I801=".",I801,VLOOKUP($I801,'Price List, Weapons &amp; Items'!B:D,3,0))</f>
        <v>.</v>
      </c>
      <c r="L801" s="1187">
        <f>VLOOKUP(I801,'Price List, Weapons &amp; Items'!B:E,4,0)</f>
        <v>0</v>
      </c>
      <c r="M801" s="1188" t="s">
        <v>364</v>
      </c>
      <c r="N801" s="1188" t="s">
        <v>364</v>
      </c>
      <c r="O801" s="1188" t="str">
        <f>VLOOKUP($I801,'Price List, Weapons &amp; Items'!B:G,6,0)</f>
        <v>.</v>
      </c>
      <c r="P801" s="1185" t="str">
        <f t="shared" si="171"/>
        <v>.</v>
      </c>
      <c r="Q801" s="1185" t="str">
        <f t="shared" si="172"/>
        <v>.</v>
      </c>
      <c r="R801" s="1185" t="str">
        <f t="shared" si="168"/>
        <v>.</v>
      </c>
      <c r="S801" s="1185" t="str">
        <f>IF(AND(AD801=1,R801&lt;&gt;".")=TRUE,R801/VLOOKUP(G801,'Exchange Rates'!B:C,2,0),IF(R801=".",".",""))</f>
        <v>.</v>
      </c>
      <c r="T801" s="1185" t="str">
        <f>IF(AD801=1,IF(AF801="Value is not given at all",".",IF(AF801="Value is given by the source",S801,IF(AF801="Value is calculated with prices",(IF(SUMIFS(Q:Q,A:A,A801)&gt;0,SUMIFS(Q:Q,A:A,A801),"."))/VLOOKUP("USD",'Exchange Rates'!B:C,2,0),"Error with coding"))),"")</f>
        <v>.</v>
      </c>
      <c r="U801" s="1184" t="s">
        <v>365</v>
      </c>
      <c r="V801" s="971" t="s">
        <v>2256</v>
      </c>
      <c r="W801" s="971" t="s">
        <v>2257</v>
      </c>
      <c r="X801" s="986" t="s">
        <v>364</v>
      </c>
      <c r="Y801" s="986" t="s">
        <v>364</v>
      </c>
      <c r="Z801" s="1184">
        <v>0</v>
      </c>
      <c r="AA801" s="1194">
        <v>0</v>
      </c>
      <c r="AB801" s="1180" t="s">
        <v>364</v>
      </c>
      <c r="AC801" s="1192" t="str">
        <f>""</f>
        <v/>
      </c>
      <c r="AD801" s="1193">
        <v>1</v>
      </c>
      <c r="AE801" s="1193" t="s">
        <v>369</v>
      </c>
      <c r="AF801" s="1193" t="s">
        <v>369</v>
      </c>
      <c r="AG801" s="1193">
        <v>1</v>
      </c>
      <c r="AH801" s="1193">
        <v>7</v>
      </c>
      <c r="AI801" s="1193">
        <v>0</v>
      </c>
      <c r="AJ801" s="1193">
        <f>VLOOKUP($I801,'Price List, Weapons &amp; Items'!B:F,5,0)</f>
        <v>0</v>
      </c>
      <c r="AK801" s="1193">
        <f t="shared" si="173"/>
        <v>0</v>
      </c>
      <c r="AL801" s="1193">
        <f t="shared" si="174"/>
        <v>0</v>
      </c>
      <c r="AM801" s="1193">
        <f t="shared" si="175"/>
        <v>0</v>
      </c>
      <c r="AN801" s="1194" t="str">
        <f>VLOOKUP($I801,'Price List, Weapons &amp; Items'!B:L,COLUMN('Price List, Weapons &amp; Items'!$J$11)-1,0)</f>
        <v>.</v>
      </c>
      <c r="AO801" s="1194" t="str">
        <f>IF(I801=".",".",VLOOKUP($I801,'Price List, Weapons &amp; Items'!B:J,3,0))</f>
        <v>.</v>
      </c>
      <c r="AP801" s="1195" t="str">
        <f t="shared" ca="1" si="169"/>
        <v>.</v>
      </c>
      <c r="AQ801" s="1194">
        <f>VLOOKUP($I801,'Price List, Weapons &amp; Items'!B:L,COLUMN('Price List, Weapons &amp; Items'!$L$11)-1,0)</f>
        <v>0</v>
      </c>
      <c r="AR801" s="1194">
        <f t="shared" si="176"/>
        <v>1</v>
      </c>
      <c r="AS801" s="1194">
        <f t="shared" si="177"/>
        <v>1</v>
      </c>
      <c r="AT801" s="1194">
        <f t="shared" si="178"/>
        <v>1</v>
      </c>
      <c r="AU801" s="1194" t="str">
        <f t="shared" si="179"/>
        <v>.</v>
      </c>
      <c r="AV801" s="1194" t="str">
        <f t="shared" si="170"/>
        <v>.</v>
      </c>
      <c r="AW801" s="1194" t="str">
        <f t="shared" si="180"/>
        <v>.</v>
      </c>
      <c r="AX801" s="1194">
        <f>IFERROR(VLOOKUP(B801,'Share, Heavy Weapons to Ukraine'!B:Z,COLUMN('Share, Heavy Weapons to Ukraine'!C811)-1,0),0)</f>
        <v>0</v>
      </c>
      <c r="AY801" s="1194">
        <f>VLOOKUP('Bilateral Assistance, MAIN DATA'!B801,'Country Summary (€)'!B:F,COLUMN('Country Summary (€)'!C812)-1,FALSE)</f>
        <v>1</v>
      </c>
      <c r="AZ801" s="1194" t="str">
        <f>IF(AND(AD801=1,D801="Military",H801&lt;&gt;"Not given")=TRUE,IF(SUMIFS(P:P,A:A,A801)&gt;0,ABS((SUMIFS(P:P,A:A,A801)/VLOOKUP("USD",'Exchange Rates'!B:C,2,0)))/S801,"."),".")</f>
        <v>.</v>
      </c>
      <c r="BA801" s="1196" t="str">
        <f>IF(AND(AD801=1,D801="Military",H801&lt;&gt;"Not given")=TRUE,IF(SUMIFS(P:P,A:A,A801)&gt;0,IF((ABS((SUMIFS(P:P,A:A,A801)/VLOOKUP("USD",'Exchange Rates'!B:C,2,0)))/S801)&gt;1,(SUMIFS(P:P,A:A,A801)-S801)/S801,(S801-SUMIFS(P:P,A:A,A801))/SUMIFS(P:P,A:A,A801)),"."),".")</f>
        <v>.</v>
      </c>
    </row>
    <row r="802" spans="1:53" ht="15.95" customHeight="1">
      <c r="A802" s="1180" t="s">
        <v>2258</v>
      </c>
      <c r="B802" s="1180" t="s">
        <v>2204</v>
      </c>
      <c r="C802" s="1181">
        <v>44851</v>
      </c>
      <c r="D802" s="1182" t="s">
        <v>389</v>
      </c>
      <c r="E802" s="1182" t="s">
        <v>443</v>
      </c>
      <c r="F802" s="1183" t="s">
        <v>2259</v>
      </c>
      <c r="G802" s="1184" t="s">
        <v>483</v>
      </c>
      <c r="H802" s="1185" t="s">
        <v>457</v>
      </c>
      <c r="I802" s="1180" t="s">
        <v>364</v>
      </c>
      <c r="J802" s="1186" t="str">
        <f>VLOOKUP($I802,'Price List, Weapons &amp; Items'!B:C,2,0)</f>
        <v>.</v>
      </c>
      <c r="K802" s="1186" t="str">
        <f>IF(I802=".",I802,VLOOKUP($I802,'Price List, Weapons &amp; Items'!B:D,3,0))</f>
        <v>.</v>
      </c>
      <c r="L802" s="1187">
        <f>VLOOKUP(I802,'Price List, Weapons &amp; Items'!B:E,4,0)</f>
        <v>0</v>
      </c>
      <c r="M802" s="1188" t="s">
        <v>364</v>
      </c>
      <c r="N802" s="1188" t="s">
        <v>364</v>
      </c>
      <c r="O802" s="1188" t="str">
        <f>VLOOKUP($I802,'Price List, Weapons &amp; Items'!B:G,6,0)</f>
        <v>.</v>
      </c>
      <c r="P802" s="1185" t="str">
        <f t="shared" si="171"/>
        <v>.</v>
      </c>
      <c r="Q802" s="1185" t="str">
        <f t="shared" si="172"/>
        <v>.</v>
      </c>
      <c r="R802" s="1185" t="str">
        <f t="shared" si="168"/>
        <v>.</v>
      </c>
      <c r="S802" s="1185" t="str">
        <f>IF(AND(AD802=1,R802&lt;&gt;".")=TRUE,R802/VLOOKUP(G802,'Exchange Rates'!B:C,2,0),IF(R802=".",".",""))</f>
        <v>.</v>
      </c>
      <c r="T802" s="1185" t="str">
        <f>IF(AD802=1,IF(AF802="Value is not given at all",".",IF(AF802="Value is given by the source",S802,IF(AF802="Value is calculated with prices",(IF(SUMIFS(Q:Q,A:A,A802)&gt;0,SUMIFS(Q:Q,A:A,A802),"."))/VLOOKUP("USD",'Exchange Rates'!B:C,2,0),"Error with coding"))),"")</f>
        <v>.</v>
      </c>
      <c r="U802" s="1184" t="s">
        <v>365</v>
      </c>
      <c r="V802" s="973" t="s">
        <v>2260</v>
      </c>
      <c r="W802" s="1010" t="s">
        <v>2261</v>
      </c>
      <c r="X802" s="980" t="s">
        <v>2262</v>
      </c>
      <c r="Y802" s="981" t="s">
        <v>364</v>
      </c>
      <c r="Z802" s="1184">
        <v>0</v>
      </c>
      <c r="AA802" s="1194">
        <v>0</v>
      </c>
      <c r="AB802" s="1000" t="s">
        <v>364</v>
      </c>
      <c r="AC802" s="1192" t="str">
        <f>""</f>
        <v/>
      </c>
      <c r="AD802" s="1193">
        <v>1</v>
      </c>
      <c r="AE802" s="1193" t="s">
        <v>369</v>
      </c>
      <c r="AF802" s="1193" t="s">
        <v>369</v>
      </c>
      <c r="AG802" s="1193">
        <v>1</v>
      </c>
      <c r="AH802" s="1193">
        <v>10</v>
      </c>
      <c r="AI802" s="1193">
        <v>0</v>
      </c>
      <c r="AJ802" s="1193">
        <f>VLOOKUP($I802,'Price List, Weapons &amp; Items'!B:F,5,0)</f>
        <v>0</v>
      </c>
      <c r="AK802" s="1193">
        <f t="shared" si="173"/>
        <v>0</v>
      </c>
      <c r="AL802" s="1193">
        <f t="shared" si="174"/>
        <v>0</v>
      </c>
      <c r="AM802" s="1193">
        <f t="shared" si="175"/>
        <v>0</v>
      </c>
      <c r="AN802" s="1194" t="str">
        <f>VLOOKUP($I802,'Price List, Weapons &amp; Items'!B:L,COLUMN('Price List, Weapons &amp; Items'!$J$11)-1,0)</f>
        <v>.</v>
      </c>
      <c r="AO802" s="1194" t="str">
        <f>IF(I802=".",".",VLOOKUP($I802,'Price List, Weapons &amp; Items'!B:J,3,0))</f>
        <v>.</v>
      </c>
      <c r="AP802" s="1195" t="str">
        <f t="shared" ca="1" si="169"/>
        <v>.</v>
      </c>
      <c r="AQ802" s="1194">
        <f>VLOOKUP($I802,'Price List, Weapons &amp; Items'!B:L,COLUMN('Price List, Weapons &amp; Items'!$L$11)-1,0)</f>
        <v>0</v>
      </c>
      <c r="AR802" s="1194">
        <f t="shared" si="176"/>
        <v>1</v>
      </c>
      <c r="AS802" s="1194">
        <f t="shared" si="177"/>
        <v>1</v>
      </c>
      <c r="AT802" s="1194">
        <f t="shared" si="178"/>
        <v>1</v>
      </c>
      <c r="AU802" s="1194" t="str">
        <f t="shared" si="179"/>
        <v>.</v>
      </c>
      <c r="AV802" s="1194" t="str">
        <f t="shared" si="170"/>
        <v>.</v>
      </c>
      <c r="AW802" s="1194" t="str">
        <f t="shared" si="180"/>
        <v>.</v>
      </c>
      <c r="AX802" s="1194">
        <f>IFERROR(VLOOKUP(B802,'Share, Heavy Weapons to Ukraine'!B:Z,COLUMN('Share, Heavy Weapons to Ukraine'!C812)-1,0),0)</f>
        <v>0</v>
      </c>
      <c r="AY802" s="1194">
        <f>VLOOKUP('Bilateral Assistance, MAIN DATA'!B802,'Country Summary (€)'!B:F,COLUMN('Country Summary (€)'!C813)-1,FALSE)</f>
        <v>1</v>
      </c>
      <c r="AZ802" s="1194" t="str">
        <f>IF(AND(AD802=1,D802="Military",H802&lt;&gt;"Not given")=TRUE,IF(SUMIFS(P:P,A:A,A802)&gt;0,ABS((SUMIFS(P:P,A:A,A802)/VLOOKUP("USD",'Exchange Rates'!B:C,2,0)))/S802,"."),".")</f>
        <v>.</v>
      </c>
      <c r="BA802" s="1196" t="str">
        <f>IF(AND(AD802=1,D802="Military",H802&lt;&gt;"Not given")=TRUE,IF(SUMIFS(P:P,A:A,A802)&gt;0,IF((ABS((SUMIFS(P:P,A:A,A802)/VLOOKUP("USD",'Exchange Rates'!B:C,2,0)))/S802)&gt;1,(SUMIFS(P:P,A:A,A802)-S802)/S802,(S802-SUMIFS(P:P,A:A,A802))/SUMIFS(P:P,A:A,A802)),"."),".")</f>
        <v>.</v>
      </c>
    </row>
    <row r="803" spans="1:53" ht="15.95" customHeight="1">
      <c r="A803" s="1180" t="s">
        <v>2263</v>
      </c>
      <c r="B803" s="1180" t="s">
        <v>2204</v>
      </c>
      <c r="C803" s="1181" t="s">
        <v>1443</v>
      </c>
      <c r="D803" s="1182" t="s">
        <v>389</v>
      </c>
      <c r="E803" s="1182" t="s">
        <v>443</v>
      </c>
      <c r="F803" s="1263" t="s">
        <v>2264</v>
      </c>
      <c r="G803" s="1184" t="s">
        <v>483</v>
      </c>
      <c r="H803" s="1185" t="s">
        <v>457</v>
      </c>
      <c r="I803" s="1286" t="s">
        <v>1686</v>
      </c>
      <c r="J803" s="1186" t="str">
        <f>VLOOKUP($I803,'Price List, Weapons &amp; Items'!B:C,2,0)</f>
        <v>Heavy weapon</v>
      </c>
      <c r="K803" s="1186" t="str">
        <f>IF(I803=".",I803,VLOOKUP($I803,'Price List, Weapons &amp; Items'!B:D,3,0))</f>
        <v>227mm MLRS</v>
      </c>
      <c r="L803" s="1187">
        <f>VLOOKUP(I803,'Price List, Weapons &amp; Items'!B:E,4,0)</f>
        <v>0</v>
      </c>
      <c r="M803" s="1188">
        <v>2</v>
      </c>
      <c r="N803" s="1188" t="s">
        <v>374</v>
      </c>
      <c r="O803" s="1188">
        <f>VLOOKUP($I803,'Price List, Weapons &amp; Items'!B:G,6,0)</f>
        <v>13615659.128881287</v>
      </c>
      <c r="P803" s="1185">
        <f t="shared" si="171"/>
        <v>27231318.257762574</v>
      </c>
      <c r="Q803" s="1185" t="str">
        <f t="shared" si="172"/>
        <v>.</v>
      </c>
      <c r="R803" s="1185">
        <f t="shared" si="168"/>
        <v>169148380.62565362</v>
      </c>
      <c r="S803" s="1185">
        <f>IF(AND(AD803=1,R803&lt;&gt;".")=TRUE,R803/VLOOKUP(G803,'Exchange Rates'!B:C,2,0),IF(R803=".",".",""))</f>
        <v>169148380.62565362</v>
      </c>
      <c r="T803" s="1185" t="str">
        <f>IF(AD803=1,IF(AF803="Value is not given at all",".",IF(AF803="Value is given by the source",S803,IF(AF803="Value is calculated with prices",(IF(SUMIFS(Q:Q,A:A,A803)&gt;0,SUMIFS(Q:Q,A:A,A803),"."))/VLOOKUP("USD",'Exchange Rates'!B:C,2,0),"Error with coding"))),"")</f>
        <v>.</v>
      </c>
      <c r="U803" s="1184" t="s">
        <v>365</v>
      </c>
      <c r="V803" s="1011" t="s">
        <v>2265</v>
      </c>
      <c r="W803" s="1011" t="s">
        <v>2266</v>
      </c>
      <c r="X803" s="1011" t="s">
        <v>2267</v>
      </c>
      <c r="Y803" s="1011" t="s">
        <v>2261</v>
      </c>
      <c r="Z803" s="1184">
        <v>0</v>
      </c>
      <c r="AA803" s="1194">
        <v>0</v>
      </c>
      <c r="AB803" s="1019" t="s">
        <v>364</v>
      </c>
      <c r="AC803" s="1192" t="str">
        <f>""</f>
        <v/>
      </c>
      <c r="AD803" s="1193">
        <v>1</v>
      </c>
      <c r="AE803" s="1193" t="s">
        <v>436</v>
      </c>
      <c r="AF803" s="1193" t="s">
        <v>369</v>
      </c>
      <c r="AG803" s="985">
        <v>1</v>
      </c>
      <c r="AH803" s="1193">
        <v>10</v>
      </c>
      <c r="AI803" s="1193">
        <v>0</v>
      </c>
      <c r="AJ803" s="1193">
        <f>VLOOKUP($I803,'Price List, Weapons &amp; Items'!B:F,5,0)</f>
        <v>1</v>
      </c>
      <c r="AK803" s="1193">
        <f t="shared" si="173"/>
        <v>0</v>
      </c>
      <c r="AL803" s="1193">
        <f t="shared" si="174"/>
        <v>1</v>
      </c>
      <c r="AM803" s="1193">
        <f t="shared" si="175"/>
        <v>0</v>
      </c>
      <c r="AN803" s="1194" t="str">
        <f>VLOOKUP($I803,'Price List, Weapons &amp; Items'!B:L,COLUMN('Price List, Weapons &amp; Items'!$J$11)-1,0)</f>
        <v>Contracts</v>
      </c>
      <c r="AO803" s="1194" t="str">
        <f>IF(I803=".",".",VLOOKUP($I803,'Price List, Weapons &amp; Items'!B:J,3,0))</f>
        <v>227mm MLRS</v>
      </c>
      <c r="AP803" s="1195" t="str">
        <f t="shared" ca="1" si="169"/>
        <v>M270 weapon system</v>
      </c>
      <c r="AQ803" s="1194">
        <f>VLOOKUP($I803,'Price List, Weapons &amp; Items'!B:L,COLUMN('Price List, Weapons &amp; Items'!$L$11)-1,0)</f>
        <v>2</v>
      </c>
      <c r="AR803" s="1194">
        <f t="shared" si="176"/>
        <v>1</v>
      </c>
      <c r="AS803" s="1194">
        <f t="shared" si="177"/>
        <v>1</v>
      </c>
      <c r="AT803" s="1194" t="str">
        <f t="shared" si="178"/>
        <v>Value is not in date format</v>
      </c>
      <c r="AU803" s="1194" t="str">
        <f t="shared" si="179"/>
        <v>.</v>
      </c>
      <c r="AV803" s="1194" t="str">
        <f t="shared" si="170"/>
        <v>.</v>
      </c>
      <c r="AW803" s="1194" t="str">
        <f t="shared" si="180"/>
        <v>.</v>
      </c>
      <c r="AX803" s="1194">
        <f>IFERROR(VLOOKUP(B803,'Share, Heavy Weapons to Ukraine'!B:Z,COLUMN('Share, Heavy Weapons to Ukraine'!C813)-1,0),0)</f>
        <v>0</v>
      </c>
      <c r="AY803" s="1194">
        <f>VLOOKUP('Bilateral Assistance, MAIN DATA'!B803,'Country Summary (€)'!B:F,COLUMN('Country Summary (€)'!C814)-1,FALSE)</f>
        <v>1</v>
      </c>
      <c r="AZ803" s="1194" t="str">
        <f>IF(AND(AD803=1,D803="Military",H803&lt;&gt;"Not given")=TRUE,IF(SUMIFS(P:P,A:A,A803)&gt;0,ABS((SUMIFS(P:P,A:A,A803)/VLOOKUP("USD",'Exchange Rates'!B:C,2,0)))/S803,"."),".")</f>
        <v>.</v>
      </c>
      <c r="BA803" s="1196" t="str">
        <f>IF(AND(AD803=1,D803="Military",H803&lt;&gt;"Not given")=TRUE,IF(SUMIFS(P:P,A:A,A803)&gt;0,IF((ABS((SUMIFS(P:P,A:A,A803)/VLOOKUP("USD",'Exchange Rates'!B:C,2,0)))/S803)&gt;1,(SUMIFS(P:P,A:A,A803)-S803)/S803,(S803-SUMIFS(P:P,A:A,A803))/SUMIFS(P:P,A:A,A803)),"."),".")</f>
        <v>.</v>
      </c>
    </row>
    <row r="804" spans="1:53" ht="15.95" customHeight="1">
      <c r="A804" s="1180" t="s">
        <v>2263</v>
      </c>
      <c r="B804" s="1180" t="s">
        <v>2204</v>
      </c>
      <c r="C804" s="1181" t="s">
        <v>1443</v>
      </c>
      <c r="D804" s="1182" t="s">
        <v>389</v>
      </c>
      <c r="E804" s="1182" t="s">
        <v>443</v>
      </c>
      <c r="F804" s="1263" t="s">
        <v>2264</v>
      </c>
      <c r="G804" s="1184" t="s">
        <v>483</v>
      </c>
      <c r="H804" s="1185" t="s">
        <v>457</v>
      </c>
      <c r="I804" s="1180" t="s">
        <v>1894</v>
      </c>
      <c r="J804" s="1186" t="str">
        <f>VLOOKUP($I804,'Price List, Weapons &amp; Items'!B:C,2,0)</f>
        <v>Heavy weapon</v>
      </c>
      <c r="K804" s="1186" t="str">
        <f>IF(I804=".",I804,VLOOKUP($I804,'Price List, Weapons &amp; Items'!B:D,3,0))</f>
        <v>155mm howitzer</v>
      </c>
      <c r="L804" s="1187">
        <f>VLOOKUP(I804,'Price List, Weapons &amp; Items'!B:E,4,0)</f>
        <v>0</v>
      </c>
      <c r="M804" s="1188">
        <v>6</v>
      </c>
      <c r="N804" s="1188">
        <v>6</v>
      </c>
      <c r="O804" s="1188">
        <f>VLOOKUP($I804,'Price List, Weapons &amp; Items'!B:G,6,0)</f>
        <v>13778907.188501142</v>
      </c>
      <c r="P804" s="1185">
        <f t="shared" si="171"/>
        <v>82673443.131006852</v>
      </c>
      <c r="Q804" s="1185">
        <f t="shared" si="172"/>
        <v>82673443.131006852</v>
      </c>
      <c r="R804" s="1185" t="str">
        <f t="shared" si="168"/>
        <v/>
      </c>
      <c r="S804" s="1185" t="str">
        <f>IF(AND(AD804=1,R804&lt;&gt;".")=TRUE,R804/VLOOKUP(G804,'Exchange Rates'!B:C,2,0),IF(R804=".",".",""))</f>
        <v/>
      </c>
      <c r="T804" s="1185" t="str">
        <f>IF(AD804=1,IF(AF804="Value is not given at all",".",IF(AF804="Value is given by the source",S804,IF(AF804="Value is calculated with prices",(IF(SUMIFS(Q:Q,A:A,A804)&gt;0,SUMIFS(Q:Q,A:A,A804),"."))/VLOOKUP("USD",'Exchange Rates'!B:C,2,0),"Error with coding"))),"")</f>
        <v/>
      </c>
      <c r="U804" s="1184" t="s">
        <v>365</v>
      </c>
      <c r="V804" s="1011" t="s">
        <v>2265</v>
      </c>
      <c r="W804" s="1011" t="s">
        <v>2266</v>
      </c>
      <c r="X804" s="1011" t="s">
        <v>2267</v>
      </c>
      <c r="Y804" s="1011" t="s">
        <v>2261</v>
      </c>
      <c r="Z804" s="1184">
        <v>0</v>
      </c>
      <c r="AA804" s="1194">
        <v>0</v>
      </c>
      <c r="AB804" s="966" t="s">
        <v>2268</v>
      </c>
      <c r="AC804" s="1192" t="str">
        <f>""</f>
        <v/>
      </c>
      <c r="AD804" s="1193">
        <v>0</v>
      </c>
      <c r="AE804" s="1193" t="s">
        <v>436</v>
      </c>
      <c r="AF804" s="1193" t="s">
        <v>369</v>
      </c>
      <c r="AG804" s="985">
        <v>1</v>
      </c>
      <c r="AH804" s="1193">
        <v>10</v>
      </c>
      <c r="AI804" s="1193">
        <v>0</v>
      </c>
      <c r="AJ804" s="1193">
        <f>VLOOKUP($I804,'Price List, Weapons &amp; Items'!B:F,5,0)</f>
        <v>1</v>
      </c>
      <c r="AK804" s="1193">
        <f t="shared" si="173"/>
        <v>0</v>
      </c>
      <c r="AL804" s="1193">
        <f t="shared" si="174"/>
        <v>0</v>
      </c>
      <c r="AM804" s="1193">
        <f t="shared" si="175"/>
        <v>0</v>
      </c>
      <c r="AN804" s="1194" t="str">
        <f>VLOOKUP($I804,'Price List, Weapons &amp; Items'!B:L,COLUMN('Price List, Weapons &amp; Items'!$J$11)-1,0)</f>
        <v>Contracts</v>
      </c>
      <c r="AO804" s="1194" t="str">
        <f>IF(I804=".",".",VLOOKUP($I804,'Price List, Weapons &amp; Items'!B:J,3,0))</f>
        <v>155mm howitzer</v>
      </c>
      <c r="AP804" s="1195" t="str">
        <f t="shared" ca="1" si="169"/>
        <v/>
      </c>
      <c r="AQ804" s="1194">
        <f>VLOOKUP($I804,'Price List, Weapons &amp; Items'!B:L,COLUMN('Price List, Weapons &amp; Items'!$L$11)-1,0)</f>
        <v>2</v>
      </c>
      <c r="AR804" s="1194">
        <f t="shared" si="176"/>
        <v>1</v>
      </c>
      <c r="AS804" s="1194">
        <f t="shared" si="177"/>
        <v>1</v>
      </c>
      <c r="AT804" s="1194" t="str">
        <f t="shared" si="178"/>
        <v>Value is not in date format</v>
      </c>
      <c r="AU804" s="1194" t="str">
        <f t="shared" si="179"/>
        <v>.</v>
      </c>
      <c r="AV804" s="1194" t="str">
        <f t="shared" si="170"/>
        <v>.</v>
      </c>
      <c r="AW804" s="1194" t="str">
        <f t="shared" si="180"/>
        <v>.</v>
      </c>
      <c r="AX804" s="1194">
        <f>IFERROR(VLOOKUP(B804,'Share, Heavy Weapons to Ukraine'!B:Z,COLUMN('Share, Heavy Weapons to Ukraine'!C814)-1,0),0)</f>
        <v>0</v>
      </c>
      <c r="AY804" s="1194">
        <f>VLOOKUP('Bilateral Assistance, MAIN DATA'!B804,'Country Summary (€)'!B:F,COLUMN('Country Summary (€)'!C815)-1,FALSE)</f>
        <v>1</v>
      </c>
      <c r="AZ804" s="1194" t="str">
        <f>IF(AND(AD804=1,D804="Military",H804&lt;&gt;"Not given")=TRUE,IF(SUMIFS(P:P,A:A,A804)&gt;0,ABS((SUMIFS(P:P,A:A,A804)/VLOOKUP("USD",'Exchange Rates'!B:C,2,0)))/S804,"."),".")</f>
        <v>.</v>
      </c>
      <c r="BA804" s="1196" t="str">
        <f>IF(AND(AD804=1,D804="Military",H804&lt;&gt;"Not given")=TRUE,IF(SUMIFS(P:P,A:A,A804)&gt;0,IF((ABS((SUMIFS(P:P,A:A,A804)/VLOOKUP("USD",'Exchange Rates'!B:C,2,0)))/S804)&gt;1,(SUMIFS(P:P,A:A,A804)-S804)/S804,(S804-SUMIFS(P:P,A:A,A804))/SUMIFS(P:P,A:A,A804)),"."),".")</f>
        <v>.</v>
      </c>
    </row>
    <row r="805" spans="1:53" ht="15.95" customHeight="1">
      <c r="A805" s="1180" t="s">
        <v>2263</v>
      </c>
      <c r="B805" s="1180" t="s">
        <v>2204</v>
      </c>
      <c r="C805" s="1181" t="s">
        <v>1443</v>
      </c>
      <c r="D805" s="1182" t="s">
        <v>389</v>
      </c>
      <c r="E805" s="1182" t="s">
        <v>443</v>
      </c>
      <c r="F805" s="1263" t="s">
        <v>2264</v>
      </c>
      <c r="G805" s="1184" t="s">
        <v>483</v>
      </c>
      <c r="H805" s="1185" t="s">
        <v>457</v>
      </c>
      <c r="I805" s="1180" t="s">
        <v>2269</v>
      </c>
      <c r="J805" s="1186" t="str">
        <f>VLOOKUP($I805,'Price List, Weapons &amp; Items'!B:C,2,0)</f>
        <v>Heavy weapon</v>
      </c>
      <c r="K805" s="1186" t="str">
        <f>IF(I805=".",I805,VLOOKUP($I805,'Price List, Weapons &amp; Items'!B:D,3,0))</f>
        <v>155mm howitzer</v>
      </c>
      <c r="L805" s="1187">
        <f>VLOOKUP(I805,'Price List, Weapons &amp; Items'!B:E,4,0)</f>
        <v>0</v>
      </c>
      <c r="M805" s="1188">
        <v>30</v>
      </c>
      <c r="N805" s="1188">
        <v>30</v>
      </c>
      <c r="O805" s="1188">
        <f>VLOOKUP($I805,'Price List, Weapons &amp; Items'!B:G,6,0)</f>
        <v>1734787.30789614</v>
      </c>
      <c r="P805" s="1185">
        <f t="shared" si="171"/>
        <v>52043619.236884199</v>
      </c>
      <c r="Q805" s="1185">
        <f t="shared" si="172"/>
        <v>52043619.236884199</v>
      </c>
      <c r="R805" s="1185" t="str">
        <f t="shared" si="168"/>
        <v/>
      </c>
      <c r="S805" s="1185" t="str">
        <f>IF(AND(AD805=1,R805&lt;&gt;".")=TRUE,R805/VLOOKUP(G805,'Exchange Rates'!B:C,2,0),IF(R805=".",".",""))</f>
        <v/>
      </c>
      <c r="T805" s="1185" t="str">
        <f>IF(AD805=1,IF(AF805="Value is not given at all",".",IF(AF805="Value is given by the source",S805,IF(AF805="Value is calculated with prices",(IF(SUMIFS(Q:Q,A:A,A805)&gt;0,SUMIFS(Q:Q,A:A,A805),"."))/VLOOKUP("USD",'Exchange Rates'!B:C,2,0),"Error with coding"))),"")</f>
        <v/>
      </c>
      <c r="U805" s="1184" t="s">
        <v>365</v>
      </c>
      <c r="V805" s="1011" t="s">
        <v>2265</v>
      </c>
      <c r="W805" s="1011" t="s">
        <v>2266</v>
      </c>
      <c r="X805" s="1011" t="s">
        <v>2267</v>
      </c>
      <c r="Y805" s="1011" t="s">
        <v>2261</v>
      </c>
      <c r="Z805" s="1184">
        <v>0</v>
      </c>
      <c r="AA805" s="1194">
        <v>0</v>
      </c>
      <c r="AB805" s="1020" t="s">
        <v>2270</v>
      </c>
      <c r="AC805" s="1192" t="str">
        <f>""</f>
        <v/>
      </c>
      <c r="AD805" s="1193">
        <v>0</v>
      </c>
      <c r="AE805" s="1193" t="s">
        <v>436</v>
      </c>
      <c r="AF805" s="1193" t="s">
        <v>436</v>
      </c>
      <c r="AG805" s="985">
        <v>1</v>
      </c>
      <c r="AH805" s="1193">
        <v>10</v>
      </c>
      <c r="AI805" s="1193">
        <v>0</v>
      </c>
      <c r="AJ805" s="1193">
        <f>VLOOKUP($I805,'Price List, Weapons &amp; Items'!B:F,5,0)</f>
        <v>1</v>
      </c>
      <c r="AK805" s="1193">
        <f t="shared" si="173"/>
        <v>0</v>
      </c>
      <c r="AL805" s="1193">
        <f t="shared" si="174"/>
        <v>0</v>
      </c>
      <c r="AM805" s="1193">
        <f t="shared" si="175"/>
        <v>0</v>
      </c>
      <c r="AN805" s="1194" t="str">
        <f>VLOOKUP($I805,'Price List, Weapons &amp; Items'!B:L,COLUMN('Price List, Weapons &amp; Items'!$J$11)-1,0)</f>
        <v>Contracts</v>
      </c>
      <c r="AO805" s="1194" t="str">
        <f>IF(I805=".",".",VLOOKUP($I805,'Price List, Weapons &amp; Items'!B:J,3,0))</f>
        <v>155mm howitzer</v>
      </c>
      <c r="AP805" s="1195" t="str">
        <f t="shared" ca="1" si="169"/>
        <v/>
      </c>
      <c r="AQ805" s="1194">
        <f>VLOOKUP($I805,'Price List, Weapons &amp; Items'!B:L,COLUMN('Price List, Weapons &amp; Items'!$L$11)-1,0)</f>
        <v>2</v>
      </c>
      <c r="AR805" s="1194">
        <f t="shared" si="176"/>
        <v>1</v>
      </c>
      <c r="AS805" s="1194">
        <f t="shared" si="177"/>
        <v>1</v>
      </c>
      <c r="AT805" s="1194" t="str">
        <f t="shared" si="178"/>
        <v>Value is not in date format</v>
      </c>
      <c r="AU805" s="1194" t="str">
        <f t="shared" si="179"/>
        <v>.</v>
      </c>
      <c r="AV805" s="1194" t="str">
        <f t="shared" si="170"/>
        <v>.</v>
      </c>
      <c r="AW805" s="1194" t="str">
        <f t="shared" si="180"/>
        <v>.</v>
      </c>
      <c r="AX805" s="1194">
        <f>IFERROR(VLOOKUP(B805,'Share, Heavy Weapons to Ukraine'!B:Z,COLUMN('Share, Heavy Weapons to Ukraine'!C815)-1,0),0)</f>
        <v>0</v>
      </c>
      <c r="AY805" s="1194">
        <f>VLOOKUP('Bilateral Assistance, MAIN DATA'!B805,'Country Summary (€)'!B:F,COLUMN('Country Summary (€)'!C816)-1,FALSE)</f>
        <v>1</v>
      </c>
      <c r="AZ805" s="1194" t="str">
        <f>IF(AND(AD805=1,D805="Military",H805&lt;&gt;"Not given")=TRUE,IF(SUMIFS(P:P,A:A,A805)&gt;0,ABS((SUMIFS(P:P,A:A,A805)/VLOOKUP("USD",'Exchange Rates'!B:C,2,0)))/S805,"."),".")</f>
        <v>.</v>
      </c>
      <c r="BA805" s="1196" t="str">
        <f>IF(AND(AD805=1,D805="Military",H805&lt;&gt;"Not given")=TRUE,IF(SUMIFS(P:P,A:A,A805)&gt;0,IF((ABS((SUMIFS(P:P,A:A,A805)/VLOOKUP("USD",'Exchange Rates'!B:C,2,0)))/S805)&gt;1,(SUMIFS(P:P,A:A,A805)-S805)/S805,(S805-SUMIFS(P:P,A:A,A805))/SUMIFS(P:P,A:A,A805)),"."),".")</f>
        <v>.</v>
      </c>
    </row>
    <row r="806" spans="1:53" ht="15.95" customHeight="1">
      <c r="A806" s="1180" t="s">
        <v>2263</v>
      </c>
      <c r="B806" s="1180" t="s">
        <v>2204</v>
      </c>
      <c r="C806" s="1181" t="s">
        <v>1443</v>
      </c>
      <c r="D806" s="1182" t="s">
        <v>389</v>
      </c>
      <c r="E806" s="1182" t="s">
        <v>443</v>
      </c>
      <c r="F806" s="1263" t="s">
        <v>2264</v>
      </c>
      <c r="G806" s="1184" t="s">
        <v>483</v>
      </c>
      <c r="H806" s="1185" t="s">
        <v>457</v>
      </c>
      <c r="I806" s="1180" t="s">
        <v>428</v>
      </c>
      <c r="J806" s="1186" t="str">
        <f>VLOOKUP($I806,'Price List, Weapons &amp; Items'!B:C,2,0)</f>
        <v>Heavy weapon</v>
      </c>
      <c r="K806" s="1186" t="str">
        <f>IF(I806=".",I806,VLOOKUP($I806,'Price List, Weapons &amp; Items'!B:D,3,0))</f>
        <v>Armored Personnel Carrier (APC)</v>
      </c>
      <c r="L806" s="1187">
        <f>VLOOKUP(I806,'Price List, Weapons &amp; Items'!B:E,4,0)</f>
        <v>0</v>
      </c>
      <c r="M806" s="1188">
        <v>24</v>
      </c>
      <c r="N806" s="1188" t="s">
        <v>374</v>
      </c>
      <c r="O806" s="1188">
        <f>VLOOKUP($I806,'Price List, Weapons &amp; Items'!B:G,6,0)</f>
        <v>300000</v>
      </c>
      <c r="P806" s="1185">
        <f t="shared" si="171"/>
        <v>7200000</v>
      </c>
      <c r="Q806" s="1185" t="str">
        <f t="shared" si="172"/>
        <v>.</v>
      </c>
      <c r="R806" s="1185" t="str">
        <f t="shared" si="168"/>
        <v/>
      </c>
      <c r="S806" s="1185" t="str">
        <f>IF(AND(AD806=1,R806&lt;&gt;".")=TRUE,R806/VLOOKUP(G806,'Exchange Rates'!B:C,2,0),IF(R806=".",".",""))</f>
        <v/>
      </c>
      <c r="T806" s="1185" t="str">
        <f>IF(AD806=1,IF(AF806="Value is not given at all",".",IF(AF806="Value is given by the source",S806,IF(AF806="Value is calculated with prices",(IF(SUMIFS(Q:Q,A:A,A806)&gt;0,SUMIFS(Q:Q,A:A,A806),"."))/VLOOKUP("USD",'Exchange Rates'!B:C,2,0),"Error with coding"))),"")</f>
        <v/>
      </c>
      <c r="U806" s="1184" t="s">
        <v>365</v>
      </c>
      <c r="V806" s="1011" t="s">
        <v>2265</v>
      </c>
      <c r="W806" s="1011" t="s">
        <v>2266</v>
      </c>
      <c r="X806" s="1011" t="s">
        <v>2267</v>
      </c>
      <c r="Y806" s="1011" t="s">
        <v>2261</v>
      </c>
      <c r="Z806" s="1184">
        <v>0</v>
      </c>
      <c r="AA806" s="1194">
        <v>0</v>
      </c>
      <c r="AB806" s="1019" t="s">
        <v>364</v>
      </c>
      <c r="AC806" s="1192" t="str">
        <f>""</f>
        <v/>
      </c>
      <c r="AD806" s="1193">
        <v>0</v>
      </c>
      <c r="AE806" s="1193" t="s">
        <v>436</v>
      </c>
      <c r="AF806" s="1193" t="s">
        <v>369</v>
      </c>
      <c r="AG806" s="985">
        <v>1</v>
      </c>
      <c r="AH806" s="1193">
        <v>10</v>
      </c>
      <c r="AI806" s="1193">
        <v>0</v>
      </c>
      <c r="AJ806" s="1193">
        <f>VLOOKUP($I806,'Price List, Weapons &amp; Items'!B:F,5,0)</f>
        <v>1</v>
      </c>
      <c r="AK806" s="1193">
        <f t="shared" si="173"/>
        <v>0</v>
      </c>
      <c r="AL806" s="1193">
        <f t="shared" si="174"/>
        <v>1</v>
      </c>
      <c r="AM806" s="1193">
        <f t="shared" si="175"/>
        <v>0</v>
      </c>
      <c r="AN806" s="1194" t="str">
        <f>VLOOKUP($I806,'Price List, Weapons &amp; Items'!B:L,COLUMN('Price List, Weapons &amp; Items'!$J$11)-1,0)</f>
        <v>Military media (incl. websites)</v>
      </c>
      <c r="AO806" s="1194" t="str">
        <f>IF(I806=".",".",VLOOKUP($I806,'Price List, Weapons &amp; Items'!B:J,3,0))</f>
        <v>Armored Personnel Carrier (APC)</v>
      </c>
      <c r="AP806" s="1195" t="str">
        <f t="shared" ca="1" si="169"/>
        <v/>
      </c>
      <c r="AQ806" s="1194">
        <f>VLOOKUP($I806,'Price List, Weapons &amp; Items'!B:L,COLUMN('Price List, Weapons &amp; Items'!$L$11)-1,0)</f>
        <v>2</v>
      </c>
      <c r="AR806" s="1194">
        <f t="shared" si="176"/>
        <v>1</v>
      </c>
      <c r="AS806" s="1194">
        <f t="shared" si="177"/>
        <v>1</v>
      </c>
      <c r="AT806" s="1194" t="str">
        <f t="shared" si="178"/>
        <v>Value is not in date format</v>
      </c>
      <c r="AU806" s="1194" t="str">
        <f t="shared" si="179"/>
        <v>.</v>
      </c>
      <c r="AV806" s="1194" t="str">
        <f t="shared" si="170"/>
        <v>.</v>
      </c>
      <c r="AW806" s="1194" t="str">
        <f t="shared" si="180"/>
        <v>.</v>
      </c>
      <c r="AX806" s="1194">
        <f>IFERROR(VLOOKUP(B806,'Share, Heavy Weapons to Ukraine'!B:Z,COLUMN('Share, Heavy Weapons to Ukraine'!C816)-1,0),0)</f>
        <v>0</v>
      </c>
      <c r="AY806" s="1194">
        <f>VLOOKUP('Bilateral Assistance, MAIN DATA'!B806,'Country Summary (€)'!B:F,COLUMN('Country Summary (€)'!C817)-1,FALSE)</f>
        <v>1</v>
      </c>
      <c r="AZ806" s="1194" t="str">
        <f>IF(AND(AD806=1,D806="Military",H806&lt;&gt;"Not given")=TRUE,IF(SUMIFS(P:P,A:A,A806)&gt;0,ABS((SUMIFS(P:P,A:A,A806)/VLOOKUP("USD",'Exchange Rates'!B:C,2,0)))/S806,"."),".")</f>
        <v>.</v>
      </c>
      <c r="BA806" s="1196" t="str">
        <f>IF(AND(AD806=1,D806="Military",H806&lt;&gt;"Not given")=TRUE,IF(SUMIFS(P:P,A:A,A806)&gt;0,IF((ABS((SUMIFS(P:P,A:A,A806)/VLOOKUP("USD",'Exchange Rates'!B:C,2,0)))/S806)&gt;1,(SUMIFS(P:P,A:A,A806)-S806)/S806,(S806-SUMIFS(P:P,A:A,A806))/SUMIFS(P:P,A:A,A806)),"."),".")</f>
        <v>.</v>
      </c>
    </row>
    <row r="807" spans="1:53" ht="15.95" customHeight="1">
      <c r="A807" s="1180" t="s">
        <v>2271</v>
      </c>
      <c r="B807" s="1180" t="s">
        <v>2204</v>
      </c>
      <c r="C807" s="1181">
        <v>44939</v>
      </c>
      <c r="D807" s="1182" t="s">
        <v>389</v>
      </c>
      <c r="E807" s="1182" t="s">
        <v>1676</v>
      </c>
      <c r="F807" s="1183" t="s">
        <v>2272</v>
      </c>
      <c r="G807" s="1184" t="s">
        <v>483</v>
      </c>
      <c r="H807" s="1185" t="s">
        <v>457</v>
      </c>
      <c r="I807" s="1239" t="s">
        <v>2273</v>
      </c>
      <c r="J807" s="1186" t="str">
        <f>VLOOKUP($I807,'Price List, Weapons &amp; Items'!B:C,2,0)</f>
        <v>Heavy weapon</v>
      </c>
      <c r="K807" s="1186" t="str">
        <f>IF(I807=".",I807,VLOOKUP($I807,'Price List, Weapons &amp; Items'!B:D,3,0))</f>
        <v>Anti-aircraft surface-to-air missile (SAM) system (long-range)</v>
      </c>
      <c r="L807" s="1187">
        <f>VLOOKUP(I807,'Price List, Weapons &amp; Items'!B:E,4,0)</f>
        <v>0</v>
      </c>
      <c r="M807" s="1188">
        <v>1</v>
      </c>
      <c r="N807" s="1188">
        <v>1</v>
      </c>
      <c r="O807" s="1188">
        <f>VLOOKUP($I807,'Price List, Weapons &amp; Items'!B:G,6,0)</f>
        <v>341770000</v>
      </c>
      <c r="P807" s="1185">
        <f t="shared" si="171"/>
        <v>341770000</v>
      </c>
      <c r="Q807" s="1185">
        <f t="shared" si="172"/>
        <v>341770000</v>
      </c>
      <c r="R807" s="1185">
        <f t="shared" si="168"/>
        <v>341770000</v>
      </c>
      <c r="S807" s="1185">
        <f>IF(AND(AD807=1,R807&lt;&gt;".")=TRUE,R807/VLOOKUP(G807,'Exchange Rates'!B:C,2,0),IF(R807=".",".",""))</f>
        <v>341770000</v>
      </c>
      <c r="T807" s="1185">
        <f>IF(AD807=1,IF(AF807="Value is not given at all",".",IF(AF807="Value is given by the source",S807,IF(AF807="Value is calculated with prices",(IF(SUMIFS(Q:Q,A:A,A807)&gt;0,SUMIFS(Q:Q,A:A,A807),"."))/VLOOKUP("USD",'Exchange Rates'!B:C,2,0),"Error with coding"))),"")</f>
        <v>314473684.21052635</v>
      </c>
      <c r="U807" s="1184" t="s">
        <v>365</v>
      </c>
      <c r="V807" s="1020" t="s">
        <v>1701</v>
      </c>
      <c r="W807" s="1011" t="s">
        <v>2274</v>
      </c>
      <c r="X807" s="1003" t="s">
        <v>2275</v>
      </c>
      <c r="Y807" s="1003" t="s">
        <v>2276</v>
      </c>
      <c r="Z807" s="1184">
        <v>0</v>
      </c>
      <c r="AA807" s="1194">
        <v>0</v>
      </c>
      <c r="AB807" s="1020" t="s">
        <v>2277</v>
      </c>
      <c r="AC807" s="1192" t="str">
        <f>""</f>
        <v/>
      </c>
      <c r="AD807" s="1193">
        <v>1</v>
      </c>
      <c r="AE807" s="1193" t="s">
        <v>436</v>
      </c>
      <c r="AF807" s="1193" t="s">
        <v>436</v>
      </c>
      <c r="AG807" s="985">
        <v>1</v>
      </c>
      <c r="AH807" s="1193">
        <v>13</v>
      </c>
      <c r="AI807" s="1193">
        <v>0</v>
      </c>
      <c r="AJ807" s="1193">
        <f>VLOOKUP($I807,'Price List, Weapons &amp; Items'!B:F,5,0)</f>
        <v>0</v>
      </c>
      <c r="AK807" s="1193">
        <f t="shared" si="173"/>
        <v>0</v>
      </c>
      <c r="AL807" s="1193">
        <f t="shared" si="174"/>
        <v>0</v>
      </c>
      <c r="AM807" s="1193">
        <f t="shared" si="175"/>
        <v>0</v>
      </c>
      <c r="AN807" s="1194" t="str">
        <f>VLOOKUP($I807,'Price List, Weapons &amp; Items'!B:L,COLUMN('Price List, Weapons &amp; Items'!$J$11)-1,0)</f>
        <v>Contracts</v>
      </c>
      <c r="AO807" s="1194" t="str">
        <f>IF(I807=".",".",VLOOKUP($I807,'Price List, Weapons &amp; Items'!B:J,3,0))</f>
        <v>Anti-aircraft surface-to-air missile (SAM) system (long-range)</v>
      </c>
      <c r="AP807" s="1195" t="str">
        <f t="shared" ca="1" si="169"/>
        <v>SAMP/T anti-air missile defense system</v>
      </c>
      <c r="AQ807" s="1194">
        <f>VLOOKUP($I807,'Price List, Weapons &amp; Items'!B:L,COLUMN('Price List, Weapons &amp; Items'!$L$11)-1,0)</f>
        <v>2</v>
      </c>
      <c r="AR807" s="1194">
        <f t="shared" si="176"/>
        <v>1</v>
      </c>
      <c r="AS807" s="1194">
        <f t="shared" si="177"/>
        <v>1</v>
      </c>
      <c r="AT807" s="1194">
        <f t="shared" si="178"/>
        <v>1</v>
      </c>
      <c r="AU807" s="1194" t="str">
        <f t="shared" si="179"/>
        <v>.</v>
      </c>
      <c r="AV807" s="1194" t="str">
        <f t="shared" si="170"/>
        <v>.</v>
      </c>
      <c r="AW807" s="1194" t="str">
        <f t="shared" si="180"/>
        <v>.</v>
      </c>
      <c r="AX807" s="1194">
        <f>IFERROR(VLOOKUP(B807,'Share, Heavy Weapons to Ukraine'!B:Z,COLUMN('Share, Heavy Weapons to Ukraine'!C817)-1,0),0)</f>
        <v>0</v>
      </c>
      <c r="AY807" s="1194">
        <f>VLOOKUP('Bilateral Assistance, MAIN DATA'!B807,'Country Summary (€)'!B:F,COLUMN('Country Summary (€)'!C818)-1,FALSE)</f>
        <v>1</v>
      </c>
      <c r="AZ807" s="1194" t="str">
        <f>IF(AND(AD807=1,D807="Military",H807&lt;&gt;"Not given")=TRUE,IF(SUMIFS(P:P,A:A,A807)&gt;0,ABS((SUMIFS(P:P,A:A,A807)/VLOOKUP("USD",'Exchange Rates'!B:C,2,0)))/S807,"."),".")</f>
        <v>.</v>
      </c>
      <c r="BA807" s="1196" t="str">
        <f>IF(AND(AD807=1,D807="Military",H807&lt;&gt;"Not given")=TRUE,IF(SUMIFS(P:P,A:A,A807)&gt;0,IF((ABS((SUMIFS(P:P,A:A,A807)/VLOOKUP("USD",'Exchange Rates'!B:C,2,0)))/S807)&gt;1,(SUMIFS(P:P,A:A,A807)-S807)/S807,(S807-SUMIFS(P:P,A:A,A807))/SUMIFS(P:P,A:A,A807)),"."),".")</f>
        <v>.</v>
      </c>
    </row>
    <row r="808" spans="1:53" ht="15.95" customHeight="1">
      <c r="A808" s="1180" t="s">
        <v>2278</v>
      </c>
      <c r="B808" s="1180" t="s">
        <v>2204</v>
      </c>
      <c r="C808" s="1181">
        <v>44972</v>
      </c>
      <c r="D808" s="1182" t="s">
        <v>389</v>
      </c>
      <c r="E808" s="1182" t="s">
        <v>390</v>
      </c>
      <c r="F808" s="1183" t="s">
        <v>2279</v>
      </c>
      <c r="G808" s="1184" t="s">
        <v>364</v>
      </c>
      <c r="H808" s="1185" t="s">
        <v>457</v>
      </c>
      <c r="I808" s="1190" t="s">
        <v>2280</v>
      </c>
      <c r="J808" s="1186" t="str">
        <f>VLOOKUP($I808,'Price List, Weapons &amp; Items'!B:C,2,0)</f>
        <v>Heavy weapon</v>
      </c>
      <c r="K808" s="1186" t="str">
        <f>IF(I808=".",I808,VLOOKUP($I808,'Price List, Weapons &amp; Items'!B:D,3,0))</f>
        <v>Anti-aircraft surface-to-air missile (SAM) system (long-range)</v>
      </c>
      <c r="L808" s="1187">
        <f>VLOOKUP(I808,'Price List, Weapons &amp; Items'!B:E,4,0)</f>
        <v>0</v>
      </c>
      <c r="M808" s="1188" t="s">
        <v>374</v>
      </c>
      <c r="N808" s="1188" t="s">
        <v>374</v>
      </c>
      <c r="O808" s="1188">
        <f>VLOOKUP($I808,'Price List, Weapons &amp; Items'!B:G,6,0)</f>
        <v>415000000</v>
      </c>
      <c r="P808" s="1185" t="str">
        <f t="shared" si="171"/>
        <v>.</v>
      </c>
      <c r="Q808" s="1185" t="str">
        <f t="shared" si="172"/>
        <v>.</v>
      </c>
      <c r="R808" s="1185" t="str">
        <f t="shared" si="168"/>
        <v>.</v>
      </c>
      <c r="S808" s="1185" t="str">
        <f>IF(AND(AD808=1,R808&lt;&gt;".")=TRUE,R808/VLOOKUP(G808,'Exchange Rates'!B:C,2,0),IF(R808=".",".",""))</f>
        <v>.</v>
      </c>
      <c r="T808" s="1185" t="str">
        <f>IF(AD808=1,IF(AF808="Value is not given at all",".",IF(AF808="Value is given by the source",S808,IF(AF808="Value is calculated with prices",(IF(SUMIFS(Q:Q,A:A,A808)&gt;0,SUMIFS(Q:Q,A:A,A808),"."))/VLOOKUP("USD",'Exchange Rates'!B:C,2,0),"Error with coding"))),"")</f>
        <v>.</v>
      </c>
      <c r="U808" s="1184" t="s">
        <v>675</v>
      </c>
      <c r="V808" s="1020" t="s">
        <v>2281</v>
      </c>
      <c r="W808" s="1020" t="s">
        <v>2282</v>
      </c>
      <c r="X808" s="1002" t="s">
        <v>2283</v>
      </c>
      <c r="Y808" s="1003" t="s">
        <v>2284</v>
      </c>
      <c r="Z808" s="1184">
        <v>0</v>
      </c>
      <c r="AA808" s="1194">
        <v>0</v>
      </c>
      <c r="AB808" s="1019" t="s">
        <v>364</v>
      </c>
      <c r="AC808" s="1192" t="str">
        <f>""</f>
        <v/>
      </c>
      <c r="AD808" s="1193">
        <v>1</v>
      </c>
      <c r="AE808" s="1193" t="s">
        <v>436</v>
      </c>
      <c r="AF808" s="1193" t="s">
        <v>369</v>
      </c>
      <c r="AG808" s="985">
        <v>1</v>
      </c>
      <c r="AH808" s="1193">
        <v>14</v>
      </c>
      <c r="AI808" s="1193">
        <v>0</v>
      </c>
      <c r="AJ808" s="1193">
        <f>VLOOKUP($I808,'Price List, Weapons &amp; Items'!B:F,5,0)</f>
        <v>0</v>
      </c>
      <c r="AK808" s="1193">
        <f t="shared" si="173"/>
        <v>0</v>
      </c>
      <c r="AL808" s="1193">
        <f t="shared" si="174"/>
        <v>0</v>
      </c>
      <c r="AM808" s="1193">
        <f t="shared" si="175"/>
        <v>0</v>
      </c>
      <c r="AN808" s="1194" t="str">
        <f>VLOOKUP($I808,'Price List, Weapons &amp; Items'!B:L,COLUMN('Price List, Weapons &amp; Items'!$J$11)-1,0)</f>
        <v>Contracts</v>
      </c>
      <c r="AO808" s="1194" t="str">
        <f>IF(I808=".",".",VLOOKUP($I808,'Price List, Weapons &amp; Items'!B:J,3,0))</f>
        <v>Anti-aircraft surface-to-air missile (SAM) system (long-range)</v>
      </c>
      <c r="AP808" s="1195" t="str">
        <f t="shared" ca="1" si="169"/>
        <v>Spada anti-air missile defense system</v>
      </c>
      <c r="AQ808" s="1194" t="str">
        <f>VLOOKUP($I808,'Price List, Weapons &amp; Items'!B:L,COLUMN('Price List, Weapons &amp; Items'!$L$11)-1,0)</f>
        <v>no price, 0 count</v>
      </c>
      <c r="AR808" s="1194">
        <f t="shared" si="176"/>
        <v>0</v>
      </c>
      <c r="AS808" s="1194">
        <f t="shared" si="177"/>
        <v>1</v>
      </c>
      <c r="AT808" s="1194">
        <f t="shared" si="178"/>
        <v>1</v>
      </c>
      <c r="AU808" s="1194" t="str">
        <f t="shared" si="179"/>
        <v>.</v>
      </c>
      <c r="AV808" s="1194" t="str">
        <f t="shared" si="170"/>
        <v>.</v>
      </c>
      <c r="AW808" s="1194" t="str">
        <f t="shared" si="180"/>
        <v>.</v>
      </c>
      <c r="AX808" s="1194">
        <f>IFERROR(VLOOKUP(B808,'Share, Heavy Weapons to Ukraine'!B:Z,COLUMN('Share, Heavy Weapons to Ukraine'!C818)-1,0),0)</f>
        <v>0</v>
      </c>
      <c r="AY808" s="1194">
        <f>VLOOKUP('Bilateral Assistance, MAIN DATA'!B808,'Country Summary (€)'!B:F,COLUMN('Country Summary (€)'!C819)-1,FALSE)</f>
        <v>1</v>
      </c>
      <c r="AZ808" s="1194" t="str">
        <f>IF(AND(AD808=1,D808="Military",H808&lt;&gt;"Not given")=TRUE,IF(SUMIFS(P:P,A:A,A808)&gt;0,ABS((SUMIFS(P:P,A:A,A808)/VLOOKUP("USD",'Exchange Rates'!B:C,2,0)))/S808,"."),".")</f>
        <v>.</v>
      </c>
      <c r="BA808" s="1196" t="str">
        <f>IF(AND(AD808=1,D808="Military",H808&lt;&gt;"Not given")=TRUE,IF(SUMIFS(P:P,A:A,A808)&gt;0,IF((ABS((SUMIFS(P:P,A:A,A808)/VLOOKUP("USD",'Exchange Rates'!B:C,2,0)))/S808)&gt;1,(SUMIFS(P:P,A:A,A808)-S808)/S808,(S808-SUMIFS(P:P,A:A,A808))/SUMIFS(P:P,A:A,A808)),"."),".")</f>
        <v>.</v>
      </c>
    </row>
    <row r="809" spans="1:53" ht="15.95" customHeight="1">
      <c r="A809" s="1180" t="s">
        <v>2278</v>
      </c>
      <c r="B809" s="1180" t="s">
        <v>2204</v>
      </c>
      <c r="C809" s="1181">
        <v>44972</v>
      </c>
      <c r="D809" s="1182" t="s">
        <v>389</v>
      </c>
      <c r="E809" s="1182" t="s">
        <v>390</v>
      </c>
      <c r="F809" s="1183" t="s">
        <v>2279</v>
      </c>
      <c r="G809" s="1184" t="s">
        <v>364</v>
      </c>
      <c r="H809" s="1185" t="s">
        <v>457</v>
      </c>
      <c r="I809" s="1190" t="s">
        <v>2285</v>
      </c>
      <c r="J809" s="1186" t="str">
        <f>VLOOKUP($I809,'Price List, Weapons &amp; Items'!B:C,2,0)</f>
        <v>Heavy weapon</v>
      </c>
      <c r="K809" s="1186" t="str">
        <f>IF(I809=".",I809,VLOOKUP($I809,'Price List, Weapons &amp; Items'!B:D,3,0))</f>
        <v>Anti-aircraft surface-to-air missile (SAM) system (long-range)</v>
      </c>
      <c r="L809" s="1187">
        <f>VLOOKUP(I809,'Price List, Weapons &amp; Items'!B:E,4,0)</f>
        <v>0</v>
      </c>
      <c r="M809" s="1188" t="s">
        <v>374</v>
      </c>
      <c r="N809" s="1188" t="s">
        <v>374</v>
      </c>
      <c r="O809" s="1188">
        <f>VLOOKUP($I809,'Price List, Weapons &amp; Items'!B:G,6,0)</f>
        <v>4150000</v>
      </c>
      <c r="P809" s="1185" t="str">
        <f t="shared" si="171"/>
        <v>.</v>
      </c>
      <c r="Q809" s="1185" t="str">
        <f t="shared" si="172"/>
        <v>.</v>
      </c>
      <c r="R809" s="1185" t="str">
        <f t="shared" si="168"/>
        <v/>
      </c>
      <c r="S809" s="1185" t="str">
        <f>IF(AND(AD809=1,R809&lt;&gt;".")=TRUE,R809/VLOOKUP(G809,'Exchange Rates'!B:C,2,0),IF(R809=".",".",""))</f>
        <v/>
      </c>
      <c r="T809" s="1185" t="str">
        <f>IF(AD809=1,IF(AF809="Value is not given at all",".",IF(AF809="Value is given by the source",S809,IF(AF809="Value is calculated with prices",(IF(SUMIFS(Q:Q,A:A,A809)&gt;0,SUMIFS(Q:Q,A:A,A809),"."))/VLOOKUP("USD",'Exchange Rates'!B:C,2,0),"Error with coding"))),"")</f>
        <v/>
      </c>
      <c r="U809" s="1184" t="s">
        <v>675</v>
      </c>
      <c r="V809" s="1020" t="s">
        <v>2281</v>
      </c>
      <c r="W809" s="1020" t="s">
        <v>2282</v>
      </c>
      <c r="X809" s="1002" t="s">
        <v>2283</v>
      </c>
      <c r="Y809" s="1003" t="s">
        <v>2284</v>
      </c>
      <c r="Z809" s="1184">
        <v>0</v>
      </c>
      <c r="AA809" s="1194">
        <v>0</v>
      </c>
      <c r="AB809" s="1019" t="s">
        <v>364</v>
      </c>
      <c r="AC809" s="1192" t="str">
        <f>""</f>
        <v/>
      </c>
      <c r="AD809" s="1193">
        <v>0</v>
      </c>
      <c r="AE809" s="1193" t="s">
        <v>436</v>
      </c>
      <c r="AF809" s="1193" t="s">
        <v>369</v>
      </c>
      <c r="AG809" s="985">
        <v>1</v>
      </c>
      <c r="AH809" s="1193">
        <v>14</v>
      </c>
      <c r="AI809" s="1193">
        <v>0</v>
      </c>
      <c r="AJ809" s="1193">
        <f>VLOOKUP($I809,'Price List, Weapons &amp; Items'!B:F,5,0)</f>
        <v>0</v>
      </c>
      <c r="AK809" s="1193">
        <f t="shared" si="173"/>
        <v>0</v>
      </c>
      <c r="AL809" s="1193">
        <f t="shared" si="174"/>
        <v>0</v>
      </c>
      <c r="AM809" s="1193">
        <f t="shared" si="175"/>
        <v>0</v>
      </c>
      <c r="AN809" s="1194" t="str">
        <f>VLOOKUP($I809,'Price List, Weapons &amp; Items'!B:L,COLUMN('Price List, Weapons &amp; Items'!$J$11)-1,0)</f>
        <v>Contracts</v>
      </c>
      <c r="AO809" s="1194" t="str">
        <f>IF(I809=".",".",VLOOKUP($I809,'Price List, Weapons &amp; Items'!B:J,3,0))</f>
        <v>Anti-aircraft surface-to-air missile (SAM) system (long-range)</v>
      </c>
      <c r="AP809" s="1195" t="str">
        <f t="shared" ca="1" si="169"/>
        <v/>
      </c>
      <c r="AQ809" s="1194" t="str">
        <f>VLOOKUP($I809,'Price List, Weapons &amp; Items'!B:L,COLUMN('Price List, Weapons &amp; Items'!$L$11)-1,0)</f>
        <v>no price, 0 count</v>
      </c>
      <c r="AR809" s="1194">
        <f t="shared" si="176"/>
        <v>0</v>
      </c>
      <c r="AS809" s="1194">
        <f t="shared" si="177"/>
        <v>1</v>
      </c>
      <c r="AT809" s="1194">
        <f t="shared" si="178"/>
        <v>1</v>
      </c>
      <c r="AU809" s="1194" t="str">
        <f t="shared" si="179"/>
        <v>.</v>
      </c>
      <c r="AV809" s="1194" t="str">
        <f t="shared" si="170"/>
        <v>.</v>
      </c>
      <c r="AW809" s="1194" t="str">
        <f t="shared" si="180"/>
        <v>.</v>
      </c>
      <c r="AX809" s="1194">
        <f>IFERROR(VLOOKUP(B809,'Share, Heavy Weapons to Ukraine'!B:Z,COLUMN('Share, Heavy Weapons to Ukraine'!C819)-1,0),0)</f>
        <v>0</v>
      </c>
      <c r="AY809" s="1194">
        <f>VLOOKUP('Bilateral Assistance, MAIN DATA'!B809,'Country Summary (€)'!B:F,COLUMN('Country Summary (€)'!C820)-1,FALSE)</f>
        <v>1</v>
      </c>
      <c r="AZ809" s="1194" t="str">
        <f>IF(AND(AD809=1,D809="Military",H809&lt;&gt;"Not given")=TRUE,IF(SUMIFS(P:P,A:A,A809)&gt;0,ABS((SUMIFS(P:P,A:A,A809)/VLOOKUP("USD",'Exchange Rates'!B:C,2,0)))/S809,"."),".")</f>
        <v>.</v>
      </c>
      <c r="BA809" s="1196" t="str">
        <f>IF(AND(AD809=1,D809="Military",H809&lt;&gt;"Not given")=TRUE,IF(SUMIFS(P:P,A:A,A809)&gt;0,IF((ABS((SUMIFS(P:P,A:A,A809)/VLOOKUP("USD",'Exchange Rates'!B:C,2,0)))/S809)&gt;1,(SUMIFS(P:P,A:A,A809)-S809)/S809,(S809-SUMIFS(P:P,A:A,A809))/SUMIFS(P:P,A:A,A809)),"."),".")</f>
        <v>.</v>
      </c>
    </row>
    <row r="810" spans="1:53" ht="15.95" customHeight="1">
      <c r="A810" s="1180" t="s">
        <v>2286</v>
      </c>
      <c r="B810" s="1180" t="s">
        <v>2204</v>
      </c>
      <c r="C810" s="1181">
        <v>45004</v>
      </c>
      <c r="D810" s="1182" t="s">
        <v>389</v>
      </c>
      <c r="E810" s="1182" t="s">
        <v>2026</v>
      </c>
      <c r="F810" s="1183" t="s">
        <v>2287</v>
      </c>
      <c r="G810" s="1184" t="s">
        <v>483</v>
      </c>
      <c r="H810" s="1185" t="s">
        <v>457</v>
      </c>
      <c r="I810" s="1190" t="s">
        <v>364</v>
      </c>
      <c r="J810" s="1186" t="str">
        <f>VLOOKUP($I810,'Price List, Weapons &amp; Items'!B:C,2,0)</f>
        <v>.</v>
      </c>
      <c r="K810" s="1186" t="str">
        <f>IF(I810=".",I810,VLOOKUP($I810,'Price List, Weapons &amp; Items'!B:D,3,0))</f>
        <v>.</v>
      </c>
      <c r="L810" s="1187">
        <f>VLOOKUP(I810,'Price List, Weapons &amp; Items'!B:E,4,0)</f>
        <v>0</v>
      </c>
      <c r="M810" s="1188" t="s">
        <v>364</v>
      </c>
      <c r="N810" s="1188" t="s">
        <v>364</v>
      </c>
      <c r="O810" s="1188" t="str">
        <f>VLOOKUP($I810,'Price List, Weapons &amp; Items'!B:G,6,0)</f>
        <v>.</v>
      </c>
      <c r="P810" s="1185" t="str">
        <f t="shared" si="171"/>
        <v>.</v>
      </c>
      <c r="Q810" s="1185" t="str">
        <f t="shared" si="172"/>
        <v>.</v>
      </c>
      <c r="R810" s="1185" t="str">
        <f t="shared" si="168"/>
        <v>.</v>
      </c>
      <c r="S810" s="1185" t="str">
        <f>IF(AND(AD810=1,R810&lt;&gt;".")=TRUE,R810/VLOOKUP(G810,'Exchange Rates'!B:C,2,0),IF(R810=".",".",""))</f>
        <v>.</v>
      </c>
      <c r="T810" s="1185" t="str">
        <f>IF(AD810=1,IF(AF810="Value is not given at all",".",IF(AF810="Value is given by the source",S810,IF(AF810="Value is calculated with prices",(IF(SUMIFS(Q:Q,A:A,A810)&gt;0,SUMIFS(Q:Q,A:A,A810),"."))/VLOOKUP("USD",'Exchange Rates'!B:C,2,0),"Error with coding"))),"")</f>
        <v>.</v>
      </c>
      <c r="U810" s="1184" t="s">
        <v>675</v>
      </c>
      <c r="V810" s="1020" t="s">
        <v>2288</v>
      </c>
      <c r="W810" s="1020" t="s">
        <v>2289</v>
      </c>
      <c r="X810" s="1003" t="s">
        <v>2277</v>
      </c>
      <c r="Y810" s="1024" t="s">
        <v>364</v>
      </c>
      <c r="Z810" s="1184">
        <v>0</v>
      </c>
      <c r="AA810" s="1194">
        <v>1</v>
      </c>
      <c r="AB810" s="1019" t="s">
        <v>364</v>
      </c>
      <c r="AC810" s="1192" t="str">
        <f>""</f>
        <v/>
      </c>
      <c r="AD810" s="1193">
        <v>1</v>
      </c>
      <c r="AE810" s="1193" t="s">
        <v>369</v>
      </c>
      <c r="AF810" s="1193" t="s">
        <v>369</v>
      </c>
      <c r="AG810" s="985">
        <v>1</v>
      </c>
      <c r="AH810" s="1193">
        <v>15</v>
      </c>
      <c r="AI810" s="1193">
        <v>0</v>
      </c>
      <c r="AJ810" s="1193">
        <f>VLOOKUP($I810,'Price List, Weapons &amp; Items'!B:F,5,0)</f>
        <v>0</v>
      </c>
      <c r="AK810" s="1193">
        <f t="shared" si="173"/>
        <v>0</v>
      </c>
      <c r="AL810" s="1193">
        <f t="shared" si="174"/>
        <v>0</v>
      </c>
      <c r="AM810" s="1193">
        <f t="shared" si="175"/>
        <v>0</v>
      </c>
      <c r="AN810" s="1194" t="str">
        <f>VLOOKUP($I810,'Price List, Weapons &amp; Items'!B:L,COLUMN('Price List, Weapons &amp; Items'!$J$11)-1,0)</f>
        <v>.</v>
      </c>
      <c r="AO810" s="1194" t="str">
        <f>IF(I810=".",".",VLOOKUP($I810,'Price List, Weapons &amp; Items'!B:J,3,0))</f>
        <v>.</v>
      </c>
      <c r="AP810" s="1195" t="str">
        <f t="shared" ca="1" si="169"/>
        <v>.</v>
      </c>
      <c r="AQ810" s="1194">
        <f>VLOOKUP($I810,'Price List, Weapons &amp; Items'!B:L,COLUMN('Price List, Weapons &amp; Items'!$L$11)-1,0)</f>
        <v>0</v>
      </c>
      <c r="AR810" s="1194">
        <f t="shared" si="176"/>
        <v>0</v>
      </c>
      <c r="AS810" s="1194">
        <f t="shared" si="177"/>
        <v>0</v>
      </c>
      <c r="AT810" s="1194">
        <f t="shared" si="178"/>
        <v>1</v>
      </c>
      <c r="AU810" s="1194" t="str">
        <f t="shared" si="179"/>
        <v>.</v>
      </c>
      <c r="AV810" s="1194" t="str">
        <f t="shared" si="170"/>
        <v>.</v>
      </c>
      <c r="AW810" s="1194" t="str">
        <f t="shared" si="180"/>
        <v>.</v>
      </c>
      <c r="AX810" s="1194">
        <f>IFERROR(VLOOKUP(B810,'Share, Heavy Weapons to Ukraine'!B:Z,COLUMN('Share, Heavy Weapons to Ukraine'!C820)-1,0),0)</f>
        <v>0</v>
      </c>
      <c r="AY810" s="1194">
        <f>VLOOKUP('Bilateral Assistance, MAIN DATA'!B810,'Country Summary (€)'!B:F,COLUMN('Country Summary (€)'!C821)-1,FALSE)</f>
        <v>1</v>
      </c>
      <c r="AZ810" s="1194" t="str">
        <f>IF(AND(AD810=1,D810="Military",H810&lt;&gt;"Not given")=TRUE,IF(SUMIFS(P:P,A:A,A810)&gt;0,ABS((SUMIFS(P:P,A:A,A810)/VLOOKUP("USD",'Exchange Rates'!B:C,2,0)))/S810,"."),".")</f>
        <v>.</v>
      </c>
      <c r="BA810" s="1196" t="str">
        <f>IF(AND(AD810=1,D810="Military",H810&lt;&gt;"Not given")=TRUE,IF(SUMIFS(P:P,A:A,A810)&gt;0,IF((ABS((SUMIFS(P:P,A:A,A810)/VLOOKUP("USD",'Exchange Rates'!B:C,2,0)))/S810)&gt;1,(SUMIFS(P:P,A:A,A810)-S810)/S810,(S810-SUMIFS(P:P,A:A,A810))/SUMIFS(P:P,A:A,A810)),"."),".")</f>
        <v>.</v>
      </c>
    </row>
    <row r="811" spans="1:53" ht="15.95" customHeight="1">
      <c r="A811" s="1180" t="s">
        <v>2290</v>
      </c>
      <c r="B811" s="1180" t="s">
        <v>2204</v>
      </c>
      <c r="C811" s="1181">
        <v>45032</v>
      </c>
      <c r="D811" s="1182" t="s">
        <v>389</v>
      </c>
      <c r="E811" s="1182" t="s">
        <v>443</v>
      </c>
      <c r="F811" s="1183" t="s">
        <v>2291</v>
      </c>
      <c r="G811" s="1184" t="s">
        <v>483</v>
      </c>
      <c r="H811" s="1185" t="s">
        <v>457</v>
      </c>
      <c r="I811" s="1180" t="s">
        <v>2269</v>
      </c>
      <c r="J811" s="1186" t="str">
        <f>VLOOKUP($I811,'Price List, Weapons &amp; Items'!B:C,2,0)</f>
        <v>Heavy weapon</v>
      </c>
      <c r="K811" s="1186" t="str">
        <f>IF(I811=".",I811,VLOOKUP($I811,'Price List, Weapons &amp; Items'!B:D,3,0))</f>
        <v>155mm howitzer</v>
      </c>
      <c r="L811" s="1187">
        <f>VLOOKUP(I811,'Price List, Weapons &amp; Items'!B:E,4,0)</f>
        <v>0</v>
      </c>
      <c r="M811" s="1188">
        <v>30</v>
      </c>
      <c r="N811" s="1188" t="s">
        <v>374</v>
      </c>
      <c r="O811" s="1188">
        <f>VLOOKUP($I811,'Price List, Weapons &amp; Items'!B:G,6,0)</f>
        <v>1734787.30789614</v>
      </c>
      <c r="P811" s="1185">
        <f t="shared" si="171"/>
        <v>52043619.236884199</v>
      </c>
      <c r="Q811" s="1185" t="str">
        <f t="shared" si="172"/>
        <v>.</v>
      </c>
      <c r="R811" s="1185">
        <f t="shared" si="168"/>
        <v>52043619.236884199</v>
      </c>
      <c r="S811" s="1185">
        <f>IF(AND(AD811=1,R811&lt;&gt;".")=TRUE,R811/VLOOKUP(G811,'Exchange Rates'!B:C,2,0),IF(R811=".",".",""))</f>
        <v>52043619.236884199</v>
      </c>
      <c r="T811" s="1185" t="str">
        <f>IF(AD811=1,IF(AF811="Value is not given at all",".",IF(AF811="Value is given by the source",S811,IF(AF811="Value is calculated with prices",(IF(SUMIFS(Q:Q,A:A,A811)&gt;0,SUMIFS(Q:Q,A:A,A811),"."))/VLOOKUP("USD",'Exchange Rates'!B:C,2,0),"Error with coding"))),"")</f>
        <v>.</v>
      </c>
      <c r="U811" s="1184" t="s">
        <v>675</v>
      </c>
      <c r="V811" s="1020" t="s">
        <v>2270</v>
      </c>
      <c r="W811" s="1020" t="s">
        <v>2292</v>
      </c>
      <c r="X811" s="1024" t="s">
        <v>364</v>
      </c>
      <c r="Y811" s="1024" t="s">
        <v>364</v>
      </c>
      <c r="Z811" s="1184">
        <v>0</v>
      </c>
      <c r="AA811" s="1194">
        <v>1</v>
      </c>
      <c r="AB811" s="1019" t="s">
        <v>364</v>
      </c>
      <c r="AC811" s="1192" t="str">
        <f>""</f>
        <v/>
      </c>
      <c r="AD811" s="1193">
        <v>1</v>
      </c>
      <c r="AE811" s="1193" t="s">
        <v>436</v>
      </c>
      <c r="AF811" s="1193" t="s">
        <v>369</v>
      </c>
      <c r="AG811" s="985">
        <v>1</v>
      </c>
      <c r="AH811" s="1193">
        <v>16</v>
      </c>
      <c r="AI811" s="1193">
        <v>0</v>
      </c>
      <c r="AJ811" s="1193">
        <f>VLOOKUP($I811,'Price List, Weapons &amp; Items'!B:F,5,0)</f>
        <v>1</v>
      </c>
      <c r="AK811" s="1193">
        <f t="shared" si="173"/>
        <v>0</v>
      </c>
      <c r="AL811" s="1193">
        <f t="shared" si="174"/>
        <v>1</v>
      </c>
      <c r="AM811" s="1193">
        <f t="shared" si="175"/>
        <v>0</v>
      </c>
      <c r="AN811" s="1194" t="str">
        <f>VLOOKUP($I811,'Price List, Weapons &amp; Items'!B:L,COLUMN('Price List, Weapons &amp; Items'!$J$11)-1,0)</f>
        <v>Contracts</v>
      </c>
      <c r="AO811" s="1194" t="str">
        <f>IF(I811=".",".",VLOOKUP($I811,'Price List, Weapons &amp; Items'!B:J,3,0))</f>
        <v>155mm howitzer</v>
      </c>
      <c r="AP811" s="1195" t="str">
        <f t="shared" ca="1" si="169"/>
        <v>M109 A3GM 155mm howitzer</v>
      </c>
      <c r="AQ811" s="1194">
        <f>VLOOKUP($I811,'Price List, Weapons &amp; Items'!B:L,COLUMN('Price List, Weapons &amp; Items'!$L$11)-1,0)</f>
        <v>2</v>
      </c>
      <c r="AR811" s="1194">
        <f t="shared" si="176"/>
        <v>0</v>
      </c>
      <c r="AS811" s="1194">
        <f t="shared" si="177"/>
        <v>1</v>
      </c>
      <c r="AT811" s="1194">
        <f t="shared" si="178"/>
        <v>1</v>
      </c>
      <c r="AU811" s="1194" t="str">
        <f t="shared" si="179"/>
        <v>.</v>
      </c>
      <c r="AV811" s="1194" t="str">
        <f t="shared" si="170"/>
        <v>.</v>
      </c>
      <c r="AW811" s="1194" t="str">
        <f t="shared" si="180"/>
        <v>.</v>
      </c>
      <c r="AX811" s="1194">
        <f>IFERROR(VLOOKUP(B811,'Share, Heavy Weapons to Ukraine'!B:Z,COLUMN('Share, Heavy Weapons to Ukraine'!C821)-1,0),0)</f>
        <v>0</v>
      </c>
      <c r="AY811" s="1194">
        <f>VLOOKUP('Bilateral Assistance, MAIN DATA'!B811,'Country Summary (€)'!B:F,COLUMN('Country Summary (€)'!C822)-1,FALSE)</f>
        <v>1</v>
      </c>
      <c r="AZ811" s="1194" t="str">
        <f>IF(AND(AD811=1,D811="Military",H811&lt;&gt;"Not given")=TRUE,IF(SUMIFS(P:P,A:A,A811)&gt;0,ABS((SUMIFS(P:P,A:A,A811)/VLOOKUP("USD",'Exchange Rates'!B:C,2,0)))/S811,"."),".")</f>
        <v>.</v>
      </c>
      <c r="BA811" s="1196" t="str">
        <f>IF(AND(AD811=1,D811="Military",H811&lt;&gt;"Not given")=TRUE,IF(SUMIFS(P:P,A:A,A811)&gt;0,IF((ABS((SUMIFS(P:P,A:A,A811)/VLOOKUP("USD",'Exchange Rates'!B:C,2,0)))/S811)&gt;1,(SUMIFS(P:P,A:A,A811)-S811)/S811,(S811-SUMIFS(P:P,A:A,A811))/SUMIFS(P:P,A:A,A811)),"."),".")</f>
        <v>.</v>
      </c>
    </row>
    <row r="812" spans="1:53" ht="15.95" customHeight="1">
      <c r="A812" s="1180" t="s">
        <v>2293</v>
      </c>
      <c r="B812" s="1180" t="s">
        <v>2204</v>
      </c>
      <c r="C812" s="1181">
        <v>45076</v>
      </c>
      <c r="D812" s="1182" t="s">
        <v>389</v>
      </c>
      <c r="E812" s="1182" t="s">
        <v>390</v>
      </c>
      <c r="F812" s="1183" t="s">
        <v>2294</v>
      </c>
      <c r="G812" s="1184" t="s">
        <v>483</v>
      </c>
      <c r="H812" s="1185" t="s">
        <v>457</v>
      </c>
      <c r="I812" s="1180" t="s">
        <v>364</v>
      </c>
      <c r="J812" s="1186" t="str">
        <f>VLOOKUP($I812,'Price List, Weapons &amp; Items'!B:C,2,0)</f>
        <v>.</v>
      </c>
      <c r="K812" s="1186" t="str">
        <f>IF(I812=".",I812,VLOOKUP($I812,'Price List, Weapons &amp; Items'!B:D,3,0))</f>
        <v>.</v>
      </c>
      <c r="L812" s="1187">
        <f>VLOOKUP(I812,'Price List, Weapons &amp; Items'!B:E,4,0)</f>
        <v>0</v>
      </c>
      <c r="M812" s="1188" t="s">
        <v>364</v>
      </c>
      <c r="N812" s="1188" t="s">
        <v>364</v>
      </c>
      <c r="O812" s="1188" t="str">
        <f>VLOOKUP($I812,'Price List, Weapons &amp; Items'!B:G,6,0)</f>
        <v>.</v>
      </c>
      <c r="P812" s="1185" t="str">
        <f t="shared" si="171"/>
        <v>.</v>
      </c>
      <c r="Q812" s="1185" t="str">
        <f t="shared" si="172"/>
        <v>.</v>
      </c>
      <c r="R812" s="1185" t="str">
        <f t="shared" si="168"/>
        <v>.</v>
      </c>
      <c r="S812" s="1185" t="str">
        <f>IF(AND(AD812=1,R812&lt;&gt;".")=TRUE,R812/VLOOKUP(G812,'Exchange Rates'!B:C,2,0),IF(R812=".",".",""))</f>
        <v>.</v>
      </c>
      <c r="T812" s="1185" t="str">
        <f>IF(AD812=1,IF(AF812="Value is not given at all",".",IF(AF812="Value is given by the source",S812,IF(AF812="Value is calculated with prices",(IF(SUMIFS(Q:Q,A:A,A812)&gt;0,SUMIFS(Q:Q,A:A,A812),"."))/VLOOKUP("USD",'Exchange Rates'!B:C,2,0),"Error with coding"))),"")</f>
        <v>.</v>
      </c>
      <c r="U812" s="1184" t="s">
        <v>675</v>
      </c>
      <c r="V812" s="1020" t="s">
        <v>2295</v>
      </c>
      <c r="W812" s="1020" t="s">
        <v>2296</v>
      </c>
      <c r="X812" s="1003" t="s">
        <v>2297</v>
      </c>
      <c r="Y812" s="1003" t="s">
        <v>2298</v>
      </c>
      <c r="Z812" s="1184">
        <v>0</v>
      </c>
      <c r="AA812" s="1194">
        <v>1</v>
      </c>
      <c r="AB812" s="1019" t="s">
        <v>364</v>
      </c>
      <c r="AC812" s="1192" t="str">
        <f>""</f>
        <v/>
      </c>
      <c r="AD812" s="1193">
        <v>1</v>
      </c>
      <c r="AE812" s="1193" t="s">
        <v>369</v>
      </c>
      <c r="AF812" s="1193" t="s">
        <v>369</v>
      </c>
      <c r="AG812" s="985">
        <v>1</v>
      </c>
      <c r="AH812" s="1193">
        <v>17</v>
      </c>
      <c r="AI812" s="1193">
        <v>0</v>
      </c>
      <c r="AJ812" s="1193">
        <f>VLOOKUP($I812,'Price List, Weapons &amp; Items'!B:F,5,0)</f>
        <v>0</v>
      </c>
      <c r="AK812" s="1193">
        <f t="shared" si="173"/>
        <v>0</v>
      </c>
      <c r="AL812" s="1193">
        <f t="shared" si="174"/>
        <v>0</v>
      </c>
      <c r="AM812" s="1193">
        <f t="shared" si="175"/>
        <v>0</v>
      </c>
      <c r="AN812" s="1194" t="str">
        <f>VLOOKUP($I812,'Price List, Weapons &amp; Items'!B:L,COLUMN('Price List, Weapons &amp; Items'!$J$11)-1,0)</f>
        <v>.</v>
      </c>
      <c r="AO812" s="1194" t="str">
        <f>IF(I812=".",".",VLOOKUP($I812,'Price List, Weapons &amp; Items'!B:J,3,0))</f>
        <v>.</v>
      </c>
      <c r="AP812" s="1195" t="str">
        <f t="shared" ca="1" si="169"/>
        <v>.</v>
      </c>
      <c r="AQ812" s="1194">
        <f>VLOOKUP($I812,'Price List, Weapons &amp; Items'!B:L,COLUMN('Price List, Weapons &amp; Items'!$L$11)-1,0)</f>
        <v>0</v>
      </c>
      <c r="AR812" s="1194">
        <f t="shared" si="176"/>
        <v>0</v>
      </c>
      <c r="AS812" s="1194">
        <f t="shared" si="177"/>
        <v>1</v>
      </c>
      <c r="AT812" s="1194">
        <f t="shared" si="178"/>
        <v>1</v>
      </c>
      <c r="AU812" s="1194" t="str">
        <f t="shared" si="179"/>
        <v>.</v>
      </c>
      <c r="AV812" s="1194" t="str">
        <f t="shared" si="170"/>
        <v>.</v>
      </c>
      <c r="AW812" s="1194" t="str">
        <f t="shared" si="180"/>
        <v>.</v>
      </c>
      <c r="AX812" s="1194">
        <f>IFERROR(VLOOKUP(B812,'Share, Heavy Weapons to Ukraine'!B:Z,COLUMN('Share, Heavy Weapons to Ukraine'!C822)-1,0),0)</f>
        <v>0</v>
      </c>
      <c r="AY812" s="1194">
        <f>VLOOKUP('Bilateral Assistance, MAIN DATA'!B812,'Country Summary (€)'!B:F,COLUMN('Country Summary (€)'!C823)-1,FALSE)</f>
        <v>1</v>
      </c>
      <c r="AZ812" s="1194" t="str">
        <f>IF(AND(AD812=1,D812="Military",H812&lt;&gt;"Not given")=TRUE,IF(SUMIFS(P:P,A:A,A812)&gt;0,ABS((SUMIFS(P:P,A:A,A812)/VLOOKUP("USD",'Exchange Rates'!B:C,2,0)))/S812,"."),".")</f>
        <v>.</v>
      </c>
      <c r="BA812" s="1196" t="str">
        <f>IF(AND(AD812=1,D812="Military",H812&lt;&gt;"Not given")=TRUE,IF(SUMIFS(P:P,A:A,A812)&gt;0,IF((ABS((SUMIFS(P:P,A:A,A812)/VLOOKUP("USD",'Exchange Rates'!B:C,2,0)))/S812)&gt;1,(SUMIFS(P:P,A:A,A812)-S812)/S812,(S812-SUMIFS(P:P,A:A,A812))/SUMIFS(P:P,A:A,A812)),"."),".")</f>
        <v>.</v>
      </c>
    </row>
    <row r="813" spans="1:53" ht="15.95" customHeight="1">
      <c r="A813" s="1180" t="s">
        <v>2299</v>
      </c>
      <c r="B813" s="1180" t="s">
        <v>2204</v>
      </c>
      <c r="C813" s="1181">
        <v>44619</v>
      </c>
      <c r="D813" s="1182" t="s">
        <v>544</v>
      </c>
      <c r="E813" s="1182" t="s">
        <v>481</v>
      </c>
      <c r="F813" s="1183" t="s">
        <v>2300</v>
      </c>
      <c r="G813" s="1184" t="s">
        <v>483</v>
      </c>
      <c r="H813" s="1185">
        <v>110000000</v>
      </c>
      <c r="I813" s="1180" t="s">
        <v>364</v>
      </c>
      <c r="J813" s="1186" t="str">
        <f>VLOOKUP($I813,'Price List, Weapons &amp; Items'!B:C,2,0)</f>
        <v>.</v>
      </c>
      <c r="K813" s="1186" t="str">
        <f>IF(I813=".",I813,VLOOKUP($I813,'Price List, Weapons &amp; Items'!B:D,3,0))</f>
        <v>.</v>
      </c>
      <c r="L813" s="1187">
        <f>VLOOKUP(I813,'Price List, Weapons &amp; Items'!B:E,4,0)</f>
        <v>0</v>
      </c>
      <c r="M813" s="1188" t="s">
        <v>364</v>
      </c>
      <c r="N813" s="1188" t="s">
        <v>364</v>
      </c>
      <c r="O813" s="1188" t="str">
        <f>VLOOKUP($I813,'Price List, Weapons &amp; Items'!B:G,6,0)</f>
        <v>.</v>
      </c>
      <c r="P813" s="1185" t="str">
        <f t="shared" si="171"/>
        <v>.</v>
      </c>
      <c r="Q813" s="1185" t="str">
        <f t="shared" si="172"/>
        <v>.</v>
      </c>
      <c r="R813" s="1185">
        <f t="shared" si="168"/>
        <v>110000000</v>
      </c>
      <c r="S813" s="1185">
        <f>IF(AND(AD813=1,R813&lt;&gt;".")=TRUE,R813/VLOOKUP(G813,'Exchange Rates'!B:C,2,0),IF(R813=".",".",""))</f>
        <v>110000000</v>
      </c>
      <c r="T813" s="1185" t="str">
        <f>IF(AD813=1,IF(AF813="Value is not given at all",".",IF(AF813="Value is given by the source",S813,IF(AF813="Value is calculated with prices",(IF(SUMIFS(Q:Q,A:A,A813)&gt;0,SUMIFS(Q:Q,A:A,A813),"."))/VLOOKUP("USD",'Exchange Rates'!B:C,2,0),"Error with coding"))),"")</f>
        <v>.</v>
      </c>
      <c r="U813" s="1184" t="s">
        <v>675</v>
      </c>
      <c r="V813" s="971" t="s">
        <v>2301</v>
      </c>
      <c r="W813" s="971" t="s">
        <v>2302</v>
      </c>
      <c r="X813" s="1190" t="s">
        <v>364</v>
      </c>
      <c r="Y813" s="1190" t="s">
        <v>364</v>
      </c>
      <c r="Z813" s="1184">
        <v>0</v>
      </c>
      <c r="AA813" s="1194">
        <v>0</v>
      </c>
      <c r="AB813" s="1201" t="s">
        <v>364</v>
      </c>
      <c r="AC813" s="1192" t="str">
        <f>""</f>
        <v/>
      </c>
      <c r="AD813" s="1193">
        <v>1</v>
      </c>
      <c r="AE813" s="1193" t="s">
        <v>368</v>
      </c>
      <c r="AF813" s="1193" t="s">
        <v>369</v>
      </c>
      <c r="AG813" s="1193">
        <v>1</v>
      </c>
      <c r="AH813" s="1193">
        <v>2</v>
      </c>
      <c r="AI813" s="1193">
        <v>0</v>
      </c>
      <c r="AJ813" s="1193">
        <f>VLOOKUP($I813,'Price List, Weapons &amp; Items'!B:F,5,0)</f>
        <v>0</v>
      </c>
      <c r="AK813" s="1193">
        <f t="shared" si="173"/>
        <v>0</v>
      </c>
      <c r="AL813" s="1193">
        <f t="shared" si="174"/>
        <v>0</v>
      </c>
      <c r="AM813" s="1193">
        <f t="shared" si="175"/>
        <v>0</v>
      </c>
      <c r="AN813" s="1194" t="str">
        <f>VLOOKUP($I813,'Price List, Weapons &amp; Items'!B:L,COLUMN('Price List, Weapons &amp; Items'!$J$11)-1,0)</f>
        <v>.</v>
      </c>
      <c r="AO813" s="1194" t="str">
        <f>IF(I813=".",".",VLOOKUP($I813,'Price List, Weapons &amp; Items'!B:J,3,0))</f>
        <v>.</v>
      </c>
      <c r="AP813" s="1195" t="str">
        <f t="shared" ca="1" si="169"/>
        <v>.</v>
      </c>
      <c r="AQ813" s="1194">
        <f>VLOOKUP($I813,'Price List, Weapons &amp; Items'!B:L,COLUMN('Price List, Weapons &amp; Items'!$L$11)-1,0)</f>
        <v>0</v>
      </c>
      <c r="AR813" s="1194">
        <f t="shared" si="176"/>
        <v>0</v>
      </c>
      <c r="AS813" s="1194">
        <f t="shared" si="177"/>
        <v>0</v>
      </c>
      <c r="AT813" s="1194">
        <f t="shared" si="178"/>
        <v>1</v>
      </c>
      <c r="AU813" s="1194" t="str">
        <f t="shared" si="179"/>
        <v>.</v>
      </c>
      <c r="AV813" s="1194" t="str">
        <f t="shared" si="170"/>
        <v>.</v>
      </c>
      <c r="AW813" s="1194" t="str">
        <f t="shared" si="180"/>
        <v>.</v>
      </c>
      <c r="AX813" s="1194">
        <f>IFERROR(VLOOKUP(B813,'Share, Heavy Weapons to Ukraine'!B:Z,COLUMN('Share, Heavy Weapons to Ukraine'!C823)-1,0),0)</f>
        <v>0</v>
      </c>
      <c r="AY813" s="1194">
        <f>VLOOKUP('Bilateral Assistance, MAIN DATA'!B813,'Country Summary (€)'!B:F,COLUMN('Country Summary (€)'!C824)-1,FALSE)</f>
        <v>1</v>
      </c>
      <c r="AZ813" s="1194" t="str">
        <f>IF(AND(AD813=1,D813="Military",H813&lt;&gt;"Not given")=TRUE,IF(SUMIFS(P:P,A:A,A813)&gt;0,ABS((SUMIFS(P:P,A:A,A813)/VLOOKUP("USD",'Exchange Rates'!B:C,2,0)))/S813,"."),".")</f>
        <v>.</v>
      </c>
      <c r="BA813" s="1196" t="str">
        <f>IF(AND(AD813=1,D813="Military",H813&lt;&gt;"Not given")=TRUE,IF(SUMIFS(P:P,A:A,A813)&gt;0,IF((ABS((SUMIFS(P:P,A:A,A813)/VLOOKUP("USD",'Exchange Rates'!B:C,2,0)))/S813)&gt;1,(SUMIFS(P:P,A:A,A813)-S813)/S813,(S813-SUMIFS(P:P,A:A,A813))/SUMIFS(P:P,A:A,A813)),"."),".")</f>
        <v>.</v>
      </c>
    </row>
    <row r="814" spans="1:53" ht="15.95" customHeight="1">
      <c r="A814" s="1180" t="s">
        <v>2303</v>
      </c>
      <c r="B814" s="1180" t="s">
        <v>2204</v>
      </c>
      <c r="C814" s="1181">
        <v>44778</v>
      </c>
      <c r="D814" s="1182" t="s">
        <v>544</v>
      </c>
      <c r="E814" s="1208" t="s">
        <v>714</v>
      </c>
      <c r="F814" s="1208" t="s">
        <v>2304</v>
      </c>
      <c r="G814" s="1184" t="s">
        <v>483</v>
      </c>
      <c r="H814" s="1185">
        <v>200000000</v>
      </c>
      <c r="I814" s="1180" t="s">
        <v>364</v>
      </c>
      <c r="J814" s="1186" t="str">
        <f>VLOOKUP($I814,'Price List, Weapons &amp; Items'!B:C,2,0)</f>
        <v>.</v>
      </c>
      <c r="K814" s="1186" t="str">
        <f>IF(I814=".",I814,VLOOKUP($I814,'Price List, Weapons &amp; Items'!B:D,3,0))</f>
        <v>.</v>
      </c>
      <c r="L814" s="1187">
        <f>VLOOKUP(I814,'Price List, Weapons &amp; Items'!B:E,4,0)</f>
        <v>0</v>
      </c>
      <c r="M814" s="1188" t="s">
        <v>364</v>
      </c>
      <c r="N814" s="1188" t="s">
        <v>364</v>
      </c>
      <c r="O814" s="1188" t="str">
        <f>VLOOKUP($I814,'Price List, Weapons &amp; Items'!B:G,6,0)</f>
        <v>.</v>
      </c>
      <c r="P814" s="1185" t="str">
        <f t="shared" si="171"/>
        <v>.</v>
      </c>
      <c r="Q814" s="1185" t="str">
        <f t="shared" si="172"/>
        <v>.</v>
      </c>
      <c r="R814" s="1185">
        <f t="shared" si="168"/>
        <v>200000000</v>
      </c>
      <c r="S814" s="1185">
        <f>IF(AND(AD814=1,R814&lt;&gt;".")=TRUE,R814/VLOOKUP(G814,'Exchange Rates'!B:C,2,0),IF(R814=".",".",""))</f>
        <v>200000000</v>
      </c>
      <c r="T814" s="1185" t="str">
        <f>IF(AD814=1,IF(AF814="Value is not given at all",".",IF(AF814="Value is given by the source",S814,IF(AF814="Value is calculated with prices",(IF(SUMIFS(Q:Q,A:A,A814)&gt;0,SUMIFS(Q:Q,A:A,A814),"."))/VLOOKUP("USD",'Exchange Rates'!B:C,2,0),"Error with coding"))),"")</f>
        <v>.</v>
      </c>
      <c r="U814" s="1184" t="s">
        <v>365</v>
      </c>
      <c r="V814" s="971" t="s">
        <v>2305</v>
      </c>
      <c r="W814" s="980" t="s">
        <v>2306</v>
      </c>
      <c r="X814" s="980" t="s">
        <v>2307</v>
      </c>
      <c r="Y814" s="1190" t="s">
        <v>364</v>
      </c>
      <c r="Z814" s="1184">
        <v>0</v>
      </c>
      <c r="AA814" s="1194">
        <v>0</v>
      </c>
      <c r="AB814" s="1201" t="s">
        <v>364</v>
      </c>
      <c r="AC814" s="1192" t="str">
        <f>""</f>
        <v/>
      </c>
      <c r="AD814" s="1193">
        <v>1</v>
      </c>
      <c r="AE814" s="1193" t="s">
        <v>368</v>
      </c>
      <c r="AF814" s="1193" t="s">
        <v>369</v>
      </c>
      <c r="AG814" s="1193">
        <v>1</v>
      </c>
      <c r="AH814" s="1193">
        <v>8</v>
      </c>
      <c r="AI814" s="1193">
        <v>0</v>
      </c>
      <c r="AJ814" s="1193">
        <f>VLOOKUP($I814,'Price List, Weapons &amp; Items'!B:F,5,0)</f>
        <v>0</v>
      </c>
      <c r="AK814" s="1193">
        <f t="shared" si="173"/>
        <v>0</v>
      </c>
      <c r="AL814" s="1193">
        <f t="shared" si="174"/>
        <v>0</v>
      </c>
      <c r="AM814" s="1193">
        <f t="shared" si="175"/>
        <v>0</v>
      </c>
      <c r="AN814" s="1194" t="str">
        <f>VLOOKUP($I814,'Price List, Weapons &amp; Items'!B:L,COLUMN('Price List, Weapons &amp; Items'!$J$11)-1,0)</f>
        <v>.</v>
      </c>
      <c r="AO814" s="1194" t="str">
        <f>IF(I814=".",".",VLOOKUP($I814,'Price List, Weapons &amp; Items'!B:J,3,0))</f>
        <v>.</v>
      </c>
      <c r="AP814" s="1195" t="str">
        <f t="shared" ca="1" si="169"/>
        <v>.</v>
      </c>
      <c r="AQ814" s="1194">
        <f>VLOOKUP($I814,'Price List, Weapons &amp; Items'!B:L,COLUMN('Price List, Weapons &amp; Items'!$L$11)-1,0)</f>
        <v>0</v>
      </c>
      <c r="AR814" s="1194">
        <f t="shared" si="176"/>
        <v>1</v>
      </c>
      <c r="AS814" s="1194">
        <f t="shared" si="177"/>
        <v>0</v>
      </c>
      <c r="AT814" s="1194">
        <f t="shared" si="178"/>
        <v>1</v>
      </c>
      <c r="AU814" s="1194" t="str">
        <f t="shared" si="179"/>
        <v>.</v>
      </c>
      <c r="AV814" s="1194" t="str">
        <f t="shared" si="170"/>
        <v>.</v>
      </c>
      <c r="AW814" s="1194" t="str">
        <f t="shared" si="180"/>
        <v>.</v>
      </c>
      <c r="AX814" s="1194">
        <f>IFERROR(VLOOKUP(B814,'Share, Heavy Weapons to Ukraine'!B:Z,COLUMN('Share, Heavy Weapons to Ukraine'!C824)-1,0),0)</f>
        <v>0</v>
      </c>
      <c r="AY814" s="1194">
        <f>VLOOKUP('Bilateral Assistance, MAIN DATA'!B814,'Country Summary (€)'!B:F,COLUMN('Country Summary (€)'!C825)-1,FALSE)</f>
        <v>1</v>
      </c>
      <c r="AZ814" s="1194" t="str">
        <f>IF(AND(AD814=1,D814="Military",H814&lt;&gt;"Not given")=TRUE,IF(SUMIFS(P:P,A:A,A814)&gt;0,ABS((SUMIFS(P:P,A:A,A814)/VLOOKUP("USD",'Exchange Rates'!B:C,2,0)))/S814,"."),".")</f>
        <v>.</v>
      </c>
      <c r="BA814" s="1196" t="str">
        <f>IF(AND(AD814=1,D814="Military",H814&lt;&gt;"Not given")=TRUE,IF(SUMIFS(P:P,A:A,A814)&gt;0,IF((ABS((SUMIFS(P:P,A:A,A814)/VLOOKUP("USD",'Exchange Rates'!B:C,2,0)))/S814)&gt;1,(SUMIFS(P:P,A:A,A814)-S814)/S814,(S814-SUMIFS(P:P,A:A,A814))/SUMIFS(P:P,A:A,A814)),"."),".")</f>
        <v>.</v>
      </c>
    </row>
    <row r="815" spans="1:53" ht="15.95" customHeight="1">
      <c r="A815" s="1180" t="s">
        <v>2308</v>
      </c>
      <c r="B815" s="1180" t="s">
        <v>2204</v>
      </c>
      <c r="C815" s="1181">
        <v>45042</v>
      </c>
      <c r="D815" s="1182" t="s">
        <v>544</v>
      </c>
      <c r="E815" s="1208" t="s">
        <v>495</v>
      </c>
      <c r="F815" s="1183" t="s">
        <v>2309</v>
      </c>
      <c r="G815" s="1184" t="s">
        <v>483</v>
      </c>
      <c r="H815" s="1185">
        <v>100000000</v>
      </c>
      <c r="I815" s="1180" t="s">
        <v>364</v>
      </c>
      <c r="J815" s="1186" t="str">
        <f>VLOOKUP($I815,'Price List, Weapons &amp; Items'!B:C,2,0)</f>
        <v>.</v>
      </c>
      <c r="K815" s="1186" t="str">
        <f>IF(I815=".",I815,VLOOKUP($I815,'Price List, Weapons &amp; Items'!B:D,3,0))</f>
        <v>.</v>
      </c>
      <c r="L815" s="1187">
        <f>VLOOKUP(I815,'Price List, Weapons &amp; Items'!B:E,4,0)</f>
        <v>0</v>
      </c>
      <c r="M815" s="1188" t="s">
        <v>364</v>
      </c>
      <c r="N815" s="1188" t="s">
        <v>364</v>
      </c>
      <c r="O815" s="1188" t="str">
        <f>VLOOKUP($I815,'Price List, Weapons &amp; Items'!B:G,6,0)</f>
        <v>.</v>
      </c>
      <c r="P815" s="1185" t="str">
        <f t="shared" si="171"/>
        <v>.</v>
      </c>
      <c r="Q815" s="1185" t="str">
        <f t="shared" si="172"/>
        <v>.</v>
      </c>
      <c r="R815" s="1185">
        <f t="shared" si="168"/>
        <v>100000000</v>
      </c>
      <c r="S815" s="1185">
        <f>IF(AND(AD815=1,R815&lt;&gt;".")=TRUE,R815/VLOOKUP(G815,'Exchange Rates'!B:C,2,0),IF(R815=".",".",""))</f>
        <v>100000000</v>
      </c>
      <c r="T815" s="1185" t="str">
        <f>IF(AD815=1,IF(AF815="Value is not given at all",".",IF(AF815="Value is given by the source",S815,IF(AF815="Value is calculated with prices",(IF(SUMIFS(Q:Q,A:A,A815)&gt;0,SUMIFS(Q:Q,A:A,A815),"."))/VLOOKUP("USD",'Exchange Rates'!B:C,2,0),"Error with coding"))),"")</f>
        <v>.</v>
      </c>
      <c r="U815" s="1184" t="s">
        <v>365</v>
      </c>
      <c r="V815" s="1003" t="s">
        <v>2231</v>
      </c>
      <c r="W815" s="1003" t="s">
        <v>2310</v>
      </c>
      <c r="X815" s="1012" t="s">
        <v>2232</v>
      </c>
      <c r="Y815" s="1190" t="s">
        <v>364</v>
      </c>
      <c r="Z815" s="1184">
        <v>0</v>
      </c>
      <c r="AA815" s="1194">
        <v>1</v>
      </c>
      <c r="AB815" s="1201" t="s">
        <v>364</v>
      </c>
      <c r="AC815" s="1192" t="str">
        <f>""</f>
        <v/>
      </c>
      <c r="AD815" s="1193">
        <v>1</v>
      </c>
      <c r="AE815" s="1193" t="s">
        <v>368</v>
      </c>
      <c r="AF815" s="1193" t="s">
        <v>369</v>
      </c>
      <c r="AG815" s="1193">
        <v>1</v>
      </c>
      <c r="AH815" s="1193">
        <v>16</v>
      </c>
      <c r="AI815" s="1193">
        <v>0</v>
      </c>
      <c r="AJ815" s="1193">
        <f>VLOOKUP($I815,'Price List, Weapons &amp; Items'!B:F,5,0)</f>
        <v>0</v>
      </c>
      <c r="AK815" s="1193">
        <f t="shared" si="173"/>
        <v>0</v>
      </c>
      <c r="AL815" s="1193">
        <f t="shared" si="174"/>
        <v>0</v>
      </c>
      <c r="AM815" s="1193">
        <f t="shared" si="175"/>
        <v>0</v>
      </c>
      <c r="AN815" s="1194" t="str">
        <f>VLOOKUP($I815,'Price List, Weapons &amp; Items'!B:L,COLUMN('Price List, Weapons &amp; Items'!$J$11)-1,0)</f>
        <v>.</v>
      </c>
      <c r="AO815" s="1194" t="str">
        <f>IF(I815=".",".",VLOOKUP($I815,'Price List, Weapons &amp; Items'!B:J,3,0))</f>
        <v>.</v>
      </c>
      <c r="AP815" s="1195" t="str">
        <f t="shared" ca="1" si="169"/>
        <v>.</v>
      </c>
      <c r="AQ815" s="1194">
        <f>VLOOKUP($I815,'Price List, Weapons &amp; Items'!B:L,COLUMN('Price List, Weapons &amp; Items'!$L$11)-1,0)</f>
        <v>0</v>
      </c>
      <c r="AR815" s="1194">
        <f t="shared" si="176"/>
        <v>1</v>
      </c>
      <c r="AS815" s="1194">
        <f t="shared" si="177"/>
        <v>0</v>
      </c>
      <c r="AT815" s="1194">
        <f t="shared" si="178"/>
        <v>1</v>
      </c>
      <c r="AU815" s="1194" t="str">
        <f t="shared" si="179"/>
        <v>.</v>
      </c>
      <c r="AV815" s="1194" t="str">
        <f t="shared" si="170"/>
        <v>.</v>
      </c>
      <c r="AW815" s="1194" t="str">
        <f t="shared" si="180"/>
        <v>.</v>
      </c>
      <c r="AX815" s="1194">
        <f>IFERROR(VLOOKUP(B815,'Share, Heavy Weapons to Ukraine'!B:Z,COLUMN('Share, Heavy Weapons to Ukraine'!C825)-1,0),0)</f>
        <v>0</v>
      </c>
      <c r="AY815" s="1194">
        <f>VLOOKUP('Bilateral Assistance, MAIN DATA'!B815,'Country Summary (€)'!B:F,COLUMN('Country Summary (€)'!C826)-1,FALSE)</f>
        <v>1</v>
      </c>
      <c r="AZ815" s="1194" t="str">
        <f>IF(AND(AD815=1,D815="Military",H815&lt;&gt;"Not given")=TRUE,IF(SUMIFS(P:P,A:A,A815)&gt;0,ABS((SUMIFS(P:P,A:A,A815)/VLOOKUP("USD",'Exchange Rates'!B:C,2,0)))/S815,"."),".")</f>
        <v>.</v>
      </c>
      <c r="BA815" s="1196" t="str">
        <f>IF(AND(AD815=1,D815="Military",H815&lt;&gt;"Not given")=TRUE,IF(SUMIFS(P:P,A:A,A815)&gt;0,IF((ABS((SUMIFS(P:P,A:A,A815)/VLOOKUP("USD",'Exchange Rates'!B:C,2,0)))/S815)&gt;1,(SUMIFS(P:P,A:A,A815)-S815)/S815,(S815-SUMIFS(P:P,A:A,A815))/SUMIFS(P:P,A:A,A815)),"."),".")</f>
        <v>.</v>
      </c>
    </row>
    <row r="816" spans="1:53" ht="15.95" customHeight="1">
      <c r="A816" s="1180" t="s">
        <v>2311</v>
      </c>
      <c r="B816" s="1180" t="s">
        <v>2312</v>
      </c>
      <c r="C816" s="1181">
        <v>44619</v>
      </c>
      <c r="D816" s="1182" t="s">
        <v>360</v>
      </c>
      <c r="E816" s="1208" t="s">
        <v>361</v>
      </c>
      <c r="F816" s="1208" t="s">
        <v>2313</v>
      </c>
      <c r="G816" s="1184" t="s">
        <v>456</v>
      </c>
      <c r="H816" s="1185">
        <v>59300000</v>
      </c>
      <c r="I816" s="1180" t="s">
        <v>364</v>
      </c>
      <c r="J816" s="1186" t="str">
        <f>VLOOKUP($I816,'Price List, Weapons &amp; Items'!B:C,2,0)</f>
        <v>.</v>
      </c>
      <c r="K816" s="1186" t="str">
        <f>IF(I816=".",I816,VLOOKUP($I816,'Price List, Weapons &amp; Items'!B:D,3,0))</f>
        <v>.</v>
      </c>
      <c r="L816" s="1187">
        <f>VLOOKUP(I816,'Price List, Weapons &amp; Items'!B:E,4,0)</f>
        <v>0</v>
      </c>
      <c r="M816" s="1188" t="s">
        <v>364</v>
      </c>
      <c r="N816" s="1188" t="s">
        <v>364</v>
      </c>
      <c r="O816" s="1188" t="str">
        <f>VLOOKUP($I816,'Price List, Weapons &amp; Items'!B:G,6,0)</f>
        <v>.</v>
      </c>
      <c r="P816" s="1185" t="str">
        <f t="shared" si="171"/>
        <v>.</v>
      </c>
      <c r="Q816" s="1185" t="str">
        <f t="shared" si="172"/>
        <v>.</v>
      </c>
      <c r="R816" s="1185">
        <f t="shared" si="168"/>
        <v>59300000</v>
      </c>
      <c r="S816" s="1185">
        <f>IF(AND(AD816=1,R816&lt;&gt;".")=TRUE,R816/VLOOKUP(G816,'Exchange Rates'!B:C,2,0),IF(R816=".",".",""))</f>
        <v>54563857.195436142</v>
      </c>
      <c r="T816" s="1185" t="str">
        <f>IF(AD816=1,IF(AF816="Value is not given at all",".",IF(AF816="Value is given by the source",S816,IF(AF816="Value is calculated with prices",(IF(SUMIFS(Q:Q,A:A,A816)&gt;0,SUMIFS(Q:Q,A:A,A816),"."))/VLOOKUP("USD",'Exchange Rates'!B:C,2,0),"Error with coding"))),"")</f>
        <v>.</v>
      </c>
      <c r="U816" s="1184" t="s">
        <v>365</v>
      </c>
      <c r="V816" s="964" t="s">
        <v>2314</v>
      </c>
      <c r="W816" s="980" t="s">
        <v>2315</v>
      </c>
      <c r="X816" s="1190" t="s">
        <v>364</v>
      </c>
      <c r="Y816" s="1190" t="s">
        <v>364</v>
      </c>
      <c r="Z816" s="1184">
        <v>0</v>
      </c>
      <c r="AA816" s="1194">
        <v>0</v>
      </c>
      <c r="AB816" s="1201" t="s">
        <v>364</v>
      </c>
      <c r="AC816" s="1192" t="str">
        <f>""</f>
        <v/>
      </c>
      <c r="AD816" s="1193">
        <v>1</v>
      </c>
      <c r="AE816" s="1193" t="s">
        <v>368</v>
      </c>
      <c r="AF816" s="1193" t="s">
        <v>369</v>
      </c>
      <c r="AG816" s="1193">
        <v>1</v>
      </c>
      <c r="AH816" s="1193">
        <v>2</v>
      </c>
      <c r="AI816" s="1193">
        <v>0</v>
      </c>
      <c r="AJ816" s="1193">
        <f>VLOOKUP($I816,'Price List, Weapons &amp; Items'!B:F,5,0)</f>
        <v>0</v>
      </c>
      <c r="AK816" s="1193">
        <f t="shared" si="173"/>
        <v>0</v>
      </c>
      <c r="AL816" s="1193">
        <f t="shared" si="174"/>
        <v>0</v>
      </c>
      <c r="AM816" s="1193">
        <f t="shared" si="175"/>
        <v>0</v>
      </c>
      <c r="AN816" s="1194" t="str">
        <f>VLOOKUP($I816,'Price List, Weapons &amp; Items'!B:L,COLUMN('Price List, Weapons &amp; Items'!$J$11)-1,0)</f>
        <v>.</v>
      </c>
      <c r="AO816" s="1194" t="str">
        <f>IF(I816=".",".",VLOOKUP($I816,'Price List, Weapons &amp; Items'!B:J,3,0))</f>
        <v>.</v>
      </c>
      <c r="AP816" s="1195" t="str">
        <f t="shared" ca="1" si="169"/>
        <v>.</v>
      </c>
      <c r="AQ816" s="1194">
        <f>VLOOKUP($I816,'Price List, Weapons &amp; Items'!B:L,COLUMN('Price List, Weapons &amp; Items'!$L$11)-1,0)</f>
        <v>0</v>
      </c>
      <c r="AR816" s="1194">
        <f t="shared" si="176"/>
        <v>1</v>
      </c>
      <c r="AS816" s="1194">
        <f t="shared" si="177"/>
        <v>0</v>
      </c>
      <c r="AT816" s="1194">
        <f t="shared" si="178"/>
        <v>1</v>
      </c>
      <c r="AU816" s="1194" t="str">
        <f t="shared" si="179"/>
        <v>.</v>
      </c>
      <c r="AV816" s="1194" t="str">
        <f t="shared" si="170"/>
        <v>.</v>
      </c>
      <c r="AW816" s="1194" t="str">
        <f t="shared" si="180"/>
        <v>.</v>
      </c>
      <c r="AX816" s="1194">
        <f>IFERROR(VLOOKUP(B816,'Share, Heavy Weapons to Ukraine'!B:Z,COLUMN('Share, Heavy Weapons to Ukraine'!C826)-1,0),0)</f>
        <v>0</v>
      </c>
      <c r="AY816" s="1194">
        <f>VLOOKUP('Bilateral Assistance, MAIN DATA'!B816,'Country Summary (€)'!B:F,COLUMN('Country Summary (€)'!C827)-1,FALSE)</f>
        <v>0</v>
      </c>
      <c r="AZ816" s="1194" t="str">
        <f>IF(AND(AD816=1,D816="Military",H816&lt;&gt;"Not given")=TRUE,IF(SUMIFS(P:P,A:A,A816)&gt;0,ABS((SUMIFS(P:P,A:A,A816)/VLOOKUP("USD",'Exchange Rates'!B:C,2,0)))/S816,"."),".")</f>
        <v>.</v>
      </c>
      <c r="BA816" s="1196" t="str">
        <f>IF(AND(AD816=1,D816="Military",H816&lt;&gt;"Not given")=TRUE,IF(SUMIFS(P:P,A:A,A816)&gt;0,IF((ABS((SUMIFS(P:P,A:A,A816)/VLOOKUP("USD",'Exchange Rates'!B:C,2,0)))/S816)&gt;1,(SUMIFS(P:P,A:A,A816)-S816)/S816,(S816-SUMIFS(P:P,A:A,A816))/SUMIFS(P:P,A:A,A816)),"."),".")</f>
        <v>.</v>
      </c>
    </row>
    <row r="817" spans="1:71" ht="15.95" customHeight="1">
      <c r="A817" s="1180" t="s">
        <v>2316</v>
      </c>
      <c r="B817" s="1180" t="s">
        <v>2312</v>
      </c>
      <c r="C817" s="1181">
        <v>44644</v>
      </c>
      <c r="D817" s="1182" t="s">
        <v>360</v>
      </c>
      <c r="E817" s="1208" t="s">
        <v>361</v>
      </c>
      <c r="F817" s="1208" t="s">
        <v>2317</v>
      </c>
      <c r="G817" s="1184" t="s">
        <v>456</v>
      </c>
      <c r="H817" s="1185">
        <v>53870000</v>
      </c>
      <c r="I817" s="1180" t="s">
        <v>364</v>
      </c>
      <c r="J817" s="1186" t="str">
        <f>VLOOKUP($I817,'Price List, Weapons &amp; Items'!B:C,2,0)</f>
        <v>.</v>
      </c>
      <c r="K817" s="1186" t="str">
        <f>IF(I817=".",I817,VLOOKUP($I817,'Price List, Weapons &amp; Items'!B:D,3,0))</f>
        <v>.</v>
      </c>
      <c r="L817" s="1187">
        <f>VLOOKUP(I817,'Price List, Weapons &amp; Items'!B:E,4,0)</f>
        <v>0</v>
      </c>
      <c r="M817" s="1188" t="s">
        <v>364</v>
      </c>
      <c r="N817" s="1188" t="s">
        <v>364</v>
      </c>
      <c r="O817" s="1188" t="str">
        <f>VLOOKUP($I817,'Price List, Weapons &amp; Items'!B:G,6,0)</f>
        <v>.</v>
      </c>
      <c r="P817" s="1185" t="str">
        <f t="shared" si="171"/>
        <v>.</v>
      </c>
      <c r="Q817" s="1185" t="str">
        <f t="shared" si="172"/>
        <v>.</v>
      </c>
      <c r="R817" s="1185">
        <f t="shared" si="168"/>
        <v>53870000</v>
      </c>
      <c r="S817" s="1185">
        <f>IF(AND(AD817=1,R817&lt;&gt;".")=TRUE,R817/VLOOKUP(G817,'Exchange Rates'!B:C,2,0),IF(R817=".",".",""))</f>
        <v>49567537.725432463</v>
      </c>
      <c r="T817" s="1185" t="str">
        <f>IF(AD817=1,IF(AF817="Value is not given at all",".",IF(AF817="Value is given by the source",S817,IF(AF817="Value is calculated with prices",(IF(SUMIFS(Q:Q,A:A,A817)&gt;0,SUMIFS(Q:Q,A:A,A817),"."))/VLOOKUP("USD",'Exchange Rates'!B:C,2,0),"Error with coding"))),"")</f>
        <v>.</v>
      </c>
      <c r="U817" s="1184" t="s">
        <v>365</v>
      </c>
      <c r="V817" s="964" t="s">
        <v>2314</v>
      </c>
      <c r="W817" s="980" t="s">
        <v>2315</v>
      </c>
      <c r="X817" s="1190" t="s">
        <v>364</v>
      </c>
      <c r="Y817" s="1190" t="s">
        <v>364</v>
      </c>
      <c r="Z817" s="1184">
        <v>0</v>
      </c>
      <c r="AA817" s="1194">
        <v>0</v>
      </c>
      <c r="AB817" s="1201" t="s">
        <v>364</v>
      </c>
      <c r="AC817" s="1192" t="str">
        <f>""</f>
        <v/>
      </c>
      <c r="AD817" s="1193">
        <v>1</v>
      </c>
      <c r="AE817" s="1193" t="s">
        <v>368</v>
      </c>
      <c r="AF817" s="1193" t="s">
        <v>369</v>
      </c>
      <c r="AG817" s="1193">
        <v>1</v>
      </c>
      <c r="AH817" s="1193">
        <v>3</v>
      </c>
      <c r="AI817" s="1193">
        <v>0</v>
      </c>
      <c r="AJ817" s="1193">
        <f>VLOOKUP($I817,'Price List, Weapons &amp; Items'!B:F,5,0)</f>
        <v>0</v>
      </c>
      <c r="AK817" s="1193">
        <f t="shared" si="173"/>
        <v>0</v>
      </c>
      <c r="AL817" s="1193">
        <f t="shared" si="174"/>
        <v>0</v>
      </c>
      <c r="AM817" s="1193">
        <f t="shared" si="175"/>
        <v>0</v>
      </c>
      <c r="AN817" s="1194" t="str">
        <f>VLOOKUP($I817,'Price List, Weapons &amp; Items'!B:L,COLUMN('Price List, Weapons &amp; Items'!$J$11)-1,0)</f>
        <v>.</v>
      </c>
      <c r="AO817" s="1194" t="str">
        <f>IF(I817=".",".",VLOOKUP($I817,'Price List, Weapons &amp; Items'!B:J,3,0))</f>
        <v>.</v>
      </c>
      <c r="AP817" s="1195" t="str">
        <f t="shared" ca="1" si="169"/>
        <v>.</v>
      </c>
      <c r="AQ817" s="1194">
        <f>VLOOKUP($I817,'Price List, Weapons &amp; Items'!B:L,COLUMN('Price List, Weapons &amp; Items'!$L$11)-1,0)</f>
        <v>0</v>
      </c>
      <c r="AR817" s="1194">
        <f t="shared" si="176"/>
        <v>1</v>
      </c>
      <c r="AS817" s="1194">
        <f t="shared" si="177"/>
        <v>0</v>
      </c>
      <c r="AT817" s="1194">
        <f t="shared" si="178"/>
        <v>1</v>
      </c>
      <c r="AU817" s="1194" t="str">
        <f t="shared" si="179"/>
        <v>.</v>
      </c>
      <c r="AV817" s="1194" t="str">
        <f t="shared" si="170"/>
        <v>.</v>
      </c>
      <c r="AW817" s="1194" t="str">
        <f t="shared" si="180"/>
        <v>.</v>
      </c>
      <c r="AX817" s="1194">
        <f>IFERROR(VLOOKUP(B817,'Share, Heavy Weapons to Ukraine'!B:Z,COLUMN('Share, Heavy Weapons to Ukraine'!C827)-1,0),0)</f>
        <v>0</v>
      </c>
      <c r="AY817" s="1194">
        <f>VLOOKUP('Bilateral Assistance, MAIN DATA'!B817,'Country Summary (€)'!B:F,COLUMN('Country Summary (€)'!C828)-1,FALSE)</f>
        <v>0</v>
      </c>
      <c r="AZ817" s="1194" t="str">
        <f>IF(AND(AD817=1,D817="Military",H817&lt;&gt;"Not given")=TRUE,IF(SUMIFS(P:P,A:A,A817)&gt;0,ABS((SUMIFS(P:P,A:A,A817)/VLOOKUP("USD",'Exchange Rates'!B:C,2,0)))/S817,"."),".")</f>
        <v>.</v>
      </c>
      <c r="BA817" s="1196" t="str">
        <f>IF(AND(AD817=1,D817="Military",H817&lt;&gt;"Not given")=TRUE,IF(SUMIFS(P:P,A:A,A817)&gt;0,IF((ABS((SUMIFS(P:P,A:A,A817)/VLOOKUP("USD",'Exchange Rates'!B:C,2,0)))/S817)&gt;1,(SUMIFS(P:P,A:A,A817)-S817)/S817,(S817-SUMIFS(P:P,A:A,A817))/SUMIFS(P:P,A:A,A817)),"."),".")</f>
        <v>.</v>
      </c>
    </row>
    <row r="818" spans="1:71" s="1180" customFormat="1" ht="15.95" customHeight="1">
      <c r="A818" s="1180" t="s">
        <v>2318</v>
      </c>
      <c r="B818" s="1180" t="s">
        <v>2312</v>
      </c>
      <c r="C818" s="1181">
        <v>44679</v>
      </c>
      <c r="D818" s="1182" t="s">
        <v>360</v>
      </c>
      <c r="E818" s="1182" t="s">
        <v>361</v>
      </c>
      <c r="F818" s="1183" t="s">
        <v>2319</v>
      </c>
      <c r="G818" s="1184" t="s">
        <v>456</v>
      </c>
      <c r="H818" s="1185">
        <v>2300000</v>
      </c>
      <c r="I818" s="1180" t="s">
        <v>364</v>
      </c>
      <c r="J818" s="1186" t="str">
        <f>VLOOKUP($I818,'Price List, Weapons &amp; Items'!B:C,2,0)</f>
        <v>.</v>
      </c>
      <c r="K818" s="1186" t="str">
        <f>IF(I818=".",I818,VLOOKUP($I818,'Price List, Weapons &amp; Items'!B:D,3,0))</f>
        <v>.</v>
      </c>
      <c r="L818" s="1187">
        <f>VLOOKUP(I818,'Price List, Weapons &amp; Items'!B:E,4,0)</f>
        <v>0</v>
      </c>
      <c r="M818" s="1188" t="s">
        <v>364</v>
      </c>
      <c r="N818" s="1188" t="s">
        <v>364</v>
      </c>
      <c r="O818" s="1188" t="str">
        <f>VLOOKUP($I818,'Price List, Weapons &amp; Items'!B:G,6,0)</f>
        <v>.</v>
      </c>
      <c r="P818" s="1185" t="str">
        <f t="shared" si="171"/>
        <v>.</v>
      </c>
      <c r="Q818" s="1185" t="str">
        <f t="shared" si="172"/>
        <v>.</v>
      </c>
      <c r="R818" s="1185">
        <f t="shared" si="168"/>
        <v>2300000</v>
      </c>
      <c r="S818" s="1185">
        <f>IF(AND(AD818=1,R818&lt;&gt;".")=TRUE,R818/VLOOKUP(G818,'Exchange Rates'!B:C,2,0),IF(R818=".",".",""))</f>
        <v>2116304.7478836952</v>
      </c>
      <c r="T818" s="1185" t="str">
        <f>IF(AD818=1,IF(AF818="Value is not given at all",".",IF(AF818="Value is given by the source",S818,IF(AF818="Value is calculated with prices",(IF(SUMIFS(Q:Q,A:A,A818)&gt;0,SUMIFS(Q:Q,A:A,A818),"."))/VLOOKUP("USD",'Exchange Rates'!B:C,2,0),"Error with coding"))),"")</f>
        <v>.</v>
      </c>
      <c r="U818" s="1184" t="s">
        <v>365</v>
      </c>
      <c r="V818" s="971" t="s">
        <v>2320</v>
      </c>
      <c r="W818" s="971" t="s">
        <v>2321</v>
      </c>
      <c r="X818" s="1190" t="s">
        <v>364</v>
      </c>
      <c r="Y818" s="1190" t="s">
        <v>364</v>
      </c>
      <c r="Z818" s="1184">
        <v>0</v>
      </c>
      <c r="AA818" s="1194">
        <v>0</v>
      </c>
      <c r="AB818" s="1180" t="s">
        <v>364</v>
      </c>
      <c r="AC818" s="1192" t="str">
        <f>""</f>
        <v/>
      </c>
      <c r="AD818" s="985">
        <v>1</v>
      </c>
      <c r="AE818" s="985" t="s">
        <v>368</v>
      </c>
      <c r="AF818" s="985" t="s">
        <v>369</v>
      </c>
      <c r="AG818" s="985">
        <v>1</v>
      </c>
      <c r="AH818" s="1193">
        <v>4</v>
      </c>
      <c r="AI818" s="1193">
        <v>0</v>
      </c>
      <c r="AJ818" s="1193">
        <f>VLOOKUP($I818,'Price List, Weapons &amp; Items'!B:F,5,0)</f>
        <v>0</v>
      </c>
      <c r="AK818" s="1193">
        <f t="shared" si="173"/>
        <v>0</v>
      </c>
      <c r="AL818" s="1193">
        <f t="shared" si="174"/>
        <v>0</v>
      </c>
      <c r="AM818" s="1193">
        <f t="shared" si="175"/>
        <v>0</v>
      </c>
      <c r="AN818" s="1194" t="str">
        <f>VLOOKUP($I818,'Price List, Weapons &amp; Items'!B:L,COLUMN('Price List, Weapons &amp; Items'!$J$11)-1,0)</f>
        <v>.</v>
      </c>
      <c r="AO818" s="1194" t="str">
        <f>IF(I818=".",".",VLOOKUP($I818,'Price List, Weapons &amp; Items'!B:J,3,0))</f>
        <v>.</v>
      </c>
      <c r="AP818" s="1195" t="str">
        <f t="shared" ca="1" si="169"/>
        <v>.</v>
      </c>
      <c r="AQ818" s="1194">
        <f>VLOOKUP($I818,'Price List, Weapons &amp; Items'!B:L,COLUMN('Price List, Weapons &amp; Items'!$L$11)-1,0)</f>
        <v>0</v>
      </c>
      <c r="AR818" s="1194">
        <f t="shared" si="176"/>
        <v>1</v>
      </c>
      <c r="AS818" s="1194">
        <f t="shared" si="177"/>
        <v>0</v>
      </c>
      <c r="AT818" s="1194">
        <f t="shared" si="178"/>
        <v>1</v>
      </c>
      <c r="AU818" s="1194" t="str">
        <f t="shared" si="179"/>
        <v>.</v>
      </c>
      <c r="AV818" s="1194" t="str">
        <f t="shared" si="170"/>
        <v>.</v>
      </c>
      <c r="AW818" s="1194" t="str">
        <f t="shared" si="180"/>
        <v>.</v>
      </c>
      <c r="AX818" s="1194">
        <f>IFERROR(VLOOKUP(B818,'Share, Heavy Weapons to Ukraine'!B:Z,COLUMN('Share, Heavy Weapons to Ukraine'!C828)-1,0),0)</f>
        <v>0</v>
      </c>
      <c r="AY818" s="1194">
        <f>VLOOKUP('Bilateral Assistance, MAIN DATA'!B818,'Country Summary (€)'!B:F,COLUMN('Country Summary (€)'!C829)-1,FALSE)</f>
        <v>0</v>
      </c>
      <c r="AZ818" s="1194" t="str">
        <f>IF(AND(AD818=1,D818="Military",H818&lt;&gt;"Not given")=TRUE,IF(SUMIFS(P:P,A:A,A818)&gt;0,ABS((SUMIFS(P:P,A:A,A818)/VLOOKUP("USD",'Exchange Rates'!B:C,2,0)))/S818,"."),".")</f>
        <v>.</v>
      </c>
      <c r="BA818" s="1196" t="str">
        <f>IF(AND(AD818=1,D818="Military",H818&lt;&gt;"Not given")=TRUE,IF(SUMIFS(P:P,A:A,A818)&gt;0,IF((ABS((SUMIFS(P:P,A:A,A818)/VLOOKUP("USD",'Exchange Rates'!B:C,2,0)))/S818)&gt;1,(SUMIFS(P:P,A:A,A818)-S818)/S818,(S818-SUMIFS(P:P,A:A,A818))/SUMIFS(P:P,A:A,A818)),"."),".")</f>
        <v>.</v>
      </c>
    </row>
    <row r="819" spans="1:71" s="1180" customFormat="1" ht="16.5" customHeight="1">
      <c r="A819" s="1180" t="s">
        <v>2322</v>
      </c>
      <c r="B819" s="1180" t="s">
        <v>2312</v>
      </c>
      <c r="C819" s="1181">
        <v>44708</v>
      </c>
      <c r="D819" s="1182" t="s">
        <v>360</v>
      </c>
      <c r="E819" s="1182" t="s">
        <v>361</v>
      </c>
      <c r="F819" s="1183" t="s">
        <v>2323</v>
      </c>
      <c r="G819" s="1184" t="s">
        <v>456</v>
      </c>
      <c r="H819" s="1185">
        <v>1660000</v>
      </c>
      <c r="I819" s="1180" t="s">
        <v>364</v>
      </c>
      <c r="J819" s="1186" t="str">
        <f>VLOOKUP($I819,'Price List, Weapons &amp; Items'!B:C,2,0)</f>
        <v>.</v>
      </c>
      <c r="K819" s="1186" t="str">
        <f>IF(I819=".",I819,VLOOKUP($I819,'Price List, Weapons &amp; Items'!B:D,3,0))</f>
        <v>.</v>
      </c>
      <c r="L819" s="1187">
        <f>VLOOKUP(I819,'Price List, Weapons &amp; Items'!B:E,4,0)</f>
        <v>0</v>
      </c>
      <c r="M819" s="1188" t="s">
        <v>364</v>
      </c>
      <c r="N819" s="1188" t="s">
        <v>364</v>
      </c>
      <c r="O819" s="1188" t="str">
        <f>VLOOKUP($I819,'Price List, Weapons &amp; Items'!B:G,6,0)</f>
        <v>.</v>
      </c>
      <c r="P819" s="1185" t="str">
        <f t="shared" si="171"/>
        <v>.</v>
      </c>
      <c r="Q819" s="1185" t="str">
        <f t="shared" si="172"/>
        <v>.</v>
      </c>
      <c r="R819" s="1185">
        <f t="shared" si="168"/>
        <v>1660000</v>
      </c>
      <c r="S819" s="1185">
        <f>IF(AND(AD819=1,R819&lt;&gt;".")=TRUE,R819/VLOOKUP(G819,'Exchange Rates'!B:C,2,0),IF(R819=".",".",""))</f>
        <v>1527419.9484725802</v>
      </c>
      <c r="T819" s="1185" t="str">
        <f>IF(AD819=1,IF(AF819="Value is not given at all",".",IF(AF819="Value is given by the source",S819,IF(AF819="Value is calculated with prices",(IF(SUMIFS(Q:Q,A:A,A819)&gt;0,SUMIFS(Q:Q,A:A,A819),"."))/VLOOKUP("USD",'Exchange Rates'!B:C,2,0),"Error with coding"))),"")</f>
        <v>.</v>
      </c>
      <c r="U819" s="1184" t="s">
        <v>365</v>
      </c>
      <c r="V819" s="971" t="s">
        <v>2324</v>
      </c>
      <c r="W819" s="973" t="s">
        <v>2314</v>
      </c>
      <c r="X819" s="1190" t="s">
        <v>364</v>
      </c>
      <c r="Y819" s="1190" t="s">
        <v>364</v>
      </c>
      <c r="Z819" s="1184">
        <v>0</v>
      </c>
      <c r="AA819" s="1194">
        <v>0</v>
      </c>
      <c r="AB819" s="1180" t="s">
        <v>364</v>
      </c>
      <c r="AC819" s="1192" t="str">
        <f>""</f>
        <v/>
      </c>
      <c r="AD819" s="985">
        <v>1</v>
      </c>
      <c r="AE819" s="985" t="s">
        <v>368</v>
      </c>
      <c r="AF819" s="985" t="s">
        <v>369</v>
      </c>
      <c r="AG819" s="985">
        <v>1</v>
      </c>
      <c r="AH819" s="1193">
        <v>5</v>
      </c>
      <c r="AI819" s="1193">
        <v>0</v>
      </c>
      <c r="AJ819" s="1193">
        <f>VLOOKUP($I819,'Price List, Weapons &amp; Items'!B:F,5,0)</f>
        <v>0</v>
      </c>
      <c r="AK819" s="1193">
        <f t="shared" si="173"/>
        <v>0</v>
      </c>
      <c r="AL819" s="1193">
        <f t="shared" si="174"/>
        <v>0</v>
      </c>
      <c r="AM819" s="1193">
        <f t="shared" si="175"/>
        <v>0</v>
      </c>
      <c r="AN819" s="1194" t="str">
        <f>VLOOKUP($I819,'Price List, Weapons &amp; Items'!B:L,COLUMN('Price List, Weapons &amp; Items'!$J$11)-1,0)</f>
        <v>.</v>
      </c>
      <c r="AO819" s="1194" t="str">
        <f>IF(I819=".",".",VLOOKUP($I819,'Price List, Weapons &amp; Items'!B:J,3,0))</f>
        <v>.</v>
      </c>
      <c r="AP819" s="1195" t="str">
        <f t="shared" ca="1" si="169"/>
        <v>.</v>
      </c>
      <c r="AQ819" s="1194">
        <f>VLOOKUP($I819,'Price List, Weapons &amp; Items'!B:L,COLUMN('Price List, Weapons &amp; Items'!$L$11)-1,0)</f>
        <v>0</v>
      </c>
      <c r="AR819" s="1194">
        <f t="shared" si="176"/>
        <v>1</v>
      </c>
      <c r="AS819" s="1194">
        <f t="shared" si="177"/>
        <v>0</v>
      </c>
      <c r="AT819" s="1194">
        <f t="shared" si="178"/>
        <v>1</v>
      </c>
      <c r="AU819" s="1194" t="str">
        <f t="shared" si="179"/>
        <v>.</v>
      </c>
      <c r="AV819" s="1194" t="str">
        <f t="shared" si="170"/>
        <v>.</v>
      </c>
      <c r="AW819" s="1194" t="str">
        <f t="shared" si="180"/>
        <v>.</v>
      </c>
      <c r="AX819" s="1194">
        <f>IFERROR(VLOOKUP(B819,'Share, Heavy Weapons to Ukraine'!B:Z,COLUMN('Share, Heavy Weapons to Ukraine'!C829)-1,0),0)</f>
        <v>0</v>
      </c>
      <c r="AY819" s="1194">
        <f>VLOOKUP('Bilateral Assistance, MAIN DATA'!B819,'Country Summary (€)'!B:F,COLUMN('Country Summary (€)'!C830)-1,FALSE)</f>
        <v>0</v>
      </c>
      <c r="AZ819" s="1194" t="str">
        <f>IF(AND(AD819=1,D819="Military",H819&lt;&gt;"Not given")=TRUE,IF(SUMIFS(P:P,A:A,A819)&gt;0,ABS((SUMIFS(P:P,A:A,A819)/VLOOKUP("USD",'Exchange Rates'!B:C,2,0)))/S819,"."),".")</f>
        <v>.</v>
      </c>
      <c r="BA819" s="1196" t="str">
        <f>IF(AND(AD819=1,D819="Military",H819&lt;&gt;"Not given")=TRUE,IF(SUMIFS(P:P,A:A,A819)&gt;0,IF((ABS((SUMIFS(P:P,A:A,A819)/VLOOKUP("USD",'Exchange Rates'!B:C,2,0)))/S819)&gt;1,(SUMIFS(P:P,A:A,A819)-S819)/S819,(S819-SUMIFS(P:P,A:A,A819))/SUMIFS(P:P,A:A,A819)),"."),".")</f>
        <v>.</v>
      </c>
    </row>
    <row r="820" spans="1:71" s="1180" customFormat="1" ht="15.95" customHeight="1">
      <c r="A820" s="1180" t="s">
        <v>2325</v>
      </c>
      <c r="B820" s="1180" t="s">
        <v>2312</v>
      </c>
      <c r="C820" s="1181">
        <v>44777</v>
      </c>
      <c r="D820" s="1182" t="s">
        <v>360</v>
      </c>
      <c r="E820" s="1182" t="s">
        <v>361</v>
      </c>
      <c r="F820" s="1183" t="s">
        <v>2326</v>
      </c>
      <c r="G820" s="1184" t="s">
        <v>456</v>
      </c>
      <c r="H820" s="1185" t="s">
        <v>457</v>
      </c>
      <c r="I820" s="1180" t="s">
        <v>2327</v>
      </c>
      <c r="J820" s="1186" t="str">
        <f>VLOOKUP($I820,'Price List, Weapons &amp; Items'!B:C,2,0)</f>
        <v>Humanitarian</v>
      </c>
      <c r="K820" s="1186" t="str">
        <f>IF(I820=".",I820,VLOOKUP($I820,'Price List, Weapons &amp; Items'!B:D,3,0))</f>
        <v>Humanitarian</v>
      </c>
      <c r="L820" s="1187">
        <f>VLOOKUP(I820,'Price List, Weapons &amp; Items'!B:E,4,0)</f>
        <v>0</v>
      </c>
      <c r="M820" s="1188" t="s">
        <v>374</v>
      </c>
      <c r="N820" s="1188" t="s">
        <v>374</v>
      </c>
      <c r="O820" s="1188" t="str">
        <f>VLOOKUP($I820,'Price List, Weapons &amp; Items'!B:G,6,0)</f>
        <v>.</v>
      </c>
      <c r="P820" s="1185" t="str">
        <f t="shared" si="171"/>
        <v>.</v>
      </c>
      <c r="Q820" s="1185" t="str">
        <f t="shared" si="172"/>
        <v>.</v>
      </c>
      <c r="R820" s="1185" t="str">
        <f t="shared" si="168"/>
        <v/>
      </c>
      <c r="S820" s="1185" t="str">
        <f>IF(AND(AD820=1,R820&lt;&gt;".")=TRUE,R820/VLOOKUP(G820,'Exchange Rates'!B:C,2,0),IF(R820=".",".",""))</f>
        <v/>
      </c>
      <c r="T820" s="1185" t="str">
        <f>IF(AD820=1,IF(AF820="Value is not given at all",".",IF(AF820="Value is given by the source",S820,IF(AF820="Value is calculated with prices",(IF(SUMIFS(Q:Q,A:A,A820)&gt;0,SUMIFS(Q:Q,A:A,A820),"."))/VLOOKUP("USD",'Exchange Rates'!B:C,2,0),"Error with coding"))),"")</f>
        <v/>
      </c>
      <c r="U820" s="1184" t="s">
        <v>365</v>
      </c>
      <c r="V820" s="974" t="s">
        <v>2328</v>
      </c>
      <c r="W820" s="1029" t="s">
        <v>2329</v>
      </c>
      <c r="X820" s="1029" t="s">
        <v>2330</v>
      </c>
      <c r="Y820" s="981" t="s">
        <v>364</v>
      </c>
      <c r="Z820" s="1184">
        <v>0</v>
      </c>
      <c r="AA820" s="1194">
        <v>0</v>
      </c>
      <c r="AB820" s="1201" t="s">
        <v>364</v>
      </c>
      <c r="AC820" s="1192" t="str">
        <f>""</f>
        <v/>
      </c>
      <c r="AD820" s="985">
        <v>0</v>
      </c>
      <c r="AE820" s="985" t="s">
        <v>368</v>
      </c>
      <c r="AF820" s="985" t="s">
        <v>369</v>
      </c>
      <c r="AG820" s="985">
        <v>1</v>
      </c>
      <c r="AH820" s="1193">
        <v>8</v>
      </c>
      <c r="AI820" s="1193">
        <v>0</v>
      </c>
      <c r="AJ820" s="1193">
        <f>VLOOKUP($I820,'Price List, Weapons &amp; Items'!B:F,5,0)</f>
        <v>0</v>
      </c>
      <c r="AK820" s="1193">
        <f t="shared" si="173"/>
        <v>0</v>
      </c>
      <c r="AL820" s="1193">
        <f t="shared" si="174"/>
        <v>0</v>
      </c>
      <c r="AM820" s="1193">
        <f t="shared" si="175"/>
        <v>0</v>
      </c>
      <c r="AN820" s="1194" t="str">
        <f>VLOOKUP($I820,'Price List, Weapons &amp; Items'!B:L,COLUMN('Price List, Weapons &amp; Items'!$J$11)-1,0)</f>
        <v>.</v>
      </c>
      <c r="AO820" s="1194" t="str">
        <f>IF(I820=".",".",VLOOKUP($I820,'Price List, Weapons &amp; Items'!B:J,3,0))</f>
        <v>Humanitarian</v>
      </c>
      <c r="AP820" s="1195" t="str">
        <f t="shared" ca="1" si="169"/>
        <v/>
      </c>
      <c r="AQ820" s="1194">
        <f>VLOOKUP($I820,'Price List, Weapons &amp; Items'!B:L,COLUMN('Price List, Weapons &amp; Items'!$L$11)-1,0)</f>
        <v>0</v>
      </c>
      <c r="AR820" s="1194">
        <f t="shared" si="176"/>
        <v>1</v>
      </c>
      <c r="AS820" s="1194">
        <f t="shared" si="177"/>
        <v>0</v>
      </c>
      <c r="AT820" s="1194">
        <f t="shared" si="178"/>
        <v>1</v>
      </c>
      <c r="AU820" s="1194" t="str">
        <f t="shared" si="179"/>
        <v>.</v>
      </c>
      <c r="AV820" s="1194" t="str">
        <f t="shared" si="170"/>
        <v>.</v>
      </c>
      <c r="AW820" s="1194" t="str">
        <f t="shared" si="180"/>
        <v>.</v>
      </c>
      <c r="AX820" s="1194">
        <f>IFERROR(VLOOKUP(B820,'Share, Heavy Weapons to Ukraine'!B:Z,COLUMN('Share, Heavy Weapons to Ukraine'!C830)-1,0),0)</f>
        <v>0</v>
      </c>
      <c r="AY820" s="1194">
        <f>VLOOKUP('Bilateral Assistance, MAIN DATA'!B820,'Country Summary (€)'!B:F,COLUMN('Country Summary (€)'!C831)-1,FALSE)</f>
        <v>0</v>
      </c>
      <c r="AZ820" s="1194" t="str">
        <f>IF(AND(AD820=1,D820="Military",H820&lt;&gt;"Not given")=TRUE,IF(SUMIFS(P:P,A:A,A820)&gt;0,ABS((SUMIFS(P:P,A:A,A820)/VLOOKUP("USD",'Exchange Rates'!B:C,2,0)))/S820,"."),".")</f>
        <v>.</v>
      </c>
      <c r="BA820" s="1196" t="str">
        <f>IF(AND(AD820=1,D820="Military",H820&lt;&gt;"Not given")=TRUE,IF(SUMIFS(P:P,A:A,A820)&gt;0,IF((ABS((SUMIFS(P:P,A:A,A820)/VLOOKUP("USD",'Exchange Rates'!B:C,2,0)))/S820)&gt;1,(SUMIFS(P:P,A:A,A820)-S820)/S820,(S820-SUMIFS(P:P,A:A,A820))/SUMIFS(P:P,A:A,A820)),"."),".")</f>
        <v>.</v>
      </c>
    </row>
    <row r="821" spans="1:71" s="1180" customFormat="1" ht="15.95" customHeight="1">
      <c r="A821" s="1208" t="s">
        <v>2331</v>
      </c>
      <c r="B821" s="1208" t="s">
        <v>2312</v>
      </c>
      <c r="C821" s="1220">
        <v>44887</v>
      </c>
      <c r="D821" s="1208" t="s">
        <v>360</v>
      </c>
      <c r="E821" s="1208" t="s">
        <v>361</v>
      </c>
      <c r="F821" s="1208" t="s">
        <v>2332</v>
      </c>
      <c r="G821" s="1184" t="s">
        <v>456</v>
      </c>
      <c r="H821" s="1210">
        <v>2570000</v>
      </c>
      <c r="I821" s="1208" t="s">
        <v>364</v>
      </c>
      <c r="J821" s="1186" t="str">
        <f>VLOOKUP($I821,'Price List, Weapons &amp; Items'!B:C,2,0)</f>
        <v>.</v>
      </c>
      <c r="K821" s="1186" t="str">
        <f>IF(I821=".",I821,VLOOKUP($I821,'Price List, Weapons &amp; Items'!B:D,3,0))</f>
        <v>.</v>
      </c>
      <c r="L821" s="1187">
        <f>VLOOKUP(I821,'Price List, Weapons &amp; Items'!B:E,4,0)</f>
        <v>0</v>
      </c>
      <c r="M821" s="1241" t="s">
        <v>364</v>
      </c>
      <c r="N821" s="1211" t="s">
        <v>364</v>
      </c>
      <c r="O821" s="1188" t="str">
        <f>VLOOKUP($I821,'Price List, Weapons &amp; Items'!B:G,6,0)</f>
        <v>.</v>
      </c>
      <c r="P821" s="1185" t="str">
        <f t="shared" si="171"/>
        <v>.</v>
      </c>
      <c r="Q821" s="1185" t="str">
        <f t="shared" si="172"/>
        <v>.</v>
      </c>
      <c r="R821" s="1185">
        <f t="shared" si="168"/>
        <v>2570000</v>
      </c>
      <c r="S821" s="1185">
        <f>IF(AND(AD821=1,R821&lt;&gt;".")=TRUE,R821/VLOOKUP(G821,'Exchange Rates'!B:C,2,0),IF(R821=".",".",""))</f>
        <v>2364740.5226352597</v>
      </c>
      <c r="T821" s="1185" t="str">
        <f>IF(AD821=1,IF(AF821="Value is not given at all",".",IF(AF821="Value is given by the source",S821,IF(AF821="Value is calculated with prices",(IF(SUMIFS(Q:Q,A:A,A821)&gt;0,SUMIFS(Q:Q,A:A,A821),"."))/VLOOKUP("USD",'Exchange Rates'!B:C,2,0),"Error with coding"))),"")</f>
        <v>.</v>
      </c>
      <c r="U821" s="1191" t="s">
        <v>365</v>
      </c>
      <c r="V821" s="979" t="s">
        <v>2314</v>
      </c>
      <c r="W821" s="979" t="s">
        <v>2333</v>
      </c>
      <c r="X821" s="1208" t="s">
        <v>364</v>
      </c>
      <c r="Y821" s="1208" t="s">
        <v>364</v>
      </c>
      <c r="Z821" s="1191">
        <v>0</v>
      </c>
      <c r="AA821" s="1191">
        <v>0</v>
      </c>
      <c r="AB821" s="1208" t="s">
        <v>364</v>
      </c>
      <c r="AC821" s="1192" t="str">
        <f>""</f>
        <v/>
      </c>
      <c r="AD821" s="1191">
        <v>1</v>
      </c>
      <c r="AE821" s="1191" t="s">
        <v>368</v>
      </c>
      <c r="AF821" s="1191" t="s">
        <v>369</v>
      </c>
      <c r="AG821" s="1191">
        <v>1</v>
      </c>
      <c r="AH821" s="1191">
        <v>11</v>
      </c>
      <c r="AI821" s="1191">
        <v>0</v>
      </c>
      <c r="AJ821" s="1193">
        <f>VLOOKUP($I821,'Price List, Weapons &amp; Items'!B:F,5,0)</f>
        <v>0</v>
      </c>
      <c r="AK821" s="1193">
        <f t="shared" si="173"/>
        <v>0</v>
      </c>
      <c r="AL821" s="1193">
        <f t="shared" si="174"/>
        <v>0</v>
      </c>
      <c r="AM821" s="1193">
        <f t="shared" si="175"/>
        <v>0</v>
      </c>
      <c r="AN821" s="1194" t="str">
        <f>VLOOKUP($I821,'Price List, Weapons &amp; Items'!B:L,COLUMN('Price List, Weapons &amp; Items'!$J$11)-1,0)</f>
        <v>.</v>
      </c>
      <c r="AO821" s="1194" t="str">
        <f>IF(I821=".",".",VLOOKUP($I821,'Price List, Weapons &amp; Items'!B:J,3,0))</f>
        <v>.</v>
      </c>
      <c r="AP821" s="1195" t="str">
        <f t="shared" ca="1" si="169"/>
        <v>.</v>
      </c>
      <c r="AQ821" s="1194">
        <f>VLOOKUP($I821,'Price List, Weapons &amp; Items'!B:L,COLUMN('Price List, Weapons &amp; Items'!$L$11)-1,0)</f>
        <v>0</v>
      </c>
      <c r="AR821" s="1194">
        <f t="shared" si="176"/>
        <v>1</v>
      </c>
      <c r="AS821" s="1194">
        <f t="shared" si="177"/>
        <v>0</v>
      </c>
      <c r="AT821" s="1194">
        <f t="shared" si="178"/>
        <v>1</v>
      </c>
      <c r="AU821" s="1194" t="str">
        <f t="shared" si="179"/>
        <v>.</v>
      </c>
      <c r="AV821" s="1194" t="str">
        <f t="shared" si="170"/>
        <v>.</v>
      </c>
      <c r="AW821" s="1194" t="str">
        <f t="shared" si="180"/>
        <v>.</v>
      </c>
      <c r="AX821" s="1194">
        <f>IFERROR(VLOOKUP(B821,'Share, Heavy Weapons to Ukraine'!B:Z,COLUMN('Share, Heavy Weapons to Ukraine'!C831)-1,0),0)</f>
        <v>0</v>
      </c>
      <c r="AY821" s="1194">
        <f>VLOOKUP('Bilateral Assistance, MAIN DATA'!B821,'Country Summary (€)'!B:F,COLUMN('Country Summary (€)'!C832)-1,FALSE)</f>
        <v>0</v>
      </c>
      <c r="AZ821" s="1194" t="str">
        <f>IF(AND(AD821=1,D821="Military",H821&lt;&gt;"Not given")=TRUE,IF(SUMIFS(P:P,A:A,A821)&gt;0,ABS((SUMIFS(P:P,A:A,A821)/VLOOKUP("USD",'Exchange Rates'!B:C,2,0)))/S821,"."),".")</f>
        <v>.</v>
      </c>
      <c r="BA821" s="1196" t="str">
        <f>IF(AND(AD821=1,D821="Military",H821&lt;&gt;"Not given")=TRUE,IF(SUMIFS(P:P,A:A,A821)&gt;0,IF((ABS((SUMIFS(P:P,A:A,A821)/VLOOKUP("USD",'Exchange Rates'!B:C,2,0)))/S821)&gt;1,(SUMIFS(P:P,A:A,A821)-S821)/S821,(S821-SUMIFS(P:P,A:A,A821))/SUMIFS(P:P,A:A,A821)),"."),".")</f>
        <v>.</v>
      </c>
    </row>
    <row r="822" spans="1:71" ht="15.95" customHeight="1">
      <c r="A822" s="1208" t="s">
        <v>2334</v>
      </c>
      <c r="B822" s="1208" t="s">
        <v>2312</v>
      </c>
      <c r="C822" s="1220">
        <v>44901</v>
      </c>
      <c r="D822" s="1208" t="s">
        <v>360</v>
      </c>
      <c r="E822" s="1208" t="s">
        <v>361</v>
      </c>
      <c r="F822" s="1208" t="s">
        <v>2335</v>
      </c>
      <c r="G822" s="1184" t="s">
        <v>456</v>
      </c>
      <c r="H822" s="1210">
        <v>495370370</v>
      </c>
      <c r="I822" s="1208" t="s">
        <v>364</v>
      </c>
      <c r="J822" s="1186" t="str">
        <f>VLOOKUP($I822,'Price List, Weapons &amp; Items'!B:C,2,0)</f>
        <v>.</v>
      </c>
      <c r="K822" s="1186" t="str">
        <f>IF(I822=".",I822,VLOOKUP($I822,'Price List, Weapons &amp; Items'!B:D,3,0))</f>
        <v>.</v>
      </c>
      <c r="L822" s="1187">
        <f>VLOOKUP(I822,'Price List, Weapons &amp; Items'!B:E,4,0)</f>
        <v>0</v>
      </c>
      <c r="M822" s="1241" t="s">
        <v>364</v>
      </c>
      <c r="N822" s="1211" t="s">
        <v>364</v>
      </c>
      <c r="O822" s="1188" t="str">
        <f>VLOOKUP($I822,'Price List, Weapons &amp; Items'!B:G,6,0)</f>
        <v>.</v>
      </c>
      <c r="P822" s="1185" t="str">
        <f t="shared" si="171"/>
        <v>.</v>
      </c>
      <c r="Q822" s="1185" t="str">
        <f t="shared" si="172"/>
        <v>.</v>
      </c>
      <c r="R822" s="1185">
        <f t="shared" si="168"/>
        <v>495370370</v>
      </c>
      <c r="S822" s="1185">
        <f>IF(AND(AD822=1,R822&lt;&gt;".")=TRUE,R822/VLOOKUP(G822,'Exchange Rates'!B:C,2,0),IF(R822=".",".",""))</f>
        <v>455806376.51821864</v>
      </c>
      <c r="T822" s="1185" t="str">
        <f>IF(AD822=1,IF(AF822="Value is not given at all",".",IF(AF822="Value is given by the source",S822,IF(AF822="Value is calculated with prices",(IF(SUMIFS(Q:Q,A:A,A822)&gt;0,SUMIFS(Q:Q,A:A,A822),"."))/VLOOKUP("USD",'Exchange Rates'!B:C,2,0),"Error with coding"))),"")</f>
        <v>.</v>
      </c>
      <c r="U822" s="1191" t="s">
        <v>365</v>
      </c>
      <c r="V822" s="979" t="s">
        <v>2314</v>
      </c>
      <c r="W822" s="979" t="s">
        <v>2336</v>
      </c>
      <c r="X822" s="979" t="s">
        <v>2337</v>
      </c>
      <c r="Y822" s="1208" t="s">
        <v>364</v>
      </c>
      <c r="Z822" s="1191">
        <v>0</v>
      </c>
      <c r="AA822" s="1191">
        <v>0</v>
      </c>
      <c r="AB822" s="1208" t="s">
        <v>364</v>
      </c>
      <c r="AC822" s="1192" t="str">
        <f>""</f>
        <v/>
      </c>
      <c r="AD822" s="1191">
        <v>1</v>
      </c>
      <c r="AE822" s="1191" t="s">
        <v>368</v>
      </c>
      <c r="AF822" s="1191" t="s">
        <v>369</v>
      </c>
      <c r="AG822" s="1191">
        <v>1</v>
      </c>
      <c r="AH822" s="1191">
        <v>12</v>
      </c>
      <c r="AI822" s="1191">
        <v>0</v>
      </c>
      <c r="AJ822" s="1193">
        <f>VLOOKUP($I822,'Price List, Weapons &amp; Items'!B:F,5,0)</f>
        <v>0</v>
      </c>
      <c r="AK822" s="1193">
        <f t="shared" si="173"/>
        <v>0</v>
      </c>
      <c r="AL822" s="1193">
        <f t="shared" si="174"/>
        <v>0</v>
      </c>
      <c r="AM822" s="1193">
        <f t="shared" si="175"/>
        <v>0</v>
      </c>
      <c r="AN822" s="1194" t="str">
        <f>VLOOKUP($I822,'Price List, Weapons &amp; Items'!B:L,COLUMN('Price List, Weapons &amp; Items'!$J$11)-1,0)</f>
        <v>.</v>
      </c>
      <c r="AO822" s="1194" t="str">
        <f>IF(I822=".",".",VLOOKUP($I822,'Price List, Weapons &amp; Items'!B:J,3,0))</f>
        <v>.</v>
      </c>
      <c r="AP822" s="1195" t="str">
        <f t="shared" ca="1" si="169"/>
        <v>.</v>
      </c>
      <c r="AQ822" s="1194">
        <f>VLOOKUP($I822,'Price List, Weapons &amp; Items'!B:L,COLUMN('Price List, Weapons &amp; Items'!$L$11)-1,0)</f>
        <v>0</v>
      </c>
      <c r="AR822" s="1194">
        <f t="shared" si="176"/>
        <v>1</v>
      </c>
      <c r="AS822" s="1194">
        <f t="shared" si="177"/>
        <v>0</v>
      </c>
      <c r="AT822" s="1194">
        <f t="shared" si="178"/>
        <v>1</v>
      </c>
      <c r="AU822" s="1194" t="str">
        <f t="shared" si="179"/>
        <v>.</v>
      </c>
      <c r="AV822" s="1194" t="str">
        <f t="shared" si="170"/>
        <v>.</v>
      </c>
      <c r="AW822" s="1194" t="str">
        <f t="shared" si="180"/>
        <v>.</v>
      </c>
      <c r="AX822" s="1194">
        <f>IFERROR(VLOOKUP(B822,'Share, Heavy Weapons to Ukraine'!B:Z,COLUMN('Share, Heavy Weapons to Ukraine'!C832)-1,0),0)</f>
        <v>0</v>
      </c>
      <c r="AY822" s="1194">
        <f>VLOOKUP('Bilateral Assistance, MAIN DATA'!B822,'Country Summary (€)'!B:F,COLUMN('Country Summary (€)'!C833)-1,FALSE)</f>
        <v>0</v>
      </c>
      <c r="AZ822" s="1194" t="str">
        <f>IF(AND(AD822=1,D822="Military",H822&lt;&gt;"Not given")=TRUE,IF(SUMIFS(P:P,A:A,A822)&gt;0,ABS((SUMIFS(P:P,A:A,A822)/VLOOKUP("USD",'Exchange Rates'!B:C,2,0)))/S822,"."),".")</f>
        <v>.</v>
      </c>
      <c r="BA822" s="1196" t="str">
        <f>IF(AND(AD822=1,D822="Military",H822&lt;&gt;"Not given")=TRUE,IF(SUMIFS(P:P,A:A,A822)&gt;0,IF((ABS((SUMIFS(P:P,A:A,A822)/VLOOKUP("USD",'Exchange Rates'!B:C,2,0)))/S822)&gt;1,(SUMIFS(P:P,A:A,A822)-S822)/S822,(S822-SUMIFS(P:P,A:A,A822))/SUMIFS(P:P,A:A,A822)),"."),".")</f>
        <v>.</v>
      </c>
    </row>
    <row r="823" spans="1:71" ht="15.95" customHeight="1">
      <c r="A823" s="1208" t="s">
        <v>2338</v>
      </c>
      <c r="B823" s="1208" t="s">
        <v>2312</v>
      </c>
      <c r="C823" s="1209">
        <v>44949</v>
      </c>
      <c r="D823" s="1208" t="s">
        <v>360</v>
      </c>
      <c r="E823" s="1208" t="s">
        <v>361</v>
      </c>
      <c r="F823" s="1208" t="s">
        <v>2339</v>
      </c>
      <c r="G823" s="1184" t="s">
        <v>456</v>
      </c>
      <c r="H823" s="1210">
        <v>2570000</v>
      </c>
      <c r="I823" s="1208" t="s">
        <v>469</v>
      </c>
      <c r="J823" s="1186" t="str">
        <f>VLOOKUP($I823,'Price List, Weapons &amp; Items'!B:C,2,0)</f>
        <v>Humanitarian</v>
      </c>
      <c r="K823" s="1186" t="str">
        <f>IF(I823=".",I823,VLOOKUP($I823,'Price List, Weapons &amp; Items'!B:D,3,0))</f>
        <v>Humanitarian</v>
      </c>
      <c r="L823" s="1187">
        <f>VLOOKUP(I823,'Price List, Weapons &amp; Items'!B:E,4,0)</f>
        <v>0</v>
      </c>
      <c r="M823" s="1241">
        <v>237</v>
      </c>
      <c r="N823" s="1211" t="s">
        <v>374</v>
      </c>
      <c r="O823" s="1188" t="str">
        <f>VLOOKUP($I823,'Price List, Weapons &amp; Items'!B:G,6,0)</f>
        <v>.</v>
      </c>
      <c r="P823" s="1185" t="str">
        <f t="shared" si="171"/>
        <v>No price</v>
      </c>
      <c r="Q823" s="1185" t="str">
        <f t="shared" si="172"/>
        <v>.</v>
      </c>
      <c r="R823" s="1185">
        <f t="shared" si="168"/>
        <v>2570000</v>
      </c>
      <c r="S823" s="1185">
        <f>IF(AND(AD823=1,R823&lt;&gt;".")=TRUE,R823/VLOOKUP(G823,'Exchange Rates'!B:C,2,0),IF(R823=".",".",""))</f>
        <v>2364740.5226352597</v>
      </c>
      <c r="T823" s="1185" t="str">
        <f>IF(AD823=1,IF(AF823="Value is not given at all",".",IF(AF823="Value is given by the source",S823,IF(AF823="Value is calculated with prices",(IF(SUMIFS(Q:Q,A:A,A823)&gt;0,SUMIFS(Q:Q,A:A,A823),"."))/VLOOKUP("USD",'Exchange Rates'!B:C,2,0),"Error with coding"))),"")</f>
        <v>.</v>
      </c>
      <c r="U823" s="1191" t="s">
        <v>365</v>
      </c>
      <c r="V823" s="983" t="s">
        <v>2340</v>
      </c>
      <c r="W823" s="983" t="s">
        <v>2314</v>
      </c>
      <c r="X823" s="1208" t="s">
        <v>364</v>
      </c>
      <c r="Y823" s="1208" t="s">
        <v>364</v>
      </c>
      <c r="Z823" s="1191">
        <v>0</v>
      </c>
      <c r="AA823" s="1191">
        <v>0</v>
      </c>
      <c r="AB823" s="1208" t="s">
        <v>364</v>
      </c>
      <c r="AC823" s="1192" t="str">
        <f>""</f>
        <v/>
      </c>
      <c r="AD823" s="1191">
        <v>1</v>
      </c>
      <c r="AE823" s="1191" t="s">
        <v>368</v>
      </c>
      <c r="AF823" s="1191" t="s">
        <v>369</v>
      </c>
      <c r="AG823" s="1191">
        <v>1</v>
      </c>
      <c r="AH823" s="1191">
        <v>13</v>
      </c>
      <c r="AI823" s="1191">
        <v>0</v>
      </c>
      <c r="AJ823" s="1193">
        <f>VLOOKUP($I823,'Price List, Weapons &amp; Items'!B:F,5,0)</f>
        <v>0</v>
      </c>
      <c r="AK823" s="1193">
        <f t="shared" si="173"/>
        <v>0</v>
      </c>
      <c r="AL823" s="1193">
        <f t="shared" si="174"/>
        <v>0</v>
      </c>
      <c r="AM823" s="1193">
        <f t="shared" si="175"/>
        <v>0</v>
      </c>
      <c r="AN823" s="1194" t="str">
        <f>VLOOKUP($I823,'Price List, Weapons &amp; Items'!B:L,COLUMN('Price List, Weapons &amp; Items'!$J$11)-1,0)</f>
        <v>Media reports (incl. social media)</v>
      </c>
      <c r="AO823" s="1194" t="str">
        <f>IF(I823=".",".",VLOOKUP($I823,'Price List, Weapons &amp; Items'!B:J,3,0))</f>
        <v>Humanitarian</v>
      </c>
      <c r="AP823" s="1195" t="str">
        <f t="shared" ca="1" si="169"/>
        <v>power generator</v>
      </c>
      <c r="AQ823" s="1194">
        <f>VLOOKUP($I823,'Price List, Weapons &amp; Items'!B:L,COLUMN('Price List, Weapons &amp; Items'!$L$11)-1,0)</f>
        <v>0</v>
      </c>
      <c r="AR823" s="1194">
        <f t="shared" si="176"/>
        <v>1</v>
      </c>
      <c r="AS823" s="1194">
        <f t="shared" si="177"/>
        <v>0</v>
      </c>
      <c r="AT823" s="1194">
        <f t="shared" si="178"/>
        <v>1</v>
      </c>
      <c r="AU823" s="1194" t="str">
        <f t="shared" si="179"/>
        <v>.</v>
      </c>
      <c r="AV823" s="1194" t="str">
        <f t="shared" si="170"/>
        <v>.</v>
      </c>
      <c r="AW823" s="1194" t="str">
        <f t="shared" si="180"/>
        <v>.</v>
      </c>
      <c r="AX823" s="1194">
        <f>IFERROR(VLOOKUP(B823,'Share, Heavy Weapons to Ukraine'!B:Z,COLUMN('Share, Heavy Weapons to Ukraine'!C833)-1,0),0)</f>
        <v>0</v>
      </c>
      <c r="AY823" s="1194">
        <f>VLOOKUP('Bilateral Assistance, MAIN DATA'!B823,'Country Summary (€)'!B:F,COLUMN('Country Summary (€)'!C834)-1,FALSE)</f>
        <v>0</v>
      </c>
      <c r="AZ823" s="1194" t="str">
        <f>IF(AND(AD823=1,D823="Military",H823&lt;&gt;"Not given")=TRUE,IF(SUMIFS(P:P,A:A,A823)&gt;0,ABS((SUMIFS(P:P,A:A,A823)/VLOOKUP("USD",'Exchange Rates'!B:C,2,0)))/S823,"."),".")</f>
        <v>.</v>
      </c>
      <c r="BA823" s="1196" t="str">
        <f>IF(AND(AD823=1,D823="Military",H823&lt;&gt;"Not given")=TRUE,IF(SUMIFS(P:P,A:A,A823)&gt;0,IF((ABS((SUMIFS(P:P,A:A,A823)/VLOOKUP("USD",'Exchange Rates'!B:C,2,0)))/S823)&gt;1,(SUMIFS(P:P,A:A,A823)-S823)/S823,(S823-SUMIFS(P:P,A:A,A823))/SUMIFS(P:P,A:A,A823)),"."),".")</f>
        <v>.</v>
      </c>
      <c r="BB823" s="1208" t="s">
        <v>38</v>
      </c>
      <c r="BC823" s="1208" t="s">
        <v>38</v>
      </c>
      <c r="BD823" s="1208" t="s">
        <v>38</v>
      </c>
      <c r="BE823" s="1208" t="s">
        <v>38</v>
      </c>
      <c r="BF823" s="1208" t="s">
        <v>38</v>
      </c>
      <c r="BG823" s="1208" t="s">
        <v>38</v>
      </c>
      <c r="BH823" s="1208" t="s">
        <v>38</v>
      </c>
      <c r="BI823" s="1208" t="s">
        <v>38</v>
      </c>
      <c r="BJ823" s="1208" t="s">
        <v>38</v>
      </c>
      <c r="BK823" s="1208" t="s">
        <v>38</v>
      </c>
      <c r="BL823" s="1208" t="s">
        <v>38</v>
      </c>
      <c r="BM823" s="1208" t="s">
        <v>38</v>
      </c>
      <c r="BN823" s="1208" t="s">
        <v>38</v>
      </c>
      <c r="BO823" s="1208" t="s">
        <v>38</v>
      </c>
      <c r="BP823" s="1208" t="s">
        <v>38</v>
      </c>
      <c r="BQ823" s="1208" t="s">
        <v>38</v>
      </c>
      <c r="BR823" s="1208" t="s">
        <v>38</v>
      </c>
      <c r="BS823" s="1208" t="s">
        <v>38</v>
      </c>
    </row>
    <row r="824" spans="1:71" ht="15.95" customHeight="1">
      <c r="A824" s="1208" t="s">
        <v>2341</v>
      </c>
      <c r="B824" s="1208" t="s">
        <v>2312</v>
      </c>
      <c r="C824" s="1209">
        <v>45015</v>
      </c>
      <c r="D824" s="1208" t="s">
        <v>360</v>
      </c>
      <c r="E824" s="1208" t="s">
        <v>481</v>
      </c>
      <c r="F824" s="1208" t="s">
        <v>2342</v>
      </c>
      <c r="G824" s="1184" t="s">
        <v>456</v>
      </c>
      <c r="H824" s="1210">
        <v>400000000</v>
      </c>
      <c r="I824" s="1208" t="s">
        <v>364</v>
      </c>
      <c r="J824" s="1186" t="str">
        <f>VLOOKUP($I824,'Price List, Weapons &amp; Items'!B:C,2,0)</f>
        <v>.</v>
      </c>
      <c r="K824" s="1186" t="str">
        <f>IF(I824=".",I824,VLOOKUP($I824,'Price List, Weapons &amp; Items'!B:D,3,0))</f>
        <v>.</v>
      </c>
      <c r="L824" s="1187">
        <f>VLOOKUP(I824,'Price List, Weapons &amp; Items'!B:E,4,0)</f>
        <v>0</v>
      </c>
      <c r="M824" s="1241" t="s">
        <v>364</v>
      </c>
      <c r="N824" s="1211" t="s">
        <v>364</v>
      </c>
      <c r="O824" s="1188" t="str">
        <f>VLOOKUP($I824,'Price List, Weapons &amp; Items'!B:G,6,0)</f>
        <v>.</v>
      </c>
      <c r="P824" s="1185" t="str">
        <f t="shared" si="171"/>
        <v>.</v>
      </c>
      <c r="Q824" s="1185" t="str">
        <f t="shared" si="172"/>
        <v>.</v>
      </c>
      <c r="R824" s="1185">
        <f t="shared" si="168"/>
        <v>400000000</v>
      </c>
      <c r="S824" s="1185">
        <f>IF(AND(AD824=1,R824&lt;&gt;".")=TRUE,R824/VLOOKUP(G824,'Exchange Rates'!B:C,2,0),IF(R824=".",".",""))</f>
        <v>368052999.63194698</v>
      </c>
      <c r="T824" s="1185" t="str">
        <f>IF(AD824=1,IF(AF824="Value is not given at all",".",IF(AF824="Value is given by the source",S824,IF(AF824="Value is calculated with prices",(IF(SUMIFS(Q:Q,A:A,A824)&gt;0,SUMIFS(Q:Q,A:A,A824),"."))/VLOOKUP("USD",'Exchange Rates'!B:C,2,0),"Error with coding"))),"")</f>
        <v>.</v>
      </c>
      <c r="U824" s="1191" t="s">
        <v>365</v>
      </c>
      <c r="V824" s="983" t="s">
        <v>2343</v>
      </c>
      <c r="W824" s="983" t="s">
        <v>2344</v>
      </c>
      <c r="X824" s="1208" t="s">
        <v>364</v>
      </c>
      <c r="Y824" s="1208" t="s">
        <v>364</v>
      </c>
      <c r="Z824" s="1191">
        <v>0</v>
      </c>
      <c r="AA824" s="1191">
        <v>1</v>
      </c>
      <c r="AB824" s="1208" t="s">
        <v>364</v>
      </c>
      <c r="AC824" s="1192" t="str">
        <f>""</f>
        <v/>
      </c>
      <c r="AD824" s="1191">
        <v>1</v>
      </c>
      <c r="AE824" s="1191" t="s">
        <v>368</v>
      </c>
      <c r="AF824" s="1191" t="s">
        <v>369</v>
      </c>
      <c r="AG824" s="1191">
        <v>1</v>
      </c>
      <c r="AH824" s="1191">
        <v>15</v>
      </c>
      <c r="AI824" s="1191">
        <v>0</v>
      </c>
      <c r="AJ824" s="1193">
        <f>VLOOKUP($I824,'Price List, Weapons &amp; Items'!B:F,5,0)</f>
        <v>0</v>
      </c>
      <c r="AK824" s="1193">
        <f t="shared" si="173"/>
        <v>0</v>
      </c>
      <c r="AL824" s="1193">
        <f t="shared" si="174"/>
        <v>0</v>
      </c>
      <c r="AM824" s="1193">
        <f t="shared" si="175"/>
        <v>0</v>
      </c>
      <c r="AN824" s="1194" t="str">
        <f>VLOOKUP($I824,'Price List, Weapons &amp; Items'!B:L,COLUMN('Price List, Weapons &amp; Items'!$J$11)-1,0)</f>
        <v>.</v>
      </c>
      <c r="AO824" s="1194" t="str">
        <f>IF(I824=".",".",VLOOKUP($I824,'Price List, Weapons &amp; Items'!B:J,3,0))</f>
        <v>.</v>
      </c>
      <c r="AP824" s="1195" t="str">
        <f t="shared" ca="1" si="169"/>
        <v>.</v>
      </c>
      <c r="AQ824" s="1194">
        <f>VLOOKUP($I824,'Price List, Weapons &amp; Items'!B:L,COLUMN('Price List, Weapons &amp; Items'!$L$11)-1,0)</f>
        <v>0</v>
      </c>
      <c r="AR824" s="1194">
        <f t="shared" si="176"/>
        <v>1</v>
      </c>
      <c r="AS824" s="1194">
        <f t="shared" si="177"/>
        <v>0</v>
      </c>
      <c r="AT824" s="1194">
        <f t="shared" si="178"/>
        <v>1</v>
      </c>
      <c r="AU824" s="1194" t="str">
        <f t="shared" si="179"/>
        <v>.</v>
      </c>
      <c r="AV824" s="1194" t="str">
        <f t="shared" si="170"/>
        <v>.</v>
      </c>
      <c r="AW824" s="1194" t="str">
        <f t="shared" si="180"/>
        <v>.</v>
      </c>
      <c r="AX824" s="1194">
        <f>IFERROR(VLOOKUP(B824,'Share, Heavy Weapons to Ukraine'!B:Z,COLUMN('Share, Heavy Weapons to Ukraine'!C834)-1,0),0)</f>
        <v>0</v>
      </c>
      <c r="AY824" s="1194">
        <f>VLOOKUP('Bilateral Assistance, MAIN DATA'!B824,'Country Summary (€)'!B:F,COLUMN('Country Summary (€)'!C835)-1,FALSE)</f>
        <v>0</v>
      </c>
      <c r="AZ824" s="1194" t="str">
        <f>IF(AND(AD824=1,D824="Military",H824&lt;&gt;"Not given")=TRUE,IF(SUMIFS(P:P,A:A,A824)&gt;0,ABS((SUMIFS(P:P,A:A,A824)/VLOOKUP("USD",'Exchange Rates'!B:C,2,0)))/S824,"."),".")</f>
        <v>.</v>
      </c>
      <c r="BA824" s="1196" t="str">
        <f>IF(AND(AD824=1,D824="Military",H824&lt;&gt;"Not given")=TRUE,IF(SUMIFS(P:P,A:A,A824)&gt;0,IF((ABS((SUMIFS(P:P,A:A,A824)/VLOOKUP("USD",'Exchange Rates'!B:C,2,0)))/S824)&gt;1,(SUMIFS(P:P,A:A,A824)-S824)/S824,(S824-SUMIFS(P:P,A:A,A824))/SUMIFS(P:P,A:A,A824)),"."),".")</f>
        <v>.</v>
      </c>
      <c r="BB824" s="1208"/>
      <c r="BC824" s="1208"/>
      <c r="BD824" s="1208"/>
      <c r="BE824" s="1208"/>
      <c r="BF824" s="1208"/>
      <c r="BG824" s="1208"/>
      <c r="BH824" s="1208"/>
      <c r="BI824" s="1208"/>
      <c r="BJ824" s="1208"/>
      <c r="BK824" s="1208"/>
      <c r="BL824" s="1208"/>
      <c r="BM824" s="1208"/>
      <c r="BN824" s="1208"/>
      <c r="BO824" s="1208"/>
      <c r="BP824" s="1208"/>
      <c r="BQ824" s="1208"/>
      <c r="BR824" s="1208"/>
      <c r="BS824" s="1208"/>
    </row>
    <row r="825" spans="1:71" ht="15.95" customHeight="1">
      <c r="A825" s="1180" t="s">
        <v>2345</v>
      </c>
      <c r="B825" s="1180" t="s">
        <v>2312</v>
      </c>
      <c r="C825" s="1181">
        <v>45015</v>
      </c>
      <c r="D825" s="1182" t="s">
        <v>360</v>
      </c>
      <c r="E825" s="1182" t="s">
        <v>481</v>
      </c>
      <c r="F825" s="1183" t="s">
        <v>2346</v>
      </c>
      <c r="G825" s="1184" t="s">
        <v>456</v>
      </c>
      <c r="H825" s="1185">
        <v>70000000</v>
      </c>
      <c r="I825" s="1180" t="s">
        <v>364</v>
      </c>
      <c r="J825" s="1186" t="str">
        <f>VLOOKUP($I825,'Price List, Weapons &amp; Items'!B:C,2,0)</f>
        <v>.</v>
      </c>
      <c r="K825" s="1186" t="str">
        <f>IF(I825=".",I825,VLOOKUP($I825,'Price List, Weapons &amp; Items'!B:D,3,0))</f>
        <v>.</v>
      </c>
      <c r="L825" s="1187">
        <f>VLOOKUP(I825,'Price List, Weapons &amp; Items'!B:E,4,0)</f>
        <v>0</v>
      </c>
      <c r="M825" s="1188" t="s">
        <v>364</v>
      </c>
      <c r="N825" s="1188" t="s">
        <v>364</v>
      </c>
      <c r="O825" s="1188" t="str">
        <f>VLOOKUP($I825,'Price List, Weapons &amp; Items'!B:G,6,0)</f>
        <v>.</v>
      </c>
      <c r="P825" s="1185" t="str">
        <f t="shared" si="171"/>
        <v>.</v>
      </c>
      <c r="Q825" s="1185" t="str">
        <f t="shared" si="172"/>
        <v>.</v>
      </c>
      <c r="R825" s="1185">
        <f t="shared" si="168"/>
        <v>70000000</v>
      </c>
      <c r="S825" s="1185">
        <f>IF(AND(AD825=1,R825&lt;&gt;".")=TRUE,R825/VLOOKUP(G825,'Exchange Rates'!B:C,2,0),IF(R825=".",".",""))</f>
        <v>64409274.935590729</v>
      </c>
      <c r="T825" s="1185" t="str">
        <f>IF(AD825=1,IF(AF825="Value is not given at all",".",IF(AF825="Value is given by the source",S825,IF(AF825="Value is calculated with prices",(IF(SUMIFS(Q:Q,A:A,A825)&gt;0,SUMIFS(Q:Q,A:A,A825),"."))/VLOOKUP("USD",'Exchange Rates'!B:C,2,0),"Error with coding"))),"")</f>
        <v>.</v>
      </c>
      <c r="U825" s="1184" t="s">
        <v>365</v>
      </c>
      <c r="V825" s="980" t="s">
        <v>2343</v>
      </c>
      <c r="W825" s="966" t="s">
        <v>2344</v>
      </c>
      <c r="X825" s="1190" t="s">
        <v>364</v>
      </c>
      <c r="Y825" s="1190" t="s">
        <v>364</v>
      </c>
      <c r="Z825" s="1184">
        <v>0</v>
      </c>
      <c r="AA825" s="1194">
        <v>1</v>
      </c>
      <c r="AB825" s="1212" t="s">
        <v>364</v>
      </c>
      <c r="AC825" s="1192" t="str">
        <f>""</f>
        <v/>
      </c>
      <c r="AD825" s="1194">
        <v>1</v>
      </c>
      <c r="AE825" s="1191" t="s">
        <v>368</v>
      </c>
      <c r="AF825" s="1191" t="s">
        <v>369</v>
      </c>
      <c r="AG825" s="1194">
        <v>1</v>
      </c>
      <c r="AH825" s="1194">
        <v>15</v>
      </c>
      <c r="AI825" s="1194">
        <v>0</v>
      </c>
      <c r="AJ825" s="1193">
        <f>VLOOKUP($I825,'Price List, Weapons &amp; Items'!B:F,5,0)</f>
        <v>0</v>
      </c>
      <c r="AK825" s="1193">
        <f t="shared" si="173"/>
        <v>0</v>
      </c>
      <c r="AL825" s="1193">
        <f t="shared" si="174"/>
        <v>0</v>
      </c>
      <c r="AM825" s="1193">
        <f t="shared" si="175"/>
        <v>0</v>
      </c>
      <c r="AN825" s="1194" t="str">
        <f>VLOOKUP($I825,'Price List, Weapons &amp; Items'!B:L,COLUMN('Price List, Weapons &amp; Items'!$J$11)-1,0)</f>
        <v>.</v>
      </c>
      <c r="AO825" s="1194" t="str">
        <f>IF(I825=".",".",VLOOKUP($I825,'Price List, Weapons &amp; Items'!B:J,3,0))</f>
        <v>.</v>
      </c>
      <c r="AP825" s="1195" t="str">
        <f t="shared" ca="1" si="169"/>
        <v>.</v>
      </c>
      <c r="AQ825" s="1194">
        <f>VLOOKUP($I825,'Price List, Weapons &amp; Items'!B:L,COLUMN('Price List, Weapons &amp; Items'!$L$11)-1,0)</f>
        <v>0</v>
      </c>
      <c r="AR825" s="1194">
        <f t="shared" si="176"/>
        <v>1</v>
      </c>
      <c r="AS825" s="1194">
        <f t="shared" si="177"/>
        <v>0</v>
      </c>
      <c r="AT825" s="1194">
        <f t="shared" si="178"/>
        <v>1</v>
      </c>
      <c r="AU825" s="1194" t="str">
        <f t="shared" si="179"/>
        <v>.</v>
      </c>
      <c r="AV825" s="1194" t="str">
        <f t="shared" si="170"/>
        <v>.</v>
      </c>
      <c r="AW825" s="1194" t="str">
        <f t="shared" si="180"/>
        <v>.</v>
      </c>
      <c r="AX825" s="1194">
        <f>IFERROR(VLOOKUP(B825,'Share, Heavy Weapons to Ukraine'!B:Z,COLUMN('Share, Heavy Weapons to Ukraine'!C835)-1,0),0)</f>
        <v>0</v>
      </c>
      <c r="AY825" s="1194">
        <f>VLOOKUP('Bilateral Assistance, MAIN DATA'!B825,'Country Summary (€)'!B:F,COLUMN('Country Summary (€)'!C836)-1,FALSE)</f>
        <v>0</v>
      </c>
      <c r="AZ825" s="1194" t="str">
        <f>IF(AND(AD825=1,D825="Military",H825&lt;&gt;"Not given")=TRUE,IF(SUMIFS(P:P,A:A,A825)&gt;0,ABS((SUMIFS(P:P,A:A,A825)/VLOOKUP("USD",'Exchange Rates'!B:C,2,0)))/S825,"."),".")</f>
        <v>.</v>
      </c>
      <c r="BA825" s="1196" t="str">
        <f>IF(AND(AD825=1,D825="Military",H825&lt;&gt;"Not given")=TRUE,IF(SUMIFS(P:P,A:A,A825)&gt;0,IF((ABS((SUMIFS(P:P,A:A,A825)/VLOOKUP("USD",'Exchange Rates'!B:C,2,0)))/S825)&gt;1,(SUMIFS(P:P,A:A,A825)-S825)/S825,(S825-SUMIFS(P:P,A:A,A825))/SUMIFS(P:P,A:A,A825)),"."),".")</f>
        <v>.</v>
      </c>
      <c r="BB825" s="1208"/>
      <c r="BC825" s="1208"/>
      <c r="BD825" s="1208"/>
      <c r="BE825" s="1208"/>
    </row>
    <row r="826" spans="1:71" ht="15.95" customHeight="1">
      <c r="A826" s="1182" t="s">
        <v>2347</v>
      </c>
      <c r="B826" s="1182" t="s">
        <v>2312</v>
      </c>
      <c r="C826" s="1181">
        <v>44624</v>
      </c>
      <c r="D826" s="1182" t="s">
        <v>389</v>
      </c>
      <c r="E826" s="1182" t="s">
        <v>398</v>
      </c>
      <c r="F826" s="1183" t="s">
        <v>2348</v>
      </c>
      <c r="G826" s="1287" t="s">
        <v>456</v>
      </c>
      <c r="H826" s="1185" t="s">
        <v>457</v>
      </c>
      <c r="I826" s="1267" t="s">
        <v>694</v>
      </c>
      <c r="J826" s="1186" t="str">
        <f>VLOOKUP($I826,'Price List, Weapons &amp; Items'!B:C,2,0)</f>
        <v>Military equipment</v>
      </c>
      <c r="K826" s="1186" t="str">
        <f>IF(I826=".",I826,VLOOKUP($I826,'Price List, Weapons &amp; Items'!B:D,3,0))</f>
        <v>Military equipment</v>
      </c>
      <c r="L826" s="1187">
        <f>VLOOKUP(I826,'Price List, Weapons &amp; Items'!B:E,4,0)</f>
        <v>0</v>
      </c>
      <c r="M826" s="1188" t="s">
        <v>374</v>
      </c>
      <c r="N826" s="1188" t="s">
        <v>374</v>
      </c>
      <c r="O826" s="1188">
        <f>VLOOKUP($I826,'Price List, Weapons &amp; Items'!B:G,6,0)</f>
        <v>500</v>
      </c>
      <c r="P826" s="1185" t="str">
        <f t="shared" si="171"/>
        <v>.</v>
      </c>
      <c r="Q826" s="1185" t="str">
        <f t="shared" si="172"/>
        <v>.</v>
      </c>
      <c r="R826" s="1185">
        <f t="shared" si="168"/>
        <v>2200000</v>
      </c>
      <c r="S826" s="1185">
        <f>IF(AND(AD826=1,R826&lt;&gt;".")=TRUE,R826/VLOOKUP(G826,'Exchange Rates'!B:C,2,0),IF(R826=".",".",""))</f>
        <v>2024291.4979757085</v>
      </c>
      <c r="T826" s="1185">
        <f>IF(AD826=1,IF(AF826="Value is not given at all",".",IF(AF826="Value is given by the source",S826,IF(AF826="Value is calculated with prices",(IF(SUMIFS(Q:Q,A:A,A826)&gt;0,SUMIFS(Q:Q,A:A,A826),"."))/VLOOKUP("USD",'Exchange Rates'!B:C,2,0),"Error with coding"))),"")</f>
        <v>2024291.4979757085</v>
      </c>
      <c r="U826" s="1184" t="s">
        <v>365</v>
      </c>
      <c r="V826" s="974" t="s">
        <v>2349</v>
      </c>
      <c r="W826" s="974" t="s">
        <v>2350</v>
      </c>
      <c r="X826" s="974" t="s">
        <v>2351</v>
      </c>
      <c r="Y826" s="1183" t="s">
        <v>364</v>
      </c>
      <c r="Z826" s="1184">
        <v>0</v>
      </c>
      <c r="AA826" s="1194">
        <v>0</v>
      </c>
      <c r="AB826" s="975" t="s">
        <v>2352</v>
      </c>
      <c r="AC826" s="1192" t="str">
        <f>""</f>
        <v/>
      </c>
      <c r="AD826" s="1193">
        <v>1</v>
      </c>
      <c r="AE826" s="1193" t="s">
        <v>436</v>
      </c>
      <c r="AF826" s="1193" t="s">
        <v>436</v>
      </c>
      <c r="AG826" s="1193">
        <v>1</v>
      </c>
      <c r="AH826" s="1193">
        <v>3</v>
      </c>
      <c r="AI826" s="1193">
        <v>0</v>
      </c>
      <c r="AJ826" s="1193">
        <f>VLOOKUP($I826,'Price List, Weapons &amp; Items'!B:F,5,0)</f>
        <v>0</v>
      </c>
      <c r="AK826" s="1193">
        <f t="shared" si="173"/>
        <v>0</v>
      </c>
      <c r="AL826" s="1193">
        <f t="shared" si="174"/>
        <v>0</v>
      </c>
      <c r="AM826" s="1193">
        <f t="shared" si="175"/>
        <v>0</v>
      </c>
      <c r="AN826" s="1194" t="str">
        <f>VLOOKUP($I826,'Price List, Weapons &amp; Items'!B:L,COLUMN('Price List, Weapons &amp; Items'!$J$11)-1,0)</f>
        <v>Military media (incl. websites)</v>
      </c>
      <c r="AO826" s="1194" t="str">
        <f>IF(I826=".",".",VLOOKUP($I826,'Price List, Weapons &amp; Items'!B:J,3,0))</f>
        <v>Military equipment</v>
      </c>
      <c r="AP826" s="1195" t="str">
        <f t="shared" ca="1" si="169"/>
        <v>ballistic vest</v>
      </c>
      <c r="AQ826" s="1194">
        <f>VLOOKUP($I826,'Price List, Weapons &amp; Items'!B:L,COLUMN('Price List, Weapons &amp; Items'!$L$11)-1,0)</f>
        <v>2</v>
      </c>
      <c r="AR826" s="1194">
        <f t="shared" si="176"/>
        <v>1</v>
      </c>
      <c r="AS826" s="1194">
        <f t="shared" si="177"/>
        <v>1</v>
      </c>
      <c r="AT826" s="1194">
        <f t="shared" si="178"/>
        <v>1</v>
      </c>
      <c r="AU826" s="1194" t="str">
        <f t="shared" si="179"/>
        <v>.</v>
      </c>
      <c r="AV826" s="1194" t="str">
        <f t="shared" si="170"/>
        <v>.</v>
      </c>
      <c r="AW826" s="1194" t="str">
        <f t="shared" si="180"/>
        <v>.</v>
      </c>
      <c r="AX826" s="1194">
        <f>IFERROR(VLOOKUP(B826,'Share, Heavy Weapons to Ukraine'!B:Z,COLUMN('Share, Heavy Weapons to Ukraine'!C836)-1,0),0)</f>
        <v>0</v>
      </c>
      <c r="AY826" s="1194">
        <f>VLOOKUP('Bilateral Assistance, MAIN DATA'!B826,'Country Summary (€)'!B:F,COLUMN('Country Summary (€)'!C837)-1,FALSE)</f>
        <v>0</v>
      </c>
      <c r="AZ826" s="1194" t="str">
        <f>IF(AND(AD826=1,D826="Military",H826&lt;&gt;"Not given")=TRUE,IF(SUMIFS(P:P,A:A,A826)&gt;0,ABS((SUMIFS(P:P,A:A,A826)/VLOOKUP("USD",'Exchange Rates'!B:C,2,0)))/S826,"."),".")</f>
        <v>.</v>
      </c>
      <c r="BA826" s="1196" t="str">
        <f>IF(AND(AD826=1,D826="Military",H826&lt;&gt;"Not given")=TRUE,IF(SUMIFS(P:P,A:A,A826)&gt;0,IF((ABS((SUMIFS(P:P,A:A,A826)/VLOOKUP("USD",'Exchange Rates'!B:C,2,0)))/S826)&gt;1,(SUMIFS(P:P,A:A,A826)-S826)/S826,(S826-SUMIFS(P:P,A:A,A826))/SUMIFS(P:P,A:A,A826)),"."),".")</f>
        <v>.</v>
      </c>
    </row>
    <row r="827" spans="1:71" ht="15.95" customHeight="1">
      <c r="A827" s="1182" t="s">
        <v>2347</v>
      </c>
      <c r="B827" s="1182" t="s">
        <v>2312</v>
      </c>
      <c r="C827" s="1181">
        <v>44624</v>
      </c>
      <c r="D827" s="1182" t="s">
        <v>389</v>
      </c>
      <c r="E827" s="1182" t="s">
        <v>398</v>
      </c>
      <c r="F827" s="1183" t="s">
        <v>2348</v>
      </c>
      <c r="G827" s="1287" t="s">
        <v>456</v>
      </c>
      <c r="H827" s="1185" t="s">
        <v>457</v>
      </c>
      <c r="I827" s="1180" t="s">
        <v>594</v>
      </c>
      <c r="J827" s="1186" t="str">
        <f>VLOOKUP($I827,'Price List, Weapons &amp; Items'!B:C,2,0)</f>
        <v>Military equipment</v>
      </c>
      <c r="K827" s="1186" t="str">
        <f>IF(I827=".",I827,VLOOKUP($I827,'Price List, Weapons &amp; Items'!B:D,3,0))</f>
        <v>Military equipment</v>
      </c>
      <c r="L827" s="1187">
        <f>VLOOKUP(I827,'Price List, Weapons &amp; Items'!B:E,4,0)</f>
        <v>0</v>
      </c>
      <c r="M827" s="1188" t="s">
        <v>374</v>
      </c>
      <c r="N827" s="1188" t="s">
        <v>374</v>
      </c>
      <c r="O827" s="1188">
        <f>VLOOKUP($I827,'Price List, Weapons &amp; Items'!B:G,6,0)</f>
        <v>1400</v>
      </c>
      <c r="P827" s="1185" t="str">
        <f t="shared" si="171"/>
        <v>.</v>
      </c>
      <c r="Q827" s="1185" t="str">
        <f t="shared" si="172"/>
        <v>.</v>
      </c>
      <c r="R827" s="1185" t="str">
        <f t="shared" si="168"/>
        <v/>
      </c>
      <c r="S827" s="1185" t="str">
        <f>IF(AND(AD827=1,R827&lt;&gt;".")=TRUE,R827/VLOOKUP(G827,'Exchange Rates'!B:C,2,0),IF(R827=".",".",""))</f>
        <v/>
      </c>
      <c r="T827" s="1185" t="str">
        <f>IF(AD827=1,IF(AF827="Value is not given at all",".",IF(AF827="Value is given by the source",S827,IF(AF827="Value is calculated with prices",(IF(SUMIFS(Q:Q,A:A,A827)&gt;0,SUMIFS(Q:Q,A:A,A827),"."))/VLOOKUP("USD",'Exchange Rates'!B:C,2,0),"Error with coding"))),"")</f>
        <v/>
      </c>
      <c r="U827" s="1184" t="s">
        <v>365</v>
      </c>
      <c r="V827" s="974" t="s">
        <v>2349</v>
      </c>
      <c r="W827" s="974" t="s">
        <v>2350</v>
      </c>
      <c r="X827" s="974" t="s">
        <v>2351</v>
      </c>
      <c r="Y827" s="1183" t="s">
        <v>364</v>
      </c>
      <c r="Z827" s="1184">
        <v>0</v>
      </c>
      <c r="AA827" s="1194">
        <v>0</v>
      </c>
      <c r="AB827" s="975" t="s">
        <v>2352</v>
      </c>
      <c r="AC827" s="1192" t="str">
        <f>""</f>
        <v/>
      </c>
      <c r="AD827" s="1193">
        <v>0</v>
      </c>
      <c r="AE827" s="1193" t="s">
        <v>436</v>
      </c>
      <c r="AF827" s="1193" t="s">
        <v>436</v>
      </c>
      <c r="AG827" s="1193">
        <v>1</v>
      </c>
      <c r="AH827" s="1193">
        <v>3</v>
      </c>
      <c r="AI827" s="1193">
        <v>0</v>
      </c>
      <c r="AJ827" s="1193">
        <f>VLOOKUP($I827,'Price List, Weapons &amp; Items'!B:F,5,0)</f>
        <v>0</v>
      </c>
      <c r="AK827" s="1193">
        <f t="shared" si="173"/>
        <v>0</v>
      </c>
      <c r="AL827" s="1193">
        <f t="shared" si="174"/>
        <v>0</v>
      </c>
      <c r="AM827" s="1193">
        <f t="shared" si="175"/>
        <v>0</v>
      </c>
      <c r="AN827" s="1194" t="str">
        <f>VLOOKUP($I827,'Price List, Weapons &amp; Items'!B:L,COLUMN('Price List, Weapons &amp; Items'!$J$11)-1,0)</f>
        <v>Military media (incl. websites)</v>
      </c>
      <c r="AO827" s="1194" t="str">
        <f>IF(I827=".",".",VLOOKUP($I827,'Price List, Weapons &amp; Items'!B:J,3,0))</f>
        <v>Military equipment</v>
      </c>
      <c r="AP827" s="1195" t="str">
        <f t="shared" ca="1" si="169"/>
        <v/>
      </c>
      <c r="AQ827" s="1194">
        <f>VLOOKUP($I827,'Price List, Weapons &amp; Items'!B:L,COLUMN('Price List, Weapons &amp; Items'!$L$11)-1,0)</f>
        <v>2</v>
      </c>
      <c r="AR827" s="1194">
        <f t="shared" si="176"/>
        <v>1</v>
      </c>
      <c r="AS827" s="1194">
        <f t="shared" si="177"/>
        <v>1</v>
      </c>
      <c r="AT827" s="1194">
        <f t="shared" si="178"/>
        <v>1</v>
      </c>
      <c r="AU827" s="1194" t="str">
        <f t="shared" si="179"/>
        <v>.</v>
      </c>
      <c r="AV827" s="1194" t="str">
        <f t="shared" si="170"/>
        <v>.</v>
      </c>
      <c r="AW827" s="1194" t="str">
        <f t="shared" si="180"/>
        <v>.</v>
      </c>
      <c r="AX827" s="1194">
        <f>IFERROR(VLOOKUP(B827,'Share, Heavy Weapons to Ukraine'!B:Z,COLUMN('Share, Heavy Weapons to Ukraine'!C837)-1,0),0)</f>
        <v>0</v>
      </c>
      <c r="AY827" s="1194">
        <f>VLOOKUP('Bilateral Assistance, MAIN DATA'!B827,'Country Summary (€)'!B:F,COLUMN('Country Summary (€)'!C838)-1,FALSE)</f>
        <v>0</v>
      </c>
      <c r="AZ827" s="1194" t="str">
        <f>IF(AND(AD827=1,D827="Military",H827&lt;&gt;"Not given")=TRUE,IF(SUMIFS(P:P,A:A,A827)&gt;0,ABS((SUMIFS(P:P,A:A,A827)/VLOOKUP("USD",'Exchange Rates'!B:C,2,0)))/S827,"."),".")</f>
        <v>.</v>
      </c>
      <c r="BA827" s="1196" t="str">
        <f>IF(AND(AD827=1,D827="Military",H827&lt;&gt;"Not given")=TRUE,IF(SUMIFS(P:P,A:A,A827)&gt;0,IF((ABS((SUMIFS(P:P,A:A,A827)/VLOOKUP("USD",'Exchange Rates'!B:C,2,0)))/S827)&gt;1,(SUMIFS(P:P,A:A,A827)-S827)/S827,(S827-SUMIFS(P:P,A:A,A827))/SUMIFS(P:P,A:A,A827)),"."),".")</f>
        <v>.</v>
      </c>
    </row>
    <row r="828" spans="1:71" ht="15.95" customHeight="1">
      <c r="A828" s="1182" t="s">
        <v>2347</v>
      </c>
      <c r="B828" s="1182" t="s">
        <v>2312</v>
      </c>
      <c r="C828" s="1181">
        <v>44624</v>
      </c>
      <c r="D828" s="1182" t="s">
        <v>389</v>
      </c>
      <c r="E828" s="1182" t="s">
        <v>398</v>
      </c>
      <c r="F828" s="1183" t="s">
        <v>2348</v>
      </c>
      <c r="G828" s="1287" t="s">
        <v>456</v>
      </c>
      <c r="H828" s="1185" t="s">
        <v>457</v>
      </c>
      <c r="I828" s="1180" t="s">
        <v>469</v>
      </c>
      <c r="J828" s="1186" t="str">
        <f>VLOOKUP($I828,'Price List, Weapons &amp; Items'!B:C,2,0)</f>
        <v>Humanitarian</v>
      </c>
      <c r="K828" s="1186" t="str">
        <f>IF(I828=".",I828,VLOOKUP($I828,'Price List, Weapons &amp; Items'!B:D,3,0))</f>
        <v>Humanitarian</v>
      </c>
      <c r="L828" s="1187">
        <f>VLOOKUP(I828,'Price List, Weapons &amp; Items'!B:E,4,0)</f>
        <v>0</v>
      </c>
      <c r="M828" s="1188" t="s">
        <v>374</v>
      </c>
      <c r="N828" s="1188" t="s">
        <v>374</v>
      </c>
      <c r="O828" s="1188" t="str">
        <f>VLOOKUP($I828,'Price List, Weapons &amp; Items'!B:G,6,0)</f>
        <v>.</v>
      </c>
      <c r="P828" s="1185" t="str">
        <f t="shared" si="171"/>
        <v>.</v>
      </c>
      <c r="Q828" s="1185" t="str">
        <f t="shared" si="172"/>
        <v>.</v>
      </c>
      <c r="R828" s="1185" t="str">
        <f t="shared" si="168"/>
        <v/>
      </c>
      <c r="S828" s="1185" t="str">
        <f>IF(AND(AD828=1,R828&lt;&gt;".")=TRUE,R828/VLOOKUP(G828,'Exchange Rates'!B:C,2,0),IF(R828=".",".",""))</f>
        <v/>
      </c>
      <c r="T828" s="1185" t="str">
        <f>IF(AD828=1,IF(AF828="Value is not given at all",".",IF(AF828="Value is given by the source",S828,IF(AF828="Value is calculated with prices",(IF(SUMIFS(Q:Q,A:A,A828)&gt;0,SUMIFS(Q:Q,A:A,A828),"."))/VLOOKUP("USD",'Exchange Rates'!B:C,2,0),"Error with coding"))),"")</f>
        <v/>
      </c>
      <c r="U828" s="1184" t="s">
        <v>365</v>
      </c>
      <c r="V828" s="974" t="s">
        <v>2349</v>
      </c>
      <c r="W828" s="974" t="s">
        <v>2350</v>
      </c>
      <c r="X828" s="974" t="s">
        <v>2351</v>
      </c>
      <c r="Y828" s="1183" t="s">
        <v>364</v>
      </c>
      <c r="Z828" s="1184">
        <v>0</v>
      </c>
      <c r="AA828" s="1194">
        <v>0</v>
      </c>
      <c r="AB828" s="975" t="s">
        <v>2352</v>
      </c>
      <c r="AC828" s="1192" t="str">
        <f>""</f>
        <v/>
      </c>
      <c r="AD828" s="1193">
        <v>0</v>
      </c>
      <c r="AE828" s="1193" t="s">
        <v>436</v>
      </c>
      <c r="AF828" s="1193" t="s">
        <v>436</v>
      </c>
      <c r="AG828" s="1193">
        <v>1</v>
      </c>
      <c r="AH828" s="1193">
        <v>3</v>
      </c>
      <c r="AI828" s="1193">
        <v>0</v>
      </c>
      <c r="AJ828" s="1193">
        <f>VLOOKUP($I828,'Price List, Weapons &amp; Items'!B:F,5,0)</f>
        <v>0</v>
      </c>
      <c r="AK828" s="1193">
        <f t="shared" si="173"/>
        <v>0</v>
      </c>
      <c r="AL828" s="1193">
        <f t="shared" si="174"/>
        <v>0</v>
      </c>
      <c r="AM828" s="1193">
        <f t="shared" si="175"/>
        <v>0</v>
      </c>
      <c r="AN828" s="1194" t="str">
        <f>VLOOKUP($I828,'Price List, Weapons &amp; Items'!B:L,COLUMN('Price List, Weapons &amp; Items'!$J$11)-1,0)</f>
        <v>Media reports (incl. social media)</v>
      </c>
      <c r="AO828" s="1194" t="str">
        <f>IF(I828=".",".",VLOOKUP($I828,'Price List, Weapons &amp; Items'!B:J,3,0))</f>
        <v>Humanitarian</v>
      </c>
      <c r="AP828" s="1195" t="str">
        <f t="shared" ca="1" si="169"/>
        <v/>
      </c>
      <c r="AQ828" s="1194">
        <f>VLOOKUP($I828,'Price List, Weapons &amp; Items'!B:L,COLUMN('Price List, Weapons &amp; Items'!$L$11)-1,0)</f>
        <v>0</v>
      </c>
      <c r="AR828" s="1194">
        <f t="shared" si="176"/>
        <v>1</v>
      </c>
      <c r="AS828" s="1194">
        <f t="shared" si="177"/>
        <v>1</v>
      </c>
      <c r="AT828" s="1194">
        <f t="shared" si="178"/>
        <v>1</v>
      </c>
      <c r="AU828" s="1194" t="str">
        <f t="shared" si="179"/>
        <v>.</v>
      </c>
      <c r="AV828" s="1194" t="str">
        <f t="shared" si="170"/>
        <v>.</v>
      </c>
      <c r="AW828" s="1194" t="str">
        <f t="shared" si="180"/>
        <v>.</v>
      </c>
      <c r="AX828" s="1194">
        <f>IFERROR(VLOOKUP(B828,'Share, Heavy Weapons to Ukraine'!B:Z,COLUMN('Share, Heavy Weapons to Ukraine'!C838)-1,0),0)</f>
        <v>0</v>
      </c>
      <c r="AY828" s="1194">
        <f>VLOOKUP('Bilateral Assistance, MAIN DATA'!B828,'Country Summary (€)'!B:F,COLUMN('Country Summary (€)'!C839)-1,FALSE)</f>
        <v>0</v>
      </c>
      <c r="AZ828" s="1194" t="str">
        <f>IF(AND(AD828=1,D828="Military",H828&lt;&gt;"Not given")=TRUE,IF(SUMIFS(P:P,A:A,A828)&gt;0,ABS((SUMIFS(P:P,A:A,A828)/VLOOKUP("USD",'Exchange Rates'!B:C,2,0)))/S828,"."),".")</f>
        <v>.</v>
      </c>
      <c r="BA828" s="1196" t="str">
        <f>IF(AND(AD828=1,D828="Military",H828&lt;&gt;"Not given")=TRUE,IF(SUMIFS(P:P,A:A,A828)&gt;0,IF((ABS((SUMIFS(P:P,A:A,A828)/VLOOKUP("USD",'Exchange Rates'!B:C,2,0)))/S828)&gt;1,(SUMIFS(P:P,A:A,A828)-S828)/S828,(S828-SUMIFS(P:P,A:A,A828))/SUMIFS(P:P,A:A,A828)),"."),".")</f>
        <v>.</v>
      </c>
    </row>
    <row r="829" spans="1:71" ht="15.95" customHeight="1">
      <c r="A829" s="1182" t="s">
        <v>2347</v>
      </c>
      <c r="B829" s="1182" t="s">
        <v>2312</v>
      </c>
      <c r="C829" s="1181">
        <v>44624</v>
      </c>
      <c r="D829" s="1182" t="s">
        <v>389</v>
      </c>
      <c r="E829" s="1182" t="s">
        <v>398</v>
      </c>
      <c r="F829" s="1183" t="s">
        <v>2348</v>
      </c>
      <c r="G829" s="1287" t="s">
        <v>456</v>
      </c>
      <c r="H829" s="1185" t="s">
        <v>457</v>
      </c>
      <c r="I829" s="1180" t="s">
        <v>1308</v>
      </c>
      <c r="J829" s="1186" t="str">
        <f>VLOOKUP($I829,'Price List, Weapons &amp; Items'!B:C,2,0)</f>
        <v>Military equipment</v>
      </c>
      <c r="K829" s="1186" t="str">
        <f>IF(I829=".",I829,VLOOKUP($I829,'Price List, Weapons &amp; Items'!B:D,3,0))</f>
        <v>Military equipment</v>
      </c>
      <c r="L829" s="1187">
        <f>VLOOKUP(I829,'Price List, Weapons &amp; Items'!B:E,4,0)</f>
        <v>0</v>
      </c>
      <c r="M829" s="1188">
        <v>100000</v>
      </c>
      <c r="N829" s="1188">
        <v>100000</v>
      </c>
      <c r="O829" s="1188">
        <f>VLOOKUP($I829,'Price List, Weapons &amp; Items'!B:G,6,0)</f>
        <v>22</v>
      </c>
      <c r="P829" s="1185">
        <f t="shared" si="171"/>
        <v>2200000</v>
      </c>
      <c r="Q829" s="1185">
        <f t="shared" si="172"/>
        <v>2200000</v>
      </c>
      <c r="R829" s="1185" t="str">
        <f t="shared" si="168"/>
        <v/>
      </c>
      <c r="S829" s="1185" t="str">
        <f>IF(AND(AD829=1,R829&lt;&gt;".")=TRUE,R829/VLOOKUP(G829,'Exchange Rates'!B:C,2,0),IF(R829=".",".",""))</f>
        <v/>
      </c>
      <c r="T829" s="1185" t="str">
        <f>IF(AD829=1,IF(AF829="Value is not given at all",".",IF(AF829="Value is given by the source",S829,IF(AF829="Value is calculated with prices",(IF(SUMIFS(Q:Q,A:A,A829)&gt;0,SUMIFS(Q:Q,A:A,A829),"."))/VLOOKUP("USD",'Exchange Rates'!B:C,2,0),"Error with coding"))),"")</f>
        <v/>
      </c>
      <c r="U829" s="1184" t="s">
        <v>365</v>
      </c>
      <c r="V829" s="974" t="s">
        <v>2349</v>
      </c>
      <c r="W829" s="974" t="s">
        <v>2350</v>
      </c>
      <c r="X829" s="974" t="s">
        <v>2351</v>
      </c>
      <c r="Y829" s="1029" t="s">
        <v>2353</v>
      </c>
      <c r="Z829" s="1184">
        <v>0</v>
      </c>
      <c r="AA829" s="1194">
        <v>0</v>
      </c>
      <c r="AB829" s="975" t="s">
        <v>2352</v>
      </c>
      <c r="AC829" s="1192" t="str">
        <f>""</f>
        <v/>
      </c>
      <c r="AD829" s="1193">
        <v>0</v>
      </c>
      <c r="AE829" s="1193" t="s">
        <v>436</v>
      </c>
      <c r="AF829" s="1193" t="s">
        <v>436</v>
      </c>
      <c r="AG829" s="1193">
        <v>1</v>
      </c>
      <c r="AH829" s="1193">
        <v>3</v>
      </c>
      <c r="AI829" s="1193">
        <v>0</v>
      </c>
      <c r="AJ829" s="1193">
        <f>VLOOKUP($I829,'Price List, Weapons &amp; Items'!B:F,5,0)</f>
        <v>0</v>
      </c>
      <c r="AK829" s="1193">
        <f t="shared" si="173"/>
        <v>0</v>
      </c>
      <c r="AL829" s="1193">
        <f t="shared" si="174"/>
        <v>0</v>
      </c>
      <c r="AM829" s="1193">
        <f t="shared" si="175"/>
        <v>0</v>
      </c>
      <c r="AN829" s="1194" t="str">
        <f>VLOOKUP($I829,'Price List, Weapons &amp; Items'!B:L,COLUMN('Price List, Weapons &amp; Items'!$J$11)-1,0)</f>
        <v>Online marketplaces and stores</v>
      </c>
      <c r="AO829" s="1194" t="str">
        <f>IF(I829=".",".",VLOOKUP($I829,'Price List, Weapons &amp; Items'!B:J,3,0))</f>
        <v>Military equipment</v>
      </c>
      <c r="AP829" s="1195" t="str">
        <f t="shared" ca="1" si="169"/>
        <v/>
      </c>
      <c r="AQ829" s="1194">
        <f>VLOOKUP($I829,'Price List, Weapons &amp; Items'!B:L,COLUMN('Price List, Weapons &amp; Items'!$L$11)-1,0)</f>
        <v>2</v>
      </c>
      <c r="AR829" s="1194">
        <f t="shared" si="176"/>
        <v>1</v>
      </c>
      <c r="AS829" s="1194">
        <f t="shared" si="177"/>
        <v>1</v>
      </c>
      <c r="AT829" s="1194">
        <f t="shared" si="178"/>
        <v>1</v>
      </c>
      <c r="AU829" s="1194" t="str">
        <f t="shared" si="179"/>
        <v>.</v>
      </c>
      <c r="AV829" s="1194" t="str">
        <f t="shared" si="170"/>
        <v>.</v>
      </c>
      <c r="AW829" s="1194" t="str">
        <f t="shared" si="180"/>
        <v>.</v>
      </c>
      <c r="AX829" s="1194">
        <f>IFERROR(VLOOKUP(B829,'Share, Heavy Weapons to Ukraine'!B:Z,COLUMN('Share, Heavy Weapons to Ukraine'!C839)-1,0),0)</f>
        <v>0</v>
      </c>
      <c r="AY829" s="1194">
        <f>VLOOKUP('Bilateral Assistance, MAIN DATA'!B829,'Country Summary (€)'!B:F,COLUMN('Country Summary (€)'!C840)-1,FALSE)</f>
        <v>0</v>
      </c>
      <c r="AZ829" s="1194" t="str">
        <f>IF(AND(AD829=1,D829="Military",H829&lt;&gt;"Not given")=TRUE,IF(SUMIFS(P:P,A:A,A829)&gt;0,ABS((SUMIFS(P:P,A:A,A829)/VLOOKUP("USD",'Exchange Rates'!B:C,2,0)))/S829,"."),".")</f>
        <v>.</v>
      </c>
      <c r="BA829" s="1196" t="str">
        <f>IF(AND(AD829=1,D829="Military",H829&lt;&gt;"Not given")=TRUE,IF(SUMIFS(P:P,A:A,A829)&gt;0,IF((ABS((SUMIFS(P:P,A:A,A829)/VLOOKUP("USD",'Exchange Rates'!B:C,2,0)))/S829)&gt;1,(SUMIFS(P:P,A:A,A829)-S829)/S829,(S829-SUMIFS(P:P,A:A,A829))/SUMIFS(P:P,A:A,A829)),"."),".")</f>
        <v>.</v>
      </c>
    </row>
    <row r="830" spans="1:71" ht="15.95" customHeight="1">
      <c r="A830" s="1182" t="s">
        <v>2347</v>
      </c>
      <c r="B830" s="1182" t="s">
        <v>2312</v>
      </c>
      <c r="C830" s="1181">
        <v>44624</v>
      </c>
      <c r="D830" s="1182" t="s">
        <v>389</v>
      </c>
      <c r="E830" s="1182" t="s">
        <v>398</v>
      </c>
      <c r="F830" s="1183" t="s">
        <v>2348</v>
      </c>
      <c r="G830" s="1287" t="s">
        <v>456</v>
      </c>
      <c r="H830" s="1185" t="s">
        <v>457</v>
      </c>
      <c r="I830" s="1180" t="s">
        <v>618</v>
      </c>
      <c r="J830" s="1186" t="str">
        <f>VLOOKUP($I830,'Price List, Weapons &amp; Items'!B:C,2,0)</f>
        <v>Military equipment</v>
      </c>
      <c r="K830" s="1186" t="str">
        <f>IF(I830=".",I830,VLOOKUP($I830,'Price List, Weapons &amp; Items'!B:D,3,0))</f>
        <v>Military equipment</v>
      </c>
      <c r="L830" s="1187">
        <f>VLOOKUP(I830,'Price List, Weapons &amp; Items'!B:E,4,0)</f>
        <v>0</v>
      </c>
      <c r="M830" s="1188" t="s">
        <v>374</v>
      </c>
      <c r="N830" s="1188" t="s">
        <v>374</v>
      </c>
      <c r="O830" s="1188">
        <f>VLOOKUP($I830,'Price List, Weapons &amp; Items'!B:G,6,0)</f>
        <v>59.234999999999999</v>
      </c>
      <c r="P830" s="1185" t="str">
        <f t="shared" si="171"/>
        <v>.</v>
      </c>
      <c r="Q830" s="1185" t="str">
        <f t="shared" si="172"/>
        <v>.</v>
      </c>
      <c r="R830" s="1185" t="str">
        <f t="shared" si="168"/>
        <v/>
      </c>
      <c r="S830" s="1185" t="str">
        <f>IF(AND(AD830=1,R830&lt;&gt;".")=TRUE,R830/VLOOKUP(G830,'Exchange Rates'!B:C,2,0),IF(R830=".",".",""))</f>
        <v/>
      </c>
      <c r="T830" s="1185" t="str">
        <f>IF(AD830=1,IF(AF830="Value is not given at all",".",IF(AF830="Value is given by the source",S830,IF(AF830="Value is calculated with prices",(IF(SUMIFS(Q:Q,A:A,A830)&gt;0,SUMIFS(Q:Q,A:A,A830),"."))/VLOOKUP("USD",'Exchange Rates'!B:C,2,0),"Error with coding"))),"")</f>
        <v/>
      </c>
      <c r="U830" s="1184" t="s">
        <v>365</v>
      </c>
      <c r="V830" s="974" t="s">
        <v>2349</v>
      </c>
      <c r="W830" s="974" t="s">
        <v>2350</v>
      </c>
      <c r="X830" s="974" t="s">
        <v>2351</v>
      </c>
      <c r="Y830" s="1029" t="s">
        <v>2353</v>
      </c>
      <c r="Z830" s="1184">
        <v>0</v>
      </c>
      <c r="AA830" s="1194">
        <v>0</v>
      </c>
      <c r="AB830" s="975" t="s">
        <v>2352</v>
      </c>
      <c r="AC830" s="1192" t="str">
        <f>""</f>
        <v/>
      </c>
      <c r="AD830" s="1193">
        <v>0</v>
      </c>
      <c r="AE830" s="1193" t="s">
        <v>436</v>
      </c>
      <c r="AF830" s="1193" t="s">
        <v>436</v>
      </c>
      <c r="AG830" s="1193">
        <v>1</v>
      </c>
      <c r="AH830" s="1193">
        <v>3</v>
      </c>
      <c r="AI830" s="1193">
        <v>0</v>
      </c>
      <c r="AJ830" s="1193">
        <f>VLOOKUP($I830,'Price List, Weapons &amp; Items'!B:F,5,0)</f>
        <v>0</v>
      </c>
      <c r="AK830" s="1193">
        <f t="shared" si="173"/>
        <v>0</v>
      </c>
      <c r="AL830" s="1193">
        <f t="shared" si="174"/>
        <v>0</v>
      </c>
      <c r="AM830" s="1193">
        <f t="shared" si="175"/>
        <v>0</v>
      </c>
      <c r="AN830" s="1194" t="str">
        <f>VLOOKUP($I830,'Price List, Weapons &amp; Items'!B:L,COLUMN('Price List, Weapons &amp; Items'!$J$11)-1,0)</f>
        <v>Government information</v>
      </c>
      <c r="AO830" s="1194" t="str">
        <f>IF(I830=".",".",VLOOKUP($I830,'Price List, Weapons &amp; Items'!B:J,3,0))</f>
        <v>Military equipment</v>
      </c>
      <c r="AP830" s="1195" t="str">
        <f t="shared" ca="1" si="169"/>
        <v/>
      </c>
      <c r="AQ830" s="1194">
        <f>VLOOKUP($I830,'Price List, Weapons &amp; Items'!B:L,COLUMN('Price List, Weapons &amp; Items'!$L$11)-1,0)</f>
        <v>2</v>
      </c>
      <c r="AR830" s="1194">
        <f t="shared" si="176"/>
        <v>1</v>
      </c>
      <c r="AS830" s="1194">
        <f t="shared" si="177"/>
        <v>1</v>
      </c>
      <c r="AT830" s="1194">
        <f t="shared" si="178"/>
        <v>1</v>
      </c>
      <c r="AU830" s="1194" t="str">
        <f t="shared" si="179"/>
        <v>.</v>
      </c>
      <c r="AV830" s="1194" t="str">
        <f t="shared" si="170"/>
        <v>.</v>
      </c>
      <c r="AW830" s="1194" t="str">
        <f t="shared" si="180"/>
        <v>.</v>
      </c>
      <c r="AX830" s="1194">
        <f>IFERROR(VLOOKUP(B830,'Share, Heavy Weapons to Ukraine'!B:Z,COLUMN('Share, Heavy Weapons to Ukraine'!C840)-1,0),0)</f>
        <v>0</v>
      </c>
      <c r="AY830" s="1194">
        <f>VLOOKUP('Bilateral Assistance, MAIN DATA'!B830,'Country Summary (€)'!B:F,COLUMN('Country Summary (€)'!C841)-1,FALSE)</f>
        <v>0</v>
      </c>
      <c r="AZ830" s="1194" t="str">
        <f>IF(AND(AD830=1,D830="Military",H830&lt;&gt;"Not given")=TRUE,IF(SUMIFS(P:P,A:A,A830)&gt;0,ABS((SUMIFS(P:P,A:A,A830)/VLOOKUP("USD",'Exchange Rates'!B:C,2,0)))/S830,"."),".")</f>
        <v>.</v>
      </c>
      <c r="BA830" s="1196" t="str">
        <f>IF(AND(AD830=1,D830="Military",H830&lt;&gt;"Not given")=TRUE,IF(SUMIFS(P:P,A:A,A830)&gt;0,IF((ABS((SUMIFS(P:P,A:A,A830)/VLOOKUP("USD",'Exchange Rates'!B:C,2,0)))/S830)&gt;1,(SUMIFS(P:P,A:A,A830)-S830)/S830,(S830-SUMIFS(P:P,A:A,A830))/SUMIFS(P:P,A:A,A830)),"."),".")</f>
        <v>.</v>
      </c>
    </row>
    <row r="831" spans="1:71" ht="15.95" customHeight="1">
      <c r="A831" s="1182" t="s">
        <v>2347</v>
      </c>
      <c r="B831" s="1182" t="s">
        <v>2312</v>
      </c>
      <c r="C831" s="1181">
        <v>44624</v>
      </c>
      <c r="D831" s="1182" t="s">
        <v>389</v>
      </c>
      <c r="E831" s="1182" t="s">
        <v>398</v>
      </c>
      <c r="F831" s="1183" t="s">
        <v>2348</v>
      </c>
      <c r="G831" s="1287" t="s">
        <v>456</v>
      </c>
      <c r="H831" s="1185" t="s">
        <v>457</v>
      </c>
      <c r="I831" s="1180" t="s">
        <v>407</v>
      </c>
      <c r="J831" s="1186" t="str">
        <f>VLOOKUP($I831,'Price List, Weapons &amp; Items'!B:C,2,0)</f>
        <v>Humanitarian</v>
      </c>
      <c r="K831" s="1186" t="str">
        <f>IF(I831=".",I831,VLOOKUP($I831,'Price List, Weapons &amp; Items'!B:D,3,0))</f>
        <v>Humanitarian</v>
      </c>
      <c r="L831" s="1187">
        <f>VLOOKUP(I831,'Price List, Weapons &amp; Items'!B:E,4,0)</f>
        <v>0</v>
      </c>
      <c r="M831" s="1188" t="s">
        <v>374</v>
      </c>
      <c r="N831" s="1188" t="s">
        <v>374</v>
      </c>
      <c r="O831" s="1188" t="str">
        <f>VLOOKUP($I831,'Price List, Weapons &amp; Items'!B:G,6,0)</f>
        <v>.</v>
      </c>
      <c r="P831" s="1185" t="str">
        <f t="shared" si="171"/>
        <v>.</v>
      </c>
      <c r="Q831" s="1185" t="str">
        <f t="shared" si="172"/>
        <v>.</v>
      </c>
      <c r="R831" s="1185" t="str">
        <f t="shared" si="168"/>
        <v/>
      </c>
      <c r="S831" s="1185" t="str">
        <f>IF(AND(AD831=1,R831&lt;&gt;".")=TRUE,R831/VLOOKUP(G831,'Exchange Rates'!B:C,2,0),IF(R831=".",".",""))</f>
        <v/>
      </c>
      <c r="T831" s="1185" t="str">
        <f>IF(AD831=1,IF(AF831="Value is not given at all",".",IF(AF831="Value is given by the source",S831,IF(AF831="Value is calculated with prices",(IF(SUMIFS(Q:Q,A:A,A831)&gt;0,SUMIFS(Q:Q,A:A,A831),"."))/VLOOKUP("USD",'Exchange Rates'!B:C,2,0),"Error with coding"))),"")</f>
        <v/>
      </c>
      <c r="U831" s="1184" t="s">
        <v>365</v>
      </c>
      <c r="V831" s="974" t="s">
        <v>2349</v>
      </c>
      <c r="W831" s="974" t="s">
        <v>2350</v>
      </c>
      <c r="X831" s="974" t="s">
        <v>2351</v>
      </c>
      <c r="Y831" s="1029" t="s">
        <v>2353</v>
      </c>
      <c r="Z831" s="1184">
        <v>0</v>
      </c>
      <c r="AA831" s="1194">
        <v>0</v>
      </c>
      <c r="AB831" s="975" t="s">
        <v>2352</v>
      </c>
      <c r="AC831" s="1192" t="str">
        <f>""</f>
        <v/>
      </c>
      <c r="AD831" s="1193">
        <v>0</v>
      </c>
      <c r="AE831" s="1193" t="s">
        <v>436</v>
      </c>
      <c r="AF831" s="1193" t="s">
        <v>436</v>
      </c>
      <c r="AG831" s="1193">
        <v>1</v>
      </c>
      <c r="AH831" s="1193">
        <v>3</v>
      </c>
      <c r="AI831" s="1193">
        <v>0</v>
      </c>
      <c r="AJ831" s="1193">
        <f>VLOOKUP($I831,'Price List, Weapons &amp; Items'!B:F,5,0)</f>
        <v>0</v>
      </c>
      <c r="AK831" s="1193">
        <f t="shared" si="173"/>
        <v>0</v>
      </c>
      <c r="AL831" s="1193">
        <f t="shared" si="174"/>
        <v>0</v>
      </c>
      <c r="AM831" s="1193">
        <f t="shared" si="175"/>
        <v>0</v>
      </c>
      <c r="AN831" s="1194" t="str">
        <f>VLOOKUP($I831,'Price List, Weapons &amp; Items'!B:L,COLUMN('Price List, Weapons &amp; Items'!$J$11)-1,0)</f>
        <v>.</v>
      </c>
      <c r="AO831" s="1194" t="str">
        <f>IF(I831=".",".",VLOOKUP($I831,'Price List, Weapons &amp; Items'!B:J,3,0))</f>
        <v>Humanitarian</v>
      </c>
      <c r="AP831" s="1195" t="str">
        <f t="shared" ca="1" si="169"/>
        <v/>
      </c>
      <c r="AQ831" s="1194">
        <f>VLOOKUP($I831,'Price List, Weapons &amp; Items'!B:L,COLUMN('Price List, Weapons &amp; Items'!$L$11)-1,0)</f>
        <v>0</v>
      </c>
      <c r="AR831" s="1194">
        <f t="shared" si="176"/>
        <v>1</v>
      </c>
      <c r="AS831" s="1194">
        <f t="shared" si="177"/>
        <v>1</v>
      </c>
      <c r="AT831" s="1194">
        <f t="shared" si="178"/>
        <v>1</v>
      </c>
      <c r="AU831" s="1194" t="str">
        <f t="shared" si="179"/>
        <v>.</v>
      </c>
      <c r="AV831" s="1194" t="str">
        <f t="shared" si="170"/>
        <v>.</v>
      </c>
      <c r="AW831" s="1194" t="str">
        <f t="shared" si="180"/>
        <v>.</v>
      </c>
      <c r="AX831" s="1194">
        <f>IFERROR(VLOOKUP(B831,'Share, Heavy Weapons to Ukraine'!B:Z,COLUMN('Share, Heavy Weapons to Ukraine'!C841)-1,0),0)</f>
        <v>0</v>
      </c>
      <c r="AY831" s="1194">
        <f>VLOOKUP('Bilateral Assistance, MAIN DATA'!B831,'Country Summary (€)'!B:F,COLUMN('Country Summary (€)'!C842)-1,FALSE)</f>
        <v>0</v>
      </c>
      <c r="AZ831" s="1194" t="str">
        <f>IF(AND(AD831=1,D831="Military",H831&lt;&gt;"Not given")=TRUE,IF(SUMIFS(P:P,A:A,A831)&gt;0,ABS((SUMIFS(P:P,A:A,A831)/VLOOKUP("USD",'Exchange Rates'!B:C,2,0)))/S831,"."),".")</f>
        <v>.</v>
      </c>
      <c r="BA831" s="1196" t="str">
        <f>IF(AND(AD831=1,D831="Military",H831&lt;&gt;"Not given")=TRUE,IF(SUMIFS(P:P,A:A,A831)&gt;0,IF((ABS((SUMIFS(P:P,A:A,A831)/VLOOKUP("USD",'Exchange Rates'!B:C,2,0)))/S831)&gt;1,(SUMIFS(P:P,A:A,A831)-S831)/S831,(S831-SUMIFS(P:P,A:A,A831))/SUMIFS(P:P,A:A,A831)),"."),".")</f>
        <v>.</v>
      </c>
    </row>
    <row r="832" spans="1:71" ht="15.95" customHeight="1">
      <c r="A832" s="1182" t="s">
        <v>2347</v>
      </c>
      <c r="B832" s="1182" t="s">
        <v>2312</v>
      </c>
      <c r="C832" s="1181">
        <v>44624</v>
      </c>
      <c r="D832" s="1182" t="s">
        <v>389</v>
      </c>
      <c r="E832" s="1182" t="s">
        <v>398</v>
      </c>
      <c r="F832" s="1183" t="s">
        <v>2348</v>
      </c>
      <c r="G832" s="1287" t="s">
        <v>456</v>
      </c>
      <c r="H832" s="1185" t="s">
        <v>457</v>
      </c>
      <c r="I832" s="1180" t="s">
        <v>1846</v>
      </c>
      <c r="J832" s="1186" t="str">
        <f>VLOOKUP($I832,'Price List, Weapons &amp; Items'!B:C,2,0)</f>
        <v>Military equipment</v>
      </c>
      <c r="K832" s="1186" t="str">
        <f>IF(I832=".",I832,VLOOKUP($I832,'Price List, Weapons &amp; Items'!B:D,3,0))</f>
        <v>Military equipment</v>
      </c>
      <c r="L832" s="1187">
        <f>VLOOKUP(I832,'Price List, Weapons &amp; Items'!B:E,4,0)</f>
        <v>0</v>
      </c>
      <c r="M832" s="1188" t="s">
        <v>374</v>
      </c>
      <c r="N832" s="1188" t="s">
        <v>374</v>
      </c>
      <c r="O832" s="1188">
        <f>VLOOKUP($I832,'Price List, Weapons &amp; Items'!B:G,6,0)</f>
        <v>5000</v>
      </c>
      <c r="P832" s="1185" t="str">
        <f t="shared" si="171"/>
        <v>.</v>
      </c>
      <c r="Q832" s="1185" t="str">
        <f t="shared" si="172"/>
        <v>.</v>
      </c>
      <c r="R832" s="1185" t="str">
        <f t="shared" si="168"/>
        <v/>
      </c>
      <c r="S832" s="1185" t="str">
        <f>IF(AND(AD832=1,R832&lt;&gt;".")=TRUE,R832/VLOOKUP(G832,'Exchange Rates'!B:C,2,0),IF(R832=".",".",""))</f>
        <v/>
      </c>
      <c r="T832" s="1185" t="str">
        <f>IF(AD832=1,IF(AF832="Value is not given at all",".",IF(AF832="Value is given by the source",S832,IF(AF832="Value is calculated with prices",(IF(SUMIFS(Q:Q,A:A,A832)&gt;0,SUMIFS(Q:Q,A:A,A832),"."))/VLOOKUP("USD",'Exchange Rates'!B:C,2,0),"Error with coding"))),"")</f>
        <v/>
      </c>
      <c r="U832" s="1184" t="s">
        <v>365</v>
      </c>
      <c r="V832" s="974" t="s">
        <v>2349</v>
      </c>
      <c r="W832" s="974" t="s">
        <v>2350</v>
      </c>
      <c r="X832" s="974" t="s">
        <v>2351</v>
      </c>
      <c r="Y832" s="1029" t="s">
        <v>2353</v>
      </c>
      <c r="Z832" s="1184">
        <v>0</v>
      </c>
      <c r="AA832" s="1194">
        <v>0</v>
      </c>
      <c r="AB832" s="975" t="s">
        <v>2352</v>
      </c>
      <c r="AC832" s="1192" t="str">
        <f>""</f>
        <v/>
      </c>
      <c r="AD832" s="1193">
        <v>0</v>
      </c>
      <c r="AE832" s="1193" t="s">
        <v>436</v>
      </c>
      <c r="AF832" s="1193" t="s">
        <v>436</v>
      </c>
      <c r="AG832" s="1193">
        <v>1</v>
      </c>
      <c r="AH832" s="1193">
        <v>3</v>
      </c>
      <c r="AI832" s="1193">
        <v>0</v>
      </c>
      <c r="AJ832" s="1193">
        <f>VLOOKUP($I832,'Price List, Weapons &amp; Items'!B:F,5,0)</f>
        <v>0</v>
      </c>
      <c r="AK832" s="1193">
        <f t="shared" si="173"/>
        <v>0</v>
      </c>
      <c r="AL832" s="1193">
        <f t="shared" si="174"/>
        <v>0</v>
      </c>
      <c r="AM832" s="1193">
        <f t="shared" si="175"/>
        <v>0</v>
      </c>
      <c r="AN832" s="1194" t="str">
        <f>VLOOKUP($I832,'Price List, Weapons &amp; Items'!B:L,COLUMN('Price List, Weapons &amp; Items'!$J$11)-1,0)</f>
        <v>Miscellaneous</v>
      </c>
      <c r="AO832" s="1194" t="str">
        <f>IF(I832=".",".",VLOOKUP($I832,'Price List, Weapons &amp; Items'!B:J,3,0))</f>
        <v>Military equipment</v>
      </c>
      <c r="AP832" s="1195" t="str">
        <f t="shared" ca="1" si="169"/>
        <v/>
      </c>
      <c r="AQ832" s="1194">
        <f>VLOOKUP($I832,'Price List, Weapons &amp; Items'!B:L,COLUMN('Price List, Weapons &amp; Items'!$L$11)-1,0)</f>
        <v>1</v>
      </c>
      <c r="AR832" s="1194">
        <f t="shared" si="176"/>
        <v>1</v>
      </c>
      <c r="AS832" s="1194">
        <f t="shared" si="177"/>
        <v>1</v>
      </c>
      <c r="AT832" s="1194">
        <f t="shared" si="178"/>
        <v>1</v>
      </c>
      <c r="AU832" s="1194" t="str">
        <f t="shared" si="179"/>
        <v>.</v>
      </c>
      <c r="AV832" s="1194" t="str">
        <f t="shared" si="170"/>
        <v>.</v>
      </c>
      <c r="AW832" s="1194" t="str">
        <f t="shared" si="180"/>
        <v>.</v>
      </c>
      <c r="AX832" s="1194">
        <f>IFERROR(VLOOKUP(B832,'Share, Heavy Weapons to Ukraine'!B:Z,COLUMN('Share, Heavy Weapons to Ukraine'!C842)-1,0),0)</f>
        <v>0</v>
      </c>
      <c r="AY832" s="1194">
        <f>VLOOKUP('Bilateral Assistance, MAIN DATA'!B832,'Country Summary (€)'!B:F,COLUMN('Country Summary (€)'!C843)-1,FALSE)</f>
        <v>0</v>
      </c>
      <c r="AZ832" s="1194" t="str">
        <f>IF(AND(AD832=1,D832="Military",H832&lt;&gt;"Not given")=TRUE,IF(SUMIFS(P:P,A:A,A832)&gt;0,ABS((SUMIFS(P:P,A:A,A832)/VLOOKUP("USD",'Exchange Rates'!B:C,2,0)))/S832,"."),".")</f>
        <v>.</v>
      </c>
      <c r="BA832" s="1196" t="str">
        <f>IF(AND(AD832=1,D832="Military",H832&lt;&gt;"Not given")=TRUE,IF(SUMIFS(P:P,A:A,A832)&gt;0,IF((ABS((SUMIFS(P:P,A:A,A832)/VLOOKUP("USD",'Exchange Rates'!B:C,2,0)))/S832)&gt;1,(SUMIFS(P:P,A:A,A832)-S832)/S832,(S832-SUMIFS(P:P,A:A,A832))/SUMIFS(P:P,A:A,A832)),"."),".")</f>
        <v>.</v>
      </c>
    </row>
    <row r="833" spans="1:71" ht="15.95" customHeight="1">
      <c r="A833" s="1182" t="s">
        <v>2347</v>
      </c>
      <c r="B833" s="1182" t="s">
        <v>2312</v>
      </c>
      <c r="C833" s="1181">
        <v>44624</v>
      </c>
      <c r="D833" s="1182" t="s">
        <v>389</v>
      </c>
      <c r="E833" s="1182" t="s">
        <v>398</v>
      </c>
      <c r="F833" s="1183" t="s">
        <v>2348</v>
      </c>
      <c r="G833" s="1287" t="s">
        <v>456</v>
      </c>
      <c r="H833" s="1185" t="s">
        <v>457</v>
      </c>
      <c r="I833" s="1180" t="s">
        <v>1895</v>
      </c>
      <c r="J833" s="1186" t="str">
        <f>VLOOKUP($I833,'Price List, Weapons &amp; Items'!B:C,2,0)</f>
        <v>Military equipment</v>
      </c>
      <c r="K833" s="1186" t="str">
        <f>IF(I833=".",I833,VLOOKUP($I833,'Price List, Weapons &amp; Items'!B:D,3,0))</f>
        <v>Military equipment</v>
      </c>
      <c r="L833" s="1187">
        <f>VLOOKUP(I833,'Price List, Weapons &amp; Items'!B:E,4,0)</f>
        <v>0</v>
      </c>
      <c r="M833" s="1188" t="s">
        <v>374</v>
      </c>
      <c r="N833" s="1188" t="s">
        <v>374</v>
      </c>
      <c r="O833" s="1188">
        <f>VLOOKUP($I833,'Price List, Weapons &amp; Items'!B:G,6,0)</f>
        <v>70</v>
      </c>
      <c r="P833" s="1185" t="str">
        <f t="shared" si="171"/>
        <v>.</v>
      </c>
      <c r="Q833" s="1185" t="str">
        <f t="shared" si="172"/>
        <v>.</v>
      </c>
      <c r="R833" s="1185" t="str">
        <f t="shared" si="168"/>
        <v/>
      </c>
      <c r="S833" s="1185" t="str">
        <f>IF(AND(AD833=1,R833&lt;&gt;".")=TRUE,R833/VLOOKUP(G833,'Exchange Rates'!B:C,2,0),IF(R833=".",".",""))</f>
        <v/>
      </c>
      <c r="T833" s="1185" t="str">
        <f>IF(AD833=1,IF(AF833="Value is not given at all",".",IF(AF833="Value is given by the source",S833,IF(AF833="Value is calculated with prices",(IF(SUMIFS(Q:Q,A:A,A833)&gt;0,SUMIFS(Q:Q,A:A,A833),"."))/VLOOKUP("USD",'Exchange Rates'!B:C,2,0),"Error with coding"))),"")</f>
        <v/>
      </c>
      <c r="U833" s="1184" t="s">
        <v>365</v>
      </c>
      <c r="V833" s="974" t="s">
        <v>2349</v>
      </c>
      <c r="W833" s="974" t="s">
        <v>2350</v>
      </c>
      <c r="X833" s="974" t="s">
        <v>2351</v>
      </c>
      <c r="Y833" s="1029" t="s">
        <v>2353</v>
      </c>
      <c r="Z833" s="1184">
        <v>0</v>
      </c>
      <c r="AA833" s="1194">
        <v>0</v>
      </c>
      <c r="AB833" s="975" t="s">
        <v>2352</v>
      </c>
      <c r="AC833" s="1192" t="str">
        <f>""</f>
        <v/>
      </c>
      <c r="AD833" s="1193">
        <v>0</v>
      </c>
      <c r="AE833" s="1193" t="s">
        <v>436</v>
      </c>
      <c r="AF833" s="1193" t="s">
        <v>436</v>
      </c>
      <c r="AG833" s="1193">
        <v>1</v>
      </c>
      <c r="AH833" s="1193">
        <v>3</v>
      </c>
      <c r="AI833" s="1193">
        <v>0</v>
      </c>
      <c r="AJ833" s="1193">
        <f>VLOOKUP($I833,'Price List, Weapons &amp; Items'!B:F,5,0)</f>
        <v>0</v>
      </c>
      <c r="AK833" s="1193">
        <f t="shared" si="173"/>
        <v>0</v>
      </c>
      <c r="AL833" s="1193">
        <f t="shared" si="174"/>
        <v>0</v>
      </c>
      <c r="AM833" s="1193">
        <f t="shared" si="175"/>
        <v>0</v>
      </c>
      <c r="AN833" s="1194" t="str">
        <f>VLOOKUP($I833,'Price List, Weapons &amp; Items'!B:L,COLUMN('Price List, Weapons &amp; Items'!$J$11)-1,0)</f>
        <v>Online marketplaces and stores</v>
      </c>
      <c r="AO833" s="1194" t="str">
        <f>IF(I833=".",".",VLOOKUP($I833,'Price List, Weapons &amp; Items'!B:J,3,0))</f>
        <v>Military equipment</v>
      </c>
      <c r="AP833" s="1195" t="str">
        <f t="shared" ca="1" si="169"/>
        <v/>
      </c>
      <c r="AQ833" s="1194">
        <f>VLOOKUP($I833,'Price List, Weapons &amp; Items'!B:L,COLUMN('Price List, Weapons &amp; Items'!$L$11)-1,0)</f>
        <v>1</v>
      </c>
      <c r="AR833" s="1194">
        <f t="shared" si="176"/>
        <v>1</v>
      </c>
      <c r="AS833" s="1194">
        <f t="shared" si="177"/>
        <v>1</v>
      </c>
      <c r="AT833" s="1194">
        <f t="shared" si="178"/>
        <v>1</v>
      </c>
      <c r="AU833" s="1194" t="str">
        <f t="shared" si="179"/>
        <v>.</v>
      </c>
      <c r="AV833" s="1194" t="str">
        <f t="shared" si="170"/>
        <v>.</v>
      </c>
      <c r="AW833" s="1194" t="str">
        <f t="shared" si="180"/>
        <v>.</v>
      </c>
      <c r="AX833" s="1194">
        <f>IFERROR(VLOOKUP(B833,'Share, Heavy Weapons to Ukraine'!B:Z,COLUMN('Share, Heavy Weapons to Ukraine'!C843)-1,0),0)</f>
        <v>0</v>
      </c>
      <c r="AY833" s="1194">
        <f>VLOOKUP('Bilateral Assistance, MAIN DATA'!B833,'Country Summary (€)'!B:F,COLUMN('Country Summary (€)'!C844)-1,FALSE)</f>
        <v>0</v>
      </c>
      <c r="AZ833" s="1194" t="str">
        <f>IF(AND(AD833=1,D833="Military",H833&lt;&gt;"Not given")=TRUE,IF(SUMIFS(P:P,A:A,A833)&gt;0,ABS((SUMIFS(P:P,A:A,A833)/VLOOKUP("USD",'Exchange Rates'!B:C,2,0)))/S833,"."),".")</f>
        <v>.</v>
      </c>
      <c r="BA833" s="1196" t="str">
        <f>IF(AND(AD833=1,D833="Military",H833&lt;&gt;"Not given")=TRUE,IF(SUMIFS(P:P,A:A,A833)&gt;0,IF((ABS((SUMIFS(P:P,A:A,A833)/VLOOKUP("USD",'Exchange Rates'!B:C,2,0)))/S833)&gt;1,(SUMIFS(P:P,A:A,A833)-S833)/S833,(S833-SUMIFS(P:P,A:A,A833))/SUMIFS(P:P,A:A,A833)),"."),".")</f>
        <v>.</v>
      </c>
    </row>
    <row r="834" spans="1:71" ht="15.95" customHeight="1">
      <c r="A834" s="1182" t="s">
        <v>2354</v>
      </c>
      <c r="B834" s="1182" t="s">
        <v>2312</v>
      </c>
      <c r="C834" s="1181">
        <v>44670</v>
      </c>
      <c r="D834" s="1182" t="s">
        <v>389</v>
      </c>
      <c r="E834" s="1182" t="s">
        <v>398</v>
      </c>
      <c r="F834" s="1183" t="s">
        <v>2355</v>
      </c>
      <c r="G834" s="1287" t="s">
        <v>456</v>
      </c>
      <c r="H834" s="1185" t="s">
        <v>457</v>
      </c>
      <c r="I834" s="1268" t="s">
        <v>2356</v>
      </c>
      <c r="J834" s="1186" t="str">
        <f>VLOOKUP($I834,'Price List, Weapons &amp; Items'!B:C,2,0)</f>
        <v>Military equipment</v>
      </c>
      <c r="K834" s="1186" t="str">
        <f>IF(I834=".",I834,VLOOKUP($I834,'Price List, Weapons &amp; Items'!B:D,3,0))</f>
        <v>Military equipment</v>
      </c>
      <c r="L834" s="1187">
        <f>VLOOKUP(I834,'Price List, Weapons &amp; Items'!B:E,4,0)</f>
        <v>0</v>
      </c>
      <c r="M834" s="1188" t="s">
        <v>374</v>
      </c>
      <c r="N834" s="1188" t="s">
        <v>374</v>
      </c>
      <c r="O834" s="1188">
        <f>VLOOKUP($I834,'Price List, Weapons &amp; Items'!B:G,6,0)</f>
        <v>0.4</v>
      </c>
      <c r="P834" s="1185" t="str">
        <f t="shared" si="171"/>
        <v>.</v>
      </c>
      <c r="Q834" s="1185" t="str">
        <f t="shared" si="172"/>
        <v>.</v>
      </c>
      <c r="R834" s="1185">
        <f t="shared" ref="R834:R897" si="181">IF(AD834=1,IF(H834&lt;&gt;"Not given",H834,IF(TYPE(H834)=2,IF(SUMIFS(P:P,A:A,A834)&gt;0,SUMIFS(P:P,A:A,A834),"."),"Format error")),"")</f>
        <v>180000</v>
      </c>
      <c r="S834" s="1185">
        <f>IF(AND(AD834=1,R834&lt;&gt;".")=TRUE,R834/VLOOKUP(G834,'Exchange Rates'!B:C,2,0),IF(R834=".",".",""))</f>
        <v>165623.84983437616</v>
      </c>
      <c r="T834" s="1185" t="str">
        <f>IF(AD834=1,IF(AF834="Value is not given at all",".",IF(AF834="Value is given by the source",S834,IF(AF834="Value is calculated with prices",(IF(SUMIFS(Q:Q,A:A,A834)&gt;0,SUMIFS(Q:Q,A:A,A834),"."))/VLOOKUP("USD",'Exchange Rates'!B:C,2,0),"Error with coding"))),"")</f>
        <v>.</v>
      </c>
      <c r="U834" s="1184" t="s">
        <v>365</v>
      </c>
      <c r="V834" s="976" t="s">
        <v>2314</v>
      </c>
      <c r="W834" s="974" t="s">
        <v>2357</v>
      </c>
      <c r="X834" s="1196"/>
      <c r="Y834" s="1183" t="s">
        <v>364</v>
      </c>
      <c r="Z834" s="1184">
        <v>0</v>
      </c>
      <c r="AA834" s="1194">
        <v>0</v>
      </c>
      <c r="AB834" s="975" t="s">
        <v>2358</v>
      </c>
      <c r="AC834" s="1192" t="str">
        <f>""</f>
        <v/>
      </c>
      <c r="AD834" s="1193">
        <v>1</v>
      </c>
      <c r="AE834" s="1193" t="s">
        <v>436</v>
      </c>
      <c r="AF834" s="1193" t="s">
        <v>369</v>
      </c>
      <c r="AG834" s="1193">
        <v>1</v>
      </c>
      <c r="AH834" s="1193">
        <v>4</v>
      </c>
      <c r="AI834" s="1193">
        <v>0</v>
      </c>
      <c r="AJ834" s="1193">
        <f>VLOOKUP($I834,'Price List, Weapons &amp; Items'!B:F,5,0)</f>
        <v>0</v>
      </c>
      <c r="AK834" s="1193">
        <f t="shared" si="173"/>
        <v>0</v>
      </c>
      <c r="AL834" s="1193">
        <f t="shared" si="174"/>
        <v>0</v>
      </c>
      <c r="AM834" s="1193">
        <f t="shared" si="175"/>
        <v>0</v>
      </c>
      <c r="AN834" s="1194" t="str">
        <f>VLOOKUP($I834,'Price List, Weapons &amp; Items'!B:L,COLUMN('Price List, Weapons &amp; Items'!$J$11)-1,0)</f>
        <v>Online marketplaces and stores</v>
      </c>
      <c r="AO834" s="1194" t="str">
        <f>IF(I834=".",".",VLOOKUP($I834,'Price List, Weapons &amp; Items'!B:J,3,0))</f>
        <v>Military equipment</v>
      </c>
      <c r="AP834" s="1195" t="str">
        <f t="shared" ref="AP834:AP897" ca="1" si="182">IF(AD834=1,(OFFSET(I834,0,0,COUNTIF(A:A,A834),1)),"")</f>
        <v>protective mask with filter</v>
      </c>
      <c r="AQ834" s="1194">
        <f>VLOOKUP($I834,'Price List, Weapons &amp; Items'!B:L,COLUMN('Price List, Weapons &amp; Items'!$L$11)-1,0)</f>
        <v>1</v>
      </c>
      <c r="AR834" s="1194">
        <f t="shared" si="176"/>
        <v>1</v>
      </c>
      <c r="AS834" s="1194">
        <f t="shared" si="177"/>
        <v>1</v>
      </c>
      <c r="AT834" s="1194">
        <f t="shared" si="178"/>
        <v>1</v>
      </c>
      <c r="AU834" s="1194" t="str">
        <f t="shared" si="179"/>
        <v>.</v>
      </c>
      <c r="AV834" s="1194" t="str">
        <f t="shared" ref="AV834:AV897" si="183">IF(AND(_xlfn.ISFORMULA(R834),_xlfn.ISFORMULA(S834),_xlfn.ISFORMULA(T834))=TRUE,".",1)</f>
        <v>.</v>
      </c>
      <c r="AW834" s="1194" t="str">
        <f t="shared" si="180"/>
        <v>.</v>
      </c>
      <c r="AX834" s="1194">
        <f>IFERROR(VLOOKUP(B834,'Share, Heavy Weapons to Ukraine'!B:Z,COLUMN('Share, Heavy Weapons to Ukraine'!C844)-1,0),0)</f>
        <v>0</v>
      </c>
      <c r="AY834" s="1194">
        <f>VLOOKUP('Bilateral Assistance, MAIN DATA'!B834,'Country Summary (€)'!B:F,COLUMN('Country Summary (€)'!C845)-1,FALSE)</f>
        <v>0</v>
      </c>
      <c r="AZ834" s="1194" t="str">
        <f>IF(AND(AD834=1,D834="Military",H834&lt;&gt;"Not given")=TRUE,IF(SUMIFS(P:P,A:A,A834)&gt;0,ABS((SUMIFS(P:P,A:A,A834)/VLOOKUP("USD",'Exchange Rates'!B:C,2,0)))/S834,"."),".")</f>
        <v>.</v>
      </c>
      <c r="BA834" s="1196" t="str">
        <f>IF(AND(AD834=1,D834="Military",H834&lt;&gt;"Not given")=TRUE,IF(SUMIFS(P:P,A:A,A834)&gt;0,IF((ABS((SUMIFS(P:P,A:A,A834)/VLOOKUP("USD",'Exchange Rates'!B:C,2,0)))/S834)&gt;1,(SUMIFS(P:P,A:A,A834)-S834)/S834,(S834-SUMIFS(P:P,A:A,A834))/SUMIFS(P:P,A:A,A834)),"."),".")</f>
        <v>.</v>
      </c>
    </row>
    <row r="835" spans="1:71" ht="15.95" customHeight="1">
      <c r="A835" s="1182" t="s">
        <v>2354</v>
      </c>
      <c r="B835" s="1182" t="s">
        <v>2312</v>
      </c>
      <c r="C835" s="1181">
        <v>44670</v>
      </c>
      <c r="D835" s="1182" t="s">
        <v>389</v>
      </c>
      <c r="E835" s="1182" t="s">
        <v>398</v>
      </c>
      <c r="F835" s="1183" t="s">
        <v>2355</v>
      </c>
      <c r="G835" s="1287" t="s">
        <v>456</v>
      </c>
      <c r="H835" s="1185" t="s">
        <v>457</v>
      </c>
      <c r="I835" s="1268" t="s">
        <v>2359</v>
      </c>
      <c r="J835" s="1186" t="str">
        <f>VLOOKUP($I835,'Price List, Weapons &amp; Items'!B:C,2,0)</f>
        <v>Military equipment</v>
      </c>
      <c r="K835" s="1186" t="str">
        <f>IF(I835=".",I835,VLOOKUP($I835,'Price List, Weapons &amp; Items'!B:D,3,0))</f>
        <v>Military equipment</v>
      </c>
      <c r="L835" s="1187">
        <f>VLOOKUP(I835,'Price List, Weapons &amp; Items'!B:E,4,0)</f>
        <v>0</v>
      </c>
      <c r="M835" s="1188" t="s">
        <v>374</v>
      </c>
      <c r="N835" s="1188" t="s">
        <v>374</v>
      </c>
      <c r="O835" s="1188" t="str">
        <f>VLOOKUP($I835,'Price List, Weapons &amp; Items'!B:G,6,0)</f>
        <v>.</v>
      </c>
      <c r="P835" s="1185" t="str">
        <f t="shared" ref="P835:P898" si="184">IF(TYPE(M835)=1,IF(TYPE(O835)=1,M835*O835,"No price"),".")</f>
        <v>.</v>
      </c>
      <c r="Q835" s="1185" t="str">
        <f t="shared" ref="Q835:Q898" si="185">IF(TYPE(N835)=1,IF(TYPE(O835)=1,N835*O835,"No price"),".")</f>
        <v>.</v>
      </c>
      <c r="R835" s="1185" t="str">
        <f t="shared" si="181"/>
        <v/>
      </c>
      <c r="S835" s="1185" t="str">
        <f>IF(AND(AD835=1,R835&lt;&gt;".")=TRUE,R835/VLOOKUP(G835,'Exchange Rates'!B:C,2,0),IF(R835=".",".",""))</f>
        <v/>
      </c>
      <c r="T835" s="1185" t="str">
        <f>IF(AD835=1,IF(AF835="Value is not given at all",".",IF(AF835="Value is given by the source",S835,IF(AF835="Value is calculated with prices",(IF(SUMIFS(Q:Q,A:A,A835)&gt;0,SUMIFS(Q:Q,A:A,A835),"."))/VLOOKUP("USD",'Exchange Rates'!B:C,2,0),"Error with coding"))),"")</f>
        <v/>
      </c>
      <c r="U835" s="1184" t="s">
        <v>365</v>
      </c>
      <c r="V835" s="976" t="s">
        <v>2314</v>
      </c>
      <c r="W835" s="974" t="s">
        <v>2357</v>
      </c>
      <c r="X835" s="1196"/>
      <c r="Y835" s="1183" t="s">
        <v>364</v>
      </c>
      <c r="Z835" s="1184">
        <v>0</v>
      </c>
      <c r="AA835" s="1194">
        <v>0</v>
      </c>
      <c r="AB835" s="975" t="s">
        <v>2358</v>
      </c>
      <c r="AC835" s="1192" t="str">
        <f>""</f>
        <v/>
      </c>
      <c r="AD835" s="1193">
        <v>0</v>
      </c>
      <c r="AE835" s="1193" t="s">
        <v>369</v>
      </c>
      <c r="AF835" s="1193" t="s">
        <v>369</v>
      </c>
      <c r="AG835" s="1193">
        <v>1</v>
      </c>
      <c r="AH835" s="1193">
        <v>4</v>
      </c>
      <c r="AI835" s="1193">
        <v>0</v>
      </c>
      <c r="AJ835" s="1193">
        <f>VLOOKUP($I835,'Price List, Weapons &amp; Items'!B:F,5,0)</f>
        <v>0</v>
      </c>
      <c r="AK835" s="1193">
        <f t="shared" ref="AK835:AK898" si="186">IF(AND(AJ835=1,M835="undisclosed")=TRUE,1,0)</f>
        <v>0</v>
      </c>
      <c r="AL835" s="1193">
        <f t="shared" ref="AL835:AL898" si="187">IF(AND(AJ835=1,N835="undisclosed")=TRUE,1,0)</f>
        <v>0</v>
      </c>
      <c r="AM835" s="1193">
        <f t="shared" ref="AM835:AM898" si="188">IFERROR(IF(SEARCH("ammuni",I835,1)&gt;0,1,0),0)</f>
        <v>0</v>
      </c>
      <c r="AN835" s="1194" t="str">
        <f>VLOOKUP($I835,'Price List, Weapons &amp; Items'!B:L,COLUMN('Price List, Weapons &amp; Items'!$J$11)-1,0)</f>
        <v>.</v>
      </c>
      <c r="AO835" s="1194" t="str">
        <f>IF(I835=".",".",VLOOKUP($I835,'Price List, Weapons &amp; Items'!B:J,3,0))</f>
        <v>Military equipment</v>
      </c>
      <c r="AP835" s="1195" t="str">
        <f t="shared" ca="1" si="182"/>
        <v/>
      </c>
      <c r="AQ835" s="1194" t="str">
        <f>VLOOKUP($I835,'Price List, Weapons &amp; Items'!B:L,COLUMN('Price List, Weapons &amp; Items'!$L$11)-1,0)</f>
        <v>no price, 0 count</v>
      </c>
      <c r="AR835" s="1194">
        <f t="shared" ref="AR835:AR898" si="189">IF(U835="Yes",1,0)</f>
        <v>1</v>
      </c>
      <c r="AS835" s="1194">
        <f t="shared" ref="AS835:AS898" si="190">IF(D835="Military",IF(OR(IFERROR(SEARCH("equipment",E835,1),0)&gt;0,IFERROR(SEARCH("weapons",E835,1),0)&gt;0),1,0),0)</f>
        <v>1</v>
      </c>
      <c r="AT835" s="1194">
        <f t="shared" ref="AT835:AT898" si="191">IFERROR(IF(VALUE(TEXT(C835,"mm"))=IF(AH835&gt;12,AH835-12,AH835),".",IF(TEXT(C835,"mm")="01",".",1)),"Value is not in date format")</f>
        <v>1</v>
      </c>
      <c r="AU835" s="1194" t="str">
        <f t="shared" ref="AU835:AU898" si="192">IF(AND(A835=A834,C835=C834)=TRUE,IF(F835=F834,".","1"),".")</f>
        <v>.</v>
      </c>
      <c r="AV835" s="1194" t="str">
        <f t="shared" si="183"/>
        <v>.</v>
      </c>
      <c r="AW835" s="1194" t="str">
        <f t="shared" ref="AW835:AW898" si="193">IF(T835&lt;&gt;".",IF(T835&gt;S835,1,"."),".")</f>
        <v>.</v>
      </c>
      <c r="AX835" s="1194">
        <f>IFERROR(VLOOKUP(B835,'Share, Heavy Weapons to Ukraine'!B:Z,COLUMN('Share, Heavy Weapons to Ukraine'!C845)-1,0),0)</f>
        <v>0</v>
      </c>
      <c r="AY835" s="1194">
        <f>VLOOKUP('Bilateral Assistance, MAIN DATA'!B835,'Country Summary (€)'!B:F,COLUMN('Country Summary (€)'!C846)-1,FALSE)</f>
        <v>0</v>
      </c>
      <c r="AZ835" s="1194" t="str">
        <f>IF(AND(AD835=1,D835="Military",H835&lt;&gt;"Not given")=TRUE,IF(SUMIFS(P:P,A:A,A835)&gt;0,ABS((SUMIFS(P:P,A:A,A835)/VLOOKUP("USD",'Exchange Rates'!B:C,2,0)))/S835,"."),".")</f>
        <v>.</v>
      </c>
      <c r="BA835" s="1196" t="str">
        <f>IF(AND(AD835=1,D835="Military",H835&lt;&gt;"Not given")=TRUE,IF(SUMIFS(P:P,A:A,A835)&gt;0,IF((ABS((SUMIFS(P:P,A:A,A835)/VLOOKUP("USD",'Exchange Rates'!B:C,2,0)))/S835)&gt;1,(SUMIFS(P:P,A:A,A835)-S835)/S835,(S835-SUMIFS(P:P,A:A,A835))/SUMIFS(P:P,A:A,A835)),"."),".")</f>
        <v>.</v>
      </c>
    </row>
    <row r="836" spans="1:71" ht="15.95" customHeight="1">
      <c r="A836" s="1182" t="s">
        <v>2354</v>
      </c>
      <c r="B836" s="1182" t="s">
        <v>2312</v>
      </c>
      <c r="C836" s="1181">
        <v>44670</v>
      </c>
      <c r="D836" s="1182" t="s">
        <v>389</v>
      </c>
      <c r="E836" s="1182" t="s">
        <v>398</v>
      </c>
      <c r="F836" s="1183" t="s">
        <v>2355</v>
      </c>
      <c r="G836" s="1287" t="s">
        <v>456</v>
      </c>
      <c r="H836" s="1185" t="s">
        <v>457</v>
      </c>
      <c r="I836" s="1268" t="s">
        <v>1324</v>
      </c>
      <c r="J836" s="1186" t="str">
        <f>VLOOKUP($I836,'Price List, Weapons &amp; Items'!B:C,2,0)</f>
        <v>Aviation and drones</v>
      </c>
      <c r="K836" s="1186" t="str">
        <f>IF(I836=".",I836,VLOOKUP($I836,'Price List, Weapons &amp; Items'!B:D,3,0))</f>
        <v>Drone</v>
      </c>
      <c r="L836" s="1187">
        <f>VLOOKUP(I836,'Price List, Weapons &amp; Items'!B:E,4,0)</f>
        <v>0</v>
      </c>
      <c r="M836" s="1188">
        <v>30</v>
      </c>
      <c r="N836" s="1188">
        <v>30</v>
      </c>
      <c r="O836" s="1188">
        <f>VLOOKUP($I836,'Price List, Weapons &amp; Items'!B:G,6,0)</f>
        <v>6000</v>
      </c>
      <c r="P836" s="1185">
        <f t="shared" si="184"/>
        <v>180000</v>
      </c>
      <c r="Q836" s="1185">
        <f t="shared" si="185"/>
        <v>180000</v>
      </c>
      <c r="R836" s="1185" t="str">
        <f t="shared" si="181"/>
        <v/>
      </c>
      <c r="S836" s="1185" t="str">
        <f>IF(AND(AD836=1,R836&lt;&gt;".")=TRUE,R836/VLOOKUP(G836,'Exchange Rates'!B:C,2,0),IF(R836=".",".",""))</f>
        <v/>
      </c>
      <c r="T836" s="1185" t="str">
        <f>IF(AD836=1,IF(AF836="Value is not given at all",".",IF(AF836="Value is given by the source",S836,IF(AF836="Value is calculated with prices",(IF(SUMIFS(Q:Q,A:A,A836)&gt;0,SUMIFS(Q:Q,A:A,A836),"."))/VLOOKUP("USD",'Exchange Rates'!B:C,2,0),"Error with coding"))),"")</f>
        <v/>
      </c>
      <c r="U836" s="1184" t="s">
        <v>675</v>
      </c>
      <c r="V836" s="974" t="s">
        <v>2357</v>
      </c>
      <c r="W836" s="1029" t="s">
        <v>2360</v>
      </c>
      <c r="X836" s="1183" t="s">
        <v>364</v>
      </c>
      <c r="Y836" s="1183" t="s">
        <v>364</v>
      </c>
      <c r="Z836" s="1184">
        <v>0</v>
      </c>
      <c r="AA836" s="1194">
        <v>0</v>
      </c>
      <c r="AB836" s="975" t="s">
        <v>2360</v>
      </c>
      <c r="AC836" s="1192" t="str">
        <f>""</f>
        <v/>
      </c>
      <c r="AD836" s="1193">
        <v>0</v>
      </c>
      <c r="AE836" s="1193" t="s">
        <v>369</v>
      </c>
      <c r="AF836" s="1193" t="s">
        <v>369</v>
      </c>
      <c r="AG836" s="1193">
        <v>1</v>
      </c>
      <c r="AH836" s="1193">
        <v>4</v>
      </c>
      <c r="AI836" s="1193">
        <v>0</v>
      </c>
      <c r="AJ836" s="1193">
        <f>VLOOKUP($I836,'Price List, Weapons &amp; Items'!B:F,5,0)</f>
        <v>0</v>
      </c>
      <c r="AK836" s="1193">
        <f t="shared" si="186"/>
        <v>0</v>
      </c>
      <c r="AL836" s="1193">
        <f t="shared" si="187"/>
        <v>0</v>
      </c>
      <c r="AM836" s="1193">
        <f t="shared" si="188"/>
        <v>0</v>
      </c>
      <c r="AN836" s="1194" t="str">
        <f>VLOOKUP($I836,'Price List, Weapons &amp; Items'!B:L,COLUMN('Price List, Weapons &amp; Items'!$J$11)-1,0)</f>
        <v>Miscellaneous</v>
      </c>
      <c r="AO836" s="1194" t="str">
        <f>IF(I836=".",".",VLOOKUP($I836,'Price List, Weapons &amp; Items'!B:J,3,0))</f>
        <v>Drone</v>
      </c>
      <c r="AP836" s="1195" t="str">
        <f t="shared" ca="1" si="182"/>
        <v/>
      </c>
      <c r="AQ836" s="1194">
        <f>VLOOKUP($I836,'Price List, Weapons &amp; Items'!B:L,COLUMN('Price List, Weapons &amp; Items'!$L$11)-1,0)</f>
        <v>1</v>
      </c>
      <c r="AR836" s="1194">
        <f t="shared" si="189"/>
        <v>0</v>
      </c>
      <c r="AS836" s="1194">
        <f t="shared" si="190"/>
        <v>1</v>
      </c>
      <c r="AT836" s="1194">
        <f t="shared" si="191"/>
        <v>1</v>
      </c>
      <c r="AU836" s="1194" t="str">
        <f t="shared" si="192"/>
        <v>.</v>
      </c>
      <c r="AV836" s="1194" t="str">
        <f t="shared" si="183"/>
        <v>.</v>
      </c>
      <c r="AW836" s="1194" t="str">
        <f t="shared" si="193"/>
        <v>.</v>
      </c>
      <c r="AX836" s="1194">
        <f>IFERROR(VLOOKUP(B836,'Share, Heavy Weapons to Ukraine'!B:Z,COLUMN('Share, Heavy Weapons to Ukraine'!C846)-1,0),0)</f>
        <v>0</v>
      </c>
      <c r="AY836" s="1194">
        <f>VLOOKUP('Bilateral Assistance, MAIN DATA'!B836,'Country Summary (€)'!B:F,COLUMN('Country Summary (€)'!C847)-1,FALSE)</f>
        <v>0</v>
      </c>
      <c r="AZ836" s="1194" t="str">
        <f>IF(AND(AD836=1,D836="Military",H836&lt;&gt;"Not given")=TRUE,IF(SUMIFS(P:P,A:A,A836)&gt;0,ABS((SUMIFS(P:P,A:A,A836)/VLOOKUP("USD",'Exchange Rates'!B:C,2,0)))/S836,"."),".")</f>
        <v>.</v>
      </c>
      <c r="BA836" s="1196" t="str">
        <f>IF(AND(AD836=1,D836="Military",H836&lt;&gt;"Not given")=TRUE,IF(SUMIFS(P:P,A:A,A836)&gt;0,IF((ABS((SUMIFS(P:P,A:A,A836)/VLOOKUP("USD",'Exchange Rates'!B:C,2,0)))/S836)&gt;1,(SUMIFS(P:P,A:A,A836)-S836)/S836,(S836-SUMIFS(P:P,A:A,A836))/SUMIFS(P:P,A:A,A836)),"."),".")</f>
        <v>.</v>
      </c>
    </row>
    <row r="837" spans="1:71" ht="15.95" customHeight="1">
      <c r="A837" s="1182" t="s">
        <v>2361</v>
      </c>
      <c r="B837" s="1182" t="s">
        <v>2312</v>
      </c>
      <c r="C837" s="1181">
        <v>44777</v>
      </c>
      <c r="D837" s="1182" t="s">
        <v>389</v>
      </c>
      <c r="E837" s="1182" t="s">
        <v>398</v>
      </c>
      <c r="F837" s="1183" t="s">
        <v>2362</v>
      </c>
      <c r="G837" s="1287" t="s">
        <v>456</v>
      </c>
      <c r="H837" s="1185" t="s">
        <v>457</v>
      </c>
      <c r="I837" s="1268" t="s">
        <v>1324</v>
      </c>
      <c r="J837" s="1186" t="str">
        <f>VLOOKUP($I837,'Price List, Weapons &amp; Items'!B:C,2,0)</f>
        <v>Aviation and drones</v>
      </c>
      <c r="K837" s="1186" t="str">
        <f>IF(I837=".",I837,VLOOKUP($I837,'Price List, Weapons &amp; Items'!B:D,3,0))</f>
        <v>Drone</v>
      </c>
      <c r="L837" s="1187">
        <f>VLOOKUP(I837,'Price List, Weapons &amp; Items'!B:E,4,0)</f>
        <v>0</v>
      </c>
      <c r="M837" s="1188">
        <v>12</v>
      </c>
      <c r="N837" s="1188" t="s">
        <v>374</v>
      </c>
      <c r="O837" s="1188">
        <f>VLOOKUP($I837,'Price List, Weapons &amp; Items'!B:G,6,0)</f>
        <v>6000</v>
      </c>
      <c r="P837" s="1185">
        <f t="shared" si="184"/>
        <v>72000</v>
      </c>
      <c r="Q837" s="1185" t="str">
        <f t="shared" si="185"/>
        <v>.</v>
      </c>
      <c r="R837" s="1185">
        <f t="shared" si="181"/>
        <v>72000</v>
      </c>
      <c r="S837" s="1185">
        <f>IF(AND(AD837=1,R837&lt;&gt;".")=TRUE,R837/VLOOKUP(G837,'Exchange Rates'!B:C,2,0),IF(R837=".",".",""))</f>
        <v>66249.539933750464</v>
      </c>
      <c r="T837" s="1185" t="str">
        <f>IF(AD837=1,IF(AF837="Value is not given at all",".",IF(AF837="Value is given by the source",S837,IF(AF837="Value is calculated with prices",(IF(SUMIFS(Q:Q,A:A,A837)&gt;0,SUMIFS(Q:Q,A:A,A837),"."))/VLOOKUP("USD",'Exchange Rates'!B:C,2,0),"Error with coding"))),"")</f>
        <v>.</v>
      </c>
      <c r="U837" s="1184" t="s">
        <v>365</v>
      </c>
      <c r="V837" s="974" t="s">
        <v>2328</v>
      </c>
      <c r="W837" s="1029" t="s">
        <v>2329</v>
      </c>
      <c r="X837" s="1029" t="s">
        <v>2330</v>
      </c>
      <c r="Y837" s="1029" t="s">
        <v>2360</v>
      </c>
      <c r="Z837" s="1184">
        <v>0</v>
      </c>
      <c r="AA837" s="1194">
        <v>0</v>
      </c>
      <c r="AB837" s="1201" t="s">
        <v>364</v>
      </c>
      <c r="AC837" s="1192" t="str">
        <f>""</f>
        <v/>
      </c>
      <c r="AD837" s="1193">
        <v>1</v>
      </c>
      <c r="AE837" s="1193" t="s">
        <v>369</v>
      </c>
      <c r="AF837" s="1193" t="s">
        <v>369</v>
      </c>
      <c r="AG837" s="1193">
        <v>1</v>
      </c>
      <c r="AH837" s="1193">
        <v>8</v>
      </c>
      <c r="AI837" s="1193">
        <v>0</v>
      </c>
      <c r="AJ837" s="1193">
        <f>VLOOKUP($I837,'Price List, Weapons &amp; Items'!B:F,5,0)</f>
        <v>0</v>
      </c>
      <c r="AK837" s="1193">
        <f t="shared" si="186"/>
        <v>0</v>
      </c>
      <c r="AL837" s="1193">
        <f t="shared" si="187"/>
        <v>0</v>
      </c>
      <c r="AM837" s="1193">
        <f t="shared" si="188"/>
        <v>0</v>
      </c>
      <c r="AN837" s="1194" t="str">
        <f>VLOOKUP($I837,'Price List, Weapons &amp; Items'!B:L,COLUMN('Price List, Weapons &amp; Items'!$J$11)-1,0)</f>
        <v>Miscellaneous</v>
      </c>
      <c r="AO837" s="1194" t="str">
        <f>IF(I837=".",".",VLOOKUP($I837,'Price List, Weapons &amp; Items'!B:J,3,0))</f>
        <v>Drone</v>
      </c>
      <c r="AP837" s="1195" t="str">
        <f t="shared" ca="1" si="182"/>
        <v>drone</v>
      </c>
      <c r="AQ837" s="1194">
        <f>VLOOKUP($I837,'Price List, Weapons &amp; Items'!B:L,COLUMN('Price List, Weapons &amp; Items'!$L$11)-1,0)</f>
        <v>1</v>
      </c>
      <c r="AR837" s="1194">
        <f t="shared" si="189"/>
        <v>1</v>
      </c>
      <c r="AS837" s="1194">
        <f t="shared" si="190"/>
        <v>1</v>
      </c>
      <c r="AT837" s="1194">
        <f t="shared" si="191"/>
        <v>1</v>
      </c>
      <c r="AU837" s="1194" t="str">
        <f t="shared" si="192"/>
        <v>.</v>
      </c>
      <c r="AV837" s="1194" t="str">
        <f t="shared" si="183"/>
        <v>.</v>
      </c>
      <c r="AW837" s="1194" t="str">
        <f t="shared" si="193"/>
        <v>.</v>
      </c>
      <c r="AX837" s="1194">
        <f>IFERROR(VLOOKUP(B837,'Share, Heavy Weapons to Ukraine'!B:Z,COLUMN('Share, Heavy Weapons to Ukraine'!C847)-1,0),0)</f>
        <v>0</v>
      </c>
      <c r="AY837" s="1194">
        <f>VLOOKUP('Bilateral Assistance, MAIN DATA'!B837,'Country Summary (€)'!B:F,COLUMN('Country Summary (€)'!C848)-1,FALSE)</f>
        <v>0</v>
      </c>
      <c r="AZ837" s="1194" t="str">
        <f>IF(AND(AD837=1,D837="Military",H837&lt;&gt;"Not given")=TRUE,IF(SUMIFS(P:P,A:A,A837)&gt;0,ABS((SUMIFS(P:P,A:A,A837)/VLOOKUP("USD",'Exchange Rates'!B:C,2,0)))/S837,"."),".")</f>
        <v>.</v>
      </c>
      <c r="BA837" s="1196" t="str">
        <f>IF(AND(AD837=1,D837="Military",H837&lt;&gt;"Not given")=TRUE,IF(SUMIFS(P:P,A:A,A837)&gt;0,IF((ABS((SUMIFS(P:P,A:A,A837)/VLOOKUP("USD",'Exchange Rates'!B:C,2,0)))/S837)&gt;1,(SUMIFS(P:P,A:A,A837)-S837)/S837,(S837-SUMIFS(P:P,A:A,A837))/SUMIFS(P:P,A:A,A837)),"."),".")</f>
        <v>.</v>
      </c>
    </row>
    <row r="838" spans="1:71" ht="15.95" customHeight="1">
      <c r="A838" s="1182" t="s">
        <v>2363</v>
      </c>
      <c r="B838" s="1182" t="s">
        <v>2312</v>
      </c>
      <c r="C838" s="1181">
        <v>45015</v>
      </c>
      <c r="D838" s="1182" t="s">
        <v>389</v>
      </c>
      <c r="E838" s="1182" t="s">
        <v>398</v>
      </c>
      <c r="F838" s="1183" t="s">
        <v>2364</v>
      </c>
      <c r="G838" s="1184" t="s">
        <v>456</v>
      </c>
      <c r="H838" s="1185">
        <v>30000000</v>
      </c>
      <c r="I838" s="1180" t="s">
        <v>364</v>
      </c>
      <c r="J838" s="1186" t="str">
        <f>VLOOKUP($I838,'Price List, Weapons &amp; Items'!B:C,2,0)</f>
        <v>.</v>
      </c>
      <c r="K838" s="1186" t="str">
        <f>IF(I838=".",I838,VLOOKUP($I838,'Price List, Weapons &amp; Items'!B:D,3,0))</f>
        <v>.</v>
      </c>
      <c r="L838" s="1187">
        <f>VLOOKUP(I838,'Price List, Weapons &amp; Items'!B:E,4,0)</f>
        <v>0</v>
      </c>
      <c r="M838" s="1188" t="s">
        <v>364</v>
      </c>
      <c r="N838" s="1188" t="s">
        <v>364</v>
      </c>
      <c r="O838" s="1188" t="str">
        <f>VLOOKUP($I838,'Price List, Weapons &amp; Items'!B:G,6,0)</f>
        <v>.</v>
      </c>
      <c r="P838" s="1185" t="str">
        <f t="shared" si="184"/>
        <v>.</v>
      </c>
      <c r="Q838" s="1185" t="str">
        <f t="shared" si="185"/>
        <v>.</v>
      </c>
      <c r="R838" s="1185">
        <f t="shared" si="181"/>
        <v>30000000</v>
      </c>
      <c r="S838" s="1185">
        <f>IF(AND(AD838=1,R838&lt;&gt;".")=TRUE,R838/VLOOKUP(G838,'Exchange Rates'!B:C,2,0),IF(R838=".",".",""))</f>
        <v>27603974.972396024</v>
      </c>
      <c r="T838" s="1185" t="str">
        <f>IF(AD838=1,IF(AF838="Value is not given at all",".",IF(AF838="Value is given by the source",S838,IF(AF838="Value is calculated with prices",(IF(SUMIFS(Q:Q,A:A,A838)&gt;0,SUMIFS(Q:Q,A:A,A838),"."))/VLOOKUP("USD",'Exchange Rates'!B:C,2,0),"Error with coding"))),"")</f>
        <v>.</v>
      </c>
      <c r="U838" s="1184" t="s">
        <v>365</v>
      </c>
      <c r="V838" s="987" t="s">
        <v>2365</v>
      </c>
      <c r="W838" s="976" t="s">
        <v>2314</v>
      </c>
      <c r="X838" s="1034" t="s">
        <v>364</v>
      </c>
      <c r="Y838" s="1034" t="s">
        <v>364</v>
      </c>
      <c r="Z838" s="1184">
        <v>0</v>
      </c>
      <c r="AA838" s="1194">
        <v>1</v>
      </c>
      <c r="AB838" s="1201" t="s">
        <v>364</v>
      </c>
      <c r="AC838" s="1192" t="str">
        <f>""</f>
        <v/>
      </c>
      <c r="AD838" s="1193">
        <v>1</v>
      </c>
      <c r="AE838" s="1193" t="s">
        <v>368</v>
      </c>
      <c r="AF838" s="1193" t="s">
        <v>369</v>
      </c>
      <c r="AG838" s="1193">
        <v>1</v>
      </c>
      <c r="AH838" s="1193">
        <v>15</v>
      </c>
      <c r="AI838" s="1193">
        <v>0</v>
      </c>
      <c r="AJ838" s="1193">
        <f>VLOOKUP($I838,'Price List, Weapons &amp; Items'!B:F,5,0)</f>
        <v>0</v>
      </c>
      <c r="AK838" s="1193">
        <f t="shared" si="186"/>
        <v>0</v>
      </c>
      <c r="AL838" s="1193">
        <f t="shared" si="187"/>
        <v>0</v>
      </c>
      <c r="AM838" s="1193">
        <f t="shared" si="188"/>
        <v>0</v>
      </c>
      <c r="AN838" s="1194" t="str">
        <f>VLOOKUP($I838,'Price List, Weapons &amp; Items'!B:L,COLUMN('Price List, Weapons &amp; Items'!$J$11)-1,0)</f>
        <v>.</v>
      </c>
      <c r="AO838" s="1194" t="str">
        <f>IF(I838=".",".",VLOOKUP($I838,'Price List, Weapons &amp; Items'!B:J,3,0))</f>
        <v>.</v>
      </c>
      <c r="AP838" s="1195" t="str">
        <f t="shared" ca="1" si="182"/>
        <v>.</v>
      </c>
      <c r="AQ838" s="1194">
        <f>VLOOKUP($I838,'Price List, Weapons &amp; Items'!B:L,COLUMN('Price List, Weapons &amp; Items'!$L$11)-1,0)</f>
        <v>0</v>
      </c>
      <c r="AR838" s="1194">
        <f t="shared" si="189"/>
        <v>1</v>
      </c>
      <c r="AS838" s="1194">
        <f t="shared" si="190"/>
        <v>1</v>
      </c>
      <c r="AT838" s="1194">
        <f t="shared" si="191"/>
        <v>1</v>
      </c>
      <c r="AU838" s="1194" t="str">
        <f t="shared" si="192"/>
        <v>.</v>
      </c>
      <c r="AV838" s="1194" t="str">
        <f t="shared" si="183"/>
        <v>.</v>
      </c>
      <c r="AW838" s="1194" t="str">
        <f t="shared" si="193"/>
        <v>.</v>
      </c>
      <c r="AX838" s="1194">
        <f>IFERROR(VLOOKUP(B838,'Share, Heavy Weapons to Ukraine'!B:Z,COLUMN('Share, Heavy Weapons to Ukraine'!C848)-1,0),0)</f>
        <v>0</v>
      </c>
      <c r="AY838" s="1194">
        <f>VLOOKUP('Bilateral Assistance, MAIN DATA'!B838,'Country Summary (€)'!B:F,COLUMN('Country Summary (€)'!C849)-1,FALSE)</f>
        <v>0</v>
      </c>
      <c r="AZ838" s="1194" t="str">
        <f>IF(AND(AD838=1,D838="Military",H838&lt;&gt;"Not given")=TRUE,IF(SUMIFS(P:P,A:A,A838)&gt;0,ABS((SUMIFS(P:P,A:A,A838)/VLOOKUP("USD",'Exchange Rates'!B:C,2,0)))/S838,"."),".")</f>
        <v>.</v>
      </c>
      <c r="BA838" s="1196" t="str">
        <f>IF(AND(AD838=1,D838="Military",H838&lt;&gt;"Not given")=TRUE,IF(SUMIFS(P:P,A:A,A838)&gt;0,IF((ABS((SUMIFS(P:P,A:A,A838)/VLOOKUP("USD",'Exchange Rates'!B:C,2,0)))/S838)&gt;1,(SUMIFS(P:P,A:A,A838)-S838)/S838,(S838-SUMIFS(P:P,A:A,A838))/SUMIFS(P:P,A:A,A838)),"."),".")</f>
        <v>.</v>
      </c>
      <c r="BB838" s="1208"/>
      <c r="BC838" s="1208"/>
      <c r="BD838" s="1208"/>
      <c r="BE838" s="1208"/>
    </row>
    <row r="839" spans="1:71" ht="15.95" customHeight="1">
      <c r="A839" s="1180" t="s">
        <v>2366</v>
      </c>
      <c r="B839" s="1180" t="s">
        <v>2312</v>
      </c>
      <c r="C839" s="1181">
        <v>44645</v>
      </c>
      <c r="D839" s="1182" t="s">
        <v>544</v>
      </c>
      <c r="E839" s="1182" t="s">
        <v>714</v>
      </c>
      <c r="F839" s="1183" t="s">
        <v>2367</v>
      </c>
      <c r="G839" s="1184" t="s">
        <v>456</v>
      </c>
      <c r="H839" s="1185">
        <v>100000000</v>
      </c>
      <c r="I839" s="1180" t="s">
        <v>364</v>
      </c>
      <c r="J839" s="1186" t="str">
        <f>VLOOKUP($I839,'Price List, Weapons &amp; Items'!B:C,2,0)</f>
        <v>.</v>
      </c>
      <c r="K839" s="1186" t="str">
        <f>IF(I839=".",I839,VLOOKUP($I839,'Price List, Weapons &amp; Items'!B:D,3,0))</f>
        <v>.</v>
      </c>
      <c r="L839" s="1187">
        <f>VLOOKUP(I839,'Price List, Weapons &amp; Items'!B:E,4,0)</f>
        <v>0</v>
      </c>
      <c r="M839" s="1188" t="s">
        <v>364</v>
      </c>
      <c r="N839" s="1188" t="s">
        <v>364</v>
      </c>
      <c r="O839" s="1188" t="str">
        <f>VLOOKUP($I839,'Price List, Weapons &amp; Items'!B:G,6,0)</f>
        <v>.</v>
      </c>
      <c r="P839" s="1185" t="str">
        <f t="shared" si="184"/>
        <v>.</v>
      </c>
      <c r="Q839" s="1185" t="str">
        <f t="shared" si="185"/>
        <v>.</v>
      </c>
      <c r="R839" s="1185">
        <f t="shared" si="181"/>
        <v>100000000</v>
      </c>
      <c r="S839" s="1185">
        <f>IF(AND(AD839=1,R839&lt;&gt;".")=TRUE,R839/VLOOKUP(G839,'Exchange Rates'!B:C,2,0),IF(R839=".",".",""))</f>
        <v>92013249.907986745</v>
      </c>
      <c r="T839" s="1185" t="str">
        <f>IF(AD839=1,IF(AF839="Value is not given at all",".",IF(AF839="Value is given by the source",S839,IF(AF839="Value is calculated with prices",(IF(SUMIFS(Q:Q,A:A,A839)&gt;0,SUMIFS(Q:Q,A:A,A839),"."))/VLOOKUP("USD",'Exchange Rates'!B:C,2,0),"Error with coding"))),"")</f>
        <v>.</v>
      </c>
      <c r="U839" s="1184" t="s">
        <v>365</v>
      </c>
      <c r="V839" s="971" t="s">
        <v>2314</v>
      </c>
      <c r="W839" s="971"/>
      <c r="X839" s="971" t="s">
        <v>2368</v>
      </c>
      <c r="Y839" s="1190" t="s">
        <v>364</v>
      </c>
      <c r="Z839" s="1184">
        <v>1</v>
      </c>
      <c r="AA839" s="1194">
        <v>0</v>
      </c>
      <c r="AB839" s="1201" t="s">
        <v>364</v>
      </c>
      <c r="AC839" s="1192" t="str">
        <f>""</f>
        <v/>
      </c>
      <c r="AD839" s="1193">
        <v>1</v>
      </c>
      <c r="AE839" s="1193" t="s">
        <v>368</v>
      </c>
      <c r="AF839" s="1193" t="s">
        <v>369</v>
      </c>
      <c r="AG839" s="1193">
        <v>1</v>
      </c>
      <c r="AH839" s="1193">
        <v>3</v>
      </c>
      <c r="AI839" s="1193">
        <v>0</v>
      </c>
      <c r="AJ839" s="1193">
        <f>VLOOKUP($I839,'Price List, Weapons &amp; Items'!B:F,5,0)</f>
        <v>0</v>
      </c>
      <c r="AK839" s="1193">
        <f t="shared" si="186"/>
        <v>0</v>
      </c>
      <c r="AL839" s="1193">
        <f t="shared" si="187"/>
        <v>0</v>
      </c>
      <c r="AM839" s="1193">
        <f t="shared" si="188"/>
        <v>0</v>
      </c>
      <c r="AN839" s="1194" t="str">
        <f>VLOOKUP($I839,'Price List, Weapons &amp; Items'!B:L,COLUMN('Price List, Weapons &amp; Items'!$J$11)-1,0)</f>
        <v>.</v>
      </c>
      <c r="AO839" s="1194" t="str">
        <f>IF(I839=".",".",VLOOKUP($I839,'Price List, Weapons &amp; Items'!B:J,3,0))</f>
        <v>.</v>
      </c>
      <c r="AP839" s="1195" t="str">
        <f t="shared" ca="1" si="182"/>
        <v>.</v>
      </c>
      <c r="AQ839" s="1194">
        <f>VLOOKUP($I839,'Price List, Weapons &amp; Items'!B:L,COLUMN('Price List, Weapons &amp; Items'!$L$11)-1,0)</f>
        <v>0</v>
      </c>
      <c r="AR839" s="1194">
        <f t="shared" si="189"/>
        <v>1</v>
      </c>
      <c r="AS839" s="1194">
        <f t="shared" si="190"/>
        <v>0</v>
      </c>
      <c r="AT839" s="1194">
        <f t="shared" si="191"/>
        <v>1</v>
      </c>
      <c r="AU839" s="1194" t="str">
        <f t="shared" si="192"/>
        <v>.</v>
      </c>
      <c r="AV839" s="1194" t="str">
        <f t="shared" si="183"/>
        <v>.</v>
      </c>
      <c r="AW839" s="1194" t="str">
        <f t="shared" si="193"/>
        <v>.</v>
      </c>
      <c r="AX839" s="1194">
        <f>IFERROR(VLOOKUP(B839,'Share, Heavy Weapons to Ukraine'!B:Z,COLUMN('Share, Heavy Weapons to Ukraine'!C849)-1,0),0)</f>
        <v>0</v>
      </c>
      <c r="AY839" s="1194">
        <f>VLOOKUP('Bilateral Assistance, MAIN DATA'!B839,'Country Summary (€)'!B:F,COLUMN('Country Summary (€)'!C850)-1,FALSE)</f>
        <v>0</v>
      </c>
      <c r="AZ839" s="1194" t="str">
        <f>IF(AND(AD839=1,D839="Military",H839&lt;&gt;"Not given")=TRUE,IF(SUMIFS(P:P,A:A,A839)&gt;0,ABS((SUMIFS(P:P,A:A,A839)/VLOOKUP("USD",'Exchange Rates'!B:C,2,0)))/S839,"."),".")</f>
        <v>.</v>
      </c>
      <c r="BA839" s="1196" t="str">
        <f>IF(AND(AD839=1,D839="Military",H839&lt;&gt;"Not given")=TRUE,IF(SUMIFS(P:P,A:A,A839)&gt;0,IF((ABS((SUMIFS(P:P,A:A,A839)/VLOOKUP("USD",'Exchange Rates'!B:C,2,0)))/S839)&gt;1,(SUMIFS(P:P,A:A,A839)-S839)/S839,(S839-SUMIFS(P:P,A:A,A839))/SUMIFS(P:P,A:A,A839)),"."),".")</f>
        <v>.</v>
      </c>
    </row>
    <row r="840" spans="1:71" ht="15.95" customHeight="1">
      <c r="A840" s="1180" t="s">
        <v>2369</v>
      </c>
      <c r="B840" s="1180" t="s">
        <v>2312</v>
      </c>
      <c r="C840" s="1181">
        <v>44670</v>
      </c>
      <c r="D840" s="1182" t="s">
        <v>544</v>
      </c>
      <c r="E840" s="1182" t="s">
        <v>714</v>
      </c>
      <c r="F840" s="1183" t="s">
        <v>2370</v>
      </c>
      <c r="G840" s="1184" t="s">
        <v>456</v>
      </c>
      <c r="H840" s="1185">
        <v>200000000</v>
      </c>
      <c r="I840" s="1180" t="s">
        <v>364</v>
      </c>
      <c r="J840" s="1186" t="str">
        <f>VLOOKUP($I840,'Price List, Weapons &amp; Items'!B:C,2,0)</f>
        <v>.</v>
      </c>
      <c r="K840" s="1186" t="str">
        <f>IF(I840=".",I840,VLOOKUP($I840,'Price List, Weapons &amp; Items'!B:D,3,0))</f>
        <v>.</v>
      </c>
      <c r="L840" s="1187">
        <f>VLOOKUP(I840,'Price List, Weapons &amp; Items'!B:E,4,0)</f>
        <v>0</v>
      </c>
      <c r="M840" s="1188" t="s">
        <v>364</v>
      </c>
      <c r="N840" s="1188" t="s">
        <v>364</v>
      </c>
      <c r="O840" s="1188" t="str">
        <f>VLOOKUP($I840,'Price List, Weapons &amp; Items'!B:G,6,0)</f>
        <v>.</v>
      </c>
      <c r="P840" s="1185" t="str">
        <f t="shared" si="184"/>
        <v>.</v>
      </c>
      <c r="Q840" s="1185" t="str">
        <f t="shared" si="185"/>
        <v>.</v>
      </c>
      <c r="R840" s="1185">
        <f t="shared" si="181"/>
        <v>200000000</v>
      </c>
      <c r="S840" s="1185">
        <f>IF(AND(AD840=1,R840&lt;&gt;".")=TRUE,R840/VLOOKUP(G840,'Exchange Rates'!B:C,2,0),IF(R840=".",".",""))</f>
        <v>184026499.81597349</v>
      </c>
      <c r="T840" s="1185" t="str">
        <f>IF(AD840=1,IF(AF840="Value is not given at all",".",IF(AF840="Value is given by the source",S840,IF(AF840="Value is calculated with prices",(IF(SUMIFS(Q:Q,A:A,A840)&gt;0,SUMIFS(Q:Q,A:A,A840),"."))/VLOOKUP("USD",'Exchange Rates'!B:C,2,0),"Error with coding"))),"")</f>
        <v>.</v>
      </c>
      <c r="U840" s="1184" t="s">
        <v>365</v>
      </c>
      <c r="V840" s="971" t="s">
        <v>2371</v>
      </c>
      <c r="W840" s="971" t="s">
        <v>2372</v>
      </c>
      <c r="X840" s="971" t="s">
        <v>2373</v>
      </c>
      <c r="Y840" s="1190" t="s">
        <v>364</v>
      </c>
      <c r="Z840" s="1184">
        <v>0</v>
      </c>
      <c r="AA840" s="1194">
        <v>0</v>
      </c>
      <c r="AB840" s="1201" t="s">
        <v>364</v>
      </c>
      <c r="AC840" s="1192" t="str">
        <f>""</f>
        <v/>
      </c>
      <c r="AD840" s="1193">
        <v>1</v>
      </c>
      <c r="AE840" s="1193" t="s">
        <v>368</v>
      </c>
      <c r="AF840" s="1193" t="s">
        <v>369</v>
      </c>
      <c r="AG840" s="1193">
        <v>1</v>
      </c>
      <c r="AH840" s="1193">
        <v>4</v>
      </c>
      <c r="AI840" s="1193">
        <v>0</v>
      </c>
      <c r="AJ840" s="1193">
        <f>VLOOKUP($I840,'Price List, Weapons &amp; Items'!B:F,5,0)</f>
        <v>0</v>
      </c>
      <c r="AK840" s="1193">
        <f t="shared" si="186"/>
        <v>0</v>
      </c>
      <c r="AL840" s="1193">
        <f t="shared" si="187"/>
        <v>0</v>
      </c>
      <c r="AM840" s="1193">
        <f t="shared" si="188"/>
        <v>0</v>
      </c>
      <c r="AN840" s="1194" t="str">
        <f>VLOOKUP($I840,'Price List, Weapons &amp; Items'!B:L,COLUMN('Price List, Weapons &amp; Items'!$J$11)-1,0)</f>
        <v>.</v>
      </c>
      <c r="AO840" s="1194" t="str">
        <f>IF(I840=".",".",VLOOKUP($I840,'Price List, Weapons &amp; Items'!B:J,3,0))</f>
        <v>.</v>
      </c>
      <c r="AP840" s="1195" t="str">
        <f t="shared" ca="1" si="182"/>
        <v>.</v>
      </c>
      <c r="AQ840" s="1194">
        <f>VLOOKUP($I840,'Price List, Weapons &amp; Items'!B:L,COLUMN('Price List, Weapons &amp; Items'!$L$11)-1,0)</f>
        <v>0</v>
      </c>
      <c r="AR840" s="1194">
        <f t="shared" si="189"/>
        <v>1</v>
      </c>
      <c r="AS840" s="1194">
        <f t="shared" si="190"/>
        <v>0</v>
      </c>
      <c r="AT840" s="1194">
        <f t="shared" si="191"/>
        <v>1</v>
      </c>
      <c r="AU840" s="1194" t="str">
        <f t="shared" si="192"/>
        <v>.</v>
      </c>
      <c r="AV840" s="1194" t="str">
        <f t="shared" si="183"/>
        <v>.</v>
      </c>
      <c r="AW840" s="1194" t="str">
        <f t="shared" si="193"/>
        <v>.</v>
      </c>
      <c r="AX840" s="1194">
        <f>IFERROR(VLOOKUP(B840,'Share, Heavy Weapons to Ukraine'!B:Z,COLUMN('Share, Heavy Weapons to Ukraine'!C850)-1,0),0)</f>
        <v>0</v>
      </c>
      <c r="AY840" s="1194">
        <f>VLOOKUP('Bilateral Assistance, MAIN DATA'!B840,'Country Summary (€)'!B:F,COLUMN('Country Summary (€)'!C851)-1,FALSE)</f>
        <v>0</v>
      </c>
      <c r="AZ840" s="1194" t="str">
        <f>IF(AND(AD840=1,D840="Military",H840&lt;&gt;"Not given")=TRUE,IF(SUMIFS(P:P,A:A,A840)&gt;0,ABS((SUMIFS(P:P,A:A,A840)/VLOOKUP("USD",'Exchange Rates'!B:C,2,0)))/S840,"."),".")</f>
        <v>.</v>
      </c>
      <c r="BA840" s="1196" t="str">
        <f>IF(AND(AD840=1,D840="Military",H840&lt;&gt;"Not given")=TRUE,IF(SUMIFS(P:P,A:A,A840)&gt;0,IF((ABS((SUMIFS(P:P,A:A,A840)/VLOOKUP("USD",'Exchange Rates'!B:C,2,0)))/S840)&gt;1,(SUMIFS(P:P,A:A,A840)-S840)/S840,(S840-SUMIFS(P:P,A:A,A840))/SUMIFS(P:P,A:A,A840)),"."),".")</f>
        <v>.</v>
      </c>
    </row>
    <row r="841" spans="1:71" ht="15.95" customHeight="1">
      <c r="A841" s="1180" t="s">
        <v>2374</v>
      </c>
      <c r="B841" s="1180" t="s">
        <v>2312</v>
      </c>
      <c r="C841" s="1181">
        <v>44700</v>
      </c>
      <c r="D841" s="1182" t="s">
        <v>544</v>
      </c>
      <c r="E841" s="1182" t="s">
        <v>714</v>
      </c>
      <c r="F841" s="1183" t="s">
        <v>2375</v>
      </c>
      <c r="G841" s="1184" t="s">
        <v>456</v>
      </c>
      <c r="H841" s="1185">
        <v>300000000</v>
      </c>
      <c r="I841" s="1180" t="s">
        <v>364</v>
      </c>
      <c r="J841" s="1186" t="str">
        <f>VLOOKUP($I841,'Price List, Weapons &amp; Items'!B:C,2,0)</f>
        <v>.</v>
      </c>
      <c r="K841" s="1186" t="str">
        <f>IF(I841=".",I841,VLOOKUP($I841,'Price List, Weapons &amp; Items'!B:D,3,0))</f>
        <v>.</v>
      </c>
      <c r="L841" s="1187">
        <f>VLOOKUP(I841,'Price List, Weapons &amp; Items'!B:E,4,0)</f>
        <v>0</v>
      </c>
      <c r="M841" s="1188" t="s">
        <v>364</v>
      </c>
      <c r="N841" s="1188" t="s">
        <v>364</v>
      </c>
      <c r="O841" s="1188" t="str">
        <f>VLOOKUP($I841,'Price List, Weapons &amp; Items'!B:G,6,0)</f>
        <v>.</v>
      </c>
      <c r="P841" s="1185" t="str">
        <f t="shared" si="184"/>
        <v>.</v>
      </c>
      <c r="Q841" s="1185" t="str">
        <f t="shared" si="185"/>
        <v>.</v>
      </c>
      <c r="R841" s="1185">
        <f t="shared" si="181"/>
        <v>300000000</v>
      </c>
      <c r="S841" s="1185">
        <f>IF(AND(AD841=1,R841&lt;&gt;".")=TRUE,R841/VLOOKUP(G841,'Exchange Rates'!B:C,2,0),IF(R841=".",".",""))</f>
        <v>276039749.72396028</v>
      </c>
      <c r="T841" s="1185" t="str">
        <f>IF(AD841=1,IF(AF841="Value is not given at all",".",IF(AF841="Value is given by the source",S841,IF(AF841="Value is calculated with prices",(IF(SUMIFS(Q:Q,A:A,A841)&gt;0,SUMIFS(Q:Q,A:A,A841),"."))/VLOOKUP("USD",'Exchange Rates'!B:C,2,0),"Error with coding"))),"")</f>
        <v>.</v>
      </c>
      <c r="U841" s="1184" t="s">
        <v>675</v>
      </c>
      <c r="V841" s="971" t="s">
        <v>2376</v>
      </c>
      <c r="W841" s="971" t="s">
        <v>2377</v>
      </c>
      <c r="X841" s="971" t="s">
        <v>2378</v>
      </c>
      <c r="Y841" s="1190" t="s">
        <v>364</v>
      </c>
      <c r="Z841" s="1184">
        <v>1</v>
      </c>
      <c r="AA841" s="1194">
        <v>0</v>
      </c>
      <c r="AB841" s="1180" t="s">
        <v>364</v>
      </c>
      <c r="AC841" s="1192" t="str">
        <f>""</f>
        <v/>
      </c>
      <c r="AD841" s="1193">
        <v>1</v>
      </c>
      <c r="AE841" s="1193" t="s">
        <v>368</v>
      </c>
      <c r="AF841" s="1193" t="s">
        <v>369</v>
      </c>
      <c r="AG841" s="1193">
        <v>1</v>
      </c>
      <c r="AH841" s="1193">
        <v>5</v>
      </c>
      <c r="AI841" s="1193">
        <v>0</v>
      </c>
      <c r="AJ841" s="1193">
        <f>VLOOKUP($I841,'Price List, Weapons &amp; Items'!B:F,5,0)</f>
        <v>0</v>
      </c>
      <c r="AK841" s="1193">
        <f t="shared" si="186"/>
        <v>0</v>
      </c>
      <c r="AL841" s="1193">
        <f t="shared" si="187"/>
        <v>0</v>
      </c>
      <c r="AM841" s="1193">
        <f t="shared" si="188"/>
        <v>0</v>
      </c>
      <c r="AN841" s="1194" t="str">
        <f>VLOOKUP($I841,'Price List, Weapons &amp; Items'!B:L,COLUMN('Price List, Weapons &amp; Items'!$J$11)-1,0)</f>
        <v>.</v>
      </c>
      <c r="AO841" s="1194" t="str">
        <f>IF(I841=".",".",VLOOKUP($I841,'Price List, Weapons &amp; Items'!B:J,3,0))</f>
        <v>.</v>
      </c>
      <c r="AP841" s="1195" t="str">
        <f t="shared" ca="1" si="182"/>
        <v>.</v>
      </c>
      <c r="AQ841" s="1194">
        <f>VLOOKUP($I841,'Price List, Weapons &amp; Items'!B:L,COLUMN('Price List, Weapons &amp; Items'!$L$11)-1,0)</f>
        <v>0</v>
      </c>
      <c r="AR841" s="1194">
        <f t="shared" si="189"/>
        <v>0</v>
      </c>
      <c r="AS841" s="1194">
        <f t="shared" si="190"/>
        <v>0</v>
      </c>
      <c r="AT841" s="1194">
        <f t="shared" si="191"/>
        <v>1</v>
      </c>
      <c r="AU841" s="1194" t="str">
        <f t="shared" si="192"/>
        <v>.</v>
      </c>
      <c r="AV841" s="1194" t="str">
        <f t="shared" si="183"/>
        <v>.</v>
      </c>
      <c r="AW841" s="1194" t="str">
        <f t="shared" si="193"/>
        <v>.</v>
      </c>
      <c r="AX841" s="1194">
        <f>IFERROR(VLOOKUP(B841,'Share, Heavy Weapons to Ukraine'!B:Z,COLUMN('Share, Heavy Weapons to Ukraine'!C851)-1,0),0)</f>
        <v>0</v>
      </c>
      <c r="AY841" s="1194">
        <f>VLOOKUP('Bilateral Assistance, MAIN DATA'!B841,'Country Summary (€)'!B:F,COLUMN('Country Summary (€)'!C852)-1,FALSE)</f>
        <v>0</v>
      </c>
      <c r="AZ841" s="1194" t="str">
        <f>IF(AND(AD841=1,D841="Military",H841&lt;&gt;"Not given")=TRUE,IF(SUMIFS(P:P,A:A,A841)&gt;0,ABS((SUMIFS(P:P,A:A,A841)/VLOOKUP("USD",'Exchange Rates'!B:C,2,0)))/S841,"."),".")</f>
        <v>.</v>
      </c>
      <c r="BA841" s="1196" t="str">
        <f>IF(AND(AD841=1,D841="Military",H841&lt;&gt;"Not given")=TRUE,IF(SUMIFS(P:P,A:A,A841)&gt;0,IF((ABS((SUMIFS(P:P,A:A,A841)/VLOOKUP("USD",'Exchange Rates'!B:C,2,0)))/S841)&gt;1,(SUMIFS(P:P,A:A,A841)-S841)/S841,(S841-SUMIFS(P:P,A:A,A841))/SUMIFS(P:P,A:A,A841)),"."),".")</f>
        <v>.</v>
      </c>
    </row>
    <row r="842" spans="1:71" ht="15.95" customHeight="1">
      <c r="A842" s="1208" t="s">
        <v>2379</v>
      </c>
      <c r="B842" s="1208" t="s">
        <v>2312</v>
      </c>
      <c r="C842" s="1209">
        <v>44971</v>
      </c>
      <c r="D842" s="1208" t="s">
        <v>544</v>
      </c>
      <c r="E842" s="1208" t="s">
        <v>481</v>
      </c>
      <c r="F842" s="1208" t="s">
        <v>2380</v>
      </c>
      <c r="G842" s="1184" t="s">
        <v>456</v>
      </c>
      <c r="H842" s="1210">
        <v>550000</v>
      </c>
      <c r="I842" s="1208" t="s">
        <v>364</v>
      </c>
      <c r="J842" s="1186" t="str">
        <f>VLOOKUP($I842,'Price List, Weapons &amp; Items'!B:C,2,0)</f>
        <v>.</v>
      </c>
      <c r="K842" s="1186" t="str">
        <f>IF(I842=".",I842,VLOOKUP($I842,'Price List, Weapons &amp; Items'!B:D,3,0))</f>
        <v>.</v>
      </c>
      <c r="L842" s="1187">
        <f>VLOOKUP(I842,'Price List, Weapons &amp; Items'!B:E,4,0)</f>
        <v>0</v>
      </c>
      <c r="M842" s="1241" t="s">
        <v>364</v>
      </c>
      <c r="N842" s="1211" t="s">
        <v>364</v>
      </c>
      <c r="O842" s="1188" t="str">
        <f>VLOOKUP($I842,'Price List, Weapons &amp; Items'!B:G,6,0)</f>
        <v>.</v>
      </c>
      <c r="P842" s="1185" t="str">
        <f t="shared" si="184"/>
        <v>.</v>
      </c>
      <c r="Q842" s="1185" t="str">
        <f t="shared" si="185"/>
        <v>.</v>
      </c>
      <c r="R842" s="1185">
        <f t="shared" si="181"/>
        <v>550000</v>
      </c>
      <c r="S842" s="1185">
        <f>IF(AND(AD842=1,R842&lt;&gt;".")=TRUE,R842/VLOOKUP(G842,'Exchange Rates'!B:C,2,0),IF(R842=".",".",""))</f>
        <v>506072.87449392711</v>
      </c>
      <c r="T842" s="1185" t="str">
        <f>IF(AD842=1,IF(AF842="Value is not given at all",".",IF(AF842="Value is given by the source",S842,IF(AF842="Value is calculated with prices",(IF(SUMIFS(Q:Q,A:A,A842)&gt;0,SUMIFS(Q:Q,A:A,A842),"."))/VLOOKUP("USD",'Exchange Rates'!B:C,2,0),"Error with coding"))),"")</f>
        <v>.</v>
      </c>
      <c r="U842" s="1191" t="s">
        <v>365</v>
      </c>
      <c r="V842" s="983" t="s">
        <v>2381</v>
      </c>
      <c r="W842" s="983" t="s">
        <v>2314</v>
      </c>
      <c r="X842" s="1208" t="s">
        <v>364</v>
      </c>
      <c r="Y842" s="1208" t="s">
        <v>364</v>
      </c>
      <c r="Z842" s="1191">
        <v>0</v>
      </c>
      <c r="AA842" s="1191">
        <v>0</v>
      </c>
      <c r="AB842" s="1208" t="s">
        <v>364</v>
      </c>
      <c r="AC842" s="1192" t="str">
        <f>""</f>
        <v/>
      </c>
      <c r="AD842" s="1191">
        <v>1</v>
      </c>
      <c r="AE842" s="1191" t="s">
        <v>368</v>
      </c>
      <c r="AF842" s="1191" t="s">
        <v>369</v>
      </c>
      <c r="AG842" s="1191">
        <v>1</v>
      </c>
      <c r="AH842" s="1191">
        <v>14</v>
      </c>
      <c r="AI842" s="1191">
        <v>0</v>
      </c>
      <c r="AJ842" s="1193">
        <f>VLOOKUP($I842,'Price List, Weapons &amp; Items'!B:F,5,0)</f>
        <v>0</v>
      </c>
      <c r="AK842" s="1193">
        <f t="shared" si="186"/>
        <v>0</v>
      </c>
      <c r="AL842" s="1193">
        <f t="shared" si="187"/>
        <v>0</v>
      </c>
      <c r="AM842" s="1193">
        <f t="shared" si="188"/>
        <v>0</v>
      </c>
      <c r="AN842" s="1194" t="str">
        <f>VLOOKUP($I842,'Price List, Weapons &amp; Items'!B:L,COLUMN('Price List, Weapons &amp; Items'!$J$11)-1,0)</f>
        <v>.</v>
      </c>
      <c r="AO842" s="1194" t="str">
        <f>IF(I842=".",".",VLOOKUP($I842,'Price List, Weapons &amp; Items'!B:J,3,0))</f>
        <v>.</v>
      </c>
      <c r="AP842" s="1195" t="str">
        <f t="shared" ca="1" si="182"/>
        <v>.</v>
      </c>
      <c r="AQ842" s="1194">
        <f>VLOOKUP($I842,'Price List, Weapons &amp; Items'!B:L,COLUMN('Price List, Weapons &amp; Items'!$L$11)-1,0)</f>
        <v>0</v>
      </c>
      <c r="AR842" s="1194">
        <f t="shared" si="189"/>
        <v>1</v>
      </c>
      <c r="AS842" s="1194">
        <f t="shared" si="190"/>
        <v>0</v>
      </c>
      <c r="AT842" s="1194">
        <f t="shared" si="191"/>
        <v>1</v>
      </c>
      <c r="AU842" s="1194" t="str">
        <f t="shared" si="192"/>
        <v>.</v>
      </c>
      <c r="AV842" s="1194" t="str">
        <f t="shared" si="183"/>
        <v>.</v>
      </c>
      <c r="AW842" s="1194" t="str">
        <f t="shared" si="193"/>
        <v>.</v>
      </c>
      <c r="AX842" s="1194">
        <f>IFERROR(VLOOKUP(B842,'Share, Heavy Weapons to Ukraine'!B:Z,COLUMN('Share, Heavy Weapons to Ukraine'!C852)-1,0),0)</f>
        <v>0</v>
      </c>
      <c r="AY842" s="1194">
        <f>VLOOKUP('Bilateral Assistance, MAIN DATA'!B842,'Country Summary (€)'!B:F,COLUMN('Country Summary (€)'!C853)-1,FALSE)</f>
        <v>0</v>
      </c>
      <c r="AZ842" s="1194" t="str">
        <f>IF(AND(AD842=1,D842="Military",H842&lt;&gt;"Not given")=TRUE,IF(SUMIFS(P:P,A:A,A842)&gt;0,ABS((SUMIFS(P:P,A:A,A842)/VLOOKUP("USD",'Exchange Rates'!B:C,2,0)))/S842,"."),".")</f>
        <v>.</v>
      </c>
      <c r="BA842" s="1196" t="str">
        <f>IF(AND(AD842=1,D842="Military",H842&lt;&gt;"Not given")=TRUE,IF(SUMIFS(P:P,A:A,A842)&gt;0,IF((ABS((SUMIFS(P:P,A:A,A842)/VLOOKUP("USD",'Exchange Rates'!B:C,2,0)))/S842)&gt;1,(SUMIFS(P:P,A:A,A842)-S842)/S842,(S842-SUMIFS(P:P,A:A,A842))/SUMIFS(P:P,A:A,A842)),"."),".")</f>
        <v>.</v>
      </c>
      <c r="BB842" s="1208" t="s">
        <v>38</v>
      </c>
      <c r="BC842" s="1208" t="s">
        <v>38</v>
      </c>
      <c r="BD842" s="1208" t="s">
        <v>38</v>
      </c>
      <c r="BE842" s="1208" t="s">
        <v>38</v>
      </c>
      <c r="BF842" s="1208" t="s">
        <v>38</v>
      </c>
      <c r="BG842" s="1208" t="s">
        <v>38</v>
      </c>
      <c r="BH842" s="1208" t="s">
        <v>38</v>
      </c>
      <c r="BI842" s="1208" t="s">
        <v>38</v>
      </c>
      <c r="BJ842" s="1208" t="s">
        <v>38</v>
      </c>
      <c r="BK842" s="1208" t="s">
        <v>38</v>
      </c>
      <c r="BL842" s="1208" t="s">
        <v>38</v>
      </c>
      <c r="BM842" s="1208" t="s">
        <v>38</v>
      </c>
      <c r="BN842" s="1208" t="s">
        <v>38</v>
      </c>
      <c r="BO842" s="1208" t="s">
        <v>38</v>
      </c>
      <c r="BP842" s="1208" t="s">
        <v>38</v>
      </c>
      <c r="BQ842" s="1208" t="s">
        <v>38</v>
      </c>
      <c r="BR842" s="1208" t="s">
        <v>38</v>
      </c>
      <c r="BS842" s="1208" t="s">
        <v>38</v>
      </c>
    </row>
    <row r="843" spans="1:71" ht="15.95" customHeight="1">
      <c r="A843" s="1208" t="s">
        <v>2382</v>
      </c>
      <c r="B843" s="1208" t="s">
        <v>2312</v>
      </c>
      <c r="C843" s="1209">
        <v>44978</v>
      </c>
      <c r="D843" s="1208" t="s">
        <v>544</v>
      </c>
      <c r="E843" s="1208" t="s">
        <v>714</v>
      </c>
      <c r="F843" s="1208" t="s">
        <v>2383</v>
      </c>
      <c r="G843" s="1184" t="s">
        <v>456</v>
      </c>
      <c r="H843" s="1210">
        <v>5000000000</v>
      </c>
      <c r="I843" s="1208" t="s">
        <v>364</v>
      </c>
      <c r="J843" s="1186" t="str">
        <f>VLOOKUP($I843,'Price List, Weapons &amp; Items'!B:C,2,0)</f>
        <v>.</v>
      </c>
      <c r="K843" s="1186" t="str">
        <f>IF(I843=".",I843,VLOOKUP($I843,'Price List, Weapons &amp; Items'!B:D,3,0))</f>
        <v>.</v>
      </c>
      <c r="L843" s="1187">
        <f>VLOOKUP(I843,'Price List, Weapons &amp; Items'!B:E,4,0)</f>
        <v>0</v>
      </c>
      <c r="M843" s="1241" t="s">
        <v>364</v>
      </c>
      <c r="N843" s="1211" t="s">
        <v>364</v>
      </c>
      <c r="O843" s="1188" t="str">
        <f>VLOOKUP($I843,'Price List, Weapons &amp; Items'!B:G,6,0)</f>
        <v>.</v>
      </c>
      <c r="P843" s="1185" t="str">
        <f t="shared" si="184"/>
        <v>.</v>
      </c>
      <c r="Q843" s="1185" t="str">
        <f t="shared" si="185"/>
        <v>.</v>
      </c>
      <c r="R843" s="1185">
        <f t="shared" si="181"/>
        <v>5000000000</v>
      </c>
      <c r="S843" s="1185">
        <f>IF(AND(AD843=1,R843&lt;&gt;".")=TRUE,R843/VLOOKUP(G843,'Exchange Rates'!B:C,2,0),IF(R843=".",".",""))</f>
        <v>4600662495.3993378</v>
      </c>
      <c r="T843" s="1185" t="str">
        <f>IF(AD843=1,IF(AF843="Value is not given at all",".",IF(AF843="Value is given by the source",S843,IF(AF843="Value is calculated with prices",(IF(SUMIFS(Q:Q,A:A,A843)&gt;0,SUMIFS(Q:Q,A:A,A843),"."))/VLOOKUP("USD",'Exchange Rates'!B:C,2,0),"Error with coding"))),"")</f>
        <v>.</v>
      </c>
      <c r="U843" s="1191" t="s">
        <v>365</v>
      </c>
      <c r="V843" s="983" t="s">
        <v>2384</v>
      </c>
      <c r="W843" s="964" t="s">
        <v>2314</v>
      </c>
      <c r="X843" s="983" t="s">
        <v>2385</v>
      </c>
      <c r="Y843" s="966" t="s">
        <v>2386</v>
      </c>
      <c r="Z843" s="1191">
        <v>1</v>
      </c>
      <c r="AA843" s="1191">
        <v>0</v>
      </c>
      <c r="AB843" s="1208" t="s">
        <v>364</v>
      </c>
      <c r="AC843" s="1192" t="str">
        <f>""</f>
        <v/>
      </c>
      <c r="AD843" s="1191">
        <v>1</v>
      </c>
      <c r="AE843" s="1191" t="s">
        <v>368</v>
      </c>
      <c r="AF843" s="1191" t="s">
        <v>369</v>
      </c>
      <c r="AG843" s="1191">
        <v>1</v>
      </c>
      <c r="AH843" s="1191">
        <v>14</v>
      </c>
      <c r="AI843" s="1191">
        <v>0</v>
      </c>
      <c r="AJ843" s="1193">
        <f>VLOOKUP($I843,'Price List, Weapons &amp; Items'!B:F,5,0)</f>
        <v>0</v>
      </c>
      <c r="AK843" s="1193">
        <f t="shared" si="186"/>
        <v>0</v>
      </c>
      <c r="AL843" s="1193">
        <f t="shared" si="187"/>
        <v>0</v>
      </c>
      <c r="AM843" s="1193">
        <f t="shared" si="188"/>
        <v>0</v>
      </c>
      <c r="AN843" s="1194" t="str">
        <f>VLOOKUP($I843,'Price List, Weapons &amp; Items'!B:L,COLUMN('Price List, Weapons &amp; Items'!$J$11)-1,0)</f>
        <v>.</v>
      </c>
      <c r="AO843" s="1194" t="str">
        <f>IF(I843=".",".",VLOOKUP($I843,'Price List, Weapons &amp; Items'!B:J,3,0))</f>
        <v>.</v>
      </c>
      <c r="AP843" s="1195" t="str">
        <f t="shared" ca="1" si="182"/>
        <v>.</v>
      </c>
      <c r="AQ843" s="1194">
        <f>VLOOKUP($I843,'Price List, Weapons &amp; Items'!B:L,COLUMN('Price List, Weapons &amp; Items'!$L$11)-1,0)</f>
        <v>0</v>
      </c>
      <c r="AR843" s="1194">
        <f t="shared" si="189"/>
        <v>1</v>
      </c>
      <c r="AS843" s="1194">
        <f t="shared" si="190"/>
        <v>0</v>
      </c>
      <c r="AT843" s="1194">
        <f t="shared" si="191"/>
        <v>1</v>
      </c>
      <c r="AU843" s="1194" t="str">
        <f t="shared" si="192"/>
        <v>.</v>
      </c>
      <c r="AV843" s="1194" t="str">
        <f t="shared" si="183"/>
        <v>.</v>
      </c>
      <c r="AW843" s="1194" t="str">
        <f t="shared" si="193"/>
        <v>.</v>
      </c>
      <c r="AX843" s="1194">
        <f>IFERROR(VLOOKUP(B843,'Share, Heavy Weapons to Ukraine'!B:Z,COLUMN('Share, Heavy Weapons to Ukraine'!C853)-1,0),0)</f>
        <v>0</v>
      </c>
      <c r="AY843" s="1194">
        <f>VLOOKUP('Bilateral Assistance, MAIN DATA'!B843,'Country Summary (€)'!B:F,COLUMN('Country Summary (€)'!C854)-1,FALSE)</f>
        <v>0</v>
      </c>
      <c r="AZ843" s="1194" t="str">
        <f>IF(AND(AD843=1,D843="Military",H843&lt;&gt;"Not given")=TRUE,IF(SUMIFS(P:P,A:A,A843)&gt;0,ABS((SUMIFS(P:P,A:A,A843)/VLOOKUP("USD",'Exchange Rates'!B:C,2,0)))/S843,"."),".")</f>
        <v>.</v>
      </c>
      <c r="BA843" s="1196" t="str">
        <f>IF(AND(AD843=1,D843="Military",H843&lt;&gt;"Not given")=TRUE,IF(SUMIFS(P:P,A:A,A843)&gt;0,IF((ABS((SUMIFS(P:P,A:A,A843)/VLOOKUP("USD",'Exchange Rates'!B:C,2,0)))/S843)&gt;1,(SUMIFS(P:P,A:A,A843)-S843)/S843,(S843-SUMIFS(P:P,A:A,A843))/SUMIFS(P:P,A:A,A843)),"."),".")</f>
        <v>.</v>
      </c>
      <c r="BB843" s="1208" t="s">
        <v>38</v>
      </c>
      <c r="BC843" s="1208" t="s">
        <v>38</v>
      </c>
      <c r="BD843" s="1208" t="s">
        <v>38</v>
      </c>
      <c r="BE843" s="1208" t="s">
        <v>38</v>
      </c>
      <c r="BF843" s="1208" t="s">
        <v>38</v>
      </c>
      <c r="BG843" s="1208" t="s">
        <v>38</v>
      </c>
      <c r="BH843" s="1208" t="s">
        <v>38</v>
      </c>
      <c r="BI843" s="1208" t="s">
        <v>38</v>
      </c>
      <c r="BJ843" s="1208" t="s">
        <v>38</v>
      </c>
      <c r="BK843" s="1208" t="s">
        <v>38</v>
      </c>
      <c r="BL843" s="1208" t="s">
        <v>38</v>
      </c>
      <c r="BM843" s="1208" t="s">
        <v>38</v>
      </c>
      <c r="BN843" s="1208" t="s">
        <v>38</v>
      </c>
      <c r="BO843" s="1208" t="s">
        <v>38</v>
      </c>
      <c r="BP843" s="1208" t="s">
        <v>38</v>
      </c>
      <c r="BQ843" s="1208" t="s">
        <v>38</v>
      </c>
      <c r="BR843" s="1208" t="s">
        <v>38</v>
      </c>
      <c r="BS843" s="1208" t="s">
        <v>38</v>
      </c>
    </row>
    <row r="844" spans="1:71" ht="15.95" customHeight="1">
      <c r="A844" s="1208" t="s">
        <v>2387</v>
      </c>
      <c r="B844" s="1208" t="s">
        <v>2312</v>
      </c>
      <c r="C844" s="1209">
        <v>45037</v>
      </c>
      <c r="D844" s="1208" t="s">
        <v>544</v>
      </c>
      <c r="E844" s="1208" t="s">
        <v>481</v>
      </c>
      <c r="F844" s="1208" t="s">
        <v>2388</v>
      </c>
      <c r="G844" s="1184" t="s">
        <v>456</v>
      </c>
      <c r="H844" s="1210">
        <v>471000000</v>
      </c>
      <c r="I844" s="1208" t="s">
        <v>364</v>
      </c>
      <c r="J844" s="1186" t="str">
        <f>VLOOKUP($I844,'Price List, Weapons &amp; Items'!B:C,2,0)</f>
        <v>.</v>
      </c>
      <c r="K844" s="1186" t="str">
        <f>IF(I844=".",I844,VLOOKUP($I844,'Price List, Weapons &amp; Items'!B:D,3,0))</f>
        <v>.</v>
      </c>
      <c r="L844" s="1187">
        <f>VLOOKUP(I844,'Price List, Weapons &amp; Items'!B:E,4,0)</f>
        <v>0</v>
      </c>
      <c r="M844" s="1241" t="s">
        <v>364</v>
      </c>
      <c r="N844" s="1211" t="s">
        <v>364</v>
      </c>
      <c r="O844" s="1188" t="str">
        <f>VLOOKUP($I844,'Price List, Weapons &amp; Items'!B:G,6,0)</f>
        <v>.</v>
      </c>
      <c r="P844" s="1185" t="str">
        <f t="shared" si="184"/>
        <v>.</v>
      </c>
      <c r="Q844" s="1185" t="str">
        <f t="shared" si="185"/>
        <v>.</v>
      </c>
      <c r="R844" s="1185">
        <f t="shared" si="181"/>
        <v>471000000</v>
      </c>
      <c r="S844" s="1185">
        <f>IF(AND(AD844=1,R844&lt;&gt;".")=TRUE,R844/VLOOKUP(G844,'Exchange Rates'!B:C,2,0),IF(R844=".",".",""))</f>
        <v>433382407.06661761</v>
      </c>
      <c r="T844" s="1185" t="str">
        <f>IF(AD844=1,IF(AF844="Value is not given at all",".",IF(AF844="Value is given by the source",S844,IF(AF844="Value is calculated with prices",(IF(SUMIFS(Q:Q,A:A,A844)&gt;0,SUMIFS(Q:Q,A:A,A844),"."))/VLOOKUP("USD",'Exchange Rates'!B:C,2,0),"Error with coding"))),"")</f>
        <v>.</v>
      </c>
      <c r="U844" s="1191" t="s">
        <v>365</v>
      </c>
      <c r="V844" s="983" t="s">
        <v>2389</v>
      </c>
      <c r="W844" s="983" t="s">
        <v>2314</v>
      </c>
      <c r="X844" s="966" t="s">
        <v>2390</v>
      </c>
      <c r="Y844" s="1208"/>
      <c r="Z844" s="1191">
        <v>0</v>
      </c>
      <c r="AA844" s="1191">
        <v>1</v>
      </c>
      <c r="AB844" s="1208" t="s">
        <v>364</v>
      </c>
      <c r="AC844" s="1192" t="str">
        <f>""</f>
        <v/>
      </c>
      <c r="AD844" s="1191">
        <v>1</v>
      </c>
      <c r="AE844" s="1191" t="s">
        <v>368</v>
      </c>
      <c r="AF844" s="1191" t="s">
        <v>369</v>
      </c>
      <c r="AG844" s="1191">
        <v>1</v>
      </c>
      <c r="AH844" s="1191">
        <v>16</v>
      </c>
      <c r="AI844" s="1191">
        <v>0</v>
      </c>
      <c r="AJ844" s="1193">
        <f>VLOOKUP($I844,'Price List, Weapons &amp; Items'!B:F,5,0)</f>
        <v>0</v>
      </c>
      <c r="AK844" s="1193">
        <f t="shared" si="186"/>
        <v>0</v>
      </c>
      <c r="AL844" s="1193">
        <f t="shared" si="187"/>
        <v>0</v>
      </c>
      <c r="AM844" s="1193">
        <f t="shared" si="188"/>
        <v>0</v>
      </c>
      <c r="AN844" s="1194" t="str">
        <f>VLOOKUP($I844,'Price List, Weapons &amp; Items'!B:L,COLUMN('Price List, Weapons &amp; Items'!$J$11)-1,0)</f>
        <v>.</v>
      </c>
      <c r="AO844" s="1194" t="str">
        <f>IF(I844=".",".",VLOOKUP($I844,'Price List, Weapons &amp; Items'!B:J,3,0))</f>
        <v>.</v>
      </c>
      <c r="AP844" s="1195" t="str">
        <f t="shared" ca="1" si="182"/>
        <v>.</v>
      </c>
      <c r="AQ844" s="1194">
        <f>VLOOKUP($I844,'Price List, Weapons &amp; Items'!B:L,COLUMN('Price List, Weapons &amp; Items'!$L$11)-1,0)</f>
        <v>0</v>
      </c>
      <c r="AR844" s="1194">
        <f t="shared" si="189"/>
        <v>1</v>
      </c>
      <c r="AS844" s="1194">
        <f t="shared" si="190"/>
        <v>0</v>
      </c>
      <c r="AT844" s="1194">
        <f t="shared" si="191"/>
        <v>1</v>
      </c>
      <c r="AU844" s="1194" t="str">
        <f t="shared" si="192"/>
        <v>.</v>
      </c>
      <c r="AV844" s="1194" t="str">
        <f t="shared" si="183"/>
        <v>.</v>
      </c>
      <c r="AW844" s="1194" t="str">
        <f t="shared" si="193"/>
        <v>.</v>
      </c>
      <c r="AX844" s="1194">
        <f>IFERROR(VLOOKUP(B844,'Share, Heavy Weapons to Ukraine'!B:Z,COLUMN('Share, Heavy Weapons to Ukraine'!C854)-1,0),0)</f>
        <v>0</v>
      </c>
      <c r="AY844" s="1194">
        <f>VLOOKUP('Bilateral Assistance, MAIN DATA'!B844,'Country Summary (€)'!B:F,COLUMN('Country Summary (€)'!C855)-1,FALSE)</f>
        <v>0</v>
      </c>
      <c r="AZ844" s="1194" t="str">
        <f>IF(AND(AD844=1,D844="Military",H844&lt;&gt;"Not given")=TRUE,IF(SUMIFS(P:P,A:A,A844)&gt;0,ABS((SUMIFS(P:P,A:A,A844)/VLOOKUP("USD",'Exchange Rates'!B:C,2,0)))/S844,"."),".")</f>
        <v>.</v>
      </c>
      <c r="BA844" s="1196" t="str">
        <f>IF(AND(AD844=1,D844="Military",H844&lt;&gt;"Not given")=TRUE,IF(SUMIFS(P:P,A:A,A844)&gt;0,IF((ABS((SUMIFS(P:P,A:A,A844)/VLOOKUP("USD",'Exchange Rates'!B:C,2,0)))/S844)&gt;1,(SUMIFS(P:P,A:A,A844)-S844)/S844,(S844-SUMIFS(P:P,A:A,A844))/SUMIFS(P:P,A:A,A844)),"."),".")</f>
        <v>.</v>
      </c>
      <c r="BB844" s="1208"/>
      <c r="BC844" s="1208"/>
      <c r="BD844" s="1208"/>
      <c r="BE844" s="1208"/>
      <c r="BF844" s="1208"/>
      <c r="BG844" s="1208"/>
      <c r="BH844" s="1208"/>
      <c r="BI844" s="1208"/>
      <c r="BJ844" s="1208"/>
      <c r="BK844" s="1208"/>
      <c r="BL844" s="1208"/>
      <c r="BM844" s="1208"/>
      <c r="BN844" s="1208"/>
      <c r="BO844" s="1208"/>
      <c r="BP844" s="1208"/>
      <c r="BQ844" s="1208"/>
      <c r="BR844" s="1208"/>
      <c r="BS844" s="1208"/>
    </row>
    <row r="845" spans="1:71" ht="15.95" customHeight="1">
      <c r="A845" s="1180" t="s">
        <v>2391</v>
      </c>
      <c r="B845" s="1180" t="s">
        <v>2392</v>
      </c>
      <c r="C845" s="1181">
        <v>44621</v>
      </c>
      <c r="D845" s="1182" t="s">
        <v>360</v>
      </c>
      <c r="E845" s="1182" t="s">
        <v>759</v>
      </c>
      <c r="F845" s="1001" t="s">
        <v>2393</v>
      </c>
      <c r="G845" s="1184" t="s">
        <v>483</v>
      </c>
      <c r="H845" s="1185">
        <v>560000</v>
      </c>
      <c r="I845" s="1180" t="s">
        <v>364</v>
      </c>
      <c r="J845" s="1186" t="str">
        <f>VLOOKUP($I845,'Price List, Weapons &amp; Items'!B:C,2,0)</f>
        <v>.</v>
      </c>
      <c r="K845" s="1186" t="str">
        <f>IF(I845=".",I845,VLOOKUP($I845,'Price List, Weapons &amp; Items'!B:D,3,0))</f>
        <v>.</v>
      </c>
      <c r="L845" s="1187">
        <f>VLOOKUP(I845,'Price List, Weapons &amp; Items'!B:E,4,0)</f>
        <v>0</v>
      </c>
      <c r="M845" s="1188" t="s">
        <v>364</v>
      </c>
      <c r="N845" s="1188" t="s">
        <v>364</v>
      </c>
      <c r="O845" s="1188" t="str">
        <f>VLOOKUP($I845,'Price List, Weapons &amp; Items'!B:G,6,0)</f>
        <v>.</v>
      </c>
      <c r="P845" s="1185" t="str">
        <f t="shared" si="184"/>
        <v>.</v>
      </c>
      <c r="Q845" s="1185" t="str">
        <f t="shared" si="185"/>
        <v>.</v>
      </c>
      <c r="R845" s="1185">
        <f t="shared" si="181"/>
        <v>560000</v>
      </c>
      <c r="S845" s="1185">
        <f>IF(AND(AD845=1,R845&lt;&gt;".")=TRUE,R845/VLOOKUP(G845,'Exchange Rates'!B:C,2,0),IF(R845=".",".",""))</f>
        <v>560000</v>
      </c>
      <c r="T845" s="1185" t="str">
        <f>IF(AD845=1,IF(AF845="Value is not given at all",".",IF(AF845="Value is given by the source",S845,IF(AF845="Value is calculated with prices",(IF(SUMIFS(Q:Q,A:A,A845)&gt;0,SUMIFS(Q:Q,A:A,A845),"."))/VLOOKUP("USD",'Exchange Rates'!B:C,2,0),"Error with coding"))),"")</f>
        <v>.</v>
      </c>
      <c r="U845" s="1184" t="s">
        <v>365</v>
      </c>
      <c r="V845" s="971" t="s">
        <v>2394</v>
      </c>
      <c r="W845" s="971" t="s">
        <v>2395</v>
      </c>
      <c r="X845" s="971" t="s">
        <v>2396</v>
      </c>
      <c r="Y845" s="1029" t="s">
        <v>2397</v>
      </c>
      <c r="Z845" s="1184">
        <v>0</v>
      </c>
      <c r="AA845" s="1194">
        <v>0</v>
      </c>
      <c r="AB845" s="1201" t="s">
        <v>364</v>
      </c>
      <c r="AC845" s="1192" t="str">
        <f>""</f>
        <v/>
      </c>
      <c r="AD845" s="1193">
        <v>1</v>
      </c>
      <c r="AE845" s="1193" t="s">
        <v>368</v>
      </c>
      <c r="AF845" s="1193" t="s">
        <v>369</v>
      </c>
      <c r="AG845" s="1193">
        <v>1</v>
      </c>
      <c r="AH845" s="1193">
        <v>3</v>
      </c>
      <c r="AI845" s="1193">
        <v>0</v>
      </c>
      <c r="AJ845" s="1193">
        <f>VLOOKUP($I845,'Price List, Weapons &amp; Items'!B:F,5,0)</f>
        <v>0</v>
      </c>
      <c r="AK845" s="1193">
        <f t="shared" si="186"/>
        <v>0</v>
      </c>
      <c r="AL845" s="1193">
        <f t="shared" si="187"/>
        <v>0</v>
      </c>
      <c r="AM845" s="1193">
        <f t="shared" si="188"/>
        <v>0</v>
      </c>
      <c r="AN845" s="1194" t="str">
        <f>VLOOKUP($I845,'Price List, Weapons &amp; Items'!B:L,COLUMN('Price List, Weapons &amp; Items'!$J$11)-1,0)</f>
        <v>.</v>
      </c>
      <c r="AO845" s="1194" t="str">
        <f>IF(I845=".",".",VLOOKUP($I845,'Price List, Weapons &amp; Items'!B:J,3,0))</f>
        <v>.</v>
      </c>
      <c r="AP845" s="1195" t="str">
        <f t="shared" ca="1" si="182"/>
        <v>.</v>
      </c>
      <c r="AQ845" s="1194">
        <f>VLOOKUP($I845,'Price List, Weapons &amp; Items'!B:L,COLUMN('Price List, Weapons &amp; Items'!$L$11)-1,0)</f>
        <v>0</v>
      </c>
      <c r="AR845" s="1194">
        <f t="shared" si="189"/>
        <v>1</v>
      </c>
      <c r="AS845" s="1194">
        <f t="shared" si="190"/>
        <v>0</v>
      </c>
      <c r="AT845" s="1194">
        <f t="shared" si="191"/>
        <v>1</v>
      </c>
      <c r="AU845" s="1194" t="str">
        <f t="shared" si="192"/>
        <v>.</v>
      </c>
      <c r="AV845" s="1194" t="str">
        <f t="shared" si="183"/>
        <v>.</v>
      </c>
      <c r="AW845" s="1194" t="str">
        <f t="shared" si="193"/>
        <v>.</v>
      </c>
      <c r="AX845" s="1194">
        <f>IFERROR(VLOOKUP(B845,'Share, Heavy Weapons to Ukraine'!B:Z,COLUMN('Share, Heavy Weapons to Ukraine'!C855)-1,0),0)</f>
        <v>0</v>
      </c>
      <c r="AY845" s="1194">
        <f>VLOOKUP('Bilateral Assistance, MAIN DATA'!B845,'Country Summary (€)'!B:F,COLUMN('Country Summary (€)'!C856)-1,FALSE)</f>
        <v>1</v>
      </c>
      <c r="AZ845" s="1194" t="str">
        <f>IF(AND(AD845=1,D845="Military",H845&lt;&gt;"Not given")=TRUE,IF(SUMIFS(P:P,A:A,A845)&gt;0,ABS((SUMIFS(P:P,A:A,A845)/VLOOKUP("USD",'Exchange Rates'!B:C,2,0)))/S845,"."),".")</f>
        <v>.</v>
      </c>
      <c r="BA845" s="1196" t="str">
        <f>IF(AND(AD845=1,D845="Military",H845&lt;&gt;"Not given")=TRUE,IF(SUMIFS(P:P,A:A,A845)&gt;0,IF((ABS((SUMIFS(P:P,A:A,A845)/VLOOKUP("USD",'Exchange Rates'!B:C,2,0)))/S845)&gt;1,(SUMIFS(P:P,A:A,A845)-S845)/S845,(S845-SUMIFS(P:P,A:A,A845))/SUMIFS(P:P,A:A,A845)),"."),".")</f>
        <v>.</v>
      </c>
    </row>
    <row r="846" spans="1:71" ht="15.95" customHeight="1">
      <c r="A846" s="1182" t="s">
        <v>2398</v>
      </c>
      <c r="B846" s="1182" t="s">
        <v>2392</v>
      </c>
      <c r="C846" s="1181">
        <v>44649</v>
      </c>
      <c r="D846" s="1182" t="s">
        <v>360</v>
      </c>
      <c r="E846" s="1182" t="s">
        <v>371</v>
      </c>
      <c r="F846" s="1001" t="s">
        <v>2399</v>
      </c>
      <c r="G846" s="1184" t="s">
        <v>483</v>
      </c>
      <c r="H846" s="1185">
        <v>167417</v>
      </c>
      <c r="I846" s="1180" t="s">
        <v>2400</v>
      </c>
      <c r="J846" s="1186" t="str">
        <f>VLOOKUP($I846,'Price List, Weapons &amp; Items'!B:C,2,0)</f>
        <v>Humanitarian</v>
      </c>
      <c r="K846" s="1186" t="str">
        <f>IF(I846=".",I846,VLOOKUP($I846,'Price List, Weapons &amp; Items'!B:D,3,0))</f>
        <v>Humanitarian</v>
      </c>
      <c r="L846" s="1187">
        <f>VLOOKUP(I846,'Price List, Weapons &amp; Items'!B:E,4,0)</f>
        <v>0</v>
      </c>
      <c r="M846" s="1188">
        <v>2</v>
      </c>
      <c r="N846" s="1188">
        <v>2</v>
      </c>
      <c r="O846" s="1188">
        <f>VLOOKUP($I846,'Price List, Weapons &amp; Items'!B:G,6,0)</f>
        <v>88347.31</v>
      </c>
      <c r="P846" s="1185">
        <f t="shared" si="184"/>
        <v>176694.62</v>
      </c>
      <c r="Q846" s="1185">
        <f t="shared" si="185"/>
        <v>176694.62</v>
      </c>
      <c r="R846" s="1185">
        <f t="shared" si="181"/>
        <v>167417</v>
      </c>
      <c r="S846" s="1185">
        <f>IF(AND(AD846=1,R846&lt;&gt;".")=TRUE,R846/VLOOKUP(G846,'Exchange Rates'!B:C,2,0),IF(R846=".",".",""))</f>
        <v>167417</v>
      </c>
      <c r="T846" s="1185" t="str">
        <f>IF(AD846=1,IF(AF846="Value is not given at all",".",IF(AF846="Value is given by the source",S846,IF(AF846="Value is calculated with prices",(IF(SUMIFS(Q:Q,A:A,A846)&gt;0,SUMIFS(Q:Q,A:A,A846),"."))/VLOOKUP("USD",'Exchange Rates'!B:C,2,0),"Error with coding"))),"")</f>
        <v>.</v>
      </c>
      <c r="U846" s="1184" t="s">
        <v>365</v>
      </c>
      <c r="V846" s="974" t="s">
        <v>2401</v>
      </c>
      <c r="W846" s="976" t="s">
        <v>2402</v>
      </c>
      <c r="X846" s="1183" t="s">
        <v>364</v>
      </c>
      <c r="Y846" s="1183" t="s">
        <v>364</v>
      </c>
      <c r="Z846" s="1184">
        <v>0</v>
      </c>
      <c r="AA846" s="1194">
        <v>0</v>
      </c>
      <c r="AB846" s="1201" t="s">
        <v>364</v>
      </c>
      <c r="AC846" s="1192" t="str">
        <f>""</f>
        <v/>
      </c>
      <c r="AD846" s="1193">
        <v>1</v>
      </c>
      <c r="AE846" s="1193" t="s">
        <v>368</v>
      </c>
      <c r="AF846" s="1193" t="s">
        <v>369</v>
      </c>
      <c r="AG846" s="1193">
        <v>1</v>
      </c>
      <c r="AH846" s="1193">
        <v>3</v>
      </c>
      <c r="AI846" s="1193">
        <v>0</v>
      </c>
      <c r="AJ846" s="1193">
        <f>VLOOKUP($I846,'Price List, Weapons &amp; Items'!B:F,5,0)</f>
        <v>0</v>
      </c>
      <c r="AK846" s="1193">
        <f t="shared" si="186"/>
        <v>0</v>
      </c>
      <c r="AL846" s="1193">
        <f t="shared" si="187"/>
        <v>0</v>
      </c>
      <c r="AM846" s="1193">
        <f t="shared" si="188"/>
        <v>0</v>
      </c>
      <c r="AN846" s="1194" t="str">
        <f>VLOOKUP($I846,'Price List, Weapons &amp; Items'!B:L,COLUMN('Price List, Weapons &amp; Items'!$J$11)-1,0)</f>
        <v>Government information</v>
      </c>
      <c r="AO846" s="1194" t="str">
        <f>IF(I846=".",".",VLOOKUP($I846,'Price List, Weapons &amp; Items'!B:J,3,0))</f>
        <v>Humanitarian</v>
      </c>
      <c r="AP846" s="1195" t="str">
        <f t="shared" ca="1" si="182"/>
        <v>ambulance Latvia</v>
      </c>
      <c r="AQ846" s="1194">
        <f>VLOOKUP($I846,'Price List, Weapons &amp; Items'!B:L,COLUMN('Price List, Weapons &amp; Items'!$L$11)-1,0)</f>
        <v>0</v>
      </c>
      <c r="AR846" s="1194">
        <f t="shared" si="189"/>
        <v>1</v>
      </c>
      <c r="AS846" s="1194">
        <f t="shared" si="190"/>
        <v>0</v>
      </c>
      <c r="AT846" s="1194">
        <f t="shared" si="191"/>
        <v>1</v>
      </c>
      <c r="AU846" s="1194" t="str">
        <f t="shared" si="192"/>
        <v>.</v>
      </c>
      <c r="AV846" s="1194" t="str">
        <f t="shared" si="183"/>
        <v>.</v>
      </c>
      <c r="AW846" s="1194" t="str">
        <f t="shared" si="193"/>
        <v>.</v>
      </c>
      <c r="AX846" s="1194">
        <f>IFERROR(VLOOKUP(B846,'Share, Heavy Weapons to Ukraine'!B:Z,COLUMN('Share, Heavy Weapons to Ukraine'!C856)-1,0),0)</f>
        <v>0</v>
      </c>
      <c r="AY846" s="1194">
        <f>VLOOKUP('Bilateral Assistance, MAIN DATA'!B846,'Country Summary (€)'!B:F,COLUMN('Country Summary (€)'!C857)-1,FALSE)</f>
        <v>1</v>
      </c>
      <c r="AZ846" s="1194" t="str">
        <f>IF(AND(AD846=1,D846="Military",H846&lt;&gt;"Not given")=TRUE,IF(SUMIFS(P:P,A:A,A846)&gt;0,ABS((SUMIFS(P:P,A:A,A846)/VLOOKUP("USD",'Exchange Rates'!B:C,2,0)))/S846,"."),".")</f>
        <v>.</v>
      </c>
      <c r="BA846" s="1196" t="str">
        <f>IF(AND(AD846=1,D846="Military",H846&lt;&gt;"Not given")=TRUE,IF(SUMIFS(P:P,A:A,A846)&gt;0,IF((ABS((SUMIFS(P:P,A:A,A846)/VLOOKUP("USD",'Exchange Rates'!B:C,2,0)))/S846)&gt;1,(SUMIFS(P:P,A:A,A846)-S846)/S846,(S846-SUMIFS(P:P,A:A,A846))/SUMIFS(P:P,A:A,A846)),"."),".")</f>
        <v>.</v>
      </c>
    </row>
    <row r="847" spans="1:71" ht="15.6" customHeight="1">
      <c r="A847" s="1182" t="s">
        <v>2398</v>
      </c>
      <c r="B847" s="1182" t="s">
        <v>2392</v>
      </c>
      <c r="C847" s="1181">
        <v>44649</v>
      </c>
      <c r="D847" s="1182" t="s">
        <v>360</v>
      </c>
      <c r="E847" s="1182" t="s">
        <v>371</v>
      </c>
      <c r="F847" s="1001" t="s">
        <v>2399</v>
      </c>
      <c r="G847" s="1184" t="s">
        <v>483</v>
      </c>
      <c r="H847" s="1185">
        <v>167417</v>
      </c>
      <c r="I847" s="1180" t="s">
        <v>2403</v>
      </c>
      <c r="J847" s="1186" t="str">
        <f>VLOOKUP($I847,'Price List, Weapons &amp; Items'!B:C,2,0)</f>
        <v>Humanitarian</v>
      </c>
      <c r="K847" s="1186" t="str">
        <f>IF(I847=".",I847,VLOOKUP($I847,'Price List, Weapons &amp; Items'!B:D,3,0))</f>
        <v>Humanitarian</v>
      </c>
      <c r="L847" s="1187">
        <f>VLOOKUP(I847,'Price List, Weapons &amp; Items'!B:E,4,0)</f>
        <v>0</v>
      </c>
      <c r="M847" s="1188">
        <v>200</v>
      </c>
      <c r="N847" s="1188">
        <v>200</v>
      </c>
      <c r="O847" s="1188">
        <f>VLOOKUP($I847,'Price List, Weapons &amp; Items'!B:G,6,0)</f>
        <v>31.54</v>
      </c>
      <c r="P847" s="1185">
        <f t="shared" si="184"/>
        <v>6308</v>
      </c>
      <c r="Q847" s="1185">
        <f t="shared" si="185"/>
        <v>6308</v>
      </c>
      <c r="R847" s="1185" t="str">
        <f t="shared" si="181"/>
        <v/>
      </c>
      <c r="S847" s="1185" t="str">
        <f>IF(AND(AD847=1,R847&lt;&gt;".")=TRUE,R847/VLOOKUP(G847,'Exchange Rates'!B:C,2,0),IF(R847=".",".",""))</f>
        <v/>
      </c>
      <c r="T847" s="1185" t="str">
        <f>IF(AD847=1,IF(AF847="Value is not given at all",".",IF(AF847="Value is given by the source",S847,IF(AF847="Value is calculated with prices",(IF(SUMIFS(Q:Q,A:A,A847)&gt;0,SUMIFS(Q:Q,A:A,A847),"."))/VLOOKUP("USD",'Exchange Rates'!B:C,2,0),"Error with coding"))),"")</f>
        <v/>
      </c>
      <c r="U847" s="1184" t="s">
        <v>365</v>
      </c>
      <c r="V847" s="974" t="s">
        <v>2401</v>
      </c>
      <c r="W847" s="976" t="s">
        <v>2402</v>
      </c>
      <c r="X847" s="1183" t="s">
        <v>364</v>
      </c>
      <c r="Y847" s="1183" t="s">
        <v>364</v>
      </c>
      <c r="Z847" s="1184">
        <v>0</v>
      </c>
      <c r="AA847" s="1194">
        <v>0</v>
      </c>
      <c r="AB847" s="1201" t="s">
        <v>364</v>
      </c>
      <c r="AC847" s="1192" t="str">
        <f>""</f>
        <v/>
      </c>
      <c r="AD847" s="1193">
        <v>0</v>
      </c>
      <c r="AE847" s="1193" t="s">
        <v>368</v>
      </c>
      <c r="AF847" s="1193" t="s">
        <v>369</v>
      </c>
      <c r="AG847" s="1193">
        <v>1</v>
      </c>
      <c r="AH847" s="1193">
        <v>3</v>
      </c>
      <c r="AI847" s="1193">
        <v>0</v>
      </c>
      <c r="AJ847" s="1193">
        <f>VLOOKUP($I847,'Price List, Weapons &amp; Items'!B:F,5,0)</f>
        <v>0</v>
      </c>
      <c r="AK847" s="1193">
        <f t="shared" si="186"/>
        <v>0</v>
      </c>
      <c r="AL847" s="1193">
        <f t="shared" si="187"/>
        <v>0</v>
      </c>
      <c r="AM847" s="1193">
        <f t="shared" si="188"/>
        <v>0</v>
      </c>
      <c r="AN847" s="1194" t="str">
        <f>VLOOKUP($I847,'Price List, Weapons &amp; Items'!B:L,COLUMN('Price List, Weapons &amp; Items'!$J$11)-1,0)</f>
        <v>Government information</v>
      </c>
      <c r="AO847" s="1194" t="str">
        <f>IF(I847=".",".",VLOOKUP($I847,'Price List, Weapons &amp; Items'!B:J,3,0))</f>
        <v>Humanitarian</v>
      </c>
      <c r="AP847" s="1195" t="str">
        <f t="shared" ca="1" si="182"/>
        <v/>
      </c>
      <c r="AQ847" s="1194">
        <f>VLOOKUP($I847,'Price List, Weapons &amp; Items'!B:L,COLUMN('Price List, Weapons &amp; Items'!$L$11)-1,0)</f>
        <v>0</v>
      </c>
      <c r="AR847" s="1194">
        <f t="shared" si="189"/>
        <v>1</v>
      </c>
      <c r="AS847" s="1194">
        <f t="shared" si="190"/>
        <v>0</v>
      </c>
      <c r="AT847" s="1194">
        <f t="shared" si="191"/>
        <v>1</v>
      </c>
      <c r="AU847" s="1194" t="str">
        <f t="shared" si="192"/>
        <v>.</v>
      </c>
      <c r="AV847" s="1194" t="str">
        <f t="shared" si="183"/>
        <v>.</v>
      </c>
      <c r="AW847" s="1194" t="str">
        <f t="shared" si="193"/>
        <v>.</v>
      </c>
      <c r="AX847" s="1194">
        <f>IFERROR(VLOOKUP(B847,'Share, Heavy Weapons to Ukraine'!B:Z,COLUMN('Share, Heavy Weapons to Ukraine'!C857)-1,0),0)</f>
        <v>0</v>
      </c>
      <c r="AY847" s="1194">
        <f>VLOOKUP('Bilateral Assistance, MAIN DATA'!B847,'Country Summary (€)'!B:F,COLUMN('Country Summary (€)'!C858)-1,FALSE)</f>
        <v>1</v>
      </c>
      <c r="AZ847" s="1194" t="str">
        <f>IF(AND(AD847=1,D847="Military",H847&lt;&gt;"Not given")=TRUE,IF(SUMIFS(P:P,A:A,A847)&gt;0,ABS((SUMIFS(P:P,A:A,A847)/VLOOKUP("USD",'Exchange Rates'!B:C,2,0)))/S847,"."),".")</f>
        <v>.</v>
      </c>
      <c r="BA847" s="1196" t="str">
        <f>IF(AND(AD847=1,D847="Military",H847&lt;&gt;"Not given")=TRUE,IF(SUMIFS(P:P,A:A,A847)&gt;0,IF((ABS((SUMIFS(P:P,A:A,A847)/VLOOKUP("USD",'Exchange Rates'!B:C,2,0)))/S847)&gt;1,(SUMIFS(P:P,A:A,A847)-S847)/S847,(S847-SUMIFS(P:P,A:A,A847))/SUMIFS(P:P,A:A,A847)),"."),".")</f>
        <v>.</v>
      </c>
    </row>
    <row r="848" spans="1:71" ht="15.95" customHeight="1">
      <c r="A848" s="1182" t="s">
        <v>2404</v>
      </c>
      <c r="B848" s="1182" t="s">
        <v>2392</v>
      </c>
      <c r="C848" s="1181">
        <v>44677</v>
      </c>
      <c r="D848" s="1182" t="s">
        <v>360</v>
      </c>
      <c r="E848" s="1182" t="s">
        <v>361</v>
      </c>
      <c r="F848" s="1001" t="s">
        <v>2405</v>
      </c>
      <c r="G848" s="1184" t="s">
        <v>483</v>
      </c>
      <c r="H848" s="1185">
        <v>29996</v>
      </c>
      <c r="I848" s="1180" t="s">
        <v>364</v>
      </c>
      <c r="J848" s="1186" t="str">
        <f>VLOOKUP($I848,'Price List, Weapons &amp; Items'!B:C,2,0)</f>
        <v>.</v>
      </c>
      <c r="K848" s="1186" t="str">
        <f>IF(I848=".",I848,VLOOKUP($I848,'Price List, Weapons &amp; Items'!B:D,3,0))</f>
        <v>.</v>
      </c>
      <c r="L848" s="1187">
        <f>VLOOKUP(I848,'Price List, Weapons &amp; Items'!B:E,4,0)</f>
        <v>0</v>
      </c>
      <c r="M848" s="1188" t="s">
        <v>364</v>
      </c>
      <c r="N848" s="1188" t="s">
        <v>364</v>
      </c>
      <c r="O848" s="1188" t="str">
        <f>VLOOKUP($I848,'Price List, Weapons &amp; Items'!B:G,6,0)</f>
        <v>.</v>
      </c>
      <c r="P848" s="1185" t="str">
        <f t="shared" si="184"/>
        <v>.</v>
      </c>
      <c r="Q848" s="1185" t="str">
        <f t="shared" si="185"/>
        <v>.</v>
      </c>
      <c r="R848" s="1185">
        <f t="shared" si="181"/>
        <v>29996</v>
      </c>
      <c r="S848" s="1185">
        <f>IF(AND(AD848=1,R848&lt;&gt;".")=TRUE,R848/VLOOKUP(G848,'Exchange Rates'!B:C,2,0),IF(R848=".",".",""))</f>
        <v>29996</v>
      </c>
      <c r="T848" s="1185" t="str">
        <f>IF(AD848=1,IF(AF848="Value is not given at all",".",IF(AF848="Value is given by the source",S848,IF(AF848="Value is calculated with prices",(IF(SUMIFS(Q:Q,A:A,A848)&gt;0,SUMIFS(Q:Q,A:A,A848),"."))/VLOOKUP("USD",'Exchange Rates'!B:C,2,0),"Error with coding"))),"")</f>
        <v>.</v>
      </c>
      <c r="U848" s="1184" t="s">
        <v>365</v>
      </c>
      <c r="V848" s="974" t="s">
        <v>2406</v>
      </c>
      <c r="W848" s="1029" t="s">
        <v>2397</v>
      </c>
      <c r="X848" s="1183" t="s">
        <v>364</v>
      </c>
      <c r="Y848" s="1183" t="s">
        <v>364</v>
      </c>
      <c r="Z848" s="1184">
        <v>0</v>
      </c>
      <c r="AA848" s="1191">
        <v>0</v>
      </c>
      <c r="AB848" s="1201" t="s">
        <v>364</v>
      </c>
      <c r="AC848" s="1192" t="str">
        <f>""</f>
        <v/>
      </c>
      <c r="AD848" s="1193">
        <v>1</v>
      </c>
      <c r="AE848" s="1193" t="s">
        <v>368</v>
      </c>
      <c r="AF848" s="1193" t="s">
        <v>369</v>
      </c>
      <c r="AG848" s="1193">
        <v>1</v>
      </c>
      <c r="AH848" s="1193">
        <v>4</v>
      </c>
      <c r="AI848" s="1193">
        <v>0</v>
      </c>
      <c r="AJ848" s="1193">
        <f>VLOOKUP($I848,'Price List, Weapons &amp; Items'!B:F,5,0)</f>
        <v>0</v>
      </c>
      <c r="AK848" s="1193">
        <f t="shared" si="186"/>
        <v>0</v>
      </c>
      <c r="AL848" s="1193">
        <f t="shared" si="187"/>
        <v>0</v>
      </c>
      <c r="AM848" s="1193">
        <f t="shared" si="188"/>
        <v>0</v>
      </c>
      <c r="AN848" s="1194" t="str">
        <f>VLOOKUP($I848,'Price List, Weapons &amp; Items'!B:L,COLUMN('Price List, Weapons &amp; Items'!$J$11)-1,0)</f>
        <v>.</v>
      </c>
      <c r="AO848" s="1194" t="str">
        <f>IF(I848=".",".",VLOOKUP($I848,'Price List, Weapons &amp; Items'!B:J,3,0))</f>
        <v>.</v>
      </c>
      <c r="AP848" s="1195" t="str">
        <f t="shared" ca="1" si="182"/>
        <v>.</v>
      </c>
      <c r="AQ848" s="1194">
        <f>VLOOKUP($I848,'Price List, Weapons &amp; Items'!B:L,COLUMN('Price List, Weapons &amp; Items'!$L$11)-1,0)</f>
        <v>0</v>
      </c>
      <c r="AR848" s="1194">
        <f t="shared" si="189"/>
        <v>1</v>
      </c>
      <c r="AS848" s="1194">
        <f t="shared" si="190"/>
        <v>0</v>
      </c>
      <c r="AT848" s="1194">
        <f t="shared" si="191"/>
        <v>1</v>
      </c>
      <c r="AU848" s="1194" t="str">
        <f t="shared" si="192"/>
        <v>.</v>
      </c>
      <c r="AV848" s="1194" t="str">
        <f t="shared" si="183"/>
        <v>.</v>
      </c>
      <c r="AW848" s="1194" t="str">
        <f t="shared" si="193"/>
        <v>.</v>
      </c>
      <c r="AX848" s="1194">
        <f>IFERROR(VLOOKUP(B848,'Share, Heavy Weapons to Ukraine'!B:Z,COLUMN('Share, Heavy Weapons to Ukraine'!C858)-1,0),0)</f>
        <v>0</v>
      </c>
      <c r="AY848" s="1194">
        <f>VLOOKUP('Bilateral Assistance, MAIN DATA'!B848,'Country Summary (€)'!B:F,COLUMN('Country Summary (€)'!C859)-1,FALSE)</f>
        <v>1</v>
      </c>
      <c r="AZ848" s="1194" t="str">
        <f>IF(AND(AD848=1,D848="Military",H848&lt;&gt;"Not given")=TRUE,IF(SUMIFS(P:P,A:A,A848)&gt;0,ABS((SUMIFS(P:P,A:A,A848)/VLOOKUP("USD",'Exchange Rates'!B:C,2,0)))/S848,"."),".")</f>
        <v>.</v>
      </c>
      <c r="BA848" s="1196" t="str">
        <f>IF(AND(AD848=1,D848="Military",H848&lt;&gt;"Not given")=TRUE,IF(SUMIFS(P:P,A:A,A848)&gt;0,IF((ABS((SUMIFS(P:P,A:A,A848)/VLOOKUP("USD",'Exchange Rates'!B:C,2,0)))/S848)&gt;1,(SUMIFS(P:P,A:A,A848)-S848)/S848,(S848-SUMIFS(P:P,A:A,A848))/SUMIFS(P:P,A:A,A848)),"."),".")</f>
        <v>.</v>
      </c>
    </row>
    <row r="849" spans="1:53" ht="15.95" customHeight="1">
      <c r="A849" s="1182" t="s">
        <v>2407</v>
      </c>
      <c r="B849" s="1182" t="s">
        <v>2392</v>
      </c>
      <c r="C849" s="1181">
        <v>44688</v>
      </c>
      <c r="D849" s="1182" t="s">
        <v>360</v>
      </c>
      <c r="E849" s="1182" t="s">
        <v>759</v>
      </c>
      <c r="F849" s="1001" t="s">
        <v>2408</v>
      </c>
      <c r="G849" s="1184" t="s">
        <v>483</v>
      </c>
      <c r="H849" s="1185">
        <v>24000</v>
      </c>
      <c r="I849" s="1180" t="s">
        <v>364</v>
      </c>
      <c r="J849" s="1186" t="str">
        <f>VLOOKUP($I849,'Price List, Weapons &amp; Items'!B:C,2,0)</f>
        <v>.</v>
      </c>
      <c r="K849" s="1186" t="str">
        <f>IF(I849=".",I849,VLOOKUP($I849,'Price List, Weapons &amp; Items'!B:D,3,0))</f>
        <v>.</v>
      </c>
      <c r="L849" s="1187">
        <f>VLOOKUP(I849,'Price List, Weapons &amp; Items'!B:E,4,0)</f>
        <v>0</v>
      </c>
      <c r="M849" s="1188" t="s">
        <v>364</v>
      </c>
      <c r="N849" s="1188" t="s">
        <v>364</v>
      </c>
      <c r="O849" s="1188" t="str">
        <f>VLOOKUP($I849,'Price List, Weapons &amp; Items'!B:G,6,0)</f>
        <v>.</v>
      </c>
      <c r="P849" s="1185" t="str">
        <f t="shared" si="184"/>
        <v>.</v>
      </c>
      <c r="Q849" s="1185" t="str">
        <f t="shared" si="185"/>
        <v>.</v>
      </c>
      <c r="R849" s="1185">
        <f t="shared" si="181"/>
        <v>24000</v>
      </c>
      <c r="S849" s="1185">
        <f>IF(AND(AD849=1,R849&lt;&gt;".")=TRUE,R849/VLOOKUP(G849,'Exchange Rates'!B:C,2,0),IF(R849=".",".",""))</f>
        <v>24000</v>
      </c>
      <c r="T849" s="1185" t="str">
        <f>IF(AD849=1,IF(AF849="Value is not given at all",".",IF(AF849="Value is given by the source",S849,IF(AF849="Value is calculated with prices",(IF(SUMIFS(Q:Q,A:A,A849)&gt;0,SUMIFS(Q:Q,A:A,A849),"."))/VLOOKUP("USD",'Exchange Rates'!B:C,2,0),"Error with coding"))),"")</f>
        <v>.</v>
      </c>
      <c r="U849" s="1184" t="s">
        <v>365</v>
      </c>
      <c r="V849" s="974" t="s">
        <v>2409</v>
      </c>
      <c r="W849" s="1029" t="s">
        <v>2397</v>
      </c>
      <c r="X849" s="1183" t="s">
        <v>364</v>
      </c>
      <c r="Y849" s="1183" t="s">
        <v>364</v>
      </c>
      <c r="Z849" s="1184">
        <v>0</v>
      </c>
      <c r="AA849" s="1191">
        <v>0</v>
      </c>
      <c r="AB849" s="1201" t="s">
        <v>364</v>
      </c>
      <c r="AC849" s="1192" t="str">
        <f>""</f>
        <v/>
      </c>
      <c r="AD849" s="1193">
        <v>1</v>
      </c>
      <c r="AE849" s="1193" t="s">
        <v>368</v>
      </c>
      <c r="AF849" s="1193" t="s">
        <v>369</v>
      </c>
      <c r="AG849" s="1193">
        <v>1</v>
      </c>
      <c r="AH849" s="1193">
        <v>5</v>
      </c>
      <c r="AI849" s="1193">
        <v>0</v>
      </c>
      <c r="AJ849" s="1193">
        <f>VLOOKUP($I849,'Price List, Weapons &amp; Items'!B:F,5,0)</f>
        <v>0</v>
      </c>
      <c r="AK849" s="1193">
        <f t="shared" si="186"/>
        <v>0</v>
      </c>
      <c r="AL849" s="1193">
        <f t="shared" si="187"/>
        <v>0</v>
      </c>
      <c r="AM849" s="1193">
        <f t="shared" si="188"/>
        <v>0</v>
      </c>
      <c r="AN849" s="1194" t="str">
        <f>VLOOKUP($I849,'Price List, Weapons &amp; Items'!B:L,COLUMN('Price List, Weapons &amp; Items'!$J$11)-1,0)</f>
        <v>.</v>
      </c>
      <c r="AO849" s="1194" t="str">
        <f>IF(I849=".",".",VLOOKUP($I849,'Price List, Weapons &amp; Items'!B:J,3,0))</f>
        <v>.</v>
      </c>
      <c r="AP849" s="1195" t="str">
        <f t="shared" ca="1" si="182"/>
        <v>.</v>
      </c>
      <c r="AQ849" s="1194">
        <f>VLOOKUP($I849,'Price List, Weapons &amp; Items'!B:L,COLUMN('Price List, Weapons &amp; Items'!$L$11)-1,0)</f>
        <v>0</v>
      </c>
      <c r="AR849" s="1194">
        <f t="shared" si="189"/>
        <v>1</v>
      </c>
      <c r="AS849" s="1194">
        <f t="shared" si="190"/>
        <v>0</v>
      </c>
      <c r="AT849" s="1194">
        <f t="shared" si="191"/>
        <v>1</v>
      </c>
      <c r="AU849" s="1194" t="str">
        <f t="shared" si="192"/>
        <v>.</v>
      </c>
      <c r="AV849" s="1194" t="str">
        <f t="shared" si="183"/>
        <v>.</v>
      </c>
      <c r="AW849" s="1194" t="str">
        <f t="shared" si="193"/>
        <v>.</v>
      </c>
      <c r="AX849" s="1194">
        <f>IFERROR(VLOOKUP(B849,'Share, Heavy Weapons to Ukraine'!B:Z,COLUMN('Share, Heavy Weapons to Ukraine'!C859)-1,0),0)</f>
        <v>0</v>
      </c>
      <c r="AY849" s="1194">
        <f>VLOOKUP('Bilateral Assistance, MAIN DATA'!B849,'Country Summary (€)'!B:F,COLUMN('Country Summary (€)'!C860)-1,FALSE)</f>
        <v>1</v>
      </c>
      <c r="AZ849" s="1194" t="str">
        <f>IF(AND(AD849=1,D849="Military",H849&lt;&gt;"Not given")=TRUE,IF(SUMIFS(P:P,A:A,A849)&gt;0,ABS((SUMIFS(P:P,A:A,A849)/VLOOKUP("USD",'Exchange Rates'!B:C,2,0)))/S849,"."),".")</f>
        <v>.</v>
      </c>
      <c r="BA849" s="1196" t="str">
        <f>IF(AND(AD849=1,D849="Military",H849&lt;&gt;"Not given")=TRUE,IF(SUMIFS(P:P,A:A,A849)&gt;0,IF((ABS((SUMIFS(P:P,A:A,A849)/VLOOKUP("USD",'Exchange Rates'!B:C,2,0)))/S849)&gt;1,(SUMIFS(P:P,A:A,A849)-S849)/S849,(S849-SUMIFS(P:P,A:A,A849))/SUMIFS(P:P,A:A,A849)),"."),".")</f>
        <v>.</v>
      </c>
    </row>
    <row r="850" spans="1:53" ht="15.95" customHeight="1">
      <c r="A850" s="1182" t="s">
        <v>2410</v>
      </c>
      <c r="B850" s="1182" t="s">
        <v>2392</v>
      </c>
      <c r="C850" s="1181">
        <v>44743</v>
      </c>
      <c r="D850" s="1182" t="s">
        <v>360</v>
      </c>
      <c r="E850" s="1182" t="s">
        <v>481</v>
      </c>
      <c r="F850" s="1001" t="s">
        <v>2411</v>
      </c>
      <c r="G850" s="1184" t="s">
        <v>483</v>
      </c>
      <c r="H850" s="1185">
        <v>365000</v>
      </c>
      <c r="I850" s="1180" t="s">
        <v>364</v>
      </c>
      <c r="J850" s="1186" t="str">
        <f>VLOOKUP($I850,'Price List, Weapons &amp; Items'!B:C,2,0)</f>
        <v>.</v>
      </c>
      <c r="K850" s="1186" t="str">
        <f>IF(I850=".",I850,VLOOKUP($I850,'Price List, Weapons &amp; Items'!B:D,3,0))</f>
        <v>.</v>
      </c>
      <c r="L850" s="1187">
        <f>VLOOKUP(I850,'Price List, Weapons &amp; Items'!B:E,4,0)</f>
        <v>0</v>
      </c>
      <c r="M850" s="1188" t="s">
        <v>364</v>
      </c>
      <c r="N850" s="1188" t="s">
        <v>364</v>
      </c>
      <c r="O850" s="1188" t="str">
        <f>VLOOKUP($I850,'Price List, Weapons &amp; Items'!B:G,6,0)</f>
        <v>.</v>
      </c>
      <c r="P850" s="1185" t="str">
        <f t="shared" si="184"/>
        <v>.</v>
      </c>
      <c r="Q850" s="1185" t="str">
        <f t="shared" si="185"/>
        <v>.</v>
      </c>
      <c r="R850" s="1185">
        <f t="shared" si="181"/>
        <v>365000</v>
      </c>
      <c r="S850" s="1185">
        <f>IF(AND(AD850=1,R850&lt;&gt;".")=TRUE,R850/VLOOKUP(G850,'Exchange Rates'!B:C,2,0),IF(R850=".",".",""))</f>
        <v>365000</v>
      </c>
      <c r="T850" s="1185" t="str">
        <f>IF(AD850=1,IF(AF850="Value is not given at all",".",IF(AF850="Value is given by the source",S850,IF(AF850="Value is calculated with prices",(IF(SUMIFS(Q:Q,A:A,A850)&gt;0,SUMIFS(Q:Q,A:A,A850),"."))/VLOOKUP("USD",'Exchange Rates'!B:C,2,0),"Error with coding"))),"")</f>
        <v>.</v>
      </c>
      <c r="U850" s="1184" t="s">
        <v>365</v>
      </c>
      <c r="V850" s="974" t="s">
        <v>2412</v>
      </c>
      <c r="W850" s="1029" t="s">
        <v>2397</v>
      </c>
      <c r="X850" s="976" t="s">
        <v>2413</v>
      </c>
      <c r="Y850" s="1183" t="s">
        <v>364</v>
      </c>
      <c r="Z850" s="1184">
        <v>0</v>
      </c>
      <c r="AA850" s="1191">
        <v>0</v>
      </c>
      <c r="AB850" s="1201" t="s">
        <v>364</v>
      </c>
      <c r="AC850" s="1192" t="str">
        <f>""</f>
        <v/>
      </c>
      <c r="AD850" s="1193">
        <v>1</v>
      </c>
      <c r="AE850" s="1193" t="s">
        <v>368</v>
      </c>
      <c r="AF850" s="1193" t="s">
        <v>369</v>
      </c>
      <c r="AG850" s="1193">
        <v>1</v>
      </c>
      <c r="AH850" s="1193">
        <v>7</v>
      </c>
      <c r="AI850" s="1193">
        <v>0</v>
      </c>
      <c r="AJ850" s="1193">
        <f>VLOOKUP($I850,'Price List, Weapons &amp; Items'!B:F,5,0)</f>
        <v>0</v>
      </c>
      <c r="AK850" s="1193">
        <f t="shared" si="186"/>
        <v>0</v>
      </c>
      <c r="AL850" s="1193">
        <f t="shared" si="187"/>
        <v>0</v>
      </c>
      <c r="AM850" s="1193">
        <f t="shared" si="188"/>
        <v>0</v>
      </c>
      <c r="AN850" s="1194" t="str">
        <f>VLOOKUP($I850,'Price List, Weapons &amp; Items'!B:L,COLUMN('Price List, Weapons &amp; Items'!$J$11)-1,0)</f>
        <v>.</v>
      </c>
      <c r="AO850" s="1194" t="str">
        <f>IF(I850=".",".",VLOOKUP($I850,'Price List, Weapons &amp; Items'!B:J,3,0))</f>
        <v>.</v>
      </c>
      <c r="AP850" s="1195" t="str">
        <f t="shared" ca="1" si="182"/>
        <v>.</v>
      </c>
      <c r="AQ850" s="1194">
        <f>VLOOKUP($I850,'Price List, Weapons &amp; Items'!B:L,COLUMN('Price List, Weapons &amp; Items'!$L$11)-1,0)</f>
        <v>0</v>
      </c>
      <c r="AR850" s="1194">
        <f t="shared" si="189"/>
        <v>1</v>
      </c>
      <c r="AS850" s="1194">
        <f t="shared" si="190"/>
        <v>0</v>
      </c>
      <c r="AT850" s="1194">
        <f t="shared" si="191"/>
        <v>1</v>
      </c>
      <c r="AU850" s="1194" t="str">
        <f t="shared" si="192"/>
        <v>.</v>
      </c>
      <c r="AV850" s="1194" t="str">
        <f t="shared" si="183"/>
        <v>.</v>
      </c>
      <c r="AW850" s="1194" t="str">
        <f t="shared" si="193"/>
        <v>.</v>
      </c>
      <c r="AX850" s="1194">
        <f>IFERROR(VLOOKUP(B850,'Share, Heavy Weapons to Ukraine'!B:Z,COLUMN('Share, Heavy Weapons to Ukraine'!C860)-1,0),0)</f>
        <v>0</v>
      </c>
      <c r="AY850" s="1194">
        <f>VLOOKUP('Bilateral Assistance, MAIN DATA'!B850,'Country Summary (€)'!B:F,COLUMN('Country Summary (€)'!C861)-1,FALSE)</f>
        <v>1</v>
      </c>
      <c r="AZ850" s="1194" t="str">
        <f>IF(AND(AD850=1,D850="Military",H850&lt;&gt;"Not given")=TRUE,IF(SUMIFS(P:P,A:A,A850)&gt;0,ABS((SUMIFS(P:P,A:A,A850)/VLOOKUP("USD",'Exchange Rates'!B:C,2,0)))/S850,"."),".")</f>
        <v>.</v>
      </c>
      <c r="BA850" s="1196" t="str">
        <f>IF(AND(AD850=1,D850="Military",H850&lt;&gt;"Not given")=TRUE,IF(SUMIFS(P:P,A:A,A850)&gt;0,IF((ABS((SUMIFS(P:P,A:A,A850)/VLOOKUP("USD",'Exchange Rates'!B:C,2,0)))/S850)&gt;1,(SUMIFS(P:P,A:A,A850)-S850)/S850,(S850-SUMIFS(P:P,A:A,A850))/SUMIFS(P:P,A:A,A850)),"."),".")</f>
        <v>.</v>
      </c>
    </row>
    <row r="851" spans="1:53" ht="15.95" customHeight="1">
      <c r="A851" s="1182" t="s">
        <v>2414</v>
      </c>
      <c r="B851" s="1182" t="s">
        <v>2392</v>
      </c>
      <c r="C851" s="1181">
        <v>44747</v>
      </c>
      <c r="D851" s="1182" t="s">
        <v>360</v>
      </c>
      <c r="E851" s="1182" t="s">
        <v>361</v>
      </c>
      <c r="F851" s="1001" t="s">
        <v>2415</v>
      </c>
      <c r="G851" s="1184" t="s">
        <v>483</v>
      </c>
      <c r="H851" s="1185">
        <v>1400000</v>
      </c>
      <c r="I851" s="1180" t="s">
        <v>364</v>
      </c>
      <c r="J851" s="1186" t="str">
        <f>VLOOKUP($I851,'Price List, Weapons &amp; Items'!B:C,2,0)</f>
        <v>.</v>
      </c>
      <c r="K851" s="1186" t="str">
        <f>IF(I851=".",I851,VLOOKUP($I851,'Price List, Weapons &amp; Items'!B:D,3,0))</f>
        <v>.</v>
      </c>
      <c r="L851" s="1187">
        <f>VLOOKUP(I851,'Price List, Weapons &amp; Items'!B:E,4,0)</f>
        <v>0</v>
      </c>
      <c r="M851" s="1188" t="s">
        <v>364</v>
      </c>
      <c r="N851" s="1188" t="s">
        <v>364</v>
      </c>
      <c r="O851" s="1188" t="str">
        <f>VLOOKUP($I851,'Price List, Weapons &amp; Items'!B:G,6,0)</f>
        <v>.</v>
      </c>
      <c r="P851" s="1185" t="str">
        <f t="shared" si="184"/>
        <v>.</v>
      </c>
      <c r="Q851" s="1185" t="str">
        <f t="shared" si="185"/>
        <v>.</v>
      </c>
      <c r="R851" s="1185">
        <f t="shared" si="181"/>
        <v>1400000</v>
      </c>
      <c r="S851" s="1185">
        <f>IF(AND(AD851=1,R851&lt;&gt;".")=TRUE,R851/VLOOKUP(G851,'Exchange Rates'!B:C,2,0),IF(R851=".",".",""))</f>
        <v>1400000</v>
      </c>
      <c r="T851" s="1185" t="str">
        <f>IF(AD851=1,IF(AF851="Value is not given at all",".",IF(AF851="Value is given by the source",S851,IF(AF851="Value is calculated with prices",(IF(SUMIFS(Q:Q,A:A,A851)&gt;0,SUMIFS(Q:Q,A:A,A851),"."))/VLOOKUP("USD",'Exchange Rates'!B:C,2,0),"Error with coding"))),"")</f>
        <v>.</v>
      </c>
      <c r="U851" s="1184" t="s">
        <v>365</v>
      </c>
      <c r="V851" s="974" t="s">
        <v>2416</v>
      </c>
      <c r="W851" s="1029" t="s">
        <v>2397</v>
      </c>
      <c r="X851" s="1183" t="s">
        <v>364</v>
      </c>
      <c r="Y851" s="1183" t="s">
        <v>364</v>
      </c>
      <c r="Z851" s="1184">
        <v>0</v>
      </c>
      <c r="AA851" s="1191">
        <v>0</v>
      </c>
      <c r="AB851" s="1201" t="s">
        <v>364</v>
      </c>
      <c r="AC851" s="1192" t="str">
        <f>""</f>
        <v/>
      </c>
      <c r="AD851" s="1193">
        <v>1</v>
      </c>
      <c r="AE851" s="1193" t="s">
        <v>368</v>
      </c>
      <c r="AF851" s="1193" t="s">
        <v>369</v>
      </c>
      <c r="AG851" s="1193">
        <v>1</v>
      </c>
      <c r="AH851" s="1193">
        <v>7</v>
      </c>
      <c r="AI851" s="1193">
        <v>0</v>
      </c>
      <c r="AJ851" s="1193">
        <f>VLOOKUP($I851,'Price List, Weapons &amp; Items'!B:F,5,0)</f>
        <v>0</v>
      </c>
      <c r="AK851" s="1193">
        <f t="shared" si="186"/>
        <v>0</v>
      </c>
      <c r="AL851" s="1193">
        <f t="shared" si="187"/>
        <v>0</v>
      </c>
      <c r="AM851" s="1193">
        <f t="shared" si="188"/>
        <v>0</v>
      </c>
      <c r="AN851" s="1194" t="str">
        <f>VLOOKUP($I851,'Price List, Weapons &amp; Items'!B:L,COLUMN('Price List, Weapons &amp; Items'!$J$11)-1,0)</f>
        <v>.</v>
      </c>
      <c r="AO851" s="1194" t="str">
        <f>IF(I851=".",".",VLOOKUP($I851,'Price List, Weapons &amp; Items'!B:J,3,0))</f>
        <v>.</v>
      </c>
      <c r="AP851" s="1195" t="str">
        <f t="shared" ca="1" si="182"/>
        <v>.</v>
      </c>
      <c r="AQ851" s="1194">
        <f>VLOOKUP($I851,'Price List, Weapons &amp; Items'!B:L,COLUMN('Price List, Weapons &amp; Items'!$L$11)-1,0)</f>
        <v>0</v>
      </c>
      <c r="AR851" s="1194">
        <f t="shared" si="189"/>
        <v>1</v>
      </c>
      <c r="AS851" s="1194">
        <f t="shared" si="190"/>
        <v>0</v>
      </c>
      <c r="AT851" s="1194">
        <f t="shared" si="191"/>
        <v>1</v>
      </c>
      <c r="AU851" s="1194" t="str">
        <f t="shared" si="192"/>
        <v>.</v>
      </c>
      <c r="AV851" s="1194" t="str">
        <f t="shared" si="183"/>
        <v>.</v>
      </c>
      <c r="AW851" s="1194" t="str">
        <f t="shared" si="193"/>
        <v>.</v>
      </c>
      <c r="AX851" s="1194">
        <f>IFERROR(VLOOKUP(B851,'Share, Heavy Weapons to Ukraine'!B:Z,COLUMN('Share, Heavy Weapons to Ukraine'!C861)-1,0),0)</f>
        <v>0</v>
      </c>
      <c r="AY851" s="1194">
        <f>VLOOKUP('Bilateral Assistance, MAIN DATA'!B851,'Country Summary (€)'!B:F,COLUMN('Country Summary (€)'!C862)-1,FALSE)</f>
        <v>1</v>
      </c>
      <c r="AZ851" s="1194" t="str">
        <f>IF(AND(AD851=1,D851="Military",H851&lt;&gt;"Not given")=TRUE,IF(SUMIFS(P:P,A:A,A851)&gt;0,ABS((SUMIFS(P:P,A:A,A851)/VLOOKUP("USD",'Exchange Rates'!B:C,2,0)))/S851,"."),".")</f>
        <v>.</v>
      </c>
      <c r="BA851" s="1196" t="str">
        <f>IF(AND(AD851=1,D851="Military",H851&lt;&gt;"Not given")=TRUE,IF(SUMIFS(P:P,A:A,A851)&gt;0,IF((ABS((SUMIFS(P:P,A:A,A851)/VLOOKUP("USD",'Exchange Rates'!B:C,2,0)))/S851)&gt;1,(SUMIFS(P:P,A:A,A851)-S851)/S851,(S851-SUMIFS(P:P,A:A,A851))/SUMIFS(P:P,A:A,A851)),"."),".")</f>
        <v>.</v>
      </c>
    </row>
    <row r="852" spans="1:53" ht="15.95" customHeight="1">
      <c r="A852" s="1182" t="s">
        <v>2417</v>
      </c>
      <c r="B852" s="1182" t="s">
        <v>2392</v>
      </c>
      <c r="C852" s="1181">
        <v>44894</v>
      </c>
      <c r="D852" s="1182" t="s">
        <v>360</v>
      </c>
      <c r="E852" s="1182" t="s">
        <v>371</v>
      </c>
      <c r="F852" s="1001" t="s">
        <v>2418</v>
      </c>
      <c r="G852" s="1184" t="s">
        <v>483</v>
      </c>
      <c r="H852" s="1185">
        <v>559640</v>
      </c>
      <c r="I852" s="1180" t="s">
        <v>596</v>
      </c>
      <c r="J852" s="1186" t="str">
        <f>VLOOKUP($I852,'Price List, Weapons &amp; Items'!B:C,2,0)</f>
        <v>Military equipment</v>
      </c>
      <c r="K852" s="1186" t="str">
        <f>IF(I852=".",I852,VLOOKUP($I852,'Price List, Weapons &amp; Items'!B:D,3,0))</f>
        <v>Military equipment</v>
      </c>
      <c r="L852" s="1187">
        <f>VLOOKUP(I852,'Price List, Weapons &amp; Items'!B:E,4,0)</f>
        <v>0</v>
      </c>
      <c r="M852" s="1188" t="s">
        <v>374</v>
      </c>
      <c r="N852" s="1188" t="s">
        <v>374</v>
      </c>
      <c r="O852" s="1188">
        <f>VLOOKUP($I852,'Price List, Weapons &amp; Items'!B:G,6,0)</f>
        <v>22216</v>
      </c>
      <c r="P852" s="1185" t="str">
        <f t="shared" si="184"/>
        <v>.</v>
      </c>
      <c r="Q852" s="1185" t="str">
        <f t="shared" si="185"/>
        <v>.</v>
      </c>
      <c r="R852" s="1185">
        <f t="shared" si="181"/>
        <v>559640</v>
      </c>
      <c r="S852" s="1185">
        <f>IF(AND(AD852=1,R852&lt;&gt;".")=TRUE,R852/VLOOKUP(G852,'Exchange Rates'!B:C,2,0),IF(R852=".",".",""))</f>
        <v>559640</v>
      </c>
      <c r="T852" s="1185" t="str">
        <f>IF(AD852=1,IF(AF852="Value is not given at all",".",IF(AF852="Value is given by the source",S852,IF(AF852="Value is calculated with prices",(IF(SUMIFS(Q:Q,A:A,A852)&gt;0,SUMIFS(Q:Q,A:A,A852),"."))/VLOOKUP("USD",'Exchange Rates'!B:C,2,0),"Error with coding"))),"")</f>
        <v>.</v>
      </c>
      <c r="U852" s="1184" t="s">
        <v>365</v>
      </c>
      <c r="V852" s="974" t="s">
        <v>2419</v>
      </c>
      <c r="W852" s="1029" t="s">
        <v>2420</v>
      </c>
      <c r="X852" s="1029" t="s">
        <v>2397</v>
      </c>
      <c r="Y852" s="1183" t="s">
        <v>364</v>
      </c>
      <c r="Z852" s="1184">
        <v>0</v>
      </c>
      <c r="AA852" s="1191">
        <v>0</v>
      </c>
      <c r="AB852" s="1201" t="s">
        <v>364</v>
      </c>
      <c r="AC852" s="1192" t="str">
        <f>""</f>
        <v/>
      </c>
      <c r="AD852" s="1193">
        <v>1</v>
      </c>
      <c r="AE852" s="1193" t="s">
        <v>368</v>
      </c>
      <c r="AF852" s="1193" t="s">
        <v>369</v>
      </c>
      <c r="AG852" s="1193">
        <v>1</v>
      </c>
      <c r="AH852" s="1193">
        <v>11</v>
      </c>
      <c r="AI852" s="1193">
        <v>0</v>
      </c>
      <c r="AJ852" s="1193">
        <f>VLOOKUP($I852,'Price List, Weapons &amp; Items'!B:F,5,0)</f>
        <v>0</v>
      </c>
      <c r="AK852" s="1193">
        <f t="shared" si="186"/>
        <v>0</v>
      </c>
      <c r="AL852" s="1193">
        <f t="shared" si="187"/>
        <v>0</v>
      </c>
      <c r="AM852" s="1193">
        <f t="shared" si="188"/>
        <v>0</v>
      </c>
      <c r="AN852" s="1194" t="str">
        <f>VLOOKUP($I852,'Price List, Weapons &amp; Items'!B:L,COLUMN('Price List, Weapons &amp; Items'!$J$11)-1,0)</f>
        <v>Government information</v>
      </c>
      <c r="AO852" s="1194" t="str">
        <f>IF(I852=".",".",VLOOKUP($I852,'Price List, Weapons &amp; Items'!B:J,3,0))</f>
        <v>Military equipment</v>
      </c>
      <c r="AP852" s="1195" t="str">
        <f t="shared" ca="1" si="182"/>
        <v>generator</v>
      </c>
      <c r="AQ852" s="1194">
        <f>VLOOKUP($I852,'Price List, Weapons &amp; Items'!B:L,COLUMN('Price List, Weapons &amp; Items'!$L$11)-1,0)</f>
        <v>2</v>
      </c>
      <c r="AR852" s="1194">
        <f t="shared" si="189"/>
        <v>1</v>
      </c>
      <c r="AS852" s="1194">
        <f t="shared" si="190"/>
        <v>0</v>
      </c>
      <c r="AT852" s="1194">
        <f t="shared" si="191"/>
        <v>1</v>
      </c>
      <c r="AU852" s="1194" t="str">
        <f t="shared" si="192"/>
        <v>.</v>
      </c>
      <c r="AV852" s="1194" t="str">
        <f t="shared" si="183"/>
        <v>.</v>
      </c>
      <c r="AW852" s="1194" t="str">
        <f t="shared" si="193"/>
        <v>.</v>
      </c>
      <c r="AX852" s="1194">
        <f>IFERROR(VLOOKUP(B852,'Share, Heavy Weapons to Ukraine'!B:Z,COLUMN('Share, Heavy Weapons to Ukraine'!C862)-1,0),0)</f>
        <v>0</v>
      </c>
      <c r="AY852" s="1194">
        <f>VLOOKUP('Bilateral Assistance, MAIN DATA'!B852,'Country Summary (€)'!B:F,COLUMN('Country Summary (€)'!C863)-1,FALSE)</f>
        <v>1</v>
      </c>
      <c r="AZ852" s="1194" t="str">
        <f>IF(AND(AD852=1,D852="Military",H852&lt;&gt;"Not given")=TRUE,IF(SUMIFS(P:P,A:A,A852)&gt;0,ABS((SUMIFS(P:P,A:A,A852)/VLOOKUP("USD",'Exchange Rates'!B:C,2,0)))/S852,"."),".")</f>
        <v>.</v>
      </c>
      <c r="BA852" s="1196" t="str">
        <f>IF(AND(AD852=1,D852="Military",H852&lt;&gt;"Not given")=TRUE,IF(SUMIFS(P:P,A:A,A852)&gt;0,IF((ABS((SUMIFS(P:P,A:A,A852)/VLOOKUP("USD",'Exchange Rates'!B:C,2,0)))/S852)&gt;1,(SUMIFS(P:P,A:A,A852)-S852)/S852,(S852-SUMIFS(P:P,A:A,A852))/SUMIFS(P:P,A:A,A852)),"."),".")</f>
        <v>.</v>
      </c>
    </row>
    <row r="853" spans="1:53" ht="15.95" customHeight="1">
      <c r="A853" s="1182" t="s">
        <v>2421</v>
      </c>
      <c r="B853" s="1182" t="s">
        <v>2392</v>
      </c>
      <c r="C853" s="1181">
        <v>44923</v>
      </c>
      <c r="D853" s="1182" t="s">
        <v>360</v>
      </c>
      <c r="E853" s="1182" t="s">
        <v>371</v>
      </c>
      <c r="F853" s="1034" t="s">
        <v>2422</v>
      </c>
      <c r="G853" s="1184" t="s">
        <v>483</v>
      </c>
      <c r="H853" s="1185" t="s">
        <v>457</v>
      </c>
      <c r="I853" s="1180" t="s">
        <v>2423</v>
      </c>
      <c r="J853" s="1186" t="str">
        <f>VLOOKUP($I853,'Price List, Weapons &amp; Items'!B:C,2,0)</f>
        <v>Humanitarian</v>
      </c>
      <c r="K853" s="1186" t="str">
        <f>IF(I853=".",I853,VLOOKUP($I853,'Price List, Weapons &amp; Items'!B:D,3,0))</f>
        <v>Humanitarian</v>
      </c>
      <c r="L853" s="1187">
        <f>VLOOKUP(I853,'Price List, Weapons &amp; Items'!B:E,4,0)</f>
        <v>0</v>
      </c>
      <c r="M853" s="1188">
        <v>11</v>
      </c>
      <c r="N853" s="1188" t="s">
        <v>374</v>
      </c>
      <c r="O853" s="1188">
        <f>VLOOKUP($I853,'Price List, Weapons &amp; Items'!B:G,6,0)</f>
        <v>136936.79999999999</v>
      </c>
      <c r="P853" s="1185">
        <f t="shared" si="184"/>
        <v>1506304.7999999998</v>
      </c>
      <c r="Q853" s="1185" t="str">
        <f t="shared" si="185"/>
        <v>.</v>
      </c>
      <c r="R853" s="1185">
        <f t="shared" si="181"/>
        <v>1506304.7999999998</v>
      </c>
      <c r="S853" s="1185">
        <f>IF(AND(AD853=1,R853&lt;&gt;".")=TRUE,R853/VLOOKUP(G853,'Exchange Rates'!B:C,2,0),IF(R853=".",".",""))</f>
        <v>1506304.7999999998</v>
      </c>
      <c r="T853" s="1185" t="str">
        <f>IF(AD853=1,IF(AF853="Value is not given at all",".",IF(AF853="Value is given by the source",S853,IF(AF853="Value is calculated with prices",(IF(SUMIFS(Q:Q,A:A,A853)&gt;0,SUMIFS(Q:Q,A:A,A853),"."))/VLOOKUP("USD",'Exchange Rates'!B:C,2,0),"Error with coding"))),"")</f>
        <v>.</v>
      </c>
      <c r="U853" s="1184" t="s">
        <v>675</v>
      </c>
      <c r="V853" s="976" t="s">
        <v>2424</v>
      </c>
      <c r="W853" s="976" t="s">
        <v>2425</v>
      </c>
      <c r="X853" s="976" t="s">
        <v>2426</v>
      </c>
      <c r="Y853" s="1183" t="s">
        <v>364</v>
      </c>
      <c r="Z853" s="1184">
        <v>0</v>
      </c>
      <c r="AA853" s="1191">
        <v>1</v>
      </c>
      <c r="AB853" s="1201" t="s">
        <v>364</v>
      </c>
      <c r="AC853" s="1192" t="str">
        <f>""</f>
        <v/>
      </c>
      <c r="AD853" s="1193">
        <v>1</v>
      </c>
      <c r="AE853" s="1193" t="s">
        <v>436</v>
      </c>
      <c r="AF853" s="1193" t="s">
        <v>369</v>
      </c>
      <c r="AG853" s="1193">
        <v>1</v>
      </c>
      <c r="AH853" s="1193">
        <v>12</v>
      </c>
      <c r="AI853" s="1193">
        <v>0</v>
      </c>
      <c r="AJ853" s="1193">
        <f>VLOOKUP($I853,'Price List, Weapons &amp; Items'!B:F,5,0)</f>
        <v>0</v>
      </c>
      <c r="AK853" s="1193">
        <f t="shared" si="186"/>
        <v>0</v>
      </c>
      <c r="AL853" s="1193">
        <f t="shared" si="187"/>
        <v>0</v>
      </c>
      <c r="AM853" s="1193">
        <f t="shared" si="188"/>
        <v>0</v>
      </c>
      <c r="AN853" s="1194" t="str">
        <f>VLOOKUP($I853,'Price List, Weapons &amp; Items'!B:L,COLUMN('Price List, Weapons &amp; Items'!$J$11)-1,0)</f>
        <v>Manufacturer price</v>
      </c>
      <c r="AO853" s="1194" t="str">
        <f>IF(I853=".",".",VLOOKUP($I853,'Price List, Weapons &amp; Items'!B:J,3,0))</f>
        <v>Humanitarian</v>
      </c>
      <c r="AP853" s="1195" t="str">
        <f t="shared" ca="1" si="182"/>
        <v>public transport bus</v>
      </c>
      <c r="AQ853" s="1194">
        <f>VLOOKUP($I853,'Price List, Weapons &amp; Items'!B:L,COLUMN('Price List, Weapons &amp; Items'!$L$11)-1,0)</f>
        <v>0</v>
      </c>
      <c r="AR853" s="1194">
        <f t="shared" si="189"/>
        <v>0</v>
      </c>
      <c r="AS853" s="1194">
        <f t="shared" si="190"/>
        <v>0</v>
      </c>
      <c r="AT853" s="1194">
        <f t="shared" si="191"/>
        <v>1</v>
      </c>
      <c r="AU853" s="1194" t="str">
        <f t="shared" si="192"/>
        <v>.</v>
      </c>
      <c r="AV853" s="1194" t="str">
        <f t="shared" si="183"/>
        <v>.</v>
      </c>
      <c r="AW853" s="1194" t="str">
        <f t="shared" si="193"/>
        <v>.</v>
      </c>
      <c r="AX853" s="1194">
        <f>IFERROR(VLOOKUP(B853,'Share, Heavy Weapons to Ukraine'!B:Z,COLUMN('Share, Heavy Weapons to Ukraine'!C863)-1,0),0)</f>
        <v>0</v>
      </c>
      <c r="AY853" s="1194">
        <f>VLOOKUP('Bilateral Assistance, MAIN DATA'!B853,'Country Summary (€)'!B:F,COLUMN('Country Summary (€)'!C864)-1,FALSE)</f>
        <v>1</v>
      </c>
      <c r="AZ853" s="1194" t="str">
        <f>IF(AND(AD853=1,D853="Military",H853&lt;&gt;"Not given")=TRUE,IF(SUMIFS(P:P,A:A,A853)&gt;0,ABS((SUMIFS(P:P,A:A,A853)/VLOOKUP("USD",'Exchange Rates'!B:C,2,0)))/S853,"."),".")</f>
        <v>.</v>
      </c>
      <c r="BA853" s="1196" t="str">
        <f>IF(AND(AD853=1,D853="Military",H853&lt;&gt;"Not given")=TRUE,IF(SUMIFS(P:P,A:A,A853)&gt;0,IF((ABS((SUMIFS(P:P,A:A,A853)/VLOOKUP("USD",'Exchange Rates'!B:C,2,0)))/S853)&gt;1,(SUMIFS(P:P,A:A,A853)-S853)/S853,(S853-SUMIFS(P:P,A:A,A853))/SUMIFS(P:P,A:A,A853)),"."),".")</f>
        <v>.</v>
      </c>
    </row>
    <row r="854" spans="1:53" ht="15.95" customHeight="1">
      <c r="A854" s="1182" t="s">
        <v>2427</v>
      </c>
      <c r="B854" s="1182" t="s">
        <v>2392</v>
      </c>
      <c r="C854" s="1181">
        <v>44980</v>
      </c>
      <c r="D854" s="1182" t="s">
        <v>360</v>
      </c>
      <c r="E854" s="1182" t="s">
        <v>371</v>
      </c>
      <c r="F854" s="1288" t="s">
        <v>2428</v>
      </c>
      <c r="G854" s="1184" t="s">
        <v>483</v>
      </c>
      <c r="H854" s="1185">
        <v>185000</v>
      </c>
      <c r="I854" s="1180" t="s">
        <v>364</v>
      </c>
      <c r="J854" s="1186" t="str">
        <f>VLOOKUP($I854,'Price List, Weapons &amp; Items'!B:C,2,0)</f>
        <v>.</v>
      </c>
      <c r="K854" s="1186" t="str">
        <f>IF(I854=".",I854,VLOOKUP($I854,'Price List, Weapons &amp; Items'!B:D,3,0))</f>
        <v>.</v>
      </c>
      <c r="L854" s="1187">
        <f>VLOOKUP(I854,'Price List, Weapons &amp; Items'!B:E,4,0)</f>
        <v>0</v>
      </c>
      <c r="M854" s="1188" t="s">
        <v>364</v>
      </c>
      <c r="N854" s="1188" t="s">
        <v>364</v>
      </c>
      <c r="O854" s="1188" t="str">
        <f>VLOOKUP($I854,'Price List, Weapons &amp; Items'!B:G,6,0)</f>
        <v>.</v>
      </c>
      <c r="P854" s="1185" t="str">
        <f t="shared" si="184"/>
        <v>.</v>
      </c>
      <c r="Q854" s="1185" t="str">
        <f t="shared" si="185"/>
        <v>.</v>
      </c>
      <c r="R854" s="1185">
        <f t="shared" si="181"/>
        <v>185000</v>
      </c>
      <c r="S854" s="1185">
        <f>IF(AND(AD854=1,R854&lt;&gt;".")=TRUE,R854/VLOOKUP(G854,'Exchange Rates'!B:C,2,0),IF(R854=".",".",""))</f>
        <v>185000</v>
      </c>
      <c r="T854" s="1185" t="str">
        <f>IF(AD854=1,IF(AF854="Value is not given at all",".",IF(AF854="Value is given by the source",S854,IF(AF854="Value is calculated with prices",(IF(SUMIFS(Q:Q,A:A,A854)&gt;0,SUMIFS(Q:Q,A:A,A854),"."))/VLOOKUP("USD",'Exchange Rates'!B:C,2,0),"Error with coding"))),"")</f>
        <v>.</v>
      </c>
      <c r="U854" s="1184" t="s">
        <v>365</v>
      </c>
      <c r="V854" s="976" t="s">
        <v>2429</v>
      </c>
      <c r="W854" s="1034" t="s">
        <v>364</v>
      </c>
      <c r="X854" s="1196" t="s">
        <v>364</v>
      </c>
      <c r="Y854" s="1183" t="s">
        <v>364</v>
      </c>
      <c r="Z854" s="1184">
        <v>0</v>
      </c>
      <c r="AA854" s="1191">
        <v>1</v>
      </c>
      <c r="AB854" s="1201" t="s">
        <v>364</v>
      </c>
      <c r="AC854" s="1192" t="str">
        <f>""</f>
        <v/>
      </c>
      <c r="AD854" s="1193">
        <v>1</v>
      </c>
      <c r="AE854" s="1193" t="s">
        <v>368</v>
      </c>
      <c r="AF854" s="1193" t="s">
        <v>369</v>
      </c>
      <c r="AG854" s="1193">
        <v>1</v>
      </c>
      <c r="AH854" s="1193">
        <v>14</v>
      </c>
      <c r="AI854" s="1193">
        <v>0</v>
      </c>
      <c r="AJ854" s="1193">
        <f>VLOOKUP($I854,'Price List, Weapons &amp; Items'!B:F,5,0)</f>
        <v>0</v>
      </c>
      <c r="AK854" s="1193">
        <f t="shared" si="186"/>
        <v>0</v>
      </c>
      <c r="AL854" s="1193">
        <f t="shared" si="187"/>
        <v>0</v>
      </c>
      <c r="AM854" s="1193">
        <f t="shared" si="188"/>
        <v>0</v>
      </c>
      <c r="AN854" s="1194" t="str">
        <f>VLOOKUP($I854,'Price List, Weapons &amp; Items'!B:L,COLUMN('Price List, Weapons &amp; Items'!$J$11)-1,0)</f>
        <v>.</v>
      </c>
      <c r="AO854" s="1194" t="str">
        <f>IF(I854=".",".",VLOOKUP($I854,'Price List, Weapons &amp; Items'!B:J,3,0))</f>
        <v>.</v>
      </c>
      <c r="AP854" s="1195" t="str">
        <f t="shared" ca="1" si="182"/>
        <v>.</v>
      </c>
      <c r="AQ854" s="1194">
        <f>VLOOKUP($I854,'Price List, Weapons &amp; Items'!B:L,COLUMN('Price List, Weapons &amp; Items'!$L$11)-1,0)</f>
        <v>0</v>
      </c>
      <c r="AR854" s="1194">
        <f t="shared" si="189"/>
        <v>1</v>
      </c>
      <c r="AS854" s="1194">
        <f t="shared" si="190"/>
        <v>0</v>
      </c>
      <c r="AT854" s="1194">
        <f t="shared" si="191"/>
        <v>1</v>
      </c>
      <c r="AU854" s="1194" t="str">
        <f t="shared" si="192"/>
        <v>.</v>
      </c>
      <c r="AV854" s="1194" t="str">
        <f t="shared" si="183"/>
        <v>.</v>
      </c>
      <c r="AW854" s="1194" t="str">
        <f t="shared" si="193"/>
        <v>.</v>
      </c>
      <c r="AX854" s="1194">
        <f>IFERROR(VLOOKUP(B854,'Share, Heavy Weapons to Ukraine'!B:Z,COLUMN('Share, Heavy Weapons to Ukraine'!C864)-1,0),0)</f>
        <v>0</v>
      </c>
      <c r="AY854" s="1194">
        <f>VLOOKUP('Bilateral Assistance, MAIN DATA'!B854,'Country Summary (€)'!B:F,COLUMN('Country Summary (€)'!C865)-1,FALSE)</f>
        <v>1</v>
      </c>
      <c r="AZ854" s="1194" t="str">
        <f>IF(AND(AD854=1,D854="Military",H854&lt;&gt;"Not given")=TRUE,IF(SUMIFS(P:P,A:A,A854)&gt;0,ABS((SUMIFS(P:P,A:A,A854)/VLOOKUP("USD",'Exchange Rates'!B:C,2,0)))/S854,"."),".")</f>
        <v>.</v>
      </c>
      <c r="BA854" s="1196" t="str">
        <f>IF(AND(AD854=1,D854="Military",H854&lt;&gt;"Not given")=TRUE,IF(SUMIFS(P:P,A:A,A854)&gt;0,IF((ABS((SUMIFS(P:P,A:A,A854)/VLOOKUP("USD",'Exchange Rates'!B:C,2,0)))/S854)&gt;1,(SUMIFS(P:P,A:A,A854)-S854)/S854,(S854-SUMIFS(P:P,A:A,A854))/SUMIFS(P:P,A:A,A854)),"."),".")</f>
        <v>.</v>
      </c>
    </row>
    <row r="855" spans="1:53" ht="15.95" customHeight="1">
      <c r="A855" s="1182" t="s">
        <v>2430</v>
      </c>
      <c r="B855" s="1182" t="s">
        <v>2392</v>
      </c>
      <c r="C855" s="1181">
        <v>44994</v>
      </c>
      <c r="D855" s="1182" t="s">
        <v>360</v>
      </c>
      <c r="E855" s="1182" t="s">
        <v>371</v>
      </c>
      <c r="F855" s="1001" t="s">
        <v>2431</v>
      </c>
      <c r="G855" s="1184" t="s">
        <v>483</v>
      </c>
      <c r="H855" s="1185">
        <v>18500</v>
      </c>
      <c r="I855" s="1180" t="s">
        <v>2432</v>
      </c>
      <c r="J855" s="1186" t="str">
        <f>VLOOKUP($I855,'Price List, Weapons &amp; Items'!B:C,2,0)</f>
        <v>Humanitarian</v>
      </c>
      <c r="K855" s="1186" t="str">
        <f>IF(I855=".",I855,VLOOKUP($I855,'Price List, Weapons &amp; Items'!B:D,3,0))</f>
        <v>Humanitarian</v>
      </c>
      <c r="L855" s="1187">
        <f>VLOOKUP(I855,'Price List, Weapons &amp; Items'!B:E,4,0)</f>
        <v>0</v>
      </c>
      <c r="M855" s="1188">
        <v>8</v>
      </c>
      <c r="N855" s="1188" t="s">
        <v>374</v>
      </c>
      <c r="O855" s="1188">
        <f>VLOOKUP($I855,'Price List, Weapons &amp; Items'!B:G,6,0)</f>
        <v>2513.2249999999999</v>
      </c>
      <c r="P855" s="1185">
        <f t="shared" si="184"/>
        <v>20105.8</v>
      </c>
      <c r="Q855" s="1185" t="str">
        <f t="shared" si="185"/>
        <v>.</v>
      </c>
      <c r="R855" s="1185">
        <f t="shared" si="181"/>
        <v>18500</v>
      </c>
      <c r="S855" s="1185">
        <f>IF(AND(AD855=1,R855&lt;&gt;".")=TRUE,R855/VLOOKUP(G855,'Exchange Rates'!B:C,2,0),IF(R855=".",".",""))</f>
        <v>18500</v>
      </c>
      <c r="T855" s="1185" t="str">
        <f>IF(AD855=1,IF(AF855="Value is not given at all",".",IF(AF855="Value is given by the source",S855,IF(AF855="Value is calculated with prices",(IF(SUMIFS(Q:Q,A:A,A855)&gt;0,SUMIFS(Q:Q,A:A,A855),"."))/VLOOKUP("USD",'Exchange Rates'!B:C,2,0),"Error with coding"))),"")</f>
        <v>.</v>
      </c>
      <c r="U855" s="1184" t="s">
        <v>365</v>
      </c>
      <c r="V855" s="987" t="s">
        <v>2433</v>
      </c>
      <c r="W855" s="976" t="s">
        <v>2434</v>
      </c>
      <c r="X855" s="1196" t="s">
        <v>364</v>
      </c>
      <c r="Y855" s="1183" t="s">
        <v>364</v>
      </c>
      <c r="Z855" s="1184">
        <v>0</v>
      </c>
      <c r="AA855" s="1191">
        <v>1</v>
      </c>
      <c r="AB855" s="1201" t="s">
        <v>364</v>
      </c>
      <c r="AC855" s="1192" t="str">
        <f>""</f>
        <v/>
      </c>
      <c r="AD855" s="1193">
        <v>1</v>
      </c>
      <c r="AE855" s="1193" t="s">
        <v>436</v>
      </c>
      <c r="AF855" s="1193" t="s">
        <v>369</v>
      </c>
      <c r="AG855" s="1193">
        <v>1</v>
      </c>
      <c r="AH855" s="1193">
        <v>15</v>
      </c>
      <c r="AI855" s="1193">
        <v>0</v>
      </c>
      <c r="AJ855" s="1193">
        <f>VLOOKUP($I855,'Price List, Weapons &amp; Items'!B:F,5,0)</f>
        <v>0</v>
      </c>
      <c r="AK855" s="1193">
        <f t="shared" si="186"/>
        <v>0</v>
      </c>
      <c r="AL855" s="1193">
        <f t="shared" si="187"/>
        <v>0</v>
      </c>
      <c r="AM855" s="1193">
        <f t="shared" si="188"/>
        <v>0</v>
      </c>
      <c r="AN855" s="1194" t="str">
        <f>VLOOKUP($I855,'Price List, Weapons &amp; Items'!B:L,COLUMN('Price List, Weapons &amp; Items'!$J$11)-1,0)</f>
        <v>Government information</v>
      </c>
      <c r="AO855" s="1194" t="str">
        <f>IF(I855=".",".",VLOOKUP($I855,'Price List, Weapons &amp; Items'!B:J,3,0))</f>
        <v>Humanitarian</v>
      </c>
      <c r="AP855" s="1195" t="str">
        <f t="shared" ca="1" si="182"/>
        <v>passenger car</v>
      </c>
      <c r="AQ855" s="1194">
        <f>VLOOKUP($I855,'Price List, Weapons &amp; Items'!B:L,COLUMN('Price List, Weapons &amp; Items'!$L$11)-1,0)</f>
        <v>0</v>
      </c>
      <c r="AR855" s="1194">
        <f t="shared" si="189"/>
        <v>1</v>
      </c>
      <c r="AS855" s="1194">
        <f t="shared" si="190"/>
        <v>0</v>
      </c>
      <c r="AT855" s="1194">
        <f t="shared" si="191"/>
        <v>1</v>
      </c>
      <c r="AU855" s="1194" t="str">
        <f t="shared" si="192"/>
        <v>.</v>
      </c>
      <c r="AV855" s="1194" t="str">
        <f t="shared" si="183"/>
        <v>.</v>
      </c>
      <c r="AW855" s="1194" t="str">
        <f t="shared" si="193"/>
        <v>.</v>
      </c>
      <c r="AX855" s="1194">
        <f>IFERROR(VLOOKUP(B855,'Share, Heavy Weapons to Ukraine'!B:Z,COLUMN('Share, Heavy Weapons to Ukraine'!C865)-1,0),0)</f>
        <v>0</v>
      </c>
      <c r="AY855" s="1194">
        <f>VLOOKUP('Bilateral Assistance, MAIN DATA'!B855,'Country Summary (€)'!B:F,COLUMN('Country Summary (€)'!C866)-1,FALSE)</f>
        <v>1</v>
      </c>
      <c r="AZ855" s="1194" t="str">
        <f>IF(AND(AD855=1,D855="Military",H855&lt;&gt;"Not given")=TRUE,IF(SUMIFS(P:P,A:A,A855)&gt;0,ABS((SUMIFS(P:P,A:A,A855)/VLOOKUP("USD",'Exchange Rates'!B:C,2,0)))/S855,"."),".")</f>
        <v>.</v>
      </c>
      <c r="BA855" s="1196" t="str">
        <f>IF(AND(AD855=1,D855="Military",H855&lt;&gt;"Not given")=TRUE,IF(SUMIFS(P:P,A:A,A855)&gt;0,IF((ABS((SUMIFS(P:P,A:A,A855)/VLOOKUP("USD",'Exchange Rates'!B:C,2,0)))/S855)&gt;1,(SUMIFS(P:P,A:A,A855)-S855)/S855,(S855-SUMIFS(P:P,A:A,A855))/SUMIFS(P:P,A:A,A855)),"."),".")</f>
        <v>.</v>
      </c>
    </row>
    <row r="856" spans="1:53" ht="15.95" customHeight="1">
      <c r="A856" s="1182" t="s">
        <v>2435</v>
      </c>
      <c r="B856" s="1182" t="s">
        <v>2392</v>
      </c>
      <c r="C856" s="1181">
        <v>45044</v>
      </c>
      <c r="D856" s="1182" t="s">
        <v>360</v>
      </c>
      <c r="E856" s="1182" t="s">
        <v>371</v>
      </c>
      <c r="F856" s="1001" t="s">
        <v>2436</v>
      </c>
      <c r="G856" s="1184" t="s">
        <v>483</v>
      </c>
      <c r="H856" s="1185" t="s">
        <v>457</v>
      </c>
      <c r="I856" s="1180" t="s">
        <v>2432</v>
      </c>
      <c r="J856" s="1186" t="str">
        <f>VLOOKUP($I856,'Price List, Weapons &amp; Items'!B:C,2,0)</f>
        <v>Humanitarian</v>
      </c>
      <c r="K856" s="1186" t="str">
        <f>IF(I856=".",I856,VLOOKUP($I856,'Price List, Weapons &amp; Items'!B:D,3,0))</f>
        <v>Humanitarian</v>
      </c>
      <c r="L856" s="1187">
        <f>VLOOKUP(I856,'Price List, Weapons &amp; Items'!B:E,4,0)</f>
        <v>0</v>
      </c>
      <c r="M856" s="1188">
        <v>50</v>
      </c>
      <c r="N856" s="1188" t="s">
        <v>374</v>
      </c>
      <c r="O856" s="1188">
        <f>VLOOKUP($I856,'Price List, Weapons &amp; Items'!B:G,6,0)</f>
        <v>2513.2249999999999</v>
      </c>
      <c r="P856" s="1185">
        <f t="shared" si="184"/>
        <v>125661.25</v>
      </c>
      <c r="Q856" s="1185" t="str">
        <f t="shared" si="185"/>
        <v>.</v>
      </c>
      <c r="R856" s="1185">
        <f t="shared" si="181"/>
        <v>342877.68200000003</v>
      </c>
      <c r="S856" s="1185">
        <f>IF(AND(AD856=1,R856&lt;&gt;".")=TRUE,R856/VLOOKUP(G856,'Exchange Rates'!B:C,2,0),IF(R856=".",".",""))</f>
        <v>342877.68200000003</v>
      </c>
      <c r="T856" s="1185" t="str">
        <f>IF(AD856=1,IF(AF856="Value is not given at all",".",IF(AF856="Value is given by the source",S856,IF(AF856="Value is calculated with prices",(IF(SUMIFS(Q:Q,A:A,A856)&gt;0,SUMIFS(Q:Q,A:A,A856),"."))/VLOOKUP("USD",'Exchange Rates'!B:C,2,0),"Error with coding"))),"")</f>
        <v>.</v>
      </c>
      <c r="U856" s="1184" t="s">
        <v>365</v>
      </c>
      <c r="V856" s="987" t="s">
        <v>2437</v>
      </c>
      <c r="W856" s="976" t="s">
        <v>2438</v>
      </c>
      <c r="X856" s="1034" t="s">
        <v>364</v>
      </c>
      <c r="Y856" s="1183" t="s">
        <v>364</v>
      </c>
      <c r="Z856" s="1184">
        <v>0</v>
      </c>
      <c r="AA856" s="1191">
        <v>1</v>
      </c>
      <c r="AB856" s="1201" t="s">
        <v>364</v>
      </c>
      <c r="AC856" s="1192" t="str">
        <f>""</f>
        <v/>
      </c>
      <c r="AD856" s="1193">
        <v>1</v>
      </c>
      <c r="AE856" s="1193" t="s">
        <v>436</v>
      </c>
      <c r="AF856" s="1193" t="s">
        <v>369</v>
      </c>
      <c r="AG856" s="1193">
        <v>1</v>
      </c>
      <c r="AH856" s="1193">
        <v>16</v>
      </c>
      <c r="AI856" s="1193">
        <v>0</v>
      </c>
      <c r="AJ856" s="1193">
        <f>VLOOKUP($I856,'Price List, Weapons &amp; Items'!B:F,5,0)</f>
        <v>0</v>
      </c>
      <c r="AK856" s="1193">
        <f t="shared" si="186"/>
        <v>0</v>
      </c>
      <c r="AL856" s="1193">
        <f t="shared" si="187"/>
        <v>0</v>
      </c>
      <c r="AM856" s="1193">
        <f t="shared" si="188"/>
        <v>0</v>
      </c>
      <c r="AN856" s="1194" t="str">
        <f>VLOOKUP($I856,'Price List, Weapons &amp; Items'!B:L,COLUMN('Price List, Weapons &amp; Items'!$J$11)-1,0)</f>
        <v>Government information</v>
      </c>
      <c r="AO856" s="1194" t="str">
        <f>IF(I856=".",".",VLOOKUP($I856,'Price List, Weapons &amp; Items'!B:J,3,0))</f>
        <v>Humanitarian</v>
      </c>
      <c r="AP856" s="1195" t="str">
        <f t="shared" ca="1" si="182"/>
        <v>passenger car</v>
      </c>
      <c r="AQ856" s="1194">
        <f>VLOOKUP($I856,'Price List, Weapons &amp; Items'!B:L,COLUMN('Price List, Weapons &amp; Items'!$L$11)-1,0)</f>
        <v>0</v>
      </c>
      <c r="AR856" s="1194">
        <f t="shared" si="189"/>
        <v>1</v>
      </c>
      <c r="AS856" s="1194">
        <f t="shared" si="190"/>
        <v>0</v>
      </c>
      <c r="AT856" s="1194">
        <f t="shared" si="191"/>
        <v>1</v>
      </c>
      <c r="AU856" s="1194" t="str">
        <f t="shared" si="192"/>
        <v>.</v>
      </c>
      <c r="AV856" s="1194" t="str">
        <f t="shared" si="183"/>
        <v>.</v>
      </c>
      <c r="AW856" s="1194" t="str">
        <f t="shared" si="193"/>
        <v>.</v>
      </c>
      <c r="AX856" s="1194">
        <f>IFERROR(VLOOKUP(B856,'Share, Heavy Weapons to Ukraine'!B:Z,COLUMN('Share, Heavy Weapons to Ukraine'!C866)-1,0),0)</f>
        <v>0</v>
      </c>
      <c r="AY856" s="1194">
        <f>VLOOKUP('Bilateral Assistance, MAIN DATA'!B856,'Country Summary (€)'!B:F,COLUMN('Country Summary (€)'!C867)-1,FALSE)</f>
        <v>1</v>
      </c>
      <c r="AZ856" s="1194" t="str">
        <f>IF(AND(AD856=1,D856="Military",H856&lt;&gt;"Not given")=TRUE,IF(SUMIFS(P:P,A:A,A856)&gt;0,ABS((SUMIFS(P:P,A:A,A856)/VLOOKUP("USD",'Exchange Rates'!B:C,2,0)))/S856,"."),".")</f>
        <v>.</v>
      </c>
      <c r="BA856" s="1196" t="str">
        <f>IF(AND(AD856=1,D856="Military",H856&lt;&gt;"Not given")=TRUE,IF(SUMIFS(P:P,A:A,A856)&gt;0,IF((ABS((SUMIFS(P:P,A:A,A856)/VLOOKUP("USD",'Exchange Rates'!B:C,2,0)))/S856)&gt;1,(SUMIFS(P:P,A:A,A856)-S856)/S856,(S856-SUMIFS(P:P,A:A,A856))/SUMIFS(P:P,A:A,A856)),"."),".")</f>
        <v>.</v>
      </c>
    </row>
    <row r="857" spans="1:53" ht="15.95" customHeight="1">
      <c r="A857" s="1182" t="s">
        <v>2435</v>
      </c>
      <c r="B857" s="1182" t="s">
        <v>2392</v>
      </c>
      <c r="C857" s="1181">
        <v>45044</v>
      </c>
      <c r="D857" s="1182" t="s">
        <v>360</v>
      </c>
      <c r="E857" s="1182" t="s">
        <v>371</v>
      </c>
      <c r="F857" s="1001" t="s">
        <v>2436</v>
      </c>
      <c r="G857" s="1184" t="s">
        <v>483</v>
      </c>
      <c r="H857" s="1185" t="s">
        <v>457</v>
      </c>
      <c r="I857" s="1180" t="s">
        <v>1324</v>
      </c>
      <c r="J857" s="1186" t="str">
        <f>VLOOKUP($I857,'Price List, Weapons &amp; Items'!B:C,2,0)</f>
        <v>Aviation and drones</v>
      </c>
      <c r="K857" s="1186" t="str">
        <f>IF(I857=".",I857,VLOOKUP($I857,'Price List, Weapons &amp; Items'!B:D,3,0))</f>
        <v>Drone</v>
      </c>
      <c r="L857" s="1187">
        <f>VLOOKUP(I857,'Price List, Weapons &amp; Items'!B:E,4,0)</f>
        <v>0</v>
      </c>
      <c r="M857" s="1188">
        <v>2</v>
      </c>
      <c r="N857" s="1188" t="s">
        <v>374</v>
      </c>
      <c r="O857" s="1188">
        <f>VLOOKUP($I857,'Price List, Weapons &amp; Items'!B:G,6,0)</f>
        <v>6000</v>
      </c>
      <c r="P857" s="1185">
        <f t="shared" si="184"/>
        <v>12000</v>
      </c>
      <c r="Q857" s="1185" t="str">
        <f t="shared" si="185"/>
        <v>.</v>
      </c>
      <c r="R857" s="1185" t="str">
        <f t="shared" si="181"/>
        <v/>
      </c>
      <c r="S857" s="1185" t="str">
        <f>IF(AND(AD857=1,R857&lt;&gt;".")=TRUE,R857/VLOOKUP(G857,'Exchange Rates'!B:C,2,0),IF(R857=".",".",""))</f>
        <v/>
      </c>
      <c r="T857" s="1185" t="str">
        <f>IF(AD857=1,IF(AF857="Value is not given at all",".",IF(AF857="Value is given by the source",S857,IF(AF857="Value is calculated with prices",(IF(SUMIFS(Q:Q,A:A,A857)&gt;0,SUMIFS(Q:Q,A:A,A857),"."))/VLOOKUP("USD",'Exchange Rates'!B:C,2,0),"Error with coding"))),"")</f>
        <v/>
      </c>
      <c r="U857" s="1184" t="s">
        <v>365</v>
      </c>
      <c r="V857" s="974" t="s">
        <v>2437</v>
      </c>
      <c r="W857" s="1029" t="s">
        <v>2438</v>
      </c>
      <c r="X857" s="1034" t="s">
        <v>364</v>
      </c>
      <c r="Y857" s="1183" t="s">
        <v>364</v>
      </c>
      <c r="Z857" s="1184">
        <v>0</v>
      </c>
      <c r="AA857" s="1191">
        <v>1</v>
      </c>
      <c r="AB857" s="1201" t="s">
        <v>364</v>
      </c>
      <c r="AC857" s="1192" t="str">
        <f>""</f>
        <v/>
      </c>
      <c r="AD857" s="1193">
        <v>0</v>
      </c>
      <c r="AE857" s="1193" t="s">
        <v>436</v>
      </c>
      <c r="AF857" s="1193" t="s">
        <v>369</v>
      </c>
      <c r="AG857" s="1193">
        <v>1</v>
      </c>
      <c r="AH857" s="1193">
        <v>16</v>
      </c>
      <c r="AI857" s="1193">
        <v>0</v>
      </c>
      <c r="AJ857" s="1193">
        <f>VLOOKUP($I857,'Price List, Weapons &amp; Items'!B:F,5,0)</f>
        <v>0</v>
      </c>
      <c r="AK857" s="1193">
        <f t="shared" si="186"/>
        <v>0</v>
      </c>
      <c r="AL857" s="1193">
        <f t="shared" si="187"/>
        <v>0</v>
      </c>
      <c r="AM857" s="1193">
        <f t="shared" si="188"/>
        <v>0</v>
      </c>
      <c r="AN857" s="1194" t="str">
        <f>VLOOKUP($I857,'Price List, Weapons &amp; Items'!B:L,COLUMN('Price List, Weapons &amp; Items'!$J$11)-1,0)</f>
        <v>Miscellaneous</v>
      </c>
      <c r="AO857" s="1194" t="str">
        <f>IF(I857=".",".",VLOOKUP($I857,'Price List, Weapons &amp; Items'!B:J,3,0))</f>
        <v>Drone</v>
      </c>
      <c r="AP857" s="1195" t="str">
        <f t="shared" ca="1" si="182"/>
        <v/>
      </c>
      <c r="AQ857" s="1194">
        <f>VLOOKUP($I857,'Price List, Weapons &amp; Items'!B:L,COLUMN('Price List, Weapons &amp; Items'!$L$11)-1,0)</f>
        <v>1</v>
      </c>
      <c r="AR857" s="1194">
        <f t="shared" si="189"/>
        <v>1</v>
      </c>
      <c r="AS857" s="1194">
        <f t="shared" si="190"/>
        <v>0</v>
      </c>
      <c r="AT857" s="1194">
        <f t="shared" si="191"/>
        <v>1</v>
      </c>
      <c r="AU857" s="1194" t="str">
        <f t="shared" si="192"/>
        <v>.</v>
      </c>
      <c r="AV857" s="1194" t="str">
        <f t="shared" si="183"/>
        <v>.</v>
      </c>
      <c r="AW857" s="1194" t="str">
        <f t="shared" si="193"/>
        <v>.</v>
      </c>
      <c r="AX857" s="1194">
        <f>IFERROR(VLOOKUP(B857,'Share, Heavy Weapons to Ukraine'!B:Z,COLUMN('Share, Heavy Weapons to Ukraine'!C867)-1,0),0)</f>
        <v>0</v>
      </c>
      <c r="AY857" s="1194">
        <f>VLOOKUP('Bilateral Assistance, MAIN DATA'!B857,'Country Summary (€)'!B:F,COLUMN('Country Summary (€)'!C868)-1,FALSE)</f>
        <v>1</v>
      </c>
      <c r="AZ857" s="1194" t="str">
        <f>IF(AND(AD857=1,D857="Military",H857&lt;&gt;"Not given")=TRUE,IF(SUMIFS(P:P,A:A,A857)&gt;0,ABS((SUMIFS(P:P,A:A,A857)/VLOOKUP("USD",'Exchange Rates'!B:C,2,0)))/S857,"."),".")</f>
        <v>.</v>
      </c>
      <c r="BA857" s="1196" t="str">
        <f>IF(AND(AD857=1,D857="Military",H857&lt;&gt;"Not given")=TRUE,IF(SUMIFS(P:P,A:A,A857)&gt;0,IF((ABS((SUMIFS(P:P,A:A,A857)/VLOOKUP("USD",'Exchange Rates'!B:C,2,0)))/S857)&gt;1,(SUMIFS(P:P,A:A,A857)-S857)/S857,(S857-SUMIFS(P:P,A:A,A857))/SUMIFS(P:P,A:A,A857)),"."),".")</f>
        <v>.</v>
      </c>
    </row>
    <row r="858" spans="1:53" ht="15.95" customHeight="1">
      <c r="A858" s="1182" t="s">
        <v>2435</v>
      </c>
      <c r="B858" s="1182" t="s">
        <v>2392</v>
      </c>
      <c r="C858" s="1181">
        <v>45044</v>
      </c>
      <c r="D858" s="1182" t="s">
        <v>360</v>
      </c>
      <c r="E858" s="1182" t="s">
        <v>371</v>
      </c>
      <c r="F858" s="1001" t="s">
        <v>2436</v>
      </c>
      <c r="G858" s="1184" t="s">
        <v>483</v>
      </c>
      <c r="H858" s="1185" t="s">
        <v>457</v>
      </c>
      <c r="I858" s="1180" t="s">
        <v>596</v>
      </c>
      <c r="J858" s="1186" t="str">
        <f>VLOOKUP($I858,'Price List, Weapons &amp; Items'!B:C,2,0)</f>
        <v>Military equipment</v>
      </c>
      <c r="K858" s="1186" t="str">
        <f>IF(I858=".",I858,VLOOKUP($I858,'Price List, Weapons &amp; Items'!B:D,3,0))</f>
        <v>Military equipment</v>
      </c>
      <c r="L858" s="1187">
        <f>VLOOKUP(I858,'Price List, Weapons &amp; Items'!B:E,4,0)</f>
        <v>0</v>
      </c>
      <c r="M858" s="1188">
        <v>3</v>
      </c>
      <c r="N858" s="1188" t="s">
        <v>374</v>
      </c>
      <c r="O858" s="1188">
        <f>VLOOKUP($I858,'Price List, Weapons &amp; Items'!B:G,6,0)</f>
        <v>22216</v>
      </c>
      <c r="P858" s="1185">
        <f t="shared" si="184"/>
        <v>66648</v>
      </c>
      <c r="Q858" s="1185" t="str">
        <f t="shared" si="185"/>
        <v>.</v>
      </c>
      <c r="R858" s="1185" t="str">
        <f t="shared" si="181"/>
        <v/>
      </c>
      <c r="S858" s="1185" t="str">
        <f>IF(AND(AD858=1,R858&lt;&gt;".")=TRUE,R858/VLOOKUP(G858,'Exchange Rates'!B:C,2,0),IF(R858=".",".",""))</f>
        <v/>
      </c>
      <c r="T858" s="1185" t="str">
        <f>IF(AD858=1,IF(AF858="Value is not given at all",".",IF(AF858="Value is given by the source",S858,IF(AF858="Value is calculated with prices",(IF(SUMIFS(Q:Q,A:A,A858)&gt;0,SUMIFS(Q:Q,A:A,A858),"."))/VLOOKUP("USD",'Exchange Rates'!B:C,2,0),"Error with coding"))),"")</f>
        <v/>
      </c>
      <c r="U858" s="1184" t="s">
        <v>365</v>
      </c>
      <c r="V858" s="974" t="s">
        <v>2437</v>
      </c>
      <c r="W858" s="1029" t="s">
        <v>2438</v>
      </c>
      <c r="X858" s="1034" t="s">
        <v>364</v>
      </c>
      <c r="Y858" s="1183" t="s">
        <v>364</v>
      </c>
      <c r="Z858" s="1184">
        <v>0</v>
      </c>
      <c r="AA858" s="1191">
        <v>1</v>
      </c>
      <c r="AB858" s="1201" t="s">
        <v>364</v>
      </c>
      <c r="AC858" s="1192" t="str">
        <f>""</f>
        <v/>
      </c>
      <c r="AD858" s="1193">
        <v>0</v>
      </c>
      <c r="AE858" s="1193" t="s">
        <v>436</v>
      </c>
      <c r="AF858" s="1193" t="s">
        <v>369</v>
      </c>
      <c r="AG858" s="1193">
        <v>1</v>
      </c>
      <c r="AH858" s="1193">
        <v>16</v>
      </c>
      <c r="AI858" s="1193">
        <v>0</v>
      </c>
      <c r="AJ858" s="1193">
        <f>VLOOKUP($I858,'Price List, Weapons &amp; Items'!B:F,5,0)</f>
        <v>0</v>
      </c>
      <c r="AK858" s="1193">
        <f t="shared" si="186"/>
        <v>0</v>
      </c>
      <c r="AL858" s="1193">
        <f t="shared" si="187"/>
        <v>0</v>
      </c>
      <c r="AM858" s="1193">
        <f t="shared" si="188"/>
        <v>0</v>
      </c>
      <c r="AN858" s="1194" t="str">
        <f>VLOOKUP($I858,'Price List, Weapons &amp; Items'!B:L,COLUMN('Price List, Weapons &amp; Items'!$J$11)-1,0)</f>
        <v>Government information</v>
      </c>
      <c r="AO858" s="1194" t="str">
        <f>IF(I858=".",".",VLOOKUP($I858,'Price List, Weapons &amp; Items'!B:J,3,0))</f>
        <v>Military equipment</v>
      </c>
      <c r="AP858" s="1195" t="str">
        <f t="shared" ca="1" si="182"/>
        <v/>
      </c>
      <c r="AQ858" s="1194">
        <f>VLOOKUP($I858,'Price List, Weapons &amp; Items'!B:L,COLUMN('Price List, Weapons &amp; Items'!$L$11)-1,0)</f>
        <v>2</v>
      </c>
      <c r="AR858" s="1194">
        <f t="shared" si="189"/>
        <v>1</v>
      </c>
      <c r="AS858" s="1194">
        <f t="shared" si="190"/>
        <v>0</v>
      </c>
      <c r="AT858" s="1194">
        <f t="shared" si="191"/>
        <v>1</v>
      </c>
      <c r="AU858" s="1194" t="str">
        <f t="shared" si="192"/>
        <v>.</v>
      </c>
      <c r="AV858" s="1194" t="str">
        <f t="shared" si="183"/>
        <v>.</v>
      </c>
      <c r="AW858" s="1194" t="str">
        <f t="shared" si="193"/>
        <v>.</v>
      </c>
      <c r="AX858" s="1194">
        <f>IFERROR(VLOOKUP(B858,'Share, Heavy Weapons to Ukraine'!B:Z,COLUMN('Share, Heavy Weapons to Ukraine'!C868)-1,0),0)</f>
        <v>0</v>
      </c>
      <c r="AY858" s="1194">
        <f>VLOOKUP('Bilateral Assistance, MAIN DATA'!B858,'Country Summary (€)'!B:F,COLUMN('Country Summary (€)'!C869)-1,FALSE)</f>
        <v>1</v>
      </c>
      <c r="AZ858" s="1194" t="str">
        <f>IF(AND(AD858=1,D858="Military",H858&lt;&gt;"Not given")=TRUE,IF(SUMIFS(P:P,A:A,A858)&gt;0,ABS((SUMIFS(P:P,A:A,A858)/VLOOKUP("USD",'Exchange Rates'!B:C,2,0)))/S858,"."),".")</f>
        <v>.</v>
      </c>
      <c r="BA858" s="1196" t="str">
        <f>IF(AND(AD858=1,D858="Military",H858&lt;&gt;"Not given")=TRUE,IF(SUMIFS(P:P,A:A,A858)&gt;0,IF((ABS((SUMIFS(P:P,A:A,A858)/VLOOKUP("USD",'Exchange Rates'!B:C,2,0)))/S858)&gt;1,(SUMIFS(P:P,A:A,A858)-S858)/S858,(S858-SUMIFS(P:P,A:A,A858))/SUMIFS(P:P,A:A,A858)),"."),".")</f>
        <v>.</v>
      </c>
    </row>
    <row r="859" spans="1:53" ht="15.95" customHeight="1">
      <c r="A859" s="1182" t="s">
        <v>2435</v>
      </c>
      <c r="B859" s="1182" t="s">
        <v>2392</v>
      </c>
      <c r="C859" s="1181">
        <v>45044</v>
      </c>
      <c r="D859" s="1182" t="s">
        <v>360</v>
      </c>
      <c r="E859" s="1182" t="s">
        <v>371</v>
      </c>
      <c r="F859" s="1001" t="s">
        <v>2436</v>
      </c>
      <c r="G859" s="1184" t="s">
        <v>483</v>
      </c>
      <c r="H859" s="1185" t="s">
        <v>457</v>
      </c>
      <c r="I859" s="1180" t="s">
        <v>2439</v>
      </c>
      <c r="J859" s="1186" t="str">
        <f>VLOOKUP($I859,'Price List, Weapons &amp; Items'!B:C,2,0)</f>
        <v>Humanitarian</v>
      </c>
      <c r="K859" s="1186" t="str">
        <f>IF(I859=".",I859,VLOOKUP($I859,'Price List, Weapons &amp; Items'!B:D,3,0))</f>
        <v>Humanitarian</v>
      </c>
      <c r="L859" s="1187">
        <f>VLOOKUP(I859,'Price List, Weapons &amp; Items'!B:E,4,0)</f>
        <v>0</v>
      </c>
      <c r="M859" s="1188">
        <v>1</v>
      </c>
      <c r="N859" s="1188" t="s">
        <v>374</v>
      </c>
      <c r="O859" s="1188">
        <f>VLOOKUP($I859,'Price List, Weapons &amp; Items'!B:G,6,0)</f>
        <v>3001</v>
      </c>
      <c r="P859" s="1185">
        <f t="shared" si="184"/>
        <v>3001</v>
      </c>
      <c r="Q859" s="1185" t="str">
        <f t="shared" si="185"/>
        <v>.</v>
      </c>
      <c r="R859" s="1185" t="str">
        <f t="shared" si="181"/>
        <v/>
      </c>
      <c r="S859" s="1185" t="str">
        <f>IF(AND(AD859=1,R859&lt;&gt;".")=TRUE,R859/VLOOKUP(G859,'Exchange Rates'!B:C,2,0),IF(R859=".",".",""))</f>
        <v/>
      </c>
      <c r="T859" s="1185" t="str">
        <f>IF(AD859=1,IF(AF859="Value is not given at all",".",IF(AF859="Value is given by the source",S859,IF(AF859="Value is calculated with prices",(IF(SUMIFS(Q:Q,A:A,A859)&gt;0,SUMIFS(Q:Q,A:A,A859),"."))/VLOOKUP("USD",'Exchange Rates'!B:C,2,0),"Error with coding"))),"")</f>
        <v/>
      </c>
      <c r="U859" s="1184" t="s">
        <v>365</v>
      </c>
      <c r="V859" s="974" t="s">
        <v>2437</v>
      </c>
      <c r="W859" s="1029" t="s">
        <v>2438</v>
      </c>
      <c r="X859" s="1034" t="s">
        <v>364</v>
      </c>
      <c r="Y859" s="1183" t="s">
        <v>364</v>
      </c>
      <c r="Z859" s="1184">
        <v>0</v>
      </c>
      <c r="AA859" s="1191">
        <v>1</v>
      </c>
      <c r="AB859" s="1201" t="s">
        <v>364</v>
      </c>
      <c r="AC859" s="1192" t="str">
        <f>""</f>
        <v/>
      </c>
      <c r="AD859" s="1193">
        <v>0</v>
      </c>
      <c r="AE859" s="1193" t="s">
        <v>436</v>
      </c>
      <c r="AF859" s="1193" t="s">
        <v>369</v>
      </c>
      <c r="AG859" s="1193">
        <v>1</v>
      </c>
      <c r="AH859" s="1193">
        <v>16</v>
      </c>
      <c r="AI859" s="1193">
        <v>0</v>
      </c>
      <c r="AJ859" s="1193">
        <f>VLOOKUP($I859,'Price List, Weapons &amp; Items'!B:F,5,0)</f>
        <v>0</v>
      </c>
      <c r="AK859" s="1193">
        <f t="shared" si="186"/>
        <v>0</v>
      </c>
      <c r="AL859" s="1193">
        <f t="shared" si="187"/>
        <v>0</v>
      </c>
      <c r="AM859" s="1193">
        <f t="shared" si="188"/>
        <v>0</v>
      </c>
      <c r="AN859" s="1194" t="str">
        <f>VLOOKUP($I859,'Price List, Weapons &amp; Items'!B:L,COLUMN('Price List, Weapons &amp; Items'!$J$11)-1,0)</f>
        <v>Government information</v>
      </c>
      <c r="AO859" s="1194" t="str">
        <f>IF(I859=".",".",VLOOKUP($I859,'Price List, Weapons &amp; Items'!B:J,3,0))</f>
        <v>Humanitarian</v>
      </c>
      <c r="AP859" s="1195" t="str">
        <f t="shared" ca="1" si="182"/>
        <v/>
      </c>
      <c r="AQ859" s="1194">
        <f>VLOOKUP($I859,'Price List, Weapons &amp; Items'!B:L,COLUMN('Price List, Weapons &amp; Items'!$L$11)-1,0)</f>
        <v>0</v>
      </c>
      <c r="AR859" s="1194">
        <f t="shared" si="189"/>
        <v>1</v>
      </c>
      <c r="AS859" s="1194">
        <f t="shared" si="190"/>
        <v>0</v>
      </c>
      <c r="AT859" s="1194">
        <f t="shared" si="191"/>
        <v>1</v>
      </c>
      <c r="AU859" s="1194" t="str">
        <f t="shared" si="192"/>
        <v>.</v>
      </c>
      <c r="AV859" s="1194" t="str">
        <f t="shared" si="183"/>
        <v>.</v>
      </c>
      <c r="AW859" s="1194" t="str">
        <f t="shared" si="193"/>
        <v>.</v>
      </c>
      <c r="AX859" s="1194">
        <f>IFERROR(VLOOKUP(B859,'Share, Heavy Weapons to Ukraine'!B:Z,COLUMN('Share, Heavy Weapons to Ukraine'!C869)-1,0),0)</f>
        <v>0</v>
      </c>
      <c r="AY859" s="1194">
        <f>VLOOKUP('Bilateral Assistance, MAIN DATA'!B859,'Country Summary (€)'!B:F,COLUMN('Country Summary (€)'!C870)-1,FALSE)</f>
        <v>1</v>
      </c>
      <c r="AZ859" s="1194" t="str">
        <f>IF(AND(AD859=1,D859="Military",H859&lt;&gt;"Not given")=TRUE,IF(SUMIFS(P:P,A:A,A859)&gt;0,ABS((SUMIFS(P:P,A:A,A859)/VLOOKUP("USD",'Exchange Rates'!B:C,2,0)))/S859,"."),".")</f>
        <v>.</v>
      </c>
      <c r="BA859" s="1196" t="str">
        <f>IF(AND(AD859=1,D859="Military",H859&lt;&gt;"Not given")=TRUE,IF(SUMIFS(P:P,A:A,A859)&gt;0,IF((ABS((SUMIFS(P:P,A:A,A859)/VLOOKUP("USD",'Exchange Rates'!B:C,2,0)))/S859)&gt;1,(SUMIFS(P:P,A:A,A859)-S859)/S859,(S859-SUMIFS(P:P,A:A,A859))/SUMIFS(P:P,A:A,A859)),"."),".")</f>
        <v>.</v>
      </c>
    </row>
    <row r="860" spans="1:53" ht="15.95" customHeight="1">
      <c r="A860" s="1182" t="s">
        <v>2435</v>
      </c>
      <c r="B860" s="1182" t="s">
        <v>2392</v>
      </c>
      <c r="C860" s="1181">
        <v>45044</v>
      </c>
      <c r="D860" s="1182" t="s">
        <v>360</v>
      </c>
      <c r="E860" s="1182" t="s">
        <v>371</v>
      </c>
      <c r="F860" s="1001" t="s">
        <v>2436</v>
      </c>
      <c r="G860" s="1184" t="s">
        <v>483</v>
      </c>
      <c r="H860" s="1185" t="s">
        <v>457</v>
      </c>
      <c r="I860" s="1180" t="s">
        <v>2440</v>
      </c>
      <c r="J860" s="1186" t="str">
        <f>VLOOKUP($I860,'Price List, Weapons &amp; Items'!B:C,2,0)</f>
        <v>Military equipment</v>
      </c>
      <c r="K860" s="1186" t="str">
        <f>IF(I860=".",I860,VLOOKUP($I860,'Price List, Weapons &amp; Items'!B:D,3,0))</f>
        <v>Military equipment</v>
      </c>
      <c r="L860" s="1187">
        <f>VLOOKUP(I860,'Price List, Weapons &amp; Items'!B:E,4,0)</f>
        <v>0</v>
      </c>
      <c r="M860" s="1188">
        <v>567</v>
      </c>
      <c r="N860" s="1188" t="s">
        <v>374</v>
      </c>
      <c r="O860" s="1188">
        <f>VLOOKUP($I860,'Price List, Weapons &amp; Items'!B:G,6,0)</f>
        <v>239.096</v>
      </c>
      <c r="P860" s="1185">
        <f t="shared" si="184"/>
        <v>135567.432</v>
      </c>
      <c r="Q860" s="1185" t="str">
        <f t="shared" si="185"/>
        <v>.</v>
      </c>
      <c r="R860" s="1185" t="str">
        <f t="shared" si="181"/>
        <v/>
      </c>
      <c r="S860" s="1185" t="str">
        <f>IF(AND(AD860=1,R860&lt;&gt;".")=TRUE,R860/VLOOKUP(G860,'Exchange Rates'!B:C,2,0),IF(R860=".",".",""))</f>
        <v/>
      </c>
      <c r="T860" s="1185" t="str">
        <f>IF(AD860=1,IF(AF860="Value is not given at all",".",IF(AF860="Value is given by the source",S860,IF(AF860="Value is calculated with prices",(IF(SUMIFS(Q:Q,A:A,A860)&gt;0,SUMIFS(Q:Q,A:A,A860),"."))/VLOOKUP("USD",'Exchange Rates'!B:C,2,0),"Error with coding"))),"")</f>
        <v/>
      </c>
      <c r="U860" s="1184" t="s">
        <v>365</v>
      </c>
      <c r="V860" s="974" t="s">
        <v>2437</v>
      </c>
      <c r="W860" s="1029" t="s">
        <v>2438</v>
      </c>
      <c r="X860" s="1034" t="s">
        <v>364</v>
      </c>
      <c r="Y860" s="1183" t="s">
        <v>364</v>
      </c>
      <c r="Z860" s="1184">
        <v>0</v>
      </c>
      <c r="AA860" s="1191">
        <v>1</v>
      </c>
      <c r="AB860" s="1201" t="s">
        <v>364</v>
      </c>
      <c r="AC860" s="1192" t="str">
        <f>""</f>
        <v/>
      </c>
      <c r="AD860" s="1193">
        <v>0</v>
      </c>
      <c r="AE860" s="1193" t="s">
        <v>436</v>
      </c>
      <c r="AF860" s="1193" t="s">
        <v>369</v>
      </c>
      <c r="AG860" s="1193">
        <v>1</v>
      </c>
      <c r="AH860" s="1193">
        <v>16</v>
      </c>
      <c r="AI860" s="1193">
        <v>0</v>
      </c>
      <c r="AJ860" s="1193">
        <f>VLOOKUP($I860,'Price List, Weapons &amp; Items'!B:F,5,0)</f>
        <v>0</v>
      </c>
      <c r="AK860" s="1193">
        <f t="shared" si="186"/>
        <v>0</v>
      </c>
      <c r="AL860" s="1193">
        <f t="shared" si="187"/>
        <v>0</v>
      </c>
      <c r="AM860" s="1193">
        <f t="shared" si="188"/>
        <v>0</v>
      </c>
      <c r="AN860" s="1194" t="str">
        <f>VLOOKUP($I860,'Price List, Weapons &amp; Items'!B:L,COLUMN('Price List, Weapons &amp; Items'!$J$11)-1,0)</f>
        <v>Online marketplaces and stores</v>
      </c>
      <c r="AO860" s="1194" t="str">
        <f>IF(I860=".",".",VLOOKUP($I860,'Price List, Weapons &amp; Items'!B:J,3,0))</f>
        <v>Military equipment</v>
      </c>
      <c r="AP860" s="1195" t="str">
        <f t="shared" ca="1" si="182"/>
        <v/>
      </c>
      <c r="AQ860" s="1194">
        <f>VLOOKUP($I860,'Price List, Weapons &amp; Items'!B:L,COLUMN('Price List, Weapons &amp; Items'!$L$11)-1,0)</f>
        <v>1</v>
      </c>
      <c r="AR860" s="1194">
        <f t="shared" si="189"/>
        <v>1</v>
      </c>
      <c r="AS860" s="1194">
        <f t="shared" si="190"/>
        <v>0</v>
      </c>
      <c r="AT860" s="1194">
        <f t="shared" si="191"/>
        <v>1</v>
      </c>
      <c r="AU860" s="1194" t="str">
        <f t="shared" si="192"/>
        <v>.</v>
      </c>
      <c r="AV860" s="1194" t="str">
        <f t="shared" si="183"/>
        <v>.</v>
      </c>
      <c r="AW860" s="1194" t="str">
        <f t="shared" si="193"/>
        <v>.</v>
      </c>
      <c r="AX860" s="1194">
        <f>IFERROR(VLOOKUP(B860,'Share, Heavy Weapons to Ukraine'!B:Z,COLUMN('Share, Heavy Weapons to Ukraine'!C870)-1,0),0)</f>
        <v>0</v>
      </c>
      <c r="AY860" s="1194">
        <f>VLOOKUP('Bilateral Assistance, MAIN DATA'!B860,'Country Summary (€)'!B:F,COLUMN('Country Summary (€)'!C871)-1,FALSE)</f>
        <v>1</v>
      </c>
      <c r="AZ860" s="1194" t="str">
        <f>IF(AND(AD860=1,D860="Military",H860&lt;&gt;"Not given")=TRUE,IF(SUMIFS(P:P,A:A,A860)&gt;0,ABS((SUMIFS(P:P,A:A,A860)/VLOOKUP("USD",'Exchange Rates'!B:C,2,0)))/S860,"."),".")</f>
        <v>.</v>
      </c>
      <c r="BA860" s="1196" t="str">
        <f>IF(AND(AD860=1,D860="Military",H860&lt;&gt;"Not given")=TRUE,IF(SUMIFS(P:P,A:A,A860)&gt;0,IF((ABS((SUMIFS(P:P,A:A,A860)/VLOOKUP("USD",'Exchange Rates'!B:C,2,0)))/S860)&gt;1,(SUMIFS(P:P,A:A,A860)-S860)/S860,(S860-SUMIFS(P:P,A:A,A860))/SUMIFS(P:P,A:A,A860)),"."),".")</f>
        <v>.</v>
      </c>
    </row>
    <row r="861" spans="1:53" ht="15.95" customHeight="1">
      <c r="A861" s="1182" t="s">
        <v>2441</v>
      </c>
      <c r="B861" s="1182" t="s">
        <v>2392</v>
      </c>
      <c r="C861" s="1181" t="s">
        <v>2442</v>
      </c>
      <c r="D861" s="1182" t="s">
        <v>389</v>
      </c>
      <c r="E861" s="1182" t="s">
        <v>390</v>
      </c>
      <c r="F861" s="1001" t="s">
        <v>2443</v>
      </c>
      <c r="G861" s="1184" t="s">
        <v>483</v>
      </c>
      <c r="H861" s="1185">
        <v>218800000</v>
      </c>
      <c r="I861" s="1239" t="s">
        <v>2444</v>
      </c>
      <c r="J861" s="1186" t="str">
        <f>VLOOKUP($I861,'Price List, Weapons &amp; Items'!B:C,2,0)</f>
        <v>Military equipment</v>
      </c>
      <c r="K861" s="1186" t="str">
        <f>IF(I861=".",I861,VLOOKUP($I861,'Price List, Weapons &amp; Items'!B:D,3,0))</f>
        <v>Military equipment</v>
      </c>
      <c r="L861" s="1187">
        <f>VLOOKUP(I861,'Price List, Weapons &amp; Items'!B:E,4,0)</f>
        <v>0</v>
      </c>
      <c r="M861" s="1188">
        <v>1</v>
      </c>
      <c r="N861" s="1188">
        <v>1</v>
      </c>
      <c r="O861" s="1188">
        <f>VLOOKUP($I861,'Price List, Weapons &amp; Items'!B:G,6,0)</f>
        <v>30912939.199999999</v>
      </c>
      <c r="P861" s="1185">
        <f t="shared" si="184"/>
        <v>30912939.199999999</v>
      </c>
      <c r="Q861" s="1185">
        <f t="shared" si="185"/>
        <v>30912939.199999999</v>
      </c>
      <c r="R861" s="1185">
        <f t="shared" si="181"/>
        <v>218800000</v>
      </c>
      <c r="S861" s="1185">
        <f>IF(AND(AD861=1,R861&lt;&gt;".")=TRUE,R861/VLOOKUP(G861,'Exchange Rates'!B:C,2,0),IF(R861=".",".",""))</f>
        <v>218800000</v>
      </c>
      <c r="T861" s="1185">
        <f>IF(AD861=1,IF(AF861="Value is not given at all",".",IF(AF861="Value is given by the source",S861,IF(AF861="Value is calculated with prices",(IF(SUMIFS(Q:Q,A:A,A861)&gt;0,SUMIFS(Q:Q,A:A,A861),"."))/VLOOKUP("USD",'Exchange Rates'!B:C,2,0),"Error with coding"))),"")</f>
        <v>218800000</v>
      </c>
      <c r="U861" s="1184" t="s">
        <v>365</v>
      </c>
      <c r="V861" s="974" t="s">
        <v>2394</v>
      </c>
      <c r="W861" s="974" t="s">
        <v>2445</v>
      </c>
      <c r="X861" s="974" t="s">
        <v>2446</v>
      </c>
      <c r="Y861" s="1196" t="s">
        <v>364</v>
      </c>
      <c r="Z861" s="1184">
        <v>0</v>
      </c>
      <c r="AA861" s="1194">
        <v>0</v>
      </c>
      <c r="AB861" s="977" t="s">
        <v>2447</v>
      </c>
      <c r="AC861" s="1192" t="str">
        <f>""</f>
        <v/>
      </c>
      <c r="AD861" s="1193">
        <v>1</v>
      </c>
      <c r="AE861" s="1193" t="s">
        <v>368</v>
      </c>
      <c r="AF861" s="1193" t="s">
        <v>368</v>
      </c>
      <c r="AG861" s="1193">
        <v>1</v>
      </c>
      <c r="AH861" s="1193">
        <v>4</v>
      </c>
      <c r="AI861" s="1193">
        <v>0</v>
      </c>
      <c r="AJ861" s="1193">
        <f>VLOOKUP($I861,'Price List, Weapons &amp; Items'!B:F,5,0)</f>
        <v>0</v>
      </c>
      <c r="AK861" s="1193">
        <f t="shared" si="186"/>
        <v>0</v>
      </c>
      <c r="AL861" s="1193">
        <f t="shared" si="187"/>
        <v>0</v>
      </c>
      <c r="AM861" s="1193">
        <f t="shared" si="188"/>
        <v>0</v>
      </c>
      <c r="AN861" s="1194" t="str">
        <f>VLOOKUP($I861,'Price List, Weapons &amp; Items'!B:L,COLUMN('Price List, Weapons &amp; Items'!$J$11)-1,0)</f>
        <v>Calculated according with the E-Mail from the Ministry of Defence of the Republic of Latvia, since 13% of 220 million EUR went on armament</v>
      </c>
      <c r="AO861" s="1194" t="str">
        <f>IF(I861=".",".",VLOOKUP($I861,'Price List, Weapons &amp; Items'!B:J,3,0))</f>
        <v>Military equipment</v>
      </c>
      <c r="AP861" s="1195" t="str">
        <f t="shared" ca="1" si="182"/>
        <v>armament (Latvia)</v>
      </c>
      <c r="AQ861" s="1194">
        <f>VLOOKUP($I861,'Price List, Weapons &amp; Items'!B:L,COLUMN('Price List, Weapons &amp; Items'!$L$11)-1,0)</f>
        <v>2</v>
      </c>
      <c r="AR861" s="1194">
        <f t="shared" si="189"/>
        <v>1</v>
      </c>
      <c r="AS861" s="1194">
        <f t="shared" si="190"/>
        <v>1</v>
      </c>
      <c r="AT861" s="1194" t="str">
        <f t="shared" si="191"/>
        <v>Value is not in date format</v>
      </c>
      <c r="AU861" s="1194" t="str">
        <f t="shared" si="192"/>
        <v>.</v>
      </c>
      <c r="AV861" s="1194" t="str">
        <f t="shared" si="183"/>
        <v>.</v>
      </c>
      <c r="AW861" s="1194" t="str">
        <f t="shared" si="193"/>
        <v>.</v>
      </c>
      <c r="AX861" s="1194">
        <f>IFERROR(VLOOKUP(B861,'Share, Heavy Weapons to Ukraine'!B:Z,COLUMN('Share, Heavy Weapons to Ukraine'!C871)-1,0),0)</f>
        <v>0</v>
      </c>
      <c r="AY861" s="1194">
        <f>VLOOKUP('Bilateral Assistance, MAIN DATA'!B861,'Country Summary (€)'!B:F,COLUMN('Country Summary (€)'!C872)-1,FALSE)</f>
        <v>1</v>
      </c>
      <c r="AZ861" s="1194">
        <f>IF(AND(AD861=1,D861="Military",H861&lt;&gt;"Not given")=TRUE,IF(SUMIFS(P:P,A:A,A861)&gt;0,ABS((SUMIFS(P:P,A:A,A861)/VLOOKUP("USD",'Exchange Rates'!B:C,2,0)))/S861,"."),".")</f>
        <v>0.98000000000000009</v>
      </c>
      <c r="BA861" s="1196">
        <f>IF(AND(AD861=1,D861="Military",H861&lt;&gt;"Not given")=TRUE,IF(SUMIFS(P:P,A:A,A861)&gt;0,IF((ABS((SUMIFS(P:P,A:A,A861)/VLOOKUP("USD",'Exchange Rates'!B:C,2,0)))/S861)&gt;1,(SUMIFS(P:P,A:A,A861)-S861)/S861,(S861-SUMIFS(P:P,A:A,A861))/SUMIFS(P:P,A:A,A861)),"."),".")</f>
        <v>-6.1089286653196496E-2</v>
      </c>
    </row>
    <row r="862" spans="1:53" ht="15.95" customHeight="1">
      <c r="A862" s="1182" t="s">
        <v>2441</v>
      </c>
      <c r="B862" s="1182" t="s">
        <v>2392</v>
      </c>
      <c r="C862" s="1181" t="s">
        <v>2442</v>
      </c>
      <c r="D862" s="1182" t="s">
        <v>389</v>
      </c>
      <c r="E862" s="1182" t="s">
        <v>390</v>
      </c>
      <c r="F862" s="1001" t="s">
        <v>2443</v>
      </c>
      <c r="G862" s="1184" t="s">
        <v>483</v>
      </c>
      <c r="H862" s="1185">
        <v>218800000</v>
      </c>
      <c r="I862" s="1239" t="s">
        <v>2448</v>
      </c>
      <c r="J862" s="1186" t="str">
        <f>VLOOKUP($I862,'Price List, Weapons &amp; Items'!B:C,2,0)</f>
        <v>Portable defence system</v>
      </c>
      <c r="K862" s="1186" t="str">
        <f>IF(I862=".",I862,VLOOKUP($I862,'Price List, Weapons &amp; Items'!B:D,3,0))</f>
        <v>MANPADS</v>
      </c>
      <c r="L862" s="1187">
        <f>VLOOKUP(I862,'Price List, Weapons &amp; Items'!B:E,4,0)</f>
        <v>0</v>
      </c>
      <c r="M862" s="1188">
        <v>1</v>
      </c>
      <c r="N862" s="1188">
        <v>1</v>
      </c>
      <c r="O862" s="1188">
        <f>VLOOKUP($I862,'Price List, Weapons &amp; Items'!B:G,6,0)</f>
        <v>133163430.40000002</v>
      </c>
      <c r="P862" s="1185">
        <f t="shared" si="184"/>
        <v>133163430.40000002</v>
      </c>
      <c r="Q862" s="1185">
        <f t="shared" si="185"/>
        <v>133163430.40000002</v>
      </c>
      <c r="R862" s="1185" t="str">
        <f t="shared" si="181"/>
        <v/>
      </c>
      <c r="S862" s="1185" t="str">
        <f>IF(AND(AD862=1,R862&lt;&gt;".")=TRUE,R862/VLOOKUP(G862,'Exchange Rates'!B:C,2,0),IF(R862=".",".",""))</f>
        <v/>
      </c>
      <c r="T862" s="1185" t="str">
        <f>IF(AD862=1,IF(AF862="Value is not given at all",".",IF(AF862="Value is given by the source",S862,IF(AF862="Value is calculated with prices",(IF(SUMIFS(Q:Q,A:A,A862)&gt;0,SUMIFS(Q:Q,A:A,A862),"."))/VLOOKUP("USD",'Exchange Rates'!B:C,2,0),"Error with coding"))),"")</f>
        <v/>
      </c>
      <c r="U862" s="1184" t="s">
        <v>365</v>
      </c>
      <c r="V862" s="974" t="s">
        <v>2394</v>
      </c>
      <c r="W862" s="974" t="s">
        <v>2445</v>
      </c>
      <c r="X862" s="974" t="s">
        <v>2446</v>
      </c>
      <c r="Y862" s="1196" t="s">
        <v>364</v>
      </c>
      <c r="Z862" s="1184">
        <v>0</v>
      </c>
      <c r="AA862" s="1194">
        <v>0</v>
      </c>
      <c r="AB862" s="977" t="s">
        <v>2447</v>
      </c>
      <c r="AC862" s="1192" t="str">
        <f>""</f>
        <v/>
      </c>
      <c r="AD862" s="1193">
        <v>0</v>
      </c>
      <c r="AE862" s="1193" t="s">
        <v>368</v>
      </c>
      <c r="AF862" s="1193" t="s">
        <v>368</v>
      </c>
      <c r="AG862" s="1193">
        <v>1</v>
      </c>
      <c r="AH862" s="1193">
        <v>4</v>
      </c>
      <c r="AI862" s="1193">
        <v>0</v>
      </c>
      <c r="AJ862" s="1193">
        <f>VLOOKUP($I862,'Price List, Weapons &amp; Items'!B:F,5,0)</f>
        <v>0</v>
      </c>
      <c r="AK862" s="1193">
        <f t="shared" si="186"/>
        <v>0</v>
      </c>
      <c r="AL862" s="1193">
        <f t="shared" si="187"/>
        <v>0</v>
      </c>
      <c r="AM862" s="1193">
        <f t="shared" si="188"/>
        <v>0</v>
      </c>
      <c r="AN862" s="1194" t="str">
        <f>VLOOKUP($I862,'Price List, Weapons &amp; Items'!B:L,COLUMN('Price List, Weapons &amp; Items'!$J$11)-1,0)</f>
        <v>.</v>
      </c>
      <c r="AO862" s="1194" t="str">
        <f>IF(I862=".",".",VLOOKUP($I862,'Price List, Weapons &amp; Items'!B:J,3,0))</f>
        <v>MANPADS</v>
      </c>
      <c r="AP862" s="1195" t="str">
        <f t="shared" ca="1" si="182"/>
        <v/>
      </c>
      <c r="AQ862" s="1194">
        <f>VLOOKUP($I862,'Price List, Weapons &amp; Items'!B:L,COLUMN('Price List, Weapons &amp; Items'!$L$11)-1,0)</f>
        <v>2</v>
      </c>
      <c r="AR862" s="1194">
        <f t="shared" si="189"/>
        <v>1</v>
      </c>
      <c r="AS862" s="1194">
        <f t="shared" si="190"/>
        <v>1</v>
      </c>
      <c r="AT862" s="1194" t="str">
        <f t="shared" si="191"/>
        <v>Value is not in date format</v>
      </c>
      <c r="AU862" s="1194" t="str">
        <f t="shared" si="192"/>
        <v>.</v>
      </c>
      <c r="AV862" s="1194" t="str">
        <f t="shared" si="183"/>
        <v>.</v>
      </c>
      <c r="AW862" s="1194" t="str">
        <f t="shared" si="193"/>
        <v>.</v>
      </c>
      <c r="AX862" s="1194">
        <f>IFERROR(VLOOKUP(B862,'Share, Heavy Weapons to Ukraine'!B:Z,COLUMN('Share, Heavy Weapons to Ukraine'!C872)-1,0),0)</f>
        <v>0</v>
      </c>
      <c r="AY862" s="1194">
        <f>VLOOKUP('Bilateral Assistance, MAIN DATA'!B862,'Country Summary (€)'!B:F,COLUMN('Country Summary (€)'!C873)-1,FALSE)</f>
        <v>1</v>
      </c>
      <c r="AZ862" s="1194" t="str">
        <f>IF(AND(AD862=1,D862="Military",H862&lt;&gt;"Not given")=TRUE,IF(SUMIFS(P:P,A:A,A862)&gt;0,ABS((SUMIFS(P:P,A:A,A862)/VLOOKUP("USD",'Exchange Rates'!B:C,2,0)))/S862,"."),".")</f>
        <v>.</v>
      </c>
      <c r="BA862" s="1196" t="str">
        <f>IF(AND(AD862=1,D862="Military",H862&lt;&gt;"Not given")=TRUE,IF(SUMIFS(P:P,A:A,A862)&gt;0,IF((ABS((SUMIFS(P:P,A:A,A862)/VLOOKUP("USD",'Exchange Rates'!B:C,2,0)))/S862)&gt;1,(SUMIFS(P:P,A:A,A862)-S862)/S862,(S862-SUMIFS(P:P,A:A,A862))/SUMIFS(P:P,A:A,A862)),"."),".")</f>
        <v>.</v>
      </c>
    </row>
    <row r="863" spans="1:53" ht="15.95" customHeight="1">
      <c r="A863" s="1182" t="s">
        <v>2441</v>
      </c>
      <c r="B863" s="1182" t="s">
        <v>2392</v>
      </c>
      <c r="C863" s="1181" t="s">
        <v>2442</v>
      </c>
      <c r="D863" s="1182" t="s">
        <v>389</v>
      </c>
      <c r="E863" s="1182" t="s">
        <v>390</v>
      </c>
      <c r="F863" s="1001" t="s">
        <v>2443</v>
      </c>
      <c r="G863" s="1184" t="s">
        <v>483</v>
      </c>
      <c r="H863" s="1185">
        <v>218800000</v>
      </c>
      <c r="I863" s="1239" t="s">
        <v>2449</v>
      </c>
      <c r="J863" s="1186" t="str">
        <f>VLOOKUP($I863,'Price List, Weapons &amp; Items'!B:C,2,0)</f>
        <v>Aviation and drones</v>
      </c>
      <c r="K863" s="1186" t="str">
        <f>IF(I863=".",I863,VLOOKUP($I863,'Price List, Weapons &amp; Items'!B:D,3,0))</f>
        <v>Drone</v>
      </c>
      <c r="L863" s="1187">
        <f>VLOOKUP(I863,'Price List, Weapons &amp; Items'!B:E,4,0)</f>
        <v>0</v>
      </c>
      <c r="M863" s="1188">
        <v>1</v>
      </c>
      <c r="N863" s="1188">
        <v>1</v>
      </c>
      <c r="O863" s="1188">
        <f>VLOOKUP($I863,'Price List, Weapons &amp; Items'!B:G,6,0)</f>
        <v>11889592</v>
      </c>
      <c r="P863" s="1185">
        <f t="shared" si="184"/>
        <v>11889592</v>
      </c>
      <c r="Q863" s="1185">
        <f t="shared" si="185"/>
        <v>11889592</v>
      </c>
      <c r="R863" s="1185" t="str">
        <f t="shared" si="181"/>
        <v/>
      </c>
      <c r="S863" s="1185" t="str">
        <f>IF(AND(AD863=1,R863&lt;&gt;".")=TRUE,R863/VLOOKUP(G863,'Exchange Rates'!B:C,2,0),IF(R863=".",".",""))</f>
        <v/>
      </c>
      <c r="T863" s="1185" t="str">
        <f>IF(AD863=1,IF(AF863="Value is not given at all",".",IF(AF863="Value is given by the source",S863,IF(AF863="Value is calculated with prices",(IF(SUMIFS(Q:Q,A:A,A863)&gt;0,SUMIFS(Q:Q,A:A,A863),"."))/VLOOKUP("USD",'Exchange Rates'!B:C,2,0),"Error with coding"))),"")</f>
        <v/>
      </c>
      <c r="U863" s="1184" t="s">
        <v>365</v>
      </c>
      <c r="V863" s="974" t="s">
        <v>2394</v>
      </c>
      <c r="W863" s="974" t="s">
        <v>2445</v>
      </c>
      <c r="X863" s="974" t="s">
        <v>2446</v>
      </c>
      <c r="Y863" s="1196" t="s">
        <v>364</v>
      </c>
      <c r="Z863" s="1184">
        <v>0</v>
      </c>
      <c r="AA863" s="1194">
        <v>0</v>
      </c>
      <c r="AB863" s="977" t="s">
        <v>2447</v>
      </c>
      <c r="AC863" s="1192" t="str">
        <f>""</f>
        <v/>
      </c>
      <c r="AD863" s="1193">
        <v>0</v>
      </c>
      <c r="AE863" s="1193" t="s">
        <v>368</v>
      </c>
      <c r="AF863" s="1193" t="s">
        <v>368</v>
      </c>
      <c r="AG863" s="1193">
        <v>1</v>
      </c>
      <c r="AH863" s="1193">
        <v>4</v>
      </c>
      <c r="AI863" s="1193">
        <v>0</v>
      </c>
      <c r="AJ863" s="1193">
        <f>VLOOKUP($I863,'Price List, Weapons &amp; Items'!B:F,5,0)</f>
        <v>0</v>
      </c>
      <c r="AK863" s="1193">
        <f t="shared" si="186"/>
        <v>0</v>
      </c>
      <c r="AL863" s="1193">
        <f t="shared" si="187"/>
        <v>0</v>
      </c>
      <c r="AM863" s="1193">
        <f t="shared" si="188"/>
        <v>0</v>
      </c>
      <c r="AN863" s="1194" t="str">
        <f>VLOOKUP($I863,'Price List, Weapons &amp; Items'!B:L,COLUMN('Price List, Weapons &amp; Items'!$J$11)-1,0)</f>
        <v>.</v>
      </c>
      <c r="AO863" s="1194" t="str">
        <f>IF(I863=".",".",VLOOKUP($I863,'Price List, Weapons &amp; Items'!B:J,3,0))</f>
        <v>Drone</v>
      </c>
      <c r="AP863" s="1195" t="str">
        <f t="shared" ca="1" si="182"/>
        <v/>
      </c>
      <c r="AQ863" s="1194">
        <f>VLOOKUP($I863,'Price List, Weapons &amp; Items'!B:L,COLUMN('Price List, Weapons &amp; Items'!$L$11)-1,0)</f>
        <v>2</v>
      </c>
      <c r="AR863" s="1194">
        <f t="shared" si="189"/>
        <v>1</v>
      </c>
      <c r="AS863" s="1194">
        <f t="shared" si="190"/>
        <v>1</v>
      </c>
      <c r="AT863" s="1194" t="str">
        <f t="shared" si="191"/>
        <v>Value is not in date format</v>
      </c>
      <c r="AU863" s="1194" t="str">
        <f t="shared" si="192"/>
        <v>.</v>
      </c>
      <c r="AV863" s="1194" t="str">
        <f t="shared" si="183"/>
        <v>.</v>
      </c>
      <c r="AW863" s="1194" t="str">
        <f t="shared" si="193"/>
        <v>.</v>
      </c>
      <c r="AX863" s="1194">
        <f>IFERROR(VLOOKUP(B863,'Share, Heavy Weapons to Ukraine'!B:Z,COLUMN('Share, Heavy Weapons to Ukraine'!C873)-1,0),0)</f>
        <v>0</v>
      </c>
      <c r="AY863" s="1194">
        <f>VLOOKUP('Bilateral Assistance, MAIN DATA'!B863,'Country Summary (€)'!B:F,COLUMN('Country Summary (€)'!C874)-1,FALSE)</f>
        <v>1</v>
      </c>
      <c r="AZ863" s="1194" t="str">
        <f>IF(AND(AD863=1,D863="Military",H863&lt;&gt;"Not given")=TRUE,IF(SUMIFS(P:P,A:A,A863)&gt;0,ABS((SUMIFS(P:P,A:A,A863)/VLOOKUP("USD",'Exchange Rates'!B:C,2,0)))/S863,"."),".")</f>
        <v>.</v>
      </c>
      <c r="BA863" s="1196" t="str">
        <f>IF(AND(AD863=1,D863="Military",H863&lt;&gt;"Not given")=TRUE,IF(SUMIFS(P:P,A:A,A863)&gt;0,IF((ABS((SUMIFS(P:P,A:A,A863)/VLOOKUP("USD",'Exchange Rates'!B:C,2,0)))/S863)&gt;1,(SUMIFS(P:P,A:A,A863)-S863)/S863,(S863-SUMIFS(P:P,A:A,A863))/SUMIFS(P:P,A:A,A863)),"."),".")</f>
        <v>.</v>
      </c>
    </row>
    <row r="864" spans="1:53" ht="15.95" customHeight="1">
      <c r="A864" s="1182" t="s">
        <v>2441</v>
      </c>
      <c r="B864" s="1182" t="s">
        <v>2392</v>
      </c>
      <c r="C864" s="1181" t="s">
        <v>2442</v>
      </c>
      <c r="D864" s="1182" t="s">
        <v>389</v>
      </c>
      <c r="E864" s="1182" t="s">
        <v>390</v>
      </c>
      <c r="F864" s="1001" t="s">
        <v>2443</v>
      </c>
      <c r="G864" s="1184" t="s">
        <v>483</v>
      </c>
      <c r="H864" s="1185">
        <v>218800000</v>
      </c>
      <c r="I864" s="1180" t="s">
        <v>2450</v>
      </c>
      <c r="J864" s="1186" t="str">
        <f>VLOOKUP($I864,'Price List, Weapons &amp; Items'!B:C,2,0)</f>
        <v>Aviation and drones</v>
      </c>
      <c r="K864" s="1186" t="str">
        <f>IF(I864=".",I864,VLOOKUP($I864,'Price List, Weapons &amp; Items'!B:D,3,0))</f>
        <v>spare parts</v>
      </c>
      <c r="L864" s="1187">
        <f>VLOOKUP(I864,'Price List, Weapons &amp; Items'!B:E,4,0)</f>
        <v>0</v>
      </c>
      <c r="M864" s="1188">
        <v>1</v>
      </c>
      <c r="N864" s="1188">
        <v>1</v>
      </c>
      <c r="O864" s="1188">
        <f>VLOOKUP($I864,'Price List, Weapons &amp; Items'!B:G,6,0)</f>
        <v>57070041.600000001</v>
      </c>
      <c r="P864" s="1185">
        <f t="shared" si="184"/>
        <v>57070041.600000001</v>
      </c>
      <c r="Q864" s="1185">
        <f t="shared" si="185"/>
        <v>57070041.600000001</v>
      </c>
      <c r="R864" s="1185" t="str">
        <f t="shared" si="181"/>
        <v/>
      </c>
      <c r="S864" s="1185" t="str">
        <f>IF(AND(AD864=1,R864&lt;&gt;".")=TRUE,R864/VLOOKUP(G864,'Exchange Rates'!B:C,2,0),IF(R864=".",".",""))</f>
        <v/>
      </c>
      <c r="T864" s="1185" t="str">
        <f>IF(AD864=1,IF(AF864="Value is not given at all",".",IF(AF864="Value is given by the source",S864,IF(AF864="Value is calculated with prices",(IF(SUMIFS(Q:Q,A:A,A864)&gt;0,SUMIFS(Q:Q,A:A,A864),"."))/VLOOKUP("USD",'Exchange Rates'!B:C,2,0),"Error with coding"))),"")</f>
        <v/>
      </c>
      <c r="U864" s="1184" t="s">
        <v>365</v>
      </c>
      <c r="V864" s="974" t="s">
        <v>2394</v>
      </c>
      <c r="W864" s="974" t="s">
        <v>2445</v>
      </c>
      <c r="X864" s="974" t="s">
        <v>2446</v>
      </c>
      <c r="Y864" s="1196" t="s">
        <v>364</v>
      </c>
      <c r="Z864" s="1184">
        <v>0</v>
      </c>
      <c r="AA864" s="1194">
        <v>0</v>
      </c>
      <c r="AB864" s="977" t="s">
        <v>2447</v>
      </c>
      <c r="AC864" s="1192" t="str">
        <f>""</f>
        <v/>
      </c>
      <c r="AD864" s="1193">
        <v>0</v>
      </c>
      <c r="AE864" s="1193" t="s">
        <v>368</v>
      </c>
      <c r="AF864" s="1193" t="s">
        <v>368</v>
      </c>
      <c r="AG864" s="1193">
        <v>1</v>
      </c>
      <c r="AH864" s="1193">
        <v>4</v>
      </c>
      <c r="AI864" s="1193">
        <v>0</v>
      </c>
      <c r="AJ864" s="1193">
        <f>VLOOKUP($I864,'Price List, Weapons &amp; Items'!B:F,5,0)</f>
        <v>0</v>
      </c>
      <c r="AK864" s="1193">
        <f t="shared" si="186"/>
        <v>0</v>
      </c>
      <c r="AL864" s="1193">
        <f t="shared" si="187"/>
        <v>0</v>
      </c>
      <c r="AM864" s="1193">
        <f t="shared" si="188"/>
        <v>0</v>
      </c>
      <c r="AN864" s="1194" t="str">
        <f>VLOOKUP($I864,'Price List, Weapons &amp; Items'!B:L,COLUMN('Price List, Weapons &amp; Items'!$J$11)-1,0)</f>
        <v>.</v>
      </c>
      <c r="AO864" s="1194" t="str">
        <f>IF(I864=".",".",VLOOKUP($I864,'Price List, Weapons &amp; Items'!B:J,3,0))</f>
        <v>spare parts</v>
      </c>
      <c r="AP864" s="1195" t="str">
        <f t="shared" ca="1" si="182"/>
        <v/>
      </c>
      <c r="AQ864" s="1194">
        <f>VLOOKUP($I864,'Price List, Weapons &amp; Items'!B:L,COLUMN('Price List, Weapons &amp; Items'!$L$11)-1,0)</f>
        <v>2</v>
      </c>
      <c r="AR864" s="1194">
        <f t="shared" si="189"/>
        <v>1</v>
      </c>
      <c r="AS864" s="1194">
        <f t="shared" si="190"/>
        <v>1</v>
      </c>
      <c r="AT864" s="1194" t="str">
        <f t="shared" si="191"/>
        <v>Value is not in date format</v>
      </c>
      <c r="AU864" s="1194" t="str">
        <f t="shared" si="192"/>
        <v>.</v>
      </c>
      <c r="AV864" s="1194" t="str">
        <f t="shared" si="183"/>
        <v>.</v>
      </c>
      <c r="AW864" s="1194" t="str">
        <f t="shared" si="193"/>
        <v>.</v>
      </c>
      <c r="AX864" s="1194">
        <f>IFERROR(VLOOKUP(B864,'Share, Heavy Weapons to Ukraine'!B:Z,COLUMN('Share, Heavy Weapons to Ukraine'!C874)-1,0),0)</f>
        <v>0</v>
      </c>
      <c r="AY864" s="1194">
        <f>VLOOKUP('Bilateral Assistance, MAIN DATA'!B864,'Country Summary (€)'!B:F,COLUMN('Country Summary (€)'!C875)-1,FALSE)</f>
        <v>1</v>
      </c>
      <c r="AZ864" s="1194" t="str">
        <f>IF(AND(AD864=1,D864="Military",H864&lt;&gt;"Not given")=TRUE,IF(SUMIFS(P:P,A:A,A864)&gt;0,ABS((SUMIFS(P:P,A:A,A864)/VLOOKUP("USD",'Exchange Rates'!B:C,2,0)))/S864,"."),".")</f>
        <v>.</v>
      </c>
      <c r="BA864" s="1196" t="str">
        <f>IF(AND(AD864=1,D864="Military",H864&lt;&gt;"Not given")=TRUE,IF(SUMIFS(P:P,A:A,A864)&gt;0,IF((ABS((SUMIFS(P:P,A:A,A864)/VLOOKUP("USD",'Exchange Rates'!B:C,2,0)))/S864)&gt;1,(SUMIFS(P:P,A:A,A864)-S864)/S864,(S864-SUMIFS(P:P,A:A,A864))/SUMIFS(P:P,A:A,A864)),"."),".")</f>
        <v>.</v>
      </c>
    </row>
    <row r="865" spans="1:53" ht="15.95" customHeight="1">
      <c r="A865" s="1182" t="s">
        <v>2441</v>
      </c>
      <c r="B865" s="1182" t="s">
        <v>2392</v>
      </c>
      <c r="C865" s="1181" t="s">
        <v>2442</v>
      </c>
      <c r="D865" s="1182" t="s">
        <v>389</v>
      </c>
      <c r="E865" s="1182" t="s">
        <v>390</v>
      </c>
      <c r="F865" s="1001" t="s">
        <v>2443</v>
      </c>
      <c r="G865" s="1184" t="s">
        <v>483</v>
      </c>
      <c r="H865" s="1185">
        <v>218800000</v>
      </c>
      <c r="I865" s="1180" t="s">
        <v>1444</v>
      </c>
      <c r="J865" s="1186" t="str">
        <f>VLOOKUP($I865,'Price List, Weapons &amp; Items'!B:C,2,0)</f>
        <v>Military equipment</v>
      </c>
      <c r="K865" s="1186" t="str">
        <f>IF(I865=".",I865,VLOOKUP($I865,'Price List, Weapons &amp; Items'!B:D,3,0))</f>
        <v>Military equipment</v>
      </c>
      <c r="L865" s="1187">
        <f>VLOOKUP(I865,'Price List, Weapons &amp; Items'!B:E,4,0)</f>
        <v>0</v>
      </c>
      <c r="M865" s="1188" t="s">
        <v>374</v>
      </c>
      <c r="N865" s="1188" t="s">
        <v>374</v>
      </c>
      <c r="O865" s="1188" t="str">
        <f>VLOOKUP($I865,'Price List, Weapons &amp; Items'!B:G,6,0)</f>
        <v>.</v>
      </c>
      <c r="P865" s="1185" t="str">
        <f t="shared" si="184"/>
        <v>.</v>
      </c>
      <c r="Q865" s="1185" t="str">
        <f t="shared" si="185"/>
        <v>.</v>
      </c>
      <c r="R865" s="1185" t="str">
        <f t="shared" si="181"/>
        <v/>
      </c>
      <c r="S865" s="1185" t="str">
        <f>IF(AND(AD865=1,R865&lt;&gt;".")=TRUE,R865/VLOOKUP(G865,'Exchange Rates'!B:C,2,0),IF(R865=".",".",""))</f>
        <v/>
      </c>
      <c r="T865" s="1185" t="str">
        <f>IF(AD865=1,IF(AF865="Value is not given at all",".",IF(AF865="Value is given by the source",S865,IF(AF865="Value is calculated with prices",(IF(SUMIFS(Q:Q,A:A,A865)&gt;0,SUMIFS(Q:Q,A:A,A865),"."))/VLOOKUP("USD",'Exchange Rates'!B:C,2,0),"Error with coding"))),"")</f>
        <v/>
      </c>
      <c r="U865" s="1184" t="s">
        <v>365</v>
      </c>
      <c r="V865" s="974" t="s">
        <v>2394</v>
      </c>
      <c r="W865" s="974" t="s">
        <v>2445</v>
      </c>
      <c r="X865" s="974" t="s">
        <v>2446</v>
      </c>
      <c r="Y865" s="1196" t="s">
        <v>364</v>
      </c>
      <c r="Z865" s="1184">
        <v>0</v>
      </c>
      <c r="AA865" s="1194">
        <v>0</v>
      </c>
      <c r="AB865" s="977" t="s">
        <v>2447</v>
      </c>
      <c r="AC865" s="1192" t="str">
        <f>""</f>
        <v/>
      </c>
      <c r="AD865" s="1193">
        <v>0</v>
      </c>
      <c r="AE865" s="1193" t="s">
        <v>368</v>
      </c>
      <c r="AF865" s="1193" t="s">
        <v>368</v>
      </c>
      <c r="AG865" s="1193">
        <v>1</v>
      </c>
      <c r="AH865" s="1193">
        <v>4</v>
      </c>
      <c r="AI865" s="1193">
        <v>0</v>
      </c>
      <c r="AJ865" s="1193">
        <f>VLOOKUP($I865,'Price List, Weapons &amp; Items'!B:F,5,0)</f>
        <v>0</v>
      </c>
      <c r="AK865" s="1193">
        <f t="shared" si="186"/>
        <v>0</v>
      </c>
      <c r="AL865" s="1193">
        <f t="shared" si="187"/>
        <v>0</v>
      </c>
      <c r="AM865" s="1193">
        <f t="shared" si="188"/>
        <v>0</v>
      </c>
      <c r="AN865" s="1194" t="str">
        <f>VLOOKUP($I865,'Price List, Weapons &amp; Items'!B:L,COLUMN('Price List, Weapons &amp; Items'!$J$11)-1,0)</f>
        <v>.</v>
      </c>
      <c r="AO865" s="1194" t="str">
        <f>IF(I865=".",".",VLOOKUP($I865,'Price List, Weapons &amp; Items'!B:J,3,0))</f>
        <v>Military equipment</v>
      </c>
      <c r="AP865" s="1195" t="str">
        <f t="shared" ca="1" si="182"/>
        <v/>
      </c>
      <c r="AQ865" s="1194" t="str">
        <f>VLOOKUP($I865,'Price List, Weapons &amp; Items'!B:L,COLUMN('Price List, Weapons &amp; Items'!$L$11)-1,0)</f>
        <v>no price, 0 count</v>
      </c>
      <c r="AR865" s="1194">
        <f t="shared" si="189"/>
        <v>1</v>
      </c>
      <c r="AS865" s="1194">
        <f t="shared" si="190"/>
        <v>1</v>
      </c>
      <c r="AT865" s="1194" t="str">
        <f t="shared" si="191"/>
        <v>Value is not in date format</v>
      </c>
      <c r="AU865" s="1194" t="str">
        <f t="shared" si="192"/>
        <v>.</v>
      </c>
      <c r="AV865" s="1194" t="str">
        <f t="shared" si="183"/>
        <v>.</v>
      </c>
      <c r="AW865" s="1194" t="str">
        <f t="shared" si="193"/>
        <v>.</v>
      </c>
      <c r="AX865" s="1194">
        <f>IFERROR(VLOOKUP(B865,'Share, Heavy Weapons to Ukraine'!B:Z,COLUMN('Share, Heavy Weapons to Ukraine'!C875)-1,0),0)</f>
        <v>0</v>
      </c>
      <c r="AY865" s="1194">
        <f>VLOOKUP('Bilateral Assistance, MAIN DATA'!B865,'Country Summary (€)'!B:F,COLUMN('Country Summary (€)'!C876)-1,FALSE)</f>
        <v>1</v>
      </c>
      <c r="AZ865" s="1194" t="str">
        <f>IF(AND(AD865=1,D865="Military",H865&lt;&gt;"Not given")=TRUE,IF(SUMIFS(P:P,A:A,A865)&gt;0,ABS((SUMIFS(P:P,A:A,A865)/VLOOKUP("USD",'Exchange Rates'!B:C,2,0)))/S865,"."),".")</f>
        <v>.</v>
      </c>
      <c r="BA865" s="1196" t="str">
        <f>IF(AND(AD865=1,D865="Military",H865&lt;&gt;"Not given")=TRUE,IF(SUMIFS(P:P,A:A,A865)&gt;0,IF((ABS((SUMIFS(P:P,A:A,A865)/VLOOKUP("USD",'Exchange Rates'!B:C,2,0)))/S865)&gt;1,(SUMIFS(P:P,A:A,A865)-S865)/S865,(S865-SUMIFS(P:P,A:A,A865))/SUMIFS(P:P,A:A,A865)),"."),".")</f>
        <v>.</v>
      </c>
    </row>
    <row r="866" spans="1:53" ht="15.95" customHeight="1">
      <c r="A866" s="1182" t="s">
        <v>2441</v>
      </c>
      <c r="B866" s="1182" t="s">
        <v>2392</v>
      </c>
      <c r="C866" s="1181" t="s">
        <v>2442</v>
      </c>
      <c r="D866" s="1182" t="s">
        <v>389</v>
      </c>
      <c r="E866" s="1182" t="s">
        <v>390</v>
      </c>
      <c r="F866" s="1001" t="s">
        <v>2443</v>
      </c>
      <c r="G866" s="1184" t="s">
        <v>483</v>
      </c>
      <c r="H866" s="1185">
        <v>218800000</v>
      </c>
      <c r="I866" s="1180" t="s">
        <v>2451</v>
      </c>
      <c r="J866" s="1186" t="str">
        <f>VLOOKUP($I866,'Price List, Weapons &amp; Items'!B:C,2,0)</f>
        <v>Military equipment</v>
      </c>
      <c r="K866" s="1186" t="str">
        <f>IF(I866=".",I866,VLOOKUP($I866,'Price List, Weapons &amp; Items'!B:D,3,0))</f>
        <v>Military equipment</v>
      </c>
      <c r="L866" s="1187">
        <f>VLOOKUP(I866,'Price List, Weapons &amp; Items'!B:E,4,0)</f>
        <v>0</v>
      </c>
      <c r="M866" s="1188" t="s">
        <v>374</v>
      </c>
      <c r="N866" s="1188" t="s">
        <v>374</v>
      </c>
      <c r="O866" s="1188" t="str">
        <f>VLOOKUP($I866,'Price List, Weapons &amp; Items'!B:G,6,0)</f>
        <v>.</v>
      </c>
      <c r="P866" s="1185" t="str">
        <f t="shared" si="184"/>
        <v>.</v>
      </c>
      <c r="Q866" s="1185" t="str">
        <f t="shared" si="185"/>
        <v>.</v>
      </c>
      <c r="R866" s="1185" t="str">
        <f t="shared" si="181"/>
        <v/>
      </c>
      <c r="S866" s="1185" t="str">
        <f>IF(AND(AD866=1,R866&lt;&gt;".")=TRUE,R866/VLOOKUP(G866,'Exchange Rates'!B:C,2,0),IF(R866=".",".",""))</f>
        <v/>
      </c>
      <c r="T866" s="1185" t="str">
        <f>IF(AD866=1,IF(AF866="Value is not given at all",".",IF(AF866="Value is given by the source",S866,IF(AF866="Value is calculated with prices",(IF(SUMIFS(Q:Q,A:A,A866)&gt;0,SUMIFS(Q:Q,A:A,A866),"."))/VLOOKUP("USD",'Exchange Rates'!B:C,2,0),"Error with coding"))),"")</f>
        <v/>
      </c>
      <c r="U866" s="1184" t="s">
        <v>365</v>
      </c>
      <c r="V866" s="974" t="s">
        <v>2394</v>
      </c>
      <c r="W866" s="974" t="s">
        <v>2445</v>
      </c>
      <c r="X866" s="974" t="s">
        <v>2446</v>
      </c>
      <c r="Y866" s="1196" t="s">
        <v>364</v>
      </c>
      <c r="Z866" s="1184">
        <v>0</v>
      </c>
      <c r="AA866" s="1194">
        <v>0</v>
      </c>
      <c r="AB866" s="977" t="s">
        <v>2447</v>
      </c>
      <c r="AC866" s="1192" t="str">
        <f>""</f>
        <v/>
      </c>
      <c r="AD866" s="1193">
        <v>0</v>
      </c>
      <c r="AE866" s="1193" t="s">
        <v>368</v>
      </c>
      <c r="AF866" s="1193" t="s">
        <v>368</v>
      </c>
      <c r="AG866" s="1193">
        <v>1</v>
      </c>
      <c r="AH866" s="1193">
        <v>4</v>
      </c>
      <c r="AI866" s="1193">
        <v>0</v>
      </c>
      <c r="AJ866" s="1193">
        <f>VLOOKUP($I866,'Price List, Weapons &amp; Items'!B:F,5,0)</f>
        <v>0</v>
      </c>
      <c r="AK866" s="1193">
        <f t="shared" si="186"/>
        <v>0</v>
      </c>
      <c r="AL866" s="1193">
        <f t="shared" si="187"/>
        <v>0</v>
      </c>
      <c r="AM866" s="1193">
        <f t="shared" si="188"/>
        <v>0</v>
      </c>
      <c r="AN866" s="1194" t="str">
        <f>VLOOKUP($I866,'Price List, Weapons &amp; Items'!B:L,COLUMN('Price List, Weapons &amp; Items'!$J$11)-1,0)</f>
        <v>.</v>
      </c>
      <c r="AO866" s="1194" t="str">
        <f>IF(I866=".",".",VLOOKUP($I866,'Price List, Weapons &amp; Items'!B:J,3,0))</f>
        <v>Military equipment</v>
      </c>
      <c r="AP866" s="1195" t="str">
        <f t="shared" ca="1" si="182"/>
        <v/>
      </c>
      <c r="AQ866" s="1194" t="str">
        <f>VLOOKUP($I866,'Price List, Weapons &amp; Items'!B:L,COLUMN('Price List, Weapons &amp; Items'!$L$11)-1,0)</f>
        <v>no price, 0 count</v>
      </c>
      <c r="AR866" s="1194">
        <f t="shared" si="189"/>
        <v>1</v>
      </c>
      <c r="AS866" s="1194">
        <f t="shared" si="190"/>
        <v>1</v>
      </c>
      <c r="AT866" s="1194" t="str">
        <f t="shared" si="191"/>
        <v>Value is not in date format</v>
      </c>
      <c r="AU866" s="1194" t="str">
        <f t="shared" si="192"/>
        <v>.</v>
      </c>
      <c r="AV866" s="1194" t="str">
        <f t="shared" si="183"/>
        <v>.</v>
      </c>
      <c r="AW866" s="1194" t="str">
        <f t="shared" si="193"/>
        <v>.</v>
      </c>
      <c r="AX866" s="1194">
        <f>IFERROR(VLOOKUP(B866,'Share, Heavy Weapons to Ukraine'!B:Z,COLUMN('Share, Heavy Weapons to Ukraine'!C876)-1,0),0)</f>
        <v>0</v>
      </c>
      <c r="AY866" s="1194">
        <f>VLOOKUP('Bilateral Assistance, MAIN DATA'!B866,'Country Summary (€)'!B:F,COLUMN('Country Summary (€)'!C877)-1,FALSE)</f>
        <v>1</v>
      </c>
      <c r="AZ866" s="1194" t="str">
        <f>IF(AND(AD866=1,D866="Military",H866&lt;&gt;"Not given")=TRUE,IF(SUMIFS(P:P,A:A,A866)&gt;0,ABS((SUMIFS(P:P,A:A,A866)/VLOOKUP("USD",'Exchange Rates'!B:C,2,0)))/S866,"."),".")</f>
        <v>.</v>
      </c>
      <c r="BA866" s="1196" t="str">
        <f>IF(AND(AD866=1,D866="Military",H866&lt;&gt;"Not given")=TRUE,IF(SUMIFS(P:P,A:A,A866)&gt;0,IF((ABS((SUMIFS(P:P,A:A,A866)/VLOOKUP("USD",'Exchange Rates'!B:C,2,0)))/S866)&gt;1,(SUMIFS(P:P,A:A,A866)-S866)/S866,(S866-SUMIFS(P:P,A:A,A866))/SUMIFS(P:P,A:A,A866)),"."),".")</f>
        <v>.</v>
      </c>
    </row>
    <row r="867" spans="1:53" ht="15.95" customHeight="1">
      <c r="A867" s="1180" t="s">
        <v>2452</v>
      </c>
      <c r="B867" s="1180" t="s">
        <v>2392</v>
      </c>
      <c r="C867" s="1181" t="s">
        <v>2453</v>
      </c>
      <c r="D867" s="1182" t="s">
        <v>389</v>
      </c>
      <c r="E867" s="1182" t="s">
        <v>390</v>
      </c>
      <c r="F867" s="1001" t="s">
        <v>2454</v>
      </c>
      <c r="G867" s="1184" t="s">
        <v>483</v>
      </c>
      <c r="H867" s="1185">
        <v>30000000</v>
      </c>
      <c r="I867" s="1180" t="s">
        <v>364</v>
      </c>
      <c r="J867" s="1186" t="str">
        <f>VLOOKUP($I867,'Price List, Weapons &amp; Items'!B:C,2,0)</f>
        <v>.</v>
      </c>
      <c r="K867" s="1186" t="str">
        <f>IF(I867=".",I867,VLOOKUP($I867,'Price List, Weapons &amp; Items'!B:D,3,0))</f>
        <v>.</v>
      </c>
      <c r="L867" s="1187">
        <f>VLOOKUP(I867,'Price List, Weapons &amp; Items'!B:E,4,0)</f>
        <v>0</v>
      </c>
      <c r="M867" s="1188" t="s">
        <v>364</v>
      </c>
      <c r="N867" s="1188" t="s">
        <v>364</v>
      </c>
      <c r="O867" s="1188" t="str">
        <f>VLOOKUP($I867,'Price List, Weapons &amp; Items'!B:G,6,0)</f>
        <v>.</v>
      </c>
      <c r="P867" s="1185" t="str">
        <f t="shared" si="184"/>
        <v>.</v>
      </c>
      <c r="Q867" s="1185" t="str">
        <f t="shared" si="185"/>
        <v>.</v>
      </c>
      <c r="R867" s="1185">
        <f t="shared" si="181"/>
        <v>30000000</v>
      </c>
      <c r="S867" s="1185">
        <f>IF(AND(AD867=1,R867&lt;&gt;".")=TRUE,R867/VLOOKUP(G867,'Exchange Rates'!B:C,2,0),IF(R867=".",".",""))</f>
        <v>30000000</v>
      </c>
      <c r="T867" s="1185">
        <f>IF(AD867=1,IF(AF867="Value is not given at all",".",IF(AF867="Value is given by the source",S867,IF(AF867="Value is calculated with prices",(IF(SUMIFS(Q:Q,A:A,A867)&gt;0,SUMIFS(Q:Q,A:A,A867),"."))/VLOOKUP("USD",'Exchange Rates'!B:C,2,0),"Error with coding"))),"")</f>
        <v>30000000</v>
      </c>
      <c r="U867" s="1184" t="s">
        <v>675</v>
      </c>
      <c r="V867" s="971" t="s">
        <v>2455</v>
      </c>
      <c r="W867" s="986"/>
      <c r="X867" s="986" t="s">
        <v>364</v>
      </c>
      <c r="Y867" s="988" t="s">
        <v>364</v>
      </c>
      <c r="Z867" s="1184">
        <v>0</v>
      </c>
      <c r="AA867" s="1194">
        <v>0</v>
      </c>
      <c r="AB867" s="977" t="s">
        <v>2455</v>
      </c>
      <c r="AC867" s="1192" t="str">
        <f>""</f>
        <v/>
      </c>
      <c r="AD867" s="1193">
        <v>1</v>
      </c>
      <c r="AE867" s="1193" t="s">
        <v>368</v>
      </c>
      <c r="AF867" s="1193" t="s">
        <v>368</v>
      </c>
      <c r="AG867" s="1193">
        <v>1</v>
      </c>
      <c r="AH867" s="1193">
        <v>7</v>
      </c>
      <c r="AI867" s="1193">
        <v>0</v>
      </c>
      <c r="AJ867" s="1193">
        <f>VLOOKUP($I867,'Price List, Weapons &amp; Items'!B:F,5,0)</f>
        <v>0</v>
      </c>
      <c r="AK867" s="1193">
        <f t="shared" si="186"/>
        <v>0</v>
      </c>
      <c r="AL867" s="1193">
        <f t="shared" si="187"/>
        <v>0</v>
      </c>
      <c r="AM867" s="1193">
        <f t="shared" si="188"/>
        <v>0</v>
      </c>
      <c r="AN867" s="1194" t="str">
        <f>VLOOKUP($I867,'Price List, Weapons &amp; Items'!B:L,COLUMN('Price List, Weapons &amp; Items'!$J$11)-1,0)</f>
        <v>.</v>
      </c>
      <c r="AO867" s="1194" t="str">
        <f>IF(I867=".",".",VLOOKUP($I867,'Price List, Weapons &amp; Items'!B:J,3,0))</f>
        <v>.</v>
      </c>
      <c r="AP867" s="1195" t="str">
        <f t="shared" ca="1" si="182"/>
        <v>.</v>
      </c>
      <c r="AQ867" s="1194">
        <f>VLOOKUP($I867,'Price List, Weapons &amp; Items'!B:L,COLUMN('Price List, Weapons &amp; Items'!$L$11)-1,0)</f>
        <v>0</v>
      </c>
      <c r="AR867" s="1194">
        <f t="shared" si="189"/>
        <v>0</v>
      </c>
      <c r="AS867" s="1194">
        <f t="shared" si="190"/>
        <v>1</v>
      </c>
      <c r="AT867" s="1194" t="str">
        <f t="shared" si="191"/>
        <v>Value is not in date format</v>
      </c>
      <c r="AU867" s="1194" t="str">
        <f t="shared" si="192"/>
        <v>.</v>
      </c>
      <c r="AV867" s="1194" t="str">
        <f t="shared" si="183"/>
        <v>.</v>
      </c>
      <c r="AW867" s="1194" t="str">
        <f t="shared" si="193"/>
        <v>.</v>
      </c>
      <c r="AX867" s="1194">
        <f>IFERROR(VLOOKUP(B867,'Share, Heavy Weapons to Ukraine'!B:Z,COLUMN('Share, Heavy Weapons to Ukraine'!C877)-1,0),0)</f>
        <v>0</v>
      </c>
      <c r="AY867" s="1194">
        <f>VLOOKUP('Bilateral Assistance, MAIN DATA'!B867,'Country Summary (€)'!B:F,COLUMN('Country Summary (€)'!C878)-1,FALSE)</f>
        <v>1</v>
      </c>
      <c r="AZ867" s="1194" t="str">
        <f>IF(AND(AD867=1,D867="Military",H867&lt;&gt;"Not given")=TRUE,IF(SUMIFS(P:P,A:A,A867)&gt;0,ABS((SUMIFS(P:P,A:A,A867)/VLOOKUP("USD",'Exchange Rates'!B:C,2,0)))/S867,"."),".")</f>
        <v>.</v>
      </c>
      <c r="BA867" s="1196" t="str">
        <f>IF(AND(AD867=1,D867="Military",H867&lt;&gt;"Not given")=TRUE,IF(SUMIFS(P:P,A:A,A867)&gt;0,IF((ABS((SUMIFS(P:P,A:A,A867)/VLOOKUP("USD",'Exchange Rates'!B:C,2,0)))/S867)&gt;1,(SUMIFS(P:P,A:A,A867)-S867)/S867,(S867-SUMIFS(P:P,A:A,A867))/SUMIFS(P:P,A:A,A867)),"."),".")</f>
        <v>.</v>
      </c>
    </row>
    <row r="868" spans="1:53" ht="15.95" customHeight="1">
      <c r="A868" s="1180" t="s">
        <v>2456</v>
      </c>
      <c r="B868" s="1180" t="s">
        <v>2392</v>
      </c>
      <c r="C868" s="1181">
        <v>44788</v>
      </c>
      <c r="D868" s="1182" t="s">
        <v>389</v>
      </c>
      <c r="E868" s="1182" t="s">
        <v>443</v>
      </c>
      <c r="F868" s="1001" t="s">
        <v>2457</v>
      </c>
      <c r="G868" s="1184" t="s">
        <v>456</v>
      </c>
      <c r="H868" s="1185" t="s">
        <v>457</v>
      </c>
      <c r="I868" s="1180" t="s">
        <v>2458</v>
      </c>
      <c r="J868" s="1186" t="str">
        <f>VLOOKUP($I868,'Price List, Weapons &amp; Items'!B:C,2,0)</f>
        <v>Heavy weapon</v>
      </c>
      <c r="K868" s="1186" t="str">
        <f>IF(I868=".",I868,VLOOKUP($I868,'Price List, Weapons &amp; Items'!B:D,3,0))</f>
        <v>Combat aircraft</v>
      </c>
      <c r="L868" s="1187">
        <f>VLOOKUP(I868,'Price List, Weapons &amp; Items'!B:E,4,0)</f>
        <v>1</v>
      </c>
      <c r="M868" s="1188">
        <v>2</v>
      </c>
      <c r="N868" s="1188">
        <v>2</v>
      </c>
      <c r="O868" s="1188">
        <f>VLOOKUP($I868,'Price List, Weapons &amp; Items'!B:G,6,0)</f>
        <v>18400000</v>
      </c>
      <c r="P868" s="1185">
        <f t="shared" si="184"/>
        <v>36800000</v>
      </c>
      <c r="Q868" s="1185">
        <f t="shared" si="185"/>
        <v>36800000</v>
      </c>
      <c r="R868" s="1185">
        <f t="shared" si="181"/>
        <v>38100000</v>
      </c>
      <c r="S868" s="1185">
        <f>IF(AND(AD868=1,R868&lt;&gt;".")=TRUE,R868/VLOOKUP(G868,'Exchange Rates'!B:C,2,0),IF(R868=".",".",""))</f>
        <v>35057048.214942954</v>
      </c>
      <c r="T868" s="1185">
        <f>IF(AD868=1,IF(AF868="Value is not given at all",".",IF(AF868="Value is given by the source",S868,IF(AF868="Value is calculated with prices",(IF(SUMIFS(Q:Q,A:A,A868)&gt;0,SUMIFS(Q:Q,A:A,A868),"."))/VLOOKUP("USD",'Exchange Rates'!B:C,2,0),"Error with coding"))),"")</f>
        <v>35057048.214942954</v>
      </c>
      <c r="U868" s="1184" t="s">
        <v>365</v>
      </c>
      <c r="V868" s="971" t="s">
        <v>2459</v>
      </c>
      <c r="W868" s="971" t="s">
        <v>2460</v>
      </c>
      <c r="X868" s="986" t="s">
        <v>364</v>
      </c>
      <c r="Y868" s="988" t="s">
        <v>364</v>
      </c>
      <c r="Z868" s="1184">
        <v>0</v>
      </c>
      <c r="AA868" s="1194">
        <v>0</v>
      </c>
      <c r="AB868" s="977" t="s">
        <v>2459</v>
      </c>
      <c r="AC868" s="1192" t="str">
        <f>""</f>
        <v/>
      </c>
      <c r="AD868" s="1193">
        <v>1</v>
      </c>
      <c r="AE868" s="1193" t="s">
        <v>436</v>
      </c>
      <c r="AF868" s="1193" t="s">
        <v>436</v>
      </c>
      <c r="AG868" s="1193">
        <v>1</v>
      </c>
      <c r="AH868" s="1193">
        <v>8</v>
      </c>
      <c r="AI868" s="1193">
        <v>0</v>
      </c>
      <c r="AJ868" s="1193">
        <f>VLOOKUP($I868,'Price List, Weapons &amp; Items'!B:F,5,0)</f>
        <v>0</v>
      </c>
      <c r="AK868" s="1193">
        <f t="shared" si="186"/>
        <v>0</v>
      </c>
      <c r="AL868" s="1193">
        <f t="shared" si="187"/>
        <v>0</v>
      </c>
      <c r="AM868" s="1193">
        <f t="shared" si="188"/>
        <v>0</v>
      </c>
      <c r="AN868" s="1194" t="str">
        <f>VLOOKUP($I868,'Price List, Weapons &amp; Items'!B:L,COLUMN('Price List, Weapons &amp; Items'!$J$11)-1,0)</f>
        <v>Media reports (incl. social media)</v>
      </c>
      <c r="AO868" s="1194" t="str">
        <f>IF(I868=".",".",VLOOKUP($I868,'Price List, Weapons &amp; Items'!B:J,3,0))</f>
        <v>Combat aircraft</v>
      </c>
      <c r="AP868" s="1195" t="str">
        <f t="shared" ca="1" si="182"/>
        <v>Mi-17</v>
      </c>
      <c r="AQ868" s="1194">
        <f>VLOOKUP($I868,'Price List, Weapons &amp; Items'!B:L,COLUMN('Price List, Weapons &amp; Items'!$L$11)-1,0)</f>
        <v>2</v>
      </c>
      <c r="AR868" s="1194">
        <f t="shared" si="189"/>
        <v>1</v>
      </c>
      <c r="AS868" s="1194">
        <f t="shared" si="190"/>
        <v>1</v>
      </c>
      <c r="AT868" s="1194">
        <f t="shared" si="191"/>
        <v>1</v>
      </c>
      <c r="AU868" s="1194" t="str">
        <f t="shared" si="192"/>
        <v>.</v>
      </c>
      <c r="AV868" s="1194" t="str">
        <f t="shared" si="183"/>
        <v>.</v>
      </c>
      <c r="AW868" s="1194" t="str">
        <f t="shared" si="193"/>
        <v>.</v>
      </c>
      <c r="AX868" s="1194">
        <f>IFERROR(VLOOKUP(B868,'Share, Heavy Weapons to Ukraine'!B:Z,COLUMN('Share, Heavy Weapons to Ukraine'!C878)-1,0),0)</f>
        <v>0</v>
      </c>
      <c r="AY868" s="1194">
        <f>VLOOKUP('Bilateral Assistance, MAIN DATA'!B868,'Country Summary (€)'!B:F,COLUMN('Country Summary (€)'!C879)-1,FALSE)</f>
        <v>1</v>
      </c>
      <c r="AZ868" s="1194" t="str">
        <f>IF(AND(AD868=1,D868="Military",H868&lt;&gt;"Not given")=TRUE,IF(SUMIFS(P:P,A:A,A868)&gt;0,ABS((SUMIFS(P:P,A:A,A868)/VLOOKUP("USD",'Exchange Rates'!B:C,2,0)))/S868,"."),".")</f>
        <v>.</v>
      </c>
      <c r="BA868" s="1196" t="str">
        <f>IF(AND(AD868=1,D868="Military",H868&lt;&gt;"Not given")=TRUE,IF(SUMIFS(P:P,A:A,A868)&gt;0,IF((ABS((SUMIFS(P:P,A:A,A868)/VLOOKUP("USD",'Exchange Rates'!B:C,2,0)))/S868)&gt;1,(SUMIFS(P:P,A:A,A868)-S868)/S868,(S868-SUMIFS(P:P,A:A,A868))/SUMIFS(P:P,A:A,A868)),"."),".")</f>
        <v>.</v>
      </c>
    </row>
    <row r="869" spans="1:53" ht="15.95" customHeight="1">
      <c r="A869" s="1180" t="s">
        <v>2456</v>
      </c>
      <c r="B869" s="1180" t="s">
        <v>2392</v>
      </c>
      <c r="C869" s="1181">
        <v>44788</v>
      </c>
      <c r="D869" s="1182" t="s">
        <v>389</v>
      </c>
      <c r="E869" s="1182" t="s">
        <v>443</v>
      </c>
      <c r="F869" s="1001" t="s">
        <v>2457</v>
      </c>
      <c r="G869" s="1184" t="s">
        <v>456</v>
      </c>
      <c r="H869" s="1185" t="s">
        <v>457</v>
      </c>
      <c r="I869" s="1180" t="s">
        <v>2461</v>
      </c>
      <c r="J869" s="1186" t="str">
        <f>VLOOKUP($I869,'Price List, Weapons &amp; Items'!B:C,2,0)</f>
        <v>Heavy weapon</v>
      </c>
      <c r="K869" s="1186" t="str">
        <f>IF(I869=".",I869,VLOOKUP($I869,'Price List, Weapons &amp; Items'!B:D,3,0))</f>
        <v>Transport aircraft</v>
      </c>
      <c r="L869" s="1187">
        <f>VLOOKUP(I869,'Price List, Weapons &amp; Items'!B:E,4,0)</f>
        <v>1</v>
      </c>
      <c r="M869" s="1188">
        <v>2</v>
      </c>
      <c r="N869" s="1188">
        <v>2</v>
      </c>
      <c r="O869" s="1188">
        <f>VLOOKUP($I869,'Price List, Weapons &amp; Items'!B:G,6,0)</f>
        <v>650000</v>
      </c>
      <c r="P869" s="1185">
        <f t="shared" si="184"/>
        <v>1300000</v>
      </c>
      <c r="Q869" s="1185">
        <f t="shared" si="185"/>
        <v>1300000</v>
      </c>
      <c r="R869" s="1185" t="str">
        <f t="shared" si="181"/>
        <v/>
      </c>
      <c r="S869" s="1185" t="str">
        <f>IF(AND(AD869=1,R869&lt;&gt;".")=TRUE,R869/VLOOKUP(G869,'Exchange Rates'!B:C,2,0),IF(R869=".",".",""))</f>
        <v/>
      </c>
      <c r="T869" s="1185" t="str">
        <f>IF(AD869=1,IF(AF869="Value is not given at all",".",IF(AF869="Value is given by the source",S869,IF(AF869="Value is calculated with prices",(IF(SUMIFS(Q:Q,A:A,A869)&gt;0,SUMIFS(Q:Q,A:A,A869),"."))/VLOOKUP("USD",'Exchange Rates'!B:C,2,0),"Error with coding"))),"")</f>
        <v/>
      </c>
      <c r="U869" s="1184" t="s">
        <v>365</v>
      </c>
      <c r="V869" s="971" t="s">
        <v>2459</v>
      </c>
      <c r="W869" s="971" t="s">
        <v>2460</v>
      </c>
      <c r="X869" s="986" t="s">
        <v>364</v>
      </c>
      <c r="Y869" s="988" t="s">
        <v>364</v>
      </c>
      <c r="Z869" s="1184">
        <v>0</v>
      </c>
      <c r="AA869" s="1194">
        <v>0</v>
      </c>
      <c r="AB869" s="977" t="s">
        <v>2459</v>
      </c>
      <c r="AC869" s="1192" t="str">
        <f>""</f>
        <v/>
      </c>
      <c r="AD869" s="1193">
        <v>0</v>
      </c>
      <c r="AE869" s="1193" t="s">
        <v>436</v>
      </c>
      <c r="AF869" s="1193" t="s">
        <v>436</v>
      </c>
      <c r="AG869" s="1193">
        <v>1</v>
      </c>
      <c r="AH869" s="1193">
        <v>8</v>
      </c>
      <c r="AI869" s="1193">
        <v>0</v>
      </c>
      <c r="AJ869" s="1193">
        <f>VLOOKUP($I869,'Price List, Weapons &amp; Items'!B:F,5,0)</f>
        <v>0</v>
      </c>
      <c r="AK869" s="1193">
        <f t="shared" si="186"/>
        <v>0</v>
      </c>
      <c r="AL869" s="1193">
        <f t="shared" si="187"/>
        <v>0</v>
      </c>
      <c r="AM869" s="1193">
        <f t="shared" si="188"/>
        <v>0</v>
      </c>
      <c r="AN869" s="1194" t="str">
        <f>VLOOKUP($I869,'Price List, Weapons &amp; Items'!B:L,COLUMN('Price List, Weapons &amp; Items'!$J$11)-1,0)</f>
        <v>Online marketplaces and stores</v>
      </c>
      <c r="AO869" s="1194" t="str">
        <f>IF(I869=".",".",VLOOKUP($I869,'Price List, Weapons &amp; Items'!B:J,3,0))</f>
        <v>Transport aircraft</v>
      </c>
      <c r="AP869" s="1195" t="str">
        <f t="shared" ca="1" si="182"/>
        <v/>
      </c>
      <c r="AQ869" s="1194">
        <f>VLOOKUP($I869,'Price List, Weapons &amp; Items'!B:L,COLUMN('Price List, Weapons &amp; Items'!$L$11)-1,0)</f>
        <v>2</v>
      </c>
      <c r="AR869" s="1194">
        <f t="shared" si="189"/>
        <v>1</v>
      </c>
      <c r="AS869" s="1194">
        <f t="shared" si="190"/>
        <v>1</v>
      </c>
      <c r="AT869" s="1194">
        <f t="shared" si="191"/>
        <v>1</v>
      </c>
      <c r="AU869" s="1194" t="str">
        <f t="shared" si="192"/>
        <v>.</v>
      </c>
      <c r="AV869" s="1194" t="str">
        <f t="shared" si="183"/>
        <v>.</v>
      </c>
      <c r="AW869" s="1194" t="str">
        <f t="shared" si="193"/>
        <v>.</v>
      </c>
      <c r="AX869" s="1194">
        <f>IFERROR(VLOOKUP(B869,'Share, Heavy Weapons to Ukraine'!B:Z,COLUMN('Share, Heavy Weapons to Ukraine'!C879)-1,0),0)</f>
        <v>0</v>
      </c>
      <c r="AY869" s="1194">
        <f>VLOOKUP('Bilateral Assistance, MAIN DATA'!B869,'Country Summary (€)'!B:F,COLUMN('Country Summary (€)'!C880)-1,FALSE)</f>
        <v>1</v>
      </c>
      <c r="AZ869" s="1194" t="str">
        <f>IF(AND(AD869=1,D869="Military",H869&lt;&gt;"Not given")=TRUE,IF(SUMIFS(P:P,A:A,A869)&gt;0,ABS((SUMIFS(P:P,A:A,A869)/VLOOKUP("USD",'Exchange Rates'!B:C,2,0)))/S869,"."),".")</f>
        <v>.</v>
      </c>
      <c r="BA869" s="1196" t="str">
        <f>IF(AND(AD869=1,D869="Military",H869&lt;&gt;"Not given")=TRUE,IF(SUMIFS(P:P,A:A,A869)&gt;0,IF((ABS((SUMIFS(P:P,A:A,A869)/VLOOKUP("USD",'Exchange Rates'!B:C,2,0)))/S869)&gt;1,(SUMIFS(P:P,A:A,A869)-S869)/S869,(S869-SUMIFS(P:P,A:A,A869))/SUMIFS(P:P,A:A,A869)),"."),".")</f>
        <v>.</v>
      </c>
    </row>
    <row r="870" spans="1:53" ht="15.95" customHeight="1">
      <c r="A870" s="1180" t="s">
        <v>2462</v>
      </c>
      <c r="B870" s="1180" t="s">
        <v>2392</v>
      </c>
      <c r="C870" s="1181">
        <v>44788</v>
      </c>
      <c r="D870" s="1182" t="s">
        <v>389</v>
      </c>
      <c r="E870" s="1182" t="s">
        <v>443</v>
      </c>
      <c r="F870" s="1001" t="s">
        <v>2463</v>
      </c>
      <c r="G870" s="1184" t="s">
        <v>456</v>
      </c>
      <c r="H870" s="1185" t="s">
        <v>457</v>
      </c>
      <c r="I870" s="1180" t="s">
        <v>2269</v>
      </c>
      <c r="J870" s="1186" t="str">
        <f>VLOOKUP($I870,'Price List, Weapons &amp; Items'!B:C,2,0)</f>
        <v>Heavy weapon</v>
      </c>
      <c r="K870" s="1186" t="str">
        <f>IF(I870=".",I870,VLOOKUP($I870,'Price List, Weapons &amp; Items'!B:D,3,0))</f>
        <v>155mm howitzer</v>
      </c>
      <c r="L870" s="1187">
        <f>VLOOKUP(I870,'Price List, Weapons &amp; Items'!B:E,4,0)</f>
        <v>0</v>
      </c>
      <c r="M870" s="1188">
        <v>6</v>
      </c>
      <c r="N870" s="1188">
        <v>6</v>
      </c>
      <c r="O870" s="1188">
        <f>VLOOKUP($I870,'Price List, Weapons &amp; Items'!B:G,6,0)</f>
        <v>1734787.30789614</v>
      </c>
      <c r="P870" s="1185">
        <f t="shared" si="184"/>
        <v>10408723.84737684</v>
      </c>
      <c r="Q870" s="1185">
        <f t="shared" si="185"/>
        <v>10408723.84737684</v>
      </c>
      <c r="R870" s="1185">
        <f t="shared" si="181"/>
        <v>10408723.84737684</v>
      </c>
      <c r="S870" s="1185">
        <f>IF(AND(AD870=1,R870&lt;&gt;".")=TRUE,R870/VLOOKUP(G870,'Exchange Rates'!B:C,2,0),IF(R870=".",".",""))</f>
        <v>9577405.0859190654</v>
      </c>
      <c r="T870" s="1185">
        <f>IF(AD870=1,IF(AF870="Value is not given at all",".",IF(AF870="Value is given by the source",S870,IF(AF870="Value is calculated with prices",(IF(SUMIFS(Q:Q,A:A,A870)&gt;0,SUMIFS(Q:Q,A:A,A870),"."))/VLOOKUP("USD",'Exchange Rates'!B:C,2,0),"Error with coding"))),"")</f>
        <v>9577405.0859190654</v>
      </c>
      <c r="U870" s="1184" t="s">
        <v>365</v>
      </c>
      <c r="V870" s="971" t="s">
        <v>2464</v>
      </c>
      <c r="W870" s="973" t="s">
        <v>2465</v>
      </c>
      <c r="X870" s="986" t="s">
        <v>364</v>
      </c>
      <c r="Y870" s="988" t="s">
        <v>364</v>
      </c>
      <c r="Z870" s="1184">
        <v>0</v>
      </c>
      <c r="AA870" s="1194">
        <v>0</v>
      </c>
      <c r="AB870" s="977" t="s">
        <v>2464</v>
      </c>
      <c r="AC870" s="1192" t="str">
        <f>""</f>
        <v/>
      </c>
      <c r="AD870" s="1193">
        <v>1</v>
      </c>
      <c r="AE870" s="1193" t="s">
        <v>436</v>
      </c>
      <c r="AF870" s="1193" t="s">
        <v>436</v>
      </c>
      <c r="AG870" s="1193">
        <v>1</v>
      </c>
      <c r="AH870" s="1193">
        <v>8</v>
      </c>
      <c r="AI870" s="1193">
        <v>0</v>
      </c>
      <c r="AJ870" s="1193">
        <f>VLOOKUP($I870,'Price List, Weapons &amp; Items'!B:F,5,0)</f>
        <v>1</v>
      </c>
      <c r="AK870" s="1193">
        <f t="shared" si="186"/>
        <v>0</v>
      </c>
      <c r="AL870" s="1193">
        <f t="shared" si="187"/>
        <v>0</v>
      </c>
      <c r="AM870" s="1193">
        <f t="shared" si="188"/>
        <v>0</v>
      </c>
      <c r="AN870" s="1194" t="str">
        <f>VLOOKUP($I870,'Price List, Weapons &amp; Items'!B:L,COLUMN('Price List, Weapons &amp; Items'!$J$11)-1,0)</f>
        <v>Contracts</v>
      </c>
      <c r="AO870" s="1194" t="str">
        <f>IF(I870=".",".",VLOOKUP($I870,'Price List, Weapons &amp; Items'!B:J,3,0))</f>
        <v>155mm howitzer</v>
      </c>
      <c r="AP870" s="1195" t="str">
        <f t="shared" ca="1" si="182"/>
        <v>M109 A3GM 155mm howitzer</v>
      </c>
      <c r="AQ870" s="1194">
        <f>VLOOKUP($I870,'Price List, Weapons &amp; Items'!B:L,COLUMN('Price List, Weapons &amp; Items'!$L$11)-1,0)</f>
        <v>2</v>
      </c>
      <c r="AR870" s="1194">
        <f t="shared" si="189"/>
        <v>1</v>
      </c>
      <c r="AS870" s="1194">
        <f t="shared" si="190"/>
        <v>1</v>
      </c>
      <c r="AT870" s="1194">
        <f t="shared" si="191"/>
        <v>1</v>
      </c>
      <c r="AU870" s="1194" t="str">
        <f t="shared" si="192"/>
        <v>.</v>
      </c>
      <c r="AV870" s="1194" t="str">
        <f t="shared" si="183"/>
        <v>.</v>
      </c>
      <c r="AW870" s="1194" t="str">
        <f t="shared" si="193"/>
        <v>.</v>
      </c>
      <c r="AX870" s="1194">
        <f>IFERROR(VLOOKUP(B870,'Share, Heavy Weapons to Ukraine'!B:Z,COLUMN('Share, Heavy Weapons to Ukraine'!C880)-1,0),0)</f>
        <v>0</v>
      </c>
      <c r="AY870" s="1194">
        <f>VLOOKUP('Bilateral Assistance, MAIN DATA'!B870,'Country Summary (€)'!B:F,COLUMN('Country Summary (€)'!C881)-1,FALSE)</f>
        <v>1</v>
      </c>
      <c r="AZ870" s="1194" t="str">
        <f>IF(AND(AD870=1,D870="Military",H870&lt;&gt;"Not given")=TRUE,IF(SUMIFS(P:P,A:A,A870)&gt;0,ABS((SUMIFS(P:P,A:A,A870)/VLOOKUP("USD",'Exchange Rates'!B:C,2,0)))/S870,"."),".")</f>
        <v>.</v>
      </c>
      <c r="BA870" s="1196" t="str">
        <f>IF(AND(AD870=1,D870="Military",H870&lt;&gt;"Not given")=TRUE,IF(SUMIFS(P:P,A:A,A870)&gt;0,IF((ABS((SUMIFS(P:P,A:A,A870)/VLOOKUP("USD",'Exchange Rates'!B:C,2,0)))/S870)&gt;1,(SUMIFS(P:P,A:A,A870)-S870)/S870,(S870-SUMIFS(P:P,A:A,A870))/SUMIFS(P:P,A:A,A870)),"."),".")</f>
        <v>.</v>
      </c>
    </row>
    <row r="871" spans="1:53" ht="15.95" customHeight="1">
      <c r="A871" s="1180" t="s">
        <v>2466</v>
      </c>
      <c r="B871" s="1180" t="s">
        <v>2392</v>
      </c>
      <c r="C871" s="1181">
        <v>44944</v>
      </c>
      <c r="D871" s="1182" t="s">
        <v>389</v>
      </c>
      <c r="E871" s="1182" t="s">
        <v>443</v>
      </c>
      <c r="F871" s="1001" t="s">
        <v>2467</v>
      </c>
      <c r="G871" s="1184" t="s">
        <v>483</v>
      </c>
      <c r="H871" s="1185">
        <v>76565546.699137986</v>
      </c>
      <c r="I871" s="1180" t="s">
        <v>1239</v>
      </c>
      <c r="J871" s="1186" t="str">
        <f>VLOOKUP($I871,'Price List, Weapons &amp; Items'!B:C,2,0)</f>
        <v>Portable defence system</v>
      </c>
      <c r="K871" s="1186" t="str">
        <f>IF(I871=".",I871,VLOOKUP($I871,'Price List, Weapons &amp; Items'!B:D,3,0))</f>
        <v>MANPADS</v>
      </c>
      <c r="L871" s="1187">
        <f>VLOOKUP(I871,'Price List, Weapons &amp; Items'!B:E,4,0)</f>
        <v>0</v>
      </c>
      <c r="M871" s="1188">
        <v>20</v>
      </c>
      <c r="N871" s="1188" t="s">
        <v>374</v>
      </c>
      <c r="O871" s="1188">
        <f>VLOOKUP($I871,'Price List, Weapons &amp; Items'!B:G,6,0)</f>
        <v>119000</v>
      </c>
      <c r="P871" s="1185">
        <f t="shared" si="184"/>
        <v>2380000</v>
      </c>
      <c r="Q871" s="1185" t="str">
        <f t="shared" si="185"/>
        <v>.</v>
      </c>
      <c r="R871" s="1185">
        <f t="shared" si="181"/>
        <v>76565546.699137986</v>
      </c>
      <c r="S871" s="1185">
        <f>IF(AND(AD871=1,R871&lt;&gt;".")=TRUE,R871/VLOOKUP(G871,'Exchange Rates'!B:C,2,0),IF(R871=".",".",""))</f>
        <v>76565546.699137986</v>
      </c>
      <c r="T871" s="1185" t="str">
        <f>IF(AD871=1,IF(AF871="Value is not given at all",".",IF(AF871="Value is given by the source",S871,IF(AF871="Value is calculated with prices",(IF(SUMIFS(Q:Q,A:A,A871)&gt;0,SUMIFS(Q:Q,A:A,A871),"."))/VLOOKUP("USD",'Exchange Rates'!B:C,2,0),"Error with coding"))),"")</f>
        <v>.</v>
      </c>
      <c r="U871" s="1184" t="s">
        <v>365</v>
      </c>
      <c r="V871" s="973" t="s">
        <v>2468</v>
      </c>
      <c r="W871" s="973" t="s">
        <v>2469</v>
      </c>
      <c r="X871" s="973" t="s">
        <v>2470</v>
      </c>
      <c r="Y871" s="973" t="s">
        <v>2413</v>
      </c>
      <c r="Z871" s="1184">
        <v>0</v>
      </c>
      <c r="AA871" s="1194">
        <v>0</v>
      </c>
      <c r="AB871" s="1000" t="s">
        <v>364</v>
      </c>
      <c r="AC871" s="1192" t="str">
        <f>""</f>
        <v/>
      </c>
      <c r="AD871" s="1193">
        <v>1</v>
      </c>
      <c r="AE871" s="1193" t="s">
        <v>368</v>
      </c>
      <c r="AF871" s="1193" t="s">
        <v>369</v>
      </c>
      <c r="AG871" s="1193">
        <v>1</v>
      </c>
      <c r="AH871" s="1193">
        <v>13</v>
      </c>
      <c r="AI871" s="1193">
        <v>0</v>
      </c>
      <c r="AJ871" s="1193">
        <f>VLOOKUP($I871,'Price List, Weapons &amp; Items'!B:F,5,0)</f>
        <v>0</v>
      </c>
      <c r="AK871" s="1193">
        <f t="shared" si="186"/>
        <v>0</v>
      </c>
      <c r="AL871" s="1193">
        <f t="shared" si="187"/>
        <v>0</v>
      </c>
      <c r="AM871" s="1193">
        <f t="shared" si="188"/>
        <v>0</v>
      </c>
      <c r="AN871" s="1194" t="str">
        <f>VLOOKUP($I871,'Price List, Weapons &amp; Items'!B:L,COLUMN('Price List, Weapons &amp; Items'!$J$11)-1,0)</f>
        <v>Miscellaneous</v>
      </c>
      <c r="AO871" s="1194" t="str">
        <f>IF(I871=".",".",VLOOKUP($I871,'Price List, Weapons &amp; Items'!B:J,3,0))</f>
        <v>MANPADS</v>
      </c>
      <c r="AP871" s="1195" t="str">
        <f t="shared" ca="1" si="182"/>
        <v>Stinger anti-aircraft system</v>
      </c>
      <c r="AQ871" s="1194">
        <f>VLOOKUP($I871,'Price List, Weapons &amp; Items'!B:L,COLUMN('Price List, Weapons &amp; Items'!$L$11)-1,0)</f>
        <v>2</v>
      </c>
      <c r="AR871" s="1194">
        <f t="shared" si="189"/>
        <v>1</v>
      </c>
      <c r="AS871" s="1194">
        <f t="shared" si="190"/>
        <v>1</v>
      </c>
      <c r="AT871" s="1194">
        <f t="shared" si="191"/>
        <v>1</v>
      </c>
      <c r="AU871" s="1194" t="str">
        <f t="shared" si="192"/>
        <v>.</v>
      </c>
      <c r="AV871" s="1194" t="str">
        <f t="shared" si="183"/>
        <v>.</v>
      </c>
      <c r="AW871" s="1194" t="str">
        <f t="shared" si="193"/>
        <v>.</v>
      </c>
      <c r="AX871" s="1194">
        <f>IFERROR(VLOOKUP(B871,'Share, Heavy Weapons to Ukraine'!B:Z,COLUMN('Share, Heavy Weapons to Ukraine'!C881)-1,0),0)</f>
        <v>0</v>
      </c>
      <c r="AY871" s="1194">
        <f>VLOOKUP('Bilateral Assistance, MAIN DATA'!B871,'Country Summary (€)'!B:F,COLUMN('Country Summary (€)'!C882)-1,FALSE)</f>
        <v>1</v>
      </c>
      <c r="AZ871" s="1194">
        <f>IF(AND(AD871=1,D871="Military",H871&lt;&gt;"Not given")=TRUE,IF(SUMIFS(P:P,A:A,A871)&gt;0,ABS((SUMIFS(P:P,A:A,A871)/VLOOKUP("USD",'Exchange Rates'!B:C,2,0)))/S871,"."),".")</f>
        <v>3.1317810633867404E-2</v>
      </c>
      <c r="BA871" s="1196">
        <f>IF(AND(AD871=1,D871="Military",H871&lt;&gt;"Not given")=TRUE,IF(SUMIFS(P:P,A:A,A871)&gt;0,IF((ABS((SUMIFS(P:P,A:A,A871)/VLOOKUP("USD",'Exchange Rates'!B:C,2,0)))/S871)&gt;1,(SUMIFS(P:P,A:A,A871)-S871)/S871,(S871-SUMIFS(P:P,A:A,A871))/SUMIFS(P:P,A:A,A871)),"."),".")</f>
        <v>28.380486070275513</v>
      </c>
    </row>
    <row r="872" spans="1:53" ht="15.95" customHeight="1">
      <c r="A872" s="1180" t="s">
        <v>2466</v>
      </c>
      <c r="B872" s="1180" t="s">
        <v>2392</v>
      </c>
      <c r="C872" s="1181">
        <v>44944</v>
      </c>
      <c r="D872" s="1182" t="s">
        <v>389</v>
      </c>
      <c r="E872" s="1182" t="s">
        <v>443</v>
      </c>
      <c r="F872" s="1001" t="s">
        <v>2467</v>
      </c>
      <c r="G872" s="1184" t="s">
        <v>483</v>
      </c>
      <c r="H872" s="1185">
        <v>76565546.699137986</v>
      </c>
      <c r="I872" s="1180" t="s">
        <v>2471</v>
      </c>
      <c r="J872" s="1186" t="str">
        <f>VLOOKUP($I872,'Price List, Weapons &amp; Items'!B:C,2,0)</f>
        <v>Aviation and drones</v>
      </c>
      <c r="K872" s="1186" t="str">
        <f>IF(I872=".",I872,VLOOKUP($I872,'Price List, Weapons &amp; Items'!B:D,3,0))</f>
        <v>Combat aircraft</v>
      </c>
      <c r="L872" s="1187">
        <f>VLOOKUP(I872,'Price List, Weapons &amp; Items'!B:E,4,0)</f>
        <v>0</v>
      </c>
      <c r="M872" s="1188">
        <v>2</v>
      </c>
      <c r="N872" s="1188" t="s">
        <v>374</v>
      </c>
      <c r="O872" s="1188" t="str">
        <f>VLOOKUP($I872,'Price List, Weapons &amp; Items'!B:G,6,0)</f>
        <v>.</v>
      </c>
      <c r="P872" s="1185" t="str">
        <f t="shared" si="184"/>
        <v>No price</v>
      </c>
      <c r="Q872" s="1185" t="str">
        <f t="shared" si="185"/>
        <v>.</v>
      </c>
      <c r="R872" s="1185" t="str">
        <f t="shared" si="181"/>
        <v/>
      </c>
      <c r="S872" s="1185" t="str">
        <f>IF(AND(AD872=1,R872&lt;&gt;".")=TRUE,R872/VLOOKUP(G872,'Exchange Rates'!B:C,2,0),IF(R872=".",".",""))</f>
        <v/>
      </c>
      <c r="T872" s="1185" t="str">
        <f>IF(AD872=1,IF(AF872="Value is not given at all",".",IF(AF872="Value is given by the source",S872,IF(AF872="Value is calculated with prices",(IF(SUMIFS(Q:Q,A:A,A872)&gt;0,SUMIFS(Q:Q,A:A,A872),"."))/VLOOKUP("USD",'Exchange Rates'!B:C,2,0),"Error with coding"))),"")</f>
        <v/>
      </c>
      <c r="U872" s="1184" t="s">
        <v>365</v>
      </c>
      <c r="V872" s="973" t="s">
        <v>2468</v>
      </c>
      <c r="W872" s="973" t="s">
        <v>2469</v>
      </c>
      <c r="X872" s="973" t="s">
        <v>2470</v>
      </c>
      <c r="Y872" s="973" t="s">
        <v>2413</v>
      </c>
      <c r="Z872" s="1184">
        <v>0</v>
      </c>
      <c r="AA872" s="1194">
        <v>0</v>
      </c>
      <c r="AB872" s="1000" t="s">
        <v>364</v>
      </c>
      <c r="AC872" s="1192" t="str">
        <f>""</f>
        <v/>
      </c>
      <c r="AD872" s="1193">
        <v>0</v>
      </c>
      <c r="AE872" s="1193" t="s">
        <v>368</v>
      </c>
      <c r="AF872" s="1193" t="s">
        <v>369</v>
      </c>
      <c r="AG872" s="1193">
        <v>1</v>
      </c>
      <c r="AH872" s="1193">
        <v>13</v>
      </c>
      <c r="AI872" s="1193">
        <v>0</v>
      </c>
      <c r="AJ872" s="1193">
        <f>VLOOKUP($I872,'Price List, Weapons &amp; Items'!B:F,5,0)</f>
        <v>0</v>
      </c>
      <c r="AK872" s="1193">
        <f t="shared" si="186"/>
        <v>0</v>
      </c>
      <c r="AL872" s="1193">
        <f t="shared" si="187"/>
        <v>0</v>
      </c>
      <c r="AM872" s="1193">
        <f t="shared" si="188"/>
        <v>0</v>
      </c>
      <c r="AN872" s="1194" t="str">
        <f>VLOOKUP($I872,'Price List, Weapons &amp; Items'!B:L,COLUMN('Price List, Weapons &amp; Items'!$J$11)-1,0)</f>
        <v>.</v>
      </c>
      <c r="AO872" s="1194" t="str">
        <f>IF(I872=".",".",VLOOKUP($I872,'Price List, Weapons &amp; Items'!B:J,3,0))</f>
        <v>Combat aircraft</v>
      </c>
      <c r="AP872" s="1195" t="str">
        <f t="shared" ca="1" si="182"/>
        <v/>
      </c>
      <c r="AQ872" s="1194">
        <f>VLOOKUP($I872,'Price List, Weapons &amp; Items'!B:L,COLUMN('Price List, Weapons &amp; Items'!$L$11)-1,0)</f>
        <v>0</v>
      </c>
      <c r="AR872" s="1194">
        <f t="shared" si="189"/>
        <v>1</v>
      </c>
      <c r="AS872" s="1194">
        <f t="shared" si="190"/>
        <v>1</v>
      </c>
      <c r="AT872" s="1194">
        <f t="shared" si="191"/>
        <v>1</v>
      </c>
      <c r="AU872" s="1194" t="str">
        <f t="shared" si="192"/>
        <v>.</v>
      </c>
      <c r="AV872" s="1194" t="str">
        <f t="shared" si="183"/>
        <v>.</v>
      </c>
      <c r="AW872" s="1194" t="str">
        <f t="shared" si="193"/>
        <v>.</v>
      </c>
      <c r="AX872" s="1194">
        <f>IFERROR(VLOOKUP(B872,'Share, Heavy Weapons to Ukraine'!B:Z,COLUMN('Share, Heavy Weapons to Ukraine'!C882)-1,0),0)</f>
        <v>0</v>
      </c>
      <c r="AY872" s="1194">
        <f>VLOOKUP('Bilateral Assistance, MAIN DATA'!B872,'Country Summary (€)'!B:F,COLUMN('Country Summary (€)'!C883)-1,FALSE)</f>
        <v>1</v>
      </c>
      <c r="AZ872" s="1194" t="str">
        <f>IF(AND(AD872=1,D872="Military",H872&lt;&gt;"Not given")=TRUE,IF(SUMIFS(P:P,A:A,A872)&gt;0,ABS((SUMIFS(P:P,A:A,A872)/VLOOKUP("USD",'Exchange Rates'!B:C,2,0)))/S872,"."),".")</f>
        <v>.</v>
      </c>
      <c r="BA872" s="1196" t="str">
        <f>IF(AND(AD872=1,D872="Military",H872&lt;&gt;"Not given")=TRUE,IF(SUMIFS(P:P,A:A,A872)&gt;0,IF((ABS((SUMIFS(P:P,A:A,A872)/VLOOKUP("USD",'Exchange Rates'!B:C,2,0)))/S872)&gt;1,(SUMIFS(P:P,A:A,A872)-S872)/S872,(S872-SUMIFS(P:P,A:A,A872))/SUMIFS(P:P,A:A,A872)),"."),".")</f>
        <v>.</v>
      </c>
    </row>
    <row r="873" spans="1:53" ht="15.95" customHeight="1">
      <c r="A873" s="1180" t="s">
        <v>2466</v>
      </c>
      <c r="B873" s="1180" t="s">
        <v>2392</v>
      </c>
      <c r="C873" s="1181">
        <v>44944</v>
      </c>
      <c r="D873" s="1182" t="s">
        <v>389</v>
      </c>
      <c r="E873" s="1182" t="s">
        <v>443</v>
      </c>
      <c r="F873" s="1001" t="s">
        <v>2467</v>
      </c>
      <c r="G873" s="1184" t="s">
        <v>483</v>
      </c>
      <c r="H873" s="1185">
        <v>76565546.699138001</v>
      </c>
      <c r="I873" s="1180" t="s">
        <v>610</v>
      </c>
      <c r="J873" s="1186" t="str">
        <f>VLOOKUP($I873,'Price List, Weapons &amp; Items'!B:C,2,0)</f>
        <v>Light armaments &amp; infantry</v>
      </c>
      <c r="K873" s="1186" t="str">
        <f>IF(I873=".",I873,VLOOKUP($I873,'Price List, Weapons &amp; Items'!B:D,3,0))</f>
        <v>Small Arms and Light Weapons (SALW)</v>
      </c>
      <c r="L873" s="1187">
        <f>VLOOKUP(I873,'Price List, Weapons &amp; Items'!B:E,4,0)</f>
        <v>0</v>
      </c>
      <c r="M873" s="1188">
        <v>20</v>
      </c>
      <c r="N873" s="1188" t="s">
        <v>374</v>
      </c>
      <c r="O873" s="1188">
        <f>VLOOKUP($I873,'Price List, Weapons &amp; Items'!B:G,6,0)</f>
        <v>5300</v>
      </c>
      <c r="P873" s="1185">
        <f t="shared" si="184"/>
        <v>106000</v>
      </c>
      <c r="Q873" s="1185" t="str">
        <f t="shared" si="185"/>
        <v>.</v>
      </c>
      <c r="R873" s="1185" t="str">
        <f t="shared" si="181"/>
        <v/>
      </c>
      <c r="S873" s="1185" t="str">
        <f>IF(AND(AD873=1,R873&lt;&gt;".")=TRUE,R873/VLOOKUP(G873,'Exchange Rates'!B:C,2,0),IF(R873=".",".",""))</f>
        <v/>
      </c>
      <c r="T873" s="1185" t="str">
        <f>IF(AD873=1,IF(AF873="Value is not given at all",".",IF(AF873="Value is given by the source",S873,IF(AF873="Value is calculated with prices",(IF(SUMIFS(Q:Q,A:A,A873)&gt;0,SUMIFS(Q:Q,A:A,A873),"."))/VLOOKUP("USD",'Exchange Rates'!B:C,2,0),"Error with coding"))),"")</f>
        <v/>
      </c>
      <c r="U873" s="1184" t="s">
        <v>365</v>
      </c>
      <c r="V873" s="973" t="s">
        <v>2468</v>
      </c>
      <c r="W873" s="973" t="s">
        <v>2469</v>
      </c>
      <c r="X873" s="973" t="s">
        <v>2470</v>
      </c>
      <c r="Y873" s="973" t="s">
        <v>2413</v>
      </c>
      <c r="Z873" s="1184">
        <v>0</v>
      </c>
      <c r="AA873" s="1194">
        <v>0</v>
      </c>
      <c r="AB873" s="1000" t="s">
        <v>364</v>
      </c>
      <c r="AC873" s="1192" t="str">
        <f>""</f>
        <v/>
      </c>
      <c r="AD873" s="1193">
        <v>0</v>
      </c>
      <c r="AE873" s="1193" t="s">
        <v>368</v>
      </c>
      <c r="AF873" s="1193" t="s">
        <v>369</v>
      </c>
      <c r="AG873" s="1193">
        <v>1</v>
      </c>
      <c r="AH873" s="1193">
        <v>13</v>
      </c>
      <c r="AI873" s="1193">
        <v>0</v>
      </c>
      <c r="AJ873" s="1193">
        <f>VLOOKUP($I873,'Price List, Weapons &amp; Items'!B:F,5,0)</f>
        <v>0</v>
      </c>
      <c r="AK873" s="1193">
        <f t="shared" si="186"/>
        <v>0</v>
      </c>
      <c r="AL873" s="1193">
        <f t="shared" si="187"/>
        <v>0</v>
      </c>
      <c r="AM873" s="1193">
        <f t="shared" si="188"/>
        <v>0</v>
      </c>
      <c r="AN873" s="1194" t="str">
        <f>VLOOKUP($I873,'Price List, Weapons &amp; Items'!B:L,COLUMN('Price List, Weapons &amp; Items'!$J$11)-1,0)</f>
        <v>Miscellaneous</v>
      </c>
      <c r="AO873" s="1194" t="str">
        <f>IF(I873=".",".",VLOOKUP($I873,'Price List, Weapons &amp; Items'!B:J,3,0))</f>
        <v>Small Arms and Light Weapons (SALW)</v>
      </c>
      <c r="AP873" s="1195" t="str">
        <f t="shared" ca="1" si="182"/>
        <v/>
      </c>
      <c r="AQ873" s="1194">
        <f>VLOOKUP($I873,'Price List, Weapons &amp; Items'!B:L,COLUMN('Price List, Weapons &amp; Items'!$L$11)-1,0)</f>
        <v>2</v>
      </c>
      <c r="AR873" s="1194">
        <f t="shared" si="189"/>
        <v>1</v>
      </c>
      <c r="AS873" s="1194">
        <f t="shared" si="190"/>
        <v>1</v>
      </c>
      <c r="AT873" s="1194">
        <f t="shared" si="191"/>
        <v>1</v>
      </c>
      <c r="AU873" s="1194" t="str">
        <f t="shared" si="192"/>
        <v>.</v>
      </c>
      <c r="AV873" s="1194" t="str">
        <f t="shared" si="183"/>
        <v>.</v>
      </c>
      <c r="AW873" s="1194" t="str">
        <f t="shared" si="193"/>
        <v>.</v>
      </c>
      <c r="AX873" s="1194">
        <f>IFERROR(VLOOKUP(B873,'Share, Heavy Weapons to Ukraine'!B:Z,COLUMN('Share, Heavy Weapons to Ukraine'!C883)-1,0),0)</f>
        <v>0</v>
      </c>
      <c r="AY873" s="1194">
        <f>VLOOKUP('Bilateral Assistance, MAIN DATA'!B873,'Country Summary (€)'!B:F,COLUMN('Country Summary (€)'!C884)-1,FALSE)</f>
        <v>1</v>
      </c>
      <c r="AZ873" s="1194" t="str">
        <f>IF(AND(AD873=1,D873="Military",H873&lt;&gt;"Not given")=TRUE,IF(SUMIFS(P:P,A:A,A873)&gt;0,ABS((SUMIFS(P:P,A:A,A873)/VLOOKUP("USD",'Exchange Rates'!B:C,2,0)))/S873,"."),".")</f>
        <v>.</v>
      </c>
      <c r="BA873" s="1196" t="str">
        <f>IF(AND(AD873=1,D873="Military",H873&lt;&gt;"Not given")=TRUE,IF(SUMIFS(P:P,A:A,A873)&gt;0,IF((ABS((SUMIFS(P:P,A:A,A873)/VLOOKUP("USD",'Exchange Rates'!B:C,2,0)))/S873)&gt;1,(SUMIFS(P:P,A:A,A873)-S873)/S873,(S873-SUMIFS(P:P,A:A,A873))/SUMIFS(P:P,A:A,A873)),"."),".")</f>
        <v>.</v>
      </c>
    </row>
    <row r="874" spans="1:53" ht="15.95" customHeight="1">
      <c r="A874" s="1180" t="s">
        <v>2466</v>
      </c>
      <c r="B874" s="1180" t="s">
        <v>2392</v>
      </c>
      <c r="C874" s="1181">
        <v>44944</v>
      </c>
      <c r="D874" s="1182" t="s">
        <v>389</v>
      </c>
      <c r="E874" s="1182" t="s">
        <v>443</v>
      </c>
      <c r="F874" s="1001" t="s">
        <v>2467</v>
      </c>
      <c r="G874" s="1184" t="s">
        <v>483</v>
      </c>
      <c r="H874" s="1185">
        <v>76565546.699138001</v>
      </c>
      <c r="I874" s="1180" t="s">
        <v>602</v>
      </c>
      <c r="J874" s="1186" t="str">
        <f>VLOOKUP($I874,'Price List, Weapons &amp; Items'!B:C,2,0)</f>
        <v>Ammunition</v>
      </c>
      <c r="K874" s="1186" t="str">
        <f>IF(I874=".",I874,VLOOKUP($I874,'Price List, Weapons &amp; Items'!B:D,3,0))</f>
        <v>Military equipment</v>
      </c>
      <c r="L874" s="1187">
        <f>VLOOKUP(I874,'Price List, Weapons &amp; Items'!B:E,4,0)</f>
        <v>0</v>
      </c>
      <c r="M874" s="1188" t="s">
        <v>374</v>
      </c>
      <c r="N874" s="1188" t="s">
        <v>374</v>
      </c>
      <c r="O874" s="1188" t="str">
        <f>VLOOKUP($I874,'Price List, Weapons &amp; Items'!B:G,6,0)</f>
        <v>.</v>
      </c>
      <c r="P874" s="1185" t="str">
        <f t="shared" si="184"/>
        <v>.</v>
      </c>
      <c r="Q874" s="1185" t="str">
        <f t="shared" si="185"/>
        <v>.</v>
      </c>
      <c r="R874" s="1185" t="str">
        <f t="shared" si="181"/>
        <v/>
      </c>
      <c r="S874" s="1185" t="str">
        <f>IF(AND(AD874=1,R874&lt;&gt;".")=TRUE,R874/VLOOKUP(G874,'Exchange Rates'!B:C,2,0),IF(R874=".",".",""))</f>
        <v/>
      </c>
      <c r="T874" s="1185" t="str">
        <f>IF(AD874=1,IF(AF874="Value is not given at all",".",IF(AF874="Value is given by the source",S874,IF(AF874="Value is calculated with prices",(IF(SUMIFS(Q:Q,A:A,A874)&gt;0,SUMIFS(Q:Q,A:A,A874),"."))/VLOOKUP("USD",'Exchange Rates'!B:C,2,0),"Error with coding"))),"")</f>
        <v/>
      </c>
      <c r="U874" s="1184" t="s">
        <v>365</v>
      </c>
      <c r="V874" s="973" t="s">
        <v>2468</v>
      </c>
      <c r="W874" s="973" t="s">
        <v>2469</v>
      </c>
      <c r="X874" s="973" t="s">
        <v>2470</v>
      </c>
      <c r="Y874" s="973" t="s">
        <v>2413</v>
      </c>
      <c r="Z874" s="1184">
        <v>0</v>
      </c>
      <c r="AA874" s="1194">
        <v>0</v>
      </c>
      <c r="AB874" s="1000" t="s">
        <v>364</v>
      </c>
      <c r="AC874" s="1192" t="str">
        <f>""</f>
        <v/>
      </c>
      <c r="AD874" s="1193">
        <v>0</v>
      </c>
      <c r="AE874" s="1193" t="s">
        <v>368</v>
      </c>
      <c r="AF874" s="1193" t="s">
        <v>369</v>
      </c>
      <c r="AG874" s="1193">
        <v>1</v>
      </c>
      <c r="AH874" s="1193">
        <v>13</v>
      </c>
      <c r="AI874" s="1193">
        <v>0</v>
      </c>
      <c r="AJ874" s="1193">
        <f>VLOOKUP($I874,'Price List, Weapons &amp; Items'!B:F,5,0)</f>
        <v>0</v>
      </c>
      <c r="AK874" s="1193">
        <f t="shared" si="186"/>
        <v>0</v>
      </c>
      <c r="AL874" s="1193">
        <f t="shared" si="187"/>
        <v>0</v>
      </c>
      <c r="AM874" s="1193">
        <f t="shared" si="188"/>
        <v>1</v>
      </c>
      <c r="AN874" s="1194" t="str">
        <f>VLOOKUP($I874,'Price List, Weapons &amp; Items'!B:L,COLUMN('Price List, Weapons &amp; Items'!$J$11)-1,0)</f>
        <v>.</v>
      </c>
      <c r="AO874" s="1194" t="str">
        <f>IF(I874=".",".",VLOOKUP($I874,'Price List, Weapons &amp; Items'!B:J,3,0))</f>
        <v>Military equipment</v>
      </c>
      <c r="AP874" s="1195" t="str">
        <f t="shared" ca="1" si="182"/>
        <v/>
      </c>
      <c r="AQ874" s="1194">
        <f>VLOOKUP($I874,'Price List, Weapons &amp; Items'!B:L,COLUMN('Price List, Weapons &amp; Items'!$L$11)-1,0)</f>
        <v>0</v>
      </c>
      <c r="AR874" s="1194">
        <f t="shared" si="189"/>
        <v>1</v>
      </c>
      <c r="AS874" s="1194">
        <f t="shared" si="190"/>
        <v>1</v>
      </c>
      <c r="AT874" s="1194">
        <f t="shared" si="191"/>
        <v>1</v>
      </c>
      <c r="AU874" s="1194" t="str">
        <f t="shared" si="192"/>
        <v>.</v>
      </c>
      <c r="AV874" s="1194" t="str">
        <f t="shared" si="183"/>
        <v>.</v>
      </c>
      <c r="AW874" s="1194" t="str">
        <f t="shared" si="193"/>
        <v>.</v>
      </c>
      <c r="AX874" s="1194">
        <f>IFERROR(VLOOKUP(B874,'Share, Heavy Weapons to Ukraine'!B:Z,COLUMN('Share, Heavy Weapons to Ukraine'!C884)-1,0),0)</f>
        <v>0</v>
      </c>
      <c r="AY874" s="1194">
        <f>VLOOKUP('Bilateral Assistance, MAIN DATA'!B874,'Country Summary (€)'!B:F,COLUMN('Country Summary (€)'!C885)-1,FALSE)</f>
        <v>1</v>
      </c>
      <c r="AZ874" s="1194" t="str">
        <f>IF(AND(AD874=1,D874="Military",H874&lt;&gt;"Not given")=TRUE,IF(SUMIFS(P:P,A:A,A874)&gt;0,ABS((SUMIFS(P:P,A:A,A874)/VLOOKUP("USD",'Exchange Rates'!B:C,2,0)))/S874,"."),".")</f>
        <v>.</v>
      </c>
      <c r="BA874" s="1196" t="str">
        <f>IF(AND(AD874=1,D874="Military",H874&lt;&gt;"Not given")=TRUE,IF(SUMIFS(P:P,A:A,A874)&gt;0,IF((ABS((SUMIFS(P:P,A:A,A874)/VLOOKUP("USD",'Exchange Rates'!B:C,2,0)))/S874)&gt;1,(SUMIFS(P:P,A:A,A874)-S874)/S874,(S874-SUMIFS(P:P,A:A,A874))/SUMIFS(P:P,A:A,A874)),"."),".")</f>
        <v>.</v>
      </c>
    </row>
    <row r="875" spans="1:53" ht="15.95" customHeight="1">
      <c r="A875" s="1180" t="s">
        <v>2466</v>
      </c>
      <c r="B875" s="1180" t="s">
        <v>2392</v>
      </c>
      <c r="C875" s="1181">
        <v>44944</v>
      </c>
      <c r="D875" s="1182" t="s">
        <v>389</v>
      </c>
      <c r="E875" s="1182" t="s">
        <v>443</v>
      </c>
      <c r="F875" s="1001" t="s">
        <v>2467</v>
      </c>
      <c r="G875" s="1184" t="s">
        <v>483</v>
      </c>
      <c r="H875" s="1185">
        <v>76565546.699138001</v>
      </c>
      <c r="I875" s="1180" t="s">
        <v>1324</v>
      </c>
      <c r="J875" s="1186" t="str">
        <f>VLOOKUP($I875,'Price List, Weapons &amp; Items'!B:C,2,0)</f>
        <v>Aviation and drones</v>
      </c>
      <c r="K875" s="1186" t="str">
        <f>IF(I875=".",I875,VLOOKUP($I875,'Price List, Weapons &amp; Items'!B:D,3,0))</f>
        <v>Drone</v>
      </c>
      <c r="L875" s="1187">
        <f>VLOOKUP(I875,'Price List, Weapons &amp; Items'!B:E,4,0)</f>
        <v>0</v>
      </c>
      <c r="M875" s="1188">
        <v>20</v>
      </c>
      <c r="N875" s="1188" t="s">
        <v>374</v>
      </c>
      <c r="O875" s="1188">
        <f>VLOOKUP($I875,'Price List, Weapons &amp; Items'!B:G,6,0)</f>
        <v>6000</v>
      </c>
      <c r="P875" s="1185">
        <f t="shared" si="184"/>
        <v>120000</v>
      </c>
      <c r="Q875" s="1185" t="str">
        <f t="shared" si="185"/>
        <v>.</v>
      </c>
      <c r="R875" s="1185" t="str">
        <f t="shared" si="181"/>
        <v/>
      </c>
      <c r="S875" s="1185" t="str">
        <f>IF(AND(AD875=1,R875&lt;&gt;".")=TRUE,R875/VLOOKUP(G875,'Exchange Rates'!B:C,2,0),IF(R875=".",".",""))</f>
        <v/>
      </c>
      <c r="T875" s="1185" t="str">
        <f>IF(AD875=1,IF(AF875="Value is not given at all",".",IF(AF875="Value is given by the source",S875,IF(AF875="Value is calculated with prices",(IF(SUMIFS(Q:Q,A:A,A875)&gt;0,SUMIFS(Q:Q,A:A,A875),"."))/VLOOKUP("USD",'Exchange Rates'!B:C,2,0),"Error with coding"))),"")</f>
        <v/>
      </c>
      <c r="U875" s="1184" t="s">
        <v>365</v>
      </c>
      <c r="V875" s="973" t="s">
        <v>2468</v>
      </c>
      <c r="W875" s="973" t="s">
        <v>2469</v>
      </c>
      <c r="X875" s="973" t="s">
        <v>2470</v>
      </c>
      <c r="Y875" s="973" t="s">
        <v>2413</v>
      </c>
      <c r="Z875" s="1184">
        <v>0</v>
      </c>
      <c r="AA875" s="1194">
        <v>0</v>
      </c>
      <c r="AB875" s="1000" t="s">
        <v>364</v>
      </c>
      <c r="AC875" s="1192" t="str">
        <f>""</f>
        <v/>
      </c>
      <c r="AD875" s="1193">
        <v>0</v>
      </c>
      <c r="AE875" s="1193" t="s">
        <v>368</v>
      </c>
      <c r="AF875" s="1193" t="s">
        <v>369</v>
      </c>
      <c r="AG875" s="1193">
        <v>1</v>
      </c>
      <c r="AH875" s="1193">
        <v>13</v>
      </c>
      <c r="AI875" s="1193">
        <v>0</v>
      </c>
      <c r="AJ875" s="1193">
        <f>VLOOKUP($I875,'Price List, Weapons &amp; Items'!B:F,5,0)</f>
        <v>0</v>
      </c>
      <c r="AK875" s="1193">
        <f t="shared" si="186"/>
        <v>0</v>
      </c>
      <c r="AL875" s="1193">
        <f t="shared" si="187"/>
        <v>0</v>
      </c>
      <c r="AM875" s="1193">
        <f t="shared" si="188"/>
        <v>0</v>
      </c>
      <c r="AN875" s="1194" t="str">
        <f>VLOOKUP($I875,'Price List, Weapons &amp; Items'!B:L,COLUMN('Price List, Weapons &amp; Items'!$J$11)-1,0)</f>
        <v>Miscellaneous</v>
      </c>
      <c r="AO875" s="1194" t="str">
        <f>IF(I875=".",".",VLOOKUP($I875,'Price List, Weapons &amp; Items'!B:J,3,0))</f>
        <v>Drone</v>
      </c>
      <c r="AP875" s="1195" t="str">
        <f t="shared" ca="1" si="182"/>
        <v/>
      </c>
      <c r="AQ875" s="1194">
        <f>VLOOKUP($I875,'Price List, Weapons &amp; Items'!B:L,COLUMN('Price List, Weapons &amp; Items'!$L$11)-1,0)</f>
        <v>1</v>
      </c>
      <c r="AR875" s="1194">
        <f t="shared" si="189"/>
        <v>1</v>
      </c>
      <c r="AS875" s="1194">
        <f t="shared" si="190"/>
        <v>1</v>
      </c>
      <c r="AT875" s="1194">
        <f t="shared" si="191"/>
        <v>1</v>
      </c>
      <c r="AU875" s="1194" t="str">
        <f t="shared" si="192"/>
        <v>.</v>
      </c>
      <c r="AV875" s="1194" t="str">
        <f t="shared" si="183"/>
        <v>.</v>
      </c>
      <c r="AW875" s="1194" t="str">
        <f t="shared" si="193"/>
        <v>.</v>
      </c>
      <c r="AX875" s="1194">
        <f>IFERROR(VLOOKUP(B875,'Share, Heavy Weapons to Ukraine'!B:Z,COLUMN('Share, Heavy Weapons to Ukraine'!C885)-1,0),0)</f>
        <v>0</v>
      </c>
      <c r="AY875" s="1194">
        <f>VLOOKUP('Bilateral Assistance, MAIN DATA'!B875,'Country Summary (€)'!B:F,COLUMN('Country Summary (€)'!C886)-1,FALSE)</f>
        <v>1</v>
      </c>
      <c r="AZ875" s="1194" t="str">
        <f>IF(AND(AD875=1,D875="Military",H875&lt;&gt;"Not given")=TRUE,IF(SUMIFS(P:P,A:A,A875)&gt;0,ABS((SUMIFS(P:P,A:A,A875)/VLOOKUP("USD",'Exchange Rates'!B:C,2,0)))/S875,"."),".")</f>
        <v>.</v>
      </c>
      <c r="BA875" s="1196" t="str">
        <f>IF(AND(AD875=1,D875="Military",H875&lt;&gt;"Not given")=TRUE,IF(SUMIFS(P:P,A:A,A875)&gt;0,IF((ABS((SUMIFS(P:P,A:A,A875)/VLOOKUP("USD",'Exchange Rates'!B:C,2,0)))/S875)&gt;1,(SUMIFS(P:P,A:A,A875)-S875)/S875,(S875-SUMIFS(P:P,A:A,A875))/SUMIFS(P:P,A:A,A875)),"."),".")</f>
        <v>.</v>
      </c>
    </row>
    <row r="876" spans="1:53" ht="15.95" customHeight="1">
      <c r="A876" s="1180" t="s">
        <v>2466</v>
      </c>
      <c r="B876" s="1180" t="s">
        <v>2392</v>
      </c>
      <c r="C876" s="1181">
        <v>44944</v>
      </c>
      <c r="D876" s="1182" t="s">
        <v>389</v>
      </c>
      <c r="E876" s="1182" t="s">
        <v>443</v>
      </c>
      <c r="F876" s="1001" t="s">
        <v>2467</v>
      </c>
      <c r="G876" s="1184" t="s">
        <v>483</v>
      </c>
      <c r="H876" s="1185">
        <v>76565546.699138001</v>
      </c>
      <c r="I876" s="1180" t="s">
        <v>2472</v>
      </c>
      <c r="J876" s="1186" t="str">
        <f>VLOOKUP($I876,'Price List, Weapons &amp; Items'!B:C,2,0)</f>
        <v>Military equipment</v>
      </c>
      <c r="K876" s="1186" t="str">
        <f>IF(I876=".",I876,VLOOKUP($I876,'Price List, Weapons &amp; Items'!B:D,3,0))</f>
        <v>spare parts</v>
      </c>
      <c r="L876" s="1187">
        <f>VLOOKUP(I876,'Price List, Weapons &amp; Items'!B:E,4,0)</f>
        <v>0</v>
      </c>
      <c r="M876" s="1188" t="s">
        <v>374</v>
      </c>
      <c r="N876" s="1188" t="s">
        <v>374</v>
      </c>
      <c r="O876" s="1188" t="str">
        <f>VLOOKUP($I876,'Price List, Weapons &amp; Items'!B:G,6,0)</f>
        <v>.</v>
      </c>
      <c r="P876" s="1185" t="str">
        <f t="shared" si="184"/>
        <v>.</v>
      </c>
      <c r="Q876" s="1185" t="str">
        <f t="shared" si="185"/>
        <v>.</v>
      </c>
      <c r="R876" s="1185" t="str">
        <f t="shared" si="181"/>
        <v/>
      </c>
      <c r="S876" s="1185" t="str">
        <f>IF(AND(AD876=1,R876&lt;&gt;".")=TRUE,R876/VLOOKUP(G876,'Exchange Rates'!B:C,2,0),IF(R876=".",".",""))</f>
        <v/>
      </c>
      <c r="T876" s="1185" t="str">
        <f>IF(AD876=1,IF(AF876="Value is not given at all",".",IF(AF876="Value is given by the source",S876,IF(AF876="Value is calculated with prices",(IF(SUMIFS(Q:Q,A:A,A876)&gt;0,SUMIFS(Q:Q,A:A,A876),"."))/VLOOKUP("USD",'Exchange Rates'!B:C,2,0),"Error with coding"))),"")</f>
        <v/>
      </c>
      <c r="U876" s="1184" t="s">
        <v>365</v>
      </c>
      <c r="V876" s="973" t="s">
        <v>2468</v>
      </c>
      <c r="W876" s="973" t="s">
        <v>2469</v>
      </c>
      <c r="X876" s="973" t="s">
        <v>2470</v>
      </c>
      <c r="Y876" s="973" t="s">
        <v>2413</v>
      </c>
      <c r="Z876" s="1184">
        <v>0</v>
      </c>
      <c r="AA876" s="1194">
        <v>0</v>
      </c>
      <c r="AB876" s="1000" t="s">
        <v>364</v>
      </c>
      <c r="AC876" s="1192" t="str">
        <f>""</f>
        <v/>
      </c>
      <c r="AD876" s="1193">
        <v>0</v>
      </c>
      <c r="AE876" s="1193" t="s">
        <v>368</v>
      </c>
      <c r="AF876" s="1193" t="s">
        <v>369</v>
      </c>
      <c r="AG876" s="1193">
        <v>1</v>
      </c>
      <c r="AH876" s="1193">
        <v>13</v>
      </c>
      <c r="AI876" s="1193">
        <v>0</v>
      </c>
      <c r="AJ876" s="1193">
        <f>VLOOKUP($I876,'Price List, Weapons &amp; Items'!B:F,5,0)</f>
        <v>0</v>
      </c>
      <c r="AK876" s="1193">
        <f t="shared" si="186"/>
        <v>0</v>
      </c>
      <c r="AL876" s="1193">
        <f t="shared" si="187"/>
        <v>0</v>
      </c>
      <c r="AM876" s="1193">
        <f t="shared" si="188"/>
        <v>0</v>
      </c>
      <c r="AN876" s="1194" t="str">
        <f>VLOOKUP($I876,'Price List, Weapons &amp; Items'!B:L,COLUMN('Price List, Weapons &amp; Items'!$J$11)-1,0)</f>
        <v>.</v>
      </c>
      <c r="AO876" s="1194" t="str">
        <f>IF(I876=".",".",VLOOKUP($I876,'Price List, Weapons &amp; Items'!B:J,3,0))</f>
        <v>spare parts</v>
      </c>
      <c r="AP876" s="1195" t="str">
        <f t="shared" ca="1" si="182"/>
        <v/>
      </c>
      <c r="AQ876" s="1194" t="str">
        <f>VLOOKUP($I876,'Price List, Weapons &amp; Items'!B:L,COLUMN('Price List, Weapons &amp; Items'!$L$11)-1,0)</f>
        <v>no price, 0 count</v>
      </c>
      <c r="AR876" s="1194">
        <f t="shared" si="189"/>
        <v>1</v>
      </c>
      <c r="AS876" s="1194">
        <f t="shared" si="190"/>
        <v>1</v>
      </c>
      <c r="AT876" s="1194">
        <f t="shared" si="191"/>
        <v>1</v>
      </c>
      <c r="AU876" s="1194" t="str">
        <f t="shared" si="192"/>
        <v>.</v>
      </c>
      <c r="AV876" s="1194" t="str">
        <f t="shared" si="183"/>
        <v>.</v>
      </c>
      <c r="AW876" s="1194" t="str">
        <f t="shared" si="193"/>
        <v>.</v>
      </c>
      <c r="AX876" s="1194">
        <f>IFERROR(VLOOKUP(B876,'Share, Heavy Weapons to Ukraine'!B:Z,COLUMN('Share, Heavy Weapons to Ukraine'!C886)-1,0),0)</f>
        <v>0</v>
      </c>
      <c r="AY876" s="1194">
        <f>VLOOKUP('Bilateral Assistance, MAIN DATA'!B876,'Country Summary (€)'!B:F,COLUMN('Country Summary (€)'!C887)-1,FALSE)</f>
        <v>1</v>
      </c>
      <c r="AZ876" s="1194" t="str">
        <f>IF(AND(AD876=1,D876="Military",H876&lt;&gt;"Not given")=TRUE,IF(SUMIFS(P:P,A:A,A876)&gt;0,ABS((SUMIFS(P:P,A:A,A876)/VLOOKUP("USD",'Exchange Rates'!B:C,2,0)))/S876,"."),".")</f>
        <v>.</v>
      </c>
      <c r="BA876" s="1196" t="str">
        <f>IF(AND(AD876=1,D876="Military",H876&lt;&gt;"Not given")=TRUE,IF(SUMIFS(P:P,A:A,A876)&gt;0,IF((ABS((SUMIFS(P:P,A:A,A876)/VLOOKUP("USD",'Exchange Rates'!B:C,2,0)))/S876)&gt;1,(SUMIFS(P:P,A:A,A876)-S876)/S876,(S876-SUMIFS(P:P,A:A,A876))/SUMIFS(P:P,A:A,A876)),"."),".")</f>
        <v>.</v>
      </c>
    </row>
    <row r="877" spans="1:53" ht="15.95" customHeight="1">
      <c r="A877" s="1182" t="s">
        <v>2473</v>
      </c>
      <c r="B877" s="1182" t="s">
        <v>2392</v>
      </c>
      <c r="C877" s="1181">
        <v>45037</v>
      </c>
      <c r="D877" s="1182" t="s">
        <v>389</v>
      </c>
      <c r="E877" s="1182" t="s">
        <v>443</v>
      </c>
      <c r="F877" s="1141" t="s">
        <v>2474</v>
      </c>
      <c r="G877" s="1184" t="s">
        <v>483</v>
      </c>
      <c r="H877" s="1185" t="s">
        <v>457</v>
      </c>
      <c r="I877" s="1266" t="s">
        <v>1239</v>
      </c>
      <c r="J877" s="1186" t="str">
        <f>VLOOKUP($I877,'Price List, Weapons &amp; Items'!B:C,2,0)</f>
        <v>Portable defence system</v>
      </c>
      <c r="K877" s="1186" t="str">
        <f>IF(I877=".",I877,VLOOKUP($I877,'Price List, Weapons &amp; Items'!B:D,3,0))</f>
        <v>MANPADS</v>
      </c>
      <c r="L877" s="1187">
        <f>VLOOKUP(I877,'Price List, Weapons &amp; Items'!B:E,4,0)</f>
        <v>0</v>
      </c>
      <c r="M877" s="1188" t="s">
        <v>374</v>
      </c>
      <c r="N877" s="1275" t="s">
        <v>374</v>
      </c>
      <c r="O877" s="1188">
        <f>VLOOKUP($I877,'Price List, Weapons &amp; Items'!B:G,6,0)</f>
        <v>119000</v>
      </c>
      <c r="P877" s="1185" t="str">
        <f t="shared" si="184"/>
        <v>.</v>
      </c>
      <c r="Q877" s="1185" t="str">
        <f t="shared" si="185"/>
        <v>.</v>
      </c>
      <c r="R877" s="1185" t="str">
        <f t="shared" si="181"/>
        <v>.</v>
      </c>
      <c r="S877" s="1185" t="str">
        <f>IF(AND(AD877=1,R877&lt;&gt;".")=TRUE,R877/VLOOKUP(G877,'Exchange Rates'!B:C,2,0),IF(R877=".",".",""))</f>
        <v>.</v>
      </c>
      <c r="T877" s="1185" t="str">
        <f>IF(AD877=1,IF(AF877="Value is not given at all",".",IF(AF877="Value is given by the source",S877,IF(AF877="Value is calculated with prices",(IF(SUMIFS(Q:Q,A:A,A877)&gt;0,SUMIFS(Q:Q,A:A,A877),"."))/VLOOKUP("USD",'Exchange Rates'!B:C,2,0),"Error with coding"))),"")</f>
        <v>.</v>
      </c>
      <c r="U877" s="1184" t="s">
        <v>365</v>
      </c>
      <c r="V877" s="987" t="s">
        <v>2475</v>
      </c>
      <c r="W877" s="1034" t="s">
        <v>364</v>
      </c>
      <c r="X877" s="1034" t="s">
        <v>364</v>
      </c>
      <c r="Y877" s="1183" t="s">
        <v>364</v>
      </c>
      <c r="Z877" s="1184">
        <v>0</v>
      </c>
      <c r="AA877" s="1191">
        <v>1</v>
      </c>
      <c r="AB877" s="1028" t="s">
        <v>364</v>
      </c>
      <c r="AC877" s="1192" t="str">
        <f>""</f>
        <v/>
      </c>
      <c r="AD877" s="985">
        <v>1</v>
      </c>
      <c r="AE877" s="985" t="s">
        <v>369</v>
      </c>
      <c r="AF877" s="985" t="s">
        <v>369</v>
      </c>
      <c r="AG877" s="985">
        <v>1</v>
      </c>
      <c r="AH877" s="985">
        <v>16</v>
      </c>
      <c r="AI877" s="985">
        <v>0</v>
      </c>
      <c r="AJ877" s="1193">
        <f>VLOOKUP($I877,'Price List, Weapons &amp; Items'!B:F,5,0)</f>
        <v>0</v>
      </c>
      <c r="AK877" s="1193">
        <f t="shared" si="186"/>
        <v>0</v>
      </c>
      <c r="AL877" s="1193">
        <f t="shared" si="187"/>
        <v>0</v>
      </c>
      <c r="AM877" s="1193">
        <f t="shared" si="188"/>
        <v>0</v>
      </c>
      <c r="AN877" s="1194" t="str">
        <f>VLOOKUP($I877,'Price List, Weapons &amp; Items'!B:L,COLUMN('Price List, Weapons &amp; Items'!$J$11)-1,0)</f>
        <v>Miscellaneous</v>
      </c>
      <c r="AO877" s="1194" t="str">
        <f>IF(I877=".",".",VLOOKUP($I877,'Price List, Weapons &amp; Items'!B:J,3,0))</f>
        <v>MANPADS</v>
      </c>
      <c r="AP877" s="1195" t="str">
        <f t="shared" ca="1" si="182"/>
        <v>Stinger anti-aircraft system</v>
      </c>
      <c r="AQ877" s="1194">
        <f>VLOOKUP($I877,'Price List, Weapons &amp; Items'!B:L,COLUMN('Price List, Weapons &amp; Items'!$L$11)-1,0)</f>
        <v>2</v>
      </c>
      <c r="AR877" s="1194">
        <f t="shared" si="189"/>
        <v>1</v>
      </c>
      <c r="AS877" s="1194">
        <f t="shared" si="190"/>
        <v>1</v>
      </c>
      <c r="AT877" s="1194">
        <f t="shared" si="191"/>
        <v>1</v>
      </c>
      <c r="AU877" s="1194" t="str">
        <f t="shared" si="192"/>
        <v>.</v>
      </c>
      <c r="AV877" s="1194" t="str">
        <f t="shared" si="183"/>
        <v>.</v>
      </c>
      <c r="AW877" s="1194" t="str">
        <f t="shared" si="193"/>
        <v>.</v>
      </c>
      <c r="AX877" s="1194">
        <f>IFERROR(VLOOKUP(B877,'Share, Heavy Weapons to Ukraine'!B:Z,COLUMN('Share, Heavy Weapons to Ukraine'!C887)-1,0),0)</f>
        <v>0</v>
      </c>
      <c r="AY877" s="1194">
        <f>VLOOKUP('Bilateral Assistance, MAIN DATA'!B877,'Country Summary (€)'!B:F,COLUMN('Country Summary (€)'!C888)-1,FALSE)</f>
        <v>1</v>
      </c>
      <c r="AZ877" s="1194" t="str">
        <f>IF(AND(AD877=1,D877="Military",H877&lt;&gt;"Not given")=TRUE,IF(SUMIFS(P:P,A:A,A877)&gt;0,ABS((SUMIFS(P:P,A:A,A877)/VLOOKUP("USD",'Exchange Rates'!B:C,2,0)))/S877,"."),".")</f>
        <v>.</v>
      </c>
      <c r="BA877" s="1196" t="str">
        <f>IF(AND(AD877=1,D877="Military",H877&lt;&gt;"Not given")=TRUE,IF(SUMIFS(P:P,A:A,A877)&gt;0,IF((ABS((SUMIFS(P:P,A:A,A877)/VLOOKUP("USD",'Exchange Rates'!B:C,2,0)))/S877)&gt;1,(SUMIFS(P:P,A:A,A877)-S877)/S877,(S877-SUMIFS(P:P,A:A,A877))/SUMIFS(P:P,A:A,A877)),"."),".")</f>
        <v>.</v>
      </c>
    </row>
    <row r="878" spans="1:53" ht="15.95" customHeight="1">
      <c r="A878" s="1180" t="s">
        <v>2476</v>
      </c>
      <c r="B878" s="1180" t="s">
        <v>2392</v>
      </c>
      <c r="C878" s="1181">
        <v>44628</v>
      </c>
      <c r="D878" s="1182" t="s">
        <v>544</v>
      </c>
      <c r="E878" s="1182" t="s">
        <v>481</v>
      </c>
      <c r="F878" s="1183" t="s">
        <v>2477</v>
      </c>
      <c r="G878" s="1184" t="s">
        <v>483</v>
      </c>
      <c r="H878" s="1185">
        <v>5000000</v>
      </c>
      <c r="I878" s="1180" t="s">
        <v>364</v>
      </c>
      <c r="J878" s="1186" t="str">
        <f>VLOOKUP($I878,'Price List, Weapons &amp; Items'!B:C,2,0)</f>
        <v>.</v>
      </c>
      <c r="K878" s="1186" t="str">
        <f>IF(I878=".",I878,VLOOKUP($I878,'Price List, Weapons &amp; Items'!B:D,3,0))</f>
        <v>.</v>
      </c>
      <c r="L878" s="1187">
        <f>VLOOKUP(I878,'Price List, Weapons &amp; Items'!B:E,4,0)</f>
        <v>0</v>
      </c>
      <c r="M878" s="1188" t="s">
        <v>364</v>
      </c>
      <c r="N878" s="1188" t="s">
        <v>364</v>
      </c>
      <c r="O878" s="1188" t="str">
        <f>VLOOKUP($I878,'Price List, Weapons &amp; Items'!B:G,6,0)</f>
        <v>.</v>
      </c>
      <c r="P878" s="1185" t="str">
        <f t="shared" si="184"/>
        <v>.</v>
      </c>
      <c r="Q878" s="1185" t="str">
        <f t="shared" si="185"/>
        <v>.</v>
      </c>
      <c r="R878" s="1185">
        <f t="shared" si="181"/>
        <v>5000000</v>
      </c>
      <c r="S878" s="1185">
        <f>IF(AND(AD878=1,R878&lt;&gt;".")=TRUE,R878/VLOOKUP(G878,'Exchange Rates'!B:C,2,0),IF(R878=".",".",""))</f>
        <v>5000000</v>
      </c>
      <c r="T878" s="1185" t="str">
        <f>IF(AD878=1,IF(AF878="Value is not given at all",".",IF(AF878="Value is given by the source",S878,IF(AF878="Value is calculated with prices",(IF(SUMIFS(Q:Q,A:A,A878)&gt;0,SUMIFS(Q:Q,A:A,A878),"."))/VLOOKUP("USD",'Exchange Rates'!B:C,2,0),"Error with coding"))),"")</f>
        <v>.</v>
      </c>
      <c r="U878" s="1184" t="s">
        <v>365</v>
      </c>
      <c r="V878" s="971" t="s">
        <v>2478</v>
      </c>
      <c r="W878" s="971" t="s">
        <v>1298</v>
      </c>
      <c r="X878" s="980" t="s">
        <v>2479</v>
      </c>
      <c r="Y878" s="1190" t="s">
        <v>364</v>
      </c>
      <c r="Z878" s="1184">
        <v>1</v>
      </c>
      <c r="AA878" s="1194">
        <v>0</v>
      </c>
      <c r="AB878" s="1212" t="s">
        <v>364</v>
      </c>
      <c r="AC878" s="1192" t="str">
        <f>""</f>
        <v/>
      </c>
      <c r="AD878" s="1193">
        <v>1</v>
      </c>
      <c r="AE878" s="1193" t="s">
        <v>368</v>
      </c>
      <c r="AF878" s="1193" t="s">
        <v>369</v>
      </c>
      <c r="AG878" s="1193">
        <v>1</v>
      </c>
      <c r="AH878" s="1193">
        <v>3</v>
      </c>
      <c r="AI878" s="1193">
        <v>0</v>
      </c>
      <c r="AJ878" s="1193">
        <f>VLOOKUP($I878,'Price List, Weapons &amp; Items'!B:F,5,0)</f>
        <v>0</v>
      </c>
      <c r="AK878" s="1193">
        <f t="shared" si="186"/>
        <v>0</v>
      </c>
      <c r="AL878" s="1193">
        <f t="shared" si="187"/>
        <v>0</v>
      </c>
      <c r="AM878" s="1193">
        <f t="shared" si="188"/>
        <v>0</v>
      </c>
      <c r="AN878" s="1194" t="str">
        <f>VLOOKUP($I878,'Price List, Weapons &amp; Items'!B:L,COLUMN('Price List, Weapons &amp; Items'!$J$11)-1,0)</f>
        <v>.</v>
      </c>
      <c r="AO878" s="1194" t="str">
        <f>IF(I878=".",".",VLOOKUP($I878,'Price List, Weapons &amp; Items'!B:J,3,0))</f>
        <v>.</v>
      </c>
      <c r="AP878" s="1195" t="str">
        <f t="shared" ca="1" si="182"/>
        <v>.</v>
      </c>
      <c r="AQ878" s="1194">
        <f>VLOOKUP($I878,'Price List, Weapons &amp; Items'!B:L,COLUMN('Price List, Weapons &amp; Items'!$L$11)-1,0)</f>
        <v>0</v>
      </c>
      <c r="AR878" s="1194">
        <f t="shared" si="189"/>
        <v>1</v>
      </c>
      <c r="AS878" s="1194">
        <f t="shared" si="190"/>
        <v>0</v>
      </c>
      <c r="AT878" s="1194">
        <f t="shared" si="191"/>
        <v>1</v>
      </c>
      <c r="AU878" s="1194" t="str">
        <f t="shared" si="192"/>
        <v>.</v>
      </c>
      <c r="AV878" s="1194" t="str">
        <f t="shared" si="183"/>
        <v>.</v>
      </c>
      <c r="AW878" s="1194" t="str">
        <f t="shared" si="193"/>
        <v>.</v>
      </c>
      <c r="AX878" s="1194">
        <f>IFERROR(VLOOKUP(B878,'Share, Heavy Weapons to Ukraine'!B:Z,COLUMN('Share, Heavy Weapons to Ukraine'!C888)-1,0),0)</f>
        <v>0</v>
      </c>
      <c r="AY878" s="1194">
        <f>VLOOKUP('Bilateral Assistance, MAIN DATA'!B878,'Country Summary (€)'!B:F,COLUMN('Country Summary (€)'!C889)-1,FALSE)</f>
        <v>1</v>
      </c>
      <c r="AZ878" s="1194" t="str">
        <f>IF(AND(AD878=1,D878="Military",H878&lt;&gt;"Not given")=TRUE,IF(SUMIFS(P:P,A:A,A878)&gt;0,ABS((SUMIFS(P:P,A:A,A878)/VLOOKUP("USD",'Exchange Rates'!B:C,2,0)))/S878,"."),".")</f>
        <v>.</v>
      </c>
      <c r="BA878" s="1196" t="str">
        <f>IF(AND(AD878=1,D878="Military",H878&lt;&gt;"Not given")=TRUE,IF(SUMIFS(P:P,A:A,A878)&gt;0,IF((ABS((SUMIFS(P:P,A:A,A878)/VLOOKUP("USD",'Exchange Rates'!B:C,2,0)))/S878)&gt;1,(SUMIFS(P:P,A:A,A878)-S878)/S878,(S878-SUMIFS(P:P,A:A,A878))/SUMIFS(P:P,A:A,A878)),"."),".")</f>
        <v>.</v>
      </c>
    </row>
    <row r="879" spans="1:53" ht="15.95" customHeight="1">
      <c r="A879" s="1180" t="s">
        <v>2480</v>
      </c>
      <c r="B879" s="1180" t="s">
        <v>2392</v>
      </c>
      <c r="C879" s="1181">
        <v>44686</v>
      </c>
      <c r="D879" s="1182" t="s">
        <v>544</v>
      </c>
      <c r="E879" s="1182" t="s">
        <v>714</v>
      </c>
      <c r="F879" s="1183" t="s">
        <v>2481</v>
      </c>
      <c r="G879" s="1184" t="s">
        <v>483</v>
      </c>
      <c r="H879" s="1185">
        <v>10000000</v>
      </c>
      <c r="I879" s="1180" t="s">
        <v>364</v>
      </c>
      <c r="J879" s="1186" t="str">
        <f>VLOOKUP($I879,'Price List, Weapons &amp; Items'!B:C,2,0)</f>
        <v>.</v>
      </c>
      <c r="K879" s="1186" t="str">
        <f>IF(I879=".",I879,VLOOKUP($I879,'Price List, Weapons &amp; Items'!B:D,3,0))</f>
        <v>.</v>
      </c>
      <c r="L879" s="1187">
        <f>VLOOKUP(I879,'Price List, Weapons &amp; Items'!B:E,4,0)</f>
        <v>0</v>
      </c>
      <c r="M879" s="1188" t="s">
        <v>364</v>
      </c>
      <c r="N879" s="1188" t="s">
        <v>364</v>
      </c>
      <c r="O879" s="1188" t="str">
        <f>VLOOKUP($I879,'Price List, Weapons &amp; Items'!B:G,6,0)</f>
        <v>.</v>
      </c>
      <c r="P879" s="1185" t="str">
        <f t="shared" si="184"/>
        <v>.</v>
      </c>
      <c r="Q879" s="1185" t="str">
        <f t="shared" si="185"/>
        <v>.</v>
      </c>
      <c r="R879" s="1185">
        <f t="shared" si="181"/>
        <v>10000000</v>
      </c>
      <c r="S879" s="1185">
        <f>IF(AND(AD879=1,R879&lt;&gt;".")=TRUE,R879/VLOOKUP(G879,'Exchange Rates'!B:C,2,0),IF(R879=".",".",""))</f>
        <v>10000000</v>
      </c>
      <c r="T879" s="1185" t="str">
        <f>IF(AD879=1,IF(AF879="Value is not given at all",".",IF(AF879="Value is given by the source",S879,IF(AF879="Value is calculated with prices",(IF(SUMIFS(Q:Q,A:A,A879)&gt;0,SUMIFS(Q:Q,A:A,A879),"."))/VLOOKUP("USD",'Exchange Rates'!B:C,2,0),"Error with coding"))),"")</f>
        <v>.</v>
      </c>
      <c r="U879" s="1184" t="s">
        <v>365</v>
      </c>
      <c r="V879" s="971" t="s">
        <v>930</v>
      </c>
      <c r="W879" s="971" t="s">
        <v>2482</v>
      </c>
      <c r="X879" s="1190" t="s">
        <v>364</v>
      </c>
      <c r="Y879" s="1190" t="s">
        <v>364</v>
      </c>
      <c r="Z879" s="1184">
        <v>1</v>
      </c>
      <c r="AA879" s="1194">
        <v>0</v>
      </c>
      <c r="AB879" s="1212" t="s">
        <v>364</v>
      </c>
      <c r="AC879" s="1192" t="str">
        <f>""</f>
        <v/>
      </c>
      <c r="AD879" s="1193">
        <v>1</v>
      </c>
      <c r="AE879" s="1193" t="s">
        <v>368</v>
      </c>
      <c r="AF879" s="1193" t="s">
        <v>369</v>
      </c>
      <c r="AG879" s="1193">
        <v>1</v>
      </c>
      <c r="AH879" s="1193">
        <v>5</v>
      </c>
      <c r="AI879" s="1193">
        <v>0</v>
      </c>
      <c r="AJ879" s="1193">
        <f>VLOOKUP($I879,'Price List, Weapons &amp; Items'!B:F,5,0)</f>
        <v>0</v>
      </c>
      <c r="AK879" s="1193">
        <f t="shared" si="186"/>
        <v>0</v>
      </c>
      <c r="AL879" s="1193">
        <f t="shared" si="187"/>
        <v>0</v>
      </c>
      <c r="AM879" s="1193">
        <f t="shared" si="188"/>
        <v>0</v>
      </c>
      <c r="AN879" s="1194" t="str">
        <f>VLOOKUP($I879,'Price List, Weapons &amp; Items'!B:L,COLUMN('Price List, Weapons &amp; Items'!$J$11)-1,0)</f>
        <v>.</v>
      </c>
      <c r="AO879" s="1194" t="str">
        <f>IF(I879=".",".",VLOOKUP($I879,'Price List, Weapons &amp; Items'!B:J,3,0))</f>
        <v>.</v>
      </c>
      <c r="AP879" s="1195" t="str">
        <f t="shared" ca="1" si="182"/>
        <v>.</v>
      </c>
      <c r="AQ879" s="1194">
        <f>VLOOKUP($I879,'Price List, Weapons &amp; Items'!B:L,COLUMN('Price List, Weapons &amp; Items'!$L$11)-1,0)</f>
        <v>0</v>
      </c>
      <c r="AR879" s="1194">
        <f t="shared" si="189"/>
        <v>1</v>
      </c>
      <c r="AS879" s="1194">
        <f t="shared" si="190"/>
        <v>0</v>
      </c>
      <c r="AT879" s="1194">
        <f t="shared" si="191"/>
        <v>1</v>
      </c>
      <c r="AU879" s="1194" t="str">
        <f t="shared" si="192"/>
        <v>.</v>
      </c>
      <c r="AV879" s="1194" t="str">
        <f t="shared" si="183"/>
        <v>.</v>
      </c>
      <c r="AW879" s="1194" t="str">
        <f t="shared" si="193"/>
        <v>.</v>
      </c>
      <c r="AX879" s="1194">
        <f>IFERROR(VLOOKUP(B879,'Share, Heavy Weapons to Ukraine'!B:Z,COLUMN('Share, Heavy Weapons to Ukraine'!C889)-1,0),0)</f>
        <v>0</v>
      </c>
      <c r="AY879" s="1194">
        <f>VLOOKUP('Bilateral Assistance, MAIN DATA'!B879,'Country Summary (€)'!B:F,COLUMN('Country Summary (€)'!C890)-1,FALSE)</f>
        <v>1</v>
      </c>
      <c r="AZ879" s="1194" t="str">
        <f>IF(AND(AD879=1,D879="Military",H879&lt;&gt;"Not given")=TRUE,IF(SUMIFS(P:P,A:A,A879)&gt;0,ABS((SUMIFS(P:P,A:A,A879)/VLOOKUP("USD",'Exchange Rates'!B:C,2,0)))/S879,"."),".")</f>
        <v>.</v>
      </c>
      <c r="BA879" s="1196" t="str">
        <f>IF(AND(AD879=1,D879="Military",H879&lt;&gt;"Not given")=TRUE,IF(SUMIFS(P:P,A:A,A879)&gt;0,IF((ABS((SUMIFS(P:P,A:A,A879)/VLOOKUP("USD",'Exchange Rates'!B:C,2,0)))/S879)&gt;1,(SUMIFS(P:P,A:A,A879)-S879)/S879,(S879-SUMIFS(P:P,A:A,A879))/SUMIFS(P:P,A:A,A879)),"."),".")</f>
        <v>.</v>
      </c>
    </row>
    <row r="880" spans="1:53" ht="15.95" customHeight="1">
      <c r="A880" s="1180" t="s">
        <v>2483</v>
      </c>
      <c r="B880" s="1180" t="s">
        <v>2392</v>
      </c>
      <c r="C880" s="1181">
        <v>45020</v>
      </c>
      <c r="D880" s="1182" t="s">
        <v>544</v>
      </c>
      <c r="E880" s="1182" t="s">
        <v>714</v>
      </c>
      <c r="F880" s="1183" t="s">
        <v>2484</v>
      </c>
      <c r="G880" s="1184" t="s">
        <v>483</v>
      </c>
      <c r="H880" s="1185">
        <v>10000000</v>
      </c>
      <c r="I880" s="1180" t="s">
        <v>364</v>
      </c>
      <c r="J880" s="1186" t="str">
        <f>VLOOKUP($I880,'Price List, Weapons &amp; Items'!B:C,2,0)</f>
        <v>.</v>
      </c>
      <c r="K880" s="1186" t="str">
        <f>IF(I880=".",I880,VLOOKUP($I880,'Price List, Weapons &amp; Items'!B:D,3,0))</f>
        <v>.</v>
      </c>
      <c r="L880" s="1187">
        <f>VLOOKUP(I880,'Price List, Weapons &amp; Items'!B:E,4,0)</f>
        <v>0</v>
      </c>
      <c r="M880" s="1188" t="s">
        <v>364</v>
      </c>
      <c r="N880" s="1188" t="s">
        <v>364</v>
      </c>
      <c r="O880" s="1188" t="str">
        <f>VLOOKUP($I880,'Price List, Weapons &amp; Items'!B:G,6,0)</f>
        <v>.</v>
      </c>
      <c r="P880" s="1185" t="str">
        <f t="shared" si="184"/>
        <v>.</v>
      </c>
      <c r="Q880" s="1185" t="str">
        <f t="shared" si="185"/>
        <v>.</v>
      </c>
      <c r="R880" s="1185">
        <f t="shared" si="181"/>
        <v>10000000</v>
      </c>
      <c r="S880" s="1185">
        <f>IF(AND(AD880=1,R880&lt;&gt;".")=TRUE,R880/VLOOKUP(G880,'Exchange Rates'!B:C,2,0),IF(R880=".",".",""))</f>
        <v>10000000</v>
      </c>
      <c r="T880" s="1185" t="str">
        <f>IF(AD880=1,IF(AF880="Value is not given at all",".",IF(AF880="Value is given by the source",S880,IF(AF880="Value is calculated with prices",(IF(SUMIFS(Q:Q,A:A,A880)&gt;0,SUMIFS(Q:Q,A:A,A880),"."))/VLOOKUP("USD",'Exchange Rates'!B:C,2,0),"Error with coding"))),"")</f>
        <v>.</v>
      </c>
      <c r="U880" s="1184" t="s">
        <v>365</v>
      </c>
      <c r="V880" s="980" t="s">
        <v>2485</v>
      </c>
      <c r="W880" s="980" t="s">
        <v>2486</v>
      </c>
      <c r="X880" s="1190" t="s">
        <v>364</v>
      </c>
      <c r="Y880" s="1190" t="s">
        <v>364</v>
      </c>
      <c r="Z880" s="1184">
        <v>1</v>
      </c>
      <c r="AA880" s="1194">
        <v>0</v>
      </c>
      <c r="AB880" s="1212" t="s">
        <v>364</v>
      </c>
      <c r="AC880" s="1192" t="str">
        <f>""</f>
        <v/>
      </c>
      <c r="AD880" s="1193">
        <v>1</v>
      </c>
      <c r="AE880" s="1193" t="s">
        <v>368</v>
      </c>
      <c r="AF880" s="1193" t="s">
        <v>369</v>
      </c>
      <c r="AG880" s="1193">
        <v>1</v>
      </c>
      <c r="AH880" s="1193">
        <v>16</v>
      </c>
      <c r="AI880" s="1193">
        <v>0</v>
      </c>
      <c r="AJ880" s="1193">
        <f>VLOOKUP($I880,'Price List, Weapons &amp; Items'!B:F,5,0)</f>
        <v>0</v>
      </c>
      <c r="AK880" s="1193">
        <f t="shared" si="186"/>
        <v>0</v>
      </c>
      <c r="AL880" s="1193">
        <f t="shared" si="187"/>
        <v>0</v>
      </c>
      <c r="AM880" s="1193">
        <f t="shared" si="188"/>
        <v>0</v>
      </c>
      <c r="AN880" s="1194" t="str">
        <f>VLOOKUP($I880,'Price List, Weapons &amp; Items'!B:L,COLUMN('Price List, Weapons &amp; Items'!$J$11)-1,0)</f>
        <v>.</v>
      </c>
      <c r="AO880" s="1194" t="str">
        <f>IF(I880=".",".",VLOOKUP($I880,'Price List, Weapons &amp; Items'!B:J,3,0))</f>
        <v>.</v>
      </c>
      <c r="AP880" s="1195" t="str">
        <f t="shared" ca="1" si="182"/>
        <v>.</v>
      </c>
      <c r="AQ880" s="1194">
        <f>VLOOKUP($I880,'Price List, Weapons &amp; Items'!B:L,COLUMN('Price List, Weapons &amp; Items'!$L$11)-1,0)</f>
        <v>0</v>
      </c>
      <c r="AR880" s="1194">
        <f t="shared" si="189"/>
        <v>1</v>
      </c>
      <c r="AS880" s="1194">
        <f t="shared" si="190"/>
        <v>0</v>
      </c>
      <c r="AT880" s="1194">
        <f t="shared" si="191"/>
        <v>1</v>
      </c>
      <c r="AU880" s="1194" t="str">
        <f t="shared" si="192"/>
        <v>.</v>
      </c>
      <c r="AV880" s="1194" t="str">
        <f t="shared" si="183"/>
        <v>.</v>
      </c>
      <c r="AW880" s="1194" t="str">
        <f t="shared" si="193"/>
        <v>.</v>
      </c>
      <c r="AX880" s="1194">
        <f>IFERROR(VLOOKUP(B880,'Share, Heavy Weapons to Ukraine'!B:Z,COLUMN('Share, Heavy Weapons to Ukraine'!C890)-1,0),0)</f>
        <v>0</v>
      </c>
      <c r="AY880" s="1194">
        <f>VLOOKUP('Bilateral Assistance, MAIN DATA'!B880,'Country Summary (€)'!B:F,COLUMN('Country Summary (€)'!C891)-1,FALSE)</f>
        <v>1</v>
      </c>
      <c r="AZ880" s="1194" t="str">
        <f>IF(AND(AD880=1,D880="Military",H880&lt;&gt;"Not given")=TRUE,IF(SUMIFS(P:P,A:A,A880)&gt;0,ABS((SUMIFS(P:P,A:A,A880)/VLOOKUP("USD",'Exchange Rates'!B:C,2,0)))/S880,"."),".")</f>
        <v>.</v>
      </c>
      <c r="BA880" s="1196" t="str">
        <f>IF(AND(AD880=1,D880="Military",H880&lt;&gt;"Not given")=TRUE,IF(SUMIFS(P:P,A:A,A880)&gt;0,IF((ABS((SUMIFS(P:P,A:A,A880)/VLOOKUP("USD",'Exchange Rates'!B:C,2,0)))/S880)&gt;1,(SUMIFS(P:P,A:A,A880)-S880)/S880,(S880-SUMIFS(P:P,A:A,A880))/SUMIFS(P:P,A:A,A880)),"."),".")</f>
        <v>.</v>
      </c>
    </row>
    <row r="881" spans="1:53" ht="15.95" customHeight="1">
      <c r="A881" s="1180" t="s">
        <v>2487</v>
      </c>
      <c r="B881" s="1180" t="s">
        <v>2488</v>
      </c>
      <c r="C881" s="1181" t="s">
        <v>2489</v>
      </c>
      <c r="D881" s="1182" t="s">
        <v>389</v>
      </c>
      <c r="E881" s="1182" t="s">
        <v>390</v>
      </c>
      <c r="F881" s="1183" t="s">
        <v>2490</v>
      </c>
      <c r="G881" s="1184" t="s">
        <v>483</v>
      </c>
      <c r="H881" s="1185">
        <v>29000000</v>
      </c>
      <c r="I881" s="1180" t="s">
        <v>1239</v>
      </c>
      <c r="J881" s="1186" t="str">
        <f>VLOOKUP($I881,'Price List, Weapons &amp; Items'!B:C,2,0)</f>
        <v>Portable defence system</v>
      </c>
      <c r="K881" s="1186" t="str">
        <f>IF(I881=".",I881,VLOOKUP($I881,'Price List, Weapons &amp; Items'!B:D,3,0))</f>
        <v>MANPADS</v>
      </c>
      <c r="L881" s="1187">
        <f>VLOOKUP(I881,'Price List, Weapons &amp; Items'!B:E,4,0)</f>
        <v>0</v>
      </c>
      <c r="M881" s="1188" t="s">
        <v>374</v>
      </c>
      <c r="N881" s="1188" t="s">
        <v>374</v>
      </c>
      <c r="O881" s="1188">
        <f>VLOOKUP($I881,'Price List, Weapons &amp; Items'!B:G,6,0)</f>
        <v>119000</v>
      </c>
      <c r="P881" s="1185" t="str">
        <f t="shared" si="184"/>
        <v>.</v>
      </c>
      <c r="Q881" s="1185" t="str">
        <f t="shared" si="185"/>
        <v>.</v>
      </c>
      <c r="R881" s="1185">
        <f t="shared" si="181"/>
        <v>29000000</v>
      </c>
      <c r="S881" s="1185">
        <f>IF(AND(AD881=1,R881&lt;&gt;".")=TRUE,R881/VLOOKUP(G881,'Exchange Rates'!B:C,2,0),IF(R881=".",".",""))</f>
        <v>29000000</v>
      </c>
      <c r="T881" s="1185">
        <f>IF(AD881=1,IF(AF881="Value is not given at all",".",IF(AF881="Value is given by the source",S881,IF(AF881="Value is calculated with prices",(IF(SUMIFS(Q:Q,A:A,A881)&gt;0,SUMIFS(Q:Q,A:A,A881),"."))/VLOOKUP("USD",'Exchange Rates'!B:C,2,0),"Error with coding"))),"")</f>
        <v>29000000</v>
      </c>
      <c r="U881" s="1184" t="s">
        <v>675</v>
      </c>
      <c r="V881" s="974" t="s">
        <v>2491</v>
      </c>
      <c r="W881" s="974" t="s">
        <v>2492</v>
      </c>
      <c r="X881" s="1190" t="s">
        <v>364</v>
      </c>
      <c r="Y881" s="1190" t="s">
        <v>364</v>
      </c>
      <c r="Z881" s="1184">
        <v>0</v>
      </c>
      <c r="AA881" s="1194">
        <v>0</v>
      </c>
      <c r="AB881" s="975" t="s">
        <v>2493</v>
      </c>
      <c r="AC881" s="1192" t="str">
        <f>""</f>
        <v/>
      </c>
      <c r="AD881" s="1193">
        <v>1</v>
      </c>
      <c r="AE881" s="1193" t="s">
        <v>368</v>
      </c>
      <c r="AF881" s="1193" t="s">
        <v>368</v>
      </c>
      <c r="AG881" s="1193">
        <v>1</v>
      </c>
      <c r="AH881" s="1193">
        <v>3</v>
      </c>
      <c r="AI881" s="1193">
        <v>0</v>
      </c>
      <c r="AJ881" s="1193">
        <f>VLOOKUP($I881,'Price List, Weapons &amp; Items'!B:F,5,0)</f>
        <v>0</v>
      </c>
      <c r="AK881" s="1193">
        <f t="shared" si="186"/>
        <v>0</v>
      </c>
      <c r="AL881" s="1193">
        <f t="shared" si="187"/>
        <v>0</v>
      </c>
      <c r="AM881" s="1193">
        <f t="shared" si="188"/>
        <v>0</v>
      </c>
      <c r="AN881" s="1194" t="str">
        <f>VLOOKUP($I881,'Price List, Weapons &amp; Items'!B:L,COLUMN('Price List, Weapons &amp; Items'!$J$11)-1,0)</f>
        <v>Miscellaneous</v>
      </c>
      <c r="AO881" s="1194" t="str">
        <f>IF(I881=".",".",VLOOKUP($I881,'Price List, Weapons &amp; Items'!B:J,3,0))</f>
        <v>MANPADS</v>
      </c>
      <c r="AP881" s="1195" t="str">
        <f t="shared" ca="1" si="182"/>
        <v>Stinger anti-aircraft system</v>
      </c>
      <c r="AQ881" s="1194">
        <f>VLOOKUP($I881,'Price List, Weapons &amp; Items'!B:L,COLUMN('Price List, Weapons &amp; Items'!$L$11)-1,0)</f>
        <v>2</v>
      </c>
      <c r="AR881" s="1194">
        <f t="shared" si="189"/>
        <v>0</v>
      </c>
      <c r="AS881" s="1194">
        <f t="shared" si="190"/>
        <v>1</v>
      </c>
      <c r="AT881" s="1194" t="str">
        <f t="shared" si="191"/>
        <v>Value is not in date format</v>
      </c>
      <c r="AU881" s="1194" t="str">
        <f t="shared" si="192"/>
        <v>.</v>
      </c>
      <c r="AV881" s="1194" t="str">
        <f t="shared" si="183"/>
        <v>.</v>
      </c>
      <c r="AW881" s="1194" t="str">
        <f t="shared" si="193"/>
        <v>.</v>
      </c>
      <c r="AX881" s="1194">
        <f>IFERROR(VLOOKUP(B881,'Share, Heavy Weapons to Ukraine'!B:Z,COLUMN('Share, Heavy Weapons to Ukraine'!C891)-1,0),0)</f>
        <v>0</v>
      </c>
      <c r="AY881" s="1194">
        <f>VLOOKUP('Bilateral Assistance, MAIN DATA'!B881,'Country Summary (€)'!B:F,COLUMN('Country Summary (€)'!C892)-1,FALSE)</f>
        <v>1</v>
      </c>
      <c r="AZ881" s="1194" t="str">
        <f>IF(AND(AD881=1,D881="Military",H881&lt;&gt;"Not given")=TRUE,IF(SUMIFS(P:P,A:A,A881)&gt;0,ABS((SUMIFS(P:P,A:A,A881)/VLOOKUP("USD",'Exchange Rates'!B:C,2,0)))/S881,"."),".")</f>
        <v>.</v>
      </c>
      <c r="BA881" s="1196" t="str">
        <f>IF(AND(AD881=1,D881="Military",H881&lt;&gt;"Not given")=TRUE,IF(SUMIFS(P:P,A:A,A881)&gt;0,IF((ABS((SUMIFS(P:P,A:A,A881)/VLOOKUP("USD",'Exchange Rates'!B:C,2,0)))/S881)&gt;1,(SUMIFS(P:P,A:A,A881)-S881)/S881,(S881-SUMIFS(P:P,A:A,A881))/SUMIFS(P:P,A:A,A881)),"."),".")</f>
        <v>.</v>
      </c>
    </row>
    <row r="882" spans="1:53" ht="15.95" customHeight="1">
      <c r="A882" s="1182" t="s">
        <v>2494</v>
      </c>
      <c r="B882" s="1182" t="s">
        <v>2488</v>
      </c>
      <c r="C882" s="1181">
        <v>44643</v>
      </c>
      <c r="D882" s="1182" t="s">
        <v>389</v>
      </c>
      <c r="E882" s="1182" t="s">
        <v>398</v>
      </c>
      <c r="F882" s="1183" t="s">
        <v>2495</v>
      </c>
      <c r="G882" s="1184" t="s">
        <v>483</v>
      </c>
      <c r="H882" s="1185">
        <v>10000000</v>
      </c>
      <c r="I882" s="1180" t="s">
        <v>605</v>
      </c>
      <c r="J882" s="1186" t="str">
        <f>VLOOKUP($I882,'Price List, Weapons &amp; Items'!B:C,2,0)</f>
        <v>Military equipment</v>
      </c>
      <c r="K882" s="1186" t="str">
        <f>IF(I882=".",I882,VLOOKUP($I882,'Price List, Weapons &amp; Items'!B:D,3,0))</f>
        <v>Military equipment</v>
      </c>
      <c r="L882" s="1187">
        <f>VLOOKUP(I882,'Price List, Weapons &amp; Items'!B:E,4,0)</f>
        <v>0</v>
      </c>
      <c r="M882" s="1188" t="s">
        <v>374</v>
      </c>
      <c r="N882" s="1188" t="s">
        <v>374</v>
      </c>
      <c r="O882" s="1188">
        <f>VLOOKUP($I882,'Price List, Weapons &amp; Items'!B:G,6,0)</f>
        <v>2320</v>
      </c>
      <c r="P882" s="1185" t="str">
        <f t="shared" si="184"/>
        <v>.</v>
      </c>
      <c r="Q882" s="1185" t="str">
        <f t="shared" si="185"/>
        <v>.</v>
      </c>
      <c r="R882" s="1185">
        <f t="shared" si="181"/>
        <v>10000000</v>
      </c>
      <c r="S882" s="1185">
        <f>IF(AND(AD882=1,R882&lt;&gt;".")=TRUE,R882/VLOOKUP(G882,'Exchange Rates'!B:C,2,0),IF(R882=".",".",""))</f>
        <v>10000000</v>
      </c>
      <c r="T882" s="1185">
        <f>IF(AD882=1,IF(AF882="Value is not given at all",".",IF(AF882="Value is given by the source",S882,IF(AF882="Value is calculated with prices",(IF(SUMIFS(Q:Q,A:A,A882)&gt;0,SUMIFS(Q:Q,A:A,A882),"."))/VLOOKUP("USD",'Exchange Rates'!B:C,2,0),"Error with coding"))),"")</f>
        <v>10000000</v>
      </c>
      <c r="U882" s="1184" t="s">
        <v>675</v>
      </c>
      <c r="V882" s="974" t="s">
        <v>2496</v>
      </c>
      <c r="W882" s="974" t="s">
        <v>2497</v>
      </c>
      <c r="X882" s="1183" t="s">
        <v>364</v>
      </c>
      <c r="Y882" s="1183" t="s">
        <v>364</v>
      </c>
      <c r="Z882" s="1184">
        <v>0</v>
      </c>
      <c r="AA882" s="1194">
        <v>0</v>
      </c>
      <c r="AB882" s="975" t="s">
        <v>845</v>
      </c>
      <c r="AC882" s="1192" t="str">
        <f>""</f>
        <v/>
      </c>
      <c r="AD882" s="1193">
        <v>1</v>
      </c>
      <c r="AE882" s="1193" t="s">
        <v>368</v>
      </c>
      <c r="AF882" s="1193" t="s">
        <v>368</v>
      </c>
      <c r="AG882" s="1193">
        <v>1</v>
      </c>
      <c r="AH882" s="1193">
        <v>3</v>
      </c>
      <c r="AI882" s="1193">
        <v>0</v>
      </c>
      <c r="AJ882" s="1193">
        <f>VLOOKUP($I882,'Price List, Weapons &amp; Items'!B:F,5,0)</f>
        <v>0</v>
      </c>
      <c r="AK882" s="1193">
        <f t="shared" si="186"/>
        <v>0</v>
      </c>
      <c r="AL882" s="1193">
        <f t="shared" si="187"/>
        <v>0</v>
      </c>
      <c r="AM882" s="1193">
        <f t="shared" si="188"/>
        <v>0</v>
      </c>
      <c r="AN882" s="1194" t="str">
        <f>VLOOKUP($I882,'Price List, Weapons &amp; Items'!B:L,COLUMN('Price List, Weapons &amp; Items'!$J$11)-1,0)</f>
        <v>Media reports (incl. social media)</v>
      </c>
      <c r="AO882" s="1194" t="str">
        <f>IF(I882=".",".",VLOOKUP($I882,'Price List, Weapons &amp; Items'!B:J,3,0))</f>
        <v>Military equipment</v>
      </c>
      <c r="AP882" s="1195" t="str">
        <f t="shared" ca="1" si="182"/>
        <v>night vision device</v>
      </c>
      <c r="AQ882" s="1194">
        <f>VLOOKUP($I882,'Price List, Weapons &amp; Items'!B:L,COLUMN('Price List, Weapons &amp; Items'!$L$11)-1,0)</f>
        <v>2</v>
      </c>
      <c r="AR882" s="1194">
        <f t="shared" si="189"/>
        <v>0</v>
      </c>
      <c r="AS882" s="1194">
        <f t="shared" si="190"/>
        <v>1</v>
      </c>
      <c r="AT882" s="1194">
        <f t="shared" si="191"/>
        <v>1</v>
      </c>
      <c r="AU882" s="1194" t="str">
        <f t="shared" si="192"/>
        <v>.</v>
      </c>
      <c r="AV882" s="1194" t="str">
        <f t="shared" si="183"/>
        <v>.</v>
      </c>
      <c r="AW882" s="1194" t="str">
        <f t="shared" si="193"/>
        <v>.</v>
      </c>
      <c r="AX882" s="1194">
        <f>IFERROR(VLOOKUP(B882,'Share, Heavy Weapons to Ukraine'!B:Z,COLUMN('Share, Heavy Weapons to Ukraine'!C892)-1,0),0)</f>
        <v>0</v>
      </c>
      <c r="AY882" s="1194">
        <f>VLOOKUP('Bilateral Assistance, MAIN DATA'!B882,'Country Summary (€)'!B:F,COLUMN('Country Summary (€)'!C893)-1,FALSE)</f>
        <v>1</v>
      </c>
      <c r="AZ882" s="1194" t="str">
        <f>IF(AND(AD882=1,D882="Military",H882&lt;&gt;"Not given")=TRUE,IF(SUMIFS(P:P,A:A,A882)&gt;0,ABS((SUMIFS(P:P,A:A,A882)/VLOOKUP("USD",'Exchange Rates'!B:C,2,0)))/S882,"."),".")</f>
        <v>.</v>
      </c>
      <c r="BA882" s="1196" t="str">
        <f>IF(AND(AD882=1,D882="Military",H882&lt;&gt;"Not given")=TRUE,IF(SUMIFS(P:P,A:A,A882)&gt;0,IF((ABS((SUMIFS(P:P,A:A,A882)/VLOOKUP("USD",'Exchange Rates'!B:C,2,0)))/S882)&gt;1,(SUMIFS(P:P,A:A,A882)-S882)/S882,(S882-SUMIFS(P:P,A:A,A882))/SUMIFS(P:P,A:A,A882)),"."),".")</f>
        <v>.</v>
      </c>
    </row>
    <row r="883" spans="1:53" ht="15.95" customHeight="1">
      <c r="A883" s="1182" t="s">
        <v>2494</v>
      </c>
      <c r="B883" s="1182" t="s">
        <v>2488</v>
      </c>
      <c r="C883" s="1181">
        <v>44643</v>
      </c>
      <c r="D883" s="1182" t="s">
        <v>389</v>
      </c>
      <c r="E883" s="1182" t="s">
        <v>398</v>
      </c>
      <c r="F883" s="1183" t="s">
        <v>2495</v>
      </c>
      <c r="G883" s="1184" t="s">
        <v>483</v>
      </c>
      <c r="H883" s="1185">
        <v>10000000</v>
      </c>
      <c r="I883" s="1180" t="s">
        <v>2498</v>
      </c>
      <c r="J883" s="1186" t="str">
        <f>VLOOKUP($I883,'Price List, Weapons &amp; Items'!B:C,2,0)</f>
        <v>Portable defence system</v>
      </c>
      <c r="K883" s="1186" t="str">
        <f>IF(I883=".",I883,VLOOKUP($I883,'Price List, Weapons &amp; Items'!B:D,3,0))</f>
        <v>Anti-drone</v>
      </c>
      <c r="L883" s="1187">
        <f>VLOOKUP(I883,'Price List, Weapons &amp; Items'!B:E,4,0)</f>
        <v>0</v>
      </c>
      <c r="M883" s="1188" t="s">
        <v>374</v>
      </c>
      <c r="N883" s="1188" t="s">
        <v>374</v>
      </c>
      <c r="O883" s="1188">
        <f>VLOOKUP($I883,'Price List, Weapons &amp; Items'!B:G,6,0)</f>
        <v>12000</v>
      </c>
      <c r="P883" s="1185" t="str">
        <f t="shared" si="184"/>
        <v>.</v>
      </c>
      <c r="Q883" s="1185" t="str">
        <f t="shared" si="185"/>
        <v>.</v>
      </c>
      <c r="R883" s="1185" t="str">
        <f t="shared" si="181"/>
        <v/>
      </c>
      <c r="S883" s="1185" t="str">
        <f>IF(AND(AD883=1,R883&lt;&gt;".")=TRUE,R883/VLOOKUP(G883,'Exchange Rates'!B:C,2,0),IF(R883=".",".",""))</f>
        <v/>
      </c>
      <c r="T883" s="1185" t="str">
        <f>IF(AD883=1,IF(AF883="Value is not given at all",".",IF(AF883="Value is given by the source",S883,IF(AF883="Value is calculated with prices",(IF(SUMIFS(Q:Q,A:A,A883)&gt;0,SUMIFS(Q:Q,A:A,A883),"."))/VLOOKUP("USD",'Exchange Rates'!B:C,2,0),"Error with coding"))),"")</f>
        <v/>
      </c>
      <c r="U883" s="1184" t="s">
        <v>675</v>
      </c>
      <c r="V883" s="974" t="s">
        <v>2496</v>
      </c>
      <c r="W883" s="974" t="s">
        <v>2497</v>
      </c>
      <c r="X883" s="1183" t="s">
        <v>364</v>
      </c>
      <c r="Y883" s="1183" t="s">
        <v>364</v>
      </c>
      <c r="Z883" s="1184">
        <v>0</v>
      </c>
      <c r="AA883" s="1194">
        <v>0</v>
      </c>
      <c r="AB883" s="975" t="s">
        <v>845</v>
      </c>
      <c r="AC883" s="1192" t="str">
        <f>""</f>
        <v/>
      </c>
      <c r="AD883" s="1193">
        <v>0</v>
      </c>
      <c r="AE883" s="1193" t="s">
        <v>368</v>
      </c>
      <c r="AF883" s="1193" t="s">
        <v>368</v>
      </c>
      <c r="AG883" s="1193">
        <v>1</v>
      </c>
      <c r="AH883" s="1193">
        <v>3</v>
      </c>
      <c r="AI883" s="1193">
        <v>0</v>
      </c>
      <c r="AJ883" s="1193">
        <f>VLOOKUP($I883,'Price List, Weapons &amp; Items'!B:F,5,0)</f>
        <v>0</v>
      </c>
      <c r="AK883" s="1193">
        <f t="shared" si="186"/>
        <v>0</v>
      </c>
      <c r="AL883" s="1193">
        <f t="shared" si="187"/>
        <v>0</v>
      </c>
      <c r="AM883" s="1193">
        <f t="shared" si="188"/>
        <v>0</v>
      </c>
      <c r="AN883" s="1194" t="str">
        <f>VLOOKUP($I883,'Price List, Weapons &amp; Items'!B:L,COLUMN('Price List, Weapons &amp; Items'!$J$11)-1,0)</f>
        <v>Media reports (incl. social media)</v>
      </c>
      <c r="AO883" s="1194" t="str">
        <f>IF(I883=".",".",VLOOKUP($I883,'Price List, Weapons &amp; Items'!B:J,3,0))</f>
        <v>Anti-drone</v>
      </c>
      <c r="AP883" s="1195" t="str">
        <f t="shared" ca="1" si="182"/>
        <v/>
      </c>
      <c r="AQ883" s="1194" t="str">
        <f>VLOOKUP($I883,'Price List, Weapons &amp; Items'!B:L,COLUMN('Price List, Weapons &amp; Items'!$L$11)-1,0)</f>
        <v>no price, 0 count</v>
      </c>
      <c r="AR883" s="1194">
        <f t="shared" si="189"/>
        <v>0</v>
      </c>
      <c r="AS883" s="1194">
        <f t="shared" si="190"/>
        <v>1</v>
      </c>
      <c r="AT883" s="1194">
        <f t="shared" si="191"/>
        <v>1</v>
      </c>
      <c r="AU883" s="1194" t="str">
        <f t="shared" si="192"/>
        <v>.</v>
      </c>
      <c r="AV883" s="1194" t="str">
        <f t="shared" si="183"/>
        <v>.</v>
      </c>
      <c r="AW883" s="1194" t="str">
        <f t="shared" si="193"/>
        <v>.</v>
      </c>
      <c r="AX883" s="1194">
        <f>IFERROR(VLOOKUP(B883,'Share, Heavy Weapons to Ukraine'!B:Z,COLUMN('Share, Heavy Weapons to Ukraine'!C893)-1,0),0)</f>
        <v>0</v>
      </c>
      <c r="AY883" s="1194">
        <f>VLOOKUP('Bilateral Assistance, MAIN DATA'!B883,'Country Summary (€)'!B:F,COLUMN('Country Summary (€)'!C894)-1,FALSE)</f>
        <v>1</v>
      </c>
      <c r="AZ883" s="1194" t="str">
        <f>IF(AND(AD883=1,D883="Military",H883&lt;&gt;"Not given")=TRUE,IF(SUMIFS(P:P,A:A,A883)&gt;0,ABS((SUMIFS(P:P,A:A,A883)/VLOOKUP("USD",'Exchange Rates'!B:C,2,0)))/S883,"."),".")</f>
        <v>.</v>
      </c>
      <c r="BA883" s="1196" t="str">
        <f>IF(AND(AD883=1,D883="Military",H883&lt;&gt;"Not given")=TRUE,IF(SUMIFS(P:P,A:A,A883)&gt;0,IF((ABS((SUMIFS(P:P,A:A,A883)/VLOOKUP("USD",'Exchange Rates'!B:C,2,0)))/S883)&gt;1,(SUMIFS(P:P,A:A,A883)-S883)/S883,(S883-SUMIFS(P:P,A:A,A883))/SUMIFS(P:P,A:A,A883)),"."),".")</f>
        <v>.</v>
      </c>
    </row>
    <row r="884" spans="1:53" ht="15.95" customHeight="1">
      <c r="A884" s="1180" t="s">
        <v>2499</v>
      </c>
      <c r="B884" s="1180" t="s">
        <v>2488</v>
      </c>
      <c r="C884" s="1181">
        <v>44672</v>
      </c>
      <c r="D884" s="1182" t="s">
        <v>389</v>
      </c>
      <c r="E884" s="1182" t="s">
        <v>443</v>
      </c>
      <c r="F884" s="1183" t="s">
        <v>2500</v>
      </c>
      <c r="G884" s="1184" t="s">
        <v>483</v>
      </c>
      <c r="H884" s="1185">
        <v>61000000</v>
      </c>
      <c r="I884" s="1190" t="s">
        <v>626</v>
      </c>
      <c r="J884" s="1186" t="str">
        <f>VLOOKUP($I884,'Price List, Weapons &amp; Items'!B:C,2,0)</f>
        <v>Heavy weapon</v>
      </c>
      <c r="K884" s="1186" t="str">
        <f>IF(I884=".",I884,VLOOKUP($I884,'Price List, Weapons &amp; Items'!B:D,3,0))</f>
        <v>Mortar</v>
      </c>
      <c r="L884" s="1187">
        <f>VLOOKUP(I884,'Price List, Weapons &amp; Items'!B:E,4,0)</f>
        <v>0</v>
      </c>
      <c r="M884" s="1188" t="s">
        <v>374</v>
      </c>
      <c r="N884" s="1188" t="s">
        <v>374</v>
      </c>
      <c r="O884" s="1188">
        <f>VLOOKUP($I884,'Price List, Weapons &amp; Items'!B:G,6,0)</f>
        <v>388500</v>
      </c>
      <c r="P884" s="1185" t="str">
        <f t="shared" si="184"/>
        <v>.</v>
      </c>
      <c r="Q884" s="1185" t="str">
        <f t="shared" si="185"/>
        <v>.</v>
      </c>
      <c r="R884" s="1185">
        <f t="shared" si="181"/>
        <v>61000000</v>
      </c>
      <c r="S884" s="1185">
        <f>IF(AND(AD884=1,R884&lt;&gt;".")=TRUE,R884/VLOOKUP(G884,'Exchange Rates'!B:C,2,0),IF(R884=".",".",""))</f>
        <v>61000000</v>
      </c>
      <c r="T884" s="1185">
        <f>IF(AD884=1,IF(AF884="Value is not given at all",".",IF(AF884="Value is given by the source",S884,IF(AF884="Value is calculated with prices",(IF(SUMIFS(Q:Q,A:A,A884)&gt;0,SUMIFS(Q:Q,A:A,A884),"."))/VLOOKUP("USD",'Exchange Rates'!B:C,2,0),"Error with coding"))),"")</f>
        <v>61000000</v>
      </c>
      <c r="U884" s="1184" t="s">
        <v>675</v>
      </c>
      <c r="V884" s="971" t="s">
        <v>2501</v>
      </c>
      <c r="W884" s="971" t="s">
        <v>2502</v>
      </c>
      <c r="X884" s="971" t="s">
        <v>2503</v>
      </c>
      <c r="Y884" s="971" t="s">
        <v>2504</v>
      </c>
      <c r="Z884" s="1184">
        <v>0</v>
      </c>
      <c r="AA884" s="1194">
        <v>0</v>
      </c>
      <c r="AB884" s="975" t="s">
        <v>845</v>
      </c>
      <c r="AC884" s="1192" t="str">
        <f>""</f>
        <v/>
      </c>
      <c r="AD884" s="1193">
        <v>1</v>
      </c>
      <c r="AE884" s="1193" t="s">
        <v>368</v>
      </c>
      <c r="AF884" s="1193" t="s">
        <v>368</v>
      </c>
      <c r="AG884" s="1193">
        <v>1</v>
      </c>
      <c r="AH884" s="1193">
        <v>4</v>
      </c>
      <c r="AI884" s="1193">
        <v>0</v>
      </c>
      <c r="AJ884" s="1193">
        <f>VLOOKUP($I884,'Price List, Weapons &amp; Items'!B:F,5,0)</f>
        <v>0</v>
      </c>
      <c r="AK884" s="1193">
        <f t="shared" si="186"/>
        <v>0</v>
      </c>
      <c r="AL884" s="1193">
        <f t="shared" si="187"/>
        <v>0</v>
      </c>
      <c r="AM884" s="1193">
        <f t="shared" si="188"/>
        <v>0</v>
      </c>
      <c r="AN884" s="1194" t="str">
        <f>VLOOKUP($I884,'Price List, Weapons &amp; Items'!B:L,COLUMN('Price List, Weapons &amp; Items'!$J$11)-1,0)</f>
        <v>Military media (incl. websites)</v>
      </c>
      <c r="AO884" s="1194" t="str">
        <f>IF(I884=".",".",VLOOKUP($I884,'Price List, Weapons &amp; Items'!B:J,3,0))</f>
        <v>Mortar</v>
      </c>
      <c r="AP884" s="1195" t="str">
        <f t="shared" ca="1" si="182"/>
        <v>120mm mortar system</v>
      </c>
      <c r="AQ884" s="1194">
        <f>VLOOKUP($I884,'Price List, Weapons &amp; Items'!B:L,COLUMN('Price List, Weapons &amp; Items'!$L$11)-1,0)</f>
        <v>2</v>
      </c>
      <c r="AR884" s="1194">
        <f t="shared" si="189"/>
        <v>0</v>
      </c>
      <c r="AS884" s="1194">
        <f t="shared" si="190"/>
        <v>1</v>
      </c>
      <c r="AT884" s="1194">
        <f t="shared" si="191"/>
        <v>1</v>
      </c>
      <c r="AU884" s="1194" t="str">
        <f t="shared" si="192"/>
        <v>.</v>
      </c>
      <c r="AV884" s="1194" t="str">
        <f t="shared" si="183"/>
        <v>.</v>
      </c>
      <c r="AW884" s="1194" t="str">
        <f t="shared" si="193"/>
        <v>.</v>
      </c>
      <c r="AX884" s="1194">
        <f>IFERROR(VLOOKUP(B884,'Share, Heavy Weapons to Ukraine'!B:Z,COLUMN('Share, Heavy Weapons to Ukraine'!C894)-1,0),0)</f>
        <v>0</v>
      </c>
      <c r="AY884" s="1194">
        <f>VLOOKUP('Bilateral Assistance, MAIN DATA'!B884,'Country Summary (€)'!B:F,COLUMN('Country Summary (€)'!C895)-1,FALSE)</f>
        <v>1</v>
      </c>
      <c r="AZ884" s="1194" t="str">
        <f>IF(AND(AD884=1,D884="Military",H884&lt;&gt;"Not given")=TRUE,IF(SUMIFS(P:P,A:A,A884)&gt;0,ABS((SUMIFS(P:P,A:A,A884)/VLOOKUP("USD",'Exchange Rates'!B:C,2,0)))/S884,"."),".")</f>
        <v>.</v>
      </c>
      <c r="BA884" s="1196" t="str">
        <f>IF(AND(AD884=1,D884="Military",H884&lt;&gt;"Not given")=TRUE,IF(SUMIFS(P:P,A:A,A884)&gt;0,IF((ABS((SUMIFS(P:P,A:A,A884)/VLOOKUP("USD",'Exchange Rates'!B:C,2,0)))/S884)&gt;1,(SUMIFS(P:P,A:A,A884)-S884)/S884,(S884-SUMIFS(P:P,A:A,A884))/SUMIFS(P:P,A:A,A884)),"."),".")</f>
        <v>.</v>
      </c>
    </row>
    <row r="885" spans="1:53" ht="15.95" customHeight="1">
      <c r="A885" s="1182" t="s">
        <v>2505</v>
      </c>
      <c r="B885" s="1182" t="s">
        <v>2488</v>
      </c>
      <c r="C885" s="1181">
        <v>44706</v>
      </c>
      <c r="D885" s="1182" t="s">
        <v>389</v>
      </c>
      <c r="E885" s="1182" t="s">
        <v>398</v>
      </c>
      <c r="F885" s="1183" t="s">
        <v>2506</v>
      </c>
      <c r="G885" s="1184" t="s">
        <v>483</v>
      </c>
      <c r="H885" s="1185">
        <v>15500000</v>
      </c>
      <c r="I885" s="1180" t="s">
        <v>428</v>
      </c>
      <c r="J885" s="1186" t="str">
        <f>VLOOKUP($I885,'Price List, Weapons &amp; Items'!B:C,2,0)</f>
        <v>Heavy weapon</v>
      </c>
      <c r="K885" s="1186" t="str">
        <f>IF(I885=".",I885,VLOOKUP($I885,'Price List, Weapons &amp; Items'!B:D,3,0))</f>
        <v>Armored Personnel Carrier (APC)</v>
      </c>
      <c r="L885" s="1187">
        <f>VLOOKUP(I885,'Price List, Weapons &amp; Items'!B:E,4,0)</f>
        <v>0</v>
      </c>
      <c r="M885" s="1188">
        <v>20</v>
      </c>
      <c r="N885" s="1188">
        <v>20</v>
      </c>
      <c r="O885" s="1188">
        <f>VLOOKUP($I885,'Price List, Weapons &amp; Items'!B:G,6,0)</f>
        <v>300000</v>
      </c>
      <c r="P885" s="1185">
        <f t="shared" si="184"/>
        <v>6000000</v>
      </c>
      <c r="Q885" s="1185">
        <f t="shared" si="185"/>
        <v>6000000</v>
      </c>
      <c r="R885" s="1185">
        <f t="shared" si="181"/>
        <v>15500000</v>
      </c>
      <c r="S885" s="1185">
        <f>IF(AND(AD885=1,R885&lt;&gt;".")=TRUE,R885/VLOOKUP(G885,'Exchange Rates'!B:C,2,0),IF(R885=".",".",""))</f>
        <v>15500000</v>
      </c>
      <c r="T885" s="1185">
        <f>IF(AD885=1,IF(AF885="Value is not given at all",".",IF(AF885="Value is given by the source",S885,IF(AF885="Value is calculated with prices",(IF(SUMIFS(Q:Q,A:A,A885)&gt;0,SUMIFS(Q:Q,A:A,A885),"."))/VLOOKUP("USD",'Exchange Rates'!B:C,2,0),"Error with coding"))),"")</f>
        <v>9040669.8564593308</v>
      </c>
      <c r="U885" s="1184" t="s">
        <v>675</v>
      </c>
      <c r="V885" s="974" t="s">
        <v>2507</v>
      </c>
      <c r="W885" s="974" t="s">
        <v>2508</v>
      </c>
      <c r="X885" s="974" t="s">
        <v>2509</v>
      </c>
      <c r="Y885" s="974" t="s">
        <v>2510</v>
      </c>
      <c r="Z885" s="1184">
        <v>0</v>
      </c>
      <c r="AA885" s="1194">
        <v>0</v>
      </c>
      <c r="AB885" s="977" t="s">
        <v>2511</v>
      </c>
      <c r="AC885" s="1192" t="str">
        <f>""</f>
        <v/>
      </c>
      <c r="AD885" s="1193">
        <v>1</v>
      </c>
      <c r="AE885" s="1193" t="s">
        <v>368</v>
      </c>
      <c r="AF885" s="1193" t="s">
        <v>436</v>
      </c>
      <c r="AG885" s="1193">
        <v>1</v>
      </c>
      <c r="AH885" s="1193">
        <v>5</v>
      </c>
      <c r="AI885" s="1193">
        <v>0</v>
      </c>
      <c r="AJ885" s="1193">
        <f>VLOOKUP($I885,'Price List, Weapons &amp; Items'!B:F,5,0)</f>
        <v>1</v>
      </c>
      <c r="AK885" s="1193">
        <f t="shared" si="186"/>
        <v>0</v>
      </c>
      <c r="AL885" s="1193">
        <f t="shared" si="187"/>
        <v>0</v>
      </c>
      <c r="AM885" s="1193">
        <f t="shared" si="188"/>
        <v>0</v>
      </c>
      <c r="AN885" s="1194" t="str">
        <f>VLOOKUP($I885,'Price List, Weapons &amp; Items'!B:L,COLUMN('Price List, Weapons &amp; Items'!$J$11)-1,0)</f>
        <v>Military media (incl. websites)</v>
      </c>
      <c r="AO885" s="1194" t="str">
        <f>IF(I885=".",".",VLOOKUP($I885,'Price List, Weapons &amp; Items'!B:J,3,0))</f>
        <v>Armored Personnel Carrier (APC)</v>
      </c>
      <c r="AP885" s="1195" t="str">
        <f t="shared" ca="1" si="182"/>
        <v>M113 armored personnel carrier</v>
      </c>
      <c r="AQ885" s="1194">
        <f>VLOOKUP($I885,'Price List, Weapons &amp; Items'!B:L,COLUMN('Price List, Weapons &amp; Items'!$L$11)-1,0)</f>
        <v>2</v>
      </c>
      <c r="AR885" s="1194">
        <f t="shared" si="189"/>
        <v>0</v>
      </c>
      <c r="AS885" s="1194">
        <f t="shared" si="190"/>
        <v>1</v>
      </c>
      <c r="AT885" s="1194">
        <f t="shared" si="191"/>
        <v>1</v>
      </c>
      <c r="AU885" s="1194" t="str">
        <f t="shared" si="192"/>
        <v>.</v>
      </c>
      <c r="AV885" s="1194" t="str">
        <f t="shared" si="183"/>
        <v>.</v>
      </c>
      <c r="AW885" s="1194" t="str">
        <f t="shared" si="193"/>
        <v>.</v>
      </c>
      <c r="AX885" s="1194">
        <f>IFERROR(VLOOKUP(B885,'Share, Heavy Weapons to Ukraine'!B:Z,COLUMN('Share, Heavy Weapons to Ukraine'!C895)-1,0),0)</f>
        <v>0</v>
      </c>
      <c r="AY885" s="1194">
        <f>VLOOKUP('Bilateral Assistance, MAIN DATA'!B885,'Country Summary (€)'!B:F,COLUMN('Country Summary (€)'!C896)-1,FALSE)</f>
        <v>1</v>
      </c>
      <c r="AZ885" s="1194">
        <f>IF(AND(AD885=1,D885="Military",H885&lt;&gt;"Not given")=TRUE,IF(SUMIFS(P:P,A:A,A885)&gt;0,ABS((SUMIFS(P:P,A:A,A885)/VLOOKUP("USD",'Exchange Rates'!B:C,2,0)))/S885,"."),".")</f>
        <v>0.58326902299737615</v>
      </c>
      <c r="BA885" s="1196">
        <f>IF(AND(AD885=1,D885="Military",H885&lt;&gt;"Not given")=TRUE,IF(SUMIFS(P:P,A:A,A885)&gt;0,IF((ABS((SUMIFS(P:P,A:A,A885)/VLOOKUP("USD",'Exchange Rates'!B:C,2,0)))/S885)&gt;1,(SUMIFS(P:P,A:A,A885)-S885)/S885,(S885-SUMIFS(P:P,A:A,A885))/SUMIFS(P:P,A:A,A885)),"."),".")</f>
        <v>0.57754391678710282</v>
      </c>
    </row>
    <row r="886" spans="1:53" ht="15.95" customHeight="1">
      <c r="A886" s="1182" t="s">
        <v>2505</v>
      </c>
      <c r="B886" s="1182" t="s">
        <v>2488</v>
      </c>
      <c r="C886" s="1181">
        <v>44706</v>
      </c>
      <c r="D886" s="1182" t="s">
        <v>389</v>
      </c>
      <c r="E886" s="1182" t="s">
        <v>398</v>
      </c>
      <c r="F886" s="1183" t="s">
        <v>2506</v>
      </c>
      <c r="G886" s="1184" t="s">
        <v>483</v>
      </c>
      <c r="H886" s="1185">
        <v>15500000</v>
      </c>
      <c r="I886" s="1281" t="s">
        <v>654</v>
      </c>
      <c r="J886" s="1186" t="str">
        <f>VLOOKUP($I886,'Price List, Weapons &amp; Items'!B:C,2,0)</f>
        <v>Military equipment</v>
      </c>
      <c r="K886" s="1186" t="str">
        <f>IF(I886=".",I886,VLOOKUP($I886,'Price List, Weapons &amp; Items'!B:D,3,0))</f>
        <v>Military equipment</v>
      </c>
      <c r="L886" s="1187">
        <f>VLOOKUP(I886,'Price List, Weapons &amp; Items'!B:E,4,0)</f>
        <v>0</v>
      </c>
      <c r="M886" s="1188">
        <v>10</v>
      </c>
      <c r="N886" s="1188">
        <v>10</v>
      </c>
      <c r="O886" s="1188">
        <f>VLOOKUP($I886,'Price List, Weapons &amp; Items'!B:G,6,0)</f>
        <v>350000</v>
      </c>
      <c r="P886" s="1185">
        <f t="shared" si="184"/>
        <v>3500000</v>
      </c>
      <c r="Q886" s="1185">
        <f t="shared" si="185"/>
        <v>3500000</v>
      </c>
      <c r="R886" s="1185" t="str">
        <f t="shared" si="181"/>
        <v/>
      </c>
      <c r="S886" s="1185" t="str">
        <f>IF(AND(AD886=1,R886&lt;&gt;".")=TRUE,R886/VLOOKUP(G886,'Exchange Rates'!B:C,2,0),IF(R886=".",".",""))</f>
        <v/>
      </c>
      <c r="T886" s="1185" t="str">
        <f>IF(AD886=1,IF(AF886="Value is not given at all",".",IF(AF886="Value is given by the source",S886,IF(AF886="Value is calculated with prices",(IF(SUMIFS(Q:Q,A:A,A886)&gt;0,SUMIFS(Q:Q,A:A,A886),"."))/VLOOKUP("USD",'Exchange Rates'!B:C,2,0),"Error with coding"))),"")</f>
        <v/>
      </c>
      <c r="U886" s="1184" t="s">
        <v>675</v>
      </c>
      <c r="V886" s="974" t="s">
        <v>2507</v>
      </c>
      <c r="W886" s="974" t="s">
        <v>2508</v>
      </c>
      <c r="X886" s="974" t="s">
        <v>2509</v>
      </c>
      <c r="Y886" s="974" t="s">
        <v>2510</v>
      </c>
      <c r="Z886" s="1184">
        <v>0</v>
      </c>
      <c r="AA886" s="1194">
        <v>0</v>
      </c>
      <c r="AB886" s="977" t="s">
        <v>2511</v>
      </c>
      <c r="AC886" s="1192" t="str">
        <f>""</f>
        <v/>
      </c>
      <c r="AD886" s="1193">
        <v>0</v>
      </c>
      <c r="AE886" s="1193" t="s">
        <v>368</v>
      </c>
      <c r="AF886" s="1193" t="s">
        <v>436</v>
      </c>
      <c r="AG886" s="1193">
        <v>1</v>
      </c>
      <c r="AH886" s="1193">
        <v>5</v>
      </c>
      <c r="AI886" s="1193">
        <v>0</v>
      </c>
      <c r="AJ886" s="1193">
        <f>VLOOKUP($I886,'Price List, Weapons &amp; Items'!B:F,5,0)</f>
        <v>0</v>
      </c>
      <c r="AK886" s="1193">
        <f t="shared" si="186"/>
        <v>0</v>
      </c>
      <c r="AL886" s="1193">
        <f t="shared" si="187"/>
        <v>0</v>
      </c>
      <c r="AM886" s="1193">
        <f t="shared" si="188"/>
        <v>0</v>
      </c>
      <c r="AN886" s="1194" t="str">
        <f>VLOOKUP($I886,'Price List, Weapons &amp; Items'!B:L,COLUMN('Price List, Weapons &amp; Items'!$J$11)-1,0)</f>
        <v>Media reports (incl. social media)</v>
      </c>
      <c r="AO886" s="1194" t="str">
        <f>IF(I886=".",".",VLOOKUP($I886,'Price List, Weapons &amp; Items'!B:J,3,0))</f>
        <v>Military equipment</v>
      </c>
      <c r="AP886" s="1195" t="str">
        <f t="shared" ca="1" si="182"/>
        <v/>
      </c>
      <c r="AQ886" s="1194">
        <f>VLOOKUP($I886,'Price List, Weapons &amp; Items'!B:L,COLUMN('Price List, Weapons &amp; Items'!$L$11)-1,0)</f>
        <v>2</v>
      </c>
      <c r="AR886" s="1194">
        <f t="shared" si="189"/>
        <v>0</v>
      </c>
      <c r="AS886" s="1194">
        <f t="shared" si="190"/>
        <v>1</v>
      </c>
      <c r="AT886" s="1194">
        <f t="shared" si="191"/>
        <v>1</v>
      </c>
      <c r="AU886" s="1194" t="str">
        <f t="shared" si="192"/>
        <v>.</v>
      </c>
      <c r="AV886" s="1194" t="str">
        <f t="shared" si="183"/>
        <v>.</v>
      </c>
      <c r="AW886" s="1194" t="str">
        <f t="shared" si="193"/>
        <v>.</v>
      </c>
      <c r="AX886" s="1194">
        <f>IFERROR(VLOOKUP(B886,'Share, Heavy Weapons to Ukraine'!B:Z,COLUMN('Share, Heavy Weapons to Ukraine'!C896)-1,0),0)</f>
        <v>0</v>
      </c>
      <c r="AY886" s="1194">
        <f>VLOOKUP('Bilateral Assistance, MAIN DATA'!B886,'Country Summary (€)'!B:F,COLUMN('Country Summary (€)'!C897)-1,FALSE)</f>
        <v>1</v>
      </c>
      <c r="AZ886" s="1194" t="str">
        <f>IF(AND(AD886=1,D886="Military",H886&lt;&gt;"Not given")=TRUE,IF(SUMIFS(P:P,A:A,A886)&gt;0,ABS((SUMIFS(P:P,A:A,A886)/VLOOKUP("USD",'Exchange Rates'!B:C,2,0)))/S886,"."),".")</f>
        <v>.</v>
      </c>
      <c r="BA886" s="1196" t="str">
        <f>IF(AND(AD886=1,D886="Military",H886&lt;&gt;"Not given")=TRUE,IF(SUMIFS(P:P,A:A,A886)&gt;0,IF((ABS((SUMIFS(P:P,A:A,A886)/VLOOKUP("USD",'Exchange Rates'!B:C,2,0)))/S886)&gt;1,(SUMIFS(P:P,A:A,A886)-S886)/S886,(S886-SUMIFS(P:P,A:A,A886))/SUMIFS(P:P,A:A,A886)),"."),".")</f>
        <v>.</v>
      </c>
    </row>
    <row r="887" spans="1:53" ht="15.95" customHeight="1">
      <c r="A887" s="1182" t="s">
        <v>2505</v>
      </c>
      <c r="B887" s="1182" t="s">
        <v>2488</v>
      </c>
      <c r="C887" s="1181">
        <v>44706</v>
      </c>
      <c r="D887" s="1182" t="s">
        <v>389</v>
      </c>
      <c r="E887" s="1182" t="s">
        <v>398</v>
      </c>
      <c r="F887" s="1183" t="s">
        <v>2506</v>
      </c>
      <c r="G887" s="1184" t="s">
        <v>483</v>
      </c>
      <c r="H887" s="1185">
        <v>15500000</v>
      </c>
      <c r="I887" s="1180" t="s">
        <v>2512</v>
      </c>
      <c r="J887" s="1186" t="str">
        <f>VLOOKUP($I887,'Price List, Weapons &amp; Items'!B:C,2,0)</f>
        <v>Military equipment</v>
      </c>
      <c r="K887" s="1186" t="str">
        <f>IF(I887=".",I887,VLOOKUP($I887,'Price List, Weapons &amp; Items'!B:D,3,0))</f>
        <v>non combat military vehicle</v>
      </c>
      <c r="L887" s="1187">
        <f>VLOOKUP(I887,'Price List, Weapons &amp; Items'!B:E,4,0)</f>
        <v>0</v>
      </c>
      <c r="M887" s="1188">
        <v>10</v>
      </c>
      <c r="N887" s="1188">
        <v>10</v>
      </c>
      <c r="O887" s="1188">
        <f>VLOOKUP($I887,'Price List, Weapons &amp; Items'!B:G,6,0)</f>
        <v>32540</v>
      </c>
      <c r="P887" s="1185">
        <f t="shared" si="184"/>
        <v>325400</v>
      </c>
      <c r="Q887" s="1185">
        <f t="shared" si="185"/>
        <v>325400</v>
      </c>
      <c r="R887" s="1185" t="str">
        <f t="shared" si="181"/>
        <v/>
      </c>
      <c r="S887" s="1185" t="str">
        <f>IF(AND(AD887=1,R887&lt;&gt;".")=TRUE,R887/VLOOKUP(G887,'Exchange Rates'!B:C,2,0),IF(R887=".",".",""))</f>
        <v/>
      </c>
      <c r="T887" s="1185" t="str">
        <f>IF(AD887=1,IF(AF887="Value is not given at all",".",IF(AF887="Value is given by the source",S887,IF(AF887="Value is calculated with prices",(IF(SUMIFS(Q:Q,A:A,A887)&gt;0,SUMIFS(Q:Q,A:A,A887),"."))/VLOOKUP("USD",'Exchange Rates'!B:C,2,0),"Error with coding"))),"")</f>
        <v/>
      </c>
      <c r="U887" s="1184" t="s">
        <v>675</v>
      </c>
      <c r="V887" s="974" t="s">
        <v>2507</v>
      </c>
      <c r="W887" s="974" t="s">
        <v>2508</v>
      </c>
      <c r="X887" s="974" t="s">
        <v>2509</v>
      </c>
      <c r="Y887" s="974" t="s">
        <v>2510</v>
      </c>
      <c r="Z887" s="1184">
        <v>0</v>
      </c>
      <c r="AA887" s="1194">
        <v>0</v>
      </c>
      <c r="AB887" s="977" t="s">
        <v>2511</v>
      </c>
      <c r="AC887" s="1192" t="str">
        <f>""</f>
        <v/>
      </c>
      <c r="AD887" s="1193">
        <v>0</v>
      </c>
      <c r="AE887" s="1193" t="s">
        <v>368</v>
      </c>
      <c r="AF887" s="1193" t="s">
        <v>436</v>
      </c>
      <c r="AG887" s="1193">
        <v>1</v>
      </c>
      <c r="AH887" s="1193">
        <v>5</v>
      </c>
      <c r="AI887" s="1193">
        <v>0</v>
      </c>
      <c r="AJ887" s="1193">
        <f>VLOOKUP($I887,'Price List, Weapons &amp; Items'!B:F,5,0)</f>
        <v>0</v>
      </c>
      <c r="AK887" s="1193">
        <f t="shared" si="186"/>
        <v>0</v>
      </c>
      <c r="AL887" s="1193">
        <f t="shared" si="187"/>
        <v>0</v>
      </c>
      <c r="AM887" s="1193">
        <f t="shared" si="188"/>
        <v>0</v>
      </c>
      <c r="AN887" s="1194" t="str">
        <f>VLOOKUP($I887,'Price List, Weapons &amp; Items'!B:L,COLUMN('Price List, Weapons &amp; Items'!$J$11)-1,0)</f>
        <v>Miscellaneous</v>
      </c>
      <c r="AO887" s="1194" t="str">
        <f>IF(I887=".",".",VLOOKUP($I887,'Price List, Weapons &amp; Items'!B:J,3,0))</f>
        <v>non combat military vehicle</v>
      </c>
      <c r="AP887" s="1195" t="str">
        <f t="shared" ca="1" si="182"/>
        <v/>
      </c>
      <c r="AQ887" s="1194">
        <f>VLOOKUP($I887,'Price List, Weapons &amp; Items'!B:L,COLUMN('Price List, Weapons &amp; Items'!$L$11)-1,0)</f>
        <v>1</v>
      </c>
      <c r="AR887" s="1194">
        <f t="shared" si="189"/>
        <v>0</v>
      </c>
      <c r="AS887" s="1194">
        <f t="shared" si="190"/>
        <v>1</v>
      </c>
      <c r="AT887" s="1194">
        <f t="shared" si="191"/>
        <v>1</v>
      </c>
      <c r="AU887" s="1194" t="str">
        <f t="shared" si="192"/>
        <v>.</v>
      </c>
      <c r="AV887" s="1194" t="str">
        <f t="shared" si="183"/>
        <v>.</v>
      </c>
      <c r="AW887" s="1194" t="str">
        <f t="shared" si="193"/>
        <v>.</v>
      </c>
      <c r="AX887" s="1194">
        <f>IFERROR(VLOOKUP(B887,'Share, Heavy Weapons to Ukraine'!B:Z,COLUMN('Share, Heavy Weapons to Ukraine'!C897)-1,0),0)</f>
        <v>0</v>
      </c>
      <c r="AY887" s="1194">
        <f>VLOOKUP('Bilateral Assistance, MAIN DATA'!B887,'Country Summary (€)'!B:F,COLUMN('Country Summary (€)'!C898)-1,FALSE)</f>
        <v>1</v>
      </c>
      <c r="AZ887" s="1194" t="str">
        <f>IF(AND(AD887=1,D887="Military",H887&lt;&gt;"Not given")=TRUE,IF(SUMIFS(P:P,A:A,A887)&gt;0,ABS((SUMIFS(P:P,A:A,A887)/VLOOKUP("USD",'Exchange Rates'!B:C,2,0)))/S887,"."),".")</f>
        <v>.</v>
      </c>
      <c r="BA887" s="1196" t="str">
        <f>IF(AND(AD887=1,D887="Military",H887&lt;&gt;"Not given")=TRUE,IF(SUMIFS(P:P,A:A,A887)&gt;0,IF((ABS((SUMIFS(P:P,A:A,A887)/VLOOKUP("USD",'Exchange Rates'!B:C,2,0)))/S887)&gt;1,(SUMIFS(P:P,A:A,A887)-S887)/S887,(S887-SUMIFS(P:P,A:A,A887))/SUMIFS(P:P,A:A,A887)),"."),".")</f>
        <v>.</v>
      </c>
    </row>
    <row r="888" spans="1:53" ht="15.95" customHeight="1">
      <c r="A888" s="1182" t="s">
        <v>2513</v>
      </c>
      <c r="B888" s="1182" t="s">
        <v>2488</v>
      </c>
      <c r="C888" s="1181">
        <v>44752</v>
      </c>
      <c r="D888" s="1182" t="s">
        <v>389</v>
      </c>
      <c r="E888" s="1182" t="s">
        <v>398</v>
      </c>
      <c r="F888" s="1183" t="s">
        <v>2514</v>
      </c>
      <c r="G888" s="1184" t="s">
        <v>483</v>
      </c>
      <c r="H888" s="1185">
        <v>2000000</v>
      </c>
      <c r="I888" s="1180" t="s">
        <v>1351</v>
      </c>
      <c r="J888" s="1186" t="str">
        <f>VLOOKUP($I888,'Price List, Weapons &amp; Items'!B:C,2,0)</f>
        <v>Portable defence system</v>
      </c>
      <c r="K888" s="1186" t="str">
        <f>IF(I888=".",I888,VLOOKUP($I888,'Price List, Weapons &amp; Items'!B:D,3,0))</f>
        <v>Light Anti-armor Weapon (LAW)</v>
      </c>
      <c r="L888" s="1187">
        <f>VLOOKUP(I888,'Price List, Weapons &amp; Items'!B:E,4,0)</f>
        <v>0</v>
      </c>
      <c r="M888" s="1188" t="s">
        <v>374</v>
      </c>
      <c r="N888" s="1188" t="s">
        <v>374</v>
      </c>
      <c r="O888" s="1188">
        <f>VLOOKUP($I888,'Price List, Weapons &amp; Items'!B:G,6,0)</f>
        <v>40000</v>
      </c>
      <c r="P888" s="1185" t="str">
        <f t="shared" si="184"/>
        <v>.</v>
      </c>
      <c r="Q888" s="1185" t="str">
        <f t="shared" si="185"/>
        <v>.</v>
      </c>
      <c r="R888" s="1185">
        <f t="shared" si="181"/>
        <v>2000000</v>
      </c>
      <c r="S888" s="1185">
        <f>IF(AND(AD888=1,R888&lt;&gt;".")=TRUE,R888/VLOOKUP(G888,'Exchange Rates'!B:C,2,0),IF(R888=".",".",""))</f>
        <v>2000000</v>
      </c>
      <c r="T888" s="1185">
        <f>IF(AD888=1,IF(AF888="Value is not given at all",".",IF(AF888="Value is given by the source",S888,IF(AF888="Value is calculated with prices",(IF(SUMIFS(Q:Q,A:A,A888)&gt;0,SUMIFS(Q:Q,A:A,A888),"."))/VLOOKUP("USD",'Exchange Rates'!B:C,2,0),"Error with coding"))),"")</f>
        <v>2000000</v>
      </c>
      <c r="U888" s="1184" t="s">
        <v>365</v>
      </c>
      <c r="V888" s="974" t="s">
        <v>2504</v>
      </c>
      <c r="W888" s="974" t="s">
        <v>2515</v>
      </c>
      <c r="X888" s="974" t="s">
        <v>2509</v>
      </c>
      <c r="Y888" s="974" t="s">
        <v>2510</v>
      </c>
      <c r="Z888" s="1184">
        <v>0</v>
      </c>
      <c r="AA888" s="1194">
        <v>0</v>
      </c>
      <c r="AB888" s="977" t="s">
        <v>2504</v>
      </c>
      <c r="AC888" s="1192" t="str">
        <f>""</f>
        <v/>
      </c>
      <c r="AD888" s="1193">
        <v>1</v>
      </c>
      <c r="AE888" s="1193" t="s">
        <v>368</v>
      </c>
      <c r="AF888" s="1193" t="s">
        <v>368</v>
      </c>
      <c r="AG888" s="1193">
        <v>1</v>
      </c>
      <c r="AH888" s="1193">
        <v>7</v>
      </c>
      <c r="AI888" s="1193">
        <v>0</v>
      </c>
      <c r="AJ888" s="1193">
        <f>VLOOKUP($I888,'Price List, Weapons &amp; Items'!B:F,5,0)</f>
        <v>0</v>
      </c>
      <c r="AK888" s="1193">
        <f t="shared" si="186"/>
        <v>0</v>
      </c>
      <c r="AL888" s="1193">
        <f t="shared" si="187"/>
        <v>0</v>
      </c>
      <c r="AM888" s="1193">
        <f t="shared" si="188"/>
        <v>0</v>
      </c>
      <c r="AN888" s="1194" t="str">
        <f>VLOOKUP($I888,'Price List, Weapons &amp; Items'!B:L,COLUMN('Price List, Weapons &amp; Items'!$J$11)-1,0)</f>
        <v>Media reports (incl. social media)</v>
      </c>
      <c r="AO888" s="1194" t="str">
        <f>IF(I888=".",".",VLOOKUP($I888,'Price List, Weapons &amp; Items'!B:J,3,0))</f>
        <v>Light Anti-armor Weapon (LAW)</v>
      </c>
      <c r="AP888" s="1195" t="str">
        <f t="shared" ca="1" si="182"/>
        <v>anti-tank weapon</v>
      </c>
      <c r="AQ888" s="1194">
        <f>VLOOKUP($I888,'Price List, Weapons &amp; Items'!B:L,COLUMN('Price List, Weapons &amp; Items'!$L$11)-1,0)</f>
        <v>2</v>
      </c>
      <c r="AR888" s="1194">
        <f t="shared" si="189"/>
        <v>1</v>
      </c>
      <c r="AS888" s="1194">
        <f t="shared" si="190"/>
        <v>1</v>
      </c>
      <c r="AT888" s="1194">
        <f t="shared" si="191"/>
        <v>1</v>
      </c>
      <c r="AU888" s="1194" t="str">
        <f t="shared" si="192"/>
        <v>.</v>
      </c>
      <c r="AV888" s="1194" t="str">
        <f t="shared" si="183"/>
        <v>.</v>
      </c>
      <c r="AW888" s="1194" t="str">
        <f t="shared" si="193"/>
        <v>.</v>
      </c>
      <c r="AX888" s="1194">
        <f>IFERROR(VLOOKUP(B888,'Share, Heavy Weapons to Ukraine'!B:Z,COLUMN('Share, Heavy Weapons to Ukraine'!C898)-1,0),0)</f>
        <v>0</v>
      </c>
      <c r="AY888" s="1194">
        <f>VLOOKUP('Bilateral Assistance, MAIN DATA'!B888,'Country Summary (€)'!B:F,COLUMN('Country Summary (€)'!C899)-1,FALSE)</f>
        <v>1</v>
      </c>
      <c r="AZ888" s="1194" t="str">
        <f>IF(AND(AD888=1,D888="Military",H888&lt;&gt;"Not given")=TRUE,IF(SUMIFS(P:P,A:A,A888)&gt;0,ABS((SUMIFS(P:P,A:A,A888)/VLOOKUP("USD",'Exchange Rates'!B:C,2,0)))/S888,"."),".")</f>
        <v>.</v>
      </c>
      <c r="BA888" s="1196" t="str">
        <f>IF(AND(AD888=1,D888="Military",H888&lt;&gt;"Not given")=TRUE,IF(SUMIFS(P:P,A:A,A888)&gt;0,IF((ABS((SUMIFS(P:P,A:A,A888)/VLOOKUP("USD",'Exchange Rates'!B:C,2,0)))/S888)&gt;1,(SUMIFS(P:P,A:A,A888)-S888)/S888,(S888-SUMIFS(P:P,A:A,A888))/SUMIFS(P:P,A:A,A888)),"."),".")</f>
        <v>.</v>
      </c>
    </row>
    <row r="889" spans="1:53" ht="15.95" customHeight="1">
      <c r="A889" s="1182" t="s">
        <v>2513</v>
      </c>
      <c r="B889" s="1182" t="s">
        <v>2488</v>
      </c>
      <c r="C889" s="1181">
        <v>44752</v>
      </c>
      <c r="D889" s="1182" t="s">
        <v>389</v>
      </c>
      <c r="E889" s="1182" t="s">
        <v>398</v>
      </c>
      <c r="F889" s="1183" t="s">
        <v>2514</v>
      </c>
      <c r="G889" s="1184" t="s">
        <v>483</v>
      </c>
      <c r="H889" s="1185">
        <v>2000000</v>
      </c>
      <c r="I889" s="1180" t="s">
        <v>694</v>
      </c>
      <c r="J889" s="1186" t="str">
        <f>VLOOKUP($I889,'Price List, Weapons &amp; Items'!B:C,2,0)</f>
        <v>Military equipment</v>
      </c>
      <c r="K889" s="1186" t="str">
        <f>IF(I889=".",I889,VLOOKUP($I889,'Price List, Weapons &amp; Items'!B:D,3,0))</f>
        <v>Military equipment</v>
      </c>
      <c r="L889" s="1187">
        <f>VLOOKUP(I889,'Price List, Weapons &amp; Items'!B:E,4,0)</f>
        <v>0</v>
      </c>
      <c r="M889" s="1188" t="s">
        <v>374</v>
      </c>
      <c r="N889" s="1188" t="s">
        <v>374</v>
      </c>
      <c r="O889" s="1188">
        <f>VLOOKUP($I889,'Price List, Weapons &amp; Items'!B:G,6,0)</f>
        <v>500</v>
      </c>
      <c r="P889" s="1185" t="str">
        <f t="shared" si="184"/>
        <v>.</v>
      </c>
      <c r="Q889" s="1185" t="str">
        <f t="shared" si="185"/>
        <v>.</v>
      </c>
      <c r="R889" s="1185" t="str">
        <f t="shared" si="181"/>
        <v/>
      </c>
      <c r="S889" s="1185" t="str">
        <f>IF(AND(AD889=1,R889&lt;&gt;".")=TRUE,R889/VLOOKUP(G889,'Exchange Rates'!B:C,2,0),IF(R889=".",".",""))</f>
        <v/>
      </c>
      <c r="T889" s="1185" t="str">
        <f>IF(AD889=1,IF(AF889="Value is not given at all",".",IF(AF889="Value is given by the source",S889,IF(AF889="Value is calculated with prices",(IF(SUMIFS(Q:Q,A:A,A889)&gt;0,SUMIFS(Q:Q,A:A,A889),"."))/VLOOKUP("USD",'Exchange Rates'!B:C,2,0),"Error with coding"))),"")</f>
        <v/>
      </c>
      <c r="U889" s="1184" t="s">
        <v>365</v>
      </c>
      <c r="V889" s="974" t="s">
        <v>2504</v>
      </c>
      <c r="W889" s="974" t="s">
        <v>2515</v>
      </c>
      <c r="X889" s="974" t="s">
        <v>2509</v>
      </c>
      <c r="Y889" s="974" t="s">
        <v>2510</v>
      </c>
      <c r="Z889" s="1184">
        <v>0</v>
      </c>
      <c r="AA889" s="1194">
        <v>0</v>
      </c>
      <c r="AB889" s="991" t="s">
        <v>2504</v>
      </c>
      <c r="AC889" s="1192" t="str">
        <f>""</f>
        <v/>
      </c>
      <c r="AD889" s="1193">
        <v>0</v>
      </c>
      <c r="AE889" s="1193" t="s">
        <v>368</v>
      </c>
      <c r="AF889" s="1193" t="s">
        <v>368</v>
      </c>
      <c r="AG889" s="1193">
        <v>1</v>
      </c>
      <c r="AH889" s="1193">
        <v>7</v>
      </c>
      <c r="AI889" s="1193">
        <v>0</v>
      </c>
      <c r="AJ889" s="1193">
        <f>VLOOKUP($I889,'Price List, Weapons &amp; Items'!B:F,5,0)</f>
        <v>0</v>
      </c>
      <c r="AK889" s="1193">
        <f t="shared" si="186"/>
        <v>0</v>
      </c>
      <c r="AL889" s="1193">
        <f t="shared" si="187"/>
        <v>0</v>
      </c>
      <c r="AM889" s="1193">
        <f t="shared" si="188"/>
        <v>0</v>
      </c>
      <c r="AN889" s="1194" t="str">
        <f>VLOOKUP($I889,'Price List, Weapons &amp; Items'!B:L,COLUMN('Price List, Weapons &amp; Items'!$J$11)-1,0)</f>
        <v>Military media (incl. websites)</v>
      </c>
      <c r="AO889" s="1194" t="str">
        <f>IF(I889=".",".",VLOOKUP($I889,'Price List, Weapons &amp; Items'!B:J,3,0))</f>
        <v>Military equipment</v>
      </c>
      <c r="AP889" s="1195" t="str">
        <f t="shared" ca="1" si="182"/>
        <v/>
      </c>
      <c r="AQ889" s="1194">
        <f>VLOOKUP($I889,'Price List, Weapons &amp; Items'!B:L,COLUMN('Price List, Weapons &amp; Items'!$L$11)-1,0)</f>
        <v>2</v>
      </c>
      <c r="AR889" s="1194">
        <f t="shared" si="189"/>
        <v>1</v>
      </c>
      <c r="AS889" s="1194">
        <f t="shared" si="190"/>
        <v>1</v>
      </c>
      <c r="AT889" s="1194">
        <f t="shared" si="191"/>
        <v>1</v>
      </c>
      <c r="AU889" s="1194" t="str">
        <f t="shared" si="192"/>
        <v>.</v>
      </c>
      <c r="AV889" s="1194" t="str">
        <f t="shared" si="183"/>
        <v>.</v>
      </c>
      <c r="AW889" s="1194" t="str">
        <f t="shared" si="193"/>
        <v>.</v>
      </c>
      <c r="AX889" s="1194">
        <f>IFERROR(VLOOKUP(B889,'Share, Heavy Weapons to Ukraine'!B:Z,COLUMN('Share, Heavy Weapons to Ukraine'!C899)-1,0),0)</f>
        <v>0</v>
      </c>
      <c r="AY889" s="1194">
        <f>VLOOKUP('Bilateral Assistance, MAIN DATA'!B889,'Country Summary (€)'!B:F,COLUMN('Country Summary (€)'!C900)-1,FALSE)</f>
        <v>1</v>
      </c>
      <c r="AZ889" s="1194" t="str">
        <f>IF(AND(AD889=1,D889="Military",H889&lt;&gt;"Not given")=TRUE,IF(SUMIFS(P:P,A:A,A889)&gt;0,ABS((SUMIFS(P:P,A:A,A889)/VLOOKUP("USD",'Exchange Rates'!B:C,2,0)))/S889,"."),".")</f>
        <v>.</v>
      </c>
      <c r="BA889" s="1196" t="str">
        <f>IF(AND(AD889=1,D889="Military",H889&lt;&gt;"Not given")=TRUE,IF(SUMIFS(P:P,A:A,A889)&gt;0,IF((ABS((SUMIFS(P:P,A:A,A889)/VLOOKUP("USD",'Exchange Rates'!B:C,2,0)))/S889)&gt;1,(SUMIFS(P:P,A:A,A889)-S889)/S889,(S889-SUMIFS(P:P,A:A,A889))/SUMIFS(P:P,A:A,A889)),"."),".")</f>
        <v>.</v>
      </c>
    </row>
    <row r="890" spans="1:53" ht="15.95" customHeight="1">
      <c r="A890" s="1182" t="s">
        <v>2513</v>
      </c>
      <c r="B890" s="1182" t="s">
        <v>2488</v>
      </c>
      <c r="C890" s="1181">
        <v>44752</v>
      </c>
      <c r="D890" s="1182" t="s">
        <v>389</v>
      </c>
      <c r="E890" s="1182" t="s">
        <v>398</v>
      </c>
      <c r="F890" s="1183" t="s">
        <v>2514</v>
      </c>
      <c r="G890" s="1184" t="s">
        <v>483</v>
      </c>
      <c r="H890" s="1185">
        <v>2000000</v>
      </c>
      <c r="I890" s="1180" t="s">
        <v>594</v>
      </c>
      <c r="J890" s="1186" t="str">
        <f>VLOOKUP($I890,'Price List, Weapons &amp; Items'!B:C,2,0)</f>
        <v>Military equipment</v>
      </c>
      <c r="K890" s="1186" t="str">
        <f>IF(I890=".",I890,VLOOKUP($I890,'Price List, Weapons &amp; Items'!B:D,3,0))</f>
        <v>Military equipment</v>
      </c>
      <c r="L890" s="1187">
        <f>VLOOKUP(I890,'Price List, Weapons &amp; Items'!B:E,4,0)</f>
        <v>0</v>
      </c>
      <c r="M890" s="1188" t="s">
        <v>374</v>
      </c>
      <c r="N890" s="1188" t="s">
        <v>374</v>
      </c>
      <c r="O890" s="1188">
        <f>VLOOKUP($I890,'Price List, Weapons &amp; Items'!B:G,6,0)</f>
        <v>1400</v>
      </c>
      <c r="P890" s="1185" t="str">
        <f t="shared" si="184"/>
        <v>.</v>
      </c>
      <c r="Q890" s="1185" t="str">
        <f t="shared" si="185"/>
        <v>.</v>
      </c>
      <c r="R890" s="1185" t="str">
        <f t="shared" si="181"/>
        <v/>
      </c>
      <c r="S890" s="1185" t="str">
        <f>IF(AND(AD890=1,R890&lt;&gt;".")=TRUE,R890/VLOOKUP(G890,'Exchange Rates'!B:C,2,0),IF(R890=".",".",""))</f>
        <v/>
      </c>
      <c r="T890" s="1185" t="str">
        <f>IF(AD890=1,IF(AF890="Value is not given at all",".",IF(AF890="Value is given by the source",S890,IF(AF890="Value is calculated with prices",(IF(SUMIFS(Q:Q,A:A,A890)&gt;0,SUMIFS(Q:Q,A:A,A890),"."))/VLOOKUP("USD",'Exchange Rates'!B:C,2,0),"Error with coding"))),"")</f>
        <v/>
      </c>
      <c r="U890" s="1184" t="s">
        <v>365</v>
      </c>
      <c r="V890" s="974" t="s">
        <v>2504</v>
      </c>
      <c r="W890" s="974" t="s">
        <v>2515</v>
      </c>
      <c r="X890" s="974" t="s">
        <v>2509</v>
      </c>
      <c r="Y890" s="974" t="s">
        <v>2510</v>
      </c>
      <c r="Z890" s="1184">
        <v>0</v>
      </c>
      <c r="AA890" s="1194">
        <v>0</v>
      </c>
      <c r="AB890" s="991" t="s">
        <v>2504</v>
      </c>
      <c r="AC890" s="1192" t="str">
        <f>""</f>
        <v/>
      </c>
      <c r="AD890" s="1193">
        <v>0</v>
      </c>
      <c r="AE890" s="1193" t="s">
        <v>368</v>
      </c>
      <c r="AF890" s="1193" t="s">
        <v>368</v>
      </c>
      <c r="AG890" s="1193">
        <v>1</v>
      </c>
      <c r="AH890" s="1193">
        <v>7</v>
      </c>
      <c r="AI890" s="1193">
        <v>0</v>
      </c>
      <c r="AJ890" s="1193">
        <f>VLOOKUP($I890,'Price List, Weapons &amp; Items'!B:F,5,0)</f>
        <v>0</v>
      </c>
      <c r="AK890" s="1193">
        <f t="shared" si="186"/>
        <v>0</v>
      </c>
      <c r="AL890" s="1193">
        <f t="shared" si="187"/>
        <v>0</v>
      </c>
      <c r="AM890" s="1193">
        <f t="shared" si="188"/>
        <v>0</v>
      </c>
      <c r="AN890" s="1194" t="str">
        <f>VLOOKUP($I890,'Price List, Weapons &amp; Items'!B:L,COLUMN('Price List, Weapons &amp; Items'!$J$11)-1,0)</f>
        <v>Military media (incl. websites)</v>
      </c>
      <c r="AO890" s="1194" t="str">
        <f>IF(I890=".",".",VLOOKUP($I890,'Price List, Weapons &amp; Items'!B:J,3,0))</f>
        <v>Military equipment</v>
      </c>
      <c r="AP890" s="1195" t="str">
        <f t="shared" ca="1" si="182"/>
        <v/>
      </c>
      <c r="AQ890" s="1194">
        <f>VLOOKUP($I890,'Price List, Weapons &amp; Items'!B:L,COLUMN('Price List, Weapons &amp; Items'!$L$11)-1,0)</f>
        <v>2</v>
      </c>
      <c r="AR890" s="1194">
        <f t="shared" si="189"/>
        <v>1</v>
      </c>
      <c r="AS890" s="1194">
        <f t="shared" si="190"/>
        <v>1</v>
      </c>
      <c r="AT890" s="1194">
        <f t="shared" si="191"/>
        <v>1</v>
      </c>
      <c r="AU890" s="1194" t="str">
        <f t="shared" si="192"/>
        <v>.</v>
      </c>
      <c r="AV890" s="1194" t="str">
        <f t="shared" si="183"/>
        <v>.</v>
      </c>
      <c r="AW890" s="1194" t="str">
        <f t="shared" si="193"/>
        <v>.</v>
      </c>
      <c r="AX890" s="1194">
        <f>IFERROR(VLOOKUP(B890,'Share, Heavy Weapons to Ukraine'!B:Z,COLUMN('Share, Heavy Weapons to Ukraine'!C900)-1,0),0)</f>
        <v>0</v>
      </c>
      <c r="AY890" s="1194">
        <f>VLOOKUP('Bilateral Assistance, MAIN DATA'!B890,'Country Summary (€)'!B:F,COLUMN('Country Summary (€)'!C901)-1,FALSE)</f>
        <v>1</v>
      </c>
      <c r="AZ890" s="1194" t="str">
        <f>IF(AND(AD890=1,D890="Military",H890&lt;&gt;"Not given")=TRUE,IF(SUMIFS(P:P,A:A,A890)&gt;0,ABS((SUMIFS(P:P,A:A,A890)/VLOOKUP("USD",'Exchange Rates'!B:C,2,0)))/S890,"."),".")</f>
        <v>.</v>
      </c>
      <c r="BA890" s="1196" t="str">
        <f>IF(AND(AD890=1,D890="Military",H890&lt;&gt;"Not given")=TRUE,IF(SUMIFS(P:P,A:A,A890)&gt;0,IF((ABS((SUMIFS(P:P,A:A,A890)/VLOOKUP("USD",'Exchange Rates'!B:C,2,0)))/S890)&gt;1,(SUMIFS(P:P,A:A,A890)-S890)/S890,(S890-SUMIFS(P:P,A:A,A890))/SUMIFS(P:P,A:A,A890)),"."),".")</f>
        <v>.</v>
      </c>
    </row>
    <row r="891" spans="1:53" ht="15.95" customHeight="1">
      <c r="A891" s="1182" t="s">
        <v>2516</v>
      </c>
      <c r="B891" s="1182" t="s">
        <v>2488</v>
      </c>
      <c r="C891" s="1181">
        <v>44762</v>
      </c>
      <c r="D891" s="1182" t="s">
        <v>389</v>
      </c>
      <c r="E891" s="1182" t="s">
        <v>443</v>
      </c>
      <c r="F891" s="1183" t="s">
        <v>2517</v>
      </c>
      <c r="G891" s="1184" t="s">
        <v>483</v>
      </c>
      <c r="H891" s="1185">
        <f>(200000000-8000000-SUM(S893,S888,S885,S884,S882,S881))/2</f>
        <v>35869801.251380198</v>
      </c>
      <c r="I891" s="1180" t="s">
        <v>428</v>
      </c>
      <c r="J891" s="1186" t="str">
        <f>VLOOKUP($I891,'Price List, Weapons &amp; Items'!B:C,2,0)</f>
        <v>Heavy weapon</v>
      </c>
      <c r="K891" s="1186" t="str">
        <f>IF(I891=".",I891,VLOOKUP($I891,'Price List, Weapons &amp; Items'!B:D,3,0))</f>
        <v>Armored Personnel Carrier (APC)</v>
      </c>
      <c r="L891" s="1187">
        <f>VLOOKUP(I891,'Price List, Weapons &amp; Items'!B:E,4,0)</f>
        <v>0</v>
      </c>
      <c r="M891" s="1188">
        <v>20</v>
      </c>
      <c r="N891" s="1188">
        <v>20</v>
      </c>
      <c r="O891" s="1188">
        <f>VLOOKUP($I891,'Price List, Weapons &amp; Items'!B:G,6,0)</f>
        <v>300000</v>
      </c>
      <c r="P891" s="1185">
        <f t="shared" si="184"/>
        <v>6000000</v>
      </c>
      <c r="Q891" s="1185">
        <f t="shared" si="185"/>
        <v>6000000</v>
      </c>
      <c r="R891" s="1185">
        <f t="shared" si="181"/>
        <v>35869801.251380198</v>
      </c>
      <c r="S891" s="1185">
        <f>IF(AND(AD891=1,R891&lt;&gt;".")=TRUE,R891/VLOOKUP(G891,'Exchange Rates'!B:C,2,0),IF(R891=".",".",""))</f>
        <v>35869801.251380198</v>
      </c>
      <c r="T891" s="1185">
        <f>IF(AD891=1,IF(AF891="Value is not given at all",".",IF(AF891="Value is given by the source",S891,IF(AF891="Value is calculated with prices",(IF(SUMIFS(Q:Q,A:A,A891)&gt;0,SUMIFS(Q:Q,A:A,A891),"."))/VLOOKUP("USD",'Exchange Rates'!B:C,2,0),"Error with coding"))),"")</f>
        <v>35869801.251380198</v>
      </c>
      <c r="U891" s="1184" t="s">
        <v>365</v>
      </c>
      <c r="V891" s="974" t="s">
        <v>2518</v>
      </c>
      <c r="W891" s="974" t="s">
        <v>2519</v>
      </c>
      <c r="X891" s="1183" t="s">
        <v>364</v>
      </c>
      <c r="Y891" s="1183" t="s">
        <v>364</v>
      </c>
      <c r="Z891" s="1194">
        <v>0</v>
      </c>
      <c r="AA891" s="1194">
        <v>0</v>
      </c>
      <c r="AB891" s="991" t="s">
        <v>2520</v>
      </c>
      <c r="AC891" s="1192" t="str">
        <f>""</f>
        <v/>
      </c>
      <c r="AD891" s="1193">
        <v>1</v>
      </c>
      <c r="AE891" s="1193" t="s">
        <v>368</v>
      </c>
      <c r="AF891" s="1193" t="s">
        <v>368</v>
      </c>
      <c r="AG891" s="1193">
        <v>1</v>
      </c>
      <c r="AH891" s="1193">
        <v>7</v>
      </c>
      <c r="AI891" s="1193">
        <v>0</v>
      </c>
      <c r="AJ891" s="1193">
        <f>VLOOKUP($I891,'Price List, Weapons &amp; Items'!B:F,5,0)</f>
        <v>1</v>
      </c>
      <c r="AK891" s="1193">
        <f t="shared" si="186"/>
        <v>0</v>
      </c>
      <c r="AL891" s="1193">
        <f t="shared" si="187"/>
        <v>0</v>
      </c>
      <c r="AM891" s="1193">
        <f t="shared" si="188"/>
        <v>0</v>
      </c>
      <c r="AN891" s="1194" t="str">
        <f>VLOOKUP($I891,'Price List, Weapons &amp; Items'!B:L,COLUMN('Price List, Weapons &amp; Items'!$J$11)-1,0)</f>
        <v>Military media (incl. websites)</v>
      </c>
      <c r="AO891" s="1194" t="str">
        <f>IF(I891=".",".",VLOOKUP($I891,'Price List, Weapons &amp; Items'!B:J,3,0))</f>
        <v>Armored Personnel Carrier (APC)</v>
      </c>
      <c r="AP891" s="1195" t="str">
        <f t="shared" ca="1" si="182"/>
        <v>M113 armored personnel carrier</v>
      </c>
      <c r="AQ891" s="1194">
        <f>VLOOKUP($I891,'Price List, Weapons &amp; Items'!B:L,COLUMN('Price List, Weapons &amp; Items'!$L$11)-1,0)</f>
        <v>2</v>
      </c>
      <c r="AR891" s="1194">
        <f t="shared" si="189"/>
        <v>1</v>
      </c>
      <c r="AS891" s="1194">
        <f t="shared" si="190"/>
        <v>1</v>
      </c>
      <c r="AT891" s="1194">
        <f t="shared" si="191"/>
        <v>1</v>
      </c>
      <c r="AU891" s="1194" t="str">
        <f t="shared" si="192"/>
        <v>.</v>
      </c>
      <c r="AV891" s="1194" t="str">
        <f t="shared" si="183"/>
        <v>.</v>
      </c>
      <c r="AW891" s="1194" t="str">
        <f t="shared" si="193"/>
        <v>.</v>
      </c>
      <c r="AX891" s="1194">
        <f>IFERROR(VLOOKUP(B891,'Share, Heavy Weapons to Ukraine'!B:Z,COLUMN('Share, Heavy Weapons to Ukraine'!C901)-1,0),0)</f>
        <v>0</v>
      </c>
      <c r="AY891" s="1194">
        <f>VLOOKUP('Bilateral Assistance, MAIN DATA'!B891,'Country Summary (€)'!B:F,COLUMN('Country Summary (€)'!C902)-1,FALSE)</f>
        <v>1</v>
      </c>
      <c r="AZ891" s="1194">
        <f>IF(AND(AD891=1,D891="Military",H891&lt;&gt;"Not given")=TRUE,IF(SUMIFS(P:P,A:A,A891)&gt;0,ABS((SUMIFS(P:P,A:A,A891)/VLOOKUP("USD",'Exchange Rates'!B:C,2,0)))/S891,"."),".")</f>
        <v>0.15391205977944403</v>
      </c>
      <c r="BA891" s="1196">
        <f>IF(AND(AD891=1,D891="Military",H891&lt;&gt;"Not given")=TRUE,IF(SUMIFS(P:P,A:A,A891)&gt;0,IF((ABS((SUMIFS(P:P,A:A,A891)/VLOOKUP("USD",'Exchange Rates'!B:C,2,0)))/S891)&gt;1,(SUMIFS(P:P,A:A,A891)-S891)/S891,(S891-SUMIFS(P:P,A:A,A891))/SUMIFS(P:P,A:A,A891)),"."),".")</f>
        <v>4.9783002085633665</v>
      </c>
    </row>
    <row r="892" spans="1:53" ht="15.95" customHeight="1">
      <c r="A892" s="1182" t="s">
        <v>2516</v>
      </c>
      <c r="B892" s="1182" t="s">
        <v>2488</v>
      </c>
      <c r="C892" s="1181">
        <v>44762</v>
      </c>
      <c r="D892" s="1182" t="s">
        <v>389</v>
      </c>
      <c r="E892" s="1182" t="s">
        <v>443</v>
      </c>
      <c r="F892" s="1183" t="s">
        <v>2517</v>
      </c>
      <c r="G892" s="1184" t="s">
        <v>483</v>
      </c>
      <c r="H892" s="1185">
        <f>(200000000-8000000-SUM(S893,S888,S885,S884,S882,S881))/2</f>
        <v>35869801.251380198</v>
      </c>
      <c r="I892" s="1180" t="s">
        <v>2521</v>
      </c>
      <c r="J892" s="1186" t="str">
        <f>VLOOKUP($I892,'Price List, Weapons &amp; Items'!B:C,2,0)</f>
        <v>Heavy weapon</v>
      </c>
      <c r="K892" s="1186" t="str">
        <f>IF(I892=".",I892,VLOOKUP($I892,'Price List, Weapons &amp; Items'!B:D,3,0))</f>
        <v>Armored Personnel Carrier (APC)</v>
      </c>
      <c r="L892" s="1187">
        <f>VLOOKUP(I892,'Price List, Weapons &amp; Items'!B:E,4,0)</f>
        <v>0</v>
      </c>
      <c r="M892" s="1188" t="s">
        <v>374</v>
      </c>
      <c r="N892" s="1188" t="s">
        <v>374</v>
      </c>
      <c r="O892" s="1188">
        <f>VLOOKUP($I892,'Price List, Weapons &amp; Items'!B:G,6,0)</f>
        <v>326778</v>
      </c>
      <c r="P892" s="1185" t="str">
        <f t="shared" si="184"/>
        <v>.</v>
      </c>
      <c r="Q892" s="1185" t="str">
        <f t="shared" si="185"/>
        <v>.</v>
      </c>
      <c r="R892" s="1185" t="str">
        <f t="shared" si="181"/>
        <v/>
      </c>
      <c r="S892" s="1185" t="str">
        <f>IF(AND(AD892=1,R892&lt;&gt;".")=TRUE,R892/VLOOKUP(G892,'Exchange Rates'!B:C,2,0),IF(R892=".",".",""))</f>
        <v/>
      </c>
      <c r="T892" s="1185" t="str">
        <f>IF(AD892=1,IF(AF892="Value is not given at all",".",IF(AF892="Value is given by the source",S892,IF(AF892="Value is calculated with prices",(IF(SUMIFS(Q:Q,A:A,A892)&gt;0,SUMIFS(Q:Q,A:A,A892),"."))/VLOOKUP("USD",'Exchange Rates'!B:C,2,0),"Error with coding"))),"")</f>
        <v/>
      </c>
      <c r="U892" s="1184" t="s">
        <v>365</v>
      </c>
      <c r="V892" s="1029" t="s">
        <v>2522</v>
      </c>
      <c r="W892" s="1029" t="s">
        <v>2523</v>
      </c>
      <c r="X892" s="1183" t="s">
        <v>364</v>
      </c>
      <c r="Y892" s="1183" t="s">
        <v>364</v>
      </c>
      <c r="Z892" s="1194">
        <v>0</v>
      </c>
      <c r="AA892" s="1194">
        <v>0</v>
      </c>
      <c r="AB892" s="991" t="s">
        <v>2520</v>
      </c>
      <c r="AC892" s="1192" t="str">
        <f>""</f>
        <v/>
      </c>
      <c r="AD892" s="1193">
        <v>0</v>
      </c>
      <c r="AE892" s="1193" t="s">
        <v>368</v>
      </c>
      <c r="AF892" s="1193" t="s">
        <v>369</v>
      </c>
      <c r="AG892" s="1193">
        <v>1</v>
      </c>
      <c r="AH892" s="1193">
        <v>7</v>
      </c>
      <c r="AI892" s="1193">
        <v>0</v>
      </c>
      <c r="AJ892" s="1193">
        <f>VLOOKUP($I892,'Price List, Weapons &amp; Items'!B:F,5,0)</f>
        <v>1</v>
      </c>
      <c r="AK892" s="1193">
        <f t="shared" si="186"/>
        <v>1</v>
      </c>
      <c r="AL892" s="1193">
        <f t="shared" si="187"/>
        <v>1</v>
      </c>
      <c r="AM892" s="1193">
        <f t="shared" si="188"/>
        <v>0</v>
      </c>
      <c r="AN892" s="1194" t="str">
        <f>VLOOKUP($I892,'Price List, Weapons &amp; Items'!B:L,COLUMN('Price List, Weapons &amp; Items'!$J$11)-1,0)</f>
        <v>Contracts</v>
      </c>
      <c r="AO892" s="1194" t="str">
        <f>IF(I892=".",".",VLOOKUP($I892,'Price List, Weapons &amp; Items'!B:J,3,0))</f>
        <v>Armored Personnel Carrier (APC)</v>
      </c>
      <c r="AP892" s="1195" t="str">
        <f t="shared" ca="1" si="182"/>
        <v/>
      </c>
      <c r="AQ892" s="1194">
        <f>VLOOKUP($I892,'Price List, Weapons &amp; Items'!B:L,COLUMN('Price List, Weapons &amp; Items'!$L$11)-1,0)</f>
        <v>1</v>
      </c>
      <c r="AR892" s="1194">
        <f t="shared" si="189"/>
        <v>1</v>
      </c>
      <c r="AS892" s="1194">
        <f t="shared" si="190"/>
        <v>1</v>
      </c>
      <c r="AT892" s="1194">
        <f t="shared" si="191"/>
        <v>1</v>
      </c>
      <c r="AU892" s="1194" t="str">
        <f t="shared" si="192"/>
        <v>.</v>
      </c>
      <c r="AV892" s="1194" t="str">
        <f t="shared" si="183"/>
        <v>.</v>
      </c>
      <c r="AW892" s="1194" t="str">
        <f t="shared" si="193"/>
        <v>.</v>
      </c>
      <c r="AX892" s="1194">
        <f>IFERROR(VLOOKUP(B892,'Share, Heavy Weapons to Ukraine'!B:Z,COLUMN('Share, Heavy Weapons to Ukraine'!C902)-1,0),0)</f>
        <v>0</v>
      </c>
      <c r="AY892" s="1194">
        <f>VLOOKUP('Bilateral Assistance, MAIN DATA'!B892,'Country Summary (€)'!B:F,COLUMN('Country Summary (€)'!C903)-1,FALSE)</f>
        <v>1</v>
      </c>
      <c r="AZ892" s="1194" t="str">
        <f>IF(AND(AD892=1,D892="Military",H892&lt;&gt;"Not given")=TRUE,IF(SUMIFS(P:P,A:A,A892)&gt;0,ABS((SUMIFS(P:P,A:A,A892)/VLOOKUP("USD",'Exchange Rates'!B:C,2,0)))/S892,"."),".")</f>
        <v>.</v>
      </c>
      <c r="BA892" s="1196" t="str">
        <f>IF(AND(AD892=1,D892="Military",H892&lt;&gt;"Not given")=TRUE,IF(SUMIFS(P:P,A:A,A892)&gt;0,IF((ABS((SUMIFS(P:P,A:A,A892)/VLOOKUP("USD",'Exchange Rates'!B:C,2,0)))/S892)&gt;1,(SUMIFS(P:P,A:A,A892)-S892)/S892,(S892-SUMIFS(P:P,A:A,A892))/SUMIFS(P:P,A:A,A892)),"."),".")</f>
        <v>.</v>
      </c>
    </row>
    <row r="893" spans="1:53" ht="15.95" customHeight="1">
      <c r="A893" s="1182" t="s">
        <v>2524</v>
      </c>
      <c r="B893" s="1182" t="s">
        <v>2488</v>
      </c>
      <c r="C893" s="1181">
        <v>44770</v>
      </c>
      <c r="D893" s="1182" t="s">
        <v>389</v>
      </c>
      <c r="E893" s="1182" t="s">
        <v>443</v>
      </c>
      <c r="F893" s="1183" t="s">
        <v>2525</v>
      </c>
      <c r="G893" s="1184" t="s">
        <v>456</v>
      </c>
      <c r="H893" s="1185" t="s">
        <v>457</v>
      </c>
      <c r="I893" s="1266" t="s">
        <v>428</v>
      </c>
      <c r="J893" s="1186" t="str">
        <f>VLOOKUP($I893,'Price List, Weapons &amp; Items'!B:C,2,0)</f>
        <v>Heavy weapon</v>
      </c>
      <c r="K893" s="1186" t="str">
        <f>IF(I893=".",I893,VLOOKUP($I893,'Price List, Weapons &amp; Items'!B:D,3,0))</f>
        <v>Armored Personnel Carrier (APC)</v>
      </c>
      <c r="L893" s="1187">
        <f>VLOOKUP(I893,'Price List, Weapons &amp; Items'!B:E,4,0)</f>
        <v>0</v>
      </c>
      <c r="M893" s="1188">
        <v>10</v>
      </c>
      <c r="N893" s="1275">
        <v>10</v>
      </c>
      <c r="O893" s="1188">
        <f>VLOOKUP($I893,'Price List, Weapons &amp; Items'!B:G,6,0)</f>
        <v>300000</v>
      </c>
      <c r="P893" s="1185">
        <f t="shared" si="184"/>
        <v>3000000</v>
      </c>
      <c r="Q893" s="1185">
        <f t="shared" si="185"/>
        <v>3000000</v>
      </c>
      <c r="R893" s="1185">
        <f t="shared" si="181"/>
        <v>3000000</v>
      </c>
      <c r="S893" s="1185">
        <f>IF(AND(AD893=1,R893&lt;&gt;".")=TRUE,R893/VLOOKUP(G893,'Exchange Rates'!B:C,2,0),IF(R893=".",".",""))</f>
        <v>2760397.4972396027</v>
      </c>
      <c r="T893" s="1185">
        <f>IF(AD893=1,IF(AF893="Value is not given at all",".",IF(AF893="Value is given by the source",S893,IF(AF893="Value is calculated with prices",(IF(SUMIFS(Q:Q,A:A,A893)&gt;0,SUMIFS(Q:Q,A:A,A893),"."))/VLOOKUP("USD",'Exchange Rates'!B:C,2,0),"Error with coding"))),"")</f>
        <v>2760397.4972396027</v>
      </c>
      <c r="U893" s="1184" t="s">
        <v>365</v>
      </c>
      <c r="V893" s="974" t="s">
        <v>2526</v>
      </c>
      <c r="W893" s="974" t="s">
        <v>2527</v>
      </c>
      <c r="X893" s="1183" t="s">
        <v>364</v>
      </c>
      <c r="Y893" s="1183" t="s">
        <v>364</v>
      </c>
      <c r="Z893" s="1184">
        <v>0</v>
      </c>
      <c r="AA893" s="1194">
        <v>0</v>
      </c>
      <c r="AB893" s="991" t="s">
        <v>2520</v>
      </c>
      <c r="AC893" s="1192" t="str">
        <f>""</f>
        <v/>
      </c>
      <c r="AD893" s="985">
        <v>1</v>
      </c>
      <c r="AE893" s="985" t="s">
        <v>436</v>
      </c>
      <c r="AF893" s="985" t="s">
        <v>436</v>
      </c>
      <c r="AG893" s="985">
        <v>1</v>
      </c>
      <c r="AH893" s="985">
        <v>7</v>
      </c>
      <c r="AI893" s="985">
        <v>0</v>
      </c>
      <c r="AJ893" s="1193">
        <f>VLOOKUP($I893,'Price List, Weapons &amp; Items'!B:F,5,0)</f>
        <v>1</v>
      </c>
      <c r="AK893" s="1193">
        <f t="shared" si="186"/>
        <v>0</v>
      </c>
      <c r="AL893" s="1193">
        <f t="shared" si="187"/>
        <v>0</v>
      </c>
      <c r="AM893" s="1193">
        <f t="shared" si="188"/>
        <v>0</v>
      </c>
      <c r="AN893" s="1194" t="str">
        <f>VLOOKUP($I893,'Price List, Weapons &amp; Items'!B:L,COLUMN('Price List, Weapons &amp; Items'!$J$11)-1,0)</f>
        <v>Military media (incl. websites)</v>
      </c>
      <c r="AO893" s="1194" t="str">
        <f>IF(I893=".",".",VLOOKUP($I893,'Price List, Weapons &amp; Items'!B:J,3,0))</f>
        <v>Armored Personnel Carrier (APC)</v>
      </c>
      <c r="AP893" s="1195" t="str">
        <f t="shared" ca="1" si="182"/>
        <v>M113 armored personnel carrier</v>
      </c>
      <c r="AQ893" s="1194">
        <f>VLOOKUP($I893,'Price List, Weapons &amp; Items'!B:L,COLUMN('Price List, Weapons &amp; Items'!$L$11)-1,0)</f>
        <v>2</v>
      </c>
      <c r="AR893" s="1194">
        <f t="shared" si="189"/>
        <v>1</v>
      </c>
      <c r="AS893" s="1194">
        <f t="shared" si="190"/>
        <v>1</v>
      </c>
      <c r="AT893" s="1194">
        <f t="shared" si="191"/>
        <v>1</v>
      </c>
      <c r="AU893" s="1194" t="str">
        <f t="shared" si="192"/>
        <v>.</v>
      </c>
      <c r="AV893" s="1194" t="str">
        <f t="shared" si="183"/>
        <v>.</v>
      </c>
      <c r="AW893" s="1194" t="str">
        <f t="shared" si="193"/>
        <v>.</v>
      </c>
      <c r="AX893" s="1194">
        <f>IFERROR(VLOOKUP(B893,'Share, Heavy Weapons to Ukraine'!B:Z,COLUMN('Share, Heavy Weapons to Ukraine'!C903)-1,0),0)</f>
        <v>0</v>
      </c>
      <c r="AY893" s="1194">
        <f>VLOOKUP('Bilateral Assistance, MAIN DATA'!B893,'Country Summary (€)'!B:F,COLUMN('Country Summary (€)'!C904)-1,FALSE)</f>
        <v>1</v>
      </c>
      <c r="AZ893" s="1194" t="str">
        <f>IF(AND(AD893=1,D893="Military",H893&lt;&gt;"Not given")=TRUE,IF(SUMIFS(P:P,A:A,A893)&gt;0,ABS((SUMIFS(P:P,A:A,A893)/VLOOKUP("USD",'Exchange Rates'!B:C,2,0)))/S893,"."),".")</f>
        <v>.</v>
      </c>
      <c r="BA893" s="1196" t="str">
        <f>IF(AND(AD893=1,D893="Military",H893&lt;&gt;"Not given")=TRUE,IF(SUMIFS(P:P,A:A,A893)&gt;0,IF((ABS((SUMIFS(P:P,A:A,A893)/VLOOKUP("USD",'Exchange Rates'!B:C,2,0)))/S893)&gt;1,(SUMIFS(P:P,A:A,A893)-S893)/S893,(S893-SUMIFS(P:P,A:A,A893))/SUMIFS(P:P,A:A,A893)),"."),".")</f>
        <v>.</v>
      </c>
    </row>
    <row r="894" spans="1:53" ht="15.95" customHeight="1">
      <c r="A894" s="1182" t="s">
        <v>2524</v>
      </c>
      <c r="B894" s="1182" t="s">
        <v>2488</v>
      </c>
      <c r="C894" s="1181">
        <v>44770</v>
      </c>
      <c r="D894" s="1182" t="s">
        <v>389</v>
      </c>
      <c r="E894" s="1182" t="s">
        <v>443</v>
      </c>
      <c r="F894" s="1183" t="s">
        <v>2525</v>
      </c>
      <c r="G894" s="1184" t="s">
        <v>456</v>
      </c>
      <c r="H894" s="1185" t="s">
        <v>457</v>
      </c>
      <c r="I894" s="1266" t="s">
        <v>2528</v>
      </c>
      <c r="J894" s="1186" t="str">
        <f>VLOOKUP($I894,'Price List, Weapons &amp; Items'!B:C,2,0)</f>
        <v>Light armaments &amp; infantry</v>
      </c>
      <c r="K894" s="1186" t="str">
        <f>IF(I894=".",I894,VLOOKUP($I894,'Price List, Weapons &amp; Items'!B:D,3,0))</f>
        <v>Small Arms and Light Weapons (SALW) ammunition</v>
      </c>
      <c r="L894" s="1187">
        <f>VLOOKUP(I894,'Price List, Weapons &amp; Items'!B:E,4,0)</f>
        <v>0</v>
      </c>
      <c r="M894" s="1188" t="s">
        <v>374</v>
      </c>
      <c r="N894" s="1275" t="s">
        <v>374</v>
      </c>
      <c r="O894" s="1188" t="str">
        <f>VLOOKUP($I894,'Price List, Weapons &amp; Items'!B:G,6,0)</f>
        <v>.</v>
      </c>
      <c r="P894" s="1185" t="str">
        <f t="shared" si="184"/>
        <v>.</v>
      </c>
      <c r="Q894" s="1185" t="str">
        <f t="shared" si="185"/>
        <v>.</v>
      </c>
      <c r="R894" s="1185" t="str">
        <f t="shared" si="181"/>
        <v/>
      </c>
      <c r="S894" s="1185" t="str">
        <f>IF(AND(AD894=1,R894&lt;&gt;".")=TRUE,R894/VLOOKUP(G894,'Exchange Rates'!B:C,2,0),IF(R894=".",".",""))</f>
        <v/>
      </c>
      <c r="T894" s="1185" t="str">
        <f>IF(AD894=1,IF(AF894="Value is not given at all",".",IF(AF894="Value is given by the source",S894,IF(AF894="Value is calculated with prices",(IF(SUMIFS(Q:Q,A:A,A894)&gt;0,SUMIFS(Q:Q,A:A,A894),"."))/VLOOKUP("USD",'Exchange Rates'!B:C,2,0),"Error with coding"))),"")</f>
        <v/>
      </c>
      <c r="U894" s="1184" t="s">
        <v>365</v>
      </c>
      <c r="V894" s="974" t="s">
        <v>2526</v>
      </c>
      <c r="W894" s="974" t="s">
        <v>2527</v>
      </c>
      <c r="X894" s="1183" t="s">
        <v>364</v>
      </c>
      <c r="Y894" s="1183" t="s">
        <v>364</v>
      </c>
      <c r="Z894" s="1184">
        <v>0</v>
      </c>
      <c r="AA894" s="1194">
        <v>0</v>
      </c>
      <c r="AB894" s="991" t="s">
        <v>2520</v>
      </c>
      <c r="AC894" s="1192" t="str">
        <f>""</f>
        <v/>
      </c>
      <c r="AD894" s="985">
        <v>0</v>
      </c>
      <c r="AE894" s="985" t="s">
        <v>436</v>
      </c>
      <c r="AF894" s="985" t="s">
        <v>436</v>
      </c>
      <c r="AG894" s="985">
        <v>1</v>
      </c>
      <c r="AH894" s="985">
        <v>7</v>
      </c>
      <c r="AI894" s="985">
        <v>0</v>
      </c>
      <c r="AJ894" s="1193">
        <f>VLOOKUP($I894,'Price List, Weapons &amp; Items'!B:F,5,0)</f>
        <v>0</v>
      </c>
      <c r="AK894" s="1193">
        <f t="shared" si="186"/>
        <v>0</v>
      </c>
      <c r="AL894" s="1193">
        <f t="shared" si="187"/>
        <v>0</v>
      </c>
      <c r="AM894" s="1193">
        <f t="shared" si="188"/>
        <v>1</v>
      </c>
      <c r="AN894" s="1194" t="str">
        <f>VLOOKUP($I894,'Price List, Weapons &amp; Items'!B:L,COLUMN('Price List, Weapons &amp; Items'!$J$11)-1,0)</f>
        <v>.</v>
      </c>
      <c r="AO894" s="1194" t="str">
        <f>IF(I894=".",".",VLOOKUP($I894,'Price List, Weapons &amp; Items'!B:J,3,0))</f>
        <v>Small Arms and Light Weapons (SALW) ammunition</v>
      </c>
      <c r="AP894" s="1195" t="str">
        <f t="shared" ca="1" si="182"/>
        <v/>
      </c>
      <c r="AQ894" s="1194" t="str">
        <f>VLOOKUP($I894,'Price List, Weapons &amp; Items'!B:L,COLUMN('Price List, Weapons &amp; Items'!$L$11)-1,0)</f>
        <v>no price, 0 count</v>
      </c>
      <c r="AR894" s="1194">
        <f t="shared" si="189"/>
        <v>1</v>
      </c>
      <c r="AS894" s="1194">
        <f t="shared" si="190"/>
        <v>1</v>
      </c>
      <c r="AT894" s="1194">
        <f t="shared" si="191"/>
        <v>1</v>
      </c>
      <c r="AU894" s="1194" t="str">
        <f t="shared" si="192"/>
        <v>.</v>
      </c>
      <c r="AV894" s="1194" t="str">
        <f t="shared" si="183"/>
        <v>.</v>
      </c>
      <c r="AW894" s="1194" t="str">
        <f t="shared" si="193"/>
        <v>.</v>
      </c>
      <c r="AX894" s="1194">
        <f>IFERROR(VLOOKUP(B894,'Share, Heavy Weapons to Ukraine'!B:Z,COLUMN('Share, Heavy Weapons to Ukraine'!C904)-1,0),0)</f>
        <v>0</v>
      </c>
      <c r="AY894" s="1194">
        <f>VLOOKUP('Bilateral Assistance, MAIN DATA'!B894,'Country Summary (€)'!B:F,COLUMN('Country Summary (€)'!C905)-1,FALSE)</f>
        <v>1</v>
      </c>
      <c r="AZ894" s="1194" t="str">
        <f>IF(AND(AD894=1,D894="Military",H894&lt;&gt;"Not given")=TRUE,IF(SUMIFS(P:P,A:A,A894)&gt;0,ABS((SUMIFS(P:P,A:A,A894)/VLOOKUP("USD",'Exchange Rates'!B:C,2,0)))/S894,"."),".")</f>
        <v>.</v>
      </c>
      <c r="BA894" s="1196" t="str">
        <f>IF(AND(AD894=1,D894="Military",H894&lt;&gt;"Not given")=TRUE,IF(SUMIFS(P:P,A:A,A894)&gt;0,IF((ABS((SUMIFS(P:P,A:A,A894)/VLOOKUP("USD",'Exchange Rates'!B:C,2,0)))/S894)&gt;1,(SUMIFS(P:P,A:A,A894)-S894)/S894,(S894-SUMIFS(P:P,A:A,A894))/SUMIFS(P:P,A:A,A894)),"."),".")</f>
        <v>.</v>
      </c>
    </row>
    <row r="895" spans="1:53" ht="15.95" customHeight="1">
      <c r="A895" s="1182" t="s">
        <v>2529</v>
      </c>
      <c r="B895" s="1182" t="s">
        <v>2488</v>
      </c>
      <c r="C895" s="1181">
        <v>44811</v>
      </c>
      <c r="D895" s="1182" t="s">
        <v>389</v>
      </c>
      <c r="E895" s="1182" t="s">
        <v>443</v>
      </c>
      <c r="F895" s="1183" t="s">
        <v>2530</v>
      </c>
      <c r="G895" s="1184" t="s">
        <v>483</v>
      </c>
      <c r="H895" s="1185">
        <f>(200000000-8000000-SUM(S893,S888,S885,S884,S882,S881))/2</f>
        <v>35869801.251380198</v>
      </c>
      <c r="I895" s="1266" t="s">
        <v>2531</v>
      </c>
      <c r="J895" s="1186" t="str">
        <f>VLOOKUP($I895,'Price List, Weapons &amp; Items'!B:C,2,0)</f>
        <v>Heavy weapon</v>
      </c>
      <c r="K895" s="1186" t="str">
        <f>IF(I895=".",I895,VLOOKUP($I895,'Price List, Weapons &amp; Items'!B:D,3,0))</f>
        <v>105mm howitzer</v>
      </c>
      <c r="L895" s="1187">
        <f>VLOOKUP(I895,'Price List, Weapons &amp; Items'!B:E,4,0)</f>
        <v>0</v>
      </c>
      <c r="M895" s="1188" t="s">
        <v>374</v>
      </c>
      <c r="N895" s="1275" t="s">
        <v>374</v>
      </c>
      <c r="O895" s="1188">
        <f>VLOOKUP($I895,'Price List, Weapons &amp; Items'!B:G,6,0)</f>
        <v>291771.32972527831</v>
      </c>
      <c r="P895" s="1185" t="str">
        <f t="shared" si="184"/>
        <v>.</v>
      </c>
      <c r="Q895" s="1185" t="str">
        <f t="shared" si="185"/>
        <v>.</v>
      </c>
      <c r="R895" s="1185">
        <f t="shared" si="181"/>
        <v>35869801.251380198</v>
      </c>
      <c r="S895" s="1185">
        <f>IF(AND(AD895=1,R895&lt;&gt;".")=TRUE,R895/VLOOKUP(G895,'Exchange Rates'!B:C,2,0),IF(R895=".",".",""))</f>
        <v>35869801.251380198</v>
      </c>
      <c r="T895" s="1185">
        <f>IF(AD895=1,IF(AF895="Value is not given at all",".",IF(AF895="Value is given by the source",S895,IF(AF895="Value is calculated with prices",(IF(SUMIFS(Q:Q,A:A,A895)&gt;0,SUMIFS(Q:Q,A:A,A895),"."))/VLOOKUP("USD",'Exchange Rates'!B:C,2,0),"Error with coding"))),"")</f>
        <v>35869801.251380198</v>
      </c>
      <c r="U895" s="1184" t="s">
        <v>365</v>
      </c>
      <c r="V895" s="974" t="s">
        <v>2532</v>
      </c>
      <c r="W895" s="1029" t="s">
        <v>2533</v>
      </c>
      <c r="X895" s="1183" t="s">
        <v>364</v>
      </c>
      <c r="Y895" s="1190" t="s">
        <v>364</v>
      </c>
      <c r="Z895" s="1184">
        <v>0</v>
      </c>
      <c r="AA895" s="1194">
        <v>0</v>
      </c>
      <c r="AB895" s="1029" t="s">
        <v>2533</v>
      </c>
      <c r="AC895" s="1192" t="str">
        <f>""</f>
        <v/>
      </c>
      <c r="AD895" s="985">
        <v>1</v>
      </c>
      <c r="AE895" s="1193" t="s">
        <v>368</v>
      </c>
      <c r="AF895" s="1193" t="s">
        <v>368</v>
      </c>
      <c r="AG895" s="985">
        <v>1</v>
      </c>
      <c r="AH895" s="985">
        <v>9</v>
      </c>
      <c r="AI895" s="985">
        <v>0</v>
      </c>
      <c r="AJ895" s="1193">
        <f>VLOOKUP($I895,'Price List, Weapons &amp; Items'!B:F,5,0)</f>
        <v>0</v>
      </c>
      <c r="AK895" s="1193">
        <f t="shared" si="186"/>
        <v>0</v>
      </c>
      <c r="AL895" s="1193">
        <f t="shared" si="187"/>
        <v>0</v>
      </c>
      <c r="AM895" s="1193">
        <f t="shared" si="188"/>
        <v>0</v>
      </c>
      <c r="AN895" s="1194" t="str">
        <f>VLOOKUP($I895,'Price List, Weapons &amp; Items'!B:L,COLUMN('Price List, Weapons &amp; Items'!$J$11)-1,0)</f>
        <v>Contracts</v>
      </c>
      <c r="AO895" s="1194" t="str">
        <f>IF(I895=".",".",VLOOKUP($I895,'Price List, Weapons &amp; Items'!B:J,3,0))</f>
        <v>105mm howitzer</v>
      </c>
      <c r="AP895" s="1195" t="str">
        <f t="shared" ca="1" si="182"/>
        <v>M50 105mm howitzer</v>
      </c>
      <c r="AQ895" s="1194" t="str">
        <f>VLOOKUP($I895,'Price List, Weapons &amp; Items'!B:L,COLUMN('Price List, Weapons &amp; Items'!$L$11)-1,0)</f>
        <v>no price, 0 count</v>
      </c>
      <c r="AR895" s="1194">
        <f t="shared" si="189"/>
        <v>1</v>
      </c>
      <c r="AS895" s="1194">
        <f t="shared" si="190"/>
        <v>1</v>
      </c>
      <c r="AT895" s="1194">
        <f t="shared" si="191"/>
        <v>1</v>
      </c>
      <c r="AU895" s="1194" t="str">
        <f t="shared" si="192"/>
        <v>.</v>
      </c>
      <c r="AV895" s="1194" t="str">
        <f t="shared" si="183"/>
        <v>.</v>
      </c>
      <c r="AW895" s="1194" t="str">
        <f t="shared" si="193"/>
        <v>.</v>
      </c>
      <c r="AX895" s="1194">
        <f>IFERROR(VLOOKUP(B895,'Share, Heavy Weapons to Ukraine'!B:Z,COLUMN('Share, Heavy Weapons to Ukraine'!C905)-1,0),0)</f>
        <v>0</v>
      </c>
      <c r="AY895" s="1194">
        <f>VLOOKUP('Bilateral Assistance, MAIN DATA'!B895,'Country Summary (€)'!B:F,COLUMN('Country Summary (€)'!C906)-1,FALSE)</f>
        <v>1</v>
      </c>
      <c r="AZ895" s="1194" t="str">
        <f>IF(AND(AD895=1,D895="Military",H895&lt;&gt;"Not given")=TRUE,IF(SUMIFS(P:P,A:A,A895)&gt;0,ABS((SUMIFS(P:P,A:A,A895)/VLOOKUP("USD",'Exchange Rates'!B:C,2,0)))/S895,"."),".")</f>
        <v>.</v>
      </c>
      <c r="BA895" s="1196" t="str">
        <f>IF(AND(AD895=1,D895="Military",H895&lt;&gt;"Not given")=TRUE,IF(SUMIFS(P:P,A:A,A895)&gt;0,IF((ABS((SUMIFS(P:P,A:A,A895)/VLOOKUP("USD",'Exchange Rates'!B:C,2,0)))/S895)&gt;1,(SUMIFS(P:P,A:A,A895)-S895)/S895,(S895-SUMIFS(P:P,A:A,A895))/SUMIFS(P:P,A:A,A895)),"."),".")</f>
        <v>.</v>
      </c>
    </row>
    <row r="896" spans="1:53" ht="15.95" customHeight="1">
      <c r="A896" s="1182" t="s">
        <v>2529</v>
      </c>
      <c r="B896" s="1182" t="s">
        <v>2488</v>
      </c>
      <c r="C896" s="1181">
        <v>44811</v>
      </c>
      <c r="D896" s="1182" t="s">
        <v>389</v>
      </c>
      <c r="E896" s="1182" t="s">
        <v>443</v>
      </c>
      <c r="F896" s="1183" t="s">
        <v>2530</v>
      </c>
      <c r="G896" s="1184" t="s">
        <v>483</v>
      </c>
      <c r="H896" s="1185">
        <f>(200000000-8000000-SUM(S893,S888,S885,S884,S882,S881))/2</f>
        <v>35869801.251380198</v>
      </c>
      <c r="I896" s="1266" t="s">
        <v>2534</v>
      </c>
      <c r="J896" s="1186" t="str">
        <f>VLOOKUP($I896,'Price List, Weapons &amp; Items'!B:C,2,0)</f>
        <v>Heavy weapon</v>
      </c>
      <c r="K896" s="1186" t="str">
        <f>IF(I896=".",I896,VLOOKUP($I896,'Price List, Weapons &amp; Items'!B:D,3,0))</f>
        <v>105mm howitzer</v>
      </c>
      <c r="L896" s="1187">
        <f>VLOOKUP(I896,'Price List, Weapons &amp; Items'!B:E,4,0)</f>
        <v>0</v>
      </c>
      <c r="M896" s="1188" t="s">
        <v>374</v>
      </c>
      <c r="N896" s="1275" t="s">
        <v>374</v>
      </c>
      <c r="O896" s="1188">
        <f>VLOOKUP($I896,'Price List, Weapons &amp; Items'!B:G,6,0)</f>
        <v>291771.32972527831</v>
      </c>
      <c r="P896" s="1185" t="str">
        <f t="shared" si="184"/>
        <v>.</v>
      </c>
      <c r="Q896" s="1185" t="str">
        <f t="shared" si="185"/>
        <v>.</v>
      </c>
      <c r="R896" s="1185" t="str">
        <f t="shared" si="181"/>
        <v/>
      </c>
      <c r="S896" s="1185" t="str">
        <f>IF(AND(AD896=1,R896&lt;&gt;".")=TRUE,R896/VLOOKUP(G896,'Exchange Rates'!B:C,2,0),IF(R896=".",".",""))</f>
        <v/>
      </c>
      <c r="T896" s="1185" t="str">
        <f>IF(AD896=1,IF(AF896="Value is not given at all",".",IF(AF896="Value is given by the source",S896,IF(AF896="Value is calculated with prices",(IF(SUMIFS(Q:Q,A:A,A896)&gt;0,SUMIFS(Q:Q,A:A,A896),"."))/VLOOKUP("USD",'Exchange Rates'!B:C,2,0),"Error with coding"))),"")</f>
        <v/>
      </c>
      <c r="U896" s="1184" t="s">
        <v>365</v>
      </c>
      <c r="V896" s="974" t="s">
        <v>2535</v>
      </c>
      <c r="W896" s="1029" t="s">
        <v>2536</v>
      </c>
      <c r="X896" s="1183" t="s">
        <v>364</v>
      </c>
      <c r="Y896" s="1190" t="s">
        <v>364</v>
      </c>
      <c r="Z896" s="1184">
        <v>0</v>
      </c>
      <c r="AA896" s="1194">
        <v>0</v>
      </c>
      <c r="AB896" s="1029" t="s">
        <v>2533</v>
      </c>
      <c r="AC896" s="1192" t="str">
        <f>""</f>
        <v/>
      </c>
      <c r="AD896" s="985">
        <v>0</v>
      </c>
      <c r="AE896" s="1193" t="s">
        <v>368</v>
      </c>
      <c r="AF896" s="1193" t="s">
        <v>368</v>
      </c>
      <c r="AG896" s="985">
        <v>1</v>
      </c>
      <c r="AH896" s="985">
        <v>9</v>
      </c>
      <c r="AI896" s="985">
        <v>0</v>
      </c>
      <c r="AJ896" s="1193">
        <f>VLOOKUP($I896,'Price List, Weapons &amp; Items'!B:F,5,0)</f>
        <v>0</v>
      </c>
      <c r="AK896" s="1193">
        <f t="shared" si="186"/>
        <v>0</v>
      </c>
      <c r="AL896" s="1193">
        <f t="shared" si="187"/>
        <v>0</v>
      </c>
      <c r="AM896" s="1193">
        <f t="shared" si="188"/>
        <v>0</v>
      </c>
      <c r="AN896" s="1194" t="str">
        <f>VLOOKUP($I896,'Price List, Weapons &amp; Items'!B:L,COLUMN('Price List, Weapons &amp; Items'!$J$11)-1,0)</f>
        <v>Contracts</v>
      </c>
      <c r="AO896" s="1194" t="str">
        <f>IF(I896=".",".",VLOOKUP($I896,'Price List, Weapons &amp; Items'!B:J,3,0))</f>
        <v>105mm howitzer</v>
      </c>
      <c r="AP896" s="1195" t="str">
        <f t="shared" ca="1" si="182"/>
        <v/>
      </c>
      <c r="AQ896" s="1194" t="str">
        <f>VLOOKUP($I896,'Price List, Weapons &amp; Items'!B:L,COLUMN('Price List, Weapons &amp; Items'!$L$11)-1,0)</f>
        <v>no price, 0 count</v>
      </c>
      <c r="AR896" s="1194">
        <f t="shared" si="189"/>
        <v>1</v>
      </c>
      <c r="AS896" s="1194">
        <f t="shared" si="190"/>
        <v>1</v>
      </c>
      <c r="AT896" s="1194">
        <f t="shared" si="191"/>
        <v>1</v>
      </c>
      <c r="AU896" s="1194" t="str">
        <f t="shared" si="192"/>
        <v>.</v>
      </c>
      <c r="AV896" s="1194" t="str">
        <f t="shared" si="183"/>
        <v>.</v>
      </c>
      <c r="AW896" s="1194" t="str">
        <f t="shared" si="193"/>
        <v>.</v>
      </c>
      <c r="AX896" s="1194">
        <f>IFERROR(VLOOKUP(B896,'Share, Heavy Weapons to Ukraine'!B:Z,COLUMN('Share, Heavy Weapons to Ukraine'!C906)-1,0),0)</f>
        <v>0</v>
      </c>
      <c r="AY896" s="1194">
        <f>VLOOKUP('Bilateral Assistance, MAIN DATA'!B896,'Country Summary (€)'!B:F,COLUMN('Country Summary (€)'!C907)-1,FALSE)</f>
        <v>1</v>
      </c>
      <c r="AZ896" s="1194" t="str">
        <f>IF(AND(AD896=1,D896="Military",H896&lt;&gt;"Not given")=TRUE,IF(SUMIFS(P:P,A:A,A896)&gt;0,ABS((SUMIFS(P:P,A:A,A896)/VLOOKUP("USD",'Exchange Rates'!B:C,2,0)))/S896,"."),".")</f>
        <v>.</v>
      </c>
      <c r="BA896" s="1196" t="str">
        <f>IF(AND(AD896=1,D896="Military",H896&lt;&gt;"Not given")=TRUE,IF(SUMIFS(P:P,A:A,A896)&gt;0,IF((ABS((SUMIFS(P:P,A:A,A896)/VLOOKUP("USD",'Exchange Rates'!B:C,2,0)))/S896)&gt;1,(SUMIFS(P:P,A:A,A896)-S896)/S896,(S896-SUMIFS(P:P,A:A,A896))/SUMIFS(P:P,A:A,A896)),"."),".")</f>
        <v>.</v>
      </c>
    </row>
    <row r="897" spans="1:53" ht="15.95" customHeight="1">
      <c r="A897" s="1182" t="s">
        <v>2537</v>
      </c>
      <c r="B897" s="1182" t="s">
        <v>2488</v>
      </c>
      <c r="C897" s="1181">
        <v>44845</v>
      </c>
      <c r="D897" s="1182" t="s">
        <v>389</v>
      </c>
      <c r="E897" s="1182" t="s">
        <v>361</v>
      </c>
      <c r="F897" s="1183" t="s">
        <v>2538</v>
      </c>
      <c r="G897" s="1184" t="s">
        <v>456</v>
      </c>
      <c r="H897" s="1185" t="s">
        <v>457</v>
      </c>
      <c r="I897" s="1266" t="s">
        <v>364</v>
      </c>
      <c r="J897" s="1186" t="str">
        <f>VLOOKUP($I897,'Price List, Weapons &amp; Items'!B:C,2,0)</f>
        <v>.</v>
      </c>
      <c r="K897" s="1186" t="str">
        <f>IF(I897=".",I897,VLOOKUP($I897,'Price List, Weapons &amp; Items'!B:D,3,0))</f>
        <v>.</v>
      </c>
      <c r="L897" s="1187">
        <f>VLOOKUP(I897,'Price List, Weapons &amp; Items'!B:E,4,0)</f>
        <v>0</v>
      </c>
      <c r="M897" s="1188" t="s">
        <v>364</v>
      </c>
      <c r="N897" s="1275" t="s">
        <v>364</v>
      </c>
      <c r="O897" s="1188" t="str">
        <f>VLOOKUP($I897,'Price List, Weapons &amp; Items'!B:G,6,0)</f>
        <v>.</v>
      </c>
      <c r="P897" s="1185" t="str">
        <f t="shared" si="184"/>
        <v>.</v>
      </c>
      <c r="Q897" s="1185" t="str">
        <f t="shared" si="185"/>
        <v>.</v>
      </c>
      <c r="R897" s="1185" t="str">
        <f t="shared" si="181"/>
        <v>.</v>
      </c>
      <c r="S897" s="1185" t="str">
        <f>IF(AND(AD897=1,R897&lt;&gt;".")=TRUE,R897/VLOOKUP(G897,'Exchange Rates'!B:C,2,0),IF(R897=".",".",""))</f>
        <v>.</v>
      </c>
      <c r="T897" s="1185" t="str">
        <f>IF(AD897=1,IF(AF897="Value is not given at all",".",IF(AF897="Value is given by the source",S897,IF(AF897="Value is calculated with prices",(IF(SUMIFS(Q:Q,A:A,A897)&gt;0,SUMIFS(Q:Q,A:A,A897),"."))/VLOOKUP("USD",'Exchange Rates'!B:C,2,0),"Error with coding"))),"")</f>
        <v>.</v>
      </c>
      <c r="U897" s="1184" t="s">
        <v>365</v>
      </c>
      <c r="V897" s="974" t="s">
        <v>2539</v>
      </c>
      <c r="W897" s="1034" t="s">
        <v>364</v>
      </c>
      <c r="X897" s="1034" t="s">
        <v>364</v>
      </c>
      <c r="Y897" s="1183" t="s">
        <v>364</v>
      </c>
      <c r="Z897" s="1184">
        <v>0</v>
      </c>
      <c r="AA897" s="1194">
        <v>0</v>
      </c>
      <c r="AB897" s="1201" t="s">
        <v>364</v>
      </c>
      <c r="AC897" s="1192" t="str">
        <f>""</f>
        <v/>
      </c>
      <c r="AD897" s="985">
        <v>1</v>
      </c>
      <c r="AE897" s="1193" t="s">
        <v>369</v>
      </c>
      <c r="AF897" s="1193" t="s">
        <v>369</v>
      </c>
      <c r="AG897" s="985">
        <v>1</v>
      </c>
      <c r="AH897" s="985">
        <v>10</v>
      </c>
      <c r="AI897" s="985">
        <v>0</v>
      </c>
      <c r="AJ897" s="1193">
        <f>VLOOKUP($I897,'Price List, Weapons &amp; Items'!B:F,5,0)</f>
        <v>0</v>
      </c>
      <c r="AK897" s="1193">
        <f t="shared" si="186"/>
        <v>0</v>
      </c>
      <c r="AL897" s="1193">
        <f t="shared" si="187"/>
        <v>0</v>
      </c>
      <c r="AM897" s="1193">
        <f t="shared" si="188"/>
        <v>0</v>
      </c>
      <c r="AN897" s="1194" t="str">
        <f>VLOOKUP($I897,'Price List, Weapons &amp; Items'!B:L,COLUMN('Price List, Weapons &amp; Items'!$J$11)-1,0)</f>
        <v>.</v>
      </c>
      <c r="AO897" s="1194" t="str">
        <f>IF(I897=".",".",VLOOKUP($I897,'Price List, Weapons &amp; Items'!B:J,3,0))</f>
        <v>.</v>
      </c>
      <c r="AP897" s="1195" t="str">
        <f t="shared" ca="1" si="182"/>
        <v>.</v>
      </c>
      <c r="AQ897" s="1194">
        <f>VLOOKUP($I897,'Price List, Weapons &amp; Items'!B:L,COLUMN('Price List, Weapons &amp; Items'!$L$11)-1,0)</f>
        <v>0</v>
      </c>
      <c r="AR897" s="1194">
        <f t="shared" si="189"/>
        <v>1</v>
      </c>
      <c r="AS897" s="1194">
        <f t="shared" si="190"/>
        <v>0</v>
      </c>
      <c r="AT897" s="1194">
        <f t="shared" si="191"/>
        <v>1</v>
      </c>
      <c r="AU897" s="1194" t="str">
        <f t="shared" si="192"/>
        <v>.</v>
      </c>
      <c r="AV897" s="1194" t="str">
        <f t="shared" si="183"/>
        <v>.</v>
      </c>
      <c r="AW897" s="1194" t="str">
        <f t="shared" si="193"/>
        <v>.</v>
      </c>
      <c r="AX897" s="1194">
        <f>IFERROR(VLOOKUP(B897,'Share, Heavy Weapons to Ukraine'!B:Z,COLUMN('Share, Heavy Weapons to Ukraine'!C907)-1,0),0)</f>
        <v>0</v>
      </c>
      <c r="AY897" s="1194">
        <f>VLOOKUP('Bilateral Assistance, MAIN DATA'!B897,'Country Summary (€)'!B:F,COLUMN('Country Summary (€)'!C908)-1,FALSE)</f>
        <v>1</v>
      </c>
      <c r="AZ897" s="1194" t="str">
        <f>IF(AND(AD897=1,D897="Military",H897&lt;&gt;"Not given")=TRUE,IF(SUMIFS(P:P,A:A,A897)&gt;0,ABS((SUMIFS(P:P,A:A,A897)/VLOOKUP("USD",'Exchange Rates'!B:C,2,0)))/S897,"."),".")</f>
        <v>.</v>
      </c>
      <c r="BA897" s="1196" t="str">
        <f>IF(AND(AD897=1,D897="Military",H897&lt;&gt;"Not given")=TRUE,IF(SUMIFS(P:P,A:A,A897)&gt;0,IF((ABS((SUMIFS(P:P,A:A,A897)/VLOOKUP("USD",'Exchange Rates'!B:C,2,0)))/S897)&gt;1,(SUMIFS(P:P,A:A,A897)-S897)/S897,(S897-SUMIFS(P:P,A:A,A897))/SUMIFS(P:P,A:A,A897)),"."),".")</f>
        <v>.</v>
      </c>
    </row>
    <row r="898" spans="1:53" ht="15.95" customHeight="1">
      <c r="A898" s="1182" t="s">
        <v>2540</v>
      </c>
      <c r="B898" s="1182" t="s">
        <v>2488</v>
      </c>
      <c r="C898" s="1181">
        <v>44845</v>
      </c>
      <c r="D898" s="1182" t="s">
        <v>389</v>
      </c>
      <c r="E898" s="1182" t="s">
        <v>390</v>
      </c>
      <c r="F898" s="1183" t="s">
        <v>2541</v>
      </c>
      <c r="G898" s="1184" t="s">
        <v>456</v>
      </c>
      <c r="H898" s="1185" t="s">
        <v>457</v>
      </c>
      <c r="I898" s="1266" t="s">
        <v>2542</v>
      </c>
      <c r="J898" s="1186" t="str">
        <f>VLOOKUP($I898,'Price List, Weapons &amp; Items'!B:C,2,0)</f>
        <v>Humanitarian</v>
      </c>
      <c r="K898" s="1186" t="str">
        <f>IF(I898=".",I898,VLOOKUP($I898,'Price List, Weapons &amp; Items'!B:D,3,0))</f>
        <v>Humanitarian</v>
      </c>
      <c r="L898" s="1187">
        <f>VLOOKUP(I898,'Price List, Weapons &amp; Items'!B:E,4,0)</f>
        <v>0</v>
      </c>
      <c r="M898" s="1188">
        <v>35000</v>
      </c>
      <c r="N898" s="1275">
        <v>35000</v>
      </c>
      <c r="O898" s="1188">
        <f>VLOOKUP($I898,'Price List, Weapons &amp; Items'!B:G,6,0)</f>
        <v>89.399999999999991</v>
      </c>
      <c r="P898" s="1185">
        <f t="shared" si="184"/>
        <v>3128999.9999999995</v>
      </c>
      <c r="Q898" s="1185">
        <f t="shared" si="185"/>
        <v>3128999.9999999995</v>
      </c>
      <c r="R898" s="1185">
        <f t="shared" ref="R898:R961" si="194">IF(AD898=1,IF(H898&lt;&gt;"Not given",H898,IF(TYPE(H898)=2,IF(SUMIFS(P:P,A:A,A898)&gt;0,SUMIFS(P:P,A:A,A898),"."),"Format error")),"")</f>
        <v>11034000</v>
      </c>
      <c r="S898" s="1185">
        <f>IF(AND(AD898=1,R898&lt;&gt;".")=TRUE,R898/VLOOKUP(G898,'Exchange Rates'!B:C,2,0),IF(R898=".",".",""))</f>
        <v>10152741.994847259</v>
      </c>
      <c r="T898" s="1185">
        <f>IF(AD898=1,IF(AF898="Value is not given at all",".",IF(AF898="Value is given by the source",S898,IF(AF898="Value is calculated with prices",(IF(SUMIFS(Q:Q,A:A,A898)&gt;0,SUMIFS(Q:Q,A:A,A898),"."))/VLOOKUP("USD",'Exchange Rates'!B:C,2,0),"Error with coding"))),"")</f>
        <v>10152741.994847259</v>
      </c>
      <c r="U898" s="1184" t="s">
        <v>365</v>
      </c>
      <c r="V898" s="974" t="s">
        <v>2543</v>
      </c>
      <c r="W898" s="1029" t="s">
        <v>2544</v>
      </c>
      <c r="X898" s="1029" t="s">
        <v>2545</v>
      </c>
      <c r="Y898" s="1029" t="s">
        <v>2546</v>
      </c>
      <c r="Z898" s="1184">
        <v>0</v>
      </c>
      <c r="AA898" s="1194">
        <v>0</v>
      </c>
      <c r="AB898" s="1201" t="s">
        <v>364</v>
      </c>
      <c r="AC898" s="1192" t="str">
        <f>""</f>
        <v/>
      </c>
      <c r="AD898" s="985">
        <v>1</v>
      </c>
      <c r="AE898" s="985" t="s">
        <v>436</v>
      </c>
      <c r="AF898" s="985" t="s">
        <v>436</v>
      </c>
      <c r="AG898" s="985">
        <v>1</v>
      </c>
      <c r="AH898" s="985">
        <v>10</v>
      </c>
      <c r="AI898" s="985">
        <v>0</v>
      </c>
      <c r="AJ898" s="1193">
        <f>VLOOKUP($I898,'Price List, Weapons &amp; Items'!B:F,5,0)</f>
        <v>0</v>
      </c>
      <c r="AK898" s="1193">
        <f t="shared" si="186"/>
        <v>0</v>
      </c>
      <c r="AL898" s="1193">
        <f t="shared" si="187"/>
        <v>0</v>
      </c>
      <c r="AM898" s="1193">
        <f t="shared" si="188"/>
        <v>0</v>
      </c>
      <c r="AN898" s="1194" t="str">
        <f>VLOOKUP($I898,'Price List, Weapons &amp; Items'!B:L,COLUMN('Price List, Weapons &amp; Items'!$J$11)-1,0)</f>
        <v>Government information</v>
      </c>
      <c r="AO898" s="1194" t="str">
        <f>IF(I898=".",".",VLOOKUP($I898,'Price List, Weapons &amp; Items'!B:J,3,0))</f>
        <v>Humanitarian</v>
      </c>
      <c r="AP898" s="1195" t="str">
        <f t="shared" ref="AP898:AP961" ca="1" si="195">IF(AD898=1,(OFFSET(I898,0,0,COUNTIF(A:A,A898),1)),"")</f>
        <v>winter clothing (Lithuania)</v>
      </c>
      <c r="AQ898" s="1194">
        <f>VLOOKUP($I898,'Price List, Weapons &amp; Items'!B:L,COLUMN('Price List, Weapons &amp; Items'!$L$11)-1,0)</f>
        <v>0</v>
      </c>
      <c r="AR898" s="1194">
        <f t="shared" si="189"/>
        <v>1</v>
      </c>
      <c r="AS898" s="1194">
        <f t="shared" si="190"/>
        <v>1</v>
      </c>
      <c r="AT898" s="1194">
        <f t="shared" si="191"/>
        <v>1</v>
      </c>
      <c r="AU898" s="1194" t="str">
        <f t="shared" si="192"/>
        <v>.</v>
      </c>
      <c r="AV898" s="1194" t="str">
        <f t="shared" ref="AV898:AV961" si="196">IF(AND(_xlfn.ISFORMULA(R898),_xlfn.ISFORMULA(S898),_xlfn.ISFORMULA(T898))=TRUE,".",1)</f>
        <v>.</v>
      </c>
      <c r="AW898" s="1194" t="str">
        <f t="shared" si="193"/>
        <v>.</v>
      </c>
      <c r="AX898" s="1194">
        <f>IFERROR(VLOOKUP(B898,'Share, Heavy Weapons to Ukraine'!B:Z,COLUMN('Share, Heavy Weapons to Ukraine'!C908)-1,0),0)</f>
        <v>0</v>
      </c>
      <c r="AY898" s="1194">
        <f>VLOOKUP('Bilateral Assistance, MAIN DATA'!B898,'Country Summary (€)'!B:F,COLUMN('Country Summary (€)'!C909)-1,FALSE)</f>
        <v>1</v>
      </c>
      <c r="AZ898" s="1194" t="str">
        <f>IF(AND(AD898=1,D898="Military",H898&lt;&gt;"Not given")=TRUE,IF(SUMIFS(P:P,A:A,A898)&gt;0,ABS((SUMIFS(P:P,A:A,A898)/VLOOKUP("USD",'Exchange Rates'!B:C,2,0)))/S898,"."),".")</f>
        <v>.</v>
      </c>
      <c r="BA898" s="1196" t="str">
        <f>IF(AND(AD898=1,D898="Military",H898&lt;&gt;"Not given")=TRUE,IF(SUMIFS(P:P,A:A,A898)&gt;0,IF((ABS((SUMIFS(P:P,A:A,A898)/VLOOKUP("USD",'Exchange Rates'!B:C,2,0)))/S898)&gt;1,(SUMIFS(P:P,A:A,A898)-S898)/S898,(S898-SUMIFS(P:P,A:A,A898))/SUMIFS(P:P,A:A,A898)),"."),".")</f>
        <v>.</v>
      </c>
    </row>
    <row r="899" spans="1:53" ht="15.95" customHeight="1">
      <c r="A899" s="1182" t="s">
        <v>2540</v>
      </c>
      <c r="B899" s="1182" t="s">
        <v>2488</v>
      </c>
      <c r="C899" s="1181">
        <v>44846</v>
      </c>
      <c r="D899" s="1182" t="s">
        <v>389</v>
      </c>
      <c r="E899" s="1182" t="s">
        <v>390</v>
      </c>
      <c r="F899" s="1183" t="s">
        <v>2541</v>
      </c>
      <c r="G899" s="1184" t="s">
        <v>456</v>
      </c>
      <c r="H899" s="1185" t="s">
        <v>457</v>
      </c>
      <c r="I899" s="1266" t="s">
        <v>428</v>
      </c>
      <c r="J899" s="1186" t="str">
        <f>VLOOKUP($I899,'Price List, Weapons &amp; Items'!B:C,2,0)</f>
        <v>Heavy weapon</v>
      </c>
      <c r="K899" s="1186" t="str">
        <f>IF(I899=".",I899,VLOOKUP($I899,'Price List, Weapons &amp; Items'!B:D,3,0))</f>
        <v>Armored Personnel Carrier (APC)</v>
      </c>
      <c r="L899" s="1187">
        <f>VLOOKUP(I899,'Price List, Weapons &amp; Items'!B:E,4,0)</f>
        <v>0</v>
      </c>
      <c r="M899" s="1188">
        <v>12</v>
      </c>
      <c r="N899" s="1275">
        <v>12</v>
      </c>
      <c r="O899" s="1188">
        <f>VLOOKUP($I899,'Price List, Weapons &amp; Items'!B:G,6,0)</f>
        <v>300000</v>
      </c>
      <c r="P899" s="1185">
        <f t="shared" ref="P899:P962" si="197">IF(TYPE(M899)=1,IF(TYPE(O899)=1,M899*O899,"No price"),".")</f>
        <v>3600000</v>
      </c>
      <c r="Q899" s="1185">
        <f t="shared" ref="Q899:Q962" si="198">IF(TYPE(N899)=1,IF(TYPE(O899)=1,N899*O899,"No price"),".")</f>
        <v>3600000</v>
      </c>
      <c r="R899" s="1185" t="str">
        <f t="shared" si="194"/>
        <v/>
      </c>
      <c r="S899" s="1185" t="str">
        <f>IF(AND(AD899=1,R899&lt;&gt;".")=TRUE,R899/VLOOKUP(G899,'Exchange Rates'!B:C,2,0),IF(R899=".",".",""))</f>
        <v/>
      </c>
      <c r="T899" s="1185" t="str">
        <f>IF(AD899=1,IF(AF899="Value is not given at all",".",IF(AF899="Value is given by the source",S899,IF(AF899="Value is calculated with prices",(IF(SUMIFS(Q:Q,A:A,A899)&gt;0,SUMIFS(Q:Q,A:A,A899),"."))/VLOOKUP("USD",'Exchange Rates'!B:C,2,0),"Error with coding"))),"")</f>
        <v/>
      </c>
      <c r="U899" s="1184" t="s">
        <v>365</v>
      </c>
      <c r="V899" s="974" t="s">
        <v>2543</v>
      </c>
      <c r="W899" s="1029" t="s">
        <v>2544</v>
      </c>
      <c r="X899" s="1029" t="s">
        <v>2545</v>
      </c>
      <c r="Y899" s="1183" t="s">
        <v>364</v>
      </c>
      <c r="Z899" s="1184">
        <v>0</v>
      </c>
      <c r="AA899" s="1194">
        <v>0</v>
      </c>
      <c r="AB899" s="1016" t="s">
        <v>2545</v>
      </c>
      <c r="AC899" s="1192" t="str">
        <f>""</f>
        <v/>
      </c>
      <c r="AD899" s="985">
        <v>0</v>
      </c>
      <c r="AE899" s="985" t="s">
        <v>436</v>
      </c>
      <c r="AF899" s="985" t="s">
        <v>436</v>
      </c>
      <c r="AG899" s="985">
        <v>1</v>
      </c>
      <c r="AH899" s="985">
        <v>10</v>
      </c>
      <c r="AI899" s="985">
        <v>0</v>
      </c>
      <c r="AJ899" s="1193">
        <f>VLOOKUP($I899,'Price List, Weapons &amp; Items'!B:F,5,0)</f>
        <v>1</v>
      </c>
      <c r="AK899" s="1193">
        <f t="shared" ref="AK899:AK962" si="199">IF(AND(AJ899=1,M899="undisclosed")=TRUE,1,0)</f>
        <v>0</v>
      </c>
      <c r="AL899" s="1193">
        <f t="shared" ref="AL899:AL962" si="200">IF(AND(AJ899=1,N899="undisclosed")=TRUE,1,0)</f>
        <v>0</v>
      </c>
      <c r="AM899" s="1193">
        <f t="shared" ref="AM899:AM962" si="201">IFERROR(IF(SEARCH("ammuni",I899,1)&gt;0,1,0),0)</f>
        <v>0</v>
      </c>
      <c r="AN899" s="1194" t="str">
        <f>VLOOKUP($I899,'Price List, Weapons &amp; Items'!B:L,COLUMN('Price List, Weapons &amp; Items'!$J$11)-1,0)</f>
        <v>Military media (incl. websites)</v>
      </c>
      <c r="AO899" s="1194" t="str">
        <f>IF(I899=".",".",VLOOKUP($I899,'Price List, Weapons &amp; Items'!B:J,3,0))</f>
        <v>Armored Personnel Carrier (APC)</v>
      </c>
      <c r="AP899" s="1195" t="str">
        <f t="shared" ca="1" si="195"/>
        <v/>
      </c>
      <c r="AQ899" s="1194">
        <f>VLOOKUP($I899,'Price List, Weapons &amp; Items'!B:L,COLUMN('Price List, Weapons &amp; Items'!$L$11)-1,0)</f>
        <v>2</v>
      </c>
      <c r="AR899" s="1194">
        <f t="shared" ref="AR899:AR962" si="202">IF(U899="Yes",1,0)</f>
        <v>1</v>
      </c>
      <c r="AS899" s="1194">
        <f t="shared" ref="AS899:AS962" si="203">IF(D899="Military",IF(OR(IFERROR(SEARCH("equipment",E899,1),0)&gt;0,IFERROR(SEARCH("weapons",E899,1),0)&gt;0),1,0),0)</f>
        <v>1</v>
      </c>
      <c r="AT899" s="1194">
        <f t="shared" ref="AT899:AT962" si="204">IFERROR(IF(VALUE(TEXT(C899,"mm"))=IF(AH899&gt;12,AH899-12,AH899),".",IF(TEXT(C899,"mm")="01",".",1)),"Value is not in date format")</f>
        <v>1</v>
      </c>
      <c r="AU899" s="1194" t="str">
        <f t="shared" ref="AU899:AU962" si="205">IF(AND(A899=A898,C899=C898)=TRUE,IF(F899=F898,".","1"),".")</f>
        <v>.</v>
      </c>
      <c r="AV899" s="1194" t="str">
        <f t="shared" si="196"/>
        <v>.</v>
      </c>
      <c r="AW899" s="1194" t="str">
        <f t="shared" ref="AW899:AW962" si="206">IF(T899&lt;&gt;".",IF(T899&gt;S899,1,"."),".")</f>
        <v>.</v>
      </c>
      <c r="AX899" s="1194">
        <f>IFERROR(VLOOKUP(B899,'Share, Heavy Weapons to Ukraine'!B:Z,COLUMN('Share, Heavy Weapons to Ukraine'!C909)-1,0),0)</f>
        <v>0</v>
      </c>
      <c r="AY899" s="1194">
        <f>VLOOKUP('Bilateral Assistance, MAIN DATA'!B899,'Country Summary (€)'!B:F,COLUMN('Country Summary (€)'!C910)-1,FALSE)</f>
        <v>1</v>
      </c>
      <c r="AZ899" s="1194" t="str">
        <f>IF(AND(AD899=1,D899="Military",H899&lt;&gt;"Not given")=TRUE,IF(SUMIFS(P:P,A:A,A899)&gt;0,ABS((SUMIFS(P:P,A:A,A899)/VLOOKUP("USD",'Exchange Rates'!B:C,2,0)))/S899,"."),".")</f>
        <v>.</v>
      </c>
      <c r="BA899" s="1196" t="str">
        <f>IF(AND(AD899=1,D899="Military",H899&lt;&gt;"Not given")=TRUE,IF(SUMIFS(P:P,A:A,A899)&gt;0,IF((ABS((SUMIFS(P:P,A:A,A899)/VLOOKUP("USD",'Exchange Rates'!B:C,2,0)))/S899)&gt;1,(SUMIFS(P:P,A:A,A899)-S899)/S899,(S899-SUMIFS(P:P,A:A,A899))/SUMIFS(P:P,A:A,A899)),"."),".")</f>
        <v>.</v>
      </c>
    </row>
    <row r="900" spans="1:53" ht="15.95" customHeight="1">
      <c r="A900" s="1182" t="s">
        <v>2540</v>
      </c>
      <c r="B900" s="1182" t="s">
        <v>2488</v>
      </c>
      <c r="C900" s="1181">
        <v>44846</v>
      </c>
      <c r="D900" s="1182" t="s">
        <v>389</v>
      </c>
      <c r="E900" s="1182" t="s">
        <v>390</v>
      </c>
      <c r="F900" s="1183" t="s">
        <v>2541</v>
      </c>
      <c r="G900" s="1184" t="s">
        <v>456</v>
      </c>
      <c r="H900" s="1185" t="s">
        <v>457</v>
      </c>
      <c r="I900" s="1190" t="s">
        <v>626</v>
      </c>
      <c r="J900" s="1186" t="str">
        <f>VLOOKUP($I900,'Price List, Weapons &amp; Items'!B:C,2,0)</f>
        <v>Heavy weapon</v>
      </c>
      <c r="K900" s="1186" t="str">
        <f>IF(I900=".",I900,VLOOKUP($I900,'Price List, Weapons &amp; Items'!B:D,3,0))</f>
        <v>Mortar</v>
      </c>
      <c r="L900" s="1187">
        <f>VLOOKUP(I900,'Price List, Weapons &amp; Items'!B:E,4,0)</f>
        <v>0</v>
      </c>
      <c r="M900" s="1188">
        <v>10</v>
      </c>
      <c r="N900" s="1275">
        <v>10</v>
      </c>
      <c r="O900" s="1188">
        <f>VLOOKUP($I900,'Price List, Weapons &amp; Items'!B:G,6,0)</f>
        <v>388500</v>
      </c>
      <c r="P900" s="1185">
        <f t="shared" si="197"/>
        <v>3885000</v>
      </c>
      <c r="Q900" s="1185">
        <f t="shared" si="198"/>
        <v>3885000</v>
      </c>
      <c r="R900" s="1185" t="str">
        <f t="shared" si="194"/>
        <v/>
      </c>
      <c r="S900" s="1185" t="str">
        <f>IF(AND(AD900=1,R900&lt;&gt;".")=TRUE,R900/VLOOKUP(G900,'Exchange Rates'!B:C,2,0),IF(R900=".",".",""))</f>
        <v/>
      </c>
      <c r="T900" s="1185" t="str">
        <f>IF(AD900=1,IF(AF900="Value is not given at all",".",IF(AF900="Value is given by the source",S900,IF(AF900="Value is calculated with prices",(IF(SUMIFS(Q:Q,A:A,A900)&gt;0,SUMIFS(Q:Q,A:A,A900),"."))/VLOOKUP("USD",'Exchange Rates'!B:C,2,0),"Error with coding"))),"")</f>
        <v/>
      </c>
      <c r="U900" s="1184" t="s">
        <v>365</v>
      </c>
      <c r="V900" s="974" t="s">
        <v>2543</v>
      </c>
      <c r="W900" s="1029" t="s">
        <v>2544</v>
      </c>
      <c r="X900" s="1029" t="s">
        <v>2545</v>
      </c>
      <c r="Y900" s="1183" t="s">
        <v>364</v>
      </c>
      <c r="Z900" s="1184">
        <v>0</v>
      </c>
      <c r="AA900" s="1194">
        <v>0</v>
      </c>
      <c r="AB900" s="1016" t="s">
        <v>2545</v>
      </c>
      <c r="AC900" s="1192" t="str">
        <f>""</f>
        <v/>
      </c>
      <c r="AD900" s="985">
        <v>0</v>
      </c>
      <c r="AE900" s="985" t="s">
        <v>436</v>
      </c>
      <c r="AF900" s="985" t="s">
        <v>436</v>
      </c>
      <c r="AG900" s="985">
        <v>1</v>
      </c>
      <c r="AH900" s="985">
        <v>10</v>
      </c>
      <c r="AI900" s="985">
        <v>0</v>
      </c>
      <c r="AJ900" s="1193">
        <f>VLOOKUP($I900,'Price List, Weapons &amp; Items'!B:F,5,0)</f>
        <v>0</v>
      </c>
      <c r="AK900" s="1193">
        <f t="shared" si="199"/>
        <v>0</v>
      </c>
      <c r="AL900" s="1193">
        <f t="shared" si="200"/>
        <v>0</v>
      </c>
      <c r="AM900" s="1193">
        <f t="shared" si="201"/>
        <v>0</v>
      </c>
      <c r="AN900" s="1194" t="str">
        <f>VLOOKUP($I900,'Price List, Weapons &amp; Items'!B:L,COLUMN('Price List, Weapons &amp; Items'!$J$11)-1,0)</f>
        <v>Military media (incl. websites)</v>
      </c>
      <c r="AO900" s="1194" t="str">
        <f>IF(I900=".",".",VLOOKUP($I900,'Price List, Weapons &amp; Items'!B:J,3,0))</f>
        <v>Mortar</v>
      </c>
      <c r="AP900" s="1195" t="str">
        <f t="shared" ca="1" si="195"/>
        <v/>
      </c>
      <c r="AQ900" s="1194">
        <f>VLOOKUP($I900,'Price List, Weapons &amp; Items'!B:L,COLUMN('Price List, Weapons &amp; Items'!$L$11)-1,0)</f>
        <v>2</v>
      </c>
      <c r="AR900" s="1194">
        <f t="shared" si="202"/>
        <v>1</v>
      </c>
      <c r="AS900" s="1194">
        <f t="shared" si="203"/>
        <v>1</v>
      </c>
      <c r="AT900" s="1194">
        <f t="shared" si="204"/>
        <v>1</v>
      </c>
      <c r="AU900" s="1194" t="str">
        <f t="shared" si="205"/>
        <v>.</v>
      </c>
      <c r="AV900" s="1194" t="str">
        <f t="shared" si="196"/>
        <v>.</v>
      </c>
      <c r="AW900" s="1194" t="str">
        <f t="shared" si="206"/>
        <v>.</v>
      </c>
      <c r="AX900" s="1194">
        <f>IFERROR(VLOOKUP(B900,'Share, Heavy Weapons to Ukraine'!B:Z,COLUMN('Share, Heavy Weapons to Ukraine'!C910)-1,0),0)</f>
        <v>0</v>
      </c>
      <c r="AY900" s="1194">
        <f>VLOOKUP('Bilateral Assistance, MAIN DATA'!B900,'Country Summary (€)'!B:F,COLUMN('Country Summary (€)'!C911)-1,FALSE)</f>
        <v>1</v>
      </c>
      <c r="AZ900" s="1194" t="str">
        <f>IF(AND(AD900=1,D900="Military",H900&lt;&gt;"Not given")=TRUE,IF(SUMIFS(P:P,A:A,A900)&gt;0,ABS((SUMIFS(P:P,A:A,A900)/VLOOKUP("USD",'Exchange Rates'!B:C,2,0)))/S900,"."),".")</f>
        <v>.</v>
      </c>
      <c r="BA900" s="1196" t="str">
        <f>IF(AND(AD900=1,D900="Military",H900&lt;&gt;"Not given")=TRUE,IF(SUMIFS(P:P,A:A,A900)&gt;0,IF((ABS((SUMIFS(P:P,A:A,A900)/VLOOKUP("USD",'Exchange Rates'!B:C,2,0)))/S900)&gt;1,(SUMIFS(P:P,A:A,A900)-S900)/S900,(S900-SUMIFS(P:P,A:A,A900))/SUMIFS(P:P,A:A,A900)),"."),".")</f>
        <v>.</v>
      </c>
    </row>
    <row r="901" spans="1:53" ht="15.95" customHeight="1">
      <c r="A901" s="1182" t="s">
        <v>2540</v>
      </c>
      <c r="B901" s="1182" t="s">
        <v>2488</v>
      </c>
      <c r="C901" s="1181">
        <v>44846</v>
      </c>
      <c r="D901" s="1182" t="s">
        <v>389</v>
      </c>
      <c r="E901" s="1182" t="s">
        <v>390</v>
      </c>
      <c r="F901" s="1183" t="s">
        <v>2541</v>
      </c>
      <c r="G901" s="1184" t="s">
        <v>456</v>
      </c>
      <c r="H901" s="1185" t="s">
        <v>457</v>
      </c>
      <c r="I901" s="1266" t="s">
        <v>2547</v>
      </c>
      <c r="J901" s="1186" t="str">
        <f>VLOOKUP($I901,'Price List, Weapons &amp; Items'!B:C,2,0)</f>
        <v>Military equipment</v>
      </c>
      <c r="K901" s="1186" t="str">
        <f>IF(I901=".",I901,VLOOKUP($I901,'Price List, Weapons &amp; Items'!B:D,3,0))</f>
        <v>non combat military vehicle</v>
      </c>
      <c r="L901" s="1187">
        <f>VLOOKUP(I901,'Price List, Weapons &amp; Items'!B:E,4,0)</f>
        <v>0</v>
      </c>
      <c r="M901" s="1188">
        <v>7</v>
      </c>
      <c r="N901" s="1275">
        <v>7</v>
      </c>
      <c r="O901" s="1188">
        <f>VLOOKUP($I901,'Price List, Weapons &amp; Items'!B:G,6,0)</f>
        <v>60000</v>
      </c>
      <c r="P901" s="1185">
        <f t="shared" si="197"/>
        <v>420000</v>
      </c>
      <c r="Q901" s="1185">
        <f t="shared" si="198"/>
        <v>420000</v>
      </c>
      <c r="R901" s="1185" t="str">
        <f t="shared" si="194"/>
        <v/>
      </c>
      <c r="S901" s="1185" t="str">
        <f>IF(AND(AD901=1,R901&lt;&gt;".")=TRUE,R901/VLOOKUP(G901,'Exchange Rates'!B:C,2,0),IF(R901=".",".",""))</f>
        <v/>
      </c>
      <c r="T901" s="1185" t="str">
        <f>IF(AD901=1,IF(AF901="Value is not given at all",".",IF(AF901="Value is given by the source",S901,IF(AF901="Value is calculated with prices",(IF(SUMIFS(Q:Q,A:A,A901)&gt;0,SUMIFS(Q:Q,A:A,A901),"."))/VLOOKUP("USD",'Exchange Rates'!B:C,2,0),"Error with coding"))),"")</f>
        <v/>
      </c>
      <c r="U901" s="1184" t="s">
        <v>365</v>
      </c>
      <c r="V901" s="974" t="s">
        <v>2543</v>
      </c>
      <c r="W901" s="1029" t="s">
        <v>2544</v>
      </c>
      <c r="X901" s="1029" t="s">
        <v>2545</v>
      </c>
      <c r="Y901" s="1183" t="s">
        <v>364</v>
      </c>
      <c r="Z901" s="1184">
        <v>0</v>
      </c>
      <c r="AA901" s="1194">
        <v>0</v>
      </c>
      <c r="AB901" s="1016" t="s">
        <v>2545</v>
      </c>
      <c r="AC901" s="1192" t="str">
        <f>""</f>
        <v/>
      </c>
      <c r="AD901" s="985">
        <v>0</v>
      </c>
      <c r="AE901" s="985" t="s">
        <v>436</v>
      </c>
      <c r="AF901" s="985" t="s">
        <v>436</v>
      </c>
      <c r="AG901" s="985">
        <v>1</v>
      </c>
      <c r="AH901" s="985">
        <v>10</v>
      </c>
      <c r="AI901" s="985">
        <v>0</v>
      </c>
      <c r="AJ901" s="1193">
        <f>VLOOKUP($I901,'Price List, Weapons &amp; Items'!B:F,5,0)</f>
        <v>0</v>
      </c>
      <c r="AK901" s="1193">
        <f t="shared" si="199"/>
        <v>0</v>
      </c>
      <c r="AL901" s="1193">
        <f t="shared" si="200"/>
        <v>0</v>
      </c>
      <c r="AM901" s="1193">
        <f t="shared" si="201"/>
        <v>0</v>
      </c>
      <c r="AN901" s="1194" t="str">
        <f>VLOOKUP($I901,'Price List, Weapons &amp; Items'!B:L,COLUMN('Price List, Weapons &amp; Items'!$J$11)-1,0)</f>
        <v>Media reports (incl. social media)</v>
      </c>
      <c r="AO901" s="1194" t="str">
        <f>IF(I901=".",".",VLOOKUP($I901,'Price List, Weapons &amp; Items'!B:J,3,0))</f>
        <v>non combat military vehicle</v>
      </c>
      <c r="AP901" s="1195" t="str">
        <f t="shared" ca="1" si="195"/>
        <v/>
      </c>
      <c r="AQ901" s="1194">
        <f>VLOOKUP($I901,'Price List, Weapons &amp; Items'!B:L,COLUMN('Price List, Weapons &amp; Items'!$L$11)-1,0)</f>
        <v>1</v>
      </c>
      <c r="AR901" s="1194">
        <f t="shared" si="202"/>
        <v>1</v>
      </c>
      <c r="AS901" s="1194">
        <f t="shared" si="203"/>
        <v>1</v>
      </c>
      <c r="AT901" s="1194">
        <f t="shared" si="204"/>
        <v>1</v>
      </c>
      <c r="AU901" s="1194" t="str">
        <f t="shared" si="205"/>
        <v>.</v>
      </c>
      <c r="AV901" s="1194" t="str">
        <f t="shared" si="196"/>
        <v>.</v>
      </c>
      <c r="AW901" s="1194" t="str">
        <f t="shared" si="206"/>
        <v>.</v>
      </c>
      <c r="AX901" s="1194">
        <f>IFERROR(VLOOKUP(B901,'Share, Heavy Weapons to Ukraine'!B:Z,COLUMN('Share, Heavy Weapons to Ukraine'!C911)-1,0),0)</f>
        <v>0</v>
      </c>
      <c r="AY901" s="1194">
        <f>VLOOKUP('Bilateral Assistance, MAIN DATA'!B901,'Country Summary (€)'!B:F,COLUMN('Country Summary (€)'!C912)-1,FALSE)</f>
        <v>1</v>
      </c>
      <c r="AZ901" s="1194" t="str">
        <f>IF(AND(AD901=1,D901="Military",H901&lt;&gt;"Not given")=TRUE,IF(SUMIFS(P:P,A:A,A901)&gt;0,ABS((SUMIFS(P:P,A:A,A901)/VLOOKUP("USD",'Exchange Rates'!B:C,2,0)))/S901,"."),".")</f>
        <v>.</v>
      </c>
      <c r="BA901" s="1196" t="str">
        <f>IF(AND(AD901=1,D901="Military",H901&lt;&gt;"Not given")=TRUE,IF(SUMIFS(P:P,A:A,A901)&gt;0,IF((ABS((SUMIFS(P:P,A:A,A901)/VLOOKUP("USD",'Exchange Rates'!B:C,2,0)))/S901)&gt;1,(SUMIFS(P:P,A:A,A901)-S901)/S901,(S901-SUMIFS(P:P,A:A,A901))/SUMIFS(P:P,A:A,A901)),"."),".")</f>
        <v>.</v>
      </c>
    </row>
    <row r="902" spans="1:53" ht="15.95" customHeight="1">
      <c r="A902" s="1182" t="s">
        <v>2540</v>
      </c>
      <c r="B902" s="1182" t="s">
        <v>2488</v>
      </c>
      <c r="C902" s="1181">
        <v>44846</v>
      </c>
      <c r="D902" s="1182" t="s">
        <v>389</v>
      </c>
      <c r="E902" s="1182" t="s">
        <v>390</v>
      </c>
      <c r="F902" s="1183" t="s">
        <v>2541</v>
      </c>
      <c r="G902" s="1184" t="s">
        <v>456</v>
      </c>
      <c r="H902" s="1185" t="s">
        <v>457</v>
      </c>
      <c r="I902" s="1266" t="s">
        <v>2548</v>
      </c>
      <c r="J902" s="1186" t="str">
        <f>VLOOKUP($I902,'Price List, Weapons &amp; Items'!B:C,2,0)</f>
        <v>Military equipment</v>
      </c>
      <c r="K902" s="1186" t="str">
        <f>IF(I902=".",I902,VLOOKUP($I902,'Price List, Weapons &amp; Items'!B:D,3,0))</f>
        <v>Military equipment</v>
      </c>
      <c r="L902" s="1187">
        <f>VLOOKUP(I902,'Price List, Weapons &amp; Items'!B:E,4,0)</f>
        <v>0</v>
      </c>
      <c r="M902" s="1188" t="s">
        <v>374</v>
      </c>
      <c r="N902" s="1275" t="s">
        <v>374</v>
      </c>
      <c r="O902" s="1188">
        <f>VLOOKUP($I902,'Price List, Weapons &amp; Items'!B:G,6,0)</f>
        <v>5000</v>
      </c>
      <c r="P902" s="1185" t="str">
        <f t="shared" si="197"/>
        <v>.</v>
      </c>
      <c r="Q902" s="1185" t="str">
        <f t="shared" si="198"/>
        <v>.</v>
      </c>
      <c r="R902" s="1185" t="str">
        <f t="shared" si="194"/>
        <v/>
      </c>
      <c r="S902" s="1185" t="str">
        <f>IF(AND(AD902=1,R902&lt;&gt;".")=TRUE,R902/VLOOKUP(G902,'Exchange Rates'!B:C,2,0),IF(R902=".",".",""))</f>
        <v/>
      </c>
      <c r="T902" s="1185" t="str">
        <f>IF(AD902=1,IF(AF902="Value is not given at all",".",IF(AF902="Value is given by the source",S902,IF(AF902="Value is calculated with prices",(IF(SUMIFS(Q:Q,A:A,A902)&gt;0,SUMIFS(Q:Q,A:A,A902),"."))/VLOOKUP("USD",'Exchange Rates'!B:C,2,0),"Error with coding"))),"")</f>
        <v/>
      </c>
      <c r="U902" s="1184" t="s">
        <v>365</v>
      </c>
      <c r="V902" s="974" t="s">
        <v>2543</v>
      </c>
      <c r="W902" s="1029" t="s">
        <v>2544</v>
      </c>
      <c r="X902" s="1029" t="s">
        <v>2545</v>
      </c>
      <c r="Y902" s="1183" t="s">
        <v>364</v>
      </c>
      <c r="Z902" s="1184">
        <v>0</v>
      </c>
      <c r="AA902" s="1194">
        <v>0</v>
      </c>
      <c r="AB902" s="1201" t="s">
        <v>364</v>
      </c>
      <c r="AC902" s="1192" t="str">
        <f>""</f>
        <v/>
      </c>
      <c r="AD902" s="985">
        <v>0</v>
      </c>
      <c r="AE902" s="985" t="s">
        <v>436</v>
      </c>
      <c r="AF902" s="985" t="s">
        <v>436</v>
      </c>
      <c r="AG902" s="985">
        <v>1</v>
      </c>
      <c r="AH902" s="985">
        <v>10</v>
      </c>
      <c r="AI902" s="985">
        <v>0</v>
      </c>
      <c r="AJ902" s="1193">
        <f>VLOOKUP($I902,'Price List, Weapons &amp; Items'!B:F,5,0)</f>
        <v>0</v>
      </c>
      <c r="AK902" s="1193">
        <f t="shared" si="199"/>
        <v>0</v>
      </c>
      <c r="AL902" s="1193">
        <f t="shared" si="200"/>
        <v>0</v>
      </c>
      <c r="AM902" s="1193">
        <f t="shared" si="201"/>
        <v>0</v>
      </c>
      <c r="AN902" s="1194" t="str">
        <f>VLOOKUP($I902,'Price List, Weapons &amp; Items'!B:L,COLUMN('Price List, Weapons &amp; Items'!$J$11)-1,0)</f>
        <v>Miscellaneous</v>
      </c>
      <c r="AO902" s="1194" t="str">
        <f>IF(I902=".",".",VLOOKUP($I902,'Price List, Weapons &amp; Items'!B:J,3,0))</f>
        <v>Military equipment</v>
      </c>
      <c r="AP902" s="1195" t="str">
        <f t="shared" ca="1" si="195"/>
        <v/>
      </c>
      <c r="AQ902" s="1194" t="str">
        <f>VLOOKUP($I902,'Price List, Weapons &amp; Items'!B:L,COLUMN('Price List, Weapons &amp; Items'!$L$11)-1,0)</f>
        <v>no price, 0 count</v>
      </c>
      <c r="AR902" s="1194">
        <f t="shared" si="202"/>
        <v>1</v>
      </c>
      <c r="AS902" s="1194">
        <f t="shared" si="203"/>
        <v>1</v>
      </c>
      <c r="AT902" s="1194">
        <f t="shared" si="204"/>
        <v>1</v>
      </c>
      <c r="AU902" s="1194" t="str">
        <f t="shared" si="205"/>
        <v>.</v>
      </c>
      <c r="AV902" s="1194" t="str">
        <f t="shared" si="196"/>
        <v>.</v>
      </c>
      <c r="AW902" s="1194" t="str">
        <f t="shared" si="206"/>
        <v>.</v>
      </c>
      <c r="AX902" s="1194">
        <f>IFERROR(VLOOKUP(B902,'Share, Heavy Weapons to Ukraine'!B:Z,COLUMN('Share, Heavy Weapons to Ukraine'!C912)-1,0),0)</f>
        <v>0</v>
      </c>
      <c r="AY902" s="1194">
        <f>VLOOKUP('Bilateral Assistance, MAIN DATA'!B902,'Country Summary (€)'!B:F,COLUMN('Country Summary (€)'!C913)-1,FALSE)</f>
        <v>1</v>
      </c>
      <c r="AZ902" s="1194" t="str">
        <f>IF(AND(AD902=1,D902="Military",H902&lt;&gt;"Not given")=TRUE,IF(SUMIFS(P:P,A:A,A902)&gt;0,ABS((SUMIFS(P:P,A:A,A902)/VLOOKUP("USD",'Exchange Rates'!B:C,2,0)))/S902,"."),".")</f>
        <v>.</v>
      </c>
      <c r="BA902" s="1196" t="str">
        <f>IF(AND(AD902=1,D902="Military",H902&lt;&gt;"Not given")=TRUE,IF(SUMIFS(P:P,A:A,A902)&gt;0,IF((ABS((SUMIFS(P:P,A:A,A902)/VLOOKUP("USD",'Exchange Rates'!B:C,2,0)))/S902)&gt;1,(SUMIFS(P:P,A:A,A902)-S902)/S902,(S902-SUMIFS(P:P,A:A,A902))/SUMIFS(P:P,A:A,A902)),"."),".")</f>
        <v>.</v>
      </c>
    </row>
    <row r="903" spans="1:53" ht="15.95" customHeight="1">
      <c r="A903" s="1182" t="s">
        <v>2540</v>
      </c>
      <c r="B903" s="1182" t="s">
        <v>2488</v>
      </c>
      <c r="C903" s="1181">
        <v>44846</v>
      </c>
      <c r="D903" s="1182" t="s">
        <v>389</v>
      </c>
      <c r="E903" s="1182" t="s">
        <v>390</v>
      </c>
      <c r="F903" s="1183" t="s">
        <v>2541</v>
      </c>
      <c r="G903" s="1184" t="s">
        <v>456</v>
      </c>
      <c r="H903" s="1185" t="s">
        <v>457</v>
      </c>
      <c r="I903" s="1266" t="s">
        <v>1324</v>
      </c>
      <c r="J903" s="1186" t="str">
        <f>VLOOKUP($I903,'Price List, Weapons &amp; Items'!B:C,2,0)</f>
        <v>Aviation and drones</v>
      </c>
      <c r="K903" s="1186" t="str">
        <f>IF(I903=".",I903,VLOOKUP($I903,'Price List, Weapons &amp; Items'!B:D,3,0))</f>
        <v>Drone</v>
      </c>
      <c r="L903" s="1187">
        <f>VLOOKUP(I903,'Price List, Weapons &amp; Items'!B:E,4,0)</f>
        <v>0</v>
      </c>
      <c r="M903" s="1188" t="s">
        <v>374</v>
      </c>
      <c r="N903" s="1275" t="s">
        <v>374</v>
      </c>
      <c r="O903" s="1188">
        <f>VLOOKUP($I903,'Price List, Weapons &amp; Items'!B:G,6,0)</f>
        <v>6000</v>
      </c>
      <c r="P903" s="1185" t="str">
        <f t="shared" si="197"/>
        <v>.</v>
      </c>
      <c r="Q903" s="1185" t="str">
        <f t="shared" si="198"/>
        <v>.</v>
      </c>
      <c r="R903" s="1185" t="str">
        <f t="shared" si="194"/>
        <v/>
      </c>
      <c r="S903" s="1185" t="str">
        <f>IF(AND(AD903=1,R903&lt;&gt;".")=TRUE,R903/VLOOKUP(G903,'Exchange Rates'!B:C,2,0),IF(R903=".",".",""))</f>
        <v/>
      </c>
      <c r="T903" s="1185" t="str">
        <f>IF(AD903=1,IF(AF903="Value is not given at all",".",IF(AF903="Value is given by the source",S903,IF(AF903="Value is calculated with prices",(IF(SUMIFS(Q:Q,A:A,A903)&gt;0,SUMIFS(Q:Q,A:A,A903),"."))/VLOOKUP("USD",'Exchange Rates'!B:C,2,0),"Error with coding"))),"")</f>
        <v/>
      </c>
      <c r="U903" s="1184" t="s">
        <v>365</v>
      </c>
      <c r="V903" s="974" t="s">
        <v>2543</v>
      </c>
      <c r="W903" s="1029" t="s">
        <v>2544</v>
      </c>
      <c r="X903" s="1029" t="s">
        <v>2545</v>
      </c>
      <c r="Y903" s="1183" t="s">
        <v>364</v>
      </c>
      <c r="Z903" s="1184">
        <v>0</v>
      </c>
      <c r="AA903" s="1194">
        <v>0</v>
      </c>
      <c r="AB903" s="1201" t="s">
        <v>364</v>
      </c>
      <c r="AC903" s="1192" t="str">
        <f>""</f>
        <v/>
      </c>
      <c r="AD903" s="985">
        <v>0</v>
      </c>
      <c r="AE903" s="985" t="s">
        <v>436</v>
      </c>
      <c r="AF903" s="985" t="s">
        <v>436</v>
      </c>
      <c r="AG903" s="985">
        <v>1</v>
      </c>
      <c r="AH903" s="985">
        <v>10</v>
      </c>
      <c r="AI903" s="985">
        <v>0</v>
      </c>
      <c r="AJ903" s="1193">
        <f>VLOOKUP($I903,'Price List, Weapons &amp; Items'!B:F,5,0)</f>
        <v>0</v>
      </c>
      <c r="AK903" s="1193">
        <f t="shared" si="199"/>
        <v>0</v>
      </c>
      <c r="AL903" s="1193">
        <f t="shared" si="200"/>
        <v>0</v>
      </c>
      <c r="AM903" s="1193">
        <f t="shared" si="201"/>
        <v>0</v>
      </c>
      <c r="AN903" s="1194" t="str">
        <f>VLOOKUP($I903,'Price List, Weapons &amp; Items'!B:L,COLUMN('Price List, Weapons &amp; Items'!$J$11)-1,0)</f>
        <v>Miscellaneous</v>
      </c>
      <c r="AO903" s="1194" t="str">
        <f>IF(I903=".",".",VLOOKUP($I903,'Price List, Weapons &amp; Items'!B:J,3,0))</f>
        <v>Drone</v>
      </c>
      <c r="AP903" s="1195" t="str">
        <f t="shared" ca="1" si="195"/>
        <v/>
      </c>
      <c r="AQ903" s="1194">
        <f>VLOOKUP($I903,'Price List, Weapons &amp; Items'!B:L,COLUMN('Price List, Weapons &amp; Items'!$L$11)-1,0)</f>
        <v>1</v>
      </c>
      <c r="AR903" s="1194">
        <f t="shared" si="202"/>
        <v>1</v>
      </c>
      <c r="AS903" s="1194">
        <f t="shared" si="203"/>
        <v>1</v>
      </c>
      <c r="AT903" s="1194">
        <f t="shared" si="204"/>
        <v>1</v>
      </c>
      <c r="AU903" s="1194" t="str">
        <f t="shared" si="205"/>
        <v>.</v>
      </c>
      <c r="AV903" s="1194" t="str">
        <f t="shared" si="196"/>
        <v>.</v>
      </c>
      <c r="AW903" s="1194" t="str">
        <f t="shared" si="206"/>
        <v>.</v>
      </c>
      <c r="AX903" s="1194">
        <f>IFERROR(VLOOKUP(B903,'Share, Heavy Weapons to Ukraine'!B:Z,COLUMN('Share, Heavy Weapons to Ukraine'!C913)-1,0),0)</f>
        <v>0</v>
      </c>
      <c r="AY903" s="1194">
        <f>VLOOKUP('Bilateral Assistance, MAIN DATA'!B903,'Country Summary (€)'!B:F,COLUMN('Country Summary (€)'!C914)-1,FALSE)</f>
        <v>1</v>
      </c>
      <c r="AZ903" s="1194" t="str">
        <f>IF(AND(AD903=1,D903="Military",H903&lt;&gt;"Not given")=TRUE,IF(SUMIFS(P:P,A:A,A903)&gt;0,ABS((SUMIFS(P:P,A:A,A903)/VLOOKUP("USD",'Exchange Rates'!B:C,2,0)))/S903,"."),".")</f>
        <v>.</v>
      </c>
      <c r="BA903" s="1196" t="str">
        <f>IF(AND(AD903=1,D903="Military",H903&lt;&gt;"Not given")=TRUE,IF(SUMIFS(P:P,A:A,A903)&gt;0,IF((ABS((SUMIFS(P:P,A:A,A903)/VLOOKUP("USD",'Exchange Rates'!B:C,2,0)))/S903)&gt;1,(SUMIFS(P:P,A:A,A903)-S903)/S903,(S903-SUMIFS(P:P,A:A,A903))/SUMIFS(P:P,A:A,A903)),"."),".")</f>
        <v>.</v>
      </c>
    </row>
    <row r="904" spans="1:53" ht="15.95" customHeight="1">
      <c r="A904" s="1182" t="s">
        <v>2549</v>
      </c>
      <c r="B904" s="1182" t="s">
        <v>2488</v>
      </c>
      <c r="C904" s="1181">
        <v>44863</v>
      </c>
      <c r="D904" s="1182" t="s">
        <v>389</v>
      </c>
      <c r="E904" s="1182" t="s">
        <v>361</v>
      </c>
      <c r="F904" s="1183" t="s">
        <v>2550</v>
      </c>
      <c r="G904" s="1184" t="s">
        <v>456</v>
      </c>
      <c r="H904" s="1185" t="s">
        <v>457</v>
      </c>
      <c r="I904" s="1266" t="s">
        <v>2551</v>
      </c>
      <c r="J904" s="1186" t="str">
        <f>VLOOKUP($I904,'Price List, Weapons &amp; Items'!B:C,2,0)</f>
        <v>Heavy weapon</v>
      </c>
      <c r="K904" s="1186" t="str">
        <f>IF(I904=".",I904,VLOOKUP($I904,'Price List, Weapons &amp; Items'!B:D,3,0))</f>
        <v>overhaul/repair</v>
      </c>
      <c r="L904" s="1187">
        <f>VLOOKUP(I904,'Price List, Weapons &amp; Items'!B:E,4,0)</f>
        <v>0</v>
      </c>
      <c r="M904" s="1188" t="s">
        <v>374</v>
      </c>
      <c r="N904" s="1275" t="s">
        <v>374</v>
      </c>
      <c r="O904" s="1188" t="str">
        <f>VLOOKUP($I904,'Price List, Weapons &amp; Items'!B:G,6,0)</f>
        <v>.</v>
      </c>
      <c r="P904" s="1185" t="str">
        <f t="shared" si="197"/>
        <v>.</v>
      </c>
      <c r="Q904" s="1185" t="str">
        <f t="shared" si="198"/>
        <v>.</v>
      </c>
      <c r="R904" s="1185" t="str">
        <f t="shared" si="194"/>
        <v>.</v>
      </c>
      <c r="S904" s="1185" t="str">
        <f>IF(AND(AD904=1,R904&lt;&gt;".")=TRUE,R904/VLOOKUP(G904,'Exchange Rates'!B:C,2,0),IF(R904=".",".",""))</f>
        <v>.</v>
      </c>
      <c r="T904" s="1185" t="str">
        <f>IF(AD904=1,IF(AF904="Value is not given at all",".",IF(AF904="Value is given by the source",S904,IF(AF904="Value is calculated with prices",(IF(SUMIFS(Q:Q,A:A,A904)&gt;0,SUMIFS(Q:Q,A:A,A904),"."))/VLOOKUP("USD",'Exchange Rates'!B:C,2,0),"Error with coding"))),"")</f>
        <v>.</v>
      </c>
      <c r="U904" s="1184" t="s">
        <v>365</v>
      </c>
      <c r="V904" s="974" t="s">
        <v>2552</v>
      </c>
      <c r="W904" s="1029" t="s">
        <v>2553</v>
      </c>
      <c r="X904" s="1029" t="s">
        <v>2554</v>
      </c>
      <c r="Y904" s="1183" t="s">
        <v>364</v>
      </c>
      <c r="Z904" s="1184">
        <v>0</v>
      </c>
      <c r="AA904" s="1191">
        <v>0</v>
      </c>
      <c r="AB904" s="1201" t="s">
        <v>364</v>
      </c>
      <c r="AC904" s="1192" t="str">
        <f>""</f>
        <v/>
      </c>
      <c r="AD904" s="985">
        <v>1</v>
      </c>
      <c r="AE904" s="985" t="s">
        <v>369</v>
      </c>
      <c r="AF904" s="985" t="s">
        <v>369</v>
      </c>
      <c r="AG904" s="985">
        <v>1</v>
      </c>
      <c r="AH904" s="985">
        <v>10</v>
      </c>
      <c r="AI904" s="985">
        <v>0</v>
      </c>
      <c r="AJ904" s="1193">
        <f>VLOOKUP($I904,'Price List, Weapons &amp; Items'!B:F,5,0)</f>
        <v>0</v>
      </c>
      <c r="AK904" s="1193">
        <f t="shared" si="199"/>
        <v>0</v>
      </c>
      <c r="AL904" s="1193">
        <f t="shared" si="200"/>
        <v>0</v>
      </c>
      <c r="AM904" s="1193">
        <f t="shared" si="201"/>
        <v>0</v>
      </c>
      <c r="AN904" s="1194" t="str">
        <f>VLOOKUP($I904,'Price List, Weapons &amp; Items'!B:L,COLUMN('Price List, Weapons &amp; Items'!$J$11)-1,0)</f>
        <v>.</v>
      </c>
      <c r="AO904" s="1194" t="str">
        <f>IF(I904=".",".",VLOOKUP($I904,'Price List, Weapons &amp; Items'!B:J,3,0))</f>
        <v>overhaul/repair</v>
      </c>
      <c r="AP904" s="1195" t="str">
        <f t="shared" ca="1" si="195"/>
        <v>Panzerhaubitze 2000 (repair)</v>
      </c>
      <c r="AQ904" s="1194" t="str">
        <f>VLOOKUP($I904,'Price List, Weapons &amp; Items'!B:L,COLUMN('Price List, Weapons &amp; Items'!$L$11)-1,0)</f>
        <v>no price, 0 count</v>
      </c>
      <c r="AR904" s="1194">
        <f t="shared" si="202"/>
        <v>1</v>
      </c>
      <c r="AS904" s="1194">
        <f t="shared" si="203"/>
        <v>0</v>
      </c>
      <c r="AT904" s="1194">
        <f t="shared" si="204"/>
        <v>1</v>
      </c>
      <c r="AU904" s="1194" t="str">
        <f t="shared" si="205"/>
        <v>.</v>
      </c>
      <c r="AV904" s="1194" t="str">
        <f t="shared" si="196"/>
        <v>.</v>
      </c>
      <c r="AW904" s="1194" t="str">
        <f t="shared" si="206"/>
        <v>.</v>
      </c>
      <c r="AX904" s="1194">
        <f>IFERROR(VLOOKUP(B904,'Share, Heavy Weapons to Ukraine'!B:Z,COLUMN('Share, Heavy Weapons to Ukraine'!C914)-1,0),0)</f>
        <v>0</v>
      </c>
      <c r="AY904" s="1194">
        <f>VLOOKUP('Bilateral Assistance, MAIN DATA'!B904,'Country Summary (€)'!B:F,COLUMN('Country Summary (€)'!C915)-1,FALSE)</f>
        <v>1</v>
      </c>
      <c r="AZ904" s="1194" t="str">
        <f>IF(AND(AD904=1,D904="Military",H904&lt;&gt;"Not given")=TRUE,IF(SUMIFS(P:P,A:A,A904)&gt;0,ABS((SUMIFS(P:P,A:A,A904)/VLOOKUP("USD",'Exchange Rates'!B:C,2,0)))/S904,"."),".")</f>
        <v>.</v>
      </c>
      <c r="BA904" s="1196" t="str">
        <f>IF(AND(AD904=1,D904="Military",H904&lt;&gt;"Not given")=TRUE,IF(SUMIFS(P:P,A:A,A904)&gt;0,IF((ABS((SUMIFS(P:P,A:A,A904)/VLOOKUP("USD",'Exchange Rates'!B:C,2,0)))/S904)&gt;1,(SUMIFS(P:P,A:A,A904)-S904)/S904,(S904-SUMIFS(P:P,A:A,A904))/SUMIFS(P:P,A:A,A904)),"."),".")</f>
        <v>.</v>
      </c>
    </row>
    <row r="905" spans="1:53" ht="15.95" customHeight="1">
      <c r="A905" s="1182" t="s">
        <v>2555</v>
      </c>
      <c r="B905" s="1182" t="s">
        <v>2488</v>
      </c>
      <c r="C905" s="1181">
        <v>44886</v>
      </c>
      <c r="D905" s="1182" t="s">
        <v>389</v>
      </c>
      <c r="E905" s="1182" t="s">
        <v>361</v>
      </c>
      <c r="F905" s="1183" t="s">
        <v>2556</v>
      </c>
      <c r="G905" s="1184" t="s">
        <v>483</v>
      </c>
      <c r="H905" s="1185">
        <f>230000000-SUM(S881:S904)</f>
        <v>27847258.005152732</v>
      </c>
      <c r="I905" s="1266" t="s">
        <v>364</v>
      </c>
      <c r="J905" s="1186" t="str">
        <f>VLOOKUP($I905,'Price List, Weapons &amp; Items'!B:C,2,0)</f>
        <v>.</v>
      </c>
      <c r="K905" s="1186" t="str">
        <f>IF(I905=".",I905,VLOOKUP($I905,'Price List, Weapons &amp; Items'!B:D,3,0))</f>
        <v>.</v>
      </c>
      <c r="L905" s="1187">
        <f>VLOOKUP(I905,'Price List, Weapons &amp; Items'!B:E,4,0)</f>
        <v>0</v>
      </c>
      <c r="M905" s="1188" t="s">
        <v>364</v>
      </c>
      <c r="N905" s="1275" t="s">
        <v>364</v>
      </c>
      <c r="O905" s="1188" t="str">
        <f>VLOOKUP($I905,'Price List, Weapons &amp; Items'!B:G,6,0)</f>
        <v>.</v>
      </c>
      <c r="P905" s="1185" t="str">
        <f t="shared" si="197"/>
        <v>.</v>
      </c>
      <c r="Q905" s="1185" t="str">
        <f t="shared" si="198"/>
        <v>.</v>
      </c>
      <c r="R905" s="1185">
        <f t="shared" si="194"/>
        <v>27847258.005152732</v>
      </c>
      <c r="S905" s="1185">
        <f>IF(AND(AD905=1,R905&lt;&gt;".")=TRUE,R905/VLOOKUP(G905,'Exchange Rates'!B:C,2,0),IF(R905=".",".",""))</f>
        <v>27847258.005152732</v>
      </c>
      <c r="T905" s="1185">
        <f>IF(AD905=1,IF(AF905="Value is not given at all",".",IF(AF905="Value is given by the source",S905,IF(AF905="Value is calculated with prices",(IF(SUMIFS(Q:Q,A:A,A905)&gt;0,SUMIFS(Q:Q,A:A,A905),"."))/VLOOKUP("USD",'Exchange Rates'!B:C,2,0),"Error with coding"))),"")</f>
        <v>27847258.005152732</v>
      </c>
      <c r="U905" s="1184" t="s">
        <v>365</v>
      </c>
      <c r="V905" s="974" t="s">
        <v>2557</v>
      </c>
      <c r="W905" s="1034" t="s">
        <v>364</v>
      </c>
      <c r="X905" s="1034" t="s">
        <v>364</v>
      </c>
      <c r="Y905" s="1183" t="s">
        <v>364</v>
      </c>
      <c r="Z905" s="1184">
        <v>1</v>
      </c>
      <c r="AA905" s="1191">
        <v>0</v>
      </c>
      <c r="AB905" s="1016" t="s">
        <v>2557</v>
      </c>
      <c r="AC905" s="1192" t="str">
        <f>""</f>
        <v/>
      </c>
      <c r="AD905" s="985">
        <v>1</v>
      </c>
      <c r="AE905" s="985" t="s">
        <v>368</v>
      </c>
      <c r="AF905" s="985" t="s">
        <v>368</v>
      </c>
      <c r="AG905" s="985">
        <v>1</v>
      </c>
      <c r="AH905" s="985">
        <v>11</v>
      </c>
      <c r="AI905" s="985">
        <v>0</v>
      </c>
      <c r="AJ905" s="1193">
        <f>VLOOKUP($I905,'Price List, Weapons &amp; Items'!B:F,5,0)</f>
        <v>0</v>
      </c>
      <c r="AK905" s="1193">
        <f t="shared" si="199"/>
        <v>0</v>
      </c>
      <c r="AL905" s="1193">
        <f t="shared" si="200"/>
        <v>0</v>
      </c>
      <c r="AM905" s="1193">
        <f t="shared" si="201"/>
        <v>0</v>
      </c>
      <c r="AN905" s="1194" t="str">
        <f>VLOOKUP($I905,'Price List, Weapons &amp; Items'!B:L,COLUMN('Price List, Weapons &amp; Items'!$J$11)-1,0)</f>
        <v>.</v>
      </c>
      <c r="AO905" s="1194" t="str">
        <f>IF(I905=".",".",VLOOKUP($I905,'Price List, Weapons &amp; Items'!B:J,3,0))</f>
        <v>.</v>
      </c>
      <c r="AP905" s="1195" t="str">
        <f t="shared" ca="1" si="195"/>
        <v>.</v>
      </c>
      <c r="AQ905" s="1194">
        <f>VLOOKUP($I905,'Price List, Weapons &amp; Items'!B:L,COLUMN('Price List, Weapons &amp; Items'!$L$11)-1,0)</f>
        <v>0</v>
      </c>
      <c r="AR905" s="1194">
        <f t="shared" si="202"/>
        <v>1</v>
      </c>
      <c r="AS905" s="1194">
        <f t="shared" si="203"/>
        <v>0</v>
      </c>
      <c r="AT905" s="1194">
        <f t="shared" si="204"/>
        <v>1</v>
      </c>
      <c r="AU905" s="1194" t="str">
        <f t="shared" si="205"/>
        <v>.</v>
      </c>
      <c r="AV905" s="1194" t="str">
        <f t="shared" si="196"/>
        <v>.</v>
      </c>
      <c r="AW905" s="1194" t="str">
        <f t="shared" si="206"/>
        <v>.</v>
      </c>
      <c r="AX905" s="1194">
        <f>IFERROR(VLOOKUP(B905,'Share, Heavy Weapons to Ukraine'!B:Z,COLUMN('Share, Heavy Weapons to Ukraine'!C915)-1,0),0)</f>
        <v>0</v>
      </c>
      <c r="AY905" s="1194">
        <f>VLOOKUP('Bilateral Assistance, MAIN DATA'!B905,'Country Summary (€)'!B:F,COLUMN('Country Summary (€)'!C916)-1,FALSE)</f>
        <v>1</v>
      </c>
      <c r="AZ905" s="1194" t="str">
        <f>IF(AND(AD905=1,D905="Military",H905&lt;&gt;"Not given")=TRUE,IF(SUMIFS(P:P,A:A,A905)&gt;0,ABS((SUMIFS(P:P,A:A,A905)/VLOOKUP("USD",'Exchange Rates'!B:C,2,0)))/S905,"."),".")</f>
        <v>.</v>
      </c>
      <c r="BA905" s="1196" t="str">
        <f>IF(AND(AD905=1,D905="Military",H905&lt;&gt;"Not given")=TRUE,IF(SUMIFS(P:P,A:A,A905)&gt;0,IF((ABS((SUMIFS(P:P,A:A,A905)/VLOOKUP("USD",'Exchange Rates'!B:C,2,0)))/S905)&gt;1,(SUMIFS(P:P,A:A,A905)-S905)/S905,(S905-SUMIFS(P:P,A:A,A905))/SUMIFS(P:P,A:A,A905)),"."),".")</f>
        <v>.</v>
      </c>
    </row>
    <row r="906" spans="1:53" ht="15.95" customHeight="1">
      <c r="A906" s="1182" t="s">
        <v>2558</v>
      </c>
      <c r="B906" s="1182" t="s">
        <v>2488</v>
      </c>
      <c r="C906" s="1181">
        <v>44899</v>
      </c>
      <c r="D906" s="1182" t="s">
        <v>389</v>
      </c>
      <c r="E906" s="1182" t="s">
        <v>443</v>
      </c>
      <c r="F906" s="1183" t="s">
        <v>2559</v>
      </c>
      <c r="G906" s="1184" t="s">
        <v>483</v>
      </c>
      <c r="H906" s="1185" t="s">
        <v>457</v>
      </c>
      <c r="I906" s="1266" t="s">
        <v>856</v>
      </c>
      <c r="J906" s="1186" t="str">
        <f>VLOOKUP($I906,'Price List, Weapons &amp; Items'!B:C,2,0)</f>
        <v>Ammunition for heavy weapon</v>
      </c>
      <c r="K906" s="1186" t="str">
        <f>IF(I906=".",I906,VLOOKUP($I906,'Price List, Weapons &amp; Items'!B:D,3,0))</f>
        <v>155mm howitzer ammunition</v>
      </c>
      <c r="L906" s="1187">
        <f>VLOOKUP(I906,'Price List, Weapons &amp; Items'!B:E,4,0)</f>
        <v>0</v>
      </c>
      <c r="M906" s="1188" t="s">
        <v>374</v>
      </c>
      <c r="N906" s="1275" t="s">
        <v>374</v>
      </c>
      <c r="O906" s="1188">
        <f>VLOOKUP($I906,'Price List, Weapons &amp; Items'!B:G,6,0)</f>
        <v>3800</v>
      </c>
      <c r="P906" s="1185" t="str">
        <f t="shared" si="197"/>
        <v>.</v>
      </c>
      <c r="Q906" s="1185" t="str">
        <f t="shared" si="198"/>
        <v>.</v>
      </c>
      <c r="R906" s="1185" t="str">
        <f t="shared" si="194"/>
        <v>.</v>
      </c>
      <c r="S906" s="1185" t="str">
        <f>IF(AND(AD906=1,R906&lt;&gt;".")=TRUE,R906/VLOOKUP(G906,'Exchange Rates'!B:C,2,0),IF(R906=".",".",""))</f>
        <v>.</v>
      </c>
      <c r="T906" s="1185" t="str">
        <f>IF(AD906=1,IF(AF906="Value is not given at all",".",IF(AF906="Value is given by the source",S906,IF(AF906="Value is calculated with prices",(IF(SUMIFS(Q:Q,A:A,A906)&gt;0,SUMIFS(Q:Q,A:A,A906),"."))/VLOOKUP("USD",'Exchange Rates'!B:C,2,0),"Error with coding"))),"")</f>
        <v>.</v>
      </c>
      <c r="U906" s="1184" t="s">
        <v>365</v>
      </c>
      <c r="V906" s="974" t="s">
        <v>2557</v>
      </c>
      <c r="W906" s="1029" t="s">
        <v>2560</v>
      </c>
      <c r="X906" s="1034" t="s">
        <v>364</v>
      </c>
      <c r="Y906" s="1183" t="s">
        <v>364</v>
      </c>
      <c r="Z906" s="1184">
        <v>1</v>
      </c>
      <c r="AA906" s="1191">
        <v>0</v>
      </c>
      <c r="AB906" s="1016" t="s">
        <v>2557</v>
      </c>
      <c r="AC906" s="1192" t="str">
        <f>""</f>
        <v/>
      </c>
      <c r="AD906" s="985">
        <v>1</v>
      </c>
      <c r="AE906" s="985" t="s">
        <v>369</v>
      </c>
      <c r="AF906" s="985" t="s">
        <v>369</v>
      </c>
      <c r="AG906" s="985">
        <v>1</v>
      </c>
      <c r="AH906" s="985">
        <v>12</v>
      </c>
      <c r="AI906" s="985">
        <v>0</v>
      </c>
      <c r="AJ906" s="1193">
        <f>VLOOKUP($I906,'Price List, Weapons &amp; Items'!B:F,5,0)</f>
        <v>1</v>
      </c>
      <c r="AK906" s="1193">
        <f t="shared" si="199"/>
        <v>1</v>
      </c>
      <c r="AL906" s="1193">
        <f t="shared" si="200"/>
        <v>1</v>
      </c>
      <c r="AM906" s="1193">
        <f t="shared" si="201"/>
        <v>0</v>
      </c>
      <c r="AN906" s="1194" t="str">
        <f>VLOOKUP($I906,'Price List, Weapons &amp; Items'!B:L,COLUMN('Price List, Weapons &amp; Items'!$J$11)-1,0)</f>
        <v>Government information</v>
      </c>
      <c r="AO906" s="1194" t="str">
        <f>IF(I906=".",".",VLOOKUP($I906,'Price List, Weapons &amp; Items'!B:J,3,0))</f>
        <v>155mm howitzer ammunition</v>
      </c>
      <c r="AP906" s="1195" t="str">
        <f t="shared" ca="1" si="195"/>
        <v>155mm artillery round</v>
      </c>
      <c r="AQ906" s="1194">
        <f>VLOOKUP($I906,'Price List, Weapons &amp; Items'!B:L,COLUMN('Price List, Weapons &amp; Items'!$L$11)-1,0)</f>
        <v>2</v>
      </c>
      <c r="AR906" s="1194">
        <f t="shared" si="202"/>
        <v>1</v>
      </c>
      <c r="AS906" s="1194">
        <f t="shared" si="203"/>
        <v>1</v>
      </c>
      <c r="AT906" s="1194">
        <f t="shared" si="204"/>
        <v>1</v>
      </c>
      <c r="AU906" s="1194" t="str">
        <f t="shared" si="205"/>
        <v>.</v>
      </c>
      <c r="AV906" s="1194" t="str">
        <f t="shared" si="196"/>
        <v>.</v>
      </c>
      <c r="AW906" s="1194" t="str">
        <f t="shared" si="206"/>
        <v>.</v>
      </c>
      <c r="AX906" s="1194">
        <f>IFERROR(VLOOKUP(B906,'Share, Heavy Weapons to Ukraine'!B:Z,COLUMN('Share, Heavy Weapons to Ukraine'!C916)-1,0),0)</f>
        <v>0</v>
      </c>
      <c r="AY906" s="1194">
        <f>VLOOKUP('Bilateral Assistance, MAIN DATA'!B906,'Country Summary (€)'!B:F,COLUMN('Country Summary (€)'!C917)-1,FALSE)</f>
        <v>1</v>
      </c>
      <c r="AZ906" s="1194" t="str">
        <f>IF(AND(AD906=1,D906="Military",H906&lt;&gt;"Not given")=TRUE,IF(SUMIFS(P:P,A:A,A906)&gt;0,ABS((SUMIFS(P:P,A:A,A906)/VLOOKUP("USD",'Exchange Rates'!B:C,2,0)))/S906,"."),".")</f>
        <v>.</v>
      </c>
      <c r="BA906" s="1196" t="str">
        <f>IF(AND(AD906=1,D906="Military",H906&lt;&gt;"Not given")=TRUE,IF(SUMIFS(P:P,A:A,A906)&gt;0,IF((ABS((SUMIFS(P:P,A:A,A906)/VLOOKUP("USD",'Exchange Rates'!B:C,2,0)))/S906)&gt;1,(SUMIFS(P:P,A:A,A906)-S906)/S906,(S906-SUMIFS(P:P,A:A,A906))/SUMIFS(P:P,A:A,A906)),"."),".")</f>
        <v>.</v>
      </c>
    </row>
    <row r="907" spans="1:53" ht="15.95" customHeight="1">
      <c r="A907" s="1182" t="s">
        <v>2561</v>
      </c>
      <c r="B907" s="1182" t="s">
        <v>2488</v>
      </c>
      <c r="C907" s="1181">
        <v>44901</v>
      </c>
      <c r="D907" s="1182" t="s">
        <v>389</v>
      </c>
      <c r="E907" s="1182" t="s">
        <v>361</v>
      </c>
      <c r="F907" s="1183" t="s">
        <v>2562</v>
      </c>
      <c r="G907" s="1184" t="s">
        <v>483</v>
      </c>
      <c r="H907" s="1185">
        <f>280000000-SUM(S881:S906)</f>
        <v>50000000</v>
      </c>
      <c r="I907" s="1266" t="s">
        <v>364</v>
      </c>
      <c r="J907" s="1186" t="str">
        <f>VLOOKUP($I907,'Price List, Weapons &amp; Items'!B:C,2,0)</f>
        <v>.</v>
      </c>
      <c r="K907" s="1186" t="str">
        <f>IF(I907=".",I907,VLOOKUP($I907,'Price List, Weapons &amp; Items'!B:D,3,0))</f>
        <v>.</v>
      </c>
      <c r="L907" s="1187">
        <f>VLOOKUP(I907,'Price List, Weapons &amp; Items'!B:E,4,0)</f>
        <v>0</v>
      </c>
      <c r="M907" s="1188" t="s">
        <v>364</v>
      </c>
      <c r="N907" s="1275" t="s">
        <v>364</v>
      </c>
      <c r="O907" s="1188" t="str">
        <f>VLOOKUP($I907,'Price List, Weapons &amp; Items'!B:G,6,0)</f>
        <v>.</v>
      </c>
      <c r="P907" s="1185" t="str">
        <f t="shared" si="197"/>
        <v>.</v>
      </c>
      <c r="Q907" s="1185" t="str">
        <f t="shared" si="198"/>
        <v>.</v>
      </c>
      <c r="R907" s="1185">
        <f t="shared" si="194"/>
        <v>50000000</v>
      </c>
      <c r="S907" s="1185">
        <f>IF(AND(AD907=1,R907&lt;&gt;".")=TRUE,R907/VLOOKUP(G907,'Exchange Rates'!B:C,2,0),IF(R907=".",".",""))</f>
        <v>50000000</v>
      </c>
      <c r="T907" s="1185">
        <f>IF(AD907=1,IF(AF907="Value is not given at all",".",IF(AF907="Value is given by the source",S907,IF(AF907="Value is calculated with prices",(IF(SUMIFS(Q:Q,A:A,A907)&gt;0,SUMIFS(Q:Q,A:A,A907),"."))/VLOOKUP("USD",'Exchange Rates'!B:C,2,0),"Error with coding"))),"")</f>
        <v>50000000</v>
      </c>
      <c r="U907" s="1184" t="s">
        <v>365</v>
      </c>
      <c r="V907" s="974" t="s">
        <v>2560</v>
      </c>
      <c r="W907" s="1029" t="s">
        <v>2560</v>
      </c>
      <c r="X907" s="1034" t="s">
        <v>364</v>
      </c>
      <c r="Y907" s="1183" t="s">
        <v>364</v>
      </c>
      <c r="Z907" s="1184">
        <v>1</v>
      </c>
      <c r="AA907" s="1191">
        <v>0</v>
      </c>
      <c r="AB907" s="1016" t="s">
        <v>2557</v>
      </c>
      <c r="AC907" s="1192" t="str">
        <f>""</f>
        <v/>
      </c>
      <c r="AD907" s="985">
        <v>1</v>
      </c>
      <c r="AE907" s="985" t="s">
        <v>368</v>
      </c>
      <c r="AF907" s="985" t="s">
        <v>368</v>
      </c>
      <c r="AG907" s="985">
        <v>1</v>
      </c>
      <c r="AH907" s="985">
        <v>12</v>
      </c>
      <c r="AI907" s="985">
        <v>0</v>
      </c>
      <c r="AJ907" s="1193">
        <f>VLOOKUP($I907,'Price List, Weapons &amp; Items'!B:F,5,0)</f>
        <v>0</v>
      </c>
      <c r="AK907" s="1193">
        <f t="shared" si="199"/>
        <v>0</v>
      </c>
      <c r="AL907" s="1193">
        <f t="shared" si="200"/>
        <v>0</v>
      </c>
      <c r="AM907" s="1193">
        <f t="shared" si="201"/>
        <v>0</v>
      </c>
      <c r="AN907" s="1194" t="str">
        <f>VLOOKUP($I907,'Price List, Weapons &amp; Items'!B:L,COLUMN('Price List, Weapons &amp; Items'!$J$11)-1,0)</f>
        <v>.</v>
      </c>
      <c r="AO907" s="1194" t="str">
        <f>IF(I907=".",".",VLOOKUP($I907,'Price List, Weapons &amp; Items'!B:J,3,0))</f>
        <v>.</v>
      </c>
      <c r="AP907" s="1195" t="str">
        <f t="shared" ca="1" si="195"/>
        <v>.</v>
      </c>
      <c r="AQ907" s="1194">
        <f>VLOOKUP($I907,'Price List, Weapons &amp; Items'!B:L,COLUMN('Price List, Weapons &amp; Items'!$L$11)-1,0)</f>
        <v>0</v>
      </c>
      <c r="AR907" s="1194">
        <f t="shared" si="202"/>
        <v>1</v>
      </c>
      <c r="AS907" s="1194">
        <f t="shared" si="203"/>
        <v>0</v>
      </c>
      <c r="AT907" s="1194">
        <f t="shared" si="204"/>
        <v>1</v>
      </c>
      <c r="AU907" s="1194" t="str">
        <f t="shared" si="205"/>
        <v>.</v>
      </c>
      <c r="AV907" s="1194" t="str">
        <f t="shared" si="196"/>
        <v>.</v>
      </c>
      <c r="AW907" s="1194" t="str">
        <f t="shared" si="206"/>
        <v>.</v>
      </c>
      <c r="AX907" s="1194">
        <f>IFERROR(VLOOKUP(B907,'Share, Heavy Weapons to Ukraine'!B:Z,COLUMN('Share, Heavy Weapons to Ukraine'!C917)-1,0),0)</f>
        <v>0</v>
      </c>
      <c r="AY907" s="1194">
        <f>VLOOKUP('Bilateral Assistance, MAIN DATA'!B907,'Country Summary (€)'!B:F,COLUMN('Country Summary (€)'!C918)-1,FALSE)</f>
        <v>1</v>
      </c>
      <c r="AZ907" s="1194" t="str">
        <f>IF(AND(AD907=1,D907="Military",H907&lt;&gt;"Not given")=TRUE,IF(SUMIFS(P:P,A:A,A907)&gt;0,ABS((SUMIFS(P:P,A:A,A907)/VLOOKUP("USD",'Exchange Rates'!B:C,2,0)))/S907,"."),".")</f>
        <v>.</v>
      </c>
      <c r="BA907" s="1196" t="str">
        <f>IF(AND(AD907=1,D907="Military",H907&lt;&gt;"Not given")=TRUE,IF(SUMIFS(P:P,A:A,A907)&gt;0,IF((ABS((SUMIFS(P:P,A:A,A907)/VLOOKUP("USD",'Exchange Rates'!B:C,2,0)))/S907)&gt;1,(SUMIFS(P:P,A:A,A907)-S907)/S907,(S907-SUMIFS(P:P,A:A,A907))/SUMIFS(P:P,A:A,A907)),"."),".")</f>
        <v>.</v>
      </c>
    </row>
    <row r="908" spans="1:53" ht="15.95" customHeight="1">
      <c r="A908" s="1182" t="s">
        <v>2563</v>
      </c>
      <c r="B908" s="1182" t="s">
        <v>2488</v>
      </c>
      <c r="C908" s="1181">
        <v>44945</v>
      </c>
      <c r="D908" s="1182" t="s">
        <v>389</v>
      </c>
      <c r="E908" s="1182" t="s">
        <v>443</v>
      </c>
      <c r="F908" s="1183" t="s">
        <v>2564</v>
      </c>
      <c r="G908" s="1184" t="s">
        <v>483</v>
      </c>
      <c r="H908" s="1185">
        <v>85000000</v>
      </c>
      <c r="I908" s="1190" t="s">
        <v>2565</v>
      </c>
      <c r="J908" s="1186" t="str">
        <f>VLOOKUP($I908,'Price List, Weapons &amp; Items'!B:C,2,0)</f>
        <v>Heavy weapon</v>
      </c>
      <c r="K908" s="1186" t="str">
        <f>IF(I908=".",I908,VLOOKUP($I908,'Price List, Weapons &amp; Items'!B:D,3,0))</f>
        <v>Self-propelled anti-aircraft weapon</v>
      </c>
      <c r="L908" s="1187">
        <f>VLOOKUP(I908,'Price List, Weapons &amp; Items'!B:E,4,0)</f>
        <v>0</v>
      </c>
      <c r="M908" s="1188">
        <v>24</v>
      </c>
      <c r="N908" s="1275">
        <v>24</v>
      </c>
      <c r="O908" s="1188">
        <f>VLOOKUP($I908,'Price List, Weapons &amp; Items'!B:G,6,0)</f>
        <v>164939.43083244559</v>
      </c>
      <c r="P908" s="1185">
        <f t="shared" si="197"/>
        <v>3958546.339978694</v>
      </c>
      <c r="Q908" s="1185">
        <f t="shared" si="198"/>
        <v>3958546.339978694</v>
      </c>
      <c r="R908" s="1185">
        <f t="shared" si="194"/>
        <v>85000000</v>
      </c>
      <c r="S908" s="1185">
        <f>IF(AND(AD908=1,R908&lt;&gt;".")=TRUE,R908/VLOOKUP(G908,'Exchange Rates'!B:C,2,0),IF(R908=".",".",""))</f>
        <v>85000000</v>
      </c>
      <c r="T908" s="1185">
        <f>IF(AD908=1,IF(AF908="Value is not given at all",".",IF(AF908="Value is given by the source",S908,IF(AF908="Value is calculated with prices",(IF(SUMIFS(Q:Q,A:A,A908)&gt;0,SUMIFS(Q:Q,A:A,A908),"."))/VLOOKUP("USD",'Exchange Rates'!B:C,2,0),"Error with coding"))),"")</f>
        <v>3642387.1365280584</v>
      </c>
      <c r="U908" s="1184" t="s">
        <v>365</v>
      </c>
      <c r="V908" s="987" t="s">
        <v>2566</v>
      </c>
      <c r="W908" s="976" t="s">
        <v>2470</v>
      </c>
      <c r="X908" s="976" t="s">
        <v>2468</v>
      </c>
      <c r="Y908" s="1183" t="s">
        <v>364</v>
      </c>
      <c r="Z908" s="1184">
        <v>0</v>
      </c>
      <c r="AA908" s="1191">
        <v>0</v>
      </c>
      <c r="AB908" s="1026" t="s">
        <v>2567</v>
      </c>
      <c r="AC908" s="1192" t="str">
        <f>""</f>
        <v/>
      </c>
      <c r="AD908" s="985">
        <v>1</v>
      </c>
      <c r="AE908" s="985" t="s">
        <v>368</v>
      </c>
      <c r="AF908" s="985" t="s">
        <v>436</v>
      </c>
      <c r="AG908" s="985">
        <v>1</v>
      </c>
      <c r="AH908" s="985">
        <v>13</v>
      </c>
      <c r="AI908" s="985">
        <v>0</v>
      </c>
      <c r="AJ908" s="1193">
        <f>VLOOKUP($I908,'Price List, Weapons &amp; Items'!B:F,5,0)</f>
        <v>0</v>
      </c>
      <c r="AK908" s="1193">
        <f t="shared" si="199"/>
        <v>0</v>
      </c>
      <c r="AL908" s="1193">
        <f t="shared" si="200"/>
        <v>0</v>
      </c>
      <c r="AM908" s="1193">
        <f t="shared" si="201"/>
        <v>0</v>
      </c>
      <c r="AN908" s="1194" t="str">
        <f>VLOOKUP($I908,'Price List, Weapons &amp; Items'!B:L,COLUMN('Price List, Weapons &amp; Items'!$J$11)-1,0)</f>
        <v>Government information</v>
      </c>
      <c r="AO908" s="1194" t="str">
        <f>IF(I908=".",".",VLOOKUP($I908,'Price List, Weapons &amp; Items'!B:J,3,0))</f>
        <v>Self-propelled anti-aircraft weapon</v>
      </c>
      <c r="AP908" s="1195" t="str">
        <f t="shared" ca="1" si="195"/>
        <v>Bofors L70 anti-aircraft gun</v>
      </c>
      <c r="AQ908" s="1194">
        <f>VLOOKUP($I908,'Price List, Weapons &amp; Items'!B:L,COLUMN('Price List, Weapons &amp; Items'!$L$11)-1,0)</f>
        <v>2</v>
      </c>
      <c r="AR908" s="1194">
        <f t="shared" si="202"/>
        <v>1</v>
      </c>
      <c r="AS908" s="1194">
        <f t="shared" si="203"/>
        <v>1</v>
      </c>
      <c r="AT908" s="1194">
        <f t="shared" si="204"/>
        <v>1</v>
      </c>
      <c r="AU908" s="1194" t="str">
        <f t="shared" si="205"/>
        <v>.</v>
      </c>
      <c r="AV908" s="1194" t="str">
        <f t="shared" si="196"/>
        <v>.</v>
      </c>
      <c r="AW908" s="1194" t="str">
        <f t="shared" si="206"/>
        <v>.</v>
      </c>
      <c r="AX908" s="1194">
        <f>IFERROR(VLOOKUP(B908,'Share, Heavy Weapons to Ukraine'!B:Z,COLUMN('Share, Heavy Weapons to Ukraine'!C918)-1,0),0)</f>
        <v>0</v>
      </c>
      <c r="AY908" s="1194">
        <f>VLOOKUP('Bilateral Assistance, MAIN DATA'!B908,'Country Summary (€)'!B:F,COLUMN('Country Summary (€)'!C919)-1,FALSE)</f>
        <v>1</v>
      </c>
      <c r="AZ908" s="1194">
        <f>IF(AND(AD908=1,D908="Military",H908&lt;&gt;"Not given")=TRUE,IF(SUMIFS(P:P,A:A,A908)&gt;0,ABS((SUMIFS(P:P,A:A,A908)/VLOOKUP("USD",'Exchange Rates'!B:C,2,0)))/S908,"."),".")</f>
        <v>0.14118535026409912</v>
      </c>
      <c r="BA908" s="1196">
        <f>IF(AND(AD908=1,D908="Military",H908&lt;&gt;"Not given")=TRUE,IF(SUMIFS(P:P,A:A,A908)&gt;0,IF((ABS((SUMIFS(P:P,A:A,A908)/VLOOKUP("USD",'Exchange Rates'!B:C,2,0)))/S908)&gt;1,(SUMIFS(P:P,A:A,A908)-S908)/S908,(S908-SUMIFS(P:P,A:A,A908))/SUMIFS(P:P,A:A,A908)),"."),".")</f>
        <v>5.5171952851955393</v>
      </c>
    </row>
    <row r="909" spans="1:53" ht="15.95" customHeight="1">
      <c r="A909" s="1182" t="s">
        <v>2563</v>
      </c>
      <c r="B909" s="1182" t="s">
        <v>2488</v>
      </c>
      <c r="C909" s="1181">
        <v>44945</v>
      </c>
      <c r="D909" s="1182" t="s">
        <v>389</v>
      </c>
      <c r="E909" s="1182" t="s">
        <v>443</v>
      </c>
      <c r="F909" s="1183" t="s">
        <v>2564</v>
      </c>
      <c r="G909" s="1184" t="s">
        <v>483</v>
      </c>
      <c r="H909" s="1185">
        <v>85000000</v>
      </c>
      <c r="I909" s="1266" t="s">
        <v>958</v>
      </c>
      <c r="J909" s="1186" t="str">
        <f>VLOOKUP($I909,'Price List, Weapons &amp; Items'!B:C,2,0)</f>
        <v>Aviation and drones</v>
      </c>
      <c r="K909" s="1186" t="str">
        <f>IF(I909=".",I909,VLOOKUP($I909,'Price List, Weapons &amp; Items'!B:D,3,0))</f>
        <v>Transport aircraft</v>
      </c>
      <c r="L909" s="1187">
        <f>VLOOKUP(I909,'Price List, Weapons &amp; Items'!B:E,4,0)</f>
        <v>1</v>
      </c>
      <c r="M909" s="1188">
        <v>2</v>
      </c>
      <c r="N909" s="1275" t="s">
        <v>374</v>
      </c>
      <c r="O909" s="1188">
        <f>VLOOKUP($I909,'Price List, Weapons &amp; Items'!B:G,6,0)</f>
        <v>4541936.9733591266</v>
      </c>
      <c r="P909" s="1185">
        <f t="shared" si="197"/>
        <v>9083873.9467182532</v>
      </c>
      <c r="Q909" s="1185" t="str">
        <f t="shared" si="198"/>
        <v>.</v>
      </c>
      <c r="R909" s="1185" t="str">
        <f t="shared" si="194"/>
        <v/>
      </c>
      <c r="S909" s="1185" t="str">
        <f>IF(AND(AD909=1,R909&lt;&gt;".")=TRUE,R909/VLOOKUP(G909,'Exchange Rates'!B:C,2,0),IF(R909=".",".",""))</f>
        <v/>
      </c>
      <c r="T909" s="1185" t="str">
        <f>IF(AD909=1,IF(AF909="Value is not given at all",".",IF(AF909="Value is given by the source",S909,IF(AF909="Value is calculated with prices",(IF(SUMIFS(Q:Q,A:A,A909)&gt;0,SUMIFS(Q:Q,A:A,A909),"."))/VLOOKUP("USD",'Exchange Rates'!B:C,2,0),"Error with coding"))),"")</f>
        <v/>
      </c>
      <c r="U909" s="1184" t="s">
        <v>365</v>
      </c>
      <c r="V909" s="987" t="s">
        <v>2566</v>
      </c>
      <c r="W909" s="976" t="s">
        <v>2470</v>
      </c>
      <c r="X909" s="976" t="s">
        <v>2468</v>
      </c>
      <c r="Y909" s="1183" t="s">
        <v>364</v>
      </c>
      <c r="Z909" s="1184">
        <v>0</v>
      </c>
      <c r="AA909" s="1191">
        <v>0</v>
      </c>
      <c r="AB909" s="1028" t="s">
        <v>364</v>
      </c>
      <c r="AC909" s="1192" t="str">
        <f>""</f>
        <v/>
      </c>
      <c r="AD909" s="985">
        <v>0</v>
      </c>
      <c r="AE909" s="985" t="s">
        <v>368</v>
      </c>
      <c r="AF909" s="985" t="s">
        <v>369</v>
      </c>
      <c r="AG909" s="985">
        <v>1</v>
      </c>
      <c r="AH909" s="985">
        <v>13</v>
      </c>
      <c r="AI909" s="985">
        <v>0</v>
      </c>
      <c r="AJ909" s="1193">
        <f>VLOOKUP($I909,'Price List, Weapons &amp; Items'!B:F,5,0)</f>
        <v>0</v>
      </c>
      <c r="AK909" s="1193">
        <f t="shared" si="199"/>
        <v>0</v>
      </c>
      <c r="AL909" s="1193">
        <f t="shared" si="200"/>
        <v>0</v>
      </c>
      <c r="AM909" s="1193">
        <f t="shared" si="201"/>
        <v>0</v>
      </c>
      <c r="AN909" s="1194" t="str">
        <f>VLOOKUP($I909,'Price List, Weapons &amp; Items'!B:L,COLUMN('Price List, Weapons &amp; Items'!$J$11)-1,0)</f>
        <v>Contracts</v>
      </c>
      <c r="AO909" s="1194" t="str">
        <f>IF(I909=".",".",VLOOKUP($I909,'Price List, Weapons &amp; Items'!B:J,3,0))</f>
        <v>Transport aircraft</v>
      </c>
      <c r="AP909" s="1195" t="str">
        <f t="shared" ca="1" si="195"/>
        <v/>
      </c>
      <c r="AQ909" s="1194">
        <f>VLOOKUP($I909,'Price List, Weapons &amp; Items'!B:L,COLUMN('Price List, Weapons &amp; Items'!$L$11)-1,0)</f>
        <v>2</v>
      </c>
      <c r="AR909" s="1194">
        <f t="shared" si="202"/>
        <v>1</v>
      </c>
      <c r="AS909" s="1194">
        <f t="shared" si="203"/>
        <v>1</v>
      </c>
      <c r="AT909" s="1194">
        <f t="shared" si="204"/>
        <v>1</v>
      </c>
      <c r="AU909" s="1194" t="str">
        <f t="shared" si="205"/>
        <v>.</v>
      </c>
      <c r="AV909" s="1194" t="str">
        <f t="shared" si="196"/>
        <v>.</v>
      </c>
      <c r="AW909" s="1194" t="str">
        <f t="shared" si="206"/>
        <v>.</v>
      </c>
      <c r="AX909" s="1194">
        <f>IFERROR(VLOOKUP(B909,'Share, Heavy Weapons to Ukraine'!B:Z,COLUMN('Share, Heavy Weapons to Ukraine'!C919)-1,0),0)</f>
        <v>0</v>
      </c>
      <c r="AY909" s="1194">
        <f>VLOOKUP('Bilateral Assistance, MAIN DATA'!B909,'Country Summary (€)'!B:F,COLUMN('Country Summary (€)'!C920)-1,FALSE)</f>
        <v>1</v>
      </c>
      <c r="AZ909" s="1194" t="str">
        <f>IF(AND(AD909=1,D909="Military",H909&lt;&gt;"Not given")=TRUE,IF(SUMIFS(P:P,A:A,A909)&gt;0,ABS((SUMIFS(P:P,A:A,A909)/VLOOKUP("USD",'Exchange Rates'!B:C,2,0)))/S909,"."),".")</f>
        <v>.</v>
      </c>
      <c r="BA909" s="1196" t="str">
        <f>IF(AND(AD909=1,D909="Military",H909&lt;&gt;"Not given")=TRUE,IF(SUMIFS(P:P,A:A,A909)&gt;0,IF((ABS((SUMIFS(P:P,A:A,A909)/VLOOKUP("USD",'Exchange Rates'!B:C,2,0)))/S909)&gt;1,(SUMIFS(P:P,A:A,A909)-S909)/S909,(S909-SUMIFS(P:P,A:A,A909))/SUMIFS(P:P,A:A,A909)),"."),".")</f>
        <v>.</v>
      </c>
    </row>
    <row r="910" spans="1:53" ht="15.95" customHeight="1">
      <c r="A910" s="1182" t="s">
        <v>2563</v>
      </c>
      <c r="B910" s="1182" t="s">
        <v>2488</v>
      </c>
      <c r="C910" s="1181">
        <v>44945</v>
      </c>
      <c r="D910" s="1182" t="s">
        <v>389</v>
      </c>
      <c r="E910" s="1182" t="s">
        <v>443</v>
      </c>
      <c r="F910" s="1183" t="s">
        <v>2564</v>
      </c>
      <c r="G910" s="1184" t="s">
        <v>483</v>
      </c>
      <c r="H910" s="1185">
        <v>85000000</v>
      </c>
      <c r="I910" s="1266" t="s">
        <v>1842</v>
      </c>
      <c r="J910" s="1186" t="str">
        <f>VLOOKUP($I910,'Price List, Weapons &amp; Items'!B:C,2,0)</f>
        <v>Ammunition for light infantry</v>
      </c>
      <c r="K910" s="1186" t="str">
        <f>IF(I910=".",I910,VLOOKUP($I910,'Price List, Weapons &amp; Items'!B:D,3,0))</f>
        <v>Small Arms and Light Weapons (SALW) ammunition</v>
      </c>
      <c r="L910" s="1187">
        <f>VLOOKUP(I910,'Price List, Weapons &amp; Items'!B:E,4,0)</f>
        <v>0</v>
      </c>
      <c r="M910" s="1188" t="s">
        <v>374</v>
      </c>
      <c r="N910" s="1275" t="s">
        <v>374</v>
      </c>
      <c r="O910" s="1188">
        <f>VLOOKUP($I910,'Price List, Weapons &amp; Items'!B:G,6,0)</f>
        <v>55</v>
      </c>
      <c r="P910" s="1185" t="str">
        <f t="shared" si="197"/>
        <v>.</v>
      </c>
      <c r="Q910" s="1185" t="str">
        <f t="shared" si="198"/>
        <v>.</v>
      </c>
      <c r="R910" s="1185" t="str">
        <f t="shared" si="194"/>
        <v/>
      </c>
      <c r="S910" s="1185" t="str">
        <f>IF(AND(AD910=1,R910&lt;&gt;".")=TRUE,R910/VLOOKUP(G910,'Exchange Rates'!B:C,2,0),IF(R910=".",".",""))</f>
        <v/>
      </c>
      <c r="T910" s="1185" t="str">
        <f>IF(AD910=1,IF(AF910="Value is not given at all",".",IF(AF910="Value is given by the source",S910,IF(AF910="Value is calculated with prices",(IF(SUMIFS(Q:Q,A:A,A910)&gt;0,SUMIFS(Q:Q,A:A,A910),"."))/VLOOKUP("USD",'Exchange Rates'!B:C,2,0),"Error with coding"))),"")</f>
        <v/>
      </c>
      <c r="U910" s="1184" t="s">
        <v>365</v>
      </c>
      <c r="V910" s="987" t="s">
        <v>2566</v>
      </c>
      <c r="W910" s="976" t="s">
        <v>2470</v>
      </c>
      <c r="X910" s="976" t="s">
        <v>2468</v>
      </c>
      <c r="Y910" s="1183" t="s">
        <v>364</v>
      </c>
      <c r="Z910" s="1184">
        <v>0</v>
      </c>
      <c r="AA910" s="1191">
        <v>0</v>
      </c>
      <c r="AB910" s="1028" t="s">
        <v>364</v>
      </c>
      <c r="AC910" s="1192" t="str">
        <f>""</f>
        <v/>
      </c>
      <c r="AD910" s="985">
        <v>0</v>
      </c>
      <c r="AE910" s="985" t="s">
        <v>368</v>
      </c>
      <c r="AF910" s="985" t="s">
        <v>369</v>
      </c>
      <c r="AG910" s="985">
        <v>1</v>
      </c>
      <c r="AH910" s="985">
        <v>13</v>
      </c>
      <c r="AI910" s="985">
        <v>0</v>
      </c>
      <c r="AJ910" s="1193">
        <f>VLOOKUP($I910,'Price List, Weapons &amp; Items'!B:F,5,0)</f>
        <v>0</v>
      </c>
      <c r="AK910" s="1193">
        <f t="shared" si="199"/>
        <v>0</v>
      </c>
      <c r="AL910" s="1193">
        <f t="shared" si="200"/>
        <v>0</v>
      </c>
      <c r="AM910" s="1193">
        <f t="shared" si="201"/>
        <v>1</v>
      </c>
      <c r="AN910" s="1194" t="str">
        <f>VLOOKUP($I910,'Price List, Weapons &amp; Items'!B:L,COLUMN('Price List, Weapons &amp; Items'!$J$11)-1,0)</f>
        <v>Military media (incl. websites)</v>
      </c>
      <c r="AO910" s="1194" t="str">
        <f>IF(I910=".",".",VLOOKUP($I910,'Price List, Weapons &amp; Items'!B:J,3,0))</f>
        <v>Small Arms and Light Weapons (SALW) ammunition</v>
      </c>
      <c r="AP910" s="1195" t="str">
        <f t="shared" ca="1" si="195"/>
        <v/>
      </c>
      <c r="AQ910" s="1194">
        <f>VLOOKUP($I910,'Price List, Weapons &amp; Items'!B:L,COLUMN('Price List, Weapons &amp; Items'!$L$11)-1,0)</f>
        <v>2</v>
      </c>
      <c r="AR910" s="1194">
        <f t="shared" si="202"/>
        <v>1</v>
      </c>
      <c r="AS910" s="1194">
        <f t="shared" si="203"/>
        <v>1</v>
      </c>
      <c r="AT910" s="1194">
        <f t="shared" si="204"/>
        <v>1</v>
      </c>
      <c r="AU910" s="1194" t="str">
        <f t="shared" si="205"/>
        <v>.</v>
      </c>
      <c r="AV910" s="1194" t="str">
        <f t="shared" si="196"/>
        <v>.</v>
      </c>
      <c r="AW910" s="1194" t="str">
        <f t="shared" si="206"/>
        <v>.</v>
      </c>
      <c r="AX910" s="1194">
        <f>IFERROR(VLOOKUP(B910,'Share, Heavy Weapons to Ukraine'!B:Z,COLUMN('Share, Heavy Weapons to Ukraine'!C920)-1,0),0)</f>
        <v>0</v>
      </c>
      <c r="AY910" s="1194">
        <f>VLOOKUP('Bilateral Assistance, MAIN DATA'!B910,'Country Summary (€)'!B:F,COLUMN('Country Summary (€)'!C921)-1,FALSE)</f>
        <v>1</v>
      </c>
      <c r="AZ910" s="1194" t="str">
        <f>IF(AND(AD910=1,D910="Military",H910&lt;&gt;"Not given")=TRUE,IF(SUMIFS(P:P,A:A,A910)&gt;0,ABS((SUMIFS(P:P,A:A,A910)/VLOOKUP("USD",'Exchange Rates'!B:C,2,0)))/S910,"."),".")</f>
        <v>.</v>
      </c>
      <c r="BA910" s="1196" t="str">
        <f>IF(AND(AD910=1,D910="Military",H910&lt;&gt;"Not given")=TRUE,IF(SUMIFS(P:P,A:A,A910)&gt;0,IF((ABS((SUMIFS(P:P,A:A,A910)/VLOOKUP("USD",'Exchange Rates'!B:C,2,0)))/S910)&gt;1,(SUMIFS(P:P,A:A,A910)-S910)/S910,(S910-SUMIFS(P:P,A:A,A910))/SUMIFS(P:P,A:A,A910)),"."),".")</f>
        <v>.</v>
      </c>
    </row>
    <row r="911" spans="1:53" ht="15.95" customHeight="1">
      <c r="A911" s="1182" t="s">
        <v>2568</v>
      </c>
      <c r="B911" s="1182" t="s">
        <v>2488</v>
      </c>
      <c r="C911" s="1181">
        <v>44949</v>
      </c>
      <c r="D911" s="1182" t="s">
        <v>389</v>
      </c>
      <c r="E911" s="1182" t="s">
        <v>443</v>
      </c>
      <c r="F911" s="1183" t="s">
        <v>2569</v>
      </c>
      <c r="G911" s="1184" t="s">
        <v>483</v>
      </c>
      <c r="H911" s="1185">
        <v>40000000</v>
      </c>
      <c r="I911" s="1266" t="s">
        <v>2570</v>
      </c>
      <c r="J911" s="1186" t="str">
        <f>VLOOKUP($I911,'Price List, Weapons &amp; Items'!B:C,2,0)</f>
        <v>Portable defence system</v>
      </c>
      <c r="K911" s="1186" t="str">
        <f>IF(I911=".",I911,VLOOKUP($I911,'Price List, Weapons &amp; Items'!B:D,3,0))</f>
        <v>Anti-drone</v>
      </c>
      <c r="L911" s="1187">
        <f>VLOOKUP(I911,'Price List, Weapons &amp; Items'!B:E,4,0)</f>
        <v>0</v>
      </c>
      <c r="M911" s="1188" t="s">
        <v>374</v>
      </c>
      <c r="N911" s="1275" t="s">
        <v>374</v>
      </c>
      <c r="O911" s="1188">
        <f>VLOOKUP($I911,'Price List, Weapons &amp; Items'!B:G,6,0)</f>
        <v>12000</v>
      </c>
      <c r="P911" s="1185" t="str">
        <f t="shared" si="197"/>
        <v>.</v>
      </c>
      <c r="Q911" s="1185" t="str">
        <f t="shared" si="198"/>
        <v>.</v>
      </c>
      <c r="R911" s="1185">
        <f t="shared" si="194"/>
        <v>40000000</v>
      </c>
      <c r="S911" s="1185">
        <f>IF(AND(AD911=1,R911&lt;&gt;".")=TRUE,R911/VLOOKUP(G911,'Exchange Rates'!B:C,2,0),IF(R911=".",".",""))</f>
        <v>40000000</v>
      </c>
      <c r="T911" s="1185" t="str">
        <f>IF(AD911=1,IF(AF911="Value is not given at all",".",IF(AF911="Value is given by the source",S911,IF(AF911="Value is calculated with prices",(IF(SUMIFS(Q:Q,A:A,A911)&gt;0,SUMIFS(Q:Q,A:A,A911),"."))/VLOOKUP("USD",'Exchange Rates'!B:C,2,0),"Error with coding"))),"")</f>
        <v>.</v>
      </c>
      <c r="U911" s="1184" t="s">
        <v>365</v>
      </c>
      <c r="V911" s="987" t="s">
        <v>2571</v>
      </c>
      <c r="W911" s="976" t="s">
        <v>2470</v>
      </c>
      <c r="X911" s="976" t="s">
        <v>2468</v>
      </c>
      <c r="Y911" s="1183" t="s">
        <v>364</v>
      </c>
      <c r="Z911" s="1184">
        <v>0</v>
      </c>
      <c r="AA911" s="1191">
        <v>0</v>
      </c>
      <c r="AB911" s="1028" t="s">
        <v>364</v>
      </c>
      <c r="AC911" s="1192" t="str">
        <f>""</f>
        <v/>
      </c>
      <c r="AD911" s="985">
        <v>1</v>
      </c>
      <c r="AE911" s="985" t="s">
        <v>368</v>
      </c>
      <c r="AF911" s="985" t="s">
        <v>369</v>
      </c>
      <c r="AG911" s="985">
        <v>1</v>
      </c>
      <c r="AH911" s="985">
        <v>13</v>
      </c>
      <c r="AI911" s="985">
        <v>0</v>
      </c>
      <c r="AJ911" s="1193">
        <f>VLOOKUP($I911,'Price List, Weapons &amp; Items'!B:F,5,0)</f>
        <v>0</v>
      </c>
      <c r="AK911" s="1193">
        <f t="shared" si="199"/>
        <v>0</v>
      </c>
      <c r="AL911" s="1193">
        <f t="shared" si="200"/>
        <v>0</v>
      </c>
      <c r="AM911" s="1193">
        <f t="shared" si="201"/>
        <v>0</v>
      </c>
      <c r="AN911" s="1194" t="str">
        <f>VLOOKUP($I911,'Price List, Weapons &amp; Items'!B:L,COLUMN('Price List, Weapons &amp; Items'!$J$11)-1,0)</f>
        <v>Media reports (incl. social media)</v>
      </c>
      <c r="AO911" s="1194" t="str">
        <f>IF(I911=".",".",VLOOKUP($I911,'Price List, Weapons &amp; Items'!B:J,3,0))</f>
        <v>Anti-drone</v>
      </c>
      <c r="AP911" s="1195" t="str">
        <f t="shared" ca="1" si="195"/>
        <v>Anti-drone weapon</v>
      </c>
      <c r="AQ911" s="1194" t="str">
        <f>VLOOKUP($I911,'Price List, Weapons &amp; Items'!B:L,COLUMN('Price List, Weapons &amp; Items'!$L$11)-1,0)</f>
        <v>no price, 0 count</v>
      </c>
      <c r="AR911" s="1194">
        <f t="shared" si="202"/>
        <v>1</v>
      </c>
      <c r="AS911" s="1194">
        <f t="shared" si="203"/>
        <v>1</v>
      </c>
      <c r="AT911" s="1194">
        <f t="shared" si="204"/>
        <v>1</v>
      </c>
      <c r="AU911" s="1194" t="str">
        <f t="shared" si="205"/>
        <v>.</v>
      </c>
      <c r="AV911" s="1194" t="str">
        <f t="shared" si="196"/>
        <v>.</v>
      </c>
      <c r="AW911" s="1194" t="str">
        <f t="shared" si="206"/>
        <v>.</v>
      </c>
      <c r="AX911" s="1194">
        <f>IFERROR(VLOOKUP(B911,'Share, Heavy Weapons to Ukraine'!B:Z,COLUMN('Share, Heavy Weapons to Ukraine'!C921)-1,0),0)</f>
        <v>0</v>
      </c>
      <c r="AY911" s="1194">
        <f>VLOOKUP('Bilateral Assistance, MAIN DATA'!B911,'Country Summary (€)'!B:F,COLUMN('Country Summary (€)'!C922)-1,FALSE)</f>
        <v>1</v>
      </c>
      <c r="AZ911" s="1194" t="str">
        <f>IF(AND(AD911=1,D911="Military",H911&lt;&gt;"Not given")=TRUE,IF(SUMIFS(P:P,A:A,A911)&gt;0,ABS((SUMIFS(P:P,A:A,A911)/VLOOKUP("USD",'Exchange Rates'!B:C,2,0)))/S911,"."),".")</f>
        <v>.</v>
      </c>
      <c r="BA911" s="1196" t="str">
        <f>IF(AND(AD911=1,D911="Military",H911&lt;&gt;"Not given")=TRUE,IF(SUMIFS(P:P,A:A,A911)&gt;0,IF((ABS((SUMIFS(P:P,A:A,A911)/VLOOKUP("USD",'Exchange Rates'!B:C,2,0)))/S911)&gt;1,(SUMIFS(P:P,A:A,A911)-S911)/S911,(S911-SUMIFS(P:P,A:A,A911))/SUMIFS(P:P,A:A,A911)),"."),".")</f>
        <v>.</v>
      </c>
    </row>
    <row r="912" spans="1:53" ht="15.95" customHeight="1">
      <c r="A912" s="1182" t="s">
        <v>2568</v>
      </c>
      <c r="B912" s="1182" t="s">
        <v>2488</v>
      </c>
      <c r="C912" s="1181">
        <v>44949</v>
      </c>
      <c r="D912" s="1182" t="s">
        <v>389</v>
      </c>
      <c r="E912" s="1182" t="s">
        <v>443</v>
      </c>
      <c r="F912" s="1183" t="s">
        <v>2569</v>
      </c>
      <c r="G912" s="1184" t="s">
        <v>483</v>
      </c>
      <c r="H912" s="1185">
        <v>40000000</v>
      </c>
      <c r="I912" s="1266" t="s">
        <v>2572</v>
      </c>
      <c r="J912" s="1186" t="str">
        <f>VLOOKUP($I912,'Price List, Weapons &amp; Items'!B:C,2,0)</f>
        <v>Military equipment</v>
      </c>
      <c r="K912" s="1186" t="str">
        <f>IF(I912=".",I912,VLOOKUP($I912,'Price List, Weapons &amp; Items'!B:D,3,0))</f>
        <v>Military equipment</v>
      </c>
      <c r="L912" s="1187">
        <f>VLOOKUP(I912,'Price List, Weapons &amp; Items'!B:E,4,0)</f>
        <v>0</v>
      </c>
      <c r="M912" s="1188" t="s">
        <v>374</v>
      </c>
      <c r="N912" s="1275" t="s">
        <v>374</v>
      </c>
      <c r="O912" s="1188">
        <f>VLOOKUP($I912,'Price List, Weapons &amp; Items'!B:G,6,0)</f>
        <v>45</v>
      </c>
      <c r="P912" s="1185" t="str">
        <f t="shared" si="197"/>
        <v>.</v>
      </c>
      <c r="Q912" s="1185" t="str">
        <f t="shared" si="198"/>
        <v>.</v>
      </c>
      <c r="R912" s="1185" t="str">
        <f t="shared" si="194"/>
        <v/>
      </c>
      <c r="S912" s="1185" t="str">
        <f>IF(AND(AD912=1,R912&lt;&gt;".")=TRUE,R912/VLOOKUP(G912,'Exchange Rates'!B:C,2,0),IF(R912=".",".",""))</f>
        <v/>
      </c>
      <c r="T912" s="1185" t="str">
        <f>IF(AD912=1,IF(AF912="Value is not given at all",".",IF(AF912="Value is given by the source",S912,IF(AF912="Value is calculated with prices",(IF(SUMIFS(Q:Q,A:A,A912)&gt;0,SUMIFS(Q:Q,A:A,A912),"."))/VLOOKUP("USD",'Exchange Rates'!B:C,2,0),"Error with coding"))),"")</f>
        <v/>
      </c>
      <c r="U912" s="1184" t="s">
        <v>365</v>
      </c>
      <c r="V912" s="987" t="s">
        <v>2571</v>
      </c>
      <c r="W912" s="976" t="s">
        <v>2470</v>
      </c>
      <c r="X912" s="976" t="s">
        <v>2468</v>
      </c>
      <c r="Y912" s="1183" t="s">
        <v>364</v>
      </c>
      <c r="Z912" s="1184">
        <v>0</v>
      </c>
      <c r="AA912" s="1191">
        <v>0</v>
      </c>
      <c r="AB912" s="1028" t="s">
        <v>364</v>
      </c>
      <c r="AC912" s="1192" t="str">
        <f>""</f>
        <v/>
      </c>
      <c r="AD912" s="985">
        <v>0</v>
      </c>
      <c r="AE912" s="985" t="s">
        <v>368</v>
      </c>
      <c r="AF912" s="985" t="s">
        <v>369</v>
      </c>
      <c r="AG912" s="985">
        <v>1</v>
      </c>
      <c r="AH912" s="985">
        <v>13</v>
      </c>
      <c r="AI912" s="985">
        <v>0</v>
      </c>
      <c r="AJ912" s="1193">
        <f>VLOOKUP($I912,'Price List, Weapons &amp; Items'!B:F,5,0)</f>
        <v>0</v>
      </c>
      <c r="AK912" s="1193">
        <f t="shared" si="199"/>
        <v>0</v>
      </c>
      <c r="AL912" s="1193">
        <f t="shared" si="200"/>
        <v>0</v>
      </c>
      <c r="AM912" s="1193">
        <f t="shared" si="201"/>
        <v>0</v>
      </c>
      <c r="AN912" s="1194" t="str">
        <f>VLOOKUP($I912,'Price List, Weapons &amp; Items'!B:L,COLUMN('Price List, Weapons &amp; Items'!$J$11)-1,0)</f>
        <v>Online marketplaces and stores</v>
      </c>
      <c r="AO912" s="1194" t="str">
        <f>IF(I912=".",".",VLOOKUP($I912,'Price List, Weapons &amp; Items'!B:J,3,0))</f>
        <v>Military equipment</v>
      </c>
      <c r="AP912" s="1195" t="str">
        <f t="shared" ca="1" si="195"/>
        <v/>
      </c>
      <c r="AQ912" s="1194">
        <f>VLOOKUP($I912,'Price List, Weapons &amp; Items'!B:L,COLUMN('Price List, Weapons &amp; Items'!$L$11)-1,0)</f>
        <v>1</v>
      </c>
      <c r="AR912" s="1194">
        <f t="shared" si="202"/>
        <v>1</v>
      </c>
      <c r="AS912" s="1194">
        <f t="shared" si="203"/>
        <v>1</v>
      </c>
      <c r="AT912" s="1194">
        <f t="shared" si="204"/>
        <v>1</v>
      </c>
      <c r="AU912" s="1194" t="str">
        <f t="shared" si="205"/>
        <v>.</v>
      </c>
      <c r="AV912" s="1194" t="str">
        <f t="shared" si="196"/>
        <v>.</v>
      </c>
      <c r="AW912" s="1194" t="str">
        <f t="shared" si="206"/>
        <v>.</v>
      </c>
      <c r="AX912" s="1194">
        <f>IFERROR(VLOOKUP(B912,'Share, Heavy Weapons to Ukraine'!B:Z,COLUMN('Share, Heavy Weapons to Ukraine'!C922)-1,0),0)</f>
        <v>0</v>
      </c>
      <c r="AY912" s="1194">
        <f>VLOOKUP('Bilateral Assistance, MAIN DATA'!B912,'Country Summary (€)'!B:F,COLUMN('Country Summary (€)'!C923)-1,FALSE)</f>
        <v>1</v>
      </c>
      <c r="AZ912" s="1194" t="str">
        <f>IF(AND(AD912=1,D912="Military",H912&lt;&gt;"Not given")=TRUE,IF(SUMIFS(P:P,A:A,A912)&gt;0,ABS((SUMIFS(P:P,A:A,A912)/VLOOKUP("USD",'Exchange Rates'!B:C,2,0)))/S912,"."),".")</f>
        <v>.</v>
      </c>
      <c r="BA912" s="1196" t="str">
        <f>IF(AND(AD912=1,D912="Military",H912&lt;&gt;"Not given")=TRUE,IF(SUMIFS(P:P,A:A,A912)&gt;0,IF((ABS((SUMIFS(P:P,A:A,A912)/VLOOKUP("USD",'Exchange Rates'!B:C,2,0)))/S912)&gt;1,(SUMIFS(P:P,A:A,A912)-S912)/S912,(S912-SUMIFS(P:P,A:A,A912))/SUMIFS(P:P,A:A,A912)),"."),".")</f>
        <v>.</v>
      </c>
    </row>
    <row r="913" spans="1:53" ht="15.95" customHeight="1">
      <c r="A913" s="1182" t="s">
        <v>2568</v>
      </c>
      <c r="B913" s="1182" t="s">
        <v>2488</v>
      </c>
      <c r="C913" s="1181">
        <v>44949</v>
      </c>
      <c r="D913" s="1182" t="s">
        <v>389</v>
      </c>
      <c r="E913" s="1182" t="s">
        <v>443</v>
      </c>
      <c r="F913" s="1183" t="s">
        <v>2569</v>
      </c>
      <c r="G913" s="1184" t="s">
        <v>483</v>
      </c>
      <c r="H913" s="1185">
        <v>40000000</v>
      </c>
      <c r="I913" s="1266" t="s">
        <v>2548</v>
      </c>
      <c r="J913" s="1186" t="str">
        <f>VLOOKUP($I913,'Price List, Weapons &amp; Items'!B:C,2,0)</f>
        <v>Military equipment</v>
      </c>
      <c r="K913" s="1186" t="str">
        <f>IF(I913=".",I913,VLOOKUP($I913,'Price List, Weapons &amp; Items'!B:D,3,0))</f>
        <v>Military equipment</v>
      </c>
      <c r="L913" s="1187">
        <f>VLOOKUP(I913,'Price List, Weapons &amp; Items'!B:E,4,0)</f>
        <v>0</v>
      </c>
      <c r="M913" s="1188" t="s">
        <v>374</v>
      </c>
      <c r="N913" s="1275" t="s">
        <v>374</v>
      </c>
      <c r="O913" s="1188">
        <f>VLOOKUP($I913,'Price List, Weapons &amp; Items'!B:G,6,0)</f>
        <v>5000</v>
      </c>
      <c r="P913" s="1185" t="str">
        <f t="shared" si="197"/>
        <v>.</v>
      </c>
      <c r="Q913" s="1185" t="str">
        <f t="shared" si="198"/>
        <v>.</v>
      </c>
      <c r="R913" s="1185" t="str">
        <f t="shared" si="194"/>
        <v/>
      </c>
      <c r="S913" s="1185" t="str">
        <f>IF(AND(AD913=1,R913&lt;&gt;".")=TRUE,R913/VLOOKUP(G913,'Exchange Rates'!B:C,2,0),IF(R913=".",".",""))</f>
        <v/>
      </c>
      <c r="T913" s="1185" t="str">
        <f>IF(AD913=1,IF(AF913="Value is not given at all",".",IF(AF913="Value is given by the source",S913,IF(AF913="Value is calculated with prices",(IF(SUMIFS(Q:Q,A:A,A913)&gt;0,SUMIFS(Q:Q,A:A,A913),"."))/VLOOKUP("USD",'Exchange Rates'!B:C,2,0),"Error with coding"))),"")</f>
        <v/>
      </c>
      <c r="U913" s="1184" t="s">
        <v>365</v>
      </c>
      <c r="V913" s="987" t="s">
        <v>2571</v>
      </c>
      <c r="W913" s="976" t="s">
        <v>2470</v>
      </c>
      <c r="X913" s="976" t="s">
        <v>2468</v>
      </c>
      <c r="Y913" s="1183" t="s">
        <v>364</v>
      </c>
      <c r="Z913" s="1184">
        <v>0</v>
      </c>
      <c r="AA913" s="1191">
        <v>0</v>
      </c>
      <c r="AB913" s="1028" t="s">
        <v>364</v>
      </c>
      <c r="AC913" s="1192" t="str">
        <f>""</f>
        <v/>
      </c>
      <c r="AD913" s="985">
        <v>0</v>
      </c>
      <c r="AE913" s="985" t="s">
        <v>368</v>
      </c>
      <c r="AF913" s="985" t="s">
        <v>369</v>
      </c>
      <c r="AG913" s="985">
        <v>1</v>
      </c>
      <c r="AH913" s="985">
        <v>13</v>
      </c>
      <c r="AI913" s="985">
        <v>0</v>
      </c>
      <c r="AJ913" s="1193">
        <f>VLOOKUP($I913,'Price List, Weapons &amp; Items'!B:F,5,0)</f>
        <v>0</v>
      </c>
      <c r="AK913" s="1193">
        <f t="shared" si="199"/>
        <v>0</v>
      </c>
      <c r="AL913" s="1193">
        <f t="shared" si="200"/>
        <v>0</v>
      </c>
      <c r="AM913" s="1193">
        <f t="shared" si="201"/>
        <v>0</v>
      </c>
      <c r="AN913" s="1194" t="str">
        <f>VLOOKUP($I913,'Price List, Weapons &amp; Items'!B:L,COLUMN('Price List, Weapons &amp; Items'!$J$11)-1,0)</f>
        <v>Miscellaneous</v>
      </c>
      <c r="AO913" s="1194" t="str">
        <f>IF(I913=".",".",VLOOKUP($I913,'Price List, Weapons &amp; Items'!B:J,3,0))</f>
        <v>Military equipment</v>
      </c>
      <c r="AP913" s="1195" t="str">
        <f t="shared" ca="1" si="195"/>
        <v/>
      </c>
      <c r="AQ913" s="1194" t="str">
        <f>VLOOKUP($I913,'Price List, Weapons &amp; Items'!B:L,COLUMN('Price List, Weapons &amp; Items'!$L$11)-1,0)</f>
        <v>no price, 0 count</v>
      </c>
      <c r="AR913" s="1194">
        <f t="shared" si="202"/>
        <v>1</v>
      </c>
      <c r="AS913" s="1194">
        <f t="shared" si="203"/>
        <v>1</v>
      </c>
      <c r="AT913" s="1194">
        <f t="shared" si="204"/>
        <v>1</v>
      </c>
      <c r="AU913" s="1194" t="str">
        <f t="shared" si="205"/>
        <v>.</v>
      </c>
      <c r="AV913" s="1194" t="str">
        <f t="shared" si="196"/>
        <v>.</v>
      </c>
      <c r="AW913" s="1194" t="str">
        <f t="shared" si="206"/>
        <v>.</v>
      </c>
      <c r="AX913" s="1194">
        <f>IFERROR(VLOOKUP(B913,'Share, Heavy Weapons to Ukraine'!B:Z,COLUMN('Share, Heavy Weapons to Ukraine'!C923)-1,0),0)</f>
        <v>0</v>
      </c>
      <c r="AY913" s="1194">
        <f>VLOOKUP('Bilateral Assistance, MAIN DATA'!B913,'Country Summary (€)'!B:F,COLUMN('Country Summary (€)'!C924)-1,FALSE)</f>
        <v>1</v>
      </c>
      <c r="AZ913" s="1194" t="str">
        <f>IF(AND(AD913=1,D913="Military",H913&lt;&gt;"Not given")=TRUE,IF(SUMIFS(P:P,A:A,A913)&gt;0,ABS((SUMIFS(P:P,A:A,A913)/VLOOKUP("USD",'Exchange Rates'!B:C,2,0)))/S913,"."),".")</f>
        <v>.</v>
      </c>
      <c r="BA913" s="1196" t="str">
        <f>IF(AND(AD913=1,D913="Military",H913&lt;&gt;"Not given")=TRUE,IF(SUMIFS(P:P,A:A,A913)&gt;0,IF((ABS((SUMIFS(P:P,A:A,A913)/VLOOKUP("USD",'Exchange Rates'!B:C,2,0)))/S913)&gt;1,(SUMIFS(P:P,A:A,A913)-S913)/S913,(S913-SUMIFS(P:P,A:A,A913))/SUMIFS(P:P,A:A,A913)),"."),".")</f>
        <v>.</v>
      </c>
    </row>
    <row r="914" spans="1:53" ht="15.95" customHeight="1">
      <c r="A914" s="1182" t="s">
        <v>2568</v>
      </c>
      <c r="B914" s="1182" t="s">
        <v>2488</v>
      </c>
      <c r="C914" s="1181">
        <v>44949</v>
      </c>
      <c r="D914" s="1182" t="s">
        <v>389</v>
      </c>
      <c r="E914" s="1182" t="s">
        <v>443</v>
      </c>
      <c r="F914" s="1183" t="s">
        <v>2569</v>
      </c>
      <c r="G914" s="1184" t="s">
        <v>483</v>
      </c>
      <c r="H914" s="1185">
        <v>40000000</v>
      </c>
      <c r="I914" s="1266" t="s">
        <v>1324</v>
      </c>
      <c r="J914" s="1186" t="str">
        <f>VLOOKUP($I914,'Price List, Weapons &amp; Items'!B:C,2,0)</f>
        <v>Aviation and drones</v>
      </c>
      <c r="K914" s="1186" t="str">
        <f>IF(I914=".",I914,VLOOKUP($I914,'Price List, Weapons &amp; Items'!B:D,3,0))</f>
        <v>Drone</v>
      </c>
      <c r="L914" s="1187">
        <f>VLOOKUP(I914,'Price List, Weapons &amp; Items'!B:E,4,0)</f>
        <v>0</v>
      </c>
      <c r="M914" s="1188" t="s">
        <v>374</v>
      </c>
      <c r="N914" s="1275" t="s">
        <v>374</v>
      </c>
      <c r="O914" s="1188">
        <f>VLOOKUP($I914,'Price List, Weapons &amp; Items'!B:G,6,0)</f>
        <v>6000</v>
      </c>
      <c r="P914" s="1185" t="str">
        <f t="shared" si="197"/>
        <v>.</v>
      </c>
      <c r="Q914" s="1185" t="str">
        <f t="shared" si="198"/>
        <v>.</v>
      </c>
      <c r="R914" s="1185" t="str">
        <f t="shared" si="194"/>
        <v/>
      </c>
      <c r="S914" s="1185" t="str">
        <f>IF(AND(AD914=1,R914&lt;&gt;".")=TRUE,R914/VLOOKUP(G914,'Exchange Rates'!B:C,2,0),IF(R914=".",".",""))</f>
        <v/>
      </c>
      <c r="T914" s="1185" t="str">
        <f>IF(AD914=1,IF(AF914="Value is not given at all",".",IF(AF914="Value is given by the source",S914,IF(AF914="Value is calculated with prices",(IF(SUMIFS(Q:Q,A:A,A914)&gt;0,SUMIFS(Q:Q,A:A,A914),"."))/VLOOKUP("USD",'Exchange Rates'!B:C,2,0),"Error with coding"))),"")</f>
        <v/>
      </c>
      <c r="U914" s="1184" t="s">
        <v>365</v>
      </c>
      <c r="V914" s="987" t="s">
        <v>2571</v>
      </c>
      <c r="W914" s="976" t="s">
        <v>2470</v>
      </c>
      <c r="X914" s="976" t="s">
        <v>2468</v>
      </c>
      <c r="Y914" s="1183" t="s">
        <v>364</v>
      </c>
      <c r="Z914" s="1184">
        <v>0</v>
      </c>
      <c r="AA914" s="1191">
        <v>0</v>
      </c>
      <c r="AB914" s="1028" t="s">
        <v>364</v>
      </c>
      <c r="AC914" s="1192" t="str">
        <f>""</f>
        <v/>
      </c>
      <c r="AD914" s="985">
        <v>0</v>
      </c>
      <c r="AE914" s="985" t="s">
        <v>368</v>
      </c>
      <c r="AF914" s="985" t="s">
        <v>369</v>
      </c>
      <c r="AG914" s="985">
        <v>1</v>
      </c>
      <c r="AH914" s="985">
        <v>13</v>
      </c>
      <c r="AI914" s="985">
        <v>0</v>
      </c>
      <c r="AJ914" s="1193">
        <f>VLOOKUP($I914,'Price List, Weapons &amp; Items'!B:F,5,0)</f>
        <v>0</v>
      </c>
      <c r="AK914" s="1193">
        <f t="shared" si="199"/>
        <v>0</v>
      </c>
      <c r="AL914" s="1193">
        <f t="shared" si="200"/>
        <v>0</v>
      </c>
      <c r="AM914" s="1193">
        <f t="shared" si="201"/>
        <v>0</v>
      </c>
      <c r="AN914" s="1194" t="str">
        <f>VLOOKUP($I914,'Price List, Weapons &amp; Items'!B:L,COLUMN('Price List, Weapons &amp; Items'!$J$11)-1,0)</f>
        <v>Miscellaneous</v>
      </c>
      <c r="AO914" s="1194" t="str">
        <f>IF(I914=".",".",VLOOKUP($I914,'Price List, Weapons &amp; Items'!B:J,3,0))</f>
        <v>Drone</v>
      </c>
      <c r="AP914" s="1195" t="str">
        <f t="shared" ca="1" si="195"/>
        <v/>
      </c>
      <c r="AQ914" s="1194">
        <f>VLOOKUP($I914,'Price List, Weapons &amp; Items'!B:L,COLUMN('Price List, Weapons &amp; Items'!$L$11)-1,0)</f>
        <v>1</v>
      </c>
      <c r="AR914" s="1194">
        <f t="shared" si="202"/>
        <v>1</v>
      </c>
      <c r="AS914" s="1194">
        <f t="shared" si="203"/>
        <v>1</v>
      </c>
      <c r="AT914" s="1194">
        <f t="shared" si="204"/>
        <v>1</v>
      </c>
      <c r="AU914" s="1194" t="str">
        <f t="shared" si="205"/>
        <v>.</v>
      </c>
      <c r="AV914" s="1194" t="str">
        <f t="shared" si="196"/>
        <v>.</v>
      </c>
      <c r="AW914" s="1194" t="str">
        <f t="shared" si="206"/>
        <v>.</v>
      </c>
      <c r="AX914" s="1194">
        <f>IFERROR(VLOOKUP(B914,'Share, Heavy Weapons to Ukraine'!B:Z,COLUMN('Share, Heavy Weapons to Ukraine'!C924)-1,0),0)</f>
        <v>0</v>
      </c>
      <c r="AY914" s="1194">
        <f>VLOOKUP('Bilateral Assistance, MAIN DATA'!B914,'Country Summary (€)'!B:F,COLUMN('Country Summary (€)'!C925)-1,FALSE)</f>
        <v>1</v>
      </c>
      <c r="AZ914" s="1194" t="str">
        <f>IF(AND(AD914=1,D914="Military",H914&lt;&gt;"Not given")=TRUE,IF(SUMIFS(P:P,A:A,A914)&gt;0,ABS((SUMIFS(P:P,A:A,A914)/VLOOKUP("USD",'Exchange Rates'!B:C,2,0)))/S914,"."),".")</f>
        <v>.</v>
      </c>
      <c r="BA914" s="1196" t="str">
        <f>IF(AND(AD914=1,D914="Military",H914&lt;&gt;"Not given")=TRUE,IF(SUMIFS(P:P,A:A,A914)&gt;0,IF((ABS((SUMIFS(P:P,A:A,A914)/VLOOKUP("USD",'Exchange Rates'!B:C,2,0)))/S914)&gt;1,(SUMIFS(P:P,A:A,A914)-S914)/S914,(S914-SUMIFS(P:P,A:A,A914))/SUMIFS(P:P,A:A,A914)),"."),".")</f>
        <v>.</v>
      </c>
    </row>
    <row r="915" spans="1:53" ht="15.95" customHeight="1">
      <c r="A915" s="1182" t="s">
        <v>2573</v>
      </c>
      <c r="B915" s="1182" t="s">
        <v>2488</v>
      </c>
      <c r="C915" s="1181">
        <v>45001</v>
      </c>
      <c r="D915" s="1182" t="s">
        <v>389</v>
      </c>
      <c r="E915" s="1182" t="s">
        <v>443</v>
      </c>
      <c r="F915" s="1183" t="s">
        <v>2574</v>
      </c>
      <c r="G915" s="1184" t="s">
        <v>483</v>
      </c>
      <c r="H915" s="1185">
        <v>45000000</v>
      </c>
      <c r="I915" s="1266" t="s">
        <v>856</v>
      </c>
      <c r="J915" s="1186" t="str">
        <f>VLOOKUP($I915,'Price List, Weapons &amp; Items'!B:C,2,0)</f>
        <v>Ammunition for heavy weapon</v>
      </c>
      <c r="K915" s="1186" t="str">
        <f>IF(I915=".",I915,VLOOKUP($I915,'Price List, Weapons &amp; Items'!B:D,3,0))</f>
        <v>155mm howitzer ammunition</v>
      </c>
      <c r="L915" s="1187">
        <f>VLOOKUP(I915,'Price List, Weapons &amp; Items'!B:E,4,0)</f>
        <v>0</v>
      </c>
      <c r="M915" s="1188" t="s">
        <v>374</v>
      </c>
      <c r="N915" s="1275" t="s">
        <v>374</v>
      </c>
      <c r="O915" s="1188">
        <f>VLOOKUP($I915,'Price List, Weapons &amp; Items'!B:G,6,0)</f>
        <v>3800</v>
      </c>
      <c r="P915" s="1185" t="str">
        <f t="shared" si="197"/>
        <v>.</v>
      </c>
      <c r="Q915" s="1185" t="str">
        <f t="shared" si="198"/>
        <v>.</v>
      </c>
      <c r="R915" s="1185">
        <f t="shared" si="194"/>
        <v>45000000</v>
      </c>
      <c r="S915" s="1185">
        <f>IF(AND(AD915=1,R915&lt;&gt;".")=TRUE,R915/VLOOKUP(G915,'Exchange Rates'!B:C,2,0),IF(R915=".",".",""))</f>
        <v>45000000</v>
      </c>
      <c r="T915" s="1185" t="str">
        <f>IF(AD915=1,IF(AF915="Value is not given at all",".",IF(AF915="Value is given by the source",S915,IF(AF915="Value is calculated with prices",(IF(SUMIFS(Q:Q,A:A,A915)&gt;0,SUMIFS(Q:Q,A:A,A915),"."))/VLOOKUP("USD",'Exchange Rates'!B:C,2,0),"Error with coding"))),"")</f>
        <v>.</v>
      </c>
      <c r="U915" s="1184" t="s">
        <v>365</v>
      </c>
      <c r="V915" s="987" t="s">
        <v>2575</v>
      </c>
      <c r="W915" s="976" t="s">
        <v>2576</v>
      </c>
      <c r="X915" s="976" t="s">
        <v>2577</v>
      </c>
      <c r="Y915" s="976" t="s">
        <v>2578</v>
      </c>
      <c r="Z915" s="1184">
        <v>0</v>
      </c>
      <c r="AA915" s="1191">
        <v>1</v>
      </c>
      <c r="AB915" s="1028" t="s">
        <v>364</v>
      </c>
      <c r="AC915" s="1192" t="str">
        <f>""</f>
        <v/>
      </c>
      <c r="AD915" s="985">
        <v>1</v>
      </c>
      <c r="AE915" s="985" t="s">
        <v>368</v>
      </c>
      <c r="AF915" s="985" t="s">
        <v>369</v>
      </c>
      <c r="AG915" s="985">
        <v>1</v>
      </c>
      <c r="AH915" s="985">
        <v>15</v>
      </c>
      <c r="AI915" s="985">
        <v>0</v>
      </c>
      <c r="AJ915" s="1193">
        <f>VLOOKUP($I915,'Price List, Weapons &amp; Items'!B:F,5,0)</f>
        <v>1</v>
      </c>
      <c r="AK915" s="1193">
        <f t="shared" si="199"/>
        <v>1</v>
      </c>
      <c r="AL915" s="1193">
        <f t="shared" si="200"/>
        <v>1</v>
      </c>
      <c r="AM915" s="1193">
        <f t="shared" si="201"/>
        <v>0</v>
      </c>
      <c r="AN915" s="1194" t="str">
        <f>VLOOKUP($I915,'Price List, Weapons &amp; Items'!B:L,COLUMN('Price List, Weapons &amp; Items'!$J$11)-1,0)</f>
        <v>Government information</v>
      </c>
      <c r="AO915" s="1194" t="str">
        <f>IF(I915=".",".",VLOOKUP($I915,'Price List, Weapons &amp; Items'!B:J,3,0))</f>
        <v>155mm howitzer ammunition</v>
      </c>
      <c r="AP915" s="1195" t="str">
        <f t="shared" ca="1" si="195"/>
        <v>155mm artillery round</v>
      </c>
      <c r="AQ915" s="1194">
        <f>VLOOKUP($I915,'Price List, Weapons &amp; Items'!B:L,COLUMN('Price List, Weapons &amp; Items'!$L$11)-1,0)</f>
        <v>2</v>
      </c>
      <c r="AR915" s="1194">
        <f t="shared" si="202"/>
        <v>1</v>
      </c>
      <c r="AS915" s="1194">
        <f t="shared" si="203"/>
        <v>1</v>
      </c>
      <c r="AT915" s="1194">
        <f t="shared" si="204"/>
        <v>1</v>
      </c>
      <c r="AU915" s="1194" t="str">
        <f t="shared" si="205"/>
        <v>.</v>
      </c>
      <c r="AV915" s="1194" t="str">
        <f t="shared" si="196"/>
        <v>.</v>
      </c>
      <c r="AW915" s="1194" t="str">
        <f t="shared" si="206"/>
        <v>.</v>
      </c>
      <c r="AX915" s="1194">
        <f>IFERROR(VLOOKUP(B915,'Share, Heavy Weapons to Ukraine'!B:Z,COLUMN('Share, Heavy Weapons to Ukraine'!C925)-1,0),0)</f>
        <v>0</v>
      </c>
      <c r="AY915" s="1194">
        <f>VLOOKUP('Bilateral Assistance, MAIN DATA'!B915,'Country Summary (€)'!B:F,COLUMN('Country Summary (€)'!C926)-1,FALSE)</f>
        <v>1</v>
      </c>
      <c r="AZ915" s="1194">
        <f>IF(AND(AD915=1,D915="Military",H915&lt;&gt;"Not given")=TRUE,IF(SUMIFS(P:P,A:A,A915)&gt;0,ABS((SUMIFS(P:P,A:A,A915)/VLOOKUP("USD",'Exchange Rates'!B:C,2,0)))/S915,"."),".")</f>
        <v>2.8764049386666669E-3</v>
      </c>
      <c r="BA915" s="1196">
        <f>IF(AND(AD915=1,D915="Military",H915&lt;&gt;"Not given")=TRUE,IF(SUMIFS(P:P,A:A,A915)&gt;0,IF((ABS((SUMIFS(P:P,A:A,A915)/VLOOKUP("USD",'Exchange Rates'!B:C,2,0)))/S915)&gt;1,(SUMIFS(P:P,A:A,A915)-S915)/S915,(S915-SUMIFS(P:P,A:A,A915))/SUMIFS(P:P,A:A,A915)),"."),".")</f>
        <v>318.88976472359525</v>
      </c>
    </row>
    <row r="916" spans="1:53" ht="15.95" customHeight="1">
      <c r="A916" s="1182" t="s">
        <v>2573</v>
      </c>
      <c r="B916" s="1182" t="s">
        <v>2488</v>
      </c>
      <c r="C916" s="1181">
        <v>45001</v>
      </c>
      <c r="D916" s="1182" t="s">
        <v>389</v>
      </c>
      <c r="E916" s="1182" t="s">
        <v>443</v>
      </c>
      <c r="F916" s="1183" t="s">
        <v>2574</v>
      </c>
      <c r="G916" s="1184" t="s">
        <v>483</v>
      </c>
      <c r="H916" s="1185">
        <v>45000000</v>
      </c>
      <c r="I916" s="1266" t="s">
        <v>2579</v>
      </c>
      <c r="J916" s="1186" t="str">
        <f>VLOOKUP($I916,'Price List, Weapons &amp; Items'!B:C,2,0)</f>
        <v>Military equipment</v>
      </c>
      <c r="K916" s="1186" t="str">
        <f>IF(I916=".",I916,VLOOKUP($I916,'Price List, Weapons &amp; Items'!B:D,3,0))</f>
        <v>non combat military vehicle</v>
      </c>
      <c r="L916" s="1187">
        <f>VLOOKUP(I916,'Price List, Weapons &amp; Items'!B:E,4,0)</f>
        <v>0</v>
      </c>
      <c r="M916" s="1188">
        <v>6</v>
      </c>
      <c r="N916" s="1275">
        <v>6</v>
      </c>
      <c r="O916" s="1188">
        <f>VLOOKUP($I916,'Price List, Weapons &amp; Items'!B:G,6,0)</f>
        <v>23445.576655072</v>
      </c>
      <c r="P916" s="1185">
        <f t="shared" si="197"/>
        <v>140673.459930432</v>
      </c>
      <c r="Q916" s="1185">
        <f t="shared" si="198"/>
        <v>140673.459930432</v>
      </c>
      <c r="R916" s="1185" t="str">
        <f t="shared" si="194"/>
        <v/>
      </c>
      <c r="S916" s="1185" t="str">
        <f>IF(AND(AD916=1,R916&lt;&gt;".")=TRUE,R916/VLOOKUP(G916,'Exchange Rates'!B:C,2,0),IF(R916=".",".",""))</f>
        <v/>
      </c>
      <c r="T916" s="1185" t="str">
        <f>IF(AD916=1,IF(AF916="Value is not given at all",".",IF(AF916="Value is given by the source",S916,IF(AF916="Value is calculated with prices",(IF(SUMIFS(Q:Q,A:A,A916)&gt;0,SUMIFS(Q:Q,A:A,A916),"."))/VLOOKUP("USD",'Exchange Rates'!B:C,2,0),"Error with coding"))),"")</f>
        <v/>
      </c>
      <c r="U916" s="1184" t="s">
        <v>365</v>
      </c>
      <c r="V916" s="987" t="s">
        <v>2575</v>
      </c>
      <c r="W916" s="976" t="s">
        <v>2576</v>
      </c>
      <c r="X916" s="976" t="s">
        <v>2577</v>
      </c>
      <c r="Y916" s="976" t="s">
        <v>2578</v>
      </c>
      <c r="Z916" s="1184">
        <v>0</v>
      </c>
      <c r="AA916" s="1191">
        <v>1</v>
      </c>
      <c r="AB916" s="976" t="s">
        <v>2577</v>
      </c>
      <c r="AC916" s="1192" t="str">
        <f>""</f>
        <v/>
      </c>
      <c r="AD916" s="985">
        <v>0</v>
      </c>
      <c r="AE916" s="985" t="s">
        <v>368</v>
      </c>
      <c r="AF916" s="985" t="s">
        <v>369</v>
      </c>
      <c r="AG916" s="985">
        <v>1</v>
      </c>
      <c r="AH916" s="985">
        <v>15</v>
      </c>
      <c r="AI916" s="985">
        <v>0</v>
      </c>
      <c r="AJ916" s="1193">
        <f>VLOOKUP($I916,'Price List, Weapons &amp; Items'!B:F,5,0)</f>
        <v>0</v>
      </c>
      <c r="AK916" s="1193">
        <f t="shared" si="199"/>
        <v>0</v>
      </c>
      <c r="AL916" s="1193">
        <f t="shared" si="200"/>
        <v>0</v>
      </c>
      <c r="AM916" s="1193">
        <f t="shared" si="201"/>
        <v>0</v>
      </c>
      <c r="AN916" s="1194" t="str">
        <f>VLOOKUP($I916,'Price List, Weapons &amp; Items'!B:L,COLUMN('Price List, Weapons &amp; Items'!$J$11)-1,0)</f>
        <v>Online marketplaces and stores</v>
      </c>
      <c r="AO916" s="1194" t="str">
        <f>IF(I916=".",".",VLOOKUP($I916,'Price List, Weapons &amp; Items'!B:J,3,0))</f>
        <v>non combat military vehicle</v>
      </c>
      <c r="AP916" s="1195" t="str">
        <f t="shared" ca="1" si="195"/>
        <v/>
      </c>
      <c r="AQ916" s="1194">
        <f>VLOOKUP($I916,'Price List, Weapons &amp; Items'!B:L,COLUMN('Price List, Weapons &amp; Items'!$L$11)-1,0)</f>
        <v>1</v>
      </c>
      <c r="AR916" s="1194">
        <f t="shared" si="202"/>
        <v>1</v>
      </c>
      <c r="AS916" s="1194">
        <f t="shared" si="203"/>
        <v>1</v>
      </c>
      <c r="AT916" s="1194">
        <f t="shared" si="204"/>
        <v>1</v>
      </c>
      <c r="AU916" s="1194" t="str">
        <f t="shared" si="205"/>
        <v>.</v>
      </c>
      <c r="AV916" s="1194" t="str">
        <f t="shared" si="196"/>
        <v>.</v>
      </c>
      <c r="AW916" s="1194" t="str">
        <f t="shared" si="206"/>
        <v>.</v>
      </c>
      <c r="AX916" s="1194">
        <f>IFERROR(VLOOKUP(B916,'Share, Heavy Weapons to Ukraine'!B:Z,COLUMN('Share, Heavy Weapons to Ukraine'!C926)-1,0),0)</f>
        <v>0</v>
      </c>
      <c r="AY916" s="1194">
        <f>VLOOKUP('Bilateral Assistance, MAIN DATA'!B916,'Country Summary (€)'!B:F,COLUMN('Country Summary (€)'!C927)-1,FALSE)</f>
        <v>1</v>
      </c>
      <c r="AZ916" s="1194" t="str">
        <f>IF(AND(AD916=1,D916="Military",H916&lt;&gt;"Not given")=TRUE,IF(SUMIFS(P:P,A:A,A916)&gt;0,ABS((SUMIFS(P:P,A:A,A916)/VLOOKUP("USD",'Exchange Rates'!B:C,2,0)))/S916,"."),".")</f>
        <v>.</v>
      </c>
      <c r="BA916" s="1196" t="str">
        <f>IF(AND(AD916=1,D916="Military",H916&lt;&gt;"Not given")=TRUE,IF(SUMIFS(P:P,A:A,A916)&gt;0,IF((ABS((SUMIFS(P:P,A:A,A916)/VLOOKUP("USD",'Exchange Rates'!B:C,2,0)))/S916)&gt;1,(SUMIFS(P:P,A:A,A916)-S916)/S916,(S916-SUMIFS(P:P,A:A,A916))/SUMIFS(P:P,A:A,A916)),"."),".")</f>
        <v>.</v>
      </c>
    </row>
    <row r="917" spans="1:53" ht="15.95" customHeight="1">
      <c r="A917" s="1182" t="s">
        <v>2573</v>
      </c>
      <c r="B917" s="1182" t="s">
        <v>2488</v>
      </c>
      <c r="C917" s="1181">
        <v>45001</v>
      </c>
      <c r="D917" s="1182" t="s">
        <v>389</v>
      </c>
      <c r="E917" s="1182" t="s">
        <v>443</v>
      </c>
      <c r="F917" s="1183" t="s">
        <v>2574</v>
      </c>
      <c r="G917" s="1184" t="s">
        <v>483</v>
      </c>
      <c r="H917" s="1185">
        <v>45000000</v>
      </c>
      <c r="I917" s="1266" t="s">
        <v>2580</v>
      </c>
      <c r="J917" s="1186" t="str">
        <f>VLOOKUP($I917,'Price List, Weapons &amp; Items'!B:C,2,0)</f>
        <v>Military equipment</v>
      </c>
      <c r="K917" s="1186" t="str">
        <f>IF(I917=".",I917,VLOOKUP($I917,'Price List, Weapons &amp; Items'!B:D,3,0))</f>
        <v>Military equipment</v>
      </c>
      <c r="L917" s="1187">
        <f>VLOOKUP(I917,'Price List, Weapons &amp; Items'!B:E,4,0)</f>
        <v>0</v>
      </c>
      <c r="M917" s="1188" t="s">
        <v>374</v>
      </c>
      <c r="N917" s="1275" t="s">
        <v>374</v>
      </c>
      <c r="O917" s="1188">
        <f>VLOOKUP($I917,'Price List, Weapons &amp; Items'!B:G,6,0)</f>
        <v>22</v>
      </c>
      <c r="P917" s="1185" t="str">
        <f t="shared" si="197"/>
        <v>.</v>
      </c>
      <c r="Q917" s="1185" t="str">
        <f t="shared" si="198"/>
        <v>.</v>
      </c>
      <c r="R917" s="1185" t="str">
        <f t="shared" si="194"/>
        <v/>
      </c>
      <c r="S917" s="1185" t="str">
        <f>IF(AND(AD917=1,R917&lt;&gt;".")=TRUE,R917/VLOOKUP(G917,'Exchange Rates'!B:C,2,0),IF(R917=".",".",""))</f>
        <v/>
      </c>
      <c r="T917" s="1185" t="str">
        <f>IF(AD917=1,IF(AF917="Value is not given at all",".",IF(AF917="Value is given by the source",S917,IF(AF917="Value is calculated with prices",(IF(SUMIFS(Q:Q,A:A,A917)&gt;0,SUMIFS(Q:Q,A:A,A917),"."))/VLOOKUP("USD",'Exchange Rates'!B:C,2,0),"Error with coding"))),"")</f>
        <v/>
      </c>
      <c r="U917" s="1184" t="s">
        <v>365</v>
      </c>
      <c r="V917" s="987" t="s">
        <v>2575</v>
      </c>
      <c r="W917" s="976" t="s">
        <v>2576</v>
      </c>
      <c r="X917" s="976" t="s">
        <v>2577</v>
      </c>
      <c r="Y917" s="976" t="s">
        <v>2578</v>
      </c>
      <c r="Z917" s="1184">
        <v>0</v>
      </c>
      <c r="AA917" s="1191">
        <v>1</v>
      </c>
      <c r="AB917" s="1028" t="s">
        <v>364</v>
      </c>
      <c r="AC917" s="1192" t="str">
        <f>""</f>
        <v/>
      </c>
      <c r="AD917" s="985">
        <v>0</v>
      </c>
      <c r="AE917" s="985" t="s">
        <v>368</v>
      </c>
      <c r="AF917" s="985" t="s">
        <v>369</v>
      </c>
      <c r="AG917" s="985">
        <v>1</v>
      </c>
      <c r="AH917" s="985">
        <v>15</v>
      </c>
      <c r="AI917" s="985">
        <v>0</v>
      </c>
      <c r="AJ917" s="1193">
        <f>VLOOKUP($I917,'Price List, Weapons &amp; Items'!B:F,5,0)</f>
        <v>0</v>
      </c>
      <c r="AK917" s="1193">
        <f t="shared" si="199"/>
        <v>0</v>
      </c>
      <c r="AL917" s="1193">
        <f t="shared" si="200"/>
        <v>0</v>
      </c>
      <c r="AM917" s="1193">
        <f t="shared" si="201"/>
        <v>0</v>
      </c>
      <c r="AN917" s="1194" t="str">
        <f>VLOOKUP($I917,'Price List, Weapons &amp; Items'!B:L,COLUMN('Price List, Weapons &amp; Items'!$J$11)-1,0)</f>
        <v>Online marketplaces and stores</v>
      </c>
      <c r="AO917" s="1194" t="str">
        <f>IF(I917=".",".",VLOOKUP($I917,'Price List, Weapons &amp; Items'!B:J,3,0))</f>
        <v>Military equipment</v>
      </c>
      <c r="AP917" s="1195" t="str">
        <f t="shared" ca="1" si="195"/>
        <v/>
      </c>
      <c r="AQ917" s="1194">
        <f>VLOOKUP($I917,'Price List, Weapons &amp; Items'!B:L,COLUMN('Price List, Weapons &amp; Items'!$L$11)-1,0)</f>
        <v>2</v>
      </c>
      <c r="AR917" s="1194">
        <f t="shared" si="202"/>
        <v>1</v>
      </c>
      <c r="AS917" s="1194">
        <f t="shared" si="203"/>
        <v>1</v>
      </c>
      <c r="AT917" s="1194">
        <f t="shared" si="204"/>
        <v>1</v>
      </c>
      <c r="AU917" s="1194" t="str">
        <f t="shared" si="205"/>
        <v>.</v>
      </c>
      <c r="AV917" s="1194" t="str">
        <f t="shared" si="196"/>
        <v>.</v>
      </c>
      <c r="AW917" s="1194" t="str">
        <f t="shared" si="206"/>
        <v>.</v>
      </c>
      <c r="AX917" s="1194">
        <f>IFERROR(VLOOKUP(B917,'Share, Heavy Weapons to Ukraine'!B:Z,COLUMN('Share, Heavy Weapons to Ukraine'!C927)-1,0),0)</f>
        <v>0</v>
      </c>
      <c r="AY917" s="1194">
        <f>VLOOKUP('Bilateral Assistance, MAIN DATA'!B917,'Country Summary (€)'!B:F,COLUMN('Country Summary (€)'!C928)-1,FALSE)</f>
        <v>1</v>
      </c>
      <c r="AZ917" s="1194" t="str">
        <f>IF(AND(AD917=1,D917="Military",H917&lt;&gt;"Not given")=TRUE,IF(SUMIFS(P:P,A:A,A917)&gt;0,ABS((SUMIFS(P:P,A:A,A917)/VLOOKUP("USD",'Exchange Rates'!B:C,2,0)))/S917,"."),".")</f>
        <v>.</v>
      </c>
      <c r="BA917" s="1196" t="str">
        <f>IF(AND(AD917=1,D917="Military",H917&lt;&gt;"Not given")=TRUE,IF(SUMIFS(P:P,A:A,A917)&gt;0,IF((ABS((SUMIFS(P:P,A:A,A917)/VLOOKUP("USD",'Exchange Rates'!B:C,2,0)))/S917)&gt;1,(SUMIFS(P:P,A:A,A917)-S917)/S917,(S917-SUMIFS(P:P,A:A,A917))/SUMIFS(P:P,A:A,A917)),"."),".")</f>
        <v>.</v>
      </c>
    </row>
    <row r="918" spans="1:53" ht="15.95" customHeight="1">
      <c r="A918" s="1182" t="s">
        <v>2581</v>
      </c>
      <c r="B918" s="1182" t="s">
        <v>2488</v>
      </c>
      <c r="C918" s="1181">
        <v>45021</v>
      </c>
      <c r="D918" s="1182" t="s">
        <v>389</v>
      </c>
      <c r="E918" s="1182" t="s">
        <v>443</v>
      </c>
      <c r="F918" s="1183" t="s">
        <v>2582</v>
      </c>
      <c r="G918" s="1184" t="s">
        <v>483</v>
      </c>
      <c r="H918" s="1185">
        <v>41000000</v>
      </c>
      <c r="I918" s="1266" t="s">
        <v>364</v>
      </c>
      <c r="J918" s="1186" t="str">
        <f>VLOOKUP($I918,'Price List, Weapons &amp; Items'!B:C,2,0)</f>
        <v>.</v>
      </c>
      <c r="K918" s="1186" t="str">
        <f>IF(I918=".",I918,VLOOKUP($I918,'Price List, Weapons &amp; Items'!B:D,3,0))</f>
        <v>.</v>
      </c>
      <c r="L918" s="1187">
        <f>VLOOKUP(I918,'Price List, Weapons &amp; Items'!B:E,4,0)</f>
        <v>0</v>
      </c>
      <c r="M918" s="1188" t="s">
        <v>364</v>
      </c>
      <c r="N918" s="1275" t="s">
        <v>364</v>
      </c>
      <c r="O918" s="1188" t="str">
        <f>VLOOKUP($I918,'Price List, Weapons &amp; Items'!B:G,6,0)</f>
        <v>.</v>
      </c>
      <c r="P918" s="1185" t="str">
        <f t="shared" si="197"/>
        <v>.</v>
      </c>
      <c r="Q918" s="1185" t="str">
        <f t="shared" si="198"/>
        <v>.</v>
      </c>
      <c r="R918" s="1185">
        <f t="shared" si="194"/>
        <v>41000000</v>
      </c>
      <c r="S918" s="1185">
        <f>IF(AND(AD918=1,R918&lt;&gt;".")=TRUE,R918/VLOOKUP(G918,'Exchange Rates'!B:C,2,0),IF(R918=".",".",""))</f>
        <v>41000000</v>
      </c>
      <c r="T918" s="1185" t="str">
        <f>IF(AD918=1,IF(AF918="Value is not given at all",".",IF(AF918="Value is given by the source",S918,IF(AF918="Value is calculated with prices",(IF(SUMIFS(Q:Q,A:A,A918)&gt;0,SUMIFS(Q:Q,A:A,A918),"."))/VLOOKUP("USD",'Exchange Rates'!B:C,2,0),"Error with coding"))),"")</f>
        <v>.</v>
      </c>
      <c r="U918" s="1184" t="s">
        <v>365</v>
      </c>
      <c r="V918" s="987" t="s">
        <v>2583</v>
      </c>
      <c r="W918" s="976" t="s">
        <v>2584</v>
      </c>
      <c r="X918" s="1034" t="s">
        <v>364</v>
      </c>
      <c r="Y918" s="1183" t="s">
        <v>364</v>
      </c>
      <c r="Z918" s="1184">
        <v>0</v>
      </c>
      <c r="AA918" s="1191">
        <v>1</v>
      </c>
      <c r="AB918" s="1028" t="s">
        <v>364</v>
      </c>
      <c r="AC918" s="1192" t="str">
        <f>""</f>
        <v/>
      </c>
      <c r="AD918" s="985">
        <v>1</v>
      </c>
      <c r="AE918" s="985" t="s">
        <v>368</v>
      </c>
      <c r="AF918" s="985" t="s">
        <v>369</v>
      </c>
      <c r="AG918" s="985">
        <v>1</v>
      </c>
      <c r="AH918" s="985">
        <v>16</v>
      </c>
      <c r="AI918" s="985">
        <v>0</v>
      </c>
      <c r="AJ918" s="1193">
        <f>VLOOKUP($I918,'Price List, Weapons &amp; Items'!B:F,5,0)</f>
        <v>0</v>
      </c>
      <c r="AK918" s="1193">
        <f t="shared" si="199"/>
        <v>0</v>
      </c>
      <c r="AL918" s="1193">
        <f t="shared" si="200"/>
        <v>0</v>
      </c>
      <c r="AM918" s="1193">
        <f t="shared" si="201"/>
        <v>0</v>
      </c>
      <c r="AN918" s="1194" t="str">
        <f>VLOOKUP($I918,'Price List, Weapons &amp; Items'!B:L,COLUMN('Price List, Weapons &amp; Items'!$J$11)-1,0)</f>
        <v>.</v>
      </c>
      <c r="AO918" s="1194" t="str">
        <f>IF(I918=".",".",VLOOKUP($I918,'Price List, Weapons &amp; Items'!B:J,3,0))</f>
        <v>.</v>
      </c>
      <c r="AP918" s="1195" t="str">
        <f t="shared" ca="1" si="195"/>
        <v>.</v>
      </c>
      <c r="AQ918" s="1194">
        <f>VLOOKUP($I918,'Price List, Weapons &amp; Items'!B:L,COLUMN('Price List, Weapons &amp; Items'!$L$11)-1,0)</f>
        <v>0</v>
      </c>
      <c r="AR918" s="1194">
        <f t="shared" si="202"/>
        <v>1</v>
      </c>
      <c r="AS918" s="1194">
        <f t="shared" si="203"/>
        <v>1</v>
      </c>
      <c r="AT918" s="1194">
        <f t="shared" si="204"/>
        <v>1</v>
      </c>
      <c r="AU918" s="1194" t="str">
        <f t="shared" si="205"/>
        <v>.</v>
      </c>
      <c r="AV918" s="1194" t="str">
        <f t="shared" si="196"/>
        <v>.</v>
      </c>
      <c r="AW918" s="1194" t="str">
        <f t="shared" si="206"/>
        <v>.</v>
      </c>
      <c r="AX918" s="1194">
        <f>IFERROR(VLOOKUP(B918,'Share, Heavy Weapons to Ukraine'!B:Z,COLUMN('Share, Heavy Weapons to Ukraine'!C928)-1,0),0)</f>
        <v>0</v>
      </c>
      <c r="AY918" s="1194">
        <f>VLOOKUP('Bilateral Assistance, MAIN DATA'!B918,'Country Summary (€)'!B:F,COLUMN('Country Summary (€)'!C929)-1,FALSE)</f>
        <v>1</v>
      </c>
      <c r="AZ918" s="1194" t="str">
        <f>IF(AND(AD918=1,D918="Military",H918&lt;&gt;"Not given")=TRUE,IF(SUMIFS(P:P,A:A,A918)&gt;0,ABS((SUMIFS(P:P,A:A,A918)/VLOOKUP("USD",'Exchange Rates'!B:C,2,0)))/S918,"."),".")</f>
        <v>.</v>
      </c>
      <c r="BA918" s="1196" t="str">
        <f>IF(AND(AD918=1,D918="Military",H918&lt;&gt;"Not given")=TRUE,IF(SUMIFS(P:P,A:A,A918)&gt;0,IF((ABS((SUMIFS(P:P,A:A,A918)/VLOOKUP("USD",'Exchange Rates'!B:C,2,0)))/S918)&gt;1,(SUMIFS(P:P,A:A,A918)-S918)/S918,(S918-SUMIFS(P:P,A:A,A918))/SUMIFS(P:P,A:A,A918)),"."),".")</f>
        <v>.</v>
      </c>
    </row>
    <row r="919" spans="1:53" ht="15.95" customHeight="1">
      <c r="A919" s="1180" t="s">
        <v>2585</v>
      </c>
      <c r="B919" s="1180" t="s">
        <v>2488</v>
      </c>
      <c r="C919" s="1181">
        <v>44615</v>
      </c>
      <c r="D919" s="1182" t="s">
        <v>360</v>
      </c>
      <c r="E919" s="1182" t="s">
        <v>2586</v>
      </c>
      <c r="F919" s="1183" t="s">
        <v>2587</v>
      </c>
      <c r="G919" s="1184" t="s">
        <v>483</v>
      </c>
      <c r="H919" s="1185">
        <v>1800000</v>
      </c>
      <c r="I919" s="1180" t="s">
        <v>364</v>
      </c>
      <c r="J919" s="1186" t="str">
        <f>VLOOKUP($I919,'Price List, Weapons &amp; Items'!B:C,2,0)</f>
        <v>.</v>
      </c>
      <c r="K919" s="1186" t="str">
        <f>IF(I919=".",I919,VLOOKUP($I919,'Price List, Weapons &amp; Items'!B:D,3,0))</f>
        <v>.</v>
      </c>
      <c r="L919" s="1187">
        <f>VLOOKUP(I919,'Price List, Weapons &amp; Items'!B:E,4,0)</f>
        <v>0</v>
      </c>
      <c r="M919" s="1188" t="s">
        <v>364</v>
      </c>
      <c r="N919" s="1188" t="s">
        <v>364</v>
      </c>
      <c r="O919" s="1188" t="str">
        <f>VLOOKUP($I919,'Price List, Weapons &amp; Items'!B:G,6,0)</f>
        <v>.</v>
      </c>
      <c r="P919" s="1185" t="str">
        <f t="shared" si="197"/>
        <v>.</v>
      </c>
      <c r="Q919" s="1185" t="str">
        <f t="shared" si="198"/>
        <v>.</v>
      </c>
      <c r="R919" s="1185">
        <f t="shared" si="194"/>
        <v>1800000</v>
      </c>
      <c r="S919" s="1185">
        <f>IF(AND(AD919=1,R919&lt;&gt;".")=TRUE,R919/VLOOKUP(G919,'Exchange Rates'!B:C,2,0),IF(R919=".",".",""))</f>
        <v>1800000</v>
      </c>
      <c r="T919" s="1185" t="str">
        <f>IF(AD919=1,IF(AF919="Value is not given at all",".",IF(AF919="Value is given by the source",S919,IF(AF919="Value is calculated with prices",(IF(SUMIFS(Q:Q,A:A,A919)&gt;0,SUMIFS(Q:Q,A:A,A919),"."))/VLOOKUP("USD",'Exchange Rates'!B:C,2,0),"Error with coding"))),"")</f>
        <v>.</v>
      </c>
      <c r="U919" s="1184" t="s">
        <v>365</v>
      </c>
      <c r="V919" s="971" t="s">
        <v>2588</v>
      </c>
      <c r="W919" s="980" t="s">
        <v>2589</v>
      </c>
      <c r="X919" s="980" t="s">
        <v>2590</v>
      </c>
      <c r="Y919" s="1190" t="s">
        <v>364</v>
      </c>
      <c r="Z919" s="1184">
        <v>0</v>
      </c>
      <c r="AA919" s="1194">
        <v>0</v>
      </c>
      <c r="AB919" s="1201" t="s">
        <v>364</v>
      </c>
      <c r="AC919" s="1192" t="str">
        <f>""</f>
        <v/>
      </c>
      <c r="AD919" s="1193">
        <v>1</v>
      </c>
      <c r="AE919" s="1193" t="s">
        <v>368</v>
      </c>
      <c r="AF919" s="1193" t="s">
        <v>369</v>
      </c>
      <c r="AG919" s="1193">
        <v>1</v>
      </c>
      <c r="AH919" s="1193">
        <v>2</v>
      </c>
      <c r="AI919" s="1193">
        <v>1</v>
      </c>
      <c r="AJ919" s="1193">
        <f>VLOOKUP($I919,'Price List, Weapons &amp; Items'!B:F,5,0)</f>
        <v>0</v>
      </c>
      <c r="AK919" s="1193">
        <f t="shared" si="199"/>
        <v>0</v>
      </c>
      <c r="AL919" s="1193">
        <f t="shared" si="200"/>
        <v>0</v>
      </c>
      <c r="AM919" s="1193">
        <f t="shared" si="201"/>
        <v>0</v>
      </c>
      <c r="AN919" s="1194" t="str">
        <f>VLOOKUP($I919,'Price List, Weapons &amp; Items'!B:L,COLUMN('Price List, Weapons &amp; Items'!$J$11)-1,0)</f>
        <v>.</v>
      </c>
      <c r="AO919" s="1194" t="str">
        <f>IF(I919=".",".",VLOOKUP($I919,'Price List, Weapons &amp; Items'!B:J,3,0))</f>
        <v>.</v>
      </c>
      <c r="AP919" s="1195" t="str">
        <f t="shared" ca="1" si="195"/>
        <v>.</v>
      </c>
      <c r="AQ919" s="1194">
        <f>VLOOKUP($I919,'Price List, Weapons &amp; Items'!B:L,COLUMN('Price List, Weapons &amp; Items'!$L$11)-1,0)</f>
        <v>0</v>
      </c>
      <c r="AR919" s="1194">
        <f t="shared" si="202"/>
        <v>1</v>
      </c>
      <c r="AS919" s="1194">
        <f t="shared" si="203"/>
        <v>0</v>
      </c>
      <c r="AT919" s="1194">
        <f t="shared" si="204"/>
        <v>1</v>
      </c>
      <c r="AU919" s="1194" t="str">
        <f t="shared" si="205"/>
        <v>.</v>
      </c>
      <c r="AV919" s="1194" t="str">
        <f t="shared" si="196"/>
        <v>.</v>
      </c>
      <c r="AW919" s="1194" t="str">
        <f t="shared" si="206"/>
        <v>.</v>
      </c>
      <c r="AX919" s="1194">
        <f>IFERROR(VLOOKUP(B919,'Share, Heavy Weapons to Ukraine'!B:Z,COLUMN('Share, Heavy Weapons to Ukraine'!C929)-1,0),0)</f>
        <v>0</v>
      </c>
      <c r="AY919" s="1194">
        <f>VLOOKUP('Bilateral Assistance, MAIN DATA'!B919,'Country Summary (€)'!B:F,COLUMN('Country Summary (€)'!C930)-1,FALSE)</f>
        <v>1</v>
      </c>
      <c r="AZ919" s="1194" t="str">
        <f>IF(AND(AD919=1,D919="Military",H919&lt;&gt;"Not given")=TRUE,IF(SUMIFS(P:P,A:A,A919)&gt;0,ABS((SUMIFS(P:P,A:A,A919)/VLOOKUP("USD",'Exchange Rates'!B:C,2,0)))/S919,"."),".")</f>
        <v>.</v>
      </c>
      <c r="BA919" s="1196" t="str">
        <f>IF(AND(AD919=1,D919="Military",H919&lt;&gt;"Not given")=TRUE,IF(SUMIFS(P:P,A:A,A919)&gt;0,IF((ABS((SUMIFS(P:P,A:A,A919)/VLOOKUP("USD",'Exchange Rates'!B:C,2,0)))/S919)&gt;1,(SUMIFS(P:P,A:A,A919)-S919)/S919,(S919-SUMIFS(P:P,A:A,A919))/SUMIFS(P:P,A:A,A919)),"."),".")</f>
        <v>.</v>
      </c>
    </row>
    <row r="920" spans="1:53" ht="15.95" customHeight="1">
      <c r="A920" s="1180" t="s">
        <v>2591</v>
      </c>
      <c r="B920" s="1180" t="s">
        <v>2488</v>
      </c>
      <c r="C920" s="1181">
        <v>44620</v>
      </c>
      <c r="D920" s="1182" t="s">
        <v>360</v>
      </c>
      <c r="E920" s="1182" t="s">
        <v>371</v>
      </c>
      <c r="F920" s="1183" t="s">
        <v>2592</v>
      </c>
      <c r="G920" s="1184" t="s">
        <v>483</v>
      </c>
      <c r="H920" s="1185">
        <v>4000000</v>
      </c>
      <c r="I920" s="1180" t="s">
        <v>364</v>
      </c>
      <c r="J920" s="1186" t="str">
        <f>VLOOKUP($I920,'Price List, Weapons &amp; Items'!B:C,2,0)</f>
        <v>.</v>
      </c>
      <c r="K920" s="1186" t="str">
        <f>IF(I920=".",I920,VLOOKUP($I920,'Price List, Weapons &amp; Items'!B:D,3,0))</f>
        <v>.</v>
      </c>
      <c r="L920" s="1187">
        <f>VLOOKUP(I920,'Price List, Weapons &amp; Items'!B:E,4,0)</f>
        <v>0</v>
      </c>
      <c r="M920" s="1188" t="s">
        <v>364</v>
      </c>
      <c r="N920" s="1188" t="s">
        <v>364</v>
      </c>
      <c r="O920" s="1188" t="str">
        <f>VLOOKUP($I920,'Price List, Weapons &amp; Items'!B:G,6,0)</f>
        <v>.</v>
      </c>
      <c r="P920" s="1185" t="str">
        <f t="shared" si="197"/>
        <v>.</v>
      </c>
      <c r="Q920" s="1185" t="str">
        <f t="shared" si="198"/>
        <v>.</v>
      </c>
      <c r="R920" s="1185">
        <f t="shared" si="194"/>
        <v>4000000</v>
      </c>
      <c r="S920" s="1185">
        <f>IF(AND(AD920=1,R920&lt;&gt;".")=TRUE,R920/VLOOKUP(G920,'Exchange Rates'!B:C,2,0),IF(R920=".",".",""))</f>
        <v>4000000</v>
      </c>
      <c r="T920" s="1185" t="str">
        <f>IF(AD920=1,IF(AF920="Value is not given at all",".",IF(AF920="Value is given by the source",S920,IF(AF920="Value is calculated with prices",(IF(SUMIFS(Q:Q,A:A,A920)&gt;0,SUMIFS(Q:Q,A:A,A920),"."))/VLOOKUP("USD",'Exchange Rates'!B:C,2,0),"Error with coding"))),"")</f>
        <v>.</v>
      </c>
      <c r="U920" s="1184" t="s">
        <v>365</v>
      </c>
      <c r="V920" s="980" t="s">
        <v>2593</v>
      </c>
      <c r="W920" s="971" t="s">
        <v>2594</v>
      </c>
      <c r="X920" s="1190" t="s">
        <v>364</v>
      </c>
      <c r="Y920" s="1190" t="s">
        <v>364</v>
      </c>
      <c r="Z920" s="1184">
        <v>0</v>
      </c>
      <c r="AA920" s="1194">
        <v>0</v>
      </c>
      <c r="AB920" s="1201" t="s">
        <v>364</v>
      </c>
      <c r="AC920" s="1192" t="str">
        <f>""</f>
        <v/>
      </c>
      <c r="AD920" s="1193">
        <v>1</v>
      </c>
      <c r="AE920" s="1193" t="s">
        <v>368</v>
      </c>
      <c r="AF920" s="1193" t="s">
        <v>369</v>
      </c>
      <c r="AG920" s="1193">
        <v>1</v>
      </c>
      <c r="AH920" s="1193">
        <v>2</v>
      </c>
      <c r="AI920" s="1193">
        <v>0</v>
      </c>
      <c r="AJ920" s="1193">
        <f>VLOOKUP($I920,'Price List, Weapons &amp; Items'!B:F,5,0)</f>
        <v>0</v>
      </c>
      <c r="AK920" s="1193">
        <f t="shared" si="199"/>
        <v>0</v>
      </c>
      <c r="AL920" s="1193">
        <f t="shared" si="200"/>
        <v>0</v>
      </c>
      <c r="AM920" s="1193">
        <f t="shared" si="201"/>
        <v>0</v>
      </c>
      <c r="AN920" s="1194" t="str">
        <f>VLOOKUP($I920,'Price List, Weapons &amp; Items'!B:L,COLUMN('Price List, Weapons &amp; Items'!$J$11)-1,0)</f>
        <v>.</v>
      </c>
      <c r="AO920" s="1194" t="str">
        <f>IF(I920=".",".",VLOOKUP($I920,'Price List, Weapons &amp; Items'!B:J,3,0))</f>
        <v>.</v>
      </c>
      <c r="AP920" s="1195" t="str">
        <f t="shared" ca="1" si="195"/>
        <v>.</v>
      </c>
      <c r="AQ920" s="1194">
        <f>VLOOKUP($I920,'Price List, Weapons &amp; Items'!B:L,COLUMN('Price List, Weapons &amp; Items'!$L$11)-1,0)</f>
        <v>0</v>
      </c>
      <c r="AR920" s="1194">
        <f t="shared" si="202"/>
        <v>1</v>
      </c>
      <c r="AS920" s="1194">
        <f t="shared" si="203"/>
        <v>0</v>
      </c>
      <c r="AT920" s="1194">
        <f t="shared" si="204"/>
        <v>1</v>
      </c>
      <c r="AU920" s="1194" t="str">
        <f t="shared" si="205"/>
        <v>.</v>
      </c>
      <c r="AV920" s="1194" t="str">
        <f t="shared" si="196"/>
        <v>.</v>
      </c>
      <c r="AW920" s="1194" t="str">
        <f t="shared" si="206"/>
        <v>.</v>
      </c>
      <c r="AX920" s="1194">
        <f>IFERROR(VLOOKUP(B920,'Share, Heavy Weapons to Ukraine'!B:Z,COLUMN('Share, Heavy Weapons to Ukraine'!C930)-1,0),0)</f>
        <v>0</v>
      </c>
      <c r="AY920" s="1194">
        <f>VLOOKUP('Bilateral Assistance, MAIN DATA'!B920,'Country Summary (€)'!B:F,COLUMN('Country Summary (€)'!C931)-1,FALSE)</f>
        <v>1</v>
      </c>
      <c r="AZ920" s="1194" t="str">
        <f>IF(AND(AD920=1,D920="Military",H920&lt;&gt;"Not given")=TRUE,IF(SUMIFS(P:P,A:A,A920)&gt;0,ABS((SUMIFS(P:P,A:A,A920)/VLOOKUP("USD",'Exchange Rates'!B:C,2,0)))/S920,"."),".")</f>
        <v>.</v>
      </c>
      <c r="BA920" s="1196" t="str">
        <f>IF(AND(AD920=1,D920="Military",H920&lt;&gt;"Not given")=TRUE,IF(SUMIFS(P:P,A:A,A920)&gt;0,IF((ABS((SUMIFS(P:P,A:A,A920)/VLOOKUP("USD",'Exchange Rates'!B:C,2,0)))/S920)&gt;1,(SUMIFS(P:P,A:A,A920)-S920)/S920,(S920-SUMIFS(P:P,A:A,A920))/SUMIFS(P:P,A:A,A920)),"."),".")</f>
        <v>.</v>
      </c>
    </row>
    <row r="921" spans="1:53" ht="15.95" customHeight="1">
      <c r="A921" s="1180" t="s">
        <v>2595</v>
      </c>
      <c r="B921" s="1180" t="s">
        <v>2488</v>
      </c>
      <c r="C921" s="1181" t="s">
        <v>2596</v>
      </c>
      <c r="D921" s="1182" t="s">
        <v>360</v>
      </c>
      <c r="E921" s="1182" t="s">
        <v>361</v>
      </c>
      <c r="F921" s="1183" t="s">
        <v>2597</v>
      </c>
      <c r="G921" s="1184" t="s">
        <v>483</v>
      </c>
      <c r="H921" s="1185">
        <v>34200000</v>
      </c>
      <c r="I921" s="1180" t="s">
        <v>364</v>
      </c>
      <c r="J921" s="1186" t="str">
        <f>VLOOKUP($I921,'Price List, Weapons &amp; Items'!B:C,2,0)</f>
        <v>.</v>
      </c>
      <c r="K921" s="1186" t="str">
        <f>IF(I921=".",I921,VLOOKUP($I921,'Price List, Weapons &amp; Items'!B:D,3,0))</f>
        <v>.</v>
      </c>
      <c r="L921" s="1187">
        <f>VLOOKUP(I921,'Price List, Weapons &amp; Items'!B:E,4,0)</f>
        <v>0</v>
      </c>
      <c r="M921" s="1188" t="s">
        <v>364</v>
      </c>
      <c r="N921" s="1188" t="s">
        <v>364</v>
      </c>
      <c r="O921" s="1188" t="str">
        <f>VLOOKUP($I921,'Price List, Weapons &amp; Items'!B:G,6,0)</f>
        <v>.</v>
      </c>
      <c r="P921" s="1185" t="str">
        <f t="shared" si="197"/>
        <v>.</v>
      </c>
      <c r="Q921" s="1185" t="str">
        <f t="shared" si="198"/>
        <v>.</v>
      </c>
      <c r="R921" s="1185">
        <f t="shared" si="194"/>
        <v>34200000</v>
      </c>
      <c r="S921" s="1185">
        <f>IF(AND(AD921=1,R921&lt;&gt;".")=TRUE,R921/VLOOKUP(G921,'Exchange Rates'!B:C,2,0),IF(R921=".",".",""))</f>
        <v>34200000</v>
      </c>
      <c r="T921" s="1185" t="str">
        <f>IF(AD921=1,IF(AF921="Value is not given at all",".",IF(AF921="Value is given by the source",S921,IF(AF921="Value is calculated with prices",(IF(SUMIFS(Q:Q,A:A,A921)&gt;0,SUMIFS(Q:Q,A:A,A921),"."))/VLOOKUP("USD",'Exchange Rates'!B:C,2,0),"Error with coding"))),"")</f>
        <v>.</v>
      </c>
      <c r="U921" s="1184" t="s">
        <v>675</v>
      </c>
      <c r="V921" s="971" t="s">
        <v>573</v>
      </c>
      <c r="W921" s="980" t="s">
        <v>2598</v>
      </c>
      <c r="X921" s="1190" t="s">
        <v>364</v>
      </c>
      <c r="Y921" s="1190" t="s">
        <v>364</v>
      </c>
      <c r="Z921" s="1184">
        <v>0</v>
      </c>
      <c r="AA921" s="1194">
        <v>0</v>
      </c>
      <c r="AB921" s="1201" t="s">
        <v>364</v>
      </c>
      <c r="AC921" s="1192" t="str">
        <f>""</f>
        <v/>
      </c>
      <c r="AD921" s="1193">
        <v>1</v>
      </c>
      <c r="AE921" s="1193" t="s">
        <v>368</v>
      </c>
      <c r="AF921" s="1193" t="s">
        <v>369</v>
      </c>
      <c r="AG921" s="1193">
        <v>1</v>
      </c>
      <c r="AH921" s="1193">
        <v>4</v>
      </c>
      <c r="AI921" s="1193">
        <v>0</v>
      </c>
      <c r="AJ921" s="1193">
        <f>VLOOKUP($I921,'Price List, Weapons &amp; Items'!B:F,5,0)</f>
        <v>0</v>
      </c>
      <c r="AK921" s="1193">
        <f t="shared" si="199"/>
        <v>0</v>
      </c>
      <c r="AL921" s="1193">
        <f t="shared" si="200"/>
        <v>0</v>
      </c>
      <c r="AM921" s="1193">
        <f t="shared" si="201"/>
        <v>0</v>
      </c>
      <c r="AN921" s="1194" t="str">
        <f>VLOOKUP($I921,'Price List, Weapons &amp; Items'!B:L,COLUMN('Price List, Weapons &amp; Items'!$J$11)-1,0)</f>
        <v>.</v>
      </c>
      <c r="AO921" s="1194" t="str">
        <f>IF(I921=".",".",VLOOKUP($I921,'Price List, Weapons &amp; Items'!B:J,3,0))</f>
        <v>.</v>
      </c>
      <c r="AP921" s="1195" t="str">
        <f t="shared" ca="1" si="195"/>
        <v>.</v>
      </c>
      <c r="AQ921" s="1194">
        <f>VLOOKUP($I921,'Price List, Weapons &amp; Items'!B:L,COLUMN('Price List, Weapons &amp; Items'!$L$11)-1,0)</f>
        <v>0</v>
      </c>
      <c r="AR921" s="1194">
        <f t="shared" si="202"/>
        <v>0</v>
      </c>
      <c r="AS921" s="1194">
        <f t="shared" si="203"/>
        <v>0</v>
      </c>
      <c r="AT921" s="1194" t="str">
        <f t="shared" si="204"/>
        <v>Value is not in date format</v>
      </c>
      <c r="AU921" s="1194" t="str">
        <f t="shared" si="205"/>
        <v>.</v>
      </c>
      <c r="AV921" s="1194" t="str">
        <f t="shared" si="196"/>
        <v>.</v>
      </c>
      <c r="AW921" s="1194" t="str">
        <f t="shared" si="206"/>
        <v>.</v>
      </c>
      <c r="AX921" s="1194">
        <f>IFERROR(VLOOKUP(B921,'Share, Heavy Weapons to Ukraine'!B:Z,COLUMN('Share, Heavy Weapons to Ukraine'!C931)-1,0),0)</f>
        <v>0</v>
      </c>
      <c r="AY921" s="1194">
        <f>VLOOKUP('Bilateral Assistance, MAIN DATA'!B921,'Country Summary (€)'!B:F,COLUMN('Country Summary (€)'!C932)-1,FALSE)</f>
        <v>1</v>
      </c>
      <c r="AZ921" s="1194" t="str">
        <f>IF(AND(AD921=1,D921="Military",H921&lt;&gt;"Not given")=TRUE,IF(SUMIFS(P:P,A:A,A921)&gt;0,ABS((SUMIFS(P:P,A:A,A921)/VLOOKUP("USD",'Exchange Rates'!B:C,2,0)))/S921,"."),".")</f>
        <v>.</v>
      </c>
      <c r="BA921" s="1196" t="str">
        <f>IF(AND(AD921=1,D921="Military",H921&lt;&gt;"Not given")=TRUE,IF(SUMIFS(P:P,A:A,A921)&gt;0,IF((ABS((SUMIFS(P:P,A:A,A921)/VLOOKUP("USD",'Exchange Rates'!B:C,2,0)))/S921)&gt;1,(SUMIFS(P:P,A:A,A921)-S921)/S921,(S921-SUMIFS(P:P,A:A,A921))/SUMIFS(P:P,A:A,A921)),"."),".")</f>
        <v>.</v>
      </c>
    </row>
    <row r="922" spans="1:53" ht="15.95" customHeight="1">
      <c r="A922" s="1180" t="s">
        <v>2599</v>
      </c>
      <c r="B922" s="1180" t="s">
        <v>2488</v>
      </c>
      <c r="C922" s="1181">
        <v>44686</v>
      </c>
      <c r="D922" s="1182" t="s">
        <v>360</v>
      </c>
      <c r="E922" s="1182" t="s">
        <v>481</v>
      </c>
      <c r="F922" s="1183" t="s">
        <v>2600</v>
      </c>
      <c r="G922" s="1184" t="s">
        <v>483</v>
      </c>
      <c r="H922" s="1185">
        <v>2000000</v>
      </c>
      <c r="I922" s="1180" t="s">
        <v>364</v>
      </c>
      <c r="J922" s="1186" t="str">
        <f>VLOOKUP($I922,'Price List, Weapons &amp; Items'!B:C,2,0)</f>
        <v>.</v>
      </c>
      <c r="K922" s="1186" t="str">
        <f>IF(I922=".",I922,VLOOKUP($I922,'Price List, Weapons &amp; Items'!B:D,3,0))</f>
        <v>.</v>
      </c>
      <c r="L922" s="1187">
        <f>VLOOKUP(I922,'Price List, Weapons &amp; Items'!B:E,4,0)</f>
        <v>0</v>
      </c>
      <c r="M922" s="1188" t="s">
        <v>364</v>
      </c>
      <c r="N922" s="1188" t="s">
        <v>364</v>
      </c>
      <c r="O922" s="1188" t="str">
        <f>VLOOKUP($I922,'Price List, Weapons &amp; Items'!B:G,6,0)</f>
        <v>.</v>
      </c>
      <c r="P922" s="1185" t="str">
        <f t="shared" si="197"/>
        <v>.</v>
      </c>
      <c r="Q922" s="1185" t="str">
        <f t="shared" si="198"/>
        <v>.</v>
      </c>
      <c r="R922" s="1185">
        <f t="shared" si="194"/>
        <v>2000000</v>
      </c>
      <c r="S922" s="1185">
        <f>IF(AND(AD922=1,R922&lt;&gt;".")=TRUE,R922/VLOOKUP(G922,'Exchange Rates'!B:C,2,0),IF(R922=".",".",""))</f>
        <v>2000000</v>
      </c>
      <c r="T922" s="1185" t="str">
        <f>IF(AD922=1,IF(AF922="Value is not given at all",".",IF(AF922="Value is given by the source",S922,IF(AF922="Value is calculated with prices",(IF(SUMIFS(Q:Q,A:A,A922)&gt;0,SUMIFS(Q:Q,A:A,A922),"."))/VLOOKUP("USD",'Exchange Rates'!B:C,2,0),"Error with coding"))),"")</f>
        <v>.</v>
      </c>
      <c r="U922" s="1184" t="s">
        <v>365</v>
      </c>
      <c r="V922" s="971" t="s">
        <v>930</v>
      </c>
      <c r="W922" s="1190" t="s">
        <v>364</v>
      </c>
      <c r="X922" s="1190" t="s">
        <v>364</v>
      </c>
      <c r="Y922" s="1190" t="s">
        <v>364</v>
      </c>
      <c r="Z922" s="1184">
        <v>0</v>
      </c>
      <c r="AA922" s="1194">
        <v>0</v>
      </c>
      <c r="AB922" s="1201" t="s">
        <v>364</v>
      </c>
      <c r="AC922" s="1192" t="str">
        <f>""</f>
        <v/>
      </c>
      <c r="AD922" s="1193">
        <v>1</v>
      </c>
      <c r="AE922" s="1193" t="s">
        <v>368</v>
      </c>
      <c r="AF922" s="1193" t="s">
        <v>369</v>
      </c>
      <c r="AG922" s="1193">
        <v>1</v>
      </c>
      <c r="AH922" s="1193">
        <v>5</v>
      </c>
      <c r="AI922" s="1193">
        <v>0</v>
      </c>
      <c r="AJ922" s="1193">
        <f>VLOOKUP($I922,'Price List, Weapons &amp; Items'!B:F,5,0)</f>
        <v>0</v>
      </c>
      <c r="AK922" s="1193">
        <f t="shared" si="199"/>
        <v>0</v>
      </c>
      <c r="AL922" s="1193">
        <f t="shared" si="200"/>
        <v>0</v>
      </c>
      <c r="AM922" s="1193">
        <f t="shared" si="201"/>
        <v>0</v>
      </c>
      <c r="AN922" s="1194" t="str">
        <f>VLOOKUP($I922,'Price List, Weapons &amp; Items'!B:L,COLUMN('Price List, Weapons &amp; Items'!$J$11)-1,0)</f>
        <v>.</v>
      </c>
      <c r="AO922" s="1194" t="str">
        <f>IF(I922=".",".",VLOOKUP($I922,'Price List, Weapons &amp; Items'!B:J,3,0))</f>
        <v>.</v>
      </c>
      <c r="AP922" s="1195" t="str">
        <f t="shared" ca="1" si="195"/>
        <v>.</v>
      </c>
      <c r="AQ922" s="1194">
        <f>VLOOKUP($I922,'Price List, Weapons &amp; Items'!B:L,COLUMN('Price List, Weapons &amp; Items'!$L$11)-1,0)</f>
        <v>0</v>
      </c>
      <c r="AR922" s="1194">
        <f t="shared" si="202"/>
        <v>1</v>
      </c>
      <c r="AS922" s="1194">
        <f t="shared" si="203"/>
        <v>0</v>
      </c>
      <c r="AT922" s="1194">
        <f t="shared" si="204"/>
        <v>1</v>
      </c>
      <c r="AU922" s="1194" t="str">
        <f t="shared" si="205"/>
        <v>.</v>
      </c>
      <c r="AV922" s="1194" t="str">
        <f t="shared" si="196"/>
        <v>.</v>
      </c>
      <c r="AW922" s="1194" t="str">
        <f t="shared" si="206"/>
        <v>.</v>
      </c>
      <c r="AX922" s="1194">
        <f>IFERROR(VLOOKUP(B922,'Share, Heavy Weapons to Ukraine'!B:Z,COLUMN('Share, Heavy Weapons to Ukraine'!C932)-1,0),0)</f>
        <v>0</v>
      </c>
      <c r="AY922" s="1194">
        <f>VLOOKUP('Bilateral Assistance, MAIN DATA'!B922,'Country Summary (€)'!B:F,COLUMN('Country Summary (€)'!C933)-1,FALSE)</f>
        <v>1</v>
      </c>
      <c r="AZ922" s="1194" t="str">
        <f>IF(AND(AD922=1,D922="Military",H922&lt;&gt;"Not given")=TRUE,IF(SUMIFS(P:P,A:A,A922)&gt;0,ABS((SUMIFS(P:P,A:A,A922)/VLOOKUP("USD",'Exchange Rates'!B:C,2,0)))/S922,"."),".")</f>
        <v>.</v>
      </c>
      <c r="BA922" s="1196" t="str">
        <f>IF(AND(AD922=1,D922="Military",H922&lt;&gt;"Not given")=TRUE,IF(SUMIFS(P:P,A:A,A922)&gt;0,IF((ABS((SUMIFS(P:P,A:A,A922)/VLOOKUP("USD",'Exchange Rates'!B:C,2,0)))/S922)&gt;1,(SUMIFS(P:P,A:A,A922)-S922)/S922,(S922-SUMIFS(P:P,A:A,A922))/SUMIFS(P:P,A:A,A922)),"."),".")</f>
        <v>.</v>
      </c>
    </row>
    <row r="923" spans="1:53" ht="15.95" customHeight="1">
      <c r="A923" s="1180" t="s">
        <v>2601</v>
      </c>
      <c r="B923" s="1180" t="s">
        <v>2488</v>
      </c>
      <c r="C923" s="1181">
        <v>44753</v>
      </c>
      <c r="D923" s="1182" t="s">
        <v>360</v>
      </c>
      <c r="E923" s="1182" t="s">
        <v>481</v>
      </c>
      <c r="F923" s="1183" t="s">
        <v>2602</v>
      </c>
      <c r="G923" s="1184" t="s">
        <v>483</v>
      </c>
      <c r="H923" s="1185">
        <v>10000000</v>
      </c>
      <c r="I923" s="1180" t="s">
        <v>364</v>
      </c>
      <c r="J923" s="1186" t="str">
        <f>VLOOKUP($I923,'Price List, Weapons &amp; Items'!B:C,2,0)</f>
        <v>.</v>
      </c>
      <c r="K923" s="1186" t="str">
        <f>IF(I923=".",I923,VLOOKUP($I923,'Price List, Weapons &amp; Items'!B:D,3,0))</f>
        <v>.</v>
      </c>
      <c r="L923" s="1187">
        <f>VLOOKUP(I923,'Price List, Weapons &amp; Items'!B:E,4,0)</f>
        <v>0</v>
      </c>
      <c r="M923" s="1188" t="s">
        <v>364</v>
      </c>
      <c r="N923" s="1188" t="s">
        <v>364</v>
      </c>
      <c r="O923" s="1188" t="str">
        <f>VLOOKUP($I923,'Price List, Weapons &amp; Items'!B:G,6,0)</f>
        <v>.</v>
      </c>
      <c r="P923" s="1185" t="str">
        <f t="shared" si="197"/>
        <v>.</v>
      </c>
      <c r="Q923" s="1185" t="str">
        <f t="shared" si="198"/>
        <v>.</v>
      </c>
      <c r="R923" s="1185">
        <f t="shared" si="194"/>
        <v>10000000</v>
      </c>
      <c r="S923" s="1185">
        <f>IF(AND(AD923=1,R923&lt;&gt;".")=TRUE,R923/VLOOKUP(G923,'Exchange Rates'!B:C,2,0),IF(R923=".",".",""))</f>
        <v>10000000</v>
      </c>
      <c r="T923" s="1185" t="str">
        <f>IF(AD923=1,IF(AF923="Value is not given at all",".",IF(AF923="Value is given by the source",S923,IF(AF923="Value is calculated with prices",(IF(SUMIFS(Q:Q,A:A,A923)&gt;0,SUMIFS(Q:Q,A:A,A923),"."))/VLOOKUP("USD",'Exchange Rates'!B:C,2,0),"Error with coding"))),"")</f>
        <v>.</v>
      </c>
      <c r="U923" s="1184" t="s">
        <v>365</v>
      </c>
      <c r="V923" s="973" t="s">
        <v>2603</v>
      </c>
      <c r="W923" s="980" t="s">
        <v>2604</v>
      </c>
      <c r="X923" s="1190" t="s">
        <v>364</v>
      </c>
      <c r="Y923" s="1190" t="s">
        <v>364</v>
      </c>
      <c r="Z923" s="1184">
        <v>0</v>
      </c>
      <c r="AA923" s="1194">
        <v>0</v>
      </c>
      <c r="AB923" s="1201" t="s">
        <v>364</v>
      </c>
      <c r="AC923" s="1192" t="str">
        <f>""</f>
        <v/>
      </c>
      <c r="AD923" s="1193">
        <v>1</v>
      </c>
      <c r="AE923" s="1193" t="s">
        <v>368</v>
      </c>
      <c r="AF923" s="1193" t="s">
        <v>369</v>
      </c>
      <c r="AG923" s="1193">
        <v>1</v>
      </c>
      <c r="AH923" s="1193">
        <v>7</v>
      </c>
      <c r="AI923" s="1193">
        <v>0</v>
      </c>
      <c r="AJ923" s="1193">
        <f>VLOOKUP($I923,'Price List, Weapons &amp; Items'!B:F,5,0)</f>
        <v>0</v>
      </c>
      <c r="AK923" s="1193">
        <f t="shared" si="199"/>
        <v>0</v>
      </c>
      <c r="AL923" s="1193">
        <f t="shared" si="200"/>
        <v>0</v>
      </c>
      <c r="AM923" s="1193">
        <f t="shared" si="201"/>
        <v>0</v>
      </c>
      <c r="AN923" s="1194" t="str">
        <f>VLOOKUP($I923,'Price List, Weapons &amp; Items'!B:L,COLUMN('Price List, Weapons &amp; Items'!$J$11)-1,0)</f>
        <v>.</v>
      </c>
      <c r="AO923" s="1194" t="str">
        <f>IF(I923=".",".",VLOOKUP($I923,'Price List, Weapons &amp; Items'!B:J,3,0))</f>
        <v>.</v>
      </c>
      <c r="AP923" s="1195" t="str">
        <f t="shared" ca="1" si="195"/>
        <v>.</v>
      </c>
      <c r="AQ923" s="1194">
        <f>VLOOKUP($I923,'Price List, Weapons &amp; Items'!B:L,COLUMN('Price List, Weapons &amp; Items'!$L$11)-1,0)</f>
        <v>0</v>
      </c>
      <c r="AR923" s="1194">
        <f t="shared" si="202"/>
        <v>1</v>
      </c>
      <c r="AS923" s="1194">
        <f t="shared" si="203"/>
        <v>0</v>
      </c>
      <c r="AT923" s="1194">
        <f t="shared" si="204"/>
        <v>1</v>
      </c>
      <c r="AU923" s="1194" t="str">
        <f t="shared" si="205"/>
        <v>.</v>
      </c>
      <c r="AV923" s="1194" t="str">
        <f t="shared" si="196"/>
        <v>.</v>
      </c>
      <c r="AW923" s="1194" t="str">
        <f t="shared" si="206"/>
        <v>.</v>
      </c>
      <c r="AX923" s="1194">
        <f>IFERROR(VLOOKUP(B923,'Share, Heavy Weapons to Ukraine'!B:Z,COLUMN('Share, Heavy Weapons to Ukraine'!C933)-1,0),0)</f>
        <v>0</v>
      </c>
      <c r="AY923" s="1194">
        <f>VLOOKUP('Bilateral Assistance, MAIN DATA'!B923,'Country Summary (€)'!B:F,COLUMN('Country Summary (€)'!C934)-1,FALSE)</f>
        <v>1</v>
      </c>
      <c r="AZ923" s="1194" t="str">
        <f>IF(AND(AD923=1,D923="Military",H923&lt;&gt;"Not given")=TRUE,IF(SUMIFS(P:P,A:A,A923)&gt;0,ABS((SUMIFS(P:P,A:A,A923)/VLOOKUP("USD",'Exchange Rates'!B:C,2,0)))/S923,"."),".")</f>
        <v>.</v>
      </c>
      <c r="BA923" s="1196" t="str">
        <f>IF(AND(AD923=1,D923="Military",H923&lt;&gt;"Not given")=TRUE,IF(SUMIFS(P:P,A:A,A923)&gt;0,IF((ABS((SUMIFS(P:P,A:A,A923)/VLOOKUP("USD",'Exchange Rates'!B:C,2,0)))/S923)&gt;1,(SUMIFS(P:P,A:A,A923)-S923)/S923,(S923-SUMIFS(P:P,A:A,A923))/SUMIFS(P:P,A:A,A923)),"."),".")</f>
        <v>.</v>
      </c>
    </row>
    <row r="924" spans="1:53" ht="15.95" customHeight="1">
      <c r="A924" s="1180" t="s">
        <v>2605</v>
      </c>
      <c r="B924" s="1180" t="s">
        <v>2488</v>
      </c>
      <c r="C924" s="1181">
        <v>44883</v>
      </c>
      <c r="D924" s="1182" t="s">
        <v>360</v>
      </c>
      <c r="E924" s="1182" t="s">
        <v>2586</v>
      </c>
      <c r="F924" s="1183" t="s">
        <v>2606</v>
      </c>
      <c r="G924" s="1184" t="s">
        <v>483</v>
      </c>
      <c r="H924" s="1185">
        <v>5000000</v>
      </c>
      <c r="I924" s="1180" t="s">
        <v>364</v>
      </c>
      <c r="J924" s="1186" t="str">
        <f>VLOOKUP($I924,'Price List, Weapons &amp; Items'!B:C,2,0)</f>
        <v>.</v>
      </c>
      <c r="K924" s="1186" t="str">
        <f>IF(I924=".",I924,VLOOKUP($I924,'Price List, Weapons &amp; Items'!B:D,3,0))</f>
        <v>.</v>
      </c>
      <c r="L924" s="1187">
        <f>VLOOKUP(I924,'Price List, Weapons &amp; Items'!B:E,4,0)</f>
        <v>0</v>
      </c>
      <c r="M924" s="1188" t="s">
        <v>364</v>
      </c>
      <c r="N924" s="1188" t="s">
        <v>364</v>
      </c>
      <c r="O924" s="1188" t="str">
        <f>VLOOKUP($I924,'Price List, Weapons &amp; Items'!B:G,6,0)</f>
        <v>.</v>
      </c>
      <c r="P924" s="1185" t="str">
        <f t="shared" si="197"/>
        <v>.</v>
      </c>
      <c r="Q924" s="1185" t="str">
        <f t="shared" si="198"/>
        <v>.</v>
      </c>
      <c r="R924" s="1185">
        <f t="shared" si="194"/>
        <v>5000000</v>
      </c>
      <c r="S924" s="1185">
        <f>IF(AND(AD924=1,R924&lt;&gt;".")=TRUE,R924/VLOOKUP(G924,'Exchange Rates'!B:C,2,0),IF(R924=".",".",""))</f>
        <v>5000000</v>
      </c>
      <c r="T924" s="1185" t="str">
        <f>IF(AD924=1,IF(AF924="Value is not given at all",".",IF(AF924="Value is given by the source",S924,IF(AF924="Value is calculated with prices",(IF(SUMIFS(Q:Q,A:A,A924)&gt;0,SUMIFS(Q:Q,A:A,A924),"."))/VLOOKUP("USD",'Exchange Rates'!B:C,2,0),"Error with coding"))),"")</f>
        <v>.</v>
      </c>
      <c r="U924" s="1184" t="s">
        <v>365</v>
      </c>
      <c r="V924" s="971" t="s">
        <v>2607</v>
      </c>
      <c r="W924" s="972" t="s">
        <v>2608</v>
      </c>
      <c r="X924" s="981" t="s">
        <v>364</v>
      </c>
      <c r="Y924" s="1190" t="s">
        <v>364</v>
      </c>
      <c r="Z924" s="1184">
        <v>0</v>
      </c>
      <c r="AA924" s="1191">
        <v>0</v>
      </c>
      <c r="AB924" s="1201" t="s">
        <v>364</v>
      </c>
      <c r="AC924" s="1192" t="str">
        <f>""</f>
        <v/>
      </c>
      <c r="AD924" s="1193">
        <v>1</v>
      </c>
      <c r="AE924" s="1193" t="s">
        <v>368</v>
      </c>
      <c r="AF924" s="1193" t="s">
        <v>369</v>
      </c>
      <c r="AG924" s="1193">
        <v>1</v>
      </c>
      <c r="AH924" s="1193">
        <v>11</v>
      </c>
      <c r="AI924" s="1193">
        <v>0</v>
      </c>
      <c r="AJ924" s="1193">
        <f>VLOOKUP($I924,'Price List, Weapons &amp; Items'!B:F,5,0)</f>
        <v>0</v>
      </c>
      <c r="AK924" s="1193">
        <f t="shared" si="199"/>
        <v>0</v>
      </c>
      <c r="AL924" s="1193">
        <f t="shared" si="200"/>
        <v>0</v>
      </c>
      <c r="AM924" s="1193">
        <f t="shared" si="201"/>
        <v>0</v>
      </c>
      <c r="AN924" s="1194" t="str">
        <f>VLOOKUP($I924,'Price List, Weapons &amp; Items'!B:L,COLUMN('Price List, Weapons &amp; Items'!$J$11)-1,0)</f>
        <v>.</v>
      </c>
      <c r="AO924" s="1194" t="str">
        <f>IF(I924=".",".",VLOOKUP($I924,'Price List, Weapons &amp; Items'!B:J,3,0))</f>
        <v>.</v>
      </c>
      <c r="AP924" s="1195" t="str">
        <f t="shared" ca="1" si="195"/>
        <v>.</v>
      </c>
      <c r="AQ924" s="1194">
        <f>VLOOKUP($I924,'Price List, Weapons &amp; Items'!B:L,COLUMN('Price List, Weapons &amp; Items'!$L$11)-1,0)</f>
        <v>0</v>
      </c>
      <c r="AR924" s="1194">
        <f t="shared" si="202"/>
        <v>1</v>
      </c>
      <c r="AS924" s="1194">
        <f t="shared" si="203"/>
        <v>0</v>
      </c>
      <c r="AT924" s="1194">
        <f t="shared" si="204"/>
        <v>1</v>
      </c>
      <c r="AU924" s="1194" t="str">
        <f t="shared" si="205"/>
        <v>.</v>
      </c>
      <c r="AV924" s="1194" t="str">
        <f t="shared" si="196"/>
        <v>.</v>
      </c>
      <c r="AW924" s="1194" t="str">
        <f t="shared" si="206"/>
        <v>.</v>
      </c>
      <c r="AX924" s="1194">
        <f>IFERROR(VLOOKUP(B924,'Share, Heavy Weapons to Ukraine'!B:Z,COLUMN('Share, Heavy Weapons to Ukraine'!C934)-1,0),0)</f>
        <v>0</v>
      </c>
      <c r="AY924" s="1194">
        <f>VLOOKUP('Bilateral Assistance, MAIN DATA'!B924,'Country Summary (€)'!B:F,COLUMN('Country Summary (€)'!C935)-1,FALSE)</f>
        <v>1</v>
      </c>
      <c r="AZ924" s="1194" t="str">
        <f>IF(AND(AD924=1,D924="Military",H924&lt;&gt;"Not given")=TRUE,IF(SUMIFS(P:P,A:A,A924)&gt;0,ABS((SUMIFS(P:P,A:A,A924)/VLOOKUP("USD",'Exchange Rates'!B:C,2,0)))/S924,"."),".")</f>
        <v>.</v>
      </c>
      <c r="BA924" s="1196" t="str">
        <f>IF(AND(AD924=1,D924="Military",H924&lt;&gt;"Not given")=TRUE,IF(SUMIFS(P:P,A:A,A924)&gt;0,IF((ABS((SUMIFS(P:P,A:A,A924)/VLOOKUP("USD",'Exchange Rates'!B:C,2,0)))/S924)&gt;1,(SUMIFS(P:P,A:A,A924)-S924)/S924,(S924-SUMIFS(P:P,A:A,A924))/SUMIFS(P:P,A:A,A924)),"."),".")</f>
        <v>.</v>
      </c>
    </row>
    <row r="925" spans="1:53" ht="15.95" customHeight="1">
      <c r="A925" s="1180" t="s">
        <v>2609</v>
      </c>
      <c r="B925" s="1180" t="s">
        <v>2488</v>
      </c>
      <c r="C925" s="1181">
        <v>44895</v>
      </c>
      <c r="D925" s="1182" t="s">
        <v>360</v>
      </c>
      <c r="E925" s="1182" t="s">
        <v>2586</v>
      </c>
      <c r="F925" s="1183" t="s">
        <v>2610</v>
      </c>
      <c r="G925" s="1184" t="s">
        <v>483</v>
      </c>
      <c r="H925" s="1185">
        <v>4000000</v>
      </c>
      <c r="I925" s="1180" t="s">
        <v>364</v>
      </c>
      <c r="J925" s="1186" t="str">
        <f>VLOOKUP($I925,'Price List, Weapons &amp; Items'!B:C,2,0)</f>
        <v>.</v>
      </c>
      <c r="K925" s="1186" t="str">
        <f>IF(I925=".",I925,VLOOKUP($I925,'Price List, Weapons &amp; Items'!B:D,3,0))</f>
        <v>.</v>
      </c>
      <c r="L925" s="1187">
        <f>VLOOKUP(I925,'Price List, Weapons &amp; Items'!B:E,4,0)</f>
        <v>0</v>
      </c>
      <c r="M925" s="1188" t="s">
        <v>364</v>
      </c>
      <c r="N925" s="1188" t="s">
        <v>364</v>
      </c>
      <c r="O925" s="1188" t="str">
        <f>VLOOKUP($I925,'Price List, Weapons &amp; Items'!B:G,6,0)</f>
        <v>.</v>
      </c>
      <c r="P925" s="1185" t="str">
        <f t="shared" si="197"/>
        <v>.</v>
      </c>
      <c r="Q925" s="1185" t="str">
        <f t="shared" si="198"/>
        <v>.</v>
      </c>
      <c r="R925" s="1185">
        <f t="shared" si="194"/>
        <v>4000000</v>
      </c>
      <c r="S925" s="1185">
        <f>IF(AND(AD925=1,R925&lt;&gt;".")=TRUE,R925/VLOOKUP(G925,'Exchange Rates'!B:C,2,0),IF(R925=".",".",""))</f>
        <v>4000000</v>
      </c>
      <c r="T925" s="1185" t="str">
        <f>IF(AD925=1,IF(AF925="Value is not given at all",".",IF(AF925="Value is given by the source",S925,IF(AF925="Value is calculated with prices",(IF(SUMIFS(Q:Q,A:A,A925)&gt;0,SUMIFS(Q:Q,A:A,A925),"."))/VLOOKUP("USD",'Exchange Rates'!B:C,2,0),"Error with coding"))),"")</f>
        <v>.</v>
      </c>
      <c r="U925" s="1184" t="s">
        <v>365</v>
      </c>
      <c r="V925" s="973" t="s">
        <v>2611</v>
      </c>
      <c r="W925" s="980" t="s">
        <v>2612</v>
      </c>
      <c r="X925" s="981" t="s">
        <v>364</v>
      </c>
      <c r="Y925" s="1190" t="s">
        <v>364</v>
      </c>
      <c r="Z925" s="1184">
        <v>0</v>
      </c>
      <c r="AA925" s="1191">
        <v>0</v>
      </c>
      <c r="AB925" s="1201" t="s">
        <v>364</v>
      </c>
      <c r="AC925" s="1192" t="str">
        <f>""</f>
        <v/>
      </c>
      <c r="AD925" s="1193">
        <v>1</v>
      </c>
      <c r="AE925" s="1193" t="s">
        <v>368</v>
      </c>
      <c r="AF925" s="1193" t="s">
        <v>369</v>
      </c>
      <c r="AG925" s="1193">
        <v>1</v>
      </c>
      <c r="AH925" s="1193">
        <v>11</v>
      </c>
      <c r="AI925" s="1193">
        <v>0</v>
      </c>
      <c r="AJ925" s="1193">
        <f>VLOOKUP($I925,'Price List, Weapons &amp; Items'!B:F,5,0)</f>
        <v>0</v>
      </c>
      <c r="AK925" s="1193">
        <f t="shared" si="199"/>
        <v>0</v>
      </c>
      <c r="AL925" s="1193">
        <f t="shared" si="200"/>
        <v>0</v>
      </c>
      <c r="AM925" s="1193">
        <f t="shared" si="201"/>
        <v>0</v>
      </c>
      <c r="AN925" s="1194" t="str">
        <f>VLOOKUP($I925,'Price List, Weapons &amp; Items'!B:L,COLUMN('Price List, Weapons &amp; Items'!$J$11)-1,0)</f>
        <v>.</v>
      </c>
      <c r="AO925" s="1194" t="str">
        <f>IF(I925=".",".",VLOOKUP($I925,'Price List, Weapons &amp; Items'!B:J,3,0))</f>
        <v>.</v>
      </c>
      <c r="AP925" s="1195" t="str">
        <f t="shared" ca="1" si="195"/>
        <v>.</v>
      </c>
      <c r="AQ925" s="1194">
        <f>VLOOKUP($I925,'Price List, Weapons &amp; Items'!B:L,COLUMN('Price List, Weapons &amp; Items'!$L$11)-1,0)</f>
        <v>0</v>
      </c>
      <c r="AR925" s="1194">
        <f t="shared" si="202"/>
        <v>1</v>
      </c>
      <c r="AS925" s="1194">
        <f t="shared" si="203"/>
        <v>0</v>
      </c>
      <c r="AT925" s="1194">
        <f t="shared" si="204"/>
        <v>1</v>
      </c>
      <c r="AU925" s="1194" t="str">
        <f t="shared" si="205"/>
        <v>.</v>
      </c>
      <c r="AV925" s="1194" t="str">
        <f t="shared" si="196"/>
        <v>.</v>
      </c>
      <c r="AW925" s="1194" t="str">
        <f t="shared" si="206"/>
        <v>.</v>
      </c>
      <c r="AX925" s="1194">
        <f>IFERROR(VLOOKUP(B925,'Share, Heavy Weapons to Ukraine'!B:Z,COLUMN('Share, Heavy Weapons to Ukraine'!C935)-1,0),0)</f>
        <v>0</v>
      </c>
      <c r="AY925" s="1194">
        <f>VLOOKUP('Bilateral Assistance, MAIN DATA'!B925,'Country Summary (€)'!B:F,COLUMN('Country Summary (€)'!C936)-1,FALSE)</f>
        <v>1</v>
      </c>
      <c r="AZ925" s="1194" t="str">
        <f>IF(AND(AD925=1,D925="Military",H925&lt;&gt;"Not given")=TRUE,IF(SUMIFS(P:P,A:A,A925)&gt;0,ABS((SUMIFS(P:P,A:A,A925)/VLOOKUP("USD",'Exchange Rates'!B:C,2,0)))/S925,"."),".")</f>
        <v>.</v>
      </c>
      <c r="BA925" s="1196" t="str">
        <f>IF(AND(AD925=1,D925="Military",H925&lt;&gt;"Not given")=TRUE,IF(SUMIFS(P:P,A:A,A925)&gt;0,IF((ABS((SUMIFS(P:P,A:A,A925)/VLOOKUP("USD",'Exchange Rates'!B:C,2,0)))/S925)&gt;1,(SUMIFS(P:P,A:A,A925)-S925)/S925,(S925-SUMIFS(P:P,A:A,A925))/SUMIFS(P:P,A:A,A925)),"."),".")</f>
        <v>.</v>
      </c>
    </row>
    <row r="926" spans="1:53" ht="15.95" customHeight="1">
      <c r="A926" s="1180" t="s">
        <v>2613</v>
      </c>
      <c r="B926" s="1180" t="s">
        <v>2488</v>
      </c>
      <c r="C926" s="1181">
        <v>44627</v>
      </c>
      <c r="D926" s="1182" t="s">
        <v>544</v>
      </c>
      <c r="E926" s="1182" t="s">
        <v>481</v>
      </c>
      <c r="F926" s="1183" t="s">
        <v>2614</v>
      </c>
      <c r="G926" s="1184" t="s">
        <v>483</v>
      </c>
      <c r="H926" s="1185">
        <v>5000000</v>
      </c>
      <c r="I926" s="1180" t="s">
        <v>364</v>
      </c>
      <c r="J926" s="1186" t="str">
        <f>VLOOKUP($I926,'Price List, Weapons &amp; Items'!B:C,2,0)</f>
        <v>.</v>
      </c>
      <c r="K926" s="1186" t="str">
        <f>IF(I926=".",I926,VLOOKUP($I926,'Price List, Weapons &amp; Items'!B:D,3,0))</f>
        <v>.</v>
      </c>
      <c r="L926" s="1187">
        <f>VLOOKUP(I926,'Price List, Weapons &amp; Items'!B:E,4,0)</f>
        <v>0</v>
      </c>
      <c r="M926" s="1188" t="s">
        <v>364</v>
      </c>
      <c r="N926" s="1188" t="s">
        <v>364</v>
      </c>
      <c r="O926" s="1188" t="str">
        <f>VLOOKUP($I926,'Price List, Weapons &amp; Items'!B:G,6,0)</f>
        <v>.</v>
      </c>
      <c r="P926" s="1185" t="str">
        <f t="shared" si="197"/>
        <v>.</v>
      </c>
      <c r="Q926" s="1185" t="str">
        <f t="shared" si="198"/>
        <v>.</v>
      </c>
      <c r="R926" s="1185">
        <f t="shared" si="194"/>
        <v>5000000</v>
      </c>
      <c r="S926" s="1185">
        <f>IF(AND(AD926=1,R926&lt;&gt;".")=TRUE,R926/VLOOKUP(G926,'Exchange Rates'!B:C,2,0),IF(R926=".",".",""))</f>
        <v>5000000</v>
      </c>
      <c r="T926" s="1185" t="str">
        <f>IF(AD926=1,IF(AF926="Value is not given at all",".",IF(AF926="Value is given by the source",S926,IF(AF926="Value is calculated with prices",(IF(SUMIFS(Q:Q,A:A,A926)&gt;0,SUMIFS(Q:Q,A:A,A926),"."))/VLOOKUP("USD",'Exchange Rates'!B:C,2,0),"Error with coding"))),"")</f>
        <v>.</v>
      </c>
      <c r="U926" s="1184" t="s">
        <v>365</v>
      </c>
      <c r="V926" s="971" t="s">
        <v>1298</v>
      </c>
      <c r="W926" s="971" t="s">
        <v>2615</v>
      </c>
      <c r="X926" s="1190" t="s">
        <v>364</v>
      </c>
      <c r="Y926" s="1190" t="s">
        <v>364</v>
      </c>
      <c r="Z926" s="1184">
        <v>1</v>
      </c>
      <c r="AA926" s="1194">
        <v>0</v>
      </c>
      <c r="AB926" s="1201" t="s">
        <v>364</v>
      </c>
      <c r="AC926" s="1192" t="str">
        <f>""</f>
        <v/>
      </c>
      <c r="AD926" s="1193">
        <v>1</v>
      </c>
      <c r="AE926" s="1193" t="s">
        <v>368</v>
      </c>
      <c r="AF926" s="1193" t="s">
        <v>369</v>
      </c>
      <c r="AG926" s="1193">
        <v>1</v>
      </c>
      <c r="AH926" s="1193">
        <v>3</v>
      </c>
      <c r="AI926" s="1193">
        <v>0</v>
      </c>
      <c r="AJ926" s="1193">
        <f>VLOOKUP($I926,'Price List, Weapons &amp; Items'!B:F,5,0)</f>
        <v>0</v>
      </c>
      <c r="AK926" s="1193">
        <f t="shared" si="199"/>
        <v>0</v>
      </c>
      <c r="AL926" s="1193">
        <f t="shared" si="200"/>
        <v>0</v>
      </c>
      <c r="AM926" s="1193">
        <f t="shared" si="201"/>
        <v>0</v>
      </c>
      <c r="AN926" s="1194" t="str">
        <f>VLOOKUP($I926,'Price List, Weapons &amp; Items'!B:L,COLUMN('Price List, Weapons &amp; Items'!$J$11)-1,0)</f>
        <v>.</v>
      </c>
      <c r="AO926" s="1194" t="str">
        <f>IF(I926=".",".",VLOOKUP($I926,'Price List, Weapons &amp; Items'!B:J,3,0))</f>
        <v>.</v>
      </c>
      <c r="AP926" s="1195" t="str">
        <f t="shared" ca="1" si="195"/>
        <v>.</v>
      </c>
      <c r="AQ926" s="1194">
        <f>VLOOKUP($I926,'Price List, Weapons &amp; Items'!B:L,COLUMN('Price List, Weapons &amp; Items'!$L$11)-1,0)</f>
        <v>0</v>
      </c>
      <c r="AR926" s="1194">
        <f t="shared" si="202"/>
        <v>1</v>
      </c>
      <c r="AS926" s="1194">
        <f t="shared" si="203"/>
        <v>0</v>
      </c>
      <c r="AT926" s="1194">
        <f t="shared" si="204"/>
        <v>1</v>
      </c>
      <c r="AU926" s="1194" t="str">
        <f t="shared" si="205"/>
        <v>.</v>
      </c>
      <c r="AV926" s="1194" t="str">
        <f t="shared" si="196"/>
        <v>.</v>
      </c>
      <c r="AW926" s="1194" t="str">
        <f t="shared" si="206"/>
        <v>.</v>
      </c>
      <c r="AX926" s="1194">
        <f>IFERROR(VLOOKUP(B926,'Share, Heavy Weapons to Ukraine'!B:Z,COLUMN('Share, Heavy Weapons to Ukraine'!C936)-1,0),0)</f>
        <v>0</v>
      </c>
      <c r="AY926" s="1194">
        <f>VLOOKUP('Bilateral Assistance, MAIN DATA'!B926,'Country Summary (€)'!B:F,COLUMN('Country Summary (€)'!C937)-1,FALSE)</f>
        <v>1</v>
      </c>
      <c r="AZ926" s="1194" t="str">
        <f>IF(AND(AD926=1,D926="Military",H926&lt;&gt;"Not given")=TRUE,IF(SUMIFS(P:P,A:A,A926)&gt;0,ABS((SUMIFS(P:P,A:A,A926)/VLOOKUP("USD",'Exchange Rates'!B:C,2,0)))/S926,"."),".")</f>
        <v>.</v>
      </c>
      <c r="BA926" s="1196" t="str">
        <f>IF(AND(AD926=1,D926="Military",H926&lt;&gt;"Not given")=TRUE,IF(SUMIFS(P:P,A:A,A926)&gt;0,IF((ABS((SUMIFS(P:P,A:A,A926)/VLOOKUP("USD",'Exchange Rates'!B:C,2,0)))/S926)&gt;1,(SUMIFS(P:P,A:A,A926)-S926)/S926,(S926-SUMIFS(P:P,A:A,A926))/SUMIFS(P:P,A:A,A926)),"."),".")</f>
        <v>.</v>
      </c>
    </row>
    <row r="927" spans="1:53" ht="15.95" customHeight="1">
      <c r="A927" s="1180" t="s">
        <v>2616</v>
      </c>
      <c r="B927" s="1180" t="s">
        <v>2488</v>
      </c>
      <c r="C927" s="1181">
        <v>44738</v>
      </c>
      <c r="D927" s="1182" t="s">
        <v>544</v>
      </c>
      <c r="E927" s="1182" t="s">
        <v>495</v>
      </c>
      <c r="F927" s="1183" t="s">
        <v>2617</v>
      </c>
      <c r="G927" s="1184" t="s">
        <v>483</v>
      </c>
      <c r="H927" s="1185">
        <v>10000000</v>
      </c>
      <c r="I927" s="1180" t="s">
        <v>364</v>
      </c>
      <c r="J927" s="1186" t="str">
        <f>VLOOKUP($I927,'Price List, Weapons &amp; Items'!B:C,2,0)</f>
        <v>.</v>
      </c>
      <c r="K927" s="1186" t="str">
        <f>IF(I927=".",I927,VLOOKUP($I927,'Price List, Weapons &amp; Items'!B:D,3,0))</f>
        <v>.</v>
      </c>
      <c r="L927" s="1187">
        <f>VLOOKUP(I927,'Price List, Weapons &amp; Items'!B:E,4,0)</f>
        <v>0</v>
      </c>
      <c r="M927" s="1188" t="s">
        <v>364</v>
      </c>
      <c r="N927" s="1188" t="s">
        <v>364</v>
      </c>
      <c r="O927" s="1188" t="str">
        <f>VLOOKUP($I927,'Price List, Weapons &amp; Items'!B:G,6,0)</f>
        <v>.</v>
      </c>
      <c r="P927" s="1185" t="str">
        <f t="shared" si="197"/>
        <v>.</v>
      </c>
      <c r="Q927" s="1185" t="str">
        <f t="shared" si="198"/>
        <v>.</v>
      </c>
      <c r="R927" s="1185">
        <f t="shared" si="194"/>
        <v>10000000</v>
      </c>
      <c r="S927" s="1185">
        <f>IF(AND(AD927=1,R927&lt;&gt;".")=TRUE,R927/VLOOKUP(G927,'Exchange Rates'!B:C,2,0),IF(R927=".",".",""))</f>
        <v>10000000</v>
      </c>
      <c r="T927" s="1185" t="str">
        <f>IF(AD927=1,IF(AF927="Value is not given at all",".",IF(AF927="Value is given by the source",S927,IF(AF927="Value is calculated with prices",(IF(SUMIFS(Q:Q,A:A,A927)&gt;0,SUMIFS(Q:Q,A:A,A927),"."))/VLOOKUP("USD",'Exchange Rates'!B:C,2,0),"Error with coding"))),"")</f>
        <v>.</v>
      </c>
      <c r="U927" s="1184" t="s">
        <v>365</v>
      </c>
      <c r="V927" s="973" t="s">
        <v>663</v>
      </c>
      <c r="W927" s="973" t="s">
        <v>665</v>
      </c>
      <c r="X927" s="972" t="s">
        <v>364</v>
      </c>
      <c r="Y927" s="1190" t="s">
        <v>364</v>
      </c>
      <c r="Z927" s="1184">
        <v>1</v>
      </c>
      <c r="AA927" s="1191">
        <v>0</v>
      </c>
      <c r="AB927" s="1201" t="s">
        <v>364</v>
      </c>
      <c r="AC927" s="1192" t="str">
        <f>""</f>
        <v/>
      </c>
      <c r="AD927" s="1193">
        <v>1</v>
      </c>
      <c r="AE927" s="1193" t="s">
        <v>368</v>
      </c>
      <c r="AF927" s="1193" t="s">
        <v>369</v>
      </c>
      <c r="AG927" s="1193">
        <v>1</v>
      </c>
      <c r="AH927" s="1193">
        <v>6</v>
      </c>
      <c r="AI927" s="1193">
        <v>0</v>
      </c>
      <c r="AJ927" s="1193">
        <f>VLOOKUP($I927,'Price List, Weapons &amp; Items'!B:F,5,0)</f>
        <v>0</v>
      </c>
      <c r="AK927" s="1193">
        <f t="shared" si="199"/>
        <v>0</v>
      </c>
      <c r="AL927" s="1193">
        <f t="shared" si="200"/>
        <v>0</v>
      </c>
      <c r="AM927" s="1193">
        <f t="shared" si="201"/>
        <v>0</v>
      </c>
      <c r="AN927" s="1194" t="str">
        <f>VLOOKUP($I927,'Price List, Weapons &amp; Items'!B:L,COLUMN('Price List, Weapons &amp; Items'!$J$11)-1,0)</f>
        <v>.</v>
      </c>
      <c r="AO927" s="1194" t="str">
        <f>IF(I927=".",".",VLOOKUP($I927,'Price List, Weapons &amp; Items'!B:J,3,0))</f>
        <v>.</v>
      </c>
      <c r="AP927" s="1195" t="str">
        <f t="shared" ca="1" si="195"/>
        <v>.</v>
      </c>
      <c r="AQ927" s="1194">
        <f>VLOOKUP($I927,'Price List, Weapons &amp; Items'!B:L,COLUMN('Price List, Weapons &amp; Items'!$L$11)-1,0)</f>
        <v>0</v>
      </c>
      <c r="AR927" s="1194">
        <f t="shared" si="202"/>
        <v>1</v>
      </c>
      <c r="AS927" s="1194">
        <f t="shared" si="203"/>
        <v>0</v>
      </c>
      <c r="AT927" s="1194">
        <f t="shared" si="204"/>
        <v>1</v>
      </c>
      <c r="AU927" s="1194" t="str">
        <f t="shared" si="205"/>
        <v>.</v>
      </c>
      <c r="AV927" s="1194" t="str">
        <f t="shared" si="196"/>
        <v>.</v>
      </c>
      <c r="AW927" s="1194" t="str">
        <f t="shared" si="206"/>
        <v>.</v>
      </c>
      <c r="AX927" s="1194">
        <f>IFERROR(VLOOKUP(B927,'Share, Heavy Weapons to Ukraine'!B:Z,COLUMN('Share, Heavy Weapons to Ukraine'!C937)-1,0),0)</f>
        <v>0</v>
      </c>
      <c r="AY927" s="1194">
        <f>VLOOKUP('Bilateral Assistance, MAIN DATA'!B927,'Country Summary (€)'!B:F,COLUMN('Country Summary (€)'!C938)-1,FALSE)</f>
        <v>1</v>
      </c>
      <c r="AZ927" s="1194" t="str">
        <f>IF(AND(AD927=1,D927="Military",H927&lt;&gt;"Not given")=TRUE,IF(SUMIFS(P:P,A:A,A927)&gt;0,ABS((SUMIFS(P:P,A:A,A927)/VLOOKUP("USD",'Exchange Rates'!B:C,2,0)))/S927,"."),".")</f>
        <v>.</v>
      </c>
      <c r="BA927" s="1196" t="str">
        <f>IF(AND(AD927=1,D927="Military",H927&lt;&gt;"Not given")=TRUE,IF(SUMIFS(P:P,A:A,A927)&gt;0,IF((ABS((SUMIFS(P:P,A:A,A927)/VLOOKUP("USD",'Exchange Rates'!B:C,2,0)))/S927)&gt;1,(SUMIFS(P:P,A:A,A927)-S927)/S927,(S927-SUMIFS(P:P,A:A,A927))/SUMIFS(P:P,A:A,A927)),"."),".")</f>
        <v>.</v>
      </c>
    </row>
    <row r="928" spans="1:53" ht="15.95" customHeight="1">
      <c r="A928" s="1180" t="s">
        <v>2618</v>
      </c>
      <c r="B928" s="1180" t="s">
        <v>2488</v>
      </c>
      <c r="C928" s="1181">
        <v>44895</v>
      </c>
      <c r="D928" s="1182" t="s">
        <v>544</v>
      </c>
      <c r="E928" s="1182" t="s">
        <v>481</v>
      </c>
      <c r="F928" s="1183" t="s">
        <v>2619</v>
      </c>
      <c r="G928" s="1184" t="s">
        <v>483</v>
      </c>
      <c r="H928" s="1185">
        <v>5000000</v>
      </c>
      <c r="I928" s="1180" t="s">
        <v>364</v>
      </c>
      <c r="J928" s="1186" t="str">
        <f>VLOOKUP($I928,'Price List, Weapons &amp; Items'!B:C,2,0)</f>
        <v>.</v>
      </c>
      <c r="K928" s="1186" t="str">
        <f>IF(I928=".",I928,VLOOKUP($I928,'Price List, Weapons &amp; Items'!B:D,3,0))</f>
        <v>.</v>
      </c>
      <c r="L928" s="1187">
        <f>VLOOKUP(I928,'Price List, Weapons &amp; Items'!B:E,4,0)</f>
        <v>0</v>
      </c>
      <c r="M928" s="1188" t="s">
        <v>364</v>
      </c>
      <c r="N928" s="1188" t="s">
        <v>364</v>
      </c>
      <c r="O928" s="1188" t="str">
        <f>VLOOKUP($I928,'Price List, Weapons &amp; Items'!B:G,6,0)</f>
        <v>.</v>
      </c>
      <c r="P928" s="1185" t="str">
        <f t="shared" si="197"/>
        <v>.</v>
      </c>
      <c r="Q928" s="1185" t="str">
        <f t="shared" si="198"/>
        <v>.</v>
      </c>
      <c r="R928" s="1185">
        <f t="shared" si="194"/>
        <v>5000000</v>
      </c>
      <c r="S928" s="1185">
        <f>IF(AND(AD928=1,R928&lt;&gt;".")=TRUE,R928/VLOOKUP(G928,'Exchange Rates'!B:C,2,0),IF(R928=".",".",""))</f>
        <v>5000000</v>
      </c>
      <c r="T928" s="1185" t="str">
        <f>IF(AD928=1,IF(AF928="Value is not given at all",".",IF(AF928="Value is given by the source",S928,IF(AF928="Value is calculated with prices",(IF(SUMIFS(Q:Q,A:A,A928)&gt;0,SUMIFS(Q:Q,A:A,A928),"."))/VLOOKUP("USD",'Exchange Rates'!B:C,2,0),"Error with coding"))),"")</f>
        <v>.</v>
      </c>
      <c r="U928" s="1184" t="s">
        <v>365</v>
      </c>
      <c r="V928" s="971" t="s">
        <v>2611</v>
      </c>
      <c r="W928" s="971" t="s">
        <v>2620</v>
      </c>
      <c r="X928" s="972" t="s">
        <v>552</v>
      </c>
      <c r="Y928" s="1190" t="s">
        <v>364</v>
      </c>
      <c r="Z928" s="1184">
        <v>1</v>
      </c>
      <c r="AA928" s="1191">
        <v>0</v>
      </c>
      <c r="AB928" s="1201" t="s">
        <v>364</v>
      </c>
      <c r="AC928" s="1192" t="str">
        <f>""</f>
        <v/>
      </c>
      <c r="AD928" s="1193">
        <v>1</v>
      </c>
      <c r="AE928" s="1193" t="s">
        <v>368</v>
      </c>
      <c r="AF928" s="1193" t="s">
        <v>369</v>
      </c>
      <c r="AG928" s="1193">
        <v>1</v>
      </c>
      <c r="AH928" s="1193">
        <v>11</v>
      </c>
      <c r="AI928" s="1193">
        <v>0</v>
      </c>
      <c r="AJ928" s="1193">
        <f>VLOOKUP($I928,'Price List, Weapons &amp; Items'!B:F,5,0)</f>
        <v>0</v>
      </c>
      <c r="AK928" s="1193">
        <f t="shared" si="199"/>
        <v>0</v>
      </c>
      <c r="AL928" s="1193">
        <f t="shared" si="200"/>
        <v>0</v>
      </c>
      <c r="AM928" s="1193">
        <f t="shared" si="201"/>
        <v>0</v>
      </c>
      <c r="AN928" s="1194" t="str">
        <f>VLOOKUP($I928,'Price List, Weapons &amp; Items'!B:L,COLUMN('Price List, Weapons &amp; Items'!$J$11)-1,0)</f>
        <v>.</v>
      </c>
      <c r="AO928" s="1194" t="str">
        <f>IF(I928=".",".",VLOOKUP($I928,'Price List, Weapons &amp; Items'!B:J,3,0))</f>
        <v>.</v>
      </c>
      <c r="AP928" s="1195" t="str">
        <f t="shared" ca="1" si="195"/>
        <v>.</v>
      </c>
      <c r="AQ928" s="1194">
        <f>VLOOKUP($I928,'Price List, Weapons &amp; Items'!B:L,COLUMN('Price List, Weapons &amp; Items'!$L$11)-1,0)</f>
        <v>0</v>
      </c>
      <c r="AR928" s="1194">
        <f t="shared" si="202"/>
        <v>1</v>
      </c>
      <c r="AS928" s="1194">
        <f t="shared" si="203"/>
        <v>0</v>
      </c>
      <c r="AT928" s="1194">
        <f t="shared" si="204"/>
        <v>1</v>
      </c>
      <c r="AU928" s="1194" t="str">
        <f t="shared" si="205"/>
        <v>.</v>
      </c>
      <c r="AV928" s="1194" t="str">
        <f t="shared" si="196"/>
        <v>.</v>
      </c>
      <c r="AW928" s="1194" t="str">
        <f t="shared" si="206"/>
        <v>.</v>
      </c>
      <c r="AX928" s="1194">
        <f>IFERROR(VLOOKUP(B928,'Share, Heavy Weapons to Ukraine'!B:Z,COLUMN('Share, Heavy Weapons to Ukraine'!C938)-1,0),0)</f>
        <v>0</v>
      </c>
      <c r="AY928" s="1194">
        <f>VLOOKUP('Bilateral Assistance, MAIN DATA'!B928,'Country Summary (€)'!B:F,COLUMN('Country Summary (€)'!C939)-1,FALSE)</f>
        <v>1</v>
      </c>
      <c r="AZ928" s="1194" t="str">
        <f>IF(AND(AD928=1,D928="Military",H928&lt;&gt;"Not given")=TRUE,IF(SUMIFS(P:P,A:A,A928)&gt;0,ABS((SUMIFS(P:P,A:A,A928)/VLOOKUP("USD",'Exchange Rates'!B:C,2,0)))/S928,"."),".")</f>
        <v>.</v>
      </c>
      <c r="BA928" s="1196" t="str">
        <f>IF(AND(AD928=1,D928="Military",H928&lt;&gt;"Not given")=TRUE,IF(SUMIFS(P:P,A:A,A928)&gt;0,IF((ABS((SUMIFS(P:P,A:A,A928)/VLOOKUP("USD",'Exchange Rates'!B:C,2,0)))/S928)&gt;1,(SUMIFS(P:P,A:A,A928)-S928)/S928,(S928-SUMIFS(P:P,A:A,A928))/SUMIFS(P:P,A:A,A928)),"."),".")</f>
        <v>.</v>
      </c>
    </row>
    <row r="929" spans="1:53" ht="15.95" customHeight="1">
      <c r="A929" s="1180" t="s">
        <v>2621</v>
      </c>
      <c r="B929" s="1180" t="s">
        <v>2488</v>
      </c>
      <c r="C929" s="1181">
        <v>45029</v>
      </c>
      <c r="D929" s="1182" t="s">
        <v>544</v>
      </c>
      <c r="E929" s="1182" t="s">
        <v>481</v>
      </c>
      <c r="F929" s="1183" t="s">
        <v>2622</v>
      </c>
      <c r="G929" s="1184" t="s">
        <v>483</v>
      </c>
      <c r="H929" s="1185">
        <v>10000000</v>
      </c>
      <c r="I929" s="1180" t="s">
        <v>364</v>
      </c>
      <c r="J929" s="1186" t="str">
        <f>VLOOKUP($I929,'Price List, Weapons &amp; Items'!B:C,2,0)</f>
        <v>.</v>
      </c>
      <c r="K929" s="1186" t="str">
        <f>IF(I929=".",I929,VLOOKUP($I929,'Price List, Weapons &amp; Items'!B:D,3,0))</f>
        <v>.</v>
      </c>
      <c r="L929" s="1187">
        <f>VLOOKUP(I929,'Price List, Weapons &amp; Items'!B:E,4,0)</f>
        <v>0</v>
      </c>
      <c r="M929" s="1188" t="s">
        <v>364</v>
      </c>
      <c r="N929" s="1188" t="s">
        <v>364</v>
      </c>
      <c r="O929" s="1188" t="str">
        <f>VLOOKUP($I929,'Price List, Weapons &amp; Items'!B:G,6,0)</f>
        <v>.</v>
      </c>
      <c r="P929" s="1185" t="str">
        <f t="shared" si="197"/>
        <v>.</v>
      </c>
      <c r="Q929" s="1185" t="str">
        <f t="shared" si="198"/>
        <v>.</v>
      </c>
      <c r="R929" s="1185">
        <f t="shared" si="194"/>
        <v>10000000</v>
      </c>
      <c r="S929" s="1185">
        <f>IF(AND(AD929=1,R929&lt;&gt;".")=TRUE,R929/VLOOKUP(G929,'Exchange Rates'!B:C,2,0),IF(R929=".",".",""))</f>
        <v>10000000</v>
      </c>
      <c r="T929" s="1185" t="str">
        <f>IF(AD929=1,IF(AF929="Value is not given at all",".",IF(AF929="Value is given by the source",S929,IF(AF929="Value is calculated with prices",(IF(SUMIFS(Q:Q,A:A,A929)&gt;0,SUMIFS(Q:Q,A:A,A929),"."))/VLOOKUP("USD",'Exchange Rates'!B:C,2,0),"Error with coding"))),"")</f>
        <v>.</v>
      </c>
      <c r="U929" s="1184" t="s">
        <v>365</v>
      </c>
      <c r="V929" s="973" t="s">
        <v>2623</v>
      </c>
      <c r="W929" s="986" t="s">
        <v>364</v>
      </c>
      <c r="X929" s="981" t="s">
        <v>364</v>
      </c>
      <c r="Y929" s="1190" t="s">
        <v>364</v>
      </c>
      <c r="Z929" s="1184">
        <v>1</v>
      </c>
      <c r="AA929" s="1191">
        <v>1</v>
      </c>
      <c r="AB929" s="1201" t="s">
        <v>364</v>
      </c>
      <c r="AC929" s="1192" t="str">
        <f>""</f>
        <v/>
      </c>
      <c r="AD929" s="1193">
        <v>1</v>
      </c>
      <c r="AE929" s="1193" t="s">
        <v>368</v>
      </c>
      <c r="AF929" s="1193" t="s">
        <v>369</v>
      </c>
      <c r="AG929" s="1193">
        <v>1</v>
      </c>
      <c r="AH929" s="1193">
        <v>16</v>
      </c>
      <c r="AI929" s="1193">
        <v>0</v>
      </c>
      <c r="AJ929" s="1193">
        <f>VLOOKUP($I929,'Price List, Weapons &amp; Items'!B:F,5,0)</f>
        <v>0</v>
      </c>
      <c r="AK929" s="1193">
        <f t="shared" si="199"/>
        <v>0</v>
      </c>
      <c r="AL929" s="1193">
        <f t="shared" si="200"/>
        <v>0</v>
      </c>
      <c r="AM929" s="1193">
        <f t="shared" si="201"/>
        <v>0</v>
      </c>
      <c r="AN929" s="1194" t="str">
        <f>VLOOKUP($I929,'Price List, Weapons &amp; Items'!B:L,COLUMN('Price List, Weapons &amp; Items'!$J$11)-1,0)</f>
        <v>.</v>
      </c>
      <c r="AO929" s="1194" t="str">
        <f>IF(I929=".",".",VLOOKUP($I929,'Price List, Weapons &amp; Items'!B:J,3,0))</f>
        <v>.</v>
      </c>
      <c r="AP929" s="1195" t="str">
        <f t="shared" ca="1" si="195"/>
        <v>.</v>
      </c>
      <c r="AQ929" s="1194">
        <f>VLOOKUP($I929,'Price List, Weapons &amp; Items'!B:L,COLUMN('Price List, Weapons &amp; Items'!$L$11)-1,0)</f>
        <v>0</v>
      </c>
      <c r="AR929" s="1194">
        <f t="shared" si="202"/>
        <v>1</v>
      </c>
      <c r="AS929" s="1194">
        <f t="shared" si="203"/>
        <v>0</v>
      </c>
      <c r="AT929" s="1194">
        <f t="shared" si="204"/>
        <v>1</v>
      </c>
      <c r="AU929" s="1194" t="str">
        <f t="shared" si="205"/>
        <v>.</v>
      </c>
      <c r="AV929" s="1194" t="str">
        <f t="shared" si="196"/>
        <v>.</v>
      </c>
      <c r="AW929" s="1194" t="str">
        <f t="shared" si="206"/>
        <v>.</v>
      </c>
      <c r="AX929" s="1194">
        <f>IFERROR(VLOOKUP(B929,'Share, Heavy Weapons to Ukraine'!B:Z,COLUMN('Share, Heavy Weapons to Ukraine'!C939)-1,0),0)</f>
        <v>0</v>
      </c>
      <c r="AY929" s="1194">
        <f>VLOOKUP('Bilateral Assistance, MAIN DATA'!B929,'Country Summary (€)'!B:F,COLUMN('Country Summary (€)'!C940)-1,FALSE)</f>
        <v>1</v>
      </c>
      <c r="AZ929" s="1194" t="str">
        <f>IF(AND(AD929=1,D929="Military",H929&lt;&gt;"Not given")=TRUE,IF(SUMIFS(P:P,A:A,A929)&gt;0,ABS((SUMIFS(P:P,A:A,A929)/VLOOKUP("USD",'Exchange Rates'!B:C,2,0)))/S929,"."),".")</f>
        <v>.</v>
      </c>
      <c r="BA929" s="1196" t="str">
        <f>IF(AND(AD929=1,D929="Military",H929&lt;&gt;"Not given")=TRUE,IF(SUMIFS(P:P,A:A,A929)&gt;0,IF((ABS((SUMIFS(P:P,A:A,A929)/VLOOKUP("USD",'Exchange Rates'!B:C,2,0)))/S929)&gt;1,(SUMIFS(P:P,A:A,A929)-S929)/S929,(S929-SUMIFS(P:P,A:A,A929))/SUMIFS(P:P,A:A,A929)),"."),".")</f>
        <v>.</v>
      </c>
    </row>
    <row r="930" spans="1:53" ht="15.95" customHeight="1">
      <c r="A930" s="1182" t="s">
        <v>2624</v>
      </c>
      <c r="B930" s="1182" t="s">
        <v>2625</v>
      </c>
      <c r="C930" s="1181">
        <v>44620</v>
      </c>
      <c r="D930" s="1182" t="s">
        <v>389</v>
      </c>
      <c r="E930" s="1182" t="s">
        <v>390</v>
      </c>
      <c r="F930" s="1183" t="s">
        <v>2626</v>
      </c>
      <c r="G930" s="1184" t="s">
        <v>483</v>
      </c>
      <c r="H930" s="1185">
        <v>50000000</v>
      </c>
      <c r="I930" s="1180" t="s">
        <v>1895</v>
      </c>
      <c r="J930" s="1186" t="str">
        <f>VLOOKUP($I930,'Price List, Weapons &amp; Items'!B:C,2,0)</f>
        <v>Military equipment</v>
      </c>
      <c r="K930" s="1186" t="str">
        <f>IF(I930=".",I930,VLOOKUP($I930,'Price List, Weapons &amp; Items'!B:D,3,0))</f>
        <v>Military equipment</v>
      </c>
      <c r="L930" s="1187">
        <f>VLOOKUP(I930,'Price List, Weapons &amp; Items'!B:E,4,0)</f>
        <v>0</v>
      </c>
      <c r="M930" s="1188">
        <v>15</v>
      </c>
      <c r="N930" s="1188">
        <v>15</v>
      </c>
      <c r="O930" s="1188">
        <f>VLOOKUP($I930,'Price List, Weapons &amp; Items'!B:G,6,0)</f>
        <v>70</v>
      </c>
      <c r="P930" s="1185">
        <f t="shared" si="197"/>
        <v>1050</v>
      </c>
      <c r="Q930" s="1185">
        <f t="shared" si="198"/>
        <v>1050</v>
      </c>
      <c r="R930" s="1185">
        <f t="shared" si="194"/>
        <v>50000000</v>
      </c>
      <c r="S930" s="1185">
        <f>IF(AND(AD930=1,R930&lt;&gt;".")=TRUE,R930/VLOOKUP(G930,'Exchange Rates'!B:C,2,0),IF(R930=".",".",""))</f>
        <v>50000000</v>
      </c>
      <c r="T930" s="1185">
        <f>IF(AD930=1,IF(AF930="Value is not given at all",".",IF(AF930="Value is given by the source",S930,IF(AF930="Value is calculated with prices",(IF(SUMIFS(Q:Q,A:A,A930)&gt;0,SUMIFS(Q:Q,A:A,A930),"."))/VLOOKUP("USD",'Exchange Rates'!B:C,2,0),"Error with coding"))),"")</f>
        <v>50000000</v>
      </c>
      <c r="U930" s="1184" t="s">
        <v>365</v>
      </c>
      <c r="V930" s="974" t="s">
        <v>2627</v>
      </c>
      <c r="W930" s="974" t="s">
        <v>2628</v>
      </c>
      <c r="X930" s="974" t="s">
        <v>2629</v>
      </c>
      <c r="Y930" s="1029" t="s">
        <v>2630</v>
      </c>
      <c r="Z930" s="1184">
        <v>0</v>
      </c>
      <c r="AA930" s="1191">
        <v>0</v>
      </c>
      <c r="AB930" s="975" t="s">
        <v>2631</v>
      </c>
      <c r="AC930" s="1192" t="str">
        <f>""</f>
        <v/>
      </c>
      <c r="AD930" s="1193">
        <v>1</v>
      </c>
      <c r="AE930" s="1193" t="s">
        <v>368</v>
      </c>
      <c r="AF930" s="1193" t="s">
        <v>368</v>
      </c>
      <c r="AG930" s="1193">
        <v>1</v>
      </c>
      <c r="AH930" s="1193">
        <v>2</v>
      </c>
      <c r="AI930" s="1193">
        <v>0</v>
      </c>
      <c r="AJ930" s="1193">
        <f>VLOOKUP($I930,'Price List, Weapons &amp; Items'!B:F,5,0)</f>
        <v>0</v>
      </c>
      <c r="AK930" s="1193">
        <f t="shared" si="199"/>
        <v>0</v>
      </c>
      <c r="AL930" s="1193">
        <f t="shared" si="200"/>
        <v>0</v>
      </c>
      <c r="AM930" s="1193">
        <f t="shared" si="201"/>
        <v>0</v>
      </c>
      <c r="AN930" s="1194" t="str">
        <f>VLOOKUP($I930,'Price List, Weapons &amp; Items'!B:L,COLUMN('Price List, Weapons &amp; Items'!$J$11)-1,0)</f>
        <v>Online marketplaces and stores</v>
      </c>
      <c r="AO930" s="1194" t="str">
        <f>IF(I930=".",".",VLOOKUP($I930,'Price List, Weapons &amp; Items'!B:J,3,0))</f>
        <v>Military equipment</v>
      </c>
      <c r="AP930" s="1195" t="str">
        <f t="shared" ca="1" si="195"/>
        <v>military tent</v>
      </c>
      <c r="AQ930" s="1194">
        <f>VLOOKUP($I930,'Price List, Weapons &amp; Items'!B:L,COLUMN('Price List, Weapons &amp; Items'!$L$11)-1,0)</f>
        <v>1</v>
      </c>
      <c r="AR930" s="1194">
        <f t="shared" si="202"/>
        <v>1</v>
      </c>
      <c r="AS930" s="1194">
        <f t="shared" si="203"/>
        <v>1</v>
      </c>
      <c r="AT930" s="1194">
        <f t="shared" si="204"/>
        <v>1</v>
      </c>
      <c r="AU930" s="1194" t="str">
        <f t="shared" si="205"/>
        <v>.</v>
      </c>
      <c r="AV930" s="1194" t="str">
        <f t="shared" si="196"/>
        <v>.</v>
      </c>
      <c r="AW930" s="1194" t="str">
        <f t="shared" si="206"/>
        <v>.</v>
      </c>
      <c r="AX930" s="1194">
        <f>IFERROR(VLOOKUP(B930,'Share, Heavy Weapons to Ukraine'!B:Z,COLUMN('Share, Heavy Weapons to Ukraine'!C940)-1,0),0)</f>
        <v>0</v>
      </c>
      <c r="AY930" s="1194">
        <f>VLOOKUP('Bilateral Assistance, MAIN DATA'!B930,'Country Summary (€)'!B:F,COLUMN('Country Summary (€)'!C941)-1,FALSE)</f>
        <v>1</v>
      </c>
      <c r="AZ930" s="1194">
        <f>IF(AND(AD930=1,D930="Military",H930&lt;&gt;"Not given")=TRUE,IF(SUMIFS(P:P,A:A,A930)&gt;0,ABS((SUMIFS(P:P,A:A,A930)/VLOOKUP("USD",'Exchange Rates'!B:C,2,0)))/S930,"."),".")</f>
        <v>0.59204479205005522</v>
      </c>
      <c r="BA930" s="1196">
        <f>IF(AND(AD930=1,D930="Military",H930&lt;&gt;"Not given")=TRUE,IF(SUMIFS(P:P,A:A,A930)&gt;0,IF((ABS((SUMIFS(P:P,A:A,A930)/VLOOKUP("USD",'Exchange Rates'!B:C,2,0)))/S930)&gt;1,(SUMIFS(P:P,A:A,A930)-S930)/S930,(S930-SUMIFS(P:P,A:A,A930))/SUMIFS(P:P,A:A,A930)),"."),".")</f>
        <v>0.55416027880889407</v>
      </c>
    </row>
    <row r="931" spans="1:53" ht="15.95" customHeight="1">
      <c r="A931" s="1182" t="s">
        <v>2624</v>
      </c>
      <c r="B931" s="1182" t="s">
        <v>2625</v>
      </c>
      <c r="C931" s="1181">
        <v>44620</v>
      </c>
      <c r="D931" s="1182" t="s">
        <v>389</v>
      </c>
      <c r="E931" s="1182" t="s">
        <v>390</v>
      </c>
      <c r="F931" s="1183" t="s">
        <v>2626</v>
      </c>
      <c r="G931" s="1184" t="s">
        <v>483</v>
      </c>
      <c r="H931" s="1185">
        <v>50000000</v>
      </c>
      <c r="I931" s="1180" t="s">
        <v>2632</v>
      </c>
      <c r="J931" s="1186" t="str">
        <f>VLOOKUP($I931,'Price List, Weapons &amp; Items'!B:C,2,0)</f>
        <v>Portable defence system</v>
      </c>
      <c r="K931" s="1186" t="str">
        <f>IF(I931=".",I931,VLOOKUP($I931,'Price List, Weapons &amp; Items'!B:D,3,0))</f>
        <v>Light Anti-armor Weapon (LAW)</v>
      </c>
      <c r="L931" s="1187">
        <f>VLOOKUP(I931,'Price List, Weapons &amp; Items'!B:E,4,0)</f>
        <v>0</v>
      </c>
      <c r="M931" s="1188">
        <v>102</v>
      </c>
      <c r="N931" s="1188">
        <v>102</v>
      </c>
      <c r="O931" s="1188">
        <f>VLOOKUP($I931,'Price List, Weapons &amp; Items'!B:G,6,0)</f>
        <v>40000</v>
      </c>
      <c r="P931" s="1185">
        <f t="shared" si="197"/>
        <v>4080000</v>
      </c>
      <c r="Q931" s="1185">
        <f t="shared" si="198"/>
        <v>4080000</v>
      </c>
      <c r="R931" s="1185" t="str">
        <f t="shared" si="194"/>
        <v/>
      </c>
      <c r="S931" s="1185" t="str">
        <f>IF(AND(AD931=1,R931&lt;&gt;".")=TRUE,R931/VLOOKUP(G931,'Exchange Rates'!B:C,2,0),IF(R931=".",".",""))</f>
        <v/>
      </c>
      <c r="T931" s="1185" t="str">
        <f>IF(AD931=1,IF(AF931="Value is not given at all",".",IF(AF931="Value is given by the source",S931,IF(AF931="Value is calculated with prices",(IF(SUMIFS(Q:Q,A:A,A931)&gt;0,SUMIFS(Q:Q,A:A,A931),"."))/VLOOKUP("USD",'Exchange Rates'!B:C,2,0),"Error with coding"))),"")</f>
        <v/>
      </c>
      <c r="U931" s="1184" t="s">
        <v>365</v>
      </c>
      <c r="V931" s="974" t="s">
        <v>2627</v>
      </c>
      <c r="W931" s="974" t="s">
        <v>2628</v>
      </c>
      <c r="X931" s="974" t="s">
        <v>2629</v>
      </c>
      <c r="Y931" s="1029" t="s">
        <v>2630</v>
      </c>
      <c r="Z931" s="1184">
        <v>0</v>
      </c>
      <c r="AA931" s="1191">
        <v>0</v>
      </c>
      <c r="AB931" s="975" t="s">
        <v>2631</v>
      </c>
      <c r="AC931" s="1192" t="str">
        <f>""</f>
        <v/>
      </c>
      <c r="AD931" s="1193">
        <v>0</v>
      </c>
      <c r="AE931" s="1193" t="s">
        <v>368</v>
      </c>
      <c r="AF931" s="1193" t="s">
        <v>368</v>
      </c>
      <c r="AG931" s="1193">
        <v>1</v>
      </c>
      <c r="AH931" s="1193">
        <v>2</v>
      </c>
      <c r="AI931" s="1193">
        <v>0</v>
      </c>
      <c r="AJ931" s="1193">
        <f>VLOOKUP($I931,'Price List, Weapons &amp; Items'!B:F,5,0)</f>
        <v>0</v>
      </c>
      <c r="AK931" s="1193">
        <f t="shared" si="199"/>
        <v>0</v>
      </c>
      <c r="AL931" s="1193">
        <f t="shared" si="200"/>
        <v>0</v>
      </c>
      <c r="AM931" s="1193">
        <f t="shared" si="201"/>
        <v>0</v>
      </c>
      <c r="AN931" s="1194" t="str">
        <f>VLOOKUP($I931,'Price List, Weapons &amp; Items'!B:L,COLUMN('Price List, Weapons &amp; Items'!$J$11)-1,0)</f>
        <v>Media reports (incl. social media)</v>
      </c>
      <c r="AO931" s="1194" t="str">
        <f>IF(I931=".",".",VLOOKUP($I931,'Price List, Weapons &amp; Items'!B:J,3,0))</f>
        <v>Light Anti-armor Weapon (LAW)</v>
      </c>
      <c r="AP931" s="1195" t="str">
        <f t="shared" ca="1" si="195"/>
        <v/>
      </c>
      <c r="AQ931" s="1194">
        <f>VLOOKUP($I931,'Price List, Weapons &amp; Items'!B:L,COLUMN('Price List, Weapons &amp; Items'!$L$11)-1,0)</f>
        <v>2</v>
      </c>
      <c r="AR931" s="1194">
        <f t="shared" si="202"/>
        <v>1</v>
      </c>
      <c r="AS931" s="1194">
        <f t="shared" si="203"/>
        <v>1</v>
      </c>
      <c r="AT931" s="1194">
        <f t="shared" si="204"/>
        <v>1</v>
      </c>
      <c r="AU931" s="1194" t="str">
        <f t="shared" si="205"/>
        <v>.</v>
      </c>
      <c r="AV931" s="1194" t="str">
        <f t="shared" si="196"/>
        <v>.</v>
      </c>
      <c r="AW931" s="1194" t="str">
        <f t="shared" si="206"/>
        <v>.</v>
      </c>
      <c r="AX931" s="1194">
        <f>IFERROR(VLOOKUP(B931,'Share, Heavy Weapons to Ukraine'!B:Z,COLUMN('Share, Heavy Weapons to Ukraine'!C941)-1,0),0)</f>
        <v>0</v>
      </c>
      <c r="AY931" s="1194">
        <f>VLOOKUP('Bilateral Assistance, MAIN DATA'!B931,'Country Summary (€)'!B:F,COLUMN('Country Summary (€)'!C942)-1,FALSE)</f>
        <v>1</v>
      </c>
      <c r="AZ931" s="1194" t="str">
        <f>IF(AND(AD931=1,D931="Military",H931&lt;&gt;"Not given")=TRUE,IF(SUMIFS(P:P,A:A,A931)&gt;0,ABS((SUMIFS(P:P,A:A,A931)/VLOOKUP("USD",'Exchange Rates'!B:C,2,0)))/S931,"."),".")</f>
        <v>.</v>
      </c>
      <c r="BA931" s="1196" t="str">
        <f>IF(AND(AD931=1,D931="Military",H931&lt;&gt;"Not given")=TRUE,IF(SUMIFS(P:P,A:A,A931)&gt;0,IF((ABS((SUMIFS(P:P,A:A,A931)/VLOOKUP("USD",'Exchange Rates'!B:C,2,0)))/S931)&gt;1,(SUMIFS(P:P,A:A,A931)-S931)/S931,(S931-SUMIFS(P:P,A:A,A931))/SUMIFS(P:P,A:A,A931)),"."),".")</f>
        <v>.</v>
      </c>
    </row>
    <row r="932" spans="1:53" ht="15.95" customHeight="1">
      <c r="A932" s="1182" t="s">
        <v>2624</v>
      </c>
      <c r="B932" s="1182" t="s">
        <v>2625</v>
      </c>
      <c r="C932" s="1181">
        <v>44620</v>
      </c>
      <c r="D932" s="1182" t="s">
        <v>389</v>
      </c>
      <c r="E932" s="1182" t="s">
        <v>390</v>
      </c>
      <c r="F932" s="1183" t="s">
        <v>2626</v>
      </c>
      <c r="G932" s="1184" t="s">
        <v>483</v>
      </c>
      <c r="H932" s="1185">
        <v>50000000</v>
      </c>
      <c r="I932" s="1180" t="s">
        <v>2633</v>
      </c>
      <c r="J932" s="1186" t="str">
        <f>VLOOKUP($I932,'Price List, Weapons &amp; Items'!B:C,2,0)</f>
        <v>Military equipment</v>
      </c>
      <c r="K932" s="1186" t="str">
        <f>IF(I932=".",I932,VLOOKUP($I932,'Price List, Weapons &amp; Items'!B:D,3,0))</f>
        <v>Armored Utility Vehicle (AUV)</v>
      </c>
      <c r="L932" s="1187">
        <f>VLOOKUP(I932,'Price List, Weapons &amp; Items'!B:E,4,0)</f>
        <v>0</v>
      </c>
      <c r="M932" s="1188">
        <v>7</v>
      </c>
      <c r="N932" s="1188">
        <v>7</v>
      </c>
      <c r="O932" s="1188">
        <f>VLOOKUP($I932,'Price List, Weapons &amp; Items'!B:G,6,0)</f>
        <v>35000</v>
      </c>
      <c r="P932" s="1185">
        <f t="shared" si="197"/>
        <v>245000</v>
      </c>
      <c r="Q932" s="1185">
        <f t="shared" si="198"/>
        <v>245000</v>
      </c>
      <c r="R932" s="1185" t="str">
        <f t="shared" si="194"/>
        <v/>
      </c>
      <c r="S932" s="1185" t="str">
        <f>IF(AND(AD932=1,R932&lt;&gt;".")=TRUE,R932/VLOOKUP(G932,'Exchange Rates'!B:C,2,0),IF(R932=".",".",""))</f>
        <v/>
      </c>
      <c r="T932" s="1185" t="str">
        <f>IF(AD932=1,IF(AF932="Value is not given at all",".",IF(AF932="Value is given by the source",S932,IF(AF932="Value is calculated with prices",(IF(SUMIFS(Q:Q,A:A,A932)&gt;0,SUMIFS(Q:Q,A:A,A932),"."))/VLOOKUP("USD",'Exchange Rates'!B:C,2,0),"Error with coding"))),"")</f>
        <v/>
      </c>
      <c r="U932" s="1184" t="s">
        <v>365</v>
      </c>
      <c r="V932" s="974" t="s">
        <v>2627</v>
      </c>
      <c r="W932" s="974" t="s">
        <v>2628</v>
      </c>
      <c r="X932" s="974" t="s">
        <v>2629</v>
      </c>
      <c r="Y932" s="1029" t="s">
        <v>2630</v>
      </c>
      <c r="Z932" s="1184">
        <v>0</v>
      </c>
      <c r="AA932" s="1191">
        <v>0</v>
      </c>
      <c r="AB932" s="975" t="s">
        <v>2631</v>
      </c>
      <c r="AC932" s="1192" t="str">
        <f>""</f>
        <v/>
      </c>
      <c r="AD932" s="1193">
        <v>0</v>
      </c>
      <c r="AE932" s="1193" t="s">
        <v>368</v>
      </c>
      <c r="AF932" s="1193" t="s">
        <v>368</v>
      </c>
      <c r="AG932" s="1193">
        <v>1</v>
      </c>
      <c r="AH932" s="1193">
        <v>2</v>
      </c>
      <c r="AI932" s="1193">
        <v>0</v>
      </c>
      <c r="AJ932" s="1193">
        <f>VLOOKUP($I932,'Price List, Weapons &amp; Items'!B:F,5,0)</f>
        <v>1</v>
      </c>
      <c r="AK932" s="1193">
        <f t="shared" si="199"/>
        <v>0</v>
      </c>
      <c r="AL932" s="1193">
        <f t="shared" si="200"/>
        <v>0</v>
      </c>
      <c r="AM932" s="1193">
        <f t="shared" si="201"/>
        <v>0</v>
      </c>
      <c r="AN932" s="1194" t="str">
        <f>VLOOKUP($I932,'Price List, Weapons &amp; Items'!B:L,COLUMN('Price List, Weapons &amp; Items'!$J$11)-1,0)</f>
        <v>Manufacturer price</v>
      </c>
      <c r="AO932" s="1194" t="str">
        <f>IF(I932=".",".",VLOOKUP($I932,'Price List, Weapons &amp; Items'!B:J,3,0))</f>
        <v>Armored Utility Vehicle (AUV)</v>
      </c>
      <c r="AP932" s="1195" t="str">
        <f t="shared" ca="1" si="195"/>
        <v/>
      </c>
      <c r="AQ932" s="1194">
        <f>VLOOKUP($I932,'Price List, Weapons &amp; Items'!B:L,COLUMN('Price List, Weapons &amp; Items'!$L$11)-1,0)</f>
        <v>1</v>
      </c>
      <c r="AR932" s="1194">
        <f t="shared" si="202"/>
        <v>1</v>
      </c>
      <c r="AS932" s="1194">
        <f t="shared" si="203"/>
        <v>1</v>
      </c>
      <c r="AT932" s="1194">
        <f t="shared" si="204"/>
        <v>1</v>
      </c>
      <c r="AU932" s="1194" t="str">
        <f t="shared" si="205"/>
        <v>.</v>
      </c>
      <c r="AV932" s="1194" t="str">
        <f t="shared" si="196"/>
        <v>.</v>
      </c>
      <c r="AW932" s="1194" t="str">
        <f t="shared" si="206"/>
        <v>.</v>
      </c>
      <c r="AX932" s="1194">
        <f>IFERROR(VLOOKUP(B932,'Share, Heavy Weapons to Ukraine'!B:Z,COLUMN('Share, Heavy Weapons to Ukraine'!C942)-1,0),0)</f>
        <v>0</v>
      </c>
      <c r="AY932" s="1194">
        <f>VLOOKUP('Bilateral Assistance, MAIN DATA'!B932,'Country Summary (€)'!B:F,COLUMN('Country Summary (€)'!C943)-1,FALSE)</f>
        <v>1</v>
      </c>
      <c r="AZ932" s="1194" t="str">
        <f>IF(AND(AD932=1,D932="Military",H932&lt;&gt;"Not given")=TRUE,IF(SUMIFS(P:P,A:A,A932)&gt;0,ABS((SUMIFS(P:P,A:A,A932)/VLOOKUP("USD",'Exchange Rates'!B:C,2,0)))/S932,"."),".")</f>
        <v>.</v>
      </c>
      <c r="BA932" s="1196" t="str">
        <f>IF(AND(AD932=1,D932="Military",H932&lt;&gt;"Not given")=TRUE,IF(SUMIFS(P:P,A:A,A932)&gt;0,IF((ABS((SUMIFS(P:P,A:A,A932)/VLOOKUP("USD",'Exchange Rates'!B:C,2,0)))/S932)&gt;1,(SUMIFS(P:P,A:A,A932)-S932)/S932,(S932-SUMIFS(P:P,A:A,A932))/SUMIFS(P:P,A:A,A932)),"."),".")</f>
        <v>.</v>
      </c>
    </row>
    <row r="933" spans="1:53" ht="15.95" customHeight="1">
      <c r="A933" s="1182" t="s">
        <v>2624</v>
      </c>
      <c r="B933" s="1182" t="s">
        <v>2625</v>
      </c>
      <c r="C933" s="1181">
        <v>44648</v>
      </c>
      <c r="D933" s="1182" t="s">
        <v>389</v>
      </c>
      <c r="E933" s="1182" t="s">
        <v>390</v>
      </c>
      <c r="F933" s="1183" t="s">
        <v>2626</v>
      </c>
      <c r="G933" s="1184" t="s">
        <v>483</v>
      </c>
      <c r="H933" s="1185">
        <v>50000000</v>
      </c>
      <c r="I933" s="1289" t="s">
        <v>694</v>
      </c>
      <c r="J933" s="1186" t="str">
        <f>VLOOKUP($I933,'Price List, Weapons &amp; Items'!B:C,2,0)</f>
        <v>Military equipment</v>
      </c>
      <c r="K933" s="1186" t="str">
        <f>IF(I933=".",I933,VLOOKUP($I933,'Price List, Weapons &amp; Items'!B:D,3,0))</f>
        <v>Military equipment</v>
      </c>
      <c r="L933" s="1187">
        <f>VLOOKUP(I933,'Price List, Weapons &amp; Items'!B:E,4,0)</f>
        <v>0</v>
      </c>
      <c r="M933" s="1188">
        <v>5000</v>
      </c>
      <c r="N933" s="1188">
        <v>5000</v>
      </c>
      <c r="O933" s="1188">
        <f>VLOOKUP($I933,'Price List, Weapons &amp; Items'!B:G,6,0)</f>
        <v>500</v>
      </c>
      <c r="P933" s="1185">
        <f t="shared" si="197"/>
        <v>2500000</v>
      </c>
      <c r="Q933" s="1185">
        <f t="shared" si="198"/>
        <v>2500000</v>
      </c>
      <c r="R933" s="1185" t="str">
        <f t="shared" si="194"/>
        <v/>
      </c>
      <c r="S933" s="1185" t="str">
        <f>IF(AND(AD933=1,R933&lt;&gt;".")=TRUE,R933/VLOOKUP(G933,'Exchange Rates'!B:C,2,0),IF(R933=".",".",""))</f>
        <v/>
      </c>
      <c r="T933" s="1185" t="str">
        <f>IF(AD933=1,IF(AF933="Value is not given at all",".",IF(AF933="Value is given by the source",S933,IF(AF933="Value is calculated with prices",(IF(SUMIFS(Q:Q,A:A,A933)&gt;0,SUMIFS(Q:Q,A:A,A933),"."))/VLOOKUP("USD",'Exchange Rates'!B:C,2,0),"Error with coding"))),"")</f>
        <v/>
      </c>
      <c r="U933" s="1184" t="s">
        <v>365</v>
      </c>
      <c r="V933" s="974" t="s">
        <v>2627</v>
      </c>
      <c r="W933" s="974" t="s">
        <v>2631</v>
      </c>
      <c r="X933" s="974" t="s">
        <v>2629</v>
      </c>
      <c r="Y933" s="1029" t="s">
        <v>2630</v>
      </c>
      <c r="Z933" s="1184">
        <v>0</v>
      </c>
      <c r="AA933" s="1191">
        <v>0</v>
      </c>
      <c r="AB933" s="975" t="s">
        <v>2631</v>
      </c>
      <c r="AC933" s="1192" t="str">
        <f>""</f>
        <v/>
      </c>
      <c r="AD933" s="1193">
        <v>0</v>
      </c>
      <c r="AE933" s="1193" t="s">
        <v>368</v>
      </c>
      <c r="AF933" s="1193" t="s">
        <v>368</v>
      </c>
      <c r="AG933" s="1193">
        <v>1</v>
      </c>
      <c r="AH933" s="1193">
        <v>3</v>
      </c>
      <c r="AI933" s="1193">
        <v>0</v>
      </c>
      <c r="AJ933" s="1193">
        <f>VLOOKUP($I933,'Price List, Weapons &amp; Items'!B:F,5,0)</f>
        <v>0</v>
      </c>
      <c r="AK933" s="1193">
        <f t="shared" si="199"/>
        <v>0</v>
      </c>
      <c r="AL933" s="1193">
        <f t="shared" si="200"/>
        <v>0</v>
      </c>
      <c r="AM933" s="1193">
        <f t="shared" si="201"/>
        <v>0</v>
      </c>
      <c r="AN933" s="1194" t="str">
        <f>VLOOKUP($I933,'Price List, Weapons &amp; Items'!B:L,COLUMN('Price List, Weapons &amp; Items'!$J$11)-1,0)</f>
        <v>Military media (incl. websites)</v>
      </c>
      <c r="AO933" s="1194" t="str">
        <f>IF(I933=".",".",VLOOKUP($I933,'Price List, Weapons &amp; Items'!B:J,3,0))</f>
        <v>Military equipment</v>
      </c>
      <c r="AP933" s="1195" t="str">
        <f t="shared" ca="1" si="195"/>
        <v/>
      </c>
      <c r="AQ933" s="1194">
        <f>VLOOKUP($I933,'Price List, Weapons &amp; Items'!B:L,COLUMN('Price List, Weapons &amp; Items'!$L$11)-1,0)</f>
        <v>2</v>
      </c>
      <c r="AR933" s="1194">
        <f t="shared" si="202"/>
        <v>1</v>
      </c>
      <c r="AS933" s="1194">
        <f t="shared" si="203"/>
        <v>1</v>
      </c>
      <c r="AT933" s="1194">
        <f t="shared" si="204"/>
        <v>1</v>
      </c>
      <c r="AU933" s="1194" t="str">
        <f t="shared" si="205"/>
        <v>.</v>
      </c>
      <c r="AV933" s="1194" t="str">
        <f t="shared" si="196"/>
        <v>.</v>
      </c>
      <c r="AW933" s="1194" t="str">
        <f t="shared" si="206"/>
        <v>.</v>
      </c>
      <c r="AX933" s="1194">
        <f>IFERROR(VLOOKUP(B933,'Share, Heavy Weapons to Ukraine'!B:Z,COLUMN('Share, Heavy Weapons to Ukraine'!C943)-1,0),0)</f>
        <v>0</v>
      </c>
      <c r="AY933" s="1194">
        <f>VLOOKUP('Bilateral Assistance, MAIN DATA'!B933,'Country Summary (€)'!B:F,COLUMN('Country Summary (€)'!C944)-1,FALSE)</f>
        <v>1</v>
      </c>
      <c r="AZ933" s="1194" t="str">
        <f>IF(AND(AD933=1,D933="Military",H933&lt;&gt;"Not given")=TRUE,IF(SUMIFS(P:P,A:A,A933)&gt;0,ABS((SUMIFS(P:P,A:A,A933)/VLOOKUP("USD",'Exchange Rates'!B:C,2,0)))/S933,"."),".")</f>
        <v>.</v>
      </c>
      <c r="BA933" s="1196" t="str">
        <f>IF(AND(AD933=1,D933="Military",H933&lt;&gt;"Not given")=TRUE,IF(SUMIFS(P:P,A:A,A933)&gt;0,IF((ABS((SUMIFS(P:P,A:A,A933)/VLOOKUP("USD",'Exchange Rates'!B:C,2,0)))/S933)&gt;1,(SUMIFS(P:P,A:A,A933)-S933)/S933,(S933-SUMIFS(P:P,A:A,A933))/SUMIFS(P:P,A:A,A933)),"."),".")</f>
        <v>.</v>
      </c>
    </row>
    <row r="934" spans="1:53" ht="15.95" customHeight="1">
      <c r="A934" s="1182" t="s">
        <v>2624</v>
      </c>
      <c r="B934" s="1182" t="s">
        <v>2625</v>
      </c>
      <c r="C934" s="1181">
        <v>44648</v>
      </c>
      <c r="D934" s="1182" t="s">
        <v>389</v>
      </c>
      <c r="E934" s="1182" t="s">
        <v>390</v>
      </c>
      <c r="F934" s="1183" t="s">
        <v>2626</v>
      </c>
      <c r="G934" s="1184" t="s">
        <v>483</v>
      </c>
      <c r="H934" s="1185">
        <v>50000000</v>
      </c>
      <c r="I934" s="1289" t="s">
        <v>810</v>
      </c>
      <c r="J934" s="1186" t="str">
        <f>VLOOKUP($I934,'Price List, Weapons &amp; Items'!B:C,2,0)</f>
        <v>Military equipment</v>
      </c>
      <c r="K934" s="1186" t="str">
        <f>IF(I934=".",I934,VLOOKUP($I934,'Price List, Weapons &amp; Items'!B:D,3,0))</f>
        <v>Military equipment</v>
      </c>
      <c r="L934" s="1187">
        <f>VLOOKUP(I934,'Price List, Weapons &amp; Items'!B:E,4,0)</f>
        <v>0</v>
      </c>
      <c r="M934" s="1188">
        <v>22400</v>
      </c>
      <c r="N934" s="1188">
        <v>22400</v>
      </c>
      <c r="O934" s="1188">
        <f>VLOOKUP($I934,'Price List, Weapons &amp; Items'!B:G,6,0)</f>
        <v>62</v>
      </c>
      <c r="P934" s="1185">
        <f t="shared" si="197"/>
        <v>1388800</v>
      </c>
      <c r="Q934" s="1185">
        <f t="shared" si="198"/>
        <v>1388800</v>
      </c>
      <c r="R934" s="1185" t="str">
        <f t="shared" si="194"/>
        <v/>
      </c>
      <c r="S934" s="1185" t="str">
        <f>IF(AND(AD934=1,R934&lt;&gt;".")=TRUE,R934/VLOOKUP(G934,'Exchange Rates'!B:C,2,0),IF(R934=".",".",""))</f>
        <v/>
      </c>
      <c r="T934" s="1185" t="str">
        <f>IF(AD934=1,IF(AF934="Value is not given at all",".",IF(AF934="Value is given by the source",S934,IF(AF934="Value is calculated with prices",(IF(SUMIFS(Q:Q,A:A,A934)&gt;0,SUMIFS(Q:Q,A:A,A934),"."))/VLOOKUP("USD",'Exchange Rates'!B:C,2,0),"Error with coding"))),"")</f>
        <v/>
      </c>
      <c r="U934" s="1184" t="s">
        <v>365</v>
      </c>
      <c r="V934" s="974" t="s">
        <v>2627</v>
      </c>
      <c r="W934" s="974" t="s">
        <v>2631</v>
      </c>
      <c r="X934" s="974" t="s">
        <v>2629</v>
      </c>
      <c r="Y934" s="1029" t="s">
        <v>2630</v>
      </c>
      <c r="Z934" s="1184">
        <v>0</v>
      </c>
      <c r="AA934" s="1191">
        <v>0</v>
      </c>
      <c r="AB934" s="975" t="s">
        <v>2631</v>
      </c>
      <c r="AC934" s="1192" t="str">
        <f>""</f>
        <v/>
      </c>
      <c r="AD934" s="1193">
        <v>0</v>
      </c>
      <c r="AE934" s="1193" t="s">
        <v>368</v>
      </c>
      <c r="AF934" s="1193" t="s">
        <v>368</v>
      </c>
      <c r="AG934" s="1193">
        <v>1</v>
      </c>
      <c r="AH934" s="1193">
        <v>3</v>
      </c>
      <c r="AI934" s="1193">
        <v>0</v>
      </c>
      <c r="AJ934" s="1193">
        <f>VLOOKUP($I934,'Price List, Weapons &amp; Items'!B:F,5,0)</f>
        <v>0</v>
      </c>
      <c r="AK934" s="1193">
        <f t="shared" si="199"/>
        <v>0</v>
      </c>
      <c r="AL934" s="1193">
        <f t="shared" si="200"/>
        <v>0</v>
      </c>
      <c r="AM934" s="1193">
        <f t="shared" si="201"/>
        <v>0</v>
      </c>
      <c r="AN934" s="1194" t="str">
        <f>VLOOKUP($I934,'Price List, Weapons &amp; Items'!B:L,COLUMN('Price List, Weapons &amp; Items'!$J$11)-1,0)</f>
        <v>Online marketplaces and stores</v>
      </c>
      <c r="AO934" s="1194" t="str">
        <f>IF(I934=".",".",VLOOKUP($I934,'Price List, Weapons &amp; Items'!B:J,3,0))</f>
        <v>Military equipment</v>
      </c>
      <c r="AP934" s="1195" t="str">
        <f t="shared" ca="1" si="195"/>
        <v/>
      </c>
      <c r="AQ934" s="1194">
        <f>VLOOKUP($I934,'Price List, Weapons &amp; Items'!B:L,COLUMN('Price List, Weapons &amp; Items'!$L$11)-1,0)</f>
        <v>1</v>
      </c>
      <c r="AR934" s="1194">
        <f t="shared" si="202"/>
        <v>1</v>
      </c>
      <c r="AS934" s="1194">
        <f t="shared" si="203"/>
        <v>1</v>
      </c>
      <c r="AT934" s="1194">
        <f t="shared" si="204"/>
        <v>1</v>
      </c>
      <c r="AU934" s="1194" t="str">
        <f t="shared" si="205"/>
        <v>.</v>
      </c>
      <c r="AV934" s="1194" t="str">
        <f t="shared" si="196"/>
        <v>.</v>
      </c>
      <c r="AW934" s="1194" t="str">
        <f t="shared" si="206"/>
        <v>.</v>
      </c>
      <c r="AX934" s="1194">
        <f>IFERROR(VLOOKUP(B934,'Share, Heavy Weapons to Ukraine'!B:Z,COLUMN('Share, Heavy Weapons to Ukraine'!C944)-1,0),0)</f>
        <v>0</v>
      </c>
      <c r="AY934" s="1194">
        <f>VLOOKUP('Bilateral Assistance, MAIN DATA'!B934,'Country Summary (€)'!B:F,COLUMN('Country Summary (€)'!C945)-1,FALSE)</f>
        <v>1</v>
      </c>
      <c r="AZ934" s="1194" t="str">
        <f>IF(AND(AD934=1,D934="Military",H934&lt;&gt;"Not given")=TRUE,IF(SUMIFS(P:P,A:A,A934)&gt;0,ABS((SUMIFS(P:P,A:A,A934)/VLOOKUP("USD",'Exchange Rates'!B:C,2,0)))/S934,"."),".")</f>
        <v>.</v>
      </c>
      <c r="BA934" s="1196" t="str">
        <f>IF(AND(AD934=1,D934="Military",H934&lt;&gt;"Not given")=TRUE,IF(SUMIFS(P:P,A:A,A934)&gt;0,IF((ABS((SUMIFS(P:P,A:A,A934)/VLOOKUP("USD",'Exchange Rates'!B:C,2,0)))/S934)&gt;1,(SUMIFS(P:P,A:A,A934)-S934)/S934,(S934-SUMIFS(P:P,A:A,A934))/SUMIFS(P:P,A:A,A934)),"."),".")</f>
        <v>.</v>
      </c>
    </row>
    <row r="935" spans="1:53" ht="15.95" customHeight="1">
      <c r="A935" s="1182" t="s">
        <v>2624</v>
      </c>
      <c r="B935" s="1182" t="s">
        <v>2625</v>
      </c>
      <c r="C935" s="1181">
        <v>44648</v>
      </c>
      <c r="D935" s="1182" t="s">
        <v>389</v>
      </c>
      <c r="E935" s="1182" t="s">
        <v>390</v>
      </c>
      <c r="F935" s="1183" t="s">
        <v>2626</v>
      </c>
      <c r="G935" s="1184" t="s">
        <v>483</v>
      </c>
      <c r="H935" s="1185">
        <v>50000000</v>
      </c>
      <c r="I935" s="1289" t="s">
        <v>594</v>
      </c>
      <c r="J935" s="1186" t="str">
        <f>VLOOKUP($I935,'Price List, Weapons &amp; Items'!B:C,2,0)</f>
        <v>Military equipment</v>
      </c>
      <c r="K935" s="1186" t="str">
        <f>IF(I935=".",I935,VLOOKUP($I935,'Price List, Weapons &amp; Items'!B:D,3,0))</f>
        <v>Military equipment</v>
      </c>
      <c r="L935" s="1187">
        <f>VLOOKUP(I935,'Price List, Weapons &amp; Items'!B:E,4,0)</f>
        <v>0</v>
      </c>
      <c r="M935" s="1188">
        <v>5000</v>
      </c>
      <c r="N935" s="1188">
        <v>5000</v>
      </c>
      <c r="O935" s="1188">
        <f>VLOOKUP($I935,'Price List, Weapons &amp; Items'!B:G,6,0)</f>
        <v>1400</v>
      </c>
      <c r="P935" s="1185">
        <f t="shared" si="197"/>
        <v>7000000</v>
      </c>
      <c r="Q935" s="1185">
        <f t="shared" si="198"/>
        <v>7000000</v>
      </c>
      <c r="R935" s="1185" t="str">
        <f t="shared" si="194"/>
        <v/>
      </c>
      <c r="S935" s="1185" t="str">
        <f>IF(AND(AD935=1,R935&lt;&gt;".")=TRUE,R935/VLOOKUP(G935,'Exchange Rates'!B:C,2,0),IF(R935=".",".",""))</f>
        <v/>
      </c>
      <c r="T935" s="1185" t="str">
        <f>IF(AD935=1,IF(AF935="Value is not given at all",".",IF(AF935="Value is given by the source",S935,IF(AF935="Value is calculated with prices",(IF(SUMIFS(Q:Q,A:A,A935)&gt;0,SUMIFS(Q:Q,A:A,A935),"."))/VLOOKUP("USD",'Exchange Rates'!B:C,2,0),"Error with coding"))),"")</f>
        <v/>
      </c>
      <c r="U935" s="1184" t="s">
        <v>365</v>
      </c>
      <c r="V935" s="974" t="s">
        <v>2627</v>
      </c>
      <c r="W935" s="974" t="s">
        <v>2631</v>
      </c>
      <c r="X935" s="974" t="s">
        <v>2629</v>
      </c>
      <c r="Y935" s="1029" t="s">
        <v>2630</v>
      </c>
      <c r="Z935" s="1184">
        <v>0</v>
      </c>
      <c r="AA935" s="1191">
        <v>0</v>
      </c>
      <c r="AB935" s="975" t="s">
        <v>2631</v>
      </c>
      <c r="AC935" s="1192" t="str">
        <f>""</f>
        <v/>
      </c>
      <c r="AD935" s="1193">
        <v>0</v>
      </c>
      <c r="AE935" s="1193" t="s">
        <v>368</v>
      </c>
      <c r="AF935" s="1193" t="s">
        <v>368</v>
      </c>
      <c r="AG935" s="1193">
        <v>1</v>
      </c>
      <c r="AH935" s="1193">
        <v>3</v>
      </c>
      <c r="AI935" s="1193">
        <v>0</v>
      </c>
      <c r="AJ935" s="1193">
        <f>VLOOKUP($I935,'Price List, Weapons &amp; Items'!B:F,5,0)</f>
        <v>0</v>
      </c>
      <c r="AK935" s="1193">
        <f t="shared" si="199"/>
        <v>0</v>
      </c>
      <c r="AL935" s="1193">
        <f t="shared" si="200"/>
        <v>0</v>
      </c>
      <c r="AM935" s="1193">
        <f t="shared" si="201"/>
        <v>0</v>
      </c>
      <c r="AN935" s="1194" t="str">
        <f>VLOOKUP($I935,'Price List, Weapons &amp; Items'!B:L,COLUMN('Price List, Weapons &amp; Items'!$J$11)-1,0)</f>
        <v>Military media (incl. websites)</v>
      </c>
      <c r="AO935" s="1194" t="str">
        <f>IF(I935=".",".",VLOOKUP($I935,'Price List, Weapons &amp; Items'!B:J,3,0))</f>
        <v>Military equipment</v>
      </c>
      <c r="AP935" s="1195" t="str">
        <f t="shared" ca="1" si="195"/>
        <v/>
      </c>
      <c r="AQ935" s="1194">
        <f>VLOOKUP($I935,'Price List, Weapons &amp; Items'!B:L,COLUMN('Price List, Weapons &amp; Items'!$L$11)-1,0)</f>
        <v>2</v>
      </c>
      <c r="AR935" s="1194">
        <f t="shared" si="202"/>
        <v>1</v>
      </c>
      <c r="AS935" s="1194">
        <f t="shared" si="203"/>
        <v>1</v>
      </c>
      <c r="AT935" s="1194">
        <f t="shared" si="204"/>
        <v>1</v>
      </c>
      <c r="AU935" s="1194" t="str">
        <f t="shared" si="205"/>
        <v>.</v>
      </c>
      <c r="AV935" s="1194" t="str">
        <f t="shared" si="196"/>
        <v>.</v>
      </c>
      <c r="AW935" s="1194" t="str">
        <f t="shared" si="206"/>
        <v>.</v>
      </c>
      <c r="AX935" s="1194">
        <f>IFERROR(VLOOKUP(B935,'Share, Heavy Weapons to Ukraine'!B:Z,COLUMN('Share, Heavy Weapons to Ukraine'!C945)-1,0),0)</f>
        <v>0</v>
      </c>
      <c r="AY935" s="1194">
        <f>VLOOKUP('Bilateral Assistance, MAIN DATA'!B935,'Country Summary (€)'!B:F,COLUMN('Country Summary (€)'!C946)-1,FALSE)</f>
        <v>1</v>
      </c>
      <c r="AZ935" s="1194" t="str">
        <f>IF(AND(AD935=1,D935="Military",H935&lt;&gt;"Not given")=TRUE,IF(SUMIFS(P:P,A:A,A935)&gt;0,ABS((SUMIFS(P:P,A:A,A935)/VLOOKUP("USD",'Exchange Rates'!B:C,2,0)))/S935,"."),".")</f>
        <v>.</v>
      </c>
      <c r="BA935" s="1196" t="str">
        <f>IF(AND(AD935=1,D935="Military",H935&lt;&gt;"Not given")=TRUE,IF(SUMIFS(P:P,A:A,A935)&gt;0,IF((ABS((SUMIFS(P:P,A:A,A935)/VLOOKUP("USD",'Exchange Rates'!B:C,2,0)))/S935)&gt;1,(SUMIFS(P:P,A:A,A935)-S935)/S935,(S935-SUMIFS(P:P,A:A,A935))/SUMIFS(P:P,A:A,A935)),"."),".")</f>
        <v>.</v>
      </c>
    </row>
    <row r="936" spans="1:53" ht="15.95" customHeight="1">
      <c r="A936" s="1182" t="s">
        <v>2624</v>
      </c>
      <c r="B936" s="1182" t="s">
        <v>2625</v>
      </c>
      <c r="C936" s="1181">
        <v>44648</v>
      </c>
      <c r="D936" s="1182" t="s">
        <v>389</v>
      </c>
      <c r="E936" s="1182" t="s">
        <v>390</v>
      </c>
      <c r="F936" s="1183" t="s">
        <v>2626</v>
      </c>
      <c r="G936" s="1184" t="s">
        <v>483</v>
      </c>
      <c r="H936" s="1185">
        <v>50000000</v>
      </c>
      <c r="I936" s="1289" t="s">
        <v>1288</v>
      </c>
      <c r="J936" s="1186" t="str">
        <f>VLOOKUP($I936,'Price List, Weapons &amp; Items'!B:C,2,0)</f>
        <v>Ammunition for light infantry</v>
      </c>
      <c r="K936" s="1186" t="str">
        <f>IF(I936=".",I936,VLOOKUP($I936,'Price List, Weapons &amp; Items'!B:D,3,0))</f>
        <v>Small Arms and Light Weapons (SALW) ammunition</v>
      </c>
      <c r="L936" s="1187">
        <f>VLOOKUP(I936,'Price List, Weapons &amp; Items'!B:E,4,0)</f>
        <v>0</v>
      </c>
      <c r="M936" s="1188">
        <v>20000</v>
      </c>
      <c r="N936" s="1188">
        <v>20000</v>
      </c>
      <c r="O936" s="1188">
        <f>VLOOKUP($I936,'Price List, Weapons &amp; Items'!B:G,6,0)</f>
        <v>0.47</v>
      </c>
      <c r="P936" s="1185">
        <f t="shared" si="197"/>
        <v>9400</v>
      </c>
      <c r="Q936" s="1185">
        <f t="shared" si="198"/>
        <v>9400</v>
      </c>
      <c r="R936" s="1185" t="str">
        <f t="shared" si="194"/>
        <v/>
      </c>
      <c r="S936" s="1185" t="str">
        <f>IF(AND(AD936=1,R936&lt;&gt;".")=TRUE,R936/VLOOKUP(G936,'Exchange Rates'!B:C,2,0),IF(R936=".",".",""))</f>
        <v/>
      </c>
      <c r="T936" s="1185" t="str">
        <f>IF(AD936=1,IF(AF936="Value is not given at all",".",IF(AF936="Value is given by the source",S936,IF(AF936="Value is calculated with prices",(IF(SUMIFS(Q:Q,A:A,A936)&gt;0,SUMIFS(Q:Q,A:A,A936),"."))/VLOOKUP("USD",'Exchange Rates'!B:C,2,0),"Error with coding"))),"")</f>
        <v/>
      </c>
      <c r="U936" s="1184" t="s">
        <v>365</v>
      </c>
      <c r="V936" s="974" t="s">
        <v>2627</v>
      </c>
      <c r="W936" s="974" t="s">
        <v>2631</v>
      </c>
      <c r="X936" s="974" t="s">
        <v>2629</v>
      </c>
      <c r="Y936" s="1029" t="s">
        <v>2630</v>
      </c>
      <c r="Z936" s="1184">
        <v>0</v>
      </c>
      <c r="AA936" s="1191">
        <v>0</v>
      </c>
      <c r="AB936" s="975" t="s">
        <v>2631</v>
      </c>
      <c r="AC936" s="1192" t="str">
        <f>""</f>
        <v/>
      </c>
      <c r="AD936" s="1193">
        <v>0</v>
      </c>
      <c r="AE936" s="1193" t="s">
        <v>368</v>
      </c>
      <c r="AF936" s="1193" t="s">
        <v>368</v>
      </c>
      <c r="AG936" s="1193">
        <v>1</v>
      </c>
      <c r="AH936" s="1193">
        <v>3</v>
      </c>
      <c r="AI936" s="1193">
        <v>0</v>
      </c>
      <c r="AJ936" s="1193">
        <f>VLOOKUP($I936,'Price List, Weapons &amp; Items'!B:F,5,0)</f>
        <v>0</v>
      </c>
      <c r="AK936" s="1193">
        <f t="shared" si="199"/>
        <v>0</v>
      </c>
      <c r="AL936" s="1193">
        <f t="shared" si="200"/>
        <v>0</v>
      </c>
      <c r="AM936" s="1193">
        <f t="shared" si="201"/>
        <v>1</v>
      </c>
      <c r="AN936" s="1194" t="str">
        <f>VLOOKUP($I936,'Price List, Weapons &amp; Items'!B:L,COLUMN('Price List, Weapons &amp; Items'!$J$11)-1,0)</f>
        <v>Miscellaneous</v>
      </c>
      <c r="AO936" s="1194" t="str">
        <f>IF(I936=".",".",VLOOKUP($I936,'Price List, Weapons &amp; Items'!B:J,3,0))</f>
        <v>Small Arms and Light Weapons (SALW) ammunition</v>
      </c>
      <c r="AP936" s="1195" t="str">
        <f t="shared" ca="1" si="195"/>
        <v/>
      </c>
      <c r="AQ936" s="1194">
        <f>VLOOKUP($I936,'Price List, Weapons &amp; Items'!B:L,COLUMN('Price List, Weapons &amp; Items'!$L$11)-1,0)</f>
        <v>2</v>
      </c>
      <c r="AR936" s="1194">
        <f t="shared" si="202"/>
        <v>1</v>
      </c>
      <c r="AS936" s="1194">
        <f t="shared" si="203"/>
        <v>1</v>
      </c>
      <c r="AT936" s="1194">
        <f t="shared" si="204"/>
        <v>1</v>
      </c>
      <c r="AU936" s="1194" t="str">
        <f t="shared" si="205"/>
        <v>.</v>
      </c>
      <c r="AV936" s="1194" t="str">
        <f t="shared" si="196"/>
        <v>.</v>
      </c>
      <c r="AW936" s="1194" t="str">
        <f t="shared" si="206"/>
        <v>.</v>
      </c>
      <c r="AX936" s="1194">
        <f>IFERROR(VLOOKUP(B936,'Share, Heavy Weapons to Ukraine'!B:Z,COLUMN('Share, Heavy Weapons to Ukraine'!C946)-1,0),0)</f>
        <v>0</v>
      </c>
      <c r="AY936" s="1194">
        <f>VLOOKUP('Bilateral Assistance, MAIN DATA'!B936,'Country Summary (€)'!B:F,COLUMN('Country Summary (€)'!C947)-1,FALSE)</f>
        <v>1</v>
      </c>
      <c r="AZ936" s="1194" t="str">
        <f>IF(AND(AD936=1,D936="Military",H936&lt;&gt;"Not given")=TRUE,IF(SUMIFS(P:P,A:A,A936)&gt;0,ABS((SUMIFS(P:P,A:A,A936)/VLOOKUP("USD",'Exchange Rates'!B:C,2,0)))/S936,"."),".")</f>
        <v>.</v>
      </c>
      <c r="BA936" s="1196" t="str">
        <f>IF(AND(AD936=1,D936="Military",H936&lt;&gt;"Not given")=TRUE,IF(SUMIFS(P:P,A:A,A936)&gt;0,IF((ABS((SUMIFS(P:P,A:A,A936)/VLOOKUP("USD",'Exchange Rates'!B:C,2,0)))/S936)&gt;1,(SUMIFS(P:P,A:A,A936)-S936)/S936,(S936-SUMIFS(P:P,A:A,A936))/SUMIFS(P:P,A:A,A936)),"."),".")</f>
        <v>.</v>
      </c>
    </row>
    <row r="937" spans="1:53" ht="15.95" customHeight="1">
      <c r="A937" s="1182" t="s">
        <v>2624</v>
      </c>
      <c r="B937" s="1182" t="s">
        <v>2625</v>
      </c>
      <c r="C937" s="1181">
        <v>44648</v>
      </c>
      <c r="D937" s="1182" t="s">
        <v>389</v>
      </c>
      <c r="E937" s="1182" t="s">
        <v>390</v>
      </c>
      <c r="F937" s="1183" t="s">
        <v>2626</v>
      </c>
      <c r="G937" s="1184" t="s">
        <v>483</v>
      </c>
      <c r="H937" s="1185">
        <v>50000000</v>
      </c>
      <c r="I937" s="1289" t="s">
        <v>2634</v>
      </c>
      <c r="J937" s="1186" t="str">
        <f>VLOOKUP($I937,'Price List, Weapons &amp; Items'!B:C,2,0)</f>
        <v>Portable defence system</v>
      </c>
      <c r="K937" s="1186" t="str">
        <f>IF(I937=".",I937,VLOOKUP($I937,'Price List, Weapons &amp; Items'!B:D,3,0))</f>
        <v>Light Anti-armor Weapon (LAW)</v>
      </c>
      <c r="L937" s="1187">
        <f>VLOOKUP(I937,'Price List, Weapons &amp; Items'!B:E,4,0)</f>
        <v>1</v>
      </c>
      <c r="M937" s="1188">
        <v>12500</v>
      </c>
      <c r="N937" s="1188">
        <v>12500</v>
      </c>
      <c r="O937" s="1188">
        <f>VLOOKUP($I937,'Price List, Weapons &amp; Items'!B:G,6,0)</f>
        <v>207.68</v>
      </c>
      <c r="P937" s="1185">
        <f t="shared" si="197"/>
        <v>2596000</v>
      </c>
      <c r="Q937" s="1185">
        <f t="shared" si="198"/>
        <v>2596000</v>
      </c>
      <c r="R937" s="1185" t="str">
        <f t="shared" si="194"/>
        <v/>
      </c>
      <c r="S937" s="1185" t="str">
        <f>IF(AND(AD937=1,R937&lt;&gt;".")=TRUE,R937/VLOOKUP(G937,'Exchange Rates'!B:C,2,0),IF(R937=".",".",""))</f>
        <v/>
      </c>
      <c r="T937" s="1185" t="str">
        <f>IF(AD937=1,IF(AF937="Value is not given at all",".",IF(AF937="Value is given by the source",S937,IF(AF937="Value is calculated with prices",(IF(SUMIFS(Q:Q,A:A,A937)&gt;0,SUMIFS(Q:Q,A:A,A937),"."))/VLOOKUP("USD",'Exchange Rates'!B:C,2,0),"Error with coding"))),"")</f>
        <v/>
      </c>
      <c r="U937" s="1184" t="s">
        <v>365</v>
      </c>
      <c r="V937" s="974" t="s">
        <v>2627</v>
      </c>
      <c r="W937" s="974" t="s">
        <v>2631</v>
      </c>
      <c r="X937" s="974" t="s">
        <v>2629</v>
      </c>
      <c r="Y937" s="1029" t="s">
        <v>2630</v>
      </c>
      <c r="Z937" s="1184">
        <v>0</v>
      </c>
      <c r="AA937" s="1191">
        <v>0</v>
      </c>
      <c r="AB937" s="975" t="s">
        <v>2631</v>
      </c>
      <c r="AC937" s="1192" t="str">
        <f>""</f>
        <v/>
      </c>
      <c r="AD937" s="1193">
        <v>0</v>
      </c>
      <c r="AE937" s="1193" t="s">
        <v>368</v>
      </c>
      <c r="AF937" s="1193" t="s">
        <v>368</v>
      </c>
      <c r="AG937" s="1193">
        <v>1</v>
      </c>
      <c r="AH937" s="1193">
        <v>3</v>
      </c>
      <c r="AI937" s="1193">
        <v>0</v>
      </c>
      <c r="AJ937" s="1193">
        <f>VLOOKUP($I937,'Price List, Weapons &amp; Items'!B:F,5,0)</f>
        <v>0</v>
      </c>
      <c r="AK937" s="1193">
        <f t="shared" si="199"/>
        <v>0</v>
      </c>
      <c r="AL937" s="1193">
        <f t="shared" si="200"/>
        <v>0</v>
      </c>
      <c r="AM937" s="1193">
        <f t="shared" si="201"/>
        <v>0</v>
      </c>
      <c r="AN937" s="1194" t="str">
        <f>VLOOKUP($I937,'Price List, Weapons &amp; Items'!B:L,COLUMN('Price List, Weapons &amp; Items'!$J$11)-1,0)</f>
        <v>Online marketplaces and stores</v>
      </c>
      <c r="AO937" s="1194" t="str">
        <f>IF(I937=".",".",VLOOKUP($I937,'Price List, Weapons &amp; Items'!B:J,3,0))</f>
        <v>Light Anti-armor Weapon (LAW)</v>
      </c>
      <c r="AP937" s="1195" t="str">
        <f t="shared" ca="1" si="195"/>
        <v/>
      </c>
      <c r="AQ937" s="1194">
        <f>VLOOKUP($I937,'Price List, Weapons &amp; Items'!B:L,COLUMN('Price List, Weapons &amp; Items'!$L$11)-1,0)</f>
        <v>2</v>
      </c>
      <c r="AR937" s="1194">
        <f t="shared" si="202"/>
        <v>1</v>
      </c>
      <c r="AS937" s="1194">
        <f t="shared" si="203"/>
        <v>1</v>
      </c>
      <c r="AT937" s="1194">
        <f t="shared" si="204"/>
        <v>1</v>
      </c>
      <c r="AU937" s="1194" t="str">
        <f t="shared" si="205"/>
        <v>.</v>
      </c>
      <c r="AV937" s="1194" t="str">
        <f t="shared" si="196"/>
        <v>.</v>
      </c>
      <c r="AW937" s="1194" t="str">
        <f t="shared" si="206"/>
        <v>.</v>
      </c>
      <c r="AX937" s="1194">
        <f>IFERROR(VLOOKUP(B937,'Share, Heavy Weapons to Ukraine'!B:Z,COLUMN('Share, Heavy Weapons to Ukraine'!C947)-1,0),0)</f>
        <v>0</v>
      </c>
      <c r="AY937" s="1194">
        <f>VLOOKUP('Bilateral Assistance, MAIN DATA'!B937,'Country Summary (€)'!B:F,COLUMN('Country Summary (€)'!C948)-1,FALSE)</f>
        <v>1</v>
      </c>
      <c r="AZ937" s="1194" t="str">
        <f>IF(AND(AD937=1,D937="Military",H937&lt;&gt;"Not given")=TRUE,IF(SUMIFS(P:P,A:A,A937)&gt;0,ABS((SUMIFS(P:P,A:A,A937)/VLOOKUP("USD",'Exchange Rates'!B:C,2,0)))/S937,"."),".")</f>
        <v>.</v>
      </c>
      <c r="BA937" s="1196" t="str">
        <f>IF(AND(AD937=1,D937="Military",H937&lt;&gt;"Not given")=TRUE,IF(SUMIFS(P:P,A:A,A937)&gt;0,IF((ABS((SUMIFS(P:P,A:A,A937)/VLOOKUP("USD",'Exchange Rates'!B:C,2,0)))/S937)&gt;1,(SUMIFS(P:P,A:A,A937)-S937)/S937,(S937-SUMIFS(P:P,A:A,A937))/SUMIFS(P:P,A:A,A937)),"."),".")</f>
        <v>.</v>
      </c>
    </row>
    <row r="938" spans="1:53" ht="15.95" customHeight="1">
      <c r="A938" s="1182" t="s">
        <v>2624</v>
      </c>
      <c r="B938" s="1182" t="s">
        <v>2625</v>
      </c>
      <c r="C938" s="1181">
        <v>44648</v>
      </c>
      <c r="D938" s="1182" t="s">
        <v>389</v>
      </c>
      <c r="E938" s="1182" t="s">
        <v>390</v>
      </c>
      <c r="F938" s="1183" t="s">
        <v>2626</v>
      </c>
      <c r="G938" s="1184" t="s">
        <v>483</v>
      </c>
      <c r="H938" s="1185">
        <v>50000000</v>
      </c>
      <c r="I938" s="1289" t="s">
        <v>2635</v>
      </c>
      <c r="J938" s="1186" t="str">
        <f>VLOOKUP($I938,'Price List, Weapons &amp; Items'!B:C,2,0)</f>
        <v>Military equipment</v>
      </c>
      <c r="K938" s="1186" t="str">
        <f>IF(I938=".",I938,VLOOKUP($I938,'Price List, Weapons &amp; Items'!B:D,3,0))</f>
        <v>Military equipment</v>
      </c>
      <c r="L938" s="1187">
        <f>VLOOKUP(I938,'Price List, Weapons &amp; Items'!B:E,4,0)</f>
        <v>0</v>
      </c>
      <c r="M938" s="1188">
        <v>50</v>
      </c>
      <c r="N938" s="1188">
        <v>50</v>
      </c>
      <c r="O938" s="1188" t="str">
        <f>VLOOKUP($I938,'Price List, Weapons &amp; Items'!B:G,6,0)</f>
        <v>.</v>
      </c>
      <c r="P938" s="1185" t="str">
        <f t="shared" si="197"/>
        <v>No price</v>
      </c>
      <c r="Q938" s="1185" t="str">
        <f t="shared" si="198"/>
        <v>No price</v>
      </c>
      <c r="R938" s="1185" t="str">
        <f t="shared" si="194"/>
        <v/>
      </c>
      <c r="S938" s="1185" t="str">
        <f>IF(AND(AD938=1,R938&lt;&gt;".")=TRUE,R938/VLOOKUP(G938,'Exchange Rates'!B:C,2,0),IF(R938=".",".",""))</f>
        <v/>
      </c>
      <c r="T938" s="1185" t="str">
        <f>IF(AD938=1,IF(AF938="Value is not given at all",".",IF(AF938="Value is given by the source",S938,IF(AF938="Value is calculated with prices",(IF(SUMIFS(Q:Q,A:A,A938)&gt;0,SUMIFS(Q:Q,A:A,A938),"."))/VLOOKUP("USD",'Exchange Rates'!B:C,2,0),"Error with coding"))),"")</f>
        <v/>
      </c>
      <c r="U938" s="1184" t="s">
        <v>365</v>
      </c>
      <c r="V938" s="974" t="s">
        <v>2627</v>
      </c>
      <c r="W938" s="974" t="s">
        <v>2631</v>
      </c>
      <c r="X938" s="974" t="s">
        <v>2629</v>
      </c>
      <c r="Y938" s="1029" t="s">
        <v>2630</v>
      </c>
      <c r="Z938" s="1184">
        <v>0</v>
      </c>
      <c r="AA938" s="1191">
        <v>0</v>
      </c>
      <c r="AB938" s="975" t="s">
        <v>2631</v>
      </c>
      <c r="AC938" s="1192" t="str">
        <f>""</f>
        <v/>
      </c>
      <c r="AD938" s="1193">
        <v>0</v>
      </c>
      <c r="AE938" s="1193" t="s">
        <v>368</v>
      </c>
      <c r="AF938" s="1193" t="s">
        <v>368</v>
      </c>
      <c r="AG938" s="1193">
        <v>1</v>
      </c>
      <c r="AH938" s="1193">
        <v>3</v>
      </c>
      <c r="AI938" s="1193">
        <v>0</v>
      </c>
      <c r="AJ938" s="1193">
        <f>VLOOKUP($I938,'Price List, Weapons &amp; Items'!B:F,5,0)</f>
        <v>0</v>
      </c>
      <c r="AK938" s="1193">
        <f t="shared" si="199"/>
        <v>0</v>
      </c>
      <c r="AL938" s="1193">
        <f t="shared" si="200"/>
        <v>0</v>
      </c>
      <c r="AM938" s="1193">
        <f t="shared" si="201"/>
        <v>0</v>
      </c>
      <c r="AN938" s="1194" t="str">
        <f>VLOOKUP($I938,'Price List, Weapons &amp; Items'!B:L,COLUMN('Price List, Weapons &amp; Items'!$J$11)-1,0)</f>
        <v>.</v>
      </c>
      <c r="AO938" s="1194" t="str">
        <f>IF(I938=".",".",VLOOKUP($I938,'Price List, Weapons &amp; Items'!B:J,3,0))</f>
        <v>Military equipment</v>
      </c>
      <c r="AP938" s="1195" t="str">
        <f t="shared" ca="1" si="195"/>
        <v/>
      </c>
      <c r="AQ938" s="1194">
        <f>VLOOKUP($I938,'Price List, Weapons &amp; Items'!B:L,COLUMN('Price List, Weapons &amp; Items'!$L$11)-1,0)</f>
        <v>0</v>
      </c>
      <c r="AR938" s="1194">
        <f t="shared" si="202"/>
        <v>1</v>
      </c>
      <c r="AS938" s="1194">
        <f t="shared" si="203"/>
        <v>1</v>
      </c>
      <c r="AT938" s="1194">
        <f t="shared" si="204"/>
        <v>1</v>
      </c>
      <c r="AU938" s="1194" t="str">
        <f t="shared" si="205"/>
        <v>.</v>
      </c>
      <c r="AV938" s="1194" t="str">
        <f t="shared" si="196"/>
        <v>.</v>
      </c>
      <c r="AW938" s="1194" t="str">
        <f t="shared" si="206"/>
        <v>.</v>
      </c>
      <c r="AX938" s="1194">
        <f>IFERROR(VLOOKUP(B938,'Share, Heavy Weapons to Ukraine'!B:Z,COLUMN('Share, Heavy Weapons to Ukraine'!C948)-1,0),0)</f>
        <v>0</v>
      </c>
      <c r="AY938" s="1194">
        <f>VLOOKUP('Bilateral Assistance, MAIN DATA'!B938,'Country Summary (€)'!B:F,COLUMN('Country Summary (€)'!C949)-1,FALSE)</f>
        <v>1</v>
      </c>
      <c r="AZ938" s="1194" t="str">
        <f>IF(AND(AD938=1,D938="Military",H938&lt;&gt;"Not given")=TRUE,IF(SUMIFS(P:P,A:A,A938)&gt;0,ABS((SUMIFS(P:P,A:A,A938)/VLOOKUP("USD",'Exchange Rates'!B:C,2,0)))/S938,"."),".")</f>
        <v>.</v>
      </c>
      <c r="BA938" s="1196" t="str">
        <f>IF(AND(AD938=1,D938="Military",H938&lt;&gt;"Not given")=TRUE,IF(SUMIFS(P:P,A:A,A938)&gt;0,IF((ABS((SUMIFS(P:P,A:A,A938)/VLOOKUP("USD",'Exchange Rates'!B:C,2,0)))/S938)&gt;1,(SUMIFS(P:P,A:A,A938)-S938)/S938,(S938-SUMIFS(P:P,A:A,A938))/SUMIFS(P:P,A:A,A938)),"."),".")</f>
        <v>.</v>
      </c>
    </row>
    <row r="939" spans="1:53" ht="15.95" customHeight="1">
      <c r="A939" s="1182" t="s">
        <v>2624</v>
      </c>
      <c r="B939" s="1182" t="s">
        <v>2625</v>
      </c>
      <c r="C939" s="1181">
        <v>44648</v>
      </c>
      <c r="D939" s="1182" t="s">
        <v>389</v>
      </c>
      <c r="E939" s="1182" t="s">
        <v>390</v>
      </c>
      <c r="F939" s="1183" t="s">
        <v>2626</v>
      </c>
      <c r="G939" s="1184" t="s">
        <v>483</v>
      </c>
      <c r="H939" s="1185">
        <v>50000000</v>
      </c>
      <c r="I939" s="1289" t="s">
        <v>471</v>
      </c>
      <c r="J939" s="1186" t="str">
        <f>VLOOKUP($I939,'Price List, Weapons &amp; Items'!B:C,2,0)</f>
        <v>Humanitarian</v>
      </c>
      <c r="K939" s="1186" t="str">
        <f>IF(I939=".",I939,VLOOKUP($I939,'Price List, Weapons &amp; Items'!B:D,3,0))</f>
        <v>Humanitarian</v>
      </c>
      <c r="L939" s="1187">
        <f>VLOOKUP(I939,'Price List, Weapons &amp; Items'!B:E,4,0)</f>
        <v>0</v>
      </c>
      <c r="M939" s="1188">
        <v>358</v>
      </c>
      <c r="N939" s="1188">
        <v>358</v>
      </c>
      <c r="O939" s="1188">
        <f>VLOOKUP($I939,'Price List, Weapons &amp; Items'!B:G,6,0)</f>
        <v>150</v>
      </c>
      <c r="P939" s="1185">
        <f t="shared" si="197"/>
        <v>53700</v>
      </c>
      <c r="Q939" s="1185">
        <f t="shared" si="198"/>
        <v>53700</v>
      </c>
      <c r="R939" s="1185" t="str">
        <f t="shared" si="194"/>
        <v/>
      </c>
      <c r="S939" s="1185" t="str">
        <f>IF(AND(AD939=1,R939&lt;&gt;".")=TRUE,R939/VLOOKUP(G939,'Exchange Rates'!B:C,2,0),IF(R939=".",".",""))</f>
        <v/>
      </c>
      <c r="T939" s="1185" t="str">
        <f>IF(AD939=1,IF(AF939="Value is not given at all",".",IF(AF939="Value is given by the source",S939,IF(AF939="Value is calculated with prices",(IF(SUMIFS(Q:Q,A:A,A939)&gt;0,SUMIFS(Q:Q,A:A,A939),"."))/VLOOKUP("USD",'Exchange Rates'!B:C,2,0),"Error with coding"))),"")</f>
        <v/>
      </c>
      <c r="U939" s="1184" t="s">
        <v>365</v>
      </c>
      <c r="V939" s="974" t="s">
        <v>2627</v>
      </c>
      <c r="W939" s="974" t="s">
        <v>2631</v>
      </c>
      <c r="X939" s="974" t="s">
        <v>2629</v>
      </c>
      <c r="Y939" s="1029" t="s">
        <v>2630</v>
      </c>
      <c r="Z939" s="1184">
        <v>0</v>
      </c>
      <c r="AA939" s="1191">
        <v>0</v>
      </c>
      <c r="AB939" s="975" t="s">
        <v>2631</v>
      </c>
      <c r="AC939" s="1192" t="str">
        <f>""</f>
        <v/>
      </c>
      <c r="AD939" s="1193">
        <v>0</v>
      </c>
      <c r="AE939" s="1193" t="s">
        <v>368</v>
      </c>
      <c r="AF939" s="1193" t="s">
        <v>368</v>
      </c>
      <c r="AG939" s="1193">
        <v>1</v>
      </c>
      <c r="AH939" s="1193">
        <v>3</v>
      </c>
      <c r="AI939" s="1193">
        <v>0</v>
      </c>
      <c r="AJ939" s="1193">
        <f>VLOOKUP($I939,'Price List, Weapons &amp; Items'!B:F,5,0)</f>
        <v>0</v>
      </c>
      <c r="AK939" s="1193">
        <f t="shared" si="199"/>
        <v>0</v>
      </c>
      <c r="AL939" s="1193">
        <f t="shared" si="200"/>
        <v>0</v>
      </c>
      <c r="AM939" s="1193">
        <f t="shared" si="201"/>
        <v>0</v>
      </c>
      <c r="AN939" s="1194" t="str">
        <f>VLOOKUP($I939,'Price List, Weapons &amp; Items'!B:L,COLUMN('Price List, Weapons &amp; Items'!$J$11)-1,0)</f>
        <v>Miscellaneous</v>
      </c>
      <c r="AO939" s="1194" t="str">
        <f>IF(I939=".",".",VLOOKUP($I939,'Price List, Weapons &amp; Items'!B:J,3,0))</f>
        <v>Humanitarian</v>
      </c>
      <c r="AP939" s="1195" t="str">
        <f t="shared" ca="1" si="195"/>
        <v/>
      </c>
      <c r="AQ939" s="1194">
        <f>VLOOKUP($I939,'Price List, Weapons &amp; Items'!B:L,COLUMN('Price List, Weapons &amp; Items'!$L$11)-1,0)</f>
        <v>0</v>
      </c>
      <c r="AR939" s="1194">
        <f t="shared" si="202"/>
        <v>1</v>
      </c>
      <c r="AS939" s="1194">
        <f t="shared" si="203"/>
        <v>1</v>
      </c>
      <c r="AT939" s="1194">
        <f t="shared" si="204"/>
        <v>1</v>
      </c>
      <c r="AU939" s="1194" t="str">
        <f t="shared" si="205"/>
        <v>.</v>
      </c>
      <c r="AV939" s="1194" t="str">
        <f t="shared" si="196"/>
        <v>.</v>
      </c>
      <c r="AW939" s="1194" t="str">
        <f t="shared" si="206"/>
        <v>.</v>
      </c>
      <c r="AX939" s="1194">
        <f>IFERROR(VLOOKUP(B939,'Share, Heavy Weapons to Ukraine'!B:Z,COLUMN('Share, Heavy Weapons to Ukraine'!C949)-1,0),0)</f>
        <v>0</v>
      </c>
      <c r="AY939" s="1194">
        <f>VLOOKUP('Bilateral Assistance, MAIN DATA'!B939,'Country Summary (€)'!B:F,COLUMN('Country Summary (€)'!C950)-1,FALSE)</f>
        <v>1</v>
      </c>
      <c r="AZ939" s="1194" t="str">
        <f>IF(AND(AD939=1,D939="Military",H939&lt;&gt;"Not given")=TRUE,IF(SUMIFS(P:P,A:A,A939)&gt;0,ABS((SUMIFS(P:P,A:A,A939)/VLOOKUP("USD",'Exchange Rates'!B:C,2,0)))/S939,"."),".")</f>
        <v>.</v>
      </c>
      <c r="BA939" s="1196" t="str">
        <f>IF(AND(AD939=1,D939="Military",H939&lt;&gt;"Not given")=TRUE,IF(SUMIFS(P:P,A:A,A939)&gt;0,IF((ABS((SUMIFS(P:P,A:A,A939)/VLOOKUP("USD",'Exchange Rates'!B:C,2,0)))/S939)&gt;1,(SUMIFS(P:P,A:A,A939)-S939)/S939,(S939-SUMIFS(P:P,A:A,A939))/SUMIFS(P:P,A:A,A939)),"."),".")</f>
        <v>.</v>
      </c>
    </row>
    <row r="940" spans="1:53" ht="15.95" customHeight="1">
      <c r="A940" s="1182" t="s">
        <v>2624</v>
      </c>
      <c r="B940" s="1182" t="s">
        <v>2625</v>
      </c>
      <c r="C940" s="1181">
        <v>44648</v>
      </c>
      <c r="D940" s="1182" t="s">
        <v>389</v>
      </c>
      <c r="E940" s="1182" t="s">
        <v>390</v>
      </c>
      <c r="F940" s="1183" t="s">
        <v>2626</v>
      </c>
      <c r="G940" s="1184" t="s">
        <v>483</v>
      </c>
      <c r="H940" s="1185">
        <v>50000000</v>
      </c>
      <c r="I940" s="1289" t="s">
        <v>601</v>
      </c>
      <c r="J940" s="1186" t="str">
        <f>VLOOKUP($I940,'Price List, Weapons &amp; Items'!B:C,2,0)</f>
        <v>Humanitarian</v>
      </c>
      <c r="K940" s="1186" t="str">
        <f>IF(I940=".",I940,VLOOKUP($I940,'Price List, Weapons &amp; Items'!B:D,3,0))</f>
        <v>Humanitarian</v>
      </c>
      <c r="L940" s="1187">
        <f>VLOOKUP(I940,'Price List, Weapons &amp; Items'!B:E,4,0)</f>
        <v>0</v>
      </c>
      <c r="M940" s="1188">
        <v>6</v>
      </c>
      <c r="N940" s="1188">
        <v>6</v>
      </c>
      <c r="O940" s="1188">
        <f>VLOOKUP($I940,'Price List, Weapons &amp; Items'!B:G,6,0)</f>
        <v>300</v>
      </c>
      <c r="P940" s="1185">
        <f t="shared" si="197"/>
        <v>1800</v>
      </c>
      <c r="Q940" s="1185">
        <f t="shared" si="198"/>
        <v>1800</v>
      </c>
      <c r="R940" s="1185" t="str">
        <f t="shared" si="194"/>
        <v/>
      </c>
      <c r="S940" s="1185" t="str">
        <f>IF(AND(AD940=1,R940&lt;&gt;".")=TRUE,R940/VLOOKUP(G940,'Exchange Rates'!B:C,2,0),IF(R940=".",".",""))</f>
        <v/>
      </c>
      <c r="T940" s="1185" t="str">
        <f>IF(AD940=1,IF(AF940="Value is not given at all",".",IF(AF940="Value is given by the source",S940,IF(AF940="Value is calculated with prices",(IF(SUMIFS(Q:Q,A:A,A940)&gt;0,SUMIFS(Q:Q,A:A,A940),"."))/VLOOKUP("USD",'Exchange Rates'!B:C,2,0),"Error with coding"))),"")</f>
        <v/>
      </c>
      <c r="U940" s="1184" t="s">
        <v>365</v>
      </c>
      <c r="V940" s="974" t="s">
        <v>2627</v>
      </c>
      <c r="W940" s="974" t="s">
        <v>2631</v>
      </c>
      <c r="X940" s="974" t="s">
        <v>2629</v>
      </c>
      <c r="Y940" s="1029" t="s">
        <v>2630</v>
      </c>
      <c r="Z940" s="1184">
        <v>0</v>
      </c>
      <c r="AA940" s="1191">
        <v>0</v>
      </c>
      <c r="AB940" s="975" t="s">
        <v>2631</v>
      </c>
      <c r="AC940" s="1192" t="str">
        <f>""</f>
        <v/>
      </c>
      <c r="AD940" s="1193">
        <v>0</v>
      </c>
      <c r="AE940" s="1193" t="s">
        <v>368</v>
      </c>
      <c r="AF940" s="1193" t="s">
        <v>368</v>
      </c>
      <c r="AG940" s="1193">
        <v>1</v>
      </c>
      <c r="AH940" s="1193">
        <v>3</v>
      </c>
      <c r="AI940" s="1193">
        <v>0</v>
      </c>
      <c r="AJ940" s="1193">
        <f>VLOOKUP($I940,'Price List, Weapons &amp; Items'!B:F,5,0)</f>
        <v>0</v>
      </c>
      <c r="AK940" s="1193">
        <f t="shared" si="199"/>
        <v>0</v>
      </c>
      <c r="AL940" s="1193">
        <f t="shared" si="200"/>
        <v>0</v>
      </c>
      <c r="AM940" s="1193">
        <f t="shared" si="201"/>
        <v>0</v>
      </c>
      <c r="AN940" s="1194" t="str">
        <f>VLOOKUP($I940,'Price List, Weapons &amp; Items'!B:L,COLUMN('Price List, Weapons &amp; Items'!$J$11)-1,0)</f>
        <v>Miscellaneous</v>
      </c>
      <c r="AO940" s="1194" t="str">
        <f>IF(I940=".",".",VLOOKUP($I940,'Price List, Weapons &amp; Items'!B:J,3,0))</f>
        <v>Humanitarian</v>
      </c>
      <c r="AP940" s="1195" t="str">
        <f t="shared" ca="1" si="195"/>
        <v/>
      </c>
      <c r="AQ940" s="1194">
        <f>VLOOKUP($I940,'Price List, Weapons &amp; Items'!B:L,COLUMN('Price List, Weapons &amp; Items'!$L$11)-1,0)</f>
        <v>0</v>
      </c>
      <c r="AR940" s="1194">
        <f t="shared" si="202"/>
        <v>1</v>
      </c>
      <c r="AS940" s="1194">
        <f t="shared" si="203"/>
        <v>1</v>
      </c>
      <c r="AT940" s="1194">
        <f t="shared" si="204"/>
        <v>1</v>
      </c>
      <c r="AU940" s="1194" t="str">
        <f t="shared" si="205"/>
        <v>.</v>
      </c>
      <c r="AV940" s="1194" t="str">
        <f t="shared" si="196"/>
        <v>.</v>
      </c>
      <c r="AW940" s="1194" t="str">
        <f t="shared" si="206"/>
        <v>.</v>
      </c>
      <c r="AX940" s="1194">
        <f>IFERROR(VLOOKUP(B940,'Share, Heavy Weapons to Ukraine'!B:Z,COLUMN('Share, Heavy Weapons to Ukraine'!C950)-1,0),0)</f>
        <v>0</v>
      </c>
      <c r="AY940" s="1194">
        <f>VLOOKUP('Bilateral Assistance, MAIN DATA'!B940,'Country Summary (€)'!B:F,COLUMN('Country Summary (€)'!C951)-1,FALSE)</f>
        <v>1</v>
      </c>
      <c r="AZ940" s="1194" t="str">
        <f>IF(AND(AD940=1,D940="Military",H940&lt;&gt;"Not given")=TRUE,IF(SUMIFS(P:P,A:A,A940)&gt;0,ABS((SUMIFS(P:P,A:A,A940)/VLOOKUP("USD",'Exchange Rates'!B:C,2,0)))/S940,"."),".")</f>
        <v>.</v>
      </c>
      <c r="BA940" s="1196" t="str">
        <f>IF(AND(AD940=1,D940="Military",H940&lt;&gt;"Not given")=TRUE,IF(SUMIFS(P:P,A:A,A940)&gt;0,IF((ABS((SUMIFS(P:P,A:A,A940)/VLOOKUP("USD",'Exchange Rates'!B:C,2,0)))/S940)&gt;1,(SUMIFS(P:P,A:A,A940)-S940)/S940,(S940-SUMIFS(P:P,A:A,A940))/SUMIFS(P:P,A:A,A940)),"."),".")</f>
        <v>.</v>
      </c>
    </row>
    <row r="941" spans="1:53" ht="15.95" customHeight="1">
      <c r="A941" s="1182" t="s">
        <v>2624</v>
      </c>
      <c r="B941" s="1182" t="s">
        <v>2625</v>
      </c>
      <c r="C941" s="1181">
        <v>44648</v>
      </c>
      <c r="D941" s="1182" t="s">
        <v>389</v>
      </c>
      <c r="E941" s="1182" t="s">
        <v>390</v>
      </c>
      <c r="F941" s="1183" t="s">
        <v>2626</v>
      </c>
      <c r="G941" s="1184" t="s">
        <v>483</v>
      </c>
      <c r="H941" s="1185">
        <v>50000000</v>
      </c>
      <c r="I941" s="1289" t="s">
        <v>2580</v>
      </c>
      <c r="J941" s="1186" t="str">
        <f>VLOOKUP($I941,'Price List, Weapons &amp; Items'!B:C,2,0)</f>
        <v>Military equipment</v>
      </c>
      <c r="K941" s="1186" t="str">
        <f>IF(I941=".",I941,VLOOKUP($I941,'Price List, Weapons &amp; Items'!B:D,3,0))</f>
        <v>Military equipment</v>
      </c>
      <c r="L941" s="1187">
        <f>VLOOKUP(I941,'Price List, Weapons &amp; Items'!B:E,4,0)</f>
        <v>0</v>
      </c>
      <c r="M941" s="1188">
        <v>800</v>
      </c>
      <c r="N941" s="1188">
        <v>800</v>
      </c>
      <c r="O941" s="1188">
        <f>VLOOKUP($I941,'Price List, Weapons &amp; Items'!B:G,6,0)</f>
        <v>22</v>
      </c>
      <c r="P941" s="1185">
        <f t="shared" si="197"/>
        <v>17600</v>
      </c>
      <c r="Q941" s="1185">
        <f t="shared" si="198"/>
        <v>17600</v>
      </c>
      <c r="R941" s="1185" t="str">
        <f t="shared" si="194"/>
        <v/>
      </c>
      <c r="S941" s="1185" t="str">
        <f>IF(AND(AD941=1,R941&lt;&gt;".")=TRUE,R941/VLOOKUP(G941,'Exchange Rates'!B:C,2,0),IF(R941=".",".",""))</f>
        <v/>
      </c>
      <c r="T941" s="1185" t="str">
        <f>IF(AD941=1,IF(AF941="Value is not given at all",".",IF(AF941="Value is given by the source",S941,IF(AF941="Value is calculated with prices",(IF(SUMIFS(Q:Q,A:A,A941)&gt;0,SUMIFS(Q:Q,A:A,A941),"."))/VLOOKUP("USD",'Exchange Rates'!B:C,2,0),"Error with coding"))),"")</f>
        <v/>
      </c>
      <c r="U941" s="1184" t="s">
        <v>365</v>
      </c>
      <c r="V941" s="974" t="s">
        <v>2627</v>
      </c>
      <c r="W941" s="974" t="s">
        <v>2631</v>
      </c>
      <c r="X941" s="974" t="s">
        <v>2629</v>
      </c>
      <c r="Y941" s="1029" t="s">
        <v>2630</v>
      </c>
      <c r="Z941" s="1184">
        <v>0</v>
      </c>
      <c r="AA941" s="1191">
        <v>0</v>
      </c>
      <c r="AB941" s="975" t="s">
        <v>2631</v>
      </c>
      <c r="AC941" s="1192" t="str">
        <f>""</f>
        <v/>
      </c>
      <c r="AD941" s="1193">
        <v>0</v>
      </c>
      <c r="AE941" s="1193" t="s">
        <v>368</v>
      </c>
      <c r="AF941" s="1193" t="s">
        <v>368</v>
      </c>
      <c r="AG941" s="1193">
        <v>1</v>
      </c>
      <c r="AH941" s="1193">
        <v>3</v>
      </c>
      <c r="AI941" s="1193">
        <v>0</v>
      </c>
      <c r="AJ941" s="1193">
        <f>VLOOKUP($I941,'Price List, Weapons &amp; Items'!B:F,5,0)</f>
        <v>0</v>
      </c>
      <c r="AK941" s="1193">
        <f t="shared" si="199"/>
        <v>0</v>
      </c>
      <c r="AL941" s="1193">
        <f t="shared" si="200"/>
        <v>0</v>
      </c>
      <c r="AM941" s="1193">
        <f t="shared" si="201"/>
        <v>0</v>
      </c>
      <c r="AN941" s="1194" t="str">
        <f>VLOOKUP($I941,'Price List, Weapons &amp; Items'!B:L,COLUMN('Price List, Weapons &amp; Items'!$J$11)-1,0)</f>
        <v>Online marketplaces and stores</v>
      </c>
      <c r="AO941" s="1194" t="str">
        <f>IF(I941=".",".",VLOOKUP($I941,'Price List, Weapons &amp; Items'!B:J,3,0))</f>
        <v>Military equipment</v>
      </c>
      <c r="AP941" s="1195" t="str">
        <f t="shared" ca="1" si="195"/>
        <v/>
      </c>
      <c r="AQ941" s="1194">
        <f>VLOOKUP($I941,'Price List, Weapons &amp; Items'!B:L,COLUMN('Price List, Weapons &amp; Items'!$L$11)-1,0)</f>
        <v>2</v>
      </c>
      <c r="AR941" s="1194">
        <f t="shared" si="202"/>
        <v>1</v>
      </c>
      <c r="AS941" s="1194">
        <f t="shared" si="203"/>
        <v>1</v>
      </c>
      <c r="AT941" s="1194">
        <f t="shared" si="204"/>
        <v>1</v>
      </c>
      <c r="AU941" s="1194" t="str">
        <f t="shared" si="205"/>
        <v>.</v>
      </c>
      <c r="AV941" s="1194" t="str">
        <f t="shared" si="196"/>
        <v>.</v>
      </c>
      <c r="AW941" s="1194" t="str">
        <f t="shared" si="206"/>
        <v>.</v>
      </c>
      <c r="AX941" s="1194">
        <f>IFERROR(VLOOKUP(B941,'Share, Heavy Weapons to Ukraine'!B:Z,COLUMN('Share, Heavy Weapons to Ukraine'!C951)-1,0),0)</f>
        <v>0</v>
      </c>
      <c r="AY941" s="1194">
        <f>VLOOKUP('Bilateral Assistance, MAIN DATA'!B941,'Country Summary (€)'!B:F,COLUMN('Country Summary (€)'!C952)-1,FALSE)</f>
        <v>1</v>
      </c>
      <c r="AZ941" s="1194" t="str">
        <f>IF(AND(AD941=1,D941="Military",H941&lt;&gt;"Not given")=TRUE,IF(SUMIFS(P:P,A:A,A941)&gt;0,ABS((SUMIFS(P:P,A:A,A941)/VLOOKUP("USD",'Exchange Rates'!B:C,2,0)))/S941,"."),".")</f>
        <v>.</v>
      </c>
      <c r="BA941" s="1196" t="str">
        <f>IF(AND(AD941=1,D941="Military",H941&lt;&gt;"Not given")=TRUE,IF(SUMIFS(P:P,A:A,A941)&gt;0,IF((ABS((SUMIFS(P:P,A:A,A941)/VLOOKUP("USD",'Exchange Rates'!B:C,2,0)))/S941)&gt;1,(SUMIFS(P:P,A:A,A941)-S941)/S941,(S941-SUMIFS(P:P,A:A,A941))/SUMIFS(P:P,A:A,A941)),"."),".")</f>
        <v>.</v>
      </c>
    </row>
    <row r="942" spans="1:53" ht="15.95" customHeight="1">
      <c r="A942" s="1182" t="s">
        <v>2624</v>
      </c>
      <c r="B942" s="1182" t="s">
        <v>2625</v>
      </c>
      <c r="C942" s="1181">
        <v>44648</v>
      </c>
      <c r="D942" s="1182" t="s">
        <v>389</v>
      </c>
      <c r="E942" s="1182" t="s">
        <v>390</v>
      </c>
      <c r="F942" s="1183" t="s">
        <v>2626</v>
      </c>
      <c r="G942" s="1184" t="s">
        <v>483</v>
      </c>
      <c r="H942" s="1185">
        <v>50000000</v>
      </c>
      <c r="I942" s="1289" t="s">
        <v>605</v>
      </c>
      <c r="J942" s="1186" t="str">
        <f>VLOOKUP($I942,'Price List, Weapons &amp; Items'!B:C,2,0)</f>
        <v>Military equipment</v>
      </c>
      <c r="K942" s="1186" t="str">
        <f>IF(I942=".",I942,VLOOKUP($I942,'Price List, Weapons &amp; Items'!B:D,3,0))</f>
        <v>Military equipment</v>
      </c>
      <c r="L942" s="1187">
        <f>VLOOKUP(I942,'Price List, Weapons &amp; Items'!B:E,4,0)</f>
        <v>0</v>
      </c>
      <c r="M942" s="1188">
        <v>470</v>
      </c>
      <c r="N942" s="1188">
        <v>470</v>
      </c>
      <c r="O942" s="1188">
        <f>VLOOKUP($I942,'Price List, Weapons &amp; Items'!B:G,6,0)</f>
        <v>2320</v>
      </c>
      <c r="P942" s="1185">
        <f t="shared" si="197"/>
        <v>1090400</v>
      </c>
      <c r="Q942" s="1185">
        <f t="shared" si="198"/>
        <v>1090400</v>
      </c>
      <c r="R942" s="1185" t="str">
        <f t="shared" si="194"/>
        <v/>
      </c>
      <c r="S942" s="1185" t="str">
        <f>IF(AND(AD942=1,R942&lt;&gt;".")=TRUE,R942/VLOOKUP(G942,'Exchange Rates'!B:C,2,0),IF(R942=".",".",""))</f>
        <v/>
      </c>
      <c r="T942" s="1185" t="str">
        <f>IF(AD942=1,IF(AF942="Value is not given at all",".",IF(AF942="Value is given by the source",S942,IF(AF942="Value is calculated with prices",(IF(SUMIFS(Q:Q,A:A,A942)&gt;0,SUMIFS(Q:Q,A:A,A942),"."))/VLOOKUP("USD",'Exchange Rates'!B:C,2,0),"Error with coding"))),"")</f>
        <v/>
      </c>
      <c r="U942" s="1184" t="s">
        <v>365</v>
      </c>
      <c r="V942" s="974" t="s">
        <v>2627</v>
      </c>
      <c r="W942" s="974" t="s">
        <v>2631</v>
      </c>
      <c r="X942" s="974" t="s">
        <v>2629</v>
      </c>
      <c r="Y942" s="1029" t="s">
        <v>2630</v>
      </c>
      <c r="Z942" s="1184">
        <v>0</v>
      </c>
      <c r="AA942" s="1191">
        <v>0</v>
      </c>
      <c r="AB942" s="975" t="s">
        <v>2631</v>
      </c>
      <c r="AC942" s="1192" t="str">
        <f>""</f>
        <v/>
      </c>
      <c r="AD942" s="1193">
        <v>0</v>
      </c>
      <c r="AE942" s="1193" t="s">
        <v>368</v>
      </c>
      <c r="AF942" s="1193" t="s">
        <v>368</v>
      </c>
      <c r="AG942" s="1193">
        <v>1</v>
      </c>
      <c r="AH942" s="1193">
        <v>3</v>
      </c>
      <c r="AI942" s="1193">
        <v>0</v>
      </c>
      <c r="AJ942" s="1193">
        <f>VLOOKUP($I942,'Price List, Weapons &amp; Items'!B:F,5,0)</f>
        <v>0</v>
      </c>
      <c r="AK942" s="1193">
        <f t="shared" si="199"/>
        <v>0</v>
      </c>
      <c r="AL942" s="1193">
        <f t="shared" si="200"/>
        <v>0</v>
      </c>
      <c r="AM942" s="1193">
        <f t="shared" si="201"/>
        <v>0</v>
      </c>
      <c r="AN942" s="1194" t="str">
        <f>VLOOKUP($I942,'Price List, Weapons &amp; Items'!B:L,COLUMN('Price List, Weapons &amp; Items'!$J$11)-1,0)</f>
        <v>Media reports (incl. social media)</v>
      </c>
      <c r="AO942" s="1194" t="str">
        <f>IF(I942=".",".",VLOOKUP($I942,'Price List, Weapons &amp; Items'!B:J,3,0))</f>
        <v>Military equipment</v>
      </c>
      <c r="AP942" s="1195" t="str">
        <f t="shared" ca="1" si="195"/>
        <v/>
      </c>
      <c r="AQ942" s="1194">
        <f>VLOOKUP($I942,'Price List, Weapons &amp; Items'!B:L,COLUMN('Price List, Weapons &amp; Items'!$L$11)-1,0)</f>
        <v>2</v>
      </c>
      <c r="AR942" s="1194">
        <f t="shared" si="202"/>
        <v>1</v>
      </c>
      <c r="AS942" s="1194">
        <f t="shared" si="203"/>
        <v>1</v>
      </c>
      <c r="AT942" s="1194">
        <f t="shared" si="204"/>
        <v>1</v>
      </c>
      <c r="AU942" s="1194" t="str">
        <f t="shared" si="205"/>
        <v>.</v>
      </c>
      <c r="AV942" s="1194" t="str">
        <f t="shared" si="196"/>
        <v>.</v>
      </c>
      <c r="AW942" s="1194" t="str">
        <f t="shared" si="206"/>
        <v>.</v>
      </c>
      <c r="AX942" s="1194">
        <f>IFERROR(VLOOKUP(B942,'Share, Heavy Weapons to Ukraine'!B:Z,COLUMN('Share, Heavy Weapons to Ukraine'!C952)-1,0),0)</f>
        <v>0</v>
      </c>
      <c r="AY942" s="1194">
        <f>VLOOKUP('Bilateral Assistance, MAIN DATA'!B942,'Country Summary (€)'!B:F,COLUMN('Country Summary (€)'!C953)-1,FALSE)</f>
        <v>1</v>
      </c>
      <c r="AZ942" s="1194" t="str">
        <f>IF(AND(AD942=1,D942="Military",H942&lt;&gt;"Not given")=TRUE,IF(SUMIFS(P:P,A:A,A942)&gt;0,ABS((SUMIFS(P:P,A:A,A942)/VLOOKUP("USD",'Exchange Rates'!B:C,2,0)))/S942,"."),".")</f>
        <v>.</v>
      </c>
      <c r="BA942" s="1196" t="str">
        <f>IF(AND(AD942=1,D942="Military",H942&lt;&gt;"Not given")=TRUE,IF(SUMIFS(P:P,A:A,A942)&gt;0,IF((ABS((SUMIFS(P:P,A:A,A942)/VLOOKUP("USD",'Exchange Rates'!B:C,2,0)))/S942)&gt;1,(SUMIFS(P:P,A:A,A942)-S942)/S942,(S942-SUMIFS(P:P,A:A,A942))/SUMIFS(P:P,A:A,A942)),"."),".")</f>
        <v>.</v>
      </c>
    </row>
    <row r="943" spans="1:53" ht="15.95" customHeight="1">
      <c r="A943" s="1182" t="s">
        <v>2624</v>
      </c>
      <c r="B943" s="1182" t="s">
        <v>2625</v>
      </c>
      <c r="C943" s="1181">
        <v>44648</v>
      </c>
      <c r="D943" s="1182" t="s">
        <v>389</v>
      </c>
      <c r="E943" s="1182" t="s">
        <v>390</v>
      </c>
      <c r="F943" s="1183" t="s">
        <v>2626</v>
      </c>
      <c r="G943" s="1184" t="s">
        <v>483</v>
      </c>
      <c r="H943" s="1185">
        <v>50000000</v>
      </c>
      <c r="I943" s="1289" t="s">
        <v>2636</v>
      </c>
      <c r="J943" s="1186" t="str">
        <f>VLOOKUP($I943,'Price List, Weapons &amp; Items'!B:C,2,0)</f>
        <v>Aviation and drones</v>
      </c>
      <c r="K943" s="1186" t="str">
        <f>IF(I943=".",I943,VLOOKUP($I943,'Price List, Weapons &amp; Items'!B:D,3,0))</f>
        <v>Drone</v>
      </c>
      <c r="L943" s="1187">
        <f>VLOOKUP(I943,'Price List, Weapons &amp; Items'!B:E,4,0)</f>
        <v>0</v>
      </c>
      <c r="M943" s="1188">
        <v>6</v>
      </c>
      <c r="N943" s="1188">
        <v>6</v>
      </c>
      <c r="O943" s="1188">
        <f>VLOOKUP($I943,'Price List, Weapons &amp; Items'!B:G,6,0)</f>
        <v>875000</v>
      </c>
      <c r="P943" s="1185">
        <f t="shared" si="197"/>
        <v>5250000</v>
      </c>
      <c r="Q943" s="1185">
        <f t="shared" si="198"/>
        <v>5250000</v>
      </c>
      <c r="R943" s="1185" t="str">
        <f t="shared" si="194"/>
        <v/>
      </c>
      <c r="S943" s="1185" t="str">
        <f>IF(AND(AD943=1,R943&lt;&gt;".")=TRUE,R943/VLOOKUP(G943,'Exchange Rates'!B:C,2,0),IF(R943=".",".",""))</f>
        <v/>
      </c>
      <c r="T943" s="1185" t="str">
        <f>IF(AD943=1,IF(AF943="Value is not given at all",".",IF(AF943="Value is given by the source",S943,IF(AF943="Value is calculated with prices",(IF(SUMIFS(Q:Q,A:A,A943)&gt;0,SUMIFS(Q:Q,A:A,A943),"."))/VLOOKUP("USD",'Exchange Rates'!B:C,2,0),"Error with coding"))),"")</f>
        <v/>
      </c>
      <c r="U943" s="1184" t="s">
        <v>365</v>
      </c>
      <c r="V943" s="974" t="s">
        <v>2627</v>
      </c>
      <c r="W943" s="974" t="s">
        <v>2631</v>
      </c>
      <c r="X943" s="974" t="s">
        <v>2629</v>
      </c>
      <c r="Y943" s="1029" t="s">
        <v>2630</v>
      </c>
      <c r="Z943" s="1184">
        <v>0</v>
      </c>
      <c r="AA943" s="1191">
        <v>0</v>
      </c>
      <c r="AB943" s="975" t="s">
        <v>2631</v>
      </c>
      <c r="AC943" s="1192" t="str">
        <f>""</f>
        <v/>
      </c>
      <c r="AD943" s="1193">
        <v>0</v>
      </c>
      <c r="AE943" s="1193" t="s">
        <v>368</v>
      </c>
      <c r="AF943" s="1193" t="s">
        <v>368</v>
      </c>
      <c r="AG943" s="1193">
        <v>1</v>
      </c>
      <c r="AH943" s="1193">
        <v>3</v>
      </c>
      <c r="AI943" s="1193">
        <v>0</v>
      </c>
      <c r="AJ943" s="1193">
        <f>VLOOKUP($I943,'Price List, Weapons &amp; Items'!B:F,5,0)</f>
        <v>0</v>
      </c>
      <c r="AK943" s="1193">
        <f t="shared" si="199"/>
        <v>0</v>
      </c>
      <c r="AL943" s="1193">
        <f t="shared" si="200"/>
        <v>0</v>
      </c>
      <c r="AM943" s="1193">
        <f t="shared" si="201"/>
        <v>0</v>
      </c>
      <c r="AN943" s="1194" t="str">
        <f>VLOOKUP($I943,'Price List, Weapons &amp; Items'!B:L,COLUMN('Price List, Weapons &amp; Items'!$J$11)-1,0)</f>
        <v>Contracts</v>
      </c>
      <c r="AO943" s="1194" t="str">
        <f>IF(I943=".",".",VLOOKUP($I943,'Price List, Weapons &amp; Items'!B:J,3,0))</f>
        <v>Drone</v>
      </c>
      <c r="AP943" s="1195" t="str">
        <f t="shared" ca="1" si="195"/>
        <v/>
      </c>
      <c r="AQ943" s="1194">
        <f>VLOOKUP($I943,'Price List, Weapons &amp; Items'!B:L,COLUMN('Price List, Weapons &amp; Items'!$L$11)-1,0)</f>
        <v>2</v>
      </c>
      <c r="AR943" s="1194">
        <f t="shared" si="202"/>
        <v>1</v>
      </c>
      <c r="AS943" s="1194">
        <f t="shared" si="203"/>
        <v>1</v>
      </c>
      <c r="AT943" s="1194">
        <f t="shared" si="204"/>
        <v>1</v>
      </c>
      <c r="AU943" s="1194" t="str">
        <f t="shared" si="205"/>
        <v>.</v>
      </c>
      <c r="AV943" s="1194" t="str">
        <f t="shared" si="196"/>
        <v>.</v>
      </c>
      <c r="AW943" s="1194" t="str">
        <f t="shared" si="206"/>
        <v>.</v>
      </c>
      <c r="AX943" s="1194">
        <f>IFERROR(VLOOKUP(B943,'Share, Heavy Weapons to Ukraine'!B:Z,COLUMN('Share, Heavy Weapons to Ukraine'!C953)-1,0),0)</f>
        <v>0</v>
      </c>
      <c r="AY943" s="1194">
        <f>VLOOKUP('Bilateral Assistance, MAIN DATA'!B943,'Country Summary (€)'!B:F,COLUMN('Country Summary (€)'!C954)-1,FALSE)</f>
        <v>1</v>
      </c>
      <c r="AZ943" s="1194" t="str">
        <f>IF(AND(AD943=1,D943="Military",H943&lt;&gt;"Not given")=TRUE,IF(SUMIFS(P:P,A:A,A943)&gt;0,ABS((SUMIFS(P:P,A:A,A943)/VLOOKUP("USD",'Exchange Rates'!B:C,2,0)))/S943,"."),".")</f>
        <v>.</v>
      </c>
      <c r="BA943" s="1196" t="str">
        <f>IF(AND(AD943=1,D943="Military",H943&lt;&gt;"Not given")=TRUE,IF(SUMIFS(P:P,A:A,A943)&gt;0,IF((ABS((SUMIFS(P:P,A:A,A943)/VLOOKUP("USD",'Exchange Rates'!B:C,2,0)))/S943)&gt;1,(SUMIFS(P:P,A:A,A943)-S943)/S943,(S943-SUMIFS(P:P,A:A,A943))/SUMIFS(P:P,A:A,A943)),"."),".")</f>
        <v>.</v>
      </c>
    </row>
    <row r="944" spans="1:53" ht="15.95" customHeight="1">
      <c r="A944" s="1182" t="s">
        <v>2624</v>
      </c>
      <c r="B944" s="1182" t="s">
        <v>2625</v>
      </c>
      <c r="C944" s="1181">
        <v>44648</v>
      </c>
      <c r="D944" s="1182" t="s">
        <v>389</v>
      </c>
      <c r="E944" s="1182" t="s">
        <v>390</v>
      </c>
      <c r="F944" s="1183" t="s">
        <v>2626</v>
      </c>
      <c r="G944" s="1184" t="s">
        <v>483</v>
      </c>
      <c r="H944" s="1185">
        <v>50000000</v>
      </c>
      <c r="I944" s="1289" t="s">
        <v>2637</v>
      </c>
      <c r="J944" s="1186" t="str">
        <f>VLOOKUP($I944,'Price List, Weapons &amp; Items'!B:C,2,0)</f>
        <v>Heavy weapon</v>
      </c>
      <c r="K944" s="1186" t="str">
        <f>IF(I944=".",I944,VLOOKUP($I944,'Price List, Weapons &amp; Items'!B:D,3,0))</f>
        <v>Armored Utility Vehicle (AUV)</v>
      </c>
      <c r="L944" s="1187">
        <f>VLOOKUP(I944,'Price List, Weapons &amp; Items'!B:E,4,0)</f>
        <v>0</v>
      </c>
      <c r="M944" s="1188">
        <v>28</v>
      </c>
      <c r="N944" s="1188">
        <v>28</v>
      </c>
      <c r="O944" s="1188">
        <f>VLOOKUP($I944,'Price List, Weapons &amp; Items'!B:G,6,0)</f>
        <v>254717</v>
      </c>
      <c r="P944" s="1185">
        <f t="shared" si="197"/>
        <v>7132076</v>
      </c>
      <c r="Q944" s="1185">
        <f t="shared" si="198"/>
        <v>7132076</v>
      </c>
      <c r="R944" s="1185" t="str">
        <f t="shared" si="194"/>
        <v/>
      </c>
      <c r="S944" s="1185" t="str">
        <f>IF(AND(AD944=1,R944&lt;&gt;".")=TRUE,R944/VLOOKUP(G944,'Exchange Rates'!B:C,2,0),IF(R944=".",".",""))</f>
        <v/>
      </c>
      <c r="T944" s="1185" t="str">
        <f>IF(AD944=1,IF(AF944="Value is not given at all",".",IF(AF944="Value is given by the source",S944,IF(AF944="Value is calculated with prices",(IF(SUMIFS(Q:Q,A:A,A944)&gt;0,SUMIFS(Q:Q,A:A,A944),"."))/VLOOKUP("USD",'Exchange Rates'!B:C,2,0),"Error with coding"))),"")</f>
        <v/>
      </c>
      <c r="U944" s="1184" t="s">
        <v>365</v>
      </c>
      <c r="V944" s="974" t="s">
        <v>2627</v>
      </c>
      <c r="W944" s="974" t="s">
        <v>2631</v>
      </c>
      <c r="X944" s="974" t="s">
        <v>2629</v>
      </c>
      <c r="Y944" s="1029" t="s">
        <v>2630</v>
      </c>
      <c r="Z944" s="1184">
        <v>0</v>
      </c>
      <c r="AA944" s="1191">
        <v>0</v>
      </c>
      <c r="AB944" s="975" t="s">
        <v>2631</v>
      </c>
      <c r="AC944" s="1192" t="str">
        <f>""</f>
        <v/>
      </c>
      <c r="AD944" s="1193">
        <v>0</v>
      </c>
      <c r="AE944" s="1193" t="s">
        <v>368</v>
      </c>
      <c r="AF944" s="1193" t="s">
        <v>368</v>
      </c>
      <c r="AG944" s="1193">
        <v>1</v>
      </c>
      <c r="AH944" s="1193">
        <v>3</v>
      </c>
      <c r="AI944" s="1193">
        <v>0</v>
      </c>
      <c r="AJ944" s="1193">
        <f>VLOOKUP($I944,'Price List, Weapons &amp; Items'!B:F,5,0)</f>
        <v>1</v>
      </c>
      <c r="AK944" s="1193">
        <f t="shared" si="199"/>
        <v>0</v>
      </c>
      <c r="AL944" s="1193">
        <f t="shared" si="200"/>
        <v>0</v>
      </c>
      <c r="AM944" s="1193">
        <f t="shared" si="201"/>
        <v>0</v>
      </c>
      <c r="AN944" s="1194" t="str">
        <f>VLOOKUP($I944,'Price List, Weapons &amp; Items'!B:L,COLUMN('Price List, Weapons &amp; Items'!$J$11)-1,0)</f>
        <v>Military media (incl. websites)</v>
      </c>
      <c r="AO944" s="1194" t="str">
        <f>IF(I944=".",".",VLOOKUP($I944,'Price List, Weapons &amp; Items'!B:J,3,0))</f>
        <v>Armored Utility Vehicle (AUV)</v>
      </c>
      <c r="AP944" s="1195" t="str">
        <f t="shared" ca="1" si="195"/>
        <v/>
      </c>
      <c r="AQ944" s="1194">
        <f>VLOOKUP($I944,'Price List, Weapons &amp; Items'!B:L,COLUMN('Price List, Weapons &amp; Items'!$L$11)-1,0)</f>
        <v>2</v>
      </c>
      <c r="AR944" s="1194">
        <f t="shared" si="202"/>
        <v>1</v>
      </c>
      <c r="AS944" s="1194">
        <f t="shared" si="203"/>
        <v>1</v>
      </c>
      <c r="AT944" s="1194">
        <f t="shared" si="204"/>
        <v>1</v>
      </c>
      <c r="AU944" s="1194" t="str">
        <f t="shared" si="205"/>
        <v>.</v>
      </c>
      <c r="AV944" s="1194" t="str">
        <f t="shared" si="196"/>
        <v>.</v>
      </c>
      <c r="AW944" s="1194" t="str">
        <f t="shared" si="206"/>
        <v>.</v>
      </c>
      <c r="AX944" s="1194">
        <f>IFERROR(VLOOKUP(B944,'Share, Heavy Weapons to Ukraine'!B:Z,COLUMN('Share, Heavy Weapons to Ukraine'!C954)-1,0),0)</f>
        <v>0</v>
      </c>
      <c r="AY944" s="1194">
        <f>VLOOKUP('Bilateral Assistance, MAIN DATA'!B944,'Country Summary (€)'!B:F,COLUMN('Country Summary (€)'!C955)-1,FALSE)</f>
        <v>1</v>
      </c>
      <c r="AZ944" s="1194" t="str">
        <f>IF(AND(AD944=1,D944="Military",H944&lt;&gt;"Not given")=TRUE,IF(SUMIFS(P:P,A:A,A944)&gt;0,ABS((SUMIFS(P:P,A:A,A944)/VLOOKUP("USD",'Exchange Rates'!B:C,2,0)))/S944,"."),".")</f>
        <v>.</v>
      </c>
      <c r="BA944" s="1196" t="str">
        <f>IF(AND(AD944=1,D944="Military",H944&lt;&gt;"Not given")=TRUE,IF(SUMIFS(P:P,A:A,A944)&gt;0,IF((ABS((SUMIFS(P:P,A:A,A944)/VLOOKUP("USD",'Exchange Rates'!B:C,2,0)))/S944)&gt;1,(SUMIFS(P:P,A:A,A944)-S944)/S944,(S944-SUMIFS(P:P,A:A,A944))/SUMIFS(P:P,A:A,A944)),"."),".")</f>
        <v>.</v>
      </c>
    </row>
    <row r="945" spans="1:53" ht="15.95" customHeight="1">
      <c r="A945" s="1182" t="s">
        <v>2624</v>
      </c>
      <c r="B945" s="1182" t="s">
        <v>2625</v>
      </c>
      <c r="C945" s="1181">
        <v>44648</v>
      </c>
      <c r="D945" s="1182" t="s">
        <v>389</v>
      </c>
      <c r="E945" s="1182" t="s">
        <v>390</v>
      </c>
      <c r="F945" s="1183" t="s">
        <v>2626</v>
      </c>
      <c r="G945" s="1184" t="s">
        <v>483</v>
      </c>
      <c r="H945" s="1185">
        <v>50000000</v>
      </c>
      <c r="I945" s="1289" t="s">
        <v>1863</v>
      </c>
      <c r="J945" s="1186" t="str">
        <f>VLOOKUP($I945,'Price List, Weapons &amp; Items'!B:C,2,0)</f>
        <v>Military equipment</v>
      </c>
      <c r="K945" s="1186" t="str">
        <f>IF(I945=".",I945,VLOOKUP($I945,'Price List, Weapons &amp; Items'!B:D,3,0))</f>
        <v>non combat military vehicle</v>
      </c>
      <c r="L945" s="1187">
        <f>VLOOKUP(I945,'Price List, Weapons &amp; Items'!B:E,4,0)</f>
        <v>0</v>
      </c>
      <c r="M945" s="1188">
        <v>4</v>
      </c>
      <c r="N945" s="1188">
        <v>4</v>
      </c>
      <c r="O945" s="1188">
        <f>VLOOKUP($I945,'Price List, Weapons &amp; Items'!B:G,6,0)</f>
        <v>25000</v>
      </c>
      <c r="P945" s="1185">
        <f t="shared" si="197"/>
        <v>100000</v>
      </c>
      <c r="Q945" s="1185">
        <f t="shared" si="198"/>
        <v>100000</v>
      </c>
      <c r="R945" s="1185" t="str">
        <f t="shared" si="194"/>
        <v/>
      </c>
      <c r="S945" s="1185" t="str">
        <f>IF(AND(AD945=1,R945&lt;&gt;".")=TRUE,R945/VLOOKUP(G945,'Exchange Rates'!B:C,2,0),IF(R945=".",".",""))</f>
        <v/>
      </c>
      <c r="T945" s="1185" t="str">
        <f>IF(AD945=1,IF(AF945="Value is not given at all",".",IF(AF945="Value is given by the source",S945,IF(AF945="Value is calculated with prices",(IF(SUMIFS(Q:Q,A:A,A945)&gt;0,SUMIFS(Q:Q,A:A,A945),"."))/VLOOKUP("USD",'Exchange Rates'!B:C,2,0),"Error with coding"))),"")</f>
        <v/>
      </c>
      <c r="U945" s="1184" t="s">
        <v>365</v>
      </c>
      <c r="V945" s="974" t="s">
        <v>2627</v>
      </c>
      <c r="W945" s="987" t="s">
        <v>2631</v>
      </c>
      <c r="X945" s="974" t="s">
        <v>2629</v>
      </c>
      <c r="Y945" s="1029" t="s">
        <v>2630</v>
      </c>
      <c r="Z945" s="1184">
        <v>0</v>
      </c>
      <c r="AA945" s="1191">
        <v>0</v>
      </c>
      <c r="AB945" s="1035" t="s">
        <v>2631</v>
      </c>
      <c r="AC945" s="1192" t="str">
        <f>""</f>
        <v/>
      </c>
      <c r="AD945" s="1193">
        <v>0</v>
      </c>
      <c r="AE945" s="1193" t="s">
        <v>368</v>
      </c>
      <c r="AF945" s="1193" t="s">
        <v>368</v>
      </c>
      <c r="AG945" s="1193">
        <v>1</v>
      </c>
      <c r="AH945" s="1193">
        <v>3</v>
      </c>
      <c r="AI945" s="1193">
        <v>0</v>
      </c>
      <c r="AJ945" s="1193">
        <f>VLOOKUP($I945,'Price List, Weapons &amp; Items'!B:F,5,0)</f>
        <v>0</v>
      </c>
      <c r="AK945" s="1193">
        <f t="shared" si="199"/>
        <v>0</v>
      </c>
      <c r="AL945" s="1193">
        <f t="shared" si="200"/>
        <v>0</v>
      </c>
      <c r="AM945" s="1193">
        <f t="shared" si="201"/>
        <v>0</v>
      </c>
      <c r="AN945" s="1194" t="str">
        <f>VLOOKUP($I945,'Price List, Weapons &amp; Items'!B:L,COLUMN('Price List, Weapons &amp; Items'!$J$11)-1,0)</f>
        <v>Online marketplaces and stores</v>
      </c>
      <c r="AO945" s="1194" t="str">
        <f>IF(I945=".",".",VLOOKUP($I945,'Price List, Weapons &amp; Items'!B:J,3,0))</f>
        <v>non combat military vehicle</v>
      </c>
      <c r="AP945" s="1195" t="str">
        <f t="shared" ca="1" si="195"/>
        <v/>
      </c>
      <c r="AQ945" s="1194">
        <f>VLOOKUP($I945,'Price List, Weapons &amp; Items'!B:L,COLUMN('Price List, Weapons &amp; Items'!$L$11)-1,0)</f>
        <v>2</v>
      </c>
      <c r="AR945" s="1194">
        <f t="shared" si="202"/>
        <v>1</v>
      </c>
      <c r="AS945" s="1194">
        <f t="shared" si="203"/>
        <v>1</v>
      </c>
      <c r="AT945" s="1194">
        <f t="shared" si="204"/>
        <v>1</v>
      </c>
      <c r="AU945" s="1194" t="str">
        <f t="shared" si="205"/>
        <v>.</v>
      </c>
      <c r="AV945" s="1194" t="str">
        <f t="shared" si="196"/>
        <v>.</v>
      </c>
      <c r="AW945" s="1194" t="str">
        <f t="shared" si="206"/>
        <v>.</v>
      </c>
      <c r="AX945" s="1194">
        <f>IFERROR(VLOOKUP(B945,'Share, Heavy Weapons to Ukraine'!B:Z,COLUMN('Share, Heavy Weapons to Ukraine'!C955)-1,0),0)</f>
        <v>0</v>
      </c>
      <c r="AY945" s="1194">
        <f>VLOOKUP('Bilateral Assistance, MAIN DATA'!B945,'Country Summary (€)'!B:F,COLUMN('Country Summary (€)'!C956)-1,FALSE)</f>
        <v>1</v>
      </c>
      <c r="AZ945" s="1194" t="str">
        <f>IF(AND(AD945=1,D945="Military",H945&lt;&gt;"Not given")=TRUE,IF(SUMIFS(P:P,A:A,A945)&gt;0,ABS((SUMIFS(P:P,A:A,A945)/VLOOKUP("USD",'Exchange Rates'!B:C,2,0)))/S945,"."),".")</f>
        <v>.</v>
      </c>
      <c r="BA945" s="1196" t="str">
        <f>IF(AND(AD945=1,D945="Military",H945&lt;&gt;"Not given")=TRUE,IF(SUMIFS(P:P,A:A,A945)&gt;0,IF((ABS((SUMIFS(P:P,A:A,A945)/VLOOKUP("USD",'Exchange Rates'!B:C,2,0)))/S945)&gt;1,(SUMIFS(P:P,A:A,A945)-S945)/S945,(S945-SUMIFS(P:P,A:A,A945))/SUMIFS(P:P,A:A,A945)),"."),".")</f>
        <v>.</v>
      </c>
    </row>
    <row r="946" spans="1:53" ht="15.95" customHeight="1">
      <c r="A946" s="1182" t="s">
        <v>2624</v>
      </c>
      <c r="B946" s="1182" t="s">
        <v>2625</v>
      </c>
      <c r="C946" s="1181">
        <v>44648</v>
      </c>
      <c r="D946" s="1182" t="s">
        <v>389</v>
      </c>
      <c r="E946" s="1182" t="s">
        <v>390</v>
      </c>
      <c r="F946" s="1183" t="s">
        <v>2626</v>
      </c>
      <c r="G946" s="1184" t="s">
        <v>483</v>
      </c>
      <c r="H946" s="1185">
        <v>50000000</v>
      </c>
      <c r="I946" s="1289" t="s">
        <v>1848</v>
      </c>
      <c r="J946" s="1186" t="str">
        <f>VLOOKUP($I946,'Price List, Weapons &amp; Items'!B:C,2,0)</f>
        <v>Military equipment</v>
      </c>
      <c r="K946" s="1186" t="str">
        <f>IF(I946=".",I946,VLOOKUP($I946,'Price List, Weapons &amp; Items'!B:D,3,0))</f>
        <v>non combat military vehicle</v>
      </c>
      <c r="L946" s="1187">
        <f>VLOOKUP(I946,'Price List, Weapons &amp; Items'!B:E,4,0)</f>
        <v>0</v>
      </c>
      <c r="M946" s="1188">
        <v>4</v>
      </c>
      <c r="N946" s="1188">
        <v>4</v>
      </c>
      <c r="O946" s="1188">
        <f>VLOOKUP($I946,'Price List, Weapons &amp; Items'!B:G,6,0)</f>
        <v>50000</v>
      </c>
      <c r="P946" s="1185">
        <f t="shared" si="197"/>
        <v>200000</v>
      </c>
      <c r="Q946" s="1185">
        <f t="shared" si="198"/>
        <v>200000</v>
      </c>
      <c r="R946" s="1185" t="str">
        <f t="shared" si="194"/>
        <v/>
      </c>
      <c r="S946" s="1185" t="str">
        <f>IF(AND(AD946=1,R946&lt;&gt;".")=TRUE,R946/VLOOKUP(G946,'Exchange Rates'!B:C,2,0),IF(R946=".",".",""))</f>
        <v/>
      </c>
      <c r="T946" s="1185" t="str">
        <f>IF(AD946=1,IF(AF946="Value is not given at all",".",IF(AF946="Value is given by the source",S946,IF(AF946="Value is calculated with prices",(IF(SUMIFS(Q:Q,A:A,A946)&gt;0,SUMIFS(Q:Q,A:A,A946),"."))/VLOOKUP("USD",'Exchange Rates'!B:C,2,0),"Error with coding"))),"")</f>
        <v/>
      </c>
      <c r="U946" s="1184" t="s">
        <v>365</v>
      </c>
      <c r="V946" s="974" t="s">
        <v>2627</v>
      </c>
      <c r="W946" s="974" t="s">
        <v>2631</v>
      </c>
      <c r="X946" s="974" t="s">
        <v>2629</v>
      </c>
      <c r="Y946" s="1029" t="s">
        <v>2630</v>
      </c>
      <c r="Z946" s="1184">
        <v>0</v>
      </c>
      <c r="AA946" s="1191">
        <v>0</v>
      </c>
      <c r="AB946" s="975" t="s">
        <v>2631</v>
      </c>
      <c r="AC946" s="1192" t="str">
        <f>""</f>
        <v/>
      </c>
      <c r="AD946" s="1193">
        <v>0</v>
      </c>
      <c r="AE946" s="1193" t="s">
        <v>368</v>
      </c>
      <c r="AF946" s="1193" t="s">
        <v>368</v>
      </c>
      <c r="AG946" s="1193">
        <v>1</v>
      </c>
      <c r="AH946" s="1193">
        <v>3</v>
      </c>
      <c r="AI946" s="1193">
        <v>0</v>
      </c>
      <c r="AJ946" s="1193">
        <f>VLOOKUP($I946,'Price List, Weapons &amp; Items'!B:F,5,0)</f>
        <v>0</v>
      </c>
      <c r="AK946" s="1193">
        <f t="shared" si="199"/>
        <v>0</v>
      </c>
      <c r="AL946" s="1193">
        <f t="shared" si="200"/>
        <v>0</v>
      </c>
      <c r="AM946" s="1193">
        <f t="shared" si="201"/>
        <v>0</v>
      </c>
      <c r="AN946" s="1194" t="str">
        <f>VLOOKUP($I946,'Price List, Weapons &amp; Items'!B:L,COLUMN('Price List, Weapons &amp; Items'!$J$11)-1,0)</f>
        <v>Miscellaneous</v>
      </c>
      <c r="AO946" s="1194" t="str">
        <f>IF(I946=".",".",VLOOKUP($I946,'Price List, Weapons &amp; Items'!B:J,3,0))</f>
        <v>non combat military vehicle</v>
      </c>
      <c r="AP946" s="1195" t="str">
        <f t="shared" ca="1" si="195"/>
        <v/>
      </c>
      <c r="AQ946" s="1194">
        <f>VLOOKUP($I946,'Price List, Weapons &amp; Items'!B:L,COLUMN('Price List, Weapons &amp; Items'!$L$11)-1,0)</f>
        <v>2</v>
      </c>
      <c r="AR946" s="1194">
        <f t="shared" si="202"/>
        <v>1</v>
      </c>
      <c r="AS946" s="1194">
        <f t="shared" si="203"/>
        <v>1</v>
      </c>
      <c r="AT946" s="1194">
        <f t="shared" si="204"/>
        <v>1</v>
      </c>
      <c r="AU946" s="1194" t="str">
        <f t="shared" si="205"/>
        <v>.</v>
      </c>
      <c r="AV946" s="1194" t="str">
        <f t="shared" si="196"/>
        <v>.</v>
      </c>
      <c r="AW946" s="1194" t="str">
        <f t="shared" si="206"/>
        <v>.</v>
      </c>
      <c r="AX946" s="1194">
        <f>IFERROR(VLOOKUP(B946,'Share, Heavy Weapons to Ukraine'!B:Z,COLUMN('Share, Heavy Weapons to Ukraine'!C956)-1,0),0)</f>
        <v>0</v>
      </c>
      <c r="AY946" s="1194">
        <f>VLOOKUP('Bilateral Assistance, MAIN DATA'!B946,'Country Summary (€)'!B:F,COLUMN('Country Summary (€)'!C957)-1,FALSE)</f>
        <v>1</v>
      </c>
      <c r="AZ946" s="1194" t="str">
        <f>IF(AND(AD946=1,D946="Military",H946&lt;&gt;"Not given")=TRUE,IF(SUMIFS(P:P,A:A,A946)&gt;0,ABS((SUMIFS(P:P,A:A,A946)/VLOOKUP("USD",'Exchange Rates'!B:C,2,0)))/S946,"."),".")</f>
        <v>.</v>
      </c>
      <c r="BA946" s="1196" t="str">
        <f>IF(AND(AD946=1,D946="Military",H946&lt;&gt;"Not given")=TRUE,IF(SUMIFS(P:P,A:A,A946)&gt;0,IF((ABS((SUMIFS(P:P,A:A,A946)/VLOOKUP("USD",'Exchange Rates'!B:C,2,0)))/S946)&gt;1,(SUMIFS(P:P,A:A,A946)-S946)/S946,(S946-SUMIFS(P:P,A:A,A946))/SUMIFS(P:P,A:A,A946)),"."),".")</f>
        <v>.</v>
      </c>
    </row>
    <row r="947" spans="1:53" ht="15.95" customHeight="1">
      <c r="A947" s="1182" t="s">
        <v>2624</v>
      </c>
      <c r="B947" s="1182" t="s">
        <v>2625</v>
      </c>
      <c r="C947" s="1181">
        <v>44648</v>
      </c>
      <c r="D947" s="1182" t="s">
        <v>389</v>
      </c>
      <c r="E947" s="1182" t="s">
        <v>390</v>
      </c>
      <c r="F947" s="1183" t="s">
        <v>2626</v>
      </c>
      <c r="G947" s="1184" t="s">
        <v>483</v>
      </c>
      <c r="H947" s="1185">
        <v>50000000</v>
      </c>
      <c r="I947" s="1289" t="s">
        <v>596</v>
      </c>
      <c r="J947" s="1186" t="str">
        <f>VLOOKUP($I947,'Price List, Weapons &amp; Items'!B:C,2,0)</f>
        <v>Military equipment</v>
      </c>
      <c r="K947" s="1186" t="str">
        <f>IF(I947=".",I947,VLOOKUP($I947,'Price List, Weapons &amp; Items'!B:D,3,0))</f>
        <v>Military equipment</v>
      </c>
      <c r="L947" s="1187">
        <f>VLOOKUP(I947,'Price List, Weapons &amp; Items'!B:E,4,0)</f>
        <v>0</v>
      </c>
      <c r="M947" s="1188">
        <v>18</v>
      </c>
      <c r="N947" s="1188">
        <v>18</v>
      </c>
      <c r="O947" s="1188">
        <f>VLOOKUP($I947,'Price List, Weapons &amp; Items'!B:G,6,0)</f>
        <v>22216</v>
      </c>
      <c r="P947" s="1185">
        <f t="shared" si="197"/>
        <v>399888</v>
      </c>
      <c r="Q947" s="1185">
        <f t="shared" si="198"/>
        <v>399888</v>
      </c>
      <c r="R947" s="1185" t="str">
        <f t="shared" si="194"/>
        <v/>
      </c>
      <c r="S947" s="1185" t="str">
        <f>IF(AND(AD947=1,R947&lt;&gt;".")=TRUE,R947/VLOOKUP(G947,'Exchange Rates'!B:C,2,0),IF(R947=".",".",""))</f>
        <v/>
      </c>
      <c r="T947" s="1185" t="str">
        <f>IF(AD947=1,IF(AF947="Value is not given at all",".",IF(AF947="Value is given by the source",S947,IF(AF947="Value is calculated with prices",(IF(SUMIFS(Q:Q,A:A,A947)&gt;0,SUMIFS(Q:Q,A:A,A947),"."))/VLOOKUP("USD",'Exchange Rates'!B:C,2,0),"Error with coding"))),"")</f>
        <v/>
      </c>
      <c r="U947" s="1184" t="s">
        <v>365</v>
      </c>
      <c r="V947" s="974" t="s">
        <v>2627</v>
      </c>
      <c r="W947" s="974" t="s">
        <v>2631</v>
      </c>
      <c r="X947" s="974" t="s">
        <v>2629</v>
      </c>
      <c r="Y947" s="1029" t="s">
        <v>2630</v>
      </c>
      <c r="Z947" s="1184">
        <v>0</v>
      </c>
      <c r="AA947" s="1191">
        <v>0</v>
      </c>
      <c r="AB947" s="975" t="s">
        <v>2631</v>
      </c>
      <c r="AC947" s="1192" t="str">
        <f>""</f>
        <v/>
      </c>
      <c r="AD947" s="1193">
        <v>0</v>
      </c>
      <c r="AE947" s="1193" t="s">
        <v>368</v>
      </c>
      <c r="AF947" s="1193" t="s">
        <v>368</v>
      </c>
      <c r="AG947" s="1193">
        <v>1</v>
      </c>
      <c r="AH947" s="1193">
        <v>3</v>
      </c>
      <c r="AI947" s="1193">
        <v>0</v>
      </c>
      <c r="AJ947" s="1193">
        <f>VLOOKUP($I947,'Price List, Weapons &amp; Items'!B:F,5,0)</f>
        <v>0</v>
      </c>
      <c r="AK947" s="1193">
        <f t="shared" si="199"/>
        <v>0</v>
      </c>
      <c r="AL947" s="1193">
        <f t="shared" si="200"/>
        <v>0</v>
      </c>
      <c r="AM947" s="1193">
        <f t="shared" si="201"/>
        <v>0</v>
      </c>
      <c r="AN947" s="1194" t="str">
        <f>VLOOKUP($I947,'Price List, Weapons &amp; Items'!B:L,COLUMN('Price List, Weapons &amp; Items'!$J$11)-1,0)</f>
        <v>Government information</v>
      </c>
      <c r="AO947" s="1194" t="str">
        <f>IF(I947=".",".",VLOOKUP($I947,'Price List, Weapons &amp; Items'!B:J,3,0))</f>
        <v>Military equipment</v>
      </c>
      <c r="AP947" s="1195" t="str">
        <f t="shared" ca="1" si="195"/>
        <v/>
      </c>
      <c r="AQ947" s="1194">
        <f>VLOOKUP($I947,'Price List, Weapons &amp; Items'!B:L,COLUMN('Price List, Weapons &amp; Items'!$L$11)-1,0)</f>
        <v>2</v>
      </c>
      <c r="AR947" s="1194">
        <f t="shared" si="202"/>
        <v>1</v>
      </c>
      <c r="AS947" s="1194">
        <f t="shared" si="203"/>
        <v>1</v>
      </c>
      <c r="AT947" s="1194">
        <f t="shared" si="204"/>
        <v>1</v>
      </c>
      <c r="AU947" s="1194" t="str">
        <f t="shared" si="205"/>
        <v>.</v>
      </c>
      <c r="AV947" s="1194" t="str">
        <f t="shared" si="196"/>
        <v>.</v>
      </c>
      <c r="AW947" s="1194" t="str">
        <f t="shared" si="206"/>
        <v>.</v>
      </c>
      <c r="AX947" s="1194">
        <f>IFERROR(VLOOKUP(B947,'Share, Heavy Weapons to Ukraine'!B:Z,COLUMN('Share, Heavy Weapons to Ukraine'!C957)-1,0),0)</f>
        <v>0</v>
      </c>
      <c r="AY947" s="1194">
        <f>VLOOKUP('Bilateral Assistance, MAIN DATA'!B947,'Country Summary (€)'!B:F,COLUMN('Country Summary (€)'!C958)-1,FALSE)</f>
        <v>1</v>
      </c>
      <c r="AZ947" s="1194" t="str">
        <f>IF(AND(AD947=1,D947="Military",H947&lt;&gt;"Not given")=TRUE,IF(SUMIFS(P:P,A:A,A947)&gt;0,ABS((SUMIFS(P:P,A:A,A947)/VLOOKUP("USD",'Exchange Rates'!B:C,2,0)))/S947,"."),".")</f>
        <v>.</v>
      </c>
      <c r="BA947" s="1196" t="str">
        <f>IF(AND(AD947=1,D947="Military",H947&lt;&gt;"Not given")=TRUE,IF(SUMIFS(P:P,A:A,A947)&gt;0,IF((ABS((SUMIFS(P:P,A:A,A947)/VLOOKUP("USD",'Exchange Rates'!B:C,2,0)))/S947)&gt;1,(SUMIFS(P:P,A:A,A947)-S947)/S947,(S947-SUMIFS(P:P,A:A,A947))/SUMIFS(P:P,A:A,A947)),"."),".")</f>
        <v>.</v>
      </c>
    </row>
    <row r="948" spans="1:53" ht="15.95" customHeight="1">
      <c r="A948" s="1182" t="s">
        <v>2624</v>
      </c>
      <c r="B948" s="1182" t="s">
        <v>2625</v>
      </c>
      <c r="C948" s="1181">
        <v>44648</v>
      </c>
      <c r="D948" s="1182" t="s">
        <v>389</v>
      </c>
      <c r="E948" s="1182" t="s">
        <v>390</v>
      </c>
      <c r="F948" s="1183" t="s">
        <v>2626</v>
      </c>
      <c r="G948" s="1184" t="s">
        <v>483</v>
      </c>
      <c r="H948" s="1185">
        <v>50000000</v>
      </c>
      <c r="I948" s="1289" t="s">
        <v>2638</v>
      </c>
      <c r="J948" s="1186" t="str">
        <f>VLOOKUP($I948,'Price List, Weapons &amp; Items'!B:C,2,0)</f>
        <v>Military equipment</v>
      </c>
      <c r="K948" s="1186" t="str">
        <f>IF(I948=".",I948,VLOOKUP($I948,'Price List, Weapons &amp; Items'!B:D,3,0))</f>
        <v>Military equipment</v>
      </c>
      <c r="L948" s="1187">
        <f>VLOOKUP(I948,'Price List, Weapons &amp; Items'!B:E,4,0)</f>
        <v>0</v>
      </c>
      <c r="M948" s="1188">
        <v>30</v>
      </c>
      <c r="N948" s="1188">
        <v>30</v>
      </c>
      <c r="O948" s="1188" t="str">
        <f>VLOOKUP($I948,'Price List, Weapons &amp; Items'!B:G,6,0)</f>
        <v xml:space="preserve"> . </v>
      </c>
      <c r="P948" s="1185" t="str">
        <f t="shared" si="197"/>
        <v>No price</v>
      </c>
      <c r="Q948" s="1185" t="str">
        <f t="shared" si="198"/>
        <v>No price</v>
      </c>
      <c r="R948" s="1185" t="str">
        <f t="shared" si="194"/>
        <v/>
      </c>
      <c r="S948" s="1185" t="str">
        <f>IF(AND(AD948=1,R948&lt;&gt;".")=TRUE,R948/VLOOKUP(G948,'Exchange Rates'!B:C,2,0),IF(R948=".",".",""))</f>
        <v/>
      </c>
      <c r="T948" s="1185" t="str">
        <f>IF(AD948=1,IF(AF948="Value is not given at all",".",IF(AF948="Value is given by the source",S948,IF(AF948="Value is calculated with prices",(IF(SUMIFS(Q:Q,A:A,A948)&gt;0,SUMIFS(Q:Q,A:A,A948),"."))/VLOOKUP("USD",'Exchange Rates'!B:C,2,0),"Error with coding"))),"")</f>
        <v/>
      </c>
      <c r="U948" s="1184" t="s">
        <v>365</v>
      </c>
      <c r="V948" s="974" t="s">
        <v>2627</v>
      </c>
      <c r="W948" s="974" t="s">
        <v>2631</v>
      </c>
      <c r="X948" s="974" t="s">
        <v>2629</v>
      </c>
      <c r="Y948" s="1029" t="s">
        <v>2630</v>
      </c>
      <c r="Z948" s="1184">
        <v>0</v>
      </c>
      <c r="AA948" s="1191">
        <v>0</v>
      </c>
      <c r="AB948" s="975" t="s">
        <v>2631</v>
      </c>
      <c r="AC948" s="1192" t="str">
        <f>""</f>
        <v/>
      </c>
      <c r="AD948" s="1193">
        <v>0</v>
      </c>
      <c r="AE948" s="1193" t="s">
        <v>368</v>
      </c>
      <c r="AF948" s="1193" t="s">
        <v>368</v>
      </c>
      <c r="AG948" s="1193">
        <v>1</v>
      </c>
      <c r="AH948" s="1193">
        <v>3</v>
      </c>
      <c r="AI948" s="1193">
        <v>0</v>
      </c>
      <c r="AJ948" s="1193">
        <f>VLOOKUP($I948,'Price List, Weapons &amp; Items'!B:F,5,0)</f>
        <v>0</v>
      </c>
      <c r="AK948" s="1193">
        <f t="shared" si="199"/>
        <v>0</v>
      </c>
      <c r="AL948" s="1193">
        <f t="shared" si="200"/>
        <v>0</v>
      </c>
      <c r="AM948" s="1193">
        <f t="shared" si="201"/>
        <v>0</v>
      </c>
      <c r="AN948" s="1194" t="str">
        <f>VLOOKUP($I948,'Price List, Weapons &amp; Items'!B:L,COLUMN('Price List, Weapons &amp; Items'!$J$11)-1,0)</f>
        <v>.</v>
      </c>
      <c r="AO948" s="1194" t="str">
        <f>IF(I948=".",".",VLOOKUP($I948,'Price List, Weapons &amp; Items'!B:J,3,0))</f>
        <v>Military equipment</v>
      </c>
      <c r="AP948" s="1195" t="str">
        <f t="shared" ca="1" si="195"/>
        <v/>
      </c>
      <c r="AQ948" s="1194">
        <f>VLOOKUP($I948,'Price List, Weapons &amp; Items'!B:L,COLUMN('Price List, Weapons &amp; Items'!$L$11)-1,0)</f>
        <v>0</v>
      </c>
      <c r="AR948" s="1194">
        <f t="shared" si="202"/>
        <v>1</v>
      </c>
      <c r="AS948" s="1194">
        <f t="shared" si="203"/>
        <v>1</v>
      </c>
      <c r="AT948" s="1194">
        <f t="shared" si="204"/>
        <v>1</v>
      </c>
      <c r="AU948" s="1194" t="str">
        <f t="shared" si="205"/>
        <v>.</v>
      </c>
      <c r="AV948" s="1194" t="str">
        <f t="shared" si="196"/>
        <v>.</v>
      </c>
      <c r="AW948" s="1194" t="str">
        <f t="shared" si="206"/>
        <v>.</v>
      </c>
      <c r="AX948" s="1194">
        <f>IFERROR(VLOOKUP(B948,'Share, Heavy Weapons to Ukraine'!B:Z,COLUMN('Share, Heavy Weapons to Ukraine'!C958)-1,0),0)</f>
        <v>0</v>
      </c>
      <c r="AY948" s="1194">
        <f>VLOOKUP('Bilateral Assistance, MAIN DATA'!B948,'Country Summary (€)'!B:F,COLUMN('Country Summary (€)'!C959)-1,FALSE)</f>
        <v>1</v>
      </c>
      <c r="AZ948" s="1194" t="str">
        <f>IF(AND(AD948=1,D948="Military",H948&lt;&gt;"Not given")=TRUE,IF(SUMIFS(P:P,A:A,A948)&gt;0,ABS((SUMIFS(P:P,A:A,A948)/VLOOKUP("USD",'Exchange Rates'!B:C,2,0)))/S948,"."),".")</f>
        <v>.</v>
      </c>
      <c r="BA948" s="1196" t="str">
        <f>IF(AND(AD948=1,D948="Military",H948&lt;&gt;"Not given")=TRUE,IF(SUMIFS(P:P,A:A,A948)&gt;0,IF((ABS((SUMIFS(P:P,A:A,A948)/VLOOKUP("USD",'Exchange Rates'!B:C,2,0)))/S948)&gt;1,(SUMIFS(P:P,A:A,A948)-S948)/S948,(S948-SUMIFS(P:P,A:A,A948))/SUMIFS(P:P,A:A,A948)),"."),".")</f>
        <v>.</v>
      </c>
    </row>
    <row r="949" spans="1:53" ht="15.95" customHeight="1">
      <c r="A949" s="1182" t="s">
        <v>2624</v>
      </c>
      <c r="B949" s="1182" t="s">
        <v>2625</v>
      </c>
      <c r="C949" s="1181">
        <v>44648</v>
      </c>
      <c r="D949" s="1182" t="s">
        <v>389</v>
      </c>
      <c r="E949" s="1182" t="s">
        <v>390</v>
      </c>
      <c r="F949" s="1183" t="s">
        <v>2626</v>
      </c>
      <c r="G949" s="1184" t="s">
        <v>483</v>
      </c>
      <c r="H949" s="1185">
        <v>50000000</v>
      </c>
      <c r="I949" s="1289" t="s">
        <v>2639</v>
      </c>
      <c r="J949" s="1186" t="str">
        <f>VLOOKUP($I949,'Price List, Weapons &amp; Items'!B:C,2,0)</f>
        <v>Military equipment</v>
      </c>
      <c r="K949" s="1186" t="str">
        <f>IF(I949=".",I949,VLOOKUP($I949,'Price List, Weapons &amp; Items'!B:D,3,0))</f>
        <v>Military equipment</v>
      </c>
      <c r="L949" s="1187">
        <f>VLOOKUP(I949,'Price List, Weapons &amp; Items'!B:E,4,0)</f>
        <v>0</v>
      </c>
      <c r="M949" s="1188">
        <v>10</v>
      </c>
      <c r="N949" s="1188">
        <v>10</v>
      </c>
      <c r="O949" s="1188" t="str">
        <f>VLOOKUP($I949,'Price List, Weapons &amp; Items'!B:G,6,0)</f>
        <v xml:space="preserve"> . </v>
      </c>
      <c r="P949" s="1185" t="str">
        <f t="shared" si="197"/>
        <v>No price</v>
      </c>
      <c r="Q949" s="1185" t="str">
        <f t="shared" si="198"/>
        <v>No price</v>
      </c>
      <c r="R949" s="1185" t="str">
        <f t="shared" si="194"/>
        <v/>
      </c>
      <c r="S949" s="1185" t="str">
        <f>IF(AND(AD949=1,R949&lt;&gt;".")=TRUE,R949/VLOOKUP(G949,'Exchange Rates'!B:C,2,0),IF(R949=".",".",""))</f>
        <v/>
      </c>
      <c r="T949" s="1185" t="str">
        <f>IF(AD949=1,IF(AF949="Value is not given at all",".",IF(AF949="Value is given by the source",S949,IF(AF949="Value is calculated with prices",(IF(SUMIFS(Q:Q,A:A,A949)&gt;0,SUMIFS(Q:Q,A:A,A949),"."))/VLOOKUP("USD",'Exchange Rates'!B:C,2,0),"Error with coding"))),"")</f>
        <v/>
      </c>
      <c r="U949" s="1184" t="s">
        <v>365</v>
      </c>
      <c r="V949" s="974" t="s">
        <v>2627</v>
      </c>
      <c r="W949" s="974" t="s">
        <v>2631</v>
      </c>
      <c r="X949" s="974" t="s">
        <v>2629</v>
      </c>
      <c r="Y949" s="1029" t="s">
        <v>2630</v>
      </c>
      <c r="Z949" s="1184">
        <v>0</v>
      </c>
      <c r="AA949" s="1191">
        <v>0</v>
      </c>
      <c r="AB949" s="975" t="s">
        <v>2631</v>
      </c>
      <c r="AC949" s="1192" t="str">
        <f>""</f>
        <v/>
      </c>
      <c r="AD949" s="1193">
        <v>0</v>
      </c>
      <c r="AE949" s="1193" t="s">
        <v>368</v>
      </c>
      <c r="AF949" s="1193" t="s">
        <v>368</v>
      </c>
      <c r="AG949" s="1193">
        <v>1</v>
      </c>
      <c r="AH949" s="1193">
        <v>3</v>
      </c>
      <c r="AI949" s="1193">
        <v>0</v>
      </c>
      <c r="AJ949" s="1193">
        <f>VLOOKUP($I949,'Price List, Weapons &amp; Items'!B:F,5,0)</f>
        <v>0</v>
      </c>
      <c r="AK949" s="1193">
        <f t="shared" si="199"/>
        <v>0</v>
      </c>
      <c r="AL949" s="1193">
        <f t="shared" si="200"/>
        <v>0</v>
      </c>
      <c r="AM949" s="1193">
        <f t="shared" si="201"/>
        <v>0</v>
      </c>
      <c r="AN949" s="1194" t="str">
        <f>VLOOKUP($I949,'Price List, Weapons &amp; Items'!B:L,COLUMN('Price List, Weapons &amp; Items'!$J$11)-1,0)</f>
        <v>.</v>
      </c>
      <c r="AO949" s="1194" t="str">
        <f>IF(I949=".",".",VLOOKUP($I949,'Price List, Weapons &amp; Items'!B:J,3,0))</f>
        <v>Military equipment</v>
      </c>
      <c r="AP949" s="1195" t="str">
        <f t="shared" ca="1" si="195"/>
        <v/>
      </c>
      <c r="AQ949" s="1194">
        <f>VLOOKUP($I949,'Price List, Weapons &amp; Items'!B:L,COLUMN('Price List, Weapons &amp; Items'!$L$11)-1,0)</f>
        <v>0</v>
      </c>
      <c r="AR949" s="1194">
        <f t="shared" si="202"/>
        <v>1</v>
      </c>
      <c r="AS949" s="1194">
        <f t="shared" si="203"/>
        <v>1</v>
      </c>
      <c r="AT949" s="1194">
        <f t="shared" si="204"/>
        <v>1</v>
      </c>
      <c r="AU949" s="1194" t="str">
        <f t="shared" si="205"/>
        <v>.</v>
      </c>
      <c r="AV949" s="1194" t="str">
        <f t="shared" si="196"/>
        <v>.</v>
      </c>
      <c r="AW949" s="1194" t="str">
        <f t="shared" si="206"/>
        <v>.</v>
      </c>
      <c r="AX949" s="1194">
        <f>IFERROR(VLOOKUP(B949,'Share, Heavy Weapons to Ukraine'!B:Z,COLUMN('Share, Heavy Weapons to Ukraine'!C959)-1,0),0)</f>
        <v>0</v>
      </c>
      <c r="AY949" s="1194">
        <f>VLOOKUP('Bilateral Assistance, MAIN DATA'!B949,'Country Summary (€)'!B:F,COLUMN('Country Summary (€)'!C960)-1,FALSE)</f>
        <v>1</v>
      </c>
      <c r="AZ949" s="1194" t="str">
        <f>IF(AND(AD949=1,D949="Military",H949&lt;&gt;"Not given")=TRUE,IF(SUMIFS(P:P,A:A,A949)&gt;0,ABS((SUMIFS(P:P,A:A,A949)/VLOOKUP("USD",'Exchange Rates'!B:C,2,0)))/S949,"."),".")</f>
        <v>.</v>
      </c>
      <c r="BA949" s="1196" t="str">
        <f>IF(AND(AD949=1,D949="Military",H949&lt;&gt;"Not given")=TRUE,IF(SUMIFS(P:P,A:A,A949)&gt;0,IF((ABS((SUMIFS(P:P,A:A,A949)/VLOOKUP("USD",'Exchange Rates'!B:C,2,0)))/S949)&gt;1,(SUMIFS(P:P,A:A,A949)-S949)/S949,(S949-SUMIFS(P:P,A:A,A949))/SUMIFS(P:P,A:A,A949)),"."),".")</f>
        <v>.</v>
      </c>
    </row>
    <row r="950" spans="1:53" ht="15.95" customHeight="1">
      <c r="A950" s="1182" t="s">
        <v>2624</v>
      </c>
      <c r="B950" s="1182" t="s">
        <v>2625</v>
      </c>
      <c r="C950" s="1181">
        <v>44648</v>
      </c>
      <c r="D950" s="1182" t="s">
        <v>389</v>
      </c>
      <c r="E950" s="1182" t="s">
        <v>390</v>
      </c>
      <c r="F950" s="1183" t="s">
        <v>2626</v>
      </c>
      <c r="G950" s="1184" t="s">
        <v>483</v>
      </c>
      <c r="H950" s="1185">
        <v>50000000</v>
      </c>
      <c r="I950" s="1289" t="s">
        <v>630</v>
      </c>
      <c r="J950" s="1186" t="str">
        <f>VLOOKUP($I950,'Price List, Weapons &amp; Items'!B:C,2,0)</f>
        <v>Light armaments &amp; infantry</v>
      </c>
      <c r="K950" s="1186" t="str">
        <f>IF(I950=".",I950,VLOOKUP($I950,'Price List, Weapons &amp; Items'!B:D,3,0))</f>
        <v>Small Arms and Light Weapons (SALW)</v>
      </c>
      <c r="L950" s="1187">
        <f>VLOOKUP(I950,'Price List, Weapons &amp; Items'!B:E,4,0)</f>
        <v>0</v>
      </c>
      <c r="M950" s="1188">
        <v>20</v>
      </c>
      <c r="N950" s="1188">
        <v>20</v>
      </c>
      <c r="O950" s="1188">
        <f>VLOOKUP($I950,'Price List, Weapons &amp; Items'!B:G,6,0)</f>
        <v>5300</v>
      </c>
      <c r="P950" s="1185">
        <f t="shared" si="197"/>
        <v>106000</v>
      </c>
      <c r="Q950" s="1185">
        <f t="shared" si="198"/>
        <v>106000</v>
      </c>
      <c r="R950" s="1185" t="str">
        <f t="shared" si="194"/>
        <v/>
      </c>
      <c r="S950" s="1185" t="str">
        <f>IF(AND(AD950=1,R950&lt;&gt;".")=TRUE,R950/VLOOKUP(G950,'Exchange Rates'!B:C,2,0),IF(R950=".",".",""))</f>
        <v/>
      </c>
      <c r="T950" s="1185" t="str">
        <f>IF(AD950=1,IF(AF950="Value is not given at all",".",IF(AF950="Value is given by the source",S950,IF(AF950="Value is calculated with prices",(IF(SUMIFS(Q:Q,A:A,A950)&gt;0,SUMIFS(Q:Q,A:A,A950),"."))/VLOOKUP("USD",'Exchange Rates'!B:C,2,0),"Error with coding"))),"")</f>
        <v/>
      </c>
      <c r="U950" s="1184" t="s">
        <v>365</v>
      </c>
      <c r="V950" s="974" t="s">
        <v>2627</v>
      </c>
      <c r="W950" s="974" t="s">
        <v>2631</v>
      </c>
      <c r="X950" s="974" t="s">
        <v>2629</v>
      </c>
      <c r="Y950" s="1029" t="s">
        <v>2630</v>
      </c>
      <c r="Z950" s="1184">
        <v>0</v>
      </c>
      <c r="AA950" s="1191">
        <v>0</v>
      </c>
      <c r="AB950" s="975" t="s">
        <v>2631</v>
      </c>
      <c r="AC950" s="1192" t="str">
        <f>""</f>
        <v/>
      </c>
      <c r="AD950" s="1193">
        <v>0</v>
      </c>
      <c r="AE950" s="1193" t="s">
        <v>368</v>
      </c>
      <c r="AF950" s="1193" t="s">
        <v>368</v>
      </c>
      <c r="AG950" s="1193">
        <v>1</v>
      </c>
      <c r="AH950" s="1193">
        <v>3</v>
      </c>
      <c r="AI950" s="1193">
        <v>0</v>
      </c>
      <c r="AJ950" s="1193">
        <f>VLOOKUP($I950,'Price List, Weapons &amp; Items'!B:F,5,0)</f>
        <v>0</v>
      </c>
      <c r="AK950" s="1193">
        <f t="shared" si="199"/>
        <v>0</v>
      </c>
      <c r="AL950" s="1193">
        <f t="shared" si="200"/>
        <v>0</v>
      </c>
      <c r="AM950" s="1193">
        <f t="shared" si="201"/>
        <v>0</v>
      </c>
      <c r="AN950" s="1194" t="str">
        <f>VLOOKUP($I950,'Price List, Weapons &amp; Items'!B:L,COLUMN('Price List, Weapons &amp; Items'!$J$11)-1,0)</f>
        <v>Miscellaneous</v>
      </c>
      <c r="AO950" s="1194" t="str">
        <f>IF(I950=".",".",VLOOKUP($I950,'Price List, Weapons &amp; Items'!B:J,3,0))</f>
        <v>Small Arms and Light Weapons (SALW)</v>
      </c>
      <c r="AP950" s="1195" t="str">
        <f t="shared" ca="1" si="195"/>
        <v/>
      </c>
      <c r="AQ950" s="1194">
        <f>VLOOKUP($I950,'Price List, Weapons &amp; Items'!B:L,COLUMN('Price List, Weapons &amp; Items'!$L$11)-1,0)</f>
        <v>1</v>
      </c>
      <c r="AR950" s="1194">
        <f t="shared" si="202"/>
        <v>1</v>
      </c>
      <c r="AS950" s="1194">
        <f t="shared" si="203"/>
        <v>1</v>
      </c>
      <c r="AT950" s="1194">
        <f t="shared" si="204"/>
        <v>1</v>
      </c>
      <c r="AU950" s="1194" t="str">
        <f t="shared" si="205"/>
        <v>.</v>
      </c>
      <c r="AV950" s="1194" t="str">
        <f t="shared" si="196"/>
        <v>.</v>
      </c>
      <c r="AW950" s="1194" t="str">
        <f t="shared" si="206"/>
        <v>.</v>
      </c>
      <c r="AX950" s="1194">
        <f>IFERROR(VLOOKUP(B950,'Share, Heavy Weapons to Ukraine'!B:Z,COLUMN('Share, Heavy Weapons to Ukraine'!C960)-1,0),0)</f>
        <v>0</v>
      </c>
      <c r="AY950" s="1194">
        <f>VLOOKUP('Bilateral Assistance, MAIN DATA'!B950,'Country Summary (€)'!B:F,COLUMN('Country Summary (€)'!C961)-1,FALSE)</f>
        <v>1</v>
      </c>
      <c r="AZ950" s="1194" t="str">
        <f>IF(AND(AD950=1,D950="Military",H950&lt;&gt;"Not given")=TRUE,IF(SUMIFS(P:P,A:A,A950)&gt;0,ABS((SUMIFS(P:P,A:A,A950)/VLOOKUP("USD",'Exchange Rates'!B:C,2,0)))/S950,"."),".")</f>
        <v>.</v>
      </c>
      <c r="BA950" s="1196" t="str">
        <f>IF(AND(AD950=1,D950="Military",H950&lt;&gt;"Not given")=TRUE,IF(SUMIFS(P:P,A:A,A950)&gt;0,IF((ABS((SUMIFS(P:P,A:A,A950)/VLOOKUP("USD",'Exchange Rates'!B:C,2,0)))/S950)&gt;1,(SUMIFS(P:P,A:A,A950)-S950)/S950,(S950-SUMIFS(P:P,A:A,A950))/SUMIFS(P:P,A:A,A950)),"."),".")</f>
        <v>.</v>
      </c>
    </row>
    <row r="951" spans="1:53" ht="15.95" customHeight="1">
      <c r="A951" s="1182" t="s">
        <v>2640</v>
      </c>
      <c r="B951" s="1182" t="s">
        <v>2625</v>
      </c>
      <c r="C951" s="1181">
        <v>44648</v>
      </c>
      <c r="D951" s="1182" t="s">
        <v>389</v>
      </c>
      <c r="E951" s="1182" t="s">
        <v>390</v>
      </c>
      <c r="F951" s="1183" t="s">
        <v>2641</v>
      </c>
      <c r="G951" s="1184" t="s">
        <v>456</v>
      </c>
      <c r="H951" s="1185" t="s">
        <v>457</v>
      </c>
      <c r="I951" s="1289" t="s">
        <v>2642</v>
      </c>
      <c r="J951" s="1186" t="str">
        <f>VLOOKUP($I951,'Price List, Weapons &amp; Items'!B:C,2,0)</f>
        <v>Ammunition for heavy weapon</v>
      </c>
      <c r="K951" s="1186" t="str">
        <f>IF(I951=".",I951,VLOOKUP($I951,'Price List, Weapons &amp; Items'!B:D,3,0))</f>
        <v>122mm MLRS ammunition</v>
      </c>
      <c r="L951" s="1187">
        <f>VLOOKUP(I951,'Price List, Weapons &amp; Items'!B:E,4,0)</f>
        <v>0</v>
      </c>
      <c r="M951" s="1188">
        <v>600</v>
      </c>
      <c r="N951" s="1188">
        <v>600</v>
      </c>
      <c r="O951" s="1188">
        <f>VLOOKUP($I951,'Price List, Weapons &amp; Items'!B:G,6,0)</f>
        <v>1000</v>
      </c>
      <c r="P951" s="1185">
        <f t="shared" si="197"/>
        <v>600000</v>
      </c>
      <c r="Q951" s="1185">
        <f t="shared" si="198"/>
        <v>600000</v>
      </c>
      <c r="R951" s="1185">
        <f t="shared" si="194"/>
        <v>600000</v>
      </c>
      <c r="S951" s="1185">
        <f>IF(AND(AD951=1,R951&lt;&gt;".")=TRUE,R951/VLOOKUP(G951,'Exchange Rates'!B:C,2,0),IF(R951=".",".",""))</f>
        <v>552079.49944792048</v>
      </c>
      <c r="T951" s="1185">
        <f>IF(AD951=1,IF(AF951="Value is not given at all",".",IF(AF951="Value is given by the source",S951,IF(AF951="Value is calculated with prices",(IF(SUMIFS(Q:Q,A:A,A951)&gt;0,SUMIFS(Q:Q,A:A,A951),"."))/VLOOKUP("USD",'Exchange Rates'!B:C,2,0),"Error with coding"))),"")</f>
        <v>552079.49944792048</v>
      </c>
      <c r="U951" s="1184" t="s">
        <v>365</v>
      </c>
      <c r="V951" s="974" t="s">
        <v>2630</v>
      </c>
      <c r="W951" s="974" t="s">
        <v>2643</v>
      </c>
      <c r="X951" s="1219" t="s">
        <v>364</v>
      </c>
      <c r="Y951" s="1183" t="s">
        <v>364</v>
      </c>
      <c r="Z951" s="1184">
        <v>0</v>
      </c>
      <c r="AA951" s="1191">
        <v>0</v>
      </c>
      <c r="AB951" s="974" t="s">
        <v>2644</v>
      </c>
      <c r="AC951" s="1192" t="str">
        <f>""</f>
        <v/>
      </c>
      <c r="AD951" s="1193">
        <v>1</v>
      </c>
      <c r="AE951" s="1193" t="s">
        <v>436</v>
      </c>
      <c r="AF951" s="1193" t="s">
        <v>436</v>
      </c>
      <c r="AG951" s="1193">
        <v>1</v>
      </c>
      <c r="AH951" s="1193">
        <v>3</v>
      </c>
      <c r="AI951" s="1193">
        <v>0</v>
      </c>
      <c r="AJ951" s="1193">
        <f>VLOOKUP($I951,'Price List, Weapons &amp; Items'!B:F,5,0)</f>
        <v>1</v>
      </c>
      <c r="AK951" s="1193">
        <f t="shared" si="199"/>
        <v>0</v>
      </c>
      <c r="AL951" s="1193">
        <f t="shared" si="200"/>
        <v>0</v>
      </c>
      <c r="AM951" s="1193">
        <f t="shared" si="201"/>
        <v>0</v>
      </c>
      <c r="AN951" s="1194" t="str">
        <f>VLOOKUP($I951,'Price List, Weapons &amp; Items'!B:L,COLUMN('Price List, Weapons &amp; Items'!$J$11)-1,0)</f>
        <v>Media reports (incl. social media)</v>
      </c>
      <c r="AO951" s="1194" t="str">
        <f>IF(I951=".",".",VLOOKUP($I951,'Price List, Weapons &amp; Items'!B:J,3,0))</f>
        <v>122mm MLRS ammunition</v>
      </c>
      <c r="AP951" s="1195" t="str">
        <f t="shared" ca="1" si="195"/>
        <v>GRAD multiple rocket launcher rocket</v>
      </c>
      <c r="AQ951" s="1194">
        <f>VLOOKUP($I951,'Price List, Weapons &amp; Items'!B:L,COLUMN('Price List, Weapons &amp; Items'!$L$11)-1,0)</f>
        <v>2</v>
      </c>
      <c r="AR951" s="1194">
        <f t="shared" si="202"/>
        <v>1</v>
      </c>
      <c r="AS951" s="1194">
        <f t="shared" si="203"/>
        <v>1</v>
      </c>
      <c r="AT951" s="1194">
        <f t="shared" si="204"/>
        <v>1</v>
      </c>
      <c r="AU951" s="1194" t="str">
        <f t="shared" si="205"/>
        <v>.</v>
      </c>
      <c r="AV951" s="1194" t="str">
        <f t="shared" si="196"/>
        <v>.</v>
      </c>
      <c r="AW951" s="1194" t="str">
        <f t="shared" si="206"/>
        <v>.</v>
      </c>
      <c r="AX951" s="1194">
        <f>IFERROR(VLOOKUP(B951,'Share, Heavy Weapons to Ukraine'!B:Z,COLUMN('Share, Heavy Weapons to Ukraine'!C961)-1,0),0)</f>
        <v>0</v>
      </c>
      <c r="AY951" s="1194">
        <f>VLOOKUP('Bilateral Assistance, MAIN DATA'!B951,'Country Summary (€)'!B:F,COLUMN('Country Summary (€)'!C962)-1,FALSE)</f>
        <v>1</v>
      </c>
      <c r="AZ951" s="1194" t="str">
        <f>IF(AND(AD951=1,D951="Military",H951&lt;&gt;"Not given")=TRUE,IF(SUMIFS(P:P,A:A,A951)&gt;0,ABS((SUMIFS(P:P,A:A,A951)/VLOOKUP("USD",'Exchange Rates'!B:C,2,0)))/S951,"."),".")</f>
        <v>.</v>
      </c>
      <c r="BA951" s="1196" t="str">
        <f>IF(AND(AD951=1,D951="Military",H951&lt;&gt;"Not given")=TRUE,IF(SUMIFS(P:P,A:A,A951)&gt;0,IF((ABS((SUMIFS(P:P,A:A,A951)/VLOOKUP("USD",'Exchange Rates'!B:C,2,0)))/S951)&gt;1,(SUMIFS(P:P,A:A,A951)-S951)/S951,(S951-SUMIFS(P:P,A:A,A951))/SUMIFS(P:P,A:A,A951)),"."),".")</f>
        <v>.</v>
      </c>
    </row>
    <row r="952" spans="1:53" ht="15.95" customHeight="1">
      <c r="A952" s="1182" t="s">
        <v>2645</v>
      </c>
      <c r="B952" s="1182" t="s">
        <v>2625</v>
      </c>
      <c r="C952" s="1181" t="s">
        <v>2646</v>
      </c>
      <c r="D952" s="1182" t="s">
        <v>389</v>
      </c>
      <c r="E952" s="1182" t="s">
        <v>390</v>
      </c>
      <c r="F952" s="1183" t="s">
        <v>2647</v>
      </c>
      <c r="G952" s="1184" t="s">
        <v>483</v>
      </c>
      <c r="H952" s="1185">
        <v>21447920.500552073</v>
      </c>
      <c r="I952" s="1289" t="s">
        <v>364</v>
      </c>
      <c r="J952" s="1186" t="str">
        <f>VLOOKUP($I952,'Price List, Weapons &amp; Items'!B:C,2,0)</f>
        <v>.</v>
      </c>
      <c r="K952" s="1186" t="str">
        <f>IF(I952=".",I952,VLOOKUP($I952,'Price List, Weapons &amp; Items'!B:D,3,0))</f>
        <v>.</v>
      </c>
      <c r="L952" s="1187">
        <f>VLOOKUP(I952,'Price List, Weapons &amp; Items'!B:E,4,0)</f>
        <v>0</v>
      </c>
      <c r="M952" s="1188" t="s">
        <v>364</v>
      </c>
      <c r="N952" s="1188" t="s">
        <v>364</v>
      </c>
      <c r="O952" s="1188" t="str">
        <f>VLOOKUP($I952,'Price List, Weapons &amp; Items'!B:G,6,0)</f>
        <v>.</v>
      </c>
      <c r="P952" s="1185" t="str">
        <f t="shared" si="197"/>
        <v>.</v>
      </c>
      <c r="Q952" s="1185" t="str">
        <f t="shared" si="198"/>
        <v>.</v>
      </c>
      <c r="R952" s="1185">
        <f t="shared" si="194"/>
        <v>21447920.500552073</v>
      </c>
      <c r="S952" s="1185">
        <f>IF(AND(AD952=1,R952&lt;&gt;".")=TRUE,R952/VLOOKUP(G952,'Exchange Rates'!B:C,2,0),IF(R952=".",".",""))</f>
        <v>21447920.500552073</v>
      </c>
      <c r="T952" s="1185">
        <f>IF(AD952=1,IF(AF952="Value is not given at all",".",IF(AF952="Value is given by the source",S952,IF(AF952="Value is calculated with prices",(IF(SUMIFS(Q:Q,A:A,A952)&gt;0,SUMIFS(Q:Q,A:A,A952),"."))/VLOOKUP("USD",'Exchange Rates'!B:C,2,0),"Error with coding"))),"")</f>
        <v>21447920.500552073</v>
      </c>
      <c r="U952" s="1184" t="s">
        <v>365</v>
      </c>
      <c r="V952" s="974" t="s">
        <v>2648</v>
      </c>
      <c r="W952" s="974" t="s">
        <v>2644</v>
      </c>
      <c r="X952" s="986" t="s">
        <v>364</v>
      </c>
      <c r="Y952" s="981" t="s">
        <v>364</v>
      </c>
      <c r="Z952" s="1184">
        <v>0</v>
      </c>
      <c r="AA952" s="1194">
        <v>0</v>
      </c>
      <c r="AB952" s="974" t="s">
        <v>2644</v>
      </c>
      <c r="AC952" s="1192" t="str">
        <f>""</f>
        <v/>
      </c>
      <c r="AD952" s="1193">
        <v>1</v>
      </c>
      <c r="AE952" s="1193" t="s">
        <v>368</v>
      </c>
      <c r="AF952" s="1193" t="s">
        <v>368</v>
      </c>
      <c r="AG952" s="1193">
        <v>1</v>
      </c>
      <c r="AH952" s="1193">
        <v>10</v>
      </c>
      <c r="AI952" s="1193">
        <v>0</v>
      </c>
      <c r="AJ952" s="1193">
        <f>VLOOKUP($I952,'Price List, Weapons &amp; Items'!B:F,5,0)</f>
        <v>0</v>
      </c>
      <c r="AK952" s="1193">
        <f t="shared" si="199"/>
        <v>0</v>
      </c>
      <c r="AL952" s="1193">
        <f t="shared" si="200"/>
        <v>0</v>
      </c>
      <c r="AM952" s="1193">
        <f t="shared" si="201"/>
        <v>0</v>
      </c>
      <c r="AN952" s="1194" t="str">
        <f>VLOOKUP($I952,'Price List, Weapons &amp; Items'!B:L,COLUMN('Price List, Weapons &amp; Items'!$J$11)-1,0)</f>
        <v>.</v>
      </c>
      <c r="AO952" s="1194" t="str">
        <f>IF(I952=".",".",VLOOKUP($I952,'Price List, Weapons &amp; Items'!B:J,3,0))</f>
        <v>.</v>
      </c>
      <c r="AP952" s="1195" t="str">
        <f t="shared" ca="1" si="195"/>
        <v>.</v>
      </c>
      <c r="AQ952" s="1194">
        <f>VLOOKUP($I952,'Price List, Weapons &amp; Items'!B:L,COLUMN('Price List, Weapons &amp; Items'!$L$11)-1,0)</f>
        <v>0</v>
      </c>
      <c r="AR952" s="1194">
        <f t="shared" si="202"/>
        <v>1</v>
      </c>
      <c r="AS952" s="1194">
        <f t="shared" si="203"/>
        <v>1</v>
      </c>
      <c r="AT952" s="1194" t="str">
        <f t="shared" si="204"/>
        <v>Value is not in date format</v>
      </c>
      <c r="AU952" s="1194" t="str">
        <f t="shared" si="205"/>
        <v>.</v>
      </c>
      <c r="AV952" s="1194" t="str">
        <f t="shared" si="196"/>
        <v>.</v>
      </c>
      <c r="AW952" s="1194" t="str">
        <f t="shared" si="206"/>
        <v>.</v>
      </c>
      <c r="AX952" s="1194">
        <f>IFERROR(VLOOKUP(B952,'Share, Heavy Weapons to Ukraine'!B:Z,COLUMN('Share, Heavy Weapons to Ukraine'!C962)-1,0),0)</f>
        <v>0</v>
      </c>
      <c r="AY952" s="1194">
        <f>VLOOKUP('Bilateral Assistance, MAIN DATA'!B952,'Country Summary (€)'!B:F,COLUMN('Country Summary (€)'!C963)-1,FALSE)</f>
        <v>1</v>
      </c>
      <c r="AZ952" s="1194" t="str">
        <f>IF(AND(AD952=1,D952="Military",H952&lt;&gt;"Not given")=TRUE,IF(SUMIFS(P:P,A:A,A952)&gt;0,ABS((SUMIFS(P:P,A:A,A952)/VLOOKUP("USD",'Exchange Rates'!B:C,2,0)))/S952,"."),".")</f>
        <v>.</v>
      </c>
      <c r="BA952" s="1196" t="str">
        <f>IF(AND(AD952=1,D952="Military",H952&lt;&gt;"Not given")=TRUE,IF(SUMIFS(P:P,A:A,A952)&gt;0,IF((ABS((SUMIFS(P:P,A:A,A952)/VLOOKUP("USD",'Exchange Rates'!B:C,2,0)))/S952)&gt;1,(SUMIFS(P:P,A:A,A952)-S952)/S952,(S952-SUMIFS(P:P,A:A,A952))/SUMIFS(P:P,A:A,A952)),"."),".")</f>
        <v>.</v>
      </c>
    </row>
    <row r="953" spans="1:53" ht="15.95" customHeight="1">
      <c r="A953" s="1182" t="s">
        <v>2649</v>
      </c>
      <c r="B953" s="1182" t="s">
        <v>2625</v>
      </c>
      <c r="C953" s="1181" t="s">
        <v>2650</v>
      </c>
      <c r="D953" s="1182" t="s">
        <v>389</v>
      </c>
      <c r="E953" s="1182" t="s">
        <v>390</v>
      </c>
      <c r="F953" s="1183" t="s">
        <v>2651</v>
      </c>
      <c r="G953" s="1184" t="s">
        <v>483</v>
      </c>
      <c r="H953" s="1185">
        <v>3000000</v>
      </c>
      <c r="I953" s="1289" t="s">
        <v>364</v>
      </c>
      <c r="J953" s="1186" t="str">
        <f>VLOOKUP($I953,'Price List, Weapons &amp; Items'!B:C,2,0)</f>
        <v>.</v>
      </c>
      <c r="K953" s="1186" t="str">
        <f>IF(I953=".",I953,VLOOKUP($I953,'Price List, Weapons &amp; Items'!B:D,3,0))</f>
        <v>.</v>
      </c>
      <c r="L953" s="1187">
        <f>VLOOKUP(I953,'Price List, Weapons &amp; Items'!B:E,4,0)</f>
        <v>0</v>
      </c>
      <c r="M953" s="1188" t="s">
        <v>364</v>
      </c>
      <c r="N953" s="1188" t="s">
        <v>364</v>
      </c>
      <c r="O953" s="1188" t="str">
        <f>VLOOKUP($I953,'Price List, Weapons &amp; Items'!B:G,6,0)</f>
        <v>.</v>
      </c>
      <c r="P953" s="1185" t="str">
        <f t="shared" si="197"/>
        <v>.</v>
      </c>
      <c r="Q953" s="1185" t="str">
        <f t="shared" si="198"/>
        <v>.</v>
      </c>
      <c r="R953" s="1185">
        <f t="shared" si="194"/>
        <v>3000000</v>
      </c>
      <c r="S953" s="1185">
        <f>IF(AND(AD953=1,R953&lt;&gt;".")=TRUE,R953/VLOOKUP(G953,'Exchange Rates'!B:C,2,0),IF(R953=".",".",""))</f>
        <v>3000000</v>
      </c>
      <c r="T953" s="1185">
        <f>IF(AD953=1,IF(AF953="Value is not given at all",".",IF(AF953="Value is given by the source",S953,IF(AF953="Value is calculated with prices",(IF(SUMIFS(Q:Q,A:A,A953)&gt;0,SUMIFS(Q:Q,A:A,A953),"."))/VLOOKUP("USD",'Exchange Rates'!B:C,2,0),"Error with coding"))),"")</f>
        <v>3000000</v>
      </c>
      <c r="U953" s="1184" t="s">
        <v>365</v>
      </c>
      <c r="V953" s="974" t="s">
        <v>2630</v>
      </c>
      <c r="W953" s="987" t="s">
        <v>2652</v>
      </c>
      <c r="X953" s="986" t="s">
        <v>364</v>
      </c>
      <c r="Y953" s="981" t="s">
        <v>364</v>
      </c>
      <c r="Z953" s="1184">
        <v>0</v>
      </c>
      <c r="AA953" s="1194">
        <v>0</v>
      </c>
      <c r="AB953" s="974" t="s">
        <v>2630</v>
      </c>
      <c r="AC953" s="1192" t="str">
        <f>""</f>
        <v/>
      </c>
      <c r="AD953" s="1193">
        <v>1</v>
      </c>
      <c r="AE953" s="1193" t="s">
        <v>368</v>
      </c>
      <c r="AF953" s="1193" t="s">
        <v>368</v>
      </c>
      <c r="AG953" s="1193">
        <v>1</v>
      </c>
      <c r="AH953" s="1193">
        <v>11</v>
      </c>
      <c r="AI953" s="1193">
        <v>0</v>
      </c>
      <c r="AJ953" s="1193">
        <f>VLOOKUP($I953,'Price List, Weapons &amp; Items'!B:F,5,0)</f>
        <v>0</v>
      </c>
      <c r="AK953" s="1193">
        <f t="shared" si="199"/>
        <v>0</v>
      </c>
      <c r="AL953" s="1193">
        <f t="shared" si="200"/>
        <v>0</v>
      </c>
      <c r="AM953" s="1193">
        <f t="shared" si="201"/>
        <v>0</v>
      </c>
      <c r="AN953" s="1194" t="str">
        <f>VLOOKUP($I953,'Price List, Weapons &amp; Items'!B:L,COLUMN('Price List, Weapons &amp; Items'!$J$11)-1,0)</f>
        <v>.</v>
      </c>
      <c r="AO953" s="1194" t="str">
        <f>IF(I953=".",".",VLOOKUP($I953,'Price List, Weapons &amp; Items'!B:J,3,0))</f>
        <v>.</v>
      </c>
      <c r="AP953" s="1195" t="str">
        <f t="shared" ca="1" si="195"/>
        <v>.</v>
      </c>
      <c r="AQ953" s="1194">
        <f>VLOOKUP($I953,'Price List, Weapons &amp; Items'!B:L,COLUMN('Price List, Weapons &amp; Items'!$L$11)-1,0)</f>
        <v>0</v>
      </c>
      <c r="AR953" s="1194">
        <f t="shared" si="202"/>
        <v>1</v>
      </c>
      <c r="AS953" s="1194">
        <f t="shared" si="203"/>
        <v>1</v>
      </c>
      <c r="AT953" s="1194" t="str">
        <f t="shared" si="204"/>
        <v>Value is not in date format</v>
      </c>
      <c r="AU953" s="1194" t="str">
        <f t="shared" si="205"/>
        <v>.</v>
      </c>
      <c r="AV953" s="1194" t="str">
        <f t="shared" si="196"/>
        <v>.</v>
      </c>
      <c r="AW953" s="1194" t="str">
        <f t="shared" si="206"/>
        <v>.</v>
      </c>
      <c r="AX953" s="1194">
        <f>IFERROR(VLOOKUP(B953,'Share, Heavy Weapons to Ukraine'!B:Z,COLUMN('Share, Heavy Weapons to Ukraine'!C963)-1,0),0)</f>
        <v>0</v>
      </c>
      <c r="AY953" s="1194">
        <f>VLOOKUP('Bilateral Assistance, MAIN DATA'!B953,'Country Summary (€)'!B:F,COLUMN('Country Summary (€)'!C964)-1,FALSE)</f>
        <v>1</v>
      </c>
      <c r="AZ953" s="1194" t="str">
        <f>IF(AND(AD953=1,D953="Military",H953&lt;&gt;"Not given")=TRUE,IF(SUMIFS(P:P,A:A,A953)&gt;0,ABS((SUMIFS(P:P,A:A,A953)/VLOOKUP("USD",'Exchange Rates'!B:C,2,0)))/S953,"."),".")</f>
        <v>.</v>
      </c>
      <c r="BA953" s="1196" t="str">
        <f>IF(AND(AD953=1,D953="Military",H953&lt;&gt;"Not given")=TRUE,IF(SUMIFS(P:P,A:A,A953)&gt;0,IF((ABS((SUMIFS(P:P,A:A,A953)/VLOOKUP("USD",'Exchange Rates'!B:C,2,0)))/S953)&gt;1,(SUMIFS(P:P,A:A,A953)-S953)/S953,(S953-SUMIFS(P:P,A:A,A953))/SUMIFS(P:P,A:A,A953)),"."),".")</f>
        <v>.</v>
      </c>
    </row>
    <row r="954" spans="1:53" ht="15.95" customHeight="1">
      <c r="A954" s="1182" t="s">
        <v>2653</v>
      </c>
      <c r="B954" s="1182" t="s">
        <v>2625</v>
      </c>
      <c r="C954" s="1181">
        <v>44972</v>
      </c>
      <c r="D954" s="1182" t="s">
        <v>389</v>
      </c>
      <c r="E954" s="1182" t="s">
        <v>390</v>
      </c>
      <c r="F954" s="1183" t="s">
        <v>2654</v>
      </c>
      <c r="G954" s="1184" t="s">
        <v>483</v>
      </c>
      <c r="H954" s="1185">
        <v>3400000</v>
      </c>
      <c r="I954" s="1289" t="s">
        <v>364</v>
      </c>
      <c r="J954" s="1186" t="str">
        <f>VLOOKUP($I954,'Price List, Weapons &amp; Items'!B:C,2,0)</f>
        <v>.</v>
      </c>
      <c r="K954" s="1186" t="str">
        <f>IF(I954=".",I954,VLOOKUP($I954,'Price List, Weapons &amp; Items'!B:D,3,0))</f>
        <v>.</v>
      </c>
      <c r="L954" s="1187">
        <f>VLOOKUP(I954,'Price List, Weapons &amp; Items'!B:E,4,0)</f>
        <v>0</v>
      </c>
      <c r="M954" s="1188" t="s">
        <v>364</v>
      </c>
      <c r="N954" s="1188" t="s">
        <v>364</v>
      </c>
      <c r="O954" s="1188" t="str">
        <f>VLOOKUP($I954,'Price List, Weapons &amp; Items'!B:G,6,0)</f>
        <v>.</v>
      </c>
      <c r="P954" s="1185" t="str">
        <f t="shared" si="197"/>
        <v>.</v>
      </c>
      <c r="Q954" s="1185" t="str">
        <f t="shared" si="198"/>
        <v>.</v>
      </c>
      <c r="R954" s="1185">
        <f t="shared" si="194"/>
        <v>3400000</v>
      </c>
      <c r="S954" s="1185">
        <f>IF(AND(AD954=1,R954&lt;&gt;".")=TRUE,R954/VLOOKUP(G954,'Exchange Rates'!B:C,2,0),IF(R954=".",".",""))</f>
        <v>3400000</v>
      </c>
      <c r="T954" s="1185" t="str">
        <f>IF(AD954=1,IF(AF954="Value is not given at all",".",IF(AF954="Value is given by the source",S954,IF(AF954="Value is calculated with prices",(IF(SUMIFS(Q:Q,A:A,A954)&gt;0,SUMIFS(Q:Q,A:A,A954),"."))/VLOOKUP("USD",'Exchange Rates'!B:C,2,0),"Error with coding"))),"")</f>
        <v>.</v>
      </c>
      <c r="U954" s="1184" t="s">
        <v>365</v>
      </c>
      <c r="V954" s="987" t="s">
        <v>2655</v>
      </c>
      <c r="W954" s="987" t="s">
        <v>364</v>
      </c>
      <c r="X954" s="987" t="s">
        <v>364</v>
      </c>
      <c r="Y954" s="981" t="s">
        <v>364</v>
      </c>
      <c r="Z954" s="1184">
        <v>0</v>
      </c>
      <c r="AA954" s="1191">
        <v>1</v>
      </c>
      <c r="AB954" s="974" t="s">
        <v>364</v>
      </c>
      <c r="AC954" s="1192" t="str">
        <f>""</f>
        <v/>
      </c>
      <c r="AD954" s="1193">
        <v>1</v>
      </c>
      <c r="AE954" s="1193" t="s">
        <v>368</v>
      </c>
      <c r="AF954" s="1193" t="s">
        <v>369</v>
      </c>
      <c r="AG954" s="1193">
        <v>1</v>
      </c>
      <c r="AH954" s="1193">
        <v>14</v>
      </c>
      <c r="AI954" s="1193">
        <v>0</v>
      </c>
      <c r="AJ954" s="1193">
        <f>VLOOKUP($I954,'Price List, Weapons &amp; Items'!B:F,5,0)</f>
        <v>0</v>
      </c>
      <c r="AK954" s="1193">
        <f t="shared" si="199"/>
        <v>0</v>
      </c>
      <c r="AL954" s="1193">
        <f t="shared" si="200"/>
        <v>0</v>
      </c>
      <c r="AM954" s="1193">
        <f t="shared" si="201"/>
        <v>0</v>
      </c>
      <c r="AN954" s="1194" t="str">
        <f>VLOOKUP($I954,'Price List, Weapons &amp; Items'!B:L,COLUMN('Price List, Weapons &amp; Items'!$J$11)-1,0)</f>
        <v>.</v>
      </c>
      <c r="AO954" s="1194" t="str">
        <f>IF(I954=".",".",VLOOKUP($I954,'Price List, Weapons &amp; Items'!B:J,3,0))</f>
        <v>.</v>
      </c>
      <c r="AP954" s="1195" t="str">
        <f t="shared" ca="1" si="195"/>
        <v>.</v>
      </c>
      <c r="AQ954" s="1194">
        <f>VLOOKUP($I954,'Price List, Weapons &amp; Items'!B:L,COLUMN('Price List, Weapons &amp; Items'!$L$11)-1,0)</f>
        <v>0</v>
      </c>
      <c r="AR954" s="1194">
        <f t="shared" si="202"/>
        <v>1</v>
      </c>
      <c r="AS954" s="1194">
        <f t="shared" si="203"/>
        <v>1</v>
      </c>
      <c r="AT954" s="1194">
        <f t="shared" si="204"/>
        <v>1</v>
      </c>
      <c r="AU954" s="1194" t="str">
        <f t="shared" si="205"/>
        <v>.</v>
      </c>
      <c r="AV954" s="1194" t="str">
        <f t="shared" si="196"/>
        <v>.</v>
      </c>
      <c r="AW954" s="1194" t="str">
        <f t="shared" si="206"/>
        <v>.</v>
      </c>
      <c r="AX954" s="1194">
        <f>IFERROR(VLOOKUP(B954,'Share, Heavy Weapons to Ukraine'!B:Z,COLUMN('Share, Heavy Weapons to Ukraine'!C964)-1,0),0)</f>
        <v>0</v>
      </c>
      <c r="AY954" s="1194">
        <f>VLOOKUP('Bilateral Assistance, MAIN DATA'!B954,'Country Summary (€)'!B:F,COLUMN('Country Summary (€)'!C965)-1,FALSE)</f>
        <v>1</v>
      </c>
      <c r="AZ954" s="1194" t="str">
        <f>IF(AND(AD954=1,D954="Military",H954&lt;&gt;"Not given")=TRUE,IF(SUMIFS(P:P,A:A,A954)&gt;0,ABS((SUMIFS(P:P,A:A,A954)/VLOOKUP("USD",'Exchange Rates'!B:C,2,0)))/S954,"."),".")</f>
        <v>.</v>
      </c>
      <c r="BA954" s="1196" t="str">
        <f>IF(AND(AD954=1,D954="Military",H954&lt;&gt;"Not given")=TRUE,IF(SUMIFS(P:P,A:A,A954)&gt;0,IF((ABS((SUMIFS(P:P,A:A,A954)/VLOOKUP("USD",'Exchange Rates'!B:C,2,0)))/S954)&gt;1,(SUMIFS(P:P,A:A,A954)-S954)/S954,(S954-SUMIFS(P:P,A:A,A954))/SUMIFS(P:P,A:A,A954)),"."),".")</f>
        <v>.</v>
      </c>
    </row>
    <row r="955" spans="1:53" ht="15.95" customHeight="1">
      <c r="A955" s="1182" t="s">
        <v>2656</v>
      </c>
      <c r="B955" s="1182" t="s">
        <v>2625</v>
      </c>
      <c r="C955" s="1181">
        <v>44972</v>
      </c>
      <c r="D955" s="1182" t="s">
        <v>389</v>
      </c>
      <c r="E955" s="1182" t="s">
        <v>390</v>
      </c>
      <c r="F955" s="1183" t="s">
        <v>2657</v>
      </c>
      <c r="G955" s="1184" t="s">
        <v>483</v>
      </c>
      <c r="H955" s="1185">
        <v>13200000</v>
      </c>
      <c r="I955" s="1289" t="s">
        <v>2658</v>
      </c>
      <c r="J955" s="1186" t="str">
        <f>VLOOKUP($I955,'Price List, Weapons &amp; Items'!B:C,2,0)</f>
        <v>Heavy weapon</v>
      </c>
      <c r="K955" s="1186" t="str">
        <f>IF(I955=".",I955,VLOOKUP($I955,'Price List, Weapons &amp; Items'!B:D,3,0))</f>
        <v>Armored Utility Vehicle (AUV)</v>
      </c>
      <c r="L955" s="1187">
        <f>VLOOKUP(I955,'Price List, Weapons &amp; Items'!B:E,4,0)</f>
        <v>0</v>
      </c>
      <c r="M955" s="1188">
        <v>7</v>
      </c>
      <c r="N955" s="1188" t="s">
        <v>374</v>
      </c>
      <c r="O955" s="1188">
        <f>VLOOKUP($I955,'Price List, Weapons &amp; Items'!B:G,6,0)</f>
        <v>942718.45081106445</v>
      </c>
      <c r="P955" s="1185">
        <f t="shared" si="197"/>
        <v>6599029.1556774508</v>
      </c>
      <c r="Q955" s="1185" t="str">
        <f t="shared" si="198"/>
        <v>.</v>
      </c>
      <c r="R955" s="1185">
        <f t="shared" si="194"/>
        <v>13200000</v>
      </c>
      <c r="S955" s="1185">
        <f>IF(AND(AD955=1,R955&lt;&gt;".")=TRUE,R955/VLOOKUP(G955,'Exchange Rates'!B:C,2,0),IF(R955=".",".",""))</f>
        <v>13200000</v>
      </c>
      <c r="T955" s="1185" t="str">
        <f>IF(AD955=1,IF(AF955="Value is not given at all",".",IF(AF955="Value is given by the source",S955,IF(AF955="Value is calculated with prices",(IF(SUMIFS(Q:Q,A:A,A955)&gt;0,SUMIFS(Q:Q,A:A,A955),"."))/VLOOKUP("USD",'Exchange Rates'!B:C,2,0),"Error with coding"))),"")</f>
        <v>.</v>
      </c>
      <c r="U955" s="1184" t="s">
        <v>365</v>
      </c>
      <c r="V955" s="987" t="s">
        <v>2659</v>
      </c>
      <c r="W955" s="987" t="s">
        <v>2660</v>
      </c>
      <c r="X955" s="987" t="s">
        <v>2661</v>
      </c>
      <c r="Y955" s="981" t="s">
        <v>364</v>
      </c>
      <c r="Z955" s="1184">
        <v>0</v>
      </c>
      <c r="AA955" s="1191">
        <v>1</v>
      </c>
      <c r="AB955" s="974" t="s">
        <v>364</v>
      </c>
      <c r="AC955" s="1192" t="str">
        <f>""</f>
        <v/>
      </c>
      <c r="AD955" s="1193">
        <v>1</v>
      </c>
      <c r="AE955" s="1193" t="s">
        <v>368</v>
      </c>
      <c r="AF955" s="1193" t="s">
        <v>369</v>
      </c>
      <c r="AG955" s="1193">
        <v>1</v>
      </c>
      <c r="AH955" s="1193">
        <v>14</v>
      </c>
      <c r="AI955" s="1193">
        <v>0</v>
      </c>
      <c r="AJ955" s="1193">
        <f>VLOOKUP($I955,'Price List, Weapons &amp; Items'!B:F,5,0)</f>
        <v>1</v>
      </c>
      <c r="AK955" s="1193">
        <f t="shared" si="199"/>
        <v>0</v>
      </c>
      <c r="AL955" s="1193">
        <f t="shared" si="200"/>
        <v>1</v>
      </c>
      <c r="AM955" s="1193">
        <f t="shared" si="201"/>
        <v>0</v>
      </c>
      <c r="AN955" s="1194" t="str">
        <f>VLOOKUP($I955,'Price List, Weapons &amp; Items'!B:L,COLUMN('Price List, Weapons &amp; Items'!$J$11)-1,0)</f>
        <v>Contracts</v>
      </c>
      <c r="AO955" s="1194" t="str">
        <f>IF(I955=".",".",VLOOKUP($I955,'Price List, Weapons &amp; Items'!B:J,3,0))</f>
        <v>Armored Utility Vehicle (AUV)</v>
      </c>
      <c r="AP955" s="1195" t="str">
        <f t="shared" ca="1" si="195"/>
        <v>Pinzgauer 6x6 armored ambulance</v>
      </c>
      <c r="AQ955" s="1194">
        <f>VLOOKUP($I955,'Price List, Weapons &amp; Items'!B:L,COLUMN('Price List, Weapons &amp; Items'!$L$11)-1,0)</f>
        <v>2</v>
      </c>
      <c r="AR955" s="1194">
        <f t="shared" si="202"/>
        <v>1</v>
      </c>
      <c r="AS955" s="1194">
        <f t="shared" si="203"/>
        <v>1</v>
      </c>
      <c r="AT955" s="1194">
        <f t="shared" si="204"/>
        <v>1</v>
      </c>
      <c r="AU955" s="1194" t="str">
        <f t="shared" si="205"/>
        <v>.</v>
      </c>
      <c r="AV955" s="1194" t="str">
        <f t="shared" si="196"/>
        <v>.</v>
      </c>
      <c r="AW955" s="1194" t="str">
        <f t="shared" si="206"/>
        <v>.</v>
      </c>
      <c r="AX955" s="1194">
        <f>IFERROR(VLOOKUP(B955,'Share, Heavy Weapons to Ukraine'!B:Z,COLUMN('Share, Heavy Weapons to Ukraine'!C965)-1,0),0)</f>
        <v>0</v>
      </c>
      <c r="AY955" s="1194">
        <f>VLOOKUP('Bilateral Assistance, MAIN DATA'!B955,'Country Summary (€)'!B:F,COLUMN('Country Summary (€)'!C966)-1,FALSE)</f>
        <v>1</v>
      </c>
      <c r="AZ955" s="1194">
        <f>IF(AND(AD955=1,D955="Military",H955&lt;&gt;"Not given")=TRUE,IF(SUMIFS(P:P,A:A,A955)&gt;0,ABS((SUMIFS(P:P,A:A,A955)/VLOOKUP("USD",'Exchange Rates'!B:C,2,0)))/S955,"."),".")</f>
        <v>0.91999714977490932</v>
      </c>
      <c r="BA955" s="1196">
        <f>IF(AND(AD955=1,D955="Military",H955&lt;&gt;"Not given")=TRUE,IF(SUMIFS(P:P,A:A,A955)&gt;0,IF((ABS((SUMIFS(P:P,A:A,A955)/VLOOKUP("USD",'Exchange Rates'!B:C,2,0)))/S955)&gt;1,(SUMIFS(P:P,A:A,A955)-S955)/S955,(S955-SUMIFS(P:P,A:A,A955))/SUMIFS(P:P,A:A,A955)),"."),".")</f>
        <v>1.471192655231591E-4</v>
      </c>
    </row>
    <row r="956" spans="1:53" ht="15.95" customHeight="1">
      <c r="A956" s="1182" t="s">
        <v>2656</v>
      </c>
      <c r="B956" s="1182" t="s">
        <v>2625</v>
      </c>
      <c r="C956" s="1181">
        <v>44972</v>
      </c>
      <c r="D956" s="1182" t="s">
        <v>389</v>
      </c>
      <c r="E956" s="1182" t="s">
        <v>390</v>
      </c>
      <c r="F956" s="1183" t="s">
        <v>2657</v>
      </c>
      <c r="G956" s="1184" t="s">
        <v>483</v>
      </c>
      <c r="H956" s="1185">
        <v>13200000</v>
      </c>
      <c r="I956" s="1289" t="s">
        <v>2662</v>
      </c>
      <c r="J956" s="1186" t="str">
        <f>VLOOKUP($I956,'Price List, Weapons &amp; Items'!B:C,2,0)</f>
        <v>Heavy weapon</v>
      </c>
      <c r="K956" s="1186" t="str">
        <f>IF(I956=".",I956,VLOOKUP($I956,'Price List, Weapons &amp; Items'!B:D,3,0))</f>
        <v>Armored Utility Vehicle (AUV)</v>
      </c>
      <c r="L956" s="1187">
        <f>VLOOKUP(I956,'Price List, Weapons &amp; Items'!B:E,4,0)</f>
        <v>0</v>
      </c>
      <c r="M956" s="1188">
        <v>7</v>
      </c>
      <c r="N956" s="1188" t="s">
        <v>374</v>
      </c>
      <c r="O956" s="1188">
        <f>VLOOKUP($I956,'Price List, Weapons &amp; Items'!B:G,6,0)</f>
        <v>942718.45081106445</v>
      </c>
      <c r="P956" s="1185">
        <f t="shared" si="197"/>
        <v>6599029.1556774508</v>
      </c>
      <c r="Q956" s="1185" t="str">
        <f t="shared" si="198"/>
        <v>.</v>
      </c>
      <c r="R956" s="1185" t="str">
        <f t="shared" si="194"/>
        <v/>
      </c>
      <c r="S956" s="1185" t="str">
        <f>IF(AND(AD956=1,R956&lt;&gt;".")=TRUE,R956/VLOOKUP(G956,'Exchange Rates'!B:C,2,0),IF(R956=".",".",""))</f>
        <v/>
      </c>
      <c r="T956" s="1185" t="str">
        <f>IF(AD956=1,IF(AF956="Value is not given at all",".",IF(AF956="Value is given by the source",S956,IF(AF956="Value is calculated with prices",(IF(SUMIFS(Q:Q,A:A,A956)&gt;0,SUMIFS(Q:Q,A:A,A956),"."))/VLOOKUP("USD",'Exchange Rates'!B:C,2,0),"Error with coding"))),"")</f>
        <v/>
      </c>
      <c r="U956" s="1184" t="s">
        <v>365</v>
      </c>
      <c r="V956" s="987" t="s">
        <v>2659</v>
      </c>
      <c r="W956" s="987" t="s">
        <v>2660</v>
      </c>
      <c r="X956" s="987" t="s">
        <v>2661</v>
      </c>
      <c r="Y956" s="981" t="s">
        <v>364</v>
      </c>
      <c r="Z956" s="1184">
        <v>0</v>
      </c>
      <c r="AA956" s="1191">
        <v>1</v>
      </c>
      <c r="AB956" s="974" t="s">
        <v>364</v>
      </c>
      <c r="AC956" s="1192" t="str">
        <f>""</f>
        <v/>
      </c>
      <c r="AD956" s="1193">
        <v>0</v>
      </c>
      <c r="AE956" s="1193" t="s">
        <v>368</v>
      </c>
      <c r="AF956" s="1193" t="s">
        <v>369</v>
      </c>
      <c r="AG956" s="1193">
        <v>1</v>
      </c>
      <c r="AH956" s="1193">
        <v>14</v>
      </c>
      <c r="AI956" s="1193">
        <v>0</v>
      </c>
      <c r="AJ956" s="1193">
        <f>VLOOKUP($I956,'Price List, Weapons &amp; Items'!B:F,5,0)</f>
        <v>1</v>
      </c>
      <c r="AK956" s="1193">
        <f t="shared" si="199"/>
        <v>0</v>
      </c>
      <c r="AL956" s="1193">
        <f t="shared" si="200"/>
        <v>1</v>
      </c>
      <c r="AM956" s="1193">
        <f t="shared" si="201"/>
        <v>0</v>
      </c>
      <c r="AN956" s="1194" t="str">
        <f>VLOOKUP($I956,'Price List, Weapons &amp; Items'!B:L,COLUMN('Price List, Weapons &amp; Items'!$J$11)-1,0)</f>
        <v>Contracts</v>
      </c>
      <c r="AO956" s="1194" t="str">
        <f>IF(I956=".",".",VLOOKUP($I956,'Price List, Weapons &amp; Items'!B:J,3,0))</f>
        <v>Armored Utility Vehicle (AUV)</v>
      </c>
      <c r="AP956" s="1195" t="str">
        <f t="shared" ca="1" si="195"/>
        <v/>
      </c>
      <c r="AQ956" s="1194">
        <f>VLOOKUP($I956,'Price List, Weapons &amp; Items'!B:L,COLUMN('Price List, Weapons &amp; Items'!$L$11)-1,0)</f>
        <v>2</v>
      </c>
      <c r="AR956" s="1194">
        <f t="shared" si="202"/>
        <v>1</v>
      </c>
      <c r="AS956" s="1194">
        <f t="shared" si="203"/>
        <v>1</v>
      </c>
      <c r="AT956" s="1194">
        <f t="shared" si="204"/>
        <v>1</v>
      </c>
      <c r="AU956" s="1194" t="str">
        <f t="shared" si="205"/>
        <v>.</v>
      </c>
      <c r="AV956" s="1194" t="str">
        <f t="shared" si="196"/>
        <v>.</v>
      </c>
      <c r="AW956" s="1194" t="str">
        <f t="shared" si="206"/>
        <v>.</v>
      </c>
      <c r="AX956" s="1194">
        <f>IFERROR(VLOOKUP(B956,'Share, Heavy Weapons to Ukraine'!B:Z,COLUMN('Share, Heavy Weapons to Ukraine'!C966)-1,0),0)</f>
        <v>0</v>
      </c>
      <c r="AY956" s="1194">
        <f>VLOOKUP('Bilateral Assistance, MAIN DATA'!B956,'Country Summary (€)'!B:F,COLUMN('Country Summary (€)'!C967)-1,FALSE)</f>
        <v>1</v>
      </c>
      <c r="AZ956" s="1194" t="str">
        <f>IF(AND(AD956=1,D956="Military",H956&lt;&gt;"Not given")=TRUE,IF(SUMIFS(P:P,A:A,A956)&gt;0,ABS((SUMIFS(P:P,A:A,A956)/VLOOKUP("USD",'Exchange Rates'!B:C,2,0)))/S956,"."),".")</f>
        <v>.</v>
      </c>
      <c r="BA956" s="1196" t="str">
        <f>IF(AND(AD956=1,D956="Military",H956&lt;&gt;"Not given")=TRUE,IF(SUMIFS(P:P,A:A,A956)&gt;0,IF((ABS((SUMIFS(P:P,A:A,A956)/VLOOKUP("USD",'Exchange Rates'!B:C,2,0)))/S956)&gt;1,(SUMIFS(P:P,A:A,A956)-S956)/S956,(S956-SUMIFS(P:P,A:A,A956))/SUMIFS(P:P,A:A,A956)),"."),".")</f>
        <v>.</v>
      </c>
    </row>
    <row r="957" spans="1:53" ht="15.95" customHeight="1">
      <c r="A957" s="1180" t="s">
        <v>2663</v>
      </c>
      <c r="B957" s="1180" t="s">
        <v>2625</v>
      </c>
      <c r="C957" s="1181" t="s">
        <v>2664</v>
      </c>
      <c r="D957" s="1182" t="s">
        <v>360</v>
      </c>
      <c r="E957" s="1182" t="s">
        <v>371</v>
      </c>
      <c r="F957" s="1183" t="s">
        <v>2665</v>
      </c>
      <c r="G957" s="1184" t="s">
        <v>483</v>
      </c>
      <c r="H957" s="1185">
        <v>3000000</v>
      </c>
      <c r="I957" s="1180" t="s">
        <v>364</v>
      </c>
      <c r="J957" s="1186" t="str">
        <f>VLOOKUP($I957,'Price List, Weapons &amp; Items'!B:C,2,0)</f>
        <v>.</v>
      </c>
      <c r="K957" s="1186" t="str">
        <f>IF(I957=".",I957,VLOOKUP($I957,'Price List, Weapons &amp; Items'!B:D,3,0))</f>
        <v>.</v>
      </c>
      <c r="L957" s="1187">
        <f>VLOOKUP(I957,'Price List, Weapons &amp; Items'!B:E,4,0)</f>
        <v>0</v>
      </c>
      <c r="M957" s="1188" t="s">
        <v>364</v>
      </c>
      <c r="N957" s="1188" t="s">
        <v>364</v>
      </c>
      <c r="O957" s="1188" t="str">
        <f>VLOOKUP($I957,'Price List, Weapons &amp; Items'!B:G,6,0)</f>
        <v>.</v>
      </c>
      <c r="P957" s="1185" t="str">
        <f t="shared" si="197"/>
        <v>.</v>
      </c>
      <c r="Q957" s="1185" t="str">
        <f t="shared" si="198"/>
        <v>.</v>
      </c>
      <c r="R957" s="1185">
        <f t="shared" si="194"/>
        <v>3000000</v>
      </c>
      <c r="S957" s="1185">
        <f>IF(AND(AD957=1,R957&lt;&gt;".")=TRUE,R957/VLOOKUP(G957,'Exchange Rates'!B:C,2,0),IF(R957=".",".",""))</f>
        <v>3000000</v>
      </c>
      <c r="T957" s="1185" t="str">
        <f>IF(AD957=1,IF(AF957="Value is not given at all",".",IF(AF957="Value is given by the source",S957,IF(AF957="Value is calculated with prices",(IF(SUMIFS(Q:Q,A:A,A957)&gt;0,SUMIFS(Q:Q,A:A,A957),"."))/VLOOKUP("USD",'Exchange Rates'!B:C,2,0),"Error with coding"))),"")</f>
        <v>.</v>
      </c>
      <c r="U957" s="1184" t="s">
        <v>365</v>
      </c>
      <c r="V957" s="971" t="s">
        <v>1413</v>
      </c>
      <c r="W957" s="971" t="s">
        <v>2666</v>
      </c>
      <c r="X957" s="980" t="s">
        <v>2667</v>
      </c>
      <c r="Y957" s="1190" t="s">
        <v>364</v>
      </c>
      <c r="Z957" s="1184">
        <v>0</v>
      </c>
      <c r="AA957" s="1194">
        <v>0</v>
      </c>
      <c r="AB957" s="1180" t="s">
        <v>364</v>
      </c>
      <c r="AC957" s="1192" t="str">
        <f>""</f>
        <v/>
      </c>
      <c r="AD957" s="1193">
        <v>1</v>
      </c>
      <c r="AE957" s="1193" t="s">
        <v>368</v>
      </c>
      <c r="AF957" s="1193" t="s">
        <v>369</v>
      </c>
      <c r="AG957" s="1193">
        <v>0</v>
      </c>
      <c r="AH957" s="1193">
        <v>0</v>
      </c>
      <c r="AI957" s="1193">
        <v>0</v>
      </c>
      <c r="AJ957" s="1193">
        <f>VLOOKUP($I957,'Price List, Weapons &amp; Items'!B:F,5,0)</f>
        <v>0</v>
      </c>
      <c r="AK957" s="1193">
        <f t="shared" si="199"/>
        <v>0</v>
      </c>
      <c r="AL957" s="1193">
        <f t="shared" si="200"/>
        <v>0</v>
      </c>
      <c r="AM957" s="1193">
        <f t="shared" si="201"/>
        <v>0</v>
      </c>
      <c r="AN957" s="1194" t="str">
        <f>VLOOKUP($I957,'Price List, Weapons &amp; Items'!B:L,COLUMN('Price List, Weapons &amp; Items'!$J$11)-1,0)</f>
        <v>.</v>
      </c>
      <c r="AO957" s="1194" t="str">
        <f>IF(I957=".",".",VLOOKUP($I957,'Price List, Weapons &amp; Items'!B:J,3,0))</f>
        <v>.</v>
      </c>
      <c r="AP957" s="1195" t="str">
        <f t="shared" ca="1" si="195"/>
        <v>.</v>
      </c>
      <c r="AQ957" s="1194">
        <f>VLOOKUP($I957,'Price List, Weapons &amp; Items'!B:L,COLUMN('Price List, Weapons &amp; Items'!$L$11)-1,0)</f>
        <v>0</v>
      </c>
      <c r="AR957" s="1194">
        <f t="shared" si="202"/>
        <v>1</v>
      </c>
      <c r="AS957" s="1194">
        <f t="shared" si="203"/>
        <v>0</v>
      </c>
      <c r="AT957" s="1194" t="str">
        <f t="shared" si="204"/>
        <v>Value is not in date format</v>
      </c>
      <c r="AU957" s="1194" t="str">
        <f t="shared" si="205"/>
        <v>.</v>
      </c>
      <c r="AV957" s="1194" t="str">
        <f t="shared" si="196"/>
        <v>.</v>
      </c>
      <c r="AW957" s="1194" t="str">
        <f t="shared" si="206"/>
        <v>.</v>
      </c>
      <c r="AX957" s="1194">
        <f>IFERROR(VLOOKUP(B957,'Share, Heavy Weapons to Ukraine'!B:Z,COLUMN('Share, Heavy Weapons to Ukraine'!C967)-1,0),0)</f>
        <v>0</v>
      </c>
      <c r="AY957" s="1194">
        <f>VLOOKUP('Bilateral Assistance, MAIN DATA'!B957,'Country Summary (€)'!B:F,COLUMN('Country Summary (€)'!C968)-1,FALSE)</f>
        <v>1</v>
      </c>
      <c r="AZ957" s="1194" t="str">
        <f>IF(AND(AD957=1,D957="Military",H957&lt;&gt;"Not given")=TRUE,IF(SUMIFS(P:P,A:A,A957)&gt;0,ABS((SUMIFS(P:P,A:A,A957)/VLOOKUP("USD",'Exchange Rates'!B:C,2,0)))/S957,"."),".")</f>
        <v>.</v>
      </c>
      <c r="BA957" s="1196" t="str">
        <f>IF(AND(AD957=1,D957="Military",H957&lt;&gt;"Not given")=TRUE,IF(SUMIFS(P:P,A:A,A957)&gt;0,IF((ABS((SUMIFS(P:P,A:A,A957)/VLOOKUP("USD",'Exchange Rates'!B:C,2,0)))/S957)&gt;1,(SUMIFS(P:P,A:A,A957)-S957)/S957,(S957-SUMIFS(P:P,A:A,A957))/SUMIFS(P:P,A:A,A957)),"."),".")</f>
        <v>.</v>
      </c>
    </row>
    <row r="958" spans="1:53" ht="15.95" customHeight="1">
      <c r="A958" s="1180" t="s">
        <v>2668</v>
      </c>
      <c r="B958" s="1180" t="s">
        <v>2625</v>
      </c>
      <c r="C958" s="1181">
        <v>44636</v>
      </c>
      <c r="D958" s="1182" t="s">
        <v>360</v>
      </c>
      <c r="E958" s="1182" t="s">
        <v>371</v>
      </c>
      <c r="F958" s="1183" t="s">
        <v>2669</v>
      </c>
      <c r="G958" s="1184" t="s">
        <v>364</v>
      </c>
      <c r="H958" s="1185" t="s">
        <v>457</v>
      </c>
      <c r="I958" s="1180" t="s">
        <v>2670</v>
      </c>
      <c r="J958" s="1186" t="str">
        <f>VLOOKUP($I958,'Price List, Weapons &amp; Items'!B:C,2,0)</f>
        <v>Humanitarian</v>
      </c>
      <c r="K958" s="1186" t="str">
        <f>IF(I958=".",I958,VLOOKUP($I958,'Price List, Weapons &amp; Items'!B:D,3,0))</f>
        <v>Humanitarian</v>
      </c>
      <c r="L958" s="1187">
        <f>VLOOKUP(I958,'Price List, Weapons &amp; Items'!B:E,4,0)</f>
        <v>0</v>
      </c>
      <c r="M958" s="1188">
        <v>50</v>
      </c>
      <c r="N958" s="1188" t="s">
        <v>374</v>
      </c>
      <c r="O958" s="1188" t="str">
        <f>VLOOKUP($I958,'Price List, Weapons &amp; Items'!B:G,6,0)</f>
        <v>.</v>
      </c>
      <c r="P958" s="1185" t="str">
        <f t="shared" si="197"/>
        <v>No price</v>
      </c>
      <c r="Q958" s="1185" t="str">
        <f t="shared" si="198"/>
        <v>.</v>
      </c>
      <c r="R958" s="1185" t="str">
        <f t="shared" si="194"/>
        <v>.</v>
      </c>
      <c r="S958" s="1185" t="str">
        <f>IF(AND(AD958=1,R958&lt;&gt;".")=TRUE,R958/VLOOKUP(G958,'Exchange Rates'!B:C,2,0),IF(R958=".",".",""))</f>
        <v>.</v>
      </c>
      <c r="T958" s="1185" t="str">
        <f>IF(AD958=1,IF(AF958="Value is not given at all",".",IF(AF958="Value is given by the source",S958,IF(AF958="Value is calculated with prices",(IF(SUMIFS(Q:Q,A:A,A958)&gt;0,SUMIFS(Q:Q,A:A,A958),"."))/VLOOKUP("USD",'Exchange Rates'!B:C,2,0),"Error with coding"))),"")</f>
        <v>.</v>
      </c>
      <c r="U958" s="1184" t="s">
        <v>365</v>
      </c>
      <c r="V958" s="971" t="s">
        <v>2671</v>
      </c>
      <c r="W958" s="971" t="s">
        <v>1413</v>
      </c>
      <c r="X958" s="980" t="s">
        <v>2667</v>
      </c>
      <c r="Y958" s="1190" t="s">
        <v>364</v>
      </c>
      <c r="Z958" s="1184">
        <v>0</v>
      </c>
      <c r="AA958" s="1194">
        <v>0</v>
      </c>
      <c r="AB958" s="1180" t="s">
        <v>364</v>
      </c>
      <c r="AC958" s="1192" t="str">
        <f>""</f>
        <v/>
      </c>
      <c r="AD958" s="1193">
        <v>1</v>
      </c>
      <c r="AE958" s="1193" t="s">
        <v>369</v>
      </c>
      <c r="AF958" s="1193" t="s">
        <v>369</v>
      </c>
      <c r="AG958" s="1193">
        <v>1</v>
      </c>
      <c r="AH958" s="1193">
        <v>3</v>
      </c>
      <c r="AI958" s="1193">
        <v>0</v>
      </c>
      <c r="AJ958" s="1193">
        <f>VLOOKUP($I958,'Price List, Weapons &amp; Items'!B:F,5,0)</f>
        <v>0</v>
      </c>
      <c r="AK958" s="1193">
        <f t="shared" si="199"/>
        <v>0</v>
      </c>
      <c r="AL958" s="1193">
        <f t="shared" si="200"/>
        <v>0</v>
      </c>
      <c r="AM958" s="1193">
        <f t="shared" si="201"/>
        <v>0</v>
      </c>
      <c r="AN958" s="1194" t="str">
        <f>VLOOKUP($I958,'Price List, Weapons &amp; Items'!B:L,COLUMN('Price List, Weapons &amp; Items'!$J$11)-1,0)</f>
        <v>.</v>
      </c>
      <c r="AO958" s="1194" t="str">
        <f>IF(I958=".",".",VLOOKUP($I958,'Price List, Weapons &amp; Items'!B:J,3,0))</f>
        <v>Humanitarian</v>
      </c>
      <c r="AP958" s="1195" t="str">
        <f t="shared" ca="1" si="195"/>
        <v>ton of fire-fighting equipment</v>
      </c>
      <c r="AQ958" s="1194">
        <f>VLOOKUP($I958,'Price List, Weapons &amp; Items'!B:L,COLUMN('Price List, Weapons &amp; Items'!$L$11)-1,0)</f>
        <v>0</v>
      </c>
      <c r="AR958" s="1194">
        <f t="shared" si="202"/>
        <v>1</v>
      </c>
      <c r="AS958" s="1194">
        <f t="shared" si="203"/>
        <v>0</v>
      </c>
      <c r="AT958" s="1194">
        <f t="shared" si="204"/>
        <v>1</v>
      </c>
      <c r="AU958" s="1194" t="str">
        <f t="shared" si="205"/>
        <v>.</v>
      </c>
      <c r="AV958" s="1194" t="str">
        <f t="shared" si="196"/>
        <v>.</v>
      </c>
      <c r="AW958" s="1194" t="str">
        <f t="shared" si="206"/>
        <v>.</v>
      </c>
      <c r="AX958" s="1194">
        <f>IFERROR(VLOOKUP(B958,'Share, Heavy Weapons to Ukraine'!B:Z,COLUMN('Share, Heavy Weapons to Ukraine'!C968)-1,0),0)</f>
        <v>0</v>
      </c>
      <c r="AY958" s="1194">
        <f>VLOOKUP('Bilateral Assistance, MAIN DATA'!B958,'Country Summary (€)'!B:F,COLUMN('Country Summary (€)'!C969)-1,FALSE)</f>
        <v>1</v>
      </c>
      <c r="AZ958" s="1194" t="str">
        <f>IF(AND(AD958=1,D958="Military",H958&lt;&gt;"Not given")=TRUE,IF(SUMIFS(P:P,A:A,A958)&gt;0,ABS((SUMIFS(P:P,A:A,A958)/VLOOKUP("USD",'Exchange Rates'!B:C,2,0)))/S958,"."),".")</f>
        <v>.</v>
      </c>
      <c r="BA958" s="1196" t="str">
        <f>IF(AND(AD958=1,D958="Military",H958&lt;&gt;"Not given")=TRUE,IF(SUMIFS(P:P,A:A,A958)&gt;0,IF((ABS((SUMIFS(P:P,A:A,A958)/VLOOKUP("USD",'Exchange Rates'!B:C,2,0)))/S958)&gt;1,(SUMIFS(P:P,A:A,A958)-S958)/S958,(S958-SUMIFS(P:P,A:A,A958))/SUMIFS(P:P,A:A,A958)),"."),".")</f>
        <v>.</v>
      </c>
    </row>
    <row r="959" spans="1:53" ht="15.95" customHeight="1">
      <c r="A959" s="1180" t="s">
        <v>2672</v>
      </c>
      <c r="B959" s="1180" t="s">
        <v>2625</v>
      </c>
      <c r="C959" s="1181">
        <v>44686</v>
      </c>
      <c r="D959" s="1182" t="s">
        <v>360</v>
      </c>
      <c r="E959" s="1182" t="s">
        <v>361</v>
      </c>
      <c r="F959" s="1183" t="s">
        <v>2673</v>
      </c>
      <c r="G959" s="1184" t="s">
        <v>483</v>
      </c>
      <c r="H959" s="1185">
        <v>1000000</v>
      </c>
      <c r="I959" s="1180" t="s">
        <v>364</v>
      </c>
      <c r="J959" s="1186" t="str">
        <f>VLOOKUP($I959,'Price List, Weapons &amp; Items'!B:C,2,0)</f>
        <v>.</v>
      </c>
      <c r="K959" s="1186" t="str">
        <f>IF(I959=".",I959,VLOOKUP($I959,'Price List, Weapons &amp; Items'!B:D,3,0))</f>
        <v>.</v>
      </c>
      <c r="L959" s="1187">
        <f>VLOOKUP(I959,'Price List, Weapons &amp; Items'!B:E,4,0)</f>
        <v>0</v>
      </c>
      <c r="M959" s="1188" t="s">
        <v>364</v>
      </c>
      <c r="N959" s="1188" t="s">
        <v>364</v>
      </c>
      <c r="O959" s="1188" t="str">
        <f>VLOOKUP($I959,'Price List, Weapons &amp; Items'!B:G,6,0)</f>
        <v>.</v>
      </c>
      <c r="P959" s="1185" t="str">
        <f t="shared" si="197"/>
        <v>.</v>
      </c>
      <c r="Q959" s="1185" t="str">
        <f t="shared" si="198"/>
        <v>.</v>
      </c>
      <c r="R959" s="1185">
        <f t="shared" si="194"/>
        <v>1000000</v>
      </c>
      <c r="S959" s="1185">
        <f>IF(AND(AD959=1,R959&lt;&gt;".")=TRUE,R959/VLOOKUP(G959,'Exchange Rates'!B:C,2,0),IF(R959=".",".",""))</f>
        <v>1000000</v>
      </c>
      <c r="T959" s="1185" t="str">
        <f>IF(AD959=1,IF(AF959="Value is not given at all",".",IF(AF959="Value is given by the source",S959,IF(AF959="Value is calculated with prices",(IF(SUMIFS(Q:Q,A:A,A959)&gt;0,SUMIFS(Q:Q,A:A,A959),"."))/VLOOKUP("USD",'Exchange Rates'!B:C,2,0),"Error with coding"))),"")</f>
        <v>.</v>
      </c>
      <c r="U959" s="1184" t="s">
        <v>365</v>
      </c>
      <c r="V959" s="971" t="s">
        <v>1413</v>
      </c>
      <c r="W959" s="980" t="s">
        <v>2667</v>
      </c>
      <c r="X959" s="1190" t="s">
        <v>364</v>
      </c>
      <c r="Y959" s="1190" t="s">
        <v>364</v>
      </c>
      <c r="Z959" s="1184">
        <v>0</v>
      </c>
      <c r="AA959" s="1194">
        <v>0</v>
      </c>
      <c r="AB959" s="1180" t="s">
        <v>364</v>
      </c>
      <c r="AC959" s="1192" t="str">
        <f>""</f>
        <v/>
      </c>
      <c r="AD959" s="1193">
        <v>1</v>
      </c>
      <c r="AE959" s="1193" t="s">
        <v>368</v>
      </c>
      <c r="AF959" s="1193" t="s">
        <v>369</v>
      </c>
      <c r="AG959" s="1193">
        <v>1</v>
      </c>
      <c r="AH959" s="1193">
        <v>5</v>
      </c>
      <c r="AI959" s="1193">
        <v>0</v>
      </c>
      <c r="AJ959" s="1193">
        <f>VLOOKUP($I959,'Price List, Weapons &amp; Items'!B:F,5,0)</f>
        <v>0</v>
      </c>
      <c r="AK959" s="1193">
        <f t="shared" si="199"/>
        <v>0</v>
      </c>
      <c r="AL959" s="1193">
        <f t="shared" si="200"/>
        <v>0</v>
      </c>
      <c r="AM959" s="1193">
        <f t="shared" si="201"/>
        <v>0</v>
      </c>
      <c r="AN959" s="1194" t="str">
        <f>VLOOKUP($I959,'Price List, Weapons &amp; Items'!B:L,COLUMN('Price List, Weapons &amp; Items'!$J$11)-1,0)</f>
        <v>.</v>
      </c>
      <c r="AO959" s="1194" t="str">
        <f>IF(I959=".",".",VLOOKUP($I959,'Price List, Weapons &amp; Items'!B:J,3,0))</f>
        <v>.</v>
      </c>
      <c r="AP959" s="1195" t="str">
        <f t="shared" ca="1" si="195"/>
        <v>.</v>
      </c>
      <c r="AQ959" s="1194">
        <f>VLOOKUP($I959,'Price List, Weapons &amp; Items'!B:L,COLUMN('Price List, Weapons &amp; Items'!$L$11)-1,0)</f>
        <v>0</v>
      </c>
      <c r="AR959" s="1194">
        <f t="shared" si="202"/>
        <v>1</v>
      </c>
      <c r="AS959" s="1194">
        <f t="shared" si="203"/>
        <v>0</v>
      </c>
      <c r="AT959" s="1194">
        <f t="shared" si="204"/>
        <v>1</v>
      </c>
      <c r="AU959" s="1194" t="str">
        <f t="shared" si="205"/>
        <v>.</v>
      </c>
      <c r="AV959" s="1194" t="str">
        <f t="shared" si="196"/>
        <v>.</v>
      </c>
      <c r="AW959" s="1194" t="str">
        <f t="shared" si="206"/>
        <v>.</v>
      </c>
      <c r="AX959" s="1194">
        <f>IFERROR(VLOOKUP(B959,'Share, Heavy Weapons to Ukraine'!B:Z,COLUMN('Share, Heavy Weapons to Ukraine'!C969)-1,0),0)</f>
        <v>0</v>
      </c>
      <c r="AY959" s="1194">
        <f>VLOOKUP('Bilateral Assistance, MAIN DATA'!B959,'Country Summary (€)'!B:F,COLUMN('Country Summary (€)'!C970)-1,FALSE)</f>
        <v>1</v>
      </c>
      <c r="AZ959" s="1194" t="str">
        <f>IF(AND(AD959=1,D959="Military",H959&lt;&gt;"Not given")=TRUE,IF(SUMIFS(P:P,A:A,A959)&gt;0,ABS((SUMIFS(P:P,A:A,A959)/VLOOKUP("USD",'Exchange Rates'!B:C,2,0)))/S959,"."),".")</f>
        <v>.</v>
      </c>
      <c r="BA959" s="1196" t="str">
        <f>IF(AND(AD959=1,D959="Military",H959&lt;&gt;"Not given")=TRUE,IF(SUMIFS(P:P,A:A,A959)&gt;0,IF((ABS((SUMIFS(P:P,A:A,A959)/VLOOKUP("USD",'Exchange Rates'!B:C,2,0)))/S959)&gt;1,(SUMIFS(P:P,A:A,A959)-S959)/S959,(S959-SUMIFS(P:P,A:A,A959))/SUMIFS(P:P,A:A,A959)),"."),".")</f>
        <v>.</v>
      </c>
    </row>
    <row r="960" spans="1:53" ht="15.95" customHeight="1">
      <c r="A960" s="1180" t="s">
        <v>2674</v>
      </c>
      <c r="B960" s="1180" t="s">
        <v>2625</v>
      </c>
      <c r="C960" s="1181">
        <v>45005</v>
      </c>
      <c r="D960" s="1182" t="s">
        <v>360</v>
      </c>
      <c r="E960" s="1182" t="s">
        <v>361</v>
      </c>
      <c r="F960" s="1183" t="s">
        <v>2675</v>
      </c>
      <c r="G960" s="1184" t="s">
        <v>483</v>
      </c>
      <c r="H960" s="1185">
        <v>32000</v>
      </c>
      <c r="I960" s="1180" t="s">
        <v>364</v>
      </c>
      <c r="J960" s="1186" t="str">
        <f>VLOOKUP($I960,'Price List, Weapons &amp; Items'!B:C,2,0)</f>
        <v>.</v>
      </c>
      <c r="K960" s="1186" t="str">
        <f>IF(I960=".",I960,VLOOKUP($I960,'Price List, Weapons &amp; Items'!B:D,3,0))</f>
        <v>.</v>
      </c>
      <c r="L960" s="1187">
        <f>VLOOKUP(I960,'Price List, Weapons &amp; Items'!B:E,4,0)</f>
        <v>0</v>
      </c>
      <c r="M960" s="1188" t="s">
        <v>364</v>
      </c>
      <c r="N960" s="1188" t="s">
        <v>364</v>
      </c>
      <c r="O960" s="1188" t="str">
        <f>VLOOKUP($I960,'Price List, Weapons &amp; Items'!B:G,6,0)</f>
        <v>.</v>
      </c>
      <c r="P960" s="1185" t="str">
        <f t="shared" si="197"/>
        <v>.</v>
      </c>
      <c r="Q960" s="1185" t="str">
        <f t="shared" si="198"/>
        <v>.</v>
      </c>
      <c r="R960" s="1185">
        <f t="shared" si="194"/>
        <v>32000</v>
      </c>
      <c r="S960" s="1185">
        <f>IF(AND(AD960=1,R960&lt;&gt;".")=TRUE,R960/VLOOKUP(G960,'Exchange Rates'!B:C,2,0),IF(R960=".",".",""))</f>
        <v>32000</v>
      </c>
      <c r="T960" s="1185" t="str">
        <f>IF(AD960=1,IF(AF960="Value is not given at all",".",IF(AF960="Value is given by the source",S960,IF(AF960="Value is calculated with prices",(IF(SUMIFS(Q:Q,A:A,A960)&gt;0,SUMIFS(Q:Q,A:A,A960),"."))/VLOOKUP("USD",'Exchange Rates'!B:C,2,0),"Error with coding"))),"")</f>
        <v>.</v>
      </c>
      <c r="U960" s="1184" t="s">
        <v>365</v>
      </c>
      <c r="V960" s="973" t="s">
        <v>2676</v>
      </c>
      <c r="W960" s="980" t="s">
        <v>364</v>
      </c>
      <c r="X960" s="1190" t="s">
        <v>364</v>
      </c>
      <c r="Y960" s="1190" t="s">
        <v>364</v>
      </c>
      <c r="Z960" s="1184">
        <v>0</v>
      </c>
      <c r="AA960" s="1191">
        <v>1</v>
      </c>
      <c r="AB960" s="1180" t="s">
        <v>364</v>
      </c>
      <c r="AC960" s="1192" t="str">
        <f>""</f>
        <v/>
      </c>
      <c r="AD960" s="1193">
        <v>1</v>
      </c>
      <c r="AE960" s="1193" t="s">
        <v>368</v>
      </c>
      <c r="AF960" s="1193" t="s">
        <v>369</v>
      </c>
      <c r="AG960" s="1193">
        <v>1</v>
      </c>
      <c r="AH960" s="1193">
        <v>15</v>
      </c>
      <c r="AI960" s="1193">
        <v>0</v>
      </c>
      <c r="AJ960" s="1193">
        <f>VLOOKUP($I960,'Price List, Weapons &amp; Items'!B:F,5,0)</f>
        <v>0</v>
      </c>
      <c r="AK960" s="1193">
        <f t="shared" si="199"/>
        <v>0</v>
      </c>
      <c r="AL960" s="1193">
        <f t="shared" si="200"/>
        <v>0</v>
      </c>
      <c r="AM960" s="1193">
        <f t="shared" si="201"/>
        <v>0</v>
      </c>
      <c r="AN960" s="1194" t="str">
        <f>VLOOKUP($I960,'Price List, Weapons &amp; Items'!B:L,COLUMN('Price List, Weapons &amp; Items'!$J$11)-1,0)</f>
        <v>.</v>
      </c>
      <c r="AO960" s="1194" t="str">
        <f>IF(I960=".",".",VLOOKUP($I960,'Price List, Weapons &amp; Items'!B:J,3,0))</f>
        <v>.</v>
      </c>
      <c r="AP960" s="1195" t="str">
        <f t="shared" ca="1" si="195"/>
        <v>.</v>
      </c>
      <c r="AQ960" s="1194">
        <f>VLOOKUP($I960,'Price List, Weapons &amp; Items'!B:L,COLUMN('Price List, Weapons &amp; Items'!$L$11)-1,0)</f>
        <v>0</v>
      </c>
      <c r="AR960" s="1194">
        <f t="shared" si="202"/>
        <v>1</v>
      </c>
      <c r="AS960" s="1194">
        <f t="shared" si="203"/>
        <v>0</v>
      </c>
      <c r="AT960" s="1194">
        <f t="shared" si="204"/>
        <v>1</v>
      </c>
      <c r="AU960" s="1194" t="str">
        <f t="shared" si="205"/>
        <v>.</v>
      </c>
      <c r="AV960" s="1194" t="str">
        <f t="shared" si="196"/>
        <v>.</v>
      </c>
      <c r="AW960" s="1194" t="str">
        <f t="shared" si="206"/>
        <v>.</v>
      </c>
      <c r="AX960" s="1194">
        <f>IFERROR(VLOOKUP(B960,'Share, Heavy Weapons to Ukraine'!B:Z,COLUMN('Share, Heavy Weapons to Ukraine'!C970)-1,0),0)</f>
        <v>0</v>
      </c>
      <c r="AY960" s="1194">
        <f>VLOOKUP('Bilateral Assistance, MAIN DATA'!B960,'Country Summary (€)'!B:F,COLUMN('Country Summary (€)'!C971)-1,FALSE)</f>
        <v>1</v>
      </c>
      <c r="AZ960" s="1194" t="str">
        <f>IF(AND(AD960=1,D960="Military",H960&lt;&gt;"Not given")=TRUE,IF(SUMIFS(P:P,A:A,A960)&gt;0,ABS((SUMIFS(P:P,A:A,A960)/VLOOKUP("USD",'Exchange Rates'!B:C,2,0)))/S960,"."),".")</f>
        <v>.</v>
      </c>
      <c r="BA960" s="1196" t="str">
        <f>IF(AND(AD960=1,D960="Military",H960&lt;&gt;"Not given")=TRUE,IF(SUMIFS(P:P,A:A,A960)&gt;0,IF((ABS((SUMIFS(P:P,A:A,A960)/VLOOKUP("USD",'Exchange Rates'!B:C,2,0)))/S960)&gt;1,(SUMIFS(P:P,A:A,A960)-S960)/S960,(S960-SUMIFS(P:P,A:A,A960))/SUMIFS(P:P,A:A,A960)),"."),".")</f>
        <v>.</v>
      </c>
    </row>
    <row r="961" spans="1:53" ht="15.95" customHeight="1">
      <c r="A961" s="1180" t="s">
        <v>2677</v>
      </c>
      <c r="B961" s="1180" t="s">
        <v>2678</v>
      </c>
      <c r="C961" s="1181">
        <v>44631</v>
      </c>
      <c r="D961" s="1182" t="s">
        <v>360</v>
      </c>
      <c r="E961" s="1182" t="s">
        <v>371</v>
      </c>
      <c r="F961" s="1183" t="s">
        <v>2679</v>
      </c>
      <c r="G961" s="1184" t="s">
        <v>483</v>
      </c>
      <c r="H961" s="1185">
        <v>1150000</v>
      </c>
      <c r="I961" s="1180" t="s">
        <v>364</v>
      </c>
      <c r="J961" s="1186" t="str">
        <f>VLOOKUP($I961,'Price List, Weapons &amp; Items'!B:C,2,0)</f>
        <v>.</v>
      </c>
      <c r="K961" s="1186" t="str">
        <f>IF(I961=".",I961,VLOOKUP($I961,'Price List, Weapons &amp; Items'!B:D,3,0))</f>
        <v>.</v>
      </c>
      <c r="L961" s="1187">
        <f>VLOOKUP(I961,'Price List, Weapons &amp; Items'!B:E,4,0)</f>
        <v>0</v>
      </c>
      <c r="M961" s="1188" t="s">
        <v>364</v>
      </c>
      <c r="N961" s="1188" t="s">
        <v>364</v>
      </c>
      <c r="O961" s="1188" t="str">
        <f>VLOOKUP($I961,'Price List, Weapons &amp; Items'!B:G,6,0)</f>
        <v>.</v>
      </c>
      <c r="P961" s="1185" t="str">
        <f t="shared" si="197"/>
        <v>.</v>
      </c>
      <c r="Q961" s="1185" t="str">
        <f t="shared" si="198"/>
        <v>.</v>
      </c>
      <c r="R961" s="1185">
        <f t="shared" si="194"/>
        <v>1150000</v>
      </c>
      <c r="S961" s="1185">
        <f>IF(AND(AD961=1,R961&lt;&gt;".")=TRUE,R961/VLOOKUP(G961,'Exchange Rates'!B:C,2,0),IF(R961=".",".",""))</f>
        <v>1150000</v>
      </c>
      <c r="T961" s="1185" t="str">
        <f>IF(AD961=1,IF(AF961="Value is not given at all",".",IF(AF961="Value is given by the source",S961,IF(AF961="Value is calculated with prices",(IF(SUMIFS(Q:Q,A:A,A961)&gt;0,SUMIFS(Q:Q,A:A,A961),"."))/VLOOKUP("USD",'Exchange Rates'!B:C,2,0),"Error with coding"))),"")</f>
        <v>.</v>
      </c>
      <c r="U961" s="1184" t="s">
        <v>365</v>
      </c>
      <c r="V961" s="971" t="s">
        <v>2680</v>
      </c>
      <c r="W961" s="971" t="s">
        <v>2681</v>
      </c>
      <c r="X961" s="1190" t="s">
        <v>364</v>
      </c>
      <c r="Y961" s="1190" t="s">
        <v>364</v>
      </c>
      <c r="Z961" s="1184">
        <v>0</v>
      </c>
      <c r="AA961" s="1194">
        <v>0</v>
      </c>
      <c r="AB961" s="1180" t="s">
        <v>364</v>
      </c>
      <c r="AC961" s="1192" t="str">
        <f>""</f>
        <v/>
      </c>
      <c r="AD961" s="1193">
        <v>1</v>
      </c>
      <c r="AE961" s="1193" t="s">
        <v>368</v>
      </c>
      <c r="AF961" s="1193" t="s">
        <v>369</v>
      </c>
      <c r="AG961" s="1193">
        <v>1</v>
      </c>
      <c r="AH961" s="1193">
        <v>3</v>
      </c>
      <c r="AI961" s="1193">
        <v>0</v>
      </c>
      <c r="AJ961" s="1193">
        <f>VLOOKUP($I961,'Price List, Weapons &amp; Items'!B:F,5,0)</f>
        <v>0</v>
      </c>
      <c r="AK961" s="1193">
        <f t="shared" si="199"/>
        <v>0</v>
      </c>
      <c r="AL961" s="1193">
        <f t="shared" si="200"/>
        <v>0</v>
      </c>
      <c r="AM961" s="1193">
        <f t="shared" si="201"/>
        <v>0</v>
      </c>
      <c r="AN961" s="1194" t="str">
        <f>VLOOKUP($I961,'Price List, Weapons &amp; Items'!B:L,COLUMN('Price List, Weapons &amp; Items'!$J$11)-1,0)</f>
        <v>.</v>
      </c>
      <c r="AO961" s="1194" t="str">
        <f>IF(I961=".",".",VLOOKUP($I961,'Price List, Weapons &amp; Items'!B:J,3,0))</f>
        <v>.</v>
      </c>
      <c r="AP961" s="1195" t="str">
        <f t="shared" ca="1" si="195"/>
        <v>.</v>
      </c>
      <c r="AQ961" s="1194">
        <f>VLOOKUP($I961,'Price List, Weapons &amp; Items'!B:L,COLUMN('Price List, Weapons &amp; Items'!$L$11)-1,0)</f>
        <v>0</v>
      </c>
      <c r="AR961" s="1194">
        <f t="shared" si="202"/>
        <v>1</v>
      </c>
      <c r="AS961" s="1194">
        <f t="shared" si="203"/>
        <v>0</v>
      </c>
      <c r="AT961" s="1194">
        <f t="shared" si="204"/>
        <v>1</v>
      </c>
      <c r="AU961" s="1194" t="str">
        <f t="shared" si="205"/>
        <v>.</v>
      </c>
      <c r="AV961" s="1194" t="str">
        <f t="shared" si="196"/>
        <v>.</v>
      </c>
      <c r="AW961" s="1194" t="str">
        <f t="shared" si="206"/>
        <v>.</v>
      </c>
      <c r="AX961" s="1194">
        <f>IFERROR(VLOOKUP(B961,'Share, Heavy Weapons to Ukraine'!B:Z,COLUMN('Share, Heavy Weapons to Ukraine'!C971)-1,0),0)</f>
        <v>0</v>
      </c>
      <c r="AY961" s="1194">
        <f>VLOOKUP('Bilateral Assistance, MAIN DATA'!B961,'Country Summary (€)'!B:F,COLUMN('Country Summary (€)'!C972)-1,FALSE)</f>
        <v>1</v>
      </c>
      <c r="AZ961" s="1194" t="str">
        <f>IF(AND(AD961=1,D961="Military",H961&lt;&gt;"Not given")=TRUE,IF(SUMIFS(P:P,A:A,A961)&gt;0,ABS((SUMIFS(P:P,A:A,A961)/VLOOKUP("USD",'Exchange Rates'!B:C,2,0)))/S961,"."),".")</f>
        <v>.</v>
      </c>
      <c r="BA961" s="1196" t="str">
        <f>IF(AND(AD961=1,D961="Military",H961&lt;&gt;"Not given")=TRUE,IF(SUMIFS(P:P,A:A,A961)&gt;0,IF((ABS((SUMIFS(P:P,A:A,A961)/VLOOKUP("USD",'Exchange Rates'!B:C,2,0)))/S961)&gt;1,(SUMIFS(P:P,A:A,A961)-S961)/S961,(S961-SUMIFS(P:P,A:A,A961))/SUMIFS(P:P,A:A,A961)),"."),".")</f>
        <v>.</v>
      </c>
    </row>
    <row r="962" spans="1:53" ht="15.95" customHeight="1">
      <c r="A962" s="1180" t="s">
        <v>2682</v>
      </c>
      <c r="B962" s="1180" t="s">
        <v>2678</v>
      </c>
      <c r="C962" s="1181" t="s">
        <v>2683</v>
      </c>
      <c r="D962" s="1182" t="s">
        <v>360</v>
      </c>
      <c r="E962" s="1182" t="s">
        <v>361</v>
      </c>
      <c r="F962" s="1183" t="s">
        <v>2684</v>
      </c>
      <c r="G962" s="1184" t="s">
        <v>483</v>
      </c>
      <c r="H962" s="1185">
        <v>550000</v>
      </c>
      <c r="I962" s="1180" t="s">
        <v>364</v>
      </c>
      <c r="J962" s="1186" t="str">
        <f>VLOOKUP($I962,'Price List, Weapons &amp; Items'!B:C,2,0)</f>
        <v>.</v>
      </c>
      <c r="K962" s="1186" t="str">
        <f>IF(I962=".",I962,VLOOKUP($I962,'Price List, Weapons &amp; Items'!B:D,3,0))</f>
        <v>.</v>
      </c>
      <c r="L962" s="1187">
        <f>VLOOKUP(I962,'Price List, Weapons &amp; Items'!B:E,4,0)</f>
        <v>0</v>
      </c>
      <c r="M962" s="1188" t="s">
        <v>364</v>
      </c>
      <c r="N962" s="1188" t="s">
        <v>364</v>
      </c>
      <c r="O962" s="1188" t="str">
        <f>VLOOKUP($I962,'Price List, Weapons &amp; Items'!B:G,6,0)</f>
        <v>.</v>
      </c>
      <c r="P962" s="1185" t="str">
        <f t="shared" si="197"/>
        <v>.</v>
      </c>
      <c r="Q962" s="1185" t="str">
        <f t="shared" si="198"/>
        <v>.</v>
      </c>
      <c r="R962" s="1185">
        <f t="shared" ref="R962:R1025" si="207">IF(AD962=1,IF(H962&lt;&gt;"Not given",H962,IF(TYPE(H962)=2,IF(SUMIFS(P:P,A:A,A962)&gt;0,SUMIFS(P:P,A:A,A962),"."),"Format error")),"")</f>
        <v>550000</v>
      </c>
      <c r="S962" s="1185">
        <f>IF(AND(AD962=1,R962&lt;&gt;".")=TRUE,R962/VLOOKUP(G962,'Exchange Rates'!B:C,2,0),IF(R962=".",".",""))</f>
        <v>550000</v>
      </c>
      <c r="T962" s="1185" t="str">
        <f>IF(AD962=1,IF(AF962="Value is not given at all",".",IF(AF962="Value is given by the source",S962,IF(AF962="Value is calculated with prices",(IF(SUMIFS(Q:Q,A:A,A962)&gt;0,SUMIFS(Q:Q,A:A,A962),"."))/VLOOKUP("USD",'Exchange Rates'!B:C,2,0),"Error with coding"))),"")</f>
        <v>.</v>
      </c>
      <c r="U962" s="1184" t="s">
        <v>675</v>
      </c>
      <c r="V962" s="971" t="s">
        <v>2685</v>
      </c>
      <c r="W962" s="971" t="s">
        <v>2686</v>
      </c>
      <c r="X962" s="1190" t="s">
        <v>364</v>
      </c>
      <c r="Y962" s="1190" t="s">
        <v>364</v>
      </c>
      <c r="Z962" s="1184">
        <v>0</v>
      </c>
      <c r="AA962" s="1194">
        <v>0</v>
      </c>
      <c r="AB962" s="1180" t="s">
        <v>364</v>
      </c>
      <c r="AC962" s="1192" t="str">
        <f>""</f>
        <v/>
      </c>
      <c r="AD962" s="1193">
        <v>1</v>
      </c>
      <c r="AE962" s="1193" t="s">
        <v>368</v>
      </c>
      <c r="AF962" s="1193" t="s">
        <v>369</v>
      </c>
      <c r="AG962" s="1193">
        <v>0</v>
      </c>
      <c r="AH962" s="1193">
        <v>0</v>
      </c>
      <c r="AI962" s="1193">
        <v>0</v>
      </c>
      <c r="AJ962" s="1193">
        <f>VLOOKUP($I962,'Price List, Weapons &amp; Items'!B:F,5,0)</f>
        <v>0</v>
      </c>
      <c r="AK962" s="1193">
        <f t="shared" si="199"/>
        <v>0</v>
      </c>
      <c r="AL962" s="1193">
        <f t="shared" si="200"/>
        <v>0</v>
      </c>
      <c r="AM962" s="1193">
        <f t="shared" si="201"/>
        <v>0</v>
      </c>
      <c r="AN962" s="1194" t="str">
        <f>VLOOKUP($I962,'Price List, Weapons &amp; Items'!B:L,COLUMN('Price List, Weapons &amp; Items'!$J$11)-1,0)</f>
        <v>.</v>
      </c>
      <c r="AO962" s="1194" t="str">
        <f>IF(I962=".",".",VLOOKUP($I962,'Price List, Weapons &amp; Items'!B:J,3,0))</f>
        <v>.</v>
      </c>
      <c r="AP962" s="1195" t="str">
        <f t="shared" ref="AP962:AP1025" ca="1" si="208">IF(AD962=1,(OFFSET(I962,0,0,COUNTIF(A:A,A962),1)),"")</f>
        <v>.</v>
      </c>
      <c r="AQ962" s="1194">
        <f>VLOOKUP($I962,'Price List, Weapons &amp; Items'!B:L,COLUMN('Price List, Weapons &amp; Items'!$L$11)-1,0)</f>
        <v>0</v>
      </c>
      <c r="AR962" s="1194">
        <f t="shared" si="202"/>
        <v>0</v>
      </c>
      <c r="AS962" s="1194">
        <f t="shared" si="203"/>
        <v>0</v>
      </c>
      <c r="AT962" s="1194" t="str">
        <f t="shared" si="204"/>
        <v>Value is not in date format</v>
      </c>
      <c r="AU962" s="1194" t="str">
        <f t="shared" si="205"/>
        <v>.</v>
      </c>
      <c r="AV962" s="1194" t="str">
        <f t="shared" ref="AV962:AV1025" si="209">IF(AND(_xlfn.ISFORMULA(R962),_xlfn.ISFORMULA(S962),_xlfn.ISFORMULA(T962))=TRUE,".",1)</f>
        <v>.</v>
      </c>
      <c r="AW962" s="1194" t="str">
        <f t="shared" si="206"/>
        <v>.</v>
      </c>
      <c r="AX962" s="1194">
        <f>IFERROR(VLOOKUP(B962,'Share, Heavy Weapons to Ukraine'!B:Z,COLUMN('Share, Heavy Weapons to Ukraine'!C972)-1,0),0)</f>
        <v>0</v>
      </c>
      <c r="AY962" s="1194">
        <f>VLOOKUP('Bilateral Assistance, MAIN DATA'!B962,'Country Summary (€)'!B:F,COLUMN('Country Summary (€)'!C973)-1,FALSE)</f>
        <v>1</v>
      </c>
      <c r="AZ962" s="1194" t="str">
        <f>IF(AND(AD962=1,D962="Military",H962&lt;&gt;"Not given")=TRUE,IF(SUMIFS(P:P,A:A,A962)&gt;0,ABS((SUMIFS(P:P,A:A,A962)/VLOOKUP("USD",'Exchange Rates'!B:C,2,0)))/S962,"."),".")</f>
        <v>.</v>
      </c>
      <c r="BA962" s="1196" t="str">
        <f>IF(AND(AD962=1,D962="Military",H962&lt;&gt;"Not given")=TRUE,IF(SUMIFS(P:P,A:A,A962)&gt;0,IF((ABS((SUMIFS(P:P,A:A,A962)/VLOOKUP("USD",'Exchange Rates'!B:C,2,0)))/S962)&gt;1,(SUMIFS(P:P,A:A,A962)-S962)/S962,(S962-SUMIFS(P:P,A:A,A962))/SUMIFS(P:P,A:A,A962)),"."),".")</f>
        <v>.</v>
      </c>
    </row>
    <row r="963" spans="1:53" ht="15.95" customHeight="1">
      <c r="A963" s="1180" t="s">
        <v>2687</v>
      </c>
      <c r="B963" s="1180" t="s">
        <v>2678</v>
      </c>
      <c r="C963" s="1181">
        <v>44947</v>
      </c>
      <c r="D963" s="1182" t="s">
        <v>360</v>
      </c>
      <c r="E963" s="1182" t="s">
        <v>371</v>
      </c>
      <c r="F963" s="1183" t="s">
        <v>2688</v>
      </c>
      <c r="G963" s="1184" t="s">
        <v>483</v>
      </c>
      <c r="H963" s="1185">
        <v>370000</v>
      </c>
      <c r="I963" s="1190" t="s">
        <v>596</v>
      </c>
      <c r="J963" s="1186" t="str">
        <f>VLOOKUP($I963,'Price List, Weapons &amp; Items'!B:C,2,0)</f>
        <v>Military equipment</v>
      </c>
      <c r="K963" s="1186" t="str">
        <f>IF(I963=".",I963,VLOOKUP($I963,'Price List, Weapons &amp; Items'!B:D,3,0))</f>
        <v>Military equipment</v>
      </c>
      <c r="L963" s="1187">
        <f>VLOOKUP(I963,'Price List, Weapons &amp; Items'!B:E,4,0)</f>
        <v>0</v>
      </c>
      <c r="M963" s="1188">
        <v>20</v>
      </c>
      <c r="N963" s="1188" t="s">
        <v>374</v>
      </c>
      <c r="O963" s="1188">
        <f>VLOOKUP($I963,'Price List, Weapons &amp; Items'!B:G,6,0)</f>
        <v>22216</v>
      </c>
      <c r="P963" s="1185">
        <f t="shared" ref="P963:P1026" si="210">IF(TYPE(M963)=1,IF(TYPE(O963)=1,M963*O963,"No price"),".")</f>
        <v>444320</v>
      </c>
      <c r="Q963" s="1185" t="str">
        <f t="shared" ref="Q963:Q1026" si="211">IF(TYPE(N963)=1,IF(TYPE(O963)=1,N963*O963,"No price"),".")</f>
        <v>.</v>
      </c>
      <c r="R963" s="1185">
        <f t="shared" si="207"/>
        <v>370000</v>
      </c>
      <c r="S963" s="1185">
        <f>IF(AND(AD963=1,R963&lt;&gt;".")=TRUE,R963/VLOOKUP(G963,'Exchange Rates'!B:C,2,0),IF(R963=".",".",""))</f>
        <v>370000</v>
      </c>
      <c r="T963" s="1185" t="str">
        <f>IF(AD963=1,IF(AF963="Value is not given at all",".",IF(AF963="Value is given by the source",S963,IF(AF963="Value is calculated with prices",(IF(SUMIFS(Q:Q,A:A,A963)&gt;0,SUMIFS(Q:Q,A:A,A963),"."))/VLOOKUP("USD",'Exchange Rates'!B:C,2,0),"Error with coding"))),"")</f>
        <v>.</v>
      </c>
      <c r="U963" s="1184" t="s">
        <v>675</v>
      </c>
      <c r="V963" s="1002" t="s">
        <v>2689</v>
      </c>
      <c r="W963" s="1002" t="s">
        <v>2690</v>
      </c>
      <c r="X963" s="1003" t="s">
        <v>2691</v>
      </c>
      <c r="Y963" s="1190" t="s">
        <v>364</v>
      </c>
      <c r="Z963" s="1184">
        <v>0</v>
      </c>
      <c r="AA963" s="1194">
        <v>0</v>
      </c>
      <c r="AB963" s="1180" t="s">
        <v>364</v>
      </c>
      <c r="AC963" s="1192" t="str">
        <f>""</f>
        <v/>
      </c>
      <c r="AD963" s="1193">
        <v>1</v>
      </c>
      <c r="AE963" s="1193" t="s">
        <v>368</v>
      </c>
      <c r="AF963" s="1193" t="s">
        <v>369</v>
      </c>
      <c r="AG963" s="1193">
        <v>1</v>
      </c>
      <c r="AH963" s="1193">
        <v>13</v>
      </c>
      <c r="AI963" s="1193">
        <v>0</v>
      </c>
      <c r="AJ963" s="1193">
        <f>VLOOKUP($I963,'Price List, Weapons &amp; Items'!B:F,5,0)</f>
        <v>0</v>
      </c>
      <c r="AK963" s="1193">
        <f t="shared" ref="AK963:AK1026" si="212">IF(AND(AJ963=1,M963="undisclosed")=TRUE,1,0)</f>
        <v>0</v>
      </c>
      <c r="AL963" s="1193">
        <f t="shared" ref="AL963:AL1026" si="213">IF(AND(AJ963=1,N963="undisclosed")=TRUE,1,0)</f>
        <v>0</v>
      </c>
      <c r="AM963" s="1193">
        <f t="shared" ref="AM963:AM1026" si="214">IFERROR(IF(SEARCH("ammuni",I963,1)&gt;0,1,0),0)</f>
        <v>0</v>
      </c>
      <c r="AN963" s="1194" t="str">
        <f>VLOOKUP($I963,'Price List, Weapons &amp; Items'!B:L,COLUMN('Price List, Weapons &amp; Items'!$J$11)-1,0)</f>
        <v>Government information</v>
      </c>
      <c r="AO963" s="1194" t="str">
        <f>IF(I963=".",".",VLOOKUP($I963,'Price List, Weapons &amp; Items'!B:J,3,0))</f>
        <v>Military equipment</v>
      </c>
      <c r="AP963" s="1195" t="str">
        <f t="shared" ca="1" si="208"/>
        <v>generator</v>
      </c>
      <c r="AQ963" s="1194">
        <f>VLOOKUP($I963,'Price List, Weapons &amp; Items'!B:L,COLUMN('Price List, Weapons &amp; Items'!$L$11)-1,0)</f>
        <v>2</v>
      </c>
      <c r="AR963" s="1194">
        <f t="shared" ref="AR963:AR1026" si="215">IF(U963="Yes",1,0)</f>
        <v>0</v>
      </c>
      <c r="AS963" s="1194">
        <f t="shared" ref="AS963:AS1026" si="216">IF(D963="Military",IF(OR(IFERROR(SEARCH("equipment",E963,1),0)&gt;0,IFERROR(SEARCH("weapons",E963,1),0)&gt;0),1,0),0)</f>
        <v>0</v>
      </c>
      <c r="AT963" s="1194">
        <f t="shared" ref="AT963:AT1026" si="217">IFERROR(IF(VALUE(TEXT(C963,"mm"))=IF(AH963&gt;12,AH963-12,AH963),".",IF(TEXT(C963,"mm")="01",".",1)),"Value is not in date format")</f>
        <v>1</v>
      </c>
      <c r="AU963" s="1194" t="str">
        <f t="shared" ref="AU963:AU1026" si="218">IF(AND(A963=A962,C963=C962)=TRUE,IF(F963=F962,".","1"),".")</f>
        <v>.</v>
      </c>
      <c r="AV963" s="1194" t="str">
        <f t="shared" si="209"/>
        <v>.</v>
      </c>
      <c r="AW963" s="1194" t="str">
        <f t="shared" ref="AW963:AW1026" si="219">IF(T963&lt;&gt;".",IF(T963&gt;S963,1,"."),".")</f>
        <v>.</v>
      </c>
      <c r="AX963" s="1194">
        <f>IFERROR(VLOOKUP(B963,'Share, Heavy Weapons to Ukraine'!B:Z,COLUMN('Share, Heavy Weapons to Ukraine'!C973)-1,0),0)</f>
        <v>0</v>
      </c>
      <c r="AY963" s="1194">
        <f>VLOOKUP('Bilateral Assistance, MAIN DATA'!B963,'Country Summary (€)'!B:F,COLUMN('Country Summary (€)'!C974)-1,FALSE)</f>
        <v>1</v>
      </c>
      <c r="AZ963" s="1194" t="str">
        <f>IF(AND(AD963=1,D963="Military",H963&lt;&gt;"Not given")=TRUE,IF(SUMIFS(P:P,A:A,A963)&gt;0,ABS((SUMIFS(P:P,A:A,A963)/VLOOKUP("USD",'Exchange Rates'!B:C,2,0)))/S963,"."),".")</f>
        <v>.</v>
      </c>
      <c r="BA963" s="1196" t="str">
        <f>IF(AND(AD963=1,D963="Military",H963&lt;&gt;"Not given")=TRUE,IF(SUMIFS(P:P,A:A,A963)&gt;0,IF((ABS((SUMIFS(P:P,A:A,A963)/VLOOKUP("USD",'Exchange Rates'!B:C,2,0)))/S963)&gt;1,(SUMIFS(P:P,A:A,A963)-S963)/S963,(S963-SUMIFS(P:P,A:A,A963))/SUMIFS(P:P,A:A,A963)),"."),".")</f>
        <v>.</v>
      </c>
    </row>
    <row r="964" spans="1:53" ht="15.95" customHeight="1">
      <c r="A964" s="1180" t="s">
        <v>2687</v>
      </c>
      <c r="B964" s="1180" t="s">
        <v>2678</v>
      </c>
      <c r="C964" s="1181">
        <v>44947</v>
      </c>
      <c r="D964" s="1182" t="s">
        <v>360</v>
      </c>
      <c r="E964" s="1182" t="s">
        <v>371</v>
      </c>
      <c r="F964" s="1183" t="s">
        <v>2688</v>
      </c>
      <c r="G964" s="1184" t="s">
        <v>483</v>
      </c>
      <c r="H964" s="1185">
        <v>370000</v>
      </c>
      <c r="I964" s="1183" t="s">
        <v>1399</v>
      </c>
      <c r="J964" s="1186" t="str">
        <f>VLOOKUP($I964,'Price List, Weapons &amp; Items'!B:C,2,0)</f>
        <v>Military equipment</v>
      </c>
      <c r="K964" s="1186" t="str">
        <f>IF(I964=".",I964,VLOOKUP($I964,'Price List, Weapons &amp; Items'!B:D,3,0))</f>
        <v>Military equipment</v>
      </c>
      <c r="L964" s="1187">
        <f>VLOOKUP(I964,'Price List, Weapons &amp; Items'!B:E,4,0)</f>
        <v>0</v>
      </c>
      <c r="M964" s="1188" t="s">
        <v>374</v>
      </c>
      <c r="N964" s="1188" t="s">
        <v>374</v>
      </c>
      <c r="O964" s="1188" t="str">
        <f>VLOOKUP($I964,'Price List, Weapons &amp; Items'!B:G,6,0)</f>
        <v>.</v>
      </c>
      <c r="P964" s="1185" t="str">
        <f t="shared" si="210"/>
        <v>.</v>
      </c>
      <c r="Q964" s="1185" t="str">
        <f t="shared" si="211"/>
        <v>.</v>
      </c>
      <c r="R964" s="1185" t="str">
        <f t="shared" si="207"/>
        <v/>
      </c>
      <c r="S964" s="1185" t="str">
        <f>IF(AND(AD964=1,R964&lt;&gt;".")=TRUE,R964/VLOOKUP(G964,'Exchange Rates'!B:C,2,0),IF(R964=".",".",""))</f>
        <v/>
      </c>
      <c r="T964" s="1185" t="str">
        <f>IF(AD964=1,IF(AF964="Value is not given at all",".",IF(AF964="Value is given by the source",S964,IF(AF964="Value is calculated with prices",(IF(SUMIFS(Q:Q,A:A,A964)&gt;0,SUMIFS(Q:Q,A:A,A964),"."))/VLOOKUP("USD",'Exchange Rates'!B:C,2,0),"Error with coding"))),"")</f>
        <v/>
      </c>
      <c r="U964" s="1184" t="s">
        <v>675</v>
      </c>
      <c r="V964" s="1002" t="s">
        <v>2689</v>
      </c>
      <c r="W964" s="1002" t="s">
        <v>2690</v>
      </c>
      <c r="X964" s="1003" t="s">
        <v>2691</v>
      </c>
      <c r="Y964" s="1190" t="s">
        <v>364</v>
      </c>
      <c r="Z964" s="1184">
        <v>0</v>
      </c>
      <c r="AA964" s="1194">
        <v>0</v>
      </c>
      <c r="AB964" s="1180" t="s">
        <v>364</v>
      </c>
      <c r="AC964" s="1192" t="str">
        <f>""</f>
        <v/>
      </c>
      <c r="AD964" s="1193">
        <v>0</v>
      </c>
      <c r="AE964" s="1193" t="s">
        <v>368</v>
      </c>
      <c r="AF964" s="1193" t="s">
        <v>369</v>
      </c>
      <c r="AG964" s="1193">
        <v>1</v>
      </c>
      <c r="AH964" s="1193">
        <v>13</v>
      </c>
      <c r="AI964" s="1193">
        <v>0</v>
      </c>
      <c r="AJ964" s="1193">
        <f>VLOOKUP($I964,'Price List, Weapons &amp; Items'!B:F,5,0)</f>
        <v>0</v>
      </c>
      <c r="AK964" s="1193">
        <f t="shared" si="212"/>
        <v>0</v>
      </c>
      <c r="AL964" s="1193">
        <f t="shared" si="213"/>
        <v>0</v>
      </c>
      <c r="AM964" s="1193">
        <f t="shared" si="214"/>
        <v>0</v>
      </c>
      <c r="AN964" s="1194" t="str">
        <f>VLOOKUP($I964,'Price List, Weapons &amp; Items'!B:L,COLUMN('Price List, Weapons &amp; Items'!$J$11)-1,0)</f>
        <v>.</v>
      </c>
      <c r="AO964" s="1194" t="str">
        <f>IF(I964=".",".",VLOOKUP($I964,'Price List, Weapons &amp; Items'!B:J,3,0))</f>
        <v>Military equipment</v>
      </c>
      <c r="AP964" s="1195" t="str">
        <f t="shared" ca="1" si="208"/>
        <v/>
      </c>
      <c r="AQ964" s="1194" t="str">
        <f>VLOOKUP($I964,'Price List, Weapons &amp; Items'!B:L,COLUMN('Price List, Weapons &amp; Items'!$L$11)-1,0)</f>
        <v>no price, 0 count</v>
      </c>
      <c r="AR964" s="1194">
        <f t="shared" si="215"/>
        <v>0</v>
      </c>
      <c r="AS964" s="1194">
        <f t="shared" si="216"/>
        <v>0</v>
      </c>
      <c r="AT964" s="1194">
        <f t="shared" si="217"/>
        <v>1</v>
      </c>
      <c r="AU964" s="1194" t="str">
        <f t="shared" si="218"/>
        <v>.</v>
      </c>
      <c r="AV964" s="1194" t="str">
        <f t="shared" si="209"/>
        <v>.</v>
      </c>
      <c r="AW964" s="1194" t="str">
        <f t="shared" si="219"/>
        <v>.</v>
      </c>
      <c r="AX964" s="1194">
        <f>IFERROR(VLOOKUP(B964,'Share, Heavy Weapons to Ukraine'!B:Z,COLUMN('Share, Heavy Weapons to Ukraine'!C974)-1,0),0)</f>
        <v>0</v>
      </c>
      <c r="AY964" s="1194">
        <f>VLOOKUP('Bilateral Assistance, MAIN DATA'!B964,'Country Summary (€)'!B:F,COLUMN('Country Summary (€)'!C975)-1,FALSE)</f>
        <v>1</v>
      </c>
      <c r="AZ964" s="1194" t="str">
        <f>IF(AND(AD964=1,D964="Military",H964&lt;&gt;"Not given")=TRUE,IF(SUMIFS(P:P,A:A,A964)&gt;0,ABS((SUMIFS(P:P,A:A,A964)/VLOOKUP("USD",'Exchange Rates'!B:C,2,0)))/S964,"."),".")</f>
        <v>.</v>
      </c>
      <c r="BA964" s="1196" t="str">
        <f>IF(AND(AD964=1,D964="Military",H964&lt;&gt;"Not given")=TRUE,IF(SUMIFS(P:P,A:A,A964)&gt;0,IF((ABS((SUMIFS(P:P,A:A,A964)/VLOOKUP("USD",'Exchange Rates'!B:C,2,0)))/S964)&gt;1,(SUMIFS(P:P,A:A,A964)-S964)/S964,(S964-SUMIFS(P:P,A:A,A964))/SUMIFS(P:P,A:A,A964)),"."),".")</f>
        <v>.</v>
      </c>
    </row>
    <row r="965" spans="1:53" ht="15.95" customHeight="1">
      <c r="A965" s="1182" t="s">
        <v>2692</v>
      </c>
      <c r="B965" s="1182" t="s">
        <v>2693</v>
      </c>
      <c r="C965" s="1181">
        <v>44610</v>
      </c>
      <c r="D965" s="1182" t="s">
        <v>389</v>
      </c>
      <c r="E965" s="1182" t="s">
        <v>390</v>
      </c>
      <c r="F965" s="1183" t="s">
        <v>2694</v>
      </c>
      <c r="G965" s="1184" t="s">
        <v>483</v>
      </c>
      <c r="H965" s="1185">
        <v>50000000</v>
      </c>
      <c r="I965" s="1180" t="s">
        <v>594</v>
      </c>
      <c r="J965" s="1186" t="str">
        <f>VLOOKUP($I965,'Price List, Weapons &amp; Items'!B:C,2,0)</f>
        <v>Military equipment</v>
      </c>
      <c r="K965" s="1186" t="str">
        <f>IF(I965=".",I965,VLOOKUP($I965,'Price List, Weapons &amp; Items'!B:D,3,0))</f>
        <v>Military equipment</v>
      </c>
      <c r="L965" s="1187">
        <f>VLOOKUP(I965,'Price List, Weapons &amp; Items'!B:E,4,0)</f>
        <v>0</v>
      </c>
      <c r="M965" s="1188">
        <v>3000</v>
      </c>
      <c r="N965" s="1188">
        <v>3000</v>
      </c>
      <c r="O965" s="1188">
        <f>VLOOKUP($I965,'Price List, Weapons &amp; Items'!B:G,6,0)</f>
        <v>1400</v>
      </c>
      <c r="P965" s="1185">
        <f t="shared" si="210"/>
        <v>4200000</v>
      </c>
      <c r="Q965" s="1185">
        <f t="shared" si="211"/>
        <v>4200000</v>
      </c>
      <c r="R965" s="1185">
        <f t="shared" si="207"/>
        <v>50000000</v>
      </c>
      <c r="S965" s="1185">
        <f>IF(AND(AD965=1,R965&lt;&gt;".")=TRUE,R965/VLOOKUP(G965,'Exchange Rates'!B:C,2,0),IF(R965=".",".",""))</f>
        <v>50000000</v>
      </c>
      <c r="T965" s="1185">
        <f>IF(AD965=1,IF(AF965="Value is not given at all",".",IF(AF965="Value is given by the source",S965,IF(AF965="Value is calculated with prices",(IF(SUMIFS(Q:Q,A:A,A965)&gt;0,SUMIFS(Q:Q,A:A,A965),"."))/VLOOKUP("USD",'Exchange Rates'!B:C,2,0),"Error with coding"))),"")</f>
        <v>50000000</v>
      </c>
      <c r="U965" s="1184" t="s">
        <v>365</v>
      </c>
      <c r="V965" s="974" t="s">
        <v>2695</v>
      </c>
      <c r="W965" s="974" t="s">
        <v>2696</v>
      </c>
      <c r="X965" s="974" t="s">
        <v>2697</v>
      </c>
      <c r="Y965" s="974" t="s">
        <v>2698</v>
      </c>
      <c r="Z965" s="1194">
        <v>0</v>
      </c>
      <c r="AA965" s="1194">
        <v>0</v>
      </c>
      <c r="AB965" s="977" t="s">
        <v>2695</v>
      </c>
      <c r="AC965" s="1192" t="str">
        <f>""</f>
        <v/>
      </c>
      <c r="AD965" s="1193">
        <v>1</v>
      </c>
      <c r="AE965" s="1193" t="s">
        <v>368</v>
      </c>
      <c r="AF965" s="1193" t="s">
        <v>368</v>
      </c>
      <c r="AG965" s="1193">
        <v>1</v>
      </c>
      <c r="AH965" s="1193">
        <v>2</v>
      </c>
      <c r="AI965" s="1193">
        <v>1</v>
      </c>
      <c r="AJ965" s="1193">
        <f>VLOOKUP($I965,'Price List, Weapons &amp; Items'!B:F,5,0)</f>
        <v>0</v>
      </c>
      <c r="AK965" s="1193">
        <f t="shared" si="212"/>
        <v>0</v>
      </c>
      <c r="AL965" s="1193">
        <f t="shared" si="213"/>
        <v>0</v>
      </c>
      <c r="AM965" s="1193">
        <f t="shared" si="214"/>
        <v>0</v>
      </c>
      <c r="AN965" s="1194" t="str">
        <f>VLOOKUP($I965,'Price List, Weapons &amp; Items'!B:L,COLUMN('Price List, Weapons &amp; Items'!$J$11)-1,0)</f>
        <v>Military media (incl. websites)</v>
      </c>
      <c r="AO965" s="1194" t="str">
        <f>IF(I965=".",".",VLOOKUP($I965,'Price List, Weapons &amp; Items'!B:J,3,0))</f>
        <v>Military equipment</v>
      </c>
      <c r="AP965" s="1195" t="str">
        <f t="shared" ca="1" si="208"/>
        <v>helmet</v>
      </c>
      <c r="AQ965" s="1194">
        <f>VLOOKUP($I965,'Price List, Weapons &amp; Items'!B:L,COLUMN('Price List, Weapons &amp; Items'!$L$11)-1,0)</f>
        <v>2</v>
      </c>
      <c r="AR965" s="1194">
        <f t="shared" si="215"/>
        <v>1</v>
      </c>
      <c r="AS965" s="1194">
        <f t="shared" si="216"/>
        <v>1</v>
      </c>
      <c r="AT965" s="1194">
        <f t="shared" si="217"/>
        <v>1</v>
      </c>
      <c r="AU965" s="1194" t="str">
        <f t="shared" si="218"/>
        <v>.</v>
      </c>
      <c r="AV965" s="1194" t="str">
        <f t="shared" si="209"/>
        <v>.</v>
      </c>
      <c r="AW965" s="1194" t="str">
        <f t="shared" si="219"/>
        <v>.</v>
      </c>
      <c r="AX965" s="1194">
        <f>IFERROR(VLOOKUP(B965,'Share, Heavy Weapons to Ukraine'!B:Z,COLUMN('Share, Heavy Weapons to Ukraine'!C975)-1,0),0)</f>
        <v>0</v>
      </c>
      <c r="AY965" s="1194">
        <f>VLOOKUP('Bilateral Assistance, MAIN DATA'!B965,'Country Summary (€)'!B:F,COLUMN('Country Summary (€)'!C976)-1,FALSE)</f>
        <v>1</v>
      </c>
      <c r="AZ965" s="1194">
        <f>IF(AND(AD965=1,D965="Military",H965&lt;&gt;"Not given")=TRUE,IF(SUMIFS(P:P,A:A,A965)&gt;0,ABS((SUMIFS(P:P,A:A,A965)/VLOOKUP("USD",'Exchange Rates'!B:C,2,0)))/S965,"."),".")</f>
        <v>3.4228610066249536</v>
      </c>
      <c r="BA965" s="1196">
        <f>IF(AND(AD965=1,D965="Military",H965&lt;&gt;"Not given")=TRUE,IF(SUMIFS(P:P,A:A,A965)&gt;0,IF((ABS((SUMIFS(P:P,A:A,A965)/VLOOKUP("USD",'Exchange Rates'!B:C,2,0)))/S965)&gt;1,(SUMIFS(P:P,A:A,A965)-S965)/S965,(S965-SUMIFS(P:P,A:A,A965))/SUMIFS(P:P,A:A,A965)),"."),".")</f>
        <v>2.7199653420000001</v>
      </c>
    </row>
    <row r="966" spans="1:53" ht="15.95" customHeight="1">
      <c r="A966" s="1182" t="s">
        <v>2692</v>
      </c>
      <c r="B966" s="1182" t="s">
        <v>2693</v>
      </c>
      <c r="C966" s="1181">
        <v>44610</v>
      </c>
      <c r="D966" s="1182" t="s">
        <v>389</v>
      </c>
      <c r="E966" s="1182" t="s">
        <v>390</v>
      </c>
      <c r="F966" s="1183" t="s">
        <v>2694</v>
      </c>
      <c r="G966" s="1184" t="s">
        <v>483</v>
      </c>
      <c r="H966" s="1185">
        <v>50000000</v>
      </c>
      <c r="I966" s="1180" t="s">
        <v>694</v>
      </c>
      <c r="J966" s="1186" t="str">
        <f>VLOOKUP($I966,'Price List, Weapons &amp; Items'!B:C,2,0)</f>
        <v>Military equipment</v>
      </c>
      <c r="K966" s="1186" t="str">
        <f>IF(I966=".",I966,VLOOKUP($I966,'Price List, Weapons &amp; Items'!B:D,3,0))</f>
        <v>Military equipment</v>
      </c>
      <c r="L966" s="1187">
        <f>VLOOKUP(I966,'Price List, Weapons &amp; Items'!B:E,4,0)</f>
        <v>0</v>
      </c>
      <c r="M966" s="1188">
        <v>2000</v>
      </c>
      <c r="N966" s="1188">
        <v>2000</v>
      </c>
      <c r="O966" s="1188">
        <f>VLOOKUP($I966,'Price List, Weapons &amp; Items'!B:G,6,0)</f>
        <v>500</v>
      </c>
      <c r="P966" s="1185">
        <f t="shared" si="210"/>
        <v>1000000</v>
      </c>
      <c r="Q966" s="1185">
        <f t="shared" si="211"/>
        <v>1000000</v>
      </c>
      <c r="R966" s="1185" t="str">
        <f t="shared" si="207"/>
        <v/>
      </c>
      <c r="S966" s="1185" t="str">
        <f>IF(AND(AD966=1,R966&lt;&gt;".")=TRUE,R966/VLOOKUP(G966,'Exchange Rates'!B:C,2,0),IF(R966=".",".",""))</f>
        <v/>
      </c>
      <c r="T966" s="1185" t="str">
        <f>IF(AD966=1,IF(AF966="Value is not given at all",".",IF(AF966="Value is given by the source",S966,IF(AF966="Value is calculated with prices",(IF(SUMIFS(Q:Q,A:A,A966)&gt;0,SUMIFS(Q:Q,A:A,A966),"."))/VLOOKUP("USD",'Exchange Rates'!B:C,2,0),"Error with coding"))),"")</f>
        <v/>
      </c>
      <c r="U966" s="1184" t="s">
        <v>365</v>
      </c>
      <c r="V966" s="974" t="s">
        <v>2695</v>
      </c>
      <c r="W966" s="974" t="s">
        <v>2696</v>
      </c>
      <c r="X966" s="974" t="s">
        <v>2697</v>
      </c>
      <c r="Y966" s="974" t="s">
        <v>2698</v>
      </c>
      <c r="Z966" s="1194">
        <v>0</v>
      </c>
      <c r="AA966" s="1194">
        <v>0</v>
      </c>
      <c r="AB966" s="977" t="s">
        <v>2695</v>
      </c>
      <c r="AC966" s="1192" t="str">
        <f>""</f>
        <v/>
      </c>
      <c r="AD966" s="1193">
        <v>0</v>
      </c>
      <c r="AE966" s="1193" t="s">
        <v>368</v>
      </c>
      <c r="AF966" s="1193" t="s">
        <v>368</v>
      </c>
      <c r="AG966" s="1193">
        <v>1</v>
      </c>
      <c r="AH966" s="1193">
        <v>2</v>
      </c>
      <c r="AI966" s="1193">
        <v>1</v>
      </c>
      <c r="AJ966" s="1193">
        <f>VLOOKUP($I966,'Price List, Weapons &amp; Items'!B:F,5,0)</f>
        <v>0</v>
      </c>
      <c r="AK966" s="1193">
        <f t="shared" si="212"/>
        <v>0</v>
      </c>
      <c r="AL966" s="1193">
        <f t="shared" si="213"/>
        <v>0</v>
      </c>
      <c r="AM966" s="1193">
        <f t="shared" si="214"/>
        <v>0</v>
      </c>
      <c r="AN966" s="1194" t="str">
        <f>VLOOKUP($I966,'Price List, Weapons &amp; Items'!B:L,COLUMN('Price List, Weapons &amp; Items'!$J$11)-1,0)</f>
        <v>Military media (incl. websites)</v>
      </c>
      <c r="AO966" s="1194" t="str">
        <f>IF(I966=".",".",VLOOKUP($I966,'Price List, Weapons &amp; Items'!B:J,3,0))</f>
        <v>Military equipment</v>
      </c>
      <c r="AP966" s="1195" t="str">
        <f t="shared" ca="1" si="208"/>
        <v/>
      </c>
      <c r="AQ966" s="1194">
        <f>VLOOKUP($I966,'Price List, Weapons &amp; Items'!B:L,COLUMN('Price List, Weapons &amp; Items'!$L$11)-1,0)</f>
        <v>2</v>
      </c>
      <c r="AR966" s="1194">
        <f t="shared" si="215"/>
        <v>1</v>
      </c>
      <c r="AS966" s="1194">
        <f t="shared" si="216"/>
        <v>1</v>
      </c>
      <c r="AT966" s="1194">
        <f t="shared" si="217"/>
        <v>1</v>
      </c>
      <c r="AU966" s="1194" t="str">
        <f t="shared" si="218"/>
        <v>.</v>
      </c>
      <c r="AV966" s="1194" t="str">
        <f t="shared" si="209"/>
        <v>.</v>
      </c>
      <c r="AW966" s="1194" t="str">
        <f t="shared" si="219"/>
        <v>.</v>
      </c>
      <c r="AX966" s="1194">
        <f>IFERROR(VLOOKUP(B966,'Share, Heavy Weapons to Ukraine'!B:Z,COLUMN('Share, Heavy Weapons to Ukraine'!C976)-1,0),0)</f>
        <v>0</v>
      </c>
      <c r="AY966" s="1194">
        <f>VLOOKUP('Bilateral Assistance, MAIN DATA'!B966,'Country Summary (€)'!B:F,COLUMN('Country Summary (€)'!C977)-1,FALSE)</f>
        <v>1</v>
      </c>
      <c r="AZ966" s="1194" t="str">
        <f>IF(AND(AD966=1,D966="Military",H966&lt;&gt;"Not given")=TRUE,IF(SUMIFS(P:P,A:A,A966)&gt;0,ABS((SUMIFS(P:P,A:A,A966)/VLOOKUP("USD",'Exchange Rates'!B:C,2,0)))/S966,"."),".")</f>
        <v>.</v>
      </c>
      <c r="BA966" s="1196" t="str">
        <f>IF(AND(AD966=1,D966="Military",H966&lt;&gt;"Not given")=TRUE,IF(SUMIFS(P:P,A:A,A966)&gt;0,IF((ABS((SUMIFS(P:P,A:A,A966)/VLOOKUP("USD",'Exchange Rates'!B:C,2,0)))/S966)&gt;1,(SUMIFS(P:P,A:A,A966)-S966)/S966,(S966-SUMIFS(P:P,A:A,A966))/SUMIFS(P:P,A:A,A966)),"."),".")</f>
        <v>.</v>
      </c>
    </row>
    <row r="967" spans="1:53" ht="15.95" customHeight="1">
      <c r="A967" s="1182" t="s">
        <v>2692</v>
      </c>
      <c r="B967" s="1182" t="s">
        <v>2693</v>
      </c>
      <c r="C967" s="1181">
        <v>44610</v>
      </c>
      <c r="D967" s="1182" t="s">
        <v>389</v>
      </c>
      <c r="E967" s="1182" t="s">
        <v>390</v>
      </c>
      <c r="F967" s="1183" t="s">
        <v>2694</v>
      </c>
      <c r="G967" s="1184" t="s">
        <v>483</v>
      </c>
      <c r="H967" s="1185">
        <v>50000000</v>
      </c>
      <c r="I967" s="1180" t="s">
        <v>2699</v>
      </c>
      <c r="J967" s="1186" t="str">
        <f>VLOOKUP($I967,'Price List, Weapons &amp; Items'!B:C,2,0)</f>
        <v>Military equipment</v>
      </c>
      <c r="K967" s="1186" t="str">
        <f>IF(I967=".",I967,VLOOKUP($I967,'Price List, Weapons &amp; Items'!B:D,3,0))</f>
        <v>Military equipment</v>
      </c>
      <c r="L967" s="1187">
        <f>VLOOKUP(I967,'Price List, Weapons &amp; Items'!B:E,4,0)</f>
        <v>0</v>
      </c>
      <c r="M967" s="1188">
        <v>30</v>
      </c>
      <c r="N967" s="1188">
        <v>30</v>
      </c>
      <c r="O967" s="1188">
        <f>VLOOKUP($I967,'Price List, Weapons &amp; Items'!B:G,6,0)</f>
        <v>1200</v>
      </c>
      <c r="P967" s="1185">
        <f t="shared" si="210"/>
        <v>36000</v>
      </c>
      <c r="Q967" s="1185">
        <f t="shared" si="211"/>
        <v>36000</v>
      </c>
      <c r="R967" s="1185" t="str">
        <f t="shared" si="207"/>
        <v/>
      </c>
      <c r="S967" s="1185" t="str">
        <f>IF(AND(AD967=1,R967&lt;&gt;".")=TRUE,R967/VLOOKUP(G967,'Exchange Rates'!B:C,2,0),IF(R967=".",".",""))</f>
        <v/>
      </c>
      <c r="T967" s="1185" t="str">
        <f>IF(AD967=1,IF(AF967="Value is not given at all",".",IF(AF967="Value is given by the source",S967,IF(AF967="Value is calculated with prices",(IF(SUMIFS(Q:Q,A:A,A967)&gt;0,SUMIFS(Q:Q,A:A,A967),"."))/VLOOKUP("USD",'Exchange Rates'!B:C,2,0),"Error with coding"))),"")</f>
        <v/>
      </c>
      <c r="U967" s="1184" t="s">
        <v>365</v>
      </c>
      <c r="V967" s="974" t="s">
        <v>2695</v>
      </c>
      <c r="W967" s="974" t="s">
        <v>2696</v>
      </c>
      <c r="X967" s="974" t="s">
        <v>2697</v>
      </c>
      <c r="Y967" s="974" t="s">
        <v>2698</v>
      </c>
      <c r="Z967" s="1194">
        <v>0</v>
      </c>
      <c r="AA967" s="1194">
        <v>0</v>
      </c>
      <c r="AB967" s="977" t="s">
        <v>2695</v>
      </c>
      <c r="AC967" s="1192" t="str">
        <f>""</f>
        <v/>
      </c>
      <c r="AD967" s="1193">
        <v>0</v>
      </c>
      <c r="AE967" s="1193" t="s">
        <v>368</v>
      </c>
      <c r="AF967" s="1193" t="s">
        <v>368</v>
      </c>
      <c r="AG967" s="1193">
        <v>1</v>
      </c>
      <c r="AH967" s="1193">
        <v>2</v>
      </c>
      <c r="AI967" s="1193">
        <v>1</v>
      </c>
      <c r="AJ967" s="1193">
        <f>VLOOKUP($I967,'Price List, Weapons &amp; Items'!B:F,5,0)</f>
        <v>0</v>
      </c>
      <c r="AK967" s="1193">
        <f t="shared" si="212"/>
        <v>0</v>
      </c>
      <c r="AL967" s="1193">
        <f t="shared" si="213"/>
        <v>0</v>
      </c>
      <c r="AM967" s="1193">
        <f t="shared" si="214"/>
        <v>0</v>
      </c>
      <c r="AN967" s="1194" t="str">
        <f>VLOOKUP($I967,'Price List, Weapons &amp; Items'!B:L,COLUMN('Price List, Weapons &amp; Items'!$J$11)-1,0)</f>
        <v>Miscellaneous</v>
      </c>
      <c r="AO967" s="1194" t="str">
        <f>IF(I967=".",".",VLOOKUP($I967,'Price List, Weapons &amp; Items'!B:J,3,0))</f>
        <v>Military equipment</v>
      </c>
      <c r="AP967" s="1195" t="str">
        <f t="shared" ca="1" si="208"/>
        <v/>
      </c>
      <c r="AQ967" s="1194">
        <f>VLOOKUP($I967,'Price List, Weapons &amp; Items'!B:L,COLUMN('Price List, Weapons &amp; Items'!$L$11)-1,0)</f>
        <v>1</v>
      </c>
      <c r="AR967" s="1194">
        <f t="shared" si="215"/>
        <v>1</v>
      </c>
      <c r="AS967" s="1194">
        <f t="shared" si="216"/>
        <v>1</v>
      </c>
      <c r="AT967" s="1194">
        <f t="shared" si="217"/>
        <v>1</v>
      </c>
      <c r="AU967" s="1194" t="str">
        <f t="shared" si="218"/>
        <v>.</v>
      </c>
      <c r="AV967" s="1194" t="str">
        <f t="shared" si="209"/>
        <v>.</v>
      </c>
      <c r="AW967" s="1194" t="str">
        <f t="shared" si="219"/>
        <v>.</v>
      </c>
      <c r="AX967" s="1194">
        <f>IFERROR(VLOOKUP(B967,'Share, Heavy Weapons to Ukraine'!B:Z,COLUMN('Share, Heavy Weapons to Ukraine'!C977)-1,0),0)</f>
        <v>0</v>
      </c>
      <c r="AY967" s="1194">
        <f>VLOOKUP('Bilateral Assistance, MAIN DATA'!B967,'Country Summary (€)'!B:F,COLUMN('Country Summary (€)'!C978)-1,FALSE)</f>
        <v>1</v>
      </c>
      <c r="AZ967" s="1194" t="str">
        <f>IF(AND(AD967=1,D967="Military",H967&lt;&gt;"Not given")=TRUE,IF(SUMIFS(P:P,A:A,A967)&gt;0,ABS((SUMIFS(P:P,A:A,A967)/VLOOKUP("USD",'Exchange Rates'!B:C,2,0)))/S967,"."),".")</f>
        <v>.</v>
      </c>
      <c r="BA967" s="1196" t="str">
        <f>IF(AND(AD967=1,D967="Military",H967&lt;&gt;"Not given")=TRUE,IF(SUMIFS(P:P,A:A,A967)&gt;0,IF((ABS((SUMIFS(P:P,A:A,A967)/VLOOKUP("USD",'Exchange Rates'!B:C,2,0)))/S967)&gt;1,(SUMIFS(P:P,A:A,A967)-S967)/S967,(S967-SUMIFS(P:P,A:A,A967))/SUMIFS(P:P,A:A,A967)),"."),".")</f>
        <v>.</v>
      </c>
    </row>
    <row r="968" spans="1:53" ht="15.95" customHeight="1">
      <c r="A968" s="1182" t="s">
        <v>2692</v>
      </c>
      <c r="B968" s="1182" t="s">
        <v>2693</v>
      </c>
      <c r="C968" s="1181">
        <v>44610</v>
      </c>
      <c r="D968" s="1182" t="s">
        <v>389</v>
      </c>
      <c r="E968" s="1182" t="s">
        <v>390</v>
      </c>
      <c r="F968" s="1183" t="s">
        <v>2694</v>
      </c>
      <c r="G968" s="1184" t="s">
        <v>483</v>
      </c>
      <c r="H968" s="1185">
        <v>50000000</v>
      </c>
      <c r="I968" s="1180" t="s">
        <v>2700</v>
      </c>
      <c r="J968" s="1186" t="str">
        <f>VLOOKUP($I968,'Price List, Weapons &amp; Items'!B:C,2,0)</f>
        <v>Military equipment</v>
      </c>
      <c r="K968" s="1186" t="str">
        <f>IF(I968=".",I968,VLOOKUP($I968,'Price List, Weapons &amp; Items'!B:D,3,0))</f>
        <v>Military equipment</v>
      </c>
      <c r="L968" s="1187">
        <f>VLOOKUP(I968,'Price List, Weapons &amp; Items'!B:E,4,0)</f>
        <v>0</v>
      </c>
      <c r="M968" s="1188">
        <v>2</v>
      </c>
      <c r="N968" s="1188">
        <v>2</v>
      </c>
      <c r="O968" s="1188" t="str">
        <f>VLOOKUP($I968,'Price List, Weapons &amp; Items'!B:G,6,0)</f>
        <v>.</v>
      </c>
      <c r="P968" s="1185" t="str">
        <f t="shared" si="210"/>
        <v>No price</v>
      </c>
      <c r="Q968" s="1185" t="str">
        <f t="shared" si="211"/>
        <v>No price</v>
      </c>
      <c r="R968" s="1185" t="str">
        <f t="shared" si="207"/>
        <v/>
      </c>
      <c r="S968" s="1185" t="str">
        <f>IF(AND(AD968=1,R968&lt;&gt;".")=TRUE,R968/VLOOKUP(G968,'Exchange Rates'!B:C,2,0),IF(R968=".",".",""))</f>
        <v/>
      </c>
      <c r="T968" s="1185" t="str">
        <f>IF(AD968=1,IF(AF968="Value is not given at all",".",IF(AF968="Value is given by the source",S968,IF(AF968="Value is calculated with prices",(IF(SUMIFS(Q:Q,A:A,A968)&gt;0,SUMIFS(Q:Q,A:A,A968),"."))/VLOOKUP("USD",'Exchange Rates'!B:C,2,0),"Error with coding"))),"")</f>
        <v/>
      </c>
      <c r="U968" s="1184" t="s">
        <v>365</v>
      </c>
      <c r="V968" s="974" t="s">
        <v>2695</v>
      </c>
      <c r="W968" s="974" t="s">
        <v>2696</v>
      </c>
      <c r="X968" s="974" t="s">
        <v>2697</v>
      </c>
      <c r="Y968" s="974" t="s">
        <v>2698</v>
      </c>
      <c r="Z968" s="1194">
        <v>0</v>
      </c>
      <c r="AA968" s="1194">
        <v>0</v>
      </c>
      <c r="AB968" s="977" t="s">
        <v>2695</v>
      </c>
      <c r="AC968" s="1192" t="str">
        <f>""</f>
        <v/>
      </c>
      <c r="AD968" s="1193">
        <v>0</v>
      </c>
      <c r="AE968" s="1193" t="s">
        <v>368</v>
      </c>
      <c r="AF968" s="1193" t="s">
        <v>368</v>
      </c>
      <c r="AG968" s="1193">
        <v>1</v>
      </c>
      <c r="AH968" s="1193">
        <v>2</v>
      </c>
      <c r="AI968" s="1193">
        <v>1</v>
      </c>
      <c r="AJ968" s="1193">
        <f>VLOOKUP($I968,'Price List, Weapons &amp; Items'!B:F,5,0)</f>
        <v>0</v>
      </c>
      <c r="AK968" s="1193">
        <f t="shared" si="212"/>
        <v>0</v>
      </c>
      <c r="AL968" s="1193">
        <f t="shared" si="213"/>
        <v>0</v>
      </c>
      <c r="AM968" s="1193">
        <f t="shared" si="214"/>
        <v>0</v>
      </c>
      <c r="AN968" s="1194" t="str">
        <f>VLOOKUP($I968,'Price List, Weapons &amp; Items'!B:L,COLUMN('Price List, Weapons &amp; Items'!$J$11)-1,0)</f>
        <v>.</v>
      </c>
      <c r="AO968" s="1194" t="str">
        <f>IF(I968=".",".",VLOOKUP($I968,'Price List, Weapons &amp; Items'!B:J,3,0))</f>
        <v>Military equipment</v>
      </c>
      <c r="AP968" s="1195" t="str">
        <f t="shared" ca="1" si="208"/>
        <v/>
      </c>
      <c r="AQ968" s="1194">
        <f>VLOOKUP($I968,'Price List, Weapons &amp; Items'!B:L,COLUMN('Price List, Weapons &amp; Items'!$L$11)-1,0)</f>
        <v>0</v>
      </c>
      <c r="AR968" s="1194">
        <f t="shared" si="215"/>
        <v>1</v>
      </c>
      <c r="AS968" s="1194">
        <f t="shared" si="216"/>
        <v>1</v>
      </c>
      <c r="AT968" s="1194">
        <f t="shared" si="217"/>
        <v>1</v>
      </c>
      <c r="AU968" s="1194" t="str">
        <f t="shared" si="218"/>
        <v>.</v>
      </c>
      <c r="AV968" s="1194" t="str">
        <f t="shared" si="209"/>
        <v>.</v>
      </c>
      <c r="AW968" s="1194" t="str">
        <f t="shared" si="219"/>
        <v>.</v>
      </c>
      <c r="AX968" s="1194">
        <f>IFERROR(VLOOKUP(B968,'Share, Heavy Weapons to Ukraine'!B:Z,COLUMN('Share, Heavy Weapons to Ukraine'!C978)-1,0),0)</f>
        <v>0</v>
      </c>
      <c r="AY968" s="1194">
        <f>VLOOKUP('Bilateral Assistance, MAIN DATA'!B968,'Country Summary (€)'!B:F,COLUMN('Country Summary (€)'!C979)-1,FALSE)</f>
        <v>1</v>
      </c>
      <c r="AZ968" s="1194" t="str">
        <f>IF(AND(AD968=1,D968="Military",H968&lt;&gt;"Not given")=TRUE,IF(SUMIFS(P:P,A:A,A968)&gt;0,ABS((SUMIFS(P:P,A:A,A968)/VLOOKUP("USD",'Exchange Rates'!B:C,2,0)))/S968,"."),".")</f>
        <v>.</v>
      </c>
      <c r="BA968" s="1196" t="str">
        <f>IF(AND(AD968=1,D968="Military",H968&lt;&gt;"Not given")=TRUE,IF(SUMIFS(P:P,A:A,A968)&gt;0,IF((ABS((SUMIFS(P:P,A:A,A968)/VLOOKUP("USD",'Exchange Rates'!B:C,2,0)))/S968)&gt;1,(SUMIFS(P:P,A:A,A968)-S968)/S968,(S968-SUMIFS(P:P,A:A,A968))/SUMIFS(P:P,A:A,A968)),"."),".")</f>
        <v>.</v>
      </c>
    </row>
    <row r="969" spans="1:53" ht="15.95" customHeight="1">
      <c r="A969" s="1182" t="s">
        <v>2692</v>
      </c>
      <c r="B969" s="1182" t="s">
        <v>2693</v>
      </c>
      <c r="C969" s="1181">
        <v>44610</v>
      </c>
      <c r="D969" s="1182" t="s">
        <v>389</v>
      </c>
      <c r="E969" s="1182" t="s">
        <v>390</v>
      </c>
      <c r="F969" s="1183" t="s">
        <v>2694</v>
      </c>
      <c r="G969" s="1184" t="s">
        <v>483</v>
      </c>
      <c r="H969" s="1185">
        <v>50000000</v>
      </c>
      <c r="I969" s="1180" t="s">
        <v>2701</v>
      </c>
      <c r="J969" s="1186" t="str">
        <f>VLOOKUP($I969,'Price List, Weapons &amp; Items'!B:C,2,0)</f>
        <v>Military equipment</v>
      </c>
      <c r="K969" s="1186" t="str">
        <f>IF(I969=".",I969,VLOOKUP($I969,'Price List, Weapons &amp; Items'!B:D,3,0))</f>
        <v>Military equipment</v>
      </c>
      <c r="L969" s="1187">
        <f>VLOOKUP(I969,'Price List, Weapons &amp; Items'!B:E,4,0)</f>
        <v>0</v>
      </c>
      <c r="M969" s="1188">
        <v>2</v>
      </c>
      <c r="N969" s="1188">
        <v>2</v>
      </c>
      <c r="O969" s="1188">
        <f>VLOOKUP($I969,'Price List, Weapons &amp; Items'!B:G,6,0)</f>
        <v>25000</v>
      </c>
      <c r="P969" s="1185">
        <f t="shared" si="210"/>
        <v>50000</v>
      </c>
      <c r="Q969" s="1185">
        <f t="shared" si="211"/>
        <v>50000</v>
      </c>
      <c r="R969" s="1185" t="str">
        <f t="shared" si="207"/>
        <v/>
      </c>
      <c r="S969" s="1185" t="str">
        <f>IF(AND(AD969=1,R969&lt;&gt;".")=TRUE,R969/VLOOKUP(G969,'Exchange Rates'!B:C,2,0),IF(R969=".",".",""))</f>
        <v/>
      </c>
      <c r="T969" s="1185" t="str">
        <f>IF(AD969=1,IF(AF969="Value is not given at all",".",IF(AF969="Value is given by the source",S969,IF(AF969="Value is calculated with prices",(IF(SUMIFS(Q:Q,A:A,A969)&gt;0,SUMIFS(Q:Q,A:A,A969),"."))/VLOOKUP("USD",'Exchange Rates'!B:C,2,0),"Error with coding"))),"")</f>
        <v/>
      </c>
      <c r="U969" s="1184" t="s">
        <v>365</v>
      </c>
      <c r="V969" s="974" t="s">
        <v>2695</v>
      </c>
      <c r="W969" s="974" t="s">
        <v>2696</v>
      </c>
      <c r="X969" s="974" t="s">
        <v>2697</v>
      </c>
      <c r="Y969" s="974" t="s">
        <v>2698</v>
      </c>
      <c r="Z969" s="1194">
        <v>0</v>
      </c>
      <c r="AA969" s="1194">
        <v>0</v>
      </c>
      <c r="AB969" s="977" t="s">
        <v>2695</v>
      </c>
      <c r="AC969" s="1192" t="str">
        <f>""</f>
        <v/>
      </c>
      <c r="AD969" s="1193">
        <v>0</v>
      </c>
      <c r="AE969" s="1193" t="s">
        <v>368</v>
      </c>
      <c r="AF969" s="1193" t="s">
        <v>368</v>
      </c>
      <c r="AG969" s="1193">
        <v>1</v>
      </c>
      <c r="AH969" s="1193">
        <v>2</v>
      </c>
      <c r="AI969" s="1193">
        <v>1</v>
      </c>
      <c r="AJ969" s="1193">
        <f>VLOOKUP($I969,'Price List, Weapons &amp; Items'!B:F,5,0)</f>
        <v>0</v>
      </c>
      <c r="AK969" s="1193">
        <f t="shared" si="212"/>
        <v>0</v>
      </c>
      <c r="AL969" s="1193">
        <f t="shared" si="213"/>
        <v>0</v>
      </c>
      <c r="AM969" s="1193">
        <f t="shared" si="214"/>
        <v>0</v>
      </c>
      <c r="AN969" s="1194" t="str">
        <f>VLOOKUP($I969,'Price List, Weapons &amp; Items'!B:L,COLUMN('Price List, Weapons &amp; Items'!$J$11)-1,0)</f>
        <v>Online marketplaces and stores</v>
      </c>
      <c r="AO969" s="1194" t="str">
        <f>IF(I969=".",".",VLOOKUP($I969,'Price List, Weapons &amp; Items'!B:J,3,0))</f>
        <v>Military equipment</v>
      </c>
      <c r="AP969" s="1195" t="str">
        <f t="shared" ca="1" si="208"/>
        <v/>
      </c>
      <c r="AQ969" s="1194">
        <f>VLOOKUP($I969,'Price List, Weapons &amp; Items'!B:L,COLUMN('Price List, Weapons &amp; Items'!$L$11)-1,0)</f>
        <v>1</v>
      </c>
      <c r="AR969" s="1194">
        <f t="shared" si="215"/>
        <v>1</v>
      </c>
      <c r="AS969" s="1194">
        <f t="shared" si="216"/>
        <v>1</v>
      </c>
      <c r="AT969" s="1194">
        <f t="shared" si="217"/>
        <v>1</v>
      </c>
      <c r="AU969" s="1194" t="str">
        <f t="shared" si="218"/>
        <v>.</v>
      </c>
      <c r="AV969" s="1194" t="str">
        <f t="shared" si="209"/>
        <v>.</v>
      </c>
      <c r="AW969" s="1194" t="str">
        <f t="shared" si="219"/>
        <v>.</v>
      </c>
      <c r="AX969" s="1194">
        <f>IFERROR(VLOOKUP(B969,'Share, Heavy Weapons to Ukraine'!B:Z,COLUMN('Share, Heavy Weapons to Ukraine'!C979)-1,0),0)</f>
        <v>0</v>
      </c>
      <c r="AY969" s="1194">
        <f>VLOOKUP('Bilateral Assistance, MAIN DATA'!B969,'Country Summary (€)'!B:F,COLUMN('Country Summary (€)'!C980)-1,FALSE)</f>
        <v>1</v>
      </c>
      <c r="AZ969" s="1194" t="str">
        <f>IF(AND(AD969=1,D969="Military",H969&lt;&gt;"Not given")=TRUE,IF(SUMIFS(P:P,A:A,A969)&gt;0,ABS((SUMIFS(P:P,A:A,A969)/VLOOKUP("USD",'Exchange Rates'!B:C,2,0)))/S969,"."),".")</f>
        <v>.</v>
      </c>
      <c r="BA969" s="1196" t="str">
        <f>IF(AND(AD969=1,D969="Military",H969&lt;&gt;"Not given")=TRUE,IF(SUMIFS(P:P,A:A,A969)&gt;0,IF((ABS((SUMIFS(P:P,A:A,A969)/VLOOKUP("USD",'Exchange Rates'!B:C,2,0)))/S969)&gt;1,(SUMIFS(P:P,A:A,A969)-S969)/S969,(S969-SUMIFS(P:P,A:A,A969))/SUMIFS(P:P,A:A,A969)),"."),".")</f>
        <v>.</v>
      </c>
    </row>
    <row r="970" spans="1:53" ht="15.95" customHeight="1">
      <c r="A970" s="1182" t="s">
        <v>2692</v>
      </c>
      <c r="B970" s="1182" t="s">
        <v>2693</v>
      </c>
      <c r="C970" s="1181">
        <v>44610</v>
      </c>
      <c r="D970" s="1182" t="s">
        <v>389</v>
      </c>
      <c r="E970" s="1182" t="s">
        <v>390</v>
      </c>
      <c r="F970" s="1183" t="s">
        <v>2694</v>
      </c>
      <c r="G970" s="1184" t="s">
        <v>483</v>
      </c>
      <c r="H970" s="1185">
        <v>50000000</v>
      </c>
      <c r="I970" s="1180" t="s">
        <v>2702</v>
      </c>
      <c r="J970" s="1186" t="str">
        <f>VLOOKUP($I970,'Price List, Weapons &amp; Items'!B:C,2,0)</f>
        <v>Military equipment</v>
      </c>
      <c r="K970" s="1186" t="str">
        <f>IF(I970=".",I970,VLOOKUP($I970,'Price List, Weapons &amp; Items'!B:D,3,0))</f>
        <v>Military equipment</v>
      </c>
      <c r="L970" s="1187">
        <f>VLOOKUP(I970,'Price List, Weapons &amp; Items'!B:E,4,0)</f>
        <v>0</v>
      </c>
      <c r="M970" s="1188">
        <v>5</v>
      </c>
      <c r="N970" s="1188">
        <v>5</v>
      </c>
      <c r="O970" s="1188">
        <f>VLOOKUP($I970,'Price List, Weapons &amp; Items'!B:G,6,0)</f>
        <v>8888888</v>
      </c>
      <c r="P970" s="1185">
        <f t="shared" si="210"/>
        <v>44444440</v>
      </c>
      <c r="Q970" s="1185">
        <f t="shared" si="211"/>
        <v>44444440</v>
      </c>
      <c r="R970" s="1185" t="str">
        <f t="shared" si="207"/>
        <v/>
      </c>
      <c r="S970" s="1185" t="str">
        <f>IF(AND(AD970=1,R970&lt;&gt;".")=TRUE,R970/VLOOKUP(G970,'Exchange Rates'!B:C,2,0),IF(R970=".",".",""))</f>
        <v/>
      </c>
      <c r="T970" s="1185" t="str">
        <f>IF(AD970=1,IF(AF970="Value is not given at all",".",IF(AF970="Value is given by the source",S970,IF(AF970="Value is calculated with prices",(IF(SUMIFS(Q:Q,A:A,A970)&gt;0,SUMIFS(Q:Q,A:A,A970),"."))/VLOOKUP("USD",'Exchange Rates'!B:C,2,0),"Error with coding"))),"")</f>
        <v/>
      </c>
      <c r="U970" s="1184" t="s">
        <v>365</v>
      </c>
      <c r="V970" s="974" t="s">
        <v>2695</v>
      </c>
      <c r="W970" s="974" t="s">
        <v>2696</v>
      </c>
      <c r="X970" s="974" t="s">
        <v>2697</v>
      </c>
      <c r="Y970" s="974" t="s">
        <v>2698</v>
      </c>
      <c r="Z970" s="1194">
        <v>0</v>
      </c>
      <c r="AA970" s="1194">
        <v>0</v>
      </c>
      <c r="AB970" s="977" t="s">
        <v>2695</v>
      </c>
      <c r="AC970" s="1192" t="str">
        <f>""</f>
        <v/>
      </c>
      <c r="AD970" s="1193">
        <v>0</v>
      </c>
      <c r="AE970" s="1193" t="s">
        <v>368</v>
      </c>
      <c r="AF970" s="1193" t="s">
        <v>368</v>
      </c>
      <c r="AG970" s="1193">
        <v>1</v>
      </c>
      <c r="AH970" s="1193">
        <v>2</v>
      </c>
      <c r="AI970" s="1193">
        <v>1</v>
      </c>
      <c r="AJ970" s="1193">
        <f>VLOOKUP($I970,'Price List, Weapons &amp; Items'!B:F,5,0)</f>
        <v>0</v>
      </c>
      <c r="AK970" s="1193">
        <f t="shared" si="212"/>
        <v>0</v>
      </c>
      <c r="AL970" s="1193">
        <f t="shared" si="213"/>
        <v>0</v>
      </c>
      <c r="AM970" s="1193">
        <f t="shared" si="214"/>
        <v>0</v>
      </c>
      <c r="AN970" s="1194" t="str">
        <f>VLOOKUP($I970,'Price List, Weapons &amp; Items'!B:L,COLUMN('Price List, Weapons &amp; Items'!$J$11)-1,0)</f>
        <v>Military media (incl. websites)</v>
      </c>
      <c r="AO970" s="1194" t="str">
        <f>IF(I970=".",".",VLOOKUP($I970,'Price List, Weapons &amp; Items'!B:J,3,0))</f>
        <v>Military equipment</v>
      </c>
      <c r="AP970" s="1195" t="str">
        <f t="shared" ca="1" si="208"/>
        <v/>
      </c>
      <c r="AQ970" s="1194">
        <f>VLOOKUP($I970,'Price List, Weapons &amp; Items'!B:L,COLUMN('Price List, Weapons &amp; Items'!$L$11)-1,0)</f>
        <v>2</v>
      </c>
      <c r="AR970" s="1194">
        <f t="shared" si="215"/>
        <v>1</v>
      </c>
      <c r="AS970" s="1194">
        <f t="shared" si="216"/>
        <v>1</v>
      </c>
      <c r="AT970" s="1194">
        <f t="shared" si="217"/>
        <v>1</v>
      </c>
      <c r="AU970" s="1194" t="str">
        <f t="shared" si="218"/>
        <v>.</v>
      </c>
      <c r="AV970" s="1194" t="str">
        <f t="shared" si="209"/>
        <v>.</v>
      </c>
      <c r="AW970" s="1194" t="str">
        <f t="shared" si="219"/>
        <v>.</v>
      </c>
      <c r="AX970" s="1194">
        <f>IFERROR(VLOOKUP(B970,'Share, Heavy Weapons to Ukraine'!B:Z,COLUMN('Share, Heavy Weapons to Ukraine'!C980)-1,0),0)</f>
        <v>0</v>
      </c>
      <c r="AY970" s="1194">
        <f>VLOOKUP('Bilateral Assistance, MAIN DATA'!B970,'Country Summary (€)'!B:F,COLUMN('Country Summary (€)'!C981)-1,FALSE)</f>
        <v>1</v>
      </c>
      <c r="AZ970" s="1194" t="str">
        <f>IF(AND(AD970=1,D970="Military",H970&lt;&gt;"Not given")=TRUE,IF(SUMIFS(P:P,A:A,A970)&gt;0,ABS((SUMIFS(P:P,A:A,A970)/VLOOKUP("USD",'Exchange Rates'!B:C,2,0)))/S970,"."),".")</f>
        <v>.</v>
      </c>
      <c r="BA970" s="1196" t="str">
        <f>IF(AND(AD970=1,D970="Military",H970&lt;&gt;"Not given")=TRUE,IF(SUMIFS(P:P,A:A,A970)&gt;0,IF((ABS((SUMIFS(P:P,A:A,A970)/VLOOKUP("USD",'Exchange Rates'!B:C,2,0)))/S970)&gt;1,(SUMIFS(P:P,A:A,A970)-S970)/S970,(S970-SUMIFS(P:P,A:A,A970))/SUMIFS(P:P,A:A,A970)),"."),".")</f>
        <v>.</v>
      </c>
    </row>
    <row r="971" spans="1:53" ht="15.95" customHeight="1">
      <c r="A971" s="1182" t="s">
        <v>2692</v>
      </c>
      <c r="B971" s="1182" t="s">
        <v>2693</v>
      </c>
      <c r="C971" s="1181">
        <v>44610</v>
      </c>
      <c r="D971" s="1182" t="s">
        <v>389</v>
      </c>
      <c r="E971" s="1182" t="s">
        <v>390</v>
      </c>
      <c r="F971" s="1183" t="s">
        <v>2694</v>
      </c>
      <c r="G971" s="1184" t="s">
        <v>483</v>
      </c>
      <c r="H971" s="1185">
        <v>50000000</v>
      </c>
      <c r="I971" s="1180" t="s">
        <v>2703</v>
      </c>
      <c r="J971" s="1186" t="str">
        <f>VLOOKUP($I971,'Price List, Weapons &amp; Items'!B:C,2,0)</f>
        <v>Light armaments &amp; infantry</v>
      </c>
      <c r="K971" s="1186" t="str">
        <f>IF(I971=".",I971,VLOOKUP($I971,'Price List, Weapons &amp; Items'!B:D,3,0))</f>
        <v>Small Arms and Light Weapons (SALW)</v>
      </c>
      <c r="L971" s="1187">
        <f>VLOOKUP(I971,'Price List, Weapons &amp; Items'!B:E,4,0)</f>
        <v>0</v>
      </c>
      <c r="M971" s="1188">
        <v>10</v>
      </c>
      <c r="N971" s="1188">
        <v>10</v>
      </c>
      <c r="O971" s="1188">
        <f>VLOOKUP($I971,'Price List, Weapons &amp; Items'!B:G,6,0)</f>
        <v>12807.38</v>
      </c>
      <c r="P971" s="1185">
        <f t="shared" si="210"/>
        <v>128073.79999999999</v>
      </c>
      <c r="Q971" s="1185">
        <f t="shared" si="211"/>
        <v>128073.79999999999</v>
      </c>
      <c r="R971" s="1185" t="str">
        <f t="shared" si="207"/>
        <v/>
      </c>
      <c r="S971" s="1185" t="str">
        <f>IF(AND(AD971=1,R971&lt;&gt;".")=TRUE,R971/VLOOKUP(G971,'Exchange Rates'!B:C,2,0),IF(R971=".",".",""))</f>
        <v/>
      </c>
      <c r="T971" s="1185" t="str">
        <f>IF(AD971=1,IF(AF971="Value is not given at all",".",IF(AF971="Value is given by the source",S971,IF(AF971="Value is calculated with prices",(IF(SUMIFS(Q:Q,A:A,A971)&gt;0,SUMIFS(Q:Q,A:A,A971),"."))/VLOOKUP("USD",'Exchange Rates'!B:C,2,0),"Error with coding"))),"")</f>
        <v/>
      </c>
      <c r="U971" s="1184" t="s">
        <v>365</v>
      </c>
      <c r="V971" s="974" t="s">
        <v>2695</v>
      </c>
      <c r="W971" s="974" t="s">
        <v>2696</v>
      </c>
      <c r="X971" s="974" t="s">
        <v>2697</v>
      </c>
      <c r="Y971" s="974" t="s">
        <v>2698</v>
      </c>
      <c r="Z971" s="1194">
        <v>0</v>
      </c>
      <c r="AA971" s="1194">
        <v>0</v>
      </c>
      <c r="AB971" s="977" t="s">
        <v>2695</v>
      </c>
      <c r="AC971" s="1192" t="str">
        <f>""</f>
        <v/>
      </c>
      <c r="AD971" s="1193">
        <v>0</v>
      </c>
      <c r="AE971" s="1193" t="s">
        <v>368</v>
      </c>
      <c r="AF971" s="1193" t="s">
        <v>368</v>
      </c>
      <c r="AG971" s="1193">
        <v>1</v>
      </c>
      <c r="AH971" s="1193">
        <v>2</v>
      </c>
      <c r="AI971" s="1193">
        <v>1</v>
      </c>
      <c r="AJ971" s="1193">
        <f>VLOOKUP($I971,'Price List, Weapons &amp; Items'!B:F,5,0)</f>
        <v>0</v>
      </c>
      <c r="AK971" s="1193">
        <f t="shared" si="212"/>
        <v>0</v>
      </c>
      <c r="AL971" s="1193">
        <f t="shared" si="213"/>
        <v>0</v>
      </c>
      <c r="AM971" s="1193">
        <f t="shared" si="214"/>
        <v>0</v>
      </c>
      <c r="AN971" s="1194" t="str">
        <f>VLOOKUP($I971,'Price List, Weapons &amp; Items'!B:L,COLUMN('Price List, Weapons &amp; Items'!$J$11)-1,0)</f>
        <v>Military media (incl. websites)</v>
      </c>
      <c r="AO971" s="1194" t="str">
        <f>IF(I971=".",".",VLOOKUP($I971,'Price List, Weapons &amp; Items'!B:J,3,0))</f>
        <v>Small Arms and Light Weapons (SALW)</v>
      </c>
      <c r="AP971" s="1195" t="str">
        <f t="shared" ca="1" si="208"/>
        <v/>
      </c>
      <c r="AQ971" s="1194">
        <f>VLOOKUP($I971,'Price List, Weapons &amp; Items'!B:L,COLUMN('Price List, Weapons &amp; Items'!$L$11)-1,0)</f>
        <v>1</v>
      </c>
      <c r="AR971" s="1194">
        <f t="shared" si="215"/>
        <v>1</v>
      </c>
      <c r="AS971" s="1194">
        <f t="shared" si="216"/>
        <v>1</v>
      </c>
      <c r="AT971" s="1194">
        <f t="shared" si="217"/>
        <v>1</v>
      </c>
      <c r="AU971" s="1194" t="str">
        <f t="shared" si="218"/>
        <v>.</v>
      </c>
      <c r="AV971" s="1194" t="str">
        <f t="shared" si="209"/>
        <v>.</v>
      </c>
      <c r="AW971" s="1194" t="str">
        <f t="shared" si="219"/>
        <v>.</v>
      </c>
      <c r="AX971" s="1194">
        <f>IFERROR(VLOOKUP(B971,'Share, Heavy Weapons to Ukraine'!B:Z,COLUMN('Share, Heavy Weapons to Ukraine'!C981)-1,0),0)</f>
        <v>0</v>
      </c>
      <c r="AY971" s="1194">
        <f>VLOOKUP('Bilateral Assistance, MAIN DATA'!B971,'Country Summary (€)'!B:F,COLUMN('Country Summary (€)'!C982)-1,FALSE)</f>
        <v>1</v>
      </c>
      <c r="AZ971" s="1194" t="str">
        <f>IF(AND(AD971=1,D971="Military",H971&lt;&gt;"Not given")=TRUE,IF(SUMIFS(P:P,A:A,A971)&gt;0,ABS((SUMIFS(P:P,A:A,A971)/VLOOKUP("USD",'Exchange Rates'!B:C,2,0)))/S971,"."),".")</f>
        <v>.</v>
      </c>
      <c r="BA971" s="1196" t="str">
        <f>IF(AND(AD971=1,D971="Military",H971&lt;&gt;"Not given")=TRUE,IF(SUMIFS(P:P,A:A,A971)&gt;0,IF((ABS((SUMIFS(P:P,A:A,A971)/VLOOKUP("USD",'Exchange Rates'!B:C,2,0)))/S971)&gt;1,(SUMIFS(P:P,A:A,A971)-S971)/S971,(S971-SUMIFS(P:P,A:A,A971))/SUMIFS(P:P,A:A,A971)),"."),".")</f>
        <v>.</v>
      </c>
    </row>
    <row r="972" spans="1:53" ht="15.95" customHeight="1">
      <c r="A972" s="1182" t="s">
        <v>2692</v>
      </c>
      <c r="B972" s="1182" t="s">
        <v>2693</v>
      </c>
      <c r="C972" s="1181">
        <v>44610</v>
      </c>
      <c r="D972" s="1182" t="s">
        <v>389</v>
      </c>
      <c r="E972" s="1182" t="s">
        <v>390</v>
      </c>
      <c r="F972" s="1183" t="s">
        <v>2694</v>
      </c>
      <c r="G972" s="1184" t="s">
        <v>483</v>
      </c>
      <c r="H972" s="1185">
        <v>50000000</v>
      </c>
      <c r="I972" s="1180" t="s">
        <v>2704</v>
      </c>
      <c r="J972" s="1186" t="str">
        <f>VLOOKUP($I972,'Price List, Weapons &amp; Items'!B:C,2,0)</f>
        <v>Light armaments &amp; infantry</v>
      </c>
      <c r="K972" s="1186" t="str">
        <f>IF(I972=".",I972,VLOOKUP($I972,'Price List, Weapons &amp; Items'!B:D,3,0))</f>
        <v>Small Arms and Light Weapons (SALW)</v>
      </c>
      <c r="L972" s="1187">
        <f>VLOOKUP(I972,'Price List, Weapons &amp; Items'!B:E,4,0)</f>
        <v>0</v>
      </c>
      <c r="M972" s="1188">
        <v>90</v>
      </c>
      <c r="N972" s="1188">
        <v>90</v>
      </c>
      <c r="O972" s="1188">
        <f>VLOOKUP($I972,'Price List, Weapons &amp; Items'!B:G,6,0)</f>
        <v>8374.57</v>
      </c>
      <c r="P972" s="1185">
        <f t="shared" si="210"/>
        <v>753711.29999999993</v>
      </c>
      <c r="Q972" s="1185">
        <f t="shared" si="211"/>
        <v>753711.29999999993</v>
      </c>
      <c r="R972" s="1185" t="str">
        <f t="shared" si="207"/>
        <v/>
      </c>
      <c r="S972" s="1185" t="str">
        <f>IF(AND(AD972=1,R972&lt;&gt;".")=TRUE,R972/VLOOKUP(G972,'Exchange Rates'!B:C,2,0),IF(R972=".",".",""))</f>
        <v/>
      </c>
      <c r="T972" s="1185" t="str">
        <f>IF(AD972=1,IF(AF972="Value is not given at all",".",IF(AF972="Value is given by the source",S972,IF(AF972="Value is calculated with prices",(IF(SUMIFS(Q:Q,A:A,A972)&gt;0,SUMIFS(Q:Q,A:A,A972),"."))/VLOOKUP("USD",'Exchange Rates'!B:C,2,0),"Error with coding"))),"")</f>
        <v/>
      </c>
      <c r="U972" s="1184" t="s">
        <v>365</v>
      </c>
      <c r="V972" s="974" t="s">
        <v>2695</v>
      </c>
      <c r="W972" s="974" t="s">
        <v>2696</v>
      </c>
      <c r="X972" s="974" t="s">
        <v>2697</v>
      </c>
      <c r="Y972" s="974" t="s">
        <v>2698</v>
      </c>
      <c r="Z972" s="1194">
        <v>0</v>
      </c>
      <c r="AA972" s="1194">
        <v>0</v>
      </c>
      <c r="AB972" s="977" t="s">
        <v>2695</v>
      </c>
      <c r="AC972" s="1192" t="str">
        <f>""</f>
        <v/>
      </c>
      <c r="AD972" s="1193">
        <v>0</v>
      </c>
      <c r="AE972" s="1193" t="s">
        <v>368</v>
      </c>
      <c r="AF972" s="1193" t="s">
        <v>368</v>
      </c>
      <c r="AG972" s="1193">
        <v>1</v>
      </c>
      <c r="AH972" s="1193">
        <v>2</v>
      </c>
      <c r="AI972" s="1193">
        <v>1</v>
      </c>
      <c r="AJ972" s="1193">
        <f>VLOOKUP($I972,'Price List, Weapons &amp; Items'!B:F,5,0)</f>
        <v>0</v>
      </c>
      <c r="AK972" s="1193">
        <f t="shared" si="212"/>
        <v>0</v>
      </c>
      <c r="AL972" s="1193">
        <f t="shared" si="213"/>
        <v>0</v>
      </c>
      <c r="AM972" s="1193">
        <f t="shared" si="214"/>
        <v>0</v>
      </c>
      <c r="AN972" s="1194" t="str">
        <f>VLOOKUP($I972,'Price List, Weapons &amp; Items'!B:L,COLUMN('Price List, Weapons &amp; Items'!$J$11)-1,0)</f>
        <v>Online marketplaces and stores</v>
      </c>
      <c r="AO972" s="1194" t="str">
        <f>IF(I972=".",".",VLOOKUP($I972,'Price List, Weapons &amp; Items'!B:J,3,0))</f>
        <v>Small Arms and Light Weapons (SALW)</v>
      </c>
      <c r="AP972" s="1195" t="str">
        <f t="shared" ca="1" si="208"/>
        <v/>
      </c>
      <c r="AQ972" s="1194">
        <f>VLOOKUP($I972,'Price List, Weapons &amp; Items'!B:L,COLUMN('Price List, Weapons &amp; Items'!$L$11)-1,0)</f>
        <v>1</v>
      </c>
      <c r="AR972" s="1194">
        <f t="shared" si="215"/>
        <v>1</v>
      </c>
      <c r="AS972" s="1194">
        <f t="shared" si="216"/>
        <v>1</v>
      </c>
      <c r="AT972" s="1194">
        <f t="shared" si="217"/>
        <v>1</v>
      </c>
      <c r="AU972" s="1194" t="str">
        <f t="shared" si="218"/>
        <v>.</v>
      </c>
      <c r="AV972" s="1194" t="str">
        <f t="shared" si="209"/>
        <v>.</v>
      </c>
      <c r="AW972" s="1194" t="str">
        <f t="shared" si="219"/>
        <v>.</v>
      </c>
      <c r="AX972" s="1194">
        <f>IFERROR(VLOOKUP(B972,'Share, Heavy Weapons to Ukraine'!B:Z,COLUMN('Share, Heavy Weapons to Ukraine'!C982)-1,0),0)</f>
        <v>0</v>
      </c>
      <c r="AY972" s="1194">
        <f>VLOOKUP('Bilateral Assistance, MAIN DATA'!B972,'Country Summary (€)'!B:F,COLUMN('Country Summary (€)'!C983)-1,FALSE)</f>
        <v>1</v>
      </c>
      <c r="AZ972" s="1194" t="str">
        <f>IF(AND(AD972=1,D972="Military",H972&lt;&gt;"Not given")=TRUE,IF(SUMIFS(P:P,A:A,A972)&gt;0,ABS((SUMIFS(P:P,A:A,A972)/VLOOKUP("USD",'Exchange Rates'!B:C,2,0)))/S972,"."),".")</f>
        <v>.</v>
      </c>
      <c r="BA972" s="1196" t="str">
        <f>IF(AND(AD972=1,D972="Military",H972&lt;&gt;"Not given")=TRUE,IF(SUMIFS(P:P,A:A,A972)&gt;0,IF((ABS((SUMIFS(P:P,A:A,A972)/VLOOKUP("USD",'Exchange Rates'!B:C,2,0)))/S972)&gt;1,(SUMIFS(P:P,A:A,A972)-S972)/S972,(S972-SUMIFS(P:P,A:A,A972))/SUMIFS(P:P,A:A,A972)),"."),".")</f>
        <v>.</v>
      </c>
    </row>
    <row r="973" spans="1:53" ht="15.95" customHeight="1">
      <c r="A973" s="1182" t="s">
        <v>2692</v>
      </c>
      <c r="B973" s="1182" t="s">
        <v>2693</v>
      </c>
      <c r="C973" s="1181">
        <v>44610</v>
      </c>
      <c r="D973" s="1182" t="s">
        <v>389</v>
      </c>
      <c r="E973" s="1182" t="s">
        <v>390</v>
      </c>
      <c r="F973" s="1183" t="s">
        <v>2694</v>
      </c>
      <c r="G973" s="1184" t="s">
        <v>483</v>
      </c>
      <c r="H973" s="1185">
        <v>50000000</v>
      </c>
      <c r="I973" s="1201" t="s">
        <v>2705</v>
      </c>
      <c r="J973" s="1186" t="str">
        <f>VLOOKUP($I973,'Price List, Weapons &amp; Items'!B:C,2,0)</f>
        <v>Ammunition for light infantry</v>
      </c>
      <c r="K973" s="1186" t="str">
        <f>IF(I973=".",I973,VLOOKUP($I973,'Price List, Weapons &amp; Items'!B:D,3,0))</f>
        <v>Small Arms and Light Weapons (SALW) ammunition</v>
      </c>
      <c r="L973" s="1187">
        <f>VLOOKUP(I973,'Price List, Weapons &amp; Items'!B:E,4,0)</f>
        <v>0</v>
      </c>
      <c r="M973" s="1188">
        <v>30000</v>
      </c>
      <c r="N973" s="1188">
        <v>30000</v>
      </c>
      <c r="O973" s="1188">
        <f>VLOOKUP($I973,'Price List, Weapons &amp; Items'!B:G,6,0)</f>
        <v>0.9</v>
      </c>
      <c r="P973" s="1185">
        <f t="shared" si="210"/>
        <v>27000</v>
      </c>
      <c r="Q973" s="1185">
        <f t="shared" si="211"/>
        <v>27000</v>
      </c>
      <c r="R973" s="1185" t="str">
        <f t="shared" si="207"/>
        <v/>
      </c>
      <c r="S973" s="1185" t="str">
        <f>IF(AND(AD973=1,R973&lt;&gt;".")=TRUE,R973/VLOOKUP(G973,'Exchange Rates'!B:C,2,0),IF(R973=".",".",""))</f>
        <v/>
      </c>
      <c r="T973" s="1185" t="str">
        <f>IF(AD973=1,IF(AF973="Value is not given at all",".",IF(AF973="Value is given by the source",S973,IF(AF973="Value is calculated with prices",(IF(SUMIFS(Q:Q,A:A,A973)&gt;0,SUMIFS(Q:Q,A:A,A973),"."))/VLOOKUP("USD",'Exchange Rates'!B:C,2,0),"Error with coding"))),"")</f>
        <v/>
      </c>
      <c r="U973" s="1184" t="s">
        <v>365</v>
      </c>
      <c r="V973" s="974" t="s">
        <v>2695</v>
      </c>
      <c r="W973" s="974" t="s">
        <v>2696</v>
      </c>
      <c r="X973" s="974" t="s">
        <v>2697</v>
      </c>
      <c r="Y973" s="974" t="s">
        <v>2698</v>
      </c>
      <c r="Z973" s="1194">
        <v>0</v>
      </c>
      <c r="AA973" s="1194">
        <v>0</v>
      </c>
      <c r="AB973" s="977" t="s">
        <v>2695</v>
      </c>
      <c r="AC973" s="1192" t="str">
        <f>""</f>
        <v/>
      </c>
      <c r="AD973" s="1193">
        <v>0</v>
      </c>
      <c r="AE973" s="1193" t="s">
        <v>368</v>
      </c>
      <c r="AF973" s="1193" t="s">
        <v>368</v>
      </c>
      <c r="AG973" s="1193">
        <v>1</v>
      </c>
      <c r="AH973" s="1193">
        <v>2</v>
      </c>
      <c r="AI973" s="1193">
        <v>1</v>
      </c>
      <c r="AJ973" s="1193">
        <f>VLOOKUP($I973,'Price List, Weapons &amp; Items'!B:F,5,0)</f>
        <v>0</v>
      </c>
      <c r="AK973" s="1193">
        <f t="shared" si="212"/>
        <v>0</v>
      </c>
      <c r="AL973" s="1193">
        <f t="shared" si="213"/>
        <v>0</v>
      </c>
      <c r="AM973" s="1193">
        <f t="shared" si="214"/>
        <v>1</v>
      </c>
      <c r="AN973" s="1194" t="str">
        <f>VLOOKUP($I973,'Price List, Weapons &amp; Items'!B:L,COLUMN('Price List, Weapons &amp; Items'!$J$11)-1,0)</f>
        <v>Online marketplaces and stores</v>
      </c>
      <c r="AO973" s="1194" t="str">
        <f>IF(I973=".",".",VLOOKUP($I973,'Price List, Weapons &amp; Items'!B:J,3,0))</f>
        <v>Small Arms and Light Weapons (SALW) ammunition</v>
      </c>
      <c r="AP973" s="1195" t="str">
        <f t="shared" ca="1" si="208"/>
        <v/>
      </c>
      <c r="AQ973" s="1194">
        <f>VLOOKUP($I973,'Price List, Weapons &amp; Items'!B:L,COLUMN('Price List, Weapons &amp; Items'!$L$11)-1,0)</f>
        <v>1</v>
      </c>
      <c r="AR973" s="1194">
        <f t="shared" si="215"/>
        <v>1</v>
      </c>
      <c r="AS973" s="1194">
        <f t="shared" si="216"/>
        <v>1</v>
      </c>
      <c r="AT973" s="1194">
        <f t="shared" si="217"/>
        <v>1</v>
      </c>
      <c r="AU973" s="1194" t="str">
        <f t="shared" si="218"/>
        <v>.</v>
      </c>
      <c r="AV973" s="1194" t="str">
        <f t="shared" si="209"/>
        <v>.</v>
      </c>
      <c r="AW973" s="1194" t="str">
        <f t="shared" si="219"/>
        <v>.</v>
      </c>
      <c r="AX973" s="1194">
        <f>IFERROR(VLOOKUP(B973,'Share, Heavy Weapons to Ukraine'!B:Z,COLUMN('Share, Heavy Weapons to Ukraine'!C983)-1,0),0)</f>
        <v>0</v>
      </c>
      <c r="AY973" s="1194">
        <f>VLOOKUP('Bilateral Assistance, MAIN DATA'!B973,'Country Summary (€)'!B:F,COLUMN('Country Summary (€)'!C984)-1,FALSE)</f>
        <v>1</v>
      </c>
      <c r="AZ973" s="1194" t="str">
        <f>IF(AND(AD973=1,D973="Military",H973&lt;&gt;"Not given")=TRUE,IF(SUMIFS(P:P,A:A,A973)&gt;0,ABS((SUMIFS(P:P,A:A,A973)/VLOOKUP("USD",'Exchange Rates'!B:C,2,0)))/S973,"."),".")</f>
        <v>.</v>
      </c>
      <c r="BA973" s="1196" t="str">
        <f>IF(AND(AD973=1,D973="Military",H973&lt;&gt;"Not given")=TRUE,IF(SUMIFS(P:P,A:A,A973)&gt;0,IF((ABS((SUMIFS(P:P,A:A,A973)/VLOOKUP("USD",'Exchange Rates'!B:C,2,0)))/S973)&gt;1,(SUMIFS(P:P,A:A,A973)-S973)/S973,(S973-SUMIFS(P:P,A:A,A973))/SUMIFS(P:P,A:A,A973)),"."),".")</f>
        <v>.</v>
      </c>
    </row>
    <row r="974" spans="1:53" ht="15.95" customHeight="1">
      <c r="A974" s="1182" t="s">
        <v>2692</v>
      </c>
      <c r="B974" s="1182" t="s">
        <v>2693</v>
      </c>
      <c r="C974" s="1181">
        <v>44618</v>
      </c>
      <c r="D974" s="1182" t="s">
        <v>389</v>
      </c>
      <c r="E974" s="1182" t="s">
        <v>390</v>
      </c>
      <c r="F974" s="1183" t="s">
        <v>2706</v>
      </c>
      <c r="G974" s="1184" t="s">
        <v>483</v>
      </c>
      <c r="H974" s="1185">
        <v>50000000</v>
      </c>
      <c r="I974" s="1201" t="s">
        <v>1239</v>
      </c>
      <c r="J974" s="1186" t="str">
        <f>VLOOKUP($I974,'Price List, Weapons &amp; Items'!B:C,2,0)</f>
        <v>Portable defence system</v>
      </c>
      <c r="K974" s="1186" t="str">
        <f>IF(I974=".",I974,VLOOKUP($I974,'Price List, Weapons &amp; Items'!B:D,3,0))</f>
        <v>MANPADS</v>
      </c>
      <c r="L974" s="1187">
        <f>VLOOKUP(I974,'Price List, Weapons &amp; Items'!B:E,4,0)</f>
        <v>0</v>
      </c>
      <c r="M974" s="1188">
        <v>50</v>
      </c>
      <c r="N974" s="1188">
        <v>50</v>
      </c>
      <c r="O974" s="1188">
        <f>VLOOKUP($I974,'Price List, Weapons &amp; Items'!B:G,6,0)</f>
        <v>119000</v>
      </c>
      <c r="P974" s="1185">
        <f t="shared" si="210"/>
        <v>5950000</v>
      </c>
      <c r="Q974" s="1185">
        <f t="shared" si="211"/>
        <v>5950000</v>
      </c>
      <c r="R974" s="1185" t="str">
        <f t="shared" si="207"/>
        <v/>
      </c>
      <c r="S974" s="1185" t="str">
        <f>IF(AND(AD974=1,R974&lt;&gt;".")=TRUE,R974/VLOOKUP(G974,'Exchange Rates'!B:C,2,0),IF(R974=".",".",""))</f>
        <v/>
      </c>
      <c r="T974" s="1185" t="str">
        <f>IF(AD974=1,IF(AF974="Value is not given at all",".",IF(AF974="Value is given by the source",S974,IF(AF974="Value is calculated with prices",(IF(SUMIFS(Q:Q,A:A,A974)&gt;0,SUMIFS(Q:Q,A:A,A974),"."))/VLOOKUP("USD",'Exchange Rates'!B:C,2,0),"Error with coding"))),"")</f>
        <v/>
      </c>
      <c r="U974" s="1184" t="s">
        <v>365</v>
      </c>
      <c r="V974" s="974" t="s">
        <v>2695</v>
      </c>
      <c r="W974" s="974" t="s">
        <v>2707</v>
      </c>
      <c r="X974" s="974" t="s">
        <v>2708</v>
      </c>
      <c r="Y974" s="974" t="s">
        <v>2709</v>
      </c>
      <c r="Z974" s="1194">
        <v>0</v>
      </c>
      <c r="AA974" s="1194">
        <v>0</v>
      </c>
      <c r="AB974" s="977" t="s">
        <v>2695</v>
      </c>
      <c r="AC974" s="1192" t="str">
        <f>""</f>
        <v/>
      </c>
      <c r="AD974" s="1193">
        <v>0</v>
      </c>
      <c r="AE974" s="1193" t="s">
        <v>368</v>
      </c>
      <c r="AF974" s="1193" t="s">
        <v>368</v>
      </c>
      <c r="AG974" s="1193">
        <v>1</v>
      </c>
      <c r="AH974" s="1193">
        <v>2</v>
      </c>
      <c r="AI974" s="1193">
        <v>0</v>
      </c>
      <c r="AJ974" s="1193">
        <f>VLOOKUP($I974,'Price List, Weapons &amp; Items'!B:F,5,0)</f>
        <v>0</v>
      </c>
      <c r="AK974" s="1193">
        <f t="shared" si="212"/>
        <v>0</v>
      </c>
      <c r="AL974" s="1193">
        <f t="shared" si="213"/>
        <v>0</v>
      </c>
      <c r="AM974" s="1193">
        <f t="shared" si="214"/>
        <v>0</v>
      </c>
      <c r="AN974" s="1194" t="str">
        <f>VLOOKUP($I974,'Price List, Weapons &amp; Items'!B:L,COLUMN('Price List, Weapons &amp; Items'!$J$11)-1,0)</f>
        <v>Miscellaneous</v>
      </c>
      <c r="AO974" s="1194" t="str">
        <f>IF(I974=".",".",VLOOKUP($I974,'Price List, Weapons &amp; Items'!B:J,3,0))</f>
        <v>MANPADS</v>
      </c>
      <c r="AP974" s="1195" t="str">
        <f t="shared" ca="1" si="208"/>
        <v/>
      </c>
      <c r="AQ974" s="1194">
        <f>VLOOKUP($I974,'Price List, Weapons &amp; Items'!B:L,COLUMN('Price List, Weapons &amp; Items'!$L$11)-1,0)</f>
        <v>2</v>
      </c>
      <c r="AR974" s="1194">
        <f t="shared" si="215"/>
        <v>1</v>
      </c>
      <c r="AS974" s="1194">
        <f t="shared" si="216"/>
        <v>1</v>
      </c>
      <c r="AT974" s="1194">
        <f t="shared" si="217"/>
        <v>1</v>
      </c>
      <c r="AU974" s="1194" t="str">
        <f t="shared" si="218"/>
        <v>.</v>
      </c>
      <c r="AV974" s="1194" t="str">
        <f t="shared" si="209"/>
        <v>.</v>
      </c>
      <c r="AW974" s="1194" t="str">
        <f t="shared" si="219"/>
        <v>.</v>
      </c>
      <c r="AX974" s="1194">
        <f>IFERROR(VLOOKUP(B974,'Share, Heavy Weapons to Ukraine'!B:Z,COLUMN('Share, Heavy Weapons to Ukraine'!C984)-1,0),0)</f>
        <v>0</v>
      </c>
      <c r="AY974" s="1194">
        <f>VLOOKUP('Bilateral Assistance, MAIN DATA'!B974,'Country Summary (€)'!B:F,COLUMN('Country Summary (€)'!C985)-1,FALSE)</f>
        <v>1</v>
      </c>
      <c r="AZ974" s="1194" t="str">
        <f>IF(AND(AD974=1,D974="Military",H974&lt;&gt;"Not given")=TRUE,IF(SUMIFS(P:P,A:A,A974)&gt;0,ABS((SUMIFS(P:P,A:A,A974)/VLOOKUP("USD",'Exchange Rates'!B:C,2,0)))/S974,"."),".")</f>
        <v>.</v>
      </c>
      <c r="BA974" s="1196" t="str">
        <f>IF(AND(AD974=1,D974="Military",H974&lt;&gt;"Not given")=TRUE,IF(SUMIFS(P:P,A:A,A974)&gt;0,IF((ABS((SUMIFS(P:P,A:A,A974)/VLOOKUP("USD",'Exchange Rates'!B:C,2,0)))/S974)&gt;1,(SUMIFS(P:P,A:A,A974)-S974)/S974,(S974-SUMIFS(P:P,A:A,A974))/SUMIFS(P:P,A:A,A974)),"."),".")</f>
        <v>.</v>
      </c>
    </row>
    <row r="975" spans="1:53" ht="15.95" customHeight="1">
      <c r="A975" s="1182" t="s">
        <v>2692</v>
      </c>
      <c r="B975" s="1182" t="s">
        <v>2693</v>
      </c>
      <c r="C975" s="1181">
        <v>44618</v>
      </c>
      <c r="D975" s="1182" t="s">
        <v>389</v>
      </c>
      <c r="E975" s="1182" t="s">
        <v>390</v>
      </c>
      <c r="F975" s="1183" t="s">
        <v>2706</v>
      </c>
      <c r="G975" s="1184" t="s">
        <v>483</v>
      </c>
      <c r="H975" s="1185">
        <v>50000000</v>
      </c>
      <c r="I975" s="1180" t="s">
        <v>2006</v>
      </c>
      <c r="J975" s="1186" t="str">
        <f>VLOOKUP($I975,'Price List, Weapons &amp; Items'!B:C,2,0)</f>
        <v>Ammunition for portable defence system</v>
      </c>
      <c r="K975" s="1186" t="str">
        <f>IF(I975=".",I975,VLOOKUP($I975,'Price List, Weapons &amp; Items'!B:D,3,0))</f>
        <v>MANPADS ammunition</v>
      </c>
      <c r="L975" s="1187">
        <f>VLOOKUP(I975,'Price List, Weapons &amp; Items'!B:E,4,0)</f>
        <v>0</v>
      </c>
      <c r="M975" s="1188">
        <v>200</v>
      </c>
      <c r="N975" s="1188">
        <v>200</v>
      </c>
      <c r="O975" s="1188">
        <f>VLOOKUP($I975,'Price List, Weapons &amp; Items'!B:G,6,0)</f>
        <v>480000</v>
      </c>
      <c r="P975" s="1185">
        <f t="shared" si="210"/>
        <v>96000000</v>
      </c>
      <c r="Q975" s="1185">
        <f t="shared" si="211"/>
        <v>96000000</v>
      </c>
      <c r="R975" s="1185" t="str">
        <f t="shared" si="207"/>
        <v/>
      </c>
      <c r="S975" s="1185" t="str">
        <f>IF(AND(AD975=1,R975&lt;&gt;".")=TRUE,R975/VLOOKUP(G975,'Exchange Rates'!B:C,2,0),IF(R975=".",".",""))</f>
        <v/>
      </c>
      <c r="T975" s="1185" t="str">
        <f>IF(AD975=1,IF(AF975="Value is not given at all",".",IF(AF975="Value is given by the source",S975,IF(AF975="Value is calculated with prices",(IF(SUMIFS(Q:Q,A:A,A975)&gt;0,SUMIFS(Q:Q,A:A,A975),"."))/VLOOKUP("USD",'Exchange Rates'!B:C,2,0),"Error with coding"))),"")</f>
        <v/>
      </c>
      <c r="U975" s="1184" t="s">
        <v>365</v>
      </c>
      <c r="V975" s="974" t="s">
        <v>2695</v>
      </c>
      <c r="W975" s="974" t="s">
        <v>2707</v>
      </c>
      <c r="X975" s="974" t="s">
        <v>2708</v>
      </c>
      <c r="Y975" s="974" t="s">
        <v>2709</v>
      </c>
      <c r="Z975" s="1194">
        <v>0</v>
      </c>
      <c r="AA975" s="1194">
        <v>0</v>
      </c>
      <c r="AB975" s="977" t="s">
        <v>2695</v>
      </c>
      <c r="AC975" s="1192" t="str">
        <f>""</f>
        <v/>
      </c>
      <c r="AD975" s="1193">
        <v>0</v>
      </c>
      <c r="AE975" s="1193" t="s">
        <v>368</v>
      </c>
      <c r="AF975" s="1193" t="s">
        <v>368</v>
      </c>
      <c r="AG975" s="1193">
        <v>1</v>
      </c>
      <c r="AH975" s="1193">
        <v>2</v>
      </c>
      <c r="AI975" s="1193">
        <v>0</v>
      </c>
      <c r="AJ975" s="1193">
        <f>VLOOKUP($I975,'Price List, Weapons &amp; Items'!B:F,5,0)</f>
        <v>0</v>
      </c>
      <c r="AK975" s="1193">
        <f t="shared" si="212"/>
        <v>0</v>
      </c>
      <c r="AL975" s="1193">
        <f t="shared" si="213"/>
        <v>0</v>
      </c>
      <c r="AM975" s="1193">
        <f t="shared" si="214"/>
        <v>0</v>
      </c>
      <c r="AN975" s="1194" t="str">
        <f>VLOOKUP($I975,'Price List, Weapons &amp; Items'!B:L,COLUMN('Price List, Weapons &amp; Items'!$J$11)-1,0)</f>
        <v>Media reports (incl. social media)</v>
      </c>
      <c r="AO975" s="1194" t="str">
        <f>IF(I975=".",".",VLOOKUP($I975,'Price List, Weapons &amp; Items'!B:J,3,0))</f>
        <v>MANPADS ammunition</v>
      </c>
      <c r="AP975" s="1195" t="str">
        <f t="shared" ca="1" si="208"/>
        <v/>
      </c>
      <c r="AQ975" s="1194">
        <f>VLOOKUP($I975,'Price List, Weapons &amp; Items'!B:L,COLUMN('Price List, Weapons &amp; Items'!$L$11)-1,0)</f>
        <v>2</v>
      </c>
      <c r="AR975" s="1194">
        <f t="shared" si="215"/>
        <v>1</v>
      </c>
      <c r="AS975" s="1194">
        <f t="shared" si="216"/>
        <v>1</v>
      </c>
      <c r="AT975" s="1194">
        <f t="shared" si="217"/>
        <v>1</v>
      </c>
      <c r="AU975" s="1194" t="str">
        <f t="shared" si="218"/>
        <v>.</v>
      </c>
      <c r="AV975" s="1194" t="str">
        <f t="shared" si="209"/>
        <v>.</v>
      </c>
      <c r="AW975" s="1194" t="str">
        <f t="shared" si="219"/>
        <v>.</v>
      </c>
      <c r="AX975" s="1194">
        <f>IFERROR(VLOOKUP(B975,'Share, Heavy Weapons to Ukraine'!B:Z,COLUMN('Share, Heavy Weapons to Ukraine'!C985)-1,0),0)</f>
        <v>0</v>
      </c>
      <c r="AY975" s="1194">
        <f>VLOOKUP('Bilateral Assistance, MAIN DATA'!B975,'Country Summary (€)'!B:F,COLUMN('Country Summary (€)'!C986)-1,FALSE)</f>
        <v>1</v>
      </c>
      <c r="AZ975" s="1194" t="str">
        <f>IF(AND(AD975=1,D975="Military",H975&lt;&gt;"Not given")=TRUE,IF(SUMIFS(P:P,A:A,A975)&gt;0,ABS((SUMIFS(P:P,A:A,A975)/VLOOKUP("USD",'Exchange Rates'!B:C,2,0)))/S975,"."),".")</f>
        <v>.</v>
      </c>
      <c r="BA975" s="1196" t="str">
        <f>IF(AND(AD975=1,D975="Military",H975&lt;&gt;"Not given")=TRUE,IF(SUMIFS(P:P,A:A,A975)&gt;0,IF((ABS((SUMIFS(P:P,A:A,A975)/VLOOKUP("USD",'Exchange Rates'!B:C,2,0)))/S975)&gt;1,(SUMIFS(P:P,A:A,A975)-S975)/S975,(S975-SUMIFS(P:P,A:A,A975))/SUMIFS(P:P,A:A,A975)),"."),".")</f>
        <v>.</v>
      </c>
    </row>
    <row r="976" spans="1:53" ht="15.95" customHeight="1">
      <c r="A976" s="1182" t="s">
        <v>2692</v>
      </c>
      <c r="B976" s="1182" t="s">
        <v>2693</v>
      </c>
      <c r="C976" s="1181">
        <v>44618</v>
      </c>
      <c r="D976" s="1182" t="s">
        <v>389</v>
      </c>
      <c r="E976" s="1182" t="s">
        <v>390</v>
      </c>
      <c r="F976" s="1183" t="s">
        <v>2706</v>
      </c>
      <c r="G976" s="1184" t="s">
        <v>483</v>
      </c>
      <c r="H976" s="1185">
        <v>50000000</v>
      </c>
      <c r="I976" s="1180" t="s">
        <v>1902</v>
      </c>
      <c r="J976" s="1186" t="str">
        <f>VLOOKUP($I976,'Price List, Weapons &amp; Items'!B:C,2,0)</f>
        <v>Portable defence system</v>
      </c>
      <c r="K976" s="1186" t="str">
        <f>IF(I976=".",I976,VLOOKUP($I976,'Price List, Weapons &amp; Items'!B:D,3,0))</f>
        <v>Light Anti-armor Weapon (LAW)</v>
      </c>
      <c r="L976" s="1187">
        <f>VLOOKUP(I976,'Price List, Weapons &amp; Items'!B:E,4,0)</f>
        <v>0</v>
      </c>
      <c r="M976" s="1188">
        <v>50</v>
      </c>
      <c r="N976" s="1188">
        <v>50</v>
      </c>
      <c r="O976" s="1188">
        <f>VLOOKUP($I976,'Price List, Weapons &amp; Items'!B:G,6,0)</f>
        <v>11108</v>
      </c>
      <c r="P976" s="1185">
        <f t="shared" si="210"/>
        <v>555400</v>
      </c>
      <c r="Q976" s="1185">
        <f t="shared" si="211"/>
        <v>555400</v>
      </c>
      <c r="R976" s="1185" t="str">
        <f t="shared" si="207"/>
        <v/>
      </c>
      <c r="S976" s="1185" t="str">
        <f>IF(AND(AD976=1,R976&lt;&gt;".")=TRUE,R976/VLOOKUP(G976,'Exchange Rates'!B:C,2,0),IF(R976=".",".",""))</f>
        <v/>
      </c>
      <c r="T976" s="1185" t="str">
        <f>IF(AD976=1,IF(AF976="Value is not given at all",".",IF(AF976="Value is given by the source",S976,IF(AF976="Value is calculated with prices",(IF(SUMIFS(Q:Q,A:A,A976)&gt;0,SUMIFS(Q:Q,A:A,A976),"."))/VLOOKUP("USD",'Exchange Rates'!B:C,2,0),"Error with coding"))),"")</f>
        <v/>
      </c>
      <c r="U976" s="1184" t="s">
        <v>365</v>
      </c>
      <c r="V976" s="974" t="s">
        <v>2695</v>
      </c>
      <c r="W976" s="974" t="s">
        <v>2707</v>
      </c>
      <c r="X976" s="974" t="s">
        <v>2708</v>
      </c>
      <c r="Y976" s="974" t="s">
        <v>2709</v>
      </c>
      <c r="Z976" s="1194">
        <v>0</v>
      </c>
      <c r="AA976" s="1194">
        <v>0</v>
      </c>
      <c r="AB976" s="977" t="s">
        <v>2695</v>
      </c>
      <c r="AC976" s="1192" t="str">
        <f>""</f>
        <v/>
      </c>
      <c r="AD976" s="1193">
        <v>0</v>
      </c>
      <c r="AE976" s="1193" t="s">
        <v>368</v>
      </c>
      <c r="AF976" s="1193" t="s">
        <v>368</v>
      </c>
      <c r="AG976" s="1193">
        <v>1</v>
      </c>
      <c r="AH976" s="1193">
        <v>2</v>
      </c>
      <c r="AI976" s="1193">
        <v>0</v>
      </c>
      <c r="AJ976" s="1193">
        <f>VLOOKUP($I976,'Price List, Weapons &amp; Items'!B:F,5,0)</f>
        <v>0</v>
      </c>
      <c r="AK976" s="1193">
        <f t="shared" si="212"/>
        <v>0</v>
      </c>
      <c r="AL976" s="1193">
        <f t="shared" si="213"/>
        <v>0</v>
      </c>
      <c r="AM976" s="1193">
        <f t="shared" si="214"/>
        <v>0</v>
      </c>
      <c r="AN976" s="1194" t="str">
        <f>VLOOKUP($I976,'Price List, Weapons &amp; Items'!B:L,COLUMN('Price List, Weapons &amp; Items'!$J$11)-1,0)</f>
        <v>Military media (incl. websites)</v>
      </c>
      <c r="AO976" s="1194" t="str">
        <f>IF(I976=".",".",VLOOKUP($I976,'Price List, Weapons &amp; Items'!B:J,3,0))</f>
        <v>Light Anti-armor Weapon (LAW)</v>
      </c>
      <c r="AP976" s="1195" t="str">
        <f t="shared" ca="1" si="208"/>
        <v/>
      </c>
      <c r="AQ976" s="1194">
        <f>VLOOKUP($I976,'Price List, Weapons &amp; Items'!B:L,COLUMN('Price List, Weapons &amp; Items'!$L$11)-1,0)</f>
        <v>2</v>
      </c>
      <c r="AR976" s="1194">
        <f t="shared" si="215"/>
        <v>1</v>
      </c>
      <c r="AS976" s="1194">
        <f t="shared" si="216"/>
        <v>1</v>
      </c>
      <c r="AT976" s="1194">
        <f t="shared" si="217"/>
        <v>1</v>
      </c>
      <c r="AU976" s="1194" t="str">
        <f t="shared" si="218"/>
        <v>.</v>
      </c>
      <c r="AV976" s="1194" t="str">
        <f t="shared" si="209"/>
        <v>.</v>
      </c>
      <c r="AW976" s="1194" t="str">
        <f t="shared" si="219"/>
        <v>.</v>
      </c>
      <c r="AX976" s="1194">
        <f>IFERROR(VLOOKUP(B976,'Share, Heavy Weapons to Ukraine'!B:Z,COLUMN('Share, Heavy Weapons to Ukraine'!C986)-1,0),0)</f>
        <v>0</v>
      </c>
      <c r="AY976" s="1194">
        <f>VLOOKUP('Bilateral Assistance, MAIN DATA'!B976,'Country Summary (€)'!B:F,COLUMN('Country Summary (€)'!C987)-1,FALSE)</f>
        <v>1</v>
      </c>
      <c r="AZ976" s="1194" t="str">
        <f>IF(AND(AD976=1,D976="Military",H976&lt;&gt;"Not given")=TRUE,IF(SUMIFS(P:P,A:A,A976)&gt;0,ABS((SUMIFS(P:P,A:A,A976)/VLOOKUP("USD",'Exchange Rates'!B:C,2,0)))/S976,"."),".")</f>
        <v>.</v>
      </c>
      <c r="BA976" s="1196" t="str">
        <f>IF(AND(AD976=1,D976="Military",H976&lt;&gt;"Not given")=TRUE,IF(SUMIFS(P:P,A:A,A976)&gt;0,IF((ABS((SUMIFS(P:P,A:A,A976)/VLOOKUP("USD",'Exchange Rates'!B:C,2,0)))/S976)&gt;1,(SUMIFS(P:P,A:A,A976)-S976)/S976,(S976-SUMIFS(P:P,A:A,A976))/SUMIFS(P:P,A:A,A976)),"."),".")</f>
        <v>.</v>
      </c>
    </row>
    <row r="977" spans="1:53" ht="15.95" customHeight="1">
      <c r="A977" s="1182" t="s">
        <v>2692</v>
      </c>
      <c r="B977" s="1182" t="s">
        <v>2693</v>
      </c>
      <c r="C977" s="1181">
        <v>44618</v>
      </c>
      <c r="D977" s="1182" t="s">
        <v>389</v>
      </c>
      <c r="E977" s="1182" t="s">
        <v>390</v>
      </c>
      <c r="F977" s="1183" t="s">
        <v>2706</v>
      </c>
      <c r="G977" s="1184" t="s">
        <v>483</v>
      </c>
      <c r="H977" s="1185">
        <v>50000000</v>
      </c>
      <c r="I977" s="1180" t="s">
        <v>2710</v>
      </c>
      <c r="J977" s="1186" t="str">
        <f>VLOOKUP($I977,'Price List, Weapons &amp; Items'!B:C,2,0)</f>
        <v>Ammunition for portable defence system</v>
      </c>
      <c r="K977" s="1186" t="str">
        <f>IF(I977=".",I977,VLOOKUP($I977,'Price List, Weapons &amp; Items'!B:D,3,0))</f>
        <v>Light Anti-armor Weapon (LAW) ammunition</v>
      </c>
      <c r="L977" s="1187">
        <f>VLOOKUP(I977,'Price List, Weapons &amp; Items'!B:E,4,0)</f>
        <v>0</v>
      </c>
      <c r="M977" s="1188">
        <v>400</v>
      </c>
      <c r="N977" s="1188">
        <v>400</v>
      </c>
      <c r="O977" s="1188">
        <f>VLOOKUP($I977,'Price List, Weapons &amp; Items'!B:G,6,0)</f>
        <v>297</v>
      </c>
      <c r="P977" s="1185">
        <f t="shared" si="210"/>
        <v>118800</v>
      </c>
      <c r="Q977" s="1185">
        <f t="shared" si="211"/>
        <v>118800</v>
      </c>
      <c r="R977" s="1185" t="str">
        <f t="shared" si="207"/>
        <v/>
      </c>
      <c r="S977" s="1185" t="str">
        <f>IF(AND(AD977=1,R977&lt;&gt;".")=TRUE,R977/VLOOKUP(G977,'Exchange Rates'!B:C,2,0),IF(R977=".",".",""))</f>
        <v/>
      </c>
      <c r="T977" s="1185" t="str">
        <f>IF(AD977=1,IF(AF977="Value is not given at all",".",IF(AF977="Value is given by the source",S977,IF(AF977="Value is calculated with prices",(IF(SUMIFS(Q:Q,A:A,A977)&gt;0,SUMIFS(Q:Q,A:A,A977),"."))/VLOOKUP("USD",'Exchange Rates'!B:C,2,0),"Error with coding"))),"")</f>
        <v/>
      </c>
      <c r="U977" s="1184" t="s">
        <v>365</v>
      </c>
      <c r="V977" s="974" t="s">
        <v>2695</v>
      </c>
      <c r="W977" s="974" t="s">
        <v>2707</v>
      </c>
      <c r="X977" s="974" t="s">
        <v>2708</v>
      </c>
      <c r="Y977" s="974" t="s">
        <v>2709</v>
      </c>
      <c r="Z977" s="1194">
        <v>0</v>
      </c>
      <c r="AA977" s="1194">
        <v>0</v>
      </c>
      <c r="AB977" s="977" t="s">
        <v>2695</v>
      </c>
      <c r="AC977" s="1192" t="str">
        <f>""</f>
        <v/>
      </c>
      <c r="AD977" s="1193">
        <v>0</v>
      </c>
      <c r="AE977" s="1193" t="s">
        <v>368</v>
      </c>
      <c r="AF977" s="1193" t="s">
        <v>368</v>
      </c>
      <c r="AG977" s="1193">
        <v>1</v>
      </c>
      <c r="AH977" s="1193">
        <v>2</v>
      </c>
      <c r="AI977" s="1193">
        <v>0</v>
      </c>
      <c r="AJ977" s="1193">
        <f>VLOOKUP($I977,'Price List, Weapons &amp; Items'!B:F,5,0)</f>
        <v>0</v>
      </c>
      <c r="AK977" s="1193">
        <f t="shared" si="212"/>
        <v>0</v>
      </c>
      <c r="AL977" s="1193">
        <f t="shared" si="213"/>
        <v>0</v>
      </c>
      <c r="AM977" s="1193">
        <f t="shared" si="214"/>
        <v>0</v>
      </c>
      <c r="AN977" s="1194" t="str">
        <f>VLOOKUP($I977,'Price List, Weapons &amp; Items'!B:L,COLUMN('Price List, Weapons &amp; Items'!$J$11)-1,0)</f>
        <v>Miscellaneous</v>
      </c>
      <c r="AO977" s="1194" t="str">
        <f>IF(I977=".",".",VLOOKUP($I977,'Price List, Weapons &amp; Items'!B:J,3,0))</f>
        <v>Light Anti-armor Weapon (LAW) ammunition</v>
      </c>
      <c r="AP977" s="1195" t="str">
        <f t="shared" ca="1" si="208"/>
        <v/>
      </c>
      <c r="AQ977" s="1194">
        <f>VLOOKUP($I977,'Price List, Weapons &amp; Items'!B:L,COLUMN('Price List, Weapons &amp; Items'!$L$11)-1,0)</f>
        <v>1</v>
      </c>
      <c r="AR977" s="1194">
        <f t="shared" si="215"/>
        <v>1</v>
      </c>
      <c r="AS977" s="1194">
        <f t="shared" si="216"/>
        <v>1</v>
      </c>
      <c r="AT977" s="1194">
        <f t="shared" si="217"/>
        <v>1</v>
      </c>
      <c r="AU977" s="1194" t="str">
        <f t="shared" si="218"/>
        <v>.</v>
      </c>
      <c r="AV977" s="1194" t="str">
        <f t="shared" si="209"/>
        <v>.</v>
      </c>
      <c r="AW977" s="1194" t="str">
        <f t="shared" si="219"/>
        <v>.</v>
      </c>
      <c r="AX977" s="1194">
        <f>IFERROR(VLOOKUP(B977,'Share, Heavy Weapons to Ukraine'!B:Z,COLUMN('Share, Heavy Weapons to Ukraine'!C987)-1,0),0)</f>
        <v>0</v>
      </c>
      <c r="AY977" s="1194">
        <f>VLOOKUP('Bilateral Assistance, MAIN DATA'!B977,'Country Summary (€)'!B:F,COLUMN('Country Summary (€)'!C988)-1,FALSE)</f>
        <v>1</v>
      </c>
      <c r="AZ977" s="1194" t="str">
        <f>IF(AND(AD977=1,D977="Military",H977&lt;&gt;"Not given")=TRUE,IF(SUMIFS(P:P,A:A,A977)&gt;0,ABS((SUMIFS(P:P,A:A,A977)/VLOOKUP("USD",'Exchange Rates'!B:C,2,0)))/S977,"."),".")</f>
        <v>.</v>
      </c>
      <c r="BA977" s="1196" t="str">
        <f>IF(AND(AD977=1,D977="Military",H977&lt;&gt;"Not given")=TRUE,IF(SUMIFS(P:P,A:A,A977)&gt;0,IF((ABS((SUMIFS(P:P,A:A,A977)/VLOOKUP("USD",'Exchange Rates'!B:C,2,0)))/S977)&gt;1,(SUMIFS(P:P,A:A,A977)-S977)/S977,(S977-SUMIFS(P:P,A:A,A977))/SUMIFS(P:P,A:A,A977)),"."),".")</f>
        <v>.</v>
      </c>
    </row>
    <row r="978" spans="1:53" ht="15.95" customHeight="1">
      <c r="A978" s="1182" t="s">
        <v>2692</v>
      </c>
      <c r="B978" s="1182" t="s">
        <v>2693</v>
      </c>
      <c r="C978" s="1181">
        <v>44636</v>
      </c>
      <c r="D978" s="1182" t="s">
        <v>389</v>
      </c>
      <c r="E978" s="1182" t="s">
        <v>443</v>
      </c>
      <c r="F978" s="1183" t="s">
        <v>2711</v>
      </c>
      <c r="G978" s="1184" t="s">
        <v>483</v>
      </c>
      <c r="H978" s="1185">
        <v>50000000</v>
      </c>
      <c r="I978" s="1180" t="s">
        <v>364</v>
      </c>
      <c r="J978" s="1186" t="str">
        <f>VLOOKUP($I978,'Price List, Weapons &amp; Items'!B:C,2,0)</f>
        <v>.</v>
      </c>
      <c r="K978" s="1186" t="str">
        <f>IF(I978=".",I978,VLOOKUP($I978,'Price List, Weapons &amp; Items'!B:D,3,0))</f>
        <v>.</v>
      </c>
      <c r="L978" s="1187">
        <f>VLOOKUP(I978,'Price List, Weapons &amp; Items'!B:E,4,0)</f>
        <v>0</v>
      </c>
      <c r="M978" s="1188" t="s">
        <v>364</v>
      </c>
      <c r="N978" s="1188" t="s">
        <v>364</v>
      </c>
      <c r="O978" s="1188" t="str">
        <f>VLOOKUP($I978,'Price List, Weapons &amp; Items'!B:G,6,0)</f>
        <v>.</v>
      </c>
      <c r="P978" s="1185" t="str">
        <f t="shared" si="210"/>
        <v>.</v>
      </c>
      <c r="Q978" s="1185" t="str">
        <f t="shared" si="211"/>
        <v>.</v>
      </c>
      <c r="R978" s="1185" t="str">
        <f t="shared" si="207"/>
        <v/>
      </c>
      <c r="S978" s="1185" t="str">
        <f>IF(AND(AD978=1,R978&lt;&gt;".")=TRUE,R978/VLOOKUP(G978,'Exchange Rates'!B:C,2,0),IF(R978=".",".",""))</f>
        <v/>
      </c>
      <c r="T978" s="1185" t="str">
        <f>IF(AD978=1,IF(AF978="Value is not given at all",".",IF(AF978="Value is given by the source",S978,IF(AF978="Value is calculated with prices",(IF(SUMIFS(Q:Q,A:A,A978)&gt;0,SUMIFS(Q:Q,A:A,A978),"."))/VLOOKUP("USD",'Exchange Rates'!B:C,2,0),"Error with coding"))),"")</f>
        <v/>
      </c>
      <c r="U978" s="1184" t="s">
        <v>365</v>
      </c>
      <c r="V978" s="974" t="s">
        <v>2695</v>
      </c>
      <c r="W978" s="971" t="s">
        <v>2712</v>
      </c>
      <c r="X978" s="1190" t="s">
        <v>364</v>
      </c>
      <c r="Y978" s="971" t="s">
        <v>2709</v>
      </c>
      <c r="Z978" s="1194">
        <v>0</v>
      </c>
      <c r="AA978" s="1194">
        <v>0</v>
      </c>
      <c r="AB978" s="977" t="s">
        <v>2695</v>
      </c>
      <c r="AC978" s="1192" t="str">
        <f>""</f>
        <v/>
      </c>
      <c r="AD978" s="1193">
        <v>0</v>
      </c>
      <c r="AE978" s="1193" t="s">
        <v>368</v>
      </c>
      <c r="AF978" s="1193" t="s">
        <v>368</v>
      </c>
      <c r="AG978" s="1193">
        <v>1</v>
      </c>
      <c r="AH978" s="1193">
        <v>3</v>
      </c>
      <c r="AI978" s="1193">
        <v>0</v>
      </c>
      <c r="AJ978" s="1193">
        <f>VLOOKUP($I978,'Price List, Weapons &amp; Items'!B:F,5,0)</f>
        <v>0</v>
      </c>
      <c r="AK978" s="1193">
        <f t="shared" si="212"/>
        <v>0</v>
      </c>
      <c r="AL978" s="1193">
        <f t="shared" si="213"/>
        <v>0</v>
      </c>
      <c r="AM978" s="1193">
        <f t="shared" si="214"/>
        <v>0</v>
      </c>
      <c r="AN978" s="1194" t="str">
        <f>VLOOKUP($I978,'Price List, Weapons &amp; Items'!B:L,COLUMN('Price List, Weapons &amp; Items'!$J$11)-1,0)</f>
        <v>.</v>
      </c>
      <c r="AO978" s="1194" t="str">
        <f>IF(I978=".",".",VLOOKUP($I978,'Price List, Weapons &amp; Items'!B:J,3,0))</f>
        <v>.</v>
      </c>
      <c r="AP978" s="1195" t="str">
        <f t="shared" ca="1" si="208"/>
        <v/>
      </c>
      <c r="AQ978" s="1194">
        <f>VLOOKUP($I978,'Price List, Weapons &amp; Items'!B:L,COLUMN('Price List, Weapons &amp; Items'!$L$11)-1,0)</f>
        <v>0</v>
      </c>
      <c r="AR978" s="1194">
        <f t="shared" si="215"/>
        <v>1</v>
      </c>
      <c r="AS978" s="1194">
        <f t="shared" si="216"/>
        <v>1</v>
      </c>
      <c r="AT978" s="1194">
        <f t="shared" si="217"/>
        <v>1</v>
      </c>
      <c r="AU978" s="1194" t="str">
        <f t="shared" si="218"/>
        <v>.</v>
      </c>
      <c r="AV978" s="1194" t="str">
        <f t="shared" si="209"/>
        <v>.</v>
      </c>
      <c r="AW978" s="1194" t="str">
        <f t="shared" si="219"/>
        <v>.</v>
      </c>
      <c r="AX978" s="1194">
        <f>IFERROR(VLOOKUP(B978,'Share, Heavy Weapons to Ukraine'!B:Z,COLUMN('Share, Heavy Weapons to Ukraine'!C988)-1,0),0)</f>
        <v>0</v>
      </c>
      <c r="AY978" s="1194">
        <f>VLOOKUP('Bilateral Assistance, MAIN DATA'!B978,'Country Summary (€)'!B:F,COLUMN('Country Summary (€)'!C989)-1,FALSE)</f>
        <v>1</v>
      </c>
      <c r="AZ978" s="1194" t="str">
        <f>IF(AND(AD978=1,D978="Military",H978&lt;&gt;"Not given")=TRUE,IF(SUMIFS(P:P,A:A,A978)&gt;0,ABS((SUMIFS(P:P,A:A,A978)/VLOOKUP("USD",'Exchange Rates'!B:C,2,0)))/S978,"."),".")</f>
        <v>.</v>
      </c>
      <c r="BA978" s="1196" t="str">
        <f>IF(AND(AD978=1,D978="Military",H978&lt;&gt;"Not given")=TRUE,IF(SUMIFS(P:P,A:A,A978)&gt;0,IF((ABS((SUMIFS(P:P,A:A,A978)/VLOOKUP("USD",'Exchange Rates'!B:C,2,0)))/S978)&gt;1,(SUMIFS(P:P,A:A,A978)-S978)/S978,(S978-SUMIFS(P:P,A:A,A978))/SUMIFS(P:P,A:A,A978)),"."),".")</f>
        <v>.</v>
      </c>
    </row>
    <row r="979" spans="1:53" ht="15.95" customHeight="1">
      <c r="A979" s="1182" t="s">
        <v>2692</v>
      </c>
      <c r="B979" s="1182" t="s">
        <v>2693</v>
      </c>
      <c r="C979" s="1181">
        <v>44670</v>
      </c>
      <c r="D979" s="1182" t="s">
        <v>389</v>
      </c>
      <c r="E979" s="1182" t="s">
        <v>398</v>
      </c>
      <c r="F979" s="1183" t="s">
        <v>2713</v>
      </c>
      <c r="G979" s="1184" t="s">
        <v>483</v>
      </c>
      <c r="H979" s="1185">
        <v>50000000</v>
      </c>
      <c r="I979" s="1180" t="s">
        <v>2714</v>
      </c>
      <c r="J979" s="1186" t="str">
        <f>VLOOKUP($I979,'Price List, Weapons &amp; Items'!B:C,2,0)</f>
        <v>Heavy weapon</v>
      </c>
      <c r="K979" s="1186" t="str">
        <f>IF(I979=".",I979,VLOOKUP($I979,'Price List, Weapons &amp; Items'!B:D,3,0))</f>
        <v>Infantry fighting vehicle (IFV)</v>
      </c>
      <c r="L979" s="1187">
        <f>VLOOKUP(I979,'Price List, Weapons &amp; Items'!B:E,4,0)</f>
        <v>0</v>
      </c>
      <c r="M979" s="1188">
        <v>98</v>
      </c>
      <c r="N979" s="1188">
        <v>98</v>
      </c>
      <c r="O979" s="1188">
        <f>VLOOKUP($I979,'Price List, Weapons &amp; Items'!B:G,6,0)</f>
        <v>334029</v>
      </c>
      <c r="P979" s="1185">
        <f t="shared" si="210"/>
        <v>32734842</v>
      </c>
      <c r="Q979" s="1185">
        <f t="shared" si="211"/>
        <v>32734842</v>
      </c>
      <c r="R979" s="1185" t="str">
        <f t="shared" si="207"/>
        <v/>
      </c>
      <c r="S979" s="1185" t="str">
        <f>IF(AND(AD979=1,R979&lt;&gt;".")=TRUE,R979/VLOOKUP(G979,'Exchange Rates'!B:C,2,0),IF(R979=".",".",""))</f>
        <v/>
      </c>
      <c r="T979" s="1185" t="str">
        <f>IF(AD979=1,IF(AF979="Value is not given at all",".",IF(AF979="Value is given by the source",S979,IF(AF979="Value is calculated with prices",(IF(SUMIFS(Q:Q,A:A,A979)&gt;0,SUMIFS(Q:Q,A:A,A979),"."))/VLOOKUP("USD",'Exchange Rates'!B:C,2,0),"Error with coding"))),"")</f>
        <v/>
      </c>
      <c r="U979" s="1184" t="s">
        <v>365</v>
      </c>
      <c r="V979" s="974" t="s">
        <v>2695</v>
      </c>
      <c r="W979" s="971" t="s">
        <v>2715</v>
      </c>
      <c r="X979" s="986" t="s">
        <v>364</v>
      </c>
      <c r="Y979" s="986" t="s">
        <v>364</v>
      </c>
      <c r="Z979" s="1194">
        <v>0</v>
      </c>
      <c r="AA979" s="1194">
        <v>0</v>
      </c>
      <c r="AB979" s="1330" t="s">
        <v>2716</v>
      </c>
      <c r="AC979" s="1192" t="str">
        <f>""</f>
        <v/>
      </c>
      <c r="AD979" s="1193">
        <v>0</v>
      </c>
      <c r="AE979" s="1193" t="s">
        <v>368</v>
      </c>
      <c r="AF979" s="1193" t="s">
        <v>368</v>
      </c>
      <c r="AG979" s="1193">
        <v>1</v>
      </c>
      <c r="AH979" s="1193">
        <v>4</v>
      </c>
      <c r="AI979" s="1193">
        <v>0</v>
      </c>
      <c r="AJ979" s="1193">
        <f>VLOOKUP($I979,'Price List, Weapons &amp; Items'!B:F,5,0)</f>
        <v>1</v>
      </c>
      <c r="AK979" s="1193">
        <f t="shared" si="212"/>
        <v>0</v>
      </c>
      <c r="AL979" s="1193">
        <f t="shared" si="213"/>
        <v>0</v>
      </c>
      <c r="AM979" s="1193">
        <f t="shared" si="214"/>
        <v>0</v>
      </c>
      <c r="AN979" s="1194" t="str">
        <f>VLOOKUP($I979,'Price List, Weapons &amp; Items'!B:L,COLUMN('Price List, Weapons &amp; Items'!$J$11)-1,0)</f>
        <v>Contracts</v>
      </c>
      <c r="AO979" s="1194" t="str">
        <f>IF(I979=".",".",VLOOKUP($I979,'Price List, Weapons &amp; Items'!B:J,3,0))</f>
        <v>Infantry fighting vehicle (IFV)</v>
      </c>
      <c r="AP979" s="1195" t="str">
        <f t="shared" ca="1" si="208"/>
        <v/>
      </c>
      <c r="AQ979" s="1194">
        <f>VLOOKUP($I979,'Price List, Weapons &amp; Items'!B:L,COLUMN('Price List, Weapons &amp; Items'!$L$11)-1,0)</f>
        <v>2</v>
      </c>
      <c r="AR979" s="1194">
        <f t="shared" si="215"/>
        <v>1</v>
      </c>
      <c r="AS979" s="1194">
        <f t="shared" si="216"/>
        <v>1</v>
      </c>
      <c r="AT979" s="1194">
        <f t="shared" si="217"/>
        <v>1</v>
      </c>
      <c r="AU979" s="1194" t="str">
        <f t="shared" si="218"/>
        <v>.</v>
      </c>
      <c r="AV979" s="1194" t="str">
        <f t="shared" si="209"/>
        <v>.</v>
      </c>
      <c r="AW979" s="1194" t="str">
        <f t="shared" si="219"/>
        <v>.</v>
      </c>
      <c r="AX979" s="1194">
        <f>IFERROR(VLOOKUP(B979,'Share, Heavy Weapons to Ukraine'!B:Z,COLUMN('Share, Heavy Weapons to Ukraine'!C989)-1,0),0)</f>
        <v>0</v>
      </c>
      <c r="AY979" s="1194">
        <f>VLOOKUP('Bilateral Assistance, MAIN DATA'!B979,'Country Summary (€)'!B:F,COLUMN('Country Summary (€)'!C990)-1,FALSE)</f>
        <v>1</v>
      </c>
      <c r="AZ979" s="1194" t="str">
        <f>IF(AND(AD979=1,D979="Military",H979&lt;&gt;"Not given")=TRUE,IF(SUMIFS(P:P,A:A,A979)&gt;0,ABS((SUMIFS(P:P,A:A,A979)/VLOOKUP("USD",'Exchange Rates'!B:C,2,0)))/S979,"."),".")</f>
        <v>.</v>
      </c>
      <c r="BA979" s="1196" t="str">
        <f>IF(AND(AD979=1,D979="Military",H979&lt;&gt;"Not given")=TRUE,IF(SUMIFS(P:P,A:A,A979)&gt;0,IF((ABS((SUMIFS(P:P,A:A,A979)/VLOOKUP("USD",'Exchange Rates'!B:C,2,0)))/S979)&gt;1,(SUMIFS(P:P,A:A,A979)-S979)/S979,(S979-SUMIFS(P:P,A:A,A979))/SUMIFS(P:P,A:A,A979)),"."),".")</f>
        <v>.</v>
      </c>
    </row>
    <row r="980" spans="1:53" ht="15.95" customHeight="1">
      <c r="A980" s="1182" t="s">
        <v>2692</v>
      </c>
      <c r="B980" s="1182" t="s">
        <v>2693</v>
      </c>
      <c r="C980" s="1181" t="s">
        <v>2717</v>
      </c>
      <c r="D980" s="1182" t="s">
        <v>389</v>
      </c>
      <c r="E980" s="1182" t="s">
        <v>398</v>
      </c>
      <c r="F980" s="1183" t="s">
        <v>2718</v>
      </c>
      <c r="G980" s="1184" t="s">
        <v>483</v>
      </c>
      <c r="H980" s="1185">
        <v>50000000</v>
      </c>
      <c r="I980" s="1180" t="s">
        <v>1324</v>
      </c>
      <c r="J980" s="1186" t="str">
        <f>VLOOKUP($I980,'Price List, Weapons &amp; Items'!B:C,2,0)</f>
        <v>Aviation and drones</v>
      </c>
      <c r="K980" s="1186" t="str">
        <f>IF(I980=".",I980,VLOOKUP($I980,'Price List, Weapons &amp; Items'!B:D,3,0))</f>
        <v>Drone</v>
      </c>
      <c r="L980" s="1187">
        <f>VLOOKUP(I980,'Price List, Weapons &amp; Items'!B:E,4,0)</f>
        <v>0</v>
      </c>
      <c r="M980" s="1188" t="s">
        <v>374</v>
      </c>
      <c r="N980" s="1188" t="s">
        <v>374</v>
      </c>
      <c r="O980" s="1188">
        <f>VLOOKUP($I980,'Price List, Weapons &amp; Items'!B:G,6,0)</f>
        <v>6000</v>
      </c>
      <c r="P980" s="1185" t="str">
        <f t="shared" si="210"/>
        <v>.</v>
      </c>
      <c r="Q980" s="1185" t="str">
        <f t="shared" si="211"/>
        <v>.</v>
      </c>
      <c r="R980" s="1185" t="str">
        <f t="shared" si="207"/>
        <v/>
      </c>
      <c r="S980" s="1185" t="str">
        <f>IF(AND(AD980=1,R980&lt;&gt;".")=TRUE,R980/VLOOKUP(G980,'Exchange Rates'!B:C,2,0),IF(R980=".",".",""))</f>
        <v/>
      </c>
      <c r="T980" s="1185" t="str">
        <f>IF(AD980=1,IF(AF980="Value is not given at all",".",IF(AF980="Value is given by the source",S980,IF(AF980="Value is calculated with prices",(IF(SUMIFS(Q:Q,A:A,A980)&gt;0,SUMIFS(Q:Q,A:A,A980),"."))/VLOOKUP("USD",'Exchange Rates'!B:C,2,0),"Error with coding"))),"")</f>
        <v/>
      </c>
      <c r="U980" s="1184" t="s">
        <v>365</v>
      </c>
      <c r="V980" s="974" t="s">
        <v>2695</v>
      </c>
      <c r="W980" s="972" t="s">
        <v>2719</v>
      </c>
      <c r="X980" s="1190" t="s">
        <v>364</v>
      </c>
      <c r="Y980" s="1190" t="s">
        <v>364</v>
      </c>
      <c r="Z980" s="1194">
        <v>0</v>
      </c>
      <c r="AA980" s="1194">
        <v>0</v>
      </c>
      <c r="AB980" s="971" t="s">
        <v>2720</v>
      </c>
      <c r="AC980" s="1192" t="str">
        <f>""</f>
        <v/>
      </c>
      <c r="AD980" s="1193">
        <v>0</v>
      </c>
      <c r="AE980" s="1193" t="s">
        <v>368</v>
      </c>
      <c r="AF980" s="1193" t="s">
        <v>368</v>
      </c>
      <c r="AG980" s="1193">
        <v>0</v>
      </c>
      <c r="AH980" s="1193">
        <v>0</v>
      </c>
      <c r="AI980" s="1193">
        <v>0</v>
      </c>
      <c r="AJ980" s="1193">
        <f>VLOOKUP($I980,'Price List, Weapons &amp; Items'!B:F,5,0)</f>
        <v>0</v>
      </c>
      <c r="AK980" s="1193">
        <f t="shared" si="212"/>
        <v>0</v>
      </c>
      <c r="AL980" s="1193">
        <f t="shared" si="213"/>
        <v>0</v>
      </c>
      <c r="AM980" s="1193">
        <f t="shared" si="214"/>
        <v>0</v>
      </c>
      <c r="AN980" s="1194" t="str">
        <f>VLOOKUP($I980,'Price List, Weapons &amp; Items'!B:L,COLUMN('Price List, Weapons &amp; Items'!$J$11)-1,0)</f>
        <v>Miscellaneous</v>
      </c>
      <c r="AO980" s="1194" t="str">
        <f>IF(I980=".",".",VLOOKUP($I980,'Price List, Weapons &amp; Items'!B:J,3,0))</f>
        <v>Drone</v>
      </c>
      <c r="AP980" s="1195" t="str">
        <f t="shared" ca="1" si="208"/>
        <v/>
      </c>
      <c r="AQ980" s="1194">
        <f>VLOOKUP($I980,'Price List, Weapons &amp; Items'!B:L,COLUMN('Price List, Weapons &amp; Items'!$L$11)-1,0)</f>
        <v>1</v>
      </c>
      <c r="AR980" s="1194">
        <f t="shared" si="215"/>
        <v>1</v>
      </c>
      <c r="AS980" s="1194">
        <f t="shared" si="216"/>
        <v>1</v>
      </c>
      <c r="AT980" s="1194" t="str">
        <f t="shared" si="217"/>
        <v>Value is not in date format</v>
      </c>
      <c r="AU980" s="1194" t="str">
        <f t="shared" si="218"/>
        <v>.</v>
      </c>
      <c r="AV980" s="1194" t="str">
        <f t="shared" si="209"/>
        <v>.</v>
      </c>
      <c r="AW980" s="1194" t="str">
        <f t="shared" si="219"/>
        <v>.</v>
      </c>
      <c r="AX980" s="1194">
        <f>IFERROR(VLOOKUP(B980,'Share, Heavy Weapons to Ukraine'!B:Z,COLUMN('Share, Heavy Weapons to Ukraine'!C990)-1,0),0)</f>
        <v>0</v>
      </c>
      <c r="AY980" s="1194">
        <f>VLOOKUP('Bilateral Assistance, MAIN DATA'!B980,'Country Summary (€)'!B:F,COLUMN('Country Summary (€)'!C991)-1,FALSE)</f>
        <v>1</v>
      </c>
      <c r="AZ980" s="1194" t="str">
        <f>IF(AND(AD980=1,D980="Military",H980&lt;&gt;"Not given")=TRUE,IF(SUMIFS(P:P,A:A,A980)&gt;0,ABS((SUMIFS(P:P,A:A,A980)/VLOOKUP("USD",'Exchange Rates'!B:C,2,0)))/S980,"."),".")</f>
        <v>.</v>
      </c>
      <c r="BA980" s="1196" t="str">
        <f>IF(AND(AD980=1,D980="Military",H980&lt;&gt;"Not given")=TRUE,IF(SUMIFS(P:P,A:A,A980)&gt;0,IF((ABS((SUMIFS(P:P,A:A,A980)/VLOOKUP("USD",'Exchange Rates'!B:C,2,0)))/S980)&gt;1,(SUMIFS(P:P,A:A,A980)-S980)/S980,(S980-SUMIFS(P:P,A:A,A980))/SUMIFS(P:P,A:A,A980)),"."),".")</f>
        <v>.</v>
      </c>
    </row>
    <row r="981" spans="1:53" ht="15.95" customHeight="1">
      <c r="A981" s="1182" t="s">
        <v>2721</v>
      </c>
      <c r="B981" s="1182" t="s">
        <v>2693</v>
      </c>
      <c r="C981" s="1181">
        <v>44670</v>
      </c>
      <c r="D981" s="1182" t="s">
        <v>389</v>
      </c>
      <c r="E981" s="1182" t="s">
        <v>443</v>
      </c>
      <c r="F981" s="1183" t="s">
        <v>2722</v>
      </c>
      <c r="G981" s="1184" t="s">
        <v>456</v>
      </c>
      <c r="H981" s="1185" t="s">
        <v>457</v>
      </c>
      <c r="I981" s="1180" t="s">
        <v>1894</v>
      </c>
      <c r="J981" s="1186" t="str">
        <f>VLOOKUP($I981,'Price List, Weapons &amp; Items'!B:C,2,0)</f>
        <v>Heavy weapon</v>
      </c>
      <c r="K981" s="1186" t="str">
        <f>IF(I981=".",I981,VLOOKUP($I981,'Price List, Weapons &amp; Items'!B:D,3,0))</f>
        <v>155mm howitzer</v>
      </c>
      <c r="L981" s="1187">
        <f>VLOOKUP(I981,'Price List, Weapons &amp; Items'!B:E,4,0)</f>
        <v>0</v>
      </c>
      <c r="M981" s="1188">
        <v>5</v>
      </c>
      <c r="N981" s="1188">
        <v>5</v>
      </c>
      <c r="O981" s="1188">
        <f>VLOOKUP($I981,'Price List, Weapons &amp; Items'!B:G,6,0)</f>
        <v>13778907.188501142</v>
      </c>
      <c r="P981" s="1185">
        <f t="shared" si="210"/>
        <v>68894535.942505717</v>
      </c>
      <c r="Q981" s="1185">
        <f t="shared" si="211"/>
        <v>68894535.942505717</v>
      </c>
      <c r="R981" s="1185">
        <f t="shared" si="207"/>
        <v>101629377.94250572</v>
      </c>
      <c r="S981" s="1185">
        <f>IF(AND(AD981=1,R981&lt;&gt;".")=TRUE,R981/VLOOKUP(G981,'Exchange Rates'!B:C,2,0),IF(R981=".",".",""))</f>
        <v>93512493.506170154</v>
      </c>
      <c r="T981" s="1185">
        <f>IF(AD981=1,IF(AF981="Value is not given at all",".",IF(AF981="Value is given by the source",S981,IF(AF981="Value is calculated with prices",(IF(SUMIFS(Q:Q,A:A,A981)&gt;0,SUMIFS(Q:Q,A:A,A981),"."))/VLOOKUP("USD",'Exchange Rates'!B:C,2,0),"Error with coding"))),"")</f>
        <v>93512493.506170154</v>
      </c>
      <c r="U981" s="1184" t="s">
        <v>365</v>
      </c>
      <c r="V981" s="974" t="s">
        <v>2715</v>
      </c>
      <c r="W981" s="974" t="s">
        <v>2723</v>
      </c>
      <c r="X981" s="987" t="s">
        <v>2724</v>
      </c>
      <c r="Y981" s="1183" t="s">
        <v>364</v>
      </c>
      <c r="Z981" s="1184">
        <v>0</v>
      </c>
      <c r="AA981" s="1191">
        <v>1</v>
      </c>
      <c r="AB981" s="975" t="s">
        <v>2725</v>
      </c>
      <c r="AC981" s="1192" t="str">
        <f>""</f>
        <v/>
      </c>
      <c r="AD981" s="1193">
        <v>1</v>
      </c>
      <c r="AE981" s="1193" t="s">
        <v>436</v>
      </c>
      <c r="AF981" s="1193" t="s">
        <v>436</v>
      </c>
      <c r="AG981" s="1193">
        <v>1</v>
      </c>
      <c r="AH981" s="1193">
        <v>4</v>
      </c>
      <c r="AI981" s="1193">
        <v>0</v>
      </c>
      <c r="AJ981" s="1193">
        <f>VLOOKUP($I981,'Price List, Weapons &amp; Items'!B:F,5,0)</f>
        <v>1</v>
      </c>
      <c r="AK981" s="1193">
        <f t="shared" si="212"/>
        <v>0</v>
      </c>
      <c r="AL981" s="1193">
        <f t="shared" si="213"/>
        <v>0</v>
      </c>
      <c r="AM981" s="1193">
        <f t="shared" si="214"/>
        <v>0</v>
      </c>
      <c r="AN981" s="1194" t="str">
        <f>VLOOKUP($I981,'Price List, Weapons &amp; Items'!B:L,COLUMN('Price List, Weapons &amp; Items'!$J$11)-1,0)</f>
        <v>Contracts</v>
      </c>
      <c r="AO981" s="1194" t="str">
        <f>IF(I981=".",".",VLOOKUP($I981,'Price List, Weapons &amp; Items'!B:J,3,0))</f>
        <v>155mm howitzer</v>
      </c>
      <c r="AP981" s="1195" t="str">
        <f t="shared" ca="1" si="208"/>
        <v>Panzerhaubitze 2000</v>
      </c>
      <c r="AQ981" s="1194">
        <f>VLOOKUP($I981,'Price List, Weapons &amp; Items'!B:L,COLUMN('Price List, Weapons &amp; Items'!$L$11)-1,0)</f>
        <v>2</v>
      </c>
      <c r="AR981" s="1194">
        <f t="shared" si="215"/>
        <v>1</v>
      </c>
      <c r="AS981" s="1194">
        <f t="shared" si="216"/>
        <v>1</v>
      </c>
      <c r="AT981" s="1194">
        <f t="shared" si="217"/>
        <v>1</v>
      </c>
      <c r="AU981" s="1194" t="str">
        <f t="shared" si="218"/>
        <v>.</v>
      </c>
      <c r="AV981" s="1194" t="str">
        <f t="shared" si="209"/>
        <v>.</v>
      </c>
      <c r="AW981" s="1194" t="str">
        <f t="shared" si="219"/>
        <v>.</v>
      </c>
      <c r="AX981" s="1194">
        <f>IFERROR(VLOOKUP(B981,'Share, Heavy Weapons to Ukraine'!B:Z,COLUMN('Share, Heavy Weapons to Ukraine'!C991)-1,0),0)</f>
        <v>0</v>
      </c>
      <c r="AY981" s="1194">
        <f>VLOOKUP('Bilateral Assistance, MAIN DATA'!B981,'Country Summary (€)'!B:F,COLUMN('Country Summary (€)'!C992)-1,FALSE)</f>
        <v>1</v>
      </c>
      <c r="AZ981" s="1194" t="str">
        <f>IF(AND(AD981=1,D981="Military",H981&lt;&gt;"Not given")=TRUE,IF(SUMIFS(P:P,A:A,A981)&gt;0,ABS((SUMIFS(P:P,A:A,A981)/VLOOKUP("USD",'Exchange Rates'!B:C,2,0)))/S981,"."),".")</f>
        <v>.</v>
      </c>
      <c r="BA981" s="1196" t="str">
        <f>IF(AND(AD981=1,D981="Military",H981&lt;&gt;"Not given")=TRUE,IF(SUMIFS(P:P,A:A,A981)&gt;0,IF((ABS((SUMIFS(P:P,A:A,A981)/VLOOKUP("USD",'Exchange Rates'!B:C,2,0)))/S981)&gt;1,(SUMIFS(P:P,A:A,A981)-S981)/S981,(S981-SUMIFS(P:P,A:A,A981))/SUMIFS(P:P,A:A,A981)),"."),".")</f>
        <v>.</v>
      </c>
    </row>
    <row r="982" spans="1:53" ht="15.95" customHeight="1">
      <c r="A982" s="1182" t="s">
        <v>2721</v>
      </c>
      <c r="B982" s="1182" t="s">
        <v>2693</v>
      </c>
      <c r="C982" s="1181">
        <v>44670</v>
      </c>
      <c r="D982" s="1182" t="s">
        <v>389</v>
      </c>
      <c r="E982" s="1182" t="s">
        <v>443</v>
      </c>
      <c r="F982" s="1183" t="s">
        <v>2722</v>
      </c>
      <c r="G982" s="1184" t="s">
        <v>456</v>
      </c>
      <c r="H982" s="1185" t="s">
        <v>457</v>
      </c>
      <c r="I982" s="1180" t="s">
        <v>2714</v>
      </c>
      <c r="J982" s="1186" t="str">
        <f>VLOOKUP($I982,'Price List, Weapons &amp; Items'!B:C,2,0)</f>
        <v>Heavy weapon</v>
      </c>
      <c r="K982" s="1186" t="str">
        <f>IF(I982=".",I982,VLOOKUP($I982,'Price List, Weapons &amp; Items'!B:D,3,0))</f>
        <v>Infantry fighting vehicle (IFV)</v>
      </c>
      <c r="L982" s="1187">
        <f>VLOOKUP(I982,'Price List, Weapons &amp; Items'!B:E,4,0)</f>
        <v>0</v>
      </c>
      <c r="M982" s="1188">
        <v>98</v>
      </c>
      <c r="N982" s="1188">
        <v>98</v>
      </c>
      <c r="O982" s="1188">
        <f>VLOOKUP($I982,'Price List, Weapons &amp; Items'!B:G,6,0)</f>
        <v>334029</v>
      </c>
      <c r="P982" s="1185">
        <f t="shared" si="210"/>
        <v>32734842</v>
      </c>
      <c r="Q982" s="1185">
        <f t="shared" si="211"/>
        <v>32734842</v>
      </c>
      <c r="R982" s="1185" t="str">
        <f t="shared" si="207"/>
        <v/>
      </c>
      <c r="S982" s="1185" t="str">
        <f>IF(AND(AD982=1,R982&lt;&gt;".")=TRUE,R982/VLOOKUP(G982,'Exchange Rates'!B:C,2,0),IF(R982=".",".",""))</f>
        <v/>
      </c>
      <c r="T982" s="1185" t="str">
        <f>IF(AD982=1,IF(AF982="Value is not given at all",".",IF(AF982="Value is given by the source",S982,IF(AF982="Value is calculated with prices",(IF(SUMIFS(Q:Q,A:A,A982)&gt;0,SUMIFS(Q:Q,A:A,A982),"."))/VLOOKUP("USD",'Exchange Rates'!B:C,2,0),"Error with coding"))),"")</f>
        <v/>
      </c>
      <c r="U982" s="1184" t="s">
        <v>365</v>
      </c>
      <c r="V982" s="974" t="s">
        <v>2715</v>
      </c>
      <c r="W982" s="974" t="s">
        <v>2723</v>
      </c>
      <c r="X982" s="987" t="s">
        <v>2724</v>
      </c>
      <c r="Y982" s="1183" t="s">
        <v>364</v>
      </c>
      <c r="Z982" s="1184">
        <v>0</v>
      </c>
      <c r="AA982" s="1191">
        <v>1</v>
      </c>
      <c r="AB982" s="1240" t="s">
        <v>2716</v>
      </c>
      <c r="AC982" s="1192" t="str">
        <f>""</f>
        <v/>
      </c>
      <c r="AD982" s="1193">
        <v>0</v>
      </c>
      <c r="AE982" s="1193" t="s">
        <v>436</v>
      </c>
      <c r="AF982" s="1193" t="s">
        <v>436</v>
      </c>
      <c r="AG982" s="1193">
        <v>1</v>
      </c>
      <c r="AH982" s="1193">
        <v>4</v>
      </c>
      <c r="AI982" s="1193">
        <v>0</v>
      </c>
      <c r="AJ982" s="1193">
        <f>VLOOKUP($I982,'Price List, Weapons &amp; Items'!B:F,5,0)</f>
        <v>1</v>
      </c>
      <c r="AK982" s="1193">
        <f t="shared" si="212"/>
        <v>0</v>
      </c>
      <c r="AL982" s="1193">
        <f t="shared" si="213"/>
        <v>0</v>
      </c>
      <c r="AM982" s="1193">
        <f t="shared" si="214"/>
        <v>0</v>
      </c>
      <c r="AN982" s="1194" t="str">
        <f>VLOOKUP($I982,'Price List, Weapons &amp; Items'!B:L,COLUMN('Price List, Weapons &amp; Items'!$J$11)-1,0)</f>
        <v>Contracts</v>
      </c>
      <c r="AO982" s="1194" t="str">
        <f>IF(I982=".",".",VLOOKUP($I982,'Price List, Weapons &amp; Items'!B:J,3,0))</f>
        <v>Infantry fighting vehicle (IFV)</v>
      </c>
      <c r="AP982" s="1195" t="str">
        <f t="shared" ca="1" si="208"/>
        <v/>
      </c>
      <c r="AQ982" s="1194">
        <f>VLOOKUP($I982,'Price List, Weapons &amp; Items'!B:L,COLUMN('Price List, Weapons &amp; Items'!$L$11)-1,0)</f>
        <v>2</v>
      </c>
      <c r="AR982" s="1194">
        <f t="shared" si="215"/>
        <v>1</v>
      </c>
      <c r="AS982" s="1194">
        <f t="shared" si="216"/>
        <v>1</v>
      </c>
      <c r="AT982" s="1194">
        <f t="shared" si="217"/>
        <v>1</v>
      </c>
      <c r="AU982" s="1194" t="str">
        <f t="shared" si="218"/>
        <v>.</v>
      </c>
      <c r="AV982" s="1194" t="str">
        <f t="shared" si="209"/>
        <v>.</v>
      </c>
      <c r="AW982" s="1194" t="str">
        <f t="shared" si="219"/>
        <v>.</v>
      </c>
      <c r="AX982" s="1194">
        <f>IFERROR(VLOOKUP(B982,'Share, Heavy Weapons to Ukraine'!B:Z,COLUMN('Share, Heavy Weapons to Ukraine'!C992)-1,0),0)</f>
        <v>0</v>
      </c>
      <c r="AY982" s="1194">
        <f>VLOOKUP('Bilateral Assistance, MAIN DATA'!B982,'Country Summary (€)'!B:F,COLUMN('Country Summary (€)'!C993)-1,FALSE)</f>
        <v>1</v>
      </c>
      <c r="AZ982" s="1194" t="str">
        <f>IF(AND(AD982=1,D982="Military",H982&lt;&gt;"Not given")=TRUE,IF(SUMIFS(P:P,A:A,A982)&gt;0,ABS((SUMIFS(P:P,A:A,A982)/VLOOKUP("USD",'Exchange Rates'!B:C,2,0)))/S982,"."),".")</f>
        <v>.</v>
      </c>
      <c r="BA982" s="1196" t="str">
        <f>IF(AND(AD982=1,D982="Military",H982&lt;&gt;"Not given")=TRUE,IF(SUMIFS(P:P,A:A,A982)&gt;0,IF((ABS((SUMIFS(P:P,A:A,A982)/VLOOKUP("USD",'Exchange Rates'!B:C,2,0)))/S982)&gt;1,(SUMIFS(P:P,A:A,A982)-S982)/S982,(S982-SUMIFS(P:P,A:A,A982))/SUMIFS(P:P,A:A,A982)),"."),".")</f>
        <v>.</v>
      </c>
    </row>
    <row r="983" spans="1:53" ht="15.95" customHeight="1">
      <c r="A983" s="1180" t="s">
        <v>2726</v>
      </c>
      <c r="B983" s="1180" t="s">
        <v>2693</v>
      </c>
      <c r="C983" s="1181">
        <v>44728</v>
      </c>
      <c r="D983" s="1182" t="s">
        <v>389</v>
      </c>
      <c r="E983" s="1182" t="s">
        <v>443</v>
      </c>
      <c r="F983" s="1183" t="s">
        <v>2727</v>
      </c>
      <c r="G983" s="1184" t="s">
        <v>456</v>
      </c>
      <c r="H983" s="1185" t="s">
        <v>457</v>
      </c>
      <c r="I983" s="1180" t="s">
        <v>1256</v>
      </c>
      <c r="J983" s="1186" t="str">
        <f>VLOOKUP($I983,'Price List, Weapons &amp; Items'!B:C,2,0)</f>
        <v>Ammunition for heavy weapon</v>
      </c>
      <c r="K983" s="1186" t="str">
        <f>IF(I983=".",I983,VLOOKUP($I983,'Price List, Weapons &amp; Items'!B:D,3,0))</f>
        <v>missile</v>
      </c>
      <c r="L983" s="1187">
        <f>VLOOKUP(I983,'Price List, Weapons &amp; Items'!B:E,4,0)</f>
        <v>0</v>
      </c>
      <c r="M983" s="1188" t="s">
        <v>374</v>
      </c>
      <c r="N983" s="1188" t="s">
        <v>374</v>
      </c>
      <c r="O983" s="1188">
        <f>VLOOKUP($I983,'Price List, Weapons &amp; Items'!B:G,6,0)</f>
        <v>1406812</v>
      </c>
      <c r="P983" s="1185" t="str">
        <f t="shared" si="210"/>
        <v>.</v>
      </c>
      <c r="Q983" s="1185" t="str">
        <f t="shared" si="211"/>
        <v>.</v>
      </c>
      <c r="R983" s="1185" t="str">
        <f t="shared" si="207"/>
        <v>.</v>
      </c>
      <c r="S983" s="1185" t="str">
        <f>IF(AND(AD983=1,R983&lt;&gt;".")=TRUE,R983/VLOOKUP(G983,'Exchange Rates'!B:C,2,0),IF(R983=".",".",""))</f>
        <v>.</v>
      </c>
      <c r="T983" s="1185" t="str">
        <f>IF(AD983=1,IF(AF983="Value is not given at all",".",IF(AF983="Value is given by the source",S983,IF(AF983="Value is calculated with prices",(IF(SUMIFS(Q:Q,A:A,A983)&gt;0,SUMIFS(Q:Q,A:A,A983),"."))/VLOOKUP("USD",'Exchange Rates'!B:C,2,0),"Error with coding"))),"")</f>
        <v>.</v>
      </c>
      <c r="U983" s="1184" t="s">
        <v>675</v>
      </c>
      <c r="V983" s="971" t="s">
        <v>2728</v>
      </c>
      <c r="W983" s="971" t="s">
        <v>2729</v>
      </c>
      <c r="X983" s="986" t="s">
        <v>364</v>
      </c>
      <c r="Y983" s="1190" t="s">
        <v>364</v>
      </c>
      <c r="Z983" s="1184">
        <v>0</v>
      </c>
      <c r="AA983" s="1194">
        <v>0</v>
      </c>
      <c r="AB983" s="995" t="s">
        <v>364</v>
      </c>
      <c r="AC983" s="1192" t="str">
        <f>""</f>
        <v/>
      </c>
      <c r="AD983" s="1193">
        <v>1</v>
      </c>
      <c r="AE983" s="1193" t="s">
        <v>369</v>
      </c>
      <c r="AF983" s="1193" t="s">
        <v>369</v>
      </c>
      <c r="AG983" s="1193">
        <v>1</v>
      </c>
      <c r="AH983" s="1193">
        <v>6</v>
      </c>
      <c r="AI983" s="1193">
        <v>0</v>
      </c>
      <c r="AJ983" s="1193">
        <f>VLOOKUP($I983,'Price List, Weapons &amp; Items'!B:F,5,0)</f>
        <v>0</v>
      </c>
      <c r="AK983" s="1193">
        <f t="shared" si="212"/>
        <v>0</v>
      </c>
      <c r="AL983" s="1193">
        <f t="shared" si="213"/>
        <v>0</v>
      </c>
      <c r="AM983" s="1193">
        <f t="shared" si="214"/>
        <v>0</v>
      </c>
      <c r="AN983" s="1194" t="str">
        <f>VLOOKUP($I983,'Price List, Weapons &amp; Items'!B:L,COLUMN('Price List, Weapons &amp; Items'!$J$11)-1,0)</f>
        <v>Miscellaneous</v>
      </c>
      <c r="AO983" s="1194" t="str">
        <f>IF(I983=".",".",VLOOKUP($I983,'Price List, Weapons &amp; Items'!B:J,3,0))</f>
        <v>missile</v>
      </c>
      <c r="AP983" s="1195" t="str">
        <f t="shared" ca="1" si="208"/>
        <v>Harpoon coastal defense missile</v>
      </c>
      <c r="AQ983" s="1194" t="str">
        <f>VLOOKUP($I983,'Price List, Weapons &amp; Items'!B:L,COLUMN('Price List, Weapons &amp; Items'!$L$11)-1,0)</f>
        <v>no price, 0 count</v>
      </c>
      <c r="AR983" s="1194">
        <f t="shared" si="215"/>
        <v>0</v>
      </c>
      <c r="AS983" s="1194">
        <f t="shared" si="216"/>
        <v>1</v>
      </c>
      <c r="AT983" s="1194">
        <f t="shared" si="217"/>
        <v>1</v>
      </c>
      <c r="AU983" s="1194" t="str">
        <f t="shared" si="218"/>
        <v>.</v>
      </c>
      <c r="AV983" s="1194" t="str">
        <f t="shared" si="209"/>
        <v>.</v>
      </c>
      <c r="AW983" s="1194" t="str">
        <f t="shared" si="219"/>
        <v>.</v>
      </c>
      <c r="AX983" s="1194">
        <f>IFERROR(VLOOKUP(B983,'Share, Heavy Weapons to Ukraine'!B:Z,COLUMN('Share, Heavy Weapons to Ukraine'!C993)-1,0),0)</f>
        <v>0</v>
      </c>
      <c r="AY983" s="1194">
        <f>VLOOKUP('Bilateral Assistance, MAIN DATA'!B983,'Country Summary (€)'!B:F,COLUMN('Country Summary (€)'!C994)-1,FALSE)</f>
        <v>1</v>
      </c>
      <c r="AZ983" s="1194" t="str">
        <f>IF(AND(AD983=1,D983="Military",H983&lt;&gt;"Not given")=TRUE,IF(SUMIFS(P:P,A:A,A983)&gt;0,ABS((SUMIFS(P:P,A:A,A983)/VLOOKUP("USD",'Exchange Rates'!B:C,2,0)))/S983,"."),".")</f>
        <v>.</v>
      </c>
      <c r="BA983" s="1196" t="str">
        <f>IF(AND(AD983=1,D983="Military",H983&lt;&gt;"Not given")=TRUE,IF(SUMIFS(P:P,A:A,A983)&gt;0,IF((ABS((SUMIFS(P:P,A:A,A983)/VLOOKUP("USD",'Exchange Rates'!B:C,2,0)))/S983)&gt;1,(SUMIFS(P:P,A:A,A983)-S983)/S983,(S983-SUMIFS(P:P,A:A,A983))/SUMIFS(P:P,A:A,A983)),"."),".")</f>
        <v>.</v>
      </c>
    </row>
    <row r="984" spans="1:53" ht="15.95" customHeight="1">
      <c r="A984" s="1180" t="s">
        <v>2730</v>
      </c>
      <c r="B984" s="1180" t="s">
        <v>2693</v>
      </c>
      <c r="C984" s="1181">
        <v>44740</v>
      </c>
      <c r="D984" s="1182" t="s">
        <v>389</v>
      </c>
      <c r="E984" s="1182" t="s">
        <v>443</v>
      </c>
      <c r="F984" s="1183" t="s">
        <v>2731</v>
      </c>
      <c r="G984" s="1184" t="s">
        <v>456</v>
      </c>
      <c r="H984" s="1185" t="s">
        <v>457</v>
      </c>
      <c r="I984" s="1180" t="s">
        <v>1894</v>
      </c>
      <c r="J984" s="1186" t="str">
        <f>VLOOKUP($I984,'Price List, Weapons &amp; Items'!B:C,2,0)</f>
        <v>Heavy weapon</v>
      </c>
      <c r="K984" s="1186" t="str">
        <f>IF(I984=".",I984,VLOOKUP($I984,'Price List, Weapons &amp; Items'!B:D,3,0))</f>
        <v>155mm howitzer</v>
      </c>
      <c r="L984" s="1187">
        <f>VLOOKUP(I984,'Price List, Weapons &amp; Items'!B:E,4,0)</f>
        <v>0</v>
      </c>
      <c r="M984" s="1188">
        <v>3</v>
      </c>
      <c r="N984" s="1188">
        <v>3</v>
      </c>
      <c r="O984" s="1188">
        <f>VLOOKUP($I984,'Price List, Weapons &amp; Items'!B:G,6,0)</f>
        <v>13778907.188501142</v>
      </c>
      <c r="P984" s="1185">
        <f t="shared" si="210"/>
        <v>41336721.565503426</v>
      </c>
      <c r="Q984" s="1185">
        <f t="shared" si="211"/>
        <v>41336721.565503426</v>
      </c>
      <c r="R984" s="1185">
        <f t="shared" si="207"/>
        <v>41336721.565503426</v>
      </c>
      <c r="S984" s="1185">
        <f>IF(AND(AD984=1,R984&lt;&gt;".")=TRUE,R984/VLOOKUP(G984,'Exchange Rates'!B:C,2,0),IF(R984=".",".",""))</f>
        <v>38035260.917835318</v>
      </c>
      <c r="T984" s="1185">
        <f>IF(AD984=1,IF(AF984="Value is not given at all",".",IF(AF984="Value is given by the source",S984,IF(AF984="Value is calculated with prices",(IF(SUMIFS(Q:Q,A:A,A984)&gt;0,SUMIFS(Q:Q,A:A,A984),"."))/VLOOKUP("USD",'Exchange Rates'!B:C,2,0),"Error with coding"))),"")</f>
        <v>38035260.917835318</v>
      </c>
      <c r="U984" s="1184" t="s">
        <v>365</v>
      </c>
      <c r="V984" s="971" t="s">
        <v>2732</v>
      </c>
      <c r="W984" s="971" t="s">
        <v>2733</v>
      </c>
      <c r="X984" s="986" t="s">
        <v>364</v>
      </c>
      <c r="Y984" s="1190" t="s">
        <v>364</v>
      </c>
      <c r="Z984" s="1184">
        <v>0</v>
      </c>
      <c r="AA984" s="1191">
        <v>0</v>
      </c>
      <c r="AB984" s="975" t="s">
        <v>2734</v>
      </c>
      <c r="AC984" s="1192" t="str">
        <f>""</f>
        <v/>
      </c>
      <c r="AD984" s="1193">
        <v>1</v>
      </c>
      <c r="AE984" s="1193" t="s">
        <v>436</v>
      </c>
      <c r="AF984" s="1193" t="s">
        <v>436</v>
      </c>
      <c r="AG984" s="1193">
        <v>1</v>
      </c>
      <c r="AH984" s="1193">
        <v>6</v>
      </c>
      <c r="AI984" s="1193">
        <v>0</v>
      </c>
      <c r="AJ984" s="1193">
        <f>VLOOKUP($I984,'Price List, Weapons &amp; Items'!B:F,5,0)</f>
        <v>1</v>
      </c>
      <c r="AK984" s="1193">
        <f t="shared" si="212"/>
        <v>0</v>
      </c>
      <c r="AL984" s="1193">
        <f t="shared" si="213"/>
        <v>0</v>
      </c>
      <c r="AM984" s="1193">
        <f t="shared" si="214"/>
        <v>0</v>
      </c>
      <c r="AN984" s="1194" t="str">
        <f>VLOOKUP($I984,'Price List, Weapons &amp; Items'!B:L,COLUMN('Price List, Weapons &amp; Items'!$J$11)-1,0)</f>
        <v>Contracts</v>
      </c>
      <c r="AO984" s="1194" t="str">
        <f>IF(I984=".",".",VLOOKUP($I984,'Price List, Weapons &amp; Items'!B:J,3,0))</f>
        <v>155mm howitzer</v>
      </c>
      <c r="AP984" s="1195" t="str">
        <f t="shared" ca="1" si="208"/>
        <v>Panzerhaubitze 2000</v>
      </c>
      <c r="AQ984" s="1194">
        <f>VLOOKUP($I984,'Price List, Weapons &amp; Items'!B:L,COLUMN('Price List, Weapons &amp; Items'!$L$11)-1,0)</f>
        <v>2</v>
      </c>
      <c r="AR984" s="1194">
        <f t="shared" si="215"/>
        <v>1</v>
      </c>
      <c r="AS984" s="1194">
        <f t="shared" si="216"/>
        <v>1</v>
      </c>
      <c r="AT984" s="1194">
        <f t="shared" si="217"/>
        <v>1</v>
      </c>
      <c r="AU984" s="1194" t="str">
        <f t="shared" si="218"/>
        <v>.</v>
      </c>
      <c r="AV984" s="1194" t="str">
        <f t="shared" si="209"/>
        <v>.</v>
      </c>
      <c r="AW984" s="1194" t="str">
        <f t="shared" si="219"/>
        <v>.</v>
      </c>
      <c r="AX984" s="1194">
        <f>IFERROR(VLOOKUP(B984,'Share, Heavy Weapons to Ukraine'!B:Z,COLUMN('Share, Heavy Weapons to Ukraine'!C994)-1,0),0)</f>
        <v>0</v>
      </c>
      <c r="AY984" s="1194">
        <f>VLOOKUP('Bilateral Assistance, MAIN DATA'!B984,'Country Summary (€)'!B:F,COLUMN('Country Summary (€)'!C995)-1,FALSE)</f>
        <v>1</v>
      </c>
      <c r="AZ984" s="1194" t="str">
        <f>IF(AND(AD984=1,D984="Military",H984&lt;&gt;"Not given")=TRUE,IF(SUMIFS(P:P,A:A,A984)&gt;0,ABS((SUMIFS(P:P,A:A,A984)/VLOOKUP("USD",'Exchange Rates'!B:C,2,0)))/S984,"."),".")</f>
        <v>.</v>
      </c>
      <c r="BA984" s="1196" t="str">
        <f>IF(AND(AD984=1,D984="Military",H984&lt;&gt;"Not given")=TRUE,IF(SUMIFS(P:P,A:A,A984)&gt;0,IF((ABS((SUMIFS(P:P,A:A,A984)/VLOOKUP("USD",'Exchange Rates'!B:C,2,0)))/S984)&gt;1,(SUMIFS(P:P,A:A,A984)-S984)/S984,(S984-SUMIFS(P:P,A:A,A984))/SUMIFS(P:P,A:A,A984)),"."),".")</f>
        <v>.</v>
      </c>
    </row>
    <row r="985" spans="1:53" ht="15.95" customHeight="1">
      <c r="A985" s="1180" t="s">
        <v>2735</v>
      </c>
      <c r="B985" s="1180" t="s">
        <v>2693</v>
      </c>
      <c r="C985" s="1181" t="s">
        <v>2736</v>
      </c>
      <c r="D985" s="1182" t="s">
        <v>389</v>
      </c>
      <c r="E985" s="1182" t="s">
        <v>390</v>
      </c>
      <c r="F985" s="1183" t="s">
        <v>2737</v>
      </c>
      <c r="G985" s="1184" t="s">
        <v>483</v>
      </c>
      <c r="H985" s="1185">
        <v>344452245.57599449</v>
      </c>
      <c r="I985" s="1180" t="s">
        <v>364</v>
      </c>
      <c r="J985" s="1186" t="str">
        <f>VLOOKUP($I985,'Price List, Weapons &amp; Items'!B:C,2,0)</f>
        <v>.</v>
      </c>
      <c r="K985" s="1186" t="str">
        <f>IF(I985=".",I985,VLOOKUP($I985,'Price List, Weapons &amp; Items'!B:D,3,0))</f>
        <v>.</v>
      </c>
      <c r="L985" s="1187">
        <f>VLOOKUP(I985,'Price List, Weapons &amp; Items'!B:E,4,0)</f>
        <v>0</v>
      </c>
      <c r="M985" s="1188" t="s">
        <v>364</v>
      </c>
      <c r="N985" s="1188" t="s">
        <v>364</v>
      </c>
      <c r="O985" s="1188" t="str">
        <f>VLOOKUP($I985,'Price List, Weapons &amp; Items'!B:G,6,0)</f>
        <v>.</v>
      </c>
      <c r="P985" s="1185" t="str">
        <f t="shared" si="210"/>
        <v>.</v>
      </c>
      <c r="Q985" s="1185" t="str">
        <f t="shared" si="211"/>
        <v>.</v>
      </c>
      <c r="R985" s="1185">
        <f t="shared" si="207"/>
        <v>344452245.57599449</v>
      </c>
      <c r="S985" s="1185">
        <f>IF(AND(AD985=1,R985&lt;&gt;".")=TRUE,R985/VLOOKUP(G985,'Exchange Rates'!B:C,2,0),IF(R985=".",".",""))</f>
        <v>344452245.57599449</v>
      </c>
      <c r="T985" s="1185">
        <f>IF(AD985=1,IF(AF985="Value is not given at all",".",IF(AF985="Value is given by the source",S985,IF(AF985="Value is calculated with prices",(IF(SUMIFS(Q:Q,A:A,A985)&gt;0,SUMIFS(Q:Q,A:A,A985),"."))/VLOOKUP("USD",'Exchange Rates'!B:C,2,0),"Error with coding"))),"")</f>
        <v>344452245.57599449</v>
      </c>
      <c r="U985" s="1184" t="s">
        <v>365</v>
      </c>
      <c r="V985" s="973" t="s">
        <v>2738</v>
      </c>
      <c r="W985" s="971" t="s">
        <v>2732</v>
      </c>
      <c r="X985" s="971" t="s">
        <v>2739</v>
      </c>
      <c r="Y985" s="1190" t="s">
        <v>364</v>
      </c>
      <c r="Z985" s="1184">
        <v>0</v>
      </c>
      <c r="AA985" s="1191">
        <v>0</v>
      </c>
      <c r="AB985" s="975" t="s">
        <v>2734</v>
      </c>
      <c r="AC985" s="1192" t="str">
        <f>""</f>
        <v/>
      </c>
      <c r="AD985" s="1193">
        <v>1</v>
      </c>
      <c r="AE985" s="1193" t="s">
        <v>368</v>
      </c>
      <c r="AF985" s="1193" t="s">
        <v>368</v>
      </c>
      <c r="AG985" s="1193">
        <v>1</v>
      </c>
      <c r="AH985" s="1193">
        <v>8</v>
      </c>
      <c r="AI985" s="1193">
        <v>0</v>
      </c>
      <c r="AJ985" s="1193">
        <f>VLOOKUP($I985,'Price List, Weapons &amp; Items'!B:F,5,0)</f>
        <v>0</v>
      </c>
      <c r="AK985" s="1193">
        <f t="shared" si="212"/>
        <v>0</v>
      </c>
      <c r="AL985" s="1193">
        <f t="shared" si="213"/>
        <v>0</v>
      </c>
      <c r="AM985" s="1193">
        <f t="shared" si="214"/>
        <v>0</v>
      </c>
      <c r="AN985" s="1194" t="str">
        <f>VLOOKUP($I985,'Price List, Weapons &amp; Items'!B:L,COLUMN('Price List, Weapons &amp; Items'!$J$11)-1,0)</f>
        <v>.</v>
      </c>
      <c r="AO985" s="1194" t="str">
        <f>IF(I985=".",".",VLOOKUP($I985,'Price List, Weapons &amp; Items'!B:J,3,0))</f>
        <v>.</v>
      </c>
      <c r="AP985" s="1195" t="str">
        <f t="shared" ca="1" si="208"/>
        <v>.</v>
      </c>
      <c r="AQ985" s="1194">
        <f>VLOOKUP($I985,'Price List, Weapons &amp; Items'!B:L,COLUMN('Price List, Weapons &amp; Items'!$L$11)-1,0)</f>
        <v>0</v>
      </c>
      <c r="AR985" s="1194">
        <f t="shared" si="215"/>
        <v>1</v>
      </c>
      <c r="AS985" s="1194">
        <f t="shared" si="216"/>
        <v>1</v>
      </c>
      <c r="AT985" s="1194" t="str">
        <f t="shared" si="217"/>
        <v>Value is not in date format</v>
      </c>
      <c r="AU985" s="1194" t="str">
        <f t="shared" si="218"/>
        <v>.</v>
      </c>
      <c r="AV985" s="1194" t="str">
        <f t="shared" si="209"/>
        <v>.</v>
      </c>
      <c r="AW985" s="1194" t="str">
        <f t="shared" si="219"/>
        <v>.</v>
      </c>
      <c r="AX985" s="1194">
        <f>IFERROR(VLOOKUP(B985,'Share, Heavy Weapons to Ukraine'!B:Z,COLUMN('Share, Heavy Weapons to Ukraine'!C995)-1,0),0)</f>
        <v>0</v>
      </c>
      <c r="AY985" s="1194">
        <f>VLOOKUP('Bilateral Assistance, MAIN DATA'!B985,'Country Summary (€)'!B:F,COLUMN('Country Summary (€)'!C996)-1,FALSE)</f>
        <v>1</v>
      </c>
      <c r="AZ985" s="1194" t="str">
        <f>IF(AND(AD985=1,D985="Military",H985&lt;&gt;"Not given")=TRUE,IF(SUMIFS(P:P,A:A,A985)&gt;0,ABS((SUMIFS(P:P,A:A,A985)/VLOOKUP("USD",'Exchange Rates'!B:C,2,0)))/S985,"."),".")</f>
        <v>.</v>
      </c>
      <c r="BA985" s="1196" t="str">
        <f>IF(AND(AD985=1,D985="Military",H985&lt;&gt;"Not given")=TRUE,IF(SUMIFS(P:P,A:A,A985)&gt;0,IF((ABS((SUMIFS(P:P,A:A,A985)/VLOOKUP("USD",'Exchange Rates'!B:C,2,0)))/S985)&gt;1,(SUMIFS(P:P,A:A,A985)-S985)/S985,(S985-SUMIFS(P:P,A:A,A985))/SUMIFS(P:P,A:A,A985)),"."),".")</f>
        <v>.</v>
      </c>
    </row>
    <row r="986" spans="1:53" ht="15.95" customHeight="1">
      <c r="A986" s="1180" t="s">
        <v>2740</v>
      </c>
      <c r="B986" s="1180" t="s">
        <v>2693</v>
      </c>
      <c r="C986" s="1181">
        <v>44801</v>
      </c>
      <c r="D986" s="1182" t="s">
        <v>389</v>
      </c>
      <c r="E986" s="1182" t="s">
        <v>361</v>
      </c>
      <c r="F986" s="1183" t="s">
        <v>2741</v>
      </c>
      <c r="G986" s="1184" t="s">
        <v>483</v>
      </c>
      <c r="H986" s="1185">
        <v>10000000</v>
      </c>
      <c r="I986" s="1180" t="s">
        <v>364</v>
      </c>
      <c r="J986" s="1186" t="str">
        <f>VLOOKUP($I986,'Price List, Weapons &amp; Items'!B:C,2,0)</f>
        <v>.</v>
      </c>
      <c r="K986" s="1186" t="str">
        <f>IF(I986=".",I986,VLOOKUP($I986,'Price List, Weapons &amp; Items'!B:D,3,0))</f>
        <v>.</v>
      </c>
      <c r="L986" s="1187">
        <f>VLOOKUP(I986,'Price List, Weapons &amp; Items'!B:E,4,0)</f>
        <v>0</v>
      </c>
      <c r="M986" s="1188" t="s">
        <v>364</v>
      </c>
      <c r="N986" s="1188" t="s">
        <v>364</v>
      </c>
      <c r="O986" s="1188" t="str">
        <f>VLOOKUP($I986,'Price List, Weapons &amp; Items'!B:G,6,0)</f>
        <v>.</v>
      </c>
      <c r="P986" s="1185" t="str">
        <f t="shared" si="210"/>
        <v>.</v>
      </c>
      <c r="Q986" s="1185" t="str">
        <f t="shared" si="211"/>
        <v>.</v>
      </c>
      <c r="R986" s="1185">
        <f t="shared" si="207"/>
        <v>10000000</v>
      </c>
      <c r="S986" s="1185">
        <f>IF(AND(AD986=1,R986&lt;&gt;".")=TRUE,R986/VLOOKUP(G986,'Exchange Rates'!B:C,2,0),IF(R986=".",".",""))</f>
        <v>10000000</v>
      </c>
      <c r="T986" s="1185">
        <f>IF(AD986=1,IF(AF986="Value is not given at all",".",IF(AF986="Value is given by the source",S986,IF(AF986="Value is calculated with prices",(IF(SUMIFS(Q:Q,A:A,A986)&gt;0,SUMIFS(Q:Q,A:A,A986),"."))/VLOOKUP("USD",'Exchange Rates'!B:C,2,0),"Error with coding"))),"")</f>
        <v>10000000</v>
      </c>
      <c r="U986" s="1184" t="s">
        <v>365</v>
      </c>
      <c r="V986" s="971" t="s">
        <v>2742</v>
      </c>
      <c r="W986" s="972" t="s">
        <v>2743</v>
      </c>
      <c r="X986" s="1190" t="s">
        <v>364</v>
      </c>
      <c r="Y986" s="1190" t="s">
        <v>364</v>
      </c>
      <c r="Z986" s="1184">
        <v>0</v>
      </c>
      <c r="AA986" s="1191">
        <v>0</v>
      </c>
      <c r="AB986" s="975" t="s">
        <v>2734</v>
      </c>
      <c r="AC986" s="1192" t="str">
        <f>""</f>
        <v/>
      </c>
      <c r="AD986" s="1193">
        <v>1</v>
      </c>
      <c r="AE986" s="1193" t="s">
        <v>368</v>
      </c>
      <c r="AF986" s="1193" t="s">
        <v>368</v>
      </c>
      <c r="AG986" s="1193">
        <v>1</v>
      </c>
      <c r="AH986" s="1193">
        <v>8</v>
      </c>
      <c r="AI986" s="1193">
        <v>0</v>
      </c>
      <c r="AJ986" s="1193">
        <f>VLOOKUP($I986,'Price List, Weapons &amp; Items'!B:F,5,0)</f>
        <v>0</v>
      </c>
      <c r="AK986" s="1193">
        <f t="shared" si="212"/>
        <v>0</v>
      </c>
      <c r="AL986" s="1193">
        <f t="shared" si="213"/>
        <v>0</v>
      </c>
      <c r="AM986" s="1193">
        <f t="shared" si="214"/>
        <v>0</v>
      </c>
      <c r="AN986" s="1194" t="str">
        <f>VLOOKUP($I986,'Price List, Weapons &amp; Items'!B:L,COLUMN('Price List, Weapons &amp; Items'!$J$11)-1,0)</f>
        <v>.</v>
      </c>
      <c r="AO986" s="1194" t="str">
        <f>IF(I986=".",".",VLOOKUP($I986,'Price List, Weapons &amp; Items'!B:J,3,0))</f>
        <v>.</v>
      </c>
      <c r="AP986" s="1195" t="str">
        <f t="shared" ca="1" si="208"/>
        <v>.</v>
      </c>
      <c r="AQ986" s="1194">
        <f>VLOOKUP($I986,'Price List, Weapons &amp; Items'!B:L,COLUMN('Price List, Weapons &amp; Items'!$L$11)-1,0)</f>
        <v>0</v>
      </c>
      <c r="AR986" s="1194">
        <f t="shared" si="215"/>
        <v>1</v>
      </c>
      <c r="AS986" s="1194">
        <f t="shared" si="216"/>
        <v>0</v>
      </c>
      <c r="AT986" s="1194">
        <f t="shared" si="217"/>
        <v>1</v>
      </c>
      <c r="AU986" s="1194" t="str">
        <f t="shared" si="218"/>
        <v>.</v>
      </c>
      <c r="AV986" s="1194" t="str">
        <f t="shared" si="209"/>
        <v>.</v>
      </c>
      <c r="AW986" s="1194" t="str">
        <f t="shared" si="219"/>
        <v>.</v>
      </c>
      <c r="AX986" s="1194">
        <f>IFERROR(VLOOKUP(B986,'Share, Heavy Weapons to Ukraine'!B:Z,COLUMN('Share, Heavy Weapons to Ukraine'!C996)-1,0),0)</f>
        <v>0</v>
      </c>
      <c r="AY986" s="1194">
        <f>VLOOKUP('Bilateral Assistance, MAIN DATA'!B986,'Country Summary (€)'!B:F,COLUMN('Country Summary (€)'!C997)-1,FALSE)</f>
        <v>1</v>
      </c>
      <c r="AZ986" s="1194" t="str">
        <f>IF(AND(AD986=1,D986="Military",H986&lt;&gt;"Not given")=TRUE,IF(SUMIFS(P:P,A:A,A986)&gt;0,ABS((SUMIFS(P:P,A:A,A986)/VLOOKUP("USD",'Exchange Rates'!B:C,2,0)))/S986,"."),".")</f>
        <v>.</v>
      </c>
      <c r="BA986" s="1196" t="str">
        <f>IF(AND(AD986=1,D986="Military",H986&lt;&gt;"Not given")=TRUE,IF(SUMIFS(P:P,A:A,A986)&gt;0,IF((ABS((SUMIFS(P:P,A:A,A986)/VLOOKUP("USD",'Exchange Rates'!B:C,2,0)))/S986)&gt;1,(SUMIFS(P:P,A:A,A986)-S986)/S986,(S986-SUMIFS(P:P,A:A,A986))/SUMIFS(P:P,A:A,A986)),"."),".")</f>
        <v>.</v>
      </c>
    </row>
    <row r="987" spans="1:53" ht="15.95" customHeight="1">
      <c r="A987" s="1180" t="s">
        <v>2744</v>
      </c>
      <c r="B987" s="1180" t="s">
        <v>2693</v>
      </c>
      <c r="C987" s="1181">
        <v>44869</v>
      </c>
      <c r="D987" s="1182" t="s">
        <v>389</v>
      </c>
      <c r="E987" s="1182" t="s">
        <v>2745</v>
      </c>
      <c r="F987" s="1263" t="s">
        <v>2746</v>
      </c>
      <c r="G987" s="1184" t="s">
        <v>483</v>
      </c>
      <c r="H987" s="1185">
        <v>120000000</v>
      </c>
      <c r="I987" s="1266" t="s">
        <v>2747</v>
      </c>
      <c r="J987" s="1186" t="str">
        <f>VLOOKUP($I987,'Price List, Weapons &amp; Items'!B:C,2,0)</f>
        <v>Heavy weapon</v>
      </c>
      <c r="K987" s="1186" t="str">
        <f>IF(I987=".",I987,VLOOKUP($I987,'Price List, Weapons &amp; Items'!B:D,3,0))</f>
        <v>Main battle tank (MBT)</v>
      </c>
      <c r="L987" s="1187">
        <f>VLOOKUP(I987,'Price List, Weapons &amp; Items'!B:E,4,0)</f>
        <v>0</v>
      </c>
      <c r="M987" s="1188">
        <v>45</v>
      </c>
      <c r="N987" s="1188">
        <v>18.5</v>
      </c>
      <c r="O987" s="1188">
        <f>VLOOKUP($I987,'Price List, Weapons &amp; Items'!B:G,6,0)</f>
        <v>1000000</v>
      </c>
      <c r="P987" s="1185">
        <f t="shared" si="210"/>
        <v>45000000</v>
      </c>
      <c r="Q987" s="1185">
        <f t="shared" si="211"/>
        <v>18500000</v>
      </c>
      <c r="R987" s="1185">
        <f t="shared" si="207"/>
        <v>120000000</v>
      </c>
      <c r="S987" s="1185">
        <f>IF(AND(AD987=1,R987&lt;&gt;".")=TRUE,R987/VLOOKUP(G987,'Exchange Rates'!B:C,2,0),IF(R987=".",".",""))</f>
        <v>120000000</v>
      </c>
      <c r="T987" s="1185" t="str">
        <f>IF(AD987=1,IF(AF987="Value is not given at all",".",IF(AF987="Value is given by the source",S987,IF(AF987="Value is calculated with prices",(IF(SUMIFS(Q:Q,A:A,A987)&gt;0,SUMIFS(Q:Q,A:A,A987),"."))/VLOOKUP("USD",'Exchange Rates'!B:C,2,0),"Error with coding"))),"")</f>
        <v>.</v>
      </c>
      <c r="U987" s="1184" t="s">
        <v>365</v>
      </c>
      <c r="V987" s="971" t="s">
        <v>2748</v>
      </c>
      <c r="W987" s="972" t="s">
        <v>2749</v>
      </c>
      <c r="X987" s="980" t="s">
        <v>1114</v>
      </c>
      <c r="Y987" s="1190" t="s">
        <v>364</v>
      </c>
      <c r="Z987" s="1184">
        <v>0</v>
      </c>
      <c r="AA987" s="1191">
        <v>0</v>
      </c>
      <c r="AB987" s="1035" t="s">
        <v>2750</v>
      </c>
      <c r="AC987" s="1192" t="str">
        <f>""</f>
        <v/>
      </c>
      <c r="AD987" s="1193">
        <v>1</v>
      </c>
      <c r="AE987" s="1193" t="s">
        <v>368</v>
      </c>
      <c r="AF987" s="1193" t="s">
        <v>369</v>
      </c>
      <c r="AG987" s="1193">
        <v>1</v>
      </c>
      <c r="AH987" s="1193">
        <v>11</v>
      </c>
      <c r="AI987" s="1193">
        <v>0</v>
      </c>
      <c r="AJ987" s="1193">
        <f>VLOOKUP($I987,'Price List, Weapons &amp; Items'!B:F,5,0)</f>
        <v>1</v>
      </c>
      <c r="AK987" s="1193">
        <f t="shared" si="212"/>
        <v>0</v>
      </c>
      <c r="AL987" s="1193">
        <f t="shared" si="213"/>
        <v>0</v>
      </c>
      <c r="AM987" s="1193">
        <f t="shared" si="214"/>
        <v>0</v>
      </c>
      <c r="AN987" s="1194" t="str">
        <f>VLOOKUP($I987,'Price List, Weapons &amp; Items'!B:L,COLUMN('Price List, Weapons &amp; Items'!$J$11)-1,0)</f>
        <v>Government information</v>
      </c>
      <c r="AO987" s="1194" t="str">
        <f>IF(I987=".",".",VLOOKUP($I987,'Price List, Weapons &amp; Items'!B:J,3,0))</f>
        <v>Main battle tank (MBT)</v>
      </c>
      <c r="AP987" s="1195" t="str">
        <f t="shared" ca="1" si="208"/>
        <v>overhauled T-72</v>
      </c>
      <c r="AQ987" s="1194">
        <f>VLOOKUP($I987,'Price List, Weapons &amp; Items'!B:L,COLUMN('Price List, Weapons &amp; Items'!$L$11)-1,0)</f>
        <v>2</v>
      </c>
      <c r="AR987" s="1194">
        <f t="shared" si="215"/>
        <v>1</v>
      </c>
      <c r="AS987" s="1194">
        <f t="shared" si="216"/>
        <v>1</v>
      </c>
      <c r="AT987" s="1194">
        <f t="shared" si="217"/>
        <v>1</v>
      </c>
      <c r="AU987" s="1194" t="str">
        <f t="shared" si="218"/>
        <v>.</v>
      </c>
      <c r="AV987" s="1194" t="str">
        <f t="shared" si="209"/>
        <v>.</v>
      </c>
      <c r="AW987" s="1194" t="str">
        <f t="shared" si="219"/>
        <v>.</v>
      </c>
      <c r="AX987" s="1194">
        <f>IFERROR(VLOOKUP(B987,'Share, Heavy Weapons to Ukraine'!B:Z,COLUMN('Share, Heavy Weapons to Ukraine'!C997)-1,0),0)</f>
        <v>0</v>
      </c>
      <c r="AY987" s="1194">
        <f>VLOOKUP('Bilateral Assistance, MAIN DATA'!B987,'Country Summary (€)'!B:F,COLUMN('Country Summary (€)'!C998)-1,FALSE)</f>
        <v>1</v>
      </c>
      <c r="AZ987" s="1194">
        <f>IF(AND(AD987=1,D987="Military",H987&lt;&gt;"Not given")=TRUE,IF(SUMIFS(P:P,A:A,A987)&gt;0,ABS((SUMIFS(P:P,A:A,A987)/VLOOKUP("USD",'Exchange Rates'!B:C,2,0)))/S987,"."),".")</f>
        <v>0.34504968715495032</v>
      </c>
      <c r="BA987" s="1196">
        <f>IF(AND(AD987=1,D987="Military",H987&lt;&gt;"Not given")=TRUE,IF(SUMIFS(P:P,A:A,A987)&gt;0,IF((ABS((SUMIFS(P:P,A:A,A987)/VLOOKUP("USD",'Exchange Rates'!B:C,2,0)))/S987)&gt;1,(SUMIFS(P:P,A:A,A987)-S987)/S987,(S987-SUMIFS(P:P,A:A,A987))/SUMIFS(P:P,A:A,A987)),"."),".")</f>
        <v>1.6666666666666667</v>
      </c>
    </row>
    <row r="988" spans="1:53" ht="15.95" customHeight="1">
      <c r="A988" s="1180" t="s">
        <v>2751</v>
      </c>
      <c r="B988" s="1180" t="s">
        <v>2693</v>
      </c>
      <c r="C988" s="1181">
        <v>44875</v>
      </c>
      <c r="D988" s="1182" t="s">
        <v>389</v>
      </c>
      <c r="E988" s="1182" t="s">
        <v>2752</v>
      </c>
      <c r="F988" s="1263" t="s">
        <v>2753</v>
      </c>
      <c r="G988" s="1184" t="s">
        <v>483</v>
      </c>
      <c r="H988" s="1185">
        <v>100000000</v>
      </c>
      <c r="I988" s="1266" t="s">
        <v>364</v>
      </c>
      <c r="J988" s="1186" t="str">
        <f>VLOOKUP($I988,'Price List, Weapons &amp; Items'!B:C,2,0)</f>
        <v>.</v>
      </c>
      <c r="K988" s="1186" t="str">
        <f>IF(I988=".",I988,VLOOKUP($I988,'Price List, Weapons &amp; Items'!B:D,3,0))</f>
        <v>.</v>
      </c>
      <c r="L988" s="1187">
        <f>VLOOKUP(I988,'Price List, Weapons &amp; Items'!B:E,4,0)</f>
        <v>0</v>
      </c>
      <c r="M988" s="1188" t="s">
        <v>364</v>
      </c>
      <c r="N988" s="1188" t="s">
        <v>364</v>
      </c>
      <c r="O988" s="1188" t="str">
        <f>VLOOKUP($I988,'Price List, Weapons &amp; Items'!B:G,6,0)</f>
        <v>.</v>
      </c>
      <c r="P988" s="1185" t="str">
        <f t="shared" si="210"/>
        <v>.</v>
      </c>
      <c r="Q988" s="1185" t="str">
        <f t="shared" si="211"/>
        <v>.</v>
      </c>
      <c r="R988" s="1185">
        <f t="shared" si="207"/>
        <v>100000000</v>
      </c>
      <c r="S988" s="1185">
        <f>IF(AND(AD988=1,R988&lt;&gt;".")=TRUE,R988/VLOOKUP(G988,'Exchange Rates'!B:C,2,0),IF(R988=".",".",""))</f>
        <v>100000000</v>
      </c>
      <c r="T988" s="1185" t="str">
        <f>IF(AD988=1,IF(AF988="Value is not given at all",".",IF(AF988="Value is given by the source",S988,IF(AF988="Value is calculated with prices",(IF(SUMIFS(Q:Q,A:A,A988)&gt;0,SUMIFS(Q:Q,A:A,A988),"."))/VLOOKUP("USD",'Exchange Rates'!B:C,2,0),"Error with coding"))),"")</f>
        <v>.</v>
      </c>
      <c r="U988" s="1184" t="s">
        <v>365</v>
      </c>
      <c r="V988" s="972" t="s">
        <v>2716</v>
      </c>
      <c r="W988" s="972" t="s">
        <v>364</v>
      </c>
      <c r="X988" s="980" t="s">
        <v>364</v>
      </c>
      <c r="Y988" s="1190" t="s">
        <v>364</v>
      </c>
      <c r="Z988" s="1184">
        <v>0</v>
      </c>
      <c r="AA988" s="1191">
        <v>1</v>
      </c>
      <c r="AB988" s="995" t="s">
        <v>364</v>
      </c>
      <c r="AC988" s="1192" t="str">
        <f>""</f>
        <v/>
      </c>
      <c r="AD988" s="1193">
        <v>1</v>
      </c>
      <c r="AE988" s="1193" t="s">
        <v>368</v>
      </c>
      <c r="AF988" s="1193" t="s">
        <v>369</v>
      </c>
      <c r="AG988" s="1193">
        <v>1</v>
      </c>
      <c r="AH988" s="1193">
        <v>11</v>
      </c>
      <c r="AI988" s="1193">
        <v>0</v>
      </c>
      <c r="AJ988" s="1193">
        <f>VLOOKUP($I988,'Price List, Weapons &amp; Items'!B:F,5,0)</f>
        <v>0</v>
      </c>
      <c r="AK988" s="1193">
        <f t="shared" si="212"/>
        <v>0</v>
      </c>
      <c r="AL988" s="1193">
        <f t="shared" si="213"/>
        <v>0</v>
      </c>
      <c r="AM988" s="1193">
        <f t="shared" si="214"/>
        <v>0</v>
      </c>
      <c r="AN988" s="1194" t="str">
        <f>VLOOKUP($I988,'Price List, Weapons &amp; Items'!B:L,COLUMN('Price List, Weapons &amp; Items'!$J$11)-1,0)</f>
        <v>.</v>
      </c>
      <c r="AO988" s="1194" t="str">
        <f>IF(I988=".",".",VLOOKUP($I988,'Price List, Weapons &amp; Items'!B:J,3,0))</f>
        <v>.</v>
      </c>
      <c r="AP988" s="1195" t="str">
        <f t="shared" ca="1" si="208"/>
        <v>.</v>
      </c>
      <c r="AQ988" s="1194">
        <f>VLOOKUP($I988,'Price List, Weapons &amp; Items'!B:L,COLUMN('Price List, Weapons &amp; Items'!$L$11)-1,0)</f>
        <v>0</v>
      </c>
      <c r="AR988" s="1194">
        <f t="shared" si="215"/>
        <v>1</v>
      </c>
      <c r="AS988" s="1194">
        <f t="shared" si="216"/>
        <v>0</v>
      </c>
      <c r="AT988" s="1194">
        <f t="shared" si="217"/>
        <v>1</v>
      </c>
      <c r="AU988" s="1194" t="str">
        <f t="shared" si="218"/>
        <v>.</v>
      </c>
      <c r="AV988" s="1194" t="str">
        <f t="shared" si="209"/>
        <v>.</v>
      </c>
      <c r="AW988" s="1194" t="str">
        <f t="shared" si="219"/>
        <v>.</v>
      </c>
      <c r="AX988" s="1194">
        <f>IFERROR(VLOOKUP(B988,'Share, Heavy Weapons to Ukraine'!B:Z,COLUMN('Share, Heavy Weapons to Ukraine'!C998)-1,0),0)</f>
        <v>0</v>
      </c>
      <c r="AY988" s="1194">
        <f>VLOOKUP('Bilateral Assistance, MAIN DATA'!B988,'Country Summary (€)'!B:F,COLUMN('Country Summary (€)'!C999)-1,FALSE)</f>
        <v>1</v>
      </c>
      <c r="AZ988" s="1194" t="str">
        <f>IF(AND(AD988=1,D988="Military",H988&lt;&gt;"Not given")=TRUE,IF(SUMIFS(P:P,A:A,A988)&gt;0,ABS((SUMIFS(P:P,A:A,A988)/VLOOKUP("USD",'Exchange Rates'!B:C,2,0)))/S988,"."),".")</f>
        <v>.</v>
      </c>
      <c r="BA988" s="1196" t="str">
        <f>IF(AND(AD988=1,D988="Military",H988&lt;&gt;"Not given")=TRUE,IF(SUMIFS(P:P,A:A,A988)&gt;0,IF((ABS((SUMIFS(P:P,A:A,A988)/VLOOKUP("USD",'Exchange Rates'!B:C,2,0)))/S988)&gt;1,(SUMIFS(P:P,A:A,A988)-S988)/S988,(S988-SUMIFS(P:P,A:A,A988))/SUMIFS(P:P,A:A,A988)),"."),".")</f>
        <v>.</v>
      </c>
    </row>
    <row r="989" spans="1:53" ht="15.95" customHeight="1">
      <c r="A989" s="1180" t="s">
        <v>2754</v>
      </c>
      <c r="B989" s="1180" t="s">
        <v>2693</v>
      </c>
      <c r="C989" s="1181">
        <v>44879</v>
      </c>
      <c r="D989" s="1182" t="s">
        <v>389</v>
      </c>
      <c r="E989" s="1182" t="s">
        <v>2752</v>
      </c>
      <c r="F989" s="1263" t="s">
        <v>2755</v>
      </c>
      <c r="G989" s="1184" t="s">
        <v>483</v>
      </c>
      <c r="H989" s="1185">
        <v>25000000</v>
      </c>
      <c r="I989" s="1266" t="s">
        <v>364</v>
      </c>
      <c r="J989" s="1186" t="str">
        <f>VLOOKUP($I989,'Price List, Weapons &amp; Items'!B:C,2,0)</f>
        <v>.</v>
      </c>
      <c r="K989" s="1186" t="str">
        <f>IF(I989=".",I989,VLOOKUP($I989,'Price List, Weapons &amp; Items'!B:D,3,0))</f>
        <v>.</v>
      </c>
      <c r="L989" s="1187">
        <f>VLOOKUP(I989,'Price List, Weapons &amp; Items'!B:E,4,0)</f>
        <v>0</v>
      </c>
      <c r="M989" s="1188" t="s">
        <v>364</v>
      </c>
      <c r="N989" s="1188" t="s">
        <v>364</v>
      </c>
      <c r="O989" s="1188" t="str">
        <f>VLOOKUP($I989,'Price List, Weapons &amp; Items'!B:G,6,0)</f>
        <v>.</v>
      </c>
      <c r="P989" s="1185" t="str">
        <f t="shared" si="210"/>
        <v>.</v>
      </c>
      <c r="Q989" s="1185" t="str">
        <f t="shared" si="211"/>
        <v>.</v>
      </c>
      <c r="R989" s="1185">
        <f t="shared" si="207"/>
        <v>25000000</v>
      </c>
      <c r="S989" s="1185">
        <f>IF(AND(AD989=1,R989&lt;&gt;".")=TRUE,R989/VLOOKUP(G989,'Exchange Rates'!B:C,2,0),IF(R989=".",".",""))</f>
        <v>25000000</v>
      </c>
      <c r="T989" s="1185" t="str">
        <f>IF(AD989=1,IF(AF989="Value is not given at all",".",IF(AF989="Value is given by the source",S989,IF(AF989="Value is calculated with prices",(IF(SUMIFS(Q:Q,A:A,A989)&gt;0,SUMIFS(Q:Q,A:A,A989),"."))/VLOOKUP("USD",'Exchange Rates'!B:C,2,0),"Error with coding"))),"")</f>
        <v>.</v>
      </c>
      <c r="U989" s="1184" t="s">
        <v>365</v>
      </c>
      <c r="V989" s="973" t="s">
        <v>2756</v>
      </c>
      <c r="W989" s="980" t="s">
        <v>2757</v>
      </c>
      <c r="X989" s="980" t="s">
        <v>2758</v>
      </c>
      <c r="Y989" s="1190" t="s">
        <v>364</v>
      </c>
      <c r="Z989" s="1184">
        <v>0</v>
      </c>
      <c r="AA989" s="1191">
        <v>1</v>
      </c>
      <c r="AB989" s="995" t="s">
        <v>364</v>
      </c>
      <c r="AC989" s="1192" t="str">
        <f>""</f>
        <v/>
      </c>
      <c r="AD989" s="1193">
        <v>1</v>
      </c>
      <c r="AE989" s="1193" t="s">
        <v>368</v>
      </c>
      <c r="AF989" s="1193" t="s">
        <v>369</v>
      </c>
      <c r="AG989" s="1193">
        <v>1</v>
      </c>
      <c r="AH989" s="1193">
        <v>11</v>
      </c>
      <c r="AI989" s="1193">
        <v>0</v>
      </c>
      <c r="AJ989" s="1193">
        <f>VLOOKUP($I989,'Price List, Weapons &amp; Items'!B:F,5,0)</f>
        <v>0</v>
      </c>
      <c r="AK989" s="1193">
        <f t="shared" si="212"/>
        <v>0</v>
      </c>
      <c r="AL989" s="1193">
        <f t="shared" si="213"/>
        <v>0</v>
      </c>
      <c r="AM989" s="1193">
        <f t="shared" si="214"/>
        <v>0</v>
      </c>
      <c r="AN989" s="1194" t="str">
        <f>VLOOKUP($I989,'Price List, Weapons &amp; Items'!B:L,COLUMN('Price List, Weapons &amp; Items'!$J$11)-1,0)</f>
        <v>.</v>
      </c>
      <c r="AO989" s="1194" t="str">
        <f>IF(I989=".",".",VLOOKUP($I989,'Price List, Weapons &amp; Items'!B:J,3,0))</f>
        <v>.</v>
      </c>
      <c r="AP989" s="1195" t="str">
        <f t="shared" ca="1" si="208"/>
        <v>.</v>
      </c>
      <c r="AQ989" s="1194">
        <f>VLOOKUP($I989,'Price List, Weapons &amp; Items'!B:L,COLUMN('Price List, Weapons &amp; Items'!$L$11)-1,0)</f>
        <v>0</v>
      </c>
      <c r="AR989" s="1194">
        <f t="shared" si="215"/>
        <v>1</v>
      </c>
      <c r="AS989" s="1194">
        <f t="shared" si="216"/>
        <v>0</v>
      </c>
      <c r="AT989" s="1194">
        <f t="shared" si="217"/>
        <v>1</v>
      </c>
      <c r="AU989" s="1194" t="str">
        <f t="shared" si="218"/>
        <v>.</v>
      </c>
      <c r="AV989" s="1194" t="str">
        <f t="shared" si="209"/>
        <v>.</v>
      </c>
      <c r="AW989" s="1194" t="str">
        <f t="shared" si="219"/>
        <v>.</v>
      </c>
      <c r="AX989" s="1194">
        <f>IFERROR(VLOOKUP(B989,'Share, Heavy Weapons to Ukraine'!B:Z,COLUMN('Share, Heavy Weapons to Ukraine'!C999)-1,0),0)</f>
        <v>0</v>
      </c>
      <c r="AY989" s="1194">
        <f>VLOOKUP('Bilateral Assistance, MAIN DATA'!B989,'Country Summary (€)'!B:F,COLUMN('Country Summary (€)'!C1000)-1,FALSE)</f>
        <v>1</v>
      </c>
      <c r="AZ989" s="1194" t="str">
        <f>IF(AND(AD989=1,D989="Military",H989&lt;&gt;"Not given")=TRUE,IF(SUMIFS(P:P,A:A,A989)&gt;0,ABS((SUMIFS(P:P,A:A,A989)/VLOOKUP("USD",'Exchange Rates'!B:C,2,0)))/S989,"."),".")</f>
        <v>.</v>
      </c>
      <c r="BA989" s="1196" t="str">
        <f>IF(AND(AD989=1,D989="Military",H989&lt;&gt;"Not given")=TRUE,IF(SUMIFS(P:P,A:A,A989)&gt;0,IF((ABS((SUMIFS(P:P,A:A,A989)/VLOOKUP("USD",'Exchange Rates'!B:C,2,0)))/S989)&gt;1,(SUMIFS(P:P,A:A,A989)-S989)/S989,(S989-SUMIFS(P:P,A:A,A989))/SUMIFS(P:P,A:A,A989)),"."),".")</f>
        <v>.</v>
      </c>
    </row>
    <row r="990" spans="1:53" ht="15.95" customHeight="1">
      <c r="A990" s="1180" t="s">
        <v>2759</v>
      </c>
      <c r="B990" s="1180" t="s">
        <v>2693</v>
      </c>
      <c r="C990" s="1181">
        <v>44911</v>
      </c>
      <c r="D990" s="1182" t="s">
        <v>389</v>
      </c>
      <c r="E990" s="1182" t="s">
        <v>2745</v>
      </c>
      <c r="F990" s="1263" t="s">
        <v>2760</v>
      </c>
      <c r="G990" s="1184" t="s">
        <v>483</v>
      </c>
      <c r="H990" s="1185">
        <v>202500000</v>
      </c>
      <c r="I990" s="1266" t="s">
        <v>364</v>
      </c>
      <c r="J990" s="1186" t="str">
        <f>VLOOKUP($I990,'Price List, Weapons &amp; Items'!B:C,2,0)</f>
        <v>.</v>
      </c>
      <c r="K990" s="1186" t="str">
        <f>IF(I990=".",I990,VLOOKUP($I990,'Price List, Weapons &amp; Items'!B:D,3,0))</f>
        <v>.</v>
      </c>
      <c r="L990" s="1187">
        <f>VLOOKUP(I990,'Price List, Weapons &amp; Items'!B:E,4,0)</f>
        <v>0</v>
      </c>
      <c r="M990" s="1188" t="s">
        <v>364</v>
      </c>
      <c r="N990" s="1188" t="s">
        <v>364</v>
      </c>
      <c r="O990" s="1188" t="str">
        <f>VLOOKUP($I990,'Price List, Weapons &amp; Items'!B:G,6,0)</f>
        <v>.</v>
      </c>
      <c r="P990" s="1185" t="str">
        <f t="shared" si="210"/>
        <v>.</v>
      </c>
      <c r="Q990" s="1185" t="str">
        <f t="shared" si="211"/>
        <v>.</v>
      </c>
      <c r="R990" s="1185">
        <f t="shared" si="207"/>
        <v>202500000</v>
      </c>
      <c r="S990" s="1185">
        <f>IF(AND(AD990=1,R990&lt;&gt;".")=TRUE,R990/VLOOKUP(G990,'Exchange Rates'!B:C,2,0),IF(R990=".",".",""))</f>
        <v>202500000</v>
      </c>
      <c r="T990" s="1185">
        <f>IF(AD990=1,IF(AF990="Value is not given at all",".",IF(AF990="Value is given by the source",S990,IF(AF990="Value is calculated with prices",(IF(SUMIFS(Q:Q,A:A,A990)&gt;0,SUMIFS(Q:Q,A:A,A990),"."))/VLOOKUP("USD",'Exchange Rates'!B:C,2,0),"Error with coding"))),"")</f>
        <v>202500000</v>
      </c>
      <c r="U990" s="1184" t="s">
        <v>365</v>
      </c>
      <c r="V990" s="971" t="s">
        <v>2716</v>
      </c>
      <c r="W990" s="980" t="s">
        <v>2761</v>
      </c>
      <c r="X990" s="981" t="s">
        <v>364</v>
      </c>
      <c r="Y990" s="1190" t="s">
        <v>364</v>
      </c>
      <c r="Z990" s="1184">
        <v>0</v>
      </c>
      <c r="AA990" s="1191">
        <v>0</v>
      </c>
      <c r="AB990" s="991" t="s">
        <v>2716</v>
      </c>
      <c r="AC990" s="1192" t="str">
        <f>""</f>
        <v/>
      </c>
      <c r="AD990" s="1193">
        <v>1</v>
      </c>
      <c r="AE990" s="1193" t="s">
        <v>368</v>
      </c>
      <c r="AF990" s="1193" t="s">
        <v>368</v>
      </c>
      <c r="AG990" s="1193">
        <v>1</v>
      </c>
      <c r="AH990" s="1193">
        <v>12</v>
      </c>
      <c r="AI990" s="1193">
        <v>0</v>
      </c>
      <c r="AJ990" s="1193">
        <f>VLOOKUP($I990,'Price List, Weapons &amp; Items'!B:F,5,0)</f>
        <v>0</v>
      </c>
      <c r="AK990" s="1193">
        <f t="shared" si="212"/>
        <v>0</v>
      </c>
      <c r="AL990" s="1193">
        <f t="shared" si="213"/>
        <v>0</v>
      </c>
      <c r="AM990" s="1193">
        <f t="shared" si="214"/>
        <v>0</v>
      </c>
      <c r="AN990" s="1194" t="str">
        <f>VLOOKUP($I990,'Price List, Weapons &amp; Items'!B:L,COLUMN('Price List, Weapons &amp; Items'!$J$11)-1,0)</f>
        <v>.</v>
      </c>
      <c r="AO990" s="1194" t="str">
        <f>IF(I990=".",".",VLOOKUP($I990,'Price List, Weapons &amp; Items'!B:J,3,0))</f>
        <v>.</v>
      </c>
      <c r="AP990" s="1195" t="str">
        <f t="shared" ca="1" si="208"/>
        <v>.</v>
      </c>
      <c r="AQ990" s="1194">
        <f>VLOOKUP($I990,'Price List, Weapons &amp; Items'!B:L,COLUMN('Price List, Weapons &amp; Items'!$L$11)-1,0)</f>
        <v>0</v>
      </c>
      <c r="AR990" s="1194">
        <f t="shared" si="215"/>
        <v>1</v>
      </c>
      <c r="AS990" s="1194">
        <f t="shared" si="216"/>
        <v>1</v>
      </c>
      <c r="AT990" s="1194">
        <f t="shared" si="217"/>
        <v>1</v>
      </c>
      <c r="AU990" s="1194" t="str">
        <f t="shared" si="218"/>
        <v>.</v>
      </c>
      <c r="AV990" s="1194" t="str">
        <f t="shared" si="209"/>
        <v>.</v>
      </c>
      <c r="AW990" s="1194" t="str">
        <f t="shared" si="219"/>
        <v>.</v>
      </c>
      <c r="AX990" s="1194">
        <f>IFERROR(VLOOKUP(B990,'Share, Heavy Weapons to Ukraine'!B:Z,COLUMN('Share, Heavy Weapons to Ukraine'!C1000)-1,0),0)</f>
        <v>0</v>
      </c>
      <c r="AY990" s="1194">
        <f>VLOOKUP('Bilateral Assistance, MAIN DATA'!B990,'Country Summary (€)'!B:F,COLUMN('Country Summary (€)'!C1001)-1,FALSE)</f>
        <v>1</v>
      </c>
      <c r="AZ990" s="1194" t="str">
        <f>IF(AND(AD990=1,D990="Military",H990&lt;&gt;"Not given")=TRUE,IF(SUMIFS(P:P,A:A,A990)&gt;0,ABS((SUMIFS(P:P,A:A,A990)/VLOOKUP("USD",'Exchange Rates'!B:C,2,0)))/S990,"."),".")</f>
        <v>.</v>
      </c>
      <c r="BA990" s="1196" t="str">
        <f>IF(AND(AD990=1,D990="Military",H990&lt;&gt;"Not given")=TRUE,IF(SUMIFS(P:P,A:A,A990)&gt;0,IF((ABS((SUMIFS(P:P,A:A,A990)/VLOOKUP("USD",'Exchange Rates'!B:C,2,0)))/S990)&gt;1,(SUMIFS(P:P,A:A,A990)-S990)/S990,(S990-SUMIFS(P:P,A:A,A990))/SUMIFS(P:P,A:A,A990)),"."),".")</f>
        <v>.</v>
      </c>
    </row>
    <row r="991" spans="1:53" ht="15.95" customHeight="1">
      <c r="A991" s="1180" t="s">
        <v>2762</v>
      </c>
      <c r="B991" s="1180" t="s">
        <v>2693</v>
      </c>
      <c r="C991" s="1181">
        <v>44918</v>
      </c>
      <c r="D991" s="1182" t="s">
        <v>389</v>
      </c>
      <c r="E991" s="1182" t="s">
        <v>2745</v>
      </c>
      <c r="F991" s="1263" t="s">
        <v>2763</v>
      </c>
      <c r="G991" s="1184" t="s">
        <v>483</v>
      </c>
      <c r="H991" s="1185">
        <v>1500000000</v>
      </c>
      <c r="I991" s="1180" t="s">
        <v>364</v>
      </c>
      <c r="J991" s="1186" t="str">
        <f>VLOOKUP($I991,'Price List, Weapons &amp; Items'!B:C,2,0)</f>
        <v>.</v>
      </c>
      <c r="K991" s="1186" t="str">
        <f>IF(I991=".",I991,VLOOKUP($I991,'Price List, Weapons &amp; Items'!B:D,3,0))</f>
        <v>.</v>
      </c>
      <c r="L991" s="1187">
        <f>VLOOKUP(I991,'Price List, Weapons &amp; Items'!B:E,4,0)</f>
        <v>0</v>
      </c>
      <c r="M991" s="1188" t="s">
        <v>364</v>
      </c>
      <c r="N991" s="1188" t="s">
        <v>364</v>
      </c>
      <c r="O991" s="1188" t="str">
        <f>VLOOKUP($I991,'Price List, Weapons &amp; Items'!B:G,6,0)</f>
        <v>.</v>
      </c>
      <c r="P991" s="1185" t="str">
        <f t="shared" si="210"/>
        <v>.</v>
      </c>
      <c r="Q991" s="1185" t="str">
        <f t="shared" si="211"/>
        <v>.</v>
      </c>
      <c r="R991" s="1185">
        <f t="shared" si="207"/>
        <v>1500000000</v>
      </c>
      <c r="S991" s="1185">
        <f>IF(AND(AD991=1,R991&lt;&gt;".")=TRUE,R991/VLOOKUP(G991,'Exchange Rates'!B:C,2,0),IF(R991=".",".",""))</f>
        <v>1500000000</v>
      </c>
      <c r="T991" s="1185" t="str">
        <f>IF(AD991=1,IF(AF991="Value is not given at all",".",IF(AF991="Value is given by the source",S991,IF(AF991="Value is calculated with prices",(IF(SUMIFS(Q:Q,A:A,A991)&gt;0,SUMIFS(Q:Q,A:A,A991),"."))/VLOOKUP("USD",'Exchange Rates'!B:C,2,0),"Error with coding"))),"")</f>
        <v>.</v>
      </c>
      <c r="U991" s="1184" t="s">
        <v>365</v>
      </c>
      <c r="V991" s="973" t="s">
        <v>2764</v>
      </c>
      <c r="W991" s="980" t="s">
        <v>2765</v>
      </c>
      <c r="X991" s="981" t="s">
        <v>364</v>
      </c>
      <c r="Y991" s="1190" t="s">
        <v>364</v>
      </c>
      <c r="Z991" s="1184">
        <v>0</v>
      </c>
      <c r="AA991" s="1191">
        <v>0</v>
      </c>
      <c r="AB991" s="1036" t="s">
        <v>364</v>
      </c>
      <c r="AC991" s="1192" t="str">
        <f>""</f>
        <v/>
      </c>
      <c r="AD991" s="1193">
        <v>1</v>
      </c>
      <c r="AE991" s="1193" t="s">
        <v>368</v>
      </c>
      <c r="AF991" s="1193" t="s">
        <v>369</v>
      </c>
      <c r="AG991" s="1193">
        <v>1</v>
      </c>
      <c r="AH991" s="1193">
        <v>12</v>
      </c>
      <c r="AI991" s="1193">
        <v>0</v>
      </c>
      <c r="AJ991" s="1193">
        <f>VLOOKUP($I991,'Price List, Weapons &amp; Items'!B:F,5,0)</f>
        <v>0</v>
      </c>
      <c r="AK991" s="1193">
        <f t="shared" si="212"/>
        <v>0</v>
      </c>
      <c r="AL991" s="1193">
        <f t="shared" si="213"/>
        <v>0</v>
      </c>
      <c r="AM991" s="1193">
        <f t="shared" si="214"/>
        <v>0</v>
      </c>
      <c r="AN991" s="1194" t="str">
        <f>VLOOKUP($I991,'Price List, Weapons &amp; Items'!B:L,COLUMN('Price List, Weapons &amp; Items'!$J$11)-1,0)</f>
        <v>.</v>
      </c>
      <c r="AO991" s="1194" t="str">
        <f>IF(I991=".",".",VLOOKUP($I991,'Price List, Weapons &amp; Items'!B:J,3,0))</f>
        <v>.</v>
      </c>
      <c r="AP991" s="1195" t="str">
        <f t="shared" ca="1" si="208"/>
        <v>.</v>
      </c>
      <c r="AQ991" s="1194">
        <f>VLOOKUP($I991,'Price List, Weapons &amp; Items'!B:L,COLUMN('Price List, Weapons &amp; Items'!$L$11)-1,0)</f>
        <v>0</v>
      </c>
      <c r="AR991" s="1194">
        <f t="shared" si="215"/>
        <v>1</v>
      </c>
      <c r="AS991" s="1194">
        <f t="shared" si="216"/>
        <v>1</v>
      </c>
      <c r="AT991" s="1194">
        <f t="shared" si="217"/>
        <v>1</v>
      </c>
      <c r="AU991" s="1194" t="str">
        <f t="shared" si="218"/>
        <v>.</v>
      </c>
      <c r="AV991" s="1194" t="str">
        <f t="shared" si="209"/>
        <v>.</v>
      </c>
      <c r="AW991" s="1194" t="str">
        <f t="shared" si="219"/>
        <v>.</v>
      </c>
      <c r="AX991" s="1194">
        <f>IFERROR(VLOOKUP(B991,'Share, Heavy Weapons to Ukraine'!B:Z,COLUMN('Share, Heavy Weapons to Ukraine'!C1001)-1,0),0)</f>
        <v>0</v>
      </c>
      <c r="AY991" s="1194">
        <f>VLOOKUP('Bilateral Assistance, MAIN DATA'!B991,'Country Summary (€)'!B:F,COLUMN('Country Summary (€)'!C1002)-1,FALSE)</f>
        <v>1</v>
      </c>
      <c r="AZ991" s="1194">
        <f>IF(AND(AD991=1,D991="Military",H991&lt;&gt;"Not given")=TRUE,IF(SUMIFS(P:P,A:A,A991)&gt;0,ABS((SUMIFS(P:P,A:A,A991)/VLOOKUP("USD",'Exchange Rates'!B:C,2,0)))/S991,"."),".")</f>
        <v>0.83881220294919145</v>
      </c>
      <c r="BA991" s="1196">
        <f>IF(AND(AD991=1,D991="Military",H991&lt;&gt;"Not given")=TRUE,IF(SUMIFS(P:P,A:A,A991)&gt;0,IF((ABS((SUMIFS(P:P,A:A,A991)/VLOOKUP("USD",'Exchange Rates'!B:C,2,0)))/S991)&gt;1,(SUMIFS(P:P,A:A,A991)-S991)/S991,(S991-SUMIFS(P:P,A:A,A991))/SUMIFS(P:P,A:A,A991)),"."),".")</f>
        <v>9.6946963628761013E-2</v>
      </c>
    </row>
    <row r="992" spans="1:53" ht="15.95" customHeight="1">
      <c r="A992" s="1180" t="s">
        <v>2762</v>
      </c>
      <c r="B992" s="1180" t="s">
        <v>2693</v>
      </c>
      <c r="C992" s="1181">
        <v>44946</v>
      </c>
      <c r="D992" s="1182" t="s">
        <v>389</v>
      </c>
      <c r="E992" s="1182" t="s">
        <v>2745</v>
      </c>
      <c r="F992" s="1263" t="s">
        <v>2766</v>
      </c>
      <c r="G992" s="1184" t="s">
        <v>483</v>
      </c>
      <c r="H992" s="1185">
        <v>1500000000</v>
      </c>
      <c r="I992" s="1180" t="s">
        <v>1931</v>
      </c>
      <c r="J992" s="1186" t="str">
        <f>VLOOKUP($I992,'Price List, Weapons &amp; Items'!B:C,2,0)</f>
        <v>Heavy weapon</v>
      </c>
      <c r="K992" s="1186" t="str">
        <f>IF(I992=".",I992,VLOOKUP($I992,'Price List, Weapons &amp; Items'!B:D,3,0))</f>
        <v>Anti-aircraft surface-to-air missile (SAM) system (long-range)</v>
      </c>
      <c r="L992" s="1187">
        <f>VLOOKUP(I992,'Price List, Weapons &amp; Items'!B:E,4,0)</f>
        <v>0</v>
      </c>
      <c r="M992" s="1188">
        <v>2</v>
      </c>
      <c r="N992" s="1188" t="s">
        <v>374</v>
      </c>
      <c r="O992" s="1188">
        <f>VLOOKUP($I992,'Price List, Weapons &amp; Items'!B:G,6,0)</f>
        <v>400000000</v>
      </c>
      <c r="P992" s="1185">
        <f t="shared" si="210"/>
        <v>800000000</v>
      </c>
      <c r="Q992" s="1185" t="str">
        <f t="shared" si="211"/>
        <v>.</v>
      </c>
      <c r="R992" s="1185" t="str">
        <f t="shared" si="207"/>
        <v/>
      </c>
      <c r="S992" s="1185" t="str">
        <f>IF(AND(AD992=1,R992&lt;&gt;".")=TRUE,R992/VLOOKUP(G992,'Exchange Rates'!B:C,2,0),IF(R992=".",".",""))</f>
        <v/>
      </c>
      <c r="T992" s="1185" t="str">
        <f>IF(AD992=1,IF(AF992="Value is not given at all",".",IF(AF992="Value is given by the source",S992,IF(AF992="Value is calculated with prices",(IF(SUMIFS(Q:Q,A:A,A992)&gt;0,SUMIFS(Q:Q,A:A,A992),"."))/VLOOKUP("USD",'Exchange Rates'!B:C,2,0),"Error with coding"))),"")</f>
        <v/>
      </c>
      <c r="U992" s="1184" t="s">
        <v>365</v>
      </c>
      <c r="V992" s="973" t="s">
        <v>2767</v>
      </c>
      <c r="W992" s="980" t="s">
        <v>2768</v>
      </c>
      <c r="X992" s="980" t="s">
        <v>2769</v>
      </c>
      <c r="Y992" s="1190" t="s">
        <v>364</v>
      </c>
      <c r="Z992" s="1184">
        <v>0</v>
      </c>
      <c r="AA992" s="1191">
        <v>0</v>
      </c>
      <c r="AB992" s="1036" t="s">
        <v>364</v>
      </c>
      <c r="AC992" s="1192" t="str">
        <f>""</f>
        <v/>
      </c>
      <c r="AD992" s="1193">
        <v>0</v>
      </c>
      <c r="AE992" s="1193" t="s">
        <v>368</v>
      </c>
      <c r="AF992" s="1193" t="s">
        <v>369</v>
      </c>
      <c r="AG992" s="1193">
        <v>1</v>
      </c>
      <c r="AH992" s="1193">
        <v>13</v>
      </c>
      <c r="AI992" s="1193">
        <v>0</v>
      </c>
      <c r="AJ992" s="1193">
        <f>VLOOKUP($I992,'Price List, Weapons &amp; Items'!B:F,5,0)</f>
        <v>0</v>
      </c>
      <c r="AK992" s="1193">
        <f t="shared" si="212"/>
        <v>0</v>
      </c>
      <c r="AL992" s="1193">
        <f t="shared" si="213"/>
        <v>0</v>
      </c>
      <c r="AM992" s="1193">
        <f t="shared" si="214"/>
        <v>0</v>
      </c>
      <c r="AN992" s="1194" t="str">
        <f>VLOOKUP($I992,'Price List, Weapons &amp; Items'!B:L,COLUMN('Price List, Weapons &amp; Items'!$J$11)-1,0)</f>
        <v>Military media (incl. websites)</v>
      </c>
      <c r="AO992" s="1194" t="str">
        <f>IF(I992=".",".",VLOOKUP($I992,'Price List, Weapons &amp; Items'!B:J,3,0))</f>
        <v>Anti-aircraft surface-to-air missile (SAM) system (long-range)</v>
      </c>
      <c r="AP992" s="1195" t="str">
        <f t="shared" ca="1" si="208"/>
        <v/>
      </c>
      <c r="AQ992" s="1194">
        <f>VLOOKUP($I992,'Price List, Weapons &amp; Items'!B:L,COLUMN('Price List, Weapons &amp; Items'!$L$11)-1,0)</f>
        <v>2</v>
      </c>
      <c r="AR992" s="1194">
        <f t="shared" si="215"/>
        <v>1</v>
      </c>
      <c r="AS992" s="1194">
        <f t="shared" si="216"/>
        <v>1</v>
      </c>
      <c r="AT992" s="1194">
        <f t="shared" si="217"/>
        <v>1</v>
      </c>
      <c r="AU992" s="1194" t="str">
        <f t="shared" si="218"/>
        <v>.</v>
      </c>
      <c r="AV992" s="1194" t="str">
        <f t="shared" si="209"/>
        <v>.</v>
      </c>
      <c r="AW992" s="1194" t="str">
        <f t="shared" si="219"/>
        <v>.</v>
      </c>
      <c r="AX992" s="1194">
        <f>IFERROR(VLOOKUP(B992,'Share, Heavy Weapons to Ukraine'!B:Z,COLUMN('Share, Heavy Weapons to Ukraine'!C1002)-1,0),0)</f>
        <v>0</v>
      </c>
      <c r="AY992" s="1194">
        <f>VLOOKUP('Bilateral Assistance, MAIN DATA'!B992,'Country Summary (€)'!B:F,COLUMN('Country Summary (€)'!C1003)-1,FALSE)</f>
        <v>1</v>
      </c>
      <c r="AZ992" s="1194" t="str">
        <f>IF(AND(AD992=1,D992="Military",H992&lt;&gt;"Not given")=TRUE,IF(SUMIFS(P:P,A:A,A992)&gt;0,ABS((SUMIFS(P:P,A:A,A992)/VLOOKUP("USD",'Exchange Rates'!B:C,2,0)))/S992,"."),".")</f>
        <v>.</v>
      </c>
      <c r="BA992" s="1196" t="str">
        <f>IF(AND(AD992=1,D992="Military",H992&lt;&gt;"Not given")=TRUE,IF(SUMIFS(P:P,A:A,A992)&gt;0,IF((ABS((SUMIFS(P:P,A:A,A992)/VLOOKUP("USD",'Exchange Rates'!B:C,2,0)))/S992)&gt;1,(SUMIFS(P:P,A:A,A992)-S992)/S992,(S992-SUMIFS(P:P,A:A,A992))/SUMIFS(P:P,A:A,A992)),"."),".")</f>
        <v>.</v>
      </c>
    </row>
    <row r="993" spans="1:53" ht="15.95" customHeight="1">
      <c r="A993" s="1180" t="s">
        <v>2762</v>
      </c>
      <c r="B993" s="1180" t="s">
        <v>2693</v>
      </c>
      <c r="C993" s="1181">
        <v>44946</v>
      </c>
      <c r="D993" s="1182" t="s">
        <v>389</v>
      </c>
      <c r="E993" s="1182" t="s">
        <v>2745</v>
      </c>
      <c r="F993" s="1263" t="s">
        <v>2766</v>
      </c>
      <c r="G993" s="1184" t="s">
        <v>483</v>
      </c>
      <c r="H993" s="1185">
        <v>1500000000</v>
      </c>
      <c r="I993" s="1180" t="s">
        <v>1932</v>
      </c>
      <c r="J993" s="1186" t="str">
        <f>VLOOKUP($I993,'Price List, Weapons &amp; Items'!B:C,2,0)</f>
        <v>Heavy weapon</v>
      </c>
      <c r="K993" s="1186" t="str">
        <f>IF(I993=".",I993,VLOOKUP($I993,'Price List, Weapons &amp; Items'!B:D,3,0))</f>
        <v>Surface-to-air missile (SAM)</v>
      </c>
      <c r="L993" s="1187">
        <f>VLOOKUP(I993,'Price List, Weapons &amp; Items'!B:E,4,0)</f>
        <v>0</v>
      </c>
      <c r="M993" s="1188" t="s">
        <v>374</v>
      </c>
      <c r="N993" s="1188" t="s">
        <v>374</v>
      </c>
      <c r="O993" s="1188">
        <f>VLOOKUP($I993,'Price List, Weapons &amp; Items'!B:G,6,0)</f>
        <v>3000000</v>
      </c>
      <c r="P993" s="1185" t="str">
        <f t="shared" si="210"/>
        <v>.</v>
      </c>
      <c r="Q993" s="1185" t="str">
        <f t="shared" si="211"/>
        <v>.</v>
      </c>
      <c r="R993" s="1185" t="str">
        <f t="shared" si="207"/>
        <v/>
      </c>
      <c r="S993" s="1185" t="str">
        <f>IF(AND(AD993=1,R993&lt;&gt;".")=TRUE,R993/VLOOKUP(G993,'Exchange Rates'!B:C,2,0),IF(R993=".",".",""))</f>
        <v/>
      </c>
      <c r="T993" s="1185" t="str">
        <f>IF(AD993=1,IF(AF993="Value is not given at all",".",IF(AF993="Value is given by the source",S993,IF(AF993="Value is calculated with prices",(IF(SUMIFS(Q:Q,A:A,A993)&gt;0,SUMIFS(Q:Q,A:A,A993),"."))/VLOOKUP("USD",'Exchange Rates'!B:C,2,0),"Error with coding"))),"")</f>
        <v/>
      </c>
      <c r="U993" s="1184" t="s">
        <v>365</v>
      </c>
      <c r="V993" s="973" t="s">
        <v>2767</v>
      </c>
      <c r="W993" s="980" t="s">
        <v>2768</v>
      </c>
      <c r="X993" s="980" t="s">
        <v>2769</v>
      </c>
      <c r="Y993" s="1190" t="s">
        <v>364</v>
      </c>
      <c r="Z993" s="1184">
        <v>0</v>
      </c>
      <c r="AA993" s="1191">
        <v>0</v>
      </c>
      <c r="AB993" s="1036" t="s">
        <v>364</v>
      </c>
      <c r="AC993" s="1192" t="str">
        <f>""</f>
        <v/>
      </c>
      <c r="AD993" s="1193">
        <v>0</v>
      </c>
      <c r="AE993" s="1193" t="s">
        <v>368</v>
      </c>
      <c r="AF993" s="1193" t="s">
        <v>369</v>
      </c>
      <c r="AG993" s="1193">
        <v>1</v>
      </c>
      <c r="AH993" s="1193">
        <v>13</v>
      </c>
      <c r="AI993" s="1193">
        <v>0</v>
      </c>
      <c r="AJ993" s="1193">
        <f>VLOOKUP($I993,'Price List, Weapons &amp; Items'!B:F,5,0)</f>
        <v>0</v>
      </c>
      <c r="AK993" s="1193">
        <f t="shared" si="212"/>
        <v>0</v>
      </c>
      <c r="AL993" s="1193">
        <f t="shared" si="213"/>
        <v>0</v>
      </c>
      <c r="AM993" s="1193">
        <f t="shared" si="214"/>
        <v>0</v>
      </c>
      <c r="AN993" s="1194" t="str">
        <f>VLOOKUP($I993,'Price List, Weapons &amp; Items'!B:L,COLUMN('Price List, Weapons &amp; Items'!$J$11)-1,0)</f>
        <v>Media reports (incl. social media)</v>
      </c>
      <c r="AO993" s="1194" t="str">
        <f>IF(I993=".",".",VLOOKUP($I993,'Price List, Weapons &amp; Items'!B:J,3,0))</f>
        <v>Surface-to-air missile (SAM)</v>
      </c>
      <c r="AP993" s="1195" t="str">
        <f t="shared" ca="1" si="208"/>
        <v/>
      </c>
      <c r="AQ993" s="1194" t="str">
        <f>VLOOKUP($I993,'Price List, Weapons &amp; Items'!B:L,COLUMN('Price List, Weapons &amp; Items'!$L$11)-1,0)</f>
        <v>no price, 0 count</v>
      </c>
      <c r="AR993" s="1194">
        <f t="shared" si="215"/>
        <v>1</v>
      </c>
      <c r="AS993" s="1194">
        <f t="shared" si="216"/>
        <v>1</v>
      </c>
      <c r="AT993" s="1194">
        <f t="shared" si="217"/>
        <v>1</v>
      </c>
      <c r="AU993" s="1194" t="str">
        <f t="shared" si="218"/>
        <v>.</v>
      </c>
      <c r="AV993" s="1194" t="str">
        <f t="shared" si="209"/>
        <v>.</v>
      </c>
      <c r="AW993" s="1194" t="str">
        <f t="shared" si="219"/>
        <v>.</v>
      </c>
      <c r="AX993" s="1194">
        <f>IFERROR(VLOOKUP(B993,'Share, Heavy Weapons to Ukraine'!B:Z,COLUMN('Share, Heavy Weapons to Ukraine'!C1003)-1,0),0)</f>
        <v>0</v>
      </c>
      <c r="AY993" s="1194">
        <f>VLOOKUP('Bilateral Assistance, MAIN DATA'!B993,'Country Summary (€)'!B:F,COLUMN('Country Summary (€)'!C1004)-1,FALSE)</f>
        <v>1</v>
      </c>
      <c r="AZ993" s="1194" t="str">
        <f>IF(AND(AD993=1,D993="Military",H993&lt;&gt;"Not given")=TRUE,IF(SUMIFS(P:P,A:A,A993)&gt;0,ABS((SUMIFS(P:P,A:A,A993)/VLOOKUP("USD",'Exchange Rates'!B:C,2,0)))/S993,"."),".")</f>
        <v>.</v>
      </c>
      <c r="BA993" s="1196" t="str">
        <f>IF(AND(AD993=1,D993="Military",H993&lt;&gt;"Not given")=TRUE,IF(SUMIFS(P:P,A:A,A993)&gt;0,IF((ABS((SUMIFS(P:P,A:A,A993)/VLOOKUP("USD",'Exchange Rates'!B:C,2,0)))/S993)&gt;1,(SUMIFS(P:P,A:A,A993)-S993)/S993,(S993-SUMIFS(P:P,A:A,A993))/SUMIFS(P:P,A:A,A993)),"."),".")</f>
        <v>.</v>
      </c>
    </row>
    <row r="994" spans="1:53" ht="15.95" customHeight="1">
      <c r="A994" s="1180" t="s">
        <v>2762</v>
      </c>
      <c r="B994" s="1180" t="s">
        <v>2693</v>
      </c>
      <c r="C994" s="1181">
        <v>44946</v>
      </c>
      <c r="D994" s="1182" t="s">
        <v>389</v>
      </c>
      <c r="E994" s="1182" t="s">
        <v>2745</v>
      </c>
      <c r="F994" s="1263" t="s">
        <v>2766</v>
      </c>
      <c r="G994" s="1184" t="s">
        <v>483</v>
      </c>
      <c r="H994" s="1185">
        <v>1500000000</v>
      </c>
      <c r="I994" s="1266" t="s">
        <v>2770</v>
      </c>
      <c r="J994" s="1186" t="str">
        <f>VLOOKUP($I994,'Price List, Weapons &amp; Items'!B:C,2,0)</f>
        <v>Heavy weapon</v>
      </c>
      <c r="K994" s="1186" t="str">
        <f>IF(I994=".",I994,VLOOKUP($I994,'Price List, Weapons &amp; Items'!B:D,3,0))</f>
        <v>Self-propelled anti-aircraft weapon</v>
      </c>
      <c r="L994" s="1187">
        <f>VLOOKUP(I994,'Price List, Weapons &amp; Items'!B:E,4,0)</f>
        <v>0</v>
      </c>
      <c r="M994" s="1188">
        <v>100</v>
      </c>
      <c r="N994" s="1188" t="s">
        <v>374</v>
      </c>
      <c r="O994" s="1188">
        <f>VLOOKUP($I994,'Price List, Weapons &amp; Items'!B:G,6,0)</f>
        <v>252000</v>
      </c>
      <c r="P994" s="1185">
        <f t="shared" si="210"/>
        <v>25200000</v>
      </c>
      <c r="Q994" s="1185" t="str">
        <f t="shared" si="211"/>
        <v>.</v>
      </c>
      <c r="R994" s="1185" t="str">
        <f t="shared" si="207"/>
        <v/>
      </c>
      <c r="S994" s="1185" t="str">
        <f>IF(AND(AD994=1,R994&lt;&gt;".")=TRUE,R994/VLOOKUP(G994,'Exchange Rates'!B:C,2,0),IF(R994=".",".",""))</f>
        <v/>
      </c>
      <c r="T994" s="1185" t="str">
        <f>IF(AD994=1,IF(AF994="Value is not given at all",".",IF(AF994="Value is given by the source",S994,IF(AF994="Value is calculated with prices",(IF(SUMIFS(Q:Q,A:A,A994)&gt;0,SUMIFS(Q:Q,A:A,A994),"."))/VLOOKUP("USD",'Exchange Rates'!B:C,2,0),"Error with coding"))),"")</f>
        <v/>
      </c>
      <c r="U994" s="1184" t="s">
        <v>365</v>
      </c>
      <c r="V994" s="973" t="s">
        <v>2767</v>
      </c>
      <c r="W994" s="980" t="s">
        <v>2768</v>
      </c>
      <c r="X994" s="980" t="s">
        <v>2769</v>
      </c>
      <c r="Y994" s="1190" t="s">
        <v>364</v>
      </c>
      <c r="Z994" s="1184">
        <v>0</v>
      </c>
      <c r="AA994" s="1191">
        <v>0</v>
      </c>
      <c r="AB994" s="1036" t="s">
        <v>364</v>
      </c>
      <c r="AC994" s="1192" t="str">
        <f>""</f>
        <v/>
      </c>
      <c r="AD994" s="1193">
        <v>0</v>
      </c>
      <c r="AE994" s="1193" t="s">
        <v>368</v>
      </c>
      <c r="AF994" s="1193" t="s">
        <v>369</v>
      </c>
      <c r="AG994" s="1193">
        <v>1</v>
      </c>
      <c r="AH994" s="1193">
        <v>13</v>
      </c>
      <c r="AI994" s="1193">
        <v>0</v>
      </c>
      <c r="AJ994" s="1193">
        <f>VLOOKUP($I994,'Price List, Weapons &amp; Items'!B:F,5,0)</f>
        <v>0</v>
      </c>
      <c r="AK994" s="1193">
        <f t="shared" si="212"/>
        <v>0</v>
      </c>
      <c r="AL994" s="1193">
        <f t="shared" si="213"/>
        <v>0</v>
      </c>
      <c r="AM994" s="1193">
        <f t="shared" si="214"/>
        <v>0</v>
      </c>
      <c r="AN994" s="1194" t="str">
        <f>VLOOKUP($I994,'Price List, Weapons &amp; Items'!B:L,COLUMN('Price List, Weapons &amp; Items'!$J$11)-1,0)</f>
        <v>Manufacturer price</v>
      </c>
      <c r="AO994" s="1194" t="str">
        <f>IF(I994=".",".",VLOOKUP($I994,'Price List, Weapons &amp; Items'!B:J,3,0))</f>
        <v>Self-propelled anti-aircraft weapon</v>
      </c>
      <c r="AP994" s="1195" t="str">
        <f t="shared" ca="1" si="208"/>
        <v/>
      </c>
      <c r="AQ994" s="1194">
        <f>VLOOKUP($I994,'Price List, Weapons &amp; Items'!B:L,COLUMN('Price List, Weapons &amp; Items'!$L$11)-1,0)</f>
        <v>2</v>
      </c>
      <c r="AR994" s="1194">
        <f t="shared" si="215"/>
        <v>1</v>
      </c>
      <c r="AS994" s="1194">
        <f t="shared" si="216"/>
        <v>1</v>
      </c>
      <c r="AT994" s="1194">
        <f t="shared" si="217"/>
        <v>1</v>
      </c>
      <c r="AU994" s="1194" t="str">
        <f t="shared" si="218"/>
        <v>.</v>
      </c>
      <c r="AV994" s="1194" t="str">
        <f t="shared" si="209"/>
        <v>.</v>
      </c>
      <c r="AW994" s="1194" t="str">
        <f t="shared" si="219"/>
        <v>.</v>
      </c>
      <c r="AX994" s="1194">
        <f>IFERROR(VLOOKUP(B994,'Share, Heavy Weapons to Ukraine'!B:Z,COLUMN('Share, Heavy Weapons to Ukraine'!C1004)-1,0),0)</f>
        <v>0</v>
      </c>
      <c r="AY994" s="1194">
        <f>VLOOKUP('Bilateral Assistance, MAIN DATA'!B994,'Country Summary (€)'!B:F,COLUMN('Country Summary (€)'!C1005)-1,FALSE)</f>
        <v>1</v>
      </c>
      <c r="AZ994" s="1194" t="str">
        <f>IF(AND(AD994=1,D994="Military",H994&lt;&gt;"Not given")=TRUE,IF(SUMIFS(P:P,A:A,A994)&gt;0,ABS((SUMIFS(P:P,A:A,A994)/VLOOKUP("USD",'Exchange Rates'!B:C,2,0)))/S994,"."),".")</f>
        <v>.</v>
      </c>
      <c r="BA994" s="1196" t="str">
        <f>IF(AND(AD994=1,D994="Military",H994&lt;&gt;"Not given")=TRUE,IF(SUMIFS(P:P,A:A,A994)&gt;0,IF((ABS((SUMIFS(P:P,A:A,A994)/VLOOKUP("USD",'Exchange Rates'!B:C,2,0)))/S994)&gt;1,(SUMIFS(P:P,A:A,A994)-S994)/S994,(S994-SUMIFS(P:P,A:A,A994))/SUMIFS(P:P,A:A,A994)),"."),".")</f>
        <v>.</v>
      </c>
    </row>
    <row r="995" spans="1:53" ht="15.95" customHeight="1">
      <c r="A995" s="1180" t="s">
        <v>2762</v>
      </c>
      <c r="B995" s="1180" t="s">
        <v>2693</v>
      </c>
      <c r="C995" s="1181">
        <v>44964</v>
      </c>
      <c r="D995" s="1182" t="s">
        <v>389</v>
      </c>
      <c r="E995" s="1182" t="s">
        <v>443</v>
      </c>
      <c r="F995" s="1263" t="s">
        <v>2771</v>
      </c>
      <c r="G995" s="1184" t="s">
        <v>483</v>
      </c>
      <c r="H995" s="1185">
        <v>1500000000</v>
      </c>
      <c r="I995" s="1266" t="s">
        <v>1276</v>
      </c>
      <c r="J995" s="1186" t="str">
        <f>VLOOKUP($I995,'Price List, Weapons &amp; Items'!B:C,2,0)</f>
        <v>Heavy weapon</v>
      </c>
      <c r="K995" s="1186" t="str">
        <f>IF(I995=".",I995,VLOOKUP($I995,'Price List, Weapons &amp; Items'!B:D,3,0))</f>
        <v>Main Battle Tank (MBT)</v>
      </c>
      <c r="L995" s="1187">
        <f>VLOOKUP(I995,'Price List, Weapons &amp; Items'!B:E,4,0)</f>
        <v>0</v>
      </c>
      <c r="M995" s="1188">
        <f>110/3</f>
        <v>36.666666666666664</v>
      </c>
      <c r="N995" s="1188" t="s">
        <v>374</v>
      </c>
      <c r="O995" s="1188">
        <f>VLOOKUP($I995,'Price List, Weapons &amp; Items'!B:G,6,0)</f>
        <v>582304.68000000005</v>
      </c>
      <c r="P995" s="1185">
        <f t="shared" si="210"/>
        <v>21351171.600000001</v>
      </c>
      <c r="Q995" s="1185" t="str">
        <f t="shared" si="211"/>
        <v>.</v>
      </c>
      <c r="R995" s="1185" t="str">
        <f t="shared" si="207"/>
        <v/>
      </c>
      <c r="S995" s="1185" t="str">
        <f>IF(AND(AD995=1,R995&lt;&gt;".")=TRUE,R995/VLOOKUP(G995,'Exchange Rates'!B:C,2,0),IF(R995=".",".",""))</f>
        <v/>
      </c>
      <c r="T995" s="1185" t="str">
        <f>IF(AD995=1,IF(AF995="Value is not given at all",".",IF(AF995="Value is given by the source",S995,IF(AF995="Value is calculated with prices",(IF(SUMIFS(Q:Q,A:A,A995)&gt;0,SUMIFS(Q:Q,A:A,A995),"."))/VLOOKUP("USD",'Exchange Rates'!B:C,2,0),"Error with coding"))),"")</f>
        <v/>
      </c>
      <c r="U995" s="1184" t="s">
        <v>365</v>
      </c>
      <c r="V995" s="973" t="s">
        <v>2772</v>
      </c>
      <c r="W995" s="980" t="s">
        <v>1280</v>
      </c>
      <c r="X995" s="981" t="s">
        <v>364</v>
      </c>
      <c r="Y995" s="1190" t="s">
        <v>364</v>
      </c>
      <c r="Z995" s="1184">
        <v>0</v>
      </c>
      <c r="AA995" s="1191">
        <v>0</v>
      </c>
      <c r="AB995" s="1036" t="s">
        <v>364</v>
      </c>
      <c r="AC995" s="1192" t="str">
        <f>""</f>
        <v/>
      </c>
      <c r="AD995" s="1193">
        <v>0</v>
      </c>
      <c r="AE995" s="1193" t="s">
        <v>368</v>
      </c>
      <c r="AF995" s="1193" t="s">
        <v>369</v>
      </c>
      <c r="AG995" s="1193">
        <v>1</v>
      </c>
      <c r="AH995" s="1193">
        <v>14</v>
      </c>
      <c r="AI995" s="1193">
        <v>0</v>
      </c>
      <c r="AJ995" s="1193">
        <f>VLOOKUP($I995,'Price List, Weapons &amp; Items'!B:F,5,0)</f>
        <v>1</v>
      </c>
      <c r="AK995" s="1193">
        <f t="shared" si="212"/>
        <v>0</v>
      </c>
      <c r="AL995" s="1193">
        <f t="shared" si="213"/>
        <v>1</v>
      </c>
      <c r="AM995" s="1193">
        <f t="shared" si="214"/>
        <v>0</v>
      </c>
      <c r="AN995" s="1194" t="str">
        <f>VLOOKUP($I995,'Price List, Weapons &amp; Items'!B:L,COLUMN('Price List, Weapons &amp; Items'!$J$11)-1,0)</f>
        <v>Contracts</v>
      </c>
      <c r="AO995" s="1194" t="str">
        <f>IF(I995=".",".",VLOOKUP($I995,'Price List, Weapons &amp; Items'!B:J,3,0))</f>
        <v>Main Battle Tank (MBT)</v>
      </c>
      <c r="AP995" s="1195" t="str">
        <f t="shared" ca="1" si="208"/>
        <v/>
      </c>
      <c r="AQ995" s="1194">
        <f>VLOOKUP($I995,'Price List, Weapons &amp; Items'!B:L,COLUMN('Price List, Weapons &amp; Items'!$L$11)-1,0)</f>
        <v>2</v>
      </c>
      <c r="AR995" s="1194">
        <f t="shared" si="215"/>
        <v>1</v>
      </c>
      <c r="AS995" s="1194">
        <f t="shared" si="216"/>
        <v>1</v>
      </c>
      <c r="AT995" s="1194">
        <f t="shared" si="217"/>
        <v>1</v>
      </c>
      <c r="AU995" s="1194" t="str">
        <f t="shared" si="218"/>
        <v>.</v>
      </c>
      <c r="AV995" s="1194" t="str">
        <f t="shared" si="209"/>
        <v>.</v>
      </c>
      <c r="AW995" s="1194" t="str">
        <f t="shared" si="219"/>
        <v>.</v>
      </c>
      <c r="AX995" s="1194">
        <f>IFERROR(VLOOKUP(B995,'Share, Heavy Weapons to Ukraine'!B:Z,COLUMN('Share, Heavy Weapons to Ukraine'!C1005)-1,0),0)</f>
        <v>0</v>
      </c>
      <c r="AY995" s="1194">
        <f>VLOOKUP('Bilateral Assistance, MAIN DATA'!B995,'Country Summary (€)'!B:F,COLUMN('Country Summary (€)'!C1006)-1,FALSE)</f>
        <v>1</v>
      </c>
      <c r="AZ995" s="1194" t="str">
        <f>IF(AND(AD995=1,D995="Military",H995&lt;&gt;"Not given")=TRUE,IF(SUMIFS(P:P,A:A,A995)&gt;0,ABS((SUMIFS(P:P,A:A,A995)/VLOOKUP("USD",'Exchange Rates'!B:C,2,0)))/S995,"."),".")</f>
        <v>.</v>
      </c>
      <c r="BA995" s="1196" t="str">
        <f>IF(AND(AD995=1,D995="Military",H995&lt;&gt;"Not given")=TRUE,IF(SUMIFS(P:P,A:A,A995)&gt;0,IF((ABS((SUMIFS(P:P,A:A,A995)/VLOOKUP("USD",'Exchange Rates'!B:C,2,0)))/S995)&gt;1,(SUMIFS(P:P,A:A,A995)-S995)/S995,(S995-SUMIFS(P:P,A:A,A995))/SUMIFS(P:P,A:A,A995)),"."),".")</f>
        <v>.</v>
      </c>
    </row>
    <row r="996" spans="1:53" ht="15.95" customHeight="1">
      <c r="A996" s="1180" t="s">
        <v>2762</v>
      </c>
      <c r="B996" s="1180" t="s">
        <v>2693</v>
      </c>
      <c r="C996" s="1181">
        <v>45021</v>
      </c>
      <c r="D996" s="1182" t="s">
        <v>389</v>
      </c>
      <c r="E996" s="1182" t="s">
        <v>443</v>
      </c>
      <c r="F996" s="1263" t="s">
        <v>2773</v>
      </c>
      <c r="G996" s="1184" t="s">
        <v>483</v>
      </c>
      <c r="H996" s="1185">
        <v>1500000000</v>
      </c>
      <c r="I996" s="1266" t="s">
        <v>2774</v>
      </c>
      <c r="J996" s="1186" t="str">
        <f>VLOOKUP($I996,'Price List, Weapons &amp; Items'!B:C,2,0)</f>
        <v>Heavy weapon</v>
      </c>
      <c r="K996" s="1186" t="str">
        <f>IF(I996=".",I996,VLOOKUP($I996,'Price List, Weapons &amp; Items'!B:D,3,0))</f>
        <v>Armored Reconnaissance</v>
      </c>
      <c r="L996" s="1187">
        <f>VLOOKUP(I996,'Price List, Weapons &amp; Items'!B:E,4,0)</f>
        <v>0</v>
      </c>
      <c r="M996" s="1188" t="s">
        <v>374</v>
      </c>
      <c r="N996" s="1188" t="s">
        <v>374</v>
      </c>
      <c r="O996" s="1188">
        <f>VLOOKUP($I996,'Price List, Weapons &amp; Items'!B:G,6,0)</f>
        <v>1738880</v>
      </c>
      <c r="P996" s="1185" t="str">
        <f t="shared" si="210"/>
        <v>.</v>
      </c>
      <c r="Q996" s="1185" t="str">
        <f t="shared" si="211"/>
        <v>.</v>
      </c>
      <c r="R996" s="1185" t="str">
        <f t="shared" si="207"/>
        <v/>
      </c>
      <c r="S996" s="1185" t="str">
        <f>IF(AND(AD996=1,R996&lt;&gt;".")=TRUE,R996/VLOOKUP(G996,'Exchange Rates'!B:C,2,0),IF(R996=".",".",""))</f>
        <v/>
      </c>
      <c r="T996" s="1185" t="str">
        <f>IF(AD996=1,IF(AF996="Value is not given at all",".",IF(AF996="Value is given by the source",S996,IF(AF996="Value is calculated with prices",(IF(SUMIFS(Q:Q,A:A,A996)&gt;0,SUMIFS(Q:Q,A:A,A996),"."))/VLOOKUP("USD",'Exchange Rates'!B:C,2,0),"Error with coding"))),"")</f>
        <v/>
      </c>
      <c r="U996" s="1184" t="s">
        <v>365</v>
      </c>
      <c r="V996" s="973" t="s">
        <v>2724</v>
      </c>
      <c r="W996" s="980" t="s">
        <v>2775</v>
      </c>
      <c r="X996" s="981" t="s">
        <v>364</v>
      </c>
      <c r="Y996" s="1190" t="s">
        <v>364</v>
      </c>
      <c r="Z996" s="1184">
        <v>0</v>
      </c>
      <c r="AA996" s="1191">
        <v>1</v>
      </c>
      <c r="AB996" s="1036" t="s">
        <v>364</v>
      </c>
      <c r="AC996" s="1192" t="str">
        <f>""</f>
        <v/>
      </c>
      <c r="AD996" s="1193">
        <v>0</v>
      </c>
      <c r="AE996" s="1193" t="s">
        <v>368</v>
      </c>
      <c r="AF996" s="1193" t="s">
        <v>369</v>
      </c>
      <c r="AG996" s="1193">
        <v>1</v>
      </c>
      <c r="AH996" s="1193">
        <v>16</v>
      </c>
      <c r="AI996" s="1193">
        <v>0</v>
      </c>
      <c r="AJ996" s="1193">
        <f>VLOOKUP($I996,'Price List, Weapons &amp; Items'!B:F,5,0)</f>
        <v>0</v>
      </c>
      <c r="AK996" s="1193">
        <f t="shared" si="212"/>
        <v>0</v>
      </c>
      <c r="AL996" s="1193">
        <f t="shared" si="213"/>
        <v>0</v>
      </c>
      <c r="AM996" s="1193">
        <f t="shared" si="214"/>
        <v>0</v>
      </c>
      <c r="AN996" s="1194" t="str">
        <f>VLOOKUP($I996,'Price List, Weapons &amp; Items'!B:L,COLUMN('Price List, Weapons &amp; Items'!$J$11)-1,0)</f>
        <v>Military media (incl. websites)</v>
      </c>
      <c r="AO996" s="1194" t="str">
        <f>IF(I996=".",".",VLOOKUP($I996,'Price List, Weapons &amp; Items'!B:J,3,0))</f>
        <v>Armored Reconnaissance</v>
      </c>
      <c r="AP996" s="1195" t="str">
        <f t="shared" ca="1" si="208"/>
        <v/>
      </c>
      <c r="AQ996" s="1194" t="str">
        <f>VLOOKUP($I996,'Price List, Weapons &amp; Items'!B:L,COLUMN('Price List, Weapons &amp; Items'!$L$11)-1,0)</f>
        <v>no price, 0 count</v>
      </c>
      <c r="AR996" s="1194">
        <f t="shared" si="215"/>
        <v>1</v>
      </c>
      <c r="AS996" s="1194">
        <f t="shared" si="216"/>
        <v>1</v>
      </c>
      <c r="AT996" s="1194">
        <f t="shared" si="217"/>
        <v>1</v>
      </c>
      <c r="AU996" s="1194" t="str">
        <f t="shared" si="218"/>
        <v>.</v>
      </c>
      <c r="AV996" s="1194" t="str">
        <f t="shared" si="209"/>
        <v>.</v>
      </c>
      <c r="AW996" s="1194" t="str">
        <f t="shared" si="219"/>
        <v>.</v>
      </c>
      <c r="AX996" s="1194">
        <f>IFERROR(VLOOKUP(B996,'Share, Heavy Weapons to Ukraine'!B:Z,COLUMN('Share, Heavy Weapons to Ukraine'!C1006)-1,0),0)</f>
        <v>0</v>
      </c>
      <c r="AY996" s="1194">
        <f>VLOOKUP('Bilateral Assistance, MAIN DATA'!B996,'Country Summary (€)'!B:F,COLUMN('Country Summary (€)'!C1007)-1,FALSE)</f>
        <v>1</v>
      </c>
      <c r="AZ996" s="1194" t="str">
        <f>IF(AND(AD996=1,D996="Military",H996&lt;&gt;"Not given")=TRUE,IF(SUMIFS(P:P,A:A,A996)&gt;0,ABS((SUMIFS(P:P,A:A,A996)/VLOOKUP("USD",'Exchange Rates'!B:C,2,0)))/S996,"."),".")</f>
        <v>.</v>
      </c>
      <c r="BA996" s="1196" t="str">
        <f>IF(AND(AD996=1,D996="Military",H996&lt;&gt;"Not given")=TRUE,IF(SUMIFS(P:P,A:A,A996)&gt;0,IF((ABS((SUMIFS(P:P,A:A,A996)/VLOOKUP("USD",'Exchange Rates'!B:C,2,0)))/S996)&gt;1,(SUMIFS(P:P,A:A,A996)-S996)/S996,(S996-SUMIFS(P:P,A:A,A996))/SUMIFS(P:P,A:A,A996)),"."),".")</f>
        <v>.</v>
      </c>
    </row>
    <row r="997" spans="1:53" ht="15.95" customHeight="1">
      <c r="A997" s="1180" t="s">
        <v>2762</v>
      </c>
      <c r="B997" s="1180" t="s">
        <v>2693</v>
      </c>
      <c r="C997" s="1181">
        <v>45021</v>
      </c>
      <c r="D997" s="1182" t="s">
        <v>389</v>
      </c>
      <c r="E997" s="1182" t="s">
        <v>443</v>
      </c>
      <c r="F997" s="1263" t="s">
        <v>2776</v>
      </c>
      <c r="G997" s="1184" t="s">
        <v>483</v>
      </c>
      <c r="H997" s="1185">
        <v>1500000000</v>
      </c>
      <c r="I997" s="1266" t="s">
        <v>2777</v>
      </c>
      <c r="J997" s="1186" t="str">
        <f>VLOOKUP($I997,'Price List, Weapons &amp; Items'!B:C,2,0)</f>
        <v>Heavy weapon</v>
      </c>
      <c r="K997" s="1186" t="str">
        <f>IF(I997=".",I997,VLOOKUP($I997,'Price List, Weapons &amp; Items'!B:D,3,0))</f>
        <v>Armored Personnel Carrier (APC)</v>
      </c>
      <c r="L997" s="1187">
        <f>VLOOKUP(I997,'Price List, Weapons &amp; Items'!B:E,4,0)</f>
        <v>0</v>
      </c>
      <c r="M997" s="1188" t="s">
        <v>374</v>
      </c>
      <c r="N997" s="1188" t="s">
        <v>374</v>
      </c>
      <c r="O997" s="1188">
        <f>VLOOKUP($I997,'Price List, Weapons &amp; Items'!B:G,6,0)</f>
        <v>2440543.0099999998</v>
      </c>
      <c r="P997" s="1185" t="str">
        <f t="shared" si="210"/>
        <v>.</v>
      </c>
      <c r="Q997" s="1185" t="str">
        <f t="shared" si="211"/>
        <v>.</v>
      </c>
      <c r="R997" s="1185" t="str">
        <f t="shared" si="207"/>
        <v/>
      </c>
      <c r="S997" s="1185" t="str">
        <f>IF(AND(AD997=1,R997&lt;&gt;".")=TRUE,R997/VLOOKUP(G997,'Exchange Rates'!B:C,2,0),IF(R997=".",".",""))</f>
        <v/>
      </c>
      <c r="T997" s="1185" t="str">
        <f>IF(AD997=1,IF(AF997="Value is not given at all",".",IF(AF997="Value is given by the source",S997,IF(AF997="Value is calculated with prices",(IF(SUMIFS(Q:Q,A:A,A997)&gt;0,SUMIFS(Q:Q,A:A,A997),"."))/VLOOKUP("USD",'Exchange Rates'!B:C,2,0),"Error with coding"))),"")</f>
        <v/>
      </c>
      <c r="U997" s="1184" t="s">
        <v>365</v>
      </c>
      <c r="V997" s="973" t="s">
        <v>2724</v>
      </c>
      <c r="W997" s="980" t="s">
        <v>2775</v>
      </c>
      <c r="X997" s="981" t="s">
        <v>364</v>
      </c>
      <c r="Y997" s="1190" t="s">
        <v>364</v>
      </c>
      <c r="Z997" s="1184">
        <v>0</v>
      </c>
      <c r="AA997" s="1191">
        <v>1</v>
      </c>
      <c r="AB997" s="1036" t="s">
        <v>364</v>
      </c>
      <c r="AC997" s="1192" t="str">
        <f>""</f>
        <v/>
      </c>
      <c r="AD997" s="1193">
        <v>0</v>
      </c>
      <c r="AE997" s="1193" t="s">
        <v>368</v>
      </c>
      <c r="AF997" s="1193" t="s">
        <v>369</v>
      </c>
      <c r="AG997" s="1193">
        <v>1</v>
      </c>
      <c r="AH997" s="1193">
        <v>16</v>
      </c>
      <c r="AI997" s="1193">
        <v>0</v>
      </c>
      <c r="AJ997" s="1193">
        <f>VLOOKUP($I997,'Price List, Weapons &amp; Items'!B:F,5,0)</f>
        <v>1</v>
      </c>
      <c r="AK997" s="1193">
        <f t="shared" si="212"/>
        <v>1</v>
      </c>
      <c r="AL997" s="1193">
        <f t="shared" si="213"/>
        <v>1</v>
      </c>
      <c r="AM997" s="1193">
        <f t="shared" si="214"/>
        <v>0</v>
      </c>
      <c r="AN997" s="1194" t="str">
        <f>VLOOKUP($I997,'Price List, Weapons &amp; Items'!B:L,COLUMN('Price List, Weapons &amp; Items'!$J$11)-1,0)</f>
        <v>Contracts</v>
      </c>
      <c r="AO997" s="1194" t="str">
        <f>IF(I997=".",".",VLOOKUP($I997,'Price List, Weapons &amp; Items'!B:J,3,0))</f>
        <v>Armored Personnel Carrier (APC)</v>
      </c>
      <c r="AP997" s="1195" t="str">
        <f t="shared" ca="1" si="208"/>
        <v/>
      </c>
      <c r="AQ997" s="1194" t="str">
        <f>VLOOKUP($I997,'Price List, Weapons &amp; Items'!B:L,COLUMN('Price List, Weapons &amp; Items'!$L$11)-1,0)</f>
        <v>no price, 0 count</v>
      </c>
      <c r="AR997" s="1194">
        <f t="shared" si="215"/>
        <v>1</v>
      </c>
      <c r="AS997" s="1194">
        <f t="shared" si="216"/>
        <v>1</v>
      </c>
      <c r="AT997" s="1194">
        <f t="shared" si="217"/>
        <v>1</v>
      </c>
      <c r="AU997" s="1194" t="str">
        <f t="shared" si="218"/>
        <v>1</v>
      </c>
      <c r="AV997" s="1194" t="str">
        <f t="shared" si="209"/>
        <v>.</v>
      </c>
      <c r="AW997" s="1194" t="str">
        <f t="shared" si="219"/>
        <v>.</v>
      </c>
      <c r="AX997" s="1194">
        <f>IFERROR(VLOOKUP(B997,'Share, Heavy Weapons to Ukraine'!B:Z,COLUMN('Share, Heavy Weapons to Ukraine'!C1007)-1,0),0)</f>
        <v>0</v>
      </c>
      <c r="AY997" s="1194">
        <f>VLOOKUP('Bilateral Assistance, MAIN DATA'!B997,'Country Summary (€)'!B:F,COLUMN('Country Summary (€)'!C1008)-1,FALSE)</f>
        <v>1</v>
      </c>
      <c r="AZ997" s="1194" t="str">
        <f>IF(AND(AD997=1,D997="Military",H997&lt;&gt;"Not given")=TRUE,IF(SUMIFS(P:P,A:A,A997)&gt;0,ABS((SUMIFS(P:P,A:A,A997)/VLOOKUP("USD",'Exchange Rates'!B:C,2,0)))/S997,"."),".")</f>
        <v>.</v>
      </c>
      <c r="BA997" s="1196" t="str">
        <f>IF(AND(AD997=1,D997="Military",H997&lt;&gt;"Not given")=TRUE,IF(SUMIFS(P:P,A:A,A997)&gt;0,IF((ABS((SUMIFS(P:P,A:A,A997)/VLOOKUP("USD",'Exchange Rates'!B:C,2,0)))/S997)&gt;1,(SUMIFS(P:P,A:A,A997)-S997)/S997,(S997-SUMIFS(P:P,A:A,A997))/SUMIFS(P:P,A:A,A997)),"."),".")</f>
        <v>.</v>
      </c>
    </row>
    <row r="998" spans="1:53" ht="15.95" customHeight="1">
      <c r="A998" s="1180" t="s">
        <v>2762</v>
      </c>
      <c r="B998" s="1180" t="s">
        <v>2693</v>
      </c>
      <c r="C998" s="1181">
        <v>45021</v>
      </c>
      <c r="D998" s="1182" t="s">
        <v>389</v>
      </c>
      <c r="E998" s="1182" t="s">
        <v>443</v>
      </c>
      <c r="F998" s="1263" t="s">
        <v>2776</v>
      </c>
      <c r="G998" s="1184" t="s">
        <v>483</v>
      </c>
      <c r="H998" s="1185">
        <v>1500000000</v>
      </c>
      <c r="I998" s="1266" t="s">
        <v>626</v>
      </c>
      <c r="J998" s="1186" t="str">
        <f>VLOOKUP($I998,'Price List, Weapons &amp; Items'!B:C,2,0)</f>
        <v>Heavy weapon</v>
      </c>
      <c r="K998" s="1186" t="str">
        <f>IF(I998=".",I998,VLOOKUP($I998,'Price List, Weapons &amp; Items'!B:D,3,0))</f>
        <v>Mortar</v>
      </c>
      <c r="L998" s="1187">
        <f>VLOOKUP(I998,'Price List, Weapons &amp; Items'!B:E,4,0)</f>
        <v>0</v>
      </c>
      <c r="M998" s="1188" t="s">
        <v>374</v>
      </c>
      <c r="N998" s="1188" t="s">
        <v>374</v>
      </c>
      <c r="O998" s="1188">
        <f>VLOOKUP($I998,'Price List, Weapons &amp; Items'!B:G,6,0)</f>
        <v>388500</v>
      </c>
      <c r="P998" s="1185" t="str">
        <f t="shared" si="210"/>
        <v>.</v>
      </c>
      <c r="Q998" s="1185" t="str">
        <f t="shared" si="211"/>
        <v>.</v>
      </c>
      <c r="R998" s="1185" t="str">
        <f t="shared" si="207"/>
        <v/>
      </c>
      <c r="S998" s="1185" t="str">
        <f>IF(AND(AD998=1,R998&lt;&gt;".")=TRUE,R998/VLOOKUP(G998,'Exchange Rates'!B:C,2,0),IF(R998=".",".",""))</f>
        <v/>
      </c>
      <c r="T998" s="1185" t="str">
        <f>IF(AD998=1,IF(AF998="Value is not given at all",".",IF(AF998="Value is given by the source",S998,IF(AF998="Value is calculated with prices",(IF(SUMIFS(Q:Q,A:A,A998)&gt;0,SUMIFS(Q:Q,A:A,A998),"."))/VLOOKUP("USD",'Exchange Rates'!B:C,2,0),"Error with coding"))),"")</f>
        <v/>
      </c>
      <c r="U998" s="1184" t="s">
        <v>365</v>
      </c>
      <c r="V998" s="973" t="s">
        <v>2724</v>
      </c>
      <c r="W998" s="980" t="s">
        <v>2775</v>
      </c>
      <c r="X998" s="981" t="s">
        <v>364</v>
      </c>
      <c r="Y998" s="1190" t="s">
        <v>364</v>
      </c>
      <c r="Z998" s="1184">
        <v>0</v>
      </c>
      <c r="AA998" s="1191">
        <v>1</v>
      </c>
      <c r="AB998" s="1036" t="s">
        <v>364</v>
      </c>
      <c r="AC998" s="1192" t="str">
        <f>""</f>
        <v/>
      </c>
      <c r="AD998" s="1193">
        <v>0</v>
      </c>
      <c r="AE998" s="1193" t="s">
        <v>368</v>
      </c>
      <c r="AF998" s="1193" t="s">
        <v>369</v>
      </c>
      <c r="AG998" s="1193">
        <v>1</v>
      </c>
      <c r="AH998" s="1193">
        <v>16</v>
      </c>
      <c r="AI998" s="1193">
        <v>0</v>
      </c>
      <c r="AJ998" s="1193">
        <f>VLOOKUP($I998,'Price List, Weapons &amp; Items'!B:F,5,0)</f>
        <v>0</v>
      </c>
      <c r="AK998" s="1193">
        <f t="shared" si="212"/>
        <v>0</v>
      </c>
      <c r="AL998" s="1193">
        <f t="shared" si="213"/>
        <v>0</v>
      </c>
      <c r="AM998" s="1193">
        <f t="shared" si="214"/>
        <v>0</v>
      </c>
      <c r="AN998" s="1194" t="str">
        <f>VLOOKUP($I998,'Price List, Weapons &amp; Items'!B:L,COLUMN('Price List, Weapons &amp; Items'!$J$11)-1,0)</f>
        <v>Military media (incl. websites)</v>
      </c>
      <c r="AO998" s="1194" t="str">
        <f>IF(I998=".",".",VLOOKUP($I998,'Price List, Weapons &amp; Items'!B:J,3,0))</f>
        <v>Mortar</v>
      </c>
      <c r="AP998" s="1195" t="str">
        <f t="shared" ca="1" si="208"/>
        <v/>
      </c>
      <c r="AQ998" s="1194">
        <f>VLOOKUP($I998,'Price List, Weapons &amp; Items'!B:L,COLUMN('Price List, Weapons &amp; Items'!$L$11)-1,0)</f>
        <v>2</v>
      </c>
      <c r="AR998" s="1194">
        <f t="shared" si="215"/>
        <v>1</v>
      </c>
      <c r="AS998" s="1194">
        <f t="shared" si="216"/>
        <v>1</v>
      </c>
      <c r="AT998" s="1194">
        <f t="shared" si="217"/>
        <v>1</v>
      </c>
      <c r="AU998" s="1194" t="str">
        <f t="shared" si="218"/>
        <v>.</v>
      </c>
      <c r="AV998" s="1194" t="str">
        <f t="shared" si="209"/>
        <v>.</v>
      </c>
      <c r="AW998" s="1194" t="str">
        <f t="shared" si="219"/>
        <v>.</v>
      </c>
      <c r="AX998" s="1194">
        <f>IFERROR(VLOOKUP(B998,'Share, Heavy Weapons to Ukraine'!B:Z,COLUMN('Share, Heavy Weapons to Ukraine'!C1008)-1,0),0)</f>
        <v>0</v>
      </c>
      <c r="AY998" s="1194">
        <f>VLOOKUP('Bilateral Assistance, MAIN DATA'!B998,'Country Summary (€)'!B:F,COLUMN('Country Summary (€)'!C1009)-1,FALSE)</f>
        <v>1</v>
      </c>
      <c r="AZ998" s="1194" t="str">
        <f>IF(AND(AD998=1,D998="Military",H998&lt;&gt;"Not given")=TRUE,IF(SUMIFS(P:P,A:A,A998)&gt;0,ABS((SUMIFS(P:P,A:A,A998)/VLOOKUP("USD",'Exchange Rates'!B:C,2,0)))/S998,"."),".")</f>
        <v>.</v>
      </c>
      <c r="BA998" s="1196" t="str">
        <f>IF(AND(AD998=1,D998="Military",H998&lt;&gt;"Not given")=TRUE,IF(SUMIFS(P:P,A:A,A998)&gt;0,IF((ABS((SUMIFS(P:P,A:A,A998)/VLOOKUP("USD",'Exchange Rates'!B:C,2,0)))/S998)&gt;1,(SUMIFS(P:P,A:A,A998)-S998)/S998,(S998-SUMIFS(P:P,A:A,A998))/SUMIFS(P:P,A:A,A998)),"."),".")</f>
        <v>.</v>
      </c>
    </row>
    <row r="999" spans="1:53" ht="15.95" customHeight="1">
      <c r="A999" s="1180" t="s">
        <v>2762</v>
      </c>
      <c r="B999" s="1180" t="s">
        <v>2693</v>
      </c>
      <c r="C999" s="1181">
        <v>45021</v>
      </c>
      <c r="D999" s="1182" t="s">
        <v>389</v>
      </c>
      <c r="E999" s="1182" t="s">
        <v>443</v>
      </c>
      <c r="F999" s="1263" t="s">
        <v>2776</v>
      </c>
      <c r="G999" s="1184" t="s">
        <v>483</v>
      </c>
      <c r="H999" s="1185">
        <v>1500000000</v>
      </c>
      <c r="I999" s="1266" t="s">
        <v>2778</v>
      </c>
      <c r="J999" s="1186" t="str">
        <f>VLOOKUP($I999,'Price List, Weapons &amp; Items'!B:C,2,0)</f>
        <v>Military equipment</v>
      </c>
      <c r="K999" s="1186" t="str">
        <f>IF(I999=".",I999,VLOOKUP($I999,'Price List, Weapons &amp; Items'!B:D,3,0))</f>
        <v>Military equipment</v>
      </c>
      <c r="L999" s="1187">
        <f>VLOOKUP(I999,'Price List, Weapons &amp; Items'!B:E,4,0)</f>
        <v>0</v>
      </c>
      <c r="M999" s="1188">
        <v>6</v>
      </c>
      <c r="N999" s="1188" t="s">
        <v>364</v>
      </c>
      <c r="O999" s="1188">
        <f>VLOOKUP($I999,'Price List, Weapons &amp; Items'!B:G,6,0)</f>
        <v>30905</v>
      </c>
      <c r="P999" s="1185">
        <f t="shared" si="210"/>
        <v>185430</v>
      </c>
      <c r="Q999" s="1185" t="str">
        <f t="shared" si="211"/>
        <v>.</v>
      </c>
      <c r="R999" s="1185" t="str">
        <f t="shared" si="207"/>
        <v/>
      </c>
      <c r="S999" s="1185" t="str">
        <f>IF(AND(AD999=1,R999&lt;&gt;".")=TRUE,R999/VLOOKUP(G999,'Exchange Rates'!B:C,2,0),IF(R999=".",".",""))</f>
        <v/>
      </c>
      <c r="T999" s="1185" t="str">
        <f>IF(AD999=1,IF(AF999="Value is not given at all",".",IF(AF999="Value is given by the source",S999,IF(AF999="Value is calculated with prices",(IF(SUMIFS(Q:Q,A:A,A999)&gt;0,SUMIFS(Q:Q,A:A,A999),"."))/VLOOKUP("USD",'Exchange Rates'!B:C,2,0),"Error with coding"))),"")</f>
        <v/>
      </c>
      <c r="U999" s="1184" t="s">
        <v>365</v>
      </c>
      <c r="V999" s="973" t="s">
        <v>2724</v>
      </c>
      <c r="W999" s="980" t="s">
        <v>2775</v>
      </c>
      <c r="X999" s="981" t="s">
        <v>364</v>
      </c>
      <c r="Y999" s="1190" t="s">
        <v>364</v>
      </c>
      <c r="Z999" s="1184">
        <v>0</v>
      </c>
      <c r="AA999" s="1191">
        <v>1</v>
      </c>
      <c r="AB999" s="1036" t="s">
        <v>364</v>
      </c>
      <c r="AC999" s="1192" t="str">
        <f>""</f>
        <v/>
      </c>
      <c r="AD999" s="1193">
        <v>0</v>
      </c>
      <c r="AE999" s="1193" t="s">
        <v>368</v>
      </c>
      <c r="AF999" s="1193" t="s">
        <v>369</v>
      </c>
      <c r="AG999" s="1193">
        <v>1</v>
      </c>
      <c r="AH999" s="1193">
        <v>16</v>
      </c>
      <c r="AI999" s="1193">
        <v>0</v>
      </c>
      <c r="AJ999" s="1193">
        <f>VLOOKUP($I999,'Price List, Weapons &amp; Items'!B:F,5,0)</f>
        <v>0</v>
      </c>
      <c r="AK999" s="1193">
        <f t="shared" si="212"/>
        <v>0</v>
      </c>
      <c r="AL999" s="1193">
        <f t="shared" si="213"/>
        <v>0</v>
      </c>
      <c r="AM999" s="1193">
        <f t="shared" si="214"/>
        <v>0</v>
      </c>
      <c r="AN999" s="1194" t="str">
        <f>VLOOKUP($I999,'Price List, Weapons &amp; Items'!B:L,COLUMN('Price List, Weapons &amp; Items'!$J$11)-1,0)</f>
        <v>Online marketplaces and stores</v>
      </c>
      <c r="AO999" s="1194" t="str">
        <f>IF(I999=".",".",VLOOKUP($I999,'Price List, Weapons &amp; Items'!B:J,3,0))</f>
        <v>Military equipment</v>
      </c>
      <c r="AP999" s="1195" t="str">
        <f t="shared" ca="1" si="208"/>
        <v/>
      </c>
      <c r="AQ999" s="1194">
        <f>VLOOKUP($I999,'Price List, Weapons &amp; Items'!B:L,COLUMN('Price List, Weapons &amp; Items'!$L$11)-1,0)</f>
        <v>1</v>
      </c>
      <c r="AR999" s="1194">
        <f t="shared" si="215"/>
        <v>1</v>
      </c>
      <c r="AS999" s="1194">
        <f t="shared" si="216"/>
        <v>1</v>
      </c>
      <c r="AT999" s="1194">
        <f t="shared" si="217"/>
        <v>1</v>
      </c>
      <c r="AU999" s="1194" t="str">
        <f t="shared" si="218"/>
        <v>.</v>
      </c>
      <c r="AV999" s="1194" t="str">
        <f t="shared" si="209"/>
        <v>.</v>
      </c>
      <c r="AW999" s="1194" t="str">
        <f t="shared" si="219"/>
        <v>.</v>
      </c>
      <c r="AX999" s="1194">
        <f>IFERROR(VLOOKUP(B999,'Share, Heavy Weapons to Ukraine'!B:Z,COLUMN('Share, Heavy Weapons to Ukraine'!C1009)-1,0),0)</f>
        <v>0</v>
      </c>
      <c r="AY999" s="1194">
        <f>VLOOKUP('Bilateral Assistance, MAIN DATA'!B999,'Country Summary (€)'!B:F,COLUMN('Country Summary (€)'!C1010)-1,FALSE)</f>
        <v>1</v>
      </c>
      <c r="AZ999" s="1194" t="str">
        <f>IF(AND(AD999=1,D999="Military",H999&lt;&gt;"Not given")=TRUE,IF(SUMIFS(P:P,A:A,A999)&gt;0,ABS((SUMIFS(P:P,A:A,A999)/VLOOKUP("USD",'Exchange Rates'!B:C,2,0)))/S999,"."),".")</f>
        <v>.</v>
      </c>
      <c r="BA999" s="1196" t="str">
        <f>IF(AND(AD999=1,D999="Military",H999&lt;&gt;"Not given")=TRUE,IF(SUMIFS(P:P,A:A,A999)&gt;0,IF((ABS((SUMIFS(P:P,A:A,A999)/VLOOKUP("USD",'Exchange Rates'!B:C,2,0)))/S999)&gt;1,(SUMIFS(P:P,A:A,A999)-S999)/S999,(S999-SUMIFS(P:P,A:A,A999))/SUMIFS(P:P,A:A,A999)),"."),".")</f>
        <v>.</v>
      </c>
    </row>
    <row r="1000" spans="1:53" ht="15.95" customHeight="1">
      <c r="A1000" s="1180" t="s">
        <v>2762</v>
      </c>
      <c r="B1000" s="1180" t="s">
        <v>2693</v>
      </c>
      <c r="C1000" s="1181">
        <v>45021</v>
      </c>
      <c r="D1000" s="1182" t="s">
        <v>389</v>
      </c>
      <c r="E1000" s="1182" t="s">
        <v>443</v>
      </c>
      <c r="F1000" s="1263" t="s">
        <v>2776</v>
      </c>
      <c r="G1000" s="1184" t="s">
        <v>483</v>
      </c>
      <c r="H1000" s="1185">
        <v>1500000000</v>
      </c>
      <c r="I1000" s="1266" t="s">
        <v>2779</v>
      </c>
      <c r="J1000" s="1186" t="str">
        <f>VLOOKUP($I1000,'Price List, Weapons &amp; Items'!B:C,2,0)</f>
        <v>Military equipment</v>
      </c>
      <c r="K1000" s="1186" t="str">
        <f>IF(I1000=".",I1000,VLOOKUP($I1000,'Price List, Weapons &amp; Items'!B:D,3,0))</f>
        <v>Military equipment</v>
      </c>
      <c r="L1000" s="1187">
        <f>VLOOKUP(I1000,'Price List, Weapons &amp; Items'!B:E,4,0)</f>
        <v>0</v>
      </c>
      <c r="M1000" s="1188">
        <v>15</v>
      </c>
      <c r="N1000" s="1188" t="s">
        <v>364</v>
      </c>
      <c r="O1000" s="1188">
        <f>VLOOKUP($I1000,'Price List, Weapons &amp; Items'!B:G,6,0)</f>
        <v>4181818.1818181816</v>
      </c>
      <c r="P1000" s="1185">
        <f t="shared" si="210"/>
        <v>62727272.727272727</v>
      </c>
      <c r="Q1000" s="1185" t="str">
        <f t="shared" si="211"/>
        <v>.</v>
      </c>
      <c r="R1000" s="1185" t="str">
        <f t="shared" si="207"/>
        <v/>
      </c>
      <c r="S1000" s="1185" t="str">
        <f>IF(AND(AD1000=1,R1000&lt;&gt;".")=TRUE,R1000/VLOOKUP(G1000,'Exchange Rates'!B:C,2,0),IF(R1000=".",".",""))</f>
        <v/>
      </c>
      <c r="T1000" s="1185" t="str">
        <f>IF(AD1000=1,IF(AF1000="Value is not given at all",".",IF(AF1000="Value is given by the source",S1000,IF(AF1000="Value is calculated with prices",(IF(SUMIFS(Q:Q,A:A,A1000)&gt;0,SUMIFS(Q:Q,A:A,A1000),"."))/VLOOKUP("USD",'Exchange Rates'!B:C,2,0),"Error with coding"))),"")</f>
        <v/>
      </c>
      <c r="U1000" s="1184" t="s">
        <v>365</v>
      </c>
      <c r="V1000" s="973" t="s">
        <v>2724</v>
      </c>
      <c r="W1000" s="980" t="s">
        <v>2775</v>
      </c>
      <c r="X1000" s="981" t="s">
        <v>364</v>
      </c>
      <c r="Y1000" s="1190" t="s">
        <v>364</v>
      </c>
      <c r="Z1000" s="1184">
        <v>0</v>
      </c>
      <c r="AA1000" s="1191">
        <v>1</v>
      </c>
      <c r="AB1000" s="1036" t="s">
        <v>364</v>
      </c>
      <c r="AC1000" s="1192" t="str">
        <f>""</f>
        <v/>
      </c>
      <c r="AD1000" s="1193">
        <v>0</v>
      </c>
      <c r="AE1000" s="1193" t="s">
        <v>368</v>
      </c>
      <c r="AF1000" s="1193" t="s">
        <v>369</v>
      </c>
      <c r="AG1000" s="1193">
        <v>1</v>
      </c>
      <c r="AH1000" s="1193">
        <v>16</v>
      </c>
      <c r="AI1000" s="1193">
        <v>0</v>
      </c>
      <c r="AJ1000" s="1193">
        <f>VLOOKUP($I1000,'Price List, Weapons &amp; Items'!B:F,5,0)</f>
        <v>0</v>
      </c>
      <c r="AK1000" s="1193">
        <f t="shared" si="212"/>
        <v>0</v>
      </c>
      <c r="AL1000" s="1193">
        <f t="shared" si="213"/>
        <v>0</v>
      </c>
      <c r="AM1000" s="1193">
        <f t="shared" si="214"/>
        <v>0</v>
      </c>
      <c r="AN1000" s="1194" t="str">
        <f>VLOOKUP($I1000,'Price List, Weapons &amp; Items'!B:L,COLUMN('Price List, Weapons &amp; Items'!$J$11)-1,0)</f>
        <v>Manufacturer price</v>
      </c>
      <c r="AO1000" s="1194" t="str">
        <f>IF(I1000=".",".",VLOOKUP($I1000,'Price List, Weapons &amp; Items'!B:J,3,0))</f>
        <v>Military equipment</v>
      </c>
      <c r="AP1000" s="1195" t="str">
        <f t="shared" ca="1" si="208"/>
        <v/>
      </c>
      <c r="AQ1000" s="1194">
        <f>VLOOKUP($I1000,'Price List, Weapons &amp; Items'!B:L,COLUMN('Price List, Weapons &amp; Items'!$L$11)-1,0)</f>
        <v>2</v>
      </c>
      <c r="AR1000" s="1194">
        <f t="shared" si="215"/>
        <v>1</v>
      </c>
      <c r="AS1000" s="1194">
        <f t="shared" si="216"/>
        <v>1</v>
      </c>
      <c r="AT1000" s="1194">
        <f t="shared" si="217"/>
        <v>1</v>
      </c>
      <c r="AU1000" s="1194" t="str">
        <f t="shared" si="218"/>
        <v>.</v>
      </c>
      <c r="AV1000" s="1194" t="str">
        <f t="shared" si="209"/>
        <v>.</v>
      </c>
      <c r="AW1000" s="1194" t="str">
        <f t="shared" si="219"/>
        <v>.</v>
      </c>
      <c r="AX1000" s="1194">
        <f>IFERROR(VLOOKUP(B1000,'Share, Heavy Weapons to Ukraine'!B:Z,COLUMN('Share, Heavy Weapons to Ukraine'!C1010)-1,0),0)</f>
        <v>0</v>
      </c>
      <c r="AY1000" s="1194">
        <f>VLOOKUP('Bilateral Assistance, MAIN DATA'!B1000,'Country Summary (€)'!B:F,COLUMN('Country Summary (€)'!C1011)-1,FALSE)</f>
        <v>1</v>
      </c>
      <c r="AZ1000" s="1194" t="str">
        <f>IF(AND(AD1000=1,D1000="Military",H1000&lt;&gt;"Not given")=TRUE,IF(SUMIFS(P:P,A:A,A1000)&gt;0,ABS((SUMIFS(P:P,A:A,A1000)/VLOOKUP("USD",'Exchange Rates'!B:C,2,0)))/S1000,"."),".")</f>
        <v>.</v>
      </c>
      <c r="BA1000" s="1196" t="str">
        <f>IF(AND(AD1000=1,D1000="Military",H1000&lt;&gt;"Not given")=TRUE,IF(SUMIFS(P:P,A:A,A1000)&gt;0,IF((ABS((SUMIFS(P:P,A:A,A1000)/VLOOKUP("USD",'Exchange Rates'!B:C,2,0)))/S1000)&gt;1,(SUMIFS(P:P,A:A,A1000)-S1000)/S1000,(S1000-SUMIFS(P:P,A:A,A1000))/SUMIFS(P:P,A:A,A1000)),"."),".")</f>
        <v>.</v>
      </c>
    </row>
    <row r="1001" spans="1:53" ht="15.95" customHeight="1">
      <c r="A1001" s="1180" t="s">
        <v>2762</v>
      </c>
      <c r="B1001" s="1180" t="s">
        <v>2693</v>
      </c>
      <c r="C1001" s="1181">
        <v>45021</v>
      </c>
      <c r="D1001" s="1182" t="s">
        <v>389</v>
      </c>
      <c r="E1001" s="1182" t="s">
        <v>443</v>
      </c>
      <c r="F1001" s="1263" t="s">
        <v>2776</v>
      </c>
      <c r="G1001" s="1184" t="s">
        <v>483</v>
      </c>
      <c r="H1001" s="1185">
        <v>1500000000</v>
      </c>
      <c r="I1001" s="1266" t="s">
        <v>2780</v>
      </c>
      <c r="J1001" s="1186" t="str">
        <f>VLOOKUP($I1001,'Price List, Weapons &amp; Items'!B:C,2,0)</f>
        <v>Military equipment</v>
      </c>
      <c r="K1001" s="1186" t="str">
        <f>IF(I1001=".",I1001,VLOOKUP($I1001,'Price List, Weapons &amp; Items'!B:D,3,0))</f>
        <v>non combat military vehicle</v>
      </c>
      <c r="L1001" s="1187">
        <f>VLOOKUP(I1001,'Price List, Weapons &amp; Items'!B:E,4,0)</f>
        <v>0</v>
      </c>
      <c r="M1001" s="1188">
        <v>441</v>
      </c>
      <c r="N1001" s="1188" t="s">
        <v>374</v>
      </c>
      <c r="O1001" s="1188">
        <f>VLOOKUP($I1001,'Price List, Weapons &amp; Items'!B:G,6,0)</f>
        <v>238581.01733333335</v>
      </c>
      <c r="P1001" s="1185">
        <f t="shared" si="210"/>
        <v>105214228.64400001</v>
      </c>
      <c r="Q1001" s="1185" t="str">
        <f t="shared" si="211"/>
        <v>.</v>
      </c>
      <c r="R1001" s="1185" t="str">
        <f t="shared" si="207"/>
        <v/>
      </c>
      <c r="S1001" s="1185" t="str">
        <f>IF(AND(AD1001=1,R1001&lt;&gt;".")=TRUE,R1001/VLOOKUP(G1001,'Exchange Rates'!B:C,2,0),IF(R1001=".",".",""))</f>
        <v/>
      </c>
      <c r="T1001" s="1185" t="str">
        <f>IF(AD1001=1,IF(AF1001="Value is not given at all",".",IF(AF1001="Value is given by the source",S1001,IF(AF1001="Value is calculated with prices",(IF(SUMIFS(Q:Q,A:A,A1001)&gt;0,SUMIFS(Q:Q,A:A,A1001),"."))/VLOOKUP("USD",'Exchange Rates'!B:C,2,0),"Error with coding"))),"")</f>
        <v/>
      </c>
      <c r="U1001" s="1184" t="s">
        <v>365</v>
      </c>
      <c r="V1001" s="973" t="s">
        <v>2724</v>
      </c>
      <c r="W1001" s="980" t="s">
        <v>2775</v>
      </c>
      <c r="X1001" s="981" t="s">
        <v>364</v>
      </c>
      <c r="Y1001" s="1190" t="s">
        <v>364</v>
      </c>
      <c r="Z1001" s="1184">
        <v>0</v>
      </c>
      <c r="AA1001" s="1191">
        <v>1</v>
      </c>
      <c r="AB1001" s="1036" t="s">
        <v>364</v>
      </c>
      <c r="AC1001" s="1192" t="str">
        <f>""</f>
        <v/>
      </c>
      <c r="AD1001" s="1193">
        <v>0</v>
      </c>
      <c r="AE1001" s="1193" t="s">
        <v>368</v>
      </c>
      <c r="AF1001" s="1193" t="s">
        <v>369</v>
      </c>
      <c r="AG1001" s="1193">
        <v>1</v>
      </c>
      <c r="AH1001" s="1193">
        <v>16</v>
      </c>
      <c r="AI1001" s="1193">
        <v>0</v>
      </c>
      <c r="AJ1001" s="1193">
        <f>VLOOKUP($I1001,'Price List, Weapons &amp; Items'!B:F,5,0)</f>
        <v>0</v>
      </c>
      <c r="AK1001" s="1193">
        <f t="shared" si="212"/>
        <v>0</v>
      </c>
      <c r="AL1001" s="1193">
        <f t="shared" si="213"/>
        <v>0</v>
      </c>
      <c r="AM1001" s="1193">
        <f t="shared" si="214"/>
        <v>0</v>
      </c>
      <c r="AN1001" s="1194" t="str">
        <f>VLOOKUP($I1001,'Price List, Weapons &amp; Items'!B:L,COLUMN('Price List, Weapons &amp; Items'!$J$11)-1,0)</f>
        <v>Online marketplaces and stores</v>
      </c>
      <c r="AO1001" s="1194" t="str">
        <f>IF(I1001=".",".",VLOOKUP($I1001,'Price List, Weapons &amp; Items'!B:J,3,0))</f>
        <v>non combat military vehicle</v>
      </c>
      <c r="AP1001" s="1195" t="str">
        <f t="shared" ca="1" si="208"/>
        <v/>
      </c>
      <c r="AQ1001" s="1194">
        <f>VLOOKUP($I1001,'Price List, Weapons &amp; Items'!B:L,COLUMN('Price List, Weapons &amp; Items'!$L$11)-1,0)</f>
        <v>2</v>
      </c>
      <c r="AR1001" s="1194">
        <f t="shared" si="215"/>
        <v>1</v>
      </c>
      <c r="AS1001" s="1194">
        <f t="shared" si="216"/>
        <v>1</v>
      </c>
      <c r="AT1001" s="1194">
        <f t="shared" si="217"/>
        <v>1</v>
      </c>
      <c r="AU1001" s="1194" t="str">
        <f t="shared" si="218"/>
        <v>.</v>
      </c>
      <c r="AV1001" s="1194" t="str">
        <f t="shared" si="209"/>
        <v>.</v>
      </c>
      <c r="AW1001" s="1194" t="str">
        <f t="shared" si="219"/>
        <v>.</v>
      </c>
      <c r="AX1001" s="1194">
        <f>IFERROR(VLOOKUP(B1001,'Share, Heavy Weapons to Ukraine'!B:Z,COLUMN('Share, Heavy Weapons to Ukraine'!C1011)-1,0),0)</f>
        <v>0</v>
      </c>
      <c r="AY1001" s="1194">
        <f>VLOOKUP('Bilateral Assistance, MAIN DATA'!B1001,'Country Summary (€)'!B:F,COLUMN('Country Summary (€)'!C1012)-1,FALSE)</f>
        <v>1</v>
      </c>
      <c r="AZ1001" s="1194" t="str">
        <f>IF(AND(AD1001=1,D1001="Military",H1001&lt;&gt;"Not given")=TRUE,IF(SUMIFS(P:P,A:A,A1001)&gt;0,ABS((SUMIFS(P:P,A:A,A1001)/VLOOKUP("USD",'Exchange Rates'!B:C,2,0)))/S1001,"."),".")</f>
        <v>.</v>
      </c>
      <c r="BA1001" s="1196" t="str">
        <f>IF(AND(AD1001=1,D1001="Military",H1001&lt;&gt;"Not given")=TRUE,IF(SUMIFS(P:P,A:A,A1001)&gt;0,IF((ABS((SUMIFS(P:P,A:A,A1001)/VLOOKUP("USD",'Exchange Rates'!B:C,2,0)))/S1001)&gt;1,(SUMIFS(P:P,A:A,A1001)-S1001)/S1001,(S1001-SUMIFS(P:P,A:A,A1001))/SUMIFS(P:P,A:A,A1001)),"."),".")</f>
        <v>.</v>
      </c>
    </row>
    <row r="1002" spans="1:53" ht="15.95" customHeight="1">
      <c r="A1002" s="1180" t="s">
        <v>2762</v>
      </c>
      <c r="B1002" s="1180" t="s">
        <v>2693</v>
      </c>
      <c r="C1002" s="1181">
        <v>45021</v>
      </c>
      <c r="D1002" s="1182" t="s">
        <v>389</v>
      </c>
      <c r="E1002" s="1182" t="s">
        <v>443</v>
      </c>
      <c r="F1002" s="1263" t="s">
        <v>2776</v>
      </c>
      <c r="G1002" s="1184" t="s">
        <v>483</v>
      </c>
      <c r="H1002" s="1185">
        <v>1500000000</v>
      </c>
      <c r="I1002" s="1266" t="s">
        <v>2781</v>
      </c>
      <c r="J1002" s="1186" t="str">
        <f>VLOOKUP($I1002,'Price List, Weapons &amp; Items'!B:C,2,0)</f>
        <v>Military equipment</v>
      </c>
      <c r="K1002" s="1186" t="str">
        <f>IF(I1002=".",I1002,VLOOKUP($I1002,'Price List, Weapons &amp; Items'!B:D,3,0))</f>
        <v>Military equipment</v>
      </c>
      <c r="L1002" s="1187">
        <f>VLOOKUP(I1002,'Price List, Weapons &amp; Items'!B:E,4,0)</f>
        <v>0</v>
      </c>
      <c r="M1002" s="1188">
        <v>1</v>
      </c>
      <c r="N1002" s="1188" t="s">
        <v>374</v>
      </c>
      <c r="O1002" s="1188">
        <f>VLOOKUP($I1002,'Price List, Weapons &amp; Items'!B:G,6,0)</f>
        <v>1901900</v>
      </c>
      <c r="P1002" s="1185">
        <f t="shared" si="210"/>
        <v>1901900</v>
      </c>
      <c r="Q1002" s="1185" t="str">
        <f t="shared" si="211"/>
        <v>.</v>
      </c>
      <c r="R1002" s="1185" t="str">
        <f t="shared" si="207"/>
        <v/>
      </c>
      <c r="S1002" s="1185" t="str">
        <f>IF(AND(AD1002=1,R1002&lt;&gt;".")=TRUE,R1002/VLOOKUP(G1002,'Exchange Rates'!B:C,2,0),IF(R1002=".",".",""))</f>
        <v/>
      </c>
      <c r="T1002" s="1185" t="str">
        <f>IF(AD1002=1,IF(AF1002="Value is not given at all",".",IF(AF1002="Value is given by the source",S1002,IF(AF1002="Value is calculated with prices",(IF(SUMIFS(Q:Q,A:A,A1002)&gt;0,SUMIFS(Q:Q,A:A,A1002),"."))/VLOOKUP("USD",'Exchange Rates'!B:C,2,0),"Error with coding"))),"")</f>
        <v/>
      </c>
      <c r="U1002" s="1184" t="s">
        <v>365</v>
      </c>
      <c r="V1002" s="973" t="s">
        <v>2724</v>
      </c>
      <c r="W1002" s="980" t="s">
        <v>2775</v>
      </c>
      <c r="X1002" s="981" t="s">
        <v>364</v>
      </c>
      <c r="Y1002" s="1190" t="s">
        <v>364</v>
      </c>
      <c r="Z1002" s="1184">
        <v>0</v>
      </c>
      <c r="AA1002" s="1191">
        <v>1</v>
      </c>
      <c r="AB1002" s="1036" t="s">
        <v>364</v>
      </c>
      <c r="AC1002" s="1192" t="str">
        <f>""</f>
        <v/>
      </c>
      <c r="AD1002" s="1193">
        <v>0</v>
      </c>
      <c r="AE1002" s="1193" t="s">
        <v>368</v>
      </c>
      <c r="AF1002" s="1193" t="s">
        <v>369</v>
      </c>
      <c r="AG1002" s="1193">
        <v>1</v>
      </c>
      <c r="AH1002" s="1193">
        <v>16</v>
      </c>
      <c r="AI1002" s="1193">
        <v>0</v>
      </c>
      <c r="AJ1002" s="1193">
        <f>VLOOKUP($I1002,'Price List, Weapons &amp; Items'!B:F,5,0)</f>
        <v>0</v>
      </c>
      <c r="AK1002" s="1193">
        <f t="shared" si="212"/>
        <v>0</v>
      </c>
      <c r="AL1002" s="1193">
        <f t="shared" si="213"/>
        <v>0</v>
      </c>
      <c r="AM1002" s="1193">
        <f t="shared" si="214"/>
        <v>0</v>
      </c>
      <c r="AN1002" s="1194" t="str">
        <f>VLOOKUP($I1002,'Price List, Weapons &amp; Items'!B:L,COLUMN('Price List, Weapons &amp; Items'!$J$11)-1,0)</f>
        <v>Manufacturer price</v>
      </c>
      <c r="AO1002" s="1194" t="str">
        <f>IF(I1002=".",".",VLOOKUP($I1002,'Price List, Weapons &amp; Items'!B:J,3,0))</f>
        <v>Military equipment</v>
      </c>
      <c r="AP1002" s="1195" t="str">
        <f t="shared" ca="1" si="208"/>
        <v/>
      </c>
      <c r="AQ1002" s="1194">
        <f>VLOOKUP($I1002,'Price List, Weapons &amp; Items'!B:L,COLUMN('Price List, Weapons &amp; Items'!$L$11)-1,0)</f>
        <v>1</v>
      </c>
      <c r="AR1002" s="1194">
        <f t="shared" si="215"/>
        <v>1</v>
      </c>
      <c r="AS1002" s="1194">
        <f t="shared" si="216"/>
        <v>1</v>
      </c>
      <c r="AT1002" s="1194">
        <f t="shared" si="217"/>
        <v>1</v>
      </c>
      <c r="AU1002" s="1194" t="str">
        <f t="shared" si="218"/>
        <v>.</v>
      </c>
      <c r="AV1002" s="1194" t="str">
        <f t="shared" si="209"/>
        <v>.</v>
      </c>
      <c r="AW1002" s="1194" t="str">
        <f t="shared" si="219"/>
        <v>.</v>
      </c>
      <c r="AX1002" s="1194">
        <f>IFERROR(VLOOKUP(B1002,'Share, Heavy Weapons to Ukraine'!B:Z,COLUMN('Share, Heavy Weapons to Ukraine'!C1012)-1,0),0)</f>
        <v>0</v>
      </c>
      <c r="AY1002" s="1194">
        <f>VLOOKUP('Bilateral Assistance, MAIN DATA'!B1002,'Country Summary (€)'!B:F,COLUMN('Country Summary (€)'!C1013)-1,FALSE)</f>
        <v>1</v>
      </c>
      <c r="AZ1002" s="1194" t="str">
        <f>IF(AND(AD1002=1,D1002="Military",H1002&lt;&gt;"Not given")=TRUE,IF(SUMIFS(P:P,A:A,A1002)&gt;0,ABS((SUMIFS(P:P,A:A,A1002)/VLOOKUP("USD",'Exchange Rates'!B:C,2,0)))/S1002,"."),".")</f>
        <v>.</v>
      </c>
      <c r="BA1002" s="1196" t="str">
        <f>IF(AND(AD1002=1,D1002="Military",H1002&lt;&gt;"Not given")=TRUE,IF(SUMIFS(P:P,A:A,A1002)&gt;0,IF((ABS((SUMIFS(P:P,A:A,A1002)/VLOOKUP("USD",'Exchange Rates'!B:C,2,0)))/S1002)&gt;1,(SUMIFS(P:P,A:A,A1002)-S1002)/S1002,(S1002-SUMIFS(P:P,A:A,A1002))/SUMIFS(P:P,A:A,A1002)),"."),".")</f>
        <v>.</v>
      </c>
    </row>
    <row r="1003" spans="1:53" ht="15.95" customHeight="1">
      <c r="A1003" s="1180" t="s">
        <v>2762</v>
      </c>
      <c r="B1003" s="1180" t="s">
        <v>2693</v>
      </c>
      <c r="C1003" s="1181">
        <v>45021</v>
      </c>
      <c r="D1003" s="1182" t="s">
        <v>389</v>
      </c>
      <c r="E1003" s="1182" t="s">
        <v>443</v>
      </c>
      <c r="F1003" s="1263" t="s">
        <v>2776</v>
      </c>
      <c r="G1003" s="1184" t="s">
        <v>483</v>
      </c>
      <c r="H1003" s="1185">
        <v>1500000000</v>
      </c>
      <c r="I1003" s="1266" t="s">
        <v>2782</v>
      </c>
      <c r="J1003" s="1186" t="str">
        <f>VLOOKUP($I1003,'Price List, Weapons &amp; Items'!B:C,2,0)</f>
        <v>Military equipment</v>
      </c>
      <c r="K1003" s="1186" t="str">
        <f>IF(I1003=".",I1003,VLOOKUP($I1003,'Price List, Weapons &amp; Items'!B:D,3,0))</f>
        <v>Military equipment</v>
      </c>
      <c r="L1003" s="1187">
        <f>VLOOKUP(I1003,'Price List, Weapons &amp; Items'!B:E,4,0)</f>
        <v>0</v>
      </c>
      <c r="M1003" s="1188">
        <v>2</v>
      </c>
      <c r="N1003" s="1188" t="s">
        <v>374</v>
      </c>
      <c r="O1003" s="1188">
        <f>VLOOKUP($I1003,'Price List, Weapons &amp; Items'!B:G,6,0)</f>
        <v>1901900</v>
      </c>
      <c r="P1003" s="1185">
        <f t="shared" si="210"/>
        <v>3803800</v>
      </c>
      <c r="Q1003" s="1185" t="str">
        <f t="shared" si="211"/>
        <v>.</v>
      </c>
      <c r="R1003" s="1185" t="str">
        <f t="shared" si="207"/>
        <v/>
      </c>
      <c r="S1003" s="1185" t="str">
        <f>IF(AND(AD1003=1,R1003&lt;&gt;".")=TRUE,R1003/VLOOKUP(G1003,'Exchange Rates'!B:C,2,0),IF(R1003=".",".",""))</f>
        <v/>
      </c>
      <c r="T1003" s="1185" t="str">
        <f>IF(AD1003=1,IF(AF1003="Value is not given at all",".",IF(AF1003="Value is given by the source",S1003,IF(AF1003="Value is calculated with prices",(IF(SUMIFS(Q:Q,A:A,A1003)&gt;0,SUMIFS(Q:Q,A:A,A1003),"."))/VLOOKUP("USD",'Exchange Rates'!B:C,2,0),"Error with coding"))),"")</f>
        <v/>
      </c>
      <c r="U1003" s="1184" t="s">
        <v>365</v>
      </c>
      <c r="V1003" s="973" t="s">
        <v>2724</v>
      </c>
      <c r="W1003" s="980" t="s">
        <v>2775</v>
      </c>
      <c r="X1003" s="981" t="s">
        <v>364</v>
      </c>
      <c r="Y1003" s="1190" t="s">
        <v>364</v>
      </c>
      <c r="Z1003" s="1184">
        <v>0</v>
      </c>
      <c r="AA1003" s="1191">
        <v>1</v>
      </c>
      <c r="AB1003" s="1036" t="s">
        <v>364</v>
      </c>
      <c r="AC1003" s="1192" t="str">
        <f>""</f>
        <v/>
      </c>
      <c r="AD1003" s="1193">
        <v>0</v>
      </c>
      <c r="AE1003" s="1193" t="s">
        <v>368</v>
      </c>
      <c r="AF1003" s="1193" t="s">
        <v>369</v>
      </c>
      <c r="AG1003" s="1193">
        <v>1</v>
      </c>
      <c r="AH1003" s="1193">
        <v>16</v>
      </c>
      <c r="AI1003" s="1193">
        <v>0</v>
      </c>
      <c r="AJ1003" s="1193">
        <f>VLOOKUP($I1003,'Price List, Weapons &amp; Items'!B:F,5,0)</f>
        <v>0</v>
      </c>
      <c r="AK1003" s="1193">
        <f t="shared" si="212"/>
        <v>0</v>
      </c>
      <c r="AL1003" s="1193">
        <f t="shared" si="213"/>
        <v>0</v>
      </c>
      <c r="AM1003" s="1193">
        <f t="shared" si="214"/>
        <v>0</v>
      </c>
      <c r="AN1003" s="1194" t="str">
        <f>VLOOKUP($I1003,'Price List, Weapons &amp; Items'!B:L,COLUMN('Price List, Weapons &amp; Items'!$J$11)-1,0)</f>
        <v>Manufacturer price</v>
      </c>
      <c r="AO1003" s="1194" t="str">
        <f>IF(I1003=".",".",VLOOKUP($I1003,'Price List, Weapons &amp; Items'!B:J,3,0))</f>
        <v>Military equipment</v>
      </c>
      <c r="AP1003" s="1195" t="str">
        <f t="shared" ca="1" si="208"/>
        <v/>
      </c>
      <c r="AQ1003" s="1194">
        <f>VLOOKUP($I1003,'Price List, Weapons &amp; Items'!B:L,COLUMN('Price List, Weapons &amp; Items'!$L$11)-1,0)</f>
        <v>2</v>
      </c>
      <c r="AR1003" s="1194">
        <f t="shared" si="215"/>
        <v>1</v>
      </c>
      <c r="AS1003" s="1194">
        <f t="shared" si="216"/>
        <v>1</v>
      </c>
      <c r="AT1003" s="1194">
        <f t="shared" si="217"/>
        <v>1</v>
      </c>
      <c r="AU1003" s="1194" t="str">
        <f t="shared" si="218"/>
        <v>.</v>
      </c>
      <c r="AV1003" s="1194" t="str">
        <f t="shared" si="209"/>
        <v>.</v>
      </c>
      <c r="AW1003" s="1194" t="str">
        <f t="shared" si="219"/>
        <v>.</v>
      </c>
      <c r="AX1003" s="1194">
        <f>IFERROR(VLOOKUP(B1003,'Share, Heavy Weapons to Ukraine'!B:Z,COLUMN('Share, Heavy Weapons to Ukraine'!C1013)-1,0),0)</f>
        <v>0</v>
      </c>
      <c r="AY1003" s="1194">
        <f>VLOOKUP('Bilateral Assistance, MAIN DATA'!B1003,'Country Summary (€)'!B:F,COLUMN('Country Summary (€)'!C1014)-1,FALSE)</f>
        <v>1</v>
      </c>
      <c r="AZ1003" s="1194" t="str">
        <f>IF(AND(AD1003=1,D1003="Military",H1003&lt;&gt;"Not given")=TRUE,IF(SUMIFS(P:P,A:A,A1003)&gt;0,ABS((SUMIFS(P:P,A:A,A1003)/VLOOKUP("USD",'Exchange Rates'!B:C,2,0)))/S1003,"."),".")</f>
        <v>.</v>
      </c>
      <c r="BA1003" s="1196" t="str">
        <f>IF(AND(AD1003=1,D1003="Military",H1003&lt;&gt;"Not given")=TRUE,IF(SUMIFS(P:P,A:A,A1003)&gt;0,IF((ABS((SUMIFS(P:P,A:A,A1003)/VLOOKUP("USD",'Exchange Rates'!B:C,2,0)))/S1003)&gt;1,(SUMIFS(P:P,A:A,A1003)-S1003)/S1003,(S1003-SUMIFS(P:P,A:A,A1003))/SUMIFS(P:P,A:A,A1003)),"."),".")</f>
        <v>.</v>
      </c>
    </row>
    <row r="1004" spans="1:53" ht="15.95" customHeight="1">
      <c r="A1004" s="1180" t="s">
        <v>2762</v>
      </c>
      <c r="B1004" s="1180" t="s">
        <v>2693</v>
      </c>
      <c r="C1004" s="1181">
        <v>45021</v>
      </c>
      <c r="D1004" s="1182" t="s">
        <v>389</v>
      </c>
      <c r="E1004" s="1182" t="s">
        <v>443</v>
      </c>
      <c r="F1004" s="1263" t="s">
        <v>2776</v>
      </c>
      <c r="G1004" s="1184" t="s">
        <v>483</v>
      </c>
      <c r="H1004" s="1185">
        <v>1500000000</v>
      </c>
      <c r="I1004" s="1266" t="s">
        <v>2783</v>
      </c>
      <c r="J1004" s="1186" t="str">
        <f>VLOOKUP($I1004,'Price List, Weapons &amp; Items'!B:C,2,0)</f>
        <v>Military equipment</v>
      </c>
      <c r="K1004" s="1186" t="str">
        <f>IF(I1004=".",I1004,VLOOKUP($I1004,'Price List, Weapons &amp; Items'!B:D,3,0))</f>
        <v>Military equipment</v>
      </c>
      <c r="L1004" s="1187">
        <f>VLOOKUP(I1004,'Price List, Weapons &amp; Items'!B:E,4,0)</f>
        <v>0</v>
      </c>
      <c r="M1004" s="1188" t="s">
        <v>374</v>
      </c>
      <c r="N1004" s="1188" t="s">
        <v>374</v>
      </c>
      <c r="O1004" s="1188" t="str">
        <f>VLOOKUP($I1004,'Price List, Weapons &amp; Items'!B:G,6,0)</f>
        <v>.</v>
      </c>
      <c r="P1004" s="1185" t="str">
        <f t="shared" si="210"/>
        <v>.</v>
      </c>
      <c r="Q1004" s="1185" t="str">
        <f t="shared" si="211"/>
        <v>.</v>
      </c>
      <c r="R1004" s="1185" t="str">
        <f t="shared" si="207"/>
        <v/>
      </c>
      <c r="S1004" s="1185" t="str">
        <f>IF(AND(AD1004=1,R1004&lt;&gt;".")=TRUE,R1004/VLOOKUP(G1004,'Exchange Rates'!B:C,2,0),IF(R1004=".",".",""))</f>
        <v/>
      </c>
      <c r="T1004" s="1185" t="str">
        <f>IF(AD1004=1,IF(AF1004="Value is not given at all",".",IF(AF1004="Value is given by the source",S1004,IF(AF1004="Value is calculated with prices",(IF(SUMIFS(Q:Q,A:A,A1004)&gt;0,SUMIFS(Q:Q,A:A,A1004),"."))/VLOOKUP("USD",'Exchange Rates'!B:C,2,0),"Error with coding"))),"")</f>
        <v/>
      </c>
      <c r="U1004" s="1184" t="s">
        <v>365</v>
      </c>
      <c r="V1004" s="973" t="s">
        <v>2724</v>
      </c>
      <c r="W1004" s="980" t="s">
        <v>2775</v>
      </c>
      <c r="X1004" s="981" t="s">
        <v>364</v>
      </c>
      <c r="Y1004" s="1190" t="s">
        <v>364</v>
      </c>
      <c r="Z1004" s="1184">
        <v>0</v>
      </c>
      <c r="AA1004" s="1191">
        <v>1</v>
      </c>
      <c r="AB1004" s="1036" t="s">
        <v>364</v>
      </c>
      <c r="AC1004" s="1192" t="str">
        <f>""</f>
        <v/>
      </c>
      <c r="AD1004" s="1193">
        <v>0</v>
      </c>
      <c r="AE1004" s="1193" t="s">
        <v>368</v>
      </c>
      <c r="AF1004" s="1193" t="s">
        <v>369</v>
      </c>
      <c r="AG1004" s="1193">
        <v>1</v>
      </c>
      <c r="AH1004" s="1193">
        <v>16</v>
      </c>
      <c r="AI1004" s="1193">
        <v>0</v>
      </c>
      <c r="AJ1004" s="1193">
        <f>VLOOKUP($I1004,'Price List, Weapons &amp; Items'!B:F,5,0)</f>
        <v>0</v>
      </c>
      <c r="AK1004" s="1193">
        <f t="shared" si="212"/>
        <v>0</v>
      </c>
      <c r="AL1004" s="1193">
        <f t="shared" si="213"/>
        <v>0</v>
      </c>
      <c r="AM1004" s="1193">
        <f t="shared" si="214"/>
        <v>0</v>
      </c>
      <c r="AN1004" s="1194" t="str">
        <f>VLOOKUP($I1004,'Price List, Weapons &amp; Items'!B:L,COLUMN('Price List, Weapons &amp; Items'!$J$11)-1,0)</f>
        <v>.</v>
      </c>
      <c r="AO1004" s="1194" t="str">
        <f>IF(I1004=".",".",VLOOKUP($I1004,'Price List, Weapons &amp; Items'!B:J,3,0))</f>
        <v>Military equipment</v>
      </c>
      <c r="AP1004" s="1195" t="str">
        <f t="shared" ca="1" si="208"/>
        <v/>
      </c>
      <c r="AQ1004" s="1194" t="str">
        <f>VLOOKUP($I1004,'Price List, Weapons &amp; Items'!B:L,COLUMN('Price List, Weapons &amp; Items'!$L$11)-1,0)</f>
        <v>no price, 0 count</v>
      </c>
      <c r="AR1004" s="1194">
        <f t="shared" si="215"/>
        <v>1</v>
      </c>
      <c r="AS1004" s="1194">
        <f t="shared" si="216"/>
        <v>1</v>
      </c>
      <c r="AT1004" s="1194">
        <f t="shared" si="217"/>
        <v>1</v>
      </c>
      <c r="AU1004" s="1194" t="str">
        <f t="shared" si="218"/>
        <v>.</v>
      </c>
      <c r="AV1004" s="1194" t="str">
        <f t="shared" si="209"/>
        <v>.</v>
      </c>
      <c r="AW1004" s="1194" t="str">
        <f t="shared" si="219"/>
        <v>.</v>
      </c>
      <c r="AX1004" s="1194">
        <f>IFERROR(VLOOKUP(B1004,'Share, Heavy Weapons to Ukraine'!B:Z,COLUMN('Share, Heavy Weapons to Ukraine'!C1014)-1,0),0)</f>
        <v>0</v>
      </c>
      <c r="AY1004" s="1194">
        <f>VLOOKUP('Bilateral Assistance, MAIN DATA'!B1004,'Country Summary (€)'!B:F,COLUMN('Country Summary (€)'!C1015)-1,FALSE)</f>
        <v>1</v>
      </c>
      <c r="AZ1004" s="1194" t="str">
        <f>IF(AND(AD1004=1,D1004="Military",H1004&lt;&gt;"Not given")=TRUE,IF(SUMIFS(P:P,A:A,A1004)&gt;0,ABS((SUMIFS(P:P,A:A,A1004)/VLOOKUP("USD",'Exchange Rates'!B:C,2,0)))/S1004,"."),".")</f>
        <v>.</v>
      </c>
      <c r="BA1004" s="1196" t="str">
        <f>IF(AND(AD1004=1,D1004="Military",H1004&lt;&gt;"Not given")=TRUE,IF(SUMIFS(P:P,A:A,A1004)&gt;0,IF((ABS((SUMIFS(P:P,A:A,A1004)/VLOOKUP("USD",'Exchange Rates'!B:C,2,0)))/S1004)&gt;1,(SUMIFS(P:P,A:A,A1004)-S1004)/S1004,(S1004-SUMIFS(P:P,A:A,A1004))/SUMIFS(P:P,A:A,A1004)),"."),".")</f>
        <v>.</v>
      </c>
    </row>
    <row r="1005" spans="1:53" ht="15.95" customHeight="1">
      <c r="A1005" s="1180" t="s">
        <v>2762</v>
      </c>
      <c r="B1005" s="1180" t="s">
        <v>2693</v>
      </c>
      <c r="C1005" s="1181">
        <v>45021</v>
      </c>
      <c r="D1005" s="1182" t="s">
        <v>389</v>
      </c>
      <c r="E1005" s="1182" t="s">
        <v>443</v>
      </c>
      <c r="F1005" s="1263" t="s">
        <v>2784</v>
      </c>
      <c r="G1005" s="1184" t="s">
        <v>483</v>
      </c>
      <c r="H1005" s="1185">
        <v>1500000000</v>
      </c>
      <c r="I1005" s="1266" t="s">
        <v>437</v>
      </c>
      <c r="J1005" s="1186" t="str">
        <f>VLOOKUP($I1005,'Price List, Weapons &amp; Items'!B:C,2,0)</f>
        <v>Military equipment</v>
      </c>
      <c r="K1005" s="1186" t="str">
        <f>IF(I1005=".",I1005,VLOOKUP($I1005,'Price List, Weapons &amp; Items'!B:D,3,0))</f>
        <v>Military equipment</v>
      </c>
      <c r="L1005" s="1187">
        <f>VLOOKUP(I1005,'Price List, Weapons &amp; Items'!B:E,4,0)</f>
        <v>0</v>
      </c>
      <c r="M1005" s="1188" t="s">
        <v>374</v>
      </c>
      <c r="N1005" s="1188" t="s">
        <v>374</v>
      </c>
      <c r="O1005" s="1188" t="str">
        <f>VLOOKUP($I1005,'Price List, Weapons &amp; Items'!B:G,6,0)</f>
        <v>.</v>
      </c>
      <c r="P1005" s="1185" t="str">
        <f t="shared" si="210"/>
        <v>.</v>
      </c>
      <c r="Q1005" s="1185" t="str">
        <f t="shared" si="211"/>
        <v>.</v>
      </c>
      <c r="R1005" s="1185" t="str">
        <f t="shared" si="207"/>
        <v/>
      </c>
      <c r="S1005" s="1185" t="str">
        <f>IF(AND(AD1005=1,R1005&lt;&gt;".")=TRUE,R1005/VLOOKUP(G1005,'Exchange Rates'!B:C,2,0),IF(R1005=".",".",""))</f>
        <v/>
      </c>
      <c r="T1005" s="1185" t="str">
        <f>IF(AD1005=1,IF(AF1005="Value is not given at all",".",IF(AF1005="Value is given by the source",S1005,IF(AF1005="Value is calculated with prices",(IF(SUMIFS(Q:Q,A:A,A1005)&gt;0,SUMIFS(Q:Q,A:A,A1005),"."))/VLOOKUP("USD",'Exchange Rates'!B:C,2,0),"Error with coding"))),"")</f>
        <v/>
      </c>
      <c r="U1005" s="1184" t="s">
        <v>365</v>
      </c>
      <c r="V1005" s="973" t="s">
        <v>2724</v>
      </c>
      <c r="W1005" s="980" t="s">
        <v>2775</v>
      </c>
      <c r="X1005" s="981" t="s">
        <v>364</v>
      </c>
      <c r="Y1005" s="1190" t="s">
        <v>364</v>
      </c>
      <c r="Z1005" s="1184">
        <v>0</v>
      </c>
      <c r="AA1005" s="1191">
        <v>1</v>
      </c>
      <c r="AB1005" s="1036" t="s">
        <v>364</v>
      </c>
      <c r="AC1005" s="1192" t="str">
        <f>""</f>
        <v/>
      </c>
      <c r="AD1005" s="1193">
        <v>0</v>
      </c>
      <c r="AE1005" s="1193" t="s">
        <v>368</v>
      </c>
      <c r="AF1005" s="1193" t="s">
        <v>369</v>
      </c>
      <c r="AG1005" s="1193">
        <v>1</v>
      </c>
      <c r="AH1005" s="1193">
        <v>16</v>
      </c>
      <c r="AI1005" s="1193">
        <v>0</v>
      </c>
      <c r="AJ1005" s="1193">
        <f>VLOOKUP($I1005,'Price List, Weapons &amp; Items'!B:F,5,0)</f>
        <v>0</v>
      </c>
      <c r="AK1005" s="1193">
        <f t="shared" si="212"/>
        <v>0</v>
      </c>
      <c r="AL1005" s="1193">
        <f t="shared" si="213"/>
        <v>0</v>
      </c>
      <c r="AM1005" s="1193">
        <f t="shared" si="214"/>
        <v>0</v>
      </c>
      <c r="AN1005" s="1194" t="str">
        <f>VLOOKUP($I1005,'Price List, Weapons &amp; Items'!B:L,COLUMN('Price List, Weapons &amp; Items'!$J$11)-1,0)</f>
        <v>.</v>
      </c>
      <c r="AO1005" s="1194" t="str">
        <f>IF(I1005=".",".",VLOOKUP($I1005,'Price List, Weapons &amp; Items'!B:J,3,0))</f>
        <v>Military equipment</v>
      </c>
      <c r="AP1005" s="1195" t="str">
        <f t="shared" ca="1" si="208"/>
        <v/>
      </c>
      <c r="AQ1005" s="1194" t="str">
        <f>VLOOKUP($I1005,'Price List, Weapons &amp; Items'!B:L,COLUMN('Price List, Weapons &amp; Items'!$L$11)-1,0)</f>
        <v>no price, 0 count</v>
      </c>
      <c r="AR1005" s="1194">
        <f t="shared" si="215"/>
        <v>1</v>
      </c>
      <c r="AS1005" s="1194">
        <f t="shared" si="216"/>
        <v>1</v>
      </c>
      <c r="AT1005" s="1194">
        <f t="shared" si="217"/>
        <v>1</v>
      </c>
      <c r="AU1005" s="1194" t="str">
        <f t="shared" si="218"/>
        <v>1</v>
      </c>
      <c r="AV1005" s="1194" t="str">
        <f t="shared" si="209"/>
        <v>.</v>
      </c>
      <c r="AW1005" s="1194" t="str">
        <f t="shared" si="219"/>
        <v>.</v>
      </c>
      <c r="AX1005" s="1194">
        <f>IFERROR(VLOOKUP(B1005,'Share, Heavy Weapons to Ukraine'!B:Z,COLUMN('Share, Heavy Weapons to Ukraine'!C1015)-1,0),0)</f>
        <v>0</v>
      </c>
      <c r="AY1005" s="1194">
        <f>VLOOKUP('Bilateral Assistance, MAIN DATA'!B1005,'Country Summary (€)'!B:F,COLUMN('Country Summary (€)'!C1016)-1,FALSE)</f>
        <v>1</v>
      </c>
      <c r="AZ1005" s="1194" t="str">
        <f>IF(AND(AD1005=1,D1005="Military",H1005&lt;&gt;"Not given")=TRUE,IF(SUMIFS(P:P,A:A,A1005)&gt;0,ABS((SUMIFS(P:P,A:A,A1005)/VLOOKUP("USD",'Exchange Rates'!B:C,2,0)))/S1005,"."),".")</f>
        <v>.</v>
      </c>
      <c r="BA1005" s="1196" t="str">
        <f>IF(AND(AD1005=1,D1005="Military",H1005&lt;&gt;"Not given")=TRUE,IF(SUMIFS(P:P,A:A,A1005)&gt;0,IF((ABS((SUMIFS(P:P,A:A,A1005)/VLOOKUP("USD",'Exchange Rates'!B:C,2,0)))/S1005)&gt;1,(SUMIFS(P:P,A:A,A1005)-S1005)/S1005,(S1005-SUMIFS(P:P,A:A,A1005))/SUMIFS(P:P,A:A,A1005)),"."),".")</f>
        <v>.</v>
      </c>
    </row>
    <row r="1006" spans="1:53" ht="15.95" customHeight="1">
      <c r="A1006" s="1180" t="s">
        <v>2762</v>
      </c>
      <c r="B1006" s="1180" t="s">
        <v>2693</v>
      </c>
      <c r="C1006" s="1181">
        <v>45021</v>
      </c>
      <c r="D1006" s="1182" t="s">
        <v>389</v>
      </c>
      <c r="E1006" s="1182" t="s">
        <v>443</v>
      </c>
      <c r="F1006" s="1263" t="s">
        <v>2776</v>
      </c>
      <c r="G1006" s="1184" t="s">
        <v>483</v>
      </c>
      <c r="H1006" s="1185">
        <v>1500000000</v>
      </c>
      <c r="I1006" s="1266" t="s">
        <v>2785</v>
      </c>
      <c r="J1006" s="1186" t="str">
        <f>VLOOKUP($I1006,'Price List, Weapons &amp; Items'!B:C,2,0)</f>
        <v>Humanitarian</v>
      </c>
      <c r="K1006" s="1186" t="str">
        <f>IF(I1006=".",I1006,VLOOKUP($I1006,'Price List, Weapons &amp; Items'!B:D,3,0))</f>
        <v>Humanitarian</v>
      </c>
      <c r="L1006" s="1187">
        <f>VLOOKUP(I1006,'Price List, Weapons &amp; Items'!B:E,4,0)</f>
        <v>0</v>
      </c>
      <c r="M1006" s="1188">
        <v>3.3</v>
      </c>
      <c r="N1006" s="1188" t="s">
        <v>374</v>
      </c>
      <c r="O1006" s="1188">
        <f>VLOOKUP($I1006,'Price List, Weapons &amp; Items'!B:G,6,0)</f>
        <v>0</v>
      </c>
      <c r="P1006" s="1185">
        <f t="shared" si="210"/>
        <v>0</v>
      </c>
      <c r="Q1006" s="1185" t="str">
        <f t="shared" si="211"/>
        <v>.</v>
      </c>
      <c r="R1006" s="1185" t="str">
        <f t="shared" si="207"/>
        <v/>
      </c>
      <c r="S1006" s="1185" t="str">
        <f>IF(AND(AD1006=1,R1006&lt;&gt;".")=TRUE,R1006/VLOOKUP(G1006,'Exchange Rates'!B:C,2,0),IF(R1006=".",".",""))</f>
        <v/>
      </c>
      <c r="T1006" s="1185" t="str">
        <f>IF(AD1006=1,IF(AF1006="Value is not given at all",".",IF(AF1006="Value is given by the source",S1006,IF(AF1006="Value is calculated with prices",(IF(SUMIFS(Q:Q,A:A,A1006)&gt;0,SUMIFS(Q:Q,A:A,A1006),"."))/VLOOKUP("USD",'Exchange Rates'!B:C,2,0),"Error with coding"))),"")</f>
        <v/>
      </c>
      <c r="U1006" s="1184" t="s">
        <v>365</v>
      </c>
      <c r="V1006" s="973" t="s">
        <v>2724</v>
      </c>
      <c r="W1006" s="980" t="s">
        <v>2775</v>
      </c>
      <c r="X1006" s="981" t="s">
        <v>364</v>
      </c>
      <c r="Y1006" s="1190" t="s">
        <v>364</v>
      </c>
      <c r="Z1006" s="1184">
        <v>0</v>
      </c>
      <c r="AA1006" s="1191">
        <v>1</v>
      </c>
      <c r="AB1006" s="1036" t="s">
        <v>364</v>
      </c>
      <c r="AC1006" s="1192" t="str">
        <f>""</f>
        <v/>
      </c>
      <c r="AD1006" s="1193">
        <v>0</v>
      </c>
      <c r="AE1006" s="1193" t="s">
        <v>368</v>
      </c>
      <c r="AF1006" s="1193" t="s">
        <v>369</v>
      </c>
      <c r="AG1006" s="1193">
        <v>1</v>
      </c>
      <c r="AH1006" s="1193">
        <v>16</v>
      </c>
      <c r="AI1006" s="1193">
        <v>0</v>
      </c>
      <c r="AJ1006" s="1193">
        <f>VLOOKUP($I1006,'Price List, Weapons &amp; Items'!B:F,5,0)</f>
        <v>0</v>
      </c>
      <c r="AK1006" s="1193">
        <f t="shared" si="212"/>
        <v>0</v>
      </c>
      <c r="AL1006" s="1193">
        <f t="shared" si="213"/>
        <v>0</v>
      </c>
      <c r="AM1006" s="1193">
        <f t="shared" si="214"/>
        <v>0</v>
      </c>
      <c r="AN1006" s="1194" t="str">
        <f>VLOOKUP($I1006,'Price List, Weapons &amp; Items'!B:L,COLUMN('Price List, Weapons &amp; Items'!$J$11)-1,0)</f>
        <v>Government information</v>
      </c>
      <c r="AO1006" s="1194" t="str">
        <f>IF(I1006=".",".",VLOOKUP($I1006,'Price List, Weapons &amp; Items'!B:J,3,0))</f>
        <v>Humanitarian</v>
      </c>
      <c r="AP1006" s="1195" t="str">
        <f t="shared" ca="1" si="208"/>
        <v/>
      </c>
      <c r="AQ1006" s="1194">
        <f>VLOOKUP($I1006,'Price List, Weapons &amp; Items'!B:L,COLUMN('Price List, Weapons &amp; Items'!$L$11)-1,0)</f>
        <v>0</v>
      </c>
      <c r="AR1006" s="1194">
        <f t="shared" si="215"/>
        <v>1</v>
      </c>
      <c r="AS1006" s="1194">
        <f t="shared" si="216"/>
        <v>1</v>
      </c>
      <c r="AT1006" s="1194">
        <f t="shared" si="217"/>
        <v>1</v>
      </c>
      <c r="AU1006" s="1194" t="str">
        <f t="shared" si="218"/>
        <v>1</v>
      </c>
      <c r="AV1006" s="1194" t="str">
        <f t="shared" si="209"/>
        <v>.</v>
      </c>
      <c r="AW1006" s="1194" t="str">
        <f t="shared" si="219"/>
        <v>.</v>
      </c>
      <c r="AX1006" s="1194">
        <f>IFERROR(VLOOKUP(B1006,'Share, Heavy Weapons to Ukraine'!B:Z,COLUMN('Share, Heavy Weapons to Ukraine'!C1016)-1,0),0)</f>
        <v>0</v>
      </c>
      <c r="AY1006" s="1194">
        <f>VLOOKUP('Bilateral Assistance, MAIN DATA'!B1006,'Country Summary (€)'!B:F,COLUMN('Country Summary (€)'!C1017)-1,FALSE)</f>
        <v>1</v>
      </c>
      <c r="AZ1006" s="1194" t="str">
        <f>IF(AND(AD1006=1,D1006="Military",H1006&lt;&gt;"Not given")=TRUE,IF(SUMIFS(P:P,A:A,A1006)&gt;0,ABS((SUMIFS(P:P,A:A,A1006)/VLOOKUP("USD",'Exchange Rates'!B:C,2,0)))/S1006,"."),".")</f>
        <v>.</v>
      </c>
      <c r="BA1006" s="1196" t="str">
        <f>IF(AND(AD1006=1,D1006="Military",H1006&lt;&gt;"Not given")=TRUE,IF(SUMIFS(P:P,A:A,A1006)&gt;0,IF((ABS((SUMIFS(P:P,A:A,A1006)/VLOOKUP("USD",'Exchange Rates'!B:C,2,0)))/S1006)&gt;1,(SUMIFS(P:P,A:A,A1006)-S1006)/S1006,(S1006-SUMIFS(P:P,A:A,A1006))/SUMIFS(P:P,A:A,A1006)),"."),".")</f>
        <v>.</v>
      </c>
    </row>
    <row r="1007" spans="1:53" ht="15.95" customHeight="1">
      <c r="A1007" s="1180" t="s">
        <v>2762</v>
      </c>
      <c r="B1007" s="1180" t="s">
        <v>2693</v>
      </c>
      <c r="C1007" s="1181">
        <v>45021</v>
      </c>
      <c r="D1007" s="1182" t="s">
        <v>389</v>
      </c>
      <c r="E1007" s="1182" t="s">
        <v>443</v>
      </c>
      <c r="F1007" s="1263" t="s">
        <v>2776</v>
      </c>
      <c r="G1007" s="1184" t="s">
        <v>483</v>
      </c>
      <c r="H1007" s="1185">
        <v>1500000000</v>
      </c>
      <c r="I1007" s="1266" t="s">
        <v>1895</v>
      </c>
      <c r="J1007" s="1186" t="str">
        <f>VLOOKUP($I1007,'Price List, Weapons &amp; Items'!B:C,2,0)</f>
        <v>Military equipment</v>
      </c>
      <c r="K1007" s="1186" t="str">
        <f>IF(I1007=".",I1007,VLOOKUP($I1007,'Price List, Weapons &amp; Items'!B:D,3,0))</f>
        <v>Military equipment</v>
      </c>
      <c r="L1007" s="1187">
        <f>VLOOKUP(I1007,'Price List, Weapons &amp; Items'!B:E,4,0)</f>
        <v>0</v>
      </c>
      <c r="M1007" s="1188">
        <v>300</v>
      </c>
      <c r="N1007" s="1188" t="s">
        <v>374</v>
      </c>
      <c r="O1007" s="1188">
        <f>VLOOKUP($I1007,'Price List, Weapons &amp; Items'!B:G,6,0)</f>
        <v>70</v>
      </c>
      <c r="P1007" s="1185">
        <f t="shared" si="210"/>
        <v>21000</v>
      </c>
      <c r="Q1007" s="1185" t="str">
        <f t="shared" si="211"/>
        <v>.</v>
      </c>
      <c r="R1007" s="1185" t="str">
        <f t="shared" si="207"/>
        <v/>
      </c>
      <c r="S1007" s="1185" t="str">
        <f>IF(AND(AD1007=1,R1007&lt;&gt;".")=TRUE,R1007/VLOOKUP(G1007,'Exchange Rates'!B:C,2,0),IF(R1007=".",".",""))</f>
        <v/>
      </c>
      <c r="T1007" s="1185" t="str">
        <f>IF(AD1007=1,IF(AF1007="Value is not given at all",".",IF(AF1007="Value is given by the source",S1007,IF(AF1007="Value is calculated with prices",(IF(SUMIFS(Q:Q,A:A,A1007)&gt;0,SUMIFS(Q:Q,A:A,A1007),"."))/VLOOKUP("USD",'Exchange Rates'!B:C,2,0),"Error with coding"))),"")</f>
        <v/>
      </c>
      <c r="U1007" s="1184" t="s">
        <v>365</v>
      </c>
      <c r="V1007" s="973" t="s">
        <v>2724</v>
      </c>
      <c r="W1007" s="980" t="s">
        <v>2775</v>
      </c>
      <c r="X1007" s="981" t="s">
        <v>364</v>
      </c>
      <c r="Y1007" s="1190" t="s">
        <v>364</v>
      </c>
      <c r="Z1007" s="1184">
        <v>0</v>
      </c>
      <c r="AA1007" s="1191">
        <v>1</v>
      </c>
      <c r="AB1007" s="1036" t="s">
        <v>364</v>
      </c>
      <c r="AC1007" s="1192" t="str">
        <f>""</f>
        <v/>
      </c>
      <c r="AD1007" s="1193">
        <v>0</v>
      </c>
      <c r="AE1007" s="1193" t="s">
        <v>368</v>
      </c>
      <c r="AF1007" s="1193" t="s">
        <v>369</v>
      </c>
      <c r="AG1007" s="1193">
        <v>1</v>
      </c>
      <c r="AH1007" s="1193">
        <v>16</v>
      </c>
      <c r="AI1007" s="1193">
        <v>0</v>
      </c>
      <c r="AJ1007" s="1193">
        <f>VLOOKUP($I1007,'Price List, Weapons &amp; Items'!B:F,5,0)</f>
        <v>0</v>
      </c>
      <c r="AK1007" s="1193">
        <f t="shared" si="212"/>
        <v>0</v>
      </c>
      <c r="AL1007" s="1193">
        <f t="shared" si="213"/>
        <v>0</v>
      </c>
      <c r="AM1007" s="1193">
        <f t="shared" si="214"/>
        <v>0</v>
      </c>
      <c r="AN1007" s="1194" t="str">
        <f>VLOOKUP($I1007,'Price List, Weapons &amp; Items'!B:L,COLUMN('Price List, Weapons &amp; Items'!$J$11)-1,0)</f>
        <v>Online marketplaces and stores</v>
      </c>
      <c r="AO1007" s="1194" t="str">
        <f>IF(I1007=".",".",VLOOKUP($I1007,'Price List, Weapons &amp; Items'!B:J,3,0))</f>
        <v>Military equipment</v>
      </c>
      <c r="AP1007" s="1195" t="str">
        <f t="shared" ca="1" si="208"/>
        <v/>
      </c>
      <c r="AQ1007" s="1194">
        <f>VLOOKUP($I1007,'Price List, Weapons &amp; Items'!B:L,COLUMN('Price List, Weapons &amp; Items'!$L$11)-1,0)</f>
        <v>1</v>
      </c>
      <c r="AR1007" s="1194">
        <f t="shared" si="215"/>
        <v>1</v>
      </c>
      <c r="AS1007" s="1194">
        <f t="shared" si="216"/>
        <v>1</v>
      </c>
      <c r="AT1007" s="1194">
        <f t="shared" si="217"/>
        <v>1</v>
      </c>
      <c r="AU1007" s="1194" t="str">
        <f t="shared" si="218"/>
        <v>.</v>
      </c>
      <c r="AV1007" s="1194" t="str">
        <f t="shared" si="209"/>
        <v>.</v>
      </c>
      <c r="AW1007" s="1194" t="str">
        <f t="shared" si="219"/>
        <v>.</v>
      </c>
      <c r="AX1007" s="1194">
        <f>IFERROR(VLOOKUP(B1007,'Share, Heavy Weapons to Ukraine'!B:Z,COLUMN('Share, Heavy Weapons to Ukraine'!C1017)-1,0),0)</f>
        <v>0</v>
      </c>
      <c r="AY1007" s="1194">
        <f>VLOOKUP('Bilateral Assistance, MAIN DATA'!B1007,'Country Summary (€)'!B:F,COLUMN('Country Summary (€)'!C1018)-1,FALSE)</f>
        <v>1</v>
      </c>
      <c r="AZ1007" s="1194" t="str">
        <f>IF(AND(AD1007=1,D1007="Military",H1007&lt;&gt;"Not given")=TRUE,IF(SUMIFS(P:P,A:A,A1007)&gt;0,ABS((SUMIFS(P:P,A:A,A1007)/VLOOKUP("USD",'Exchange Rates'!B:C,2,0)))/S1007,"."),".")</f>
        <v>.</v>
      </c>
      <c r="BA1007" s="1196" t="str">
        <f>IF(AND(AD1007=1,D1007="Military",H1007&lt;&gt;"Not given")=TRUE,IF(SUMIFS(P:P,A:A,A1007)&gt;0,IF((ABS((SUMIFS(P:P,A:A,A1007)/VLOOKUP("USD",'Exchange Rates'!B:C,2,0)))/S1007)&gt;1,(SUMIFS(P:P,A:A,A1007)-S1007)/S1007,(S1007-SUMIFS(P:P,A:A,A1007))/SUMIFS(P:P,A:A,A1007)),"."),".")</f>
        <v>.</v>
      </c>
    </row>
    <row r="1008" spans="1:53" ht="15.95" customHeight="1">
      <c r="A1008" s="1180" t="s">
        <v>2762</v>
      </c>
      <c r="B1008" s="1180" t="s">
        <v>2693</v>
      </c>
      <c r="C1008" s="1181">
        <v>45021</v>
      </c>
      <c r="D1008" s="1182" t="s">
        <v>389</v>
      </c>
      <c r="E1008" s="1182" t="s">
        <v>443</v>
      </c>
      <c r="F1008" s="1263" t="s">
        <v>2776</v>
      </c>
      <c r="G1008" s="1184" t="s">
        <v>483</v>
      </c>
      <c r="H1008" s="1185">
        <v>1500000000</v>
      </c>
      <c r="I1008" s="1266" t="s">
        <v>1828</v>
      </c>
      <c r="J1008" s="1186" t="str">
        <f>VLOOKUP($I1008,'Price List, Weapons &amp; Items'!B:C,2,0)</f>
        <v>Military equipment</v>
      </c>
      <c r="K1008" s="1186" t="str">
        <f>IF(I1008=".",I1008,VLOOKUP($I1008,'Price List, Weapons &amp; Items'!B:D,3,0))</f>
        <v>non combat military vehicle</v>
      </c>
      <c r="L1008" s="1187">
        <f>VLOOKUP(I1008,'Price List, Weapons &amp; Items'!B:E,4,0)</f>
        <v>0</v>
      </c>
      <c r="M1008" s="1188">
        <v>21</v>
      </c>
      <c r="N1008" s="1188" t="s">
        <v>374</v>
      </c>
      <c r="O1008" s="1188">
        <f>VLOOKUP($I1008,'Price List, Weapons &amp; Items'!B:G,6,0)</f>
        <v>32500</v>
      </c>
      <c r="P1008" s="1185">
        <f t="shared" si="210"/>
        <v>682500</v>
      </c>
      <c r="Q1008" s="1185" t="str">
        <f t="shared" si="211"/>
        <v>.</v>
      </c>
      <c r="R1008" s="1185" t="str">
        <f t="shared" si="207"/>
        <v/>
      </c>
      <c r="S1008" s="1185" t="str">
        <f>IF(AND(AD1008=1,R1008&lt;&gt;".")=TRUE,R1008/VLOOKUP(G1008,'Exchange Rates'!B:C,2,0),IF(R1008=".",".",""))</f>
        <v/>
      </c>
      <c r="T1008" s="1185" t="str">
        <f>IF(AD1008=1,IF(AF1008="Value is not given at all",".",IF(AF1008="Value is given by the source",S1008,IF(AF1008="Value is calculated with prices",(IF(SUMIFS(Q:Q,A:A,A1008)&gt;0,SUMIFS(Q:Q,A:A,A1008),"."))/VLOOKUP("USD",'Exchange Rates'!B:C,2,0),"Error with coding"))),"")</f>
        <v/>
      </c>
      <c r="U1008" s="1184" t="s">
        <v>365</v>
      </c>
      <c r="V1008" s="973" t="s">
        <v>2724</v>
      </c>
      <c r="W1008" s="980" t="s">
        <v>2775</v>
      </c>
      <c r="X1008" s="981" t="s">
        <v>364</v>
      </c>
      <c r="Y1008" s="1190" t="s">
        <v>364</v>
      </c>
      <c r="Z1008" s="1184">
        <v>0</v>
      </c>
      <c r="AA1008" s="1191">
        <v>1</v>
      </c>
      <c r="AB1008" s="1036" t="s">
        <v>364</v>
      </c>
      <c r="AC1008" s="1192" t="str">
        <f>""</f>
        <v/>
      </c>
      <c r="AD1008" s="1193">
        <v>0</v>
      </c>
      <c r="AE1008" s="1193" t="s">
        <v>368</v>
      </c>
      <c r="AF1008" s="1193" t="s">
        <v>369</v>
      </c>
      <c r="AG1008" s="1193">
        <v>1</v>
      </c>
      <c r="AH1008" s="1193">
        <v>16</v>
      </c>
      <c r="AI1008" s="1193">
        <v>0</v>
      </c>
      <c r="AJ1008" s="1193">
        <f>VLOOKUP($I1008,'Price List, Weapons &amp; Items'!B:F,5,0)</f>
        <v>0</v>
      </c>
      <c r="AK1008" s="1193">
        <f t="shared" si="212"/>
        <v>0</v>
      </c>
      <c r="AL1008" s="1193">
        <f t="shared" si="213"/>
        <v>0</v>
      </c>
      <c r="AM1008" s="1193">
        <f t="shared" si="214"/>
        <v>0</v>
      </c>
      <c r="AN1008" s="1194" t="str">
        <f>VLOOKUP($I1008,'Price List, Weapons &amp; Items'!B:L,COLUMN('Price List, Weapons &amp; Items'!$J$11)-1,0)</f>
        <v>Online marketplaces and stores</v>
      </c>
      <c r="AO1008" s="1194" t="str">
        <f>IF(I1008=".",".",VLOOKUP($I1008,'Price List, Weapons &amp; Items'!B:J,3,0))</f>
        <v>non combat military vehicle</v>
      </c>
      <c r="AP1008" s="1195" t="str">
        <f t="shared" ca="1" si="208"/>
        <v/>
      </c>
      <c r="AQ1008" s="1194">
        <f>VLOOKUP($I1008,'Price List, Weapons &amp; Items'!B:L,COLUMN('Price List, Weapons &amp; Items'!$L$11)-1,0)</f>
        <v>1</v>
      </c>
      <c r="AR1008" s="1194">
        <f t="shared" si="215"/>
        <v>1</v>
      </c>
      <c r="AS1008" s="1194">
        <f t="shared" si="216"/>
        <v>1</v>
      </c>
      <c r="AT1008" s="1194">
        <f t="shared" si="217"/>
        <v>1</v>
      </c>
      <c r="AU1008" s="1194" t="str">
        <f t="shared" si="218"/>
        <v>.</v>
      </c>
      <c r="AV1008" s="1194" t="str">
        <f t="shared" si="209"/>
        <v>.</v>
      </c>
      <c r="AW1008" s="1194" t="str">
        <f t="shared" si="219"/>
        <v>.</v>
      </c>
      <c r="AX1008" s="1194">
        <f>IFERROR(VLOOKUP(B1008,'Share, Heavy Weapons to Ukraine'!B:Z,COLUMN('Share, Heavy Weapons to Ukraine'!C1018)-1,0),0)</f>
        <v>0</v>
      </c>
      <c r="AY1008" s="1194">
        <f>VLOOKUP('Bilateral Assistance, MAIN DATA'!B1008,'Country Summary (€)'!B:F,COLUMN('Country Summary (€)'!C1019)-1,FALSE)</f>
        <v>1</v>
      </c>
      <c r="AZ1008" s="1194" t="str">
        <f>IF(AND(AD1008=1,D1008="Military",H1008&lt;&gt;"Not given")=TRUE,IF(SUMIFS(P:P,A:A,A1008)&gt;0,ABS((SUMIFS(P:P,A:A,A1008)/VLOOKUP("USD",'Exchange Rates'!B:C,2,0)))/S1008,"."),".")</f>
        <v>.</v>
      </c>
      <c r="BA1008" s="1196" t="str">
        <f>IF(AND(AD1008=1,D1008="Military",H1008&lt;&gt;"Not given")=TRUE,IF(SUMIFS(P:P,A:A,A1008)&gt;0,IF((ABS((SUMIFS(P:P,A:A,A1008)/VLOOKUP("USD",'Exchange Rates'!B:C,2,0)))/S1008)&gt;1,(SUMIFS(P:P,A:A,A1008)-S1008)/S1008,(S1008-SUMIFS(P:P,A:A,A1008))/SUMIFS(P:P,A:A,A1008)),"."),".")</f>
        <v>.</v>
      </c>
    </row>
    <row r="1009" spans="1:53" ht="15.95" customHeight="1">
      <c r="A1009" s="1180" t="s">
        <v>2762</v>
      </c>
      <c r="B1009" s="1180" t="s">
        <v>2693</v>
      </c>
      <c r="C1009" s="1181">
        <v>45036</v>
      </c>
      <c r="D1009" s="1182" t="s">
        <v>389</v>
      </c>
      <c r="E1009" s="1182" t="s">
        <v>443</v>
      </c>
      <c r="F1009" s="1263" t="s">
        <v>1292</v>
      </c>
      <c r="G1009" s="1184" t="s">
        <v>483</v>
      </c>
      <c r="H1009" s="1185">
        <v>1500000000</v>
      </c>
      <c r="I1009" s="1266" t="s">
        <v>874</v>
      </c>
      <c r="J1009" s="1186" t="str">
        <f>VLOOKUP($I1009,'Price List, Weapons &amp; Items'!B:C,2,0)</f>
        <v>Heavy weapon</v>
      </c>
      <c r="K1009" s="1186" t="str">
        <f>IF(I1009=".",I1009,VLOOKUP($I1009,'Price List, Weapons &amp; Items'!B:D,3,0))</f>
        <v>Main Battle Tank (MBT)</v>
      </c>
      <c r="L1009" s="1187">
        <f>VLOOKUP(I1009,'Price List, Weapons &amp; Items'!B:E,4,0)</f>
        <v>0</v>
      </c>
      <c r="M1009" s="1188">
        <v>7</v>
      </c>
      <c r="N1009" s="1188" t="s">
        <v>374</v>
      </c>
      <c r="O1009" s="1188">
        <f>VLOOKUP($I1009,'Price List, Weapons &amp; Items'!B:G,6,0)</f>
        <v>2138073.4315492632</v>
      </c>
      <c r="P1009" s="1185">
        <f t="shared" si="210"/>
        <v>14966514.020844843</v>
      </c>
      <c r="Q1009" s="1185" t="str">
        <f t="shared" si="211"/>
        <v>.</v>
      </c>
      <c r="R1009" s="1185" t="str">
        <f t="shared" si="207"/>
        <v/>
      </c>
      <c r="S1009" s="1185" t="str">
        <f>IF(AND(AD1009=1,R1009&lt;&gt;".")=TRUE,R1009/VLOOKUP(G1009,'Exchange Rates'!B:C,2,0),IF(R1009=".",".",""))</f>
        <v/>
      </c>
      <c r="T1009" s="1185" t="str">
        <f>IF(AD1009=1,IF(AF1009="Value is not given at all",".",IF(AF1009="Value is given by the source",S1009,IF(AF1009="Value is calculated with prices",(IF(SUMIFS(Q:Q,A:A,A1009)&gt;0,SUMIFS(Q:Q,A:A,A1009),"."))/VLOOKUP("USD",'Exchange Rates'!B:C,2,0),"Error with coding"))),"")</f>
        <v/>
      </c>
      <c r="U1009" s="1184" t="s">
        <v>365</v>
      </c>
      <c r="V1009" s="980" t="s">
        <v>1293</v>
      </c>
      <c r="W1009" s="980" t="s">
        <v>364</v>
      </c>
      <c r="X1009" s="981" t="s">
        <v>364</v>
      </c>
      <c r="Y1009" s="1190" t="s">
        <v>364</v>
      </c>
      <c r="Z1009" s="1184">
        <v>0</v>
      </c>
      <c r="AA1009" s="1191">
        <v>1</v>
      </c>
      <c r="AB1009" s="1036" t="s">
        <v>364</v>
      </c>
      <c r="AC1009" s="1192" t="str">
        <f>""</f>
        <v/>
      </c>
      <c r="AD1009" s="1193">
        <v>0</v>
      </c>
      <c r="AE1009" s="1193" t="s">
        <v>368</v>
      </c>
      <c r="AF1009" s="1193" t="s">
        <v>369</v>
      </c>
      <c r="AG1009" s="1193">
        <v>1</v>
      </c>
      <c r="AH1009" s="1193">
        <v>16</v>
      </c>
      <c r="AI1009" s="1193">
        <v>0</v>
      </c>
      <c r="AJ1009" s="1193">
        <f>VLOOKUP($I1009,'Price List, Weapons &amp; Items'!B:F,5,0)</f>
        <v>1</v>
      </c>
      <c r="AK1009" s="1193">
        <f t="shared" si="212"/>
        <v>0</v>
      </c>
      <c r="AL1009" s="1193">
        <f t="shared" si="213"/>
        <v>1</v>
      </c>
      <c r="AM1009" s="1193">
        <f t="shared" si="214"/>
        <v>0</v>
      </c>
      <c r="AN1009" s="1194" t="str">
        <f>VLOOKUP($I1009,'Price List, Weapons &amp; Items'!B:L,COLUMN('Price List, Weapons &amp; Items'!$J$11)-1,0)</f>
        <v>Contracts</v>
      </c>
      <c r="AO1009" s="1194" t="str">
        <f>IF(I1009=".",".",VLOOKUP($I1009,'Price List, Weapons &amp; Items'!B:J,3,0))</f>
        <v>Main Battle Tank (MBT)</v>
      </c>
      <c r="AP1009" s="1195" t="str">
        <f t="shared" ca="1" si="208"/>
        <v/>
      </c>
      <c r="AQ1009" s="1194">
        <f>VLOOKUP($I1009,'Price List, Weapons &amp; Items'!B:L,COLUMN('Price List, Weapons &amp; Items'!$L$11)-1,0)</f>
        <v>2</v>
      </c>
      <c r="AR1009" s="1194">
        <f t="shared" si="215"/>
        <v>1</v>
      </c>
      <c r="AS1009" s="1194">
        <f t="shared" si="216"/>
        <v>1</v>
      </c>
      <c r="AT1009" s="1194">
        <f t="shared" si="217"/>
        <v>1</v>
      </c>
      <c r="AU1009" s="1194" t="str">
        <f t="shared" si="218"/>
        <v>.</v>
      </c>
      <c r="AV1009" s="1194" t="str">
        <f t="shared" si="209"/>
        <v>.</v>
      </c>
      <c r="AW1009" s="1194" t="str">
        <f t="shared" si="219"/>
        <v>.</v>
      </c>
      <c r="AX1009" s="1194">
        <f>IFERROR(VLOOKUP(B1009,'Share, Heavy Weapons to Ukraine'!B:Z,COLUMN('Share, Heavy Weapons to Ukraine'!C1019)-1,0),0)</f>
        <v>0</v>
      </c>
      <c r="AY1009" s="1194">
        <f>VLOOKUP('Bilateral Assistance, MAIN DATA'!B1009,'Country Summary (€)'!B:F,COLUMN('Country Summary (€)'!C1020)-1,FALSE)</f>
        <v>1</v>
      </c>
      <c r="AZ1009" s="1194" t="str">
        <f>IF(AND(AD1009=1,D1009="Military",H1009&lt;&gt;"Not given")=TRUE,IF(SUMIFS(P:P,A:A,A1009)&gt;0,ABS((SUMIFS(P:P,A:A,A1009)/VLOOKUP("USD",'Exchange Rates'!B:C,2,0)))/S1009,"."),".")</f>
        <v>.</v>
      </c>
      <c r="BA1009" s="1196" t="str">
        <f>IF(AND(AD1009=1,D1009="Military",H1009&lt;&gt;"Not given")=TRUE,IF(SUMIFS(P:P,A:A,A1009)&gt;0,IF((ABS((SUMIFS(P:P,A:A,A1009)/VLOOKUP("USD",'Exchange Rates'!B:C,2,0)))/S1009)&gt;1,(SUMIFS(P:P,A:A,A1009)-S1009)/S1009,(S1009-SUMIFS(P:P,A:A,A1009))/SUMIFS(P:P,A:A,A1009)),"."),".")</f>
        <v>.</v>
      </c>
    </row>
    <row r="1010" spans="1:53" ht="15.95" customHeight="1">
      <c r="A1010" s="1180" t="s">
        <v>2762</v>
      </c>
      <c r="B1010" s="1180" t="s">
        <v>2693</v>
      </c>
      <c r="C1010" s="1181">
        <v>45069</v>
      </c>
      <c r="D1010" s="1182" t="s">
        <v>389</v>
      </c>
      <c r="E1010" s="1182" t="s">
        <v>443</v>
      </c>
      <c r="F1010" s="1263" t="s">
        <v>2786</v>
      </c>
      <c r="G1010" s="1184" t="s">
        <v>483</v>
      </c>
      <c r="H1010" s="1185">
        <v>1500000000</v>
      </c>
      <c r="I1010" s="1266" t="s">
        <v>2787</v>
      </c>
      <c r="J1010" s="1186" t="str">
        <f>VLOOKUP($I1010,'Price List, Weapons &amp; Items'!B:C,2,0)</f>
        <v>Funding, training, services</v>
      </c>
      <c r="K1010" s="1186" t="str">
        <f>IF(I1010=".",I1010,VLOOKUP($I1010,'Price List, Weapons &amp; Items'!B:D,3,0))</f>
        <v>Funding</v>
      </c>
      <c r="L1010" s="1187">
        <f>VLOOKUP(I1010,'Price List, Weapons &amp; Items'!B:E,4,0)</f>
        <v>0</v>
      </c>
      <c r="M1010" s="1188">
        <v>1</v>
      </c>
      <c r="N1010" s="1188" t="s">
        <v>374</v>
      </c>
      <c r="O1010" s="1188">
        <f>VLOOKUP($I1010,'Price List, Weapons &amp; Items'!B:G,6,0)</f>
        <v>282568000</v>
      </c>
      <c r="P1010" s="1185">
        <f t="shared" si="210"/>
        <v>282568000</v>
      </c>
      <c r="Q1010" s="1185" t="str">
        <f t="shared" si="211"/>
        <v>.</v>
      </c>
      <c r="R1010" s="1185" t="str">
        <f t="shared" si="207"/>
        <v/>
      </c>
      <c r="S1010" s="1185" t="str">
        <f>IF(AND(AD1010=1,R1010&lt;&gt;".")=TRUE,R1010/VLOOKUP(G1010,'Exchange Rates'!B:C,2,0),IF(R1010=".",".",""))</f>
        <v/>
      </c>
      <c r="T1010" s="1185" t="str">
        <f>IF(AD1010=1,IF(AF1010="Value is not given at all",".",IF(AF1010="Value is given by the source",S1010,IF(AF1010="Value is calculated with prices",(IF(SUMIFS(Q:Q,A:A,A1010)&gt;0,SUMIFS(Q:Q,A:A,A1010),"."))/VLOOKUP("USD",'Exchange Rates'!B:C,2,0),"Error with coding"))),"")</f>
        <v/>
      </c>
      <c r="U1010" s="1184" t="s">
        <v>365</v>
      </c>
      <c r="V1010" s="973" t="s">
        <v>2788</v>
      </c>
      <c r="W1010" s="980" t="s">
        <v>1293</v>
      </c>
      <c r="X1010" s="981" t="s">
        <v>364</v>
      </c>
      <c r="Y1010" s="1190" t="s">
        <v>364</v>
      </c>
      <c r="Z1010" s="1184">
        <v>0</v>
      </c>
      <c r="AA1010" s="1191">
        <v>1</v>
      </c>
      <c r="AB1010" s="1036" t="s">
        <v>364</v>
      </c>
      <c r="AC1010" s="1192" t="str">
        <f>""</f>
        <v/>
      </c>
      <c r="AD1010" s="1193">
        <v>0</v>
      </c>
      <c r="AE1010" s="1193" t="s">
        <v>368</v>
      </c>
      <c r="AF1010" s="1193" t="s">
        <v>369</v>
      </c>
      <c r="AG1010" s="1193">
        <v>1</v>
      </c>
      <c r="AH1010" s="1193">
        <v>17</v>
      </c>
      <c r="AI1010" s="1193">
        <v>0</v>
      </c>
      <c r="AJ1010" s="1193">
        <f>VLOOKUP($I1010,'Price List, Weapons &amp; Items'!B:F,5,0)</f>
        <v>0</v>
      </c>
      <c r="AK1010" s="1193">
        <f t="shared" si="212"/>
        <v>0</v>
      </c>
      <c r="AL1010" s="1193">
        <f t="shared" si="213"/>
        <v>0</v>
      </c>
      <c r="AM1010" s="1193">
        <f t="shared" si="214"/>
        <v>1</v>
      </c>
      <c r="AN1010" s="1194" t="str">
        <f>VLOOKUP($I1010,'Price List, Weapons &amp; Items'!B:L,COLUMN('Price List, Weapons &amp; Items'!$J$11)-1,0)</f>
        <v>Government information</v>
      </c>
      <c r="AO1010" s="1194" t="str">
        <f>IF(I1010=".",".",VLOOKUP($I1010,'Price List, Weapons &amp; Items'!B:J,3,0))</f>
        <v>Funding</v>
      </c>
      <c r="AP1010" s="1195" t="str">
        <f t="shared" ca="1" si="208"/>
        <v/>
      </c>
      <c r="AQ1010" s="1194">
        <f>VLOOKUP($I1010,'Price List, Weapons &amp; Items'!B:L,COLUMN('Price List, Weapons &amp; Items'!$L$11)-1,0)</f>
        <v>2</v>
      </c>
      <c r="AR1010" s="1194">
        <f t="shared" si="215"/>
        <v>1</v>
      </c>
      <c r="AS1010" s="1194">
        <f t="shared" si="216"/>
        <v>1</v>
      </c>
      <c r="AT1010" s="1194">
        <f t="shared" si="217"/>
        <v>1</v>
      </c>
      <c r="AU1010" s="1194" t="str">
        <f t="shared" si="218"/>
        <v>.</v>
      </c>
      <c r="AV1010" s="1194" t="str">
        <f t="shared" si="209"/>
        <v>.</v>
      </c>
      <c r="AW1010" s="1194" t="str">
        <f t="shared" si="219"/>
        <v>.</v>
      </c>
      <c r="AX1010" s="1194">
        <f>IFERROR(VLOOKUP(B1010,'Share, Heavy Weapons to Ukraine'!B:Z,COLUMN('Share, Heavy Weapons to Ukraine'!C1020)-1,0),0)</f>
        <v>0</v>
      </c>
      <c r="AY1010" s="1194">
        <f>VLOOKUP('Bilateral Assistance, MAIN DATA'!B1010,'Country Summary (€)'!B:F,COLUMN('Country Summary (€)'!C1021)-1,FALSE)</f>
        <v>1</v>
      </c>
      <c r="AZ1010" s="1194" t="str">
        <f>IF(AND(AD1010=1,D1010="Military",H1010&lt;&gt;"Not given")=TRUE,IF(SUMIFS(P:P,A:A,A1010)&gt;0,ABS((SUMIFS(P:P,A:A,A1010)/VLOOKUP("USD",'Exchange Rates'!B:C,2,0)))/S1010,"."),".")</f>
        <v>.</v>
      </c>
      <c r="BA1010" s="1196" t="str">
        <f>IF(AND(AD1010=1,D1010="Military",H1010&lt;&gt;"Not given")=TRUE,IF(SUMIFS(P:P,A:A,A1010)&gt;0,IF((ABS((SUMIFS(P:P,A:A,A1010)/VLOOKUP("USD",'Exchange Rates'!B:C,2,0)))/S1010)&gt;1,(SUMIFS(P:P,A:A,A1010)-S1010)/S1010,(S1010-SUMIFS(P:P,A:A,A1010))/SUMIFS(P:P,A:A,A1010)),"."),".")</f>
        <v>.</v>
      </c>
    </row>
    <row r="1011" spans="1:53" ht="15.95" customHeight="1">
      <c r="A1011" s="1180" t="s">
        <v>2762</v>
      </c>
      <c r="B1011" s="1180" t="s">
        <v>2693</v>
      </c>
      <c r="C1011" s="1181">
        <v>45076</v>
      </c>
      <c r="D1011" s="1182" t="s">
        <v>389</v>
      </c>
      <c r="E1011" s="1182" t="s">
        <v>443</v>
      </c>
      <c r="F1011" s="1263" t="s">
        <v>2789</v>
      </c>
      <c r="G1011" s="1184" t="s">
        <v>483</v>
      </c>
      <c r="H1011" s="1185">
        <v>1500000000</v>
      </c>
      <c r="I1011" s="1266" t="s">
        <v>2565</v>
      </c>
      <c r="J1011" s="1186" t="str">
        <f>VLOOKUP($I1011,'Price List, Weapons &amp; Items'!B:C,2,0)</f>
        <v>Heavy weapon</v>
      </c>
      <c r="K1011" s="1186" t="str">
        <f>IF(I1011=".",I1011,VLOOKUP($I1011,'Price List, Weapons &amp; Items'!B:D,3,0))</f>
        <v>Self-propelled anti-aircraft weapon</v>
      </c>
      <c r="L1011" s="1187">
        <f>VLOOKUP(I1011,'Price List, Weapons &amp; Items'!B:E,4,0)</f>
        <v>0</v>
      </c>
      <c r="M1011" s="1188">
        <v>14</v>
      </c>
      <c r="N1011" s="1188" t="s">
        <v>374</v>
      </c>
      <c r="O1011" s="1188">
        <f>VLOOKUP($I1011,'Price List, Weapons &amp; Items'!B:G,6,0)</f>
        <v>164939.43083244559</v>
      </c>
      <c r="P1011" s="1185">
        <f t="shared" si="210"/>
        <v>2309152.0316542382</v>
      </c>
      <c r="Q1011" s="1185" t="str">
        <f t="shared" si="211"/>
        <v>.</v>
      </c>
      <c r="R1011" s="1185" t="str">
        <f t="shared" si="207"/>
        <v/>
      </c>
      <c r="S1011" s="1185" t="str">
        <f>IF(AND(AD1011=1,R1011&lt;&gt;".")=TRUE,R1011/VLOOKUP(G1011,'Exchange Rates'!B:C,2,0),IF(R1011=".",".",""))</f>
        <v/>
      </c>
      <c r="T1011" s="1185" t="str">
        <f>IF(AD1011=1,IF(AF1011="Value is not given at all",".",IF(AF1011="Value is given by the source",S1011,IF(AF1011="Value is calculated with prices",(IF(SUMIFS(Q:Q,A:A,A1011)&gt;0,SUMIFS(Q:Q,A:A,A1011),"."))/VLOOKUP("USD",'Exchange Rates'!B:C,2,0),"Error with coding"))),"")</f>
        <v/>
      </c>
      <c r="U1011" s="1184" t="s">
        <v>365</v>
      </c>
      <c r="V1011" s="980" t="s">
        <v>2716</v>
      </c>
      <c r="W1011" s="980" t="s">
        <v>364</v>
      </c>
      <c r="X1011" s="981" t="s">
        <v>364</v>
      </c>
      <c r="Y1011" s="1190" t="s">
        <v>364</v>
      </c>
      <c r="Z1011" s="1184">
        <v>0</v>
      </c>
      <c r="AA1011" s="1191">
        <v>1</v>
      </c>
      <c r="AB1011" s="1036" t="s">
        <v>364</v>
      </c>
      <c r="AC1011" s="1192" t="str">
        <f>""</f>
        <v/>
      </c>
      <c r="AD1011" s="1193">
        <v>0</v>
      </c>
      <c r="AE1011" s="1193" t="s">
        <v>368</v>
      </c>
      <c r="AF1011" s="1193" t="s">
        <v>369</v>
      </c>
      <c r="AG1011" s="1193">
        <v>1</v>
      </c>
      <c r="AH1011" s="1193">
        <v>17</v>
      </c>
      <c r="AI1011" s="1193">
        <v>0</v>
      </c>
      <c r="AJ1011" s="1193">
        <f>VLOOKUP($I1011,'Price List, Weapons &amp; Items'!B:F,5,0)</f>
        <v>0</v>
      </c>
      <c r="AK1011" s="1193">
        <f t="shared" si="212"/>
        <v>0</v>
      </c>
      <c r="AL1011" s="1193">
        <f t="shared" si="213"/>
        <v>0</v>
      </c>
      <c r="AM1011" s="1193">
        <f t="shared" si="214"/>
        <v>0</v>
      </c>
      <c r="AN1011" s="1194" t="str">
        <f>VLOOKUP($I1011,'Price List, Weapons &amp; Items'!B:L,COLUMN('Price List, Weapons &amp; Items'!$J$11)-1,0)</f>
        <v>Government information</v>
      </c>
      <c r="AO1011" s="1194" t="str">
        <f>IF(I1011=".",".",VLOOKUP($I1011,'Price List, Weapons &amp; Items'!B:J,3,0))</f>
        <v>Self-propelled anti-aircraft weapon</v>
      </c>
      <c r="AP1011" s="1195" t="str">
        <f t="shared" ca="1" si="208"/>
        <v/>
      </c>
      <c r="AQ1011" s="1194">
        <f>VLOOKUP($I1011,'Price List, Weapons &amp; Items'!B:L,COLUMN('Price List, Weapons &amp; Items'!$L$11)-1,0)</f>
        <v>2</v>
      </c>
      <c r="AR1011" s="1194">
        <f t="shared" si="215"/>
        <v>1</v>
      </c>
      <c r="AS1011" s="1194">
        <f t="shared" si="216"/>
        <v>1</v>
      </c>
      <c r="AT1011" s="1194">
        <f t="shared" si="217"/>
        <v>1</v>
      </c>
      <c r="AU1011" s="1194" t="str">
        <f t="shared" si="218"/>
        <v>.</v>
      </c>
      <c r="AV1011" s="1194" t="str">
        <f t="shared" si="209"/>
        <v>.</v>
      </c>
      <c r="AW1011" s="1194" t="str">
        <f t="shared" si="219"/>
        <v>.</v>
      </c>
      <c r="AX1011" s="1194">
        <f>IFERROR(VLOOKUP(B1011,'Share, Heavy Weapons to Ukraine'!B:Z,COLUMN('Share, Heavy Weapons to Ukraine'!C1021)-1,0),0)</f>
        <v>0</v>
      </c>
      <c r="AY1011" s="1194">
        <f>VLOOKUP('Bilateral Assistance, MAIN DATA'!B1011,'Country Summary (€)'!B:F,COLUMN('Country Summary (€)'!C1022)-1,FALSE)</f>
        <v>1</v>
      </c>
      <c r="AZ1011" s="1194" t="str">
        <f>IF(AND(AD1011=1,D1011="Military",H1011&lt;&gt;"Not given")=TRUE,IF(SUMIFS(P:P,A:A,A1011)&gt;0,ABS((SUMIFS(P:P,A:A,A1011)/VLOOKUP("USD",'Exchange Rates'!B:C,2,0)))/S1011,"."),".")</f>
        <v>.</v>
      </c>
      <c r="BA1011" s="1196" t="str">
        <f>IF(AND(AD1011=1,D1011="Military",H1011&lt;&gt;"Not given")=TRUE,IF(SUMIFS(P:P,A:A,A1011)&gt;0,IF((ABS((SUMIFS(P:P,A:A,A1011)/VLOOKUP("USD",'Exchange Rates'!B:C,2,0)))/S1011)&gt;1,(SUMIFS(P:P,A:A,A1011)-S1011)/S1011,(S1011-SUMIFS(P:P,A:A,A1011))/SUMIFS(P:P,A:A,A1011)),"."),".")</f>
        <v>.</v>
      </c>
    </row>
    <row r="1012" spans="1:53" ht="15.95" customHeight="1">
      <c r="A1012" s="1180" t="s">
        <v>2762</v>
      </c>
      <c r="B1012" s="1180" t="s">
        <v>2693</v>
      </c>
      <c r="C1012" s="1181">
        <v>45076</v>
      </c>
      <c r="D1012" s="1182" t="s">
        <v>389</v>
      </c>
      <c r="E1012" s="1182" t="s">
        <v>443</v>
      </c>
      <c r="F1012" s="1263" t="s">
        <v>2789</v>
      </c>
      <c r="G1012" s="1184" t="s">
        <v>483</v>
      </c>
      <c r="H1012" s="1185">
        <v>1500000000</v>
      </c>
      <c r="I1012" s="1266" t="s">
        <v>2778</v>
      </c>
      <c r="J1012" s="1186" t="str">
        <f>VLOOKUP($I1012,'Price List, Weapons &amp; Items'!B:C,2,0)</f>
        <v>Military equipment</v>
      </c>
      <c r="K1012" s="1186" t="str">
        <f>IF(I1012=".",I1012,VLOOKUP($I1012,'Price List, Weapons &amp; Items'!B:D,3,0))</f>
        <v>Military equipment</v>
      </c>
      <c r="L1012" s="1187">
        <f>VLOOKUP(I1012,'Price List, Weapons &amp; Items'!B:E,4,0)</f>
        <v>0</v>
      </c>
      <c r="M1012" s="1188">
        <v>3</v>
      </c>
      <c r="N1012" s="1188" t="s">
        <v>374</v>
      </c>
      <c r="O1012" s="1188">
        <f>VLOOKUP($I1012,'Price List, Weapons &amp; Items'!B:G,6,0)</f>
        <v>30905</v>
      </c>
      <c r="P1012" s="1185">
        <f t="shared" si="210"/>
        <v>92715</v>
      </c>
      <c r="Q1012" s="1185" t="str">
        <f t="shared" si="211"/>
        <v>.</v>
      </c>
      <c r="R1012" s="1185" t="str">
        <f t="shared" si="207"/>
        <v/>
      </c>
      <c r="S1012" s="1185" t="str">
        <f>IF(AND(AD1012=1,R1012&lt;&gt;".")=TRUE,R1012/VLOOKUP(G1012,'Exchange Rates'!B:C,2,0),IF(R1012=".",".",""))</f>
        <v/>
      </c>
      <c r="T1012" s="1185" t="str">
        <f>IF(AD1012=1,IF(AF1012="Value is not given at all",".",IF(AF1012="Value is given by the source",S1012,IF(AF1012="Value is calculated with prices",(IF(SUMIFS(Q:Q,A:A,A1012)&gt;0,SUMIFS(Q:Q,A:A,A1012),"."))/VLOOKUP("USD",'Exchange Rates'!B:C,2,0),"Error with coding"))),"")</f>
        <v/>
      </c>
      <c r="U1012" s="1184" t="s">
        <v>365</v>
      </c>
      <c r="V1012" s="980" t="s">
        <v>2716</v>
      </c>
      <c r="W1012" s="980" t="s">
        <v>364</v>
      </c>
      <c r="X1012" s="981" t="s">
        <v>364</v>
      </c>
      <c r="Y1012" s="1190" t="s">
        <v>364</v>
      </c>
      <c r="Z1012" s="1184">
        <v>0</v>
      </c>
      <c r="AA1012" s="1191">
        <v>1</v>
      </c>
      <c r="AB1012" s="1036" t="s">
        <v>364</v>
      </c>
      <c r="AC1012" s="1192" t="str">
        <f>""</f>
        <v/>
      </c>
      <c r="AD1012" s="1193">
        <v>0</v>
      </c>
      <c r="AE1012" s="1193" t="s">
        <v>368</v>
      </c>
      <c r="AF1012" s="1193" t="s">
        <v>369</v>
      </c>
      <c r="AG1012" s="1193">
        <v>1</v>
      </c>
      <c r="AH1012" s="1193">
        <v>17</v>
      </c>
      <c r="AI1012" s="1193">
        <v>0</v>
      </c>
      <c r="AJ1012" s="1193">
        <f>VLOOKUP($I1012,'Price List, Weapons &amp; Items'!B:F,5,0)</f>
        <v>0</v>
      </c>
      <c r="AK1012" s="1193">
        <f t="shared" si="212"/>
        <v>0</v>
      </c>
      <c r="AL1012" s="1193">
        <f t="shared" si="213"/>
        <v>0</v>
      </c>
      <c r="AM1012" s="1193">
        <f t="shared" si="214"/>
        <v>0</v>
      </c>
      <c r="AN1012" s="1194" t="str">
        <f>VLOOKUP($I1012,'Price List, Weapons &amp; Items'!B:L,COLUMN('Price List, Weapons &amp; Items'!$J$11)-1,0)</f>
        <v>Online marketplaces and stores</v>
      </c>
      <c r="AO1012" s="1194" t="str">
        <f>IF(I1012=".",".",VLOOKUP($I1012,'Price List, Weapons &amp; Items'!B:J,3,0))</f>
        <v>Military equipment</v>
      </c>
      <c r="AP1012" s="1195" t="str">
        <f t="shared" ca="1" si="208"/>
        <v/>
      </c>
      <c r="AQ1012" s="1194">
        <f>VLOOKUP($I1012,'Price List, Weapons &amp; Items'!B:L,COLUMN('Price List, Weapons &amp; Items'!$L$11)-1,0)</f>
        <v>1</v>
      </c>
      <c r="AR1012" s="1194">
        <f t="shared" si="215"/>
        <v>1</v>
      </c>
      <c r="AS1012" s="1194">
        <f t="shared" si="216"/>
        <v>1</v>
      </c>
      <c r="AT1012" s="1194">
        <f t="shared" si="217"/>
        <v>1</v>
      </c>
      <c r="AU1012" s="1194" t="str">
        <f t="shared" si="218"/>
        <v>.</v>
      </c>
      <c r="AV1012" s="1194" t="str">
        <f t="shared" si="209"/>
        <v>.</v>
      </c>
      <c r="AW1012" s="1194" t="str">
        <f t="shared" si="219"/>
        <v>.</v>
      </c>
      <c r="AX1012" s="1194">
        <f>IFERROR(VLOOKUP(B1012,'Share, Heavy Weapons to Ukraine'!B:Z,COLUMN('Share, Heavy Weapons to Ukraine'!C1022)-1,0),0)</f>
        <v>0</v>
      </c>
      <c r="AY1012" s="1194">
        <f>VLOOKUP('Bilateral Assistance, MAIN DATA'!B1012,'Country Summary (€)'!B:F,COLUMN('Country Summary (€)'!C1023)-1,FALSE)</f>
        <v>1</v>
      </c>
      <c r="AZ1012" s="1194" t="str">
        <f>IF(AND(AD1012=1,D1012="Military",H1012&lt;&gt;"Not given")=TRUE,IF(SUMIFS(P:P,A:A,A1012)&gt;0,ABS((SUMIFS(P:P,A:A,A1012)/VLOOKUP("USD",'Exchange Rates'!B:C,2,0)))/S1012,"."),".")</f>
        <v>.</v>
      </c>
      <c r="BA1012" s="1196" t="str">
        <f>IF(AND(AD1012=1,D1012="Military",H1012&lt;&gt;"Not given")=TRUE,IF(SUMIFS(P:P,A:A,A1012)&gt;0,IF((ABS((SUMIFS(P:P,A:A,A1012)/VLOOKUP("USD",'Exchange Rates'!B:C,2,0)))/S1012)&gt;1,(SUMIFS(P:P,A:A,A1012)-S1012)/S1012,(S1012-SUMIFS(P:P,A:A,A1012))/SUMIFS(P:P,A:A,A1012)),"."),".")</f>
        <v>.</v>
      </c>
    </row>
    <row r="1013" spans="1:53" ht="15.95" customHeight="1">
      <c r="A1013" s="1180" t="s">
        <v>2762</v>
      </c>
      <c r="B1013" s="1180" t="s">
        <v>2693</v>
      </c>
      <c r="C1013" s="1181">
        <v>45076</v>
      </c>
      <c r="D1013" s="1182" t="s">
        <v>389</v>
      </c>
      <c r="E1013" s="1182" t="s">
        <v>443</v>
      </c>
      <c r="F1013" s="1263" t="s">
        <v>2789</v>
      </c>
      <c r="G1013" s="1184" t="s">
        <v>483</v>
      </c>
      <c r="H1013" s="1185">
        <v>1500000000</v>
      </c>
      <c r="I1013" s="1266" t="s">
        <v>2780</v>
      </c>
      <c r="J1013" s="1186" t="str">
        <f>VLOOKUP($I1013,'Price List, Weapons &amp; Items'!B:C,2,0)</f>
        <v>Military equipment</v>
      </c>
      <c r="K1013" s="1186" t="str">
        <f>IF(I1013=".",I1013,VLOOKUP($I1013,'Price List, Weapons &amp; Items'!B:D,3,0))</f>
        <v>non combat military vehicle</v>
      </c>
      <c r="L1013" s="1187">
        <f>VLOOKUP(I1013,'Price List, Weapons &amp; Items'!B:E,4,0)</f>
        <v>0</v>
      </c>
      <c r="M1013" s="1188">
        <v>186</v>
      </c>
      <c r="N1013" s="1188" t="s">
        <v>374</v>
      </c>
      <c r="O1013" s="1188">
        <f>VLOOKUP($I1013,'Price List, Weapons &amp; Items'!B:G,6,0)</f>
        <v>238581.01733333335</v>
      </c>
      <c r="P1013" s="1185">
        <f t="shared" si="210"/>
        <v>44376069.224000007</v>
      </c>
      <c r="Q1013" s="1185" t="str">
        <f t="shared" si="211"/>
        <v>.</v>
      </c>
      <c r="R1013" s="1185" t="str">
        <f t="shared" si="207"/>
        <v/>
      </c>
      <c r="S1013" s="1185" t="str">
        <f>IF(AND(AD1013=1,R1013&lt;&gt;".")=TRUE,R1013/VLOOKUP(G1013,'Exchange Rates'!B:C,2,0),IF(R1013=".",".",""))</f>
        <v/>
      </c>
      <c r="T1013" s="1185" t="str">
        <f>IF(AD1013=1,IF(AF1013="Value is not given at all",".",IF(AF1013="Value is given by the source",S1013,IF(AF1013="Value is calculated with prices",(IF(SUMIFS(Q:Q,A:A,A1013)&gt;0,SUMIFS(Q:Q,A:A,A1013),"."))/VLOOKUP("USD",'Exchange Rates'!B:C,2,0),"Error with coding"))),"")</f>
        <v/>
      </c>
      <c r="U1013" s="1184" t="s">
        <v>365</v>
      </c>
      <c r="V1013" s="980" t="s">
        <v>2716</v>
      </c>
      <c r="W1013" s="980" t="s">
        <v>364</v>
      </c>
      <c r="X1013" s="981" t="s">
        <v>364</v>
      </c>
      <c r="Y1013" s="1190" t="s">
        <v>364</v>
      </c>
      <c r="Z1013" s="1184">
        <v>0</v>
      </c>
      <c r="AA1013" s="1191">
        <v>1</v>
      </c>
      <c r="AB1013" s="1036" t="s">
        <v>364</v>
      </c>
      <c r="AC1013" s="1192" t="str">
        <f>""</f>
        <v/>
      </c>
      <c r="AD1013" s="1193">
        <v>0</v>
      </c>
      <c r="AE1013" s="1193" t="s">
        <v>368</v>
      </c>
      <c r="AF1013" s="1193" t="s">
        <v>369</v>
      </c>
      <c r="AG1013" s="1193">
        <v>1</v>
      </c>
      <c r="AH1013" s="1193">
        <v>17</v>
      </c>
      <c r="AI1013" s="1193">
        <v>0</v>
      </c>
      <c r="AJ1013" s="1193">
        <f>VLOOKUP($I1013,'Price List, Weapons &amp; Items'!B:F,5,0)</f>
        <v>0</v>
      </c>
      <c r="AK1013" s="1193">
        <f t="shared" si="212"/>
        <v>0</v>
      </c>
      <c r="AL1013" s="1193">
        <f t="shared" si="213"/>
        <v>0</v>
      </c>
      <c r="AM1013" s="1193">
        <f t="shared" si="214"/>
        <v>0</v>
      </c>
      <c r="AN1013" s="1194" t="str">
        <f>VLOOKUP($I1013,'Price List, Weapons &amp; Items'!B:L,COLUMN('Price List, Weapons &amp; Items'!$J$11)-1,0)</f>
        <v>Online marketplaces and stores</v>
      </c>
      <c r="AO1013" s="1194" t="str">
        <f>IF(I1013=".",".",VLOOKUP($I1013,'Price List, Weapons &amp; Items'!B:J,3,0))</f>
        <v>non combat military vehicle</v>
      </c>
      <c r="AP1013" s="1195" t="str">
        <f t="shared" ca="1" si="208"/>
        <v/>
      </c>
      <c r="AQ1013" s="1194">
        <f>VLOOKUP($I1013,'Price List, Weapons &amp; Items'!B:L,COLUMN('Price List, Weapons &amp; Items'!$L$11)-1,0)</f>
        <v>2</v>
      </c>
      <c r="AR1013" s="1194">
        <f t="shared" si="215"/>
        <v>1</v>
      </c>
      <c r="AS1013" s="1194">
        <f t="shared" si="216"/>
        <v>1</v>
      </c>
      <c r="AT1013" s="1194">
        <f t="shared" si="217"/>
        <v>1</v>
      </c>
      <c r="AU1013" s="1194" t="str">
        <f t="shared" si="218"/>
        <v>.</v>
      </c>
      <c r="AV1013" s="1194" t="str">
        <f t="shared" si="209"/>
        <v>.</v>
      </c>
      <c r="AW1013" s="1194" t="str">
        <f t="shared" si="219"/>
        <v>.</v>
      </c>
      <c r="AX1013" s="1194">
        <f>IFERROR(VLOOKUP(B1013,'Share, Heavy Weapons to Ukraine'!B:Z,COLUMN('Share, Heavy Weapons to Ukraine'!C1023)-1,0),0)</f>
        <v>0</v>
      </c>
      <c r="AY1013" s="1194">
        <f>VLOOKUP('Bilateral Assistance, MAIN DATA'!B1013,'Country Summary (€)'!B:F,COLUMN('Country Summary (€)'!C1024)-1,FALSE)</f>
        <v>1</v>
      </c>
      <c r="AZ1013" s="1194" t="str">
        <f>IF(AND(AD1013=1,D1013="Military",H1013&lt;&gt;"Not given")=TRUE,IF(SUMIFS(P:P,A:A,A1013)&gt;0,ABS((SUMIFS(P:P,A:A,A1013)/VLOOKUP("USD",'Exchange Rates'!B:C,2,0)))/S1013,"."),".")</f>
        <v>.</v>
      </c>
      <c r="BA1013" s="1196" t="str">
        <f>IF(AND(AD1013=1,D1013="Military",H1013&lt;&gt;"Not given")=TRUE,IF(SUMIFS(P:P,A:A,A1013)&gt;0,IF((ABS((SUMIFS(P:P,A:A,A1013)/VLOOKUP("USD",'Exchange Rates'!B:C,2,0)))/S1013)&gt;1,(SUMIFS(P:P,A:A,A1013)-S1013)/S1013,(S1013-SUMIFS(P:P,A:A,A1013))/SUMIFS(P:P,A:A,A1013)),"."),".")</f>
        <v>.</v>
      </c>
    </row>
    <row r="1014" spans="1:53" ht="15.95" customHeight="1">
      <c r="A1014" s="1180" t="s">
        <v>2762</v>
      </c>
      <c r="B1014" s="1180" t="s">
        <v>2693</v>
      </c>
      <c r="C1014" s="1181">
        <v>45076</v>
      </c>
      <c r="D1014" s="1182" t="s">
        <v>389</v>
      </c>
      <c r="E1014" s="1182" t="s">
        <v>443</v>
      </c>
      <c r="F1014" s="1263" t="s">
        <v>2789</v>
      </c>
      <c r="G1014" s="1184" t="s">
        <v>483</v>
      </c>
      <c r="H1014" s="1185">
        <v>1500000000</v>
      </c>
      <c r="I1014" s="1266" t="s">
        <v>2782</v>
      </c>
      <c r="J1014" s="1186" t="str">
        <f>VLOOKUP($I1014,'Price List, Weapons &amp; Items'!B:C,2,0)</f>
        <v>Military equipment</v>
      </c>
      <c r="K1014" s="1186" t="str">
        <f>IF(I1014=".",I1014,VLOOKUP($I1014,'Price List, Weapons &amp; Items'!B:D,3,0))</f>
        <v>Military equipment</v>
      </c>
      <c r="L1014" s="1187">
        <f>VLOOKUP(I1014,'Price List, Weapons &amp; Items'!B:E,4,0)</f>
        <v>0</v>
      </c>
      <c r="M1014" s="1188">
        <v>1</v>
      </c>
      <c r="N1014" s="1188" t="s">
        <v>374</v>
      </c>
      <c r="O1014" s="1188">
        <f>VLOOKUP($I1014,'Price List, Weapons &amp; Items'!B:G,6,0)</f>
        <v>1901900</v>
      </c>
      <c r="P1014" s="1185">
        <f t="shared" si="210"/>
        <v>1901900</v>
      </c>
      <c r="Q1014" s="1185" t="str">
        <f t="shared" si="211"/>
        <v>.</v>
      </c>
      <c r="R1014" s="1185" t="str">
        <f t="shared" si="207"/>
        <v/>
      </c>
      <c r="S1014" s="1185" t="str">
        <f>IF(AND(AD1014=1,R1014&lt;&gt;".")=TRUE,R1014/VLOOKUP(G1014,'Exchange Rates'!B:C,2,0),IF(R1014=".",".",""))</f>
        <v/>
      </c>
      <c r="T1014" s="1185" t="str">
        <f>IF(AD1014=1,IF(AF1014="Value is not given at all",".",IF(AF1014="Value is given by the source",S1014,IF(AF1014="Value is calculated with prices",(IF(SUMIFS(Q:Q,A:A,A1014)&gt;0,SUMIFS(Q:Q,A:A,A1014),"."))/VLOOKUP("USD",'Exchange Rates'!B:C,2,0),"Error with coding"))),"")</f>
        <v/>
      </c>
      <c r="U1014" s="1184" t="s">
        <v>365</v>
      </c>
      <c r="V1014" s="980" t="s">
        <v>2716</v>
      </c>
      <c r="W1014" s="980" t="s">
        <v>364</v>
      </c>
      <c r="X1014" s="981" t="s">
        <v>364</v>
      </c>
      <c r="Y1014" s="1190" t="s">
        <v>364</v>
      </c>
      <c r="Z1014" s="1184">
        <v>0</v>
      </c>
      <c r="AA1014" s="1191">
        <v>1</v>
      </c>
      <c r="AB1014" s="1036" t="s">
        <v>364</v>
      </c>
      <c r="AC1014" s="1192" t="str">
        <f>""</f>
        <v/>
      </c>
      <c r="AD1014" s="1193">
        <v>0</v>
      </c>
      <c r="AE1014" s="1193" t="s">
        <v>368</v>
      </c>
      <c r="AF1014" s="1193" t="s">
        <v>369</v>
      </c>
      <c r="AG1014" s="1193">
        <v>1</v>
      </c>
      <c r="AH1014" s="1193">
        <v>17</v>
      </c>
      <c r="AI1014" s="1193">
        <v>0</v>
      </c>
      <c r="AJ1014" s="1193">
        <f>VLOOKUP($I1014,'Price List, Weapons &amp; Items'!B:F,5,0)</f>
        <v>0</v>
      </c>
      <c r="AK1014" s="1193">
        <f t="shared" si="212"/>
        <v>0</v>
      </c>
      <c r="AL1014" s="1193">
        <f t="shared" si="213"/>
        <v>0</v>
      </c>
      <c r="AM1014" s="1193">
        <f t="shared" si="214"/>
        <v>0</v>
      </c>
      <c r="AN1014" s="1194" t="str">
        <f>VLOOKUP($I1014,'Price List, Weapons &amp; Items'!B:L,COLUMN('Price List, Weapons &amp; Items'!$J$11)-1,0)</f>
        <v>Manufacturer price</v>
      </c>
      <c r="AO1014" s="1194" t="str">
        <f>IF(I1014=".",".",VLOOKUP($I1014,'Price List, Weapons &amp; Items'!B:J,3,0))</f>
        <v>Military equipment</v>
      </c>
      <c r="AP1014" s="1195" t="str">
        <f t="shared" ca="1" si="208"/>
        <v/>
      </c>
      <c r="AQ1014" s="1194">
        <f>VLOOKUP($I1014,'Price List, Weapons &amp; Items'!B:L,COLUMN('Price List, Weapons &amp; Items'!$L$11)-1,0)</f>
        <v>2</v>
      </c>
      <c r="AR1014" s="1194">
        <f t="shared" si="215"/>
        <v>1</v>
      </c>
      <c r="AS1014" s="1194">
        <f t="shared" si="216"/>
        <v>1</v>
      </c>
      <c r="AT1014" s="1194">
        <f t="shared" si="217"/>
        <v>1</v>
      </c>
      <c r="AU1014" s="1194" t="str">
        <f t="shared" si="218"/>
        <v>.</v>
      </c>
      <c r="AV1014" s="1194" t="str">
        <f t="shared" si="209"/>
        <v>.</v>
      </c>
      <c r="AW1014" s="1194" t="str">
        <f t="shared" si="219"/>
        <v>.</v>
      </c>
      <c r="AX1014" s="1194">
        <f>IFERROR(VLOOKUP(B1014,'Share, Heavy Weapons to Ukraine'!B:Z,COLUMN('Share, Heavy Weapons to Ukraine'!C1024)-1,0),0)</f>
        <v>0</v>
      </c>
      <c r="AY1014" s="1194">
        <f>VLOOKUP('Bilateral Assistance, MAIN DATA'!B1014,'Country Summary (€)'!B:F,COLUMN('Country Summary (€)'!C1025)-1,FALSE)</f>
        <v>1</v>
      </c>
      <c r="AZ1014" s="1194" t="str">
        <f>IF(AND(AD1014=1,D1014="Military",H1014&lt;&gt;"Not given")=TRUE,IF(SUMIFS(P:P,A:A,A1014)&gt;0,ABS((SUMIFS(P:P,A:A,A1014)/VLOOKUP("USD",'Exchange Rates'!B:C,2,0)))/S1014,"."),".")</f>
        <v>.</v>
      </c>
      <c r="BA1014" s="1196" t="str">
        <f>IF(AND(AD1014=1,D1014="Military",H1014&lt;&gt;"Not given")=TRUE,IF(SUMIFS(P:P,A:A,A1014)&gt;0,IF((ABS((SUMIFS(P:P,A:A,A1014)/VLOOKUP("USD",'Exchange Rates'!B:C,2,0)))/S1014)&gt;1,(SUMIFS(P:P,A:A,A1014)-S1014)/S1014,(S1014-SUMIFS(P:P,A:A,A1014))/SUMIFS(P:P,A:A,A1014)),"."),".")</f>
        <v>.</v>
      </c>
    </row>
    <row r="1015" spans="1:53" ht="15.95" customHeight="1">
      <c r="A1015" s="1180" t="s">
        <v>2762</v>
      </c>
      <c r="B1015" s="1180" t="s">
        <v>2693</v>
      </c>
      <c r="C1015" s="1181">
        <v>45076</v>
      </c>
      <c r="D1015" s="1182" t="s">
        <v>389</v>
      </c>
      <c r="E1015" s="1182" t="s">
        <v>443</v>
      </c>
      <c r="F1015" s="1263" t="s">
        <v>2789</v>
      </c>
      <c r="G1015" s="1184" t="s">
        <v>483</v>
      </c>
      <c r="H1015" s="1185">
        <v>1500000000</v>
      </c>
      <c r="I1015" s="1266" t="s">
        <v>1828</v>
      </c>
      <c r="J1015" s="1186" t="str">
        <f>VLOOKUP($I1015,'Price List, Weapons &amp; Items'!B:C,2,0)</f>
        <v>Military equipment</v>
      </c>
      <c r="K1015" s="1186" t="str">
        <f>IF(I1015=".",I1015,VLOOKUP($I1015,'Price List, Weapons &amp; Items'!B:D,3,0))</f>
        <v>non combat military vehicle</v>
      </c>
      <c r="L1015" s="1187">
        <f>VLOOKUP(I1015,'Price List, Weapons &amp; Items'!B:E,4,0)</f>
        <v>0</v>
      </c>
      <c r="M1015" s="1188">
        <v>4</v>
      </c>
      <c r="N1015" s="1188" t="s">
        <v>374</v>
      </c>
      <c r="O1015" s="1188">
        <f>VLOOKUP($I1015,'Price List, Weapons &amp; Items'!B:G,6,0)</f>
        <v>32500</v>
      </c>
      <c r="P1015" s="1185">
        <f t="shared" si="210"/>
        <v>130000</v>
      </c>
      <c r="Q1015" s="1185" t="str">
        <f t="shared" si="211"/>
        <v>.</v>
      </c>
      <c r="R1015" s="1185" t="str">
        <f t="shared" si="207"/>
        <v/>
      </c>
      <c r="S1015" s="1185" t="str">
        <f>IF(AND(AD1015=1,R1015&lt;&gt;".")=TRUE,R1015/VLOOKUP(G1015,'Exchange Rates'!B:C,2,0),IF(R1015=".",".",""))</f>
        <v/>
      </c>
      <c r="T1015" s="1185" t="str">
        <f>IF(AD1015=1,IF(AF1015="Value is not given at all",".",IF(AF1015="Value is given by the source",S1015,IF(AF1015="Value is calculated with prices",(IF(SUMIFS(Q:Q,A:A,A1015)&gt;0,SUMIFS(Q:Q,A:A,A1015),"."))/VLOOKUP("USD",'Exchange Rates'!B:C,2,0),"Error with coding"))),"")</f>
        <v/>
      </c>
      <c r="U1015" s="1184" t="s">
        <v>365</v>
      </c>
      <c r="V1015" s="980" t="s">
        <v>2716</v>
      </c>
      <c r="W1015" s="980" t="s">
        <v>364</v>
      </c>
      <c r="X1015" s="981" t="s">
        <v>364</v>
      </c>
      <c r="Y1015" s="1190" t="s">
        <v>364</v>
      </c>
      <c r="Z1015" s="1184">
        <v>0</v>
      </c>
      <c r="AA1015" s="1191">
        <v>1</v>
      </c>
      <c r="AB1015" s="1036" t="s">
        <v>364</v>
      </c>
      <c r="AC1015" s="1192" t="str">
        <f>""</f>
        <v/>
      </c>
      <c r="AD1015" s="1193">
        <v>0</v>
      </c>
      <c r="AE1015" s="1193" t="s">
        <v>368</v>
      </c>
      <c r="AF1015" s="1193" t="s">
        <v>369</v>
      </c>
      <c r="AG1015" s="1193">
        <v>1</v>
      </c>
      <c r="AH1015" s="1193">
        <v>17</v>
      </c>
      <c r="AI1015" s="1193">
        <v>0</v>
      </c>
      <c r="AJ1015" s="1193">
        <f>VLOOKUP($I1015,'Price List, Weapons &amp; Items'!B:F,5,0)</f>
        <v>0</v>
      </c>
      <c r="AK1015" s="1193">
        <f t="shared" si="212"/>
        <v>0</v>
      </c>
      <c r="AL1015" s="1193">
        <f t="shared" si="213"/>
        <v>0</v>
      </c>
      <c r="AM1015" s="1193">
        <f t="shared" si="214"/>
        <v>0</v>
      </c>
      <c r="AN1015" s="1194" t="str">
        <f>VLOOKUP($I1015,'Price List, Weapons &amp; Items'!B:L,COLUMN('Price List, Weapons &amp; Items'!$J$11)-1,0)</f>
        <v>Online marketplaces and stores</v>
      </c>
      <c r="AO1015" s="1194" t="str">
        <f>IF(I1015=".",".",VLOOKUP($I1015,'Price List, Weapons &amp; Items'!B:J,3,0))</f>
        <v>non combat military vehicle</v>
      </c>
      <c r="AP1015" s="1195" t="str">
        <f t="shared" ca="1" si="208"/>
        <v/>
      </c>
      <c r="AQ1015" s="1194">
        <f>VLOOKUP($I1015,'Price List, Weapons &amp; Items'!B:L,COLUMN('Price List, Weapons &amp; Items'!$L$11)-1,0)</f>
        <v>1</v>
      </c>
      <c r="AR1015" s="1194">
        <f t="shared" si="215"/>
        <v>1</v>
      </c>
      <c r="AS1015" s="1194">
        <f t="shared" si="216"/>
        <v>1</v>
      </c>
      <c r="AT1015" s="1194">
        <f t="shared" si="217"/>
        <v>1</v>
      </c>
      <c r="AU1015" s="1194" t="str">
        <f t="shared" si="218"/>
        <v>.</v>
      </c>
      <c r="AV1015" s="1194" t="str">
        <f t="shared" si="209"/>
        <v>.</v>
      </c>
      <c r="AW1015" s="1194" t="str">
        <f t="shared" si="219"/>
        <v>.</v>
      </c>
      <c r="AX1015" s="1194">
        <f>IFERROR(VLOOKUP(B1015,'Share, Heavy Weapons to Ukraine'!B:Z,COLUMN('Share, Heavy Weapons to Ukraine'!C1025)-1,0),0)</f>
        <v>0</v>
      </c>
      <c r="AY1015" s="1194">
        <f>VLOOKUP('Bilateral Assistance, MAIN DATA'!B1015,'Country Summary (€)'!B:F,COLUMN('Country Summary (€)'!C1026)-1,FALSE)</f>
        <v>1</v>
      </c>
      <c r="AZ1015" s="1194" t="str">
        <f>IF(AND(AD1015=1,D1015="Military",H1015&lt;&gt;"Not given")=TRUE,IF(SUMIFS(P:P,A:A,A1015)&gt;0,ABS((SUMIFS(P:P,A:A,A1015)/VLOOKUP("USD",'Exchange Rates'!B:C,2,0)))/S1015,"."),".")</f>
        <v>.</v>
      </c>
      <c r="BA1015" s="1196" t="str">
        <f>IF(AND(AD1015=1,D1015="Military",H1015&lt;&gt;"Not given")=TRUE,IF(SUMIFS(P:P,A:A,A1015)&gt;0,IF((ABS((SUMIFS(P:P,A:A,A1015)/VLOOKUP("USD",'Exchange Rates'!B:C,2,0)))/S1015)&gt;1,(SUMIFS(P:P,A:A,A1015)-S1015)/S1015,(S1015-SUMIFS(P:P,A:A,A1015))/SUMIFS(P:P,A:A,A1015)),"."),".")</f>
        <v>.</v>
      </c>
    </row>
    <row r="1016" spans="1:53" ht="15.95" customHeight="1">
      <c r="A1016" s="1180" t="s">
        <v>2790</v>
      </c>
      <c r="B1016" s="1180" t="s">
        <v>2693</v>
      </c>
      <c r="C1016" s="1181">
        <v>44627</v>
      </c>
      <c r="D1016" s="1182" t="s">
        <v>360</v>
      </c>
      <c r="E1016" s="1182" t="s">
        <v>361</v>
      </c>
      <c r="F1016" s="1183" t="s">
        <v>2791</v>
      </c>
      <c r="G1016" s="1184" t="s">
        <v>483</v>
      </c>
      <c r="H1016" s="1185">
        <v>15000000</v>
      </c>
      <c r="I1016" s="1180" t="s">
        <v>364</v>
      </c>
      <c r="J1016" s="1186" t="str">
        <f>VLOOKUP($I1016,'Price List, Weapons &amp; Items'!B:C,2,0)</f>
        <v>.</v>
      </c>
      <c r="K1016" s="1186" t="str">
        <f>IF(I1016=".",I1016,VLOOKUP($I1016,'Price List, Weapons &amp; Items'!B:D,3,0))</f>
        <v>.</v>
      </c>
      <c r="L1016" s="1187">
        <f>VLOOKUP(I1016,'Price List, Weapons &amp; Items'!B:E,4,0)</f>
        <v>0</v>
      </c>
      <c r="M1016" s="1188" t="s">
        <v>364</v>
      </c>
      <c r="N1016" s="1188" t="s">
        <v>364</v>
      </c>
      <c r="O1016" s="1188" t="str">
        <f>VLOOKUP($I1016,'Price List, Weapons &amp; Items'!B:G,6,0)</f>
        <v>.</v>
      </c>
      <c r="P1016" s="1185" t="str">
        <f t="shared" si="210"/>
        <v>.</v>
      </c>
      <c r="Q1016" s="1185" t="str">
        <f t="shared" si="211"/>
        <v>.</v>
      </c>
      <c r="R1016" s="1185">
        <f t="shared" si="207"/>
        <v>15000000</v>
      </c>
      <c r="S1016" s="1185">
        <f>IF(AND(AD1016=1,R1016&lt;&gt;".")=TRUE,R1016/VLOOKUP(G1016,'Exchange Rates'!B:C,2,0),IF(R1016=".",".",""))</f>
        <v>15000000</v>
      </c>
      <c r="T1016" s="1185" t="str">
        <f>IF(AD1016=1,IF(AF1016="Value is not given at all",".",IF(AF1016="Value is given by the source",S1016,IF(AF1016="Value is calculated with prices",(IF(SUMIFS(Q:Q,A:A,A1016)&gt;0,SUMIFS(Q:Q,A:A,A1016),"."))/VLOOKUP("USD",'Exchange Rates'!B:C,2,0),"Error with coding"))),"")</f>
        <v>.</v>
      </c>
      <c r="U1016" s="1184" t="s">
        <v>365</v>
      </c>
      <c r="V1016" s="971" t="s">
        <v>2792</v>
      </c>
      <c r="W1016" s="971" t="s">
        <v>2793</v>
      </c>
      <c r="X1016" s="1190" t="s">
        <v>364</v>
      </c>
      <c r="Y1016" s="1190" t="s">
        <v>364</v>
      </c>
      <c r="Z1016" s="1184">
        <v>0</v>
      </c>
      <c r="AA1016" s="1194">
        <v>0</v>
      </c>
      <c r="AB1016" s="1201" t="s">
        <v>364</v>
      </c>
      <c r="AC1016" s="1192" t="str">
        <f>""</f>
        <v/>
      </c>
      <c r="AD1016" s="1193">
        <v>1</v>
      </c>
      <c r="AE1016" s="1193" t="s">
        <v>368</v>
      </c>
      <c r="AF1016" s="1193" t="s">
        <v>369</v>
      </c>
      <c r="AG1016" s="1193">
        <v>1</v>
      </c>
      <c r="AH1016" s="1193">
        <v>3</v>
      </c>
      <c r="AI1016" s="1193">
        <v>0</v>
      </c>
      <c r="AJ1016" s="1193">
        <f>VLOOKUP($I1016,'Price List, Weapons &amp; Items'!B:F,5,0)</f>
        <v>0</v>
      </c>
      <c r="AK1016" s="1193">
        <f t="shared" si="212"/>
        <v>0</v>
      </c>
      <c r="AL1016" s="1193">
        <f t="shared" si="213"/>
        <v>0</v>
      </c>
      <c r="AM1016" s="1193">
        <f t="shared" si="214"/>
        <v>0</v>
      </c>
      <c r="AN1016" s="1194" t="str">
        <f>VLOOKUP($I1016,'Price List, Weapons &amp; Items'!B:L,COLUMN('Price List, Weapons &amp; Items'!$J$11)-1,0)</f>
        <v>.</v>
      </c>
      <c r="AO1016" s="1194" t="str">
        <f>IF(I1016=".",".",VLOOKUP($I1016,'Price List, Weapons &amp; Items'!B:J,3,0))</f>
        <v>.</v>
      </c>
      <c r="AP1016" s="1195" t="str">
        <f t="shared" ca="1" si="208"/>
        <v>.</v>
      </c>
      <c r="AQ1016" s="1194">
        <f>VLOOKUP($I1016,'Price List, Weapons &amp; Items'!B:L,COLUMN('Price List, Weapons &amp; Items'!$L$11)-1,0)</f>
        <v>0</v>
      </c>
      <c r="AR1016" s="1194">
        <f t="shared" si="215"/>
        <v>1</v>
      </c>
      <c r="AS1016" s="1194">
        <f t="shared" si="216"/>
        <v>0</v>
      </c>
      <c r="AT1016" s="1194">
        <f t="shared" si="217"/>
        <v>1</v>
      </c>
      <c r="AU1016" s="1194" t="str">
        <f t="shared" si="218"/>
        <v>.</v>
      </c>
      <c r="AV1016" s="1194" t="str">
        <f t="shared" si="209"/>
        <v>.</v>
      </c>
      <c r="AW1016" s="1194" t="str">
        <f t="shared" si="219"/>
        <v>.</v>
      </c>
      <c r="AX1016" s="1194">
        <f>IFERROR(VLOOKUP(B1016,'Share, Heavy Weapons to Ukraine'!B:Z,COLUMN('Share, Heavy Weapons to Ukraine'!C1026)-1,0),0)</f>
        <v>0</v>
      </c>
      <c r="AY1016" s="1194">
        <f>VLOOKUP('Bilateral Assistance, MAIN DATA'!B1016,'Country Summary (€)'!B:F,COLUMN('Country Summary (€)'!C1027)-1,FALSE)</f>
        <v>1</v>
      </c>
      <c r="AZ1016" s="1194" t="str">
        <f>IF(AND(AD1016=1,D1016="Military",H1016&lt;&gt;"Not given")=TRUE,IF(SUMIFS(P:P,A:A,A1016)&gt;0,ABS((SUMIFS(P:P,A:A,A1016)/VLOOKUP("USD",'Exchange Rates'!B:C,2,0)))/S1016,"."),".")</f>
        <v>.</v>
      </c>
      <c r="BA1016" s="1196" t="str">
        <f>IF(AND(AD1016=1,D1016="Military",H1016&lt;&gt;"Not given")=TRUE,IF(SUMIFS(P:P,A:A,A1016)&gt;0,IF((ABS((SUMIFS(P:P,A:A,A1016)/VLOOKUP("USD",'Exchange Rates'!B:C,2,0)))/S1016)&gt;1,(SUMIFS(P:P,A:A,A1016)-S1016)/S1016,(S1016-SUMIFS(P:P,A:A,A1016))/SUMIFS(P:P,A:A,A1016)),"."),".")</f>
        <v>.</v>
      </c>
    </row>
    <row r="1017" spans="1:53" s="1180" customFormat="1" ht="15.95" customHeight="1">
      <c r="A1017" s="1180" t="s">
        <v>2794</v>
      </c>
      <c r="B1017" s="1180" t="s">
        <v>2693</v>
      </c>
      <c r="C1017" s="1181" t="s">
        <v>1064</v>
      </c>
      <c r="D1017" s="1182" t="s">
        <v>360</v>
      </c>
      <c r="E1017" s="1182" t="s">
        <v>361</v>
      </c>
      <c r="F1017" s="1183" t="s">
        <v>2795</v>
      </c>
      <c r="G1017" s="1184" t="s">
        <v>483</v>
      </c>
      <c r="H1017" s="1185">
        <v>1500000</v>
      </c>
      <c r="I1017" s="1180" t="s">
        <v>364</v>
      </c>
      <c r="J1017" s="1186" t="str">
        <f>VLOOKUP($I1017,'Price List, Weapons &amp; Items'!B:C,2,0)</f>
        <v>.</v>
      </c>
      <c r="K1017" s="1186" t="str">
        <f>IF(I1017=".",I1017,VLOOKUP($I1017,'Price List, Weapons &amp; Items'!B:D,3,0))</f>
        <v>.</v>
      </c>
      <c r="L1017" s="1187">
        <f>VLOOKUP(I1017,'Price List, Weapons &amp; Items'!B:E,4,0)</f>
        <v>0</v>
      </c>
      <c r="M1017" s="1188" t="s">
        <v>364</v>
      </c>
      <c r="N1017" s="1188" t="s">
        <v>364</v>
      </c>
      <c r="O1017" s="1188" t="str">
        <f>VLOOKUP($I1017,'Price List, Weapons &amp; Items'!B:G,6,0)</f>
        <v>.</v>
      </c>
      <c r="P1017" s="1185" t="str">
        <f t="shared" si="210"/>
        <v>.</v>
      </c>
      <c r="Q1017" s="1185" t="str">
        <f t="shared" si="211"/>
        <v>.</v>
      </c>
      <c r="R1017" s="1185">
        <f t="shared" si="207"/>
        <v>1500000</v>
      </c>
      <c r="S1017" s="1185">
        <f>IF(AND(AD1017=1,R1017&lt;&gt;".")=TRUE,R1017/VLOOKUP(G1017,'Exchange Rates'!B:C,2,0),IF(R1017=".",".",""))</f>
        <v>1500000</v>
      </c>
      <c r="T1017" s="1185" t="str">
        <f>IF(AD1017=1,IF(AF1017="Value is not given at all",".",IF(AF1017="Value is given by the source",S1017,IF(AF1017="Value is calculated with prices",(IF(SUMIFS(Q:Q,A:A,A1017)&gt;0,SUMIFS(Q:Q,A:A,A1017),"."))/VLOOKUP("USD",'Exchange Rates'!B:C,2,0),"Error with coding"))),"")</f>
        <v>.</v>
      </c>
      <c r="U1017" s="1184" t="s">
        <v>365</v>
      </c>
      <c r="V1017" s="971" t="s">
        <v>2792</v>
      </c>
      <c r="W1017" s="1190" t="s">
        <v>364</v>
      </c>
      <c r="X1017" s="1190" t="s">
        <v>364</v>
      </c>
      <c r="Y1017" s="1190" t="s">
        <v>364</v>
      </c>
      <c r="Z1017" s="1184">
        <v>0</v>
      </c>
      <c r="AA1017" s="1194">
        <v>0</v>
      </c>
      <c r="AB1017" s="1201" t="s">
        <v>364</v>
      </c>
      <c r="AC1017" s="1192" t="str">
        <f>""</f>
        <v/>
      </c>
      <c r="AD1017" s="985">
        <v>1</v>
      </c>
      <c r="AE1017" s="985" t="s">
        <v>368</v>
      </c>
      <c r="AF1017" s="985" t="s">
        <v>369</v>
      </c>
      <c r="AG1017" s="985">
        <v>0</v>
      </c>
      <c r="AH1017" s="1193">
        <v>0</v>
      </c>
      <c r="AI1017" s="1193">
        <v>0</v>
      </c>
      <c r="AJ1017" s="1193">
        <f>VLOOKUP($I1017,'Price List, Weapons &amp; Items'!B:F,5,0)</f>
        <v>0</v>
      </c>
      <c r="AK1017" s="1193">
        <f t="shared" si="212"/>
        <v>0</v>
      </c>
      <c r="AL1017" s="1193">
        <f t="shared" si="213"/>
        <v>0</v>
      </c>
      <c r="AM1017" s="1193">
        <f t="shared" si="214"/>
        <v>0</v>
      </c>
      <c r="AN1017" s="1194" t="str">
        <f>VLOOKUP($I1017,'Price List, Weapons &amp; Items'!B:L,COLUMN('Price List, Weapons &amp; Items'!$J$11)-1,0)</f>
        <v>.</v>
      </c>
      <c r="AO1017" s="1194" t="str">
        <f>IF(I1017=".",".",VLOOKUP($I1017,'Price List, Weapons &amp; Items'!B:J,3,0))</f>
        <v>.</v>
      </c>
      <c r="AP1017" s="1195" t="str">
        <f t="shared" ca="1" si="208"/>
        <v>.</v>
      </c>
      <c r="AQ1017" s="1194">
        <f>VLOOKUP($I1017,'Price List, Weapons &amp; Items'!B:L,COLUMN('Price List, Weapons &amp; Items'!$L$11)-1,0)</f>
        <v>0</v>
      </c>
      <c r="AR1017" s="1194">
        <f t="shared" si="215"/>
        <v>1</v>
      </c>
      <c r="AS1017" s="1194">
        <f t="shared" si="216"/>
        <v>0</v>
      </c>
      <c r="AT1017" s="1194" t="str">
        <f t="shared" si="217"/>
        <v>Value is not in date format</v>
      </c>
      <c r="AU1017" s="1194" t="str">
        <f t="shared" si="218"/>
        <v>.</v>
      </c>
      <c r="AV1017" s="1194" t="str">
        <f t="shared" si="209"/>
        <v>.</v>
      </c>
      <c r="AW1017" s="1194" t="str">
        <f t="shared" si="219"/>
        <v>.</v>
      </c>
      <c r="AX1017" s="1194">
        <f>IFERROR(VLOOKUP(B1017,'Share, Heavy Weapons to Ukraine'!B:Z,COLUMN('Share, Heavy Weapons to Ukraine'!C1027)-1,0),0)</f>
        <v>0</v>
      </c>
      <c r="AY1017" s="1194">
        <f>VLOOKUP('Bilateral Assistance, MAIN DATA'!B1017,'Country Summary (€)'!B:F,COLUMN('Country Summary (€)'!C1028)-1,FALSE)</f>
        <v>1</v>
      </c>
      <c r="AZ1017" s="1194" t="str">
        <f>IF(AND(AD1017=1,D1017="Military",H1017&lt;&gt;"Not given")=TRUE,IF(SUMIFS(P:P,A:A,A1017)&gt;0,ABS((SUMIFS(P:P,A:A,A1017)/VLOOKUP("USD",'Exchange Rates'!B:C,2,0)))/S1017,"."),".")</f>
        <v>.</v>
      </c>
      <c r="BA1017" s="1196" t="str">
        <f>IF(AND(AD1017=1,D1017="Military",H1017&lt;&gt;"Not given")=TRUE,IF(SUMIFS(P:P,A:A,A1017)&gt;0,IF((ABS((SUMIFS(P:P,A:A,A1017)/VLOOKUP("USD",'Exchange Rates'!B:C,2,0)))/S1017)&gt;1,(SUMIFS(P:P,A:A,A1017)-S1017)/S1017,(S1017-SUMIFS(P:P,A:A,A1017))/SUMIFS(P:P,A:A,A1017)),"."),".")</f>
        <v>.</v>
      </c>
    </row>
    <row r="1018" spans="1:53" ht="15.95" customHeight="1">
      <c r="A1018" s="1182" t="s">
        <v>2796</v>
      </c>
      <c r="B1018" s="1182" t="s">
        <v>2693</v>
      </c>
      <c r="C1018" s="1181">
        <v>44622</v>
      </c>
      <c r="D1018" s="1182" t="s">
        <v>360</v>
      </c>
      <c r="E1018" s="1182" t="s">
        <v>371</v>
      </c>
      <c r="F1018" s="1183" t="s">
        <v>2797</v>
      </c>
      <c r="G1018" s="1184" t="s">
        <v>456</v>
      </c>
      <c r="H1018" s="1185" t="s">
        <v>457</v>
      </c>
      <c r="I1018" s="1180" t="s">
        <v>467</v>
      </c>
      <c r="J1018" s="1186" t="str">
        <f>VLOOKUP($I1018,'Price List, Weapons &amp; Items'!B:C,2,0)</f>
        <v>Humanitarian</v>
      </c>
      <c r="K1018" s="1186" t="str">
        <f>IF(I1018=".",I1018,VLOOKUP($I1018,'Price List, Weapons &amp; Items'!B:D,3,0))</f>
        <v>Humanitarian</v>
      </c>
      <c r="L1018" s="1187">
        <f>VLOOKUP(I1018,'Price List, Weapons &amp; Items'!B:E,4,0)</f>
        <v>0</v>
      </c>
      <c r="M1018" s="1188">
        <v>10000</v>
      </c>
      <c r="N1018" s="1188" t="s">
        <v>374</v>
      </c>
      <c r="O1018" s="1188">
        <f>VLOOKUP($I1018,'Price List, Weapons &amp; Items'!B:G,6,0)</f>
        <v>0.13</v>
      </c>
      <c r="P1018" s="1185">
        <f t="shared" si="210"/>
        <v>1300</v>
      </c>
      <c r="Q1018" s="1185" t="str">
        <f t="shared" si="211"/>
        <v>.</v>
      </c>
      <c r="R1018" s="1185">
        <f t="shared" si="207"/>
        <v>2013300</v>
      </c>
      <c r="S1018" s="1185">
        <f>IF(AND(AD1018=1,R1018&lt;&gt;".")=TRUE,R1018/VLOOKUP(G1018,'Exchange Rates'!B:C,2,0),IF(R1018=".",".",""))</f>
        <v>1852502.7603974973</v>
      </c>
      <c r="T1018" s="1185" t="str">
        <f>IF(AD1018=1,IF(AF1018="Value is not given at all",".",IF(AF1018="Value is given by the source",S1018,IF(AF1018="Value is calculated with prices",(IF(SUMIFS(Q:Q,A:A,A1018)&gt;0,SUMIFS(Q:Q,A:A,A1018),"."))/VLOOKUP("USD",'Exchange Rates'!B:C,2,0),"Error with coding"))),"")</f>
        <v>.</v>
      </c>
      <c r="U1018" s="1184" t="s">
        <v>365</v>
      </c>
      <c r="V1018" s="976" t="s">
        <v>2798</v>
      </c>
      <c r="W1018" s="987" t="s">
        <v>2799</v>
      </c>
      <c r="X1018" s="1183" t="s">
        <v>364</v>
      </c>
      <c r="Y1018" s="1183" t="s">
        <v>364</v>
      </c>
      <c r="Z1018" s="1184">
        <v>0</v>
      </c>
      <c r="AA1018" s="1194">
        <v>0</v>
      </c>
      <c r="AB1018" s="1201" t="s">
        <v>364</v>
      </c>
      <c r="AC1018" s="1192" t="str">
        <f>""</f>
        <v/>
      </c>
      <c r="AD1018" s="1193">
        <v>1</v>
      </c>
      <c r="AE1018" s="1193" t="s">
        <v>436</v>
      </c>
      <c r="AF1018" s="1193" t="s">
        <v>369</v>
      </c>
      <c r="AG1018" s="1193">
        <v>1</v>
      </c>
      <c r="AH1018" s="1193">
        <v>3</v>
      </c>
      <c r="AI1018" s="1193">
        <v>0</v>
      </c>
      <c r="AJ1018" s="1193">
        <f>VLOOKUP($I1018,'Price List, Weapons &amp; Items'!B:F,5,0)</f>
        <v>0</v>
      </c>
      <c r="AK1018" s="1193">
        <f t="shared" si="212"/>
        <v>0</v>
      </c>
      <c r="AL1018" s="1193">
        <f t="shared" si="213"/>
        <v>0</v>
      </c>
      <c r="AM1018" s="1193">
        <f t="shared" si="214"/>
        <v>0</v>
      </c>
      <c r="AN1018" s="1194" t="str">
        <f>VLOOKUP($I1018,'Price List, Weapons &amp; Items'!B:L,COLUMN('Price List, Weapons &amp; Items'!$J$11)-1,0)</f>
        <v>Online marketplaces and stores</v>
      </c>
      <c r="AO1018" s="1194" t="str">
        <f>IF(I1018=".",".",VLOOKUP($I1018,'Price List, Weapons &amp; Items'!B:J,3,0))</f>
        <v>Humanitarian</v>
      </c>
      <c r="AP1018" s="1195" t="str">
        <f t="shared" ca="1" si="208"/>
        <v>gloves</v>
      </c>
      <c r="AQ1018" s="1194">
        <f>VLOOKUP($I1018,'Price List, Weapons &amp; Items'!B:L,COLUMN('Price List, Weapons &amp; Items'!$L$11)-1,0)</f>
        <v>0</v>
      </c>
      <c r="AR1018" s="1194">
        <f t="shared" si="215"/>
        <v>1</v>
      </c>
      <c r="AS1018" s="1194">
        <f t="shared" si="216"/>
        <v>0</v>
      </c>
      <c r="AT1018" s="1194">
        <f t="shared" si="217"/>
        <v>1</v>
      </c>
      <c r="AU1018" s="1194" t="str">
        <f t="shared" si="218"/>
        <v>.</v>
      </c>
      <c r="AV1018" s="1194" t="str">
        <f t="shared" si="209"/>
        <v>.</v>
      </c>
      <c r="AW1018" s="1194" t="str">
        <f t="shared" si="219"/>
        <v>.</v>
      </c>
      <c r="AX1018" s="1194">
        <f>IFERROR(VLOOKUP(B1018,'Share, Heavy Weapons to Ukraine'!B:Z,COLUMN('Share, Heavy Weapons to Ukraine'!C1028)-1,0),0)</f>
        <v>0</v>
      </c>
      <c r="AY1018" s="1194">
        <f>VLOOKUP('Bilateral Assistance, MAIN DATA'!B1018,'Country Summary (€)'!B:F,COLUMN('Country Summary (€)'!C1029)-1,FALSE)</f>
        <v>1</v>
      </c>
      <c r="AZ1018" s="1194" t="str">
        <f>IF(AND(AD1018=1,D1018="Military",H1018&lt;&gt;"Not given")=TRUE,IF(SUMIFS(P:P,A:A,A1018)&gt;0,ABS((SUMIFS(P:P,A:A,A1018)/VLOOKUP("USD",'Exchange Rates'!B:C,2,0)))/S1018,"."),".")</f>
        <v>.</v>
      </c>
      <c r="BA1018" s="1196" t="str">
        <f>IF(AND(AD1018=1,D1018="Military",H1018&lt;&gt;"Not given")=TRUE,IF(SUMIFS(P:P,A:A,A1018)&gt;0,IF((ABS((SUMIFS(P:P,A:A,A1018)/VLOOKUP("USD",'Exchange Rates'!B:C,2,0)))/S1018)&gt;1,(SUMIFS(P:P,A:A,A1018)-S1018)/S1018,(S1018-SUMIFS(P:P,A:A,A1018))/SUMIFS(P:P,A:A,A1018)),"."),".")</f>
        <v>.</v>
      </c>
    </row>
    <row r="1019" spans="1:53" ht="15.95" customHeight="1">
      <c r="A1019" s="1182" t="s">
        <v>2796</v>
      </c>
      <c r="B1019" s="1182" t="s">
        <v>2693</v>
      </c>
      <c r="C1019" s="1181">
        <v>44622</v>
      </c>
      <c r="D1019" s="1182" t="s">
        <v>360</v>
      </c>
      <c r="E1019" s="1182" t="s">
        <v>371</v>
      </c>
      <c r="F1019" s="1183" t="s">
        <v>2797</v>
      </c>
      <c r="G1019" s="1184" t="s">
        <v>456</v>
      </c>
      <c r="H1019" s="1185" t="s">
        <v>457</v>
      </c>
      <c r="I1019" s="1180" t="s">
        <v>2800</v>
      </c>
      <c r="J1019" s="1186" t="str">
        <f>VLOOKUP($I1019,'Price List, Weapons &amp; Items'!B:C,2,0)</f>
        <v>Humanitarian</v>
      </c>
      <c r="K1019" s="1186" t="str">
        <f>IF(I1019=".",I1019,VLOOKUP($I1019,'Price List, Weapons &amp; Items'!B:D,3,0))</f>
        <v>Humanitarian</v>
      </c>
      <c r="L1019" s="1187">
        <f>VLOOKUP(I1019,'Price List, Weapons &amp; Items'!B:E,4,0)</f>
        <v>0</v>
      </c>
      <c r="M1019" s="1188">
        <v>10000</v>
      </c>
      <c r="N1019" s="1188" t="s">
        <v>374</v>
      </c>
      <c r="O1019" s="1188">
        <f>VLOOKUP($I1019,'Price List, Weapons &amp; Items'!B:G,6,0)</f>
        <v>200</v>
      </c>
      <c r="P1019" s="1185">
        <f t="shared" si="210"/>
        <v>2000000</v>
      </c>
      <c r="Q1019" s="1185" t="str">
        <f t="shared" si="211"/>
        <v>.</v>
      </c>
      <c r="R1019" s="1185" t="str">
        <f t="shared" si="207"/>
        <v/>
      </c>
      <c r="S1019" s="1185" t="str">
        <f>IF(AND(AD1019=1,R1019&lt;&gt;".")=TRUE,R1019/VLOOKUP(G1019,'Exchange Rates'!B:C,2,0),IF(R1019=".",".",""))</f>
        <v/>
      </c>
      <c r="T1019" s="1185" t="str">
        <f>IF(AD1019=1,IF(AF1019="Value is not given at all",".",IF(AF1019="Value is given by the source",S1019,IF(AF1019="Value is calculated with prices",(IF(SUMIFS(Q:Q,A:A,A1019)&gt;0,SUMIFS(Q:Q,A:A,A1019),"."))/VLOOKUP("USD",'Exchange Rates'!B:C,2,0),"Error with coding"))),"")</f>
        <v/>
      </c>
      <c r="U1019" s="1184" t="s">
        <v>365</v>
      </c>
      <c r="V1019" s="976" t="s">
        <v>2798</v>
      </c>
      <c r="W1019" s="987" t="s">
        <v>2799</v>
      </c>
      <c r="X1019" s="1183" t="s">
        <v>364</v>
      </c>
      <c r="Y1019" s="1183" t="s">
        <v>364</v>
      </c>
      <c r="Z1019" s="1184">
        <v>0</v>
      </c>
      <c r="AA1019" s="1194">
        <v>0</v>
      </c>
      <c r="AB1019" s="1201" t="s">
        <v>364</v>
      </c>
      <c r="AC1019" s="1192" t="str">
        <f>""</f>
        <v/>
      </c>
      <c r="AD1019" s="1193">
        <v>0</v>
      </c>
      <c r="AE1019" s="1193" t="s">
        <v>436</v>
      </c>
      <c r="AF1019" s="1193" t="s">
        <v>369</v>
      </c>
      <c r="AG1019" s="1193">
        <v>1</v>
      </c>
      <c r="AH1019" s="1193">
        <v>3</v>
      </c>
      <c r="AI1019" s="1193">
        <v>0</v>
      </c>
      <c r="AJ1019" s="1193">
        <f>VLOOKUP($I1019,'Price List, Weapons &amp; Items'!B:F,5,0)</f>
        <v>0</v>
      </c>
      <c r="AK1019" s="1193">
        <f t="shared" si="212"/>
        <v>0</v>
      </c>
      <c r="AL1019" s="1193">
        <f t="shared" si="213"/>
        <v>0</v>
      </c>
      <c r="AM1019" s="1193">
        <f t="shared" si="214"/>
        <v>0</v>
      </c>
      <c r="AN1019" s="1194" t="str">
        <f>VLOOKUP($I1019,'Price List, Weapons &amp; Items'!B:L,COLUMN('Price List, Weapons &amp; Items'!$J$11)-1,0)</f>
        <v>Media reports (incl. social media)</v>
      </c>
      <c r="AO1019" s="1194" t="str">
        <f>IF(I1019=".",".",VLOOKUP($I1019,'Price List, Weapons &amp; Items'!B:J,3,0))</f>
        <v>Humanitarian</v>
      </c>
      <c r="AP1019" s="1195" t="str">
        <f t="shared" ca="1" si="208"/>
        <v/>
      </c>
      <c r="AQ1019" s="1194">
        <f>VLOOKUP($I1019,'Price List, Weapons &amp; Items'!B:L,COLUMN('Price List, Weapons &amp; Items'!$L$11)-1,0)</f>
        <v>0</v>
      </c>
      <c r="AR1019" s="1194">
        <f t="shared" si="215"/>
        <v>1</v>
      </c>
      <c r="AS1019" s="1194">
        <f t="shared" si="216"/>
        <v>0</v>
      </c>
      <c r="AT1019" s="1194">
        <f t="shared" si="217"/>
        <v>1</v>
      </c>
      <c r="AU1019" s="1194" t="str">
        <f t="shared" si="218"/>
        <v>.</v>
      </c>
      <c r="AV1019" s="1194" t="str">
        <f t="shared" si="209"/>
        <v>.</v>
      </c>
      <c r="AW1019" s="1194" t="str">
        <f t="shared" si="219"/>
        <v>.</v>
      </c>
      <c r="AX1019" s="1194">
        <f>IFERROR(VLOOKUP(B1019,'Share, Heavy Weapons to Ukraine'!B:Z,COLUMN('Share, Heavy Weapons to Ukraine'!C1029)-1,0),0)</f>
        <v>0</v>
      </c>
      <c r="AY1019" s="1194">
        <f>VLOOKUP('Bilateral Assistance, MAIN DATA'!B1019,'Country Summary (€)'!B:F,COLUMN('Country Summary (€)'!C1030)-1,FALSE)</f>
        <v>1</v>
      </c>
      <c r="AZ1019" s="1194" t="str">
        <f>IF(AND(AD1019=1,D1019="Military",H1019&lt;&gt;"Not given")=TRUE,IF(SUMIFS(P:P,A:A,A1019)&gt;0,ABS((SUMIFS(P:P,A:A,A1019)/VLOOKUP("USD",'Exchange Rates'!B:C,2,0)))/S1019,"."),".")</f>
        <v>.</v>
      </c>
      <c r="BA1019" s="1196" t="str">
        <f>IF(AND(AD1019=1,D1019="Military",H1019&lt;&gt;"Not given")=TRUE,IF(SUMIFS(P:P,A:A,A1019)&gt;0,IF((ABS((SUMIFS(P:P,A:A,A1019)/VLOOKUP("USD",'Exchange Rates'!B:C,2,0)))/S1019)&gt;1,(SUMIFS(P:P,A:A,A1019)-S1019)/S1019,(S1019-SUMIFS(P:P,A:A,A1019))/SUMIFS(P:P,A:A,A1019)),"."),".")</f>
        <v>.</v>
      </c>
    </row>
    <row r="1020" spans="1:53" ht="15.95" customHeight="1">
      <c r="A1020" s="1182" t="s">
        <v>2796</v>
      </c>
      <c r="B1020" s="1182" t="s">
        <v>2693</v>
      </c>
      <c r="C1020" s="1181">
        <v>44622</v>
      </c>
      <c r="D1020" s="1182" t="s">
        <v>360</v>
      </c>
      <c r="E1020" s="1182" t="s">
        <v>371</v>
      </c>
      <c r="F1020" s="1183" t="s">
        <v>2797</v>
      </c>
      <c r="G1020" s="1184" t="s">
        <v>456</v>
      </c>
      <c r="H1020" s="1185" t="s">
        <v>457</v>
      </c>
      <c r="I1020" s="1180" t="s">
        <v>2801</v>
      </c>
      <c r="J1020" s="1186" t="str">
        <f>VLOOKUP($I1020,'Price List, Weapons &amp; Items'!B:C,2,0)</f>
        <v>Humanitarian</v>
      </c>
      <c r="K1020" s="1186" t="str">
        <f>IF(I1020=".",I1020,VLOOKUP($I1020,'Price List, Weapons &amp; Items'!B:D,3,0))</f>
        <v>Humanitarian</v>
      </c>
      <c r="L1020" s="1187">
        <f>VLOOKUP(I1020,'Price List, Weapons &amp; Items'!B:E,4,0)</f>
        <v>0</v>
      </c>
      <c r="M1020" s="1188">
        <v>50000</v>
      </c>
      <c r="N1020" s="1188" t="s">
        <v>374</v>
      </c>
      <c r="O1020" s="1188">
        <f>VLOOKUP($I1020,'Price List, Weapons &amp; Items'!B:G,6,0)</f>
        <v>0.24</v>
      </c>
      <c r="P1020" s="1185">
        <f t="shared" si="210"/>
        <v>12000</v>
      </c>
      <c r="Q1020" s="1185" t="str">
        <f t="shared" si="211"/>
        <v>.</v>
      </c>
      <c r="R1020" s="1185" t="str">
        <f t="shared" si="207"/>
        <v/>
      </c>
      <c r="S1020" s="1185" t="str">
        <f>IF(AND(AD1020=1,R1020&lt;&gt;".")=TRUE,R1020/VLOOKUP(G1020,'Exchange Rates'!B:C,2,0),IF(R1020=".",".",""))</f>
        <v/>
      </c>
      <c r="T1020" s="1185" t="str">
        <f>IF(AD1020=1,IF(AF1020="Value is not given at all",".",IF(AF1020="Value is given by the source",S1020,IF(AF1020="Value is calculated with prices",(IF(SUMIFS(Q:Q,A:A,A1020)&gt;0,SUMIFS(Q:Q,A:A,A1020),"."))/VLOOKUP("USD",'Exchange Rates'!B:C,2,0),"Error with coding"))),"")</f>
        <v/>
      </c>
      <c r="U1020" s="1184" t="s">
        <v>365</v>
      </c>
      <c r="V1020" s="976" t="s">
        <v>2798</v>
      </c>
      <c r="W1020" s="987" t="s">
        <v>2799</v>
      </c>
      <c r="X1020" s="1183" t="s">
        <v>364</v>
      </c>
      <c r="Y1020" s="1183" t="s">
        <v>364</v>
      </c>
      <c r="Z1020" s="1184">
        <v>0</v>
      </c>
      <c r="AA1020" s="1194">
        <v>0</v>
      </c>
      <c r="AB1020" s="1201" t="s">
        <v>364</v>
      </c>
      <c r="AC1020" s="1192" t="str">
        <f>""</f>
        <v/>
      </c>
      <c r="AD1020" s="1193">
        <v>0</v>
      </c>
      <c r="AE1020" s="1193" t="s">
        <v>436</v>
      </c>
      <c r="AF1020" s="1193" t="s">
        <v>369</v>
      </c>
      <c r="AG1020" s="1193">
        <v>1</v>
      </c>
      <c r="AH1020" s="1193">
        <v>3</v>
      </c>
      <c r="AI1020" s="1193">
        <v>0</v>
      </c>
      <c r="AJ1020" s="1193">
        <f>VLOOKUP($I1020,'Price List, Weapons &amp; Items'!B:F,5,0)</f>
        <v>0</v>
      </c>
      <c r="AK1020" s="1193">
        <f t="shared" si="212"/>
        <v>0</v>
      </c>
      <c r="AL1020" s="1193">
        <f t="shared" si="213"/>
        <v>0</v>
      </c>
      <c r="AM1020" s="1193">
        <f t="shared" si="214"/>
        <v>0</v>
      </c>
      <c r="AN1020" s="1194" t="str">
        <f>VLOOKUP($I1020,'Price List, Weapons &amp; Items'!B:L,COLUMN('Price List, Weapons &amp; Items'!$J$11)-1,0)</f>
        <v>Online marketplaces and stores</v>
      </c>
      <c r="AO1020" s="1194" t="str">
        <f>IF(I1020=".",".",VLOOKUP($I1020,'Price List, Weapons &amp; Items'!B:J,3,0))</f>
        <v>Humanitarian</v>
      </c>
      <c r="AP1020" s="1195" t="str">
        <f t="shared" ca="1" si="208"/>
        <v/>
      </c>
      <c r="AQ1020" s="1194">
        <f>VLOOKUP($I1020,'Price List, Weapons &amp; Items'!B:L,COLUMN('Price List, Weapons &amp; Items'!$L$11)-1,0)</f>
        <v>0</v>
      </c>
      <c r="AR1020" s="1194">
        <f t="shared" si="215"/>
        <v>1</v>
      </c>
      <c r="AS1020" s="1194">
        <f t="shared" si="216"/>
        <v>0</v>
      </c>
      <c r="AT1020" s="1194">
        <f t="shared" si="217"/>
        <v>1</v>
      </c>
      <c r="AU1020" s="1194" t="str">
        <f t="shared" si="218"/>
        <v>.</v>
      </c>
      <c r="AV1020" s="1194" t="str">
        <f t="shared" si="209"/>
        <v>.</v>
      </c>
      <c r="AW1020" s="1194" t="str">
        <f t="shared" si="219"/>
        <v>.</v>
      </c>
      <c r="AX1020" s="1194">
        <f>IFERROR(VLOOKUP(B1020,'Share, Heavy Weapons to Ukraine'!B:Z,COLUMN('Share, Heavy Weapons to Ukraine'!C1030)-1,0),0)</f>
        <v>0</v>
      </c>
      <c r="AY1020" s="1194">
        <f>VLOOKUP('Bilateral Assistance, MAIN DATA'!B1020,'Country Summary (€)'!B:F,COLUMN('Country Summary (€)'!C1031)-1,FALSE)</f>
        <v>1</v>
      </c>
      <c r="AZ1020" s="1194" t="str">
        <f>IF(AND(AD1020=1,D1020="Military",H1020&lt;&gt;"Not given")=TRUE,IF(SUMIFS(P:P,A:A,A1020)&gt;0,ABS((SUMIFS(P:P,A:A,A1020)/VLOOKUP("USD",'Exchange Rates'!B:C,2,0)))/S1020,"."),".")</f>
        <v>.</v>
      </c>
      <c r="BA1020" s="1196" t="str">
        <f>IF(AND(AD1020=1,D1020="Military",H1020&lt;&gt;"Not given")=TRUE,IF(SUMIFS(P:P,A:A,A1020)&gt;0,IF((ABS((SUMIFS(P:P,A:A,A1020)/VLOOKUP("USD",'Exchange Rates'!B:C,2,0)))/S1020)&gt;1,(SUMIFS(P:P,A:A,A1020)-S1020)/S1020,(S1020-SUMIFS(P:P,A:A,A1020))/SUMIFS(P:P,A:A,A1020)),"."),".")</f>
        <v>.</v>
      </c>
    </row>
    <row r="1021" spans="1:53" ht="15.95" customHeight="1">
      <c r="A1021" s="1290" t="s">
        <v>2802</v>
      </c>
      <c r="B1021" s="1290" t="s">
        <v>2693</v>
      </c>
      <c r="C1021" s="1181">
        <v>44686</v>
      </c>
      <c r="D1021" s="1272" t="s">
        <v>360</v>
      </c>
      <c r="E1021" s="1272" t="s">
        <v>371</v>
      </c>
      <c r="F1021" s="1183" t="s">
        <v>2803</v>
      </c>
      <c r="G1021" s="1273" t="s">
        <v>456</v>
      </c>
      <c r="H1021" s="1185" t="s">
        <v>457</v>
      </c>
      <c r="I1021" s="1290" t="s">
        <v>477</v>
      </c>
      <c r="J1021" s="1186" t="str">
        <f>VLOOKUP($I1021,'Price List, Weapons &amp; Items'!B:C,2,0)</f>
        <v>Humanitarian</v>
      </c>
      <c r="K1021" s="1186" t="str">
        <f>IF(I1021=".",I1021,VLOOKUP($I1021,'Price List, Weapons &amp; Items'!B:D,3,0))</f>
        <v>Humanitarian</v>
      </c>
      <c r="L1021" s="1187">
        <f>VLOOKUP(I1021,'Price List, Weapons &amp; Items'!B:E,4,0)</f>
        <v>0</v>
      </c>
      <c r="M1021" s="1188">
        <v>17</v>
      </c>
      <c r="N1021" s="1188" t="s">
        <v>374</v>
      </c>
      <c r="O1021" s="1188">
        <f>VLOOKUP($I1021,'Price List, Weapons &amp; Items'!B:G,6,0)</f>
        <v>317500</v>
      </c>
      <c r="P1021" s="1185">
        <f t="shared" si="210"/>
        <v>5397500</v>
      </c>
      <c r="Q1021" s="1185" t="str">
        <f t="shared" si="211"/>
        <v>.</v>
      </c>
      <c r="R1021" s="1185">
        <f t="shared" si="207"/>
        <v>5397500</v>
      </c>
      <c r="S1021" s="1185">
        <f>IF(AND(AD1021=1,R1021&lt;&gt;".")=TRUE,R1021/VLOOKUP(G1021,'Exchange Rates'!B:C,2,0),IF(R1021=".",".",""))</f>
        <v>4966415.1637835847</v>
      </c>
      <c r="T1021" s="1185" t="str">
        <f>IF(AD1021=1,IF(AF1021="Value is not given at all",".",IF(AF1021="Value is given by the source",S1021,IF(AF1021="Value is calculated with prices",(IF(SUMIFS(Q:Q,A:A,A1021)&gt;0,SUMIFS(Q:Q,A:A,A1021),"."))/VLOOKUP("USD",'Exchange Rates'!B:C,2,0),"Error with coding"))),"")</f>
        <v>.</v>
      </c>
      <c r="U1021" s="1187" t="s">
        <v>365</v>
      </c>
      <c r="V1021" s="993" t="s">
        <v>1413</v>
      </c>
      <c r="W1021" s="1277" t="s">
        <v>364</v>
      </c>
      <c r="X1021" s="1277" t="s">
        <v>364</v>
      </c>
      <c r="Y1021" s="1277" t="s">
        <v>364</v>
      </c>
      <c r="Z1021" s="1184">
        <v>0</v>
      </c>
      <c r="AA1021" s="1194">
        <v>0</v>
      </c>
      <c r="AB1021" s="1180" t="s">
        <v>364</v>
      </c>
      <c r="AC1021" s="1192" t="str">
        <f>""</f>
        <v/>
      </c>
      <c r="AD1021" s="985">
        <v>1</v>
      </c>
      <c r="AE1021" s="985" t="s">
        <v>436</v>
      </c>
      <c r="AF1021" s="985" t="s">
        <v>369</v>
      </c>
      <c r="AG1021" s="985">
        <v>1</v>
      </c>
      <c r="AH1021" s="1193">
        <v>5</v>
      </c>
      <c r="AI1021" s="1193">
        <v>0</v>
      </c>
      <c r="AJ1021" s="1193">
        <f>VLOOKUP($I1021,'Price List, Weapons &amp; Items'!B:F,5,0)</f>
        <v>0</v>
      </c>
      <c r="AK1021" s="1193">
        <f t="shared" si="212"/>
        <v>0</v>
      </c>
      <c r="AL1021" s="1193">
        <f t="shared" si="213"/>
        <v>0</v>
      </c>
      <c r="AM1021" s="1193">
        <f t="shared" si="214"/>
        <v>0</v>
      </c>
      <c r="AN1021" s="1194" t="str">
        <f>VLOOKUP($I1021,'Price List, Weapons &amp; Items'!B:L,COLUMN('Price List, Weapons &amp; Items'!$J$11)-1,0)</f>
        <v>Media reports (incl. social media)</v>
      </c>
      <c r="AO1021" s="1194" t="str">
        <f>IF(I1021=".",".",VLOOKUP($I1021,'Price List, Weapons &amp; Items'!B:J,3,0))</f>
        <v>Humanitarian</v>
      </c>
      <c r="AP1021" s="1195" t="str">
        <f t="shared" ca="1" si="208"/>
        <v>ambulance H</v>
      </c>
      <c r="AQ1021" s="1194">
        <f>VLOOKUP($I1021,'Price List, Weapons &amp; Items'!B:L,COLUMN('Price List, Weapons &amp; Items'!$L$11)-1,0)</f>
        <v>0</v>
      </c>
      <c r="AR1021" s="1194">
        <f t="shared" si="215"/>
        <v>1</v>
      </c>
      <c r="AS1021" s="1194">
        <f t="shared" si="216"/>
        <v>0</v>
      </c>
      <c r="AT1021" s="1194">
        <f t="shared" si="217"/>
        <v>1</v>
      </c>
      <c r="AU1021" s="1194" t="str">
        <f t="shared" si="218"/>
        <v>.</v>
      </c>
      <c r="AV1021" s="1194" t="str">
        <f t="shared" si="209"/>
        <v>.</v>
      </c>
      <c r="AW1021" s="1194" t="str">
        <f t="shared" si="219"/>
        <v>.</v>
      </c>
      <c r="AX1021" s="1194">
        <f>IFERROR(VLOOKUP(B1021,'Share, Heavy Weapons to Ukraine'!B:Z,COLUMN('Share, Heavy Weapons to Ukraine'!C1031)-1,0),0)</f>
        <v>0</v>
      </c>
      <c r="AY1021" s="1194">
        <f>VLOOKUP('Bilateral Assistance, MAIN DATA'!B1021,'Country Summary (€)'!B:F,COLUMN('Country Summary (€)'!C1032)-1,FALSE)</f>
        <v>1</v>
      </c>
      <c r="AZ1021" s="1194" t="str">
        <f>IF(AND(AD1021=1,D1021="Military",H1021&lt;&gt;"Not given")=TRUE,IF(SUMIFS(P:P,A:A,A1021)&gt;0,ABS((SUMIFS(P:P,A:A,A1021)/VLOOKUP("USD",'Exchange Rates'!B:C,2,0)))/S1021,"."),".")</f>
        <v>.</v>
      </c>
      <c r="BA1021" s="1196" t="str">
        <f>IF(AND(AD1021=1,D1021="Military",H1021&lt;&gt;"Not given")=TRUE,IF(SUMIFS(P:P,A:A,A1021)&gt;0,IF((ABS((SUMIFS(P:P,A:A,A1021)/VLOOKUP("USD",'Exchange Rates'!B:C,2,0)))/S1021)&gt;1,(SUMIFS(P:P,A:A,A1021)-S1021)/S1021,(S1021-SUMIFS(P:P,A:A,A1021))/SUMIFS(P:P,A:A,A1021)),"."),".")</f>
        <v>.</v>
      </c>
    </row>
    <row r="1022" spans="1:53" ht="15.95" customHeight="1">
      <c r="A1022" s="1290" t="s">
        <v>2804</v>
      </c>
      <c r="B1022" s="1290" t="s">
        <v>2693</v>
      </c>
      <c r="C1022" s="1181">
        <v>44686</v>
      </c>
      <c r="D1022" s="1272" t="s">
        <v>360</v>
      </c>
      <c r="E1022" s="1272" t="s">
        <v>371</v>
      </c>
      <c r="F1022" s="1183" t="s">
        <v>2805</v>
      </c>
      <c r="G1022" s="1273" t="s">
        <v>483</v>
      </c>
      <c r="H1022" s="1185">
        <v>5000000</v>
      </c>
      <c r="I1022" s="1290" t="s">
        <v>2033</v>
      </c>
      <c r="J1022" s="1186" t="str">
        <f>VLOOKUP($I1022,'Price List, Weapons &amp; Items'!B:C,2,0)</f>
        <v>Humanitarian</v>
      </c>
      <c r="K1022" s="1186" t="str">
        <f>IF(I1022=".",I1022,VLOOKUP($I1022,'Price List, Weapons &amp; Items'!B:D,3,0))</f>
        <v>Humanitarian</v>
      </c>
      <c r="L1022" s="1187">
        <f>VLOOKUP(I1022,'Price List, Weapons &amp; Items'!B:E,4,0)</f>
        <v>0</v>
      </c>
      <c r="M1022" s="1188" t="s">
        <v>374</v>
      </c>
      <c r="N1022" s="1188" t="s">
        <v>374</v>
      </c>
      <c r="O1022" s="1188">
        <f>VLOOKUP($I1022,'Price List, Weapons &amp; Items'!B:G,6,0)</f>
        <v>1.29</v>
      </c>
      <c r="P1022" s="1185" t="str">
        <f t="shared" si="210"/>
        <v>.</v>
      </c>
      <c r="Q1022" s="1185" t="str">
        <f t="shared" si="211"/>
        <v>.</v>
      </c>
      <c r="R1022" s="1185">
        <f t="shared" si="207"/>
        <v>5000000</v>
      </c>
      <c r="S1022" s="1185">
        <f>IF(AND(AD1022=1,R1022&lt;&gt;".")=TRUE,R1022/VLOOKUP(G1022,'Exchange Rates'!B:C,2,0),IF(R1022=".",".",""))</f>
        <v>5000000</v>
      </c>
      <c r="T1022" s="1185" t="str">
        <f>IF(AD1022=1,IF(AF1022="Value is not given at all",".",IF(AF1022="Value is given by the source",S1022,IF(AF1022="Value is calculated with prices",(IF(SUMIFS(Q:Q,A:A,A1022)&gt;0,SUMIFS(Q:Q,A:A,A1022),"."))/VLOOKUP("USD",'Exchange Rates'!B:C,2,0),"Error with coding"))),"")</f>
        <v>.</v>
      </c>
      <c r="U1022" s="1187" t="s">
        <v>365</v>
      </c>
      <c r="V1022" s="993" t="s">
        <v>1413</v>
      </c>
      <c r="W1022" s="1277" t="s">
        <v>364</v>
      </c>
      <c r="X1022" s="1277" t="s">
        <v>364</v>
      </c>
      <c r="Y1022" s="1277" t="s">
        <v>364</v>
      </c>
      <c r="Z1022" s="1184">
        <v>0</v>
      </c>
      <c r="AA1022" s="1194">
        <v>0</v>
      </c>
      <c r="AB1022" s="1180" t="s">
        <v>364</v>
      </c>
      <c r="AC1022" s="1192" t="str">
        <f>""</f>
        <v/>
      </c>
      <c r="AD1022" s="985">
        <v>1</v>
      </c>
      <c r="AE1022" s="985" t="s">
        <v>368</v>
      </c>
      <c r="AF1022" s="985" t="s">
        <v>369</v>
      </c>
      <c r="AG1022" s="985">
        <v>1</v>
      </c>
      <c r="AH1022" s="1193">
        <v>5</v>
      </c>
      <c r="AI1022" s="1193">
        <v>0</v>
      </c>
      <c r="AJ1022" s="1193">
        <f>VLOOKUP($I1022,'Price List, Weapons &amp; Items'!B:F,5,0)</f>
        <v>0</v>
      </c>
      <c r="AK1022" s="1193">
        <f t="shared" si="212"/>
        <v>0</v>
      </c>
      <c r="AL1022" s="1193">
        <f t="shared" si="213"/>
        <v>0</v>
      </c>
      <c r="AM1022" s="1193">
        <f t="shared" si="214"/>
        <v>0</v>
      </c>
      <c r="AN1022" s="1194" t="str">
        <f>VLOOKUP($I1022,'Price List, Weapons &amp; Items'!B:L,COLUMN('Price List, Weapons &amp; Items'!$J$11)-1,0)</f>
        <v>Miscellaneous</v>
      </c>
      <c r="AO1022" s="1194" t="str">
        <f>IF(I1022=".",".",VLOOKUP($I1022,'Price List, Weapons &amp; Items'!B:J,3,0))</f>
        <v>Humanitarian</v>
      </c>
      <c r="AP1022" s="1195" t="str">
        <f t="shared" ca="1" si="208"/>
        <v>liter of fuel H</v>
      </c>
      <c r="AQ1022" s="1194">
        <f>VLOOKUP($I1022,'Price List, Weapons &amp; Items'!B:L,COLUMN('Price List, Weapons &amp; Items'!$L$11)-1,0)</f>
        <v>0</v>
      </c>
      <c r="AR1022" s="1194">
        <f t="shared" si="215"/>
        <v>1</v>
      </c>
      <c r="AS1022" s="1194">
        <f t="shared" si="216"/>
        <v>0</v>
      </c>
      <c r="AT1022" s="1194">
        <f t="shared" si="217"/>
        <v>1</v>
      </c>
      <c r="AU1022" s="1194" t="str">
        <f t="shared" si="218"/>
        <v>.</v>
      </c>
      <c r="AV1022" s="1194" t="str">
        <f t="shared" si="209"/>
        <v>.</v>
      </c>
      <c r="AW1022" s="1194" t="str">
        <f t="shared" si="219"/>
        <v>.</v>
      </c>
      <c r="AX1022" s="1194">
        <f>IFERROR(VLOOKUP(B1022,'Share, Heavy Weapons to Ukraine'!B:Z,COLUMN('Share, Heavy Weapons to Ukraine'!C1032)-1,0),0)</f>
        <v>0</v>
      </c>
      <c r="AY1022" s="1194">
        <f>VLOOKUP('Bilateral Assistance, MAIN DATA'!B1022,'Country Summary (€)'!B:F,COLUMN('Country Summary (€)'!C1033)-1,FALSE)</f>
        <v>1</v>
      </c>
      <c r="AZ1022" s="1194" t="str">
        <f>IF(AND(AD1022=1,D1022="Military",H1022&lt;&gt;"Not given")=TRUE,IF(SUMIFS(P:P,A:A,A1022)&gt;0,ABS((SUMIFS(P:P,A:A,A1022)/VLOOKUP("USD",'Exchange Rates'!B:C,2,0)))/S1022,"."),".")</f>
        <v>.</v>
      </c>
      <c r="BA1022" s="1196" t="str">
        <f>IF(AND(AD1022=1,D1022="Military",H1022&lt;&gt;"Not given")=TRUE,IF(SUMIFS(P:P,A:A,A1022)&gt;0,IF((ABS((SUMIFS(P:P,A:A,A1022)/VLOOKUP("USD",'Exchange Rates'!B:C,2,0)))/S1022)&gt;1,(SUMIFS(P:P,A:A,A1022)-S1022)/S1022,(S1022-SUMIFS(P:P,A:A,A1022))/SUMIFS(P:P,A:A,A1022)),"."),".")</f>
        <v>.</v>
      </c>
    </row>
    <row r="1023" spans="1:53" ht="15.95" customHeight="1">
      <c r="A1023" s="1290" t="s">
        <v>2806</v>
      </c>
      <c r="B1023" s="1290" t="s">
        <v>2693</v>
      </c>
      <c r="C1023" s="1181">
        <v>44846</v>
      </c>
      <c r="D1023" s="1272" t="s">
        <v>360</v>
      </c>
      <c r="E1023" s="1182" t="s">
        <v>481</v>
      </c>
      <c r="F1023" s="1183" t="s">
        <v>2807</v>
      </c>
      <c r="G1023" s="1273" t="s">
        <v>483</v>
      </c>
      <c r="H1023" s="1185">
        <v>180000000</v>
      </c>
      <c r="I1023" s="1290" t="s">
        <v>364</v>
      </c>
      <c r="J1023" s="1186" t="str">
        <f>VLOOKUP($I1023,'Price List, Weapons &amp; Items'!B:C,2,0)</f>
        <v>.</v>
      </c>
      <c r="K1023" s="1186" t="str">
        <f>IF(I1023=".",I1023,VLOOKUP($I1023,'Price List, Weapons &amp; Items'!B:D,3,0))</f>
        <v>.</v>
      </c>
      <c r="L1023" s="1187">
        <f>VLOOKUP(I1023,'Price List, Weapons &amp; Items'!B:E,4,0)</f>
        <v>0</v>
      </c>
      <c r="M1023" s="1188" t="s">
        <v>364</v>
      </c>
      <c r="N1023" s="1188" t="s">
        <v>364</v>
      </c>
      <c r="O1023" s="1188" t="str">
        <f>VLOOKUP($I1023,'Price List, Weapons &amp; Items'!B:G,6,0)</f>
        <v>.</v>
      </c>
      <c r="P1023" s="1185" t="str">
        <f t="shared" si="210"/>
        <v>.</v>
      </c>
      <c r="Q1023" s="1185" t="str">
        <f t="shared" si="211"/>
        <v>.</v>
      </c>
      <c r="R1023" s="1185">
        <f t="shared" si="207"/>
        <v>180000000</v>
      </c>
      <c r="S1023" s="1185">
        <f>IF(AND(AD1023=1,R1023&lt;&gt;".")=TRUE,R1023/VLOOKUP(G1023,'Exchange Rates'!B:C,2,0),IF(R1023=".",".",""))</f>
        <v>180000000</v>
      </c>
      <c r="T1023" s="1185" t="str">
        <f>IF(AD1023=1,IF(AF1023="Value is not given at all",".",IF(AF1023="Value is given by the source",S1023,IF(AF1023="Value is calculated with prices",(IF(SUMIFS(Q:Q,A:A,A1023)&gt;0,SUMIFS(Q:Q,A:A,A1023),"."))/VLOOKUP("USD",'Exchange Rates'!B:C,2,0),"Error with coding"))),"")</f>
        <v>.</v>
      </c>
      <c r="U1023" s="1187" t="s">
        <v>365</v>
      </c>
      <c r="V1023" s="993" t="s">
        <v>2808</v>
      </c>
      <c r="W1023" s="998" t="s">
        <v>2809</v>
      </c>
      <c r="X1023" s="998" t="s">
        <v>2810</v>
      </c>
      <c r="Y1023" s="1277" t="s">
        <v>364</v>
      </c>
      <c r="Z1023" s="1184">
        <v>1</v>
      </c>
      <c r="AA1023" s="1191">
        <v>0</v>
      </c>
      <c r="AB1023" s="1180" t="s">
        <v>364</v>
      </c>
      <c r="AC1023" s="1192" t="str">
        <f>""</f>
        <v/>
      </c>
      <c r="AD1023" s="985">
        <v>1</v>
      </c>
      <c r="AE1023" s="985" t="s">
        <v>368</v>
      </c>
      <c r="AF1023" s="985" t="s">
        <v>369</v>
      </c>
      <c r="AG1023" s="985">
        <v>1</v>
      </c>
      <c r="AH1023" s="1193">
        <v>10</v>
      </c>
      <c r="AI1023" s="1193">
        <v>0</v>
      </c>
      <c r="AJ1023" s="1193">
        <f>VLOOKUP($I1023,'Price List, Weapons &amp; Items'!B:F,5,0)</f>
        <v>0</v>
      </c>
      <c r="AK1023" s="1193">
        <f t="shared" si="212"/>
        <v>0</v>
      </c>
      <c r="AL1023" s="1193">
        <f t="shared" si="213"/>
        <v>0</v>
      </c>
      <c r="AM1023" s="1193">
        <f t="shared" si="214"/>
        <v>0</v>
      </c>
      <c r="AN1023" s="1194" t="str">
        <f>VLOOKUP($I1023,'Price List, Weapons &amp; Items'!B:L,COLUMN('Price List, Weapons &amp; Items'!$J$11)-1,0)</f>
        <v>.</v>
      </c>
      <c r="AO1023" s="1194" t="str">
        <f>IF(I1023=".",".",VLOOKUP($I1023,'Price List, Weapons &amp; Items'!B:J,3,0))</f>
        <v>.</v>
      </c>
      <c r="AP1023" s="1195" t="str">
        <f t="shared" ca="1" si="208"/>
        <v>.</v>
      </c>
      <c r="AQ1023" s="1194">
        <f>VLOOKUP($I1023,'Price List, Weapons &amp; Items'!B:L,COLUMN('Price List, Weapons &amp; Items'!$L$11)-1,0)</f>
        <v>0</v>
      </c>
      <c r="AR1023" s="1194">
        <f t="shared" si="215"/>
        <v>1</v>
      </c>
      <c r="AS1023" s="1194">
        <f t="shared" si="216"/>
        <v>0</v>
      </c>
      <c r="AT1023" s="1194">
        <f t="shared" si="217"/>
        <v>1</v>
      </c>
      <c r="AU1023" s="1194" t="str">
        <f t="shared" si="218"/>
        <v>.</v>
      </c>
      <c r="AV1023" s="1194" t="str">
        <f t="shared" si="209"/>
        <v>.</v>
      </c>
      <c r="AW1023" s="1194" t="str">
        <f t="shared" si="219"/>
        <v>.</v>
      </c>
      <c r="AX1023" s="1194">
        <f>IFERROR(VLOOKUP(B1023,'Share, Heavy Weapons to Ukraine'!B:Z,COLUMN('Share, Heavy Weapons to Ukraine'!C1033)-1,0),0)</f>
        <v>0</v>
      </c>
      <c r="AY1023" s="1194">
        <f>VLOOKUP('Bilateral Assistance, MAIN DATA'!B1023,'Country Summary (€)'!B:F,COLUMN('Country Summary (€)'!C1034)-1,FALSE)</f>
        <v>1</v>
      </c>
      <c r="AZ1023" s="1194" t="str">
        <f>IF(AND(AD1023=1,D1023="Military",H1023&lt;&gt;"Not given")=TRUE,IF(SUMIFS(P:P,A:A,A1023)&gt;0,ABS((SUMIFS(P:P,A:A,A1023)/VLOOKUP("USD",'Exchange Rates'!B:C,2,0)))/S1023,"."),".")</f>
        <v>.</v>
      </c>
      <c r="BA1023" s="1196" t="str">
        <f>IF(AND(AD1023=1,D1023="Military",H1023&lt;&gt;"Not given")=TRUE,IF(SUMIFS(P:P,A:A,A1023)&gt;0,IF((ABS((SUMIFS(P:P,A:A,A1023)/VLOOKUP("USD",'Exchange Rates'!B:C,2,0)))/S1023)&gt;1,(SUMIFS(P:P,A:A,A1023)-S1023)/S1023,(S1023-SUMIFS(P:P,A:A,A1023))/SUMIFS(P:P,A:A,A1023)),"."),".")</f>
        <v>.</v>
      </c>
    </row>
    <row r="1024" spans="1:53" ht="15.95" customHeight="1">
      <c r="A1024" s="1290" t="s">
        <v>2811</v>
      </c>
      <c r="B1024" s="1290" t="s">
        <v>2693</v>
      </c>
      <c r="C1024" s="1181">
        <v>44896</v>
      </c>
      <c r="D1024" s="1272" t="s">
        <v>360</v>
      </c>
      <c r="E1024" s="1272" t="s">
        <v>371</v>
      </c>
      <c r="F1024" s="1183" t="s">
        <v>2812</v>
      </c>
      <c r="G1024" s="1273" t="s">
        <v>483</v>
      </c>
      <c r="H1024" s="1185">
        <v>3500000</v>
      </c>
      <c r="I1024" s="1290" t="s">
        <v>364</v>
      </c>
      <c r="J1024" s="1186" t="str">
        <f>VLOOKUP($I1024,'Price List, Weapons &amp; Items'!B:C,2,0)</f>
        <v>.</v>
      </c>
      <c r="K1024" s="1186" t="str">
        <f>IF(I1024=".",I1024,VLOOKUP($I1024,'Price List, Weapons &amp; Items'!B:D,3,0))</f>
        <v>.</v>
      </c>
      <c r="L1024" s="1187">
        <f>VLOOKUP(I1024,'Price List, Weapons &amp; Items'!B:E,4,0)</f>
        <v>0</v>
      </c>
      <c r="M1024" s="1188" t="s">
        <v>364</v>
      </c>
      <c r="N1024" s="1188" t="s">
        <v>364</v>
      </c>
      <c r="O1024" s="1188" t="str">
        <f>VLOOKUP($I1024,'Price List, Weapons &amp; Items'!B:G,6,0)</f>
        <v>.</v>
      </c>
      <c r="P1024" s="1185" t="str">
        <f t="shared" si="210"/>
        <v>.</v>
      </c>
      <c r="Q1024" s="1185" t="str">
        <f t="shared" si="211"/>
        <v>.</v>
      </c>
      <c r="R1024" s="1185">
        <f t="shared" si="207"/>
        <v>3500000</v>
      </c>
      <c r="S1024" s="1185">
        <f>IF(AND(AD1024=1,R1024&lt;&gt;".")=TRUE,R1024/VLOOKUP(G1024,'Exchange Rates'!B:C,2,0),IF(R1024=".",".",""))</f>
        <v>3500000</v>
      </c>
      <c r="T1024" s="1185" t="str">
        <f>IF(AD1024=1,IF(AF1024="Value is not given at all",".",IF(AF1024="Value is given by the source",S1024,IF(AF1024="Value is calculated with prices",(IF(SUMIFS(Q:Q,A:A,A1024)&gt;0,SUMIFS(Q:Q,A:A,A1024),"."))/VLOOKUP("USD",'Exchange Rates'!B:C,2,0),"Error with coding"))),"")</f>
        <v>.</v>
      </c>
      <c r="U1024" s="1187" t="s">
        <v>365</v>
      </c>
      <c r="V1024" s="993" t="s">
        <v>2813</v>
      </c>
      <c r="W1024" s="1027" t="s">
        <v>364</v>
      </c>
      <c r="X1024" s="1277" t="s">
        <v>364</v>
      </c>
      <c r="Y1024" s="1277" t="s">
        <v>364</v>
      </c>
      <c r="Z1024" s="1184">
        <v>0</v>
      </c>
      <c r="AA1024" s="1191">
        <v>0</v>
      </c>
      <c r="AB1024" s="1180" t="s">
        <v>364</v>
      </c>
      <c r="AC1024" s="1192" t="str">
        <f>""</f>
        <v/>
      </c>
      <c r="AD1024" s="985">
        <v>1</v>
      </c>
      <c r="AE1024" s="985" t="s">
        <v>368</v>
      </c>
      <c r="AF1024" s="985" t="s">
        <v>369</v>
      </c>
      <c r="AG1024" s="985">
        <v>1</v>
      </c>
      <c r="AH1024" s="1193">
        <v>12</v>
      </c>
      <c r="AI1024" s="1193">
        <v>0</v>
      </c>
      <c r="AJ1024" s="1193">
        <f>VLOOKUP($I1024,'Price List, Weapons &amp; Items'!B:F,5,0)</f>
        <v>0</v>
      </c>
      <c r="AK1024" s="1193">
        <f t="shared" si="212"/>
        <v>0</v>
      </c>
      <c r="AL1024" s="1193">
        <f t="shared" si="213"/>
        <v>0</v>
      </c>
      <c r="AM1024" s="1193">
        <f t="shared" si="214"/>
        <v>0</v>
      </c>
      <c r="AN1024" s="1194" t="str">
        <f>VLOOKUP($I1024,'Price List, Weapons &amp; Items'!B:L,COLUMN('Price List, Weapons &amp; Items'!$J$11)-1,0)</f>
        <v>.</v>
      </c>
      <c r="AO1024" s="1194" t="str">
        <f>IF(I1024=".",".",VLOOKUP($I1024,'Price List, Weapons &amp; Items'!B:J,3,0))</f>
        <v>.</v>
      </c>
      <c r="AP1024" s="1195" t="str">
        <f t="shared" ca="1" si="208"/>
        <v>.</v>
      </c>
      <c r="AQ1024" s="1194">
        <f>VLOOKUP($I1024,'Price List, Weapons &amp; Items'!B:L,COLUMN('Price List, Weapons &amp; Items'!$L$11)-1,0)</f>
        <v>0</v>
      </c>
      <c r="AR1024" s="1194">
        <f t="shared" si="215"/>
        <v>1</v>
      </c>
      <c r="AS1024" s="1194">
        <f t="shared" si="216"/>
        <v>0</v>
      </c>
      <c r="AT1024" s="1194">
        <f t="shared" si="217"/>
        <v>1</v>
      </c>
      <c r="AU1024" s="1194" t="str">
        <f t="shared" si="218"/>
        <v>.</v>
      </c>
      <c r="AV1024" s="1194" t="str">
        <f t="shared" si="209"/>
        <v>.</v>
      </c>
      <c r="AW1024" s="1194" t="str">
        <f t="shared" si="219"/>
        <v>.</v>
      </c>
      <c r="AX1024" s="1194">
        <f>IFERROR(VLOOKUP(B1024,'Share, Heavy Weapons to Ukraine'!B:Z,COLUMN('Share, Heavy Weapons to Ukraine'!C1034)-1,0),0)</f>
        <v>0</v>
      </c>
      <c r="AY1024" s="1194">
        <f>VLOOKUP('Bilateral Assistance, MAIN DATA'!B1024,'Country Summary (€)'!B:F,COLUMN('Country Summary (€)'!C1035)-1,FALSE)</f>
        <v>1</v>
      </c>
      <c r="AZ1024" s="1194" t="str">
        <f>IF(AND(AD1024=1,D1024="Military",H1024&lt;&gt;"Not given")=TRUE,IF(SUMIFS(P:P,A:A,A1024)&gt;0,ABS((SUMIFS(P:P,A:A,A1024)/VLOOKUP("USD",'Exchange Rates'!B:C,2,0)))/S1024,"."),".")</f>
        <v>.</v>
      </c>
      <c r="BA1024" s="1196" t="str">
        <f>IF(AND(AD1024=1,D1024="Military",H1024&lt;&gt;"Not given")=TRUE,IF(SUMIFS(P:P,A:A,A1024)&gt;0,IF((ABS((SUMIFS(P:P,A:A,A1024)/VLOOKUP("USD",'Exchange Rates'!B:C,2,0)))/S1024)&gt;1,(SUMIFS(P:P,A:A,A1024)-S1024)/S1024,(S1024-SUMIFS(P:P,A:A,A1024))/SUMIFS(P:P,A:A,A1024)),"."),".")</f>
        <v>.</v>
      </c>
    </row>
    <row r="1025" spans="1:53" s="1180" customFormat="1" ht="15.95" customHeight="1">
      <c r="A1025" s="1180" t="s">
        <v>2814</v>
      </c>
      <c r="B1025" s="1180" t="s">
        <v>2693</v>
      </c>
      <c r="C1025" s="1181">
        <v>44918</v>
      </c>
      <c r="D1025" s="1182" t="s">
        <v>360</v>
      </c>
      <c r="E1025" s="1182" t="s">
        <v>361</v>
      </c>
      <c r="F1025" s="1183" t="s">
        <v>2763</v>
      </c>
      <c r="G1025" s="1184" t="s">
        <v>483</v>
      </c>
      <c r="H1025" s="1185">
        <v>375000000</v>
      </c>
      <c r="I1025" s="1180" t="s">
        <v>364</v>
      </c>
      <c r="J1025" s="1186" t="str">
        <f>VLOOKUP($I1025,'Price List, Weapons &amp; Items'!B:C,2,0)</f>
        <v>.</v>
      </c>
      <c r="K1025" s="1186" t="str">
        <f>IF(I1025=".",I1025,VLOOKUP($I1025,'Price List, Weapons &amp; Items'!B:D,3,0))</f>
        <v>.</v>
      </c>
      <c r="L1025" s="1187">
        <f>VLOOKUP(I1025,'Price List, Weapons &amp; Items'!B:E,4,0)</f>
        <v>0</v>
      </c>
      <c r="M1025" s="1188" t="s">
        <v>364</v>
      </c>
      <c r="N1025" s="1275" t="s">
        <v>364</v>
      </c>
      <c r="O1025" s="1188" t="str">
        <f>VLOOKUP($I1025,'Price List, Weapons &amp; Items'!B:G,6,0)</f>
        <v>.</v>
      </c>
      <c r="P1025" s="1185" t="str">
        <f t="shared" si="210"/>
        <v>.</v>
      </c>
      <c r="Q1025" s="1185" t="str">
        <f t="shared" si="211"/>
        <v>.</v>
      </c>
      <c r="R1025" s="1185">
        <f t="shared" si="207"/>
        <v>375000000</v>
      </c>
      <c r="S1025" s="1185">
        <f>IF(AND(AD1025=1,R1025&lt;&gt;".")=TRUE,R1025/VLOOKUP(G1025,'Exchange Rates'!B:C,2,0),IF(R1025=".",".",""))</f>
        <v>375000000</v>
      </c>
      <c r="T1025" s="1185" t="str">
        <f>IF(AD1025=1,IF(AF1025="Value is not given at all",".",IF(AF1025="Value is given by the source",S1025,IF(AF1025="Value is calculated with prices",(IF(SUMIFS(Q:Q,A:A,A1025)&gt;0,SUMIFS(Q:Q,A:A,A1025),"."))/VLOOKUP("USD",'Exchange Rates'!B:C,2,0),"Error with coding"))),"")</f>
        <v>.</v>
      </c>
      <c r="U1025" s="1184" t="s">
        <v>365</v>
      </c>
      <c r="V1025" s="973" t="s">
        <v>2764</v>
      </c>
      <c r="W1025" s="980" t="s">
        <v>2765</v>
      </c>
      <c r="X1025" s="1190" t="s">
        <v>364</v>
      </c>
      <c r="Y1025" s="1190" t="s">
        <v>364</v>
      </c>
      <c r="Z1025" s="1184">
        <v>0</v>
      </c>
      <c r="AA1025" s="1194">
        <v>0</v>
      </c>
      <c r="AB1025" s="1180" t="s">
        <v>364</v>
      </c>
      <c r="AC1025" s="1192" t="str">
        <f>""</f>
        <v/>
      </c>
      <c r="AD1025" s="985">
        <v>1</v>
      </c>
      <c r="AE1025" s="985" t="s">
        <v>368</v>
      </c>
      <c r="AF1025" s="985" t="s">
        <v>369</v>
      </c>
      <c r="AG1025" s="985">
        <v>1</v>
      </c>
      <c r="AH1025" s="985">
        <v>12</v>
      </c>
      <c r="AI1025" s="985">
        <v>0</v>
      </c>
      <c r="AJ1025" s="1193">
        <f>VLOOKUP($I1025,'Price List, Weapons &amp; Items'!B:F,5,0)</f>
        <v>0</v>
      </c>
      <c r="AK1025" s="1193">
        <f t="shared" si="212"/>
        <v>0</v>
      </c>
      <c r="AL1025" s="1193">
        <f t="shared" si="213"/>
        <v>0</v>
      </c>
      <c r="AM1025" s="1193">
        <f t="shared" si="214"/>
        <v>0</v>
      </c>
      <c r="AN1025" s="1194" t="str">
        <f>VLOOKUP($I1025,'Price List, Weapons &amp; Items'!B:L,COLUMN('Price List, Weapons &amp; Items'!$J$11)-1,0)</f>
        <v>.</v>
      </c>
      <c r="AO1025" s="1194" t="str">
        <f>IF(I1025=".",".",VLOOKUP($I1025,'Price List, Weapons &amp; Items'!B:J,3,0))</f>
        <v>.</v>
      </c>
      <c r="AP1025" s="1195" t="str">
        <f t="shared" ca="1" si="208"/>
        <v>.</v>
      </c>
      <c r="AQ1025" s="1194">
        <f>VLOOKUP($I1025,'Price List, Weapons &amp; Items'!B:L,COLUMN('Price List, Weapons &amp; Items'!$L$11)-1,0)</f>
        <v>0</v>
      </c>
      <c r="AR1025" s="1194">
        <f t="shared" si="215"/>
        <v>1</v>
      </c>
      <c r="AS1025" s="1194">
        <f t="shared" si="216"/>
        <v>0</v>
      </c>
      <c r="AT1025" s="1194">
        <f t="shared" si="217"/>
        <v>1</v>
      </c>
      <c r="AU1025" s="1194" t="str">
        <f t="shared" si="218"/>
        <v>.</v>
      </c>
      <c r="AV1025" s="1194" t="str">
        <f t="shared" si="209"/>
        <v>.</v>
      </c>
      <c r="AW1025" s="1194" t="str">
        <f t="shared" si="219"/>
        <v>.</v>
      </c>
      <c r="AX1025" s="1194">
        <f>IFERROR(VLOOKUP(B1025,'Share, Heavy Weapons to Ukraine'!B:Z,COLUMN('Share, Heavy Weapons to Ukraine'!C1035)-1,0),0)</f>
        <v>0</v>
      </c>
      <c r="AY1025" s="1194">
        <f>VLOOKUP('Bilateral Assistance, MAIN DATA'!B1025,'Country Summary (€)'!B:F,COLUMN('Country Summary (€)'!C1036)-1,FALSE)</f>
        <v>1</v>
      </c>
      <c r="AZ1025" s="1194" t="str">
        <f>IF(AND(AD1025=1,D1025="Military",H1025&lt;&gt;"Not given")=TRUE,IF(SUMIFS(P:P,A:A,A1025)&gt;0,ABS((SUMIFS(P:P,A:A,A1025)/VLOOKUP("USD",'Exchange Rates'!B:C,2,0)))/S1025,"."),".")</f>
        <v>.</v>
      </c>
      <c r="BA1025" s="1196" t="str">
        <f>IF(AND(AD1025=1,D1025="Military",H1025&lt;&gt;"Not given")=TRUE,IF(SUMIFS(P:P,A:A,A1025)&gt;0,IF((ABS((SUMIFS(P:P,A:A,A1025)/VLOOKUP("USD",'Exchange Rates'!B:C,2,0)))/S1025)&gt;1,(SUMIFS(P:P,A:A,A1025)-S1025)/S1025,(S1025-SUMIFS(P:P,A:A,A1025))/SUMIFS(P:P,A:A,A1025)),"."),".")</f>
        <v>.</v>
      </c>
    </row>
    <row r="1026" spans="1:53" s="1180" customFormat="1" ht="15.95" customHeight="1">
      <c r="A1026" s="1180" t="s">
        <v>2814</v>
      </c>
      <c r="B1026" s="1180" t="s">
        <v>2693</v>
      </c>
      <c r="C1026" s="1181">
        <v>45019</v>
      </c>
      <c r="D1026" s="1182" t="s">
        <v>360</v>
      </c>
      <c r="E1026" s="1182" t="s">
        <v>361</v>
      </c>
      <c r="F1026" s="1183" t="s">
        <v>2815</v>
      </c>
      <c r="G1026" s="1184" t="s">
        <v>483</v>
      </c>
      <c r="H1026" s="1185">
        <v>180000000</v>
      </c>
      <c r="I1026" s="1180" t="s">
        <v>364</v>
      </c>
      <c r="J1026" s="1186" t="str">
        <f>VLOOKUP($I1026,'Price List, Weapons &amp; Items'!B:C,2,0)</f>
        <v>.</v>
      </c>
      <c r="K1026" s="1186" t="str">
        <f>IF(I1026=".",I1026,VLOOKUP($I1026,'Price List, Weapons &amp; Items'!B:D,3,0))</f>
        <v>.</v>
      </c>
      <c r="L1026" s="1187">
        <f>VLOOKUP(I1026,'Price List, Weapons &amp; Items'!B:E,4,0)</f>
        <v>0</v>
      </c>
      <c r="M1026" s="1188" t="s">
        <v>364</v>
      </c>
      <c r="N1026" s="1275" t="s">
        <v>364</v>
      </c>
      <c r="O1026" s="1188" t="str">
        <f>VLOOKUP($I1026,'Price List, Weapons &amp; Items'!B:G,6,0)</f>
        <v>.</v>
      </c>
      <c r="P1026" s="1185" t="str">
        <f t="shared" si="210"/>
        <v>.</v>
      </c>
      <c r="Q1026" s="1185" t="str">
        <f t="shared" si="211"/>
        <v>.</v>
      </c>
      <c r="R1026" s="1185" t="str">
        <f t="shared" ref="R1026:R1089" si="220">IF(AD1026=1,IF(H1026&lt;&gt;"Not given",H1026,IF(TYPE(H1026)=2,IF(SUMIFS(P:P,A:A,A1026)&gt;0,SUMIFS(P:P,A:A,A1026),"."),"Format error")),"")</f>
        <v/>
      </c>
      <c r="S1026" s="1185" t="str">
        <f>IF(AND(AD1026=1,R1026&lt;&gt;".")=TRUE,R1026/VLOOKUP(G1026,'Exchange Rates'!B:C,2,0),IF(R1026=".",".",""))</f>
        <v/>
      </c>
      <c r="T1026" s="1185" t="str">
        <f>IF(AD1026=1,IF(AF1026="Value is not given at all",".",IF(AF1026="Value is given by the source",S1026,IF(AF1026="Value is calculated with prices",(IF(SUMIFS(Q:Q,A:A,A1026)&gt;0,SUMIFS(Q:Q,A:A,A1026),"."))/VLOOKUP("USD",'Exchange Rates'!B:C,2,0),"Error with coding"))),"")</f>
        <v/>
      </c>
      <c r="U1026" s="1184" t="s">
        <v>365</v>
      </c>
      <c r="V1026" s="973" t="s">
        <v>2816</v>
      </c>
      <c r="W1026" s="980" t="s">
        <v>2817</v>
      </c>
      <c r="X1026" s="1190" t="s">
        <v>364</v>
      </c>
      <c r="Y1026" s="1190" t="s">
        <v>364</v>
      </c>
      <c r="Z1026" s="1184">
        <v>0</v>
      </c>
      <c r="AA1026" s="1191">
        <v>1</v>
      </c>
      <c r="AB1026" s="1180" t="s">
        <v>364</v>
      </c>
      <c r="AC1026" s="1192" t="str">
        <f>""</f>
        <v/>
      </c>
      <c r="AD1026" s="985">
        <v>0</v>
      </c>
      <c r="AE1026" s="985" t="s">
        <v>368</v>
      </c>
      <c r="AF1026" s="985" t="s">
        <v>369</v>
      </c>
      <c r="AG1026" s="985">
        <v>1</v>
      </c>
      <c r="AH1026" s="985">
        <v>16</v>
      </c>
      <c r="AI1026" s="985">
        <v>0</v>
      </c>
      <c r="AJ1026" s="1193">
        <f>VLOOKUP($I1026,'Price List, Weapons &amp; Items'!B:F,5,0)</f>
        <v>0</v>
      </c>
      <c r="AK1026" s="1193">
        <f t="shared" si="212"/>
        <v>0</v>
      </c>
      <c r="AL1026" s="1193">
        <f t="shared" si="213"/>
        <v>0</v>
      </c>
      <c r="AM1026" s="1193">
        <f t="shared" si="214"/>
        <v>0</v>
      </c>
      <c r="AN1026" s="1194" t="str">
        <f>VLOOKUP($I1026,'Price List, Weapons &amp; Items'!B:L,COLUMN('Price List, Weapons &amp; Items'!$J$11)-1,0)</f>
        <v>.</v>
      </c>
      <c r="AO1026" s="1194" t="str">
        <f>IF(I1026=".",".",VLOOKUP($I1026,'Price List, Weapons &amp; Items'!B:J,3,0))</f>
        <v>.</v>
      </c>
      <c r="AP1026" s="1195" t="str">
        <f t="shared" ref="AP1026:AP1089" ca="1" si="221">IF(AD1026=1,(OFFSET(I1026,0,0,COUNTIF(A:A,A1026),1)),"")</f>
        <v/>
      </c>
      <c r="AQ1026" s="1194">
        <f>VLOOKUP($I1026,'Price List, Weapons &amp; Items'!B:L,COLUMN('Price List, Weapons &amp; Items'!$L$11)-1,0)</f>
        <v>0</v>
      </c>
      <c r="AR1026" s="1194">
        <f t="shared" si="215"/>
        <v>1</v>
      </c>
      <c r="AS1026" s="1194">
        <f t="shared" si="216"/>
        <v>0</v>
      </c>
      <c r="AT1026" s="1194">
        <f t="shared" si="217"/>
        <v>1</v>
      </c>
      <c r="AU1026" s="1194" t="str">
        <f t="shared" si="218"/>
        <v>.</v>
      </c>
      <c r="AV1026" s="1194" t="str">
        <f t="shared" ref="AV1026:AV1089" si="222">IF(AND(_xlfn.ISFORMULA(R1026),_xlfn.ISFORMULA(S1026),_xlfn.ISFORMULA(T1026))=TRUE,".",1)</f>
        <v>.</v>
      </c>
      <c r="AW1026" s="1194" t="str">
        <f t="shared" si="219"/>
        <v>.</v>
      </c>
      <c r="AX1026" s="1194">
        <f>IFERROR(VLOOKUP(B1026,'Share, Heavy Weapons to Ukraine'!B:Z,COLUMN('Share, Heavy Weapons to Ukraine'!C1036)-1,0),0)</f>
        <v>0</v>
      </c>
      <c r="AY1026" s="1194">
        <f>VLOOKUP('Bilateral Assistance, MAIN DATA'!B1026,'Country Summary (€)'!B:F,COLUMN('Country Summary (€)'!C1037)-1,FALSE)</f>
        <v>1</v>
      </c>
      <c r="AZ1026" s="1194" t="str">
        <f>IF(AND(AD1026=1,D1026="Military",H1026&lt;&gt;"Not given")=TRUE,IF(SUMIFS(P:P,A:A,A1026)&gt;0,ABS((SUMIFS(P:P,A:A,A1026)/VLOOKUP("USD",'Exchange Rates'!B:C,2,0)))/S1026,"."),".")</f>
        <v>.</v>
      </c>
      <c r="BA1026" s="1196" t="str">
        <f>IF(AND(AD1026=1,D1026="Military",H1026&lt;&gt;"Not given")=TRUE,IF(SUMIFS(P:P,A:A,A1026)&gt;0,IF((ABS((SUMIFS(P:P,A:A,A1026)/VLOOKUP("USD",'Exchange Rates'!B:C,2,0)))/S1026)&gt;1,(SUMIFS(P:P,A:A,A1026)-S1026)/S1026,(S1026-SUMIFS(P:P,A:A,A1026))/SUMIFS(P:P,A:A,A1026)),"."),".")</f>
        <v>.</v>
      </c>
    </row>
    <row r="1027" spans="1:53" ht="15.95" customHeight="1">
      <c r="A1027" s="1180" t="s">
        <v>2818</v>
      </c>
      <c r="B1027" s="1180" t="s">
        <v>2693</v>
      </c>
      <c r="C1027" s="1181">
        <v>44627</v>
      </c>
      <c r="D1027" s="1182" t="s">
        <v>544</v>
      </c>
      <c r="E1027" s="1182" t="s">
        <v>495</v>
      </c>
      <c r="F1027" s="1183" t="s">
        <v>2819</v>
      </c>
      <c r="G1027" s="1184" t="s">
        <v>483</v>
      </c>
      <c r="H1027" s="1185">
        <v>80000000</v>
      </c>
      <c r="I1027" s="1180" t="s">
        <v>364</v>
      </c>
      <c r="J1027" s="1186" t="str">
        <f>VLOOKUP($I1027,'Price List, Weapons &amp; Items'!B:C,2,0)</f>
        <v>.</v>
      </c>
      <c r="K1027" s="1186" t="str">
        <f>IF(I1027=".",I1027,VLOOKUP($I1027,'Price List, Weapons &amp; Items'!B:D,3,0))</f>
        <v>.</v>
      </c>
      <c r="L1027" s="1187">
        <f>VLOOKUP(I1027,'Price List, Weapons &amp; Items'!B:E,4,0)</f>
        <v>0</v>
      </c>
      <c r="M1027" s="1188" t="s">
        <v>364</v>
      </c>
      <c r="N1027" s="1188" t="s">
        <v>364</v>
      </c>
      <c r="O1027" s="1188" t="str">
        <f>VLOOKUP($I1027,'Price List, Weapons &amp; Items'!B:G,6,0)</f>
        <v>.</v>
      </c>
      <c r="P1027" s="1185" t="str">
        <f t="shared" ref="P1027:P1090" si="223">IF(TYPE(M1027)=1,IF(TYPE(O1027)=1,M1027*O1027,"No price"),".")</f>
        <v>.</v>
      </c>
      <c r="Q1027" s="1185" t="str">
        <f t="shared" ref="Q1027:Q1090" si="224">IF(TYPE(N1027)=1,IF(TYPE(O1027)=1,N1027*O1027,"No price"),".")</f>
        <v>.</v>
      </c>
      <c r="R1027" s="1185">
        <f t="shared" si="220"/>
        <v>80000000</v>
      </c>
      <c r="S1027" s="1185">
        <f>IF(AND(AD1027=1,R1027&lt;&gt;".")=TRUE,R1027/VLOOKUP(G1027,'Exchange Rates'!B:C,2,0),IF(R1027=".",".",""))</f>
        <v>80000000</v>
      </c>
      <c r="T1027" s="1185" t="str">
        <f>IF(AD1027=1,IF(AF1027="Value is not given at all",".",IF(AF1027="Value is given by the source",S1027,IF(AF1027="Value is calculated with prices",(IF(SUMIFS(Q:Q,A:A,A1027)&gt;0,SUMIFS(Q:Q,A:A,A1027),"."))/VLOOKUP("USD",'Exchange Rates'!B:C,2,0),"Error with coding"))),"")</f>
        <v>.</v>
      </c>
      <c r="U1027" s="1184" t="s">
        <v>365</v>
      </c>
      <c r="V1027" s="971" t="s">
        <v>1298</v>
      </c>
      <c r="W1027" s="1277" t="s">
        <v>364</v>
      </c>
      <c r="X1027" s="1277" t="s">
        <v>364</v>
      </c>
      <c r="Y1027" s="1277" t="s">
        <v>364</v>
      </c>
      <c r="Z1027" s="1184">
        <v>1</v>
      </c>
      <c r="AA1027" s="1194">
        <v>0</v>
      </c>
      <c r="AB1027" s="1201" t="s">
        <v>364</v>
      </c>
      <c r="AC1027" s="1192" t="str">
        <f>""</f>
        <v/>
      </c>
      <c r="AD1027" s="1193">
        <v>1</v>
      </c>
      <c r="AE1027" s="1193" t="s">
        <v>368</v>
      </c>
      <c r="AF1027" s="1193" t="s">
        <v>369</v>
      </c>
      <c r="AG1027" s="1193">
        <v>1</v>
      </c>
      <c r="AH1027" s="1193">
        <v>3</v>
      </c>
      <c r="AI1027" s="1193">
        <v>0</v>
      </c>
      <c r="AJ1027" s="1193">
        <f>VLOOKUP($I1027,'Price List, Weapons &amp; Items'!B:F,5,0)</f>
        <v>0</v>
      </c>
      <c r="AK1027" s="1193">
        <f t="shared" ref="AK1027:AK1090" si="225">IF(AND(AJ1027=1,M1027="undisclosed")=TRUE,1,0)</f>
        <v>0</v>
      </c>
      <c r="AL1027" s="1193">
        <f t="shared" ref="AL1027:AL1090" si="226">IF(AND(AJ1027=1,N1027="undisclosed")=TRUE,1,0)</f>
        <v>0</v>
      </c>
      <c r="AM1027" s="1193">
        <f t="shared" ref="AM1027:AM1090" si="227">IFERROR(IF(SEARCH("ammuni",I1027,1)&gt;0,1,0),0)</f>
        <v>0</v>
      </c>
      <c r="AN1027" s="1194" t="str">
        <f>VLOOKUP($I1027,'Price List, Weapons &amp; Items'!B:L,COLUMN('Price List, Weapons &amp; Items'!$J$11)-1,0)</f>
        <v>.</v>
      </c>
      <c r="AO1027" s="1194" t="str">
        <f>IF(I1027=".",".",VLOOKUP($I1027,'Price List, Weapons &amp; Items'!B:J,3,0))</f>
        <v>.</v>
      </c>
      <c r="AP1027" s="1195" t="str">
        <f t="shared" ca="1" si="221"/>
        <v>.</v>
      </c>
      <c r="AQ1027" s="1194">
        <f>VLOOKUP($I1027,'Price List, Weapons &amp; Items'!B:L,COLUMN('Price List, Weapons &amp; Items'!$L$11)-1,0)</f>
        <v>0</v>
      </c>
      <c r="AR1027" s="1194">
        <f t="shared" ref="AR1027:AR1090" si="228">IF(U1027="Yes",1,0)</f>
        <v>1</v>
      </c>
      <c r="AS1027" s="1194">
        <f t="shared" ref="AS1027:AS1090" si="229">IF(D1027="Military",IF(OR(IFERROR(SEARCH("equipment",E1027,1),0)&gt;0,IFERROR(SEARCH("weapons",E1027,1),0)&gt;0),1,0),0)</f>
        <v>0</v>
      </c>
      <c r="AT1027" s="1194">
        <f t="shared" ref="AT1027:AT1090" si="230">IFERROR(IF(VALUE(TEXT(C1027,"mm"))=IF(AH1027&gt;12,AH1027-12,AH1027),".",IF(TEXT(C1027,"mm")="01",".",1)),"Value is not in date format")</f>
        <v>1</v>
      </c>
      <c r="AU1027" s="1194" t="str">
        <f t="shared" ref="AU1027:AU1090" si="231">IF(AND(A1027=A1026,C1027=C1026)=TRUE,IF(F1027=F1026,".","1"),".")</f>
        <v>.</v>
      </c>
      <c r="AV1027" s="1194" t="str">
        <f t="shared" si="222"/>
        <v>.</v>
      </c>
      <c r="AW1027" s="1194" t="str">
        <f t="shared" ref="AW1027:AW1090" si="232">IF(T1027&lt;&gt;".",IF(T1027&gt;S1027,1,"."),".")</f>
        <v>.</v>
      </c>
      <c r="AX1027" s="1194">
        <f>IFERROR(VLOOKUP(B1027,'Share, Heavy Weapons to Ukraine'!B:Z,COLUMN('Share, Heavy Weapons to Ukraine'!C1037)-1,0),0)</f>
        <v>0</v>
      </c>
      <c r="AY1027" s="1194">
        <f>VLOOKUP('Bilateral Assistance, MAIN DATA'!B1027,'Country Summary (€)'!B:F,COLUMN('Country Summary (€)'!C1038)-1,FALSE)</f>
        <v>1</v>
      </c>
      <c r="AZ1027" s="1194" t="str">
        <f>IF(AND(AD1027=1,D1027="Military",H1027&lt;&gt;"Not given")=TRUE,IF(SUMIFS(P:P,A:A,A1027)&gt;0,ABS((SUMIFS(P:P,A:A,A1027)/VLOOKUP("USD",'Exchange Rates'!B:C,2,0)))/S1027,"."),".")</f>
        <v>.</v>
      </c>
      <c r="BA1027" s="1196" t="str">
        <f>IF(AND(AD1027=1,D1027="Military",H1027&lt;&gt;"Not given")=TRUE,IF(SUMIFS(P:P,A:A,A1027)&gt;0,IF((ABS((SUMIFS(P:P,A:A,A1027)/VLOOKUP("USD",'Exchange Rates'!B:C,2,0)))/S1027)&gt;1,(SUMIFS(P:P,A:A,A1027)-S1027)/S1027,(S1027-SUMIFS(P:P,A:A,A1027))/SUMIFS(P:P,A:A,A1027)),"."),".")</f>
        <v>.</v>
      </c>
    </row>
    <row r="1028" spans="1:53" ht="15.95" customHeight="1">
      <c r="A1028" s="1180" t="s">
        <v>2820</v>
      </c>
      <c r="B1028" s="1180" t="s">
        <v>2693</v>
      </c>
      <c r="C1028" s="1181">
        <v>44738</v>
      </c>
      <c r="D1028" s="1182" t="s">
        <v>544</v>
      </c>
      <c r="E1028" s="1182" t="s">
        <v>495</v>
      </c>
      <c r="F1028" s="1263" t="s">
        <v>2821</v>
      </c>
      <c r="G1028" s="1184" t="s">
        <v>456</v>
      </c>
      <c r="H1028" s="1185">
        <v>21000000</v>
      </c>
      <c r="I1028" s="1266" t="s">
        <v>364</v>
      </c>
      <c r="J1028" s="1186" t="str">
        <f>VLOOKUP($I1028,'Price List, Weapons &amp; Items'!B:C,2,0)</f>
        <v>.</v>
      </c>
      <c r="K1028" s="1186" t="str">
        <f>IF(I1028=".",I1028,VLOOKUP($I1028,'Price List, Weapons &amp; Items'!B:D,3,0))</f>
        <v>.</v>
      </c>
      <c r="L1028" s="1187">
        <f>VLOOKUP(I1028,'Price List, Weapons &amp; Items'!B:E,4,0)</f>
        <v>0</v>
      </c>
      <c r="M1028" s="1188" t="s">
        <v>364</v>
      </c>
      <c r="N1028" s="1188" t="s">
        <v>364</v>
      </c>
      <c r="O1028" s="1188" t="str">
        <f>VLOOKUP($I1028,'Price List, Weapons &amp; Items'!B:G,6,0)</f>
        <v>.</v>
      </c>
      <c r="P1028" s="1185" t="str">
        <f t="shared" si="223"/>
        <v>.</v>
      </c>
      <c r="Q1028" s="1185" t="str">
        <f t="shared" si="224"/>
        <v>.</v>
      </c>
      <c r="R1028" s="1185">
        <f t="shared" si="220"/>
        <v>21000000</v>
      </c>
      <c r="S1028" s="1185">
        <f>IF(AND(AD1028=1,R1028&lt;&gt;".")=TRUE,R1028/VLOOKUP(G1028,'Exchange Rates'!B:C,2,0),IF(R1028=".",".",""))</f>
        <v>19322782.480677217</v>
      </c>
      <c r="T1028" s="1185" t="str">
        <f>IF(AD1028=1,IF(AF1028="Value is not given at all",".",IF(AF1028="Value is given by the source",S1028,IF(AF1028="Value is calculated with prices",(IF(SUMIFS(Q:Q,A:A,A1028)&gt;0,SUMIFS(Q:Q,A:A,A1028),"."))/VLOOKUP("USD",'Exchange Rates'!B:C,2,0),"Error with coding"))),"")</f>
        <v>.</v>
      </c>
      <c r="U1028" s="1184" t="s">
        <v>365</v>
      </c>
      <c r="V1028" s="973" t="s">
        <v>663</v>
      </c>
      <c r="W1028" s="980" t="s">
        <v>665</v>
      </c>
      <c r="X1028" s="981" t="s">
        <v>364</v>
      </c>
      <c r="Y1028" s="1190" t="s">
        <v>364</v>
      </c>
      <c r="Z1028" s="1184">
        <v>1</v>
      </c>
      <c r="AA1028" s="1191">
        <v>0</v>
      </c>
      <c r="AB1028" s="1036" t="s">
        <v>364</v>
      </c>
      <c r="AC1028" s="1192" t="str">
        <f>""</f>
        <v/>
      </c>
      <c r="AD1028" s="1193">
        <v>1</v>
      </c>
      <c r="AE1028" s="1193" t="s">
        <v>368</v>
      </c>
      <c r="AF1028" s="1193" t="s">
        <v>369</v>
      </c>
      <c r="AG1028" s="1193">
        <v>1</v>
      </c>
      <c r="AH1028" s="1193">
        <v>6</v>
      </c>
      <c r="AI1028" s="1193">
        <v>0</v>
      </c>
      <c r="AJ1028" s="1193">
        <f>VLOOKUP($I1028,'Price List, Weapons &amp; Items'!B:F,5,0)</f>
        <v>0</v>
      </c>
      <c r="AK1028" s="1193">
        <f t="shared" si="225"/>
        <v>0</v>
      </c>
      <c r="AL1028" s="1193">
        <f t="shared" si="226"/>
        <v>0</v>
      </c>
      <c r="AM1028" s="1193">
        <f t="shared" si="227"/>
        <v>0</v>
      </c>
      <c r="AN1028" s="1194" t="str">
        <f>VLOOKUP($I1028,'Price List, Weapons &amp; Items'!B:L,COLUMN('Price List, Weapons &amp; Items'!$J$11)-1,0)</f>
        <v>.</v>
      </c>
      <c r="AO1028" s="1194" t="str">
        <f>IF(I1028=".",".",VLOOKUP($I1028,'Price List, Weapons &amp; Items'!B:J,3,0))</f>
        <v>.</v>
      </c>
      <c r="AP1028" s="1195" t="str">
        <f t="shared" ca="1" si="221"/>
        <v>.</v>
      </c>
      <c r="AQ1028" s="1194">
        <f>VLOOKUP($I1028,'Price List, Weapons &amp; Items'!B:L,COLUMN('Price List, Weapons &amp; Items'!$L$11)-1,0)</f>
        <v>0</v>
      </c>
      <c r="AR1028" s="1194">
        <f t="shared" si="228"/>
        <v>1</v>
      </c>
      <c r="AS1028" s="1194">
        <f t="shared" si="229"/>
        <v>0</v>
      </c>
      <c r="AT1028" s="1194">
        <f t="shared" si="230"/>
        <v>1</v>
      </c>
      <c r="AU1028" s="1194" t="str">
        <f t="shared" si="231"/>
        <v>.</v>
      </c>
      <c r="AV1028" s="1194" t="str">
        <f t="shared" si="222"/>
        <v>.</v>
      </c>
      <c r="AW1028" s="1194" t="str">
        <f t="shared" si="232"/>
        <v>.</v>
      </c>
      <c r="AX1028" s="1194">
        <f>IFERROR(VLOOKUP(B1028,'Share, Heavy Weapons to Ukraine'!B:Z,COLUMN('Share, Heavy Weapons to Ukraine'!C1038)-1,0),0)</f>
        <v>0</v>
      </c>
      <c r="AY1028" s="1194">
        <f>VLOOKUP('Bilateral Assistance, MAIN DATA'!B1028,'Country Summary (€)'!B:F,COLUMN('Country Summary (€)'!C1039)-1,FALSE)</f>
        <v>1</v>
      </c>
      <c r="AZ1028" s="1194" t="str">
        <f>IF(AND(AD1028=1,D1028="Military",H1028&lt;&gt;"Not given")=TRUE,IF(SUMIFS(P:P,A:A,A1028)&gt;0,ABS((SUMIFS(P:P,A:A,A1028)/VLOOKUP("USD",'Exchange Rates'!B:C,2,0)))/S1028,"."),".")</f>
        <v>.</v>
      </c>
      <c r="BA1028" s="1196" t="str">
        <f>IF(AND(AD1028=1,D1028="Military",H1028&lt;&gt;"Not given")=TRUE,IF(SUMIFS(P:P,A:A,A1028)&gt;0,IF((ABS((SUMIFS(P:P,A:A,A1028)/VLOOKUP("USD",'Exchange Rates'!B:C,2,0)))/S1028)&gt;1,(SUMIFS(P:P,A:A,A1028)-S1028)/S1028,(S1028-SUMIFS(P:P,A:A,A1028))/SUMIFS(P:P,A:A,A1028)),"."),".")</f>
        <v>.</v>
      </c>
    </row>
    <row r="1029" spans="1:53" ht="15.95" customHeight="1">
      <c r="A1029" s="1180" t="s">
        <v>2822</v>
      </c>
      <c r="B1029" s="1180" t="s">
        <v>2693</v>
      </c>
      <c r="C1029" s="1181">
        <v>44747</v>
      </c>
      <c r="D1029" s="1182" t="s">
        <v>544</v>
      </c>
      <c r="E1029" s="1182" t="s">
        <v>714</v>
      </c>
      <c r="F1029" s="1183" t="s">
        <v>2823</v>
      </c>
      <c r="G1029" s="1184" t="s">
        <v>483</v>
      </c>
      <c r="H1029" s="1185">
        <v>200000000</v>
      </c>
      <c r="I1029" s="1180" t="s">
        <v>364</v>
      </c>
      <c r="J1029" s="1186" t="str">
        <f>VLOOKUP($I1029,'Price List, Weapons &amp; Items'!B:C,2,0)</f>
        <v>.</v>
      </c>
      <c r="K1029" s="1186" t="str">
        <f>IF(I1029=".",I1029,VLOOKUP($I1029,'Price List, Weapons &amp; Items'!B:D,3,0))</f>
        <v>.</v>
      </c>
      <c r="L1029" s="1187">
        <f>VLOOKUP(I1029,'Price List, Weapons &amp; Items'!B:E,4,0)</f>
        <v>0</v>
      </c>
      <c r="M1029" s="1188" t="s">
        <v>364</v>
      </c>
      <c r="N1029" s="1275" t="s">
        <v>364</v>
      </c>
      <c r="O1029" s="1188" t="str">
        <f>VLOOKUP($I1029,'Price List, Weapons &amp; Items'!B:G,6,0)</f>
        <v>.</v>
      </c>
      <c r="P1029" s="1185" t="str">
        <f t="shared" si="223"/>
        <v>.</v>
      </c>
      <c r="Q1029" s="1185" t="str">
        <f t="shared" si="224"/>
        <v>.</v>
      </c>
      <c r="R1029" s="1185">
        <f t="shared" si="220"/>
        <v>200000000</v>
      </c>
      <c r="S1029" s="1185">
        <f>IF(AND(AD1029=1,R1029&lt;&gt;".")=TRUE,R1029/VLOOKUP(G1029,'Exchange Rates'!B:C,2,0),IF(R1029=".",".",""))</f>
        <v>200000000</v>
      </c>
      <c r="T1029" s="1185" t="str">
        <f>IF(AD1029=1,IF(AF1029="Value is not given at all",".",IF(AF1029="Value is given by the source",S1029,IF(AF1029="Value is calculated with prices",(IF(SUMIFS(Q:Q,A:A,A1029)&gt;0,SUMIFS(Q:Q,A:A,A1029),"."))/VLOOKUP("USD",'Exchange Rates'!B:C,2,0),"Error with coding"))),"")</f>
        <v>.</v>
      </c>
      <c r="U1029" s="1187" t="s">
        <v>365</v>
      </c>
      <c r="V1029" s="993" t="s">
        <v>2824</v>
      </c>
      <c r="W1029" s="994" t="s">
        <v>2825</v>
      </c>
      <c r="X1029" s="1190" t="s">
        <v>364</v>
      </c>
      <c r="Y1029" s="1190" t="s">
        <v>364</v>
      </c>
      <c r="Z1029" s="1184">
        <v>1</v>
      </c>
      <c r="AA1029" s="1194">
        <v>0</v>
      </c>
      <c r="AB1029" s="1180" t="s">
        <v>364</v>
      </c>
      <c r="AC1029" s="1192" t="str">
        <f>""</f>
        <v/>
      </c>
      <c r="AD1029" s="985">
        <v>1</v>
      </c>
      <c r="AE1029" s="985" t="s">
        <v>368</v>
      </c>
      <c r="AF1029" s="985" t="s">
        <v>369</v>
      </c>
      <c r="AG1029" s="985">
        <v>1</v>
      </c>
      <c r="AH1029" s="1193">
        <v>7</v>
      </c>
      <c r="AI1029" s="1193">
        <v>0</v>
      </c>
      <c r="AJ1029" s="1193">
        <f>VLOOKUP($I1029,'Price List, Weapons &amp; Items'!B:F,5,0)</f>
        <v>0</v>
      </c>
      <c r="AK1029" s="1193">
        <f t="shared" si="225"/>
        <v>0</v>
      </c>
      <c r="AL1029" s="1193">
        <f t="shared" si="226"/>
        <v>0</v>
      </c>
      <c r="AM1029" s="1193">
        <f t="shared" si="227"/>
        <v>0</v>
      </c>
      <c r="AN1029" s="1194" t="str">
        <f>VLOOKUP($I1029,'Price List, Weapons &amp; Items'!B:L,COLUMN('Price List, Weapons &amp; Items'!$J$11)-1,0)</f>
        <v>.</v>
      </c>
      <c r="AO1029" s="1194" t="str">
        <f>IF(I1029=".",".",VLOOKUP($I1029,'Price List, Weapons &amp; Items'!B:J,3,0))</f>
        <v>.</v>
      </c>
      <c r="AP1029" s="1195" t="str">
        <f t="shared" ca="1" si="221"/>
        <v>.</v>
      </c>
      <c r="AQ1029" s="1194">
        <f>VLOOKUP($I1029,'Price List, Weapons &amp; Items'!B:L,COLUMN('Price List, Weapons &amp; Items'!$L$11)-1,0)</f>
        <v>0</v>
      </c>
      <c r="AR1029" s="1194">
        <f t="shared" si="228"/>
        <v>1</v>
      </c>
      <c r="AS1029" s="1194">
        <f t="shared" si="229"/>
        <v>0</v>
      </c>
      <c r="AT1029" s="1194">
        <f t="shared" si="230"/>
        <v>1</v>
      </c>
      <c r="AU1029" s="1194" t="str">
        <f t="shared" si="231"/>
        <v>.</v>
      </c>
      <c r="AV1029" s="1194" t="str">
        <f t="shared" si="222"/>
        <v>.</v>
      </c>
      <c r="AW1029" s="1194" t="str">
        <f t="shared" si="232"/>
        <v>.</v>
      </c>
      <c r="AX1029" s="1194">
        <f>IFERROR(VLOOKUP(B1029,'Share, Heavy Weapons to Ukraine'!B:Z,COLUMN('Share, Heavy Weapons to Ukraine'!C1039)-1,0),0)</f>
        <v>0</v>
      </c>
      <c r="AY1029" s="1194">
        <f>VLOOKUP('Bilateral Assistance, MAIN DATA'!B1029,'Country Summary (€)'!B:F,COLUMN('Country Summary (€)'!C1040)-1,FALSE)</f>
        <v>1</v>
      </c>
      <c r="AZ1029" s="1194" t="str">
        <f>IF(AND(AD1029=1,D1029="Military",H1029&lt;&gt;"Not given")=TRUE,IF(SUMIFS(P:P,A:A,A1029)&gt;0,ABS((SUMIFS(P:P,A:A,A1029)/VLOOKUP("USD",'Exchange Rates'!B:C,2,0)))/S1029,"."),".")</f>
        <v>.</v>
      </c>
      <c r="BA1029" s="1196" t="str">
        <f>IF(AND(AD1029=1,D1029="Military",H1029&lt;&gt;"Not given")=TRUE,IF(SUMIFS(P:P,A:A,A1029)&gt;0,IF((ABS((SUMIFS(P:P,A:A,A1029)/VLOOKUP("USD",'Exchange Rates'!B:C,2,0)))/S1029)&gt;1,(SUMIFS(P:P,A:A,A1029)-S1029)/S1029,(S1029-SUMIFS(P:P,A:A,A1029))/SUMIFS(P:P,A:A,A1029)),"."),".")</f>
        <v>.</v>
      </c>
    </row>
    <row r="1030" spans="1:53" s="1180" customFormat="1" ht="15.95" customHeight="1">
      <c r="A1030" s="1180" t="s">
        <v>2826</v>
      </c>
      <c r="B1030" s="1180" t="s">
        <v>2693</v>
      </c>
      <c r="C1030" s="1181">
        <v>44801</v>
      </c>
      <c r="D1030" s="1182" t="s">
        <v>544</v>
      </c>
      <c r="E1030" s="1182" t="s">
        <v>481</v>
      </c>
      <c r="F1030" s="1183" t="s">
        <v>2827</v>
      </c>
      <c r="G1030" s="1184" t="s">
        <v>483</v>
      </c>
      <c r="H1030" s="1185">
        <v>68500000</v>
      </c>
      <c r="I1030" s="1180" t="s">
        <v>364</v>
      </c>
      <c r="J1030" s="1186" t="str">
        <f>VLOOKUP($I1030,'Price List, Weapons &amp; Items'!B:C,2,0)</f>
        <v>.</v>
      </c>
      <c r="K1030" s="1186" t="str">
        <f>IF(I1030=".",I1030,VLOOKUP($I1030,'Price List, Weapons &amp; Items'!B:D,3,0))</f>
        <v>.</v>
      </c>
      <c r="L1030" s="1187">
        <f>VLOOKUP(I1030,'Price List, Weapons &amp; Items'!B:E,4,0)</f>
        <v>0</v>
      </c>
      <c r="M1030" s="1188" t="s">
        <v>364</v>
      </c>
      <c r="N1030" s="1275" t="s">
        <v>364</v>
      </c>
      <c r="O1030" s="1188" t="str">
        <f>VLOOKUP($I1030,'Price List, Weapons &amp; Items'!B:G,6,0)</f>
        <v>.</v>
      </c>
      <c r="P1030" s="1185" t="str">
        <f t="shared" si="223"/>
        <v>.</v>
      </c>
      <c r="Q1030" s="1185" t="str">
        <f t="shared" si="224"/>
        <v>.</v>
      </c>
      <c r="R1030" s="1185">
        <f t="shared" si="220"/>
        <v>68500000</v>
      </c>
      <c r="S1030" s="1185">
        <f>IF(AND(AD1030=1,R1030&lt;&gt;".")=TRUE,R1030/VLOOKUP(G1030,'Exchange Rates'!B:C,2,0),IF(R1030=".",".",""))</f>
        <v>68500000</v>
      </c>
      <c r="T1030" s="1185" t="str">
        <f>IF(AD1030=1,IF(AF1030="Value is not given at all",".",IF(AF1030="Value is given by the source",S1030,IF(AF1030="Value is calculated with prices",(IF(SUMIFS(Q:Q,A:A,A1030)&gt;0,SUMIFS(Q:Q,A:A,A1030),"."))/VLOOKUP("USD",'Exchange Rates'!B:C,2,0),"Error with coding"))),"")</f>
        <v>.</v>
      </c>
      <c r="U1030" s="1184" t="s">
        <v>365</v>
      </c>
      <c r="V1030" s="971" t="s">
        <v>2742</v>
      </c>
      <c r="W1030" s="1190" t="s">
        <v>364</v>
      </c>
      <c r="X1030" s="1190" t="s">
        <v>364</v>
      </c>
      <c r="Y1030" s="1190" t="s">
        <v>364</v>
      </c>
      <c r="Z1030" s="1184">
        <v>0</v>
      </c>
      <c r="AA1030" s="1194">
        <v>0</v>
      </c>
      <c r="AB1030" s="1180" t="s">
        <v>364</v>
      </c>
      <c r="AC1030" s="1192" t="str">
        <f>""</f>
        <v/>
      </c>
      <c r="AD1030" s="985">
        <v>1</v>
      </c>
      <c r="AE1030" s="985" t="s">
        <v>368</v>
      </c>
      <c r="AF1030" s="985" t="s">
        <v>369</v>
      </c>
      <c r="AG1030" s="985">
        <v>1</v>
      </c>
      <c r="AH1030" s="985">
        <v>8</v>
      </c>
      <c r="AI1030" s="985">
        <v>0</v>
      </c>
      <c r="AJ1030" s="1193">
        <f>VLOOKUP($I1030,'Price List, Weapons &amp; Items'!B:F,5,0)</f>
        <v>0</v>
      </c>
      <c r="AK1030" s="1193">
        <f t="shared" si="225"/>
        <v>0</v>
      </c>
      <c r="AL1030" s="1193">
        <f t="shared" si="226"/>
        <v>0</v>
      </c>
      <c r="AM1030" s="1193">
        <f t="shared" si="227"/>
        <v>0</v>
      </c>
      <c r="AN1030" s="1194" t="str">
        <f>VLOOKUP($I1030,'Price List, Weapons &amp; Items'!B:L,COLUMN('Price List, Weapons &amp; Items'!$J$11)-1,0)</f>
        <v>.</v>
      </c>
      <c r="AO1030" s="1194" t="str">
        <f>IF(I1030=".",".",VLOOKUP($I1030,'Price List, Weapons &amp; Items'!B:J,3,0))</f>
        <v>.</v>
      </c>
      <c r="AP1030" s="1195" t="str">
        <f t="shared" ca="1" si="221"/>
        <v>.</v>
      </c>
      <c r="AQ1030" s="1194">
        <f>VLOOKUP($I1030,'Price List, Weapons &amp; Items'!B:L,COLUMN('Price List, Weapons &amp; Items'!$L$11)-1,0)</f>
        <v>0</v>
      </c>
      <c r="AR1030" s="1194">
        <f t="shared" si="228"/>
        <v>1</v>
      </c>
      <c r="AS1030" s="1194">
        <f t="shared" si="229"/>
        <v>0</v>
      </c>
      <c r="AT1030" s="1194">
        <f t="shared" si="230"/>
        <v>1</v>
      </c>
      <c r="AU1030" s="1194" t="str">
        <f t="shared" si="231"/>
        <v>.</v>
      </c>
      <c r="AV1030" s="1194" t="str">
        <f t="shared" si="222"/>
        <v>.</v>
      </c>
      <c r="AW1030" s="1194" t="str">
        <f t="shared" si="232"/>
        <v>.</v>
      </c>
      <c r="AX1030" s="1194">
        <f>IFERROR(VLOOKUP(B1030,'Share, Heavy Weapons to Ukraine'!B:Z,COLUMN('Share, Heavy Weapons to Ukraine'!C1040)-1,0),0)</f>
        <v>0</v>
      </c>
      <c r="AY1030" s="1194">
        <f>VLOOKUP('Bilateral Assistance, MAIN DATA'!B1030,'Country Summary (€)'!B:F,COLUMN('Country Summary (€)'!C1041)-1,FALSE)</f>
        <v>1</v>
      </c>
      <c r="AZ1030" s="1194" t="str">
        <f>IF(AND(AD1030=1,D1030="Military",H1030&lt;&gt;"Not given")=TRUE,IF(SUMIFS(P:P,A:A,A1030)&gt;0,ABS((SUMIFS(P:P,A:A,A1030)/VLOOKUP("USD",'Exchange Rates'!B:C,2,0)))/S1030,"."),".")</f>
        <v>.</v>
      </c>
      <c r="BA1030" s="1196" t="str">
        <f>IF(AND(AD1030=1,D1030="Military",H1030&lt;&gt;"Not given")=TRUE,IF(SUMIFS(P:P,A:A,A1030)&gt;0,IF((ABS((SUMIFS(P:P,A:A,A1030)/VLOOKUP("USD",'Exchange Rates'!B:C,2,0)))/S1030)&gt;1,(SUMIFS(P:P,A:A,A1030)-S1030)/S1030,(S1030-SUMIFS(P:P,A:A,A1030))/SUMIFS(P:P,A:A,A1030)),"."),".")</f>
        <v>.</v>
      </c>
    </row>
    <row r="1031" spans="1:53" s="1180" customFormat="1" ht="15.95" customHeight="1">
      <c r="A1031" s="1180" t="s">
        <v>2828</v>
      </c>
      <c r="B1031" s="1180" t="s">
        <v>2693</v>
      </c>
      <c r="C1031" s="1181">
        <v>44918</v>
      </c>
      <c r="D1031" s="1182" t="s">
        <v>544</v>
      </c>
      <c r="E1031" s="1182" t="s">
        <v>481</v>
      </c>
      <c r="F1031" s="1183" t="s">
        <v>2763</v>
      </c>
      <c r="G1031" s="1184" t="s">
        <v>483</v>
      </c>
      <c r="H1031" s="1185">
        <v>625000000</v>
      </c>
      <c r="I1031" s="1180" t="s">
        <v>364</v>
      </c>
      <c r="J1031" s="1186" t="str">
        <f>VLOOKUP($I1031,'Price List, Weapons &amp; Items'!B:C,2,0)</f>
        <v>.</v>
      </c>
      <c r="K1031" s="1186" t="str">
        <f>IF(I1031=".",I1031,VLOOKUP($I1031,'Price List, Weapons &amp; Items'!B:D,3,0))</f>
        <v>.</v>
      </c>
      <c r="L1031" s="1187">
        <f>VLOOKUP(I1031,'Price List, Weapons &amp; Items'!B:E,4,0)</f>
        <v>0</v>
      </c>
      <c r="M1031" s="1188" t="s">
        <v>364</v>
      </c>
      <c r="N1031" s="1275" t="s">
        <v>364</v>
      </c>
      <c r="O1031" s="1188" t="str">
        <f>VLOOKUP($I1031,'Price List, Weapons &amp; Items'!B:G,6,0)</f>
        <v>.</v>
      </c>
      <c r="P1031" s="1185" t="str">
        <f t="shared" si="223"/>
        <v>.</v>
      </c>
      <c r="Q1031" s="1185" t="str">
        <f t="shared" si="224"/>
        <v>.</v>
      </c>
      <c r="R1031" s="1185">
        <f t="shared" si="220"/>
        <v>625000000</v>
      </c>
      <c r="S1031" s="1185">
        <f>IF(AND(AD1031=1,R1031&lt;&gt;".")=TRUE,R1031/VLOOKUP(G1031,'Exchange Rates'!B:C,2,0),IF(R1031=".",".",""))</f>
        <v>625000000</v>
      </c>
      <c r="T1031" s="1185" t="str">
        <f>IF(AD1031=1,IF(AF1031="Value is not given at all",".",IF(AF1031="Value is given by the source",S1031,IF(AF1031="Value is calculated with prices",(IF(SUMIFS(Q:Q,A:A,A1031)&gt;0,SUMIFS(Q:Q,A:A,A1031),"."))/VLOOKUP("USD",'Exchange Rates'!B:C,2,0),"Error with coding"))),"")</f>
        <v>.</v>
      </c>
      <c r="U1031" s="1184" t="s">
        <v>365</v>
      </c>
      <c r="V1031" s="973" t="s">
        <v>2764</v>
      </c>
      <c r="W1031" s="980" t="s">
        <v>2765</v>
      </c>
      <c r="X1031" s="1190" t="s">
        <v>364</v>
      </c>
      <c r="Y1031" s="1190" t="s">
        <v>364</v>
      </c>
      <c r="Z1031" s="1184">
        <v>0</v>
      </c>
      <c r="AA1031" s="1194">
        <v>0</v>
      </c>
      <c r="AB1031" s="1180" t="s">
        <v>364</v>
      </c>
      <c r="AC1031" s="1192" t="str">
        <f>""</f>
        <v/>
      </c>
      <c r="AD1031" s="985">
        <v>1</v>
      </c>
      <c r="AE1031" s="985" t="s">
        <v>368</v>
      </c>
      <c r="AF1031" s="985" t="s">
        <v>369</v>
      </c>
      <c r="AG1031" s="985">
        <v>1</v>
      </c>
      <c r="AH1031" s="985">
        <v>12</v>
      </c>
      <c r="AI1031" s="985">
        <v>0</v>
      </c>
      <c r="AJ1031" s="1193">
        <f>VLOOKUP($I1031,'Price List, Weapons &amp; Items'!B:F,5,0)</f>
        <v>0</v>
      </c>
      <c r="AK1031" s="1193">
        <f t="shared" si="225"/>
        <v>0</v>
      </c>
      <c r="AL1031" s="1193">
        <f t="shared" si="226"/>
        <v>0</v>
      </c>
      <c r="AM1031" s="1193">
        <f t="shared" si="227"/>
        <v>0</v>
      </c>
      <c r="AN1031" s="1194" t="str">
        <f>VLOOKUP($I1031,'Price List, Weapons &amp; Items'!B:L,COLUMN('Price List, Weapons &amp; Items'!$J$11)-1,0)</f>
        <v>.</v>
      </c>
      <c r="AO1031" s="1194" t="str">
        <f>IF(I1031=".",".",VLOOKUP($I1031,'Price List, Weapons &amp; Items'!B:J,3,0))</f>
        <v>.</v>
      </c>
      <c r="AP1031" s="1195" t="str">
        <f t="shared" ca="1" si="221"/>
        <v>.</v>
      </c>
      <c r="AQ1031" s="1194">
        <f>VLOOKUP($I1031,'Price List, Weapons &amp; Items'!B:L,COLUMN('Price List, Weapons &amp; Items'!$L$11)-1,0)</f>
        <v>0</v>
      </c>
      <c r="AR1031" s="1194">
        <f t="shared" si="228"/>
        <v>1</v>
      </c>
      <c r="AS1031" s="1194">
        <f t="shared" si="229"/>
        <v>0</v>
      </c>
      <c r="AT1031" s="1194">
        <f t="shared" si="230"/>
        <v>1</v>
      </c>
      <c r="AU1031" s="1194" t="str">
        <f t="shared" si="231"/>
        <v>.</v>
      </c>
      <c r="AV1031" s="1194" t="str">
        <f t="shared" si="222"/>
        <v>.</v>
      </c>
      <c r="AW1031" s="1194" t="str">
        <f t="shared" si="232"/>
        <v>.</v>
      </c>
      <c r="AX1031" s="1194">
        <f>IFERROR(VLOOKUP(B1031,'Share, Heavy Weapons to Ukraine'!B:Z,COLUMN('Share, Heavy Weapons to Ukraine'!C1041)-1,0),0)</f>
        <v>0</v>
      </c>
      <c r="AY1031" s="1194">
        <f>VLOOKUP('Bilateral Assistance, MAIN DATA'!B1031,'Country Summary (€)'!B:F,COLUMN('Country Summary (€)'!C1042)-1,FALSE)</f>
        <v>1</v>
      </c>
      <c r="AZ1031" s="1194" t="str">
        <f>IF(AND(AD1031=1,D1031="Military",H1031&lt;&gt;"Not given")=TRUE,IF(SUMIFS(P:P,A:A,A1031)&gt;0,ABS((SUMIFS(P:P,A:A,A1031)/VLOOKUP("USD",'Exchange Rates'!B:C,2,0)))/S1031,"."),".")</f>
        <v>.</v>
      </c>
      <c r="BA1031" s="1196" t="str">
        <f>IF(AND(AD1031=1,D1031="Military",H1031&lt;&gt;"Not given")=TRUE,IF(SUMIFS(P:P,A:A,A1031)&gt;0,IF((ABS((SUMIFS(P:P,A:A,A1031)/VLOOKUP("USD",'Exchange Rates'!B:C,2,0)))/S1031)&gt;1,(SUMIFS(P:P,A:A,A1031)-S1031)/S1031,(S1031-SUMIFS(P:P,A:A,A1031))/SUMIFS(P:P,A:A,A1031)),"."),".")</f>
        <v>.</v>
      </c>
    </row>
    <row r="1032" spans="1:53" s="1180" customFormat="1" ht="15.95" customHeight="1">
      <c r="A1032" s="1180" t="s">
        <v>2828</v>
      </c>
      <c r="B1032" s="1180" t="s">
        <v>2693</v>
      </c>
      <c r="C1032" s="1181">
        <v>44698</v>
      </c>
      <c r="D1032" s="1182" t="s">
        <v>544</v>
      </c>
      <c r="E1032" s="1182" t="s">
        <v>481</v>
      </c>
      <c r="F1032" s="1183" t="s">
        <v>2829</v>
      </c>
      <c r="G1032" s="1184" t="s">
        <v>483</v>
      </c>
      <c r="H1032" s="1185">
        <v>40000000</v>
      </c>
      <c r="I1032" s="1180" t="s">
        <v>364</v>
      </c>
      <c r="J1032" s="1186" t="str">
        <f>VLOOKUP($I1032,'Price List, Weapons &amp; Items'!B:C,2,0)</f>
        <v>.</v>
      </c>
      <c r="K1032" s="1186" t="str">
        <f>IF(I1032=".",I1032,VLOOKUP($I1032,'Price List, Weapons &amp; Items'!B:D,3,0))</f>
        <v>.</v>
      </c>
      <c r="L1032" s="1187">
        <f>VLOOKUP(I1032,'Price List, Weapons &amp; Items'!B:E,4,0)</f>
        <v>0</v>
      </c>
      <c r="M1032" s="1188" t="s">
        <v>364</v>
      </c>
      <c r="N1032" s="1275" t="s">
        <v>364</v>
      </c>
      <c r="O1032" s="1188" t="str">
        <f>VLOOKUP($I1032,'Price List, Weapons &amp; Items'!B:G,6,0)</f>
        <v>.</v>
      </c>
      <c r="P1032" s="1185" t="str">
        <f t="shared" si="223"/>
        <v>.</v>
      </c>
      <c r="Q1032" s="1185" t="str">
        <f t="shared" si="224"/>
        <v>.</v>
      </c>
      <c r="R1032" s="1185" t="str">
        <f t="shared" si="220"/>
        <v/>
      </c>
      <c r="S1032" s="1185" t="str">
        <f>IF(AND(AD1032=1,R1032&lt;&gt;".")=TRUE,R1032/VLOOKUP(G1032,'Exchange Rates'!B:C,2,0),IF(R1032=".",".",""))</f>
        <v/>
      </c>
      <c r="T1032" s="1185" t="str">
        <f>IF(AD1032=1,IF(AF1032="Value is not given at all",".",IF(AF1032="Value is given by the source",S1032,IF(AF1032="Value is calculated with prices",(IF(SUMIFS(Q:Q,A:A,A1032)&gt;0,SUMIFS(Q:Q,A:A,A1032),"."))/VLOOKUP("USD",'Exchange Rates'!B:C,2,0),"Error with coding"))),"")</f>
        <v/>
      </c>
      <c r="U1032" s="1184" t="s">
        <v>365</v>
      </c>
      <c r="V1032" s="973" t="s">
        <v>2830</v>
      </c>
      <c r="W1032" s="980" t="s">
        <v>364</v>
      </c>
      <c r="X1032" s="1190" t="s">
        <v>364</v>
      </c>
      <c r="Y1032" s="1190" t="s">
        <v>364</v>
      </c>
      <c r="Z1032" s="1184">
        <v>0</v>
      </c>
      <c r="AA1032" s="1191">
        <v>1</v>
      </c>
      <c r="AB1032" s="1180" t="s">
        <v>364</v>
      </c>
      <c r="AC1032" s="1192" t="str">
        <f>""</f>
        <v/>
      </c>
      <c r="AD1032" s="985">
        <v>0</v>
      </c>
      <c r="AE1032" s="985" t="s">
        <v>368</v>
      </c>
      <c r="AF1032" s="985" t="s">
        <v>369</v>
      </c>
      <c r="AG1032" s="985">
        <v>1</v>
      </c>
      <c r="AH1032" s="985">
        <v>17</v>
      </c>
      <c r="AI1032" s="985">
        <v>0</v>
      </c>
      <c r="AJ1032" s="1193">
        <f>VLOOKUP($I1032,'Price List, Weapons &amp; Items'!B:F,5,0)</f>
        <v>0</v>
      </c>
      <c r="AK1032" s="1193">
        <f t="shared" si="225"/>
        <v>0</v>
      </c>
      <c r="AL1032" s="1193">
        <f t="shared" si="226"/>
        <v>0</v>
      </c>
      <c r="AM1032" s="1193">
        <f t="shared" si="227"/>
        <v>0</v>
      </c>
      <c r="AN1032" s="1194" t="str">
        <f>VLOOKUP($I1032,'Price List, Weapons &amp; Items'!B:L,COLUMN('Price List, Weapons &amp; Items'!$J$11)-1,0)</f>
        <v>.</v>
      </c>
      <c r="AO1032" s="1194" t="str">
        <f>IF(I1032=".",".",VLOOKUP($I1032,'Price List, Weapons &amp; Items'!B:J,3,0))</f>
        <v>.</v>
      </c>
      <c r="AP1032" s="1195" t="str">
        <f t="shared" ca="1" si="221"/>
        <v/>
      </c>
      <c r="AQ1032" s="1194">
        <f>VLOOKUP($I1032,'Price List, Weapons &amp; Items'!B:L,COLUMN('Price List, Weapons &amp; Items'!$L$11)-1,0)</f>
        <v>0</v>
      </c>
      <c r="AR1032" s="1194">
        <f t="shared" si="228"/>
        <v>1</v>
      </c>
      <c r="AS1032" s="1194">
        <f t="shared" si="229"/>
        <v>0</v>
      </c>
      <c r="AT1032" s="1194">
        <f t="shared" si="230"/>
        <v>1</v>
      </c>
      <c r="AU1032" s="1194" t="str">
        <f t="shared" si="231"/>
        <v>.</v>
      </c>
      <c r="AV1032" s="1194" t="str">
        <f t="shared" si="222"/>
        <v>.</v>
      </c>
      <c r="AW1032" s="1194" t="str">
        <f t="shared" si="232"/>
        <v>.</v>
      </c>
      <c r="AX1032" s="1194">
        <f>IFERROR(VLOOKUP(B1032,'Share, Heavy Weapons to Ukraine'!B:Z,COLUMN('Share, Heavy Weapons to Ukraine'!C1042)-1,0),0)</f>
        <v>0</v>
      </c>
      <c r="AY1032" s="1194">
        <f>VLOOKUP('Bilateral Assistance, MAIN DATA'!B1032,'Country Summary (€)'!B:F,COLUMN('Country Summary (€)'!C1043)-1,FALSE)</f>
        <v>1</v>
      </c>
      <c r="AZ1032" s="1194" t="str">
        <f>IF(AND(AD1032=1,D1032="Military",H1032&lt;&gt;"Not given")=TRUE,IF(SUMIFS(P:P,A:A,A1032)&gt;0,ABS((SUMIFS(P:P,A:A,A1032)/VLOOKUP("USD",'Exchange Rates'!B:C,2,0)))/S1032,"."),".")</f>
        <v>.</v>
      </c>
      <c r="BA1032" s="1196" t="str">
        <f>IF(AND(AD1032=1,D1032="Military",H1032&lt;&gt;"Not given")=TRUE,IF(SUMIFS(P:P,A:A,A1032)&gt;0,IF((ABS((SUMIFS(P:P,A:A,A1032)/VLOOKUP("USD",'Exchange Rates'!B:C,2,0)))/S1032)&gt;1,(SUMIFS(P:P,A:A,A1032)-S1032)/S1032,(S1032-SUMIFS(P:P,A:A,A1032))/SUMIFS(P:P,A:A,A1032)),"."),".")</f>
        <v>.</v>
      </c>
    </row>
    <row r="1033" spans="1:53" s="1180" customFormat="1" ht="15.95" customHeight="1">
      <c r="A1033" s="1182" t="s">
        <v>2831</v>
      </c>
      <c r="B1033" s="1182" t="s">
        <v>2832</v>
      </c>
      <c r="C1033" s="1181">
        <v>44641</v>
      </c>
      <c r="D1033" s="1182" t="s">
        <v>389</v>
      </c>
      <c r="E1033" s="1182" t="s">
        <v>398</v>
      </c>
      <c r="F1033" s="1183" t="s">
        <v>2833</v>
      </c>
      <c r="G1033" s="1184" t="s">
        <v>2834</v>
      </c>
      <c r="H1033" s="1185">
        <v>5000000</v>
      </c>
      <c r="I1033" s="1201" t="s">
        <v>694</v>
      </c>
      <c r="J1033" s="1186" t="str">
        <f>VLOOKUP($I1033,'Price List, Weapons &amp; Items'!B:C,2,0)</f>
        <v>Military equipment</v>
      </c>
      <c r="K1033" s="1186" t="str">
        <f>IF(I1033=".",I1033,VLOOKUP($I1033,'Price List, Weapons &amp; Items'!B:D,3,0))</f>
        <v>Military equipment</v>
      </c>
      <c r="L1033" s="1187">
        <f>VLOOKUP(I1033,'Price List, Weapons &amp; Items'!B:E,4,0)</f>
        <v>0</v>
      </c>
      <c r="M1033" s="1188">
        <v>1066</v>
      </c>
      <c r="N1033" s="1188">
        <v>1066</v>
      </c>
      <c r="O1033" s="1188">
        <f>VLOOKUP($I1033,'Price List, Weapons &amp; Items'!B:G,6,0)</f>
        <v>500</v>
      </c>
      <c r="P1033" s="1185">
        <f t="shared" si="223"/>
        <v>533000</v>
      </c>
      <c r="Q1033" s="1185">
        <f t="shared" si="224"/>
        <v>533000</v>
      </c>
      <c r="R1033" s="1185">
        <f t="shared" si="220"/>
        <v>5000000</v>
      </c>
      <c r="S1033" s="1185">
        <f>IF(AND(AD1033=1,R1033&lt;&gt;".")=TRUE,R1033/VLOOKUP(G1033,'Exchange Rates'!B:C,2,0),IF(R1033=".",".",""))</f>
        <v>2860248.2695497968</v>
      </c>
      <c r="T1033" s="1185">
        <f>IF(AD1033=1,IF(AF1033="Value is not given at all",".",IF(AF1033="Value is given by the source",S1033,IF(AF1033="Value is calculated with prices",(IF(SUMIFS(Q:Q,A:A,A1033)&gt;0,SUMIFS(Q:Q,A:A,A1033),"."))/VLOOKUP("USD",'Exchange Rates'!B:C,2,0),"Error with coding"))),"")</f>
        <v>1126012.1457489878</v>
      </c>
      <c r="U1033" s="1184" t="s">
        <v>365</v>
      </c>
      <c r="V1033" s="974" t="s">
        <v>2835</v>
      </c>
      <c r="W1033" s="974" t="s">
        <v>2836</v>
      </c>
      <c r="X1033" s="1183" t="s">
        <v>364</v>
      </c>
      <c r="Y1033" s="1183" t="s">
        <v>364</v>
      </c>
      <c r="Z1033" s="1184">
        <v>0</v>
      </c>
      <c r="AA1033" s="1194">
        <v>0</v>
      </c>
      <c r="AB1033" s="975" t="s">
        <v>2837</v>
      </c>
      <c r="AC1033" s="1192" t="str">
        <f>""</f>
        <v/>
      </c>
      <c r="AD1033" s="985">
        <v>1</v>
      </c>
      <c r="AE1033" s="985" t="s">
        <v>436</v>
      </c>
      <c r="AF1033" s="985" t="s">
        <v>436</v>
      </c>
      <c r="AG1033" s="985">
        <v>1</v>
      </c>
      <c r="AH1033" s="985">
        <v>3</v>
      </c>
      <c r="AI1033" s="985">
        <v>0</v>
      </c>
      <c r="AJ1033" s="1193">
        <f>VLOOKUP($I1033,'Price List, Weapons &amp; Items'!B:F,5,0)</f>
        <v>0</v>
      </c>
      <c r="AK1033" s="1193">
        <f t="shared" si="225"/>
        <v>0</v>
      </c>
      <c r="AL1033" s="1193">
        <f t="shared" si="226"/>
        <v>0</v>
      </c>
      <c r="AM1033" s="1193">
        <f t="shared" si="227"/>
        <v>0</v>
      </c>
      <c r="AN1033" s="1194" t="str">
        <f>VLOOKUP($I1033,'Price List, Weapons &amp; Items'!B:L,COLUMN('Price List, Weapons &amp; Items'!$J$11)-1,0)</f>
        <v>Military media (incl. websites)</v>
      </c>
      <c r="AO1033" s="1194" t="str">
        <f>IF(I1033=".",".",VLOOKUP($I1033,'Price List, Weapons &amp; Items'!B:J,3,0))</f>
        <v>Military equipment</v>
      </c>
      <c r="AP1033" s="1195" t="str">
        <f t="shared" ca="1" si="221"/>
        <v>ballistic vest</v>
      </c>
      <c r="AQ1033" s="1194">
        <f>VLOOKUP($I1033,'Price List, Weapons &amp; Items'!B:L,COLUMN('Price List, Weapons &amp; Items'!$L$11)-1,0)</f>
        <v>2</v>
      </c>
      <c r="AR1033" s="1194">
        <f t="shared" si="228"/>
        <v>1</v>
      </c>
      <c r="AS1033" s="1194">
        <f t="shared" si="229"/>
        <v>1</v>
      </c>
      <c r="AT1033" s="1194">
        <f t="shared" si="230"/>
        <v>1</v>
      </c>
      <c r="AU1033" s="1194" t="str">
        <f t="shared" si="231"/>
        <v>.</v>
      </c>
      <c r="AV1033" s="1194" t="str">
        <f t="shared" si="222"/>
        <v>.</v>
      </c>
      <c r="AW1033" s="1194" t="str">
        <f t="shared" si="232"/>
        <v>.</v>
      </c>
      <c r="AX1033" s="1194">
        <f>IFERROR(VLOOKUP(B1033,'Share, Heavy Weapons to Ukraine'!B:Z,COLUMN('Share, Heavy Weapons to Ukraine'!C1043)-1,0),0)</f>
        <v>0</v>
      </c>
      <c r="AY1033" s="1194">
        <f>VLOOKUP('Bilateral Assistance, MAIN DATA'!B1033,'Country Summary (€)'!B:F,COLUMN('Country Summary (€)'!C1044)-1,FALSE)</f>
        <v>0</v>
      </c>
      <c r="AZ1033" s="1194">
        <f>IF(AND(AD1033=1,D1033="Military",H1033&lt;&gt;"Not given")=TRUE,IF(SUMIFS(P:P,A:A,A1033)&gt;0,ABS((SUMIFS(P:P,A:A,A1033)/VLOOKUP("USD",'Exchange Rates'!B:C,2,0)))/S1033,"."),".")</f>
        <v>0.39367636639676112</v>
      </c>
      <c r="BA1033" s="1196">
        <f>IF(AND(AD1033=1,D1033="Military",H1033&lt;&gt;"Not given")=TRUE,IF(SUMIFS(P:P,A:A,A1033)&gt;0,IF((ABS((SUMIFS(P:P,A:A,A1033)/VLOOKUP("USD",'Exchange Rates'!B:C,2,0)))/S1033)&gt;1,(SUMIFS(P:P,A:A,A1033)-S1033)/S1033,(S1033-SUMIFS(P:P,A:A,A1033))/SUMIFS(P:P,A:A,A1033)),"."),".")</f>
        <v>1.3372815277219994</v>
      </c>
    </row>
    <row r="1034" spans="1:53" s="1180" customFormat="1" ht="15.95" customHeight="1">
      <c r="A1034" s="1182" t="s">
        <v>2831</v>
      </c>
      <c r="B1034" s="1182" t="s">
        <v>2832</v>
      </c>
      <c r="C1034" s="1181">
        <v>44641</v>
      </c>
      <c r="D1034" s="1182" t="s">
        <v>389</v>
      </c>
      <c r="E1034" s="1182" t="s">
        <v>398</v>
      </c>
      <c r="F1034" s="1183" t="s">
        <v>2833</v>
      </c>
      <c r="G1034" s="1184" t="s">
        <v>2834</v>
      </c>
      <c r="H1034" s="1185">
        <v>5000000</v>
      </c>
      <c r="I1034" s="1201" t="s">
        <v>594</v>
      </c>
      <c r="J1034" s="1186" t="str">
        <f>VLOOKUP($I1034,'Price List, Weapons &amp; Items'!B:C,2,0)</f>
        <v>Military equipment</v>
      </c>
      <c r="K1034" s="1186" t="str">
        <f>IF(I1034=".",I1034,VLOOKUP($I1034,'Price List, Weapons &amp; Items'!B:D,3,0))</f>
        <v>Military equipment</v>
      </c>
      <c r="L1034" s="1187">
        <f>VLOOKUP(I1034,'Price List, Weapons &amp; Items'!B:E,4,0)</f>
        <v>0</v>
      </c>
      <c r="M1034" s="1188">
        <v>473</v>
      </c>
      <c r="N1034" s="1188">
        <v>473</v>
      </c>
      <c r="O1034" s="1188">
        <f>VLOOKUP($I1034,'Price List, Weapons &amp; Items'!B:G,6,0)</f>
        <v>1400</v>
      </c>
      <c r="P1034" s="1185">
        <f t="shared" si="223"/>
        <v>662200</v>
      </c>
      <c r="Q1034" s="1185">
        <f t="shared" si="224"/>
        <v>662200</v>
      </c>
      <c r="R1034" s="1185" t="str">
        <f t="shared" si="220"/>
        <v/>
      </c>
      <c r="S1034" s="1185" t="str">
        <f>IF(AND(AD1034=1,R1034&lt;&gt;".")=TRUE,R1034/VLOOKUP(G1034,'Exchange Rates'!B:C,2,0),IF(R1034=".",".",""))</f>
        <v/>
      </c>
      <c r="T1034" s="1185" t="str">
        <f>IF(AD1034=1,IF(AF1034="Value is not given at all",".",IF(AF1034="Value is given by the source",S1034,IF(AF1034="Value is calculated with prices",(IF(SUMIFS(Q:Q,A:A,A1034)&gt;0,SUMIFS(Q:Q,A:A,A1034),"."))/VLOOKUP("USD",'Exchange Rates'!B:C,2,0),"Error with coding"))),"")</f>
        <v/>
      </c>
      <c r="U1034" s="1184" t="s">
        <v>365</v>
      </c>
      <c r="V1034" s="974" t="s">
        <v>2835</v>
      </c>
      <c r="W1034" s="974" t="s">
        <v>2836</v>
      </c>
      <c r="X1034" s="1183" t="s">
        <v>364</v>
      </c>
      <c r="Y1034" s="1183" t="s">
        <v>364</v>
      </c>
      <c r="Z1034" s="1184">
        <v>0</v>
      </c>
      <c r="AA1034" s="1194">
        <v>0</v>
      </c>
      <c r="AB1034" s="975" t="s">
        <v>2837</v>
      </c>
      <c r="AC1034" s="1192" t="str">
        <f>""</f>
        <v/>
      </c>
      <c r="AD1034" s="985">
        <v>0</v>
      </c>
      <c r="AE1034" s="985" t="s">
        <v>436</v>
      </c>
      <c r="AF1034" s="985" t="s">
        <v>436</v>
      </c>
      <c r="AG1034" s="985">
        <v>1</v>
      </c>
      <c r="AH1034" s="985">
        <v>3</v>
      </c>
      <c r="AI1034" s="985">
        <v>0</v>
      </c>
      <c r="AJ1034" s="1193">
        <f>VLOOKUP($I1034,'Price List, Weapons &amp; Items'!B:F,5,0)</f>
        <v>0</v>
      </c>
      <c r="AK1034" s="1193">
        <f t="shared" si="225"/>
        <v>0</v>
      </c>
      <c r="AL1034" s="1193">
        <f t="shared" si="226"/>
        <v>0</v>
      </c>
      <c r="AM1034" s="1193">
        <f t="shared" si="227"/>
        <v>0</v>
      </c>
      <c r="AN1034" s="1194" t="str">
        <f>VLOOKUP($I1034,'Price List, Weapons &amp; Items'!B:L,COLUMN('Price List, Weapons &amp; Items'!$J$11)-1,0)</f>
        <v>Military media (incl. websites)</v>
      </c>
      <c r="AO1034" s="1194" t="str">
        <f>IF(I1034=".",".",VLOOKUP($I1034,'Price List, Weapons &amp; Items'!B:J,3,0))</f>
        <v>Military equipment</v>
      </c>
      <c r="AP1034" s="1195" t="str">
        <f t="shared" ca="1" si="221"/>
        <v/>
      </c>
      <c r="AQ1034" s="1194">
        <f>VLOOKUP($I1034,'Price List, Weapons &amp; Items'!B:L,COLUMN('Price List, Weapons &amp; Items'!$L$11)-1,0)</f>
        <v>2</v>
      </c>
      <c r="AR1034" s="1194">
        <f t="shared" si="228"/>
        <v>1</v>
      </c>
      <c r="AS1034" s="1194">
        <f t="shared" si="229"/>
        <v>1</v>
      </c>
      <c r="AT1034" s="1194">
        <f t="shared" si="230"/>
        <v>1</v>
      </c>
      <c r="AU1034" s="1194" t="str">
        <f t="shared" si="231"/>
        <v>.</v>
      </c>
      <c r="AV1034" s="1194" t="str">
        <f t="shared" si="222"/>
        <v>.</v>
      </c>
      <c r="AW1034" s="1194" t="str">
        <f t="shared" si="232"/>
        <v>.</v>
      </c>
      <c r="AX1034" s="1194">
        <f>IFERROR(VLOOKUP(B1034,'Share, Heavy Weapons to Ukraine'!B:Z,COLUMN('Share, Heavy Weapons to Ukraine'!C1044)-1,0),0)</f>
        <v>0</v>
      </c>
      <c r="AY1034" s="1194">
        <f>VLOOKUP('Bilateral Assistance, MAIN DATA'!B1034,'Country Summary (€)'!B:F,COLUMN('Country Summary (€)'!C1045)-1,FALSE)</f>
        <v>0</v>
      </c>
      <c r="AZ1034" s="1194" t="str">
        <f>IF(AND(AD1034=1,D1034="Military",H1034&lt;&gt;"Not given")=TRUE,IF(SUMIFS(P:P,A:A,A1034)&gt;0,ABS((SUMIFS(P:P,A:A,A1034)/VLOOKUP("USD",'Exchange Rates'!B:C,2,0)))/S1034,"."),".")</f>
        <v>.</v>
      </c>
      <c r="BA1034" s="1196" t="str">
        <f>IF(AND(AD1034=1,D1034="Military",H1034&lt;&gt;"Not given")=TRUE,IF(SUMIFS(P:P,A:A,A1034)&gt;0,IF((ABS((SUMIFS(P:P,A:A,A1034)/VLOOKUP("USD",'Exchange Rates'!B:C,2,0)))/S1034)&gt;1,(SUMIFS(P:P,A:A,A1034)-S1034)/S1034,(S1034-SUMIFS(P:P,A:A,A1034))/SUMIFS(P:P,A:A,A1034)),"."),".")</f>
        <v>.</v>
      </c>
    </row>
    <row r="1035" spans="1:53" s="1180" customFormat="1" ht="15.95" customHeight="1">
      <c r="A1035" s="1182" t="s">
        <v>2831</v>
      </c>
      <c r="B1035" s="1182" t="s">
        <v>2832</v>
      </c>
      <c r="C1035" s="1181">
        <v>44641</v>
      </c>
      <c r="D1035" s="1182" t="s">
        <v>389</v>
      </c>
      <c r="E1035" s="1182" t="s">
        <v>398</v>
      </c>
      <c r="F1035" s="1183" t="s">
        <v>2833</v>
      </c>
      <c r="G1035" s="1184" t="s">
        <v>2834</v>
      </c>
      <c r="H1035" s="1185">
        <v>5000000</v>
      </c>
      <c r="I1035" s="1180" t="s">
        <v>2838</v>
      </c>
      <c r="J1035" s="1186" t="str">
        <f>VLOOKUP($I1035,'Price List, Weapons &amp; Items'!B:C,2,0)</f>
        <v>Military equipment</v>
      </c>
      <c r="K1035" s="1186" t="str">
        <f>IF(I1035=".",I1035,VLOOKUP($I1035,'Price List, Weapons &amp; Items'!B:D,3,0))</f>
        <v>Military equipment</v>
      </c>
      <c r="L1035" s="1187">
        <f>VLOOKUP(I1035,'Price List, Weapons &amp; Items'!B:E,4,0)</f>
        <v>0</v>
      </c>
      <c r="M1035" s="1188">
        <v>571</v>
      </c>
      <c r="N1035" s="1188">
        <v>571</v>
      </c>
      <c r="O1035" s="1188">
        <f>VLOOKUP($I1035,'Price List, Weapons &amp; Items'!B:G,6,0)</f>
        <v>50</v>
      </c>
      <c r="P1035" s="1185">
        <f t="shared" si="223"/>
        <v>28550</v>
      </c>
      <c r="Q1035" s="1185">
        <f t="shared" si="224"/>
        <v>28550</v>
      </c>
      <c r="R1035" s="1185" t="str">
        <f t="shared" si="220"/>
        <v/>
      </c>
      <c r="S1035" s="1185" t="str">
        <f>IF(AND(AD1035=1,R1035&lt;&gt;".")=TRUE,R1035/VLOOKUP(G1035,'Exchange Rates'!B:C,2,0),IF(R1035=".",".",""))</f>
        <v/>
      </c>
      <c r="T1035" s="1185" t="str">
        <f>IF(AD1035=1,IF(AF1035="Value is not given at all",".",IF(AF1035="Value is given by the source",S1035,IF(AF1035="Value is calculated with prices",(IF(SUMIFS(Q:Q,A:A,A1035)&gt;0,SUMIFS(Q:Q,A:A,A1035),"."))/VLOOKUP("USD",'Exchange Rates'!B:C,2,0),"Error with coding"))),"")</f>
        <v/>
      </c>
      <c r="U1035" s="1184" t="s">
        <v>365</v>
      </c>
      <c r="V1035" s="974" t="s">
        <v>2835</v>
      </c>
      <c r="W1035" s="974" t="s">
        <v>2836</v>
      </c>
      <c r="X1035" s="1183" t="s">
        <v>364</v>
      </c>
      <c r="Y1035" s="1183" t="s">
        <v>364</v>
      </c>
      <c r="Z1035" s="1184">
        <v>0</v>
      </c>
      <c r="AA1035" s="1194">
        <v>0</v>
      </c>
      <c r="AB1035" s="975" t="s">
        <v>2837</v>
      </c>
      <c r="AC1035" s="1192" t="str">
        <f>""</f>
        <v/>
      </c>
      <c r="AD1035" s="985">
        <v>0</v>
      </c>
      <c r="AE1035" s="985" t="s">
        <v>436</v>
      </c>
      <c r="AF1035" s="985" t="s">
        <v>436</v>
      </c>
      <c r="AG1035" s="985">
        <v>1</v>
      </c>
      <c r="AH1035" s="985">
        <v>3</v>
      </c>
      <c r="AI1035" s="985">
        <v>0</v>
      </c>
      <c r="AJ1035" s="1193">
        <f>VLOOKUP($I1035,'Price List, Weapons &amp; Items'!B:F,5,0)</f>
        <v>0</v>
      </c>
      <c r="AK1035" s="1193">
        <f t="shared" si="225"/>
        <v>0</v>
      </c>
      <c r="AL1035" s="1193">
        <f t="shared" si="226"/>
        <v>0</v>
      </c>
      <c r="AM1035" s="1193">
        <f t="shared" si="227"/>
        <v>0</v>
      </c>
      <c r="AN1035" s="1194" t="str">
        <f>VLOOKUP($I1035,'Price List, Weapons &amp; Items'!B:L,COLUMN('Price List, Weapons &amp; Items'!$J$11)-1,0)</f>
        <v>Online marketplaces and stores</v>
      </c>
      <c r="AO1035" s="1194" t="str">
        <f>IF(I1035=".",".",VLOOKUP($I1035,'Price List, Weapons &amp; Items'!B:J,3,0))</f>
        <v>Military equipment</v>
      </c>
      <c r="AP1035" s="1195" t="str">
        <f t="shared" ca="1" si="221"/>
        <v/>
      </c>
      <c r="AQ1035" s="1194">
        <f>VLOOKUP($I1035,'Price List, Weapons &amp; Items'!B:L,COLUMN('Price List, Weapons &amp; Items'!$L$11)-1,0)</f>
        <v>1</v>
      </c>
      <c r="AR1035" s="1194">
        <f t="shared" si="228"/>
        <v>1</v>
      </c>
      <c r="AS1035" s="1194">
        <f t="shared" si="229"/>
        <v>1</v>
      </c>
      <c r="AT1035" s="1194">
        <f t="shared" si="230"/>
        <v>1</v>
      </c>
      <c r="AU1035" s="1194" t="str">
        <f t="shared" si="231"/>
        <v>.</v>
      </c>
      <c r="AV1035" s="1194" t="str">
        <f t="shared" si="222"/>
        <v>.</v>
      </c>
      <c r="AW1035" s="1194" t="str">
        <f t="shared" si="232"/>
        <v>.</v>
      </c>
      <c r="AX1035" s="1194">
        <f>IFERROR(VLOOKUP(B1035,'Share, Heavy Weapons to Ukraine'!B:Z,COLUMN('Share, Heavy Weapons to Ukraine'!C1045)-1,0),0)</f>
        <v>0</v>
      </c>
      <c r="AY1035" s="1194">
        <f>VLOOKUP('Bilateral Assistance, MAIN DATA'!B1035,'Country Summary (€)'!B:F,COLUMN('Country Summary (€)'!C1046)-1,FALSE)</f>
        <v>0</v>
      </c>
      <c r="AZ1035" s="1194" t="str">
        <f>IF(AND(AD1035=1,D1035="Military",H1035&lt;&gt;"Not given")=TRUE,IF(SUMIFS(P:P,A:A,A1035)&gt;0,ABS((SUMIFS(P:P,A:A,A1035)/VLOOKUP("USD",'Exchange Rates'!B:C,2,0)))/S1035,"."),".")</f>
        <v>.</v>
      </c>
      <c r="BA1035" s="1196" t="str">
        <f>IF(AND(AD1035=1,D1035="Military",H1035&lt;&gt;"Not given")=TRUE,IF(SUMIFS(P:P,A:A,A1035)&gt;0,IF((ABS((SUMIFS(P:P,A:A,A1035)/VLOOKUP("USD",'Exchange Rates'!B:C,2,0)))/S1035)&gt;1,(SUMIFS(P:P,A:A,A1035)-S1035)/S1035,(S1035-SUMIFS(P:P,A:A,A1035))/SUMIFS(P:P,A:A,A1035)),"."),".")</f>
        <v>.</v>
      </c>
    </row>
    <row r="1036" spans="1:53" ht="15.95" customHeight="1">
      <c r="A1036" s="1180" t="s">
        <v>2839</v>
      </c>
      <c r="B1036" s="1180" t="s">
        <v>2832</v>
      </c>
      <c r="C1036" s="1181">
        <v>44641</v>
      </c>
      <c r="D1036" s="1182" t="s">
        <v>389</v>
      </c>
      <c r="E1036" s="1182" t="s">
        <v>361</v>
      </c>
      <c r="F1036" s="1208" t="s">
        <v>2840</v>
      </c>
      <c r="G1036" s="1184" t="s">
        <v>2834</v>
      </c>
      <c r="H1036" s="1185">
        <v>10600000</v>
      </c>
      <c r="I1036" s="1201" t="s">
        <v>364</v>
      </c>
      <c r="J1036" s="1186" t="str">
        <f>VLOOKUP($I1036,'Price List, Weapons &amp; Items'!B:C,2,0)</f>
        <v>.</v>
      </c>
      <c r="K1036" s="1186" t="str">
        <f>IF(I1036=".",I1036,VLOOKUP($I1036,'Price List, Weapons &amp; Items'!B:D,3,0))</f>
        <v>.</v>
      </c>
      <c r="L1036" s="1187">
        <f>VLOOKUP(I1036,'Price List, Weapons &amp; Items'!B:E,4,0)</f>
        <v>0</v>
      </c>
      <c r="M1036" s="1188" t="s">
        <v>364</v>
      </c>
      <c r="N1036" s="1188" t="s">
        <v>364</v>
      </c>
      <c r="O1036" s="1188" t="str">
        <f>VLOOKUP($I1036,'Price List, Weapons &amp; Items'!B:G,6,0)</f>
        <v>.</v>
      </c>
      <c r="P1036" s="1185" t="str">
        <f t="shared" si="223"/>
        <v>.</v>
      </c>
      <c r="Q1036" s="1185" t="str">
        <f t="shared" si="224"/>
        <v>.</v>
      </c>
      <c r="R1036" s="1185">
        <f t="shared" si="220"/>
        <v>10600000</v>
      </c>
      <c r="S1036" s="1185">
        <f>IF(AND(AD1036=1,R1036&lt;&gt;".")=TRUE,R1036/VLOOKUP(G1036,'Exchange Rates'!B:C,2,0),IF(R1036=".",".",""))</f>
        <v>6063726.3314455692</v>
      </c>
      <c r="T1036" s="1185" t="str">
        <f>IF(AD1036=1,IF(AF1036="Value is not given at all",".",IF(AF1036="Value is given by the source",S1036,IF(AF1036="Value is calculated with prices",(IF(SUMIFS(Q:Q,A:A,A1036)&gt;0,SUMIFS(Q:Q,A:A,A1036),"."))/VLOOKUP("USD",'Exchange Rates'!B:C,2,0),"Error with coding"))),"")</f>
        <v>.</v>
      </c>
      <c r="U1036" s="1184" t="s">
        <v>365</v>
      </c>
      <c r="V1036" s="971" t="s">
        <v>2841</v>
      </c>
      <c r="W1036" s="971" t="s">
        <v>2835</v>
      </c>
      <c r="X1036" s="971" t="s">
        <v>2836</v>
      </c>
      <c r="Y1036" s="990" t="s">
        <v>364</v>
      </c>
      <c r="Z1036" s="1184">
        <v>0</v>
      </c>
      <c r="AA1036" s="1194">
        <v>0</v>
      </c>
      <c r="AB1036" s="1201" t="s">
        <v>364</v>
      </c>
      <c r="AC1036" s="1192" t="str">
        <f>""</f>
        <v/>
      </c>
      <c r="AD1036" s="1193">
        <v>1</v>
      </c>
      <c r="AE1036" s="1193" t="s">
        <v>368</v>
      </c>
      <c r="AF1036" s="1193" t="s">
        <v>369</v>
      </c>
      <c r="AG1036" s="1193">
        <v>1</v>
      </c>
      <c r="AH1036" s="1193">
        <v>3</v>
      </c>
      <c r="AI1036" s="1193">
        <v>0</v>
      </c>
      <c r="AJ1036" s="1193">
        <f>VLOOKUP($I1036,'Price List, Weapons &amp; Items'!B:F,5,0)</f>
        <v>0</v>
      </c>
      <c r="AK1036" s="1193">
        <f t="shared" si="225"/>
        <v>0</v>
      </c>
      <c r="AL1036" s="1193">
        <f t="shared" si="226"/>
        <v>0</v>
      </c>
      <c r="AM1036" s="1193">
        <f t="shared" si="227"/>
        <v>0</v>
      </c>
      <c r="AN1036" s="1194" t="str">
        <f>VLOOKUP($I1036,'Price List, Weapons &amp; Items'!B:L,COLUMN('Price List, Weapons &amp; Items'!$J$11)-1,0)</f>
        <v>.</v>
      </c>
      <c r="AO1036" s="1194" t="str">
        <f>IF(I1036=".",".",VLOOKUP($I1036,'Price List, Weapons &amp; Items'!B:J,3,0))</f>
        <v>.</v>
      </c>
      <c r="AP1036" s="1195" t="str">
        <f t="shared" ca="1" si="221"/>
        <v>.</v>
      </c>
      <c r="AQ1036" s="1194">
        <f>VLOOKUP($I1036,'Price List, Weapons &amp; Items'!B:L,COLUMN('Price List, Weapons &amp; Items'!$L$11)-1,0)</f>
        <v>0</v>
      </c>
      <c r="AR1036" s="1194">
        <f t="shared" si="228"/>
        <v>1</v>
      </c>
      <c r="AS1036" s="1194">
        <f t="shared" si="229"/>
        <v>0</v>
      </c>
      <c r="AT1036" s="1194">
        <f t="shared" si="230"/>
        <v>1</v>
      </c>
      <c r="AU1036" s="1194" t="str">
        <f t="shared" si="231"/>
        <v>.</v>
      </c>
      <c r="AV1036" s="1194" t="str">
        <f t="shared" si="222"/>
        <v>.</v>
      </c>
      <c r="AW1036" s="1194" t="str">
        <f t="shared" si="232"/>
        <v>.</v>
      </c>
      <c r="AX1036" s="1194">
        <f>IFERROR(VLOOKUP(B1036,'Share, Heavy Weapons to Ukraine'!B:Z,COLUMN('Share, Heavy Weapons to Ukraine'!C1046)-1,0),0)</f>
        <v>0</v>
      </c>
      <c r="AY1036" s="1194">
        <f>VLOOKUP('Bilateral Assistance, MAIN DATA'!B1036,'Country Summary (€)'!B:F,COLUMN('Country Summary (€)'!C1047)-1,FALSE)</f>
        <v>0</v>
      </c>
      <c r="AZ1036" s="1194" t="str">
        <f>IF(AND(AD1036=1,D1036="Military",H1036&lt;&gt;"Not given")=TRUE,IF(SUMIFS(P:P,A:A,A1036)&gt;0,ABS((SUMIFS(P:P,A:A,A1036)/VLOOKUP("USD",'Exchange Rates'!B:C,2,0)))/S1036,"."),".")</f>
        <v>.</v>
      </c>
      <c r="BA1036" s="1196" t="str">
        <f>IF(AND(AD1036=1,D1036="Military",H1036&lt;&gt;"Not given")=TRUE,IF(SUMIFS(P:P,A:A,A1036)&gt;0,IF((ABS((SUMIFS(P:P,A:A,A1036)/VLOOKUP("USD",'Exchange Rates'!B:C,2,0)))/S1036)&gt;1,(SUMIFS(P:P,A:A,A1036)-S1036)/S1036,(S1036-SUMIFS(P:P,A:A,A1036))/SUMIFS(P:P,A:A,A1036)),"."),".")</f>
        <v>.</v>
      </c>
    </row>
    <row r="1037" spans="1:53" ht="15.95" customHeight="1">
      <c r="A1037" s="1180" t="s">
        <v>2842</v>
      </c>
      <c r="B1037" s="1180" t="s">
        <v>2832</v>
      </c>
      <c r="C1037" s="1181">
        <v>44662</v>
      </c>
      <c r="D1037" s="1182" t="s">
        <v>389</v>
      </c>
      <c r="E1037" s="1182" t="s">
        <v>398</v>
      </c>
      <c r="F1037" s="1183" t="s">
        <v>2843</v>
      </c>
      <c r="G1037" s="1184" t="s">
        <v>2834</v>
      </c>
      <c r="H1037" s="1185">
        <v>4100000</v>
      </c>
      <c r="I1037" s="1201" t="s">
        <v>364</v>
      </c>
      <c r="J1037" s="1186" t="str">
        <f>VLOOKUP($I1037,'Price List, Weapons &amp; Items'!B:C,2,0)</f>
        <v>.</v>
      </c>
      <c r="K1037" s="1186" t="str">
        <f>IF(I1037=".",I1037,VLOOKUP($I1037,'Price List, Weapons &amp; Items'!B:D,3,0))</f>
        <v>.</v>
      </c>
      <c r="L1037" s="1187">
        <f>VLOOKUP(I1037,'Price List, Weapons &amp; Items'!B:E,4,0)</f>
        <v>0</v>
      </c>
      <c r="M1037" s="1188" t="s">
        <v>364</v>
      </c>
      <c r="N1037" s="1188" t="s">
        <v>364</v>
      </c>
      <c r="O1037" s="1188" t="str">
        <f>VLOOKUP($I1037,'Price List, Weapons &amp; Items'!B:G,6,0)</f>
        <v>.</v>
      </c>
      <c r="P1037" s="1185" t="str">
        <f t="shared" si="223"/>
        <v>.</v>
      </c>
      <c r="Q1037" s="1185" t="str">
        <f t="shared" si="224"/>
        <v>.</v>
      </c>
      <c r="R1037" s="1185">
        <f t="shared" si="220"/>
        <v>4100000</v>
      </c>
      <c r="S1037" s="1185">
        <f>IF(AND(AD1037=1,R1037&lt;&gt;".")=TRUE,R1037/VLOOKUP(G1037,'Exchange Rates'!B:C,2,0),IF(R1037=".",".",""))</f>
        <v>2345403.5810308335</v>
      </c>
      <c r="T1037" s="1185" t="str">
        <f>IF(AD1037=1,IF(AF1037="Value is not given at all",".",IF(AF1037="Value is given by the source",S1037,IF(AF1037="Value is calculated with prices",(IF(SUMIFS(Q:Q,A:A,A1037)&gt;0,SUMIFS(Q:Q,A:A,A1037),"."))/VLOOKUP("USD",'Exchange Rates'!B:C,2,0),"Error with coding"))),"")</f>
        <v>.</v>
      </c>
      <c r="U1037" s="1184" t="s">
        <v>365</v>
      </c>
      <c r="V1037" s="971" t="s">
        <v>2841</v>
      </c>
      <c r="W1037" s="971" t="s">
        <v>2844</v>
      </c>
      <c r="X1037" s="971" t="s">
        <v>2845</v>
      </c>
      <c r="Y1037" s="1277" t="s">
        <v>364</v>
      </c>
      <c r="Z1037" s="1184">
        <v>0</v>
      </c>
      <c r="AA1037" s="1194">
        <v>0</v>
      </c>
      <c r="AB1037" s="1201" t="s">
        <v>364</v>
      </c>
      <c r="AC1037" s="1192" t="str">
        <f>""</f>
        <v/>
      </c>
      <c r="AD1037" s="1193">
        <v>1</v>
      </c>
      <c r="AE1037" s="1193" t="s">
        <v>368</v>
      </c>
      <c r="AF1037" s="1193" t="s">
        <v>369</v>
      </c>
      <c r="AG1037" s="1193">
        <v>1</v>
      </c>
      <c r="AH1037" s="1193">
        <v>4</v>
      </c>
      <c r="AI1037" s="1193">
        <v>0</v>
      </c>
      <c r="AJ1037" s="1193">
        <f>VLOOKUP($I1037,'Price List, Weapons &amp; Items'!B:F,5,0)</f>
        <v>0</v>
      </c>
      <c r="AK1037" s="1193">
        <f t="shared" si="225"/>
        <v>0</v>
      </c>
      <c r="AL1037" s="1193">
        <f t="shared" si="226"/>
        <v>0</v>
      </c>
      <c r="AM1037" s="1193">
        <f t="shared" si="227"/>
        <v>0</v>
      </c>
      <c r="AN1037" s="1194" t="str">
        <f>VLOOKUP($I1037,'Price List, Weapons &amp; Items'!B:L,COLUMN('Price List, Weapons &amp; Items'!$J$11)-1,0)</f>
        <v>.</v>
      </c>
      <c r="AO1037" s="1194" t="str">
        <f>IF(I1037=".",".",VLOOKUP($I1037,'Price List, Weapons &amp; Items'!B:J,3,0))</f>
        <v>.</v>
      </c>
      <c r="AP1037" s="1195" t="str">
        <f t="shared" ca="1" si="221"/>
        <v>.</v>
      </c>
      <c r="AQ1037" s="1194">
        <f>VLOOKUP($I1037,'Price List, Weapons &amp; Items'!B:L,COLUMN('Price List, Weapons &amp; Items'!$L$11)-1,0)</f>
        <v>0</v>
      </c>
      <c r="AR1037" s="1194">
        <f t="shared" si="228"/>
        <v>1</v>
      </c>
      <c r="AS1037" s="1194">
        <f t="shared" si="229"/>
        <v>1</v>
      </c>
      <c r="AT1037" s="1194">
        <f t="shared" si="230"/>
        <v>1</v>
      </c>
      <c r="AU1037" s="1194" t="str">
        <f t="shared" si="231"/>
        <v>.</v>
      </c>
      <c r="AV1037" s="1194" t="str">
        <f t="shared" si="222"/>
        <v>.</v>
      </c>
      <c r="AW1037" s="1194" t="str">
        <f t="shared" si="232"/>
        <v>.</v>
      </c>
      <c r="AX1037" s="1194">
        <f>IFERROR(VLOOKUP(B1037,'Share, Heavy Weapons to Ukraine'!B:Z,COLUMN('Share, Heavy Weapons to Ukraine'!C1047)-1,0),0)</f>
        <v>0</v>
      </c>
      <c r="AY1037" s="1194">
        <f>VLOOKUP('Bilateral Assistance, MAIN DATA'!B1037,'Country Summary (€)'!B:F,COLUMN('Country Summary (€)'!C1048)-1,FALSE)</f>
        <v>0</v>
      </c>
      <c r="AZ1037" s="1194" t="str">
        <f>IF(AND(AD1037=1,D1037="Military",H1037&lt;&gt;"Not given")=TRUE,IF(SUMIFS(P:P,A:A,A1037)&gt;0,ABS((SUMIFS(P:P,A:A,A1037)/VLOOKUP("USD",'Exchange Rates'!B:C,2,0)))/S1037,"."),".")</f>
        <v>.</v>
      </c>
      <c r="BA1037" s="1196" t="str">
        <f>IF(AND(AD1037=1,D1037="Military",H1037&lt;&gt;"Not given")=TRUE,IF(SUMIFS(P:P,A:A,A1037)&gt;0,IF((ABS((SUMIFS(P:P,A:A,A1037)/VLOOKUP("USD",'Exchange Rates'!B:C,2,0)))/S1037)&gt;1,(SUMIFS(P:P,A:A,A1037)-S1037)/S1037,(S1037-SUMIFS(P:P,A:A,A1037))/SUMIFS(P:P,A:A,A1037)),"."),".")</f>
        <v>.</v>
      </c>
    </row>
    <row r="1038" spans="1:53" ht="15.95" customHeight="1">
      <c r="A1038" s="1180" t="s">
        <v>2846</v>
      </c>
      <c r="B1038" s="1180" t="s">
        <v>2832</v>
      </c>
      <c r="C1038" s="1181">
        <v>44662</v>
      </c>
      <c r="D1038" s="1182" t="s">
        <v>389</v>
      </c>
      <c r="E1038" s="1182" t="s">
        <v>361</v>
      </c>
      <c r="F1038" s="1183" t="s">
        <v>2847</v>
      </c>
      <c r="G1038" s="1184" t="s">
        <v>2834</v>
      </c>
      <c r="H1038" s="1185">
        <v>7500000</v>
      </c>
      <c r="I1038" s="1201" t="s">
        <v>364</v>
      </c>
      <c r="J1038" s="1186" t="str">
        <f>VLOOKUP($I1038,'Price List, Weapons &amp; Items'!B:C,2,0)</f>
        <v>.</v>
      </c>
      <c r="K1038" s="1186" t="str">
        <f>IF(I1038=".",I1038,VLOOKUP($I1038,'Price List, Weapons &amp; Items'!B:D,3,0))</f>
        <v>.</v>
      </c>
      <c r="L1038" s="1187">
        <f>VLOOKUP(I1038,'Price List, Weapons &amp; Items'!B:E,4,0)</f>
        <v>0</v>
      </c>
      <c r="M1038" s="1188" t="s">
        <v>364</v>
      </c>
      <c r="N1038" s="1188" t="s">
        <v>364</v>
      </c>
      <c r="O1038" s="1188" t="str">
        <f>VLOOKUP($I1038,'Price List, Weapons &amp; Items'!B:G,6,0)</f>
        <v>.</v>
      </c>
      <c r="P1038" s="1185" t="str">
        <f t="shared" si="223"/>
        <v>.</v>
      </c>
      <c r="Q1038" s="1185" t="str">
        <f t="shared" si="224"/>
        <v>.</v>
      </c>
      <c r="R1038" s="1185">
        <f t="shared" si="220"/>
        <v>7500000</v>
      </c>
      <c r="S1038" s="1185">
        <f>IF(AND(AD1038=1,R1038&lt;&gt;".")=TRUE,R1038/VLOOKUP(G1038,'Exchange Rates'!B:C,2,0),IF(R1038=".",".",""))</f>
        <v>4290372.4043246955</v>
      </c>
      <c r="T1038" s="1185" t="str">
        <f>IF(AD1038=1,IF(AF1038="Value is not given at all",".",IF(AF1038="Value is given by the source",S1038,IF(AF1038="Value is calculated with prices",(IF(SUMIFS(Q:Q,A:A,A1038)&gt;0,SUMIFS(Q:Q,A:A,A1038),"."))/VLOOKUP("USD",'Exchange Rates'!B:C,2,0),"Error with coding"))),"")</f>
        <v>.</v>
      </c>
      <c r="U1038" s="1184" t="s">
        <v>365</v>
      </c>
      <c r="V1038" s="971" t="s">
        <v>2841</v>
      </c>
      <c r="W1038" s="971" t="s">
        <v>2845</v>
      </c>
      <c r="X1038" s="971" t="s">
        <v>2845</v>
      </c>
      <c r="Y1038" s="1277" t="s">
        <v>364</v>
      </c>
      <c r="Z1038" s="1184">
        <v>0</v>
      </c>
      <c r="AA1038" s="1194">
        <v>0</v>
      </c>
      <c r="AB1038" s="1201" t="s">
        <v>364</v>
      </c>
      <c r="AC1038" s="1192" t="str">
        <f>""</f>
        <v/>
      </c>
      <c r="AD1038" s="1193">
        <v>1</v>
      </c>
      <c r="AE1038" s="1193" t="s">
        <v>368</v>
      </c>
      <c r="AF1038" s="1193" t="s">
        <v>369</v>
      </c>
      <c r="AG1038" s="1193">
        <v>1</v>
      </c>
      <c r="AH1038" s="1193">
        <v>4</v>
      </c>
      <c r="AI1038" s="1193">
        <v>0</v>
      </c>
      <c r="AJ1038" s="1193">
        <f>VLOOKUP($I1038,'Price List, Weapons &amp; Items'!B:F,5,0)</f>
        <v>0</v>
      </c>
      <c r="AK1038" s="1193">
        <f t="shared" si="225"/>
        <v>0</v>
      </c>
      <c r="AL1038" s="1193">
        <f t="shared" si="226"/>
        <v>0</v>
      </c>
      <c r="AM1038" s="1193">
        <f t="shared" si="227"/>
        <v>0</v>
      </c>
      <c r="AN1038" s="1194" t="str">
        <f>VLOOKUP($I1038,'Price List, Weapons &amp; Items'!B:L,COLUMN('Price List, Weapons &amp; Items'!$J$11)-1,0)</f>
        <v>.</v>
      </c>
      <c r="AO1038" s="1194" t="str">
        <f>IF(I1038=".",".",VLOOKUP($I1038,'Price List, Weapons &amp; Items'!B:J,3,0))</f>
        <v>.</v>
      </c>
      <c r="AP1038" s="1195" t="str">
        <f t="shared" ca="1" si="221"/>
        <v>.</v>
      </c>
      <c r="AQ1038" s="1194">
        <f>VLOOKUP($I1038,'Price List, Weapons &amp; Items'!B:L,COLUMN('Price List, Weapons &amp; Items'!$L$11)-1,0)</f>
        <v>0</v>
      </c>
      <c r="AR1038" s="1194">
        <f t="shared" si="228"/>
        <v>1</v>
      </c>
      <c r="AS1038" s="1194">
        <f t="shared" si="229"/>
        <v>0</v>
      </c>
      <c r="AT1038" s="1194">
        <f t="shared" si="230"/>
        <v>1</v>
      </c>
      <c r="AU1038" s="1194" t="str">
        <f t="shared" si="231"/>
        <v>.</v>
      </c>
      <c r="AV1038" s="1194" t="str">
        <f t="shared" si="222"/>
        <v>.</v>
      </c>
      <c r="AW1038" s="1194" t="str">
        <f t="shared" si="232"/>
        <v>.</v>
      </c>
      <c r="AX1038" s="1194">
        <f>IFERROR(VLOOKUP(B1038,'Share, Heavy Weapons to Ukraine'!B:Z,COLUMN('Share, Heavy Weapons to Ukraine'!C1048)-1,0),0)</f>
        <v>0</v>
      </c>
      <c r="AY1038" s="1194">
        <f>VLOOKUP('Bilateral Assistance, MAIN DATA'!B1038,'Country Summary (€)'!B:F,COLUMN('Country Summary (€)'!C1049)-1,FALSE)</f>
        <v>0</v>
      </c>
      <c r="AZ1038" s="1194" t="str">
        <f>IF(AND(AD1038=1,D1038="Military",H1038&lt;&gt;"Not given")=TRUE,IF(SUMIFS(P:P,A:A,A1038)&gt;0,ABS((SUMIFS(P:P,A:A,A1038)/VLOOKUP("USD",'Exchange Rates'!B:C,2,0)))/S1038,"."),".")</f>
        <v>.</v>
      </c>
      <c r="BA1038" s="1196" t="str">
        <f>IF(AND(AD1038=1,D1038="Military",H1038&lt;&gt;"Not given")=TRUE,IF(SUMIFS(P:P,A:A,A1038)&gt;0,IF((ABS((SUMIFS(P:P,A:A,A1038)/VLOOKUP("USD",'Exchange Rates'!B:C,2,0)))/S1038)&gt;1,(SUMIFS(P:P,A:A,A1038)-S1038)/S1038,(S1038-SUMIFS(P:P,A:A,A1038))/SUMIFS(P:P,A:A,A1038)),"."),".")</f>
        <v>.</v>
      </c>
    </row>
    <row r="1039" spans="1:53" ht="15.95" customHeight="1">
      <c r="A1039" s="1182" t="s">
        <v>2848</v>
      </c>
      <c r="B1039" s="1182" t="s">
        <v>2832</v>
      </c>
      <c r="C1039" s="1181">
        <v>44704</v>
      </c>
      <c r="D1039" s="1182" t="s">
        <v>389</v>
      </c>
      <c r="E1039" s="1182" t="s">
        <v>398</v>
      </c>
      <c r="F1039" s="1183" t="s">
        <v>2849</v>
      </c>
      <c r="G1039" s="1184" t="s">
        <v>456</v>
      </c>
      <c r="H1039" s="1185" t="s">
        <v>457</v>
      </c>
      <c r="I1039" s="1201" t="s">
        <v>2850</v>
      </c>
      <c r="J1039" s="1186" t="str">
        <f>VLOOKUP($I1039,'Price List, Weapons &amp; Items'!B:C,2,0)</f>
        <v>Military equipment</v>
      </c>
      <c r="K1039" s="1186" t="str">
        <f>IF(I1039=".",I1039,VLOOKUP($I1039,'Price List, Weapons &amp; Items'!B:D,3,0))</f>
        <v>Military equipment</v>
      </c>
      <c r="L1039" s="1187">
        <f>VLOOKUP(I1039,'Price List, Weapons &amp; Items'!B:E,4,0)</f>
        <v>0</v>
      </c>
      <c r="M1039" s="1188">
        <v>40</v>
      </c>
      <c r="N1039" s="1188" t="s">
        <v>374</v>
      </c>
      <c r="O1039" s="1188" t="str">
        <f>VLOOKUP($I1039,'Price List, Weapons &amp; Items'!B:G,6,0)</f>
        <v>.</v>
      </c>
      <c r="P1039" s="1185" t="str">
        <f t="shared" si="223"/>
        <v>No price</v>
      </c>
      <c r="Q1039" s="1185" t="str">
        <f t="shared" si="224"/>
        <v>.</v>
      </c>
      <c r="R1039" s="1185" t="str">
        <f t="shared" si="220"/>
        <v>.</v>
      </c>
      <c r="S1039" s="1185" t="str">
        <f>IF(AND(AD1039=1,R1039&lt;&gt;".")=TRUE,R1039/VLOOKUP(G1039,'Exchange Rates'!B:C,2,0),IF(R1039=".",".",""))</f>
        <v>.</v>
      </c>
      <c r="T1039" s="1185" t="str">
        <f>IF(AD1039=1,IF(AF1039="Value is not given at all",".",IF(AF1039="Value is given by the source",S1039,IF(AF1039="Value is calculated with prices",(IF(SUMIFS(Q:Q,A:A,A1039)&gt;0,SUMIFS(Q:Q,A:A,A1039),"."))/VLOOKUP("USD",'Exchange Rates'!B:C,2,0),"Error with coding"))),"")</f>
        <v>.</v>
      </c>
      <c r="U1039" s="1184" t="s">
        <v>365</v>
      </c>
      <c r="V1039" s="974" t="s">
        <v>2851</v>
      </c>
      <c r="W1039" s="974" t="s">
        <v>2852</v>
      </c>
      <c r="X1039" s="1183" t="s">
        <v>364</v>
      </c>
      <c r="Y1039" s="1183" t="s">
        <v>364</v>
      </c>
      <c r="Z1039" s="1184">
        <v>0</v>
      </c>
      <c r="AA1039" s="1194">
        <v>0</v>
      </c>
      <c r="AB1039" s="1201" t="s">
        <v>364</v>
      </c>
      <c r="AC1039" s="1192" t="str">
        <f>""</f>
        <v/>
      </c>
      <c r="AD1039" s="1193">
        <v>1</v>
      </c>
      <c r="AE1039" s="1193" t="s">
        <v>369</v>
      </c>
      <c r="AF1039" s="1193" t="s">
        <v>369</v>
      </c>
      <c r="AG1039" s="1193">
        <v>1</v>
      </c>
      <c r="AH1039" s="1193">
        <v>5</v>
      </c>
      <c r="AI1039" s="1193">
        <v>0</v>
      </c>
      <c r="AJ1039" s="1193">
        <f>VLOOKUP($I1039,'Price List, Weapons &amp; Items'!B:F,5,0)</f>
        <v>0</v>
      </c>
      <c r="AK1039" s="1193">
        <f t="shared" si="225"/>
        <v>0</v>
      </c>
      <c r="AL1039" s="1193">
        <f t="shared" si="226"/>
        <v>0</v>
      </c>
      <c r="AM1039" s="1193">
        <f t="shared" si="227"/>
        <v>0</v>
      </c>
      <c r="AN1039" s="1194" t="str">
        <f>VLOOKUP($I1039,'Price List, Weapons &amp; Items'!B:L,COLUMN('Price List, Weapons &amp; Items'!$J$11)-1,0)</f>
        <v>.</v>
      </c>
      <c r="AO1039" s="1194" t="str">
        <f>IF(I1039=".",".",VLOOKUP($I1039,'Price List, Weapons &amp; Items'!B:J,3,0))</f>
        <v>Military equipment</v>
      </c>
      <c r="AP1039" s="1195" t="str">
        <f t="shared" ca="1" si="221"/>
        <v>gun sight for L119 Light Field gun</v>
      </c>
      <c r="AQ1039" s="1194">
        <f>VLOOKUP($I1039,'Price List, Weapons &amp; Items'!B:L,COLUMN('Price List, Weapons &amp; Items'!$L$11)-1,0)</f>
        <v>0</v>
      </c>
      <c r="AR1039" s="1194">
        <f t="shared" si="228"/>
        <v>1</v>
      </c>
      <c r="AS1039" s="1194">
        <f t="shared" si="229"/>
        <v>1</v>
      </c>
      <c r="AT1039" s="1194">
        <f t="shared" si="230"/>
        <v>1</v>
      </c>
      <c r="AU1039" s="1194" t="str">
        <f t="shared" si="231"/>
        <v>.</v>
      </c>
      <c r="AV1039" s="1194" t="str">
        <f t="shared" si="222"/>
        <v>.</v>
      </c>
      <c r="AW1039" s="1194" t="str">
        <f t="shared" si="232"/>
        <v>.</v>
      </c>
      <c r="AX1039" s="1194">
        <f>IFERROR(VLOOKUP(B1039,'Share, Heavy Weapons to Ukraine'!B:Z,COLUMN('Share, Heavy Weapons to Ukraine'!C1049)-1,0),0)</f>
        <v>0</v>
      </c>
      <c r="AY1039" s="1194">
        <f>VLOOKUP('Bilateral Assistance, MAIN DATA'!B1039,'Country Summary (€)'!B:F,COLUMN('Country Summary (€)'!C1050)-1,FALSE)</f>
        <v>0</v>
      </c>
      <c r="AZ1039" s="1194" t="str">
        <f>IF(AND(AD1039=1,D1039="Military",H1039&lt;&gt;"Not given")=TRUE,IF(SUMIFS(P:P,A:A,A1039)&gt;0,ABS((SUMIFS(P:P,A:A,A1039)/VLOOKUP("USD",'Exchange Rates'!B:C,2,0)))/S1039,"."),".")</f>
        <v>.</v>
      </c>
      <c r="BA1039" s="1196" t="str">
        <f>IF(AND(AD1039=1,D1039="Military",H1039&lt;&gt;"Not given")=TRUE,IF(SUMIFS(P:P,A:A,A1039)&gt;0,IF((ABS((SUMIFS(P:P,A:A,A1039)/VLOOKUP("USD",'Exchange Rates'!B:C,2,0)))/S1039)&gt;1,(SUMIFS(P:P,A:A,A1039)-S1039)/S1039,(S1039-SUMIFS(P:P,A:A,A1039))/SUMIFS(P:P,A:A,A1039)),"."),".")</f>
        <v>.</v>
      </c>
    </row>
    <row r="1040" spans="1:53" ht="15.95" customHeight="1">
      <c r="A1040" s="1182" t="s">
        <v>2848</v>
      </c>
      <c r="B1040" s="1182" t="s">
        <v>2832</v>
      </c>
      <c r="C1040" s="1181">
        <v>44704</v>
      </c>
      <c r="D1040" s="1182" t="s">
        <v>389</v>
      </c>
      <c r="E1040" s="1182" t="s">
        <v>398</v>
      </c>
      <c r="F1040" s="1183" t="s">
        <v>2849</v>
      </c>
      <c r="G1040" s="1184" t="s">
        <v>456</v>
      </c>
      <c r="H1040" s="1185" t="s">
        <v>457</v>
      </c>
      <c r="I1040" s="1201" t="s">
        <v>2253</v>
      </c>
      <c r="J1040" s="1186" t="str">
        <f>VLOOKUP($I1040,'Price List, Weapons &amp; Items'!B:C,2,0)</f>
        <v>Ammunition for heavy weapon</v>
      </c>
      <c r="K1040" s="1186" t="str">
        <f>IF(I1040=".",I1040,VLOOKUP($I1040,'Price List, Weapons &amp; Items'!B:D,3,0))</f>
        <v>105mm field gun ammunition</v>
      </c>
      <c r="L1040" s="1187">
        <f>VLOOKUP(I1040,'Price List, Weapons &amp; Items'!B:E,4,0)</f>
        <v>0</v>
      </c>
      <c r="M1040" s="1188" t="s">
        <v>374</v>
      </c>
      <c r="N1040" s="1188" t="s">
        <v>374</v>
      </c>
      <c r="O1040" s="1188">
        <f>VLOOKUP($I1040,'Price List, Weapons &amp; Items'!B:G,6,0)</f>
        <v>400</v>
      </c>
      <c r="P1040" s="1185" t="str">
        <f t="shared" si="223"/>
        <v>.</v>
      </c>
      <c r="Q1040" s="1185" t="str">
        <f t="shared" si="224"/>
        <v>.</v>
      </c>
      <c r="R1040" s="1185" t="str">
        <f t="shared" si="220"/>
        <v/>
      </c>
      <c r="S1040" s="1185" t="str">
        <f>IF(AND(AD1040=1,R1040&lt;&gt;".")=TRUE,R1040/VLOOKUP(G1040,'Exchange Rates'!B:C,2,0),IF(R1040=".",".",""))</f>
        <v/>
      </c>
      <c r="T1040" s="1185" t="str">
        <f>IF(AD1040=1,IF(AF1040="Value is not given at all",".",IF(AF1040="Value is given by the source",S1040,IF(AF1040="Value is calculated with prices",(IF(SUMIFS(Q:Q,A:A,A1040)&gt;0,SUMIFS(Q:Q,A:A,A1040),"."))/VLOOKUP("USD",'Exchange Rates'!B:C,2,0),"Error with coding"))),"")</f>
        <v/>
      </c>
      <c r="U1040" s="1184" t="s">
        <v>365</v>
      </c>
      <c r="V1040" s="974" t="s">
        <v>2851</v>
      </c>
      <c r="W1040" s="974" t="s">
        <v>2852</v>
      </c>
      <c r="X1040" s="1183" t="s">
        <v>364</v>
      </c>
      <c r="Y1040" s="1183" t="s">
        <v>364</v>
      </c>
      <c r="Z1040" s="1184">
        <v>0</v>
      </c>
      <c r="AA1040" s="1194">
        <v>0</v>
      </c>
      <c r="AB1040" s="1201" t="s">
        <v>364</v>
      </c>
      <c r="AC1040" s="1192" t="str">
        <f>""</f>
        <v/>
      </c>
      <c r="AD1040" s="1193">
        <v>0</v>
      </c>
      <c r="AE1040" s="1193" t="s">
        <v>369</v>
      </c>
      <c r="AF1040" s="1193" t="s">
        <v>369</v>
      </c>
      <c r="AG1040" s="1193">
        <v>1</v>
      </c>
      <c r="AH1040" s="1193">
        <v>5</v>
      </c>
      <c r="AI1040" s="1193">
        <v>0</v>
      </c>
      <c r="AJ1040" s="1193">
        <f>VLOOKUP($I1040,'Price List, Weapons &amp; Items'!B:F,5,0)</f>
        <v>0</v>
      </c>
      <c r="AK1040" s="1193">
        <f t="shared" si="225"/>
        <v>0</v>
      </c>
      <c r="AL1040" s="1193">
        <f t="shared" si="226"/>
        <v>0</v>
      </c>
      <c r="AM1040" s="1193">
        <f t="shared" si="227"/>
        <v>1</v>
      </c>
      <c r="AN1040" s="1194" t="str">
        <f>VLOOKUP($I1040,'Price List, Weapons &amp; Items'!B:L,COLUMN('Price List, Weapons &amp; Items'!$J$11)-1,0)</f>
        <v>Military media (incl. websites)</v>
      </c>
      <c r="AO1040" s="1194" t="str">
        <f>IF(I1040=".",".",VLOOKUP($I1040,'Price List, Weapons &amp; Items'!B:J,3,0))</f>
        <v>105mm field gun ammunition</v>
      </c>
      <c r="AP1040" s="1195" t="str">
        <f t="shared" ca="1" si="221"/>
        <v/>
      </c>
      <c r="AQ1040" s="1194">
        <f>VLOOKUP($I1040,'Price List, Weapons &amp; Items'!B:L,COLUMN('Price List, Weapons &amp; Items'!$L$11)-1,0)</f>
        <v>2</v>
      </c>
      <c r="AR1040" s="1194">
        <f t="shared" si="228"/>
        <v>1</v>
      </c>
      <c r="AS1040" s="1194">
        <f t="shared" si="229"/>
        <v>1</v>
      </c>
      <c r="AT1040" s="1194">
        <f t="shared" si="230"/>
        <v>1</v>
      </c>
      <c r="AU1040" s="1194" t="str">
        <f t="shared" si="231"/>
        <v>.</v>
      </c>
      <c r="AV1040" s="1194" t="str">
        <f t="shared" si="222"/>
        <v>.</v>
      </c>
      <c r="AW1040" s="1194" t="str">
        <f t="shared" si="232"/>
        <v>.</v>
      </c>
      <c r="AX1040" s="1194">
        <f>IFERROR(VLOOKUP(B1040,'Share, Heavy Weapons to Ukraine'!B:Z,COLUMN('Share, Heavy Weapons to Ukraine'!C1050)-1,0),0)</f>
        <v>0</v>
      </c>
      <c r="AY1040" s="1194">
        <f>VLOOKUP('Bilateral Assistance, MAIN DATA'!B1040,'Country Summary (€)'!B:F,COLUMN('Country Summary (€)'!C1051)-1,FALSE)</f>
        <v>0</v>
      </c>
      <c r="AZ1040" s="1194" t="str">
        <f>IF(AND(AD1040=1,D1040="Military",H1040&lt;&gt;"Not given")=TRUE,IF(SUMIFS(P:P,A:A,A1040)&gt;0,ABS((SUMIFS(P:P,A:A,A1040)/VLOOKUP("USD",'Exchange Rates'!B:C,2,0)))/S1040,"."),".")</f>
        <v>.</v>
      </c>
      <c r="BA1040" s="1196" t="str">
        <f>IF(AND(AD1040=1,D1040="Military",H1040&lt;&gt;"Not given")=TRUE,IF(SUMIFS(P:P,A:A,A1040)&gt;0,IF((ABS((SUMIFS(P:P,A:A,A1040)/VLOOKUP("USD",'Exchange Rates'!B:C,2,0)))/S1040)&gt;1,(SUMIFS(P:P,A:A,A1040)-S1040)/S1040,(S1040-SUMIFS(P:P,A:A,A1040))/SUMIFS(P:P,A:A,A1040)),"."),".")</f>
        <v>.</v>
      </c>
    </row>
    <row r="1041" spans="1:71" ht="15.95" customHeight="1">
      <c r="A1041" s="1208" t="s">
        <v>2853</v>
      </c>
      <c r="B1041" s="1208" t="s">
        <v>2832</v>
      </c>
      <c r="C1041" s="1209">
        <v>44739</v>
      </c>
      <c r="D1041" s="1208" t="s">
        <v>389</v>
      </c>
      <c r="E1041" s="1208" t="s">
        <v>361</v>
      </c>
      <c r="F1041" s="1208" t="s">
        <v>2854</v>
      </c>
      <c r="G1041" s="1184" t="s">
        <v>2834</v>
      </c>
      <c r="H1041" s="1210">
        <v>4500000</v>
      </c>
      <c r="I1041" s="1208" t="s">
        <v>364</v>
      </c>
      <c r="J1041" s="1186" t="str">
        <f>VLOOKUP($I1041,'Price List, Weapons &amp; Items'!B:C,2,0)</f>
        <v>.</v>
      </c>
      <c r="K1041" s="1186" t="str">
        <f>IF(I1041=".",I1041,VLOOKUP($I1041,'Price List, Weapons &amp; Items'!B:D,3,0))</f>
        <v>.</v>
      </c>
      <c r="L1041" s="1187">
        <f>VLOOKUP(I1041,'Price List, Weapons &amp; Items'!B:E,4,0)</f>
        <v>0</v>
      </c>
      <c r="M1041" s="1241" t="s">
        <v>364</v>
      </c>
      <c r="N1041" s="1211" t="s">
        <v>364</v>
      </c>
      <c r="O1041" s="1188" t="str">
        <f>VLOOKUP($I1041,'Price List, Weapons &amp; Items'!B:G,6,0)</f>
        <v>.</v>
      </c>
      <c r="P1041" s="1185" t="str">
        <f t="shared" si="223"/>
        <v>.</v>
      </c>
      <c r="Q1041" s="1185" t="str">
        <f t="shared" si="224"/>
        <v>.</v>
      </c>
      <c r="R1041" s="1185">
        <f t="shared" si="220"/>
        <v>4500000</v>
      </c>
      <c r="S1041" s="1185">
        <f>IF(AND(AD1041=1,R1041&lt;&gt;".")=TRUE,R1041/VLOOKUP(G1041,'Exchange Rates'!B:C,2,0),IF(R1041=".",".",""))</f>
        <v>2574223.4425948174</v>
      </c>
      <c r="T1041" s="1185" t="str">
        <f>IF(AD1041=1,IF(AF1041="Value is not given at all",".",IF(AF1041="Value is given by the source",S1041,IF(AF1041="Value is calculated with prices",(IF(SUMIFS(Q:Q,A:A,A1041)&gt;0,SUMIFS(Q:Q,A:A,A1041),"."))/VLOOKUP("USD",'Exchange Rates'!B:C,2,0),"Error with coding"))),"")</f>
        <v>.</v>
      </c>
      <c r="U1041" s="1191" t="s">
        <v>365</v>
      </c>
      <c r="V1041" s="983" t="s">
        <v>2855</v>
      </c>
      <c r="W1041" s="983" t="s">
        <v>2856</v>
      </c>
      <c r="X1041" s="1208" t="s">
        <v>364</v>
      </c>
      <c r="Y1041" s="1208" t="s">
        <v>364</v>
      </c>
      <c r="Z1041" s="1191">
        <v>0</v>
      </c>
      <c r="AA1041" s="1191">
        <v>0</v>
      </c>
      <c r="AB1041" s="1208" t="s">
        <v>364</v>
      </c>
      <c r="AC1041" s="1192" t="str">
        <f>""</f>
        <v/>
      </c>
      <c r="AD1041" s="1191">
        <v>1</v>
      </c>
      <c r="AE1041" s="1191" t="s">
        <v>368</v>
      </c>
      <c r="AF1041" s="1191" t="s">
        <v>369</v>
      </c>
      <c r="AG1041" s="1191">
        <v>1</v>
      </c>
      <c r="AH1041" s="1191">
        <v>6</v>
      </c>
      <c r="AI1041" s="1191">
        <v>0</v>
      </c>
      <c r="AJ1041" s="1193">
        <f>VLOOKUP($I1041,'Price List, Weapons &amp; Items'!B:F,5,0)</f>
        <v>0</v>
      </c>
      <c r="AK1041" s="1193">
        <f t="shared" si="225"/>
        <v>0</v>
      </c>
      <c r="AL1041" s="1193">
        <f t="shared" si="226"/>
        <v>0</v>
      </c>
      <c r="AM1041" s="1193">
        <f t="shared" si="227"/>
        <v>0</v>
      </c>
      <c r="AN1041" s="1194" t="str">
        <f>VLOOKUP($I1041,'Price List, Weapons &amp; Items'!B:L,COLUMN('Price List, Weapons &amp; Items'!$J$11)-1,0)</f>
        <v>.</v>
      </c>
      <c r="AO1041" s="1194" t="str">
        <f>IF(I1041=".",".",VLOOKUP($I1041,'Price List, Weapons &amp; Items'!B:J,3,0))</f>
        <v>.</v>
      </c>
      <c r="AP1041" s="1195" t="str">
        <f t="shared" ca="1" si="221"/>
        <v>.</v>
      </c>
      <c r="AQ1041" s="1194">
        <f>VLOOKUP($I1041,'Price List, Weapons &amp; Items'!B:L,COLUMN('Price List, Weapons &amp; Items'!$L$11)-1,0)</f>
        <v>0</v>
      </c>
      <c r="AR1041" s="1194">
        <f t="shared" si="228"/>
        <v>1</v>
      </c>
      <c r="AS1041" s="1194">
        <f t="shared" si="229"/>
        <v>0</v>
      </c>
      <c r="AT1041" s="1194">
        <f t="shared" si="230"/>
        <v>1</v>
      </c>
      <c r="AU1041" s="1194" t="str">
        <f t="shared" si="231"/>
        <v>.</v>
      </c>
      <c r="AV1041" s="1194" t="str">
        <f t="shared" si="222"/>
        <v>.</v>
      </c>
      <c r="AW1041" s="1194" t="str">
        <f t="shared" si="232"/>
        <v>.</v>
      </c>
      <c r="AX1041" s="1194">
        <f>IFERROR(VLOOKUP(B1041,'Share, Heavy Weapons to Ukraine'!B:Z,COLUMN('Share, Heavy Weapons to Ukraine'!C1051)-1,0),0)</f>
        <v>0</v>
      </c>
      <c r="AY1041" s="1194">
        <f>VLOOKUP('Bilateral Assistance, MAIN DATA'!B1041,'Country Summary (€)'!B:F,COLUMN('Country Summary (€)'!C1052)-1,FALSE)</f>
        <v>0</v>
      </c>
      <c r="AZ1041" s="1194" t="str">
        <f>IF(AND(AD1041=1,D1041="Military",H1041&lt;&gt;"Not given")=TRUE,IF(SUMIFS(P:P,A:A,A1041)&gt;0,ABS((SUMIFS(P:P,A:A,A1041)/VLOOKUP("USD",'Exchange Rates'!B:C,2,0)))/S1041,"."),".")</f>
        <v>.</v>
      </c>
      <c r="BA1041" s="1196" t="str">
        <f>IF(AND(AD1041=1,D1041="Military",H1041&lt;&gt;"Not given")=TRUE,IF(SUMIFS(P:P,A:A,A1041)&gt;0,IF((ABS((SUMIFS(P:P,A:A,A1041)/VLOOKUP("USD",'Exchange Rates'!B:C,2,0)))/S1041)&gt;1,(SUMIFS(P:P,A:A,A1041)-S1041)/S1041,(S1041-SUMIFS(P:P,A:A,A1041))/SUMIFS(P:P,A:A,A1041)),"."),".")</f>
        <v>.</v>
      </c>
      <c r="BB1041" s="1208" t="s">
        <v>38</v>
      </c>
      <c r="BC1041" s="1208" t="s">
        <v>38</v>
      </c>
      <c r="BD1041" s="1208" t="s">
        <v>38</v>
      </c>
      <c r="BE1041" s="1208" t="s">
        <v>38</v>
      </c>
      <c r="BF1041" s="1208" t="s">
        <v>38</v>
      </c>
      <c r="BG1041" s="1208" t="s">
        <v>38</v>
      </c>
      <c r="BH1041" s="1208" t="s">
        <v>38</v>
      </c>
      <c r="BI1041" s="1208" t="s">
        <v>38</v>
      </c>
      <c r="BJ1041" s="1208" t="s">
        <v>38</v>
      </c>
      <c r="BK1041" s="1208" t="s">
        <v>38</v>
      </c>
      <c r="BL1041" s="1208" t="s">
        <v>38</v>
      </c>
      <c r="BM1041" s="1208" t="s">
        <v>38</v>
      </c>
      <c r="BN1041" s="1208" t="s">
        <v>38</v>
      </c>
      <c r="BO1041" s="1208" t="s">
        <v>38</v>
      </c>
      <c r="BP1041" s="1208" t="s">
        <v>38</v>
      </c>
      <c r="BQ1041" s="1208" t="s">
        <v>38</v>
      </c>
      <c r="BR1041" s="1208" t="s">
        <v>38</v>
      </c>
      <c r="BS1041" s="1208" t="s">
        <v>38</v>
      </c>
    </row>
    <row r="1042" spans="1:71" ht="15.95" customHeight="1">
      <c r="A1042" s="1208" t="s">
        <v>2857</v>
      </c>
      <c r="B1042" s="1208" t="s">
        <v>2832</v>
      </c>
      <c r="C1042" s="1209">
        <v>44769</v>
      </c>
      <c r="D1042" s="1208" t="s">
        <v>389</v>
      </c>
      <c r="E1042" s="1208" t="s">
        <v>361</v>
      </c>
      <c r="F1042" s="1208" t="s">
        <v>2858</v>
      </c>
      <c r="G1042" s="1184" t="s">
        <v>456</v>
      </c>
      <c r="H1042" s="1185" t="s">
        <v>457</v>
      </c>
      <c r="I1042" s="1208" t="s">
        <v>364</v>
      </c>
      <c r="J1042" s="1186" t="str">
        <f>VLOOKUP($I1042,'Price List, Weapons &amp; Items'!B:C,2,0)</f>
        <v>.</v>
      </c>
      <c r="K1042" s="1186" t="str">
        <f>IF(I1042=".",I1042,VLOOKUP($I1042,'Price List, Weapons &amp; Items'!B:D,3,0))</f>
        <v>.</v>
      </c>
      <c r="L1042" s="1187">
        <f>VLOOKUP(I1042,'Price List, Weapons &amp; Items'!B:E,4,0)</f>
        <v>0</v>
      </c>
      <c r="M1042" s="1241" t="s">
        <v>364</v>
      </c>
      <c r="N1042" s="1211" t="s">
        <v>364</v>
      </c>
      <c r="O1042" s="1188" t="str">
        <f>VLOOKUP($I1042,'Price List, Weapons &amp; Items'!B:G,6,0)</f>
        <v>.</v>
      </c>
      <c r="P1042" s="1185" t="str">
        <f t="shared" si="223"/>
        <v>.</v>
      </c>
      <c r="Q1042" s="1185" t="str">
        <f t="shared" si="224"/>
        <v>.</v>
      </c>
      <c r="R1042" s="1185" t="str">
        <f t="shared" si="220"/>
        <v>.</v>
      </c>
      <c r="S1042" s="1185" t="str">
        <f>IF(AND(AD1042=1,R1042&lt;&gt;".")=TRUE,R1042/VLOOKUP(G1042,'Exchange Rates'!B:C,2,0),IF(R1042=".",".",""))</f>
        <v>.</v>
      </c>
      <c r="T1042" s="1185" t="str">
        <f>IF(AD1042=1,IF(AF1042="Value is not given at all",".",IF(AF1042="Value is given by the source",S1042,IF(AF1042="Value is calculated with prices",(IF(SUMIFS(Q:Q,A:A,A1042)&gt;0,SUMIFS(Q:Q,A:A,A1042),"."))/VLOOKUP("USD",'Exchange Rates'!B:C,2,0),"Error with coding"))),"")</f>
        <v>.</v>
      </c>
      <c r="U1042" s="1191" t="s">
        <v>675</v>
      </c>
      <c r="V1042" s="1262" t="s">
        <v>2859</v>
      </c>
      <c r="W1042" s="983" t="s">
        <v>2856</v>
      </c>
      <c r="X1042" s="1208" t="s">
        <v>364</v>
      </c>
      <c r="Y1042" s="1208" t="s">
        <v>364</v>
      </c>
      <c r="Z1042" s="1191">
        <v>0</v>
      </c>
      <c r="AA1042" s="1191">
        <v>0</v>
      </c>
      <c r="AB1042" s="1208" t="s">
        <v>364</v>
      </c>
      <c r="AC1042" s="1192" t="str">
        <f>""</f>
        <v/>
      </c>
      <c r="AD1042" s="1191">
        <v>1</v>
      </c>
      <c r="AE1042" s="1191" t="s">
        <v>369</v>
      </c>
      <c r="AF1042" s="1191" t="s">
        <v>369</v>
      </c>
      <c r="AG1042" s="1191">
        <v>1</v>
      </c>
      <c r="AH1042" s="1191">
        <v>7</v>
      </c>
      <c r="AI1042" s="1191">
        <v>0</v>
      </c>
      <c r="AJ1042" s="1193">
        <f>VLOOKUP($I1042,'Price List, Weapons &amp; Items'!B:F,5,0)</f>
        <v>0</v>
      </c>
      <c r="AK1042" s="1193">
        <f t="shared" si="225"/>
        <v>0</v>
      </c>
      <c r="AL1042" s="1193">
        <f t="shared" si="226"/>
        <v>0</v>
      </c>
      <c r="AM1042" s="1193">
        <f t="shared" si="227"/>
        <v>0</v>
      </c>
      <c r="AN1042" s="1194" t="str">
        <f>VLOOKUP($I1042,'Price List, Weapons &amp; Items'!B:L,COLUMN('Price List, Weapons &amp; Items'!$J$11)-1,0)</f>
        <v>.</v>
      </c>
      <c r="AO1042" s="1194" t="str">
        <f>IF(I1042=".",".",VLOOKUP($I1042,'Price List, Weapons &amp; Items'!B:J,3,0))</f>
        <v>.</v>
      </c>
      <c r="AP1042" s="1195" t="str">
        <f t="shared" ca="1" si="221"/>
        <v>.</v>
      </c>
      <c r="AQ1042" s="1194">
        <f>VLOOKUP($I1042,'Price List, Weapons &amp; Items'!B:L,COLUMN('Price List, Weapons &amp; Items'!$L$11)-1,0)</f>
        <v>0</v>
      </c>
      <c r="AR1042" s="1194">
        <f t="shared" si="228"/>
        <v>0</v>
      </c>
      <c r="AS1042" s="1194">
        <f t="shared" si="229"/>
        <v>0</v>
      </c>
      <c r="AT1042" s="1194">
        <f t="shared" si="230"/>
        <v>1</v>
      </c>
      <c r="AU1042" s="1194" t="str">
        <f t="shared" si="231"/>
        <v>.</v>
      </c>
      <c r="AV1042" s="1194" t="str">
        <f t="shared" si="222"/>
        <v>.</v>
      </c>
      <c r="AW1042" s="1194" t="str">
        <f t="shared" si="232"/>
        <v>.</v>
      </c>
      <c r="AX1042" s="1194">
        <f>IFERROR(VLOOKUP(B1042,'Share, Heavy Weapons to Ukraine'!B:Z,COLUMN('Share, Heavy Weapons to Ukraine'!C1052)-1,0),0)</f>
        <v>0</v>
      </c>
      <c r="AY1042" s="1194">
        <f>VLOOKUP('Bilateral Assistance, MAIN DATA'!B1042,'Country Summary (€)'!B:F,COLUMN('Country Summary (€)'!C1053)-1,FALSE)</f>
        <v>0</v>
      </c>
      <c r="AZ1042" s="1194" t="str">
        <f>IF(AND(AD1042=1,D1042="Military",H1042&lt;&gt;"Not given")=TRUE,IF(SUMIFS(P:P,A:A,A1042)&gt;0,ABS((SUMIFS(P:P,A:A,A1042)/VLOOKUP("USD",'Exchange Rates'!B:C,2,0)))/S1042,"."),".")</f>
        <v>.</v>
      </c>
      <c r="BA1042" s="1196" t="str">
        <f>IF(AND(AD1042=1,D1042="Military",H1042&lt;&gt;"Not given")=TRUE,IF(SUMIFS(P:P,A:A,A1042)&gt;0,IF((ABS((SUMIFS(P:P,A:A,A1042)/VLOOKUP("USD",'Exchange Rates'!B:C,2,0)))/S1042)&gt;1,(SUMIFS(P:P,A:A,A1042)-S1042)/S1042,(S1042-SUMIFS(P:P,A:A,A1042))/SUMIFS(P:P,A:A,A1042)),"."),".")</f>
        <v>.</v>
      </c>
      <c r="BB1042" s="1208" t="s">
        <v>38</v>
      </c>
      <c r="BC1042" s="1208" t="s">
        <v>38</v>
      </c>
      <c r="BD1042" s="1208" t="s">
        <v>38</v>
      </c>
      <c r="BE1042" s="1208" t="s">
        <v>38</v>
      </c>
      <c r="BF1042" s="1208" t="s">
        <v>38</v>
      </c>
      <c r="BG1042" s="1208" t="s">
        <v>38</v>
      </c>
      <c r="BH1042" s="1208" t="s">
        <v>38</v>
      </c>
      <c r="BI1042" s="1208" t="s">
        <v>38</v>
      </c>
      <c r="BJ1042" s="1208" t="s">
        <v>38</v>
      </c>
      <c r="BK1042" s="1208" t="s">
        <v>38</v>
      </c>
      <c r="BL1042" s="1208" t="s">
        <v>38</v>
      </c>
      <c r="BM1042" s="1208" t="s">
        <v>38</v>
      </c>
      <c r="BN1042" s="1208" t="s">
        <v>38</v>
      </c>
      <c r="BO1042" s="1208" t="s">
        <v>38</v>
      </c>
      <c r="BP1042" s="1208" t="s">
        <v>38</v>
      </c>
      <c r="BQ1042" s="1208" t="s">
        <v>38</v>
      </c>
      <c r="BR1042" s="1208" t="s">
        <v>38</v>
      </c>
      <c r="BS1042" s="1208" t="s">
        <v>38</v>
      </c>
    </row>
    <row r="1043" spans="1:71" ht="15.95" customHeight="1">
      <c r="A1043" s="1208" t="s">
        <v>2860</v>
      </c>
      <c r="B1043" s="1208" t="s">
        <v>2832</v>
      </c>
      <c r="C1043" s="1209">
        <v>44879</v>
      </c>
      <c r="D1043" s="1208" t="s">
        <v>389</v>
      </c>
      <c r="E1043" s="1208" t="s">
        <v>2861</v>
      </c>
      <c r="F1043" s="1208" t="s">
        <v>2862</v>
      </c>
      <c r="G1043" s="1184" t="s">
        <v>2834</v>
      </c>
      <c r="H1043" s="1210">
        <v>1850000</v>
      </c>
      <c r="I1043" s="1208" t="s">
        <v>364</v>
      </c>
      <c r="J1043" s="1186" t="str">
        <f>VLOOKUP($I1043,'Price List, Weapons &amp; Items'!B:C,2,0)</f>
        <v>.</v>
      </c>
      <c r="K1043" s="1186" t="str">
        <f>IF(I1043=".",I1043,VLOOKUP($I1043,'Price List, Weapons &amp; Items'!B:D,3,0))</f>
        <v>.</v>
      </c>
      <c r="L1043" s="1187">
        <f>VLOOKUP(I1043,'Price List, Weapons &amp; Items'!B:E,4,0)</f>
        <v>0</v>
      </c>
      <c r="M1043" s="1241" t="s">
        <v>364</v>
      </c>
      <c r="N1043" s="1211" t="s">
        <v>364</v>
      </c>
      <c r="O1043" s="1188" t="str">
        <f>VLOOKUP($I1043,'Price List, Weapons &amp; Items'!B:G,6,0)</f>
        <v>.</v>
      </c>
      <c r="P1043" s="1185" t="str">
        <f t="shared" si="223"/>
        <v>.</v>
      </c>
      <c r="Q1043" s="1185" t="str">
        <f t="shared" si="224"/>
        <v>.</v>
      </c>
      <c r="R1043" s="1185">
        <f t="shared" si="220"/>
        <v>1850000</v>
      </c>
      <c r="S1043" s="1185">
        <f>IF(AND(AD1043=1,R1043&lt;&gt;".")=TRUE,R1043/VLOOKUP(G1043,'Exchange Rates'!B:C,2,0),IF(R1043=".",".",""))</f>
        <v>1058291.8597334248</v>
      </c>
      <c r="T1043" s="1185" t="str">
        <f>IF(AD1043=1,IF(AF1043="Value is not given at all",".",IF(AF1043="Value is given by the source",S1043,IF(AF1043="Value is calculated with prices",(IF(SUMIFS(Q:Q,A:A,A1043)&gt;0,SUMIFS(Q:Q,A:A,A1043),"."))/VLOOKUP("USD",'Exchange Rates'!B:C,2,0),"Error with coding"))),"")</f>
        <v>.</v>
      </c>
      <c r="U1043" s="1191" t="s">
        <v>365</v>
      </c>
      <c r="V1043" s="983" t="s">
        <v>2863</v>
      </c>
      <c r="W1043" s="983" t="s">
        <v>2856</v>
      </c>
      <c r="X1043" s="1208" t="s">
        <v>364</v>
      </c>
      <c r="Y1043" s="1208" t="s">
        <v>364</v>
      </c>
      <c r="Z1043" s="1191">
        <v>0</v>
      </c>
      <c r="AA1043" s="1191">
        <v>0</v>
      </c>
      <c r="AB1043" s="1208" t="s">
        <v>364</v>
      </c>
      <c r="AC1043" s="1192" t="str">
        <f>""</f>
        <v/>
      </c>
      <c r="AD1043" s="1191">
        <v>1</v>
      </c>
      <c r="AE1043" s="1191" t="s">
        <v>368</v>
      </c>
      <c r="AF1043" s="1191" t="s">
        <v>369</v>
      </c>
      <c r="AG1043" s="1191">
        <v>1</v>
      </c>
      <c r="AH1043" s="1191">
        <v>11</v>
      </c>
      <c r="AI1043" s="1191">
        <v>0</v>
      </c>
      <c r="AJ1043" s="1193">
        <f>VLOOKUP($I1043,'Price List, Weapons &amp; Items'!B:F,5,0)</f>
        <v>0</v>
      </c>
      <c r="AK1043" s="1193">
        <f t="shared" si="225"/>
        <v>0</v>
      </c>
      <c r="AL1043" s="1193">
        <f t="shared" si="226"/>
        <v>0</v>
      </c>
      <c r="AM1043" s="1193">
        <f t="shared" si="227"/>
        <v>0</v>
      </c>
      <c r="AN1043" s="1194" t="str">
        <f>VLOOKUP($I1043,'Price List, Weapons &amp; Items'!B:L,COLUMN('Price List, Weapons &amp; Items'!$J$11)-1,0)</f>
        <v>.</v>
      </c>
      <c r="AO1043" s="1194" t="str">
        <f>IF(I1043=".",".",VLOOKUP($I1043,'Price List, Weapons &amp; Items'!B:J,3,0))</f>
        <v>.</v>
      </c>
      <c r="AP1043" s="1195" t="str">
        <f t="shared" ca="1" si="221"/>
        <v>.</v>
      </c>
      <c r="AQ1043" s="1194">
        <f>VLOOKUP($I1043,'Price List, Weapons &amp; Items'!B:L,COLUMN('Price List, Weapons &amp; Items'!$L$11)-1,0)</f>
        <v>0</v>
      </c>
      <c r="AR1043" s="1194">
        <f t="shared" si="228"/>
        <v>1</v>
      </c>
      <c r="AS1043" s="1194">
        <f t="shared" si="229"/>
        <v>1</v>
      </c>
      <c r="AT1043" s="1194">
        <f t="shared" si="230"/>
        <v>1</v>
      </c>
      <c r="AU1043" s="1194" t="str">
        <f t="shared" si="231"/>
        <v>.</v>
      </c>
      <c r="AV1043" s="1194" t="str">
        <f t="shared" si="222"/>
        <v>.</v>
      </c>
      <c r="AW1043" s="1194" t="str">
        <f t="shared" si="232"/>
        <v>.</v>
      </c>
      <c r="AX1043" s="1194">
        <f>IFERROR(VLOOKUP(B1043,'Share, Heavy Weapons to Ukraine'!B:Z,COLUMN('Share, Heavy Weapons to Ukraine'!C1053)-1,0),0)</f>
        <v>0</v>
      </c>
      <c r="AY1043" s="1194">
        <f>VLOOKUP('Bilateral Assistance, MAIN DATA'!B1043,'Country Summary (€)'!B:F,COLUMN('Country Summary (€)'!C1054)-1,FALSE)</f>
        <v>0</v>
      </c>
      <c r="AZ1043" s="1194" t="str">
        <f>IF(AND(AD1043=1,D1043="Military",H1043&lt;&gt;"Not given")=TRUE,IF(SUMIFS(P:P,A:A,A1043)&gt;0,ABS((SUMIFS(P:P,A:A,A1043)/VLOOKUP("USD",'Exchange Rates'!B:C,2,0)))/S1043,"."),".")</f>
        <v>.</v>
      </c>
      <c r="BA1043" s="1196" t="str">
        <f>IF(AND(AD1043=1,D1043="Military",H1043&lt;&gt;"Not given")=TRUE,IF(SUMIFS(P:P,A:A,A1043)&gt;0,IF((ABS((SUMIFS(P:P,A:A,A1043)/VLOOKUP("USD",'Exchange Rates'!B:C,2,0)))/S1043)&gt;1,(SUMIFS(P:P,A:A,A1043)-S1043)/S1043,(S1043-SUMIFS(P:P,A:A,A1043))/SUMIFS(P:P,A:A,A1043)),"."),".")</f>
        <v>.</v>
      </c>
      <c r="BB1043" s="1208" t="s">
        <v>38</v>
      </c>
      <c r="BC1043" s="1208" t="s">
        <v>38</v>
      </c>
      <c r="BD1043" s="1208" t="s">
        <v>38</v>
      </c>
      <c r="BE1043" s="1208" t="s">
        <v>38</v>
      </c>
      <c r="BF1043" s="1208" t="s">
        <v>38</v>
      </c>
      <c r="BG1043" s="1208" t="s">
        <v>38</v>
      </c>
      <c r="BH1043" s="1208" t="s">
        <v>38</v>
      </c>
      <c r="BI1043" s="1208" t="s">
        <v>38</v>
      </c>
      <c r="BJ1043" s="1208" t="s">
        <v>38</v>
      </c>
      <c r="BK1043" s="1208" t="s">
        <v>38</v>
      </c>
      <c r="BL1043" s="1208" t="s">
        <v>38</v>
      </c>
      <c r="BM1043" s="1208" t="s">
        <v>38</v>
      </c>
      <c r="BN1043" s="1208" t="s">
        <v>38</v>
      </c>
      <c r="BO1043" s="1208" t="s">
        <v>38</v>
      </c>
      <c r="BP1043" s="1208" t="s">
        <v>38</v>
      </c>
      <c r="BQ1043" s="1208" t="s">
        <v>38</v>
      </c>
      <c r="BR1043" s="1208" t="s">
        <v>38</v>
      </c>
      <c r="BS1043" s="1208" t="s">
        <v>38</v>
      </c>
    </row>
    <row r="1044" spans="1:71" ht="15.95" customHeight="1">
      <c r="A1044" s="1208" t="s">
        <v>2864</v>
      </c>
      <c r="B1044" s="1208" t="s">
        <v>2832</v>
      </c>
      <c r="C1044" s="1209">
        <v>44620</v>
      </c>
      <c r="D1044" s="1208" t="s">
        <v>360</v>
      </c>
      <c r="E1044" s="1208" t="s">
        <v>361</v>
      </c>
      <c r="F1044" s="1208" t="s">
        <v>2865</v>
      </c>
      <c r="G1044" s="1184" t="s">
        <v>2834</v>
      </c>
      <c r="H1044" s="1210">
        <v>2000000</v>
      </c>
      <c r="I1044" s="1208" t="s">
        <v>364</v>
      </c>
      <c r="J1044" s="1186" t="str">
        <f>VLOOKUP($I1044,'Price List, Weapons &amp; Items'!B:C,2,0)</f>
        <v>.</v>
      </c>
      <c r="K1044" s="1186" t="str">
        <f>IF(I1044=".",I1044,VLOOKUP($I1044,'Price List, Weapons &amp; Items'!B:D,3,0))</f>
        <v>.</v>
      </c>
      <c r="L1044" s="1187">
        <f>VLOOKUP(I1044,'Price List, Weapons &amp; Items'!B:E,4,0)</f>
        <v>0</v>
      </c>
      <c r="M1044" s="1241" t="s">
        <v>364</v>
      </c>
      <c r="N1044" s="1211" t="s">
        <v>364</v>
      </c>
      <c r="O1044" s="1188" t="str">
        <f>VLOOKUP($I1044,'Price List, Weapons &amp; Items'!B:G,6,0)</f>
        <v>.</v>
      </c>
      <c r="P1044" s="1185" t="str">
        <f t="shared" si="223"/>
        <v>.</v>
      </c>
      <c r="Q1044" s="1185" t="str">
        <f t="shared" si="224"/>
        <v>.</v>
      </c>
      <c r="R1044" s="1185">
        <f t="shared" si="220"/>
        <v>2000000</v>
      </c>
      <c r="S1044" s="1185">
        <f>IF(AND(AD1044=1,R1044&lt;&gt;".")=TRUE,R1044/VLOOKUP(G1044,'Exchange Rates'!B:C,2,0),IF(R1044=".",".",""))</f>
        <v>1144099.3078199187</v>
      </c>
      <c r="T1044" s="1185" t="str">
        <f>IF(AD1044=1,IF(AF1044="Value is not given at all",".",IF(AF1044="Value is given by the source",S1044,IF(AF1044="Value is calculated with prices",(IF(SUMIFS(Q:Q,A:A,A1044)&gt;0,SUMIFS(Q:Q,A:A,A1044),"."))/VLOOKUP("USD",'Exchange Rates'!B:C,2,0),"Error with coding"))),"")</f>
        <v>.</v>
      </c>
      <c r="U1044" s="1191" t="s">
        <v>365</v>
      </c>
      <c r="V1044" s="983" t="s">
        <v>2841</v>
      </c>
      <c r="W1044" s="983" t="s">
        <v>2866</v>
      </c>
      <c r="X1044" s="983" t="s">
        <v>2867</v>
      </c>
      <c r="Y1044" s="1208" t="s">
        <v>364</v>
      </c>
      <c r="Z1044" s="1191">
        <v>0</v>
      </c>
      <c r="AA1044" s="1191">
        <v>0</v>
      </c>
      <c r="AB1044" s="1208" t="s">
        <v>364</v>
      </c>
      <c r="AC1044" s="1192" t="str">
        <f>""</f>
        <v/>
      </c>
      <c r="AD1044" s="1191">
        <v>1</v>
      </c>
      <c r="AE1044" s="1191" t="s">
        <v>368</v>
      </c>
      <c r="AF1044" s="1191" t="s">
        <v>369</v>
      </c>
      <c r="AG1044" s="1191">
        <v>1</v>
      </c>
      <c r="AH1044" s="1191">
        <v>2</v>
      </c>
      <c r="AI1044" s="1191">
        <v>0</v>
      </c>
      <c r="AJ1044" s="1193">
        <f>VLOOKUP($I1044,'Price List, Weapons &amp; Items'!B:F,5,0)</f>
        <v>0</v>
      </c>
      <c r="AK1044" s="1193">
        <f t="shared" si="225"/>
        <v>0</v>
      </c>
      <c r="AL1044" s="1193">
        <f t="shared" si="226"/>
        <v>0</v>
      </c>
      <c r="AM1044" s="1193">
        <f t="shared" si="227"/>
        <v>0</v>
      </c>
      <c r="AN1044" s="1194" t="str">
        <f>VLOOKUP($I1044,'Price List, Weapons &amp; Items'!B:L,COLUMN('Price List, Weapons &amp; Items'!$J$11)-1,0)</f>
        <v>.</v>
      </c>
      <c r="AO1044" s="1194" t="str">
        <f>IF(I1044=".",".",VLOOKUP($I1044,'Price List, Weapons &amp; Items'!B:J,3,0))</f>
        <v>.</v>
      </c>
      <c r="AP1044" s="1195" t="str">
        <f t="shared" ca="1" si="221"/>
        <v>.</v>
      </c>
      <c r="AQ1044" s="1194">
        <f>VLOOKUP($I1044,'Price List, Weapons &amp; Items'!B:L,COLUMN('Price List, Weapons &amp; Items'!$L$11)-1,0)</f>
        <v>0</v>
      </c>
      <c r="AR1044" s="1194">
        <f t="shared" si="228"/>
        <v>1</v>
      </c>
      <c r="AS1044" s="1194">
        <f t="shared" si="229"/>
        <v>0</v>
      </c>
      <c r="AT1044" s="1194">
        <f t="shared" si="230"/>
        <v>1</v>
      </c>
      <c r="AU1044" s="1194" t="str">
        <f t="shared" si="231"/>
        <v>.</v>
      </c>
      <c r="AV1044" s="1194" t="str">
        <f t="shared" si="222"/>
        <v>.</v>
      </c>
      <c r="AW1044" s="1194" t="str">
        <f t="shared" si="232"/>
        <v>.</v>
      </c>
      <c r="AX1044" s="1194">
        <f>IFERROR(VLOOKUP(B1044,'Share, Heavy Weapons to Ukraine'!B:Z,COLUMN('Share, Heavy Weapons to Ukraine'!C1054)-1,0),0)</f>
        <v>0</v>
      </c>
      <c r="AY1044" s="1194">
        <f>VLOOKUP('Bilateral Assistance, MAIN DATA'!B1044,'Country Summary (€)'!B:F,COLUMN('Country Summary (€)'!C1055)-1,FALSE)</f>
        <v>0</v>
      </c>
      <c r="AZ1044" s="1194" t="str">
        <f>IF(AND(AD1044=1,D1044="Military",H1044&lt;&gt;"Not given")=TRUE,IF(SUMIFS(P:P,A:A,A1044)&gt;0,ABS((SUMIFS(P:P,A:A,A1044)/VLOOKUP("USD",'Exchange Rates'!B:C,2,0)))/S1044,"."),".")</f>
        <v>.</v>
      </c>
      <c r="BA1044" s="1196" t="str">
        <f>IF(AND(AD1044=1,D1044="Military",H1044&lt;&gt;"Not given")=TRUE,IF(SUMIFS(P:P,A:A,A1044)&gt;0,IF((ABS((SUMIFS(P:P,A:A,A1044)/VLOOKUP("USD",'Exchange Rates'!B:C,2,0)))/S1044)&gt;1,(SUMIFS(P:P,A:A,A1044)-S1044)/S1044,(S1044-SUMIFS(P:P,A:A,A1044))/SUMIFS(P:P,A:A,A1044)),"."),".")</f>
        <v>.</v>
      </c>
      <c r="BB1044" s="1208" t="s">
        <v>38</v>
      </c>
      <c r="BC1044" s="1208" t="s">
        <v>38</v>
      </c>
      <c r="BD1044" s="1208" t="s">
        <v>38</v>
      </c>
      <c r="BE1044" s="1208" t="s">
        <v>38</v>
      </c>
      <c r="BF1044" s="1208" t="s">
        <v>38</v>
      </c>
      <c r="BG1044" s="1208" t="s">
        <v>38</v>
      </c>
      <c r="BH1044" s="1208" t="s">
        <v>38</v>
      </c>
      <c r="BI1044" s="1208" t="s">
        <v>38</v>
      </c>
      <c r="BJ1044" s="1208" t="s">
        <v>38</v>
      </c>
      <c r="BK1044" s="1208" t="s">
        <v>38</v>
      </c>
      <c r="BL1044" s="1208" t="s">
        <v>38</v>
      </c>
      <c r="BM1044" s="1208" t="s">
        <v>38</v>
      </c>
      <c r="BN1044" s="1208" t="s">
        <v>38</v>
      </c>
      <c r="BO1044" s="1208" t="s">
        <v>38</v>
      </c>
      <c r="BP1044" s="1208" t="s">
        <v>38</v>
      </c>
      <c r="BQ1044" s="1208" t="s">
        <v>38</v>
      </c>
      <c r="BR1044" s="1208" t="s">
        <v>38</v>
      </c>
      <c r="BS1044" s="1208" t="s">
        <v>38</v>
      </c>
    </row>
    <row r="1045" spans="1:71" ht="15.95" customHeight="1">
      <c r="A1045" s="1208" t="s">
        <v>2868</v>
      </c>
      <c r="B1045" s="1208" t="s">
        <v>2832</v>
      </c>
      <c r="C1045" s="1209">
        <v>44620</v>
      </c>
      <c r="D1045" s="1208" t="s">
        <v>360</v>
      </c>
      <c r="E1045" s="1208" t="s">
        <v>361</v>
      </c>
      <c r="F1045" s="1208" t="s">
        <v>2869</v>
      </c>
      <c r="G1045" s="1184" t="s">
        <v>2834</v>
      </c>
      <c r="H1045" s="1210">
        <v>2000000</v>
      </c>
      <c r="I1045" s="1208" t="s">
        <v>364</v>
      </c>
      <c r="J1045" s="1186" t="str">
        <f>VLOOKUP($I1045,'Price List, Weapons &amp; Items'!B:C,2,0)</f>
        <v>.</v>
      </c>
      <c r="K1045" s="1186" t="str">
        <f>IF(I1045=".",I1045,VLOOKUP($I1045,'Price List, Weapons &amp; Items'!B:D,3,0))</f>
        <v>.</v>
      </c>
      <c r="L1045" s="1187">
        <f>VLOOKUP(I1045,'Price List, Weapons &amp; Items'!B:E,4,0)</f>
        <v>0</v>
      </c>
      <c r="M1045" s="1241" t="s">
        <v>364</v>
      </c>
      <c r="N1045" s="1211" t="s">
        <v>364</v>
      </c>
      <c r="O1045" s="1188" t="str">
        <f>VLOOKUP($I1045,'Price List, Weapons &amp; Items'!B:G,6,0)</f>
        <v>.</v>
      </c>
      <c r="P1045" s="1185" t="str">
        <f t="shared" si="223"/>
        <v>.</v>
      </c>
      <c r="Q1045" s="1185" t="str">
        <f t="shared" si="224"/>
        <v>.</v>
      </c>
      <c r="R1045" s="1185">
        <f t="shared" si="220"/>
        <v>2000000</v>
      </c>
      <c r="S1045" s="1185">
        <f>IF(AND(AD1045=1,R1045&lt;&gt;".")=TRUE,R1045/VLOOKUP(G1045,'Exchange Rates'!B:C,2,0),IF(R1045=".",".",""))</f>
        <v>1144099.3078199187</v>
      </c>
      <c r="T1045" s="1185" t="str">
        <f>IF(AD1045=1,IF(AF1045="Value is not given at all",".",IF(AF1045="Value is given by the source",S1045,IF(AF1045="Value is calculated with prices",(IF(SUMIFS(Q:Q,A:A,A1045)&gt;0,SUMIFS(Q:Q,A:A,A1045),"."))/VLOOKUP("USD",'Exchange Rates'!B:C,2,0),"Error with coding"))),"")</f>
        <v>.</v>
      </c>
      <c r="U1045" s="1191" t="s">
        <v>365</v>
      </c>
      <c r="V1045" s="983" t="s">
        <v>2841</v>
      </c>
      <c r="W1045" s="983" t="s">
        <v>2856</v>
      </c>
      <c r="X1045" s="1208" t="s">
        <v>364</v>
      </c>
      <c r="Y1045" s="1208" t="s">
        <v>364</v>
      </c>
      <c r="Z1045" s="1191">
        <v>0</v>
      </c>
      <c r="AA1045" s="1191">
        <v>0</v>
      </c>
      <c r="AB1045" s="1208" t="s">
        <v>364</v>
      </c>
      <c r="AC1045" s="1192" t="str">
        <f>""</f>
        <v/>
      </c>
      <c r="AD1045" s="1191">
        <v>1</v>
      </c>
      <c r="AE1045" s="1191" t="s">
        <v>368</v>
      </c>
      <c r="AF1045" s="1191" t="s">
        <v>369</v>
      </c>
      <c r="AG1045" s="1191">
        <v>1</v>
      </c>
      <c r="AH1045" s="1191">
        <v>2</v>
      </c>
      <c r="AI1045" s="1191">
        <v>0</v>
      </c>
      <c r="AJ1045" s="1193">
        <f>VLOOKUP($I1045,'Price List, Weapons &amp; Items'!B:F,5,0)</f>
        <v>0</v>
      </c>
      <c r="AK1045" s="1193">
        <f t="shared" si="225"/>
        <v>0</v>
      </c>
      <c r="AL1045" s="1193">
        <f t="shared" si="226"/>
        <v>0</v>
      </c>
      <c r="AM1045" s="1193">
        <f t="shared" si="227"/>
        <v>0</v>
      </c>
      <c r="AN1045" s="1194" t="str">
        <f>VLOOKUP($I1045,'Price List, Weapons &amp; Items'!B:L,COLUMN('Price List, Weapons &amp; Items'!$J$11)-1,0)</f>
        <v>.</v>
      </c>
      <c r="AO1045" s="1194" t="str">
        <f>IF(I1045=".",".",VLOOKUP($I1045,'Price List, Weapons &amp; Items'!B:J,3,0))</f>
        <v>.</v>
      </c>
      <c r="AP1045" s="1195" t="str">
        <f t="shared" ca="1" si="221"/>
        <v>.</v>
      </c>
      <c r="AQ1045" s="1194">
        <f>VLOOKUP($I1045,'Price List, Weapons &amp; Items'!B:L,COLUMN('Price List, Weapons &amp; Items'!$L$11)-1,0)</f>
        <v>0</v>
      </c>
      <c r="AR1045" s="1194">
        <f t="shared" si="228"/>
        <v>1</v>
      </c>
      <c r="AS1045" s="1194">
        <f t="shared" si="229"/>
        <v>0</v>
      </c>
      <c r="AT1045" s="1194">
        <f t="shared" si="230"/>
        <v>1</v>
      </c>
      <c r="AU1045" s="1194" t="str">
        <f t="shared" si="231"/>
        <v>.</v>
      </c>
      <c r="AV1045" s="1194" t="str">
        <f t="shared" si="222"/>
        <v>.</v>
      </c>
      <c r="AW1045" s="1194" t="str">
        <f t="shared" si="232"/>
        <v>.</v>
      </c>
      <c r="AX1045" s="1194">
        <f>IFERROR(VLOOKUP(B1045,'Share, Heavy Weapons to Ukraine'!B:Z,COLUMN('Share, Heavy Weapons to Ukraine'!C1055)-1,0),0)</f>
        <v>0</v>
      </c>
      <c r="AY1045" s="1194">
        <f>VLOOKUP('Bilateral Assistance, MAIN DATA'!B1045,'Country Summary (€)'!B:F,COLUMN('Country Summary (€)'!C1056)-1,FALSE)</f>
        <v>0</v>
      </c>
      <c r="AZ1045" s="1194" t="str">
        <f>IF(AND(AD1045=1,D1045="Military",H1045&lt;&gt;"Not given")=TRUE,IF(SUMIFS(P:P,A:A,A1045)&gt;0,ABS((SUMIFS(P:P,A:A,A1045)/VLOOKUP("USD",'Exchange Rates'!B:C,2,0)))/S1045,"."),".")</f>
        <v>.</v>
      </c>
      <c r="BA1045" s="1196" t="str">
        <f>IF(AND(AD1045=1,D1045="Military",H1045&lt;&gt;"Not given")=TRUE,IF(SUMIFS(P:P,A:A,A1045)&gt;0,IF((ABS((SUMIFS(P:P,A:A,A1045)/VLOOKUP("USD",'Exchange Rates'!B:C,2,0)))/S1045)&gt;1,(SUMIFS(P:P,A:A,A1045)-S1045)/S1045,(S1045-SUMIFS(P:P,A:A,A1045))/SUMIFS(P:P,A:A,A1045)),"."),".")</f>
        <v>.</v>
      </c>
      <c r="BB1045" s="1208" t="s">
        <v>38</v>
      </c>
      <c r="BC1045" s="1208" t="s">
        <v>38</v>
      </c>
      <c r="BD1045" s="1208" t="s">
        <v>38</v>
      </c>
      <c r="BE1045" s="1208" t="s">
        <v>38</v>
      </c>
      <c r="BF1045" s="1208" t="s">
        <v>38</v>
      </c>
      <c r="BG1045" s="1208" t="s">
        <v>38</v>
      </c>
      <c r="BH1045" s="1208" t="s">
        <v>38</v>
      </c>
      <c r="BI1045" s="1208" t="s">
        <v>38</v>
      </c>
      <c r="BJ1045" s="1208" t="s">
        <v>38</v>
      </c>
      <c r="BK1045" s="1208" t="s">
        <v>38</v>
      </c>
      <c r="BL1045" s="1208" t="s">
        <v>38</v>
      </c>
      <c r="BM1045" s="1208" t="s">
        <v>38</v>
      </c>
      <c r="BN1045" s="1208" t="s">
        <v>38</v>
      </c>
      <c r="BO1045" s="1208" t="s">
        <v>38</v>
      </c>
      <c r="BP1045" s="1208" t="s">
        <v>38</v>
      </c>
      <c r="BQ1045" s="1208" t="s">
        <v>38</v>
      </c>
      <c r="BR1045" s="1208" t="s">
        <v>38</v>
      </c>
      <c r="BS1045" s="1208" t="s">
        <v>38</v>
      </c>
    </row>
    <row r="1046" spans="1:71" ht="15.95" customHeight="1">
      <c r="A1046" s="1208" t="s">
        <v>2870</v>
      </c>
      <c r="B1046" s="1208" t="s">
        <v>2832</v>
      </c>
      <c r="C1046" s="1209">
        <v>44909</v>
      </c>
      <c r="D1046" s="1208" t="s">
        <v>360</v>
      </c>
      <c r="E1046" s="1208" t="s">
        <v>361</v>
      </c>
      <c r="F1046" s="1208" t="s">
        <v>2871</v>
      </c>
      <c r="G1046" s="1184" t="s">
        <v>2834</v>
      </c>
      <c r="H1046" s="1210">
        <v>3000000</v>
      </c>
      <c r="I1046" s="1208" t="s">
        <v>364</v>
      </c>
      <c r="J1046" s="1186" t="str">
        <f>VLOOKUP($I1046,'Price List, Weapons &amp; Items'!B:C,2,0)</f>
        <v>.</v>
      </c>
      <c r="K1046" s="1186" t="str">
        <f>IF(I1046=".",I1046,VLOOKUP($I1046,'Price List, Weapons &amp; Items'!B:D,3,0))</f>
        <v>.</v>
      </c>
      <c r="L1046" s="1187">
        <f>VLOOKUP(I1046,'Price List, Weapons &amp; Items'!B:E,4,0)</f>
        <v>0</v>
      </c>
      <c r="M1046" s="1241" t="s">
        <v>364</v>
      </c>
      <c r="N1046" s="1211" t="s">
        <v>364</v>
      </c>
      <c r="O1046" s="1188" t="str">
        <f>VLOOKUP($I1046,'Price List, Weapons &amp; Items'!B:G,6,0)</f>
        <v>.</v>
      </c>
      <c r="P1046" s="1185" t="str">
        <f t="shared" si="223"/>
        <v>.</v>
      </c>
      <c r="Q1046" s="1185" t="str">
        <f t="shared" si="224"/>
        <v>.</v>
      </c>
      <c r="R1046" s="1185">
        <f t="shared" si="220"/>
        <v>3000000</v>
      </c>
      <c r="S1046" s="1185">
        <f>IF(AND(AD1046=1,R1046&lt;&gt;".")=TRUE,R1046/VLOOKUP(G1046,'Exchange Rates'!B:C,2,0),IF(R1046=".",".",""))</f>
        <v>1716148.9617298781</v>
      </c>
      <c r="T1046" s="1185" t="str">
        <f>IF(AD1046=1,IF(AF1046="Value is not given at all",".",IF(AF1046="Value is given by the source",S1046,IF(AF1046="Value is calculated with prices",(IF(SUMIFS(Q:Q,A:A,A1046)&gt;0,SUMIFS(Q:Q,A:A,A1046),"."))/VLOOKUP("USD",'Exchange Rates'!B:C,2,0),"Error with coding"))),"")</f>
        <v>.</v>
      </c>
      <c r="U1046" s="1191" t="s">
        <v>365</v>
      </c>
      <c r="V1046" s="983" t="s">
        <v>2872</v>
      </c>
      <c r="W1046" s="983" t="s">
        <v>2856</v>
      </c>
      <c r="X1046" s="1208" t="s">
        <v>364</v>
      </c>
      <c r="Y1046" s="1208" t="s">
        <v>364</v>
      </c>
      <c r="Z1046" s="1191">
        <v>0</v>
      </c>
      <c r="AA1046" s="1191">
        <v>0</v>
      </c>
      <c r="AB1046" s="1208" t="s">
        <v>364</v>
      </c>
      <c r="AC1046" s="1192" t="str">
        <f>""</f>
        <v/>
      </c>
      <c r="AD1046" s="1191">
        <v>1</v>
      </c>
      <c r="AE1046" s="1191" t="s">
        <v>368</v>
      </c>
      <c r="AF1046" s="1191" t="s">
        <v>369</v>
      </c>
      <c r="AG1046" s="1191">
        <v>1</v>
      </c>
      <c r="AH1046" s="1191">
        <v>12</v>
      </c>
      <c r="AI1046" s="1191">
        <v>0</v>
      </c>
      <c r="AJ1046" s="1193">
        <f>VLOOKUP($I1046,'Price List, Weapons &amp; Items'!B:F,5,0)</f>
        <v>0</v>
      </c>
      <c r="AK1046" s="1193">
        <f t="shared" si="225"/>
        <v>0</v>
      </c>
      <c r="AL1046" s="1193">
        <f t="shared" si="226"/>
        <v>0</v>
      </c>
      <c r="AM1046" s="1193">
        <f t="shared" si="227"/>
        <v>0</v>
      </c>
      <c r="AN1046" s="1194" t="str">
        <f>VLOOKUP($I1046,'Price List, Weapons &amp; Items'!B:L,COLUMN('Price List, Weapons &amp; Items'!$J$11)-1,0)</f>
        <v>.</v>
      </c>
      <c r="AO1046" s="1194" t="str">
        <f>IF(I1046=".",".",VLOOKUP($I1046,'Price List, Weapons &amp; Items'!B:J,3,0))</f>
        <v>.</v>
      </c>
      <c r="AP1046" s="1195" t="str">
        <f t="shared" ca="1" si="221"/>
        <v>.</v>
      </c>
      <c r="AQ1046" s="1194">
        <f>VLOOKUP($I1046,'Price List, Weapons &amp; Items'!B:L,COLUMN('Price List, Weapons &amp; Items'!$L$11)-1,0)</f>
        <v>0</v>
      </c>
      <c r="AR1046" s="1194">
        <f t="shared" si="228"/>
        <v>1</v>
      </c>
      <c r="AS1046" s="1194">
        <f t="shared" si="229"/>
        <v>0</v>
      </c>
      <c r="AT1046" s="1194">
        <f t="shared" si="230"/>
        <v>1</v>
      </c>
      <c r="AU1046" s="1194" t="str">
        <f t="shared" si="231"/>
        <v>.</v>
      </c>
      <c r="AV1046" s="1194" t="str">
        <f t="shared" si="222"/>
        <v>.</v>
      </c>
      <c r="AW1046" s="1194" t="str">
        <f t="shared" si="232"/>
        <v>.</v>
      </c>
      <c r="AX1046" s="1194">
        <f>IFERROR(VLOOKUP(B1046,'Share, Heavy Weapons to Ukraine'!B:Z,COLUMN('Share, Heavy Weapons to Ukraine'!C1056)-1,0),0)</f>
        <v>0</v>
      </c>
      <c r="AY1046" s="1194">
        <f>VLOOKUP('Bilateral Assistance, MAIN DATA'!B1046,'Country Summary (€)'!B:F,COLUMN('Country Summary (€)'!C1057)-1,FALSE)</f>
        <v>0</v>
      </c>
      <c r="AZ1046" s="1194" t="str">
        <f>IF(AND(AD1046=1,D1046="Military",H1046&lt;&gt;"Not given")=TRUE,IF(SUMIFS(P:P,A:A,A1046)&gt;0,ABS((SUMIFS(P:P,A:A,A1046)/VLOOKUP("USD",'Exchange Rates'!B:C,2,0)))/S1046,"."),".")</f>
        <v>.</v>
      </c>
      <c r="BA1046" s="1196" t="str">
        <f>IF(AND(AD1046=1,D1046="Military",H1046&lt;&gt;"Not given")=TRUE,IF(SUMIFS(P:P,A:A,A1046)&gt;0,IF((ABS((SUMIFS(P:P,A:A,A1046)/VLOOKUP("USD",'Exchange Rates'!B:C,2,0)))/S1046)&gt;1,(SUMIFS(P:P,A:A,A1046)-S1046)/S1046,(S1046-SUMIFS(P:P,A:A,A1046))/SUMIFS(P:P,A:A,A1046)),"."),".")</f>
        <v>.</v>
      </c>
      <c r="BB1046" s="1208" t="s">
        <v>38</v>
      </c>
      <c r="BC1046" s="1208" t="s">
        <v>38</v>
      </c>
      <c r="BD1046" s="1208" t="s">
        <v>38</v>
      </c>
      <c r="BE1046" s="1208" t="s">
        <v>38</v>
      </c>
      <c r="BF1046" s="1208" t="s">
        <v>38</v>
      </c>
      <c r="BG1046" s="1208" t="s">
        <v>38</v>
      </c>
      <c r="BH1046" s="1208" t="s">
        <v>38</v>
      </c>
      <c r="BI1046" s="1208" t="s">
        <v>38</v>
      </c>
      <c r="BJ1046" s="1208" t="s">
        <v>38</v>
      </c>
      <c r="BK1046" s="1208" t="s">
        <v>38</v>
      </c>
      <c r="BL1046" s="1208" t="s">
        <v>38</v>
      </c>
      <c r="BM1046" s="1208" t="s">
        <v>38</v>
      </c>
      <c r="BN1046" s="1208" t="s">
        <v>38</v>
      </c>
      <c r="BO1046" s="1208" t="s">
        <v>38</v>
      </c>
      <c r="BP1046" s="1208" t="s">
        <v>38</v>
      </c>
      <c r="BQ1046" s="1208" t="s">
        <v>38</v>
      </c>
      <c r="BR1046" s="1208" t="s">
        <v>38</v>
      </c>
      <c r="BS1046" s="1208" t="s">
        <v>38</v>
      </c>
    </row>
    <row r="1047" spans="1:71" ht="15.95" customHeight="1">
      <c r="A1047" s="1208" t="s">
        <v>2873</v>
      </c>
      <c r="B1047" s="1208" t="s">
        <v>2832</v>
      </c>
      <c r="C1047" s="1209">
        <v>45049</v>
      </c>
      <c r="D1047" s="1208" t="s">
        <v>360</v>
      </c>
      <c r="E1047" s="1208" t="s">
        <v>361</v>
      </c>
      <c r="F1047" s="1208" t="s">
        <v>2874</v>
      </c>
      <c r="G1047" s="1184" t="s">
        <v>2834</v>
      </c>
      <c r="H1047" s="1210">
        <v>2000000</v>
      </c>
      <c r="I1047" s="1208" t="s">
        <v>364</v>
      </c>
      <c r="J1047" s="1186" t="str">
        <f>VLOOKUP($I1047,'Price List, Weapons &amp; Items'!B:C,2,0)</f>
        <v>.</v>
      </c>
      <c r="K1047" s="1186" t="str">
        <f>IF(I1047=".",I1047,VLOOKUP($I1047,'Price List, Weapons &amp; Items'!B:D,3,0))</f>
        <v>.</v>
      </c>
      <c r="L1047" s="1187">
        <f>VLOOKUP(I1047,'Price List, Weapons &amp; Items'!B:E,4,0)</f>
        <v>0</v>
      </c>
      <c r="M1047" s="1241" t="s">
        <v>364</v>
      </c>
      <c r="N1047" s="1211" t="s">
        <v>364</v>
      </c>
      <c r="O1047" s="1188" t="str">
        <f>VLOOKUP($I1047,'Price List, Weapons &amp; Items'!B:G,6,0)</f>
        <v>.</v>
      </c>
      <c r="P1047" s="1185" t="str">
        <f t="shared" si="223"/>
        <v>.</v>
      </c>
      <c r="Q1047" s="1185" t="str">
        <f t="shared" si="224"/>
        <v>.</v>
      </c>
      <c r="R1047" s="1185">
        <f t="shared" si="220"/>
        <v>2000000</v>
      </c>
      <c r="S1047" s="1185">
        <f>IF(AND(AD1047=1,R1047&lt;&gt;".")=TRUE,R1047/VLOOKUP(G1047,'Exchange Rates'!B:C,2,0),IF(R1047=".",".",""))</f>
        <v>1144099.3078199187</v>
      </c>
      <c r="T1047" s="1185" t="str">
        <f>IF(AD1047=1,IF(AF1047="Value is not given at all",".",IF(AF1047="Value is given by the source",S1047,IF(AF1047="Value is calculated with prices",(IF(SUMIFS(Q:Q,A:A,A1047)&gt;0,SUMIFS(Q:Q,A:A,A1047),"."))/VLOOKUP("USD",'Exchange Rates'!B:C,2,0),"Error with coding"))),"")</f>
        <v>.</v>
      </c>
      <c r="U1047" s="1191" t="s">
        <v>365</v>
      </c>
      <c r="V1047" s="966" t="s">
        <v>2875</v>
      </c>
      <c r="W1047" s="966" t="s">
        <v>2876</v>
      </c>
      <c r="X1047" s="966" t="s">
        <v>2877</v>
      </c>
      <c r="Y1047" s="966" t="s">
        <v>2878</v>
      </c>
      <c r="Z1047" s="1191">
        <v>0</v>
      </c>
      <c r="AA1047" s="1191">
        <v>1</v>
      </c>
      <c r="AB1047" s="1208" t="s">
        <v>364</v>
      </c>
      <c r="AC1047" s="1192" t="str">
        <f>""</f>
        <v/>
      </c>
      <c r="AD1047" s="1191">
        <v>1</v>
      </c>
      <c r="AE1047" s="1191" t="s">
        <v>368</v>
      </c>
      <c r="AF1047" s="1191" t="s">
        <v>369</v>
      </c>
      <c r="AG1047" s="1191">
        <v>1</v>
      </c>
      <c r="AH1047" s="1191">
        <v>17</v>
      </c>
      <c r="AI1047" s="1191">
        <v>0</v>
      </c>
      <c r="AJ1047" s="1193">
        <f>VLOOKUP($I1047,'Price List, Weapons &amp; Items'!B:F,5,0)</f>
        <v>0</v>
      </c>
      <c r="AK1047" s="1193">
        <f t="shared" si="225"/>
        <v>0</v>
      </c>
      <c r="AL1047" s="1193">
        <f t="shared" si="226"/>
        <v>0</v>
      </c>
      <c r="AM1047" s="1193">
        <f t="shared" si="227"/>
        <v>0</v>
      </c>
      <c r="AN1047" s="1194" t="str">
        <f>VLOOKUP($I1047,'Price List, Weapons &amp; Items'!B:L,COLUMN('Price List, Weapons &amp; Items'!$J$11)-1,0)</f>
        <v>.</v>
      </c>
      <c r="AO1047" s="1194" t="str">
        <f>IF(I1047=".",".",VLOOKUP($I1047,'Price List, Weapons &amp; Items'!B:J,3,0))</f>
        <v>.</v>
      </c>
      <c r="AP1047" s="1195" t="str">
        <f t="shared" ca="1" si="221"/>
        <v>.</v>
      </c>
      <c r="AQ1047" s="1194">
        <f>VLOOKUP($I1047,'Price List, Weapons &amp; Items'!B:L,COLUMN('Price List, Weapons &amp; Items'!$L$11)-1,0)</f>
        <v>0</v>
      </c>
      <c r="AR1047" s="1194">
        <f t="shared" si="228"/>
        <v>1</v>
      </c>
      <c r="AS1047" s="1194">
        <f t="shared" si="229"/>
        <v>0</v>
      </c>
      <c r="AT1047" s="1194">
        <f t="shared" si="230"/>
        <v>1</v>
      </c>
      <c r="AU1047" s="1194" t="str">
        <f t="shared" si="231"/>
        <v>.</v>
      </c>
      <c r="AV1047" s="1194" t="str">
        <f t="shared" si="222"/>
        <v>.</v>
      </c>
      <c r="AW1047" s="1194" t="str">
        <f t="shared" si="232"/>
        <v>.</v>
      </c>
      <c r="AX1047" s="1194">
        <f>IFERROR(VLOOKUP(B1047,'Share, Heavy Weapons to Ukraine'!B:Z,COLUMN('Share, Heavy Weapons to Ukraine'!C1057)-1,0),0)</f>
        <v>0</v>
      </c>
      <c r="AY1047" s="1194">
        <f>VLOOKUP('Bilateral Assistance, MAIN DATA'!B1047,'Country Summary (€)'!B:F,COLUMN('Country Summary (€)'!C1058)-1,FALSE)</f>
        <v>0</v>
      </c>
      <c r="AZ1047" s="1194" t="str">
        <f>IF(AND(AD1047=1,D1047="Military",H1047&lt;&gt;"Not given")=TRUE,IF(SUMIFS(P:P,A:A,A1047)&gt;0,ABS((SUMIFS(P:P,A:A,A1047)/VLOOKUP("USD",'Exchange Rates'!B:C,2,0)))/S1047,"."),".")</f>
        <v>.</v>
      </c>
      <c r="BA1047" s="1196" t="str">
        <f>IF(AND(AD1047=1,D1047="Military",H1047&lt;&gt;"Not given")=TRUE,IF(SUMIFS(P:P,A:A,A1047)&gt;0,IF((ABS((SUMIFS(P:P,A:A,A1047)/VLOOKUP("USD",'Exchange Rates'!B:C,2,0)))/S1047)&gt;1,(SUMIFS(P:P,A:A,A1047)-S1047)/S1047,(S1047-SUMIFS(P:P,A:A,A1047))/SUMIFS(P:P,A:A,A1047)),"."),".")</f>
        <v>.</v>
      </c>
      <c r="BB1047" s="1208"/>
      <c r="BC1047" s="1208"/>
      <c r="BD1047" s="1208"/>
      <c r="BE1047" s="1208"/>
      <c r="BF1047" s="1208"/>
      <c r="BG1047" s="1208"/>
      <c r="BH1047" s="1208"/>
      <c r="BI1047" s="1208"/>
      <c r="BJ1047" s="1208"/>
      <c r="BK1047" s="1208"/>
      <c r="BL1047" s="1208"/>
      <c r="BM1047" s="1208"/>
      <c r="BN1047" s="1208"/>
      <c r="BO1047" s="1208"/>
      <c r="BP1047" s="1208"/>
      <c r="BQ1047" s="1208"/>
      <c r="BR1047" s="1208"/>
      <c r="BS1047" s="1208"/>
    </row>
    <row r="1048" spans="1:71" ht="15.95" customHeight="1">
      <c r="A1048" s="1208" t="s">
        <v>2879</v>
      </c>
      <c r="B1048" s="1208" t="s">
        <v>2832</v>
      </c>
      <c r="C1048" s="1209">
        <v>45049</v>
      </c>
      <c r="D1048" s="1208" t="s">
        <v>360</v>
      </c>
      <c r="E1048" s="1208" t="s">
        <v>361</v>
      </c>
      <c r="F1048" s="1208" t="s">
        <v>2880</v>
      </c>
      <c r="G1048" s="1184" t="s">
        <v>2834</v>
      </c>
      <c r="H1048" s="1210">
        <v>1500000</v>
      </c>
      <c r="I1048" s="1208" t="s">
        <v>364</v>
      </c>
      <c r="J1048" s="1186" t="str">
        <f>VLOOKUP($I1048,'Price List, Weapons &amp; Items'!B:C,2,0)</f>
        <v>.</v>
      </c>
      <c r="K1048" s="1186" t="str">
        <f>IF(I1048=".",I1048,VLOOKUP($I1048,'Price List, Weapons &amp; Items'!B:D,3,0))</f>
        <v>.</v>
      </c>
      <c r="L1048" s="1187">
        <f>VLOOKUP(I1048,'Price List, Weapons &amp; Items'!B:E,4,0)</f>
        <v>0</v>
      </c>
      <c r="M1048" s="1241" t="s">
        <v>364</v>
      </c>
      <c r="N1048" s="1211" t="s">
        <v>364</v>
      </c>
      <c r="O1048" s="1188" t="str">
        <f>VLOOKUP($I1048,'Price List, Weapons &amp; Items'!B:G,6,0)</f>
        <v>.</v>
      </c>
      <c r="P1048" s="1185" t="str">
        <f t="shared" si="223"/>
        <v>.</v>
      </c>
      <c r="Q1048" s="1185" t="str">
        <f t="shared" si="224"/>
        <v>.</v>
      </c>
      <c r="R1048" s="1185">
        <f t="shared" si="220"/>
        <v>1500000</v>
      </c>
      <c r="S1048" s="1185">
        <f>IF(AND(AD1048=1,R1048&lt;&gt;".")=TRUE,R1048/VLOOKUP(G1048,'Exchange Rates'!B:C,2,0),IF(R1048=".",".",""))</f>
        <v>858074.48086493905</v>
      </c>
      <c r="T1048" s="1185" t="str">
        <f>IF(AD1048=1,IF(AF1048="Value is not given at all",".",IF(AF1048="Value is given by the source",S1048,IF(AF1048="Value is calculated with prices",(IF(SUMIFS(Q:Q,A:A,A1048)&gt;0,SUMIFS(Q:Q,A:A,A1048),"."))/VLOOKUP("USD",'Exchange Rates'!B:C,2,0),"Error with coding"))),"")</f>
        <v>.</v>
      </c>
      <c r="U1048" s="1191" t="s">
        <v>365</v>
      </c>
      <c r="V1048" s="966" t="s">
        <v>2875</v>
      </c>
      <c r="W1048" s="966" t="s">
        <v>2876</v>
      </c>
      <c r="X1048" s="966" t="s">
        <v>2877</v>
      </c>
      <c r="Y1048" s="966" t="s">
        <v>2878</v>
      </c>
      <c r="Z1048" s="1191">
        <v>0</v>
      </c>
      <c r="AA1048" s="1191">
        <v>1</v>
      </c>
      <c r="AB1048" s="1208" t="s">
        <v>364</v>
      </c>
      <c r="AC1048" s="1192" t="str">
        <f>""</f>
        <v/>
      </c>
      <c r="AD1048" s="1191">
        <v>1</v>
      </c>
      <c r="AE1048" s="1191" t="s">
        <v>368</v>
      </c>
      <c r="AF1048" s="1191" t="s">
        <v>369</v>
      </c>
      <c r="AG1048" s="1191">
        <v>1</v>
      </c>
      <c r="AH1048" s="1191">
        <v>17</v>
      </c>
      <c r="AI1048" s="1191">
        <v>0</v>
      </c>
      <c r="AJ1048" s="1193">
        <f>VLOOKUP($I1048,'Price List, Weapons &amp; Items'!B:F,5,0)</f>
        <v>0</v>
      </c>
      <c r="AK1048" s="1193">
        <f t="shared" si="225"/>
        <v>0</v>
      </c>
      <c r="AL1048" s="1193">
        <f t="shared" si="226"/>
        <v>0</v>
      </c>
      <c r="AM1048" s="1193">
        <f t="shared" si="227"/>
        <v>0</v>
      </c>
      <c r="AN1048" s="1194" t="str">
        <f>VLOOKUP($I1048,'Price List, Weapons &amp; Items'!B:L,COLUMN('Price List, Weapons &amp; Items'!$J$11)-1,0)</f>
        <v>.</v>
      </c>
      <c r="AO1048" s="1194" t="str">
        <f>IF(I1048=".",".",VLOOKUP($I1048,'Price List, Weapons &amp; Items'!B:J,3,0))</f>
        <v>.</v>
      </c>
      <c r="AP1048" s="1195" t="str">
        <f t="shared" ca="1" si="221"/>
        <v>.</v>
      </c>
      <c r="AQ1048" s="1194">
        <f>VLOOKUP($I1048,'Price List, Weapons &amp; Items'!B:L,COLUMN('Price List, Weapons &amp; Items'!$L$11)-1,0)</f>
        <v>0</v>
      </c>
      <c r="AR1048" s="1194">
        <f t="shared" si="228"/>
        <v>1</v>
      </c>
      <c r="AS1048" s="1194">
        <f t="shared" si="229"/>
        <v>0</v>
      </c>
      <c r="AT1048" s="1194">
        <f t="shared" si="230"/>
        <v>1</v>
      </c>
      <c r="AU1048" s="1194" t="str">
        <f t="shared" si="231"/>
        <v>.</v>
      </c>
      <c r="AV1048" s="1194" t="str">
        <f t="shared" si="222"/>
        <v>.</v>
      </c>
      <c r="AW1048" s="1194" t="str">
        <f t="shared" si="232"/>
        <v>.</v>
      </c>
      <c r="AX1048" s="1194">
        <f>IFERROR(VLOOKUP(B1048,'Share, Heavy Weapons to Ukraine'!B:Z,COLUMN('Share, Heavy Weapons to Ukraine'!C1058)-1,0),0)</f>
        <v>0</v>
      </c>
      <c r="AY1048" s="1194">
        <f>VLOOKUP('Bilateral Assistance, MAIN DATA'!B1048,'Country Summary (€)'!B:F,COLUMN('Country Summary (€)'!C1059)-1,FALSE)</f>
        <v>0</v>
      </c>
      <c r="AZ1048" s="1194" t="str">
        <f>IF(AND(AD1048=1,D1048="Military",H1048&lt;&gt;"Not given")=TRUE,IF(SUMIFS(P:P,A:A,A1048)&gt;0,ABS((SUMIFS(P:P,A:A,A1048)/VLOOKUP("USD",'Exchange Rates'!B:C,2,0)))/S1048,"."),".")</f>
        <v>.</v>
      </c>
      <c r="BA1048" s="1196" t="str">
        <f>IF(AND(AD1048=1,D1048="Military",H1048&lt;&gt;"Not given")=TRUE,IF(SUMIFS(P:P,A:A,A1048)&gt;0,IF((ABS((SUMIFS(P:P,A:A,A1048)/VLOOKUP("USD",'Exchange Rates'!B:C,2,0)))/S1048)&gt;1,(SUMIFS(P:P,A:A,A1048)-S1048)/S1048,(S1048-SUMIFS(P:P,A:A,A1048))/SUMIFS(P:P,A:A,A1048)),"."),".")</f>
        <v>.</v>
      </c>
      <c r="BB1048" s="1208"/>
      <c r="BC1048" s="1208"/>
      <c r="BD1048" s="1208"/>
      <c r="BE1048" s="1208"/>
      <c r="BF1048" s="1208"/>
      <c r="BG1048" s="1208"/>
      <c r="BH1048" s="1208"/>
      <c r="BI1048" s="1208"/>
      <c r="BJ1048" s="1208"/>
      <c r="BK1048" s="1208"/>
      <c r="BL1048" s="1208"/>
      <c r="BM1048" s="1208"/>
      <c r="BN1048" s="1208"/>
      <c r="BO1048" s="1208"/>
      <c r="BP1048" s="1208"/>
      <c r="BQ1048" s="1208"/>
      <c r="BR1048" s="1208"/>
      <c r="BS1048" s="1208"/>
    </row>
    <row r="1049" spans="1:71" ht="15.95" customHeight="1">
      <c r="A1049" s="1208" t="s">
        <v>2881</v>
      </c>
      <c r="B1049" s="1180" t="s">
        <v>2882</v>
      </c>
      <c r="C1049" s="1181" t="s">
        <v>2683</v>
      </c>
      <c r="D1049" s="1182" t="s">
        <v>389</v>
      </c>
      <c r="E1049" s="1182" t="s">
        <v>390</v>
      </c>
      <c r="F1049" s="1208" t="s">
        <v>2883</v>
      </c>
      <c r="G1049" s="1184" t="s">
        <v>2884</v>
      </c>
      <c r="H1049" s="1210">
        <v>990000000</v>
      </c>
      <c r="I1049" s="1208" t="s">
        <v>364</v>
      </c>
      <c r="J1049" s="1186" t="str">
        <f>VLOOKUP($I1049,'Price List, Weapons &amp; Items'!B:C,2,0)</f>
        <v>.</v>
      </c>
      <c r="K1049" s="1186" t="str">
        <f>IF(I1049=".",I1049,VLOOKUP($I1049,'Price List, Weapons &amp; Items'!B:D,3,0))</f>
        <v>.</v>
      </c>
      <c r="L1049" s="1187">
        <f>VLOOKUP(I1049,'Price List, Weapons &amp; Items'!B:E,4,0)</f>
        <v>0</v>
      </c>
      <c r="M1049" s="1241" t="s">
        <v>364</v>
      </c>
      <c r="N1049" s="1211" t="s">
        <v>364</v>
      </c>
      <c r="O1049" s="1188" t="str">
        <f>VLOOKUP($I1049,'Price List, Weapons &amp; Items'!B:G,6,0)</f>
        <v>.</v>
      </c>
      <c r="P1049" s="1185" t="str">
        <f t="shared" si="223"/>
        <v>.</v>
      </c>
      <c r="Q1049" s="1185" t="str">
        <f t="shared" si="224"/>
        <v>.</v>
      </c>
      <c r="R1049" s="1185">
        <f t="shared" si="220"/>
        <v>990000000</v>
      </c>
      <c r="S1049" s="1185">
        <f>IF(AND(AD1049=1,R1049&lt;&gt;".")=TRUE,R1049/VLOOKUP(G1049,'Exchange Rates'!B:C,2,0),IF(R1049=".",".",""))</f>
        <v>84377397.08514446</v>
      </c>
      <c r="T1049" s="1185">
        <f>IF(AD1049=1,IF(AF1049="Value is not given at all",".",IF(AF1049="Value is given by the source",S1049,IF(AF1049="Value is calculated with prices",(IF(SUMIFS(Q:Q,A:A,A1049)&gt;0,SUMIFS(Q:Q,A:A,A1049),"."))/VLOOKUP("USD",'Exchange Rates'!B:C,2,0),"Error with coding"))),"")</f>
        <v>84377397.08514446</v>
      </c>
      <c r="U1049" s="1191" t="s">
        <v>365</v>
      </c>
      <c r="V1049" s="983" t="s">
        <v>2885</v>
      </c>
      <c r="W1049" s="983" t="s">
        <v>364</v>
      </c>
      <c r="X1049" s="1208" t="s">
        <v>364</v>
      </c>
      <c r="Y1049" s="1208" t="s">
        <v>364</v>
      </c>
      <c r="Z1049" s="1191">
        <v>0</v>
      </c>
      <c r="AA1049" s="1191">
        <v>1</v>
      </c>
      <c r="AB1049" s="1208" t="s">
        <v>364</v>
      </c>
      <c r="AC1049" s="1192" t="str">
        <f>""</f>
        <v/>
      </c>
      <c r="AD1049" s="1191">
        <v>1</v>
      </c>
      <c r="AE1049" s="1191" t="s">
        <v>368</v>
      </c>
      <c r="AF1049" s="1191" t="s">
        <v>368</v>
      </c>
      <c r="AG1049" s="1191">
        <v>1</v>
      </c>
      <c r="AH1049" s="1191">
        <v>8</v>
      </c>
      <c r="AI1049" s="1191">
        <v>0</v>
      </c>
      <c r="AJ1049" s="1193">
        <f>VLOOKUP($I1049,'Price List, Weapons &amp; Items'!B:F,5,0)</f>
        <v>0</v>
      </c>
      <c r="AK1049" s="1193">
        <f t="shared" si="225"/>
        <v>0</v>
      </c>
      <c r="AL1049" s="1193">
        <f t="shared" si="226"/>
        <v>0</v>
      </c>
      <c r="AM1049" s="1193">
        <f t="shared" si="227"/>
        <v>0</v>
      </c>
      <c r="AN1049" s="1194" t="str">
        <f>VLOOKUP($I1049,'Price List, Weapons &amp; Items'!B:L,COLUMN('Price List, Weapons &amp; Items'!$J$11)-1,0)</f>
        <v>.</v>
      </c>
      <c r="AO1049" s="1194" t="str">
        <f>IF(I1049=".",".",VLOOKUP($I1049,'Price List, Weapons &amp; Items'!B:J,3,0))</f>
        <v>.</v>
      </c>
      <c r="AP1049" s="1195" t="str">
        <f t="shared" ca="1" si="221"/>
        <v>.</v>
      </c>
      <c r="AQ1049" s="1194">
        <f>VLOOKUP($I1049,'Price List, Weapons &amp; Items'!B:L,COLUMN('Price List, Weapons &amp; Items'!$L$11)-1,0)</f>
        <v>0</v>
      </c>
      <c r="AR1049" s="1194">
        <f t="shared" si="228"/>
        <v>1</v>
      </c>
      <c r="AS1049" s="1194">
        <f t="shared" si="229"/>
        <v>1</v>
      </c>
      <c r="AT1049" s="1194" t="str">
        <f t="shared" si="230"/>
        <v>Value is not in date format</v>
      </c>
      <c r="AU1049" s="1194" t="str">
        <f t="shared" si="231"/>
        <v>.</v>
      </c>
      <c r="AV1049" s="1194" t="str">
        <f t="shared" si="222"/>
        <v>.</v>
      </c>
      <c r="AW1049" s="1194" t="str">
        <f t="shared" si="232"/>
        <v>.</v>
      </c>
      <c r="AX1049" s="1194">
        <f>IFERROR(VLOOKUP(B1049,'Share, Heavy Weapons to Ukraine'!B:Z,COLUMN('Share, Heavy Weapons to Ukraine'!C1059)-1,0),0)</f>
        <v>1</v>
      </c>
      <c r="AY1049" s="1194">
        <f>VLOOKUP('Bilateral Assistance, MAIN DATA'!B1049,'Country Summary (€)'!B:F,COLUMN('Country Summary (€)'!C1060)-1,FALSE)</f>
        <v>0</v>
      </c>
      <c r="AZ1049" s="1194">
        <f>IF(AND(AD1049=1,D1049="Military",H1049&lt;&gt;"Not given")=TRUE,IF(SUMIFS(P:P,A:A,A1049)&gt;0,ABS((SUMIFS(P:P,A:A,A1049)/VLOOKUP("USD",'Exchange Rates'!B:C,2,0)))/S1049,"."),".")</f>
        <v>2.9026752098781263</v>
      </c>
      <c r="BA1049" s="1196">
        <f>IF(AND(AD1049=1,D1049="Military",H1049&lt;&gt;"Not given")=TRUE,IF(SUMIFS(P:P,A:A,A1049)&gt;0,IF((ABS((SUMIFS(P:P,A:A,A1049)/VLOOKUP("USD",'Exchange Rates'!B:C,2,0)))/S1049)&gt;1,(SUMIFS(P:P,A:A,A1049)-S1049)/S1049,(S1049-SUMIFS(P:P,A:A,A1049))/SUMIFS(P:P,A:A,A1049)),"."),".")</f>
        <v>2.1546274180955476</v>
      </c>
      <c r="BB1049" s="1208"/>
      <c r="BC1049" s="1208"/>
      <c r="BD1049" s="1208"/>
      <c r="BE1049" s="1208"/>
      <c r="BF1049" s="1208"/>
      <c r="BG1049" s="1208"/>
      <c r="BH1049" s="1208"/>
      <c r="BI1049" s="1208"/>
      <c r="BJ1049" s="1208"/>
      <c r="BK1049" s="1208"/>
      <c r="BL1049" s="1208"/>
      <c r="BM1049" s="1208"/>
      <c r="BN1049" s="1208"/>
      <c r="BO1049" s="1208"/>
      <c r="BP1049" s="1208"/>
      <c r="BQ1049" s="1208"/>
      <c r="BR1049" s="1208"/>
      <c r="BS1049" s="1208"/>
    </row>
    <row r="1050" spans="1:71" ht="15.95" customHeight="1">
      <c r="A1050" s="1180" t="s">
        <v>2881</v>
      </c>
      <c r="B1050" s="1180" t="s">
        <v>2882</v>
      </c>
      <c r="C1050" s="1181">
        <v>44620</v>
      </c>
      <c r="D1050" s="1182" t="s">
        <v>389</v>
      </c>
      <c r="E1050" s="1182" t="s">
        <v>443</v>
      </c>
      <c r="F1050" s="1208" t="s">
        <v>2886</v>
      </c>
      <c r="G1050" s="1184" t="s">
        <v>2884</v>
      </c>
      <c r="H1050" s="1210">
        <v>990000000</v>
      </c>
      <c r="I1050" s="1180" t="s">
        <v>593</v>
      </c>
      <c r="J1050" s="1186" t="str">
        <f>VLOOKUP($I1050,'Price List, Weapons &amp; Items'!B:C,2,0)</f>
        <v>Portable defence system</v>
      </c>
      <c r="K1050" s="1186" t="str">
        <f>IF(I1050=".",I1050,VLOOKUP($I1050,'Price List, Weapons &amp; Items'!B:D,3,0))</f>
        <v>Light Anti-armor Weapon (LAW)</v>
      </c>
      <c r="L1050" s="1187">
        <f>VLOOKUP(I1050,'Price List, Weapons &amp; Items'!B:E,4,0)</f>
        <v>0</v>
      </c>
      <c r="M1050" s="1188">
        <v>2000</v>
      </c>
      <c r="N1050" s="1188">
        <v>2000</v>
      </c>
      <c r="O1050" s="1188">
        <f>VLOOKUP($I1050,'Price List, Weapons &amp; Items'!B:G,6,0)</f>
        <v>1475</v>
      </c>
      <c r="P1050" s="1185">
        <f t="shared" si="223"/>
        <v>2950000</v>
      </c>
      <c r="Q1050" s="1185">
        <f t="shared" si="224"/>
        <v>2950000</v>
      </c>
      <c r="R1050" s="1185" t="str">
        <f t="shared" si="220"/>
        <v/>
      </c>
      <c r="S1050" s="1185" t="str">
        <f>IF(AND(AD1050=1,R1050&lt;&gt;".")=TRUE,R1050/VLOOKUP(G1050,'Exchange Rates'!B:C,2,0),IF(R1050=".",".",""))</f>
        <v/>
      </c>
      <c r="T1050" s="1185" t="str">
        <f>IF(AD1050=1,IF(AF1050="Value is not given at all",".",IF(AF1050="Value is given by the source",S1050,IF(AF1050="Value is calculated with prices",(IF(SUMIFS(Q:Q,A:A,A1050)&gt;0,SUMIFS(Q:Q,A:A,A1050),"."))/VLOOKUP("USD",'Exchange Rates'!B:C,2,0),"Error with coding"))),"")</f>
        <v/>
      </c>
      <c r="U1050" s="1184" t="s">
        <v>365</v>
      </c>
      <c r="V1050" s="971" t="s">
        <v>2887</v>
      </c>
      <c r="W1050" s="971" t="s">
        <v>2888</v>
      </c>
      <c r="X1050" s="971" t="s">
        <v>2889</v>
      </c>
      <c r="Y1050" s="1277" t="s">
        <v>364</v>
      </c>
      <c r="Z1050" s="1184">
        <v>0</v>
      </c>
      <c r="AA1050" s="1194">
        <v>0</v>
      </c>
      <c r="AB1050" s="975" t="s">
        <v>2890</v>
      </c>
      <c r="AC1050" s="1192" t="str">
        <f>""</f>
        <v/>
      </c>
      <c r="AD1050" s="1193">
        <v>0</v>
      </c>
      <c r="AE1050" s="1193" t="s">
        <v>436</v>
      </c>
      <c r="AF1050" s="1193" t="s">
        <v>436</v>
      </c>
      <c r="AG1050" s="1193">
        <v>1</v>
      </c>
      <c r="AH1050" s="1193">
        <v>2</v>
      </c>
      <c r="AI1050" s="1193">
        <v>0</v>
      </c>
      <c r="AJ1050" s="1193">
        <f>VLOOKUP($I1050,'Price List, Weapons &amp; Items'!B:F,5,0)</f>
        <v>0</v>
      </c>
      <c r="AK1050" s="1193">
        <f t="shared" si="225"/>
        <v>0</v>
      </c>
      <c r="AL1050" s="1193">
        <f t="shared" si="226"/>
        <v>0</v>
      </c>
      <c r="AM1050" s="1193">
        <f t="shared" si="227"/>
        <v>0</v>
      </c>
      <c r="AN1050" s="1194" t="str">
        <f>VLOOKUP($I1050,'Price List, Weapons &amp; Items'!B:L,COLUMN('Price List, Weapons &amp; Items'!$J$11)-1,0)</f>
        <v>Military media (incl. websites)</v>
      </c>
      <c r="AO1050" s="1194" t="str">
        <f>IF(I1050=".",".",VLOOKUP($I1050,'Price List, Weapons &amp; Items'!B:J,3,0))</f>
        <v>Light Anti-armor Weapon (LAW)</v>
      </c>
      <c r="AP1050" s="1195" t="str">
        <f t="shared" ca="1" si="221"/>
        <v/>
      </c>
      <c r="AQ1050" s="1194">
        <f>VLOOKUP($I1050,'Price List, Weapons &amp; Items'!B:L,COLUMN('Price List, Weapons &amp; Items'!$L$11)-1,0)</f>
        <v>2</v>
      </c>
      <c r="AR1050" s="1194">
        <f t="shared" si="228"/>
        <v>1</v>
      </c>
      <c r="AS1050" s="1194">
        <f t="shared" si="229"/>
        <v>1</v>
      </c>
      <c r="AT1050" s="1194">
        <f t="shared" si="230"/>
        <v>1</v>
      </c>
      <c r="AU1050" s="1194" t="str">
        <f t="shared" si="231"/>
        <v>.</v>
      </c>
      <c r="AV1050" s="1194" t="str">
        <f t="shared" si="222"/>
        <v>.</v>
      </c>
      <c r="AW1050" s="1194" t="str">
        <f t="shared" si="232"/>
        <v>.</v>
      </c>
      <c r="AX1050" s="1194">
        <f>IFERROR(VLOOKUP(B1050,'Share, Heavy Weapons to Ukraine'!B:Z,COLUMN('Share, Heavy Weapons to Ukraine'!C1060)-1,0),0)</f>
        <v>1</v>
      </c>
      <c r="AY1050" s="1194">
        <f>VLOOKUP('Bilateral Assistance, MAIN DATA'!B1050,'Country Summary (€)'!B:F,COLUMN('Country Summary (€)'!C1061)-1,FALSE)</f>
        <v>0</v>
      </c>
      <c r="AZ1050" s="1194" t="str">
        <f>IF(AND(AD1050=1,D1050="Military",H1050&lt;&gt;"Not given")=TRUE,IF(SUMIFS(P:P,A:A,A1050)&gt;0,ABS((SUMIFS(P:P,A:A,A1050)/VLOOKUP("USD",'Exchange Rates'!B:C,2,0)))/S1050,"."),".")</f>
        <v>.</v>
      </c>
      <c r="BA1050" s="1196" t="str">
        <f>IF(AND(AD1050=1,D1050="Military",H1050&lt;&gt;"Not given")=TRUE,IF(SUMIFS(P:P,A:A,A1050)&gt;0,IF((ABS((SUMIFS(P:P,A:A,A1050)/VLOOKUP("USD",'Exchange Rates'!B:C,2,0)))/S1050)&gt;1,(SUMIFS(P:P,A:A,A1050)-S1050)/S1050,(S1050-SUMIFS(P:P,A:A,A1050))/SUMIFS(P:P,A:A,A1050)),"."),".")</f>
        <v>.</v>
      </c>
    </row>
    <row r="1051" spans="1:71" ht="15.95" customHeight="1">
      <c r="A1051" s="1180" t="s">
        <v>2881</v>
      </c>
      <c r="B1051" s="1180" t="s">
        <v>2882</v>
      </c>
      <c r="C1051" s="1181">
        <v>44651</v>
      </c>
      <c r="D1051" s="1182" t="s">
        <v>389</v>
      </c>
      <c r="E1051" s="1182" t="s">
        <v>443</v>
      </c>
      <c r="F1051" s="1208" t="s">
        <v>2886</v>
      </c>
      <c r="G1051" s="1184" t="s">
        <v>2884</v>
      </c>
      <c r="H1051" s="1210">
        <v>990000000</v>
      </c>
      <c r="I1051" s="1180" t="s">
        <v>593</v>
      </c>
      <c r="J1051" s="1186" t="str">
        <f>VLOOKUP($I1051,'Price List, Weapons &amp; Items'!B:C,2,0)</f>
        <v>Portable defence system</v>
      </c>
      <c r="K1051" s="1186" t="str">
        <f>IF(I1051=".",I1051,VLOOKUP($I1051,'Price List, Weapons &amp; Items'!B:D,3,0))</f>
        <v>Light Anti-armor Weapon (LAW)</v>
      </c>
      <c r="L1051" s="1187">
        <f>VLOOKUP(I1051,'Price List, Weapons &amp; Items'!B:E,4,0)</f>
        <v>0</v>
      </c>
      <c r="M1051" s="1188">
        <v>2000</v>
      </c>
      <c r="N1051" s="1188">
        <v>2000</v>
      </c>
      <c r="O1051" s="1188">
        <f>VLOOKUP($I1051,'Price List, Weapons &amp; Items'!B:G,6,0)</f>
        <v>1475</v>
      </c>
      <c r="P1051" s="1185">
        <f t="shared" si="223"/>
        <v>2950000</v>
      </c>
      <c r="Q1051" s="1185">
        <f t="shared" si="224"/>
        <v>2950000</v>
      </c>
      <c r="R1051" s="1185" t="str">
        <f t="shared" si="220"/>
        <v/>
      </c>
      <c r="S1051" s="1185" t="str">
        <f>IF(AND(AD1051=1,R1051&lt;&gt;".")=TRUE,R1051/VLOOKUP(G1051,'Exchange Rates'!B:C,2,0),IF(R1051=".",".",""))</f>
        <v/>
      </c>
      <c r="T1051" s="1185" t="str">
        <f>IF(AD1051=1,IF(AF1051="Value is not given at all",".",IF(AF1051="Value is given by the source",S1051,IF(AF1051="Value is calculated with prices",(IF(SUMIFS(Q:Q,A:A,A1051)&gt;0,SUMIFS(Q:Q,A:A,A1051),"."))/VLOOKUP("USD",'Exchange Rates'!B:C,2,0),"Error with coding"))),"")</f>
        <v/>
      </c>
      <c r="U1051" s="1184" t="s">
        <v>365</v>
      </c>
      <c r="V1051" s="971" t="s">
        <v>2891</v>
      </c>
      <c r="W1051" s="971" t="s">
        <v>2888</v>
      </c>
      <c r="X1051" s="971" t="s">
        <v>2889</v>
      </c>
      <c r="Y1051" s="1277" t="s">
        <v>364</v>
      </c>
      <c r="Z1051" s="1184">
        <v>0</v>
      </c>
      <c r="AA1051" s="1194">
        <v>0</v>
      </c>
      <c r="AB1051" s="975" t="s">
        <v>2890</v>
      </c>
      <c r="AC1051" s="1192" t="str">
        <f>""</f>
        <v/>
      </c>
      <c r="AD1051" s="1193">
        <v>0</v>
      </c>
      <c r="AE1051" s="1193" t="s">
        <v>436</v>
      </c>
      <c r="AF1051" s="1193" t="s">
        <v>436</v>
      </c>
      <c r="AG1051" s="1193">
        <v>1</v>
      </c>
      <c r="AH1051" s="1193">
        <v>3</v>
      </c>
      <c r="AI1051" s="1193">
        <v>0</v>
      </c>
      <c r="AJ1051" s="1193">
        <f>VLOOKUP($I1051,'Price List, Weapons &amp; Items'!B:F,5,0)</f>
        <v>0</v>
      </c>
      <c r="AK1051" s="1193">
        <f t="shared" si="225"/>
        <v>0</v>
      </c>
      <c r="AL1051" s="1193">
        <f t="shared" si="226"/>
        <v>0</v>
      </c>
      <c r="AM1051" s="1193">
        <f t="shared" si="227"/>
        <v>0</v>
      </c>
      <c r="AN1051" s="1194" t="str">
        <f>VLOOKUP($I1051,'Price List, Weapons &amp; Items'!B:L,COLUMN('Price List, Weapons &amp; Items'!$J$11)-1,0)</f>
        <v>Military media (incl. websites)</v>
      </c>
      <c r="AO1051" s="1194" t="str">
        <f>IF(I1051=".",".",VLOOKUP($I1051,'Price List, Weapons &amp; Items'!B:J,3,0))</f>
        <v>Light Anti-armor Weapon (LAW)</v>
      </c>
      <c r="AP1051" s="1195" t="str">
        <f t="shared" ca="1" si="221"/>
        <v/>
      </c>
      <c r="AQ1051" s="1194">
        <f>VLOOKUP($I1051,'Price List, Weapons &amp; Items'!B:L,COLUMN('Price List, Weapons &amp; Items'!$L$11)-1,0)</f>
        <v>2</v>
      </c>
      <c r="AR1051" s="1194">
        <f t="shared" si="228"/>
        <v>1</v>
      </c>
      <c r="AS1051" s="1194">
        <f t="shared" si="229"/>
        <v>1</v>
      </c>
      <c r="AT1051" s="1194">
        <f t="shared" si="230"/>
        <v>1</v>
      </c>
      <c r="AU1051" s="1194" t="str">
        <f t="shared" si="231"/>
        <v>.</v>
      </c>
      <c r="AV1051" s="1194" t="str">
        <f t="shared" si="222"/>
        <v>.</v>
      </c>
      <c r="AW1051" s="1194" t="str">
        <f t="shared" si="232"/>
        <v>.</v>
      </c>
      <c r="AX1051" s="1194">
        <f>IFERROR(VLOOKUP(B1051,'Share, Heavy Weapons to Ukraine'!B:Z,COLUMN('Share, Heavy Weapons to Ukraine'!C1061)-1,0),0)</f>
        <v>1</v>
      </c>
      <c r="AY1051" s="1194">
        <f>VLOOKUP('Bilateral Assistance, MAIN DATA'!B1051,'Country Summary (€)'!B:F,COLUMN('Country Summary (€)'!C1062)-1,FALSE)</f>
        <v>0</v>
      </c>
      <c r="AZ1051" s="1194" t="str">
        <f>IF(AND(AD1051=1,D1051="Military",H1051&lt;&gt;"Not given")=TRUE,IF(SUMIFS(P:P,A:A,A1051)&gt;0,ABS((SUMIFS(P:P,A:A,A1051)/VLOOKUP("USD",'Exchange Rates'!B:C,2,0)))/S1051,"."),".")</f>
        <v>.</v>
      </c>
      <c r="BA1051" s="1196" t="str">
        <f>IF(AND(AD1051=1,D1051="Military",H1051&lt;&gt;"Not given")=TRUE,IF(SUMIFS(P:P,A:A,A1051)&gt;0,IF((ABS((SUMIFS(P:P,A:A,A1051)/VLOOKUP("USD",'Exchange Rates'!B:C,2,0)))/S1051)&gt;1,(SUMIFS(P:P,A:A,A1051)-S1051)/S1051,(S1051-SUMIFS(P:P,A:A,A1051))/SUMIFS(P:P,A:A,A1051)),"."),".")</f>
        <v>.</v>
      </c>
    </row>
    <row r="1052" spans="1:71" ht="15.95" customHeight="1">
      <c r="A1052" s="1180" t="s">
        <v>2881</v>
      </c>
      <c r="B1052" s="1182" t="s">
        <v>2882</v>
      </c>
      <c r="C1052" s="1181">
        <v>44671</v>
      </c>
      <c r="D1052" s="1182" t="s">
        <v>389</v>
      </c>
      <c r="E1052" s="1182" t="s">
        <v>443</v>
      </c>
      <c r="F1052" s="1208" t="s">
        <v>2886</v>
      </c>
      <c r="G1052" s="1184" t="s">
        <v>2884</v>
      </c>
      <c r="H1052" s="1210">
        <v>990000000</v>
      </c>
      <c r="I1052" s="1180" t="s">
        <v>2892</v>
      </c>
      <c r="J1052" s="1186" t="str">
        <f>VLOOKUP($I1052,'Price List, Weapons &amp; Items'!B:C,2,0)</f>
        <v>Heavy weapon</v>
      </c>
      <c r="K1052" s="1186" t="str">
        <f>IF(I1052=".",I1052,VLOOKUP($I1052,'Price List, Weapons &amp; Items'!B:D,3,0))</f>
        <v>Anti-aircraft surface-to-air missile (SAM) system (point-defense)</v>
      </c>
      <c r="L1052" s="1187">
        <f>VLOOKUP(I1052,'Price List, Weapons &amp; Items'!B:E,4,0)</f>
        <v>0</v>
      </c>
      <c r="M1052" s="1188">
        <v>25</v>
      </c>
      <c r="N1052" s="1188">
        <v>25</v>
      </c>
      <c r="O1052" s="1188">
        <f>VLOOKUP($I1052,'Price List, Weapons &amp; Items'!B:G,6,0)</f>
        <v>2600000</v>
      </c>
      <c r="P1052" s="1185">
        <f t="shared" si="223"/>
        <v>65000000</v>
      </c>
      <c r="Q1052" s="1185">
        <f t="shared" si="224"/>
        <v>65000000</v>
      </c>
      <c r="R1052" s="1185" t="str">
        <f t="shared" si="220"/>
        <v/>
      </c>
      <c r="S1052" s="1185" t="str">
        <f>IF(AND(AD1052=1,R1052&lt;&gt;".")=TRUE,R1052/VLOOKUP(G1052,'Exchange Rates'!B:C,2,0),IF(R1052=".",".",""))</f>
        <v/>
      </c>
      <c r="T1052" s="1185" t="str">
        <f>IF(AD1052=1,IF(AF1052="Value is not given at all",".",IF(AF1052="Value is given by the source",S1052,IF(AF1052="Value is calculated with prices",(IF(SUMIFS(Q:Q,A:A,A1052)&gt;0,SUMIFS(Q:Q,A:A,A1052),"."))/VLOOKUP("USD",'Exchange Rates'!B:C,2,0),"Error with coding"))),"")</f>
        <v/>
      </c>
      <c r="U1052" s="1184" t="s">
        <v>365</v>
      </c>
      <c r="V1052" s="974" t="s">
        <v>2889</v>
      </c>
      <c r="W1052" s="974" t="s">
        <v>2893</v>
      </c>
      <c r="X1052" s="976" t="s">
        <v>2894</v>
      </c>
      <c r="Y1052" s="1265" t="s">
        <v>364</v>
      </c>
      <c r="Z1052" s="1184">
        <v>0</v>
      </c>
      <c r="AA1052" s="1194">
        <v>0</v>
      </c>
      <c r="AB1052" s="966" t="s">
        <v>2889</v>
      </c>
      <c r="AC1052" s="1192" t="str">
        <f>""</f>
        <v/>
      </c>
      <c r="AD1052" s="1193">
        <v>0</v>
      </c>
      <c r="AE1052" s="1193" t="s">
        <v>436</v>
      </c>
      <c r="AF1052" s="1193" t="s">
        <v>436</v>
      </c>
      <c r="AG1052" s="1193">
        <v>1</v>
      </c>
      <c r="AH1052" s="1193">
        <v>4</v>
      </c>
      <c r="AI1052" s="1193">
        <v>0</v>
      </c>
      <c r="AJ1052" s="1193">
        <f>VLOOKUP($I1052,'Price List, Weapons &amp; Items'!B:F,5,0)</f>
        <v>0</v>
      </c>
      <c r="AK1052" s="1193">
        <f t="shared" si="225"/>
        <v>0</v>
      </c>
      <c r="AL1052" s="1193">
        <f t="shared" si="226"/>
        <v>0</v>
      </c>
      <c r="AM1052" s="1193">
        <f t="shared" si="227"/>
        <v>0</v>
      </c>
      <c r="AN1052" s="1194" t="str">
        <f>VLOOKUP($I1052,'Price List, Weapons &amp; Items'!B:L,COLUMN('Price List, Weapons &amp; Items'!$J$11)-1,0)</f>
        <v>Military media (incl. websites)</v>
      </c>
      <c r="AO1052" s="1194" t="str">
        <f>IF(I1052=".",".",VLOOKUP($I1052,'Price List, Weapons &amp; Items'!B:J,3,0))</f>
        <v>Anti-aircraft surface-to-air missile (SAM) system (point-defense)</v>
      </c>
      <c r="AP1052" s="1195" t="str">
        <f t="shared" ca="1" si="221"/>
        <v/>
      </c>
      <c r="AQ1052" s="1194">
        <f>VLOOKUP($I1052,'Price List, Weapons &amp; Items'!B:L,COLUMN('Price List, Weapons &amp; Items'!$L$11)-1,0)</f>
        <v>2</v>
      </c>
      <c r="AR1052" s="1194">
        <f t="shared" si="228"/>
        <v>1</v>
      </c>
      <c r="AS1052" s="1194">
        <f t="shared" si="229"/>
        <v>1</v>
      </c>
      <c r="AT1052" s="1194">
        <f t="shared" si="230"/>
        <v>1</v>
      </c>
      <c r="AU1052" s="1194" t="str">
        <f t="shared" si="231"/>
        <v>.</v>
      </c>
      <c r="AV1052" s="1194" t="str">
        <f t="shared" si="222"/>
        <v>.</v>
      </c>
      <c r="AW1052" s="1194" t="str">
        <f t="shared" si="232"/>
        <v>.</v>
      </c>
      <c r="AX1052" s="1194">
        <f>IFERROR(VLOOKUP(B1052,'Share, Heavy Weapons to Ukraine'!B:Z,COLUMN('Share, Heavy Weapons to Ukraine'!C1062)-1,0),0)</f>
        <v>1</v>
      </c>
      <c r="AY1052" s="1194">
        <f>VLOOKUP('Bilateral Assistance, MAIN DATA'!B1052,'Country Summary (€)'!B:F,COLUMN('Country Summary (€)'!C1063)-1,FALSE)</f>
        <v>0</v>
      </c>
      <c r="AZ1052" s="1194" t="str">
        <f>IF(AND(AD1052=1,D1052="Military",H1052&lt;&gt;"Not given")=TRUE,IF(SUMIFS(P:P,A:A,A1052)&gt;0,ABS((SUMIFS(P:P,A:A,A1052)/VLOOKUP("USD",'Exchange Rates'!B:C,2,0)))/S1052,"."),".")</f>
        <v>.</v>
      </c>
      <c r="BA1052" s="1196" t="str">
        <f>IF(AND(AD1052=1,D1052="Military",H1052&lt;&gt;"Not given")=TRUE,IF(SUMIFS(P:P,A:A,A1052)&gt;0,IF((ABS((SUMIFS(P:P,A:A,A1052)/VLOOKUP("USD",'Exchange Rates'!B:C,2,0)))/S1052)&gt;1,(SUMIFS(P:P,A:A,A1052)-S1052)/S1052,(S1052-SUMIFS(P:P,A:A,A1052))/SUMIFS(P:P,A:A,A1052)),"."),".")</f>
        <v>.</v>
      </c>
    </row>
    <row r="1053" spans="1:71" ht="15.95" customHeight="1">
      <c r="A1053" s="1180" t="s">
        <v>2881</v>
      </c>
      <c r="B1053" s="1182" t="s">
        <v>2882</v>
      </c>
      <c r="C1053" s="1181">
        <v>44671</v>
      </c>
      <c r="D1053" s="1182" t="s">
        <v>389</v>
      </c>
      <c r="E1053" s="1182" t="s">
        <v>443</v>
      </c>
      <c r="F1053" s="1208" t="s">
        <v>2886</v>
      </c>
      <c r="G1053" s="1184" t="s">
        <v>2884</v>
      </c>
      <c r="H1053" s="1210">
        <v>990000000</v>
      </c>
      <c r="I1053" s="1180" t="s">
        <v>2895</v>
      </c>
      <c r="J1053" s="1186" t="str">
        <f>VLOOKUP($I1053,'Price List, Weapons &amp; Items'!B:C,2,0)</f>
        <v>Ammunition for heavy weapon</v>
      </c>
      <c r="K1053" s="1186" t="str">
        <f>IF(I1053=".",I1053,VLOOKUP($I1053,'Price List, Weapons &amp; Items'!B:D,3,0))</f>
        <v>Light Anti-armor Weapon (LAW) ammunition</v>
      </c>
      <c r="L1053" s="1187">
        <f>VLOOKUP(I1053,'Price List, Weapons &amp; Items'!B:E,4,0)</f>
        <v>0</v>
      </c>
      <c r="M1053" s="1188">
        <v>100</v>
      </c>
      <c r="N1053" s="1188">
        <v>100</v>
      </c>
      <c r="O1053" s="1188">
        <f>VLOOKUP($I1053,'Price List, Weapons &amp; Items'!B:G,6,0)</f>
        <v>692355.45178616967</v>
      </c>
      <c r="P1053" s="1185">
        <f t="shared" si="223"/>
        <v>69235545.178616971</v>
      </c>
      <c r="Q1053" s="1185">
        <f t="shared" si="224"/>
        <v>69235545.178616971</v>
      </c>
      <c r="R1053" s="1185" t="str">
        <f t="shared" si="220"/>
        <v/>
      </c>
      <c r="S1053" s="1185" t="str">
        <f>IF(AND(AD1053=1,R1053&lt;&gt;".")=TRUE,R1053/VLOOKUP(G1053,'Exchange Rates'!B:C,2,0),IF(R1053=".",".",""))</f>
        <v/>
      </c>
      <c r="T1053" s="1185" t="str">
        <f>IF(AD1053=1,IF(AF1053="Value is not given at all",".",IF(AF1053="Value is given by the source",S1053,IF(AF1053="Value is calculated with prices",(IF(SUMIFS(Q:Q,A:A,A1053)&gt;0,SUMIFS(Q:Q,A:A,A1053),"."))/VLOOKUP("USD",'Exchange Rates'!B:C,2,0),"Error with coding"))),"")</f>
        <v/>
      </c>
      <c r="U1053" s="1184" t="s">
        <v>365</v>
      </c>
      <c r="V1053" s="974" t="s">
        <v>2889</v>
      </c>
      <c r="W1053" s="974" t="s">
        <v>2893</v>
      </c>
      <c r="X1053" s="1183" t="s">
        <v>364</v>
      </c>
      <c r="Y1053" s="1265" t="s">
        <v>364</v>
      </c>
      <c r="Z1053" s="1184">
        <v>0</v>
      </c>
      <c r="AA1053" s="1194">
        <v>0</v>
      </c>
      <c r="AB1053" s="975" t="s">
        <v>2896</v>
      </c>
      <c r="AC1053" s="1192" t="str">
        <f>""</f>
        <v/>
      </c>
      <c r="AD1053" s="1193">
        <v>0</v>
      </c>
      <c r="AE1053" s="1193" t="s">
        <v>436</v>
      </c>
      <c r="AF1053" s="1193" t="s">
        <v>436</v>
      </c>
      <c r="AG1053" s="1193">
        <v>1</v>
      </c>
      <c r="AH1053" s="1193">
        <v>4</v>
      </c>
      <c r="AI1053" s="1193">
        <v>0</v>
      </c>
      <c r="AJ1053" s="1193">
        <f>VLOOKUP($I1053,'Price List, Weapons &amp; Items'!B:F,5,0)</f>
        <v>0</v>
      </c>
      <c r="AK1053" s="1193">
        <f t="shared" si="225"/>
        <v>0</v>
      </c>
      <c r="AL1053" s="1193">
        <f t="shared" si="226"/>
        <v>0</v>
      </c>
      <c r="AM1053" s="1193">
        <f t="shared" si="227"/>
        <v>0</v>
      </c>
      <c r="AN1053" s="1194" t="str">
        <f>VLOOKUP($I1053,'Price List, Weapons &amp; Items'!B:L,COLUMN('Price List, Weapons &amp; Items'!$J$11)-1,0)</f>
        <v>Contracts</v>
      </c>
      <c r="AO1053" s="1194" t="str">
        <f>IF(I1053=".",".",VLOOKUP($I1053,'Price List, Weapons &amp; Items'!B:J,3,0))</f>
        <v>Light Anti-armor Weapon (LAW) ammunition</v>
      </c>
      <c r="AP1053" s="1195" t="str">
        <f t="shared" ca="1" si="221"/>
        <v/>
      </c>
      <c r="AQ1053" s="1194">
        <f>VLOOKUP($I1053,'Price List, Weapons &amp; Items'!B:L,COLUMN('Price List, Weapons &amp; Items'!$L$11)-1,0)</f>
        <v>2</v>
      </c>
      <c r="AR1053" s="1194">
        <f t="shared" si="228"/>
        <v>1</v>
      </c>
      <c r="AS1053" s="1194">
        <f t="shared" si="229"/>
        <v>1</v>
      </c>
      <c r="AT1053" s="1194">
        <f t="shared" si="230"/>
        <v>1</v>
      </c>
      <c r="AU1053" s="1194" t="str">
        <f t="shared" si="231"/>
        <v>.</v>
      </c>
      <c r="AV1053" s="1194" t="str">
        <f t="shared" si="222"/>
        <v>.</v>
      </c>
      <c r="AW1053" s="1194" t="str">
        <f t="shared" si="232"/>
        <v>.</v>
      </c>
      <c r="AX1053" s="1194">
        <f>IFERROR(VLOOKUP(B1053,'Share, Heavy Weapons to Ukraine'!B:Z,COLUMN('Share, Heavy Weapons to Ukraine'!C1063)-1,0),0)</f>
        <v>1</v>
      </c>
      <c r="AY1053" s="1194">
        <f>VLOOKUP('Bilateral Assistance, MAIN DATA'!B1053,'Country Summary (€)'!B:F,COLUMN('Country Summary (€)'!C1064)-1,FALSE)</f>
        <v>0</v>
      </c>
      <c r="AZ1053" s="1194" t="str">
        <f>IF(AND(AD1053=1,D1053="Military",H1053&lt;&gt;"Not given")=TRUE,IF(SUMIFS(P:P,A:A,A1053)&gt;0,ABS((SUMIFS(P:P,A:A,A1053)/VLOOKUP("USD",'Exchange Rates'!B:C,2,0)))/S1053,"."),".")</f>
        <v>.</v>
      </c>
      <c r="BA1053" s="1196" t="str">
        <f>IF(AND(AD1053=1,D1053="Military",H1053&lt;&gt;"Not given")=TRUE,IF(SUMIFS(P:P,A:A,A1053)&gt;0,IF((ABS((SUMIFS(P:P,A:A,A1053)/VLOOKUP("USD",'Exchange Rates'!B:C,2,0)))/S1053)&gt;1,(SUMIFS(P:P,A:A,A1053)-S1053)/S1053,(S1053-SUMIFS(P:P,A:A,A1053))/SUMIFS(P:P,A:A,A1053)),"."),".")</f>
        <v>.</v>
      </c>
    </row>
    <row r="1054" spans="1:71" ht="15.95" customHeight="1">
      <c r="A1054" s="1180" t="s">
        <v>2881</v>
      </c>
      <c r="B1054" s="1182" t="s">
        <v>2882</v>
      </c>
      <c r="C1054" s="1181" t="s">
        <v>2897</v>
      </c>
      <c r="D1054" s="1182" t="s">
        <v>389</v>
      </c>
      <c r="E1054" s="1182" t="s">
        <v>398</v>
      </c>
      <c r="F1054" s="1208" t="s">
        <v>2886</v>
      </c>
      <c r="G1054" s="1184" t="s">
        <v>2884</v>
      </c>
      <c r="H1054" s="1210">
        <v>990000000</v>
      </c>
      <c r="I1054" s="1180" t="s">
        <v>694</v>
      </c>
      <c r="J1054" s="1186" t="str">
        <f>VLOOKUP($I1054,'Price List, Weapons &amp; Items'!B:C,2,0)</f>
        <v>Military equipment</v>
      </c>
      <c r="K1054" s="1186" t="str">
        <f>IF(I1054=".",I1054,VLOOKUP($I1054,'Price List, Weapons &amp; Items'!B:D,3,0))</f>
        <v>Military equipment</v>
      </c>
      <c r="L1054" s="1187">
        <f>VLOOKUP(I1054,'Price List, Weapons &amp; Items'!B:E,4,0)</f>
        <v>0</v>
      </c>
      <c r="M1054" s="1188">
        <v>1500</v>
      </c>
      <c r="N1054" s="1188">
        <v>1500</v>
      </c>
      <c r="O1054" s="1188">
        <f>VLOOKUP($I1054,'Price List, Weapons &amp; Items'!B:G,6,0)</f>
        <v>500</v>
      </c>
      <c r="P1054" s="1185">
        <f t="shared" si="223"/>
        <v>750000</v>
      </c>
      <c r="Q1054" s="1185">
        <f t="shared" si="224"/>
        <v>750000</v>
      </c>
      <c r="R1054" s="1185" t="str">
        <f t="shared" si="220"/>
        <v/>
      </c>
      <c r="S1054" s="1185" t="str">
        <f>IF(AND(AD1054=1,R1054&lt;&gt;".")=TRUE,R1054/VLOOKUP(G1054,'Exchange Rates'!B:C,2,0),IF(R1054=".",".",""))</f>
        <v/>
      </c>
      <c r="T1054" s="1185" t="str">
        <f>IF(AD1054=1,IF(AF1054="Value is not given at all",".",IF(AF1054="Value is given by the source",S1054,IF(AF1054="Value is calculated with prices",(IF(SUMIFS(Q:Q,A:A,A1054)&gt;0,SUMIFS(Q:Q,A:A,A1054),"."))/VLOOKUP("USD",'Exchange Rates'!B:C,2,0),"Error with coding"))),"")</f>
        <v/>
      </c>
      <c r="U1054" s="1184" t="s">
        <v>365</v>
      </c>
      <c r="V1054" s="974" t="s">
        <v>2893</v>
      </c>
      <c r="W1054" s="974" t="s">
        <v>2898</v>
      </c>
      <c r="X1054" s="1183" t="s">
        <v>364</v>
      </c>
      <c r="Y1054" s="1183" t="s">
        <v>364</v>
      </c>
      <c r="Z1054" s="1184">
        <v>0</v>
      </c>
      <c r="AA1054" s="1194">
        <v>0</v>
      </c>
      <c r="AB1054" s="975" t="s">
        <v>2899</v>
      </c>
      <c r="AC1054" s="1192" t="str">
        <f>""</f>
        <v/>
      </c>
      <c r="AD1054" s="1193">
        <v>0</v>
      </c>
      <c r="AE1054" s="1193" t="s">
        <v>436</v>
      </c>
      <c r="AF1054" s="1193" t="s">
        <v>436</v>
      </c>
      <c r="AG1054" s="1193">
        <v>1</v>
      </c>
      <c r="AH1054" s="1193">
        <v>4</v>
      </c>
      <c r="AI1054" s="1193">
        <v>0</v>
      </c>
      <c r="AJ1054" s="1193">
        <f>VLOOKUP($I1054,'Price List, Weapons &amp; Items'!B:F,5,0)</f>
        <v>0</v>
      </c>
      <c r="AK1054" s="1193">
        <f t="shared" si="225"/>
        <v>0</v>
      </c>
      <c r="AL1054" s="1193">
        <f t="shared" si="226"/>
        <v>0</v>
      </c>
      <c r="AM1054" s="1193">
        <f t="shared" si="227"/>
        <v>0</v>
      </c>
      <c r="AN1054" s="1194" t="str">
        <f>VLOOKUP($I1054,'Price List, Weapons &amp; Items'!B:L,COLUMN('Price List, Weapons &amp; Items'!$J$11)-1,0)</f>
        <v>Military media (incl. websites)</v>
      </c>
      <c r="AO1054" s="1194" t="str">
        <f>IF(I1054=".",".",VLOOKUP($I1054,'Price List, Weapons &amp; Items'!B:J,3,0))</f>
        <v>Military equipment</v>
      </c>
      <c r="AP1054" s="1195" t="str">
        <f t="shared" ca="1" si="221"/>
        <v/>
      </c>
      <c r="AQ1054" s="1194">
        <f>VLOOKUP($I1054,'Price List, Weapons &amp; Items'!B:L,COLUMN('Price List, Weapons &amp; Items'!$L$11)-1,0)</f>
        <v>2</v>
      </c>
      <c r="AR1054" s="1194">
        <f t="shared" si="228"/>
        <v>1</v>
      </c>
      <c r="AS1054" s="1194">
        <f t="shared" si="229"/>
        <v>1</v>
      </c>
      <c r="AT1054" s="1194" t="str">
        <f t="shared" si="230"/>
        <v>Value is not in date format</v>
      </c>
      <c r="AU1054" s="1194" t="str">
        <f t="shared" si="231"/>
        <v>.</v>
      </c>
      <c r="AV1054" s="1194" t="str">
        <f t="shared" si="222"/>
        <v>.</v>
      </c>
      <c r="AW1054" s="1194" t="str">
        <f t="shared" si="232"/>
        <v>.</v>
      </c>
      <c r="AX1054" s="1194">
        <f>IFERROR(VLOOKUP(B1054,'Share, Heavy Weapons to Ukraine'!B:Z,COLUMN('Share, Heavy Weapons to Ukraine'!C1064)-1,0),0)</f>
        <v>1</v>
      </c>
      <c r="AY1054" s="1194">
        <f>VLOOKUP('Bilateral Assistance, MAIN DATA'!B1054,'Country Summary (€)'!B:F,COLUMN('Country Summary (€)'!C1065)-1,FALSE)</f>
        <v>0</v>
      </c>
      <c r="AZ1054" s="1194" t="str">
        <f>IF(AND(AD1054=1,D1054="Military",H1054&lt;&gt;"Not given")=TRUE,IF(SUMIFS(P:P,A:A,A1054)&gt;0,ABS((SUMIFS(P:P,A:A,A1054)/VLOOKUP("USD",'Exchange Rates'!B:C,2,0)))/S1054,"."),".")</f>
        <v>.</v>
      </c>
      <c r="BA1054" s="1196" t="str">
        <f>IF(AND(AD1054=1,D1054="Military",H1054&lt;&gt;"Not given")=TRUE,IF(SUMIFS(P:P,A:A,A1054)&gt;0,IF((ABS((SUMIFS(P:P,A:A,A1054)/VLOOKUP("USD",'Exchange Rates'!B:C,2,0)))/S1054)&gt;1,(SUMIFS(P:P,A:A,A1054)-S1054)/S1054,(S1054-SUMIFS(P:P,A:A,A1054))/SUMIFS(P:P,A:A,A1054)),"."),".")</f>
        <v>.</v>
      </c>
    </row>
    <row r="1055" spans="1:71" ht="15.95" customHeight="1">
      <c r="A1055" s="1180" t="s">
        <v>2881</v>
      </c>
      <c r="B1055" s="1182" t="s">
        <v>2882</v>
      </c>
      <c r="C1055" s="1181" t="s">
        <v>2897</v>
      </c>
      <c r="D1055" s="1182" t="s">
        <v>389</v>
      </c>
      <c r="E1055" s="1182" t="s">
        <v>398</v>
      </c>
      <c r="F1055" s="1208" t="s">
        <v>2886</v>
      </c>
      <c r="G1055" s="1184" t="s">
        <v>2884</v>
      </c>
      <c r="H1055" s="1210">
        <v>990000000</v>
      </c>
      <c r="I1055" s="1180" t="s">
        <v>594</v>
      </c>
      <c r="J1055" s="1186" t="str">
        <f>VLOOKUP($I1055,'Price List, Weapons &amp; Items'!B:C,2,0)</f>
        <v>Military equipment</v>
      </c>
      <c r="K1055" s="1186" t="str">
        <f>IF(I1055=".",I1055,VLOOKUP($I1055,'Price List, Weapons &amp; Items'!B:D,3,0))</f>
        <v>Military equipment</v>
      </c>
      <c r="L1055" s="1187">
        <f>VLOOKUP(I1055,'Price List, Weapons &amp; Items'!B:E,4,0)</f>
        <v>0</v>
      </c>
      <c r="M1055" s="1188">
        <v>5000</v>
      </c>
      <c r="N1055" s="1188">
        <v>5000</v>
      </c>
      <c r="O1055" s="1188">
        <f>VLOOKUP($I1055,'Price List, Weapons &amp; Items'!B:G,6,0)</f>
        <v>1400</v>
      </c>
      <c r="P1055" s="1185">
        <f t="shared" si="223"/>
        <v>7000000</v>
      </c>
      <c r="Q1055" s="1185">
        <f t="shared" si="224"/>
        <v>7000000</v>
      </c>
      <c r="R1055" s="1185" t="str">
        <f t="shared" si="220"/>
        <v/>
      </c>
      <c r="S1055" s="1185" t="str">
        <f>IF(AND(AD1055=1,R1055&lt;&gt;".")=TRUE,R1055/VLOOKUP(G1055,'Exchange Rates'!B:C,2,0),IF(R1055=".",".",""))</f>
        <v/>
      </c>
      <c r="T1055" s="1185" t="str">
        <f>IF(AD1055=1,IF(AF1055="Value is not given at all",".",IF(AF1055="Value is given by the source",S1055,IF(AF1055="Value is calculated with prices",(IF(SUMIFS(Q:Q,A:A,A1055)&gt;0,SUMIFS(Q:Q,A:A,A1055),"."))/VLOOKUP("USD",'Exchange Rates'!B:C,2,0),"Error with coding"))),"")</f>
        <v/>
      </c>
      <c r="U1055" s="1184" t="s">
        <v>365</v>
      </c>
      <c r="V1055" s="1029" t="s">
        <v>2893</v>
      </c>
      <c r="W1055" s="1029" t="s">
        <v>2898</v>
      </c>
      <c r="X1055" s="1183" t="s">
        <v>364</v>
      </c>
      <c r="Y1055" s="1183" t="s">
        <v>364</v>
      </c>
      <c r="Z1055" s="1184">
        <v>0</v>
      </c>
      <c r="AA1055" s="1194">
        <v>0</v>
      </c>
      <c r="AB1055" s="975" t="s">
        <v>2899</v>
      </c>
      <c r="AC1055" s="1192" t="str">
        <f>""</f>
        <v/>
      </c>
      <c r="AD1055" s="1193">
        <v>0</v>
      </c>
      <c r="AE1055" s="1193" t="s">
        <v>436</v>
      </c>
      <c r="AF1055" s="1193" t="s">
        <v>436</v>
      </c>
      <c r="AG1055" s="1193">
        <v>1</v>
      </c>
      <c r="AH1055" s="1193">
        <v>4</v>
      </c>
      <c r="AI1055" s="1193">
        <v>0</v>
      </c>
      <c r="AJ1055" s="1193">
        <f>VLOOKUP($I1055,'Price List, Weapons &amp; Items'!B:F,5,0)</f>
        <v>0</v>
      </c>
      <c r="AK1055" s="1193">
        <f t="shared" si="225"/>
        <v>0</v>
      </c>
      <c r="AL1055" s="1193">
        <f t="shared" si="226"/>
        <v>0</v>
      </c>
      <c r="AM1055" s="1193">
        <f t="shared" si="227"/>
        <v>0</v>
      </c>
      <c r="AN1055" s="1194" t="str">
        <f>VLOOKUP($I1055,'Price List, Weapons &amp; Items'!B:L,COLUMN('Price List, Weapons &amp; Items'!$J$11)-1,0)</f>
        <v>Military media (incl. websites)</v>
      </c>
      <c r="AO1055" s="1194" t="str">
        <f>IF(I1055=".",".",VLOOKUP($I1055,'Price List, Weapons &amp; Items'!B:J,3,0))</f>
        <v>Military equipment</v>
      </c>
      <c r="AP1055" s="1195" t="str">
        <f t="shared" ca="1" si="221"/>
        <v/>
      </c>
      <c r="AQ1055" s="1194">
        <f>VLOOKUP($I1055,'Price List, Weapons &amp; Items'!B:L,COLUMN('Price List, Weapons &amp; Items'!$L$11)-1,0)</f>
        <v>2</v>
      </c>
      <c r="AR1055" s="1194">
        <f t="shared" si="228"/>
        <v>1</v>
      </c>
      <c r="AS1055" s="1194">
        <f t="shared" si="229"/>
        <v>1</v>
      </c>
      <c r="AT1055" s="1194" t="str">
        <f t="shared" si="230"/>
        <v>Value is not in date format</v>
      </c>
      <c r="AU1055" s="1194" t="str">
        <f t="shared" si="231"/>
        <v>.</v>
      </c>
      <c r="AV1055" s="1194" t="str">
        <f t="shared" si="222"/>
        <v>.</v>
      </c>
      <c r="AW1055" s="1194" t="str">
        <f t="shared" si="232"/>
        <v>.</v>
      </c>
      <c r="AX1055" s="1194">
        <f>IFERROR(VLOOKUP(B1055,'Share, Heavy Weapons to Ukraine'!B:Z,COLUMN('Share, Heavy Weapons to Ukraine'!C1065)-1,0),0)</f>
        <v>1</v>
      </c>
      <c r="AY1055" s="1194">
        <f>VLOOKUP('Bilateral Assistance, MAIN DATA'!B1055,'Country Summary (€)'!B:F,COLUMN('Country Summary (€)'!C1066)-1,FALSE)</f>
        <v>0</v>
      </c>
      <c r="AZ1055" s="1194" t="str">
        <f>IF(AND(AD1055=1,D1055="Military",H1055&lt;&gt;"Not given")=TRUE,IF(SUMIFS(P:P,A:A,A1055)&gt;0,ABS((SUMIFS(P:P,A:A,A1055)/VLOOKUP("USD",'Exchange Rates'!B:C,2,0)))/S1055,"."),".")</f>
        <v>.</v>
      </c>
      <c r="BA1055" s="1196" t="str">
        <f>IF(AND(AD1055=1,D1055="Military",H1055&lt;&gt;"Not given")=TRUE,IF(SUMIFS(P:P,A:A,A1055)&gt;0,IF((ABS((SUMIFS(P:P,A:A,A1055)/VLOOKUP("USD",'Exchange Rates'!B:C,2,0)))/S1055)&gt;1,(SUMIFS(P:P,A:A,A1055)-S1055)/S1055,(S1055-SUMIFS(P:P,A:A,A1055))/SUMIFS(P:P,A:A,A1055)),"."),".")</f>
        <v>.</v>
      </c>
    </row>
    <row r="1056" spans="1:71" ht="15.95" customHeight="1">
      <c r="A1056" s="1180" t="s">
        <v>2881</v>
      </c>
      <c r="B1056" s="1182" t="s">
        <v>2882</v>
      </c>
      <c r="C1056" s="1181" t="s">
        <v>2897</v>
      </c>
      <c r="D1056" s="1182" t="s">
        <v>389</v>
      </c>
      <c r="E1056" s="1182" t="s">
        <v>398</v>
      </c>
      <c r="F1056" s="1208" t="s">
        <v>2886</v>
      </c>
      <c r="G1056" s="1184" t="s">
        <v>2884</v>
      </c>
      <c r="H1056" s="1210">
        <v>990000000</v>
      </c>
      <c r="I1056" s="1180" t="s">
        <v>1464</v>
      </c>
      <c r="J1056" s="1186" t="str">
        <f>VLOOKUP($I1056,'Price List, Weapons &amp; Items'!B:C,2,0)</f>
        <v>Military equipment</v>
      </c>
      <c r="K1056" s="1186" t="str">
        <f>IF(I1056=".",I1056,VLOOKUP($I1056,'Price List, Weapons &amp; Items'!B:D,3,0))</f>
        <v>Military equipment</v>
      </c>
      <c r="L1056" s="1187">
        <f>VLOOKUP(I1056,'Price List, Weapons &amp; Items'!B:E,4,0)</f>
        <v>0</v>
      </c>
      <c r="M1056" s="1188">
        <v>15000</v>
      </c>
      <c r="N1056" s="1188">
        <v>15000</v>
      </c>
      <c r="O1056" s="1188">
        <f>VLOOKUP($I1056,'Price List, Weapons &amp; Items'!B:G,6,0)</f>
        <v>22</v>
      </c>
      <c r="P1056" s="1185">
        <f t="shared" si="223"/>
        <v>330000</v>
      </c>
      <c r="Q1056" s="1185">
        <f t="shared" si="224"/>
        <v>330000</v>
      </c>
      <c r="R1056" s="1185" t="str">
        <f t="shared" si="220"/>
        <v/>
      </c>
      <c r="S1056" s="1185" t="str">
        <f>IF(AND(AD1056=1,R1056&lt;&gt;".")=TRUE,R1056/VLOOKUP(G1056,'Exchange Rates'!B:C,2,0),IF(R1056=".",".",""))</f>
        <v/>
      </c>
      <c r="T1056" s="1185" t="str">
        <f>IF(AD1056=1,IF(AF1056="Value is not given at all",".",IF(AF1056="Value is given by the source",S1056,IF(AF1056="Value is calculated with prices",(IF(SUMIFS(Q:Q,A:A,A1056)&gt;0,SUMIFS(Q:Q,A:A,A1056),"."))/VLOOKUP("USD",'Exchange Rates'!B:C,2,0),"Error with coding"))),"")</f>
        <v/>
      </c>
      <c r="U1056" s="1184" t="s">
        <v>365</v>
      </c>
      <c r="V1056" s="1029" t="s">
        <v>2893</v>
      </c>
      <c r="W1056" s="1029" t="s">
        <v>2898</v>
      </c>
      <c r="X1056" s="1183" t="s">
        <v>364</v>
      </c>
      <c r="Y1056" s="1183" t="s">
        <v>364</v>
      </c>
      <c r="Z1056" s="1184">
        <v>0</v>
      </c>
      <c r="AA1056" s="1194">
        <v>0</v>
      </c>
      <c r="AB1056" s="975" t="s">
        <v>2899</v>
      </c>
      <c r="AC1056" s="1192" t="str">
        <f>""</f>
        <v/>
      </c>
      <c r="AD1056" s="1193">
        <v>0</v>
      </c>
      <c r="AE1056" s="1193" t="s">
        <v>436</v>
      </c>
      <c r="AF1056" s="1193" t="s">
        <v>436</v>
      </c>
      <c r="AG1056" s="1193">
        <v>1</v>
      </c>
      <c r="AH1056" s="1193">
        <v>4</v>
      </c>
      <c r="AI1056" s="1193">
        <v>0</v>
      </c>
      <c r="AJ1056" s="1193">
        <f>VLOOKUP($I1056,'Price List, Weapons &amp; Items'!B:F,5,0)</f>
        <v>0</v>
      </c>
      <c r="AK1056" s="1193">
        <f t="shared" si="225"/>
        <v>0</v>
      </c>
      <c r="AL1056" s="1193">
        <f t="shared" si="226"/>
        <v>0</v>
      </c>
      <c r="AM1056" s="1193">
        <f t="shared" si="227"/>
        <v>0</v>
      </c>
      <c r="AN1056" s="1194" t="str">
        <f>VLOOKUP($I1056,'Price List, Weapons &amp; Items'!B:L,COLUMN('Price List, Weapons &amp; Items'!$J$11)-1,0)</f>
        <v>Online marketplaces and stores</v>
      </c>
      <c r="AO1056" s="1194" t="str">
        <f>IF(I1056=".",".",VLOOKUP($I1056,'Price List, Weapons &amp; Items'!B:J,3,0))</f>
        <v>Military equipment</v>
      </c>
      <c r="AP1056" s="1195" t="str">
        <f t="shared" ca="1" si="221"/>
        <v/>
      </c>
      <c r="AQ1056" s="1194">
        <f>VLOOKUP($I1056,'Price List, Weapons &amp; Items'!B:L,COLUMN('Price List, Weapons &amp; Items'!$L$11)-1,0)</f>
        <v>1</v>
      </c>
      <c r="AR1056" s="1194">
        <f t="shared" si="228"/>
        <v>1</v>
      </c>
      <c r="AS1056" s="1194">
        <f t="shared" si="229"/>
        <v>1</v>
      </c>
      <c r="AT1056" s="1194" t="str">
        <f t="shared" si="230"/>
        <v>Value is not in date format</v>
      </c>
      <c r="AU1056" s="1194" t="str">
        <f t="shared" si="231"/>
        <v>.</v>
      </c>
      <c r="AV1056" s="1194" t="str">
        <f t="shared" si="222"/>
        <v>.</v>
      </c>
      <c r="AW1056" s="1194" t="str">
        <f t="shared" si="232"/>
        <v>.</v>
      </c>
      <c r="AX1056" s="1194">
        <f>IFERROR(VLOOKUP(B1056,'Share, Heavy Weapons to Ukraine'!B:Z,COLUMN('Share, Heavy Weapons to Ukraine'!C1066)-1,0),0)</f>
        <v>1</v>
      </c>
      <c r="AY1056" s="1194">
        <f>VLOOKUP('Bilateral Assistance, MAIN DATA'!B1056,'Country Summary (€)'!B:F,COLUMN('Country Summary (€)'!C1067)-1,FALSE)</f>
        <v>0</v>
      </c>
      <c r="AZ1056" s="1194" t="str">
        <f>IF(AND(AD1056=1,D1056="Military",H1056&lt;&gt;"Not given")=TRUE,IF(SUMIFS(P:P,A:A,A1056)&gt;0,ABS((SUMIFS(P:P,A:A,A1056)/VLOOKUP("USD",'Exchange Rates'!B:C,2,0)))/S1056,"."),".")</f>
        <v>.</v>
      </c>
      <c r="BA1056" s="1196" t="str">
        <f>IF(AND(AD1056=1,D1056="Military",H1056&lt;&gt;"Not given")=TRUE,IF(SUMIFS(P:P,A:A,A1056)&gt;0,IF((ABS((SUMIFS(P:P,A:A,A1056)/VLOOKUP("USD",'Exchange Rates'!B:C,2,0)))/S1056)&gt;1,(SUMIFS(P:P,A:A,A1056)-S1056)/S1056,(S1056-SUMIFS(P:P,A:A,A1056))/SUMIFS(P:P,A:A,A1056)),"."),".")</f>
        <v>.</v>
      </c>
    </row>
    <row r="1057" spans="1:53" ht="15.95" customHeight="1">
      <c r="A1057" s="1180" t="s">
        <v>2881</v>
      </c>
      <c r="B1057" s="1182" t="s">
        <v>2882</v>
      </c>
      <c r="C1057" s="1181" t="s">
        <v>2897</v>
      </c>
      <c r="D1057" s="1182" t="s">
        <v>389</v>
      </c>
      <c r="E1057" s="1182" t="s">
        <v>398</v>
      </c>
      <c r="F1057" s="1208" t="s">
        <v>2886</v>
      </c>
      <c r="G1057" s="1184" t="s">
        <v>2884</v>
      </c>
      <c r="H1057" s="1210">
        <v>990000000</v>
      </c>
      <c r="I1057" s="1180" t="s">
        <v>2356</v>
      </c>
      <c r="J1057" s="1186" t="str">
        <f>VLOOKUP($I1057,'Price List, Weapons &amp; Items'!B:C,2,0)</f>
        <v>Military equipment</v>
      </c>
      <c r="K1057" s="1186" t="str">
        <f>IF(I1057=".",I1057,VLOOKUP($I1057,'Price List, Weapons &amp; Items'!B:D,3,0))</f>
        <v>Military equipment</v>
      </c>
      <c r="L1057" s="1187">
        <f>VLOOKUP(I1057,'Price List, Weapons &amp; Items'!B:E,4,0)</f>
        <v>0</v>
      </c>
      <c r="M1057" s="1188">
        <v>1000</v>
      </c>
      <c r="N1057" s="1188">
        <v>1000</v>
      </c>
      <c r="O1057" s="1188">
        <f>VLOOKUP($I1057,'Price List, Weapons &amp; Items'!B:G,6,0)</f>
        <v>0.4</v>
      </c>
      <c r="P1057" s="1185">
        <f t="shared" si="223"/>
        <v>400</v>
      </c>
      <c r="Q1057" s="1185">
        <f t="shared" si="224"/>
        <v>400</v>
      </c>
      <c r="R1057" s="1185" t="str">
        <f t="shared" si="220"/>
        <v/>
      </c>
      <c r="S1057" s="1185" t="str">
        <f>IF(AND(AD1057=1,R1057&lt;&gt;".")=TRUE,R1057/VLOOKUP(G1057,'Exchange Rates'!B:C,2,0),IF(R1057=".",".",""))</f>
        <v/>
      </c>
      <c r="T1057" s="1185" t="str">
        <f>IF(AD1057=1,IF(AF1057="Value is not given at all",".",IF(AF1057="Value is given by the source",S1057,IF(AF1057="Value is calculated with prices",(IF(SUMIFS(Q:Q,A:A,A1057)&gt;0,SUMIFS(Q:Q,A:A,A1057),"."))/VLOOKUP("USD",'Exchange Rates'!B:C,2,0),"Error with coding"))),"")</f>
        <v/>
      </c>
      <c r="U1057" s="1184" t="s">
        <v>365</v>
      </c>
      <c r="V1057" s="1029" t="s">
        <v>2893</v>
      </c>
      <c r="W1057" s="1029" t="s">
        <v>2898</v>
      </c>
      <c r="X1057" s="1183" t="s">
        <v>364</v>
      </c>
      <c r="Y1057" s="1183" t="s">
        <v>364</v>
      </c>
      <c r="Z1057" s="1184">
        <v>0</v>
      </c>
      <c r="AA1057" s="1194">
        <v>0</v>
      </c>
      <c r="AB1057" s="975" t="s">
        <v>2899</v>
      </c>
      <c r="AC1057" s="1192" t="str">
        <f>""</f>
        <v/>
      </c>
      <c r="AD1057" s="1193">
        <v>0</v>
      </c>
      <c r="AE1057" s="1193" t="s">
        <v>436</v>
      </c>
      <c r="AF1057" s="1193" t="s">
        <v>436</v>
      </c>
      <c r="AG1057" s="1193">
        <v>1</v>
      </c>
      <c r="AH1057" s="1193">
        <v>4</v>
      </c>
      <c r="AI1057" s="1193">
        <v>0</v>
      </c>
      <c r="AJ1057" s="1193">
        <f>VLOOKUP($I1057,'Price List, Weapons &amp; Items'!B:F,5,0)</f>
        <v>0</v>
      </c>
      <c r="AK1057" s="1193">
        <f t="shared" si="225"/>
        <v>0</v>
      </c>
      <c r="AL1057" s="1193">
        <f t="shared" si="226"/>
        <v>0</v>
      </c>
      <c r="AM1057" s="1193">
        <f t="shared" si="227"/>
        <v>0</v>
      </c>
      <c r="AN1057" s="1194" t="str">
        <f>VLOOKUP($I1057,'Price List, Weapons &amp; Items'!B:L,COLUMN('Price List, Weapons &amp; Items'!$J$11)-1,0)</f>
        <v>Online marketplaces and stores</v>
      </c>
      <c r="AO1057" s="1194" t="str">
        <f>IF(I1057=".",".",VLOOKUP($I1057,'Price List, Weapons &amp; Items'!B:J,3,0))</f>
        <v>Military equipment</v>
      </c>
      <c r="AP1057" s="1195" t="str">
        <f t="shared" ca="1" si="221"/>
        <v/>
      </c>
      <c r="AQ1057" s="1194">
        <f>VLOOKUP($I1057,'Price List, Weapons &amp; Items'!B:L,COLUMN('Price List, Weapons &amp; Items'!$L$11)-1,0)</f>
        <v>1</v>
      </c>
      <c r="AR1057" s="1194">
        <f t="shared" si="228"/>
        <v>1</v>
      </c>
      <c r="AS1057" s="1194">
        <f t="shared" si="229"/>
        <v>1</v>
      </c>
      <c r="AT1057" s="1194" t="str">
        <f t="shared" si="230"/>
        <v>Value is not in date format</v>
      </c>
      <c r="AU1057" s="1194" t="str">
        <f t="shared" si="231"/>
        <v>.</v>
      </c>
      <c r="AV1057" s="1194" t="str">
        <f t="shared" si="222"/>
        <v>.</v>
      </c>
      <c r="AW1057" s="1194" t="str">
        <f t="shared" si="232"/>
        <v>.</v>
      </c>
      <c r="AX1057" s="1194">
        <f>IFERROR(VLOOKUP(B1057,'Share, Heavy Weapons to Ukraine'!B:Z,COLUMN('Share, Heavy Weapons to Ukraine'!C1067)-1,0),0)</f>
        <v>1</v>
      </c>
      <c r="AY1057" s="1194">
        <f>VLOOKUP('Bilateral Assistance, MAIN DATA'!B1057,'Country Summary (€)'!B:F,COLUMN('Country Summary (€)'!C1068)-1,FALSE)</f>
        <v>0</v>
      </c>
      <c r="AZ1057" s="1194" t="str">
        <f>IF(AND(AD1057=1,D1057="Military",H1057&lt;&gt;"Not given")=TRUE,IF(SUMIFS(P:P,A:A,A1057)&gt;0,ABS((SUMIFS(P:P,A:A,A1057)/VLOOKUP("USD",'Exchange Rates'!B:C,2,0)))/S1057,"."),".")</f>
        <v>.</v>
      </c>
      <c r="BA1057" s="1196" t="str">
        <f>IF(AND(AD1057=1,D1057="Military",H1057&lt;&gt;"Not given")=TRUE,IF(SUMIFS(P:P,A:A,A1057)&gt;0,IF((ABS((SUMIFS(P:P,A:A,A1057)/VLOOKUP("USD",'Exchange Rates'!B:C,2,0)))/S1057)&gt;1,(SUMIFS(P:P,A:A,A1057)-S1057)/S1057,(S1057-SUMIFS(P:P,A:A,A1057))/SUMIFS(P:P,A:A,A1057)),"."),".")</f>
        <v>.</v>
      </c>
    </row>
    <row r="1058" spans="1:53" ht="15.95" customHeight="1">
      <c r="A1058" s="1180" t="s">
        <v>2881</v>
      </c>
      <c r="B1058" s="1182" t="s">
        <v>2882</v>
      </c>
      <c r="C1058" s="1181" t="s">
        <v>2897</v>
      </c>
      <c r="D1058" s="1182" t="s">
        <v>389</v>
      </c>
      <c r="E1058" s="1182" t="s">
        <v>398</v>
      </c>
      <c r="F1058" s="1208" t="s">
        <v>2886</v>
      </c>
      <c r="G1058" s="1184" t="s">
        <v>2884</v>
      </c>
      <c r="H1058" s="1210">
        <v>990000000</v>
      </c>
      <c r="I1058" s="1180" t="s">
        <v>471</v>
      </c>
      <c r="J1058" s="1186" t="str">
        <f>VLOOKUP($I1058,'Price List, Weapons &amp; Items'!B:C,2,0)</f>
        <v>Humanitarian</v>
      </c>
      <c r="K1058" s="1186" t="str">
        <f>IF(I1058=".",I1058,VLOOKUP($I1058,'Price List, Weapons &amp; Items'!B:D,3,0))</f>
        <v>Humanitarian</v>
      </c>
      <c r="L1058" s="1187">
        <f>VLOOKUP(I1058,'Price List, Weapons &amp; Items'!B:E,4,0)</f>
        <v>0</v>
      </c>
      <c r="M1058" s="1188">
        <v>2000</v>
      </c>
      <c r="N1058" s="1188">
        <v>2000</v>
      </c>
      <c r="O1058" s="1188">
        <f>VLOOKUP($I1058,'Price List, Weapons &amp; Items'!B:G,6,0)</f>
        <v>150</v>
      </c>
      <c r="P1058" s="1185">
        <f t="shared" si="223"/>
        <v>300000</v>
      </c>
      <c r="Q1058" s="1185">
        <f t="shared" si="224"/>
        <v>300000</v>
      </c>
      <c r="R1058" s="1185" t="str">
        <f t="shared" si="220"/>
        <v/>
      </c>
      <c r="S1058" s="1185" t="str">
        <f>IF(AND(AD1058=1,R1058&lt;&gt;".")=TRUE,R1058/VLOOKUP(G1058,'Exchange Rates'!B:C,2,0),IF(R1058=".",".",""))</f>
        <v/>
      </c>
      <c r="T1058" s="1185" t="str">
        <f>IF(AD1058=1,IF(AF1058="Value is not given at all",".",IF(AF1058="Value is given by the source",S1058,IF(AF1058="Value is calculated with prices",(IF(SUMIFS(Q:Q,A:A,A1058)&gt;0,SUMIFS(Q:Q,A:A,A1058),"."))/VLOOKUP("USD",'Exchange Rates'!B:C,2,0),"Error with coding"))),"")</f>
        <v/>
      </c>
      <c r="U1058" s="1184" t="s">
        <v>365</v>
      </c>
      <c r="V1058" s="1029" t="s">
        <v>2893</v>
      </c>
      <c r="W1058" s="1029" t="s">
        <v>2898</v>
      </c>
      <c r="X1058" s="1183" t="s">
        <v>364</v>
      </c>
      <c r="Y1058" s="1183" t="s">
        <v>364</v>
      </c>
      <c r="Z1058" s="1184">
        <v>0</v>
      </c>
      <c r="AA1058" s="1194">
        <v>0</v>
      </c>
      <c r="AB1058" s="975" t="s">
        <v>2899</v>
      </c>
      <c r="AC1058" s="1192" t="str">
        <f>""</f>
        <v/>
      </c>
      <c r="AD1058" s="1193">
        <v>0</v>
      </c>
      <c r="AE1058" s="1193" t="s">
        <v>436</v>
      </c>
      <c r="AF1058" s="1193" t="s">
        <v>436</v>
      </c>
      <c r="AG1058" s="1193">
        <v>1</v>
      </c>
      <c r="AH1058" s="1193">
        <v>4</v>
      </c>
      <c r="AI1058" s="1193">
        <v>0</v>
      </c>
      <c r="AJ1058" s="1193">
        <f>VLOOKUP($I1058,'Price List, Weapons &amp; Items'!B:F,5,0)</f>
        <v>0</v>
      </c>
      <c r="AK1058" s="1193">
        <f t="shared" si="225"/>
        <v>0</v>
      </c>
      <c r="AL1058" s="1193">
        <f t="shared" si="226"/>
        <v>0</v>
      </c>
      <c r="AM1058" s="1193">
        <f t="shared" si="227"/>
        <v>0</v>
      </c>
      <c r="AN1058" s="1194" t="str">
        <f>VLOOKUP($I1058,'Price List, Weapons &amp; Items'!B:L,COLUMN('Price List, Weapons &amp; Items'!$J$11)-1,0)</f>
        <v>Miscellaneous</v>
      </c>
      <c r="AO1058" s="1194" t="str">
        <f>IF(I1058=".",".",VLOOKUP($I1058,'Price List, Weapons &amp; Items'!B:J,3,0))</f>
        <v>Humanitarian</v>
      </c>
      <c r="AP1058" s="1195" t="str">
        <f t="shared" ca="1" si="221"/>
        <v/>
      </c>
      <c r="AQ1058" s="1194">
        <f>VLOOKUP($I1058,'Price List, Weapons &amp; Items'!B:L,COLUMN('Price List, Weapons &amp; Items'!$L$11)-1,0)</f>
        <v>0</v>
      </c>
      <c r="AR1058" s="1194">
        <f t="shared" si="228"/>
        <v>1</v>
      </c>
      <c r="AS1058" s="1194">
        <f t="shared" si="229"/>
        <v>1</v>
      </c>
      <c r="AT1058" s="1194" t="str">
        <f t="shared" si="230"/>
        <v>Value is not in date format</v>
      </c>
      <c r="AU1058" s="1194" t="str">
        <f t="shared" si="231"/>
        <v>.</v>
      </c>
      <c r="AV1058" s="1194" t="str">
        <f t="shared" si="222"/>
        <v>.</v>
      </c>
      <c r="AW1058" s="1194" t="str">
        <f t="shared" si="232"/>
        <v>.</v>
      </c>
      <c r="AX1058" s="1194">
        <f>IFERROR(VLOOKUP(B1058,'Share, Heavy Weapons to Ukraine'!B:Z,COLUMN('Share, Heavy Weapons to Ukraine'!C1068)-1,0),0)</f>
        <v>1</v>
      </c>
      <c r="AY1058" s="1194">
        <f>VLOOKUP('Bilateral Assistance, MAIN DATA'!B1058,'Country Summary (€)'!B:F,COLUMN('Country Summary (€)'!C1069)-1,FALSE)</f>
        <v>0</v>
      </c>
      <c r="AZ1058" s="1194" t="str">
        <f>IF(AND(AD1058=1,D1058="Military",H1058&lt;&gt;"Not given")=TRUE,IF(SUMIFS(P:P,A:A,A1058)&gt;0,ABS((SUMIFS(P:P,A:A,A1058)/VLOOKUP("USD",'Exchange Rates'!B:C,2,0)))/S1058,"."),".")</f>
        <v>.</v>
      </c>
      <c r="BA1058" s="1196" t="str">
        <f>IF(AND(AD1058=1,D1058="Military",H1058&lt;&gt;"Not given")=TRUE,IF(SUMIFS(P:P,A:A,A1058)&gt;0,IF((ABS((SUMIFS(P:P,A:A,A1058)/VLOOKUP("USD",'Exchange Rates'!B:C,2,0)))/S1058)&gt;1,(SUMIFS(P:P,A:A,A1058)-S1058)/S1058,(S1058-SUMIFS(P:P,A:A,A1058))/SUMIFS(P:P,A:A,A1058)),"."),".")</f>
        <v>.</v>
      </c>
    </row>
    <row r="1059" spans="1:53" ht="15.95" customHeight="1">
      <c r="A1059" s="1180" t="s">
        <v>2881</v>
      </c>
      <c r="B1059" s="1182" t="s">
        <v>2882</v>
      </c>
      <c r="C1059" s="1181" t="s">
        <v>2897</v>
      </c>
      <c r="D1059" s="1182" t="s">
        <v>389</v>
      </c>
      <c r="E1059" s="1182" t="s">
        <v>398</v>
      </c>
      <c r="F1059" s="1208" t="s">
        <v>2886</v>
      </c>
      <c r="G1059" s="1184" t="s">
        <v>2884</v>
      </c>
      <c r="H1059" s="1210">
        <v>990000000</v>
      </c>
      <c r="I1059" s="1180" t="s">
        <v>2900</v>
      </c>
      <c r="J1059" s="1186" t="str">
        <f>VLOOKUP($I1059,'Price List, Weapons &amp; Items'!B:C,2,0)</f>
        <v>Humanitarian</v>
      </c>
      <c r="K1059" s="1186" t="str">
        <f>IF(I1059=".",I1059,VLOOKUP($I1059,'Price List, Weapons &amp; Items'!B:D,3,0))</f>
        <v>Humanitarian</v>
      </c>
      <c r="L1059" s="1187">
        <f>VLOOKUP(I1059,'Price List, Weapons &amp; Items'!B:E,4,0)</f>
        <v>0</v>
      </c>
      <c r="M1059" s="1188">
        <v>10000</v>
      </c>
      <c r="N1059" s="1188">
        <v>10000</v>
      </c>
      <c r="O1059" s="1188">
        <f>VLOOKUP($I1059,'Price List, Weapons &amp; Items'!B:G,6,0)</f>
        <v>40</v>
      </c>
      <c r="P1059" s="1185">
        <f t="shared" si="223"/>
        <v>400000</v>
      </c>
      <c r="Q1059" s="1185">
        <f t="shared" si="224"/>
        <v>400000</v>
      </c>
      <c r="R1059" s="1185" t="str">
        <f t="shared" si="220"/>
        <v/>
      </c>
      <c r="S1059" s="1185" t="str">
        <f>IF(AND(AD1059=1,R1059&lt;&gt;".")=TRUE,R1059/VLOOKUP(G1059,'Exchange Rates'!B:C,2,0),IF(R1059=".",".",""))</f>
        <v/>
      </c>
      <c r="T1059" s="1185" t="str">
        <f>IF(AD1059=1,IF(AF1059="Value is not given at all",".",IF(AF1059="Value is given by the source",S1059,IF(AF1059="Value is calculated with prices",(IF(SUMIFS(Q:Q,A:A,A1059)&gt;0,SUMIFS(Q:Q,A:A,A1059),"."))/VLOOKUP("USD",'Exchange Rates'!B:C,2,0),"Error with coding"))),"")</f>
        <v/>
      </c>
      <c r="U1059" s="1184" t="s">
        <v>365</v>
      </c>
      <c r="V1059" s="1029" t="s">
        <v>2893</v>
      </c>
      <c r="W1059" s="1029" t="s">
        <v>2898</v>
      </c>
      <c r="X1059" s="1183" t="s">
        <v>364</v>
      </c>
      <c r="Y1059" s="1183" t="s">
        <v>364</v>
      </c>
      <c r="Z1059" s="1184">
        <v>0</v>
      </c>
      <c r="AA1059" s="1194">
        <v>0</v>
      </c>
      <c r="AB1059" s="975" t="s">
        <v>2899</v>
      </c>
      <c r="AC1059" s="1192" t="str">
        <f>""</f>
        <v/>
      </c>
      <c r="AD1059" s="1193">
        <v>0</v>
      </c>
      <c r="AE1059" s="1193" t="s">
        <v>436</v>
      </c>
      <c r="AF1059" s="1193" t="s">
        <v>436</v>
      </c>
      <c r="AG1059" s="1193">
        <v>1</v>
      </c>
      <c r="AH1059" s="1193">
        <v>4</v>
      </c>
      <c r="AI1059" s="1193">
        <v>0</v>
      </c>
      <c r="AJ1059" s="1193">
        <f>VLOOKUP($I1059,'Price List, Weapons &amp; Items'!B:F,5,0)</f>
        <v>0</v>
      </c>
      <c r="AK1059" s="1193">
        <f t="shared" si="225"/>
        <v>0</v>
      </c>
      <c r="AL1059" s="1193">
        <f t="shared" si="226"/>
        <v>0</v>
      </c>
      <c r="AM1059" s="1193">
        <f t="shared" si="227"/>
        <v>0</v>
      </c>
      <c r="AN1059" s="1194" t="str">
        <f>VLOOKUP($I1059,'Price List, Weapons &amp; Items'!B:L,COLUMN('Price List, Weapons &amp; Items'!$J$11)-1,0)</f>
        <v>Online marketplaces and stores</v>
      </c>
      <c r="AO1059" s="1194" t="str">
        <f>IF(I1059=".",".",VLOOKUP($I1059,'Price List, Weapons &amp; Items'!B:J,3,0))</f>
        <v>Humanitarian</v>
      </c>
      <c r="AP1059" s="1195" t="str">
        <f t="shared" ca="1" si="221"/>
        <v/>
      </c>
      <c r="AQ1059" s="1194">
        <f>VLOOKUP($I1059,'Price List, Weapons &amp; Items'!B:L,COLUMN('Price List, Weapons &amp; Items'!$L$11)-1,0)</f>
        <v>0</v>
      </c>
      <c r="AR1059" s="1194">
        <f t="shared" si="228"/>
        <v>1</v>
      </c>
      <c r="AS1059" s="1194">
        <f t="shared" si="229"/>
        <v>1</v>
      </c>
      <c r="AT1059" s="1194" t="str">
        <f t="shared" si="230"/>
        <v>Value is not in date format</v>
      </c>
      <c r="AU1059" s="1194" t="str">
        <f t="shared" si="231"/>
        <v>.</v>
      </c>
      <c r="AV1059" s="1194" t="str">
        <f t="shared" si="222"/>
        <v>.</v>
      </c>
      <c r="AW1059" s="1194" t="str">
        <f t="shared" si="232"/>
        <v>.</v>
      </c>
      <c r="AX1059" s="1194">
        <f>IFERROR(VLOOKUP(B1059,'Share, Heavy Weapons to Ukraine'!B:Z,COLUMN('Share, Heavy Weapons to Ukraine'!C1069)-1,0),0)</f>
        <v>1</v>
      </c>
      <c r="AY1059" s="1194">
        <f>VLOOKUP('Bilateral Assistance, MAIN DATA'!B1059,'Country Summary (€)'!B:F,COLUMN('Country Summary (€)'!C1070)-1,FALSE)</f>
        <v>0</v>
      </c>
      <c r="AZ1059" s="1194" t="str">
        <f>IF(AND(AD1059=1,D1059="Military",H1059&lt;&gt;"Not given")=TRUE,IF(SUMIFS(P:P,A:A,A1059)&gt;0,ABS((SUMIFS(P:P,A:A,A1059)/VLOOKUP("USD",'Exchange Rates'!B:C,2,0)))/S1059,"."),".")</f>
        <v>.</v>
      </c>
      <c r="BA1059" s="1196" t="str">
        <f>IF(AND(AD1059=1,D1059="Military",H1059&lt;&gt;"Not given")=TRUE,IF(SUMIFS(P:P,A:A,A1059)&gt;0,IF((ABS((SUMIFS(P:P,A:A,A1059)/VLOOKUP("USD",'Exchange Rates'!B:C,2,0)))/S1059)&gt;1,(SUMIFS(P:P,A:A,A1059)-S1059)/S1059,(S1059-SUMIFS(P:P,A:A,A1059))/SUMIFS(P:P,A:A,A1059)),"."),".")</f>
        <v>.</v>
      </c>
    </row>
    <row r="1060" spans="1:53" ht="15.95" customHeight="1">
      <c r="A1060" s="1180" t="s">
        <v>2881</v>
      </c>
      <c r="B1060" s="1182" t="s">
        <v>2882</v>
      </c>
      <c r="C1060" s="1181" t="s">
        <v>2897</v>
      </c>
      <c r="D1060" s="1182" t="s">
        <v>389</v>
      </c>
      <c r="E1060" s="1182" t="s">
        <v>398</v>
      </c>
      <c r="F1060" s="1208" t="s">
        <v>2886</v>
      </c>
      <c r="G1060" s="1184" t="s">
        <v>2884</v>
      </c>
      <c r="H1060" s="1210">
        <v>990000000</v>
      </c>
      <c r="I1060" s="1180" t="s">
        <v>1388</v>
      </c>
      <c r="J1060" s="1186" t="str">
        <f>VLOOKUP($I1060,'Price List, Weapons &amp; Items'!B:C,2,0)</f>
        <v>Humanitarian</v>
      </c>
      <c r="K1060" s="1186" t="str">
        <f>IF(I1060=".",I1060,VLOOKUP($I1060,'Price List, Weapons &amp; Items'!B:D,3,0))</f>
        <v>Humanitarian</v>
      </c>
      <c r="L1060" s="1187">
        <f>VLOOKUP(I1060,'Price List, Weapons &amp; Items'!B:E,4,0)</f>
        <v>0</v>
      </c>
      <c r="M1060" s="1188" t="s">
        <v>374</v>
      </c>
      <c r="N1060" s="1188" t="s">
        <v>374</v>
      </c>
      <c r="O1060" s="1188" t="str">
        <f>VLOOKUP($I1060,'Price List, Weapons &amp; Items'!B:G,6,0)</f>
        <v>.</v>
      </c>
      <c r="P1060" s="1185" t="str">
        <f t="shared" si="223"/>
        <v>.</v>
      </c>
      <c r="Q1060" s="1185" t="str">
        <f t="shared" si="224"/>
        <v>.</v>
      </c>
      <c r="R1060" s="1185" t="str">
        <f t="shared" si="220"/>
        <v/>
      </c>
      <c r="S1060" s="1185" t="str">
        <f>IF(AND(AD1060=1,R1060&lt;&gt;".")=TRUE,R1060/VLOOKUP(G1060,'Exchange Rates'!B:C,2,0),IF(R1060=".",".",""))</f>
        <v/>
      </c>
      <c r="T1060" s="1185" t="str">
        <f>IF(AD1060=1,IF(AF1060="Value is not given at all",".",IF(AF1060="Value is given by the source",S1060,IF(AF1060="Value is calculated with prices",(IF(SUMIFS(Q:Q,A:A,A1060)&gt;0,SUMIFS(Q:Q,A:A,A1060),"."))/VLOOKUP("USD",'Exchange Rates'!B:C,2,0),"Error with coding"))),"")</f>
        <v/>
      </c>
      <c r="U1060" s="1184" t="s">
        <v>365</v>
      </c>
      <c r="V1060" s="1029" t="s">
        <v>2893</v>
      </c>
      <c r="W1060" s="1029" t="s">
        <v>2898</v>
      </c>
      <c r="X1060" s="1183" t="s">
        <v>364</v>
      </c>
      <c r="Y1060" s="1183" t="s">
        <v>364</v>
      </c>
      <c r="Z1060" s="1184">
        <v>0</v>
      </c>
      <c r="AA1060" s="1194">
        <v>0</v>
      </c>
      <c r="AB1060" s="975" t="s">
        <v>2899</v>
      </c>
      <c r="AC1060" s="1192" t="str">
        <f>""</f>
        <v/>
      </c>
      <c r="AD1060" s="1193">
        <v>0</v>
      </c>
      <c r="AE1060" s="1193" t="s">
        <v>436</v>
      </c>
      <c r="AF1060" s="1193" t="s">
        <v>436</v>
      </c>
      <c r="AG1060" s="1193">
        <v>1</v>
      </c>
      <c r="AH1060" s="1193">
        <v>4</v>
      </c>
      <c r="AI1060" s="1193">
        <v>0</v>
      </c>
      <c r="AJ1060" s="1193">
        <f>VLOOKUP($I1060,'Price List, Weapons &amp; Items'!B:F,5,0)</f>
        <v>0</v>
      </c>
      <c r="AK1060" s="1193">
        <f t="shared" si="225"/>
        <v>0</v>
      </c>
      <c r="AL1060" s="1193">
        <f t="shared" si="226"/>
        <v>0</v>
      </c>
      <c r="AM1060" s="1193">
        <f t="shared" si="227"/>
        <v>0</v>
      </c>
      <c r="AN1060" s="1194" t="str">
        <f>VLOOKUP($I1060,'Price List, Weapons &amp; Items'!B:L,COLUMN('Price List, Weapons &amp; Items'!$J$11)-1,0)</f>
        <v>.</v>
      </c>
      <c r="AO1060" s="1194" t="str">
        <f>IF(I1060=".",".",VLOOKUP($I1060,'Price List, Weapons &amp; Items'!B:J,3,0))</f>
        <v>Humanitarian</v>
      </c>
      <c r="AP1060" s="1195" t="str">
        <f t="shared" ca="1" si="221"/>
        <v/>
      </c>
      <c r="AQ1060" s="1194">
        <f>VLOOKUP($I1060,'Price List, Weapons &amp; Items'!B:L,COLUMN('Price List, Weapons &amp; Items'!$L$11)-1,0)</f>
        <v>0</v>
      </c>
      <c r="AR1060" s="1194">
        <f t="shared" si="228"/>
        <v>1</v>
      </c>
      <c r="AS1060" s="1194">
        <f t="shared" si="229"/>
        <v>1</v>
      </c>
      <c r="AT1060" s="1194" t="str">
        <f t="shared" si="230"/>
        <v>Value is not in date format</v>
      </c>
      <c r="AU1060" s="1194" t="str">
        <f t="shared" si="231"/>
        <v>.</v>
      </c>
      <c r="AV1060" s="1194" t="str">
        <f t="shared" si="222"/>
        <v>.</v>
      </c>
      <c r="AW1060" s="1194" t="str">
        <f t="shared" si="232"/>
        <v>.</v>
      </c>
      <c r="AX1060" s="1194">
        <f>IFERROR(VLOOKUP(B1060,'Share, Heavy Weapons to Ukraine'!B:Z,COLUMN('Share, Heavy Weapons to Ukraine'!C1070)-1,0),0)</f>
        <v>1</v>
      </c>
      <c r="AY1060" s="1194">
        <f>VLOOKUP('Bilateral Assistance, MAIN DATA'!B1060,'Country Summary (€)'!B:F,COLUMN('Country Summary (€)'!C1071)-1,FALSE)</f>
        <v>0</v>
      </c>
      <c r="AZ1060" s="1194" t="str">
        <f>IF(AND(AD1060=1,D1060="Military",H1060&lt;&gt;"Not given")=TRUE,IF(SUMIFS(P:P,A:A,A1060)&gt;0,ABS((SUMIFS(P:P,A:A,A1060)/VLOOKUP("USD",'Exchange Rates'!B:C,2,0)))/S1060,"."),".")</f>
        <v>.</v>
      </c>
      <c r="BA1060" s="1196" t="str">
        <f>IF(AND(AD1060=1,D1060="Military",H1060&lt;&gt;"Not given")=TRUE,IF(SUMIFS(P:P,A:A,A1060)&gt;0,IF((ABS((SUMIFS(P:P,A:A,A1060)/VLOOKUP("USD",'Exchange Rates'!B:C,2,0)))/S1060)&gt;1,(SUMIFS(P:P,A:A,A1060)-S1060)/S1060,(S1060-SUMIFS(P:P,A:A,A1060))/SUMIFS(P:P,A:A,A1060)),"."),".")</f>
        <v>.</v>
      </c>
    </row>
    <row r="1061" spans="1:53" ht="15.95" customHeight="1">
      <c r="A1061" s="1182" t="s">
        <v>2881</v>
      </c>
      <c r="B1061" s="1182" t="s">
        <v>2882</v>
      </c>
      <c r="C1061" s="1181" t="s">
        <v>1306</v>
      </c>
      <c r="D1061" s="1182" t="s">
        <v>389</v>
      </c>
      <c r="E1061" s="1182" t="s">
        <v>390</v>
      </c>
      <c r="F1061" s="1208" t="s">
        <v>2886</v>
      </c>
      <c r="G1061" s="1184" t="s">
        <v>2884</v>
      </c>
      <c r="H1061" s="1210">
        <v>990000000</v>
      </c>
      <c r="I1061" s="1201" t="s">
        <v>2269</v>
      </c>
      <c r="J1061" s="1186" t="str">
        <f>VLOOKUP($I1061,'Price List, Weapons &amp; Items'!B:C,2,0)</f>
        <v>Heavy weapon</v>
      </c>
      <c r="K1061" s="1186" t="str">
        <f>IF(I1061=".",I1061,VLOOKUP($I1061,'Price List, Weapons &amp; Items'!B:D,3,0))</f>
        <v>155mm howitzer</v>
      </c>
      <c r="L1061" s="1187">
        <f>VLOOKUP(I1061,'Price List, Weapons &amp; Items'!B:E,4,0)</f>
        <v>0</v>
      </c>
      <c r="M1061" s="1188">
        <v>22</v>
      </c>
      <c r="N1061" s="1188">
        <v>22</v>
      </c>
      <c r="O1061" s="1188">
        <f>VLOOKUP($I1061,'Price List, Weapons &amp; Items'!B:G,6,0)</f>
        <v>1734787.30789614</v>
      </c>
      <c r="P1061" s="1185">
        <f t="shared" si="223"/>
        <v>38165320.773715079</v>
      </c>
      <c r="Q1061" s="1185">
        <f t="shared" si="224"/>
        <v>38165320.773715079</v>
      </c>
      <c r="R1061" s="1185" t="str">
        <f t="shared" si="220"/>
        <v/>
      </c>
      <c r="S1061" s="1185" t="str">
        <f>IF(AND(AD1061=1,R1061&lt;&gt;".")=TRUE,R1061/VLOOKUP(G1061,'Exchange Rates'!B:C,2,0),IF(R1061=".",".",""))</f>
        <v/>
      </c>
      <c r="T1061" s="1185" t="str">
        <f>IF(AD1061=1,IF(AF1061="Value is not given at all",".",IF(AF1061="Value is given by the source",S1061,IF(AF1061="Value is calculated with prices",(IF(SUMIFS(Q:Q,A:A,A1061)&gt;0,SUMIFS(Q:Q,A:A,A1061),"."))/VLOOKUP("USD",'Exchange Rates'!B:C,2,0),"Error with coding"))),"")</f>
        <v/>
      </c>
      <c r="U1061" s="1184" t="s">
        <v>365</v>
      </c>
      <c r="V1061" s="974" t="s">
        <v>2901</v>
      </c>
      <c r="W1061" s="974" t="s">
        <v>2902</v>
      </c>
      <c r="X1061" s="974" t="s">
        <v>2903</v>
      </c>
      <c r="Y1061" s="1190" t="s">
        <v>364</v>
      </c>
      <c r="Z1061" s="1184">
        <v>0</v>
      </c>
      <c r="AA1061" s="1194">
        <v>0</v>
      </c>
      <c r="AB1061" s="975" t="s">
        <v>2904</v>
      </c>
      <c r="AC1061" s="1192" t="str">
        <f>""</f>
        <v/>
      </c>
      <c r="AD1061" s="1193">
        <v>0</v>
      </c>
      <c r="AE1061" s="1193" t="s">
        <v>436</v>
      </c>
      <c r="AF1061" s="1193" t="s">
        <v>436</v>
      </c>
      <c r="AG1061" s="1193">
        <v>1</v>
      </c>
      <c r="AH1061" s="1193">
        <v>6</v>
      </c>
      <c r="AI1061" s="1193">
        <v>0</v>
      </c>
      <c r="AJ1061" s="1193">
        <f>VLOOKUP($I1061,'Price List, Weapons &amp; Items'!B:F,5,0)</f>
        <v>1</v>
      </c>
      <c r="AK1061" s="1193">
        <f t="shared" si="225"/>
        <v>0</v>
      </c>
      <c r="AL1061" s="1193">
        <f t="shared" si="226"/>
        <v>0</v>
      </c>
      <c r="AM1061" s="1193">
        <f t="shared" si="227"/>
        <v>0</v>
      </c>
      <c r="AN1061" s="1194" t="str">
        <f>VLOOKUP($I1061,'Price List, Weapons &amp; Items'!B:L,COLUMN('Price List, Weapons &amp; Items'!$J$11)-1,0)</f>
        <v>Contracts</v>
      </c>
      <c r="AO1061" s="1194" t="str">
        <f>IF(I1061=".",".",VLOOKUP($I1061,'Price List, Weapons &amp; Items'!B:J,3,0))</f>
        <v>155mm howitzer</v>
      </c>
      <c r="AP1061" s="1195" t="str">
        <f t="shared" ca="1" si="221"/>
        <v/>
      </c>
      <c r="AQ1061" s="1194">
        <f>VLOOKUP($I1061,'Price List, Weapons &amp; Items'!B:L,COLUMN('Price List, Weapons &amp; Items'!$L$11)-1,0)</f>
        <v>2</v>
      </c>
      <c r="AR1061" s="1194">
        <f t="shared" si="228"/>
        <v>1</v>
      </c>
      <c r="AS1061" s="1194">
        <f t="shared" si="229"/>
        <v>1</v>
      </c>
      <c r="AT1061" s="1194" t="str">
        <f t="shared" si="230"/>
        <v>Value is not in date format</v>
      </c>
      <c r="AU1061" s="1194" t="str">
        <f t="shared" si="231"/>
        <v>.</v>
      </c>
      <c r="AV1061" s="1194" t="str">
        <f t="shared" si="222"/>
        <v>.</v>
      </c>
      <c r="AW1061" s="1194" t="str">
        <f t="shared" si="232"/>
        <v>.</v>
      </c>
      <c r="AX1061" s="1194">
        <f>IFERROR(VLOOKUP(B1061,'Share, Heavy Weapons to Ukraine'!B:Z,COLUMN('Share, Heavy Weapons to Ukraine'!C1071)-1,0),0)</f>
        <v>1</v>
      </c>
      <c r="AY1061" s="1194">
        <f>VLOOKUP('Bilateral Assistance, MAIN DATA'!B1061,'Country Summary (€)'!B:F,COLUMN('Country Summary (€)'!C1072)-1,FALSE)</f>
        <v>0</v>
      </c>
      <c r="AZ1061" s="1194" t="str">
        <f>IF(AND(AD1061=1,D1061="Military",H1061&lt;&gt;"Not given")=TRUE,IF(SUMIFS(P:P,A:A,A1061)&gt;0,ABS((SUMIFS(P:P,A:A,A1061)/VLOOKUP("USD",'Exchange Rates'!B:C,2,0)))/S1061,"."),".")</f>
        <v>.</v>
      </c>
      <c r="BA1061" s="1196" t="str">
        <f>IF(AND(AD1061=1,D1061="Military",H1061&lt;&gt;"Not given")=TRUE,IF(SUMIFS(P:P,A:A,A1061)&gt;0,IF((ABS((SUMIFS(P:P,A:A,A1061)/VLOOKUP("USD",'Exchange Rates'!B:C,2,0)))/S1061)&gt;1,(SUMIFS(P:P,A:A,A1061)-S1061)/S1061,(S1061-SUMIFS(P:P,A:A,A1061))/SUMIFS(P:P,A:A,A1061)),"."),".")</f>
        <v>.</v>
      </c>
    </row>
    <row r="1062" spans="1:53" ht="15.95" customHeight="1">
      <c r="A1062" s="1180" t="s">
        <v>2881</v>
      </c>
      <c r="B1062" s="1182" t="s">
        <v>2882</v>
      </c>
      <c r="C1062" s="1181" t="s">
        <v>1306</v>
      </c>
      <c r="D1062" s="1182" t="s">
        <v>389</v>
      </c>
      <c r="E1062" s="1182" t="s">
        <v>390</v>
      </c>
      <c r="F1062" s="1208" t="s">
        <v>2886</v>
      </c>
      <c r="G1062" s="1184" t="s">
        <v>2884</v>
      </c>
      <c r="H1062" s="1210">
        <v>990000000</v>
      </c>
      <c r="I1062" s="1201" t="s">
        <v>2905</v>
      </c>
      <c r="J1062" s="1186" t="str">
        <f>VLOOKUP($I1062,'Price List, Weapons &amp; Items'!B:C,2,0)</f>
        <v>Ammunition for heavy weapon</v>
      </c>
      <c r="K1062" s="1186" t="str">
        <f>IF(I1062=".",I1062,VLOOKUP($I1062,'Price List, Weapons &amp; Items'!B:D,3,0))</f>
        <v>155mm howitzer ammunition</v>
      </c>
      <c r="L1062" s="1187">
        <f>VLOOKUP(I1062,'Price List, Weapons &amp; Items'!B:E,4,0)</f>
        <v>0</v>
      </c>
      <c r="M1062" s="1188" t="s">
        <v>374</v>
      </c>
      <c r="N1062" s="1188" t="s">
        <v>374</v>
      </c>
      <c r="O1062" s="1188" t="str">
        <f>VLOOKUP($I1062,'Price List, Weapons &amp; Items'!B:G,6,0)</f>
        <v>.</v>
      </c>
      <c r="P1062" s="1185" t="str">
        <f t="shared" si="223"/>
        <v>.</v>
      </c>
      <c r="Q1062" s="1185" t="str">
        <f t="shared" si="224"/>
        <v>.</v>
      </c>
      <c r="R1062" s="1185" t="str">
        <f t="shared" si="220"/>
        <v/>
      </c>
      <c r="S1062" s="1185" t="str">
        <f>IF(AND(AD1062=1,R1062&lt;&gt;".")=TRUE,R1062/VLOOKUP(G1062,'Exchange Rates'!B:C,2,0),IF(R1062=".",".",""))</f>
        <v/>
      </c>
      <c r="T1062" s="1185" t="str">
        <f>IF(AD1062=1,IF(AF1062="Value is not given at all",".",IF(AF1062="Value is given by the source",S1062,IF(AF1062="Value is calculated with prices",(IF(SUMIFS(Q:Q,A:A,A1062)&gt;0,SUMIFS(Q:Q,A:A,A1062),"."))/VLOOKUP("USD",'Exchange Rates'!B:C,2,0),"Error with coding"))),"")</f>
        <v/>
      </c>
      <c r="U1062" s="1184" t="s">
        <v>365</v>
      </c>
      <c r="V1062" s="974" t="s">
        <v>2901</v>
      </c>
      <c r="W1062" s="974" t="s">
        <v>2902</v>
      </c>
      <c r="X1062" s="974" t="s">
        <v>2903</v>
      </c>
      <c r="Y1062" s="1190" t="s">
        <v>364</v>
      </c>
      <c r="Z1062" s="1184">
        <v>0</v>
      </c>
      <c r="AA1062" s="1194">
        <v>0</v>
      </c>
      <c r="AB1062" s="975" t="s">
        <v>2904</v>
      </c>
      <c r="AC1062" s="1192" t="str">
        <f>""</f>
        <v/>
      </c>
      <c r="AD1062" s="1193">
        <v>0</v>
      </c>
      <c r="AE1062" s="1193" t="s">
        <v>436</v>
      </c>
      <c r="AF1062" s="1193" t="s">
        <v>436</v>
      </c>
      <c r="AG1062" s="1193">
        <v>1</v>
      </c>
      <c r="AH1062" s="1193">
        <v>6</v>
      </c>
      <c r="AI1062" s="1193">
        <v>0</v>
      </c>
      <c r="AJ1062" s="1193">
        <f>VLOOKUP($I1062,'Price List, Weapons &amp; Items'!B:F,5,0)</f>
        <v>1</v>
      </c>
      <c r="AK1062" s="1193">
        <f t="shared" si="225"/>
        <v>1</v>
      </c>
      <c r="AL1062" s="1193">
        <f t="shared" si="226"/>
        <v>1</v>
      </c>
      <c r="AM1062" s="1193">
        <f t="shared" si="227"/>
        <v>0</v>
      </c>
      <c r="AN1062" s="1194" t="str">
        <f>VLOOKUP($I1062,'Price List, Weapons &amp; Items'!B:L,COLUMN('Price List, Weapons &amp; Items'!$J$11)-1,0)</f>
        <v>.</v>
      </c>
      <c r="AO1062" s="1194" t="str">
        <f>IF(I1062=".",".",VLOOKUP($I1062,'Price List, Weapons &amp; Items'!B:J,3,0))</f>
        <v>155mm howitzer ammunition</v>
      </c>
      <c r="AP1062" s="1195" t="str">
        <f t="shared" ca="1" si="221"/>
        <v/>
      </c>
      <c r="AQ1062" s="1194" t="str">
        <f>VLOOKUP($I1062,'Price List, Weapons &amp; Items'!B:L,COLUMN('Price List, Weapons &amp; Items'!$L$11)-1,0)</f>
        <v>no price, 0 count</v>
      </c>
      <c r="AR1062" s="1194">
        <f t="shared" si="228"/>
        <v>1</v>
      </c>
      <c r="AS1062" s="1194">
        <f t="shared" si="229"/>
        <v>1</v>
      </c>
      <c r="AT1062" s="1194" t="str">
        <f t="shared" si="230"/>
        <v>Value is not in date format</v>
      </c>
      <c r="AU1062" s="1194" t="str">
        <f t="shared" si="231"/>
        <v>.</v>
      </c>
      <c r="AV1062" s="1194" t="str">
        <f t="shared" si="222"/>
        <v>.</v>
      </c>
      <c r="AW1062" s="1194" t="str">
        <f t="shared" si="232"/>
        <v>.</v>
      </c>
      <c r="AX1062" s="1194">
        <f>IFERROR(VLOOKUP(B1062,'Share, Heavy Weapons to Ukraine'!B:Z,COLUMN('Share, Heavy Weapons to Ukraine'!C1072)-1,0),0)</f>
        <v>1</v>
      </c>
      <c r="AY1062" s="1194">
        <f>VLOOKUP('Bilateral Assistance, MAIN DATA'!B1062,'Country Summary (€)'!B:F,COLUMN('Country Summary (€)'!C1073)-1,FALSE)</f>
        <v>0</v>
      </c>
      <c r="AZ1062" s="1194" t="str">
        <f>IF(AND(AD1062=1,D1062="Military",H1062&lt;&gt;"Not given")=TRUE,IF(SUMIFS(P:P,A:A,A1062)&gt;0,ABS((SUMIFS(P:P,A:A,A1062)/VLOOKUP("USD",'Exchange Rates'!B:C,2,0)))/S1062,"."),".")</f>
        <v>.</v>
      </c>
      <c r="BA1062" s="1196" t="str">
        <f>IF(AND(AD1062=1,D1062="Military",H1062&lt;&gt;"Not given")=TRUE,IF(SUMIFS(P:P,A:A,A1062)&gt;0,IF((ABS((SUMIFS(P:P,A:A,A1062)/VLOOKUP("USD",'Exchange Rates'!B:C,2,0)))/S1062)&gt;1,(SUMIFS(P:P,A:A,A1062)-S1062)/S1062,(S1062-SUMIFS(P:P,A:A,A1062))/SUMIFS(P:P,A:A,A1062)),"."),".")</f>
        <v>.</v>
      </c>
    </row>
    <row r="1063" spans="1:53" ht="15.95" customHeight="1">
      <c r="A1063" s="1182" t="s">
        <v>2881</v>
      </c>
      <c r="B1063" s="1182" t="s">
        <v>2882</v>
      </c>
      <c r="C1063" s="1181" t="s">
        <v>1306</v>
      </c>
      <c r="D1063" s="1182" t="s">
        <v>389</v>
      </c>
      <c r="E1063" s="1182" t="s">
        <v>390</v>
      </c>
      <c r="F1063" s="1208" t="s">
        <v>2886</v>
      </c>
      <c r="G1063" s="1184" t="s">
        <v>2884</v>
      </c>
      <c r="H1063" s="1210">
        <v>990000000</v>
      </c>
      <c r="I1063" s="1201" t="s">
        <v>2906</v>
      </c>
      <c r="J1063" s="1186" t="str">
        <f>VLOOKUP($I1063,'Price List, Weapons &amp; Items'!B:C,2,0)</f>
        <v>Military equipment</v>
      </c>
      <c r="K1063" s="1186" t="str">
        <f>IF(I1063=".",I1063,VLOOKUP($I1063,'Price List, Weapons &amp; Items'!B:D,3,0))</f>
        <v>155mm howitzer ammunition</v>
      </c>
      <c r="L1063" s="1187">
        <f>VLOOKUP(I1063,'Price List, Weapons &amp; Items'!B:E,4,0)</f>
        <v>0</v>
      </c>
      <c r="M1063" s="1188" t="s">
        <v>374</v>
      </c>
      <c r="N1063" s="1188" t="s">
        <v>374</v>
      </c>
      <c r="O1063" s="1188" t="str">
        <f>VLOOKUP($I1063,'Price List, Weapons &amp; Items'!B:G,6,0)</f>
        <v>.</v>
      </c>
      <c r="P1063" s="1185" t="str">
        <f t="shared" si="223"/>
        <v>.</v>
      </c>
      <c r="Q1063" s="1185" t="str">
        <f t="shared" si="224"/>
        <v>.</v>
      </c>
      <c r="R1063" s="1185" t="str">
        <f t="shared" si="220"/>
        <v/>
      </c>
      <c r="S1063" s="1185" t="str">
        <f>IF(AND(AD1063=1,R1063&lt;&gt;".")=TRUE,R1063/VLOOKUP(G1063,'Exchange Rates'!B:C,2,0),IF(R1063=".",".",""))</f>
        <v/>
      </c>
      <c r="T1063" s="1185" t="str">
        <f>IF(AD1063=1,IF(AF1063="Value is not given at all",".",IF(AF1063="Value is given by the source",S1063,IF(AF1063="Value is calculated with prices",(IF(SUMIFS(Q:Q,A:A,A1063)&gt;0,SUMIFS(Q:Q,A:A,A1063),"."))/VLOOKUP("USD",'Exchange Rates'!B:C,2,0),"Error with coding"))),"")</f>
        <v/>
      </c>
      <c r="U1063" s="1184" t="s">
        <v>365</v>
      </c>
      <c r="V1063" s="974" t="s">
        <v>2901</v>
      </c>
      <c r="W1063" s="974" t="s">
        <v>2902</v>
      </c>
      <c r="X1063" s="974" t="s">
        <v>2903</v>
      </c>
      <c r="Y1063" s="1190" t="s">
        <v>364</v>
      </c>
      <c r="Z1063" s="1184">
        <v>0</v>
      </c>
      <c r="AA1063" s="1194">
        <v>0</v>
      </c>
      <c r="AB1063" s="975" t="s">
        <v>2904</v>
      </c>
      <c r="AC1063" s="1192" t="str">
        <f>""</f>
        <v/>
      </c>
      <c r="AD1063" s="1193">
        <v>0</v>
      </c>
      <c r="AE1063" s="1193" t="s">
        <v>436</v>
      </c>
      <c r="AF1063" s="1193" t="s">
        <v>436</v>
      </c>
      <c r="AG1063" s="1193">
        <v>1</v>
      </c>
      <c r="AH1063" s="1193">
        <v>6</v>
      </c>
      <c r="AI1063" s="1193">
        <v>0</v>
      </c>
      <c r="AJ1063" s="1193">
        <f>VLOOKUP($I1063,'Price List, Weapons &amp; Items'!B:F,5,0)</f>
        <v>1</v>
      </c>
      <c r="AK1063" s="1193">
        <f t="shared" si="225"/>
        <v>1</v>
      </c>
      <c r="AL1063" s="1193">
        <f t="shared" si="226"/>
        <v>1</v>
      </c>
      <c r="AM1063" s="1193">
        <f t="shared" si="227"/>
        <v>0</v>
      </c>
      <c r="AN1063" s="1194" t="str">
        <f>VLOOKUP($I1063,'Price List, Weapons &amp; Items'!B:L,COLUMN('Price List, Weapons &amp; Items'!$J$11)-1,0)</f>
        <v>.</v>
      </c>
      <c r="AO1063" s="1194" t="str">
        <f>IF(I1063=".",".",VLOOKUP($I1063,'Price List, Weapons &amp; Items'!B:J,3,0))</f>
        <v>155mm howitzer ammunition</v>
      </c>
      <c r="AP1063" s="1195" t="str">
        <f t="shared" ca="1" si="221"/>
        <v/>
      </c>
      <c r="AQ1063" s="1194" t="str">
        <f>VLOOKUP($I1063,'Price List, Weapons &amp; Items'!B:L,COLUMN('Price List, Weapons &amp; Items'!$L$11)-1,0)</f>
        <v>no price, 0 count</v>
      </c>
      <c r="AR1063" s="1194">
        <f t="shared" si="228"/>
        <v>1</v>
      </c>
      <c r="AS1063" s="1194">
        <f t="shared" si="229"/>
        <v>1</v>
      </c>
      <c r="AT1063" s="1194" t="str">
        <f t="shared" si="230"/>
        <v>Value is not in date format</v>
      </c>
      <c r="AU1063" s="1194" t="str">
        <f t="shared" si="231"/>
        <v>.</v>
      </c>
      <c r="AV1063" s="1194" t="str">
        <f t="shared" si="222"/>
        <v>.</v>
      </c>
      <c r="AW1063" s="1194" t="str">
        <f t="shared" si="232"/>
        <v>.</v>
      </c>
      <c r="AX1063" s="1194">
        <f>IFERROR(VLOOKUP(B1063,'Share, Heavy Weapons to Ukraine'!B:Z,COLUMN('Share, Heavy Weapons to Ukraine'!C1073)-1,0),0)</f>
        <v>1</v>
      </c>
      <c r="AY1063" s="1194">
        <f>VLOOKUP('Bilateral Assistance, MAIN DATA'!B1063,'Country Summary (€)'!B:F,COLUMN('Country Summary (€)'!C1074)-1,FALSE)</f>
        <v>0</v>
      </c>
      <c r="AZ1063" s="1194" t="str">
        <f>IF(AND(AD1063=1,D1063="Military",H1063&lt;&gt;"Not given")=TRUE,IF(SUMIFS(P:P,A:A,A1063)&gt;0,ABS((SUMIFS(P:P,A:A,A1063)/VLOOKUP("USD",'Exchange Rates'!B:C,2,0)))/S1063,"."),".")</f>
        <v>.</v>
      </c>
      <c r="BA1063" s="1196" t="str">
        <f>IF(AND(AD1063=1,D1063="Military",H1063&lt;&gt;"Not given")=TRUE,IF(SUMIFS(P:P,A:A,A1063)&gt;0,IF((ABS((SUMIFS(P:P,A:A,A1063)/VLOOKUP("USD",'Exchange Rates'!B:C,2,0)))/S1063)&gt;1,(SUMIFS(P:P,A:A,A1063)-S1063)/S1063,(S1063-SUMIFS(P:P,A:A,A1063))/SUMIFS(P:P,A:A,A1063)),"."),".")</f>
        <v>.</v>
      </c>
    </row>
    <row r="1064" spans="1:53" ht="15.95" customHeight="1">
      <c r="A1064" s="1180" t="s">
        <v>2881</v>
      </c>
      <c r="B1064" s="1182" t="s">
        <v>2882</v>
      </c>
      <c r="C1064" s="1181" t="s">
        <v>1306</v>
      </c>
      <c r="D1064" s="1182" t="s">
        <v>389</v>
      </c>
      <c r="E1064" s="1182" t="s">
        <v>390</v>
      </c>
      <c r="F1064" s="1208" t="s">
        <v>2886</v>
      </c>
      <c r="G1064" s="1184" t="s">
        <v>2884</v>
      </c>
      <c r="H1064" s="1210">
        <v>990000000</v>
      </c>
      <c r="I1064" s="1266" t="s">
        <v>835</v>
      </c>
      <c r="J1064" s="1186" t="str">
        <f>VLOOKUP($I1064,'Price List, Weapons &amp; Items'!B:C,2,0)</f>
        <v>Ammunition for heavy weapon</v>
      </c>
      <c r="K1064" s="1186" t="str">
        <f>IF(I1064=".",I1064,VLOOKUP($I1064,'Price List, Weapons &amp; Items'!B:D,3,0))</f>
        <v>155mm howitzer ammunition</v>
      </c>
      <c r="L1064" s="1187">
        <f>VLOOKUP(I1064,'Price List, Weapons &amp; Items'!B:E,4,0)</f>
        <v>0</v>
      </c>
      <c r="M1064" s="1188">
        <v>5000</v>
      </c>
      <c r="N1064" s="1188">
        <v>5000</v>
      </c>
      <c r="O1064" s="1188">
        <f>VLOOKUP($I1064,'Price List, Weapons &amp; Items'!B:G,6,0)</f>
        <v>3800</v>
      </c>
      <c r="P1064" s="1185">
        <f t="shared" si="223"/>
        <v>19000000</v>
      </c>
      <c r="Q1064" s="1185">
        <f t="shared" si="224"/>
        <v>19000000</v>
      </c>
      <c r="R1064" s="1185" t="str">
        <f t="shared" si="220"/>
        <v/>
      </c>
      <c r="S1064" s="1185" t="str">
        <f>IF(AND(AD1064=1,R1064&lt;&gt;".")=TRUE,R1064/VLOOKUP(G1064,'Exchange Rates'!B:C,2,0),IF(R1064=".",".",""))</f>
        <v/>
      </c>
      <c r="T1064" s="1185" t="str">
        <f>IF(AD1064=1,IF(AF1064="Value is not given at all",".",IF(AF1064="Value is given by the source",S1064,IF(AF1064="Value is calculated with prices",(IF(SUMIFS(Q:Q,A:A,A1064)&gt;0,SUMIFS(Q:Q,A:A,A1064),"."))/VLOOKUP("USD",'Exchange Rates'!B:C,2,0),"Error with coding"))),"")</f>
        <v/>
      </c>
      <c r="U1064" s="1184" t="s">
        <v>365</v>
      </c>
      <c r="V1064" s="974" t="s">
        <v>2901</v>
      </c>
      <c r="W1064" s="974" t="s">
        <v>2902</v>
      </c>
      <c r="X1064" s="974" t="s">
        <v>2903</v>
      </c>
      <c r="Y1064" s="1190" t="s">
        <v>364</v>
      </c>
      <c r="Z1064" s="1184">
        <v>0</v>
      </c>
      <c r="AA1064" s="1194">
        <v>0</v>
      </c>
      <c r="AB1064" s="975" t="s">
        <v>2904</v>
      </c>
      <c r="AC1064" s="1192" t="str">
        <f>""</f>
        <v/>
      </c>
      <c r="AD1064" s="1193">
        <v>0</v>
      </c>
      <c r="AE1064" s="1193" t="s">
        <v>436</v>
      </c>
      <c r="AF1064" s="1193" t="s">
        <v>436</v>
      </c>
      <c r="AG1064" s="1193">
        <v>1</v>
      </c>
      <c r="AH1064" s="1193">
        <v>6</v>
      </c>
      <c r="AI1064" s="1193">
        <v>0</v>
      </c>
      <c r="AJ1064" s="1193">
        <f>VLOOKUP($I1064,'Price List, Weapons &amp; Items'!B:F,5,0)</f>
        <v>1</v>
      </c>
      <c r="AK1064" s="1193">
        <f t="shared" si="225"/>
        <v>0</v>
      </c>
      <c r="AL1064" s="1193">
        <f t="shared" si="226"/>
        <v>0</v>
      </c>
      <c r="AM1064" s="1193">
        <f t="shared" si="227"/>
        <v>1</v>
      </c>
      <c r="AN1064" s="1194" t="str">
        <f>VLOOKUP($I1064,'Price List, Weapons &amp; Items'!B:L,COLUMN('Price List, Weapons &amp; Items'!$J$11)-1,0)</f>
        <v>Government information</v>
      </c>
      <c r="AO1064" s="1194" t="str">
        <f>IF(I1064=".",".",VLOOKUP($I1064,'Price List, Weapons &amp; Items'!B:J,3,0))</f>
        <v>155mm howitzer ammunition</v>
      </c>
      <c r="AP1064" s="1195" t="str">
        <f t="shared" ca="1" si="221"/>
        <v/>
      </c>
      <c r="AQ1064" s="1194">
        <f>VLOOKUP($I1064,'Price List, Weapons &amp; Items'!B:L,COLUMN('Price List, Weapons &amp; Items'!$L$11)-1,0)</f>
        <v>2</v>
      </c>
      <c r="AR1064" s="1194">
        <f t="shared" si="228"/>
        <v>1</v>
      </c>
      <c r="AS1064" s="1194">
        <f t="shared" si="229"/>
        <v>1</v>
      </c>
      <c r="AT1064" s="1194" t="str">
        <f t="shared" si="230"/>
        <v>Value is not in date format</v>
      </c>
      <c r="AU1064" s="1194" t="str">
        <f t="shared" si="231"/>
        <v>.</v>
      </c>
      <c r="AV1064" s="1194" t="str">
        <f t="shared" si="222"/>
        <v>.</v>
      </c>
      <c r="AW1064" s="1194" t="str">
        <f t="shared" si="232"/>
        <v>.</v>
      </c>
      <c r="AX1064" s="1194">
        <f>IFERROR(VLOOKUP(B1064,'Share, Heavy Weapons to Ukraine'!B:Z,COLUMN('Share, Heavy Weapons to Ukraine'!C1074)-1,0),0)</f>
        <v>1</v>
      </c>
      <c r="AY1064" s="1194">
        <f>VLOOKUP('Bilateral Assistance, MAIN DATA'!B1064,'Country Summary (€)'!B:F,COLUMN('Country Summary (€)'!C1075)-1,FALSE)</f>
        <v>0</v>
      </c>
      <c r="AZ1064" s="1194" t="str">
        <f>IF(AND(AD1064=1,D1064="Military",H1064&lt;&gt;"Not given")=TRUE,IF(SUMIFS(P:P,A:A,A1064)&gt;0,ABS((SUMIFS(P:P,A:A,A1064)/VLOOKUP("USD",'Exchange Rates'!B:C,2,0)))/S1064,"."),".")</f>
        <v>.</v>
      </c>
      <c r="BA1064" s="1196" t="str">
        <f>IF(AND(AD1064=1,D1064="Military",H1064&lt;&gt;"Not given")=TRUE,IF(SUMIFS(P:P,A:A,A1064)&gt;0,IF((ABS((SUMIFS(P:P,A:A,A1064)/VLOOKUP("USD",'Exchange Rates'!B:C,2,0)))/S1064)&gt;1,(SUMIFS(P:P,A:A,A1064)-S1064)/S1064,(S1064-SUMIFS(P:P,A:A,A1064))/SUMIFS(P:P,A:A,A1064)),"."),".")</f>
        <v>.</v>
      </c>
    </row>
    <row r="1065" spans="1:53" ht="15.95" customHeight="1">
      <c r="A1065" s="1182" t="s">
        <v>2881</v>
      </c>
      <c r="B1065" s="1182" t="s">
        <v>2882</v>
      </c>
      <c r="C1065" s="1181" t="s">
        <v>2907</v>
      </c>
      <c r="D1065" s="1182" t="s">
        <v>389</v>
      </c>
      <c r="E1065" s="1182" t="s">
        <v>390</v>
      </c>
      <c r="F1065" s="1208" t="s">
        <v>2886</v>
      </c>
      <c r="G1065" s="1184" t="s">
        <v>2884</v>
      </c>
      <c r="H1065" s="1210">
        <v>990000000</v>
      </c>
      <c r="I1065" s="1266" t="s">
        <v>2908</v>
      </c>
      <c r="J1065" s="1186" t="str">
        <f>VLOOKUP($I1065,'Price List, Weapons &amp; Items'!B:C,2,0)</f>
        <v>Heavy weapon</v>
      </c>
      <c r="K1065" s="1186" t="str">
        <f>IF(I1065=".",I1065,VLOOKUP($I1065,'Price List, Weapons &amp; Items'!B:D,3,0))</f>
        <v>227mm MLRS</v>
      </c>
      <c r="L1065" s="1187">
        <f>VLOOKUP(I1065,'Price List, Weapons &amp; Items'!B:E,4,0)</f>
        <v>0</v>
      </c>
      <c r="M1065" s="1188">
        <v>3</v>
      </c>
      <c r="N1065" s="1188">
        <v>3</v>
      </c>
      <c r="O1065" s="1188">
        <f>VLOOKUP($I1065,'Price List, Weapons &amp; Items'!B:G,6,0)</f>
        <v>3193503.68</v>
      </c>
      <c r="P1065" s="1185">
        <f t="shared" si="223"/>
        <v>9580511.040000001</v>
      </c>
      <c r="Q1065" s="1185">
        <f t="shared" si="224"/>
        <v>9580511.040000001</v>
      </c>
      <c r="R1065" s="1185" t="str">
        <f t="shared" si="220"/>
        <v/>
      </c>
      <c r="S1065" s="1185" t="str">
        <f>IF(AND(AD1065=1,R1065&lt;&gt;".")=TRUE,R1065/VLOOKUP(G1065,'Exchange Rates'!B:C,2,0),IF(R1065=".",".",""))</f>
        <v/>
      </c>
      <c r="T1065" s="1185" t="str">
        <f>IF(AD1065=1,IF(AF1065="Value is not given at all",".",IF(AF1065="Value is given by the source",S1065,IF(AF1065="Value is calculated with prices",(IF(SUMIFS(Q:Q,A:A,A1065)&gt;0,SUMIFS(Q:Q,A:A,A1065),"."))/VLOOKUP("USD",'Exchange Rates'!B:C,2,0),"Error with coding"))),"")</f>
        <v/>
      </c>
      <c r="U1065" s="1184" t="s">
        <v>365</v>
      </c>
      <c r="V1065" s="974" t="s">
        <v>2901</v>
      </c>
      <c r="W1065" s="974" t="s">
        <v>2902</v>
      </c>
      <c r="X1065" s="974" t="s">
        <v>2903</v>
      </c>
      <c r="Y1065" s="1190" t="s">
        <v>364</v>
      </c>
      <c r="Z1065" s="1184">
        <v>0</v>
      </c>
      <c r="AA1065" s="1194">
        <v>0</v>
      </c>
      <c r="AB1065" s="975" t="s">
        <v>2904</v>
      </c>
      <c r="AC1065" s="1192" t="str">
        <f>""</f>
        <v/>
      </c>
      <c r="AD1065" s="1193">
        <v>0</v>
      </c>
      <c r="AE1065" s="1193" t="s">
        <v>436</v>
      </c>
      <c r="AF1065" s="1193" t="s">
        <v>436</v>
      </c>
      <c r="AG1065" s="1193">
        <v>1</v>
      </c>
      <c r="AH1065" s="1193">
        <v>6</v>
      </c>
      <c r="AI1065" s="1193">
        <v>0</v>
      </c>
      <c r="AJ1065" s="1193">
        <f>VLOOKUP($I1065,'Price List, Weapons &amp; Items'!B:F,5,0)</f>
        <v>1</v>
      </c>
      <c r="AK1065" s="1193">
        <f t="shared" si="225"/>
        <v>0</v>
      </c>
      <c r="AL1065" s="1193">
        <f t="shared" si="226"/>
        <v>0</v>
      </c>
      <c r="AM1065" s="1193">
        <f t="shared" si="227"/>
        <v>0</v>
      </c>
      <c r="AN1065" s="1194" t="str">
        <f>VLOOKUP($I1065,'Price List, Weapons &amp; Items'!B:L,COLUMN('Price List, Weapons &amp; Items'!$J$11)-1,0)</f>
        <v>Contracts</v>
      </c>
      <c r="AO1065" s="1194" t="str">
        <f>IF(I1065=".",".",VLOOKUP($I1065,'Price List, Weapons &amp; Items'!B:J,3,0))</f>
        <v>227mm MLRS</v>
      </c>
      <c r="AP1065" s="1195" t="str">
        <f t="shared" ca="1" si="221"/>
        <v/>
      </c>
      <c r="AQ1065" s="1194">
        <f>VLOOKUP($I1065,'Price List, Weapons &amp; Items'!B:L,COLUMN('Price List, Weapons &amp; Items'!$L$11)-1,0)</f>
        <v>2</v>
      </c>
      <c r="AR1065" s="1194">
        <f t="shared" si="228"/>
        <v>1</v>
      </c>
      <c r="AS1065" s="1194">
        <f t="shared" si="229"/>
        <v>1</v>
      </c>
      <c r="AT1065" s="1194" t="str">
        <f t="shared" si="230"/>
        <v>Value is not in date format</v>
      </c>
      <c r="AU1065" s="1194" t="str">
        <f t="shared" si="231"/>
        <v>.</v>
      </c>
      <c r="AV1065" s="1194" t="str">
        <f t="shared" si="222"/>
        <v>.</v>
      </c>
      <c r="AW1065" s="1194" t="str">
        <f t="shared" si="232"/>
        <v>.</v>
      </c>
      <c r="AX1065" s="1194">
        <f>IFERROR(VLOOKUP(B1065,'Share, Heavy Weapons to Ukraine'!B:Z,COLUMN('Share, Heavy Weapons to Ukraine'!C1075)-1,0),0)</f>
        <v>1</v>
      </c>
      <c r="AY1065" s="1194">
        <f>VLOOKUP('Bilateral Assistance, MAIN DATA'!B1065,'Country Summary (€)'!B:F,COLUMN('Country Summary (€)'!C1076)-1,FALSE)</f>
        <v>0</v>
      </c>
      <c r="AZ1065" s="1194" t="str">
        <f>IF(AND(AD1065=1,D1065="Military",H1065&lt;&gt;"Not given")=TRUE,IF(SUMIFS(P:P,A:A,A1065)&gt;0,ABS((SUMIFS(P:P,A:A,A1065)/VLOOKUP("USD",'Exchange Rates'!B:C,2,0)))/S1065,"."),".")</f>
        <v>.</v>
      </c>
      <c r="BA1065" s="1196" t="str">
        <f>IF(AND(AD1065=1,D1065="Military",H1065&lt;&gt;"Not given")=TRUE,IF(SUMIFS(P:P,A:A,A1065)&gt;0,IF((ABS((SUMIFS(P:P,A:A,A1065)/VLOOKUP("USD",'Exchange Rates'!B:C,2,0)))/S1065)&gt;1,(SUMIFS(P:P,A:A,A1065)-S1065)/S1065,(S1065-SUMIFS(P:P,A:A,A1065))/SUMIFS(P:P,A:A,A1065)),"."),".")</f>
        <v>.</v>
      </c>
    </row>
    <row r="1066" spans="1:53" ht="15.95" customHeight="1">
      <c r="A1066" s="1180" t="s">
        <v>2881</v>
      </c>
      <c r="B1066" s="1180" t="s">
        <v>2882</v>
      </c>
      <c r="C1066" s="1181">
        <v>44741</v>
      </c>
      <c r="D1066" s="1182" t="s">
        <v>389</v>
      </c>
      <c r="E1066" s="1182" t="s">
        <v>390</v>
      </c>
      <c r="F1066" s="1208" t="s">
        <v>2886</v>
      </c>
      <c r="G1066" s="1184" t="s">
        <v>2884</v>
      </c>
      <c r="H1066" s="1210">
        <v>990000000</v>
      </c>
      <c r="I1066" s="1180" t="s">
        <v>835</v>
      </c>
      <c r="J1066" s="1186" t="str">
        <f>VLOOKUP($I1066,'Price List, Weapons &amp; Items'!B:C,2,0)</f>
        <v>Ammunition for heavy weapon</v>
      </c>
      <c r="K1066" s="1186" t="str">
        <f>IF(I1066=".",I1066,VLOOKUP($I1066,'Price List, Weapons &amp; Items'!B:D,3,0))</f>
        <v>155mm howitzer ammunition</v>
      </c>
      <c r="L1066" s="1187">
        <f>VLOOKUP(I1066,'Price List, Weapons &amp; Items'!B:E,4,0)</f>
        <v>0</v>
      </c>
      <c r="M1066" s="1188">
        <v>5000</v>
      </c>
      <c r="N1066" s="1188" t="s">
        <v>374</v>
      </c>
      <c r="O1066" s="1188">
        <f>VLOOKUP($I1066,'Price List, Weapons &amp; Items'!B:G,6,0)</f>
        <v>3800</v>
      </c>
      <c r="P1066" s="1185">
        <f t="shared" si="223"/>
        <v>19000000</v>
      </c>
      <c r="Q1066" s="1185" t="str">
        <f t="shared" si="224"/>
        <v>.</v>
      </c>
      <c r="R1066" s="1185" t="str">
        <f t="shared" si="220"/>
        <v/>
      </c>
      <c r="S1066" s="1185" t="str">
        <f>IF(AND(AD1066=1,R1066&lt;&gt;".")=TRUE,R1066/VLOOKUP(G1066,'Exchange Rates'!B:C,2,0),IF(R1066=".",".",""))</f>
        <v/>
      </c>
      <c r="T1066" s="1185" t="str">
        <f>IF(AD1066=1,IF(AF1066="Value is not given at all",".",IF(AF1066="Value is given by the source",S1066,IF(AF1066="Value is calculated with prices",(IF(SUMIFS(Q:Q,A:A,A1066)&gt;0,SUMIFS(Q:Q,A:A,A1066),"."))/VLOOKUP("USD",'Exchange Rates'!B:C,2,0),"Error with coding"))),"")</f>
        <v/>
      </c>
      <c r="U1066" s="1184" t="s">
        <v>365</v>
      </c>
      <c r="V1066" s="971" t="s">
        <v>2901</v>
      </c>
      <c r="W1066" s="1190" t="s">
        <v>364</v>
      </c>
      <c r="X1066" s="1190" t="s">
        <v>364</v>
      </c>
      <c r="Y1066" s="1190" t="s">
        <v>364</v>
      </c>
      <c r="Z1066" s="1184">
        <v>0</v>
      </c>
      <c r="AA1066" s="1194">
        <v>0</v>
      </c>
      <c r="AB1066" s="1201" t="s">
        <v>364</v>
      </c>
      <c r="AC1066" s="1192" t="str">
        <f>""</f>
        <v/>
      </c>
      <c r="AD1066" s="985">
        <v>0</v>
      </c>
      <c r="AE1066" s="985" t="s">
        <v>436</v>
      </c>
      <c r="AF1066" s="985" t="s">
        <v>369</v>
      </c>
      <c r="AG1066" s="985">
        <v>1</v>
      </c>
      <c r="AH1066" s="1193">
        <v>6</v>
      </c>
      <c r="AI1066" s="1193">
        <v>0</v>
      </c>
      <c r="AJ1066" s="1193">
        <f>VLOOKUP($I1066,'Price List, Weapons &amp; Items'!B:F,5,0)</f>
        <v>1</v>
      </c>
      <c r="AK1066" s="1193">
        <f t="shared" si="225"/>
        <v>0</v>
      </c>
      <c r="AL1066" s="1193">
        <f t="shared" si="226"/>
        <v>1</v>
      </c>
      <c r="AM1066" s="1193">
        <f t="shared" si="227"/>
        <v>1</v>
      </c>
      <c r="AN1066" s="1194" t="str">
        <f>VLOOKUP($I1066,'Price List, Weapons &amp; Items'!B:L,COLUMN('Price List, Weapons &amp; Items'!$J$11)-1,0)</f>
        <v>Government information</v>
      </c>
      <c r="AO1066" s="1194" t="str">
        <f>IF(I1066=".",".",VLOOKUP($I1066,'Price List, Weapons &amp; Items'!B:J,3,0))</f>
        <v>155mm howitzer ammunition</v>
      </c>
      <c r="AP1066" s="1195" t="str">
        <f t="shared" ca="1" si="221"/>
        <v/>
      </c>
      <c r="AQ1066" s="1194">
        <f>VLOOKUP($I1066,'Price List, Weapons &amp; Items'!B:L,COLUMN('Price List, Weapons &amp; Items'!$L$11)-1,0)</f>
        <v>2</v>
      </c>
      <c r="AR1066" s="1194">
        <f t="shared" si="228"/>
        <v>1</v>
      </c>
      <c r="AS1066" s="1194">
        <f t="shared" si="229"/>
        <v>1</v>
      </c>
      <c r="AT1066" s="1194">
        <f t="shared" si="230"/>
        <v>1</v>
      </c>
      <c r="AU1066" s="1194" t="str">
        <f t="shared" si="231"/>
        <v>.</v>
      </c>
      <c r="AV1066" s="1194" t="str">
        <f t="shared" si="222"/>
        <v>.</v>
      </c>
      <c r="AW1066" s="1194" t="str">
        <f t="shared" si="232"/>
        <v>.</v>
      </c>
      <c r="AX1066" s="1194">
        <f>IFERROR(VLOOKUP(B1066,'Share, Heavy Weapons to Ukraine'!B:Z,COLUMN('Share, Heavy Weapons to Ukraine'!C1076)-1,0),0)</f>
        <v>1</v>
      </c>
      <c r="AY1066" s="1194">
        <f>VLOOKUP('Bilateral Assistance, MAIN DATA'!B1066,'Country Summary (€)'!B:F,COLUMN('Country Summary (€)'!C1077)-1,FALSE)</f>
        <v>0</v>
      </c>
      <c r="AZ1066" s="1194" t="str">
        <f>IF(AND(AD1066=1,D1066="Military",H1066&lt;&gt;"Not given")=TRUE,IF(SUMIFS(P:P,A:A,A1066)&gt;0,ABS((SUMIFS(P:P,A:A,A1066)/VLOOKUP("USD",'Exchange Rates'!B:C,2,0)))/S1066,"."),".")</f>
        <v>.</v>
      </c>
      <c r="BA1066" s="1196" t="str">
        <f>IF(AND(AD1066=1,D1066="Military",H1066&lt;&gt;"Not given")=TRUE,IF(SUMIFS(P:P,A:A,A1066)&gt;0,IF((ABS((SUMIFS(P:P,A:A,A1066)/VLOOKUP("USD",'Exchange Rates'!B:C,2,0)))/S1066)&gt;1,(SUMIFS(P:P,A:A,A1066)-S1066)/S1066,(S1066-SUMIFS(P:P,A:A,A1066))/SUMIFS(P:P,A:A,A1066)),"."),".")</f>
        <v>.</v>
      </c>
    </row>
    <row r="1067" spans="1:53" ht="15.95" customHeight="1">
      <c r="A1067" s="1182" t="s">
        <v>2881</v>
      </c>
      <c r="B1067" s="1180" t="s">
        <v>2882</v>
      </c>
      <c r="C1067" s="1181">
        <v>44771</v>
      </c>
      <c r="D1067" s="1182" t="s">
        <v>389</v>
      </c>
      <c r="E1067" s="1182" t="s">
        <v>390</v>
      </c>
      <c r="F1067" s="1208" t="s">
        <v>2886</v>
      </c>
      <c r="G1067" s="1184" t="s">
        <v>2884</v>
      </c>
      <c r="H1067" s="1210">
        <v>990000000</v>
      </c>
      <c r="I1067" s="1180" t="s">
        <v>2909</v>
      </c>
      <c r="J1067" s="1186" t="str">
        <f>VLOOKUP($I1067,'Price List, Weapons &amp; Items'!B:C,2,0)</f>
        <v>Heavy weapon</v>
      </c>
      <c r="K1067" s="1186" t="str">
        <f>IF(I1067=".",I1067,VLOOKUP($I1067,'Price List, Weapons &amp; Items'!B:D,3,0))</f>
        <v>Armored Utility Vehicle (AUV)</v>
      </c>
      <c r="L1067" s="1187">
        <f>VLOOKUP(I1067,'Price List, Weapons &amp; Items'!B:E,4,0)</f>
        <v>0</v>
      </c>
      <c r="M1067" s="1188">
        <v>14</v>
      </c>
      <c r="N1067" s="1275">
        <v>14</v>
      </c>
      <c r="O1067" s="1188">
        <f>VLOOKUP($I1067,'Price List, Weapons &amp; Items'!B:G,6,0)</f>
        <v>1187362.3799999999</v>
      </c>
      <c r="P1067" s="1185">
        <f t="shared" si="223"/>
        <v>16623073.319999998</v>
      </c>
      <c r="Q1067" s="1185">
        <f t="shared" si="224"/>
        <v>16623073.319999998</v>
      </c>
      <c r="R1067" s="1185" t="str">
        <f t="shared" si="220"/>
        <v/>
      </c>
      <c r="S1067" s="1185" t="str">
        <f>IF(AND(AD1067=1,R1067&lt;&gt;".")=TRUE,R1067/VLOOKUP(G1067,'Exchange Rates'!B:C,2,0),IF(R1067=".",".",""))</f>
        <v/>
      </c>
      <c r="T1067" s="1185" t="str">
        <f>IF(AD1067=1,IF(AF1067="Value is not given at all",".",IF(AF1067="Value is given by the source",S1067,IF(AF1067="Value is calculated with prices",(IF(SUMIFS(Q:Q,A:A,A1067)&gt;0,SUMIFS(Q:Q,A:A,A1067),"."))/VLOOKUP("USD",'Exchange Rates'!B:C,2,0),"Error with coding"))),"")</f>
        <v/>
      </c>
      <c r="U1067" s="1184" t="s">
        <v>365</v>
      </c>
      <c r="V1067" s="971" t="s">
        <v>2910</v>
      </c>
      <c r="W1067" s="1190" t="s">
        <v>364</v>
      </c>
      <c r="X1067" s="1190" t="s">
        <v>364</v>
      </c>
      <c r="Y1067" s="1190" t="s">
        <v>364</v>
      </c>
      <c r="Z1067" s="1184">
        <v>0</v>
      </c>
      <c r="AA1067" s="1194">
        <v>0</v>
      </c>
      <c r="AB1067" s="1291" t="s">
        <v>2911</v>
      </c>
      <c r="AC1067" s="1192" t="str">
        <f>""</f>
        <v/>
      </c>
      <c r="AD1067" s="985">
        <v>0</v>
      </c>
      <c r="AE1067" s="985" t="s">
        <v>436</v>
      </c>
      <c r="AF1067" s="985" t="s">
        <v>436</v>
      </c>
      <c r="AG1067" s="985">
        <v>1</v>
      </c>
      <c r="AH1067" s="1193">
        <v>7</v>
      </c>
      <c r="AI1067" s="1193">
        <v>0</v>
      </c>
      <c r="AJ1067" s="1193">
        <f>VLOOKUP($I1067,'Price List, Weapons &amp; Items'!B:F,5,0)</f>
        <v>1</v>
      </c>
      <c r="AK1067" s="1193">
        <f t="shared" si="225"/>
        <v>0</v>
      </c>
      <c r="AL1067" s="1193">
        <f t="shared" si="226"/>
        <v>0</v>
      </c>
      <c r="AM1067" s="1193">
        <f t="shared" si="227"/>
        <v>0</v>
      </c>
      <c r="AN1067" s="1194" t="str">
        <f>VLOOKUP($I1067,'Price List, Weapons &amp; Items'!B:L,COLUMN('Price List, Weapons &amp; Items'!$J$11)-1,0)</f>
        <v>Contracts</v>
      </c>
      <c r="AO1067" s="1194" t="str">
        <f>IF(I1067=".",".",VLOOKUP($I1067,'Price List, Weapons &amp; Items'!B:J,3,0))</f>
        <v>Armored Utility Vehicle (AUV)</v>
      </c>
      <c r="AP1067" s="1195" t="str">
        <f t="shared" ca="1" si="221"/>
        <v/>
      </c>
      <c r="AQ1067" s="1194">
        <f>VLOOKUP($I1067,'Price List, Weapons &amp; Items'!B:L,COLUMN('Price List, Weapons &amp; Items'!$L$11)-1,0)</f>
        <v>2</v>
      </c>
      <c r="AR1067" s="1194">
        <f t="shared" si="228"/>
        <v>1</v>
      </c>
      <c r="AS1067" s="1194">
        <f t="shared" si="229"/>
        <v>1</v>
      </c>
      <c r="AT1067" s="1194">
        <f t="shared" si="230"/>
        <v>1</v>
      </c>
      <c r="AU1067" s="1194" t="str">
        <f t="shared" si="231"/>
        <v>.</v>
      </c>
      <c r="AV1067" s="1194" t="str">
        <f t="shared" si="222"/>
        <v>.</v>
      </c>
      <c r="AW1067" s="1194" t="str">
        <f t="shared" si="232"/>
        <v>.</v>
      </c>
      <c r="AX1067" s="1194">
        <f>IFERROR(VLOOKUP(B1067,'Share, Heavy Weapons to Ukraine'!B:Z,COLUMN('Share, Heavy Weapons to Ukraine'!C1077)-1,0),0)</f>
        <v>1</v>
      </c>
      <c r="AY1067" s="1194">
        <f>VLOOKUP('Bilateral Assistance, MAIN DATA'!B1067,'Country Summary (€)'!B:F,COLUMN('Country Summary (€)'!C1078)-1,FALSE)</f>
        <v>0</v>
      </c>
      <c r="AZ1067" s="1194" t="str">
        <f>IF(AND(AD1067=1,D1067="Military",H1067&lt;&gt;"Not given")=TRUE,IF(SUMIFS(P:P,A:A,A1067)&gt;0,ABS((SUMIFS(P:P,A:A,A1067)/VLOOKUP("USD",'Exchange Rates'!B:C,2,0)))/S1067,"."),".")</f>
        <v>.</v>
      </c>
      <c r="BA1067" s="1196" t="str">
        <f>IF(AND(AD1067=1,D1067="Military",H1067&lt;&gt;"Not given")=TRUE,IF(SUMIFS(P:P,A:A,A1067)&gt;0,IF((ABS((SUMIFS(P:P,A:A,A1067)/VLOOKUP("USD",'Exchange Rates'!B:C,2,0)))/S1067)&gt;1,(SUMIFS(P:P,A:A,A1067)-S1067)/S1067,(S1067-SUMIFS(P:P,A:A,A1067))/SUMIFS(P:P,A:A,A1067)),"."),".")</f>
        <v>.</v>
      </c>
    </row>
    <row r="1068" spans="1:53" ht="15.95" customHeight="1">
      <c r="A1068" s="1180" t="s">
        <v>2881</v>
      </c>
      <c r="B1068" s="1180" t="s">
        <v>2882</v>
      </c>
      <c r="C1068" s="1181">
        <v>44797</v>
      </c>
      <c r="D1068" s="1182" t="s">
        <v>389</v>
      </c>
      <c r="E1068" s="1182" t="s">
        <v>443</v>
      </c>
      <c r="F1068" s="1208" t="s">
        <v>2886</v>
      </c>
      <c r="G1068" s="1184" t="s">
        <v>2884</v>
      </c>
      <c r="H1068" s="1210">
        <v>990000000</v>
      </c>
      <c r="I1068" s="1180" t="s">
        <v>2912</v>
      </c>
      <c r="J1068" s="1186" t="str">
        <f>VLOOKUP($I1068,'Price List, Weapons &amp; Items'!B:C,2,0)</f>
        <v>Aviation and drones</v>
      </c>
      <c r="K1068" s="1186" t="str">
        <f>IF(I1068=".",I1068,VLOOKUP($I1068,'Price List, Weapons &amp; Items'!B:D,3,0))</f>
        <v>Drone</v>
      </c>
      <c r="L1068" s="1187">
        <f>VLOOKUP(I1068,'Price List, Weapons &amp; Items'!B:E,4,0)</f>
        <v>0</v>
      </c>
      <c r="M1068" s="1188" t="s">
        <v>374</v>
      </c>
      <c r="N1068" s="1188" t="s">
        <v>374</v>
      </c>
      <c r="O1068" s="1188" t="str">
        <f>VLOOKUP($I1068,'Price List, Weapons &amp; Items'!B:G,6,0)</f>
        <v>.</v>
      </c>
      <c r="P1068" s="1185" t="str">
        <f t="shared" si="223"/>
        <v>.</v>
      </c>
      <c r="Q1068" s="1185" t="str">
        <f t="shared" si="224"/>
        <v>.</v>
      </c>
      <c r="R1068" s="1185" t="str">
        <f t="shared" si="220"/>
        <v/>
      </c>
      <c r="S1068" s="1185" t="str">
        <f>IF(AND(AD1068=1,R1068&lt;&gt;".")=TRUE,R1068/VLOOKUP(G1068,'Exchange Rates'!B:C,2,0),IF(R1068=".",".",""))</f>
        <v/>
      </c>
      <c r="T1068" s="1185" t="str">
        <f>IF(AD1068=1,IF(AF1068="Value is not given at all",".",IF(AF1068="Value is given by the source",S1068,IF(AF1068="Value is calculated with prices",(IF(SUMIFS(Q:Q,A:A,A1068)&gt;0,SUMIFS(Q:Q,A:A,A1068),"."))/VLOOKUP("USD",'Exchange Rates'!B:C,2,0),"Error with coding"))),"")</f>
        <v/>
      </c>
      <c r="U1068" s="1184" t="s">
        <v>365</v>
      </c>
      <c r="V1068" s="971" t="s">
        <v>2913</v>
      </c>
      <c r="W1068" s="1190" t="s">
        <v>364</v>
      </c>
      <c r="X1068" s="1190" t="s">
        <v>364</v>
      </c>
      <c r="Y1068" s="1190" t="s">
        <v>364</v>
      </c>
      <c r="Z1068" s="1184">
        <v>0</v>
      </c>
      <c r="AA1068" s="1194">
        <v>0</v>
      </c>
      <c r="AB1068" s="1180" t="s">
        <v>364</v>
      </c>
      <c r="AC1068" s="1192" t="str">
        <f>""</f>
        <v/>
      </c>
      <c r="AD1068" s="985">
        <v>0</v>
      </c>
      <c r="AE1068" s="985" t="s">
        <v>369</v>
      </c>
      <c r="AF1068" s="985" t="s">
        <v>369</v>
      </c>
      <c r="AG1068" s="985">
        <v>1</v>
      </c>
      <c r="AH1068" s="1193">
        <v>8</v>
      </c>
      <c r="AI1068" s="1193">
        <v>0</v>
      </c>
      <c r="AJ1068" s="1193">
        <f>VLOOKUP($I1068,'Price List, Weapons &amp; Items'!B:F,5,0)</f>
        <v>0</v>
      </c>
      <c r="AK1068" s="1193">
        <f t="shared" si="225"/>
        <v>0</v>
      </c>
      <c r="AL1068" s="1193">
        <f t="shared" si="226"/>
        <v>0</v>
      </c>
      <c r="AM1068" s="1193">
        <f t="shared" si="227"/>
        <v>0</v>
      </c>
      <c r="AN1068" s="1194" t="str">
        <f>VLOOKUP($I1068,'Price List, Weapons &amp; Items'!B:L,COLUMN('Price List, Weapons &amp; Items'!$J$11)-1,0)</f>
        <v>.</v>
      </c>
      <c r="AO1068" s="1194" t="str">
        <f>IF(I1068=".",".",VLOOKUP($I1068,'Price List, Weapons &amp; Items'!B:J,3,0))</f>
        <v>Drone</v>
      </c>
      <c r="AP1068" s="1195" t="str">
        <f t="shared" ca="1" si="221"/>
        <v/>
      </c>
      <c r="AQ1068" s="1194">
        <f>VLOOKUP($I1068,'Price List, Weapons &amp; Items'!B:L,COLUMN('Price List, Weapons &amp; Items'!$L$11)-1,0)</f>
        <v>0</v>
      </c>
      <c r="AR1068" s="1194">
        <f t="shared" si="228"/>
        <v>1</v>
      </c>
      <c r="AS1068" s="1194">
        <f t="shared" si="229"/>
        <v>1</v>
      </c>
      <c r="AT1068" s="1194">
        <f t="shared" si="230"/>
        <v>1</v>
      </c>
      <c r="AU1068" s="1194" t="str">
        <f t="shared" si="231"/>
        <v>.</v>
      </c>
      <c r="AV1068" s="1194" t="str">
        <f t="shared" si="222"/>
        <v>.</v>
      </c>
      <c r="AW1068" s="1194" t="str">
        <f t="shared" si="232"/>
        <v>.</v>
      </c>
      <c r="AX1068" s="1194">
        <f>IFERROR(VLOOKUP(B1068,'Share, Heavy Weapons to Ukraine'!B:Z,COLUMN('Share, Heavy Weapons to Ukraine'!C1078)-1,0),0)</f>
        <v>1</v>
      </c>
      <c r="AY1068" s="1194">
        <f>VLOOKUP('Bilateral Assistance, MAIN DATA'!B1068,'Country Summary (€)'!B:F,COLUMN('Country Summary (€)'!C1079)-1,FALSE)</f>
        <v>0</v>
      </c>
      <c r="AZ1068" s="1194" t="str">
        <f>IF(AND(AD1068=1,D1068="Military",H1068&lt;&gt;"Not given")=TRUE,IF(SUMIFS(P:P,A:A,A1068)&gt;0,ABS((SUMIFS(P:P,A:A,A1068)/VLOOKUP("USD",'Exchange Rates'!B:C,2,0)))/S1068,"."),".")</f>
        <v>.</v>
      </c>
      <c r="BA1068" s="1196" t="str">
        <f>IF(AND(AD1068=1,D1068="Military",H1068&lt;&gt;"Not given")=TRUE,IF(SUMIFS(P:P,A:A,A1068)&gt;0,IF((ABS((SUMIFS(P:P,A:A,A1068)/VLOOKUP("USD",'Exchange Rates'!B:C,2,0)))/S1068)&gt;1,(SUMIFS(P:P,A:A,A1068)-S1068)/S1068,(S1068-SUMIFS(P:P,A:A,A1068))/SUMIFS(P:P,A:A,A1068)),"."),".")</f>
        <v>.</v>
      </c>
    </row>
    <row r="1069" spans="1:53" ht="15.95" customHeight="1">
      <c r="A1069" s="1182" t="s">
        <v>2881</v>
      </c>
      <c r="B1069" s="1180" t="s">
        <v>2882</v>
      </c>
      <c r="C1069" s="1181">
        <v>44812</v>
      </c>
      <c r="D1069" s="1182" t="s">
        <v>389</v>
      </c>
      <c r="E1069" s="1182" t="s">
        <v>390</v>
      </c>
      <c r="F1069" s="1208" t="s">
        <v>2886</v>
      </c>
      <c r="G1069" s="1184" t="s">
        <v>2884</v>
      </c>
      <c r="H1069" s="1210">
        <v>990000000</v>
      </c>
      <c r="I1069" s="1180" t="s">
        <v>2914</v>
      </c>
      <c r="J1069" s="1186" t="str">
        <f>VLOOKUP($I1069,'Price List, Weapons &amp; Items'!B:C,2,0)</f>
        <v>Ammunition for portable defence system</v>
      </c>
      <c r="K1069" s="1186" t="str">
        <f>IF(I1069=".",I1069,VLOOKUP($I1069,'Price List, Weapons &amp; Items'!B:D,3,0))</f>
        <v>MANPADS ammunition</v>
      </c>
      <c r="L1069" s="1187">
        <f>VLOOKUP(I1069,'Price List, Weapons &amp; Items'!B:E,4,0)</f>
        <v>0</v>
      </c>
      <c r="M1069" s="1188">
        <v>160</v>
      </c>
      <c r="N1069" s="1275">
        <v>160</v>
      </c>
      <c r="O1069" s="1188">
        <f>VLOOKUP($I1069,'Price List, Weapons &amp; Items'!B:G,6,0)</f>
        <v>93090</v>
      </c>
      <c r="P1069" s="1185">
        <f t="shared" si="223"/>
        <v>14894400</v>
      </c>
      <c r="Q1069" s="1185">
        <f t="shared" si="224"/>
        <v>14894400</v>
      </c>
      <c r="R1069" s="1185" t="str">
        <f t="shared" si="220"/>
        <v/>
      </c>
      <c r="S1069" s="1185" t="str">
        <f>IF(AND(AD1069=1,R1069&lt;&gt;".")=TRUE,R1069/VLOOKUP(G1069,'Exchange Rates'!B:C,2,0),IF(R1069=".",".",""))</f>
        <v/>
      </c>
      <c r="T1069" s="1185" t="str">
        <f>IF(AD1069=1,IF(AF1069="Value is not given at all",".",IF(AF1069="Value is given by the source",S1069,IF(AF1069="Value is calculated with prices",(IF(SUMIFS(Q:Q,A:A,A1069)&gt;0,SUMIFS(Q:Q,A:A,A1069),"."))/VLOOKUP("USD",'Exchange Rates'!B:C,2,0),"Error with coding"))),"")</f>
        <v/>
      </c>
      <c r="U1069" s="1184" t="s">
        <v>365</v>
      </c>
      <c r="V1069" s="971" t="s">
        <v>2915</v>
      </c>
      <c r="W1069" s="1190" t="s">
        <v>364</v>
      </c>
      <c r="X1069" s="1190" t="s">
        <v>364</v>
      </c>
      <c r="Y1069" s="1190" t="s">
        <v>364</v>
      </c>
      <c r="Z1069" s="1184">
        <v>0</v>
      </c>
      <c r="AA1069" s="1194">
        <v>0</v>
      </c>
      <c r="AB1069" s="1180" t="s">
        <v>364</v>
      </c>
      <c r="AC1069" s="1192" t="str">
        <f>""</f>
        <v/>
      </c>
      <c r="AD1069" s="985">
        <v>0</v>
      </c>
      <c r="AE1069" s="985" t="s">
        <v>436</v>
      </c>
      <c r="AF1069" s="985" t="s">
        <v>369</v>
      </c>
      <c r="AG1069" s="985">
        <v>1</v>
      </c>
      <c r="AH1069" s="1193">
        <v>9</v>
      </c>
      <c r="AI1069" s="1193">
        <v>0</v>
      </c>
      <c r="AJ1069" s="1193">
        <f>VLOOKUP($I1069,'Price List, Weapons &amp; Items'!B:F,5,0)</f>
        <v>0</v>
      </c>
      <c r="AK1069" s="1193">
        <f t="shared" si="225"/>
        <v>0</v>
      </c>
      <c r="AL1069" s="1193">
        <f t="shared" si="226"/>
        <v>0</v>
      </c>
      <c r="AM1069" s="1193">
        <f t="shared" si="227"/>
        <v>0</v>
      </c>
      <c r="AN1069" s="1194" t="str">
        <f>VLOOKUP($I1069,'Price List, Weapons &amp; Items'!B:L,COLUMN('Price List, Weapons &amp; Items'!$J$11)-1,0)</f>
        <v>Government information</v>
      </c>
      <c r="AO1069" s="1194" t="str">
        <f>IF(I1069=".",".",VLOOKUP($I1069,'Price List, Weapons &amp; Items'!B:J,3,0))</f>
        <v>MANPADS ammunition</v>
      </c>
      <c r="AP1069" s="1195" t="str">
        <f t="shared" ca="1" si="221"/>
        <v/>
      </c>
      <c r="AQ1069" s="1194">
        <f>VLOOKUP($I1069,'Price List, Weapons &amp; Items'!B:L,COLUMN('Price List, Weapons &amp; Items'!$L$11)-1,0)</f>
        <v>2</v>
      </c>
      <c r="AR1069" s="1194">
        <f t="shared" si="228"/>
        <v>1</v>
      </c>
      <c r="AS1069" s="1194">
        <f t="shared" si="229"/>
        <v>1</v>
      </c>
      <c r="AT1069" s="1194">
        <f t="shared" si="230"/>
        <v>1</v>
      </c>
      <c r="AU1069" s="1194" t="str">
        <f t="shared" si="231"/>
        <v>.</v>
      </c>
      <c r="AV1069" s="1194" t="str">
        <f t="shared" si="222"/>
        <v>.</v>
      </c>
      <c r="AW1069" s="1194" t="str">
        <f t="shared" si="232"/>
        <v>.</v>
      </c>
      <c r="AX1069" s="1194">
        <f>IFERROR(VLOOKUP(B1069,'Share, Heavy Weapons to Ukraine'!B:Z,COLUMN('Share, Heavy Weapons to Ukraine'!C1079)-1,0),0)</f>
        <v>1</v>
      </c>
      <c r="AY1069" s="1194">
        <f>VLOOKUP('Bilateral Assistance, MAIN DATA'!B1069,'Country Summary (€)'!B:F,COLUMN('Country Summary (€)'!C1080)-1,FALSE)</f>
        <v>0</v>
      </c>
      <c r="AZ1069" s="1194" t="str">
        <f>IF(AND(AD1069=1,D1069="Military",H1069&lt;&gt;"Not given")=TRUE,IF(SUMIFS(P:P,A:A,A1069)&gt;0,ABS((SUMIFS(P:P,A:A,A1069)/VLOOKUP("USD",'Exchange Rates'!B:C,2,0)))/S1069,"."),".")</f>
        <v>.</v>
      </c>
      <c r="BA1069" s="1196" t="str">
        <f>IF(AND(AD1069=1,D1069="Military",H1069&lt;&gt;"Not given")=TRUE,IF(SUMIFS(P:P,A:A,A1069)&gt;0,IF((ABS((SUMIFS(P:P,A:A,A1069)/VLOOKUP("USD",'Exchange Rates'!B:C,2,0)))/S1069)&gt;1,(SUMIFS(P:P,A:A,A1069)-S1069)/S1069,(S1069-SUMIFS(P:P,A:A,A1069))/SUMIFS(P:P,A:A,A1069)),"."),".")</f>
        <v>.</v>
      </c>
    </row>
    <row r="1070" spans="1:53" ht="15.95" customHeight="1">
      <c r="A1070" s="1180" t="s">
        <v>2881</v>
      </c>
      <c r="B1070" s="1180" t="s">
        <v>2882</v>
      </c>
      <c r="C1070" s="1181">
        <v>44812</v>
      </c>
      <c r="D1070" s="1182" t="s">
        <v>389</v>
      </c>
      <c r="E1070" s="1182" t="s">
        <v>390</v>
      </c>
      <c r="F1070" s="1208" t="s">
        <v>2886</v>
      </c>
      <c r="G1070" s="1184" t="s">
        <v>2884</v>
      </c>
      <c r="H1070" s="1210">
        <v>990000000</v>
      </c>
      <c r="I1070" s="1180" t="s">
        <v>2916</v>
      </c>
      <c r="J1070" s="1186" t="str">
        <f>VLOOKUP($I1070,'Price List, Weapons &amp; Items'!B:C,2,0)</f>
        <v>Military equipment</v>
      </c>
      <c r="K1070" s="1186" t="str">
        <f>IF(I1070=".",I1070,VLOOKUP($I1070,'Price List, Weapons &amp; Items'!B:D,3,0))</f>
        <v>Military equipment</v>
      </c>
      <c r="L1070" s="1187">
        <f>VLOOKUP(I1070,'Price List, Weapons &amp; Items'!B:E,4,0)</f>
        <v>0</v>
      </c>
      <c r="M1070" s="1188" t="s">
        <v>374</v>
      </c>
      <c r="N1070" s="1275" t="s">
        <v>374</v>
      </c>
      <c r="O1070" s="1188">
        <f>VLOOKUP($I1070,'Price List, Weapons &amp; Items'!B:G,6,0)</f>
        <v>2497000</v>
      </c>
      <c r="P1070" s="1185" t="str">
        <f t="shared" si="223"/>
        <v>.</v>
      </c>
      <c r="Q1070" s="1185" t="str">
        <f t="shared" si="224"/>
        <v>.</v>
      </c>
      <c r="R1070" s="1185" t="str">
        <f t="shared" si="220"/>
        <v/>
      </c>
      <c r="S1070" s="1185" t="str">
        <f>IF(AND(AD1070=1,R1070&lt;&gt;".")=TRUE,R1070/VLOOKUP(G1070,'Exchange Rates'!B:C,2,0),IF(R1070=".",".",""))</f>
        <v/>
      </c>
      <c r="T1070" s="1185" t="str">
        <f>IF(AD1070=1,IF(AF1070="Value is not given at all",".",IF(AF1070="Value is given by the source",S1070,IF(AF1070="Value is calculated with prices",(IF(SUMIFS(Q:Q,A:A,A1070)&gt;0,SUMIFS(Q:Q,A:A,A1070),"."))/VLOOKUP("USD",'Exchange Rates'!B:C,2,0),"Error with coding"))),"")</f>
        <v/>
      </c>
      <c r="U1070" s="1184" t="s">
        <v>365</v>
      </c>
      <c r="V1070" s="971" t="s">
        <v>2915</v>
      </c>
      <c r="W1070" s="1190" t="s">
        <v>364</v>
      </c>
      <c r="X1070" s="1190" t="s">
        <v>364</v>
      </c>
      <c r="Y1070" s="1190" t="s">
        <v>364</v>
      </c>
      <c r="Z1070" s="1184">
        <v>0</v>
      </c>
      <c r="AA1070" s="1194">
        <v>0</v>
      </c>
      <c r="AB1070" s="1180" t="s">
        <v>364</v>
      </c>
      <c r="AC1070" s="1192" t="str">
        <f>""</f>
        <v/>
      </c>
      <c r="AD1070" s="985">
        <v>0</v>
      </c>
      <c r="AE1070" s="985" t="s">
        <v>436</v>
      </c>
      <c r="AF1070" s="985" t="s">
        <v>369</v>
      </c>
      <c r="AG1070" s="985">
        <v>1</v>
      </c>
      <c r="AH1070" s="1193">
        <v>9</v>
      </c>
      <c r="AI1070" s="1193">
        <v>0</v>
      </c>
      <c r="AJ1070" s="1193">
        <f>VLOOKUP($I1070,'Price List, Weapons &amp; Items'!B:F,5,0)</f>
        <v>0</v>
      </c>
      <c r="AK1070" s="1193">
        <f t="shared" si="225"/>
        <v>0</v>
      </c>
      <c r="AL1070" s="1193">
        <f t="shared" si="226"/>
        <v>0</v>
      </c>
      <c r="AM1070" s="1193">
        <f t="shared" si="227"/>
        <v>0</v>
      </c>
      <c r="AN1070" s="1194" t="str">
        <f>VLOOKUP($I1070,'Price List, Weapons &amp; Items'!B:L,COLUMN('Price List, Weapons &amp; Items'!$J$11)-1,0)</f>
        <v>Government information</v>
      </c>
      <c r="AO1070" s="1194" t="str">
        <f>IF(I1070=".",".",VLOOKUP($I1070,'Price List, Weapons &amp; Items'!B:J,3,0))</f>
        <v>Military equipment</v>
      </c>
      <c r="AP1070" s="1195" t="str">
        <f t="shared" ca="1" si="221"/>
        <v/>
      </c>
      <c r="AQ1070" s="1194" t="str">
        <f>VLOOKUP($I1070,'Price List, Weapons &amp; Items'!B:L,COLUMN('Price List, Weapons &amp; Items'!$L$11)-1,0)</f>
        <v>no price, 0 count</v>
      </c>
      <c r="AR1070" s="1194">
        <f t="shared" si="228"/>
        <v>1</v>
      </c>
      <c r="AS1070" s="1194">
        <f t="shared" si="229"/>
        <v>1</v>
      </c>
      <c r="AT1070" s="1194">
        <f t="shared" si="230"/>
        <v>1</v>
      </c>
      <c r="AU1070" s="1194" t="str">
        <f t="shared" si="231"/>
        <v>.</v>
      </c>
      <c r="AV1070" s="1194" t="str">
        <f t="shared" si="222"/>
        <v>.</v>
      </c>
      <c r="AW1070" s="1194" t="str">
        <f t="shared" si="232"/>
        <v>.</v>
      </c>
      <c r="AX1070" s="1194">
        <f>IFERROR(VLOOKUP(B1070,'Share, Heavy Weapons to Ukraine'!B:Z,COLUMN('Share, Heavy Weapons to Ukraine'!C1080)-1,0),0)</f>
        <v>1</v>
      </c>
      <c r="AY1070" s="1194">
        <f>VLOOKUP('Bilateral Assistance, MAIN DATA'!B1070,'Country Summary (€)'!B:F,COLUMN('Country Summary (€)'!C1081)-1,FALSE)</f>
        <v>0</v>
      </c>
      <c r="AZ1070" s="1194" t="str">
        <f>IF(AND(AD1070=1,D1070="Military",H1070&lt;&gt;"Not given")=TRUE,IF(SUMIFS(P:P,A:A,A1070)&gt;0,ABS((SUMIFS(P:P,A:A,A1070)/VLOOKUP("USD",'Exchange Rates'!B:C,2,0)))/S1070,"."),".")</f>
        <v>.</v>
      </c>
      <c r="BA1070" s="1196" t="str">
        <f>IF(AND(AD1070=1,D1070="Military",H1070&lt;&gt;"Not given")=TRUE,IF(SUMIFS(P:P,A:A,A1070)&gt;0,IF((ABS((SUMIFS(P:P,A:A,A1070)/VLOOKUP("USD",'Exchange Rates'!B:C,2,0)))/S1070)&gt;1,(SUMIFS(P:P,A:A,A1070)-S1070)/S1070,(S1070-SUMIFS(P:P,A:A,A1070))/SUMIFS(P:P,A:A,A1070)),"."),".")</f>
        <v>.</v>
      </c>
    </row>
    <row r="1071" spans="1:53" ht="15.95" customHeight="1">
      <c r="A1071" s="1182" t="s">
        <v>2881</v>
      </c>
      <c r="B1071" s="1180" t="s">
        <v>2882</v>
      </c>
      <c r="C1071" s="1181">
        <v>44812</v>
      </c>
      <c r="D1071" s="1182" t="s">
        <v>389</v>
      </c>
      <c r="E1071" s="1182" t="s">
        <v>390</v>
      </c>
      <c r="F1071" s="1208" t="s">
        <v>2886</v>
      </c>
      <c r="G1071" s="1184" t="s">
        <v>2884</v>
      </c>
      <c r="H1071" s="1210">
        <v>990000000</v>
      </c>
      <c r="I1071" s="1180" t="s">
        <v>2917</v>
      </c>
      <c r="J1071" s="1186" t="str">
        <f>VLOOKUP($I1071,'Price List, Weapons &amp; Items'!B:C,2,0)</f>
        <v>Portable defence system</v>
      </c>
      <c r="K1071" s="1186" t="str">
        <f>IF(I1071=".",I1071,VLOOKUP($I1071,'Price List, Weapons &amp; Items'!B:D,3,0))</f>
        <v>MANPADS</v>
      </c>
      <c r="L1071" s="1187">
        <f>VLOOKUP(I1071,'Price List, Weapons &amp; Items'!B:E,4,0)</f>
        <v>0</v>
      </c>
      <c r="M1071" s="1188" t="s">
        <v>374</v>
      </c>
      <c r="N1071" s="1275" t="s">
        <v>374</v>
      </c>
      <c r="O1071" s="1188" t="str">
        <f>VLOOKUP($I1071,'Price List, Weapons &amp; Items'!B:G,6,0)</f>
        <v>.</v>
      </c>
      <c r="P1071" s="1185" t="str">
        <f t="shared" si="223"/>
        <v>.</v>
      </c>
      <c r="Q1071" s="1185" t="str">
        <f t="shared" si="224"/>
        <v>.</v>
      </c>
      <c r="R1071" s="1185" t="str">
        <f t="shared" si="220"/>
        <v/>
      </c>
      <c r="S1071" s="1185" t="str">
        <f>IF(AND(AD1071=1,R1071&lt;&gt;".")=TRUE,R1071/VLOOKUP(G1071,'Exchange Rates'!B:C,2,0),IF(R1071=".",".",""))</f>
        <v/>
      </c>
      <c r="T1071" s="1185" t="str">
        <f>IF(AD1071=1,IF(AF1071="Value is not given at all",".",IF(AF1071="Value is given by the source",S1071,IF(AF1071="Value is calculated with prices",(IF(SUMIFS(Q:Q,A:A,A1071)&gt;0,SUMIFS(Q:Q,A:A,A1071),"."))/VLOOKUP("USD",'Exchange Rates'!B:C,2,0),"Error with coding"))),"")</f>
        <v/>
      </c>
      <c r="U1071" s="1184" t="s">
        <v>365</v>
      </c>
      <c r="V1071" s="971" t="s">
        <v>2915</v>
      </c>
      <c r="W1071" s="1190" t="s">
        <v>364</v>
      </c>
      <c r="X1071" s="1190" t="s">
        <v>364</v>
      </c>
      <c r="Y1071" s="1190" t="s">
        <v>364</v>
      </c>
      <c r="Z1071" s="1184">
        <v>0</v>
      </c>
      <c r="AA1071" s="1194">
        <v>0</v>
      </c>
      <c r="AB1071" s="1180" t="s">
        <v>364</v>
      </c>
      <c r="AC1071" s="1192" t="str">
        <f>""</f>
        <v/>
      </c>
      <c r="AD1071" s="985">
        <v>0</v>
      </c>
      <c r="AE1071" s="985" t="s">
        <v>436</v>
      </c>
      <c r="AF1071" s="985" t="s">
        <v>369</v>
      </c>
      <c r="AG1071" s="985">
        <v>1</v>
      </c>
      <c r="AH1071" s="1193">
        <v>9</v>
      </c>
      <c r="AI1071" s="1193">
        <v>0</v>
      </c>
      <c r="AJ1071" s="1193">
        <f>VLOOKUP($I1071,'Price List, Weapons &amp; Items'!B:F,5,0)</f>
        <v>0</v>
      </c>
      <c r="AK1071" s="1193">
        <f t="shared" si="225"/>
        <v>0</v>
      </c>
      <c r="AL1071" s="1193">
        <f t="shared" si="226"/>
        <v>0</v>
      </c>
      <c r="AM1071" s="1193">
        <f t="shared" si="227"/>
        <v>0</v>
      </c>
      <c r="AN1071" s="1194" t="str">
        <f>VLOOKUP($I1071,'Price List, Weapons &amp; Items'!B:L,COLUMN('Price List, Weapons &amp; Items'!$J$11)-1,0)</f>
        <v>.</v>
      </c>
      <c r="AO1071" s="1194" t="str">
        <f>IF(I1071=".",".",VLOOKUP($I1071,'Price List, Weapons &amp; Items'!B:J,3,0))</f>
        <v>MANPADS</v>
      </c>
      <c r="AP1071" s="1195" t="str">
        <f t="shared" ca="1" si="221"/>
        <v/>
      </c>
      <c r="AQ1071" s="1194" t="str">
        <f>VLOOKUP($I1071,'Price List, Weapons &amp; Items'!B:L,COLUMN('Price List, Weapons &amp; Items'!$L$11)-1,0)</f>
        <v>no price, 0 count</v>
      </c>
      <c r="AR1071" s="1194">
        <f t="shared" si="228"/>
        <v>1</v>
      </c>
      <c r="AS1071" s="1194">
        <f t="shared" si="229"/>
        <v>1</v>
      </c>
      <c r="AT1071" s="1194">
        <f t="shared" si="230"/>
        <v>1</v>
      </c>
      <c r="AU1071" s="1194" t="str">
        <f t="shared" si="231"/>
        <v>.</v>
      </c>
      <c r="AV1071" s="1194" t="str">
        <f t="shared" si="222"/>
        <v>.</v>
      </c>
      <c r="AW1071" s="1194" t="str">
        <f t="shared" si="232"/>
        <v>.</v>
      </c>
      <c r="AX1071" s="1194">
        <f>IFERROR(VLOOKUP(B1071,'Share, Heavy Weapons to Ukraine'!B:Z,COLUMN('Share, Heavy Weapons to Ukraine'!C1081)-1,0),0)</f>
        <v>1</v>
      </c>
      <c r="AY1071" s="1194">
        <f>VLOOKUP('Bilateral Assistance, MAIN DATA'!B1071,'Country Summary (€)'!B:F,COLUMN('Country Summary (€)'!C1082)-1,FALSE)</f>
        <v>0</v>
      </c>
      <c r="AZ1071" s="1194" t="str">
        <f>IF(AND(AD1071=1,D1071="Military",H1071&lt;&gt;"Not given")=TRUE,IF(SUMIFS(P:P,A:A,A1071)&gt;0,ABS((SUMIFS(P:P,A:A,A1071)/VLOOKUP("USD",'Exchange Rates'!B:C,2,0)))/S1071,"."),".")</f>
        <v>.</v>
      </c>
      <c r="BA1071" s="1196" t="str">
        <f>IF(AND(AD1071=1,D1071="Military",H1071&lt;&gt;"Not given")=TRUE,IF(SUMIFS(P:P,A:A,A1071)&gt;0,IF((ABS((SUMIFS(P:P,A:A,A1071)/VLOOKUP("USD",'Exchange Rates'!B:C,2,0)))/S1071)&gt;1,(SUMIFS(P:P,A:A,A1071)-S1071)/S1071,(S1071-SUMIFS(P:P,A:A,A1071))/SUMIFS(P:P,A:A,A1071)),"."),".")</f>
        <v>.</v>
      </c>
    </row>
    <row r="1072" spans="1:53" ht="15.95" customHeight="1">
      <c r="A1072" s="1180" t="s">
        <v>2881</v>
      </c>
      <c r="B1072" s="1180" t="s">
        <v>2882</v>
      </c>
      <c r="C1072" s="1181">
        <v>44812</v>
      </c>
      <c r="D1072" s="1182" t="s">
        <v>389</v>
      </c>
      <c r="E1072" s="1182" t="s">
        <v>390</v>
      </c>
      <c r="F1072" s="1208" t="s">
        <v>2886</v>
      </c>
      <c r="G1072" s="1184" t="s">
        <v>2884</v>
      </c>
      <c r="H1072" s="1210">
        <v>990000000</v>
      </c>
      <c r="I1072" s="1180" t="s">
        <v>1405</v>
      </c>
      <c r="J1072" s="1186" t="str">
        <f>VLOOKUP($I1072,'Price List, Weapons &amp; Items'!B:C,2,0)</f>
        <v>Military equipment</v>
      </c>
      <c r="K1072" s="1186" t="str">
        <f>IF(I1072=".",I1072,VLOOKUP($I1072,'Price List, Weapons &amp; Items'!B:D,3,0))</f>
        <v>Military equipment</v>
      </c>
      <c r="L1072" s="1187">
        <f>VLOOKUP(I1072,'Price List, Weapons &amp; Items'!B:E,4,0)</f>
        <v>0</v>
      </c>
      <c r="M1072" s="1188" t="s">
        <v>374</v>
      </c>
      <c r="N1072" s="1275" t="s">
        <v>374</v>
      </c>
      <c r="O1072" s="1188">
        <f>VLOOKUP($I1072,'Price List, Weapons &amp; Items'!B:G,6,0)</f>
        <v>2320</v>
      </c>
      <c r="P1072" s="1185" t="str">
        <f t="shared" si="223"/>
        <v>.</v>
      </c>
      <c r="Q1072" s="1185" t="str">
        <f t="shared" si="224"/>
        <v>.</v>
      </c>
      <c r="R1072" s="1185" t="str">
        <f t="shared" si="220"/>
        <v/>
      </c>
      <c r="S1072" s="1185" t="str">
        <f>IF(AND(AD1072=1,R1072&lt;&gt;".")=TRUE,R1072/VLOOKUP(G1072,'Exchange Rates'!B:C,2,0),IF(R1072=".",".",""))</f>
        <v/>
      </c>
      <c r="T1072" s="1185" t="str">
        <f>IF(AD1072=1,IF(AF1072="Value is not given at all",".",IF(AF1072="Value is given by the source",S1072,IF(AF1072="Value is calculated with prices",(IF(SUMIFS(Q:Q,A:A,A1072)&gt;0,SUMIFS(Q:Q,A:A,A1072),"."))/VLOOKUP("USD",'Exchange Rates'!B:C,2,0),"Error with coding"))),"")</f>
        <v/>
      </c>
      <c r="U1072" s="1184" t="s">
        <v>365</v>
      </c>
      <c r="V1072" s="971" t="s">
        <v>2915</v>
      </c>
      <c r="W1072" s="1190" t="s">
        <v>364</v>
      </c>
      <c r="X1072" s="1190" t="s">
        <v>364</v>
      </c>
      <c r="Y1072" s="1190" t="s">
        <v>364</v>
      </c>
      <c r="Z1072" s="1184">
        <v>0</v>
      </c>
      <c r="AA1072" s="1194">
        <v>0</v>
      </c>
      <c r="AB1072" s="1180" t="s">
        <v>364</v>
      </c>
      <c r="AC1072" s="1192" t="str">
        <f>""</f>
        <v/>
      </c>
      <c r="AD1072" s="985">
        <v>0</v>
      </c>
      <c r="AE1072" s="985" t="s">
        <v>436</v>
      </c>
      <c r="AF1072" s="985" t="s">
        <v>369</v>
      </c>
      <c r="AG1072" s="985">
        <v>1</v>
      </c>
      <c r="AH1072" s="1193">
        <v>9</v>
      </c>
      <c r="AI1072" s="1193">
        <v>0</v>
      </c>
      <c r="AJ1072" s="1193">
        <f>VLOOKUP($I1072,'Price List, Weapons &amp; Items'!B:F,5,0)</f>
        <v>0</v>
      </c>
      <c r="AK1072" s="1193">
        <f t="shared" si="225"/>
        <v>0</v>
      </c>
      <c r="AL1072" s="1193">
        <f t="shared" si="226"/>
        <v>0</v>
      </c>
      <c r="AM1072" s="1193">
        <f t="shared" si="227"/>
        <v>0</v>
      </c>
      <c r="AN1072" s="1194" t="str">
        <f>VLOOKUP($I1072,'Price List, Weapons &amp; Items'!B:L,COLUMN('Price List, Weapons &amp; Items'!$J$11)-1,0)</f>
        <v>Media reports (incl. social media)</v>
      </c>
      <c r="AO1072" s="1194" t="str">
        <f>IF(I1072=".",".",VLOOKUP($I1072,'Price List, Weapons &amp; Items'!B:J,3,0))</f>
        <v>Military equipment</v>
      </c>
      <c r="AP1072" s="1195" t="str">
        <f t="shared" ca="1" si="221"/>
        <v/>
      </c>
      <c r="AQ1072" s="1194">
        <f>VLOOKUP($I1072,'Price List, Weapons &amp; Items'!B:L,COLUMN('Price List, Weapons &amp; Items'!$L$11)-1,0)</f>
        <v>2</v>
      </c>
      <c r="AR1072" s="1194">
        <f t="shared" si="228"/>
        <v>1</v>
      </c>
      <c r="AS1072" s="1194">
        <f t="shared" si="229"/>
        <v>1</v>
      </c>
      <c r="AT1072" s="1194">
        <f t="shared" si="230"/>
        <v>1</v>
      </c>
      <c r="AU1072" s="1194" t="str">
        <f t="shared" si="231"/>
        <v>.</v>
      </c>
      <c r="AV1072" s="1194" t="str">
        <f t="shared" si="222"/>
        <v>.</v>
      </c>
      <c r="AW1072" s="1194" t="str">
        <f t="shared" si="232"/>
        <v>.</v>
      </c>
      <c r="AX1072" s="1194">
        <f>IFERROR(VLOOKUP(B1072,'Share, Heavy Weapons to Ukraine'!B:Z,COLUMN('Share, Heavy Weapons to Ukraine'!C1082)-1,0),0)</f>
        <v>1</v>
      </c>
      <c r="AY1072" s="1194">
        <f>VLOOKUP('Bilateral Assistance, MAIN DATA'!B1072,'Country Summary (€)'!B:F,COLUMN('Country Summary (€)'!C1083)-1,FALSE)</f>
        <v>0</v>
      </c>
      <c r="AZ1072" s="1194" t="str">
        <f>IF(AND(AD1072=1,D1072="Military",H1072&lt;&gt;"Not given")=TRUE,IF(SUMIFS(P:P,A:A,A1072)&gt;0,ABS((SUMIFS(P:P,A:A,A1072)/VLOOKUP("USD",'Exchange Rates'!B:C,2,0)))/S1072,"."),".")</f>
        <v>.</v>
      </c>
      <c r="BA1072" s="1196" t="str">
        <f>IF(AND(AD1072=1,D1072="Military",H1072&lt;&gt;"Not given")=TRUE,IF(SUMIFS(P:P,A:A,A1072)&gt;0,IF((ABS((SUMIFS(P:P,A:A,A1072)/VLOOKUP("USD",'Exchange Rates'!B:C,2,0)))/S1072)&gt;1,(SUMIFS(P:P,A:A,A1072)-S1072)/S1072,(S1072-SUMIFS(P:P,A:A,A1072))/SUMIFS(P:P,A:A,A1072)),"."),".")</f>
        <v>.</v>
      </c>
    </row>
    <row r="1073" spans="1:71" ht="15.95" customHeight="1">
      <c r="A1073" s="1180" t="s">
        <v>2918</v>
      </c>
      <c r="B1073" s="1180" t="s">
        <v>2882</v>
      </c>
      <c r="C1073" s="1181" t="s">
        <v>2897</v>
      </c>
      <c r="D1073" s="1182" t="s">
        <v>389</v>
      </c>
      <c r="E1073" s="1182" t="s">
        <v>2752</v>
      </c>
      <c r="F1073" s="1183" t="s">
        <v>2919</v>
      </c>
      <c r="G1073" s="1184" t="s">
        <v>2884</v>
      </c>
      <c r="H1073" s="1185">
        <v>400000000</v>
      </c>
      <c r="I1073" s="1201" t="s">
        <v>364</v>
      </c>
      <c r="J1073" s="1186" t="str">
        <f>VLOOKUP($I1073,'Price List, Weapons &amp; Items'!B:C,2,0)</f>
        <v>.</v>
      </c>
      <c r="K1073" s="1186" t="str">
        <f>IF(I1073=".",I1073,VLOOKUP($I1073,'Price List, Weapons &amp; Items'!B:D,3,0))</f>
        <v>.</v>
      </c>
      <c r="L1073" s="1187">
        <f>VLOOKUP(I1073,'Price List, Weapons &amp; Items'!B:E,4,0)</f>
        <v>0</v>
      </c>
      <c r="M1073" s="1188" t="s">
        <v>364</v>
      </c>
      <c r="N1073" s="1188" t="s">
        <v>364</v>
      </c>
      <c r="O1073" s="1188" t="str">
        <f>VLOOKUP($I1073,'Price List, Weapons &amp; Items'!B:G,6,0)</f>
        <v>.</v>
      </c>
      <c r="P1073" s="1185" t="str">
        <f t="shared" si="223"/>
        <v>.</v>
      </c>
      <c r="Q1073" s="1185" t="str">
        <f t="shared" si="224"/>
        <v>.</v>
      </c>
      <c r="R1073" s="1185">
        <f t="shared" si="220"/>
        <v>400000000</v>
      </c>
      <c r="S1073" s="1185">
        <f>IF(AND(AD1073=1,R1073&lt;&gt;".")=TRUE,R1073/VLOOKUP(G1073,'Exchange Rates'!B:C,2,0),IF(R1073=".",".",""))</f>
        <v>34091877.610159375</v>
      </c>
      <c r="T1073" s="1185" t="str">
        <f>IF(AD1073=1,IF(AF1073="Value is not given at all",".",IF(AF1073="Value is given by the source",S1073,IF(AF1073="Value is calculated with prices",(IF(SUMIFS(Q:Q,A:A,A1073)&gt;0,SUMIFS(Q:Q,A:A,A1073),"."))/VLOOKUP("USD",'Exchange Rates'!B:C,2,0),"Error with coding"))),"")</f>
        <v>.</v>
      </c>
      <c r="U1073" s="1184" t="s">
        <v>365</v>
      </c>
      <c r="V1073" s="971" t="s">
        <v>2893</v>
      </c>
      <c r="W1073" s="971" t="s">
        <v>2888</v>
      </c>
      <c r="X1073" s="1190" t="s">
        <v>364</v>
      </c>
      <c r="Y1073" s="1190" t="s">
        <v>364</v>
      </c>
      <c r="Z1073" s="1184">
        <v>0</v>
      </c>
      <c r="AA1073" s="1194">
        <v>0</v>
      </c>
      <c r="AB1073" s="1201" t="s">
        <v>364</v>
      </c>
      <c r="AC1073" s="1192" t="str">
        <f>""</f>
        <v/>
      </c>
      <c r="AD1073" s="1193">
        <v>1</v>
      </c>
      <c r="AE1073" s="1193" t="s">
        <v>368</v>
      </c>
      <c r="AF1073" s="1193" t="s">
        <v>369</v>
      </c>
      <c r="AG1073" s="1193">
        <v>1</v>
      </c>
      <c r="AH1073" s="1193">
        <v>4</v>
      </c>
      <c r="AI1073" s="1193">
        <v>0</v>
      </c>
      <c r="AJ1073" s="1193">
        <f>VLOOKUP($I1073,'Price List, Weapons &amp; Items'!B:F,5,0)</f>
        <v>0</v>
      </c>
      <c r="AK1073" s="1193">
        <f t="shared" si="225"/>
        <v>0</v>
      </c>
      <c r="AL1073" s="1193">
        <f t="shared" si="226"/>
        <v>0</v>
      </c>
      <c r="AM1073" s="1193">
        <f t="shared" si="227"/>
        <v>0</v>
      </c>
      <c r="AN1073" s="1194" t="str">
        <f>VLOOKUP($I1073,'Price List, Weapons &amp; Items'!B:L,COLUMN('Price List, Weapons &amp; Items'!$J$11)-1,0)</f>
        <v>.</v>
      </c>
      <c r="AO1073" s="1194" t="str">
        <f>IF(I1073=".",".",VLOOKUP($I1073,'Price List, Weapons &amp; Items'!B:J,3,0))</f>
        <v>.</v>
      </c>
      <c r="AP1073" s="1195" t="str">
        <f t="shared" ca="1" si="221"/>
        <v>.</v>
      </c>
      <c r="AQ1073" s="1194">
        <f>VLOOKUP($I1073,'Price List, Weapons &amp; Items'!B:L,COLUMN('Price List, Weapons &amp; Items'!$L$11)-1,0)</f>
        <v>0</v>
      </c>
      <c r="AR1073" s="1194">
        <f t="shared" si="228"/>
        <v>1</v>
      </c>
      <c r="AS1073" s="1194">
        <f t="shared" si="229"/>
        <v>0</v>
      </c>
      <c r="AT1073" s="1194" t="str">
        <f t="shared" si="230"/>
        <v>Value is not in date format</v>
      </c>
      <c r="AU1073" s="1194" t="str">
        <f t="shared" si="231"/>
        <v>.</v>
      </c>
      <c r="AV1073" s="1194" t="str">
        <f t="shared" si="222"/>
        <v>.</v>
      </c>
      <c r="AW1073" s="1194" t="str">
        <f t="shared" si="232"/>
        <v>.</v>
      </c>
      <c r="AX1073" s="1194">
        <f>IFERROR(VLOOKUP(B1073,'Share, Heavy Weapons to Ukraine'!B:Z,COLUMN('Share, Heavy Weapons to Ukraine'!C1083)-1,0),0)</f>
        <v>1</v>
      </c>
      <c r="AY1073" s="1194">
        <f>VLOOKUP('Bilateral Assistance, MAIN DATA'!B1073,'Country Summary (€)'!B:F,COLUMN('Country Summary (€)'!C1084)-1,FALSE)</f>
        <v>0</v>
      </c>
      <c r="AZ1073" s="1194" t="str">
        <f>IF(AND(AD1073=1,D1073="Military",H1073&lt;&gt;"Not given")=TRUE,IF(SUMIFS(P:P,A:A,A1073)&gt;0,ABS((SUMIFS(P:P,A:A,A1073)/VLOOKUP("USD",'Exchange Rates'!B:C,2,0)))/S1073,"."),".")</f>
        <v>.</v>
      </c>
      <c r="BA1073" s="1196" t="str">
        <f>IF(AND(AD1073=1,D1073="Military",H1073&lt;&gt;"Not given")=TRUE,IF(SUMIFS(P:P,A:A,A1073)&gt;0,IF((ABS((SUMIFS(P:P,A:A,A1073)/VLOOKUP("USD",'Exchange Rates'!B:C,2,0)))/S1073)&gt;1,(SUMIFS(P:P,A:A,A1073)-S1073)/S1073,(S1073-SUMIFS(P:P,A:A,A1073))/SUMIFS(P:P,A:A,A1073)),"."),".")</f>
        <v>.</v>
      </c>
    </row>
    <row r="1074" spans="1:71" ht="15.95" customHeight="1">
      <c r="A1074" s="1182" t="s">
        <v>2920</v>
      </c>
      <c r="B1074" s="1182" t="s">
        <v>2882</v>
      </c>
      <c r="C1074" s="1181">
        <v>44834</v>
      </c>
      <c r="D1074" s="1182" t="s">
        <v>389</v>
      </c>
      <c r="E1074" s="1182" t="s">
        <v>481</v>
      </c>
      <c r="F1074" s="1183" t="s">
        <v>2921</v>
      </c>
      <c r="G1074" s="1184" t="s">
        <v>2884</v>
      </c>
      <c r="H1074" s="1185">
        <v>3000000000</v>
      </c>
      <c r="I1074" s="1208" t="s">
        <v>364</v>
      </c>
      <c r="J1074" s="1186" t="str">
        <f>VLOOKUP($I1074,'Price List, Weapons &amp; Items'!B:C,2,0)</f>
        <v>.</v>
      </c>
      <c r="K1074" s="1186" t="str">
        <f>IF(I1074=".",I1074,VLOOKUP($I1074,'Price List, Weapons &amp; Items'!B:D,3,0))</f>
        <v>.</v>
      </c>
      <c r="L1074" s="1187">
        <f>VLOOKUP(I1074,'Price List, Weapons &amp; Items'!B:E,4,0)</f>
        <v>0</v>
      </c>
      <c r="M1074" s="1188" t="s">
        <v>364</v>
      </c>
      <c r="N1074" s="1188" t="s">
        <v>364</v>
      </c>
      <c r="O1074" s="1188" t="str">
        <f>VLOOKUP($I1074,'Price List, Weapons &amp; Items'!B:G,6,0)</f>
        <v>.</v>
      </c>
      <c r="P1074" s="1185" t="str">
        <f t="shared" si="223"/>
        <v>.</v>
      </c>
      <c r="Q1074" s="1185" t="str">
        <f t="shared" si="224"/>
        <v>.</v>
      </c>
      <c r="R1074" s="1185">
        <f t="shared" si="220"/>
        <v>3000000000</v>
      </c>
      <c r="S1074" s="1185">
        <f>IF(AND(AD1074=1,R1074&lt;&gt;".")=TRUE,R1074/VLOOKUP(G1074,'Exchange Rates'!B:C,2,0),IF(R1074=".",".",""))</f>
        <v>255689082.07619533</v>
      </c>
      <c r="T1074" s="1185" t="str">
        <f>IF(AD1074=1,IF(AF1074="Value is not given at all",".",IF(AF1074="Value is given by the source",S1074,IF(AF1074="Value is calculated with prices",(IF(SUMIFS(Q:Q,A:A,A1074)&gt;0,SUMIFS(Q:Q,A:A,A1074),"."))/VLOOKUP("USD",'Exchange Rates'!B:C,2,0),"Error with coding"))),"")</f>
        <v>.</v>
      </c>
      <c r="U1074" s="1184" t="s">
        <v>365</v>
      </c>
      <c r="V1074" s="1017" t="s">
        <v>2922</v>
      </c>
      <c r="W1074" s="986" t="s">
        <v>364</v>
      </c>
      <c r="X1074" s="986" t="s">
        <v>364</v>
      </c>
      <c r="Y1074" s="981" t="s">
        <v>364</v>
      </c>
      <c r="Z1074" s="1184">
        <v>0</v>
      </c>
      <c r="AA1074" s="1194">
        <v>0</v>
      </c>
      <c r="AB1074" s="1201" t="s">
        <v>364</v>
      </c>
      <c r="AC1074" s="1192" t="str">
        <f>""</f>
        <v/>
      </c>
      <c r="AD1074" s="985">
        <v>1</v>
      </c>
      <c r="AE1074" s="985" t="s">
        <v>368</v>
      </c>
      <c r="AF1074" s="985" t="s">
        <v>369</v>
      </c>
      <c r="AG1074" s="985">
        <v>1</v>
      </c>
      <c r="AH1074" s="1193">
        <v>9</v>
      </c>
      <c r="AI1074" s="1193">
        <v>0</v>
      </c>
      <c r="AJ1074" s="1193">
        <f>VLOOKUP($I1074,'Price List, Weapons &amp; Items'!B:F,5,0)</f>
        <v>0</v>
      </c>
      <c r="AK1074" s="1193">
        <f t="shared" si="225"/>
        <v>0</v>
      </c>
      <c r="AL1074" s="1193">
        <f t="shared" si="226"/>
        <v>0</v>
      </c>
      <c r="AM1074" s="1193">
        <f t="shared" si="227"/>
        <v>0</v>
      </c>
      <c r="AN1074" s="1194" t="str">
        <f>VLOOKUP($I1074,'Price List, Weapons &amp; Items'!B:L,COLUMN('Price List, Weapons &amp; Items'!$J$11)-1,0)</f>
        <v>.</v>
      </c>
      <c r="AO1074" s="1194" t="str">
        <f>IF(I1074=".",".",VLOOKUP($I1074,'Price List, Weapons &amp; Items'!B:J,3,0))</f>
        <v>.</v>
      </c>
      <c r="AP1074" s="1195" t="str">
        <f t="shared" ca="1" si="221"/>
        <v>.</v>
      </c>
      <c r="AQ1074" s="1194">
        <f>VLOOKUP($I1074,'Price List, Weapons &amp; Items'!B:L,COLUMN('Price List, Weapons &amp; Items'!$L$11)-1,0)</f>
        <v>0</v>
      </c>
      <c r="AR1074" s="1194">
        <f t="shared" si="228"/>
        <v>1</v>
      </c>
      <c r="AS1074" s="1194">
        <f t="shared" si="229"/>
        <v>0</v>
      </c>
      <c r="AT1074" s="1194">
        <f t="shared" si="230"/>
        <v>1</v>
      </c>
      <c r="AU1074" s="1194" t="str">
        <f t="shared" si="231"/>
        <v>.</v>
      </c>
      <c r="AV1074" s="1194" t="str">
        <f t="shared" si="222"/>
        <v>.</v>
      </c>
      <c r="AW1074" s="1194" t="str">
        <f t="shared" si="232"/>
        <v>.</v>
      </c>
      <c r="AX1074" s="1194">
        <f>IFERROR(VLOOKUP(B1074,'Share, Heavy Weapons to Ukraine'!B:Z,COLUMN('Share, Heavy Weapons to Ukraine'!C1084)-1,0),0)</f>
        <v>1</v>
      </c>
      <c r="AY1074" s="1194">
        <f>VLOOKUP('Bilateral Assistance, MAIN DATA'!B1074,'Country Summary (€)'!B:F,COLUMN('Country Summary (€)'!C1085)-1,FALSE)</f>
        <v>0</v>
      </c>
      <c r="AZ1074" s="1194">
        <f>IF(AND(AD1074=1,D1074="Military",H1074&lt;&gt;"Not given")=TRUE,IF(SUMIFS(P:P,A:A,A1074)&gt;0,ABS((SUMIFS(P:P,A:A,A1074)/VLOOKUP("USD",'Exchange Rates'!B:C,2,0)))/S1074,"."),".")</f>
        <v>0.16623555942865467</v>
      </c>
      <c r="BA1074" s="1196">
        <f>IF(AND(AD1074=1,D1074="Military",H1074&lt;&gt;"Not given")=TRUE,IF(SUMIFS(P:P,A:A,A1074)&gt;0,IF((ABS((SUMIFS(P:P,A:A,A1074)/VLOOKUP("USD",'Exchange Rates'!B:C,2,0)))/S1074)&gt;1,(SUMIFS(P:P,A:A,A1074)-S1074)/S1074,(S1074-SUMIFS(P:P,A:A,A1074))/SUMIFS(P:P,A:A,A1074)),"."),".")</f>
        <v>4.5351123564797335</v>
      </c>
    </row>
    <row r="1075" spans="1:71" ht="15.95" customHeight="1">
      <c r="A1075" s="1182" t="s">
        <v>2920</v>
      </c>
      <c r="B1075" s="1182" t="s">
        <v>2882</v>
      </c>
      <c r="C1075" s="1181">
        <v>44836</v>
      </c>
      <c r="D1075" s="1182" t="s">
        <v>389</v>
      </c>
      <c r="E1075" s="1182" t="s">
        <v>1945</v>
      </c>
      <c r="F1075" s="1183" t="s">
        <v>2923</v>
      </c>
      <c r="G1075" s="1184" t="s">
        <v>483</v>
      </c>
      <c r="H1075" s="1185">
        <v>30666666</v>
      </c>
      <c r="I1075" s="1208" t="s">
        <v>1260</v>
      </c>
      <c r="J1075" s="1186" t="str">
        <f>VLOOKUP($I1075,'Price List, Weapons &amp; Items'!B:C,2,0)</f>
        <v>Heavy weapon</v>
      </c>
      <c r="K1075" s="1186" t="str">
        <f>IF(I1075=".",I1075,VLOOKUP($I1075,'Price List, Weapons &amp; Items'!B:D,3,0))</f>
        <v>155mm howitzer</v>
      </c>
      <c r="L1075" s="1187">
        <f>VLOOKUP(I1075,'Price List, Weapons &amp; Items'!B:E,4,0)</f>
        <v>1</v>
      </c>
      <c r="M1075" s="1188">
        <f>16/3</f>
        <v>5.333333333333333</v>
      </c>
      <c r="N1075" s="1188" t="s">
        <v>374</v>
      </c>
      <c r="O1075" s="1188">
        <f>VLOOKUP($I1075,'Price List, Weapons &amp; Items'!B:G,6,0)</f>
        <v>8661378.4511823338</v>
      </c>
      <c r="P1075" s="1185">
        <f t="shared" si="223"/>
        <v>46194018.406305775</v>
      </c>
      <c r="Q1075" s="1185" t="str">
        <f t="shared" si="224"/>
        <v>.</v>
      </c>
      <c r="R1075" s="1185" t="str">
        <f t="shared" si="220"/>
        <v/>
      </c>
      <c r="S1075" s="1185" t="str">
        <f>IF(AND(AD1075=1,R1075&lt;&gt;".")=TRUE,R1075/VLOOKUP(G1075,'Exchange Rates'!B:C,2,0),IF(R1075=".",".",""))</f>
        <v/>
      </c>
      <c r="T1075" s="1185" t="str">
        <f>IF(AD1075=1,IF(AF1075="Value is not given at all",".",IF(AF1075="Value is given by the source",S1075,IF(AF1075="Value is calculated with prices",(IF(SUMIFS(Q:Q,A:A,A1075)&gt;0,SUMIFS(Q:Q,A:A,A1075),"."))/VLOOKUP("USD",'Exchange Rates'!B:C,2,0),"Error with coding"))),"")</f>
        <v/>
      </c>
      <c r="U1075" s="1184" t="s">
        <v>365</v>
      </c>
      <c r="V1075" s="974" t="s">
        <v>1947</v>
      </c>
      <c r="W1075" s="974" t="s">
        <v>1948</v>
      </c>
      <c r="X1075" s="974" t="s">
        <v>1949</v>
      </c>
      <c r="Y1075" s="992" t="s">
        <v>1950</v>
      </c>
      <c r="Z1075" s="1184">
        <v>0</v>
      </c>
      <c r="AA1075" s="1194">
        <v>0</v>
      </c>
      <c r="AB1075" s="1201" t="s">
        <v>364</v>
      </c>
      <c r="AC1075" s="1192" t="str">
        <f>""</f>
        <v/>
      </c>
      <c r="AD1075" s="985">
        <v>0</v>
      </c>
      <c r="AE1075" s="985" t="s">
        <v>368</v>
      </c>
      <c r="AF1075" s="985" t="s">
        <v>369</v>
      </c>
      <c r="AG1075" s="985">
        <v>1</v>
      </c>
      <c r="AH1075" s="1193">
        <v>10</v>
      </c>
      <c r="AI1075" s="1193">
        <v>0</v>
      </c>
      <c r="AJ1075" s="1193">
        <f>VLOOKUP($I1075,'Price List, Weapons &amp; Items'!B:F,5,0)</f>
        <v>1</v>
      </c>
      <c r="AK1075" s="1193">
        <f t="shared" si="225"/>
        <v>0</v>
      </c>
      <c r="AL1075" s="1193">
        <f t="shared" si="226"/>
        <v>1</v>
      </c>
      <c r="AM1075" s="1193">
        <f t="shared" si="227"/>
        <v>0</v>
      </c>
      <c r="AN1075" s="1194" t="str">
        <f>VLOOKUP($I1075,'Price List, Weapons &amp; Items'!B:L,COLUMN('Price List, Weapons &amp; Items'!$J$11)-1,0)</f>
        <v>Government information</v>
      </c>
      <c r="AO1075" s="1194" t="str">
        <f>IF(I1075=".",".",VLOOKUP($I1075,'Price List, Weapons &amp; Items'!B:J,3,0))</f>
        <v>155mm howitzer</v>
      </c>
      <c r="AP1075" s="1195" t="str">
        <f t="shared" ca="1" si="221"/>
        <v/>
      </c>
      <c r="AQ1075" s="1194">
        <f>VLOOKUP($I1075,'Price List, Weapons &amp; Items'!B:L,COLUMN('Price List, Weapons &amp; Items'!$L$11)-1,0)</f>
        <v>2</v>
      </c>
      <c r="AR1075" s="1194">
        <f t="shared" si="228"/>
        <v>1</v>
      </c>
      <c r="AS1075" s="1194">
        <f t="shared" si="229"/>
        <v>1</v>
      </c>
      <c r="AT1075" s="1194">
        <f t="shared" si="230"/>
        <v>1</v>
      </c>
      <c r="AU1075" s="1194" t="str">
        <f t="shared" si="231"/>
        <v>.</v>
      </c>
      <c r="AV1075" s="1194" t="str">
        <f t="shared" si="222"/>
        <v>.</v>
      </c>
      <c r="AW1075" s="1194" t="str">
        <f t="shared" si="232"/>
        <v>.</v>
      </c>
      <c r="AX1075" s="1194">
        <f>IFERROR(VLOOKUP(B1075,'Share, Heavy Weapons to Ukraine'!B:Z,COLUMN('Share, Heavy Weapons to Ukraine'!C1085)-1,0),0)</f>
        <v>1</v>
      </c>
      <c r="AY1075" s="1194">
        <f>VLOOKUP('Bilateral Assistance, MAIN DATA'!B1075,'Country Summary (€)'!B:F,COLUMN('Country Summary (€)'!C1086)-1,FALSE)</f>
        <v>0</v>
      </c>
      <c r="AZ1075" s="1194" t="str">
        <f>IF(AND(AD1075=1,D1075="Military",H1075&lt;&gt;"Not given")=TRUE,IF(SUMIFS(P:P,A:A,A1075)&gt;0,ABS((SUMIFS(P:P,A:A,A1075)/VLOOKUP("USD",'Exchange Rates'!B:C,2,0)))/S1075,"."),".")</f>
        <v>.</v>
      </c>
      <c r="BA1075" s="1196" t="str">
        <f>IF(AND(AD1075=1,D1075="Military",H1075&lt;&gt;"Not given")=TRUE,IF(SUMIFS(P:P,A:A,A1075)&gt;0,IF((ABS((SUMIFS(P:P,A:A,A1075)/VLOOKUP("USD",'Exchange Rates'!B:C,2,0)))/S1075)&gt;1,(SUMIFS(P:P,A:A,A1075)-S1075)/S1075,(S1075-SUMIFS(P:P,A:A,A1075))/SUMIFS(P:P,A:A,A1075)),"."),".")</f>
        <v>.</v>
      </c>
    </row>
    <row r="1076" spans="1:71" ht="15.95" customHeight="1">
      <c r="A1076" s="1182" t="s">
        <v>2920</v>
      </c>
      <c r="B1076" s="1208" t="s">
        <v>2882</v>
      </c>
      <c r="C1076" s="1220">
        <v>44890</v>
      </c>
      <c r="D1076" s="1208" t="s">
        <v>389</v>
      </c>
      <c r="E1076" s="1208" t="s">
        <v>2026</v>
      </c>
      <c r="F1076" s="1208" t="s">
        <v>2924</v>
      </c>
      <c r="G1076" s="1184" t="s">
        <v>2884</v>
      </c>
      <c r="H1076" s="1210">
        <v>150000000</v>
      </c>
      <c r="I1076" s="1208" t="s">
        <v>364</v>
      </c>
      <c r="J1076" s="1186" t="str">
        <f>VLOOKUP($I1076,'Price List, Weapons &amp; Items'!B:C,2,0)</f>
        <v>.</v>
      </c>
      <c r="K1076" s="1186" t="str">
        <f>IF(I1076=".",I1076,VLOOKUP($I1076,'Price List, Weapons &amp; Items'!B:D,3,0))</f>
        <v>.</v>
      </c>
      <c r="L1076" s="1187">
        <f>VLOOKUP(I1076,'Price List, Weapons &amp; Items'!B:E,4,0)</f>
        <v>0</v>
      </c>
      <c r="M1076" s="1241" t="s">
        <v>364</v>
      </c>
      <c r="N1076" s="1211" t="s">
        <v>364</v>
      </c>
      <c r="O1076" s="1188" t="str">
        <f>VLOOKUP($I1076,'Price List, Weapons &amp; Items'!B:G,6,0)</f>
        <v>.</v>
      </c>
      <c r="P1076" s="1185" t="str">
        <f t="shared" si="223"/>
        <v>.</v>
      </c>
      <c r="Q1076" s="1185" t="str">
        <f t="shared" si="224"/>
        <v>.</v>
      </c>
      <c r="R1076" s="1185" t="str">
        <f t="shared" si="220"/>
        <v/>
      </c>
      <c r="S1076" s="1185" t="str">
        <f>IF(AND(AD1076=1,R1076&lt;&gt;".")=TRUE,R1076/VLOOKUP(G1076,'Exchange Rates'!B:C,2,0),IF(R1076=".",".",""))</f>
        <v/>
      </c>
      <c r="T1076" s="1185" t="str">
        <f>IF(AD1076=1,IF(AF1076="Value is not given at all",".",IF(AF1076="Value is given by the source",S1076,IF(AF1076="Value is calculated with prices",(IF(SUMIFS(Q:Q,A:A,A1076)&gt;0,SUMIFS(Q:Q,A:A,A1076),"."))/VLOOKUP("USD",'Exchange Rates'!B:C,2,0),"Error with coding"))),"")</f>
        <v/>
      </c>
      <c r="U1076" s="1191" t="s">
        <v>365</v>
      </c>
      <c r="V1076" s="979" t="s">
        <v>2925</v>
      </c>
      <c r="W1076" s="986" t="s">
        <v>364</v>
      </c>
      <c r="X1076" s="1208" t="s">
        <v>364</v>
      </c>
      <c r="Y1076" s="1208" t="s">
        <v>364</v>
      </c>
      <c r="Z1076" s="1191">
        <v>0</v>
      </c>
      <c r="AA1076" s="1191">
        <v>0</v>
      </c>
      <c r="AB1076" s="1208" t="s">
        <v>364</v>
      </c>
      <c r="AC1076" s="1192" t="str">
        <f>""</f>
        <v/>
      </c>
      <c r="AD1076" s="1191">
        <v>0</v>
      </c>
      <c r="AE1076" s="1191" t="s">
        <v>368</v>
      </c>
      <c r="AF1076" s="1191" t="s">
        <v>369</v>
      </c>
      <c r="AG1076" s="1191">
        <v>1</v>
      </c>
      <c r="AH1076" s="1191">
        <v>11</v>
      </c>
      <c r="AI1076" s="1191">
        <v>0</v>
      </c>
      <c r="AJ1076" s="1193">
        <f>VLOOKUP($I1076,'Price List, Weapons &amp; Items'!B:F,5,0)</f>
        <v>0</v>
      </c>
      <c r="AK1076" s="1193">
        <f t="shared" si="225"/>
        <v>0</v>
      </c>
      <c r="AL1076" s="1193">
        <f t="shared" si="226"/>
        <v>0</v>
      </c>
      <c r="AM1076" s="1193">
        <f t="shared" si="227"/>
        <v>0</v>
      </c>
      <c r="AN1076" s="1194" t="str">
        <f>VLOOKUP($I1076,'Price List, Weapons &amp; Items'!B:L,COLUMN('Price List, Weapons &amp; Items'!$J$11)-1,0)</f>
        <v>.</v>
      </c>
      <c r="AO1076" s="1194" t="str">
        <f>IF(I1076=".",".",VLOOKUP($I1076,'Price List, Weapons &amp; Items'!B:J,3,0))</f>
        <v>.</v>
      </c>
      <c r="AP1076" s="1195" t="str">
        <f t="shared" ca="1" si="221"/>
        <v/>
      </c>
      <c r="AQ1076" s="1194">
        <f>VLOOKUP($I1076,'Price List, Weapons &amp; Items'!B:L,COLUMN('Price List, Weapons &amp; Items'!$L$11)-1,0)</f>
        <v>0</v>
      </c>
      <c r="AR1076" s="1194">
        <f t="shared" si="228"/>
        <v>1</v>
      </c>
      <c r="AS1076" s="1194">
        <f t="shared" si="229"/>
        <v>0</v>
      </c>
      <c r="AT1076" s="1194">
        <f t="shared" si="230"/>
        <v>1</v>
      </c>
      <c r="AU1076" s="1194" t="str">
        <f t="shared" si="231"/>
        <v>.</v>
      </c>
      <c r="AV1076" s="1194" t="str">
        <f t="shared" si="222"/>
        <v>.</v>
      </c>
      <c r="AW1076" s="1194" t="str">
        <f t="shared" si="232"/>
        <v>.</v>
      </c>
      <c r="AX1076" s="1194">
        <f>IFERROR(VLOOKUP(B1076,'Share, Heavy Weapons to Ukraine'!B:Z,COLUMN('Share, Heavy Weapons to Ukraine'!C1086)-1,0),0)</f>
        <v>1</v>
      </c>
      <c r="AY1076" s="1194">
        <f>VLOOKUP('Bilateral Assistance, MAIN DATA'!B1076,'Country Summary (€)'!B:F,COLUMN('Country Summary (€)'!C1087)-1,FALSE)</f>
        <v>0</v>
      </c>
      <c r="AZ1076" s="1194" t="str">
        <f>IF(AND(AD1076=1,D1076="Military",H1076&lt;&gt;"Not given")=TRUE,IF(SUMIFS(P:P,A:A,A1076)&gt;0,ABS((SUMIFS(P:P,A:A,A1076)/VLOOKUP("USD",'Exchange Rates'!B:C,2,0)))/S1076,"."),".")</f>
        <v>.</v>
      </c>
      <c r="BA1076" s="1196" t="str">
        <f>IF(AND(AD1076=1,D1076="Military",H1076&lt;&gt;"Not given")=TRUE,IF(SUMIFS(P:P,A:A,A1076)&gt;0,IF((ABS((SUMIFS(P:P,A:A,A1076)/VLOOKUP("USD",'Exchange Rates'!B:C,2,0)))/S1076)&gt;1,(SUMIFS(P:P,A:A,A1076)-S1076)/S1076,(S1076-SUMIFS(P:P,A:A,A1076))/SUMIFS(P:P,A:A,A1076)),"."),".")</f>
        <v>.</v>
      </c>
    </row>
    <row r="1077" spans="1:71" ht="15.95" customHeight="1">
      <c r="A1077" s="1182" t="s">
        <v>2920</v>
      </c>
      <c r="B1077" s="1208" t="s">
        <v>2882</v>
      </c>
      <c r="C1077" s="1220">
        <v>44896</v>
      </c>
      <c r="D1077" s="1208" t="s">
        <v>389</v>
      </c>
      <c r="E1077" s="1208" t="s">
        <v>390</v>
      </c>
      <c r="F1077" s="1208" t="s">
        <v>2926</v>
      </c>
      <c r="G1077" s="1184" t="s">
        <v>2884</v>
      </c>
      <c r="H1077" s="1210">
        <v>280000000</v>
      </c>
      <c r="I1077" s="1208" t="s">
        <v>593</v>
      </c>
      <c r="J1077" s="1186" t="str">
        <f>VLOOKUP($I1077,'Price List, Weapons &amp; Items'!B:C,2,0)</f>
        <v>Portable defence system</v>
      </c>
      <c r="K1077" s="1186" t="str">
        <f>IF(I1077=".",I1077,VLOOKUP($I1077,'Price List, Weapons &amp; Items'!B:D,3,0))</f>
        <v>Light Anti-armor Weapon (LAW)</v>
      </c>
      <c r="L1077" s="1187">
        <f>VLOOKUP(I1077,'Price List, Weapons &amp; Items'!B:E,4,0)</f>
        <v>0</v>
      </c>
      <c r="M1077" s="1241" t="s">
        <v>374</v>
      </c>
      <c r="N1077" s="1211" t="s">
        <v>374</v>
      </c>
      <c r="O1077" s="1188">
        <f>VLOOKUP($I1077,'Price List, Weapons &amp; Items'!B:G,6,0)</f>
        <v>1475</v>
      </c>
      <c r="P1077" s="1185" t="str">
        <f t="shared" si="223"/>
        <v>.</v>
      </c>
      <c r="Q1077" s="1185" t="str">
        <f t="shared" si="224"/>
        <v>.</v>
      </c>
      <c r="R1077" s="1185" t="str">
        <f t="shared" si="220"/>
        <v/>
      </c>
      <c r="S1077" s="1185" t="str">
        <f>IF(AND(AD1077=1,R1077&lt;&gt;".")=TRUE,R1077/VLOOKUP(G1077,'Exchange Rates'!B:C,2,0),IF(R1077=".",".",""))</f>
        <v/>
      </c>
      <c r="T1077" s="1185" t="str">
        <f>IF(AD1077=1,IF(AF1077="Value is not given at all",".",IF(AF1077="Value is given by the source",S1077,IF(AF1077="Value is calculated with prices",(IF(SUMIFS(Q:Q,A:A,A1077)&gt;0,SUMIFS(Q:Q,A:A,A1077),"."))/VLOOKUP("USD",'Exchange Rates'!B:C,2,0),"Error with coding"))),"")</f>
        <v/>
      </c>
      <c r="U1077" s="1191" t="s">
        <v>365</v>
      </c>
      <c r="V1077" s="979" t="s">
        <v>2927</v>
      </c>
      <c r="W1077" s="986" t="s">
        <v>364</v>
      </c>
      <c r="X1077" s="1262"/>
      <c r="Y1077" s="1208" t="s">
        <v>364</v>
      </c>
      <c r="Z1077" s="1191">
        <v>0</v>
      </c>
      <c r="AA1077" s="1191">
        <v>0</v>
      </c>
      <c r="AB1077" s="1208" t="s">
        <v>364</v>
      </c>
      <c r="AC1077" s="1192" t="str">
        <f>""</f>
        <v/>
      </c>
      <c r="AD1077" s="1191">
        <v>0</v>
      </c>
      <c r="AE1077" s="1191" t="s">
        <v>368</v>
      </c>
      <c r="AF1077" s="1191" t="s">
        <v>369</v>
      </c>
      <c r="AG1077" s="1191">
        <v>1</v>
      </c>
      <c r="AH1077" s="1191">
        <v>12</v>
      </c>
      <c r="AI1077" s="1191">
        <v>0</v>
      </c>
      <c r="AJ1077" s="1193">
        <f>VLOOKUP($I1077,'Price List, Weapons &amp; Items'!B:F,5,0)</f>
        <v>0</v>
      </c>
      <c r="AK1077" s="1193">
        <f t="shared" si="225"/>
        <v>0</v>
      </c>
      <c r="AL1077" s="1193">
        <f t="shared" si="226"/>
        <v>0</v>
      </c>
      <c r="AM1077" s="1193">
        <f t="shared" si="227"/>
        <v>0</v>
      </c>
      <c r="AN1077" s="1194" t="str">
        <f>VLOOKUP($I1077,'Price List, Weapons &amp; Items'!B:L,COLUMN('Price List, Weapons &amp; Items'!$J$11)-1,0)</f>
        <v>Military media (incl. websites)</v>
      </c>
      <c r="AO1077" s="1194" t="str">
        <f>IF(I1077=".",".",VLOOKUP($I1077,'Price List, Weapons &amp; Items'!B:J,3,0))</f>
        <v>Light Anti-armor Weapon (LAW)</v>
      </c>
      <c r="AP1077" s="1195" t="str">
        <f t="shared" ca="1" si="221"/>
        <v/>
      </c>
      <c r="AQ1077" s="1194">
        <f>VLOOKUP($I1077,'Price List, Weapons &amp; Items'!B:L,COLUMN('Price List, Weapons &amp; Items'!$L$11)-1,0)</f>
        <v>2</v>
      </c>
      <c r="AR1077" s="1194">
        <f t="shared" si="228"/>
        <v>1</v>
      </c>
      <c r="AS1077" s="1194">
        <f t="shared" si="229"/>
        <v>1</v>
      </c>
      <c r="AT1077" s="1194">
        <f t="shared" si="230"/>
        <v>1</v>
      </c>
      <c r="AU1077" s="1194" t="str">
        <f t="shared" si="231"/>
        <v>.</v>
      </c>
      <c r="AV1077" s="1194" t="str">
        <f t="shared" si="222"/>
        <v>.</v>
      </c>
      <c r="AW1077" s="1194" t="str">
        <f t="shared" si="232"/>
        <v>.</v>
      </c>
      <c r="AX1077" s="1194">
        <f>IFERROR(VLOOKUP(B1077,'Share, Heavy Weapons to Ukraine'!B:Z,COLUMN('Share, Heavy Weapons to Ukraine'!C1087)-1,0),0)</f>
        <v>1</v>
      </c>
      <c r="AY1077" s="1194">
        <f>VLOOKUP('Bilateral Assistance, MAIN DATA'!B1077,'Country Summary (€)'!B:F,COLUMN('Country Summary (€)'!C1088)-1,FALSE)</f>
        <v>0</v>
      </c>
      <c r="AZ1077" s="1194" t="str">
        <f>IF(AND(AD1077=1,D1077="Military",H1077&lt;&gt;"Not given")=TRUE,IF(SUMIFS(P:P,A:A,A1077)&gt;0,ABS((SUMIFS(P:P,A:A,A1077)/VLOOKUP("USD",'Exchange Rates'!B:C,2,0)))/S1077,"."),".")</f>
        <v>.</v>
      </c>
      <c r="BA1077" s="1196" t="str">
        <f>IF(AND(AD1077=1,D1077="Military",H1077&lt;&gt;"Not given")=TRUE,IF(SUMIFS(P:P,A:A,A1077)&gt;0,IF((ABS((SUMIFS(P:P,A:A,A1077)/VLOOKUP("USD",'Exchange Rates'!B:C,2,0)))/S1077)&gt;1,(SUMIFS(P:P,A:A,A1077)-S1077)/S1077,(S1077-SUMIFS(P:P,A:A,A1077))/SUMIFS(P:P,A:A,A1077)),"."),".")</f>
        <v>.</v>
      </c>
    </row>
    <row r="1078" spans="1:71" ht="15.95" customHeight="1">
      <c r="A1078" s="1182" t="s">
        <v>2920</v>
      </c>
      <c r="B1078" s="1208" t="s">
        <v>2882</v>
      </c>
      <c r="C1078" s="1220">
        <v>44896</v>
      </c>
      <c r="D1078" s="1208" t="s">
        <v>389</v>
      </c>
      <c r="E1078" s="1208" t="s">
        <v>390</v>
      </c>
      <c r="F1078" s="1208" t="s">
        <v>2926</v>
      </c>
      <c r="G1078" s="1184" t="s">
        <v>2884</v>
      </c>
      <c r="H1078" s="1210">
        <v>280000000</v>
      </c>
      <c r="I1078" s="1208" t="s">
        <v>2928</v>
      </c>
      <c r="J1078" s="1186" t="str">
        <f>VLOOKUP($I1078,'Price List, Weapons &amp; Items'!B:C,2,0)</f>
        <v>Portable defence system</v>
      </c>
      <c r="K1078" s="1186" t="str">
        <f>IF(I1078=".",I1078,VLOOKUP($I1078,'Price List, Weapons &amp; Items'!B:D,3,0))</f>
        <v>Light Anti-armor Weapon (LAW)</v>
      </c>
      <c r="L1078" s="1187">
        <f>VLOOKUP(I1078,'Price List, Weapons &amp; Items'!B:E,4,0)</f>
        <v>0</v>
      </c>
      <c r="M1078" s="1241" t="s">
        <v>374</v>
      </c>
      <c r="N1078" s="1211" t="s">
        <v>374</v>
      </c>
      <c r="O1078" s="1188">
        <f>VLOOKUP($I1078,'Price List, Weapons &amp; Items'!B:G,6,0)</f>
        <v>17867.830000000002</v>
      </c>
      <c r="P1078" s="1185" t="str">
        <f t="shared" si="223"/>
        <v>.</v>
      </c>
      <c r="Q1078" s="1185" t="str">
        <f t="shared" si="224"/>
        <v>.</v>
      </c>
      <c r="R1078" s="1185" t="str">
        <f t="shared" si="220"/>
        <v/>
      </c>
      <c r="S1078" s="1185" t="str">
        <f>IF(AND(AD1078=1,R1078&lt;&gt;".")=TRUE,R1078/VLOOKUP(G1078,'Exchange Rates'!B:C,2,0),IF(R1078=".",".",""))</f>
        <v/>
      </c>
      <c r="T1078" s="1185" t="str">
        <f>IF(AD1078=1,IF(AF1078="Value is not given at all",".",IF(AF1078="Value is given by the source",S1078,IF(AF1078="Value is calculated with prices",(IF(SUMIFS(Q:Q,A:A,A1078)&gt;0,SUMIFS(Q:Q,A:A,A1078),"."))/VLOOKUP("USD",'Exchange Rates'!B:C,2,0),"Error with coding"))),"")</f>
        <v/>
      </c>
      <c r="U1078" s="1191" t="s">
        <v>365</v>
      </c>
      <c r="V1078" s="979" t="s">
        <v>2927</v>
      </c>
      <c r="W1078" s="986" t="s">
        <v>364</v>
      </c>
      <c r="X1078" s="986" t="s">
        <v>364</v>
      </c>
      <c r="Y1078" s="1208" t="s">
        <v>364</v>
      </c>
      <c r="Z1078" s="1191">
        <v>0</v>
      </c>
      <c r="AA1078" s="1191">
        <v>0</v>
      </c>
      <c r="AB1078" s="1208" t="s">
        <v>364</v>
      </c>
      <c r="AC1078" s="1192" t="str">
        <f>""</f>
        <v/>
      </c>
      <c r="AD1078" s="1191">
        <v>0</v>
      </c>
      <c r="AE1078" s="1191" t="s">
        <v>368</v>
      </c>
      <c r="AF1078" s="1191" t="s">
        <v>369</v>
      </c>
      <c r="AG1078" s="1191">
        <v>1</v>
      </c>
      <c r="AH1078" s="1191">
        <v>12</v>
      </c>
      <c r="AI1078" s="1191">
        <v>0</v>
      </c>
      <c r="AJ1078" s="1193">
        <f>VLOOKUP($I1078,'Price List, Weapons &amp; Items'!B:F,5,0)</f>
        <v>0</v>
      </c>
      <c r="AK1078" s="1193">
        <f t="shared" si="225"/>
        <v>0</v>
      </c>
      <c r="AL1078" s="1193">
        <f t="shared" si="226"/>
        <v>0</v>
      </c>
      <c r="AM1078" s="1193">
        <f t="shared" si="227"/>
        <v>0</v>
      </c>
      <c r="AN1078" s="1194" t="str">
        <f>VLOOKUP($I1078,'Price List, Weapons &amp; Items'!B:L,COLUMN('Price List, Weapons &amp; Items'!$J$11)-1,0)</f>
        <v>Military media (incl. websites)</v>
      </c>
      <c r="AO1078" s="1194" t="str">
        <f>IF(I1078=".",".",VLOOKUP($I1078,'Price List, Weapons &amp; Items'!B:J,3,0))</f>
        <v>Light Anti-armor Weapon (LAW)</v>
      </c>
      <c r="AP1078" s="1195" t="str">
        <f t="shared" ca="1" si="221"/>
        <v/>
      </c>
      <c r="AQ1078" s="1194" t="str">
        <f>VLOOKUP($I1078,'Price List, Weapons &amp; Items'!B:L,COLUMN('Price List, Weapons &amp; Items'!$L$11)-1,0)</f>
        <v>no price, 0 count</v>
      </c>
      <c r="AR1078" s="1194">
        <f t="shared" si="228"/>
        <v>1</v>
      </c>
      <c r="AS1078" s="1194">
        <f t="shared" si="229"/>
        <v>1</v>
      </c>
      <c r="AT1078" s="1194">
        <f t="shared" si="230"/>
        <v>1</v>
      </c>
      <c r="AU1078" s="1194" t="str">
        <f t="shared" si="231"/>
        <v>.</v>
      </c>
      <c r="AV1078" s="1194" t="str">
        <f t="shared" si="222"/>
        <v>.</v>
      </c>
      <c r="AW1078" s="1194" t="str">
        <f t="shared" si="232"/>
        <v>.</v>
      </c>
      <c r="AX1078" s="1194">
        <f>IFERROR(VLOOKUP(B1078,'Share, Heavy Weapons to Ukraine'!B:Z,COLUMN('Share, Heavy Weapons to Ukraine'!C1088)-1,0),0)</f>
        <v>1</v>
      </c>
      <c r="AY1078" s="1194">
        <f>VLOOKUP('Bilateral Assistance, MAIN DATA'!B1078,'Country Summary (€)'!B:F,COLUMN('Country Summary (€)'!C1089)-1,FALSE)</f>
        <v>0</v>
      </c>
      <c r="AZ1078" s="1194" t="str">
        <f>IF(AND(AD1078=1,D1078="Military",H1078&lt;&gt;"Not given")=TRUE,IF(SUMIFS(P:P,A:A,A1078)&gt;0,ABS((SUMIFS(P:P,A:A,A1078)/VLOOKUP("USD",'Exchange Rates'!B:C,2,0)))/S1078,"."),".")</f>
        <v>.</v>
      </c>
      <c r="BA1078" s="1196" t="str">
        <f>IF(AND(AD1078=1,D1078="Military",H1078&lt;&gt;"Not given")=TRUE,IF(SUMIFS(P:P,A:A,A1078)&gt;0,IF((ABS((SUMIFS(P:P,A:A,A1078)/VLOOKUP("USD",'Exchange Rates'!B:C,2,0)))/S1078)&gt;1,(SUMIFS(P:P,A:A,A1078)-S1078)/S1078,(S1078-SUMIFS(P:P,A:A,A1078))/SUMIFS(P:P,A:A,A1078)),"."),".")</f>
        <v>.</v>
      </c>
    </row>
    <row r="1079" spans="1:71" ht="15.95" customHeight="1">
      <c r="A1079" s="1208" t="s">
        <v>2929</v>
      </c>
      <c r="B1079" s="1208" t="s">
        <v>2882</v>
      </c>
      <c r="C1079" s="1209">
        <v>44973</v>
      </c>
      <c r="D1079" s="1208" t="s">
        <v>389</v>
      </c>
      <c r="E1079" s="1208" t="s">
        <v>390</v>
      </c>
      <c r="F1079" s="1208" t="s">
        <v>2930</v>
      </c>
      <c r="G1079" s="1184" t="s">
        <v>2884</v>
      </c>
      <c r="H1079" s="1221">
        <v>7500000000</v>
      </c>
      <c r="I1079" s="1208" t="s">
        <v>364</v>
      </c>
      <c r="J1079" s="1186" t="str">
        <f>VLOOKUP($I1079,'Price List, Weapons &amp; Items'!B:C,2,0)</f>
        <v>.</v>
      </c>
      <c r="K1079" s="1186" t="str">
        <f>IF(I1079=".",I1079,VLOOKUP($I1079,'Price List, Weapons &amp; Items'!B:D,3,0))</f>
        <v>.</v>
      </c>
      <c r="L1079" s="1187">
        <f>VLOOKUP(I1079,'Price List, Weapons &amp; Items'!B:E,4,0)</f>
        <v>0</v>
      </c>
      <c r="M1079" s="1241" t="s">
        <v>364</v>
      </c>
      <c r="N1079" s="1211" t="s">
        <v>364</v>
      </c>
      <c r="O1079" s="1188" t="str">
        <f>VLOOKUP($I1079,'Price List, Weapons &amp; Items'!B:G,6,0)</f>
        <v>.</v>
      </c>
      <c r="P1079" s="1185" t="str">
        <f t="shared" si="223"/>
        <v>.</v>
      </c>
      <c r="Q1079" s="1185" t="str">
        <f t="shared" si="224"/>
        <v>.</v>
      </c>
      <c r="R1079" s="1185">
        <f t="shared" si="220"/>
        <v>7500000000</v>
      </c>
      <c r="S1079" s="1185">
        <f>IF(AND(AD1079=1,R1079&lt;&gt;".")=TRUE,R1079/VLOOKUP(G1079,'Exchange Rates'!B:C,2,0),IF(R1079=".",".",""))</f>
        <v>639222705.19048834</v>
      </c>
      <c r="T1079" s="1185" t="str">
        <f>IF(AD1079=1,IF(AF1079="Value is not given at all",".",IF(AF1079="Value is given by the source",S1079,IF(AF1079="Value is calculated with prices",(IF(SUMIFS(Q:Q,A:A,A1079)&gt;0,SUMIFS(Q:Q,A:A,A1079),"."))/VLOOKUP("USD",'Exchange Rates'!B:C,2,0),"Error with coding"))),"")</f>
        <v>.</v>
      </c>
      <c r="U1079" s="1191" t="s">
        <v>365</v>
      </c>
      <c r="V1079" s="983" t="s">
        <v>2931</v>
      </c>
      <c r="W1079" s="983" t="s">
        <v>2932</v>
      </c>
      <c r="X1079" s="1208" t="s">
        <v>364</v>
      </c>
      <c r="Y1079" s="1208" t="s">
        <v>364</v>
      </c>
      <c r="Z1079" s="1191">
        <v>0</v>
      </c>
      <c r="AA1079" s="1191">
        <v>0</v>
      </c>
      <c r="AB1079" s="1208" t="s">
        <v>364</v>
      </c>
      <c r="AC1079" s="1192" t="str">
        <f>""</f>
        <v/>
      </c>
      <c r="AD1079" s="1191">
        <v>1</v>
      </c>
      <c r="AE1079" s="1191" t="s">
        <v>368</v>
      </c>
      <c r="AF1079" s="1191" t="s">
        <v>369</v>
      </c>
      <c r="AG1079" s="1191">
        <v>1</v>
      </c>
      <c r="AH1079" s="1191">
        <v>14</v>
      </c>
      <c r="AI1079" s="1191">
        <v>0</v>
      </c>
      <c r="AJ1079" s="1193">
        <f>VLOOKUP($I1079,'Price List, Weapons &amp; Items'!B:F,5,0)</f>
        <v>0</v>
      </c>
      <c r="AK1079" s="1193">
        <f t="shared" si="225"/>
        <v>0</v>
      </c>
      <c r="AL1079" s="1193">
        <f t="shared" si="226"/>
        <v>0</v>
      </c>
      <c r="AM1079" s="1193">
        <f t="shared" si="227"/>
        <v>0</v>
      </c>
      <c r="AN1079" s="1194" t="str">
        <f>VLOOKUP($I1079,'Price List, Weapons &amp; Items'!B:L,COLUMN('Price List, Weapons &amp; Items'!$J$11)-1,0)</f>
        <v>.</v>
      </c>
      <c r="AO1079" s="1194" t="str">
        <f>IF(I1079=".",".",VLOOKUP($I1079,'Price List, Weapons &amp; Items'!B:J,3,0))</f>
        <v>.</v>
      </c>
      <c r="AP1079" s="1195" t="str">
        <f t="shared" ca="1" si="221"/>
        <v>.</v>
      </c>
      <c r="AQ1079" s="1194">
        <f>VLOOKUP($I1079,'Price List, Weapons &amp; Items'!B:L,COLUMN('Price List, Weapons &amp; Items'!$L$11)-1,0)</f>
        <v>0</v>
      </c>
      <c r="AR1079" s="1194">
        <f t="shared" si="228"/>
        <v>1</v>
      </c>
      <c r="AS1079" s="1194">
        <f t="shared" si="229"/>
        <v>1</v>
      </c>
      <c r="AT1079" s="1194">
        <f t="shared" si="230"/>
        <v>1</v>
      </c>
      <c r="AU1079" s="1194" t="str">
        <f t="shared" si="231"/>
        <v>.</v>
      </c>
      <c r="AV1079" s="1194" t="str">
        <f t="shared" si="222"/>
        <v>.</v>
      </c>
      <c r="AW1079" s="1194" t="str">
        <f t="shared" si="232"/>
        <v>.</v>
      </c>
      <c r="AX1079" s="1194">
        <f>IFERROR(VLOOKUP(B1079,'Share, Heavy Weapons to Ukraine'!B:Z,COLUMN('Share, Heavy Weapons to Ukraine'!C1089)-1,0),0)</f>
        <v>1</v>
      </c>
      <c r="AY1079" s="1194">
        <f>VLOOKUP('Bilateral Assistance, MAIN DATA'!B1079,'Country Summary (€)'!B:F,COLUMN('Country Summary (€)'!C1090)-1,FALSE)</f>
        <v>0</v>
      </c>
      <c r="AZ1079" s="1194">
        <f>IF(AND(AD1079=1,D1079="Military",H1079&lt;&gt;"Not given")=TRUE,IF(SUMIFS(P:P,A:A,A1079)&gt;0,ABS((SUMIFS(P:P,A:A,A1079)/VLOOKUP("USD",'Exchange Rates'!B:C,2,0)))/S1079,"."),".")</f>
        <v>0.22688466698533433</v>
      </c>
      <c r="BA1079" s="1196">
        <f>IF(AND(AD1079=1,D1079="Military",H1079&lt;&gt;"Not given")=TRUE,IF(SUMIFS(P:P,A:A,A1079)&gt;0,IF((ABS((SUMIFS(P:P,A:A,A1079)/VLOOKUP("USD",'Exchange Rates'!B:C,2,0)))/S1079)&gt;1,(SUMIFS(P:P,A:A,A1079)-S1079)/S1079,(S1079-SUMIFS(P:P,A:A,A1079))/SUMIFS(P:P,A:A,A1079)),"."),".")</f>
        <v>3.0555076343671312</v>
      </c>
      <c r="BB1079" s="1208" t="s">
        <v>38</v>
      </c>
      <c r="BC1079" s="1208" t="s">
        <v>38</v>
      </c>
      <c r="BD1079" s="1208" t="s">
        <v>38</v>
      </c>
      <c r="BE1079" s="1208" t="s">
        <v>38</v>
      </c>
      <c r="BF1079" s="1208" t="s">
        <v>38</v>
      </c>
      <c r="BG1079" s="1208" t="s">
        <v>38</v>
      </c>
      <c r="BH1079" s="1208" t="s">
        <v>38</v>
      </c>
      <c r="BI1079" s="1208" t="s">
        <v>38</v>
      </c>
      <c r="BJ1079" s="1208" t="s">
        <v>38</v>
      </c>
      <c r="BK1079" s="1208" t="s">
        <v>38</v>
      </c>
      <c r="BL1079" s="1208" t="s">
        <v>38</v>
      </c>
      <c r="BM1079" s="1208" t="s">
        <v>38</v>
      </c>
      <c r="BN1079" s="1208" t="s">
        <v>38</v>
      </c>
      <c r="BO1079" s="1208" t="s">
        <v>38</v>
      </c>
      <c r="BP1079" s="1208" t="s">
        <v>38</v>
      </c>
      <c r="BQ1079" s="1208" t="s">
        <v>38</v>
      </c>
      <c r="BR1079" s="1208" t="s">
        <v>38</v>
      </c>
      <c r="BS1079" s="1208" t="s">
        <v>38</v>
      </c>
    </row>
    <row r="1080" spans="1:71" ht="15.95" customHeight="1">
      <c r="A1080" s="1208" t="s">
        <v>2929</v>
      </c>
      <c r="B1080" s="1208" t="s">
        <v>2882</v>
      </c>
      <c r="C1080" s="1209">
        <v>44971</v>
      </c>
      <c r="D1080" s="1208" t="s">
        <v>389</v>
      </c>
      <c r="E1080" s="1208" t="s">
        <v>390</v>
      </c>
      <c r="F1080" s="1208" t="s">
        <v>2933</v>
      </c>
      <c r="G1080" s="1184" t="s">
        <v>2884</v>
      </c>
      <c r="H1080" s="1221">
        <v>7500000000</v>
      </c>
      <c r="I1080" s="1208" t="s">
        <v>1811</v>
      </c>
      <c r="J1080" s="1186" t="str">
        <f>VLOOKUP($I1080,'Price List, Weapons &amp; Items'!B:C,2,0)</f>
        <v>Heavy weapon</v>
      </c>
      <c r="K1080" s="1186" t="str">
        <f>IF(I1080=".",I1080,VLOOKUP($I1080,'Price List, Weapons &amp; Items'!B:D,3,0))</f>
        <v>Vehicle Launched Bridge (VLB)</v>
      </c>
      <c r="L1080" s="1187">
        <f>VLOOKUP(I1080,'Price List, Weapons &amp; Items'!B:E,4,0)</f>
        <v>0</v>
      </c>
      <c r="M1080" s="1241">
        <v>4</v>
      </c>
      <c r="N1080" s="1211" t="s">
        <v>374</v>
      </c>
      <c r="O1080" s="1188">
        <f>VLOOKUP($I1080,'Price List, Weapons &amp; Items'!B:G,6,0)</f>
        <v>2528458.11</v>
      </c>
      <c r="P1080" s="1185">
        <f t="shared" si="223"/>
        <v>10113832.439999999</v>
      </c>
      <c r="Q1080" s="1185" t="str">
        <f t="shared" si="224"/>
        <v>.</v>
      </c>
      <c r="R1080" s="1185" t="str">
        <f t="shared" si="220"/>
        <v/>
      </c>
      <c r="S1080" s="1185" t="str">
        <f>IF(AND(AD1080=1,R1080&lt;&gt;".")=TRUE,R1080/VLOOKUP(G1080,'Exchange Rates'!B:C,2,0),IF(R1080=".",".",""))</f>
        <v/>
      </c>
      <c r="T1080" s="1185" t="str">
        <f>IF(AD1080=1,IF(AF1080="Value is not given at all",".",IF(AF1080="Value is given by the source",S1080,IF(AF1080="Value is calculated with prices",(IF(SUMIFS(Q:Q,A:A,A1080)&gt;0,SUMIFS(Q:Q,A:A,A1080),"."))/VLOOKUP("USD",'Exchange Rates'!B:C,2,0),"Error with coding"))),"")</f>
        <v/>
      </c>
      <c r="U1080" s="1191" t="s">
        <v>365</v>
      </c>
      <c r="V1080" s="983" t="s">
        <v>2934</v>
      </c>
      <c r="W1080" s="983" t="s">
        <v>2935</v>
      </c>
      <c r="X1080" s="1208" t="s">
        <v>364</v>
      </c>
      <c r="Y1080" s="1208" t="s">
        <v>364</v>
      </c>
      <c r="Z1080" s="1191">
        <v>0</v>
      </c>
      <c r="AA1080" s="1191">
        <v>0</v>
      </c>
      <c r="AB1080" s="1208" t="s">
        <v>364</v>
      </c>
      <c r="AC1080" s="1192" t="str">
        <f>""</f>
        <v/>
      </c>
      <c r="AD1080" s="1191">
        <v>0</v>
      </c>
      <c r="AE1080" s="1191" t="s">
        <v>368</v>
      </c>
      <c r="AF1080" s="1191" t="s">
        <v>436</v>
      </c>
      <c r="AG1080" s="1191">
        <v>1</v>
      </c>
      <c r="AH1080" s="1191">
        <v>14</v>
      </c>
      <c r="AI1080" s="1191">
        <v>0</v>
      </c>
      <c r="AJ1080" s="1193">
        <f>VLOOKUP($I1080,'Price List, Weapons &amp; Items'!B:F,5,0)</f>
        <v>0</v>
      </c>
      <c r="AK1080" s="1193">
        <f t="shared" si="225"/>
        <v>0</v>
      </c>
      <c r="AL1080" s="1193">
        <f t="shared" si="226"/>
        <v>0</v>
      </c>
      <c r="AM1080" s="1193">
        <f t="shared" si="227"/>
        <v>0</v>
      </c>
      <c r="AN1080" s="1194" t="str">
        <f>VLOOKUP($I1080,'Price List, Weapons &amp; Items'!B:L,COLUMN('Price List, Weapons &amp; Items'!$J$11)-1,0)</f>
        <v>Contracts</v>
      </c>
      <c r="AO1080" s="1194" t="str">
        <f>IF(I1080=".",".",VLOOKUP($I1080,'Price List, Weapons &amp; Items'!B:J,3,0))</f>
        <v>Vehicle Launched Bridge (VLB)</v>
      </c>
      <c r="AP1080" s="1195" t="str">
        <f t="shared" ca="1" si="221"/>
        <v/>
      </c>
      <c r="AQ1080" s="1194">
        <f>VLOOKUP($I1080,'Price List, Weapons &amp; Items'!B:L,COLUMN('Price List, Weapons &amp; Items'!$L$11)-1,0)</f>
        <v>2</v>
      </c>
      <c r="AR1080" s="1194">
        <f t="shared" si="228"/>
        <v>1</v>
      </c>
      <c r="AS1080" s="1194">
        <f t="shared" si="229"/>
        <v>1</v>
      </c>
      <c r="AT1080" s="1194">
        <f t="shared" si="230"/>
        <v>1</v>
      </c>
      <c r="AU1080" s="1194" t="str">
        <f t="shared" si="231"/>
        <v>.</v>
      </c>
      <c r="AV1080" s="1194" t="str">
        <f t="shared" si="222"/>
        <v>.</v>
      </c>
      <c r="AW1080" s="1194" t="str">
        <f t="shared" si="232"/>
        <v>.</v>
      </c>
      <c r="AX1080" s="1194">
        <f>IFERROR(VLOOKUP(B1080,'Share, Heavy Weapons to Ukraine'!B:Z,COLUMN('Share, Heavy Weapons to Ukraine'!C1090)-1,0),0)</f>
        <v>1</v>
      </c>
      <c r="AY1080" s="1194">
        <f>VLOOKUP('Bilateral Assistance, MAIN DATA'!B1080,'Country Summary (€)'!B:F,COLUMN('Country Summary (€)'!C1091)-1,FALSE)</f>
        <v>0</v>
      </c>
      <c r="AZ1080" s="1194" t="str">
        <f>IF(AND(AD1080=1,D1080="Military",H1080&lt;&gt;"Not given")=TRUE,IF(SUMIFS(P:P,A:A,A1080)&gt;0,ABS((SUMIFS(P:P,A:A,A1080)/VLOOKUP("USD",'Exchange Rates'!B:C,2,0)))/S1080,"."),".")</f>
        <v>.</v>
      </c>
      <c r="BA1080" s="1196" t="str">
        <f>IF(AND(AD1080=1,D1080="Military",H1080&lt;&gt;"Not given")=TRUE,IF(SUMIFS(P:P,A:A,A1080)&gt;0,IF((ABS((SUMIFS(P:P,A:A,A1080)/VLOOKUP("USD",'Exchange Rates'!B:C,2,0)))/S1080)&gt;1,(SUMIFS(P:P,A:A,A1080)-S1080)/S1080,(S1080-SUMIFS(P:P,A:A,A1080))/SUMIFS(P:P,A:A,A1080)),"."),".")</f>
        <v>.</v>
      </c>
      <c r="BB1080" s="1208" t="s">
        <v>38</v>
      </c>
      <c r="BC1080" s="1208" t="s">
        <v>38</v>
      </c>
      <c r="BD1080" s="1208" t="s">
        <v>38</v>
      </c>
      <c r="BE1080" s="1208" t="s">
        <v>38</v>
      </c>
      <c r="BF1080" s="1208" t="s">
        <v>38</v>
      </c>
      <c r="BG1080" s="1208" t="s">
        <v>38</v>
      </c>
      <c r="BH1080" s="1208" t="s">
        <v>38</v>
      </c>
      <c r="BI1080" s="1208" t="s">
        <v>38</v>
      </c>
      <c r="BJ1080" s="1208" t="s">
        <v>38</v>
      </c>
      <c r="BK1080" s="1208" t="s">
        <v>38</v>
      </c>
      <c r="BL1080" s="1208" t="s">
        <v>38</v>
      </c>
      <c r="BM1080" s="1208" t="s">
        <v>38</v>
      </c>
      <c r="BN1080" s="1208" t="s">
        <v>38</v>
      </c>
      <c r="BO1080" s="1208" t="s">
        <v>38</v>
      </c>
      <c r="BP1080" s="1208" t="s">
        <v>38</v>
      </c>
      <c r="BQ1080" s="1208" t="s">
        <v>38</v>
      </c>
      <c r="BR1080" s="1208" t="s">
        <v>38</v>
      </c>
      <c r="BS1080" s="1208" t="s">
        <v>38</v>
      </c>
    </row>
    <row r="1081" spans="1:71" ht="15.95" customHeight="1">
      <c r="A1081" s="1208" t="s">
        <v>2929</v>
      </c>
      <c r="B1081" s="1208" t="s">
        <v>2882</v>
      </c>
      <c r="C1081" s="1209">
        <v>44971</v>
      </c>
      <c r="D1081" s="1208" t="s">
        <v>389</v>
      </c>
      <c r="E1081" s="1208" t="s">
        <v>390</v>
      </c>
      <c r="F1081" s="1208" t="s">
        <v>2933</v>
      </c>
      <c r="G1081" s="1184" t="s">
        <v>2884</v>
      </c>
      <c r="H1081" s="1221">
        <v>7500000000</v>
      </c>
      <c r="I1081" s="1208" t="s">
        <v>874</v>
      </c>
      <c r="J1081" s="1186" t="str">
        <f>VLOOKUP($I1081,'Price List, Weapons &amp; Items'!B:C,2,0)</f>
        <v>Heavy weapon</v>
      </c>
      <c r="K1081" s="1186" t="str">
        <f>IF(I1081=".",I1081,VLOOKUP($I1081,'Price List, Weapons &amp; Items'!B:D,3,0))</f>
        <v>Main Battle Tank (MBT)</v>
      </c>
      <c r="L1081" s="1187">
        <f>VLOOKUP(I1081,'Price List, Weapons &amp; Items'!B:E,4,0)</f>
        <v>0</v>
      </c>
      <c r="M1081" s="1241">
        <v>8</v>
      </c>
      <c r="N1081" s="1211" t="s">
        <v>374</v>
      </c>
      <c r="O1081" s="1188">
        <f>VLOOKUP($I1081,'Price List, Weapons &amp; Items'!B:G,6,0)</f>
        <v>2138073.4315492632</v>
      </c>
      <c r="P1081" s="1185">
        <f t="shared" si="223"/>
        <v>17104587.452394105</v>
      </c>
      <c r="Q1081" s="1185" t="str">
        <f t="shared" si="224"/>
        <v>.</v>
      </c>
      <c r="R1081" s="1185" t="str">
        <f t="shared" si="220"/>
        <v/>
      </c>
      <c r="S1081" s="1185" t="str">
        <f>IF(AND(AD1081=1,R1081&lt;&gt;".")=TRUE,R1081/VLOOKUP(G1081,'Exchange Rates'!B:C,2,0),IF(R1081=".",".",""))</f>
        <v/>
      </c>
      <c r="T1081" s="1185" t="str">
        <f>IF(AD1081=1,IF(AF1081="Value is not given at all",".",IF(AF1081="Value is given by the source",S1081,IF(AF1081="Value is calculated with prices",(IF(SUMIFS(Q:Q,A:A,A1081)&gt;0,SUMIFS(Q:Q,A:A,A1081),"."))/VLOOKUP("USD",'Exchange Rates'!B:C,2,0),"Error with coding"))),"")</f>
        <v/>
      </c>
      <c r="U1081" s="1191" t="s">
        <v>365</v>
      </c>
      <c r="V1081" s="983" t="s">
        <v>2934</v>
      </c>
      <c r="W1081" s="983" t="s">
        <v>2935</v>
      </c>
      <c r="X1081" s="1208" t="s">
        <v>364</v>
      </c>
      <c r="Y1081" s="1208" t="s">
        <v>364</v>
      </c>
      <c r="Z1081" s="1191">
        <v>0</v>
      </c>
      <c r="AA1081" s="1191">
        <v>0</v>
      </c>
      <c r="AB1081" s="1208" t="s">
        <v>364</v>
      </c>
      <c r="AC1081" s="1192" t="str">
        <f>""</f>
        <v/>
      </c>
      <c r="AD1081" s="1191">
        <v>0</v>
      </c>
      <c r="AE1081" s="1191" t="s">
        <v>368</v>
      </c>
      <c r="AF1081" s="1191" t="s">
        <v>436</v>
      </c>
      <c r="AG1081" s="1191">
        <v>1</v>
      </c>
      <c r="AH1081" s="1191">
        <v>14</v>
      </c>
      <c r="AI1081" s="1191">
        <v>0</v>
      </c>
      <c r="AJ1081" s="1193">
        <f>VLOOKUP($I1081,'Price List, Weapons &amp; Items'!B:F,5,0)</f>
        <v>1</v>
      </c>
      <c r="AK1081" s="1193">
        <f t="shared" si="225"/>
        <v>0</v>
      </c>
      <c r="AL1081" s="1193">
        <f t="shared" si="226"/>
        <v>1</v>
      </c>
      <c r="AM1081" s="1193">
        <f t="shared" si="227"/>
        <v>0</v>
      </c>
      <c r="AN1081" s="1194" t="str">
        <f>VLOOKUP($I1081,'Price List, Weapons &amp; Items'!B:L,COLUMN('Price List, Weapons &amp; Items'!$J$11)-1,0)</f>
        <v>Contracts</v>
      </c>
      <c r="AO1081" s="1194" t="str">
        <f>IF(I1081=".",".",VLOOKUP($I1081,'Price List, Weapons &amp; Items'!B:J,3,0))</f>
        <v>Main Battle Tank (MBT)</v>
      </c>
      <c r="AP1081" s="1195" t="str">
        <f t="shared" ca="1" si="221"/>
        <v/>
      </c>
      <c r="AQ1081" s="1194">
        <f>VLOOKUP($I1081,'Price List, Weapons &amp; Items'!B:L,COLUMN('Price List, Weapons &amp; Items'!$L$11)-1,0)</f>
        <v>2</v>
      </c>
      <c r="AR1081" s="1194">
        <f t="shared" si="228"/>
        <v>1</v>
      </c>
      <c r="AS1081" s="1194">
        <f t="shared" si="229"/>
        <v>1</v>
      </c>
      <c r="AT1081" s="1194">
        <f t="shared" si="230"/>
        <v>1</v>
      </c>
      <c r="AU1081" s="1194" t="str">
        <f t="shared" si="231"/>
        <v>.</v>
      </c>
      <c r="AV1081" s="1194" t="str">
        <f t="shared" si="222"/>
        <v>.</v>
      </c>
      <c r="AW1081" s="1194" t="str">
        <f t="shared" si="232"/>
        <v>.</v>
      </c>
      <c r="AX1081" s="1194">
        <f>IFERROR(VLOOKUP(B1081,'Share, Heavy Weapons to Ukraine'!B:Z,COLUMN('Share, Heavy Weapons to Ukraine'!C1091)-1,0),0)</f>
        <v>1</v>
      </c>
      <c r="AY1081" s="1194">
        <f>VLOOKUP('Bilateral Assistance, MAIN DATA'!B1081,'Country Summary (€)'!B:F,COLUMN('Country Summary (€)'!C1092)-1,FALSE)</f>
        <v>0</v>
      </c>
      <c r="AZ1081" s="1194" t="str">
        <f>IF(AND(AD1081=1,D1081="Military",H1081&lt;&gt;"Not given")=TRUE,IF(SUMIFS(P:P,A:A,A1081)&gt;0,ABS((SUMIFS(P:P,A:A,A1081)/VLOOKUP("USD",'Exchange Rates'!B:C,2,0)))/S1081,"."),".")</f>
        <v>.</v>
      </c>
      <c r="BA1081" s="1196" t="str">
        <f>IF(AND(AD1081=1,D1081="Military",H1081&lt;&gt;"Not given")=TRUE,IF(SUMIFS(P:P,A:A,A1081)&gt;0,IF((ABS((SUMIFS(P:P,A:A,A1081)/VLOOKUP("USD",'Exchange Rates'!B:C,2,0)))/S1081)&gt;1,(SUMIFS(P:P,A:A,A1081)-S1081)/S1081,(S1081-SUMIFS(P:P,A:A,A1081))/SUMIFS(P:P,A:A,A1081)),"."),".")</f>
        <v>.</v>
      </c>
      <c r="BB1081" s="1208" t="s">
        <v>38</v>
      </c>
      <c r="BC1081" s="1208" t="s">
        <v>38</v>
      </c>
      <c r="BD1081" s="1208" t="s">
        <v>38</v>
      </c>
      <c r="BE1081" s="1208" t="s">
        <v>38</v>
      </c>
      <c r="BF1081" s="1208" t="s">
        <v>38</v>
      </c>
      <c r="BG1081" s="1208" t="s">
        <v>38</v>
      </c>
      <c r="BH1081" s="1208" t="s">
        <v>38</v>
      </c>
      <c r="BI1081" s="1208" t="s">
        <v>38</v>
      </c>
      <c r="BJ1081" s="1208" t="s">
        <v>38</v>
      </c>
      <c r="BK1081" s="1208" t="s">
        <v>38</v>
      </c>
      <c r="BL1081" s="1208" t="s">
        <v>38</v>
      </c>
      <c r="BM1081" s="1208" t="s">
        <v>38</v>
      </c>
      <c r="BN1081" s="1208" t="s">
        <v>38</v>
      </c>
      <c r="BO1081" s="1208" t="s">
        <v>38</v>
      </c>
      <c r="BP1081" s="1208" t="s">
        <v>38</v>
      </c>
      <c r="BQ1081" s="1208" t="s">
        <v>38</v>
      </c>
      <c r="BR1081" s="1208" t="s">
        <v>38</v>
      </c>
      <c r="BS1081" s="1208" t="s">
        <v>38</v>
      </c>
    </row>
    <row r="1082" spans="1:71" ht="15.95" customHeight="1">
      <c r="A1082" s="1208" t="s">
        <v>2929</v>
      </c>
      <c r="B1082" s="1208" t="s">
        <v>2882</v>
      </c>
      <c r="C1082" s="1209">
        <v>44995</v>
      </c>
      <c r="D1082" s="1208" t="s">
        <v>389</v>
      </c>
      <c r="E1082" s="1208" t="s">
        <v>390</v>
      </c>
      <c r="F1082" s="1208" t="s">
        <v>2936</v>
      </c>
      <c r="G1082" s="1184" t="s">
        <v>2884</v>
      </c>
      <c r="H1082" s="1221">
        <v>7500000000</v>
      </c>
      <c r="I1082" s="1266" t="s">
        <v>862</v>
      </c>
      <c r="J1082" s="1186" t="str">
        <f>VLOOKUP($I1082,'Price List, Weapons &amp; Items'!B:C,2,0)</f>
        <v>Heavy weapon</v>
      </c>
      <c r="K1082" s="1186" t="str">
        <f>IF(I1082=".",I1082,VLOOKUP($I1082,'Price List, Weapons &amp; Items'!B:D,3,0))</f>
        <v>Anti-aircraft surface-to-air missile (SAM) system (short-range)</v>
      </c>
      <c r="L1082" s="1187">
        <f>VLOOKUP(I1082,'Price List, Weapons &amp; Items'!B:E,4,0)</f>
        <v>0</v>
      </c>
      <c r="M1082" s="1241">
        <v>2</v>
      </c>
      <c r="N1082" s="1211" t="s">
        <v>374</v>
      </c>
      <c r="O1082" s="1188">
        <f>VLOOKUP($I1082,'Price List, Weapons &amp; Items'!B:G,6,0)</f>
        <v>50000000</v>
      </c>
      <c r="P1082" s="1185">
        <f t="shared" si="223"/>
        <v>100000000</v>
      </c>
      <c r="Q1082" s="1185" t="str">
        <f t="shared" si="224"/>
        <v>.</v>
      </c>
      <c r="R1082" s="1185" t="str">
        <f t="shared" si="220"/>
        <v/>
      </c>
      <c r="S1082" s="1185" t="str">
        <f>IF(AND(AD1082=1,R1082&lt;&gt;".")=TRUE,R1082/VLOOKUP(G1082,'Exchange Rates'!B:C,2,0),IF(R1082=".",".",""))</f>
        <v/>
      </c>
      <c r="T1082" s="1185" t="str">
        <f>IF(AD1082=1,IF(AF1082="Value is not given at all",".",IF(AF1082="Value is given by the source",S1082,IF(AF1082="Value is calculated with prices",(IF(SUMIFS(Q:Q,A:A,A1082)&gt;0,SUMIFS(Q:Q,A:A,A1082),"."))/VLOOKUP("USD",'Exchange Rates'!B:C,2,0),"Error with coding"))),"")</f>
        <v/>
      </c>
      <c r="U1082" s="1191" t="s">
        <v>365</v>
      </c>
      <c r="V1082" s="983" t="s">
        <v>2937</v>
      </c>
      <c r="W1082" s="966" t="s">
        <v>2931</v>
      </c>
      <c r="X1082" s="1208" t="s">
        <v>364</v>
      </c>
      <c r="Y1082" s="1208" t="s">
        <v>364</v>
      </c>
      <c r="Z1082" s="1191">
        <v>0</v>
      </c>
      <c r="AA1082" s="1191">
        <v>1</v>
      </c>
      <c r="AB1082" s="1208" t="s">
        <v>364</v>
      </c>
      <c r="AC1082" s="1192" t="str">
        <f>""</f>
        <v/>
      </c>
      <c r="AD1082" s="1191">
        <v>0</v>
      </c>
      <c r="AE1082" s="1191" t="s">
        <v>368</v>
      </c>
      <c r="AF1082" s="1191" t="s">
        <v>436</v>
      </c>
      <c r="AG1082" s="1191">
        <v>1</v>
      </c>
      <c r="AH1082" s="1191">
        <v>15</v>
      </c>
      <c r="AI1082" s="1191">
        <v>0</v>
      </c>
      <c r="AJ1082" s="1193">
        <f>VLOOKUP($I1082,'Price List, Weapons &amp; Items'!B:F,5,0)</f>
        <v>0</v>
      </c>
      <c r="AK1082" s="1193">
        <f t="shared" si="225"/>
        <v>0</v>
      </c>
      <c r="AL1082" s="1193">
        <f t="shared" si="226"/>
        <v>0</v>
      </c>
      <c r="AM1082" s="1193">
        <f t="shared" si="227"/>
        <v>0</v>
      </c>
      <c r="AN1082" s="1194" t="str">
        <f>VLOOKUP($I1082,'Price List, Weapons &amp; Items'!B:L,COLUMN('Price List, Weapons &amp; Items'!$J$11)-1,0)</f>
        <v>Military media (incl. websites)</v>
      </c>
      <c r="AO1082" s="1194" t="str">
        <f>IF(I1082=".",".",VLOOKUP($I1082,'Price List, Weapons &amp; Items'!B:J,3,0))</f>
        <v>Anti-aircraft surface-to-air missile (SAM) system (short-range)</v>
      </c>
      <c r="AP1082" s="1195" t="str">
        <f t="shared" ca="1" si="221"/>
        <v/>
      </c>
      <c r="AQ1082" s="1194">
        <f>VLOOKUP($I1082,'Price List, Weapons &amp; Items'!B:L,COLUMN('Price List, Weapons &amp; Items'!$L$11)-1,0)</f>
        <v>2</v>
      </c>
      <c r="AR1082" s="1194">
        <f t="shared" si="228"/>
        <v>1</v>
      </c>
      <c r="AS1082" s="1194">
        <f t="shared" si="229"/>
        <v>1</v>
      </c>
      <c r="AT1082" s="1194">
        <f t="shared" si="230"/>
        <v>1</v>
      </c>
      <c r="AU1082" s="1194" t="str">
        <f t="shared" si="231"/>
        <v>.</v>
      </c>
      <c r="AV1082" s="1194" t="str">
        <f t="shared" si="222"/>
        <v>.</v>
      </c>
      <c r="AW1082" s="1194" t="str">
        <f t="shared" si="232"/>
        <v>.</v>
      </c>
      <c r="AX1082" s="1194">
        <f>IFERROR(VLOOKUP(B1082,'Share, Heavy Weapons to Ukraine'!B:Z,COLUMN('Share, Heavy Weapons to Ukraine'!C1092)-1,0),0)</f>
        <v>1</v>
      </c>
      <c r="AY1082" s="1194">
        <f>VLOOKUP('Bilateral Assistance, MAIN DATA'!B1082,'Country Summary (€)'!B:F,COLUMN('Country Summary (€)'!C1093)-1,FALSE)</f>
        <v>0</v>
      </c>
      <c r="AZ1082" s="1194" t="str">
        <f>IF(AND(AD1082=1,D1082="Military",H1082&lt;&gt;"Not given")=TRUE,IF(SUMIFS(P:P,A:A,A1082)&gt;0,ABS((SUMIFS(P:P,A:A,A1082)/VLOOKUP("USD",'Exchange Rates'!B:C,2,0)))/S1082,"."),".")</f>
        <v>.</v>
      </c>
      <c r="BA1082" s="1196" t="str">
        <f>IF(AND(AD1082=1,D1082="Military",H1082&lt;&gt;"Not given")=TRUE,IF(SUMIFS(P:P,A:A,A1082)&gt;0,IF((ABS((SUMIFS(P:P,A:A,A1082)/VLOOKUP("USD",'Exchange Rates'!B:C,2,0)))/S1082)&gt;1,(SUMIFS(P:P,A:A,A1082)-S1082)/S1082,(S1082-SUMIFS(P:P,A:A,A1082))/SUMIFS(P:P,A:A,A1082)),"."),".")</f>
        <v>.</v>
      </c>
      <c r="BB1082" s="1208"/>
      <c r="BC1082" s="1208"/>
      <c r="BD1082" s="1208"/>
      <c r="BE1082" s="1208"/>
      <c r="BF1082" s="1208"/>
      <c r="BG1082" s="1208"/>
      <c r="BH1082" s="1208"/>
      <c r="BI1082" s="1208"/>
      <c r="BJ1082" s="1208"/>
      <c r="BK1082" s="1208"/>
      <c r="BL1082" s="1208"/>
      <c r="BM1082" s="1208"/>
      <c r="BN1082" s="1208"/>
      <c r="BO1082" s="1208"/>
      <c r="BP1082" s="1208"/>
      <c r="BQ1082" s="1208"/>
      <c r="BR1082" s="1208"/>
      <c r="BS1082" s="1208"/>
    </row>
    <row r="1083" spans="1:71" ht="15.95" customHeight="1">
      <c r="A1083" s="1208" t="s">
        <v>2929</v>
      </c>
      <c r="B1083" s="1208" t="s">
        <v>2882</v>
      </c>
      <c r="C1083" s="1209">
        <v>45019</v>
      </c>
      <c r="D1083" s="1208" t="s">
        <v>389</v>
      </c>
      <c r="E1083" s="1208" t="s">
        <v>390</v>
      </c>
      <c r="F1083" s="1208" t="s">
        <v>2938</v>
      </c>
      <c r="G1083" s="1184" t="s">
        <v>2884</v>
      </c>
      <c r="H1083" s="1221">
        <v>7500000000</v>
      </c>
      <c r="I1083" s="1208" t="s">
        <v>856</v>
      </c>
      <c r="J1083" s="1186" t="str">
        <f>VLOOKUP($I1083,'Price List, Weapons &amp; Items'!B:C,2,0)</f>
        <v>Ammunition for heavy weapon</v>
      </c>
      <c r="K1083" s="1186" t="str">
        <f>IF(I1083=".",I1083,VLOOKUP($I1083,'Price List, Weapons &amp; Items'!B:D,3,0))</f>
        <v>155mm howitzer ammunition</v>
      </c>
      <c r="L1083" s="1187">
        <f>VLOOKUP(I1083,'Price List, Weapons &amp; Items'!B:E,4,0)</f>
        <v>0</v>
      </c>
      <c r="M1083" s="1241">
        <v>8000</v>
      </c>
      <c r="N1083" s="1211" t="s">
        <v>374</v>
      </c>
      <c r="O1083" s="1188">
        <f>VLOOKUP($I1083,'Price List, Weapons &amp; Items'!B:G,6,0)</f>
        <v>3800</v>
      </c>
      <c r="P1083" s="1185">
        <f t="shared" si="223"/>
        <v>30400000</v>
      </c>
      <c r="Q1083" s="1185" t="str">
        <f t="shared" si="224"/>
        <v>.</v>
      </c>
      <c r="R1083" s="1185" t="str">
        <f t="shared" si="220"/>
        <v/>
      </c>
      <c r="S1083" s="1185" t="str">
        <f>IF(AND(AD1083=1,R1083&lt;&gt;".")=TRUE,R1083/VLOOKUP(G1083,'Exchange Rates'!B:C,2,0),IF(R1083=".",".",""))</f>
        <v/>
      </c>
      <c r="T1083" s="1185" t="str">
        <f>IF(AD1083=1,IF(AF1083="Value is not given at all",".",IF(AF1083="Value is given by the source",S1083,IF(AF1083="Value is calculated with prices",(IF(SUMIFS(Q:Q,A:A,A1083)&gt;0,SUMIFS(Q:Q,A:A,A1083),"."))/VLOOKUP("USD",'Exchange Rates'!B:C,2,0),"Error with coding"))),"")</f>
        <v/>
      </c>
      <c r="U1083" s="1191" t="s">
        <v>365</v>
      </c>
      <c r="V1083" s="983" t="s">
        <v>2939</v>
      </c>
      <c r="W1083" s="983" t="s">
        <v>2931</v>
      </c>
      <c r="X1083" s="1208" t="s">
        <v>364</v>
      </c>
      <c r="Y1083" s="1208" t="s">
        <v>364</v>
      </c>
      <c r="Z1083" s="1191">
        <v>0</v>
      </c>
      <c r="AA1083" s="1191">
        <v>1</v>
      </c>
      <c r="AB1083" s="1208" t="s">
        <v>364</v>
      </c>
      <c r="AC1083" s="1192" t="str">
        <f>""</f>
        <v/>
      </c>
      <c r="AD1083" s="1191">
        <v>0</v>
      </c>
      <c r="AE1083" s="1191" t="s">
        <v>368</v>
      </c>
      <c r="AF1083" s="1191" t="s">
        <v>436</v>
      </c>
      <c r="AG1083" s="1191">
        <v>1</v>
      </c>
      <c r="AH1083" s="1191">
        <v>16</v>
      </c>
      <c r="AI1083" s="1191">
        <v>0</v>
      </c>
      <c r="AJ1083" s="1193">
        <f>VLOOKUP($I1083,'Price List, Weapons &amp; Items'!B:F,5,0)</f>
        <v>1</v>
      </c>
      <c r="AK1083" s="1193">
        <f t="shared" si="225"/>
        <v>0</v>
      </c>
      <c r="AL1083" s="1193">
        <f t="shared" si="226"/>
        <v>1</v>
      </c>
      <c r="AM1083" s="1193">
        <f t="shared" si="227"/>
        <v>0</v>
      </c>
      <c r="AN1083" s="1194" t="str">
        <f>VLOOKUP($I1083,'Price List, Weapons &amp; Items'!B:L,COLUMN('Price List, Weapons &amp; Items'!$J$11)-1,0)</f>
        <v>Government information</v>
      </c>
      <c r="AO1083" s="1194" t="str">
        <f>IF(I1083=".",".",VLOOKUP($I1083,'Price List, Weapons &amp; Items'!B:J,3,0))</f>
        <v>155mm howitzer ammunition</v>
      </c>
      <c r="AP1083" s="1195" t="str">
        <f t="shared" ca="1" si="221"/>
        <v/>
      </c>
      <c r="AQ1083" s="1194">
        <f>VLOOKUP($I1083,'Price List, Weapons &amp; Items'!B:L,COLUMN('Price List, Weapons &amp; Items'!$L$11)-1,0)</f>
        <v>2</v>
      </c>
      <c r="AR1083" s="1194">
        <f t="shared" si="228"/>
        <v>1</v>
      </c>
      <c r="AS1083" s="1194">
        <f t="shared" si="229"/>
        <v>1</v>
      </c>
      <c r="AT1083" s="1194">
        <f t="shared" si="230"/>
        <v>1</v>
      </c>
      <c r="AU1083" s="1194" t="str">
        <f t="shared" si="231"/>
        <v>.</v>
      </c>
      <c r="AV1083" s="1194" t="str">
        <f t="shared" si="222"/>
        <v>.</v>
      </c>
      <c r="AW1083" s="1194" t="str">
        <f t="shared" si="232"/>
        <v>.</v>
      </c>
      <c r="AX1083" s="1194">
        <f>IFERROR(VLOOKUP(B1083,'Share, Heavy Weapons to Ukraine'!B:Z,COLUMN('Share, Heavy Weapons to Ukraine'!C1093)-1,0),0)</f>
        <v>1</v>
      </c>
      <c r="AY1083" s="1194">
        <f>VLOOKUP('Bilateral Assistance, MAIN DATA'!B1083,'Country Summary (€)'!B:F,COLUMN('Country Summary (€)'!C1094)-1,FALSE)</f>
        <v>0</v>
      </c>
      <c r="AZ1083" s="1194" t="str">
        <f>IF(AND(AD1083=1,D1083="Military",H1083&lt;&gt;"Not given")=TRUE,IF(SUMIFS(P:P,A:A,A1083)&gt;0,ABS((SUMIFS(P:P,A:A,A1083)/VLOOKUP("USD",'Exchange Rates'!B:C,2,0)))/S1083,"."),".")</f>
        <v>.</v>
      </c>
      <c r="BA1083" s="1196" t="str">
        <f>IF(AND(AD1083=1,D1083="Military",H1083&lt;&gt;"Not given")=TRUE,IF(SUMIFS(P:P,A:A,A1083)&gt;0,IF((ABS((SUMIFS(P:P,A:A,A1083)/VLOOKUP("USD",'Exchange Rates'!B:C,2,0)))/S1083)&gt;1,(SUMIFS(P:P,A:A,A1083)-S1083)/S1083,(S1083-SUMIFS(P:P,A:A,A1083))/SUMIFS(P:P,A:A,A1083)),"."),".")</f>
        <v>.</v>
      </c>
      <c r="BB1083" s="1208"/>
      <c r="BC1083" s="1208"/>
      <c r="BD1083" s="1208"/>
      <c r="BE1083" s="1208"/>
      <c r="BF1083" s="1208"/>
      <c r="BG1083" s="1208"/>
      <c r="BH1083" s="1208"/>
      <c r="BI1083" s="1208"/>
      <c r="BJ1083" s="1208"/>
      <c r="BK1083" s="1208"/>
      <c r="BL1083" s="1208"/>
      <c r="BM1083" s="1208"/>
      <c r="BN1083" s="1208"/>
      <c r="BO1083" s="1208"/>
      <c r="BP1083" s="1208"/>
      <c r="BQ1083" s="1208"/>
      <c r="BR1083" s="1208"/>
      <c r="BS1083" s="1208"/>
    </row>
    <row r="1084" spans="1:71" ht="15.95" customHeight="1">
      <c r="A1084" s="1208" t="s">
        <v>2929</v>
      </c>
      <c r="B1084" s="1208" t="s">
        <v>2882</v>
      </c>
      <c r="C1084" s="1209">
        <v>45071</v>
      </c>
      <c r="D1084" s="1208" t="s">
        <v>389</v>
      </c>
      <c r="E1084" s="1208" t="s">
        <v>2026</v>
      </c>
      <c r="F1084" s="1208" t="s">
        <v>2940</v>
      </c>
      <c r="G1084" s="1184" t="s">
        <v>2884</v>
      </c>
      <c r="H1084" s="1221">
        <v>7500000000</v>
      </c>
      <c r="I1084" s="1208" t="s">
        <v>364</v>
      </c>
      <c r="J1084" s="1186" t="str">
        <f>VLOOKUP($I1084,'Price List, Weapons &amp; Items'!B:C,2,0)</f>
        <v>.</v>
      </c>
      <c r="K1084" s="1186" t="str">
        <f>IF(I1084=".",I1084,VLOOKUP($I1084,'Price List, Weapons &amp; Items'!B:D,3,0))</f>
        <v>.</v>
      </c>
      <c r="L1084" s="1187">
        <f>VLOOKUP(I1084,'Price List, Weapons &amp; Items'!B:E,4,0)</f>
        <v>0</v>
      </c>
      <c r="M1084" s="1241" t="s">
        <v>364</v>
      </c>
      <c r="N1084" s="1211" t="s">
        <v>364</v>
      </c>
      <c r="O1084" s="1188" t="str">
        <f>VLOOKUP($I1084,'Price List, Weapons &amp; Items'!B:G,6,0)</f>
        <v>.</v>
      </c>
      <c r="P1084" s="1185" t="str">
        <f t="shared" si="223"/>
        <v>.</v>
      </c>
      <c r="Q1084" s="1185" t="str">
        <f t="shared" si="224"/>
        <v>.</v>
      </c>
      <c r="R1084" s="1185" t="str">
        <f t="shared" si="220"/>
        <v/>
      </c>
      <c r="S1084" s="1185" t="str">
        <f>IF(AND(AD1084=1,R1084&lt;&gt;".")=TRUE,R1084/VLOOKUP(G1084,'Exchange Rates'!B:C,2,0),IF(R1084=".",".",""))</f>
        <v/>
      </c>
      <c r="T1084" s="1185" t="str">
        <f>IF(AD1084=1,IF(AF1084="Value is not given at all",".",IF(AF1084="Value is given by the source",S1084,IF(AF1084="Value is calculated with prices",(IF(SUMIFS(Q:Q,A:A,A1084)&gt;0,SUMIFS(Q:Q,A:A,A1084),"."))/VLOOKUP("USD",'Exchange Rates'!B:C,2,0),"Error with coding"))),"")</f>
        <v/>
      </c>
      <c r="U1084" s="1191" t="s">
        <v>365</v>
      </c>
      <c r="V1084" s="983" t="s">
        <v>2941</v>
      </c>
      <c r="W1084" s="983" t="s">
        <v>2931</v>
      </c>
      <c r="X1084" s="1208" t="s">
        <v>364</v>
      </c>
      <c r="Y1084" s="1208" t="s">
        <v>364</v>
      </c>
      <c r="Z1084" s="1191">
        <v>0</v>
      </c>
      <c r="AA1084" s="1191">
        <v>1</v>
      </c>
      <c r="AB1084" s="1208" t="s">
        <v>364</v>
      </c>
      <c r="AC1084" s="1192" t="str">
        <f>""</f>
        <v/>
      </c>
      <c r="AD1084" s="1191">
        <v>0</v>
      </c>
      <c r="AE1084" s="1191" t="s">
        <v>368</v>
      </c>
      <c r="AF1084" s="1191" t="s">
        <v>436</v>
      </c>
      <c r="AG1084" s="1191">
        <v>1</v>
      </c>
      <c r="AH1084" s="1191">
        <v>17</v>
      </c>
      <c r="AI1084" s="1191">
        <v>0</v>
      </c>
      <c r="AJ1084" s="1193">
        <f>VLOOKUP($I1084,'Price List, Weapons &amp; Items'!B:F,5,0)</f>
        <v>0</v>
      </c>
      <c r="AK1084" s="1193">
        <f t="shared" si="225"/>
        <v>0</v>
      </c>
      <c r="AL1084" s="1193">
        <f t="shared" si="226"/>
        <v>0</v>
      </c>
      <c r="AM1084" s="1193">
        <f t="shared" si="227"/>
        <v>0</v>
      </c>
      <c r="AN1084" s="1194" t="str">
        <f>VLOOKUP($I1084,'Price List, Weapons &amp; Items'!B:L,COLUMN('Price List, Weapons &amp; Items'!$J$11)-1,0)</f>
        <v>.</v>
      </c>
      <c r="AO1084" s="1194" t="str">
        <f>IF(I1084=".",".",VLOOKUP($I1084,'Price List, Weapons &amp; Items'!B:J,3,0))</f>
        <v>.</v>
      </c>
      <c r="AP1084" s="1195" t="str">
        <f t="shared" ca="1" si="221"/>
        <v/>
      </c>
      <c r="AQ1084" s="1194">
        <f>VLOOKUP($I1084,'Price List, Weapons &amp; Items'!B:L,COLUMN('Price List, Weapons &amp; Items'!$L$11)-1,0)</f>
        <v>0</v>
      </c>
      <c r="AR1084" s="1194">
        <f t="shared" si="228"/>
        <v>1</v>
      </c>
      <c r="AS1084" s="1194">
        <f t="shared" si="229"/>
        <v>0</v>
      </c>
      <c r="AT1084" s="1194">
        <f t="shared" si="230"/>
        <v>1</v>
      </c>
      <c r="AU1084" s="1194" t="str">
        <f t="shared" si="231"/>
        <v>.</v>
      </c>
      <c r="AV1084" s="1194" t="str">
        <f t="shared" si="222"/>
        <v>.</v>
      </c>
      <c r="AW1084" s="1194" t="str">
        <f t="shared" si="232"/>
        <v>.</v>
      </c>
      <c r="AX1084" s="1194">
        <f>IFERROR(VLOOKUP(B1084,'Share, Heavy Weapons to Ukraine'!B:Z,COLUMN('Share, Heavy Weapons to Ukraine'!C1094)-1,0),0)</f>
        <v>1</v>
      </c>
      <c r="AY1084" s="1194">
        <f>VLOOKUP('Bilateral Assistance, MAIN DATA'!B1084,'Country Summary (€)'!B:F,COLUMN('Country Summary (€)'!C1095)-1,FALSE)</f>
        <v>0</v>
      </c>
      <c r="AZ1084" s="1194" t="str">
        <f>IF(AND(AD1084=1,D1084="Military",H1084&lt;&gt;"Not given")=TRUE,IF(SUMIFS(P:P,A:A,A1084)&gt;0,ABS((SUMIFS(P:P,A:A,A1084)/VLOOKUP("USD",'Exchange Rates'!B:C,2,0)))/S1084,"."),".")</f>
        <v>.</v>
      </c>
      <c r="BA1084" s="1196" t="str">
        <f>IF(AND(AD1084=1,D1084="Military",H1084&lt;&gt;"Not given")=TRUE,IF(SUMIFS(P:P,A:A,A1084)&gt;0,IF((ABS((SUMIFS(P:P,A:A,A1084)/VLOOKUP("USD",'Exchange Rates'!B:C,2,0)))/S1084)&gt;1,(SUMIFS(P:P,A:A,A1084)-S1084)/S1084,(S1084-SUMIFS(P:P,A:A,A1084))/SUMIFS(P:P,A:A,A1084)),"."),".")</f>
        <v>.</v>
      </c>
      <c r="BB1084" s="1208"/>
      <c r="BC1084" s="1208"/>
      <c r="BD1084" s="1208"/>
      <c r="BE1084" s="1208"/>
      <c r="BF1084" s="1208"/>
      <c r="BG1084" s="1208"/>
      <c r="BH1084" s="1208"/>
      <c r="BI1084" s="1208"/>
      <c r="BJ1084" s="1208"/>
      <c r="BK1084" s="1208"/>
      <c r="BL1084" s="1208"/>
      <c r="BM1084" s="1208"/>
      <c r="BN1084" s="1208"/>
      <c r="BO1084" s="1208"/>
      <c r="BP1084" s="1208"/>
      <c r="BQ1084" s="1208"/>
      <c r="BR1084" s="1208"/>
      <c r="BS1084" s="1208"/>
    </row>
    <row r="1085" spans="1:71" ht="15.95" customHeight="1">
      <c r="A1085" s="1208" t="s">
        <v>2942</v>
      </c>
      <c r="B1085" s="1208" t="s">
        <v>2882</v>
      </c>
      <c r="C1085" s="1209">
        <v>44973</v>
      </c>
      <c r="D1085" s="1208" t="s">
        <v>389</v>
      </c>
      <c r="E1085" s="1208" t="s">
        <v>390</v>
      </c>
      <c r="F1085" s="1208" t="s">
        <v>2943</v>
      </c>
      <c r="G1085" s="1184" t="s">
        <v>2884</v>
      </c>
      <c r="H1085" s="1221" t="s">
        <v>457</v>
      </c>
      <c r="I1085" s="1208" t="s">
        <v>364</v>
      </c>
      <c r="J1085" s="1186" t="str">
        <f>VLOOKUP($I1085,'Price List, Weapons &amp; Items'!B:C,2,0)</f>
        <v>.</v>
      </c>
      <c r="K1085" s="1186" t="str">
        <f>IF(I1085=".",I1085,VLOOKUP($I1085,'Price List, Weapons &amp; Items'!B:D,3,0))</f>
        <v>.</v>
      </c>
      <c r="L1085" s="1187">
        <f>VLOOKUP(I1085,'Price List, Weapons &amp; Items'!B:E,4,0)</f>
        <v>0</v>
      </c>
      <c r="M1085" s="1241" t="s">
        <v>364</v>
      </c>
      <c r="N1085" s="1211" t="s">
        <v>364</v>
      </c>
      <c r="O1085" s="1188" t="str">
        <f>VLOOKUP($I1085,'Price List, Weapons &amp; Items'!B:G,6,0)</f>
        <v>.</v>
      </c>
      <c r="P1085" s="1185" t="str">
        <f t="shared" si="223"/>
        <v>.</v>
      </c>
      <c r="Q1085" s="1185" t="str">
        <f t="shared" si="224"/>
        <v>.</v>
      </c>
      <c r="R1085" s="1185" t="str">
        <f t="shared" si="220"/>
        <v>.</v>
      </c>
      <c r="S1085" s="1185" t="str">
        <f>IF(AND(AD1085=1,R1085&lt;&gt;".")=TRUE,R1085/VLOOKUP(G1085,'Exchange Rates'!B:C,2,0),IF(R1085=".",".",""))</f>
        <v>.</v>
      </c>
      <c r="T1085" s="1185" t="str">
        <f>IF(AD1085=1,IF(AF1085="Value is not given at all",".",IF(AF1085="Value is given by the source",S1085,IF(AF1085="Value is calculated with prices",(IF(SUMIFS(Q:Q,A:A,A1085)&gt;0,SUMIFS(Q:Q,A:A,A1085),"."))/VLOOKUP("USD",'Exchange Rates'!B:C,2,0),"Error with coding"))),"")</f>
        <v>.</v>
      </c>
      <c r="U1085" s="1191" t="s">
        <v>365</v>
      </c>
      <c r="V1085" s="983" t="s">
        <v>2931</v>
      </c>
      <c r="W1085" s="983" t="s">
        <v>2932</v>
      </c>
      <c r="X1085" s="1208" t="s">
        <v>364</v>
      </c>
      <c r="Y1085" s="1208" t="s">
        <v>364</v>
      </c>
      <c r="Z1085" s="1191">
        <v>0</v>
      </c>
      <c r="AA1085" s="1191">
        <v>0</v>
      </c>
      <c r="AB1085" s="1208" t="s">
        <v>364</v>
      </c>
      <c r="AC1085" s="1192" t="str">
        <f>""</f>
        <v/>
      </c>
      <c r="AD1085" s="1191">
        <v>1</v>
      </c>
      <c r="AE1085" s="1191" t="s">
        <v>369</v>
      </c>
      <c r="AF1085" s="1191" t="s">
        <v>369</v>
      </c>
      <c r="AG1085" s="1191">
        <v>1</v>
      </c>
      <c r="AH1085" s="1191">
        <v>14</v>
      </c>
      <c r="AI1085" s="1191">
        <v>0</v>
      </c>
      <c r="AJ1085" s="1193">
        <f>VLOOKUP($I1085,'Price List, Weapons &amp; Items'!B:F,5,0)</f>
        <v>0</v>
      </c>
      <c r="AK1085" s="1193">
        <f t="shared" si="225"/>
        <v>0</v>
      </c>
      <c r="AL1085" s="1193">
        <f t="shared" si="226"/>
        <v>0</v>
      </c>
      <c r="AM1085" s="1193">
        <f t="shared" si="227"/>
        <v>0</v>
      </c>
      <c r="AN1085" s="1194" t="str">
        <f>VLOOKUP($I1085,'Price List, Weapons &amp; Items'!B:L,COLUMN('Price List, Weapons &amp; Items'!$J$11)-1,0)</f>
        <v>.</v>
      </c>
      <c r="AO1085" s="1194" t="str">
        <f>IF(I1085=".",".",VLOOKUP($I1085,'Price List, Weapons &amp; Items'!B:J,3,0))</f>
        <v>.</v>
      </c>
      <c r="AP1085" s="1195" t="str">
        <f t="shared" ca="1" si="221"/>
        <v>.</v>
      </c>
      <c r="AQ1085" s="1194">
        <f>VLOOKUP($I1085,'Price List, Weapons &amp; Items'!B:L,COLUMN('Price List, Weapons &amp; Items'!$L$11)-1,0)</f>
        <v>0</v>
      </c>
      <c r="AR1085" s="1194">
        <f t="shared" si="228"/>
        <v>1</v>
      </c>
      <c r="AS1085" s="1194">
        <f t="shared" si="229"/>
        <v>1</v>
      </c>
      <c r="AT1085" s="1194">
        <f t="shared" si="230"/>
        <v>1</v>
      </c>
      <c r="AU1085" s="1194" t="str">
        <f t="shared" si="231"/>
        <v>.</v>
      </c>
      <c r="AV1085" s="1194" t="str">
        <f t="shared" si="222"/>
        <v>.</v>
      </c>
      <c r="AW1085" s="1194" t="str">
        <f t="shared" si="232"/>
        <v>.</v>
      </c>
      <c r="AX1085" s="1194">
        <f>IFERROR(VLOOKUP(B1085,'Share, Heavy Weapons to Ukraine'!B:Z,COLUMN('Share, Heavy Weapons to Ukraine'!C1095)-1,0),0)</f>
        <v>1</v>
      </c>
      <c r="AY1085" s="1194">
        <f>VLOOKUP('Bilateral Assistance, MAIN DATA'!B1085,'Country Summary (€)'!B:F,COLUMN('Country Summary (€)'!C1096)-1,FALSE)</f>
        <v>0</v>
      </c>
      <c r="AZ1085" s="1194" t="str">
        <f>IF(AND(AD1085=1,D1085="Military",H1085&lt;&gt;"Not given")=TRUE,IF(SUMIFS(P:P,A:A,A1085)&gt;0,ABS((SUMIFS(P:P,A:A,A1085)/VLOOKUP("USD",'Exchange Rates'!B:C,2,0)))/S1085,"."),".")</f>
        <v>.</v>
      </c>
      <c r="BA1085" s="1196" t="str">
        <f>IF(AND(AD1085=1,D1085="Military",H1085&lt;&gt;"Not given")=TRUE,IF(SUMIFS(P:P,A:A,A1085)&gt;0,IF((ABS((SUMIFS(P:P,A:A,A1085)/VLOOKUP("USD",'Exchange Rates'!B:C,2,0)))/S1085)&gt;1,(SUMIFS(P:P,A:A,A1085)-S1085)/S1085,(S1085-SUMIFS(P:P,A:A,A1085))/SUMIFS(P:P,A:A,A1085)),"."),".")</f>
        <v>.</v>
      </c>
      <c r="BB1085" s="1208" t="s">
        <v>38</v>
      </c>
      <c r="BC1085" s="1208" t="s">
        <v>38</v>
      </c>
      <c r="BD1085" s="1208" t="s">
        <v>38</v>
      </c>
      <c r="BE1085" s="1208" t="s">
        <v>38</v>
      </c>
      <c r="BF1085" s="1208" t="s">
        <v>38</v>
      </c>
      <c r="BG1085" s="1208" t="s">
        <v>38</v>
      </c>
      <c r="BH1085" s="1208" t="s">
        <v>38</v>
      </c>
      <c r="BI1085" s="1208" t="s">
        <v>38</v>
      </c>
      <c r="BJ1085" s="1208" t="s">
        <v>38</v>
      </c>
      <c r="BK1085" s="1208" t="s">
        <v>38</v>
      </c>
      <c r="BL1085" s="1208" t="s">
        <v>38</v>
      </c>
      <c r="BM1085" s="1208" t="s">
        <v>38</v>
      </c>
      <c r="BN1085" s="1208" t="s">
        <v>38</v>
      </c>
      <c r="BO1085" s="1208" t="s">
        <v>38</v>
      </c>
      <c r="BP1085" s="1208" t="s">
        <v>38</v>
      </c>
      <c r="BQ1085" s="1208" t="s">
        <v>38</v>
      </c>
      <c r="BR1085" s="1208" t="s">
        <v>38</v>
      </c>
      <c r="BS1085" s="1208" t="s">
        <v>38</v>
      </c>
    </row>
    <row r="1086" spans="1:71" ht="15.95" customHeight="1">
      <c r="A1086" s="1180" t="s">
        <v>2944</v>
      </c>
      <c r="B1086" s="1180" t="s">
        <v>2882</v>
      </c>
      <c r="C1086" s="1181" t="s">
        <v>2897</v>
      </c>
      <c r="D1086" s="1182" t="s">
        <v>360</v>
      </c>
      <c r="E1086" s="1182" t="s">
        <v>371</v>
      </c>
      <c r="F1086" s="1183" t="s">
        <v>2945</v>
      </c>
      <c r="G1086" s="1184" t="s">
        <v>2884</v>
      </c>
      <c r="H1086" s="1185">
        <v>265000000</v>
      </c>
      <c r="I1086" s="1201" t="s">
        <v>364</v>
      </c>
      <c r="J1086" s="1186" t="str">
        <f>VLOOKUP($I1086,'Price List, Weapons &amp; Items'!B:C,2,0)</f>
        <v>.</v>
      </c>
      <c r="K1086" s="1186" t="str">
        <f>IF(I1086=".",I1086,VLOOKUP($I1086,'Price List, Weapons &amp; Items'!B:D,3,0))</f>
        <v>.</v>
      </c>
      <c r="L1086" s="1187">
        <f>VLOOKUP(I1086,'Price List, Weapons &amp; Items'!B:E,4,0)</f>
        <v>0</v>
      </c>
      <c r="M1086" s="1188" t="s">
        <v>364</v>
      </c>
      <c r="N1086" s="1188" t="s">
        <v>364</v>
      </c>
      <c r="O1086" s="1188" t="str">
        <f>VLOOKUP($I1086,'Price List, Weapons &amp; Items'!B:G,6,0)</f>
        <v>.</v>
      </c>
      <c r="P1086" s="1185" t="str">
        <f t="shared" si="223"/>
        <v>.</v>
      </c>
      <c r="Q1086" s="1185" t="str">
        <f t="shared" si="224"/>
        <v>.</v>
      </c>
      <c r="R1086" s="1185">
        <f t="shared" si="220"/>
        <v>265000000</v>
      </c>
      <c r="S1086" s="1185">
        <f>IF(AND(AD1086=1,R1086&lt;&gt;".")=TRUE,R1086/VLOOKUP(G1086,'Exchange Rates'!B:C,2,0),IF(R1086=".",".",""))</f>
        <v>22585868.916730586</v>
      </c>
      <c r="T1086" s="1185" t="str">
        <f>IF(AD1086=1,IF(AF1086="Value is not given at all",".",IF(AF1086="Value is given by the source",S1086,IF(AF1086="Value is calculated with prices",(IF(SUMIFS(Q:Q,A:A,A1086)&gt;0,SUMIFS(Q:Q,A:A,A1086),"."))/VLOOKUP("USD",'Exchange Rates'!B:C,2,0),"Error with coding"))),"")</f>
        <v>.</v>
      </c>
      <c r="U1086" s="1184" t="s">
        <v>365</v>
      </c>
      <c r="V1086" s="971" t="s">
        <v>2946</v>
      </c>
      <c r="W1086" s="971" t="s">
        <v>2947</v>
      </c>
      <c r="X1086" s="1190" t="s">
        <v>364</v>
      </c>
      <c r="Y1086" s="1190" t="s">
        <v>364</v>
      </c>
      <c r="Z1086" s="1184">
        <v>0</v>
      </c>
      <c r="AA1086" s="1194">
        <v>0</v>
      </c>
      <c r="AB1086" s="1201" t="s">
        <v>364</v>
      </c>
      <c r="AC1086" s="1192" t="str">
        <f>""</f>
        <v/>
      </c>
      <c r="AD1086" s="1193">
        <v>1</v>
      </c>
      <c r="AE1086" s="1193" t="s">
        <v>368</v>
      </c>
      <c r="AF1086" s="1193" t="s">
        <v>369</v>
      </c>
      <c r="AG1086" s="1193">
        <v>1</v>
      </c>
      <c r="AH1086" s="1193">
        <v>4</v>
      </c>
      <c r="AI1086" s="1193">
        <v>0</v>
      </c>
      <c r="AJ1086" s="1193">
        <f>VLOOKUP($I1086,'Price List, Weapons &amp; Items'!B:F,5,0)</f>
        <v>0</v>
      </c>
      <c r="AK1086" s="1193">
        <f t="shared" si="225"/>
        <v>0</v>
      </c>
      <c r="AL1086" s="1193">
        <f t="shared" si="226"/>
        <v>0</v>
      </c>
      <c r="AM1086" s="1193">
        <f t="shared" si="227"/>
        <v>0</v>
      </c>
      <c r="AN1086" s="1194" t="str">
        <f>VLOOKUP($I1086,'Price List, Weapons &amp; Items'!B:L,COLUMN('Price List, Weapons &amp; Items'!$J$11)-1,0)</f>
        <v>.</v>
      </c>
      <c r="AO1086" s="1194" t="str">
        <f>IF(I1086=".",".",VLOOKUP($I1086,'Price List, Weapons &amp; Items'!B:J,3,0))</f>
        <v>.</v>
      </c>
      <c r="AP1086" s="1195" t="str">
        <f t="shared" ca="1" si="221"/>
        <v>.</v>
      </c>
      <c r="AQ1086" s="1194">
        <f>VLOOKUP($I1086,'Price List, Weapons &amp; Items'!B:L,COLUMN('Price List, Weapons &amp; Items'!$L$11)-1,0)</f>
        <v>0</v>
      </c>
      <c r="AR1086" s="1194">
        <f t="shared" si="228"/>
        <v>1</v>
      </c>
      <c r="AS1086" s="1194">
        <f t="shared" si="229"/>
        <v>0</v>
      </c>
      <c r="AT1086" s="1194" t="str">
        <f t="shared" si="230"/>
        <v>Value is not in date format</v>
      </c>
      <c r="AU1086" s="1194" t="str">
        <f t="shared" si="231"/>
        <v>.</v>
      </c>
      <c r="AV1086" s="1194" t="str">
        <f t="shared" si="222"/>
        <v>.</v>
      </c>
      <c r="AW1086" s="1194" t="str">
        <f t="shared" si="232"/>
        <v>.</v>
      </c>
      <c r="AX1086" s="1194">
        <f>IFERROR(VLOOKUP(B1086,'Share, Heavy Weapons to Ukraine'!B:Z,COLUMN('Share, Heavy Weapons to Ukraine'!C1096)-1,0),0)</f>
        <v>1</v>
      </c>
      <c r="AY1086" s="1194">
        <f>VLOOKUP('Bilateral Assistance, MAIN DATA'!B1086,'Country Summary (€)'!B:F,COLUMN('Country Summary (€)'!C1097)-1,FALSE)</f>
        <v>0</v>
      </c>
      <c r="AZ1086" s="1194" t="str">
        <f>IF(AND(AD1086=1,D1086="Military",H1086&lt;&gt;"Not given")=TRUE,IF(SUMIFS(P:P,A:A,A1086)&gt;0,ABS((SUMIFS(P:P,A:A,A1086)/VLOOKUP("USD",'Exchange Rates'!B:C,2,0)))/S1086,"."),".")</f>
        <v>.</v>
      </c>
      <c r="BA1086" s="1196" t="str">
        <f>IF(AND(AD1086=1,D1086="Military",H1086&lt;&gt;"Not given")=TRUE,IF(SUMIFS(P:P,A:A,A1086)&gt;0,IF((ABS((SUMIFS(P:P,A:A,A1086)/VLOOKUP("USD",'Exchange Rates'!B:C,2,0)))/S1086)&gt;1,(SUMIFS(P:P,A:A,A1086)-S1086)/S1086,(S1086-SUMIFS(P:P,A:A,A1086))/SUMIFS(P:P,A:A,A1086)),"."),".")</f>
        <v>.</v>
      </c>
    </row>
    <row r="1087" spans="1:71" ht="15.95" customHeight="1">
      <c r="A1087" s="1180" t="s">
        <v>2948</v>
      </c>
      <c r="B1087" s="1180" t="s">
        <v>2882</v>
      </c>
      <c r="C1087" s="1181" t="s">
        <v>2897</v>
      </c>
      <c r="D1087" s="1182" t="s">
        <v>360</v>
      </c>
      <c r="E1087" s="1182" t="s">
        <v>371</v>
      </c>
      <c r="F1087" s="1183" t="s">
        <v>2949</v>
      </c>
      <c r="G1087" s="1184" t="s">
        <v>2884</v>
      </c>
      <c r="H1087" s="1185">
        <v>100000000</v>
      </c>
      <c r="I1087" s="1201" t="s">
        <v>364</v>
      </c>
      <c r="J1087" s="1186" t="str">
        <f>VLOOKUP($I1087,'Price List, Weapons &amp; Items'!B:C,2,0)</f>
        <v>.</v>
      </c>
      <c r="K1087" s="1186" t="str">
        <f>IF(I1087=".",I1087,VLOOKUP($I1087,'Price List, Weapons &amp; Items'!B:D,3,0))</f>
        <v>.</v>
      </c>
      <c r="L1087" s="1187">
        <f>VLOOKUP(I1087,'Price List, Weapons &amp; Items'!B:E,4,0)</f>
        <v>0</v>
      </c>
      <c r="M1087" s="1188" t="s">
        <v>364</v>
      </c>
      <c r="N1087" s="1188" t="s">
        <v>364</v>
      </c>
      <c r="O1087" s="1188" t="str">
        <f>VLOOKUP($I1087,'Price List, Weapons &amp; Items'!B:G,6,0)</f>
        <v>.</v>
      </c>
      <c r="P1087" s="1185" t="str">
        <f t="shared" si="223"/>
        <v>.</v>
      </c>
      <c r="Q1087" s="1185" t="str">
        <f t="shared" si="224"/>
        <v>.</v>
      </c>
      <c r="R1087" s="1185">
        <f t="shared" si="220"/>
        <v>100000000</v>
      </c>
      <c r="S1087" s="1185">
        <f>IF(AND(AD1087=1,R1087&lt;&gt;".")=TRUE,R1087/VLOOKUP(G1087,'Exchange Rates'!B:C,2,0),IF(R1087=".",".",""))</f>
        <v>8522969.4025398437</v>
      </c>
      <c r="T1087" s="1185" t="str">
        <f>IF(AD1087=1,IF(AF1087="Value is not given at all",".",IF(AF1087="Value is given by the source",S1087,IF(AF1087="Value is calculated with prices",(IF(SUMIFS(Q:Q,A:A,A1087)&gt;0,SUMIFS(Q:Q,A:A,A1087),"."))/VLOOKUP("USD",'Exchange Rates'!B:C,2,0),"Error with coding"))),"")</f>
        <v>.</v>
      </c>
      <c r="U1087" s="1184" t="s">
        <v>365</v>
      </c>
      <c r="V1087" s="971" t="s">
        <v>2893</v>
      </c>
      <c r="W1087" s="1190" t="s">
        <v>364</v>
      </c>
      <c r="X1087" s="1190" t="s">
        <v>364</v>
      </c>
      <c r="Y1087" s="1190" t="s">
        <v>364</v>
      </c>
      <c r="Z1087" s="1184">
        <v>0</v>
      </c>
      <c r="AA1087" s="1194">
        <v>0</v>
      </c>
      <c r="AB1087" s="1201" t="s">
        <v>364</v>
      </c>
      <c r="AC1087" s="1192" t="str">
        <f>""</f>
        <v/>
      </c>
      <c r="AD1087" s="1193">
        <v>1</v>
      </c>
      <c r="AE1087" s="1193" t="s">
        <v>368</v>
      </c>
      <c r="AF1087" s="1193" t="s">
        <v>369</v>
      </c>
      <c r="AG1087" s="1193">
        <v>1</v>
      </c>
      <c r="AH1087" s="1193">
        <v>4</v>
      </c>
      <c r="AI1087" s="1193">
        <v>0</v>
      </c>
      <c r="AJ1087" s="1193">
        <f>VLOOKUP($I1087,'Price List, Weapons &amp; Items'!B:F,5,0)</f>
        <v>0</v>
      </c>
      <c r="AK1087" s="1193">
        <f t="shared" si="225"/>
        <v>0</v>
      </c>
      <c r="AL1087" s="1193">
        <f t="shared" si="226"/>
        <v>0</v>
      </c>
      <c r="AM1087" s="1193">
        <f t="shared" si="227"/>
        <v>0</v>
      </c>
      <c r="AN1087" s="1194" t="str">
        <f>VLOOKUP($I1087,'Price List, Weapons &amp; Items'!B:L,COLUMN('Price List, Weapons &amp; Items'!$J$11)-1,0)</f>
        <v>.</v>
      </c>
      <c r="AO1087" s="1194" t="str">
        <f>IF(I1087=".",".",VLOOKUP($I1087,'Price List, Weapons &amp; Items'!B:J,3,0))</f>
        <v>.</v>
      </c>
      <c r="AP1087" s="1195" t="str">
        <f t="shared" ca="1" si="221"/>
        <v>.</v>
      </c>
      <c r="AQ1087" s="1194">
        <f>VLOOKUP($I1087,'Price List, Weapons &amp; Items'!B:L,COLUMN('Price List, Weapons &amp; Items'!$L$11)-1,0)</f>
        <v>0</v>
      </c>
      <c r="AR1087" s="1194">
        <f t="shared" si="228"/>
        <v>1</v>
      </c>
      <c r="AS1087" s="1194">
        <f t="shared" si="229"/>
        <v>0</v>
      </c>
      <c r="AT1087" s="1194" t="str">
        <f t="shared" si="230"/>
        <v>Value is not in date format</v>
      </c>
      <c r="AU1087" s="1194" t="str">
        <f t="shared" si="231"/>
        <v>.</v>
      </c>
      <c r="AV1087" s="1194" t="str">
        <f t="shared" si="222"/>
        <v>.</v>
      </c>
      <c r="AW1087" s="1194" t="str">
        <f t="shared" si="232"/>
        <v>.</v>
      </c>
      <c r="AX1087" s="1194">
        <f>IFERROR(VLOOKUP(B1087,'Share, Heavy Weapons to Ukraine'!B:Z,COLUMN('Share, Heavy Weapons to Ukraine'!C1097)-1,0),0)</f>
        <v>1</v>
      </c>
      <c r="AY1087" s="1194">
        <f>VLOOKUP('Bilateral Assistance, MAIN DATA'!B1087,'Country Summary (€)'!B:F,COLUMN('Country Summary (€)'!C1098)-1,FALSE)</f>
        <v>0</v>
      </c>
      <c r="AZ1087" s="1194" t="str">
        <f>IF(AND(AD1087=1,D1087="Military",H1087&lt;&gt;"Not given")=TRUE,IF(SUMIFS(P:P,A:A,A1087)&gt;0,ABS((SUMIFS(P:P,A:A,A1087)/VLOOKUP("USD",'Exchange Rates'!B:C,2,0)))/S1087,"."),".")</f>
        <v>.</v>
      </c>
      <c r="BA1087" s="1196" t="str">
        <f>IF(AND(AD1087=1,D1087="Military",H1087&lt;&gt;"Not given")=TRUE,IF(SUMIFS(P:P,A:A,A1087)&gt;0,IF((ABS((SUMIFS(P:P,A:A,A1087)/VLOOKUP("USD",'Exchange Rates'!B:C,2,0)))/S1087)&gt;1,(SUMIFS(P:P,A:A,A1087)-S1087)/S1087,(S1087-SUMIFS(P:P,A:A,A1087))/SUMIFS(P:P,A:A,A1087)),"."),".")</f>
        <v>.</v>
      </c>
    </row>
    <row r="1088" spans="1:71" ht="15.95" customHeight="1">
      <c r="A1088" s="1180" t="s">
        <v>2950</v>
      </c>
      <c r="B1088" s="1180" t="s">
        <v>2882</v>
      </c>
      <c r="C1088" s="1181">
        <v>44725</v>
      </c>
      <c r="D1088" s="1182" t="s">
        <v>360</v>
      </c>
      <c r="E1088" s="1182" t="s">
        <v>361</v>
      </c>
      <c r="F1088" s="1183" t="s">
        <v>2951</v>
      </c>
      <c r="G1088" s="1184" t="s">
        <v>2884</v>
      </c>
      <c r="H1088" s="1185" t="s">
        <v>457</v>
      </c>
      <c r="I1088" s="1180" t="s">
        <v>364</v>
      </c>
      <c r="J1088" s="1186" t="str">
        <f>VLOOKUP($I1088,'Price List, Weapons &amp; Items'!B:C,2,0)</f>
        <v>.</v>
      </c>
      <c r="K1088" s="1186" t="str">
        <f>IF(I1088=".",I1088,VLOOKUP($I1088,'Price List, Weapons &amp; Items'!B:D,3,0))</f>
        <v>.</v>
      </c>
      <c r="L1088" s="1187">
        <f>VLOOKUP(I1088,'Price List, Weapons &amp; Items'!B:E,4,0)</f>
        <v>0</v>
      </c>
      <c r="M1088" s="1188" t="s">
        <v>364</v>
      </c>
      <c r="N1088" s="1188" t="s">
        <v>364</v>
      </c>
      <c r="O1088" s="1188" t="str">
        <f>VLOOKUP($I1088,'Price List, Weapons &amp; Items'!B:G,6,0)</f>
        <v>.</v>
      </c>
      <c r="P1088" s="1185" t="str">
        <f t="shared" si="223"/>
        <v>.</v>
      </c>
      <c r="Q1088" s="1185" t="str">
        <f t="shared" si="224"/>
        <v>.</v>
      </c>
      <c r="R1088" s="1185" t="str">
        <f t="shared" si="220"/>
        <v>.</v>
      </c>
      <c r="S1088" s="1185" t="str">
        <f>IF(AND(AD1088=1,R1088&lt;&gt;".")=TRUE,R1088/VLOOKUP(G1088,'Exchange Rates'!B:C,2,0),IF(R1088=".",".",""))</f>
        <v>.</v>
      </c>
      <c r="T1088" s="1185" t="str">
        <f>IF(AD1088=1,IF(AF1088="Value is not given at all",".",IF(AF1088="Value is given by the source",S1088,IF(AF1088="Value is calculated with prices",(IF(SUMIFS(Q:Q,A:A,A1088)&gt;0,SUMIFS(Q:Q,A:A,A1088),"."))/VLOOKUP("USD",'Exchange Rates'!B:C,2,0),"Error with coding"))),"")</f>
        <v>.</v>
      </c>
      <c r="U1088" s="1184" t="s">
        <v>365</v>
      </c>
      <c r="V1088" s="971" t="s">
        <v>2952</v>
      </c>
      <c r="W1088" s="971" t="s">
        <v>2893</v>
      </c>
      <c r="X1088" s="1190" t="s">
        <v>364</v>
      </c>
      <c r="Y1088" s="1190" t="s">
        <v>364</v>
      </c>
      <c r="Z1088" s="1184">
        <v>0</v>
      </c>
      <c r="AA1088" s="1194">
        <v>0</v>
      </c>
      <c r="AB1088" s="1201" t="s">
        <v>364</v>
      </c>
      <c r="AC1088" s="1192" t="str">
        <f>""</f>
        <v/>
      </c>
      <c r="AD1088" s="985">
        <v>1</v>
      </c>
      <c r="AE1088" s="985" t="s">
        <v>369</v>
      </c>
      <c r="AF1088" s="985" t="s">
        <v>369</v>
      </c>
      <c r="AG1088" s="985">
        <v>1</v>
      </c>
      <c r="AH1088" s="1193">
        <v>6</v>
      </c>
      <c r="AI1088" s="1193">
        <v>0</v>
      </c>
      <c r="AJ1088" s="1193">
        <f>VLOOKUP($I1088,'Price List, Weapons &amp; Items'!B:F,5,0)</f>
        <v>0</v>
      </c>
      <c r="AK1088" s="1193">
        <f t="shared" si="225"/>
        <v>0</v>
      </c>
      <c r="AL1088" s="1193">
        <f t="shared" si="226"/>
        <v>0</v>
      </c>
      <c r="AM1088" s="1193">
        <f t="shared" si="227"/>
        <v>0</v>
      </c>
      <c r="AN1088" s="1194" t="str">
        <f>VLOOKUP($I1088,'Price List, Weapons &amp; Items'!B:L,COLUMN('Price List, Weapons &amp; Items'!$J$11)-1,0)</f>
        <v>.</v>
      </c>
      <c r="AO1088" s="1194" t="str">
        <f>IF(I1088=".",".",VLOOKUP($I1088,'Price List, Weapons &amp; Items'!B:J,3,0))</f>
        <v>.</v>
      </c>
      <c r="AP1088" s="1195" t="str">
        <f t="shared" ca="1" si="221"/>
        <v>.</v>
      </c>
      <c r="AQ1088" s="1194">
        <f>VLOOKUP($I1088,'Price List, Weapons &amp; Items'!B:L,COLUMN('Price List, Weapons &amp; Items'!$L$11)-1,0)</f>
        <v>0</v>
      </c>
      <c r="AR1088" s="1194">
        <f t="shared" si="228"/>
        <v>1</v>
      </c>
      <c r="AS1088" s="1194">
        <f t="shared" si="229"/>
        <v>0</v>
      </c>
      <c r="AT1088" s="1194">
        <f t="shared" si="230"/>
        <v>1</v>
      </c>
      <c r="AU1088" s="1194" t="str">
        <f t="shared" si="231"/>
        <v>.</v>
      </c>
      <c r="AV1088" s="1194" t="str">
        <f t="shared" si="222"/>
        <v>.</v>
      </c>
      <c r="AW1088" s="1194" t="str">
        <f t="shared" si="232"/>
        <v>.</v>
      </c>
      <c r="AX1088" s="1194">
        <f>IFERROR(VLOOKUP(B1088,'Share, Heavy Weapons to Ukraine'!B:Z,COLUMN('Share, Heavy Weapons to Ukraine'!C1098)-1,0),0)</f>
        <v>1</v>
      </c>
      <c r="AY1088" s="1194">
        <f>VLOOKUP('Bilateral Assistance, MAIN DATA'!B1088,'Country Summary (€)'!B:F,COLUMN('Country Summary (€)'!C1099)-1,FALSE)</f>
        <v>0</v>
      </c>
      <c r="AZ1088" s="1194" t="str">
        <f>IF(AND(AD1088=1,D1088="Military",H1088&lt;&gt;"Not given")=TRUE,IF(SUMIFS(P:P,A:A,A1088)&gt;0,ABS((SUMIFS(P:P,A:A,A1088)/VLOOKUP("USD",'Exchange Rates'!B:C,2,0)))/S1088,"."),".")</f>
        <v>.</v>
      </c>
      <c r="BA1088" s="1196" t="str">
        <f>IF(AND(AD1088=1,D1088="Military",H1088&lt;&gt;"Not given")=TRUE,IF(SUMIFS(P:P,A:A,A1088)&gt;0,IF((ABS((SUMIFS(P:P,A:A,A1088)/VLOOKUP("USD",'Exchange Rates'!B:C,2,0)))/S1088)&gt;1,(SUMIFS(P:P,A:A,A1088)-S1088)/S1088,(S1088-SUMIFS(P:P,A:A,A1088))/SUMIFS(P:P,A:A,A1088)),"."),".")</f>
        <v>.</v>
      </c>
    </row>
    <row r="1089" spans="1:71" ht="15.95" customHeight="1">
      <c r="A1089" s="1180" t="s">
        <v>2953</v>
      </c>
      <c r="B1089" s="1180" t="s">
        <v>2882</v>
      </c>
      <c r="C1089" s="1181" t="s">
        <v>2954</v>
      </c>
      <c r="D1089" s="1182" t="s">
        <v>360</v>
      </c>
      <c r="E1089" s="1182" t="s">
        <v>361</v>
      </c>
      <c r="F1089" s="1183" t="s">
        <v>2955</v>
      </c>
      <c r="G1089" s="1184" t="s">
        <v>2884</v>
      </c>
      <c r="H1089" s="1185">
        <v>310000000</v>
      </c>
      <c r="I1089" s="1180" t="s">
        <v>364</v>
      </c>
      <c r="J1089" s="1186" t="str">
        <f>VLOOKUP($I1089,'Price List, Weapons &amp; Items'!B:C,2,0)</f>
        <v>.</v>
      </c>
      <c r="K1089" s="1186" t="str">
        <f>IF(I1089=".",I1089,VLOOKUP($I1089,'Price List, Weapons &amp; Items'!B:D,3,0))</f>
        <v>.</v>
      </c>
      <c r="L1089" s="1187">
        <f>VLOOKUP(I1089,'Price List, Weapons &amp; Items'!B:E,4,0)</f>
        <v>0</v>
      </c>
      <c r="M1089" s="1188" t="s">
        <v>364</v>
      </c>
      <c r="N1089" s="1188" t="s">
        <v>364</v>
      </c>
      <c r="O1089" s="1188" t="str">
        <f>VLOOKUP($I1089,'Price List, Weapons &amp; Items'!B:G,6,0)</f>
        <v>.</v>
      </c>
      <c r="P1089" s="1185" t="str">
        <f t="shared" si="223"/>
        <v>.</v>
      </c>
      <c r="Q1089" s="1185" t="str">
        <f t="shared" si="224"/>
        <v>.</v>
      </c>
      <c r="R1089" s="1185">
        <f t="shared" si="220"/>
        <v>310000000</v>
      </c>
      <c r="S1089" s="1185">
        <f>IF(AND(AD1089=1,R1089&lt;&gt;".")=TRUE,R1089/VLOOKUP(G1089,'Exchange Rates'!B:C,2,0),IF(R1089=".",".",""))</f>
        <v>26421205.147873517</v>
      </c>
      <c r="T1089" s="1185" t="str">
        <f>IF(AD1089=1,IF(AF1089="Value is not given at all",".",IF(AF1089="Value is given by the source",S1089,IF(AF1089="Value is calculated with prices",(IF(SUMIFS(Q:Q,A:A,A1089)&gt;0,SUMIFS(Q:Q,A:A,A1089),"."))/VLOOKUP("USD",'Exchange Rates'!B:C,2,0),"Error with coding"))),"")</f>
        <v>.</v>
      </c>
      <c r="U1089" s="1184" t="s">
        <v>365</v>
      </c>
      <c r="V1089" s="973" t="s">
        <v>2932</v>
      </c>
      <c r="W1089" s="973" t="s">
        <v>2956</v>
      </c>
      <c r="X1089" s="1190" t="s">
        <v>364</v>
      </c>
      <c r="Y1089" s="1190" t="s">
        <v>364</v>
      </c>
      <c r="Z1089" s="1184">
        <v>0</v>
      </c>
      <c r="AA1089" s="1194">
        <v>1</v>
      </c>
      <c r="AB1089" s="1201"/>
      <c r="AC1089" s="1192" t="str">
        <f>""</f>
        <v/>
      </c>
      <c r="AD1089" s="985">
        <v>1</v>
      </c>
      <c r="AE1089" s="985" t="s">
        <v>368</v>
      </c>
      <c r="AF1089" s="985" t="s">
        <v>369</v>
      </c>
      <c r="AG1089" s="985">
        <v>1</v>
      </c>
      <c r="AH1089" s="1193">
        <v>6</v>
      </c>
      <c r="AI1089" s="1193">
        <v>0</v>
      </c>
      <c r="AJ1089" s="1193">
        <f>VLOOKUP($I1089,'Price List, Weapons &amp; Items'!B:F,5,0)</f>
        <v>0</v>
      </c>
      <c r="AK1089" s="1193">
        <f t="shared" si="225"/>
        <v>0</v>
      </c>
      <c r="AL1089" s="1193">
        <f t="shared" si="226"/>
        <v>0</v>
      </c>
      <c r="AM1089" s="1193">
        <f t="shared" si="227"/>
        <v>0</v>
      </c>
      <c r="AN1089" s="1194" t="str">
        <f>VLOOKUP($I1089,'Price List, Weapons &amp; Items'!B:L,COLUMN('Price List, Weapons &amp; Items'!$J$11)-1,0)</f>
        <v>.</v>
      </c>
      <c r="AO1089" s="1194" t="str">
        <f>IF(I1089=".",".",VLOOKUP($I1089,'Price List, Weapons &amp; Items'!B:J,3,0))</f>
        <v>.</v>
      </c>
      <c r="AP1089" s="1195" t="str">
        <f t="shared" ca="1" si="221"/>
        <v>.</v>
      </c>
      <c r="AQ1089" s="1194">
        <f>VLOOKUP($I1089,'Price List, Weapons &amp; Items'!B:L,COLUMN('Price List, Weapons &amp; Items'!$L$11)-1,0)</f>
        <v>0</v>
      </c>
      <c r="AR1089" s="1194">
        <f t="shared" si="228"/>
        <v>1</v>
      </c>
      <c r="AS1089" s="1194">
        <f t="shared" si="229"/>
        <v>0</v>
      </c>
      <c r="AT1089" s="1194" t="str">
        <f t="shared" si="230"/>
        <v>Value is not in date format</v>
      </c>
      <c r="AU1089" s="1194" t="str">
        <f t="shared" si="231"/>
        <v>.</v>
      </c>
      <c r="AV1089" s="1194" t="str">
        <f t="shared" si="222"/>
        <v>.</v>
      </c>
      <c r="AW1089" s="1194" t="str">
        <f t="shared" si="232"/>
        <v>.</v>
      </c>
      <c r="AX1089" s="1194">
        <f>IFERROR(VLOOKUP(B1089,'Share, Heavy Weapons to Ukraine'!B:Z,COLUMN('Share, Heavy Weapons to Ukraine'!C1099)-1,0),0)</f>
        <v>1</v>
      </c>
      <c r="AY1089" s="1194">
        <f>VLOOKUP('Bilateral Assistance, MAIN DATA'!B1089,'Country Summary (€)'!B:F,COLUMN('Country Summary (€)'!C1100)-1,FALSE)</f>
        <v>0</v>
      </c>
      <c r="AZ1089" s="1194" t="str">
        <f>IF(AND(AD1089=1,D1089="Military",H1089&lt;&gt;"Not given")=TRUE,IF(SUMIFS(P:P,A:A,A1089)&gt;0,ABS((SUMIFS(P:P,A:A,A1089)/VLOOKUP("USD",'Exchange Rates'!B:C,2,0)))/S1089,"."),".")</f>
        <v>.</v>
      </c>
      <c r="BA1089" s="1196" t="str">
        <f>IF(AND(AD1089=1,D1089="Military",H1089&lt;&gt;"Not given")=TRUE,IF(SUMIFS(P:P,A:A,A1089)&gt;0,IF((ABS((SUMIFS(P:P,A:A,A1089)/VLOOKUP("USD",'Exchange Rates'!B:C,2,0)))/S1089)&gt;1,(SUMIFS(P:P,A:A,A1089)-S1089)/S1089,(S1089-SUMIFS(P:P,A:A,A1089))/SUMIFS(P:P,A:A,A1089)),"."),".")</f>
        <v>.</v>
      </c>
    </row>
    <row r="1090" spans="1:71" ht="15.95" customHeight="1">
      <c r="A1090" s="1180" t="s">
        <v>2957</v>
      </c>
      <c r="B1090" s="1180" t="s">
        <v>2882</v>
      </c>
      <c r="C1090" s="1181" t="s">
        <v>2958</v>
      </c>
      <c r="D1090" s="1182" t="s">
        <v>360</v>
      </c>
      <c r="E1090" s="1182" t="s">
        <v>361</v>
      </c>
      <c r="F1090" s="1183" t="s">
        <v>2959</v>
      </c>
      <c r="G1090" s="1184" t="s">
        <v>2884</v>
      </c>
      <c r="H1090" s="1185">
        <v>1100000000</v>
      </c>
      <c r="I1090" s="1180" t="s">
        <v>364</v>
      </c>
      <c r="J1090" s="1186" t="str">
        <f>VLOOKUP($I1090,'Price List, Weapons &amp; Items'!B:C,2,0)</f>
        <v>.</v>
      </c>
      <c r="K1090" s="1186" t="str">
        <f>IF(I1090=".",I1090,VLOOKUP($I1090,'Price List, Weapons &amp; Items'!B:D,3,0))</f>
        <v>.</v>
      </c>
      <c r="L1090" s="1187">
        <f>VLOOKUP(I1090,'Price List, Weapons &amp; Items'!B:E,4,0)</f>
        <v>0</v>
      </c>
      <c r="M1090" s="1188" t="s">
        <v>364</v>
      </c>
      <c r="N1090" s="1188" t="s">
        <v>364</v>
      </c>
      <c r="O1090" s="1188" t="str">
        <f>VLOOKUP($I1090,'Price List, Weapons &amp; Items'!B:G,6,0)</f>
        <v>.</v>
      </c>
      <c r="P1090" s="1185" t="str">
        <f t="shared" si="223"/>
        <v>.</v>
      </c>
      <c r="Q1090" s="1185" t="str">
        <f t="shared" si="224"/>
        <v>.</v>
      </c>
      <c r="R1090" s="1185">
        <f t="shared" ref="R1090:R1153" si="233">IF(AD1090=1,IF(H1090&lt;&gt;"Not given",H1090,IF(TYPE(H1090)=2,IF(SUMIFS(P:P,A:A,A1090)&gt;0,SUMIFS(P:P,A:A,A1090),"."),"Format error")),"")</f>
        <v>1100000000</v>
      </c>
      <c r="S1090" s="1185">
        <f>IF(AND(AD1090=1,R1090&lt;&gt;".")=TRUE,R1090/VLOOKUP(G1090,'Exchange Rates'!B:C,2,0),IF(R1090=".",".",""))</f>
        <v>93752663.427938282</v>
      </c>
      <c r="T1090" s="1185" t="str">
        <f>IF(AD1090=1,IF(AF1090="Value is not given at all",".",IF(AF1090="Value is given by the source",S1090,IF(AF1090="Value is calculated with prices",(IF(SUMIFS(Q:Q,A:A,A1090)&gt;0,SUMIFS(Q:Q,A:A,A1090),"."))/VLOOKUP("USD",'Exchange Rates'!B:C,2,0),"Error with coding"))),"")</f>
        <v>.</v>
      </c>
      <c r="U1090" s="1184" t="s">
        <v>365</v>
      </c>
      <c r="V1090" s="971" t="s">
        <v>2893</v>
      </c>
      <c r="W1090" s="973" t="s">
        <v>2956</v>
      </c>
      <c r="X1090" s="1190" t="s">
        <v>364</v>
      </c>
      <c r="Y1090" s="1190" t="s">
        <v>364</v>
      </c>
      <c r="Z1090" s="1184">
        <v>0</v>
      </c>
      <c r="AA1090" s="1194">
        <v>0</v>
      </c>
      <c r="AB1090" s="1201" t="s">
        <v>364</v>
      </c>
      <c r="AC1090" s="1192" t="str">
        <f>""</f>
        <v/>
      </c>
      <c r="AD1090" s="985">
        <v>1</v>
      </c>
      <c r="AE1090" s="985" t="s">
        <v>369</v>
      </c>
      <c r="AF1090" s="985" t="s">
        <v>369</v>
      </c>
      <c r="AG1090" s="985">
        <v>1</v>
      </c>
      <c r="AH1090" s="1193">
        <v>7</v>
      </c>
      <c r="AI1090" s="1193">
        <v>0</v>
      </c>
      <c r="AJ1090" s="1193">
        <f>VLOOKUP($I1090,'Price List, Weapons &amp; Items'!B:F,5,0)</f>
        <v>0</v>
      </c>
      <c r="AK1090" s="1193">
        <f t="shared" si="225"/>
        <v>0</v>
      </c>
      <c r="AL1090" s="1193">
        <f t="shared" si="226"/>
        <v>0</v>
      </c>
      <c r="AM1090" s="1193">
        <f t="shared" si="227"/>
        <v>0</v>
      </c>
      <c r="AN1090" s="1194" t="str">
        <f>VLOOKUP($I1090,'Price List, Weapons &amp; Items'!B:L,COLUMN('Price List, Weapons &amp; Items'!$J$11)-1,0)</f>
        <v>.</v>
      </c>
      <c r="AO1090" s="1194" t="str">
        <f>IF(I1090=".",".",VLOOKUP($I1090,'Price List, Weapons &amp; Items'!B:J,3,0))</f>
        <v>.</v>
      </c>
      <c r="AP1090" s="1195" t="str">
        <f t="shared" ref="AP1090:AP1153" ca="1" si="234">IF(AD1090=1,(OFFSET(I1090,0,0,COUNTIF(A:A,A1090),1)),"")</f>
        <v>.</v>
      </c>
      <c r="AQ1090" s="1194">
        <f>VLOOKUP($I1090,'Price List, Weapons &amp; Items'!B:L,COLUMN('Price List, Weapons &amp; Items'!$L$11)-1,0)</f>
        <v>0</v>
      </c>
      <c r="AR1090" s="1194">
        <f t="shared" si="228"/>
        <v>1</v>
      </c>
      <c r="AS1090" s="1194">
        <f t="shared" si="229"/>
        <v>0</v>
      </c>
      <c r="AT1090" s="1194" t="str">
        <f t="shared" si="230"/>
        <v>Value is not in date format</v>
      </c>
      <c r="AU1090" s="1194" t="str">
        <f t="shared" si="231"/>
        <v>.</v>
      </c>
      <c r="AV1090" s="1194" t="str">
        <f t="shared" ref="AV1090:AV1153" si="235">IF(AND(_xlfn.ISFORMULA(R1090),_xlfn.ISFORMULA(S1090),_xlfn.ISFORMULA(T1090))=TRUE,".",1)</f>
        <v>.</v>
      </c>
      <c r="AW1090" s="1194" t="str">
        <f t="shared" si="232"/>
        <v>.</v>
      </c>
      <c r="AX1090" s="1194">
        <f>IFERROR(VLOOKUP(B1090,'Share, Heavy Weapons to Ukraine'!B:Z,COLUMN('Share, Heavy Weapons to Ukraine'!C1100)-1,0),0)</f>
        <v>1</v>
      </c>
      <c r="AY1090" s="1194">
        <f>VLOOKUP('Bilateral Assistance, MAIN DATA'!B1090,'Country Summary (€)'!B:F,COLUMN('Country Summary (€)'!C1101)-1,FALSE)</f>
        <v>0</v>
      </c>
      <c r="AZ1090" s="1194" t="str">
        <f>IF(AND(AD1090=1,D1090="Military",H1090&lt;&gt;"Not given")=TRUE,IF(SUMIFS(P:P,A:A,A1090)&gt;0,ABS((SUMIFS(P:P,A:A,A1090)/VLOOKUP("USD",'Exchange Rates'!B:C,2,0)))/S1090,"."),".")</f>
        <v>.</v>
      </c>
      <c r="BA1090" s="1196" t="str">
        <f>IF(AND(AD1090=1,D1090="Military",H1090&lt;&gt;"Not given")=TRUE,IF(SUMIFS(P:P,A:A,A1090)&gt;0,IF((ABS((SUMIFS(P:P,A:A,A1090)/VLOOKUP("USD",'Exchange Rates'!B:C,2,0)))/S1090)&gt;1,(SUMIFS(P:P,A:A,A1090)-S1090)/S1090,(S1090-SUMIFS(P:P,A:A,A1090))/SUMIFS(P:P,A:A,A1090)),"."),".")</f>
        <v>.</v>
      </c>
    </row>
    <row r="1091" spans="1:71" ht="15.95" customHeight="1">
      <c r="A1091" s="1180" t="s">
        <v>2960</v>
      </c>
      <c r="B1091" s="1208" t="s">
        <v>2882</v>
      </c>
      <c r="C1091" s="1209">
        <v>44945</v>
      </c>
      <c r="D1091" s="1208" t="s">
        <v>360</v>
      </c>
      <c r="E1091" s="1208" t="s">
        <v>361</v>
      </c>
      <c r="F1091" s="1208" t="s">
        <v>2961</v>
      </c>
      <c r="G1091" s="1184" t="s">
        <v>2884</v>
      </c>
      <c r="H1091" s="1221">
        <v>40000000</v>
      </c>
      <c r="I1091" s="1208" t="s">
        <v>364</v>
      </c>
      <c r="J1091" s="1186" t="str">
        <f>VLOOKUP($I1091,'Price List, Weapons &amp; Items'!B:C,2,0)</f>
        <v>.</v>
      </c>
      <c r="K1091" s="1186" t="str">
        <f>IF(I1091=".",I1091,VLOOKUP($I1091,'Price List, Weapons &amp; Items'!B:D,3,0))</f>
        <v>.</v>
      </c>
      <c r="L1091" s="1187">
        <f>VLOOKUP(I1091,'Price List, Weapons &amp; Items'!B:E,4,0)</f>
        <v>0</v>
      </c>
      <c r="M1091" s="1241" t="s">
        <v>364</v>
      </c>
      <c r="N1091" s="1211" t="s">
        <v>364</v>
      </c>
      <c r="O1091" s="1188" t="str">
        <f>VLOOKUP($I1091,'Price List, Weapons &amp; Items'!B:G,6,0)</f>
        <v>.</v>
      </c>
      <c r="P1091" s="1185" t="str">
        <f t="shared" ref="P1091:P1154" si="236">IF(TYPE(M1091)=1,IF(TYPE(O1091)=1,M1091*O1091,"No price"),".")</f>
        <v>.</v>
      </c>
      <c r="Q1091" s="1185" t="str">
        <f t="shared" ref="Q1091:Q1154" si="237">IF(TYPE(N1091)=1,IF(TYPE(O1091)=1,N1091*O1091,"No price"),".")</f>
        <v>.</v>
      </c>
      <c r="R1091" s="1185">
        <f t="shared" si="233"/>
        <v>40000000</v>
      </c>
      <c r="S1091" s="1185">
        <f>IF(AND(AD1091=1,R1091&lt;&gt;".")=TRUE,R1091/VLOOKUP(G1091,'Exchange Rates'!B:C,2,0),IF(R1091=".",".",""))</f>
        <v>3409187.7610159377</v>
      </c>
      <c r="T1091" s="1185" t="str">
        <f>IF(AD1091=1,IF(AF1091="Value is not given at all",".",IF(AF1091="Value is given by the source",S1091,IF(AF1091="Value is calculated with prices",(IF(SUMIFS(Q:Q,A:A,A1091)&gt;0,SUMIFS(Q:Q,A:A,A1091),"."))/VLOOKUP("USD",'Exchange Rates'!B:C,2,0),"Error with coding"))),"")</f>
        <v>.</v>
      </c>
      <c r="U1091" s="1191" t="s">
        <v>365</v>
      </c>
      <c r="V1091" s="983" t="s">
        <v>2962</v>
      </c>
      <c r="W1091" s="983" t="s">
        <v>2932</v>
      </c>
      <c r="X1091" s="1208" t="s">
        <v>364</v>
      </c>
      <c r="Y1091" s="1208" t="s">
        <v>364</v>
      </c>
      <c r="Z1091" s="1191">
        <v>0</v>
      </c>
      <c r="AA1091" s="1191">
        <v>0</v>
      </c>
      <c r="AB1091" s="1208" t="s">
        <v>364</v>
      </c>
      <c r="AC1091" s="1192" t="str">
        <f>""</f>
        <v/>
      </c>
      <c r="AD1091" s="1191">
        <v>1</v>
      </c>
      <c r="AE1091" s="1191" t="s">
        <v>368</v>
      </c>
      <c r="AF1091" s="1191" t="s">
        <v>369</v>
      </c>
      <c r="AG1091" s="1191">
        <v>1</v>
      </c>
      <c r="AH1091" s="1191">
        <v>13</v>
      </c>
      <c r="AI1091" s="1191">
        <v>0</v>
      </c>
      <c r="AJ1091" s="1193">
        <f>VLOOKUP($I1091,'Price List, Weapons &amp; Items'!B:F,5,0)</f>
        <v>0</v>
      </c>
      <c r="AK1091" s="1193">
        <f t="shared" ref="AK1091:AK1154" si="238">IF(AND(AJ1091=1,M1091="undisclosed")=TRUE,1,0)</f>
        <v>0</v>
      </c>
      <c r="AL1091" s="1193">
        <f t="shared" ref="AL1091:AL1154" si="239">IF(AND(AJ1091=1,N1091="undisclosed")=TRUE,1,0)</f>
        <v>0</v>
      </c>
      <c r="AM1091" s="1193">
        <f t="shared" ref="AM1091:AM1154" si="240">IFERROR(IF(SEARCH("ammuni",I1091,1)&gt;0,1,0),0)</f>
        <v>0</v>
      </c>
      <c r="AN1091" s="1194" t="str">
        <f>VLOOKUP($I1091,'Price List, Weapons &amp; Items'!B:L,COLUMN('Price List, Weapons &amp; Items'!$J$11)-1,0)</f>
        <v>.</v>
      </c>
      <c r="AO1091" s="1194" t="str">
        <f>IF(I1091=".",".",VLOOKUP($I1091,'Price List, Weapons &amp; Items'!B:J,3,0))</f>
        <v>.</v>
      </c>
      <c r="AP1091" s="1195" t="str">
        <f t="shared" ca="1" si="234"/>
        <v>.</v>
      </c>
      <c r="AQ1091" s="1194">
        <f>VLOOKUP($I1091,'Price List, Weapons &amp; Items'!B:L,COLUMN('Price List, Weapons &amp; Items'!$L$11)-1,0)</f>
        <v>0</v>
      </c>
      <c r="AR1091" s="1194">
        <f t="shared" ref="AR1091:AR1154" si="241">IF(U1091="Yes",1,0)</f>
        <v>1</v>
      </c>
      <c r="AS1091" s="1194">
        <f t="shared" ref="AS1091:AS1154" si="242">IF(D1091="Military",IF(OR(IFERROR(SEARCH("equipment",E1091,1),0)&gt;0,IFERROR(SEARCH("weapons",E1091,1),0)&gt;0),1,0),0)</f>
        <v>0</v>
      </c>
      <c r="AT1091" s="1194">
        <f t="shared" ref="AT1091:AT1154" si="243">IFERROR(IF(VALUE(TEXT(C1091,"mm"))=IF(AH1091&gt;12,AH1091-12,AH1091),".",IF(TEXT(C1091,"mm")="01",".",1)),"Value is not in date format")</f>
        <v>1</v>
      </c>
      <c r="AU1091" s="1194" t="str">
        <f t="shared" ref="AU1091:AU1154" si="244">IF(AND(A1091=A1090,C1091=C1090)=TRUE,IF(F1091=F1090,".","1"),".")</f>
        <v>.</v>
      </c>
      <c r="AV1091" s="1194" t="str">
        <f t="shared" si="235"/>
        <v>.</v>
      </c>
      <c r="AW1091" s="1194" t="str">
        <f t="shared" ref="AW1091:AW1154" si="245">IF(T1091&lt;&gt;".",IF(T1091&gt;S1091,1,"."),".")</f>
        <v>.</v>
      </c>
      <c r="AX1091" s="1194">
        <f>IFERROR(VLOOKUP(B1091,'Share, Heavy Weapons to Ukraine'!B:Z,COLUMN('Share, Heavy Weapons to Ukraine'!C1101)-1,0),0)</f>
        <v>1</v>
      </c>
      <c r="AY1091" s="1194">
        <f>VLOOKUP('Bilateral Assistance, MAIN DATA'!B1091,'Country Summary (€)'!B:F,COLUMN('Country Summary (€)'!C1102)-1,FALSE)</f>
        <v>0</v>
      </c>
      <c r="AZ1091" s="1194" t="str">
        <f>IF(AND(AD1091=1,D1091="Military",H1091&lt;&gt;"Not given")=TRUE,IF(SUMIFS(P:P,A:A,A1091)&gt;0,ABS((SUMIFS(P:P,A:A,A1091)/VLOOKUP("USD",'Exchange Rates'!B:C,2,0)))/S1091,"."),".")</f>
        <v>.</v>
      </c>
      <c r="BA1091" s="1196" t="str">
        <f>IF(AND(AD1091=1,D1091="Military",H1091&lt;&gt;"Not given")=TRUE,IF(SUMIFS(P:P,A:A,A1091)&gt;0,IF((ABS((SUMIFS(P:P,A:A,A1091)/VLOOKUP("USD",'Exchange Rates'!B:C,2,0)))/S1091)&gt;1,(SUMIFS(P:P,A:A,A1091)-S1091)/S1091,(S1091-SUMIFS(P:P,A:A,A1091))/SUMIFS(P:P,A:A,A1091)),"."),".")</f>
        <v>.</v>
      </c>
      <c r="BE1091" s="1208" t="s">
        <v>38</v>
      </c>
      <c r="BF1091" s="1208" t="s">
        <v>38</v>
      </c>
      <c r="BG1091" s="1208" t="s">
        <v>38</v>
      </c>
      <c r="BH1091" s="1208" t="s">
        <v>38</v>
      </c>
      <c r="BI1091" s="1208" t="s">
        <v>38</v>
      </c>
      <c r="BJ1091" s="1208" t="s">
        <v>38</v>
      </c>
      <c r="BK1091" s="1208" t="s">
        <v>38</v>
      </c>
      <c r="BL1091" s="1208" t="s">
        <v>38</v>
      </c>
      <c r="BM1091" s="1208" t="s">
        <v>38</v>
      </c>
      <c r="BN1091" s="1208" t="s">
        <v>38</v>
      </c>
      <c r="BO1091" s="1208" t="s">
        <v>38</v>
      </c>
      <c r="BP1091" s="1208" t="s">
        <v>38</v>
      </c>
      <c r="BQ1091" s="1208" t="s">
        <v>38</v>
      </c>
      <c r="BR1091" s="1208" t="s">
        <v>38</v>
      </c>
      <c r="BS1091" s="1208" t="s">
        <v>38</v>
      </c>
    </row>
    <row r="1092" spans="1:71" ht="15.95" customHeight="1">
      <c r="A1092" s="1180" t="s">
        <v>2963</v>
      </c>
      <c r="B1092" s="1208" t="s">
        <v>2882</v>
      </c>
      <c r="C1092" s="1209">
        <v>44977</v>
      </c>
      <c r="D1092" s="1208" t="s">
        <v>360</v>
      </c>
      <c r="E1092" s="1208" t="s">
        <v>361</v>
      </c>
      <c r="F1092" s="1208" t="s">
        <v>2964</v>
      </c>
      <c r="G1092" s="1184" t="s">
        <v>2884</v>
      </c>
      <c r="H1092" s="1211" t="s">
        <v>457</v>
      </c>
      <c r="I1092" s="1208" t="s">
        <v>596</v>
      </c>
      <c r="J1092" s="1186" t="str">
        <f>VLOOKUP($I1092,'Price List, Weapons &amp; Items'!B:C,2,0)</f>
        <v>Military equipment</v>
      </c>
      <c r="K1092" s="1186" t="str">
        <f>IF(I1092=".",I1092,VLOOKUP($I1092,'Price List, Weapons &amp; Items'!B:D,3,0))</f>
        <v>Military equipment</v>
      </c>
      <c r="L1092" s="1187">
        <f>VLOOKUP(I1092,'Price List, Weapons &amp; Items'!B:E,4,0)</f>
        <v>0</v>
      </c>
      <c r="M1092" s="1241">
        <v>11</v>
      </c>
      <c r="N1092" s="1211" t="s">
        <v>374</v>
      </c>
      <c r="O1092" s="1188">
        <f>VLOOKUP($I1092,'Price List, Weapons &amp; Items'!B:G,6,0)</f>
        <v>22216</v>
      </c>
      <c r="P1092" s="1185">
        <f t="shared" si="236"/>
        <v>244376</v>
      </c>
      <c r="Q1092" s="1185" t="str">
        <f t="shared" si="237"/>
        <v>.</v>
      </c>
      <c r="R1092" s="1185">
        <f t="shared" si="233"/>
        <v>244376</v>
      </c>
      <c r="S1092" s="1185">
        <f>IF(AND(AD1092=1,R1092&lt;&gt;".")=TRUE,R1092/VLOOKUP(G1092,'Exchange Rates'!B:C,2,0),IF(R1092=".",".",""))</f>
        <v>20828.091707150772</v>
      </c>
      <c r="T1092" s="1185" t="str">
        <f>IF(AD1092=1,IF(AF1092="Value is not given at all",".",IF(AF1092="Value is given by the source",S1092,IF(AF1092="Value is calculated with prices",(IF(SUMIFS(Q:Q,A:A,A1092)&gt;0,SUMIFS(Q:Q,A:A,A1092),"."))/VLOOKUP("USD",'Exchange Rates'!B:C,2,0),"Error with coding"))),"")</f>
        <v>.</v>
      </c>
      <c r="U1092" s="1191" t="s">
        <v>365</v>
      </c>
      <c r="V1092" s="983" t="s">
        <v>2965</v>
      </c>
      <c r="W1092" s="983" t="s">
        <v>2932</v>
      </c>
      <c r="X1092" s="1208" t="s">
        <v>364</v>
      </c>
      <c r="Y1092" s="1208" t="s">
        <v>364</v>
      </c>
      <c r="Z1092" s="1191">
        <v>0</v>
      </c>
      <c r="AA1092" s="1191">
        <v>0</v>
      </c>
      <c r="AB1092" s="1208" t="s">
        <v>364</v>
      </c>
      <c r="AC1092" s="1192" t="str">
        <f>""</f>
        <v/>
      </c>
      <c r="AD1092" s="1191">
        <v>1</v>
      </c>
      <c r="AE1092" s="1191" t="s">
        <v>436</v>
      </c>
      <c r="AF1092" s="1191" t="s">
        <v>369</v>
      </c>
      <c r="AG1092" s="1191">
        <v>1</v>
      </c>
      <c r="AH1092" s="1191">
        <v>14</v>
      </c>
      <c r="AI1092" s="1191">
        <v>0</v>
      </c>
      <c r="AJ1092" s="1193">
        <f>VLOOKUP($I1092,'Price List, Weapons &amp; Items'!B:F,5,0)</f>
        <v>0</v>
      </c>
      <c r="AK1092" s="1193">
        <f t="shared" si="238"/>
        <v>0</v>
      </c>
      <c r="AL1092" s="1193">
        <f t="shared" si="239"/>
        <v>0</v>
      </c>
      <c r="AM1092" s="1193">
        <f t="shared" si="240"/>
        <v>0</v>
      </c>
      <c r="AN1092" s="1194" t="str">
        <f>VLOOKUP($I1092,'Price List, Weapons &amp; Items'!B:L,COLUMN('Price List, Weapons &amp; Items'!$J$11)-1,0)</f>
        <v>Government information</v>
      </c>
      <c r="AO1092" s="1194" t="str">
        <f>IF(I1092=".",".",VLOOKUP($I1092,'Price List, Weapons &amp; Items'!B:J,3,0))</f>
        <v>Military equipment</v>
      </c>
      <c r="AP1092" s="1195" t="str">
        <f t="shared" ca="1" si="234"/>
        <v>generator</v>
      </c>
      <c r="AQ1092" s="1194">
        <f>VLOOKUP($I1092,'Price List, Weapons &amp; Items'!B:L,COLUMN('Price List, Weapons &amp; Items'!$L$11)-1,0)</f>
        <v>2</v>
      </c>
      <c r="AR1092" s="1194">
        <f t="shared" si="241"/>
        <v>1</v>
      </c>
      <c r="AS1092" s="1194">
        <f t="shared" si="242"/>
        <v>0</v>
      </c>
      <c r="AT1092" s="1194">
        <f t="shared" si="243"/>
        <v>1</v>
      </c>
      <c r="AU1092" s="1194" t="str">
        <f t="shared" si="244"/>
        <v>.</v>
      </c>
      <c r="AV1092" s="1194" t="str">
        <f t="shared" si="235"/>
        <v>.</v>
      </c>
      <c r="AW1092" s="1194" t="str">
        <f t="shared" si="245"/>
        <v>.</v>
      </c>
      <c r="AX1092" s="1194">
        <f>IFERROR(VLOOKUP(B1092,'Share, Heavy Weapons to Ukraine'!B:Z,COLUMN('Share, Heavy Weapons to Ukraine'!C1102)-1,0),0)</f>
        <v>1</v>
      </c>
      <c r="AY1092" s="1194">
        <f>VLOOKUP('Bilateral Assistance, MAIN DATA'!B1092,'Country Summary (€)'!B:F,COLUMN('Country Summary (€)'!C1103)-1,FALSE)</f>
        <v>0</v>
      </c>
      <c r="AZ1092" s="1194" t="str">
        <f>IF(AND(AD1092=1,D1092="Military",H1092&lt;&gt;"Not given")=TRUE,IF(SUMIFS(P:P,A:A,A1092)&gt;0,ABS((SUMIFS(P:P,A:A,A1092)/VLOOKUP("USD",'Exchange Rates'!B:C,2,0)))/S1092,"."),".")</f>
        <v>.</v>
      </c>
      <c r="BA1092" s="1196" t="str">
        <f>IF(AND(AD1092=1,D1092="Military",H1092&lt;&gt;"Not given")=TRUE,IF(SUMIFS(P:P,A:A,A1092)&gt;0,IF((ABS((SUMIFS(P:P,A:A,A1092)/VLOOKUP("USD",'Exchange Rates'!B:C,2,0)))/S1092)&gt;1,(SUMIFS(P:P,A:A,A1092)-S1092)/S1092,(S1092-SUMIFS(P:P,A:A,A1092))/SUMIFS(P:P,A:A,A1092)),"."),".")</f>
        <v>.</v>
      </c>
      <c r="BE1092" s="1208" t="s">
        <v>38</v>
      </c>
      <c r="BF1092" s="1208" t="s">
        <v>38</v>
      </c>
      <c r="BG1092" s="1208" t="s">
        <v>38</v>
      </c>
      <c r="BH1092" s="1208" t="s">
        <v>38</v>
      </c>
      <c r="BI1092" s="1208" t="s">
        <v>38</v>
      </c>
      <c r="BJ1092" s="1208" t="s">
        <v>38</v>
      </c>
      <c r="BK1092" s="1208" t="s">
        <v>38</v>
      </c>
      <c r="BL1092" s="1208" t="s">
        <v>38</v>
      </c>
      <c r="BM1092" s="1208" t="s">
        <v>38</v>
      </c>
      <c r="BN1092" s="1208" t="s">
        <v>38</v>
      </c>
      <c r="BO1092" s="1208" t="s">
        <v>38</v>
      </c>
      <c r="BP1092" s="1208" t="s">
        <v>38</v>
      </c>
      <c r="BQ1092" s="1208" t="s">
        <v>38</v>
      </c>
      <c r="BR1092" s="1208" t="s">
        <v>38</v>
      </c>
      <c r="BS1092" s="1208" t="s">
        <v>38</v>
      </c>
    </row>
    <row r="1093" spans="1:71" ht="15.95" customHeight="1">
      <c r="A1093" s="1180" t="s">
        <v>2966</v>
      </c>
      <c r="B1093" s="1208" t="s">
        <v>2882</v>
      </c>
      <c r="C1093" s="1209">
        <v>44981</v>
      </c>
      <c r="D1093" s="1208" t="s">
        <v>360</v>
      </c>
      <c r="E1093" s="1208" t="s">
        <v>361</v>
      </c>
      <c r="F1093" s="1208" t="s">
        <v>2967</v>
      </c>
      <c r="G1093" s="1184" t="s">
        <v>2884</v>
      </c>
      <c r="H1093" s="1185">
        <v>400000000</v>
      </c>
      <c r="I1093" s="1208" t="s">
        <v>364</v>
      </c>
      <c r="J1093" s="1186" t="str">
        <f>VLOOKUP($I1093,'Price List, Weapons &amp; Items'!B:C,2,0)</f>
        <v>.</v>
      </c>
      <c r="K1093" s="1186" t="str">
        <f>IF(I1093=".",I1093,VLOOKUP($I1093,'Price List, Weapons &amp; Items'!B:D,3,0))</f>
        <v>.</v>
      </c>
      <c r="L1093" s="1187">
        <f>VLOOKUP(I1093,'Price List, Weapons &amp; Items'!B:E,4,0)</f>
        <v>0</v>
      </c>
      <c r="M1093" s="1241" t="s">
        <v>364</v>
      </c>
      <c r="N1093" s="1211" t="s">
        <v>364</v>
      </c>
      <c r="O1093" s="1188" t="str">
        <f>VLOOKUP($I1093,'Price List, Weapons &amp; Items'!B:G,6,0)</f>
        <v>.</v>
      </c>
      <c r="P1093" s="1185" t="str">
        <f t="shared" si="236"/>
        <v>.</v>
      </c>
      <c r="Q1093" s="1185" t="str">
        <f t="shared" si="237"/>
        <v>.</v>
      </c>
      <c r="R1093" s="1185">
        <f t="shared" si="233"/>
        <v>400000000</v>
      </c>
      <c r="S1093" s="1185">
        <f>IF(AND(AD1093=1,R1093&lt;&gt;".")=TRUE,R1093/VLOOKUP(G1093,'Exchange Rates'!B:C,2,0),IF(R1093=".",".",""))</f>
        <v>34091877.610159375</v>
      </c>
      <c r="T1093" s="1185" t="str">
        <f>IF(AD1093=1,IF(AF1093="Value is not given at all",".",IF(AF1093="Value is given by the source",S1093,IF(AF1093="Value is calculated with prices",(IF(SUMIFS(Q:Q,A:A,A1093)&gt;0,SUMIFS(Q:Q,A:A,A1093),"."))/VLOOKUP("USD",'Exchange Rates'!B:C,2,0),"Error with coding"))),"")</f>
        <v>.</v>
      </c>
      <c r="U1093" s="1191" t="s">
        <v>365</v>
      </c>
      <c r="V1093" s="983" t="s">
        <v>2968</v>
      </c>
      <c r="W1093" s="983" t="s">
        <v>2932</v>
      </c>
      <c r="X1093" s="1208" t="s">
        <v>364</v>
      </c>
      <c r="Y1093" s="1208" t="s">
        <v>364</v>
      </c>
      <c r="Z1093" s="1191">
        <v>0</v>
      </c>
      <c r="AA1093" s="1191">
        <v>1</v>
      </c>
      <c r="AB1093" s="1208" t="s">
        <v>364</v>
      </c>
      <c r="AC1093" s="1192" t="str">
        <f>""</f>
        <v/>
      </c>
      <c r="AD1093" s="1191">
        <v>1</v>
      </c>
      <c r="AE1093" s="985" t="s">
        <v>368</v>
      </c>
      <c r="AF1093" s="1191" t="s">
        <v>369</v>
      </c>
      <c r="AG1093" s="1191">
        <v>1</v>
      </c>
      <c r="AH1093" s="1191">
        <v>14</v>
      </c>
      <c r="AI1093" s="1191">
        <v>0</v>
      </c>
      <c r="AJ1093" s="1193">
        <f>VLOOKUP($I1093,'Price List, Weapons &amp; Items'!B:F,5,0)</f>
        <v>0</v>
      </c>
      <c r="AK1093" s="1193">
        <f t="shared" si="238"/>
        <v>0</v>
      </c>
      <c r="AL1093" s="1193">
        <f t="shared" si="239"/>
        <v>0</v>
      </c>
      <c r="AM1093" s="1193">
        <f t="shared" si="240"/>
        <v>0</v>
      </c>
      <c r="AN1093" s="1194" t="str">
        <f>VLOOKUP($I1093,'Price List, Weapons &amp; Items'!B:L,COLUMN('Price List, Weapons &amp; Items'!$J$11)-1,0)</f>
        <v>.</v>
      </c>
      <c r="AO1093" s="1194" t="str">
        <f>IF(I1093=".",".",VLOOKUP($I1093,'Price List, Weapons &amp; Items'!B:J,3,0))</f>
        <v>.</v>
      </c>
      <c r="AP1093" s="1195" t="str">
        <f t="shared" ca="1" si="234"/>
        <v>.</v>
      </c>
      <c r="AQ1093" s="1194">
        <f>VLOOKUP($I1093,'Price List, Weapons &amp; Items'!B:L,COLUMN('Price List, Weapons &amp; Items'!$L$11)-1,0)</f>
        <v>0</v>
      </c>
      <c r="AR1093" s="1194">
        <f t="shared" si="241"/>
        <v>1</v>
      </c>
      <c r="AS1093" s="1194">
        <f t="shared" si="242"/>
        <v>0</v>
      </c>
      <c r="AT1093" s="1194">
        <f t="shared" si="243"/>
        <v>1</v>
      </c>
      <c r="AU1093" s="1194" t="str">
        <f t="shared" si="244"/>
        <v>.</v>
      </c>
      <c r="AV1093" s="1194" t="str">
        <f t="shared" si="235"/>
        <v>.</v>
      </c>
      <c r="AW1093" s="1194" t="str">
        <f t="shared" si="245"/>
        <v>.</v>
      </c>
      <c r="AX1093" s="1194">
        <f>IFERROR(VLOOKUP(B1093,'Share, Heavy Weapons to Ukraine'!B:Z,COLUMN('Share, Heavy Weapons to Ukraine'!C1103)-1,0),0)</f>
        <v>1</v>
      </c>
      <c r="AY1093" s="1194">
        <f>VLOOKUP('Bilateral Assistance, MAIN DATA'!B1093,'Country Summary (€)'!B:F,COLUMN('Country Summary (€)'!C1104)-1,FALSE)</f>
        <v>0</v>
      </c>
      <c r="AZ1093" s="1194" t="str">
        <f>IF(AND(AD1093=1,D1093="Military",H1093&lt;&gt;"Not given")=TRUE,IF(SUMIFS(P:P,A:A,A1093)&gt;0,ABS((SUMIFS(P:P,A:A,A1093)/VLOOKUP("USD",'Exchange Rates'!B:C,2,0)))/S1093,"."),".")</f>
        <v>.</v>
      </c>
      <c r="BA1093" s="1196" t="str">
        <f>IF(AND(AD1093=1,D1093="Military",H1093&lt;&gt;"Not given")=TRUE,IF(SUMIFS(P:P,A:A,A1093)&gt;0,IF((ABS((SUMIFS(P:P,A:A,A1093)/VLOOKUP("USD",'Exchange Rates'!B:C,2,0)))/S1093)&gt;1,(SUMIFS(P:P,A:A,A1093)-S1093)/S1093,(S1093-SUMIFS(P:P,A:A,A1093))/SUMIFS(P:P,A:A,A1093)),"."),".")</f>
        <v>.</v>
      </c>
      <c r="BE1093" s="1208"/>
      <c r="BF1093" s="1208"/>
      <c r="BG1093" s="1208"/>
      <c r="BH1093" s="1208"/>
      <c r="BI1093" s="1208"/>
      <c r="BJ1093" s="1208"/>
      <c r="BK1093" s="1208"/>
      <c r="BL1093" s="1208"/>
      <c r="BM1093" s="1208"/>
      <c r="BN1093" s="1208"/>
      <c r="BO1093" s="1208"/>
      <c r="BP1093" s="1208"/>
      <c r="BQ1093" s="1208"/>
      <c r="BR1093" s="1208"/>
      <c r="BS1093" s="1208"/>
    </row>
    <row r="1094" spans="1:71" ht="15.95" customHeight="1">
      <c r="A1094" s="1180" t="s">
        <v>2969</v>
      </c>
      <c r="B1094" s="1180" t="s">
        <v>2882</v>
      </c>
      <c r="C1094" s="1181" t="s">
        <v>2970</v>
      </c>
      <c r="D1094" s="1182" t="s">
        <v>544</v>
      </c>
      <c r="E1094" s="1182" t="s">
        <v>481</v>
      </c>
      <c r="F1094" s="1183" t="s">
        <v>2971</v>
      </c>
      <c r="G1094" s="1184" t="s">
        <v>2884</v>
      </c>
      <c r="H1094" s="1185">
        <v>300000000</v>
      </c>
      <c r="I1094" s="1201" t="s">
        <v>364</v>
      </c>
      <c r="J1094" s="1186" t="str">
        <f>VLOOKUP($I1094,'Price List, Weapons &amp; Items'!B:C,2,0)</f>
        <v>.</v>
      </c>
      <c r="K1094" s="1186" t="str">
        <f>IF(I1094=".",I1094,VLOOKUP($I1094,'Price List, Weapons &amp; Items'!B:D,3,0))</f>
        <v>.</v>
      </c>
      <c r="L1094" s="1187">
        <f>VLOOKUP(I1094,'Price List, Weapons &amp; Items'!B:E,4,0)</f>
        <v>0</v>
      </c>
      <c r="M1094" s="1188" t="s">
        <v>364</v>
      </c>
      <c r="N1094" s="1188" t="s">
        <v>364</v>
      </c>
      <c r="O1094" s="1188" t="str">
        <f>VLOOKUP($I1094,'Price List, Weapons &amp; Items'!B:G,6,0)</f>
        <v>.</v>
      </c>
      <c r="P1094" s="1185" t="str">
        <f t="shared" si="236"/>
        <v>.</v>
      </c>
      <c r="Q1094" s="1185" t="str">
        <f t="shared" si="237"/>
        <v>.</v>
      </c>
      <c r="R1094" s="1185">
        <f t="shared" si="233"/>
        <v>300000000</v>
      </c>
      <c r="S1094" s="1185">
        <f>IF(AND(AD1094=1,R1094&lt;&gt;".")=TRUE,R1094/VLOOKUP(G1094,'Exchange Rates'!B:C,2,0),IF(R1094=".",".",""))</f>
        <v>25568908.207619533</v>
      </c>
      <c r="T1094" s="1185" t="str">
        <f>IF(AD1094=1,IF(AF1094="Value is not given at all",".",IF(AF1094="Value is given by the source",S1094,IF(AF1094="Value is calculated with prices",(IF(SUMIFS(Q:Q,A:A,A1094)&gt;0,SUMIFS(Q:Q,A:A,A1094),"."))/VLOOKUP("USD",'Exchange Rates'!B:C,2,0),"Error with coding"))),"")</f>
        <v>.</v>
      </c>
      <c r="U1094" s="1184" t="s">
        <v>365</v>
      </c>
      <c r="V1094" s="971" t="s">
        <v>2893</v>
      </c>
      <c r="W1094" s="971" t="s">
        <v>2972</v>
      </c>
      <c r="X1094" s="971" t="s">
        <v>2973</v>
      </c>
      <c r="Y1094" s="1190" t="s">
        <v>364</v>
      </c>
      <c r="Z1094" s="1184">
        <v>1</v>
      </c>
      <c r="AA1094" s="1194">
        <v>0</v>
      </c>
      <c r="AB1094" s="1201" t="s">
        <v>364</v>
      </c>
      <c r="AC1094" s="1192" t="str">
        <f>""</f>
        <v/>
      </c>
      <c r="AD1094" s="1193">
        <v>1</v>
      </c>
      <c r="AE1094" s="1193" t="s">
        <v>368</v>
      </c>
      <c r="AF1094" s="1193" t="s">
        <v>369</v>
      </c>
      <c r="AG1094" s="1193">
        <v>1</v>
      </c>
      <c r="AH1094" s="1193">
        <v>5</v>
      </c>
      <c r="AI1094" s="1193">
        <v>0</v>
      </c>
      <c r="AJ1094" s="1193">
        <f>VLOOKUP($I1094,'Price List, Weapons &amp; Items'!B:F,5,0)</f>
        <v>0</v>
      </c>
      <c r="AK1094" s="1193">
        <f t="shared" si="238"/>
        <v>0</v>
      </c>
      <c r="AL1094" s="1193">
        <f t="shared" si="239"/>
        <v>0</v>
      </c>
      <c r="AM1094" s="1193">
        <f t="shared" si="240"/>
        <v>0</v>
      </c>
      <c r="AN1094" s="1194" t="str">
        <f>VLOOKUP($I1094,'Price List, Weapons &amp; Items'!B:L,COLUMN('Price List, Weapons &amp; Items'!$J$11)-1,0)</f>
        <v>.</v>
      </c>
      <c r="AO1094" s="1194" t="str">
        <f>IF(I1094=".",".",VLOOKUP($I1094,'Price List, Weapons &amp; Items'!B:J,3,0))</f>
        <v>.</v>
      </c>
      <c r="AP1094" s="1195" t="str">
        <f t="shared" ca="1" si="234"/>
        <v>.</v>
      </c>
      <c r="AQ1094" s="1194">
        <f>VLOOKUP($I1094,'Price List, Weapons &amp; Items'!B:L,COLUMN('Price List, Weapons &amp; Items'!$L$11)-1,0)</f>
        <v>0</v>
      </c>
      <c r="AR1094" s="1194">
        <f t="shared" si="241"/>
        <v>1</v>
      </c>
      <c r="AS1094" s="1194">
        <f t="shared" si="242"/>
        <v>0</v>
      </c>
      <c r="AT1094" s="1194" t="str">
        <f t="shared" si="243"/>
        <v>Value is not in date format</v>
      </c>
      <c r="AU1094" s="1194" t="str">
        <f t="shared" si="244"/>
        <v>.</v>
      </c>
      <c r="AV1094" s="1194" t="str">
        <f t="shared" si="235"/>
        <v>.</v>
      </c>
      <c r="AW1094" s="1194" t="str">
        <f t="shared" si="245"/>
        <v>.</v>
      </c>
      <c r="AX1094" s="1194">
        <f>IFERROR(VLOOKUP(B1094,'Share, Heavy Weapons to Ukraine'!B:Z,COLUMN('Share, Heavy Weapons to Ukraine'!C1104)-1,0),0)</f>
        <v>1</v>
      </c>
      <c r="AY1094" s="1194">
        <f>VLOOKUP('Bilateral Assistance, MAIN DATA'!B1094,'Country Summary (€)'!B:F,COLUMN('Country Summary (€)'!C1105)-1,FALSE)</f>
        <v>0</v>
      </c>
      <c r="AZ1094" s="1194" t="str">
        <f>IF(AND(AD1094=1,D1094="Military",H1094&lt;&gt;"Not given")=TRUE,IF(SUMIFS(P:P,A:A,A1094)&gt;0,ABS((SUMIFS(P:P,A:A,A1094)/VLOOKUP("USD",'Exchange Rates'!B:C,2,0)))/S1094,"."),".")</f>
        <v>.</v>
      </c>
      <c r="BA1094" s="1196" t="str">
        <f>IF(AND(AD1094=1,D1094="Military",H1094&lt;&gt;"Not given")=TRUE,IF(SUMIFS(P:P,A:A,A1094)&gt;0,IF((ABS((SUMIFS(P:P,A:A,A1094)/VLOOKUP("USD",'Exchange Rates'!B:C,2,0)))/S1094)&gt;1,(SUMIFS(P:P,A:A,A1094)-S1094)/S1094,(S1094-SUMIFS(P:P,A:A,A1094))/SUMIFS(P:P,A:A,A1094)),"."),".")</f>
        <v>.</v>
      </c>
    </row>
    <row r="1095" spans="1:71" ht="15.95" customHeight="1">
      <c r="A1095" s="1180" t="s">
        <v>2974</v>
      </c>
      <c r="B1095" s="1180" t="s">
        <v>2882</v>
      </c>
      <c r="C1095" s="1181">
        <v>44693</v>
      </c>
      <c r="D1095" s="1182" t="s">
        <v>544</v>
      </c>
      <c r="E1095" s="1182" t="s">
        <v>481</v>
      </c>
      <c r="F1095" s="1183" t="s">
        <v>2975</v>
      </c>
      <c r="G1095" s="1184" t="s">
        <v>2884</v>
      </c>
      <c r="H1095" s="1185">
        <v>50000000</v>
      </c>
      <c r="I1095" s="1201" t="s">
        <v>364</v>
      </c>
      <c r="J1095" s="1186" t="str">
        <f>VLOOKUP($I1095,'Price List, Weapons &amp; Items'!B:C,2,0)</f>
        <v>.</v>
      </c>
      <c r="K1095" s="1186" t="str">
        <f>IF(I1095=".",I1095,VLOOKUP($I1095,'Price List, Weapons &amp; Items'!B:D,3,0))</f>
        <v>.</v>
      </c>
      <c r="L1095" s="1187">
        <f>VLOOKUP(I1095,'Price List, Weapons &amp; Items'!B:E,4,0)</f>
        <v>0</v>
      </c>
      <c r="M1095" s="1188" t="s">
        <v>364</v>
      </c>
      <c r="N1095" s="1188" t="s">
        <v>364</v>
      </c>
      <c r="O1095" s="1188" t="str">
        <f>VLOOKUP($I1095,'Price List, Weapons &amp; Items'!B:G,6,0)</f>
        <v>.</v>
      </c>
      <c r="P1095" s="1185" t="str">
        <f t="shared" si="236"/>
        <v>.</v>
      </c>
      <c r="Q1095" s="1185" t="str">
        <f t="shared" si="237"/>
        <v>.</v>
      </c>
      <c r="R1095" s="1185">
        <f t="shared" si="233"/>
        <v>50000000</v>
      </c>
      <c r="S1095" s="1185">
        <f>IF(AND(AD1095=1,R1095&lt;&gt;".")=TRUE,R1095/VLOOKUP(G1095,'Exchange Rates'!B:C,2,0),IF(R1095=".",".",""))</f>
        <v>4261484.7012699218</v>
      </c>
      <c r="T1095" s="1185" t="str">
        <f>IF(AD1095=1,IF(AF1095="Value is not given at all",".",IF(AF1095="Value is given by the source",S1095,IF(AF1095="Value is calculated with prices",(IF(SUMIFS(Q:Q,A:A,A1095)&gt;0,SUMIFS(Q:Q,A:A,A1095),"."))/VLOOKUP("USD",'Exchange Rates'!B:C,2,0),"Error with coding"))),"")</f>
        <v>.</v>
      </c>
      <c r="U1095" s="1184" t="s">
        <v>365</v>
      </c>
      <c r="V1095" s="971" t="s">
        <v>2976</v>
      </c>
      <c r="W1095" s="1284" t="s">
        <v>2977</v>
      </c>
      <c r="X1095" s="1190" t="s">
        <v>364</v>
      </c>
      <c r="Y1095" s="1190" t="s">
        <v>364</v>
      </c>
      <c r="Z1095" s="1184">
        <v>0</v>
      </c>
      <c r="AA1095" s="1194">
        <v>0</v>
      </c>
      <c r="AB1095" s="1201" t="s">
        <v>364</v>
      </c>
      <c r="AC1095" s="1192" t="str">
        <f>""</f>
        <v/>
      </c>
      <c r="AD1095" s="1193">
        <v>1</v>
      </c>
      <c r="AE1095" s="1193" t="s">
        <v>368</v>
      </c>
      <c r="AF1095" s="1193" t="s">
        <v>369</v>
      </c>
      <c r="AG1095" s="1193">
        <v>1</v>
      </c>
      <c r="AH1095" s="1193">
        <v>5</v>
      </c>
      <c r="AI1095" s="1193">
        <v>0</v>
      </c>
      <c r="AJ1095" s="1193">
        <f>VLOOKUP($I1095,'Price List, Weapons &amp; Items'!B:F,5,0)</f>
        <v>0</v>
      </c>
      <c r="AK1095" s="1193">
        <f t="shared" si="238"/>
        <v>0</v>
      </c>
      <c r="AL1095" s="1193">
        <f t="shared" si="239"/>
        <v>0</v>
      </c>
      <c r="AM1095" s="1193">
        <f t="shared" si="240"/>
        <v>0</v>
      </c>
      <c r="AN1095" s="1194" t="str">
        <f>VLOOKUP($I1095,'Price List, Weapons &amp; Items'!B:L,COLUMN('Price List, Weapons &amp; Items'!$J$11)-1,0)</f>
        <v>.</v>
      </c>
      <c r="AO1095" s="1194" t="str">
        <f>IF(I1095=".",".",VLOOKUP($I1095,'Price List, Weapons &amp; Items'!B:J,3,0))</f>
        <v>.</v>
      </c>
      <c r="AP1095" s="1195" t="str">
        <f t="shared" ca="1" si="234"/>
        <v>.</v>
      </c>
      <c r="AQ1095" s="1194">
        <f>VLOOKUP($I1095,'Price List, Weapons &amp; Items'!B:L,COLUMN('Price List, Weapons &amp; Items'!$L$11)-1,0)</f>
        <v>0</v>
      </c>
      <c r="AR1095" s="1194">
        <f t="shared" si="241"/>
        <v>1</v>
      </c>
      <c r="AS1095" s="1194">
        <f t="shared" si="242"/>
        <v>0</v>
      </c>
      <c r="AT1095" s="1194">
        <f t="shared" si="243"/>
        <v>1</v>
      </c>
      <c r="AU1095" s="1194" t="str">
        <f t="shared" si="244"/>
        <v>.</v>
      </c>
      <c r="AV1095" s="1194" t="str">
        <f t="shared" si="235"/>
        <v>.</v>
      </c>
      <c r="AW1095" s="1194" t="str">
        <f t="shared" si="245"/>
        <v>.</v>
      </c>
      <c r="AX1095" s="1194">
        <f>IFERROR(VLOOKUP(B1095,'Share, Heavy Weapons to Ukraine'!B:Z,COLUMN('Share, Heavy Weapons to Ukraine'!C1105)-1,0),0)</f>
        <v>1</v>
      </c>
      <c r="AY1095" s="1194">
        <f>VLOOKUP('Bilateral Assistance, MAIN DATA'!B1095,'Country Summary (€)'!B:F,COLUMN('Country Summary (€)'!C1106)-1,FALSE)</f>
        <v>0</v>
      </c>
      <c r="AZ1095" s="1194" t="str">
        <f>IF(AND(AD1095=1,D1095="Military",H1095&lt;&gt;"Not given")=TRUE,IF(SUMIFS(P:P,A:A,A1095)&gt;0,ABS((SUMIFS(P:P,A:A,A1095)/VLOOKUP("USD",'Exchange Rates'!B:C,2,0)))/S1095,"."),".")</f>
        <v>.</v>
      </c>
      <c r="BA1095" s="1196" t="str">
        <f>IF(AND(AD1095=1,D1095="Military",H1095&lt;&gt;"Not given")=TRUE,IF(SUMIFS(P:P,A:A,A1095)&gt;0,IF((ABS((SUMIFS(P:P,A:A,A1095)/VLOOKUP("USD",'Exchange Rates'!B:C,2,0)))/S1095)&gt;1,(SUMIFS(P:P,A:A,A1095)-S1095)/S1095,(S1095-SUMIFS(P:P,A:A,A1095))/SUMIFS(P:P,A:A,A1095)),"."),".")</f>
        <v>.</v>
      </c>
    </row>
    <row r="1096" spans="1:71" ht="15.95" customHeight="1">
      <c r="A1096" s="1196" t="s">
        <v>2978</v>
      </c>
      <c r="B1096" s="1180" t="s">
        <v>2882</v>
      </c>
      <c r="C1096" s="1181">
        <v>44839</v>
      </c>
      <c r="D1096" s="1182" t="s">
        <v>544</v>
      </c>
      <c r="E1096" s="1182" t="s">
        <v>481</v>
      </c>
      <c r="F1096" s="1183" t="s">
        <v>2979</v>
      </c>
      <c r="G1096" s="1184" t="s">
        <v>2884</v>
      </c>
      <c r="H1096" s="1185">
        <v>2000000000</v>
      </c>
      <c r="I1096" s="1180" t="s">
        <v>364</v>
      </c>
      <c r="J1096" s="1186" t="str">
        <f>VLOOKUP($I1096,'Price List, Weapons &amp; Items'!B:C,2,0)</f>
        <v>.</v>
      </c>
      <c r="K1096" s="1186" t="str">
        <f>IF(I1096=".",I1096,VLOOKUP($I1096,'Price List, Weapons &amp; Items'!B:D,3,0))</f>
        <v>.</v>
      </c>
      <c r="L1096" s="1187">
        <f>VLOOKUP(I1096,'Price List, Weapons &amp; Items'!B:E,4,0)</f>
        <v>0</v>
      </c>
      <c r="M1096" s="1188" t="s">
        <v>364</v>
      </c>
      <c r="N1096" s="1275" t="s">
        <v>364</v>
      </c>
      <c r="O1096" s="1188" t="str">
        <f>VLOOKUP($I1096,'Price List, Weapons &amp; Items'!B:G,6,0)</f>
        <v>.</v>
      </c>
      <c r="P1096" s="1185" t="str">
        <f t="shared" si="236"/>
        <v>.</v>
      </c>
      <c r="Q1096" s="1185" t="str">
        <f t="shared" si="237"/>
        <v>.</v>
      </c>
      <c r="R1096" s="1185">
        <f t="shared" si="233"/>
        <v>2000000000</v>
      </c>
      <c r="S1096" s="1185">
        <f>IF(AND(AD1096=1,R1096&lt;&gt;".")=TRUE,R1096/VLOOKUP(G1096,'Exchange Rates'!B:C,2,0),IF(R1096=".",".",""))</f>
        <v>170459388.0507969</v>
      </c>
      <c r="T1096" s="1185" t="str">
        <f>IF(AD1096=1,IF(AF1096="Value is not given at all",".",IF(AF1096="Value is given by the source",S1096,IF(AF1096="Value is calculated with prices",(IF(SUMIFS(Q:Q,A:A,A1096)&gt;0,SUMIFS(Q:Q,A:A,A1096),"."))/VLOOKUP("USD",'Exchange Rates'!B:C,2,0),"Error with coding"))),"")</f>
        <v>.</v>
      </c>
      <c r="U1096" s="1184" t="s">
        <v>365</v>
      </c>
      <c r="V1096" s="971" t="s">
        <v>2980</v>
      </c>
      <c r="W1096" s="972" t="s">
        <v>2981</v>
      </c>
      <c r="X1096" s="986" t="s">
        <v>364</v>
      </c>
      <c r="Y1096" s="986" t="s">
        <v>364</v>
      </c>
      <c r="Z1096" s="1184">
        <v>0</v>
      </c>
      <c r="AA1096" s="1194">
        <v>0</v>
      </c>
      <c r="AB1096" s="1201" t="s">
        <v>364</v>
      </c>
      <c r="AC1096" s="1192" t="str">
        <f>""</f>
        <v/>
      </c>
      <c r="AD1096" s="985">
        <v>1</v>
      </c>
      <c r="AE1096" s="985" t="s">
        <v>368</v>
      </c>
      <c r="AF1096" s="985" t="s">
        <v>369</v>
      </c>
      <c r="AG1096" s="985">
        <v>1</v>
      </c>
      <c r="AH1096" s="1193">
        <v>10</v>
      </c>
      <c r="AI1096" s="1193">
        <v>0</v>
      </c>
      <c r="AJ1096" s="1193">
        <f>VLOOKUP($I1096,'Price List, Weapons &amp; Items'!B:F,5,0)</f>
        <v>0</v>
      </c>
      <c r="AK1096" s="1193">
        <f t="shared" si="238"/>
        <v>0</v>
      </c>
      <c r="AL1096" s="1193">
        <f t="shared" si="239"/>
        <v>0</v>
      </c>
      <c r="AM1096" s="1193">
        <f t="shared" si="240"/>
        <v>0</v>
      </c>
      <c r="AN1096" s="1194" t="str">
        <f>VLOOKUP($I1096,'Price List, Weapons &amp; Items'!B:L,COLUMN('Price List, Weapons &amp; Items'!$J$11)-1,0)</f>
        <v>.</v>
      </c>
      <c r="AO1096" s="1194" t="str">
        <f>IF(I1096=".",".",VLOOKUP($I1096,'Price List, Weapons &amp; Items'!B:J,3,0))</f>
        <v>.</v>
      </c>
      <c r="AP1096" s="1195" t="str">
        <f t="shared" ca="1" si="234"/>
        <v>.</v>
      </c>
      <c r="AQ1096" s="1194">
        <f>VLOOKUP($I1096,'Price List, Weapons &amp; Items'!B:L,COLUMN('Price List, Weapons &amp; Items'!$L$11)-1,0)</f>
        <v>0</v>
      </c>
      <c r="AR1096" s="1194">
        <f t="shared" si="241"/>
        <v>1</v>
      </c>
      <c r="AS1096" s="1194">
        <f t="shared" si="242"/>
        <v>0</v>
      </c>
      <c r="AT1096" s="1194">
        <f t="shared" si="243"/>
        <v>1</v>
      </c>
      <c r="AU1096" s="1194" t="str">
        <f t="shared" si="244"/>
        <v>.</v>
      </c>
      <c r="AV1096" s="1194" t="str">
        <f t="shared" si="235"/>
        <v>.</v>
      </c>
      <c r="AW1096" s="1194" t="str">
        <f t="shared" si="245"/>
        <v>.</v>
      </c>
      <c r="AX1096" s="1194">
        <f>IFERROR(VLOOKUP(B1096,'Share, Heavy Weapons to Ukraine'!B:Z,COLUMN('Share, Heavy Weapons to Ukraine'!C1106)-1,0),0)</f>
        <v>1</v>
      </c>
      <c r="AY1096" s="1194">
        <f>VLOOKUP('Bilateral Assistance, MAIN DATA'!B1096,'Country Summary (€)'!B:F,COLUMN('Country Summary (€)'!C1107)-1,FALSE)</f>
        <v>0</v>
      </c>
      <c r="AZ1096" s="1194" t="str">
        <f>IF(AND(AD1096=1,D1096="Military",H1096&lt;&gt;"Not given")=TRUE,IF(SUMIFS(P:P,A:A,A1096)&gt;0,ABS((SUMIFS(P:P,A:A,A1096)/VLOOKUP("USD",'Exchange Rates'!B:C,2,0)))/S1096,"."),".")</f>
        <v>.</v>
      </c>
      <c r="BA1096" s="1196" t="str">
        <f>IF(AND(AD1096=1,D1096="Military",H1096&lt;&gt;"Not given")=TRUE,IF(SUMIFS(P:P,A:A,A1096)&gt;0,IF((ABS((SUMIFS(P:P,A:A,A1096)/VLOOKUP("USD",'Exchange Rates'!B:C,2,0)))/S1096)&gt;1,(SUMIFS(P:P,A:A,A1096)-S1096)/S1096,(S1096-SUMIFS(P:P,A:A,A1096))/SUMIFS(P:P,A:A,A1096)),"."),".")</f>
        <v>.</v>
      </c>
    </row>
    <row r="1097" spans="1:71" ht="15.95" customHeight="1">
      <c r="A1097" s="1180" t="s">
        <v>2982</v>
      </c>
      <c r="B1097" s="1180" t="s">
        <v>2882</v>
      </c>
      <c r="C1097" s="1181">
        <v>44839</v>
      </c>
      <c r="D1097" s="1182" t="s">
        <v>544</v>
      </c>
      <c r="E1097" s="1182" t="s">
        <v>481</v>
      </c>
      <c r="F1097" s="1183" t="s">
        <v>2983</v>
      </c>
      <c r="G1097" s="1184" t="s">
        <v>2884</v>
      </c>
      <c r="H1097" s="1185">
        <v>1000000000</v>
      </c>
      <c r="I1097" s="1180" t="s">
        <v>364</v>
      </c>
      <c r="J1097" s="1186" t="str">
        <f>VLOOKUP($I1097,'Price List, Weapons &amp; Items'!B:C,2,0)</f>
        <v>.</v>
      </c>
      <c r="K1097" s="1186" t="str">
        <f>IF(I1097=".",I1097,VLOOKUP($I1097,'Price List, Weapons &amp; Items'!B:D,3,0))</f>
        <v>.</v>
      </c>
      <c r="L1097" s="1187">
        <f>VLOOKUP(I1097,'Price List, Weapons &amp; Items'!B:E,4,0)</f>
        <v>0</v>
      </c>
      <c r="M1097" s="1188" t="s">
        <v>364</v>
      </c>
      <c r="N1097" s="1275" t="s">
        <v>364</v>
      </c>
      <c r="O1097" s="1188" t="str">
        <f>VLOOKUP($I1097,'Price List, Weapons &amp; Items'!B:G,6,0)</f>
        <v>.</v>
      </c>
      <c r="P1097" s="1185" t="str">
        <f t="shared" si="236"/>
        <v>.</v>
      </c>
      <c r="Q1097" s="1185" t="str">
        <f t="shared" si="237"/>
        <v>.</v>
      </c>
      <c r="R1097" s="1185">
        <f t="shared" si="233"/>
        <v>1000000000</v>
      </c>
      <c r="S1097" s="1185">
        <f>IF(AND(AD1097=1,R1097&lt;&gt;".")=TRUE,R1097/VLOOKUP(G1097,'Exchange Rates'!B:C,2,0),IF(R1097=".",".",""))</f>
        <v>85229694.025398448</v>
      </c>
      <c r="T1097" s="1185" t="str">
        <f>IF(AD1097=1,IF(AF1097="Value is not given at all",".",IF(AF1097="Value is given by the source",S1097,IF(AF1097="Value is calculated with prices",(IF(SUMIFS(Q:Q,A:A,A1097)&gt;0,SUMIFS(Q:Q,A:A,A1097),"."))/VLOOKUP("USD",'Exchange Rates'!B:C,2,0),"Error with coding"))),"")</f>
        <v>.</v>
      </c>
      <c r="U1097" s="1184" t="s">
        <v>365</v>
      </c>
      <c r="V1097" s="1017" t="s">
        <v>2893</v>
      </c>
      <c r="W1097" s="1017" t="s">
        <v>2981</v>
      </c>
      <c r="X1097" s="986" t="s">
        <v>364</v>
      </c>
      <c r="Y1097" s="986" t="s">
        <v>364</v>
      </c>
      <c r="Z1097" s="1184">
        <v>1</v>
      </c>
      <c r="AA1097" s="1194">
        <v>0</v>
      </c>
      <c r="AB1097" s="1201" t="s">
        <v>364</v>
      </c>
      <c r="AC1097" s="1192" t="str">
        <f>""</f>
        <v/>
      </c>
      <c r="AD1097" s="985">
        <v>1</v>
      </c>
      <c r="AE1097" s="985" t="s">
        <v>368</v>
      </c>
      <c r="AF1097" s="985" t="s">
        <v>369</v>
      </c>
      <c r="AG1097" s="985">
        <v>1</v>
      </c>
      <c r="AH1097" s="1193">
        <v>10</v>
      </c>
      <c r="AI1097" s="1193">
        <v>0</v>
      </c>
      <c r="AJ1097" s="1193">
        <f>VLOOKUP($I1097,'Price List, Weapons &amp; Items'!B:F,5,0)</f>
        <v>0</v>
      </c>
      <c r="AK1097" s="1193">
        <f t="shared" si="238"/>
        <v>0</v>
      </c>
      <c r="AL1097" s="1193">
        <f t="shared" si="239"/>
        <v>0</v>
      </c>
      <c r="AM1097" s="1193">
        <f t="shared" si="240"/>
        <v>0</v>
      </c>
      <c r="AN1097" s="1194" t="str">
        <f>VLOOKUP($I1097,'Price List, Weapons &amp; Items'!B:L,COLUMN('Price List, Weapons &amp; Items'!$J$11)-1,0)</f>
        <v>.</v>
      </c>
      <c r="AO1097" s="1194" t="str">
        <f>IF(I1097=".",".",VLOOKUP($I1097,'Price List, Weapons &amp; Items'!B:J,3,0))</f>
        <v>.</v>
      </c>
      <c r="AP1097" s="1195" t="str">
        <f t="shared" ca="1" si="234"/>
        <v>.</v>
      </c>
      <c r="AQ1097" s="1194">
        <f>VLOOKUP($I1097,'Price List, Weapons &amp; Items'!B:L,COLUMN('Price List, Weapons &amp; Items'!$L$11)-1,0)</f>
        <v>0</v>
      </c>
      <c r="AR1097" s="1194">
        <f t="shared" si="241"/>
        <v>1</v>
      </c>
      <c r="AS1097" s="1194">
        <f t="shared" si="242"/>
        <v>0</v>
      </c>
      <c r="AT1097" s="1194">
        <f t="shared" si="243"/>
        <v>1</v>
      </c>
      <c r="AU1097" s="1194" t="str">
        <f t="shared" si="244"/>
        <v>.</v>
      </c>
      <c r="AV1097" s="1194" t="str">
        <f t="shared" si="235"/>
        <v>.</v>
      </c>
      <c r="AW1097" s="1194" t="str">
        <f t="shared" si="245"/>
        <v>.</v>
      </c>
      <c r="AX1097" s="1194">
        <f>IFERROR(VLOOKUP(B1097,'Share, Heavy Weapons to Ukraine'!B:Z,COLUMN('Share, Heavy Weapons to Ukraine'!C1107)-1,0),0)</f>
        <v>1</v>
      </c>
      <c r="AY1097" s="1194">
        <f>VLOOKUP('Bilateral Assistance, MAIN DATA'!B1097,'Country Summary (€)'!B:F,COLUMN('Country Summary (€)'!C1108)-1,FALSE)</f>
        <v>0</v>
      </c>
      <c r="AZ1097" s="1194" t="str">
        <f>IF(AND(AD1097=1,D1097="Military",H1097&lt;&gt;"Not given")=TRUE,IF(SUMIFS(P:P,A:A,A1097)&gt;0,ABS((SUMIFS(P:P,A:A,A1097)/VLOOKUP("USD",'Exchange Rates'!B:C,2,0)))/S1097,"."),".")</f>
        <v>.</v>
      </c>
      <c r="BA1097" s="1196" t="str">
        <f>IF(AND(AD1097=1,D1097="Military",H1097&lt;&gt;"Not given")=TRUE,IF(SUMIFS(P:P,A:A,A1097)&gt;0,IF((ABS((SUMIFS(P:P,A:A,A1097)/VLOOKUP("USD",'Exchange Rates'!B:C,2,0)))/S1097)&gt;1,(SUMIFS(P:P,A:A,A1097)-S1097)/S1097,(S1097-SUMIFS(P:P,A:A,A1097))/SUMIFS(P:P,A:A,A1097)),"."),".")</f>
        <v>.</v>
      </c>
    </row>
    <row r="1098" spans="1:71" ht="15.95" customHeight="1">
      <c r="A1098" s="1208" t="s">
        <v>2984</v>
      </c>
      <c r="B1098" s="1208" t="s">
        <v>2882</v>
      </c>
      <c r="C1098" s="1209">
        <v>44973</v>
      </c>
      <c r="D1098" s="1208" t="s">
        <v>544</v>
      </c>
      <c r="E1098" s="1208" t="s">
        <v>481</v>
      </c>
      <c r="F1098" s="1208" t="s">
        <v>2985</v>
      </c>
      <c r="G1098" s="1184" t="s">
        <v>2884</v>
      </c>
      <c r="H1098" s="1221">
        <v>7060000000</v>
      </c>
      <c r="I1098" s="1208" t="s">
        <v>364</v>
      </c>
      <c r="J1098" s="1186" t="str">
        <f>VLOOKUP($I1098,'Price List, Weapons &amp; Items'!B:C,2,0)</f>
        <v>.</v>
      </c>
      <c r="K1098" s="1186" t="str">
        <f>IF(I1098=".",I1098,VLOOKUP($I1098,'Price List, Weapons &amp; Items'!B:D,3,0))</f>
        <v>.</v>
      </c>
      <c r="L1098" s="1187">
        <f>VLOOKUP(I1098,'Price List, Weapons &amp; Items'!B:E,4,0)</f>
        <v>0</v>
      </c>
      <c r="M1098" s="1241" t="s">
        <v>364</v>
      </c>
      <c r="N1098" s="1211" t="s">
        <v>364</v>
      </c>
      <c r="O1098" s="1188" t="str">
        <f>VLOOKUP($I1098,'Price List, Weapons &amp; Items'!B:G,6,0)</f>
        <v>.</v>
      </c>
      <c r="P1098" s="1185" t="str">
        <f t="shared" si="236"/>
        <v>.</v>
      </c>
      <c r="Q1098" s="1185" t="str">
        <f t="shared" si="237"/>
        <v>.</v>
      </c>
      <c r="R1098" s="1185">
        <f t="shared" si="233"/>
        <v>7060000000</v>
      </c>
      <c r="S1098" s="1185">
        <f>IF(AND(AD1098=1,R1098&lt;&gt;".")=TRUE,R1098/VLOOKUP(G1098,'Exchange Rates'!B:C,2,0),IF(R1098=".",".",""))</f>
        <v>601721639.81931305</v>
      </c>
      <c r="T1098" s="1185" t="str">
        <f>IF(AD1098=1,IF(AF1098="Value is not given at all",".",IF(AF1098="Value is given by the source",S1098,IF(AF1098="Value is calculated with prices",(IF(SUMIFS(Q:Q,A:A,A1098)&gt;0,SUMIFS(Q:Q,A:A,A1098),"."))/VLOOKUP("USD",'Exchange Rates'!B:C,2,0),"Error with coding"))),"")</f>
        <v>.</v>
      </c>
      <c r="U1098" s="1191" t="s">
        <v>365</v>
      </c>
      <c r="V1098" s="983" t="s">
        <v>2931</v>
      </c>
      <c r="W1098" s="983" t="s">
        <v>2932</v>
      </c>
      <c r="X1098" s="983" t="s">
        <v>2968</v>
      </c>
      <c r="Y1098" s="983" t="s">
        <v>2986</v>
      </c>
      <c r="Z1098" s="1191">
        <v>0</v>
      </c>
      <c r="AA1098" s="1191">
        <v>0</v>
      </c>
      <c r="AB1098" s="1208" t="s">
        <v>364</v>
      </c>
      <c r="AC1098" s="1192" t="str">
        <f>""</f>
        <v/>
      </c>
      <c r="AD1098" s="1191">
        <v>1</v>
      </c>
      <c r="AE1098" s="1191" t="s">
        <v>368</v>
      </c>
      <c r="AF1098" s="1191" t="s">
        <v>369</v>
      </c>
      <c r="AG1098" s="985">
        <v>1</v>
      </c>
      <c r="AH1098" s="1191">
        <v>14</v>
      </c>
      <c r="AI1098" s="1193">
        <v>0</v>
      </c>
      <c r="AJ1098" s="1193">
        <f>VLOOKUP($I1098,'Price List, Weapons &amp; Items'!B:F,5,0)</f>
        <v>0</v>
      </c>
      <c r="AK1098" s="1193">
        <f t="shared" si="238"/>
        <v>0</v>
      </c>
      <c r="AL1098" s="1193">
        <f t="shared" si="239"/>
        <v>0</v>
      </c>
      <c r="AM1098" s="1193">
        <f t="shared" si="240"/>
        <v>0</v>
      </c>
      <c r="AN1098" s="1194" t="str">
        <f>VLOOKUP($I1098,'Price List, Weapons &amp; Items'!B:L,COLUMN('Price List, Weapons &amp; Items'!$J$11)-1,0)</f>
        <v>.</v>
      </c>
      <c r="AO1098" s="1194" t="str">
        <f>IF(I1098=".",".",VLOOKUP($I1098,'Price List, Weapons &amp; Items'!B:J,3,0))</f>
        <v>.</v>
      </c>
      <c r="AP1098" s="1195" t="str">
        <f t="shared" ca="1" si="234"/>
        <v>.</v>
      </c>
      <c r="AQ1098" s="1194">
        <f>VLOOKUP($I1098,'Price List, Weapons &amp; Items'!B:L,COLUMN('Price List, Weapons &amp; Items'!$L$11)-1,0)</f>
        <v>0</v>
      </c>
      <c r="AR1098" s="1194">
        <f t="shared" si="241"/>
        <v>1</v>
      </c>
      <c r="AS1098" s="1194">
        <f t="shared" si="242"/>
        <v>0</v>
      </c>
      <c r="AT1098" s="1194">
        <f t="shared" si="243"/>
        <v>1</v>
      </c>
      <c r="AU1098" s="1194" t="str">
        <f t="shared" si="244"/>
        <v>.</v>
      </c>
      <c r="AV1098" s="1194" t="str">
        <f t="shared" si="235"/>
        <v>.</v>
      </c>
      <c r="AW1098" s="1194" t="str">
        <f t="shared" si="245"/>
        <v>.</v>
      </c>
      <c r="AX1098" s="1194">
        <f>IFERROR(VLOOKUP(B1098,'Share, Heavy Weapons to Ukraine'!B:Z,COLUMN('Share, Heavy Weapons to Ukraine'!C1108)-1,0),0)</f>
        <v>1</v>
      </c>
      <c r="AY1098" s="1194">
        <f>VLOOKUP('Bilateral Assistance, MAIN DATA'!B1098,'Country Summary (€)'!B:F,COLUMN('Country Summary (€)'!C1109)-1,FALSE)</f>
        <v>0</v>
      </c>
      <c r="AZ1098" s="1194" t="str">
        <f>IF(AND(AD1098=1,D1098="Military",H1098&lt;&gt;"Not given")=TRUE,IF(SUMIFS(P:P,A:A,A1098)&gt;0,ABS((SUMIFS(P:P,A:A,A1098)/VLOOKUP("USD",'Exchange Rates'!B:C,2,0)))/S1098,"."),".")</f>
        <v>.</v>
      </c>
      <c r="BA1098" s="1196" t="str">
        <f>IF(AND(AD1098=1,D1098="Military",H1098&lt;&gt;"Not given")=TRUE,IF(SUMIFS(P:P,A:A,A1098)&gt;0,IF((ABS((SUMIFS(P:P,A:A,A1098)/VLOOKUP("USD",'Exchange Rates'!B:C,2,0)))/S1098)&gt;1,(SUMIFS(P:P,A:A,A1098)-S1098)/S1098,(S1098-SUMIFS(P:P,A:A,A1098))/SUMIFS(P:P,A:A,A1098)),"."),".")</f>
        <v>.</v>
      </c>
      <c r="BB1098" s="1208" t="s">
        <v>38</v>
      </c>
      <c r="BC1098" s="1208" t="s">
        <v>38</v>
      </c>
      <c r="BD1098" s="1208" t="s">
        <v>38</v>
      </c>
      <c r="BE1098" s="1208" t="s">
        <v>38</v>
      </c>
      <c r="BF1098" s="1208" t="s">
        <v>38</v>
      </c>
      <c r="BG1098" s="1208" t="s">
        <v>38</v>
      </c>
      <c r="BH1098" s="1208" t="s">
        <v>38</v>
      </c>
      <c r="BI1098" s="1208" t="s">
        <v>38</v>
      </c>
      <c r="BJ1098" s="1208" t="s">
        <v>38</v>
      </c>
      <c r="BK1098" s="1208" t="s">
        <v>38</v>
      </c>
      <c r="BL1098" s="1208" t="s">
        <v>38</v>
      </c>
      <c r="BM1098" s="1208" t="s">
        <v>38</v>
      </c>
      <c r="BN1098" s="1208" t="s">
        <v>38</v>
      </c>
      <c r="BO1098" s="1208" t="s">
        <v>38</v>
      </c>
      <c r="BP1098" s="1208" t="s">
        <v>38</v>
      </c>
      <c r="BQ1098" s="1208" t="s">
        <v>38</v>
      </c>
      <c r="BR1098" s="1208" t="s">
        <v>38</v>
      </c>
      <c r="BS1098" s="1208" t="s">
        <v>38</v>
      </c>
    </row>
    <row r="1099" spans="1:71" ht="15.95" customHeight="1">
      <c r="A1099" s="1208" t="s">
        <v>2987</v>
      </c>
      <c r="B1099" s="1208" t="s">
        <v>2882</v>
      </c>
      <c r="C1099" s="1209">
        <v>44973</v>
      </c>
      <c r="D1099" s="1208" t="s">
        <v>544</v>
      </c>
      <c r="E1099" s="1208" t="s">
        <v>481</v>
      </c>
      <c r="F1099" s="1208" t="s">
        <v>2943</v>
      </c>
      <c r="G1099" s="1184" t="s">
        <v>2884</v>
      </c>
      <c r="H1099" s="1221" t="s">
        <v>457</v>
      </c>
      <c r="I1099" s="1208" t="s">
        <v>364</v>
      </c>
      <c r="J1099" s="1186" t="str">
        <f>VLOOKUP($I1099,'Price List, Weapons &amp; Items'!B:C,2,0)</f>
        <v>.</v>
      </c>
      <c r="K1099" s="1186" t="str">
        <f>IF(I1099=".",I1099,VLOOKUP($I1099,'Price List, Weapons &amp; Items'!B:D,3,0))</f>
        <v>.</v>
      </c>
      <c r="L1099" s="1187">
        <f>VLOOKUP(I1099,'Price List, Weapons &amp; Items'!B:E,4,0)</f>
        <v>0</v>
      </c>
      <c r="M1099" s="1241" t="s">
        <v>364</v>
      </c>
      <c r="N1099" s="1211" t="s">
        <v>364</v>
      </c>
      <c r="O1099" s="1188" t="str">
        <f>VLOOKUP($I1099,'Price List, Weapons &amp; Items'!B:G,6,0)</f>
        <v>.</v>
      </c>
      <c r="P1099" s="1185" t="str">
        <f t="shared" si="236"/>
        <v>.</v>
      </c>
      <c r="Q1099" s="1185" t="str">
        <f t="shared" si="237"/>
        <v>.</v>
      </c>
      <c r="R1099" s="1185" t="str">
        <f t="shared" si="233"/>
        <v>.</v>
      </c>
      <c r="S1099" s="1185" t="str">
        <f>IF(AND(AD1099=1,R1099&lt;&gt;".")=TRUE,R1099/VLOOKUP(G1099,'Exchange Rates'!B:C,2,0),IF(R1099=".",".",""))</f>
        <v>.</v>
      </c>
      <c r="T1099" s="1185" t="str">
        <f>IF(AD1099=1,IF(AF1099="Value is not given at all",".",IF(AF1099="Value is given by the source",S1099,IF(AF1099="Value is calculated with prices",(IF(SUMIFS(Q:Q,A:A,A1099)&gt;0,SUMIFS(Q:Q,A:A,A1099),"."))/VLOOKUP("USD",'Exchange Rates'!B:C,2,0),"Error with coding"))),"")</f>
        <v>.</v>
      </c>
      <c r="U1099" s="1191" t="s">
        <v>365</v>
      </c>
      <c r="V1099" s="983" t="s">
        <v>2931</v>
      </c>
      <c r="W1099" s="983" t="s">
        <v>2932</v>
      </c>
      <c r="X1099" s="1208" t="s">
        <v>364</v>
      </c>
      <c r="Y1099" s="1208" t="s">
        <v>364</v>
      </c>
      <c r="Z1099" s="1191">
        <v>0</v>
      </c>
      <c r="AA1099" s="1191">
        <v>0</v>
      </c>
      <c r="AB1099" s="1208" t="s">
        <v>364</v>
      </c>
      <c r="AC1099" s="1192" t="str">
        <f>""</f>
        <v/>
      </c>
      <c r="AD1099" s="1191">
        <v>1</v>
      </c>
      <c r="AE1099" s="1191" t="s">
        <v>369</v>
      </c>
      <c r="AF1099" s="1191" t="s">
        <v>369</v>
      </c>
      <c r="AG1099" s="985">
        <v>1</v>
      </c>
      <c r="AH1099" s="1191">
        <v>14</v>
      </c>
      <c r="AI1099" s="1193">
        <v>0</v>
      </c>
      <c r="AJ1099" s="1193">
        <f>VLOOKUP($I1099,'Price List, Weapons &amp; Items'!B:F,5,0)</f>
        <v>0</v>
      </c>
      <c r="AK1099" s="1193">
        <f t="shared" si="238"/>
        <v>0</v>
      </c>
      <c r="AL1099" s="1193">
        <f t="shared" si="239"/>
        <v>0</v>
      </c>
      <c r="AM1099" s="1193">
        <f t="shared" si="240"/>
        <v>0</v>
      </c>
      <c r="AN1099" s="1194" t="str">
        <f>VLOOKUP($I1099,'Price List, Weapons &amp; Items'!B:L,COLUMN('Price List, Weapons &amp; Items'!$J$11)-1,0)</f>
        <v>.</v>
      </c>
      <c r="AO1099" s="1194" t="str">
        <f>IF(I1099=".",".",VLOOKUP($I1099,'Price List, Weapons &amp; Items'!B:J,3,0))</f>
        <v>.</v>
      </c>
      <c r="AP1099" s="1195" t="str">
        <f t="shared" ca="1" si="234"/>
        <v>.</v>
      </c>
      <c r="AQ1099" s="1194">
        <f>VLOOKUP($I1099,'Price List, Weapons &amp; Items'!B:L,COLUMN('Price List, Weapons &amp; Items'!$L$11)-1,0)</f>
        <v>0</v>
      </c>
      <c r="AR1099" s="1194">
        <f t="shared" si="241"/>
        <v>1</v>
      </c>
      <c r="AS1099" s="1194">
        <f t="shared" si="242"/>
        <v>0</v>
      </c>
      <c r="AT1099" s="1194">
        <f t="shared" si="243"/>
        <v>1</v>
      </c>
      <c r="AU1099" s="1194" t="str">
        <f t="shared" si="244"/>
        <v>.</v>
      </c>
      <c r="AV1099" s="1194" t="str">
        <f t="shared" si="235"/>
        <v>.</v>
      </c>
      <c r="AW1099" s="1194" t="str">
        <f t="shared" si="245"/>
        <v>.</v>
      </c>
      <c r="AX1099" s="1194">
        <f>IFERROR(VLOOKUP(B1099,'Share, Heavy Weapons to Ukraine'!B:Z,COLUMN('Share, Heavy Weapons to Ukraine'!C1109)-1,0),0)</f>
        <v>1</v>
      </c>
      <c r="AY1099" s="1194">
        <f>VLOOKUP('Bilateral Assistance, MAIN DATA'!B1099,'Country Summary (€)'!B:F,COLUMN('Country Summary (€)'!C1110)-1,FALSE)</f>
        <v>0</v>
      </c>
      <c r="AZ1099" s="1194" t="str">
        <f>IF(AND(AD1099=1,D1099="Military",H1099&lt;&gt;"Not given")=TRUE,IF(SUMIFS(P:P,A:A,A1099)&gt;0,ABS((SUMIFS(P:P,A:A,A1099)/VLOOKUP("USD",'Exchange Rates'!B:C,2,0)))/S1099,"."),".")</f>
        <v>.</v>
      </c>
      <c r="BA1099" s="1196" t="str">
        <f>IF(AND(AD1099=1,D1099="Military",H1099&lt;&gt;"Not given")=TRUE,IF(SUMIFS(P:P,A:A,A1099)&gt;0,IF((ABS((SUMIFS(P:P,A:A,A1099)/VLOOKUP("USD",'Exchange Rates'!B:C,2,0)))/S1099)&gt;1,(SUMIFS(P:P,A:A,A1099)-S1099)/S1099,(S1099-SUMIFS(P:P,A:A,A1099))/SUMIFS(P:P,A:A,A1099)),"."),".")</f>
        <v>.</v>
      </c>
      <c r="BC1099" s="1208" t="s">
        <v>38</v>
      </c>
      <c r="BD1099" s="1208" t="s">
        <v>38</v>
      </c>
      <c r="BE1099" s="1208" t="s">
        <v>38</v>
      </c>
      <c r="BF1099" s="1208" t="s">
        <v>38</v>
      </c>
      <c r="BG1099" s="1208" t="s">
        <v>38</v>
      </c>
      <c r="BH1099" s="1208" t="s">
        <v>38</v>
      </c>
      <c r="BI1099" s="1208" t="s">
        <v>38</v>
      </c>
      <c r="BJ1099" s="1208" t="s">
        <v>38</v>
      </c>
      <c r="BK1099" s="1208" t="s">
        <v>38</v>
      </c>
      <c r="BL1099" s="1208" t="s">
        <v>38</v>
      </c>
      <c r="BM1099" s="1208" t="s">
        <v>38</v>
      </c>
      <c r="BN1099" s="1208" t="s">
        <v>38</v>
      </c>
      <c r="BO1099" s="1208" t="s">
        <v>38</v>
      </c>
      <c r="BP1099" s="1208" t="s">
        <v>38</v>
      </c>
      <c r="BQ1099" s="1208" t="s">
        <v>38</v>
      </c>
      <c r="BR1099" s="1208" t="s">
        <v>38</v>
      </c>
      <c r="BS1099" s="1208" t="s">
        <v>38</v>
      </c>
    </row>
    <row r="1100" spans="1:71" ht="15.95" customHeight="1">
      <c r="A1100" s="1180" t="s">
        <v>2988</v>
      </c>
      <c r="B1100" s="1180" t="s">
        <v>2989</v>
      </c>
      <c r="C1100" s="1181">
        <v>44653</v>
      </c>
      <c r="D1100" s="1182" t="s">
        <v>360</v>
      </c>
      <c r="E1100" s="1182" t="s">
        <v>371</v>
      </c>
      <c r="F1100" s="1183" t="s">
        <v>2990</v>
      </c>
      <c r="G1100" s="1184" t="s">
        <v>456</v>
      </c>
      <c r="H1100" s="1185" t="s">
        <v>457</v>
      </c>
      <c r="I1100" s="1180" t="s">
        <v>983</v>
      </c>
      <c r="J1100" s="1186" t="str">
        <f>VLOOKUP($I1100,'Price List, Weapons &amp; Items'!B:C,2,0)</f>
        <v>Humanitarian</v>
      </c>
      <c r="K1100" s="1186" t="str">
        <f>IF(I1100=".",I1100,VLOOKUP($I1100,'Price List, Weapons &amp; Items'!B:D,3,0))</f>
        <v>Humanitarian</v>
      </c>
      <c r="L1100" s="1187">
        <f>VLOOKUP(I1100,'Price List, Weapons &amp; Items'!B:E,4,0)</f>
        <v>0</v>
      </c>
      <c r="M1100" s="1188">
        <v>1500</v>
      </c>
      <c r="N1100" s="1188" t="s">
        <v>374</v>
      </c>
      <c r="O1100" s="1188">
        <f>VLOOKUP($I1100,'Price List, Weapons &amp; Items'!B:G,6,0)</f>
        <v>2430</v>
      </c>
      <c r="P1100" s="1185">
        <f t="shared" si="236"/>
        <v>3645000</v>
      </c>
      <c r="Q1100" s="1185" t="str">
        <f t="shared" si="237"/>
        <v>.</v>
      </c>
      <c r="R1100" s="1185">
        <f t="shared" si="233"/>
        <v>3645000</v>
      </c>
      <c r="S1100" s="1185">
        <f>IF(AND(AD1100=1,R1100&lt;&gt;".")=TRUE,R1100/VLOOKUP(G1100,'Exchange Rates'!B:C,2,0),IF(R1100=".",".",""))</f>
        <v>3353882.9591461169</v>
      </c>
      <c r="T1100" s="1185" t="str">
        <f>IF(AD1100=1,IF(AF1100="Value is not given at all",".",IF(AF1100="Value is given by the source",S1100,IF(AF1100="Value is calculated with prices",(IF(SUMIFS(Q:Q,A:A,A1100)&gt;0,SUMIFS(Q:Q,A:A,A1100),"."))/VLOOKUP("USD",'Exchange Rates'!B:C,2,0),"Error with coding"))),"")</f>
        <v>.</v>
      </c>
      <c r="U1100" s="1184" t="s">
        <v>365</v>
      </c>
      <c r="V1100" s="971" t="s">
        <v>2991</v>
      </c>
      <c r="W1100" s="971" t="s">
        <v>2992</v>
      </c>
      <c r="X1100" s="971" t="s">
        <v>2993</v>
      </c>
      <c r="Y1100" s="1190" t="s">
        <v>364</v>
      </c>
      <c r="Z1100" s="1184">
        <v>0</v>
      </c>
      <c r="AA1100" s="1194">
        <v>0</v>
      </c>
      <c r="AB1100" s="1201" t="s">
        <v>364</v>
      </c>
      <c r="AC1100" s="1192" t="str">
        <f>""</f>
        <v/>
      </c>
      <c r="AD1100" s="1193">
        <v>1</v>
      </c>
      <c r="AE1100" s="1193" t="s">
        <v>436</v>
      </c>
      <c r="AF1100" s="1193" t="s">
        <v>369</v>
      </c>
      <c r="AG1100" s="1193">
        <v>1</v>
      </c>
      <c r="AH1100" s="1193">
        <v>4</v>
      </c>
      <c r="AI1100" s="1193">
        <v>0</v>
      </c>
      <c r="AJ1100" s="1193">
        <f>VLOOKUP($I1100,'Price List, Weapons &amp; Items'!B:F,5,0)</f>
        <v>0</v>
      </c>
      <c r="AK1100" s="1193">
        <f t="shared" si="238"/>
        <v>0</v>
      </c>
      <c r="AL1100" s="1193">
        <f t="shared" si="239"/>
        <v>0</v>
      </c>
      <c r="AM1100" s="1193">
        <f t="shared" si="240"/>
        <v>0</v>
      </c>
      <c r="AN1100" s="1194" t="str">
        <f>VLOOKUP($I1100,'Price List, Weapons &amp; Items'!B:L,COLUMN('Price List, Weapons &amp; Items'!$J$11)-1,0)</f>
        <v>Government information</v>
      </c>
      <c r="AO1100" s="1194" t="str">
        <f>IF(I1100=".",".",VLOOKUP($I1100,'Price List, Weapons &amp; Items'!B:J,3,0))</f>
        <v>Humanitarian</v>
      </c>
      <c r="AP1100" s="1195" t="str">
        <f t="shared" ca="1" si="234"/>
        <v>ton of food</v>
      </c>
      <c r="AQ1100" s="1194">
        <f>VLOOKUP($I1100,'Price List, Weapons &amp; Items'!B:L,COLUMN('Price List, Weapons &amp; Items'!$L$11)-1,0)</f>
        <v>0</v>
      </c>
      <c r="AR1100" s="1194">
        <f t="shared" si="241"/>
        <v>1</v>
      </c>
      <c r="AS1100" s="1194">
        <f t="shared" si="242"/>
        <v>0</v>
      </c>
      <c r="AT1100" s="1194">
        <f t="shared" si="243"/>
        <v>1</v>
      </c>
      <c r="AU1100" s="1194" t="str">
        <f t="shared" si="244"/>
        <v>.</v>
      </c>
      <c r="AV1100" s="1194" t="str">
        <f t="shared" si="235"/>
        <v>.</v>
      </c>
      <c r="AW1100" s="1194" t="str">
        <f t="shared" si="245"/>
        <v>.</v>
      </c>
      <c r="AX1100" s="1194">
        <f>IFERROR(VLOOKUP(B1100,'Share, Heavy Weapons to Ukraine'!B:Z,COLUMN('Share, Heavy Weapons to Ukraine'!C1110)-1,0),0)</f>
        <v>0</v>
      </c>
      <c r="AY1100" s="1194">
        <f>VLOOKUP('Bilateral Assistance, MAIN DATA'!B1100,'Country Summary (€)'!B:F,COLUMN('Country Summary (€)'!C1111)-1,FALSE)</f>
        <v>1</v>
      </c>
      <c r="AZ1100" s="1194" t="str">
        <f>IF(AND(AD1100=1,D1100="Military",H1100&lt;&gt;"Not given")=TRUE,IF(SUMIFS(P:P,A:A,A1100)&gt;0,ABS((SUMIFS(P:P,A:A,A1100)/VLOOKUP("USD",'Exchange Rates'!B:C,2,0)))/S1100,"."),".")</f>
        <v>.</v>
      </c>
      <c r="BA1100" s="1196" t="str">
        <f>IF(AND(AD1100=1,D1100="Military",H1100&lt;&gt;"Not given")=TRUE,IF(SUMIFS(P:P,A:A,A1100)&gt;0,IF((ABS((SUMIFS(P:P,A:A,A1100)/VLOOKUP("USD",'Exchange Rates'!B:C,2,0)))/S1100)&gt;1,(SUMIFS(P:P,A:A,A1100)-S1100)/S1100,(S1100-SUMIFS(P:P,A:A,A1100))/SUMIFS(P:P,A:A,A1100)),"."),".")</f>
        <v>.</v>
      </c>
    </row>
    <row r="1101" spans="1:71" ht="15.95" customHeight="1">
      <c r="A1101" s="1180" t="s">
        <v>2994</v>
      </c>
      <c r="B1101" s="1180" t="s">
        <v>2989</v>
      </c>
      <c r="C1101" s="1181">
        <v>44686</v>
      </c>
      <c r="D1101" s="1182" t="s">
        <v>360</v>
      </c>
      <c r="E1101" s="1182" t="s">
        <v>371</v>
      </c>
      <c r="F1101" s="1183" t="s">
        <v>2995</v>
      </c>
      <c r="G1101" s="1184" t="s">
        <v>483</v>
      </c>
      <c r="H1101" s="1185">
        <v>100000000</v>
      </c>
      <c r="I1101" s="1180" t="s">
        <v>364</v>
      </c>
      <c r="J1101" s="1186" t="str">
        <f>VLOOKUP($I1101,'Price List, Weapons &amp; Items'!B:C,2,0)</f>
        <v>.</v>
      </c>
      <c r="K1101" s="1186" t="str">
        <f>IF(I1101=".",I1101,VLOOKUP($I1101,'Price List, Weapons &amp; Items'!B:D,3,0))</f>
        <v>.</v>
      </c>
      <c r="L1101" s="1187">
        <f>VLOOKUP(I1101,'Price List, Weapons &amp; Items'!B:E,4,0)</f>
        <v>0</v>
      </c>
      <c r="M1101" s="1188" t="s">
        <v>364</v>
      </c>
      <c r="N1101" s="1188" t="s">
        <v>364</v>
      </c>
      <c r="O1101" s="1188" t="str">
        <f>VLOOKUP($I1101,'Price List, Weapons &amp; Items'!B:G,6,0)</f>
        <v>.</v>
      </c>
      <c r="P1101" s="1185" t="str">
        <f t="shared" si="236"/>
        <v>.</v>
      </c>
      <c r="Q1101" s="1185" t="str">
        <f t="shared" si="237"/>
        <v>.</v>
      </c>
      <c r="R1101" s="1185">
        <f t="shared" si="233"/>
        <v>100000000</v>
      </c>
      <c r="S1101" s="1185">
        <f>IF(AND(AD1101=1,R1101&lt;&gt;".")=TRUE,R1101/VLOOKUP(G1101,'Exchange Rates'!B:C,2,0),IF(R1101=".",".",""))</f>
        <v>100000000</v>
      </c>
      <c r="T1101" s="1185" t="str">
        <f>IF(AD1101=1,IF(AF1101="Value is not given at all",".",IF(AF1101="Value is given by the source",S1101,IF(AF1101="Value is calculated with prices",(IF(SUMIFS(Q:Q,A:A,A1101)&gt;0,SUMIFS(Q:Q,A:A,A1101),"."))/VLOOKUP("USD",'Exchange Rates'!B:C,2,0),"Error with coding"))),"")</f>
        <v>.</v>
      </c>
      <c r="U1101" s="1184" t="s">
        <v>365</v>
      </c>
      <c r="V1101" s="971" t="s">
        <v>930</v>
      </c>
      <c r="W1101" s="1190" t="s">
        <v>364</v>
      </c>
      <c r="X1101" s="1190" t="s">
        <v>364</v>
      </c>
      <c r="Y1101" s="1190" t="s">
        <v>364</v>
      </c>
      <c r="Z1101" s="1184">
        <v>0</v>
      </c>
      <c r="AA1101" s="1194">
        <v>0</v>
      </c>
      <c r="AB1101" s="1201" t="s">
        <v>364</v>
      </c>
      <c r="AC1101" s="1192" t="str">
        <f>""</f>
        <v/>
      </c>
      <c r="AD1101" s="1193">
        <v>1</v>
      </c>
      <c r="AE1101" s="1193" t="s">
        <v>368</v>
      </c>
      <c r="AF1101" s="1193" t="s">
        <v>369</v>
      </c>
      <c r="AG1101" s="1193">
        <v>1</v>
      </c>
      <c r="AH1101" s="1193">
        <v>5</v>
      </c>
      <c r="AI1101" s="1193">
        <v>0</v>
      </c>
      <c r="AJ1101" s="1193">
        <f>VLOOKUP($I1101,'Price List, Weapons &amp; Items'!B:F,5,0)</f>
        <v>0</v>
      </c>
      <c r="AK1101" s="1193">
        <f t="shared" si="238"/>
        <v>0</v>
      </c>
      <c r="AL1101" s="1193">
        <f t="shared" si="239"/>
        <v>0</v>
      </c>
      <c r="AM1101" s="1193">
        <f t="shared" si="240"/>
        <v>0</v>
      </c>
      <c r="AN1101" s="1194" t="str">
        <f>VLOOKUP($I1101,'Price List, Weapons &amp; Items'!B:L,COLUMN('Price List, Weapons &amp; Items'!$J$11)-1,0)</f>
        <v>.</v>
      </c>
      <c r="AO1101" s="1194" t="str">
        <f>IF(I1101=".",".",VLOOKUP($I1101,'Price List, Weapons &amp; Items'!B:J,3,0))</f>
        <v>.</v>
      </c>
      <c r="AP1101" s="1195" t="str">
        <f t="shared" ca="1" si="234"/>
        <v>.</v>
      </c>
      <c r="AQ1101" s="1194">
        <f>VLOOKUP($I1101,'Price List, Weapons &amp; Items'!B:L,COLUMN('Price List, Weapons &amp; Items'!$L$11)-1,0)</f>
        <v>0</v>
      </c>
      <c r="AR1101" s="1194">
        <f t="shared" si="241"/>
        <v>1</v>
      </c>
      <c r="AS1101" s="1194">
        <f t="shared" si="242"/>
        <v>0</v>
      </c>
      <c r="AT1101" s="1194">
        <f t="shared" si="243"/>
        <v>1</v>
      </c>
      <c r="AU1101" s="1194" t="str">
        <f t="shared" si="244"/>
        <v>.</v>
      </c>
      <c r="AV1101" s="1194" t="str">
        <f t="shared" si="235"/>
        <v>.</v>
      </c>
      <c r="AW1101" s="1194" t="str">
        <f t="shared" si="245"/>
        <v>.</v>
      </c>
      <c r="AX1101" s="1194">
        <f>IFERROR(VLOOKUP(B1101,'Share, Heavy Weapons to Ukraine'!B:Z,COLUMN('Share, Heavy Weapons to Ukraine'!C1111)-1,0),0)</f>
        <v>0</v>
      </c>
      <c r="AY1101" s="1194">
        <f>VLOOKUP('Bilateral Assistance, MAIN DATA'!B1101,'Country Summary (€)'!B:F,COLUMN('Country Summary (€)'!C1112)-1,FALSE)</f>
        <v>1</v>
      </c>
      <c r="AZ1101" s="1194" t="str">
        <f>IF(AND(AD1101=1,D1101="Military",H1101&lt;&gt;"Not given")=TRUE,IF(SUMIFS(P:P,A:A,A1101)&gt;0,ABS((SUMIFS(P:P,A:A,A1101)/VLOOKUP("USD",'Exchange Rates'!B:C,2,0)))/S1101,"."),".")</f>
        <v>.</v>
      </c>
      <c r="BA1101" s="1196" t="str">
        <f>IF(AND(AD1101=1,D1101="Military",H1101&lt;&gt;"Not given")=TRUE,IF(SUMIFS(P:P,A:A,A1101)&gt;0,IF((ABS((SUMIFS(P:P,A:A,A1101)/VLOOKUP("USD",'Exchange Rates'!B:C,2,0)))/S1101)&gt;1,(SUMIFS(P:P,A:A,A1101)-S1101)/S1101,(S1101-SUMIFS(P:P,A:A,A1101))/SUMIFS(P:P,A:A,A1101)),"."),".")</f>
        <v>.</v>
      </c>
    </row>
    <row r="1102" spans="1:71" ht="15.95" customHeight="1">
      <c r="A1102" s="1180" t="s">
        <v>2996</v>
      </c>
      <c r="B1102" s="1180" t="s">
        <v>2989</v>
      </c>
      <c r="C1102" s="1181">
        <v>44795</v>
      </c>
      <c r="D1102" s="1182" t="s">
        <v>360</v>
      </c>
      <c r="E1102" s="1182" t="s">
        <v>371</v>
      </c>
      <c r="F1102" s="1183" t="s">
        <v>2997</v>
      </c>
      <c r="G1102" s="1184" t="s">
        <v>456</v>
      </c>
      <c r="H1102" s="1185" t="s">
        <v>457</v>
      </c>
      <c r="I1102" s="1180" t="s">
        <v>1778</v>
      </c>
      <c r="J1102" s="1186" t="str">
        <f>VLOOKUP($I1102,'Price List, Weapons &amp; Items'!B:C,2,0)</f>
        <v>humanitarian</v>
      </c>
      <c r="K1102" s="1186" t="str">
        <f>IF(I1102=".",I1102,VLOOKUP($I1102,'Price List, Weapons &amp; Items'!B:D,3,0))</f>
        <v>Humanitarian</v>
      </c>
      <c r="L1102" s="1187">
        <f>VLOOKUP(I1102,'Price List, Weapons &amp; Items'!B:E,4,0)</f>
        <v>0</v>
      </c>
      <c r="M1102" s="1188">
        <v>5000</v>
      </c>
      <c r="N1102" s="1188" t="s">
        <v>374</v>
      </c>
      <c r="O1102" s="1188">
        <f>VLOOKUP($I1102,'Price List, Weapons &amp; Items'!B:G,6,0)</f>
        <v>1500</v>
      </c>
      <c r="P1102" s="1185">
        <f t="shared" si="236"/>
        <v>7500000</v>
      </c>
      <c r="Q1102" s="1185" t="str">
        <f t="shared" si="237"/>
        <v>.</v>
      </c>
      <c r="R1102" s="1185">
        <f t="shared" si="233"/>
        <v>7500000</v>
      </c>
      <c r="S1102" s="1185">
        <f>IF(AND(AD1102=1,R1102&lt;&gt;".")=TRUE,R1102/VLOOKUP(G1102,'Exchange Rates'!B:C,2,0),IF(R1102=".",".",""))</f>
        <v>6900993.7430990059</v>
      </c>
      <c r="T1102" s="1185" t="str">
        <f>IF(AD1102=1,IF(AF1102="Value is not given at all",".",IF(AF1102="Value is given by the source",S1102,IF(AF1102="Value is calculated with prices",(IF(SUMIFS(Q:Q,A:A,A1102)&gt;0,SUMIFS(Q:Q,A:A,A1102),"."))/VLOOKUP("USD",'Exchange Rates'!B:C,2,0),"Error with coding"))),"")</f>
        <v>.</v>
      </c>
      <c r="U1102" s="1184" t="s">
        <v>365</v>
      </c>
      <c r="V1102" s="971" t="s">
        <v>2998</v>
      </c>
      <c r="W1102" s="986" t="s">
        <v>364</v>
      </c>
      <c r="X1102" s="986" t="s">
        <v>364</v>
      </c>
      <c r="Y1102" s="1190" t="s">
        <v>364</v>
      </c>
      <c r="Z1102" s="1184">
        <v>0</v>
      </c>
      <c r="AA1102" s="1194">
        <v>0</v>
      </c>
      <c r="AB1102" s="1201" t="s">
        <v>364</v>
      </c>
      <c r="AC1102" s="1192" t="str">
        <f>""</f>
        <v/>
      </c>
      <c r="AD1102" s="1193">
        <v>1</v>
      </c>
      <c r="AE1102" s="1193" t="s">
        <v>436</v>
      </c>
      <c r="AF1102" s="1193" t="s">
        <v>369</v>
      </c>
      <c r="AG1102" s="1193">
        <v>1</v>
      </c>
      <c r="AH1102" s="1193">
        <v>8</v>
      </c>
      <c r="AI1102" s="1193">
        <v>0</v>
      </c>
      <c r="AJ1102" s="1193">
        <f>VLOOKUP($I1102,'Price List, Weapons &amp; Items'!B:F,5,0)</f>
        <v>0</v>
      </c>
      <c r="AK1102" s="1193">
        <f t="shared" si="238"/>
        <v>0</v>
      </c>
      <c r="AL1102" s="1193">
        <f t="shared" si="239"/>
        <v>0</v>
      </c>
      <c r="AM1102" s="1193">
        <f t="shared" si="240"/>
        <v>0</v>
      </c>
      <c r="AN1102" s="1194" t="str">
        <f>VLOOKUP($I1102,'Price List, Weapons &amp; Items'!B:L,COLUMN('Price List, Weapons &amp; Items'!$J$11)-1,0)</f>
        <v>Contracts</v>
      </c>
      <c r="AO1102" s="1194" t="str">
        <f>IF(I1102=".",".",VLOOKUP($I1102,'Price List, Weapons &amp; Items'!B:J,3,0))</f>
        <v>Humanitarian</v>
      </c>
      <c r="AP1102" s="1195" t="str">
        <f t="shared" ca="1" si="234"/>
        <v>Starlink terminal</v>
      </c>
      <c r="AQ1102" s="1194">
        <f>VLOOKUP($I1102,'Price List, Weapons &amp; Items'!B:L,COLUMN('Price List, Weapons &amp; Items'!$L$11)-1,0)</f>
        <v>0</v>
      </c>
      <c r="AR1102" s="1194">
        <f t="shared" si="241"/>
        <v>1</v>
      </c>
      <c r="AS1102" s="1194">
        <f t="shared" si="242"/>
        <v>0</v>
      </c>
      <c r="AT1102" s="1194">
        <f t="shared" si="243"/>
        <v>1</v>
      </c>
      <c r="AU1102" s="1194" t="str">
        <f t="shared" si="244"/>
        <v>.</v>
      </c>
      <c r="AV1102" s="1194" t="str">
        <f t="shared" si="235"/>
        <v>.</v>
      </c>
      <c r="AW1102" s="1194" t="str">
        <f t="shared" si="245"/>
        <v>.</v>
      </c>
      <c r="AX1102" s="1194">
        <f>IFERROR(VLOOKUP(B1102,'Share, Heavy Weapons to Ukraine'!B:Z,COLUMN('Share, Heavy Weapons to Ukraine'!C1112)-1,0),0)</f>
        <v>0</v>
      </c>
      <c r="AY1102" s="1194">
        <f>VLOOKUP('Bilateral Assistance, MAIN DATA'!B1102,'Country Summary (€)'!B:F,COLUMN('Country Summary (€)'!C1113)-1,FALSE)</f>
        <v>1</v>
      </c>
      <c r="AZ1102" s="1194" t="str">
        <f>IF(AND(AD1102=1,D1102="Military",H1102&lt;&gt;"Not given")=TRUE,IF(SUMIFS(P:P,A:A,A1102)&gt;0,ABS((SUMIFS(P:P,A:A,A1102)/VLOOKUP("USD",'Exchange Rates'!B:C,2,0)))/S1102,"."),".")</f>
        <v>.</v>
      </c>
      <c r="BA1102" s="1196" t="str">
        <f>IF(AND(AD1102=1,D1102="Military",H1102&lt;&gt;"Not given")=TRUE,IF(SUMIFS(P:P,A:A,A1102)&gt;0,IF((ABS((SUMIFS(P:P,A:A,A1102)/VLOOKUP("USD",'Exchange Rates'!B:C,2,0)))/S1102)&gt;1,(SUMIFS(P:P,A:A,A1102)-S1102)/S1102,(S1102-SUMIFS(P:P,A:A,A1102))/SUMIFS(P:P,A:A,A1102)),"."),".")</f>
        <v>.</v>
      </c>
    </row>
    <row r="1103" spans="1:71" ht="15.95" customHeight="1">
      <c r="A1103" s="1180" t="s">
        <v>2999</v>
      </c>
      <c r="B1103" s="1180" t="s">
        <v>2989</v>
      </c>
      <c r="C1103" s="1181" t="s">
        <v>3000</v>
      </c>
      <c r="D1103" s="1182" t="s">
        <v>360</v>
      </c>
      <c r="E1103" s="1182" t="s">
        <v>361</v>
      </c>
      <c r="F1103" s="1183" t="s">
        <v>3001</v>
      </c>
      <c r="G1103" s="1184" t="s">
        <v>456</v>
      </c>
      <c r="H1103" s="1185">
        <f>177000000-((100000000*1.0375)+7500000+3645000)</f>
        <v>62104999.999999985</v>
      </c>
      <c r="I1103" s="1180" t="s">
        <v>364</v>
      </c>
      <c r="J1103" s="1186" t="str">
        <f>VLOOKUP($I1103,'Price List, Weapons &amp; Items'!B:C,2,0)</f>
        <v>.</v>
      </c>
      <c r="K1103" s="1186" t="str">
        <f>IF(I1103=".",I1103,VLOOKUP($I1103,'Price List, Weapons &amp; Items'!B:D,3,0))</f>
        <v>.</v>
      </c>
      <c r="L1103" s="1187">
        <f>VLOOKUP(I1103,'Price List, Weapons &amp; Items'!B:E,4,0)</f>
        <v>0</v>
      </c>
      <c r="M1103" s="1188" t="s">
        <v>364</v>
      </c>
      <c r="N1103" s="1188" t="s">
        <v>364</v>
      </c>
      <c r="O1103" s="1188" t="str">
        <f>VLOOKUP($I1103,'Price List, Weapons &amp; Items'!B:G,6,0)</f>
        <v>.</v>
      </c>
      <c r="P1103" s="1185" t="str">
        <f t="shared" si="236"/>
        <v>.</v>
      </c>
      <c r="Q1103" s="1185" t="str">
        <f t="shared" si="237"/>
        <v>.</v>
      </c>
      <c r="R1103" s="1185">
        <f t="shared" si="233"/>
        <v>62104999.999999985</v>
      </c>
      <c r="S1103" s="1185">
        <f>IF(AND(AD1103=1,R1103&lt;&gt;".")=TRUE,R1103/VLOOKUP(G1103,'Exchange Rates'!B:C,2,0),IF(R1103=".",".",""))</f>
        <v>57144828.855355158</v>
      </c>
      <c r="T1103" s="1185" t="str">
        <f>IF(AD1103=1,IF(AF1103="Value is not given at all",".",IF(AF1103="Value is given by the source",S1103,IF(AF1103="Value is calculated with prices",(IF(SUMIFS(Q:Q,A:A,A1103)&gt;0,SUMIFS(Q:Q,A:A,A1103),"."))/VLOOKUP("USD",'Exchange Rates'!B:C,2,0),"Error with coding"))),"")</f>
        <v>.</v>
      </c>
      <c r="U1103" s="1184" t="s">
        <v>365</v>
      </c>
      <c r="V1103" s="972" t="s">
        <v>3002</v>
      </c>
      <c r="W1103" s="1190" t="s">
        <v>364</v>
      </c>
      <c r="X1103" s="1190" t="s">
        <v>364</v>
      </c>
      <c r="Y1103" s="1190" t="s">
        <v>364</v>
      </c>
      <c r="Z1103" s="1184">
        <v>0</v>
      </c>
      <c r="AA1103" s="1191">
        <v>1</v>
      </c>
      <c r="AB1103" s="1201" t="s">
        <v>364</v>
      </c>
      <c r="AC1103" s="1192" t="str">
        <f>""</f>
        <v/>
      </c>
      <c r="AD1103" s="1194">
        <v>1</v>
      </c>
      <c r="AE1103" s="1193" t="s">
        <v>368</v>
      </c>
      <c r="AF1103" s="1193" t="s">
        <v>369</v>
      </c>
      <c r="AG1103" s="1194">
        <v>1</v>
      </c>
      <c r="AH1103" s="1194">
        <v>4</v>
      </c>
      <c r="AI1103" s="1193">
        <v>0</v>
      </c>
      <c r="AJ1103" s="1193">
        <f>VLOOKUP($I1103,'Price List, Weapons &amp; Items'!B:F,5,0)</f>
        <v>0</v>
      </c>
      <c r="AK1103" s="1193">
        <f t="shared" si="238"/>
        <v>0</v>
      </c>
      <c r="AL1103" s="1193">
        <f t="shared" si="239"/>
        <v>0</v>
      </c>
      <c r="AM1103" s="1193">
        <f t="shared" si="240"/>
        <v>0</v>
      </c>
      <c r="AN1103" s="1194" t="str">
        <f>VLOOKUP($I1103,'Price List, Weapons &amp; Items'!B:L,COLUMN('Price List, Weapons &amp; Items'!$J$11)-1,0)</f>
        <v>.</v>
      </c>
      <c r="AO1103" s="1194" t="str">
        <f>IF(I1103=".",".",VLOOKUP($I1103,'Price List, Weapons &amp; Items'!B:J,3,0))</f>
        <v>.</v>
      </c>
      <c r="AP1103" s="1195" t="str">
        <f t="shared" ca="1" si="234"/>
        <v>.</v>
      </c>
      <c r="AQ1103" s="1194">
        <f>VLOOKUP($I1103,'Price List, Weapons &amp; Items'!B:L,COLUMN('Price List, Weapons &amp; Items'!$L$11)-1,0)</f>
        <v>0</v>
      </c>
      <c r="AR1103" s="1194">
        <f t="shared" si="241"/>
        <v>1</v>
      </c>
      <c r="AS1103" s="1194">
        <f t="shared" si="242"/>
        <v>0</v>
      </c>
      <c r="AT1103" s="1194" t="str">
        <f t="shared" si="243"/>
        <v>Value is not in date format</v>
      </c>
      <c r="AU1103" s="1194" t="str">
        <f t="shared" si="244"/>
        <v>.</v>
      </c>
      <c r="AV1103" s="1194" t="str">
        <f t="shared" si="235"/>
        <v>.</v>
      </c>
      <c r="AW1103" s="1194" t="str">
        <f t="shared" si="245"/>
        <v>.</v>
      </c>
      <c r="AX1103" s="1194">
        <f>IFERROR(VLOOKUP(B1103,'Share, Heavy Weapons to Ukraine'!B:Z,COLUMN('Share, Heavy Weapons to Ukraine'!C1113)-1,0),0)</f>
        <v>0</v>
      </c>
      <c r="AY1103" s="1194">
        <f>VLOOKUP('Bilateral Assistance, MAIN DATA'!B1103,'Country Summary (€)'!B:F,COLUMN('Country Summary (€)'!C1114)-1,FALSE)</f>
        <v>1</v>
      </c>
      <c r="AZ1103" s="1194" t="str">
        <f>IF(AND(AD1103=1,D1103="Military",H1103&lt;&gt;"Not given")=TRUE,IF(SUMIFS(P:P,A:A,A1103)&gt;0,ABS((SUMIFS(P:P,A:A,A1103)/VLOOKUP("USD",'Exchange Rates'!B:C,2,0)))/S1103,"."),".")</f>
        <v>.</v>
      </c>
      <c r="BA1103" s="1196" t="str">
        <f>IF(AND(AD1103=1,D1103="Military",H1103&lt;&gt;"Not given")=TRUE,IF(SUMIFS(P:P,A:A,A1103)&gt;0,IF((ABS((SUMIFS(P:P,A:A,A1103)/VLOOKUP("USD",'Exchange Rates'!B:C,2,0)))/S1103)&gt;1,(SUMIFS(P:P,A:A,A1103)-S1103)/S1103,(S1103-SUMIFS(P:P,A:A,A1103))/SUMIFS(P:P,A:A,A1103)),"."),".")</f>
        <v>.</v>
      </c>
    </row>
    <row r="1104" spans="1:71" ht="15.95" customHeight="1">
      <c r="A1104" s="1180" t="s">
        <v>3003</v>
      </c>
      <c r="B1104" s="1180" t="s">
        <v>2989</v>
      </c>
      <c r="C1104" s="1181">
        <v>44875</v>
      </c>
      <c r="D1104" s="1182" t="s">
        <v>360</v>
      </c>
      <c r="E1104" s="1182" t="s">
        <v>371</v>
      </c>
      <c r="F1104" s="1183" t="s">
        <v>3004</v>
      </c>
      <c r="G1104" s="1184" t="s">
        <v>456</v>
      </c>
      <c r="H1104" s="1185" t="s">
        <v>457</v>
      </c>
      <c r="I1104" s="1180" t="s">
        <v>1778</v>
      </c>
      <c r="J1104" s="1186" t="str">
        <f>VLOOKUP($I1104,'Price List, Weapons &amp; Items'!B:C,2,0)</f>
        <v>humanitarian</v>
      </c>
      <c r="K1104" s="1186" t="str">
        <f>IF(I1104=".",I1104,VLOOKUP($I1104,'Price List, Weapons &amp; Items'!B:D,3,0))</f>
        <v>Humanitarian</v>
      </c>
      <c r="L1104" s="1187">
        <f>VLOOKUP(I1104,'Price List, Weapons &amp; Items'!B:E,4,0)</f>
        <v>0</v>
      </c>
      <c r="M1104" s="1188">
        <f>1570</f>
        <v>1570</v>
      </c>
      <c r="N1104" s="1188" t="s">
        <v>374</v>
      </c>
      <c r="O1104" s="1188">
        <f>VLOOKUP($I1104,'Price List, Weapons &amp; Items'!B:G,6,0)</f>
        <v>1500</v>
      </c>
      <c r="P1104" s="1185">
        <f t="shared" si="236"/>
        <v>2355000</v>
      </c>
      <c r="Q1104" s="1185" t="str">
        <f t="shared" si="237"/>
        <v>.</v>
      </c>
      <c r="R1104" s="1185">
        <f t="shared" si="233"/>
        <v>2355000</v>
      </c>
      <c r="S1104" s="1185">
        <f>IF(AND(AD1104=1,R1104&lt;&gt;".")=TRUE,R1104/VLOOKUP(G1104,'Exchange Rates'!B:C,2,0),IF(R1104=".",".",""))</f>
        <v>2166912.0353330881</v>
      </c>
      <c r="T1104" s="1185" t="str">
        <f>IF(AD1104=1,IF(AF1104="Value is not given at all",".",IF(AF1104="Value is given by the source",S1104,IF(AF1104="Value is calculated with prices",(IF(SUMIFS(Q:Q,A:A,A1104)&gt;0,SUMIFS(Q:Q,A:A,A1104),"."))/VLOOKUP("USD",'Exchange Rates'!B:C,2,0),"Error with coding"))),"")</f>
        <v>.</v>
      </c>
      <c r="U1104" s="1184" t="s">
        <v>365</v>
      </c>
      <c r="V1104" s="971" t="s">
        <v>3005</v>
      </c>
      <c r="W1104" s="986" t="s">
        <v>364</v>
      </c>
      <c r="X1104" s="986" t="s">
        <v>364</v>
      </c>
      <c r="Y1104" s="1190" t="s">
        <v>364</v>
      </c>
      <c r="Z1104" s="1184">
        <v>0</v>
      </c>
      <c r="AA1104" s="1194">
        <v>0</v>
      </c>
      <c r="AB1104" s="1201" t="s">
        <v>364</v>
      </c>
      <c r="AC1104" s="1192" t="str">
        <f>""</f>
        <v/>
      </c>
      <c r="AD1104" s="1193">
        <v>1</v>
      </c>
      <c r="AE1104" s="1193" t="s">
        <v>436</v>
      </c>
      <c r="AF1104" s="1193" t="s">
        <v>369</v>
      </c>
      <c r="AG1104" s="1193">
        <v>1</v>
      </c>
      <c r="AH1104" s="1193">
        <v>11</v>
      </c>
      <c r="AI1104" s="1193">
        <v>0</v>
      </c>
      <c r="AJ1104" s="1193">
        <f>VLOOKUP($I1104,'Price List, Weapons &amp; Items'!B:F,5,0)</f>
        <v>0</v>
      </c>
      <c r="AK1104" s="1193">
        <f t="shared" si="238"/>
        <v>0</v>
      </c>
      <c r="AL1104" s="1193">
        <f t="shared" si="239"/>
        <v>0</v>
      </c>
      <c r="AM1104" s="1193">
        <f t="shared" si="240"/>
        <v>0</v>
      </c>
      <c r="AN1104" s="1194" t="str">
        <f>VLOOKUP($I1104,'Price List, Weapons &amp; Items'!B:L,COLUMN('Price List, Weapons &amp; Items'!$J$11)-1,0)</f>
        <v>Contracts</v>
      </c>
      <c r="AO1104" s="1194" t="str">
        <f>IF(I1104=".",".",VLOOKUP($I1104,'Price List, Weapons &amp; Items'!B:J,3,0))</f>
        <v>Humanitarian</v>
      </c>
      <c r="AP1104" s="1195" t="str">
        <f t="shared" ca="1" si="234"/>
        <v>Starlink terminal</v>
      </c>
      <c r="AQ1104" s="1194">
        <f>VLOOKUP($I1104,'Price List, Weapons &amp; Items'!B:L,COLUMN('Price List, Weapons &amp; Items'!$L$11)-1,0)</f>
        <v>0</v>
      </c>
      <c r="AR1104" s="1194">
        <f t="shared" si="241"/>
        <v>1</v>
      </c>
      <c r="AS1104" s="1194">
        <f t="shared" si="242"/>
        <v>0</v>
      </c>
      <c r="AT1104" s="1194">
        <f t="shared" si="243"/>
        <v>1</v>
      </c>
      <c r="AU1104" s="1194" t="str">
        <f t="shared" si="244"/>
        <v>.</v>
      </c>
      <c r="AV1104" s="1194" t="str">
        <f t="shared" si="235"/>
        <v>.</v>
      </c>
      <c r="AW1104" s="1194" t="str">
        <f t="shared" si="245"/>
        <v>.</v>
      </c>
      <c r="AX1104" s="1194">
        <f>IFERROR(VLOOKUP(B1104,'Share, Heavy Weapons to Ukraine'!B:Z,COLUMN('Share, Heavy Weapons to Ukraine'!C1114)-1,0),0)</f>
        <v>0</v>
      </c>
      <c r="AY1104" s="1194">
        <f>VLOOKUP('Bilateral Assistance, MAIN DATA'!B1104,'Country Summary (€)'!B:F,COLUMN('Country Summary (€)'!C1115)-1,FALSE)</f>
        <v>1</v>
      </c>
      <c r="AZ1104" s="1194" t="str">
        <f>IF(AND(AD1104=1,D1104="Military",H1104&lt;&gt;"Not given")=TRUE,IF(SUMIFS(P:P,A:A,A1104)&gt;0,ABS((SUMIFS(P:P,A:A,A1104)/VLOOKUP("USD",'Exchange Rates'!B:C,2,0)))/S1104,"."),".")</f>
        <v>.</v>
      </c>
      <c r="BA1104" s="1196" t="str">
        <f>IF(AND(AD1104=1,D1104="Military",H1104&lt;&gt;"Not given")=TRUE,IF(SUMIFS(P:P,A:A,A1104)&gt;0,IF((ABS((SUMIFS(P:P,A:A,A1104)/VLOOKUP("USD",'Exchange Rates'!B:C,2,0)))/S1104)&gt;1,(SUMIFS(P:P,A:A,A1104)-S1104)/S1104,(S1104-SUMIFS(P:P,A:A,A1104))/SUMIFS(P:P,A:A,A1104)),"."),".")</f>
        <v>.</v>
      </c>
    </row>
    <row r="1105" spans="1:53" ht="15.95" customHeight="1">
      <c r="A1105" s="1180" t="s">
        <v>3006</v>
      </c>
      <c r="B1105" s="1180" t="s">
        <v>2989</v>
      </c>
      <c r="C1105" s="1181" t="s">
        <v>3007</v>
      </c>
      <c r="D1105" s="1182" t="s">
        <v>360</v>
      </c>
      <c r="E1105" s="1182" t="s">
        <v>371</v>
      </c>
      <c r="F1105" s="1183" t="s">
        <v>3008</v>
      </c>
      <c r="G1105" s="1184" t="s">
        <v>483</v>
      </c>
      <c r="H1105" s="1185">
        <f>1500000000/VLOOKUP("PLN",'Exchange Rates'!B:C,2,0)-SUM(S1103,S1101,S1100)</f>
        <v>170305804.76983187</v>
      </c>
      <c r="I1105" s="1180" t="s">
        <v>364</v>
      </c>
      <c r="J1105" s="1186" t="str">
        <f>VLOOKUP($I1105,'Price List, Weapons &amp; Items'!B:C,2,0)</f>
        <v>.</v>
      </c>
      <c r="K1105" s="1186" t="str">
        <f>IF(I1105=".",I1105,VLOOKUP($I1105,'Price List, Weapons &amp; Items'!B:D,3,0))</f>
        <v>.</v>
      </c>
      <c r="L1105" s="1187">
        <f>VLOOKUP(I1105,'Price List, Weapons &amp; Items'!B:E,4,0)</f>
        <v>0</v>
      </c>
      <c r="M1105" s="1188">
        <f>1570</f>
        <v>1570</v>
      </c>
      <c r="N1105" s="1188" t="s">
        <v>374</v>
      </c>
      <c r="O1105" s="1188" t="str">
        <f>VLOOKUP($I1105,'Price List, Weapons &amp; Items'!B:G,6,0)</f>
        <v>.</v>
      </c>
      <c r="P1105" s="1185" t="str">
        <f t="shared" si="236"/>
        <v>No price</v>
      </c>
      <c r="Q1105" s="1185" t="str">
        <f t="shared" si="237"/>
        <v>.</v>
      </c>
      <c r="R1105" s="1185">
        <f t="shared" si="233"/>
        <v>170305804.76983187</v>
      </c>
      <c r="S1105" s="1185">
        <f>IF(AND(AD1105=1,R1105&lt;&gt;".")=TRUE,R1105/VLOOKUP(G1105,'Exchange Rates'!B:C,2,0),IF(R1105=".",".",""))</f>
        <v>170305804.76983187</v>
      </c>
      <c r="T1105" s="1185" t="str">
        <f>IF(AD1105=1,IF(AF1105="Value is not given at all",".",IF(AF1105="Value is given by the source",S1105,IF(AF1105="Value is calculated with prices",(IF(SUMIFS(Q:Q,A:A,A1105)&gt;0,SUMIFS(Q:Q,A:A,A1105),"."))/VLOOKUP("USD",'Exchange Rates'!B:C,2,0),"Error with coding"))),"")</f>
        <v>.</v>
      </c>
      <c r="U1105" s="1184" t="s">
        <v>365</v>
      </c>
      <c r="V1105" s="973" t="s">
        <v>3009</v>
      </c>
      <c r="W1105" s="973" t="s">
        <v>3010</v>
      </c>
      <c r="X1105" s="986" t="s">
        <v>364</v>
      </c>
      <c r="Y1105" s="1190" t="s">
        <v>364</v>
      </c>
      <c r="Z1105" s="1184">
        <v>0</v>
      </c>
      <c r="AA1105" s="1191">
        <v>1</v>
      </c>
      <c r="AB1105" s="1201" t="s">
        <v>364</v>
      </c>
      <c r="AC1105" s="1192" t="str">
        <f>""</f>
        <v/>
      </c>
      <c r="AD1105" s="1193">
        <v>1</v>
      </c>
      <c r="AE1105" s="1193" t="s">
        <v>368</v>
      </c>
      <c r="AF1105" s="1193" t="s">
        <v>369</v>
      </c>
      <c r="AG1105" s="1193">
        <v>1</v>
      </c>
      <c r="AH1105" s="1193">
        <v>11</v>
      </c>
      <c r="AI1105" s="1193">
        <v>0</v>
      </c>
      <c r="AJ1105" s="1193">
        <f>VLOOKUP($I1105,'Price List, Weapons &amp; Items'!B:F,5,0)</f>
        <v>0</v>
      </c>
      <c r="AK1105" s="1193">
        <f t="shared" si="238"/>
        <v>0</v>
      </c>
      <c r="AL1105" s="1193">
        <f t="shared" si="239"/>
        <v>0</v>
      </c>
      <c r="AM1105" s="1193">
        <f t="shared" si="240"/>
        <v>0</v>
      </c>
      <c r="AN1105" s="1194" t="str">
        <f>VLOOKUP($I1105,'Price List, Weapons &amp; Items'!B:L,COLUMN('Price List, Weapons &amp; Items'!$J$11)-1,0)</f>
        <v>.</v>
      </c>
      <c r="AO1105" s="1194" t="str">
        <f>IF(I1105=".",".",VLOOKUP($I1105,'Price List, Weapons &amp; Items'!B:J,3,0))</f>
        <v>.</v>
      </c>
      <c r="AP1105" s="1195" t="str">
        <f t="shared" ca="1" si="234"/>
        <v>.</v>
      </c>
      <c r="AQ1105" s="1194">
        <f>VLOOKUP($I1105,'Price List, Weapons &amp; Items'!B:L,COLUMN('Price List, Weapons &amp; Items'!$L$11)-1,0)</f>
        <v>0</v>
      </c>
      <c r="AR1105" s="1194">
        <f t="shared" si="241"/>
        <v>1</v>
      </c>
      <c r="AS1105" s="1194">
        <f t="shared" si="242"/>
        <v>0</v>
      </c>
      <c r="AT1105" s="1194" t="str">
        <f t="shared" si="243"/>
        <v>Value is not in date format</v>
      </c>
      <c r="AU1105" s="1194" t="str">
        <f t="shared" si="244"/>
        <v>.</v>
      </c>
      <c r="AV1105" s="1194" t="str">
        <f t="shared" si="235"/>
        <v>.</v>
      </c>
      <c r="AW1105" s="1194" t="str">
        <f t="shared" si="245"/>
        <v>.</v>
      </c>
      <c r="AX1105" s="1194">
        <f>IFERROR(VLOOKUP(B1105,'Share, Heavy Weapons to Ukraine'!B:Z,COLUMN('Share, Heavy Weapons to Ukraine'!C1115)-1,0),0)</f>
        <v>0</v>
      </c>
      <c r="AY1105" s="1194">
        <f>VLOOKUP('Bilateral Assistance, MAIN DATA'!B1105,'Country Summary (€)'!B:F,COLUMN('Country Summary (€)'!C1116)-1,FALSE)</f>
        <v>1</v>
      </c>
      <c r="AZ1105" s="1194" t="str">
        <f>IF(AND(AD1105=1,D1105="Military",H1105&lt;&gt;"Not given")=TRUE,IF(SUMIFS(P:P,A:A,A1105)&gt;0,ABS((SUMIFS(P:P,A:A,A1105)/VLOOKUP("USD",'Exchange Rates'!B:C,2,0)))/S1105,"."),".")</f>
        <v>.</v>
      </c>
      <c r="BA1105" s="1196" t="str">
        <f>IF(AND(AD1105=1,D1105="Military",H1105&lt;&gt;"Not given")=TRUE,IF(SUMIFS(P:P,A:A,A1105)&gt;0,IF((ABS((SUMIFS(P:P,A:A,A1105)/VLOOKUP("USD",'Exchange Rates'!B:C,2,0)))/S1105)&gt;1,(SUMIFS(P:P,A:A,A1105)-S1105)/S1105,(S1105-SUMIFS(P:P,A:A,A1105))/SUMIFS(P:P,A:A,A1105)),"."),".")</f>
        <v>.</v>
      </c>
    </row>
    <row r="1106" spans="1:53" ht="15.95" customHeight="1">
      <c r="A1106" s="1180" t="s">
        <v>3011</v>
      </c>
      <c r="B1106" s="1180" t="s">
        <v>2989</v>
      </c>
      <c r="C1106" s="1181">
        <v>44609</v>
      </c>
      <c r="D1106" s="1182" t="s">
        <v>389</v>
      </c>
      <c r="E1106" s="1182" t="s">
        <v>390</v>
      </c>
      <c r="F1106" s="1183" t="s">
        <v>3012</v>
      </c>
      <c r="G1106" s="1184" t="s">
        <v>364</v>
      </c>
      <c r="H1106" s="1185" t="s">
        <v>457</v>
      </c>
      <c r="I1106" s="1180" t="s">
        <v>364</v>
      </c>
      <c r="J1106" s="1186" t="str">
        <f>VLOOKUP($I1106,'Price List, Weapons &amp; Items'!B:C,2,0)</f>
        <v>.</v>
      </c>
      <c r="K1106" s="1186" t="str">
        <f>IF(I1106=".",I1106,VLOOKUP($I1106,'Price List, Weapons &amp; Items'!B:D,3,0))</f>
        <v>.</v>
      </c>
      <c r="L1106" s="1187">
        <f>VLOOKUP(I1106,'Price List, Weapons &amp; Items'!B:E,4,0)</f>
        <v>0</v>
      </c>
      <c r="M1106" s="1188" t="s">
        <v>364</v>
      </c>
      <c r="N1106" s="1188" t="s">
        <v>364</v>
      </c>
      <c r="O1106" s="1188" t="str">
        <f>VLOOKUP($I1106,'Price List, Weapons &amp; Items'!B:G,6,0)</f>
        <v>.</v>
      </c>
      <c r="P1106" s="1185" t="str">
        <f t="shared" si="236"/>
        <v>.</v>
      </c>
      <c r="Q1106" s="1185" t="str">
        <f t="shared" si="237"/>
        <v>.</v>
      </c>
      <c r="R1106" s="1185" t="str">
        <f t="shared" si="233"/>
        <v>.</v>
      </c>
      <c r="S1106" s="1185" t="str">
        <f>IF(AND(AD1106=1,R1106&lt;&gt;".")=TRUE,R1106/VLOOKUP(G1106,'Exchange Rates'!B:C,2,0),IF(R1106=".",".",""))</f>
        <v>.</v>
      </c>
      <c r="T1106" s="1185" t="str">
        <f>IF(AD1106=1,IF(AF1106="Value is not given at all",".",IF(AF1106="Value is given by the source",S1106,IF(AF1106="Value is calculated with prices",(IF(SUMIFS(Q:Q,A:A,A1106)&gt;0,SUMIFS(Q:Q,A:A,A1106),"."))/VLOOKUP("USD",'Exchange Rates'!B:C,2,0),"Error with coding"))),"")</f>
        <v>.</v>
      </c>
      <c r="U1106" s="1184" t="s">
        <v>365</v>
      </c>
      <c r="V1106" s="971" t="s">
        <v>3013</v>
      </c>
      <c r="W1106" s="1190" t="s">
        <v>364</v>
      </c>
      <c r="X1106" s="1190" t="s">
        <v>364</v>
      </c>
      <c r="Y1106" s="1190" t="s">
        <v>364</v>
      </c>
      <c r="Z1106" s="1184">
        <v>0</v>
      </c>
      <c r="AA1106" s="1194">
        <v>0</v>
      </c>
      <c r="AB1106" s="1180" t="s">
        <v>364</v>
      </c>
      <c r="AC1106" s="1192" t="str">
        <f>""</f>
        <v/>
      </c>
      <c r="AD1106" s="985">
        <v>1</v>
      </c>
      <c r="AE1106" s="985" t="s">
        <v>369</v>
      </c>
      <c r="AF1106" s="985" t="s">
        <v>369</v>
      </c>
      <c r="AG1106" s="985">
        <v>1</v>
      </c>
      <c r="AH1106" s="1193">
        <v>2</v>
      </c>
      <c r="AI1106" s="1193">
        <v>1</v>
      </c>
      <c r="AJ1106" s="1193">
        <f>VLOOKUP($I1106,'Price List, Weapons &amp; Items'!B:F,5,0)</f>
        <v>0</v>
      </c>
      <c r="AK1106" s="1193">
        <f t="shared" si="238"/>
        <v>0</v>
      </c>
      <c r="AL1106" s="1193">
        <f t="shared" si="239"/>
        <v>0</v>
      </c>
      <c r="AM1106" s="1193">
        <f t="shared" si="240"/>
        <v>0</v>
      </c>
      <c r="AN1106" s="1194" t="str">
        <f>VLOOKUP($I1106,'Price List, Weapons &amp; Items'!B:L,COLUMN('Price List, Weapons &amp; Items'!$J$11)-1,0)</f>
        <v>.</v>
      </c>
      <c r="AO1106" s="1194" t="str">
        <f>IF(I1106=".",".",VLOOKUP($I1106,'Price List, Weapons &amp; Items'!B:J,3,0))</f>
        <v>.</v>
      </c>
      <c r="AP1106" s="1195" t="str">
        <f t="shared" ca="1" si="234"/>
        <v>.</v>
      </c>
      <c r="AQ1106" s="1194">
        <f>VLOOKUP($I1106,'Price List, Weapons &amp; Items'!B:L,COLUMN('Price List, Weapons &amp; Items'!$L$11)-1,0)</f>
        <v>0</v>
      </c>
      <c r="AR1106" s="1194">
        <f t="shared" si="241"/>
        <v>1</v>
      </c>
      <c r="AS1106" s="1194">
        <f t="shared" si="242"/>
        <v>1</v>
      </c>
      <c r="AT1106" s="1194">
        <f t="shared" si="243"/>
        <v>1</v>
      </c>
      <c r="AU1106" s="1194" t="str">
        <f t="shared" si="244"/>
        <v>.</v>
      </c>
      <c r="AV1106" s="1194" t="str">
        <f t="shared" si="235"/>
        <v>.</v>
      </c>
      <c r="AW1106" s="1194" t="str">
        <f t="shared" si="245"/>
        <v>.</v>
      </c>
      <c r="AX1106" s="1194">
        <f>IFERROR(VLOOKUP(B1106,'Share, Heavy Weapons to Ukraine'!B:Z,COLUMN('Share, Heavy Weapons to Ukraine'!C1116)-1,0),0)</f>
        <v>0</v>
      </c>
      <c r="AY1106" s="1194">
        <f>VLOOKUP('Bilateral Assistance, MAIN DATA'!B1106,'Country Summary (€)'!B:F,COLUMN('Country Summary (€)'!C1117)-1,FALSE)</f>
        <v>1</v>
      </c>
      <c r="AZ1106" s="1194" t="str">
        <f>IF(AND(AD1106=1,D1106="Military",H1106&lt;&gt;"Not given")=TRUE,IF(SUMIFS(P:P,A:A,A1106)&gt;0,ABS((SUMIFS(P:P,A:A,A1106)/VLOOKUP("USD",'Exchange Rates'!B:C,2,0)))/S1106,"."),".")</f>
        <v>.</v>
      </c>
      <c r="BA1106" s="1196" t="str">
        <f>IF(AND(AD1106=1,D1106="Military",H1106&lt;&gt;"Not given")=TRUE,IF(SUMIFS(P:P,A:A,A1106)&gt;0,IF((ABS((SUMIFS(P:P,A:A,A1106)/VLOOKUP("USD",'Exchange Rates'!B:C,2,0)))/S1106)&gt;1,(SUMIFS(P:P,A:A,A1106)-S1106)/S1106,(S1106-SUMIFS(P:P,A:A,A1106))/SUMIFS(P:P,A:A,A1106)),"."),".")</f>
        <v>.</v>
      </c>
    </row>
    <row r="1107" spans="1:53" ht="15.95" customHeight="1">
      <c r="A1107" s="1182" t="s">
        <v>3014</v>
      </c>
      <c r="B1107" s="1182" t="s">
        <v>2989</v>
      </c>
      <c r="C1107" s="1181">
        <v>44680</v>
      </c>
      <c r="D1107" s="1182" t="s">
        <v>389</v>
      </c>
      <c r="E1107" s="1182" t="s">
        <v>390</v>
      </c>
      <c r="F1107" s="1183" t="s">
        <v>3015</v>
      </c>
      <c r="G1107" s="1184" t="s">
        <v>483</v>
      </c>
      <c r="H1107" s="1185">
        <v>1800000000</v>
      </c>
      <c r="I1107" s="1266" t="s">
        <v>3016</v>
      </c>
      <c r="J1107" s="1186" t="str">
        <f>VLOOKUP($I1107,'Price List, Weapons &amp; Items'!B:C,2,0)</f>
        <v>Portable defence system</v>
      </c>
      <c r="K1107" s="1186" t="str">
        <f>IF(I1107=".",I1107,VLOOKUP($I1107,'Price List, Weapons &amp; Items'!B:D,3,0))</f>
        <v>MANPADS</v>
      </c>
      <c r="L1107" s="1187">
        <f>VLOOKUP(I1107,'Price List, Weapons &amp; Items'!B:E,4,0)</f>
        <v>0</v>
      </c>
      <c r="M1107" s="1188" t="s">
        <v>374</v>
      </c>
      <c r="N1107" s="1188" t="s">
        <v>374</v>
      </c>
      <c r="O1107" s="1188">
        <f>VLOOKUP($I1107,'Price List, Weapons &amp; Items'!B:G,6,0)</f>
        <v>155476</v>
      </c>
      <c r="P1107" s="1185" t="str">
        <f t="shared" si="236"/>
        <v>.</v>
      </c>
      <c r="Q1107" s="1185" t="str">
        <f t="shared" si="237"/>
        <v>.</v>
      </c>
      <c r="R1107" s="1185">
        <f t="shared" si="233"/>
        <v>1800000000</v>
      </c>
      <c r="S1107" s="1185">
        <f>IF(AND(AD1107=1,R1107&lt;&gt;".")=TRUE,R1107/VLOOKUP(G1107,'Exchange Rates'!B:C,2,0),IF(R1107=".",".",""))</f>
        <v>1800000000</v>
      </c>
      <c r="T1107" s="1185">
        <f>IF(AD1107=1,IF(AF1107="Value is not given at all",".",IF(AF1107="Value is given by the source",S1107,IF(AF1107="Value is calculated with prices",(IF(SUMIFS(Q:Q,A:A,A1107)&gt;0,SUMIFS(Q:Q,A:A,A1107),"."))/VLOOKUP("USD",'Exchange Rates'!B:C,2,0),"Error with coding"))),"")</f>
        <v>1800000000</v>
      </c>
      <c r="U1107" s="1184" t="s">
        <v>675</v>
      </c>
      <c r="V1107" s="974" t="s">
        <v>3017</v>
      </c>
      <c r="W1107" s="974" t="s">
        <v>3018</v>
      </c>
      <c r="X1107" s="974" t="s">
        <v>3019</v>
      </c>
      <c r="Y1107" s="974" t="s">
        <v>3020</v>
      </c>
      <c r="Z1107" s="1184">
        <v>0</v>
      </c>
      <c r="AA1107" s="1194">
        <v>0</v>
      </c>
      <c r="AB1107" s="977" t="s">
        <v>3021</v>
      </c>
      <c r="AC1107" s="1192" t="str">
        <f>""</f>
        <v/>
      </c>
      <c r="AD1107" s="985">
        <v>1</v>
      </c>
      <c r="AE1107" s="985" t="s">
        <v>368</v>
      </c>
      <c r="AF1107" s="985" t="s">
        <v>368</v>
      </c>
      <c r="AG1107" s="985">
        <v>1</v>
      </c>
      <c r="AH1107" s="985">
        <v>4</v>
      </c>
      <c r="AI1107" s="985">
        <v>0</v>
      </c>
      <c r="AJ1107" s="1193">
        <f>VLOOKUP($I1107,'Price List, Weapons &amp; Items'!B:F,5,0)</f>
        <v>0</v>
      </c>
      <c r="AK1107" s="1193">
        <f t="shared" si="238"/>
        <v>0</v>
      </c>
      <c r="AL1107" s="1193">
        <f t="shared" si="239"/>
        <v>0</v>
      </c>
      <c r="AM1107" s="1193">
        <f t="shared" si="240"/>
        <v>0</v>
      </c>
      <c r="AN1107" s="1194" t="str">
        <f>VLOOKUP($I1107,'Price List, Weapons &amp; Items'!B:L,COLUMN('Price List, Weapons &amp; Items'!$J$11)-1,0)</f>
        <v>Military media (incl. websites)</v>
      </c>
      <c r="AO1107" s="1194" t="str">
        <f>IF(I1107=".",".",VLOOKUP($I1107,'Price List, Weapons &amp; Items'!B:J,3,0))</f>
        <v>MANPADS</v>
      </c>
      <c r="AP1107" s="1195" t="str">
        <f t="shared" ca="1" si="234"/>
        <v>Piorun man-portable air-defense system</v>
      </c>
      <c r="AQ1107" s="1194" t="str">
        <f>VLOOKUP($I1107,'Price List, Weapons &amp; Items'!B:L,COLUMN('Price List, Weapons &amp; Items'!$L$11)-1,0)</f>
        <v>no price, 0 count</v>
      </c>
      <c r="AR1107" s="1194">
        <f t="shared" si="241"/>
        <v>0</v>
      </c>
      <c r="AS1107" s="1194">
        <f t="shared" si="242"/>
        <v>1</v>
      </c>
      <c r="AT1107" s="1194">
        <f t="shared" si="243"/>
        <v>1</v>
      </c>
      <c r="AU1107" s="1194" t="str">
        <f t="shared" si="244"/>
        <v>.</v>
      </c>
      <c r="AV1107" s="1194" t="str">
        <f t="shared" si="235"/>
        <v>.</v>
      </c>
      <c r="AW1107" s="1194" t="str">
        <f t="shared" si="245"/>
        <v>.</v>
      </c>
      <c r="AX1107" s="1194">
        <f>IFERROR(VLOOKUP(B1107,'Share, Heavy Weapons to Ukraine'!B:Z,COLUMN('Share, Heavy Weapons to Ukraine'!C1117)-1,0),0)</f>
        <v>0</v>
      </c>
      <c r="AY1107" s="1194">
        <f>VLOOKUP('Bilateral Assistance, MAIN DATA'!B1107,'Country Summary (€)'!B:F,COLUMN('Country Summary (€)'!C1118)-1,FALSE)</f>
        <v>1</v>
      </c>
      <c r="AZ1107" s="1194">
        <f>IF(AND(AD1107=1,D1107="Military",H1107&lt;&gt;"Not given")=TRUE,IF(SUMIFS(P:P,A:A,A1107)&gt;0,ABS((SUMIFS(P:P,A:A,A1107)/VLOOKUP("USD",'Exchange Rates'!B:C,2,0)))/S1107,"."),".")</f>
        <v>0.36151050421562669</v>
      </c>
      <c r="BA1107" s="1196">
        <f>IF(AND(AD1107=1,D1107="Military",H1107&lt;&gt;"Not given")=TRUE,IF(SUMIFS(P:P,A:A,A1107)&gt;0,IF((ABS((SUMIFS(P:P,A:A,A1107)/VLOOKUP("USD",'Exchange Rates'!B:C,2,0)))/S1107)&gt;1,(SUMIFS(P:P,A:A,A1107)-S1107)/S1107,(S1107-SUMIFS(P:P,A:A,A1107))/SUMIFS(P:P,A:A,A1107)),"."),".")</f>
        <v>1.545244158468615</v>
      </c>
    </row>
    <row r="1108" spans="1:53" ht="15.95" customHeight="1">
      <c r="A1108" s="1182" t="s">
        <v>3014</v>
      </c>
      <c r="B1108" s="1182" t="s">
        <v>2989</v>
      </c>
      <c r="C1108" s="1181" t="s">
        <v>3022</v>
      </c>
      <c r="D1108" s="1182" t="s">
        <v>389</v>
      </c>
      <c r="E1108" s="1182" t="s">
        <v>390</v>
      </c>
      <c r="F1108" s="1183" t="s">
        <v>3015</v>
      </c>
      <c r="G1108" s="1184" t="s">
        <v>483</v>
      </c>
      <c r="H1108" s="1185">
        <v>1800000000</v>
      </c>
      <c r="I1108" s="1266" t="s">
        <v>1351</v>
      </c>
      <c r="J1108" s="1186" t="str">
        <f>VLOOKUP($I1108,'Price List, Weapons &amp; Items'!B:C,2,0)</f>
        <v>Portable defence system</v>
      </c>
      <c r="K1108" s="1186" t="str">
        <f>IF(I1108=".",I1108,VLOOKUP($I1108,'Price List, Weapons &amp; Items'!B:D,3,0))</f>
        <v>Light Anti-armor Weapon (LAW)</v>
      </c>
      <c r="L1108" s="1187">
        <f>VLOOKUP(I1108,'Price List, Weapons &amp; Items'!B:E,4,0)</f>
        <v>0</v>
      </c>
      <c r="M1108" s="1188" t="s">
        <v>374</v>
      </c>
      <c r="N1108" s="1188" t="s">
        <v>374</v>
      </c>
      <c r="O1108" s="1188">
        <f>VLOOKUP($I1108,'Price List, Weapons &amp; Items'!B:G,6,0)</f>
        <v>40000</v>
      </c>
      <c r="P1108" s="1185" t="str">
        <f t="shared" si="236"/>
        <v>.</v>
      </c>
      <c r="Q1108" s="1185" t="str">
        <f t="shared" si="237"/>
        <v>.</v>
      </c>
      <c r="R1108" s="1185" t="str">
        <f t="shared" si="233"/>
        <v/>
      </c>
      <c r="S1108" s="1185" t="str">
        <f>IF(AND(AD1108=1,R1108&lt;&gt;".")=TRUE,R1108/VLOOKUP(G1108,'Exchange Rates'!B:C,2,0),IF(R1108=".",".",""))</f>
        <v/>
      </c>
      <c r="T1108" s="1185" t="str">
        <f>IF(AD1108=1,IF(AF1108="Value is not given at all",".",IF(AF1108="Value is given by the source",S1108,IF(AF1108="Value is calculated with prices",(IF(SUMIFS(Q:Q,A:A,A1108)&gt;0,SUMIFS(Q:Q,A:A,A1108),"."))/VLOOKUP("USD",'Exchange Rates'!B:C,2,0),"Error with coding"))),"")</f>
        <v/>
      </c>
      <c r="U1108" s="1184" t="s">
        <v>675</v>
      </c>
      <c r="V1108" s="974" t="s">
        <v>3017</v>
      </c>
      <c r="W1108" s="974" t="s">
        <v>3018</v>
      </c>
      <c r="X1108" s="974" t="s">
        <v>3019</v>
      </c>
      <c r="Y1108" s="974" t="s">
        <v>3020</v>
      </c>
      <c r="Z1108" s="1184">
        <v>0</v>
      </c>
      <c r="AA1108" s="1194">
        <v>0</v>
      </c>
      <c r="AB1108" s="977" t="s">
        <v>3023</v>
      </c>
      <c r="AC1108" s="1192" t="str">
        <f>""</f>
        <v/>
      </c>
      <c r="AD1108" s="985">
        <v>0</v>
      </c>
      <c r="AE1108" s="985" t="s">
        <v>368</v>
      </c>
      <c r="AF1108" s="985" t="s">
        <v>368</v>
      </c>
      <c r="AG1108" s="985">
        <v>1</v>
      </c>
      <c r="AH1108" s="985">
        <v>4</v>
      </c>
      <c r="AI1108" s="985">
        <v>0</v>
      </c>
      <c r="AJ1108" s="1193">
        <f>VLOOKUP($I1108,'Price List, Weapons &amp; Items'!B:F,5,0)</f>
        <v>0</v>
      </c>
      <c r="AK1108" s="1193">
        <f t="shared" si="238"/>
        <v>0</v>
      </c>
      <c r="AL1108" s="1193">
        <f t="shared" si="239"/>
        <v>0</v>
      </c>
      <c r="AM1108" s="1193">
        <f t="shared" si="240"/>
        <v>0</v>
      </c>
      <c r="AN1108" s="1194" t="str">
        <f>VLOOKUP($I1108,'Price List, Weapons &amp; Items'!B:L,COLUMN('Price List, Weapons &amp; Items'!$J$11)-1,0)</f>
        <v>Media reports (incl. social media)</v>
      </c>
      <c r="AO1108" s="1194" t="str">
        <f>IF(I1108=".",".",VLOOKUP($I1108,'Price List, Weapons &amp; Items'!B:J,3,0))</f>
        <v>Light Anti-armor Weapon (LAW)</v>
      </c>
      <c r="AP1108" s="1195" t="str">
        <f t="shared" ca="1" si="234"/>
        <v/>
      </c>
      <c r="AQ1108" s="1194">
        <f>VLOOKUP($I1108,'Price List, Weapons &amp; Items'!B:L,COLUMN('Price List, Weapons &amp; Items'!$L$11)-1,0)</f>
        <v>2</v>
      </c>
      <c r="AR1108" s="1194">
        <f t="shared" si="241"/>
        <v>0</v>
      </c>
      <c r="AS1108" s="1194">
        <f t="shared" si="242"/>
        <v>1</v>
      </c>
      <c r="AT1108" s="1194" t="str">
        <f t="shared" si="243"/>
        <v>Value is not in date format</v>
      </c>
      <c r="AU1108" s="1194" t="str">
        <f t="shared" si="244"/>
        <v>.</v>
      </c>
      <c r="AV1108" s="1194" t="str">
        <f t="shared" si="235"/>
        <v>.</v>
      </c>
      <c r="AW1108" s="1194" t="str">
        <f t="shared" si="245"/>
        <v>.</v>
      </c>
      <c r="AX1108" s="1194">
        <f>IFERROR(VLOOKUP(B1108,'Share, Heavy Weapons to Ukraine'!B:Z,COLUMN('Share, Heavy Weapons to Ukraine'!C1118)-1,0),0)</f>
        <v>0</v>
      </c>
      <c r="AY1108" s="1194">
        <f>VLOOKUP('Bilateral Assistance, MAIN DATA'!B1108,'Country Summary (€)'!B:F,COLUMN('Country Summary (€)'!C1119)-1,FALSE)</f>
        <v>1</v>
      </c>
      <c r="AZ1108" s="1194" t="str">
        <f>IF(AND(AD1108=1,D1108="Military",H1108&lt;&gt;"Not given")=TRUE,IF(SUMIFS(P:P,A:A,A1108)&gt;0,ABS((SUMIFS(P:P,A:A,A1108)/VLOOKUP("USD",'Exchange Rates'!B:C,2,0)))/S1108,"."),".")</f>
        <v>.</v>
      </c>
      <c r="BA1108" s="1196" t="str">
        <f>IF(AND(AD1108=1,D1108="Military",H1108&lt;&gt;"Not given")=TRUE,IF(SUMIFS(P:P,A:A,A1108)&gt;0,IF((ABS((SUMIFS(P:P,A:A,A1108)/VLOOKUP("USD",'Exchange Rates'!B:C,2,0)))/S1108)&gt;1,(SUMIFS(P:P,A:A,A1108)-S1108)/S1108,(S1108-SUMIFS(P:P,A:A,A1108))/SUMIFS(P:P,A:A,A1108)),"."),".")</f>
        <v>.</v>
      </c>
    </row>
    <row r="1109" spans="1:53" ht="15.95" customHeight="1">
      <c r="A1109" s="1182" t="s">
        <v>3014</v>
      </c>
      <c r="B1109" s="1182" t="s">
        <v>2989</v>
      </c>
      <c r="C1109" s="1181" t="s">
        <v>3022</v>
      </c>
      <c r="D1109" s="1182" t="s">
        <v>389</v>
      </c>
      <c r="E1109" s="1182" t="s">
        <v>390</v>
      </c>
      <c r="F1109" s="1183" t="s">
        <v>3015</v>
      </c>
      <c r="G1109" s="1184" t="s">
        <v>483</v>
      </c>
      <c r="H1109" s="1185">
        <v>1800000000</v>
      </c>
      <c r="I1109" s="1266" t="s">
        <v>3024</v>
      </c>
      <c r="J1109" s="1186" t="str">
        <f>VLOOKUP($I1109,'Price List, Weapons &amp; Items'!B:C,2,0)</f>
        <v>Light armaments &amp; infantry</v>
      </c>
      <c r="K1109" s="1186" t="str">
        <f>IF(I1109=".",I1109,VLOOKUP($I1109,'Price List, Weapons &amp; Items'!B:D,3,0))</f>
        <v>Mortar</v>
      </c>
      <c r="L1109" s="1187">
        <f>VLOOKUP(I1109,'Price List, Weapons &amp; Items'!B:E,4,0)</f>
        <v>0</v>
      </c>
      <c r="M1109" s="1188">
        <v>100</v>
      </c>
      <c r="N1109" s="1188">
        <v>100</v>
      </c>
      <c r="O1109" s="1188">
        <f>VLOOKUP($I1109,'Price List, Weapons &amp; Items'!B:G,6,0)</f>
        <v>10658</v>
      </c>
      <c r="P1109" s="1185">
        <f t="shared" si="236"/>
        <v>1065800</v>
      </c>
      <c r="Q1109" s="1185">
        <f t="shared" si="237"/>
        <v>1065800</v>
      </c>
      <c r="R1109" s="1185" t="str">
        <f t="shared" si="233"/>
        <v/>
      </c>
      <c r="S1109" s="1185" t="str">
        <f>IF(AND(AD1109=1,R1109&lt;&gt;".")=TRUE,R1109/VLOOKUP(G1109,'Exchange Rates'!B:C,2,0),IF(R1109=".",".",""))</f>
        <v/>
      </c>
      <c r="T1109" s="1185" t="str">
        <f>IF(AD1109=1,IF(AF1109="Value is not given at all",".",IF(AF1109="Value is given by the source",S1109,IF(AF1109="Value is calculated with prices",(IF(SUMIFS(Q:Q,A:A,A1109)&gt;0,SUMIFS(Q:Q,A:A,A1109),"."))/VLOOKUP("USD",'Exchange Rates'!B:C,2,0),"Error with coding"))),"")</f>
        <v/>
      </c>
      <c r="U1109" s="1184" t="s">
        <v>675</v>
      </c>
      <c r="V1109" s="974" t="s">
        <v>3017</v>
      </c>
      <c r="W1109" s="974" t="s">
        <v>3018</v>
      </c>
      <c r="X1109" s="974" t="s">
        <v>3019</v>
      </c>
      <c r="Y1109" s="974" t="s">
        <v>3020</v>
      </c>
      <c r="Z1109" s="1184">
        <v>0</v>
      </c>
      <c r="AA1109" s="1194">
        <v>0</v>
      </c>
      <c r="AB1109" s="977" t="s">
        <v>3023</v>
      </c>
      <c r="AC1109" s="1192" t="str">
        <f>""</f>
        <v/>
      </c>
      <c r="AD1109" s="985">
        <v>0</v>
      </c>
      <c r="AE1109" s="985" t="s">
        <v>368</v>
      </c>
      <c r="AF1109" s="985" t="s">
        <v>368</v>
      </c>
      <c r="AG1109" s="985">
        <v>1</v>
      </c>
      <c r="AH1109" s="985">
        <v>4</v>
      </c>
      <c r="AI1109" s="985">
        <v>0</v>
      </c>
      <c r="AJ1109" s="1193">
        <f>VLOOKUP($I1109,'Price List, Weapons &amp; Items'!B:F,5,0)</f>
        <v>0</v>
      </c>
      <c r="AK1109" s="1193">
        <f t="shared" si="238"/>
        <v>0</v>
      </c>
      <c r="AL1109" s="1193">
        <f t="shared" si="239"/>
        <v>0</v>
      </c>
      <c r="AM1109" s="1193">
        <f t="shared" si="240"/>
        <v>0</v>
      </c>
      <c r="AN1109" s="1194" t="str">
        <f>VLOOKUP($I1109,'Price List, Weapons &amp; Items'!B:L,COLUMN('Price List, Weapons &amp; Items'!$J$11)-1,0)</f>
        <v>Military media (incl. websites)</v>
      </c>
      <c r="AO1109" s="1194" t="str">
        <f>IF(I1109=".",".",VLOOKUP($I1109,'Price List, Weapons &amp; Items'!B:J,3,0))</f>
        <v>Mortar</v>
      </c>
      <c r="AP1109" s="1195" t="str">
        <f t="shared" ca="1" si="234"/>
        <v/>
      </c>
      <c r="AQ1109" s="1194">
        <f>VLOOKUP($I1109,'Price List, Weapons &amp; Items'!B:L,COLUMN('Price List, Weapons &amp; Items'!$L$11)-1,0)</f>
        <v>1</v>
      </c>
      <c r="AR1109" s="1194">
        <f t="shared" si="241"/>
        <v>0</v>
      </c>
      <c r="AS1109" s="1194">
        <f t="shared" si="242"/>
        <v>1</v>
      </c>
      <c r="AT1109" s="1194" t="str">
        <f t="shared" si="243"/>
        <v>Value is not in date format</v>
      </c>
      <c r="AU1109" s="1194" t="str">
        <f t="shared" si="244"/>
        <v>.</v>
      </c>
      <c r="AV1109" s="1194" t="str">
        <f t="shared" si="235"/>
        <v>.</v>
      </c>
      <c r="AW1109" s="1194" t="str">
        <f t="shared" si="245"/>
        <v>.</v>
      </c>
      <c r="AX1109" s="1194">
        <f>IFERROR(VLOOKUP(B1109,'Share, Heavy Weapons to Ukraine'!B:Z,COLUMN('Share, Heavy Weapons to Ukraine'!C1119)-1,0),0)</f>
        <v>0</v>
      </c>
      <c r="AY1109" s="1194">
        <f>VLOOKUP('Bilateral Assistance, MAIN DATA'!B1109,'Country Summary (€)'!B:F,COLUMN('Country Summary (€)'!C1120)-1,FALSE)</f>
        <v>1</v>
      </c>
      <c r="AZ1109" s="1194" t="str">
        <f>IF(AND(AD1109=1,D1109="Military",H1109&lt;&gt;"Not given")=TRUE,IF(SUMIFS(P:P,A:A,A1109)&gt;0,ABS((SUMIFS(P:P,A:A,A1109)/VLOOKUP("USD",'Exchange Rates'!B:C,2,0)))/S1109,"."),".")</f>
        <v>.</v>
      </c>
      <c r="BA1109" s="1196" t="str">
        <f>IF(AND(AD1109=1,D1109="Military",H1109&lt;&gt;"Not given")=TRUE,IF(SUMIFS(P:P,A:A,A1109)&gt;0,IF((ABS((SUMIFS(P:P,A:A,A1109)/VLOOKUP("USD",'Exchange Rates'!B:C,2,0)))/S1109)&gt;1,(SUMIFS(P:P,A:A,A1109)-S1109)/S1109,(S1109-SUMIFS(P:P,A:A,A1109))/SUMIFS(P:P,A:A,A1109)),"."),".")</f>
        <v>.</v>
      </c>
    </row>
    <row r="1110" spans="1:53" ht="15.95" customHeight="1">
      <c r="A1110" s="1182" t="s">
        <v>3014</v>
      </c>
      <c r="B1110" s="1182" t="s">
        <v>2989</v>
      </c>
      <c r="C1110" s="1181" t="s">
        <v>3022</v>
      </c>
      <c r="D1110" s="1182" t="s">
        <v>389</v>
      </c>
      <c r="E1110" s="1182" t="s">
        <v>390</v>
      </c>
      <c r="F1110" s="1183" t="s">
        <v>3015</v>
      </c>
      <c r="G1110" s="1184" t="s">
        <v>483</v>
      </c>
      <c r="H1110" s="1185">
        <v>1800000000</v>
      </c>
      <c r="I1110" s="1266" t="s">
        <v>3025</v>
      </c>
      <c r="J1110" s="1186" t="str">
        <f>VLOOKUP($I1110,'Price List, Weapons &amp; Items'!B:C,2,0)</f>
        <v>Aviation and drones</v>
      </c>
      <c r="K1110" s="1186" t="str">
        <f>IF(I1110=".",I1110,VLOOKUP($I1110,'Price List, Weapons &amp; Items'!B:D,3,0))</f>
        <v>Drone</v>
      </c>
      <c r="L1110" s="1187">
        <f>VLOOKUP(I1110,'Price List, Weapons &amp; Items'!B:E,4,0)</f>
        <v>0</v>
      </c>
      <c r="M1110" s="1188" t="s">
        <v>374</v>
      </c>
      <c r="N1110" s="1188" t="s">
        <v>374</v>
      </c>
      <c r="O1110" s="1188">
        <f>VLOOKUP($I1110,'Price List, Weapons &amp; Items'!B:G,6,0)</f>
        <v>150</v>
      </c>
      <c r="P1110" s="1185" t="str">
        <f t="shared" si="236"/>
        <v>.</v>
      </c>
      <c r="Q1110" s="1185" t="str">
        <f t="shared" si="237"/>
        <v>.</v>
      </c>
      <c r="R1110" s="1185" t="str">
        <f t="shared" si="233"/>
        <v/>
      </c>
      <c r="S1110" s="1185" t="str">
        <f>IF(AND(AD1110=1,R1110&lt;&gt;".")=TRUE,R1110/VLOOKUP(G1110,'Exchange Rates'!B:C,2,0),IF(R1110=".",".",""))</f>
        <v/>
      </c>
      <c r="T1110" s="1185" t="str">
        <f>IF(AD1110=1,IF(AF1110="Value is not given at all",".",IF(AF1110="Value is given by the source",S1110,IF(AF1110="Value is calculated with prices",(IF(SUMIFS(Q:Q,A:A,A1110)&gt;0,SUMIFS(Q:Q,A:A,A1110),"."))/VLOOKUP("USD",'Exchange Rates'!B:C,2,0),"Error with coding"))),"")</f>
        <v/>
      </c>
      <c r="U1110" s="1184" t="s">
        <v>675</v>
      </c>
      <c r="V1110" s="974" t="s">
        <v>3017</v>
      </c>
      <c r="W1110" s="974" t="s">
        <v>3018</v>
      </c>
      <c r="X1110" s="974" t="s">
        <v>3019</v>
      </c>
      <c r="Y1110" s="974" t="s">
        <v>3020</v>
      </c>
      <c r="Z1110" s="1184">
        <v>0</v>
      </c>
      <c r="AA1110" s="1194">
        <v>0</v>
      </c>
      <c r="AB1110" s="977" t="s">
        <v>3026</v>
      </c>
      <c r="AC1110" s="1192" t="str">
        <f>""</f>
        <v/>
      </c>
      <c r="AD1110" s="985">
        <v>0</v>
      </c>
      <c r="AE1110" s="985" t="s">
        <v>368</v>
      </c>
      <c r="AF1110" s="985" t="s">
        <v>368</v>
      </c>
      <c r="AG1110" s="985">
        <v>1</v>
      </c>
      <c r="AH1110" s="985">
        <v>4</v>
      </c>
      <c r="AI1110" s="985">
        <v>0</v>
      </c>
      <c r="AJ1110" s="1193">
        <f>VLOOKUP($I1110,'Price List, Weapons &amp; Items'!B:F,5,0)</f>
        <v>0</v>
      </c>
      <c r="AK1110" s="1193">
        <f t="shared" si="238"/>
        <v>0</v>
      </c>
      <c r="AL1110" s="1193">
        <f t="shared" si="239"/>
        <v>0</v>
      </c>
      <c r="AM1110" s="1193">
        <f t="shared" si="240"/>
        <v>0</v>
      </c>
      <c r="AN1110" s="1194" t="str">
        <f>VLOOKUP($I1110,'Price List, Weapons &amp; Items'!B:L,COLUMN('Price List, Weapons &amp; Items'!$J$11)-1,0)</f>
        <v>Miscellaneous</v>
      </c>
      <c r="AO1110" s="1194" t="str">
        <f>IF(I1110=".",".",VLOOKUP($I1110,'Price List, Weapons &amp; Items'!B:J,3,0))</f>
        <v>Drone</v>
      </c>
      <c r="AP1110" s="1195" t="str">
        <f t="shared" ca="1" si="234"/>
        <v/>
      </c>
      <c r="AQ1110" s="1194" t="str">
        <f>VLOOKUP($I1110,'Price List, Weapons &amp; Items'!B:L,COLUMN('Price List, Weapons &amp; Items'!$L$11)-1,0)</f>
        <v>no price, 0 count</v>
      </c>
      <c r="AR1110" s="1194">
        <f t="shared" si="241"/>
        <v>0</v>
      </c>
      <c r="AS1110" s="1194">
        <f t="shared" si="242"/>
        <v>1</v>
      </c>
      <c r="AT1110" s="1194" t="str">
        <f t="shared" si="243"/>
        <v>Value is not in date format</v>
      </c>
      <c r="AU1110" s="1194" t="str">
        <f t="shared" si="244"/>
        <v>.</v>
      </c>
      <c r="AV1110" s="1194" t="str">
        <f t="shared" si="235"/>
        <v>.</v>
      </c>
      <c r="AW1110" s="1194" t="str">
        <f t="shared" si="245"/>
        <v>.</v>
      </c>
      <c r="AX1110" s="1194">
        <f>IFERROR(VLOOKUP(B1110,'Share, Heavy Weapons to Ukraine'!B:Z,COLUMN('Share, Heavy Weapons to Ukraine'!C1120)-1,0),0)</f>
        <v>0</v>
      </c>
      <c r="AY1110" s="1194">
        <f>VLOOKUP('Bilateral Assistance, MAIN DATA'!B1110,'Country Summary (€)'!B:F,COLUMN('Country Summary (€)'!C1121)-1,FALSE)</f>
        <v>1</v>
      </c>
      <c r="AZ1110" s="1194" t="str">
        <f>IF(AND(AD1110=1,D1110="Military",H1110&lt;&gt;"Not given")=TRUE,IF(SUMIFS(P:P,A:A,A1110)&gt;0,ABS((SUMIFS(P:P,A:A,A1110)/VLOOKUP("USD",'Exchange Rates'!B:C,2,0)))/S1110,"."),".")</f>
        <v>.</v>
      </c>
      <c r="BA1110" s="1196" t="str">
        <f>IF(AND(AD1110=1,D1110="Military",H1110&lt;&gt;"Not given")=TRUE,IF(SUMIFS(P:P,A:A,A1110)&gt;0,IF((ABS((SUMIFS(P:P,A:A,A1110)/VLOOKUP("USD",'Exchange Rates'!B:C,2,0)))/S1110)&gt;1,(SUMIFS(P:P,A:A,A1110)-S1110)/S1110,(S1110-SUMIFS(P:P,A:A,A1110))/SUMIFS(P:P,A:A,A1110)),"."),".")</f>
        <v>.</v>
      </c>
    </row>
    <row r="1111" spans="1:53" ht="15.95" customHeight="1">
      <c r="A1111" s="1182" t="s">
        <v>3014</v>
      </c>
      <c r="B1111" s="1182" t="s">
        <v>2989</v>
      </c>
      <c r="C1111" s="1181" t="s">
        <v>3022</v>
      </c>
      <c r="D1111" s="1182" t="s">
        <v>389</v>
      </c>
      <c r="E1111" s="1182" t="s">
        <v>390</v>
      </c>
      <c r="F1111" s="1183" t="s">
        <v>3015</v>
      </c>
      <c r="G1111" s="1184" t="s">
        <v>483</v>
      </c>
      <c r="H1111" s="1185">
        <v>1800000000</v>
      </c>
      <c r="I1111" s="1266" t="s">
        <v>3027</v>
      </c>
      <c r="J1111" s="1186" t="str">
        <f>VLOOKUP($I1111,'Price List, Weapons &amp; Items'!B:C,2,0)</f>
        <v>Ammunition for light infantry</v>
      </c>
      <c r="K1111" s="1186" t="str">
        <f>IF(I1111=".",I1111,VLOOKUP($I1111,'Price List, Weapons &amp; Items'!B:D,3,0))</f>
        <v>Anti-aircraft guns ammunition</v>
      </c>
      <c r="L1111" s="1187">
        <f>VLOOKUP(I1111,'Price List, Weapons &amp; Items'!B:E,4,0)</f>
        <v>1</v>
      </c>
      <c r="M1111" s="1188">
        <v>30000</v>
      </c>
      <c r="N1111" s="1188">
        <v>30000</v>
      </c>
      <c r="O1111" s="1188">
        <f>VLOOKUP($I1111,'Price List, Weapons &amp; Items'!B:G,6,0)</f>
        <v>100</v>
      </c>
      <c r="P1111" s="1185">
        <f t="shared" si="236"/>
        <v>3000000</v>
      </c>
      <c r="Q1111" s="1185">
        <f t="shared" si="237"/>
        <v>3000000</v>
      </c>
      <c r="R1111" s="1185" t="str">
        <f t="shared" si="233"/>
        <v/>
      </c>
      <c r="S1111" s="1185" t="str">
        <f>IF(AND(AD1111=1,R1111&lt;&gt;".")=TRUE,R1111/VLOOKUP(G1111,'Exchange Rates'!B:C,2,0),IF(R1111=".",".",""))</f>
        <v/>
      </c>
      <c r="T1111" s="1185" t="str">
        <f>IF(AD1111=1,IF(AF1111="Value is not given at all",".",IF(AF1111="Value is given by the source",S1111,IF(AF1111="Value is calculated with prices",(IF(SUMIFS(Q:Q,A:A,A1111)&gt;0,SUMIFS(Q:Q,A:A,A1111),"."))/VLOOKUP("USD",'Exchange Rates'!B:C,2,0),"Error with coding"))),"")</f>
        <v/>
      </c>
      <c r="U1111" s="1184" t="s">
        <v>675</v>
      </c>
      <c r="V1111" s="974" t="s">
        <v>3017</v>
      </c>
      <c r="W1111" s="974" t="s">
        <v>3018</v>
      </c>
      <c r="X1111" s="974" t="s">
        <v>3019</v>
      </c>
      <c r="Y1111" s="974" t="s">
        <v>3020</v>
      </c>
      <c r="Z1111" s="1184">
        <v>0</v>
      </c>
      <c r="AA1111" s="1194">
        <v>0</v>
      </c>
      <c r="AB1111" s="977" t="s">
        <v>3023</v>
      </c>
      <c r="AC1111" s="1192" t="str">
        <f>""</f>
        <v/>
      </c>
      <c r="AD1111" s="985">
        <v>0</v>
      </c>
      <c r="AE1111" s="985" t="s">
        <v>368</v>
      </c>
      <c r="AF1111" s="985" t="s">
        <v>368</v>
      </c>
      <c r="AG1111" s="985">
        <v>1</v>
      </c>
      <c r="AH1111" s="985">
        <v>4</v>
      </c>
      <c r="AI1111" s="985">
        <v>0</v>
      </c>
      <c r="AJ1111" s="1193">
        <f>VLOOKUP($I1111,'Price List, Weapons &amp; Items'!B:F,5,0)</f>
        <v>0</v>
      </c>
      <c r="AK1111" s="1193">
        <f t="shared" si="238"/>
        <v>0</v>
      </c>
      <c r="AL1111" s="1193">
        <f t="shared" si="239"/>
        <v>0</v>
      </c>
      <c r="AM1111" s="1193">
        <f t="shared" si="240"/>
        <v>0</v>
      </c>
      <c r="AN1111" s="1194" t="str">
        <f>VLOOKUP($I1111,'Price List, Weapons &amp; Items'!B:L,COLUMN('Price List, Weapons &amp; Items'!$J$11)-1,0)</f>
        <v>Media reports (incl. social media)</v>
      </c>
      <c r="AO1111" s="1194" t="str">
        <f>IF(I1111=".",".",VLOOKUP($I1111,'Price List, Weapons &amp; Items'!B:J,3,0))</f>
        <v>Anti-aircraft guns ammunition</v>
      </c>
      <c r="AP1111" s="1195" t="str">
        <f t="shared" ca="1" si="234"/>
        <v/>
      </c>
      <c r="AQ1111" s="1194">
        <f>VLOOKUP($I1111,'Price List, Weapons &amp; Items'!B:L,COLUMN('Price List, Weapons &amp; Items'!$L$11)-1,0)</f>
        <v>2</v>
      </c>
      <c r="AR1111" s="1194">
        <f t="shared" si="241"/>
        <v>0</v>
      </c>
      <c r="AS1111" s="1194">
        <f t="shared" si="242"/>
        <v>1</v>
      </c>
      <c r="AT1111" s="1194" t="str">
        <f t="shared" si="243"/>
        <v>Value is not in date format</v>
      </c>
      <c r="AU1111" s="1194" t="str">
        <f t="shared" si="244"/>
        <v>.</v>
      </c>
      <c r="AV1111" s="1194" t="str">
        <f t="shared" si="235"/>
        <v>.</v>
      </c>
      <c r="AW1111" s="1194" t="str">
        <f t="shared" si="245"/>
        <v>.</v>
      </c>
      <c r="AX1111" s="1194">
        <f>IFERROR(VLOOKUP(B1111,'Share, Heavy Weapons to Ukraine'!B:Z,COLUMN('Share, Heavy Weapons to Ukraine'!C1121)-1,0),0)</f>
        <v>0</v>
      </c>
      <c r="AY1111" s="1194">
        <f>VLOOKUP('Bilateral Assistance, MAIN DATA'!B1111,'Country Summary (€)'!B:F,COLUMN('Country Summary (€)'!C1122)-1,FALSE)</f>
        <v>1</v>
      </c>
      <c r="AZ1111" s="1194" t="str">
        <f>IF(AND(AD1111=1,D1111="Military",H1111&lt;&gt;"Not given")=TRUE,IF(SUMIFS(P:P,A:A,A1111)&gt;0,ABS((SUMIFS(P:P,A:A,A1111)/VLOOKUP("USD",'Exchange Rates'!B:C,2,0)))/S1111,"."),".")</f>
        <v>.</v>
      </c>
      <c r="BA1111" s="1196" t="str">
        <f>IF(AND(AD1111=1,D1111="Military",H1111&lt;&gt;"Not given")=TRUE,IF(SUMIFS(P:P,A:A,A1111)&gt;0,IF((ABS((SUMIFS(P:P,A:A,A1111)/VLOOKUP("USD",'Exchange Rates'!B:C,2,0)))/S1111)&gt;1,(SUMIFS(P:P,A:A,A1111)-S1111)/S1111,(S1111-SUMIFS(P:P,A:A,A1111))/SUMIFS(P:P,A:A,A1111)),"."),".")</f>
        <v>.</v>
      </c>
    </row>
    <row r="1112" spans="1:53" ht="15.95" customHeight="1">
      <c r="A1112" s="1182" t="s">
        <v>3014</v>
      </c>
      <c r="B1112" s="1182" t="s">
        <v>2989</v>
      </c>
      <c r="C1112" s="1181" t="s">
        <v>3022</v>
      </c>
      <c r="D1112" s="1182" t="s">
        <v>389</v>
      </c>
      <c r="E1112" s="1182" t="s">
        <v>390</v>
      </c>
      <c r="F1112" s="1183" t="s">
        <v>3015</v>
      </c>
      <c r="G1112" s="1184" t="s">
        <v>483</v>
      </c>
      <c r="H1112" s="1185">
        <v>1800000000</v>
      </c>
      <c r="I1112" s="1266" t="s">
        <v>3028</v>
      </c>
      <c r="J1112" s="1186" t="str">
        <f>VLOOKUP($I1112,'Price List, Weapons &amp; Items'!B:C,2,0)</f>
        <v>Ammunition for heavy weapon</v>
      </c>
      <c r="K1112" s="1186" t="str">
        <f>IF(I1112=".",I1112,VLOOKUP($I1112,'Price List, Weapons &amp; Items'!B:D,3,0))</f>
        <v>152mm howitzer ammunition</v>
      </c>
      <c r="L1112" s="1187">
        <f>VLOOKUP(I1112,'Price List, Weapons &amp; Items'!B:E,4,0)</f>
        <v>0</v>
      </c>
      <c r="M1112" s="1188">
        <v>1170</v>
      </c>
      <c r="N1112" s="1188">
        <v>1170</v>
      </c>
      <c r="O1112" s="1188">
        <f>VLOOKUP($I1112,'Price List, Weapons &amp; Items'!B:G,6,0)</f>
        <v>2000</v>
      </c>
      <c r="P1112" s="1185">
        <f t="shared" si="236"/>
        <v>2340000</v>
      </c>
      <c r="Q1112" s="1185">
        <f t="shared" si="237"/>
        <v>2340000</v>
      </c>
      <c r="R1112" s="1185" t="str">
        <f t="shared" si="233"/>
        <v/>
      </c>
      <c r="S1112" s="1185" t="str">
        <f>IF(AND(AD1112=1,R1112&lt;&gt;".")=TRUE,R1112/VLOOKUP(G1112,'Exchange Rates'!B:C,2,0),IF(R1112=".",".",""))</f>
        <v/>
      </c>
      <c r="T1112" s="1185" t="str">
        <f>IF(AD1112=1,IF(AF1112="Value is not given at all",".",IF(AF1112="Value is given by the source",S1112,IF(AF1112="Value is calculated with prices",(IF(SUMIFS(Q:Q,A:A,A1112)&gt;0,SUMIFS(Q:Q,A:A,A1112),"."))/VLOOKUP("USD",'Exchange Rates'!B:C,2,0),"Error with coding"))),"")</f>
        <v/>
      </c>
      <c r="U1112" s="1184" t="s">
        <v>675</v>
      </c>
      <c r="V1112" s="974" t="s">
        <v>3017</v>
      </c>
      <c r="W1112" s="974" t="s">
        <v>3018</v>
      </c>
      <c r="X1112" s="974" t="s">
        <v>3019</v>
      </c>
      <c r="Y1112" s="974" t="s">
        <v>3020</v>
      </c>
      <c r="Z1112" s="1184">
        <v>0</v>
      </c>
      <c r="AA1112" s="1194">
        <v>0</v>
      </c>
      <c r="AB1112" s="977" t="s">
        <v>3023</v>
      </c>
      <c r="AC1112" s="1192" t="str">
        <f>""</f>
        <v/>
      </c>
      <c r="AD1112" s="985">
        <v>0</v>
      </c>
      <c r="AE1112" s="985" t="s">
        <v>368</v>
      </c>
      <c r="AF1112" s="985" t="s">
        <v>368</v>
      </c>
      <c r="AG1112" s="985">
        <v>1</v>
      </c>
      <c r="AH1112" s="985">
        <v>4</v>
      </c>
      <c r="AI1112" s="985">
        <v>0</v>
      </c>
      <c r="AJ1112" s="1193">
        <f>VLOOKUP($I1112,'Price List, Weapons &amp; Items'!B:F,5,0)</f>
        <v>1</v>
      </c>
      <c r="AK1112" s="1193">
        <f t="shared" si="238"/>
        <v>0</v>
      </c>
      <c r="AL1112" s="1193">
        <f t="shared" si="239"/>
        <v>0</v>
      </c>
      <c r="AM1112" s="1193">
        <f t="shared" si="240"/>
        <v>1</v>
      </c>
      <c r="AN1112" s="1194" t="str">
        <f>VLOOKUP($I1112,'Price List, Weapons &amp; Items'!B:L,COLUMN('Price List, Weapons &amp; Items'!$J$11)-1,0)</f>
        <v>Media reports (incl. social media)</v>
      </c>
      <c r="AO1112" s="1194" t="str">
        <f>IF(I1112=".",".",VLOOKUP($I1112,'Price List, Weapons &amp; Items'!B:J,3,0))</f>
        <v>152mm howitzer ammunition</v>
      </c>
      <c r="AP1112" s="1195" t="str">
        <f t="shared" ca="1" si="234"/>
        <v/>
      </c>
      <c r="AQ1112" s="1194">
        <f>VLOOKUP($I1112,'Price List, Weapons &amp; Items'!B:L,COLUMN('Price List, Weapons &amp; Items'!$L$11)-1,0)</f>
        <v>2</v>
      </c>
      <c r="AR1112" s="1194">
        <f t="shared" si="241"/>
        <v>0</v>
      </c>
      <c r="AS1112" s="1194">
        <f t="shared" si="242"/>
        <v>1</v>
      </c>
      <c r="AT1112" s="1194" t="str">
        <f t="shared" si="243"/>
        <v>Value is not in date format</v>
      </c>
      <c r="AU1112" s="1194" t="str">
        <f t="shared" si="244"/>
        <v>.</v>
      </c>
      <c r="AV1112" s="1194" t="str">
        <f t="shared" si="235"/>
        <v>.</v>
      </c>
      <c r="AW1112" s="1194" t="str">
        <f t="shared" si="245"/>
        <v>.</v>
      </c>
      <c r="AX1112" s="1194">
        <f>IFERROR(VLOOKUP(B1112,'Share, Heavy Weapons to Ukraine'!B:Z,COLUMN('Share, Heavy Weapons to Ukraine'!C1122)-1,0),0)</f>
        <v>0</v>
      </c>
      <c r="AY1112" s="1194">
        <f>VLOOKUP('Bilateral Assistance, MAIN DATA'!B1112,'Country Summary (€)'!B:F,COLUMN('Country Summary (€)'!C1123)-1,FALSE)</f>
        <v>1</v>
      </c>
      <c r="AZ1112" s="1194" t="str">
        <f>IF(AND(AD1112=1,D1112="Military",H1112&lt;&gt;"Not given")=TRUE,IF(SUMIFS(P:P,A:A,A1112)&gt;0,ABS((SUMIFS(P:P,A:A,A1112)/VLOOKUP("USD",'Exchange Rates'!B:C,2,0)))/S1112,"."),".")</f>
        <v>.</v>
      </c>
      <c r="BA1112" s="1196" t="str">
        <f>IF(AND(AD1112=1,D1112="Military",H1112&lt;&gt;"Not given")=TRUE,IF(SUMIFS(P:P,A:A,A1112)&gt;0,IF((ABS((SUMIFS(P:P,A:A,A1112)/VLOOKUP("USD",'Exchange Rates'!B:C,2,0)))/S1112)&gt;1,(SUMIFS(P:P,A:A,A1112)-S1112)/S1112,(S1112-SUMIFS(P:P,A:A,A1112))/SUMIFS(P:P,A:A,A1112)),"."),".")</f>
        <v>.</v>
      </c>
    </row>
    <row r="1113" spans="1:53" ht="15.95" customHeight="1">
      <c r="A1113" s="1182" t="s">
        <v>3014</v>
      </c>
      <c r="B1113" s="1182" t="s">
        <v>2989</v>
      </c>
      <c r="C1113" s="1181" t="s">
        <v>3022</v>
      </c>
      <c r="D1113" s="1182" t="s">
        <v>389</v>
      </c>
      <c r="E1113" s="1182" t="s">
        <v>390</v>
      </c>
      <c r="F1113" s="1183" t="s">
        <v>3015</v>
      </c>
      <c r="G1113" s="1184" t="s">
        <v>483</v>
      </c>
      <c r="H1113" s="1185">
        <v>1800000000</v>
      </c>
      <c r="I1113" s="1266" t="s">
        <v>1314</v>
      </c>
      <c r="J1113" s="1186" t="str">
        <f>VLOOKUP($I1113,'Price List, Weapons &amp; Items'!B:C,2,0)</f>
        <v>Ammunition for portable defence system</v>
      </c>
      <c r="K1113" s="1186" t="str">
        <f>IF(I1113=".",I1113,VLOOKUP($I1113,'Price List, Weapons &amp; Items'!B:D,3,0))</f>
        <v>Light Anti-armor Weapon (LAW) ammunition</v>
      </c>
      <c r="L1113" s="1187">
        <f>VLOOKUP(I1113,'Price List, Weapons &amp; Items'!B:E,4,0)</f>
        <v>0</v>
      </c>
      <c r="M1113" s="1188" t="s">
        <v>374</v>
      </c>
      <c r="N1113" s="1188" t="s">
        <v>374</v>
      </c>
      <c r="O1113" s="1188">
        <f>VLOOKUP($I1113,'Price List, Weapons &amp; Items'!B:G,6,0)</f>
        <v>78000</v>
      </c>
      <c r="P1113" s="1185" t="str">
        <f t="shared" si="236"/>
        <v>.</v>
      </c>
      <c r="Q1113" s="1185" t="str">
        <f t="shared" si="237"/>
        <v>.</v>
      </c>
      <c r="R1113" s="1185" t="str">
        <f t="shared" si="233"/>
        <v/>
      </c>
      <c r="S1113" s="1185" t="str">
        <f>IF(AND(AD1113=1,R1113&lt;&gt;".")=TRUE,R1113/VLOOKUP(G1113,'Exchange Rates'!B:C,2,0),IF(R1113=".",".",""))</f>
        <v/>
      </c>
      <c r="T1113" s="1185" t="str">
        <f>IF(AD1113=1,IF(AF1113="Value is not given at all",".",IF(AF1113="Value is given by the source",S1113,IF(AF1113="Value is calculated with prices",(IF(SUMIFS(Q:Q,A:A,A1113)&gt;0,SUMIFS(Q:Q,A:A,A1113),"."))/VLOOKUP("USD",'Exchange Rates'!B:C,2,0),"Error with coding"))),"")</f>
        <v/>
      </c>
      <c r="U1113" s="1184" t="s">
        <v>675</v>
      </c>
      <c r="V1113" s="974" t="s">
        <v>3017</v>
      </c>
      <c r="W1113" s="974" t="s">
        <v>3018</v>
      </c>
      <c r="X1113" s="974" t="s">
        <v>3019</v>
      </c>
      <c r="Y1113" s="974" t="s">
        <v>3020</v>
      </c>
      <c r="Z1113" s="1184">
        <v>0</v>
      </c>
      <c r="AA1113" s="1194">
        <v>0</v>
      </c>
      <c r="AB1113" s="977" t="s">
        <v>3023</v>
      </c>
      <c r="AC1113" s="1192" t="str">
        <f>""</f>
        <v/>
      </c>
      <c r="AD1113" s="985">
        <v>0</v>
      </c>
      <c r="AE1113" s="985" t="s">
        <v>368</v>
      </c>
      <c r="AF1113" s="985" t="s">
        <v>368</v>
      </c>
      <c r="AG1113" s="985">
        <v>1</v>
      </c>
      <c r="AH1113" s="985">
        <v>4</v>
      </c>
      <c r="AI1113" s="985">
        <v>0</v>
      </c>
      <c r="AJ1113" s="1193">
        <f>VLOOKUP($I1113,'Price List, Weapons &amp; Items'!B:F,5,0)</f>
        <v>0</v>
      </c>
      <c r="AK1113" s="1193">
        <f t="shared" si="238"/>
        <v>0</v>
      </c>
      <c r="AL1113" s="1193">
        <f t="shared" si="239"/>
        <v>0</v>
      </c>
      <c r="AM1113" s="1193">
        <f t="shared" si="240"/>
        <v>0</v>
      </c>
      <c r="AN1113" s="1194" t="str">
        <f>VLOOKUP($I1113,'Price List, Weapons &amp; Items'!B:L,COLUMN('Price List, Weapons &amp; Items'!$J$11)-1,0)</f>
        <v>Military media (incl. websites)</v>
      </c>
      <c r="AO1113" s="1194" t="str">
        <f>IF(I1113=".",".",VLOOKUP($I1113,'Price List, Weapons &amp; Items'!B:J,3,0))</f>
        <v>Light Anti-armor Weapon (LAW) ammunition</v>
      </c>
      <c r="AP1113" s="1195" t="str">
        <f t="shared" ca="1" si="234"/>
        <v/>
      </c>
      <c r="AQ1113" s="1194">
        <f>VLOOKUP($I1113,'Price List, Weapons &amp; Items'!B:L,COLUMN('Price List, Weapons &amp; Items'!$L$11)-1,0)</f>
        <v>2</v>
      </c>
      <c r="AR1113" s="1194">
        <f t="shared" si="241"/>
        <v>0</v>
      </c>
      <c r="AS1113" s="1194">
        <f t="shared" si="242"/>
        <v>1</v>
      </c>
      <c r="AT1113" s="1194" t="str">
        <f t="shared" si="243"/>
        <v>Value is not in date format</v>
      </c>
      <c r="AU1113" s="1194" t="str">
        <f t="shared" si="244"/>
        <v>.</v>
      </c>
      <c r="AV1113" s="1194" t="str">
        <f t="shared" si="235"/>
        <v>.</v>
      </c>
      <c r="AW1113" s="1194" t="str">
        <f t="shared" si="245"/>
        <v>.</v>
      </c>
      <c r="AX1113" s="1194">
        <f>IFERROR(VLOOKUP(B1113,'Share, Heavy Weapons to Ukraine'!B:Z,COLUMN('Share, Heavy Weapons to Ukraine'!C1123)-1,0),0)</f>
        <v>0</v>
      </c>
      <c r="AY1113" s="1194">
        <f>VLOOKUP('Bilateral Assistance, MAIN DATA'!B1113,'Country Summary (€)'!B:F,COLUMN('Country Summary (€)'!C1124)-1,FALSE)</f>
        <v>1</v>
      </c>
      <c r="AZ1113" s="1194" t="str">
        <f>IF(AND(AD1113=1,D1113="Military",H1113&lt;&gt;"Not given")=TRUE,IF(SUMIFS(P:P,A:A,A1113)&gt;0,ABS((SUMIFS(P:P,A:A,A1113)/VLOOKUP("USD",'Exchange Rates'!B:C,2,0)))/S1113,"."),".")</f>
        <v>.</v>
      </c>
      <c r="BA1113" s="1196" t="str">
        <f>IF(AND(AD1113=1,D1113="Military",H1113&lt;&gt;"Not given")=TRUE,IF(SUMIFS(P:P,A:A,A1113)&gt;0,IF((ABS((SUMIFS(P:P,A:A,A1113)/VLOOKUP("USD",'Exchange Rates'!B:C,2,0)))/S1113)&gt;1,(SUMIFS(P:P,A:A,A1113)-S1113)/S1113,(S1113-SUMIFS(P:P,A:A,A1113))/SUMIFS(P:P,A:A,A1113)),"."),".")</f>
        <v>.</v>
      </c>
    </row>
    <row r="1114" spans="1:53" ht="15.95" customHeight="1">
      <c r="A1114" s="1182" t="s">
        <v>3014</v>
      </c>
      <c r="B1114" s="1182" t="s">
        <v>2989</v>
      </c>
      <c r="C1114" s="1181" t="s">
        <v>3022</v>
      </c>
      <c r="D1114" s="1182" t="s">
        <v>389</v>
      </c>
      <c r="E1114" s="1182" t="s">
        <v>390</v>
      </c>
      <c r="F1114" s="1183" t="s">
        <v>3015</v>
      </c>
      <c r="G1114" s="1184" t="s">
        <v>483</v>
      </c>
      <c r="H1114" s="1185">
        <v>1800000000</v>
      </c>
      <c r="I1114" s="1266" t="s">
        <v>594</v>
      </c>
      <c r="J1114" s="1186" t="str">
        <f>VLOOKUP($I1114,'Price List, Weapons &amp; Items'!B:C,2,0)</f>
        <v>Military equipment</v>
      </c>
      <c r="K1114" s="1186" t="str">
        <f>IF(I1114=".",I1114,VLOOKUP($I1114,'Price List, Weapons &amp; Items'!B:D,3,0))</f>
        <v>Military equipment</v>
      </c>
      <c r="L1114" s="1187">
        <f>VLOOKUP(I1114,'Price List, Weapons &amp; Items'!B:E,4,0)</f>
        <v>0</v>
      </c>
      <c r="M1114" s="1188">
        <v>42000</v>
      </c>
      <c r="N1114" s="1188">
        <v>42000</v>
      </c>
      <c r="O1114" s="1188">
        <f>VLOOKUP($I1114,'Price List, Weapons &amp; Items'!B:G,6,0)</f>
        <v>1400</v>
      </c>
      <c r="P1114" s="1185">
        <f t="shared" si="236"/>
        <v>58800000</v>
      </c>
      <c r="Q1114" s="1185">
        <f t="shared" si="237"/>
        <v>58800000</v>
      </c>
      <c r="R1114" s="1185" t="str">
        <f t="shared" si="233"/>
        <v/>
      </c>
      <c r="S1114" s="1185" t="str">
        <f>IF(AND(AD1114=1,R1114&lt;&gt;".")=TRUE,R1114/VLOOKUP(G1114,'Exchange Rates'!B:C,2,0),IF(R1114=".",".",""))</f>
        <v/>
      </c>
      <c r="T1114" s="1185" t="str">
        <f>IF(AD1114=1,IF(AF1114="Value is not given at all",".",IF(AF1114="Value is given by the source",S1114,IF(AF1114="Value is calculated with prices",(IF(SUMIFS(Q:Q,A:A,A1114)&gt;0,SUMIFS(Q:Q,A:A,A1114),"."))/VLOOKUP("USD",'Exchange Rates'!B:C,2,0),"Error with coding"))),"")</f>
        <v/>
      </c>
      <c r="U1114" s="1184" t="s">
        <v>675</v>
      </c>
      <c r="V1114" s="974" t="s">
        <v>3017</v>
      </c>
      <c r="W1114" s="974" t="s">
        <v>3018</v>
      </c>
      <c r="X1114" s="974" t="s">
        <v>3019</v>
      </c>
      <c r="Y1114" s="974" t="s">
        <v>3020</v>
      </c>
      <c r="Z1114" s="1184">
        <v>0</v>
      </c>
      <c r="AA1114" s="1194">
        <v>0</v>
      </c>
      <c r="AB1114" s="977" t="s">
        <v>3023</v>
      </c>
      <c r="AC1114" s="1192" t="str">
        <f>""</f>
        <v/>
      </c>
      <c r="AD1114" s="985">
        <v>0</v>
      </c>
      <c r="AE1114" s="985" t="s">
        <v>368</v>
      </c>
      <c r="AF1114" s="985" t="s">
        <v>368</v>
      </c>
      <c r="AG1114" s="985">
        <v>1</v>
      </c>
      <c r="AH1114" s="985">
        <v>4</v>
      </c>
      <c r="AI1114" s="985">
        <v>0</v>
      </c>
      <c r="AJ1114" s="1193">
        <f>VLOOKUP($I1114,'Price List, Weapons &amp; Items'!B:F,5,0)</f>
        <v>0</v>
      </c>
      <c r="AK1114" s="1193">
        <f t="shared" si="238"/>
        <v>0</v>
      </c>
      <c r="AL1114" s="1193">
        <f t="shared" si="239"/>
        <v>0</v>
      </c>
      <c r="AM1114" s="1193">
        <f t="shared" si="240"/>
        <v>0</v>
      </c>
      <c r="AN1114" s="1194" t="str">
        <f>VLOOKUP($I1114,'Price List, Weapons &amp; Items'!B:L,COLUMN('Price List, Weapons &amp; Items'!$J$11)-1,0)</f>
        <v>Military media (incl. websites)</v>
      </c>
      <c r="AO1114" s="1194" t="str">
        <f>IF(I1114=".",".",VLOOKUP($I1114,'Price List, Weapons &amp; Items'!B:J,3,0))</f>
        <v>Military equipment</v>
      </c>
      <c r="AP1114" s="1195" t="str">
        <f t="shared" ca="1" si="234"/>
        <v/>
      </c>
      <c r="AQ1114" s="1194">
        <f>VLOOKUP($I1114,'Price List, Weapons &amp; Items'!B:L,COLUMN('Price List, Weapons &amp; Items'!$L$11)-1,0)</f>
        <v>2</v>
      </c>
      <c r="AR1114" s="1194">
        <f t="shared" si="241"/>
        <v>0</v>
      </c>
      <c r="AS1114" s="1194">
        <f t="shared" si="242"/>
        <v>1</v>
      </c>
      <c r="AT1114" s="1194" t="str">
        <f t="shared" si="243"/>
        <v>Value is not in date format</v>
      </c>
      <c r="AU1114" s="1194" t="str">
        <f t="shared" si="244"/>
        <v>.</v>
      </c>
      <c r="AV1114" s="1194" t="str">
        <f t="shared" si="235"/>
        <v>.</v>
      </c>
      <c r="AW1114" s="1194" t="str">
        <f t="shared" si="245"/>
        <v>.</v>
      </c>
      <c r="AX1114" s="1194">
        <f>IFERROR(VLOOKUP(B1114,'Share, Heavy Weapons to Ukraine'!B:Z,COLUMN('Share, Heavy Weapons to Ukraine'!C1124)-1,0),0)</f>
        <v>0</v>
      </c>
      <c r="AY1114" s="1194">
        <f>VLOOKUP('Bilateral Assistance, MAIN DATA'!B1114,'Country Summary (€)'!B:F,COLUMN('Country Summary (€)'!C1125)-1,FALSE)</f>
        <v>1</v>
      </c>
      <c r="AZ1114" s="1194" t="str">
        <f>IF(AND(AD1114=1,D1114="Military",H1114&lt;&gt;"Not given")=TRUE,IF(SUMIFS(P:P,A:A,A1114)&gt;0,ABS((SUMIFS(P:P,A:A,A1114)/VLOOKUP("USD",'Exchange Rates'!B:C,2,0)))/S1114,"."),".")</f>
        <v>.</v>
      </c>
      <c r="BA1114" s="1196" t="str">
        <f>IF(AND(AD1114=1,D1114="Military",H1114&lt;&gt;"Not given")=TRUE,IF(SUMIFS(P:P,A:A,A1114)&gt;0,IF((ABS((SUMIFS(P:P,A:A,A1114)/VLOOKUP("USD",'Exchange Rates'!B:C,2,0)))/S1114)&gt;1,(SUMIFS(P:P,A:A,A1114)-S1114)/S1114,(S1114-SUMIFS(P:P,A:A,A1114))/SUMIFS(P:P,A:A,A1114)),"."),".")</f>
        <v>.</v>
      </c>
    </row>
    <row r="1115" spans="1:53" ht="15.95" customHeight="1">
      <c r="A1115" s="1182" t="s">
        <v>3014</v>
      </c>
      <c r="B1115" s="1182" t="s">
        <v>2989</v>
      </c>
      <c r="C1115" s="1181" t="s">
        <v>3022</v>
      </c>
      <c r="D1115" s="1182" t="s">
        <v>389</v>
      </c>
      <c r="E1115" s="1182" t="s">
        <v>390</v>
      </c>
      <c r="F1115" s="1183" t="s">
        <v>3015</v>
      </c>
      <c r="G1115" s="1184" t="s">
        <v>483</v>
      </c>
      <c r="H1115" s="1185">
        <v>1800000000</v>
      </c>
      <c r="I1115" s="1266" t="s">
        <v>3029</v>
      </c>
      <c r="J1115" s="1186" t="str">
        <f>VLOOKUP($I1115,'Price List, Weapons &amp; Items'!B:C,2,0)</f>
        <v>Ammunition for light infantry</v>
      </c>
      <c r="K1115" s="1186" t="str">
        <f>IF(I1115=".",I1115,VLOOKUP($I1115,'Price List, Weapons &amp; Items'!B:D,3,0))</f>
        <v>Mortar ammunition</v>
      </c>
      <c r="L1115" s="1187">
        <f>VLOOKUP(I1115,'Price List, Weapons &amp; Items'!B:E,4,0)</f>
        <v>0</v>
      </c>
      <c r="M1115" s="1188">
        <v>1500</v>
      </c>
      <c r="N1115" s="1188">
        <v>1500</v>
      </c>
      <c r="O1115" s="1188">
        <f>VLOOKUP($I1115,'Price List, Weapons &amp; Items'!B:G,6,0)</f>
        <v>329</v>
      </c>
      <c r="P1115" s="1185">
        <f t="shared" si="236"/>
        <v>493500</v>
      </c>
      <c r="Q1115" s="1185">
        <f t="shared" si="237"/>
        <v>493500</v>
      </c>
      <c r="R1115" s="1185" t="str">
        <f t="shared" si="233"/>
        <v/>
      </c>
      <c r="S1115" s="1185" t="str">
        <f>IF(AND(AD1115=1,R1115&lt;&gt;".")=TRUE,R1115/VLOOKUP(G1115,'Exchange Rates'!B:C,2,0),IF(R1115=".",".",""))</f>
        <v/>
      </c>
      <c r="T1115" s="1185" t="str">
        <f>IF(AD1115=1,IF(AF1115="Value is not given at all",".",IF(AF1115="Value is given by the source",S1115,IF(AF1115="Value is calculated with prices",(IF(SUMIFS(Q:Q,A:A,A1115)&gt;0,SUMIFS(Q:Q,A:A,A1115),"."))/VLOOKUP("USD",'Exchange Rates'!B:C,2,0),"Error with coding"))),"")</f>
        <v/>
      </c>
      <c r="U1115" s="1184" t="s">
        <v>675</v>
      </c>
      <c r="V1115" s="974" t="s">
        <v>3017</v>
      </c>
      <c r="W1115" s="974" t="s">
        <v>3018</v>
      </c>
      <c r="X1115" s="974" t="s">
        <v>3019</v>
      </c>
      <c r="Y1115" s="974" t="s">
        <v>3020</v>
      </c>
      <c r="Z1115" s="1184">
        <v>0</v>
      </c>
      <c r="AA1115" s="1194">
        <v>0</v>
      </c>
      <c r="AB1115" s="977" t="s">
        <v>3023</v>
      </c>
      <c r="AC1115" s="1192" t="str">
        <f>""</f>
        <v/>
      </c>
      <c r="AD1115" s="985">
        <v>0</v>
      </c>
      <c r="AE1115" s="985" t="s">
        <v>368</v>
      </c>
      <c r="AF1115" s="985" t="s">
        <v>368</v>
      </c>
      <c r="AG1115" s="985">
        <v>1</v>
      </c>
      <c r="AH1115" s="985">
        <v>4</v>
      </c>
      <c r="AI1115" s="985">
        <v>0</v>
      </c>
      <c r="AJ1115" s="1193">
        <f>VLOOKUP($I1115,'Price List, Weapons &amp; Items'!B:F,5,0)</f>
        <v>0</v>
      </c>
      <c r="AK1115" s="1193">
        <f t="shared" si="238"/>
        <v>0</v>
      </c>
      <c r="AL1115" s="1193">
        <f t="shared" si="239"/>
        <v>0</v>
      </c>
      <c r="AM1115" s="1193">
        <f t="shared" si="240"/>
        <v>1</v>
      </c>
      <c r="AN1115" s="1194" t="str">
        <f>VLOOKUP($I1115,'Price List, Weapons &amp; Items'!B:L,COLUMN('Price List, Weapons &amp; Items'!$J$11)-1,0)</f>
        <v>Military media (incl. websites)</v>
      </c>
      <c r="AO1115" s="1194" t="str">
        <f>IF(I1115=".",".",VLOOKUP($I1115,'Price List, Weapons &amp; Items'!B:J,3,0))</f>
        <v>Mortar ammunition</v>
      </c>
      <c r="AP1115" s="1195" t="str">
        <f t="shared" ca="1" si="234"/>
        <v/>
      </c>
      <c r="AQ1115" s="1194">
        <f>VLOOKUP($I1115,'Price List, Weapons &amp; Items'!B:L,COLUMN('Price List, Weapons &amp; Items'!$L$11)-1,0)</f>
        <v>1</v>
      </c>
      <c r="AR1115" s="1194">
        <f t="shared" si="241"/>
        <v>0</v>
      </c>
      <c r="AS1115" s="1194">
        <f t="shared" si="242"/>
        <v>1</v>
      </c>
      <c r="AT1115" s="1194" t="str">
        <f t="shared" si="243"/>
        <v>Value is not in date format</v>
      </c>
      <c r="AU1115" s="1194" t="str">
        <f t="shared" si="244"/>
        <v>.</v>
      </c>
      <c r="AV1115" s="1194" t="str">
        <f t="shared" si="235"/>
        <v>.</v>
      </c>
      <c r="AW1115" s="1194" t="str">
        <f t="shared" si="245"/>
        <v>.</v>
      </c>
      <c r="AX1115" s="1194">
        <f>IFERROR(VLOOKUP(B1115,'Share, Heavy Weapons to Ukraine'!B:Z,COLUMN('Share, Heavy Weapons to Ukraine'!C1125)-1,0),0)</f>
        <v>0</v>
      </c>
      <c r="AY1115" s="1194">
        <f>VLOOKUP('Bilateral Assistance, MAIN DATA'!B1115,'Country Summary (€)'!B:F,COLUMN('Country Summary (€)'!C1126)-1,FALSE)</f>
        <v>1</v>
      </c>
      <c r="AZ1115" s="1194" t="str">
        <f>IF(AND(AD1115=1,D1115="Military",H1115&lt;&gt;"Not given")=TRUE,IF(SUMIFS(P:P,A:A,A1115)&gt;0,ABS((SUMIFS(P:P,A:A,A1115)/VLOOKUP("USD",'Exchange Rates'!B:C,2,0)))/S1115,"."),".")</f>
        <v>.</v>
      </c>
      <c r="BA1115" s="1196" t="str">
        <f>IF(AND(AD1115=1,D1115="Military",H1115&lt;&gt;"Not given")=TRUE,IF(SUMIFS(P:P,A:A,A1115)&gt;0,IF((ABS((SUMIFS(P:P,A:A,A1115)/VLOOKUP("USD",'Exchange Rates'!B:C,2,0)))/S1115)&gt;1,(SUMIFS(P:P,A:A,A1115)-S1115)/S1115,(S1115-SUMIFS(P:P,A:A,A1115))/SUMIFS(P:P,A:A,A1115)),"."),".")</f>
        <v>.</v>
      </c>
    </row>
    <row r="1116" spans="1:53" ht="15.95" customHeight="1">
      <c r="A1116" s="1182" t="s">
        <v>3014</v>
      </c>
      <c r="B1116" s="1182" t="s">
        <v>2989</v>
      </c>
      <c r="C1116" s="1181" t="s">
        <v>3022</v>
      </c>
      <c r="D1116" s="1182" t="s">
        <v>389</v>
      </c>
      <c r="E1116" s="1182" t="s">
        <v>390</v>
      </c>
      <c r="F1116" s="1183" t="s">
        <v>3015</v>
      </c>
      <c r="G1116" s="1184" t="s">
        <v>483</v>
      </c>
      <c r="H1116" s="1185">
        <v>1800000000</v>
      </c>
      <c r="I1116" s="1266" t="s">
        <v>1071</v>
      </c>
      <c r="J1116" s="1186" t="str">
        <f>VLOOKUP($I1116,'Price List, Weapons &amp; Items'!B:C,2,0)</f>
        <v>Heavy weapon</v>
      </c>
      <c r="K1116" s="1186" t="str">
        <f>IF(I1116=".",I1116,VLOOKUP($I1116,'Price List, Weapons &amp; Items'!B:D,3,0))</f>
        <v>Main Battle Tank (MBT)</v>
      </c>
      <c r="L1116" s="1187">
        <f>VLOOKUP(I1116,'Price List, Weapons &amp; Items'!B:E,4,0)</f>
        <v>1</v>
      </c>
      <c r="M1116" s="1188">
        <v>240</v>
      </c>
      <c r="N1116" s="1188">
        <v>240</v>
      </c>
      <c r="O1116" s="1188">
        <f>VLOOKUP($I1116,'Price List, Weapons &amp; Items'!B:G,6,0)</f>
        <v>1616065.9562782401</v>
      </c>
      <c r="P1116" s="1185">
        <f t="shared" si="236"/>
        <v>387855829.50677764</v>
      </c>
      <c r="Q1116" s="1185">
        <f t="shared" si="237"/>
        <v>387855829.50677764</v>
      </c>
      <c r="R1116" s="1185" t="str">
        <f t="shared" si="233"/>
        <v/>
      </c>
      <c r="S1116" s="1185" t="str">
        <f>IF(AND(AD1116=1,R1116&lt;&gt;".")=TRUE,R1116/VLOOKUP(G1116,'Exchange Rates'!B:C,2,0),IF(R1116=".",".",""))</f>
        <v/>
      </c>
      <c r="T1116" s="1185" t="str">
        <f>IF(AD1116=1,IF(AF1116="Value is not given at all",".",IF(AF1116="Value is given by the source",S1116,IF(AF1116="Value is calculated with prices",(IF(SUMIFS(Q:Q,A:A,A1116)&gt;0,SUMIFS(Q:Q,A:A,A1116),"."))/VLOOKUP("USD",'Exchange Rates'!B:C,2,0),"Error with coding"))),"")</f>
        <v/>
      </c>
      <c r="U1116" s="1184" t="s">
        <v>675</v>
      </c>
      <c r="V1116" s="974" t="s">
        <v>3017</v>
      </c>
      <c r="W1116" s="987" t="s">
        <v>3018</v>
      </c>
      <c r="X1116" s="974" t="s">
        <v>3019</v>
      </c>
      <c r="Y1116" s="987" t="s">
        <v>3020</v>
      </c>
      <c r="Z1116" s="1184">
        <v>0</v>
      </c>
      <c r="AA1116" s="1194">
        <v>0</v>
      </c>
      <c r="AB1116" s="977" t="s">
        <v>3030</v>
      </c>
      <c r="AC1116" s="1192" t="str">
        <f>""</f>
        <v/>
      </c>
      <c r="AD1116" s="985">
        <v>0</v>
      </c>
      <c r="AE1116" s="985" t="s">
        <v>368</v>
      </c>
      <c r="AF1116" s="985" t="s">
        <v>368</v>
      </c>
      <c r="AG1116" s="985">
        <v>1</v>
      </c>
      <c r="AH1116" s="985">
        <v>4</v>
      </c>
      <c r="AI1116" s="985">
        <v>0</v>
      </c>
      <c r="AJ1116" s="1193">
        <f>VLOOKUP($I1116,'Price List, Weapons &amp; Items'!B:F,5,0)</f>
        <v>1</v>
      </c>
      <c r="AK1116" s="1193">
        <f t="shared" si="238"/>
        <v>0</v>
      </c>
      <c r="AL1116" s="1193">
        <f t="shared" si="239"/>
        <v>0</v>
      </c>
      <c r="AM1116" s="1193">
        <f t="shared" si="240"/>
        <v>0</v>
      </c>
      <c r="AN1116" s="1194" t="str">
        <f>VLOOKUP($I1116,'Price List, Weapons &amp; Items'!B:L,COLUMN('Price List, Weapons &amp; Items'!$J$11)-1,0)</f>
        <v>Contracts</v>
      </c>
      <c r="AO1116" s="1194" t="str">
        <f>IF(I1116=".",".",VLOOKUP($I1116,'Price List, Weapons &amp; Items'!B:J,3,0))</f>
        <v>Main Battle Tank (MBT)</v>
      </c>
      <c r="AP1116" s="1195" t="str">
        <f t="shared" ca="1" si="234"/>
        <v/>
      </c>
      <c r="AQ1116" s="1194">
        <f>VLOOKUP($I1116,'Price List, Weapons &amp; Items'!B:L,COLUMN('Price List, Weapons &amp; Items'!$L$11)-1,0)</f>
        <v>2</v>
      </c>
      <c r="AR1116" s="1194">
        <f t="shared" si="241"/>
        <v>0</v>
      </c>
      <c r="AS1116" s="1194">
        <f t="shared" si="242"/>
        <v>1</v>
      </c>
      <c r="AT1116" s="1194" t="str">
        <f t="shared" si="243"/>
        <v>Value is not in date format</v>
      </c>
      <c r="AU1116" s="1194" t="str">
        <f t="shared" si="244"/>
        <v>.</v>
      </c>
      <c r="AV1116" s="1194" t="str">
        <f t="shared" si="235"/>
        <v>.</v>
      </c>
      <c r="AW1116" s="1194" t="str">
        <f t="shared" si="245"/>
        <v>.</v>
      </c>
      <c r="AX1116" s="1194">
        <f>IFERROR(VLOOKUP(B1116,'Share, Heavy Weapons to Ukraine'!B:Z,COLUMN('Share, Heavy Weapons to Ukraine'!C1126)-1,0),0)</f>
        <v>0</v>
      </c>
      <c r="AY1116" s="1194">
        <f>VLOOKUP('Bilateral Assistance, MAIN DATA'!B1116,'Country Summary (€)'!B:F,COLUMN('Country Summary (€)'!C1127)-1,FALSE)</f>
        <v>1</v>
      </c>
      <c r="AZ1116" s="1194" t="str">
        <f>IF(AND(AD1116=1,D1116="Military",H1116&lt;&gt;"Not given")=TRUE,IF(SUMIFS(P:P,A:A,A1116)&gt;0,ABS((SUMIFS(P:P,A:A,A1116)/VLOOKUP("USD",'Exchange Rates'!B:C,2,0)))/S1116,"."),".")</f>
        <v>.</v>
      </c>
      <c r="BA1116" s="1196" t="str">
        <f>IF(AND(AD1116=1,D1116="Military",H1116&lt;&gt;"Not given")=TRUE,IF(SUMIFS(P:P,A:A,A1116)&gt;0,IF((ABS((SUMIFS(P:P,A:A,A1116)/VLOOKUP("USD",'Exchange Rates'!B:C,2,0)))/S1116)&gt;1,(SUMIFS(P:P,A:A,A1116)-S1116)/S1116,(S1116-SUMIFS(P:P,A:A,A1116))/SUMIFS(P:P,A:A,A1116)),"."),".")</f>
        <v>.</v>
      </c>
    </row>
    <row r="1117" spans="1:53" ht="15.95" customHeight="1">
      <c r="A1117" s="1208" t="s">
        <v>3014</v>
      </c>
      <c r="B1117" s="1208" t="s">
        <v>2989</v>
      </c>
      <c r="C1117" s="1211" t="s">
        <v>3022</v>
      </c>
      <c r="D1117" s="1208" t="s">
        <v>389</v>
      </c>
      <c r="E1117" s="1208" t="s">
        <v>390</v>
      </c>
      <c r="F1117" s="1208" t="s">
        <v>3015</v>
      </c>
      <c r="G1117" s="1184" t="s">
        <v>483</v>
      </c>
      <c r="H1117" s="1210">
        <v>1800000000</v>
      </c>
      <c r="I1117" s="1208" t="s">
        <v>3031</v>
      </c>
      <c r="J1117" s="1186" t="str">
        <f>VLOOKUP($I1117,'Price List, Weapons &amp; Items'!B:C,2,0)</f>
        <v>Heavy weapon</v>
      </c>
      <c r="K1117" s="1186" t="str">
        <f>IF(I1117=".",I1117,VLOOKUP($I1117,'Price List, Weapons &amp; Items'!B:D,3,0))</f>
        <v>155mm howitzer</v>
      </c>
      <c r="L1117" s="1187">
        <f>VLOOKUP(I1117,'Price List, Weapons &amp; Items'!B:E,4,0)</f>
        <v>0</v>
      </c>
      <c r="M1117" s="1241">
        <v>18</v>
      </c>
      <c r="N1117" s="1211">
        <v>18</v>
      </c>
      <c r="O1117" s="1188">
        <f>VLOOKUP($I1117,'Price List, Weapons &amp; Items'!B:G,6,0)</f>
        <v>12781188.5</v>
      </c>
      <c r="P1117" s="1185">
        <f t="shared" si="236"/>
        <v>230061393</v>
      </c>
      <c r="Q1117" s="1185">
        <f t="shared" si="237"/>
        <v>230061393</v>
      </c>
      <c r="R1117" s="1185" t="str">
        <f t="shared" si="233"/>
        <v/>
      </c>
      <c r="S1117" s="1185" t="str">
        <f>IF(AND(AD1117=1,R1117&lt;&gt;".")=TRUE,R1117/VLOOKUP(G1117,'Exchange Rates'!B:C,2,0),IF(R1117=".",".",""))</f>
        <v/>
      </c>
      <c r="T1117" s="1185" t="str">
        <f>IF(AD1117=1,IF(AF1117="Value is not given at all",".",IF(AF1117="Value is given by the source",S1117,IF(AF1117="Value is calculated with prices",(IF(SUMIFS(Q:Q,A:A,A1117)&gt;0,SUMIFS(Q:Q,A:A,A1117),"."))/VLOOKUP("USD",'Exchange Rates'!B:C,2,0),"Error with coding"))),"")</f>
        <v/>
      </c>
      <c r="U1117" s="1191" t="s">
        <v>675</v>
      </c>
      <c r="V1117" s="979" t="s">
        <v>3032</v>
      </c>
      <c r="W1117" s="966" t="s">
        <v>3033</v>
      </c>
      <c r="X1117" s="966" t="s">
        <v>3034</v>
      </c>
      <c r="Y1117" s="1208" t="s">
        <v>364</v>
      </c>
      <c r="Z1117" s="1191">
        <v>0</v>
      </c>
      <c r="AA1117" s="1194">
        <v>0</v>
      </c>
      <c r="AB1117" s="979" t="s">
        <v>3035</v>
      </c>
      <c r="AC1117" s="1192" t="str">
        <f>""</f>
        <v/>
      </c>
      <c r="AD1117" s="1191">
        <v>0</v>
      </c>
      <c r="AE1117" s="1191" t="s">
        <v>368</v>
      </c>
      <c r="AF1117" s="1191" t="s">
        <v>368</v>
      </c>
      <c r="AG1117" s="1191">
        <v>1</v>
      </c>
      <c r="AH1117" s="1191">
        <v>4</v>
      </c>
      <c r="AI1117" s="1191">
        <v>0</v>
      </c>
      <c r="AJ1117" s="1193">
        <f>VLOOKUP($I1117,'Price List, Weapons &amp; Items'!B:F,5,0)</f>
        <v>1</v>
      </c>
      <c r="AK1117" s="1193">
        <f t="shared" si="238"/>
        <v>0</v>
      </c>
      <c r="AL1117" s="1193">
        <f t="shared" si="239"/>
        <v>0</v>
      </c>
      <c r="AM1117" s="1193">
        <f t="shared" si="240"/>
        <v>0</v>
      </c>
      <c r="AN1117" s="1194" t="str">
        <f>VLOOKUP($I1117,'Price List, Weapons &amp; Items'!B:L,COLUMN('Price List, Weapons &amp; Items'!$J$11)-1,0)</f>
        <v>Government information</v>
      </c>
      <c r="AO1117" s="1194" t="str">
        <f>IF(I1117=".",".",VLOOKUP($I1117,'Price List, Weapons &amp; Items'!B:J,3,0))</f>
        <v>155mm howitzer</v>
      </c>
      <c r="AP1117" s="1195" t="str">
        <f t="shared" ca="1" si="234"/>
        <v/>
      </c>
      <c r="AQ1117" s="1194">
        <f>VLOOKUP($I1117,'Price List, Weapons &amp; Items'!B:L,COLUMN('Price List, Weapons &amp; Items'!$L$11)-1,0)</f>
        <v>2</v>
      </c>
      <c r="AR1117" s="1194">
        <f t="shared" si="241"/>
        <v>0</v>
      </c>
      <c r="AS1117" s="1194">
        <f t="shared" si="242"/>
        <v>1</v>
      </c>
      <c r="AT1117" s="1194" t="str">
        <f t="shared" si="243"/>
        <v>Value is not in date format</v>
      </c>
      <c r="AU1117" s="1194" t="str">
        <f t="shared" si="244"/>
        <v>.</v>
      </c>
      <c r="AV1117" s="1194" t="str">
        <f t="shared" si="235"/>
        <v>.</v>
      </c>
      <c r="AW1117" s="1194" t="str">
        <f t="shared" si="245"/>
        <v>.</v>
      </c>
      <c r="AX1117" s="1194">
        <f>IFERROR(VLOOKUP(B1117,'Share, Heavy Weapons to Ukraine'!B:Z,COLUMN('Share, Heavy Weapons to Ukraine'!C1127)-1,0),0)</f>
        <v>0</v>
      </c>
      <c r="AY1117" s="1194">
        <f>VLOOKUP('Bilateral Assistance, MAIN DATA'!B1117,'Country Summary (€)'!B:F,COLUMN('Country Summary (€)'!C1128)-1,FALSE)</f>
        <v>1</v>
      </c>
      <c r="AZ1117" s="1194" t="str">
        <f>IF(AND(AD1117=1,D1117="Military",H1117&lt;&gt;"Not given")=TRUE,IF(SUMIFS(P:P,A:A,A1117)&gt;0,ABS((SUMIFS(P:P,A:A,A1117)/VLOOKUP("USD",'Exchange Rates'!B:C,2,0)))/S1117,"."),".")</f>
        <v>.</v>
      </c>
      <c r="BA1117" s="1196" t="str">
        <f>IF(AND(AD1117=1,D1117="Military",H1117&lt;&gt;"Not given")=TRUE,IF(SUMIFS(P:P,A:A,A1117)&gt;0,IF((ABS((SUMIFS(P:P,A:A,A1117)/VLOOKUP("USD",'Exchange Rates'!B:C,2,0)))/S1117)&gt;1,(SUMIFS(P:P,A:A,A1117)-S1117)/S1117,(S1117-SUMIFS(P:P,A:A,A1117))/SUMIFS(P:P,A:A,A1117)),"."),".")</f>
        <v>.</v>
      </c>
    </row>
    <row r="1118" spans="1:53" ht="15.95" customHeight="1">
      <c r="A1118" s="1208" t="s">
        <v>3014</v>
      </c>
      <c r="B1118" s="1208" t="s">
        <v>2989</v>
      </c>
      <c r="C1118" s="1220">
        <v>44680</v>
      </c>
      <c r="D1118" s="1208" t="s">
        <v>389</v>
      </c>
      <c r="E1118" s="1208" t="s">
        <v>390</v>
      </c>
      <c r="F1118" s="1208" t="s">
        <v>3036</v>
      </c>
      <c r="G1118" s="1184" t="s">
        <v>483</v>
      </c>
      <c r="H1118" s="1210">
        <v>1800000000</v>
      </c>
      <c r="I1118" s="1208" t="s">
        <v>2009</v>
      </c>
      <c r="J1118" s="1186" t="str">
        <f>VLOOKUP($I1118,'Price List, Weapons &amp; Items'!B:C,2,0)</f>
        <v>Heavy weapon</v>
      </c>
      <c r="K1118" s="1186" t="str">
        <f>IF(I1118=".",I1118,VLOOKUP($I1118,'Price List, Weapons &amp; Items'!B:D,3,0))</f>
        <v>Infantry fighting vehicle (IFV)</v>
      </c>
      <c r="L1118" s="1187">
        <f>VLOOKUP(I1118,'Price List, Weapons &amp; Items'!B:E,4,0)</f>
        <v>1</v>
      </c>
      <c r="M1118" s="1241">
        <v>42</v>
      </c>
      <c r="N1118" s="1211">
        <v>42</v>
      </c>
      <c r="O1118" s="1188">
        <f>VLOOKUP($I1118,'Price List, Weapons &amp; Items'!B:G,6,0)</f>
        <v>561542.53</v>
      </c>
      <c r="P1118" s="1185">
        <f t="shared" si="236"/>
        <v>23584786.260000002</v>
      </c>
      <c r="Q1118" s="1185">
        <f t="shared" si="237"/>
        <v>23584786.260000002</v>
      </c>
      <c r="R1118" s="1185" t="str">
        <f t="shared" si="233"/>
        <v/>
      </c>
      <c r="S1118" s="1185" t="str">
        <f>IF(AND(AD1118=1,R1118&lt;&gt;".")=TRUE,R1118/VLOOKUP(G1118,'Exchange Rates'!B:C,2,0),IF(R1118=".",".",""))</f>
        <v/>
      </c>
      <c r="T1118" s="1185" t="str">
        <f>IF(AD1118=1,IF(AF1118="Value is not given at all",".",IF(AF1118="Value is given by the source",S1118,IF(AF1118="Value is calculated with prices",(IF(SUMIFS(Q:Q,A:A,A1118)&gt;0,SUMIFS(Q:Q,A:A,A1118),"."))/VLOOKUP("USD",'Exchange Rates'!B:C,2,0),"Error with coding"))),"")</f>
        <v/>
      </c>
      <c r="U1118" s="1191" t="s">
        <v>675</v>
      </c>
      <c r="V1118" s="979" t="s">
        <v>3037</v>
      </c>
      <c r="W1118" s="979" t="s">
        <v>3038</v>
      </c>
      <c r="X1118" s="979" t="s">
        <v>3039</v>
      </c>
      <c r="Y1118" s="966" t="s">
        <v>1372</v>
      </c>
      <c r="Z1118" s="1191">
        <v>0</v>
      </c>
      <c r="AA1118" s="1191">
        <v>0</v>
      </c>
      <c r="AB1118" s="979" t="s">
        <v>3037</v>
      </c>
      <c r="AC1118" s="1192" t="str">
        <f>""</f>
        <v/>
      </c>
      <c r="AD1118" s="1191">
        <v>0</v>
      </c>
      <c r="AE1118" s="1191" t="s">
        <v>436</v>
      </c>
      <c r="AF1118" s="1191" t="s">
        <v>436</v>
      </c>
      <c r="AG1118" s="1191">
        <v>1</v>
      </c>
      <c r="AH1118" s="1191">
        <v>4</v>
      </c>
      <c r="AI1118" s="1191">
        <v>0</v>
      </c>
      <c r="AJ1118" s="1193">
        <f>VLOOKUP($I1118,'Price List, Weapons &amp; Items'!B:F,5,0)</f>
        <v>1</v>
      </c>
      <c r="AK1118" s="1193">
        <f t="shared" si="238"/>
        <v>0</v>
      </c>
      <c r="AL1118" s="1193">
        <f t="shared" si="239"/>
        <v>0</v>
      </c>
      <c r="AM1118" s="1193">
        <f t="shared" si="240"/>
        <v>0</v>
      </c>
      <c r="AN1118" s="1194" t="str">
        <f>VLOOKUP($I1118,'Price List, Weapons &amp; Items'!B:L,COLUMN('Price List, Weapons &amp; Items'!$J$11)-1,0)</f>
        <v>Contracts</v>
      </c>
      <c r="AO1118" s="1194" t="str">
        <f>IF(I1118=".",".",VLOOKUP($I1118,'Price List, Weapons &amp; Items'!B:J,3,0))</f>
        <v>Infantry fighting vehicle (IFV)</v>
      </c>
      <c r="AP1118" s="1195" t="str">
        <f t="shared" ca="1" si="234"/>
        <v/>
      </c>
      <c r="AQ1118" s="1194">
        <f>VLOOKUP($I1118,'Price List, Weapons &amp; Items'!B:L,COLUMN('Price List, Weapons &amp; Items'!$L$11)-1,0)</f>
        <v>2</v>
      </c>
      <c r="AR1118" s="1194">
        <f t="shared" si="241"/>
        <v>0</v>
      </c>
      <c r="AS1118" s="1194">
        <f t="shared" si="242"/>
        <v>1</v>
      </c>
      <c r="AT1118" s="1194">
        <f t="shared" si="243"/>
        <v>1</v>
      </c>
      <c r="AU1118" s="1194" t="str">
        <f t="shared" si="244"/>
        <v>.</v>
      </c>
      <c r="AV1118" s="1194" t="str">
        <f t="shared" si="235"/>
        <v>.</v>
      </c>
      <c r="AW1118" s="1194" t="str">
        <f t="shared" si="245"/>
        <v>.</v>
      </c>
      <c r="AX1118" s="1194">
        <f>IFERROR(VLOOKUP(B1118,'Share, Heavy Weapons to Ukraine'!B:Z,COLUMN('Share, Heavy Weapons to Ukraine'!C1128)-1,0),0)</f>
        <v>0</v>
      </c>
      <c r="AY1118" s="1194">
        <f>VLOOKUP('Bilateral Assistance, MAIN DATA'!B1118,'Country Summary (€)'!B:F,COLUMN('Country Summary (€)'!C1129)-1,FALSE)</f>
        <v>1</v>
      </c>
      <c r="AZ1118" s="1194" t="str">
        <f>IF(AND(AD1118=1,D1118="Military",H1118&lt;&gt;"Not given")=TRUE,IF(SUMIFS(P:P,A:A,A1118)&gt;0,ABS((SUMIFS(P:P,A:A,A1118)/VLOOKUP("USD",'Exchange Rates'!B:C,2,0)))/S1118,"."),".")</f>
        <v>.</v>
      </c>
      <c r="BA1118" s="1196" t="str">
        <f>IF(AND(AD1118=1,D1118="Military",H1118&lt;&gt;"Not given")=TRUE,IF(SUMIFS(P:P,A:A,A1118)&gt;0,IF((ABS((SUMIFS(P:P,A:A,A1118)/VLOOKUP("USD",'Exchange Rates'!B:C,2,0)))/S1118)&gt;1,(SUMIFS(P:P,A:A,A1118)-S1118)/S1118,(S1118-SUMIFS(P:P,A:A,A1118))/SUMIFS(P:P,A:A,A1118)),"."),".")</f>
        <v>.</v>
      </c>
    </row>
    <row r="1119" spans="1:53" ht="15.95" customHeight="1">
      <c r="A1119" s="1208" t="s">
        <v>3040</v>
      </c>
      <c r="B1119" s="1208" t="s">
        <v>2989</v>
      </c>
      <c r="C1119" s="1220">
        <v>44767</v>
      </c>
      <c r="D1119" s="1208" t="s">
        <v>389</v>
      </c>
      <c r="E1119" s="1208" t="s">
        <v>390</v>
      </c>
      <c r="F1119" s="1208" t="s">
        <v>3041</v>
      </c>
      <c r="G1119" s="1184" t="s">
        <v>456</v>
      </c>
      <c r="H1119" s="1221" t="s">
        <v>457</v>
      </c>
      <c r="I1119" s="1208" t="s">
        <v>3042</v>
      </c>
      <c r="J1119" s="1186" t="str">
        <f>VLOOKUP($I1119,'Price List, Weapons &amp; Items'!B:C,2,0)</f>
        <v>Heavy weapon</v>
      </c>
      <c r="K1119" s="1186" t="str">
        <f>IF(I1119=".",I1119,VLOOKUP($I1119,'Price List, Weapons &amp; Items'!B:D,3,0))</f>
        <v>Main Battle Tank (MBT)</v>
      </c>
      <c r="L1119" s="1187">
        <f>VLOOKUP(I1119,'Price List, Weapons &amp; Items'!B:E,4,0)</f>
        <v>1</v>
      </c>
      <c r="M1119" s="1241">
        <v>10</v>
      </c>
      <c r="N1119" s="1211">
        <v>10</v>
      </c>
      <c r="O1119" s="1188">
        <f>VLOOKUP($I1119,'Price List, Weapons &amp; Items'!B:G,6,0)</f>
        <v>3318330.61</v>
      </c>
      <c r="P1119" s="1185">
        <f t="shared" si="236"/>
        <v>33183306.099999998</v>
      </c>
      <c r="Q1119" s="1185">
        <f t="shared" si="237"/>
        <v>33183306.099999998</v>
      </c>
      <c r="R1119" s="1185">
        <f t="shared" si="233"/>
        <v>33183306.099999998</v>
      </c>
      <c r="S1119" s="1185">
        <f>IF(AND(AD1119=1,R1119&lt;&gt;".")=TRUE,R1119/VLOOKUP(G1119,'Exchange Rates'!B:C,2,0),IF(R1119=".",".",""))</f>
        <v>30533038.369525209</v>
      </c>
      <c r="T1119" s="1185">
        <f>IF(AD1119=1,IF(AF1119="Value is not given at all",".",IF(AF1119="Value is given by the source",S1119,IF(AF1119="Value is calculated with prices",(IF(SUMIFS(Q:Q,A:A,A1119)&gt;0,SUMIFS(Q:Q,A:A,A1119),"."))/VLOOKUP("USD",'Exchange Rates'!B:C,2,0),"Error with coding"))),"")</f>
        <v>30533038.369525209</v>
      </c>
      <c r="U1119" s="1191" t="s">
        <v>365</v>
      </c>
      <c r="V1119" s="979" t="s">
        <v>3043</v>
      </c>
      <c r="W1119" s="979" t="s">
        <v>3044</v>
      </c>
      <c r="X1119" s="983" t="s">
        <v>3045</v>
      </c>
      <c r="Y1119" s="990" t="s">
        <v>364</v>
      </c>
      <c r="Z1119" s="1191">
        <v>0</v>
      </c>
      <c r="AA1119" s="1191">
        <v>0</v>
      </c>
      <c r="AB1119" s="979" t="s">
        <v>3043</v>
      </c>
      <c r="AC1119" s="1192" t="str">
        <f>""</f>
        <v/>
      </c>
      <c r="AD1119" s="1191">
        <v>1</v>
      </c>
      <c r="AE1119" s="1191" t="s">
        <v>436</v>
      </c>
      <c r="AF1119" s="1191" t="s">
        <v>436</v>
      </c>
      <c r="AG1119" s="1191">
        <v>1</v>
      </c>
      <c r="AH1119" s="1191">
        <v>7</v>
      </c>
      <c r="AI1119" s="1191">
        <v>0</v>
      </c>
      <c r="AJ1119" s="1193">
        <f>VLOOKUP($I1119,'Price List, Weapons &amp; Items'!B:F,5,0)</f>
        <v>1</v>
      </c>
      <c r="AK1119" s="1193">
        <f t="shared" si="238"/>
        <v>0</v>
      </c>
      <c r="AL1119" s="1193">
        <f t="shared" si="239"/>
        <v>0</v>
      </c>
      <c r="AM1119" s="1193">
        <f t="shared" si="240"/>
        <v>0</v>
      </c>
      <c r="AN1119" s="1194" t="str">
        <f>VLOOKUP($I1119,'Price List, Weapons &amp; Items'!B:L,COLUMN('Price List, Weapons &amp; Items'!$J$11)-1,0)</f>
        <v>Contracts</v>
      </c>
      <c r="AO1119" s="1194" t="str">
        <f>IF(I1119=".",".",VLOOKUP($I1119,'Price List, Weapons &amp; Items'!B:J,3,0))</f>
        <v>Main Battle Tank (MBT)</v>
      </c>
      <c r="AP1119" s="1195" t="str">
        <f t="shared" ca="1" si="234"/>
        <v>PT-91 Twardy</v>
      </c>
      <c r="AQ1119" s="1194">
        <f>VLOOKUP($I1119,'Price List, Weapons &amp; Items'!B:L,COLUMN('Price List, Weapons &amp; Items'!$L$11)-1,0)</f>
        <v>2</v>
      </c>
      <c r="AR1119" s="1194">
        <f t="shared" si="241"/>
        <v>1</v>
      </c>
      <c r="AS1119" s="1194">
        <f t="shared" si="242"/>
        <v>1</v>
      </c>
      <c r="AT1119" s="1194">
        <f t="shared" si="243"/>
        <v>1</v>
      </c>
      <c r="AU1119" s="1194" t="str">
        <f t="shared" si="244"/>
        <v>.</v>
      </c>
      <c r="AV1119" s="1194" t="str">
        <f t="shared" si="235"/>
        <v>.</v>
      </c>
      <c r="AW1119" s="1194" t="str">
        <f t="shared" si="245"/>
        <v>.</v>
      </c>
      <c r="AX1119" s="1194">
        <f>IFERROR(VLOOKUP(B1119,'Share, Heavy Weapons to Ukraine'!B:Z,COLUMN('Share, Heavy Weapons to Ukraine'!C1129)-1,0),0)</f>
        <v>0</v>
      </c>
      <c r="AY1119" s="1194">
        <f>VLOOKUP('Bilateral Assistance, MAIN DATA'!B1119,'Country Summary (€)'!B:F,COLUMN('Country Summary (€)'!C1130)-1,FALSE)</f>
        <v>1</v>
      </c>
      <c r="AZ1119" s="1194" t="str">
        <f>IF(AND(AD1119=1,D1119="Military",H1119&lt;&gt;"Not given")=TRUE,IF(SUMIFS(P:P,A:A,A1119)&gt;0,ABS((SUMIFS(P:P,A:A,A1119)/VLOOKUP("USD",'Exchange Rates'!B:C,2,0)))/S1119,"."),".")</f>
        <v>.</v>
      </c>
      <c r="BA1119" s="1196" t="str">
        <f>IF(AND(AD1119=1,D1119="Military",H1119&lt;&gt;"Not given")=TRUE,IF(SUMIFS(P:P,A:A,A1119)&gt;0,IF((ABS((SUMIFS(P:P,A:A,A1119)/VLOOKUP("USD",'Exchange Rates'!B:C,2,0)))/S1119)&gt;1,(SUMIFS(P:P,A:A,A1119)-S1119)/S1119,(S1119-SUMIFS(P:P,A:A,A1119))/SUMIFS(P:P,A:A,A1119)),"."),".")</f>
        <v>.</v>
      </c>
    </row>
    <row r="1120" spans="1:53" ht="15.95" customHeight="1">
      <c r="A1120" s="1208" t="s">
        <v>3046</v>
      </c>
      <c r="B1120" s="1208" t="s">
        <v>2989</v>
      </c>
      <c r="C1120" s="1220">
        <v>44908</v>
      </c>
      <c r="D1120" s="1208" t="s">
        <v>389</v>
      </c>
      <c r="E1120" s="1208" t="s">
        <v>443</v>
      </c>
      <c r="F1120" s="1208" t="s">
        <v>3047</v>
      </c>
      <c r="G1120" s="1184" t="s">
        <v>456</v>
      </c>
      <c r="H1120" s="1221" t="s">
        <v>457</v>
      </c>
      <c r="I1120" s="1208" t="s">
        <v>3031</v>
      </c>
      <c r="J1120" s="1186" t="str">
        <f>VLOOKUP($I1120,'Price List, Weapons &amp; Items'!B:C,2,0)</f>
        <v>Heavy weapon</v>
      </c>
      <c r="K1120" s="1186" t="str">
        <f>IF(I1120=".",I1120,VLOOKUP($I1120,'Price List, Weapons &amp; Items'!B:D,3,0))</f>
        <v>155mm howitzer</v>
      </c>
      <c r="L1120" s="1187">
        <f>VLOOKUP(I1120,'Price List, Weapons &amp; Items'!B:E,4,0)</f>
        <v>0</v>
      </c>
      <c r="M1120" s="1241">
        <v>36</v>
      </c>
      <c r="N1120" s="1211">
        <v>36</v>
      </c>
      <c r="O1120" s="1188">
        <f>VLOOKUP($I1120,'Price List, Weapons &amp; Items'!B:G,6,0)</f>
        <v>12781188.5</v>
      </c>
      <c r="P1120" s="1185">
        <f t="shared" si="236"/>
        <v>460122786</v>
      </c>
      <c r="Q1120" s="1185">
        <f t="shared" si="237"/>
        <v>460122786</v>
      </c>
      <c r="R1120" s="1185">
        <f t="shared" si="233"/>
        <v>460122786</v>
      </c>
      <c r="S1120" s="1185">
        <f>IF(AND(AD1120=1,R1120&lt;&gt;".")=TRUE,R1120/VLOOKUP(G1120,'Exchange Rates'!B:C,2,0),IF(R1120=".",".",""))</f>
        <v>423373928.96577108</v>
      </c>
      <c r="T1120" s="1185">
        <f>IF(AD1120=1,IF(AF1120="Value is not given at all",".",IF(AF1120="Value is given by the source",S1120,IF(AF1120="Value is calculated with prices",(IF(SUMIFS(Q:Q,A:A,A1120)&gt;0,SUMIFS(Q:Q,A:A,A1120),"."))/VLOOKUP("USD",'Exchange Rates'!B:C,2,0),"Error with coding"))),"")</f>
        <v>423373928.96577108</v>
      </c>
      <c r="U1120" s="1191" t="s">
        <v>365</v>
      </c>
      <c r="V1120" s="979" t="s">
        <v>3048</v>
      </c>
      <c r="W1120" s="990" t="s">
        <v>364</v>
      </c>
      <c r="X1120" s="990" t="s">
        <v>364</v>
      </c>
      <c r="Y1120" s="990" t="s">
        <v>364</v>
      </c>
      <c r="Z1120" s="1191">
        <v>0</v>
      </c>
      <c r="AA1120" s="1191">
        <v>0</v>
      </c>
      <c r="AB1120" s="979" t="s">
        <v>3048</v>
      </c>
      <c r="AC1120" s="1192" t="str">
        <f>""</f>
        <v/>
      </c>
      <c r="AD1120" s="1191">
        <v>1</v>
      </c>
      <c r="AE1120" s="1191" t="s">
        <v>436</v>
      </c>
      <c r="AF1120" s="1191" t="s">
        <v>436</v>
      </c>
      <c r="AG1120" s="1191">
        <v>1</v>
      </c>
      <c r="AH1120" s="1191">
        <v>12</v>
      </c>
      <c r="AI1120" s="1191">
        <v>0</v>
      </c>
      <c r="AJ1120" s="1193">
        <f>VLOOKUP($I1120,'Price List, Weapons &amp; Items'!B:F,5,0)</f>
        <v>1</v>
      </c>
      <c r="AK1120" s="1193">
        <f t="shared" si="238"/>
        <v>0</v>
      </c>
      <c r="AL1120" s="1193">
        <f t="shared" si="239"/>
        <v>0</v>
      </c>
      <c r="AM1120" s="1193">
        <f t="shared" si="240"/>
        <v>0</v>
      </c>
      <c r="AN1120" s="1194" t="str">
        <f>VLOOKUP($I1120,'Price List, Weapons &amp; Items'!B:L,COLUMN('Price List, Weapons &amp; Items'!$J$11)-1,0)</f>
        <v>Government information</v>
      </c>
      <c r="AO1120" s="1194" t="str">
        <f>IF(I1120=".",".",VLOOKUP($I1120,'Price List, Weapons &amp; Items'!B:J,3,0))</f>
        <v>155mm howitzer</v>
      </c>
      <c r="AP1120" s="1195" t="str">
        <f t="shared" ca="1" si="234"/>
        <v>AHS Krab self-propelled howitzer</v>
      </c>
      <c r="AQ1120" s="1194">
        <f>VLOOKUP($I1120,'Price List, Weapons &amp; Items'!B:L,COLUMN('Price List, Weapons &amp; Items'!$L$11)-1,0)</f>
        <v>2</v>
      </c>
      <c r="AR1120" s="1194">
        <f t="shared" si="241"/>
        <v>1</v>
      </c>
      <c r="AS1120" s="1194">
        <f t="shared" si="242"/>
        <v>1</v>
      </c>
      <c r="AT1120" s="1194">
        <f t="shared" si="243"/>
        <v>1</v>
      </c>
      <c r="AU1120" s="1194" t="str">
        <f t="shared" si="244"/>
        <v>.</v>
      </c>
      <c r="AV1120" s="1194" t="str">
        <f t="shared" si="235"/>
        <v>.</v>
      </c>
      <c r="AW1120" s="1194" t="str">
        <f t="shared" si="245"/>
        <v>.</v>
      </c>
      <c r="AX1120" s="1194">
        <f>IFERROR(VLOOKUP(B1120,'Share, Heavy Weapons to Ukraine'!B:Z,COLUMN('Share, Heavy Weapons to Ukraine'!C1130)-1,0),0)</f>
        <v>0</v>
      </c>
      <c r="AY1120" s="1194">
        <f>VLOOKUP('Bilateral Assistance, MAIN DATA'!B1120,'Country Summary (€)'!B:F,COLUMN('Country Summary (€)'!C1131)-1,FALSE)</f>
        <v>1</v>
      </c>
      <c r="AZ1120" s="1194" t="str">
        <f>IF(AND(AD1120=1,D1120="Military",H1120&lt;&gt;"Not given")=TRUE,IF(SUMIFS(P:P,A:A,A1120)&gt;0,ABS((SUMIFS(P:P,A:A,A1120)/VLOOKUP("USD",'Exchange Rates'!B:C,2,0)))/S1120,"."),".")</f>
        <v>.</v>
      </c>
      <c r="BA1120" s="1196" t="str">
        <f>IF(AND(AD1120=1,D1120="Military",H1120&lt;&gt;"Not given")=TRUE,IF(SUMIFS(P:P,A:A,A1120)&gt;0,IF((ABS((SUMIFS(P:P,A:A,A1120)/VLOOKUP("USD",'Exchange Rates'!B:C,2,0)))/S1120)&gt;1,(SUMIFS(P:P,A:A,A1120)-S1120)/S1120,(S1120-SUMIFS(P:P,A:A,A1120))/SUMIFS(P:P,A:A,A1120)),"."),".")</f>
        <v>.</v>
      </c>
    </row>
    <row r="1121" spans="1:53" ht="15.95" customHeight="1">
      <c r="A1121" s="1208" t="s">
        <v>3049</v>
      </c>
      <c r="B1121" s="1208" t="s">
        <v>2989</v>
      </c>
      <c r="C1121" s="1220">
        <v>44953</v>
      </c>
      <c r="D1121" s="1208" t="s">
        <v>389</v>
      </c>
      <c r="E1121" s="1208" t="s">
        <v>443</v>
      </c>
      <c r="F1121" s="1263" t="s">
        <v>3050</v>
      </c>
      <c r="G1121" s="1184" t="s">
        <v>456</v>
      </c>
      <c r="H1121" s="1221" t="s">
        <v>457</v>
      </c>
      <c r="I1121" s="1208" t="s">
        <v>3051</v>
      </c>
      <c r="J1121" s="1186" t="str">
        <f>VLOOKUP($I1121,'Price List, Weapons &amp; Items'!B:C,2,0)</f>
        <v>Heavy weapon</v>
      </c>
      <c r="K1121" s="1186" t="str">
        <f>IF(I1121=".",I1121,VLOOKUP($I1121,'Price List, Weapons &amp; Items'!B:D,3,0))</f>
        <v>Self-propelled anti-aircraft weapon</v>
      </c>
      <c r="L1121" s="1187">
        <f>VLOOKUP(I1121,'Price List, Weapons &amp; Items'!B:E,4,0)</f>
        <v>1</v>
      </c>
      <c r="M1121" s="1241" t="s">
        <v>374</v>
      </c>
      <c r="N1121" s="1211" t="s">
        <v>374</v>
      </c>
      <c r="O1121" s="1188" t="str">
        <f>VLOOKUP($I1121,'Price List, Weapons &amp; Items'!B:G,6,0)</f>
        <v>.</v>
      </c>
      <c r="P1121" s="1185" t="str">
        <f t="shared" si="236"/>
        <v>.</v>
      </c>
      <c r="Q1121" s="1185" t="str">
        <f t="shared" si="237"/>
        <v>.</v>
      </c>
      <c r="R1121" s="1185" t="str">
        <f t="shared" si="233"/>
        <v>.</v>
      </c>
      <c r="S1121" s="1185" t="str">
        <f>IF(AND(AD1121=1,R1121&lt;&gt;".")=TRUE,R1121/VLOOKUP(G1121,'Exchange Rates'!B:C,2,0),IF(R1121=".",".",""))</f>
        <v>.</v>
      </c>
      <c r="T1121" s="1185" t="str">
        <f>IF(AD1121=1,IF(AF1121="Value is not given at all",".",IF(AF1121="Value is given by the source",S1121,IF(AF1121="Value is calculated with prices",(IF(SUMIFS(Q:Q,A:A,A1121)&gt;0,SUMIFS(Q:Q,A:A,A1121),"."))/VLOOKUP("USD",'Exchange Rates'!B:C,2,0),"Error with coding"))),"")</f>
        <v>.</v>
      </c>
      <c r="U1121" s="1191" t="s">
        <v>365</v>
      </c>
      <c r="V1121" s="983" t="s">
        <v>3052</v>
      </c>
      <c r="W1121" s="983" t="s">
        <v>3053</v>
      </c>
      <c r="X1121" s="983" t="s">
        <v>3054</v>
      </c>
      <c r="Y1121" s="990" t="s">
        <v>364</v>
      </c>
      <c r="Z1121" s="1191">
        <v>0</v>
      </c>
      <c r="AA1121" s="1191">
        <v>0</v>
      </c>
      <c r="AB1121" s="990" t="s">
        <v>364</v>
      </c>
      <c r="AC1121" s="1192" t="str">
        <f>""</f>
        <v/>
      </c>
      <c r="AD1121" s="1191">
        <v>1</v>
      </c>
      <c r="AE1121" s="1191" t="s">
        <v>369</v>
      </c>
      <c r="AF1121" s="1191" t="s">
        <v>369</v>
      </c>
      <c r="AG1121" s="1191">
        <v>1</v>
      </c>
      <c r="AH1121" s="1191">
        <v>13</v>
      </c>
      <c r="AI1121" s="1191">
        <v>0</v>
      </c>
      <c r="AJ1121" s="1193">
        <f>VLOOKUP($I1121,'Price List, Weapons &amp; Items'!B:F,5,0)</f>
        <v>0</v>
      </c>
      <c r="AK1121" s="1193">
        <f t="shared" si="238"/>
        <v>0</v>
      </c>
      <c r="AL1121" s="1193">
        <f t="shared" si="239"/>
        <v>0</v>
      </c>
      <c r="AM1121" s="1193">
        <f t="shared" si="240"/>
        <v>0</v>
      </c>
      <c r="AN1121" s="1194">
        <f>VLOOKUP($I1121,'Price List, Weapons &amp; Items'!B:L,COLUMN('Price List, Weapons &amp; Items'!$J$11)-1,0)</f>
        <v>0</v>
      </c>
      <c r="AO1121" s="1194" t="str">
        <f>IF(I1121=".",".",VLOOKUP($I1121,'Price List, Weapons &amp; Items'!B:J,3,0))</f>
        <v>Self-propelled anti-aircraft weapon</v>
      </c>
      <c r="AP1121" s="1195" t="str">
        <f t="shared" ca="1" si="234"/>
        <v>Automatic anti-aircraft gun S-60</v>
      </c>
      <c r="AQ1121" s="1194" t="str">
        <f>VLOOKUP($I1121,'Price List, Weapons &amp; Items'!B:L,COLUMN('Price List, Weapons &amp; Items'!$L$11)-1,0)</f>
        <v>no price, 0 count</v>
      </c>
      <c r="AR1121" s="1194">
        <f t="shared" si="241"/>
        <v>1</v>
      </c>
      <c r="AS1121" s="1194">
        <f t="shared" si="242"/>
        <v>1</v>
      </c>
      <c r="AT1121" s="1194">
        <f t="shared" si="243"/>
        <v>1</v>
      </c>
      <c r="AU1121" s="1194" t="str">
        <f t="shared" si="244"/>
        <v>.</v>
      </c>
      <c r="AV1121" s="1194" t="str">
        <f t="shared" si="235"/>
        <v>.</v>
      </c>
      <c r="AW1121" s="1194" t="str">
        <f t="shared" si="245"/>
        <v>.</v>
      </c>
      <c r="AX1121" s="1194">
        <f>IFERROR(VLOOKUP(B1121,'Share, Heavy Weapons to Ukraine'!B:Z,COLUMN('Share, Heavy Weapons to Ukraine'!C1131)-1,0),0)</f>
        <v>0</v>
      </c>
      <c r="AY1121" s="1194">
        <f>VLOOKUP('Bilateral Assistance, MAIN DATA'!B1121,'Country Summary (€)'!B:F,COLUMN('Country Summary (€)'!C1132)-1,FALSE)</f>
        <v>1</v>
      </c>
      <c r="AZ1121" s="1194" t="str">
        <f>IF(AND(AD1121=1,D1121="Military",H1121&lt;&gt;"Not given")=TRUE,IF(SUMIFS(P:P,A:A,A1121)&gt;0,ABS((SUMIFS(P:P,A:A,A1121)/VLOOKUP("USD",'Exchange Rates'!B:C,2,0)))/S1121,"."),".")</f>
        <v>.</v>
      </c>
      <c r="BA1121" s="1196" t="str">
        <f>IF(AND(AD1121=1,D1121="Military",H1121&lt;&gt;"Not given")=TRUE,IF(SUMIFS(P:P,A:A,A1121)&gt;0,IF((ABS((SUMIFS(P:P,A:A,A1121)/VLOOKUP("USD",'Exchange Rates'!B:C,2,0)))/S1121)&gt;1,(SUMIFS(P:P,A:A,A1121)-S1121)/S1121,(S1121-SUMIFS(P:P,A:A,A1121))/SUMIFS(P:P,A:A,A1121)),"."),".")</f>
        <v>.</v>
      </c>
    </row>
    <row r="1122" spans="1:53" ht="15.95" customHeight="1">
      <c r="A1122" s="1208" t="s">
        <v>3049</v>
      </c>
      <c r="B1122" s="1208" t="s">
        <v>2989</v>
      </c>
      <c r="C1122" s="1220">
        <v>44953</v>
      </c>
      <c r="D1122" s="1208" t="s">
        <v>389</v>
      </c>
      <c r="E1122" s="1208" t="s">
        <v>443</v>
      </c>
      <c r="F1122" s="1263" t="s">
        <v>3050</v>
      </c>
      <c r="G1122" s="1184" t="s">
        <v>456</v>
      </c>
      <c r="H1122" s="1221" t="s">
        <v>457</v>
      </c>
      <c r="I1122" s="1208" t="s">
        <v>3055</v>
      </c>
      <c r="J1122" s="1186" t="str">
        <f>VLOOKUP($I1122,'Price List, Weapons &amp; Items'!B:C,2,0)</f>
        <v>Ammunition for heavy weapon</v>
      </c>
      <c r="K1122" s="1186" t="str">
        <f>IF(I1122=".",I1122,VLOOKUP($I1122,'Price List, Weapons &amp; Items'!B:D,3,0))</f>
        <v>Anti-aircraft system ammunition</v>
      </c>
      <c r="L1122" s="1187">
        <f>VLOOKUP(I1122,'Price List, Weapons &amp; Items'!B:E,4,0)</f>
        <v>1</v>
      </c>
      <c r="M1122" s="1241">
        <v>70000</v>
      </c>
      <c r="N1122" s="1211" t="s">
        <v>374</v>
      </c>
      <c r="O1122" s="1188" t="str">
        <f>VLOOKUP($I1122,'Price List, Weapons &amp; Items'!B:G,6,0)</f>
        <v>.</v>
      </c>
      <c r="P1122" s="1185" t="str">
        <f t="shared" si="236"/>
        <v>No price</v>
      </c>
      <c r="Q1122" s="1185" t="str">
        <f t="shared" si="237"/>
        <v>.</v>
      </c>
      <c r="R1122" s="1185" t="str">
        <f t="shared" si="233"/>
        <v/>
      </c>
      <c r="S1122" s="1185" t="str">
        <f>IF(AND(AD1122=1,R1122&lt;&gt;".")=TRUE,R1122/VLOOKUP(G1122,'Exchange Rates'!B:C,2,0),IF(R1122=".",".",""))</f>
        <v/>
      </c>
      <c r="T1122" s="1185" t="str">
        <f>IF(AD1122=1,IF(AF1122="Value is not given at all",".",IF(AF1122="Value is given by the source",S1122,IF(AF1122="Value is calculated with prices",(IF(SUMIFS(Q:Q,A:A,A1122)&gt;0,SUMIFS(Q:Q,A:A,A1122),"."))/VLOOKUP("USD",'Exchange Rates'!B:C,2,0),"Error with coding"))),"")</f>
        <v/>
      </c>
      <c r="U1122" s="1191" t="s">
        <v>365</v>
      </c>
      <c r="V1122" s="983" t="s">
        <v>3052</v>
      </c>
      <c r="W1122" s="983" t="s">
        <v>3053</v>
      </c>
      <c r="X1122" s="983" t="s">
        <v>3054</v>
      </c>
      <c r="Y1122" s="990" t="s">
        <v>364</v>
      </c>
      <c r="Z1122" s="1191">
        <v>0</v>
      </c>
      <c r="AA1122" s="1191">
        <v>0</v>
      </c>
      <c r="AB1122" s="983" t="s">
        <v>3054</v>
      </c>
      <c r="AC1122" s="1192" t="str">
        <f>""</f>
        <v/>
      </c>
      <c r="AD1122" s="1191">
        <v>0</v>
      </c>
      <c r="AE1122" s="1191" t="s">
        <v>369</v>
      </c>
      <c r="AF1122" s="1191" t="s">
        <v>369</v>
      </c>
      <c r="AG1122" s="1191">
        <v>1</v>
      </c>
      <c r="AH1122" s="1191">
        <v>13</v>
      </c>
      <c r="AI1122" s="1191">
        <v>0</v>
      </c>
      <c r="AJ1122" s="1193">
        <f>VLOOKUP($I1122,'Price List, Weapons &amp; Items'!B:F,5,0)</f>
        <v>0</v>
      </c>
      <c r="AK1122" s="1193">
        <f t="shared" si="238"/>
        <v>0</v>
      </c>
      <c r="AL1122" s="1193">
        <f t="shared" si="239"/>
        <v>0</v>
      </c>
      <c r="AM1122" s="1193">
        <f t="shared" si="240"/>
        <v>1</v>
      </c>
      <c r="AN1122" s="1194">
        <f>VLOOKUP($I1122,'Price List, Weapons &amp; Items'!B:L,COLUMN('Price List, Weapons &amp; Items'!$J$11)-1,0)</f>
        <v>0</v>
      </c>
      <c r="AO1122" s="1194" t="str">
        <f>IF(I1122=".",".",VLOOKUP($I1122,'Price List, Weapons &amp; Items'!B:J,3,0))</f>
        <v>Anti-aircraft system ammunition</v>
      </c>
      <c r="AP1122" s="1195" t="str">
        <f t="shared" ca="1" si="234"/>
        <v/>
      </c>
      <c r="AQ1122" s="1194">
        <f>VLOOKUP($I1122,'Price List, Weapons &amp; Items'!B:L,COLUMN('Price List, Weapons &amp; Items'!$L$11)-1,0)</f>
        <v>0</v>
      </c>
      <c r="AR1122" s="1194">
        <f t="shared" si="241"/>
        <v>1</v>
      </c>
      <c r="AS1122" s="1194">
        <f t="shared" si="242"/>
        <v>1</v>
      </c>
      <c r="AT1122" s="1194">
        <f t="shared" si="243"/>
        <v>1</v>
      </c>
      <c r="AU1122" s="1194" t="str">
        <f t="shared" si="244"/>
        <v>.</v>
      </c>
      <c r="AV1122" s="1194" t="str">
        <f t="shared" si="235"/>
        <v>.</v>
      </c>
      <c r="AW1122" s="1194" t="str">
        <f t="shared" si="245"/>
        <v>.</v>
      </c>
      <c r="AX1122" s="1194">
        <f>IFERROR(VLOOKUP(B1122,'Share, Heavy Weapons to Ukraine'!B:Z,COLUMN('Share, Heavy Weapons to Ukraine'!C1132)-1,0),0)</f>
        <v>0</v>
      </c>
      <c r="AY1122" s="1194">
        <f>VLOOKUP('Bilateral Assistance, MAIN DATA'!B1122,'Country Summary (€)'!B:F,COLUMN('Country Summary (€)'!C1133)-1,FALSE)</f>
        <v>1</v>
      </c>
      <c r="AZ1122" s="1194" t="str">
        <f>IF(AND(AD1122=1,D1122="Military",H1122&lt;&gt;"Not given")=TRUE,IF(SUMIFS(P:P,A:A,A1122)&gt;0,ABS((SUMIFS(P:P,A:A,A1122)/VLOOKUP("USD",'Exchange Rates'!B:C,2,0)))/S1122,"."),".")</f>
        <v>.</v>
      </c>
      <c r="BA1122" s="1196" t="str">
        <f>IF(AND(AD1122=1,D1122="Military",H1122&lt;&gt;"Not given")=TRUE,IF(SUMIFS(P:P,A:A,A1122)&gt;0,IF((ABS((SUMIFS(P:P,A:A,A1122)/VLOOKUP("USD",'Exchange Rates'!B:C,2,0)))/S1122)&gt;1,(SUMIFS(P:P,A:A,A1122)-S1122)/S1122,(S1122-SUMIFS(P:P,A:A,A1122))/SUMIFS(P:P,A:A,A1122)),"."),".")</f>
        <v>.</v>
      </c>
    </row>
    <row r="1123" spans="1:53" ht="15.95" customHeight="1">
      <c r="A1123" s="1208" t="s">
        <v>3056</v>
      </c>
      <c r="B1123" s="1208" t="s">
        <v>2989</v>
      </c>
      <c r="C1123" s="1220">
        <v>44953</v>
      </c>
      <c r="D1123" s="1208" t="s">
        <v>389</v>
      </c>
      <c r="E1123" s="1208" t="s">
        <v>443</v>
      </c>
      <c r="F1123" s="1263" t="s">
        <v>3057</v>
      </c>
      <c r="G1123" s="1184" t="s">
        <v>456</v>
      </c>
      <c r="H1123" s="1221" t="s">
        <v>457</v>
      </c>
      <c r="I1123" s="1208" t="s">
        <v>3042</v>
      </c>
      <c r="J1123" s="1186" t="str">
        <f>VLOOKUP($I1123,'Price List, Weapons &amp; Items'!B:C,2,0)</f>
        <v>Heavy weapon</v>
      </c>
      <c r="K1123" s="1186" t="str">
        <f>IF(I1123=".",I1123,VLOOKUP($I1123,'Price List, Weapons &amp; Items'!B:D,3,0))</f>
        <v>Main Battle Tank (MBT)</v>
      </c>
      <c r="L1123" s="1187">
        <f>VLOOKUP(I1123,'Price List, Weapons &amp; Items'!B:E,4,0)</f>
        <v>1</v>
      </c>
      <c r="M1123" s="1241">
        <v>30</v>
      </c>
      <c r="N1123" s="1211" t="s">
        <v>374</v>
      </c>
      <c r="O1123" s="1188">
        <f>VLOOKUP($I1123,'Price List, Weapons &amp; Items'!B:G,6,0)</f>
        <v>3318330.61</v>
      </c>
      <c r="P1123" s="1185">
        <f t="shared" si="236"/>
        <v>99549918.299999997</v>
      </c>
      <c r="Q1123" s="1185" t="str">
        <f t="shared" si="237"/>
        <v>.</v>
      </c>
      <c r="R1123" s="1185">
        <f t="shared" si="233"/>
        <v>177964925.03003687</v>
      </c>
      <c r="S1123" s="1185">
        <f>IF(AND(AD1123=1,R1123&lt;&gt;".")=TRUE,R1123/VLOOKUP(G1123,'Exchange Rates'!B:C,2,0),IF(R1123=".",".",""))</f>
        <v>163751311.21644908</v>
      </c>
      <c r="T1123" s="1185">
        <f>IF(AD1123=1,IF(AF1123="Value is not given at all",".",IF(AF1123="Value is given by the source",S1123,IF(AF1123="Value is calculated with prices",(IF(SUMIFS(Q:Q,A:A,A1123)&gt;0,SUMIFS(Q:Q,A:A,A1123),"."))/VLOOKUP("USD",'Exchange Rates'!B:C,2,0),"Error with coding"))),"")</f>
        <v>27542351.897027679</v>
      </c>
      <c r="U1123" s="1191" t="s">
        <v>365</v>
      </c>
      <c r="V1123" s="983" t="s">
        <v>3052</v>
      </c>
      <c r="W1123" s="983" t="s">
        <v>3053</v>
      </c>
      <c r="X1123" s="983" t="s">
        <v>3054</v>
      </c>
      <c r="Y1123" s="990" t="s">
        <v>364</v>
      </c>
      <c r="Z1123" s="1191">
        <v>0</v>
      </c>
      <c r="AA1123" s="1191">
        <v>0</v>
      </c>
      <c r="AB1123" s="990" t="s">
        <v>364</v>
      </c>
      <c r="AC1123" s="1192" t="str">
        <f>""</f>
        <v/>
      </c>
      <c r="AD1123" s="1191">
        <v>1</v>
      </c>
      <c r="AE1123" s="1191" t="s">
        <v>436</v>
      </c>
      <c r="AF1123" s="1191" t="s">
        <v>436</v>
      </c>
      <c r="AG1123" s="1191">
        <v>1</v>
      </c>
      <c r="AH1123" s="1191">
        <v>13</v>
      </c>
      <c r="AI1123" s="1191">
        <v>0</v>
      </c>
      <c r="AJ1123" s="1193">
        <f>VLOOKUP($I1123,'Price List, Weapons &amp; Items'!B:F,5,0)</f>
        <v>1</v>
      </c>
      <c r="AK1123" s="1193">
        <f t="shared" si="238"/>
        <v>0</v>
      </c>
      <c r="AL1123" s="1193">
        <f t="shared" si="239"/>
        <v>1</v>
      </c>
      <c r="AM1123" s="1193">
        <f t="shared" si="240"/>
        <v>0</v>
      </c>
      <c r="AN1123" s="1194" t="str">
        <f>VLOOKUP($I1123,'Price List, Weapons &amp; Items'!B:L,COLUMN('Price List, Weapons &amp; Items'!$J$11)-1,0)</f>
        <v>Contracts</v>
      </c>
      <c r="AO1123" s="1194" t="str">
        <f>IF(I1123=".",".",VLOOKUP($I1123,'Price List, Weapons &amp; Items'!B:J,3,0))</f>
        <v>Main Battle Tank (MBT)</v>
      </c>
      <c r="AP1123" s="1195" t="str">
        <f t="shared" ca="1" si="234"/>
        <v>PT-91 Twardy</v>
      </c>
      <c r="AQ1123" s="1194">
        <f>VLOOKUP($I1123,'Price List, Weapons &amp; Items'!B:L,COLUMN('Price List, Weapons &amp; Items'!$L$11)-1,0)</f>
        <v>2</v>
      </c>
      <c r="AR1123" s="1194">
        <f t="shared" si="241"/>
        <v>1</v>
      </c>
      <c r="AS1123" s="1194">
        <f t="shared" si="242"/>
        <v>1</v>
      </c>
      <c r="AT1123" s="1194">
        <f t="shared" si="243"/>
        <v>1</v>
      </c>
      <c r="AU1123" s="1194" t="str">
        <f t="shared" si="244"/>
        <v>.</v>
      </c>
      <c r="AV1123" s="1194" t="str">
        <f t="shared" si="235"/>
        <v>.</v>
      </c>
      <c r="AW1123" s="1194" t="str">
        <f t="shared" si="245"/>
        <v>.</v>
      </c>
      <c r="AX1123" s="1194">
        <f>IFERROR(VLOOKUP(B1123,'Share, Heavy Weapons to Ukraine'!B:Z,COLUMN('Share, Heavy Weapons to Ukraine'!C1133)-1,0),0)</f>
        <v>0</v>
      </c>
      <c r="AY1123" s="1194">
        <f>VLOOKUP('Bilateral Assistance, MAIN DATA'!B1123,'Country Summary (€)'!B:F,COLUMN('Country Summary (€)'!C1134)-1,FALSE)</f>
        <v>1</v>
      </c>
      <c r="AZ1123" s="1194" t="str">
        <f>IF(AND(AD1123=1,D1123="Military",H1123&lt;&gt;"Not given")=TRUE,IF(SUMIFS(P:P,A:A,A1123)&gt;0,ABS((SUMIFS(P:P,A:A,A1123)/VLOOKUP("USD",'Exchange Rates'!B:C,2,0)))/S1123,"."),".")</f>
        <v>.</v>
      </c>
      <c r="BA1123" s="1196" t="str">
        <f>IF(AND(AD1123=1,D1123="Military",H1123&lt;&gt;"Not given")=TRUE,IF(SUMIFS(P:P,A:A,A1123)&gt;0,IF((ABS((SUMIFS(P:P,A:A,A1123)/VLOOKUP("USD",'Exchange Rates'!B:C,2,0)))/S1123)&gt;1,(SUMIFS(P:P,A:A,A1123)-S1123)/S1123,(S1123-SUMIFS(P:P,A:A,A1123))/SUMIFS(P:P,A:A,A1123)),"."),".")</f>
        <v>.</v>
      </c>
    </row>
    <row r="1124" spans="1:53" ht="15.95" customHeight="1">
      <c r="A1124" s="1208" t="s">
        <v>3056</v>
      </c>
      <c r="B1124" s="1208" t="s">
        <v>2989</v>
      </c>
      <c r="C1124" s="1220">
        <v>44953</v>
      </c>
      <c r="D1124" s="1208" t="s">
        <v>389</v>
      </c>
      <c r="E1124" s="1208" t="s">
        <v>443</v>
      </c>
      <c r="F1124" s="1263" t="s">
        <v>3057</v>
      </c>
      <c r="G1124" s="1184" t="s">
        <v>456</v>
      </c>
      <c r="H1124" s="1221" t="s">
        <v>457</v>
      </c>
      <c r="I1124" s="1208" t="s">
        <v>874</v>
      </c>
      <c r="J1124" s="1186" t="str">
        <f>VLOOKUP($I1124,'Price List, Weapons &amp; Items'!B:C,2,0)</f>
        <v>Heavy weapon</v>
      </c>
      <c r="K1124" s="1186" t="str">
        <f>IF(I1124=".",I1124,VLOOKUP($I1124,'Price List, Weapons &amp; Items'!B:D,3,0))</f>
        <v>Main Battle Tank (MBT)</v>
      </c>
      <c r="L1124" s="1187">
        <f>VLOOKUP(I1124,'Price List, Weapons &amp; Items'!B:E,4,0)</f>
        <v>0</v>
      </c>
      <c r="M1124" s="1241">
        <v>4</v>
      </c>
      <c r="N1124" s="1211">
        <v>4</v>
      </c>
      <c r="O1124" s="1188">
        <f>VLOOKUP($I1124,'Price List, Weapons &amp; Items'!B:G,6,0)</f>
        <v>2138073.4315492632</v>
      </c>
      <c r="P1124" s="1185">
        <f t="shared" si="236"/>
        <v>8552293.7261970527</v>
      </c>
      <c r="Q1124" s="1185">
        <f t="shared" si="237"/>
        <v>8552293.7261970527</v>
      </c>
      <c r="R1124" s="1185" t="str">
        <f t="shared" si="233"/>
        <v/>
      </c>
      <c r="S1124" s="1185" t="str">
        <f>IF(AND(AD1124=1,R1124&lt;&gt;".")=TRUE,R1124/VLOOKUP(G1124,'Exchange Rates'!B:C,2,0),IF(R1124=".",".",""))</f>
        <v/>
      </c>
      <c r="T1124" s="1185" t="str">
        <f>IF(AD1124=1,IF(AF1124="Value is not given at all",".",IF(AF1124="Value is given by the source",S1124,IF(AF1124="Value is calculated with prices",(IF(SUMIFS(Q:Q,A:A,A1124)&gt;0,SUMIFS(Q:Q,A:A,A1124),"."))/VLOOKUP("USD",'Exchange Rates'!B:C,2,0),"Error with coding"))),"")</f>
        <v/>
      </c>
      <c r="U1124" s="1191" t="s">
        <v>365</v>
      </c>
      <c r="V1124" s="983" t="s">
        <v>3052</v>
      </c>
      <c r="W1124" s="983" t="s">
        <v>3053</v>
      </c>
      <c r="X1124" s="983" t="s">
        <v>3054</v>
      </c>
      <c r="Y1124" s="990" t="s">
        <v>364</v>
      </c>
      <c r="Z1124" s="1191">
        <v>0</v>
      </c>
      <c r="AA1124" s="1191">
        <v>0</v>
      </c>
      <c r="AB1124" s="983" t="s">
        <v>3054</v>
      </c>
      <c r="AC1124" s="1192" t="str">
        <f>""</f>
        <v/>
      </c>
      <c r="AD1124" s="1191">
        <v>0</v>
      </c>
      <c r="AE1124" s="1191" t="s">
        <v>436</v>
      </c>
      <c r="AF1124" s="1191" t="s">
        <v>436</v>
      </c>
      <c r="AG1124" s="1191">
        <v>1</v>
      </c>
      <c r="AH1124" s="1191">
        <v>13</v>
      </c>
      <c r="AI1124" s="1191">
        <v>0</v>
      </c>
      <c r="AJ1124" s="1193">
        <f>VLOOKUP($I1124,'Price List, Weapons &amp; Items'!B:F,5,0)</f>
        <v>1</v>
      </c>
      <c r="AK1124" s="1193">
        <f t="shared" si="238"/>
        <v>0</v>
      </c>
      <c r="AL1124" s="1193">
        <f t="shared" si="239"/>
        <v>0</v>
      </c>
      <c r="AM1124" s="1193">
        <f t="shared" si="240"/>
        <v>0</v>
      </c>
      <c r="AN1124" s="1194" t="str">
        <f>VLOOKUP($I1124,'Price List, Weapons &amp; Items'!B:L,COLUMN('Price List, Weapons &amp; Items'!$J$11)-1,0)</f>
        <v>Contracts</v>
      </c>
      <c r="AO1124" s="1194" t="str">
        <f>IF(I1124=".",".",VLOOKUP($I1124,'Price List, Weapons &amp; Items'!B:J,3,0))</f>
        <v>Main Battle Tank (MBT)</v>
      </c>
      <c r="AP1124" s="1195" t="str">
        <f t="shared" ca="1" si="234"/>
        <v/>
      </c>
      <c r="AQ1124" s="1194">
        <f>VLOOKUP($I1124,'Price List, Weapons &amp; Items'!B:L,COLUMN('Price List, Weapons &amp; Items'!$L$11)-1,0)</f>
        <v>2</v>
      </c>
      <c r="AR1124" s="1194">
        <f t="shared" si="241"/>
        <v>1</v>
      </c>
      <c r="AS1124" s="1194">
        <f t="shared" si="242"/>
        <v>1</v>
      </c>
      <c r="AT1124" s="1194">
        <f t="shared" si="243"/>
        <v>1</v>
      </c>
      <c r="AU1124" s="1194" t="str">
        <f t="shared" si="244"/>
        <v>.</v>
      </c>
      <c r="AV1124" s="1194" t="str">
        <f t="shared" si="235"/>
        <v>.</v>
      </c>
      <c r="AW1124" s="1194" t="str">
        <f t="shared" si="245"/>
        <v>.</v>
      </c>
      <c r="AX1124" s="1194">
        <f>IFERROR(VLOOKUP(B1124,'Share, Heavy Weapons to Ukraine'!B:Z,COLUMN('Share, Heavy Weapons to Ukraine'!C1134)-1,0),0)</f>
        <v>0</v>
      </c>
      <c r="AY1124" s="1194">
        <f>VLOOKUP('Bilateral Assistance, MAIN DATA'!B1124,'Country Summary (€)'!B:F,COLUMN('Country Summary (€)'!C1135)-1,FALSE)</f>
        <v>1</v>
      </c>
      <c r="AZ1124" s="1194" t="str">
        <f>IF(AND(AD1124=1,D1124="Military",H1124&lt;&gt;"Not given")=TRUE,IF(SUMIFS(P:P,A:A,A1124)&gt;0,ABS((SUMIFS(P:P,A:A,A1124)/VLOOKUP("USD",'Exchange Rates'!B:C,2,0)))/S1124,"."),".")</f>
        <v>.</v>
      </c>
      <c r="BA1124" s="1196" t="str">
        <f>IF(AND(AD1124=1,D1124="Military",H1124&lt;&gt;"Not given")=TRUE,IF(SUMIFS(P:P,A:A,A1124)&gt;0,IF((ABS((SUMIFS(P:P,A:A,A1124)/VLOOKUP("USD",'Exchange Rates'!B:C,2,0)))/S1124)&gt;1,(SUMIFS(P:P,A:A,A1124)-S1124)/S1124,(S1124-SUMIFS(P:P,A:A,A1124))/SUMIFS(P:P,A:A,A1124)),"."),".")</f>
        <v>.</v>
      </c>
    </row>
    <row r="1125" spans="1:53" ht="15.95" customHeight="1">
      <c r="A1125" s="1208" t="s">
        <v>3056</v>
      </c>
      <c r="B1125" s="1208" t="s">
        <v>2989</v>
      </c>
      <c r="C1125" s="1220">
        <v>44953</v>
      </c>
      <c r="D1125" s="1208" t="s">
        <v>389</v>
      </c>
      <c r="E1125" s="1208" t="s">
        <v>443</v>
      </c>
      <c r="F1125" s="1263" t="s">
        <v>3057</v>
      </c>
      <c r="G1125" s="1184" t="s">
        <v>456</v>
      </c>
      <c r="H1125" s="1221" t="s">
        <v>457</v>
      </c>
      <c r="I1125" s="1208" t="s">
        <v>874</v>
      </c>
      <c r="J1125" s="1186" t="str">
        <f>VLOOKUP($I1125,'Price List, Weapons &amp; Items'!B:C,2,0)</f>
        <v>Heavy weapon</v>
      </c>
      <c r="K1125" s="1186" t="str">
        <f>IF(I1125=".",I1125,VLOOKUP($I1125,'Price List, Weapons &amp; Items'!B:D,3,0))</f>
        <v>Main Battle Tank (MBT)</v>
      </c>
      <c r="L1125" s="1187">
        <f>VLOOKUP(I1125,'Price List, Weapons &amp; Items'!B:E,4,0)</f>
        <v>0</v>
      </c>
      <c r="M1125" s="1241">
        <v>10</v>
      </c>
      <c r="N1125" s="1211">
        <v>10</v>
      </c>
      <c r="O1125" s="1188">
        <f>VLOOKUP($I1125,'Price List, Weapons &amp; Items'!B:G,6,0)</f>
        <v>2138073.4315492632</v>
      </c>
      <c r="P1125" s="1185">
        <f t="shared" si="236"/>
        <v>21380734.31549263</v>
      </c>
      <c r="Q1125" s="1185">
        <f t="shared" si="237"/>
        <v>21380734.31549263</v>
      </c>
      <c r="R1125" s="1185" t="str">
        <f t="shared" si="233"/>
        <v/>
      </c>
      <c r="S1125" s="1185" t="str">
        <f>IF(AND(AD1125=1,R1125&lt;&gt;".")=TRUE,R1125/VLOOKUP(G1125,'Exchange Rates'!B:C,2,0),IF(R1125=".",".",""))</f>
        <v/>
      </c>
      <c r="T1125" s="1185" t="str">
        <f>IF(AD1125=1,IF(AF1125="Value is not given at all",".",IF(AF1125="Value is given by the source",S1125,IF(AF1125="Value is calculated with prices",(IF(SUMIFS(Q:Q,A:A,A1125)&gt;0,SUMIFS(Q:Q,A:A,A1125),"."))/VLOOKUP("USD",'Exchange Rates'!B:C,2,0),"Error with coding"))),"")</f>
        <v/>
      </c>
      <c r="U1125" s="1191" t="s">
        <v>365</v>
      </c>
      <c r="V1125" s="983" t="s">
        <v>3052</v>
      </c>
      <c r="W1125" s="983" t="s">
        <v>3053</v>
      </c>
      <c r="X1125" s="983" t="s">
        <v>3054</v>
      </c>
      <c r="Y1125" s="990" t="s">
        <v>364</v>
      </c>
      <c r="Z1125" s="1191">
        <v>0</v>
      </c>
      <c r="AA1125" s="1191">
        <v>0</v>
      </c>
      <c r="AB1125" s="983" t="s">
        <v>3058</v>
      </c>
      <c r="AC1125" s="1192" t="str">
        <f>""</f>
        <v/>
      </c>
      <c r="AD1125" s="1191">
        <v>0</v>
      </c>
      <c r="AE1125" s="1191" t="s">
        <v>436</v>
      </c>
      <c r="AF1125" s="1191" t="s">
        <v>436</v>
      </c>
      <c r="AG1125" s="1191">
        <v>1</v>
      </c>
      <c r="AH1125" s="1191">
        <v>13</v>
      </c>
      <c r="AI1125" s="1191">
        <v>0</v>
      </c>
      <c r="AJ1125" s="1193">
        <f>VLOOKUP($I1125,'Price List, Weapons &amp; Items'!B:F,5,0)</f>
        <v>1</v>
      </c>
      <c r="AK1125" s="1193">
        <f t="shared" si="238"/>
        <v>0</v>
      </c>
      <c r="AL1125" s="1193">
        <f t="shared" si="239"/>
        <v>0</v>
      </c>
      <c r="AM1125" s="1193">
        <f t="shared" si="240"/>
        <v>0</v>
      </c>
      <c r="AN1125" s="1194" t="str">
        <f>VLOOKUP($I1125,'Price List, Weapons &amp; Items'!B:L,COLUMN('Price List, Weapons &amp; Items'!$J$11)-1,0)</f>
        <v>Contracts</v>
      </c>
      <c r="AO1125" s="1194" t="str">
        <f>IF(I1125=".",".",VLOOKUP($I1125,'Price List, Weapons &amp; Items'!B:J,3,0))</f>
        <v>Main Battle Tank (MBT)</v>
      </c>
      <c r="AP1125" s="1195" t="str">
        <f t="shared" ca="1" si="234"/>
        <v/>
      </c>
      <c r="AQ1125" s="1194">
        <f>VLOOKUP($I1125,'Price List, Weapons &amp; Items'!B:L,COLUMN('Price List, Weapons &amp; Items'!$L$11)-1,0)</f>
        <v>2</v>
      </c>
      <c r="AR1125" s="1194">
        <f t="shared" si="241"/>
        <v>1</v>
      </c>
      <c r="AS1125" s="1194">
        <f t="shared" si="242"/>
        <v>1</v>
      </c>
      <c r="AT1125" s="1194">
        <f t="shared" si="243"/>
        <v>1</v>
      </c>
      <c r="AU1125" s="1194" t="str">
        <f t="shared" si="244"/>
        <v>.</v>
      </c>
      <c r="AV1125" s="1194" t="str">
        <f t="shared" si="235"/>
        <v>.</v>
      </c>
      <c r="AW1125" s="1194" t="str">
        <f t="shared" si="245"/>
        <v>.</v>
      </c>
      <c r="AX1125" s="1194">
        <f>IFERROR(VLOOKUP(B1125,'Share, Heavy Weapons to Ukraine'!B:Z,COLUMN('Share, Heavy Weapons to Ukraine'!C1135)-1,0),0)</f>
        <v>0</v>
      </c>
      <c r="AY1125" s="1194">
        <f>VLOOKUP('Bilateral Assistance, MAIN DATA'!B1125,'Country Summary (€)'!B:F,COLUMN('Country Summary (€)'!C1136)-1,FALSE)</f>
        <v>1</v>
      </c>
      <c r="AZ1125" s="1194" t="str">
        <f>IF(AND(AD1125=1,D1125="Military",H1125&lt;&gt;"Not given")=TRUE,IF(SUMIFS(P:P,A:A,A1125)&gt;0,ABS((SUMIFS(P:P,A:A,A1125)/VLOOKUP("USD",'Exchange Rates'!B:C,2,0)))/S1125,"."),".")</f>
        <v>.</v>
      </c>
      <c r="BA1125" s="1196" t="str">
        <f>IF(AND(AD1125=1,D1125="Military",H1125&lt;&gt;"Not given")=TRUE,IF(SUMIFS(P:P,A:A,A1125)&gt;0,IF((ABS((SUMIFS(P:P,A:A,A1125)/VLOOKUP("USD",'Exchange Rates'!B:C,2,0)))/S1125)&gt;1,(SUMIFS(P:P,A:A,A1125)-S1125)/S1125,(S1125-SUMIFS(P:P,A:A,A1125))/SUMIFS(P:P,A:A,A1125)),"."),".")</f>
        <v>.</v>
      </c>
    </row>
    <row r="1126" spans="1:53" ht="15.95" customHeight="1">
      <c r="A1126" s="1208" t="s">
        <v>3056</v>
      </c>
      <c r="B1126" s="1208" t="s">
        <v>2989</v>
      </c>
      <c r="C1126" s="1220">
        <v>44953</v>
      </c>
      <c r="D1126" s="1208" t="s">
        <v>389</v>
      </c>
      <c r="E1126" s="1208" t="s">
        <v>443</v>
      </c>
      <c r="F1126" s="1263" t="s">
        <v>3057</v>
      </c>
      <c r="G1126" s="1184" t="s">
        <v>456</v>
      </c>
      <c r="H1126" s="1221" t="s">
        <v>457</v>
      </c>
      <c r="I1126" s="1208" t="s">
        <v>1071</v>
      </c>
      <c r="J1126" s="1186" t="str">
        <f>VLOOKUP($I1126,'Price List, Weapons &amp; Items'!B:C,2,0)</f>
        <v>Heavy weapon</v>
      </c>
      <c r="K1126" s="1186" t="str">
        <f>IF(I1126=".",I1126,VLOOKUP($I1126,'Price List, Weapons &amp; Items'!B:D,3,0))</f>
        <v>Main Battle Tank (MBT)</v>
      </c>
      <c r="L1126" s="1187">
        <f>VLOOKUP(I1126,'Price List, Weapons &amp; Items'!B:E,4,0)</f>
        <v>1</v>
      </c>
      <c r="M1126" s="1241">
        <v>30</v>
      </c>
      <c r="N1126" s="1211" t="s">
        <v>374</v>
      </c>
      <c r="O1126" s="1188">
        <f>VLOOKUP($I1126,'Price List, Weapons &amp; Items'!B:G,6,0)</f>
        <v>1616065.9562782401</v>
      </c>
      <c r="P1126" s="1185">
        <f t="shared" si="236"/>
        <v>48481978.688347206</v>
      </c>
      <c r="Q1126" s="1185" t="str">
        <f t="shared" si="237"/>
        <v>.</v>
      </c>
      <c r="R1126" s="1185" t="str">
        <f t="shared" si="233"/>
        <v/>
      </c>
      <c r="S1126" s="1185" t="str">
        <f>IF(AND(AD1126=1,R1126&lt;&gt;".")=TRUE,R1126/VLOOKUP(G1126,'Exchange Rates'!B:C,2,0),IF(R1126=".",".",""))</f>
        <v/>
      </c>
      <c r="T1126" s="1185" t="str">
        <f>IF(AD1126=1,IF(AF1126="Value is not given at all",".",IF(AF1126="Value is given by the source",S1126,IF(AF1126="Value is calculated with prices",(IF(SUMIFS(Q:Q,A:A,A1126)&gt;0,SUMIFS(Q:Q,A:A,A1126),"."))/VLOOKUP("USD",'Exchange Rates'!B:C,2,0),"Error with coding"))),"")</f>
        <v/>
      </c>
      <c r="U1126" s="1191" t="s">
        <v>365</v>
      </c>
      <c r="V1126" s="983" t="s">
        <v>3052</v>
      </c>
      <c r="W1126" s="983" t="s">
        <v>3053</v>
      </c>
      <c r="X1126" s="983" t="s">
        <v>3054</v>
      </c>
      <c r="Y1126" s="990" t="s">
        <v>364</v>
      </c>
      <c r="Z1126" s="1191">
        <v>0</v>
      </c>
      <c r="AA1126" s="1191">
        <v>0</v>
      </c>
      <c r="AB1126" s="1047" t="s">
        <v>364</v>
      </c>
      <c r="AC1126" s="1192" t="str">
        <f>""</f>
        <v/>
      </c>
      <c r="AD1126" s="1191">
        <v>0</v>
      </c>
      <c r="AE1126" s="1191" t="s">
        <v>436</v>
      </c>
      <c r="AF1126" s="1191" t="s">
        <v>436</v>
      </c>
      <c r="AG1126" s="1191">
        <v>1</v>
      </c>
      <c r="AH1126" s="1191">
        <v>13</v>
      </c>
      <c r="AI1126" s="1191">
        <v>0</v>
      </c>
      <c r="AJ1126" s="1193">
        <f>VLOOKUP($I1126,'Price List, Weapons &amp; Items'!B:F,5,0)</f>
        <v>1</v>
      </c>
      <c r="AK1126" s="1193">
        <f t="shared" si="238"/>
        <v>0</v>
      </c>
      <c r="AL1126" s="1193">
        <f t="shared" si="239"/>
        <v>1</v>
      </c>
      <c r="AM1126" s="1193">
        <f t="shared" si="240"/>
        <v>0</v>
      </c>
      <c r="AN1126" s="1194" t="str">
        <f>VLOOKUP($I1126,'Price List, Weapons &amp; Items'!B:L,COLUMN('Price List, Weapons &amp; Items'!$J$11)-1,0)</f>
        <v>Contracts</v>
      </c>
      <c r="AO1126" s="1194" t="str">
        <f>IF(I1126=".",".",VLOOKUP($I1126,'Price List, Weapons &amp; Items'!B:J,3,0))</f>
        <v>Main Battle Tank (MBT)</v>
      </c>
      <c r="AP1126" s="1195" t="str">
        <f t="shared" ca="1" si="234"/>
        <v/>
      </c>
      <c r="AQ1126" s="1194">
        <f>VLOOKUP($I1126,'Price List, Weapons &amp; Items'!B:L,COLUMN('Price List, Weapons &amp; Items'!$L$11)-1,0)</f>
        <v>2</v>
      </c>
      <c r="AR1126" s="1194">
        <f t="shared" si="241"/>
        <v>1</v>
      </c>
      <c r="AS1126" s="1194">
        <f t="shared" si="242"/>
        <v>1</v>
      </c>
      <c r="AT1126" s="1194">
        <f t="shared" si="243"/>
        <v>1</v>
      </c>
      <c r="AU1126" s="1194" t="str">
        <f t="shared" si="244"/>
        <v>.</v>
      </c>
      <c r="AV1126" s="1194" t="str">
        <f t="shared" si="235"/>
        <v>.</v>
      </c>
      <c r="AW1126" s="1194" t="str">
        <f t="shared" si="245"/>
        <v>.</v>
      </c>
      <c r="AX1126" s="1194">
        <f>IFERROR(VLOOKUP(B1126,'Share, Heavy Weapons to Ukraine'!B:Z,COLUMN('Share, Heavy Weapons to Ukraine'!C1136)-1,0),0)</f>
        <v>0</v>
      </c>
      <c r="AY1126" s="1194">
        <f>VLOOKUP('Bilateral Assistance, MAIN DATA'!B1126,'Country Summary (€)'!B:F,COLUMN('Country Summary (€)'!C1137)-1,FALSE)</f>
        <v>1</v>
      </c>
      <c r="AZ1126" s="1194" t="str">
        <f>IF(AND(AD1126=1,D1126="Military",H1126&lt;&gt;"Not given")=TRUE,IF(SUMIFS(P:P,A:A,A1126)&gt;0,ABS((SUMIFS(P:P,A:A,A1126)/VLOOKUP("USD",'Exchange Rates'!B:C,2,0)))/S1126,"."),".")</f>
        <v>.</v>
      </c>
      <c r="BA1126" s="1196" t="str">
        <f>IF(AND(AD1126=1,D1126="Military",H1126&lt;&gt;"Not given")=TRUE,IF(SUMIFS(P:P,A:A,A1126)&gt;0,IF((ABS((SUMIFS(P:P,A:A,A1126)/VLOOKUP("USD",'Exchange Rates'!B:C,2,0)))/S1126)&gt;1,(SUMIFS(P:P,A:A,A1126)-S1126)/S1126,(S1126-SUMIFS(P:P,A:A,A1126))/SUMIFS(P:P,A:A,A1126)),"."),".")</f>
        <v>.</v>
      </c>
    </row>
    <row r="1127" spans="1:53" ht="15.95" customHeight="1">
      <c r="A1127" s="1208" t="s">
        <v>3059</v>
      </c>
      <c r="B1127" s="1208" t="s">
        <v>2989</v>
      </c>
      <c r="C1127" s="1220">
        <v>45001</v>
      </c>
      <c r="D1127" s="1208" t="s">
        <v>389</v>
      </c>
      <c r="E1127" s="1208" t="s">
        <v>443</v>
      </c>
      <c r="F1127" s="1263" t="s">
        <v>3060</v>
      </c>
      <c r="G1127" s="1184" t="s">
        <v>456</v>
      </c>
      <c r="H1127" s="1221" t="s">
        <v>457</v>
      </c>
      <c r="I1127" s="1208" t="s">
        <v>3061</v>
      </c>
      <c r="J1127" s="1186" t="str">
        <f>VLOOKUP($I1127,'Price List, Weapons &amp; Items'!B:C,2,0)</f>
        <v>Heavy weapon</v>
      </c>
      <c r="K1127" s="1186" t="str">
        <f>IF(I1127=".",I1127,VLOOKUP($I1127,'Price List, Weapons &amp; Items'!B:D,3,0))</f>
        <v>Combat aircraft</v>
      </c>
      <c r="L1127" s="1187">
        <f>VLOOKUP(I1127,'Price List, Weapons &amp; Items'!B:E,4,0)</f>
        <v>1</v>
      </c>
      <c r="M1127" s="1241">
        <v>14</v>
      </c>
      <c r="N1127" s="1211">
        <v>14</v>
      </c>
      <c r="O1127" s="1188">
        <f>VLOOKUP($I1127,'Price List, Weapons &amp; Items'!B:G,6,0)</f>
        <v>12000000</v>
      </c>
      <c r="P1127" s="1185">
        <f t="shared" si="236"/>
        <v>168000000</v>
      </c>
      <c r="Q1127" s="1185">
        <f t="shared" si="237"/>
        <v>168000000</v>
      </c>
      <c r="R1127" s="1185">
        <f t="shared" si="233"/>
        <v>168000000</v>
      </c>
      <c r="S1127" s="1185">
        <f>IF(AND(AD1127=1,R1127&lt;&gt;".")=TRUE,R1127/VLOOKUP(G1127,'Exchange Rates'!B:C,2,0),IF(R1127=".",".",""))</f>
        <v>154582259.84541774</v>
      </c>
      <c r="T1127" s="1185">
        <f>IF(AD1127=1,IF(AF1127="Value is not given at all",".",IF(AF1127="Value is given by the source",S1127,IF(AF1127="Value is calculated with prices",(IF(SUMIFS(Q:Q,A:A,A1127)&gt;0,SUMIFS(Q:Q,A:A,A1127),"."))/VLOOKUP("USD",'Exchange Rates'!B:C,2,0),"Error with coding"))),"")</f>
        <v>154582259.84541774</v>
      </c>
      <c r="U1127" s="1191" t="s">
        <v>365</v>
      </c>
      <c r="V1127" s="983" t="s">
        <v>3062</v>
      </c>
      <c r="W1127" s="983" t="s">
        <v>3063</v>
      </c>
      <c r="X1127" s="983" t="s">
        <v>3054</v>
      </c>
      <c r="Y1127" s="990" t="s">
        <v>364</v>
      </c>
      <c r="Z1127" s="1191">
        <v>0</v>
      </c>
      <c r="AA1127" s="1191">
        <v>1</v>
      </c>
      <c r="AB1127" s="990" t="s">
        <v>364</v>
      </c>
      <c r="AC1127" s="1192" t="str">
        <f>""</f>
        <v/>
      </c>
      <c r="AD1127" s="1191">
        <v>1</v>
      </c>
      <c r="AE1127" s="1191" t="s">
        <v>436</v>
      </c>
      <c r="AF1127" s="1191" t="s">
        <v>436</v>
      </c>
      <c r="AG1127" s="1191">
        <v>1</v>
      </c>
      <c r="AH1127" s="1191">
        <v>15</v>
      </c>
      <c r="AI1127" s="1191">
        <v>0</v>
      </c>
      <c r="AJ1127" s="1193">
        <f>VLOOKUP($I1127,'Price List, Weapons &amp; Items'!B:F,5,0)</f>
        <v>0</v>
      </c>
      <c r="AK1127" s="1193">
        <f t="shared" si="238"/>
        <v>0</v>
      </c>
      <c r="AL1127" s="1193">
        <f t="shared" si="239"/>
        <v>0</v>
      </c>
      <c r="AM1127" s="1193">
        <f t="shared" si="240"/>
        <v>0</v>
      </c>
      <c r="AN1127" s="1194" t="str">
        <f>VLOOKUP($I1127,'Price List, Weapons &amp; Items'!B:L,COLUMN('Price List, Weapons &amp; Items'!$J$11)-1,0)</f>
        <v>Contracts</v>
      </c>
      <c r="AO1127" s="1194" t="str">
        <f>IF(I1127=".",".",VLOOKUP($I1127,'Price List, Weapons &amp; Items'!B:J,3,0))</f>
        <v>Combat aircraft</v>
      </c>
      <c r="AP1127" s="1195" t="str">
        <f t="shared" ca="1" si="234"/>
        <v>MiG-29</v>
      </c>
      <c r="AQ1127" s="1194">
        <f>VLOOKUP($I1127,'Price List, Weapons &amp; Items'!B:L,COLUMN('Price List, Weapons &amp; Items'!$L$11)-1,0)</f>
        <v>2</v>
      </c>
      <c r="AR1127" s="1194">
        <f t="shared" si="241"/>
        <v>1</v>
      </c>
      <c r="AS1127" s="1194">
        <f t="shared" si="242"/>
        <v>1</v>
      </c>
      <c r="AT1127" s="1194">
        <f t="shared" si="243"/>
        <v>1</v>
      </c>
      <c r="AU1127" s="1194" t="str">
        <f t="shared" si="244"/>
        <v>.</v>
      </c>
      <c r="AV1127" s="1194" t="str">
        <f t="shared" si="235"/>
        <v>.</v>
      </c>
      <c r="AW1127" s="1194" t="str">
        <f t="shared" si="245"/>
        <v>.</v>
      </c>
      <c r="AX1127" s="1194">
        <f>IFERROR(VLOOKUP(B1127,'Share, Heavy Weapons to Ukraine'!B:Z,COLUMN('Share, Heavy Weapons to Ukraine'!C1137)-1,0),0)</f>
        <v>0</v>
      </c>
      <c r="AY1127" s="1194">
        <f>VLOOKUP('Bilateral Assistance, MAIN DATA'!B1127,'Country Summary (€)'!B:F,COLUMN('Country Summary (€)'!C1138)-1,FALSE)</f>
        <v>1</v>
      </c>
      <c r="AZ1127" s="1194" t="str">
        <f>IF(AND(AD1127=1,D1127="Military",H1127&lt;&gt;"Not given")=TRUE,IF(SUMIFS(P:P,A:A,A1127)&gt;0,ABS((SUMIFS(P:P,A:A,A1127)/VLOOKUP("USD",'Exchange Rates'!B:C,2,0)))/S1127,"."),".")</f>
        <v>.</v>
      </c>
      <c r="BA1127" s="1196" t="str">
        <f>IF(AND(AD1127=1,D1127="Military",H1127&lt;&gt;"Not given")=TRUE,IF(SUMIFS(P:P,A:A,A1127)&gt;0,IF((ABS((SUMIFS(P:P,A:A,A1127)/VLOOKUP("USD",'Exchange Rates'!B:C,2,0)))/S1127)&gt;1,(SUMIFS(P:P,A:A,A1127)-S1127)/S1127,(S1127-SUMIFS(P:P,A:A,A1127))/SUMIFS(P:P,A:A,A1127)),"."),".")</f>
        <v>.</v>
      </c>
    </row>
    <row r="1128" spans="1:53" ht="15.95" customHeight="1">
      <c r="A1128" s="1208" t="s">
        <v>3064</v>
      </c>
      <c r="B1128" s="1208" t="s">
        <v>2989</v>
      </c>
      <c r="C1128" s="1220">
        <v>45070</v>
      </c>
      <c r="D1128" s="1208" t="s">
        <v>389</v>
      </c>
      <c r="E1128" s="1208" t="s">
        <v>390</v>
      </c>
      <c r="F1128" s="1263" t="s">
        <v>3065</v>
      </c>
      <c r="G1128" s="1184" t="s">
        <v>483</v>
      </c>
      <c r="H1128" s="1221">
        <v>427759461.60283661</v>
      </c>
      <c r="I1128" s="1208" t="s">
        <v>364</v>
      </c>
      <c r="J1128" s="1186" t="str">
        <f>VLOOKUP($I1128,'Price List, Weapons &amp; Items'!B:C,2,0)</f>
        <v>.</v>
      </c>
      <c r="K1128" s="1186" t="str">
        <f>IF(I1128=".",I1128,VLOOKUP($I1128,'Price List, Weapons &amp; Items'!B:D,3,0))</f>
        <v>.</v>
      </c>
      <c r="L1128" s="1187">
        <f>VLOOKUP(I1128,'Price List, Weapons &amp; Items'!B:E,4,0)</f>
        <v>0</v>
      </c>
      <c r="M1128" s="1241" t="s">
        <v>364</v>
      </c>
      <c r="N1128" s="1211" t="s">
        <v>364</v>
      </c>
      <c r="O1128" s="1188" t="str">
        <f>VLOOKUP($I1128,'Price List, Weapons &amp; Items'!B:G,6,0)</f>
        <v>.</v>
      </c>
      <c r="P1128" s="1185" t="str">
        <f t="shared" si="236"/>
        <v>.</v>
      </c>
      <c r="Q1128" s="1185" t="str">
        <f t="shared" si="237"/>
        <v>.</v>
      </c>
      <c r="R1128" s="1185">
        <f t="shared" si="233"/>
        <v>427759461.60283661</v>
      </c>
      <c r="S1128" s="1185">
        <f>IF(AND(AD1128=1,R1128&lt;&gt;".")=TRUE,R1128/VLOOKUP(G1128,'Exchange Rates'!B:C,2,0),IF(R1128=".",".",""))</f>
        <v>427759461.60283661</v>
      </c>
      <c r="T1128" s="1185">
        <f>IF(AD1128=1,IF(AF1128="Value is not given at all",".",IF(AF1128="Value is given by the source",S1128,IF(AF1128="Value is calculated with prices",(IF(SUMIFS(Q:Q,A:A,A1128)&gt;0,SUMIFS(Q:Q,A:A,A1128),"."))/VLOOKUP("USD",'Exchange Rates'!B:C,2,0),"Error with coding"))),"")</f>
        <v>427759461.60283661</v>
      </c>
      <c r="U1128" s="1191" t="s">
        <v>365</v>
      </c>
      <c r="V1128" s="1415" t="s">
        <v>3066</v>
      </c>
      <c r="W1128" s="983" t="s">
        <v>3063</v>
      </c>
      <c r="X1128" s="983" t="s">
        <v>3054</v>
      </c>
      <c r="Y1128" s="990" t="s">
        <v>364</v>
      </c>
      <c r="Z1128" s="1191">
        <v>0</v>
      </c>
      <c r="AA1128" s="1191">
        <v>1</v>
      </c>
      <c r="AB1128" s="990" t="s">
        <v>364</v>
      </c>
      <c r="AC1128" s="1192" t="str">
        <f>""</f>
        <v/>
      </c>
      <c r="AD1128" s="1191">
        <v>1</v>
      </c>
      <c r="AE1128" s="1191" t="s">
        <v>368</v>
      </c>
      <c r="AF1128" s="1191" t="s">
        <v>368</v>
      </c>
      <c r="AG1128" s="1191">
        <v>1</v>
      </c>
      <c r="AH1128" s="1191">
        <v>17</v>
      </c>
      <c r="AI1128" s="1191">
        <v>0</v>
      </c>
      <c r="AJ1128" s="1193">
        <f>VLOOKUP($I1128,'Price List, Weapons &amp; Items'!B:F,5,0)</f>
        <v>0</v>
      </c>
      <c r="AK1128" s="1193">
        <f t="shared" si="238"/>
        <v>0</v>
      </c>
      <c r="AL1128" s="1193">
        <f t="shared" si="239"/>
        <v>0</v>
      </c>
      <c r="AM1128" s="1193">
        <f t="shared" si="240"/>
        <v>0</v>
      </c>
      <c r="AN1128" s="1194" t="str">
        <f>VLOOKUP($I1128,'Price List, Weapons &amp; Items'!B:L,COLUMN('Price List, Weapons &amp; Items'!$J$11)-1,0)</f>
        <v>.</v>
      </c>
      <c r="AO1128" s="1194" t="str">
        <f>IF(I1128=".",".",VLOOKUP($I1128,'Price List, Weapons &amp; Items'!B:J,3,0))</f>
        <v>.</v>
      </c>
      <c r="AP1128" s="1195" t="str">
        <f t="shared" ca="1" si="234"/>
        <v>.</v>
      </c>
      <c r="AQ1128" s="1194">
        <f>VLOOKUP($I1128,'Price List, Weapons &amp; Items'!B:L,COLUMN('Price List, Weapons &amp; Items'!$L$11)-1,0)</f>
        <v>0</v>
      </c>
      <c r="AR1128" s="1194">
        <f t="shared" si="241"/>
        <v>1</v>
      </c>
      <c r="AS1128" s="1194">
        <f t="shared" si="242"/>
        <v>1</v>
      </c>
      <c r="AT1128" s="1194">
        <f t="shared" si="243"/>
        <v>1</v>
      </c>
      <c r="AU1128" s="1194" t="str">
        <f t="shared" si="244"/>
        <v>.</v>
      </c>
      <c r="AV1128" s="1194" t="str">
        <f t="shared" si="235"/>
        <v>.</v>
      </c>
      <c r="AW1128" s="1194" t="str">
        <f t="shared" si="245"/>
        <v>.</v>
      </c>
      <c r="AX1128" s="1194">
        <f>IFERROR(VLOOKUP(B1128,'Share, Heavy Weapons to Ukraine'!B:Z,COLUMN('Share, Heavy Weapons to Ukraine'!C1138)-1,0),0)</f>
        <v>0</v>
      </c>
      <c r="AY1128" s="1194">
        <f>VLOOKUP('Bilateral Assistance, MAIN DATA'!B1128,'Country Summary (€)'!B:F,COLUMN('Country Summary (€)'!C1139)-1,FALSE)</f>
        <v>1</v>
      </c>
      <c r="AZ1128" s="1194" t="str">
        <f>IF(AND(AD1128=1,D1128="Military",H1128&lt;&gt;"Not given")=TRUE,IF(SUMIFS(P:P,A:A,A1128)&gt;0,ABS((SUMIFS(P:P,A:A,A1128)/VLOOKUP("USD",'Exchange Rates'!B:C,2,0)))/S1128,"."),".")</f>
        <v>.</v>
      </c>
      <c r="BA1128" s="1196" t="str">
        <f>IF(AND(AD1128=1,D1128="Military",H1128&lt;&gt;"Not given")=TRUE,IF(SUMIFS(P:P,A:A,A1128)&gt;0,IF((ABS((SUMIFS(P:P,A:A,A1128)/VLOOKUP("USD",'Exchange Rates'!B:C,2,0)))/S1128)&gt;1,(SUMIFS(P:P,A:A,A1128)-S1128)/S1128,(S1128-SUMIFS(P:P,A:A,A1128))/SUMIFS(P:P,A:A,A1128)),"."),".")</f>
        <v>.</v>
      </c>
    </row>
    <row r="1129" spans="1:53" ht="15.95" customHeight="1">
      <c r="A1129" s="1180" t="s">
        <v>3067</v>
      </c>
      <c r="B1129" s="1180" t="s">
        <v>2989</v>
      </c>
      <c r="C1129" s="1181">
        <v>44616</v>
      </c>
      <c r="D1129" s="1182" t="s">
        <v>544</v>
      </c>
      <c r="E1129" s="1182" t="s">
        <v>3068</v>
      </c>
      <c r="F1129" s="1183" t="s">
        <v>3069</v>
      </c>
      <c r="G1129" s="1184" t="s">
        <v>456</v>
      </c>
      <c r="H1129" s="1185">
        <v>1000000000</v>
      </c>
      <c r="I1129" s="1180" t="s">
        <v>364</v>
      </c>
      <c r="J1129" s="1186" t="str">
        <f>VLOOKUP($I1129,'Price List, Weapons &amp; Items'!B:C,2,0)</f>
        <v>.</v>
      </c>
      <c r="K1129" s="1186" t="str">
        <f>IF(I1129=".",I1129,VLOOKUP($I1129,'Price List, Weapons &amp; Items'!B:D,3,0))</f>
        <v>.</v>
      </c>
      <c r="L1129" s="1187">
        <f>VLOOKUP(I1129,'Price List, Weapons &amp; Items'!B:E,4,0)</f>
        <v>0</v>
      </c>
      <c r="M1129" s="1188" t="s">
        <v>364</v>
      </c>
      <c r="N1129" s="1188" t="s">
        <v>364</v>
      </c>
      <c r="O1129" s="1188" t="str">
        <f>VLOOKUP($I1129,'Price List, Weapons &amp; Items'!B:G,6,0)</f>
        <v>.</v>
      </c>
      <c r="P1129" s="1185" t="str">
        <f t="shared" si="236"/>
        <v>.</v>
      </c>
      <c r="Q1129" s="1185" t="str">
        <f t="shared" si="237"/>
        <v>.</v>
      </c>
      <c r="R1129" s="1185">
        <f t="shared" si="233"/>
        <v>1000000000</v>
      </c>
      <c r="S1129" s="1185">
        <f>IF(AND(AD1129=1,R1129&lt;&gt;".")=TRUE,R1129/VLOOKUP(G1129,'Exchange Rates'!B:C,2,0),IF(R1129=".",".",""))</f>
        <v>920132499.07986748</v>
      </c>
      <c r="T1129" s="1185" t="str">
        <f>IF(AD1129=1,IF(AF1129="Value is not given at all",".",IF(AF1129="Value is given by the source",S1129,IF(AF1129="Value is calculated with prices",(IF(SUMIFS(Q:Q,A:A,A1129)&gt;0,SUMIFS(Q:Q,A:A,A1129),"."))/VLOOKUP("USD",'Exchange Rates'!B:C,2,0),"Error with coding"))),"")</f>
        <v>.</v>
      </c>
      <c r="U1129" s="1184" t="s">
        <v>365</v>
      </c>
      <c r="V1129" s="971" t="s">
        <v>3070</v>
      </c>
      <c r="W1129" s="971" t="s">
        <v>3071</v>
      </c>
      <c r="X1129" s="971" t="s">
        <v>3072</v>
      </c>
      <c r="Y1129" s="1190" t="s">
        <v>364</v>
      </c>
      <c r="Z1129" s="1184">
        <v>0</v>
      </c>
      <c r="AA1129" s="1194">
        <v>0</v>
      </c>
      <c r="AB1129" s="1201" t="s">
        <v>364</v>
      </c>
      <c r="AC1129" s="1192" t="str">
        <f>""</f>
        <v/>
      </c>
      <c r="AD1129" s="985">
        <v>1</v>
      </c>
      <c r="AE1129" s="985" t="s">
        <v>368</v>
      </c>
      <c r="AF1129" s="985" t="s">
        <v>369</v>
      </c>
      <c r="AG1129" s="985">
        <v>1</v>
      </c>
      <c r="AH1129" s="1193">
        <v>2</v>
      </c>
      <c r="AI1129" s="1193">
        <v>0</v>
      </c>
      <c r="AJ1129" s="1193">
        <f>VLOOKUP($I1129,'Price List, Weapons &amp; Items'!B:F,5,0)</f>
        <v>0</v>
      </c>
      <c r="AK1129" s="1193">
        <f t="shared" si="238"/>
        <v>0</v>
      </c>
      <c r="AL1129" s="1193">
        <f t="shared" si="239"/>
        <v>0</v>
      </c>
      <c r="AM1129" s="1193">
        <f t="shared" si="240"/>
        <v>0</v>
      </c>
      <c r="AN1129" s="1194" t="str">
        <f>VLOOKUP($I1129,'Price List, Weapons &amp; Items'!B:L,COLUMN('Price List, Weapons &amp; Items'!$J$11)-1,0)</f>
        <v>.</v>
      </c>
      <c r="AO1129" s="1194" t="str">
        <f>IF(I1129=".",".",VLOOKUP($I1129,'Price List, Weapons &amp; Items'!B:J,3,0))</f>
        <v>.</v>
      </c>
      <c r="AP1129" s="1195" t="str">
        <f t="shared" ca="1" si="234"/>
        <v>.</v>
      </c>
      <c r="AQ1129" s="1194">
        <f>VLOOKUP($I1129,'Price List, Weapons &amp; Items'!B:L,COLUMN('Price List, Weapons &amp; Items'!$L$11)-1,0)</f>
        <v>0</v>
      </c>
      <c r="AR1129" s="1194">
        <f t="shared" si="241"/>
        <v>1</v>
      </c>
      <c r="AS1129" s="1194">
        <f t="shared" si="242"/>
        <v>0</v>
      </c>
      <c r="AT1129" s="1194">
        <f t="shared" si="243"/>
        <v>1</v>
      </c>
      <c r="AU1129" s="1194" t="str">
        <f t="shared" si="244"/>
        <v>.</v>
      </c>
      <c r="AV1129" s="1194" t="str">
        <f t="shared" si="235"/>
        <v>.</v>
      </c>
      <c r="AW1129" s="1194" t="str">
        <f t="shared" si="245"/>
        <v>.</v>
      </c>
      <c r="AX1129" s="1194">
        <f>IFERROR(VLOOKUP(B1129,'Share, Heavy Weapons to Ukraine'!B:Z,COLUMN('Share, Heavy Weapons to Ukraine'!C1139)-1,0),0)</f>
        <v>0</v>
      </c>
      <c r="AY1129" s="1194">
        <f>VLOOKUP('Bilateral Assistance, MAIN DATA'!B1129,'Country Summary (€)'!B:F,COLUMN('Country Summary (€)'!C1140)-1,FALSE)</f>
        <v>1</v>
      </c>
      <c r="AZ1129" s="1194" t="str">
        <f>IF(AND(AD1129=1,D1129="Military",H1129&lt;&gt;"Not given")=TRUE,IF(SUMIFS(P:P,A:A,A1129)&gt;0,ABS((SUMIFS(P:P,A:A,A1129)/VLOOKUP("USD",'Exchange Rates'!B:C,2,0)))/S1129,"."),".")</f>
        <v>.</v>
      </c>
      <c r="BA1129" s="1196" t="str">
        <f>IF(AND(AD1129=1,D1129="Military",H1129&lt;&gt;"Not given")=TRUE,IF(SUMIFS(P:P,A:A,A1129)&gt;0,IF((ABS((SUMIFS(P:P,A:A,A1129)/VLOOKUP("USD",'Exchange Rates'!B:C,2,0)))/S1129)&gt;1,(SUMIFS(P:P,A:A,A1129)-S1129)/S1129,(S1129-SUMIFS(P:P,A:A,A1129))/SUMIFS(P:P,A:A,A1129)),"."),".")</f>
        <v>.</v>
      </c>
    </row>
    <row r="1130" spans="1:53" ht="15.95" customHeight="1">
      <c r="A1130" s="1180" t="s">
        <v>3073</v>
      </c>
      <c r="B1130" s="1180" t="s">
        <v>2989</v>
      </c>
      <c r="C1130" s="1181">
        <v>44623</v>
      </c>
      <c r="D1130" s="1182" t="s">
        <v>544</v>
      </c>
      <c r="E1130" s="1182" t="s">
        <v>481</v>
      </c>
      <c r="F1130" s="1183" t="s">
        <v>3074</v>
      </c>
      <c r="G1130" s="1184" t="s">
        <v>3075</v>
      </c>
      <c r="H1130" s="1185">
        <v>30000000</v>
      </c>
      <c r="I1130" s="1180" t="s">
        <v>364</v>
      </c>
      <c r="J1130" s="1186" t="str">
        <f>VLOOKUP($I1130,'Price List, Weapons &amp; Items'!B:C,2,0)</f>
        <v>.</v>
      </c>
      <c r="K1130" s="1186" t="str">
        <f>IF(I1130=".",I1130,VLOOKUP($I1130,'Price List, Weapons &amp; Items'!B:D,3,0))</f>
        <v>.</v>
      </c>
      <c r="L1130" s="1187">
        <f>VLOOKUP(I1130,'Price List, Weapons &amp; Items'!B:E,4,0)</f>
        <v>0</v>
      </c>
      <c r="M1130" s="1188" t="s">
        <v>364</v>
      </c>
      <c r="N1130" s="1188" t="s">
        <v>364</v>
      </c>
      <c r="O1130" s="1188" t="str">
        <f>VLOOKUP($I1130,'Price List, Weapons &amp; Items'!B:G,6,0)</f>
        <v>.</v>
      </c>
      <c r="P1130" s="1185" t="str">
        <f t="shared" si="236"/>
        <v>.</v>
      </c>
      <c r="Q1130" s="1185" t="str">
        <f t="shared" si="237"/>
        <v>.</v>
      </c>
      <c r="R1130" s="1185">
        <f t="shared" si="233"/>
        <v>30000000</v>
      </c>
      <c r="S1130" s="1185">
        <f>IF(AND(AD1130=1,R1130&lt;&gt;".")=TRUE,R1130/VLOOKUP(G1130,'Exchange Rates'!B:C,2,0),IF(R1130=".",".",""))</f>
        <v>6616090.3316866625</v>
      </c>
      <c r="T1130" s="1185" t="str">
        <f>IF(AD1130=1,IF(AF1130="Value is not given at all",".",IF(AF1130="Value is given by the source",S1130,IF(AF1130="Value is calculated with prices",(IF(SUMIFS(Q:Q,A:A,A1130)&gt;0,SUMIFS(Q:Q,A:A,A1130),"."))/VLOOKUP("USD",'Exchange Rates'!B:C,2,0),"Error with coding"))),"")</f>
        <v>.</v>
      </c>
      <c r="U1130" s="1184" t="s">
        <v>365</v>
      </c>
      <c r="V1130" s="971" t="s">
        <v>3076</v>
      </c>
      <c r="W1130" s="980" t="s">
        <v>3077</v>
      </c>
      <c r="X1130" s="1190" t="s">
        <v>364</v>
      </c>
      <c r="Y1130" s="1190" t="s">
        <v>364</v>
      </c>
      <c r="Z1130" s="1184">
        <v>0</v>
      </c>
      <c r="AA1130" s="1194">
        <v>0</v>
      </c>
      <c r="AB1130" s="1201" t="s">
        <v>364</v>
      </c>
      <c r="AC1130" s="1192" t="str">
        <f>""</f>
        <v/>
      </c>
      <c r="AD1130" s="985">
        <v>1</v>
      </c>
      <c r="AE1130" s="985" t="s">
        <v>368</v>
      </c>
      <c r="AF1130" s="985" t="s">
        <v>369</v>
      </c>
      <c r="AG1130" s="985">
        <v>1</v>
      </c>
      <c r="AH1130" s="1193">
        <v>3</v>
      </c>
      <c r="AI1130" s="1193">
        <v>0</v>
      </c>
      <c r="AJ1130" s="1193">
        <f>VLOOKUP($I1130,'Price List, Weapons &amp; Items'!B:F,5,0)</f>
        <v>0</v>
      </c>
      <c r="AK1130" s="1193">
        <f t="shared" si="238"/>
        <v>0</v>
      </c>
      <c r="AL1130" s="1193">
        <f t="shared" si="239"/>
        <v>0</v>
      </c>
      <c r="AM1130" s="1193">
        <f t="shared" si="240"/>
        <v>0</v>
      </c>
      <c r="AN1130" s="1194" t="str">
        <f>VLOOKUP($I1130,'Price List, Weapons &amp; Items'!B:L,COLUMN('Price List, Weapons &amp; Items'!$J$11)-1,0)</f>
        <v>.</v>
      </c>
      <c r="AO1130" s="1194" t="str">
        <f>IF(I1130=".",".",VLOOKUP($I1130,'Price List, Weapons &amp; Items'!B:J,3,0))</f>
        <v>.</v>
      </c>
      <c r="AP1130" s="1195" t="str">
        <f t="shared" ca="1" si="234"/>
        <v>.</v>
      </c>
      <c r="AQ1130" s="1194">
        <f>VLOOKUP($I1130,'Price List, Weapons &amp; Items'!B:L,COLUMN('Price List, Weapons &amp; Items'!$L$11)-1,0)</f>
        <v>0</v>
      </c>
      <c r="AR1130" s="1194">
        <f t="shared" si="241"/>
        <v>1</v>
      </c>
      <c r="AS1130" s="1194">
        <f t="shared" si="242"/>
        <v>0</v>
      </c>
      <c r="AT1130" s="1194">
        <f t="shared" si="243"/>
        <v>1</v>
      </c>
      <c r="AU1130" s="1194" t="str">
        <f t="shared" si="244"/>
        <v>.</v>
      </c>
      <c r="AV1130" s="1194" t="str">
        <f t="shared" si="235"/>
        <v>.</v>
      </c>
      <c r="AW1130" s="1194" t="str">
        <f t="shared" si="245"/>
        <v>.</v>
      </c>
      <c r="AX1130" s="1194">
        <f>IFERROR(VLOOKUP(B1130,'Share, Heavy Weapons to Ukraine'!B:Z,COLUMN('Share, Heavy Weapons to Ukraine'!C1140)-1,0),0)</f>
        <v>0</v>
      </c>
      <c r="AY1130" s="1194">
        <f>VLOOKUP('Bilateral Assistance, MAIN DATA'!B1130,'Country Summary (€)'!B:F,COLUMN('Country Summary (€)'!C1141)-1,FALSE)</f>
        <v>1</v>
      </c>
      <c r="AZ1130" s="1194" t="str">
        <f>IF(AND(AD1130=1,D1130="Military",H1130&lt;&gt;"Not given")=TRUE,IF(SUMIFS(P:P,A:A,A1130)&gt;0,ABS((SUMIFS(P:P,A:A,A1130)/VLOOKUP("USD",'Exchange Rates'!B:C,2,0)))/S1130,"."),".")</f>
        <v>.</v>
      </c>
      <c r="BA1130" s="1196" t="str">
        <f>IF(AND(AD1130=1,D1130="Military",H1130&lt;&gt;"Not given")=TRUE,IF(SUMIFS(P:P,A:A,A1130)&gt;0,IF((ABS((SUMIFS(P:P,A:A,A1130)/VLOOKUP("USD",'Exchange Rates'!B:C,2,0)))/S1130)&gt;1,(SUMIFS(P:P,A:A,A1130)-S1130)/S1130,(S1130-SUMIFS(P:P,A:A,A1130))/SUMIFS(P:P,A:A,A1130)),"."),".")</f>
        <v>.</v>
      </c>
    </row>
    <row r="1131" spans="1:53" ht="15.95" customHeight="1">
      <c r="A1131" s="1180" t="s">
        <v>3078</v>
      </c>
      <c r="B1131" s="1180" t="s">
        <v>3079</v>
      </c>
      <c r="C1131" s="1181">
        <v>44624</v>
      </c>
      <c r="D1131" s="1182" t="s">
        <v>360</v>
      </c>
      <c r="E1131" s="1182" t="s">
        <v>371</v>
      </c>
      <c r="F1131" s="1183" t="s">
        <v>3080</v>
      </c>
      <c r="G1131" s="1184" t="s">
        <v>483</v>
      </c>
      <c r="H1131" s="1185">
        <v>100000</v>
      </c>
      <c r="I1131" s="1180" t="s">
        <v>364</v>
      </c>
      <c r="J1131" s="1186" t="str">
        <f>VLOOKUP($I1131,'Price List, Weapons &amp; Items'!B:C,2,0)</f>
        <v>.</v>
      </c>
      <c r="K1131" s="1186" t="str">
        <f>IF(I1131=".",I1131,VLOOKUP($I1131,'Price List, Weapons &amp; Items'!B:D,3,0))</f>
        <v>.</v>
      </c>
      <c r="L1131" s="1187">
        <f>VLOOKUP(I1131,'Price List, Weapons &amp; Items'!B:E,4,0)</f>
        <v>0</v>
      </c>
      <c r="M1131" s="1188" t="s">
        <v>364</v>
      </c>
      <c r="N1131" s="1188" t="s">
        <v>364</v>
      </c>
      <c r="O1131" s="1188" t="str">
        <f>VLOOKUP($I1131,'Price List, Weapons &amp; Items'!B:G,6,0)</f>
        <v>.</v>
      </c>
      <c r="P1131" s="1185" t="str">
        <f t="shared" si="236"/>
        <v>.</v>
      </c>
      <c r="Q1131" s="1185" t="str">
        <f t="shared" si="237"/>
        <v>.</v>
      </c>
      <c r="R1131" s="1185">
        <f t="shared" si="233"/>
        <v>100000</v>
      </c>
      <c r="S1131" s="1185">
        <f>IF(AND(AD1131=1,R1131&lt;&gt;".")=TRUE,R1131/VLOOKUP(G1131,'Exchange Rates'!B:C,2,0),IF(R1131=".",".",""))</f>
        <v>100000</v>
      </c>
      <c r="T1131" s="1185" t="str">
        <f>IF(AD1131=1,IF(AF1131="Value is not given at all",".",IF(AF1131="Value is given by the source",S1131,IF(AF1131="Value is calculated with prices",(IF(SUMIFS(Q:Q,A:A,A1131)&gt;0,SUMIFS(Q:Q,A:A,A1131),"."))/VLOOKUP("USD",'Exchange Rates'!B:C,2,0),"Error with coding"))),"")</f>
        <v>.</v>
      </c>
      <c r="U1131" s="1184" t="s">
        <v>675</v>
      </c>
      <c r="V1131" s="971" t="s">
        <v>3081</v>
      </c>
      <c r="W1131" s="971" t="s">
        <v>3082</v>
      </c>
      <c r="X1131" s="1190" t="s">
        <v>364</v>
      </c>
      <c r="Y1131" s="1190" t="s">
        <v>364</v>
      </c>
      <c r="Z1131" s="1184">
        <v>0</v>
      </c>
      <c r="AA1131" s="1194">
        <v>0</v>
      </c>
      <c r="AB1131" s="1201" t="s">
        <v>364</v>
      </c>
      <c r="AC1131" s="1192" t="str">
        <f>""</f>
        <v/>
      </c>
      <c r="AD1131" s="985">
        <v>1</v>
      </c>
      <c r="AE1131" s="985" t="s">
        <v>368</v>
      </c>
      <c r="AF1131" s="985" t="s">
        <v>369</v>
      </c>
      <c r="AG1131" s="985">
        <v>1</v>
      </c>
      <c r="AH1131" s="1193">
        <v>3</v>
      </c>
      <c r="AI1131" s="1193">
        <v>0</v>
      </c>
      <c r="AJ1131" s="1193">
        <f>VLOOKUP($I1131,'Price List, Weapons &amp; Items'!B:F,5,0)</f>
        <v>0</v>
      </c>
      <c r="AK1131" s="1193">
        <f t="shared" si="238"/>
        <v>0</v>
      </c>
      <c r="AL1131" s="1193">
        <f t="shared" si="239"/>
        <v>0</v>
      </c>
      <c r="AM1131" s="1193">
        <f t="shared" si="240"/>
        <v>0</v>
      </c>
      <c r="AN1131" s="1194" t="str">
        <f>VLOOKUP($I1131,'Price List, Weapons &amp; Items'!B:L,COLUMN('Price List, Weapons &amp; Items'!$J$11)-1,0)</f>
        <v>.</v>
      </c>
      <c r="AO1131" s="1194" t="str">
        <f>IF(I1131=".",".",VLOOKUP($I1131,'Price List, Weapons &amp; Items'!B:J,3,0))</f>
        <v>.</v>
      </c>
      <c r="AP1131" s="1195" t="str">
        <f t="shared" ca="1" si="234"/>
        <v>.</v>
      </c>
      <c r="AQ1131" s="1194">
        <f>VLOOKUP($I1131,'Price List, Weapons &amp; Items'!B:L,COLUMN('Price List, Weapons &amp; Items'!$L$11)-1,0)</f>
        <v>0</v>
      </c>
      <c r="AR1131" s="1194">
        <f t="shared" si="241"/>
        <v>0</v>
      </c>
      <c r="AS1131" s="1194">
        <f t="shared" si="242"/>
        <v>0</v>
      </c>
      <c r="AT1131" s="1194">
        <f t="shared" si="243"/>
        <v>1</v>
      </c>
      <c r="AU1131" s="1194" t="str">
        <f t="shared" si="244"/>
        <v>.</v>
      </c>
      <c r="AV1131" s="1194" t="str">
        <f t="shared" si="235"/>
        <v>.</v>
      </c>
      <c r="AW1131" s="1194" t="str">
        <f t="shared" si="245"/>
        <v>.</v>
      </c>
      <c r="AX1131" s="1194">
        <f>IFERROR(VLOOKUP(B1131,'Share, Heavy Weapons to Ukraine'!B:Z,COLUMN('Share, Heavy Weapons to Ukraine'!C1141)-1,0),0)</f>
        <v>0</v>
      </c>
      <c r="AY1131" s="1194">
        <f>VLOOKUP('Bilateral Assistance, MAIN DATA'!B1131,'Country Summary (€)'!B:F,COLUMN('Country Summary (€)'!C1142)-1,FALSE)</f>
        <v>1</v>
      </c>
      <c r="AZ1131" s="1194" t="str">
        <f>IF(AND(AD1131=1,D1131="Military",H1131&lt;&gt;"Not given")=TRUE,IF(SUMIFS(P:P,A:A,A1131)&gt;0,ABS((SUMIFS(P:P,A:A,A1131)/VLOOKUP("USD",'Exchange Rates'!B:C,2,0)))/S1131,"."),".")</f>
        <v>.</v>
      </c>
      <c r="BA1131" s="1196" t="str">
        <f>IF(AND(AD1131=1,D1131="Military",H1131&lt;&gt;"Not given")=TRUE,IF(SUMIFS(P:P,A:A,A1131)&gt;0,IF((ABS((SUMIFS(P:P,A:A,A1131)/VLOOKUP("USD",'Exchange Rates'!B:C,2,0)))/S1131)&gt;1,(SUMIFS(P:P,A:A,A1131)-S1131)/S1131,(S1131-SUMIFS(P:P,A:A,A1131))/SUMIFS(P:P,A:A,A1131)),"."),".")</f>
        <v>.</v>
      </c>
    </row>
    <row r="1132" spans="1:53" ht="15.95" customHeight="1">
      <c r="A1132" s="1180" t="s">
        <v>3083</v>
      </c>
      <c r="B1132" s="1180" t="s">
        <v>3079</v>
      </c>
      <c r="C1132" s="1181">
        <v>44686</v>
      </c>
      <c r="D1132" s="1182" t="s">
        <v>360</v>
      </c>
      <c r="E1132" s="1182" t="s">
        <v>361</v>
      </c>
      <c r="F1132" s="1183" t="s">
        <v>3084</v>
      </c>
      <c r="G1132" s="1184" t="s">
        <v>483</v>
      </c>
      <c r="H1132" s="1185">
        <v>1100000</v>
      </c>
      <c r="I1132" s="1180" t="s">
        <v>364</v>
      </c>
      <c r="J1132" s="1186" t="str">
        <f>VLOOKUP($I1132,'Price List, Weapons &amp; Items'!B:C,2,0)</f>
        <v>.</v>
      </c>
      <c r="K1132" s="1186" t="str">
        <f>IF(I1132=".",I1132,VLOOKUP($I1132,'Price List, Weapons &amp; Items'!B:D,3,0))</f>
        <v>.</v>
      </c>
      <c r="L1132" s="1187">
        <f>VLOOKUP(I1132,'Price List, Weapons &amp; Items'!B:E,4,0)</f>
        <v>0</v>
      </c>
      <c r="M1132" s="1188" t="s">
        <v>364</v>
      </c>
      <c r="N1132" s="1188" t="s">
        <v>364</v>
      </c>
      <c r="O1132" s="1188" t="str">
        <f>VLOOKUP($I1132,'Price List, Weapons &amp; Items'!B:G,6,0)</f>
        <v>.</v>
      </c>
      <c r="P1132" s="1185" t="str">
        <f t="shared" si="236"/>
        <v>.</v>
      </c>
      <c r="Q1132" s="1185" t="str">
        <f t="shared" si="237"/>
        <v>.</v>
      </c>
      <c r="R1132" s="1185">
        <f t="shared" si="233"/>
        <v>1100000</v>
      </c>
      <c r="S1132" s="1185">
        <f>IF(AND(AD1132=1,R1132&lt;&gt;".")=TRUE,R1132/VLOOKUP(G1132,'Exchange Rates'!B:C,2,0),IF(R1132=".",".",""))</f>
        <v>1100000</v>
      </c>
      <c r="T1132" s="1185" t="str">
        <f>IF(AD1132=1,IF(AF1132="Value is not given at all",".",IF(AF1132="Value is given by the source",S1132,IF(AF1132="Value is calculated with prices",(IF(SUMIFS(Q:Q,A:A,A1132)&gt;0,SUMIFS(Q:Q,A:A,A1132),"."))/VLOOKUP("USD",'Exchange Rates'!B:C,2,0),"Error with coding"))),"")</f>
        <v>.</v>
      </c>
      <c r="U1132" s="1184" t="s">
        <v>365</v>
      </c>
      <c r="V1132" s="971" t="s">
        <v>3085</v>
      </c>
      <c r="W1132" s="1190" t="s">
        <v>364</v>
      </c>
      <c r="X1132" s="1190" t="s">
        <v>364</v>
      </c>
      <c r="Y1132" s="1190" t="s">
        <v>364</v>
      </c>
      <c r="Z1132" s="1184">
        <v>0</v>
      </c>
      <c r="AA1132" s="1194">
        <v>0</v>
      </c>
      <c r="AB1132" s="1201" t="s">
        <v>364</v>
      </c>
      <c r="AC1132" s="1192" t="str">
        <f>""</f>
        <v/>
      </c>
      <c r="AD1132" s="985">
        <v>1</v>
      </c>
      <c r="AE1132" s="985" t="s">
        <v>368</v>
      </c>
      <c r="AF1132" s="985" t="s">
        <v>369</v>
      </c>
      <c r="AG1132" s="985">
        <v>1</v>
      </c>
      <c r="AH1132" s="1193">
        <v>5</v>
      </c>
      <c r="AI1132" s="1193">
        <v>0</v>
      </c>
      <c r="AJ1132" s="1193">
        <f>VLOOKUP($I1132,'Price List, Weapons &amp; Items'!B:F,5,0)</f>
        <v>0</v>
      </c>
      <c r="AK1132" s="1193">
        <f t="shared" si="238"/>
        <v>0</v>
      </c>
      <c r="AL1132" s="1193">
        <f t="shared" si="239"/>
        <v>0</v>
      </c>
      <c r="AM1132" s="1193">
        <f t="shared" si="240"/>
        <v>0</v>
      </c>
      <c r="AN1132" s="1194" t="str">
        <f>VLOOKUP($I1132,'Price List, Weapons &amp; Items'!B:L,COLUMN('Price List, Weapons &amp; Items'!$J$11)-1,0)</f>
        <v>.</v>
      </c>
      <c r="AO1132" s="1194" t="str">
        <f>IF(I1132=".",".",VLOOKUP($I1132,'Price List, Weapons &amp; Items'!B:J,3,0))</f>
        <v>.</v>
      </c>
      <c r="AP1132" s="1195" t="str">
        <f t="shared" ca="1" si="234"/>
        <v>.</v>
      </c>
      <c r="AQ1132" s="1194">
        <f>VLOOKUP($I1132,'Price List, Weapons &amp; Items'!B:L,COLUMN('Price List, Weapons &amp; Items'!$L$11)-1,0)</f>
        <v>0</v>
      </c>
      <c r="AR1132" s="1194">
        <f t="shared" si="241"/>
        <v>1</v>
      </c>
      <c r="AS1132" s="1194">
        <f t="shared" si="242"/>
        <v>0</v>
      </c>
      <c r="AT1132" s="1194">
        <f t="shared" si="243"/>
        <v>1</v>
      </c>
      <c r="AU1132" s="1194" t="str">
        <f t="shared" si="244"/>
        <v>.</v>
      </c>
      <c r="AV1132" s="1194" t="str">
        <f t="shared" si="235"/>
        <v>.</v>
      </c>
      <c r="AW1132" s="1194" t="str">
        <f t="shared" si="245"/>
        <v>.</v>
      </c>
      <c r="AX1132" s="1194">
        <f>IFERROR(VLOOKUP(B1132,'Share, Heavy Weapons to Ukraine'!B:Z,COLUMN('Share, Heavy Weapons to Ukraine'!C1142)-1,0),0)</f>
        <v>0</v>
      </c>
      <c r="AY1132" s="1194">
        <f>VLOOKUP('Bilateral Assistance, MAIN DATA'!B1132,'Country Summary (€)'!B:F,COLUMN('Country Summary (€)'!C1143)-1,FALSE)</f>
        <v>1</v>
      </c>
      <c r="AZ1132" s="1194" t="str">
        <f>IF(AND(AD1132=1,D1132="Military",H1132&lt;&gt;"Not given")=TRUE,IF(SUMIFS(P:P,A:A,A1132)&gt;0,ABS((SUMIFS(P:P,A:A,A1132)/VLOOKUP("USD",'Exchange Rates'!B:C,2,0)))/S1132,"."),".")</f>
        <v>.</v>
      </c>
      <c r="BA1132" s="1196" t="str">
        <f>IF(AND(AD1132=1,D1132="Military",H1132&lt;&gt;"Not given")=TRUE,IF(SUMIFS(P:P,A:A,A1132)&gt;0,IF((ABS((SUMIFS(P:P,A:A,A1132)/VLOOKUP("USD",'Exchange Rates'!B:C,2,0)))/S1132)&gt;1,(SUMIFS(P:P,A:A,A1132)-S1132)/S1132,(S1132-SUMIFS(P:P,A:A,A1132))/SUMIFS(P:P,A:A,A1132)),"."),".")</f>
        <v>.</v>
      </c>
    </row>
    <row r="1133" spans="1:53" ht="15.95" customHeight="1">
      <c r="A1133" s="1180" t="s">
        <v>3086</v>
      </c>
      <c r="B1133" s="1180" t="s">
        <v>3079</v>
      </c>
      <c r="C1133" s="1181">
        <v>44908</v>
      </c>
      <c r="D1133" s="1182" t="s">
        <v>360</v>
      </c>
      <c r="E1133" s="1182" t="s">
        <v>371</v>
      </c>
      <c r="F1133" s="1183" t="s">
        <v>3087</v>
      </c>
      <c r="G1133" s="1184" t="s">
        <v>456</v>
      </c>
      <c r="H1133" s="1185" t="s">
        <v>457</v>
      </c>
      <c r="I1133" s="1239" t="s">
        <v>596</v>
      </c>
      <c r="J1133" s="1186" t="str">
        <f>VLOOKUP($I1133,'Price List, Weapons &amp; Items'!B:C,2,0)</f>
        <v>Military equipment</v>
      </c>
      <c r="K1133" s="1186" t="str">
        <f>IF(I1133=".",I1133,VLOOKUP($I1133,'Price List, Weapons &amp; Items'!B:D,3,0))</f>
        <v>Military equipment</v>
      </c>
      <c r="L1133" s="1187">
        <f>VLOOKUP(I1133,'Price List, Weapons &amp; Items'!B:E,4,0)</f>
        <v>0</v>
      </c>
      <c r="M1133" s="1188" t="s">
        <v>374</v>
      </c>
      <c r="N1133" s="1188" t="s">
        <v>374</v>
      </c>
      <c r="O1133" s="1188">
        <f>VLOOKUP($I1133,'Price List, Weapons &amp; Items'!B:G,6,0)</f>
        <v>22216</v>
      </c>
      <c r="P1133" s="1185" t="str">
        <f t="shared" si="236"/>
        <v>.</v>
      </c>
      <c r="Q1133" s="1185" t="str">
        <f t="shared" si="237"/>
        <v>.</v>
      </c>
      <c r="R1133" s="1185">
        <f t="shared" si="233"/>
        <v>495000</v>
      </c>
      <c r="S1133" s="1185">
        <f>IF(AND(AD1133=1,R1133&lt;&gt;".")=TRUE,R1133/VLOOKUP(G1133,'Exchange Rates'!B:C,2,0),IF(R1133=".",".",""))</f>
        <v>455465.58704453439</v>
      </c>
      <c r="T1133" s="1185" t="str">
        <f>IF(AD1133=1,IF(AF1133="Value is not given at all",".",IF(AF1133="Value is given by the source",S1133,IF(AF1133="Value is calculated with prices",(IF(SUMIFS(Q:Q,A:A,A1133)&gt;0,SUMIFS(Q:Q,A:A,A1133),"."))/VLOOKUP("USD",'Exchange Rates'!B:C,2,0),"Error with coding"))),"")</f>
        <v>.</v>
      </c>
      <c r="U1133" s="1184" t="s">
        <v>365</v>
      </c>
      <c r="V1133" s="971" t="s">
        <v>3088</v>
      </c>
      <c r="W1133" s="972" t="s">
        <v>3089</v>
      </c>
      <c r="X1133" s="980" t="s">
        <v>364</v>
      </c>
      <c r="Y1133" s="1190" t="s">
        <v>364</v>
      </c>
      <c r="Z1133" s="1184">
        <v>0</v>
      </c>
      <c r="AA1133" s="1184">
        <v>0</v>
      </c>
      <c r="AB1133" s="1026" t="s">
        <v>364</v>
      </c>
      <c r="AC1133" s="1192" t="str">
        <f>""</f>
        <v/>
      </c>
      <c r="AD1133" s="985">
        <v>1</v>
      </c>
      <c r="AE1133" s="985" t="s">
        <v>436</v>
      </c>
      <c r="AF1133" s="985" t="s">
        <v>369</v>
      </c>
      <c r="AG1133" s="985">
        <v>1</v>
      </c>
      <c r="AH1133" s="1193">
        <v>12</v>
      </c>
      <c r="AI1133" s="1193">
        <v>0</v>
      </c>
      <c r="AJ1133" s="1193">
        <f>VLOOKUP($I1133,'Price List, Weapons &amp; Items'!B:F,5,0)</f>
        <v>0</v>
      </c>
      <c r="AK1133" s="1193">
        <f t="shared" si="238"/>
        <v>0</v>
      </c>
      <c r="AL1133" s="1193">
        <f t="shared" si="239"/>
        <v>0</v>
      </c>
      <c r="AM1133" s="1193">
        <f t="shared" si="240"/>
        <v>0</v>
      </c>
      <c r="AN1133" s="1194" t="str">
        <f>VLOOKUP($I1133,'Price List, Weapons &amp; Items'!B:L,COLUMN('Price List, Weapons &amp; Items'!$J$11)-1,0)</f>
        <v>Government information</v>
      </c>
      <c r="AO1133" s="1194" t="str">
        <f>IF(I1133=".",".",VLOOKUP($I1133,'Price List, Weapons &amp; Items'!B:J,3,0))</f>
        <v>Military equipment</v>
      </c>
      <c r="AP1133" s="1195" t="str">
        <f t="shared" ca="1" si="234"/>
        <v>generator</v>
      </c>
      <c r="AQ1133" s="1194">
        <f>VLOOKUP($I1133,'Price List, Weapons &amp; Items'!B:L,COLUMN('Price List, Weapons &amp; Items'!$L$11)-1,0)</f>
        <v>2</v>
      </c>
      <c r="AR1133" s="1194">
        <f t="shared" si="241"/>
        <v>1</v>
      </c>
      <c r="AS1133" s="1194">
        <f t="shared" si="242"/>
        <v>0</v>
      </c>
      <c r="AT1133" s="1194">
        <f t="shared" si="243"/>
        <v>1</v>
      </c>
      <c r="AU1133" s="1194" t="str">
        <f t="shared" si="244"/>
        <v>.</v>
      </c>
      <c r="AV1133" s="1194" t="str">
        <f t="shared" si="235"/>
        <v>.</v>
      </c>
      <c r="AW1133" s="1194" t="str">
        <f t="shared" si="245"/>
        <v>.</v>
      </c>
      <c r="AX1133" s="1194">
        <f>IFERROR(VLOOKUP(B1133,'Share, Heavy Weapons to Ukraine'!B:Z,COLUMN('Share, Heavy Weapons to Ukraine'!C1143)-1,0),0)</f>
        <v>0</v>
      </c>
      <c r="AY1133" s="1194">
        <f>VLOOKUP('Bilateral Assistance, MAIN DATA'!B1133,'Country Summary (€)'!B:F,COLUMN('Country Summary (€)'!C1144)-1,FALSE)</f>
        <v>1</v>
      </c>
      <c r="AZ1133" s="1194" t="str">
        <f>IF(AND(AD1133=1,D1133="Military",H1133&lt;&gt;"Not given")=TRUE,IF(SUMIFS(P:P,A:A,A1133)&gt;0,ABS((SUMIFS(P:P,A:A,A1133)/VLOOKUP("USD",'Exchange Rates'!B:C,2,0)))/S1133,"."),".")</f>
        <v>.</v>
      </c>
      <c r="BA1133" s="1196" t="str">
        <f>IF(AND(AD1133=1,D1133="Military",H1133&lt;&gt;"Not given")=TRUE,IF(SUMIFS(P:P,A:A,A1133)&gt;0,IF((ABS((SUMIFS(P:P,A:A,A1133)/VLOOKUP("USD",'Exchange Rates'!B:C,2,0)))/S1133)&gt;1,(SUMIFS(P:P,A:A,A1133)-S1133)/S1133,(S1133-SUMIFS(P:P,A:A,A1133))/SUMIFS(P:P,A:A,A1133)),"."),".")</f>
        <v>.</v>
      </c>
    </row>
    <row r="1134" spans="1:53" ht="15.95" customHeight="1">
      <c r="A1134" s="1180" t="s">
        <v>3086</v>
      </c>
      <c r="B1134" s="1180" t="s">
        <v>3079</v>
      </c>
      <c r="C1134" s="1181">
        <v>44908</v>
      </c>
      <c r="D1134" s="1182" t="s">
        <v>360</v>
      </c>
      <c r="E1134" s="1182" t="s">
        <v>371</v>
      </c>
      <c r="F1134" s="1183" t="s">
        <v>3087</v>
      </c>
      <c r="G1134" s="1184" t="s">
        <v>456</v>
      </c>
      <c r="H1134" s="1185" t="s">
        <v>457</v>
      </c>
      <c r="I1134" s="1292" t="s">
        <v>601</v>
      </c>
      <c r="J1134" s="1186" t="str">
        <f>VLOOKUP($I1134,'Price List, Weapons &amp; Items'!B:C,2,0)</f>
        <v>Humanitarian</v>
      </c>
      <c r="K1134" s="1186" t="str">
        <f>IF(I1134=".",I1134,VLOOKUP($I1134,'Price List, Weapons &amp; Items'!B:D,3,0))</f>
        <v>Humanitarian</v>
      </c>
      <c r="L1134" s="1187">
        <f>VLOOKUP(I1134,'Price List, Weapons &amp; Items'!B:E,4,0)</f>
        <v>0</v>
      </c>
      <c r="M1134" s="1188">
        <v>1650</v>
      </c>
      <c r="N1134" s="1188" t="s">
        <v>374</v>
      </c>
      <c r="O1134" s="1188">
        <f>VLOOKUP($I1134,'Price List, Weapons &amp; Items'!B:G,6,0)</f>
        <v>300</v>
      </c>
      <c r="P1134" s="1185">
        <f t="shared" si="236"/>
        <v>495000</v>
      </c>
      <c r="Q1134" s="1185" t="str">
        <f t="shared" si="237"/>
        <v>.</v>
      </c>
      <c r="R1134" s="1185" t="str">
        <f t="shared" si="233"/>
        <v/>
      </c>
      <c r="S1134" s="1185" t="str">
        <f>IF(AND(AD1134=1,R1134&lt;&gt;".")=TRUE,R1134/VLOOKUP(G1134,'Exchange Rates'!B:C,2,0),IF(R1134=".",".",""))</f>
        <v/>
      </c>
      <c r="T1134" s="1185" t="str">
        <f>IF(AD1134=1,IF(AF1134="Value is not given at all",".",IF(AF1134="Value is given by the source",S1134,IF(AF1134="Value is calculated with prices",(IF(SUMIFS(Q:Q,A:A,A1134)&gt;0,SUMIFS(Q:Q,A:A,A1134),"."))/VLOOKUP("USD",'Exchange Rates'!B:C,2,0),"Error with coding"))),"")</f>
        <v/>
      </c>
      <c r="U1134" s="1184" t="s">
        <v>675</v>
      </c>
      <c r="V1134" s="971" t="s">
        <v>3088</v>
      </c>
      <c r="W1134" s="972" t="s">
        <v>3089</v>
      </c>
      <c r="X1134" s="1190" t="s">
        <v>364</v>
      </c>
      <c r="Y1134" s="1190" t="s">
        <v>364</v>
      </c>
      <c r="Z1134" s="1184">
        <v>0</v>
      </c>
      <c r="AA1134" s="1184">
        <v>0</v>
      </c>
      <c r="AB1134" s="1201" t="s">
        <v>364</v>
      </c>
      <c r="AC1134" s="1192" t="str">
        <f>""</f>
        <v/>
      </c>
      <c r="AD1134" s="985">
        <v>0</v>
      </c>
      <c r="AE1134" s="985" t="s">
        <v>436</v>
      </c>
      <c r="AF1134" s="985" t="s">
        <v>369</v>
      </c>
      <c r="AG1134" s="985">
        <v>1</v>
      </c>
      <c r="AH1134" s="1193">
        <v>12</v>
      </c>
      <c r="AI1134" s="1193">
        <v>0</v>
      </c>
      <c r="AJ1134" s="1193">
        <f>VLOOKUP($I1134,'Price List, Weapons &amp; Items'!B:F,5,0)</f>
        <v>0</v>
      </c>
      <c r="AK1134" s="1193">
        <f t="shared" si="238"/>
        <v>0</v>
      </c>
      <c r="AL1134" s="1193">
        <f t="shared" si="239"/>
        <v>0</v>
      </c>
      <c r="AM1134" s="1193">
        <f t="shared" si="240"/>
        <v>0</v>
      </c>
      <c r="AN1134" s="1194" t="str">
        <f>VLOOKUP($I1134,'Price List, Weapons &amp; Items'!B:L,COLUMN('Price List, Weapons &amp; Items'!$J$11)-1,0)</f>
        <v>Miscellaneous</v>
      </c>
      <c r="AO1134" s="1194" t="str">
        <f>IF(I1134=".",".",VLOOKUP($I1134,'Price List, Weapons &amp; Items'!B:J,3,0))</f>
        <v>Humanitarian</v>
      </c>
      <c r="AP1134" s="1195" t="str">
        <f t="shared" ca="1" si="234"/>
        <v/>
      </c>
      <c r="AQ1134" s="1194">
        <f>VLOOKUP($I1134,'Price List, Weapons &amp; Items'!B:L,COLUMN('Price List, Weapons &amp; Items'!$L$11)-1,0)</f>
        <v>0</v>
      </c>
      <c r="AR1134" s="1194">
        <f t="shared" si="241"/>
        <v>0</v>
      </c>
      <c r="AS1134" s="1194">
        <f t="shared" si="242"/>
        <v>0</v>
      </c>
      <c r="AT1134" s="1194">
        <f t="shared" si="243"/>
        <v>1</v>
      </c>
      <c r="AU1134" s="1194" t="str">
        <f t="shared" si="244"/>
        <v>.</v>
      </c>
      <c r="AV1134" s="1194" t="str">
        <f t="shared" si="235"/>
        <v>.</v>
      </c>
      <c r="AW1134" s="1194" t="str">
        <f t="shared" si="245"/>
        <v>.</v>
      </c>
      <c r="AX1134" s="1194">
        <f>IFERROR(VLOOKUP(B1134,'Share, Heavy Weapons to Ukraine'!B:Z,COLUMN('Share, Heavy Weapons to Ukraine'!C1144)-1,0),0)</f>
        <v>0</v>
      </c>
      <c r="AY1134" s="1194">
        <f>VLOOKUP('Bilateral Assistance, MAIN DATA'!B1134,'Country Summary (€)'!B:F,COLUMN('Country Summary (€)'!C1145)-1,FALSE)</f>
        <v>1</v>
      </c>
      <c r="AZ1134" s="1194" t="str">
        <f>IF(AND(AD1134=1,D1134="Military",H1134&lt;&gt;"Not given")=TRUE,IF(SUMIFS(P:P,A:A,A1134)&gt;0,ABS((SUMIFS(P:P,A:A,A1134)/VLOOKUP("USD",'Exchange Rates'!B:C,2,0)))/S1134,"."),".")</f>
        <v>.</v>
      </c>
      <c r="BA1134" s="1196" t="str">
        <f>IF(AND(AD1134=1,D1134="Military",H1134&lt;&gt;"Not given")=TRUE,IF(SUMIFS(P:P,A:A,A1134)&gt;0,IF((ABS((SUMIFS(P:P,A:A,A1134)/VLOOKUP("USD",'Exchange Rates'!B:C,2,0)))/S1134)&gt;1,(SUMIFS(P:P,A:A,A1134)-S1134)/S1134,(S1134-SUMIFS(P:P,A:A,A1134))/SUMIFS(P:P,A:A,A1134)),"."),".")</f>
        <v>.</v>
      </c>
    </row>
    <row r="1135" spans="1:53" ht="15.95" customHeight="1">
      <c r="A1135" s="1180" t="s">
        <v>3086</v>
      </c>
      <c r="B1135" s="1180" t="s">
        <v>3079</v>
      </c>
      <c r="C1135" s="1181">
        <v>44908</v>
      </c>
      <c r="D1135" s="1182" t="s">
        <v>360</v>
      </c>
      <c r="E1135" s="1182" t="s">
        <v>371</v>
      </c>
      <c r="F1135" s="1183" t="s">
        <v>3087</v>
      </c>
      <c r="G1135" s="1184" t="s">
        <v>456</v>
      </c>
      <c r="H1135" s="1185" t="s">
        <v>457</v>
      </c>
      <c r="I1135" s="1239" t="s">
        <v>1620</v>
      </c>
      <c r="J1135" s="1186" t="str">
        <f>VLOOKUP($I1135,'Price List, Weapons &amp; Items'!B:C,2,0)</f>
        <v>Humanitarian</v>
      </c>
      <c r="K1135" s="1186" t="str">
        <f>IF(I1135=".",I1135,VLOOKUP($I1135,'Price List, Weapons &amp; Items'!B:D,3,0))</f>
        <v>Humanitarian</v>
      </c>
      <c r="L1135" s="1187">
        <f>VLOOKUP(I1135,'Price List, Weapons &amp; Items'!B:E,4,0)</f>
        <v>0</v>
      </c>
      <c r="M1135" s="1188" t="s">
        <v>374</v>
      </c>
      <c r="N1135" s="1188" t="s">
        <v>374</v>
      </c>
      <c r="O1135" s="1188">
        <f>VLOOKUP($I1135,'Price List, Weapons &amp; Items'!B:G,6,0)</f>
        <v>3.5</v>
      </c>
      <c r="P1135" s="1185" t="str">
        <f t="shared" si="236"/>
        <v>.</v>
      </c>
      <c r="Q1135" s="1185" t="str">
        <f t="shared" si="237"/>
        <v>.</v>
      </c>
      <c r="R1135" s="1185" t="str">
        <f t="shared" si="233"/>
        <v/>
      </c>
      <c r="S1135" s="1185" t="str">
        <f>IF(AND(AD1135=1,R1135&lt;&gt;".")=TRUE,R1135/VLOOKUP(G1135,'Exchange Rates'!B:C,2,0),IF(R1135=".",".",""))</f>
        <v/>
      </c>
      <c r="T1135" s="1185" t="str">
        <f>IF(AD1135=1,IF(AF1135="Value is not given at all",".",IF(AF1135="Value is given by the source",S1135,IF(AF1135="Value is calculated with prices",(IF(SUMIFS(Q:Q,A:A,A1135)&gt;0,SUMIFS(Q:Q,A:A,A1135),"."))/VLOOKUP("USD",'Exchange Rates'!B:C,2,0),"Error with coding"))),"")</f>
        <v/>
      </c>
      <c r="U1135" s="1184" t="s">
        <v>675</v>
      </c>
      <c r="V1135" s="971" t="s">
        <v>3088</v>
      </c>
      <c r="W1135" s="972" t="s">
        <v>3089</v>
      </c>
      <c r="X1135" s="1190" t="s">
        <v>364</v>
      </c>
      <c r="Y1135" s="1190" t="s">
        <v>364</v>
      </c>
      <c r="Z1135" s="1184">
        <v>0</v>
      </c>
      <c r="AA1135" s="1184">
        <v>0</v>
      </c>
      <c r="AB1135" s="1201" t="s">
        <v>364</v>
      </c>
      <c r="AC1135" s="1192" t="str">
        <f>""</f>
        <v/>
      </c>
      <c r="AD1135" s="985">
        <v>0</v>
      </c>
      <c r="AE1135" s="985" t="s">
        <v>436</v>
      </c>
      <c r="AF1135" s="985" t="s">
        <v>369</v>
      </c>
      <c r="AG1135" s="985">
        <v>1</v>
      </c>
      <c r="AH1135" s="1193">
        <v>12</v>
      </c>
      <c r="AI1135" s="1193">
        <v>0</v>
      </c>
      <c r="AJ1135" s="1193">
        <f>VLOOKUP($I1135,'Price List, Weapons &amp; Items'!B:F,5,0)</f>
        <v>0</v>
      </c>
      <c r="AK1135" s="1193">
        <f t="shared" si="238"/>
        <v>0</v>
      </c>
      <c r="AL1135" s="1193">
        <f t="shared" si="239"/>
        <v>0</v>
      </c>
      <c r="AM1135" s="1193">
        <f t="shared" si="240"/>
        <v>0</v>
      </c>
      <c r="AN1135" s="1194" t="str">
        <f>VLOOKUP($I1135,'Price List, Weapons &amp; Items'!B:L,COLUMN('Price List, Weapons &amp; Items'!$J$11)-1,0)</f>
        <v>Miscellaneous</v>
      </c>
      <c r="AO1135" s="1194" t="str">
        <f>IF(I1135=".",".",VLOOKUP($I1135,'Price List, Weapons &amp; Items'!B:J,3,0))</f>
        <v>Humanitarian</v>
      </c>
      <c r="AP1135" s="1195" t="str">
        <f t="shared" ca="1" si="234"/>
        <v/>
      </c>
      <c r="AQ1135" s="1194">
        <f>VLOOKUP($I1135,'Price List, Weapons &amp; Items'!B:L,COLUMN('Price List, Weapons &amp; Items'!$L$11)-1,0)</f>
        <v>0</v>
      </c>
      <c r="AR1135" s="1194">
        <f t="shared" si="241"/>
        <v>0</v>
      </c>
      <c r="AS1135" s="1194">
        <f t="shared" si="242"/>
        <v>0</v>
      </c>
      <c r="AT1135" s="1194">
        <f t="shared" si="243"/>
        <v>1</v>
      </c>
      <c r="AU1135" s="1194" t="str">
        <f t="shared" si="244"/>
        <v>.</v>
      </c>
      <c r="AV1135" s="1194" t="str">
        <f t="shared" si="235"/>
        <v>.</v>
      </c>
      <c r="AW1135" s="1194" t="str">
        <f t="shared" si="245"/>
        <v>.</v>
      </c>
      <c r="AX1135" s="1194">
        <f>IFERROR(VLOOKUP(B1135,'Share, Heavy Weapons to Ukraine'!B:Z,COLUMN('Share, Heavy Weapons to Ukraine'!C1145)-1,0),0)</f>
        <v>0</v>
      </c>
      <c r="AY1135" s="1194">
        <f>VLOOKUP('Bilateral Assistance, MAIN DATA'!B1135,'Country Summary (€)'!B:F,COLUMN('Country Summary (€)'!C1146)-1,FALSE)</f>
        <v>1</v>
      </c>
      <c r="AZ1135" s="1194" t="str">
        <f>IF(AND(AD1135=1,D1135="Military",H1135&lt;&gt;"Not given")=TRUE,IF(SUMIFS(P:P,A:A,A1135)&gt;0,ABS((SUMIFS(P:P,A:A,A1135)/VLOOKUP("USD",'Exchange Rates'!B:C,2,0)))/S1135,"."),".")</f>
        <v>.</v>
      </c>
      <c r="BA1135" s="1196" t="str">
        <f>IF(AND(AD1135=1,D1135="Military",H1135&lt;&gt;"Not given")=TRUE,IF(SUMIFS(P:P,A:A,A1135)&gt;0,IF((ABS((SUMIFS(P:P,A:A,A1135)/VLOOKUP("USD",'Exchange Rates'!B:C,2,0)))/S1135)&gt;1,(SUMIFS(P:P,A:A,A1135)-S1135)/S1135,(S1135-SUMIFS(P:P,A:A,A1135))/SUMIFS(P:P,A:A,A1135)),"."),".")</f>
        <v>.</v>
      </c>
    </row>
    <row r="1136" spans="1:53" ht="15.95" customHeight="1">
      <c r="A1136" s="1180" t="s">
        <v>3090</v>
      </c>
      <c r="B1136" s="1180" t="s">
        <v>3079</v>
      </c>
      <c r="C1136" s="1181">
        <v>44918</v>
      </c>
      <c r="D1136" s="1182" t="s">
        <v>360</v>
      </c>
      <c r="E1136" s="1182" t="s">
        <v>361</v>
      </c>
      <c r="F1136" s="1183" t="s">
        <v>3091</v>
      </c>
      <c r="G1136" s="1184" t="s">
        <v>483</v>
      </c>
      <c r="H1136" s="1185">
        <v>50000</v>
      </c>
      <c r="I1136" s="1190" t="s">
        <v>364</v>
      </c>
      <c r="J1136" s="1186" t="str">
        <f>VLOOKUP($I1136,'Price List, Weapons &amp; Items'!B:C,2,0)</f>
        <v>.</v>
      </c>
      <c r="K1136" s="1186" t="str">
        <f>IF(I1136=".",I1136,VLOOKUP($I1136,'Price List, Weapons &amp; Items'!B:D,3,0))</f>
        <v>.</v>
      </c>
      <c r="L1136" s="1187">
        <f>VLOOKUP(I1136,'Price List, Weapons &amp; Items'!B:E,4,0)</f>
        <v>0</v>
      </c>
      <c r="M1136" s="1188" t="s">
        <v>364</v>
      </c>
      <c r="N1136" s="1188" t="s">
        <v>364</v>
      </c>
      <c r="O1136" s="1188" t="str">
        <f>VLOOKUP($I1136,'Price List, Weapons &amp; Items'!B:G,6,0)</f>
        <v>.</v>
      </c>
      <c r="P1136" s="1185" t="str">
        <f t="shared" si="236"/>
        <v>.</v>
      </c>
      <c r="Q1136" s="1185" t="str">
        <f t="shared" si="237"/>
        <v>.</v>
      </c>
      <c r="R1136" s="1185">
        <f t="shared" si="233"/>
        <v>50000</v>
      </c>
      <c r="S1136" s="1185">
        <f>IF(AND(AD1136=1,R1136&lt;&gt;".")=TRUE,R1136/VLOOKUP(G1136,'Exchange Rates'!B:C,2,0),IF(R1136=".",".",""))</f>
        <v>50000</v>
      </c>
      <c r="T1136" s="1185" t="str">
        <f>IF(AD1136=1,IF(AF1136="Value is not given at all",".",IF(AF1136="Value is given by the source",S1136,IF(AF1136="Value is calculated with prices",(IF(SUMIFS(Q:Q,A:A,A1136)&gt;0,SUMIFS(Q:Q,A:A,A1136),"."))/VLOOKUP("USD",'Exchange Rates'!B:C,2,0),"Error with coding"))),"")</f>
        <v>.</v>
      </c>
      <c r="U1136" s="1184" t="s">
        <v>365</v>
      </c>
      <c r="V1136" s="973" t="s">
        <v>3092</v>
      </c>
      <c r="W1136" s="981" t="s">
        <v>364</v>
      </c>
      <c r="X1136" s="1190" t="s">
        <v>364</v>
      </c>
      <c r="Y1136" s="1190" t="s">
        <v>364</v>
      </c>
      <c r="Z1136" s="1184">
        <v>0</v>
      </c>
      <c r="AA1136" s="1184">
        <v>0</v>
      </c>
      <c r="AB1136" s="1201" t="s">
        <v>364</v>
      </c>
      <c r="AC1136" s="1192" t="str">
        <f>""</f>
        <v/>
      </c>
      <c r="AD1136" s="985">
        <v>1</v>
      </c>
      <c r="AE1136" s="985" t="s">
        <v>368</v>
      </c>
      <c r="AF1136" s="985" t="s">
        <v>369</v>
      </c>
      <c r="AG1136" s="985">
        <v>1</v>
      </c>
      <c r="AH1136" s="1193">
        <v>12</v>
      </c>
      <c r="AI1136" s="1193">
        <v>0</v>
      </c>
      <c r="AJ1136" s="1193">
        <f>VLOOKUP($I1136,'Price List, Weapons &amp; Items'!B:F,5,0)</f>
        <v>0</v>
      </c>
      <c r="AK1136" s="1193">
        <f t="shared" si="238"/>
        <v>0</v>
      </c>
      <c r="AL1136" s="1193">
        <f t="shared" si="239"/>
        <v>0</v>
      </c>
      <c r="AM1136" s="1193">
        <f t="shared" si="240"/>
        <v>0</v>
      </c>
      <c r="AN1136" s="1194" t="str">
        <f>VLOOKUP($I1136,'Price List, Weapons &amp; Items'!B:L,COLUMN('Price List, Weapons &amp; Items'!$J$11)-1,0)</f>
        <v>.</v>
      </c>
      <c r="AO1136" s="1194" t="str">
        <f>IF(I1136=".",".",VLOOKUP($I1136,'Price List, Weapons &amp; Items'!B:J,3,0))</f>
        <v>.</v>
      </c>
      <c r="AP1136" s="1195" t="str">
        <f t="shared" ca="1" si="234"/>
        <v>.</v>
      </c>
      <c r="AQ1136" s="1194">
        <f>VLOOKUP($I1136,'Price List, Weapons &amp; Items'!B:L,COLUMN('Price List, Weapons &amp; Items'!$L$11)-1,0)</f>
        <v>0</v>
      </c>
      <c r="AR1136" s="1194">
        <f t="shared" si="241"/>
        <v>1</v>
      </c>
      <c r="AS1136" s="1194">
        <f t="shared" si="242"/>
        <v>0</v>
      </c>
      <c r="AT1136" s="1194">
        <f t="shared" si="243"/>
        <v>1</v>
      </c>
      <c r="AU1136" s="1194" t="str">
        <f t="shared" si="244"/>
        <v>.</v>
      </c>
      <c r="AV1136" s="1194" t="str">
        <f t="shared" si="235"/>
        <v>.</v>
      </c>
      <c r="AW1136" s="1194" t="str">
        <f t="shared" si="245"/>
        <v>.</v>
      </c>
      <c r="AX1136" s="1194">
        <f>IFERROR(VLOOKUP(B1136,'Share, Heavy Weapons to Ukraine'!B:Z,COLUMN('Share, Heavy Weapons to Ukraine'!C1146)-1,0),0)</f>
        <v>0</v>
      </c>
      <c r="AY1136" s="1194">
        <f>VLOOKUP('Bilateral Assistance, MAIN DATA'!B1136,'Country Summary (€)'!B:F,COLUMN('Country Summary (€)'!C1147)-1,FALSE)</f>
        <v>1</v>
      </c>
      <c r="AZ1136" s="1194" t="str">
        <f>IF(AND(AD1136=1,D1136="Military",H1136&lt;&gt;"Not given")=TRUE,IF(SUMIFS(P:P,A:A,A1136)&gt;0,ABS((SUMIFS(P:P,A:A,A1136)/VLOOKUP("USD",'Exchange Rates'!B:C,2,0)))/S1136,"."),".")</f>
        <v>.</v>
      </c>
      <c r="BA1136" s="1196" t="str">
        <f>IF(AND(AD1136=1,D1136="Military",H1136&lt;&gt;"Not given")=TRUE,IF(SUMIFS(P:P,A:A,A1136)&gt;0,IF((ABS((SUMIFS(P:P,A:A,A1136)/VLOOKUP("USD",'Exchange Rates'!B:C,2,0)))/S1136)&gt;1,(SUMIFS(P:P,A:A,A1136)-S1136)/S1136,(S1136-SUMIFS(P:P,A:A,A1136))/SUMIFS(P:P,A:A,A1136)),"."),".")</f>
        <v>.</v>
      </c>
    </row>
    <row r="1137" spans="1:53" ht="15.95" customHeight="1">
      <c r="A1137" s="1182" t="s">
        <v>3093</v>
      </c>
      <c r="B1137" s="1182" t="s">
        <v>3079</v>
      </c>
      <c r="C1137" s="1181">
        <v>44618</v>
      </c>
      <c r="D1137" s="1182" t="s">
        <v>389</v>
      </c>
      <c r="E1137" s="1182" t="s">
        <v>398</v>
      </c>
      <c r="F1137" s="1183" t="s">
        <v>3094</v>
      </c>
      <c r="G1137" s="1184" t="s">
        <v>456</v>
      </c>
      <c r="H1137" s="1185" t="s">
        <v>457</v>
      </c>
      <c r="I1137" s="1180" t="s">
        <v>694</v>
      </c>
      <c r="J1137" s="1186" t="str">
        <f>VLOOKUP($I1137,'Price List, Weapons &amp; Items'!B:C,2,0)</f>
        <v>Military equipment</v>
      </c>
      <c r="K1137" s="1186" t="str">
        <f>IF(I1137=".",I1137,VLOOKUP($I1137,'Price List, Weapons &amp; Items'!B:D,3,0))</f>
        <v>Military equipment</v>
      </c>
      <c r="L1137" s="1187">
        <f>VLOOKUP(I1137,'Price List, Weapons &amp; Items'!B:E,4,0)</f>
        <v>0</v>
      </c>
      <c r="M1137" s="1188" t="s">
        <v>374</v>
      </c>
      <c r="N1137" s="1188" t="s">
        <v>374</v>
      </c>
      <c r="O1137" s="1188">
        <f>VLOOKUP($I1137,'Price List, Weapons &amp; Items'!B:G,6,0)</f>
        <v>500</v>
      </c>
      <c r="P1137" s="1185" t="str">
        <f t="shared" si="236"/>
        <v>.</v>
      </c>
      <c r="Q1137" s="1185" t="str">
        <f t="shared" si="237"/>
        <v>.</v>
      </c>
      <c r="R1137" s="1185" t="str">
        <f t="shared" si="233"/>
        <v>.</v>
      </c>
      <c r="S1137" s="1185" t="str">
        <f>IF(AND(AD1137=1,R1137&lt;&gt;".")=TRUE,R1137/VLOOKUP(G1137,'Exchange Rates'!B:C,2,0),IF(R1137=".",".",""))</f>
        <v>.</v>
      </c>
      <c r="T1137" s="1185" t="str">
        <f>IF(AD1137=1,IF(AF1137="Value is not given at all",".",IF(AF1137="Value is given by the source",S1137,IF(AF1137="Value is calculated with prices",(IF(SUMIFS(Q:Q,A:A,A1137)&gt;0,SUMIFS(Q:Q,A:A,A1137),"."))/VLOOKUP("USD",'Exchange Rates'!B:C,2,0),"Error with coding"))),"")</f>
        <v>.</v>
      </c>
      <c r="U1137" s="1293" t="s">
        <v>365</v>
      </c>
      <c r="V1137" s="974" t="s">
        <v>3095</v>
      </c>
      <c r="W1137" s="974" t="s">
        <v>3096</v>
      </c>
      <c r="X1137" s="1183" t="s">
        <v>364</v>
      </c>
      <c r="Y1137" s="1183" t="s">
        <v>364</v>
      </c>
      <c r="Z1137" s="1184">
        <v>0</v>
      </c>
      <c r="AA1137" s="1194">
        <v>0</v>
      </c>
      <c r="AB1137" s="977" t="s">
        <v>3097</v>
      </c>
      <c r="AC1137" s="1192" t="str">
        <f>""</f>
        <v/>
      </c>
      <c r="AD1137" s="985">
        <v>1</v>
      </c>
      <c r="AE1137" s="985" t="s">
        <v>369</v>
      </c>
      <c r="AF1137" s="985" t="s">
        <v>369</v>
      </c>
      <c r="AG1137" s="985">
        <v>1</v>
      </c>
      <c r="AH1137" s="985">
        <v>2</v>
      </c>
      <c r="AI1137" s="985">
        <v>0</v>
      </c>
      <c r="AJ1137" s="1193">
        <f>VLOOKUP($I1137,'Price List, Weapons &amp; Items'!B:F,5,0)</f>
        <v>0</v>
      </c>
      <c r="AK1137" s="1193">
        <f t="shared" si="238"/>
        <v>0</v>
      </c>
      <c r="AL1137" s="1193">
        <f t="shared" si="239"/>
        <v>0</v>
      </c>
      <c r="AM1137" s="1193">
        <f t="shared" si="240"/>
        <v>0</v>
      </c>
      <c r="AN1137" s="1194" t="str">
        <f>VLOOKUP($I1137,'Price List, Weapons &amp; Items'!B:L,COLUMN('Price List, Weapons &amp; Items'!$J$11)-1,0)</f>
        <v>Military media (incl. websites)</v>
      </c>
      <c r="AO1137" s="1194" t="str">
        <f>IF(I1137=".",".",VLOOKUP($I1137,'Price List, Weapons &amp; Items'!B:J,3,0))</f>
        <v>Military equipment</v>
      </c>
      <c r="AP1137" s="1195" t="str">
        <f t="shared" ca="1" si="234"/>
        <v>ballistic vest</v>
      </c>
      <c r="AQ1137" s="1194">
        <f>VLOOKUP($I1137,'Price List, Weapons &amp; Items'!B:L,COLUMN('Price List, Weapons &amp; Items'!$L$11)-1,0)</f>
        <v>2</v>
      </c>
      <c r="AR1137" s="1194">
        <f t="shared" si="241"/>
        <v>1</v>
      </c>
      <c r="AS1137" s="1194">
        <f t="shared" si="242"/>
        <v>1</v>
      </c>
      <c r="AT1137" s="1194">
        <f t="shared" si="243"/>
        <v>1</v>
      </c>
      <c r="AU1137" s="1194" t="str">
        <f t="shared" si="244"/>
        <v>.</v>
      </c>
      <c r="AV1137" s="1194" t="str">
        <f t="shared" si="235"/>
        <v>.</v>
      </c>
      <c r="AW1137" s="1194" t="str">
        <f t="shared" si="245"/>
        <v>.</v>
      </c>
      <c r="AX1137" s="1194">
        <f>IFERROR(VLOOKUP(B1137,'Share, Heavy Weapons to Ukraine'!B:Z,COLUMN('Share, Heavy Weapons to Ukraine'!C1147)-1,0),0)</f>
        <v>0</v>
      </c>
      <c r="AY1137" s="1194">
        <f>VLOOKUP('Bilateral Assistance, MAIN DATA'!B1137,'Country Summary (€)'!B:F,COLUMN('Country Summary (€)'!C1148)-1,FALSE)</f>
        <v>1</v>
      </c>
      <c r="AZ1137" s="1194" t="str">
        <f>IF(AND(AD1137=1,D1137="Military",H1137&lt;&gt;"Not given")=TRUE,IF(SUMIFS(P:P,A:A,A1137)&gt;0,ABS((SUMIFS(P:P,A:A,A1137)/VLOOKUP("USD",'Exchange Rates'!B:C,2,0)))/S1137,"."),".")</f>
        <v>.</v>
      </c>
      <c r="BA1137" s="1196" t="str">
        <f>IF(AND(AD1137=1,D1137="Military",H1137&lt;&gt;"Not given")=TRUE,IF(SUMIFS(P:P,A:A,A1137)&gt;0,IF((ABS((SUMIFS(P:P,A:A,A1137)/VLOOKUP("USD",'Exchange Rates'!B:C,2,0)))/S1137)&gt;1,(SUMIFS(P:P,A:A,A1137)-S1137)/S1137,(S1137-SUMIFS(P:P,A:A,A1137))/SUMIFS(P:P,A:A,A1137)),"."),".")</f>
        <v>.</v>
      </c>
    </row>
    <row r="1138" spans="1:53" ht="15.95" customHeight="1">
      <c r="A1138" s="1182" t="s">
        <v>3093</v>
      </c>
      <c r="B1138" s="1182" t="s">
        <v>3079</v>
      </c>
      <c r="C1138" s="1181">
        <v>44618</v>
      </c>
      <c r="D1138" s="1182" t="s">
        <v>389</v>
      </c>
      <c r="E1138" s="1182" t="s">
        <v>398</v>
      </c>
      <c r="F1138" s="1183" t="s">
        <v>3094</v>
      </c>
      <c r="G1138" s="1184" t="s">
        <v>456</v>
      </c>
      <c r="H1138" s="1185" t="s">
        <v>457</v>
      </c>
      <c r="I1138" s="1180" t="s">
        <v>594</v>
      </c>
      <c r="J1138" s="1186" t="str">
        <f>VLOOKUP($I1138,'Price List, Weapons &amp; Items'!B:C,2,0)</f>
        <v>Military equipment</v>
      </c>
      <c r="K1138" s="1186" t="str">
        <f>IF(I1138=".",I1138,VLOOKUP($I1138,'Price List, Weapons &amp; Items'!B:D,3,0))</f>
        <v>Military equipment</v>
      </c>
      <c r="L1138" s="1187">
        <f>VLOOKUP(I1138,'Price List, Weapons &amp; Items'!B:E,4,0)</f>
        <v>0</v>
      </c>
      <c r="M1138" s="1188" t="s">
        <v>374</v>
      </c>
      <c r="N1138" s="1188" t="s">
        <v>374</v>
      </c>
      <c r="O1138" s="1188">
        <f>VLOOKUP($I1138,'Price List, Weapons &amp; Items'!B:G,6,0)</f>
        <v>1400</v>
      </c>
      <c r="P1138" s="1185" t="str">
        <f t="shared" si="236"/>
        <v>.</v>
      </c>
      <c r="Q1138" s="1185" t="str">
        <f t="shared" si="237"/>
        <v>.</v>
      </c>
      <c r="R1138" s="1185" t="str">
        <f t="shared" si="233"/>
        <v/>
      </c>
      <c r="S1138" s="1185" t="str">
        <f>IF(AND(AD1138=1,R1138&lt;&gt;".")=TRUE,R1138/VLOOKUP(G1138,'Exchange Rates'!B:C,2,0),IF(R1138=".",".",""))</f>
        <v/>
      </c>
      <c r="T1138" s="1185" t="str">
        <f>IF(AD1138=1,IF(AF1138="Value is not given at all",".",IF(AF1138="Value is given by the source",S1138,IF(AF1138="Value is calculated with prices",(IF(SUMIFS(Q:Q,A:A,A1138)&gt;0,SUMIFS(Q:Q,A:A,A1138),"."))/VLOOKUP("USD",'Exchange Rates'!B:C,2,0),"Error with coding"))),"")</f>
        <v/>
      </c>
      <c r="U1138" s="1293" t="s">
        <v>365</v>
      </c>
      <c r="V1138" s="974" t="s">
        <v>3095</v>
      </c>
      <c r="W1138" s="974" t="s">
        <v>3096</v>
      </c>
      <c r="X1138" s="1183" t="s">
        <v>364</v>
      </c>
      <c r="Y1138" s="1183" t="s">
        <v>364</v>
      </c>
      <c r="Z1138" s="1184">
        <v>0</v>
      </c>
      <c r="AA1138" s="1194">
        <v>0</v>
      </c>
      <c r="AB1138" s="977" t="s">
        <v>3097</v>
      </c>
      <c r="AC1138" s="1192" t="str">
        <f>""</f>
        <v/>
      </c>
      <c r="AD1138" s="985">
        <v>0</v>
      </c>
      <c r="AE1138" s="985" t="s">
        <v>369</v>
      </c>
      <c r="AF1138" s="985" t="s">
        <v>369</v>
      </c>
      <c r="AG1138" s="985">
        <v>1</v>
      </c>
      <c r="AH1138" s="985">
        <v>2</v>
      </c>
      <c r="AI1138" s="985">
        <v>0</v>
      </c>
      <c r="AJ1138" s="1193">
        <f>VLOOKUP($I1138,'Price List, Weapons &amp; Items'!B:F,5,0)</f>
        <v>0</v>
      </c>
      <c r="AK1138" s="1193">
        <f t="shared" si="238"/>
        <v>0</v>
      </c>
      <c r="AL1138" s="1193">
        <f t="shared" si="239"/>
        <v>0</v>
      </c>
      <c r="AM1138" s="1193">
        <f t="shared" si="240"/>
        <v>0</v>
      </c>
      <c r="AN1138" s="1194" t="str">
        <f>VLOOKUP($I1138,'Price List, Weapons &amp; Items'!B:L,COLUMN('Price List, Weapons &amp; Items'!$J$11)-1,0)</f>
        <v>Military media (incl. websites)</v>
      </c>
      <c r="AO1138" s="1194" t="str">
        <f>IF(I1138=".",".",VLOOKUP($I1138,'Price List, Weapons &amp; Items'!B:J,3,0))</f>
        <v>Military equipment</v>
      </c>
      <c r="AP1138" s="1195" t="str">
        <f t="shared" ca="1" si="234"/>
        <v/>
      </c>
      <c r="AQ1138" s="1194">
        <f>VLOOKUP($I1138,'Price List, Weapons &amp; Items'!B:L,COLUMN('Price List, Weapons &amp; Items'!$L$11)-1,0)</f>
        <v>2</v>
      </c>
      <c r="AR1138" s="1194">
        <f t="shared" si="241"/>
        <v>1</v>
      </c>
      <c r="AS1138" s="1194">
        <f t="shared" si="242"/>
        <v>1</v>
      </c>
      <c r="AT1138" s="1194">
        <f t="shared" si="243"/>
        <v>1</v>
      </c>
      <c r="AU1138" s="1194" t="str">
        <f t="shared" si="244"/>
        <v>.</v>
      </c>
      <c r="AV1138" s="1194" t="str">
        <f t="shared" si="235"/>
        <v>.</v>
      </c>
      <c r="AW1138" s="1194" t="str">
        <f t="shared" si="245"/>
        <v>.</v>
      </c>
      <c r="AX1138" s="1194">
        <f>IFERROR(VLOOKUP(B1138,'Share, Heavy Weapons to Ukraine'!B:Z,COLUMN('Share, Heavy Weapons to Ukraine'!C1148)-1,0),0)</f>
        <v>0</v>
      </c>
      <c r="AY1138" s="1194">
        <f>VLOOKUP('Bilateral Assistance, MAIN DATA'!B1138,'Country Summary (€)'!B:F,COLUMN('Country Summary (€)'!C1149)-1,FALSE)</f>
        <v>1</v>
      </c>
      <c r="AZ1138" s="1194" t="str">
        <f>IF(AND(AD1138=1,D1138="Military",H1138&lt;&gt;"Not given")=TRUE,IF(SUMIFS(P:P,A:A,A1138)&gt;0,ABS((SUMIFS(P:P,A:A,A1138)/VLOOKUP("USD",'Exchange Rates'!B:C,2,0)))/S1138,"."),".")</f>
        <v>.</v>
      </c>
      <c r="BA1138" s="1196" t="str">
        <f>IF(AND(AD1138=1,D1138="Military",H1138&lt;&gt;"Not given")=TRUE,IF(SUMIFS(P:P,A:A,A1138)&gt;0,IF((ABS((SUMIFS(P:P,A:A,A1138)/VLOOKUP("USD",'Exchange Rates'!B:C,2,0)))/S1138)&gt;1,(SUMIFS(P:P,A:A,A1138)-S1138)/S1138,(S1138-SUMIFS(P:P,A:A,A1138))/SUMIFS(P:P,A:A,A1138)),"."),".")</f>
        <v>.</v>
      </c>
    </row>
    <row r="1139" spans="1:53" ht="15.95" customHeight="1">
      <c r="A1139" s="1182" t="s">
        <v>3093</v>
      </c>
      <c r="B1139" s="1182" t="s">
        <v>3079</v>
      </c>
      <c r="C1139" s="1181">
        <v>44618</v>
      </c>
      <c r="D1139" s="1182" t="s">
        <v>389</v>
      </c>
      <c r="E1139" s="1182" t="s">
        <v>398</v>
      </c>
      <c r="F1139" s="1183" t="s">
        <v>3094</v>
      </c>
      <c r="G1139" s="1184" t="s">
        <v>456</v>
      </c>
      <c r="H1139" s="1185" t="s">
        <v>457</v>
      </c>
      <c r="I1139" s="1180" t="s">
        <v>605</v>
      </c>
      <c r="J1139" s="1186" t="str">
        <f>VLOOKUP($I1139,'Price List, Weapons &amp; Items'!B:C,2,0)</f>
        <v>Military equipment</v>
      </c>
      <c r="K1139" s="1186" t="str">
        <f>IF(I1139=".",I1139,VLOOKUP($I1139,'Price List, Weapons &amp; Items'!B:D,3,0))</f>
        <v>Military equipment</v>
      </c>
      <c r="L1139" s="1187">
        <f>VLOOKUP(I1139,'Price List, Weapons &amp; Items'!B:E,4,0)</f>
        <v>0</v>
      </c>
      <c r="M1139" s="1188" t="s">
        <v>374</v>
      </c>
      <c r="N1139" s="1188" t="s">
        <v>374</v>
      </c>
      <c r="O1139" s="1188">
        <f>VLOOKUP($I1139,'Price List, Weapons &amp; Items'!B:G,6,0)</f>
        <v>2320</v>
      </c>
      <c r="P1139" s="1185" t="str">
        <f t="shared" si="236"/>
        <v>.</v>
      </c>
      <c r="Q1139" s="1185" t="str">
        <f t="shared" si="237"/>
        <v>.</v>
      </c>
      <c r="R1139" s="1185" t="str">
        <f t="shared" si="233"/>
        <v/>
      </c>
      <c r="S1139" s="1185" t="str">
        <f>IF(AND(AD1139=1,R1139&lt;&gt;".")=TRUE,R1139/VLOOKUP(G1139,'Exchange Rates'!B:C,2,0),IF(R1139=".",".",""))</f>
        <v/>
      </c>
      <c r="T1139" s="1185" t="str">
        <f>IF(AD1139=1,IF(AF1139="Value is not given at all",".",IF(AF1139="Value is given by the source",S1139,IF(AF1139="Value is calculated with prices",(IF(SUMIFS(Q:Q,A:A,A1139)&gt;0,SUMIFS(Q:Q,A:A,A1139),"."))/VLOOKUP("USD",'Exchange Rates'!B:C,2,0),"Error with coding"))),"")</f>
        <v/>
      </c>
      <c r="U1139" s="1293" t="s">
        <v>365</v>
      </c>
      <c r="V1139" s="974" t="s">
        <v>3095</v>
      </c>
      <c r="W1139" s="974" t="s">
        <v>3096</v>
      </c>
      <c r="X1139" s="1183" t="s">
        <v>364</v>
      </c>
      <c r="Y1139" s="1183" t="s">
        <v>364</v>
      </c>
      <c r="Z1139" s="1184">
        <v>0</v>
      </c>
      <c r="AA1139" s="1194">
        <v>0</v>
      </c>
      <c r="AB1139" s="977" t="s">
        <v>3097</v>
      </c>
      <c r="AC1139" s="1192" t="str">
        <f>""</f>
        <v/>
      </c>
      <c r="AD1139" s="985">
        <v>0</v>
      </c>
      <c r="AE1139" s="985" t="s">
        <v>369</v>
      </c>
      <c r="AF1139" s="985" t="s">
        <v>369</v>
      </c>
      <c r="AG1139" s="985">
        <v>1</v>
      </c>
      <c r="AH1139" s="985">
        <v>2</v>
      </c>
      <c r="AI1139" s="985">
        <v>0</v>
      </c>
      <c r="AJ1139" s="1193">
        <f>VLOOKUP($I1139,'Price List, Weapons &amp; Items'!B:F,5,0)</f>
        <v>0</v>
      </c>
      <c r="AK1139" s="1193">
        <f t="shared" si="238"/>
        <v>0</v>
      </c>
      <c r="AL1139" s="1193">
        <f t="shared" si="239"/>
        <v>0</v>
      </c>
      <c r="AM1139" s="1193">
        <f t="shared" si="240"/>
        <v>0</v>
      </c>
      <c r="AN1139" s="1194" t="str">
        <f>VLOOKUP($I1139,'Price List, Weapons &amp; Items'!B:L,COLUMN('Price List, Weapons &amp; Items'!$J$11)-1,0)</f>
        <v>Media reports (incl. social media)</v>
      </c>
      <c r="AO1139" s="1194" t="str">
        <f>IF(I1139=".",".",VLOOKUP($I1139,'Price List, Weapons &amp; Items'!B:J,3,0))</f>
        <v>Military equipment</v>
      </c>
      <c r="AP1139" s="1195" t="str">
        <f t="shared" ca="1" si="234"/>
        <v/>
      </c>
      <c r="AQ1139" s="1194">
        <f>VLOOKUP($I1139,'Price List, Weapons &amp; Items'!B:L,COLUMN('Price List, Weapons &amp; Items'!$L$11)-1,0)</f>
        <v>2</v>
      </c>
      <c r="AR1139" s="1194">
        <f t="shared" si="241"/>
        <v>1</v>
      </c>
      <c r="AS1139" s="1194">
        <f t="shared" si="242"/>
        <v>1</v>
      </c>
      <c r="AT1139" s="1194">
        <f t="shared" si="243"/>
        <v>1</v>
      </c>
      <c r="AU1139" s="1194" t="str">
        <f t="shared" si="244"/>
        <v>.</v>
      </c>
      <c r="AV1139" s="1194" t="str">
        <f t="shared" si="235"/>
        <v>.</v>
      </c>
      <c r="AW1139" s="1194" t="str">
        <f t="shared" si="245"/>
        <v>.</v>
      </c>
      <c r="AX1139" s="1194">
        <f>IFERROR(VLOOKUP(B1139,'Share, Heavy Weapons to Ukraine'!B:Z,COLUMN('Share, Heavy Weapons to Ukraine'!C1149)-1,0),0)</f>
        <v>0</v>
      </c>
      <c r="AY1139" s="1194">
        <f>VLOOKUP('Bilateral Assistance, MAIN DATA'!B1139,'Country Summary (€)'!B:F,COLUMN('Country Summary (€)'!C1150)-1,FALSE)</f>
        <v>1</v>
      </c>
      <c r="AZ1139" s="1194" t="str">
        <f>IF(AND(AD1139=1,D1139="Military",H1139&lt;&gt;"Not given")=TRUE,IF(SUMIFS(P:P,A:A,A1139)&gt;0,ABS((SUMIFS(P:P,A:A,A1139)/VLOOKUP("USD",'Exchange Rates'!B:C,2,0)))/S1139,"."),".")</f>
        <v>.</v>
      </c>
      <c r="BA1139" s="1196" t="str">
        <f>IF(AND(AD1139=1,D1139="Military",H1139&lt;&gt;"Not given")=TRUE,IF(SUMIFS(P:P,A:A,A1139)&gt;0,IF((ABS((SUMIFS(P:P,A:A,A1139)/VLOOKUP("USD",'Exchange Rates'!B:C,2,0)))/S1139)&gt;1,(SUMIFS(P:P,A:A,A1139)-S1139)/S1139,(S1139-SUMIFS(P:P,A:A,A1139))/SUMIFS(P:P,A:A,A1139)),"."),".")</f>
        <v>.</v>
      </c>
    </row>
    <row r="1140" spans="1:53" ht="15.95" customHeight="1">
      <c r="A1140" s="1182" t="s">
        <v>3093</v>
      </c>
      <c r="B1140" s="1182" t="s">
        <v>3079</v>
      </c>
      <c r="C1140" s="1181">
        <v>44618</v>
      </c>
      <c r="D1140" s="1182" t="s">
        <v>389</v>
      </c>
      <c r="E1140" s="1182" t="s">
        <v>398</v>
      </c>
      <c r="F1140" s="1183" t="s">
        <v>3094</v>
      </c>
      <c r="G1140" s="1184" t="s">
        <v>456</v>
      </c>
      <c r="H1140" s="1185" t="s">
        <v>457</v>
      </c>
      <c r="I1140" s="1180" t="s">
        <v>622</v>
      </c>
      <c r="J1140" s="1186" t="str">
        <f>VLOOKUP($I1140,'Price List, Weapons &amp; Items'!B:C,2,0)</f>
        <v>Light armaments &amp; infantry</v>
      </c>
      <c r="K1140" s="1186" t="str">
        <f>IF(I1140=".",I1140,VLOOKUP($I1140,'Price List, Weapons &amp; Items'!B:D,3,0))</f>
        <v>Explosive</v>
      </c>
      <c r="L1140" s="1187">
        <f>VLOOKUP(I1140,'Price List, Weapons &amp; Items'!B:E,4,0)</f>
        <v>0</v>
      </c>
      <c r="M1140" s="1188" t="s">
        <v>374</v>
      </c>
      <c r="N1140" s="1188" t="s">
        <v>374</v>
      </c>
      <c r="O1140" s="1188">
        <f>VLOOKUP($I1140,'Price List, Weapons &amp; Items'!B:G,6,0)</f>
        <v>45</v>
      </c>
      <c r="P1140" s="1185" t="str">
        <f t="shared" si="236"/>
        <v>.</v>
      </c>
      <c r="Q1140" s="1185" t="str">
        <f t="shared" si="237"/>
        <v>.</v>
      </c>
      <c r="R1140" s="1185" t="str">
        <f t="shared" si="233"/>
        <v/>
      </c>
      <c r="S1140" s="1185" t="str">
        <f>IF(AND(AD1140=1,R1140&lt;&gt;".")=TRUE,R1140/VLOOKUP(G1140,'Exchange Rates'!B:C,2,0),IF(R1140=".",".",""))</f>
        <v/>
      </c>
      <c r="T1140" s="1185" t="str">
        <f>IF(AD1140=1,IF(AF1140="Value is not given at all",".",IF(AF1140="Value is given by the source",S1140,IF(AF1140="Value is calculated with prices",(IF(SUMIFS(Q:Q,A:A,A1140)&gt;0,SUMIFS(Q:Q,A:A,A1140),"."))/VLOOKUP("USD",'Exchange Rates'!B:C,2,0),"Error with coding"))),"")</f>
        <v/>
      </c>
      <c r="U1140" s="1293" t="s">
        <v>365</v>
      </c>
      <c r="V1140" s="974" t="s">
        <v>3095</v>
      </c>
      <c r="W1140" s="974" t="s">
        <v>3096</v>
      </c>
      <c r="X1140" s="1183" t="s">
        <v>364</v>
      </c>
      <c r="Y1140" s="1183" t="s">
        <v>364</v>
      </c>
      <c r="Z1140" s="1184">
        <v>0</v>
      </c>
      <c r="AA1140" s="1194">
        <v>0</v>
      </c>
      <c r="AB1140" s="977" t="s">
        <v>3097</v>
      </c>
      <c r="AC1140" s="1192" t="str">
        <f>""</f>
        <v/>
      </c>
      <c r="AD1140" s="985">
        <v>0</v>
      </c>
      <c r="AE1140" s="985" t="s">
        <v>369</v>
      </c>
      <c r="AF1140" s="985" t="s">
        <v>369</v>
      </c>
      <c r="AG1140" s="985">
        <v>1</v>
      </c>
      <c r="AH1140" s="985">
        <v>2</v>
      </c>
      <c r="AI1140" s="985">
        <v>0</v>
      </c>
      <c r="AJ1140" s="1193">
        <f>VLOOKUP($I1140,'Price List, Weapons &amp; Items'!B:F,5,0)</f>
        <v>0</v>
      </c>
      <c r="AK1140" s="1193">
        <f t="shared" si="238"/>
        <v>0</v>
      </c>
      <c r="AL1140" s="1193">
        <f t="shared" si="239"/>
        <v>0</v>
      </c>
      <c r="AM1140" s="1193">
        <f t="shared" si="240"/>
        <v>0</v>
      </c>
      <c r="AN1140" s="1194" t="str">
        <f>VLOOKUP($I1140,'Price List, Weapons &amp; Items'!B:L,COLUMN('Price List, Weapons &amp; Items'!$J$11)-1,0)</f>
        <v>Miscellaneous</v>
      </c>
      <c r="AO1140" s="1194" t="str">
        <f>IF(I1140=".",".",VLOOKUP($I1140,'Price List, Weapons &amp; Items'!B:J,3,0))</f>
        <v>Explosive</v>
      </c>
      <c r="AP1140" s="1195" t="str">
        <f t="shared" ca="1" si="234"/>
        <v/>
      </c>
      <c r="AQ1140" s="1194">
        <f>VLOOKUP($I1140,'Price List, Weapons &amp; Items'!B:L,COLUMN('Price List, Weapons &amp; Items'!$L$11)-1,0)</f>
        <v>2</v>
      </c>
      <c r="AR1140" s="1194">
        <f t="shared" si="241"/>
        <v>1</v>
      </c>
      <c r="AS1140" s="1194">
        <f t="shared" si="242"/>
        <v>1</v>
      </c>
      <c r="AT1140" s="1194">
        <f t="shared" si="243"/>
        <v>1</v>
      </c>
      <c r="AU1140" s="1194" t="str">
        <f t="shared" si="244"/>
        <v>.</v>
      </c>
      <c r="AV1140" s="1194" t="str">
        <f t="shared" si="235"/>
        <v>.</v>
      </c>
      <c r="AW1140" s="1194" t="str">
        <f t="shared" si="245"/>
        <v>.</v>
      </c>
      <c r="AX1140" s="1194">
        <f>IFERROR(VLOOKUP(B1140,'Share, Heavy Weapons to Ukraine'!B:Z,COLUMN('Share, Heavy Weapons to Ukraine'!C1150)-1,0),0)</f>
        <v>0</v>
      </c>
      <c r="AY1140" s="1194">
        <f>VLOOKUP('Bilateral Assistance, MAIN DATA'!B1140,'Country Summary (€)'!B:F,COLUMN('Country Summary (€)'!C1151)-1,FALSE)</f>
        <v>1</v>
      </c>
      <c r="AZ1140" s="1194" t="str">
        <f>IF(AND(AD1140=1,D1140="Military",H1140&lt;&gt;"Not given")=TRUE,IF(SUMIFS(P:P,A:A,A1140)&gt;0,ABS((SUMIFS(P:P,A:A,A1140)/VLOOKUP("USD",'Exchange Rates'!B:C,2,0)))/S1140,"."),".")</f>
        <v>.</v>
      </c>
      <c r="BA1140" s="1196" t="str">
        <f>IF(AND(AD1140=1,D1140="Military",H1140&lt;&gt;"Not given")=TRUE,IF(SUMIFS(P:P,A:A,A1140)&gt;0,IF((ABS((SUMIFS(P:P,A:A,A1140)/VLOOKUP("USD",'Exchange Rates'!B:C,2,0)))/S1140)&gt;1,(SUMIFS(P:P,A:A,A1140)-S1140)/S1140,(S1140-SUMIFS(P:P,A:A,A1140))/SUMIFS(P:P,A:A,A1140)),"."),".")</f>
        <v>.</v>
      </c>
    </row>
    <row r="1141" spans="1:53" ht="15.95" customHeight="1">
      <c r="A1141" s="1182" t="s">
        <v>3093</v>
      </c>
      <c r="B1141" s="1182" t="s">
        <v>3079</v>
      </c>
      <c r="C1141" s="1181">
        <v>44618</v>
      </c>
      <c r="D1141" s="1182" t="s">
        <v>389</v>
      </c>
      <c r="E1141" s="1182" t="s">
        <v>398</v>
      </c>
      <c r="F1141" s="1183" t="s">
        <v>3094</v>
      </c>
      <c r="G1141" s="1184" t="s">
        <v>456</v>
      </c>
      <c r="H1141" s="1185" t="s">
        <v>457</v>
      </c>
      <c r="I1141" s="1180" t="s">
        <v>3098</v>
      </c>
      <c r="J1141" s="1186" t="str">
        <f>VLOOKUP($I1141,'Price List, Weapons &amp; Items'!B:C,2,0)</f>
        <v>Ammunition for light infantry</v>
      </c>
      <c r="K1141" s="1186" t="str">
        <f>IF(I1141=".",I1141,VLOOKUP($I1141,'Price List, Weapons &amp; Items'!B:D,3,0))</f>
        <v>Small Arms and Light Weapons (SALW) ammunition</v>
      </c>
      <c r="L1141" s="1187">
        <f>VLOOKUP(I1141,'Price List, Weapons &amp; Items'!B:E,4,0)</f>
        <v>0</v>
      </c>
      <c r="M1141" s="1188" t="s">
        <v>374</v>
      </c>
      <c r="N1141" s="1188" t="s">
        <v>374</v>
      </c>
      <c r="O1141" s="1188">
        <f>VLOOKUP($I1141,'Price List, Weapons &amp; Items'!B:G,6,0)</f>
        <v>0.85</v>
      </c>
      <c r="P1141" s="1185" t="str">
        <f t="shared" si="236"/>
        <v>.</v>
      </c>
      <c r="Q1141" s="1185" t="str">
        <f t="shared" si="237"/>
        <v>.</v>
      </c>
      <c r="R1141" s="1185" t="str">
        <f t="shared" si="233"/>
        <v/>
      </c>
      <c r="S1141" s="1185" t="str">
        <f>IF(AND(AD1141=1,R1141&lt;&gt;".")=TRUE,R1141/VLOOKUP(G1141,'Exchange Rates'!B:C,2,0),IF(R1141=".",".",""))</f>
        <v/>
      </c>
      <c r="T1141" s="1185" t="str">
        <f>IF(AD1141=1,IF(AF1141="Value is not given at all",".",IF(AF1141="Value is given by the source",S1141,IF(AF1141="Value is calculated with prices",(IF(SUMIFS(Q:Q,A:A,A1141)&gt;0,SUMIFS(Q:Q,A:A,A1141),"."))/VLOOKUP("USD",'Exchange Rates'!B:C,2,0),"Error with coding"))),"")</f>
        <v/>
      </c>
      <c r="U1141" s="1293" t="s">
        <v>365</v>
      </c>
      <c r="V1141" s="974" t="s">
        <v>3095</v>
      </c>
      <c r="W1141" s="974" t="s">
        <v>3096</v>
      </c>
      <c r="X1141" s="1183" t="s">
        <v>364</v>
      </c>
      <c r="Y1141" s="1183" t="s">
        <v>364</v>
      </c>
      <c r="Z1141" s="1184">
        <v>0</v>
      </c>
      <c r="AA1141" s="1194">
        <v>0</v>
      </c>
      <c r="AB1141" s="977" t="s">
        <v>3097</v>
      </c>
      <c r="AC1141" s="1192" t="str">
        <f>""</f>
        <v/>
      </c>
      <c r="AD1141" s="985">
        <v>0</v>
      </c>
      <c r="AE1141" s="985" t="s">
        <v>369</v>
      </c>
      <c r="AF1141" s="985" t="s">
        <v>369</v>
      </c>
      <c r="AG1141" s="985">
        <v>1</v>
      </c>
      <c r="AH1141" s="985">
        <v>2</v>
      </c>
      <c r="AI1141" s="985">
        <v>0</v>
      </c>
      <c r="AJ1141" s="1193">
        <f>VLOOKUP($I1141,'Price List, Weapons &amp; Items'!B:F,5,0)</f>
        <v>0</v>
      </c>
      <c r="AK1141" s="1193">
        <f t="shared" si="238"/>
        <v>0</v>
      </c>
      <c r="AL1141" s="1193">
        <f t="shared" si="239"/>
        <v>0</v>
      </c>
      <c r="AM1141" s="1193">
        <f t="shared" si="240"/>
        <v>0</v>
      </c>
      <c r="AN1141" s="1194" t="str">
        <f>VLOOKUP($I1141,'Price List, Weapons &amp; Items'!B:L,COLUMN('Price List, Weapons &amp; Items'!$J$11)-1,0)</f>
        <v>Online marketplaces and stores</v>
      </c>
      <c r="AO1141" s="1194" t="str">
        <f>IF(I1141=".",".",VLOOKUP($I1141,'Price List, Weapons &amp; Items'!B:J,3,0))</f>
        <v>Small Arms and Light Weapons (SALW) ammunition</v>
      </c>
      <c r="AP1141" s="1195" t="str">
        <f t="shared" ca="1" si="234"/>
        <v/>
      </c>
      <c r="AQ1141" s="1194">
        <f>VLOOKUP($I1141,'Price List, Weapons &amp; Items'!B:L,COLUMN('Price List, Weapons &amp; Items'!$L$11)-1,0)</f>
        <v>1</v>
      </c>
      <c r="AR1141" s="1194">
        <f t="shared" si="241"/>
        <v>1</v>
      </c>
      <c r="AS1141" s="1194">
        <f t="shared" si="242"/>
        <v>1</v>
      </c>
      <c r="AT1141" s="1194">
        <f t="shared" si="243"/>
        <v>1</v>
      </c>
      <c r="AU1141" s="1194" t="str">
        <f t="shared" si="244"/>
        <v>.</v>
      </c>
      <c r="AV1141" s="1194" t="str">
        <f t="shared" si="235"/>
        <v>.</v>
      </c>
      <c r="AW1141" s="1194" t="str">
        <f t="shared" si="245"/>
        <v>.</v>
      </c>
      <c r="AX1141" s="1194">
        <f>IFERROR(VLOOKUP(B1141,'Share, Heavy Weapons to Ukraine'!B:Z,COLUMN('Share, Heavy Weapons to Ukraine'!C1151)-1,0),0)</f>
        <v>0</v>
      </c>
      <c r="AY1141" s="1194">
        <f>VLOOKUP('Bilateral Assistance, MAIN DATA'!B1141,'Country Summary (€)'!B:F,COLUMN('Country Summary (€)'!C1152)-1,FALSE)</f>
        <v>1</v>
      </c>
      <c r="AZ1141" s="1194" t="str">
        <f>IF(AND(AD1141=1,D1141="Military",H1141&lt;&gt;"Not given")=TRUE,IF(SUMIFS(P:P,A:A,A1141)&gt;0,ABS((SUMIFS(P:P,A:A,A1141)/VLOOKUP("USD",'Exchange Rates'!B:C,2,0)))/S1141,"."),".")</f>
        <v>.</v>
      </c>
      <c r="BA1141" s="1196" t="str">
        <f>IF(AND(AD1141=1,D1141="Military",H1141&lt;&gt;"Not given")=TRUE,IF(SUMIFS(P:P,A:A,A1141)&gt;0,IF((ABS((SUMIFS(P:P,A:A,A1141)/VLOOKUP("USD",'Exchange Rates'!B:C,2,0)))/S1141)&gt;1,(SUMIFS(P:P,A:A,A1141)-S1141)/S1141,(S1141-SUMIFS(P:P,A:A,A1141))/SUMIFS(P:P,A:A,A1141)),"."),".")</f>
        <v>.</v>
      </c>
    </row>
    <row r="1142" spans="1:53" ht="15.95" customHeight="1">
      <c r="A1142" s="1182" t="s">
        <v>3093</v>
      </c>
      <c r="B1142" s="1182" t="s">
        <v>3079</v>
      </c>
      <c r="C1142" s="1181">
        <v>44618</v>
      </c>
      <c r="D1142" s="1182" t="s">
        <v>389</v>
      </c>
      <c r="E1142" s="1182" t="s">
        <v>398</v>
      </c>
      <c r="F1142" s="1183" t="s">
        <v>3094</v>
      </c>
      <c r="G1142" s="1184" t="s">
        <v>456</v>
      </c>
      <c r="H1142" s="1185" t="s">
        <v>457</v>
      </c>
      <c r="I1142" s="1180" t="s">
        <v>3099</v>
      </c>
      <c r="J1142" s="1186" t="str">
        <f>VLOOKUP($I1142,'Price List, Weapons &amp; Items'!B:C,2,0)</f>
        <v>Military equipment</v>
      </c>
      <c r="K1142" s="1186" t="str">
        <f>IF(I1142=".",I1142,VLOOKUP($I1142,'Price List, Weapons &amp; Items'!B:D,3,0))</f>
        <v>Military equipment</v>
      </c>
      <c r="L1142" s="1187">
        <f>VLOOKUP(I1142,'Price List, Weapons &amp; Items'!B:E,4,0)</f>
        <v>0</v>
      </c>
      <c r="M1142" s="1188" t="s">
        <v>374</v>
      </c>
      <c r="N1142" s="1188" t="s">
        <v>374</v>
      </c>
      <c r="O1142" s="1188">
        <f>VLOOKUP($I1142,'Price List, Weapons &amp; Items'!B:G,6,0)</f>
        <v>40</v>
      </c>
      <c r="P1142" s="1185" t="str">
        <f t="shared" si="236"/>
        <v>.</v>
      </c>
      <c r="Q1142" s="1185" t="str">
        <f t="shared" si="237"/>
        <v>.</v>
      </c>
      <c r="R1142" s="1185" t="str">
        <f t="shared" si="233"/>
        <v/>
      </c>
      <c r="S1142" s="1185" t="str">
        <f>IF(AND(AD1142=1,R1142&lt;&gt;".")=TRUE,R1142/VLOOKUP(G1142,'Exchange Rates'!B:C,2,0),IF(R1142=".",".",""))</f>
        <v/>
      </c>
      <c r="T1142" s="1185" t="str">
        <f>IF(AD1142=1,IF(AF1142="Value is not given at all",".",IF(AF1142="Value is given by the source",S1142,IF(AF1142="Value is calculated with prices",(IF(SUMIFS(Q:Q,A:A,A1142)&gt;0,SUMIFS(Q:Q,A:A,A1142),"."))/VLOOKUP("USD",'Exchange Rates'!B:C,2,0),"Error with coding"))),"")</f>
        <v/>
      </c>
      <c r="U1142" s="1293" t="s">
        <v>365</v>
      </c>
      <c r="V1142" s="974" t="s">
        <v>3095</v>
      </c>
      <c r="W1142" s="974" t="s">
        <v>3096</v>
      </c>
      <c r="X1142" s="1294" t="s">
        <v>364</v>
      </c>
      <c r="Y1142" s="1183" t="s">
        <v>364</v>
      </c>
      <c r="Z1142" s="1184">
        <v>0</v>
      </c>
      <c r="AA1142" s="1194">
        <v>0</v>
      </c>
      <c r="AB1142" s="977" t="s">
        <v>3097</v>
      </c>
      <c r="AC1142" s="1192" t="str">
        <f>""</f>
        <v/>
      </c>
      <c r="AD1142" s="985">
        <v>0</v>
      </c>
      <c r="AE1142" s="985" t="s">
        <v>369</v>
      </c>
      <c r="AF1142" s="985" t="s">
        <v>369</v>
      </c>
      <c r="AG1142" s="985">
        <v>1</v>
      </c>
      <c r="AH1142" s="985">
        <v>2</v>
      </c>
      <c r="AI1142" s="985">
        <v>0</v>
      </c>
      <c r="AJ1142" s="1193">
        <f>VLOOKUP($I1142,'Price List, Weapons &amp; Items'!B:F,5,0)</f>
        <v>0</v>
      </c>
      <c r="AK1142" s="1193">
        <f t="shared" si="238"/>
        <v>0</v>
      </c>
      <c r="AL1142" s="1193">
        <f t="shared" si="239"/>
        <v>0</v>
      </c>
      <c r="AM1142" s="1193">
        <f t="shared" si="240"/>
        <v>0</v>
      </c>
      <c r="AN1142" s="1194" t="str">
        <f>VLOOKUP($I1142,'Price List, Weapons &amp; Items'!B:L,COLUMN('Price List, Weapons &amp; Items'!$J$11)-1,0)</f>
        <v>Online marketplaces and stores</v>
      </c>
      <c r="AO1142" s="1194" t="str">
        <f>IF(I1142=".",".",VLOOKUP($I1142,'Price List, Weapons &amp; Items'!B:J,3,0))</f>
        <v>Military equipment</v>
      </c>
      <c r="AP1142" s="1195" t="str">
        <f t="shared" ca="1" si="234"/>
        <v/>
      </c>
      <c r="AQ1142" s="1194" t="str">
        <f>VLOOKUP($I1142,'Price List, Weapons &amp; Items'!B:L,COLUMN('Price List, Weapons &amp; Items'!$L$11)-1,0)</f>
        <v>no price, 0 count</v>
      </c>
      <c r="AR1142" s="1194">
        <f t="shared" si="241"/>
        <v>1</v>
      </c>
      <c r="AS1142" s="1194">
        <f t="shared" si="242"/>
        <v>1</v>
      </c>
      <c r="AT1142" s="1194">
        <f t="shared" si="243"/>
        <v>1</v>
      </c>
      <c r="AU1142" s="1194" t="str">
        <f t="shared" si="244"/>
        <v>.</v>
      </c>
      <c r="AV1142" s="1194" t="str">
        <f t="shared" si="235"/>
        <v>.</v>
      </c>
      <c r="AW1142" s="1194" t="str">
        <f t="shared" si="245"/>
        <v>.</v>
      </c>
      <c r="AX1142" s="1194">
        <f>IFERROR(VLOOKUP(B1142,'Share, Heavy Weapons to Ukraine'!B:Z,COLUMN('Share, Heavy Weapons to Ukraine'!C1152)-1,0),0)</f>
        <v>0</v>
      </c>
      <c r="AY1142" s="1194">
        <f>VLOOKUP('Bilateral Assistance, MAIN DATA'!B1142,'Country Summary (€)'!B:F,COLUMN('Country Summary (€)'!C1153)-1,FALSE)</f>
        <v>1</v>
      </c>
      <c r="AZ1142" s="1194" t="str">
        <f>IF(AND(AD1142=1,D1142="Military",H1142&lt;&gt;"Not given")=TRUE,IF(SUMIFS(P:P,A:A,A1142)&gt;0,ABS((SUMIFS(P:P,A:A,A1142)/VLOOKUP("USD",'Exchange Rates'!B:C,2,0)))/S1142,"."),".")</f>
        <v>.</v>
      </c>
      <c r="BA1142" s="1196" t="str">
        <f>IF(AND(AD1142=1,D1142="Military",H1142&lt;&gt;"Not given")=TRUE,IF(SUMIFS(P:P,A:A,A1142)&gt;0,IF((ABS((SUMIFS(P:P,A:A,A1142)/VLOOKUP("USD",'Exchange Rates'!B:C,2,0)))/S1142)&gt;1,(SUMIFS(P:P,A:A,A1142)-S1142)/S1142,(S1142-SUMIFS(P:P,A:A,A1142))/SUMIFS(P:P,A:A,A1142)),"."),".")</f>
        <v>.</v>
      </c>
    </row>
    <row r="1143" spans="1:53" ht="15.95" customHeight="1">
      <c r="A1143" s="1182" t="s">
        <v>3093</v>
      </c>
      <c r="B1143" s="1182" t="s">
        <v>3079</v>
      </c>
      <c r="C1143" s="1181">
        <v>44618</v>
      </c>
      <c r="D1143" s="1182" t="s">
        <v>389</v>
      </c>
      <c r="E1143" s="1182" t="s">
        <v>398</v>
      </c>
      <c r="F1143" s="1183" t="s">
        <v>3094</v>
      </c>
      <c r="G1143" s="1184" t="s">
        <v>456</v>
      </c>
      <c r="H1143" s="1185" t="s">
        <v>457</v>
      </c>
      <c r="I1143" s="1180" t="s">
        <v>3100</v>
      </c>
      <c r="J1143" s="1186" t="str">
        <f>VLOOKUP($I1143,'Price List, Weapons &amp; Items'!B:C,2,0)</f>
        <v>Light armaments &amp; infantry</v>
      </c>
      <c r="K1143" s="1186" t="str">
        <f>IF(I1143=".",I1143,VLOOKUP($I1143,'Price List, Weapons &amp; Items'!B:D,3,0))</f>
        <v>Light Anti-armor Weapon (LAW)</v>
      </c>
      <c r="L1143" s="1187">
        <f>VLOOKUP(I1143,'Price List, Weapons &amp; Items'!B:E,4,0)</f>
        <v>0</v>
      </c>
      <c r="M1143" s="1188" t="s">
        <v>374</v>
      </c>
      <c r="N1143" s="1188" t="s">
        <v>374</v>
      </c>
      <c r="O1143" s="1188">
        <f>VLOOKUP($I1143,'Price List, Weapons &amp; Items'!B:G,6,0)</f>
        <v>2462.4299999999998</v>
      </c>
      <c r="P1143" s="1185" t="str">
        <f t="shared" si="236"/>
        <v>.</v>
      </c>
      <c r="Q1143" s="1185" t="str">
        <f t="shared" si="237"/>
        <v>.</v>
      </c>
      <c r="R1143" s="1185" t="str">
        <f t="shared" si="233"/>
        <v/>
      </c>
      <c r="S1143" s="1185" t="str">
        <f>IF(AND(AD1143=1,R1143&lt;&gt;".")=TRUE,R1143/VLOOKUP(G1143,'Exchange Rates'!B:C,2,0),IF(R1143=".",".",""))</f>
        <v/>
      </c>
      <c r="T1143" s="1185" t="str">
        <f>IF(AD1143=1,IF(AF1143="Value is not given at all",".",IF(AF1143="Value is given by the source",S1143,IF(AF1143="Value is calculated with prices",(IF(SUMIFS(Q:Q,A:A,A1143)&gt;0,SUMIFS(Q:Q,A:A,A1143),"."))/VLOOKUP("USD",'Exchange Rates'!B:C,2,0),"Error with coding"))),"")</f>
        <v/>
      </c>
      <c r="U1143" s="1293" t="s">
        <v>365</v>
      </c>
      <c r="V1143" s="974" t="s">
        <v>3095</v>
      </c>
      <c r="W1143" s="974" t="s">
        <v>3096</v>
      </c>
      <c r="X1143" s="1294" t="s">
        <v>364</v>
      </c>
      <c r="Y1143" s="1183" t="s">
        <v>364</v>
      </c>
      <c r="Z1143" s="1184">
        <v>0</v>
      </c>
      <c r="AA1143" s="1194">
        <v>0</v>
      </c>
      <c r="AB1143" s="977" t="s">
        <v>3097</v>
      </c>
      <c r="AC1143" s="1192" t="str">
        <f>""</f>
        <v/>
      </c>
      <c r="AD1143" s="985">
        <v>0</v>
      </c>
      <c r="AE1143" s="985" t="s">
        <v>369</v>
      </c>
      <c r="AF1143" s="985" t="s">
        <v>369</v>
      </c>
      <c r="AG1143" s="985">
        <v>1</v>
      </c>
      <c r="AH1143" s="985">
        <v>2</v>
      </c>
      <c r="AI1143" s="985">
        <v>0</v>
      </c>
      <c r="AJ1143" s="1193">
        <f>VLOOKUP($I1143,'Price List, Weapons &amp; Items'!B:F,5,0)</f>
        <v>0</v>
      </c>
      <c r="AK1143" s="1193">
        <f t="shared" si="238"/>
        <v>0</v>
      </c>
      <c r="AL1143" s="1193">
        <f t="shared" si="239"/>
        <v>0</v>
      </c>
      <c r="AM1143" s="1193">
        <f t="shared" si="240"/>
        <v>0</v>
      </c>
      <c r="AN1143" s="1194" t="str">
        <f>VLOOKUP($I1143,'Price List, Weapons &amp; Items'!B:L,COLUMN('Price List, Weapons &amp; Items'!$J$11)-1,0)</f>
        <v>Online marketplaces and stores</v>
      </c>
      <c r="AO1143" s="1194" t="str">
        <f>IF(I1143=".",".",VLOOKUP($I1143,'Price List, Weapons &amp; Items'!B:J,3,0))</f>
        <v>Light Anti-armor Weapon (LAW)</v>
      </c>
      <c r="AP1143" s="1195" t="str">
        <f t="shared" ca="1" si="234"/>
        <v/>
      </c>
      <c r="AQ1143" s="1194" t="str">
        <f>VLOOKUP($I1143,'Price List, Weapons &amp; Items'!B:L,COLUMN('Price List, Weapons &amp; Items'!$L$11)-1,0)</f>
        <v>no price, 0 count</v>
      </c>
      <c r="AR1143" s="1194">
        <f t="shared" si="241"/>
        <v>1</v>
      </c>
      <c r="AS1143" s="1194">
        <f t="shared" si="242"/>
        <v>1</v>
      </c>
      <c r="AT1143" s="1194">
        <f t="shared" si="243"/>
        <v>1</v>
      </c>
      <c r="AU1143" s="1194" t="str">
        <f t="shared" si="244"/>
        <v>.</v>
      </c>
      <c r="AV1143" s="1194" t="str">
        <f t="shared" si="235"/>
        <v>.</v>
      </c>
      <c r="AW1143" s="1194" t="str">
        <f t="shared" si="245"/>
        <v>.</v>
      </c>
      <c r="AX1143" s="1194">
        <f>IFERROR(VLOOKUP(B1143,'Share, Heavy Weapons to Ukraine'!B:Z,COLUMN('Share, Heavy Weapons to Ukraine'!C1153)-1,0),0)</f>
        <v>0</v>
      </c>
      <c r="AY1143" s="1194">
        <f>VLOOKUP('Bilateral Assistance, MAIN DATA'!B1143,'Country Summary (€)'!B:F,COLUMN('Country Summary (€)'!C1154)-1,FALSE)</f>
        <v>1</v>
      </c>
      <c r="AZ1143" s="1194" t="str">
        <f>IF(AND(AD1143=1,D1143="Military",H1143&lt;&gt;"Not given")=TRUE,IF(SUMIFS(P:P,A:A,A1143)&gt;0,ABS((SUMIFS(P:P,A:A,A1143)/VLOOKUP("USD",'Exchange Rates'!B:C,2,0)))/S1143,"."),".")</f>
        <v>.</v>
      </c>
      <c r="BA1143" s="1196" t="str">
        <f>IF(AND(AD1143=1,D1143="Military",H1143&lt;&gt;"Not given")=TRUE,IF(SUMIFS(P:P,A:A,A1143)&gt;0,IF((ABS((SUMIFS(P:P,A:A,A1143)/VLOOKUP("USD",'Exchange Rates'!B:C,2,0)))/S1143)&gt;1,(SUMIFS(P:P,A:A,A1143)-S1143)/S1143,(S1143-SUMIFS(P:P,A:A,A1143))/SUMIFS(P:P,A:A,A1143)),"."),".")</f>
        <v>.</v>
      </c>
    </row>
    <row r="1144" spans="1:53" ht="15.95" customHeight="1">
      <c r="A1144" s="1180" t="s">
        <v>3101</v>
      </c>
      <c r="B1144" s="1180" t="s">
        <v>3079</v>
      </c>
      <c r="C1144" s="1181">
        <v>44663</v>
      </c>
      <c r="D1144" s="1182" t="s">
        <v>389</v>
      </c>
      <c r="E1144" s="1182" t="s">
        <v>398</v>
      </c>
      <c r="F1144" s="1183" t="s">
        <v>3102</v>
      </c>
      <c r="G1144" s="1184" t="s">
        <v>364</v>
      </c>
      <c r="H1144" s="1185" t="s">
        <v>457</v>
      </c>
      <c r="I1144" s="1180" t="s">
        <v>364</v>
      </c>
      <c r="J1144" s="1186" t="str">
        <f>VLOOKUP($I1144,'Price List, Weapons &amp; Items'!B:C,2,0)</f>
        <v>.</v>
      </c>
      <c r="K1144" s="1186" t="str">
        <f>IF(I1144=".",I1144,VLOOKUP($I1144,'Price List, Weapons &amp; Items'!B:D,3,0))</f>
        <v>.</v>
      </c>
      <c r="L1144" s="1187">
        <f>VLOOKUP(I1144,'Price List, Weapons &amp; Items'!B:E,4,0)</f>
        <v>0</v>
      </c>
      <c r="M1144" s="1188" t="s">
        <v>364</v>
      </c>
      <c r="N1144" s="1188" t="s">
        <v>364</v>
      </c>
      <c r="O1144" s="1188" t="str">
        <f>VLOOKUP($I1144,'Price List, Weapons &amp; Items'!B:G,6,0)</f>
        <v>.</v>
      </c>
      <c r="P1144" s="1185" t="str">
        <f t="shared" si="236"/>
        <v>.</v>
      </c>
      <c r="Q1144" s="1185" t="str">
        <f t="shared" si="237"/>
        <v>.</v>
      </c>
      <c r="R1144" s="1185" t="str">
        <f t="shared" si="233"/>
        <v>.</v>
      </c>
      <c r="S1144" s="1185" t="str">
        <f>IF(AND(AD1144=1,R1144&lt;&gt;".")=TRUE,R1144/VLOOKUP(G1144,'Exchange Rates'!B:C,2,0),IF(R1144=".",".",""))</f>
        <v>.</v>
      </c>
      <c r="T1144" s="1185" t="str">
        <f>IF(AD1144=1,IF(AF1144="Value is not given at all",".",IF(AF1144="Value is given by the source",S1144,IF(AF1144="Value is calculated with prices",(IF(SUMIFS(Q:Q,A:A,A1144)&gt;0,SUMIFS(Q:Q,A:A,A1144),"."))/VLOOKUP("USD",'Exchange Rates'!B:C,2,0),"Error with coding"))),"")</f>
        <v>.</v>
      </c>
      <c r="U1144" s="1184" t="s">
        <v>365</v>
      </c>
      <c r="V1144" s="971" t="s">
        <v>3103</v>
      </c>
      <c r="W1144" s="971" t="s">
        <v>3104</v>
      </c>
      <c r="X1144" s="971" t="s">
        <v>3105</v>
      </c>
      <c r="Y1144" s="1190" t="s">
        <v>364</v>
      </c>
      <c r="Z1144" s="1184">
        <v>0</v>
      </c>
      <c r="AA1144" s="1194">
        <v>0</v>
      </c>
      <c r="AB1144" s="1180" t="s">
        <v>364</v>
      </c>
      <c r="AC1144" s="1192" t="str">
        <f>""</f>
        <v/>
      </c>
      <c r="AD1144" s="985">
        <v>1</v>
      </c>
      <c r="AE1144" s="985" t="s">
        <v>369</v>
      </c>
      <c r="AF1144" s="985" t="s">
        <v>369</v>
      </c>
      <c r="AG1144" s="985">
        <v>1</v>
      </c>
      <c r="AH1144" s="1193">
        <v>4</v>
      </c>
      <c r="AI1144" s="1193">
        <v>0</v>
      </c>
      <c r="AJ1144" s="1193">
        <f>VLOOKUP($I1144,'Price List, Weapons &amp; Items'!B:F,5,0)</f>
        <v>0</v>
      </c>
      <c r="AK1144" s="1193">
        <f t="shared" si="238"/>
        <v>0</v>
      </c>
      <c r="AL1144" s="1193">
        <f t="shared" si="239"/>
        <v>0</v>
      </c>
      <c r="AM1144" s="1193">
        <f t="shared" si="240"/>
        <v>0</v>
      </c>
      <c r="AN1144" s="1194" t="str">
        <f>VLOOKUP($I1144,'Price List, Weapons &amp; Items'!B:L,COLUMN('Price List, Weapons &amp; Items'!$J$11)-1,0)</f>
        <v>.</v>
      </c>
      <c r="AO1144" s="1194" t="str">
        <f>IF(I1144=".",".",VLOOKUP($I1144,'Price List, Weapons &amp; Items'!B:J,3,0))</f>
        <v>.</v>
      </c>
      <c r="AP1144" s="1195" t="str">
        <f t="shared" ca="1" si="234"/>
        <v>.</v>
      </c>
      <c r="AQ1144" s="1194">
        <f>VLOOKUP($I1144,'Price List, Weapons &amp; Items'!B:L,COLUMN('Price List, Weapons &amp; Items'!$L$11)-1,0)</f>
        <v>0</v>
      </c>
      <c r="AR1144" s="1194">
        <f t="shared" si="241"/>
        <v>1</v>
      </c>
      <c r="AS1144" s="1194">
        <f t="shared" si="242"/>
        <v>1</v>
      </c>
      <c r="AT1144" s="1194">
        <f t="shared" si="243"/>
        <v>1</v>
      </c>
      <c r="AU1144" s="1194" t="str">
        <f t="shared" si="244"/>
        <v>.</v>
      </c>
      <c r="AV1144" s="1194" t="str">
        <f t="shared" si="235"/>
        <v>.</v>
      </c>
      <c r="AW1144" s="1194" t="str">
        <f t="shared" si="245"/>
        <v>.</v>
      </c>
      <c r="AX1144" s="1194">
        <f>IFERROR(VLOOKUP(B1144,'Share, Heavy Weapons to Ukraine'!B:Z,COLUMN('Share, Heavy Weapons to Ukraine'!C1154)-1,0),0)</f>
        <v>0</v>
      </c>
      <c r="AY1144" s="1194">
        <f>VLOOKUP('Bilateral Assistance, MAIN DATA'!B1144,'Country Summary (€)'!B:F,COLUMN('Country Summary (€)'!C1155)-1,FALSE)</f>
        <v>1</v>
      </c>
      <c r="AZ1144" s="1194" t="str">
        <f>IF(AND(AD1144=1,D1144="Military",H1144&lt;&gt;"Not given")=TRUE,IF(SUMIFS(P:P,A:A,A1144)&gt;0,ABS((SUMIFS(P:P,A:A,A1144)/VLOOKUP("USD",'Exchange Rates'!B:C,2,0)))/S1144,"."),".")</f>
        <v>.</v>
      </c>
      <c r="BA1144" s="1196" t="str">
        <f>IF(AND(AD1144=1,D1144="Military",H1144&lt;&gt;"Not given")=TRUE,IF(SUMIFS(P:P,A:A,A1144)&gt;0,IF((ABS((SUMIFS(P:P,A:A,A1144)/VLOOKUP("USD",'Exchange Rates'!B:C,2,0)))/S1144)&gt;1,(SUMIFS(P:P,A:A,A1144)-S1144)/S1144,(S1144-SUMIFS(P:P,A:A,A1144))/SUMIFS(P:P,A:A,A1144)),"."),".")</f>
        <v>.</v>
      </c>
    </row>
    <row r="1145" spans="1:53" ht="15.95" customHeight="1">
      <c r="A1145" s="1180" t="s">
        <v>3106</v>
      </c>
      <c r="B1145" s="1180" t="s">
        <v>3079</v>
      </c>
      <c r="C1145" s="1181">
        <v>44681</v>
      </c>
      <c r="D1145" s="1182" t="s">
        <v>389</v>
      </c>
      <c r="E1145" s="1182" t="s">
        <v>390</v>
      </c>
      <c r="F1145" s="1183" t="s">
        <v>3107</v>
      </c>
      <c r="G1145" s="1184" t="s">
        <v>456</v>
      </c>
      <c r="H1145" s="1185" t="s">
        <v>457</v>
      </c>
      <c r="I1145" s="1180" t="s">
        <v>3108</v>
      </c>
      <c r="J1145" s="1186" t="str">
        <f>VLOOKUP($I1145,'Price List, Weapons &amp; Items'!B:C,2,0)</f>
        <v>Military equipment</v>
      </c>
      <c r="K1145" s="1186" t="str">
        <f>IF(I1145=".",I1145,VLOOKUP($I1145,'Price List, Weapons &amp; Items'!B:D,3,0))</f>
        <v>Armored Utility Vehicle (AUV)</v>
      </c>
      <c r="L1145" s="1187">
        <f>VLOOKUP(I1145,'Price List, Weapons &amp; Items'!B:E,4,0)</f>
        <v>0</v>
      </c>
      <c r="M1145" s="1188">
        <v>4</v>
      </c>
      <c r="N1145" s="1188">
        <v>4</v>
      </c>
      <c r="O1145" s="1188">
        <f>VLOOKUP($I1145,'Price List, Weapons &amp; Items'!B:G,6,0)</f>
        <v>605700</v>
      </c>
      <c r="P1145" s="1185">
        <f t="shared" si="236"/>
        <v>2422800</v>
      </c>
      <c r="Q1145" s="1185">
        <f t="shared" si="237"/>
        <v>2422800</v>
      </c>
      <c r="R1145" s="1185">
        <f t="shared" si="233"/>
        <v>2422800</v>
      </c>
      <c r="S1145" s="1185">
        <f>IF(AND(AD1145=1,R1145&lt;&gt;".")=TRUE,R1145/VLOOKUP(G1145,'Exchange Rates'!B:C,2,0),IF(R1145=".",".",""))</f>
        <v>2229297.0187707031</v>
      </c>
      <c r="T1145" s="1185">
        <f>IF(AD1145=1,IF(AF1145="Value is not given at all",".",IF(AF1145="Value is given by the source",S1145,IF(AF1145="Value is calculated with prices",(IF(SUMIFS(Q:Q,A:A,A1145)&gt;0,SUMIFS(Q:Q,A:A,A1145),"."))/VLOOKUP("USD",'Exchange Rates'!B:C,2,0),"Error with coding"))),"")</f>
        <v>2229297.0187707031</v>
      </c>
      <c r="U1145" s="1184" t="s">
        <v>365</v>
      </c>
      <c r="V1145" s="971" t="s">
        <v>3109</v>
      </c>
      <c r="W1145" s="971" t="s">
        <v>3110</v>
      </c>
      <c r="X1145" s="973" t="s">
        <v>3105</v>
      </c>
      <c r="Y1145" s="980" t="s">
        <v>3111</v>
      </c>
      <c r="Z1145" s="1184">
        <v>0</v>
      </c>
      <c r="AA1145" s="1194">
        <v>0</v>
      </c>
      <c r="AB1145" s="964" t="s">
        <v>3111</v>
      </c>
      <c r="AC1145" s="1192" t="str">
        <f>""</f>
        <v/>
      </c>
      <c r="AD1145" s="985">
        <v>1</v>
      </c>
      <c r="AE1145" s="985" t="s">
        <v>436</v>
      </c>
      <c r="AF1145" s="985" t="s">
        <v>436</v>
      </c>
      <c r="AG1145" s="985">
        <v>1</v>
      </c>
      <c r="AH1145" s="1193">
        <v>4</v>
      </c>
      <c r="AI1145" s="1193">
        <v>0</v>
      </c>
      <c r="AJ1145" s="1193">
        <f>VLOOKUP($I1145,'Price List, Weapons &amp; Items'!B:F,5,0)</f>
        <v>1</v>
      </c>
      <c r="AK1145" s="1193">
        <f t="shared" si="238"/>
        <v>0</v>
      </c>
      <c r="AL1145" s="1193">
        <f t="shared" si="239"/>
        <v>0</v>
      </c>
      <c r="AM1145" s="1193">
        <f t="shared" si="240"/>
        <v>0</v>
      </c>
      <c r="AN1145" s="1194" t="str">
        <f>VLOOKUP($I1145,'Price List, Weapons &amp; Items'!B:L,COLUMN('Price List, Weapons &amp; Items'!$J$11)-1,0)</f>
        <v>Military media (incl. websites)</v>
      </c>
      <c r="AO1145" s="1194" t="str">
        <f>IF(I1145=".",".",VLOOKUP($I1145,'Price List, Weapons &amp; Items'!B:J,3,0))</f>
        <v>Armored Utility Vehicle (AUV)</v>
      </c>
      <c r="AP1145" s="1195" t="str">
        <f t="shared" ca="1" si="234"/>
        <v>Iveco M 40.12 WM/P 4x4 armored vehicle</v>
      </c>
      <c r="AQ1145" s="1194">
        <f>VLOOKUP($I1145,'Price List, Weapons &amp; Items'!B:L,COLUMN('Price List, Weapons &amp; Items'!$L$11)-1,0)</f>
        <v>2</v>
      </c>
      <c r="AR1145" s="1194">
        <f t="shared" si="241"/>
        <v>1</v>
      </c>
      <c r="AS1145" s="1194">
        <f t="shared" si="242"/>
        <v>1</v>
      </c>
      <c r="AT1145" s="1194">
        <f t="shared" si="243"/>
        <v>1</v>
      </c>
      <c r="AU1145" s="1194" t="str">
        <f t="shared" si="244"/>
        <v>.</v>
      </c>
      <c r="AV1145" s="1194" t="str">
        <f t="shared" si="235"/>
        <v>.</v>
      </c>
      <c r="AW1145" s="1194" t="str">
        <f t="shared" si="245"/>
        <v>.</v>
      </c>
      <c r="AX1145" s="1194">
        <f>IFERROR(VLOOKUP(B1145,'Share, Heavy Weapons to Ukraine'!B:Z,COLUMN('Share, Heavy Weapons to Ukraine'!C1155)-1,0),0)</f>
        <v>0</v>
      </c>
      <c r="AY1145" s="1194">
        <f>VLOOKUP('Bilateral Assistance, MAIN DATA'!B1145,'Country Summary (€)'!B:F,COLUMN('Country Summary (€)'!C1156)-1,FALSE)</f>
        <v>1</v>
      </c>
      <c r="AZ1145" s="1194" t="str">
        <f>IF(AND(AD1145=1,D1145="Military",H1145&lt;&gt;"Not given")=TRUE,IF(SUMIFS(P:P,A:A,A1145)&gt;0,ABS((SUMIFS(P:P,A:A,A1145)/VLOOKUP("USD",'Exchange Rates'!B:C,2,0)))/S1145,"."),".")</f>
        <v>.</v>
      </c>
      <c r="BA1145" s="1196" t="str">
        <f>IF(AND(AD1145=1,D1145="Military",H1145&lt;&gt;"Not given")=TRUE,IF(SUMIFS(P:P,A:A,A1145)&gt;0,IF((ABS((SUMIFS(P:P,A:A,A1145)/VLOOKUP("USD",'Exchange Rates'!B:C,2,0)))/S1145)&gt;1,(SUMIFS(P:P,A:A,A1145)-S1145)/S1145,(S1145-SUMIFS(P:P,A:A,A1145))/SUMIFS(P:P,A:A,A1145)),"."),".")</f>
        <v>.</v>
      </c>
    </row>
    <row r="1146" spans="1:53" ht="15.95" customHeight="1">
      <c r="A1146" s="1182" t="s">
        <v>3112</v>
      </c>
      <c r="B1146" s="1182" t="s">
        <v>3079</v>
      </c>
      <c r="C1146" s="1181">
        <v>44689</v>
      </c>
      <c r="D1146" s="1182" t="s">
        <v>389</v>
      </c>
      <c r="E1146" s="1182" t="s">
        <v>390</v>
      </c>
      <c r="F1146" s="1183" t="s">
        <v>3113</v>
      </c>
      <c r="G1146" s="1184" t="s">
        <v>456</v>
      </c>
      <c r="H1146" s="1185" t="s">
        <v>457</v>
      </c>
      <c r="I1146" s="1180" t="s">
        <v>428</v>
      </c>
      <c r="J1146" s="1186" t="str">
        <f>VLOOKUP($I1146,'Price List, Weapons &amp; Items'!B:C,2,0)</f>
        <v>Heavy weapon</v>
      </c>
      <c r="K1146" s="1186" t="str">
        <f>IF(I1146=".",I1146,VLOOKUP($I1146,'Price List, Weapons &amp; Items'!B:D,3,0))</f>
        <v>Armored Personnel Carrier (APC)</v>
      </c>
      <c r="L1146" s="1187">
        <f>VLOOKUP(I1146,'Price List, Weapons &amp; Items'!B:E,4,0)</f>
        <v>0</v>
      </c>
      <c r="M1146" s="1188">
        <v>14</v>
      </c>
      <c r="N1146" s="1188">
        <v>14</v>
      </c>
      <c r="O1146" s="1188">
        <f>VLOOKUP($I1146,'Price List, Weapons &amp; Items'!B:G,6,0)</f>
        <v>300000</v>
      </c>
      <c r="P1146" s="1185">
        <f t="shared" si="236"/>
        <v>4200000</v>
      </c>
      <c r="Q1146" s="1185">
        <f t="shared" si="237"/>
        <v>4200000</v>
      </c>
      <c r="R1146" s="1185">
        <f t="shared" si="233"/>
        <v>8529223.7811919115</v>
      </c>
      <c r="S1146" s="1185">
        <f>IF(AND(AD1146=1,R1146&lt;&gt;".")=TRUE,R1146/VLOOKUP(G1146,'Exchange Rates'!B:C,2,0),IF(R1146=".",".",""))</f>
        <v>7848015.9929995509</v>
      </c>
      <c r="T1146" s="1185">
        <f>IF(AD1146=1,IF(AF1146="Value is not given at all",".",IF(AF1146="Value is given by the source",S1146,IF(AF1146="Value is calculated with prices",(IF(SUMIFS(Q:Q,A:A,A1146)&gt;0,SUMIFS(Q:Q,A:A,A1146),"."))/VLOOKUP("USD",'Exchange Rates'!B:C,2,0),"Error with coding"))),"")</f>
        <v>3864556.4961354434</v>
      </c>
      <c r="U1146" s="1184" t="s">
        <v>365</v>
      </c>
      <c r="V1146" s="974" t="s">
        <v>3114</v>
      </c>
      <c r="W1146" s="974" t="s">
        <v>3115</v>
      </c>
      <c r="X1146" s="976" t="s">
        <v>3111</v>
      </c>
      <c r="Y1146" s="1183" t="s">
        <v>364</v>
      </c>
      <c r="Z1146" s="1184">
        <v>0</v>
      </c>
      <c r="AA1146" s="1194">
        <v>0</v>
      </c>
      <c r="AB1146" s="982" t="s">
        <v>3111</v>
      </c>
      <c r="AC1146" s="1192" t="str">
        <f>""</f>
        <v/>
      </c>
      <c r="AD1146" s="985">
        <v>1</v>
      </c>
      <c r="AE1146" s="985" t="s">
        <v>436</v>
      </c>
      <c r="AF1146" s="985" t="s">
        <v>436</v>
      </c>
      <c r="AG1146" s="985">
        <v>1</v>
      </c>
      <c r="AH1146" s="985">
        <v>5</v>
      </c>
      <c r="AI1146" s="985">
        <v>0</v>
      </c>
      <c r="AJ1146" s="1193">
        <f>VLOOKUP($I1146,'Price List, Weapons &amp; Items'!B:F,5,0)</f>
        <v>1</v>
      </c>
      <c r="AK1146" s="1193">
        <f t="shared" si="238"/>
        <v>0</v>
      </c>
      <c r="AL1146" s="1193">
        <f t="shared" si="239"/>
        <v>0</v>
      </c>
      <c r="AM1146" s="1193">
        <f t="shared" si="240"/>
        <v>0</v>
      </c>
      <c r="AN1146" s="1194" t="str">
        <f>VLOOKUP($I1146,'Price List, Weapons &amp; Items'!B:L,COLUMN('Price List, Weapons &amp; Items'!$J$11)-1,0)</f>
        <v>Military media (incl. websites)</v>
      </c>
      <c r="AO1146" s="1194" t="str">
        <f>IF(I1146=".",".",VLOOKUP($I1146,'Price List, Weapons &amp; Items'!B:J,3,0))</f>
        <v>Armored Personnel Carrier (APC)</v>
      </c>
      <c r="AP1146" s="1195" t="str">
        <f t="shared" ca="1" si="234"/>
        <v>M113 armored personnel carrier</v>
      </c>
      <c r="AQ1146" s="1194">
        <f>VLOOKUP($I1146,'Price List, Weapons &amp; Items'!B:L,COLUMN('Price List, Weapons &amp; Items'!$L$11)-1,0)</f>
        <v>2</v>
      </c>
      <c r="AR1146" s="1194">
        <f t="shared" si="241"/>
        <v>1</v>
      </c>
      <c r="AS1146" s="1194">
        <f t="shared" si="242"/>
        <v>1</v>
      </c>
      <c r="AT1146" s="1194">
        <f t="shared" si="243"/>
        <v>1</v>
      </c>
      <c r="AU1146" s="1194" t="str">
        <f t="shared" si="244"/>
        <v>.</v>
      </c>
      <c r="AV1146" s="1194" t="str">
        <f t="shared" si="235"/>
        <v>.</v>
      </c>
      <c r="AW1146" s="1194" t="str">
        <f t="shared" si="245"/>
        <v>.</v>
      </c>
      <c r="AX1146" s="1194">
        <f>IFERROR(VLOOKUP(B1146,'Share, Heavy Weapons to Ukraine'!B:Z,COLUMN('Share, Heavy Weapons to Ukraine'!C1156)-1,0),0)</f>
        <v>0</v>
      </c>
      <c r="AY1146" s="1194">
        <f>VLOOKUP('Bilateral Assistance, MAIN DATA'!B1146,'Country Summary (€)'!B:F,COLUMN('Country Summary (€)'!C1157)-1,FALSE)</f>
        <v>1</v>
      </c>
      <c r="AZ1146" s="1194" t="str">
        <f>IF(AND(AD1146=1,D1146="Military",H1146&lt;&gt;"Not given")=TRUE,IF(SUMIFS(P:P,A:A,A1146)&gt;0,ABS((SUMIFS(P:P,A:A,A1146)/VLOOKUP("USD",'Exchange Rates'!B:C,2,0)))/S1146,"."),".")</f>
        <v>.</v>
      </c>
      <c r="BA1146" s="1196" t="str">
        <f>IF(AND(AD1146=1,D1146="Military",H1146&lt;&gt;"Not given")=TRUE,IF(SUMIFS(P:P,A:A,A1146)&gt;0,IF((ABS((SUMIFS(P:P,A:A,A1146)/VLOOKUP("USD",'Exchange Rates'!B:C,2,0)))/S1146)&gt;1,(SUMIFS(P:P,A:A,A1146)-S1146)/S1146,(S1146-SUMIFS(P:P,A:A,A1146))/SUMIFS(P:P,A:A,A1146)),"."),".")</f>
        <v>.</v>
      </c>
    </row>
    <row r="1147" spans="1:53" ht="15.95" customHeight="1">
      <c r="A1147" s="1182" t="s">
        <v>3112</v>
      </c>
      <c r="B1147" s="1182" t="s">
        <v>3079</v>
      </c>
      <c r="C1147" s="1181">
        <v>44689</v>
      </c>
      <c r="D1147" s="1182" t="s">
        <v>389</v>
      </c>
      <c r="E1147" s="1182" t="s">
        <v>398</v>
      </c>
      <c r="F1147" s="1183" t="s">
        <v>3116</v>
      </c>
      <c r="G1147" s="1184" t="s">
        <v>456</v>
      </c>
      <c r="H1147" s="1185" t="s">
        <v>457</v>
      </c>
      <c r="I1147" s="1180" t="s">
        <v>3117</v>
      </c>
      <c r="J1147" s="1186" t="str">
        <f>VLOOKUP($I1147,'Price List, Weapons &amp; Items'!B:C,2,0)</f>
        <v>Heavy weapon</v>
      </c>
      <c r="K1147" s="1186" t="str">
        <f>IF(I1147=".",I1147,VLOOKUP($I1147,'Price List, Weapons &amp; Items'!B:D,3,0))</f>
        <v>155mm howitzer</v>
      </c>
      <c r="L1147" s="1187">
        <f>VLOOKUP(I1147,'Price List, Weapons &amp; Items'!B:E,4,0)</f>
        <v>0</v>
      </c>
      <c r="M1147" s="1188">
        <v>5</v>
      </c>
      <c r="N1147" s="1188" t="s">
        <v>374</v>
      </c>
      <c r="O1147" s="1188">
        <f>VLOOKUP($I1147,'Price List, Weapons &amp; Items'!B:G,6,0)</f>
        <v>865844.75623838219</v>
      </c>
      <c r="P1147" s="1185">
        <f t="shared" si="236"/>
        <v>4329223.7811919106</v>
      </c>
      <c r="Q1147" s="1185" t="str">
        <f t="shared" si="237"/>
        <v>.</v>
      </c>
      <c r="R1147" s="1185" t="str">
        <f t="shared" si="233"/>
        <v/>
      </c>
      <c r="S1147" s="1185" t="str">
        <f>IF(AND(AD1147=1,R1147&lt;&gt;".")=TRUE,R1147/VLOOKUP(G1147,'Exchange Rates'!B:C,2,0),IF(R1147=".",".",""))</f>
        <v/>
      </c>
      <c r="T1147" s="1185" t="str">
        <f>IF(AD1147=1,IF(AF1147="Value is not given at all",".",IF(AF1147="Value is given by the source",S1147,IF(AF1147="Value is calculated with prices",(IF(SUMIFS(Q:Q,A:A,A1147)&gt;0,SUMIFS(Q:Q,A:A,A1147),"."))/VLOOKUP("USD",'Exchange Rates'!B:C,2,0),"Error with coding"))),"")</f>
        <v/>
      </c>
      <c r="U1147" s="1184" t="s">
        <v>675</v>
      </c>
      <c r="V1147" s="974" t="s">
        <v>3114</v>
      </c>
      <c r="W1147" s="974" t="s">
        <v>3115</v>
      </c>
      <c r="X1147" s="1183" t="s">
        <v>364</v>
      </c>
      <c r="Y1147" s="1183" t="s">
        <v>364</v>
      </c>
      <c r="Z1147" s="1184">
        <v>0</v>
      </c>
      <c r="AA1147" s="1194">
        <v>0</v>
      </c>
      <c r="AB1147" s="1180" t="s">
        <v>364</v>
      </c>
      <c r="AC1147" s="1192" t="str">
        <f>""</f>
        <v/>
      </c>
      <c r="AD1147" s="985">
        <v>0</v>
      </c>
      <c r="AE1147" s="985" t="s">
        <v>436</v>
      </c>
      <c r="AF1147" s="985" t="s">
        <v>369</v>
      </c>
      <c r="AG1147" s="985">
        <v>1</v>
      </c>
      <c r="AH1147" s="985">
        <v>5</v>
      </c>
      <c r="AI1147" s="985">
        <v>0</v>
      </c>
      <c r="AJ1147" s="1193">
        <f>VLOOKUP($I1147,'Price List, Weapons &amp; Items'!B:F,5,0)</f>
        <v>1</v>
      </c>
      <c r="AK1147" s="1193">
        <f t="shared" si="238"/>
        <v>0</v>
      </c>
      <c r="AL1147" s="1193">
        <f t="shared" si="239"/>
        <v>1</v>
      </c>
      <c r="AM1147" s="1193">
        <f t="shared" si="240"/>
        <v>0</v>
      </c>
      <c r="AN1147" s="1194" t="str">
        <f>VLOOKUP($I1147,'Price List, Weapons &amp; Items'!B:L,COLUMN('Price List, Weapons &amp; Items'!$J$11)-1,0)</f>
        <v>Contracts</v>
      </c>
      <c r="AO1147" s="1194" t="str">
        <f>IF(I1147=".",".",VLOOKUP($I1147,'Price List, Weapons &amp; Items'!B:J,3,0))</f>
        <v>155mm howitzer</v>
      </c>
      <c r="AP1147" s="1195" t="str">
        <f t="shared" ca="1" si="234"/>
        <v/>
      </c>
      <c r="AQ1147" s="1194">
        <f>VLOOKUP($I1147,'Price List, Weapons &amp; Items'!B:L,COLUMN('Price List, Weapons &amp; Items'!$L$11)-1,0)</f>
        <v>2</v>
      </c>
      <c r="AR1147" s="1194">
        <f t="shared" si="241"/>
        <v>0</v>
      </c>
      <c r="AS1147" s="1194">
        <f t="shared" si="242"/>
        <v>1</v>
      </c>
      <c r="AT1147" s="1194">
        <f t="shared" si="243"/>
        <v>1</v>
      </c>
      <c r="AU1147" s="1194" t="str">
        <f t="shared" si="244"/>
        <v>1</v>
      </c>
      <c r="AV1147" s="1194" t="str">
        <f t="shared" si="235"/>
        <v>.</v>
      </c>
      <c r="AW1147" s="1194" t="str">
        <f t="shared" si="245"/>
        <v>.</v>
      </c>
      <c r="AX1147" s="1194">
        <f>IFERROR(VLOOKUP(B1147,'Share, Heavy Weapons to Ukraine'!B:Z,COLUMN('Share, Heavy Weapons to Ukraine'!C1157)-1,0),0)</f>
        <v>0</v>
      </c>
      <c r="AY1147" s="1194">
        <f>VLOOKUP('Bilateral Assistance, MAIN DATA'!B1147,'Country Summary (€)'!B:F,COLUMN('Country Summary (€)'!C1158)-1,FALSE)</f>
        <v>1</v>
      </c>
      <c r="AZ1147" s="1194" t="str">
        <f>IF(AND(AD1147=1,D1147="Military",H1147&lt;&gt;"Not given")=TRUE,IF(SUMIFS(P:P,A:A,A1147)&gt;0,ABS((SUMIFS(P:P,A:A,A1147)/VLOOKUP("USD",'Exchange Rates'!B:C,2,0)))/S1147,"."),".")</f>
        <v>.</v>
      </c>
      <c r="BA1147" s="1196" t="str">
        <f>IF(AND(AD1147=1,D1147="Military",H1147&lt;&gt;"Not given")=TRUE,IF(SUMIFS(P:P,A:A,A1147)&gt;0,IF((ABS((SUMIFS(P:P,A:A,A1147)/VLOOKUP("USD",'Exchange Rates'!B:C,2,0)))/S1147)&gt;1,(SUMIFS(P:P,A:A,A1147)-S1147)/S1147,(S1147-SUMIFS(P:P,A:A,A1147))/SUMIFS(P:P,A:A,A1147)),"."),".")</f>
        <v>.</v>
      </c>
    </row>
    <row r="1148" spans="1:53" ht="15.95" customHeight="1">
      <c r="A1148" s="1180" t="s">
        <v>3118</v>
      </c>
      <c r="B1148" s="1180" t="s">
        <v>3079</v>
      </c>
      <c r="C1148" s="1181">
        <v>44699</v>
      </c>
      <c r="D1148" s="1182" t="s">
        <v>389</v>
      </c>
      <c r="E1148" s="1182" t="s">
        <v>398</v>
      </c>
      <c r="F1148" s="1183" t="s">
        <v>3119</v>
      </c>
      <c r="G1148" s="1184" t="s">
        <v>364</v>
      </c>
      <c r="H1148" s="1185" t="s">
        <v>457</v>
      </c>
      <c r="I1148" s="1180" t="s">
        <v>364</v>
      </c>
      <c r="J1148" s="1186" t="str">
        <f>VLOOKUP($I1148,'Price List, Weapons &amp; Items'!B:C,2,0)</f>
        <v>.</v>
      </c>
      <c r="K1148" s="1186" t="str">
        <f>IF(I1148=".",I1148,VLOOKUP($I1148,'Price List, Weapons &amp; Items'!B:D,3,0))</f>
        <v>.</v>
      </c>
      <c r="L1148" s="1187">
        <f>VLOOKUP(I1148,'Price List, Weapons &amp; Items'!B:E,4,0)</f>
        <v>0</v>
      </c>
      <c r="M1148" s="1188" t="s">
        <v>364</v>
      </c>
      <c r="N1148" s="1188" t="s">
        <v>364</v>
      </c>
      <c r="O1148" s="1188" t="str">
        <f>VLOOKUP($I1148,'Price List, Weapons &amp; Items'!B:G,6,0)</f>
        <v>.</v>
      </c>
      <c r="P1148" s="1185" t="str">
        <f t="shared" si="236"/>
        <v>.</v>
      </c>
      <c r="Q1148" s="1185" t="str">
        <f t="shared" si="237"/>
        <v>.</v>
      </c>
      <c r="R1148" s="1185" t="str">
        <f t="shared" si="233"/>
        <v>.</v>
      </c>
      <c r="S1148" s="1185" t="str">
        <f>IF(AND(AD1148=1,R1148&lt;&gt;".")=TRUE,R1148/VLOOKUP(G1148,'Exchange Rates'!B:C,2,0),IF(R1148=".",".",""))</f>
        <v>.</v>
      </c>
      <c r="T1148" s="1185" t="str">
        <f>IF(AD1148=1,IF(AF1148="Value is not given at all",".",IF(AF1148="Value is given by the source",S1148,IF(AF1148="Value is calculated with prices",(IF(SUMIFS(Q:Q,A:A,A1148)&gt;0,SUMIFS(Q:Q,A:A,A1148),"."))/VLOOKUP("USD",'Exchange Rates'!B:C,2,0),"Error with coding"))),"")</f>
        <v>.</v>
      </c>
      <c r="U1148" s="1184" t="s">
        <v>675</v>
      </c>
      <c r="V1148" s="971" t="s">
        <v>3120</v>
      </c>
      <c r="W1148" s="971" t="s">
        <v>3121</v>
      </c>
      <c r="X1148" s="980" t="s">
        <v>3122</v>
      </c>
      <c r="Y1148" s="981" t="s">
        <v>364</v>
      </c>
      <c r="Z1148" s="1184">
        <v>0</v>
      </c>
      <c r="AA1148" s="1194">
        <v>0</v>
      </c>
      <c r="AB1148" s="1180" t="s">
        <v>364</v>
      </c>
      <c r="AC1148" s="1192" t="str">
        <f>""</f>
        <v/>
      </c>
      <c r="AD1148" s="985">
        <v>1</v>
      </c>
      <c r="AE1148" s="985" t="s">
        <v>369</v>
      </c>
      <c r="AF1148" s="985" t="s">
        <v>369</v>
      </c>
      <c r="AG1148" s="985">
        <v>1</v>
      </c>
      <c r="AH1148" s="1193">
        <v>5</v>
      </c>
      <c r="AI1148" s="1193">
        <v>0</v>
      </c>
      <c r="AJ1148" s="1193">
        <f>VLOOKUP($I1148,'Price List, Weapons &amp; Items'!B:F,5,0)</f>
        <v>0</v>
      </c>
      <c r="AK1148" s="1193">
        <f t="shared" si="238"/>
        <v>0</v>
      </c>
      <c r="AL1148" s="1193">
        <f t="shared" si="239"/>
        <v>0</v>
      </c>
      <c r="AM1148" s="1193">
        <f t="shared" si="240"/>
        <v>0</v>
      </c>
      <c r="AN1148" s="1194" t="str">
        <f>VLOOKUP($I1148,'Price List, Weapons &amp; Items'!B:L,COLUMN('Price List, Weapons &amp; Items'!$J$11)-1,0)</f>
        <v>.</v>
      </c>
      <c r="AO1148" s="1194" t="str">
        <f>IF(I1148=".",".",VLOOKUP($I1148,'Price List, Weapons &amp; Items'!B:J,3,0))</f>
        <v>.</v>
      </c>
      <c r="AP1148" s="1195" t="str">
        <f t="shared" ca="1" si="234"/>
        <v>.</v>
      </c>
      <c r="AQ1148" s="1194">
        <f>VLOOKUP($I1148,'Price List, Weapons &amp; Items'!B:L,COLUMN('Price List, Weapons &amp; Items'!$L$11)-1,0)</f>
        <v>0</v>
      </c>
      <c r="AR1148" s="1194">
        <f t="shared" si="241"/>
        <v>0</v>
      </c>
      <c r="AS1148" s="1194">
        <f t="shared" si="242"/>
        <v>1</v>
      </c>
      <c r="AT1148" s="1194">
        <f t="shared" si="243"/>
        <v>1</v>
      </c>
      <c r="AU1148" s="1194" t="str">
        <f t="shared" si="244"/>
        <v>.</v>
      </c>
      <c r="AV1148" s="1194" t="str">
        <f t="shared" si="235"/>
        <v>.</v>
      </c>
      <c r="AW1148" s="1194" t="str">
        <f t="shared" si="245"/>
        <v>.</v>
      </c>
      <c r="AX1148" s="1194">
        <f>IFERROR(VLOOKUP(B1148,'Share, Heavy Weapons to Ukraine'!B:Z,COLUMN('Share, Heavy Weapons to Ukraine'!C1158)-1,0),0)</f>
        <v>0</v>
      </c>
      <c r="AY1148" s="1194">
        <f>VLOOKUP('Bilateral Assistance, MAIN DATA'!B1148,'Country Summary (€)'!B:F,COLUMN('Country Summary (€)'!C1159)-1,FALSE)</f>
        <v>1</v>
      </c>
      <c r="AZ1148" s="1194" t="str">
        <f>IF(AND(AD1148=1,D1148="Military",H1148&lt;&gt;"Not given")=TRUE,IF(SUMIFS(P:P,A:A,A1148)&gt;0,ABS((SUMIFS(P:P,A:A,A1148)/VLOOKUP("USD",'Exchange Rates'!B:C,2,0)))/S1148,"."),".")</f>
        <v>.</v>
      </c>
      <c r="BA1148" s="1196" t="str">
        <f>IF(AND(AD1148=1,D1148="Military",H1148&lt;&gt;"Not given")=TRUE,IF(SUMIFS(P:P,A:A,A1148)&gt;0,IF((ABS((SUMIFS(P:P,A:A,A1148)/VLOOKUP("USD",'Exchange Rates'!B:C,2,0)))/S1148)&gt;1,(SUMIFS(P:P,A:A,A1148)-S1148)/S1148,(S1148-SUMIFS(P:P,A:A,A1148))/SUMIFS(P:P,A:A,A1148)),"."),".")</f>
        <v>.</v>
      </c>
    </row>
    <row r="1149" spans="1:53" ht="15.95" customHeight="1">
      <c r="A1149" s="1180" t="s">
        <v>3123</v>
      </c>
      <c r="B1149" s="1180" t="s">
        <v>3079</v>
      </c>
      <c r="C1149" s="1181" t="s">
        <v>3124</v>
      </c>
      <c r="D1149" s="1182" t="s">
        <v>389</v>
      </c>
      <c r="E1149" s="1182" t="s">
        <v>390</v>
      </c>
      <c r="F1149" s="1183" t="s">
        <v>3125</v>
      </c>
      <c r="G1149" s="1184" t="s">
        <v>456</v>
      </c>
      <c r="H1149" s="1185" t="s">
        <v>457</v>
      </c>
      <c r="I1149" s="1180" t="s">
        <v>3126</v>
      </c>
      <c r="J1149" s="1186" t="str">
        <f>VLOOKUP($I1149,'Price List, Weapons &amp; Items'!B:C,2,0)</f>
        <v>Aviation and drones</v>
      </c>
      <c r="K1149" s="1186" t="str">
        <f>IF(I1149=".",I1149,VLOOKUP($I1149,'Price List, Weapons &amp; Items'!B:D,3,0))</f>
        <v>Drone</v>
      </c>
      <c r="L1149" s="1187">
        <f>VLOOKUP(I1149,'Price List, Weapons &amp; Items'!B:E,4,0)</f>
        <v>0</v>
      </c>
      <c r="M1149" s="1188">
        <v>6</v>
      </c>
      <c r="N1149" s="1188">
        <v>6</v>
      </c>
      <c r="O1149" s="1188">
        <f>VLOOKUP($I1149,'Price List, Weapons &amp; Items'!B:G,6,0)</f>
        <v>6000</v>
      </c>
      <c r="P1149" s="1185">
        <f t="shared" si="236"/>
        <v>36000</v>
      </c>
      <c r="Q1149" s="1185">
        <f t="shared" si="237"/>
        <v>36000</v>
      </c>
      <c r="R1149" s="1185">
        <f t="shared" si="233"/>
        <v>36000</v>
      </c>
      <c r="S1149" s="1185">
        <f>IF(AND(AD1149=1,R1149&lt;&gt;".")=TRUE,R1149/VLOOKUP(G1149,'Exchange Rates'!B:C,2,0),IF(R1149=".",".",""))</f>
        <v>33124.769966875232</v>
      </c>
      <c r="T1149" s="1185">
        <f>IF(AD1149=1,IF(AF1149="Value is not given at all",".",IF(AF1149="Value is given by the source",S1149,IF(AF1149="Value is calculated with prices",(IF(SUMIFS(Q:Q,A:A,A1149)&gt;0,SUMIFS(Q:Q,A:A,A1149),"."))/VLOOKUP("USD",'Exchange Rates'!B:C,2,0),"Error with coding"))),"")</f>
        <v>33124.769966875232</v>
      </c>
      <c r="U1149" s="1184" t="s">
        <v>365</v>
      </c>
      <c r="V1149" s="980" t="s">
        <v>3111</v>
      </c>
      <c r="W1149" s="971" t="s">
        <v>364</v>
      </c>
      <c r="X1149" s="980" t="s">
        <v>364</v>
      </c>
      <c r="Y1149" s="981" t="s">
        <v>364</v>
      </c>
      <c r="Z1149" s="1184">
        <v>0</v>
      </c>
      <c r="AA1149" s="1194">
        <v>1</v>
      </c>
      <c r="AB1149" s="980" t="s">
        <v>3111</v>
      </c>
      <c r="AC1149" s="1192" t="str">
        <f>""</f>
        <v/>
      </c>
      <c r="AD1149" s="985">
        <v>1</v>
      </c>
      <c r="AE1149" s="985" t="s">
        <v>436</v>
      </c>
      <c r="AF1149" s="985" t="s">
        <v>436</v>
      </c>
      <c r="AG1149" s="985">
        <v>1</v>
      </c>
      <c r="AH1149" s="1193">
        <v>8</v>
      </c>
      <c r="AI1149" s="1193">
        <v>0</v>
      </c>
      <c r="AJ1149" s="1193">
        <f>VLOOKUP($I1149,'Price List, Weapons &amp; Items'!B:F,5,0)</f>
        <v>0</v>
      </c>
      <c r="AK1149" s="1193">
        <f t="shared" si="238"/>
        <v>0</v>
      </c>
      <c r="AL1149" s="1193">
        <f t="shared" si="239"/>
        <v>0</v>
      </c>
      <c r="AM1149" s="1193">
        <f t="shared" si="240"/>
        <v>0</v>
      </c>
      <c r="AN1149" s="1194" t="str">
        <f>VLOOKUP($I1149,'Price List, Weapons &amp; Items'!B:L,COLUMN('Price List, Weapons &amp; Items'!$J$11)-1,0)</f>
        <v>Miscellaneous</v>
      </c>
      <c r="AO1149" s="1194" t="str">
        <f>IF(I1149=".",".",VLOOKUP($I1149,'Price List, Weapons &amp; Items'!B:J,3,0))</f>
        <v>Drone</v>
      </c>
      <c r="AP1149" s="1195" t="str">
        <f t="shared" ca="1" si="234"/>
        <v>Drone</v>
      </c>
      <c r="AQ1149" s="1194">
        <f>VLOOKUP($I1149,'Price List, Weapons &amp; Items'!B:L,COLUMN('Price List, Weapons &amp; Items'!$L$11)-1,0)</f>
        <v>1</v>
      </c>
      <c r="AR1149" s="1194">
        <f t="shared" si="241"/>
        <v>1</v>
      </c>
      <c r="AS1149" s="1194">
        <f t="shared" si="242"/>
        <v>1</v>
      </c>
      <c r="AT1149" s="1194" t="str">
        <f t="shared" si="243"/>
        <v>Value is not in date format</v>
      </c>
      <c r="AU1149" s="1194" t="str">
        <f t="shared" si="244"/>
        <v>.</v>
      </c>
      <c r="AV1149" s="1194" t="str">
        <f t="shared" si="235"/>
        <v>.</v>
      </c>
      <c r="AW1149" s="1194" t="str">
        <f t="shared" si="245"/>
        <v>.</v>
      </c>
      <c r="AX1149" s="1194">
        <f>IFERROR(VLOOKUP(B1149,'Share, Heavy Weapons to Ukraine'!B:Z,COLUMN('Share, Heavy Weapons to Ukraine'!C1159)-1,0),0)</f>
        <v>0</v>
      </c>
      <c r="AY1149" s="1194">
        <f>VLOOKUP('Bilateral Assistance, MAIN DATA'!B1149,'Country Summary (€)'!B:F,COLUMN('Country Summary (€)'!C1160)-1,FALSE)</f>
        <v>1</v>
      </c>
      <c r="AZ1149" s="1194" t="str">
        <f>IF(AND(AD1149=1,D1149="Military",H1149&lt;&gt;"Not given")=TRUE,IF(SUMIFS(P:P,A:A,A1149)&gt;0,ABS((SUMIFS(P:P,A:A,A1149)/VLOOKUP("USD",'Exchange Rates'!B:C,2,0)))/S1149,"."),".")</f>
        <v>.</v>
      </c>
      <c r="BA1149" s="1196" t="str">
        <f>IF(AND(AD1149=1,D1149="Military",H1149&lt;&gt;"Not given")=TRUE,IF(SUMIFS(P:P,A:A,A1149)&gt;0,IF((ABS((SUMIFS(P:P,A:A,A1149)/VLOOKUP("USD",'Exchange Rates'!B:C,2,0)))/S1149)&gt;1,(SUMIFS(P:P,A:A,A1149)-S1149)/S1149,(S1149-SUMIFS(P:P,A:A,A1149))/SUMIFS(P:P,A:A,A1149)),"."),".")</f>
        <v>.</v>
      </c>
    </row>
    <row r="1150" spans="1:53" ht="15.95" customHeight="1">
      <c r="A1150" s="1180" t="s">
        <v>3127</v>
      </c>
      <c r="B1150" s="1180" t="s">
        <v>3079</v>
      </c>
      <c r="C1150" s="1181">
        <v>44848</v>
      </c>
      <c r="D1150" s="1182" t="s">
        <v>389</v>
      </c>
      <c r="E1150" s="1182" t="s">
        <v>390</v>
      </c>
      <c r="F1150" s="1183" t="s">
        <v>3128</v>
      </c>
      <c r="G1150" s="1184" t="s">
        <v>456</v>
      </c>
      <c r="H1150" s="1185" t="s">
        <v>457</v>
      </c>
      <c r="I1150" s="1180" t="s">
        <v>3129</v>
      </c>
      <c r="J1150" s="1186" t="str">
        <f>VLOOKUP($I1150,'Price List, Weapons &amp; Items'!B:C,2,0)</f>
        <v>Aviation and drones</v>
      </c>
      <c r="K1150" s="1186" t="str">
        <f>IF(I1150=".",I1150,VLOOKUP($I1150,'Price List, Weapons &amp; Items'!B:D,3,0))</f>
        <v>non combat military helicopter</v>
      </c>
      <c r="L1150" s="1187">
        <f>VLOOKUP(I1150,'Price List, Weapons &amp; Items'!B:E,4,0)</f>
        <v>1</v>
      </c>
      <c r="M1150" s="1188">
        <v>6</v>
      </c>
      <c r="N1150" s="1188" t="s">
        <v>374</v>
      </c>
      <c r="O1150" s="1188">
        <f>VLOOKUP($I1150,'Price List, Weapons &amp; Items'!B:G,6,0)</f>
        <v>5850000</v>
      </c>
      <c r="P1150" s="1185">
        <f t="shared" si="236"/>
        <v>35100000</v>
      </c>
      <c r="Q1150" s="1185" t="str">
        <f t="shared" si="237"/>
        <v>.</v>
      </c>
      <c r="R1150" s="1185">
        <f t="shared" si="233"/>
        <v>35100000</v>
      </c>
      <c r="S1150" s="1185">
        <f>IF(AND(AD1150=1,R1150&lt;&gt;".")=TRUE,R1150/VLOOKUP(G1150,'Exchange Rates'!B:C,2,0),IF(R1150=".",".",""))</f>
        <v>32296650.71770335</v>
      </c>
      <c r="T1150" s="1185" t="str">
        <f>IF(AD1150=1,IF(AF1150="Value is not given at all",".",IF(AF1150="Value is given by the source",S1150,IF(AF1150="Value is calculated with prices",(IF(SUMIFS(Q:Q,A:A,A1150)&gt;0,SUMIFS(Q:Q,A:A,A1150),"."))/VLOOKUP("USD",'Exchange Rates'!B:C,2,0),"Error with coding"))),"")</f>
        <v>.</v>
      </c>
      <c r="U1150" s="1184" t="s">
        <v>365</v>
      </c>
      <c r="V1150" s="980" t="s">
        <v>3130</v>
      </c>
      <c r="W1150" s="971" t="s">
        <v>3131</v>
      </c>
      <c r="X1150" s="980" t="s">
        <v>3111</v>
      </c>
      <c r="Y1150" s="981" t="s">
        <v>364</v>
      </c>
      <c r="Z1150" s="1184">
        <v>0</v>
      </c>
      <c r="AA1150" s="1194">
        <v>0</v>
      </c>
      <c r="AB1150" s="980" t="s">
        <v>364</v>
      </c>
      <c r="AC1150" s="1192" t="str">
        <f>""</f>
        <v/>
      </c>
      <c r="AD1150" s="985">
        <v>1</v>
      </c>
      <c r="AE1150" s="985" t="s">
        <v>436</v>
      </c>
      <c r="AF1150" s="985" t="s">
        <v>369</v>
      </c>
      <c r="AG1150" s="985">
        <v>1</v>
      </c>
      <c r="AH1150" s="1193">
        <v>10</v>
      </c>
      <c r="AI1150" s="1193">
        <v>0</v>
      </c>
      <c r="AJ1150" s="1193">
        <f>VLOOKUP($I1150,'Price List, Weapons &amp; Items'!B:F,5,0)</f>
        <v>0</v>
      </c>
      <c r="AK1150" s="1193">
        <f t="shared" si="238"/>
        <v>0</v>
      </c>
      <c r="AL1150" s="1193">
        <f t="shared" si="239"/>
        <v>0</v>
      </c>
      <c r="AM1150" s="1193">
        <f t="shared" si="240"/>
        <v>0</v>
      </c>
      <c r="AN1150" s="1194" t="str">
        <f>VLOOKUP($I1150,'Price List, Weapons &amp; Items'!B:L,COLUMN('Price List, Weapons &amp; Items'!$J$11)-1,0)</f>
        <v>Media reports (incl. social media)</v>
      </c>
      <c r="AO1150" s="1194" t="str">
        <f>IF(I1150=".",".",VLOOKUP($I1150,'Price List, Weapons &amp; Items'!B:J,3,0))</f>
        <v>non combat military helicopter</v>
      </c>
      <c r="AP1150" s="1195" t="str">
        <f t="shared" ca="1" si="234"/>
        <v>K-32 helicopter</v>
      </c>
      <c r="AQ1150" s="1194">
        <f>VLOOKUP($I1150,'Price List, Weapons &amp; Items'!B:L,COLUMN('Price List, Weapons &amp; Items'!$L$11)-1,0)</f>
        <v>2</v>
      </c>
      <c r="AR1150" s="1194">
        <f t="shared" si="241"/>
        <v>1</v>
      </c>
      <c r="AS1150" s="1194">
        <f t="shared" si="242"/>
        <v>1</v>
      </c>
      <c r="AT1150" s="1194">
        <f t="shared" si="243"/>
        <v>1</v>
      </c>
      <c r="AU1150" s="1194" t="str">
        <f t="shared" si="244"/>
        <v>.</v>
      </c>
      <c r="AV1150" s="1194" t="str">
        <f t="shared" si="235"/>
        <v>.</v>
      </c>
      <c r="AW1150" s="1194" t="str">
        <f t="shared" si="245"/>
        <v>.</v>
      </c>
      <c r="AX1150" s="1194">
        <f>IFERROR(VLOOKUP(B1150,'Share, Heavy Weapons to Ukraine'!B:Z,COLUMN('Share, Heavy Weapons to Ukraine'!C1160)-1,0),0)</f>
        <v>0</v>
      </c>
      <c r="AY1150" s="1194">
        <f>VLOOKUP('Bilateral Assistance, MAIN DATA'!B1150,'Country Summary (€)'!B:F,COLUMN('Country Summary (€)'!C1161)-1,FALSE)</f>
        <v>1</v>
      </c>
      <c r="AZ1150" s="1194" t="str">
        <f>IF(AND(AD1150=1,D1150="Military",H1150&lt;&gt;"Not given")=TRUE,IF(SUMIFS(P:P,A:A,A1150)&gt;0,ABS((SUMIFS(P:P,A:A,A1150)/VLOOKUP("USD",'Exchange Rates'!B:C,2,0)))/S1150,"."),".")</f>
        <v>.</v>
      </c>
      <c r="BA1150" s="1196" t="str">
        <f>IF(AND(AD1150=1,D1150="Military",H1150&lt;&gt;"Not given")=TRUE,IF(SUMIFS(P:P,A:A,A1150)&gt;0,IF((ABS((SUMIFS(P:P,A:A,A1150)/VLOOKUP("USD",'Exchange Rates'!B:C,2,0)))/S1150)&gt;1,(SUMIFS(P:P,A:A,A1150)-S1150)/S1150,(S1150-SUMIFS(P:P,A:A,A1150))/SUMIFS(P:P,A:A,A1150)),"."),".")</f>
        <v>.</v>
      </c>
    </row>
    <row r="1151" spans="1:53" ht="15.95" customHeight="1">
      <c r="A1151" s="1180" t="s">
        <v>3132</v>
      </c>
      <c r="B1151" s="1180" t="s">
        <v>3079</v>
      </c>
      <c r="C1151" s="1181">
        <v>44946</v>
      </c>
      <c r="D1151" s="1182" t="s">
        <v>389</v>
      </c>
      <c r="E1151" s="1182" t="s">
        <v>390</v>
      </c>
      <c r="F1151" s="1263" t="s">
        <v>3133</v>
      </c>
      <c r="G1151" s="1184" t="s">
        <v>456</v>
      </c>
      <c r="H1151" s="1185" t="s">
        <v>457</v>
      </c>
      <c r="I1151" s="1180" t="s">
        <v>428</v>
      </c>
      <c r="J1151" s="1186" t="str">
        <f>VLOOKUP($I1151,'Price List, Weapons &amp; Items'!B:C,2,0)</f>
        <v>Heavy weapon</v>
      </c>
      <c r="K1151" s="1186" t="str">
        <f>IF(I1151=".",I1151,VLOOKUP($I1151,'Price List, Weapons &amp; Items'!B:D,3,0))</f>
        <v>Armored Personnel Carrier (APC)</v>
      </c>
      <c r="L1151" s="1187">
        <f>VLOOKUP(I1151,'Price List, Weapons &amp; Items'!B:E,4,0)</f>
        <v>0</v>
      </c>
      <c r="M1151" s="1188">
        <v>14</v>
      </c>
      <c r="N1151" s="1188">
        <v>14</v>
      </c>
      <c r="O1151" s="1188">
        <f>VLOOKUP($I1151,'Price List, Weapons &amp; Items'!B:G,6,0)</f>
        <v>300000</v>
      </c>
      <c r="P1151" s="1185">
        <f t="shared" si="236"/>
        <v>4200000</v>
      </c>
      <c r="Q1151" s="1185">
        <f t="shared" si="237"/>
        <v>4200000</v>
      </c>
      <c r="R1151" s="1185">
        <f t="shared" si="233"/>
        <v>4397728</v>
      </c>
      <c r="S1151" s="1185">
        <f>IF(AND(AD1151=1,R1151&lt;&gt;".")=TRUE,R1151/VLOOKUP(G1151,'Exchange Rates'!B:C,2,0),IF(R1151=".",".",""))</f>
        <v>4046492.4549135077</v>
      </c>
      <c r="T1151" s="1185">
        <f>IF(AD1151=1,IF(AF1151="Value is not given at all",".",IF(AF1151="Value is given by the source",S1151,IF(AF1151="Value is calculated with prices",(IF(SUMIFS(Q:Q,A:A,A1151)&gt;0,SUMIFS(Q:Q,A:A,A1151),"."))/VLOOKUP("USD",'Exchange Rates'!B:C,2,0),"Error with coding"))),"")</f>
        <v>4046492.4549135077</v>
      </c>
      <c r="U1151" s="1184" t="s">
        <v>365</v>
      </c>
      <c r="V1151" s="1002" t="s">
        <v>3134</v>
      </c>
      <c r="W1151" s="973" t="s">
        <v>3135</v>
      </c>
      <c r="X1151" s="1003" t="s">
        <v>3136</v>
      </c>
      <c r="Y1151" s="980" t="s">
        <v>3111</v>
      </c>
      <c r="Z1151" s="1184">
        <v>0</v>
      </c>
      <c r="AA1151" s="1194">
        <v>0</v>
      </c>
      <c r="AB1151" s="980" t="s">
        <v>3111</v>
      </c>
      <c r="AC1151" s="1192" t="str">
        <f>""</f>
        <v/>
      </c>
      <c r="AD1151" s="985">
        <v>1</v>
      </c>
      <c r="AE1151" s="985" t="s">
        <v>436</v>
      </c>
      <c r="AF1151" s="985" t="s">
        <v>436</v>
      </c>
      <c r="AG1151" s="985">
        <v>1</v>
      </c>
      <c r="AH1151" s="1193">
        <v>13</v>
      </c>
      <c r="AI1151" s="1193">
        <v>0</v>
      </c>
      <c r="AJ1151" s="1193">
        <f>VLOOKUP($I1151,'Price List, Weapons &amp; Items'!B:F,5,0)</f>
        <v>1</v>
      </c>
      <c r="AK1151" s="1193">
        <f t="shared" si="238"/>
        <v>0</v>
      </c>
      <c r="AL1151" s="1193">
        <f t="shared" si="239"/>
        <v>0</v>
      </c>
      <c r="AM1151" s="1193">
        <f t="shared" si="240"/>
        <v>0</v>
      </c>
      <c r="AN1151" s="1194" t="str">
        <f>VLOOKUP($I1151,'Price List, Weapons &amp; Items'!B:L,COLUMN('Price List, Weapons &amp; Items'!$J$11)-1,0)</f>
        <v>Military media (incl. websites)</v>
      </c>
      <c r="AO1151" s="1194" t="str">
        <f>IF(I1151=".",".",VLOOKUP($I1151,'Price List, Weapons &amp; Items'!B:J,3,0))</f>
        <v>Armored Personnel Carrier (APC)</v>
      </c>
      <c r="AP1151" s="1195" t="str">
        <f t="shared" ca="1" si="234"/>
        <v>M113 armored personnel carrier</v>
      </c>
      <c r="AQ1151" s="1194">
        <f>VLOOKUP($I1151,'Price List, Weapons &amp; Items'!B:L,COLUMN('Price List, Weapons &amp; Items'!$L$11)-1,0)</f>
        <v>2</v>
      </c>
      <c r="AR1151" s="1194">
        <f t="shared" si="241"/>
        <v>1</v>
      </c>
      <c r="AS1151" s="1194">
        <f t="shared" si="242"/>
        <v>1</v>
      </c>
      <c r="AT1151" s="1194">
        <f t="shared" si="243"/>
        <v>1</v>
      </c>
      <c r="AU1151" s="1194" t="str">
        <f t="shared" si="244"/>
        <v>.</v>
      </c>
      <c r="AV1151" s="1194" t="str">
        <f t="shared" si="235"/>
        <v>.</v>
      </c>
      <c r="AW1151" s="1194" t="str">
        <f t="shared" si="245"/>
        <v>.</v>
      </c>
      <c r="AX1151" s="1194">
        <f>IFERROR(VLOOKUP(B1151,'Share, Heavy Weapons to Ukraine'!B:Z,COLUMN('Share, Heavy Weapons to Ukraine'!C1161)-1,0),0)</f>
        <v>0</v>
      </c>
      <c r="AY1151" s="1194">
        <f>VLOOKUP('Bilateral Assistance, MAIN DATA'!B1151,'Country Summary (€)'!B:F,COLUMN('Country Summary (€)'!C1162)-1,FALSE)</f>
        <v>1</v>
      </c>
      <c r="AZ1151" s="1194" t="str">
        <f>IF(AND(AD1151=1,D1151="Military",H1151&lt;&gt;"Not given")=TRUE,IF(SUMIFS(P:P,A:A,A1151)&gt;0,ABS((SUMIFS(P:P,A:A,A1151)/VLOOKUP("USD",'Exchange Rates'!B:C,2,0)))/S1151,"."),".")</f>
        <v>.</v>
      </c>
      <c r="BA1151" s="1196" t="str">
        <f>IF(AND(AD1151=1,D1151="Military",H1151&lt;&gt;"Not given")=TRUE,IF(SUMIFS(P:P,A:A,A1151)&gt;0,IF((ABS((SUMIFS(P:P,A:A,A1151)/VLOOKUP("USD",'Exchange Rates'!B:C,2,0)))/S1151)&gt;1,(SUMIFS(P:P,A:A,A1151)-S1151)/S1151,(S1151-SUMIFS(P:P,A:A,A1151))/SUMIFS(P:P,A:A,A1151)),"."),".")</f>
        <v>.</v>
      </c>
    </row>
    <row r="1152" spans="1:53" ht="15.95" customHeight="1">
      <c r="A1152" s="1180" t="s">
        <v>3132</v>
      </c>
      <c r="B1152" s="1180" t="s">
        <v>3079</v>
      </c>
      <c r="C1152" s="1181">
        <v>44946</v>
      </c>
      <c r="D1152" s="1182" t="s">
        <v>389</v>
      </c>
      <c r="E1152" s="1182" t="s">
        <v>390</v>
      </c>
      <c r="F1152" s="1263" t="s">
        <v>3133</v>
      </c>
      <c r="G1152" s="1184" t="s">
        <v>456</v>
      </c>
      <c r="H1152" s="1185" t="s">
        <v>457</v>
      </c>
      <c r="I1152" s="1190" t="s">
        <v>596</v>
      </c>
      <c r="J1152" s="1186" t="str">
        <f>VLOOKUP($I1152,'Price List, Weapons &amp; Items'!B:C,2,0)</f>
        <v>Military equipment</v>
      </c>
      <c r="K1152" s="1186" t="str">
        <f>IF(I1152=".",I1152,VLOOKUP($I1152,'Price List, Weapons &amp; Items'!B:D,3,0))</f>
        <v>Military equipment</v>
      </c>
      <c r="L1152" s="1187">
        <f>VLOOKUP(I1152,'Price List, Weapons &amp; Items'!B:E,4,0)</f>
        <v>0</v>
      </c>
      <c r="M1152" s="1188">
        <v>8</v>
      </c>
      <c r="N1152" s="1188">
        <v>8</v>
      </c>
      <c r="O1152" s="1188">
        <f>VLOOKUP($I1152,'Price List, Weapons &amp; Items'!B:G,6,0)</f>
        <v>22216</v>
      </c>
      <c r="P1152" s="1185">
        <f t="shared" si="236"/>
        <v>177728</v>
      </c>
      <c r="Q1152" s="1185">
        <f t="shared" si="237"/>
        <v>177728</v>
      </c>
      <c r="R1152" s="1185" t="str">
        <f t="shared" si="233"/>
        <v/>
      </c>
      <c r="S1152" s="1185" t="str">
        <f>IF(AND(AD1152=1,R1152&lt;&gt;".")=TRUE,R1152/VLOOKUP(G1152,'Exchange Rates'!B:C,2,0),IF(R1152=".",".",""))</f>
        <v/>
      </c>
      <c r="T1152" s="1185" t="str">
        <f>IF(AD1152=1,IF(AF1152="Value is not given at all",".",IF(AF1152="Value is given by the source",S1152,IF(AF1152="Value is calculated with prices",(IF(SUMIFS(Q:Q,A:A,A1152)&gt;0,SUMIFS(Q:Q,A:A,A1152),"."))/VLOOKUP("USD",'Exchange Rates'!B:C,2,0),"Error with coding"))),"")</f>
        <v/>
      </c>
      <c r="U1152" s="1184" t="s">
        <v>365</v>
      </c>
      <c r="V1152" s="1002" t="s">
        <v>3134</v>
      </c>
      <c r="W1152" s="973" t="s">
        <v>3135</v>
      </c>
      <c r="X1152" s="1003" t="s">
        <v>3136</v>
      </c>
      <c r="Y1152" s="980" t="s">
        <v>3111</v>
      </c>
      <c r="Z1152" s="1184">
        <v>0</v>
      </c>
      <c r="AA1152" s="1194">
        <v>0</v>
      </c>
      <c r="AB1152" s="980" t="s">
        <v>3111</v>
      </c>
      <c r="AC1152" s="1192" t="str">
        <f>""</f>
        <v/>
      </c>
      <c r="AD1152" s="985">
        <v>0</v>
      </c>
      <c r="AE1152" s="985" t="s">
        <v>436</v>
      </c>
      <c r="AF1152" s="985" t="s">
        <v>436</v>
      </c>
      <c r="AG1152" s="985">
        <v>1</v>
      </c>
      <c r="AH1152" s="1193">
        <v>13</v>
      </c>
      <c r="AI1152" s="1193">
        <v>0</v>
      </c>
      <c r="AJ1152" s="1193">
        <f>VLOOKUP($I1152,'Price List, Weapons &amp; Items'!B:F,5,0)</f>
        <v>0</v>
      </c>
      <c r="AK1152" s="1193">
        <f t="shared" si="238"/>
        <v>0</v>
      </c>
      <c r="AL1152" s="1193">
        <f t="shared" si="239"/>
        <v>0</v>
      </c>
      <c r="AM1152" s="1193">
        <f t="shared" si="240"/>
        <v>0</v>
      </c>
      <c r="AN1152" s="1194" t="str">
        <f>VLOOKUP($I1152,'Price List, Weapons &amp; Items'!B:L,COLUMN('Price List, Weapons &amp; Items'!$J$11)-1,0)</f>
        <v>Government information</v>
      </c>
      <c r="AO1152" s="1194" t="str">
        <f>IF(I1152=".",".",VLOOKUP($I1152,'Price List, Weapons &amp; Items'!B:J,3,0))</f>
        <v>Military equipment</v>
      </c>
      <c r="AP1152" s="1195" t="str">
        <f t="shared" ca="1" si="234"/>
        <v/>
      </c>
      <c r="AQ1152" s="1194">
        <f>VLOOKUP($I1152,'Price List, Weapons &amp; Items'!B:L,COLUMN('Price List, Weapons &amp; Items'!$L$11)-1,0)</f>
        <v>2</v>
      </c>
      <c r="AR1152" s="1194">
        <f t="shared" si="241"/>
        <v>1</v>
      </c>
      <c r="AS1152" s="1194">
        <f t="shared" si="242"/>
        <v>1</v>
      </c>
      <c r="AT1152" s="1194">
        <f t="shared" si="243"/>
        <v>1</v>
      </c>
      <c r="AU1152" s="1194" t="str">
        <f t="shared" si="244"/>
        <v>.</v>
      </c>
      <c r="AV1152" s="1194" t="str">
        <f t="shared" si="235"/>
        <v>.</v>
      </c>
      <c r="AW1152" s="1194" t="str">
        <f t="shared" si="245"/>
        <v>.</v>
      </c>
      <c r="AX1152" s="1194">
        <f>IFERROR(VLOOKUP(B1152,'Share, Heavy Weapons to Ukraine'!B:Z,COLUMN('Share, Heavy Weapons to Ukraine'!C1162)-1,0),0)</f>
        <v>0</v>
      </c>
      <c r="AY1152" s="1194">
        <f>VLOOKUP('Bilateral Assistance, MAIN DATA'!B1152,'Country Summary (€)'!B:F,COLUMN('Country Summary (€)'!C1163)-1,FALSE)</f>
        <v>1</v>
      </c>
      <c r="AZ1152" s="1194" t="str">
        <f>IF(AND(AD1152=1,D1152="Military",H1152&lt;&gt;"Not given")=TRUE,IF(SUMIFS(P:P,A:A,A1152)&gt;0,ABS((SUMIFS(P:P,A:A,A1152)/VLOOKUP("USD",'Exchange Rates'!B:C,2,0)))/S1152,"."),".")</f>
        <v>.</v>
      </c>
      <c r="BA1152" s="1196" t="str">
        <f>IF(AND(AD1152=1,D1152="Military",H1152&lt;&gt;"Not given")=TRUE,IF(SUMIFS(P:P,A:A,A1152)&gt;0,IF((ABS((SUMIFS(P:P,A:A,A1152)/VLOOKUP("USD",'Exchange Rates'!B:C,2,0)))/S1152)&gt;1,(SUMIFS(P:P,A:A,A1152)-S1152)/S1152,(S1152-SUMIFS(P:P,A:A,A1152))/SUMIFS(P:P,A:A,A1152)),"."),".")</f>
        <v>.</v>
      </c>
    </row>
    <row r="1153" spans="1:53" ht="15.95" customHeight="1">
      <c r="A1153" s="1180" t="s">
        <v>3132</v>
      </c>
      <c r="B1153" s="1180" t="s">
        <v>3079</v>
      </c>
      <c r="C1153" s="1181">
        <v>44946</v>
      </c>
      <c r="D1153" s="1182" t="s">
        <v>389</v>
      </c>
      <c r="E1153" s="1182" t="s">
        <v>390</v>
      </c>
      <c r="F1153" s="1263" t="s">
        <v>3133</v>
      </c>
      <c r="G1153" s="1184" t="s">
        <v>456</v>
      </c>
      <c r="H1153" s="1185" t="s">
        <v>457</v>
      </c>
      <c r="I1153" s="1190" t="s">
        <v>3137</v>
      </c>
      <c r="J1153" s="1186" t="str">
        <f>VLOOKUP($I1153,'Price List, Weapons &amp; Items'!B:C,2,0)</f>
        <v>Ammunition for heavy weapon</v>
      </c>
      <c r="K1153" s="1186" t="str">
        <f>IF(I1153=".",I1153,VLOOKUP($I1153,'Price List, Weapons &amp; Items'!B:D,3,0))</f>
        <v>Mortar ammunition</v>
      </c>
      <c r="L1153" s="1187">
        <f>VLOOKUP(I1153,'Price List, Weapons &amp; Items'!B:E,4,0)</f>
        <v>0</v>
      </c>
      <c r="M1153" s="1188" t="s">
        <v>374</v>
      </c>
      <c r="N1153" s="1188" t="s">
        <v>374</v>
      </c>
      <c r="O1153" s="1188">
        <f>VLOOKUP($I1153,'Price List, Weapons &amp; Items'!B:G,6,0)</f>
        <v>109.89</v>
      </c>
      <c r="P1153" s="1185" t="str">
        <f t="shared" si="236"/>
        <v>.</v>
      </c>
      <c r="Q1153" s="1185" t="str">
        <f t="shared" si="237"/>
        <v>.</v>
      </c>
      <c r="R1153" s="1185" t="str">
        <f t="shared" si="233"/>
        <v/>
      </c>
      <c r="S1153" s="1185" t="str">
        <f>IF(AND(AD1153=1,R1153&lt;&gt;".")=TRUE,R1153/VLOOKUP(G1153,'Exchange Rates'!B:C,2,0),IF(R1153=".",".",""))</f>
        <v/>
      </c>
      <c r="T1153" s="1185" t="str">
        <f>IF(AD1153=1,IF(AF1153="Value is not given at all",".",IF(AF1153="Value is given by the source",S1153,IF(AF1153="Value is calculated with prices",(IF(SUMIFS(Q:Q,A:A,A1153)&gt;0,SUMIFS(Q:Q,A:A,A1153),"."))/VLOOKUP("USD",'Exchange Rates'!B:C,2,0),"Error with coding"))),"")</f>
        <v/>
      </c>
      <c r="U1153" s="1184" t="s">
        <v>365</v>
      </c>
      <c r="V1153" s="1002" t="s">
        <v>3134</v>
      </c>
      <c r="W1153" s="973" t="s">
        <v>3135</v>
      </c>
      <c r="X1153" s="1003" t="s">
        <v>3136</v>
      </c>
      <c r="Y1153" s="980" t="s">
        <v>3111</v>
      </c>
      <c r="Z1153" s="1184">
        <v>0</v>
      </c>
      <c r="AA1153" s="1194">
        <v>0</v>
      </c>
      <c r="AB1153" s="980" t="s">
        <v>3111</v>
      </c>
      <c r="AC1153" s="1192" t="str">
        <f>""</f>
        <v/>
      </c>
      <c r="AD1153" s="985">
        <v>0</v>
      </c>
      <c r="AE1153" s="985" t="s">
        <v>436</v>
      </c>
      <c r="AF1153" s="985" t="s">
        <v>369</v>
      </c>
      <c r="AG1153" s="985">
        <v>1</v>
      </c>
      <c r="AH1153" s="1193">
        <v>13</v>
      </c>
      <c r="AI1153" s="1193">
        <v>0</v>
      </c>
      <c r="AJ1153" s="1193">
        <f>VLOOKUP($I1153,'Price List, Weapons &amp; Items'!B:F,5,0)</f>
        <v>0</v>
      </c>
      <c r="AK1153" s="1193">
        <f t="shared" si="238"/>
        <v>0</v>
      </c>
      <c r="AL1153" s="1193">
        <f t="shared" si="239"/>
        <v>0</v>
      </c>
      <c r="AM1153" s="1193">
        <f t="shared" si="240"/>
        <v>0</v>
      </c>
      <c r="AN1153" s="1194" t="str">
        <f>VLOOKUP($I1153,'Price List, Weapons &amp; Items'!B:L,COLUMN('Price List, Weapons &amp; Items'!$J$11)-1,0)</f>
        <v>Government information</v>
      </c>
      <c r="AO1153" s="1194" t="str">
        <f>IF(I1153=".",".",VLOOKUP($I1153,'Price List, Weapons &amp; Items'!B:J,3,0))</f>
        <v>Mortar ammunition</v>
      </c>
      <c r="AP1153" s="1195" t="str">
        <f t="shared" ca="1" si="234"/>
        <v/>
      </c>
      <c r="AQ1153" s="1194">
        <f>VLOOKUP($I1153,'Price List, Weapons &amp; Items'!B:L,COLUMN('Price List, Weapons &amp; Items'!$L$11)-1,0)</f>
        <v>2</v>
      </c>
      <c r="AR1153" s="1194">
        <f t="shared" si="241"/>
        <v>1</v>
      </c>
      <c r="AS1153" s="1194">
        <f t="shared" si="242"/>
        <v>1</v>
      </c>
      <c r="AT1153" s="1194">
        <f t="shared" si="243"/>
        <v>1</v>
      </c>
      <c r="AU1153" s="1194" t="str">
        <f t="shared" si="244"/>
        <v>.</v>
      </c>
      <c r="AV1153" s="1194" t="str">
        <f t="shared" si="235"/>
        <v>.</v>
      </c>
      <c r="AW1153" s="1194" t="str">
        <f t="shared" si="245"/>
        <v>.</v>
      </c>
      <c r="AX1153" s="1194">
        <f>IFERROR(VLOOKUP(B1153,'Share, Heavy Weapons to Ukraine'!B:Z,COLUMN('Share, Heavy Weapons to Ukraine'!C1163)-1,0),0)</f>
        <v>0</v>
      </c>
      <c r="AY1153" s="1194">
        <f>VLOOKUP('Bilateral Assistance, MAIN DATA'!B1153,'Country Summary (€)'!B:F,COLUMN('Country Summary (€)'!C1164)-1,FALSE)</f>
        <v>1</v>
      </c>
      <c r="AZ1153" s="1194" t="str">
        <f>IF(AND(AD1153=1,D1153="Military",H1153&lt;&gt;"Not given")=TRUE,IF(SUMIFS(P:P,A:A,A1153)&gt;0,ABS((SUMIFS(P:P,A:A,A1153)/VLOOKUP("USD",'Exchange Rates'!B:C,2,0)))/S1153,"."),".")</f>
        <v>.</v>
      </c>
      <c r="BA1153" s="1196" t="str">
        <f>IF(AND(AD1153=1,D1153="Military",H1153&lt;&gt;"Not given")=TRUE,IF(SUMIFS(P:P,A:A,A1153)&gt;0,IF((ABS((SUMIFS(P:P,A:A,A1153)/VLOOKUP("USD",'Exchange Rates'!B:C,2,0)))/S1153)&gt;1,(SUMIFS(P:P,A:A,A1153)-S1153)/S1153,(S1153-SUMIFS(P:P,A:A,A1153))/SUMIFS(P:P,A:A,A1153)),"."),".")</f>
        <v>.</v>
      </c>
    </row>
    <row r="1154" spans="1:53" ht="15.95" customHeight="1">
      <c r="A1154" s="1180" t="s">
        <v>3132</v>
      </c>
      <c r="B1154" s="1180" t="s">
        <v>3079</v>
      </c>
      <c r="C1154" s="1181">
        <v>44946</v>
      </c>
      <c r="D1154" s="1182" t="s">
        <v>389</v>
      </c>
      <c r="E1154" s="1182" t="s">
        <v>390</v>
      </c>
      <c r="F1154" s="1263" t="s">
        <v>3133</v>
      </c>
      <c r="G1154" s="1184" t="s">
        <v>456</v>
      </c>
      <c r="H1154" s="1185" t="s">
        <v>457</v>
      </c>
      <c r="I1154" s="1190" t="s">
        <v>1561</v>
      </c>
      <c r="J1154" s="1186" t="str">
        <f>VLOOKUP($I1154,'Price List, Weapons &amp; Items'!B:C,2,0)</f>
        <v>Humanitarian</v>
      </c>
      <c r="K1154" s="1186" t="str">
        <f>IF(I1154=".",I1154,VLOOKUP($I1154,'Price List, Weapons &amp; Items'!B:D,3,0))</f>
        <v>Humanitarian</v>
      </c>
      <c r="L1154" s="1187">
        <f>VLOOKUP(I1154,'Price List, Weapons &amp; Items'!B:E,4,0)</f>
        <v>0</v>
      </c>
      <c r="M1154" s="1188">
        <v>2</v>
      </c>
      <c r="N1154" s="1188">
        <v>2</v>
      </c>
      <c r="O1154" s="1188">
        <f>VLOOKUP($I1154,'Price List, Weapons &amp; Items'!B:G,6,0)</f>
        <v>10000</v>
      </c>
      <c r="P1154" s="1185">
        <f t="shared" si="236"/>
        <v>20000</v>
      </c>
      <c r="Q1154" s="1185">
        <f t="shared" si="237"/>
        <v>20000</v>
      </c>
      <c r="R1154" s="1185" t="str">
        <f t="shared" ref="R1154:R1217" si="246">IF(AD1154=1,IF(H1154&lt;&gt;"Not given",H1154,IF(TYPE(H1154)=2,IF(SUMIFS(P:P,A:A,A1154)&gt;0,SUMIFS(P:P,A:A,A1154),"."),"Format error")),"")</f>
        <v/>
      </c>
      <c r="S1154" s="1185" t="str">
        <f>IF(AND(AD1154=1,R1154&lt;&gt;".")=TRUE,R1154/VLOOKUP(G1154,'Exchange Rates'!B:C,2,0),IF(R1154=".",".",""))</f>
        <v/>
      </c>
      <c r="T1154" s="1185" t="str">
        <f>IF(AD1154=1,IF(AF1154="Value is not given at all",".",IF(AF1154="Value is given by the source",S1154,IF(AF1154="Value is calculated with prices",(IF(SUMIFS(Q:Q,A:A,A1154)&gt;0,SUMIFS(Q:Q,A:A,A1154),"."))/VLOOKUP("USD",'Exchange Rates'!B:C,2,0),"Error with coding"))),"")</f>
        <v/>
      </c>
      <c r="U1154" s="1184" t="s">
        <v>365</v>
      </c>
      <c r="V1154" s="1002" t="s">
        <v>3134</v>
      </c>
      <c r="W1154" s="973" t="s">
        <v>3135</v>
      </c>
      <c r="X1154" s="1003" t="s">
        <v>3136</v>
      </c>
      <c r="Y1154" s="980" t="s">
        <v>3111</v>
      </c>
      <c r="Z1154" s="1184">
        <v>0</v>
      </c>
      <c r="AA1154" s="1194">
        <v>0</v>
      </c>
      <c r="AB1154" s="980" t="s">
        <v>3111</v>
      </c>
      <c r="AC1154" s="1192" t="str">
        <f>""</f>
        <v/>
      </c>
      <c r="AD1154" s="985">
        <v>0</v>
      </c>
      <c r="AE1154" s="985" t="s">
        <v>436</v>
      </c>
      <c r="AF1154" s="985" t="s">
        <v>436</v>
      </c>
      <c r="AG1154" s="985">
        <v>1</v>
      </c>
      <c r="AH1154" s="1193">
        <v>13</v>
      </c>
      <c r="AI1154" s="1193">
        <v>0</v>
      </c>
      <c r="AJ1154" s="1193">
        <f>VLOOKUP($I1154,'Price List, Weapons &amp; Items'!B:F,5,0)</f>
        <v>0</v>
      </c>
      <c r="AK1154" s="1193">
        <f t="shared" si="238"/>
        <v>0</v>
      </c>
      <c r="AL1154" s="1193">
        <f t="shared" si="239"/>
        <v>0</v>
      </c>
      <c r="AM1154" s="1193">
        <f t="shared" si="240"/>
        <v>0</v>
      </c>
      <c r="AN1154" s="1194" t="str">
        <f>VLOOKUP($I1154,'Price List, Weapons &amp; Items'!B:L,COLUMN('Price List, Weapons &amp; Items'!$J$11)-1,0)</f>
        <v>Miscellaneous</v>
      </c>
      <c r="AO1154" s="1194" t="str">
        <f>IF(I1154=".",".",VLOOKUP($I1154,'Price List, Weapons &amp; Items'!B:J,3,0))</f>
        <v>Humanitarian</v>
      </c>
      <c r="AP1154" s="1195" t="str">
        <f t="shared" ref="AP1154:AP1217" ca="1" si="247">IF(AD1154=1,(OFFSET(I1154,0,0,COUNTIF(A:A,A1154),1)),"")</f>
        <v/>
      </c>
      <c r="AQ1154" s="1194">
        <f>VLOOKUP($I1154,'Price List, Weapons &amp; Items'!B:L,COLUMN('Price List, Weapons &amp; Items'!$L$11)-1,0)</f>
        <v>0</v>
      </c>
      <c r="AR1154" s="1194">
        <f t="shared" si="241"/>
        <v>1</v>
      </c>
      <c r="AS1154" s="1194">
        <f t="shared" si="242"/>
        <v>1</v>
      </c>
      <c r="AT1154" s="1194">
        <f t="shared" si="243"/>
        <v>1</v>
      </c>
      <c r="AU1154" s="1194" t="str">
        <f t="shared" si="244"/>
        <v>.</v>
      </c>
      <c r="AV1154" s="1194" t="str">
        <f t="shared" ref="AV1154:AV1217" si="248">IF(AND(_xlfn.ISFORMULA(R1154),_xlfn.ISFORMULA(S1154),_xlfn.ISFORMULA(T1154))=TRUE,".",1)</f>
        <v>.</v>
      </c>
      <c r="AW1154" s="1194" t="str">
        <f t="shared" si="245"/>
        <v>.</v>
      </c>
      <c r="AX1154" s="1194">
        <f>IFERROR(VLOOKUP(B1154,'Share, Heavy Weapons to Ukraine'!B:Z,COLUMN('Share, Heavy Weapons to Ukraine'!C1164)-1,0),0)</f>
        <v>0</v>
      </c>
      <c r="AY1154" s="1194">
        <f>VLOOKUP('Bilateral Assistance, MAIN DATA'!B1154,'Country Summary (€)'!B:F,COLUMN('Country Summary (€)'!C1165)-1,FALSE)</f>
        <v>1</v>
      </c>
      <c r="AZ1154" s="1194" t="str">
        <f>IF(AND(AD1154=1,D1154="Military",H1154&lt;&gt;"Not given")=TRUE,IF(SUMIFS(P:P,A:A,A1154)&gt;0,ABS((SUMIFS(P:P,A:A,A1154)/VLOOKUP("USD",'Exchange Rates'!B:C,2,0)))/S1154,"."),".")</f>
        <v>.</v>
      </c>
      <c r="BA1154" s="1196" t="str">
        <f>IF(AND(AD1154=1,D1154="Military",H1154&lt;&gt;"Not given")=TRUE,IF(SUMIFS(P:P,A:A,A1154)&gt;0,IF((ABS((SUMIFS(P:P,A:A,A1154)/VLOOKUP("USD",'Exchange Rates'!B:C,2,0)))/S1154)&gt;1,(SUMIFS(P:P,A:A,A1154)-S1154)/S1154,(S1154-SUMIFS(P:P,A:A,A1154))/SUMIFS(P:P,A:A,A1154)),"."),".")</f>
        <v>.</v>
      </c>
    </row>
    <row r="1155" spans="1:53" ht="15.95" customHeight="1">
      <c r="A1155" s="1180" t="s">
        <v>3138</v>
      </c>
      <c r="B1155" s="1180" t="s">
        <v>3079</v>
      </c>
      <c r="C1155" s="1181">
        <v>44959</v>
      </c>
      <c r="D1155" s="1182" t="s">
        <v>389</v>
      </c>
      <c r="E1155" s="1182" t="s">
        <v>390</v>
      </c>
      <c r="F1155" s="1263" t="s">
        <v>3139</v>
      </c>
      <c r="G1155" s="1184" t="s">
        <v>456</v>
      </c>
      <c r="H1155" s="1185" t="s">
        <v>457</v>
      </c>
      <c r="I1155" s="1180" t="s">
        <v>1933</v>
      </c>
      <c r="J1155" s="1186" t="str">
        <f>VLOOKUP($I1155,'Price List, Weapons &amp; Items'!B:C,2,0)</f>
        <v>Heavy weapon</v>
      </c>
      <c r="K1155" s="1186" t="str">
        <f>IF(I1155=".",I1155,VLOOKUP($I1155,'Price List, Weapons &amp; Items'!B:D,3,0))</f>
        <v>Main Battle Tank (MBT)</v>
      </c>
      <c r="L1155" s="1187">
        <f>VLOOKUP(I1155,'Price List, Weapons &amp; Items'!B:E,4,0)</f>
        <v>0</v>
      </c>
      <c r="M1155" s="1188">
        <v>3</v>
      </c>
      <c r="N1155" s="1188">
        <v>3</v>
      </c>
      <c r="O1155" s="1188">
        <f>VLOOKUP($I1155,'Price List, Weapons &amp; Items'!B:G,6,0)</f>
        <v>10000000</v>
      </c>
      <c r="P1155" s="1185">
        <f t="shared" ref="P1155:P1218" si="249">IF(TYPE(M1155)=1,IF(TYPE(O1155)=1,M1155*O1155,"No price"),".")</f>
        <v>30000000</v>
      </c>
      <c r="Q1155" s="1185">
        <f t="shared" ref="Q1155:Q1218" si="250">IF(TYPE(N1155)=1,IF(TYPE(O1155)=1,N1155*O1155,"No price"),".")</f>
        <v>30000000</v>
      </c>
      <c r="R1155" s="1185">
        <f t="shared" si="246"/>
        <v>30000000</v>
      </c>
      <c r="S1155" s="1185">
        <f>IF(AND(AD1155=1,R1155&lt;&gt;".")=TRUE,R1155/VLOOKUP(G1155,'Exchange Rates'!B:C,2,0),IF(R1155=".",".",""))</f>
        <v>27603974.972396024</v>
      </c>
      <c r="T1155" s="1185">
        <f>IF(AD1155=1,IF(AF1155="Value is not given at all",".",IF(AF1155="Value is given by the source",S1155,IF(AF1155="Value is calculated with prices",(IF(SUMIFS(Q:Q,A:A,A1155)&gt;0,SUMIFS(Q:Q,A:A,A1155),"."))/VLOOKUP("USD",'Exchange Rates'!B:C,2,0),"Error with coding"))),"")</f>
        <v>27603974.972396024</v>
      </c>
      <c r="U1155" s="1184" t="s">
        <v>365</v>
      </c>
      <c r="V1155" s="1002" t="s">
        <v>3140</v>
      </c>
      <c r="W1155" s="1002" t="s">
        <v>3141</v>
      </c>
      <c r="X1155" s="980" t="s">
        <v>3142</v>
      </c>
      <c r="Y1155" s="980" t="s">
        <v>3111</v>
      </c>
      <c r="Z1155" s="1184">
        <v>0</v>
      </c>
      <c r="AA1155" s="1194">
        <v>0</v>
      </c>
      <c r="AB1155" s="964" t="s">
        <v>3143</v>
      </c>
      <c r="AC1155" s="1192" t="str">
        <f>""</f>
        <v/>
      </c>
      <c r="AD1155" s="985">
        <v>1</v>
      </c>
      <c r="AE1155" s="985" t="s">
        <v>436</v>
      </c>
      <c r="AF1155" s="985" t="s">
        <v>436</v>
      </c>
      <c r="AG1155" s="985">
        <v>1</v>
      </c>
      <c r="AH1155" s="1193">
        <v>14</v>
      </c>
      <c r="AI1155" s="1193">
        <v>0</v>
      </c>
      <c r="AJ1155" s="1193">
        <f>VLOOKUP($I1155,'Price List, Weapons &amp; Items'!B:F,5,0)</f>
        <v>1</v>
      </c>
      <c r="AK1155" s="1193">
        <f t="shared" ref="AK1155:AK1218" si="251">IF(AND(AJ1155=1,M1155="undisclosed")=TRUE,1,0)</f>
        <v>0</v>
      </c>
      <c r="AL1155" s="1193">
        <f t="shared" ref="AL1155:AL1218" si="252">IF(AND(AJ1155=1,N1155="undisclosed")=TRUE,1,0)</f>
        <v>0</v>
      </c>
      <c r="AM1155" s="1193">
        <f t="shared" ref="AM1155:AM1218" si="253">IFERROR(IF(SEARCH("ammuni",I1155,1)&gt;0,1,0),0)</f>
        <v>0</v>
      </c>
      <c r="AN1155" s="1194" t="str">
        <f>VLOOKUP($I1155,'Price List, Weapons &amp; Items'!B:L,COLUMN('Price List, Weapons &amp; Items'!$J$11)-1,0)</f>
        <v>Contracts</v>
      </c>
      <c r="AO1155" s="1194" t="str">
        <f>IF(I1155=".",".",VLOOKUP($I1155,'Price List, Weapons &amp; Items'!B:J,3,0))</f>
        <v>Main Battle Tank (MBT)</v>
      </c>
      <c r="AP1155" s="1195" t="str">
        <f t="shared" ca="1" si="247"/>
        <v>Leopard-2A6</v>
      </c>
      <c r="AQ1155" s="1194">
        <f>VLOOKUP($I1155,'Price List, Weapons &amp; Items'!B:L,COLUMN('Price List, Weapons &amp; Items'!$L$11)-1,0)</f>
        <v>2</v>
      </c>
      <c r="AR1155" s="1194">
        <f t="shared" ref="AR1155:AR1218" si="254">IF(U1155="Yes",1,0)</f>
        <v>1</v>
      </c>
      <c r="AS1155" s="1194">
        <f t="shared" ref="AS1155:AS1218" si="255">IF(D1155="Military",IF(OR(IFERROR(SEARCH("equipment",E1155,1),0)&gt;0,IFERROR(SEARCH("weapons",E1155,1),0)&gt;0),1,0),0)</f>
        <v>1</v>
      </c>
      <c r="AT1155" s="1194">
        <f t="shared" ref="AT1155:AT1218" si="256">IFERROR(IF(VALUE(TEXT(C1155,"mm"))=IF(AH1155&gt;12,AH1155-12,AH1155),".",IF(TEXT(C1155,"mm")="01",".",1)),"Value is not in date format")</f>
        <v>1</v>
      </c>
      <c r="AU1155" s="1194" t="str">
        <f t="shared" ref="AU1155:AU1218" si="257">IF(AND(A1155=A1154,C1155=C1154)=TRUE,IF(F1155=F1154,".","1"),".")</f>
        <v>.</v>
      </c>
      <c r="AV1155" s="1194" t="str">
        <f t="shared" si="248"/>
        <v>.</v>
      </c>
      <c r="AW1155" s="1194" t="str">
        <f t="shared" ref="AW1155:AW1218" si="258">IF(T1155&lt;&gt;".",IF(T1155&gt;S1155,1,"."),".")</f>
        <v>.</v>
      </c>
      <c r="AX1155" s="1194">
        <f>IFERROR(VLOOKUP(B1155,'Share, Heavy Weapons to Ukraine'!B:Z,COLUMN('Share, Heavy Weapons to Ukraine'!C1165)-1,0),0)</f>
        <v>0</v>
      </c>
      <c r="AY1155" s="1194">
        <f>VLOOKUP('Bilateral Assistance, MAIN DATA'!B1155,'Country Summary (€)'!B:F,COLUMN('Country Summary (€)'!C1166)-1,FALSE)</f>
        <v>1</v>
      </c>
      <c r="AZ1155" s="1194" t="str">
        <f>IF(AND(AD1155=1,D1155="Military",H1155&lt;&gt;"Not given")=TRUE,IF(SUMIFS(P:P,A:A,A1155)&gt;0,ABS((SUMIFS(P:P,A:A,A1155)/VLOOKUP("USD",'Exchange Rates'!B:C,2,0)))/S1155,"."),".")</f>
        <v>.</v>
      </c>
      <c r="BA1155" s="1196" t="str">
        <f>IF(AND(AD1155=1,D1155="Military",H1155&lt;&gt;"Not given")=TRUE,IF(SUMIFS(P:P,A:A,A1155)&gt;0,IF((ABS((SUMIFS(P:P,A:A,A1155)/VLOOKUP("USD",'Exchange Rates'!B:C,2,0)))/S1155)&gt;1,(SUMIFS(P:P,A:A,A1155)-S1155)/S1155,(S1155-SUMIFS(P:P,A:A,A1155))/SUMIFS(P:P,A:A,A1155)),"."),".")</f>
        <v>.</v>
      </c>
    </row>
    <row r="1156" spans="1:53" ht="15.95" customHeight="1">
      <c r="A1156" s="1180" t="s">
        <v>3144</v>
      </c>
      <c r="B1156" s="1180" t="s">
        <v>3079</v>
      </c>
      <c r="C1156" s="1181">
        <v>45038</v>
      </c>
      <c r="D1156" s="1182" t="s">
        <v>389</v>
      </c>
      <c r="E1156" s="1182" t="s">
        <v>390</v>
      </c>
      <c r="F1156" s="1263" t="s">
        <v>3145</v>
      </c>
      <c r="G1156" s="1184" t="s">
        <v>456</v>
      </c>
      <c r="H1156" s="1185" t="s">
        <v>457</v>
      </c>
      <c r="I1156" s="1180" t="s">
        <v>428</v>
      </c>
      <c r="J1156" s="1186" t="str">
        <f>VLOOKUP($I1156,'Price List, Weapons &amp; Items'!B:C,2,0)</f>
        <v>Heavy weapon</v>
      </c>
      <c r="K1156" s="1186" t="str">
        <f>IF(I1156=".",I1156,VLOOKUP($I1156,'Price List, Weapons &amp; Items'!B:D,3,0))</f>
        <v>Armored Personnel Carrier (APC)</v>
      </c>
      <c r="L1156" s="1187">
        <f>VLOOKUP(I1156,'Price List, Weapons &amp; Items'!B:E,4,0)</f>
        <v>0</v>
      </c>
      <c r="M1156" s="1188">
        <v>3</v>
      </c>
      <c r="N1156" s="1188" t="s">
        <v>374</v>
      </c>
      <c r="O1156" s="1188">
        <f>VLOOKUP($I1156,'Price List, Weapons &amp; Items'!B:G,6,0)</f>
        <v>300000</v>
      </c>
      <c r="P1156" s="1185">
        <f t="shared" si="249"/>
        <v>900000</v>
      </c>
      <c r="Q1156" s="1185" t="str">
        <f t="shared" si="250"/>
        <v>.</v>
      </c>
      <c r="R1156" s="1185">
        <f t="shared" si="246"/>
        <v>1553556</v>
      </c>
      <c r="S1156" s="1185">
        <f>IF(AND(AD1156=1,R1156&lt;&gt;".")=TRUE,R1156/VLOOKUP(G1156,'Exchange Rates'!B:C,2,0),IF(R1156=".",".",""))</f>
        <v>1429477.3647405226</v>
      </c>
      <c r="T1156" s="1185" t="str">
        <f>IF(AD1156=1,IF(AF1156="Value is not given at all",".",IF(AF1156="Value is given by the source",S1156,IF(AF1156="Value is calculated with prices",(IF(SUMIFS(Q:Q,A:A,A1156)&gt;0,SUMIFS(Q:Q,A:A,A1156),"."))/VLOOKUP("USD",'Exchange Rates'!B:C,2,0),"Error with coding"))),"")</f>
        <v>.</v>
      </c>
      <c r="U1156" s="1184" t="s">
        <v>365</v>
      </c>
      <c r="V1156" s="973" t="s">
        <v>3146</v>
      </c>
      <c r="W1156" s="980" t="s">
        <v>3111</v>
      </c>
      <c r="X1156" s="980" t="s">
        <v>3147</v>
      </c>
      <c r="Y1156" s="980" t="s">
        <v>3148</v>
      </c>
      <c r="Z1156" s="1184">
        <v>0</v>
      </c>
      <c r="AA1156" s="1194">
        <v>1</v>
      </c>
      <c r="AB1156" s="964" t="s">
        <v>364</v>
      </c>
      <c r="AC1156" s="1192" t="str">
        <f>""</f>
        <v/>
      </c>
      <c r="AD1156" s="985">
        <v>1</v>
      </c>
      <c r="AE1156" s="985" t="s">
        <v>436</v>
      </c>
      <c r="AF1156" s="985" t="s">
        <v>369</v>
      </c>
      <c r="AG1156" s="985">
        <v>1</v>
      </c>
      <c r="AH1156" s="1193">
        <v>16</v>
      </c>
      <c r="AI1156" s="1193">
        <v>0</v>
      </c>
      <c r="AJ1156" s="1193">
        <f>VLOOKUP($I1156,'Price List, Weapons &amp; Items'!B:F,5,0)</f>
        <v>1</v>
      </c>
      <c r="AK1156" s="1193">
        <f t="shared" si="251"/>
        <v>0</v>
      </c>
      <c r="AL1156" s="1193">
        <f t="shared" si="252"/>
        <v>1</v>
      </c>
      <c r="AM1156" s="1193">
        <f t="shared" si="253"/>
        <v>0</v>
      </c>
      <c r="AN1156" s="1194" t="str">
        <f>VLOOKUP($I1156,'Price List, Weapons &amp; Items'!B:L,COLUMN('Price List, Weapons &amp; Items'!$J$11)-1,0)</f>
        <v>Military media (incl. websites)</v>
      </c>
      <c r="AO1156" s="1194" t="str">
        <f>IF(I1156=".",".",VLOOKUP($I1156,'Price List, Weapons &amp; Items'!B:J,3,0))</f>
        <v>Armored Personnel Carrier (APC)</v>
      </c>
      <c r="AP1156" s="1195" t="str">
        <f t="shared" ca="1" si="247"/>
        <v>M113 armored personnel carrier</v>
      </c>
      <c r="AQ1156" s="1194">
        <f>VLOOKUP($I1156,'Price List, Weapons &amp; Items'!B:L,COLUMN('Price List, Weapons &amp; Items'!$L$11)-1,0)</f>
        <v>2</v>
      </c>
      <c r="AR1156" s="1194">
        <f t="shared" si="254"/>
        <v>1</v>
      </c>
      <c r="AS1156" s="1194">
        <f t="shared" si="255"/>
        <v>1</v>
      </c>
      <c r="AT1156" s="1194">
        <f t="shared" si="256"/>
        <v>1</v>
      </c>
      <c r="AU1156" s="1194" t="str">
        <f t="shared" si="257"/>
        <v>.</v>
      </c>
      <c r="AV1156" s="1194" t="str">
        <f t="shared" si="248"/>
        <v>.</v>
      </c>
      <c r="AW1156" s="1194" t="str">
        <f t="shared" si="258"/>
        <v>.</v>
      </c>
      <c r="AX1156" s="1194">
        <f>IFERROR(VLOOKUP(B1156,'Share, Heavy Weapons to Ukraine'!B:Z,COLUMN('Share, Heavy Weapons to Ukraine'!C1166)-1,0),0)</f>
        <v>0</v>
      </c>
      <c r="AY1156" s="1194">
        <f>VLOOKUP('Bilateral Assistance, MAIN DATA'!B1156,'Country Summary (€)'!B:F,COLUMN('Country Summary (€)'!C1167)-1,FALSE)</f>
        <v>1</v>
      </c>
      <c r="AZ1156" s="1194" t="str">
        <f>IF(AND(AD1156=1,D1156="Military",H1156&lt;&gt;"Not given")=TRUE,IF(SUMIFS(P:P,A:A,A1156)&gt;0,ABS((SUMIFS(P:P,A:A,A1156)/VLOOKUP("USD",'Exchange Rates'!B:C,2,0)))/S1156,"."),".")</f>
        <v>.</v>
      </c>
      <c r="BA1156" s="1196" t="str">
        <f>IF(AND(AD1156=1,D1156="Military",H1156&lt;&gt;"Not given")=TRUE,IF(SUMIFS(P:P,A:A,A1156)&gt;0,IF((ABS((SUMIFS(P:P,A:A,A1156)/VLOOKUP("USD",'Exchange Rates'!B:C,2,0)))/S1156)&gt;1,(SUMIFS(P:P,A:A,A1156)-S1156)/S1156,(S1156-SUMIFS(P:P,A:A,A1156))/SUMIFS(P:P,A:A,A1156)),"."),".")</f>
        <v>.</v>
      </c>
    </row>
    <row r="1157" spans="1:53" ht="15.95" customHeight="1">
      <c r="A1157" s="1180" t="s">
        <v>3144</v>
      </c>
      <c r="B1157" s="1180" t="s">
        <v>3079</v>
      </c>
      <c r="C1157" s="1181">
        <v>45038</v>
      </c>
      <c r="D1157" s="1182" t="s">
        <v>389</v>
      </c>
      <c r="E1157" s="1182" t="s">
        <v>390</v>
      </c>
      <c r="F1157" s="1263" t="s">
        <v>3145</v>
      </c>
      <c r="G1157" s="1184" t="s">
        <v>456</v>
      </c>
      <c r="H1157" s="1185" t="s">
        <v>457</v>
      </c>
      <c r="I1157" s="1180" t="s">
        <v>3149</v>
      </c>
      <c r="J1157" s="1186" t="str">
        <f>VLOOKUP($I1157,'Price List, Weapons &amp; Items'!B:C,2,0)</f>
        <v>Heavy weapon</v>
      </c>
      <c r="K1157" s="1186" t="str">
        <f>IF(I1157=".",I1157,VLOOKUP($I1157,'Price List, Weapons &amp; Items'!B:D,3,0))</f>
        <v>Armored Personnel Carrier (APC)</v>
      </c>
      <c r="L1157" s="1187">
        <f>VLOOKUP(I1157,'Price List, Weapons &amp; Items'!B:E,4,0)</f>
        <v>0</v>
      </c>
      <c r="M1157" s="1188">
        <v>2</v>
      </c>
      <c r="N1157" s="1188" t="s">
        <v>374</v>
      </c>
      <c r="O1157" s="1188">
        <f>VLOOKUP($I1157,'Price List, Weapons &amp; Items'!B:G,6,0)</f>
        <v>326778</v>
      </c>
      <c r="P1157" s="1185">
        <f t="shared" si="249"/>
        <v>653556</v>
      </c>
      <c r="Q1157" s="1185" t="str">
        <f t="shared" si="250"/>
        <v>.</v>
      </c>
      <c r="R1157" s="1185" t="str">
        <f t="shared" si="246"/>
        <v/>
      </c>
      <c r="S1157" s="1185" t="str">
        <f>IF(AND(AD1157=1,R1157&lt;&gt;".")=TRUE,R1157/VLOOKUP(G1157,'Exchange Rates'!B:C,2,0),IF(R1157=".",".",""))</f>
        <v/>
      </c>
      <c r="T1157" s="1185" t="str">
        <f>IF(AD1157=1,IF(AF1157="Value is not given at all",".",IF(AF1157="Value is given by the source",S1157,IF(AF1157="Value is calculated with prices",(IF(SUMIFS(Q:Q,A:A,A1157)&gt;0,SUMIFS(Q:Q,A:A,A1157),"."))/VLOOKUP("USD",'Exchange Rates'!B:C,2,0),"Error with coding"))),"")</f>
        <v/>
      </c>
      <c r="U1157" s="1184" t="s">
        <v>365</v>
      </c>
      <c r="V1157" s="973" t="s">
        <v>3146</v>
      </c>
      <c r="W1157" s="980" t="s">
        <v>3111</v>
      </c>
      <c r="X1157" s="980" t="s">
        <v>3147</v>
      </c>
      <c r="Y1157" s="980" t="s">
        <v>3148</v>
      </c>
      <c r="Z1157" s="1184">
        <v>0</v>
      </c>
      <c r="AA1157" s="1194">
        <v>1</v>
      </c>
      <c r="AB1157" s="964" t="s">
        <v>364</v>
      </c>
      <c r="AC1157" s="1192" t="str">
        <f>""</f>
        <v/>
      </c>
      <c r="AD1157" s="985">
        <v>0</v>
      </c>
      <c r="AE1157" s="985" t="s">
        <v>436</v>
      </c>
      <c r="AF1157" s="985" t="s">
        <v>369</v>
      </c>
      <c r="AG1157" s="985">
        <v>1</v>
      </c>
      <c r="AH1157" s="1193">
        <v>16</v>
      </c>
      <c r="AI1157" s="1193">
        <v>0</v>
      </c>
      <c r="AJ1157" s="1193">
        <f>VLOOKUP($I1157,'Price List, Weapons &amp; Items'!B:F,5,0)</f>
        <v>1</v>
      </c>
      <c r="AK1157" s="1193">
        <f t="shared" si="251"/>
        <v>0</v>
      </c>
      <c r="AL1157" s="1193">
        <f t="shared" si="252"/>
        <v>1</v>
      </c>
      <c r="AM1157" s="1193">
        <f t="shared" si="253"/>
        <v>0</v>
      </c>
      <c r="AN1157" s="1194" t="str">
        <f>VLOOKUP($I1157,'Price List, Weapons &amp; Items'!B:L,COLUMN('Price List, Weapons &amp; Items'!$J$11)-1,0)</f>
        <v>Contracts</v>
      </c>
      <c r="AO1157" s="1194" t="str">
        <f>IF(I1157=".",".",VLOOKUP($I1157,'Price List, Weapons &amp; Items'!B:J,3,0))</f>
        <v>Armored Personnel Carrier (APC)</v>
      </c>
      <c r="AP1157" s="1195" t="str">
        <f t="shared" ca="1" si="247"/>
        <v/>
      </c>
      <c r="AQ1157" s="1194">
        <f>VLOOKUP($I1157,'Price List, Weapons &amp; Items'!B:L,COLUMN('Price List, Weapons &amp; Items'!$L$11)-1,0)</f>
        <v>1</v>
      </c>
      <c r="AR1157" s="1194">
        <f t="shared" si="254"/>
        <v>1</v>
      </c>
      <c r="AS1157" s="1194">
        <f t="shared" si="255"/>
        <v>1</v>
      </c>
      <c r="AT1157" s="1194">
        <f t="shared" si="256"/>
        <v>1</v>
      </c>
      <c r="AU1157" s="1194" t="str">
        <f t="shared" si="257"/>
        <v>.</v>
      </c>
      <c r="AV1157" s="1194" t="str">
        <f t="shared" si="248"/>
        <v>.</v>
      </c>
      <c r="AW1157" s="1194" t="str">
        <f t="shared" si="258"/>
        <v>.</v>
      </c>
      <c r="AX1157" s="1194">
        <f>IFERROR(VLOOKUP(B1157,'Share, Heavy Weapons to Ukraine'!B:Z,COLUMN('Share, Heavy Weapons to Ukraine'!C1167)-1,0),0)</f>
        <v>0</v>
      </c>
      <c r="AY1157" s="1194">
        <f>VLOOKUP('Bilateral Assistance, MAIN DATA'!B1157,'Country Summary (€)'!B:F,COLUMN('Country Summary (€)'!C1168)-1,FALSE)</f>
        <v>1</v>
      </c>
      <c r="AZ1157" s="1194" t="str">
        <f>IF(AND(AD1157=1,D1157="Military",H1157&lt;&gt;"Not given")=TRUE,IF(SUMIFS(P:P,A:A,A1157)&gt;0,ABS((SUMIFS(P:P,A:A,A1157)/VLOOKUP("USD",'Exchange Rates'!B:C,2,0)))/S1157,"."),".")</f>
        <v>.</v>
      </c>
      <c r="BA1157" s="1196" t="str">
        <f>IF(AND(AD1157=1,D1157="Military",H1157&lt;&gt;"Not given")=TRUE,IF(SUMIFS(P:P,A:A,A1157)&gt;0,IF((ABS((SUMIFS(P:P,A:A,A1157)/VLOOKUP("USD",'Exchange Rates'!B:C,2,0)))/S1157)&gt;1,(SUMIFS(P:P,A:A,A1157)-S1157)/S1157,(S1157-SUMIFS(P:P,A:A,A1157))/SUMIFS(P:P,A:A,A1157)),"."),".")</f>
        <v>.</v>
      </c>
    </row>
    <row r="1158" spans="1:53" ht="15.95" customHeight="1">
      <c r="A1158" s="1180" t="s">
        <v>3150</v>
      </c>
      <c r="B1158" s="1180" t="s">
        <v>3079</v>
      </c>
      <c r="C1158" s="1181">
        <v>45065</v>
      </c>
      <c r="D1158" s="1182" t="s">
        <v>389</v>
      </c>
      <c r="E1158" s="1182" t="s">
        <v>2026</v>
      </c>
      <c r="F1158" s="1263" t="s">
        <v>3151</v>
      </c>
      <c r="G1158" s="1184" t="s">
        <v>364</v>
      </c>
      <c r="H1158" s="1185" t="s">
        <v>457</v>
      </c>
      <c r="I1158" s="1180" t="s">
        <v>364</v>
      </c>
      <c r="J1158" s="1186" t="str">
        <f>VLOOKUP($I1158,'Price List, Weapons &amp; Items'!B:C,2,0)</f>
        <v>.</v>
      </c>
      <c r="K1158" s="1186" t="str">
        <f>IF(I1158=".",I1158,VLOOKUP($I1158,'Price List, Weapons &amp; Items'!B:D,3,0))</f>
        <v>.</v>
      </c>
      <c r="L1158" s="1187">
        <f>VLOOKUP(I1158,'Price List, Weapons &amp; Items'!B:E,4,0)</f>
        <v>0</v>
      </c>
      <c r="M1158" s="1188" t="s">
        <v>364</v>
      </c>
      <c r="N1158" s="1188" t="s">
        <v>364</v>
      </c>
      <c r="O1158" s="1188" t="str">
        <f>VLOOKUP($I1158,'Price List, Weapons &amp; Items'!B:G,6,0)</f>
        <v>.</v>
      </c>
      <c r="P1158" s="1185" t="str">
        <f t="shared" si="249"/>
        <v>.</v>
      </c>
      <c r="Q1158" s="1185" t="str">
        <f t="shared" si="250"/>
        <v>.</v>
      </c>
      <c r="R1158" s="1185" t="str">
        <f t="shared" si="246"/>
        <v>.</v>
      </c>
      <c r="S1158" s="1185" t="str">
        <f>IF(AND(AD1158=1,R1158&lt;&gt;".")=TRUE,R1158/VLOOKUP(G1158,'Exchange Rates'!B:C,2,0),IF(R1158=".",".",""))</f>
        <v>.</v>
      </c>
      <c r="T1158" s="1185" t="str">
        <f>IF(AD1158=1,IF(AF1158="Value is not given at all",".",IF(AF1158="Value is given by the source",S1158,IF(AF1158="Value is calculated with prices",(IF(SUMIFS(Q:Q,A:A,A1158)&gt;0,SUMIFS(Q:Q,A:A,A1158),"."))/VLOOKUP("USD",'Exchange Rates'!B:C,2,0),"Error with coding"))),"")</f>
        <v>.</v>
      </c>
      <c r="U1158" s="1184" t="s">
        <v>365</v>
      </c>
      <c r="V1158" s="1003" t="s">
        <v>3152</v>
      </c>
      <c r="W1158" s="1003" t="s">
        <v>3153</v>
      </c>
      <c r="X1158" s="1003" t="s">
        <v>3154</v>
      </c>
      <c r="Y1158" s="1024" t="s">
        <v>364</v>
      </c>
      <c r="Z1158" s="1184">
        <v>0</v>
      </c>
      <c r="AA1158" s="1194">
        <v>1</v>
      </c>
      <c r="AB1158" s="1180" t="s">
        <v>364</v>
      </c>
      <c r="AC1158" s="1192" t="str">
        <f>""</f>
        <v/>
      </c>
      <c r="AD1158" s="985">
        <v>1</v>
      </c>
      <c r="AE1158" s="985" t="s">
        <v>369</v>
      </c>
      <c r="AF1158" s="985" t="s">
        <v>369</v>
      </c>
      <c r="AG1158" s="985">
        <v>1</v>
      </c>
      <c r="AH1158" s="1193">
        <v>17</v>
      </c>
      <c r="AI1158" s="1193">
        <v>0</v>
      </c>
      <c r="AJ1158" s="1193">
        <f>VLOOKUP($I1158,'Price List, Weapons &amp; Items'!B:F,5,0)</f>
        <v>0</v>
      </c>
      <c r="AK1158" s="1193">
        <f t="shared" si="251"/>
        <v>0</v>
      </c>
      <c r="AL1158" s="1193">
        <f t="shared" si="252"/>
        <v>0</v>
      </c>
      <c r="AM1158" s="1193">
        <f t="shared" si="253"/>
        <v>0</v>
      </c>
      <c r="AN1158" s="1194" t="str">
        <f>VLOOKUP($I1158,'Price List, Weapons &amp; Items'!B:L,COLUMN('Price List, Weapons &amp; Items'!$J$11)-1,0)</f>
        <v>.</v>
      </c>
      <c r="AO1158" s="1194" t="str">
        <f>IF(I1158=".",".",VLOOKUP($I1158,'Price List, Weapons &amp; Items'!B:J,3,0))</f>
        <v>.</v>
      </c>
      <c r="AP1158" s="1195" t="str">
        <f t="shared" ca="1" si="247"/>
        <v>.</v>
      </c>
      <c r="AQ1158" s="1194">
        <f>VLOOKUP($I1158,'Price List, Weapons &amp; Items'!B:L,COLUMN('Price List, Weapons &amp; Items'!$L$11)-1,0)</f>
        <v>0</v>
      </c>
      <c r="AR1158" s="1194">
        <f t="shared" si="254"/>
        <v>1</v>
      </c>
      <c r="AS1158" s="1194">
        <f t="shared" si="255"/>
        <v>0</v>
      </c>
      <c r="AT1158" s="1194">
        <f t="shared" si="256"/>
        <v>1</v>
      </c>
      <c r="AU1158" s="1194" t="str">
        <f t="shared" si="257"/>
        <v>.</v>
      </c>
      <c r="AV1158" s="1194" t="str">
        <f t="shared" si="248"/>
        <v>.</v>
      </c>
      <c r="AW1158" s="1194" t="str">
        <f t="shared" si="258"/>
        <v>.</v>
      </c>
      <c r="AX1158" s="1194">
        <f>IFERROR(VLOOKUP(B1158,'Share, Heavy Weapons to Ukraine'!B:Z,COLUMN('Share, Heavy Weapons to Ukraine'!C1168)-1,0),0)</f>
        <v>0</v>
      </c>
      <c r="AY1158" s="1194">
        <f>VLOOKUP('Bilateral Assistance, MAIN DATA'!B1158,'Country Summary (€)'!B:F,COLUMN('Country Summary (€)'!C1169)-1,FALSE)</f>
        <v>1</v>
      </c>
      <c r="AZ1158" s="1194" t="str">
        <f>IF(AND(AD1158=1,D1158="Military",H1158&lt;&gt;"Not given")=TRUE,IF(SUMIFS(P:P,A:A,A1158)&gt;0,ABS((SUMIFS(P:P,A:A,A1158)/VLOOKUP("USD",'Exchange Rates'!B:C,2,0)))/S1158,"."),".")</f>
        <v>.</v>
      </c>
      <c r="BA1158" s="1196" t="str">
        <f>IF(AND(AD1158=1,D1158="Military",H1158&lt;&gt;"Not given")=TRUE,IF(SUMIFS(P:P,A:A,A1158)&gt;0,IF((ABS((SUMIFS(P:P,A:A,A1158)/VLOOKUP("USD",'Exchange Rates'!B:C,2,0)))/S1158)&gt;1,(SUMIFS(P:P,A:A,A1158)-S1158)/S1158,(S1158-SUMIFS(P:P,A:A,A1158))/SUMIFS(P:P,A:A,A1158)),"."),".")</f>
        <v>.</v>
      </c>
    </row>
    <row r="1159" spans="1:53" ht="15.95" customHeight="1">
      <c r="A1159" s="1180" t="s">
        <v>3155</v>
      </c>
      <c r="B1159" s="1180" t="s">
        <v>3079</v>
      </c>
      <c r="C1159" s="1181">
        <v>44702</v>
      </c>
      <c r="D1159" s="1182" t="s">
        <v>544</v>
      </c>
      <c r="E1159" s="1182" t="s">
        <v>481</v>
      </c>
      <c r="F1159" s="1183" t="s">
        <v>3156</v>
      </c>
      <c r="G1159" s="1184" t="s">
        <v>483</v>
      </c>
      <c r="H1159" s="1185">
        <v>250000000</v>
      </c>
      <c r="I1159" s="1180" t="s">
        <v>364</v>
      </c>
      <c r="J1159" s="1186" t="str">
        <f>VLOOKUP($I1159,'Price List, Weapons &amp; Items'!B:C,2,0)</f>
        <v>.</v>
      </c>
      <c r="K1159" s="1186" t="str">
        <f>IF(I1159=".",I1159,VLOOKUP($I1159,'Price List, Weapons &amp; Items'!B:D,3,0))</f>
        <v>.</v>
      </c>
      <c r="L1159" s="1187">
        <f>VLOOKUP(I1159,'Price List, Weapons &amp; Items'!B:E,4,0)</f>
        <v>0</v>
      </c>
      <c r="M1159" s="1188" t="s">
        <v>364</v>
      </c>
      <c r="N1159" s="1188" t="s">
        <v>364</v>
      </c>
      <c r="O1159" s="1188" t="str">
        <f>VLOOKUP($I1159,'Price List, Weapons &amp; Items'!B:G,6,0)</f>
        <v>.</v>
      </c>
      <c r="P1159" s="1185" t="str">
        <f t="shared" si="249"/>
        <v>.</v>
      </c>
      <c r="Q1159" s="1185" t="str">
        <f t="shared" si="250"/>
        <v>.</v>
      </c>
      <c r="R1159" s="1185">
        <f t="shared" si="246"/>
        <v>250000000</v>
      </c>
      <c r="S1159" s="1185">
        <f>IF(AND(AD1159=1,R1159&lt;&gt;".")=TRUE,R1159/VLOOKUP(G1159,'Exchange Rates'!B:C,2,0),IF(R1159=".",".",""))</f>
        <v>250000000</v>
      </c>
      <c r="T1159" s="1185" t="str">
        <f>IF(AD1159=1,IF(AF1159="Value is not given at all",".",IF(AF1159="Value is given by the source",S1159,IF(AF1159="Value is calculated with prices",(IF(SUMIFS(Q:Q,A:A,A1159)&gt;0,SUMIFS(Q:Q,A:A,A1159),"."))/VLOOKUP("USD",'Exchange Rates'!B:C,2,0),"Error with coding"))),"")</f>
        <v>.</v>
      </c>
      <c r="U1159" s="1184" t="s">
        <v>365</v>
      </c>
      <c r="V1159" s="971" t="s">
        <v>3157</v>
      </c>
      <c r="W1159" s="973" t="s">
        <v>3158</v>
      </c>
      <c r="X1159" s="973" t="s">
        <v>3159</v>
      </c>
      <c r="Y1159" s="980" t="s">
        <v>3160</v>
      </c>
      <c r="Z1159" s="1184">
        <v>1</v>
      </c>
      <c r="AA1159" s="1194">
        <v>0</v>
      </c>
      <c r="AB1159" s="1180" t="s">
        <v>364</v>
      </c>
      <c r="AC1159" s="1192" t="str">
        <f>""</f>
        <v/>
      </c>
      <c r="AD1159" s="985">
        <v>1</v>
      </c>
      <c r="AE1159" s="985" t="s">
        <v>368</v>
      </c>
      <c r="AF1159" s="985" t="s">
        <v>369</v>
      </c>
      <c r="AG1159" s="985">
        <v>1</v>
      </c>
      <c r="AH1159" s="1193">
        <v>5</v>
      </c>
      <c r="AI1159" s="1193">
        <v>0</v>
      </c>
      <c r="AJ1159" s="1193">
        <f>VLOOKUP($I1159,'Price List, Weapons &amp; Items'!B:F,5,0)</f>
        <v>0</v>
      </c>
      <c r="AK1159" s="1193">
        <f t="shared" si="251"/>
        <v>0</v>
      </c>
      <c r="AL1159" s="1193">
        <f t="shared" si="252"/>
        <v>0</v>
      </c>
      <c r="AM1159" s="1193">
        <f t="shared" si="253"/>
        <v>0</v>
      </c>
      <c r="AN1159" s="1194" t="str">
        <f>VLOOKUP($I1159,'Price List, Weapons &amp; Items'!B:L,COLUMN('Price List, Weapons &amp; Items'!$J$11)-1,0)</f>
        <v>.</v>
      </c>
      <c r="AO1159" s="1194" t="str">
        <f>IF(I1159=".",".",VLOOKUP($I1159,'Price List, Weapons &amp; Items'!B:J,3,0))</f>
        <v>.</v>
      </c>
      <c r="AP1159" s="1195" t="str">
        <f t="shared" ca="1" si="247"/>
        <v>.</v>
      </c>
      <c r="AQ1159" s="1194">
        <f>VLOOKUP($I1159,'Price List, Weapons &amp; Items'!B:L,COLUMN('Price List, Weapons &amp; Items'!$L$11)-1,0)</f>
        <v>0</v>
      </c>
      <c r="AR1159" s="1194">
        <f t="shared" si="254"/>
        <v>1</v>
      </c>
      <c r="AS1159" s="1194">
        <f t="shared" si="255"/>
        <v>0</v>
      </c>
      <c r="AT1159" s="1194">
        <f t="shared" si="256"/>
        <v>1</v>
      </c>
      <c r="AU1159" s="1194" t="str">
        <f t="shared" si="257"/>
        <v>.</v>
      </c>
      <c r="AV1159" s="1194" t="str">
        <f t="shared" si="248"/>
        <v>.</v>
      </c>
      <c r="AW1159" s="1194" t="str">
        <f t="shared" si="258"/>
        <v>.</v>
      </c>
      <c r="AX1159" s="1194">
        <f>IFERROR(VLOOKUP(B1159,'Share, Heavy Weapons to Ukraine'!B:Z,COLUMN('Share, Heavy Weapons to Ukraine'!C1169)-1,0),0)</f>
        <v>0</v>
      </c>
      <c r="AY1159" s="1194">
        <f>VLOOKUP('Bilateral Assistance, MAIN DATA'!B1159,'Country Summary (€)'!B:F,COLUMN('Country Summary (€)'!C1170)-1,FALSE)</f>
        <v>1</v>
      </c>
      <c r="AZ1159" s="1194" t="str">
        <f>IF(AND(AD1159=1,D1159="Military",H1159&lt;&gt;"Not given")=TRUE,IF(SUMIFS(P:P,A:A,A1159)&gt;0,ABS((SUMIFS(P:P,A:A,A1159)/VLOOKUP("USD",'Exchange Rates'!B:C,2,0)))/S1159,"."),".")</f>
        <v>.</v>
      </c>
      <c r="BA1159" s="1196" t="str">
        <f>IF(AND(AD1159=1,D1159="Military",H1159&lt;&gt;"Not given")=TRUE,IF(SUMIFS(P:P,A:A,A1159)&gt;0,IF((ABS((SUMIFS(P:P,A:A,A1159)/VLOOKUP("USD",'Exchange Rates'!B:C,2,0)))/S1159)&gt;1,(SUMIFS(P:P,A:A,A1159)-S1159)/S1159,(S1159-SUMIFS(P:P,A:A,A1159))/SUMIFS(P:P,A:A,A1159)),"."),".")</f>
        <v>.</v>
      </c>
    </row>
    <row r="1160" spans="1:53" ht="15.95" customHeight="1">
      <c r="A1160" s="1180" t="s">
        <v>3161</v>
      </c>
      <c r="B1160" s="1180" t="s">
        <v>3162</v>
      </c>
      <c r="C1160" s="1181">
        <v>44620</v>
      </c>
      <c r="D1160" s="1182" t="s">
        <v>360</v>
      </c>
      <c r="E1160" s="1182" t="s">
        <v>371</v>
      </c>
      <c r="F1160" s="1183" t="s">
        <v>3163</v>
      </c>
      <c r="G1160" s="1184" t="s">
        <v>456</v>
      </c>
      <c r="H1160" s="1185">
        <v>10000000</v>
      </c>
      <c r="I1160" s="1201" t="s">
        <v>364</v>
      </c>
      <c r="J1160" s="1186" t="str">
        <f>VLOOKUP($I1160,'Price List, Weapons &amp; Items'!B:C,2,0)</f>
        <v>.</v>
      </c>
      <c r="K1160" s="1186" t="str">
        <f>IF(I1160=".",I1160,VLOOKUP($I1160,'Price List, Weapons &amp; Items'!B:D,3,0))</f>
        <v>.</v>
      </c>
      <c r="L1160" s="1187">
        <f>VLOOKUP(I1160,'Price List, Weapons &amp; Items'!B:E,4,0)</f>
        <v>0</v>
      </c>
      <c r="M1160" s="1188" t="s">
        <v>364</v>
      </c>
      <c r="N1160" s="1188" t="s">
        <v>364</v>
      </c>
      <c r="O1160" s="1188" t="str">
        <f>VLOOKUP($I1160,'Price List, Weapons &amp; Items'!B:G,6,0)</f>
        <v>.</v>
      </c>
      <c r="P1160" s="1185" t="str">
        <f t="shared" si="249"/>
        <v>.</v>
      </c>
      <c r="Q1160" s="1185" t="str">
        <f t="shared" si="250"/>
        <v>.</v>
      </c>
      <c r="R1160" s="1185">
        <f t="shared" si="246"/>
        <v>10000000</v>
      </c>
      <c r="S1160" s="1185">
        <f>IF(AND(AD1160=1,R1160&lt;&gt;".")=TRUE,R1160/VLOOKUP(G1160,'Exchange Rates'!B:C,2,0),IF(R1160=".",".",""))</f>
        <v>9201324.9907986745</v>
      </c>
      <c r="T1160" s="1185" t="str">
        <f>IF(AD1160=1,IF(AF1160="Value is not given at all",".",IF(AF1160="Value is given by the source",S1160,IF(AF1160="Value is calculated with prices",(IF(SUMIFS(Q:Q,A:A,A1160)&gt;0,SUMIFS(Q:Q,A:A,A1160),"."))/VLOOKUP("USD",'Exchange Rates'!B:C,2,0),"Error with coding"))),"")</f>
        <v>.</v>
      </c>
      <c r="U1160" s="1184" t="s">
        <v>365</v>
      </c>
      <c r="V1160" s="971" t="s">
        <v>3164</v>
      </c>
      <c r="W1160" s="971" t="s">
        <v>3165</v>
      </c>
      <c r="X1160" s="971" t="s">
        <v>3166</v>
      </c>
      <c r="Y1160" s="1190" t="s">
        <v>364</v>
      </c>
      <c r="Z1160" s="1184">
        <v>0</v>
      </c>
      <c r="AA1160" s="1194">
        <v>0</v>
      </c>
      <c r="AB1160" s="1201" t="s">
        <v>364</v>
      </c>
      <c r="AC1160" s="1192" t="str">
        <f>""</f>
        <v/>
      </c>
      <c r="AD1160" s="1193">
        <v>1</v>
      </c>
      <c r="AE1160" s="1193" t="s">
        <v>368</v>
      </c>
      <c r="AF1160" s="1193" t="s">
        <v>369</v>
      </c>
      <c r="AG1160" s="1193">
        <v>1</v>
      </c>
      <c r="AH1160" s="1193">
        <v>2</v>
      </c>
      <c r="AI1160" s="1193">
        <v>0</v>
      </c>
      <c r="AJ1160" s="1193">
        <f>VLOOKUP($I1160,'Price List, Weapons &amp; Items'!B:F,5,0)</f>
        <v>0</v>
      </c>
      <c r="AK1160" s="1193">
        <f t="shared" si="251"/>
        <v>0</v>
      </c>
      <c r="AL1160" s="1193">
        <f t="shared" si="252"/>
        <v>0</v>
      </c>
      <c r="AM1160" s="1193">
        <f t="shared" si="253"/>
        <v>0</v>
      </c>
      <c r="AN1160" s="1194" t="str">
        <f>VLOOKUP($I1160,'Price List, Weapons &amp; Items'!B:L,COLUMN('Price List, Weapons &amp; Items'!$J$11)-1,0)</f>
        <v>.</v>
      </c>
      <c r="AO1160" s="1194" t="str">
        <f>IF(I1160=".",".",VLOOKUP($I1160,'Price List, Weapons &amp; Items'!B:J,3,0))</f>
        <v>.</v>
      </c>
      <c r="AP1160" s="1195" t="str">
        <f t="shared" ca="1" si="247"/>
        <v>.</v>
      </c>
      <c r="AQ1160" s="1194">
        <f>VLOOKUP($I1160,'Price List, Weapons &amp; Items'!B:L,COLUMN('Price List, Weapons &amp; Items'!$L$11)-1,0)</f>
        <v>0</v>
      </c>
      <c r="AR1160" s="1194">
        <f t="shared" si="254"/>
        <v>1</v>
      </c>
      <c r="AS1160" s="1194">
        <f t="shared" si="255"/>
        <v>0</v>
      </c>
      <c r="AT1160" s="1194">
        <f t="shared" si="256"/>
        <v>1</v>
      </c>
      <c r="AU1160" s="1194" t="str">
        <f t="shared" si="257"/>
        <v>.</v>
      </c>
      <c r="AV1160" s="1194" t="str">
        <f t="shared" si="248"/>
        <v>.</v>
      </c>
      <c r="AW1160" s="1194" t="str">
        <f t="shared" si="258"/>
        <v>.</v>
      </c>
      <c r="AX1160" s="1194">
        <f>IFERROR(VLOOKUP(B1160,'Share, Heavy Weapons to Ukraine'!B:Z,COLUMN('Share, Heavy Weapons to Ukraine'!C1170)-1,0),0)</f>
        <v>0</v>
      </c>
      <c r="AY1160" s="1194">
        <f>VLOOKUP('Bilateral Assistance, MAIN DATA'!B1160,'Country Summary (€)'!B:F,COLUMN('Country Summary (€)'!C1171)-1,FALSE)</f>
        <v>0</v>
      </c>
      <c r="AZ1160" s="1194" t="str">
        <f>IF(AND(AD1160=1,D1160="Military",H1160&lt;&gt;"Not given")=TRUE,IF(SUMIFS(P:P,A:A,A1160)&gt;0,ABS((SUMIFS(P:P,A:A,A1160)/VLOOKUP("USD",'Exchange Rates'!B:C,2,0)))/S1160,"."),".")</f>
        <v>.</v>
      </c>
      <c r="BA1160" s="1196" t="str">
        <f>IF(AND(AD1160=1,D1160="Military",H1160&lt;&gt;"Not given")=TRUE,IF(SUMIFS(P:P,A:A,A1160)&gt;0,IF((ABS((SUMIFS(P:P,A:A,A1160)/VLOOKUP("USD",'Exchange Rates'!B:C,2,0)))/S1160)&gt;1,(SUMIFS(P:P,A:A,A1160)-S1160)/S1160,(S1160-SUMIFS(P:P,A:A,A1160))/SUMIFS(P:P,A:A,A1160)),"."),".")</f>
        <v>.</v>
      </c>
    </row>
    <row r="1161" spans="1:53" ht="15.95" customHeight="1">
      <c r="A1161" s="1180" t="s">
        <v>3167</v>
      </c>
      <c r="B1161" s="1180" t="s">
        <v>3162</v>
      </c>
      <c r="C1161" s="1181">
        <v>44671</v>
      </c>
      <c r="D1161" s="1182" t="s">
        <v>360</v>
      </c>
      <c r="E1161" s="1182" t="s">
        <v>371</v>
      </c>
      <c r="F1161" s="1183" t="s">
        <v>3168</v>
      </c>
      <c r="G1161" s="1184" t="s">
        <v>456</v>
      </c>
      <c r="H1161" s="1185">
        <v>30000000</v>
      </c>
      <c r="I1161" s="1201" t="s">
        <v>364</v>
      </c>
      <c r="J1161" s="1186" t="str">
        <f>VLOOKUP($I1161,'Price List, Weapons &amp; Items'!B:C,2,0)</f>
        <v>.</v>
      </c>
      <c r="K1161" s="1186" t="str">
        <f>IF(I1161=".",I1161,VLOOKUP($I1161,'Price List, Weapons &amp; Items'!B:D,3,0))</f>
        <v>.</v>
      </c>
      <c r="L1161" s="1187">
        <f>VLOOKUP(I1161,'Price List, Weapons &amp; Items'!B:E,4,0)</f>
        <v>0</v>
      </c>
      <c r="M1161" s="1188" t="s">
        <v>364</v>
      </c>
      <c r="N1161" s="1188" t="s">
        <v>364</v>
      </c>
      <c r="O1161" s="1188" t="str">
        <f>VLOOKUP($I1161,'Price List, Weapons &amp; Items'!B:G,6,0)</f>
        <v>.</v>
      </c>
      <c r="P1161" s="1185" t="str">
        <f t="shared" si="249"/>
        <v>.</v>
      </c>
      <c r="Q1161" s="1185" t="str">
        <f t="shared" si="250"/>
        <v>.</v>
      </c>
      <c r="R1161" s="1185">
        <f t="shared" si="246"/>
        <v>30000000</v>
      </c>
      <c r="S1161" s="1185">
        <f>IF(AND(AD1161=1,R1161&lt;&gt;".")=TRUE,R1161/VLOOKUP(G1161,'Exchange Rates'!B:C,2,0),IF(R1161=".",".",""))</f>
        <v>27603974.972396024</v>
      </c>
      <c r="T1161" s="1185" t="str">
        <f>IF(AD1161=1,IF(AF1161="Value is not given at all",".",IF(AF1161="Value is given by the source",S1161,IF(AF1161="Value is calculated with prices",(IF(SUMIFS(Q:Q,A:A,A1161)&gt;0,SUMIFS(Q:Q,A:A,A1161),"."))/VLOOKUP("USD",'Exchange Rates'!B:C,2,0),"Error with coding"))),"")</f>
        <v>.</v>
      </c>
      <c r="U1161" s="1184" t="s">
        <v>365</v>
      </c>
      <c r="V1161" s="971" t="s">
        <v>3165</v>
      </c>
      <c r="W1161" s="971" t="s">
        <v>3169</v>
      </c>
      <c r="X1161" s="971" t="s">
        <v>3170</v>
      </c>
      <c r="Y1161" s="1190" t="s">
        <v>364</v>
      </c>
      <c r="Z1161" s="1184">
        <v>0</v>
      </c>
      <c r="AA1161" s="1194">
        <v>0</v>
      </c>
      <c r="AB1161" s="1201" t="s">
        <v>364</v>
      </c>
      <c r="AC1161" s="1192" t="str">
        <f>""</f>
        <v/>
      </c>
      <c r="AD1161" s="1193">
        <v>1</v>
      </c>
      <c r="AE1161" s="1193" t="s">
        <v>368</v>
      </c>
      <c r="AF1161" s="1193" t="s">
        <v>369</v>
      </c>
      <c r="AG1161" s="1193">
        <v>1</v>
      </c>
      <c r="AH1161" s="1193">
        <v>4</v>
      </c>
      <c r="AI1161" s="1193">
        <v>0</v>
      </c>
      <c r="AJ1161" s="1193">
        <f>VLOOKUP($I1161,'Price List, Weapons &amp; Items'!B:F,5,0)</f>
        <v>0</v>
      </c>
      <c r="AK1161" s="1193">
        <f t="shared" si="251"/>
        <v>0</v>
      </c>
      <c r="AL1161" s="1193">
        <f t="shared" si="252"/>
        <v>0</v>
      </c>
      <c r="AM1161" s="1193">
        <f t="shared" si="253"/>
        <v>0</v>
      </c>
      <c r="AN1161" s="1194" t="str">
        <f>VLOOKUP($I1161,'Price List, Weapons &amp; Items'!B:L,COLUMN('Price List, Weapons &amp; Items'!$J$11)-1,0)</f>
        <v>.</v>
      </c>
      <c r="AO1161" s="1194" t="str">
        <f>IF(I1161=".",".",VLOOKUP($I1161,'Price List, Weapons &amp; Items'!B:J,3,0))</f>
        <v>.</v>
      </c>
      <c r="AP1161" s="1195" t="str">
        <f t="shared" ca="1" si="247"/>
        <v>.</v>
      </c>
      <c r="AQ1161" s="1194">
        <f>VLOOKUP($I1161,'Price List, Weapons &amp; Items'!B:L,COLUMN('Price List, Weapons &amp; Items'!$L$11)-1,0)</f>
        <v>0</v>
      </c>
      <c r="AR1161" s="1194">
        <f t="shared" si="254"/>
        <v>1</v>
      </c>
      <c r="AS1161" s="1194">
        <f t="shared" si="255"/>
        <v>0</v>
      </c>
      <c r="AT1161" s="1194">
        <f t="shared" si="256"/>
        <v>1</v>
      </c>
      <c r="AU1161" s="1194" t="str">
        <f t="shared" si="257"/>
        <v>.</v>
      </c>
      <c r="AV1161" s="1194" t="str">
        <f t="shared" si="248"/>
        <v>.</v>
      </c>
      <c r="AW1161" s="1194" t="str">
        <f t="shared" si="258"/>
        <v>.</v>
      </c>
      <c r="AX1161" s="1194">
        <f>IFERROR(VLOOKUP(B1161,'Share, Heavy Weapons to Ukraine'!B:Z,COLUMN('Share, Heavy Weapons to Ukraine'!C1171)-1,0),0)</f>
        <v>0</v>
      </c>
      <c r="AY1161" s="1194">
        <f>VLOOKUP('Bilateral Assistance, MAIN DATA'!B1161,'Country Summary (€)'!B:F,COLUMN('Country Summary (€)'!C1172)-1,FALSE)</f>
        <v>0</v>
      </c>
      <c r="AZ1161" s="1194" t="str">
        <f>IF(AND(AD1161=1,D1161="Military",H1161&lt;&gt;"Not given")=TRUE,IF(SUMIFS(P:P,A:A,A1161)&gt;0,ABS((SUMIFS(P:P,A:A,A1161)/VLOOKUP("USD",'Exchange Rates'!B:C,2,0)))/S1161,"."),".")</f>
        <v>.</v>
      </c>
      <c r="BA1161" s="1196" t="str">
        <f>IF(AND(AD1161=1,D1161="Military",H1161&lt;&gt;"Not given")=TRUE,IF(SUMIFS(P:P,A:A,A1161)&gt;0,IF((ABS((SUMIFS(P:P,A:A,A1161)/VLOOKUP("USD",'Exchange Rates'!B:C,2,0)))/S1161)&gt;1,(SUMIFS(P:P,A:A,A1161)-S1161)/S1161,(S1161-SUMIFS(P:P,A:A,A1161))/SUMIFS(P:P,A:A,A1161)),"."),".")</f>
        <v>.</v>
      </c>
    </row>
    <row r="1162" spans="1:53" ht="15.95" customHeight="1">
      <c r="A1162" s="1180" t="s">
        <v>3171</v>
      </c>
      <c r="B1162" s="1180" t="s">
        <v>3162</v>
      </c>
      <c r="C1162" s="1181">
        <v>44720</v>
      </c>
      <c r="D1162" s="1182" t="s">
        <v>360</v>
      </c>
      <c r="E1162" s="1182" t="s">
        <v>361</v>
      </c>
      <c r="F1162" s="1183" t="s">
        <v>3172</v>
      </c>
      <c r="G1162" s="1184" t="s">
        <v>456</v>
      </c>
      <c r="H1162" s="1185">
        <v>1200000</v>
      </c>
      <c r="I1162" s="1201" t="s">
        <v>364</v>
      </c>
      <c r="J1162" s="1186" t="str">
        <f>VLOOKUP($I1162,'Price List, Weapons &amp; Items'!B:C,2,0)</f>
        <v>.</v>
      </c>
      <c r="K1162" s="1186" t="str">
        <f>IF(I1162=".",I1162,VLOOKUP($I1162,'Price List, Weapons &amp; Items'!B:D,3,0))</f>
        <v>.</v>
      </c>
      <c r="L1162" s="1187">
        <f>VLOOKUP(I1162,'Price List, Weapons &amp; Items'!B:E,4,0)</f>
        <v>0</v>
      </c>
      <c r="M1162" s="1188" t="s">
        <v>364</v>
      </c>
      <c r="N1162" s="1188" t="s">
        <v>364</v>
      </c>
      <c r="O1162" s="1188" t="str">
        <f>VLOOKUP($I1162,'Price List, Weapons &amp; Items'!B:G,6,0)</f>
        <v>.</v>
      </c>
      <c r="P1162" s="1185" t="str">
        <f t="shared" si="249"/>
        <v>.</v>
      </c>
      <c r="Q1162" s="1185" t="str">
        <f t="shared" si="250"/>
        <v>.</v>
      </c>
      <c r="R1162" s="1185">
        <f t="shared" si="246"/>
        <v>1200000</v>
      </c>
      <c r="S1162" s="1185">
        <f>IF(AND(AD1162=1,R1162&lt;&gt;".")=TRUE,R1162/VLOOKUP(G1162,'Exchange Rates'!B:C,2,0),IF(R1162=".",".",""))</f>
        <v>1104158.998895841</v>
      </c>
      <c r="T1162" s="1185" t="str">
        <f>IF(AD1162=1,IF(AF1162="Value is not given at all",".",IF(AF1162="Value is given by the source",S1162,IF(AF1162="Value is calculated with prices",(IF(SUMIFS(Q:Q,A:A,A1162)&gt;0,SUMIFS(Q:Q,A:A,A1162),"."))/VLOOKUP("USD",'Exchange Rates'!B:C,2,0),"Error with coding"))),"")</f>
        <v>.</v>
      </c>
      <c r="U1162" s="1184" t="s">
        <v>365</v>
      </c>
      <c r="V1162" s="971" t="s">
        <v>3173</v>
      </c>
      <c r="W1162" s="971" t="s">
        <v>3174</v>
      </c>
      <c r="X1162" s="971" t="s">
        <v>3170</v>
      </c>
      <c r="Y1162" s="1190" t="s">
        <v>364</v>
      </c>
      <c r="Z1162" s="1184">
        <v>0</v>
      </c>
      <c r="AA1162" s="1194">
        <v>0</v>
      </c>
      <c r="AB1162" s="1201" t="s">
        <v>364</v>
      </c>
      <c r="AC1162" s="1192" t="str">
        <f>""</f>
        <v/>
      </c>
      <c r="AD1162" s="1193">
        <v>1</v>
      </c>
      <c r="AE1162" s="1193" t="s">
        <v>368</v>
      </c>
      <c r="AF1162" s="1193" t="s">
        <v>369</v>
      </c>
      <c r="AG1162" s="1193">
        <v>1</v>
      </c>
      <c r="AH1162" s="1193">
        <v>6</v>
      </c>
      <c r="AI1162" s="1193">
        <v>0</v>
      </c>
      <c r="AJ1162" s="1193">
        <f>VLOOKUP($I1162,'Price List, Weapons &amp; Items'!B:F,5,0)</f>
        <v>0</v>
      </c>
      <c r="AK1162" s="1193">
        <f t="shared" si="251"/>
        <v>0</v>
      </c>
      <c r="AL1162" s="1193">
        <f t="shared" si="252"/>
        <v>0</v>
      </c>
      <c r="AM1162" s="1193">
        <f t="shared" si="253"/>
        <v>0</v>
      </c>
      <c r="AN1162" s="1194" t="str">
        <f>VLOOKUP($I1162,'Price List, Weapons &amp; Items'!B:L,COLUMN('Price List, Weapons &amp; Items'!$J$11)-1,0)</f>
        <v>.</v>
      </c>
      <c r="AO1162" s="1194" t="str">
        <f>IF(I1162=".",".",VLOOKUP($I1162,'Price List, Weapons &amp; Items'!B:J,3,0))</f>
        <v>.</v>
      </c>
      <c r="AP1162" s="1195" t="str">
        <f t="shared" ca="1" si="247"/>
        <v>.</v>
      </c>
      <c r="AQ1162" s="1194">
        <f>VLOOKUP($I1162,'Price List, Weapons &amp; Items'!B:L,COLUMN('Price List, Weapons &amp; Items'!$L$11)-1,0)</f>
        <v>0</v>
      </c>
      <c r="AR1162" s="1194">
        <f t="shared" si="254"/>
        <v>1</v>
      </c>
      <c r="AS1162" s="1194">
        <f t="shared" si="255"/>
        <v>0</v>
      </c>
      <c r="AT1162" s="1194">
        <f t="shared" si="256"/>
        <v>1</v>
      </c>
      <c r="AU1162" s="1194" t="str">
        <f t="shared" si="257"/>
        <v>.</v>
      </c>
      <c r="AV1162" s="1194" t="str">
        <f t="shared" si="248"/>
        <v>.</v>
      </c>
      <c r="AW1162" s="1194" t="str">
        <f t="shared" si="258"/>
        <v>.</v>
      </c>
      <c r="AX1162" s="1194">
        <f>IFERROR(VLOOKUP(B1162,'Share, Heavy Weapons to Ukraine'!B:Z,COLUMN('Share, Heavy Weapons to Ukraine'!C1172)-1,0),0)</f>
        <v>0</v>
      </c>
      <c r="AY1162" s="1194">
        <f>VLOOKUP('Bilateral Assistance, MAIN DATA'!B1162,'Country Summary (€)'!B:F,COLUMN('Country Summary (€)'!C1173)-1,FALSE)</f>
        <v>0</v>
      </c>
      <c r="AZ1162" s="1194" t="str">
        <f>IF(AND(AD1162=1,D1162="Military",H1162&lt;&gt;"Not given")=TRUE,IF(SUMIFS(P:P,A:A,A1162)&gt;0,ABS((SUMIFS(P:P,A:A,A1162)/VLOOKUP("USD",'Exchange Rates'!B:C,2,0)))/S1162,"."),".")</f>
        <v>.</v>
      </c>
      <c r="BA1162" s="1196" t="str">
        <f>IF(AND(AD1162=1,D1162="Military",H1162&lt;&gt;"Not given")=TRUE,IF(SUMIFS(P:P,A:A,A1162)&gt;0,IF((ABS((SUMIFS(P:P,A:A,A1162)/VLOOKUP("USD",'Exchange Rates'!B:C,2,0)))/S1162)&gt;1,(SUMIFS(P:P,A:A,A1162)-S1162)/S1162,(S1162-SUMIFS(P:P,A:A,A1162))/SUMIFS(P:P,A:A,A1162)),"."),".")</f>
        <v>.</v>
      </c>
    </row>
    <row r="1163" spans="1:53" ht="16.5" customHeight="1">
      <c r="A1163" s="1180" t="s">
        <v>3175</v>
      </c>
      <c r="B1163" s="1180" t="s">
        <v>3162</v>
      </c>
      <c r="C1163" s="1181">
        <v>44733</v>
      </c>
      <c r="D1163" s="1182" t="s">
        <v>360</v>
      </c>
      <c r="E1163" s="1182" t="s">
        <v>361</v>
      </c>
      <c r="F1163" s="1183" t="s">
        <v>3176</v>
      </c>
      <c r="G1163" s="1184" t="s">
        <v>456</v>
      </c>
      <c r="H1163" s="1185">
        <v>50000000</v>
      </c>
      <c r="I1163" s="1180" t="s">
        <v>364</v>
      </c>
      <c r="J1163" s="1186" t="str">
        <f>VLOOKUP($I1163,'Price List, Weapons &amp; Items'!B:C,2,0)</f>
        <v>.</v>
      </c>
      <c r="K1163" s="1186" t="str">
        <f>IF(I1163=".",I1163,VLOOKUP($I1163,'Price List, Weapons &amp; Items'!B:D,3,0))</f>
        <v>.</v>
      </c>
      <c r="L1163" s="1187">
        <f>VLOOKUP(I1163,'Price List, Weapons &amp; Items'!B:E,4,0)</f>
        <v>0</v>
      </c>
      <c r="M1163" s="1188" t="s">
        <v>364</v>
      </c>
      <c r="N1163" s="1275" t="s">
        <v>364</v>
      </c>
      <c r="O1163" s="1188" t="str">
        <f>VLOOKUP($I1163,'Price List, Weapons &amp; Items'!B:G,6,0)</f>
        <v>.</v>
      </c>
      <c r="P1163" s="1185" t="str">
        <f t="shared" si="249"/>
        <v>.</v>
      </c>
      <c r="Q1163" s="1185" t="str">
        <f t="shared" si="250"/>
        <v>.</v>
      </c>
      <c r="R1163" s="1185">
        <f t="shared" si="246"/>
        <v>50000000</v>
      </c>
      <c r="S1163" s="1185">
        <f>IF(AND(AD1163=1,R1163&lt;&gt;".")=TRUE,R1163/VLOOKUP(G1163,'Exchange Rates'!B:C,2,0),IF(R1163=".",".",""))</f>
        <v>46006624.953993373</v>
      </c>
      <c r="T1163" s="1185" t="str">
        <f>IF(AD1163=1,IF(AF1163="Value is not given at all",".",IF(AF1163="Value is given by the source",S1163,IF(AF1163="Value is calculated with prices",(IF(SUMIFS(Q:Q,A:A,A1163)&gt;0,SUMIFS(Q:Q,A:A,A1163),"."))/VLOOKUP("USD",'Exchange Rates'!B:C,2,0),"Error with coding"))),"")</f>
        <v>.</v>
      </c>
      <c r="U1163" s="1184" t="s">
        <v>365</v>
      </c>
      <c r="V1163" s="1284" t="s">
        <v>3177</v>
      </c>
      <c r="W1163" s="1190" t="s">
        <v>364</v>
      </c>
      <c r="X1163" s="1190" t="s">
        <v>364</v>
      </c>
      <c r="Y1163" s="1190" t="s">
        <v>364</v>
      </c>
      <c r="Z1163" s="1184">
        <v>0</v>
      </c>
      <c r="AA1163" s="1194">
        <v>0</v>
      </c>
      <c r="AB1163" s="1180" t="s">
        <v>364</v>
      </c>
      <c r="AC1163" s="1192" t="str">
        <f>""</f>
        <v/>
      </c>
      <c r="AD1163" s="985">
        <v>1</v>
      </c>
      <c r="AE1163" s="985" t="s">
        <v>368</v>
      </c>
      <c r="AF1163" s="985" t="s">
        <v>369</v>
      </c>
      <c r="AG1163" s="985">
        <v>1</v>
      </c>
      <c r="AH1163" s="1193">
        <v>6</v>
      </c>
      <c r="AI1163" s="1193">
        <v>0</v>
      </c>
      <c r="AJ1163" s="1193">
        <f>VLOOKUP($I1163,'Price List, Weapons &amp; Items'!B:F,5,0)</f>
        <v>0</v>
      </c>
      <c r="AK1163" s="1193">
        <f t="shared" si="251"/>
        <v>0</v>
      </c>
      <c r="AL1163" s="1193">
        <f t="shared" si="252"/>
        <v>0</v>
      </c>
      <c r="AM1163" s="1193">
        <f t="shared" si="253"/>
        <v>0</v>
      </c>
      <c r="AN1163" s="1194" t="str">
        <f>VLOOKUP($I1163,'Price List, Weapons &amp; Items'!B:L,COLUMN('Price List, Weapons &amp; Items'!$J$11)-1,0)</f>
        <v>.</v>
      </c>
      <c r="AO1163" s="1194" t="str">
        <f>IF(I1163=".",".",VLOOKUP($I1163,'Price List, Weapons &amp; Items'!B:J,3,0))</f>
        <v>.</v>
      </c>
      <c r="AP1163" s="1195" t="str">
        <f t="shared" ca="1" si="247"/>
        <v>.</v>
      </c>
      <c r="AQ1163" s="1194">
        <f>VLOOKUP($I1163,'Price List, Weapons &amp; Items'!B:L,COLUMN('Price List, Weapons &amp; Items'!$L$11)-1,0)</f>
        <v>0</v>
      </c>
      <c r="AR1163" s="1194">
        <f t="shared" si="254"/>
        <v>1</v>
      </c>
      <c r="AS1163" s="1194">
        <f t="shared" si="255"/>
        <v>0</v>
      </c>
      <c r="AT1163" s="1194">
        <f t="shared" si="256"/>
        <v>1</v>
      </c>
      <c r="AU1163" s="1194" t="str">
        <f t="shared" si="257"/>
        <v>.</v>
      </c>
      <c r="AV1163" s="1194" t="str">
        <f t="shared" si="248"/>
        <v>.</v>
      </c>
      <c r="AW1163" s="1194" t="str">
        <f t="shared" si="258"/>
        <v>.</v>
      </c>
      <c r="AX1163" s="1194">
        <f>IFERROR(VLOOKUP(B1163,'Share, Heavy Weapons to Ukraine'!B:Z,COLUMN('Share, Heavy Weapons to Ukraine'!C1173)-1,0),0)</f>
        <v>0</v>
      </c>
      <c r="AY1163" s="1194">
        <f>VLOOKUP('Bilateral Assistance, MAIN DATA'!B1163,'Country Summary (€)'!B:F,COLUMN('Country Summary (€)'!C1174)-1,FALSE)</f>
        <v>0</v>
      </c>
      <c r="AZ1163" s="1194" t="str">
        <f>IF(AND(AD1163=1,D1163="Military",H1163&lt;&gt;"Not given")=TRUE,IF(SUMIFS(P:P,A:A,A1163)&gt;0,ABS((SUMIFS(P:P,A:A,A1163)/VLOOKUP("USD",'Exchange Rates'!B:C,2,0)))/S1163,"."),".")</f>
        <v>.</v>
      </c>
      <c r="BA1163" s="1196" t="str">
        <f>IF(AND(AD1163=1,D1163="Military",H1163&lt;&gt;"Not given")=TRUE,IF(SUMIFS(P:P,A:A,A1163)&gt;0,IF((ABS((SUMIFS(P:P,A:A,A1163)/VLOOKUP("USD",'Exchange Rates'!B:C,2,0)))/S1163)&gt;1,(SUMIFS(P:P,A:A,A1163)-S1163)/S1163,(S1163-SUMIFS(P:P,A:A,A1163))/SUMIFS(P:P,A:A,A1163)),"."),".")</f>
        <v>.</v>
      </c>
    </row>
    <row r="1164" spans="1:53" ht="16.5" customHeight="1">
      <c r="A1164" s="1208" t="s">
        <v>3178</v>
      </c>
      <c r="B1164" s="1208" t="s">
        <v>3162</v>
      </c>
      <c r="C1164" s="1220">
        <v>44900</v>
      </c>
      <c r="D1164" s="1208" t="s">
        <v>360</v>
      </c>
      <c r="E1164" s="1208" t="s">
        <v>361</v>
      </c>
      <c r="F1164" s="1208" t="s">
        <v>3179</v>
      </c>
      <c r="G1164" s="1184" t="s">
        <v>456</v>
      </c>
      <c r="H1164" s="1210">
        <v>8800000</v>
      </c>
      <c r="I1164" s="1208" t="s">
        <v>364</v>
      </c>
      <c r="J1164" s="1186" t="str">
        <f>VLOOKUP($I1164,'Price List, Weapons &amp; Items'!B:C,2,0)</f>
        <v>.</v>
      </c>
      <c r="K1164" s="1186" t="str">
        <f>IF(I1164=".",I1164,VLOOKUP($I1164,'Price List, Weapons &amp; Items'!B:D,3,0))</f>
        <v>.</v>
      </c>
      <c r="L1164" s="1187">
        <f>VLOOKUP(I1164,'Price List, Weapons &amp; Items'!B:E,4,0)</f>
        <v>0</v>
      </c>
      <c r="M1164" s="1241" t="s">
        <v>364</v>
      </c>
      <c r="N1164" s="1211" t="s">
        <v>364</v>
      </c>
      <c r="O1164" s="1188" t="str">
        <f>VLOOKUP($I1164,'Price List, Weapons &amp; Items'!B:G,6,0)</f>
        <v>.</v>
      </c>
      <c r="P1164" s="1185" t="str">
        <f t="shared" si="249"/>
        <v>.</v>
      </c>
      <c r="Q1164" s="1185" t="str">
        <f t="shared" si="250"/>
        <v>.</v>
      </c>
      <c r="R1164" s="1185">
        <f t="shared" si="246"/>
        <v>8800000</v>
      </c>
      <c r="S1164" s="1185">
        <f>IF(AND(AD1164=1,R1164&lt;&gt;".")=TRUE,R1164/VLOOKUP(G1164,'Exchange Rates'!B:C,2,0),IF(R1164=".",".",""))</f>
        <v>8097165.9919028338</v>
      </c>
      <c r="T1164" s="1185" t="str">
        <f>IF(AD1164=1,IF(AF1164="Value is not given at all",".",IF(AF1164="Value is given by the source",S1164,IF(AF1164="Value is calculated with prices",(IF(SUMIFS(Q:Q,A:A,A1164)&gt;0,SUMIFS(Q:Q,A:A,A1164),"."))/VLOOKUP("USD",'Exchange Rates'!B:C,2,0),"Error with coding"))),"")</f>
        <v>.</v>
      </c>
      <c r="U1164" s="1191" t="s">
        <v>365</v>
      </c>
      <c r="V1164" s="979" t="s">
        <v>3180</v>
      </c>
      <c r="W1164" s="979" t="s">
        <v>3181</v>
      </c>
      <c r="X1164" s="1208" t="s">
        <v>364</v>
      </c>
      <c r="Y1164" s="1208" t="s">
        <v>364</v>
      </c>
      <c r="Z1164" s="1191">
        <v>0</v>
      </c>
      <c r="AA1164" s="1191">
        <v>0</v>
      </c>
      <c r="AB1164" s="1208" t="s">
        <v>364</v>
      </c>
      <c r="AC1164" s="1192" t="str">
        <f>""</f>
        <v/>
      </c>
      <c r="AD1164" s="1191">
        <v>1</v>
      </c>
      <c r="AE1164" s="1191" t="s">
        <v>368</v>
      </c>
      <c r="AF1164" s="1191" t="s">
        <v>369</v>
      </c>
      <c r="AG1164" s="1191">
        <v>1</v>
      </c>
      <c r="AH1164" s="1191">
        <v>12</v>
      </c>
      <c r="AI1164" s="1191">
        <v>0</v>
      </c>
      <c r="AJ1164" s="1193">
        <f>VLOOKUP($I1164,'Price List, Weapons &amp; Items'!B:F,5,0)</f>
        <v>0</v>
      </c>
      <c r="AK1164" s="1193">
        <f t="shared" si="251"/>
        <v>0</v>
      </c>
      <c r="AL1164" s="1193">
        <f t="shared" si="252"/>
        <v>0</v>
      </c>
      <c r="AM1164" s="1193">
        <f t="shared" si="253"/>
        <v>0</v>
      </c>
      <c r="AN1164" s="1194" t="str">
        <f>VLOOKUP($I1164,'Price List, Weapons &amp; Items'!B:L,COLUMN('Price List, Weapons &amp; Items'!$J$11)-1,0)</f>
        <v>.</v>
      </c>
      <c r="AO1164" s="1194" t="str">
        <f>IF(I1164=".",".",VLOOKUP($I1164,'Price List, Weapons &amp; Items'!B:J,3,0))</f>
        <v>.</v>
      </c>
      <c r="AP1164" s="1195" t="str">
        <f t="shared" ca="1" si="247"/>
        <v>.</v>
      </c>
      <c r="AQ1164" s="1194">
        <f>VLOOKUP($I1164,'Price List, Weapons &amp; Items'!B:L,COLUMN('Price List, Weapons &amp; Items'!$L$11)-1,0)</f>
        <v>0</v>
      </c>
      <c r="AR1164" s="1194">
        <f t="shared" si="254"/>
        <v>1</v>
      </c>
      <c r="AS1164" s="1194">
        <f t="shared" si="255"/>
        <v>0</v>
      </c>
      <c r="AT1164" s="1194">
        <f t="shared" si="256"/>
        <v>1</v>
      </c>
      <c r="AU1164" s="1194" t="str">
        <f t="shared" si="257"/>
        <v>.</v>
      </c>
      <c r="AV1164" s="1194" t="str">
        <f t="shared" si="248"/>
        <v>.</v>
      </c>
      <c r="AW1164" s="1194" t="str">
        <f t="shared" si="258"/>
        <v>.</v>
      </c>
      <c r="AX1164" s="1194">
        <f>IFERROR(VLOOKUP(B1164,'Share, Heavy Weapons to Ukraine'!B:Z,COLUMN('Share, Heavy Weapons to Ukraine'!C1174)-1,0),0)</f>
        <v>0</v>
      </c>
      <c r="AY1164" s="1194">
        <f>VLOOKUP('Bilateral Assistance, MAIN DATA'!B1164,'Country Summary (€)'!B:F,COLUMN('Country Summary (€)'!C1175)-1,FALSE)</f>
        <v>0</v>
      </c>
      <c r="AZ1164" s="1194" t="str">
        <f>IF(AND(AD1164=1,D1164="Military",H1164&lt;&gt;"Not given")=TRUE,IF(SUMIFS(P:P,A:A,A1164)&gt;0,ABS((SUMIFS(P:P,A:A,A1164)/VLOOKUP("USD",'Exchange Rates'!B:C,2,0)))/S1164,"."),".")</f>
        <v>.</v>
      </c>
      <c r="BA1164" s="1196" t="str">
        <f>IF(AND(AD1164=1,D1164="Military",H1164&lt;&gt;"Not given")=TRUE,IF(SUMIFS(P:P,A:A,A1164)&gt;0,IF((ABS((SUMIFS(P:P,A:A,A1164)/VLOOKUP("USD",'Exchange Rates'!B:C,2,0)))/S1164)&gt;1,(SUMIFS(P:P,A:A,A1164)-S1164)/S1164,(S1164-SUMIFS(P:P,A:A,A1164))/SUMIFS(P:P,A:A,A1164)),"."),".")</f>
        <v>.</v>
      </c>
    </row>
    <row r="1165" spans="1:53" ht="16.5" customHeight="1">
      <c r="A1165" s="1208" t="s">
        <v>3182</v>
      </c>
      <c r="B1165" s="1208" t="s">
        <v>3162</v>
      </c>
      <c r="C1165" s="1220">
        <v>44981</v>
      </c>
      <c r="D1165" s="1208" t="s">
        <v>360</v>
      </c>
      <c r="E1165" s="1208" t="s">
        <v>361</v>
      </c>
      <c r="F1165" s="1208" t="s">
        <v>3183</v>
      </c>
      <c r="G1165" s="1184" t="s">
        <v>456</v>
      </c>
      <c r="H1165" s="1210">
        <v>130000000</v>
      </c>
      <c r="I1165" s="1208" t="s">
        <v>364</v>
      </c>
      <c r="J1165" s="1186" t="str">
        <f>VLOOKUP($I1165,'Price List, Weapons &amp; Items'!B:C,2,0)</f>
        <v>.</v>
      </c>
      <c r="K1165" s="1186" t="str">
        <f>IF(I1165=".",I1165,VLOOKUP($I1165,'Price List, Weapons &amp; Items'!B:D,3,0))</f>
        <v>.</v>
      </c>
      <c r="L1165" s="1187">
        <f>VLOOKUP(I1165,'Price List, Weapons &amp; Items'!B:E,4,0)</f>
        <v>0</v>
      </c>
      <c r="M1165" s="1241" t="s">
        <v>364</v>
      </c>
      <c r="N1165" s="1211" t="s">
        <v>364</v>
      </c>
      <c r="O1165" s="1188" t="str">
        <f>VLOOKUP($I1165,'Price List, Weapons &amp; Items'!B:G,6,0)</f>
        <v>.</v>
      </c>
      <c r="P1165" s="1185" t="str">
        <f t="shared" si="249"/>
        <v>.</v>
      </c>
      <c r="Q1165" s="1185" t="str">
        <f t="shared" si="250"/>
        <v>.</v>
      </c>
      <c r="R1165" s="1185">
        <f t="shared" si="246"/>
        <v>130000000</v>
      </c>
      <c r="S1165" s="1185">
        <f>IF(AND(AD1165=1,R1165&lt;&gt;".")=TRUE,R1165/VLOOKUP(G1165,'Exchange Rates'!B:C,2,0),IF(R1165=".",".",""))</f>
        <v>119617224.88038278</v>
      </c>
      <c r="T1165" s="1185" t="str">
        <f>IF(AD1165=1,IF(AF1165="Value is not given at all",".",IF(AF1165="Value is given by the source",S1165,IF(AF1165="Value is calculated with prices",(IF(SUMIFS(Q:Q,A:A,A1165)&gt;0,SUMIFS(Q:Q,A:A,A1165),"."))/VLOOKUP("USD",'Exchange Rates'!B:C,2,0),"Error with coding"))),"")</f>
        <v>.</v>
      </c>
      <c r="U1165" s="1191" t="s">
        <v>365</v>
      </c>
      <c r="V1165" s="983" t="s">
        <v>3184</v>
      </c>
      <c r="W1165" s="983" t="s">
        <v>3185</v>
      </c>
      <c r="X1165" s="966" t="s">
        <v>3186</v>
      </c>
      <c r="Y1165" s="1208" t="s">
        <v>364</v>
      </c>
      <c r="Z1165" s="1191">
        <v>0</v>
      </c>
      <c r="AA1165" s="1191">
        <v>0</v>
      </c>
      <c r="AB1165" s="1208" t="s">
        <v>364</v>
      </c>
      <c r="AC1165" s="1192" t="str">
        <f>""</f>
        <v/>
      </c>
      <c r="AD1165" s="1191">
        <v>1</v>
      </c>
      <c r="AE1165" s="1191" t="s">
        <v>368</v>
      </c>
      <c r="AF1165" s="1191" t="s">
        <v>369</v>
      </c>
      <c r="AG1165" s="1191">
        <v>1</v>
      </c>
      <c r="AH1165" s="1191">
        <v>14</v>
      </c>
      <c r="AI1165" s="1191">
        <v>0</v>
      </c>
      <c r="AJ1165" s="1193">
        <f>VLOOKUP($I1165,'Price List, Weapons &amp; Items'!B:F,5,0)</f>
        <v>0</v>
      </c>
      <c r="AK1165" s="1193">
        <f t="shared" si="251"/>
        <v>0</v>
      </c>
      <c r="AL1165" s="1193">
        <f t="shared" si="252"/>
        <v>0</v>
      </c>
      <c r="AM1165" s="1193">
        <f t="shared" si="253"/>
        <v>0</v>
      </c>
      <c r="AN1165" s="1194" t="str">
        <f>VLOOKUP($I1165,'Price List, Weapons &amp; Items'!B:L,COLUMN('Price List, Weapons &amp; Items'!$J$11)-1,0)</f>
        <v>.</v>
      </c>
      <c r="AO1165" s="1194" t="str">
        <f>IF(I1165=".",".",VLOOKUP($I1165,'Price List, Weapons &amp; Items'!B:J,3,0))</f>
        <v>.</v>
      </c>
      <c r="AP1165" s="1195" t="str">
        <f t="shared" ca="1" si="247"/>
        <v>.</v>
      </c>
      <c r="AQ1165" s="1194">
        <f>VLOOKUP($I1165,'Price List, Weapons &amp; Items'!B:L,COLUMN('Price List, Weapons &amp; Items'!$L$11)-1,0)</f>
        <v>0</v>
      </c>
      <c r="AR1165" s="1194">
        <f t="shared" si="254"/>
        <v>1</v>
      </c>
      <c r="AS1165" s="1194">
        <f t="shared" si="255"/>
        <v>0</v>
      </c>
      <c r="AT1165" s="1194">
        <f t="shared" si="256"/>
        <v>1</v>
      </c>
      <c r="AU1165" s="1194" t="str">
        <f t="shared" si="257"/>
        <v>.</v>
      </c>
      <c r="AV1165" s="1194" t="str">
        <f t="shared" si="248"/>
        <v>.</v>
      </c>
      <c r="AW1165" s="1194" t="str">
        <f t="shared" si="258"/>
        <v>.</v>
      </c>
      <c r="AX1165" s="1194">
        <f>IFERROR(VLOOKUP(B1165,'Share, Heavy Weapons to Ukraine'!B:Z,COLUMN('Share, Heavy Weapons to Ukraine'!C1175)-1,0),0)</f>
        <v>0</v>
      </c>
      <c r="AY1165" s="1194">
        <f>VLOOKUP('Bilateral Assistance, MAIN DATA'!B1165,'Country Summary (€)'!B:F,COLUMN('Country Summary (€)'!C1176)-1,FALSE)</f>
        <v>0</v>
      </c>
      <c r="AZ1165" s="1194" t="str">
        <f>IF(AND(AD1165=1,D1165="Military",H1165&lt;&gt;"Not given")=TRUE,IF(SUMIFS(P:P,A:A,A1165)&gt;0,ABS((SUMIFS(P:P,A:A,A1165)/VLOOKUP("USD",'Exchange Rates'!B:C,2,0)))/S1165,"."),".")</f>
        <v>.</v>
      </c>
      <c r="BA1165" s="1196" t="str">
        <f>IF(AND(AD1165=1,D1165="Military",H1165&lt;&gt;"Not given")=TRUE,IF(SUMIFS(P:P,A:A,A1165)&gt;0,IF((ABS((SUMIFS(P:P,A:A,A1165)/VLOOKUP("USD",'Exchange Rates'!B:C,2,0)))/S1165)&gt;1,(SUMIFS(P:P,A:A,A1165)-S1165)/S1165,(S1165-SUMIFS(P:P,A:A,A1165))/SUMIFS(P:P,A:A,A1165)),"."),".")</f>
        <v>.</v>
      </c>
    </row>
    <row r="1166" spans="1:53" ht="15.95" customHeight="1">
      <c r="A1166" s="1180" t="s">
        <v>3187</v>
      </c>
      <c r="B1166" s="1180" t="s">
        <v>3162</v>
      </c>
      <c r="C1166" s="1181">
        <v>44621</v>
      </c>
      <c r="D1166" s="1182" t="s">
        <v>389</v>
      </c>
      <c r="E1166" s="1182" t="s">
        <v>398</v>
      </c>
      <c r="F1166" s="1183" t="s">
        <v>3188</v>
      </c>
      <c r="G1166" s="1184" t="s">
        <v>456</v>
      </c>
      <c r="H1166" s="1185">
        <v>800000</v>
      </c>
      <c r="I1166" s="1201" t="s">
        <v>364</v>
      </c>
      <c r="J1166" s="1186" t="str">
        <f>VLOOKUP($I1166,'Price List, Weapons &amp; Items'!B:C,2,0)</f>
        <v>.</v>
      </c>
      <c r="K1166" s="1186" t="str">
        <f>IF(I1166=".",I1166,VLOOKUP($I1166,'Price List, Weapons &amp; Items'!B:D,3,0))</f>
        <v>.</v>
      </c>
      <c r="L1166" s="1187">
        <f>VLOOKUP(I1166,'Price List, Weapons &amp; Items'!B:E,4,0)</f>
        <v>0</v>
      </c>
      <c r="M1166" s="1188" t="s">
        <v>364</v>
      </c>
      <c r="N1166" s="1188" t="s">
        <v>364</v>
      </c>
      <c r="O1166" s="1188" t="str">
        <f>VLOOKUP($I1166,'Price List, Weapons &amp; Items'!B:G,6,0)</f>
        <v>.</v>
      </c>
      <c r="P1166" s="1185" t="str">
        <f t="shared" si="249"/>
        <v>.</v>
      </c>
      <c r="Q1166" s="1185" t="str">
        <f t="shared" si="250"/>
        <v>.</v>
      </c>
      <c r="R1166" s="1185">
        <f t="shared" si="246"/>
        <v>800000</v>
      </c>
      <c r="S1166" s="1185">
        <f>IF(AND(AD1166=1,R1166&lt;&gt;".")=TRUE,R1166/VLOOKUP(G1166,'Exchange Rates'!B:C,2,0),IF(R1166=".",".",""))</f>
        <v>736105.99926389405</v>
      </c>
      <c r="T1166" s="1185" t="str">
        <f>IF(AD1166=1,IF(AF1166="Value is not given at all",".",IF(AF1166="Value is given by the source",S1166,IF(AF1166="Value is calculated with prices",(IF(SUMIFS(Q:Q,A:A,A1166)&gt;0,SUMIFS(Q:Q,A:A,A1166),"."))/VLOOKUP("USD",'Exchange Rates'!B:C,2,0),"Error with coding"))),"")</f>
        <v>.</v>
      </c>
      <c r="U1166" s="1184" t="s">
        <v>675</v>
      </c>
      <c r="V1166" s="971" t="s">
        <v>3189</v>
      </c>
      <c r="W1166" s="971" t="s">
        <v>3190</v>
      </c>
      <c r="X1166" s="971" t="s">
        <v>3191</v>
      </c>
      <c r="Y1166" s="1190" t="s">
        <v>364</v>
      </c>
      <c r="Z1166" s="1184">
        <v>0</v>
      </c>
      <c r="AA1166" s="1194">
        <v>0</v>
      </c>
      <c r="AB1166" s="1201" t="s">
        <v>364</v>
      </c>
      <c r="AC1166" s="1192" t="str">
        <f>""</f>
        <v/>
      </c>
      <c r="AD1166" s="1193">
        <v>1</v>
      </c>
      <c r="AE1166" s="1193" t="s">
        <v>368</v>
      </c>
      <c r="AF1166" s="1193" t="s">
        <v>369</v>
      </c>
      <c r="AG1166" s="1193">
        <v>1</v>
      </c>
      <c r="AH1166" s="1193">
        <v>3</v>
      </c>
      <c r="AI1166" s="1193">
        <v>0</v>
      </c>
      <c r="AJ1166" s="1193">
        <f>VLOOKUP($I1166,'Price List, Weapons &amp; Items'!B:F,5,0)</f>
        <v>0</v>
      </c>
      <c r="AK1166" s="1193">
        <f t="shared" si="251"/>
        <v>0</v>
      </c>
      <c r="AL1166" s="1193">
        <f t="shared" si="252"/>
        <v>0</v>
      </c>
      <c r="AM1166" s="1193">
        <f t="shared" si="253"/>
        <v>0</v>
      </c>
      <c r="AN1166" s="1194" t="str">
        <f>VLOOKUP($I1166,'Price List, Weapons &amp; Items'!B:L,COLUMN('Price List, Weapons &amp; Items'!$J$11)-1,0)</f>
        <v>.</v>
      </c>
      <c r="AO1166" s="1194" t="str">
        <f>IF(I1166=".",".",VLOOKUP($I1166,'Price List, Weapons &amp; Items'!B:J,3,0))</f>
        <v>.</v>
      </c>
      <c r="AP1166" s="1195" t="str">
        <f t="shared" ca="1" si="247"/>
        <v>.</v>
      </c>
      <c r="AQ1166" s="1194">
        <f>VLOOKUP($I1166,'Price List, Weapons &amp; Items'!B:L,COLUMN('Price List, Weapons &amp; Items'!$L$11)-1,0)</f>
        <v>0</v>
      </c>
      <c r="AR1166" s="1194">
        <f t="shared" si="254"/>
        <v>0</v>
      </c>
      <c r="AS1166" s="1194">
        <f t="shared" si="255"/>
        <v>1</v>
      </c>
      <c r="AT1166" s="1194">
        <f t="shared" si="256"/>
        <v>1</v>
      </c>
      <c r="AU1166" s="1194" t="str">
        <f t="shared" si="257"/>
        <v>.</v>
      </c>
      <c r="AV1166" s="1194" t="str">
        <f t="shared" si="248"/>
        <v>.</v>
      </c>
      <c r="AW1166" s="1194" t="str">
        <f t="shared" si="258"/>
        <v>.</v>
      </c>
      <c r="AX1166" s="1194">
        <f>IFERROR(VLOOKUP(B1166,'Share, Heavy Weapons to Ukraine'!B:Z,COLUMN('Share, Heavy Weapons to Ukraine'!C1176)-1,0),0)</f>
        <v>0</v>
      </c>
      <c r="AY1166" s="1194">
        <f>VLOOKUP('Bilateral Assistance, MAIN DATA'!B1166,'Country Summary (€)'!B:F,COLUMN('Country Summary (€)'!C1177)-1,FALSE)</f>
        <v>0</v>
      </c>
      <c r="AZ1166" s="1194" t="str">
        <f>IF(AND(AD1166=1,D1166="Military",H1166&lt;&gt;"Not given")=TRUE,IF(SUMIFS(P:P,A:A,A1166)&gt;0,ABS((SUMIFS(P:P,A:A,A1166)/VLOOKUP("USD",'Exchange Rates'!B:C,2,0)))/S1166,"."),".")</f>
        <v>.</v>
      </c>
      <c r="BA1166" s="1196" t="str">
        <f>IF(AND(AD1166=1,D1166="Military",H1166&lt;&gt;"Not given")=TRUE,IF(SUMIFS(P:P,A:A,A1166)&gt;0,IF((ABS((SUMIFS(P:P,A:A,A1166)/VLOOKUP("USD",'Exchange Rates'!B:C,2,0)))/S1166)&gt;1,(SUMIFS(P:P,A:A,A1166)-S1166)/S1166,(S1166-SUMIFS(P:P,A:A,A1166))/SUMIFS(P:P,A:A,A1166)),"."),".")</f>
        <v>.</v>
      </c>
    </row>
    <row r="1167" spans="1:53" ht="15.95" customHeight="1">
      <c r="A1167" s="1182" t="s">
        <v>3192</v>
      </c>
      <c r="B1167" s="1182" t="s">
        <v>3162</v>
      </c>
      <c r="C1167" s="1181">
        <v>44664</v>
      </c>
      <c r="D1167" s="1182" t="s">
        <v>389</v>
      </c>
      <c r="E1167" s="1182" t="s">
        <v>398</v>
      </c>
      <c r="F1167" s="1183" t="s">
        <v>3193</v>
      </c>
      <c r="G1167" s="1184" t="s">
        <v>456</v>
      </c>
      <c r="H1167" s="1185">
        <v>1600000</v>
      </c>
      <c r="I1167" s="1201" t="s">
        <v>694</v>
      </c>
      <c r="J1167" s="1186" t="str">
        <f>VLOOKUP($I1167,'Price List, Weapons &amp; Items'!B:C,2,0)</f>
        <v>Military equipment</v>
      </c>
      <c r="K1167" s="1186" t="str">
        <f>IF(I1167=".",I1167,VLOOKUP($I1167,'Price List, Weapons &amp; Items'!B:D,3,0))</f>
        <v>Military equipment</v>
      </c>
      <c r="L1167" s="1187">
        <f>VLOOKUP(I1167,'Price List, Weapons &amp; Items'!B:E,4,0)</f>
        <v>0</v>
      </c>
      <c r="M1167" s="1188" t="s">
        <v>374</v>
      </c>
      <c r="N1167" s="1188" t="s">
        <v>374</v>
      </c>
      <c r="O1167" s="1188">
        <f>VLOOKUP($I1167,'Price List, Weapons &amp; Items'!B:G,6,0)</f>
        <v>500</v>
      </c>
      <c r="P1167" s="1185" t="str">
        <f t="shared" si="249"/>
        <v>.</v>
      </c>
      <c r="Q1167" s="1185" t="str">
        <f t="shared" si="250"/>
        <v>.</v>
      </c>
      <c r="R1167" s="1185">
        <f t="shared" si="246"/>
        <v>1600000</v>
      </c>
      <c r="S1167" s="1185">
        <f>IF(AND(AD1167=1,R1167&lt;&gt;".")=TRUE,R1167/VLOOKUP(G1167,'Exchange Rates'!B:C,2,0),IF(R1167=".",".",""))</f>
        <v>1472211.9985277881</v>
      </c>
      <c r="T1167" s="1185" t="str">
        <f>IF(AD1167=1,IF(AF1167="Value is not given at all",".",IF(AF1167="Value is given by the source",S1167,IF(AF1167="Value is calculated with prices",(IF(SUMIFS(Q:Q,A:A,A1167)&gt;0,SUMIFS(Q:Q,A:A,A1167),"."))/VLOOKUP("USD",'Exchange Rates'!B:C,2,0),"Error with coding"))),"")</f>
        <v>.</v>
      </c>
      <c r="U1167" s="1184" t="s">
        <v>675</v>
      </c>
      <c r="V1167" s="974" t="s">
        <v>3194</v>
      </c>
      <c r="W1167" s="974" t="s">
        <v>3195</v>
      </c>
      <c r="X1167" s="1183" t="s">
        <v>364</v>
      </c>
      <c r="Y1167" s="1183" t="s">
        <v>364</v>
      </c>
      <c r="Z1167" s="1184">
        <v>0</v>
      </c>
      <c r="AA1167" s="1194">
        <v>0</v>
      </c>
      <c r="AB1167" s="1201" t="s">
        <v>364</v>
      </c>
      <c r="AC1167" s="1192" t="str">
        <f>""</f>
        <v/>
      </c>
      <c r="AD1167" s="1193">
        <v>1</v>
      </c>
      <c r="AE1167" s="1193" t="s">
        <v>368</v>
      </c>
      <c r="AF1167" s="1193" t="s">
        <v>369</v>
      </c>
      <c r="AG1167" s="1193">
        <v>1</v>
      </c>
      <c r="AH1167" s="1193">
        <v>4</v>
      </c>
      <c r="AI1167" s="1193">
        <v>0</v>
      </c>
      <c r="AJ1167" s="1193">
        <f>VLOOKUP($I1167,'Price List, Weapons &amp; Items'!B:F,5,0)</f>
        <v>0</v>
      </c>
      <c r="AK1167" s="1193">
        <f t="shared" si="251"/>
        <v>0</v>
      </c>
      <c r="AL1167" s="1193">
        <f t="shared" si="252"/>
        <v>0</v>
      </c>
      <c r="AM1167" s="1193">
        <f t="shared" si="253"/>
        <v>0</v>
      </c>
      <c r="AN1167" s="1194" t="str">
        <f>VLOOKUP($I1167,'Price List, Weapons &amp; Items'!B:L,COLUMN('Price List, Weapons &amp; Items'!$J$11)-1,0)</f>
        <v>Military media (incl. websites)</v>
      </c>
      <c r="AO1167" s="1194" t="str">
        <f>IF(I1167=".",".",VLOOKUP($I1167,'Price List, Weapons &amp; Items'!B:J,3,0))</f>
        <v>Military equipment</v>
      </c>
      <c r="AP1167" s="1195" t="str">
        <f t="shared" ca="1" si="247"/>
        <v>ballistic vest</v>
      </c>
      <c r="AQ1167" s="1194">
        <f>VLOOKUP($I1167,'Price List, Weapons &amp; Items'!B:L,COLUMN('Price List, Weapons &amp; Items'!$L$11)-1,0)</f>
        <v>2</v>
      </c>
      <c r="AR1167" s="1194">
        <f t="shared" si="254"/>
        <v>0</v>
      </c>
      <c r="AS1167" s="1194">
        <f t="shared" si="255"/>
        <v>1</v>
      </c>
      <c r="AT1167" s="1194">
        <f t="shared" si="256"/>
        <v>1</v>
      </c>
      <c r="AU1167" s="1194" t="str">
        <f t="shared" si="257"/>
        <v>.</v>
      </c>
      <c r="AV1167" s="1194" t="str">
        <f t="shared" si="248"/>
        <v>.</v>
      </c>
      <c r="AW1167" s="1194" t="str">
        <f t="shared" si="258"/>
        <v>.</v>
      </c>
      <c r="AX1167" s="1194">
        <f>IFERROR(VLOOKUP(B1167,'Share, Heavy Weapons to Ukraine'!B:Z,COLUMN('Share, Heavy Weapons to Ukraine'!C1177)-1,0),0)</f>
        <v>0</v>
      </c>
      <c r="AY1167" s="1194">
        <f>VLOOKUP('Bilateral Assistance, MAIN DATA'!B1167,'Country Summary (€)'!B:F,COLUMN('Country Summary (€)'!C1178)-1,FALSE)</f>
        <v>0</v>
      </c>
      <c r="AZ1167" s="1194" t="str">
        <f>IF(AND(AD1167=1,D1167="Military",H1167&lt;&gt;"Not given")=TRUE,IF(SUMIFS(P:P,A:A,A1167)&gt;0,ABS((SUMIFS(P:P,A:A,A1167)/VLOOKUP("USD",'Exchange Rates'!B:C,2,0)))/S1167,"."),".")</f>
        <v>.</v>
      </c>
      <c r="BA1167" s="1196" t="str">
        <f>IF(AND(AD1167=1,D1167="Military",H1167&lt;&gt;"Not given")=TRUE,IF(SUMIFS(P:P,A:A,A1167)&gt;0,IF((ABS((SUMIFS(P:P,A:A,A1167)/VLOOKUP("USD",'Exchange Rates'!B:C,2,0)))/S1167)&gt;1,(SUMIFS(P:P,A:A,A1167)-S1167)/S1167,(S1167-SUMIFS(P:P,A:A,A1167))/SUMIFS(P:P,A:A,A1167)),"."),".")</f>
        <v>.</v>
      </c>
    </row>
    <row r="1168" spans="1:53" ht="15.95" customHeight="1">
      <c r="A1168" s="1182" t="s">
        <v>3192</v>
      </c>
      <c r="B1168" s="1182" t="s">
        <v>3162</v>
      </c>
      <c r="C1168" s="1181">
        <v>44664</v>
      </c>
      <c r="D1168" s="1182" t="s">
        <v>389</v>
      </c>
      <c r="E1168" s="1182" t="s">
        <v>398</v>
      </c>
      <c r="F1168" s="1183" t="s">
        <v>3193</v>
      </c>
      <c r="G1168" s="1184" t="s">
        <v>456</v>
      </c>
      <c r="H1168" s="1185">
        <v>1600000</v>
      </c>
      <c r="I1168" s="1201" t="s">
        <v>594</v>
      </c>
      <c r="J1168" s="1186" t="str">
        <f>VLOOKUP($I1168,'Price List, Weapons &amp; Items'!B:C,2,0)</f>
        <v>Military equipment</v>
      </c>
      <c r="K1168" s="1186" t="str">
        <f>IF(I1168=".",I1168,VLOOKUP($I1168,'Price List, Weapons &amp; Items'!B:D,3,0))</f>
        <v>Military equipment</v>
      </c>
      <c r="L1168" s="1187">
        <f>VLOOKUP(I1168,'Price List, Weapons &amp; Items'!B:E,4,0)</f>
        <v>0</v>
      </c>
      <c r="M1168" s="1188" t="s">
        <v>374</v>
      </c>
      <c r="N1168" s="1188" t="s">
        <v>374</v>
      </c>
      <c r="O1168" s="1188">
        <f>VLOOKUP($I1168,'Price List, Weapons &amp; Items'!B:G,6,0)</f>
        <v>1400</v>
      </c>
      <c r="P1168" s="1185" t="str">
        <f t="shared" si="249"/>
        <v>.</v>
      </c>
      <c r="Q1168" s="1185" t="str">
        <f t="shared" si="250"/>
        <v>.</v>
      </c>
      <c r="R1168" s="1185" t="str">
        <f t="shared" si="246"/>
        <v/>
      </c>
      <c r="S1168" s="1185" t="str">
        <f>IF(AND(AD1168=1,R1168&lt;&gt;".")=TRUE,R1168/VLOOKUP(G1168,'Exchange Rates'!B:C,2,0),IF(R1168=".",".",""))</f>
        <v/>
      </c>
      <c r="T1168" s="1185" t="str">
        <f>IF(AD1168=1,IF(AF1168="Value is not given at all",".",IF(AF1168="Value is given by the source",S1168,IF(AF1168="Value is calculated with prices",(IF(SUMIFS(Q:Q,A:A,A1168)&gt;0,SUMIFS(Q:Q,A:A,A1168),"."))/VLOOKUP("USD",'Exchange Rates'!B:C,2,0),"Error with coding"))),"")</f>
        <v/>
      </c>
      <c r="U1168" s="1184" t="s">
        <v>675</v>
      </c>
      <c r="V1168" s="974" t="s">
        <v>3194</v>
      </c>
      <c r="W1168" s="974" t="s">
        <v>3195</v>
      </c>
      <c r="X1168" s="1183" t="s">
        <v>364</v>
      </c>
      <c r="Y1168" s="1183" t="s">
        <v>364</v>
      </c>
      <c r="Z1168" s="1184">
        <v>0</v>
      </c>
      <c r="AA1168" s="1194">
        <v>0</v>
      </c>
      <c r="AB1168" s="1201" t="s">
        <v>364</v>
      </c>
      <c r="AC1168" s="1192" t="str">
        <f>""</f>
        <v/>
      </c>
      <c r="AD1168" s="1193">
        <v>0</v>
      </c>
      <c r="AE1168" s="1193" t="s">
        <v>368</v>
      </c>
      <c r="AF1168" s="1193" t="s">
        <v>369</v>
      </c>
      <c r="AG1168" s="1193">
        <v>1</v>
      </c>
      <c r="AH1168" s="1193">
        <v>4</v>
      </c>
      <c r="AI1168" s="1193">
        <v>0</v>
      </c>
      <c r="AJ1168" s="1193">
        <f>VLOOKUP($I1168,'Price List, Weapons &amp; Items'!B:F,5,0)</f>
        <v>0</v>
      </c>
      <c r="AK1168" s="1193">
        <f t="shared" si="251"/>
        <v>0</v>
      </c>
      <c r="AL1168" s="1193">
        <f t="shared" si="252"/>
        <v>0</v>
      </c>
      <c r="AM1168" s="1193">
        <f t="shared" si="253"/>
        <v>0</v>
      </c>
      <c r="AN1168" s="1194" t="str">
        <f>VLOOKUP($I1168,'Price List, Weapons &amp; Items'!B:L,COLUMN('Price List, Weapons &amp; Items'!$J$11)-1,0)</f>
        <v>Military media (incl. websites)</v>
      </c>
      <c r="AO1168" s="1194" t="str">
        <f>IF(I1168=".",".",VLOOKUP($I1168,'Price List, Weapons &amp; Items'!B:J,3,0))</f>
        <v>Military equipment</v>
      </c>
      <c r="AP1168" s="1195" t="str">
        <f t="shared" ca="1" si="247"/>
        <v/>
      </c>
      <c r="AQ1168" s="1194">
        <f>VLOOKUP($I1168,'Price List, Weapons &amp; Items'!B:L,COLUMN('Price List, Weapons &amp; Items'!$L$11)-1,0)</f>
        <v>2</v>
      </c>
      <c r="AR1168" s="1194">
        <f t="shared" si="254"/>
        <v>0</v>
      </c>
      <c r="AS1168" s="1194">
        <f t="shared" si="255"/>
        <v>1</v>
      </c>
      <c r="AT1168" s="1194">
        <f t="shared" si="256"/>
        <v>1</v>
      </c>
      <c r="AU1168" s="1194" t="str">
        <f t="shared" si="257"/>
        <v>.</v>
      </c>
      <c r="AV1168" s="1194" t="str">
        <f t="shared" si="248"/>
        <v>.</v>
      </c>
      <c r="AW1168" s="1194" t="str">
        <f t="shared" si="258"/>
        <v>.</v>
      </c>
      <c r="AX1168" s="1194">
        <f>IFERROR(VLOOKUP(B1168,'Share, Heavy Weapons to Ukraine'!B:Z,COLUMN('Share, Heavy Weapons to Ukraine'!C1178)-1,0),0)</f>
        <v>0</v>
      </c>
      <c r="AY1168" s="1194">
        <f>VLOOKUP('Bilateral Assistance, MAIN DATA'!B1168,'Country Summary (€)'!B:F,COLUMN('Country Summary (€)'!C1179)-1,FALSE)</f>
        <v>0</v>
      </c>
      <c r="AZ1168" s="1194" t="str">
        <f>IF(AND(AD1168=1,D1168="Military",H1168&lt;&gt;"Not given")=TRUE,IF(SUMIFS(P:P,A:A,A1168)&gt;0,ABS((SUMIFS(P:P,A:A,A1168)/VLOOKUP("USD",'Exchange Rates'!B:C,2,0)))/S1168,"."),".")</f>
        <v>.</v>
      </c>
      <c r="BA1168" s="1196" t="str">
        <f>IF(AND(AD1168=1,D1168="Military",H1168&lt;&gt;"Not given")=TRUE,IF(SUMIFS(P:P,A:A,A1168)&gt;0,IF((ABS((SUMIFS(P:P,A:A,A1168)/VLOOKUP("USD",'Exchange Rates'!B:C,2,0)))/S1168)&gt;1,(SUMIFS(P:P,A:A,A1168)-S1168)/S1168,(S1168-SUMIFS(P:P,A:A,A1168))/SUMIFS(P:P,A:A,A1168)),"."),".")</f>
        <v>.</v>
      </c>
    </row>
    <row r="1169" spans="1:53" ht="15.95" customHeight="1">
      <c r="A1169" s="1182" t="s">
        <v>3192</v>
      </c>
      <c r="B1169" s="1182" t="s">
        <v>3162</v>
      </c>
      <c r="C1169" s="1181">
        <v>44664</v>
      </c>
      <c r="D1169" s="1182" t="s">
        <v>389</v>
      </c>
      <c r="E1169" s="1182" t="s">
        <v>398</v>
      </c>
      <c r="F1169" s="1183" t="s">
        <v>3193</v>
      </c>
      <c r="G1169" s="1184" t="s">
        <v>456</v>
      </c>
      <c r="H1169" s="1185">
        <v>1600000</v>
      </c>
      <c r="I1169" s="1201" t="s">
        <v>3196</v>
      </c>
      <c r="J1169" s="1186" t="str">
        <f>VLOOKUP($I1169,'Price List, Weapons &amp; Items'!B:C,2,0)</f>
        <v>Military equipment</v>
      </c>
      <c r="K1169" s="1186" t="str">
        <f>IF(I1169=".",I1169,VLOOKUP($I1169,'Price List, Weapons &amp; Items'!B:D,3,0))</f>
        <v>Military equipment</v>
      </c>
      <c r="L1169" s="1187">
        <f>VLOOKUP(I1169,'Price List, Weapons &amp; Items'!B:E,4,0)</f>
        <v>0</v>
      </c>
      <c r="M1169" s="1188" t="s">
        <v>374</v>
      </c>
      <c r="N1169" s="1188" t="s">
        <v>374</v>
      </c>
      <c r="O1169" s="1188" t="str">
        <f>VLOOKUP($I1169,'Price List, Weapons &amp; Items'!B:G,6,0)</f>
        <v>.</v>
      </c>
      <c r="P1169" s="1185" t="str">
        <f t="shared" si="249"/>
        <v>.</v>
      </c>
      <c r="Q1169" s="1185" t="str">
        <f t="shared" si="250"/>
        <v>.</v>
      </c>
      <c r="R1169" s="1185" t="str">
        <f t="shared" si="246"/>
        <v/>
      </c>
      <c r="S1169" s="1185" t="str">
        <f>IF(AND(AD1169=1,R1169&lt;&gt;".")=TRUE,R1169/VLOOKUP(G1169,'Exchange Rates'!B:C,2,0),IF(R1169=".",".",""))</f>
        <v/>
      </c>
      <c r="T1169" s="1185" t="str">
        <f>IF(AD1169=1,IF(AF1169="Value is not given at all",".",IF(AF1169="Value is given by the source",S1169,IF(AF1169="Value is calculated with prices",(IF(SUMIFS(Q:Q,A:A,A1169)&gt;0,SUMIFS(Q:Q,A:A,A1169),"."))/VLOOKUP("USD",'Exchange Rates'!B:C,2,0),"Error with coding"))),"")</f>
        <v/>
      </c>
      <c r="U1169" s="1184" t="s">
        <v>675</v>
      </c>
      <c r="V1169" s="974" t="s">
        <v>3194</v>
      </c>
      <c r="W1169" s="974" t="s">
        <v>3195</v>
      </c>
      <c r="X1169" s="1183" t="s">
        <v>364</v>
      </c>
      <c r="Y1169" s="1183" t="s">
        <v>364</v>
      </c>
      <c r="Z1169" s="1184">
        <v>0</v>
      </c>
      <c r="AA1169" s="1194">
        <v>0</v>
      </c>
      <c r="AB1169" s="1201" t="s">
        <v>364</v>
      </c>
      <c r="AC1169" s="1192" t="str">
        <f>""</f>
        <v/>
      </c>
      <c r="AD1169" s="1193">
        <v>0</v>
      </c>
      <c r="AE1169" s="1193" t="s">
        <v>368</v>
      </c>
      <c r="AF1169" s="1193" t="s">
        <v>369</v>
      </c>
      <c r="AG1169" s="1193">
        <v>1</v>
      </c>
      <c r="AH1169" s="1193">
        <v>4</v>
      </c>
      <c r="AI1169" s="1193">
        <v>0</v>
      </c>
      <c r="AJ1169" s="1193">
        <f>VLOOKUP($I1169,'Price List, Weapons &amp; Items'!B:F,5,0)</f>
        <v>0</v>
      </c>
      <c r="AK1169" s="1193">
        <f t="shared" si="251"/>
        <v>0</v>
      </c>
      <c r="AL1169" s="1193">
        <f t="shared" si="252"/>
        <v>0</v>
      </c>
      <c r="AM1169" s="1193">
        <f t="shared" si="253"/>
        <v>0</v>
      </c>
      <c r="AN1169" s="1194" t="str">
        <f>VLOOKUP($I1169,'Price List, Weapons &amp; Items'!B:L,COLUMN('Price List, Weapons &amp; Items'!$J$11)-1,0)</f>
        <v>.</v>
      </c>
      <c r="AO1169" s="1194" t="str">
        <f>IF(I1169=".",".",VLOOKUP($I1169,'Price List, Weapons &amp; Items'!B:J,3,0))</f>
        <v>Military equipment</v>
      </c>
      <c r="AP1169" s="1195" t="str">
        <f t="shared" ca="1" si="247"/>
        <v/>
      </c>
      <c r="AQ1169" s="1194" t="str">
        <f>VLOOKUP($I1169,'Price List, Weapons &amp; Items'!B:L,COLUMN('Price List, Weapons &amp; Items'!$L$11)-1,0)</f>
        <v>no price, 0 count</v>
      </c>
      <c r="AR1169" s="1194">
        <f t="shared" si="254"/>
        <v>0</v>
      </c>
      <c r="AS1169" s="1194">
        <f t="shared" si="255"/>
        <v>1</v>
      </c>
      <c r="AT1169" s="1194">
        <f t="shared" si="256"/>
        <v>1</v>
      </c>
      <c r="AU1169" s="1194" t="str">
        <f t="shared" si="257"/>
        <v>.</v>
      </c>
      <c r="AV1169" s="1194" t="str">
        <f t="shared" si="248"/>
        <v>.</v>
      </c>
      <c r="AW1169" s="1194" t="str">
        <f t="shared" si="258"/>
        <v>.</v>
      </c>
      <c r="AX1169" s="1194">
        <f>IFERROR(VLOOKUP(B1169,'Share, Heavy Weapons to Ukraine'!B:Z,COLUMN('Share, Heavy Weapons to Ukraine'!C1179)-1,0),0)</f>
        <v>0</v>
      </c>
      <c r="AY1169" s="1194">
        <f>VLOOKUP('Bilateral Assistance, MAIN DATA'!B1169,'Country Summary (€)'!B:F,COLUMN('Country Summary (€)'!C1180)-1,FALSE)</f>
        <v>0</v>
      </c>
      <c r="AZ1169" s="1194" t="str">
        <f>IF(AND(AD1169=1,D1169="Military",H1169&lt;&gt;"Not given")=TRUE,IF(SUMIFS(P:P,A:A,A1169)&gt;0,ABS((SUMIFS(P:P,A:A,A1169)/VLOOKUP("USD",'Exchange Rates'!B:C,2,0)))/S1169,"."),".")</f>
        <v>.</v>
      </c>
      <c r="BA1169" s="1196" t="str">
        <f>IF(AND(AD1169=1,D1169="Military",H1169&lt;&gt;"Not given")=TRUE,IF(SUMIFS(P:P,A:A,A1169)&gt;0,IF((ABS((SUMIFS(P:P,A:A,A1169)/VLOOKUP("USD",'Exchange Rates'!B:C,2,0)))/S1169)&gt;1,(SUMIFS(P:P,A:A,A1169)-S1169)/S1169,(S1169-SUMIFS(P:P,A:A,A1169))/SUMIFS(P:P,A:A,A1169)),"."),".")</f>
        <v>.</v>
      </c>
    </row>
    <row r="1170" spans="1:53" ht="15.95" customHeight="1">
      <c r="A1170" s="1182" t="s">
        <v>3192</v>
      </c>
      <c r="B1170" s="1182" t="s">
        <v>3162</v>
      </c>
      <c r="C1170" s="1181">
        <v>44664</v>
      </c>
      <c r="D1170" s="1182" t="s">
        <v>389</v>
      </c>
      <c r="E1170" s="1182" t="s">
        <v>398</v>
      </c>
      <c r="F1170" s="1183" t="s">
        <v>3193</v>
      </c>
      <c r="G1170" s="1184" t="s">
        <v>456</v>
      </c>
      <c r="H1170" s="1185">
        <v>1600000</v>
      </c>
      <c r="I1170" s="1201" t="s">
        <v>2451</v>
      </c>
      <c r="J1170" s="1186" t="str">
        <f>VLOOKUP($I1170,'Price List, Weapons &amp; Items'!B:C,2,0)</f>
        <v>Military equipment</v>
      </c>
      <c r="K1170" s="1186" t="str">
        <f>IF(I1170=".",I1170,VLOOKUP($I1170,'Price List, Weapons &amp; Items'!B:D,3,0))</f>
        <v>Military equipment</v>
      </c>
      <c r="L1170" s="1187">
        <f>VLOOKUP(I1170,'Price List, Weapons &amp; Items'!B:E,4,0)</f>
        <v>0</v>
      </c>
      <c r="M1170" s="1188" t="s">
        <v>374</v>
      </c>
      <c r="N1170" s="1188" t="s">
        <v>374</v>
      </c>
      <c r="O1170" s="1188" t="str">
        <f>VLOOKUP($I1170,'Price List, Weapons &amp; Items'!B:G,6,0)</f>
        <v>.</v>
      </c>
      <c r="P1170" s="1185" t="str">
        <f t="shared" si="249"/>
        <v>.</v>
      </c>
      <c r="Q1170" s="1185" t="str">
        <f t="shared" si="250"/>
        <v>.</v>
      </c>
      <c r="R1170" s="1185" t="str">
        <f t="shared" si="246"/>
        <v/>
      </c>
      <c r="S1170" s="1185" t="str">
        <f>IF(AND(AD1170=1,R1170&lt;&gt;".")=TRUE,R1170/VLOOKUP(G1170,'Exchange Rates'!B:C,2,0),IF(R1170=".",".",""))</f>
        <v/>
      </c>
      <c r="T1170" s="1185" t="str">
        <f>IF(AD1170=1,IF(AF1170="Value is not given at all",".",IF(AF1170="Value is given by the source",S1170,IF(AF1170="Value is calculated with prices",(IF(SUMIFS(Q:Q,A:A,A1170)&gt;0,SUMIFS(Q:Q,A:A,A1170),"."))/VLOOKUP("USD",'Exchange Rates'!B:C,2,0),"Error with coding"))),"")</f>
        <v/>
      </c>
      <c r="U1170" s="1184" t="s">
        <v>675</v>
      </c>
      <c r="V1170" s="974" t="s">
        <v>3194</v>
      </c>
      <c r="W1170" s="974" t="s">
        <v>3195</v>
      </c>
      <c r="X1170" s="1183" t="s">
        <v>364</v>
      </c>
      <c r="Y1170" s="1183" t="s">
        <v>364</v>
      </c>
      <c r="Z1170" s="1184">
        <v>0</v>
      </c>
      <c r="AA1170" s="1194">
        <v>0</v>
      </c>
      <c r="AB1170" s="1201" t="s">
        <v>364</v>
      </c>
      <c r="AC1170" s="1192" t="str">
        <f>""</f>
        <v/>
      </c>
      <c r="AD1170" s="1193">
        <v>0</v>
      </c>
      <c r="AE1170" s="1193" t="s">
        <v>368</v>
      </c>
      <c r="AF1170" s="1193" t="s">
        <v>369</v>
      </c>
      <c r="AG1170" s="1193">
        <v>1</v>
      </c>
      <c r="AH1170" s="1193">
        <v>4</v>
      </c>
      <c r="AI1170" s="1193">
        <v>0</v>
      </c>
      <c r="AJ1170" s="1193">
        <f>VLOOKUP($I1170,'Price List, Weapons &amp; Items'!B:F,5,0)</f>
        <v>0</v>
      </c>
      <c r="AK1170" s="1193">
        <f t="shared" si="251"/>
        <v>0</v>
      </c>
      <c r="AL1170" s="1193">
        <f t="shared" si="252"/>
        <v>0</v>
      </c>
      <c r="AM1170" s="1193">
        <f t="shared" si="253"/>
        <v>0</v>
      </c>
      <c r="AN1170" s="1194" t="str">
        <f>VLOOKUP($I1170,'Price List, Weapons &amp; Items'!B:L,COLUMN('Price List, Weapons &amp; Items'!$J$11)-1,0)</f>
        <v>.</v>
      </c>
      <c r="AO1170" s="1194" t="str">
        <f>IF(I1170=".",".",VLOOKUP($I1170,'Price List, Weapons &amp; Items'!B:J,3,0))</f>
        <v>Military equipment</v>
      </c>
      <c r="AP1170" s="1195" t="str">
        <f t="shared" ca="1" si="247"/>
        <v/>
      </c>
      <c r="AQ1170" s="1194" t="str">
        <f>VLOOKUP($I1170,'Price List, Weapons &amp; Items'!B:L,COLUMN('Price List, Weapons &amp; Items'!$L$11)-1,0)</f>
        <v>no price, 0 count</v>
      </c>
      <c r="AR1170" s="1194">
        <f t="shared" si="254"/>
        <v>0</v>
      </c>
      <c r="AS1170" s="1194">
        <f t="shared" si="255"/>
        <v>1</v>
      </c>
      <c r="AT1170" s="1194">
        <f t="shared" si="256"/>
        <v>1</v>
      </c>
      <c r="AU1170" s="1194" t="str">
        <f t="shared" si="257"/>
        <v>.</v>
      </c>
      <c r="AV1170" s="1194" t="str">
        <f t="shared" si="248"/>
        <v>.</v>
      </c>
      <c r="AW1170" s="1194" t="str">
        <f t="shared" si="258"/>
        <v>.</v>
      </c>
      <c r="AX1170" s="1194">
        <f>IFERROR(VLOOKUP(B1170,'Share, Heavy Weapons to Ukraine'!B:Z,COLUMN('Share, Heavy Weapons to Ukraine'!C1180)-1,0),0)</f>
        <v>0</v>
      </c>
      <c r="AY1170" s="1194">
        <f>VLOOKUP('Bilateral Assistance, MAIN DATA'!B1170,'Country Summary (€)'!B:F,COLUMN('Country Summary (€)'!C1181)-1,FALSE)</f>
        <v>0</v>
      </c>
      <c r="AZ1170" s="1194" t="str">
        <f>IF(AND(AD1170=1,D1170="Military",H1170&lt;&gt;"Not given")=TRUE,IF(SUMIFS(P:P,A:A,A1170)&gt;0,ABS((SUMIFS(P:P,A:A,A1170)/VLOOKUP("USD",'Exchange Rates'!B:C,2,0)))/S1170,"."),".")</f>
        <v>.</v>
      </c>
      <c r="BA1170" s="1196" t="str">
        <f>IF(AND(AD1170=1,D1170="Military",H1170&lt;&gt;"Not given")=TRUE,IF(SUMIFS(P:P,A:A,A1170)&gt;0,IF((ABS((SUMIFS(P:P,A:A,A1170)/VLOOKUP("USD",'Exchange Rates'!B:C,2,0)))/S1170)&gt;1,(SUMIFS(P:P,A:A,A1170)-S1170)/S1170,(S1170-SUMIFS(P:P,A:A,A1170))/SUMIFS(P:P,A:A,A1170)),"."),".")</f>
        <v>.</v>
      </c>
    </row>
    <row r="1171" spans="1:53" ht="15.95" customHeight="1">
      <c r="A1171" s="1180" t="s">
        <v>3197</v>
      </c>
      <c r="B1171" s="1180" t="s">
        <v>3162</v>
      </c>
      <c r="C1171" s="1181">
        <v>44707</v>
      </c>
      <c r="D1171" s="1182" t="s">
        <v>389</v>
      </c>
      <c r="E1171" s="1182" t="s">
        <v>398</v>
      </c>
      <c r="F1171" s="1183" t="s">
        <v>3198</v>
      </c>
      <c r="G1171" s="1184" t="s">
        <v>456</v>
      </c>
      <c r="H1171" s="1185">
        <v>1180000</v>
      </c>
      <c r="I1171" s="1201" t="s">
        <v>364</v>
      </c>
      <c r="J1171" s="1186" t="str">
        <f>VLOOKUP($I1171,'Price List, Weapons &amp; Items'!B:C,2,0)</f>
        <v>.</v>
      </c>
      <c r="K1171" s="1186" t="str">
        <f>IF(I1171=".",I1171,VLOOKUP($I1171,'Price List, Weapons &amp; Items'!B:D,3,0))</f>
        <v>.</v>
      </c>
      <c r="L1171" s="1187">
        <f>VLOOKUP(I1171,'Price List, Weapons &amp; Items'!B:E,4,0)</f>
        <v>0</v>
      </c>
      <c r="M1171" s="1188" t="s">
        <v>364</v>
      </c>
      <c r="N1171" s="1188" t="s">
        <v>364</v>
      </c>
      <c r="O1171" s="1188" t="str">
        <f>VLOOKUP($I1171,'Price List, Weapons &amp; Items'!B:G,6,0)</f>
        <v>.</v>
      </c>
      <c r="P1171" s="1185" t="str">
        <f t="shared" si="249"/>
        <v>.</v>
      </c>
      <c r="Q1171" s="1185" t="str">
        <f t="shared" si="250"/>
        <v>.</v>
      </c>
      <c r="R1171" s="1185">
        <f t="shared" si="246"/>
        <v>1180000</v>
      </c>
      <c r="S1171" s="1185">
        <f>IF(AND(AD1171=1,R1171&lt;&gt;".")=TRUE,R1171/VLOOKUP(G1171,'Exchange Rates'!B:C,2,0),IF(R1171=".",".",""))</f>
        <v>1085756.3489142437</v>
      </c>
      <c r="T1171" s="1185" t="str">
        <f>IF(AD1171=1,IF(AF1171="Value is not given at all",".",IF(AF1171="Value is given by the source",S1171,IF(AF1171="Value is calculated with prices",(IF(SUMIFS(Q:Q,A:A,A1171)&gt;0,SUMIFS(Q:Q,A:A,A1171),"."))/VLOOKUP("USD",'Exchange Rates'!B:C,2,0),"Error with coding"))),"")</f>
        <v>.</v>
      </c>
      <c r="U1171" s="1184" t="s">
        <v>675</v>
      </c>
      <c r="V1171" s="971" t="s">
        <v>3199</v>
      </c>
      <c r="W1171" s="971" t="s">
        <v>3200</v>
      </c>
      <c r="X1171" s="971" t="s">
        <v>3201</v>
      </c>
      <c r="Y1171" s="1190" t="s">
        <v>364</v>
      </c>
      <c r="Z1171" s="1184">
        <v>0</v>
      </c>
      <c r="AA1171" s="1194">
        <v>0</v>
      </c>
      <c r="AB1171" s="1201" t="s">
        <v>364</v>
      </c>
      <c r="AC1171" s="1192" t="str">
        <f>""</f>
        <v/>
      </c>
      <c r="AD1171" s="1193">
        <v>1</v>
      </c>
      <c r="AE1171" s="1193" t="s">
        <v>368</v>
      </c>
      <c r="AF1171" s="1193" t="s">
        <v>369</v>
      </c>
      <c r="AG1171" s="1193">
        <v>1</v>
      </c>
      <c r="AH1171" s="1193">
        <v>5</v>
      </c>
      <c r="AI1171" s="1193">
        <v>0</v>
      </c>
      <c r="AJ1171" s="1193">
        <f>VLOOKUP($I1171,'Price List, Weapons &amp; Items'!B:F,5,0)</f>
        <v>0</v>
      </c>
      <c r="AK1171" s="1193">
        <f t="shared" si="251"/>
        <v>0</v>
      </c>
      <c r="AL1171" s="1193">
        <f t="shared" si="252"/>
        <v>0</v>
      </c>
      <c r="AM1171" s="1193">
        <f t="shared" si="253"/>
        <v>0</v>
      </c>
      <c r="AN1171" s="1194" t="str">
        <f>VLOOKUP($I1171,'Price List, Weapons &amp; Items'!B:L,COLUMN('Price List, Weapons &amp; Items'!$J$11)-1,0)</f>
        <v>.</v>
      </c>
      <c r="AO1171" s="1194" t="str">
        <f>IF(I1171=".",".",VLOOKUP($I1171,'Price List, Weapons &amp; Items'!B:J,3,0))</f>
        <v>.</v>
      </c>
      <c r="AP1171" s="1195" t="str">
        <f t="shared" ca="1" si="247"/>
        <v>.</v>
      </c>
      <c r="AQ1171" s="1194">
        <f>VLOOKUP($I1171,'Price List, Weapons &amp; Items'!B:L,COLUMN('Price List, Weapons &amp; Items'!$L$11)-1,0)</f>
        <v>0</v>
      </c>
      <c r="AR1171" s="1194">
        <f t="shared" si="254"/>
        <v>0</v>
      </c>
      <c r="AS1171" s="1194">
        <f t="shared" si="255"/>
        <v>1</v>
      </c>
      <c r="AT1171" s="1194">
        <f t="shared" si="256"/>
        <v>1</v>
      </c>
      <c r="AU1171" s="1194" t="str">
        <f t="shared" si="257"/>
        <v>.</v>
      </c>
      <c r="AV1171" s="1194" t="str">
        <f t="shared" si="248"/>
        <v>.</v>
      </c>
      <c r="AW1171" s="1194" t="str">
        <f t="shared" si="258"/>
        <v>.</v>
      </c>
      <c r="AX1171" s="1194">
        <f>IFERROR(VLOOKUP(B1171,'Share, Heavy Weapons to Ukraine'!B:Z,COLUMN('Share, Heavy Weapons to Ukraine'!C1181)-1,0),0)</f>
        <v>0</v>
      </c>
      <c r="AY1171" s="1194">
        <f>VLOOKUP('Bilateral Assistance, MAIN DATA'!B1171,'Country Summary (€)'!B:F,COLUMN('Country Summary (€)'!C1182)-1,FALSE)</f>
        <v>0</v>
      </c>
      <c r="AZ1171" s="1194" t="str">
        <f>IF(AND(AD1171=1,D1171="Military",H1171&lt;&gt;"Not given")=TRUE,IF(SUMIFS(P:P,A:A,A1171)&gt;0,ABS((SUMIFS(P:P,A:A,A1171)/VLOOKUP("USD",'Exchange Rates'!B:C,2,0)))/S1171,"."),".")</f>
        <v>.</v>
      </c>
      <c r="BA1171" s="1196" t="str">
        <f>IF(AND(AD1171=1,D1171="Military",H1171&lt;&gt;"Not given")=TRUE,IF(SUMIFS(P:P,A:A,A1171)&gt;0,IF((ABS((SUMIFS(P:P,A:A,A1171)/VLOOKUP("USD",'Exchange Rates'!B:C,2,0)))/S1171)&gt;1,(SUMIFS(P:P,A:A,A1171)-S1171)/S1171,(S1171-SUMIFS(P:P,A:A,A1171))/SUMIFS(P:P,A:A,A1171)),"."),".")</f>
        <v>.</v>
      </c>
    </row>
    <row r="1172" spans="1:53" ht="15.95" customHeight="1">
      <c r="A1172" s="1180" t="s">
        <v>3202</v>
      </c>
      <c r="B1172" s="1180" t="s">
        <v>3162</v>
      </c>
      <c r="C1172" s="1181">
        <v>45063</v>
      </c>
      <c r="D1172" s="1182" t="s">
        <v>544</v>
      </c>
      <c r="E1172" s="1182" t="s">
        <v>481</v>
      </c>
      <c r="F1172" s="1183" t="s">
        <v>3203</v>
      </c>
      <c r="G1172" s="1184" t="s">
        <v>456</v>
      </c>
      <c r="H1172" s="1185">
        <v>130000000</v>
      </c>
      <c r="I1172" s="1201" t="s">
        <v>364</v>
      </c>
      <c r="J1172" s="1186" t="str">
        <f>VLOOKUP($I1172,'Price List, Weapons &amp; Items'!B:C,2,0)</f>
        <v>.</v>
      </c>
      <c r="K1172" s="1186" t="str">
        <f>IF(I1172=".",I1172,VLOOKUP($I1172,'Price List, Weapons &amp; Items'!B:D,3,0))</f>
        <v>.</v>
      </c>
      <c r="L1172" s="1187">
        <f>VLOOKUP(I1172,'Price List, Weapons &amp; Items'!B:E,4,0)</f>
        <v>0</v>
      </c>
      <c r="M1172" s="1188" t="s">
        <v>364</v>
      </c>
      <c r="N1172" s="1188" t="s">
        <v>364</v>
      </c>
      <c r="O1172" s="1188" t="str">
        <f>VLOOKUP($I1172,'Price List, Weapons &amp; Items'!B:G,6,0)</f>
        <v>.</v>
      </c>
      <c r="P1172" s="1185" t="str">
        <f t="shared" si="249"/>
        <v>.</v>
      </c>
      <c r="Q1172" s="1185" t="str">
        <f t="shared" si="250"/>
        <v>.</v>
      </c>
      <c r="R1172" s="1185">
        <f t="shared" si="246"/>
        <v>130000000</v>
      </c>
      <c r="S1172" s="1185">
        <f>IF(AND(AD1172=1,R1172&lt;&gt;".")=TRUE,R1172/VLOOKUP(G1172,'Exchange Rates'!B:C,2,0),IF(R1172=".",".",""))</f>
        <v>119617224.88038278</v>
      </c>
      <c r="T1172" s="1185" t="str">
        <f>IF(AD1172=1,IF(AF1172="Value is not given at all",".",IF(AF1172="Value is given by the source",S1172,IF(AF1172="Value is calculated with prices",(IF(SUMIFS(Q:Q,A:A,A1172)&gt;0,SUMIFS(Q:Q,A:A,A1172),"."))/VLOOKUP("USD",'Exchange Rates'!B:C,2,0),"Error with coding"))),"")</f>
        <v>.</v>
      </c>
      <c r="U1172" s="1184" t="s">
        <v>365</v>
      </c>
      <c r="V1172" s="973" t="s">
        <v>3204</v>
      </c>
      <c r="W1172" s="973" t="s">
        <v>3205</v>
      </c>
      <c r="X1172" s="973" t="s">
        <v>3206</v>
      </c>
      <c r="Y1172" s="980" t="s">
        <v>3207</v>
      </c>
      <c r="Z1172" s="1184">
        <v>0</v>
      </c>
      <c r="AA1172" s="1194">
        <v>1</v>
      </c>
      <c r="AB1172" s="1201" t="s">
        <v>364</v>
      </c>
      <c r="AC1172" s="1192" t="str">
        <f>""</f>
        <v/>
      </c>
      <c r="AD1172" s="1193">
        <v>1</v>
      </c>
      <c r="AE1172" s="1193" t="s">
        <v>368</v>
      </c>
      <c r="AF1172" s="1193" t="s">
        <v>369</v>
      </c>
      <c r="AG1172" s="1193">
        <v>1</v>
      </c>
      <c r="AH1172" s="1193">
        <v>17</v>
      </c>
      <c r="AI1172" s="1193">
        <v>0</v>
      </c>
      <c r="AJ1172" s="1193">
        <f>VLOOKUP($I1172,'Price List, Weapons &amp; Items'!B:F,5,0)</f>
        <v>0</v>
      </c>
      <c r="AK1172" s="1193">
        <f t="shared" si="251"/>
        <v>0</v>
      </c>
      <c r="AL1172" s="1193">
        <f t="shared" si="252"/>
        <v>0</v>
      </c>
      <c r="AM1172" s="1193">
        <f t="shared" si="253"/>
        <v>0</v>
      </c>
      <c r="AN1172" s="1194" t="str">
        <f>VLOOKUP($I1172,'Price List, Weapons &amp; Items'!B:L,COLUMN('Price List, Weapons &amp; Items'!$J$11)-1,0)</f>
        <v>.</v>
      </c>
      <c r="AO1172" s="1194" t="str">
        <f>IF(I1172=".",".",VLOOKUP($I1172,'Price List, Weapons &amp; Items'!B:J,3,0))</f>
        <v>.</v>
      </c>
      <c r="AP1172" s="1195" t="str">
        <f t="shared" ca="1" si="247"/>
        <v>.</v>
      </c>
      <c r="AQ1172" s="1194">
        <f>VLOOKUP($I1172,'Price List, Weapons &amp; Items'!B:L,COLUMN('Price List, Weapons &amp; Items'!$L$11)-1,0)</f>
        <v>0</v>
      </c>
      <c r="AR1172" s="1194">
        <f t="shared" si="254"/>
        <v>1</v>
      </c>
      <c r="AS1172" s="1194">
        <f t="shared" si="255"/>
        <v>0</v>
      </c>
      <c r="AT1172" s="1194">
        <f t="shared" si="256"/>
        <v>1</v>
      </c>
      <c r="AU1172" s="1194" t="str">
        <f t="shared" si="257"/>
        <v>.</v>
      </c>
      <c r="AV1172" s="1194" t="str">
        <f t="shared" si="248"/>
        <v>.</v>
      </c>
      <c r="AW1172" s="1194" t="str">
        <f t="shared" si="258"/>
        <v>.</v>
      </c>
      <c r="AX1172" s="1194">
        <f>IFERROR(VLOOKUP(B1172,'Share, Heavy Weapons to Ukraine'!B:Z,COLUMN('Share, Heavy Weapons to Ukraine'!C1182)-1,0),0)</f>
        <v>0</v>
      </c>
      <c r="AY1172" s="1194">
        <f>VLOOKUP('Bilateral Assistance, MAIN DATA'!B1172,'Country Summary (€)'!B:F,COLUMN('Country Summary (€)'!C1183)-1,FALSE)</f>
        <v>0</v>
      </c>
      <c r="AZ1172" s="1194" t="str">
        <f>IF(AND(AD1172=1,D1172="Military",H1172&lt;&gt;"Not given")=TRUE,IF(SUMIFS(P:P,A:A,A1172)&gt;0,ABS((SUMIFS(P:P,A:A,A1172)/VLOOKUP("USD",'Exchange Rates'!B:C,2,0)))/S1172,"."),".")</f>
        <v>.</v>
      </c>
      <c r="BA1172" s="1196" t="str">
        <f>IF(AND(AD1172=1,D1172="Military",H1172&lt;&gt;"Not given")=TRUE,IF(SUMIFS(P:P,A:A,A1172)&gt;0,IF((ABS((SUMIFS(P:P,A:A,A1172)/VLOOKUP("USD",'Exchange Rates'!B:C,2,0)))/S1172)&gt;1,(SUMIFS(P:P,A:A,A1172)-S1172)/S1172,(S1172-SUMIFS(P:P,A:A,A1172))/SUMIFS(P:P,A:A,A1172)),"."),".")</f>
        <v>.</v>
      </c>
    </row>
    <row r="1173" spans="1:53" ht="15.95" customHeight="1">
      <c r="A1173" s="1180" t="s">
        <v>3208</v>
      </c>
      <c r="B1173" s="1180" t="s">
        <v>3162</v>
      </c>
      <c r="C1173" s="1181">
        <v>45063</v>
      </c>
      <c r="D1173" s="1182" t="s">
        <v>544</v>
      </c>
      <c r="E1173" s="1182" t="s">
        <v>714</v>
      </c>
      <c r="F1173" s="1183" t="s">
        <v>3209</v>
      </c>
      <c r="G1173" s="1184" t="s">
        <v>456</v>
      </c>
      <c r="H1173" s="1185">
        <v>300000000</v>
      </c>
      <c r="I1173" s="1201" t="s">
        <v>364</v>
      </c>
      <c r="J1173" s="1186" t="str">
        <f>VLOOKUP($I1173,'Price List, Weapons &amp; Items'!B:C,2,0)</f>
        <v>.</v>
      </c>
      <c r="K1173" s="1186" t="str">
        <f>IF(I1173=".",I1173,VLOOKUP($I1173,'Price List, Weapons &amp; Items'!B:D,3,0))</f>
        <v>.</v>
      </c>
      <c r="L1173" s="1187">
        <f>VLOOKUP(I1173,'Price List, Weapons &amp; Items'!B:E,4,0)</f>
        <v>0</v>
      </c>
      <c r="M1173" s="1188" t="s">
        <v>364</v>
      </c>
      <c r="N1173" s="1188" t="s">
        <v>364</v>
      </c>
      <c r="O1173" s="1188" t="str">
        <f>VLOOKUP($I1173,'Price List, Weapons &amp; Items'!B:G,6,0)</f>
        <v>.</v>
      </c>
      <c r="P1173" s="1185" t="str">
        <f t="shared" si="249"/>
        <v>.</v>
      </c>
      <c r="Q1173" s="1185" t="str">
        <f t="shared" si="250"/>
        <v>.</v>
      </c>
      <c r="R1173" s="1185">
        <f t="shared" si="246"/>
        <v>300000000</v>
      </c>
      <c r="S1173" s="1185">
        <f>IF(AND(AD1173=1,R1173&lt;&gt;".")=TRUE,R1173/VLOOKUP(G1173,'Exchange Rates'!B:C,2,0),IF(R1173=".",".",""))</f>
        <v>276039749.72396028</v>
      </c>
      <c r="T1173" s="1185" t="str">
        <f>IF(AD1173=1,IF(AF1173="Value is not given at all",".",IF(AF1173="Value is given by the source",S1173,IF(AF1173="Value is calculated with prices",(IF(SUMIFS(Q:Q,A:A,A1173)&gt;0,SUMIFS(Q:Q,A:A,A1173),"."))/VLOOKUP("USD",'Exchange Rates'!B:C,2,0),"Error with coding"))),"")</f>
        <v>.</v>
      </c>
      <c r="U1173" s="1184" t="s">
        <v>365</v>
      </c>
      <c r="V1173" s="973" t="s">
        <v>3210</v>
      </c>
      <c r="W1173" s="973" t="s">
        <v>3205</v>
      </c>
      <c r="X1173" s="973" t="s">
        <v>3211</v>
      </c>
      <c r="Y1173" s="980" t="s">
        <v>3212</v>
      </c>
      <c r="Z1173" s="1184">
        <v>0</v>
      </c>
      <c r="AA1173" s="1194">
        <v>1</v>
      </c>
      <c r="AB1173" s="1201" t="s">
        <v>364</v>
      </c>
      <c r="AC1173" s="1192" t="str">
        <f>""</f>
        <v/>
      </c>
      <c r="AD1173" s="1193">
        <v>1</v>
      </c>
      <c r="AE1173" s="1193" t="s">
        <v>368</v>
      </c>
      <c r="AF1173" s="1193" t="s">
        <v>369</v>
      </c>
      <c r="AG1173" s="1193">
        <v>1</v>
      </c>
      <c r="AH1173" s="1193">
        <v>17</v>
      </c>
      <c r="AI1173" s="1193">
        <v>0</v>
      </c>
      <c r="AJ1173" s="1193">
        <f>VLOOKUP($I1173,'Price List, Weapons &amp; Items'!B:F,5,0)</f>
        <v>0</v>
      </c>
      <c r="AK1173" s="1193">
        <f t="shared" si="251"/>
        <v>0</v>
      </c>
      <c r="AL1173" s="1193">
        <f t="shared" si="252"/>
        <v>0</v>
      </c>
      <c r="AM1173" s="1193">
        <f t="shared" si="253"/>
        <v>0</v>
      </c>
      <c r="AN1173" s="1194" t="str">
        <f>VLOOKUP($I1173,'Price List, Weapons &amp; Items'!B:L,COLUMN('Price List, Weapons &amp; Items'!$J$11)-1,0)</f>
        <v>.</v>
      </c>
      <c r="AO1173" s="1194" t="str">
        <f>IF(I1173=".",".",VLOOKUP($I1173,'Price List, Weapons &amp; Items'!B:J,3,0))</f>
        <v>.</v>
      </c>
      <c r="AP1173" s="1195" t="str">
        <f t="shared" ca="1" si="247"/>
        <v>.</v>
      </c>
      <c r="AQ1173" s="1194">
        <f>VLOOKUP($I1173,'Price List, Weapons &amp; Items'!B:L,COLUMN('Price List, Weapons &amp; Items'!$L$11)-1,0)</f>
        <v>0</v>
      </c>
      <c r="AR1173" s="1194">
        <f t="shared" si="254"/>
        <v>1</v>
      </c>
      <c r="AS1173" s="1194">
        <f t="shared" si="255"/>
        <v>0</v>
      </c>
      <c r="AT1173" s="1194">
        <f t="shared" si="256"/>
        <v>1</v>
      </c>
      <c r="AU1173" s="1194" t="str">
        <f t="shared" si="257"/>
        <v>.</v>
      </c>
      <c r="AV1173" s="1194" t="str">
        <f t="shared" si="248"/>
        <v>.</v>
      </c>
      <c r="AW1173" s="1194" t="str">
        <f t="shared" si="258"/>
        <v>.</v>
      </c>
      <c r="AX1173" s="1194">
        <f>IFERROR(VLOOKUP(B1173,'Share, Heavy Weapons to Ukraine'!B:Z,COLUMN('Share, Heavy Weapons to Ukraine'!C1183)-1,0),0)</f>
        <v>0</v>
      </c>
      <c r="AY1173" s="1194">
        <f>VLOOKUP('Bilateral Assistance, MAIN DATA'!B1173,'Country Summary (€)'!B:F,COLUMN('Country Summary (€)'!C1184)-1,FALSE)</f>
        <v>0</v>
      </c>
      <c r="AZ1173" s="1194" t="str">
        <f>IF(AND(AD1173=1,D1173="Military",H1173&lt;&gt;"Not given")=TRUE,IF(SUMIFS(P:P,A:A,A1173)&gt;0,ABS((SUMIFS(P:P,A:A,A1173)/VLOOKUP("USD",'Exchange Rates'!B:C,2,0)))/S1173,"."),".")</f>
        <v>.</v>
      </c>
      <c r="BA1173" s="1196" t="str">
        <f>IF(AND(AD1173=1,D1173="Military",H1173&lt;&gt;"Not given")=TRUE,IF(SUMIFS(P:P,A:A,A1173)&gt;0,IF((ABS((SUMIFS(P:P,A:A,A1173)/VLOOKUP("USD",'Exchange Rates'!B:C,2,0)))/S1173)&gt;1,(SUMIFS(P:P,A:A,A1173)-S1173)/S1173,(S1173-SUMIFS(P:P,A:A,A1173))/SUMIFS(P:P,A:A,A1173)),"."),".")</f>
        <v>.</v>
      </c>
    </row>
    <row r="1174" spans="1:53" ht="15.95" customHeight="1">
      <c r="A1174" s="1182" t="s">
        <v>3213</v>
      </c>
      <c r="B1174" s="1182" t="s">
        <v>3214</v>
      </c>
      <c r="C1174" s="1181">
        <v>44614</v>
      </c>
      <c r="D1174" s="1182" t="s">
        <v>360</v>
      </c>
      <c r="E1174" s="1182" t="s">
        <v>371</v>
      </c>
      <c r="F1174" s="1183" t="s">
        <v>3215</v>
      </c>
      <c r="G1174" s="1184" t="s">
        <v>456</v>
      </c>
      <c r="H1174" s="1185" t="s">
        <v>457</v>
      </c>
      <c r="I1174" s="1180" t="s">
        <v>3216</v>
      </c>
      <c r="J1174" s="1186" t="str">
        <f>VLOOKUP($I1174,'Price List, Weapons &amp; Items'!B:C,2,0)</f>
        <v>Humanitarian</v>
      </c>
      <c r="K1174" s="1186" t="str">
        <f>IF(I1174=".",I1174,VLOOKUP($I1174,'Price List, Weapons &amp; Items'!B:D,3,0))</f>
        <v>Humanitarian</v>
      </c>
      <c r="L1174" s="1187">
        <f>VLOOKUP(I1174,'Price List, Weapons &amp; Items'!B:E,4,0)</f>
        <v>0</v>
      </c>
      <c r="M1174" s="1188">
        <v>5000</v>
      </c>
      <c r="N1174" s="1188" t="s">
        <v>374</v>
      </c>
      <c r="O1174" s="1188">
        <f>VLOOKUP($I1174,'Price List, Weapons &amp; Items'!B:G,6,0)</f>
        <v>6.2</v>
      </c>
      <c r="P1174" s="1185">
        <f t="shared" si="249"/>
        <v>31000</v>
      </c>
      <c r="Q1174" s="1185" t="str">
        <f t="shared" si="250"/>
        <v>.</v>
      </c>
      <c r="R1174" s="1185">
        <f t="shared" si="246"/>
        <v>146234.04</v>
      </c>
      <c r="S1174" s="1185">
        <f>IF(AND(AD1174=1,R1174&lt;&gt;".")=TRUE,R1174/VLOOKUP(G1174,'Exchange Rates'!B:C,2,0),IF(R1174=".",".",""))</f>
        <v>134554.69267574532</v>
      </c>
      <c r="T1174" s="1185" t="str">
        <f>IF(AD1174=1,IF(AF1174="Value is not given at all",".",IF(AF1174="Value is given by the source",S1174,IF(AF1174="Value is calculated with prices",(IF(SUMIFS(Q:Q,A:A,A1174)&gt;0,SUMIFS(Q:Q,A:A,A1174),"."))/VLOOKUP("USD",'Exchange Rates'!B:C,2,0),"Error with coding"))),"")</f>
        <v>.</v>
      </c>
      <c r="U1174" s="1184" t="s">
        <v>365</v>
      </c>
      <c r="V1174" s="974" t="s">
        <v>3217</v>
      </c>
      <c r="W1174" s="974" t="s">
        <v>3218</v>
      </c>
      <c r="X1174" s="1183" t="s">
        <v>364</v>
      </c>
      <c r="Y1174" s="1183" t="s">
        <v>364</v>
      </c>
      <c r="Z1174" s="1184">
        <v>0</v>
      </c>
      <c r="AA1174" s="1194">
        <v>0</v>
      </c>
      <c r="AB1174" s="1201" t="s">
        <v>364</v>
      </c>
      <c r="AC1174" s="1192" t="str">
        <f>""</f>
        <v/>
      </c>
      <c r="AD1174" s="1193">
        <v>1</v>
      </c>
      <c r="AE1174" s="1193" t="s">
        <v>436</v>
      </c>
      <c r="AF1174" s="1193" t="s">
        <v>369</v>
      </c>
      <c r="AG1174" s="1193">
        <v>1</v>
      </c>
      <c r="AH1174" s="1193">
        <v>2</v>
      </c>
      <c r="AI1174" s="1193">
        <v>1</v>
      </c>
      <c r="AJ1174" s="1193">
        <f>VLOOKUP($I1174,'Price List, Weapons &amp; Items'!B:F,5,0)</f>
        <v>0</v>
      </c>
      <c r="AK1174" s="1193">
        <f t="shared" si="251"/>
        <v>0</v>
      </c>
      <c r="AL1174" s="1193">
        <f t="shared" si="252"/>
        <v>0</v>
      </c>
      <c r="AM1174" s="1193">
        <f t="shared" si="253"/>
        <v>0</v>
      </c>
      <c r="AN1174" s="1194" t="str">
        <f>VLOOKUP($I1174,'Price List, Weapons &amp; Items'!B:L,COLUMN('Price List, Weapons &amp; Items'!$J$11)-1,0)</f>
        <v>Online marketplaces and stores</v>
      </c>
      <c r="AO1174" s="1194" t="str">
        <f>IF(I1174=".",".",VLOOKUP($I1174,'Price List, Weapons &amp; Items'!B:J,3,0))</f>
        <v>Humanitarian</v>
      </c>
      <c r="AP1174" s="1195" t="str">
        <f t="shared" ca="1" si="247"/>
        <v>pack of analgesics</v>
      </c>
      <c r="AQ1174" s="1194">
        <f>VLOOKUP($I1174,'Price List, Weapons &amp; Items'!B:L,COLUMN('Price List, Weapons &amp; Items'!$L$11)-1,0)</f>
        <v>0</v>
      </c>
      <c r="AR1174" s="1194">
        <f t="shared" si="254"/>
        <v>1</v>
      </c>
      <c r="AS1174" s="1194">
        <f t="shared" si="255"/>
        <v>0</v>
      </c>
      <c r="AT1174" s="1194">
        <f t="shared" si="256"/>
        <v>1</v>
      </c>
      <c r="AU1174" s="1194" t="str">
        <f t="shared" si="257"/>
        <v>.</v>
      </c>
      <c r="AV1174" s="1194" t="str">
        <f t="shared" si="248"/>
        <v>.</v>
      </c>
      <c r="AW1174" s="1194" t="str">
        <f t="shared" si="258"/>
        <v>.</v>
      </c>
      <c r="AX1174" s="1194">
        <f>IFERROR(VLOOKUP(B1174,'Share, Heavy Weapons to Ukraine'!B:Z,COLUMN('Share, Heavy Weapons to Ukraine'!C1184)-1,0),0)</f>
        <v>0</v>
      </c>
      <c r="AY1174" s="1194">
        <f>VLOOKUP('Bilateral Assistance, MAIN DATA'!B1174,'Country Summary (€)'!B:F,COLUMN('Country Summary (€)'!C1185)-1,FALSE)</f>
        <v>1</v>
      </c>
      <c r="AZ1174" s="1194" t="str">
        <f>IF(AND(AD1174=1,D1174="Military",H1174&lt;&gt;"Not given")=TRUE,IF(SUMIFS(P:P,A:A,A1174)&gt;0,ABS((SUMIFS(P:P,A:A,A1174)/VLOOKUP("USD",'Exchange Rates'!B:C,2,0)))/S1174,"."),".")</f>
        <v>.</v>
      </c>
      <c r="BA1174" s="1196" t="str">
        <f>IF(AND(AD1174=1,D1174="Military",H1174&lt;&gt;"Not given")=TRUE,IF(SUMIFS(P:P,A:A,A1174)&gt;0,IF((ABS((SUMIFS(P:P,A:A,A1174)/VLOOKUP("USD",'Exchange Rates'!B:C,2,0)))/S1174)&gt;1,(SUMIFS(P:P,A:A,A1174)-S1174)/S1174,(S1174-SUMIFS(P:P,A:A,A1174))/SUMIFS(P:P,A:A,A1174)),"."),".")</f>
        <v>.</v>
      </c>
    </row>
    <row r="1175" spans="1:53" ht="15.95" customHeight="1">
      <c r="A1175" s="1182" t="s">
        <v>3213</v>
      </c>
      <c r="B1175" s="1182" t="s">
        <v>3214</v>
      </c>
      <c r="C1175" s="1181">
        <v>44614</v>
      </c>
      <c r="D1175" s="1182" t="s">
        <v>360</v>
      </c>
      <c r="E1175" s="1182" t="s">
        <v>371</v>
      </c>
      <c r="F1175" s="1183" t="s">
        <v>3215</v>
      </c>
      <c r="G1175" s="1184" t="s">
        <v>456</v>
      </c>
      <c r="H1175" s="1185" t="s">
        <v>457</v>
      </c>
      <c r="I1175" s="1180" t="s">
        <v>3219</v>
      </c>
      <c r="J1175" s="1186" t="str">
        <f>VLOOKUP($I1175,'Price List, Weapons &amp; Items'!B:C,2,0)</f>
        <v>Humanitarian</v>
      </c>
      <c r="K1175" s="1186" t="str">
        <f>IF(I1175=".",I1175,VLOOKUP($I1175,'Price List, Weapons &amp; Items'!B:D,3,0))</f>
        <v>Humanitarian</v>
      </c>
      <c r="L1175" s="1187">
        <f>VLOOKUP(I1175,'Price List, Weapons &amp; Items'!B:E,4,0)</f>
        <v>0</v>
      </c>
      <c r="M1175" s="1188">
        <v>5000</v>
      </c>
      <c r="N1175" s="1188" t="s">
        <v>374</v>
      </c>
      <c r="O1175" s="1188" t="str">
        <f>VLOOKUP($I1175,'Price List, Weapons &amp; Items'!B:G,6,0)</f>
        <v>.</v>
      </c>
      <c r="P1175" s="1185" t="str">
        <f t="shared" si="249"/>
        <v>No price</v>
      </c>
      <c r="Q1175" s="1185" t="str">
        <f t="shared" si="250"/>
        <v>.</v>
      </c>
      <c r="R1175" s="1185" t="str">
        <f t="shared" si="246"/>
        <v/>
      </c>
      <c r="S1175" s="1185" t="str">
        <f>IF(AND(AD1175=1,R1175&lt;&gt;".")=TRUE,R1175/VLOOKUP(G1175,'Exchange Rates'!B:C,2,0),IF(R1175=".",".",""))</f>
        <v/>
      </c>
      <c r="T1175" s="1185" t="str">
        <f>IF(AD1175=1,IF(AF1175="Value is not given at all",".",IF(AF1175="Value is given by the source",S1175,IF(AF1175="Value is calculated with prices",(IF(SUMIFS(Q:Q,A:A,A1175)&gt;0,SUMIFS(Q:Q,A:A,A1175),"."))/VLOOKUP("USD",'Exchange Rates'!B:C,2,0),"Error with coding"))),"")</f>
        <v/>
      </c>
      <c r="U1175" s="1184" t="s">
        <v>365</v>
      </c>
      <c r="V1175" s="974" t="s">
        <v>3217</v>
      </c>
      <c r="W1175" s="974" t="s">
        <v>3218</v>
      </c>
      <c r="X1175" s="1183" t="s">
        <v>364</v>
      </c>
      <c r="Y1175" s="1183" t="s">
        <v>364</v>
      </c>
      <c r="Z1175" s="1184">
        <v>0</v>
      </c>
      <c r="AA1175" s="1194">
        <v>0</v>
      </c>
      <c r="AB1175" s="1201" t="s">
        <v>364</v>
      </c>
      <c r="AC1175" s="1192" t="str">
        <f>""</f>
        <v/>
      </c>
      <c r="AD1175" s="1193">
        <v>0</v>
      </c>
      <c r="AE1175" s="1193" t="s">
        <v>436</v>
      </c>
      <c r="AF1175" s="1193" t="s">
        <v>369</v>
      </c>
      <c r="AG1175" s="1193">
        <v>1</v>
      </c>
      <c r="AH1175" s="1193">
        <v>2</v>
      </c>
      <c r="AI1175" s="1193">
        <v>1</v>
      </c>
      <c r="AJ1175" s="1193">
        <f>VLOOKUP($I1175,'Price List, Weapons &amp; Items'!B:F,5,0)</f>
        <v>0</v>
      </c>
      <c r="AK1175" s="1193">
        <f t="shared" si="251"/>
        <v>0</v>
      </c>
      <c r="AL1175" s="1193">
        <f t="shared" si="252"/>
        <v>0</v>
      </c>
      <c r="AM1175" s="1193">
        <f t="shared" si="253"/>
        <v>0</v>
      </c>
      <c r="AN1175" s="1194" t="str">
        <f>VLOOKUP($I1175,'Price List, Weapons &amp; Items'!B:L,COLUMN('Price List, Weapons &amp; Items'!$J$11)-1,0)</f>
        <v>.</v>
      </c>
      <c r="AO1175" s="1194" t="str">
        <f>IF(I1175=".",".",VLOOKUP($I1175,'Price List, Weapons &amp; Items'!B:J,3,0))</f>
        <v>Humanitarian</v>
      </c>
      <c r="AP1175" s="1195" t="str">
        <f t="shared" ca="1" si="247"/>
        <v/>
      </c>
      <c r="AQ1175" s="1194">
        <f>VLOOKUP($I1175,'Price List, Weapons &amp; Items'!B:L,COLUMN('Price List, Weapons &amp; Items'!$L$11)-1,0)</f>
        <v>0</v>
      </c>
      <c r="AR1175" s="1194">
        <f t="shared" si="254"/>
        <v>1</v>
      </c>
      <c r="AS1175" s="1194">
        <f t="shared" si="255"/>
        <v>0</v>
      </c>
      <c r="AT1175" s="1194">
        <f t="shared" si="256"/>
        <v>1</v>
      </c>
      <c r="AU1175" s="1194" t="str">
        <f t="shared" si="257"/>
        <v>.</v>
      </c>
      <c r="AV1175" s="1194" t="str">
        <f t="shared" si="248"/>
        <v>.</v>
      </c>
      <c r="AW1175" s="1194" t="str">
        <f t="shared" si="258"/>
        <v>.</v>
      </c>
      <c r="AX1175" s="1194">
        <f>IFERROR(VLOOKUP(B1175,'Share, Heavy Weapons to Ukraine'!B:Z,COLUMN('Share, Heavy Weapons to Ukraine'!C1185)-1,0),0)</f>
        <v>0</v>
      </c>
      <c r="AY1175" s="1194">
        <f>VLOOKUP('Bilateral Assistance, MAIN DATA'!B1175,'Country Summary (€)'!B:F,COLUMN('Country Summary (€)'!C1186)-1,FALSE)</f>
        <v>1</v>
      </c>
      <c r="AZ1175" s="1194" t="str">
        <f>IF(AND(AD1175=1,D1175="Military",H1175&lt;&gt;"Not given")=TRUE,IF(SUMIFS(P:P,A:A,A1175)&gt;0,ABS((SUMIFS(P:P,A:A,A1175)/VLOOKUP("USD",'Exchange Rates'!B:C,2,0)))/S1175,"."),".")</f>
        <v>.</v>
      </c>
      <c r="BA1175" s="1196" t="str">
        <f>IF(AND(AD1175=1,D1175="Military",H1175&lt;&gt;"Not given")=TRUE,IF(SUMIFS(P:P,A:A,A1175)&gt;0,IF((ABS((SUMIFS(P:P,A:A,A1175)/VLOOKUP("USD",'Exchange Rates'!B:C,2,0)))/S1175)&gt;1,(SUMIFS(P:P,A:A,A1175)-S1175)/S1175,(S1175-SUMIFS(P:P,A:A,A1175))/SUMIFS(P:P,A:A,A1175)),"."),".")</f>
        <v>.</v>
      </c>
    </row>
    <row r="1176" spans="1:53" ht="15.95" customHeight="1">
      <c r="A1176" s="1182" t="s">
        <v>3213</v>
      </c>
      <c r="B1176" s="1182" t="s">
        <v>3214</v>
      </c>
      <c r="C1176" s="1181">
        <v>44614</v>
      </c>
      <c r="D1176" s="1182" t="s">
        <v>360</v>
      </c>
      <c r="E1176" s="1182" t="s">
        <v>371</v>
      </c>
      <c r="F1176" s="1183" t="s">
        <v>3215</v>
      </c>
      <c r="G1176" s="1184" t="s">
        <v>456</v>
      </c>
      <c r="H1176" s="1185" t="s">
        <v>457</v>
      </c>
      <c r="I1176" s="1180" t="s">
        <v>3220</v>
      </c>
      <c r="J1176" s="1186" t="str">
        <f>VLOOKUP($I1176,'Price List, Weapons &amp; Items'!B:C,2,0)</f>
        <v>Humanitarian</v>
      </c>
      <c r="K1176" s="1186" t="str">
        <f>IF(I1176=".",I1176,VLOOKUP($I1176,'Price List, Weapons &amp; Items'!B:D,3,0))</f>
        <v>Humanitarian</v>
      </c>
      <c r="L1176" s="1187">
        <f>VLOOKUP(I1176,'Price List, Weapons &amp; Items'!B:E,4,0)</f>
        <v>0</v>
      </c>
      <c r="M1176" s="1188">
        <v>5000</v>
      </c>
      <c r="N1176" s="1188" t="s">
        <v>374</v>
      </c>
      <c r="O1176" s="1188">
        <f>VLOOKUP($I1176,'Price List, Weapons &amp; Items'!B:G,6,0)</f>
        <v>22</v>
      </c>
      <c r="P1176" s="1185">
        <f t="shared" si="249"/>
        <v>110000</v>
      </c>
      <c r="Q1176" s="1185" t="str">
        <f t="shared" si="250"/>
        <v>.</v>
      </c>
      <c r="R1176" s="1185" t="str">
        <f t="shared" si="246"/>
        <v/>
      </c>
      <c r="S1176" s="1185" t="str">
        <f>IF(AND(AD1176=1,R1176&lt;&gt;".")=TRUE,R1176/VLOOKUP(G1176,'Exchange Rates'!B:C,2,0),IF(R1176=".",".",""))</f>
        <v/>
      </c>
      <c r="T1176" s="1185" t="str">
        <f>IF(AD1176=1,IF(AF1176="Value is not given at all",".",IF(AF1176="Value is given by the source",S1176,IF(AF1176="Value is calculated with prices",(IF(SUMIFS(Q:Q,A:A,A1176)&gt;0,SUMIFS(Q:Q,A:A,A1176),"."))/VLOOKUP("USD",'Exchange Rates'!B:C,2,0),"Error with coding"))),"")</f>
        <v/>
      </c>
      <c r="U1176" s="1184" t="s">
        <v>365</v>
      </c>
      <c r="V1176" s="974" t="s">
        <v>3217</v>
      </c>
      <c r="W1176" s="974" t="s">
        <v>3218</v>
      </c>
      <c r="X1176" s="1183" t="s">
        <v>364</v>
      </c>
      <c r="Y1176" s="1183" t="s">
        <v>364</v>
      </c>
      <c r="Z1176" s="1184">
        <v>0</v>
      </c>
      <c r="AA1176" s="1194">
        <v>0</v>
      </c>
      <c r="AB1176" s="1201" t="s">
        <v>364</v>
      </c>
      <c r="AC1176" s="1192" t="str">
        <f>""</f>
        <v/>
      </c>
      <c r="AD1176" s="1193">
        <v>0</v>
      </c>
      <c r="AE1176" s="1193" t="s">
        <v>436</v>
      </c>
      <c r="AF1176" s="1193" t="s">
        <v>369</v>
      </c>
      <c r="AG1176" s="1193">
        <v>1</v>
      </c>
      <c r="AH1176" s="1193">
        <v>2</v>
      </c>
      <c r="AI1176" s="1193">
        <v>1</v>
      </c>
      <c r="AJ1176" s="1193">
        <f>VLOOKUP($I1176,'Price List, Weapons &amp; Items'!B:F,5,0)</f>
        <v>0</v>
      </c>
      <c r="AK1176" s="1193">
        <f t="shared" si="251"/>
        <v>0</v>
      </c>
      <c r="AL1176" s="1193">
        <f t="shared" si="252"/>
        <v>0</v>
      </c>
      <c r="AM1176" s="1193">
        <f t="shared" si="253"/>
        <v>0</v>
      </c>
      <c r="AN1176" s="1194" t="str">
        <f>VLOOKUP($I1176,'Price List, Weapons &amp; Items'!B:L,COLUMN('Price List, Weapons &amp; Items'!$J$11)-1,0)</f>
        <v>Miscellaneous</v>
      </c>
      <c r="AO1176" s="1194" t="str">
        <f>IF(I1176=".",".",VLOOKUP($I1176,'Price List, Weapons &amp; Items'!B:J,3,0))</f>
        <v>Humanitarian</v>
      </c>
      <c r="AP1176" s="1195" t="str">
        <f t="shared" ca="1" si="247"/>
        <v/>
      </c>
      <c r="AQ1176" s="1194">
        <f>VLOOKUP($I1176,'Price List, Weapons &amp; Items'!B:L,COLUMN('Price List, Weapons &amp; Items'!$L$11)-1,0)</f>
        <v>0</v>
      </c>
      <c r="AR1176" s="1194">
        <f t="shared" si="254"/>
        <v>1</v>
      </c>
      <c r="AS1176" s="1194">
        <f t="shared" si="255"/>
        <v>0</v>
      </c>
      <c r="AT1176" s="1194">
        <f t="shared" si="256"/>
        <v>1</v>
      </c>
      <c r="AU1176" s="1194" t="str">
        <f t="shared" si="257"/>
        <v>.</v>
      </c>
      <c r="AV1176" s="1194" t="str">
        <f t="shared" si="248"/>
        <v>.</v>
      </c>
      <c r="AW1176" s="1194" t="str">
        <f t="shared" si="258"/>
        <v>.</v>
      </c>
      <c r="AX1176" s="1194">
        <f>IFERROR(VLOOKUP(B1176,'Share, Heavy Weapons to Ukraine'!B:Z,COLUMN('Share, Heavy Weapons to Ukraine'!C1186)-1,0),0)</f>
        <v>0</v>
      </c>
      <c r="AY1176" s="1194">
        <f>VLOOKUP('Bilateral Assistance, MAIN DATA'!B1176,'Country Summary (€)'!B:F,COLUMN('Country Summary (€)'!C1187)-1,FALSE)</f>
        <v>1</v>
      </c>
      <c r="AZ1176" s="1194" t="str">
        <f>IF(AND(AD1176=1,D1176="Military",H1176&lt;&gt;"Not given")=TRUE,IF(SUMIFS(P:P,A:A,A1176)&gt;0,ABS((SUMIFS(P:P,A:A,A1176)/VLOOKUP("USD",'Exchange Rates'!B:C,2,0)))/S1176,"."),".")</f>
        <v>.</v>
      </c>
      <c r="BA1176" s="1196" t="str">
        <f>IF(AND(AD1176=1,D1176="Military",H1176&lt;&gt;"Not given")=TRUE,IF(SUMIFS(P:P,A:A,A1176)&gt;0,IF((ABS((SUMIFS(P:P,A:A,A1176)/VLOOKUP("USD",'Exchange Rates'!B:C,2,0)))/S1176)&gt;1,(SUMIFS(P:P,A:A,A1176)-S1176)/S1176,(S1176-SUMIFS(P:P,A:A,A1176))/SUMIFS(P:P,A:A,A1176)),"."),".")</f>
        <v>.</v>
      </c>
    </row>
    <row r="1177" spans="1:53" ht="15.95" customHeight="1">
      <c r="A1177" s="1182" t="s">
        <v>3213</v>
      </c>
      <c r="B1177" s="1182" t="s">
        <v>3214</v>
      </c>
      <c r="C1177" s="1181">
        <v>44614</v>
      </c>
      <c r="D1177" s="1182" t="s">
        <v>360</v>
      </c>
      <c r="E1177" s="1182" t="s">
        <v>371</v>
      </c>
      <c r="F1177" s="1183" t="s">
        <v>3215</v>
      </c>
      <c r="G1177" s="1184" t="s">
        <v>456</v>
      </c>
      <c r="H1177" s="1185" t="s">
        <v>457</v>
      </c>
      <c r="I1177" s="1180" t="s">
        <v>458</v>
      </c>
      <c r="J1177" s="1186" t="str">
        <f>VLOOKUP($I1177,'Price List, Weapons &amp; Items'!B:C,2,0)</f>
        <v>Humanitarian</v>
      </c>
      <c r="K1177" s="1186" t="str">
        <f>IF(I1177=".",I1177,VLOOKUP($I1177,'Price List, Weapons &amp; Items'!B:D,3,0))</f>
        <v>Humanitarian</v>
      </c>
      <c r="L1177" s="1187">
        <f>VLOOKUP(I1177,'Price List, Weapons &amp; Items'!B:E,4,0)</f>
        <v>0</v>
      </c>
      <c r="M1177" s="1188">
        <v>840</v>
      </c>
      <c r="N1177" s="1188" t="s">
        <v>374</v>
      </c>
      <c r="O1177" s="1188">
        <f>VLOOKUP($I1177,'Price List, Weapons &amp; Items'!B:G,6,0)</f>
        <v>6.2309999999999999</v>
      </c>
      <c r="P1177" s="1185">
        <f t="shared" si="249"/>
        <v>5234.04</v>
      </c>
      <c r="Q1177" s="1185" t="str">
        <f t="shared" si="250"/>
        <v>.</v>
      </c>
      <c r="R1177" s="1185" t="str">
        <f t="shared" si="246"/>
        <v/>
      </c>
      <c r="S1177" s="1185" t="str">
        <f>IF(AND(AD1177=1,R1177&lt;&gt;".")=TRUE,R1177/VLOOKUP(G1177,'Exchange Rates'!B:C,2,0),IF(R1177=".",".",""))</f>
        <v/>
      </c>
      <c r="T1177" s="1185" t="str">
        <f>IF(AD1177=1,IF(AF1177="Value is not given at all",".",IF(AF1177="Value is given by the source",S1177,IF(AF1177="Value is calculated with prices",(IF(SUMIFS(Q:Q,A:A,A1177)&gt;0,SUMIFS(Q:Q,A:A,A1177),"."))/VLOOKUP("USD",'Exchange Rates'!B:C,2,0),"Error with coding"))),"")</f>
        <v/>
      </c>
      <c r="U1177" s="1184" t="s">
        <v>365</v>
      </c>
      <c r="V1177" s="974" t="s">
        <v>3217</v>
      </c>
      <c r="W1177" s="974" t="s">
        <v>3218</v>
      </c>
      <c r="X1177" s="1183" t="s">
        <v>364</v>
      </c>
      <c r="Y1177" s="1183" t="s">
        <v>364</v>
      </c>
      <c r="Z1177" s="1184">
        <v>0</v>
      </c>
      <c r="AA1177" s="1194">
        <v>0</v>
      </c>
      <c r="AB1177" s="1201" t="s">
        <v>364</v>
      </c>
      <c r="AC1177" s="1192" t="str">
        <f>""</f>
        <v/>
      </c>
      <c r="AD1177" s="1193">
        <v>0</v>
      </c>
      <c r="AE1177" s="1193" t="s">
        <v>436</v>
      </c>
      <c r="AF1177" s="1193" t="s">
        <v>369</v>
      </c>
      <c r="AG1177" s="1193">
        <v>1</v>
      </c>
      <c r="AH1177" s="1193">
        <v>2</v>
      </c>
      <c r="AI1177" s="1193">
        <v>1</v>
      </c>
      <c r="AJ1177" s="1193">
        <f>VLOOKUP($I1177,'Price List, Weapons &amp; Items'!B:F,5,0)</f>
        <v>0</v>
      </c>
      <c r="AK1177" s="1193">
        <f t="shared" si="251"/>
        <v>0</v>
      </c>
      <c r="AL1177" s="1193">
        <f t="shared" si="252"/>
        <v>0</v>
      </c>
      <c r="AM1177" s="1193">
        <f t="shared" si="253"/>
        <v>0</v>
      </c>
      <c r="AN1177" s="1194" t="str">
        <f>VLOOKUP($I1177,'Price List, Weapons &amp; Items'!B:L,COLUMN('Price List, Weapons &amp; Items'!$J$11)-1,0)</f>
        <v>Online marketplaces and stores</v>
      </c>
      <c r="AO1177" s="1194" t="str">
        <f>IF(I1177=".",".",VLOOKUP($I1177,'Price List, Weapons &amp; Items'!B:J,3,0))</f>
        <v>Humanitarian</v>
      </c>
      <c r="AP1177" s="1195" t="str">
        <f t="shared" ca="1" si="247"/>
        <v/>
      </c>
      <c r="AQ1177" s="1194">
        <f>VLOOKUP($I1177,'Price List, Weapons &amp; Items'!B:L,COLUMN('Price List, Weapons &amp; Items'!$L$11)-1,0)</f>
        <v>0</v>
      </c>
      <c r="AR1177" s="1194">
        <f t="shared" si="254"/>
        <v>1</v>
      </c>
      <c r="AS1177" s="1194">
        <f t="shared" si="255"/>
        <v>0</v>
      </c>
      <c r="AT1177" s="1194">
        <f t="shared" si="256"/>
        <v>1</v>
      </c>
      <c r="AU1177" s="1194" t="str">
        <f t="shared" si="257"/>
        <v>.</v>
      </c>
      <c r="AV1177" s="1194" t="str">
        <f t="shared" si="248"/>
        <v>.</v>
      </c>
      <c r="AW1177" s="1194" t="str">
        <f t="shared" si="258"/>
        <v>.</v>
      </c>
      <c r="AX1177" s="1194">
        <f>IFERROR(VLOOKUP(B1177,'Share, Heavy Weapons to Ukraine'!B:Z,COLUMN('Share, Heavy Weapons to Ukraine'!C1187)-1,0),0)</f>
        <v>0</v>
      </c>
      <c r="AY1177" s="1194">
        <f>VLOOKUP('Bilateral Assistance, MAIN DATA'!B1177,'Country Summary (€)'!B:F,COLUMN('Country Summary (€)'!C1188)-1,FALSE)</f>
        <v>1</v>
      </c>
      <c r="AZ1177" s="1194" t="str">
        <f>IF(AND(AD1177=1,D1177="Military",H1177&lt;&gt;"Not given")=TRUE,IF(SUMIFS(P:P,A:A,A1177)&gt;0,ABS((SUMIFS(P:P,A:A,A1177)/VLOOKUP("USD",'Exchange Rates'!B:C,2,0)))/S1177,"."),".")</f>
        <v>.</v>
      </c>
      <c r="BA1177" s="1196" t="str">
        <f>IF(AND(AD1177=1,D1177="Military",H1177&lt;&gt;"Not given")=TRUE,IF(SUMIFS(P:P,A:A,A1177)&gt;0,IF((ABS((SUMIFS(P:P,A:A,A1177)/VLOOKUP("USD",'Exchange Rates'!B:C,2,0)))/S1177)&gt;1,(SUMIFS(P:P,A:A,A1177)-S1177)/S1177,(S1177-SUMIFS(P:P,A:A,A1177))/SUMIFS(P:P,A:A,A1177)),"."),".")</f>
        <v>.</v>
      </c>
    </row>
    <row r="1178" spans="1:53" ht="15.95" customHeight="1">
      <c r="A1178" s="1180" t="s">
        <v>3221</v>
      </c>
      <c r="B1178" s="1180" t="s">
        <v>3214</v>
      </c>
      <c r="C1178" s="1181">
        <v>44621</v>
      </c>
      <c r="D1178" s="1182" t="s">
        <v>360</v>
      </c>
      <c r="E1178" s="1182" t="s">
        <v>3222</v>
      </c>
      <c r="F1178" s="1183" t="s">
        <v>3223</v>
      </c>
      <c r="G1178" s="1184" t="s">
        <v>3224</v>
      </c>
      <c r="H1178" s="1185">
        <v>5000000</v>
      </c>
      <c r="I1178" s="1180" t="s">
        <v>364</v>
      </c>
      <c r="J1178" s="1186" t="str">
        <f>VLOOKUP($I1178,'Price List, Weapons &amp; Items'!B:C,2,0)</f>
        <v>.</v>
      </c>
      <c r="K1178" s="1186" t="str">
        <f>IF(I1178=".",I1178,VLOOKUP($I1178,'Price List, Weapons &amp; Items'!B:D,3,0))</f>
        <v>.</v>
      </c>
      <c r="L1178" s="1187">
        <f>VLOOKUP(I1178,'Price List, Weapons &amp; Items'!B:E,4,0)</f>
        <v>0</v>
      </c>
      <c r="M1178" s="1188" t="s">
        <v>364</v>
      </c>
      <c r="N1178" s="1188" t="s">
        <v>364</v>
      </c>
      <c r="O1178" s="1188" t="str">
        <f>VLOOKUP($I1178,'Price List, Weapons &amp; Items'!B:G,6,0)</f>
        <v>.</v>
      </c>
      <c r="P1178" s="1185" t="str">
        <f t="shared" si="249"/>
        <v>.</v>
      </c>
      <c r="Q1178" s="1185" t="str">
        <f t="shared" si="250"/>
        <v>.</v>
      </c>
      <c r="R1178" s="1185">
        <f t="shared" si="246"/>
        <v>5000000</v>
      </c>
      <c r="S1178" s="1185">
        <f>IF(AND(AD1178=1,R1178&lt;&gt;".")=TRUE,R1178/VLOOKUP(G1178,'Exchange Rates'!B:C,2,0),IF(R1178=".",".",""))</f>
        <v>1010570.5681427734</v>
      </c>
      <c r="T1178" s="1185" t="str">
        <f>IF(AD1178=1,IF(AF1178="Value is not given at all",".",IF(AF1178="Value is given by the source",S1178,IF(AF1178="Value is calculated with prices",(IF(SUMIFS(Q:Q,A:A,A1178)&gt;0,SUMIFS(Q:Q,A:A,A1178),"."))/VLOOKUP("USD",'Exchange Rates'!B:C,2,0),"Error with coding"))),"")</f>
        <v>.</v>
      </c>
      <c r="U1178" s="1184" t="s">
        <v>365</v>
      </c>
      <c r="V1178" s="971" t="s">
        <v>3225</v>
      </c>
      <c r="W1178" s="1190" t="s">
        <v>364</v>
      </c>
      <c r="X1178" s="1190" t="s">
        <v>364</v>
      </c>
      <c r="Y1178" s="1190" t="s">
        <v>364</v>
      </c>
      <c r="Z1178" s="1184">
        <v>0</v>
      </c>
      <c r="AA1178" s="1194">
        <v>0</v>
      </c>
      <c r="AB1178" s="1201" t="s">
        <v>364</v>
      </c>
      <c r="AC1178" s="1192" t="str">
        <f>""</f>
        <v/>
      </c>
      <c r="AD1178" s="1193">
        <v>1</v>
      </c>
      <c r="AE1178" s="1193" t="s">
        <v>368</v>
      </c>
      <c r="AF1178" s="1193" t="s">
        <v>369</v>
      </c>
      <c r="AG1178" s="1193">
        <v>1</v>
      </c>
      <c r="AH1178" s="1193">
        <v>3</v>
      </c>
      <c r="AI1178" s="1193">
        <v>0</v>
      </c>
      <c r="AJ1178" s="1193">
        <f>VLOOKUP($I1178,'Price List, Weapons &amp; Items'!B:F,5,0)</f>
        <v>0</v>
      </c>
      <c r="AK1178" s="1193">
        <f t="shared" si="251"/>
        <v>0</v>
      </c>
      <c r="AL1178" s="1193">
        <f t="shared" si="252"/>
        <v>0</v>
      </c>
      <c r="AM1178" s="1193">
        <f t="shared" si="253"/>
        <v>0</v>
      </c>
      <c r="AN1178" s="1194" t="str">
        <f>VLOOKUP($I1178,'Price List, Weapons &amp; Items'!B:L,COLUMN('Price List, Weapons &amp; Items'!$J$11)-1,0)</f>
        <v>.</v>
      </c>
      <c r="AO1178" s="1194" t="str">
        <f>IF(I1178=".",".",VLOOKUP($I1178,'Price List, Weapons &amp; Items'!B:J,3,0))</f>
        <v>.</v>
      </c>
      <c r="AP1178" s="1195" t="str">
        <f t="shared" ca="1" si="247"/>
        <v>.</v>
      </c>
      <c r="AQ1178" s="1194">
        <f>VLOOKUP($I1178,'Price List, Weapons &amp; Items'!B:L,COLUMN('Price List, Weapons &amp; Items'!$L$11)-1,0)</f>
        <v>0</v>
      </c>
      <c r="AR1178" s="1194">
        <f t="shared" si="254"/>
        <v>1</v>
      </c>
      <c r="AS1178" s="1194">
        <f t="shared" si="255"/>
        <v>0</v>
      </c>
      <c r="AT1178" s="1194">
        <f t="shared" si="256"/>
        <v>1</v>
      </c>
      <c r="AU1178" s="1194" t="str">
        <f t="shared" si="257"/>
        <v>.</v>
      </c>
      <c r="AV1178" s="1194" t="str">
        <f t="shared" si="248"/>
        <v>.</v>
      </c>
      <c r="AW1178" s="1194" t="str">
        <f t="shared" si="258"/>
        <v>.</v>
      </c>
      <c r="AX1178" s="1194">
        <f>IFERROR(VLOOKUP(B1178,'Share, Heavy Weapons to Ukraine'!B:Z,COLUMN('Share, Heavy Weapons to Ukraine'!C1188)-1,0),0)</f>
        <v>0</v>
      </c>
      <c r="AY1178" s="1194">
        <f>VLOOKUP('Bilateral Assistance, MAIN DATA'!B1178,'Country Summary (€)'!B:F,COLUMN('Country Summary (€)'!C1189)-1,FALSE)</f>
        <v>1</v>
      </c>
      <c r="AZ1178" s="1194" t="str">
        <f>IF(AND(AD1178=1,D1178="Military",H1178&lt;&gt;"Not given")=TRUE,IF(SUMIFS(P:P,A:A,A1178)&gt;0,ABS((SUMIFS(P:P,A:A,A1178)/VLOOKUP("USD",'Exchange Rates'!B:C,2,0)))/S1178,"."),".")</f>
        <v>.</v>
      </c>
      <c r="BA1178" s="1196" t="str">
        <f>IF(AND(AD1178=1,D1178="Military",H1178&lt;&gt;"Not given")=TRUE,IF(SUMIFS(P:P,A:A,A1178)&gt;0,IF((ABS((SUMIFS(P:P,A:A,A1178)/VLOOKUP("USD",'Exchange Rates'!B:C,2,0)))/S1178)&gt;1,(SUMIFS(P:P,A:A,A1178)-S1178)/S1178,(S1178-SUMIFS(P:P,A:A,A1178))/SUMIFS(P:P,A:A,A1178)),"."),".")</f>
        <v>.</v>
      </c>
    </row>
    <row r="1179" spans="1:53" ht="15.95" customHeight="1">
      <c r="A1179" s="1180" t="s">
        <v>3226</v>
      </c>
      <c r="B1179" s="1180" t="s">
        <v>3214</v>
      </c>
      <c r="C1179" s="1181">
        <v>44669</v>
      </c>
      <c r="D1179" s="1182" t="s">
        <v>360</v>
      </c>
      <c r="E1179" s="1182" t="s">
        <v>371</v>
      </c>
      <c r="F1179" s="1183" t="s">
        <v>3227</v>
      </c>
      <c r="G1179" s="1184" t="s">
        <v>456</v>
      </c>
      <c r="H1179" s="1185" t="s">
        <v>457</v>
      </c>
      <c r="I1179" s="1180" t="s">
        <v>477</v>
      </c>
      <c r="J1179" s="1186" t="str">
        <f>VLOOKUP($I1179,'Price List, Weapons &amp; Items'!B:C,2,0)</f>
        <v>Humanitarian</v>
      </c>
      <c r="K1179" s="1186" t="str">
        <f>IF(I1179=".",I1179,VLOOKUP($I1179,'Price List, Weapons &amp; Items'!B:D,3,0))</f>
        <v>Humanitarian</v>
      </c>
      <c r="L1179" s="1187">
        <f>VLOOKUP(I1179,'Price List, Weapons &amp; Items'!B:E,4,0)</f>
        <v>0</v>
      </c>
      <c r="M1179" s="1188">
        <v>11</v>
      </c>
      <c r="N1179" s="1188" t="s">
        <v>374</v>
      </c>
      <c r="O1179" s="1188">
        <f>VLOOKUP($I1179,'Price List, Weapons &amp; Items'!B:G,6,0)</f>
        <v>317500</v>
      </c>
      <c r="P1179" s="1185">
        <f t="shared" si="249"/>
        <v>3492500</v>
      </c>
      <c r="Q1179" s="1185" t="str">
        <f t="shared" si="250"/>
        <v>.</v>
      </c>
      <c r="R1179" s="1185">
        <f t="shared" si="246"/>
        <v>3492500</v>
      </c>
      <c r="S1179" s="1185">
        <f>IF(AND(AD1179=1,R1179&lt;&gt;".")=TRUE,R1179/VLOOKUP(G1179,'Exchange Rates'!B:C,2,0),IF(R1179=".",".",""))</f>
        <v>3213562.7530364371</v>
      </c>
      <c r="T1179" s="1185" t="str">
        <f>IF(AD1179=1,IF(AF1179="Value is not given at all",".",IF(AF1179="Value is given by the source",S1179,IF(AF1179="Value is calculated with prices",(IF(SUMIFS(Q:Q,A:A,A1179)&gt;0,SUMIFS(Q:Q,A:A,A1179),"."))/VLOOKUP("USD",'Exchange Rates'!B:C,2,0),"Error with coding"))),"")</f>
        <v>.</v>
      </c>
      <c r="U1179" s="1184" t="s">
        <v>675</v>
      </c>
      <c r="V1179" s="971" t="s">
        <v>3228</v>
      </c>
      <c r="W1179" s="980" t="s">
        <v>3229</v>
      </c>
      <c r="X1179" s="1190" t="s">
        <v>364</v>
      </c>
      <c r="Y1179" s="1190" t="s">
        <v>364</v>
      </c>
      <c r="Z1179" s="1184">
        <v>0</v>
      </c>
      <c r="AA1179" s="1194">
        <v>0</v>
      </c>
      <c r="AB1179" s="1201" t="s">
        <v>364</v>
      </c>
      <c r="AC1179" s="1192" t="str">
        <f>""</f>
        <v/>
      </c>
      <c r="AD1179" s="1193">
        <v>1</v>
      </c>
      <c r="AE1179" s="1193" t="s">
        <v>436</v>
      </c>
      <c r="AF1179" s="1193" t="s">
        <v>369</v>
      </c>
      <c r="AG1179" s="1193">
        <v>1</v>
      </c>
      <c r="AH1179" s="1193">
        <v>4</v>
      </c>
      <c r="AI1179" s="1193">
        <v>0</v>
      </c>
      <c r="AJ1179" s="1193">
        <f>VLOOKUP($I1179,'Price List, Weapons &amp; Items'!B:F,5,0)</f>
        <v>0</v>
      </c>
      <c r="AK1179" s="1193">
        <f t="shared" si="251"/>
        <v>0</v>
      </c>
      <c r="AL1179" s="1193">
        <f t="shared" si="252"/>
        <v>0</v>
      </c>
      <c r="AM1179" s="1193">
        <f t="shared" si="253"/>
        <v>0</v>
      </c>
      <c r="AN1179" s="1194" t="str">
        <f>VLOOKUP($I1179,'Price List, Weapons &amp; Items'!B:L,COLUMN('Price List, Weapons &amp; Items'!$J$11)-1,0)</f>
        <v>Media reports (incl. social media)</v>
      </c>
      <c r="AO1179" s="1194" t="str">
        <f>IF(I1179=".",".",VLOOKUP($I1179,'Price List, Weapons &amp; Items'!B:J,3,0))</f>
        <v>Humanitarian</v>
      </c>
      <c r="AP1179" s="1195" t="str">
        <f t="shared" ca="1" si="247"/>
        <v>ambulance H</v>
      </c>
      <c r="AQ1179" s="1194">
        <f>VLOOKUP($I1179,'Price List, Weapons &amp; Items'!B:L,COLUMN('Price List, Weapons &amp; Items'!$L$11)-1,0)</f>
        <v>0</v>
      </c>
      <c r="AR1179" s="1194">
        <f t="shared" si="254"/>
        <v>0</v>
      </c>
      <c r="AS1179" s="1194">
        <f t="shared" si="255"/>
        <v>0</v>
      </c>
      <c r="AT1179" s="1194">
        <f t="shared" si="256"/>
        <v>1</v>
      </c>
      <c r="AU1179" s="1194" t="str">
        <f t="shared" si="257"/>
        <v>.</v>
      </c>
      <c r="AV1179" s="1194" t="str">
        <f t="shared" si="248"/>
        <v>.</v>
      </c>
      <c r="AW1179" s="1194" t="str">
        <f t="shared" si="258"/>
        <v>.</v>
      </c>
      <c r="AX1179" s="1194">
        <f>IFERROR(VLOOKUP(B1179,'Share, Heavy Weapons to Ukraine'!B:Z,COLUMN('Share, Heavy Weapons to Ukraine'!C1189)-1,0),0)</f>
        <v>0</v>
      </c>
      <c r="AY1179" s="1194">
        <f>VLOOKUP('Bilateral Assistance, MAIN DATA'!B1179,'Country Summary (€)'!B:F,COLUMN('Country Summary (€)'!C1190)-1,FALSE)</f>
        <v>1</v>
      </c>
      <c r="AZ1179" s="1194" t="str">
        <f>IF(AND(AD1179=1,D1179="Military",H1179&lt;&gt;"Not given")=TRUE,IF(SUMIFS(P:P,A:A,A1179)&gt;0,ABS((SUMIFS(P:P,A:A,A1179)/VLOOKUP("USD",'Exchange Rates'!B:C,2,0)))/S1179,"."),".")</f>
        <v>.</v>
      </c>
      <c r="BA1179" s="1196" t="str">
        <f>IF(AND(AD1179=1,D1179="Military",H1179&lt;&gt;"Not given")=TRUE,IF(SUMIFS(P:P,A:A,A1179)&gt;0,IF((ABS((SUMIFS(P:P,A:A,A1179)/VLOOKUP("USD",'Exchange Rates'!B:C,2,0)))/S1179)&gt;1,(SUMIFS(P:P,A:A,A1179)-S1179)/S1179,(S1179-SUMIFS(P:P,A:A,A1179))/SUMIFS(P:P,A:A,A1179)),"."),".")</f>
        <v>.</v>
      </c>
    </row>
    <row r="1180" spans="1:53" ht="15.95" customHeight="1">
      <c r="A1180" s="1180" t="s">
        <v>3230</v>
      </c>
      <c r="B1180" s="1180" t="s">
        <v>3214</v>
      </c>
      <c r="C1180" s="1181">
        <v>44686</v>
      </c>
      <c r="D1180" s="1182" t="s">
        <v>360</v>
      </c>
      <c r="E1180" s="1182" t="s">
        <v>371</v>
      </c>
      <c r="F1180" s="1265" t="s">
        <v>3231</v>
      </c>
      <c r="G1180" s="1184" t="s">
        <v>483</v>
      </c>
      <c r="H1180" s="1185">
        <v>3200000</v>
      </c>
      <c r="I1180" s="1180" t="s">
        <v>591</v>
      </c>
      <c r="J1180" s="1186" t="str">
        <f>VLOOKUP($I1180,'Price List, Weapons &amp; Items'!B:C,2,0)</f>
        <v>Military equipment</v>
      </c>
      <c r="K1180" s="1186" t="str">
        <f>IF(I1180=".",I1180,VLOOKUP($I1180,'Price List, Weapons &amp; Items'!B:D,3,0))</f>
        <v>Military equipment</v>
      </c>
      <c r="L1180" s="1187">
        <f>VLOOKUP(I1180,'Price List, Weapons &amp; Items'!B:E,4,0)</f>
        <v>0</v>
      </c>
      <c r="M1180" s="1188">
        <v>1900</v>
      </c>
      <c r="N1180" s="1188" t="s">
        <v>374</v>
      </c>
      <c r="O1180" s="1188">
        <f>VLOOKUP($I1180,'Price List, Weapons &amp; Items'!B:G,6,0)</f>
        <v>1612.5</v>
      </c>
      <c r="P1180" s="1185">
        <f t="shared" si="249"/>
        <v>3063750</v>
      </c>
      <c r="Q1180" s="1185" t="str">
        <f t="shared" si="250"/>
        <v>.</v>
      </c>
      <c r="R1180" s="1185">
        <f t="shared" si="246"/>
        <v>3200000</v>
      </c>
      <c r="S1180" s="1185">
        <f>IF(AND(AD1180=1,R1180&lt;&gt;".")=TRUE,R1180/VLOOKUP(G1180,'Exchange Rates'!B:C,2,0),IF(R1180=".",".",""))</f>
        <v>3200000</v>
      </c>
      <c r="T1180" s="1185" t="str">
        <f>IF(AD1180=1,IF(AF1180="Value is not given at all",".",IF(AF1180="Value is given by the source",S1180,IF(AF1180="Value is calculated with prices",(IF(SUMIFS(Q:Q,A:A,A1180)&gt;0,SUMIFS(Q:Q,A:A,A1180),"."))/VLOOKUP("USD",'Exchange Rates'!B:C,2,0),"Error with coding"))),"")</f>
        <v>.</v>
      </c>
      <c r="U1180" s="1184" t="s">
        <v>365</v>
      </c>
      <c r="V1180" s="971" t="s">
        <v>930</v>
      </c>
      <c r="W1180" s="971" t="s">
        <v>3232</v>
      </c>
      <c r="X1180" s="1190" t="s">
        <v>364</v>
      </c>
      <c r="Y1180" s="1190" t="s">
        <v>364</v>
      </c>
      <c r="Z1180" s="1184">
        <v>0</v>
      </c>
      <c r="AA1180" s="1194">
        <v>0</v>
      </c>
      <c r="AB1180" s="1201" t="s">
        <v>364</v>
      </c>
      <c r="AC1180" s="1192" t="str">
        <f>""</f>
        <v/>
      </c>
      <c r="AD1180" s="1193">
        <v>1</v>
      </c>
      <c r="AE1180" s="1193" t="s">
        <v>368</v>
      </c>
      <c r="AF1180" s="1193" t="s">
        <v>369</v>
      </c>
      <c r="AG1180" s="1193">
        <v>1</v>
      </c>
      <c r="AH1180" s="1193">
        <v>5</v>
      </c>
      <c r="AI1180" s="1193">
        <v>0</v>
      </c>
      <c r="AJ1180" s="1193">
        <f>VLOOKUP($I1180,'Price List, Weapons &amp; Items'!B:F,5,0)</f>
        <v>0</v>
      </c>
      <c r="AK1180" s="1193">
        <f t="shared" si="251"/>
        <v>0</v>
      </c>
      <c r="AL1180" s="1193">
        <f t="shared" si="252"/>
        <v>0</v>
      </c>
      <c r="AM1180" s="1193">
        <f t="shared" si="253"/>
        <v>0</v>
      </c>
      <c r="AN1180" s="1194" t="str">
        <f>VLOOKUP($I1180,'Price List, Weapons &amp; Items'!B:L,COLUMN('Price List, Weapons &amp; Items'!$J$11)-1,0)</f>
        <v>Miscellaneous</v>
      </c>
      <c r="AO1180" s="1194" t="str">
        <f>IF(I1180=".",".",VLOOKUP($I1180,'Price List, Weapons &amp; Items'!B:J,3,0))</f>
        <v>Military equipment</v>
      </c>
      <c r="AP1180" s="1195" t="str">
        <f t="shared" ca="1" si="247"/>
        <v>ton of fuel</v>
      </c>
      <c r="AQ1180" s="1194">
        <f>VLOOKUP($I1180,'Price List, Weapons &amp; Items'!B:L,COLUMN('Price List, Weapons &amp; Items'!$L$11)-1,0)</f>
        <v>2</v>
      </c>
      <c r="AR1180" s="1194">
        <f t="shared" si="254"/>
        <v>1</v>
      </c>
      <c r="AS1180" s="1194">
        <f t="shared" si="255"/>
        <v>0</v>
      </c>
      <c r="AT1180" s="1194">
        <f t="shared" si="256"/>
        <v>1</v>
      </c>
      <c r="AU1180" s="1194" t="str">
        <f t="shared" si="257"/>
        <v>.</v>
      </c>
      <c r="AV1180" s="1194" t="str">
        <f t="shared" si="248"/>
        <v>.</v>
      </c>
      <c r="AW1180" s="1194" t="str">
        <f t="shared" si="258"/>
        <v>.</v>
      </c>
      <c r="AX1180" s="1194">
        <f>IFERROR(VLOOKUP(B1180,'Share, Heavy Weapons to Ukraine'!B:Z,COLUMN('Share, Heavy Weapons to Ukraine'!C1190)-1,0),0)</f>
        <v>0</v>
      </c>
      <c r="AY1180" s="1194">
        <f>VLOOKUP('Bilateral Assistance, MAIN DATA'!B1180,'Country Summary (€)'!B:F,COLUMN('Country Summary (€)'!C1191)-1,FALSE)</f>
        <v>1</v>
      </c>
      <c r="AZ1180" s="1194" t="str">
        <f>IF(AND(AD1180=1,D1180="Military",H1180&lt;&gt;"Not given")=TRUE,IF(SUMIFS(P:P,A:A,A1180)&gt;0,ABS((SUMIFS(P:P,A:A,A1180)/VLOOKUP("USD",'Exchange Rates'!B:C,2,0)))/S1180,"."),".")</f>
        <v>.</v>
      </c>
      <c r="BA1180" s="1196" t="str">
        <f>IF(AND(AD1180=1,D1180="Military",H1180&lt;&gt;"Not given")=TRUE,IF(SUMIFS(P:P,A:A,A1180)&gt;0,IF((ABS((SUMIFS(P:P,A:A,A1180)/VLOOKUP("USD",'Exchange Rates'!B:C,2,0)))/S1180)&gt;1,(SUMIFS(P:P,A:A,A1180)-S1180)/S1180,(S1180-SUMIFS(P:P,A:A,A1180))/SUMIFS(P:P,A:A,A1180)),"."),".")</f>
        <v>.</v>
      </c>
    </row>
    <row r="1181" spans="1:53" ht="15.95" customHeight="1">
      <c r="A1181" s="1180" t="s">
        <v>3233</v>
      </c>
      <c r="B1181" s="1180" t="s">
        <v>3214</v>
      </c>
      <c r="C1181" s="1181">
        <v>44985</v>
      </c>
      <c r="D1181" s="1182" t="s">
        <v>360</v>
      </c>
      <c r="E1181" s="1182" t="s">
        <v>361</v>
      </c>
      <c r="F1181" s="1265" t="s">
        <v>3234</v>
      </c>
      <c r="G1181" s="1184" t="s">
        <v>3224</v>
      </c>
      <c r="H1181" s="1185">
        <v>5000000</v>
      </c>
      <c r="I1181" s="1180" t="s">
        <v>3235</v>
      </c>
      <c r="J1181" s="1186" t="str">
        <f>VLOOKUP($I1181,'Price List, Weapons &amp; Items'!B:C,2,0)</f>
        <v>Humanitarian</v>
      </c>
      <c r="K1181" s="1186" t="str">
        <f>IF(I1181=".",I1181,VLOOKUP($I1181,'Price List, Weapons &amp; Items'!B:D,3,0))</f>
        <v>Humanitarian</v>
      </c>
      <c r="L1181" s="1187">
        <f>VLOOKUP(I1181,'Price List, Weapons &amp; Items'!B:E,4,0)</f>
        <v>0</v>
      </c>
      <c r="M1181" s="1188" t="s">
        <v>374</v>
      </c>
      <c r="N1181" s="1188" t="s">
        <v>374</v>
      </c>
      <c r="O1181" s="1188">
        <f>VLOOKUP($I1181,'Price List, Weapons &amp; Items'!B:G,6,0)</f>
        <v>22</v>
      </c>
      <c r="P1181" s="1185" t="str">
        <f t="shared" si="249"/>
        <v>.</v>
      </c>
      <c r="Q1181" s="1185" t="str">
        <f t="shared" si="250"/>
        <v>.</v>
      </c>
      <c r="R1181" s="1185">
        <f t="shared" si="246"/>
        <v>5000000</v>
      </c>
      <c r="S1181" s="1185">
        <f>IF(AND(AD1181=1,R1181&lt;&gt;".")=TRUE,R1181/VLOOKUP(G1181,'Exchange Rates'!B:C,2,0),IF(R1181=".",".",""))</f>
        <v>1010570.5681427734</v>
      </c>
      <c r="T1181" s="1185" t="str">
        <f>IF(AD1181=1,IF(AF1181="Value is not given at all",".",IF(AF1181="Value is given by the source",S1181,IF(AF1181="Value is calculated with prices",(IF(SUMIFS(Q:Q,A:A,A1181)&gt;0,SUMIFS(Q:Q,A:A,A1181),"."))/VLOOKUP("USD",'Exchange Rates'!B:C,2,0),"Error with coding"))),"")</f>
        <v>.</v>
      </c>
      <c r="U1181" s="1184" t="s">
        <v>365</v>
      </c>
      <c r="V1181" s="1003" t="s">
        <v>3225</v>
      </c>
      <c r="W1181" s="1024" t="s">
        <v>364</v>
      </c>
      <c r="X1181" s="1024" t="s">
        <v>364</v>
      </c>
      <c r="Y1181" s="1024" t="s">
        <v>364</v>
      </c>
      <c r="Z1181" s="1184">
        <v>0</v>
      </c>
      <c r="AA1181" s="1194">
        <v>1</v>
      </c>
      <c r="AB1181" s="1201" t="s">
        <v>364</v>
      </c>
      <c r="AC1181" s="1192" t="str">
        <f>""</f>
        <v/>
      </c>
      <c r="AD1181" s="1193">
        <v>1</v>
      </c>
      <c r="AE1181" s="1193" t="s">
        <v>368</v>
      </c>
      <c r="AF1181" s="1193" t="s">
        <v>369</v>
      </c>
      <c r="AG1181" s="1193">
        <v>1</v>
      </c>
      <c r="AH1181" s="1193">
        <v>14</v>
      </c>
      <c r="AI1181" s="1193">
        <v>0</v>
      </c>
      <c r="AJ1181" s="1193">
        <f>VLOOKUP($I1181,'Price List, Weapons &amp; Items'!B:F,5,0)</f>
        <v>0</v>
      </c>
      <c r="AK1181" s="1193">
        <f t="shared" si="251"/>
        <v>0</v>
      </c>
      <c r="AL1181" s="1193">
        <f t="shared" si="252"/>
        <v>0</v>
      </c>
      <c r="AM1181" s="1193">
        <f t="shared" si="253"/>
        <v>0</v>
      </c>
      <c r="AN1181" s="1194" t="str">
        <f>VLOOKUP($I1181,'Price List, Weapons &amp; Items'!B:L,COLUMN('Price List, Weapons &amp; Items'!$J$11)-1,0)</f>
        <v>Online marketplaces and stores</v>
      </c>
      <c r="AO1181" s="1194" t="str">
        <f>IF(I1181=".",".",VLOOKUP($I1181,'Price List, Weapons &amp; Items'!B:J,3,0))</f>
        <v>Humanitarian</v>
      </c>
      <c r="AP1181" s="1195" t="str">
        <f t="shared" ca="1" si="247"/>
        <v>Food ration H</v>
      </c>
      <c r="AQ1181" s="1194">
        <f>VLOOKUP($I1181,'Price List, Weapons &amp; Items'!B:L,COLUMN('Price List, Weapons &amp; Items'!$L$11)-1,0)</f>
        <v>0</v>
      </c>
      <c r="AR1181" s="1194">
        <f t="shared" si="254"/>
        <v>1</v>
      </c>
      <c r="AS1181" s="1194">
        <f t="shared" si="255"/>
        <v>0</v>
      </c>
      <c r="AT1181" s="1194">
        <f t="shared" si="256"/>
        <v>1</v>
      </c>
      <c r="AU1181" s="1194" t="str">
        <f t="shared" si="257"/>
        <v>.</v>
      </c>
      <c r="AV1181" s="1194" t="str">
        <f t="shared" si="248"/>
        <v>.</v>
      </c>
      <c r="AW1181" s="1194" t="str">
        <f t="shared" si="258"/>
        <v>.</v>
      </c>
      <c r="AX1181" s="1194">
        <f>IFERROR(VLOOKUP(B1181,'Share, Heavy Weapons to Ukraine'!B:Z,COLUMN('Share, Heavy Weapons to Ukraine'!C1191)-1,0),0)</f>
        <v>0</v>
      </c>
      <c r="AY1181" s="1194">
        <f>VLOOKUP('Bilateral Assistance, MAIN DATA'!B1181,'Country Summary (€)'!B:F,COLUMN('Country Summary (€)'!C1192)-1,FALSE)</f>
        <v>1</v>
      </c>
      <c r="AZ1181" s="1194" t="str">
        <f>IF(AND(AD1181=1,D1181="Military",H1181&lt;&gt;"Not given")=TRUE,IF(SUMIFS(P:P,A:A,A1181)&gt;0,ABS((SUMIFS(P:P,A:A,A1181)/VLOOKUP("USD",'Exchange Rates'!B:C,2,0)))/S1181,"."),".")</f>
        <v>.</v>
      </c>
      <c r="BA1181" s="1196" t="str">
        <f>IF(AND(AD1181=1,D1181="Military",H1181&lt;&gt;"Not given")=TRUE,IF(SUMIFS(P:P,A:A,A1181)&gt;0,IF((ABS((SUMIFS(P:P,A:A,A1181)/VLOOKUP("USD",'Exchange Rates'!B:C,2,0)))/S1181)&gt;1,(SUMIFS(P:P,A:A,A1181)-S1181)/S1181,(S1181-SUMIFS(P:P,A:A,A1181))/SUMIFS(P:P,A:A,A1181)),"."),".")</f>
        <v>.</v>
      </c>
    </row>
    <row r="1182" spans="1:53" ht="15.95" customHeight="1">
      <c r="A1182" s="1180" t="s">
        <v>3236</v>
      </c>
      <c r="B1182" s="1180" t="s">
        <v>3214</v>
      </c>
      <c r="C1182" s="1181">
        <v>44986</v>
      </c>
      <c r="D1182" s="1182" t="s">
        <v>360</v>
      </c>
      <c r="E1182" s="1182" t="s">
        <v>361</v>
      </c>
      <c r="F1182" s="1265" t="s">
        <v>3237</v>
      </c>
      <c r="G1182" s="1184" t="s">
        <v>364</v>
      </c>
      <c r="H1182" s="1185" t="s">
        <v>457</v>
      </c>
      <c r="I1182" s="1190" t="s">
        <v>620</v>
      </c>
      <c r="J1182" s="1186" t="str">
        <f>VLOOKUP($I1182,'Price List, Weapons &amp; Items'!B:C,2,0)</f>
        <v>Humanitarian</v>
      </c>
      <c r="K1182" s="1186" t="str">
        <f>IF(I1182=".",I1182,VLOOKUP($I1182,'Price List, Weapons &amp; Items'!B:D,3,0))</f>
        <v>Humanitarian</v>
      </c>
      <c r="L1182" s="1187">
        <f>VLOOKUP(I1182,'Price List, Weapons &amp; Items'!B:E,4,0)</f>
        <v>0</v>
      </c>
      <c r="M1182" s="1188" t="s">
        <v>374</v>
      </c>
      <c r="N1182" s="1188" t="s">
        <v>374</v>
      </c>
      <c r="O1182" s="1188" t="str">
        <f>VLOOKUP($I1182,'Price List, Weapons &amp; Items'!B:G,6,0)</f>
        <v>.</v>
      </c>
      <c r="P1182" s="1185" t="str">
        <f t="shared" si="249"/>
        <v>.</v>
      </c>
      <c r="Q1182" s="1185" t="str">
        <f t="shared" si="250"/>
        <v>.</v>
      </c>
      <c r="R1182" s="1185" t="str">
        <f t="shared" si="246"/>
        <v>.</v>
      </c>
      <c r="S1182" s="1185" t="str">
        <f>IF(AND(AD1182=1,R1182&lt;&gt;".")=TRUE,R1182/VLOOKUP(G1182,'Exchange Rates'!B:C,2,0),IF(R1182=".",".",""))</f>
        <v>.</v>
      </c>
      <c r="T1182" s="1185" t="str">
        <f>IF(AD1182=1,IF(AF1182="Value is not given at all",".",IF(AF1182="Value is given by the source",S1182,IF(AF1182="Value is calculated with prices",(IF(SUMIFS(Q:Q,A:A,A1182)&gt;0,SUMIFS(Q:Q,A:A,A1182),"."))/VLOOKUP("USD",'Exchange Rates'!B:C,2,0),"Error with coding"))),"")</f>
        <v>.</v>
      </c>
      <c r="U1182" s="1184" t="s">
        <v>365</v>
      </c>
      <c r="V1182" s="1003" t="s">
        <v>3225</v>
      </c>
      <c r="W1182" s="1024" t="s">
        <v>364</v>
      </c>
      <c r="X1182" s="1024" t="s">
        <v>364</v>
      </c>
      <c r="Y1182" s="1024" t="s">
        <v>364</v>
      </c>
      <c r="Z1182" s="1184">
        <v>0</v>
      </c>
      <c r="AA1182" s="1194">
        <v>1</v>
      </c>
      <c r="AB1182" s="1201" t="s">
        <v>364</v>
      </c>
      <c r="AC1182" s="1192" t="str">
        <f>""</f>
        <v/>
      </c>
      <c r="AD1182" s="1193">
        <v>1</v>
      </c>
      <c r="AE1182" s="1193" t="s">
        <v>369</v>
      </c>
      <c r="AF1182" s="1193" t="s">
        <v>369</v>
      </c>
      <c r="AG1182" s="1193">
        <v>1</v>
      </c>
      <c r="AH1182" s="1193">
        <v>15</v>
      </c>
      <c r="AI1182" s="1193">
        <v>0</v>
      </c>
      <c r="AJ1182" s="1193">
        <f>VLOOKUP($I1182,'Price List, Weapons &amp; Items'!B:F,5,0)</f>
        <v>0</v>
      </c>
      <c r="AK1182" s="1193">
        <f t="shared" si="251"/>
        <v>0</v>
      </c>
      <c r="AL1182" s="1193">
        <f t="shared" si="252"/>
        <v>0</v>
      </c>
      <c r="AM1182" s="1193">
        <f t="shared" si="253"/>
        <v>0</v>
      </c>
      <c r="AN1182" s="1194" t="str">
        <f>VLOOKUP($I1182,'Price List, Weapons &amp; Items'!B:L,COLUMN('Price List, Weapons &amp; Items'!$J$11)-1,0)</f>
        <v>.</v>
      </c>
      <c r="AO1182" s="1194" t="str">
        <f>IF(I1182=".",".",VLOOKUP($I1182,'Price List, Weapons &amp; Items'!B:J,3,0))</f>
        <v>Humanitarian</v>
      </c>
      <c r="AP1182" s="1195" t="str">
        <f t="shared" ca="1" si="247"/>
        <v>Medicines</v>
      </c>
      <c r="AQ1182" s="1194">
        <f>VLOOKUP($I1182,'Price List, Weapons &amp; Items'!B:L,COLUMN('Price List, Weapons &amp; Items'!$L$11)-1,0)</f>
        <v>0</v>
      </c>
      <c r="AR1182" s="1194">
        <f t="shared" si="254"/>
        <v>1</v>
      </c>
      <c r="AS1182" s="1194">
        <f t="shared" si="255"/>
        <v>0</v>
      </c>
      <c r="AT1182" s="1194">
        <f t="shared" si="256"/>
        <v>1</v>
      </c>
      <c r="AU1182" s="1194" t="str">
        <f t="shared" si="257"/>
        <v>.</v>
      </c>
      <c r="AV1182" s="1194" t="str">
        <f t="shared" si="248"/>
        <v>.</v>
      </c>
      <c r="AW1182" s="1194" t="str">
        <f t="shared" si="258"/>
        <v>.</v>
      </c>
      <c r="AX1182" s="1194">
        <f>IFERROR(VLOOKUP(B1182,'Share, Heavy Weapons to Ukraine'!B:Z,COLUMN('Share, Heavy Weapons to Ukraine'!C1192)-1,0),0)</f>
        <v>0</v>
      </c>
      <c r="AY1182" s="1194">
        <f>VLOOKUP('Bilateral Assistance, MAIN DATA'!B1182,'Country Summary (€)'!B:F,COLUMN('Country Summary (€)'!C1193)-1,FALSE)</f>
        <v>1</v>
      </c>
      <c r="AZ1182" s="1194" t="str">
        <f>IF(AND(AD1182=1,D1182="Military",H1182&lt;&gt;"Not given")=TRUE,IF(SUMIFS(P:P,A:A,A1182)&gt;0,ABS((SUMIFS(P:P,A:A,A1182)/VLOOKUP("USD",'Exchange Rates'!B:C,2,0)))/S1182,"."),".")</f>
        <v>.</v>
      </c>
      <c r="BA1182" s="1196" t="str">
        <f>IF(AND(AD1182=1,D1182="Military",H1182&lt;&gt;"Not given")=TRUE,IF(SUMIFS(P:P,A:A,A1182)&gt;0,IF((ABS((SUMIFS(P:P,A:A,A1182)/VLOOKUP("USD",'Exchange Rates'!B:C,2,0)))/S1182)&gt;1,(SUMIFS(P:P,A:A,A1182)-S1182)/S1182,(S1182-SUMIFS(P:P,A:A,A1182))/SUMIFS(P:P,A:A,A1182)),"."),".")</f>
        <v>.</v>
      </c>
    </row>
    <row r="1183" spans="1:53" ht="15.95" customHeight="1">
      <c r="A1183" s="1180" t="s">
        <v>3236</v>
      </c>
      <c r="B1183" s="1180" t="s">
        <v>3214</v>
      </c>
      <c r="C1183" s="1181">
        <v>44986</v>
      </c>
      <c r="D1183" s="1182" t="s">
        <v>360</v>
      </c>
      <c r="E1183" s="1182" t="s">
        <v>361</v>
      </c>
      <c r="F1183" s="1265" t="s">
        <v>3237</v>
      </c>
      <c r="G1183" s="1184" t="s">
        <v>364</v>
      </c>
      <c r="H1183" s="1185" t="s">
        <v>457</v>
      </c>
      <c r="I1183" s="1277" t="s">
        <v>3238</v>
      </c>
      <c r="J1183" s="1186" t="str">
        <f>VLOOKUP($I1183,'Price List, Weapons &amp; Items'!B:C,2,0)</f>
        <v>Humanitarian</v>
      </c>
      <c r="K1183" s="1186" t="str">
        <f>IF(I1183=".",I1183,VLOOKUP($I1183,'Price List, Weapons &amp; Items'!B:D,3,0))</f>
        <v>Humanitarian</v>
      </c>
      <c r="L1183" s="1187">
        <f>VLOOKUP(I1183,'Price List, Weapons &amp; Items'!B:E,4,0)</f>
        <v>0</v>
      </c>
      <c r="M1183" s="1188" t="s">
        <v>374</v>
      </c>
      <c r="N1183" s="1188" t="s">
        <v>374</v>
      </c>
      <c r="O1183" s="1188" t="str">
        <f>VLOOKUP($I1183,'Price List, Weapons &amp; Items'!B:G,6,0)</f>
        <v>.</v>
      </c>
      <c r="P1183" s="1185" t="str">
        <f t="shared" si="249"/>
        <v>.</v>
      </c>
      <c r="Q1183" s="1185" t="str">
        <f t="shared" si="250"/>
        <v>.</v>
      </c>
      <c r="R1183" s="1185" t="str">
        <f t="shared" si="246"/>
        <v/>
      </c>
      <c r="S1183" s="1185" t="str">
        <f>IF(AND(AD1183=1,R1183&lt;&gt;".")=TRUE,R1183/VLOOKUP(G1183,'Exchange Rates'!B:C,2,0),IF(R1183=".",".",""))</f>
        <v/>
      </c>
      <c r="T1183" s="1185" t="str">
        <f>IF(AD1183=1,IF(AF1183="Value is not given at all",".",IF(AF1183="Value is given by the source",S1183,IF(AF1183="Value is calculated with prices",(IF(SUMIFS(Q:Q,A:A,A1183)&gt;0,SUMIFS(Q:Q,A:A,A1183),"."))/VLOOKUP("USD",'Exchange Rates'!B:C,2,0),"Error with coding"))),"")</f>
        <v/>
      </c>
      <c r="U1183" s="1184" t="s">
        <v>365</v>
      </c>
      <c r="V1183" s="1003" t="s">
        <v>3225</v>
      </c>
      <c r="W1183" s="1024" t="s">
        <v>364</v>
      </c>
      <c r="X1183" s="1024" t="s">
        <v>364</v>
      </c>
      <c r="Y1183" s="1024" t="s">
        <v>364</v>
      </c>
      <c r="Z1183" s="1184">
        <v>0</v>
      </c>
      <c r="AA1183" s="1194">
        <v>1</v>
      </c>
      <c r="AB1183" s="1201" t="s">
        <v>364</v>
      </c>
      <c r="AC1183" s="1192" t="str">
        <f>""</f>
        <v/>
      </c>
      <c r="AD1183" s="1193">
        <v>0</v>
      </c>
      <c r="AE1183" s="1193" t="s">
        <v>369</v>
      </c>
      <c r="AF1183" s="1193" t="s">
        <v>369</v>
      </c>
      <c r="AG1183" s="1193">
        <v>1</v>
      </c>
      <c r="AH1183" s="1193">
        <v>15</v>
      </c>
      <c r="AI1183" s="1193">
        <v>0</v>
      </c>
      <c r="AJ1183" s="1193">
        <f>VLOOKUP($I1183,'Price List, Weapons &amp; Items'!B:F,5,0)</f>
        <v>0</v>
      </c>
      <c r="AK1183" s="1193">
        <f t="shared" si="251"/>
        <v>0</v>
      </c>
      <c r="AL1183" s="1193">
        <f t="shared" si="252"/>
        <v>0</v>
      </c>
      <c r="AM1183" s="1193">
        <f t="shared" si="253"/>
        <v>0</v>
      </c>
      <c r="AN1183" s="1194" t="str">
        <f>VLOOKUP($I1183,'Price List, Weapons &amp; Items'!B:L,COLUMN('Price List, Weapons &amp; Items'!$J$11)-1,0)</f>
        <v>.</v>
      </c>
      <c r="AO1183" s="1194" t="str">
        <f>IF(I1183=".",".",VLOOKUP($I1183,'Price List, Weapons &amp; Items'!B:J,3,0))</f>
        <v>Humanitarian</v>
      </c>
      <c r="AP1183" s="1195" t="str">
        <f t="shared" ca="1" si="247"/>
        <v/>
      </c>
      <c r="AQ1183" s="1194">
        <f>VLOOKUP($I1183,'Price List, Weapons &amp; Items'!B:L,COLUMN('Price List, Weapons &amp; Items'!$L$11)-1,0)</f>
        <v>0</v>
      </c>
      <c r="AR1183" s="1194">
        <f t="shared" si="254"/>
        <v>1</v>
      </c>
      <c r="AS1183" s="1194">
        <f t="shared" si="255"/>
        <v>0</v>
      </c>
      <c r="AT1183" s="1194">
        <f t="shared" si="256"/>
        <v>1</v>
      </c>
      <c r="AU1183" s="1194" t="str">
        <f t="shared" si="257"/>
        <v>.</v>
      </c>
      <c r="AV1183" s="1194" t="str">
        <f t="shared" si="248"/>
        <v>.</v>
      </c>
      <c r="AW1183" s="1194" t="str">
        <f t="shared" si="258"/>
        <v>.</v>
      </c>
      <c r="AX1183" s="1194">
        <f>IFERROR(VLOOKUP(B1183,'Share, Heavy Weapons to Ukraine'!B:Z,COLUMN('Share, Heavy Weapons to Ukraine'!C1193)-1,0),0)</f>
        <v>0</v>
      </c>
      <c r="AY1183" s="1194">
        <f>VLOOKUP('Bilateral Assistance, MAIN DATA'!B1183,'Country Summary (€)'!B:F,COLUMN('Country Summary (€)'!C1194)-1,FALSE)</f>
        <v>1</v>
      </c>
      <c r="AZ1183" s="1194" t="str">
        <f>IF(AND(AD1183=1,D1183="Military",H1183&lt;&gt;"Not given")=TRUE,IF(SUMIFS(P:P,A:A,A1183)&gt;0,ABS((SUMIFS(P:P,A:A,A1183)/VLOOKUP("USD",'Exchange Rates'!B:C,2,0)))/S1183,"."),".")</f>
        <v>.</v>
      </c>
      <c r="BA1183" s="1196" t="str">
        <f>IF(AND(AD1183=1,D1183="Military",H1183&lt;&gt;"Not given")=TRUE,IF(SUMIFS(P:P,A:A,A1183)&gt;0,IF((ABS((SUMIFS(P:P,A:A,A1183)/VLOOKUP("USD",'Exchange Rates'!B:C,2,0)))/S1183)&gt;1,(SUMIFS(P:P,A:A,A1183)-S1183)/S1183,(S1183-SUMIFS(P:P,A:A,A1183))/SUMIFS(P:P,A:A,A1183)),"."),".")</f>
        <v>.</v>
      </c>
    </row>
    <row r="1184" spans="1:53" ht="15.95" customHeight="1">
      <c r="A1184" s="1180" t="s">
        <v>3236</v>
      </c>
      <c r="B1184" s="1180" t="s">
        <v>3214</v>
      </c>
      <c r="C1184" s="1181">
        <v>44986</v>
      </c>
      <c r="D1184" s="1182" t="s">
        <v>360</v>
      </c>
      <c r="E1184" s="1182" t="s">
        <v>361</v>
      </c>
      <c r="F1184" s="1265" t="s">
        <v>3237</v>
      </c>
      <c r="G1184" s="1184" t="s">
        <v>364</v>
      </c>
      <c r="H1184" s="1185" t="s">
        <v>457</v>
      </c>
      <c r="I1184" s="1183" t="s">
        <v>611</v>
      </c>
      <c r="J1184" s="1186" t="str">
        <f>VLOOKUP($I1184,'Price List, Weapons &amp; Items'!B:C,2,0)</f>
        <v>Military equipment</v>
      </c>
      <c r="K1184" s="1186" t="str">
        <f>IF(I1184=".",I1184,VLOOKUP($I1184,'Price List, Weapons &amp; Items'!B:D,3,0))</f>
        <v>Military equipment</v>
      </c>
      <c r="L1184" s="1187">
        <f>VLOOKUP(I1184,'Price List, Weapons &amp; Items'!B:E,4,0)</f>
        <v>0</v>
      </c>
      <c r="M1184" s="1188" t="s">
        <v>374</v>
      </c>
      <c r="N1184" s="1188" t="s">
        <v>374</v>
      </c>
      <c r="O1184" s="1188">
        <f>VLOOKUP($I1184,'Price List, Weapons &amp; Items'!B:G,6,0)</f>
        <v>37.82</v>
      </c>
      <c r="P1184" s="1185" t="str">
        <f t="shared" si="249"/>
        <v>.</v>
      </c>
      <c r="Q1184" s="1185" t="str">
        <f t="shared" si="250"/>
        <v>.</v>
      </c>
      <c r="R1184" s="1185" t="str">
        <f t="shared" si="246"/>
        <v/>
      </c>
      <c r="S1184" s="1185" t="str">
        <f>IF(AND(AD1184=1,R1184&lt;&gt;".")=TRUE,R1184/VLOOKUP(G1184,'Exchange Rates'!B:C,2,0),IF(R1184=".",".",""))</f>
        <v/>
      </c>
      <c r="T1184" s="1185" t="str">
        <f>IF(AD1184=1,IF(AF1184="Value is not given at all",".",IF(AF1184="Value is given by the source",S1184,IF(AF1184="Value is calculated with prices",(IF(SUMIFS(Q:Q,A:A,A1184)&gt;0,SUMIFS(Q:Q,A:A,A1184),"."))/VLOOKUP("USD",'Exchange Rates'!B:C,2,0),"Error with coding"))),"")</f>
        <v/>
      </c>
      <c r="U1184" s="1184" t="s">
        <v>365</v>
      </c>
      <c r="V1184" s="1003" t="s">
        <v>3225</v>
      </c>
      <c r="W1184" s="1024" t="s">
        <v>364</v>
      </c>
      <c r="X1184" s="1024" t="s">
        <v>364</v>
      </c>
      <c r="Y1184" s="1024" t="s">
        <v>364</v>
      </c>
      <c r="Z1184" s="1184">
        <v>0</v>
      </c>
      <c r="AA1184" s="1194">
        <v>1</v>
      </c>
      <c r="AB1184" s="1201" t="s">
        <v>364</v>
      </c>
      <c r="AC1184" s="1192" t="str">
        <f>""</f>
        <v/>
      </c>
      <c r="AD1184" s="1193">
        <v>0</v>
      </c>
      <c r="AE1184" s="1193" t="s">
        <v>369</v>
      </c>
      <c r="AF1184" s="1193" t="s">
        <v>369</v>
      </c>
      <c r="AG1184" s="1193">
        <v>1</v>
      </c>
      <c r="AH1184" s="1193">
        <v>15</v>
      </c>
      <c r="AI1184" s="1193">
        <v>0</v>
      </c>
      <c r="AJ1184" s="1193">
        <f>VLOOKUP($I1184,'Price List, Weapons &amp; Items'!B:F,5,0)</f>
        <v>0</v>
      </c>
      <c r="AK1184" s="1193">
        <f t="shared" si="251"/>
        <v>0</v>
      </c>
      <c r="AL1184" s="1193">
        <f t="shared" si="252"/>
        <v>0</v>
      </c>
      <c r="AM1184" s="1193">
        <f t="shared" si="253"/>
        <v>0</v>
      </c>
      <c r="AN1184" s="1194" t="str">
        <f>VLOOKUP($I1184,'Price List, Weapons &amp; Items'!B:L,COLUMN('Price List, Weapons &amp; Items'!$J$11)-1,0)</f>
        <v>Online marketplaces and stores</v>
      </c>
      <c r="AO1184" s="1194" t="str">
        <f>IF(I1184=".",".",VLOOKUP($I1184,'Price List, Weapons &amp; Items'!B:J,3,0))</f>
        <v>Military equipment</v>
      </c>
      <c r="AP1184" s="1195" t="str">
        <f t="shared" ca="1" si="247"/>
        <v/>
      </c>
      <c r="AQ1184" s="1194">
        <f>VLOOKUP($I1184,'Price List, Weapons &amp; Items'!B:L,COLUMN('Price List, Weapons &amp; Items'!$L$11)-1,0)</f>
        <v>2</v>
      </c>
      <c r="AR1184" s="1194">
        <f t="shared" si="254"/>
        <v>1</v>
      </c>
      <c r="AS1184" s="1194">
        <f t="shared" si="255"/>
        <v>0</v>
      </c>
      <c r="AT1184" s="1194">
        <f t="shared" si="256"/>
        <v>1</v>
      </c>
      <c r="AU1184" s="1194" t="str">
        <f t="shared" si="257"/>
        <v>.</v>
      </c>
      <c r="AV1184" s="1194" t="str">
        <f t="shared" si="248"/>
        <v>.</v>
      </c>
      <c r="AW1184" s="1194" t="str">
        <f t="shared" si="258"/>
        <v>.</v>
      </c>
      <c r="AX1184" s="1194">
        <f>IFERROR(VLOOKUP(B1184,'Share, Heavy Weapons to Ukraine'!B:Z,COLUMN('Share, Heavy Weapons to Ukraine'!C1194)-1,0),0)</f>
        <v>0</v>
      </c>
      <c r="AY1184" s="1194">
        <f>VLOOKUP('Bilateral Assistance, MAIN DATA'!B1184,'Country Summary (€)'!B:F,COLUMN('Country Summary (€)'!C1195)-1,FALSE)</f>
        <v>1</v>
      </c>
      <c r="AZ1184" s="1194" t="str">
        <f>IF(AND(AD1184=1,D1184="Military",H1184&lt;&gt;"Not given")=TRUE,IF(SUMIFS(P:P,A:A,A1184)&gt;0,ABS((SUMIFS(P:P,A:A,A1184)/VLOOKUP("USD",'Exchange Rates'!B:C,2,0)))/S1184,"."),".")</f>
        <v>.</v>
      </c>
      <c r="BA1184" s="1196" t="str">
        <f>IF(AND(AD1184=1,D1184="Military",H1184&lt;&gt;"Not given")=TRUE,IF(SUMIFS(P:P,A:A,A1184)&gt;0,IF((ABS((SUMIFS(P:P,A:A,A1184)/VLOOKUP("USD",'Exchange Rates'!B:C,2,0)))/S1184)&gt;1,(SUMIFS(P:P,A:A,A1184)-S1184)/S1184,(S1184-SUMIFS(P:P,A:A,A1184))/SUMIFS(P:P,A:A,A1184)),"."),".")</f>
        <v>.</v>
      </c>
    </row>
    <row r="1185" spans="1:53" ht="15.95" customHeight="1">
      <c r="A1185" s="1180" t="s">
        <v>3236</v>
      </c>
      <c r="B1185" s="1180" t="s">
        <v>3214</v>
      </c>
      <c r="C1185" s="1181">
        <v>44986</v>
      </c>
      <c r="D1185" s="1182" t="s">
        <v>360</v>
      </c>
      <c r="E1185" s="1182" t="s">
        <v>361</v>
      </c>
      <c r="F1185" s="1265" t="s">
        <v>3237</v>
      </c>
      <c r="G1185" s="1184" t="s">
        <v>364</v>
      </c>
      <c r="H1185" s="1185" t="s">
        <v>457</v>
      </c>
      <c r="I1185" s="1190" t="s">
        <v>3235</v>
      </c>
      <c r="J1185" s="1186" t="str">
        <f>VLOOKUP($I1185,'Price List, Weapons &amp; Items'!B:C,2,0)</f>
        <v>Humanitarian</v>
      </c>
      <c r="K1185" s="1186" t="str">
        <f>IF(I1185=".",I1185,VLOOKUP($I1185,'Price List, Weapons &amp; Items'!B:D,3,0))</f>
        <v>Humanitarian</v>
      </c>
      <c r="L1185" s="1187">
        <f>VLOOKUP(I1185,'Price List, Weapons &amp; Items'!B:E,4,0)</f>
        <v>0</v>
      </c>
      <c r="M1185" s="1188" t="s">
        <v>374</v>
      </c>
      <c r="N1185" s="1188" t="s">
        <v>374</v>
      </c>
      <c r="O1185" s="1188">
        <f>VLOOKUP($I1185,'Price List, Weapons &amp; Items'!B:G,6,0)</f>
        <v>22</v>
      </c>
      <c r="P1185" s="1185" t="str">
        <f t="shared" si="249"/>
        <v>.</v>
      </c>
      <c r="Q1185" s="1185" t="str">
        <f t="shared" si="250"/>
        <v>.</v>
      </c>
      <c r="R1185" s="1185" t="str">
        <f t="shared" si="246"/>
        <v/>
      </c>
      <c r="S1185" s="1185" t="str">
        <f>IF(AND(AD1185=1,R1185&lt;&gt;".")=TRUE,R1185/VLOOKUP(G1185,'Exchange Rates'!B:C,2,0),IF(R1185=".",".",""))</f>
        <v/>
      </c>
      <c r="T1185" s="1185" t="str">
        <f>IF(AD1185=1,IF(AF1185="Value is not given at all",".",IF(AF1185="Value is given by the source",S1185,IF(AF1185="Value is calculated with prices",(IF(SUMIFS(Q:Q,A:A,A1185)&gt;0,SUMIFS(Q:Q,A:A,A1185),"."))/VLOOKUP("USD",'Exchange Rates'!B:C,2,0),"Error with coding"))),"")</f>
        <v/>
      </c>
      <c r="U1185" s="1184" t="s">
        <v>365</v>
      </c>
      <c r="V1185" s="1003" t="s">
        <v>3225</v>
      </c>
      <c r="W1185" s="1024" t="s">
        <v>364</v>
      </c>
      <c r="X1185" s="1024" t="s">
        <v>364</v>
      </c>
      <c r="Y1185" s="1024" t="s">
        <v>364</v>
      </c>
      <c r="Z1185" s="1184">
        <v>0</v>
      </c>
      <c r="AA1185" s="1194">
        <v>1</v>
      </c>
      <c r="AB1185" s="1201" t="s">
        <v>364</v>
      </c>
      <c r="AC1185" s="1192" t="str">
        <f>""</f>
        <v/>
      </c>
      <c r="AD1185" s="1193">
        <v>0</v>
      </c>
      <c r="AE1185" s="1193" t="s">
        <v>369</v>
      </c>
      <c r="AF1185" s="1193" t="s">
        <v>369</v>
      </c>
      <c r="AG1185" s="1193">
        <v>1</v>
      </c>
      <c r="AH1185" s="1193">
        <v>15</v>
      </c>
      <c r="AI1185" s="1193">
        <v>0</v>
      </c>
      <c r="AJ1185" s="1193">
        <f>VLOOKUP($I1185,'Price List, Weapons &amp; Items'!B:F,5,0)</f>
        <v>0</v>
      </c>
      <c r="AK1185" s="1193">
        <f t="shared" si="251"/>
        <v>0</v>
      </c>
      <c r="AL1185" s="1193">
        <f t="shared" si="252"/>
        <v>0</v>
      </c>
      <c r="AM1185" s="1193">
        <f t="shared" si="253"/>
        <v>0</v>
      </c>
      <c r="AN1185" s="1194" t="str">
        <f>VLOOKUP($I1185,'Price List, Weapons &amp; Items'!B:L,COLUMN('Price List, Weapons &amp; Items'!$J$11)-1,0)</f>
        <v>Online marketplaces and stores</v>
      </c>
      <c r="AO1185" s="1194" t="str">
        <f>IF(I1185=".",".",VLOOKUP($I1185,'Price List, Weapons &amp; Items'!B:J,3,0))</f>
        <v>Humanitarian</v>
      </c>
      <c r="AP1185" s="1195" t="str">
        <f t="shared" ca="1" si="247"/>
        <v/>
      </c>
      <c r="AQ1185" s="1194">
        <f>VLOOKUP($I1185,'Price List, Weapons &amp; Items'!B:L,COLUMN('Price List, Weapons &amp; Items'!$L$11)-1,0)</f>
        <v>0</v>
      </c>
      <c r="AR1185" s="1194">
        <f t="shared" si="254"/>
        <v>1</v>
      </c>
      <c r="AS1185" s="1194">
        <f t="shared" si="255"/>
        <v>0</v>
      </c>
      <c r="AT1185" s="1194">
        <f t="shared" si="256"/>
        <v>1</v>
      </c>
      <c r="AU1185" s="1194" t="str">
        <f t="shared" si="257"/>
        <v>.</v>
      </c>
      <c r="AV1185" s="1194" t="str">
        <f t="shared" si="248"/>
        <v>.</v>
      </c>
      <c r="AW1185" s="1194" t="str">
        <f t="shared" si="258"/>
        <v>.</v>
      </c>
      <c r="AX1185" s="1194">
        <f>IFERROR(VLOOKUP(B1185,'Share, Heavy Weapons to Ukraine'!B:Z,COLUMN('Share, Heavy Weapons to Ukraine'!C1195)-1,0),0)</f>
        <v>0</v>
      </c>
      <c r="AY1185" s="1194">
        <f>VLOOKUP('Bilateral Assistance, MAIN DATA'!B1185,'Country Summary (€)'!B:F,COLUMN('Country Summary (€)'!C1196)-1,FALSE)</f>
        <v>1</v>
      </c>
      <c r="AZ1185" s="1194" t="str">
        <f>IF(AND(AD1185=1,D1185="Military",H1185&lt;&gt;"Not given")=TRUE,IF(SUMIFS(P:P,A:A,A1185)&gt;0,ABS((SUMIFS(P:P,A:A,A1185)/VLOOKUP("USD",'Exchange Rates'!B:C,2,0)))/S1185,"."),".")</f>
        <v>.</v>
      </c>
      <c r="BA1185" s="1196" t="str">
        <f>IF(AND(AD1185=1,D1185="Military",H1185&lt;&gt;"Not given")=TRUE,IF(SUMIFS(P:P,A:A,A1185)&gt;0,IF((ABS((SUMIFS(P:P,A:A,A1185)/VLOOKUP("USD",'Exchange Rates'!B:C,2,0)))/S1185)&gt;1,(SUMIFS(P:P,A:A,A1185)-S1185)/S1185,(S1185-SUMIFS(P:P,A:A,A1185))/SUMIFS(P:P,A:A,A1185)),"."),".")</f>
        <v>.</v>
      </c>
    </row>
    <row r="1186" spans="1:53" ht="15.95" customHeight="1">
      <c r="A1186" s="1180" t="s">
        <v>3239</v>
      </c>
      <c r="B1186" s="1180" t="s">
        <v>3214</v>
      </c>
      <c r="C1186" s="1181">
        <v>45007</v>
      </c>
      <c r="D1186" s="1182" t="s">
        <v>360</v>
      </c>
      <c r="E1186" s="1182" t="s">
        <v>361</v>
      </c>
      <c r="F1186" s="1265" t="s">
        <v>3240</v>
      </c>
      <c r="G1186" s="1184" t="s">
        <v>3224</v>
      </c>
      <c r="H1186" s="1185">
        <v>562000000</v>
      </c>
      <c r="I1186" s="1190" t="s">
        <v>3235</v>
      </c>
      <c r="J1186" s="1186" t="str">
        <f>VLOOKUP($I1186,'Price List, Weapons &amp; Items'!B:C,2,0)</f>
        <v>Humanitarian</v>
      </c>
      <c r="K1186" s="1186" t="str">
        <f>IF(I1186=".",I1186,VLOOKUP($I1186,'Price List, Weapons &amp; Items'!B:D,3,0))</f>
        <v>Humanitarian</v>
      </c>
      <c r="L1186" s="1187">
        <f>VLOOKUP(I1186,'Price List, Weapons &amp; Items'!B:E,4,0)</f>
        <v>0</v>
      </c>
      <c r="M1186" s="1188" t="s">
        <v>374</v>
      </c>
      <c r="N1186" s="1188" t="s">
        <v>374</v>
      </c>
      <c r="O1186" s="1188">
        <f>VLOOKUP($I1186,'Price List, Weapons &amp; Items'!B:G,6,0)</f>
        <v>22</v>
      </c>
      <c r="P1186" s="1185" t="str">
        <f t="shared" si="249"/>
        <v>.</v>
      </c>
      <c r="Q1186" s="1185" t="str">
        <f t="shared" si="250"/>
        <v>.</v>
      </c>
      <c r="R1186" s="1185">
        <f t="shared" si="246"/>
        <v>562000000</v>
      </c>
      <c r="S1186" s="1185">
        <f>IF(AND(AD1186=1,R1186&lt;&gt;".")=TRUE,R1186/VLOOKUP(G1186,'Exchange Rates'!B:C,2,0),IF(R1186=".",".",""))</f>
        <v>113588131.85924773</v>
      </c>
      <c r="T1186" s="1185" t="str">
        <f>IF(AD1186=1,IF(AF1186="Value is not given at all",".",IF(AF1186="Value is given by the source",S1186,IF(AF1186="Value is calculated with prices",(IF(SUMIFS(Q:Q,A:A,A1186)&gt;0,SUMIFS(Q:Q,A:A,A1186),"."))/VLOOKUP("USD",'Exchange Rates'!B:C,2,0),"Error with coding"))),"")</f>
        <v>.</v>
      </c>
      <c r="U1186" s="1184" t="s">
        <v>365</v>
      </c>
      <c r="V1186" s="1003" t="s">
        <v>3241</v>
      </c>
      <c r="W1186" s="1003" t="s">
        <v>3242</v>
      </c>
      <c r="X1186" s="1003" t="s">
        <v>3243</v>
      </c>
      <c r="Y1186" s="1190" t="s">
        <v>364</v>
      </c>
      <c r="Z1186" s="1184">
        <v>0</v>
      </c>
      <c r="AA1186" s="1194">
        <v>1</v>
      </c>
      <c r="AB1186" s="1201" t="s">
        <v>364</v>
      </c>
      <c r="AC1186" s="1192" t="str">
        <f>""</f>
        <v/>
      </c>
      <c r="AD1186" s="1193">
        <v>1</v>
      </c>
      <c r="AE1186" s="1193" t="s">
        <v>368</v>
      </c>
      <c r="AF1186" s="1193" t="s">
        <v>369</v>
      </c>
      <c r="AG1186" s="1193">
        <v>1</v>
      </c>
      <c r="AH1186" s="1193">
        <v>15</v>
      </c>
      <c r="AI1186" s="1193">
        <v>0</v>
      </c>
      <c r="AJ1186" s="1193">
        <f>VLOOKUP($I1186,'Price List, Weapons &amp; Items'!B:F,5,0)</f>
        <v>0</v>
      </c>
      <c r="AK1186" s="1193">
        <f t="shared" si="251"/>
        <v>0</v>
      </c>
      <c r="AL1186" s="1193">
        <f t="shared" si="252"/>
        <v>0</v>
      </c>
      <c r="AM1186" s="1193">
        <f t="shared" si="253"/>
        <v>0</v>
      </c>
      <c r="AN1186" s="1194" t="str">
        <f>VLOOKUP($I1186,'Price List, Weapons &amp; Items'!B:L,COLUMN('Price List, Weapons &amp; Items'!$J$11)-1,0)</f>
        <v>Online marketplaces and stores</v>
      </c>
      <c r="AO1186" s="1194" t="str">
        <f>IF(I1186=".",".",VLOOKUP($I1186,'Price List, Weapons &amp; Items'!B:J,3,0))</f>
        <v>Humanitarian</v>
      </c>
      <c r="AP1186" s="1195" t="str">
        <f t="shared" ca="1" si="247"/>
        <v>Food ration H</v>
      </c>
      <c r="AQ1186" s="1194">
        <f>VLOOKUP($I1186,'Price List, Weapons &amp; Items'!B:L,COLUMN('Price List, Weapons &amp; Items'!$L$11)-1,0)</f>
        <v>0</v>
      </c>
      <c r="AR1186" s="1194">
        <f t="shared" si="254"/>
        <v>1</v>
      </c>
      <c r="AS1186" s="1194">
        <f t="shared" si="255"/>
        <v>0</v>
      </c>
      <c r="AT1186" s="1194">
        <f t="shared" si="256"/>
        <v>1</v>
      </c>
      <c r="AU1186" s="1194" t="str">
        <f t="shared" si="257"/>
        <v>.</v>
      </c>
      <c r="AV1186" s="1194" t="str">
        <f t="shared" si="248"/>
        <v>.</v>
      </c>
      <c r="AW1186" s="1194" t="str">
        <f t="shared" si="258"/>
        <v>.</v>
      </c>
      <c r="AX1186" s="1194">
        <f>IFERROR(VLOOKUP(B1186,'Share, Heavy Weapons to Ukraine'!B:Z,COLUMN('Share, Heavy Weapons to Ukraine'!C1196)-1,0),0)</f>
        <v>0</v>
      </c>
      <c r="AY1186" s="1194">
        <f>VLOOKUP('Bilateral Assistance, MAIN DATA'!B1186,'Country Summary (€)'!B:F,COLUMN('Country Summary (€)'!C1197)-1,FALSE)</f>
        <v>1</v>
      </c>
      <c r="AZ1186" s="1194" t="str">
        <f>IF(AND(AD1186=1,D1186="Military",H1186&lt;&gt;"Not given")=TRUE,IF(SUMIFS(P:P,A:A,A1186)&gt;0,ABS((SUMIFS(P:P,A:A,A1186)/VLOOKUP("USD",'Exchange Rates'!B:C,2,0)))/S1186,"."),".")</f>
        <v>.</v>
      </c>
      <c r="BA1186" s="1196" t="str">
        <f>IF(AND(AD1186=1,D1186="Military",H1186&lt;&gt;"Not given")=TRUE,IF(SUMIFS(P:P,A:A,A1186)&gt;0,IF((ABS((SUMIFS(P:P,A:A,A1186)/VLOOKUP("USD",'Exchange Rates'!B:C,2,0)))/S1186)&gt;1,(SUMIFS(P:P,A:A,A1186)-S1186)/S1186,(S1186-SUMIFS(P:P,A:A,A1186))/SUMIFS(P:P,A:A,A1186)),"."),".")</f>
        <v>.</v>
      </c>
    </row>
    <row r="1187" spans="1:53" ht="15.95" customHeight="1">
      <c r="A1187" s="1180" t="s">
        <v>3244</v>
      </c>
      <c r="B1187" s="1180" t="s">
        <v>3214</v>
      </c>
      <c r="C1187" s="1181">
        <v>44619</v>
      </c>
      <c r="D1187" s="1182" t="s">
        <v>389</v>
      </c>
      <c r="E1187" s="1182" t="s">
        <v>390</v>
      </c>
      <c r="F1187" s="1183" t="s">
        <v>3245</v>
      </c>
      <c r="G1187" s="1184" t="s">
        <v>483</v>
      </c>
      <c r="H1187" s="1185">
        <v>3000000</v>
      </c>
      <c r="I1187" s="1180" t="s">
        <v>1337</v>
      </c>
      <c r="J1187" s="1186" t="str">
        <f>VLOOKUP($I1187,'Price List, Weapons &amp; Items'!B:C,2,0)</f>
        <v>Military equipment</v>
      </c>
      <c r="K1187" s="1186" t="str">
        <f>IF(I1187=".",I1187,VLOOKUP($I1187,'Price List, Weapons &amp; Items'!B:D,3,0))</f>
        <v>Military equipment</v>
      </c>
      <c r="L1187" s="1187">
        <f>VLOOKUP(I1187,'Price List, Weapons &amp; Items'!B:E,4,0)</f>
        <v>0</v>
      </c>
      <c r="M1187" s="1188" t="s">
        <v>374</v>
      </c>
      <c r="N1187" s="1188" t="s">
        <v>374</v>
      </c>
      <c r="O1187" s="1188">
        <f>VLOOKUP($I1187,'Price List, Weapons &amp; Items'!B:G,6,0)</f>
        <v>1.29</v>
      </c>
      <c r="P1187" s="1185" t="str">
        <f t="shared" si="249"/>
        <v>.</v>
      </c>
      <c r="Q1187" s="1185" t="str">
        <f t="shared" si="250"/>
        <v>.</v>
      </c>
      <c r="R1187" s="1185">
        <f t="shared" si="246"/>
        <v>3000000</v>
      </c>
      <c r="S1187" s="1185">
        <f>IF(AND(AD1187=1,R1187&lt;&gt;".")=TRUE,R1187/VLOOKUP(G1187,'Exchange Rates'!B:C,2,0),IF(R1187=".",".",""))</f>
        <v>3000000</v>
      </c>
      <c r="T1187" s="1185" t="str">
        <f>IF(AD1187=1,IF(AF1187="Value is not given at all",".",IF(AF1187="Value is given by the source",S1187,IF(AF1187="Value is calculated with prices",(IF(SUMIFS(Q:Q,A:A,A1187)&gt;0,SUMIFS(Q:Q,A:A,A1187),"."))/VLOOKUP("USD",'Exchange Rates'!B:C,2,0),"Error with coding"))),"")</f>
        <v>.</v>
      </c>
      <c r="U1187" s="1184" t="s">
        <v>365</v>
      </c>
      <c r="V1187" s="971" t="s">
        <v>3246</v>
      </c>
      <c r="W1187" s="993" t="s">
        <v>3247</v>
      </c>
      <c r="X1187" s="971" t="s">
        <v>3248</v>
      </c>
      <c r="Y1187" s="1190" t="s">
        <v>364</v>
      </c>
      <c r="Z1187" s="1184">
        <v>0</v>
      </c>
      <c r="AA1187" s="1194">
        <v>0</v>
      </c>
      <c r="AB1187" s="975" t="s">
        <v>3249</v>
      </c>
      <c r="AC1187" s="1192" t="str">
        <f>""</f>
        <v/>
      </c>
      <c r="AD1187" s="1193">
        <v>1</v>
      </c>
      <c r="AE1187" s="1193" t="s">
        <v>368</v>
      </c>
      <c r="AF1187" s="1193" t="s">
        <v>369</v>
      </c>
      <c r="AG1187" s="1193">
        <v>1</v>
      </c>
      <c r="AH1187" s="1193">
        <v>2</v>
      </c>
      <c r="AI1187" s="1193">
        <v>0</v>
      </c>
      <c r="AJ1187" s="1193">
        <f>VLOOKUP($I1187,'Price List, Weapons &amp; Items'!B:F,5,0)</f>
        <v>0</v>
      </c>
      <c r="AK1187" s="1193">
        <f t="shared" si="251"/>
        <v>0</v>
      </c>
      <c r="AL1187" s="1193">
        <f t="shared" si="252"/>
        <v>0</v>
      </c>
      <c r="AM1187" s="1193">
        <f t="shared" si="253"/>
        <v>0</v>
      </c>
      <c r="AN1187" s="1194" t="str">
        <f>VLOOKUP($I1187,'Price List, Weapons &amp; Items'!B:L,COLUMN('Price List, Weapons &amp; Items'!$J$11)-1,0)</f>
        <v>Miscellaneous</v>
      </c>
      <c r="AO1187" s="1194" t="str">
        <f>IF(I1187=".",".",VLOOKUP($I1187,'Price List, Weapons &amp; Items'!B:J,3,0))</f>
        <v>Military equipment</v>
      </c>
      <c r="AP1187" s="1195" t="str">
        <f t="shared" ca="1" si="247"/>
        <v>liter of fuel M</v>
      </c>
      <c r="AQ1187" s="1194" t="str">
        <f>VLOOKUP($I1187,'Price List, Weapons &amp; Items'!B:L,COLUMN('Price List, Weapons &amp; Items'!$L$11)-1,0)</f>
        <v>no price, 0 count</v>
      </c>
      <c r="AR1187" s="1194">
        <f t="shared" si="254"/>
        <v>1</v>
      </c>
      <c r="AS1187" s="1194">
        <f t="shared" si="255"/>
        <v>1</v>
      </c>
      <c r="AT1187" s="1194">
        <f t="shared" si="256"/>
        <v>1</v>
      </c>
      <c r="AU1187" s="1194" t="str">
        <f t="shared" si="257"/>
        <v>.</v>
      </c>
      <c r="AV1187" s="1194" t="str">
        <f t="shared" si="248"/>
        <v>.</v>
      </c>
      <c r="AW1187" s="1194" t="str">
        <f t="shared" si="258"/>
        <v>.</v>
      </c>
      <c r="AX1187" s="1194">
        <f>IFERROR(VLOOKUP(B1187,'Share, Heavy Weapons to Ukraine'!B:Z,COLUMN('Share, Heavy Weapons to Ukraine'!C1197)-1,0),0)</f>
        <v>0</v>
      </c>
      <c r="AY1187" s="1194">
        <f>VLOOKUP('Bilateral Assistance, MAIN DATA'!B1187,'Country Summary (€)'!B:F,COLUMN('Country Summary (€)'!C1198)-1,FALSE)</f>
        <v>1</v>
      </c>
      <c r="AZ1187" s="1194" t="str">
        <f>IF(AND(AD1187=1,D1187="Military",H1187&lt;&gt;"Not given")=TRUE,IF(SUMIFS(P:P,A:A,A1187)&gt;0,ABS((SUMIFS(P:P,A:A,A1187)/VLOOKUP("USD",'Exchange Rates'!B:C,2,0)))/S1187,"."),".")</f>
        <v>.</v>
      </c>
      <c r="BA1187" s="1196" t="str">
        <f>IF(AND(AD1187=1,D1187="Military",H1187&lt;&gt;"Not given")=TRUE,IF(SUMIFS(P:P,A:A,A1187)&gt;0,IF((ABS((SUMIFS(P:P,A:A,A1187)/VLOOKUP("USD",'Exchange Rates'!B:C,2,0)))/S1187)&gt;1,(SUMIFS(P:P,A:A,A1187)-S1187)/S1187,(S1187-SUMIFS(P:P,A:A,A1187))/SUMIFS(P:P,A:A,A1187)),"."),".")</f>
        <v>.</v>
      </c>
    </row>
    <row r="1188" spans="1:53" ht="15.95" customHeight="1">
      <c r="A1188" s="1180" t="s">
        <v>3250</v>
      </c>
      <c r="B1188" s="1180" t="s">
        <v>3214</v>
      </c>
      <c r="C1188" s="1181">
        <v>44670</v>
      </c>
      <c r="D1188" s="1182" t="s">
        <v>389</v>
      </c>
      <c r="E1188" s="1182" t="s">
        <v>443</v>
      </c>
      <c r="F1188" s="1183" t="s">
        <v>3251</v>
      </c>
      <c r="G1188" s="1184" t="s">
        <v>364</v>
      </c>
      <c r="H1188" s="1185" t="s">
        <v>457</v>
      </c>
      <c r="I1188" s="1180" t="s">
        <v>364</v>
      </c>
      <c r="J1188" s="1186" t="str">
        <f>VLOOKUP($I1188,'Price List, Weapons &amp; Items'!B:C,2,0)</f>
        <v>.</v>
      </c>
      <c r="K1188" s="1186" t="str">
        <f>IF(I1188=".",I1188,VLOOKUP($I1188,'Price List, Weapons &amp; Items'!B:D,3,0))</f>
        <v>.</v>
      </c>
      <c r="L1188" s="1187">
        <f>VLOOKUP(I1188,'Price List, Weapons &amp; Items'!B:E,4,0)</f>
        <v>0</v>
      </c>
      <c r="M1188" s="1188" t="s">
        <v>364</v>
      </c>
      <c r="N1188" s="1188" t="s">
        <v>364</v>
      </c>
      <c r="O1188" s="1188" t="str">
        <f>VLOOKUP($I1188,'Price List, Weapons &amp; Items'!B:G,6,0)</f>
        <v>.</v>
      </c>
      <c r="P1188" s="1185" t="str">
        <f t="shared" si="249"/>
        <v>.</v>
      </c>
      <c r="Q1188" s="1185" t="str">
        <f t="shared" si="250"/>
        <v>.</v>
      </c>
      <c r="R1188" s="1185" t="str">
        <f t="shared" si="246"/>
        <v>.</v>
      </c>
      <c r="S1188" s="1185" t="str">
        <f>IF(AND(AD1188=1,R1188&lt;&gt;".")=TRUE,R1188/VLOOKUP(G1188,'Exchange Rates'!B:C,2,0),IF(R1188=".",".",""))</f>
        <v>.</v>
      </c>
      <c r="T1188" s="1185" t="str">
        <f>IF(AD1188=1,IF(AF1188="Value is not given at all",".",IF(AF1188="Value is given by the source",S1188,IF(AF1188="Value is calculated with prices",(IF(SUMIFS(Q:Q,A:A,A1188)&gt;0,SUMIFS(Q:Q,A:A,A1188),"."))/VLOOKUP("USD",'Exchange Rates'!B:C,2,0),"Error with coding"))),"")</f>
        <v>.</v>
      </c>
      <c r="U1188" s="1184" t="s">
        <v>675</v>
      </c>
      <c r="V1188" s="971" t="s">
        <v>3252</v>
      </c>
      <c r="W1188" s="993" t="s">
        <v>3253</v>
      </c>
      <c r="X1188" s="1190" t="s">
        <v>364</v>
      </c>
      <c r="Y1188" s="1190" t="s">
        <v>364</v>
      </c>
      <c r="Z1188" s="1184">
        <v>0</v>
      </c>
      <c r="AA1188" s="1194">
        <v>0</v>
      </c>
      <c r="AB1188" s="1201" t="s">
        <v>364</v>
      </c>
      <c r="AC1188" s="1192" t="str">
        <f>""</f>
        <v/>
      </c>
      <c r="AD1188" s="1193">
        <v>1</v>
      </c>
      <c r="AE1188" s="1193" t="s">
        <v>369</v>
      </c>
      <c r="AF1188" s="1193" t="s">
        <v>369</v>
      </c>
      <c r="AG1188" s="1193">
        <v>1</v>
      </c>
      <c r="AH1188" s="1193">
        <v>4</v>
      </c>
      <c r="AI1188" s="1193">
        <v>0</v>
      </c>
      <c r="AJ1188" s="1193">
        <f>VLOOKUP($I1188,'Price List, Weapons &amp; Items'!B:F,5,0)</f>
        <v>0</v>
      </c>
      <c r="AK1188" s="1193">
        <f t="shared" si="251"/>
        <v>0</v>
      </c>
      <c r="AL1188" s="1193">
        <f t="shared" si="252"/>
        <v>0</v>
      </c>
      <c r="AM1188" s="1193">
        <f t="shared" si="253"/>
        <v>0</v>
      </c>
      <c r="AN1188" s="1194" t="str">
        <f>VLOOKUP($I1188,'Price List, Weapons &amp; Items'!B:L,COLUMN('Price List, Weapons &amp; Items'!$J$11)-1,0)</f>
        <v>.</v>
      </c>
      <c r="AO1188" s="1194" t="str">
        <f>IF(I1188=".",".",VLOOKUP($I1188,'Price List, Weapons &amp; Items'!B:J,3,0))</f>
        <v>.</v>
      </c>
      <c r="AP1188" s="1195" t="str">
        <f t="shared" ca="1" si="247"/>
        <v>.</v>
      </c>
      <c r="AQ1188" s="1194">
        <f>VLOOKUP($I1188,'Price List, Weapons &amp; Items'!B:L,COLUMN('Price List, Weapons &amp; Items'!$L$11)-1,0)</f>
        <v>0</v>
      </c>
      <c r="AR1188" s="1194">
        <f t="shared" si="254"/>
        <v>0</v>
      </c>
      <c r="AS1188" s="1194">
        <f t="shared" si="255"/>
        <v>1</v>
      </c>
      <c r="AT1188" s="1194">
        <f t="shared" si="256"/>
        <v>1</v>
      </c>
      <c r="AU1188" s="1194" t="str">
        <f t="shared" si="257"/>
        <v>.</v>
      </c>
      <c r="AV1188" s="1194" t="str">
        <f t="shared" si="248"/>
        <v>.</v>
      </c>
      <c r="AW1188" s="1194" t="str">
        <f t="shared" si="258"/>
        <v>.</v>
      </c>
      <c r="AX1188" s="1194">
        <f>IFERROR(VLOOKUP(B1188,'Share, Heavy Weapons to Ukraine'!B:Z,COLUMN('Share, Heavy Weapons to Ukraine'!C1198)-1,0),0)</f>
        <v>0</v>
      </c>
      <c r="AY1188" s="1194">
        <f>VLOOKUP('Bilateral Assistance, MAIN DATA'!B1188,'Country Summary (€)'!B:F,COLUMN('Country Summary (€)'!C1199)-1,FALSE)</f>
        <v>1</v>
      </c>
      <c r="AZ1188" s="1194" t="str">
        <f>IF(AND(AD1188=1,D1188="Military",H1188&lt;&gt;"Not given")=TRUE,IF(SUMIFS(P:P,A:A,A1188)&gt;0,ABS((SUMIFS(P:P,A:A,A1188)/VLOOKUP("USD",'Exchange Rates'!B:C,2,0)))/S1188,"."),".")</f>
        <v>.</v>
      </c>
      <c r="BA1188" s="1196" t="str">
        <f>IF(AND(AD1188=1,D1188="Military",H1188&lt;&gt;"Not given")=TRUE,IF(SUMIFS(P:P,A:A,A1188)&gt;0,IF((ABS((SUMIFS(P:P,A:A,A1188)/VLOOKUP("USD",'Exchange Rates'!B:C,2,0)))/S1188)&gt;1,(SUMIFS(P:P,A:A,A1188)-S1188)/S1188,(S1188-SUMIFS(P:P,A:A,A1188))/SUMIFS(P:P,A:A,A1188)),"."),".")</f>
        <v>.</v>
      </c>
    </row>
    <row r="1189" spans="1:53" ht="15.95" customHeight="1">
      <c r="A1189" s="1180" t="s">
        <v>3254</v>
      </c>
      <c r="B1189" s="1180" t="s">
        <v>3214</v>
      </c>
      <c r="C1189" s="1181">
        <v>45021</v>
      </c>
      <c r="D1189" s="1182" t="s">
        <v>389</v>
      </c>
      <c r="E1189" s="1182" t="s">
        <v>361</v>
      </c>
      <c r="F1189" s="1183" t="s">
        <v>3255</v>
      </c>
      <c r="G1189" s="1184" t="s">
        <v>456</v>
      </c>
      <c r="H1189" s="1185">
        <v>830000</v>
      </c>
      <c r="I1189" s="1295" t="s">
        <v>364</v>
      </c>
      <c r="J1189" s="1186" t="str">
        <f>VLOOKUP($I1189,'Price List, Weapons &amp; Items'!B:C,2,0)</f>
        <v>.</v>
      </c>
      <c r="K1189" s="1186" t="str">
        <f>IF(I1189=".",I1189,VLOOKUP($I1189,'Price List, Weapons &amp; Items'!B:D,3,0))</f>
        <v>.</v>
      </c>
      <c r="L1189" s="1187">
        <f>VLOOKUP(I1189,'Price List, Weapons &amp; Items'!B:E,4,0)</f>
        <v>0</v>
      </c>
      <c r="M1189" s="1188" t="s">
        <v>364</v>
      </c>
      <c r="N1189" s="1188" t="s">
        <v>364</v>
      </c>
      <c r="O1189" s="1188" t="str">
        <f>VLOOKUP($I1189,'Price List, Weapons &amp; Items'!B:G,6,0)</f>
        <v>.</v>
      </c>
      <c r="P1189" s="1185" t="str">
        <f t="shared" si="249"/>
        <v>.</v>
      </c>
      <c r="Q1189" s="1185" t="str">
        <f t="shared" si="250"/>
        <v>.</v>
      </c>
      <c r="R1189" s="1185">
        <f t="shared" si="246"/>
        <v>830000</v>
      </c>
      <c r="S1189" s="1185">
        <f>IF(AND(AD1189=1,R1189&lt;&gt;".")=TRUE,R1189/VLOOKUP(G1189,'Exchange Rates'!B:C,2,0),IF(R1189=".",".",""))</f>
        <v>763709.97423629009</v>
      </c>
      <c r="T1189" s="1185" t="str">
        <f>IF(AD1189=1,IF(AF1189="Value is not given at all",".",IF(AF1189="Value is given by the source",S1189,IF(AF1189="Value is calculated with prices",(IF(SUMIFS(Q:Q,A:A,A1189)&gt;0,SUMIFS(Q:Q,A:A,A1189),"."))/VLOOKUP("USD",'Exchange Rates'!B:C,2,0),"Error with coding"))),"")</f>
        <v>.</v>
      </c>
      <c r="U1189" s="1184" t="s">
        <v>365</v>
      </c>
      <c r="V1189" s="994" t="s">
        <v>3256</v>
      </c>
      <c r="W1189" s="964" t="s">
        <v>3257</v>
      </c>
      <c r="X1189" s="980" t="s">
        <v>3258</v>
      </c>
      <c r="Y1189" s="980" t="s">
        <v>3259</v>
      </c>
      <c r="Z1189" s="1184">
        <v>0</v>
      </c>
      <c r="AA1189" s="1194">
        <v>1</v>
      </c>
      <c r="AB1189" s="1271" t="s">
        <v>364</v>
      </c>
      <c r="AC1189" s="1192" t="str">
        <f>""</f>
        <v/>
      </c>
      <c r="AD1189" s="1193">
        <v>1</v>
      </c>
      <c r="AE1189" s="1193" t="s">
        <v>368</v>
      </c>
      <c r="AF1189" s="1193" t="s">
        <v>369</v>
      </c>
      <c r="AG1189" s="1193">
        <v>1</v>
      </c>
      <c r="AH1189" s="1193">
        <v>16</v>
      </c>
      <c r="AI1189" s="1193">
        <v>0</v>
      </c>
      <c r="AJ1189" s="1193">
        <f>VLOOKUP($I1189,'Price List, Weapons &amp; Items'!B:F,5,0)</f>
        <v>0</v>
      </c>
      <c r="AK1189" s="1193">
        <f t="shared" si="251"/>
        <v>0</v>
      </c>
      <c r="AL1189" s="1193">
        <f t="shared" si="252"/>
        <v>0</v>
      </c>
      <c r="AM1189" s="1193">
        <f t="shared" si="253"/>
        <v>0</v>
      </c>
      <c r="AN1189" s="1194" t="str">
        <f>VLOOKUP($I1189,'Price List, Weapons &amp; Items'!B:L,COLUMN('Price List, Weapons &amp; Items'!$J$11)-1,0)</f>
        <v>.</v>
      </c>
      <c r="AO1189" s="1194" t="str">
        <f>IF(I1189=".",".",VLOOKUP($I1189,'Price List, Weapons &amp; Items'!B:J,3,0))</f>
        <v>.</v>
      </c>
      <c r="AP1189" s="1195" t="str">
        <f t="shared" ca="1" si="247"/>
        <v>.</v>
      </c>
      <c r="AQ1189" s="1194">
        <f>VLOOKUP($I1189,'Price List, Weapons &amp; Items'!B:L,COLUMN('Price List, Weapons &amp; Items'!$L$11)-1,0)</f>
        <v>0</v>
      </c>
      <c r="AR1189" s="1194">
        <f t="shared" si="254"/>
        <v>1</v>
      </c>
      <c r="AS1189" s="1194">
        <f t="shared" si="255"/>
        <v>0</v>
      </c>
      <c r="AT1189" s="1194">
        <f t="shared" si="256"/>
        <v>1</v>
      </c>
      <c r="AU1189" s="1194" t="str">
        <f t="shared" si="257"/>
        <v>.</v>
      </c>
      <c r="AV1189" s="1194" t="str">
        <f t="shared" si="248"/>
        <v>.</v>
      </c>
      <c r="AW1189" s="1194" t="str">
        <f t="shared" si="258"/>
        <v>.</v>
      </c>
      <c r="AX1189" s="1194">
        <f>IFERROR(VLOOKUP(B1189,'Share, Heavy Weapons to Ukraine'!B:Z,COLUMN('Share, Heavy Weapons to Ukraine'!C1199)-1,0),0)</f>
        <v>0</v>
      </c>
      <c r="AY1189" s="1194">
        <f>VLOOKUP('Bilateral Assistance, MAIN DATA'!B1189,'Country Summary (€)'!B:F,COLUMN('Country Summary (€)'!C1200)-1,FALSE)</f>
        <v>1</v>
      </c>
      <c r="AZ1189" s="1194" t="str">
        <f>IF(AND(AD1189=1,D1189="Military",H1189&lt;&gt;"Not given")=TRUE,IF(SUMIFS(P:P,A:A,A1189)&gt;0,ABS((SUMIFS(P:P,A:A,A1189)/VLOOKUP("USD",'Exchange Rates'!B:C,2,0)))/S1189,"."),".")</f>
        <v>.</v>
      </c>
      <c r="BA1189" s="1196" t="str">
        <f>IF(AND(AD1189=1,D1189="Military",H1189&lt;&gt;"Not given")=TRUE,IF(SUMIFS(P:P,A:A,A1189)&gt;0,IF((ABS((SUMIFS(P:P,A:A,A1189)/VLOOKUP("USD",'Exchange Rates'!B:C,2,0)))/S1189)&gt;1,(SUMIFS(P:P,A:A,A1189)-S1189)/S1189,(S1189-SUMIFS(P:P,A:A,A1189))/SUMIFS(P:P,A:A,A1189)),"."),".")</f>
        <v>.</v>
      </c>
    </row>
    <row r="1190" spans="1:53" ht="15.95" customHeight="1">
      <c r="A1190" s="1180" t="s">
        <v>3260</v>
      </c>
      <c r="B1190" s="1180" t="s">
        <v>3261</v>
      </c>
      <c r="C1190" s="1181">
        <v>44660</v>
      </c>
      <c r="D1190" s="1182" t="s">
        <v>360</v>
      </c>
      <c r="E1190" s="1182" t="s">
        <v>361</v>
      </c>
      <c r="F1190" s="1183" t="s">
        <v>3262</v>
      </c>
      <c r="G1190" s="1184" t="s">
        <v>483</v>
      </c>
      <c r="H1190" s="1185">
        <v>5000000</v>
      </c>
      <c r="I1190" s="1180" t="s">
        <v>364</v>
      </c>
      <c r="J1190" s="1186" t="str">
        <f>VLOOKUP($I1190,'Price List, Weapons &amp; Items'!B:C,2,0)</f>
        <v>.</v>
      </c>
      <c r="K1190" s="1186" t="str">
        <f>IF(I1190=".",I1190,VLOOKUP($I1190,'Price List, Weapons &amp; Items'!B:D,3,0))</f>
        <v>.</v>
      </c>
      <c r="L1190" s="1187">
        <f>VLOOKUP(I1190,'Price List, Weapons &amp; Items'!B:E,4,0)</f>
        <v>0</v>
      </c>
      <c r="M1190" s="1188" t="s">
        <v>364</v>
      </c>
      <c r="N1190" s="1188" t="s">
        <v>364</v>
      </c>
      <c r="O1190" s="1188" t="str">
        <f>VLOOKUP($I1190,'Price List, Weapons &amp; Items'!B:G,6,0)</f>
        <v>.</v>
      </c>
      <c r="P1190" s="1185" t="str">
        <f t="shared" si="249"/>
        <v>.</v>
      </c>
      <c r="Q1190" s="1185" t="str">
        <f t="shared" si="250"/>
        <v>.</v>
      </c>
      <c r="R1190" s="1185">
        <f t="shared" si="246"/>
        <v>5000000</v>
      </c>
      <c r="S1190" s="1185">
        <f>IF(AND(AD1190=1,R1190&lt;&gt;".")=TRUE,R1190/VLOOKUP(G1190,'Exchange Rates'!B:C,2,0),IF(R1190=".",".",""))</f>
        <v>5000000</v>
      </c>
      <c r="T1190" s="1185" t="str">
        <f>IF(AD1190=1,IF(AF1190="Value is not given at all",".",IF(AF1190="Value is given by the source",S1190,IF(AF1190="Value is calculated with prices",(IF(SUMIFS(Q:Q,A:A,A1190)&gt;0,SUMIFS(Q:Q,A:A,A1190),"."))/VLOOKUP("USD",'Exchange Rates'!B:C,2,0),"Error with coding"))),"")</f>
        <v>.</v>
      </c>
      <c r="U1190" s="1184" t="s">
        <v>365</v>
      </c>
      <c r="V1190" s="971" t="s">
        <v>3263</v>
      </c>
      <c r="W1190" s="1190" t="s">
        <v>364</v>
      </c>
      <c r="X1190" s="1190" t="s">
        <v>364</v>
      </c>
      <c r="Y1190" s="1190" t="s">
        <v>364</v>
      </c>
      <c r="Z1190" s="1184">
        <v>0</v>
      </c>
      <c r="AA1190" s="1194">
        <v>0</v>
      </c>
      <c r="AB1190" s="1201" t="s">
        <v>364</v>
      </c>
      <c r="AC1190" s="1192" t="str">
        <f>""</f>
        <v/>
      </c>
      <c r="AD1190" s="1193">
        <v>1</v>
      </c>
      <c r="AE1190" s="1193" t="s">
        <v>368</v>
      </c>
      <c r="AF1190" s="1193" t="s">
        <v>369</v>
      </c>
      <c r="AG1190" s="1193">
        <v>1</v>
      </c>
      <c r="AH1190" s="1193">
        <v>4</v>
      </c>
      <c r="AI1190" s="1193">
        <v>0</v>
      </c>
      <c r="AJ1190" s="1193">
        <f>VLOOKUP($I1190,'Price List, Weapons &amp; Items'!B:F,5,0)</f>
        <v>0</v>
      </c>
      <c r="AK1190" s="1193">
        <f t="shared" si="251"/>
        <v>0</v>
      </c>
      <c r="AL1190" s="1193">
        <f t="shared" si="252"/>
        <v>0</v>
      </c>
      <c r="AM1190" s="1193">
        <f t="shared" si="253"/>
        <v>0</v>
      </c>
      <c r="AN1190" s="1194" t="str">
        <f>VLOOKUP($I1190,'Price List, Weapons &amp; Items'!B:L,COLUMN('Price List, Weapons &amp; Items'!$J$11)-1,0)</f>
        <v>.</v>
      </c>
      <c r="AO1190" s="1194" t="str">
        <f>IF(I1190=".",".",VLOOKUP($I1190,'Price List, Weapons &amp; Items'!B:J,3,0))</f>
        <v>.</v>
      </c>
      <c r="AP1190" s="1195" t="str">
        <f t="shared" ca="1" si="247"/>
        <v>.</v>
      </c>
      <c r="AQ1190" s="1194">
        <f>VLOOKUP($I1190,'Price List, Weapons &amp; Items'!B:L,COLUMN('Price List, Weapons &amp; Items'!$L$11)-1,0)</f>
        <v>0</v>
      </c>
      <c r="AR1190" s="1194">
        <f t="shared" si="254"/>
        <v>1</v>
      </c>
      <c r="AS1190" s="1194">
        <f t="shared" si="255"/>
        <v>0</v>
      </c>
      <c r="AT1190" s="1194">
        <f t="shared" si="256"/>
        <v>1</v>
      </c>
      <c r="AU1190" s="1194" t="str">
        <f t="shared" si="257"/>
        <v>.</v>
      </c>
      <c r="AV1190" s="1194" t="str">
        <f t="shared" si="248"/>
        <v>.</v>
      </c>
      <c r="AW1190" s="1194" t="str">
        <f t="shared" si="258"/>
        <v>.</v>
      </c>
      <c r="AX1190" s="1194">
        <f>IFERROR(VLOOKUP(B1190,'Share, Heavy Weapons to Ukraine'!B:Z,COLUMN('Share, Heavy Weapons to Ukraine'!C1200)-1,0),0)</f>
        <v>0</v>
      </c>
      <c r="AY1190" s="1194">
        <f>VLOOKUP('Bilateral Assistance, MAIN DATA'!B1190,'Country Summary (€)'!B:F,COLUMN('Country Summary (€)'!C1201)-1,FALSE)</f>
        <v>1</v>
      </c>
      <c r="AZ1190" s="1194" t="str">
        <f>IF(AND(AD1190=1,D1190="Military",H1190&lt;&gt;"Not given")=TRUE,IF(SUMIFS(P:P,A:A,A1190)&gt;0,ABS((SUMIFS(P:P,A:A,A1190)/VLOOKUP("USD",'Exchange Rates'!B:C,2,0)))/S1190,"."),".")</f>
        <v>.</v>
      </c>
      <c r="BA1190" s="1196" t="str">
        <f>IF(AND(AD1190=1,D1190="Military",H1190&lt;&gt;"Not given")=TRUE,IF(SUMIFS(P:P,A:A,A1190)&gt;0,IF((ABS((SUMIFS(P:P,A:A,A1190)/VLOOKUP("USD",'Exchange Rates'!B:C,2,0)))/S1190)&gt;1,(SUMIFS(P:P,A:A,A1190)-S1190)/S1190,(S1190-SUMIFS(P:P,A:A,A1190))/SUMIFS(P:P,A:A,A1190)),"."),".")</f>
        <v>.</v>
      </c>
    </row>
    <row r="1191" spans="1:53" ht="15.95" customHeight="1">
      <c r="A1191" s="1180" t="s">
        <v>3264</v>
      </c>
      <c r="B1191" s="1180" t="s">
        <v>3261</v>
      </c>
      <c r="C1191" s="1181">
        <v>44903</v>
      </c>
      <c r="D1191" s="1182" t="s">
        <v>360</v>
      </c>
      <c r="E1191" s="1182" t="s">
        <v>3265</v>
      </c>
      <c r="F1191" s="1183" t="s">
        <v>3266</v>
      </c>
      <c r="G1191" s="1184" t="s">
        <v>483</v>
      </c>
      <c r="H1191" s="1185">
        <v>4000000</v>
      </c>
      <c r="I1191" s="1190" t="s">
        <v>989</v>
      </c>
      <c r="J1191" s="1186" t="str">
        <f>VLOOKUP($I1191,'Price List, Weapons &amp; Items'!B:C,2,0)</f>
        <v>Humanitarian</v>
      </c>
      <c r="K1191" s="1186" t="str">
        <f>IF(I1191=".",I1191,VLOOKUP($I1191,'Price List, Weapons &amp; Items'!B:D,3,0))</f>
        <v>Humanitarian</v>
      </c>
      <c r="L1191" s="1187">
        <f>VLOOKUP(I1191,'Price List, Weapons &amp; Items'!B:E,4,0)</f>
        <v>0</v>
      </c>
      <c r="M1191" s="1188">
        <v>300</v>
      </c>
      <c r="N1191" s="1188" t="s">
        <v>374</v>
      </c>
      <c r="O1191" s="1188" t="str">
        <f>VLOOKUP($I1191,'Price List, Weapons &amp; Items'!B:G,6,0)</f>
        <v>.</v>
      </c>
      <c r="P1191" s="1185" t="str">
        <f t="shared" si="249"/>
        <v>No price</v>
      </c>
      <c r="Q1191" s="1185" t="str">
        <f t="shared" si="250"/>
        <v>.</v>
      </c>
      <c r="R1191" s="1185">
        <f t="shared" si="246"/>
        <v>4000000</v>
      </c>
      <c r="S1191" s="1185">
        <f>IF(AND(AD1191=1,R1191&lt;&gt;".")=TRUE,R1191/VLOOKUP(G1191,'Exchange Rates'!B:C,2,0),IF(R1191=".",".",""))</f>
        <v>4000000</v>
      </c>
      <c r="T1191" s="1185" t="str">
        <f>IF(AD1191=1,IF(AF1191="Value is not given at all",".",IF(AF1191="Value is given by the source",S1191,IF(AF1191="Value is calculated with prices",(IF(SUMIFS(Q:Q,A:A,A1191)&gt;0,SUMIFS(Q:Q,A:A,A1191),"."))/VLOOKUP("USD",'Exchange Rates'!B:C,2,0),"Error with coding"))),"")</f>
        <v>.</v>
      </c>
      <c r="U1191" s="1184" t="s">
        <v>365</v>
      </c>
      <c r="V1191" s="964" t="s">
        <v>3267</v>
      </c>
      <c r="W1191" s="971" t="s">
        <v>3268</v>
      </c>
      <c r="X1191" s="972" t="s">
        <v>3269</v>
      </c>
      <c r="Y1191" s="980" t="s">
        <v>3267</v>
      </c>
      <c r="Z1191" s="1184">
        <v>0</v>
      </c>
      <c r="AA1191" s="1194">
        <v>0</v>
      </c>
      <c r="AB1191" s="1201" t="s">
        <v>364</v>
      </c>
      <c r="AC1191" s="1192" t="str">
        <f>""</f>
        <v/>
      </c>
      <c r="AD1191" s="1193">
        <v>1</v>
      </c>
      <c r="AE1191" s="1193" t="s">
        <v>368</v>
      </c>
      <c r="AF1191" s="1193" t="s">
        <v>369</v>
      </c>
      <c r="AG1191" s="1193">
        <v>1</v>
      </c>
      <c r="AH1191" s="1193">
        <v>12</v>
      </c>
      <c r="AI1191" s="1193">
        <v>0</v>
      </c>
      <c r="AJ1191" s="1193">
        <f>VLOOKUP($I1191,'Price List, Weapons &amp; Items'!B:F,5,0)</f>
        <v>0</v>
      </c>
      <c r="AK1191" s="1193">
        <f t="shared" si="251"/>
        <v>0</v>
      </c>
      <c r="AL1191" s="1193">
        <f t="shared" si="252"/>
        <v>0</v>
      </c>
      <c r="AM1191" s="1193">
        <f t="shared" si="253"/>
        <v>0</v>
      </c>
      <c r="AN1191" s="1194" t="str">
        <f>VLOOKUP($I1191,'Price List, Weapons &amp; Items'!B:L,COLUMN('Price List, Weapons &amp; Items'!$J$11)-1,0)</f>
        <v>Media reports (incl. social media)</v>
      </c>
      <c r="AO1191" s="1194" t="str">
        <f>IF(I1191=".",".",VLOOKUP($I1191,'Price List, Weapons &amp; Items'!B:J,3,0))</f>
        <v>Humanitarian</v>
      </c>
      <c r="AP1191" s="1195" t="str">
        <f t="shared" ca="1" si="247"/>
        <v>Power generator</v>
      </c>
      <c r="AQ1191" s="1194">
        <f>VLOOKUP($I1191,'Price List, Weapons &amp; Items'!B:L,COLUMN('Price List, Weapons &amp; Items'!$L$11)-1,0)</f>
        <v>0</v>
      </c>
      <c r="AR1191" s="1194">
        <f t="shared" si="254"/>
        <v>1</v>
      </c>
      <c r="AS1191" s="1194">
        <f t="shared" si="255"/>
        <v>0</v>
      </c>
      <c r="AT1191" s="1194">
        <f t="shared" si="256"/>
        <v>1</v>
      </c>
      <c r="AU1191" s="1194" t="str">
        <f t="shared" si="257"/>
        <v>.</v>
      </c>
      <c r="AV1191" s="1194" t="str">
        <f t="shared" si="248"/>
        <v>.</v>
      </c>
      <c r="AW1191" s="1194" t="str">
        <f t="shared" si="258"/>
        <v>.</v>
      </c>
      <c r="AX1191" s="1194">
        <f>IFERROR(VLOOKUP(B1191,'Share, Heavy Weapons to Ukraine'!B:Z,COLUMN('Share, Heavy Weapons to Ukraine'!C1201)-1,0),0)</f>
        <v>0</v>
      </c>
      <c r="AY1191" s="1194">
        <f>VLOOKUP('Bilateral Assistance, MAIN DATA'!B1191,'Country Summary (€)'!B:F,COLUMN('Country Summary (€)'!C1202)-1,FALSE)</f>
        <v>1</v>
      </c>
      <c r="AZ1191" s="1194" t="str">
        <f>IF(AND(AD1191=1,D1191="Military",H1191&lt;&gt;"Not given")=TRUE,IF(SUMIFS(P:P,A:A,A1191)&gt;0,ABS((SUMIFS(P:P,A:A,A1191)/VLOOKUP("USD",'Exchange Rates'!B:C,2,0)))/S1191,"."),".")</f>
        <v>.</v>
      </c>
      <c r="BA1191" s="1196" t="str">
        <f>IF(AND(AD1191=1,D1191="Military",H1191&lt;&gt;"Not given")=TRUE,IF(SUMIFS(P:P,A:A,A1191)&gt;0,IF((ABS((SUMIFS(P:P,A:A,A1191)/VLOOKUP("USD",'Exchange Rates'!B:C,2,0)))/S1191)&gt;1,(SUMIFS(P:P,A:A,A1191)-S1191)/S1191,(S1191-SUMIFS(P:P,A:A,A1191))/SUMIFS(P:P,A:A,A1191)),"."),".")</f>
        <v>.</v>
      </c>
    </row>
    <row r="1192" spans="1:53" ht="15.95" customHeight="1">
      <c r="A1192" s="1180" t="s">
        <v>3264</v>
      </c>
      <c r="B1192" s="1180" t="s">
        <v>3261</v>
      </c>
      <c r="C1192" s="1181">
        <v>44903</v>
      </c>
      <c r="D1192" s="1182" t="s">
        <v>360</v>
      </c>
      <c r="E1192" s="1182" t="s">
        <v>3265</v>
      </c>
      <c r="F1192" s="1183" t="s">
        <v>3266</v>
      </c>
      <c r="G1192" s="1184" t="s">
        <v>483</v>
      </c>
      <c r="H1192" s="1185">
        <v>4000000</v>
      </c>
      <c r="I1192" s="1180" t="s">
        <v>618</v>
      </c>
      <c r="J1192" s="1186" t="str">
        <f>VLOOKUP($I1192,'Price List, Weapons &amp; Items'!B:C,2,0)</f>
        <v>Military equipment</v>
      </c>
      <c r="K1192" s="1186" t="str">
        <f>IF(I1192=".",I1192,VLOOKUP($I1192,'Price List, Weapons &amp; Items'!B:D,3,0))</f>
        <v>Military equipment</v>
      </c>
      <c r="L1192" s="1187">
        <f>VLOOKUP(I1192,'Price List, Weapons &amp; Items'!B:E,4,0)</f>
        <v>0</v>
      </c>
      <c r="M1192" s="1188" t="s">
        <v>374</v>
      </c>
      <c r="N1192" s="1188" t="s">
        <v>374</v>
      </c>
      <c r="O1192" s="1188">
        <f>VLOOKUP($I1192,'Price List, Weapons &amp; Items'!B:G,6,0)</f>
        <v>59.234999999999999</v>
      </c>
      <c r="P1192" s="1185" t="str">
        <f t="shared" si="249"/>
        <v>.</v>
      </c>
      <c r="Q1192" s="1185" t="str">
        <f t="shared" si="250"/>
        <v>.</v>
      </c>
      <c r="R1192" s="1185" t="str">
        <f t="shared" si="246"/>
        <v/>
      </c>
      <c r="S1192" s="1185" t="str">
        <f>IF(AND(AD1192=1,R1192&lt;&gt;".")=TRUE,R1192/VLOOKUP(G1192,'Exchange Rates'!B:C,2,0),IF(R1192=".",".",""))</f>
        <v/>
      </c>
      <c r="T1192" s="1185" t="str">
        <f>IF(AD1192=1,IF(AF1192="Value is not given at all",".",IF(AF1192="Value is given by the source",S1192,IF(AF1192="Value is calculated with prices",(IF(SUMIFS(Q:Q,A:A,A1192)&gt;0,SUMIFS(Q:Q,A:A,A1192),"."))/VLOOKUP("USD",'Exchange Rates'!B:C,2,0),"Error with coding"))),"")</f>
        <v/>
      </c>
      <c r="U1192" s="1184" t="s">
        <v>365</v>
      </c>
      <c r="V1192" s="964" t="s">
        <v>3267</v>
      </c>
      <c r="W1192" s="971" t="s">
        <v>3268</v>
      </c>
      <c r="X1192" s="972" t="s">
        <v>3269</v>
      </c>
      <c r="Y1192" s="1190" t="s">
        <v>364</v>
      </c>
      <c r="Z1192" s="1184">
        <v>0</v>
      </c>
      <c r="AA1192" s="1194">
        <v>0</v>
      </c>
      <c r="AB1192" s="1201" t="s">
        <v>364</v>
      </c>
      <c r="AC1192" s="1192" t="str">
        <f>""</f>
        <v/>
      </c>
      <c r="AD1192" s="1193">
        <v>0</v>
      </c>
      <c r="AE1192" s="1193" t="s">
        <v>368</v>
      </c>
      <c r="AF1192" s="1193" t="s">
        <v>369</v>
      </c>
      <c r="AG1192" s="1193">
        <v>1</v>
      </c>
      <c r="AH1192" s="1193">
        <v>12</v>
      </c>
      <c r="AI1192" s="1193">
        <v>0</v>
      </c>
      <c r="AJ1192" s="1193">
        <f>VLOOKUP($I1192,'Price List, Weapons &amp; Items'!B:F,5,0)</f>
        <v>0</v>
      </c>
      <c r="AK1192" s="1193">
        <f t="shared" si="251"/>
        <v>0</v>
      </c>
      <c r="AL1192" s="1193">
        <f t="shared" si="252"/>
        <v>0</v>
      </c>
      <c r="AM1192" s="1193">
        <f t="shared" si="253"/>
        <v>0</v>
      </c>
      <c r="AN1192" s="1194" t="str">
        <f>VLOOKUP($I1192,'Price List, Weapons &amp; Items'!B:L,COLUMN('Price List, Weapons &amp; Items'!$J$11)-1,0)</f>
        <v>Government information</v>
      </c>
      <c r="AO1192" s="1194" t="str">
        <f>IF(I1192=".",".",VLOOKUP($I1192,'Price List, Weapons &amp; Items'!B:J,3,0))</f>
        <v>Military equipment</v>
      </c>
      <c r="AP1192" s="1195" t="str">
        <f t="shared" ca="1" si="247"/>
        <v/>
      </c>
      <c r="AQ1192" s="1194">
        <f>VLOOKUP($I1192,'Price List, Weapons &amp; Items'!B:L,COLUMN('Price List, Weapons &amp; Items'!$L$11)-1,0)</f>
        <v>2</v>
      </c>
      <c r="AR1192" s="1194">
        <f t="shared" si="254"/>
        <v>1</v>
      </c>
      <c r="AS1192" s="1194">
        <f t="shared" si="255"/>
        <v>0</v>
      </c>
      <c r="AT1192" s="1194">
        <f t="shared" si="256"/>
        <v>1</v>
      </c>
      <c r="AU1192" s="1194" t="str">
        <f t="shared" si="257"/>
        <v>.</v>
      </c>
      <c r="AV1192" s="1194" t="str">
        <f t="shared" si="248"/>
        <v>.</v>
      </c>
      <c r="AW1192" s="1194" t="str">
        <f t="shared" si="258"/>
        <v>.</v>
      </c>
      <c r="AX1192" s="1194">
        <f>IFERROR(VLOOKUP(B1192,'Share, Heavy Weapons to Ukraine'!B:Z,COLUMN('Share, Heavy Weapons to Ukraine'!C1202)-1,0),0)</f>
        <v>0</v>
      </c>
      <c r="AY1192" s="1194">
        <f>VLOOKUP('Bilateral Assistance, MAIN DATA'!B1192,'Country Summary (€)'!B:F,COLUMN('Country Summary (€)'!C1203)-1,FALSE)</f>
        <v>1</v>
      </c>
      <c r="AZ1192" s="1194" t="str">
        <f>IF(AND(AD1192=1,D1192="Military",H1192&lt;&gt;"Not given")=TRUE,IF(SUMIFS(P:P,A:A,A1192)&gt;0,ABS((SUMIFS(P:P,A:A,A1192)/VLOOKUP("USD",'Exchange Rates'!B:C,2,0)))/S1192,"."),".")</f>
        <v>.</v>
      </c>
      <c r="BA1192" s="1196" t="str">
        <f>IF(AND(AD1192=1,D1192="Military",H1192&lt;&gt;"Not given")=TRUE,IF(SUMIFS(P:P,A:A,A1192)&gt;0,IF((ABS((SUMIFS(P:P,A:A,A1192)/VLOOKUP("USD",'Exchange Rates'!B:C,2,0)))/S1192)&gt;1,(SUMIFS(P:P,A:A,A1192)-S1192)/S1192,(S1192-SUMIFS(P:P,A:A,A1192))/SUMIFS(P:P,A:A,A1192)),"."),".")</f>
        <v>.</v>
      </c>
    </row>
    <row r="1193" spans="1:53" ht="15.95" customHeight="1">
      <c r="A1193" s="1180" t="s">
        <v>3264</v>
      </c>
      <c r="B1193" s="1180" t="s">
        <v>3261</v>
      </c>
      <c r="C1193" s="1181">
        <v>44903</v>
      </c>
      <c r="D1193" s="1182" t="s">
        <v>360</v>
      </c>
      <c r="E1193" s="1182" t="s">
        <v>3265</v>
      </c>
      <c r="F1193" s="1183" t="s">
        <v>3266</v>
      </c>
      <c r="G1193" s="1184" t="s">
        <v>483</v>
      </c>
      <c r="H1193" s="1185">
        <v>4000000</v>
      </c>
      <c r="I1193" s="1180" t="s">
        <v>943</v>
      </c>
      <c r="J1193" s="1186" t="str">
        <f>VLOOKUP($I1193,'Price List, Weapons &amp; Items'!B:C,2,0)</f>
        <v>Humanitarian</v>
      </c>
      <c r="K1193" s="1186" t="str">
        <f>IF(I1193=".",I1193,VLOOKUP($I1193,'Price List, Weapons &amp; Items'!B:D,3,0))</f>
        <v>Humanitarian</v>
      </c>
      <c r="L1193" s="1187">
        <f>VLOOKUP(I1193,'Price List, Weapons &amp; Items'!B:E,4,0)</f>
        <v>0</v>
      </c>
      <c r="M1193" s="1188" t="s">
        <v>374</v>
      </c>
      <c r="N1193" s="1188" t="s">
        <v>374</v>
      </c>
      <c r="O1193" s="1188" t="str">
        <f>VLOOKUP($I1193,'Price List, Weapons &amp; Items'!B:G,6,0)</f>
        <v>.</v>
      </c>
      <c r="P1193" s="1185" t="str">
        <f t="shared" si="249"/>
        <v>.</v>
      </c>
      <c r="Q1193" s="1185" t="str">
        <f t="shared" si="250"/>
        <v>.</v>
      </c>
      <c r="R1193" s="1185" t="str">
        <f t="shared" si="246"/>
        <v/>
      </c>
      <c r="S1193" s="1185" t="str">
        <f>IF(AND(AD1193=1,R1193&lt;&gt;".")=TRUE,R1193/VLOOKUP(G1193,'Exchange Rates'!B:C,2,0),IF(R1193=".",".",""))</f>
        <v/>
      </c>
      <c r="T1193" s="1185" t="str">
        <f>IF(AD1193=1,IF(AF1193="Value is not given at all",".",IF(AF1193="Value is given by the source",S1193,IF(AF1193="Value is calculated with prices",(IF(SUMIFS(Q:Q,A:A,A1193)&gt;0,SUMIFS(Q:Q,A:A,A1193),"."))/VLOOKUP("USD",'Exchange Rates'!B:C,2,0),"Error with coding"))),"")</f>
        <v/>
      </c>
      <c r="U1193" s="1184" t="s">
        <v>365</v>
      </c>
      <c r="V1193" s="964" t="s">
        <v>3267</v>
      </c>
      <c r="W1193" s="971" t="s">
        <v>3268</v>
      </c>
      <c r="X1193" s="972" t="s">
        <v>3269</v>
      </c>
      <c r="Y1193" s="1190" t="s">
        <v>364</v>
      </c>
      <c r="Z1193" s="1184">
        <v>0</v>
      </c>
      <c r="AA1193" s="1194">
        <v>0</v>
      </c>
      <c r="AB1193" s="1201" t="s">
        <v>364</v>
      </c>
      <c r="AC1193" s="1192" t="str">
        <f>""</f>
        <v/>
      </c>
      <c r="AD1193" s="1193">
        <v>0</v>
      </c>
      <c r="AE1193" s="1193" t="s">
        <v>368</v>
      </c>
      <c r="AF1193" s="1193" t="s">
        <v>369</v>
      </c>
      <c r="AG1193" s="1193">
        <v>1</v>
      </c>
      <c r="AH1193" s="1193">
        <v>12</v>
      </c>
      <c r="AI1193" s="1193">
        <v>0</v>
      </c>
      <c r="AJ1193" s="1193">
        <f>VLOOKUP($I1193,'Price List, Weapons &amp; Items'!B:F,5,0)</f>
        <v>0</v>
      </c>
      <c r="AK1193" s="1193">
        <f t="shared" si="251"/>
        <v>0</v>
      </c>
      <c r="AL1193" s="1193">
        <f t="shared" si="252"/>
        <v>0</v>
      </c>
      <c r="AM1193" s="1193">
        <f t="shared" si="253"/>
        <v>0</v>
      </c>
      <c r="AN1193" s="1194" t="str">
        <f>VLOOKUP($I1193,'Price List, Weapons &amp; Items'!B:L,COLUMN('Price List, Weapons &amp; Items'!$J$11)-1,0)</f>
        <v>.</v>
      </c>
      <c r="AO1193" s="1194" t="str">
        <f>IF(I1193=".",".",VLOOKUP($I1193,'Price List, Weapons &amp; Items'!B:J,3,0))</f>
        <v>Humanitarian</v>
      </c>
      <c r="AP1193" s="1195" t="str">
        <f t="shared" ca="1" si="247"/>
        <v/>
      </c>
      <c r="AQ1193" s="1194">
        <f>VLOOKUP($I1193,'Price List, Weapons &amp; Items'!B:L,COLUMN('Price List, Weapons &amp; Items'!$L$11)-1,0)</f>
        <v>0</v>
      </c>
      <c r="AR1193" s="1194">
        <f t="shared" si="254"/>
        <v>1</v>
      </c>
      <c r="AS1193" s="1194">
        <f t="shared" si="255"/>
        <v>0</v>
      </c>
      <c r="AT1193" s="1194">
        <f t="shared" si="256"/>
        <v>1</v>
      </c>
      <c r="AU1193" s="1194" t="str">
        <f t="shared" si="257"/>
        <v>.</v>
      </c>
      <c r="AV1193" s="1194" t="str">
        <f t="shared" si="248"/>
        <v>.</v>
      </c>
      <c r="AW1193" s="1194" t="str">
        <f t="shared" si="258"/>
        <v>.</v>
      </c>
      <c r="AX1193" s="1194">
        <f>IFERROR(VLOOKUP(B1193,'Share, Heavy Weapons to Ukraine'!B:Z,COLUMN('Share, Heavy Weapons to Ukraine'!C1203)-1,0),0)</f>
        <v>0</v>
      </c>
      <c r="AY1193" s="1194">
        <f>VLOOKUP('Bilateral Assistance, MAIN DATA'!B1193,'Country Summary (€)'!B:F,COLUMN('Country Summary (€)'!C1204)-1,FALSE)</f>
        <v>1</v>
      </c>
      <c r="AZ1193" s="1194" t="str">
        <f>IF(AND(AD1193=1,D1193="Military",H1193&lt;&gt;"Not given")=TRUE,IF(SUMIFS(P:P,A:A,A1193)&gt;0,ABS((SUMIFS(P:P,A:A,A1193)/VLOOKUP("USD",'Exchange Rates'!B:C,2,0)))/S1193,"."),".")</f>
        <v>.</v>
      </c>
      <c r="BA1193" s="1196" t="str">
        <f>IF(AND(AD1193=1,D1193="Military",H1193&lt;&gt;"Not given")=TRUE,IF(SUMIFS(P:P,A:A,A1193)&gt;0,IF((ABS((SUMIFS(P:P,A:A,A1193)/VLOOKUP("USD",'Exchange Rates'!B:C,2,0)))/S1193)&gt;1,(SUMIFS(P:P,A:A,A1193)-S1193)/S1193,(S1193-SUMIFS(P:P,A:A,A1193))/SUMIFS(P:P,A:A,A1193)),"."),".")</f>
        <v>.</v>
      </c>
    </row>
    <row r="1194" spans="1:53" ht="15.95" customHeight="1">
      <c r="A1194" s="1180" t="s">
        <v>3264</v>
      </c>
      <c r="B1194" s="1180" t="s">
        <v>3261</v>
      </c>
      <c r="C1194" s="1181">
        <v>44903</v>
      </c>
      <c r="D1194" s="1182" t="s">
        <v>360</v>
      </c>
      <c r="E1194" s="1182" t="s">
        <v>3265</v>
      </c>
      <c r="F1194" s="1183" t="s">
        <v>3266</v>
      </c>
      <c r="G1194" s="1184" t="s">
        <v>483</v>
      </c>
      <c r="H1194" s="1185">
        <v>4000000</v>
      </c>
      <c r="I1194" s="1190" t="s">
        <v>3235</v>
      </c>
      <c r="J1194" s="1186" t="str">
        <f>VLOOKUP($I1194,'Price List, Weapons &amp; Items'!B:C,2,0)</f>
        <v>Humanitarian</v>
      </c>
      <c r="K1194" s="1186" t="str">
        <f>IF(I1194=".",I1194,VLOOKUP($I1194,'Price List, Weapons &amp; Items'!B:D,3,0))</f>
        <v>Humanitarian</v>
      </c>
      <c r="L1194" s="1187">
        <f>VLOOKUP(I1194,'Price List, Weapons &amp; Items'!B:E,4,0)</f>
        <v>0</v>
      </c>
      <c r="M1194" s="1188" t="s">
        <v>374</v>
      </c>
      <c r="N1194" s="1188" t="s">
        <v>374</v>
      </c>
      <c r="O1194" s="1188">
        <f>VLOOKUP($I1194,'Price List, Weapons &amp; Items'!B:G,6,0)</f>
        <v>22</v>
      </c>
      <c r="P1194" s="1185" t="str">
        <f t="shared" si="249"/>
        <v>.</v>
      </c>
      <c r="Q1194" s="1185" t="str">
        <f t="shared" si="250"/>
        <v>.</v>
      </c>
      <c r="R1194" s="1185" t="str">
        <f t="shared" si="246"/>
        <v/>
      </c>
      <c r="S1194" s="1185" t="str">
        <f>IF(AND(AD1194=1,R1194&lt;&gt;".")=TRUE,R1194/VLOOKUP(G1194,'Exchange Rates'!B:C,2,0),IF(R1194=".",".",""))</f>
        <v/>
      </c>
      <c r="T1194" s="1185" t="str">
        <f>IF(AD1194=1,IF(AF1194="Value is not given at all",".",IF(AF1194="Value is given by the source",S1194,IF(AF1194="Value is calculated with prices",(IF(SUMIFS(Q:Q,A:A,A1194)&gt;0,SUMIFS(Q:Q,A:A,A1194),"."))/VLOOKUP("USD",'Exchange Rates'!B:C,2,0),"Error with coding"))),"")</f>
        <v/>
      </c>
      <c r="U1194" s="1184" t="s">
        <v>365</v>
      </c>
      <c r="V1194" s="964" t="s">
        <v>3267</v>
      </c>
      <c r="W1194" s="971" t="s">
        <v>3268</v>
      </c>
      <c r="X1194" s="972" t="s">
        <v>3269</v>
      </c>
      <c r="Y1194" s="1190" t="s">
        <v>364</v>
      </c>
      <c r="Z1194" s="1184">
        <v>0</v>
      </c>
      <c r="AA1194" s="1194">
        <v>0</v>
      </c>
      <c r="AB1194" s="1201" t="s">
        <v>364</v>
      </c>
      <c r="AC1194" s="1192" t="str">
        <f>""</f>
        <v/>
      </c>
      <c r="AD1194" s="1193">
        <v>0</v>
      </c>
      <c r="AE1194" s="1193" t="s">
        <v>368</v>
      </c>
      <c r="AF1194" s="1193" t="s">
        <v>369</v>
      </c>
      <c r="AG1194" s="1193">
        <v>1</v>
      </c>
      <c r="AH1194" s="1193">
        <v>12</v>
      </c>
      <c r="AI1194" s="1193">
        <v>0</v>
      </c>
      <c r="AJ1194" s="1193">
        <f>VLOOKUP($I1194,'Price List, Weapons &amp; Items'!B:F,5,0)</f>
        <v>0</v>
      </c>
      <c r="AK1194" s="1193">
        <f t="shared" si="251"/>
        <v>0</v>
      </c>
      <c r="AL1194" s="1193">
        <f t="shared" si="252"/>
        <v>0</v>
      </c>
      <c r="AM1194" s="1193">
        <f t="shared" si="253"/>
        <v>0</v>
      </c>
      <c r="AN1194" s="1194" t="str">
        <f>VLOOKUP($I1194,'Price List, Weapons &amp; Items'!B:L,COLUMN('Price List, Weapons &amp; Items'!$J$11)-1,0)</f>
        <v>Online marketplaces and stores</v>
      </c>
      <c r="AO1194" s="1194" t="str">
        <f>IF(I1194=".",".",VLOOKUP($I1194,'Price List, Weapons &amp; Items'!B:J,3,0))</f>
        <v>Humanitarian</v>
      </c>
      <c r="AP1194" s="1195" t="str">
        <f t="shared" ca="1" si="247"/>
        <v/>
      </c>
      <c r="AQ1194" s="1194">
        <f>VLOOKUP($I1194,'Price List, Weapons &amp; Items'!B:L,COLUMN('Price List, Weapons &amp; Items'!$L$11)-1,0)</f>
        <v>0</v>
      </c>
      <c r="AR1194" s="1194">
        <f t="shared" si="254"/>
        <v>1</v>
      </c>
      <c r="AS1194" s="1194">
        <f t="shared" si="255"/>
        <v>0</v>
      </c>
      <c r="AT1194" s="1194">
        <f t="shared" si="256"/>
        <v>1</v>
      </c>
      <c r="AU1194" s="1194" t="str">
        <f t="shared" si="257"/>
        <v>.</v>
      </c>
      <c r="AV1194" s="1194" t="str">
        <f t="shared" si="248"/>
        <v>.</v>
      </c>
      <c r="AW1194" s="1194" t="str">
        <f t="shared" si="258"/>
        <v>.</v>
      </c>
      <c r="AX1194" s="1194">
        <f>IFERROR(VLOOKUP(B1194,'Share, Heavy Weapons to Ukraine'!B:Z,COLUMN('Share, Heavy Weapons to Ukraine'!C1204)-1,0),0)</f>
        <v>0</v>
      </c>
      <c r="AY1194" s="1194">
        <f>VLOOKUP('Bilateral Assistance, MAIN DATA'!B1194,'Country Summary (€)'!B:F,COLUMN('Country Summary (€)'!C1205)-1,FALSE)</f>
        <v>1</v>
      </c>
      <c r="AZ1194" s="1194" t="str">
        <f>IF(AND(AD1194=1,D1194="Military",H1194&lt;&gt;"Not given")=TRUE,IF(SUMIFS(P:P,A:A,A1194)&gt;0,ABS((SUMIFS(P:P,A:A,A1194)/VLOOKUP("USD",'Exchange Rates'!B:C,2,0)))/S1194,"."),".")</f>
        <v>.</v>
      </c>
      <c r="BA1194" s="1196" t="str">
        <f>IF(AND(AD1194=1,D1194="Military",H1194&lt;&gt;"Not given")=TRUE,IF(SUMIFS(P:P,A:A,A1194)&gt;0,IF((ABS((SUMIFS(P:P,A:A,A1194)/VLOOKUP("USD",'Exchange Rates'!B:C,2,0)))/S1194)&gt;1,(SUMIFS(P:P,A:A,A1194)-S1194)/S1194,(S1194-SUMIFS(P:P,A:A,A1194))/SUMIFS(P:P,A:A,A1194)),"."),".")</f>
        <v>.</v>
      </c>
    </row>
    <row r="1195" spans="1:53" ht="15.95" customHeight="1">
      <c r="A1195" s="1180" t="s">
        <v>3270</v>
      </c>
      <c r="B1195" s="1180" t="s">
        <v>3261</v>
      </c>
      <c r="C1195" s="1181">
        <v>44613</v>
      </c>
      <c r="D1195" s="1182" t="s">
        <v>389</v>
      </c>
      <c r="E1195" s="1182" t="s">
        <v>398</v>
      </c>
      <c r="F1195" s="1183" t="s">
        <v>3271</v>
      </c>
      <c r="G1195" s="1184" t="s">
        <v>483</v>
      </c>
      <c r="H1195" s="1185">
        <v>1700000</v>
      </c>
      <c r="I1195" s="1180" t="s">
        <v>3272</v>
      </c>
      <c r="J1195" s="1186" t="str">
        <f>VLOOKUP($I1195,'Price List, Weapons &amp; Items'!B:C,2,0)</f>
        <v>Military equipment</v>
      </c>
      <c r="K1195" s="1186" t="str">
        <f>IF(I1195=".",I1195,VLOOKUP($I1195,'Price List, Weapons &amp; Items'!B:D,3,0))</f>
        <v>Military equipment</v>
      </c>
      <c r="L1195" s="1187">
        <f>VLOOKUP(I1195,'Price List, Weapons &amp; Items'!B:E,4,0)</f>
        <v>0</v>
      </c>
      <c r="M1195" s="1188">
        <v>5</v>
      </c>
      <c r="N1195" s="1188" t="s">
        <v>374</v>
      </c>
      <c r="O1195" s="1188">
        <f>VLOOKUP($I1195,'Price List, Weapons &amp; Items'!B:G,6,0)</f>
        <v>365200</v>
      </c>
      <c r="P1195" s="1185">
        <f t="shared" si="249"/>
        <v>1826000</v>
      </c>
      <c r="Q1195" s="1185" t="str">
        <f t="shared" si="250"/>
        <v>.</v>
      </c>
      <c r="R1195" s="1185">
        <f t="shared" si="246"/>
        <v>1700000</v>
      </c>
      <c r="S1195" s="1185">
        <f>IF(AND(AD1195=1,R1195&lt;&gt;".")=TRUE,R1195/VLOOKUP(G1195,'Exchange Rates'!B:C,2,0),IF(R1195=".",".",""))</f>
        <v>1700000</v>
      </c>
      <c r="T1195" s="1185" t="str">
        <f>IF(AD1195=1,IF(AF1195="Value is not given at all",".",IF(AF1195="Value is given by the source",S1195,IF(AF1195="Value is calculated with prices",(IF(SUMIFS(Q:Q,A:A,A1195)&gt;0,SUMIFS(Q:Q,A:A,A1195),"."))/VLOOKUP("USD",'Exchange Rates'!B:C,2,0),"Error with coding"))),"")</f>
        <v>.</v>
      </c>
      <c r="U1195" s="1184" t="s">
        <v>365</v>
      </c>
      <c r="V1195" s="971" t="s">
        <v>3273</v>
      </c>
      <c r="W1195" s="971" t="s">
        <v>3274</v>
      </c>
      <c r="X1195" s="1190" t="s">
        <v>364</v>
      </c>
      <c r="Y1195" s="1190" t="s">
        <v>364</v>
      </c>
      <c r="Z1195" s="1184">
        <v>0</v>
      </c>
      <c r="AA1195" s="1194">
        <v>0</v>
      </c>
      <c r="AB1195" s="1201" t="s">
        <v>364</v>
      </c>
      <c r="AC1195" s="1192" t="str">
        <f>""</f>
        <v/>
      </c>
      <c r="AD1195" s="1193">
        <v>1</v>
      </c>
      <c r="AE1195" s="1193" t="s">
        <v>368</v>
      </c>
      <c r="AF1195" s="1193" t="s">
        <v>369</v>
      </c>
      <c r="AG1195" s="1193">
        <v>1</v>
      </c>
      <c r="AH1195" s="1193">
        <v>2</v>
      </c>
      <c r="AI1195" s="1193">
        <v>1</v>
      </c>
      <c r="AJ1195" s="1193">
        <f>VLOOKUP($I1195,'Price List, Weapons &amp; Items'!B:F,5,0)</f>
        <v>0</v>
      </c>
      <c r="AK1195" s="1193">
        <f t="shared" si="251"/>
        <v>0</v>
      </c>
      <c r="AL1195" s="1193">
        <f t="shared" si="252"/>
        <v>0</v>
      </c>
      <c r="AM1195" s="1193">
        <f t="shared" si="253"/>
        <v>0</v>
      </c>
      <c r="AN1195" s="1194" t="str">
        <f>VLOOKUP($I1195,'Price List, Weapons &amp; Items'!B:L,COLUMN('Price List, Weapons &amp; Items'!$J$11)-1,0)</f>
        <v>Media reports (incl. social media)</v>
      </c>
      <c r="AO1195" s="1194" t="str">
        <f>IF(I1195=".",".",VLOOKUP($I1195,'Price List, Weapons &amp; Items'!B:J,3,0))</f>
        <v>Military equipment</v>
      </c>
      <c r="AP1195" s="1195" t="str">
        <f t="shared" ca="1" si="247"/>
        <v>demining set</v>
      </c>
      <c r="AQ1195" s="1194">
        <f>VLOOKUP($I1195,'Price List, Weapons &amp; Items'!B:L,COLUMN('Price List, Weapons &amp; Items'!$L$11)-1,0)</f>
        <v>1</v>
      </c>
      <c r="AR1195" s="1194">
        <f t="shared" si="254"/>
        <v>1</v>
      </c>
      <c r="AS1195" s="1194">
        <f t="shared" si="255"/>
        <v>1</v>
      </c>
      <c r="AT1195" s="1194">
        <f t="shared" si="256"/>
        <v>1</v>
      </c>
      <c r="AU1195" s="1194" t="str">
        <f t="shared" si="257"/>
        <v>.</v>
      </c>
      <c r="AV1195" s="1194" t="str">
        <f t="shared" si="248"/>
        <v>.</v>
      </c>
      <c r="AW1195" s="1194" t="str">
        <f t="shared" si="258"/>
        <v>.</v>
      </c>
      <c r="AX1195" s="1194">
        <f>IFERROR(VLOOKUP(B1195,'Share, Heavy Weapons to Ukraine'!B:Z,COLUMN('Share, Heavy Weapons to Ukraine'!C1205)-1,0),0)</f>
        <v>0</v>
      </c>
      <c r="AY1195" s="1194">
        <f>VLOOKUP('Bilateral Assistance, MAIN DATA'!B1195,'Country Summary (€)'!B:F,COLUMN('Country Summary (€)'!C1206)-1,FALSE)</f>
        <v>1</v>
      </c>
      <c r="AZ1195" s="1194">
        <f>IF(AND(AD1195=1,D1195="Military",H1195&lt;&gt;"Not given")=TRUE,IF(SUMIFS(P:P,A:A,A1195)&gt;0,ABS((SUMIFS(P:P,A:A,A1195)/VLOOKUP("USD",'Exchange Rates'!B:C,2,0)))/S1195,"."),".")</f>
        <v>0.98833055489402233</v>
      </c>
      <c r="BA1195" s="1196">
        <f>IF(AND(AD1195=1,D1195="Military",H1195&lt;&gt;"Not given")=TRUE,IF(SUMIFS(P:P,A:A,A1195)&gt;0,IF((ABS((SUMIFS(P:P,A:A,A1195)/VLOOKUP("USD",'Exchange Rates'!B:C,2,0)))/S1195)&gt;1,(SUMIFS(P:P,A:A,A1195)-S1195)/S1195,(S1195-SUMIFS(P:P,A:A,A1195))/SUMIFS(P:P,A:A,A1195)),"."),".")</f>
        <v>-6.9003285870755757E-2</v>
      </c>
    </row>
    <row r="1196" spans="1:53" s="1264" customFormat="1" ht="15.95" customHeight="1">
      <c r="A1196" s="1182" t="s">
        <v>3275</v>
      </c>
      <c r="B1196" s="1182" t="s">
        <v>3261</v>
      </c>
      <c r="C1196" s="1181">
        <v>44619</v>
      </c>
      <c r="D1196" s="1182" t="s">
        <v>389</v>
      </c>
      <c r="E1196" s="1182" t="s">
        <v>390</v>
      </c>
      <c r="F1196" s="1183" t="s">
        <v>3276</v>
      </c>
      <c r="G1196" s="1184" t="s">
        <v>483</v>
      </c>
      <c r="H1196" s="1185">
        <v>4500000</v>
      </c>
      <c r="I1196" s="1180" t="s">
        <v>3277</v>
      </c>
      <c r="J1196" s="1186" t="str">
        <f>VLOOKUP($I1196,'Price List, Weapons &amp; Items'!B:C,2,0)</f>
        <v>Portable defence system</v>
      </c>
      <c r="K1196" s="1186" t="str">
        <f>IF(I1196=".",I1196,VLOOKUP($I1196,'Price List, Weapons &amp; Items'!B:D,3,0))</f>
        <v>Light Anti-armor Weapon (LAW)</v>
      </c>
      <c r="L1196" s="1187">
        <f>VLOOKUP(I1196,'Price List, Weapons &amp; Items'!B:E,4,0)</f>
        <v>0</v>
      </c>
      <c r="M1196" s="1188">
        <v>486</v>
      </c>
      <c r="N1196" s="1188">
        <v>486</v>
      </c>
      <c r="O1196" s="1188">
        <f>VLOOKUP($I1196,'Price List, Weapons &amp; Items'!B:G,6,0)</f>
        <v>78000</v>
      </c>
      <c r="P1196" s="1185">
        <f t="shared" si="249"/>
        <v>37908000</v>
      </c>
      <c r="Q1196" s="1185">
        <f t="shared" si="250"/>
        <v>37908000</v>
      </c>
      <c r="R1196" s="1185">
        <f t="shared" si="246"/>
        <v>4500000</v>
      </c>
      <c r="S1196" s="1185">
        <f>IF(AND(AD1196=1,R1196&lt;&gt;".")=TRUE,R1196/VLOOKUP(G1196,'Exchange Rates'!B:C,2,0),IF(R1196=".",".",""))</f>
        <v>4500000</v>
      </c>
      <c r="T1196" s="1185">
        <f>IF(AD1196=1,IF(AF1196="Value is not given at all",".",IF(AF1196="Value is given by the source",S1196,IF(AF1196="Value is calculated with prices",(IF(SUMIFS(Q:Q,A:A,A1196)&gt;0,SUMIFS(Q:Q,A:A,A1196),"."))/VLOOKUP("USD",'Exchange Rates'!B:C,2,0),"Error with coding"))),"")</f>
        <v>4500000</v>
      </c>
      <c r="U1196" s="1184" t="s">
        <v>365</v>
      </c>
      <c r="V1196" s="974" t="s">
        <v>3278</v>
      </c>
      <c r="W1196" s="974" t="s">
        <v>3279</v>
      </c>
      <c r="X1196" s="974" t="s">
        <v>3280</v>
      </c>
      <c r="Y1196" s="1183" t="s">
        <v>364</v>
      </c>
      <c r="Z1196" s="1184">
        <v>0</v>
      </c>
      <c r="AA1196" s="1194">
        <v>0</v>
      </c>
      <c r="AB1196" s="975" t="s">
        <v>3281</v>
      </c>
      <c r="AC1196" s="1192" t="str">
        <f>""</f>
        <v/>
      </c>
      <c r="AD1196" s="1193">
        <v>1</v>
      </c>
      <c r="AE1196" s="1193" t="s">
        <v>368</v>
      </c>
      <c r="AF1196" s="1193" t="s">
        <v>368</v>
      </c>
      <c r="AG1196" s="1193">
        <v>1</v>
      </c>
      <c r="AH1196" s="1193">
        <v>2</v>
      </c>
      <c r="AI1196" s="1193">
        <v>0</v>
      </c>
      <c r="AJ1196" s="1193">
        <f>VLOOKUP($I1196,'Price List, Weapons &amp; Items'!B:F,5,0)</f>
        <v>0</v>
      </c>
      <c r="AK1196" s="1193">
        <f t="shared" si="251"/>
        <v>0</v>
      </c>
      <c r="AL1196" s="1193">
        <f t="shared" si="252"/>
        <v>0</v>
      </c>
      <c r="AM1196" s="1193">
        <f t="shared" si="253"/>
        <v>0</v>
      </c>
      <c r="AN1196" s="1194" t="str">
        <f>VLOOKUP($I1196,'Price List, Weapons &amp; Items'!B:L,COLUMN('Price List, Weapons &amp; Items'!$J$11)-1,0)</f>
        <v>Military media (incl. websites)</v>
      </c>
      <c r="AO1196" s="1194" t="str">
        <f>IF(I1196=".",".",VLOOKUP($I1196,'Price List, Weapons &amp; Items'!B:J,3,0))</f>
        <v>Light Anti-armor Weapon (LAW)</v>
      </c>
      <c r="AP1196" s="1195" t="str">
        <f t="shared" ca="1" si="247"/>
        <v>anti-tank missile and anti-tank rocket</v>
      </c>
      <c r="AQ1196" s="1194">
        <f>VLOOKUP($I1196,'Price List, Weapons &amp; Items'!B:L,COLUMN('Price List, Weapons &amp; Items'!$L$11)-1,0)</f>
        <v>2</v>
      </c>
      <c r="AR1196" s="1194">
        <f t="shared" si="254"/>
        <v>1</v>
      </c>
      <c r="AS1196" s="1194">
        <f t="shared" si="255"/>
        <v>1</v>
      </c>
      <c r="AT1196" s="1194">
        <f t="shared" si="256"/>
        <v>1</v>
      </c>
      <c r="AU1196" s="1194" t="str">
        <f t="shared" si="257"/>
        <v>.</v>
      </c>
      <c r="AV1196" s="1194" t="str">
        <f t="shared" si="248"/>
        <v>.</v>
      </c>
      <c r="AW1196" s="1194" t="str">
        <f t="shared" si="258"/>
        <v>.</v>
      </c>
      <c r="AX1196" s="1194">
        <f>IFERROR(VLOOKUP(B1196,'Share, Heavy Weapons to Ukraine'!B:Z,COLUMN('Share, Heavy Weapons to Ukraine'!C1206)-1,0),0)</f>
        <v>0</v>
      </c>
      <c r="AY1196" s="1194">
        <f>VLOOKUP('Bilateral Assistance, MAIN DATA'!B1196,'Country Summary (€)'!B:F,COLUMN('Country Summary (€)'!C1207)-1,FALSE)</f>
        <v>1</v>
      </c>
      <c r="AZ1196" s="1194">
        <f>IF(AND(AD1196=1,D1196="Military",H1196&lt;&gt;"Not given")=TRUE,IF(SUMIFS(P:P,A:A,A1196)&gt;0,ABS((SUMIFS(P:P,A:A,A1196)/VLOOKUP("USD",'Exchange Rates'!B:C,2,0)))/S1196,"."),".")</f>
        <v>10.184435447593343</v>
      </c>
      <c r="BA1196" s="1196">
        <f>IF(AND(AD1196=1,D1196="Military",H1196&lt;&gt;"Not given")=TRUE,IF(SUMIFS(P:P,A:A,A1196)&gt;0,IF((ABS((SUMIFS(P:P,A:A,A1196)/VLOOKUP("USD",'Exchange Rates'!B:C,2,0)))/S1196)&gt;1,(SUMIFS(P:P,A:A,A1196)-S1196)/S1196,(S1196-SUMIFS(P:P,A:A,A1196))/SUMIFS(P:P,A:A,A1196)),"."),".")</f>
        <v>10.068444444444445</v>
      </c>
    </row>
    <row r="1197" spans="1:53" s="1264" customFormat="1" ht="15.95" customHeight="1">
      <c r="A1197" s="1182" t="s">
        <v>3275</v>
      </c>
      <c r="B1197" s="1182" t="s">
        <v>3261</v>
      </c>
      <c r="C1197" s="1181">
        <v>44619</v>
      </c>
      <c r="D1197" s="1182" t="s">
        <v>389</v>
      </c>
      <c r="E1197" s="1182" t="s">
        <v>390</v>
      </c>
      <c r="F1197" s="1183" t="s">
        <v>3276</v>
      </c>
      <c r="G1197" s="1184" t="s">
        <v>483</v>
      </c>
      <c r="H1197" s="1185">
        <v>4500000</v>
      </c>
      <c r="I1197" s="1180" t="s">
        <v>3282</v>
      </c>
      <c r="J1197" s="1186" t="str">
        <f>VLOOKUP($I1197,'Price List, Weapons &amp; Items'!B:C,2,0)</f>
        <v>Portable defence system</v>
      </c>
      <c r="K1197" s="1186" t="str">
        <f>IF(I1197=".",I1197,VLOOKUP($I1197,'Price List, Weapons &amp; Items'!B:D,3,0))</f>
        <v xml:space="preserve">MANPADS </v>
      </c>
      <c r="L1197" s="1187">
        <f>VLOOKUP(I1197,'Price List, Weapons &amp; Items'!B:E,4,0)</f>
        <v>0</v>
      </c>
      <c r="M1197" s="1188">
        <v>100</v>
      </c>
      <c r="N1197" s="1188">
        <v>100</v>
      </c>
      <c r="O1197" s="1188">
        <f>VLOOKUP($I1197,'Price List, Weapons &amp; Items'!B:G,6,0)</f>
        <v>119000</v>
      </c>
      <c r="P1197" s="1185">
        <f t="shared" si="249"/>
        <v>11900000</v>
      </c>
      <c r="Q1197" s="1185">
        <f t="shared" si="250"/>
        <v>11900000</v>
      </c>
      <c r="R1197" s="1185" t="str">
        <f t="shared" si="246"/>
        <v/>
      </c>
      <c r="S1197" s="1185" t="str">
        <f>IF(AND(AD1197=1,R1197&lt;&gt;".")=TRUE,R1197/VLOOKUP(G1197,'Exchange Rates'!B:C,2,0),IF(R1197=".",".",""))</f>
        <v/>
      </c>
      <c r="T1197" s="1185" t="str">
        <f>IF(AD1197=1,IF(AF1197="Value is not given at all",".",IF(AF1197="Value is given by the source",S1197,IF(AF1197="Value is calculated with prices",(IF(SUMIFS(Q:Q,A:A,A1197)&gt;0,SUMIFS(Q:Q,A:A,A1197),"."))/VLOOKUP("USD",'Exchange Rates'!B:C,2,0),"Error with coding"))),"")</f>
        <v/>
      </c>
      <c r="U1197" s="1184" t="s">
        <v>365</v>
      </c>
      <c r="V1197" s="974" t="s">
        <v>3278</v>
      </c>
      <c r="W1197" s="974" t="s">
        <v>3279</v>
      </c>
      <c r="X1197" s="974" t="s">
        <v>3280</v>
      </c>
      <c r="Y1197" s="1183" t="s">
        <v>364</v>
      </c>
      <c r="Z1197" s="1184">
        <v>0</v>
      </c>
      <c r="AA1197" s="1194">
        <v>0</v>
      </c>
      <c r="AB1197" s="975" t="s">
        <v>3281</v>
      </c>
      <c r="AC1197" s="1192" t="str">
        <f>""</f>
        <v/>
      </c>
      <c r="AD1197" s="1193">
        <v>0</v>
      </c>
      <c r="AE1197" s="1193" t="s">
        <v>368</v>
      </c>
      <c r="AF1197" s="1193" t="s">
        <v>368</v>
      </c>
      <c r="AG1197" s="1193">
        <v>1</v>
      </c>
      <c r="AH1197" s="1193">
        <v>2</v>
      </c>
      <c r="AI1197" s="1193">
        <v>0</v>
      </c>
      <c r="AJ1197" s="1193">
        <f>VLOOKUP($I1197,'Price List, Weapons &amp; Items'!B:F,5,0)</f>
        <v>0</v>
      </c>
      <c r="AK1197" s="1193">
        <f t="shared" si="251"/>
        <v>0</v>
      </c>
      <c r="AL1197" s="1193">
        <f t="shared" si="252"/>
        <v>0</v>
      </c>
      <c r="AM1197" s="1193">
        <f t="shared" si="253"/>
        <v>0</v>
      </c>
      <c r="AN1197" s="1194" t="str">
        <f>VLOOKUP($I1197,'Price List, Weapons &amp; Items'!B:L,COLUMN('Price List, Weapons &amp; Items'!$J$11)-1,0)</f>
        <v>Miscellaneous</v>
      </c>
      <c r="AO1197" s="1194" t="str">
        <f>IF(I1197=".",".",VLOOKUP($I1197,'Price List, Weapons &amp; Items'!B:J,3,0))</f>
        <v xml:space="preserve">MANPADS </v>
      </c>
      <c r="AP1197" s="1195" t="str">
        <f t="shared" ca="1" si="247"/>
        <v/>
      </c>
      <c r="AQ1197" s="1194">
        <f>VLOOKUP($I1197,'Price List, Weapons &amp; Items'!B:L,COLUMN('Price List, Weapons &amp; Items'!$L$11)-1,0)</f>
        <v>2</v>
      </c>
      <c r="AR1197" s="1194">
        <f t="shared" si="254"/>
        <v>1</v>
      </c>
      <c r="AS1197" s="1194">
        <f t="shared" si="255"/>
        <v>1</v>
      </c>
      <c r="AT1197" s="1194">
        <f t="shared" si="256"/>
        <v>1</v>
      </c>
      <c r="AU1197" s="1194" t="str">
        <f t="shared" si="257"/>
        <v>.</v>
      </c>
      <c r="AV1197" s="1194" t="str">
        <f t="shared" si="248"/>
        <v>.</v>
      </c>
      <c r="AW1197" s="1194" t="str">
        <f t="shared" si="258"/>
        <v>.</v>
      </c>
      <c r="AX1197" s="1194">
        <f>IFERROR(VLOOKUP(B1197,'Share, Heavy Weapons to Ukraine'!B:Z,COLUMN('Share, Heavy Weapons to Ukraine'!C1207)-1,0),0)</f>
        <v>0</v>
      </c>
      <c r="AY1197" s="1194">
        <f>VLOOKUP('Bilateral Assistance, MAIN DATA'!B1197,'Country Summary (€)'!B:F,COLUMN('Country Summary (€)'!C1208)-1,FALSE)</f>
        <v>1</v>
      </c>
      <c r="AZ1197" s="1194" t="str">
        <f>IF(AND(AD1197=1,D1197="Military",H1197&lt;&gt;"Not given")=TRUE,IF(SUMIFS(P:P,A:A,A1197)&gt;0,ABS((SUMIFS(P:P,A:A,A1197)/VLOOKUP("USD",'Exchange Rates'!B:C,2,0)))/S1197,"."),".")</f>
        <v>.</v>
      </c>
      <c r="BA1197" s="1196" t="str">
        <f>IF(AND(AD1197=1,D1197="Military",H1197&lt;&gt;"Not given")=TRUE,IF(SUMIFS(P:P,A:A,A1197)&gt;0,IF((ABS((SUMIFS(P:P,A:A,A1197)/VLOOKUP("USD",'Exchange Rates'!B:C,2,0)))/S1197)&gt;1,(SUMIFS(P:P,A:A,A1197)-S1197)/S1197,(S1197-SUMIFS(P:P,A:A,A1197))/SUMIFS(P:P,A:A,A1197)),"."),".")</f>
        <v>.</v>
      </c>
    </row>
    <row r="1198" spans="1:53" ht="15.95" customHeight="1">
      <c r="A1198" s="1180" t="s">
        <v>3283</v>
      </c>
      <c r="B1198" s="1180" t="s">
        <v>3261</v>
      </c>
      <c r="C1198" s="1181">
        <v>44618</v>
      </c>
      <c r="D1198" s="1182" t="s">
        <v>389</v>
      </c>
      <c r="E1198" s="1182" t="s">
        <v>398</v>
      </c>
      <c r="F1198" s="1183" t="s">
        <v>3284</v>
      </c>
      <c r="G1198" s="1184" t="s">
        <v>483</v>
      </c>
      <c r="H1198" s="1185">
        <v>11000000</v>
      </c>
      <c r="I1198" s="1180" t="s">
        <v>364</v>
      </c>
      <c r="J1198" s="1186" t="str">
        <f>VLOOKUP($I1198,'Price List, Weapons &amp; Items'!B:C,2,0)</f>
        <v>.</v>
      </c>
      <c r="K1198" s="1186" t="str">
        <f>IF(I1198=".",I1198,VLOOKUP($I1198,'Price List, Weapons &amp; Items'!B:D,3,0))</f>
        <v>.</v>
      </c>
      <c r="L1198" s="1187">
        <f>VLOOKUP(I1198,'Price List, Weapons &amp; Items'!B:E,4,0)</f>
        <v>0</v>
      </c>
      <c r="M1198" s="1188" t="s">
        <v>364</v>
      </c>
      <c r="N1198" s="1188" t="s">
        <v>364</v>
      </c>
      <c r="O1198" s="1188" t="str">
        <f>VLOOKUP($I1198,'Price List, Weapons &amp; Items'!B:G,6,0)</f>
        <v>.</v>
      </c>
      <c r="P1198" s="1185" t="str">
        <f t="shared" si="249"/>
        <v>.</v>
      </c>
      <c r="Q1198" s="1185" t="str">
        <f t="shared" si="250"/>
        <v>.</v>
      </c>
      <c r="R1198" s="1185">
        <f t="shared" si="246"/>
        <v>11000000</v>
      </c>
      <c r="S1198" s="1185">
        <f>IF(AND(AD1198=1,R1198&lt;&gt;".")=TRUE,R1198/VLOOKUP(G1198,'Exchange Rates'!B:C,2,0),IF(R1198=".",".",""))</f>
        <v>11000000</v>
      </c>
      <c r="T1198" s="1185" t="str">
        <f>IF(AD1198=1,IF(AF1198="Value is not given at all",".",IF(AF1198="Value is given by the source",S1198,IF(AF1198="Value is calculated with prices",(IF(SUMIFS(Q:Q,A:A,A1198)&gt;0,SUMIFS(Q:Q,A:A,A1198),"."))/VLOOKUP("USD",'Exchange Rates'!B:C,2,0),"Error with coding"))),"")</f>
        <v>.</v>
      </c>
      <c r="U1198" s="1184" t="s">
        <v>365</v>
      </c>
      <c r="V1198" s="971" t="s">
        <v>3285</v>
      </c>
      <c r="W1198" s="1190" t="s">
        <v>364</v>
      </c>
      <c r="X1198" s="1190" t="s">
        <v>364</v>
      </c>
      <c r="Y1198" s="1190" t="s">
        <v>364</v>
      </c>
      <c r="Z1198" s="1184">
        <v>0</v>
      </c>
      <c r="AA1198" s="1194">
        <v>0</v>
      </c>
      <c r="AB1198" s="1201" t="s">
        <v>364</v>
      </c>
      <c r="AC1198" s="1192" t="str">
        <f>""</f>
        <v/>
      </c>
      <c r="AD1198" s="1193">
        <v>1</v>
      </c>
      <c r="AE1198" s="1193" t="s">
        <v>368</v>
      </c>
      <c r="AF1198" s="1193" t="s">
        <v>369</v>
      </c>
      <c r="AG1198" s="1193">
        <v>1</v>
      </c>
      <c r="AH1198" s="1193">
        <v>2</v>
      </c>
      <c r="AI1198" s="1193">
        <v>0</v>
      </c>
      <c r="AJ1198" s="1193">
        <f>VLOOKUP($I1198,'Price List, Weapons &amp; Items'!B:F,5,0)</f>
        <v>0</v>
      </c>
      <c r="AK1198" s="1193">
        <f t="shared" si="251"/>
        <v>0</v>
      </c>
      <c r="AL1198" s="1193">
        <f t="shared" si="252"/>
        <v>0</v>
      </c>
      <c r="AM1198" s="1193">
        <f t="shared" si="253"/>
        <v>0</v>
      </c>
      <c r="AN1198" s="1194" t="str">
        <f>VLOOKUP($I1198,'Price List, Weapons &amp; Items'!B:L,COLUMN('Price List, Weapons &amp; Items'!$J$11)-1,0)</f>
        <v>.</v>
      </c>
      <c r="AO1198" s="1194" t="str">
        <f>IF(I1198=".",".",VLOOKUP($I1198,'Price List, Weapons &amp; Items'!B:J,3,0))</f>
        <v>.</v>
      </c>
      <c r="AP1198" s="1195" t="str">
        <f t="shared" ca="1" si="247"/>
        <v>.</v>
      </c>
      <c r="AQ1198" s="1194">
        <f>VLOOKUP($I1198,'Price List, Weapons &amp; Items'!B:L,COLUMN('Price List, Weapons &amp; Items'!$L$11)-1,0)</f>
        <v>0</v>
      </c>
      <c r="AR1198" s="1194">
        <f t="shared" si="254"/>
        <v>1</v>
      </c>
      <c r="AS1198" s="1194">
        <f t="shared" si="255"/>
        <v>1</v>
      </c>
      <c r="AT1198" s="1194">
        <f t="shared" si="256"/>
        <v>1</v>
      </c>
      <c r="AU1198" s="1194" t="str">
        <f t="shared" si="257"/>
        <v>.</v>
      </c>
      <c r="AV1198" s="1194" t="str">
        <f t="shared" si="248"/>
        <v>.</v>
      </c>
      <c r="AW1198" s="1194" t="str">
        <f t="shared" si="258"/>
        <v>.</v>
      </c>
      <c r="AX1198" s="1194">
        <f>IFERROR(VLOOKUP(B1198,'Share, Heavy Weapons to Ukraine'!B:Z,COLUMN('Share, Heavy Weapons to Ukraine'!C1208)-1,0),0)</f>
        <v>0</v>
      </c>
      <c r="AY1198" s="1194">
        <f>VLOOKUP('Bilateral Assistance, MAIN DATA'!B1198,'Country Summary (€)'!B:F,COLUMN('Country Summary (€)'!C1209)-1,FALSE)</f>
        <v>1</v>
      </c>
      <c r="AZ1198" s="1194" t="str">
        <f>IF(AND(AD1198=1,D1198="Military",H1198&lt;&gt;"Not given")=TRUE,IF(SUMIFS(P:P,A:A,A1198)&gt;0,ABS((SUMIFS(P:P,A:A,A1198)/VLOOKUP("USD",'Exchange Rates'!B:C,2,0)))/S1198,"."),".")</f>
        <v>.</v>
      </c>
      <c r="BA1198" s="1196" t="str">
        <f>IF(AND(AD1198=1,D1198="Military",H1198&lt;&gt;"Not given")=TRUE,IF(SUMIFS(P:P,A:A,A1198)&gt;0,IF((ABS((SUMIFS(P:P,A:A,A1198)/VLOOKUP("USD",'Exchange Rates'!B:C,2,0)))/S1198)&gt;1,(SUMIFS(P:P,A:A,A1198)-S1198)/S1198,(S1198-SUMIFS(P:P,A:A,A1198))/SUMIFS(P:P,A:A,A1198)),"."),".")</f>
        <v>.</v>
      </c>
    </row>
    <row r="1199" spans="1:53" ht="15.95" customHeight="1">
      <c r="A1199" s="1180" t="s">
        <v>3286</v>
      </c>
      <c r="B1199" s="1180" t="s">
        <v>3261</v>
      </c>
      <c r="C1199" s="1181">
        <v>44623</v>
      </c>
      <c r="D1199" s="1182" t="s">
        <v>389</v>
      </c>
      <c r="E1199" s="1182" t="s">
        <v>390</v>
      </c>
      <c r="F1199" s="1183" t="s">
        <v>3287</v>
      </c>
      <c r="G1199" s="1184" t="s">
        <v>483</v>
      </c>
      <c r="H1199" s="1185">
        <v>32200000</v>
      </c>
      <c r="I1199" s="1180" t="s">
        <v>364</v>
      </c>
      <c r="J1199" s="1186" t="str">
        <f>VLOOKUP($I1199,'Price List, Weapons &amp; Items'!B:C,2,0)</f>
        <v>.</v>
      </c>
      <c r="K1199" s="1186" t="str">
        <f>IF(I1199=".",I1199,VLOOKUP($I1199,'Price List, Weapons &amp; Items'!B:D,3,0))</f>
        <v>.</v>
      </c>
      <c r="L1199" s="1187">
        <f>VLOOKUP(I1199,'Price List, Weapons &amp; Items'!B:E,4,0)</f>
        <v>0</v>
      </c>
      <c r="M1199" s="1188" t="s">
        <v>364</v>
      </c>
      <c r="N1199" s="1188" t="s">
        <v>364</v>
      </c>
      <c r="O1199" s="1188" t="str">
        <f>VLOOKUP($I1199,'Price List, Weapons &amp; Items'!B:G,6,0)</f>
        <v>.</v>
      </c>
      <c r="P1199" s="1185" t="str">
        <f t="shared" si="249"/>
        <v>.</v>
      </c>
      <c r="Q1199" s="1185" t="str">
        <f t="shared" si="250"/>
        <v>.</v>
      </c>
      <c r="R1199" s="1185">
        <f t="shared" si="246"/>
        <v>32200000</v>
      </c>
      <c r="S1199" s="1185">
        <f>IF(AND(AD1199=1,R1199&lt;&gt;".")=TRUE,R1199/VLOOKUP(G1199,'Exchange Rates'!B:C,2,0),IF(R1199=".",".",""))</f>
        <v>32200000</v>
      </c>
      <c r="T1199" s="1185" t="str">
        <f>IF(AD1199=1,IF(AF1199="Value is not given at all",".",IF(AF1199="Value is given by the source",S1199,IF(AF1199="Value is calculated with prices",(IF(SUMIFS(Q:Q,A:A,A1199)&gt;0,SUMIFS(Q:Q,A:A,A1199),"."))/VLOOKUP("USD",'Exchange Rates'!B:C,2,0),"Error with coding"))),"")</f>
        <v>.</v>
      </c>
      <c r="U1199" s="1184" t="s">
        <v>365</v>
      </c>
      <c r="V1199" s="971" t="s">
        <v>3288</v>
      </c>
      <c r="W1199" s="971" t="s">
        <v>3289</v>
      </c>
      <c r="X1199" s="1190" t="s">
        <v>364</v>
      </c>
      <c r="Y1199" s="1190" t="s">
        <v>364</v>
      </c>
      <c r="Z1199" s="1184">
        <v>0</v>
      </c>
      <c r="AA1199" s="1194">
        <v>0</v>
      </c>
      <c r="AB1199" s="1201" t="s">
        <v>364</v>
      </c>
      <c r="AC1199" s="1192" t="str">
        <f>""</f>
        <v/>
      </c>
      <c r="AD1199" s="1193">
        <v>1</v>
      </c>
      <c r="AE1199" s="1193" t="s">
        <v>368</v>
      </c>
      <c r="AF1199" s="1193" t="s">
        <v>369</v>
      </c>
      <c r="AG1199" s="1193">
        <v>1</v>
      </c>
      <c r="AH1199" s="1193">
        <v>3</v>
      </c>
      <c r="AI1199" s="1193">
        <v>0</v>
      </c>
      <c r="AJ1199" s="1193">
        <f>VLOOKUP($I1199,'Price List, Weapons &amp; Items'!B:F,5,0)</f>
        <v>0</v>
      </c>
      <c r="AK1199" s="1193">
        <f t="shared" si="251"/>
        <v>0</v>
      </c>
      <c r="AL1199" s="1193">
        <f t="shared" si="252"/>
        <v>0</v>
      </c>
      <c r="AM1199" s="1193">
        <f t="shared" si="253"/>
        <v>0</v>
      </c>
      <c r="AN1199" s="1194" t="str">
        <f>VLOOKUP($I1199,'Price List, Weapons &amp; Items'!B:L,COLUMN('Price List, Weapons &amp; Items'!$J$11)-1,0)</f>
        <v>.</v>
      </c>
      <c r="AO1199" s="1194" t="str">
        <f>IF(I1199=".",".",VLOOKUP($I1199,'Price List, Weapons &amp; Items'!B:J,3,0))</f>
        <v>.</v>
      </c>
      <c r="AP1199" s="1195" t="str">
        <f t="shared" ca="1" si="247"/>
        <v>.</v>
      </c>
      <c r="AQ1199" s="1194">
        <f>VLOOKUP($I1199,'Price List, Weapons &amp; Items'!B:L,COLUMN('Price List, Weapons &amp; Items'!$L$11)-1,0)</f>
        <v>0</v>
      </c>
      <c r="AR1199" s="1194">
        <f t="shared" si="254"/>
        <v>1</v>
      </c>
      <c r="AS1199" s="1194">
        <f t="shared" si="255"/>
        <v>1</v>
      </c>
      <c r="AT1199" s="1194">
        <f t="shared" si="256"/>
        <v>1</v>
      </c>
      <c r="AU1199" s="1194" t="str">
        <f t="shared" si="257"/>
        <v>.</v>
      </c>
      <c r="AV1199" s="1194" t="str">
        <f t="shared" si="248"/>
        <v>.</v>
      </c>
      <c r="AW1199" s="1194" t="str">
        <f t="shared" si="258"/>
        <v>.</v>
      </c>
      <c r="AX1199" s="1194">
        <f>IFERROR(VLOOKUP(B1199,'Share, Heavy Weapons to Ukraine'!B:Z,COLUMN('Share, Heavy Weapons to Ukraine'!C1209)-1,0),0)</f>
        <v>0</v>
      </c>
      <c r="AY1199" s="1194">
        <f>VLOOKUP('Bilateral Assistance, MAIN DATA'!B1199,'Country Summary (€)'!B:F,COLUMN('Country Summary (€)'!C1210)-1,FALSE)</f>
        <v>1</v>
      </c>
      <c r="AZ1199" s="1194" t="str">
        <f>IF(AND(AD1199=1,D1199="Military",H1199&lt;&gt;"Not given")=TRUE,IF(SUMIFS(P:P,A:A,A1199)&gt;0,ABS((SUMIFS(P:P,A:A,A1199)/VLOOKUP("USD",'Exchange Rates'!B:C,2,0)))/S1199,"."),".")</f>
        <v>.</v>
      </c>
      <c r="BA1199" s="1196" t="str">
        <f>IF(AND(AD1199=1,D1199="Military",H1199&lt;&gt;"Not given")=TRUE,IF(SUMIFS(P:P,A:A,A1199)&gt;0,IF((ABS((SUMIFS(P:P,A:A,A1199)/VLOOKUP("USD",'Exchange Rates'!B:C,2,0)))/S1199)&gt;1,(SUMIFS(P:P,A:A,A1199)-S1199)/S1199,(S1199-SUMIFS(P:P,A:A,A1199))/SUMIFS(P:P,A:A,A1199)),"."),".")</f>
        <v>.</v>
      </c>
    </row>
    <row r="1200" spans="1:53" ht="15.95" customHeight="1">
      <c r="A1200" s="1180" t="s">
        <v>3290</v>
      </c>
      <c r="B1200" s="1180" t="s">
        <v>3261</v>
      </c>
      <c r="C1200" s="1181">
        <v>44652</v>
      </c>
      <c r="D1200" s="1182" t="s">
        <v>389</v>
      </c>
      <c r="E1200" s="1182" t="s">
        <v>361</v>
      </c>
      <c r="F1200" s="1183" t="s">
        <v>3291</v>
      </c>
      <c r="G1200" s="1184" t="s">
        <v>364</v>
      </c>
      <c r="H1200" s="1185" t="s">
        <v>457</v>
      </c>
      <c r="I1200" s="1180" t="s">
        <v>364</v>
      </c>
      <c r="J1200" s="1186" t="str">
        <f>VLOOKUP($I1200,'Price List, Weapons &amp; Items'!B:C,2,0)</f>
        <v>.</v>
      </c>
      <c r="K1200" s="1186" t="str">
        <f>IF(I1200=".",I1200,VLOOKUP($I1200,'Price List, Weapons &amp; Items'!B:D,3,0))</f>
        <v>.</v>
      </c>
      <c r="L1200" s="1187">
        <f>VLOOKUP(I1200,'Price List, Weapons &amp; Items'!B:E,4,0)</f>
        <v>0</v>
      </c>
      <c r="M1200" s="1188" t="s">
        <v>364</v>
      </c>
      <c r="N1200" s="1188" t="s">
        <v>364</v>
      </c>
      <c r="O1200" s="1188" t="str">
        <f>VLOOKUP($I1200,'Price List, Weapons &amp; Items'!B:G,6,0)</f>
        <v>.</v>
      </c>
      <c r="P1200" s="1185" t="str">
        <f t="shared" si="249"/>
        <v>.</v>
      </c>
      <c r="Q1200" s="1185" t="str">
        <f t="shared" si="250"/>
        <v>.</v>
      </c>
      <c r="R1200" s="1185" t="str">
        <f t="shared" si="246"/>
        <v>.</v>
      </c>
      <c r="S1200" s="1185" t="str">
        <f>IF(AND(AD1200=1,R1200&lt;&gt;".")=TRUE,R1200/VLOOKUP(G1200,'Exchange Rates'!B:C,2,0),IF(R1200=".",".",""))</f>
        <v>.</v>
      </c>
      <c r="T1200" s="1185" t="str">
        <f>IF(AD1200=1,IF(AF1200="Value is not given at all",".",IF(AF1200="Value is given by the source",S1200,IF(AF1200="Value is calculated with prices",(IF(SUMIFS(Q:Q,A:A,A1200)&gt;0,SUMIFS(Q:Q,A:A,A1200),"."))/VLOOKUP("USD",'Exchange Rates'!B:C,2,0),"Error with coding"))),"")</f>
        <v>.</v>
      </c>
      <c r="U1200" s="1184" t="s">
        <v>675</v>
      </c>
      <c r="V1200" s="971" t="s">
        <v>3292</v>
      </c>
      <c r="W1200" s="980" t="s">
        <v>3293</v>
      </c>
      <c r="X1200" s="980" t="s">
        <v>3294</v>
      </c>
      <c r="Y1200" s="1190" t="s">
        <v>364</v>
      </c>
      <c r="Z1200" s="1184">
        <v>0</v>
      </c>
      <c r="AA1200" s="1194">
        <v>0</v>
      </c>
      <c r="AB1200" s="1180" t="s">
        <v>364</v>
      </c>
      <c r="AC1200" s="1192" t="str">
        <f>""</f>
        <v/>
      </c>
      <c r="AD1200" s="985">
        <v>1</v>
      </c>
      <c r="AE1200" s="985" t="s">
        <v>369</v>
      </c>
      <c r="AF1200" s="985" t="s">
        <v>369</v>
      </c>
      <c r="AG1200" s="985">
        <v>1</v>
      </c>
      <c r="AH1200" s="1193">
        <v>4</v>
      </c>
      <c r="AI1200" s="1193">
        <v>0</v>
      </c>
      <c r="AJ1200" s="1193">
        <f>VLOOKUP($I1200,'Price List, Weapons &amp; Items'!B:F,5,0)</f>
        <v>0</v>
      </c>
      <c r="AK1200" s="1193">
        <f t="shared" si="251"/>
        <v>0</v>
      </c>
      <c r="AL1200" s="1193">
        <f t="shared" si="252"/>
        <v>0</v>
      </c>
      <c r="AM1200" s="1193">
        <f t="shared" si="253"/>
        <v>0</v>
      </c>
      <c r="AN1200" s="1194" t="str">
        <f>VLOOKUP($I1200,'Price List, Weapons &amp; Items'!B:L,COLUMN('Price List, Weapons &amp; Items'!$J$11)-1,0)</f>
        <v>.</v>
      </c>
      <c r="AO1200" s="1194" t="str">
        <f>IF(I1200=".",".",VLOOKUP($I1200,'Price List, Weapons &amp; Items'!B:J,3,0))</f>
        <v>.</v>
      </c>
      <c r="AP1200" s="1195" t="str">
        <f t="shared" ca="1" si="247"/>
        <v>.</v>
      </c>
      <c r="AQ1200" s="1194">
        <f>VLOOKUP($I1200,'Price List, Weapons &amp; Items'!B:L,COLUMN('Price List, Weapons &amp; Items'!$L$11)-1,0)</f>
        <v>0</v>
      </c>
      <c r="AR1200" s="1194">
        <f t="shared" si="254"/>
        <v>0</v>
      </c>
      <c r="AS1200" s="1194">
        <f t="shared" si="255"/>
        <v>0</v>
      </c>
      <c r="AT1200" s="1194">
        <f t="shared" si="256"/>
        <v>1</v>
      </c>
      <c r="AU1200" s="1194" t="str">
        <f t="shared" si="257"/>
        <v>.</v>
      </c>
      <c r="AV1200" s="1194" t="str">
        <f t="shared" si="248"/>
        <v>.</v>
      </c>
      <c r="AW1200" s="1194" t="str">
        <f t="shared" si="258"/>
        <v>.</v>
      </c>
      <c r="AX1200" s="1194">
        <f>IFERROR(VLOOKUP(B1200,'Share, Heavy Weapons to Ukraine'!B:Z,COLUMN('Share, Heavy Weapons to Ukraine'!C1210)-1,0),0)</f>
        <v>0</v>
      </c>
      <c r="AY1200" s="1194">
        <f>VLOOKUP('Bilateral Assistance, MAIN DATA'!B1200,'Country Summary (€)'!B:F,COLUMN('Country Summary (€)'!C1211)-1,FALSE)</f>
        <v>1</v>
      </c>
      <c r="AZ1200" s="1194" t="str">
        <f>IF(AND(AD1200=1,D1200="Military",H1200&lt;&gt;"Not given")=TRUE,IF(SUMIFS(P:P,A:A,A1200)&gt;0,ABS((SUMIFS(P:P,A:A,A1200)/VLOOKUP("USD",'Exchange Rates'!B:C,2,0)))/S1200,"."),".")</f>
        <v>.</v>
      </c>
      <c r="BA1200" s="1196" t="str">
        <f>IF(AND(AD1200=1,D1200="Military",H1200&lt;&gt;"Not given")=TRUE,IF(SUMIFS(P:P,A:A,A1200)&gt;0,IF((ABS((SUMIFS(P:P,A:A,A1200)/VLOOKUP("USD",'Exchange Rates'!B:C,2,0)))/S1200)&gt;1,(SUMIFS(P:P,A:A,A1200)-S1200)/S1200,(S1200-SUMIFS(P:P,A:A,A1200))/SUMIFS(P:P,A:A,A1200)),"."),".")</f>
        <v>.</v>
      </c>
    </row>
    <row r="1201" spans="1:53" ht="15.95" customHeight="1">
      <c r="A1201" s="1180" t="s">
        <v>3295</v>
      </c>
      <c r="B1201" s="1180" t="s">
        <v>3261</v>
      </c>
      <c r="C1201" s="1181">
        <v>44659</v>
      </c>
      <c r="D1201" s="1182" t="s">
        <v>389</v>
      </c>
      <c r="E1201" s="1182" t="s">
        <v>443</v>
      </c>
      <c r="F1201" s="1183" t="s">
        <v>3296</v>
      </c>
      <c r="G1201" s="1184" t="s">
        <v>483</v>
      </c>
      <c r="H1201" s="1185">
        <v>68000000</v>
      </c>
      <c r="I1201" s="1180" t="s">
        <v>3297</v>
      </c>
      <c r="J1201" s="1186" t="str">
        <f>VLOOKUP($I1201,'Price List, Weapons &amp; Items'!B:C,2,0)</f>
        <v>Heavy weapon</v>
      </c>
      <c r="K1201" s="1186" t="str">
        <f>IF(I1201=".",I1201,VLOOKUP($I1201,'Price List, Weapons &amp; Items'!B:D,3,0))</f>
        <v>Anti-aircraft surface-to-air missile (SAM) system (long-range)</v>
      </c>
      <c r="L1201" s="1187">
        <f>VLOOKUP(I1201,'Price List, Weapons &amp; Items'!B:E,4,0)</f>
        <v>1</v>
      </c>
      <c r="M1201" s="1188">
        <v>1</v>
      </c>
      <c r="N1201" s="1188">
        <v>1</v>
      </c>
      <c r="O1201" s="1188">
        <f>VLOOKUP($I1201,'Price List, Weapons &amp; Items'!B:G,6,0)</f>
        <v>208817599.13</v>
      </c>
      <c r="P1201" s="1185">
        <f t="shared" si="249"/>
        <v>208817599.13</v>
      </c>
      <c r="Q1201" s="1185">
        <f t="shared" si="250"/>
        <v>208817599.13</v>
      </c>
      <c r="R1201" s="1185">
        <f t="shared" si="246"/>
        <v>68000000</v>
      </c>
      <c r="S1201" s="1185">
        <f>IF(AND(AD1201=1,R1201&lt;&gt;".")=TRUE,R1201/VLOOKUP(G1201,'Exchange Rates'!B:C,2,0),IF(R1201=".",".",""))</f>
        <v>68000000</v>
      </c>
      <c r="T1201" s="1185">
        <f>IF(AD1201=1,IF(AF1201="Value is not given at all",".",IF(AF1201="Value is given by the source",S1201,IF(AF1201="Value is calculated with prices",(IF(SUMIFS(Q:Q,A:A,A1201)&gt;0,SUMIFS(Q:Q,A:A,A1201),"."))/VLOOKUP("USD",'Exchange Rates'!B:C,2,0),"Error with coding"))),"")</f>
        <v>68000000</v>
      </c>
      <c r="U1201" s="1184" t="s">
        <v>365</v>
      </c>
      <c r="V1201" s="971" t="s">
        <v>3298</v>
      </c>
      <c r="W1201" s="971" t="s">
        <v>3299</v>
      </c>
      <c r="X1201" s="971" t="s">
        <v>3300</v>
      </c>
      <c r="Y1201" s="1190" t="s">
        <v>364</v>
      </c>
      <c r="Z1201" s="1184">
        <v>0</v>
      </c>
      <c r="AA1201" s="1194">
        <v>0</v>
      </c>
      <c r="AB1201" s="1035" t="s">
        <v>3301</v>
      </c>
      <c r="AC1201" s="1192" t="str">
        <f>""</f>
        <v/>
      </c>
      <c r="AD1201" s="1193">
        <v>1</v>
      </c>
      <c r="AE1201" s="1193" t="s">
        <v>368</v>
      </c>
      <c r="AF1201" s="1193" t="s">
        <v>368</v>
      </c>
      <c r="AG1201" s="1193">
        <v>1</v>
      </c>
      <c r="AH1201" s="1193">
        <v>4</v>
      </c>
      <c r="AI1201" s="1193">
        <v>0</v>
      </c>
      <c r="AJ1201" s="1193">
        <f>VLOOKUP($I1201,'Price List, Weapons &amp; Items'!B:F,5,0)</f>
        <v>0</v>
      </c>
      <c r="AK1201" s="1193">
        <f t="shared" si="251"/>
        <v>0</v>
      </c>
      <c r="AL1201" s="1193">
        <f t="shared" si="252"/>
        <v>0</v>
      </c>
      <c r="AM1201" s="1193">
        <f t="shared" si="253"/>
        <v>0</v>
      </c>
      <c r="AN1201" s="1194" t="str">
        <f>VLOOKUP($I1201,'Price List, Weapons &amp; Items'!B:L,COLUMN('Price List, Weapons &amp; Items'!$J$11)-1,0)</f>
        <v>Contracts</v>
      </c>
      <c r="AO1201" s="1194" t="str">
        <f>IF(I1201=".",".",VLOOKUP($I1201,'Price List, Weapons &amp; Items'!B:J,3,0))</f>
        <v>Anti-aircraft surface-to-air missile (SAM) system (long-range)</v>
      </c>
      <c r="AP1201" s="1195" t="str">
        <f t="shared" ca="1" si="247"/>
        <v>S-300 air defence system</v>
      </c>
      <c r="AQ1201" s="1194">
        <f>VLOOKUP($I1201,'Price List, Weapons &amp; Items'!B:L,COLUMN('Price List, Weapons &amp; Items'!$L$11)-1,0)</f>
        <v>2</v>
      </c>
      <c r="AR1201" s="1194">
        <f t="shared" si="254"/>
        <v>1</v>
      </c>
      <c r="AS1201" s="1194">
        <f t="shared" si="255"/>
        <v>1</v>
      </c>
      <c r="AT1201" s="1194">
        <f t="shared" si="256"/>
        <v>1</v>
      </c>
      <c r="AU1201" s="1194" t="str">
        <f t="shared" si="257"/>
        <v>.</v>
      </c>
      <c r="AV1201" s="1194" t="str">
        <f t="shared" si="248"/>
        <v>.</v>
      </c>
      <c r="AW1201" s="1194" t="str">
        <f t="shared" si="258"/>
        <v>.</v>
      </c>
      <c r="AX1201" s="1194">
        <f>IFERROR(VLOOKUP(B1201,'Share, Heavy Weapons to Ukraine'!B:Z,COLUMN('Share, Heavy Weapons to Ukraine'!C1211)-1,0),0)</f>
        <v>0</v>
      </c>
      <c r="AY1201" s="1194">
        <f>VLOOKUP('Bilateral Assistance, MAIN DATA'!B1201,'Country Summary (€)'!B:F,COLUMN('Country Summary (€)'!C1212)-1,FALSE)</f>
        <v>1</v>
      </c>
      <c r="AZ1201" s="1194">
        <f>IF(AND(AD1201=1,D1201="Military",H1201&lt;&gt;"Not given")=TRUE,IF(SUMIFS(P:P,A:A,A1201)&gt;0,ABS((SUMIFS(P:P,A:A,A1201)/VLOOKUP("USD",'Exchange Rates'!B:C,2,0)))/S1201,"."),".")</f>
        <v>2.8255861667550715</v>
      </c>
      <c r="BA1201" s="1196">
        <f>IF(AND(AD1201=1,D1201="Military",H1201&lt;&gt;"Not given")=TRUE,IF(SUMIFS(P:P,A:A,A1201)&gt;0,IF((ABS((SUMIFS(P:P,A:A,A1201)/VLOOKUP("USD",'Exchange Rates'!B:C,2,0)))/S1201)&gt;1,(SUMIFS(P:P,A:A,A1201)-S1201)/S1201,(S1201-SUMIFS(P:P,A:A,A1201))/SUMIFS(P:P,A:A,A1201)),"."),".")</f>
        <v>2.0708470460294115</v>
      </c>
    </row>
    <row r="1202" spans="1:53" s="1180" customFormat="1" ht="15.95" customHeight="1">
      <c r="A1202" s="1182" t="s">
        <v>3302</v>
      </c>
      <c r="B1202" s="1182" t="s">
        <v>3261</v>
      </c>
      <c r="C1202" s="1181">
        <v>44728</v>
      </c>
      <c r="D1202" s="1182" t="s">
        <v>389</v>
      </c>
      <c r="E1202" s="1182" t="s">
        <v>443</v>
      </c>
      <c r="F1202" s="1183" t="s">
        <v>3303</v>
      </c>
      <c r="G1202" s="1184" t="s">
        <v>456</v>
      </c>
      <c r="H1202" s="1185" t="s">
        <v>457</v>
      </c>
      <c r="I1202" s="1266" t="s">
        <v>2458</v>
      </c>
      <c r="J1202" s="1186" t="str">
        <f>VLOOKUP($I1202,'Price List, Weapons &amp; Items'!B:C,2,0)</f>
        <v>Heavy weapon</v>
      </c>
      <c r="K1202" s="1186" t="str">
        <f>IF(I1202=".",I1202,VLOOKUP($I1202,'Price List, Weapons &amp; Items'!B:D,3,0))</f>
        <v>Combat aircraft</v>
      </c>
      <c r="L1202" s="1187">
        <f>VLOOKUP(I1202,'Price List, Weapons &amp; Items'!B:E,4,0)</f>
        <v>1</v>
      </c>
      <c r="M1202" s="1188">
        <v>4</v>
      </c>
      <c r="N1202" s="1188">
        <v>4</v>
      </c>
      <c r="O1202" s="1188">
        <f>VLOOKUP($I1202,'Price List, Weapons &amp; Items'!B:G,6,0)</f>
        <v>18400000</v>
      </c>
      <c r="P1202" s="1185">
        <f t="shared" si="249"/>
        <v>73600000</v>
      </c>
      <c r="Q1202" s="1185">
        <f t="shared" si="250"/>
        <v>73600000</v>
      </c>
      <c r="R1202" s="1185">
        <f t="shared" si="246"/>
        <v>76250000</v>
      </c>
      <c r="S1202" s="1185">
        <f>IF(AND(AD1202=1,R1202&lt;&gt;".")=TRUE,R1202/VLOOKUP(G1202,'Exchange Rates'!B:C,2,0),IF(R1202=".",".",""))</f>
        <v>70160103.054839894</v>
      </c>
      <c r="T1202" s="1185">
        <f>IF(AD1202=1,IF(AF1202="Value is not given at all",".",IF(AF1202="Value is given by the source",S1202,IF(AF1202="Value is calculated with prices",(IF(SUMIFS(Q:Q,A:A,A1202)&gt;0,SUMIFS(Q:Q,A:A,A1202),"."))/VLOOKUP("USD",'Exchange Rates'!B:C,2,0),"Error with coding"))),"")</f>
        <v>70160103.054839894</v>
      </c>
      <c r="U1202" s="1184" t="s">
        <v>675</v>
      </c>
      <c r="V1202" s="1007" t="s">
        <v>3304</v>
      </c>
      <c r="W1202" s="1007" t="s">
        <v>3305</v>
      </c>
      <c r="X1202" s="1007" t="s">
        <v>3305</v>
      </c>
      <c r="Y1202" s="1183" t="s">
        <v>364</v>
      </c>
      <c r="Z1202" s="1184">
        <v>0</v>
      </c>
      <c r="AA1202" s="1194">
        <v>0</v>
      </c>
      <c r="AB1202" s="1032" t="s">
        <v>3306</v>
      </c>
      <c r="AC1202" s="1192" t="str">
        <f>""</f>
        <v/>
      </c>
      <c r="AD1202" s="985">
        <v>1</v>
      </c>
      <c r="AE1202" s="985" t="s">
        <v>436</v>
      </c>
      <c r="AF1202" s="985" t="s">
        <v>436</v>
      </c>
      <c r="AG1202" s="985">
        <v>1</v>
      </c>
      <c r="AH1202" s="985">
        <v>6</v>
      </c>
      <c r="AI1202" s="985">
        <v>0</v>
      </c>
      <c r="AJ1202" s="1193">
        <f>VLOOKUP($I1202,'Price List, Weapons &amp; Items'!B:F,5,0)</f>
        <v>0</v>
      </c>
      <c r="AK1202" s="1193">
        <f t="shared" si="251"/>
        <v>0</v>
      </c>
      <c r="AL1202" s="1193">
        <f t="shared" si="252"/>
        <v>0</v>
      </c>
      <c r="AM1202" s="1193">
        <f t="shared" si="253"/>
        <v>0</v>
      </c>
      <c r="AN1202" s="1194" t="str">
        <f>VLOOKUP($I1202,'Price List, Weapons &amp; Items'!B:L,COLUMN('Price List, Weapons &amp; Items'!$J$11)-1,0)</f>
        <v>Media reports (incl. social media)</v>
      </c>
      <c r="AO1202" s="1194" t="str">
        <f>IF(I1202=".",".",VLOOKUP($I1202,'Price List, Weapons &amp; Items'!B:J,3,0))</f>
        <v>Combat aircraft</v>
      </c>
      <c r="AP1202" s="1195" t="str">
        <f t="shared" ca="1" si="247"/>
        <v>Mi-17</v>
      </c>
      <c r="AQ1202" s="1194">
        <f>VLOOKUP($I1202,'Price List, Weapons &amp; Items'!B:L,COLUMN('Price List, Weapons &amp; Items'!$L$11)-1,0)</f>
        <v>2</v>
      </c>
      <c r="AR1202" s="1194">
        <f t="shared" si="254"/>
        <v>0</v>
      </c>
      <c r="AS1202" s="1194">
        <f t="shared" si="255"/>
        <v>1</v>
      </c>
      <c r="AT1202" s="1194">
        <f t="shared" si="256"/>
        <v>1</v>
      </c>
      <c r="AU1202" s="1194" t="str">
        <f t="shared" si="257"/>
        <v>.</v>
      </c>
      <c r="AV1202" s="1194" t="str">
        <f t="shared" si="248"/>
        <v>.</v>
      </c>
      <c r="AW1202" s="1194" t="str">
        <f t="shared" si="258"/>
        <v>.</v>
      </c>
      <c r="AX1202" s="1194">
        <f>IFERROR(VLOOKUP(B1202,'Share, Heavy Weapons to Ukraine'!B:Z,COLUMN('Share, Heavy Weapons to Ukraine'!C1212)-1,0),0)</f>
        <v>0</v>
      </c>
      <c r="AY1202" s="1194">
        <f>VLOOKUP('Bilateral Assistance, MAIN DATA'!B1202,'Country Summary (€)'!B:F,COLUMN('Country Summary (€)'!C1213)-1,FALSE)</f>
        <v>1</v>
      </c>
      <c r="AZ1202" s="1194" t="str">
        <f>IF(AND(AD1202=1,D1202="Military",H1202&lt;&gt;"Not given")=TRUE,IF(SUMIFS(P:P,A:A,A1202)&gt;0,ABS((SUMIFS(P:P,A:A,A1202)/VLOOKUP("USD",'Exchange Rates'!B:C,2,0)))/S1202,"."),".")</f>
        <v>.</v>
      </c>
      <c r="BA1202" s="1196" t="str">
        <f>IF(AND(AD1202=1,D1202="Military",H1202&lt;&gt;"Not given")=TRUE,IF(SUMIFS(P:P,A:A,A1202)&gt;0,IF((ABS((SUMIFS(P:P,A:A,A1202)/VLOOKUP("USD",'Exchange Rates'!B:C,2,0)))/S1202)&gt;1,(SUMIFS(P:P,A:A,A1202)-S1202)/S1202,(S1202-SUMIFS(P:P,A:A,A1202))/SUMIFS(P:P,A:A,A1202)),"."),".")</f>
        <v>.</v>
      </c>
    </row>
    <row r="1203" spans="1:53" s="1180" customFormat="1" ht="15.95" customHeight="1">
      <c r="A1203" s="1182" t="s">
        <v>3302</v>
      </c>
      <c r="B1203" s="1182" t="s">
        <v>3261</v>
      </c>
      <c r="C1203" s="1181">
        <v>44728</v>
      </c>
      <c r="D1203" s="1182" t="s">
        <v>389</v>
      </c>
      <c r="E1203" s="1182" t="s">
        <v>443</v>
      </c>
      <c r="F1203" s="1183" t="s">
        <v>3303</v>
      </c>
      <c r="G1203" s="1184" t="s">
        <v>456</v>
      </c>
      <c r="H1203" s="1185" t="s">
        <v>457</v>
      </c>
      <c r="I1203" s="1266" t="s">
        <v>2461</v>
      </c>
      <c r="J1203" s="1186" t="str">
        <f>VLOOKUP($I1203,'Price List, Weapons &amp; Items'!B:C,2,0)</f>
        <v>Heavy weapon</v>
      </c>
      <c r="K1203" s="1186" t="str">
        <f>IF(I1203=".",I1203,VLOOKUP($I1203,'Price List, Weapons &amp; Items'!B:D,3,0))</f>
        <v>Transport aircraft</v>
      </c>
      <c r="L1203" s="1187">
        <f>VLOOKUP(I1203,'Price List, Weapons &amp; Items'!B:E,4,0)</f>
        <v>1</v>
      </c>
      <c r="M1203" s="1188">
        <v>1</v>
      </c>
      <c r="N1203" s="1188">
        <v>1</v>
      </c>
      <c r="O1203" s="1188">
        <f>VLOOKUP($I1203,'Price List, Weapons &amp; Items'!B:G,6,0)</f>
        <v>650000</v>
      </c>
      <c r="P1203" s="1185">
        <f t="shared" si="249"/>
        <v>650000</v>
      </c>
      <c r="Q1203" s="1185">
        <f t="shared" si="250"/>
        <v>650000</v>
      </c>
      <c r="R1203" s="1185" t="str">
        <f t="shared" si="246"/>
        <v/>
      </c>
      <c r="S1203" s="1185" t="str">
        <f>IF(AND(AD1203=1,R1203&lt;&gt;".")=TRUE,R1203/VLOOKUP(G1203,'Exchange Rates'!B:C,2,0),IF(R1203=".",".",""))</f>
        <v/>
      </c>
      <c r="T1203" s="1185" t="str">
        <f>IF(AD1203=1,IF(AF1203="Value is not given at all",".",IF(AF1203="Value is given by the source",S1203,IF(AF1203="Value is calculated with prices",(IF(SUMIFS(Q:Q,A:A,A1203)&gt;0,SUMIFS(Q:Q,A:A,A1203),"."))/VLOOKUP("USD",'Exchange Rates'!B:C,2,0),"Error with coding"))),"")</f>
        <v/>
      </c>
      <c r="U1203" s="1184" t="s">
        <v>675</v>
      </c>
      <c r="V1203" s="1007" t="s">
        <v>3304</v>
      </c>
      <c r="W1203" s="1007" t="s">
        <v>3305</v>
      </c>
      <c r="X1203" s="1007" t="s">
        <v>3305</v>
      </c>
      <c r="Y1203" s="1183" t="s">
        <v>364</v>
      </c>
      <c r="Z1203" s="1184">
        <v>0</v>
      </c>
      <c r="AA1203" s="1194">
        <v>0</v>
      </c>
      <c r="AB1203" s="1032" t="s">
        <v>3306</v>
      </c>
      <c r="AC1203" s="1192" t="str">
        <f>""</f>
        <v/>
      </c>
      <c r="AD1203" s="985">
        <v>0</v>
      </c>
      <c r="AE1203" s="985" t="s">
        <v>436</v>
      </c>
      <c r="AF1203" s="985" t="s">
        <v>436</v>
      </c>
      <c r="AG1203" s="985">
        <v>1</v>
      </c>
      <c r="AH1203" s="985">
        <v>6</v>
      </c>
      <c r="AI1203" s="985">
        <v>0</v>
      </c>
      <c r="AJ1203" s="1193">
        <f>VLOOKUP($I1203,'Price List, Weapons &amp; Items'!B:F,5,0)</f>
        <v>0</v>
      </c>
      <c r="AK1203" s="1193">
        <f t="shared" si="251"/>
        <v>0</v>
      </c>
      <c r="AL1203" s="1193">
        <f t="shared" si="252"/>
        <v>0</v>
      </c>
      <c r="AM1203" s="1193">
        <f t="shared" si="253"/>
        <v>0</v>
      </c>
      <c r="AN1203" s="1194" t="str">
        <f>VLOOKUP($I1203,'Price List, Weapons &amp; Items'!B:L,COLUMN('Price List, Weapons &amp; Items'!$J$11)-1,0)</f>
        <v>Online marketplaces and stores</v>
      </c>
      <c r="AO1203" s="1194" t="str">
        <f>IF(I1203=".",".",VLOOKUP($I1203,'Price List, Weapons &amp; Items'!B:J,3,0))</f>
        <v>Transport aircraft</v>
      </c>
      <c r="AP1203" s="1195" t="str">
        <f t="shared" ca="1" si="247"/>
        <v/>
      </c>
      <c r="AQ1203" s="1194">
        <f>VLOOKUP($I1203,'Price List, Weapons &amp; Items'!B:L,COLUMN('Price List, Weapons &amp; Items'!$L$11)-1,0)</f>
        <v>2</v>
      </c>
      <c r="AR1203" s="1194">
        <f t="shared" si="254"/>
        <v>0</v>
      </c>
      <c r="AS1203" s="1194">
        <f t="shared" si="255"/>
        <v>1</v>
      </c>
      <c r="AT1203" s="1194">
        <f t="shared" si="256"/>
        <v>1</v>
      </c>
      <c r="AU1203" s="1194" t="str">
        <f t="shared" si="257"/>
        <v>.</v>
      </c>
      <c r="AV1203" s="1194" t="str">
        <f t="shared" si="248"/>
        <v>.</v>
      </c>
      <c r="AW1203" s="1194" t="str">
        <f t="shared" si="258"/>
        <v>.</v>
      </c>
      <c r="AX1203" s="1194">
        <f>IFERROR(VLOOKUP(B1203,'Share, Heavy Weapons to Ukraine'!B:Z,COLUMN('Share, Heavy Weapons to Ukraine'!C1213)-1,0),0)</f>
        <v>0</v>
      </c>
      <c r="AY1203" s="1194">
        <f>VLOOKUP('Bilateral Assistance, MAIN DATA'!B1203,'Country Summary (€)'!B:F,COLUMN('Country Summary (€)'!C1214)-1,FALSE)</f>
        <v>1</v>
      </c>
      <c r="AZ1203" s="1194" t="str">
        <f>IF(AND(AD1203=1,D1203="Military",H1203&lt;&gt;"Not given")=TRUE,IF(SUMIFS(P:P,A:A,A1203)&gt;0,ABS((SUMIFS(P:P,A:A,A1203)/VLOOKUP("USD",'Exchange Rates'!B:C,2,0)))/S1203,"."),".")</f>
        <v>.</v>
      </c>
      <c r="BA1203" s="1196" t="str">
        <f>IF(AND(AD1203=1,D1203="Military",H1203&lt;&gt;"Not given")=TRUE,IF(SUMIFS(P:P,A:A,A1203)&gt;0,IF((ABS((SUMIFS(P:P,A:A,A1203)/VLOOKUP("USD",'Exchange Rates'!B:C,2,0)))/S1203)&gt;1,(SUMIFS(P:P,A:A,A1203)-S1203)/S1203,(S1203-SUMIFS(P:P,A:A,A1203))/SUMIFS(P:P,A:A,A1203)),"."),".")</f>
        <v>.</v>
      </c>
    </row>
    <row r="1204" spans="1:53" s="1180" customFormat="1" ht="15.95" customHeight="1">
      <c r="A1204" s="1182" t="s">
        <v>3302</v>
      </c>
      <c r="B1204" s="1182" t="s">
        <v>3261</v>
      </c>
      <c r="C1204" s="1181">
        <v>44728</v>
      </c>
      <c r="D1204" s="1182" t="s">
        <v>389</v>
      </c>
      <c r="E1204" s="1182" t="s">
        <v>443</v>
      </c>
      <c r="F1204" s="1183" t="s">
        <v>3303</v>
      </c>
      <c r="G1204" s="1184" t="s">
        <v>456</v>
      </c>
      <c r="H1204" s="1185" t="s">
        <v>457</v>
      </c>
      <c r="I1204" s="1180" t="s">
        <v>2642</v>
      </c>
      <c r="J1204" s="1186" t="str">
        <f>VLOOKUP($I1204,'Price List, Weapons &amp; Items'!B:C,2,0)</f>
        <v>Ammunition for heavy weapon</v>
      </c>
      <c r="K1204" s="1186" t="str">
        <f>IF(I1204=".",I1204,VLOOKUP($I1204,'Price List, Weapons &amp; Items'!B:D,3,0))</f>
        <v>122mm MLRS ammunition</v>
      </c>
      <c r="L1204" s="1187">
        <f>VLOOKUP(I1204,'Price List, Weapons &amp; Items'!B:E,4,0)</f>
        <v>0</v>
      </c>
      <c r="M1204" s="1188">
        <v>2000</v>
      </c>
      <c r="N1204" s="1188">
        <v>2000</v>
      </c>
      <c r="O1204" s="1188">
        <f>VLOOKUP($I1204,'Price List, Weapons &amp; Items'!B:G,6,0)</f>
        <v>1000</v>
      </c>
      <c r="P1204" s="1185">
        <f t="shared" si="249"/>
        <v>2000000</v>
      </c>
      <c r="Q1204" s="1185">
        <f t="shared" si="250"/>
        <v>2000000</v>
      </c>
      <c r="R1204" s="1185" t="str">
        <f t="shared" si="246"/>
        <v/>
      </c>
      <c r="S1204" s="1185" t="str">
        <f>IF(AND(AD1204=1,R1204&lt;&gt;".")=TRUE,R1204/VLOOKUP(G1204,'Exchange Rates'!B:C,2,0),IF(R1204=".",".",""))</f>
        <v/>
      </c>
      <c r="T1204" s="1185" t="str">
        <f>IF(AD1204=1,IF(AF1204="Value is not given at all",".",IF(AF1204="Value is given by the source",S1204,IF(AF1204="Value is calculated with prices",(IF(SUMIFS(Q:Q,A:A,A1204)&gt;0,SUMIFS(Q:Q,A:A,A1204),"."))/VLOOKUP("USD",'Exchange Rates'!B:C,2,0),"Error with coding"))),"")</f>
        <v/>
      </c>
      <c r="U1204" s="1184" t="s">
        <v>675</v>
      </c>
      <c r="V1204" s="1007" t="s">
        <v>3304</v>
      </c>
      <c r="W1204" s="1007" t="s">
        <v>3305</v>
      </c>
      <c r="X1204" s="1007" t="s">
        <v>3305</v>
      </c>
      <c r="Y1204" s="1183" t="s">
        <v>364</v>
      </c>
      <c r="Z1204" s="1184">
        <v>0</v>
      </c>
      <c r="AA1204" s="1194">
        <v>0</v>
      </c>
      <c r="AB1204" s="1032" t="s">
        <v>3306</v>
      </c>
      <c r="AC1204" s="1192" t="str">
        <f>""</f>
        <v/>
      </c>
      <c r="AD1204" s="985">
        <v>0</v>
      </c>
      <c r="AE1204" s="985" t="s">
        <v>436</v>
      </c>
      <c r="AF1204" s="985" t="s">
        <v>436</v>
      </c>
      <c r="AG1204" s="985">
        <v>1</v>
      </c>
      <c r="AH1204" s="985">
        <v>6</v>
      </c>
      <c r="AI1204" s="985">
        <v>0</v>
      </c>
      <c r="AJ1204" s="1193">
        <f>VLOOKUP($I1204,'Price List, Weapons &amp; Items'!B:F,5,0)</f>
        <v>1</v>
      </c>
      <c r="AK1204" s="1193">
        <f t="shared" si="251"/>
        <v>0</v>
      </c>
      <c r="AL1204" s="1193">
        <f t="shared" si="252"/>
        <v>0</v>
      </c>
      <c r="AM1204" s="1193">
        <f t="shared" si="253"/>
        <v>0</v>
      </c>
      <c r="AN1204" s="1194" t="str">
        <f>VLOOKUP($I1204,'Price List, Weapons &amp; Items'!B:L,COLUMN('Price List, Weapons &amp; Items'!$J$11)-1,0)</f>
        <v>Media reports (incl. social media)</v>
      </c>
      <c r="AO1204" s="1194" t="str">
        <f>IF(I1204=".",".",VLOOKUP($I1204,'Price List, Weapons &amp; Items'!B:J,3,0))</f>
        <v>122mm MLRS ammunition</v>
      </c>
      <c r="AP1204" s="1195" t="str">
        <f t="shared" ca="1" si="247"/>
        <v/>
      </c>
      <c r="AQ1204" s="1194">
        <f>VLOOKUP($I1204,'Price List, Weapons &amp; Items'!B:L,COLUMN('Price List, Weapons &amp; Items'!$L$11)-1,0)</f>
        <v>2</v>
      </c>
      <c r="AR1204" s="1194">
        <f t="shared" si="254"/>
        <v>0</v>
      </c>
      <c r="AS1204" s="1194">
        <f t="shared" si="255"/>
        <v>1</v>
      </c>
      <c r="AT1204" s="1194">
        <f t="shared" si="256"/>
        <v>1</v>
      </c>
      <c r="AU1204" s="1194" t="str">
        <f t="shared" si="257"/>
        <v>.</v>
      </c>
      <c r="AV1204" s="1194" t="str">
        <f t="shared" si="248"/>
        <v>.</v>
      </c>
      <c r="AW1204" s="1194" t="str">
        <f t="shared" si="258"/>
        <v>.</v>
      </c>
      <c r="AX1204" s="1194">
        <f>IFERROR(VLOOKUP(B1204,'Share, Heavy Weapons to Ukraine'!B:Z,COLUMN('Share, Heavy Weapons to Ukraine'!C1214)-1,0),0)</f>
        <v>0</v>
      </c>
      <c r="AY1204" s="1194">
        <f>VLOOKUP('Bilateral Assistance, MAIN DATA'!B1204,'Country Summary (€)'!B:F,COLUMN('Country Summary (€)'!C1215)-1,FALSE)</f>
        <v>1</v>
      </c>
      <c r="AZ1204" s="1194" t="str">
        <f>IF(AND(AD1204=1,D1204="Military",H1204&lt;&gt;"Not given")=TRUE,IF(SUMIFS(P:P,A:A,A1204)&gt;0,ABS((SUMIFS(P:P,A:A,A1204)/VLOOKUP("USD",'Exchange Rates'!B:C,2,0)))/S1204,"."),".")</f>
        <v>.</v>
      </c>
      <c r="BA1204" s="1196" t="str">
        <f>IF(AND(AD1204=1,D1204="Military",H1204&lt;&gt;"Not given")=TRUE,IF(SUMIFS(P:P,A:A,A1204)&gt;0,IF((ABS((SUMIFS(P:P,A:A,A1204)/VLOOKUP("USD",'Exchange Rates'!B:C,2,0)))/S1204)&gt;1,(SUMIFS(P:P,A:A,A1204)-S1204)/S1204,(S1204-SUMIFS(P:P,A:A,A1204))/SUMIFS(P:P,A:A,A1204)),"."),".")</f>
        <v>.</v>
      </c>
    </row>
    <row r="1205" spans="1:53" s="1180" customFormat="1" ht="15.95" customHeight="1">
      <c r="A1205" s="1208" t="s">
        <v>3307</v>
      </c>
      <c r="B1205" s="1208" t="s">
        <v>3261</v>
      </c>
      <c r="C1205" s="1220">
        <v>44796</v>
      </c>
      <c r="D1205" s="1208" t="s">
        <v>389</v>
      </c>
      <c r="E1205" s="1208" t="s">
        <v>443</v>
      </c>
      <c r="F1205" s="1208" t="s">
        <v>3308</v>
      </c>
      <c r="G1205" s="1184" t="s">
        <v>456</v>
      </c>
      <c r="H1205" s="1185" t="s">
        <v>457</v>
      </c>
      <c r="I1205" s="1180" t="s">
        <v>2009</v>
      </c>
      <c r="J1205" s="1186" t="str">
        <f>VLOOKUP($I1205,'Price List, Weapons &amp; Items'!B:C,2,0)</f>
        <v>Heavy weapon</v>
      </c>
      <c r="K1205" s="1186" t="str">
        <f>IF(I1205=".",I1205,VLOOKUP($I1205,'Price List, Weapons &amp; Items'!B:D,3,0))</f>
        <v>Infantry fighting vehicle (IFV)</v>
      </c>
      <c r="L1205" s="1187">
        <f>VLOOKUP(I1205,'Price List, Weapons &amp; Items'!B:E,4,0)</f>
        <v>1</v>
      </c>
      <c r="M1205" s="1188">
        <v>30</v>
      </c>
      <c r="N1205" s="1188">
        <v>30</v>
      </c>
      <c r="O1205" s="1188">
        <f>VLOOKUP($I1205,'Price List, Weapons &amp; Items'!B:G,6,0)</f>
        <v>561542.53</v>
      </c>
      <c r="P1205" s="1185">
        <f t="shared" si="249"/>
        <v>16846275.900000002</v>
      </c>
      <c r="Q1205" s="1185">
        <f t="shared" si="250"/>
        <v>16846275.900000002</v>
      </c>
      <c r="R1205" s="1185">
        <f t="shared" si="246"/>
        <v>16846275.900000002</v>
      </c>
      <c r="S1205" s="1185">
        <f>IF(AND(AD1205=1,R1205&lt;&gt;".")=TRUE,R1205/VLOOKUP(G1205,'Exchange Rates'!B:C,2,0),IF(R1205=".",".",""))</f>
        <v>15500805.944055947</v>
      </c>
      <c r="T1205" s="1185">
        <f>IF(AD1205=1,IF(AF1205="Value is not given at all",".",IF(AF1205="Value is given by the source",S1205,IF(AF1205="Value is calculated with prices",(IF(SUMIFS(Q:Q,A:A,A1205)&gt;0,SUMIFS(Q:Q,A:A,A1205),"."))/VLOOKUP("USD",'Exchange Rates'!B:C,2,0),"Error with coding"))),"")</f>
        <v>15500805.944055947</v>
      </c>
      <c r="U1205" s="1184" t="s">
        <v>365</v>
      </c>
      <c r="V1205" s="979" t="s">
        <v>3309</v>
      </c>
      <c r="W1205" s="979" t="s">
        <v>3310</v>
      </c>
      <c r="X1205" s="979" t="s">
        <v>3311</v>
      </c>
      <c r="Y1205" s="1029" t="s">
        <v>3312</v>
      </c>
      <c r="Z1205" s="1184">
        <v>0</v>
      </c>
      <c r="AA1205" s="1194">
        <v>0</v>
      </c>
      <c r="AB1205" s="982" t="s">
        <v>3312</v>
      </c>
      <c r="AC1205" s="1192" t="str">
        <f>""</f>
        <v/>
      </c>
      <c r="AD1205" s="985">
        <v>1</v>
      </c>
      <c r="AE1205" s="985" t="s">
        <v>436</v>
      </c>
      <c r="AF1205" s="985" t="s">
        <v>436</v>
      </c>
      <c r="AG1205" s="985">
        <v>1</v>
      </c>
      <c r="AH1205" s="985">
        <v>8</v>
      </c>
      <c r="AI1205" s="985">
        <v>0</v>
      </c>
      <c r="AJ1205" s="1193">
        <f>VLOOKUP($I1205,'Price List, Weapons &amp; Items'!B:F,5,0)</f>
        <v>1</v>
      </c>
      <c r="AK1205" s="1193">
        <f t="shared" si="251"/>
        <v>0</v>
      </c>
      <c r="AL1205" s="1193">
        <f t="shared" si="252"/>
        <v>0</v>
      </c>
      <c r="AM1205" s="1193">
        <f t="shared" si="253"/>
        <v>0</v>
      </c>
      <c r="AN1205" s="1194" t="str">
        <f>VLOOKUP($I1205,'Price List, Weapons &amp; Items'!B:L,COLUMN('Price List, Weapons &amp; Items'!$J$11)-1,0)</f>
        <v>Contracts</v>
      </c>
      <c r="AO1205" s="1194" t="str">
        <f>IF(I1205=".",".",VLOOKUP($I1205,'Price List, Weapons &amp; Items'!B:J,3,0))</f>
        <v>Infantry fighting vehicle (IFV)</v>
      </c>
      <c r="AP1205" s="1195" t="str">
        <f t="shared" ca="1" si="247"/>
        <v>BMP-1</v>
      </c>
      <c r="AQ1205" s="1194">
        <f>VLOOKUP($I1205,'Price List, Weapons &amp; Items'!B:L,COLUMN('Price List, Weapons &amp; Items'!$L$11)-1,0)</f>
        <v>2</v>
      </c>
      <c r="AR1205" s="1194">
        <f t="shared" si="254"/>
        <v>1</v>
      </c>
      <c r="AS1205" s="1194">
        <f t="shared" si="255"/>
        <v>1</v>
      </c>
      <c r="AT1205" s="1194">
        <f t="shared" si="256"/>
        <v>1</v>
      </c>
      <c r="AU1205" s="1194" t="str">
        <f t="shared" si="257"/>
        <v>.</v>
      </c>
      <c r="AV1205" s="1194" t="str">
        <f t="shared" si="248"/>
        <v>.</v>
      </c>
      <c r="AW1205" s="1194" t="str">
        <f t="shared" si="258"/>
        <v>.</v>
      </c>
      <c r="AX1205" s="1194">
        <f>IFERROR(VLOOKUP(B1205,'Share, Heavy Weapons to Ukraine'!B:Z,COLUMN('Share, Heavy Weapons to Ukraine'!C1215)-1,0),0)</f>
        <v>0</v>
      </c>
      <c r="AY1205" s="1194">
        <f>VLOOKUP('Bilateral Assistance, MAIN DATA'!B1205,'Country Summary (€)'!B:F,COLUMN('Country Summary (€)'!C1216)-1,FALSE)</f>
        <v>1</v>
      </c>
      <c r="AZ1205" s="1194" t="str">
        <f>IF(AND(AD1205=1,D1205="Military",H1205&lt;&gt;"Not given")=TRUE,IF(SUMIFS(P:P,A:A,A1205)&gt;0,ABS((SUMIFS(P:P,A:A,A1205)/VLOOKUP("USD",'Exchange Rates'!B:C,2,0)))/S1205,"."),".")</f>
        <v>.</v>
      </c>
      <c r="BA1205" s="1196" t="str">
        <f>IF(AND(AD1205=1,D1205="Military",H1205&lt;&gt;"Not given")=TRUE,IF(SUMIFS(P:P,A:A,A1205)&gt;0,IF((ABS((SUMIFS(P:P,A:A,A1205)/VLOOKUP("USD",'Exchange Rates'!B:C,2,0)))/S1205)&gt;1,(SUMIFS(P:P,A:A,A1205)-S1205)/S1205,(S1205-SUMIFS(P:P,A:A,A1205))/SUMIFS(P:P,A:A,A1205)),"."),".")</f>
        <v>.</v>
      </c>
    </row>
    <row r="1206" spans="1:53" s="1180" customFormat="1" ht="15.95" customHeight="1">
      <c r="A1206" s="1208" t="s">
        <v>3313</v>
      </c>
      <c r="B1206" s="1208" t="s">
        <v>3261</v>
      </c>
      <c r="C1206" s="1220">
        <v>44907</v>
      </c>
      <c r="D1206" s="1208" t="s">
        <v>389</v>
      </c>
      <c r="E1206" s="1208" t="s">
        <v>390</v>
      </c>
      <c r="F1206" s="1208" t="s">
        <v>3314</v>
      </c>
      <c r="G1206" s="1184" t="s">
        <v>483</v>
      </c>
      <c r="H1206" s="1185">
        <v>9000000</v>
      </c>
      <c r="I1206" s="1296" t="s">
        <v>618</v>
      </c>
      <c r="J1206" s="1186" t="str">
        <f>VLOOKUP($I1206,'Price List, Weapons &amp; Items'!B:C,2,0)</f>
        <v>Military equipment</v>
      </c>
      <c r="K1206" s="1186" t="str">
        <f>IF(I1206=".",I1206,VLOOKUP($I1206,'Price List, Weapons &amp; Items'!B:D,3,0))</f>
        <v>Military equipment</v>
      </c>
      <c r="L1206" s="1187">
        <f>VLOOKUP(I1206,'Price List, Weapons &amp; Items'!B:E,4,0)</f>
        <v>0</v>
      </c>
      <c r="M1206" s="1188" t="s">
        <v>374</v>
      </c>
      <c r="N1206" s="1188" t="s">
        <v>374</v>
      </c>
      <c r="O1206" s="1188">
        <f>VLOOKUP($I1206,'Price List, Weapons &amp; Items'!B:G,6,0)</f>
        <v>59.234999999999999</v>
      </c>
      <c r="P1206" s="1185" t="str">
        <f t="shared" si="249"/>
        <v>.</v>
      </c>
      <c r="Q1206" s="1185" t="str">
        <f t="shared" si="250"/>
        <v>.</v>
      </c>
      <c r="R1206" s="1185">
        <f t="shared" si="246"/>
        <v>9000000</v>
      </c>
      <c r="S1206" s="1185">
        <f>IF(AND(AD1206=1,R1206&lt;&gt;".")=TRUE,R1206/VLOOKUP(G1206,'Exchange Rates'!B:C,2,0),IF(R1206=".",".",""))</f>
        <v>9000000</v>
      </c>
      <c r="T1206" s="1185" t="str">
        <f>IF(AD1206=1,IF(AF1206="Value is not given at all",".",IF(AF1206="Value is given by the source",S1206,IF(AF1206="Value is calculated with prices",(IF(SUMIFS(Q:Q,A:A,A1206)&gt;0,SUMIFS(Q:Q,A:A,A1206),"."))/VLOOKUP("USD",'Exchange Rates'!B:C,2,0),"Error with coding"))),"")</f>
        <v>.</v>
      </c>
      <c r="U1206" s="1184" t="s">
        <v>675</v>
      </c>
      <c r="V1206" s="979" t="s">
        <v>3268</v>
      </c>
      <c r="W1206" s="979" t="s">
        <v>3269</v>
      </c>
      <c r="X1206" s="979" t="s">
        <v>3315</v>
      </c>
      <c r="Y1206" s="1183" t="s">
        <v>364</v>
      </c>
      <c r="Z1206" s="1184">
        <v>0</v>
      </c>
      <c r="AA1206" s="1194">
        <v>0</v>
      </c>
      <c r="AB1206" s="1022" t="s">
        <v>364</v>
      </c>
      <c r="AC1206" s="1192" t="str">
        <f>""</f>
        <v/>
      </c>
      <c r="AD1206" s="985">
        <v>1</v>
      </c>
      <c r="AE1206" s="985" t="s">
        <v>368</v>
      </c>
      <c r="AF1206" s="985" t="s">
        <v>369</v>
      </c>
      <c r="AG1206" s="985">
        <v>1</v>
      </c>
      <c r="AH1206" s="985">
        <v>12</v>
      </c>
      <c r="AI1206" s="985">
        <v>0</v>
      </c>
      <c r="AJ1206" s="1193">
        <f>VLOOKUP($I1206,'Price List, Weapons &amp; Items'!B:F,5,0)</f>
        <v>0</v>
      </c>
      <c r="AK1206" s="1193">
        <f t="shared" si="251"/>
        <v>0</v>
      </c>
      <c r="AL1206" s="1193">
        <f t="shared" si="252"/>
        <v>0</v>
      </c>
      <c r="AM1206" s="1193">
        <f t="shared" si="253"/>
        <v>0</v>
      </c>
      <c r="AN1206" s="1194" t="str">
        <f>VLOOKUP($I1206,'Price List, Weapons &amp; Items'!B:L,COLUMN('Price List, Weapons &amp; Items'!$J$11)-1,0)</f>
        <v>Government information</v>
      </c>
      <c r="AO1206" s="1194" t="str">
        <f>IF(I1206=".",".",VLOOKUP($I1206,'Price List, Weapons &amp; Items'!B:J,3,0))</f>
        <v>Military equipment</v>
      </c>
      <c r="AP1206" s="1195" t="str">
        <f t="shared" ca="1" si="247"/>
        <v>winter clothing (general)</v>
      </c>
      <c r="AQ1206" s="1194">
        <f>VLOOKUP($I1206,'Price List, Weapons &amp; Items'!B:L,COLUMN('Price List, Weapons &amp; Items'!$L$11)-1,0)</f>
        <v>2</v>
      </c>
      <c r="AR1206" s="1194">
        <f t="shared" si="254"/>
        <v>0</v>
      </c>
      <c r="AS1206" s="1194">
        <f t="shared" si="255"/>
        <v>1</v>
      </c>
      <c r="AT1206" s="1194">
        <f t="shared" si="256"/>
        <v>1</v>
      </c>
      <c r="AU1206" s="1194" t="str">
        <f t="shared" si="257"/>
        <v>.</v>
      </c>
      <c r="AV1206" s="1194" t="str">
        <f t="shared" si="248"/>
        <v>.</v>
      </c>
      <c r="AW1206" s="1194" t="str">
        <f t="shared" si="258"/>
        <v>.</v>
      </c>
      <c r="AX1206" s="1194">
        <f>IFERROR(VLOOKUP(B1206,'Share, Heavy Weapons to Ukraine'!B:Z,COLUMN('Share, Heavy Weapons to Ukraine'!C1216)-1,0),0)</f>
        <v>0</v>
      </c>
      <c r="AY1206" s="1194">
        <f>VLOOKUP('Bilateral Assistance, MAIN DATA'!B1206,'Country Summary (€)'!B:F,COLUMN('Country Summary (€)'!C1217)-1,FALSE)</f>
        <v>1</v>
      </c>
      <c r="AZ1206" s="1194" t="str">
        <f>IF(AND(AD1206=1,D1206="Military",H1206&lt;&gt;"Not given")=TRUE,IF(SUMIFS(P:P,A:A,A1206)&gt;0,ABS((SUMIFS(P:P,A:A,A1206)/VLOOKUP("USD",'Exchange Rates'!B:C,2,0)))/S1206,"."),".")</f>
        <v>.</v>
      </c>
      <c r="BA1206" s="1196" t="str">
        <f>IF(AND(AD1206=1,D1206="Military",H1206&lt;&gt;"Not given")=TRUE,IF(SUMIFS(P:P,A:A,A1206)&gt;0,IF((ABS((SUMIFS(P:P,A:A,A1206)/VLOOKUP("USD",'Exchange Rates'!B:C,2,0)))/S1206)&gt;1,(SUMIFS(P:P,A:A,A1206)-S1206)/S1206,(S1206-SUMIFS(P:P,A:A,A1206))/SUMIFS(P:P,A:A,A1206)),"."),".")</f>
        <v>.</v>
      </c>
    </row>
    <row r="1207" spans="1:53" s="1180" customFormat="1" ht="15.95" customHeight="1">
      <c r="A1207" s="1208" t="s">
        <v>3313</v>
      </c>
      <c r="B1207" s="1208" t="s">
        <v>3261</v>
      </c>
      <c r="C1207" s="1220">
        <v>44907</v>
      </c>
      <c r="D1207" s="1208" t="s">
        <v>389</v>
      </c>
      <c r="E1207" s="1208" t="s">
        <v>390</v>
      </c>
      <c r="F1207" s="1208" t="s">
        <v>3314</v>
      </c>
      <c r="G1207" s="1184" t="s">
        <v>483</v>
      </c>
      <c r="H1207" s="1185">
        <v>9000000</v>
      </c>
      <c r="I1207" s="1297" t="s">
        <v>604</v>
      </c>
      <c r="J1207" s="1186" t="str">
        <f>VLOOKUP($I1207,'Price List, Weapons &amp; Items'!B:C,2,0)</f>
        <v>Military equipment</v>
      </c>
      <c r="K1207" s="1186" t="str">
        <f>IF(I1207=".",I1207,VLOOKUP($I1207,'Price List, Weapons &amp; Items'!B:D,3,0))</f>
        <v>Military equipment</v>
      </c>
      <c r="L1207" s="1187">
        <f>VLOOKUP(I1207,'Price List, Weapons &amp; Items'!B:E,4,0)</f>
        <v>0</v>
      </c>
      <c r="M1207" s="1188" t="s">
        <v>374</v>
      </c>
      <c r="N1207" s="1188" t="s">
        <v>374</v>
      </c>
      <c r="O1207" s="1188">
        <f>VLOOKUP($I1207,'Price List, Weapons &amp; Items'!B:G,6,0)</f>
        <v>500</v>
      </c>
      <c r="P1207" s="1185" t="str">
        <f t="shared" si="249"/>
        <v>.</v>
      </c>
      <c r="Q1207" s="1185" t="str">
        <f t="shared" si="250"/>
        <v>.</v>
      </c>
      <c r="R1207" s="1185" t="str">
        <f t="shared" si="246"/>
        <v/>
      </c>
      <c r="S1207" s="1185" t="str">
        <f>IF(AND(AD1207=1,R1207&lt;&gt;".")=TRUE,R1207/VLOOKUP(G1207,'Exchange Rates'!B:C,2,0),IF(R1207=".",".",""))</f>
        <v/>
      </c>
      <c r="T1207" s="1185" t="str">
        <f>IF(AD1207=1,IF(AF1207="Value is not given at all",".",IF(AF1207="Value is given by the source",S1207,IF(AF1207="Value is calculated with prices",(IF(SUMIFS(Q:Q,A:A,A1207)&gt;0,SUMIFS(Q:Q,A:A,A1207),"."))/VLOOKUP("USD",'Exchange Rates'!B:C,2,0),"Error with coding"))),"")</f>
        <v/>
      </c>
      <c r="U1207" s="1184" t="s">
        <v>675</v>
      </c>
      <c r="V1207" s="979" t="s">
        <v>3268</v>
      </c>
      <c r="W1207" s="979" t="s">
        <v>3269</v>
      </c>
      <c r="X1207" s="979" t="s">
        <v>3315</v>
      </c>
      <c r="Y1207" s="1183" t="s">
        <v>364</v>
      </c>
      <c r="Z1207" s="1184">
        <v>0</v>
      </c>
      <c r="AA1207" s="1194">
        <v>0</v>
      </c>
      <c r="AB1207" s="1022" t="s">
        <v>364</v>
      </c>
      <c r="AC1207" s="1192" t="str">
        <f>""</f>
        <v/>
      </c>
      <c r="AD1207" s="985">
        <v>0</v>
      </c>
      <c r="AE1207" s="985" t="s">
        <v>368</v>
      </c>
      <c r="AF1207" s="985" t="s">
        <v>369</v>
      </c>
      <c r="AG1207" s="985">
        <v>1</v>
      </c>
      <c r="AH1207" s="985">
        <v>12</v>
      </c>
      <c r="AI1207" s="985">
        <v>0</v>
      </c>
      <c r="AJ1207" s="1193">
        <f>VLOOKUP($I1207,'Price List, Weapons &amp; Items'!B:F,5,0)</f>
        <v>0</v>
      </c>
      <c r="AK1207" s="1193">
        <f t="shared" si="251"/>
        <v>0</v>
      </c>
      <c r="AL1207" s="1193">
        <f t="shared" si="252"/>
        <v>0</v>
      </c>
      <c r="AM1207" s="1193">
        <f t="shared" si="253"/>
        <v>0</v>
      </c>
      <c r="AN1207" s="1194" t="str">
        <f>VLOOKUP($I1207,'Price List, Weapons &amp; Items'!B:L,COLUMN('Price List, Weapons &amp; Items'!$J$11)-1,0)</f>
        <v>Military media (incl. websites)</v>
      </c>
      <c r="AO1207" s="1194" t="str">
        <f>IF(I1207=".",".",VLOOKUP($I1207,'Price List, Weapons &amp; Items'!B:J,3,0))</f>
        <v>Military equipment</v>
      </c>
      <c r="AP1207" s="1195" t="str">
        <f t="shared" ca="1" si="247"/>
        <v/>
      </c>
      <c r="AQ1207" s="1194">
        <f>VLOOKUP($I1207,'Price List, Weapons &amp; Items'!B:L,COLUMN('Price List, Weapons &amp; Items'!$L$11)-1,0)</f>
        <v>2</v>
      </c>
      <c r="AR1207" s="1194">
        <f t="shared" si="254"/>
        <v>0</v>
      </c>
      <c r="AS1207" s="1194">
        <f t="shared" si="255"/>
        <v>1</v>
      </c>
      <c r="AT1207" s="1194">
        <f t="shared" si="256"/>
        <v>1</v>
      </c>
      <c r="AU1207" s="1194" t="str">
        <f t="shared" si="257"/>
        <v>.</v>
      </c>
      <c r="AV1207" s="1194" t="str">
        <f t="shared" si="248"/>
        <v>.</v>
      </c>
      <c r="AW1207" s="1194" t="str">
        <f t="shared" si="258"/>
        <v>.</v>
      </c>
      <c r="AX1207" s="1194">
        <f>IFERROR(VLOOKUP(B1207,'Share, Heavy Weapons to Ukraine'!B:Z,COLUMN('Share, Heavy Weapons to Ukraine'!C1217)-1,0),0)</f>
        <v>0</v>
      </c>
      <c r="AY1207" s="1194">
        <f>VLOOKUP('Bilateral Assistance, MAIN DATA'!B1207,'Country Summary (€)'!B:F,COLUMN('Country Summary (€)'!C1218)-1,FALSE)</f>
        <v>1</v>
      </c>
      <c r="AZ1207" s="1194" t="str">
        <f>IF(AND(AD1207=1,D1207="Military",H1207&lt;&gt;"Not given")=TRUE,IF(SUMIFS(P:P,A:A,A1207)&gt;0,ABS((SUMIFS(P:P,A:A,A1207)/VLOOKUP("USD",'Exchange Rates'!B:C,2,0)))/S1207,"."),".")</f>
        <v>.</v>
      </c>
      <c r="BA1207" s="1196" t="str">
        <f>IF(AND(AD1207=1,D1207="Military",H1207&lt;&gt;"Not given")=TRUE,IF(SUMIFS(P:P,A:A,A1207)&gt;0,IF((ABS((SUMIFS(P:P,A:A,A1207)/VLOOKUP("USD",'Exchange Rates'!B:C,2,0)))/S1207)&gt;1,(SUMIFS(P:P,A:A,A1207)-S1207)/S1207,(S1207-SUMIFS(P:P,A:A,A1207))/SUMIFS(P:P,A:A,A1207)),"."),".")</f>
        <v>.</v>
      </c>
    </row>
    <row r="1208" spans="1:53" s="1180" customFormat="1" ht="15.95" customHeight="1">
      <c r="A1208" s="1208" t="s">
        <v>3313</v>
      </c>
      <c r="B1208" s="1208" t="s">
        <v>3261</v>
      </c>
      <c r="C1208" s="1220">
        <v>44907</v>
      </c>
      <c r="D1208" s="1208" t="s">
        <v>389</v>
      </c>
      <c r="E1208" s="1208" t="s">
        <v>390</v>
      </c>
      <c r="F1208" s="1208" t="s">
        <v>3314</v>
      </c>
      <c r="G1208" s="1184" t="s">
        <v>483</v>
      </c>
      <c r="H1208" s="1185">
        <v>9000000</v>
      </c>
      <c r="I1208" s="1239" t="s">
        <v>3316</v>
      </c>
      <c r="J1208" s="1186" t="str">
        <f>VLOOKUP($I1208,'Price List, Weapons &amp; Items'!B:C,2,0)</f>
        <v>Military equipment</v>
      </c>
      <c r="K1208" s="1186" t="str">
        <f>IF(I1208=".",I1208,VLOOKUP($I1208,'Price List, Weapons &amp; Items'!B:D,3,0))</f>
        <v>Armored Utility Vehicle (AUV)</v>
      </c>
      <c r="L1208" s="1187">
        <f>VLOOKUP(I1208,'Price List, Weapons &amp; Items'!B:E,4,0)</f>
        <v>0</v>
      </c>
      <c r="M1208" s="1188" t="s">
        <v>374</v>
      </c>
      <c r="N1208" s="1188" t="s">
        <v>374</v>
      </c>
      <c r="O1208" s="1188" t="str">
        <f>VLOOKUP($I1208,'Price List, Weapons &amp; Items'!B:G,6,0)</f>
        <v>.</v>
      </c>
      <c r="P1208" s="1185" t="str">
        <f t="shared" si="249"/>
        <v>.</v>
      </c>
      <c r="Q1208" s="1185" t="str">
        <f t="shared" si="250"/>
        <v>.</v>
      </c>
      <c r="R1208" s="1185" t="str">
        <f t="shared" si="246"/>
        <v/>
      </c>
      <c r="S1208" s="1185" t="str">
        <f>IF(AND(AD1208=1,R1208&lt;&gt;".")=TRUE,R1208/VLOOKUP(G1208,'Exchange Rates'!B:C,2,0),IF(R1208=".",".",""))</f>
        <v/>
      </c>
      <c r="T1208" s="1185" t="str">
        <f>IF(AD1208=1,IF(AF1208="Value is not given at all",".",IF(AF1208="Value is given by the source",S1208,IF(AF1208="Value is calculated with prices",(IF(SUMIFS(Q:Q,A:A,A1208)&gt;0,SUMIFS(Q:Q,A:A,A1208),"."))/VLOOKUP("USD",'Exchange Rates'!B:C,2,0),"Error with coding"))),"")</f>
        <v/>
      </c>
      <c r="U1208" s="1184" t="s">
        <v>675</v>
      </c>
      <c r="V1208" s="979" t="s">
        <v>3268</v>
      </c>
      <c r="W1208" s="979" t="s">
        <v>3269</v>
      </c>
      <c r="X1208" s="979" t="s">
        <v>3315</v>
      </c>
      <c r="Y1208" s="1183" t="s">
        <v>364</v>
      </c>
      <c r="Z1208" s="1184">
        <v>0</v>
      </c>
      <c r="AA1208" s="1194">
        <v>0</v>
      </c>
      <c r="AB1208" s="1022" t="s">
        <v>364</v>
      </c>
      <c r="AC1208" s="1192" t="str">
        <f>""</f>
        <v/>
      </c>
      <c r="AD1208" s="985">
        <v>0</v>
      </c>
      <c r="AE1208" s="985" t="s">
        <v>368</v>
      </c>
      <c r="AF1208" s="985" t="s">
        <v>369</v>
      </c>
      <c r="AG1208" s="985">
        <v>1</v>
      </c>
      <c r="AH1208" s="985">
        <v>12</v>
      </c>
      <c r="AI1208" s="985">
        <v>0</v>
      </c>
      <c r="AJ1208" s="1193">
        <f>VLOOKUP($I1208,'Price List, Weapons &amp; Items'!B:F,5,0)</f>
        <v>1</v>
      </c>
      <c r="AK1208" s="1193">
        <f t="shared" si="251"/>
        <v>1</v>
      </c>
      <c r="AL1208" s="1193">
        <f t="shared" si="252"/>
        <v>1</v>
      </c>
      <c r="AM1208" s="1193">
        <f t="shared" si="253"/>
        <v>0</v>
      </c>
      <c r="AN1208" s="1194" t="str">
        <f>VLOOKUP($I1208,'Price List, Weapons &amp; Items'!B:L,COLUMN('Price List, Weapons &amp; Items'!$J$11)-1,0)</f>
        <v>.</v>
      </c>
      <c r="AO1208" s="1194" t="str">
        <f>IF(I1208=".",".",VLOOKUP($I1208,'Price List, Weapons &amp; Items'!B:J,3,0))</f>
        <v>Armored Utility Vehicle (AUV)</v>
      </c>
      <c r="AP1208" s="1195" t="str">
        <f t="shared" ca="1" si="247"/>
        <v/>
      </c>
      <c r="AQ1208" s="1194" t="str">
        <f>VLOOKUP($I1208,'Price List, Weapons &amp; Items'!B:L,COLUMN('Price List, Weapons &amp; Items'!$L$11)-1,0)</f>
        <v>no price, 0 count</v>
      </c>
      <c r="AR1208" s="1194">
        <f t="shared" si="254"/>
        <v>0</v>
      </c>
      <c r="AS1208" s="1194">
        <f t="shared" si="255"/>
        <v>1</v>
      </c>
      <c r="AT1208" s="1194">
        <f t="shared" si="256"/>
        <v>1</v>
      </c>
      <c r="AU1208" s="1194" t="str">
        <f t="shared" si="257"/>
        <v>.</v>
      </c>
      <c r="AV1208" s="1194" t="str">
        <f t="shared" si="248"/>
        <v>.</v>
      </c>
      <c r="AW1208" s="1194" t="str">
        <f t="shared" si="258"/>
        <v>.</v>
      </c>
      <c r="AX1208" s="1194">
        <f>IFERROR(VLOOKUP(B1208,'Share, Heavy Weapons to Ukraine'!B:Z,COLUMN('Share, Heavy Weapons to Ukraine'!C1218)-1,0),0)</f>
        <v>0</v>
      </c>
      <c r="AY1208" s="1194">
        <f>VLOOKUP('Bilateral Assistance, MAIN DATA'!B1208,'Country Summary (€)'!B:F,COLUMN('Country Summary (€)'!C1219)-1,FALSE)</f>
        <v>1</v>
      </c>
      <c r="AZ1208" s="1194" t="str">
        <f>IF(AND(AD1208=1,D1208="Military",H1208&lt;&gt;"Not given")=TRUE,IF(SUMIFS(P:P,A:A,A1208)&gt;0,ABS((SUMIFS(P:P,A:A,A1208)/VLOOKUP("USD",'Exchange Rates'!B:C,2,0)))/S1208,"."),".")</f>
        <v>.</v>
      </c>
      <c r="BA1208" s="1196" t="str">
        <f>IF(AND(AD1208=1,D1208="Military",H1208&lt;&gt;"Not given")=TRUE,IF(SUMIFS(P:P,A:A,A1208)&gt;0,IF((ABS((SUMIFS(P:P,A:A,A1208)/VLOOKUP("USD",'Exchange Rates'!B:C,2,0)))/S1208)&gt;1,(SUMIFS(P:P,A:A,A1208)-S1208)/S1208,(S1208-SUMIFS(P:P,A:A,A1208))/SUMIFS(P:P,A:A,A1208)),"."),".")</f>
        <v>.</v>
      </c>
    </row>
    <row r="1209" spans="1:53" s="1180" customFormat="1" ht="15.95" customHeight="1">
      <c r="A1209" s="1208" t="s">
        <v>3313</v>
      </c>
      <c r="B1209" s="1208" t="s">
        <v>3261</v>
      </c>
      <c r="C1209" s="1220">
        <v>44907</v>
      </c>
      <c r="D1209" s="1208" t="s">
        <v>389</v>
      </c>
      <c r="E1209" s="1208" t="s">
        <v>390</v>
      </c>
      <c r="F1209" s="1208" t="s">
        <v>3314</v>
      </c>
      <c r="G1209" s="1184" t="s">
        <v>483</v>
      </c>
      <c r="H1209" s="1185">
        <v>9000000</v>
      </c>
      <c r="I1209" s="1183" t="s">
        <v>3317</v>
      </c>
      <c r="J1209" s="1186" t="str">
        <f>VLOOKUP($I1209,'Price List, Weapons &amp; Items'!B:C,2,0)</f>
        <v>Ammunition for light infantry</v>
      </c>
      <c r="K1209" s="1186" t="str">
        <f>IF(I1209=".",I1209,VLOOKUP($I1209,'Price List, Weapons &amp; Items'!B:D,3,0))</f>
        <v>Small Arms and Light Weapons (SALW) ammunition</v>
      </c>
      <c r="L1209" s="1187">
        <f>VLOOKUP(I1209,'Price List, Weapons &amp; Items'!B:E,4,0)</f>
        <v>0</v>
      </c>
      <c r="M1209" s="1188" t="s">
        <v>374</v>
      </c>
      <c r="N1209" s="1188" t="s">
        <v>374</v>
      </c>
      <c r="O1209" s="1188" t="str">
        <f>VLOOKUP($I1209,'Price List, Weapons &amp; Items'!B:G,6,0)</f>
        <v>.</v>
      </c>
      <c r="P1209" s="1185" t="str">
        <f t="shared" si="249"/>
        <v>.</v>
      </c>
      <c r="Q1209" s="1185" t="str">
        <f t="shared" si="250"/>
        <v>.</v>
      </c>
      <c r="R1209" s="1185" t="str">
        <f t="shared" si="246"/>
        <v/>
      </c>
      <c r="S1209" s="1185" t="str">
        <f>IF(AND(AD1209=1,R1209&lt;&gt;".")=TRUE,R1209/VLOOKUP(G1209,'Exchange Rates'!B:C,2,0),IF(R1209=".",".",""))</f>
        <v/>
      </c>
      <c r="T1209" s="1185" t="str">
        <f>IF(AD1209=1,IF(AF1209="Value is not given at all",".",IF(AF1209="Value is given by the source",S1209,IF(AF1209="Value is calculated with prices",(IF(SUMIFS(Q:Q,A:A,A1209)&gt;0,SUMIFS(Q:Q,A:A,A1209),"."))/VLOOKUP("USD",'Exchange Rates'!B:C,2,0),"Error with coding"))),"")</f>
        <v/>
      </c>
      <c r="U1209" s="1184" t="s">
        <v>675</v>
      </c>
      <c r="V1209" s="979" t="s">
        <v>3268</v>
      </c>
      <c r="W1209" s="979" t="s">
        <v>3269</v>
      </c>
      <c r="X1209" s="979" t="s">
        <v>3315</v>
      </c>
      <c r="Y1209" s="1183" t="s">
        <v>364</v>
      </c>
      <c r="Z1209" s="1184">
        <v>0</v>
      </c>
      <c r="AA1209" s="1194">
        <v>0</v>
      </c>
      <c r="AB1209" s="1022" t="s">
        <v>364</v>
      </c>
      <c r="AC1209" s="1192" t="str">
        <f>""</f>
        <v/>
      </c>
      <c r="AD1209" s="985">
        <v>0</v>
      </c>
      <c r="AE1209" s="985" t="s">
        <v>368</v>
      </c>
      <c r="AF1209" s="985" t="s">
        <v>369</v>
      </c>
      <c r="AG1209" s="985">
        <v>1</v>
      </c>
      <c r="AH1209" s="985">
        <v>12</v>
      </c>
      <c r="AI1209" s="985">
        <v>0</v>
      </c>
      <c r="AJ1209" s="1193">
        <f>VLOOKUP($I1209,'Price List, Weapons &amp; Items'!B:F,5,0)</f>
        <v>0</v>
      </c>
      <c r="AK1209" s="1193">
        <f t="shared" si="251"/>
        <v>0</v>
      </c>
      <c r="AL1209" s="1193">
        <f t="shared" si="252"/>
        <v>0</v>
      </c>
      <c r="AM1209" s="1193">
        <f t="shared" si="253"/>
        <v>1</v>
      </c>
      <c r="AN1209" s="1194" t="str">
        <f>VLOOKUP($I1209,'Price List, Weapons &amp; Items'!B:L,COLUMN('Price List, Weapons &amp; Items'!$J$11)-1,0)</f>
        <v>.</v>
      </c>
      <c r="AO1209" s="1194" t="str">
        <f>IF(I1209=".",".",VLOOKUP($I1209,'Price List, Weapons &amp; Items'!B:J,3,0))</f>
        <v>Small Arms and Light Weapons (SALW) ammunition</v>
      </c>
      <c r="AP1209" s="1195" t="str">
        <f t="shared" ca="1" si="247"/>
        <v/>
      </c>
      <c r="AQ1209" s="1194" t="str">
        <f>VLOOKUP($I1209,'Price List, Weapons &amp; Items'!B:L,COLUMN('Price List, Weapons &amp; Items'!$L$11)-1,0)</f>
        <v>no price, 0 count</v>
      </c>
      <c r="AR1209" s="1194">
        <f t="shared" si="254"/>
        <v>0</v>
      </c>
      <c r="AS1209" s="1194">
        <f t="shared" si="255"/>
        <v>1</v>
      </c>
      <c r="AT1209" s="1194">
        <f t="shared" si="256"/>
        <v>1</v>
      </c>
      <c r="AU1209" s="1194" t="str">
        <f t="shared" si="257"/>
        <v>.</v>
      </c>
      <c r="AV1209" s="1194" t="str">
        <f t="shared" si="248"/>
        <v>.</v>
      </c>
      <c r="AW1209" s="1194" t="str">
        <f t="shared" si="258"/>
        <v>.</v>
      </c>
      <c r="AX1209" s="1194">
        <f>IFERROR(VLOOKUP(B1209,'Share, Heavy Weapons to Ukraine'!B:Z,COLUMN('Share, Heavy Weapons to Ukraine'!C1219)-1,0),0)</f>
        <v>0</v>
      </c>
      <c r="AY1209" s="1194">
        <f>VLOOKUP('Bilateral Assistance, MAIN DATA'!B1209,'Country Summary (€)'!B:F,COLUMN('Country Summary (€)'!C1220)-1,FALSE)</f>
        <v>1</v>
      </c>
      <c r="AZ1209" s="1194" t="str">
        <f>IF(AND(AD1209=1,D1209="Military",H1209&lt;&gt;"Not given")=TRUE,IF(SUMIFS(P:P,A:A,A1209)&gt;0,ABS((SUMIFS(P:P,A:A,A1209)/VLOOKUP("USD",'Exchange Rates'!B:C,2,0)))/S1209,"."),".")</f>
        <v>.</v>
      </c>
      <c r="BA1209" s="1196" t="str">
        <f>IF(AND(AD1209=1,D1209="Military",H1209&lt;&gt;"Not given")=TRUE,IF(SUMIFS(P:P,A:A,A1209)&gt;0,IF((ABS((SUMIFS(P:P,A:A,A1209)/VLOOKUP("USD",'Exchange Rates'!B:C,2,0)))/S1209)&gt;1,(SUMIFS(P:P,A:A,A1209)-S1209)/S1209,(S1209-SUMIFS(P:P,A:A,A1209))/SUMIFS(P:P,A:A,A1209)),"."),".")</f>
        <v>.</v>
      </c>
    </row>
    <row r="1210" spans="1:53" s="1180" customFormat="1" ht="15.95" customHeight="1">
      <c r="A1210" s="1208" t="s">
        <v>3313</v>
      </c>
      <c r="B1210" s="1208" t="s">
        <v>3261</v>
      </c>
      <c r="C1210" s="1220">
        <v>44907</v>
      </c>
      <c r="D1210" s="1208" t="s">
        <v>389</v>
      </c>
      <c r="E1210" s="1208" t="s">
        <v>390</v>
      </c>
      <c r="F1210" s="1208" t="s">
        <v>3314</v>
      </c>
      <c r="G1210" s="1184" t="s">
        <v>483</v>
      </c>
      <c r="H1210" s="1185">
        <v>9000000</v>
      </c>
      <c r="I1210" s="1239" t="s">
        <v>3318</v>
      </c>
      <c r="J1210" s="1186" t="str">
        <f>VLOOKUP($I1210,'Price List, Weapons &amp; Items'!B:C,2,0)</f>
        <v>Ammunition</v>
      </c>
      <c r="K1210" s="1186" t="str">
        <f>IF(I1210=".",I1210,VLOOKUP($I1210,'Price List, Weapons &amp; Items'!B:D,3,0))</f>
        <v xml:space="preserve">Fighter jet ammunition </v>
      </c>
      <c r="L1210" s="1187">
        <f>VLOOKUP(I1210,'Price List, Weapons &amp; Items'!B:E,4,0)</f>
        <v>0</v>
      </c>
      <c r="M1210" s="1188" t="s">
        <v>374</v>
      </c>
      <c r="N1210" s="1188" t="s">
        <v>374</v>
      </c>
      <c r="O1210" s="1188" t="str">
        <f>VLOOKUP($I1210,'Price List, Weapons &amp; Items'!B:G,6,0)</f>
        <v>.</v>
      </c>
      <c r="P1210" s="1185" t="str">
        <f t="shared" si="249"/>
        <v>.</v>
      </c>
      <c r="Q1210" s="1185" t="str">
        <f t="shared" si="250"/>
        <v>.</v>
      </c>
      <c r="R1210" s="1185" t="str">
        <f t="shared" si="246"/>
        <v/>
      </c>
      <c r="S1210" s="1185" t="str">
        <f>IF(AND(AD1210=1,R1210&lt;&gt;".")=TRUE,R1210/VLOOKUP(G1210,'Exchange Rates'!B:C,2,0),IF(R1210=".",".",""))</f>
        <v/>
      </c>
      <c r="T1210" s="1185" t="str">
        <f>IF(AD1210=1,IF(AF1210="Value is not given at all",".",IF(AF1210="Value is given by the source",S1210,IF(AF1210="Value is calculated with prices",(IF(SUMIFS(Q:Q,A:A,A1210)&gt;0,SUMIFS(Q:Q,A:A,A1210),"."))/VLOOKUP("USD",'Exchange Rates'!B:C,2,0),"Error with coding"))),"")</f>
        <v/>
      </c>
      <c r="U1210" s="1184" t="s">
        <v>675</v>
      </c>
      <c r="V1210" s="979" t="s">
        <v>3268</v>
      </c>
      <c r="W1210" s="979" t="s">
        <v>3269</v>
      </c>
      <c r="X1210" s="979" t="s">
        <v>3315</v>
      </c>
      <c r="Y1210" s="1183" t="s">
        <v>364</v>
      </c>
      <c r="Z1210" s="1184">
        <v>0</v>
      </c>
      <c r="AA1210" s="1194">
        <v>0</v>
      </c>
      <c r="AB1210" s="1022" t="s">
        <v>364</v>
      </c>
      <c r="AC1210" s="1192" t="str">
        <f>""</f>
        <v/>
      </c>
      <c r="AD1210" s="985">
        <v>0</v>
      </c>
      <c r="AE1210" s="985" t="s">
        <v>368</v>
      </c>
      <c r="AF1210" s="985" t="s">
        <v>369</v>
      </c>
      <c r="AG1210" s="985">
        <v>1</v>
      </c>
      <c r="AH1210" s="985">
        <v>12</v>
      </c>
      <c r="AI1210" s="985">
        <v>0</v>
      </c>
      <c r="AJ1210" s="1193">
        <f>VLOOKUP($I1210,'Price List, Weapons &amp; Items'!B:F,5,0)</f>
        <v>0</v>
      </c>
      <c r="AK1210" s="1193">
        <f t="shared" si="251"/>
        <v>0</v>
      </c>
      <c r="AL1210" s="1193">
        <f t="shared" si="252"/>
        <v>0</v>
      </c>
      <c r="AM1210" s="1193">
        <f t="shared" si="253"/>
        <v>1</v>
      </c>
      <c r="AN1210" s="1194" t="str">
        <f>VLOOKUP($I1210,'Price List, Weapons &amp; Items'!B:L,COLUMN('Price List, Weapons &amp; Items'!$J$11)-1,0)</f>
        <v>.</v>
      </c>
      <c r="AO1210" s="1194" t="str">
        <f>IF(I1210=".",".",VLOOKUP($I1210,'Price List, Weapons &amp; Items'!B:J,3,0))</f>
        <v xml:space="preserve">Fighter jet ammunition </v>
      </c>
      <c r="AP1210" s="1195" t="str">
        <f t="shared" ca="1" si="247"/>
        <v/>
      </c>
      <c r="AQ1210" s="1194" t="str">
        <f>VLOOKUP($I1210,'Price List, Weapons &amp; Items'!B:L,COLUMN('Price List, Weapons &amp; Items'!$L$11)-1,0)</f>
        <v>no price, 0 count</v>
      </c>
      <c r="AR1210" s="1194">
        <f t="shared" si="254"/>
        <v>0</v>
      </c>
      <c r="AS1210" s="1194">
        <f t="shared" si="255"/>
        <v>1</v>
      </c>
      <c r="AT1210" s="1194">
        <f t="shared" si="256"/>
        <v>1</v>
      </c>
      <c r="AU1210" s="1194" t="str">
        <f t="shared" si="257"/>
        <v>.</v>
      </c>
      <c r="AV1210" s="1194" t="str">
        <f t="shared" si="248"/>
        <v>.</v>
      </c>
      <c r="AW1210" s="1194" t="str">
        <f t="shared" si="258"/>
        <v>.</v>
      </c>
      <c r="AX1210" s="1194">
        <f>IFERROR(VLOOKUP(B1210,'Share, Heavy Weapons to Ukraine'!B:Z,COLUMN('Share, Heavy Weapons to Ukraine'!C1220)-1,0),0)</f>
        <v>0</v>
      </c>
      <c r="AY1210" s="1194">
        <f>VLOOKUP('Bilateral Assistance, MAIN DATA'!B1210,'Country Summary (€)'!B:F,COLUMN('Country Summary (€)'!C1221)-1,FALSE)</f>
        <v>1</v>
      </c>
      <c r="AZ1210" s="1194" t="str">
        <f>IF(AND(AD1210=1,D1210="Military",H1210&lt;&gt;"Not given")=TRUE,IF(SUMIFS(P:P,A:A,A1210)&gt;0,ABS((SUMIFS(P:P,A:A,A1210)/VLOOKUP("USD",'Exchange Rates'!B:C,2,0)))/S1210,"."),".")</f>
        <v>.</v>
      </c>
      <c r="BA1210" s="1196" t="str">
        <f>IF(AND(AD1210=1,D1210="Military",H1210&lt;&gt;"Not given")=TRUE,IF(SUMIFS(P:P,A:A,A1210)&gt;0,IF((ABS((SUMIFS(P:P,A:A,A1210)/VLOOKUP("USD",'Exchange Rates'!B:C,2,0)))/S1210)&gt;1,(SUMIFS(P:P,A:A,A1210)-S1210)/S1210,(S1210-SUMIFS(P:P,A:A,A1210))/SUMIFS(P:P,A:A,A1210)),"."),".")</f>
        <v>.</v>
      </c>
    </row>
    <row r="1211" spans="1:53" s="1180" customFormat="1" ht="15.95" customHeight="1">
      <c r="A1211" s="1208" t="s">
        <v>3319</v>
      </c>
      <c r="B1211" s="1208" t="s">
        <v>3261</v>
      </c>
      <c r="C1211" s="1220">
        <v>44955</v>
      </c>
      <c r="D1211" s="1208" t="s">
        <v>389</v>
      </c>
      <c r="E1211" s="1208" t="s">
        <v>361</v>
      </c>
      <c r="F1211" s="1208" t="s">
        <v>3320</v>
      </c>
      <c r="G1211" s="1184" t="s">
        <v>364</v>
      </c>
      <c r="H1211" s="1185" t="s">
        <v>457</v>
      </c>
      <c r="I1211" s="1190" t="s">
        <v>364</v>
      </c>
      <c r="J1211" s="1186" t="str">
        <f>VLOOKUP($I1211,'Price List, Weapons &amp; Items'!B:C,2,0)</f>
        <v>.</v>
      </c>
      <c r="K1211" s="1186" t="str">
        <f>IF(I1211=".",I1211,VLOOKUP($I1211,'Price List, Weapons &amp; Items'!B:D,3,0))</f>
        <v>.</v>
      </c>
      <c r="L1211" s="1187">
        <f>VLOOKUP(I1211,'Price List, Weapons &amp; Items'!B:E,4,0)</f>
        <v>0</v>
      </c>
      <c r="M1211" s="1188" t="s">
        <v>364</v>
      </c>
      <c r="N1211" s="1188" t="s">
        <v>364</v>
      </c>
      <c r="O1211" s="1188" t="str">
        <f>VLOOKUP($I1211,'Price List, Weapons &amp; Items'!B:G,6,0)</f>
        <v>.</v>
      </c>
      <c r="P1211" s="1185" t="str">
        <f t="shared" si="249"/>
        <v>.</v>
      </c>
      <c r="Q1211" s="1185" t="str">
        <f t="shared" si="250"/>
        <v>.</v>
      </c>
      <c r="R1211" s="1185" t="str">
        <f t="shared" si="246"/>
        <v>.</v>
      </c>
      <c r="S1211" s="1185" t="str">
        <f>IF(AND(AD1211=1,R1211&lt;&gt;".")=TRUE,R1211/VLOOKUP(G1211,'Exchange Rates'!B:C,2,0),IF(R1211=".",".",""))</f>
        <v>.</v>
      </c>
      <c r="T1211" s="1185" t="str">
        <f>IF(AD1211=1,IF(AF1211="Value is not given at all",".",IF(AF1211="Value is given by the source",S1211,IF(AF1211="Value is calculated with prices",(IF(SUMIFS(Q:Q,A:A,A1211)&gt;0,SUMIFS(Q:Q,A:A,A1211),"."))/VLOOKUP("USD",'Exchange Rates'!B:C,2,0),"Error with coding"))),"")</f>
        <v>.</v>
      </c>
      <c r="U1211" s="1184" t="s">
        <v>365</v>
      </c>
      <c r="V1211" s="1037" t="s">
        <v>1372</v>
      </c>
      <c r="W1211" s="1038" t="s">
        <v>364</v>
      </c>
      <c r="X1211" s="1038" t="s">
        <v>364</v>
      </c>
      <c r="Y1211" s="1183" t="s">
        <v>364</v>
      </c>
      <c r="Z1211" s="1184">
        <v>0</v>
      </c>
      <c r="AA1211" s="1194">
        <v>0</v>
      </c>
      <c r="AB1211" s="1022" t="s">
        <v>364</v>
      </c>
      <c r="AC1211" s="1192" t="str">
        <f>""</f>
        <v/>
      </c>
      <c r="AD1211" s="985">
        <v>1</v>
      </c>
      <c r="AE1211" s="985" t="s">
        <v>369</v>
      </c>
      <c r="AF1211" s="985" t="s">
        <v>369</v>
      </c>
      <c r="AG1211" s="985">
        <v>1</v>
      </c>
      <c r="AH1211" s="985">
        <v>13</v>
      </c>
      <c r="AI1211" s="985">
        <v>0</v>
      </c>
      <c r="AJ1211" s="1193">
        <f>VLOOKUP($I1211,'Price List, Weapons &amp; Items'!B:F,5,0)</f>
        <v>0</v>
      </c>
      <c r="AK1211" s="1193">
        <f t="shared" si="251"/>
        <v>0</v>
      </c>
      <c r="AL1211" s="1193">
        <f t="shared" si="252"/>
        <v>0</v>
      </c>
      <c r="AM1211" s="1193">
        <f t="shared" si="253"/>
        <v>0</v>
      </c>
      <c r="AN1211" s="1194" t="str">
        <f>VLOOKUP($I1211,'Price List, Weapons &amp; Items'!B:L,COLUMN('Price List, Weapons &amp; Items'!$J$11)-1,0)</f>
        <v>.</v>
      </c>
      <c r="AO1211" s="1194" t="str">
        <f>IF(I1211=".",".",VLOOKUP($I1211,'Price List, Weapons &amp; Items'!B:J,3,0))</f>
        <v>.</v>
      </c>
      <c r="AP1211" s="1195" t="str">
        <f t="shared" ca="1" si="247"/>
        <v>.</v>
      </c>
      <c r="AQ1211" s="1194">
        <f>VLOOKUP($I1211,'Price List, Weapons &amp; Items'!B:L,COLUMN('Price List, Weapons &amp; Items'!$L$11)-1,0)</f>
        <v>0</v>
      </c>
      <c r="AR1211" s="1194">
        <f t="shared" si="254"/>
        <v>1</v>
      </c>
      <c r="AS1211" s="1194">
        <f t="shared" si="255"/>
        <v>0</v>
      </c>
      <c r="AT1211" s="1194">
        <f t="shared" si="256"/>
        <v>1</v>
      </c>
      <c r="AU1211" s="1194" t="str">
        <f t="shared" si="257"/>
        <v>.</v>
      </c>
      <c r="AV1211" s="1194" t="str">
        <f t="shared" si="248"/>
        <v>.</v>
      </c>
      <c r="AW1211" s="1194" t="str">
        <f t="shared" si="258"/>
        <v>.</v>
      </c>
      <c r="AX1211" s="1194">
        <f>IFERROR(VLOOKUP(B1211,'Share, Heavy Weapons to Ukraine'!B:Z,COLUMN('Share, Heavy Weapons to Ukraine'!C1221)-1,0),0)</f>
        <v>0</v>
      </c>
      <c r="AY1211" s="1194">
        <f>VLOOKUP('Bilateral Assistance, MAIN DATA'!B1211,'Country Summary (€)'!B:F,COLUMN('Country Summary (€)'!C1222)-1,FALSE)</f>
        <v>1</v>
      </c>
      <c r="AZ1211" s="1194" t="str">
        <f>IF(AND(AD1211=1,D1211="Military",H1211&lt;&gt;"Not given")=TRUE,IF(SUMIFS(P:P,A:A,A1211)&gt;0,ABS((SUMIFS(P:P,A:A,A1211)/VLOOKUP("USD",'Exchange Rates'!B:C,2,0)))/S1211,"."),".")</f>
        <v>.</v>
      </c>
      <c r="BA1211" s="1196" t="str">
        <f>IF(AND(AD1211=1,D1211="Military",H1211&lt;&gt;"Not given")=TRUE,IF(SUMIFS(P:P,A:A,A1211)&gt;0,IF((ABS((SUMIFS(P:P,A:A,A1211)/VLOOKUP("USD",'Exchange Rates'!B:C,2,0)))/S1211)&gt;1,(SUMIFS(P:P,A:A,A1211)-S1211)/S1211,(S1211-SUMIFS(P:P,A:A,A1211))/SUMIFS(P:P,A:A,A1211)),"."),".")</f>
        <v>.</v>
      </c>
    </row>
    <row r="1212" spans="1:53" s="1180" customFormat="1" ht="15.95" customHeight="1">
      <c r="A1212" s="1208" t="s">
        <v>3321</v>
      </c>
      <c r="B1212" s="1208" t="s">
        <v>3261</v>
      </c>
      <c r="C1212" s="1220">
        <v>44984</v>
      </c>
      <c r="D1212" s="1208" t="s">
        <v>389</v>
      </c>
      <c r="E1212" s="1208" t="s">
        <v>390</v>
      </c>
      <c r="F1212" s="1208" t="s">
        <v>3322</v>
      </c>
      <c r="G1212" s="1184" t="s">
        <v>483</v>
      </c>
      <c r="H1212" s="1185">
        <v>4500000</v>
      </c>
      <c r="I1212" s="1190" t="s">
        <v>364</v>
      </c>
      <c r="J1212" s="1186" t="str">
        <f>VLOOKUP($I1212,'Price List, Weapons &amp; Items'!B:C,2,0)</f>
        <v>.</v>
      </c>
      <c r="K1212" s="1186" t="str">
        <f>IF(I1212=".",I1212,VLOOKUP($I1212,'Price List, Weapons &amp; Items'!B:D,3,0))</f>
        <v>.</v>
      </c>
      <c r="L1212" s="1187">
        <f>VLOOKUP(I1212,'Price List, Weapons &amp; Items'!B:E,4,0)</f>
        <v>0</v>
      </c>
      <c r="M1212" s="1188" t="s">
        <v>364</v>
      </c>
      <c r="N1212" s="1188" t="s">
        <v>364</v>
      </c>
      <c r="O1212" s="1188" t="str">
        <f>VLOOKUP($I1212,'Price List, Weapons &amp; Items'!B:G,6,0)</f>
        <v>.</v>
      </c>
      <c r="P1212" s="1185" t="str">
        <f t="shared" si="249"/>
        <v>.</v>
      </c>
      <c r="Q1212" s="1185" t="str">
        <f t="shared" si="250"/>
        <v>.</v>
      </c>
      <c r="R1212" s="1185">
        <f t="shared" si="246"/>
        <v>4500000</v>
      </c>
      <c r="S1212" s="1185">
        <f>IF(AND(AD1212=1,R1212&lt;&gt;".")=TRUE,R1212/VLOOKUP(G1212,'Exchange Rates'!B:C,2,0),IF(R1212=".",".",""))</f>
        <v>4500000</v>
      </c>
      <c r="T1212" s="1185" t="str">
        <f>IF(AD1212=1,IF(AF1212="Value is not given at all",".",IF(AF1212="Value is given by the source",S1212,IF(AF1212="Value is calculated with prices",(IF(SUMIFS(Q:Q,A:A,A1212)&gt;0,SUMIFS(Q:Q,A:A,A1212),"."))/VLOOKUP("USD",'Exchange Rates'!B:C,2,0),"Error with coding"))),"")</f>
        <v>.</v>
      </c>
      <c r="U1212" s="1184" t="s">
        <v>675</v>
      </c>
      <c r="V1212" s="983" t="s">
        <v>3279</v>
      </c>
      <c r="W1212" s="983" t="s">
        <v>3323</v>
      </c>
      <c r="X1212" s="1038" t="s">
        <v>364</v>
      </c>
      <c r="Y1212" s="1183" t="s">
        <v>364</v>
      </c>
      <c r="Z1212" s="1184">
        <v>0</v>
      </c>
      <c r="AA1212" s="1194">
        <v>1</v>
      </c>
      <c r="AB1212" s="1022" t="s">
        <v>364</v>
      </c>
      <c r="AC1212" s="1192" t="str">
        <f>""</f>
        <v/>
      </c>
      <c r="AD1212" s="985">
        <v>1</v>
      </c>
      <c r="AE1212" s="985" t="s">
        <v>368</v>
      </c>
      <c r="AF1212" s="985" t="s">
        <v>369</v>
      </c>
      <c r="AG1212" s="985">
        <v>1</v>
      </c>
      <c r="AH1212" s="985">
        <v>14</v>
      </c>
      <c r="AI1212" s="985">
        <v>0</v>
      </c>
      <c r="AJ1212" s="1193">
        <f>VLOOKUP($I1212,'Price List, Weapons &amp; Items'!B:F,5,0)</f>
        <v>0</v>
      </c>
      <c r="AK1212" s="1193">
        <f t="shared" si="251"/>
        <v>0</v>
      </c>
      <c r="AL1212" s="1193">
        <f t="shared" si="252"/>
        <v>0</v>
      </c>
      <c r="AM1212" s="1193">
        <f t="shared" si="253"/>
        <v>0</v>
      </c>
      <c r="AN1212" s="1194" t="str">
        <f>VLOOKUP($I1212,'Price List, Weapons &amp; Items'!B:L,COLUMN('Price List, Weapons &amp; Items'!$J$11)-1,0)</f>
        <v>.</v>
      </c>
      <c r="AO1212" s="1194" t="str">
        <f>IF(I1212=".",".",VLOOKUP($I1212,'Price List, Weapons &amp; Items'!B:J,3,0))</f>
        <v>.</v>
      </c>
      <c r="AP1212" s="1195" t="str">
        <f t="shared" ca="1" si="247"/>
        <v>.</v>
      </c>
      <c r="AQ1212" s="1194">
        <f>VLOOKUP($I1212,'Price List, Weapons &amp; Items'!B:L,COLUMN('Price List, Weapons &amp; Items'!$L$11)-1,0)</f>
        <v>0</v>
      </c>
      <c r="AR1212" s="1194">
        <f t="shared" si="254"/>
        <v>0</v>
      </c>
      <c r="AS1212" s="1194">
        <f t="shared" si="255"/>
        <v>1</v>
      </c>
      <c r="AT1212" s="1194">
        <f t="shared" si="256"/>
        <v>1</v>
      </c>
      <c r="AU1212" s="1194" t="str">
        <f t="shared" si="257"/>
        <v>.</v>
      </c>
      <c r="AV1212" s="1194" t="str">
        <f t="shared" si="248"/>
        <v>.</v>
      </c>
      <c r="AW1212" s="1194" t="str">
        <f t="shared" si="258"/>
        <v>.</v>
      </c>
      <c r="AX1212" s="1194">
        <f>IFERROR(VLOOKUP(B1212,'Share, Heavy Weapons to Ukraine'!B:Z,COLUMN('Share, Heavy Weapons to Ukraine'!C1222)-1,0),0)</f>
        <v>0</v>
      </c>
      <c r="AY1212" s="1194">
        <f>VLOOKUP('Bilateral Assistance, MAIN DATA'!B1212,'Country Summary (€)'!B:F,COLUMN('Country Summary (€)'!C1223)-1,FALSE)</f>
        <v>1</v>
      </c>
      <c r="AZ1212" s="1194" t="str">
        <f>IF(AND(AD1212=1,D1212="Military",H1212&lt;&gt;"Not given")=TRUE,IF(SUMIFS(P:P,A:A,A1212)&gt;0,ABS((SUMIFS(P:P,A:A,A1212)/VLOOKUP("USD",'Exchange Rates'!B:C,2,0)))/S1212,"."),".")</f>
        <v>.</v>
      </c>
      <c r="BA1212" s="1196" t="str">
        <f>IF(AND(AD1212=1,D1212="Military",H1212&lt;&gt;"Not given")=TRUE,IF(SUMIFS(P:P,A:A,A1212)&gt;0,IF((ABS((SUMIFS(P:P,A:A,A1212)/VLOOKUP("USD",'Exchange Rates'!B:C,2,0)))/S1212)&gt;1,(SUMIFS(P:P,A:A,A1212)-S1212)/S1212,(S1212-SUMIFS(P:P,A:A,A1212))/SUMIFS(P:P,A:A,A1212)),"."),".")</f>
        <v>.</v>
      </c>
    </row>
    <row r="1213" spans="1:53" s="1180" customFormat="1" ht="15.95" customHeight="1">
      <c r="A1213" s="1208" t="s">
        <v>3321</v>
      </c>
      <c r="B1213" s="1208" t="s">
        <v>3261</v>
      </c>
      <c r="C1213" s="1220">
        <v>44984</v>
      </c>
      <c r="D1213" s="1208" t="s">
        <v>389</v>
      </c>
      <c r="E1213" s="1208" t="s">
        <v>390</v>
      </c>
      <c r="F1213" s="1208" t="s">
        <v>3322</v>
      </c>
      <c r="G1213" s="1184" t="s">
        <v>483</v>
      </c>
      <c r="H1213" s="1185">
        <v>4500000</v>
      </c>
      <c r="I1213" s="1190" t="s">
        <v>651</v>
      </c>
      <c r="J1213" s="1186" t="str">
        <f>VLOOKUP($I1213,'Price List, Weapons &amp; Items'!B:C,2,0)</f>
        <v>Portable defence system</v>
      </c>
      <c r="K1213" s="1186" t="str">
        <f>IF(I1213=".",I1213,VLOOKUP($I1213,'Price List, Weapons &amp; Items'!B:D,3,0))</f>
        <v>Light Anti-armor Weapon (LAW)</v>
      </c>
      <c r="L1213" s="1187">
        <f>VLOOKUP(I1213,'Price List, Weapons &amp; Items'!B:E,4,0)</f>
        <v>0</v>
      </c>
      <c r="M1213" s="1188" t="s">
        <v>374</v>
      </c>
      <c r="N1213" s="1188" t="s">
        <v>374</v>
      </c>
      <c r="O1213" s="1188">
        <f>VLOOKUP($I1213,'Price List, Weapons &amp; Items'!B:G,6,0)</f>
        <v>78000</v>
      </c>
      <c r="P1213" s="1185" t="str">
        <f t="shared" si="249"/>
        <v>.</v>
      </c>
      <c r="Q1213" s="1185" t="str">
        <f t="shared" si="250"/>
        <v>.</v>
      </c>
      <c r="R1213" s="1185" t="str">
        <f t="shared" si="246"/>
        <v/>
      </c>
      <c r="S1213" s="1185" t="str">
        <f>IF(AND(AD1213=1,R1213&lt;&gt;".")=TRUE,R1213/VLOOKUP(G1213,'Exchange Rates'!B:C,2,0),IF(R1213=".",".",""))</f>
        <v/>
      </c>
      <c r="T1213" s="1185" t="str">
        <f>IF(AD1213=1,IF(AF1213="Value is not given at all",".",IF(AF1213="Value is given by the source",S1213,IF(AF1213="Value is calculated with prices",(IF(SUMIFS(Q:Q,A:A,A1213)&gt;0,SUMIFS(Q:Q,A:A,A1213),"."))/VLOOKUP("USD",'Exchange Rates'!B:C,2,0),"Error with coding"))),"")</f>
        <v/>
      </c>
      <c r="U1213" s="1184" t="s">
        <v>675</v>
      </c>
      <c r="V1213" s="983" t="s">
        <v>3279</v>
      </c>
      <c r="W1213" s="983" t="s">
        <v>3323</v>
      </c>
      <c r="X1213" s="1038" t="s">
        <v>364</v>
      </c>
      <c r="Y1213" s="1183" t="s">
        <v>364</v>
      </c>
      <c r="Z1213" s="1184">
        <v>0</v>
      </c>
      <c r="AA1213" s="1194">
        <v>1</v>
      </c>
      <c r="AB1213" s="1022" t="s">
        <v>364</v>
      </c>
      <c r="AC1213" s="1192" t="str">
        <f>""</f>
        <v/>
      </c>
      <c r="AD1213" s="985">
        <v>0</v>
      </c>
      <c r="AE1213" s="985" t="s">
        <v>368</v>
      </c>
      <c r="AF1213" s="985" t="s">
        <v>369</v>
      </c>
      <c r="AG1213" s="985">
        <v>1</v>
      </c>
      <c r="AH1213" s="985">
        <v>14</v>
      </c>
      <c r="AI1213" s="985">
        <v>0</v>
      </c>
      <c r="AJ1213" s="1193">
        <f>VLOOKUP($I1213,'Price List, Weapons &amp; Items'!B:F,5,0)</f>
        <v>0</v>
      </c>
      <c r="AK1213" s="1193">
        <f t="shared" si="251"/>
        <v>0</v>
      </c>
      <c r="AL1213" s="1193">
        <f t="shared" si="252"/>
        <v>0</v>
      </c>
      <c r="AM1213" s="1193">
        <f t="shared" si="253"/>
        <v>0</v>
      </c>
      <c r="AN1213" s="1194" t="str">
        <f>VLOOKUP($I1213,'Price List, Weapons &amp; Items'!B:L,COLUMN('Price List, Weapons &amp; Items'!$J$11)-1,0)</f>
        <v>Military media (incl. websites)</v>
      </c>
      <c r="AO1213" s="1194" t="str">
        <f>IF(I1213=".",".",VLOOKUP($I1213,'Price List, Weapons &amp; Items'!B:J,3,0))</f>
        <v>Light Anti-armor Weapon (LAW)</v>
      </c>
      <c r="AP1213" s="1195" t="str">
        <f t="shared" ca="1" si="247"/>
        <v/>
      </c>
      <c r="AQ1213" s="1194">
        <f>VLOOKUP($I1213,'Price List, Weapons &amp; Items'!B:L,COLUMN('Price List, Weapons &amp; Items'!$L$11)-1,0)</f>
        <v>2</v>
      </c>
      <c r="AR1213" s="1194">
        <f t="shared" si="254"/>
        <v>0</v>
      </c>
      <c r="AS1213" s="1194">
        <f t="shared" si="255"/>
        <v>1</v>
      </c>
      <c r="AT1213" s="1194">
        <f t="shared" si="256"/>
        <v>1</v>
      </c>
      <c r="AU1213" s="1194" t="str">
        <f t="shared" si="257"/>
        <v>.</v>
      </c>
      <c r="AV1213" s="1194" t="str">
        <f t="shared" si="248"/>
        <v>.</v>
      </c>
      <c r="AW1213" s="1194" t="str">
        <f t="shared" si="258"/>
        <v>.</v>
      </c>
      <c r="AX1213" s="1194">
        <f>IFERROR(VLOOKUP(B1213,'Share, Heavy Weapons to Ukraine'!B:Z,COLUMN('Share, Heavy Weapons to Ukraine'!C1223)-1,0),0)</f>
        <v>0</v>
      </c>
      <c r="AY1213" s="1194">
        <f>VLOOKUP('Bilateral Assistance, MAIN DATA'!B1213,'Country Summary (€)'!B:F,COLUMN('Country Summary (€)'!C1224)-1,FALSE)</f>
        <v>1</v>
      </c>
      <c r="AZ1213" s="1194" t="str">
        <f>IF(AND(AD1213=1,D1213="Military",H1213&lt;&gt;"Not given")=TRUE,IF(SUMIFS(P:P,A:A,A1213)&gt;0,ABS((SUMIFS(P:P,A:A,A1213)/VLOOKUP("USD",'Exchange Rates'!B:C,2,0)))/S1213,"."),".")</f>
        <v>.</v>
      </c>
      <c r="BA1213" s="1196" t="str">
        <f>IF(AND(AD1213=1,D1213="Military",H1213&lt;&gt;"Not given")=TRUE,IF(SUMIFS(P:P,A:A,A1213)&gt;0,IF((ABS((SUMIFS(P:P,A:A,A1213)/VLOOKUP("USD",'Exchange Rates'!B:C,2,0)))/S1213)&gt;1,(SUMIFS(P:P,A:A,A1213)-S1213)/S1213,(S1213-SUMIFS(P:P,A:A,A1213))/SUMIFS(P:P,A:A,A1213)),"."),".")</f>
        <v>.</v>
      </c>
    </row>
    <row r="1214" spans="1:53" s="1180" customFormat="1" ht="15.95" customHeight="1">
      <c r="A1214" s="1208" t="s">
        <v>3321</v>
      </c>
      <c r="B1214" s="1208" t="s">
        <v>3261</v>
      </c>
      <c r="C1214" s="1220">
        <v>44984</v>
      </c>
      <c r="D1214" s="1208" t="s">
        <v>389</v>
      </c>
      <c r="E1214" s="1208" t="s">
        <v>390</v>
      </c>
      <c r="F1214" s="1208" t="s">
        <v>3322</v>
      </c>
      <c r="G1214" s="1184" t="s">
        <v>483</v>
      </c>
      <c r="H1214" s="1185">
        <v>4500000</v>
      </c>
      <c r="I1214" s="1190" t="s">
        <v>3282</v>
      </c>
      <c r="J1214" s="1186" t="str">
        <f>VLOOKUP($I1214,'Price List, Weapons &amp; Items'!B:C,2,0)</f>
        <v>Portable defence system</v>
      </c>
      <c r="K1214" s="1186" t="str">
        <f>IF(I1214=".",I1214,VLOOKUP($I1214,'Price List, Weapons &amp; Items'!B:D,3,0))</f>
        <v xml:space="preserve">MANPADS </v>
      </c>
      <c r="L1214" s="1187">
        <f>VLOOKUP(I1214,'Price List, Weapons &amp; Items'!B:E,4,0)</f>
        <v>0</v>
      </c>
      <c r="M1214" s="1188" t="s">
        <v>374</v>
      </c>
      <c r="N1214" s="1188" t="s">
        <v>374</v>
      </c>
      <c r="O1214" s="1188">
        <f>VLOOKUP($I1214,'Price List, Weapons &amp; Items'!B:G,6,0)</f>
        <v>119000</v>
      </c>
      <c r="P1214" s="1185" t="str">
        <f t="shared" si="249"/>
        <v>.</v>
      </c>
      <c r="Q1214" s="1185" t="str">
        <f t="shared" si="250"/>
        <v>.</v>
      </c>
      <c r="R1214" s="1185" t="str">
        <f t="shared" si="246"/>
        <v/>
      </c>
      <c r="S1214" s="1185" t="str">
        <f>IF(AND(AD1214=1,R1214&lt;&gt;".")=TRUE,R1214/VLOOKUP(G1214,'Exchange Rates'!B:C,2,0),IF(R1214=".",".",""))</f>
        <v/>
      </c>
      <c r="T1214" s="1185" t="str">
        <f>IF(AD1214=1,IF(AF1214="Value is not given at all",".",IF(AF1214="Value is given by the source",S1214,IF(AF1214="Value is calculated with prices",(IF(SUMIFS(Q:Q,A:A,A1214)&gt;0,SUMIFS(Q:Q,A:A,A1214),"."))/VLOOKUP("USD",'Exchange Rates'!B:C,2,0),"Error with coding"))),"")</f>
        <v/>
      </c>
      <c r="U1214" s="1184" t="s">
        <v>675</v>
      </c>
      <c r="V1214" s="983" t="s">
        <v>3279</v>
      </c>
      <c r="W1214" s="983" t="s">
        <v>3323</v>
      </c>
      <c r="X1214" s="1038" t="s">
        <v>364</v>
      </c>
      <c r="Y1214" s="1183" t="s">
        <v>364</v>
      </c>
      <c r="Z1214" s="1184">
        <v>0</v>
      </c>
      <c r="AA1214" s="1194">
        <v>1</v>
      </c>
      <c r="AB1214" s="1022" t="s">
        <v>364</v>
      </c>
      <c r="AC1214" s="1192" t="str">
        <f>""</f>
        <v/>
      </c>
      <c r="AD1214" s="985">
        <v>0</v>
      </c>
      <c r="AE1214" s="985" t="s">
        <v>368</v>
      </c>
      <c r="AF1214" s="985" t="s">
        <v>369</v>
      </c>
      <c r="AG1214" s="985">
        <v>1</v>
      </c>
      <c r="AH1214" s="985">
        <v>14</v>
      </c>
      <c r="AI1214" s="985">
        <v>0</v>
      </c>
      <c r="AJ1214" s="1193">
        <f>VLOOKUP($I1214,'Price List, Weapons &amp; Items'!B:F,5,0)</f>
        <v>0</v>
      </c>
      <c r="AK1214" s="1193">
        <f t="shared" si="251"/>
        <v>0</v>
      </c>
      <c r="AL1214" s="1193">
        <f t="shared" si="252"/>
        <v>0</v>
      </c>
      <c r="AM1214" s="1193">
        <f t="shared" si="253"/>
        <v>0</v>
      </c>
      <c r="AN1214" s="1194" t="str">
        <f>VLOOKUP($I1214,'Price List, Weapons &amp; Items'!B:L,COLUMN('Price List, Weapons &amp; Items'!$J$11)-1,0)</f>
        <v>Miscellaneous</v>
      </c>
      <c r="AO1214" s="1194" t="str">
        <f>IF(I1214=".",".",VLOOKUP($I1214,'Price List, Weapons &amp; Items'!B:J,3,0))</f>
        <v xml:space="preserve">MANPADS </v>
      </c>
      <c r="AP1214" s="1195" t="str">
        <f t="shared" ca="1" si="247"/>
        <v/>
      </c>
      <c r="AQ1214" s="1194">
        <f>VLOOKUP($I1214,'Price List, Weapons &amp; Items'!B:L,COLUMN('Price List, Weapons &amp; Items'!$L$11)-1,0)</f>
        <v>2</v>
      </c>
      <c r="AR1214" s="1194">
        <f t="shared" si="254"/>
        <v>0</v>
      </c>
      <c r="AS1214" s="1194">
        <f t="shared" si="255"/>
        <v>1</v>
      </c>
      <c r="AT1214" s="1194">
        <f t="shared" si="256"/>
        <v>1</v>
      </c>
      <c r="AU1214" s="1194" t="str">
        <f t="shared" si="257"/>
        <v>.</v>
      </c>
      <c r="AV1214" s="1194" t="str">
        <f t="shared" si="248"/>
        <v>.</v>
      </c>
      <c r="AW1214" s="1194" t="str">
        <f t="shared" si="258"/>
        <v>.</v>
      </c>
      <c r="AX1214" s="1194">
        <f>IFERROR(VLOOKUP(B1214,'Share, Heavy Weapons to Ukraine'!B:Z,COLUMN('Share, Heavy Weapons to Ukraine'!C1224)-1,0),0)</f>
        <v>0</v>
      </c>
      <c r="AY1214" s="1194">
        <f>VLOOKUP('Bilateral Assistance, MAIN DATA'!B1214,'Country Summary (€)'!B:F,COLUMN('Country Summary (€)'!C1225)-1,FALSE)</f>
        <v>1</v>
      </c>
      <c r="AZ1214" s="1194" t="str">
        <f>IF(AND(AD1214=1,D1214="Military",H1214&lt;&gt;"Not given")=TRUE,IF(SUMIFS(P:P,A:A,A1214)&gt;0,ABS((SUMIFS(P:P,A:A,A1214)/VLOOKUP("USD",'Exchange Rates'!B:C,2,0)))/S1214,"."),".")</f>
        <v>.</v>
      </c>
      <c r="BA1214" s="1196" t="str">
        <f>IF(AND(AD1214=1,D1214="Military",H1214&lt;&gt;"Not given")=TRUE,IF(SUMIFS(P:P,A:A,A1214)&gt;0,IF((ABS((SUMIFS(P:P,A:A,A1214)/VLOOKUP("USD",'Exchange Rates'!B:C,2,0)))/S1214)&gt;1,(SUMIFS(P:P,A:A,A1214)-S1214)/S1214,(S1214-SUMIFS(P:P,A:A,A1214))/SUMIFS(P:P,A:A,A1214)),"."),".")</f>
        <v>.</v>
      </c>
    </row>
    <row r="1215" spans="1:53" s="1180" customFormat="1" ht="15.95" customHeight="1">
      <c r="A1215" s="1208" t="s">
        <v>3324</v>
      </c>
      <c r="B1215" s="1208" t="s">
        <v>3261</v>
      </c>
      <c r="C1215" s="1220">
        <v>45002</v>
      </c>
      <c r="D1215" s="1208" t="s">
        <v>389</v>
      </c>
      <c r="E1215" s="1208" t="s">
        <v>443</v>
      </c>
      <c r="F1215" s="1208" t="s">
        <v>3325</v>
      </c>
      <c r="G1215" s="1184" t="s">
        <v>456</v>
      </c>
      <c r="H1215" s="1185" t="s">
        <v>457</v>
      </c>
      <c r="I1215" s="1190" t="s">
        <v>364</v>
      </c>
      <c r="J1215" s="1186" t="str">
        <f>VLOOKUP($I1215,'Price List, Weapons &amp; Items'!B:C,2,0)</f>
        <v>.</v>
      </c>
      <c r="K1215" s="1186" t="str">
        <f>IF(I1215=".",I1215,VLOOKUP($I1215,'Price List, Weapons &amp; Items'!B:D,3,0))</f>
        <v>.</v>
      </c>
      <c r="L1215" s="1187">
        <f>VLOOKUP(I1215,'Price List, Weapons &amp; Items'!B:E,4,0)</f>
        <v>0</v>
      </c>
      <c r="M1215" s="1188" t="s">
        <v>364</v>
      </c>
      <c r="N1215" s="1188" t="s">
        <v>364</v>
      </c>
      <c r="O1215" s="1188" t="str">
        <f>VLOOKUP($I1215,'Price List, Weapons &amp; Items'!B:G,6,0)</f>
        <v>.</v>
      </c>
      <c r="P1215" s="1185" t="str">
        <f t="shared" si="249"/>
        <v>.</v>
      </c>
      <c r="Q1215" s="1185" t="str">
        <f t="shared" si="250"/>
        <v>.</v>
      </c>
      <c r="R1215" s="1185">
        <f t="shared" si="246"/>
        <v>206000000</v>
      </c>
      <c r="S1215" s="1185">
        <f>IF(AND(AD1215=1,R1215&lt;&gt;".")=TRUE,R1215/VLOOKUP(G1215,'Exchange Rates'!B:C,2,0),IF(R1215=".",".",""))</f>
        <v>189547294.8104527</v>
      </c>
      <c r="T1215" s="1185">
        <f>IF(AD1215=1,IF(AF1215="Value is not given at all",".",IF(AF1215="Value is given by the source",S1215,IF(AF1215="Value is calculated with prices",(IF(SUMIFS(Q:Q,A:A,A1215)&gt;0,SUMIFS(Q:Q,A:A,A1215),"."))/VLOOKUP("USD",'Exchange Rates'!B:C,2,0),"Error with coding"))),"")</f>
        <v>189547294.8104527</v>
      </c>
      <c r="U1215" s="1184" t="s">
        <v>365</v>
      </c>
      <c r="V1215" s="983" t="s">
        <v>3326</v>
      </c>
      <c r="W1215" s="983" t="s">
        <v>3327</v>
      </c>
      <c r="X1215" s="983" t="s">
        <v>3328</v>
      </c>
      <c r="Y1215" s="976" t="s">
        <v>3329</v>
      </c>
      <c r="Z1215" s="1184">
        <v>0</v>
      </c>
      <c r="AA1215" s="1194">
        <v>1</v>
      </c>
      <c r="AB1215" s="1022" t="s">
        <v>364</v>
      </c>
      <c r="AC1215" s="1192" t="str">
        <f>""</f>
        <v/>
      </c>
      <c r="AD1215" s="985">
        <v>1</v>
      </c>
      <c r="AE1215" s="985" t="s">
        <v>436</v>
      </c>
      <c r="AF1215" s="985" t="s">
        <v>436</v>
      </c>
      <c r="AG1215" s="985">
        <v>1</v>
      </c>
      <c r="AH1215" s="985">
        <v>15</v>
      </c>
      <c r="AI1215" s="985">
        <v>0</v>
      </c>
      <c r="AJ1215" s="1193">
        <f>VLOOKUP($I1215,'Price List, Weapons &amp; Items'!B:F,5,0)</f>
        <v>0</v>
      </c>
      <c r="AK1215" s="1193">
        <f t="shared" si="251"/>
        <v>0</v>
      </c>
      <c r="AL1215" s="1193">
        <f t="shared" si="252"/>
        <v>0</v>
      </c>
      <c r="AM1215" s="1193">
        <f t="shared" si="253"/>
        <v>0</v>
      </c>
      <c r="AN1215" s="1194" t="str">
        <f>VLOOKUP($I1215,'Price List, Weapons &amp; Items'!B:L,COLUMN('Price List, Weapons &amp; Items'!$J$11)-1,0)</f>
        <v>.</v>
      </c>
      <c r="AO1215" s="1194" t="str">
        <f>IF(I1215=".",".",VLOOKUP($I1215,'Price List, Weapons &amp; Items'!B:J,3,0))</f>
        <v>.</v>
      </c>
      <c r="AP1215" s="1195" t="str">
        <f t="shared" ca="1" si="247"/>
        <v>.</v>
      </c>
      <c r="AQ1215" s="1194">
        <f>VLOOKUP($I1215,'Price List, Weapons &amp; Items'!B:L,COLUMN('Price List, Weapons &amp; Items'!$L$11)-1,0)</f>
        <v>0</v>
      </c>
      <c r="AR1215" s="1194">
        <f t="shared" si="254"/>
        <v>1</v>
      </c>
      <c r="AS1215" s="1194">
        <f t="shared" si="255"/>
        <v>1</v>
      </c>
      <c r="AT1215" s="1194">
        <f t="shared" si="256"/>
        <v>1</v>
      </c>
      <c r="AU1215" s="1194" t="str">
        <f t="shared" si="257"/>
        <v>.</v>
      </c>
      <c r="AV1215" s="1194" t="str">
        <f t="shared" si="248"/>
        <v>.</v>
      </c>
      <c r="AW1215" s="1194" t="str">
        <f t="shared" si="258"/>
        <v>.</v>
      </c>
      <c r="AX1215" s="1194">
        <f>IFERROR(VLOOKUP(B1215,'Share, Heavy Weapons to Ukraine'!B:Z,COLUMN('Share, Heavy Weapons to Ukraine'!C1225)-1,0),0)</f>
        <v>0</v>
      </c>
      <c r="AY1215" s="1194">
        <f>VLOOKUP('Bilateral Assistance, MAIN DATA'!B1215,'Country Summary (€)'!B:F,COLUMN('Country Summary (€)'!C1226)-1,FALSE)</f>
        <v>1</v>
      </c>
      <c r="AZ1215" s="1194" t="str">
        <f>IF(AND(AD1215=1,D1215="Military",H1215&lt;&gt;"Not given")=TRUE,IF(SUMIFS(P:P,A:A,A1215)&gt;0,ABS((SUMIFS(P:P,A:A,A1215)/VLOOKUP("USD",'Exchange Rates'!B:C,2,0)))/S1215,"."),".")</f>
        <v>.</v>
      </c>
      <c r="BA1215" s="1196" t="str">
        <f>IF(AND(AD1215=1,D1215="Military",H1215&lt;&gt;"Not given")=TRUE,IF(SUMIFS(P:P,A:A,A1215)&gt;0,IF((ABS((SUMIFS(P:P,A:A,A1215)/VLOOKUP("USD",'Exchange Rates'!B:C,2,0)))/S1215)&gt;1,(SUMIFS(P:P,A:A,A1215)-S1215)/S1215,(S1215-SUMIFS(P:P,A:A,A1215))/SUMIFS(P:P,A:A,A1215)),"."),".")</f>
        <v>.</v>
      </c>
    </row>
    <row r="1216" spans="1:53" s="1180" customFormat="1" ht="15.95" customHeight="1">
      <c r="A1216" s="1208" t="s">
        <v>3324</v>
      </c>
      <c r="B1216" s="1208" t="s">
        <v>3261</v>
      </c>
      <c r="C1216" s="1220">
        <v>45002</v>
      </c>
      <c r="D1216" s="1208" t="s">
        <v>389</v>
      </c>
      <c r="E1216" s="1208" t="s">
        <v>443</v>
      </c>
      <c r="F1216" s="1208" t="s">
        <v>3325</v>
      </c>
      <c r="G1216" s="1184" t="s">
        <v>456</v>
      </c>
      <c r="H1216" s="1185" t="s">
        <v>457</v>
      </c>
      <c r="I1216" s="1190" t="s">
        <v>3061</v>
      </c>
      <c r="J1216" s="1186" t="str">
        <f>VLOOKUP($I1216,'Price List, Weapons &amp; Items'!B:C,2,0)</f>
        <v>Heavy weapon</v>
      </c>
      <c r="K1216" s="1186" t="str">
        <f>IF(I1216=".",I1216,VLOOKUP($I1216,'Price List, Weapons &amp; Items'!B:D,3,0))</f>
        <v>Combat aircraft</v>
      </c>
      <c r="L1216" s="1187">
        <f>VLOOKUP(I1216,'Price List, Weapons &amp; Items'!B:E,4,0)</f>
        <v>1</v>
      </c>
      <c r="M1216" s="1188">
        <v>13</v>
      </c>
      <c r="N1216" s="1188">
        <v>13</v>
      </c>
      <c r="O1216" s="1188">
        <f>VLOOKUP($I1216,'Price List, Weapons &amp; Items'!B:G,6,0)</f>
        <v>12000000</v>
      </c>
      <c r="P1216" s="1185">
        <f t="shared" si="249"/>
        <v>156000000</v>
      </c>
      <c r="Q1216" s="1185">
        <f t="shared" si="250"/>
        <v>156000000</v>
      </c>
      <c r="R1216" s="1185" t="str">
        <f t="shared" si="246"/>
        <v/>
      </c>
      <c r="S1216" s="1185" t="str">
        <f>IF(AND(AD1216=1,R1216&lt;&gt;".")=TRUE,R1216/VLOOKUP(G1216,'Exchange Rates'!B:C,2,0),IF(R1216=".",".",""))</f>
        <v/>
      </c>
      <c r="T1216" s="1185" t="str">
        <f>IF(AD1216=1,IF(AF1216="Value is not given at all",".",IF(AF1216="Value is given by the source",S1216,IF(AF1216="Value is calculated with prices",(IF(SUMIFS(Q:Q,A:A,A1216)&gt;0,SUMIFS(Q:Q,A:A,A1216),"."))/VLOOKUP("USD",'Exchange Rates'!B:C,2,0),"Error with coding"))),"")</f>
        <v/>
      </c>
      <c r="U1216" s="1184" t="s">
        <v>365</v>
      </c>
      <c r="V1216" s="1037" t="s">
        <v>3326</v>
      </c>
      <c r="W1216" s="983" t="s">
        <v>3327</v>
      </c>
      <c r="X1216" s="983" t="s">
        <v>3328</v>
      </c>
      <c r="Y1216" s="976" t="s">
        <v>3329</v>
      </c>
      <c r="Z1216" s="1184">
        <v>0</v>
      </c>
      <c r="AA1216" s="1194">
        <v>1</v>
      </c>
      <c r="AB1216" s="982" t="s">
        <v>3330</v>
      </c>
      <c r="AC1216" s="1192" t="str">
        <f>""</f>
        <v/>
      </c>
      <c r="AD1216" s="985">
        <v>0</v>
      </c>
      <c r="AE1216" s="985" t="s">
        <v>436</v>
      </c>
      <c r="AF1216" s="985" t="s">
        <v>436</v>
      </c>
      <c r="AG1216" s="985">
        <v>1</v>
      </c>
      <c r="AH1216" s="985">
        <v>15</v>
      </c>
      <c r="AI1216" s="985">
        <v>0</v>
      </c>
      <c r="AJ1216" s="1193">
        <f>VLOOKUP($I1216,'Price List, Weapons &amp; Items'!B:F,5,0)</f>
        <v>0</v>
      </c>
      <c r="AK1216" s="1193">
        <f t="shared" si="251"/>
        <v>0</v>
      </c>
      <c r="AL1216" s="1193">
        <f t="shared" si="252"/>
        <v>0</v>
      </c>
      <c r="AM1216" s="1193">
        <f t="shared" si="253"/>
        <v>0</v>
      </c>
      <c r="AN1216" s="1194" t="str">
        <f>VLOOKUP($I1216,'Price List, Weapons &amp; Items'!B:L,COLUMN('Price List, Weapons &amp; Items'!$J$11)-1,0)</f>
        <v>Contracts</v>
      </c>
      <c r="AO1216" s="1194" t="str">
        <f>IF(I1216=".",".",VLOOKUP($I1216,'Price List, Weapons &amp; Items'!B:J,3,0))</f>
        <v>Combat aircraft</v>
      </c>
      <c r="AP1216" s="1195" t="str">
        <f t="shared" ca="1" si="247"/>
        <v/>
      </c>
      <c r="AQ1216" s="1194">
        <f>VLOOKUP($I1216,'Price List, Weapons &amp; Items'!B:L,COLUMN('Price List, Weapons &amp; Items'!$L$11)-1,0)</f>
        <v>2</v>
      </c>
      <c r="AR1216" s="1194">
        <f t="shared" si="254"/>
        <v>1</v>
      </c>
      <c r="AS1216" s="1194">
        <f t="shared" si="255"/>
        <v>1</v>
      </c>
      <c r="AT1216" s="1194">
        <f t="shared" si="256"/>
        <v>1</v>
      </c>
      <c r="AU1216" s="1194" t="str">
        <f t="shared" si="257"/>
        <v>.</v>
      </c>
      <c r="AV1216" s="1194" t="str">
        <f t="shared" si="248"/>
        <v>.</v>
      </c>
      <c r="AW1216" s="1194" t="str">
        <f t="shared" si="258"/>
        <v>.</v>
      </c>
      <c r="AX1216" s="1194">
        <f>IFERROR(VLOOKUP(B1216,'Share, Heavy Weapons to Ukraine'!B:Z,COLUMN('Share, Heavy Weapons to Ukraine'!C1226)-1,0),0)</f>
        <v>0</v>
      </c>
      <c r="AY1216" s="1194">
        <f>VLOOKUP('Bilateral Assistance, MAIN DATA'!B1216,'Country Summary (€)'!B:F,COLUMN('Country Summary (€)'!C1227)-1,FALSE)</f>
        <v>1</v>
      </c>
      <c r="AZ1216" s="1194" t="str">
        <f>IF(AND(AD1216=1,D1216="Military",H1216&lt;&gt;"Not given")=TRUE,IF(SUMIFS(P:P,A:A,A1216)&gt;0,ABS((SUMIFS(P:P,A:A,A1216)/VLOOKUP("USD",'Exchange Rates'!B:C,2,0)))/S1216,"."),".")</f>
        <v>.</v>
      </c>
      <c r="BA1216" s="1196" t="str">
        <f>IF(AND(AD1216=1,D1216="Military",H1216&lt;&gt;"Not given")=TRUE,IF(SUMIFS(P:P,A:A,A1216)&gt;0,IF((ABS((SUMIFS(P:P,A:A,A1216)/VLOOKUP("USD",'Exchange Rates'!B:C,2,0)))/S1216)&gt;1,(SUMIFS(P:P,A:A,A1216)-S1216)/S1216,(S1216-SUMIFS(P:P,A:A,A1216))/SUMIFS(P:P,A:A,A1216)),"."),".")</f>
        <v>.</v>
      </c>
    </row>
    <row r="1217" spans="1:53" s="1180" customFormat="1" ht="15.95" customHeight="1">
      <c r="A1217" s="1208" t="s">
        <v>3324</v>
      </c>
      <c r="B1217" s="1208" t="s">
        <v>3261</v>
      </c>
      <c r="C1217" s="1220">
        <v>45002</v>
      </c>
      <c r="D1217" s="1208" t="s">
        <v>389</v>
      </c>
      <c r="E1217" s="1208" t="s">
        <v>443</v>
      </c>
      <c r="F1217" s="1208" t="s">
        <v>3325</v>
      </c>
      <c r="G1217" s="1184" t="s">
        <v>456</v>
      </c>
      <c r="H1217" s="1185" t="s">
        <v>457</v>
      </c>
      <c r="I1217" s="1141" t="s">
        <v>1137</v>
      </c>
      <c r="J1217" s="1186" t="str">
        <f>VLOOKUP($I1217,'Price List, Weapons &amp; Items'!B:C,2,0)</f>
        <v>Heavy weapon</v>
      </c>
      <c r="K1217" s="1186" t="str">
        <f>IF(I1217=".",I1217,VLOOKUP($I1217,'Price List, Weapons &amp; Items'!B:D,3,0))</f>
        <v>Anti-aircraft surface-to-air missile (SAM) system (short-range)</v>
      </c>
      <c r="L1217" s="1187">
        <f>VLOOKUP(I1217,'Price List, Weapons &amp; Items'!B:E,4,0)</f>
        <v>1</v>
      </c>
      <c r="M1217" s="1188">
        <v>2</v>
      </c>
      <c r="N1217" s="1188">
        <v>2</v>
      </c>
      <c r="O1217" s="1188">
        <f>VLOOKUP($I1217,'Price List, Weapons &amp; Items'!B:G,6,0)</f>
        <v>25000000</v>
      </c>
      <c r="P1217" s="1185">
        <f t="shared" si="249"/>
        <v>50000000</v>
      </c>
      <c r="Q1217" s="1185">
        <f t="shared" si="250"/>
        <v>50000000</v>
      </c>
      <c r="R1217" s="1185" t="str">
        <f t="shared" si="246"/>
        <v/>
      </c>
      <c r="S1217" s="1185" t="str">
        <f>IF(AND(AD1217=1,R1217&lt;&gt;".")=TRUE,R1217/VLOOKUP(G1217,'Exchange Rates'!B:C,2,0),IF(R1217=".",".",""))</f>
        <v/>
      </c>
      <c r="T1217" s="1185" t="str">
        <f>IF(AD1217=1,IF(AF1217="Value is not given at all",".",IF(AF1217="Value is given by the source",S1217,IF(AF1217="Value is calculated with prices",(IF(SUMIFS(Q:Q,A:A,A1217)&gt;0,SUMIFS(Q:Q,A:A,A1217),"."))/VLOOKUP("USD",'Exchange Rates'!B:C,2,0),"Error with coding"))),"")</f>
        <v/>
      </c>
      <c r="U1217" s="1184" t="s">
        <v>365</v>
      </c>
      <c r="V1217" s="1037" t="s">
        <v>3326</v>
      </c>
      <c r="W1217" s="983" t="s">
        <v>3327</v>
      </c>
      <c r="X1217" s="983" t="s">
        <v>3328</v>
      </c>
      <c r="Y1217" s="976" t="s">
        <v>3329</v>
      </c>
      <c r="Z1217" s="1184">
        <v>0</v>
      </c>
      <c r="AA1217" s="1194">
        <v>1</v>
      </c>
      <c r="AB1217" s="982" t="s">
        <v>3331</v>
      </c>
      <c r="AC1217" s="1192" t="str">
        <f>""</f>
        <v/>
      </c>
      <c r="AD1217" s="985">
        <v>0</v>
      </c>
      <c r="AE1217" s="985" t="s">
        <v>436</v>
      </c>
      <c r="AF1217" s="985" t="s">
        <v>436</v>
      </c>
      <c r="AG1217" s="985">
        <v>1</v>
      </c>
      <c r="AH1217" s="985">
        <v>15</v>
      </c>
      <c r="AI1217" s="985">
        <v>0</v>
      </c>
      <c r="AJ1217" s="1193">
        <f>VLOOKUP($I1217,'Price List, Weapons &amp; Items'!B:F,5,0)</f>
        <v>0</v>
      </c>
      <c r="AK1217" s="1193">
        <f t="shared" si="251"/>
        <v>0</v>
      </c>
      <c r="AL1217" s="1193">
        <f t="shared" si="252"/>
        <v>0</v>
      </c>
      <c r="AM1217" s="1193">
        <f t="shared" si="253"/>
        <v>0</v>
      </c>
      <c r="AN1217" s="1194" t="str">
        <f>VLOOKUP($I1217,'Price List, Weapons &amp; Items'!B:L,COLUMN('Price List, Weapons &amp; Items'!$J$11)-1,0)</f>
        <v>Military media (incl. websites)</v>
      </c>
      <c r="AO1217" s="1194" t="str">
        <f>IF(I1217=".",".",VLOOKUP($I1217,'Price List, Weapons &amp; Items'!B:J,3,0))</f>
        <v>Anti-aircraft surface-to-air missile (SAM) system (short-range)</v>
      </c>
      <c r="AP1217" s="1195" t="str">
        <f t="shared" ca="1" si="247"/>
        <v/>
      </c>
      <c r="AQ1217" s="1194">
        <f>VLOOKUP($I1217,'Price List, Weapons &amp; Items'!B:L,COLUMN('Price List, Weapons &amp; Items'!$L$11)-1,0)</f>
        <v>2</v>
      </c>
      <c r="AR1217" s="1194">
        <f t="shared" si="254"/>
        <v>1</v>
      </c>
      <c r="AS1217" s="1194">
        <f t="shared" si="255"/>
        <v>1</v>
      </c>
      <c r="AT1217" s="1194">
        <f t="shared" si="256"/>
        <v>1</v>
      </c>
      <c r="AU1217" s="1194" t="str">
        <f t="shared" si="257"/>
        <v>.</v>
      </c>
      <c r="AV1217" s="1194" t="str">
        <f t="shared" si="248"/>
        <v>.</v>
      </c>
      <c r="AW1217" s="1194" t="str">
        <f t="shared" si="258"/>
        <v>.</v>
      </c>
      <c r="AX1217" s="1194">
        <f>IFERROR(VLOOKUP(B1217,'Share, Heavy Weapons to Ukraine'!B:Z,COLUMN('Share, Heavy Weapons to Ukraine'!C1227)-1,0),0)</f>
        <v>0</v>
      </c>
      <c r="AY1217" s="1194">
        <f>VLOOKUP('Bilateral Assistance, MAIN DATA'!B1217,'Country Summary (€)'!B:F,COLUMN('Country Summary (€)'!C1228)-1,FALSE)</f>
        <v>1</v>
      </c>
      <c r="AZ1217" s="1194" t="str">
        <f>IF(AND(AD1217=1,D1217="Military",H1217&lt;&gt;"Not given")=TRUE,IF(SUMIFS(P:P,A:A,A1217)&gt;0,ABS((SUMIFS(P:P,A:A,A1217)/VLOOKUP("USD",'Exchange Rates'!B:C,2,0)))/S1217,"."),".")</f>
        <v>.</v>
      </c>
      <c r="BA1217" s="1196" t="str">
        <f>IF(AND(AD1217=1,D1217="Military",H1217&lt;&gt;"Not given")=TRUE,IF(SUMIFS(P:P,A:A,A1217)&gt;0,IF((ABS((SUMIFS(P:P,A:A,A1217)/VLOOKUP("USD",'Exchange Rates'!B:C,2,0)))/S1217)&gt;1,(SUMIFS(P:P,A:A,A1217)-S1217)/S1217,(S1217-SUMIFS(P:P,A:A,A1217))/SUMIFS(P:P,A:A,A1217)),"."),".")</f>
        <v>.</v>
      </c>
    </row>
    <row r="1218" spans="1:53" s="1180" customFormat="1" ht="15.95" customHeight="1">
      <c r="A1218" s="1208" t="s">
        <v>3332</v>
      </c>
      <c r="B1218" s="1208" t="s">
        <v>3261</v>
      </c>
      <c r="C1218" s="1220">
        <v>45033</v>
      </c>
      <c r="D1218" s="1208" t="s">
        <v>389</v>
      </c>
      <c r="E1218" s="1208" t="s">
        <v>390</v>
      </c>
      <c r="F1218" s="1208" t="s">
        <v>3333</v>
      </c>
      <c r="G1218" s="1184" t="s">
        <v>483</v>
      </c>
      <c r="H1218" s="1185">
        <v>261891796</v>
      </c>
      <c r="I1218" s="1141" t="s">
        <v>364</v>
      </c>
      <c r="J1218" s="1186" t="str">
        <f>VLOOKUP($I1218,'Price List, Weapons &amp; Items'!B:C,2,0)</f>
        <v>.</v>
      </c>
      <c r="K1218" s="1186" t="str">
        <f>IF(I1218=".",I1218,VLOOKUP($I1218,'Price List, Weapons &amp; Items'!B:D,3,0))</f>
        <v>.</v>
      </c>
      <c r="L1218" s="1187">
        <f>VLOOKUP(I1218,'Price List, Weapons &amp; Items'!B:E,4,0)</f>
        <v>0</v>
      </c>
      <c r="M1218" s="1188" t="s">
        <v>364</v>
      </c>
      <c r="N1218" s="1188" t="s">
        <v>364</v>
      </c>
      <c r="O1218" s="1188" t="str">
        <f>VLOOKUP($I1218,'Price List, Weapons &amp; Items'!B:G,6,0)</f>
        <v>.</v>
      </c>
      <c r="P1218" s="1185" t="str">
        <f t="shared" si="249"/>
        <v>.</v>
      </c>
      <c r="Q1218" s="1185" t="str">
        <f t="shared" si="250"/>
        <v>.</v>
      </c>
      <c r="R1218" s="1185">
        <f t="shared" ref="R1218:R1281" si="259">IF(AD1218=1,IF(H1218&lt;&gt;"Not given",H1218,IF(TYPE(H1218)=2,IF(SUMIFS(P:P,A:A,A1218)&gt;0,SUMIFS(P:P,A:A,A1218),"."),"Format error")),"")</f>
        <v>261891796</v>
      </c>
      <c r="S1218" s="1185">
        <f>IF(AND(AD1218=1,R1218&lt;&gt;".")=TRUE,R1218/VLOOKUP(G1218,'Exchange Rates'!B:C,2,0),IF(R1218=".",".",""))</f>
        <v>261891796</v>
      </c>
      <c r="T1218" s="1185" t="str">
        <f>IF(AD1218=1,IF(AF1218="Value is not given at all",".",IF(AF1218="Value is given by the source",S1218,IF(AF1218="Value is calculated with prices",(IF(SUMIFS(Q:Q,A:A,A1218)&gt;0,SUMIFS(Q:Q,A:A,A1218),"."))/VLOOKUP("USD",'Exchange Rates'!B:C,2,0),"Error with coding"))),"")</f>
        <v>.</v>
      </c>
      <c r="U1218" s="1184" t="s">
        <v>365</v>
      </c>
      <c r="V1218" s="983" t="s">
        <v>3334</v>
      </c>
      <c r="W1218" s="983" t="s">
        <v>3335</v>
      </c>
      <c r="X1218" s="990" t="s">
        <v>364</v>
      </c>
      <c r="Y1218" s="1034" t="s">
        <v>364</v>
      </c>
      <c r="Z1218" s="1184">
        <v>0</v>
      </c>
      <c r="AA1218" s="1194">
        <v>1</v>
      </c>
      <c r="AB1218" s="1000" t="s">
        <v>364</v>
      </c>
      <c r="AC1218" s="1192" t="str">
        <f>""</f>
        <v/>
      </c>
      <c r="AD1218" s="985">
        <v>1</v>
      </c>
      <c r="AE1218" s="985" t="s">
        <v>368</v>
      </c>
      <c r="AF1218" s="985" t="s">
        <v>369</v>
      </c>
      <c r="AG1218" s="985">
        <v>1</v>
      </c>
      <c r="AH1218" s="985">
        <v>16</v>
      </c>
      <c r="AI1218" s="985">
        <v>0</v>
      </c>
      <c r="AJ1218" s="1193">
        <f>VLOOKUP($I1218,'Price List, Weapons &amp; Items'!B:F,5,0)</f>
        <v>0</v>
      </c>
      <c r="AK1218" s="1193">
        <f t="shared" si="251"/>
        <v>0</v>
      </c>
      <c r="AL1218" s="1193">
        <f t="shared" si="252"/>
        <v>0</v>
      </c>
      <c r="AM1218" s="1193">
        <f t="shared" si="253"/>
        <v>0</v>
      </c>
      <c r="AN1218" s="1194" t="str">
        <f>VLOOKUP($I1218,'Price List, Weapons &amp; Items'!B:L,COLUMN('Price List, Weapons &amp; Items'!$J$11)-1,0)</f>
        <v>.</v>
      </c>
      <c r="AO1218" s="1194" t="str">
        <f>IF(I1218=".",".",VLOOKUP($I1218,'Price List, Weapons &amp; Items'!B:J,3,0))</f>
        <v>.</v>
      </c>
      <c r="AP1218" s="1195" t="str">
        <f t="shared" ref="AP1218:AP1281" ca="1" si="260">IF(AD1218=1,(OFFSET(I1218,0,0,COUNTIF(A:A,A1218),1)),"")</f>
        <v>.</v>
      </c>
      <c r="AQ1218" s="1194">
        <f>VLOOKUP($I1218,'Price List, Weapons &amp; Items'!B:L,COLUMN('Price List, Weapons &amp; Items'!$L$11)-1,0)</f>
        <v>0</v>
      </c>
      <c r="AR1218" s="1194">
        <f t="shared" si="254"/>
        <v>1</v>
      </c>
      <c r="AS1218" s="1194">
        <f t="shared" si="255"/>
        <v>1</v>
      </c>
      <c r="AT1218" s="1194">
        <f t="shared" si="256"/>
        <v>1</v>
      </c>
      <c r="AU1218" s="1194" t="str">
        <f t="shared" si="257"/>
        <v>.</v>
      </c>
      <c r="AV1218" s="1194" t="str">
        <f t="shared" ref="AV1218:AV1281" si="261">IF(AND(_xlfn.ISFORMULA(R1218),_xlfn.ISFORMULA(S1218),_xlfn.ISFORMULA(T1218))=TRUE,".",1)</f>
        <v>.</v>
      </c>
      <c r="AW1218" s="1194" t="str">
        <f t="shared" si="258"/>
        <v>.</v>
      </c>
      <c r="AX1218" s="1194">
        <f>IFERROR(VLOOKUP(B1218,'Share, Heavy Weapons to Ukraine'!B:Z,COLUMN('Share, Heavy Weapons to Ukraine'!C1228)-1,0),0)</f>
        <v>0</v>
      </c>
      <c r="AY1218" s="1194">
        <f>VLOOKUP('Bilateral Assistance, MAIN DATA'!B1218,'Country Summary (€)'!B:F,COLUMN('Country Summary (€)'!C1229)-1,FALSE)</f>
        <v>1</v>
      </c>
      <c r="AZ1218" s="1194" t="str">
        <f>IF(AND(AD1218=1,D1218="Military",H1218&lt;&gt;"Not given")=TRUE,IF(SUMIFS(P:P,A:A,A1218)&gt;0,ABS((SUMIFS(P:P,A:A,A1218)/VLOOKUP("USD",'Exchange Rates'!B:C,2,0)))/S1218,"."),".")</f>
        <v>.</v>
      </c>
      <c r="BA1218" s="1196" t="str">
        <f>IF(AND(AD1218=1,D1218="Military",H1218&lt;&gt;"Not given")=TRUE,IF(SUMIFS(P:P,A:A,A1218)&gt;0,IF((ABS((SUMIFS(P:P,A:A,A1218)/VLOOKUP("USD",'Exchange Rates'!B:C,2,0)))/S1218)&gt;1,(SUMIFS(P:P,A:A,A1218)-S1218)/S1218,(S1218-SUMIFS(P:P,A:A,A1218))/SUMIFS(P:P,A:A,A1218)),"."),".")</f>
        <v>.</v>
      </c>
    </row>
    <row r="1219" spans="1:53" ht="15.95" customHeight="1">
      <c r="A1219" s="1182" t="s">
        <v>3336</v>
      </c>
      <c r="B1219" s="1182" t="s">
        <v>3337</v>
      </c>
      <c r="C1219" s="1181">
        <v>44618</v>
      </c>
      <c r="D1219" s="1182" t="s">
        <v>360</v>
      </c>
      <c r="E1219" s="1182" t="s">
        <v>3265</v>
      </c>
      <c r="F1219" s="1183" t="s">
        <v>3338</v>
      </c>
      <c r="G1219" s="1184" t="s">
        <v>483</v>
      </c>
      <c r="H1219" s="1185">
        <v>163000</v>
      </c>
      <c r="I1219" s="1180" t="s">
        <v>3339</v>
      </c>
      <c r="J1219" s="1186" t="str">
        <f>VLOOKUP($I1219,'Price List, Weapons &amp; Items'!B:C,2,0)</f>
        <v>Military equipment</v>
      </c>
      <c r="K1219" s="1186" t="str">
        <f>IF(I1219=".",I1219,VLOOKUP($I1219,'Price List, Weapons &amp; Items'!B:D,3,0))</f>
        <v>Military equipment</v>
      </c>
      <c r="L1219" s="1187">
        <f>VLOOKUP(I1219,'Price List, Weapons &amp; Items'!B:E,4,0)</f>
        <v>0</v>
      </c>
      <c r="M1219" s="1188">
        <v>10</v>
      </c>
      <c r="N1219" s="1188" t="s">
        <v>374</v>
      </c>
      <c r="O1219" s="1188" t="str">
        <f>VLOOKUP($I1219,'Price List, Weapons &amp; Items'!B:G,6,0)</f>
        <v>.</v>
      </c>
      <c r="P1219" s="1185" t="str">
        <f t="shared" ref="P1219:P1282" si="262">IF(TYPE(M1219)=1,IF(TYPE(O1219)=1,M1219*O1219,"No price"),".")</f>
        <v>No price</v>
      </c>
      <c r="Q1219" s="1185" t="str">
        <f t="shared" ref="Q1219:Q1282" si="263">IF(TYPE(N1219)=1,IF(TYPE(O1219)=1,N1219*O1219,"No price"),".")</f>
        <v>.</v>
      </c>
      <c r="R1219" s="1185">
        <f t="shared" si="259"/>
        <v>163000</v>
      </c>
      <c r="S1219" s="1185">
        <f>IF(AND(AD1219=1,R1219&lt;&gt;".")=TRUE,R1219/VLOOKUP(G1219,'Exchange Rates'!B:C,2,0),IF(R1219=".",".",""))</f>
        <v>163000</v>
      </c>
      <c r="T1219" s="1185" t="str">
        <f>IF(AD1219=1,IF(AF1219="Value is not given at all",".",IF(AF1219="Value is given by the source",S1219,IF(AF1219="Value is calculated with prices",(IF(SUMIFS(Q:Q,A:A,A1219)&gt;0,SUMIFS(Q:Q,A:A,A1219),"."))/VLOOKUP("USD",'Exchange Rates'!B:C,2,0),"Error with coding"))),"")</f>
        <v>.</v>
      </c>
      <c r="U1219" s="1184" t="s">
        <v>365</v>
      </c>
      <c r="V1219" s="974" t="s">
        <v>3340</v>
      </c>
      <c r="W1219" s="974" t="s">
        <v>3341</v>
      </c>
      <c r="X1219" s="974" t="s">
        <v>3342</v>
      </c>
      <c r="Y1219" s="1183" t="s">
        <v>364</v>
      </c>
      <c r="Z1219" s="1184">
        <v>0</v>
      </c>
      <c r="AA1219" s="1194">
        <v>0</v>
      </c>
      <c r="AB1219" s="1201" t="s">
        <v>364</v>
      </c>
      <c r="AC1219" s="1192" t="str">
        <f>""</f>
        <v/>
      </c>
      <c r="AD1219" s="985">
        <v>1</v>
      </c>
      <c r="AE1219" s="985" t="s">
        <v>368</v>
      </c>
      <c r="AF1219" s="985" t="s">
        <v>369</v>
      </c>
      <c r="AG1219" s="985">
        <v>1</v>
      </c>
      <c r="AH1219" s="985">
        <v>2</v>
      </c>
      <c r="AI1219" s="985">
        <v>0</v>
      </c>
      <c r="AJ1219" s="1193">
        <f>VLOOKUP($I1219,'Price List, Weapons &amp; Items'!B:F,5,0)</f>
        <v>0</v>
      </c>
      <c r="AK1219" s="1193">
        <f t="shared" ref="AK1219:AK1282" si="264">IF(AND(AJ1219=1,M1219="undisclosed")=TRUE,1,0)</f>
        <v>0</v>
      </c>
      <c r="AL1219" s="1193">
        <f t="shared" ref="AL1219:AL1282" si="265">IF(AND(AJ1219=1,N1219="undisclosed")=TRUE,1,0)</f>
        <v>0</v>
      </c>
      <c r="AM1219" s="1193">
        <f t="shared" ref="AM1219:AM1282" si="266">IFERROR(IF(SEARCH("ammuni",I1219,1)&gt;0,1,0),0)</f>
        <v>0</v>
      </c>
      <c r="AN1219" s="1194" t="str">
        <f>VLOOKUP($I1219,'Price List, Weapons &amp; Items'!B:L,COLUMN('Price List, Weapons &amp; Items'!$J$11)-1,0)</f>
        <v>.</v>
      </c>
      <c r="AO1219" s="1194" t="str">
        <f>IF(I1219=".",".",VLOOKUP($I1219,'Price List, Weapons &amp; Items'!B:J,3,0))</f>
        <v>Military equipment</v>
      </c>
      <c r="AP1219" s="1195" t="str">
        <f t="shared" ca="1" si="260"/>
        <v>diesel-powered generator</v>
      </c>
      <c r="AQ1219" s="1194">
        <f>VLOOKUP($I1219,'Price List, Weapons &amp; Items'!B:L,COLUMN('Price List, Weapons &amp; Items'!$L$11)-1,0)</f>
        <v>0</v>
      </c>
      <c r="AR1219" s="1194">
        <f t="shared" ref="AR1219:AR1282" si="267">IF(U1219="Yes",1,0)</f>
        <v>1</v>
      </c>
      <c r="AS1219" s="1194">
        <f t="shared" ref="AS1219:AS1282" si="268">IF(D1219="Military",IF(OR(IFERROR(SEARCH("equipment",E1219,1),0)&gt;0,IFERROR(SEARCH("weapons",E1219,1),0)&gt;0),1,0),0)</f>
        <v>0</v>
      </c>
      <c r="AT1219" s="1194">
        <f t="shared" ref="AT1219:AT1282" si="269">IFERROR(IF(VALUE(TEXT(C1219,"mm"))=IF(AH1219&gt;12,AH1219-12,AH1219),".",IF(TEXT(C1219,"mm")="01",".",1)),"Value is not in date format")</f>
        <v>1</v>
      </c>
      <c r="AU1219" s="1194" t="str">
        <f t="shared" ref="AU1219:AU1245" si="270">IF(AND(A1219=A1218,C1219=C1218)=TRUE,IF(F1219=F1218,".","1"),".")</f>
        <v>.</v>
      </c>
      <c r="AV1219" s="1194" t="str">
        <f t="shared" si="261"/>
        <v>.</v>
      </c>
      <c r="AW1219" s="1194" t="str">
        <f t="shared" ref="AW1219:AW1282" si="271">IF(T1219&lt;&gt;".",IF(T1219&gt;S1219,1,"."),".")</f>
        <v>.</v>
      </c>
      <c r="AX1219" s="1194">
        <f>IFERROR(VLOOKUP(B1219,'Share, Heavy Weapons to Ukraine'!B:Z,COLUMN('Share, Heavy Weapons to Ukraine'!C1229)-1,0),0)</f>
        <v>0</v>
      </c>
      <c r="AY1219" s="1194">
        <f>VLOOKUP('Bilateral Assistance, MAIN DATA'!B1219,'Country Summary (€)'!B:F,COLUMN('Country Summary (€)'!C1230)-1,FALSE)</f>
        <v>1</v>
      </c>
      <c r="AZ1219" s="1194" t="str">
        <f>IF(AND(AD1219=1,D1219="Military",H1219&lt;&gt;"Not given")=TRUE,IF(SUMIFS(P:P,A:A,A1219)&gt;0,ABS((SUMIFS(P:P,A:A,A1219)/VLOOKUP("USD",'Exchange Rates'!B:C,2,0)))/S1219,"."),".")</f>
        <v>.</v>
      </c>
      <c r="BA1219" s="1196" t="str">
        <f>IF(AND(AD1219=1,D1219="Military",H1219&lt;&gt;"Not given")=TRUE,IF(SUMIFS(P:P,A:A,A1219)&gt;0,IF((ABS((SUMIFS(P:P,A:A,A1219)/VLOOKUP("USD",'Exchange Rates'!B:C,2,0)))/S1219)&gt;1,(SUMIFS(P:P,A:A,A1219)-S1219)/S1219,(S1219-SUMIFS(P:P,A:A,A1219))/SUMIFS(P:P,A:A,A1219)),"."),".")</f>
        <v>.</v>
      </c>
    </row>
    <row r="1220" spans="1:53" ht="15.95" customHeight="1">
      <c r="A1220" s="1182" t="s">
        <v>3336</v>
      </c>
      <c r="B1220" s="1182" t="s">
        <v>3337</v>
      </c>
      <c r="C1220" s="1181">
        <v>44618</v>
      </c>
      <c r="D1220" s="1182" t="s">
        <v>360</v>
      </c>
      <c r="E1220" s="1182" t="s">
        <v>3265</v>
      </c>
      <c r="F1220" s="1183" t="s">
        <v>3338</v>
      </c>
      <c r="G1220" s="1184" t="s">
        <v>483</v>
      </c>
      <c r="H1220" s="1185">
        <v>163000</v>
      </c>
      <c r="I1220" s="1180" t="s">
        <v>471</v>
      </c>
      <c r="J1220" s="1186" t="str">
        <f>VLOOKUP($I1220,'Price List, Weapons &amp; Items'!B:C,2,0)</f>
        <v>Humanitarian</v>
      </c>
      <c r="K1220" s="1186" t="str">
        <f>IF(I1220=".",I1220,VLOOKUP($I1220,'Price List, Weapons &amp; Items'!B:D,3,0))</f>
        <v>Humanitarian</v>
      </c>
      <c r="L1220" s="1187">
        <f>VLOOKUP(I1220,'Price List, Weapons &amp; Items'!B:E,4,0)</f>
        <v>0</v>
      </c>
      <c r="M1220" s="1188">
        <v>200</v>
      </c>
      <c r="N1220" s="1188" t="s">
        <v>374</v>
      </c>
      <c r="O1220" s="1188">
        <f>VLOOKUP($I1220,'Price List, Weapons &amp; Items'!B:G,6,0)</f>
        <v>150</v>
      </c>
      <c r="P1220" s="1185">
        <f t="shared" si="262"/>
        <v>30000</v>
      </c>
      <c r="Q1220" s="1185" t="str">
        <f t="shared" si="263"/>
        <v>.</v>
      </c>
      <c r="R1220" s="1185" t="str">
        <f t="shared" si="259"/>
        <v/>
      </c>
      <c r="S1220" s="1185" t="str">
        <f>IF(AND(AD1220=1,R1220&lt;&gt;".")=TRUE,R1220/VLOOKUP(G1220,'Exchange Rates'!B:C,2,0),IF(R1220=".",".",""))</f>
        <v/>
      </c>
      <c r="T1220" s="1185" t="str">
        <f>IF(AD1220=1,IF(AF1220="Value is not given at all",".",IF(AF1220="Value is given by the source",S1220,IF(AF1220="Value is calculated with prices",(IF(SUMIFS(Q:Q,A:A,A1220)&gt;0,SUMIFS(Q:Q,A:A,A1220),"."))/VLOOKUP("USD",'Exchange Rates'!B:C,2,0),"Error with coding"))),"")</f>
        <v/>
      </c>
      <c r="U1220" s="1184" t="s">
        <v>365</v>
      </c>
      <c r="V1220" s="974" t="s">
        <v>3340</v>
      </c>
      <c r="W1220" s="974" t="s">
        <v>3341</v>
      </c>
      <c r="X1220" s="974" t="s">
        <v>3342</v>
      </c>
      <c r="Y1220" s="1183" t="s">
        <v>364</v>
      </c>
      <c r="Z1220" s="1184">
        <v>0</v>
      </c>
      <c r="AA1220" s="1194">
        <v>0</v>
      </c>
      <c r="AB1220" s="1201" t="s">
        <v>364</v>
      </c>
      <c r="AC1220" s="1192" t="str">
        <f>""</f>
        <v/>
      </c>
      <c r="AD1220" s="985">
        <v>0</v>
      </c>
      <c r="AE1220" s="985" t="s">
        <v>368</v>
      </c>
      <c r="AF1220" s="985" t="s">
        <v>369</v>
      </c>
      <c r="AG1220" s="985">
        <v>1</v>
      </c>
      <c r="AH1220" s="985">
        <v>2</v>
      </c>
      <c r="AI1220" s="985">
        <v>0</v>
      </c>
      <c r="AJ1220" s="1193">
        <f>VLOOKUP($I1220,'Price List, Weapons &amp; Items'!B:F,5,0)</f>
        <v>0</v>
      </c>
      <c r="AK1220" s="1193">
        <f t="shared" si="264"/>
        <v>0</v>
      </c>
      <c r="AL1220" s="1193">
        <f t="shared" si="265"/>
        <v>0</v>
      </c>
      <c r="AM1220" s="1193">
        <f t="shared" si="266"/>
        <v>0</v>
      </c>
      <c r="AN1220" s="1194" t="str">
        <f>VLOOKUP($I1220,'Price List, Weapons &amp; Items'!B:L,COLUMN('Price List, Weapons &amp; Items'!$J$11)-1,0)</f>
        <v>Miscellaneous</v>
      </c>
      <c r="AO1220" s="1194" t="str">
        <f>IF(I1220=".",".",VLOOKUP($I1220,'Price List, Weapons &amp; Items'!B:J,3,0))</f>
        <v>Humanitarian</v>
      </c>
      <c r="AP1220" s="1195" t="str">
        <f t="shared" ca="1" si="260"/>
        <v/>
      </c>
      <c r="AQ1220" s="1194">
        <f>VLOOKUP($I1220,'Price List, Weapons &amp; Items'!B:L,COLUMN('Price List, Weapons &amp; Items'!$L$11)-1,0)</f>
        <v>0</v>
      </c>
      <c r="AR1220" s="1194">
        <f t="shared" si="267"/>
        <v>1</v>
      </c>
      <c r="AS1220" s="1194">
        <f t="shared" si="268"/>
        <v>0</v>
      </c>
      <c r="AT1220" s="1194">
        <f t="shared" si="269"/>
        <v>1</v>
      </c>
      <c r="AU1220" s="1194" t="str">
        <f t="shared" si="270"/>
        <v>.</v>
      </c>
      <c r="AV1220" s="1194" t="str">
        <f t="shared" si="261"/>
        <v>.</v>
      </c>
      <c r="AW1220" s="1194" t="str">
        <f t="shared" si="271"/>
        <v>.</v>
      </c>
      <c r="AX1220" s="1194">
        <f>IFERROR(VLOOKUP(B1220,'Share, Heavy Weapons to Ukraine'!B:Z,COLUMN('Share, Heavy Weapons to Ukraine'!C1230)-1,0),0)</f>
        <v>0</v>
      </c>
      <c r="AY1220" s="1194">
        <f>VLOOKUP('Bilateral Assistance, MAIN DATA'!B1220,'Country Summary (€)'!B:F,COLUMN('Country Summary (€)'!C1231)-1,FALSE)</f>
        <v>1</v>
      </c>
      <c r="AZ1220" s="1194" t="str">
        <f>IF(AND(AD1220=1,D1220="Military",H1220&lt;&gt;"Not given")=TRUE,IF(SUMIFS(P:P,A:A,A1220)&gt;0,ABS((SUMIFS(P:P,A:A,A1220)/VLOOKUP("USD",'Exchange Rates'!B:C,2,0)))/S1220,"."),".")</f>
        <v>.</v>
      </c>
      <c r="BA1220" s="1196" t="str">
        <f>IF(AND(AD1220=1,D1220="Military",H1220&lt;&gt;"Not given")=TRUE,IF(SUMIFS(P:P,A:A,A1220)&gt;0,IF((ABS((SUMIFS(P:P,A:A,A1220)/VLOOKUP("USD",'Exchange Rates'!B:C,2,0)))/S1220)&gt;1,(SUMIFS(P:P,A:A,A1220)-S1220)/S1220,(S1220-SUMIFS(P:P,A:A,A1220))/SUMIFS(P:P,A:A,A1220)),"."),".")</f>
        <v>.</v>
      </c>
    </row>
    <row r="1221" spans="1:53" ht="15.95" customHeight="1">
      <c r="A1221" s="1182" t="s">
        <v>3336</v>
      </c>
      <c r="B1221" s="1182" t="s">
        <v>3337</v>
      </c>
      <c r="C1221" s="1181">
        <v>44618</v>
      </c>
      <c r="D1221" s="1182" t="s">
        <v>360</v>
      </c>
      <c r="E1221" s="1182" t="s">
        <v>3265</v>
      </c>
      <c r="F1221" s="1183" t="s">
        <v>3338</v>
      </c>
      <c r="G1221" s="1184" t="s">
        <v>483</v>
      </c>
      <c r="H1221" s="1185">
        <v>163000</v>
      </c>
      <c r="I1221" s="1180" t="s">
        <v>3343</v>
      </c>
      <c r="J1221" s="1186" t="str">
        <f>VLOOKUP($I1221,'Price List, Weapons &amp; Items'!B:C,2,0)</f>
        <v>Humanitarian</v>
      </c>
      <c r="K1221" s="1186" t="str">
        <f>IF(I1221=".",I1221,VLOOKUP($I1221,'Price List, Weapons &amp; Items'!B:D,3,0))</f>
        <v>Humanitarian</v>
      </c>
      <c r="L1221" s="1187">
        <f>VLOOKUP(I1221,'Price List, Weapons &amp; Items'!B:E,4,0)</f>
        <v>0</v>
      </c>
      <c r="M1221" s="1188">
        <v>200</v>
      </c>
      <c r="N1221" s="1188" t="s">
        <v>374</v>
      </c>
      <c r="O1221" s="1188">
        <f>VLOOKUP($I1221,'Price List, Weapons &amp; Items'!B:G,6,0)</f>
        <v>50</v>
      </c>
      <c r="P1221" s="1185">
        <f t="shared" si="262"/>
        <v>10000</v>
      </c>
      <c r="Q1221" s="1185" t="str">
        <f t="shared" si="263"/>
        <v>.</v>
      </c>
      <c r="R1221" s="1185" t="str">
        <f t="shared" si="259"/>
        <v/>
      </c>
      <c r="S1221" s="1185" t="str">
        <f>IF(AND(AD1221=1,R1221&lt;&gt;".")=TRUE,R1221/VLOOKUP(G1221,'Exchange Rates'!B:C,2,0),IF(R1221=".",".",""))</f>
        <v/>
      </c>
      <c r="T1221" s="1185" t="str">
        <f>IF(AD1221=1,IF(AF1221="Value is not given at all",".",IF(AF1221="Value is given by the source",S1221,IF(AF1221="Value is calculated with prices",(IF(SUMIFS(Q:Q,A:A,A1221)&gt;0,SUMIFS(Q:Q,A:A,A1221),"."))/VLOOKUP("USD",'Exchange Rates'!B:C,2,0),"Error with coding"))),"")</f>
        <v/>
      </c>
      <c r="U1221" s="1184" t="s">
        <v>365</v>
      </c>
      <c r="V1221" s="974" t="s">
        <v>3340</v>
      </c>
      <c r="W1221" s="974" t="s">
        <v>3341</v>
      </c>
      <c r="X1221" s="974" t="s">
        <v>3342</v>
      </c>
      <c r="Y1221" s="1183" t="s">
        <v>364</v>
      </c>
      <c r="Z1221" s="1184">
        <v>0</v>
      </c>
      <c r="AA1221" s="1194">
        <v>0</v>
      </c>
      <c r="AB1221" s="1201" t="s">
        <v>364</v>
      </c>
      <c r="AC1221" s="1192" t="str">
        <f>""</f>
        <v/>
      </c>
      <c r="AD1221" s="985">
        <v>0</v>
      </c>
      <c r="AE1221" s="985" t="s">
        <v>368</v>
      </c>
      <c r="AF1221" s="985" t="s">
        <v>369</v>
      </c>
      <c r="AG1221" s="985">
        <v>1</v>
      </c>
      <c r="AH1221" s="985">
        <v>2</v>
      </c>
      <c r="AI1221" s="985">
        <v>0</v>
      </c>
      <c r="AJ1221" s="1193">
        <f>VLOOKUP($I1221,'Price List, Weapons &amp; Items'!B:F,5,0)</f>
        <v>0</v>
      </c>
      <c r="AK1221" s="1193">
        <f t="shared" si="264"/>
        <v>0</v>
      </c>
      <c r="AL1221" s="1193">
        <f t="shared" si="265"/>
        <v>0</v>
      </c>
      <c r="AM1221" s="1193">
        <f t="shared" si="266"/>
        <v>0</v>
      </c>
      <c r="AN1221" s="1194" t="str">
        <f>VLOOKUP($I1221,'Price List, Weapons &amp; Items'!B:L,COLUMN('Price List, Weapons &amp; Items'!$J$11)-1,0)</f>
        <v>Online marketplaces and stores</v>
      </c>
      <c r="AO1221" s="1194" t="str">
        <f>IF(I1221=".",".",VLOOKUP($I1221,'Price List, Weapons &amp; Items'!B:J,3,0))</f>
        <v>Humanitarian</v>
      </c>
      <c r="AP1221" s="1195" t="str">
        <f t="shared" ca="1" si="260"/>
        <v/>
      </c>
      <c r="AQ1221" s="1194">
        <f>VLOOKUP($I1221,'Price List, Weapons &amp; Items'!B:L,COLUMN('Price List, Weapons &amp; Items'!$L$11)-1,0)</f>
        <v>0</v>
      </c>
      <c r="AR1221" s="1194">
        <f t="shared" si="267"/>
        <v>1</v>
      </c>
      <c r="AS1221" s="1194">
        <f t="shared" si="268"/>
        <v>0</v>
      </c>
      <c r="AT1221" s="1194">
        <f t="shared" si="269"/>
        <v>1</v>
      </c>
      <c r="AU1221" s="1194" t="str">
        <f t="shared" si="270"/>
        <v>.</v>
      </c>
      <c r="AV1221" s="1194" t="str">
        <f t="shared" si="261"/>
        <v>.</v>
      </c>
      <c r="AW1221" s="1194" t="str">
        <f t="shared" si="271"/>
        <v>.</v>
      </c>
      <c r="AX1221" s="1194">
        <f>IFERROR(VLOOKUP(B1221,'Share, Heavy Weapons to Ukraine'!B:Z,COLUMN('Share, Heavy Weapons to Ukraine'!C1231)-1,0),0)</f>
        <v>0</v>
      </c>
      <c r="AY1221" s="1194">
        <f>VLOOKUP('Bilateral Assistance, MAIN DATA'!B1221,'Country Summary (€)'!B:F,COLUMN('Country Summary (€)'!C1232)-1,FALSE)</f>
        <v>1</v>
      </c>
      <c r="AZ1221" s="1194" t="str">
        <f>IF(AND(AD1221=1,D1221="Military",H1221&lt;&gt;"Not given")=TRUE,IF(SUMIFS(P:P,A:A,A1221)&gt;0,ABS((SUMIFS(P:P,A:A,A1221)/VLOOKUP("USD",'Exchange Rates'!B:C,2,0)))/S1221,"."),".")</f>
        <v>.</v>
      </c>
      <c r="BA1221" s="1196" t="str">
        <f>IF(AND(AD1221=1,D1221="Military",H1221&lt;&gt;"Not given")=TRUE,IF(SUMIFS(P:P,A:A,A1221)&gt;0,IF((ABS((SUMIFS(P:P,A:A,A1221)/VLOOKUP("USD",'Exchange Rates'!B:C,2,0)))/S1221)&gt;1,(SUMIFS(P:P,A:A,A1221)-S1221)/S1221,(S1221-SUMIFS(P:P,A:A,A1221))/SUMIFS(P:P,A:A,A1221)),"."),".")</f>
        <v>.</v>
      </c>
    </row>
    <row r="1222" spans="1:53" ht="15.95" customHeight="1">
      <c r="A1222" s="1182" t="s">
        <v>3336</v>
      </c>
      <c r="B1222" s="1182" t="s">
        <v>3337</v>
      </c>
      <c r="C1222" s="1181">
        <v>44618</v>
      </c>
      <c r="D1222" s="1182" t="s">
        <v>360</v>
      </c>
      <c r="E1222" s="1182" t="s">
        <v>3265</v>
      </c>
      <c r="F1222" s="1183" t="s">
        <v>3338</v>
      </c>
      <c r="G1222" s="1184" t="s">
        <v>483</v>
      </c>
      <c r="H1222" s="1185">
        <v>163000</v>
      </c>
      <c r="I1222" s="1180" t="s">
        <v>3344</v>
      </c>
      <c r="J1222" s="1186" t="str">
        <f>VLOOKUP($I1222,'Price List, Weapons &amp; Items'!B:C,2,0)</f>
        <v>Humanitarian</v>
      </c>
      <c r="K1222" s="1186" t="str">
        <f>IF(I1222=".",I1222,VLOOKUP($I1222,'Price List, Weapons &amp; Items'!B:D,3,0))</f>
        <v>Humanitarian</v>
      </c>
      <c r="L1222" s="1187">
        <f>VLOOKUP(I1222,'Price List, Weapons &amp; Items'!B:E,4,0)</f>
        <v>0</v>
      </c>
      <c r="M1222" s="1188">
        <v>250000</v>
      </c>
      <c r="N1222" s="1188" t="s">
        <v>374</v>
      </c>
      <c r="O1222" s="1188">
        <f>VLOOKUP($I1222,'Price List, Weapons &amp; Items'!B:G,6,0)</f>
        <v>0.32</v>
      </c>
      <c r="P1222" s="1185">
        <f t="shared" si="262"/>
        <v>80000</v>
      </c>
      <c r="Q1222" s="1185" t="str">
        <f t="shared" si="263"/>
        <v>.</v>
      </c>
      <c r="R1222" s="1185" t="str">
        <f t="shared" si="259"/>
        <v/>
      </c>
      <c r="S1222" s="1185" t="str">
        <f>IF(AND(AD1222=1,R1222&lt;&gt;".")=TRUE,R1222/VLOOKUP(G1222,'Exchange Rates'!B:C,2,0),IF(R1222=".",".",""))</f>
        <v/>
      </c>
      <c r="T1222" s="1185" t="str">
        <f>IF(AD1222=1,IF(AF1222="Value is not given at all",".",IF(AF1222="Value is given by the source",S1222,IF(AF1222="Value is calculated with prices",(IF(SUMIFS(Q:Q,A:A,A1222)&gt;0,SUMIFS(Q:Q,A:A,A1222),"."))/VLOOKUP("USD",'Exchange Rates'!B:C,2,0),"Error with coding"))),"")</f>
        <v/>
      </c>
      <c r="U1222" s="1184" t="s">
        <v>365</v>
      </c>
      <c r="V1222" s="974" t="s">
        <v>3340</v>
      </c>
      <c r="W1222" s="974" t="s">
        <v>3341</v>
      </c>
      <c r="X1222" s="974" t="s">
        <v>3342</v>
      </c>
      <c r="Y1222" s="1183" t="s">
        <v>364</v>
      </c>
      <c r="Z1222" s="1184">
        <v>0</v>
      </c>
      <c r="AA1222" s="1194">
        <v>0</v>
      </c>
      <c r="AB1222" s="1201" t="s">
        <v>364</v>
      </c>
      <c r="AC1222" s="1192" t="str">
        <f>""</f>
        <v/>
      </c>
      <c r="AD1222" s="985">
        <v>0</v>
      </c>
      <c r="AE1222" s="985" t="s">
        <v>368</v>
      </c>
      <c r="AF1222" s="985" t="s">
        <v>369</v>
      </c>
      <c r="AG1222" s="985">
        <v>1</v>
      </c>
      <c r="AH1222" s="985">
        <v>2</v>
      </c>
      <c r="AI1222" s="985">
        <v>0</v>
      </c>
      <c r="AJ1222" s="1193">
        <f>VLOOKUP($I1222,'Price List, Weapons &amp; Items'!B:F,5,0)</f>
        <v>0</v>
      </c>
      <c r="AK1222" s="1193">
        <f t="shared" si="264"/>
        <v>0</v>
      </c>
      <c r="AL1222" s="1193">
        <f t="shared" si="265"/>
        <v>0</v>
      </c>
      <c r="AM1222" s="1193">
        <f t="shared" si="266"/>
        <v>0</v>
      </c>
      <c r="AN1222" s="1194" t="str">
        <f>VLOOKUP($I1222,'Price List, Weapons &amp; Items'!B:L,COLUMN('Price List, Weapons &amp; Items'!$J$11)-1,0)</f>
        <v>Online marketplaces and stores</v>
      </c>
      <c r="AO1222" s="1194" t="str">
        <f>IF(I1222=".",".",VLOOKUP($I1222,'Price List, Weapons &amp; Items'!B:J,3,0))</f>
        <v>Humanitarian</v>
      </c>
      <c r="AP1222" s="1195" t="str">
        <f t="shared" ca="1" si="260"/>
        <v/>
      </c>
      <c r="AQ1222" s="1194">
        <f>VLOOKUP($I1222,'Price List, Weapons &amp; Items'!B:L,COLUMN('Price List, Weapons &amp; Items'!$L$11)-1,0)</f>
        <v>0</v>
      </c>
      <c r="AR1222" s="1194">
        <f t="shared" si="267"/>
        <v>1</v>
      </c>
      <c r="AS1222" s="1194">
        <f t="shared" si="268"/>
        <v>0</v>
      </c>
      <c r="AT1222" s="1194">
        <f t="shared" si="269"/>
        <v>1</v>
      </c>
      <c r="AU1222" s="1194" t="str">
        <f t="shared" si="270"/>
        <v>.</v>
      </c>
      <c r="AV1222" s="1194" t="str">
        <f t="shared" si="261"/>
        <v>.</v>
      </c>
      <c r="AW1222" s="1194" t="str">
        <f t="shared" si="271"/>
        <v>.</v>
      </c>
      <c r="AX1222" s="1194">
        <f>IFERROR(VLOOKUP(B1222,'Share, Heavy Weapons to Ukraine'!B:Z,COLUMN('Share, Heavy Weapons to Ukraine'!C1232)-1,0),0)</f>
        <v>0</v>
      </c>
      <c r="AY1222" s="1194">
        <f>VLOOKUP('Bilateral Assistance, MAIN DATA'!B1222,'Country Summary (€)'!B:F,COLUMN('Country Summary (€)'!C1233)-1,FALSE)</f>
        <v>1</v>
      </c>
      <c r="AZ1222" s="1194" t="str">
        <f>IF(AND(AD1222=1,D1222="Military",H1222&lt;&gt;"Not given")=TRUE,IF(SUMIFS(P:P,A:A,A1222)&gt;0,ABS((SUMIFS(P:P,A:A,A1222)/VLOOKUP("USD",'Exchange Rates'!B:C,2,0)))/S1222,"."),".")</f>
        <v>.</v>
      </c>
      <c r="BA1222" s="1196" t="str">
        <f>IF(AND(AD1222=1,D1222="Military",H1222&lt;&gt;"Not given")=TRUE,IF(SUMIFS(P:P,A:A,A1222)&gt;0,IF((ABS((SUMIFS(P:P,A:A,A1222)/VLOOKUP("USD",'Exchange Rates'!B:C,2,0)))/S1222)&gt;1,(SUMIFS(P:P,A:A,A1222)-S1222)/S1222,(S1222-SUMIFS(P:P,A:A,A1222))/SUMIFS(P:P,A:A,A1222)),"."),".")</f>
        <v>.</v>
      </c>
    </row>
    <row r="1223" spans="1:53" ht="15.95" customHeight="1">
      <c r="A1223" s="1182" t="s">
        <v>3336</v>
      </c>
      <c r="B1223" s="1182" t="s">
        <v>3337</v>
      </c>
      <c r="C1223" s="1181">
        <v>44618</v>
      </c>
      <c r="D1223" s="1182" t="s">
        <v>360</v>
      </c>
      <c r="E1223" s="1182" t="s">
        <v>3265</v>
      </c>
      <c r="F1223" s="1183" t="s">
        <v>3338</v>
      </c>
      <c r="G1223" s="1184" t="s">
        <v>483</v>
      </c>
      <c r="H1223" s="1185">
        <v>163000</v>
      </c>
      <c r="I1223" s="1180" t="s">
        <v>3345</v>
      </c>
      <c r="J1223" s="1186" t="str">
        <f>VLOOKUP($I1223,'Price List, Weapons &amp; Items'!B:C,2,0)</f>
        <v>Humanitarian</v>
      </c>
      <c r="K1223" s="1186" t="str">
        <f>IF(I1223=".",I1223,VLOOKUP($I1223,'Price List, Weapons &amp; Items'!B:D,3,0))</f>
        <v>Humanitarian</v>
      </c>
      <c r="L1223" s="1187">
        <f>VLOOKUP(I1223,'Price List, Weapons &amp; Items'!B:E,4,0)</f>
        <v>0</v>
      </c>
      <c r="M1223" s="1188">
        <v>250000</v>
      </c>
      <c r="N1223" s="1188" t="s">
        <v>374</v>
      </c>
      <c r="O1223" s="1188">
        <f>VLOOKUP($I1223,'Price List, Weapons &amp; Items'!B:G,6,0)</f>
        <v>0.26</v>
      </c>
      <c r="P1223" s="1185">
        <f t="shared" si="262"/>
        <v>65000</v>
      </c>
      <c r="Q1223" s="1185" t="str">
        <f t="shared" si="263"/>
        <v>.</v>
      </c>
      <c r="R1223" s="1185" t="str">
        <f t="shared" si="259"/>
        <v/>
      </c>
      <c r="S1223" s="1185" t="str">
        <f>IF(AND(AD1223=1,R1223&lt;&gt;".")=TRUE,R1223/VLOOKUP(G1223,'Exchange Rates'!B:C,2,0),IF(R1223=".",".",""))</f>
        <v/>
      </c>
      <c r="T1223" s="1185" t="str">
        <f>IF(AD1223=1,IF(AF1223="Value is not given at all",".",IF(AF1223="Value is given by the source",S1223,IF(AF1223="Value is calculated with prices",(IF(SUMIFS(Q:Q,A:A,A1223)&gt;0,SUMIFS(Q:Q,A:A,A1223),"."))/VLOOKUP("USD",'Exchange Rates'!B:C,2,0),"Error with coding"))),"")</f>
        <v/>
      </c>
      <c r="U1223" s="1184" t="s">
        <v>365</v>
      </c>
      <c r="V1223" s="974" t="s">
        <v>3340</v>
      </c>
      <c r="W1223" s="974" t="s">
        <v>3341</v>
      </c>
      <c r="X1223" s="974" t="s">
        <v>3342</v>
      </c>
      <c r="Y1223" s="1183" t="s">
        <v>364</v>
      </c>
      <c r="Z1223" s="1184">
        <v>0</v>
      </c>
      <c r="AA1223" s="1194">
        <v>0</v>
      </c>
      <c r="AB1223" s="1201" t="s">
        <v>364</v>
      </c>
      <c r="AC1223" s="1192" t="str">
        <f>""</f>
        <v/>
      </c>
      <c r="AD1223" s="985">
        <v>0</v>
      </c>
      <c r="AE1223" s="985" t="s">
        <v>368</v>
      </c>
      <c r="AF1223" s="985" t="s">
        <v>369</v>
      </c>
      <c r="AG1223" s="985">
        <v>1</v>
      </c>
      <c r="AH1223" s="985">
        <v>2</v>
      </c>
      <c r="AI1223" s="985">
        <v>0</v>
      </c>
      <c r="AJ1223" s="1193">
        <f>VLOOKUP($I1223,'Price List, Weapons &amp; Items'!B:F,5,0)</f>
        <v>0</v>
      </c>
      <c r="AK1223" s="1193">
        <f t="shared" si="264"/>
        <v>0</v>
      </c>
      <c r="AL1223" s="1193">
        <f t="shared" si="265"/>
        <v>0</v>
      </c>
      <c r="AM1223" s="1193">
        <f t="shared" si="266"/>
        <v>0</v>
      </c>
      <c r="AN1223" s="1194" t="str">
        <f>VLOOKUP($I1223,'Price List, Weapons &amp; Items'!B:L,COLUMN('Price List, Weapons &amp; Items'!$J$11)-1,0)</f>
        <v>Online marketplaces and stores</v>
      </c>
      <c r="AO1223" s="1194" t="str">
        <f>IF(I1223=".",".",VLOOKUP($I1223,'Price List, Weapons &amp; Items'!B:J,3,0))</f>
        <v>Humanitarian</v>
      </c>
      <c r="AP1223" s="1195" t="str">
        <f t="shared" ca="1" si="260"/>
        <v/>
      </c>
      <c r="AQ1223" s="1194">
        <f>VLOOKUP($I1223,'Price List, Weapons &amp; Items'!B:L,COLUMN('Price List, Weapons &amp; Items'!$L$11)-1,0)</f>
        <v>0</v>
      </c>
      <c r="AR1223" s="1194">
        <f t="shared" si="267"/>
        <v>1</v>
      </c>
      <c r="AS1223" s="1194">
        <f t="shared" si="268"/>
        <v>0</v>
      </c>
      <c r="AT1223" s="1194">
        <f t="shared" si="269"/>
        <v>1</v>
      </c>
      <c r="AU1223" s="1194" t="str">
        <f t="shared" si="270"/>
        <v>.</v>
      </c>
      <c r="AV1223" s="1194" t="str">
        <f t="shared" si="261"/>
        <v>.</v>
      </c>
      <c r="AW1223" s="1194" t="str">
        <f t="shared" si="271"/>
        <v>.</v>
      </c>
      <c r="AX1223" s="1194">
        <f>IFERROR(VLOOKUP(B1223,'Share, Heavy Weapons to Ukraine'!B:Z,COLUMN('Share, Heavy Weapons to Ukraine'!C1233)-1,0),0)</f>
        <v>0</v>
      </c>
      <c r="AY1223" s="1194">
        <f>VLOOKUP('Bilateral Assistance, MAIN DATA'!B1223,'Country Summary (€)'!B:F,COLUMN('Country Summary (€)'!C1234)-1,FALSE)</f>
        <v>1</v>
      </c>
      <c r="AZ1223" s="1194" t="str">
        <f>IF(AND(AD1223=1,D1223="Military",H1223&lt;&gt;"Not given")=TRUE,IF(SUMIFS(P:P,A:A,A1223)&gt;0,ABS((SUMIFS(P:P,A:A,A1223)/VLOOKUP("USD",'Exchange Rates'!B:C,2,0)))/S1223,"."),".")</f>
        <v>.</v>
      </c>
      <c r="BA1223" s="1196" t="str">
        <f>IF(AND(AD1223=1,D1223="Military",H1223&lt;&gt;"Not given")=TRUE,IF(SUMIFS(P:P,A:A,A1223)&gt;0,IF((ABS((SUMIFS(P:P,A:A,A1223)/VLOOKUP("USD",'Exchange Rates'!B:C,2,0)))/S1223)&gt;1,(SUMIFS(P:P,A:A,A1223)-S1223)/S1223,(S1223-SUMIFS(P:P,A:A,A1223))/SUMIFS(P:P,A:A,A1223)),"."),".")</f>
        <v>.</v>
      </c>
    </row>
    <row r="1224" spans="1:53" ht="15.95" customHeight="1">
      <c r="A1224" s="1182" t="s">
        <v>3336</v>
      </c>
      <c r="B1224" s="1182" t="s">
        <v>3337</v>
      </c>
      <c r="C1224" s="1181">
        <v>44618</v>
      </c>
      <c r="D1224" s="1182" t="s">
        <v>360</v>
      </c>
      <c r="E1224" s="1182" t="s">
        <v>3265</v>
      </c>
      <c r="F1224" s="1183" t="s">
        <v>3338</v>
      </c>
      <c r="G1224" s="1184" t="s">
        <v>483</v>
      </c>
      <c r="H1224" s="1185">
        <v>163000</v>
      </c>
      <c r="I1224" s="1180" t="s">
        <v>2801</v>
      </c>
      <c r="J1224" s="1186" t="str">
        <f>VLOOKUP($I1224,'Price List, Weapons &amp; Items'!B:C,2,0)</f>
        <v>Humanitarian</v>
      </c>
      <c r="K1224" s="1186" t="str">
        <f>IF(I1224=".",I1224,VLOOKUP($I1224,'Price List, Weapons &amp; Items'!B:D,3,0))</f>
        <v>Humanitarian</v>
      </c>
      <c r="L1224" s="1187">
        <f>VLOOKUP(I1224,'Price List, Weapons &amp; Items'!B:E,4,0)</f>
        <v>0</v>
      </c>
      <c r="M1224" s="1188">
        <v>600000</v>
      </c>
      <c r="N1224" s="1188" t="s">
        <v>374</v>
      </c>
      <c r="O1224" s="1188">
        <f>VLOOKUP($I1224,'Price List, Weapons &amp; Items'!B:G,6,0)</f>
        <v>0.24</v>
      </c>
      <c r="P1224" s="1185">
        <f t="shared" si="262"/>
        <v>144000</v>
      </c>
      <c r="Q1224" s="1185" t="str">
        <f t="shared" si="263"/>
        <v>.</v>
      </c>
      <c r="R1224" s="1185" t="str">
        <f t="shared" si="259"/>
        <v/>
      </c>
      <c r="S1224" s="1185" t="str">
        <f>IF(AND(AD1224=1,R1224&lt;&gt;".")=TRUE,R1224/VLOOKUP(G1224,'Exchange Rates'!B:C,2,0),IF(R1224=".",".",""))</f>
        <v/>
      </c>
      <c r="T1224" s="1185" t="str">
        <f>IF(AD1224=1,IF(AF1224="Value is not given at all",".",IF(AF1224="Value is given by the source",S1224,IF(AF1224="Value is calculated with prices",(IF(SUMIFS(Q:Q,A:A,A1224)&gt;0,SUMIFS(Q:Q,A:A,A1224),"."))/VLOOKUP("USD",'Exchange Rates'!B:C,2,0),"Error with coding"))),"")</f>
        <v/>
      </c>
      <c r="U1224" s="1184" t="s">
        <v>365</v>
      </c>
      <c r="V1224" s="974" t="s">
        <v>3340</v>
      </c>
      <c r="W1224" s="974" t="s">
        <v>3341</v>
      </c>
      <c r="X1224" s="974" t="s">
        <v>3342</v>
      </c>
      <c r="Y1224" s="1183" t="s">
        <v>364</v>
      </c>
      <c r="Z1224" s="1184">
        <v>0</v>
      </c>
      <c r="AA1224" s="1194">
        <v>0</v>
      </c>
      <c r="AB1224" s="1201" t="s">
        <v>364</v>
      </c>
      <c r="AC1224" s="1192" t="str">
        <f>""</f>
        <v/>
      </c>
      <c r="AD1224" s="985">
        <v>0</v>
      </c>
      <c r="AE1224" s="985" t="s">
        <v>368</v>
      </c>
      <c r="AF1224" s="985" t="s">
        <v>369</v>
      </c>
      <c r="AG1224" s="985">
        <v>1</v>
      </c>
      <c r="AH1224" s="985">
        <v>2</v>
      </c>
      <c r="AI1224" s="985">
        <v>0</v>
      </c>
      <c r="AJ1224" s="1193">
        <f>VLOOKUP($I1224,'Price List, Weapons &amp; Items'!B:F,5,0)</f>
        <v>0</v>
      </c>
      <c r="AK1224" s="1193">
        <f t="shared" si="264"/>
        <v>0</v>
      </c>
      <c r="AL1224" s="1193">
        <f t="shared" si="265"/>
        <v>0</v>
      </c>
      <c r="AM1224" s="1193">
        <f t="shared" si="266"/>
        <v>0</v>
      </c>
      <c r="AN1224" s="1194" t="str">
        <f>VLOOKUP($I1224,'Price List, Weapons &amp; Items'!B:L,COLUMN('Price List, Weapons &amp; Items'!$J$11)-1,0)</f>
        <v>Online marketplaces and stores</v>
      </c>
      <c r="AO1224" s="1194" t="str">
        <f>IF(I1224=".",".",VLOOKUP($I1224,'Price List, Weapons &amp; Items'!B:J,3,0))</f>
        <v>Humanitarian</v>
      </c>
      <c r="AP1224" s="1195" t="str">
        <f t="shared" ca="1" si="260"/>
        <v/>
      </c>
      <c r="AQ1224" s="1194">
        <f>VLOOKUP($I1224,'Price List, Weapons &amp; Items'!B:L,COLUMN('Price List, Weapons &amp; Items'!$L$11)-1,0)</f>
        <v>0</v>
      </c>
      <c r="AR1224" s="1194">
        <f t="shared" si="267"/>
        <v>1</v>
      </c>
      <c r="AS1224" s="1194">
        <f t="shared" si="268"/>
        <v>0</v>
      </c>
      <c r="AT1224" s="1194">
        <f t="shared" si="269"/>
        <v>1</v>
      </c>
      <c r="AU1224" s="1194" t="str">
        <f t="shared" si="270"/>
        <v>.</v>
      </c>
      <c r="AV1224" s="1194" t="str">
        <f t="shared" si="261"/>
        <v>.</v>
      </c>
      <c r="AW1224" s="1194" t="str">
        <f t="shared" si="271"/>
        <v>.</v>
      </c>
      <c r="AX1224" s="1194">
        <f>IFERROR(VLOOKUP(B1224,'Share, Heavy Weapons to Ukraine'!B:Z,COLUMN('Share, Heavy Weapons to Ukraine'!C1234)-1,0),0)</f>
        <v>0</v>
      </c>
      <c r="AY1224" s="1194">
        <f>VLOOKUP('Bilateral Assistance, MAIN DATA'!B1224,'Country Summary (€)'!B:F,COLUMN('Country Summary (€)'!C1235)-1,FALSE)</f>
        <v>1</v>
      </c>
      <c r="AZ1224" s="1194" t="str">
        <f>IF(AND(AD1224=1,D1224="Military",H1224&lt;&gt;"Not given")=TRUE,IF(SUMIFS(P:P,A:A,A1224)&gt;0,ABS((SUMIFS(P:P,A:A,A1224)/VLOOKUP("USD",'Exchange Rates'!B:C,2,0)))/S1224,"."),".")</f>
        <v>.</v>
      </c>
      <c r="BA1224" s="1196" t="str">
        <f>IF(AND(AD1224=1,D1224="Military",H1224&lt;&gt;"Not given")=TRUE,IF(SUMIFS(P:P,A:A,A1224)&gt;0,IF((ABS((SUMIFS(P:P,A:A,A1224)/VLOOKUP("USD",'Exchange Rates'!B:C,2,0)))/S1224)&gt;1,(SUMIFS(P:P,A:A,A1224)-S1224)/S1224,(S1224-SUMIFS(P:P,A:A,A1224))/SUMIFS(P:P,A:A,A1224)),"."),".")</f>
        <v>.</v>
      </c>
    </row>
    <row r="1225" spans="1:53" ht="15.95" customHeight="1">
      <c r="A1225" s="1180" t="s">
        <v>3346</v>
      </c>
      <c r="B1225" s="1180" t="s">
        <v>3337</v>
      </c>
      <c r="C1225" s="1181">
        <v>44619</v>
      </c>
      <c r="D1225" s="1182" t="s">
        <v>360</v>
      </c>
      <c r="E1225" s="1182" t="s">
        <v>481</v>
      </c>
      <c r="F1225" s="1183" t="s">
        <v>3347</v>
      </c>
      <c r="G1225" s="1184" t="s">
        <v>483</v>
      </c>
      <c r="H1225" s="1185">
        <v>100000</v>
      </c>
      <c r="I1225" s="1180" t="s">
        <v>364</v>
      </c>
      <c r="J1225" s="1186" t="str">
        <f>VLOOKUP($I1225,'Price List, Weapons &amp; Items'!B:C,2,0)</f>
        <v>.</v>
      </c>
      <c r="K1225" s="1186" t="str">
        <f>IF(I1225=".",I1225,VLOOKUP($I1225,'Price List, Weapons &amp; Items'!B:D,3,0))</f>
        <v>.</v>
      </c>
      <c r="L1225" s="1187">
        <f>VLOOKUP(I1225,'Price List, Weapons &amp; Items'!B:E,4,0)</f>
        <v>0</v>
      </c>
      <c r="M1225" s="1188" t="s">
        <v>364</v>
      </c>
      <c r="N1225" s="1188" t="s">
        <v>364</v>
      </c>
      <c r="O1225" s="1188" t="str">
        <f>VLOOKUP($I1225,'Price List, Weapons &amp; Items'!B:G,6,0)</f>
        <v>.</v>
      </c>
      <c r="P1225" s="1185" t="str">
        <f t="shared" si="262"/>
        <v>.</v>
      </c>
      <c r="Q1225" s="1185" t="str">
        <f t="shared" si="263"/>
        <v>.</v>
      </c>
      <c r="R1225" s="1185">
        <f t="shared" si="259"/>
        <v>100000</v>
      </c>
      <c r="S1225" s="1185">
        <f>IF(AND(AD1225=1,R1225&lt;&gt;".")=TRUE,R1225/VLOOKUP(G1225,'Exchange Rates'!B:C,2,0),IF(R1225=".",".",""))</f>
        <v>100000</v>
      </c>
      <c r="T1225" s="1185" t="str">
        <f>IF(AD1225=1,IF(AF1225="Value is not given at all",".",IF(AF1225="Value is given by the source",S1225,IF(AF1225="Value is calculated with prices",(IF(SUMIFS(Q:Q,A:A,A1225)&gt;0,SUMIFS(Q:Q,A:A,A1225),"."))/VLOOKUP("USD",'Exchange Rates'!B:C,2,0),"Error with coding"))),"")</f>
        <v>.</v>
      </c>
      <c r="U1225" s="1184" t="s">
        <v>365</v>
      </c>
      <c r="V1225" s="980" t="s">
        <v>3340</v>
      </c>
      <c r="W1225" s="971" t="s">
        <v>3348</v>
      </c>
      <c r="X1225" s="1190" t="s">
        <v>364</v>
      </c>
      <c r="Y1225" s="1190" t="s">
        <v>364</v>
      </c>
      <c r="Z1225" s="1184">
        <v>0</v>
      </c>
      <c r="AA1225" s="1194">
        <v>0</v>
      </c>
      <c r="AB1225" s="1201" t="s">
        <v>364</v>
      </c>
      <c r="AC1225" s="1192" t="str">
        <f>""</f>
        <v/>
      </c>
      <c r="AD1225" s="985">
        <v>1</v>
      </c>
      <c r="AE1225" s="985" t="s">
        <v>368</v>
      </c>
      <c r="AF1225" s="985" t="s">
        <v>369</v>
      </c>
      <c r="AG1225" s="985">
        <v>1</v>
      </c>
      <c r="AH1225" s="1193">
        <v>2</v>
      </c>
      <c r="AI1225" s="1193">
        <v>0</v>
      </c>
      <c r="AJ1225" s="1193">
        <f>VLOOKUP($I1225,'Price List, Weapons &amp; Items'!B:F,5,0)</f>
        <v>0</v>
      </c>
      <c r="AK1225" s="1193">
        <f t="shared" si="264"/>
        <v>0</v>
      </c>
      <c r="AL1225" s="1193">
        <f t="shared" si="265"/>
        <v>0</v>
      </c>
      <c r="AM1225" s="1193">
        <f t="shared" si="266"/>
        <v>0</v>
      </c>
      <c r="AN1225" s="1194" t="str">
        <f>VLOOKUP($I1225,'Price List, Weapons &amp; Items'!B:L,COLUMN('Price List, Weapons &amp; Items'!$J$11)-1,0)</f>
        <v>.</v>
      </c>
      <c r="AO1225" s="1194" t="str">
        <f>IF(I1225=".",".",VLOOKUP($I1225,'Price List, Weapons &amp; Items'!B:J,3,0))</f>
        <v>.</v>
      </c>
      <c r="AP1225" s="1195" t="str">
        <f t="shared" ca="1" si="260"/>
        <v>.</v>
      </c>
      <c r="AQ1225" s="1194">
        <f>VLOOKUP($I1225,'Price List, Weapons &amp; Items'!B:L,COLUMN('Price List, Weapons &amp; Items'!$L$11)-1,0)</f>
        <v>0</v>
      </c>
      <c r="AR1225" s="1194">
        <f t="shared" si="267"/>
        <v>1</v>
      </c>
      <c r="AS1225" s="1194">
        <f t="shared" si="268"/>
        <v>0</v>
      </c>
      <c r="AT1225" s="1194">
        <f t="shared" si="269"/>
        <v>1</v>
      </c>
      <c r="AU1225" s="1194" t="str">
        <f t="shared" si="270"/>
        <v>.</v>
      </c>
      <c r="AV1225" s="1194" t="str">
        <f t="shared" si="261"/>
        <v>.</v>
      </c>
      <c r="AW1225" s="1194" t="str">
        <f t="shared" si="271"/>
        <v>.</v>
      </c>
      <c r="AX1225" s="1194">
        <f>IFERROR(VLOOKUP(B1225,'Share, Heavy Weapons to Ukraine'!B:Z,COLUMN('Share, Heavy Weapons to Ukraine'!C1235)-1,0),0)</f>
        <v>0</v>
      </c>
      <c r="AY1225" s="1194">
        <f>VLOOKUP('Bilateral Assistance, MAIN DATA'!B1225,'Country Summary (€)'!B:F,COLUMN('Country Summary (€)'!C1236)-1,FALSE)</f>
        <v>1</v>
      </c>
      <c r="AZ1225" s="1194" t="str">
        <f>IF(AND(AD1225=1,D1225="Military",H1225&lt;&gt;"Not given")=TRUE,IF(SUMIFS(P:P,A:A,A1225)&gt;0,ABS((SUMIFS(P:P,A:A,A1225)/VLOOKUP("USD",'Exchange Rates'!B:C,2,0)))/S1225,"."),".")</f>
        <v>.</v>
      </c>
      <c r="BA1225" s="1196" t="str">
        <f>IF(AND(AD1225=1,D1225="Military",H1225&lt;&gt;"Not given")=TRUE,IF(SUMIFS(P:P,A:A,A1225)&gt;0,IF((ABS((SUMIFS(P:P,A:A,A1225)/VLOOKUP("USD",'Exchange Rates'!B:C,2,0)))/S1225)&gt;1,(SUMIFS(P:P,A:A,A1225)-S1225)/S1225,(S1225-SUMIFS(P:P,A:A,A1225))/SUMIFS(P:P,A:A,A1225)),"."),".")</f>
        <v>.</v>
      </c>
    </row>
    <row r="1226" spans="1:53" ht="15.95" customHeight="1">
      <c r="A1226" s="1180" t="s">
        <v>3349</v>
      </c>
      <c r="B1226" s="1180" t="s">
        <v>3337</v>
      </c>
      <c r="C1226" s="1181">
        <v>44644</v>
      </c>
      <c r="D1226" s="1182" t="s">
        <v>360</v>
      </c>
      <c r="E1226" s="1182" t="s">
        <v>371</v>
      </c>
      <c r="F1226" s="1183" t="s">
        <v>3350</v>
      </c>
      <c r="G1226" s="1184" t="s">
        <v>456</v>
      </c>
      <c r="H1226" s="1185" t="s">
        <v>457</v>
      </c>
      <c r="I1226" s="1208" t="s">
        <v>2054</v>
      </c>
      <c r="J1226" s="1186" t="str">
        <f>VLOOKUP($I1226,'Price List, Weapons &amp; Items'!B:C,2,0)</f>
        <v>Humanitarian</v>
      </c>
      <c r="K1226" s="1186" t="str">
        <f>IF(I1226=".",I1226,VLOOKUP($I1226,'Price List, Weapons &amp; Items'!B:D,3,0))</f>
        <v>Humanitarian</v>
      </c>
      <c r="L1226" s="1187">
        <f>VLOOKUP(I1226,'Price List, Weapons &amp; Items'!B:E,4,0)</f>
        <v>0</v>
      </c>
      <c r="M1226" s="1188">
        <v>40</v>
      </c>
      <c r="N1226" s="1188" t="s">
        <v>374</v>
      </c>
      <c r="O1226" s="1188">
        <f>VLOOKUP($I1226,'Price List, Weapons &amp; Items'!B:G,6,0)</f>
        <v>10000</v>
      </c>
      <c r="P1226" s="1185">
        <f t="shared" si="262"/>
        <v>400000</v>
      </c>
      <c r="Q1226" s="1185" t="str">
        <f t="shared" si="263"/>
        <v>.</v>
      </c>
      <c r="R1226" s="1185">
        <f t="shared" si="259"/>
        <v>400000</v>
      </c>
      <c r="S1226" s="1185">
        <f>IF(AND(AD1226=1,R1226&lt;&gt;".")=TRUE,R1226/VLOOKUP(G1226,'Exchange Rates'!B:C,2,0),IF(R1226=".",".",""))</f>
        <v>368052.99963194702</v>
      </c>
      <c r="T1226" s="1185" t="str">
        <f>IF(AD1226=1,IF(AF1226="Value is not given at all",".",IF(AF1226="Value is given by the source",S1226,IF(AF1226="Value is calculated with prices",(IF(SUMIFS(Q:Q,A:A,A1226)&gt;0,SUMIFS(Q:Q,A:A,A1226),"."))/VLOOKUP("USD",'Exchange Rates'!B:C,2,0),"Error with coding"))),"")</f>
        <v>.</v>
      </c>
      <c r="U1226" s="1184" t="s">
        <v>675</v>
      </c>
      <c r="V1226" s="971" t="s">
        <v>3351</v>
      </c>
      <c r="W1226" s="971" t="s">
        <v>3352</v>
      </c>
      <c r="X1226" s="1190" t="s">
        <v>364</v>
      </c>
      <c r="Y1226" s="1190" t="s">
        <v>364</v>
      </c>
      <c r="Z1226" s="1184">
        <v>0</v>
      </c>
      <c r="AA1226" s="1194">
        <v>0</v>
      </c>
      <c r="AB1226" s="1201" t="s">
        <v>364</v>
      </c>
      <c r="AC1226" s="1192" t="str">
        <f>""</f>
        <v/>
      </c>
      <c r="AD1226" s="1193">
        <v>1</v>
      </c>
      <c r="AE1226" s="1193" t="s">
        <v>436</v>
      </c>
      <c r="AF1226" s="1193" t="s">
        <v>369</v>
      </c>
      <c r="AG1226" s="1193">
        <v>1</v>
      </c>
      <c r="AH1226" s="1193">
        <v>3</v>
      </c>
      <c r="AI1226" s="1193">
        <v>0</v>
      </c>
      <c r="AJ1226" s="1193">
        <f>VLOOKUP($I1226,'Price List, Weapons &amp; Items'!B:F,5,0)</f>
        <v>0</v>
      </c>
      <c r="AK1226" s="1193">
        <f t="shared" si="264"/>
        <v>0</v>
      </c>
      <c r="AL1226" s="1193">
        <f t="shared" si="265"/>
        <v>0</v>
      </c>
      <c r="AM1226" s="1193">
        <f t="shared" si="266"/>
        <v>0</v>
      </c>
      <c r="AN1226" s="1194" t="str">
        <f>VLOOKUP($I1226,'Price List, Weapons &amp; Items'!B:L,COLUMN('Price List, Weapons &amp; Items'!$J$11)-1,0)</f>
        <v>Miscellaneous</v>
      </c>
      <c r="AO1226" s="1194" t="str">
        <f>IF(I1226=".",".",VLOOKUP($I1226,'Price List, Weapons &amp; Items'!B:J,3,0))</f>
        <v>Humanitarian</v>
      </c>
      <c r="AP1226" s="1195" t="str">
        <f t="shared" ca="1" si="260"/>
        <v>ton of necessity items</v>
      </c>
      <c r="AQ1226" s="1194">
        <f>VLOOKUP($I1226,'Price List, Weapons &amp; Items'!B:L,COLUMN('Price List, Weapons &amp; Items'!$L$11)-1,0)</f>
        <v>0</v>
      </c>
      <c r="AR1226" s="1194">
        <f t="shared" si="267"/>
        <v>0</v>
      </c>
      <c r="AS1226" s="1194">
        <f t="shared" si="268"/>
        <v>0</v>
      </c>
      <c r="AT1226" s="1194">
        <f t="shared" si="269"/>
        <v>1</v>
      </c>
      <c r="AU1226" s="1194" t="str">
        <f t="shared" si="270"/>
        <v>.</v>
      </c>
      <c r="AV1226" s="1194" t="str">
        <f t="shared" si="261"/>
        <v>.</v>
      </c>
      <c r="AW1226" s="1194" t="str">
        <f t="shared" si="271"/>
        <v>.</v>
      </c>
      <c r="AX1226" s="1194">
        <f>IFERROR(VLOOKUP(B1226,'Share, Heavy Weapons to Ukraine'!B:Z,COLUMN('Share, Heavy Weapons to Ukraine'!C1236)-1,0),0)</f>
        <v>0</v>
      </c>
      <c r="AY1226" s="1194">
        <f>VLOOKUP('Bilateral Assistance, MAIN DATA'!B1226,'Country Summary (€)'!B:F,COLUMN('Country Summary (€)'!C1237)-1,FALSE)</f>
        <v>1</v>
      </c>
      <c r="AZ1226" s="1194" t="str">
        <f>IF(AND(AD1226=1,D1226="Military",H1226&lt;&gt;"Not given")=TRUE,IF(SUMIFS(P:P,A:A,A1226)&gt;0,ABS((SUMIFS(P:P,A:A,A1226)/VLOOKUP("USD",'Exchange Rates'!B:C,2,0)))/S1226,"."),".")</f>
        <v>.</v>
      </c>
      <c r="BA1226" s="1196" t="str">
        <f>IF(AND(AD1226=1,D1226="Military",H1226&lt;&gt;"Not given")=TRUE,IF(SUMIFS(P:P,A:A,A1226)&gt;0,IF((ABS((SUMIFS(P:P,A:A,A1226)/VLOOKUP("USD",'Exchange Rates'!B:C,2,0)))/S1226)&gt;1,(SUMIFS(P:P,A:A,A1226)-S1226)/S1226,(S1226-SUMIFS(P:P,A:A,A1226))/SUMIFS(P:P,A:A,A1226)),"."),".")</f>
        <v>.</v>
      </c>
    </row>
    <row r="1227" spans="1:53" ht="15.95" customHeight="1">
      <c r="A1227" s="1180" t="s">
        <v>3353</v>
      </c>
      <c r="B1227" s="1180" t="s">
        <v>3337</v>
      </c>
      <c r="C1227" s="1181">
        <v>44657</v>
      </c>
      <c r="D1227" s="1182" t="s">
        <v>360</v>
      </c>
      <c r="E1227" s="1182" t="s">
        <v>361</v>
      </c>
      <c r="F1227" s="1183" t="s">
        <v>3354</v>
      </c>
      <c r="G1227" s="1184" t="s">
        <v>483</v>
      </c>
      <c r="H1227" s="1185">
        <v>1640000</v>
      </c>
      <c r="I1227" s="1180" t="s">
        <v>364</v>
      </c>
      <c r="J1227" s="1186" t="str">
        <f>VLOOKUP($I1227,'Price List, Weapons &amp; Items'!B:C,2,0)</f>
        <v>.</v>
      </c>
      <c r="K1227" s="1186" t="str">
        <f>IF(I1227=".",I1227,VLOOKUP($I1227,'Price List, Weapons &amp; Items'!B:D,3,0))</f>
        <v>.</v>
      </c>
      <c r="L1227" s="1187">
        <f>VLOOKUP(I1227,'Price List, Weapons &amp; Items'!B:E,4,0)</f>
        <v>0</v>
      </c>
      <c r="M1227" s="1188" t="s">
        <v>364</v>
      </c>
      <c r="N1227" s="1188" t="s">
        <v>364</v>
      </c>
      <c r="O1227" s="1188" t="str">
        <f>VLOOKUP($I1227,'Price List, Weapons &amp; Items'!B:G,6,0)</f>
        <v>.</v>
      </c>
      <c r="P1227" s="1185" t="str">
        <f t="shared" si="262"/>
        <v>.</v>
      </c>
      <c r="Q1227" s="1185" t="str">
        <f t="shared" si="263"/>
        <v>.</v>
      </c>
      <c r="R1227" s="1185">
        <f t="shared" si="259"/>
        <v>1640000</v>
      </c>
      <c r="S1227" s="1185">
        <f>IF(AND(AD1227=1,R1227&lt;&gt;".")=TRUE,R1227/VLOOKUP(G1227,'Exchange Rates'!B:C,2,0),IF(R1227=".",".",""))</f>
        <v>1640000</v>
      </c>
      <c r="T1227" s="1185" t="str">
        <f>IF(AD1227=1,IF(AF1227="Value is not given at all",".",IF(AF1227="Value is given by the source",S1227,IF(AF1227="Value is calculated with prices",(IF(SUMIFS(Q:Q,A:A,A1227)&gt;0,SUMIFS(Q:Q,A:A,A1227),"."))/VLOOKUP("USD",'Exchange Rates'!B:C,2,0),"Error with coding"))),"")</f>
        <v>.</v>
      </c>
      <c r="U1227" s="1184" t="s">
        <v>365</v>
      </c>
      <c r="V1227" s="971" t="s">
        <v>3355</v>
      </c>
      <c r="W1227" s="971" t="s">
        <v>3356</v>
      </c>
      <c r="X1227" s="1190" t="s">
        <v>364</v>
      </c>
      <c r="Y1227" s="1190" t="s">
        <v>364</v>
      </c>
      <c r="Z1227" s="1184">
        <v>0</v>
      </c>
      <c r="AA1227" s="1194">
        <v>0</v>
      </c>
      <c r="AB1227" s="1201" t="s">
        <v>364</v>
      </c>
      <c r="AC1227" s="1192" t="str">
        <f>""</f>
        <v/>
      </c>
      <c r="AD1227" s="1193">
        <v>1</v>
      </c>
      <c r="AE1227" s="1193" t="s">
        <v>368</v>
      </c>
      <c r="AF1227" s="1193" t="s">
        <v>369</v>
      </c>
      <c r="AG1227" s="1193">
        <v>1</v>
      </c>
      <c r="AH1227" s="1193">
        <v>4</v>
      </c>
      <c r="AI1227" s="1193">
        <v>0</v>
      </c>
      <c r="AJ1227" s="1193">
        <f>VLOOKUP($I1227,'Price List, Weapons &amp; Items'!B:F,5,0)</f>
        <v>0</v>
      </c>
      <c r="AK1227" s="1193">
        <f t="shared" si="264"/>
        <v>0</v>
      </c>
      <c r="AL1227" s="1193">
        <f t="shared" si="265"/>
        <v>0</v>
      </c>
      <c r="AM1227" s="1193">
        <f t="shared" si="266"/>
        <v>0</v>
      </c>
      <c r="AN1227" s="1194" t="str">
        <f>VLOOKUP($I1227,'Price List, Weapons &amp; Items'!B:L,COLUMN('Price List, Weapons &amp; Items'!$J$11)-1,0)</f>
        <v>.</v>
      </c>
      <c r="AO1227" s="1194" t="str">
        <f>IF(I1227=".",".",VLOOKUP($I1227,'Price List, Weapons &amp; Items'!B:J,3,0))</f>
        <v>.</v>
      </c>
      <c r="AP1227" s="1195" t="str">
        <f t="shared" ca="1" si="260"/>
        <v>.</v>
      </c>
      <c r="AQ1227" s="1194">
        <f>VLOOKUP($I1227,'Price List, Weapons &amp; Items'!B:L,COLUMN('Price List, Weapons &amp; Items'!$L$11)-1,0)</f>
        <v>0</v>
      </c>
      <c r="AR1227" s="1194">
        <f t="shared" si="267"/>
        <v>1</v>
      </c>
      <c r="AS1227" s="1194">
        <f t="shared" si="268"/>
        <v>0</v>
      </c>
      <c r="AT1227" s="1194">
        <f t="shared" si="269"/>
        <v>1</v>
      </c>
      <c r="AU1227" s="1194" t="str">
        <f t="shared" si="270"/>
        <v>.</v>
      </c>
      <c r="AV1227" s="1194" t="str">
        <f t="shared" si="261"/>
        <v>.</v>
      </c>
      <c r="AW1227" s="1194" t="str">
        <f t="shared" si="271"/>
        <v>.</v>
      </c>
      <c r="AX1227" s="1194">
        <f>IFERROR(VLOOKUP(B1227,'Share, Heavy Weapons to Ukraine'!B:Z,COLUMN('Share, Heavy Weapons to Ukraine'!C1237)-1,0),0)</f>
        <v>0</v>
      </c>
      <c r="AY1227" s="1194">
        <f>VLOOKUP('Bilateral Assistance, MAIN DATA'!B1227,'Country Summary (€)'!B:F,COLUMN('Country Summary (€)'!C1238)-1,FALSE)</f>
        <v>1</v>
      </c>
      <c r="AZ1227" s="1194" t="str">
        <f>IF(AND(AD1227=1,D1227="Military",H1227&lt;&gt;"Not given")=TRUE,IF(SUMIFS(P:P,A:A,A1227)&gt;0,ABS((SUMIFS(P:P,A:A,A1227)/VLOOKUP("USD",'Exchange Rates'!B:C,2,0)))/S1227,"."),".")</f>
        <v>.</v>
      </c>
      <c r="BA1227" s="1196" t="str">
        <f>IF(AND(AD1227=1,D1227="Military",H1227&lt;&gt;"Not given")=TRUE,IF(SUMIFS(P:P,A:A,A1227)&gt;0,IF((ABS((SUMIFS(P:P,A:A,A1227)/VLOOKUP("USD",'Exchange Rates'!B:C,2,0)))/S1227)&gt;1,(SUMIFS(P:P,A:A,A1227)-S1227)/S1227,(S1227-SUMIFS(P:P,A:A,A1227))/SUMIFS(P:P,A:A,A1227)),"."),".")</f>
        <v>.</v>
      </c>
    </row>
    <row r="1228" spans="1:53" ht="15.95" customHeight="1">
      <c r="A1228" s="1182" t="s">
        <v>3357</v>
      </c>
      <c r="B1228" s="1182" t="s">
        <v>3337</v>
      </c>
      <c r="C1228" s="1181">
        <v>44680</v>
      </c>
      <c r="D1228" s="1182" t="s">
        <v>360</v>
      </c>
      <c r="E1228" s="1182" t="s">
        <v>759</v>
      </c>
      <c r="F1228" s="1183" t="s">
        <v>3358</v>
      </c>
      <c r="G1228" s="1184" t="s">
        <v>483</v>
      </c>
      <c r="H1228" s="1185">
        <v>180000</v>
      </c>
      <c r="I1228" s="1180" t="s">
        <v>3359</v>
      </c>
      <c r="J1228" s="1186" t="str">
        <f>VLOOKUP($I1228,'Price List, Weapons &amp; Items'!B:C,2,0)</f>
        <v>Humanitarian</v>
      </c>
      <c r="K1228" s="1186" t="str">
        <f>IF(I1228=".",I1228,VLOOKUP($I1228,'Price List, Weapons &amp; Items'!B:D,3,0))</f>
        <v>Humanitarian</v>
      </c>
      <c r="L1228" s="1187">
        <f>VLOOKUP(I1228,'Price List, Weapons &amp; Items'!B:E,4,0)</f>
        <v>0</v>
      </c>
      <c r="M1228" s="1188">
        <v>100</v>
      </c>
      <c r="N1228" s="1188" t="s">
        <v>374</v>
      </c>
      <c r="O1228" s="1188">
        <f>VLOOKUP($I1228,'Price List, Weapons &amp; Items'!B:G,6,0)</f>
        <v>150</v>
      </c>
      <c r="P1228" s="1185">
        <f t="shared" si="262"/>
        <v>15000</v>
      </c>
      <c r="Q1228" s="1185" t="str">
        <f t="shared" si="263"/>
        <v>.</v>
      </c>
      <c r="R1228" s="1185">
        <f t="shared" si="259"/>
        <v>180000</v>
      </c>
      <c r="S1228" s="1185">
        <f>IF(AND(AD1228=1,R1228&lt;&gt;".")=TRUE,R1228/VLOOKUP(G1228,'Exchange Rates'!B:C,2,0),IF(R1228=".",".",""))</f>
        <v>180000</v>
      </c>
      <c r="T1228" s="1185" t="str">
        <f>IF(AD1228=1,IF(AF1228="Value is not given at all",".",IF(AF1228="Value is given by the source",S1228,IF(AF1228="Value is calculated with prices",(IF(SUMIFS(Q:Q,A:A,A1228)&gt;0,SUMIFS(Q:Q,A:A,A1228),"."))/VLOOKUP("USD",'Exchange Rates'!B:C,2,0),"Error with coding"))),"")</f>
        <v>.</v>
      </c>
      <c r="U1228" s="1184" t="s">
        <v>675</v>
      </c>
      <c r="V1228" s="974" t="s">
        <v>3360</v>
      </c>
      <c r="W1228" s="974" t="s">
        <v>3361</v>
      </c>
      <c r="X1228" s="974" t="s">
        <v>3362</v>
      </c>
      <c r="Y1228" s="1183" t="s">
        <v>364</v>
      </c>
      <c r="Z1228" s="1184">
        <v>0</v>
      </c>
      <c r="AA1228" s="1194">
        <v>0</v>
      </c>
      <c r="AB1228" s="1201" t="s">
        <v>364</v>
      </c>
      <c r="AC1228" s="1192" t="str">
        <f>""</f>
        <v/>
      </c>
      <c r="AD1228" s="1193">
        <v>1</v>
      </c>
      <c r="AE1228" s="1193" t="s">
        <v>368</v>
      </c>
      <c r="AF1228" s="1193" t="s">
        <v>369</v>
      </c>
      <c r="AG1228" s="1193">
        <v>1</v>
      </c>
      <c r="AH1228" s="1193">
        <v>4</v>
      </c>
      <c r="AI1228" s="1193">
        <v>0</v>
      </c>
      <c r="AJ1228" s="1193">
        <f>VLOOKUP($I1228,'Price List, Weapons &amp; Items'!B:F,5,0)</f>
        <v>0</v>
      </c>
      <c r="AK1228" s="1193">
        <f t="shared" si="264"/>
        <v>0</v>
      </c>
      <c r="AL1228" s="1193">
        <f t="shared" si="265"/>
        <v>0</v>
      </c>
      <c r="AM1228" s="1193">
        <f t="shared" si="266"/>
        <v>0</v>
      </c>
      <c r="AN1228" s="1194" t="str">
        <f>VLOOKUP($I1228,'Price List, Weapons &amp; Items'!B:L,COLUMN('Price List, Weapons &amp; Items'!$J$11)-1,0)</f>
        <v>Miscellaneous</v>
      </c>
      <c r="AO1228" s="1194" t="str">
        <f>IF(I1228=".",".",VLOOKUP($I1228,'Price List, Weapons &amp; Items'!B:J,3,0))</f>
        <v>Humanitarian</v>
      </c>
      <c r="AP1228" s="1195" t="str">
        <f t="shared" ca="1" si="260"/>
        <v>IP phone</v>
      </c>
      <c r="AQ1228" s="1194">
        <f>VLOOKUP($I1228,'Price List, Weapons &amp; Items'!B:L,COLUMN('Price List, Weapons &amp; Items'!$L$11)-1,0)</f>
        <v>0</v>
      </c>
      <c r="AR1228" s="1194">
        <f t="shared" si="267"/>
        <v>0</v>
      </c>
      <c r="AS1228" s="1194">
        <f t="shared" si="268"/>
        <v>0</v>
      </c>
      <c r="AT1228" s="1194">
        <f t="shared" si="269"/>
        <v>1</v>
      </c>
      <c r="AU1228" s="1194" t="str">
        <f t="shared" si="270"/>
        <v>.</v>
      </c>
      <c r="AV1228" s="1194" t="str">
        <f t="shared" si="261"/>
        <v>.</v>
      </c>
      <c r="AW1228" s="1194" t="str">
        <f t="shared" si="271"/>
        <v>.</v>
      </c>
      <c r="AX1228" s="1194">
        <f>IFERROR(VLOOKUP(B1228,'Share, Heavy Weapons to Ukraine'!B:Z,COLUMN('Share, Heavy Weapons to Ukraine'!C1238)-1,0),0)</f>
        <v>0</v>
      </c>
      <c r="AY1228" s="1194">
        <f>VLOOKUP('Bilateral Assistance, MAIN DATA'!B1228,'Country Summary (€)'!B:F,COLUMN('Country Summary (€)'!C1239)-1,FALSE)</f>
        <v>1</v>
      </c>
      <c r="AZ1228" s="1194" t="str">
        <f>IF(AND(AD1228=1,D1228="Military",H1228&lt;&gt;"Not given")=TRUE,IF(SUMIFS(P:P,A:A,A1228)&gt;0,ABS((SUMIFS(P:P,A:A,A1228)/VLOOKUP("USD",'Exchange Rates'!B:C,2,0)))/S1228,"."),".")</f>
        <v>.</v>
      </c>
      <c r="BA1228" s="1196" t="str">
        <f>IF(AND(AD1228=1,D1228="Military",H1228&lt;&gt;"Not given")=TRUE,IF(SUMIFS(P:P,A:A,A1228)&gt;0,IF((ABS((SUMIFS(P:P,A:A,A1228)/VLOOKUP("USD",'Exchange Rates'!B:C,2,0)))/S1228)&gt;1,(SUMIFS(P:P,A:A,A1228)-S1228)/S1228,(S1228-SUMIFS(P:P,A:A,A1228))/SUMIFS(P:P,A:A,A1228)),"."),".")</f>
        <v>.</v>
      </c>
    </row>
    <row r="1229" spans="1:53" ht="15.95" customHeight="1">
      <c r="A1229" s="1182" t="s">
        <v>3357</v>
      </c>
      <c r="B1229" s="1182" t="s">
        <v>3337</v>
      </c>
      <c r="C1229" s="1181">
        <v>44680</v>
      </c>
      <c r="D1229" s="1182" t="s">
        <v>360</v>
      </c>
      <c r="E1229" s="1182" t="s">
        <v>759</v>
      </c>
      <c r="F1229" s="1183" t="s">
        <v>3358</v>
      </c>
      <c r="G1229" s="1184" t="s">
        <v>483</v>
      </c>
      <c r="H1229" s="1185">
        <v>180000</v>
      </c>
      <c r="I1229" s="1180" t="s">
        <v>3363</v>
      </c>
      <c r="J1229" s="1186" t="str">
        <f>VLOOKUP($I1229,'Price List, Weapons &amp; Items'!B:C,2,0)</f>
        <v>Humanitarian</v>
      </c>
      <c r="K1229" s="1186" t="str">
        <f>IF(I1229=".",I1229,VLOOKUP($I1229,'Price List, Weapons &amp; Items'!B:D,3,0))</f>
        <v>Humanitarian</v>
      </c>
      <c r="L1229" s="1187">
        <f>VLOOKUP(I1229,'Price List, Weapons &amp; Items'!B:E,4,0)</f>
        <v>0</v>
      </c>
      <c r="M1229" s="1188">
        <v>40</v>
      </c>
      <c r="N1229" s="1188" t="s">
        <v>374</v>
      </c>
      <c r="O1229" s="1188">
        <f>VLOOKUP($I1229,'Price List, Weapons &amp; Items'!B:G,6,0)</f>
        <v>675</v>
      </c>
      <c r="P1229" s="1185">
        <f t="shared" si="262"/>
        <v>27000</v>
      </c>
      <c r="Q1229" s="1185" t="str">
        <f t="shared" si="263"/>
        <v>.</v>
      </c>
      <c r="R1229" s="1185" t="str">
        <f t="shared" si="259"/>
        <v/>
      </c>
      <c r="S1229" s="1185" t="str">
        <f>IF(AND(AD1229=1,R1229&lt;&gt;".")=TRUE,R1229/VLOOKUP(G1229,'Exchange Rates'!B:C,2,0),IF(R1229=".",".",""))</f>
        <v/>
      </c>
      <c r="T1229" s="1185" t="str">
        <f>IF(AD1229=1,IF(AF1229="Value is not given at all",".",IF(AF1229="Value is given by the source",S1229,IF(AF1229="Value is calculated with prices",(IF(SUMIFS(Q:Q,A:A,A1229)&gt;0,SUMIFS(Q:Q,A:A,A1229),"."))/VLOOKUP("USD",'Exchange Rates'!B:C,2,0),"Error with coding"))),"")</f>
        <v/>
      </c>
      <c r="U1229" s="1184" t="s">
        <v>675</v>
      </c>
      <c r="V1229" s="974" t="s">
        <v>3360</v>
      </c>
      <c r="W1229" s="974" t="s">
        <v>3361</v>
      </c>
      <c r="X1229" s="974" t="s">
        <v>3362</v>
      </c>
      <c r="Y1229" s="1183" t="s">
        <v>364</v>
      </c>
      <c r="Z1229" s="1184">
        <v>0</v>
      </c>
      <c r="AA1229" s="1194">
        <v>0</v>
      </c>
      <c r="AB1229" s="1201" t="s">
        <v>364</v>
      </c>
      <c r="AC1229" s="1192" t="str">
        <f>""</f>
        <v/>
      </c>
      <c r="AD1229" s="1193">
        <v>0</v>
      </c>
      <c r="AE1229" s="1193" t="s">
        <v>368</v>
      </c>
      <c r="AF1229" s="1193" t="s">
        <v>369</v>
      </c>
      <c r="AG1229" s="1193">
        <v>1</v>
      </c>
      <c r="AH1229" s="1193">
        <v>4</v>
      </c>
      <c r="AI1229" s="1193">
        <v>0</v>
      </c>
      <c r="AJ1229" s="1193">
        <f>VLOOKUP($I1229,'Price List, Weapons &amp; Items'!B:F,5,0)</f>
        <v>0</v>
      </c>
      <c r="AK1229" s="1193">
        <f t="shared" si="264"/>
        <v>0</v>
      </c>
      <c r="AL1229" s="1193">
        <f t="shared" si="265"/>
        <v>0</v>
      </c>
      <c r="AM1229" s="1193">
        <f t="shared" si="266"/>
        <v>0</v>
      </c>
      <c r="AN1229" s="1194" t="str">
        <f>VLOOKUP($I1229,'Price List, Weapons &amp; Items'!B:L,COLUMN('Price List, Weapons &amp; Items'!$J$11)-1,0)</f>
        <v>Miscellaneous</v>
      </c>
      <c r="AO1229" s="1194" t="str">
        <f>IF(I1229=".",".",VLOOKUP($I1229,'Price List, Weapons &amp; Items'!B:J,3,0))</f>
        <v>Humanitarian</v>
      </c>
      <c r="AP1229" s="1195" t="str">
        <f t="shared" ca="1" si="260"/>
        <v/>
      </c>
      <c r="AQ1229" s="1194">
        <f>VLOOKUP($I1229,'Price List, Weapons &amp; Items'!B:L,COLUMN('Price List, Weapons &amp; Items'!$L$11)-1,0)</f>
        <v>0</v>
      </c>
      <c r="AR1229" s="1194">
        <f t="shared" si="267"/>
        <v>0</v>
      </c>
      <c r="AS1229" s="1194">
        <f t="shared" si="268"/>
        <v>0</v>
      </c>
      <c r="AT1229" s="1194">
        <f t="shared" si="269"/>
        <v>1</v>
      </c>
      <c r="AU1229" s="1194" t="str">
        <f t="shared" si="270"/>
        <v>.</v>
      </c>
      <c r="AV1229" s="1194" t="str">
        <f t="shared" si="261"/>
        <v>.</v>
      </c>
      <c r="AW1229" s="1194" t="str">
        <f t="shared" si="271"/>
        <v>.</v>
      </c>
      <c r="AX1229" s="1194">
        <f>IFERROR(VLOOKUP(B1229,'Share, Heavy Weapons to Ukraine'!B:Z,COLUMN('Share, Heavy Weapons to Ukraine'!C1239)-1,0),0)</f>
        <v>0</v>
      </c>
      <c r="AY1229" s="1194">
        <f>VLOOKUP('Bilateral Assistance, MAIN DATA'!B1229,'Country Summary (€)'!B:F,COLUMN('Country Summary (€)'!C1240)-1,FALSE)</f>
        <v>1</v>
      </c>
      <c r="AZ1229" s="1194" t="str">
        <f>IF(AND(AD1229=1,D1229="Military",H1229&lt;&gt;"Not given")=TRUE,IF(SUMIFS(P:P,A:A,A1229)&gt;0,ABS((SUMIFS(P:P,A:A,A1229)/VLOOKUP("USD",'Exchange Rates'!B:C,2,0)))/S1229,"."),".")</f>
        <v>.</v>
      </c>
      <c r="BA1229" s="1196" t="str">
        <f>IF(AND(AD1229=1,D1229="Military",H1229&lt;&gt;"Not given")=TRUE,IF(SUMIFS(P:P,A:A,A1229)&gt;0,IF((ABS((SUMIFS(P:P,A:A,A1229)/VLOOKUP("USD",'Exchange Rates'!B:C,2,0)))/S1229)&gt;1,(SUMIFS(P:P,A:A,A1229)-S1229)/S1229,(S1229-SUMIFS(P:P,A:A,A1229))/SUMIFS(P:P,A:A,A1229)),"."),".")</f>
        <v>.</v>
      </c>
    </row>
    <row r="1230" spans="1:53" ht="15.95" customHeight="1">
      <c r="A1230" s="1182" t="s">
        <v>3357</v>
      </c>
      <c r="B1230" s="1182" t="s">
        <v>3337</v>
      </c>
      <c r="C1230" s="1181">
        <v>44680</v>
      </c>
      <c r="D1230" s="1182" t="s">
        <v>360</v>
      </c>
      <c r="E1230" s="1182" t="s">
        <v>759</v>
      </c>
      <c r="F1230" s="1183" t="s">
        <v>3358</v>
      </c>
      <c r="G1230" s="1184" t="s">
        <v>483</v>
      </c>
      <c r="H1230" s="1185">
        <v>180000</v>
      </c>
      <c r="I1230" s="1180" t="s">
        <v>3364</v>
      </c>
      <c r="J1230" s="1186" t="str">
        <f>VLOOKUP($I1230,'Price List, Weapons &amp; Items'!B:C,2,0)</f>
        <v>Humanitarian</v>
      </c>
      <c r="K1230" s="1186" t="str">
        <f>IF(I1230=".",I1230,VLOOKUP($I1230,'Price List, Weapons &amp; Items'!B:D,3,0))</f>
        <v>Humanitarian</v>
      </c>
      <c r="L1230" s="1187">
        <f>VLOOKUP(I1230,'Price List, Weapons &amp; Items'!B:E,4,0)</f>
        <v>0</v>
      </c>
      <c r="M1230" s="1188">
        <v>40</v>
      </c>
      <c r="N1230" s="1188" t="s">
        <v>374</v>
      </c>
      <c r="O1230" s="1188">
        <f>VLOOKUP($I1230,'Price List, Weapons &amp; Items'!B:G,6,0)</f>
        <v>632</v>
      </c>
      <c r="P1230" s="1185">
        <f t="shared" si="262"/>
        <v>25280</v>
      </c>
      <c r="Q1230" s="1185" t="str">
        <f t="shared" si="263"/>
        <v>.</v>
      </c>
      <c r="R1230" s="1185" t="str">
        <f t="shared" si="259"/>
        <v/>
      </c>
      <c r="S1230" s="1185" t="str">
        <f>IF(AND(AD1230=1,R1230&lt;&gt;".")=TRUE,R1230/VLOOKUP(G1230,'Exchange Rates'!B:C,2,0),IF(R1230=".",".",""))</f>
        <v/>
      </c>
      <c r="T1230" s="1185" t="str">
        <f>IF(AD1230=1,IF(AF1230="Value is not given at all",".",IF(AF1230="Value is given by the source",S1230,IF(AF1230="Value is calculated with prices",(IF(SUMIFS(Q:Q,A:A,A1230)&gt;0,SUMIFS(Q:Q,A:A,A1230),"."))/VLOOKUP("USD",'Exchange Rates'!B:C,2,0),"Error with coding"))),"")</f>
        <v/>
      </c>
      <c r="U1230" s="1184" t="s">
        <v>675</v>
      </c>
      <c r="V1230" s="974" t="s">
        <v>3360</v>
      </c>
      <c r="W1230" s="974" t="s">
        <v>3361</v>
      </c>
      <c r="X1230" s="974" t="s">
        <v>3362</v>
      </c>
      <c r="Y1230" s="1183" t="s">
        <v>364</v>
      </c>
      <c r="Z1230" s="1184">
        <v>0</v>
      </c>
      <c r="AA1230" s="1194">
        <v>0</v>
      </c>
      <c r="AB1230" s="1201" t="s">
        <v>364</v>
      </c>
      <c r="AC1230" s="1192" t="str">
        <f>""</f>
        <v/>
      </c>
      <c r="AD1230" s="1193">
        <v>0</v>
      </c>
      <c r="AE1230" s="1193" t="s">
        <v>368</v>
      </c>
      <c r="AF1230" s="1193" t="s">
        <v>369</v>
      </c>
      <c r="AG1230" s="1193">
        <v>1</v>
      </c>
      <c r="AH1230" s="1193">
        <v>4</v>
      </c>
      <c r="AI1230" s="1193">
        <v>0</v>
      </c>
      <c r="AJ1230" s="1193">
        <f>VLOOKUP($I1230,'Price List, Weapons &amp; Items'!B:F,5,0)</f>
        <v>0</v>
      </c>
      <c r="AK1230" s="1193">
        <f t="shared" si="264"/>
        <v>0</v>
      </c>
      <c r="AL1230" s="1193">
        <f t="shared" si="265"/>
        <v>0</v>
      </c>
      <c r="AM1230" s="1193">
        <f t="shared" si="266"/>
        <v>0</v>
      </c>
      <c r="AN1230" s="1194" t="str">
        <f>VLOOKUP($I1230,'Price List, Weapons &amp; Items'!B:L,COLUMN('Price List, Weapons &amp; Items'!$J$11)-1,0)</f>
        <v>Miscellaneous</v>
      </c>
      <c r="AO1230" s="1194" t="str">
        <f>IF(I1230=".",".",VLOOKUP($I1230,'Price List, Weapons &amp; Items'!B:J,3,0))</f>
        <v>Humanitarian</v>
      </c>
      <c r="AP1230" s="1195" t="str">
        <f t="shared" ca="1" si="260"/>
        <v/>
      </c>
      <c r="AQ1230" s="1194">
        <f>VLOOKUP($I1230,'Price List, Weapons &amp; Items'!B:L,COLUMN('Price List, Weapons &amp; Items'!$L$11)-1,0)</f>
        <v>0</v>
      </c>
      <c r="AR1230" s="1194">
        <f t="shared" si="267"/>
        <v>0</v>
      </c>
      <c r="AS1230" s="1194">
        <f t="shared" si="268"/>
        <v>0</v>
      </c>
      <c r="AT1230" s="1194">
        <f t="shared" si="269"/>
        <v>1</v>
      </c>
      <c r="AU1230" s="1194" t="str">
        <f t="shared" si="270"/>
        <v>.</v>
      </c>
      <c r="AV1230" s="1194" t="str">
        <f t="shared" si="261"/>
        <v>.</v>
      </c>
      <c r="AW1230" s="1194" t="str">
        <f t="shared" si="271"/>
        <v>.</v>
      </c>
      <c r="AX1230" s="1194">
        <f>IFERROR(VLOOKUP(B1230,'Share, Heavy Weapons to Ukraine'!B:Z,COLUMN('Share, Heavy Weapons to Ukraine'!C1240)-1,0),0)</f>
        <v>0</v>
      </c>
      <c r="AY1230" s="1194">
        <f>VLOOKUP('Bilateral Assistance, MAIN DATA'!B1230,'Country Summary (€)'!B:F,COLUMN('Country Summary (€)'!C1241)-1,FALSE)</f>
        <v>1</v>
      </c>
      <c r="AZ1230" s="1194" t="str">
        <f>IF(AND(AD1230=1,D1230="Military",H1230&lt;&gt;"Not given")=TRUE,IF(SUMIFS(P:P,A:A,A1230)&gt;0,ABS((SUMIFS(P:P,A:A,A1230)/VLOOKUP("USD",'Exchange Rates'!B:C,2,0)))/S1230,"."),".")</f>
        <v>.</v>
      </c>
      <c r="BA1230" s="1196" t="str">
        <f>IF(AND(AD1230=1,D1230="Military",H1230&lt;&gt;"Not given")=TRUE,IF(SUMIFS(P:P,A:A,A1230)&gt;0,IF((ABS((SUMIFS(P:P,A:A,A1230)/VLOOKUP("USD",'Exchange Rates'!B:C,2,0)))/S1230)&gt;1,(SUMIFS(P:P,A:A,A1230)-S1230)/S1230,(S1230-SUMIFS(P:P,A:A,A1230))/SUMIFS(P:P,A:A,A1230)),"."),".")</f>
        <v>.</v>
      </c>
    </row>
    <row r="1231" spans="1:53" ht="15.95" customHeight="1">
      <c r="A1231" s="1182" t="s">
        <v>3357</v>
      </c>
      <c r="B1231" s="1182" t="s">
        <v>3337</v>
      </c>
      <c r="C1231" s="1181">
        <v>44680</v>
      </c>
      <c r="D1231" s="1182" t="s">
        <v>360</v>
      </c>
      <c r="E1231" s="1182" t="s">
        <v>759</v>
      </c>
      <c r="F1231" s="1183" t="s">
        <v>3358</v>
      </c>
      <c r="G1231" s="1184" t="s">
        <v>483</v>
      </c>
      <c r="H1231" s="1185">
        <v>180000</v>
      </c>
      <c r="I1231" s="1180" t="s">
        <v>3365</v>
      </c>
      <c r="J1231" s="1186" t="str">
        <f>VLOOKUP($I1231,'Price List, Weapons &amp; Items'!B:C,2,0)</f>
        <v>Humanitarian</v>
      </c>
      <c r="K1231" s="1186" t="str">
        <f>IF(I1231=".",I1231,VLOOKUP($I1231,'Price List, Weapons &amp; Items'!B:D,3,0))</f>
        <v>Humanitarian</v>
      </c>
      <c r="L1231" s="1187">
        <f>VLOOKUP(I1231,'Price List, Weapons &amp; Items'!B:E,4,0)</f>
        <v>0</v>
      </c>
      <c r="M1231" s="1188" t="s">
        <v>374</v>
      </c>
      <c r="N1231" s="1188" t="s">
        <v>374</v>
      </c>
      <c r="O1231" s="1188">
        <f>VLOOKUP($I1231,'Price List, Weapons &amp; Items'!B:G,6,0)</f>
        <v>1500</v>
      </c>
      <c r="P1231" s="1185" t="str">
        <f t="shared" si="262"/>
        <v>.</v>
      </c>
      <c r="Q1231" s="1185" t="str">
        <f t="shared" si="263"/>
        <v>.</v>
      </c>
      <c r="R1231" s="1185" t="str">
        <f t="shared" si="259"/>
        <v/>
      </c>
      <c r="S1231" s="1185" t="str">
        <f>IF(AND(AD1231=1,R1231&lt;&gt;".")=TRUE,R1231/VLOOKUP(G1231,'Exchange Rates'!B:C,2,0),IF(R1231=".",".",""))</f>
        <v/>
      </c>
      <c r="T1231" s="1185" t="str">
        <f>IF(AD1231=1,IF(AF1231="Value is not given at all",".",IF(AF1231="Value is given by the source",S1231,IF(AF1231="Value is calculated with prices",(IF(SUMIFS(Q:Q,A:A,A1231)&gt;0,SUMIFS(Q:Q,A:A,A1231),"."))/VLOOKUP("USD",'Exchange Rates'!B:C,2,0),"Error with coding"))),"")</f>
        <v/>
      </c>
      <c r="U1231" s="1184" t="s">
        <v>675</v>
      </c>
      <c r="V1231" s="974" t="s">
        <v>3360</v>
      </c>
      <c r="W1231" s="974" t="s">
        <v>3361</v>
      </c>
      <c r="X1231" s="974" t="s">
        <v>3362</v>
      </c>
      <c r="Y1231" s="1183" t="s">
        <v>364</v>
      </c>
      <c r="Z1231" s="1184">
        <v>0</v>
      </c>
      <c r="AA1231" s="1194">
        <v>0</v>
      </c>
      <c r="AB1231" s="1201" t="s">
        <v>364</v>
      </c>
      <c r="AC1231" s="1192" t="str">
        <f>""</f>
        <v/>
      </c>
      <c r="AD1231" s="1193">
        <v>0</v>
      </c>
      <c r="AE1231" s="1193" t="s">
        <v>368</v>
      </c>
      <c r="AF1231" s="1193" t="s">
        <v>369</v>
      </c>
      <c r="AG1231" s="1193">
        <v>1</v>
      </c>
      <c r="AH1231" s="1193">
        <v>4</v>
      </c>
      <c r="AI1231" s="1193">
        <v>0</v>
      </c>
      <c r="AJ1231" s="1193">
        <f>VLOOKUP($I1231,'Price List, Weapons &amp; Items'!B:F,5,0)</f>
        <v>0</v>
      </c>
      <c r="AK1231" s="1193">
        <f t="shared" si="264"/>
        <v>0</v>
      </c>
      <c r="AL1231" s="1193">
        <f t="shared" si="265"/>
        <v>0</v>
      </c>
      <c r="AM1231" s="1193">
        <f t="shared" si="266"/>
        <v>0</v>
      </c>
      <c r="AN1231" s="1194" t="str">
        <f>VLOOKUP($I1231,'Price List, Weapons &amp; Items'!B:L,COLUMN('Price List, Weapons &amp; Items'!$J$11)-1,0)</f>
        <v>Miscellaneous</v>
      </c>
      <c r="AO1231" s="1194" t="str">
        <f>IF(I1231=".",".",VLOOKUP($I1231,'Price List, Weapons &amp; Items'!B:J,3,0))</f>
        <v>Humanitarian</v>
      </c>
      <c r="AP1231" s="1195" t="str">
        <f t="shared" ca="1" si="260"/>
        <v/>
      </c>
      <c r="AQ1231" s="1194">
        <f>VLOOKUP($I1231,'Price List, Weapons &amp; Items'!B:L,COLUMN('Price List, Weapons &amp; Items'!$L$11)-1,0)</f>
        <v>0</v>
      </c>
      <c r="AR1231" s="1194">
        <f t="shared" si="267"/>
        <v>0</v>
      </c>
      <c r="AS1231" s="1194">
        <f t="shared" si="268"/>
        <v>0</v>
      </c>
      <c r="AT1231" s="1194">
        <f t="shared" si="269"/>
        <v>1</v>
      </c>
      <c r="AU1231" s="1194" t="str">
        <f t="shared" si="270"/>
        <v>.</v>
      </c>
      <c r="AV1231" s="1194" t="str">
        <f t="shared" si="261"/>
        <v>.</v>
      </c>
      <c r="AW1231" s="1194" t="str">
        <f t="shared" si="271"/>
        <v>.</v>
      </c>
      <c r="AX1231" s="1194">
        <f>IFERROR(VLOOKUP(B1231,'Share, Heavy Weapons to Ukraine'!B:Z,COLUMN('Share, Heavy Weapons to Ukraine'!C1241)-1,0),0)</f>
        <v>0</v>
      </c>
      <c r="AY1231" s="1194">
        <f>VLOOKUP('Bilateral Assistance, MAIN DATA'!B1231,'Country Summary (€)'!B:F,COLUMN('Country Summary (€)'!C1242)-1,FALSE)</f>
        <v>1</v>
      </c>
      <c r="AZ1231" s="1194" t="str">
        <f>IF(AND(AD1231=1,D1231="Military",H1231&lt;&gt;"Not given")=TRUE,IF(SUMIFS(P:P,A:A,A1231)&gt;0,ABS((SUMIFS(P:P,A:A,A1231)/VLOOKUP("USD",'Exchange Rates'!B:C,2,0)))/S1231,"."),".")</f>
        <v>.</v>
      </c>
      <c r="BA1231" s="1196" t="str">
        <f>IF(AND(AD1231=1,D1231="Military",H1231&lt;&gt;"Not given")=TRUE,IF(SUMIFS(P:P,A:A,A1231)&gt;0,IF((ABS((SUMIFS(P:P,A:A,A1231)/VLOOKUP("USD",'Exchange Rates'!B:C,2,0)))/S1231)&gt;1,(SUMIFS(P:P,A:A,A1231)-S1231)/S1231,(S1231-SUMIFS(P:P,A:A,A1231))/SUMIFS(P:P,A:A,A1231)),"."),".")</f>
        <v>.</v>
      </c>
    </row>
    <row r="1232" spans="1:53" ht="15.95" customHeight="1">
      <c r="A1232" s="1182" t="s">
        <v>3357</v>
      </c>
      <c r="B1232" s="1182" t="s">
        <v>3337</v>
      </c>
      <c r="C1232" s="1181">
        <v>44680</v>
      </c>
      <c r="D1232" s="1182" t="s">
        <v>360</v>
      </c>
      <c r="E1232" s="1182" t="s">
        <v>759</v>
      </c>
      <c r="F1232" s="1183" t="s">
        <v>3358</v>
      </c>
      <c r="G1232" s="1184" t="s">
        <v>483</v>
      </c>
      <c r="H1232" s="1185">
        <v>180000</v>
      </c>
      <c r="I1232" s="1180" t="s">
        <v>3366</v>
      </c>
      <c r="J1232" s="1186" t="str">
        <f>VLOOKUP($I1232,'Price List, Weapons &amp; Items'!B:C,2,0)</f>
        <v>Military equipment</v>
      </c>
      <c r="K1232" s="1186" t="str">
        <f>IF(I1232=".",I1232,VLOOKUP($I1232,'Price List, Weapons &amp; Items'!B:D,3,0))</f>
        <v>Military equipment</v>
      </c>
      <c r="L1232" s="1187">
        <f>VLOOKUP(I1232,'Price List, Weapons &amp; Items'!B:E,4,0)</f>
        <v>0</v>
      </c>
      <c r="M1232" s="1188" t="s">
        <v>374</v>
      </c>
      <c r="N1232" s="1188" t="s">
        <v>374</v>
      </c>
      <c r="O1232" s="1188">
        <f>VLOOKUP($I1232,'Price List, Weapons &amp; Items'!B:G,6,0)</f>
        <v>310</v>
      </c>
      <c r="P1232" s="1185" t="str">
        <f t="shared" si="262"/>
        <v>.</v>
      </c>
      <c r="Q1232" s="1185" t="str">
        <f t="shared" si="263"/>
        <v>.</v>
      </c>
      <c r="R1232" s="1185" t="str">
        <f t="shared" si="259"/>
        <v/>
      </c>
      <c r="S1232" s="1185" t="str">
        <f>IF(AND(AD1232=1,R1232&lt;&gt;".")=TRUE,R1232/VLOOKUP(G1232,'Exchange Rates'!B:C,2,0),IF(R1232=".",".",""))</f>
        <v/>
      </c>
      <c r="T1232" s="1185" t="str">
        <f>IF(AD1232=1,IF(AF1232="Value is not given at all",".",IF(AF1232="Value is given by the source",S1232,IF(AF1232="Value is calculated with prices",(IF(SUMIFS(Q:Q,A:A,A1232)&gt;0,SUMIFS(Q:Q,A:A,A1232),"."))/VLOOKUP("USD",'Exchange Rates'!B:C,2,0),"Error with coding"))),"")</f>
        <v/>
      </c>
      <c r="U1232" s="1184" t="s">
        <v>675</v>
      </c>
      <c r="V1232" s="974" t="s">
        <v>3360</v>
      </c>
      <c r="W1232" s="974" t="s">
        <v>3361</v>
      </c>
      <c r="X1232" s="974" t="s">
        <v>3362</v>
      </c>
      <c r="Y1232" s="1183" t="s">
        <v>364</v>
      </c>
      <c r="Z1232" s="1184">
        <v>0</v>
      </c>
      <c r="AA1232" s="1194">
        <v>0</v>
      </c>
      <c r="AB1232" s="1201" t="s">
        <v>364</v>
      </c>
      <c r="AC1232" s="1192" t="str">
        <f>""</f>
        <v/>
      </c>
      <c r="AD1232" s="1193">
        <v>0</v>
      </c>
      <c r="AE1232" s="1193" t="s">
        <v>368</v>
      </c>
      <c r="AF1232" s="1193" t="s">
        <v>369</v>
      </c>
      <c r="AG1232" s="1193">
        <v>1</v>
      </c>
      <c r="AH1232" s="1193">
        <v>4</v>
      </c>
      <c r="AI1232" s="1193">
        <v>0</v>
      </c>
      <c r="AJ1232" s="1193">
        <f>VLOOKUP($I1232,'Price List, Weapons &amp; Items'!B:F,5,0)</f>
        <v>0</v>
      </c>
      <c r="AK1232" s="1193">
        <f t="shared" si="264"/>
        <v>0</v>
      </c>
      <c r="AL1232" s="1193">
        <f t="shared" si="265"/>
        <v>0</v>
      </c>
      <c r="AM1232" s="1193">
        <f t="shared" si="266"/>
        <v>0</v>
      </c>
      <c r="AN1232" s="1194" t="str">
        <f>VLOOKUP($I1232,'Price List, Weapons &amp; Items'!B:L,COLUMN('Price List, Weapons &amp; Items'!$J$11)-1,0)</f>
        <v>Media reports (incl. social media)</v>
      </c>
      <c r="AO1232" s="1194" t="str">
        <f>IF(I1232=".",".",VLOOKUP($I1232,'Price List, Weapons &amp; Items'!B:J,3,0))</f>
        <v>Military equipment</v>
      </c>
      <c r="AP1232" s="1195" t="str">
        <f t="shared" ca="1" si="260"/>
        <v/>
      </c>
      <c r="AQ1232" s="1194" t="str">
        <f>VLOOKUP($I1232,'Price List, Weapons &amp; Items'!B:L,COLUMN('Price List, Weapons &amp; Items'!$L$11)-1,0)</f>
        <v>no price, 0 count</v>
      </c>
      <c r="AR1232" s="1194">
        <f t="shared" si="267"/>
        <v>0</v>
      </c>
      <c r="AS1232" s="1194">
        <f t="shared" si="268"/>
        <v>0</v>
      </c>
      <c r="AT1232" s="1194">
        <f t="shared" si="269"/>
        <v>1</v>
      </c>
      <c r="AU1232" s="1194" t="str">
        <f t="shared" si="270"/>
        <v>.</v>
      </c>
      <c r="AV1232" s="1194" t="str">
        <f t="shared" si="261"/>
        <v>.</v>
      </c>
      <c r="AW1232" s="1194" t="str">
        <f t="shared" si="271"/>
        <v>.</v>
      </c>
      <c r="AX1232" s="1194">
        <f>IFERROR(VLOOKUP(B1232,'Share, Heavy Weapons to Ukraine'!B:Z,COLUMN('Share, Heavy Weapons to Ukraine'!C1242)-1,0),0)</f>
        <v>0</v>
      </c>
      <c r="AY1232" s="1194">
        <f>VLOOKUP('Bilateral Assistance, MAIN DATA'!B1232,'Country Summary (€)'!B:F,COLUMN('Country Summary (€)'!C1243)-1,FALSE)</f>
        <v>1</v>
      </c>
      <c r="AZ1232" s="1194" t="str">
        <f>IF(AND(AD1232=1,D1232="Military",H1232&lt;&gt;"Not given")=TRUE,IF(SUMIFS(P:P,A:A,A1232)&gt;0,ABS((SUMIFS(P:P,A:A,A1232)/VLOOKUP("USD",'Exchange Rates'!B:C,2,0)))/S1232,"."),".")</f>
        <v>.</v>
      </c>
      <c r="BA1232" s="1196" t="str">
        <f>IF(AND(AD1232=1,D1232="Military",H1232&lt;&gt;"Not given")=TRUE,IF(SUMIFS(P:P,A:A,A1232)&gt;0,IF((ABS((SUMIFS(P:P,A:A,A1232)/VLOOKUP("USD",'Exchange Rates'!B:C,2,0)))/S1232)&gt;1,(SUMIFS(P:P,A:A,A1232)-S1232)/S1232,(S1232-SUMIFS(P:P,A:A,A1232))/SUMIFS(P:P,A:A,A1232)),"."),".")</f>
        <v>.</v>
      </c>
    </row>
    <row r="1233" spans="1:53" ht="15.95" customHeight="1">
      <c r="A1233" s="1182" t="s">
        <v>3357</v>
      </c>
      <c r="B1233" s="1182" t="s">
        <v>3337</v>
      </c>
      <c r="C1233" s="1181">
        <v>44680</v>
      </c>
      <c r="D1233" s="1182" t="s">
        <v>360</v>
      </c>
      <c r="E1233" s="1182" t="s">
        <v>759</v>
      </c>
      <c r="F1233" s="1183" t="s">
        <v>3358</v>
      </c>
      <c r="G1233" s="1184" t="s">
        <v>483</v>
      </c>
      <c r="H1233" s="1185">
        <v>180000</v>
      </c>
      <c r="I1233" s="1180" t="s">
        <v>3367</v>
      </c>
      <c r="J1233" s="1186" t="str">
        <f>VLOOKUP($I1233,'Price List, Weapons &amp; Items'!B:C,2,0)</f>
        <v>Humanitarian</v>
      </c>
      <c r="K1233" s="1186" t="str">
        <f>IF(I1233=".",I1233,VLOOKUP($I1233,'Price List, Weapons &amp; Items'!B:D,3,0))</f>
        <v>Humanitarian</v>
      </c>
      <c r="L1233" s="1187">
        <f>VLOOKUP(I1233,'Price List, Weapons &amp; Items'!B:E,4,0)</f>
        <v>0</v>
      </c>
      <c r="M1233" s="1188" t="s">
        <v>374</v>
      </c>
      <c r="N1233" s="1188" t="s">
        <v>374</v>
      </c>
      <c r="O1233" s="1188">
        <f>VLOOKUP($I1233,'Price List, Weapons &amp; Items'!B:G,6,0)</f>
        <v>27.35</v>
      </c>
      <c r="P1233" s="1185" t="str">
        <f t="shared" si="262"/>
        <v>.</v>
      </c>
      <c r="Q1233" s="1185" t="str">
        <f t="shared" si="263"/>
        <v>.</v>
      </c>
      <c r="R1233" s="1185" t="str">
        <f t="shared" si="259"/>
        <v/>
      </c>
      <c r="S1233" s="1185" t="str">
        <f>IF(AND(AD1233=1,R1233&lt;&gt;".")=TRUE,R1233/VLOOKUP(G1233,'Exchange Rates'!B:C,2,0),IF(R1233=".",".",""))</f>
        <v/>
      </c>
      <c r="T1233" s="1185" t="str">
        <f>IF(AD1233=1,IF(AF1233="Value is not given at all",".",IF(AF1233="Value is given by the source",S1233,IF(AF1233="Value is calculated with prices",(IF(SUMIFS(Q:Q,A:A,A1233)&gt;0,SUMIFS(Q:Q,A:A,A1233),"."))/VLOOKUP("USD",'Exchange Rates'!B:C,2,0),"Error with coding"))),"")</f>
        <v/>
      </c>
      <c r="U1233" s="1184" t="s">
        <v>675</v>
      </c>
      <c r="V1233" s="974" t="s">
        <v>3360</v>
      </c>
      <c r="W1233" s="974" t="s">
        <v>3361</v>
      </c>
      <c r="X1233" s="974" t="s">
        <v>3362</v>
      </c>
      <c r="Y1233" s="1183" t="s">
        <v>364</v>
      </c>
      <c r="Z1233" s="1184">
        <v>0</v>
      </c>
      <c r="AA1233" s="1194">
        <v>0</v>
      </c>
      <c r="AB1233" s="1201" t="s">
        <v>364</v>
      </c>
      <c r="AC1233" s="1192" t="str">
        <f>""</f>
        <v/>
      </c>
      <c r="AD1233" s="1193">
        <v>0</v>
      </c>
      <c r="AE1233" s="1193" t="s">
        <v>368</v>
      </c>
      <c r="AF1233" s="1193" t="s">
        <v>369</v>
      </c>
      <c r="AG1233" s="1193">
        <v>1</v>
      </c>
      <c r="AH1233" s="1193">
        <v>4</v>
      </c>
      <c r="AI1233" s="1193">
        <v>0</v>
      </c>
      <c r="AJ1233" s="1193">
        <f>VLOOKUP($I1233,'Price List, Weapons &amp; Items'!B:F,5,0)</f>
        <v>0</v>
      </c>
      <c r="AK1233" s="1193">
        <f t="shared" si="264"/>
        <v>0</v>
      </c>
      <c r="AL1233" s="1193">
        <f t="shared" si="265"/>
        <v>0</v>
      </c>
      <c r="AM1233" s="1193">
        <f t="shared" si="266"/>
        <v>0</v>
      </c>
      <c r="AN1233" s="1194" t="str">
        <f>VLOOKUP($I1233,'Price List, Weapons &amp; Items'!B:L,COLUMN('Price List, Weapons &amp; Items'!$J$11)-1,0)</f>
        <v>Online marketplaces and stores</v>
      </c>
      <c r="AO1233" s="1194" t="str">
        <f>IF(I1233=".",".",VLOOKUP($I1233,'Price List, Weapons &amp; Items'!B:J,3,0))</f>
        <v>Humanitarian</v>
      </c>
      <c r="AP1233" s="1195" t="str">
        <f t="shared" ca="1" si="260"/>
        <v/>
      </c>
      <c r="AQ1233" s="1194">
        <f>VLOOKUP($I1233,'Price List, Weapons &amp; Items'!B:L,COLUMN('Price List, Weapons &amp; Items'!$L$11)-1,0)</f>
        <v>0</v>
      </c>
      <c r="AR1233" s="1194">
        <f t="shared" si="267"/>
        <v>0</v>
      </c>
      <c r="AS1233" s="1194">
        <f t="shared" si="268"/>
        <v>0</v>
      </c>
      <c r="AT1233" s="1194">
        <f t="shared" si="269"/>
        <v>1</v>
      </c>
      <c r="AU1233" s="1194" t="str">
        <f t="shared" si="270"/>
        <v>.</v>
      </c>
      <c r="AV1233" s="1194" t="str">
        <f t="shared" si="261"/>
        <v>.</v>
      </c>
      <c r="AW1233" s="1194" t="str">
        <f t="shared" si="271"/>
        <v>.</v>
      </c>
      <c r="AX1233" s="1194">
        <f>IFERROR(VLOOKUP(B1233,'Share, Heavy Weapons to Ukraine'!B:Z,COLUMN('Share, Heavy Weapons to Ukraine'!C1243)-1,0),0)</f>
        <v>0</v>
      </c>
      <c r="AY1233" s="1194">
        <f>VLOOKUP('Bilateral Assistance, MAIN DATA'!B1233,'Country Summary (€)'!B:F,COLUMN('Country Summary (€)'!C1244)-1,FALSE)</f>
        <v>1</v>
      </c>
      <c r="AZ1233" s="1194" t="str">
        <f>IF(AND(AD1233=1,D1233="Military",H1233&lt;&gt;"Not given")=TRUE,IF(SUMIFS(P:P,A:A,A1233)&gt;0,ABS((SUMIFS(P:P,A:A,A1233)/VLOOKUP("USD",'Exchange Rates'!B:C,2,0)))/S1233,"."),".")</f>
        <v>.</v>
      </c>
      <c r="BA1233" s="1196" t="str">
        <f>IF(AND(AD1233=1,D1233="Military",H1233&lt;&gt;"Not given")=TRUE,IF(SUMIFS(P:P,A:A,A1233)&gt;0,IF((ABS((SUMIFS(P:P,A:A,A1233)/VLOOKUP("USD",'Exchange Rates'!B:C,2,0)))/S1233)&gt;1,(SUMIFS(P:P,A:A,A1233)-S1233)/S1233,(S1233-SUMIFS(P:P,A:A,A1233))/SUMIFS(P:P,A:A,A1233)),"."),".")</f>
        <v>.</v>
      </c>
    </row>
    <row r="1234" spans="1:53" ht="15.95" customHeight="1">
      <c r="A1234" s="1182" t="s">
        <v>3368</v>
      </c>
      <c r="B1234" s="1182" t="s">
        <v>3337</v>
      </c>
      <c r="C1234" s="1181">
        <v>44890</v>
      </c>
      <c r="D1234" s="1182" t="s">
        <v>360</v>
      </c>
      <c r="E1234" s="1182" t="s">
        <v>361</v>
      </c>
      <c r="F1234" s="1183" t="s">
        <v>3369</v>
      </c>
      <c r="G1234" s="1184" t="s">
        <v>483</v>
      </c>
      <c r="H1234" s="1185">
        <v>133939</v>
      </c>
      <c r="I1234" s="1180" t="s">
        <v>364</v>
      </c>
      <c r="J1234" s="1186" t="str">
        <f>VLOOKUP($I1234,'Price List, Weapons &amp; Items'!B:C,2,0)</f>
        <v>.</v>
      </c>
      <c r="K1234" s="1186" t="str">
        <f>IF(I1234=".",I1234,VLOOKUP($I1234,'Price List, Weapons &amp; Items'!B:D,3,0))</f>
        <v>.</v>
      </c>
      <c r="L1234" s="1187">
        <f>VLOOKUP(I1234,'Price List, Weapons &amp; Items'!B:E,4,0)</f>
        <v>0</v>
      </c>
      <c r="M1234" s="1188" t="s">
        <v>364</v>
      </c>
      <c r="N1234" s="1188" t="s">
        <v>364</v>
      </c>
      <c r="O1234" s="1188" t="str">
        <f>VLOOKUP($I1234,'Price List, Weapons &amp; Items'!B:G,6,0)</f>
        <v>.</v>
      </c>
      <c r="P1234" s="1185" t="str">
        <f t="shared" si="262"/>
        <v>.</v>
      </c>
      <c r="Q1234" s="1185" t="str">
        <f t="shared" si="263"/>
        <v>.</v>
      </c>
      <c r="R1234" s="1185">
        <f t="shared" si="259"/>
        <v>133939</v>
      </c>
      <c r="S1234" s="1185">
        <f>IF(AND(AD1234=1,R1234&lt;&gt;".")=TRUE,R1234/VLOOKUP(G1234,'Exchange Rates'!B:C,2,0),IF(R1234=".",".",""))</f>
        <v>133939</v>
      </c>
      <c r="T1234" s="1185" t="str">
        <f>IF(AD1234=1,IF(AF1234="Value is not given at all",".",IF(AF1234="Value is given by the source",S1234,IF(AF1234="Value is calculated with prices",(IF(SUMIFS(Q:Q,A:A,A1234)&gt;0,SUMIFS(Q:Q,A:A,A1234),"."))/VLOOKUP("USD",'Exchange Rates'!B:C,2,0),"Error with coding"))),"")</f>
        <v>.</v>
      </c>
      <c r="U1234" s="1184" t="s">
        <v>365</v>
      </c>
      <c r="V1234" s="974" t="s">
        <v>3370</v>
      </c>
      <c r="W1234" s="1001" t="s">
        <v>364</v>
      </c>
      <c r="X1234" s="1001" t="s">
        <v>364</v>
      </c>
      <c r="Y1234" s="1183" t="s">
        <v>364</v>
      </c>
      <c r="Z1234" s="1184">
        <v>0</v>
      </c>
      <c r="AA1234" s="1194">
        <v>0</v>
      </c>
      <c r="AB1234" s="1201" t="s">
        <v>364</v>
      </c>
      <c r="AC1234" s="1192" t="str">
        <f>""</f>
        <v/>
      </c>
      <c r="AD1234" s="1193">
        <v>1</v>
      </c>
      <c r="AE1234" s="1193" t="s">
        <v>368</v>
      </c>
      <c r="AF1234" s="1193" t="s">
        <v>369</v>
      </c>
      <c r="AG1234" s="1193">
        <v>1</v>
      </c>
      <c r="AH1234" s="1193">
        <v>11</v>
      </c>
      <c r="AI1234" s="1193">
        <v>0</v>
      </c>
      <c r="AJ1234" s="1193">
        <f>VLOOKUP($I1234,'Price List, Weapons &amp; Items'!B:F,5,0)</f>
        <v>0</v>
      </c>
      <c r="AK1234" s="1193">
        <f t="shared" si="264"/>
        <v>0</v>
      </c>
      <c r="AL1234" s="1193">
        <f t="shared" si="265"/>
        <v>0</v>
      </c>
      <c r="AM1234" s="1193">
        <f t="shared" si="266"/>
        <v>0</v>
      </c>
      <c r="AN1234" s="1194" t="str">
        <f>VLOOKUP($I1234,'Price List, Weapons &amp; Items'!B:L,COLUMN('Price List, Weapons &amp; Items'!$J$11)-1,0)</f>
        <v>.</v>
      </c>
      <c r="AO1234" s="1194" t="str">
        <f>IF(I1234=".",".",VLOOKUP($I1234,'Price List, Weapons &amp; Items'!B:J,3,0))</f>
        <v>.</v>
      </c>
      <c r="AP1234" s="1195" t="str">
        <f t="shared" ca="1" si="260"/>
        <v>.</v>
      </c>
      <c r="AQ1234" s="1194">
        <f>VLOOKUP($I1234,'Price List, Weapons &amp; Items'!B:L,COLUMN('Price List, Weapons &amp; Items'!$L$11)-1,0)</f>
        <v>0</v>
      </c>
      <c r="AR1234" s="1194">
        <f t="shared" si="267"/>
        <v>1</v>
      </c>
      <c r="AS1234" s="1194">
        <f t="shared" si="268"/>
        <v>0</v>
      </c>
      <c r="AT1234" s="1194">
        <f t="shared" si="269"/>
        <v>1</v>
      </c>
      <c r="AU1234" s="1194" t="str">
        <f t="shared" si="270"/>
        <v>.</v>
      </c>
      <c r="AV1234" s="1194" t="str">
        <f t="shared" si="261"/>
        <v>.</v>
      </c>
      <c r="AW1234" s="1194" t="str">
        <f t="shared" si="271"/>
        <v>.</v>
      </c>
      <c r="AX1234" s="1194">
        <f>IFERROR(VLOOKUP(B1234,'Share, Heavy Weapons to Ukraine'!B:Z,COLUMN('Share, Heavy Weapons to Ukraine'!C1244)-1,0),0)</f>
        <v>0</v>
      </c>
      <c r="AY1234" s="1194">
        <f>VLOOKUP('Bilateral Assistance, MAIN DATA'!B1234,'Country Summary (€)'!B:F,COLUMN('Country Summary (€)'!C1245)-1,FALSE)</f>
        <v>1</v>
      </c>
      <c r="AZ1234" s="1194" t="str">
        <f>IF(AND(AD1234=1,D1234="Military",H1234&lt;&gt;"Not given")=TRUE,IF(SUMIFS(P:P,A:A,A1234)&gt;0,ABS((SUMIFS(P:P,A:A,A1234)/VLOOKUP("USD",'Exchange Rates'!B:C,2,0)))/S1234,"."),".")</f>
        <v>.</v>
      </c>
      <c r="BA1234" s="1196" t="str">
        <f>IF(AND(AD1234=1,D1234="Military",H1234&lt;&gt;"Not given")=TRUE,IF(SUMIFS(P:P,A:A,A1234)&gt;0,IF((ABS((SUMIFS(P:P,A:A,A1234)/VLOOKUP("USD",'Exchange Rates'!B:C,2,0)))/S1234)&gt;1,(SUMIFS(P:P,A:A,A1234)-S1234)/S1234,(S1234-SUMIFS(P:P,A:A,A1234))/SUMIFS(P:P,A:A,A1234)),"."),".")</f>
        <v>.</v>
      </c>
    </row>
    <row r="1235" spans="1:53" ht="15.95" customHeight="1">
      <c r="A1235" s="1182" t="s">
        <v>3371</v>
      </c>
      <c r="B1235" s="1182" t="s">
        <v>3337</v>
      </c>
      <c r="C1235" s="1181">
        <v>44900</v>
      </c>
      <c r="D1235" s="1182" t="s">
        <v>360</v>
      </c>
      <c r="E1235" s="1182" t="s">
        <v>759</v>
      </c>
      <c r="F1235" s="1183" t="s">
        <v>3372</v>
      </c>
      <c r="G1235" s="1184" t="s">
        <v>483</v>
      </c>
      <c r="H1235" s="1185">
        <v>100000</v>
      </c>
      <c r="I1235" s="1180" t="s">
        <v>364</v>
      </c>
      <c r="J1235" s="1186" t="str">
        <f>VLOOKUP($I1235,'Price List, Weapons &amp; Items'!B:C,2,0)</f>
        <v>.</v>
      </c>
      <c r="K1235" s="1186" t="str">
        <f>IF(I1235=".",I1235,VLOOKUP($I1235,'Price List, Weapons &amp; Items'!B:D,3,0))</f>
        <v>.</v>
      </c>
      <c r="L1235" s="1187">
        <f>VLOOKUP(I1235,'Price List, Weapons &amp; Items'!B:E,4,0)</f>
        <v>0</v>
      </c>
      <c r="M1235" s="1188" t="s">
        <v>364</v>
      </c>
      <c r="N1235" s="1188" t="s">
        <v>364</v>
      </c>
      <c r="O1235" s="1188" t="str">
        <f>VLOOKUP($I1235,'Price List, Weapons &amp; Items'!B:G,6,0)</f>
        <v>.</v>
      </c>
      <c r="P1235" s="1185" t="str">
        <f t="shared" si="262"/>
        <v>.</v>
      </c>
      <c r="Q1235" s="1185" t="str">
        <f t="shared" si="263"/>
        <v>.</v>
      </c>
      <c r="R1235" s="1185">
        <f t="shared" si="259"/>
        <v>100000</v>
      </c>
      <c r="S1235" s="1185">
        <f>IF(AND(AD1235=1,R1235&lt;&gt;".")=TRUE,R1235/VLOOKUP(G1235,'Exchange Rates'!B:C,2,0),IF(R1235=".",".",""))</f>
        <v>100000</v>
      </c>
      <c r="T1235" s="1185" t="str">
        <f>IF(AD1235=1,IF(AF1235="Value is not given at all",".",IF(AF1235="Value is given by the source",S1235,IF(AF1235="Value is calculated with prices",(IF(SUMIFS(Q:Q,A:A,A1235)&gt;0,SUMIFS(Q:Q,A:A,A1235),"."))/VLOOKUP("USD",'Exchange Rates'!B:C,2,0),"Error with coding"))),"")</f>
        <v>.</v>
      </c>
      <c r="U1235" s="1184" t="s">
        <v>365</v>
      </c>
      <c r="V1235" s="974" t="s">
        <v>3373</v>
      </c>
      <c r="W1235" s="1001" t="s">
        <v>364</v>
      </c>
      <c r="X1235" s="1001" t="s">
        <v>364</v>
      </c>
      <c r="Y1235" s="1183" t="s">
        <v>364</v>
      </c>
      <c r="Z1235" s="1184">
        <v>0</v>
      </c>
      <c r="AA1235" s="1194">
        <v>0</v>
      </c>
      <c r="AB1235" s="1201" t="s">
        <v>364</v>
      </c>
      <c r="AC1235" s="1192" t="str">
        <f>""</f>
        <v/>
      </c>
      <c r="AD1235" s="1193">
        <v>1</v>
      </c>
      <c r="AE1235" s="1193" t="s">
        <v>368</v>
      </c>
      <c r="AF1235" s="1193" t="s">
        <v>369</v>
      </c>
      <c r="AG1235" s="1193">
        <v>1</v>
      </c>
      <c r="AH1235" s="1193">
        <v>12</v>
      </c>
      <c r="AI1235" s="1193">
        <v>0</v>
      </c>
      <c r="AJ1235" s="1193">
        <f>VLOOKUP($I1235,'Price List, Weapons &amp; Items'!B:F,5,0)</f>
        <v>0</v>
      </c>
      <c r="AK1235" s="1193">
        <f t="shared" si="264"/>
        <v>0</v>
      </c>
      <c r="AL1235" s="1193">
        <f t="shared" si="265"/>
        <v>0</v>
      </c>
      <c r="AM1235" s="1193">
        <f t="shared" si="266"/>
        <v>0</v>
      </c>
      <c r="AN1235" s="1194" t="str">
        <f>VLOOKUP($I1235,'Price List, Weapons &amp; Items'!B:L,COLUMN('Price List, Weapons &amp; Items'!$J$11)-1,0)</f>
        <v>.</v>
      </c>
      <c r="AO1235" s="1194" t="str">
        <f>IF(I1235=".",".",VLOOKUP($I1235,'Price List, Weapons &amp; Items'!B:J,3,0))</f>
        <v>.</v>
      </c>
      <c r="AP1235" s="1195" t="str">
        <f t="shared" ca="1" si="260"/>
        <v>.</v>
      </c>
      <c r="AQ1235" s="1194">
        <f>VLOOKUP($I1235,'Price List, Weapons &amp; Items'!B:L,COLUMN('Price List, Weapons &amp; Items'!$L$11)-1,0)</f>
        <v>0</v>
      </c>
      <c r="AR1235" s="1194">
        <f t="shared" si="267"/>
        <v>1</v>
      </c>
      <c r="AS1235" s="1194">
        <f t="shared" si="268"/>
        <v>0</v>
      </c>
      <c r="AT1235" s="1194">
        <f t="shared" si="269"/>
        <v>1</v>
      </c>
      <c r="AU1235" s="1194" t="str">
        <f t="shared" si="270"/>
        <v>.</v>
      </c>
      <c r="AV1235" s="1194" t="str">
        <f t="shared" si="261"/>
        <v>.</v>
      </c>
      <c r="AW1235" s="1194" t="str">
        <f t="shared" si="271"/>
        <v>.</v>
      </c>
      <c r="AX1235" s="1194">
        <f>IFERROR(VLOOKUP(B1235,'Share, Heavy Weapons to Ukraine'!B:Z,COLUMN('Share, Heavy Weapons to Ukraine'!C1245)-1,0),0)</f>
        <v>0</v>
      </c>
      <c r="AY1235" s="1194">
        <f>VLOOKUP('Bilateral Assistance, MAIN DATA'!B1235,'Country Summary (€)'!B:F,COLUMN('Country Summary (€)'!C1246)-1,FALSE)</f>
        <v>1</v>
      </c>
      <c r="AZ1235" s="1194" t="str">
        <f>IF(AND(AD1235=1,D1235="Military",H1235&lt;&gt;"Not given")=TRUE,IF(SUMIFS(P:P,A:A,A1235)&gt;0,ABS((SUMIFS(P:P,A:A,A1235)/VLOOKUP("USD",'Exchange Rates'!B:C,2,0)))/S1235,"."),".")</f>
        <v>.</v>
      </c>
      <c r="BA1235" s="1196" t="str">
        <f>IF(AND(AD1235=1,D1235="Military",H1235&lt;&gt;"Not given")=TRUE,IF(SUMIFS(P:P,A:A,A1235)&gt;0,IF((ABS((SUMIFS(P:P,A:A,A1235)/VLOOKUP("USD",'Exchange Rates'!B:C,2,0)))/S1235)&gt;1,(SUMIFS(P:P,A:A,A1235)-S1235)/S1235,(S1235-SUMIFS(P:P,A:A,A1235))/SUMIFS(P:P,A:A,A1235)),"."),".")</f>
        <v>.</v>
      </c>
    </row>
    <row r="1236" spans="1:53" ht="15.95" customHeight="1">
      <c r="A1236" s="1182" t="s">
        <v>3374</v>
      </c>
      <c r="B1236" s="1182" t="s">
        <v>3337</v>
      </c>
      <c r="C1236" s="1181">
        <v>44925</v>
      </c>
      <c r="D1236" s="1182" t="s">
        <v>360</v>
      </c>
      <c r="E1236" s="1182" t="s">
        <v>371</v>
      </c>
      <c r="F1236" s="1183" t="s">
        <v>3375</v>
      </c>
      <c r="G1236" s="1184" t="s">
        <v>483</v>
      </c>
      <c r="H1236" s="1185">
        <v>580000</v>
      </c>
      <c r="I1236" s="1180" t="s">
        <v>634</v>
      </c>
      <c r="J1236" s="1186" t="str">
        <f>VLOOKUP($I1236,'Price List, Weapons &amp; Items'!B:C,2,0)</f>
        <v>Humanitarian</v>
      </c>
      <c r="K1236" s="1186" t="str">
        <f>IF(I1236=".",I1236,VLOOKUP($I1236,'Price List, Weapons &amp; Items'!B:D,3,0))</f>
        <v>Humanitarian</v>
      </c>
      <c r="L1236" s="1187">
        <f>VLOOKUP(I1236,'Price List, Weapons &amp; Items'!B:E,4,0)</f>
        <v>0</v>
      </c>
      <c r="M1236" s="1188">
        <v>3</v>
      </c>
      <c r="N1236" s="1188">
        <v>3</v>
      </c>
      <c r="O1236" s="1188">
        <f>VLOOKUP($I1236,'Price List, Weapons &amp; Items'!B:G,6,0)</f>
        <v>220000</v>
      </c>
      <c r="P1236" s="1185">
        <f t="shared" si="262"/>
        <v>660000</v>
      </c>
      <c r="Q1236" s="1185">
        <f t="shared" si="263"/>
        <v>660000</v>
      </c>
      <c r="R1236" s="1185">
        <f t="shared" si="259"/>
        <v>580000</v>
      </c>
      <c r="S1236" s="1185">
        <f>IF(AND(AD1236=1,R1236&lt;&gt;".")=TRUE,R1236/VLOOKUP(G1236,'Exchange Rates'!B:C,2,0),IF(R1236=".",".",""))</f>
        <v>580000</v>
      </c>
      <c r="T1236" s="1185">
        <f>IF(AD1236=1,IF(AF1236="Value is not given at all",".",IF(AF1236="Value is given by the source",S1236,IF(AF1236="Value is calculated with prices",(IF(SUMIFS(Q:Q,A:A,A1236)&gt;0,SUMIFS(Q:Q,A:A,A1236),"."))/VLOOKUP("USD",'Exchange Rates'!B:C,2,0),"Error with coding"))),"")</f>
        <v>580000</v>
      </c>
      <c r="U1236" s="1184" t="s">
        <v>365</v>
      </c>
      <c r="V1236" s="987" t="s">
        <v>3376</v>
      </c>
      <c r="W1236" s="987" t="s">
        <v>3377</v>
      </c>
      <c r="X1236" s="987" t="s">
        <v>3378</v>
      </c>
      <c r="Y1236" s="1183" t="s">
        <v>364</v>
      </c>
      <c r="Z1236" s="1184">
        <v>0</v>
      </c>
      <c r="AA1236" s="1194">
        <v>0</v>
      </c>
      <c r="AB1236" s="1026" t="s">
        <v>3376</v>
      </c>
      <c r="AC1236" s="1192" t="str">
        <f>""</f>
        <v/>
      </c>
      <c r="AD1236" s="1193">
        <v>1</v>
      </c>
      <c r="AE1236" s="1193" t="s">
        <v>368</v>
      </c>
      <c r="AF1236" s="1193" t="s">
        <v>368</v>
      </c>
      <c r="AG1236" s="1193">
        <v>1</v>
      </c>
      <c r="AH1236" s="1193">
        <v>12</v>
      </c>
      <c r="AI1236" s="1193">
        <v>0</v>
      </c>
      <c r="AJ1236" s="1193">
        <f>VLOOKUP($I1236,'Price List, Weapons &amp; Items'!B:F,5,0)</f>
        <v>0</v>
      </c>
      <c r="AK1236" s="1193">
        <f t="shared" si="264"/>
        <v>0</v>
      </c>
      <c r="AL1236" s="1193">
        <f t="shared" si="265"/>
        <v>0</v>
      </c>
      <c r="AM1236" s="1193">
        <f t="shared" si="266"/>
        <v>0</v>
      </c>
      <c r="AN1236" s="1194" t="str">
        <f>VLOOKUP($I1236,'Price List, Weapons &amp; Items'!B:L,COLUMN('Price List, Weapons &amp; Items'!$J$11)-1,0)</f>
        <v>Miscellaneous</v>
      </c>
      <c r="AO1236" s="1194" t="str">
        <f>IF(I1236=".",".",VLOOKUP($I1236,'Price List, Weapons &amp; Items'!B:J,3,0))</f>
        <v>Humanitarian</v>
      </c>
      <c r="AP1236" s="1195" t="str">
        <f t="shared" ca="1" si="260"/>
        <v>ambulance</v>
      </c>
      <c r="AQ1236" s="1194">
        <f>VLOOKUP($I1236,'Price List, Weapons &amp; Items'!B:L,COLUMN('Price List, Weapons &amp; Items'!$L$11)-1,0)</f>
        <v>0</v>
      </c>
      <c r="AR1236" s="1194">
        <f t="shared" si="267"/>
        <v>1</v>
      </c>
      <c r="AS1236" s="1194">
        <f t="shared" si="268"/>
        <v>0</v>
      </c>
      <c r="AT1236" s="1194">
        <f t="shared" si="269"/>
        <v>1</v>
      </c>
      <c r="AU1236" s="1194" t="str">
        <f t="shared" si="270"/>
        <v>.</v>
      </c>
      <c r="AV1236" s="1194" t="str">
        <f t="shared" si="261"/>
        <v>.</v>
      </c>
      <c r="AW1236" s="1194" t="str">
        <f t="shared" si="271"/>
        <v>.</v>
      </c>
      <c r="AX1236" s="1194">
        <f>IFERROR(VLOOKUP(B1236,'Share, Heavy Weapons to Ukraine'!B:Z,COLUMN('Share, Heavy Weapons to Ukraine'!C1246)-1,0),0)</f>
        <v>0</v>
      </c>
      <c r="AY1236" s="1194">
        <f>VLOOKUP('Bilateral Assistance, MAIN DATA'!B1236,'Country Summary (€)'!B:F,COLUMN('Country Summary (€)'!C1247)-1,FALSE)</f>
        <v>1</v>
      </c>
      <c r="AZ1236" s="1194" t="str">
        <f>IF(AND(AD1236=1,D1236="Military",H1236&lt;&gt;"Not given")=TRUE,IF(SUMIFS(P:P,A:A,A1236)&gt;0,ABS((SUMIFS(P:P,A:A,A1236)/VLOOKUP("USD",'Exchange Rates'!B:C,2,0)))/S1236,"."),".")</f>
        <v>.</v>
      </c>
      <c r="BA1236" s="1196" t="str">
        <f>IF(AND(AD1236=1,D1236="Military",H1236&lt;&gt;"Not given")=TRUE,IF(SUMIFS(P:P,A:A,A1236)&gt;0,IF((ABS((SUMIFS(P:P,A:A,A1236)/VLOOKUP("USD",'Exchange Rates'!B:C,2,0)))/S1236)&gt;1,(SUMIFS(P:P,A:A,A1236)-S1236)/S1236,(S1236-SUMIFS(P:P,A:A,A1236))/SUMIFS(P:P,A:A,A1236)),"."),".")</f>
        <v>.</v>
      </c>
    </row>
    <row r="1237" spans="1:53" ht="15.95" customHeight="1">
      <c r="A1237" s="1182" t="s">
        <v>3379</v>
      </c>
      <c r="B1237" s="1182" t="s">
        <v>3337</v>
      </c>
      <c r="C1237" s="1181">
        <v>44915</v>
      </c>
      <c r="D1237" s="1182" t="s">
        <v>360</v>
      </c>
      <c r="E1237" s="1182" t="s">
        <v>759</v>
      </c>
      <c r="F1237" s="1183" t="s">
        <v>3380</v>
      </c>
      <c r="G1237" s="1184" t="s">
        <v>483</v>
      </c>
      <c r="H1237" s="1185">
        <v>1403061</v>
      </c>
      <c r="I1237" s="1180" t="s">
        <v>364</v>
      </c>
      <c r="J1237" s="1186" t="str">
        <f>VLOOKUP($I1237,'Price List, Weapons &amp; Items'!B:C,2,0)</f>
        <v>.</v>
      </c>
      <c r="K1237" s="1186" t="str">
        <f>IF(I1237=".",I1237,VLOOKUP($I1237,'Price List, Weapons &amp; Items'!B:D,3,0))</f>
        <v>.</v>
      </c>
      <c r="L1237" s="1187">
        <f>VLOOKUP(I1237,'Price List, Weapons &amp; Items'!B:E,4,0)</f>
        <v>0</v>
      </c>
      <c r="M1237" s="1188" t="s">
        <v>364</v>
      </c>
      <c r="N1237" s="1188" t="s">
        <v>364</v>
      </c>
      <c r="O1237" s="1188" t="str">
        <f>VLOOKUP($I1237,'Price List, Weapons &amp; Items'!B:G,6,0)</f>
        <v>.</v>
      </c>
      <c r="P1237" s="1185" t="str">
        <f t="shared" si="262"/>
        <v>.</v>
      </c>
      <c r="Q1237" s="1185" t="str">
        <f t="shared" si="263"/>
        <v>.</v>
      </c>
      <c r="R1237" s="1185">
        <f t="shared" si="259"/>
        <v>1403061</v>
      </c>
      <c r="S1237" s="1185">
        <f>IF(AND(AD1237=1,R1237&lt;&gt;".")=TRUE,R1237/VLOOKUP(G1237,'Exchange Rates'!B:C,2,0),IF(R1237=".",".",""))</f>
        <v>1403061</v>
      </c>
      <c r="T1237" s="1185">
        <f>IF(AD1237=1,IF(AF1237="Value is not given at all",".",IF(AF1237="Value is given by the source",S1237,IF(AF1237="Value is calculated with prices",(IF(SUMIFS(Q:Q,A:A,A1237)&gt;0,SUMIFS(Q:Q,A:A,A1237),"."))/VLOOKUP("USD",'Exchange Rates'!B:C,2,0),"Error with coding"))),"")</f>
        <v>1403061</v>
      </c>
      <c r="U1237" s="1184" t="s">
        <v>365</v>
      </c>
      <c r="V1237" s="987" t="s">
        <v>3376</v>
      </c>
      <c r="W1237" s="987" t="s">
        <v>3377</v>
      </c>
      <c r="X1237" s="1001" t="s">
        <v>364</v>
      </c>
      <c r="Y1237" s="1183" t="s">
        <v>364</v>
      </c>
      <c r="Z1237" s="1184">
        <v>0</v>
      </c>
      <c r="AA1237" s="1194">
        <v>0</v>
      </c>
      <c r="AB1237" s="1201" t="s">
        <v>364</v>
      </c>
      <c r="AC1237" s="1192" t="str">
        <f>""</f>
        <v/>
      </c>
      <c r="AD1237" s="1193">
        <v>1</v>
      </c>
      <c r="AE1237" s="1193" t="s">
        <v>368</v>
      </c>
      <c r="AF1237" s="1193" t="s">
        <v>368</v>
      </c>
      <c r="AG1237" s="1193">
        <v>1</v>
      </c>
      <c r="AH1237" s="1193">
        <v>12</v>
      </c>
      <c r="AI1237" s="1193">
        <v>0</v>
      </c>
      <c r="AJ1237" s="1193">
        <f>VLOOKUP($I1237,'Price List, Weapons &amp; Items'!B:F,5,0)</f>
        <v>0</v>
      </c>
      <c r="AK1237" s="1193">
        <f t="shared" si="264"/>
        <v>0</v>
      </c>
      <c r="AL1237" s="1193">
        <f t="shared" si="265"/>
        <v>0</v>
      </c>
      <c r="AM1237" s="1193">
        <f t="shared" si="266"/>
        <v>0</v>
      </c>
      <c r="AN1237" s="1194" t="str">
        <f>VLOOKUP($I1237,'Price List, Weapons &amp; Items'!B:L,COLUMN('Price List, Weapons &amp; Items'!$J$11)-1,0)</f>
        <v>.</v>
      </c>
      <c r="AO1237" s="1194" t="str">
        <f>IF(I1237=".",".",VLOOKUP($I1237,'Price List, Weapons &amp; Items'!B:J,3,0))</f>
        <v>.</v>
      </c>
      <c r="AP1237" s="1195" t="str">
        <f t="shared" ca="1" si="260"/>
        <v>.</v>
      </c>
      <c r="AQ1237" s="1194">
        <f>VLOOKUP($I1237,'Price List, Weapons &amp; Items'!B:L,COLUMN('Price List, Weapons &amp; Items'!$L$11)-1,0)</f>
        <v>0</v>
      </c>
      <c r="AR1237" s="1194">
        <f t="shared" si="267"/>
        <v>1</v>
      </c>
      <c r="AS1237" s="1194">
        <f t="shared" si="268"/>
        <v>0</v>
      </c>
      <c r="AT1237" s="1194">
        <f t="shared" si="269"/>
        <v>1</v>
      </c>
      <c r="AU1237" s="1194" t="str">
        <f t="shared" si="270"/>
        <v>.</v>
      </c>
      <c r="AV1237" s="1194" t="str">
        <f t="shared" si="261"/>
        <v>.</v>
      </c>
      <c r="AW1237" s="1194" t="str">
        <f t="shared" si="271"/>
        <v>.</v>
      </c>
      <c r="AX1237" s="1194">
        <f>IFERROR(VLOOKUP(B1237,'Share, Heavy Weapons to Ukraine'!B:Z,COLUMN('Share, Heavy Weapons to Ukraine'!C1247)-1,0),0)</f>
        <v>0</v>
      </c>
      <c r="AY1237" s="1194">
        <f>VLOOKUP('Bilateral Assistance, MAIN DATA'!B1237,'Country Summary (€)'!B:F,COLUMN('Country Summary (€)'!C1248)-1,FALSE)</f>
        <v>1</v>
      </c>
      <c r="AZ1237" s="1194" t="str">
        <f>IF(AND(AD1237=1,D1237="Military",H1237&lt;&gt;"Not given")=TRUE,IF(SUMIFS(P:P,A:A,A1237)&gt;0,ABS((SUMIFS(P:P,A:A,A1237)/VLOOKUP("USD",'Exchange Rates'!B:C,2,0)))/S1237,"."),".")</f>
        <v>.</v>
      </c>
      <c r="BA1237" s="1196" t="str">
        <f>IF(AND(AD1237=1,D1237="Military",H1237&lt;&gt;"Not given")=TRUE,IF(SUMIFS(P:P,A:A,A1237)&gt;0,IF((ABS((SUMIFS(P:P,A:A,A1237)/VLOOKUP("USD",'Exchange Rates'!B:C,2,0)))/S1237)&gt;1,(SUMIFS(P:P,A:A,A1237)-S1237)/S1237,(S1237-SUMIFS(P:P,A:A,A1237))/SUMIFS(P:P,A:A,A1237)),"."),".")</f>
        <v>.</v>
      </c>
    </row>
    <row r="1238" spans="1:53" ht="15.95" customHeight="1">
      <c r="A1238" s="1182" t="s">
        <v>3381</v>
      </c>
      <c r="B1238" s="1182" t="s">
        <v>3337</v>
      </c>
      <c r="C1238" s="1181">
        <v>45289</v>
      </c>
      <c r="D1238" s="1182" t="s">
        <v>360</v>
      </c>
      <c r="E1238" s="1182" t="s">
        <v>759</v>
      </c>
      <c r="F1238" s="1183" t="s">
        <v>3382</v>
      </c>
      <c r="G1238" s="1184" t="s">
        <v>483</v>
      </c>
      <c r="H1238" s="1185" t="s">
        <v>457</v>
      </c>
      <c r="I1238" s="1190" t="s">
        <v>943</v>
      </c>
      <c r="J1238" s="1186" t="str">
        <f>VLOOKUP($I1238,'Price List, Weapons &amp; Items'!B:C,2,0)</f>
        <v>Humanitarian</v>
      </c>
      <c r="K1238" s="1186" t="str">
        <f>IF(I1238=".",I1238,VLOOKUP($I1238,'Price List, Weapons &amp; Items'!B:D,3,0))</f>
        <v>Humanitarian</v>
      </c>
      <c r="L1238" s="1187">
        <f>VLOOKUP(I1238,'Price List, Weapons &amp; Items'!B:E,4,0)</f>
        <v>0</v>
      </c>
      <c r="M1238" s="1188">
        <v>88</v>
      </c>
      <c r="N1238" s="1188" t="s">
        <v>374</v>
      </c>
      <c r="O1238" s="1188" t="str">
        <f>VLOOKUP($I1238,'Price List, Weapons &amp; Items'!B:G,6,0)</f>
        <v>.</v>
      </c>
      <c r="P1238" s="1185" t="str">
        <f t="shared" si="262"/>
        <v>No price</v>
      </c>
      <c r="Q1238" s="1185" t="str">
        <f t="shared" si="263"/>
        <v>.</v>
      </c>
      <c r="R1238" s="1185">
        <f t="shared" si="259"/>
        <v>66648</v>
      </c>
      <c r="S1238" s="1185">
        <f>IF(AND(AD1238=1,R1238&lt;&gt;".")=TRUE,R1238/VLOOKUP(G1238,'Exchange Rates'!B:C,2,0),IF(R1238=".",".",""))</f>
        <v>66648</v>
      </c>
      <c r="T1238" s="1185" t="str">
        <f>IF(AD1238=1,IF(AF1238="Value is not given at all",".",IF(AF1238="Value is given by the source",S1238,IF(AF1238="Value is calculated with prices",(IF(SUMIFS(Q:Q,A:A,A1238)&gt;0,SUMIFS(Q:Q,A:A,A1238),"."))/VLOOKUP("USD",'Exchange Rates'!B:C,2,0),"Error with coding"))),"")</f>
        <v>.</v>
      </c>
      <c r="U1238" s="1184" t="s">
        <v>365</v>
      </c>
      <c r="V1238" s="987" t="s">
        <v>3383</v>
      </c>
      <c r="W1238" s="987" t="s">
        <v>3384</v>
      </c>
      <c r="X1238" s="1031" t="s">
        <v>364</v>
      </c>
      <c r="Y1238" s="1183" t="s">
        <v>364</v>
      </c>
      <c r="Z1238" s="1184">
        <v>0</v>
      </c>
      <c r="AA1238" s="1194">
        <v>0</v>
      </c>
      <c r="AB1238" s="1026" t="s">
        <v>3383</v>
      </c>
      <c r="AC1238" s="1192" t="str">
        <f>""</f>
        <v/>
      </c>
      <c r="AD1238" s="1193">
        <v>1</v>
      </c>
      <c r="AE1238" s="1193" t="s">
        <v>436</v>
      </c>
      <c r="AF1238" s="1193" t="s">
        <v>369</v>
      </c>
      <c r="AG1238" s="1193">
        <v>1</v>
      </c>
      <c r="AH1238" s="1193">
        <v>12</v>
      </c>
      <c r="AI1238" s="1193">
        <v>0</v>
      </c>
      <c r="AJ1238" s="1193">
        <f>VLOOKUP($I1238,'Price List, Weapons &amp; Items'!B:F,5,0)</f>
        <v>0</v>
      </c>
      <c r="AK1238" s="1193">
        <f t="shared" si="264"/>
        <v>0</v>
      </c>
      <c r="AL1238" s="1193">
        <f t="shared" si="265"/>
        <v>0</v>
      </c>
      <c r="AM1238" s="1193">
        <f t="shared" si="266"/>
        <v>0</v>
      </c>
      <c r="AN1238" s="1194" t="str">
        <f>VLOOKUP($I1238,'Price List, Weapons &amp; Items'!B:L,COLUMN('Price List, Weapons &amp; Items'!$J$11)-1,0)</f>
        <v>.</v>
      </c>
      <c r="AO1238" s="1194" t="str">
        <f>IF(I1238=".",".",VLOOKUP($I1238,'Price List, Weapons &amp; Items'!B:J,3,0))</f>
        <v>Humanitarian</v>
      </c>
      <c r="AP1238" s="1195" t="str">
        <f t="shared" ca="1" si="260"/>
        <v>transformer</v>
      </c>
      <c r="AQ1238" s="1194">
        <f>VLOOKUP($I1238,'Price List, Weapons &amp; Items'!B:L,COLUMN('Price List, Weapons &amp; Items'!$L$11)-1,0)</f>
        <v>0</v>
      </c>
      <c r="AR1238" s="1194">
        <f t="shared" si="267"/>
        <v>1</v>
      </c>
      <c r="AS1238" s="1194">
        <f t="shared" si="268"/>
        <v>0</v>
      </c>
      <c r="AT1238" s="1194">
        <f t="shared" si="269"/>
        <v>1</v>
      </c>
      <c r="AU1238" s="1194" t="str">
        <f t="shared" si="270"/>
        <v>.</v>
      </c>
      <c r="AV1238" s="1194" t="str">
        <f t="shared" si="261"/>
        <v>.</v>
      </c>
      <c r="AW1238" s="1194" t="str">
        <f t="shared" si="271"/>
        <v>.</v>
      </c>
      <c r="AX1238" s="1194">
        <f>IFERROR(VLOOKUP(B1238,'Share, Heavy Weapons to Ukraine'!B:Z,COLUMN('Share, Heavy Weapons to Ukraine'!C1248)-1,0),0)</f>
        <v>0</v>
      </c>
      <c r="AY1238" s="1194">
        <f>VLOOKUP('Bilateral Assistance, MAIN DATA'!B1238,'Country Summary (€)'!B:F,COLUMN('Country Summary (€)'!C1249)-1,FALSE)</f>
        <v>1</v>
      </c>
      <c r="AZ1238" s="1194" t="str">
        <f>IF(AND(AD1238=1,D1238="Military",H1238&lt;&gt;"Not given")=TRUE,IF(SUMIFS(P:P,A:A,A1238)&gt;0,ABS((SUMIFS(P:P,A:A,A1238)/VLOOKUP("USD",'Exchange Rates'!B:C,2,0)))/S1238,"."),".")</f>
        <v>.</v>
      </c>
      <c r="BA1238" s="1196" t="str">
        <f>IF(AND(AD1238=1,D1238="Military",H1238&lt;&gt;"Not given")=TRUE,IF(SUMIFS(P:P,A:A,A1238)&gt;0,IF((ABS((SUMIFS(P:P,A:A,A1238)/VLOOKUP("USD",'Exchange Rates'!B:C,2,0)))/S1238)&gt;1,(SUMIFS(P:P,A:A,A1238)-S1238)/S1238,(S1238-SUMIFS(P:P,A:A,A1238))/SUMIFS(P:P,A:A,A1238)),"."),".")</f>
        <v>.</v>
      </c>
    </row>
    <row r="1239" spans="1:53" ht="15.95" customHeight="1">
      <c r="A1239" s="1182" t="s">
        <v>3381</v>
      </c>
      <c r="B1239" s="1182" t="s">
        <v>3337</v>
      </c>
      <c r="C1239" s="1181">
        <v>45289</v>
      </c>
      <c r="D1239" s="1182" t="s">
        <v>360</v>
      </c>
      <c r="E1239" s="1182" t="s">
        <v>759</v>
      </c>
      <c r="F1239" s="1183" t="s">
        <v>3382</v>
      </c>
      <c r="G1239" s="1184" t="s">
        <v>483</v>
      </c>
      <c r="H1239" s="1185" t="s">
        <v>457</v>
      </c>
      <c r="I1239" s="1190" t="s">
        <v>596</v>
      </c>
      <c r="J1239" s="1186" t="str">
        <f>VLOOKUP($I1239,'Price List, Weapons &amp; Items'!B:C,2,0)</f>
        <v>Military equipment</v>
      </c>
      <c r="K1239" s="1186" t="str">
        <f>IF(I1239=".",I1239,VLOOKUP($I1239,'Price List, Weapons &amp; Items'!B:D,3,0))</f>
        <v>Military equipment</v>
      </c>
      <c r="L1239" s="1187">
        <f>VLOOKUP(I1239,'Price List, Weapons &amp; Items'!B:E,4,0)</f>
        <v>0</v>
      </c>
      <c r="M1239" s="1188">
        <v>3</v>
      </c>
      <c r="N1239" s="1188" t="s">
        <v>374</v>
      </c>
      <c r="O1239" s="1188">
        <f>VLOOKUP($I1239,'Price List, Weapons &amp; Items'!B:G,6,0)</f>
        <v>22216</v>
      </c>
      <c r="P1239" s="1185">
        <f t="shared" si="262"/>
        <v>66648</v>
      </c>
      <c r="Q1239" s="1185" t="str">
        <f t="shared" si="263"/>
        <v>.</v>
      </c>
      <c r="R1239" s="1185" t="str">
        <f t="shared" si="259"/>
        <v/>
      </c>
      <c r="S1239" s="1185" t="str">
        <f>IF(AND(AD1239=1,R1239&lt;&gt;".")=TRUE,R1239/VLOOKUP(G1239,'Exchange Rates'!B:C,2,0),IF(R1239=".",".",""))</f>
        <v/>
      </c>
      <c r="T1239" s="1185" t="str">
        <f>IF(AD1239=1,IF(AF1239="Value is not given at all",".",IF(AF1239="Value is given by the source",S1239,IF(AF1239="Value is calculated with prices",(IF(SUMIFS(Q:Q,A:A,A1239)&gt;0,SUMIFS(Q:Q,A:A,A1239),"."))/VLOOKUP("USD",'Exchange Rates'!B:C,2,0),"Error with coding"))),"")</f>
        <v/>
      </c>
      <c r="U1239" s="1184" t="s">
        <v>365</v>
      </c>
      <c r="V1239" s="987" t="s">
        <v>3383</v>
      </c>
      <c r="W1239" s="987" t="s">
        <v>3384</v>
      </c>
      <c r="X1239" s="1031" t="s">
        <v>364</v>
      </c>
      <c r="Y1239" s="1183" t="s">
        <v>364</v>
      </c>
      <c r="Z1239" s="1184">
        <v>0</v>
      </c>
      <c r="AA1239" s="1194">
        <v>0</v>
      </c>
      <c r="AB1239" s="1026" t="s">
        <v>3383</v>
      </c>
      <c r="AC1239" s="1192" t="str">
        <f>""</f>
        <v/>
      </c>
      <c r="AD1239" s="1193">
        <v>0</v>
      </c>
      <c r="AE1239" s="1193" t="s">
        <v>436</v>
      </c>
      <c r="AF1239" s="1193" t="s">
        <v>369</v>
      </c>
      <c r="AG1239" s="1193">
        <v>1</v>
      </c>
      <c r="AH1239" s="1193">
        <v>12</v>
      </c>
      <c r="AI1239" s="1193">
        <v>0</v>
      </c>
      <c r="AJ1239" s="1193">
        <f>VLOOKUP($I1239,'Price List, Weapons &amp; Items'!B:F,5,0)</f>
        <v>0</v>
      </c>
      <c r="AK1239" s="1193">
        <f t="shared" si="264"/>
        <v>0</v>
      </c>
      <c r="AL1239" s="1193">
        <f t="shared" si="265"/>
        <v>0</v>
      </c>
      <c r="AM1239" s="1193">
        <f t="shared" si="266"/>
        <v>0</v>
      </c>
      <c r="AN1239" s="1194" t="str">
        <f>VLOOKUP($I1239,'Price List, Weapons &amp; Items'!B:L,COLUMN('Price List, Weapons &amp; Items'!$J$11)-1,0)</f>
        <v>Government information</v>
      </c>
      <c r="AO1239" s="1194" t="str">
        <f>IF(I1239=".",".",VLOOKUP($I1239,'Price List, Weapons &amp; Items'!B:J,3,0))</f>
        <v>Military equipment</v>
      </c>
      <c r="AP1239" s="1195" t="str">
        <f t="shared" ca="1" si="260"/>
        <v/>
      </c>
      <c r="AQ1239" s="1194">
        <f>VLOOKUP($I1239,'Price List, Weapons &amp; Items'!B:L,COLUMN('Price List, Weapons &amp; Items'!$L$11)-1,0)</f>
        <v>2</v>
      </c>
      <c r="AR1239" s="1194">
        <f t="shared" si="267"/>
        <v>1</v>
      </c>
      <c r="AS1239" s="1194">
        <f t="shared" si="268"/>
        <v>0</v>
      </c>
      <c r="AT1239" s="1194">
        <f t="shared" si="269"/>
        <v>1</v>
      </c>
      <c r="AU1239" s="1194" t="str">
        <f t="shared" si="270"/>
        <v>.</v>
      </c>
      <c r="AV1239" s="1194" t="str">
        <f t="shared" si="261"/>
        <v>.</v>
      </c>
      <c r="AW1239" s="1194" t="str">
        <f t="shared" si="271"/>
        <v>.</v>
      </c>
      <c r="AX1239" s="1194">
        <f>IFERROR(VLOOKUP(B1239,'Share, Heavy Weapons to Ukraine'!B:Z,COLUMN('Share, Heavy Weapons to Ukraine'!C1249)-1,0),0)</f>
        <v>0</v>
      </c>
      <c r="AY1239" s="1194">
        <f>VLOOKUP('Bilateral Assistance, MAIN DATA'!B1239,'Country Summary (€)'!B:F,COLUMN('Country Summary (€)'!C1250)-1,FALSE)</f>
        <v>1</v>
      </c>
      <c r="AZ1239" s="1194" t="str">
        <f>IF(AND(AD1239=1,D1239="Military",H1239&lt;&gt;"Not given")=TRUE,IF(SUMIFS(P:P,A:A,A1239)&gt;0,ABS((SUMIFS(P:P,A:A,A1239)/VLOOKUP("USD",'Exchange Rates'!B:C,2,0)))/S1239,"."),".")</f>
        <v>.</v>
      </c>
      <c r="BA1239" s="1196" t="str">
        <f>IF(AND(AD1239=1,D1239="Military",H1239&lt;&gt;"Not given")=TRUE,IF(SUMIFS(P:P,A:A,A1239)&gt;0,IF((ABS((SUMIFS(P:P,A:A,A1239)/VLOOKUP("USD",'Exchange Rates'!B:C,2,0)))/S1239)&gt;1,(SUMIFS(P:P,A:A,A1239)-S1239)/S1239,(S1239-SUMIFS(P:P,A:A,A1239))/SUMIFS(P:P,A:A,A1239)),"."),".")</f>
        <v>.</v>
      </c>
    </row>
    <row r="1240" spans="1:53" ht="15.95" customHeight="1">
      <c r="A1240" s="1182" t="s">
        <v>3385</v>
      </c>
      <c r="B1240" s="1182" t="s">
        <v>3337</v>
      </c>
      <c r="C1240" s="1181" t="s">
        <v>3386</v>
      </c>
      <c r="D1240" s="1182" t="s">
        <v>389</v>
      </c>
      <c r="E1240" s="1182" t="s">
        <v>390</v>
      </c>
      <c r="F1240" s="1183" t="s">
        <v>3387</v>
      </c>
      <c r="G1240" s="1184" t="s">
        <v>456</v>
      </c>
      <c r="H1240" s="1185">
        <v>7000000</v>
      </c>
      <c r="I1240" s="1266" t="s">
        <v>603</v>
      </c>
      <c r="J1240" s="1186" t="str">
        <f>VLOOKUP($I1240,'Price List, Weapons &amp; Items'!B:C,2,0)</f>
        <v>Light armaments &amp; infantry</v>
      </c>
      <c r="K1240" s="1186" t="str">
        <f>IF(I1240=".",I1240,VLOOKUP($I1240,'Price List, Weapons &amp; Items'!B:D,3,0))</f>
        <v>Small Arms and Light Weapons (SALW)</v>
      </c>
      <c r="L1240" s="1187">
        <f>VLOOKUP(I1240,'Price List, Weapons &amp; Items'!B:E,4,0)</f>
        <v>0</v>
      </c>
      <c r="M1240" s="1188" t="s">
        <v>374</v>
      </c>
      <c r="N1240" s="1188" t="s">
        <v>374</v>
      </c>
      <c r="O1240" s="1188">
        <f>VLOOKUP($I1240,'Price List, Weapons &amp; Items'!B:G,6,0)</f>
        <v>800</v>
      </c>
      <c r="P1240" s="1185" t="str">
        <f t="shared" si="262"/>
        <v>.</v>
      </c>
      <c r="Q1240" s="1185" t="str">
        <f t="shared" si="263"/>
        <v>.</v>
      </c>
      <c r="R1240" s="1185">
        <f t="shared" si="259"/>
        <v>7000000</v>
      </c>
      <c r="S1240" s="1185">
        <f>IF(AND(AD1240=1,R1240&lt;&gt;".")=TRUE,R1240/VLOOKUP(G1240,'Exchange Rates'!B:C,2,0),IF(R1240=".",".",""))</f>
        <v>6440927.4935590727</v>
      </c>
      <c r="T1240" s="1185">
        <f>IF(AD1240=1,IF(AF1240="Value is not given at all",".",IF(AF1240="Value is given by the source",S1240,IF(AF1240="Value is calculated with prices",(IF(SUMIFS(Q:Q,A:A,A1240)&gt;0,SUMIFS(Q:Q,A:A,A1240),"."))/VLOOKUP("USD",'Exchange Rates'!B:C,2,0),"Error with coding"))),"")</f>
        <v>6440927.4935590727</v>
      </c>
      <c r="U1240" s="1184" t="s">
        <v>675</v>
      </c>
      <c r="V1240" s="974" t="s">
        <v>3388</v>
      </c>
      <c r="W1240" s="974" t="s">
        <v>3389</v>
      </c>
      <c r="X1240" s="974" t="s">
        <v>3390</v>
      </c>
      <c r="Y1240" s="1183" t="s">
        <v>364</v>
      </c>
      <c r="Z1240" s="1184">
        <v>0</v>
      </c>
      <c r="AA1240" s="1194">
        <v>0</v>
      </c>
      <c r="AB1240" s="977" t="s">
        <v>3388</v>
      </c>
      <c r="AC1240" s="1192" t="str">
        <f>""</f>
        <v/>
      </c>
      <c r="AD1240" s="985">
        <v>1</v>
      </c>
      <c r="AE1240" s="985" t="s">
        <v>368</v>
      </c>
      <c r="AF1240" s="985" t="s">
        <v>368</v>
      </c>
      <c r="AG1240" s="985">
        <v>0</v>
      </c>
      <c r="AH1240" s="985">
        <v>0</v>
      </c>
      <c r="AI1240" s="985">
        <v>0</v>
      </c>
      <c r="AJ1240" s="1193">
        <f>VLOOKUP($I1240,'Price List, Weapons &amp; Items'!B:F,5,0)</f>
        <v>0</v>
      </c>
      <c r="AK1240" s="1193">
        <f t="shared" si="264"/>
        <v>0</v>
      </c>
      <c r="AL1240" s="1193">
        <f t="shared" si="265"/>
        <v>0</v>
      </c>
      <c r="AM1240" s="1193">
        <f t="shared" si="266"/>
        <v>0</v>
      </c>
      <c r="AN1240" s="1194" t="str">
        <f>VLOOKUP($I1240,'Price List, Weapons &amp; Items'!B:L,COLUMN('Price List, Weapons &amp; Items'!$J$11)-1,0)</f>
        <v>Military media (incl. websites)</v>
      </c>
      <c r="AO1240" s="1194" t="str">
        <f>IF(I1240=".",".",VLOOKUP($I1240,'Price List, Weapons &amp; Items'!B:J,3,0))</f>
        <v>Small Arms and Light Weapons (SALW)</v>
      </c>
      <c r="AP1240" s="1195" t="str">
        <f t="shared" ca="1" si="260"/>
        <v>rifle</v>
      </c>
      <c r="AQ1240" s="1194" t="str">
        <f>VLOOKUP($I1240,'Price List, Weapons &amp; Items'!B:L,COLUMN('Price List, Weapons &amp; Items'!$L$11)-1,0)</f>
        <v>no price, 0 count</v>
      </c>
      <c r="AR1240" s="1194">
        <f t="shared" si="267"/>
        <v>0</v>
      </c>
      <c r="AS1240" s="1194">
        <f t="shared" si="268"/>
        <v>1</v>
      </c>
      <c r="AT1240" s="1194" t="str">
        <f t="shared" si="269"/>
        <v>Value is not in date format</v>
      </c>
      <c r="AU1240" s="1194" t="str">
        <f t="shared" si="270"/>
        <v>.</v>
      </c>
      <c r="AV1240" s="1194" t="str">
        <f t="shared" si="261"/>
        <v>.</v>
      </c>
      <c r="AW1240" s="1194" t="str">
        <f t="shared" si="271"/>
        <v>.</v>
      </c>
      <c r="AX1240" s="1194">
        <f>IFERROR(VLOOKUP(B1240,'Share, Heavy Weapons to Ukraine'!B:Z,COLUMN('Share, Heavy Weapons to Ukraine'!C1250)-1,0),0)</f>
        <v>0</v>
      </c>
      <c r="AY1240" s="1194">
        <f>VLOOKUP('Bilateral Assistance, MAIN DATA'!B1240,'Country Summary (€)'!B:F,COLUMN('Country Summary (€)'!C1251)-1,FALSE)</f>
        <v>1</v>
      </c>
      <c r="AZ1240" s="1194" t="str">
        <f>IF(AND(AD1240=1,D1240="Military",H1240&lt;&gt;"Not given")=TRUE,IF(SUMIFS(P:P,A:A,A1240)&gt;0,ABS((SUMIFS(P:P,A:A,A1240)/VLOOKUP("USD",'Exchange Rates'!B:C,2,0)))/S1240,"."),".")</f>
        <v>.</v>
      </c>
      <c r="BA1240" s="1196" t="str">
        <f>IF(AND(AD1240=1,D1240="Military",H1240&lt;&gt;"Not given")=TRUE,IF(SUMIFS(P:P,A:A,A1240)&gt;0,IF((ABS((SUMIFS(P:P,A:A,A1240)/VLOOKUP("USD",'Exchange Rates'!B:C,2,0)))/S1240)&gt;1,(SUMIFS(P:P,A:A,A1240)-S1240)/S1240,(S1240-SUMIFS(P:P,A:A,A1240))/SUMIFS(P:P,A:A,A1240)),"."),".")</f>
        <v>.</v>
      </c>
    </row>
    <row r="1241" spans="1:53" ht="15.95" customHeight="1">
      <c r="A1241" s="1182" t="s">
        <v>3385</v>
      </c>
      <c r="B1241" s="1182" t="s">
        <v>3337</v>
      </c>
      <c r="C1241" s="1181" t="s">
        <v>3386</v>
      </c>
      <c r="D1241" s="1182" t="s">
        <v>389</v>
      </c>
      <c r="E1241" s="1182" t="s">
        <v>390</v>
      </c>
      <c r="F1241" s="1183" t="s">
        <v>3387</v>
      </c>
      <c r="G1241" s="1184" t="s">
        <v>456</v>
      </c>
      <c r="H1241" s="1185">
        <v>7000000</v>
      </c>
      <c r="I1241" s="1266" t="s">
        <v>594</v>
      </c>
      <c r="J1241" s="1186" t="str">
        <f>VLOOKUP($I1241,'Price List, Weapons &amp; Items'!B:C,2,0)</f>
        <v>Military equipment</v>
      </c>
      <c r="K1241" s="1186" t="str">
        <f>IF(I1241=".",I1241,VLOOKUP($I1241,'Price List, Weapons &amp; Items'!B:D,3,0))</f>
        <v>Military equipment</v>
      </c>
      <c r="L1241" s="1187">
        <f>VLOOKUP(I1241,'Price List, Weapons &amp; Items'!B:E,4,0)</f>
        <v>0</v>
      </c>
      <c r="M1241" s="1188" t="s">
        <v>374</v>
      </c>
      <c r="N1241" s="1188" t="s">
        <v>374</v>
      </c>
      <c r="O1241" s="1188">
        <f>VLOOKUP($I1241,'Price List, Weapons &amp; Items'!B:G,6,0)</f>
        <v>1400</v>
      </c>
      <c r="P1241" s="1185" t="str">
        <f t="shared" si="262"/>
        <v>.</v>
      </c>
      <c r="Q1241" s="1185" t="str">
        <f t="shared" si="263"/>
        <v>.</v>
      </c>
      <c r="R1241" s="1185" t="str">
        <f t="shared" si="259"/>
        <v/>
      </c>
      <c r="S1241" s="1185" t="str">
        <f>IF(AND(AD1241=1,R1241&lt;&gt;".")=TRUE,R1241/VLOOKUP(G1241,'Exchange Rates'!B:C,2,0),IF(R1241=".",".",""))</f>
        <v/>
      </c>
      <c r="T1241" s="1185" t="str">
        <f>IF(AD1241=1,IF(AF1241="Value is not given at all",".",IF(AF1241="Value is given by the source",S1241,IF(AF1241="Value is calculated with prices",(IF(SUMIFS(Q:Q,A:A,A1241)&gt;0,SUMIFS(Q:Q,A:A,A1241),"."))/VLOOKUP("USD",'Exchange Rates'!B:C,2,0),"Error with coding"))),"")</f>
        <v/>
      </c>
      <c r="U1241" s="1184" t="s">
        <v>675</v>
      </c>
      <c r="V1241" s="974" t="s">
        <v>3388</v>
      </c>
      <c r="W1241" s="974" t="s">
        <v>3389</v>
      </c>
      <c r="X1241" s="974" t="s">
        <v>3390</v>
      </c>
      <c r="Y1241" s="1183" t="s">
        <v>364</v>
      </c>
      <c r="Z1241" s="1184">
        <v>0</v>
      </c>
      <c r="AA1241" s="1194">
        <v>0</v>
      </c>
      <c r="AB1241" s="977" t="s">
        <v>3388</v>
      </c>
      <c r="AC1241" s="1192" t="str">
        <f>""</f>
        <v/>
      </c>
      <c r="AD1241" s="985">
        <v>0</v>
      </c>
      <c r="AE1241" s="985" t="s">
        <v>368</v>
      </c>
      <c r="AF1241" s="985" t="s">
        <v>368</v>
      </c>
      <c r="AG1241" s="985">
        <v>0</v>
      </c>
      <c r="AH1241" s="985">
        <v>0</v>
      </c>
      <c r="AI1241" s="985">
        <v>0</v>
      </c>
      <c r="AJ1241" s="1193">
        <f>VLOOKUP($I1241,'Price List, Weapons &amp; Items'!B:F,5,0)</f>
        <v>0</v>
      </c>
      <c r="AK1241" s="1193">
        <f t="shared" si="264"/>
        <v>0</v>
      </c>
      <c r="AL1241" s="1193">
        <f t="shared" si="265"/>
        <v>0</v>
      </c>
      <c r="AM1241" s="1193">
        <f t="shared" si="266"/>
        <v>0</v>
      </c>
      <c r="AN1241" s="1194" t="str">
        <f>VLOOKUP($I1241,'Price List, Weapons &amp; Items'!B:L,COLUMN('Price List, Weapons &amp; Items'!$J$11)-1,0)</f>
        <v>Military media (incl. websites)</v>
      </c>
      <c r="AO1241" s="1194" t="str">
        <f>IF(I1241=".",".",VLOOKUP($I1241,'Price List, Weapons &amp; Items'!B:J,3,0))</f>
        <v>Military equipment</v>
      </c>
      <c r="AP1241" s="1195" t="str">
        <f t="shared" ca="1" si="260"/>
        <v/>
      </c>
      <c r="AQ1241" s="1194">
        <f>VLOOKUP($I1241,'Price List, Weapons &amp; Items'!B:L,COLUMN('Price List, Weapons &amp; Items'!$L$11)-1,0)</f>
        <v>2</v>
      </c>
      <c r="AR1241" s="1194">
        <f t="shared" si="267"/>
        <v>0</v>
      </c>
      <c r="AS1241" s="1194">
        <f t="shared" si="268"/>
        <v>1</v>
      </c>
      <c r="AT1241" s="1194" t="str">
        <f t="shared" si="269"/>
        <v>Value is not in date format</v>
      </c>
      <c r="AU1241" s="1194" t="str">
        <f t="shared" si="270"/>
        <v>.</v>
      </c>
      <c r="AV1241" s="1194" t="str">
        <f t="shared" si="261"/>
        <v>.</v>
      </c>
      <c r="AW1241" s="1194" t="str">
        <f t="shared" si="271"/>
        <v>.</v>
      </c>
      <c r="AX1241" s="1194">
        <f>IFERROR(VLOOKUP(B1241,'Share, Heavy Weapons to Ukraine'!B:Z,COLUMN('Share, Heavy Weapons to Ukraine'!C1251)-1,0),0)</f>
        <v>0</v>
      </c>
      <c r="AY1241" s="1194">
        <f>VLOOKUP('Bilateral Assistance, MAIN DATA'!B1241,'Country Summary (€)'!B:F,COLUMN('Country Summary (€)'!C1252)-1,FALSE)</f>
        <v>1</v>
      </c>
      <c r="AZ1241" s="1194" t="str">
        <f>IF(AND(AD1241=1,D1241="Military",H1241&lt;&gt;"Not given")=TRUE,IF(SUMIFS(P:P,A:A,A1241)&gt;0,ABS((SUMIFS(P:P,A:A,A1241)/VLOOKUP("USD",'Exchange Rates'!B:C,2,0)))/S1241,"."),".")</f>
        <v>.</v>
      </c>
      <c r="BA1241" s="1196" t="str">
        <f>IF(AND(AD1241=1,D1241="Military",H1241&lt;&gt;"Not given")=TRUE,IF(SUMIFS(P:P,A:A,A1241)&gt;0,IF((ABS((SUMIFS(P:P,A:A,A1241)/VLOOKUP("USD",'Exchange Rates'!B:C,2,0)))/S1241)&gt;1,(SUMIFS(P:P,A:A,A1241)-S1241)/S1241,(S1241-SUMIFS(P:P,A:A,A1241))/SUMIFS(P:P,A:A,A1241)),"."),".")</f>
        <v>.</v>
      </c>
    </row>
    <row r="1242" spans="1:53" ht="15.95" customHeight="1">
      <c r="A1242" s="1180" t="s">
        <v>3391</v>
      </c>
      <c r="B1242" s="1180" t="s">
        <v>3337</v>
      </c>
      <c r="C1242" s="1181">
        <v>44728</v>
      </c>
      <c r="D1242" s="1182" t="s">
        <v>389</v>
      </c>
      <c r="E1242" s="1182" t="s">
        <v>390</v>
      </c>
      <c r="F1242" s="1183" t="s">
        <v>3392</v>
      </c>
      <c r="G1242" s="1184" t="s">
        <v>456</v>
      </c>
      <c r="H1242" s="1185" t="s">
        <v>457</v>
      </c>
      <c r="I1242" s="1266" t="s">
        <v>3393</v>
      </c>
      <c r="J1242" s="1186" t="str">
        <f>VLOOKUP($I1242,'Price List, Weapons &amp; Items'!B:C,2,0)</f>
        <v>Heavy weapon</v>
      </c>
      <c r="K1242" s="1186" t="str">
        <f>IF(I1242=".",I1242,VLOOKUP($I1242,'Price List, Weapons &amp; Items'!B:D,3,0))</f>
        <v>Infantry fighting vehicle (IFV)</v>
      </c>
      <c r="L1242" s="1187">
        <f>VLOOKUP(I1242,'Price List, Weapons &amp; Items'!B:E,4,0)</f>
        <v>1</v>
      </c>
      <c r="M1242" s="1188">
        <v>35</v>
      </c>
      <c r="N1242" s="1188">
        <v>35</v>
      </c>
      <c r="O1242" s="1188">
        <f>VLOOKUP($I1242,'Price List, Weapons &amp; Items'!B:G,6,0)</f>
        <v>709034.8872</v>
      </c>
      <c r="P1242" s="1185">
        <f t="shared" si="262"/>
        <v>24816221.052000001</v>
      </c>
      <c r="Q1242" s="1185">
        <f t="shared" si="263"/>
        <v>24816221.052000001</v>
      </c>
      <c r="R1242" s="1185">
        <f t="shared" si="259"/>
        <v>24816221.052000001</v>
      </c>
      <c r="S1242" s="1185">
        <f>IF(AND(AD1242=1,R1242&lt;&gt;".")=TRUE,R1242/VLOOKUP(G1242,'Exchange Rates'!B:C,2,0),IF(R1242=".",".",""))</f>
        <v>22834211.49429518</v>
      </c>
      <c r="T1242" s="1185">
        <f>IF(AD1242=1,IF(AF1242="Value is not given at all",".",IF(AF1242="Value is given by the source",S1242,IF(AF1242="Value is calculated with prices",(IF(SUMIFS(Q:Q,A:A,A1242)&gt;0,SUMIFS(Q:Q,A:A,A1242),"."))/VLOOKUP("USD",'Exchange Rates'!B:C,2,0),"Error with coding"))),"")</f>
        <v>22834211.49429518</v>
      </c>
      <c r="U1242" s="1184" t="s">
        <v>365</v>
      </c>
      <c r="V1242" s="971" t="s">
        <v>3394</v>
      </c>
      <c r="W1242" s="971" t="s">
        <v>3395</v>
      </c>
      <c r="X1242" s="986" t="s">
        <v>364</v>
      </c>
      <c r="Y1242" s="986" t="s">
        <v>364</v>
      </c>
      <c r="Z1242" s="1184">
        <v>0</v>
      </c>
      <c r="AA1242" s="1194">
        <v>0</v>
      </c>
      <c r="AB1242" s="977" t="s">
        <v>3394</v>
      </c>
      <c r="AC1242" s="1192" t="str">
        <f>""</f>
        <v/>
      </c>
      <c r="AD1242" s="985">
        <v>1</v>
      </c>
      <c r="AE1242" s="985" t="s">
        <v>436</v>
      </c>
      <c r="AF1242" s="985" t="s">
        <v>436</v>
      </c>
      <c r="AG1242" s="985">
        <v>1</v>
      </c>
      <c r="AH1242" s="1193">
        <v>6</v>
      </c>
      <c r="AI1242" s="1193">
        <v>0</v>
      </c>
      <c r="AJ1242" s="1193">
        <f>VLOOKUP($I1242,'Price List, Weapons &amp; Items'!B:F,5,0)</f>
        <v>1</v>
      </c>
      <c r="AK1242" s="1193">
        <f t="shared" si="264"/>
        <v>0</v>
      </c>
      <c r="AL1242" s="1193">
        <f t="shared" si="265"/>
        <v>0</v>
      </c>
      <c r="AM1242" s="1193">
        <f t="shared" si="266"/>
        <v>0</v>
      </c>
      <c r="AN1242" s="1194" t="str">
        <f>VLOOKUP($I1242,'Price List, Weapons &amp; Items'!B:L,COLUMN('Price List, Weapons &amp; Items'!$J$11)-1,0)</f>
        <v>Contracts</v>
      </c>
      <c r="AO1242" s="1194" t="str">
        <f>IF(I1242=".",".",VLOOKUP($I1242,'Price List, Weapons &amp; Items'!B:J,3,0))</f>
        <v>Infantry fighting vehicle (IFV)</v>
      </c>
      <c r="AP1242" s="1195" t="str">
        <f t="shared" ca="1" si="260"/>
        <v>M80A infantry fighting vehicle</v>
      </c>
      <c r="AQ1242" s="1194">
        <f>VLOOKUP($I1242,'Price List, Weapons &amp; Items'!B:L,COLUMN('Price List, Weapons &amp; Items'!$L$11)-1,0)</f>
        <v>2</v>
      </c>
      <c r="AR1242" s="1194">
        <f t="shared" si="267"/>
        <v>1</v>
      </c>
      <c r="AS1242" s="1194">
        <f t="shared" si="268"/>
        <v>1</v>
      </c>
      <c r="AT1242" s="1194">
        <f t="shared" si="269"/>
        <v>1</v>
      </c>
      <c r="AU1242" s="1194" t="str">
        <f t="shared" si="270"/>
        <v>.</v>
      </c>
      <c r="AV1242" s="1194" t="str">
        <f t="shared" si="261"/>
        <v>.</v>
      </c>
      <c r="AW1242" s="1194" t="str">
        <f t="shared" si="271"/>
        <v>.</v>
      </c>
      <c r="AX1242" s="1194">
        <f>IFERROR(VLOOKUP(B1242,'Share, Heavy Weapons to Ukraine'!B:Z,COLUMN('Share, Heavy Weapons to Ukraine'!C1252)-1,0),0)</f>
        <v>0</v>
      </c>
      <c r="AY1242" s="1194">
        <f>VLOOKUP('Bilateral Assistance, MAIN DATA'!B1242,'Country Summary (€)'!B:F,COLUMN('Country Summary (€)'!C1253)-1,FALSE)</f>
        <v>1</v>
      </c>
      <c r="AZ1242" s="1194" t="str">
        <f>IF(AND(AD1242=1,D1242="Military",H1242&lt;&gt;"Not given")=TRUE,IF(SUMIFS(P:P,A:A,A1242)&gt;0,ABS((SUMIFS(P:P,A:A,A1242)/VLOOKUP("USD",'Exchange Rates'!B:C,2,0)))/S1242,"."),".")</f>
        <v>.</v>
      </c>
      <c r="BA1242" s="1196" t="str">
        <f>IF(AND(AD1242=1,D1242="Military",H1242&lt;&gt;"Not given")=TRUE,IF(SUMIFS(P:P,A:A,A1242)&gt;0,IF((ABS((SUMIFS(P:P,A:A,A1242)/VLOOKUP("USD",'Exchange Rates'!B:C,2,0)))/S1242)&gt;1,(SUMIFS(P:P,A:A,A1242)-S1242)/S1242,(S1242-SUMIFS(P:P,A:A,A1242))/SUMIFS(P:P,A:A,A1242)),"."),".")</f>
        <v>.</v>
      </c>
    </row>
    <row r="1243" spans="1:53" ht="15.95" customHeight="1">
      <c r="A1243" s="1180" t="s">
        <v>3396</v>
      </c>
      <c r="B1243" s="1180" t="s">
        <v>3337</v>
      </c>
      <c r="C1243" s="1181">
        <v>44771</v>
      </c>
      <c r="D1243" s="1182" t="s">
        <v>389</v>
      </c>
      <c r="E1243" s="1182" t="s">
        <v>398</v>
      </c>
      <c r="F1243" s="1183" t="s">
        <v>3397</v>
      </c>
      <c r="G1243" s="1184" t="s">
        <v>364</v>
      </c>
      <c r="H1243" s="1185" t="s">
        <v>457</v>
      </c>
      <c r="I1243" s="1180" t="s">
        <v>3272</v>
      </c>
      <c r="J1243" s="1186" t="str">
        <f>VLOOKUP($I1243,'Price List, Weapons &amp; Items'!B:C,2,0)</f>
        <v>Military equipment</v>
      </c>
      <c r="K1243" s="1186" t="str">
        <f>IF(I1243=".",I1243,VLOOKUP($I1243,'Price List, Weapons &amp; Items'!B:D,3,0))</f>
        <v>Military equipment</v>
      </c>
      <c r="L1243" s="1187">
        <f>VLOOKUP(I1243,'Price List, Weapons &amp; Items'!B:E,4,0)</f>
        <v>0</v>
      </c>
      <c r="M1243" s="1188" t="s">
        <v>374</v>
      </c>
      <c r="N1243" s="1188" t="s">
        <v>374</v>
      </c>
      <c r="O1243" s="1188">
        <f>VLOOKUP($I1243,'Price List, Weapons &amp; Items'!B:G,6,0)</f>
        <v>365200</v>
      </c>
      <c r="P1243" s="1185" t="str">
        <f t="shared" si="262"/>
        <v>.</v>
      </c>
      <c r="Q1243" s="1185" t="str">
        <f t="shared" si="263"/>
        <v>.</v>
      </c>
      <c r="R1243" s="1185" t="str">
        <f t="shared" si="259"/>
        <v>.</v>
      </c>
      <c r="S1243" s="1185" t="str">
        <f>IF(AND(AD1243=1,R1243&lt;&gt;".")=TRUE,R1243/VLOOKUP(G1243,'Exchange Rates'!B:C,2,0),IF(R1243=".",".",""))</f>
        <v>.</v>
      </c>
      <c r="T1243" s="1185" t="str">
        <f>IF(AD1243=1,IF(AF1243="Value is not given at all",".",IF(AF1243="Value is given by the source",S1243,IF(AF1243="Value is calculated with prices",(IF(SUMIFS(Q:Q,A:A,A1243)&gt;0,SUMIFS(Q:Q,A:A,A1243),"."))/VLOOKUP("USD",'Exchange Rates'!B:C,2,0),"Error with coding"))),"")</f>
        <v>.</v>
      </c>
      <c r="U1243" s="1184" t="s">
        <v>365</v>
      </c>
      <c r="V1243" s="971" t="s">
        <v>3398</v>
      </c>
      <c r="W1243" s="971" t="s">
        <v>3399</v>
      </c>
      <c r="X1243" s="971" t="s">
        <v>3400</v>
      </c>
      <c r="Y1243" s="986" t="s">
        <v>364</v>
      </c>
      <c r="Z1243" s="1184">
        <v>0</v>
      </c>
      <c r="AA1243" s="1194">
        <v>0</v>
      </c>
      <c r="AB1243" s="977" t="s">
        <v>3398</v>
      </c>
      <c r="AC1243" s="1192" t="str">
        <f>""</f>
        <v/>
      </c>
      <c r="AD1243" s="985">
        <v>1</v>
      </c>
      <c r="AE1243" s="985" t="s">
        <v>369</v>
      </c>
      <c r="AF1243" s="985" t="s">
        <v>369</v>
      </c>
      <c r="AG1243" s="985">
        <v>1</v>
      </c>
      <c r="AH1243" s="1193">
        <v>7</v>
      </c>
      <c r="AI1243" s="1193">
        <v>0</v>
      </c>
      <c r="AJ1243" s="1193">
        <f>VLOOKUP($I1243,'Price List, Weapons &amp; Items'!B:F,5,0)</f>
        <v>0</v>
      </c>
      <c r="AK1243" s="1193">
        <f t="shared" si="264"/>
        <v>0</v>
      </c>
      <c r="AL1243" s="1193">
        <f t="shared" si="265"/>
        <v>0</v>
      </c>
      <c r="AM1243" s="1193">
        <f t="shared" si="266"/>
        <v>0</v>
      </c>
      <c r="AN1243" s="1194" t="str">
        <f>VLOOKUP($I1243,'Price List, Weapons &amp; Items'!B:L,COLUMN('Price List, Weapons &amp; Items'!$J$11)-1,0)</f>
        <v>Media reports (incl. social media)</v>
      </c>
      <c r="AO1243" s="1194" t="str">
        <f>IF(I1243=".",".",VLOOKUP($I1243,'Price List, Weapons &amp; Items'!B:J,3,0))</f>
        <v>Military equipment</v>
      </c>
      <c r="AP1243" s="1195" t="str">
        <f t="shared" ca="1" si="260"/>
        <v>demining set</v>
      </c>
      <c r="AQ1243" s="1194">
        <f>VLOOKUP($I1243,'Price List, Weapons &amp; Items'!B:L,COLUMN('Price List, Weapons &amp; Items'!$L$11)-1,0)</f>
        <v>1</v>
      </c>
      <c r="AR1243" s="1194">
        <f t="shared" si="267"/>
        <v>1</v>
      </c>
      <c r="AS1243" s="1194">
        <f t="shared" si="268"/>
        <v>1</v>
      </c>
      <c r="AT1243" s="1194">
        <f t="shared" si="269"/>
        <v>1</v>
      </c>
      <c r="AU1243" s="1194" t="str">
        <f t="shared" si="270"/>
        <v>.</v>
      </c>
      <c r="AV1243" s="1194" t="str">
        <f t="shared" si="261"/>
        <v>.</v>
      </c>
      <c r="AW1243" s="1194" t="str">
        <f t="shared" si="271"/>
        <v>.</v>
      </c>
      <c r="AX1243" s="1194">
        <f>IFERROR(VLOOKUP(B1243,'Share, Heavy Weapons to Ukraine'!B:Z,COLUMN('Share, Heavy Weapons to Ukraine'!C1253)-1,0),0)</f>
        <v>0</v>
      </c>
      <c r="AY1243" s="1194">
        <f>VLOOKUP('Bilateral Assistance, MAIN DATA'!B1243,'Country Summary (€)'!B:F,COLUMN('Country Summary (€)'!C1254)-1,FALSE)</f>
        <v>1</v>
      </c>
      <c r="AZ1243" s="1194" t="str">
        <f>IF(AND(AD1243=1,D1243="Military",H1243&lt;&gt;"Not given")=TRUE,IF(SUMIFS(P:P,A:A,A1243)&gt;0,ABS((SUMIFS(P:P,A:A,A1243)/VLOOKUP("USD",'Exchange Rates'!B:C,2,0)))/S1243,"."),".")</f>
        <v>.</v>
      </c>
      <c r="BA1243" s="1196" t="str">
        <f>IF(AND(AD1243=1,D1243="Military",H1243&lt;&gt;"Not given")=TRUE,IF(SUMIFS(P:P,A:A,A1243)&gt;0,IF((ABS((SUMIFS(P:P,A:A,A1243)/VLOOKUP("USD",'Exchange Rates'!B:C,2,0)))/S1243)&gt;1,(SUMIFS(P:P,A:A,A1243)-S1243)/S1243,(S1243-SUMIFS(P:P,A:A,A1243))/SUMIFS(P:P,A:A,A1243)),"."),".")</f>
        <v>.</v>
      </c>
    </row>
    <row r="1244" spans="1:53" ht="15.95" customHeight="1">
      <c r="A1244" s="1180" t="s">
        <v>3401</v>
      </c>
      <c r="B1244" s="1180" t="s">
        <v>3337</v>
      </c>
      <c r="C1244" s="1220">
        <v>44824</v>
      </c>
      <c r="D1244" s="1208" t="s">
        <v>389</v>
      </c>
      <c r="E1244" s="1208" t="s">
        <v>443</v>
      </c>
      <c r="F1244" s="1208" t="s">
        <v>3402</v>
      </c>
      <c r="G1244" s="1184" t="s">
        <v>483</v>
      </c>
      <c r="H1244" s="1185" t="s">
        <v>457</v>
      </c>
      <c r="I1244" s="1180" t="s">
        <v>3403</v>
      </c>
      <c r="J1244" s="1186" t="str">
        <f>VLOOKUP($I1244,'Price List, Weapons &amp; Items'!B:C,2,0)</f>
        <v>Heavy weapon</v>
      </c>
      <c r="K1244" s="1186" t="str">
        <f>IF(I1244=".",I1244,VLOOKUP($I1244,'Price List, Weapons &amp; Items'!B:D,3,0))</f>
        <v>Main Battle Tank (MBT)</v>
      </c>
      <c r="L1244" s="1187">
        <f>VLOOKUP(I1244,'Price List, Weapons &amp; Items'!B:E,4,0)</f>
        <v>1</v>
      </c>
      <c r="M1244" s="1188">
        <v>28</v>
      </c>
      <c r="N1244" s="1188">
        <v>28</v>
      </c>
      <c r="O1244" s="1188">
        <f>VLOOKUP($I1244,'Price List, Weapons &amp; Items'!B:G,6,0)</f>
        <v>968420</v>
      </c>
      <c r="P1244" s="1185">
        <f t="shared" si="262"/>
        <v>27115760</v>
      </c>
      <c r="Q1244" s="1185">
        <f t="shared" si="263"/>
        <v>27115760</v>
      </c>
      <c r="R1244" s="1185">
        <f t="shared" si="259"/>
        <v>27115760</v>
      </c>
      <c r="S1244" s="1185">
        <f>IF(AND(AD1244=1,R1244&lt;&gt;".")=TRUE,R1244/VLOOKUP(G1244,'Exchange Rates'!B:C,2,0),IF(R1244=".",".",""))</f>
        <v>27115760</v>
      </c>
      <c r="T1244" s="1185">
        <f>IF(AD1244=1,IF(AF1244="Value is not given at all",".",IF(AF1244="Value is given by the source",S1244,IF(AF1244="Value is calculated with prices",(IF(SUMIFS(Q:Q,A:A,A1244)&gt;0,SUMIFS(Q:Q,A:A,A1244),"."))/VLOOKUP("USD",'Exchange Rates'!B:C,2,0),"Error with coding"))),"")</f>
        <v>24950092.013249908</v>
      </c>
      <c r="U1244" s="1184" t="s">
        <v>365</v>
      </c>
      <c r="V1244" s="1335" t="s">
        <v>3404</v>
      </c>
      <c r="W1244" s="1262" t="s">
        <v>3405</v>
      </c>
      <c r="X1244" s="986" t="s">
        <v>364</v>
      </c>
      <c r="Y1244" s="986" t="s">
        <v>364</v>
      </c>
      <c r="Z1244" s="1184">
        <v>0</v>
      </c>
      <c r="AA1244" s="1194">
        <v>0</v>
      </c>
      <c r="AB1244" s="982" t="s">
        <v>3406</v>
      </c>
      <c r="AC1244" s="1192" t="str">
        <f>""</f>
        <v/>
      </c>
      <c r="AD1244" s="985">
        <v>1</v>
      </c>
      <c r="AE1244" s="985" t="s">
        <v>436</v>
      </c>
      <c r="AF1244" s="985" t="s">
        <v>436</v>
      </c>
      <c r="AG1244" s="985">
        <v>1</v>
      </c>
      <c r="AH1244" s="1193">
        <v>9</v>
      </c>
      <c r="AI1244" s="1193">
        <v>0</v>
      </c>
      <c r="AJ1244" s="1193">
        <f>VLOOKUP($I1244,'Price List, Weapons &amp; Items'!B:F,5,0)</f>
        <v>1</v>
      </c>
      <c r="AK1244" s="1193">
        <f t="shared" si="264"/>
        <v>0</v>
      </c>
      <c r="AL1244" s="1193">
        <f t="shared" si="265"/>
        <v>0</v>
      </c>
      <c r="AM1244" s="1193">
        <f t="shared" si="266"/>
        <v>0</v>
      </c>
      <c r="AN1244" s="1194" t="str">
        <f>VLOOKUP($I1244,'Price List, Weapons &amp; Items'!B:L,COLUMN('Price List, Weapons &amp; Items'!$J$11)-1,0)</f>
        <v>Media reports (incl. social media)</v>
      </c>
      <c r="AO1244" s="1194" t="str">
        <f>IF(I1244=".",".",VLOOKUP($I1244,'Price List, Weapons &amp; Items'!B:J,3,0))</f>
        <v>Main Battle Tank (MBT)</v>
      </c>
      <c r="AP1244" s="1195" t="str">
        <f t="shared" ca="1" si="260"/>
        <v>M-55S tank</v>
      </c>
      <c r="AQ1244" s="1194">
        <f>VLOOKUP($I1244,'Price List, Weapons &amp; Items'!B:L,COLUMN('Price List, Weapons &amp; Items'!$L$11)-1,0)</f>
        <v>2</v>
      </c>
      <c r="AR1244" s="1194">
        <f t="shared" si="267"/>
        <v>1</v>
      </c>
      <c r="AS1244" s="1194">
        <f t="shared" si="268"/>
        <v>1</v>
      </c>
      <c r="AT1244" s="1194">
        <f t="shared" si="269"/>
        <v>1</v>
      </c>
      <c r="AU1244" s="1194" t="str">
        <f t="shared" si="270"/>
        <v>.</v>
      </c>
      <c r="AV1244" s="1194" t="str">
        <f t="shared" si="261"/>
        <v>.</v>
      </c>
      <c r="AW1244" s="1194" t="str">
        <f t="shared" si="271"/>
        <v>.</v>
      </c>
      <c r="AX1244" s="1194">
        <f>IFERROR(VLOOKUP(B1244,'Share, Heavy Weapons to Ukraine'!B:Z,COLUMN('Share, Heavy Weapons to Ukraine'!C1254)-1,0),0)</f>
        <v>0</v>
      </c>
      <c r="AY1244" s="1194">
        <f>VLOOKUP('Bilateral Assistance, MAIN DATA'!B1244,'Country Summary (€)'!B:F,COLUMN('Country Summary (€)'!C1255)-1,FALSE)</f>
        <v>1</v>
      </c>
      <c r="AZ1244" s="1194" t="str">
        <f>IF(AND(AD1244=1,D1244="Military",H1244&lt;&gt;"Not given")=TRUE,IF(SUMIFS(P:P,A:A,A1244)&gt;0,ABS((SUMIFS(P:P,A:A,A1244)/VLOOKUP("USD",'Exchange Rates'!B:C,2,0)))/S1244,"."),".")</f>
        <v>.</v>
      </c>
      <c r="BA1244" s="1196" t="str">
        <f>IF(AND(AD1244=1,D1244="Military",H1244&lt;&gt;"Not given")=TRUE,IF(SUMIFS(P:P,A:A,A1244)&gt;0,IF((ABS((SUMIFS(P:P,A:A,A1244)/VLOOKUP("USD",'Exchange Rates'!B:C,2,0)))/S1244)&gt;1,(SUMIFS(P:P,A:A,A1244)-S1244)/S1244,(S1244-SUMIFS(P:P,A:A,A1244))/SUMIFS(P:P,A:A,A1244)),"."),".")</f>
        <v>.</v>
      </c>
    </row>
    <row r="1245" spans="1:53" ht="15.95" customHeight="1">
      <c r="A1245" s="1180" t="s">
        <v>3407</v>
      </c>
      <c r="B1245" s="1180" t="s">
        <v>3337</v>
      </c>
      <c r="C1245" s="1220">
        <v>45036</v>
      </c>
      <c r="D1245" s="1208" t="s">
        <v>389</v>
      </c>
      <c r="E1245" s="1208" t="s">
        <v>443</v>
      </c>
      <c r="F1245" s="1208" t="s">
        <v>3408</v>
      </c>
      <c r="G1245" s="1184" t="s">
        <v>483</v>
      </c>
      <c r="H1245" s="1185" t="s">
        <v>457</v>
      </c>
      <c r="I1245" s="1190" t="s">
        <v>856</v>
      </c>
      <c r="J1245" s="1186" t="str">
        <f>VLOOKUP($I1245,'Price List, Weapons &amp; Items'!B:C,2,0)</f>
        <v>Ammunition for heavy weapon</v>
      </c>
      <c r="K1245" s="1186" t="str">
        <f>IF(I1245=".",I1245,VLOOKUP($I1245,'Price List, Weapons &amp; Items'!B:D,3,0))</f>
        <v>155mm howitzer ammunition</v>
      </c>
      <c r="L1245" s="1187">
        <f>VLOOKUP(I1245,'Price List, Weapons &amp; Items'!B:E,4,0)</f>
        <v>0</v>
      </c>
      <c r="M1245" s="1188" t="s">
        <v>374</v>
      </c>
      <c r="N1245" s="1188" t="s">
        <v>374</v>
      </c>
      <c r="O1245" s="1188">
        <f>VLOOKUP($I1245,'Price List, Weapons &amp; Items'!B:G,6,0)</f>
        <v>3800</v>
      </c>
      <c r="P1245" s="1185" t="str">
        <f t="shared" si="262"/>
        <v>.</v>
      </c>
      <c r="Q1245" s="1185" t="str">
        <f t="shared" si="263"/>
        <v>.</v>
      </c>
      <c r="R1245" s="1185" t="str">
        <f t="shared" si="259"/>
        <v>.</v>
      </c>
      <c r="S1245" s="1185" t="str">
        <f>IF(AND(AD1245=1,R1245&lt;&gt;".")=TRUE,R1245/VLOOKUP(G1245,'Exchange Rates'!B:C,2,0),IF(R1245=".",".",""))</f>
        <v>.</v>
      </c>
      <c r="T1245" s="1185" t="str">
        <f>IF(AD1245=1,IF(AF1245="Value is not given at all",".",IF(AF1245="Value is given by the source",S1245,IF(AF1245="Value is calculated with prices",(IF(SUMIFS(Q:Q,A:A,A1245)&gt;0,SUMIFS(Q:Q,A:A,A1245),"."))/VLOOKUP("USD",'Exchange Rates'!B:C,2,0),"Error with coding"))),"")</f>
        <v>.</v>
      </c>
      <c r="U1245" s="1184" t="s">
        <v>675</v>
      </c>
      <c r="V1245" s="1020" t="s">
        <v>3409</v>
      </c>
      <c r="W1245" s="1020" t="s">
        <v>3410</v>
      </c>
      <c r="X1245" s="1023" t="s">
        <v>364</v>
      </c>
      <c r="Y1245" s="1023" t="s">
        <v>364</v>
      </c>
      <c r="Z1245" s="1184">
        <v>0</v>
      </c>
      <c r="AA1245" s="1194">
        <v>1</v>
      </c>
      <c r="AB1245" s="1022" t="s">
        <v>364</v>
      </c>
      <c r="AC1245" s="1192" t="str">
        <f>""</f>
        <v/>
      </c>
      <c r="AD1245" s="985">
        <v>1</v>
      </c>
      <c r="AE1245" s="985" t="s">
        <v>369</v>
      </c>
      <c r="AF1245" s="985" t="s">
        <v>369</v>
      </c>
      <c r="AG1245" s="985">
        <v>1</v>
      </c>
      <c r="AH1245" s="1193">
        <v>16</v>
      </c>
      <c r="AI1245" s="1193">
        <v>0</v>
      </c>
      <c r="AJ1245" s="1193">
        <f>VLOOKUP($I1245,'Price List, Weapons &amp; Items'!B:F,5,0)</f>
        <v>1</v>
      </c>
      <c r="AK1245" s="1193">
        <f t="shared" si="264"/>
        <v>1</v>
      </c>
      <c r="AL1245" s="1193">
        <f t="shared" si="265"/>
        <v>1</v>
      </c>
      <c r="AM1245" s="1193">
        <f t="shared" si="266"/>
        <v>0</v>
      </c>
      <c r="AN1245" s="1194" t="str">
        <f>VLOOKUP($I1245,'Price List, Weapons &amp; Items'!B:L,COLUMN('Price List, Weapons &amp; Items'!$J$11)-1,0)</f>
        <v>Government information</v>
      </c>
      <c r="AO1245" s="1194" t="str">
        <f>IF(I1245=".",".",VLOOKUP($I1245,'Price List, Weapons &amp; Items'!B:J,3,0))</f>
        <v>155mm howitzer ammunition</v>
      </c>
      <c r="AP1245" s="1195" t="str">
        <f t="shared" ca="1" si="260"/>
        <v>155mm artillery round</v>
      </c>
      <c r="AQ1245" s="1194">
        <f>VLOOKUP($I1245,'Price List, Weapons &amp; Items'!B:L,COLUMN('Price List, Weapons &amp; Items'!$L$11)-1,0)</f>
        <v>2</v>
      </c>
      <c r="AR1245" s="1194">
        <f t="shared" si="267"/>
        <v>0</v>
      </c>
      <c r="AS1245" s="1194">
        <f t="shared" si="268"/>
        <v>1</v>
      </c>
      <c r="AT1245" s="1194">
        <f t="shared" si="269"/>
        <v>1</v>
      </c>
      <c r="AU1245" s="1194" t="str">
        <f t="shared" si="270"/>
        <v>.</v>
      </c>
      <c r="AV1245" s="1194" t="str">
        <f t="shared" si="261"/>
        <v>.</v>
      </c>
      <c r="AW1245" s="1194" t="str">
        <f t="shared" si="271"/>
        <v>.</v>
      </c>
      <c r="AX1245" s="1194">
        <f>IFERROR(VLOOKUP(B1245,'Share, Heavy Weapons to Ukraine'!B:Z,COLUMN('Share, Heavy Weapons to Ukraine'!C1255)-1,0),0)</f>
        <v>0</v>
      </c>
      <c r="AY1245" s="1194">
        <f>VLOOKUP('Bilateral Assistance, MAIN DATA'!B1245,'Country Summary (€)'!B:F,COLUMN('Country Summary (€)'!C1256)-1,FALSE)</f>
        <v>1</v>
      </c>
      <c r="AZ1245" s="1194" t="str">
        <f>IF(AND(AD1245=1,D1245="Military",H1245&lt;&gt;"Not given")=TRUE,IF(SUMIFS(P:P,A:A,A1245)&gt;0,ABS((SUMIFS(P:P,A:A,A1245)/VLOOKUP("USD",'Exchange Rates'!B:C,2,0)))/S1245,"."),".")</f>
        <v>.</v>
      </c>
      <c r="BA1245" s="1196" t="str">
        <f>IF(AND(AD1245=1,D1245="Military",H1245&lt;&gt;"Not given")=TRUE,IF(SUMIFS(P:P,A:A,A1245)&gt;0,IF((ABS((SUMIFS(P:P,A:A,A1245)/VLOOKUP("USD",'Exchange Rates'!B:C,2,0)))/S1245)&gt;1,(SUMIFS(P:P,A:A,A1245)-S1245)/S1245,(S1245-SUMIFS(P:P,A:A,A1245))/SUMIFS(P:P,A:A,A1245)),"."),".")</f>
        <v>.</v>
      </c>
    </row>
    <row r="1246" spans="1:53" s="1194" customFormat="1" ht="15.95" customHeight="1">
      <c r="A1246" s="1180" t="s">
        <v>3411</v>
      </c>
      <c r="B1246" s="1180" t="s">
        <v>3412</v>
      </c>
      <c r="C1246" s="1181">
        <v>44618</v>
      </c>
      <c r="D1246" s="1182" t="s">
        <v>360</v>
      </c>
      <c r="E1246" s="1182" t="s">
        <v>3413</v>
      </c>
      <c r="F1246" s="1183" t="s">
        <v>3414</v>
      </c>
      <c r="G1246" s="1184" t="s">
        <v>483</v>
      </c>
      <c r="H1246" s="1185">
        <v>150000</v>
      </c>
      <c r="I1246" s="1180" t="s">
        <v>364</v>
      </c>
      <c r="J1246" s="1186" t="str">
        <f>VLOOKUP($I1246,'Price List, Weapons &amp; Items'!B:C,2,0)</f>
        <v>.</v>
      </c>
      <c r="K1246" s="1186" t="str">
        <f>IF(I1246=".",I1246,VLOOKUP($I1246,'Price List, Weapons &amp; Items'!B:D,3,0))</f>
        <v>.</v>
      </c>
      <c r="L1246" s="1187">
        <f>VLOOKUP(I1246,'Price List, Weapons &amp; Items'!B:E,4,0)</f>
        <v>0</v>
      </c>
      <c r="M1246" s="1188" t="s">
        <v>364</v>
      </c>
      <c r="N1246" s="1188" t="s">
        <v>364</v>
      </c>
      <c r="O1246" s="1188" t="str">
        <f>VLOOKUP($I1246,'Price List, Weapons &amp; Items'!B:G,6,0)</f>
        <v>.</v>
      </c>
      <c r="P1246" s="1185" t="str">
        <f t="shared" si="262"/>
        <v>.</v>
      </c>
      <c r="Q1246" s="1185" t="str">
        <f t="shared" si="263"/>
        <v>.</v>
      </c>
      <c r="R1246" s="1185">
        <f t="shared" si="259"/>
        <v>150000</v>
      </c>
      <c r="S1246" s="1185">
        <f>IF(AND(AD1246=1,R1246&lt;&gt;".")=TRUE,R1246/VLOOKUP(G1246,'Exchange Rates'!B:C,2,0),IF(R1246=".",".",""))</f>
        <v>150000</v>
      </c>
      <c r="T1246" s="1185" t="str">
        <f>IF(AD1246=1,IF(AF1246="Value is not given at all",".",IF(AF1246="Value is given by the source",S1246,IF(AF1246="Value is calculated with prices",(IF(SUMIFS(Q:Q,A:A,A1246)&gt;0,SUMIFS(Q:Q,A:A,A1246),"."))/VLOOKUP("USD",'Exchange Rates'!B:C,2,0),"Error with coding"))),"")</f>
        <v>.</v>
      </c>
      <c r="U1246" s="1184" t="s">
        <v>365</v>
      </c>
      <c r="V1246" s="971" t="s">
        <v>3415</v>
      </c>
      <c r="W1246" s="971" t="s">
        <v>3416</v>
      </c>
      <c r="X1246" s="971" t="s">
        <v>3417</v>
      </c>
      <c r="Y1246" s="1190" t="s">
        <v>364</v>
      </c>
      <c r="Z1246" s="1184">
        <v>0</v>
      </c>
      <c r="AA1246" s="1194">
        <v>0</v>
      </c>
      <c r="AB1246" s="1201" t="s">
        <v>364</v>
      </c>
      <c r="AC1246" s="1192" t="str">
        <f>""</f>
        <v/>
      </c>
      <c r="AD1246" s="985">
        <v>1</v>
      </c>
      <c r="AE1246" s="985" t="s">
        <v>368</v>
      </c>
      <c r="AF1246" s="985" t="s">
        <v>369</v>
      </c>
      <c r="AG1246" s="985">
        <v>1</v>
      </c>
      <c r="AH1246" s="1193">
        <v>2</v>
      </c>
      <c r="AI1246" s="1193">
        <v>0</v>
      </c>
      <c r="AJ1246" s="1193">
        <f>VLOOKUP($I1246,'Price List, Weapons &amp; Items'!B:F,5,0)</f>
        <v>0</v>
      </c>
      <c r="AK1246" s="1193">
        <f t="shared" si="264"/>
        <v>0</v>
      </c>
      <c r="AL1246" s="1193">
        <f t="shared" si="265"/>
        <v>0</v>
      </c>
      <c r="AM1246" s="1193">
        <f t="shared" si="266"/>
        <v>0</v>
      </c>
      <c r="AN1246" s="1194" t="str">
        <f>VLOOKUP($I1246,'Price List, Weapons &amp; Items'!B:L,COLUMN('Price List, Weapons &amp; Items'!$J$11)-1,0)</f>
        <v>.</v>
      </c>
      <c r="AO1246" s="1194" t="str">
        <f>IF(I1246=".",".",VLOOKUP($I1246,'Price List, Weapons &amp; Items'!B:J,3,0))</f>
        <v>.</v>
      </c>
      <c r="AP1246" s="1195" t="str">
        <f t="shared" ca="1" si="260"/>
        <v>.</v>
      </c>
      <c r="AQ1246" s="1194">
        <f>VLOOKUP($I1246,'Price List, Weapons &amp; Items'!B:L,COLUMN('Price List, Weapons &amp; Items'!$L$11)-1,0)</f>
        <v>0</v>
      </c>
      <c r="AR1246" s="1194">
        <f t="shared" si="267"/>
        <v>1</v>
      </c>
      <c r="AS1246" s="1194">
        <f t="shared" si="268"/>
        <v>0</v>
      </c>
      <c r="AT1246" s="1194">
        <f t="shared" si="269"/>
        <v>1</v>
      </c>
      <c r="AU1246" s="1194" t="e">
        <f>IF(AND(A1246=#REF!,C1246=#REF!)=TRUE,IF(F1246=#REF!,".","1"),".")</f>
        <v>#REF!</v>
      </c>
      <c r="AV1246" s="1194" t="str">
        <f t="shared" si="261"/>
        <v>.</v>
      </c>
      <c r="AW1246" s="1194" t="str">
        <f t="shared" si="271"/>
        <v>.</v>
      </c>
      <c r="AX1246" s="1194">
        <f>IFERROR(VLOOKUP(B1246,'Share, Heavy Weapons to Ukraine'!B:Z,COLUMN('Share, Heavy Weapons to Ukraine'!C1258)-1,0),0)</f>
        <v>0</v>
      </c>
      <c r="AY1246" s="1194">
        <f>VLOOKUP('Bilateral Assistance, MAIN DATA'!B1246,'Country Summary (€)'!B:F,COLUMN('Country Summary (€)'!C1259)-1,FALSE)</f>
        <v>1</v>
      </c>
      <c r="AZ1246" s="1194" t="str">
        <f>IF(AND(AD1246=1,D1246="Military",H1246&lt;&gt;"Not given")=TRUE,IF(SUMIFS(P:P,A:A,A1246)&gt;0,ABS((SUMIFS(P:P,A:A,A1246)/VLOOKUP("USD",'Exchange Rates'!B:C,2,0)))/S1246,"."),".")</f>
        <v>.</v>
      </c>
      <c r="BA1246" s="1196" t="str">
        <f>IF(AND(AD1246=1,D1246="Military",H1246&lt;&gt;"Not given")=TRUE,IF(SUMIFS(P:P,A:A,A1246)&gt;0,IF((ABS((SUMIFS(P:P,A:A,A1246)/VLOOKUP("USD",'Exchange Rates'!B:C,2,0)))/S1246)&gt;1,(SUMIFS(P:P,A:A,A1246)-S1246)/S1246,(S1246-SUMIFS(P:P,A:A,A1246))/SUMIFS(P:P,A:A,A1246)),"."),".")</f>
        <v>.</v>
      </c>
    </row>
    <row r="1247" spans="1:53" s="1194" customFormat="1" ht="15.95" customHeight="1">
      <c r="A1247" s="1182" t="s">
        <v>3418</v>
      </c>
      <c r="B1247" s="1182" t="s">
        <v>3412</v>
      </c>
      <c r="C1247" s="1181">
        <v>44635</v>
      </c>
      <c r="D1247" s="1182" t="s">
        <v>360</v>
      </c>
      <c r="E1247" s="1182" t="s">
        <v>371</v>
      </c>
      <c r="F1247" s="1183" t="s">
        <v>3419</v>
      </c>
      <c r="G1247" s="1184" t="s">
        <v>456</v>
      </c>
      <c r="H1247" s="1185" t="s">
        <v>457</v>
      </c>
      <c r="I1247" s="1180" t="s">
        <v>1915</v>
      </c>
      <c r="J1247" s="1186" t="str">
        <f>VLOOKUP($I1247,'Price List, Weapons &amp; Items'!B:C,2,0)</f>
        <v>Humanitarian</v>
      </c>
      <c r="K1247" s="1186" t="str">
        <f>IF(I1247=".",I1247,VLOOKUP($I1247,'Price List, Weapons &amp; Items'!B:D,3,0))</f>
        <v>Humanitarian</v>
      </c>
      <c r="L1247" s="1187">
        <f>VLOOKUP(I1247,'Price List, Weapons &amp; Items'!B:E,4,0)</f>
        <v>0</v>
      </c>
      <c r="M1247" s="1188">
        <v>4316</v>
      </c>
      <c r="N1247" s="1188" t="s">
        <v>374</v>
      </c>
      <c r="O1247" s="1188">
        <f>VLOOKUP($I1247,'Price List, Weapons &amp; Items'!B:G,6,0)</f>
        <v>6000</v>
      </c>
      <c r="P1247" s="1185">
        <f t="shared" si="262"/>
        <v>25896000</v>
      </c>
      <c r="Q1247" s="1185" t="str">
        <f t="shared" si="263"/>
        <v>.</v>
      </c>
      <c r="R1247" s="1185">
        <f t="shared" si="259"/>
        <v>26251200</v>
      </c>
      <c r="S1247" s="1185">
        <f>IF(AND(AD1247=1,R1247&lt;&gt;".")=TRUE,R1247/VLOOKUP(G1247,'Exchange Rates'!B:C,2,0),IF(R1247=".",".",""))</f>
        <v>24154582.259845417</v>
      </c>
      <c r="T1247" s="1185" t="str">
        <f>IF(AD1247=1,IF(AF1247="Value is not given at all",".",IF(AF1247="Value is given by the source",S1247,IF(AF1247="Value is calculated with prices",(IF(SUMIFS(Q:Q,A:A,A1247)&gt;0,SUMIFS(Q:Q,A:A,A1247),"."))/VLOOKUP("USD",'Exchange Rates'!B:C,2,0),"Error with coding"))),"")</f>
        <v>.</v>
      </c>
      <c r="U1247" s="1184" t="s">
        <v>365</v>
      </c>
      <c r="V1247" s="974" t="s">
        <v>3420</v>
      </c>
      <c r="W1247" s="974" t="s">
        <v>3421</v>
      </c>
      <c r="X1247" s="1183" t="s">
        <v>364</v>
      </c>
      <c r="Y1247" s="1183" t="s">
        <v>364</v>
      </c>
      <c r="Z1247" s="1184">
        <v>0</v>
      </c>
      <c r="AA1247" s="1194">
        <v>0</v>
      </c>
      <c r="AB1247" s="1201" t="s">
        <v>364</v>
      </c>
      <c r="AC1247" s="1192" t="str">
        <f>""</f>
        <v/>
      </c>
      <c r="AD1247" s="985">
        <v>1</v>
      </c>
      <c r="AE1247" s="985" t="s">
        <v>436</v>
      </c>
      <c r="AF1247" s="985" t="s">
        <v>369</v>
      </c>
      <c r="AG1247" s="985">
        <v>1</v>
      </c>
      <c r="AH1247" s="985">
        <v>3</v>
      </c>
      <c r="AI1247" s="985">
        <v>0</v>
      </c>
      <c r="AJ1247" s="1193">
        <f>VLOOKUP($I1247,'Price List, Weapons &amp; Items'!B:F,5,0)</f>
        <v>0</v>
      </c>
      <c r="AK1247" s="1193">
        <f t="shared" si="264"/>
        <v>0</v>
      </c>
      <c r="AL1247" s="1193">
        <f t="shared" si="265"/>
        <v>0</v>
      </c>
      <c r="AM1247" s="1193">
        <f t="shared" si="266"/>
        <v>0</v>
      </c>
      <c r="AN1247" s="1194" t="str">
        <f>VLOOKUP($I1247,'Price List, Weapons &amp; Items'!B:L,COLUMN('Price List, Weapons &amp; Items'!$J$11)-1,0)</f>
        <v>Miscellaneous</v>
      </c>
      <c r="AO1247" s="1194" t="str">
        <f>IF(I1247=".",".",VLOOKUP($I1247,'Price List, Weapons &amp; Items'!B:J,3,0))</f>
        <v>Humanitarian</v>
      </c>
      <c r="AP1247" s="1195" t="str">
        <f t="shared" ca="1" si="260"/>
        <v>hospital bed</v>
      </c>
      <c r="AQ1247" s="1194">
        <f>VLOOKUP($I1247,'Price List, Weapons &amp; Items'!B:L,COLUMN('Price List, Weapons &amp; Items'!$L$11)-1,0)</f>
        <v>0</v>
      </c>
      <c r="AR1247" s="1194">
        <f t="shared" si="267"/>
        <v>1</v>
      </c>
      <c r="AS1247" s="1194">
        <f t="shared" si="268"/>
        <v>0</v>
      </c>
      <c r="AT1247" s="1194">
        <f t="shared" si="269"/>
        <v>1</v>
      </c>
      <c r="AU1247" s="1194" t="str">
        <f t="shared" ref="AU1247:AU1310" si="272">IF(AND(A1247=A1246,C1247=C1246)=TRUE,IF(F1247=F1246,".","1"),".")</f>
        <v>.</v>
      </c>
      <c r="AV1247" s="1194" t="str">
        <f t="shared" si="261"/>
        <v>.</v>
      </c>
      <c r="AW1247" s="1194" t="str">
        <f t="shared" si="271"/>
        <v>.</v>
      </c>
      <c r="AX1247" s="1194">
        <f>IFERROR(VLOOKUP(B1247,'Share, Heavy Weapons to Ukraine'!B:Z,COLUMN('Share, Heavy Weapons to Ukraine'!C1259)-1,0),0)</f>
        <v>0</v>
      </c>
      <c r="AY1247" s="1194">
        <f>VLOOKUP('Bilateral Assistance, MAIN DATA'!B1247,'Country Summary (€)'!B:F,COLUMN('Country Summary (€)'!C1260)-1,FALSE)</f>
        <v>1</v>
      </c>
      <c r="AZ1247" s="1194" t="str">
        <f>IF(AND(AD1247=1,D1247="Military",H1247&lt;&gt;"Not given")=TRUE,IF(SUMIFS(P:P,A:A,A1247)&gt;0,ABS((SUMIFS(P:P,A:A,A1247)/VLOOKUP("USD",'Exchange Rates'!B:C,2,0)))/S1247,"."),".")</f>
        <v>.</v>
      </c>
      <c r="BA1247" s="1196" t="str">
        <f>IF(AND(AD1247=1,D1247="Military",H1247&lt;&gt;"Not given")=TRUE,IF(SUMIFS(P:P,A:A,A1247)&gt;0,IF((ABS((SUMIFS(P:P,A:A,A1247)/VLOOKUP("USD",'Exchange Rates'!B:C,2,0)))/S1247)&gt;1,(SUMIFS(P:P,A:A,A1247)-S1247)/S1247,(S1247-SUMIFS(P:P,A:A,A1247))/SUMIFS(P:P,A:A,A1247)),"."),".")</f>
        <v>.</v>
      </c>
    </row>
    <row r="1248" spans="1:53" s="1194" customFormat="1" ht="15.95" customHeight="1">
      <c r="A1248" s="1182" t="s">
        <v>3418</v>
      </c>
      <c r="B1248" s="1182" t="s">
        <v>3412</v>
      </c>
      <c r="C1248" s="1181">
        <v>44635</v>
      </c>
      <c r="D1248" s="1182" t="s">
        <v>360</v>
      </c>
      <c r="E1248" s="1182" t="s">
        <v>371</v>
      </c>
      <c r="F1248" s="1183" t="s">
        <v>3419</v>
      </c>
      <c r="G1248" s="1184" t="s">
        <v>456</v>
      </c>
      <c r="H1248" s="1185" t="s">
        <v>457</v>
      </c>
      <c r="I1248" s="1180" t="s">
        <v>3422</v>
      </c>
      <c r="J1248" s="1186" t="str">
        <f>VLOOKUP($I1248,'Price List, Weapons &amp; Items'!B:C,2,0)</f>
        <v>Humanitarian</v>
      </c>
      <c r="K1248" s="1186" t="str">
        <f>IF(I1248=".",I1248,VLOOKUP($I1248,'Price List, Weapons &amp; Items'!B:D,3,0))</f>
        <v>Humanitarian</v>
      </c>
      <c r="L1248" s="1187">
        <f>VLOOKUP(I1248,'Price List, Weapons &amp; Items'!B:E,4,0)</f>
        <v>0</v>
      </c>
      <c r="M1248" s="1188">
        <v>1184</v>
      </c>
      <c r="N1248" s="1188" t="s">
        <v>374</v>
      </c>
      <c r="O1248" s="1188">
        <f>VLOOKUP($I1248,'Price List, Weapons &amp; Items'!B:G,6,0)</f>
        <v>300</v>
      </c>
      <c r="P1248" s="1185">
        <f t="shared" si="262"/>
        <v>355200</v>
      </c>
      <c r="Q1248" s="1185" t="str">
        <f t="shared" si="263"/>
        <v>.</v>
      </c>
      <c r="R1248" s="1185" t="str">
        <f t="shared" si="259"/>
        <v/>
      </c>
      <c r="S1248" s="1185" t="str">
        <f>IF(AND(AD1248=1,R1248&lt;&gt;".")=TRUE,R1248/VLOOKUP(G1248,'Exchange Rates'!B:C,2,0),IF(R1248=".",".",""))</f>
        <v/>
      </c>
      <c r="T1248" s="1185" t="str">
        <f>IF(AD1248=1,IF(AF1248="Value is not given at all",".",IF(AF1248="Value is given by the source",S1248,IF(AF1248="Value is calculated with prices",(IF(SUMIFS(Q:Q,A:A,A1248)&gt;0,SUMIFS(Q:Q,A:A,A1248),"."))/VLOOKUP("USD",'Exchange Rates'!B:C,2,0),"Error with coding"))),"")</f>
        <v/>
      </c>
      <c r="U1248" s="1184" t="s">
        <v>365</v>
      </c>
      <c r="V1248" s="974" t="s">
        <v>3420</v>
      </c>
      <c r="W1248" s="974" t="s">
        <v>3421</v>
      </c>
      <c r="X1248" s="1183" t="s">
        <v>364</v>
      </c>
      <c r="Y1248" s="1183" t="s">
        <v>364</v>
      </c>
      <c r="Z1248" s="1184">
        <v>0</v>
      </c>
      <c r="AA1248" s="1194">
        <v>0</v>
      </c>
      <c r="AB1248" s="1201" t="s">
        <v>364</v>
      </c>
      <c r="AC1248" s="1192" t="str">
        <f>""</f>
        <v/>
      </c>
      <c r="AD1248" s="985">
        <v>0</v>
      </c>
      <c r="AE1248" s="985" t="s">
        <v>436</v>
      </c>
      <c r="AF1248" s="985" t="s">
        <v>369</v>
      </c>
      <c r="AG1248" s="985">
        <v>1</v>
      </c>
      <c r="AH1248" s="985">
        <v>3</v>
      </c>
      <c r="AI1248" s="985">
        <v>0</v>
      </c>
      <c r="AJ1248" s="1193">
        <f>VLOOKUP($I1248,'Price List, Weapons &amp; Items'!B:F,5,0)</f>
        <v>0</v>
      </c>
      <c r="AK1248" s="1193">
        <f t="shared" si="264"/>
        <v>0</v>
      </c>
      <c r="AL1248" s="1193">
        <f t="shared" si="265"/>
        <v>0</v>
      </c>
      <c r="AM1248" s="1193">
        <f t="shared" si="266"/>
        <v>0</v>
      </c>
      <c r="AN1248" s="1194" t="str">
        <f>VLOOKUP($I1248,'Price List, Weapons &amp; Items'!B:L,COLUMN('Price List, Weapons &amp; Items'!$J$11)-1,0)</f>
        <v>Online marketplaces and stores</v>
      </c>
      <c r="AO1248" s="1194" t="str">
        <f>IF(I1248=".",".",VLOOKUP($I1248,'Price List, Weapons &amp; Items'!B:J,3,0))</f>
        <v>Humanitarian</v>
      </c>
      <c r="AP1248" s="1195" t="str">
        <f t="shared" ca="1" si="260"/>
        <v/>
      </c>
      <c r="AQ1248" s="1194">
        <f>VLOOKUP($I1248,'Price List, Weapons &amp; Items'!B:L,COLUMN('Price List, Weapons &amp; Items'!$L$11)-1,0)</f>
        <v>0</v>
      </c>
      <c r="AR1248" s="1194">
        <f t="shared" si="267"/>
        <v>1</v>
      </c>
      <c r="AS1248" s="1194">
        <f t="shared" si="268"/>
        <v>0</v>
      </c>
      <c r="AT1248" s="1194">
        <f t="shared" si="269"/>
        <v>1</v>
      </c>
      <c r="AU1248" s="1194" t="str">
        <f t="shared" si="272"/>
        <v>.</v>
      </c>
      <c r="AV1248" s="1194" t="str">
        <f t="shared" si="261"/>
        <v>.</v>
      </c>
      <c r="AW1248" s="1194" t="str">
        <f t="shared" si="271"/>
        <v>.</v>
      </c>
      <c r="AX1248" s="1194">
        <f>IFERROR(VLOOKUP(B1248,'Share, Heavy Weapons to Ukraine'!B:Z,COLUMN('Share, Heavy Weapons to Ukraine'!C1260)-1,0),0)</f>
        <v>0</v>
      </c>
      <c r="AY1248" s="1194">
        <f>VLOOKUP('Bilateral Assistance, MAIN DATA'!B1248,'Country Summary (€)'!B:F,COLUMN('Country Summary (€)'!C1261)-1,FALSE)</f>
        <v>1</v>
      </c>
      <c r="AZ1248" s="1194" t="str">
        <f>IF(AND(AD1248=1,D1248="Military",H1248&lt;&gt;"Not given")=TRUE,IF(SUMIFS(P:P,A:A,A1248)&gt;0,ABS((SUMIFS(P:P,A:A,A1248)/VLOOKUP("USD",'Exchange Rates'!B:C,2,0)))/S1248,"."),".")</f>
        <v>.</v>
      </c>
      <c r="BA1248" s="1196" t="str">
        <f>IF(AND(AD1248=1,D1248="Military",H1248&lt;&gt;"Not given")=TRUE,IF(SUMIFS(P:P,A:A,A1248)&gt;0,IF((ABS((SUMIFS(P:P,A:A,A1248)/VLOOKUP("USD",'Exchange Rates'!B:C,2,0)))/S1248)&gt;1,(SUMIFS(P:P,A:A,A1248)-S1248)/S1248,(S1248-SUMIFS(P:P,A:A,A1248))/SUMIFS(P:P,A:A,A1248)),"."),".")</f>
        <v>.</v>
      </c>
    </row>
    <row r="1249" spans="1:53" s="1194" customFormat="1" ht="15.95" customHeight="1">
      <c r="A1249" s="1180" t="s">
        <v>3423</v>
      </c>
      <c r="B1249" s="1180" t="s">
        <v>3412</v>
      </c>
      <c r="C1249" s="1181">
        <v>44637</v>
      </c>
      <c r="D1249" s="1182" t="s">
        <v>360</v>
      </c>
      <c r="E1249" s="1182" t="s">
        <v>3265</v>
      </c>
      <c r="F1249" s="1183" t="s">
        <v>3424</v>
      </c>
      <c r="G1249" s="1184" t="s">
        <v>483</v>
      </c>
      <c r="H1249" s="1185">
        <v>23000000</v>
      </c>
      <c r="I1249" s="1180" t="s">
        <v>364</v>
      </c>
      <c r="J1249" s="1186" t="str">
        <f>VLOOKUP($I1249,'Price List, Weapons &amp; Items'!B:C,2,0)</f>
        <v>.</v>
      </c>
      <c r="K1249" s="1186" t="str">
        <f>IF(I1249=".",I1249,VLOOKUP($I1249,'Price List, Weapons &amp; Items'!B:D,3,0))</f>
        <v>.</v>
      </c>
      <c r="L1249" s="1187">
        <f>VLOOKUP(I1249,'Price List, Weapons &amp; Items'!B:E,4,0)</f>
        <v>0</v>
      </c>
      <c r="M1249" s="1188" t="s">
        <v>364</v>
      </c>
      <c r="N1249" s="1188" t="s">
        <v>364</v>
      </c>
      <c r="O1249" s="1188" t="str">
        <f>VLOOKUP($I1249,'Price List, Weapons &amp; Items'!B:G,6,0)</f>
        <v>.</v>
      </c>
      <c r="P1249" s="1185" t="str">
        <f t="shared" si="262"/>
        <v>.</v>
      </c>
      <c r="Q1249" s="1185" t="str">
        <f t="shared" si="263"/>
        <v>.</v>
      </c>
      <c r="R1249" s="1185">
        <f t="shared" si="259"/>
        <v>23000000</v>
      </c>
      <c r="S1249" s="1185">
        <f>IF(AND(AD1249=1,R1249&lt;&gt;".")=TRUE,R1249/VLOOKUP(G1249,'Exchange Rates'!B:C,2,0),IF(R1249=".",".",""))</f>
        <v>23000000</v>
      </c>
      <c r="T1249" s="1185" t="str">
        <f>IF(AD1249=1,IF(AF1249="Value is not given at all",".",IF(AF1249="Value is given by the source",S1249,IF(AF1249="Value is calculated with prices",(IF(SUMIFS(Q:Q,A:A,A1249)&gt;0,SUMIFS(Q:Q,A:A,A1249),"."))/VLOOKUP("USD",'Exchange Rates'!B:C,2,0),"Error with coding"))),"")</f>
        <v>.</v>
      </c>
      <c r="U1249" s="1184" t="s">
        <v>365</v>
      </c>
      <c r="V1249" s="971" t="s">
        <v>3425</v>
      </c>
      <c r="W1249" s="971" t="s">
        <v>3426</v>
      </c>
      <c r="X1249" s="1190" t="s">
        <v>364</v>
      </c>
      <c r="Y1249" s="1190" t="s">
        <v>364</v>
      </c>
      <c r="Z1249" s="1184">
        <v>0</v>
      </c>
      <c r="AA1249" s="1194">
        <v>0</v>
      </c>
      <c r="AB1249" s="1201" t="s">
        <v>364</v>
      </c>
      <c r="AC1249" s="1192" t="str">
        <f>""</f>
        <v/>
      </c>
      <c r="AD1249" s="985">
        <v>1</v>
      </c>
      <c r="AE1249" s="985" t="s">
        <v>368</v>
      </c>
      <c r="AF1249" s="985" t="s">
        <v>369</v>
      </c>
      <c r="AG1249" s="985">
        <v>1</v>
      </c>
      <c r="AH1249" s="1193">
        <v>3</v>
      </c>
      <c r="AI1249" s="1193">
        <v>0</v>
      </c>
      <c r="AJ1249" s="1193">
        <f>VLOOKUP($I1249,'Price List, Weapons &amp; Items'!B:F,5,0)</f>
        <v>0</v>
      </c>
      <c r="AK1249" s="1193">
        <f t="shared" si="264"/>
        <v>0</v>
      </c>
      <c r="AL1249" s="1193">
        <f t="shared" si="265"/>
        <v>0</v>
      </c>
      <c r="AM1249" s="1193">
        <f t="shared" si="266"/>
        <v>0</v>
      </c>
      <c r="AN1249" s="1194" t="str">
        <f>VLOOKUP($I1249,'Price List, Weapons &amp; Items'!B:L,COLUMN('Price List, Weapons &amp; Items'!$J$11)-1,0)</f>
        <v>.</v>
      </c>
      <c r="AO1249" s="1194" t="str">
        <f>IF(I1249=".",".",VLOOKUP($I1249,'Price List, Weapons &amp; Items'!B:J,3,0))</f>
        <v>.</v>
      </c>
      <c r="AP1249" s="1195" t="str">
        <f t="shared" ca="1" si="260"/>
        <v>.</v>
      </c>
      <c r="AQ1249" s="1194">
        <f>VLOOKUP($I1249,'Price List, Weapons &amp; Items'!B:L,COLUMN('Price List, Weapons &amp; Items'!$L$11)-1,0)</f>
        <v>0</v>
      </c>
      <c r="AR1249" s="1194">
        <f t="shared" si="267"/>
        <v>1</v>
      </c>
      <c r="AS1249" s="1194">
        <f t="shared" si="268"/>
        <v>0</v>
      </c>
      <c r="AT1249" s="1194">
        <f t="shared" si="269"/>
        <v>1</v>
      </c>
      <c r="AU1249" s="1194" t="str">
        <f t="shared" si="272"/>
        <v>.</v>
      </c>
      <c r="AV1249" s="1194" t="str">
        <f t="shared" si="261"/>
        <v>.</v>
      </c>
      <c r="AW1249" s="1194" t="str">
        <f t="shared" si="271"/>
        <v>.</v>
      </c>
      <c r="AX1249" s="1194">
        <f>IFERROR(VLOOKUP(B1249,'Share, Heavy Weapons to Ukraine'!B:Z,COLUMN('Share, Heavy Weapons to Ukraine'!C1261)-1,0),0)</f>
        <v>0</v>
      </c>
      <c r="AY1249" s="1194">
        <f>VLOOKUP('Bilateral Assistance, MAIN DATA'!B1249,'Country Summary (€)'!B:F,COLUMN('Country Summary (€)'!C1262)-1,FALSE)</f>
        <v>1</v>
      </c>
      <c r="AZ1249" s="1194" t="str">
        <f>IF(AND(AD1249=1,D1249="Military",H1249&lt;&gt;"Not given")=TRUE,IF(SUMIFS(P:P,A:A,A1249)&gt;0,ABS((SUMIFS(P:P,A:A,A1249)/VLOOKUP("USD",'Exchange Rates'!B:C,2,0)))/S1249,"."),".")</f>
        <v>.</v>
      </c>
      <c r="BA1249" s="1196" t="str">
        <f>IF(AND(AD1249=1,D1249="Military",H1249&lt;&gt;"Not given")=TRUE,IF(SUMIFS(P:P,A:A,A1249)&gt;0,IF((ABS((SUMIFS(P:P,A:A,A1249)/VLOOKUP("USD",'Exchange Rates'!B:C,2,0)))/S1249)&gt;1,(SUMIFS(P:P,A:A,A1249)-S1249)/S1249,(S1249-SUMIFS(P:P,A:A,A1249))/SUMIFS(P:P,A:A,A1249)),"."),".")</f>
        <v>.</v>
      </c>
    </row>
    <row r="1250" spans="1:53" s="1194" customFormat="1" ht="15.95" customHeight="1">
      <c r="A1250" s="1180" t="s">
        <v>3427</v>
      </c>
      <c r="B1250" s="1180" t="s">
        <v>3412</v>
      </c>
      <c r="C1250" s="1181" t="s">
        <v>3428</v>
      </c>
      <c r="D1250" s="1182" t="s">
        <v>360</v>
      </c>
      <c r="E1250" s="1182" t="s">
        <v>371</v>
      </c>
      <c r="F1250" s="1183" t="s">
        <v>3429</v>
      </c>
      <c r="G1250" s="1184" t="s">
        <v>483</v>
      </c>
      <c r="H1250" s="1185">
        <v>1161542</v>
      </c>
      <c r="I1250" s="1180" t="s">
        <v>986</v>
      </c>
      <c r="J1250" s="1186" t="str">
        <f>VLOOKUP($I1250,'Price List, Weapons &amp; Items'!B:C,2,0)</f>
        <v>Humanitarian</v>
      </c>
      <c r="K1250" s="1186" t="str">
        <f>IF(I1250=".",I1250,VLOOKUP($I1250,'Price List, Weapons &amp; Items'!B:D,3,0))</f>
        <v>Humanitarian</v>
      </c>
      <c r="L1250" s="1187">
        <f>VLOOKUP(I1250,'Price List, Weapons &amp; Items'!B:E,4,0)</f>
        <v>0</v>
      </c>
      <c r="M1250" s="1188">
        <v>11</v>
      </c>
      <c r="N1250" s="1188" t="s">
        <v>374</v>
      </c>
      <c r="O1250" s="1188">
        <f>VLOOKUP($I1250,'Price List, Weapons &amp; Items'!B:G,6,0)</f>
        <v>10000</v>
      </c>
      <c r="P1250" s="1185">
        <f t="shared" si="262"/>
        <v>110000</v>
      </c>
      <c r="Q1250" s="1185" t="str">
        <f t="shared" si="263"/>
        <v>.</v>
      </c>
      <c r="R1250" s="1185">
        <f t="shared" si="259"/>
        <v>1161542</v>
      </c>
      <c r="S1250" s="1185">
        <f>IF(AND(AD1250=1,R1250&lt;&gt;".")=TRUE,R1250/VLOOKUP(G1250,'Exchange Rates'!B:C,2,0),IF(R1250=".",".",""))</f>
        <v>1161542</v>
      </c>
      <c r="T1250" s="1185" t="str">
        <f>IF(AD1250=1,IF(AF1250="Value is not given at all",".",IF(AF1250="Value is given by the source",S1250,IF(AF1250="Value is calculated with prices",(IF(SUMIFS(Q:Q,A:A,A1250)&gt;0,SUMIFS(Q:Q,A:A,A1250),"."))/VLOOKUP("USD",'Exchange Rates'!B:C,2,0),"Error with coding"))),"")</f>
        <v>.</v>
      </c>
      <c r="U1250" s="1184" t="s">
        <v>365</v>
      </c>
      <c r="V1250" s="971" t="s">
        <v>3430</v>
      </c>
      <c r="W1250" s="971" t="s">
        <v>3431</v>
      </c>
      <c r="X1250" s="971" t="s">
        <v>3432</v>
      </c>
      <c r="Y1250" s="1190" t="s">
        <v>364</v>
      </c>
      <c r="Z1250" s="1184">
        <v>0</v>
      </c>
      <c r="AA1250" s="1194">
        <v>0</v>
      </c>
      <c r="AB1250" s="1180" t="s">
        <v>364</v>
      </c>
      <c r="AC1250" s="1192" t="str">
        <f>""</f>
        <v/>
      </c>
      <c r="AD1250" s="985">
        <v>1</v>
      </c>
      <c r="AE1250" s="985" t="s">
        <v>368</v>
      </c>
      <c r="AF1250" s="985" t="s">
        <v>369</v>
      </c>
      <c r="AG1250" s="985">
        <v>0</v>
      </c>
      <c r="AH1250" s="1193">
        <v>0</v>
      </c>
      <c r="AI1250" s="1193">
        <v>0</v>
      </c>
      <c r="AJ1250" s="1193">
        <f>VLOOKUP($I1250,'Price List, Weapons &amp; Items'!B:F,5,0)</f>
        <v>0</v>
      </c>
      <c r="AK1250" s="1193">
        <f t="shared" si="264"/>
        <v>0</v>
      </c>
      <c r="AL1250" s="1193">
        <f t="shared" si="265"/>
        <v>0</v>
      </c>
      <c r="AM1250" s="1193">
        <f t="shared" si="266"/>
        <v>0</v>
      </c>
      <c r="AN1250" s="1194" t="str">
        <f>VLOOKUP($I1250,'Price List, Weapons &amp; Items'!B:L,COLUMN('Price List, Weapons &amp; Items'!$J$11)-1,0)</f>
        <v>Miscellaneous</v>
      </c>
      <c r="AO1250" s="1194" t="str">
        <f>IF(I1250=".",".",VLOOKUP($I1250,'Price List, Weapons &amp; Items'!B:J,3,0))</f>
        <v>Humanitarian</v>
      </c>
      <c r="AP1250" s="1195" t="str">
        <f t="shared" ca="1" si="260"/>
        <v>ton of medical equipment</v>
      </c>
      <c r="AQ1250" s="1194">
        <f>VLOOKUP($I1250,'Price List, Weapons &amp; Items'!B:L,COLUMN('Price List, Weapons &amp; Items'!$L$11)-1,0)</f>
        <v>0</v>
      </c>
      <c r="AR1250" s="1194">
        <f t="shared" si="267"/>
        <v>1</v>
      </c>
      <c r="AS1250" s="1194">
        <f t="shared" si="268"/>
        <v>0</v>
      </c>
      <c r="AT1250" s="1194" t="str">
        <f t="shared" si="269"/>
        <v>Value is not in date format</v>
      </c>
      <c r="AU1250" s="1194" t="str">
        <f t="shared" si="272"/>
        <v>.</v>
      </c>
      <c r="AV1250" s="1194" t="str">
        <f t="shared" si="261"/>
        <v>.</v>
      </c>
      <c r="AW1250" s="1194" t="str">
        <f t="shared" si="271"/>
        <v>.</v>
      </c>
      <c r="AX1250" s="1194">
        <f>IFERROR(VLOOKUP(B1250,'Share, Heavy Weapons to Ukraine'!B:Z,COLUMN('Share, Heavy Weapons to Ukraine'!C1262)-1,0),0)</f>
        <v>0</v>
      </c>
      <c r="AY1250" s="1194">
        <f>VLOOKUP('Bilateral Assistance, MAIN DATA'!B1250,'Country Summary (€)'!B:F,COLUMN('Country Summary (€)'!C1263)-1,FALSE)</f>
        <v>1</v>
      </c>
      <c r="AZ1250" s="1194" t="str">
        <f>IF(AND(AD1250=1,D1250="Military",H1250&lt;&gt;"Not given")=TRUE,IF(SUMIFS(P:P,A:A,A1250)&gt;0,ABS((SUMIFS(P:P,A:A,A1250)/VLOOKUP("USD",'Exchange Rates'!B:C,2,0)))/S1250,"."),".")</f>
        <v>.</v>
      </c>
      <c r="BA1250" s="1196" t="str">
        <f>IF(AND(AD1250=1,D1250="Military",H1250&lt;&gt;"Not given")=TRUE,IF(SUMIFS(P:P,A:A,A1250)&gt;0,IF((ABS((SUMIFS(P:P,A:A,A1250)/VLOOKUP("USD",'Exchange Rates'!B:C,2,0)))/S1250)&gt;1,(SUMIFS(P:P,A:A,A1250)-S1250)/S1250,(S1250-SUMIFS(P:P,A:A,A1250))/SUMIFS(P:P,A:A,A1250)),"."),".")</f>
        <v>.</v>
      </c>
    </row>
    <row r="1251" spans="1:53" s="1194" customFormat="1" ht="15.95" customHeight="1">
      <c r="A1251" s="1180" t="s">
        <v>3433</v>
      </c>
      <c r="B1251" s="1290" t="s">
        <v>3412</v>
      </c>
      <c r="C1251" s="1181">
        <v>44659</v>
      </c>
      <c r="D1251" s="1182" t="s">
        <v>360</v>
      </c>
      <c r="E1251" s="1182" t="s">
        <v>620</v>
      </c>
      <c r="F1251" s="1183" t="s">
        <v>3434</v>
      </c>
      <c r="G1251" s="1184" t="s">
        <v>456</v>
      </c>
      <c r="H1251" s="1185" t="s">
        <v>457</v>
      </c>
      <c r="I1251" s="1180" t="s">
        <v>986</v>
      </c>
      <c r="J1251" s="1186" t="str">
        <f>VLOOKUP($I1251,'Price List, Weapons &amp; Items'!B:C,2,0)</f>
        <v>Humanitarian</v>
      </c>
      <c r="K1251" s="1186" t="str">
        <f>IF(I1251=".",I1251,VLOOKUP($I1251,'Price List, Weapons &amp; Items'!B:D,3,0))</f>
        <v>Humanitarian</v>
      </c>
      <c r="L1251" s="1187">
        <f>VLOOKUP(I1251,'Price List, Weapons &amp; Items'!B:E,4,0)</f>
        <v>0</v>
      </c>
      <c r="M1251" s="1188">
        <v>50</v>
      </c>
      <c r="N1251" s="1188" t="s">
        <v>374</v>
      </c>
      <c r="O1251" s="1188">
        <f>VLOOKUP($I1251,'Price List, Weapons &amp; Items'!B:G,6,0)</f>
        <v>10000</v>
      </c>
      <c r="P1251" s="1185">
        <f t="shared" si="262"/>
        <v>500000</v>
      </c>
      <c r="Q1251" s="1185" t="str">
        <f t="shared" si="263"/>
        <v>.</v>
      </c>
      <c r="R1251" s="1185">
        <f t="shared" si="259"/>
        <v>500000</v>
      </c>
      <c r="S1251" s="1185">
        <f>IF(AND(AD1251=1,R1251&lt;&gt;".")=TRUE,R1251/VLOOKUP(G1251,'Exchange Rates'!B:C,2,0),IF(R1251=".",".",""))</f>
        <v>460066.24953993375</v>
      </c>
      <c r="T1251" s="1185" t="str">
        <f>IF(AD1251=1,IF(AF1251="Value is not given at all",".",IF(AF1251="Value is given by the source",S1251,IF(AF1251="Value is calculated with prices",(IF(SUMIFS(Q:Q,A:A,A1251)&gt;0,SUMIFS(Q:Q,A:A,A1251),"."))/VLOOKUP("USD",'Exchange Rates'!B:C,2,0),"Error with coding"))),"")</f>
        <v>.</v>
      </c>
      <c r="U1251" s="1184" t="s">
        <v>365</v>
      </c>
      <c r="V1251" s="971" t="s">
        <v>3431</v>
      </c>
      <c r="W1251" s="971" t="s">
        <v>3432</v>
      </c>
      <c r="X1251" s="971" t="s">
        <v>3431</v>
      </c>
      <c r="Y1251" s="1190" t="s">
        <v>364</v>
      </c>
      <c r="Z1251" s="978">
        <v>0</v>
      </c>
      <c r="AA1251" s="1194">
        <v>0</v>
      </c>
      <c r="AB1251" s="1201" t="s">
        <v>364</v>
      </c>
      <c r="AC1251" s="1192" t="str">
        <f>""</f>
        <v/>
      </c>
      <c r="AD1251" s="985">
        <v>1</v>
      </c>
      <c r="AE1251" s="985" t="s">
        <v>436</v>
      </c>
      <c r="AF1251" s="985" t="s">
        <v>369</v>
      </c>
      <c r="AG1251" s="985">
        <v>1</v>
      </c>
      <c r="AH1251" s="1193">
        <v>4</v>
      </c>
      <c r="AI1251" s="1193">
        <v>0</v>
      </c>
      <c r="AJ1251" s="1193">
        <f>VLOOKUP($I1251,'Price List, Weapons &amp; Items'!B:F,5,0)</f>
        <v>0</v>
      </c>
      <c r="AK1251" s="1193">
        <f t="shared" si="264"/>
        <v>0</v>
      </c>
      <c r="AL1251" s="1193">
        <f t="shared" si="265"/>
        <v>0</v>
      </c>
      <c r="AM1251" s="1193">
        <f t="shared" si="266"/>
        <v>0</v>
      </c>
      <c r="AN1251" s="1194" t="str">
        <f>VLOOKUP($I1251,'Price List, Weapons &amp; Items'!B:L,COLUMN('Price List, Weapons &amp; Items'!$J$11)-1,0)</f>
        <v>Miscellaneous</v>
      </c>
      <c r="AO1251" s="1194" t="str">
        <f>IF(I1251=".",".",VLOOKUP($I1251,'Price List, Weapons &amp; Items'!B:J,3,0))</f>
        <v>Humanitarian</v>
      </c>
      <c r="AP1251" s="1195" t="str">
        <f t="shared" ca="1" si="260"/>
        <v>ton of medical equipment</v>
      </c>
      <c r="AQ1251" s="1194">
        <f>VLOOKUP($I1251,'Price List, Weapons &amp; Items'!B:L,COLUMN('Price List, Weapons &amp; Items'!$L$11)-1,0)</f>
        <v>0</v>
      </c>
      <c r="AR1251" s="1194">
        <f t="shared" si="267"/>
        <v>1</v>
      </c>
      <c r="AS1251" s="1194">
        <f t="shared" si="268"/>
        <v>0</v>
      </c>
      <c r="AT1251" s="1194">
        <f t="shared" si="269"/>
        <v>1</v>
      </c>
      <c r="AU1251" s="1194" t="str">
        <f t="shared" si="272"/>
        <v>.</v>
      </c>
      <c r="AV1251" s="1194" t="str">
        <f t="shared" si="261"/>
        <v>.</v>
      </c>
      <c r="AW1251" s="1194" t="str">
        <f t="shared" si="271"/>
        <v>.</v>
      </c>
      <c r="AX1251" s="1194">
        <f>IFERROR(VLOOKUP(B1251,'Share, Heavy Weapons to Ukraine'!B:Z,COLUMN('Share, Heavy Weapons to Ukraine'!C1263)-1,0),0)</f>
        <v>0</v>
      </c>
      <c r="AY1251" s="1194">
        <f>VLOOKUP('Bilateral Assistance, MAIN DATA'!B1251,'Country Summary (€)'!B:F,COLUMN('Country Summary (€)'!C1264)-1,FALSE)</f>
        <v>1</v>
      </c>
      <c r="AZ1251" s="1194" t="str">
        <f>IF(AND(AD1251=1,D1251="Military",H1251&lt;&gt;"Not given")=TRUE,IF(SUMIFS(P:P,A:A,A1251)&gt;0,ABS((SUMIFS(P:P,A:A,A1251)/VLOOKUP("USD",'Exchange Rates'!B:C,2,0)))/S1251,"."),".")</f>
        <v>.</v>
      </c>
      <c r="BA1251" s="1196" t="str">
        <f>IF(AND(AD1251=1,D1251="Military",H1251&lt;&gt;"Not given")=TRUE,IF(SUMIFS(P:P,A:A,A1251)&gt;0,IF((ABS((SUMIFS(P:P,A:A,A1251)/VLOOKUP("USD",'Exchange Rates'!B:C,2,0)))/S1251)&gt;1,(SUMIFS(P:P,A:A,A1251)-S1251)/S1251,(S1251-SUMIFS(P:P,A:A,A1251))/SUMIFS(P:P,A:A,A1251)),"."),".")</f>
        <v>.</v>
      </c>
    </row>
    <row r="1252" spans="1:53" s="1194" customFormat="1" ht="15.95" customHeight="1">
      <c r="A1252" s="1180" t="s">
        <v>3435</v>
      </c>
      <c r="B1252" s="1290" t="s">
        <v>3412</v>
      </c>
      <c r="C1252" s="1181">
        <v>45044</v>
      </c>
      <c r="D1252" s="1182" t="s">
        <v>360</v>
      </c>
      <c r="E1252" s="1182" t="s">
        <v>371</v>
      </c>
      <c r="F1252" s="1183" t="s">
        <v>3436</v>
      </c>
      <c r="G1252" s="1184" t="s">
        <v>456</v>
      </c>
      <c r="H1252" s="1185" t="s">
        <v>457</v>
      </c>
      <c r="I1252" s="1180" t="s">
        <v>2423</v>
      </c>
      <c r="J1252" s="1186" t="str">
        <f>VLOOKUP($I1252,'Price List, Weapons &amp; Items'!B:C,2,0)</f>
        <v>Humanitarian</v>
      </c>
      <c r="K1252" s="1186" t="str">
        <f>IF(I1252=".",I1252,VLOOKUP($I1252,'Price List, Weapons &amp; Items'!B:D,3,0))</f>
        <v>Humanitarian</v>
      </c>
      <c r="L1252" s="1187">
        <f>VLOOKUP(I1252,'Price List, Weapons &amp; Items'!B:E,4,0)</f>
        <v>0</v>
      </c>
      <c r="M1252" s="1188">
        <v>32</v>
      </c>
      <c r="N1252" s="1188" t="s">
        <v>374</v>
      </c>
      <c r="O1252" s="1188">
        <f>VLOOKUP($I1252,'Price List, Weapons &amp; Items'!B:G,6,0)</f>
        <v>136936.79999999999</v>
      </c>
      <c r="P1252" s="1185">
        <f t="shared" si="262"/>
        <v>4381977.5999999996</v>
      </c>
      <c r="Q1252" s="1185" t="str">
        <f t="shared" si="263"/>
        <v>.</v>
      </c>
      <c r="R1252" s="1185">
        <f t="shared" si="259"/>
        <v>4381977.5999999996</v>
      </c>
      <c r="S1252" s="1185">
        <f>IF(AND(AD1252=1,R1252&lt;&gt;".")=TRUE,R1252/VLOOKUP(G1252,'Exchange Rates'!B:C,2,0),IF(R1252=".",".",""))</f>
        <v>4031999.9999999995</v>
      </c>
      <c r="T1252" s="1185" t="str">
        <f>IF(AD1252=1,IF(AF1252="Value is not given at all",".",IF(AF1252="Value is given by the source",S1252,IF(AF1252="Value is calculated with prices",(IF(SUMIFS(Q:Q,A:A,A1252)&gt;0,SUMIFS(Q:Q,A:A,A1252),"."))/VLOOKUP("USD",'Exchange Rates'!B:C,2,0),"Error with coding"))),"")</f>
        <v>.</v>
      </c>
      <c r="U1252" s="1184" t="s">
        <v>365</v>
      </c>
      <c r="V1252" s="973" t="s">
        <v>3437</v>
      </c>
      <c r="W1252" s="966" t="s">
        <v>3438</v>
      </c>
      <c r="X1252" s="966" t="s">
        <v>3439</v>
      </c>
      <c r="Y1252" s="1190" t="s">
        <v>364</v>
      </c>
      <c r="Z1252" s="978">
        <v>0</v>
      </c>
      <c r="AA1252" s="1191">
        <v>1</v>
      </c>
      <c r="AB1252" s="1201" t="s">
        <v>364</v>
      </c>
      <c r="AC1252" s="1192" t="str">
        <f>""</f>
        <v/>
      </c>
      <c r="AD1252" s="985">
        <v>1</v>
      </c>
      <c r="AE1252" s="985" t="s">
        <v>436</v>
      </c>
      <c r="AF1252" s="985" t="s">
        <v>369</v>
      </c>
      <c r="AG1252" s="985">
        <v>1</v>
      </c>
      <c r="AH1252" s="1193">
        <v>16</v>
      </c>
      <c r="AI1252" s="1193">
        <v>0</v>
      </c>
      <c r="AJ1252" s="1193">
        <f>VLOOKUP($I1252,'Price List, Weapons &amp; Items'!B:F,5,0)</f>
        <v>0</v>
      </c>
      <c r="AK1252" s="1193">
        <f t="shared" si="264"/>
        <v>0</v>
      </c>
      <c r="AL1252" s="1193">
        <f t="shared" si="265"/>
        <v>0</v>
      </c>
      <c r="AM1252" s="1193">
        <f t="shared" si="266"/>
        <v>0</v>
      </c>
      <c r="AN1252" s="1194" t="str">
        <f>VLOOKUP($I1252,'Price List, Weapons &amp; Items'!B:L,COLUMN('Price List, Weapons &amp; Items'!$J$11)-1,0)</f>
        <v>Manufacturer price</v>
      </c>
      <c r="AO1252" s="1194" t="str">
        <f>IF(I1252=".",".",VLOOKUP($I1252,'Price List, Weapons &amp; Items'!B:J,3,0))</f>
        <v>Humanitarian</v>
      </c>
      <c r="AP1252" s="1195" t="str">
        <f t="shared" ca="1" si="260"/>
        <v>public transport bus</v>
      </c>
      <c r="AQ1252" s="1194">
        <f>VLOOKUP($I1252,'Price List, Weapons &amp; Items'!B:L,COLUMN('Price List, Weapons &amp; Items'!$L$11)-1,0)</f>
        <v>0</v>
      </c>
      <c r="AR1252" s="1194">
        <f t="shared" si="267"/>
        <v>1</v>
      </c>
      <c r="AS1252" s="1194">
        <f t="shared" si="268"/>
        <v>0</v>
      </c>
      <c r="AT1252" s="1194">
        <f t="shared" si="269"/>
        <v>1</v>
      </c>
      <c r="AU1252" s="1194" t="str">
        <f t="shared" si="272"/>
        <v>.</v>
      </c>
      <c r="AV1252" s="1194" t="str">
        <f t="shared" si="261"/>
        <v>.</v>
      </c>
      <c r="AW1252" s="1194" t="str">
        <f t="shared" si="271"/>
        <v>.</v>
      </c>
      <c r="AX1252" s="1194">
        <f>IFERROR(VLOOKUP(B1252,'Share, Heavy Weapons to Ukraine'!B:Z,COLUMN('Share, Heavy Weapons to Ukraine'!C1264)-1,0),0)</f>
        <v>0</v>
      </c>
      <c r="AY1252" s="1194">
        <f>VLOOKUP('Bilateral Assistance, MAIN DATA'!B1252,'Country Summary (€)'!B:F,COLUMN('Country Summary (€)'!C1265)-1,FALSE)</f>
        <v>1</v>
      </c>
      <c r="AZ1252" s="1194" t="str">
        <f>IF(AND(AD1252=1,D1252="Military",H1252&lt;&gt;"Not given")=TRUE,IF(SUMIFS(P:P,A:A,A1252)&gt;0,ABS((SUMIFS(P:P,A:A,A1252)/VLOOKUP("USD",'Exchange Rates'!B:C,2,0)))/S1252,"."),".")</f>
        <v>.</v>
      </c>
      <c r="BA1252" s="1196" t="str">
        <f>IF(AND(AD1252=1,D1252="Military",H1252&lt;&gt;"Not given")=TRUE,IF(SUMIFS(P:P,A:A,A1252)&gt;0,IF((ABS((SUMIFS(P:P,A:A,A1252)/VLOOKUP("USD",'Exchange Rates'!B:C,2,0)))/S1252)&gt;1,(SUMIFS(P:P,A:A,A1252)-S1252)/S1252,(S1252-SUMIFS(P:P,A:A,A1252))/SUMIFS(P:P,A:A,A1252)),"."),".")</f>
        <v>.</v>
      </c>
    </row>
    <row r="1253" spans="1:53" ht="15.95" customHeight="1">
      <c r="A1253" s="1182" t="s">
        <v>3440</v>
      </c>
      <c r="B1253" s="1182" t="s">
        <v>3412</v>
      </c>
      <c r="C1253" s="1181">
        <v>44622</v>
      </c>
      <c r="D1253" s="1182" t="s">
        <v>389</v>
      </c>
      <c r="E1253" s="1182" t="s">
        <v>443</v>
      </c>
      <c r="F1253" s="1183" t="s">
        <v>3441</v>
      </c>
      <c r="G1253" s="1184" t="s">
        <v>456</v>
      </c>
      <c r="H1253" s="1185" t="s">
        <v>457</v>
      </c>
      <c r="I1253" s="1180" t="s">
        <v>3442</v>
      </c>
      <c r="J1253" s="1186" t="str">
        <f>VLOOKUP($I1253,'Price List, Weapons &amp; Items'!B:C,2,0)</f>
        <v>Portable defence system</v>
      </c>
      <c r="K1253" s="1186" t="str">
        <f>IF(I1253=".",I1253,VLOOKUP($I1253,'Price List, Weapons &amp; Items'!B:D,3,0))</f>
        <v>Grenade launcher</v>
      </c>
      <c r="L1253" s="1187">
        <f>VLOOKUP(I1253,'Price List, Weapons &amp; Items'!B:E,4,0)</f>
        <v>0</v>
      </c>
      <c r="M1253" s="1188">
        <v>1370</v>
      </c>
      <c r="N1253" s="1188">
        <v>1370</v>
      </c>
      <c r="O1253" s="1188">
        <f>VLOOKUP($I1253,'Price List, Weapons &amp; Items'!B:G,6,0)</f>
        <v>20000</v>
      </c>
      <c r="P1253" s="1185">
        <f t="shared" si="262"/>
        <v>27400000</v>
      </c>
      <c r="Q1253" s="1185">
        <f t="shared" si="263"/>
        <v>27400000</v>
      </c>
      <c r="R1253" s="1185">
        <f t="shared" si="259"/>
        <v>27995000</v>
      </c>
      <c r="S1253" s="1185">
        <f>IF(AND(AD1253=1,R1253&lt;&gt;".")=TRUE,R1253/VLOOKUP(G1253,'Exchange Rates'!B:C,2,0),IF(R1253=".",".",""))</f>
        <v>25759109.31174089</v>
      </c>
      <c r="T1253" s="1185">
        <f>IF(AD1253=1,IF(AF1253="Value is not given at all",".",IF(AF1253="Value is given by the source",S1253,IF(AF1253="Value is calculated with prices",(IF(SUMIFS(Q:Q,A:A,A1253)&gt;0,SUMIFS(Q:Q,A:A,A1253),"."))/VLOOKUP("USD",'Exchange Rates'!B:C,2,0),"Error with coding"))),"")</f>
        <v>25759109.31174089</v>
      </c>
      <c r="U1253" s="1184" t="s">
        <v>365</v>
      </c>
      <c r="V1253" s="974" t="s">
        <v>3443</v>
      </c>
      <c r="W1253" s="974" t="s">
        <v>3444</v>
      </c>
      <c r="X1253" s="1183" t="s">
        <v>364</v>
      </c>
      <c r="Y1253" s="1183" t="s">
        <v>364</v>
      </c>
      <c r="Z1253" s="1184">
        <v>0</v>
      </c>
      <c r="AA1253" s="1194">
        <v>0</v>
      </c>
      <c r="AB1253" s="975" t="s">
        <v>3445</v>
      </c>
      <c r="AC1253" s="1192" t="str">
        <f>""</f>
        <v/>
      </c>
      <c r="AD1253" s="1193">
        <v>1</v>
      </c>
      <c r="AE1253" s="1193" t="s">
        <v>436</v>
      </c>
      <c r="AF1253" s="1193" t="s">
        <v>436</v>
      </c>
      <c r="AG1253" s="1193">
        <v>1</v>
      </c>
      <c r="AH1253" s="1193">
        <v>3</v>
      </c>
      <c r="AI1253" s="1193">
        <v>0</v>
      </c>
      <c r="AJ1253" s="1193">
        <f>VLOOKUP($I1253,'Price List, Weapons &amp; Items'!B:F,5,0)</f>
        <v>0</v>
      </c>
      <c r="AK1253" s="1193">
        <f t="shared" si="264"/>
        <v>0</v>
      </c>
      <c r="AL1253" s="1193">
        <f t="shared" si="265"/>
        <v>0</v>
      </c>
      <c r="AM1253" s="1193">
        <f t="shared" si="266"/>
        <v>0</v>
      </c>
      <c r="AN1253" s="1194" t="str">
        <f>VLOOKUP($I1253,'Price List, Weapons &amp; Items'!B:L,COLUMN('Price List, Weapons &amp; Items'!$J$11)-1,0)</f>
        <v>Miscellaneous</v>
      </c>
      <c r="AO1253" s="1194" t="str">
        <f>IF(I1253=".",".",VLOOKUP($I1253,'Price List, Weapons &amp; Items'!B:J,3,0))</f>
        <v>Grenade launcher</v>
      </c>
      <c r="AP1253" s="1195" t="str">
        <f t="shared" ca="1" si="260"/>
        <v>SB-40 LAG</v>
      </c>
      <c r="AQ1253" s="1194">
        <f>VLOOKUP($I1253,'Price List, Weapons &amp; Items'!B:L,COLUMN('Price List, Weapons &amp; Items'!$L$11)-1,0)</f>
        <v>2</v>
      </c>
      <c r="AR1253" s="1194">
        <f t="shared" si="267"/>
        <v>1</v>
      </c>
      <c r="AS1253" s="1194">
        <f t="shared" si="268"/>
        <v>1</v>
      </c>
      <c r="AT1253" s="1194">
        <f t="shared" si="269"/>
        <v>1</v>
      </c>
      <c r="AU1253" s="1194" t="str">
        <f t="shared" si="272"/>
        <v>.</v>
      </c>
      <c r="AV1253" s="1194" t="str">
        <f t="shared" si="261"/>
        <v>.</v>
      </c>
      <c r="AW1253" s="1194" t="str">
        <f t="shared" si="271"/>
        <v>.</v>
      </c>
      <c r="AX1253" s="1194">
        <f>IFERROR(VLOOKUP(B1253,'Share, Heavy Weapons to Ukraine'!B:Z,COLUMN('Share, Heavy Weapons to Ukraine'!C1265)-1,0),0)</f>
        <v>0</v>
      </c>
      <c r="AY1253" s="1194">
        <f>VLOOKUP('Bilateral Assistance, MAIN DATA'!B1253,'Country Summary (€)'!B:F,COLUMN('Country Summary (€)'!C1266)-1,FALSE)</f>
        <v>1</v>
      </c>
      <c r="AZ1253" s="1194" t="str">
        <f>IF(AND(AD1253=1,D1253="Military",H1253&lt;&gt;"Not given")=TRUE,IF(SUMIFS(P:P,A:A,A1253)&gt;0,ABS((SUMIFS(P:P,A:A,A1253)/VLOOKUP("USD",'Exchange Rates'!B:C,2,0)))/S1253,"."),".")</f>
        <v>.</v>
      </c>
      <c r="BA1253" s="1196" t="str">
        <f>IF(AND(AD1253=1,D1253="Military",H1253&lt;&gt;"Not given")=TRUE,IF(SUMIFS(P:P,A:A,A1253)&gt;0,IF((ABS((SUMIFS(P:P,A:A,A1253)/VLOOKUP("USD",'Exchange Rates'!B:C,2,0)))/S1253)&gt;1,(SUMIFS(P:P,A:A,A1253)-S1253)/S1253,(S1253-SUMIFS(P:P,A:A,A1253))/SUMIFS(P:P,A:A,A1253)),"."),".")</f>
        <v>.</v>
      </c>
    </row>
    <row r="1254" spans="1:53" ht="15.95" customHeight="1">
      <c r="A1254" s="1182" t="s">
        <v>3440</v>
      </c>
      <c r="B1254" s="1182" t="s">
        <v>3412</v>
      </c>
      <c r="C1254" s="1181">
        <v>44622</v>
      </c>
      <c r="D1254" s="1182" t="s">
        <v>389</v>
      </c>
      <c r="E1254" s="1182" t="s">
        <v>443</v>
      </c>
      <c r="F1254" s="1183" t="s">
        <v>3441</v>
      </c>
      <c r="G1254" s="1184" t="s">
        <v>456</v>
      </c>
      <c r="H1254" s="1185" t="s">
        <v>457</v>
      </c>
      <c r="I1254" s="1180" t="s">
        <v>3446</v>
      </c>
      <c r="J1254" s="1186" t="str">
        <f>VLOOKUP($I1254,'Price List, Weapons &amp; Items'!B:C,2,0)</f>
        <v>Ammunition for light infantry</v>
      </c>
      <c r="K1254" s="1186" t="str">
        <f>IF(I1254=".",I1254,VLOOKUP($I1254,'Price List, Weapons &amp; Items'!B:D,3,0))</f>
        <v>Small Arms and Light Weapons (SALW) ammunition</v>
      </c>
      <c r="L1254" s="1187">
        <f>VLOOKUP(I1254,'Price List, Weapons &amp; Items'!B:E,4,0)</f>
        <v>0</v>
      </c>
      <c r="M1254" s="1188">
        <v>700000</v>
      </c>
      <c r="N1254" s="1188">
        <v>700000</v>
      </c>
      <c r="O1254" s="1188">
        <f>VLOOKUP($I1254,'Price List, Weapons &amp; Items'!B:G,6,0)</f>
        <v>0.85</v>
      </c>
      <c r="P1254" s="1185">
        <f t="shared" si="262"/>
        <v>595000</v>
      </c>
      <c r="Q1254" s="1185">
        <f t="shared" si="263"/>
        <v>595000</v>
      </c>
      <c r="R1254" s="1185" t="str">
        <f t="shared" si="259"/>
        <v/>
      </c>
      <c r="S1254" s="1185" t="str">
        <f>IF(AND(AD1254=1,R1254&lt;&gt;".")=TRUE,R1254/VLOOKUP(G1254,'Exchange Rates'!B:C,2,0),IF(R1254=".",".",""))</f>
        <v/>
      </c>
      <c r="T1254" s="1185" t="str">
        <f>IF(AD1254=1,IF(AF1254="Value is not given at all",".",IF(AF1254="Value is given by the source",S1254,IF(AF1254="Value is calculated with prices",(IF(SUMIFS(Q:Q,A:A,A1254)&gt;0,SUMIFS(Q:Q,A:A,A1254),"."))/VLOOKUP("USD",'Exchange Rates'!B:C,2,0),"Error with coding"))),"")</f>
        <v/>
      </c>
      <c r="U1254" s="1184" t="s">
        <v>365</v>
      </c>
      <c r="V1254" s="974" t="s">
        <v>3443</v>
      </c>
      <c r="W1254" s="974" t="s">
        <v>3444</v>
      </c>
      <c r="X1254" s="1183" t="s">
        <v>364</v>
      </c>
      <c r="Y1254" s="1183" t="s">
        <v>364</v>
      </c>
      <c r="Z1254" s="1184">
        <v>0</v>
      </c>
      <c r="AA1254" s="1194">
        <v>0</v>
      </c>
      <c r="AB1254" s="975" t="s">
        <v>3445</v>
      </c>
      <c r="AC1254" s="1192" t="str">
        <f>""</f>
        <v/>
      </c>
      <c r="AD1254" s="1193">
        <v>0</v>
      </c>
      <c r="AE1254" s="1193" t="s">
        <v>436</v>
      </c>
      <c r="AF1254" s="1193" t="s">
        <v>436</v>
      </c>
      <c r="AG1254" s="1193">
        <v>1</v>
      </c>
      <c r="AH1254" s="1193">
        <v>3</v>
      </c>
      <c r="AI1254" s="1193">
        <v>0</v>
      </c>
      <c r="AJ1254" s="1193">
        <f>VLOOKUP($I1254,'Price List, Weapons &amp; Items'!B:F,5,0)</f>
        <v>0</v>
      </c>
      <c r="AK1254" s="1193">
        <f t="shared" si="264"/>
        <v>0</v>
      </c>
      <c r="AL1254" s="1193">
        <f t="shared" si="265"/>
        <v>0</v>
      </c>
      <c r="AM1254" s="1193">
        <f t="shared" si="266"/>
        <v>0</v>
      </c>
      <c r="AN1254" s="1194" t="str">
        <f>VLOOKUP($I1254,'Price List, Weapons &amp; Items'!B:L,COLUMN('Price List, Weapons &amp; Items'!$J$11)-1,0)</f>
        <v>Online marketplaces and stores</v>
      </c>
      <c r="AO1254" s="1194" t="str">
        <f>IF(I1254=".",".",VLOOKUP($I1254,'Price List, Weapons &amp; Items'!B:J,3,0))</f>
        <v>Small Arms and Light Weapons (SALW) ammunition</v>
      </c>
      <c r="AP1254" s="1195" t="str">
        <f t="shared" ca="1" si="260"/>
        <v/>
      </c>
      <c r="AQ1254" s="1194">
        <f>VLOOKUP($I1254,'Price List, Weapons &amp; Items'!B:L,COLUMN('Price List, Weapons &amp; Items'!$L$11)-1,0)</f>
        <v>1</v>
      </c>
      <c r="AR1254" s="1194">
        <f t="shared" si="267"/>
        <v>1</v>
      </c>
      <c r="AS1254" s="1194">
        <f t="shared" si="268"/>
        <v>1</v>
      </c>
      <c r="AT1254" s="1194">
        <f t="shared" si="269"/>
        <v>1</v>
      </c>
      <c r="AU1254" s="1194" t="str">
        <f t="shared" si="272"/>
        <v>.</v>
      </c>
      <c r="AV1254" s="1194" t="str">
        <f t="shared" si="261"/>
        <v>.</v>
      </c>
      <c r="AW1254" s="1194" t="str">
        <f t="shared" si="271"/>
        <v>.</v>
      </c>
      <c r="AX1254" s="1194">
        <f>IFERROR(VLOOKUP(B1254,'Share, Heavy Weapons to Ukraine'!B:Z,COLUMN('Share, Heavy Weapons to Ukraine'!C1266)-1,0),0)</f>
        <v>0</v>
      </c>
      <c r="AY1254" s="1194">
        <f>VLOOKUP('Bilateral Assistance, MAIN DATA'!B1254,'Country Summary (€)'!B:F,COLUMN('Country Summary (€)'!C1267)-1,FALSE)</f>
        <v>1</v>
      </c>
      <c r="AZ1254" s="1194" t="str">
        <f>IF(AND(AD1254=1,D1254="Military",H1254&lt;&gt;"Not given")=TRUE,IF(SUMIFS(P:P,A:A,A1254)&gt;0,ABS((SUMIFS(P:P,A:A,A1254)/VLOOKUP("USD",'Exchange Rates'!B:C,2,0)))/S1254,"."),".")</f>
        <v>.</v>
      </c>
      <c r="BA1254" s="1196" t="str">
        <f>IF(AND(AD1254=1,D1254="Military",H1254&lt;&gt;"Not given")=TRUE,IF(SUMIFS(P:P,A:A,A1254)&gt;0,IF((ABS((SUMIFS(P:P,A:A,A1254)/VLOOKUP("USD",'Exchange Rates'!B:C,2,0)))/S1254)&gt;1,(SUMIFS(P:P,A:A,A1254)-S1254)/S1254,(S1254-SUMIFS(P:P,A:A,A1254))/SUMIFS(P:P,A:A,A1254)),"."),".")</f>
        <v>.</v>
      </c>
    </row>
    <row r="1255" spans="1:53" ht="15.95" customHeight="1">
      <c r="A1255" s="1182" t="s">
        <v>3440</v>
      </c>
      <c r="B1255" s="1182" t="s">
        <v>3412</v>
      </c>
      <c r="C1255" s="1181">
        <v>44622</v>
      </c>
      <c r="D1255" s="1182" t="s">
        <v>389</v>
      </c>
      <c r="E1255" s="1182" t="s">
        <v>443</v>
      </c>
      <c r="F1255" s="1183" t="s">
        <v>3441</v>
      </c>
      <c r="G1255" s="1184" t="s">
        <v>456</v>
      </c>
      <c r="H1255" s="1185" t="s">
        <v>457</v>
      </c>
      <c r="I1255" s="1180" t="s">
        <v>3447</v>
      </c>
      <c r="J1255" s="1186" t="str">
        <f>VLOOKUP($I1255,'Price List, Weapons &amp; Items'!B:C,2,0)</f>
        <v>Light armaments &amp; infantry</v>
      </c>
      <c r="K1255" s="1186" t="str">
        <f>IF(I1255=".",I1255,VLOOKUP($I1255,'Price List, Weapons &amp; Items'!B:D,3,0))</f>
        <v>Small Arms and Light Weapons (SALW)</v>
      </c>
      <c r="L1255" s="1187">
        <f>VLOOKUP(I1255,'Price List, Weapons &amp; Items'!B:E,4,0)</f>
        <v>0</v>
      </c>
      <c r="M1255" s="1188" t="s">
        <v>374</v>
      </c>
      <c r="N1255" s="1188" t="s">
        <v>374</v>
      </c>
      <c r="O1255" s="1188">
        <f>VLOOKUP($I1255,'Price List, Weapons &amp; Items'!B:G,6,0)</f>
        <v>5300</v>
      </c>
      <c r="P1255" s="1185" t="str">
        <f t="shared" si="262"/>
        <v>.</v>
      </c>
      <c r="Q1255" s="1185" t="str">
        <f t="shared" si="263"/>
        <v>.</v>
      </c>
      <c r="R1255" s="1185" t="str">
        <f t="shared" si="259"/>
        <v/>
      </c>
      <c r="S1255" s="1185" t="str">
        <f>IF(AND(AD1255=1,R1255&lt;&gt;".")=TRUE,R1255/VLOOKUP(G1255,'Exchange Rates'!B:C,2,0),IF(R1255=".",".",""))</f>
        <v/>
      </c>
      <c r="T1255" s="1185" t="str">
        <f>IF(AD1255=1,IF(AF1255="Value is not given at all",".",IF(AF1255="Value is given by the source",S1255,IF(AF1255="Value is calculated with prices",(IF(SUMIFS(Q:Q,A:A,A1255)&gt;0,SUMIFS(Q:Q,A:A,A1255),"."))/VLOOKUP("USD",'Exchange Rates'!B:C,2,0),"Error with coding"))),"")</f>
        <v/>
      </c>
      <c r="U1255" s="1184" t="s">
        <v>365</v>
      </c>
      <c r="V1255" s="974" t="s">
        <v>3443</v>
      </c>
      <c r="W1255" s="974" t="s">
        <v>3444</v>
      </c>
      <c r="X1255" s="1183" t="s">
        <v>364</v>
      </c>
      <c r="Y1255" s="1183" t="s">
        <v>364</v>
      </c>
      <c r="Z1255" s="1184">
        <v>0</v>
      </c>
      <c r="AA1255" s="1194">
        <v>0</v>
      </c>
      <c r="AB1255" s="975" t="s">
        <v>3445</v>
      </c>
      <c r="AC1255" s="1192" t="str">
        <f>""</f>
        <v/>
      </c>
      <c r="AD1255" s="1193">
        <v>0</v>
      </c>
      <c r="AE1255" s="1193" t="s">
        <v>436</v>
      </c>
      <c r="AF1255" s="1193" t="s">
        <v>436</v>
      </c>
      <c r="AG1255" s="1193">
        <v>1</v>
      </c>
      <c r="AH1255" s="1193">
        <v>3</v>
      </c>
      <c r="AI1255" s="1193">
        <v>0</v>
      </c>
      <c r="AJ1255" s="1193">
        <f>VLOOKUP($I1255,'Price List, Weapons &amp; Items'!B:F,5,0)</f>
        <v>0</v>
      </c>
      <c r="AK1255" s="1193">
        <f t="shared" si="264"/>
        <v>0</v>
      </c>
      <c r="AL1255" s="1193">
        <f t="shared" si="265"/>
        <v>0</v>
      </c>
      <c r="AM1255" s="1193">
        <f t="shared" si="266"/>
        <v>0</v>
      </c>
      <c r="AN1255" s="1194" t="str">
        <f>VLOOKUP($I1255,'Price List, Weapons &amp; Items'!B:L,COLUMN('Price List, Weapons &amp; Items'!$J$11)-1,0)</f>
        <v>Miscellaneous</v>
      </c>
      <c r="AO1255" s="1194" t="str">
        <f>IF(I1255=".",".",VLOOKUP($I1255,'Price List, Weapons &amp; Items'!B:J,3,0))</f>
        <v>Small Arms and Light Weapons (SALW)</v>
      </c>
      <c r="AP1255" s="1195" t="str">
        <f t="shared" ca="1" si="260"/>
        <v/>
      </c>
      <c r="AQ1255" s="1194" t="str">
        <f>VLOOKUP($I1255,'Price List, Weapons &amp; Items'!B:L,COLUMN('Price List, Weapons &amp; Items'!$L$11)-1,0)</f>
        <v>no price, 0 count</v>
      </c>
      <c r="AR1255" s="1194">
        <f t="shared" si="267"/>
        <v>1</v>
      </c>
      <c r="AS1255" s="1194">
        <f t="shared" si="268"/>
        <v>1</v>
      </c>
      <c r="AT1255" s="1194">
        <f t="shared" si="269"/>
        <v>1</v>
      </c>
      <c r="AU1255" s="1194" t="str">
        <f t="shared" si="272"/>
        <v>.</v>
      </c>
      <c r="AV1255" s="1194" t="str">
        <f t="shared" si="261"/>
        <v>.</v>
      </c>
      <c r="AW1255" s="1194" t="str">
        <f t="shared" si="271"/>
        <v>.</v>
      </c>
      <c r="AX1255" s="1194">
        <f>IFERROR(VLOOKUP(B1255,'Share, Heavy Weapons to Ukraine'!B:Z,COLUMN('Share, Heavy Weapons to Ukraine'!C1267)-1,0),0)</f>
        <v>0</v>
      </c>
      <c r="AY1255" s="1194">
        <f>VLOOKUP('Bilateral Assistance, MAIN DATA'!B1255,'Country Summary (€)'!B:F,COLUMN('Country Summary (€)'!C1268)-1,FALSE)</f>
        <v>1</v>
      </c>
      <c r="AZ1255" s="1194" t="str">
        <f>IF(AND(AD1255=1,D1255="Military",H1255&lt;&gt;"Not given")=TRUE,IF(SUMIFS(P:P,A:A,A1255)&gt;0,ABS((SUMIFS(P:P,A:A,A1255)/VLOOKUP("USD",'Exchange Rates'!B:C,2,0)))/S1255,"."),".")</f>
        <v>.</v>
      </c>
      <c r="BA1255" s="1196" t="str">
        <f>IF(AND(AD1255=1,D1255="Military",H1255&lt;&gt;"Not given")=TRUE,IF(SUMIFS(P:P,A:A,A1255)&gt;0,IF((ABS((SUMIFS(P:P,A:A,A1255)/VLOOKUP("USD",'Exchange Rates'!B:C,2,0)))/S1255)&gt;1,(SUMIFS(P:P,A:A,A1255)-S1255)/S1255,(S1255-SUMIFS(P:P,A:A,A1255))/SUMIFS(P:P,A:A,A1255)),"."),".")</f>
        <v>.</v>
      </c>
    </row>
    <row r="1256" spans="1:53" ht="15.95" customHeight="1">
      <c r="A1256" s="1180" t="s">
        <v>3448</v>
      </c>
      <c r="B1256" s="1180" t="s">
        <v>3412</v>
      </c>
      <c r="C1256" s="1181">
        <v>44631</v>
      </c>
      <c r="D1256" s="1182" t="s">
        <v>389</v>
      </c>
      <c r="E1256" s="1182" t="s">
        <v>443</v>
      </c>
      <c r="F1256" s="1183" t="s">
        <v>3449</v>
      </c>
      <c r="G1256" s="1184" t="s">
        <v>364</v>
      </c>
      <c r="H1256" s="1185" t="s">
        <v>457</v>
      </c>
      <c r="I1256" s="1180" t="s">
        <v>364</v>
      </c>
      <c r="J1256" s="1186" t="str">
        <f>VLOOKUP($I1256,'Price List, Weapons &amp; Items'!B:C,2,0)</f>
        <v>.</v>
      </c>
      <c r="K1256" s="1186" t="str">
        <f>IF(I1256=".",I1256,VLOOKUP($I1256,'Price List, Weapons &amp; Items'!B:D,3,0))</f>
        <v>.</v>
      </c>
      <c r="L1256" s="1187">
        <f>VLOOKUP(I1256,'Price List, Weapons &amp; Items'!B:E,4,0)</f>
        <v>0</v>
      </c>
      <c r="M1256" s="1188" t="s">
        <v>364</v>
      </c>
      <c r="N1256" s="1188" t="s">
        <v>364</v>
      </c>
      <c r="O1256" s="1188" t="str">
        <f>VLOOKUP($I1256,'Price List, Weapons &amp; Items'!B:G,6,0)</f>
        <v>.</v>
      </c>
      <c r="P1256" s="1185" t="str">
        <f t="shared" si="262"/>
        <v>.</v>
      </c>
      <c r="Q1256" s="1185" t="str">
        <f t="shared" si="263"/>
        <v>.</v>
      </c>
      <c r="R1256" s="1185" t="str">
        <f t="shared" si="259"/>
        <v>.</v>
      </c>
      <c r="S1256" s="1185" t="str">
        <f>IF(AND(AD1256=1,R1256&lt;&gt;".")=TRUE,R1256/VLOOKUP(G1256,'Exchange Rates'!B:C,2,0),IF(R1256=".",".",""))</f>
        <v>.</v>
      </c>
      <c r="T1256" s="1185" t="str">
        <f>IF(AD1256=1,IF(AF1256="Value is not given at all",".",IF(AF1256="Value is given by the source",S1256,IF(AF1256="Value is calculated with prices",(IF(SUMIFS(Q:Q,A:A,A1256)&gt;0,SUMIFS(Q:Q,A:A,A1256),"."))/VLOOKUP("USD",'Exchange Rates'!B:C,2,0),"Error with coding"))),"")</f>
        <v>.</v>
      </c>
      <c r="U1256" s="1184" t="s">
        <v>675</v>
      </c>
      <c r="V1256" s="971" t="s">
        <v>3450</v>
      </c>
      <c r="W1256" s="971" t="s">
        <v>3451</v>
      </c>
      <c r="X1256" s="1190" t="s">
        <v>364</v>
      </c>
      <c r="Y1256" s="1190" t="s">
        <v>364</v>
      </c>
      <c r="Z1256" s="1184">
        <v>0</v>
      </c>
      <c r="AA1256" s="1194">
        <v>0</v>
      </c>
      <c r="AB1256" s="1201" t="s">
        <v>364</v>
      </c>
      <c r="AC1256" s="1192" t="str">
        <f>""</f>
        <v/>
      </c>
      <c r="AD1256" s="985">
        <v>1</v>
      </c>
      <c r="AE1256" s="985" t="s">
        <v>369</v>
      </c>
      <c r="AF1256" s="985" t="s">
        <v>369</v>
      </c>
      <c r="AG1256" s="985">
        <v>1</v>
      </c>
      <c r="AH1256" s="1193">
        <v>3</v>
      </c>
      <c r="AI1256" s="1193">
        <v>0</v>
      </c>
      <c r="AJ1256" s="1193">
        <f>VLOOKUP($I1256,'Price List, Weapons &amp; Items'!B:F,5,0)</f>
        <v>0</v>
      </c>
      <c r="AK1256" s="1193">
        <f t="shared" si="264"/>
        <v>0</v>
      </c>
      <c r="AL1256" s="1193">
        <f t="shared" si="265"/>
        <v>0</v>
      </c>
      <c r="AM1256" s="1193">
        <f t="shared" si="266"/>
        <v>0</v>
      </c>
      <c r="AN1256" s="1194" t="str">
        <f>VLOOKUP($I1256,'Price List, Weapons &amp; Items'!B:L,COLUMN('Price List, Weapons &amp; Items'!$J$11)-1,0)</f>
        <v>.</v>
      </c>
      <c r="AO1256" s="1194" t="str">
        <f>IF(I1256=".",".",VLOOKUP($I1256,'Price List, Weapons &amp; Items'!B:J,3,0))</f>
        <v>.</v>
      </c>
      <c r="AP1256" s="1195" t="str">
        <f t="shared" ca="1" si="260"/>
        <v>.</v>
      </c>
      <c r="AQ1256" s="1194">
        <f>VLOOKUP($I1256,'Price List, Weapons &amp; Items'!B:L,COLUMN('Price List, Weapons &amp; Items'!$L$11)-1,0)</f>
        <v>0</v>
      </c>
      <c r="AR1256" s="1194">
        <f t="shared" si="267"/>
        <v>0</v>
      </c>
      <c r="AS1256" s="1194">
        <f t="shared" si="268"/>
        <v>1</v>
      </c>
      <c r="AT1256" s="1194">
        <f t="shared" si="269"/>
        <v>1</v>
      </c>
      <c r="AU1256" s="1194" t="str">
        <f t="shared" si="272"/>
        <v>.</v>
      </c>
      <c r="AV1256" s="1194" t="str">
        <f t="shared" si="261"/>
        <v>.</v>
      </c>
      <c r="AW1256" s="1194" t="str">
        <f t="shared" si="271"/>
        <v>.</v>
      </c>
      <c r="AX1256" s="1194">
        <f>IFERROR(VLOOKUP(B1256,'Share, Heavy Weapons to Ukraine'!B:Z,COLUMN('Share, Heavy Weapons to Ukraine'!C1268)-1,0),0)</f>
        <v>0</v>
      </c>
      <c r="AY1256" s="1194">
        <f>VLOOKUP('Bilateral Assistance, MAIN DATA'!B1256,'Country Summary (€)'!B:F,COLUMN('Country Summary (€)'!C1269)-1,FALSE)</f>
        <v>1</v>
      </c>
      <c r="AZ1256" s="1194" t="str">
        <f>IF(AND(AD1256=1,D1256="Military",H1256&lt;&gt;"Not given")=TRUE,IF(SUMIFS(P:P,A:A,A1256)&gt;0,ABS((SUMIFS(P:P,A:A,A1256)/VLOOKUP("USD",'Exchange Rates'!B:C,2,0)))/S1256,"."),".")</f>
        <v>.</v>
      </c>
      <c r="BA1256" s="1196" t="str">
        <f>IF(AND(AD1256=1,D1256="Military",H1256&lt;&gt;"Not given")=TRUE,IF(SUMIFS(P:P,A:A,A1256)&gt;0,IF((ABS((SUMIFS(P:P,A:A,A1256)/VLOOKUP("USD",'Exchange Rates'!B:C,2,0)))/S1256)&gt;1,(SUMIFS(P:P,A:A,A1256)-S1256)/S1256,(S1256-SUMIFS(P:P,A:A,A1256))/SUMIFS(P:P,A:A,A1256)),"."),".")</f>
        <v>.</v>
      </c>
    </row>
    <row r="1257" spans="1:53" ht="15.95" customHeight="1">
      <c r="A1257" s="1180" t="s">
        <v>3452</v>
      </c>
      <c r="B1257" s="1180" t="s">
        <v>3412</v>
      </c>
      <c r="C1257" s="1181">
        <v>44649</v>
      </c>
      <c r="D1257" s="1182" t="s">
        <v>389</v>
      </c>
      <c r="E1257" s="1182" t="s">
        <v>398</v>
      </c>
      <c r="F1257" s="1183" t="s">
        <v>3453</v>
      </c>
      <c r="G1257" s="1184" t="s">
        <v>456</v>
      </c>
      <c r="H1257" s="1185" t="s">
        <v>457</v>
      </c>
      <c r="I1257" s="1180" t="s">
        <v>3454</v>
      </c>
      <c r="J1257" s="1186" t="str">
        <f>VLOOKUP($I1257,'Price List, Weapons &amp; Items'!B:C,2,0)</f>
        <v>Humanitarian</v>
      </c>
      <c r="K1257" s="1186" t="str">
        <f>IF(I1257=".",I1257,VLOOKUP($I1257,'Price List, Weapons &amp; Items'!B:D,3,0))</f>
        <v>Humanitarian</v>
      </c>
      <c r="L1257" s="1187">
        <f>VLOOKUP(I1257,'Price List, Weapons &amp; Items'!B:E,4,0)</f>
        <v>0</v>
      </c>
      <c r="M1257" s="1188">
        <v>1</v>
      </c>
      <c r="N1257" s="1188">
        <v>1</v>
      </c>
      <c r="O1257" s="1188">
        <f>VLOOKUP($I1257,'Price List, Weapons &amp; Items'!B:G,6,0)</f>
        <v>644000</v>
      </c>
      <c r="P1257" s="1185">
        <f t="shared" si="262"/>
        <v>644000</v>
      </c>
      <c r="Q1257" s="1185">
        <f t="shared" si="263"/>
        <v>644000</v>
      </c>
      <c r="R1257" s="1185">
        <f t="shared" si="259"/>
        <v>644000</v>
      </c>
      <c r="S1257" s="1185">
        <f>IF(AND(AD1257=1,R1257&lt;&gt;".")=TRUE,R1257/VLOOKUP(G1257,'Exchange Rates'!B:C,2,0),IF(R1257=".",".",""))</f>
        <v>592565.32940743468</v>
      </c>
      <c r="T1257" s="1185">
        <f>IF(AD1257=1,IF(AF1257="Value is not given at all",".",IF(AF1257="Value is given by the source",S1257,IF(AF1257="Value is calculated with prices",(IF(SUMIFS(Q:Q,A:A,A1257)&gt;0,SUMIFS(Q:Q,A:A,A1257),"."))/VLOOKUP("USD",'Exchange Rates'!B:C,2,0),"Error with coding"))),"")</f>
        <v>592565.32940743468</v>
      </c>
      <c r="U1257" s="1184" t="s">
        <v>365</v>
      </c>
      <c r="V1257" s="971" t="s">
        <v>3455</v>
      </c>
      <c r="W1257" s="1190" t="s">
        <v>364</v>
      </c>
      <c r="X1257" s="1190" t="s">
        <v>364</v>
      </c>
      <c r="Y1257" s="1190" t="s">
        <v>364</v>
      </c>
      <c r="Z1257" s="1184">
        <v>0</v>
      </c>
      <c r="AA1257" s="1194">
        <v>0</v>
      </c>
      <c r="AB1257" s="975" t="s">
        <v>3456</v>
      </c>
      <c r="AC1257" s="1192" t="str">
        <f>""</f>
        <v/>
      </c>
      <c r="AD1257" s="985">
        <v>1</v>
      </c>
      <c r="AE1257" s="985" t="s">
        <v>436</v>
      </c>
      <c r="AF1257" s="985" t="s">
        <v>436</v>
      </c>
      <c r="AG1257" s="985">
        <v>1</v>
      </c>
      <c r="AH1257" s="1193">
        <v>3</v>
      </c>
      <c r="AI1257" s="1193">
        <v>0</v>
      </c>
      <c r="AJ1257" s="1193">
        <f>VLOOKUP($I1257,'Price List, Weapons &amp; Items'!B:F,5,0)</f>
        <v>0</v>
      </c>
      <c r="AK1257" s="1193">
        <f t="shared" si="264"/>
        <v>0</v>
      </c>
      <c r="AL1257" s="1193">
        <f t="shared" si="265"/>
        <v>0</v>
      </c>
      <c r="AM1257" s="1193">
        <f t="shared" si="266"/>
        <v>0</v>
      </c>
      <c r="AN1257" s="1194" t="str">
        <f>VLOOKUP($I1257,'Price List, Weapons &amp; Items'!B:L,COLUMN('Price List, Weapons &amp; Items'!$J$11)-1,0)</f>
        <v>Miscellaneous</v>
      </c>
      <c r="AO1257" s="1194" t="str">
        <f>IF(I1257=".",".",VLOOKUP($I1257,'Price List, Weapons &amp; Items'!B:J,3,0))</f>
        <v>Humanitarian</v>
      </c>
      <c r="AP1257" s="1195" t="str">
        <f t="shared" ca="1" si="260"/>
        <v>RG-31 ambulance</v>
      </c>
      <c r="AQ1257" s="1194">
        <f>VLOOKUP($I1257,'Price List, Weapons &amp; Items'!B:L,COLUMN('Price List, Weapons &amp; Items'!$L$11)-1,0)</f>
        <v>0</v>
      </c>
      <c r="AR1257" s="1194">
        <f t="shared" si="267"/>
        <v>1</v>
      </c>
      <c r="AS1257" s="1194">
        <f t="shared" si="268"/>
        <v>1</v>
      </c>
      <c r="AT1257" s="1194">
        <f t="shared" si="269"/>
        <v>1</v>
      </c>
      <c r="AU1257" s="1194" t="str">
        <f t="shared" si="272"/>
        <v>.</v>
      </c>
      <c r="AV1257" s="1194" t="str">
        <f t="shared" si="261"/>
        <v>.</v>
      </c>
      <c r="AW1257" s="1194" t="str">
        <f t="shared" si="271"/>
        <v>.</v>
      </c>
      <c r="AX1257" s="1194">
        <f>IFERROR(VLOOKUP(B1257,'Share, Heavy Weapons to Ukraine'!B:Z,COLUMN('Share, Heavy Weapons to Ukraine'!C1269)-1,0),0)</f>
        <v>0</v>
      </c>
      <c r="AY1257" s="1194">
        <f>VLOOKUP('Bilateral Assistance, MAIN DATA'!B1257,'Country Summary (€)'!B:F,COLUMN('Country Summary (€)'!C1270)-1,FALSE)</f>
        <v>1</v>
      </c>
      <c r="AZ1257" s="1194" t="str">
        <f>IF(AND(AD1257=1,D1257="Military",H1257&lt;&gt;"Not given")=TRUE,IF(SUMIFS(P:P,A:A,A1257)&gt;0,ABS((SUMIFS(P:P,A:A,A1257)/VLOOKUP("USD",'Exchange Rates'!B:C,2,0)))/S1257,"."),".")</f>
        <v>.</v>
      </c>
      <c r="BA1257" s="1196" t="str">
        <f>IF(AND(AD1257=1,D1257="Military",H1257&lt;&gt;"Not given")=TRUE,IF(SUMIFS(P:P,A:A,A1257)&gt;0,IF((ABS((SUMIFS(P:P,A:A,A1257)/VLOOKUP("USD",'Exchange Rates'!B:C,2,0)))/S1257)&gt;1,(SUMIFS(P:P,A:A,A1257)-S1257)/S1257,(S1257-SUMIFS(P:P,A:A,A1257))/SUMIFS(P:P,A:A,A1257)),"."),".")</f>
        <v>.</v>
      </c>
    </row>
    <row r="1258" spans="1:53" ht="15.95" customHeight="1">
      <c r="A1258" s="1182" t="s">
        <v>3457</v>
      </c>
      <c r="B1258" s="1182" t="s">
        <v>3412</v>
      </c>
      <c r="C1258" s="1181">
        <v>44672</v>
      </c>
      <c r="D1258" s="1182" t="s">
        <v>389</v>
      </c>
      <c r="E1258" s="1182" t="s">
        <v>390</v>
      </c>
      <c r="F1258" s="1183" t="s">
        <v>3458</v>
      </c>
      <c r="G1258" s="1184" t="s">
        <v>456</v>
      </c>
      <c r="H1258" s="1185" t="s">
        <v>457</v>
      </c>
      <c r="I1258" s="1180" t="s">
        <v>3459</v>
      </c>
      <c r="J1258" s="1186" t="str">
        <f>VLOOKUP($I1258,'Price List, Weapons &amp; Items'!B:C,2,0)</f>
        <v>Ammunition for light infantry</v>
      </c>
      <c r="K1258" s="1186" t="str">
        <f>IF(I1258=".",I1258,VLOOKUP($I1258,'Price List, Weapons &amp; Items'!B:D,3,0))</f>
        <v>Small Arms and Light Weapons (SALW) ammunition</v>
      </c>
      <c r="L1258" s="1187">
        <f>VLOOKUP(I1258,'Price List, Weapons &amp; Items'!B:E,4,0)</f>
        <v>0</v>
      </c>
      <c r="M1258" s="1188">
        <v>200</v>
      </c>
      <c r="N1258" s="1188">
        <v>200</v>
      </c>
      <c r="O1258" s="1188">
        <f>VLOOKUP($I1258,'Price List, Weapons &amp; Items'!B:G,6,0)</f>
        <v>85000</v>
      </c>
      <c r="P1258" s="1185">
        <f t="shared" si="262"/>
        <v>17000000</v>
      </c>
      <c r="Q1258" s="1185">
        <f t="shared" si="263"/>
        <v>17000000</v>
      </c>
      <c r="R1258" s="1185">
        <f t="shared" si="259"/>
        <v>26234600</v>
      </c>
      <c r="S1258" s="1185">
        <f>IF(AND(AD1258=1,R1258&lt;&gt;".")=TRUE,R1258/VLOOKUP(G1258,'Exchange Rates'!B:C,2,0),IF(R1258=".",".",""))</f>
        <v>24139308.060360692</v>
      </c>
      <c r="T1258" s="1185">
        <f>IF(AD1258=1,IF(AF1258="Value is not given at all",".",IF(AF1258="Value is given by the source",S1258,IF(AF1258="Value is calculated with prices",(IF(SUMIFS(Q:Q,A:A,A1258)&gt;0,SUMIFS(Q:Q,A:A,A1258),"."))/VLOOKUP("USD",'Exchange Rates'!B:C,2,0),"Error with coding"))),"")</f>
        <v>24139308.060360692</v>
      </c>
      <c r="U1258" s="1184" t="s">
        <v>365</v>
      </c>
      <c r="V1258" s="974" t="s">
        <v>3460</v>
      </c>
      <c r="W1258" s="974" t="s">
        <v>3461</v>
      </c>
      <c r="X1258" s="974" t="s">
        <v>3462</v>
      </c>
      <c r="Y1258" s="974" t="s">
        <v>3463</v>
      </c>
      <c r="Z1258" s="1184">
        <v>0</v>
      </c>
      <c r="AA1258" s="1194">
        <v>0</v>
      </c>
      <c r="AB1258" s="977" t="s">
        <v>3464</v>
      </c>
      <c r="AC1258" s="1192" t="str">
        <f>""</f>
        <v/>
      </c>
      <c r="AD1258" s="985">
        <v>1</v>
      </c>
      <c r="AE1258" s="985" t="s">
        <v>436</v>
      </c>
      <c r="AF1258" s="985" t="s">
        <v>436</v>
      </c>
      <c r="AG1258" s="985">
        <v>1</v>
      </c>
      <c r="AH1258" s="985">
        <v>4</v>
      </c>
      <c r="AI1258" s="985">
        <v>0</v>
      </c>
      <c r="AJ1258" s="1193">
        <f>VLOOKUP($I1258,'Price List, Weapons &amp; Items'!B:F,5,0)</f>
        <v>0</v>
      </c>
      <c r="AK1258" s="1193">
        <f t="shared" si="264"/>
        <v>0</v>
      </c>
      <c r="AL1258" s="1193">
        <f t="shared" si="265"/>
        <v>0</v>
      </c>
      <c r="AM1258" s="1193">
        <f t="shared" si="266"/>
        <v>0</v>
      </c>
      <c r="AN1258" s="1194" t="str">
        <f>VLOOKUP($I1258,'Price List, Weapons &amp; Items'!B:L,COLUMN('Price List, Weapons &amp; Items'!$J$11)-1,0)</f>
        <v>Online marketplaces and stores</v>
      </c>
      <c r="AO1258" s="1194" t="str">
        <f>IF(I1258=".",".",VLOOKUP($I1258,'Price List, Weapons &amp; Items'!B:J,3,0))</f>
        <v>Small Arms and Light Weapons (SALW) ammunition</v>
      </c>
      <c r="AP1258" s="1195" t="str">
        <f t="shared" ca="1" si="260"/>
        <v>ton of rifle + MG round</v>
      </c>
      <c r="AQ1258" s="1194">
        <f>VLOOKUP($I1258,'Price List, Weapons &amp; Items'!B:L,COLUMN('Price List, Weapons &amp; Items'!$L$11)-1,0)</f>
        <v>2</v>
      </c>
      <c r="AR1258" s="1194">
        <f t="shared" si="267"/>
        <v>1</v>
      </c>
      <c r="AS1258" s="1194">
        <f t="shared" si="268"/>
        <v>1</v>
      </c>
      <c r="AT1258" s="1194">
        <f t="shared" si="269"/>
        <v>1</v>
      </c>
      <c r="AU1258" s="1194" t="str">
        <f t="shared" si="272"/>
        <v>.</v>
      </c>
      <c r="AV1258" s="1194" t="str">
        <f t="shared" si="261"/>
        <v>.</v>
      </c>
      <c r="AW1258" s="1194" t="str">
        <f t="shared" si="271"/>
        <v>.</v>
      </c>
      <c r="AX1258" s="1194">
        <f>IFERROR(VLOOKUP(B1258,'Share, Heavy Weapons to Ukraine'!B:Z,COLUMN('Share, Heavy Weapons to Ukraine'!C1270)-1,0),0)</f>
        <v>0</v>
      </c>
      <c r="AY1258" s="1194">
        <f>VLOOKUP('Bilateral Assistance, MAIN DATA'!B1258,'Country Summary (€)'!B:F,COLUMN('Country Summary (€)'!C1271)-1,FALSE)</f>
        <v>1</v>
      </c>
      <c r="AZ1258" s="1194" t="str">
        <f>IF(AND(AD1258=1,D1258="Military",H1258&lt;&gt;"Not given")=TRUE,IF(SUMIFS(P:P,A:A,A1258)&gt;0,ABS((SUMIFS(P:P,A:A,A1258)/VLOOKUP("USD",'Exchange Rates'!B:C,2,0)))/S1258,"."),".")</f>
        <v>.</v>
      </c>
      <c r="BA1258" s="1196" t="str">
        <f>IF(AND(AD1258=1,D1258="Military",H1258&lt;&gt;"Not given")=TRUE,IF(SUMIFS(P:P,A:A,A1258)&gt;0,IF((ABS((SUMIFS(P:P,A:A,A1258)/VLOOKUP("USD",'Exchange Rates'!B:C,2,0)))/S1258)&gt;1,(SUMIFS(P:P,A:A,A1258)-S1258)/S1258,(S1258-SUMIFS(P:P,A:A,A1258))/SUMIFS(P:P,A:A,A1258)),"."),".")</f>
        <v>.</v>
      </c>
    </row>
    <row r="1259" spans="1:53" ht="15.95" customHeight="1">
      <c r="A1259" s="1182" t="s">
        <v>3457</v>
      </c>
      <c r="B1259" s="1182" t="s">
        <v>3412</v>
      </c>
      <c r="C1259" s="1181">
        <v>44672</v>
      </c>
      <c r="D1259" s="1182" t="s">
        <v>389</v>
      </c>
      <c r="E1259" s="1182" t="s">
        <v>390</v>
      </c>
      <c r="F1259" s="1183" t="s">
        <v>3458</v>
      </c>
      <c r="G1259" s="1184" t="s">
        <v>456</v>
      </c>
      <c r="H1259" s="1185" t="s">
        <v>457</v>
      </c>
      <c r="I1259" s="1180" t="s">
        <v>3465</v>
      </c>
      <c r="J1259" s="1186" t="str">
        <f>VLOOKUP($I1259,'Price List, Weapons &amp; Items'!B:C,2,0)</f>
        <v>Heavy weapon</v>
      </c>
      <c r="K1259" s="1186" t="str">
        <f>IF(I1259=".",I1259,VLOOKUP($I1259,'Price List, Weapons &amp; Items'!B:D,3,0))</f>
        <v>Armored Utility Vehicle (AUV)</v>
      </c>
      <c r="L1259" s="1187">
        <f>VLOOKUP(I1259,'Price List, Weapons &amp; Items'!B:E,4,0)</f>
        <v>0</v>
      </c>
      <c r="M1259" s="1188">
        <v>20</v>
      </c>
      <c r="N1259" s="1188">
        <v>20</v>
      </c>
      <c r="O1259" s="1188">
        <f>VLOOKUP($I1259,'Price List, Weapons &amp; Items'!B:G,6,0)</f>
        <v>461730</v>
      </c>
      <c r="P1259" s="1185">
        <f t="shared" si="262"/>
        <v>9234600</v>
      </c>
      <c r="Q1259" s="1185">
        <f t="shared" si="263"/>
        <v>9234600</v>
      </c>
      <c r="R1259" s="1185" t="str">
        <f t="shared" si="259"/>
        <v/>
      </c>
      <c r="S1259" s="1185" t="str">
        <f>IF(AND(AD1259=1,R1259&lt;&gt;".")=TRUE,R1259/VLOOKUP(G1259,'Exchange Rates'!B:C,2,0),IF(R1259=".",".",""))</f>
        <v/>
      </c>
      <c r="T1259" s="1185" t="str">
        <f>IF(AD1259=1,IF(AF1259="Value is not given at all",".",IF(AF1259="Value is given by the source",S1259,IF(AF1259="Value is calculated with prices",(IF(SUMIFS(Q:Q,A:A,A1259)&gt;0,SUMIFS(Q:Q,A:A,A1259),"."))/VLOOKUP("USD",'Exchange Rates'!B:C,2,0),"Error with coding"))),"")</f>
        <v/>
      </c>
      <c r="U1259" s="1184" t="s">
        <v>365</v>
      </c>
      <c r="V1259" s="974" t="s">
        <v>3460</v>
      </c>
      <c r="W1259" s="974" t="s">
        <v>3461</v>
      </c>
      <c r="X1259" s="974" t="s">
        <v>3462</v>
      </c>
      <c r="Y1259" s="974" t="s">
        <v>3463</v>
      </c>
      <c r="Z1259" s="1184">
        <v>0</v>
      </c>
      <c r="AA1259" s="1194">
        <v>0</v>
      </c>
      <c r="AB1259" s="977" t="s">
        <v>3462</v>
      </c>
      <c r="AC1259" s="1192" t="str">
        <f>""</f>
        <v/>
      </c>
      <c r="AD1259" s="985">
        <v>0</v>
      </c>
      <c r="AE1259" s="985" t="s">
        <v>436</v>
      </c>
      <c r="AF1259" s="985" t="s">
        <v>436</v>
      </c>
      <c r="AG1259" s="985">
        <v>1</v>
      </c>
      <c r="AH1259" s="985">
        <v>4</v>
      </c>
      <c r="AI1259" s="985">
        <v>0</v>
      </c>
      <c r="AJ1259" s="1193">
        <f>VLOOKUP($I1259,'Price List, Weapons &amp; Items'!B:F,5,0)</f>
        <v>1</v>
      </c>
      <c r="AK1259" s="1193">
        <f t="shared" si="264"/>
        <v>0</v>
      </c>
      <c r="AL1259" s="1193">
        <f t="shared" si="265"/>
        <v>0</v>
      </c>
      <c r="AM1259" s="1193">
        <f t="shared" si="266"/>
        <v>0</v>
      </c>
      <c r="AN1259" s="1194" t="str">
        <f>VLOOKUP($I1259,'Price List, Weapons &amp; Items'!B:L,COLUMN('Price List, Weapons &amp; Items'!$J$11)-1,0)</f>
        <v>Media reports (incl. social media)</v>
      </c>
      <c r="AO1259" s="1194" t="str">
        <f>IF(I1259=".",".",VLOOKUP($I1259,'Price List, Weapons &amp; Items'!B:J,3,0))</f>
        <v>Armored Utility Vehicle (AUV)</v>
      </c>
      <c r="AP1259" s="1195" t="str">
        <f t="shared" ca="1" si="260"/>
        <v/>
      </c>
      <c r="AQ1259" s="1194">
        <f>VLOOKUP($I1259,'Price List, Weapons &amp; Items'!B:L,COLUMN('Price List, Weapons &amp; Items'!$L$11)-1,0)</f>
        <v>2</v>
      </c>
      <c r="AR1259" s="1194">
        <f t="shared" si="267"/>
        <v>1</v>
      </c>
      <c r="AS1259" s="1194">
        <f t="shared" si="268"/>
        <v>1</v>
      </c>
      <c r="AT1259" s="1194">
        <f t="shared" si="269"/>
        <v>1</v>
      </c>
      <c r="AU1259" s="1194" t="str">
        <f t="shared" si="272"/>
        <v>.</v>
      </c>
      <c r="AV1259" s="1194" t="str">
        <f t="shared" si="261"/>
        <v>.</v>
      </c>
      <c r="AW1259" s="1194" t="str">
        <f t="shared" si="271"/>
        <v>.</v>
      </c>
      <c r="AX1259" s="1194">
        <f>IFERROR(VLOOKUP(B1259,'Share, Heavy Weapons to Ukraine'!B:Z,COLUMN('Share, Heavy Weapons to Ukraine'!C1271)-1,0),0)</f>
        <v>0</v>
      </c>
      <c r="AY1259" s="1194">
        <f>VLOOKUP('Bilateral Assistance, MAIN DATA'!B1259,'Country Summary (€)'!B:F,COLUMN('Country Summary (€)'!C1272)-1,FALSE)</f>
        <v>1</v>
      </c>
      <c r="AZ1259" s="1194" t="str">
        <f>IF(AND(AD1259=1,D1259="Military",H1259&lt;&gt;"Not given")=TRUE,IF(SUMIFS(P:P,A:A,A1259)&gt;0,ABS((SUMIFS(P:P,A:A,A1259)/VLOOKUP("USD",'Exchange Rates'!B:C,2,0)))/S1259,"."),".")</f>
        <v>.</v>
      </c>
      <c r="BA1259" s="1196" t="str">
        <f>IF(AND(AD1259=1,D1259="Military",H1259&lt;&gt;"Not given")=TRUE,IF(SUMIFS(P:P,A:A,A1259)&gt;0,IF((ABS((SUMIFS(P:P,A:A,A1259)/VLOOKUP("USD",'Exchange Rates'!B:C,2,0)))/S1259)&gt;1,(SUMIFS(P:P,A:A,A1259)-S1259)/S1259,(S1259-SUMIFS(P:P,A:A,A1259))/SUMIFS(P:P,A:A,A1259)),"."),".")</f>
        <v>.</v>
      </c>
    </row>
    <row r="1260" spans="1:53" ht="15.95" customHeight="1">
      <c r="A1260" s="1182" t="s">
        <v>3457</v>
      </c>
      <c r="B1260" s="1182" t="s">
        <v>3412</v>
      </c>
      <c r="C1260" s="1181">
        <v>44672</v>
      </c>
      <c r="D1260" s="1182" t="s">
        <v>389</v>
      </c>
      <c r="E1260" s="1182" t="s">
        <v>390</v>
      </c>
      <c r="F1260" s="1183" t="s">
        <v>3458</v>
      </c>
      <c r="G1260" s="1184" t="s">
        <v>456</v>
      </c>
      <c r="H1260" s="1185" t="s">
        <v>457</v>
      </c>
      <c r="I1260" s="1180" t="s">
        <v>3466</v>
      </c>
      <c r="J1260" s="1186" t="str">
        <f>VLOOKUP($I1260,'Price List, Weapons &amp; Items'!B:C,2,0)</f>
        <v>Military equipment</v>
      </c>
      <c r="K1260" s="1186" t="str">
        <f>IF(I1260=".",I1260,VLOOKUP($I1260,'Price List, Weapons &amp; Items'!B:D,3,0))</f>
        <v>non combat military vehicle</v>
      </c>
      <c r="L1260" s="1187">
        <f>VLOOKUP(I1260,'Price List, Weapons &amp; Items'!B:E,4,0)</f>
        <v>0</v>
      </c>
      <c r="M1260" s="1188">
        <v>30</v>
      </c>
      <c r="N1260" s="1188">
        <v>30</v>
      </c>
      <c r="O1260" s="1188" t="str">
        <f>VLOOKUP($I1260,'Price List, Weapons &amp; Items'!B:G,6,0)</f>
        <v>.</v>
      </c>
      <c r="P1260" s="1185" t="str">
        <f t="shared" si="262"/>
        <v>No price</v>
      </c>
      <c r="Q1260" s="1185" t="str">
        <f t="shared" si="263"/>
        <v>No price</v>
      </c>
      <c r="R1260" s="1185" t="str">
        <f t="shared" si="259"/>
        <v/>
      </c>
      <c r="S1260" s="1185" t="str">
        <f>IF(AND(AD1260=1,R1260&lt;&gt;".")=TRUE,R1260/VLOOKUP(G1260,'Exchange Rates'!B:C,2,0),IF(R1260=".",".",""))</f>
        <v/>
      </c>
      <c r="T1260" s="1185" t="str">
        <f>IF(AD1260=1,IF(AF1260="Value is not given at all",".",IF(AF1260="Value is given by the source",S1260,IF(AF1260="Value is calculated with prices",(IF(SUMIFS(Q:Q,A:A,A1260)&gt;0,SUMIFS(Q:Q,A:A,A1260),"."))/VLOOKUP("USD",'Exchange Rates'!B:C,2,0),"Error with coding"))),"")</f>
        <v/>
      </c>
      <c r="U1260" s="1184" t="s">
        <v>365</v>
      </c>
      <c r="V1260" s="974" t="s">
        <v>3460</v>
      </c>
      <c r="W1260" s="974" t="s">
        <v>3461</v>
      </c>
      <c r="X1260" s="974" t="s">
        <v>3462</v>
      </c>
      <c r="Y1260" s="974" t="s">
        <v>3463</v>
      </c>
      <c r="Z1260" s="1184">
        <v>0</v>
      </c>
      <c r="AA1260" s="1194">
        <v>0</v>
      </c>
      <c r="AB1260" s="977" t="s">
        <v>3464</v>
      </c>
      <c r="AC1260" s="1192" t="str">
        <f>""</f>
        <v/>
      </c>
      <c r="AD1260" s="985">
        <v>0</v>
      </c>
      <c r="AE1260" s="985" t="s">
        <v>436</v>
      </c>
      <c r="AF1260" s="985" t="s">
        <v>436</v>
      </c>
      <c r="AG1260" s="985">
        <v>1</v>
      </c>
      <c r="AH1260" s="985">
        <v>4</v>
      </c>
      <c r="AI1260" s="985">
        <v>0</v>
      </c>
      <c r="AJ1260" s="1193">
        <f>VLOOKUP($I1260,'Price List, Weapons &amp; Items'!B:F,5,0)</f>
        <v>0</v>
      </c>
      <c r="AK1260" s="1193">
        <f t="shared" si="264"/>
        <v>0</v>
      </c>
      <c r="AL1260" s="1193">
        <f t="shared" si="265"/>
        <v>0</v>
      </c>
      <c r="AM1260" s="1193">
        <f t="shared" si="266"/>
        <v>0</v>
      </c>
      <c r="AN1260" s="1194" t="str">
        <f>VLOOKUP($I1260,'Price List, Weapons &amp; Items'!B:L,COLUMN('Price List, Weapons &amp; Items'!$J$11)-1,0)</f>
        <v>.</v>
      </c>
      <c r="AO1260" s="1194" t="str">
        <f>IF(I1260=".",".",VLOOKUP($I1260,'Price List, Weapons &amp; Items'!B:J,3,0))</f>
        <v>non combat military vehicle</v>
      </c>
      <c r="AP1260" s="1195" t="str">
        <f t="shared" ca="1" si="260"/>
        <v/>
      </c>
      <c r="AQ1260" s="1194">
        <f>VLOOKUP($I1260,'Price List, Weapons &amp; Items'!B:L,COLUMN('Price List, Weapons &amp; Items'!$L$11)-1,0)</f>
        <v>0</v>
      </c>
      <c r="AR1260" s="1194">
        <f t="shared" si="267"/>
        <v>1</v>
      </c>
      <c r="AS1260" s="1194">
        <f t="shared" si="268"/>
        <v>1</v>
      </c>
      <c r="AT1260" s="1194">
        <f t="shared" si="269"/>
        <v>1</v>
      </c>
      <c r="AU1260" s="1194" t="str">
        <f t="shared" si="272"/>
        <v>.</v>
      </c>
      <c r="AV1260" s="1194" t="str">
        <f t="shared" si="261"/>
        <v>.</v>
      </c>
      <c r="AW1260" s="1194" t="str">
        <f t="shared" si="271"/>
        <v>.</v>
      </c>
      <c r="AX1260" s="1194">
        <f>IFERROR(VLOOKUP(B1260,'Share, Heavy Weapons to Ukraine'!B:Z,COLUMN('Share, Heavy Weapons to Ukraine'!C1272)-1,0),0)</f>
        <v>0</v>
      </c>
      <c r="AY1260" s="1194">
        <f>VLOOKUP('Bilateral Assistance, MAIN DATA'!B1260,'Country Summary (€)'!B:F,COLUMN('Country Summary (€)'!C1273)-1,FALSE)</f>
        <v>1</v>
      </c>
      <c r="AZ1260" s="1194" t="str">
        <f>IF(AND(AD1260=1,D1260="Military",H1260&lt;&gt;"Not given")=TRUE,IF(SUMIFS(P:P,A:A,A1260)&gt;0,ABS((SUMIFS(P:P,A:A,A1260)/VLOOKUP("USD",'Exchange Rates'!B:C,2,0)))/S1260,"."),".")</f>
        <v>.</v>
      </c>
      <c r="BA1260" s="1196" t="str">
        <f>IF(AND(AD1260=1,D1260="Military",H1260&lt;&gt;"Not given")=TRUE,IF(SUMIFS(P:P,A:A,A1260)&gt;0,IF((ABS((SUMIFS(P:P,A:A,A1260)/VLOOKUP("USD",'Exchange Rates'!B:C,2,0)))/S1260)&gt;1,(SUMIFS(P:P,A:A,A1260)-S1260)/S1260,(S1260-SUMIFS(P:P,A:A,A1260))/SUMIFS(P:P,A:A,A1260)),"."),".")</f>
        <v>.</v>
      </c>
    </row>
    <row r="1261" spans="1:53" ht="15.95" customHeight="1">
      <c r="A1261" s="1180" t="s">
        <v>3467</v>
      </c>
      <c r="B1261" s="1180" t="s">
        <v>3412</v>
      </c>
      <c r="C1261" s="1181">
        <v>44717</v>
      </c>
      <c r="D1261" s="1182" t="s">
        <v>389</v>
      </c>
      <c r="E1261" s="1182" t="s">
        <v>443</v>
      </c>
      <c r="F1261" s="1183" t="s">
        <v>3468</v>
      </c>
      <c r="G1261" s="1184" t="s">
        <v>456</v>
      </c>
      <c r="H1261" s="1185" t="s">
        <v>457</v>
      </c>
      <c r="I1261" s="1180" t="s">
        <v>3469</v>
      </c>
      <c r="J1261" s="1186" t="str">
        <f>VLOOKUP($I1261,'Price List, Weapons &amp; Items'!B:C,2,0)</f>
        <v>Ammunition for heavy weapon</v>
      </c>
      <c r="K1261" s="1186" t="str">
        <f>IF(I1261=".",I1261,VLOOKUP($I1261,'Price List, Weapons &amp; Items'!B:D,3,0))</f>
        <v>Anti-aircraft system ammunition</v>
      </c>
      <c r="L1261" s="1187">
        <f>VLOOKUP(I1261,'Price List, Weapons &amp; Items'!B:E,4,0)</f>
        <v>0</v>
      </c>
      <c r="M1261" s="1188" t="s">
        <v>374</v>
      </c>
      <c r="N1261" s="1188" t="s">
        <v>374</v>
      </c>
      <c r="O1261" s="1188">
        <f>VLOOKUP($I1261,'Price List, Weapons &amp; Items'!B:G,6,0)</f>
        <v>100000</v>
      </c>
      <c r="P1261" s="1185" t="str">
        <f t="shared" si="262"/>
        <v>.</v>
      </c>
      <c r="Q1261" s="1185" t="str">
        <f t="shared" si="263"/>
        <v>.</v>
      </c>
      <c r="R1261" s="1185" t="str">
        <f t="shared" si="259"/>
        <v>.</v>
      </c>
      <c r="S1261" s="1185" t="str">
        <f>IF(AND(AD1261=1,R1261&lt;&gt;".")=TRUE,R1261/VLOOKUP(G1261,'Exchange Rates'!B:C,2,0),IF(R1261=".",".",""))</f>
        <v>.</v>
      </c>
      <c r="T1261" s="1185" t="str">
        <f>IF(AD1261=1,IF(AF1261="Value is not given at all",".",IF(AF1261="Value is given by the source",S1261,IF(AF1261="Value is calculated with prices",(IF(SUMIFS(Q:Q,A:A,A1261)&gt;0,SUMIFS(Q:Q,A:A,A1261),"."))/VLOOKUP("USD",'Exchange Rates'!B:C,2,0),"Error with coding"))),"")</f>
        <v>.</v>
      </c>
      <c r="U1261" s="1187" t="s">
        <v>365</v>
      </c>
      <c r="V1261" s="971" t="s">
        <v>3470</v>
      </c>
      <c r="W1261" s="971" t="s">
        <v>3471</v>
      </c>
      <c r="X1261" s="971" t="s">
        <v>3472</v>
      </c>
      <c r="Y1261" s="971" t="s">
        <v>3473</v>
      </c>
      <c r="Z1261" s="1184">
        <v>0</v>
      </c>
      <c r="AA1261" s="1194">
        <v>0</v>
      </c>
      <c r="AB1261" s="1201" t="s">
        <v>364</v>
      </c>
      <c r="AC1261" s="1192" t="str">
        <f>""</f>
        <v/>
      </c>
      <c r="AD1261" s="985">
        <v>1</v>
      </c>
      <c r="AE1261" s="985" t="s">
        <v>436</v>
      </c>
      <c r="AF1261" s="985" t="s">
        <v>369</v>
      </c>
      <c r="AG1261" s="985">
        <v>1</v>
      </c>
      <c r="AH1261" s="1193">
        <v>6</v>
      </c>
      <c r="AI1261" s="1193">
        <v>0</v>
      </c>
      <c r="AJ1261" s="1193">
        <f>VLOOKUP($I1261,'Price List, Weapons &amp; Items'!B:F,5,0)</f>
        <v>0</v>
      </c>
      <c r="AK1261" s="1193">
        <f t="shared" si="264"/>
        <v>0</v>
      </c>
      <c r="AL1261" s="1193">
        <f t="shared" si="265"/>
        <v>0</v>
      </c>
      <c r="AM1261" s="1193">
        <f t="shared" si="266"/>
        <v>0</v>
      </c>
      <c r="AN1261" s="1194" t="str">
        <f>VLOOKUP($I1261,'Price List, Weapons &amp; Items'!B:L,COLUMN('Price List, Weapons &amp; Items'!$J$11)-1,0)</f>
        <v>Military media (incl. websites)</v>
      </c>
      <c r="AO1261" s="1194" t="str">
        <f>IF(I1261=".",".",VLOOKUP($I1261,'Price List, Weapons &amp; Items'!B:J,3,0))</f>
        <v>Anti-aircraft system ammunition</v>
      </c>
      <c r="AP1261" s="1195" t="str">
        <f t="shared" ca="1" si="260"/>
        <v>Shorad Aspide anti-aircraft missile</v>
      </c>
      <c r="AQ1261" s="1194" t="str">
        <f>VLOOKUP($I1261,'Price List, Weapons &amp; Items'!B:L,COLUMN('Price List, Weapons &amp; Items'!$L$11)-1,0)</f>
        <v>no price, 0 count</v>
      </c>
      <c r="AR1261" s="1194">
        <f t="shared" si="267"/>
        <v>1</v>
      </c>
      <c r="AS1261" s="1194">
        <f t="shared" si="268"/>
        <v>1</v>
      </c>
      <c r="AT1261" s="1194">
        <f t="shared" si="269"/>
        <v>1</v>
      </c>
      <c r="AU1261" s="1194" t="str">
        <f t="shared" si="272"/>
        <v>.</v>
      </c>
      <c r="AV1261" s="1194" t="str">
        <f t="shared" si="261"/>
        <v>.</v>
      </c>
      <c r="AW1261" s="1194" t="str">
        <f t="shared" si="271"/>
        <v>.</v>
      </c>
      <c r="AX1261" s="1194">
        <f>IFERROR(VLOOKUP(B1261,'Share, Heavy Weapons to Ukraine'!B:Z,COLUMN('Share, Heavy Weapons to Ukraine'!C1273)-1,0),0)</f>
        <v>0</v>
      </c>
      <c r="AY1261" s="1194">
        <f>VLOOKUP('Bilateral Assistance, MAIN DATA'!B1261,'Country Summary (€)'!B:F,COLUMN('Country Summary (€)'!C1274)-1,FALSE)</f>
        <v>1</v>
      </c>
      <c r="AZ1261" s="1194" t="str">
        <f>IF(AND(AD1261=1,D1261="Military",H1261&lt;&gt;"Not given")=TRUE,IF(SUMIFS(P:P,A:A,A1261)&gt;0,ABS((SUMIFS(P:P,A:A,A1261)/VLOOKUP("USD",'Exchange Rates'!B:C,2,0)))/S1261,"."),".")</f>
        <v>.</v>
      </c>
      <c r="BA1261" s="1196" t="str">
        <f>IF(AND(AD1261=1,D1261="Military",H1261&lt;&gt;"Not given")=TRUE,IF(SUMIFS(P:P,A:A,A1261)&gt;0,IF((ABS((SUMIFS(P:P,A:A,A1261)/VLOOKUP("USD",'Exchange Rates'!B:C,2,0)))/S1261)&gt;1,(SUMIFS(P:P,A:A,A1261)-S1261)/S1261,(S1261-SUMIFS(P:P,A:A,A1261))/SUMIFS(P:P,A:A,A1261)),"."),".")</f>
        <v>.</v>
      </c>
    </row>
    <row r="1262" spans="1:53" ht="15.95" customHeight="1">
      <c r="A1262" s="1180" t="s">
        <v>3474</v>
      </c>
      <c r="B1262" s="1180" t="s">
        <v>3412</v>
      </c>
      <c r="C1262" s="1181" t="s">
        <v>3475</v>
      </c>
      <c r="D1262" s="1182" t="s">
        <v>389</v>
      </c>
      <c r="E1262" s="1182" t="s">
        <v>390</v>
      </c>
      <c r="F1262" s="1183" t="s">
        <v>3476</v>
      </c>
      <c r="G1262" s="1184" t="s">
        <v>483</v>
      </c>
      <c r="H1262" s="1185">
        <v>159259116.298491</v>
      </c>
      <c r="I1262" s="1190" t="s">
        <v>364</v>
      </c>
      <c r="J1262" s="1186" t="str">
        <f>VLOOKUP($I1262,'Price List, Weapons &amp; Items'!B:C,2,0)</f>
        <v>.</v>
      </c>
      <c r="K1262" s="1186" t="str">
        <f>IF(I1262=".",I1262,VLOOKUP($I1262,'Price List, Weapons &amp; Items'!B:D,3,0))</f>
        <v>.</v>
      </c>
      <c r="L1262" s="1187">
        <f>VLOOKUP(I1262,'Price List, Weapons &amp; Items'!B:E,4,0)</f>
        <v>0</v>
      </c>
      <c r="M1262" s="1188" t="s">
        <v>364</v>
      </c>
      <c r="N1262" s="1188" t="s">
        <v>364</v>
      </c>
      <c r="O1262" s="1188" t="str">
        <f>VLOOKUP($I1262,'Price List, Weapons &amp; Items'!B:G,6,0)</f>
        <v>.</v>
      </c>
      <c r="P1262" s="1185" t="str">
        <f t="shared" si="262"/>
        <v>.</v>
      </c>
      <c r="Q1262" s="1185" t="str">
        <f t="shared" si="263"/>
        <v>.</v>
      </c>
      <c r="R1262" s="1185">
        <f t="shared" si="259"/>
        <v>159259116.298491</v>
      </c>
      <c r="S1262" s="1185">
        <f>IF(AND(AD1262=1,R1262&lt;&gt;".")=TRUE,R1262/VLOOKUP(G1262,'Exchange Rates'!B:C,2,0),IF(R1262=".",".",""))</f>
        <v>159259116.298491</v>
      </c>
      <c r="T1262" s="1185">
        <f>IF(AD1262=1,IF(AF1262="Value is not given at all",".",IF(AF1262="Value is given by the source",S1262,IF(AF1262="Value is calculated with prices",(IF(SUMIFS(Q:Q,A:A,A1262)&gt;0,SUMIFS(Q:Q,A:A,A1262),"."))/VLOOKUP("USD",'Exchange Rates'!B:C,2,0),"Error with coding"))),"")</f>
        <v>159259116.298491</v>
      </c>
      <c r="U1262" s="1187" t="s">
        <v>365</v>
      </c>
      <c r="V1262" s="1025" t="s">
        <v>3477</v>
      </c>
      <c r="W1262" s="1027" t="s">
        <v>364</v>
      </c>
      <c r="X1262" s="1277" t="s">
        <v>364</v>
      </c>
      <c r="Y1262" s="1277" t="s">
        <v>364</v>
      </c>
      <c r="Z1262" s="1187">
        <v>0</v>
      </c>
      <c r="AA1262" s="1194">
        <v>0</v>
      </c>
      <c r="AB1262" s="1026" t="s">
        <v>3477</v>
      </c>
      <c r="AC1262" s="1192" t="str">
        <f>""</f>
        <v/>
      </c>
      <c r="AD1262" s="985">
        <v>1</v>
      </c>
      <c r="AE1262" s="985" t="s">
        <v>368</v>
      </c>
      <c r="AF1262" s="985" t="s">
        <v>368</v>
      </c>
      <c r="AG1262" s="985">
        <v>0</v>
      </c>
      <c r="AH1262" s="1193">
        <v>0</v>
      </c>
      <c r="AI1262" s="1193">
        <v>0</v>
      </c>
      <c r="AJ1262" s="1193">
        <f>VLOOKUP($I1262,'Price List, Weapons &amp; Items'!B:F,5,0)</f>
        <v>0</v>
      </c>
      <c r="AK1262" s="1193">
        <f t="shared" si="264"/>
        <v>0</v>
      </c>
      <c r="AL1262" s="1193">
        <f t="shared" si="265"/>
        <v>0</v>
      </c>
      <c r="AM1262" s="1193">
        <f t="shared" si="266"/>
        <v>0</v>
      </c>
      <c r="AN1262" s="1194" t="str">
        <f>VLOOKUP($I1262,'Price List, Weapons &amp; Items'!B:L,COLUMN('Price List, Weapons &amp; Items'!$J$11)-1,0)</f>
        <v>.</v>
      </c>
      <c r="AO1262" s="1194" t="str">
        <f>IF(I1262=".",".",VLOOKUP($I1262,'Price List, Weapons &amp; Items'!B:J,3,0))</f>
        <v>.</v>
      </c>
      <c r="AP1262" s="1195" t="str">
        <f t="shared" ca="1" si="260"/>
        <v>.</v>
      </c>
      <c r="AQ1262" s="1194">
        <f>VLOOKUP($I1262,'Price List, Weapons &amp; Items'!B:L,COLUMN('Price List, Weapons &amp; Items'!$L$11)-1,0)</f>
        <v>0</v>
      </c>
      <c r="AR1262" s="1194">
        <f t="shared" si="267"/>
        <v>1</v>
      </c>
      <c r="AS1262" s="1194">
        <f t="shared" si="268"/>
        <v>1</v>
      </c>
      <c r="AT1262" s="1194" t="str">
        <f t="shared" si="269"/>
        <v>Value is not in date format</v>
      </c>
      <c r="AU1262" s="1194" t="str">
        <f t="shared" si="272"/>
        <v>.</v>
      </c>
      <c r="AV1262" s="1194" t="str">
        <f t="shared" si="261"/>
        <v>.</v>
      </c>
      <c r="AW1262" s="1194" t="str">
        <f t="shared" si="271"/>
        <v>.</v>
      </c>
      <c r="AX1262" s="1194">
        <f>IFERROR(VLOOKUP(B1262,'Share, Heavy Weapons to Ukraine'!B:Z,COLUMN('Share, Heavy Weapons to Ukraine'!C1274)-1,0),0)</f>
        <v>0</v>
      </c>
      <c r="AY1262" s="1194">
        <f>VLOOKUP('Bilateral Assistance, MAIN DATA'!B1262,'Country Summary (€)'!B:F,COLUMN('Country Summary (€)'!C1275)-1,FALSE)</f>
        <v>1</v>
      </c>
      <c r="AZ1262" s="1194" t="str">
        <f>IF(AND(AD1262=1,D1262="Military",H1262&lt;&gt;"Not given")=TRUE,IF(SUMIFS(P:P,A:A,A1262)&gt;0,ABS((SUMIFS(P:P,A:A,A1262)/VLOOKUP("USD",'Exchange Rates'!B:C,2,0)))/S1262,"."),".")</f>
        <v>.</v>
      </c>
      <c r="BA1262" s="1196" t="str">
        <f>IF(AND(AD1262=1,D1262="Military",H1262&lt;&gt;"Not given")=TRUE,IF(SUMIFS(P:P,A:A,A1262)&gt;0,IF((ABS((SUMIFS(P:P,A:A,A1262)/VLOOKUP("USD",'Exchange Rates'!B:C,2,0)))/S1262)&gt;1,(SUMIFS(P:P,A:A,A1262)-S1262)/S1262,(S1262-SUMIFS(P:P,A:A,A1262))/SUMIFS(P:P,A:A,A1262)),"."),".")</f>
        <v>.</v>
      </c>
    </row>
    <row r="1263" spans="1:53" ht="15.95" customHeight="1">
      <c r="A1263" s="1180" t="s">
        <v>3478</v>
      </c>
      <c r="B1263" s="1180" t="s">
        <v>3412</v>
      </c>
      <c r="C1263" s="1181">
        <v>44754</v>
      </c>
      <c r="D1263" s="1182" t="s">
        <v>389</v>
      </c>
      <c r="E1263" s="1182" t="s">
        <v>443</v>
      </c>
      <c r="F1263" s="1183" t="s">
        <v>3479</v>
      </c>
      <c r="G1263" s="1184" t="s">
        <v>456</v>
      </c>
      <c r="H1263" s="1185" t="s">
        <v>457</v>
      </c>
      <c r="I1263" s="1190" t="s">
        <v>428</v>
      </c>
      <c r="J1263" s="1186" t="str">
        <f>VLOOKUP($I1263,'Price List, Weapons &amp; Items'!B:C,2,0)</f>
        <v>Heavy weapon</v>
      </c>
      <c r="K1263" s="1186" t="str">
        <f>IF(I1263=".",I1263,VLOOKUP($I1263,'Price List, Weapons &amp; Items'!B:D,3,0))</f>
        <v>Armored Personnel Carrier (APC)</v>
      </c>
      <c r="L1263" s="1187">
        <f>VLOOKUP(I1263,'Price List, Weapons &amp; Items'!B:E,4,0)</f>
        <v>0</v>
      </c>
      <c r="M1263" s="1188">
        <v>20</v>
      </c>
      <c r="N1263" s="1188">
        <v>20</v>
      </c>
      <c r="O1263" s="1188">
        <f>VLOOKUP($I1263,'Price List, Weapons &amp; Items'!B:G,6,0)</f>
        <v>300000</v>
      </c>
      <c r="P1263" s="1185">
        <f t="shared" si="262"/>
        <v>6000000</v>
      </c>
      <c r="Q1263" s="1185">
        <f t="shared" si="263"/>
        <v>6000000</v>
      </c>
      <c r="R1263" s="1185">
        <f t="shared" si="259"/>
        <v>6000000</v>
      </c>
      <c r="S1263" s="1185">
        <f>IF(AND(AD1263=1,R1263&lt;&gt;".")=TRUE,R1263/VLOOKUP(G1263,'Exchange Rates'!B:C,2,0),IF(R1263=".",".",""))</f>
        <v>5520794.9944792055</v>
      </c>
      <c r="T1263" s="1185" t="str">
        <f>IF(AD1263=1,IF(AF1263="Value is not given at all",".",IF(AF1263="Value is given by the source",S1263,IF(AF1263="Value is calculated with prices",(IF(SUMIFS(Q:Q,A:A,A1263)&gt;0,SUMIFS(Q:Q,A:A,A1263),"."))/VLOOKUP("USD",'Exchange Rates'!B:C,2,0),"Error with coding"))),"")</f>
        <v>.</v>
      </c>
      <c r="U1263" s="1187" t="s">
        <v>675</v>
      </c>
      <c r="V1263" s="993" t="s">
        <v>3480</v>
      </c>
      <c r="W1263" s="998" t="s">
        <v>3481</v>
      </c>
      <c r="X1263" s="1196" t="s">
        <v>364</v>
      </c>
      <c r="Y1263" s="1277" t="s">
        <v>364</v>
      </c>
      <c r="Z1263" s="1187">
        <v>0</v>
      </c>
      <c r="AA1263" s="1194">
        <v>0</v>
      </c>
      <c r="AB1263" s="1026" t="s">
        <v>3482</v>
      </c>
      <c r="AC1263" s="1192" t="str">
        <f>""</f>
        <v/>
      </c>
      <c r="AD1263" s="985">
        <v>1</v>
      </c>
      <c r="AE1263" s="985" t="s">
        <v>369</v>
      </c>
      <c r="AF1263" s="985" t="s">
        <v>369</v>
      </c>
      <c r="AG1263" s="985">
        <v>1</v>
      </c>
      <c r="AH1263" s="1193">
        <v>7</v>
      </c>
      <c r="AI1263" s="1193">
        <v>0</v>
      </c>
      <c r="AJ1263" s="1193">
        <f>VLOOKUP($I1263,'Price List, Weapons &amp; Items'!B:F,5,0)</f>
        <v>1</v>
      </c>
      <c r="AK1263" s="1193">
        <f t="shared" si="264"/>
        <v>0</v>
      </c>
      <c r="AL1263" s="1193">
        <f t="shared" si="265"/>
        <v>0</v>
      </c>
      <c r="AM1263" s="1193">
        <f t="shared" si="266"/>
        <v>0</v>
      </c>
      <c r="AN1263" s="1194" t="str">
        <f>VLOOKUP($I1263,'Price List, Weapons &amp; Items'!B:L,COLUMN('Price List, Weapons &amp; Items'!$J$11)-1,0)</f>
        <v>Military media (incl. websites)</v>
      </c>
      <c r="AO1263" s="1194" t="str">
        <f>IF(I1263=".",".",VLOOKUP($I1263,'Price List, Weapons &amp; Items'!B:J,3,0))</f>
        <v>Armored Personnel Carrier (APC)</v>
      </c>
      <c r="AP1263" s="1195" t="str">
        <f t="shared" ca="1" si="260"/>
        <v>M113 armored personnel carrier</v>
      </c>
      <c r="AQ1263" s="1194">
        <f>VLOOKUP($I1263,'Price List, Weapons &amp; Items'!B:L,COLUMN('Price List, Weapons &amp; Items'!$L$11)-1,0)</f>
        <v>2</v>
      </c>
      <c r="AR1263" s="1194">
        <f t="shared" si="267"/>
        <v>0</v>
      </c>
      <c r="AS1263" s="1194">
        <f t="shared" si="268"/>
        <v>1</v>
      </c>
      <c r="AT1263" s="1194">
        <f t="shared" si="269"/>
        <v>1</v>
      </c>
      <c r="AU1263" s="1194" t="str">
        <f t="shared" si="272"/>
        <v>.</v>
      </c>
      <c r="AV1263" s="1194" t="str">
        <f t="shared" si="261"/>
        <v>.</v>
      </c>
      <c r="AW1263" s="1194" t="str">
        <f t="shared" si="271"/>
        <v>.</v>
      </c>
      <c r="AX1263" s="1194">
        <f>IFERROR(VLOOKUP(B1263,'Share, Heavy Weapons to Ukraine'!B:Z,COLUMN('Share, Heavy Weapons to Ukraine'!C1275)-1,0),0)</f>
        <v>0</v>
      </c>
      <c r="AY1263" s="1194">
        <f>VLOOKUP('Bilateral Assistance, MAIN DATA'!B1263,'Country Summary (€)'!B:F,COLUMN('Country Summary (€)'!C1276)-1,FALSE)</f>
        <v>1</v>
      </c>
      <c r="AZ1263" s="1194" t="str">
        <f>IF(AND(AD1263=1,D1263="Military",H1263&lt;&gt;"Not given")=TRUE,IF(SUMIFS(P:P,A:A,A1263)&gt;0,ABS((SUMIFS(P:P,A:A,A1263)/VLOOKUP("USD",'Exchange Rates'!B:C,2,0)))/S1263,"."),".")</f>
        <v>.</v>
      </c>
      <c r="BA1263" s="1196" t="str">
        <f>IF(AND(AD1263=1,D1263="Military",H1263&lt;&gt;"Not given")=TRUE,IF(SUMIFS(P:P,A:A,A1263)&gt;0,IF((ABS((SUMIFS(P:P,A:A,A1263)/VLOOKUP("USD",'Exchange Rates'!B:C,2,0)))/S1263)&gt;1,(SUMIFS(P:P,A:A,A1263)-S1263)/S1263,(S1263-SUMIFS(P:P,A:A,A1263))/SUMIFS(P:P,A:A,A1263)),"."),".")</f>
        <v>.</v>
      </c>
    </row>
    <row r="1264" spans="1:53" ht="15.95" customHeight="1">
      <c r="A1264" s="1180" t="s">
        <v>3483</v>
      </c>
      <c r="B1264" s="1180" t="s">
        <v>3412</v>
      </c>
      <c r="C1264" s="1181">
        <v>44797</v>
      </c>
      <c r="D1264" s="1182" t="s">
        <v>389</v>
      </c>
      <c r="E1264" s="1182" t="s">
        <v>390</v>
      </c>
      <c r="F1264" s="1183" t="s">
        <v>3484</v>
      </c>
      <c r="G1264" s="1184" t="s">
        <v>456</v>
      </c>
      <c r="H1264" s="1185" t="s">
        <v>457</v>
      </c>
      <c r="I1264" s="1190" t="s">
        <v>1669</v>
      </c>
      <c r="J1264" s="1186" t="str">
        <f>VLOOKUP($I1264,'Price List, Weapons &amp; Items'!B:C,2,0)</f>
        <v>Ammunition for heavy weapon</v>
      </c>
      <c r="K1264" s="1186" t="str">
        <f>IF(I1264=".",I1264,VLOOKUP($I1264,'Price List, Weapons &amp; Items'!B:D,3,0))</f>
        <v>155mm howitzer ammunition</v>
      </c>
      <c r="L1264" s="1187">
        <f>VLOOKUP(I1264,'Price List, Weapons &amp; Items'!B:E,4,0)</f>
        <v>0</v>
      </c>
      <c r="M1264" s="1188">
        <v>1000</v>
      </c>
      <c r="N1264" s="1188">
        <v>1000</v>
      </c>
      <c r="O1264" s="1188">
        <f>VLOOKUP($I1264,'Price List, Weapons &amp; Items'!B:G,6,0)</f>
        <v>3800</v>
      </c>
      <c r="P1264" s="1185">
        <f t="shared" si="262"/>
        <v>3800000</v>
      </c>
      <c r="Q1264" s="1185">
        <f t="shared" si="263"/>
        <v>3800000</v>
      </c>
      <c r="R1264" s="1185">
        <f t="shared" si="259"/>
        <v>10661426.247699669</v>
      </c>
      <c r="S1264" s="1185">
        <f>IF(AND(AD1264=1,R1264&lt;&gt;".")=TRUE,R1264/VLOOKUP(G1264,'Exchange Rates'!B:C,2,0),IF(R1264=".",".",""))</f>
        <v>9809924.7770515904</v>
      </c>
      <c r="T1264" s="1185">
        <f>IF(AD1264=1,IF(AF1264="Value is not given at all",".",IF(AF1264="Value is given by the source",S1264,IF(AF1264="Value is calculated with prices",(IF(SUMIFS(Q:Q,A:A,A1264)&gt;0,SUMIFS(Q:Q,A:A,A1264),"."))/VLOOKUP("USD",'Exchange Rates'!B:C,2,0),"Error with coding"))),"")</f>
        <v>7693315.2373941848</v>
      </c>
      <c r="U1264" s="1187" t="s">
        <v>365</v>
      </c>
      <c r="V1264" s="972" t="s">
        <v>3485</v>
      </c>
      <c r="W1264" s="993" t="s">
        <v>3486</v>
      </c>
      <c r="X1264" s="979" t="s">
        <v>3487</v>
      </c>
      <c r="Y1264" s="998" t="s">
        <v>3488</v>
      </c>
      <c r="Z1264" s="1187">
        <v>0</v>
      </c>
      <c r="AA1264" s="1194">
        <v>0</v>
      </c>
      <c r="AB1264" s="1016" t="s">
        <v>3489</v>
      </c>
      <c r="AC1264" s="1192" t="str">
        <f>""</f>
        <v/>
      </c>
      <c r="AD1264" s="985">
        <v>1</v>
      </c>
      <c r="AE1264" s="985" t="s">
        <v>436</v>
      </c>
      <c r="AF1264" s="985" t="s">
        <v>436</v>
      </c>
      <c r="AG1264" s="985">
        <v>1</v>
      </c>
      <c r="AH1264" s="1193">
        <v>8</v>
      </c>
      <c r="AI1264" s="1193">
        <v>0</v>
      </c>
      <c r="AJ1264" s="1193">
        <f>VLOOKUP($I1264,'Price List, Weapons &amp; Items'!B:F,5,0)</f>
        <v>1</v>
      </c>
      <c r="AK1264" s="1193">
        <f t="shared" si="264"/>
        <v>0</v>
      </c>
      <c r="AL1264" s="1193">
        <f t="shared" si="265"/>
        <v>0</v>
      </c>
      <c r="AM1264" s="1193">
        <f t="shared" si="266"/>
        <v>1</v>
      </c>
      <c r="AN1264" s="1194" t="str">
        <f>VLOOKUP($I1264,'Price List, Weapons &amp; Items'!B:L,COLUMN('Price List, Weapons &amp; Items'!$J$11)-1,0)</f>
        <v>Government information</v>
      </c>
      <c r="AO1264" s="1194" t="str">
        <f>IF(I1264=".",".",VLOOKUP($I1264,'Price List, Weapons &amp; Items'!B:J,3,0))</f>
        <v>155mm howitzer ammunition</v>
      </c>
      <c r="AP1264" s="1195" t="str">
        <f t="shared" ca="1" si="260"/>
        <v>Round of ammunition for 155mm howitzer</v>
      </c>
      <c r="AQ1264" s="1194">
        <f>VLOOKUP($I1264,'Price List, Weapons &amp; Items'!B:L,COLUMN('Price List, Weapons &amp; Items'!$L$11)-1,0)</f>
        <v>2</v>
      </c>
      <c r="AR1264" s="1194">
        <f t="shared" si="267"/>
        <v>1</v>
      </c>
      <c r="AS1264" s="1194">
        <f t="shared" si="268"/>
        <v>1</v>
      </c>
      <c r="AT1264" s="1194">
        <f t="shared" si="269"/>
        <v>1</v>
      </c>
      <c r="AU1264" s="1194" t="str">
        <f t="shared" si="272"/>
        <v>.</v>
      </c>
      <c r="AV1264" s="1194" t="str">
        <f t="shared" si="261"/>
        <v>.</v>
      </c>
      <c r="AW1264" s="1194" t="str">
        <f t="shared" si="271"/>
        <v>.</v>
      </c>
      <c r="AX1264" s="1194">
        <f>IFERROR(VLOOKUP(B1264,'Share, Heavy Weapons to Ukraine'!B:Z,COLUMN('Share, Heavy Weapons to Ukraine'!C1276)-1,0),0)</f>
        <v>0</v>
      </c>
      <c r="AY1264" s="1194">
        <f>VLOOKUP('Bilateral Assistance, MAIN DATA'!B1264,'Country Summary (€)'!B:F,COLUMN('Country Summary (€)'!C1277)-1,FALSE)</f>
        <v>1</v>
      </c>
      <c r="AZ1264" s="1194" t="str">
        <f>IF(AND(AD1264=1,D1264="Military",H1264&lt;&gt;"Not given")=TRUE,IF(SUMIFS(P:P,A:A,A1264)&gt;0,ABS((SUMIFS(P:P,A:A,A1264)/VLOOKUP("USD",'Exchange Rates'!B:C,2,0)))/S1264,"."),".")</f>
        <v>.</v>
      </c>
      <c r="BA1264" s="1196" t="str">
        <f>IF(AND(AD1264=1,D1264="Military",H1264&lt;&gt;"Not given")=TRUE,IF(SUMIFS(P:P,A:A,A1264)&gt;0,IF((ABS((SUMIFS(P:P,A:A,A1264)/VLOOKUP("USD",'Exchange Rates'!B:C,2,0)))/S1264)&gt;1,(SUMIFS(P:P,A:A,A1264)-S1264)/S1264,(S1264-SUMIFS(P:P,A:A,A1264))/SUMIFS(P:P,A:A,A1264)),"."),".")</f>
        <v>.</v>
      </c>
    </row>
    <row r="1265" spans="1:53" ht="15.95" customHeight="1">
      <c r="A1265" s="1180" t="s">
        <v>3483</v>
      </c>
      <c r="B1265" s="1180" t="s">
        <v>3412</v>
      </c>
      <c r="C1265" s="1181">
        <v>44797</v>
      </c>
      <c r="D1265" s="1182" t="s">
        <v>389</v>
      </c>
      <c r="E1265" s="1182" t="s">
        <v>390</v>
      </c>
      <c r="F1265" s="1183" t="s">
        <v>3484</v>
      </c>
      <c r="G1265" s="1184" t="s">
        <v>456</v>
      </c>
      <c r="H1265" s="1185" t="s">
        <v>457</v>
      </c>
      <c r="I1265" s="1190" t="s">
        <v>3490</v>
      </c>
      <c r="J1265" s="1186" t="str">
        <f>VLOOKUP($I1265,'Price List, Weapons &amp; Items'!B:C,2,0)</f>
        <v>Humanitarian</v>
      </c>
      <c r="K1265" s="1186" t="str">
        <f>IF(I1265=".",I1265,VLOOKUP($I1265,'Price List, Weapons &amp; Items'!B:D,3,0))</f>
        <v>Humanitarian</v>
      </c>
      <c r="L1265" s="1187">
        <f>VLOOKUP(I1265,'Price List, Weapons &amp; Items'!B:E,4,0)</f>
        <v>0</v>
      </c>
      <c r="M1265" s="1188">
        <v>1000</v>
      </c>
      <c r="N1265" s="1188" t="s">
        <v>374</v>
      </c>
      <c r="O1265" s="1188">
        <f>VLOOKUP($I1265,'Price List, Weapons &amp; Items'!B:G,6,0)</f>
        <v>2300.3312476996689</v>
      </c>
      <c r="P1265" s="1185">
        <f t="shared" si="262"/>
        <v>2300331.2476996691</v>
      </c>
      <c r="Q1265" s="1185" t="str">
        <f t="shared" si="263"/>
        <v>.</v>
      </c>
      <c r="R1265" s="1185" t="str">
        <f t="shared" si="259"/>
        <v/>
      </c>
      <c r="S1265" s="1185" t="str">
        <f>IF(AND(AD1265=1,R1265&lt;&gt;".")=TRUE,R1265/VLOOKUP(G1265,'Exchange Rates'!B:C,2,0),IF(R1265=".",".",""))</f>
        <v/>
      </c>
      <c r="T1265" s="1185" t="str">
        <f>IF(AD1265=1,IF(AF1265="Value is not given at all",".",IF(AF1265="Value is given by the source",S1265,IF(AF1265="Value is calculated with prices",(IF(SUMIFS(Q:Q,A:A,A1265)&gt;0,SUMIFS(Q:Q,A:A,A1265),"."))/VLOOKUP("USD",'Exchange Rates'!B:C,2,0),"Error with coding"))),"")</f>
        <v/>
      </c>
      <c r="U1265" s="1187" t="s">
        <v>365</v>
      </c>
      <c r="V1265" s="972" t="s">
        <v>3485</v>
      </c>
      <c r="W1265" s="993" t="s">
        <v>3486</v>
      </c>
      <c r="X1265" s="979" t="s">
        <v>3487</v>
      </c>
      <c r="Y1265" s="998" t="s">
        <v>3488</v>
      </c>
      <c r="Z1265" s="1187">
        <v>0</v>
      </c>
      <c r="AA1265" s="1194">
        <v>0</v>
      </c>
      <c r="AB1265" s="1016" t="s">
        <v>3489</v>
      </c>
      <c r="AC1265" s="1192" t="str">
        <f>""</f>
        <v/>
      </c>
      <c r="AD1265" s="985">
        <v>0</v>
      </c>
      <c r="AE1265" s="985" t="s">
        <v>436</v>
      </c>
      <c r="AF1265" s="985" t="s">
        <v>436</v>
      </c>
      <c r="AG1265" s="985">
        <v>1</v>
      </c>
      <c r="AH1265" s="1193">
        <v>8</v>
      </c>
      <c r="AI1265" s="1193">
        <v>0</v>
      </c>
      <c r="AJ1265" s="1193">
        <f>VLOOKUP($I1265,'Price List, Weapons &amp; Items'!B:F,5,0)</f>
        <v>0</v>
      </c>
      <c r="AK1265" s="1193">
        <f t="shared" si="264"/>
        <v>0</v>
      </c>
      <c r="AL1265" s="1193">
        <f t="shared" si="265"/>
        <v>0</v>
      </c>
      <c r="AM1265" s="1193">
        <f t="shared" si="266"/>
        <v>0</v>
      </c>
      <c r="AN1265" s="1194" t="str">
        <f>VLOOKUP($I1265,'Price List, Weapons &amp; Items'!B:L,COLUMN('Price List, Weapons &amp; Items'!$J$11)-1,0)</f>
        <v>Media reports (incl. social media)</v>
      </c>
      <c r="AO1265" s="1194" t="str">
        <f>IF(I1265=".",".",VLOOKUP($I1265,'Price List, Weapons &amp; Items'!B:J,3,0))</f>
        <v>Humanitarian</v>
      </c>
      <c r="AP1265" s="1195" t="str">
        <f t="shared" ca="1" si="260"/>
        <v/>
      </c>
      <c r="AQ1265" s="1194">
        <f>VLOOKUP($I1265,'Price List, Weapons &amp; Items'!B:L,COLUMN('Price List, Weapons &amp; Items'!$L$11)-1,0)</f>
        <v>0</v>
      </c>
      <c r="AR1265" s="1194">
        <f t="shared" si="267"/>
        <v>1</v>
      </c>
      <c r="AS1265" s="1194">
        <f t="shared" si="268"/>
        <v>1</v>
      </c>
      <c r="AT1265" s="1194">
        <f t="shared" si="269"/>
        <v>1</v>
      </c>
      <c r="AU1265" s="1194" t="str">
        <f t="shared" si="272"/>
        <v>.</v>
      </c>
      <c r="AV1265" s="1194" t="str">
        <f t="shared" si="261"/>
        <v>.</v>
      </c>
      <c r="AW1265" s="1194" t="str">
        <f t="shared" si="271"/>
        <v>.</v>
      </c>
      <c r="AX1265" s="1194">
        <f>IFERROR(VLOOKUP(B1265,'Share, Heavy Weapons to Ukraine'!B:Z,COLUMN('Share, Heavy Weapons to Ukraine'!C1277)-1,0),0)</f>
        <v>0</v>
      </c>
      <c r="AY1265" s="1194">
        <f>VLOOKUP('Bilateral Assistance, MAIN DATA'!B1265,'Country Summary (€)'!B:F,COLUMN('Country Summary (€)'!C1278)-1,FALSE)</f>
        <v>1</v>
      </c>
      <c r="AZ1265" s="1194" t="str">
        <f>IF(AND(AD1265=1,D1265="Military",H1265&lt;&gt;"Not given")=TRUE,IF(SUMIFS(P:P,A:A,A1265)&gt;0,ABS((SUMIFS(P:P,A:A,A1265)/VLOOKUP("USD",'Exchange Rates'!B:C,2,0)))/S1265,"."),".")</f>
        <v>.</v>
      </c>
      <c r="BA1265" s="1196" t="str">
        <f>IF(AND(AD1265=1,D1265="Military",H1265&lt;&gt;"Not given")=TRUE,IF(SUMIFS(P:P,A:A,A1265)&gt;0,IF((ABS((SUMIFS(P:P,A:A,A1265)/VLOOKUP("USD",'Exchange Rates'!B:C,2,0)))/S1265)&gt;1,(SUMIFS(P:P,A:A,A1265)-S1265)/S1265,(S1265-SUMIFS(P:P,A:A,A1265))/SUMIFS(P:P,A:A,A1265)),"."),".")</f>
        <v>.</v>
      </c>
    </row>
    <row r="1266" spans="1:53" ht="15.95" customHeight="1">
      <c r="A1266" s="1180" t="s">
        <v>3483</v>
      </c>
      <c r="B1266" s="1180" t="s">
        <v>3412</v>
      </c>
      <c r="C1266" s="1181">
        <v>44797</v>
      </c>
      <c r="D1266" s="1182" t="s">
        <v>389</v>
      </c>
      <c r="E1266" s="1182" t="s">
        <v>390</v>
      </c>
      <c r="F1266" s="1183" t="s">
        <v>3484</v>
      </c>
      <c r="G1266" s="1184" t="s">
        <v>456</v>
      </c>
      <c r="H1266" s="1185" t="s">
        <v>457</v>
      </c>
      <c r="I1266" s="1190" t="s">
        <v>618</v>
      </c>
      <c r="J1266" s="1186" t="str">
        <f>VLOOKUP($I1266,'Price List, Weapons &amp; Items'!B:C,2,0)</f>
        <v>Military equipment</v>
      </c>
      <c r="K1266" s="1186" t="str">
        <f>IF(I1266=".",I1266,VLOOKUP($I1266,'Price List, Weapons &amp; Items'!B:D,3,0))</f>
        <v>Military equipment</v>
      </c>
      <c r="L1266" s="1187">
        <f>VLOOKUP(I1266,'Price List, Weapons &amp; Items'!B:E,4,0)</f>
        <v>0</v>
      </c>
      <c r="M1266" s="1188">
        <v>77000</v>
      </c>
      <c r="N1266" s="1188">
        <v>77000</v>
      </c>
      <c r="O1266" s="1188">
        <f>VLOOKUP($I1266,'Price List, Weapons &amp; Items'!B:G,6,0)</f>
        <v>59.234999999999999</v>
      </c>
      <c r="P1266" s="1185">
        <f t="shared" si="262"/>
        <v>4561095</v>
      </c>
      <c r="Q1266" s="1185">
        <f t="shared" si="263"/>
        <v>4561095</v>
      </c>
      <c r="R1266" s="1185" t="str">
        <f t="shared" si="259"/>
        <v/>
      </c>
      <c r="S1266" s="1185" t="str">
        <f>IF(AND(AD1266=1,R1266&lt;&gt;".")=TRUE,R1266/VLOOKUP(G1266,'Exchange Rates'!B:C,2,0),IF(R1266=".",".",""))</f>
        <v/>
      </c>
      <c r="T1266" s="1185" t="str">
        <f>IF(AD1266=1,IF(AF1266="Value is not given at all",".",IF(AF1266="Value is given by the source",S1266,IF(AF1266="Value is calculated with prices",(IF(SUMIFS(Q:Q,A:A,A1266)&gt;0,SUMIFS(Q:Q,A:A,A1266),"."))/VLOOKUP("USD",'Exchange Rates'!B:C,2,0),"Error with coding"))),"")</f>
        <v/>
      </c>
      <c r="U1266" s="1187" t="s">
        <v>365</v>
      </c>
      <c r="V1266" s="972" t="s">
        <v>3485</v>
      </c>
      <c r="W1266" s="993" t="s">
        <v>3486</v>
      </c>
      <c r="X1266" s="979" t="s">
        <v>3487</v>
      </c>
      <c r="Y1266" s="998" t="s">
        <v>3488</v>
      </c>
      <c r="Z1266" s="1187">
        <v>0</v>
      </c>
      <c r="AA1266" s="1194">
        <v>0</v>
      </c>
      <c r="AB1266" s="1016" t="s">
        <v>3489</v>
      </c>
      <c r="AC1266" s="1192" t="str">
        <f>""</f>
        <v/>
      </c>
      <c r="AD1266" s="985">
        <v>0</v>
      </c>
      <c r="AE1266" s="985" t="s">
        <v>436</v>
      </c>
      <c r="AF1266" s="985" t="s">
        <v>436</v>
      </c>
      <c r="AG1266" s="985">
        <v>1</v>
      </c>
      <c r="AH1266" s="1193">
        <v>8</v>
      </c>
      <c r="AI1266" s="1193">
        <v>0</v>
      </c>
      <c r="AJ1266" s="1193">
        <f>VLOOKUP($I1266,'Price List, Weapons &amp; Items'!B:F,5,0)</f>
        <v>0</v>
      </c>
      <c r="AK1266" s="1193">
        <f t="shared" si="264"/>
        <v>0</v>
      </c>
      <c r="AL1266" s="1193">
        <f t="shared" si="265"/>
        <v>0</v>
      </c>
      <c r="AM1266" s="1193">
        <f t="shared" si="266"/>
        <v>0</v>
      </c>
      <c r="AN1266" s="1194" t="str">
        <f>VLOOKUP($I1266,'Price List, Weapons &amp; Items'!B:L,COLUMN('Price List, Weapons &amp; Items'!$J$11)-1,0)</f>
        <v>Government information</v>
      </c>
      <c r="AO1266" s="1194" t="str">
        <f>IF(I1266=".",".",VLOOKUP($I1266,'Price List, Weapons &amp; Items'!B:J,3,0))</f>
        <v>Military equipment</v>
      </c>
      <c r="AP1266" s="1195" t="str">
        <f t="shared" ca="1" si="260"/>
        <v/>
      </c>
      <c r="AQ1266" s="1194">
        <f>VLOOKUP($I1266,'Price List, Weapons &amp; Items'!B:L,COLUMN('Price List, Weapons &amp; Items'!$L$11)-1,0)</f>
        <v>2</v>
      </c>
      <c r="AR1266" s="1194">
        <f t="shared" si="267"/>
        <v>1</v>
      </c>
      <c r="AS1266" s="1194">
        <f t="shared" si="268"/>
        <v>1</v>
      </c>
      <c r="AT1266" s="1194">
        <f t="shared" si="269"/>
        <v>1</v>
      </c>
      <c r="AU1266" s="1194" t="str">
        <f t="shared" si="272"/>
        <v>.</v>
      </c>
      <c r="AV1266" s="1194" t="str">
        <f t="shared" si="261"/>
        <v>.</v>
      </c>
      <c r="AW1266" s="1194" t="str">
        <f t="shared" si="271"/>
        <v>.</v>
      </c>
      <c r="AX1266" s="1194">
        <f>IFERROR(VLOOKUP(B1266,'Share, Heavy Weapons to Ukraine'!B:Z,COLUMN('Share, Heavy Weapons to Ukraine'!C1278)-1,0),0)</f>
        <v>0</v>
      </c>
      <c r="AY1266" s="1194">
        <f>VLOOKUP('Bilateral Assistance, MAIN DATA'!B1266,'Country Summary (€)'!B:F,COLUMN('Country Summary (€)'!C1279)-1,FALSE)</f>
        <v>1</v>
      </c>
      <c r="AZ1266" s="1194" t="str">
        <f>IF(AND(AD1266=1,D1266="Military",H1266&lt;&gt;"Not given")=TRUE,IF(SUMIFS(P:P,A:A,A1266)&gt;0,ABS((SUMIFS(P:P,A:A,A1266)/VLOOKUP("USD",'Exchange Rates'!B:C,2,0)))/S1266,"."),".")</f>
        <v>.</v>
      </c>
      <c r="BA1266" s="1196" t="str">
        <f>IF(AND(AD1266=1,D1266="Military",H1266&lt;&gt;"Not given")=TRUE,IF(SUMIFS(P:P,A:A,A1266)&gt;0,IF((ABS((SUMIFS(P:P,A:A,A1266)/VLOOKUP("USD",'Exchange Rates'!B:C,2,0)))/S1266)&gt;1,(SUMIFS(P:P,A:A,A1266)-S1266)/S1266,(S1266-SUMIFS(P:P,A:A,A1266))/SUMIFS(P:P,A:A,A1266)),"."),".")</f>
        <v>.</v>
      </c>
    </row>
    <row r="1267" spans="1:53" ht="15.95" customHeight="1">
      <c r="A1267" s="1180" t="s">
        <v>3491</v>
      </c>
      <c r="B1267" s="1180" t="s">
        <v>3412</v>
      </c>
      <c r="C1267" s="1181">
        <v>44840</v>
      </c>
      <c r="D1267" s="1182" t="s">
        <v>389</v>
      </c>
      <c r="E1267" s="1182" t="s">
        <v>390</v>
      </c>
      <c r="F1267" s="1183" t="s">
        <v>3492</v>
      </c>
      <c r="G1267" s="1184" t="s">
        <v>456</v>
      </c>
      <c r="H1267" s="1185" t="s">
        <v>457</v>
      </c>
      <c r="I1267" s="1190" t="s">
        <v>3493</v>
      </c>
      <c r="J1267" s="1186" t="str">
        <f>VLOOKUP($I1267,'Price List, Weapons &amp; Items'!B:C,2,0)</f>
        <v>Military equipment</v>
      </c>
      <c r="K1267" s="1186" t="str">
        <f>IF(I1267=".",I1267,VLOOKUP($I1267,'Price List, Weapons &amp; Items'!B:D,3,0))</f>
        <v>non combat military vehicle</v>
      </c>
      <c r="L1267" s="1187">
        <f>VLOOKUP(I1267,'Price List, Weapons &amp; Items'!B:E,4,0)</f>
        <v>0</v>
      </c>
      <c r="M1267" s="1188">
        <v>8</v>
      </c>
      <c r="N1267" s="1188">
        <v>8</v>
      </c>
      <c r="O1267" s="1188">
        <f>VLOOKUP($I1267,'Price List, Weapons &amp; Items'!B:G,6,0)</f>
        <v>60000</v>
      </c>
      <c r="P1267" s="1185">
        <f t="shared" si="262"/>
        <v>480000</v>
      </c>
      <c r="Q1267" s="1185">
        <f t="shared" si="263"/>
        <v>480000</v>
      </c>
      <c r="R1267" s="1185">
        <f t="shared" si="259"/>
        <v>5429730</v>
      </c>
      <c r="S1267" s="1185">
        <f>IF(AND(AD1267=1,R1267&lt;&gt;".")=TRUE,R1267/VLOOKUP(G1267,'Exchange Rates'!B:C,2,0),IF(R1267=".",".",""))</f>
        <v>4996071.0342289293</v>
      </c>
      <c r="T1267" s="1185">
        <f>IF(AD1267=1,IF(AF1267="Value is not given at all",".",IF(AF1267="Value is given by the source",S1267,IF(AF1267="Value is calculated with prices",(IF(SUMIFS(Q:Q,A:A,A1267)&gt;0,SUMIFS(Q:Q,A:A,A1267),"."))/VLOOKUP("USD",'Exchange Rates'!B:C,2,0),"Error with coding"))),"")</f>
        <v>4996071.0342289293</v>
      </c>
      <c r="U1267" s="1187" t="s">
        <v>365</v>
      </c>
      <c r="V1267" s="998" t="s">
        <v>3485</v>
      </c>
      <c r="W1267" s="993" t="s">
        <v>3494</v>
      </c>
      <c r="X1267" s="1190" t="s">
        <v>364</v>
      </c>
      <c r="Y1267" s="1190" t="s">
        <v>364</v>
      </c>
      <c r="Z1267" s="1187">
        <v>0</v>
      </c>
      <c r="AA1267" s="1194">
        <v>0</v>
      </c>
      <c r="AB1267" s="1016" t="s">
        <v>3485</v>
      </c>
      <c r="AC1267" s="1192" t="str">
        <f>""</f>
        <v/>
      </c>
      <c r="AD1267" s="985">
        <v>1</v>
      </c>
      <c r="AE1267" s="985" t="s">
        <v>436</v>
      </c>
      <c r="AF1267" s="985" t="s">
        <v>436</v>
      </c>
      <c r="AG1267" s="985">
        <v>1</v>
      </c>
      <c r="AH1267" s="1193">
        <v>10</v>
      </c>
      <c r="AI1267" s="1193">
        <v>0</v>
      </c>
      <c r="AJ1267" s="1193">
        <f>VLOOKUP($I1267,'Price List, Weapons &amp; Items'!B:F,5,0)</f>
        <v>0</v>
      </c>
      <c r="AK1267" s="1193">
        <f t="shared" si="264"/>
        <v>0</v>
      </c>
      <c r="AL1267" s="1193">
        <f t="shared" si="265"/>
        <v>0</v>
      </c>
      <c r="AM1267" s="1193">
        <f t="shared" si="266"/>
        <v>0</v>
      </c>
      <c r="AN1267" s="1194" t="str">
        <f>VLOOKUP($I1267,'Price List, Weapons &amp; Items'!B:L,COLUMN('Price List, Weapons &amp; Items'!$J$11)-1,0)</f>
        <v>Media reports (incl. social media)</v>
      </c>
      <c r="AO1267" s="1194" t="str">
        <f>IF(I1267=".",".",VLOOKUP($I1267,'Price List, Weapons &amp; Items'!B:J,3,0))</f>
        <v>non combat military vehicle</v>
      </c>
      <c r="AP1267" s="1195" t="str">
        <f t="shared" ca="1" si="260"/>
        <v>Anibal light vehicle</v>
      </c>
      <c r="AQ1267" s="1194">
        <f>VLOOKUP($I1267,'Price List, Weapons &amp; Items'!B:L,COLUMN('Price List, Weapons &amp; Items'!$L$11)-1,0)</f>
        <v>1</v>
      </c>
      <c r="AR1267" s="1194">
        <f t="shared" si="267"/>
        <v>1</v>
      </c>
      <c r="AS1267" s="1194">
        <f t="shared" si="268"/>
        <v>1</v>
      </c>
      <c r="AT1267" s="1194">
        <f t="shared" si="269"/>
        <v>1</v>
      </c>
      <c r="AU1267" s="1194" t="str">
        <f t="shared" si="272"/>
        <v>.</v>
      </c>
      <c r="AV1267" s="1194" t="str">
        <f t="shared" si="261"/>
        <v>.</v>
      </c>
      <c r="AW1267" s="1194" t="str">
        <f t="shared" si="271"/>
        <v>.</v>
      </c>
      <c r="AX1267" s="1194">
        <f>IFERROR(VLOOKUP(B1267,'Share, Heavy Weapons to Ukraine'!B:Z,COLUMN('Share, Heavy Weapons to Ukraine'!C1279)-1,0),0)</f>
        <v>0</v>
      </c>
      <c r="AY1267" s="1194">
        <f>VLOOKUP('Bilateral Assistance, MAIN DATA'!B1267,'Country Summary (€)'!B:F,COLUMN('Country Summary (€)'!C1280)-1,FALSE)</f>
        <v>1</v>
      </c>
      <c r="AZ1267" s="1194" t="str">
        <f>IF(AND(AD1267=1,D1267="Military",H1267&lt;&gt;"Not given")=TRUE,IF(SUMIFS(P:P,A:A,A1267)&gt;0,ABS((SUMIFS(P:P,A:A,A1267)/VLOOKUP("USD",'Exchange Rates'!B:C,2,0)))/S1267,"."),".")</f>
        <v>.</v>
      </c>
      <c r="BA1267" s="1196" t="str">
        <f>IF(AND(AD1267=1,D1267="Military",H1267&lt;&gt;"Not given")=TRUE,IF(SUMIFS(P:P,A:A,A1267)&gt;0,IF((ABS((SUMIFS(P:P,A:A,A1267)/VLOOKUP("USD",'Exchange Rates'!B:C,2,0)))/S1267)&gt;1,(SUMIFS(P:P,A:A,A1267)-S1267)/S1267,(S1267-SUMIFS(P:P,A:A,A1267))/SUMIFS(P:P,A:A,A1267)),"."),".")</f>
        <v>.</v>
      </c>
    </row>
    <row r="1268" spans="1:53" ht="15.95" customHeight="1">
      <c r="A1268" s="1180" t="s">
        <v>3491</v>
      </c>
      <c r="B1268" s="1180" t="s">
        <v>3412</v>
      </c>
      <c r="C1268" s="1181">
        <v>44840</v>
      </c>
      <c r="D1268" s="1182" t="s">
        <v>389</v>
      </c>
      <c r="E1268" s="1182" t="s">
        <v>390</v>
      </c>
      <c r="F1268" s="1183" t="s">
        <v>3492</v>
      </c>
      <c r="G1268" s="1184" t="s">
        <v>456</v>
      </c>
      <c r="H1268" s="1185" t="s">
        <v>457</v>
      </c>
      <c r="I1268" s="1270" t="s">
        <v>654</v>
      </c>
      <c r="J1268" s="1186" t="str">
        <f>VLOOKUP($I1268,'Price List, Weapons &amp; Items'!B:C,2,0)</f>
        <v>Military equipment</v>
      </c>
      <c r="K1268" s="1186" t="str">
        <f>IF(I1268=".",I1268,VLOOKUP($I1268,'Price List, Weapons &amp; Items'!B:D,3,0))</f>
        <v>Military equipment</v>
      </c>
      <c r="L1268" s="1187">
        <f>VLOOKUP(I1268,'Price List, Weapons &amp; Items'!B:E,4,0)</f>
        <v>0</v>
      </c>
      <c r="M1268" s="1188">
        <v>9</v>
      </c>
      <c r="N1268" s="1188">
        <v>9</v>
      </c>
      <c r="O1268" s="1188">
        <f>VLOOKUP($I1268,'Price List, Weapons &amp; Items'!B:G,6,0)</f>
        <v>350000</v>
      </c>
      <c r="P1268" s="1185">
        <f t="shared" si="262"/>
        <v>3150000</v>
      </c>
      <c r="Q1268" s="1185">
        <f t="shared" si="263"/>
        <v>3150000</v>
      </c>
      <c r="R1268" s="1185" t="str">
        <f t="shared" si="259"/>
        <v/>
      </c>
      <c r="S1268" s="1185" t="str">
        <f>IF(AND(AD1268=1,R1268&lt;&gt;".")=TRUE,R1268/VLOOKUP(G1268,'Exchange Rates'!B:C,2,0),IF(R1268=".",".",""))</f>
        <v/>
      </c>
      <c r="T1268" s="1185" t="str">
        <f>IF(AD1268=1,IF(AF1268="Value is not given at all",".",IF(AF1268="Value is given by the source",S1268,IF(AF1268="Value is calculated with prices",(IF(SUMIFS(Q:Q,A:A,A1268)&gt;0,SUMIFS(Q:Q,A:A,A1268),"."))/VLOOKUP("USD",'Exchange Rates'!B:C,2,0),"Error with coding"))),"")</f>
        <v/>
      </c>
      <c r="U1268" s="1187" t="s">
        <v>365</v>
      </c>
      <c r="V1268" s="998" t="s">
        <v>3485</v>
      </c>
      <c r="W1268" s="993" t="s">
        <v>3494</v>
      </c>
      <c r="X1268" s="1190" t="s">
        <v>364</v>
      </c>
      <c r="Y1268" s="1190" t="s">
        <v>364</v>
      </c>
      <c r="Z1268" s="1187">
        <v>0</v>
      </c>
      <c r="AA1268" s="1194">
        <v>0</v>
      </c>
      <c r="AB1268" s="1016" t="s">
        <v>3485</v>
      </c>
      <c r="AC1268" s="1192" t="str">
        <f>""</f>
        <v/>
      </c>
      <c r="AD1268" s="985">
        <v>0</v>
      </c>
      <c r="AE1268" s="985" t="s">
        <v>436</v>
      </c>
      <c r="AF1268" s="985" t="s">
        <v>436</v>
      </c>
      <c r="AG1268" s="985">
        <v>1</v>
      </c>
      <c r="AH1268" s="1193">
        <v>10</v>
      </c>
      <c r="AI1268" s="1193">
        <v>0</v>
      </c>
      <c r="AJ1268" s="1193">
        <f>VLOOKUP($I1268,'Price List, Weapons &amp; Items'!B:F,5,0)</f>
        <v>0</v>
      </c>
      <c r="AK1268" s="1193">
        <f t="shared" si="264"/>
        <v>0</v>
      </c>
      <c r="AL1268" s="1193">
        <f t="shared" si="265"/>
        <v>0</v>
      </c>
      <c r="AM1268" s="1193">
        <f t="shared" si="266"/>
        <v>0</v>
      </c>
      <c r="AN1268" s="1194" t="str">
        <f>VLOOKUP($I1268,'Price List, Weapons &amp; Items'!B:L,COLUMN('Price List, Weapons &amp; Items'!$J$11)-1,0)</f>
        <v>Media reports (incl. social media)</v>
      </c>
      <c r="AO1268" s="1194" t="str">
        <f>IF(I1268=".",".",VLOOKUP($I1268,'Price List, Weapons &amp; Items'!B:J,3,0))</f>
        <v>Military equipment</v>
      </c>
      <c r="AP1268" s="1195" t="str">
        <f t="shared" ca="1" si="260"/>
        <v/>
      </c>
      <c r="AQ1268" s="1194">
        <f>VLOOKUP($I1268,'Price List, Weapons &amp; Items'!B:L,COLUMN('Price List, Weapons &amp; Items'!$L$11)-1,0)</f>
        <v>2</v>
      </c>
      <c r="AR1268" s="1194">
        <f t="shared" si="267"/>
        <v>1</v>
      </c>
      <c r="AS1268" s="1194">
        <f t="shared" si="268"/>
        <v>1</v>
      </c>
      <c r="AT1268" s="1194">
        <f t="shared" si="269"/>
        <v>1</v>
      </c>
      <c r="AU1268" s="1194" t="str">
        <f t="shared" si="272"/>
        <v>.</v>
      </c>
      <c r="AV1268" s="1194" t="str">
        <f t="shared" si="261"/>
        <v>.</v>
      </c>
      <c r="AW1268" s="1194" t="str">
        <f t="shared" si="271"/>
        <v>.</v>
      </c>
      <c r="AX1268" s="1194">
        <f>IFERROR(VLOOKUP(B1268,'Share, Heavy Weapons to Ukraine'!B:Z,COLUMN('Share, Heavy Weapons to Ukraine'!C1280)-1,0),0)</f>
        <v>0</v>
      </c>
      <c r="AY1268" s="1194">
        <f>VLOOKUP('Bilateral Assistance, MAIN DATA'!B1268,'Country Summary (€)'!B:F,COLUMN('Country Summary (€)'!C1281)-1,FALSE)</f>
        <v>1</v>
      </c>
      <c r="AZ1268" s="1194" t="str">
        <f>IF(AND(AD1268=1,D1268="Military",H1268&lt;&gt;"Not given")=TRUE,IF(SUMIFS(P:P,A:A,A1268)&gt;0,ABS((SUMIFS(P:P,A:A,A1268)/VLOOKUP("USD",'Exchange Rates'!B:C,2,0)))/S1268,"."),".")</f>
        <v>.</v>
      </c>
      <c r="BA1268" s="1196" t="str">
        <f>IF(AND(AD1268=1,D1268="Military",H1268&lt;&gt;"Not given")=TRUE,IF(SUMIFS(P:P,A:A,A1268)&gt;0,IF((ABS((SUMIFS(P:P,A:A,A1268)/VLOOKUP("USD",'Exchange Rates'!B:C,2,0)))/S1268)&gt;1,(SUMIFS(P:P,A:A,A1268)-S1268)/S1268,(S1268-SUMIFS(P:P,A:A,A1268))/SUMIFS(P:P,A:A,A1268)),"."),".")</f>
        <v>.</v>
      </c>
    </row>
    <row r="1269" spans="1:53" ht="15.95" customHeight="1">
      <c r="A1269" s="1180" t="s">
        <v>3491</v>
      </c>
      <c r="B1269" s="1180" t="s">
        <v>3412</v>
      </c>
      <c r="C1269" s="1181">
        <v>44840</v>
      </c>
      <c r="D1269" s="1182" t="s">
        <v>389</v>
      </c>
      <c r="E1269" s="1182" t="s">
        <v>390</v>
      </c>
      <c r="F1269" s="1183" t="s">
        <v>3492</v>
      </c>
      <c r="G1269" s="1184" t="s">
        <v>456</v>
      </c>
      <c r="H1269" s="1185" t="s">
        <v>457</v>
      </c>
      <c r="I1269" s="1270" t="s">
        <v>3454</v>
      </c>
      <c r="J1269" s="1186" t="str">
        <f>VLOOKUP($I1269,'Price List, Weapons &amp; Items'!B:C,2,0)</f>
        <v>Humanitarian</v>
      </c>
      <c r="K1269" s="1186" t="str">
        <f>IF(I1269=".",I1269,VLOOKUP($I1269,'Price List, Weapons &amp; Items'!B:D,3,0))</f>
        <v>Humanitarian</v>
      </c>
      <c r="L1269" s="1187">
        <f>VLOOKUP(I1269,'Price List, Weapons &amp; Items'!B:E,4,0)</f>
        <v>0</v>
      </c>
      <c r="M1269" s="1188">
        <v>2</v>
      </c>
      <c r="N1269" s="1188">
        <v>2</v>
      </c>
      <c r="O1269" s="1188">
        <f>VLOOKUP($I1269,'Price List, Weapons &amp; Items'!B:G,6,0)</f>
        <v>644000</v>
      </c>
      <c r="P1269" s="1185">
        <f t="shared" si="262"/>
        <v>1288000</v>
      </c>
      <c r="Q1269" s="1185">
        <f t="shared" si="263"/>
        <v>1288000</v>
      </c>
      <c r="R1269" s="1185" t="str">
        <f t="shared" si="259"/>
        <v/>
      </c>
      <c r="S1269" s="1185" t="str">
        <f>IF(AND(AD1269=1,R1269&lt;&gt;".")=TRUE,R1269/VLOOKUP(G1269,'Exchange Rates'!B:C,2,0),IF(R1269=".",".",""))</f>
        <v/>
      </c>
      <c r="T1269" s="1185" t="str">
        <f>IF(AD1269=1,IF(AF1269="Value is not given at all",".",IF(AF1269="Value is given by the source",S1269,IF(AF1269="Value is calculated with prices",(IF(SUMIFS(Q:Q,A:A,A1269)&gt;0,SUMIFS(Q:Q,A:A,A1269),"."))/VLOOKUP("USD",'Exchange Rates'!B:C,2,0),"Error with coding"))),"")</f>
        <v/>
      </c>
      <c r="U1269" s="1187" t="s">
        <v>365</v>
      </c>
      <c r="V1269" s="998" t="s">
        <v>3485</v>
      </c>
      <c r="W1269" s="993" t="s">
        <v>3494</v>
      </c>
      <c r="X1269" s="1190" t="s">
        <v>364</v>
      </c>
      <c r="Y1269" s="1190" t="s">
        <v>364</v>
      </c>
      <c r="Z1269" s="1187">
        <v>0</v>
      </c>
      <c r="AA1269" s="1194">
        <v>0</v>
      </c>
      <c r="AB1269" s="1016" t="s">
        <v>3485</v>
      </c>
      <c r="AC1269" s="1192" t="str">
        <f>""</f>
        <v/>
      </c>
      <c r="AD1269" s="985">
        <v>0</v>
      </c>
      <c r="AE1269" s="985" t="s">
        <v>436</v>
      </c>
      <c r="AF1269" s="985" t="s">
        <v>436</v>
      </c>
      <c r="AG1269" s="985">
        <v>1</v>
      </c>
      <c r="AH1269" s="1193">
        <v>10</v>
      </c>
      <c r="AI1269" s="1193">
        <v>0</v>
      </c>
      <c r="AJ1269" s="1193">
        <f>VLOOKUP($I1269,'Price List, Weapons &amp; Items'!B:F,5,0)</f>
        <v>0</v>
      </c>
      <c r="AK1269" s="1193">
        <f t="shared" si="264"/>
        <v>0</v>
      </c>
      <c r="AL1269" s="1193">
        <f t="shared" si="265"/>
        <v>0</v>
      </c>
      <c r="AM1269" s="1193">
        <f t="shared" si="266"/>
        <v>0</v>
      </c>
      <c r="AN1269" s="1194" t="str">
        <f>VLOOKUP($I1269,'Price List, Weapons &amp; Items'!B:L,COLUMN('Price List, Weapons &amp; Items'!$J$11)-1,0)</f>
        <v>Miscellaneous</v>
      </c>
      <c r="AO1269" s="1194" t="str">
        <f>IF(I1269=".",".",VLOOKUP($I1269,'Price List, Weapons &amp; Items'!B:J,3,0))</f>
        <v>Humanitarian</v>
      </c>
      <c r="AP1269" s="1195" t="str">
        <f t="shared" ca="1" si="260"/>
        <v/>
      </c>
      <c r="AQ1269" s="1194">
        <f>VLOOKUP($I1269,'Price List, Weapons &amp; Items'!B:L,COLUMN('Price List, Weapons &amp; Items'!$L$11)-1,0)</f>
        <v>0</v>
      </c>
      <c r="AR1269" s="1194">
        <f t="shared" si="267"/>
        <v>1</v>
      </c>
      <c r="AS1269" s="1194">
        <f t="shared" si="268"/>
        <v>1</v>
      </c>
      <c r="AT1269" s="1194">
        <f t="shared" si="269"/>
        <v>1</v>
      </c>
      <c r="AU1269" s="1194" t="str">
        <f t="shared" si="272"/>
        <v>.</v>
      </c>
      <c r="AV1269" s="1194" t="str">
        <f t="shared" si="261"/>
        <v>.</v>
      </c>
      <c r="AW1269" s="1194" t="str">
        <f t="shared" si="271"/>
        <v>.</v>
      </c>
      <c r="AX1269" s="1194">
        <f>IFERROR(VLOOKUP(B1269,'Share, Heavy Weapons to Ukraine'!B:Z,COLUMN('Share, Heavy Weapons to Ukraine'!C1281)-1,0),0)</f>
        <v>0</v>
      </c>
      <c r="AY1269" s="1194">
        <f>VLOOKUP('Bilateral Assistance, MAIN DATA'!B1269,'Country Summary (€)'!B:F,COLUMN('Country Summary (€)'!C1282)-1,FALSE)</f>
        <v>1</v>
      </c>
      <c r="AZ1269" s="1194" t="str">
        <f>IF(AND(AD1269=1,D1269="Military",H1269&lt;&gt;"Not given")=TRUE,IF(SUMIFS(P:P,A:A,A1269)&gt;0,ABS((SUMIFS(P:P,A:A,A1269)/VLOOKUP("USD",'Exchange Rates'!B:C,2,0)))/S1269,"."),".")</f>
        <v>.</v>
      </c>
      <c r="BA1269" s="1196" t="str">
        <f>IF(AND(AD1269=1,D1269="Military",H1269&lt;&gt;"Not given")=TRUE,IF(SUMIFS(P:P,A:A,A1269)&gt;0,IF((ABS((SUMIFS(P:P,A:A,A1269)/VLOOKUP("USD",'Exchange Rates'!B:C,2,0)))/S1269)&gt;1,(SUMIFS(P:P,A:A,A1269)-S1269)/S1269,(S1269-SUMIFS(P:P,A:A,A1269))/SUMIFS(P:P,A:A,A1269)),"."),".")</f>
        <v>.</v>
      </c>
    </row>
    <row r="1270" spans="1:53" ht="15.95" customHeight="1">
      <c r="A1270" s="1180" t="s">
        <v>3491</v>
      </c>
      <c r="B1270" s="1180" t="s">
        <v>3412</v>
      </c>
      <c r="C1270" s="1181">
        <v>44840</v>
      </c>
      <c r="D1270" s="1182" t="s">
        <v>389</v>
      </c>
      <c r="E1270" s="1182" t="s">
        <v>390</v>
      </c>
      <c r="F1270" s="1183" t="s">
        <v>3492</v>
      </c>
      <c r="G1270" s="1184" t="s">
        <v>456</v>
      </c>
      <c r="H1270" s="1185" t="s">
        <v>457</v>
      </c>
      <c r="I1270" s="1270" t="s">
        <v>3465</v>
      </c>
      <c r="J1270" s="1186" t="str">
        <f>VLOOKUP($I1270,'Price List, Weapons &amp; Items'!B:C,2,0)</f>
        <v>Heavy weapon</v>
      </c>
      <c r="K1270" s="1186" t="str">
        <f>IF(I1270=".",I1270,VLOOKUP($I1270,'Price List, Weapons &amp; Items'!B:D,3,0))</f>
        <v>Armored Utility Vehicle (AUV)</v>
      </c>
      <c r="L1270" s="1187">
        <f>VLOOKUP(I1270,'Price List, Weapons &amp; Items'!B:E,4,0)</f>
        <v>0</v>
      </c>
      <c r="M1270" s="1188">
        <v>1</v>
      </c>
      <c r="N1270" s="1188">
        <v>1</v>
      </c>
      <c r="O1270" s="1188">
        <f>VLOOKUP($I1270,'Price List, Weapons &amp; Items'!B:G,6,0)</f>
        <v>461730</v>
      </c>
      <c r="P1270" s="1185">
        <f t="shared" si="262"/>
        <v>461730</v>
      </c>
      <c r="Q1270" s="1185">
        <f t="shared" si="263"/>
        <v>461730</v>
      </c>
      <c r="R1270" s="1185" t="str">
        <f t="shared" si="259"/>
        <v/>
      </c>
      <c r="S1270" s="1185" t="str">
        <f>IF(AND(AD1270=1,R1270&lt;&gt;".")=TRUE,R1270/VLOOKUP(G1270,'Exchange Rates'!B:C,2,0),IF(R1270=".",".",""))</f>
        <v/>
      </c>
      <c r="T1270" s="1185" t="str">
        <f>IF(AD1270=1,IF(AF1270="Value is not given at all",".",IF(AF1270="Value is given by the source",S1270,IF(AF1270="Value is calculated with prices",(IF(SUMIFS(Q:Q,A:A,A1270)&gt;0,SUMIFS(Q:Q,A:A,A1270),"."))/VLOOKUP("USD",'Exchange Rates'!B:C,2,0),"Error with coding"))),"")</f>
        <v/>
      </c>
      <c r="U1270" s="1187" t="s">
        <v>365</v>
      </c>
      <c r="V1270" s="998" t="s">
        <v>3485</v>
      </c>
      <c r="W1270" s="993" t="s">
        <v>3494</v>
      </c>
      <c r="X1270" s="1190" t="s">
        <v>364</v>
      </c>
      <c r="Y1270" s="1190" t="s">
        <v>364</v>
      </c>
      <c r="Z1270" s="1187">
        <v>0</v>
      </c>
      <c r="AA1270" s="1194">
        <v>0</v>
      </c>
      <c r="AB1270" s="1016" t="s">
        <v>3485</v>
      </c>
      <c r="AC1270" s="1192" t="str">
        <f>""</f>
        <v/>
      </c>
      <c r="AD1270" s="985">
        <v>0</v>
      </c>
      <c r="AE1270" s="985" t="s">
        <v>436</v>
      </c>
      <c r="AF1270" s="985" t="s">
        <v>436</v>
      </c>
      <c r="AG1270" s="985">
        <v>1</v>
      </c>
      <c r="AH1270" s="1193">
        <v>10</v>
      </c>
      <c r="AI1270" s="1193">
        <v>0</v>
      </c>
      <c r="AJ1270" s="1193">
        <f>VLOOKUP($I1270,'Price List, Weapons &amp; Items'!B:F,5,0)</f>
        <v>1</v>
      </c>
      <c r="AK1270" s="1193">
        <f t="shared" si="264"/>
        <v>0</v>
      </c>
      <c r="AL1270" s="1193">
        <f t="shared" si="265"/>
        <v>0</v>
      </c>
      <c r="AM1270" s="1193">
        <f t="shared" si="266"/>
        <v>0</v>
      </c>
      <c r="AN1270" s="1194" t="str">
        <f>VLOOKUP($I1270,'Price List, Weapons &amp; Items'!B:L,COLUMN('Price List, Weapons &amp; Items'!$J$11)-1,0)</f>
        <v>Media reports (incl. social media)</v>
      </c>
      <c r="AO1270" s="1194" t="str">
        <f>IF(I1270=".",".",VLOOKUP($I1270,'Price List, Weapons &amp; Items'!B:J,3,0))</f>
        <v>Armored Utility Vehicle (AUV)</v>
      </c>
      <c r="AP1270" s="1195" t="str">
        <f t="shared" ca="1" si="260"/>
        <v/>
      </c>
      <c r="AQ1270" s="1194">
        <f>VLOOKUP($I1270,'Price List, Weapons &amp; Items'!B:L,COLUMN('Price List, Weapons &amp; Items'!$L$11)-1,0)</f>
        <v>2</v>
      </c>
      <c r="AR1270" s="1194">
        <f t="shared" si="267"/>
        <v>1</v>
      </c>
      <c r="AS1270" s="1194">
        <f t="shared" si="268"/>
        <v>1</v>
      </c>
      <c r="AT1270" s="1194">
        <f t="shared" si="269"/>
        <v>1</v>
      </c>
      <c r="AU1270" s="1194" t="str">
        <f t="shared" si="272"/>
        <v>.</v>
      </c>
      <c r="AV1270" s="1194" t="str">
        <f t="shared" si="261"/>
        <v>.</v>
      </c>
      <c r="AW1270" s="1194" t="str">
        <f t="shared" si="271"/>
        <v>.</v>
      </c>
      <c r="AX1270" s="1194">
        <f>IFERROR(VLOOKUP(B1270,'Share, Heavy Weapons to Ukraine'!B:Z,COLUMN('Share, Heavy Weapons to Ukraine'!C1282)-1,0),0)</f>
        <v>0</v>
      </c>
      <c r="AY1270" s="1194">
        <f>VLOOKUP('Bilateral Assistance, MAIN DATA'!B1270,'Country Summary (€)'!B:F,COLUMN('Country Summary (€)'!C1283)-1,FALSE)</f>
        <v>1</v>
      </c>
      <c r="AZ1270" s="1194" t="str">
        <f>IF(AND(AD1270=1,D1270="Military",H1270&lt;&gt;"Not given")=TRUE,IF(SUMIFS(P:P,A:A,A1270)&gt;0,ABS((SUMIFS(P:P,A:A,A1270)/VLOOKUP("USD",'Exchange Rates'!B:C,2,0)))/S1270,"."),".")</f>
        <v>.</v>
      </c>
      <c r="BA1270" s="1196" t="str">
        <f>IF(AND(AD1270=1,D1270="Military",H1270&lt;&gt;"Not given")=TRUE,IF(SUMIFS(P:P,A:A,A1270)&gt;0,IF((ABS((SUMIFS(P:P,A:A,A1270)/VLOOKUP("USD",'Exchange Rates'!B:C,2,0)))/S1270)&gt;1,(SUMIFS(P:P,A:A,A1270)-S1270)/S1270,(S1270-SUMIFS(P:P,A:A,A1270))/SUMIFS(P:P,A:A,A1270)),"."),".")</f>
        <v>.</v>
      </c>
    </row>
    <row r="1271" spans="1:53" ht="15.95" customHeight="1">
      <c r="A1271" s="1180" t="s">
        <v>3491</v>
      </c>
      <c r="B1271" s="1180" t="s">
        <v>3412</v>
      </c>
      <c r="C1271" s="1181">
        <v>44840</v>
      </c>
      <c r="D1271" s="1182" t="s">
        <v>389</v>
      </c>
      <c r="E1271" s="1182" t="s">
        <v>390</v>
      </c>
      <c r="F1271" s="1183" t="s">
        <v>3492</v>
      </c>
      <c r="G1271" s="1184" t="s">
        <v>456</v>
      </c>
      <c r="H1271" s="1185" t="s">
        <v>457</v>
      </c>
      <c r="I1271" s="1270" t="s">
        <v>1561</v>
      </c>
      <c r="J1271" s="1186" t="str">
        <f>VLOOKUP($I1271,'Price List, Weapons &amp; Items'!B:C,2,0)</f>
        <v>Humanitarian</v>
      </c>
      <c r="K1271" s="1186" t="str">
        <f>IF(I1271=".",I1271,VLOOKUP($I1271,'Price List, Weapons &amp; Items'!B:D,3,0))</f>
        <v>Humanitarian</v>
      </c>
      <c r="L1271" s="1187">
        <f>VLOOKUP(I1271,'Price List, Weapons &amp; Items'!B:E,4,0)</f>
        <v>0</v>
      </c>
      <c r="M1271" s="1188">
        <v>5</v>
      </c>
      <c r="N1271" s="1188">
        <v>5</v>
      </c>
      <c r="O1271" s="1188">
        <f>VLOOKUP($I1271,'Price List, Weapons &amp; Items'!B:G,6,0)</f>
        <v>10000</v>
      </c>
      <c r="P1271" s="1185">
        <f t="shared" si="262"/>
        <v>50000</v>
      </c>
      <c r="Q1271" s="1185">
        <f t="shared" si="263"/>
        <v>50000</v>
      </c>
      <c r="R1271" s="1185" t="str">
        <f t="shared" si="259"/>
        <v/>
      </c>
      <c r="S1271" s="1185" t="str">
        <f>IF(AND(AD1271=1,R1271&lt;&gt;".")=TRUE,R1271/VLOOKUP(G1271,'Exchange Rates'!B:C,2,0),IF(R1271=".",".",""))</f>
        <v/>
      </c>
      <c r="T1271" s="1185" t="str">
        <f>IF(AD1271=1,IF(AF1271="Value is not given at all",".",IF(AF1271="Value is given by the source",S1271,IF(AF1271="Value is calculated with prices",(IF(SUMIFS(Q:Q,A:A,A1271)&gt;0,SUMIFS(Q:Q,A:A,A1271),"."))/VLOOKUP("USD",'Exchange Rates'!B:C,2,0),"Error with coding"))),"")</f>
        <v/>
      </c>
      <c r="U1271" s="1187" t="s">
        <v>365</v>
      </c>
      <c r="V1271" s="998" t="s">
        <v>3485</v>
      </c>
      <c r="W1271" s="993" t="s">
        <v>3494</v>
      </c>
      <c r="X1271" s="1190" t="s">
        <v>364</v>
      </c>
      <c r="Y1271" s="1190" t="s">
        <v>364</v>
      </c>
      <c r="Z1271" s="1187">
        <v>0</v>
      </c>
      <c r="AA1271" s="1194">
        <v>0</v>
      </c>
      <c r="AB1271" s="1016" t="s">
        <v>3485</v>
      </c>
      <c r="AC1271" s="1192" t="str">
        <f>""</f>
        <v/>
      </c>
      <c r="AD1271" s="985">
        <v>0</v>
      </c>
      <c r="AE1271" s="985" t="s">
        <v>436</v>
      </c>
      <c r="AF1271" s="985" t="s">
        <v>436</v>
      </c>
      <c r="AG1271" s="985">
        <v>1</v>
      </c>
      <c r="AH1271" s="1193">
        <v>10</v>
      </c>
      <c r="AI1271" s="1193">
        <v>0</v>
      </c>
      <c r="AJ1271" s="1193">
        <f>VLOOKUP($I1271,'Price List, Weapons &amp; Items'!B:F,5,0)</f>
        <v>0</v>
      </c>
      <c r="AK1271" s="1193">
        <f t="shared" si="264"/>
        <v>0</v>
      </c>
      <c r="AL1271" s="1193">
        <f t="shared" si="265"/>
        <v>0</v>
      </c>
      <c r="AM1271" s="1193">
        <f t="shared" si="266"/>
        <v>0</v>
      </c>
      <c r="AN1271" s="1194" t="str">
        <f>VLOOKUP($I1271,'Price List, Weapons &amp; Items'!B:L,COLUMN('Price List, Weapons &amp; Items'!$J$11)-1,0)</f>
        <v>Miscellaneous</v>
      </c>
      <c r="AO1271" s="1194" t="str">
        <f>IF(I1271=".",".",VLOOKUP($I1271,'Price List, Weapons &amp; Items'!B:J,3,0))</f>
        <v>Humanitarian</v>
      </c>
      <c r="AP1271" s="1195" t="str">
        <f t="shared" ca="1" si="260"/>
        <v/>
      </c>
      <c r="AQ1271" s="1194">
        <f>VLOOKUP($I1271,'Price List, Weapons &amp; Items'!B:L,COLUMN('Price List, Weapons &amp; Items'!$L$11)-1,0)</f>
        <v>0</v>
      </c>
      <c r="AR1271" s="1194">
        <f t="shared" si="267"/>
        <v>1</v>
      </c>
      <c r="AS1271" s="1194">
        <f t="shared" si="268"/>
        <v>1</v>
      </c>
      <c r="AT1271" s="1194">
        <f t="shared" si="269"/>
        <v>1</v>
      </c>
      <c r="AU1271" s="1194" t="str">
        <f t="shared" si="272"/>
        <v>.</v>
      </c>
      <c r="AV1271" s="1194" t="str">
        <f t="shared" si="261"/>
        <v>.</v>
      </c>
      <c r="AW1271" s="1194" t="str">
        <f t="shared" si="271"/>
        <v>.</v>
      </c>
      <c r="AX1271" s="1194">
        <f>IFERROR(VLOOKUP(B1271,'Share, Heavy Weapons to Ukraine'!B:Z,COLUMN('Share, Heavy Weapons to Ukraine'!C1283)-1,0),0)</f>
        <v>0</v>
      </c>
      <c r="AY1271" s="1194">
        <f>VLOOKUP('Bilateral Assistance, MAIN DATA'!B1271,'Country Summary (€)'!B:F,COLUMN('Country Summary (€)'!C1284)-1,FALSE)</f>
        <v>1</v>
      </c>
      <c r="AZ1271" s="1194" t="str">
        <f>IF(AND(AD1271=1,D1271="Military",H1271&lt;&gt;"Not given")=TRUE,IF(SUMIFS(P:P,A:A,A1271)&gt;0,ABS((SUMIFS(P:P,A:A,A1271)/VLOOKUP("USD",'Exchange Rates'!B:C,2,0)))/S1271,"."),".")</f>
        <v>.</v>
      </c>
      <c r="BA1271" s="1196" t="str">
        <f>IF(AND(AD1271=1,D1271="Military",H1271&lt;&gt;"Not given")=TRUE,IF(SUMIFS(P:P,A:A,A1271)&gt;0,IF((ABS((SUMIFS(P:P,A:A,A1271)/VLOOKUP("USD",'Exchange Rates'!B:C,2,0)))/S1271)&gt;1,(SUMIFS(P:P,A:A,A1271)-S1271)/S1271,(S1271-SUMIFS(P:P,A:A,A1271))/SUMIFS(P:P,A:A,A1271)),"."),".")</f>
        <v>.</v>
      </c>
    </row>
    <row r="1272" spans="1:53" ht="15.95" customHeight="1">
      <c r="A1272" s="1180" t="s">
        <v>3495</v>
      </c>
      <c r="B1272" s="1180" t="s">
        <v>3412</v>
      </c>
      <c r="C1272" s="1181">
        <v>44847</v>
      </c>
      <c r="D1272" s="1182" t="s">
        <v>389</v>
      </c>
      <c r="E1272" s="1182" t="s">
        <v>443</v>
      </c>
      <c r="F1272" s="1183" t="s">
        <v>3496</v>
      </c>
      <c r="G1272" s="1184" t="s">
        <v>456</v>
      </c>
      <c r="H1272" s="1185" t="s">
        <v>457</v>
      </c>
      <c r="I1272" s="1270" t="s">
        <v>3497</v>
      </c>
      <c r="J1272" s="1186" t="str">
        <f>VLOOKUP($I1272,'Price List, Weapons &amp; Items'!B:C,2,0)</f>
        <v>Heavy weapon</v>
      </c>
      <c r="K1272" s="1186" t="str">
        <f>IF(I1272=".",I1272,VLOOKUP($I1272,'Price List, Weapons &amp; Items'!B:D,3,0))</f>
        <v>Anti-aircraft surface-to-air missile (SAM) system (medium-range)</v>
      </c>
      <c r="L1272" s="1187">
        <f>VLOOKUP(I1272,'Price List, Weapons &amp; Items'!B:E,4,0)</f>
        <v>0</v>
      </c>
      <c r="M1272" s="1188">
        <v>4</v>
      </c>
      <c r="N1272" s="1188">
        <v>4</v>
      </c>
      <c r="O1272" s="1188">
        <f>VLOOKUP($I1272,'Price List, Weapons &amp; Items'!B:G,6,0)</f>
        <v>325604.28293370258</v>
      </c>
      <c r="P1272" s="1185">
        <f t="shared" si="262"/>
        <v>1302417.1317348103</v>
      </c>
      <c r="Q1272" s="1185">
        <f t="shared" si="263"/>
        <v>1302417.1317348103</v>
      </c>
      <c r="R1272" s="1185">
        <f t="shared" si="259"/>
        <v>70519360.901734799</v>
      </c>
      <c r="S1272" s="1185">
        <f>IF(AND(AD1272=1,R1272&lt;&gt;".")=TRUE,R1272/VLOOKUP(G1272,'Exchange Rates'!B:C,2,0),IF(R1272=".",".",""))</f>
        <v>64887155.780028343</v>
      </c>
      <c r="T1272" s="1185">
        <f>IF(AD1272=1,IF(AF1272="Value is not given at all",".",IF(AF1272="Value is given by the source",S1272,IF(AF1272="Value is calculated with prices",(IF(SUMIFS(Q:Q,A:A,A1272)&gt;0,SUMIFS(Q:Q,A:A,A1272),"."))/VLOOKUP("USD",'Exchange Rates'!B:C,2,0),"Error with coding"))),"")</f>
        <v>64887155.780028343</v>
      </c>
      <c r="U1272" s="1187" t="s">
        <v>365</v>
      </c>
      <c r="V1272" s="998" t="s">
        <v>3498</v>
      </c>
      <c r="W1272" s="1284" t="s">
        <v>3499</v>
      </c>
      <c r="X1272" s="994" t="s">
        <v>3500</v>
      </c>
      <c r="Y1272" s="1190" t="s">
        <v>364</v>
      </c>
      <c r="Z1272" s="1187">
        <v>0</v>
      </c>
      <c r="AA1272" s="1194">
        <v>0</v>
      </c>
      <c r="AB1272" s="1016" t="s">
        <v>3501</v>
      </c>
      <c r="AC1272" s="1192" t="str">
        <f>""</f>
        <v/>
      </c>
      <c r="AD1272" s="985">
        <v>1</v>
      </c>
      <c r="AE1272" s="985" t="s">
        <v>436</v>
      </c>
      <c r="AF1272" s="985" t="s">
        <v>436</v>
      </c>
      <c r="AG1272" s="985">
        <v>1</v>
      </c>
      <c r="AH1272" s="1193">
        <v>10</v>
      </c>
      <c r="AI1272" s="1193">
        <v>0</v>
      </c>
      <c r="AJ1272" s="1193">
        <f>VLOOKUP($I1272,'Price List, Weapons &amp; Items'!B:F,5,0)</f>
        <v>0</v>
      </c>
      <c r="AK1272" s="1193">
        <f t="shared" si="264"/>
        <v>0</v>
      </c>
      <c r="AL1272" s="1193">
        <f t="shared" si="265"/>
        <v>0</v>
      </c>
      <c r="AM1272" s="1193">
        <f t="shared" si="266"/>
        <v>0</v>
      </c>
      <c r="AN1272" s="1194" t="str">
        <f>VLOOKUP($I1272,'Price List, Weapons &amp; Items'!B:L,COLUMN('Price List, Weapons &amp; Items'!$J$11)-1,0)</f>
        <v>Contracts</v>
      </c>
      <c r="AO1272" s="1194" t="str">
        <f>IF(I1272=".",".",VLOOKUP($I1272,'Price List, Weapons &amp; Items'!B:J,3,0))</f>
        <v>Anti-aircraft surface-to-air missile (SAM) system (medium-range)</v>
      </c>
      <c r="AP1272" s="1195" t="str">
        <f t="shared" ca="1" si="260"/>
        <v>MIM-23 HAWK</v>
      </c>
      <c r="AQ1272" s="1194">
        <f>VLOOKUP($I1272,'Price List, Weapons &amp; Items'!B:L,COLUMN('Price List, Weapons &amp; Items'!$L$11)-1,0)</f>
        <v>2</v>
      </c>
      <c r="AR1272" s="1194">
        <f t="shared" si="267"/>
        <v>1</v>
      </c>
      <c r="AS1272" s="1194">
        <f t="shared" si="268"/>
        <v>1</v>
      </c>
      <c r="AT1272" s="1194">
        <f t="shared" si="269"/>
        <v>1</v>
      </c>
      <c r="AU1272" s="1194" t="str">
        <f t="shared" si="272"/>
        <v>.</v>
      </c>
      <c r="AV1272" s="1194" t="str">
        <f t="shared" si="261"/>
        <v>.</v>
      </c>
      <c r="AW1272" s="1194" t="str">
        <f t="shared" si="271"/>
        <v>.</v>
      </c>
      <c r="AX1272" s="1194">
        <f>IFERROR(VLOOKUP(B1272,'Share, Heavy Weapons to Ukraine'!B:Z,COLUMN('Share, Heavy Weapons to Ukraine'!C1284)-1,0),0)</f>
        <v>0</v>
      </c>
      <c r="AY1272" s="1194">
        <f>VLOOKUP('Bilateral Assistance, MAIN DATA'!B1272,'Country Summary (€)'!B:F,COLUMN('Country Summary (€)'!C1285)-1,FALSE)</f>
        <v>1</v>
      </c>
      <c r="AZ1272" s="1194" t="str">
        <f>IF(AND(AD1272=1,D1272="Military",H1272&lt;&gt;"Not given")=TRUE,IF(SUMIFS(P:P,A:A,A1272)&gt;0,ABS((SUMIFS(P:P,A:A,A1272)/VLOOKUP("USD",'Exchange Rates'!B:C,2,0)))/S1272,"."),".")</f>
        <v>.</v>
      </c>
      <c r="BA1272" s="1196" t="str">
        <f>IF(AND(AD1272=1,D1272="Military",H1272&lt;&gt;"Not given")=TRUE,IF(SUMIFS(P:P,A:A,A1272)&gt;0,IF((ABS((SUMIFS(P:P,A:A,A1272)/VLOOKUP("USD",'Exchange Rates'!B:C,2,0)))/S1272)&gt;1,(SUMIFS(P:P,A:A,A1272)-S1272)/S1272,(S1272-SUMIFS(P:P,A:A,A1272))/SUMIFS(P:P,A:A,A1272)),"."),".")</f>
        <v>.</v>
      </c>
    </row>
    <row r="1273" spans="1:53" ht="15.95" customHeight="1">
      <c r="A1273" s="1180" t="s">
        <v>3495</v>
      </c>
      <c r="B1273" s="1180" t="s">
        <v>3412</v>
      </c>
      <c r="C1273" s="1181">
        <v>44847</v>
      </c>
      <c r="D1273" s="1182" t="s">
        <v>389</v>
      </c>
      <c r="E1273" s="1182" t="s">
        <v>443</v>
      </c>
      <c r="F1273" s="1183" t="s">
        <v>3496</v>
      </c>
      <c r="G1273" s="1184" t="s">
        <v>456</v>
      </c>
      <c r="H1273" s="1185" t="s">
        <v>457</v>
      </c>
      <c r="I1273" s="1190" t="s">
        <v>3502</v>
      </c>
      <c r="J1273" s="1186" t="str">
        <f>VLOOKUP($I1273,'Price List, Weapons &amp; Items'!B:C,2,0)</f>
        <v>Heavy weapon</v>
      </c>
      <c r="K1273" s="1186" t="str">
        <f>IF(I1273=".",I1273,VLOOKUP($I1273,'Price List, Weapons &amp; Items'!B:D,3,0))</f>
        <v>Anti-aircraft surface-to-air missile (SAM) system (short-range)</v>
      </c>
      <c r="L1273" s="1187">
        <f>VLOOKUP(I1273,'Price List, Weapons &amp; Items'!B:E,4,0)</f>
        <v>0</v>
      </c>
      <c r="M1273" s="1188">
        <v>1</v>
      </c>
      <c r="N1273" s="1188">
        <v>1</v>
      </c>
      <c r="O1273" s="1188">
        <f>VLOOKUP($I1273,'Price List, Weapons &amp; Items'!B:G,6,0)</f>
        <v>69216943.769999996</v>
      </c>
      <c r="P1273" s="1185">
        <f t="shared" si="262"/>
        <v>69216943.769999996</v>
      </c>
      <c r="Q1273" s="1185">
        <f t="shared" si="263"/>
        <v>69216943.769999996</v>
      </c>
      <c r="R1273" s="1185" t="str">
        <f t="shared" si="259"/>
        <v/>
      </c>
      <c r="S1273" s="1185" t="str">
        <f>IF(AND(AD1273=1,R1273&lt;&gt;".")=TRUE,R1273/VLOOKUP(G1273,'Exchange Rates'!B:C,2,0),IF(R1273=".",".",""))</f>
        <v/>
      </c>
      <c r="T1273" s="1185" t="str">
        <f>IF(AD1273=1,IF(AF1273="Value is not given at all",".",IF(AF1273="Value is given by the source",S1273,IF(AF1273="Value is calculated with prices",(IF(SUMIFS(Q:Q,A:A,A1273)&gt;0,SUMIFS(Q:Q,A:A,A1273),"."))/VLOOKUP("USD",'Exchange Rates'!B:C,2,0),"Error with coding"))),"")</f>
        <v/>
      </c>
      <c r="U1273" s="1187" t="s">
        <v>365</v>
      </c>
      <c r="V1273" s="998" t="s">
        <v>3498</v>
      </c>
      <c r="W1273" s="1284" t="s">
        <v>3499</v>
      </c>
      <c r="X1273" s="994" t="s">
        <v>3500</v>
      </c>
      <c r="Y1273" s="1190" t="s">
        <v>364</v>
      </c>
      <c r="Z1273" s="1187">
        <v>0</v>
      </c>
      <c r="AA1273" s="1194">
        <v>0</v>
      </c>
      <c r="AB1273" s="1016" t="s">
        <v>3501</v>
      </c>
      <c r="AC1273" s="1192" t="str">
        <f>""</f>
        <v/>
      </c>
      <c r="AD1273" s="985">
        <v>0</v>
      </c>
      <c r="AE1273" s="985" t="s">
        <v>436</v>
      </c>
      <c r="AF1273" s="985" t="s">
        <v>436</v>
      </c>
      <c r="AG1273" s="985">
        <v>1</v>
      </c>
      <c r="AH1273" s="1193">
        <v>10</v>
      </c>
      <c r="AI1273" s="1193">
        <v>0</v>
      </c>
      <c r="AJ1273" s="1193">
        <f>VLOOKUP($I1273,'Price List, Weapons &amp; Items'!B:F,5,0)</f>
        <v>0</v>
      </c>
      <c r="AK1273" s="1193">
        <f t="shared" si="264"/>
        <v>0</v>
      </c>
      <c r="AL1273" s="1193">
        <f t="shared" si="265"/>
        <v>0</v>
      </c>
      <c r="AM1273" s="1193">
        <f t="shared" si="266"/>
        <v>0</v>
      </c>
      <c r="AN1273" s="1194" t="str">
        <f>VLOOKUP($I1273,'Price List, Weapons &amp; Items'!B:L,COLUMN('Price List, Weapons &amp; Items'!$J$11)-1,0)</f>
        <v>Contracts</v>
      </c>
      <c r="AO1273" s="1194" t="str">
        <f>IF(I1273=".",".",VLOOKUP($I1273,'Price List, Weapons &amp; Items'!B:J,3,0))</f>
        <v>Anti-aircraft surface-to-air missile (SAM) system (short-range)</v>
      </c>
      <c r="AP1273" s="1195" t="str">
        <f t="shared" ca="1" si="260"/>
        <v/>
      </c>
      <c r="AQ1273" s="1194">
        <f>VLOOKUP($I1273,'Price List, Weapons &amp; Items'!B:L,COLUMN('Price List, Weapons &amp; Items'!$L$11)-1,0)</f>
        <v>2</v>
      </c>
      <c r="AR1273" s="1194">
        <f t="shared" si="267"/>
        <v>1</v>
      </c>
      <c r="AS1273" s="1194">
        <f t="shared" si="268"/>
        <v>1</v>
      </c>
      <c r="AT1273" s="1194">
        <f t="shared" si="269"/>
        <v>1</v>
      </c>
      <c r="AU1273" s="1194" t="str">
        <f t="shared" si="272"/>
        <v>.</v>
      </c>
      <c r="AV1273" s="1194" t="str">
        <f t="shared" si="261"/>
        <v>.</v>
      </c>
      <c r="AW1273" s="1194" t="str">
        <f t="shared" si="271"/>
        <v>.</v>
      </c>
      <c r="AX1273" s="1194">
        <f>IFERROR(VLOOKUP(B1273,'Share, Heavy Weapons to Ukraine'!B:Z,COLUMN('Share, Heavy Weapons to Ukraine'!C1285)-1,0),0)</f>
        <v>0</v>
      </c>
      <c r="AY1273" s="1194">
        <f>VLOOKUP('Bilateral Assistance, MAIN DATA'!B1273,'Country Summary (€)'!B:F,COLUMN('Country Summary (€)'!C1286)-1,FALSE)</f>
        <v>1</v>
      </c>
      <c r="AZ1273" s="1194" t="str">
        <f>IF(AND(AD1273=1,D1273="Military",H1273&lt;&gt;"Not given")=TRUE,IF(SUMIFS(P:P,A:A,A1273)&gt;0,ABS((SUMIFS(P:P,A:A,A1273)/VLOOKUP("USD",'Exchange Rates'!B:C,2,0)))/S1273,"."),".")</f>
        <v>.</v>
      </c>
      <c r="BA1273" s="1196" t="str">
        <f>IF(AND(AD1273=1,D1273="Military",H1273&lt;&gt;"Not given")=TRUE,IF(SUMIFS(P:P,A:A,A1273)&gt;0,IF((ABS((SUMIFS(P:P,A:A,A1273)/VLOOKUP("USD",'Exchange Rates'!B:C,2,0)))/S1273)&gt;1,(SUMIFS(P:P,A:A,A1273)-S1273)/S1273,(S1273-SUMIFS(P:P,A:A,A1273))/SUMIFS(P:P,A:A,A1273)),"."),".")</f>
        <v>.</v>
      </c>
    </row>
    <row r="1274" spans="1:53" ht="15.95" customHeight="1">
      <c r="A1274" s="1180" t="s">
        <v>3495</v>
      </c>
      <c r="B1274" s="1180" t="s">
        <v>3412</v>
      </c>
      <c r="C1274" s="1181">
        <v>44847</v>
      </c>
      <c r="D1274" s="1182" t="s">
        <v>389</v>
      </c>
      <c r="E1274" s="1182" t="s">
        <v>443</v>
      </c>
      <c r="F1274" s="1183" t="s">
        <v>3496</v>
      </c>
      <c r="G1274" s="1184" t="s">
        <v>456</v>
      </c>
      <c r="H1274" s="1185" t="s">
        <v>457</v>
      </c>
      <c r="I1274" s="1270" t="s">
        <v>3469</v>
      </c>
      <c r="J1274" s="1186" t="str">
        <f>VLOOKUP($I1274,'Price List, Weapons &amp; Items'!B:C,2,0)</f>
        <v>Ammunition for heavy weapon</v>
      </c>
      <c r="K1274" s="1186" t="str">
        <f>IF(I1274=".",I1274,VLOOKUP($I1274,'Price List, Weapons &amp; Items'!B:D,3,0))</f>
        <v>Anti-aircraft system ammunition</v>
      </c>
      <c r="L1274" s="1187">
        <f>VLOOKUP(I1274,'Price List, Weapons &amp; Items'!B:E,4,0)</f>
        <v>0</v>
      </c>
      <c r="M1274" s="1188" t="s">
        <v>374</v>
      </c>
      <c r="N1274" s="1188" t="s">
        <v>374</v>
      </c>
      <c r="O1274" s="1188">
        <f>VLOOKUP($I1274,'Price List, Weapons &amp; Items'!B:G,6,0)</f>
        <v>100000</v>
      </c>
      <c r="P1274" s="1185" t="str">
        <f t="shared" si="262"/>
        <v>.</v>
      </c>
      <c r="Q1274" s="1185" t="str">
        <f t="shared" si="263"/>
        <v>.</v>
      </c>
      <c r="R1274" s="1185" t="str">
        <f t="shared" si="259"/>
        <v/>
      </c>
      <c r="S1274" s="1185" t="str">
        <f>IF(AND(AD1274=1,R1274&lt;&gt;".")=TRUE,R1274/VLOOKUP(G1274,'Exchange Rates'!B:C,2,0),IF(R1274=".",".",""))</f>
        <v/>
      </c>
      <c r="T1274" s="1185" t="str">
        <f>IF(AD1274=1,IF(AF1274="Value is not given at all",".",IF(AF1274="Value is given by the source",S1274,IF(AF1274="Value is calculated with prices",(IF(SUMIFS(Q:Q,A:A,A1274)&gt;0,SUMIFS(Q:Q,A:A,A1274),"."))/VLOOKUP("USD",'Exchange Rates'!B:C,2,0),"Error with coding"))),"")</f>
        <v/>
      </c>
      <c r="U1274" s="1187" t="s">
        <v>365</v>
      </c>
      <c r="V1274" s="998" t="s">
        <v>3498</v>
      </c>
      <c r="W1274" s="1284" t="s">
        <v>3499</v>
      </c>
      <c r="X1274" s="994" t="s">
        <v>3500</v>
      </c>
      <c r="Y1274" s="1190" t="s">
        <v>364</v>
      </c>
      <c r="Z1274" s="1187">
        <v>0</v>
      </c>
      <c r="AA1274" s="1194">
        <v>0</v>
      </c>
      <c r="AB1274" s="1016" t="s">
        <v>3501</v>
      </c>
      <c r="AC1274" s="1192" t="str">
        <f>""</f>
        <v/>
      </c>
      <c r="AD1274" s="985">
        <v>0</v>
      </c>
      <c r="AE1274" s="985" t="s">
        <v>436</v>
      </c>
      <c r="AF1274" s="985" t="s">
        <v>436</v>
      </c>
      <c r="AG1274" s="985">
        <v>1</v>
      </c>
      <c r="AH1274" s="1193">
        <v>10</v>
      </c>
      <c r="AI1274" s="1193">
        <v>0</v>
      </c>
      <c r="AJ1274" s="1193">
        <f>VLOOKUP($I1274,'Price List, Weapons &amp; Items'!B:F,5,0)</f>
        <v>0</v>
      </c>
      <c r="AK1274" s="1193">
        <f t="shared" si="264"/>
        <v>0</v>
      </c>
      <c r="AL1274" s="1193">
        <f t="shared" si="265"/>
        <v>0</v>
      </c>
      <c r="AM1274" s="1193">
        <f t="shared" si="266"/>
        <v>0</v>
      </c>
      <c r="AN1274" s="1194" t="str">
        <f>VLOOKUP($I1274,'Price List, Weapons &amp; Items'!B:L,COLUMN('Price List, Weapons &amp; Items'!$J$11)-1,0)</f>
        <v>Military media (incl. websites)</v>
      </c>
      <c r="AO1274" s="1194" t="str">
        <f>IF(I1274=".",".",VLOOKUP($I1274,'Price List, Weapons &amp; Items'!B:J,3,0))</f>
        <v>Anti-aircraft system ammunition</v>
      </c>
      <c r="AP1274" s="1195" t="str">
        <f t="shared" ca="1" si="260"/>
        <v/>
      </c>
      <c r="AQ1274" s="1194" t="str">
        <f>VLOOKUP($I1274,'Price List, Weapons &amp; Items'!B:L,COLUMN('Price List, Weapons &amp; Items'!$L$11)-1,0)</f>
        <v>no price, 0 count</v>
      </c>
      <c r="AR1274" s="1194">
        <f t="shared" si="267"/>
        <v>1</v>
      </c>
      <c r="AS1274" s="1194">
        <f t="shared" si="268"/>
        <v>1</v>
      </c>
      <c r="AT1274" s="1194">
        <f t="shared" si="269"/>
        <v>1</v>
      </c>
      <c r="AU1274" s="1194" t="str">
        <f t="shared" si="272"/>
        <v>.</v>
      </c>
      <c r="AV1274" s="1194" t="str">
        <f t="shared" si="261"/>
        <v>.</v>
      </c>
      <c r="AW1274" s="1194" t="str">
        <f t="shared" si="271"/>
        <v>.</v>
      </c>
      <c r="AX1274" s="1194">
        <f>IFERROR(VLOOKUP(B1274,'Share, Heavy Weapons to Ukraine'!B:Z,COLUMN('Share, Heavy Weapons to Ukraine'!C1286)-1,0),0)</f>
        <v>0</v>
      </c>
      <c r="AY1274" s="1194">
        <f>VLOOKUP('Bilateral Assistance, MAIN DATA'!B1274,'Country Summary (€)'!B:F,COLUMN('Country Summary (€)'!C1287)-1,FALSE)</f>
        <v>1</v>
      </c>
      <c r="AZ1274" s="1194" t="str">
        <f>IF(AND(AD1274=1,D1274="Military",H1274&lt;&gt;"Not given")=TRUE,IF(SUMIFS(P:P,A:A,A1274)&gt;0,ABS((SUMIFS(P:P,A:A,A1274)/VLOOKUP("USD",'Exchange Rates'!B:C,2,0)))/S1274,"."),".")</f>
        <v>.</v>
      </c>
      <c r="BA1274" s="1196" t="str">
        <f>IF(AND(AD1274=1,D1274="Military",H1274&lt;&gt;"Not given")=TRUE,IF(SUMIFS(P:P,A:A,A1274)&gt;0,IF((ABS((SUMIFS(P:P,A:A,A1274)/VLOOKUP("USD",'Exchange Rates'!B:C,2,0)))/S1274)&gt;1,(SUMIFS(P:P,A:A,A1274)-S1274)/S1274,(S1274-SUMIFS(P:P,A:A,A1274))/SUMIFS(P:P,A:A,A1274)),"."),".")</f>
        <v>.</v>
      </c>
    </row>
    <row r="1275" spans="1:53" ht="15.95" customHeight="1">
      <c r="A1275" s="1180" t="s">
        <v>3503</v>
      </c>
      <c r="B1275" s="1180" t="s">
        <v>3412</v>
      </c>
      <c r="C1275" s="1181">
        <v>44867</v>
      </c>
      <c r="D1275" s="1182" t="s">
        <v>389</v>
      </c>
      <c r="E1275" s="1182" t="s">
        <v>443</v>
      </c>
      <c r="F1275" s="1183" t="s">
        <v>3504</v>
      </c>
      <c r="G1275" s="1184" t="s">
        <v>456</v>
      </c>
      <c r="H1275" s="1185" t="s">
        <v>457</v>
      </c>
      <c r="I1275" s="1270" t="s">
        <v>3497</v>
      </c>
      <c r="J1275" s="1186" t="str">
        <f>VLOOKUP($I1275,'Price List, Weapons &amp; Items'!B:C,2,0)</f>
        <v>Heavy weapon</v>
      </c>
      <c r="K1275" s="1186" t="str">
        <f>IF(I1275=".",I1275,VLOOKUP($I1275,'Price List, Weapons &amp; Items'!B:D,3,0))</f>
        <v>Anti-aircraft surface-to-air missile (SAM) system (medium-range)</v>
      </c>
      <c r="L1275" s="1187">
        <f>VLOOKUP(I1275,'Price List, Weapons &amp; Items'!B:E,4,0)</f>
        <v>0</v>
      </c>
      <c r="M1275" s="1188">
        <v>2</v>
      </c>
      <c r="N1275" s="1188">
        <v>2</v>
      </c>
      <c r="O1275" s="1188">
        <f>VLOOKUP($I1275,'Price List, Weapons &amp; Items'!B:G,6,0)</f>
        <v>325604.28293370258</v>
      </c>
      <c r="P1275" s="1185">
        <f t="shared" si="262"/>
        <v>651208.56586740515</v>
      </c>
      <c r="Q1275" s="1185">
        <f t="shared" si="263"/>
        <v>651208.56586740515</v>
      </c>
      <c r="R1275" s="1185">
        <f t="shared" si="259"/>
        <v>8931982.7219532821</v>
      </c>
      <c r="S1275" s="1185">
        <f>IF(AND(AD1275=1,R1275&lt;&gt;".")=TRUE,R1275/VLOOKUP(G1275,'Exchange Rates'!B:C,2,0),IF(R1275=".",".",""))</f>
        <v>8218607.5836890712</v>
      </c>
      <c r="T1275" s="1185">
        <f>IF(AD1275=1,IF(AF1275="Value is not given at all",".",IF(AF1275="Value is given by the source",S1275,IF(AF1275="Value is calculated with prices",(IF(SUMIFS(Q:Q,A:A,A1275)&gt;0,SUMIFS(Q:Q,A:A,A1275),"."))/VLOOKUP("USD",'Exchange Rates'!B:C,2,0),"Error with coding"))),"")</f>
        <v>8218607.5836890712</v>
      </c>
      <c r="U1275" s="1184" t="s">
        <v>365</v>
      </c>
      <c r="V1275" s="993" t="s">
        <v>3505</v>
      </c>
      <c r="W1275" s="998" t="s">
        <v>3506</v>
      </c>
      <c r="X1275" s="1190" t="s">
        <v>364</v>
      </c>
      <c r="Y1275" s="1190" t="s">
        <v>364</v>
      </c>
      <c r="Z1275" s="1187">
        <v>0</v>
      </c>
      <c r="AA1275" s="1194">
        <v>0</v>
      </c>
      <c r="AB1275" s="977" t="s">
        <v>3507</v>
      </c>
      <c r="AC1275" s="1192" t="str">
        <f>""</f>
        <v/>
      </c>
      <c r="AD1275" s="985">
        <v>1</v>
      </c>
      <c r="AE1275" s="985" t="s">
        <v>436</v>
      </c>
      <c r="AF1275" s="985" t="s">
        <v>436</v>
      </c>
      <c r="AG1275" s="985">
        <v>1</v>
      </c>
      <c r="AH1275" s="1193">
        <v>11</v>
      </c>
      <c r="AI1275" s="1193">
        <v>0</v>
      </c>
      <c r="AJ1275" s="1193">
        <f>VLOOKUP($I1275,'Price List, Weapons &amp; Items'!B:F,5,0)</f>
        <v>0</v>
      </c>
      <c r="AK1275" s="1193">
        <f t="shared" si="264"/>
        <v>0</v>
      </c>
      <c r="AL1275" s="1193">
        <f t="shared" si="265"/>
        <v>0</v>
      </c>
      <c r="AM1275" s="1193">
        <f t="shared" si="266"/>
        <v>0</v>
      </c>
      <c r="AN1275" s="1194" t="str">
        <f>VLOOKUP($I1275,'Price List, Weapons &amp; Items'!B:L,COLUMN('Price List, Weapons &amp; Items'!$J$11)-1,0)</f>
        <v>Contracts</v>
      </c>
      <c r="AO1275" s="1194" t="str">
        <f>IF(I1275=".",".",VLOOKUP($I1275,'Price List, Weapons &amp; Items'!B:J,3,0))</f>
        <v>Anti-aircraft surface-to-air missile (SAM) system (medium-range)</v>
      </c>
      <c r="AP1275" s="1195" t="str">
        <f t="shared" ca="1" si="260"/>
        <v>MIM-23 HAWK</v>
      </c>
      <c r="AQ1275" s="1194">
        <f>VLOOKUP($I1275,'Price List, Weapons &amp; Items'!B:L,COLUMN('Price List, Weapons &amp; Items'!$L$11)-1,0)</f>
        <v>2</v>
      </c>
      <c r="AR1275" s="1194">
        <f t="shared" si="267"/>
        <v>1</v>
      </c>
      <c r="AS1275" s="1194">
        <f t="shared" si="268"/>
        <v>1</v>
      </c>
      <c r="AT1275" s="1194">
        <f t="shared" si="269"/>
        <v>1</v>
      </c>
      <c r="AU1275" s="1194" t="str">
        <f t="shared" si="272"/>
        <v>.</v>
      </c>
      <c r="AV1275" s="1194" t="str">
        <f t="shared" si="261"/>
        <v>.</v>
      </c>
      <c r="AW1275" s="1194" t="str">
        <f t="shared" si="271"/>
        <v>.</v>
      </c>
      <c r="AX1275" s="1194">
        <f>IFERROR(VLOOKUP(B1275,'Share, Heavy Weapons to Ukraine'!B:Z,COLUMN('Share, Heavy Weapons to Ukraine'!C1287)-1,0),0)</f>
        <v>0</v>
      </c>
      <c r="AY1275" s="1194">
        <f>VLOOKUP('Bilateral Assistance, MAIN DATA'!B1275,'Country Summary (€)'!B:F,COLUMN('Country Summary (€)'!C1288)-1,FALSE)</f>
        <v>1</v>
      </c>
      <c r="AZ1275" s="1194" t="str">
        <f>IF(AND(AD1275=1,D1275="Military",H1275&lt;&gt;"Not given")=TRUE,IF(SUMIFS(P:P,A:A,A1275)&gt;0,ABS((SUMIFS(P:P,A:A,A1275)/VLOOKUP("USD",'Exchange Rates'!B:C,2,0)))/S1275,"."),".")</f>
        <v>.</v>
      </c>
      <c r="BA1275" s="1196" t="str">
        <f>IF(AND(AD1275=1,D1275="Military",H1275&lt;&gt;"Not given")=TRUE,IF(SUMIFS(P:P,A:A,A1275)&gt;0,IF((ABS((SUMIFS(P:P,A:A,A1275)/VLOOKUP("USD",'Exchange Rates'!B:C,2,0)))/S1275)&gt;1,(SUMIFS(P:P,A:A,A1275)-S1275)/S1275,(S1275-SUMIFS(P:P,A:A,A1275))/SUMIFS(P:P,A:A,A1275)),"."),".")</f>
        <v>.</v>
      </c>
    </row>
    <row r="1276" spans="1:53" ht="15.95" customHeight="1">
      <c r="A1276" s="1180" t="s">
        <v>3503</v>
      </c>
      <c r="B1276" s="1180" t="s">
        <v>3412</v>
      </c>
      <c r="C1276" s="1181">
        <v>44867</v>
      </c>
      <c r="D1276" s="1182" t="s">
        <v>389</v>
      </c>
      <c r="E1276" s="1182" t="s">
        <v>443</v>
      </c>
      <c r="F1276" s="1183" t="s">
        <v>3504</v>
      </c>
      <c r="G1276" s="1184" t="s">
        <v>456</v>
      </c>
      <c r="H1276" s="1185" t="s">
        <v>457</v>
      </c>
      <c r="I1276" s="1190" t="s">
        <v>3508</v>
      </c>
      <c r="J1276" s="1186" t="str">
        <f>VLOOKUP($I1276,'Price List, Weapons &amp; Items'!B:C,2,0)</f>
        <v>Heavy weapon</v>
      </c>
      <c r="K1276" s="1186" t="str">
        <f>IF(I1276=".",I1276,VLOOKUP($I1276,'Price List, Weapons &amp; Items'!B:D,3,0))</f>
        <v>105mm howitzer</v>
      </c>
      <c r="L1276" s="1187">
        <f>VLOOKUP(I1276,'Price List, Weapons &amp; Items'!B:E,4,0)</f>
        <v>0</v>
      </c>
      <c r="M1276" s="1188">
        <v>6</v>
      </c>
      <c r="N1276" s="1188">
        <v>6</v>
      </c>
      <c r="O1276" s="1188">
        <f>VLOOKUP($I1276,'Price List, Weapons &amp; Items'!B:G,6,0)</f>
        <v>1380129.0260143129</v>
      </c>
      <c r="P1276" s="1185">
        <f t="shared" si="262"/>
        <v>8280774.1560858767</v>
      </c>
      <c r="Q1276" s="1185">
        <f t="shared" si="263"/>
        <v>8280774.1560858767</v>
      </c>
      <c r="R1276" s="1185" t="str">
        <f t="shared" si="259"/>
        <v/>
      </c>
      <c r="S1276" s="1185" t="str">
        <f>IF(AND(AD1276=1,R1276&lt;&gt;".")=TRUE,R1276/VLOOKUP(G1276,'Exchange Rates'!B:C,2,0),IF(R1276=".",".",""))</f>
        <v/>
      </c>
      <c r="T1276" s="1185" t="str">
        <f>IF(AD1276=1,IF(AF1276="Value is not given at all",".",IF(AF1276="Value is given by the source",S1276,IF(AF1276="Value is calculated with prices",(IF(SUMIFS(Q:Q,A:A,A1276)&gt;0,SUMIFS(Q:Q,A:A,A1276),"."))/VLOOKUP("USD",'Exchange Rates'!B:C,2,0),"Error with coding"))),"")</f>
        <v/>
      </c>
      <c r="U1276" s="1184" t="s">
        <v>365</v>
      </c>
      <c r="V1276" s="993" t="s">
        <v>3505</v>
      </c>
      <c r="W1276" s="998" t="s">
        <v>3506</v>
      </c>
      <c r="X1276" s="1190" t="s">
        <v>364</v>
      </c>
      <c r="Y1276" s="1190" t="s">
        <v>364</v>
      </c>
      <c r="Z1276" s="1187">
        <v>0</v>
      </c>
      <c r="AA1276" s="1194">
        <v>0</v>
      </c>
      <c r="AB1276" s="982" t="s">
        <v>3509</v>
      </c>
      <c r="AC1276" s="1192" t="str">
        <f>""</f>
        <v/>
      </c>
      <c r="AD1276" s="985">
        <v>0</v>
      </c>
      <c r="AE1276" s="985" t="s">
        <v>436</v>
      </c>
      <c r="AF1276" s="985" t="s">
        <v>436</v>
      </c>
      <c r="AG1276" s="985">
        <v>1</v>
      </c>
      <c r="AH1276" s="1193">
        <v>11</v>
      </c>
      <c r="AI1276" s="1193">
        <v>0</v>
      </c>
      <c r="AJ1276" s="1193">
        <f>VLOOKUP($I1276,'Price List, Weapons &amp; Items'!B:F,5,0)</f>
        <v>0</v>
      </c>
      <c r="AK1276" s="1193">
        <f t="shared" si="264"/>
        <v>0</v>
      </c>
      <c r="AL1276" s="1193">
        <f t="shared" si="265"/>
        <v>0</v>
      </c>
      <c r="AM1276" s="1193">
        <f t="shared" si="266"/>
        <v>0</v>
      </c>
      <c r="AN1276" s="1194" t="str">
        <f>VLOOKUP($I1276,'Price List, Weapons &amp; Items'!B:L,COLUMN('Price List, Weapons &amp; Items'!$J$11)-1,0)</f>
        <v>.</v>
      </c>
      <c r="AO1276" s="1194" t="str">
        <f>IF(I1276=".",".",VLOOKUP($I1276,'Price List, Weapons &amp; Items'!B:J,3,0))</f>
        <v>105mm howitzer</v>
      </c>
      <c r="AP1276" s="1195" t="str">
        <f t="shared" ca="1" si="260"/>
        <v/>
      </c>
      <c r="AQ1276" s="1194">
        <f>VLOOKUP($I1276,'Price List, Weapons &amp; Items'!B:L,COLUMN('Price List, Weapons &amp; Items'!$L$11)-1,0)</f>
        <v>2</v>
      </c>
      <c r="AR1276" s="1194">
        <f t="shared" si="267"/>
        <v>1</v>
      </c>
      <c r="AS1276" s="1194">
        <f t="shared" si="268"/>
        <v>1</v>
      </c>
      <c r="AT1276" s="1194">
        <f t="shared" si="269"/>
        <v>1</v>
      </c>
      <c r="AU1276" s="1194" t="str">
        <f t="shared" si="272"/>
        <v>.</v>
      </c>
      <c r="AV1276" s="1194" t="str">
        <f t="shared" si="261"/>
        <v>.</v>
      </c>
      <c r="AW1276" s="1194" t="str">
        <f t="shared" si="271"/>
        <v>.</v>
      </c>
      <c r="AX1276" s="1194">
        <f>IFERROR(VLOOKUP(B1276,'Share, Heavy Weapons to Ukraine'!B:Z,COLUMN('Share, Heavy Weapons to Ukraine'!C1288)-1,0),0)</f>
        <v>0</v>
      </c>
      <c r="AY1276" s="1194">
        <f>VLOOKUP('Bilateral Assistance, MAIN DATA'!B1276,'Country Summary (€)'!B:F,COLUMN('Country Summary (€)'!C1289)-1,FALSE)</f>
        <v>1</v>
      </c>
      <c r="AZ1276" s="1194" t="str">
        <f>IF(AND(AD1276=1,D1276="Military",H1276&lt;&gt;"Not given")=TRUE,IF(SUMIFS(P:P,A:A,A1276)&gt;0,ABS((SUMIFS(P:P,A:A,A1276)/VLOOKUP("USD",'Exchange Rates'!B:C,2,0)))/S1276,"."),".")</f>
        <v>.</v>
      </c>
      <c r="BA1276" s="1196" t="str">
        <f>IF(AND(AD1276=1,D1276="Military",H1276&lt;&gt;"Not given")=TRUE,IF(SUMIFS(P:P,A:A,A1276)&gt;0,IF((ABS((SUMIFS(P:P,A:A,A1276)/VLOOKUP("USD",'Exchange Rates'!B:C,2,0)))/S1276)&gt;1,(SUMIFS(P:P,A:A,A1276)-S1276)/S1276,(S1276-SUMIFS(P:P,A:A,A1276))/SUMIFS(P:P,A:A,A1276)),"."),".")</f>
        <v>.</v>
      </c>
    </row>
    <row r="1277" spans="1:53" ht="15.95" customHeight="1">
      <c r="A1277" s="1180" t="s">
        <v>3503</v>
      </c>
      <c r="B1277" s="1180" t="s">
        <v>3412</v>
      </c>
      <c r="C1277" s="1181">
        <v>44867</v>
      </c>
      <c r="D1277" s="1182" t="s">
        <v>389</v>
      </c>
      <c r="E1277" s="1182" t="s">
        <v>443</v>
      </c>
      <c r="F1277" s="1183" t="s">
        <v>3504</v>
      </c>
      <c r="G1277" s="1184" t="s">
        <v>456</v>
      </c>
      <c r="H1277" s="1185" t="s">
        <v>457</v>
      </c>
      <c r="I1277" s="1270" t="s">
        <v>989</v>
      </c>
      <c r="J1277" s="1186" t="str">
        <f>VLOOKUP($I1277,'Price List, Weapons &amp; Items'!B:C,2,0)</f>
        <v>Humanitarian</v>
      </c>
      <c r="K1277" s="1186" t="str">
        <f>IF(I1277=".",I1277,VLOOKUP($I1277,'Price List, Weapons &amp; Items'!B:D,3,0))</f>
        <v>Humanitarian</v>
      </c>
      <c r="L1277" s="1187">
        <f>VLOOKUP(I1277,'Price List, Weapons &amp; Items'!B:E,4,0)</f>
        <v>0</v>
      </c>
      <c r="M1277" s="1188" t="s">
        <v>374</v>
      </c>
      <c r="N1277" s="1188" t="s">
        <v>374</v>
      </c>
      <c r="O1277" s="1188" t="str">
        <f>VLOOKUP($I1277,'Price List, Weapons &amp; Items'!B:G,6,0)</f>
        <v>.</v>
      </c>
      <c r="P1277" s="1185" t="str">
        <f t="shared" si="262"/>
        <v>.</v>
      </c>
      <c r="Q1277" s="1185" t="str">
        <f t="shared" si="263"/>
        <v>.</v>
      </c>
      <c r="R1277" s="1185" t="str">
        <f t="shared" si="259"/>
        <v/>
      </c>
      <c r="S1277" s="1185" t="str">
        <f>IF(AND(AD1277=1,R1277&lt;&gt;".")=TRUE,R1277/VLOOKUP(G1277,'Exchange Rates'!B:C,2,0),IF(R1277=".",".",""))</f>
        <v/>
      </c>
      <c r="T1277" s="1185" t="str">
        <f>IF(AD1277=1,IF(AF1277="Value is not given at all",".",IF(AF1277="Value is given by the source",S1277,IF(AF1277="Value is calculated with prices",(IF(SUMIFS(Q:Q,A:A,A1277)&gt;0,SUMIFS(Q:Q,A:A,A1277),"."))/VLOOKUP("USD",'Exchange Rates'!B:C,2,0),"Error with coding"))),"")</f>
        <v/>
      </c>
      <c r="U1277" s="1184" t="s">
        <v>365</v>
      </c>
      <c r="V1277" s="993" t="s">
        <v>3505</v>
      </c>
      <c r="W1277" s="998" t="s">
        <v>3506</v>
      </c>
      <c r="X1277" s="1190" t="s">
        <v>364</v>
      </c>
      <c r="Y1277" s="1190" t="s">
        <v>364</v>
      </c>
      <c r="Z1277" s="1187">
        <v>0</v>
      </c>
      <c r="AA1277" s="1194">
        <v>0</v>
      </c>
      <c r="AB1277" s="977" t="s">
        <v>3507</v>
      </c>
      <c r="AC1277" s="1192" t="str">
        <f>""</f>
        <v/>
      </c>
      <c r="AD1277" s="985">
        <v>0</v>
      </c>
      <c r="AE1277" s="985" t="s">
        <v>436</v>
      </c>
      <c r="AF1277" s="985" t="s">
        <v>436</v>
      </c>
      <c r="AG1277" s="985">
        <v>1</v>
      </c>
      <c r="AH1277" s="1193">
        <v>11</v>
      </c>
      <c r="AI1277" s="1193">
        <v>0</v>
      </c>
      <c r="AJ1277" s="1193">
        <f>VLOOKUP($I1277,'Price List, Weapons &amp; Items'!B:F,5,0)</f>
        <v>0</v>
      </c>
      <c r="AK1277" s="1193">
        <f t="shared" si="264"/>
        <v>0</v>
      </c>
      <c r="AL1277" s="1193">
        <f t="shared" si="265"/>
        <v>0</v>
      </c>
      <c r="AM1277" s="1193">
        <f t="shared" si="266"/>
        <v>0</v>
      </c>
      <c r="AN1277" s="1194" t="str">
        <f>VLOOKUP($I1277,'Price List, Weapons &amp; Items'!B:L,COLUMN('Price List, Weapons &amp; Items'!$J$11)-1,0)</f>
        <v>Media reports (incl. social media)</v>
      </c>
      <c r="AO1277" s="1194" t="str">
        <f>IF(I1277=".",".",VLOOKUP($I1277,'Price List, Weapons &amp; Items'!B:J,3,0))</f>
        <v>Humanitarian</v>
      </c>
      <c r="AP1277" s="1195" t="str">
        <f t="shared" ca="1" si="260"/>
        <v/>
      </c>
      <c r="AQ1277" s="1194">
        <f>VLOOKUP($I1277,'Price List, Weapons &amp; Items'!B:L,COLUMN('Price List, Weapons &amp; Items'!$L$11)-1,0)</f>
        <v>0</v>
      </c>
      <c r="AR1277" s="1194">
        <f t="shared" si="267"/>
        <v>1</v>
      </c>
      <c r="AS1277" s="1194">
        <f t="shared" si="268"/>
        <v>1</v>
      </c>
      <c r="AT1277" s="1194">
        <f t="shared" si="269"/>
        <v>1</v>
      </c>
      <c r="AU1277" s="1194" t="str">
        <f t="shared" si="272"/>
        <v>.</v>
      </c>
      <c r="AV1277" s="1194" t="str">
        <f t="shared" si="261"/>
        <v>.</v>
      </c>
      <c r="AW1277" s="1194" t="str">
        <f t="shared" si="271"/>
        <v>.</v>
      </c>
      <c r="AX1277" s="1194">
        <f>IFERROR(VLOOKUP(B1277,'Share, Heavy Weapons to Ukraine'!B:Z,COLUMN('Share, Heavy Weapons to Ukraine'!C1289)-1,0),0)</f>
        <v>0</v>
      </c>
      <c r="AY1277" s="1194">
        <f>VLOOKUP('Bilateral Assistance, MAIN DATA'!B1277,'Country Summary (€)'!B:F,COLUMN('Country Summary (€)'!C1290)-1,FALSE)</f>
        <v>1</v>
      </c>
      <c r="AZ1277" s="1194" t="str">
        <f>IF(AND(AD1277=1,D1277="Military",H1277&lt;&gt;"Not given")=TRUE,IF(SUMIFS(P:P,A:A,A1277)&gt;0,ABS((SUMIFS(P:P,A:A,A1277)/VLOOKUP("USD",'Exchange Rates'!B:C,2,0)))/S1277,"."),".")</f>
        <v>.</v>
      </c>
      <c r="BA1277" s="1196" t="str">
        <f>IF(AND(AD1277=1,D1277="Military",H1277&lt;&gt;"Not given")=TRUE,IF(SUMIFS(P:P,A:A,A1277)&gt;0,IF((ABS((SUMIFS(P:P,A:A,A1277)/VLOOKUP("USD",'Exchange Rates'!B:C,2,0)))/S1277)&gt;1,(SUMIFS(P:P,A:A,A1277)-S1277)/S1277,(S1277-SUMIFS(P:P,A:A,A1277))/SUMIFS(P:P,A:A,A1277)),"."),".")</f>
        <v>.</v>
      </c>
    </row>
    <row r="1278" spans="1:53" ht="15.95" customHeight="1">
      <c r="A1278" s="1180" t="s">
        <v>3510</v>
      </c>
      <c r="B1278" s="1180" t="s">
        <v>3412</v>
      </c>
      <c r="C1278" s="1181" t="s">
        <v>3007</v>
      </c>
      <c r="D1278" s="1182" t="s">
        <v>389</v>
      </c>
      <c r="E1278" s="1182" t="s">
        <v>390</v>
      </c>
      <c r="F1278" s="1183" t="s">
        <v>3511</v>
      </c>
      <c r="G1278" s="1184" t="s">
        <v>483</v>
      </c>
      <c r="H1278" s="1185">
        <v>0</v>
      </c>
      <c r="I1278" s="1270" t="s">
        <v>364</v>
      </c>
      <c r="J1278" s="1186" t="str">
        <f>VLOOKUP($I1278,'Price List, Weapons &amp; Items'!B:C,2,0)</f>
        <v>.</v>
      </c>
      <c r="K1278" s="1186" t="str">
        <f>IF(I1278=".",I1278,VLOOKUP($I1278,'Price List, Weapons &amp; Items'!B:D,3,0))</f>
        <v>.</v>
      </c>
      <c r="L1278" s="1187">
        <f>VLOOKUP(I1278,'Price List, Weapons &amp; Items'!B:E,4,0)</f>
        <v>0</v>
      </c>
      <c r="M1278" s="1188" t="s">
        <v>364</v>
      </c>
      <c r="N1278" s="1188" t="s">
        <v>364</v>
      </c>
      <c r="O1278" s="1188" t="str">
        <f>VLOOKUP($I1278,'Price List, Weapons &amp; Items'!B:G,6,0)</f>
        <v>.</v>
      </c>
      <c r="P1278" s="1185" t="str">
        <f t="shared" si="262"/>
        <v>.</v>
      </c>
      <c r="Q1278" s="1185" t="str">
        <f t="shared" si="263"/>
        <v>.</v>
      </c>
      <c r="R1278" s="1185">
        <f t="shared" si="259"/>
        <v>0</v>
      </c>
      <c r="S1278" s="1185">
        <f>IF(AND(AD1278=1,R1278&lt;&gt;".")=TRUE,R1278/VLOOKUP(G1278,'Exchange Rates'!B:C,2,0),IF(R1278=".",".",""))</f>
        <v>0</v>
      </c>
      <c r="T1278" s="1185">
        <f>IF(AD1278=1,IF(AF1278="Value is not given at all",".",IF(AF1278="Value is given by the source",S1278,IF(AF1278="Value is calculated with prices",(IF(SUMIFS(Q:Q,A:A,A1278)&gt;0,SUMIFS(Q:Q,A:A,A1278),"."))/VLOOKUP("USD",'Exchange Rates'!B:C,2,0),"Error with coding"))),"")</f>
        <v>0</v>
      </c>
      <c r="U1278" s="1187" t="s">
        <v>365</v>
      </c>
      <c r="V1278" s="1025" t="s">
        <v>3512</v>
      </c>
      <c r="W1278" s="1027" t="s">
        <v>364</v>
      </c>
      <c r="X1278" s="1190" t="s">
        <v>364</v>
      </c>
      <c r="Y1278" s="1190" t="s">
        <v>364</v>
      </c>
      <c r="Z1278" s="1187">
        <v>0</v>
      </c>
      <c r="AA1278" s="1191">
        <v>1</v>
      </c>
      <c r="AB1278" s="1000" t="s">
        <v>364</v>
      </c>
      <c r="AC1278" s="1192" t="str">
        <f>""</f>
        <v/>
      </c>
      <c r="AD1278" s="985">
        <v>1</v>
      </c>
      <c r="AE1278" s="985" t="s">
        <v>368</v>
      </c>
      <c r="AF1278" s="985" t="s">
        <v>368</v>
      </c>
      <c r="AG1278" s="985">
        <v>0</v>
      </c>
      <c r="AH1278" s="1193">
        <v>0</v>
      </c>
      <c r="AI1278" s="1193">
        <v>0</v>
      </c>
      <c r="AJ1278" s="1193">
        <f>VLOOKUP($I1278,'Price List, Weapons &amp; Items'!B:F,5,0)</f>
        <v>0</v>
      </c>
      <c r="AK1278" s="1193">
        <f t="shared" si="264"/>
        <v>0</v>
      </c>
      <c r="AL1278" s="1193">
        <f t="shared" si="265"/>
        <v>0</v>
      </c>
      <c r="AM1278" s="1193">
        <f t="shared" si="266"/>
        <v>0</v>
      </c>
      <c r="AN1278" s="1194" t="str">
        <f>VLOOKUP($I1278,'Price List, Weapons &amp; Items'!B:L,COLUMN('Price List, Weapons &amp; Items'!$J$11)-1,0)</f>
        <v>.</v>
      </c>
      <c r="AO1278" s="1194" t="str">
        <f>IF(I1278=".",".",VLOOKUP($I1278,'Price List, Weapons &amp; Items'!B:J,3,0))</f>
        <v>.</v>
      </c>
      <c r="AP1278" s="1195" t="str">
        <f t="shared" ca="1" si="260"/>
        <v>.</v>
      </c>
      <c r="AQ1278" s="1194">
        <f>VLOOKUP($I1278,'Price List, Weapons &amp; Items'!B:L,COLUMN('Price List, Weapons &amp; Items'!$L$11)-1,0)</f>
        <v>0</v>
      </c>
      <c r="AR1278" s="1194">
        <f t="shared" si="267"/>
        <v>1</v>
      </c>
      <c r="AS1278" s="1194">
        <f t="shared" si="268"/>
        <v>1</v>
      </c>
      <c r="AT1278" s="1194" t="str">
        <f t="shared" si="269"/>
        <v>Value is not in date format</v>
      </c>
      <c r="AU1278" s="1194" t="str">
        <f t="shared" si="272"/>
        <v>.</v>
      </c>
      <c r="AV1278" s="1194" t="str">
        <f t="shared" si="261"/>
        <v>.</v>
      </c>
      <c r="AW1278" s="1194" t="str">
        <f t="shared" si="271"/>
        <v>.</v>
      </c>
      <c r="AX1278" s="1194">
        <f>IFERROR(VLOOKUP(B1278,'Share, Heavy Weapons to Ukraine'!B:Z,COLUMN('Share, Heavy Weapons to Ukraine'!C1290)-1,0),0)</f>
        <v>0</v>
      </c>
      <c r="AY1278" s="1194">
        <f>VLOOKUP('Bilateral Assistance, MAIN DATA'!B1278,'Country Summary (€)'!B:F,COLUMN('Country Summary (€)'!C1291)-1,FALSE)</f>
        <v>1</v>
      </c>
      <c r="AZ1278" s="1194" t="str">
        <f>IF(AND(AD1278=1,D1278="Military",H1278&lt;&gt;"Not given")=TRUE,IF(SUMIFS(P:P,A:A,A1278)&gt;0,ABS((SUMIFS(P:P,A:A,A1278)/VLOOKUP("USD",'Exchange Rates'!B:C,2,0)))/S1278,"."),".")</f>
        <v>.</v>
      </c>
      <c r="BA1278" s="1196" t="str">
        <f>IF(AND(AD1278=1,D1278="Military",H1278&lt;&gt;"Not given")=TRUE,IF(SUMIFS(P:P,A:A,A1278)&gt;0,IF((ABS((SUMIFS(P:P,A:A,A1278)/VLOOKUP("USD",'Exchange Rates'!B:C,2,0)))/S1278)&gt;1,(SUMIFS(P:P,A:A,A1278)-S1278)/S1278,(S1278-SUMIFS(P:P,A:A,A1278))/SUMIFS(P:P,A:A,A1278)),"."),".")</f>
        <v>.</v>
      </c>
    </row>
    <row r="1279" spans="1:53" ht="15.95" customHeight="1">
      <c r="A1279" s="1180" t="s">
        <v>3513</v>
      </c>
      <c r="B1279" s="1180" t="s">
        <v>3412</v>
      </c>
      <c r="C1279" s="1181">
        <v>44951</v>
      </c>
      <c r="D1279" s="1182" t="s">
        <v>389</v>
      </c>
      <c r="E1279" s="1182" t="s">
        <v>443</v>
      </c>
      <c r="F1279" s="1183" t="s">
        <v>3514</v>
      </c>
      <c r="G1279" s="1184" t="s">
        <v>456</v>
      </c>
      <c r="H1279" s="1185" t="s">
        <v>457</v>
      </c>
      <c r="I1279" s="1270" t="s">
        <v>874</v>
      </c>
      <c r="J1279" s="1186" t="str">
        <f>VLOOKUP($I1279,'Price List, Weapons &amp; Items'!B:C,2,0)</f>
        <v>Heavy weapon</v>
      </c>
      <c r="K1279" s="1186" t="str">
        <f>IF(I1279=".",I1279,VLOOKUP($I1279,'Price List, Weapons &amp; Items'!B:D,3,0))</f>
        <v>Main Battle Tank (MBT)</v>
      </c>
      <c r="L1279" s="1187">
        <f>VLOOKUP(I1279,'Price List, Weapons &amp; Items'!B:E,4,0)</f>
        <v>0</v>
      </c>
      <c r="M1279" s="1188">
        <v>10</v>
      </c>
      <c r="N1279" s="1188">
        <v>10</v>
      </c>
      <c r="O1279" s="1188">
        <f>VLOOKUP($I1279,'Price List, Weapons &amp; Items'!B:G,6,0)</f>
        <v>2138073.4315492632</v>
      </c>
      <c r="P1279" s="1185">
        <f t="shared" si="262"/>
        <v>21380734.31549263</v>
      </c>
      <c r="Q1279" s="1185">
        <f t="shared" si="263"/>
        <v>21380734.31549263</v>
      </c>
      <c r="R1279" s="1185">
        <f t="shared" si="259"/>
        <v>21380734.31549263</v>
      </c>
      <c r="S1279" s="1185">
        <f>IF(AND(AD1279=1,R1279&lt;&gt;".")=TRUE,R1279/VLOOKUP(G1279,'Exchange Rates'!B:C,2,0),IF(R1279=".",".",""))</f>
        <v>19673108.497876912</v>
      </c>
      <c r="T1279" s="1185">
        <f>IF(AD1279=1,IF(AF1279="Value is not given at all",".",IF(AF1279="Value is given by the source",S1279,IF(AF1279="Value is calculated with prices",(IF(SUMIFS(Q:Q,A:A,A1279)&gt;0,SUMIFS(Q:Q,A:A,A1279),"."))/VLOOKUP("USD",'Exchange Rates'!B:C,2,0),"Error with coding"))),"")</f>
        <v>19673108.497876912</v>
      </c>
      <c r="U1279" s="1187" t="s">
        <v>675</v>
      </c>
      <c r="V1279" s="1025" t="s">
        <v>3515</v>
      </c>
      <c r="W1279" s="994" t="s">
        <v>3516</v>
      </c>
      <c r="X1279" s="980" t="s">
        <v>3517</v>
      </c>
      <c r="Y1279" s="980" t="s">
        <v>3518</v>
      </c>
      <c r="Z1279" s="1187">
        <v>0</v>
      </c>
      <c r="AA1279" s="1191">
        <v>1</v>
      </c>
      <c r="AB1279" s="982" t="s">
        <v>3519</v>
      </c>
      <c r="AC1279" s="1192" t="str">
        <f>""</f>
        <v/>
      </c>
      <c r="AD1279" s="985">
        <v>1</v>
      </c>
      <c r="AE1279" s="985" t="s">
        <v>436</v>
      </c>
      <c r="AF1279" s="985" t="s">
        <v>436</v>
      </c>
      <c r="AG1279" s="985">
        <v>1</v>
      </c>
      <c r="AH1279" s="1193">
        <v>13</v>
      </c>
      <c r="AI1279" s="1193">
        <v>0</v>
      </c>
      <c r="AJ1279" s="1193">
        <f>VLOOKUP($I1279,'Price List, Weapons &amp; Items'!B:F,5,0)</f>
        <v>1</v>
      </c>
      <c r="AK1279" s="1193">
        <f t="shared" si="264"/>
        <v>0</v>
      </c>
      <c r="AL1279" s="1193">
        <f t="shared" si="265"/>
        <v>0</v>
      </c>
      <c r="AM1279" s="1193">
        <f t="shared" si="266"/>
        <v>0</v>
      </c>
      <c r="AN1279" s="1194" t="str">
        <f>VLOOKUP($I1279,'Price List, Weapons &amp; Items'!B:L,COLUMN('Price List, Weapons &amp; Items'!$J$11)-1,0)</f>
        <v>Contracts</v>
      </c>
      <c r="AO1279" s="1194" t="str">
        <f>IF(I1279=".",".",VLOOKUP($I1279,'Price List, Weapons &amp; Items'!B:J,3,0))</f>
        <v>Main Battle Tank (MBT)</v>
      </c>
      <c r="AP1279" s="1195" t="str">
        <f t="shared" ca="1" si="260"/>
        <v>Leopard-2A4</v>
      </c>
      <c r="AQ1279" s="1194">
        <f>VLOOKUP($I1279,'Price List, Weapons &amp; Items'!B:L,COLUMN('Price List, Weapons &amp; Items'!$L$11)-1,0)</f>
        <v>2</v>
      </c>
      <c r="AR1279" s="1194">
        <f t="shared" si="267"/>
        <v>0</v>
      </c>
      <c r="AS1279" s="1194">
        <f t="shared" si="268"/>
        <v>1</v>
      </c>
      <c r="AT1279" s="1194">
        <f t="shared" si="269"/>
        <v>1</v>
      </c>
      <c r="AU1279" s="1194" t="str">
        <f t="shared" si="272"/>
        <v>.</v>
      </c>
      <c r="AV1279" s="1194" t="str">
        <f t="shared" si="261"/>
        <v>.</v>
      </c>
      <c r="AW1279" s="1194" t="str">
        <f t="shared" si="271"/>
        <v>.</v>
      </c>
      <c r="AX1279" s="1194">
        <f>IFERROR(VLOOKUP(B1279,'Share, Heavy Weapons to Ukraine'!B:Z,COLUMN('Share, Heavy Weapons to Ukraine'!C1291)-1,0),0)</f>
        <v>0</v>
      </c>
      <c r="AY1279" s="1194">
        <f>VLOOKUP('Bilateral Assistance, MAIN DATA'!B1279,'Country Summary (€)'!B:F,COLUMN('Country Summary (€)'!C1292)-1,FALSE)</f>
        <v>1</v>
      </c>
      <c r="AZ1279" s="1194" t="str">
        <f>IF(AND(AD1279=1,D1279="Military",H1279&lt;&gt;"Not given")=TRUE,IF(SUMIFS(P:P,A:A,A1279)&gt;0,ABS((SUMIFS(P:P,A:A,A1279)/VLOOKUP("USD",'Exchange Rates'!B:C,2,0)))/S1279,"."),".")</f>
        <v>.</v>
      </c>
      <c r="BA1279" s="1196" t="str">
        <f>IF(AND(AD1279=1,D1279="Military",H1279&lt;&gt;"Not given")=TRUE,IF(SUMIFS(P:P,A:A,A1279)&gt;0,IF((ABS((SUMIFS(P:P,A:A,A1279)/VLOOKUP("USD",'Exchange Rates'!B:C,2,0)))/S1279)&gt;1,(SUMIFS(P:P,A:A,A1279)-S1279)/S1279,(S1279-SUMIFS(P:P,A:A,A1279))/SUMIFS(P:P,A:A,A1279)),"."),".")</f>
        <v>.</v>
      </c>
    </row>
    <row r="1280" spans="1:53" ht="15.95" customHeight="1">
      <c r="A1280" s="1180" t="s">
        <v>3520</v>
      </c>
      <c r="B1280" s="1180" t="s">
        <v>3412</v>
      </c>
      <c r="C1280" s="1181">
        <v>44958</v>
      </c>
      <c r="D1280" s="1182" t="s">
        <v>389</v>
      </c>
      <c r="E1280" s="1182" t="s">
        <v>443</v>
      </c>
      <c r="F1280" s="1183" t="s">
        <v>3521</v>
      </c>
      <c r="G1280" s="1184" t="s">
        <v>456</v>
      </c>
      <c r="H1280" s="1185" t="s">
        <v>457</v>
      </c>
      <c r="I1280" s="1270" t="s">
        <v>428</v>
      </c>
      <c r="J1280" s="1186" t="str">
        <f>VLOOKUP($I1280,'Price List, Weapons &amp; Items'!B:C,2,0)</f>
        <v>Heavy weapon</v>
      </c>
      <c r="K1280" s="1186" t="str">
        <f>IF(I1280=".",I1280,VLOOKUP($I1280,'Price List, Weapons &amp; Items'!B:D,3,0))</f>
        <v>Armored Personnel Carrier (APC)</v>
      </c>
      <c r="L1280" s="1187">
        <f>VLOOKUP(I1280,'Price List, Weapons &amp; Items'!B:E,4,0)</f>
        <v>0</v>
      </c>
      <c r="M1280" s="1188">
        <v>20</v>
      </c>
      <c r="N1280" s="1188" t="s">
        <v>374</v>
      </c>
      <c r="O1280" s="1188">
        <f>VLOOKUP($I1280,'Price List, Weapons &amp; Items'!B:G,6,0)</f>
        <v>300000</v>
      </c>
      <c r="P1280" s="1185">
        <f t="shared" si="262"/>
        <v>6000000</v>
      </c>
      <c r="Q1280" s="1185" t="str">
        <f t="shared" si="263"/>
        <v>.</v>
      </c>
      <c r="R1280" s="1185">
        <f t="shared" si="259"/>
        <v>6000000</v>
      </c>
      <c r="S1280" s="1185">
        <f>IF(AND(AD1280=1,R1280&lt;&gt;".")=TRUE,R1280/VLOOKUP(G1280,'Exchange Rates'!B:C,2,0),IF(R1280=".",".",""))</f>
        <v>5520794.9944792055</v>
      </c>
      <c r="T1280" s="1185" t="str">
        <f>IF(AD1280=1,IF(AF1280="Value is not given at all",".",IF(AF1280="Value is given by the source",S1280,IF(AF1280="Value is calculated with prices",(IF(SUMIFS(Q:Q,A:A,A1280)&gt;0,SUMIFS(Q:Q,A:A,A1280),"."))/VLOOKUP("USD",'Exchange Rates'!B:C,2,0),"Error with coding"))),"")</f>
        <v>.</v>
      </c>
      <c r="U1280" s="1187" t="s">
        <v>675</v>
      </c>
      <c r="V1280" s="1025" t="s">
        <v>3522</v>
      </c>
      <c r="W1280" s="994" t="s">
        <v>3523</v>
      </c>
      <c r="X1280" s="981" t="s">
        <v>364</v>
      </c>
      <c r="Y1280" s="981" t="s">
        <v>364</v>
      </c>
      <c r="Z1280" s="1187">
        <v>0</v>
      </c>
      <c r="AA1280" s="1191">
        <v>1</v>
      </c>
      <c r="AB1280" s="1000" t="s">
        <v>364</v>
      </c>
      <c r="AC1280" s="1192" t="str">
        <f>""</f>
        <v/>
      </c>
      <c r="AD1280" s="985">
        <v>1</v>
      </c>
      <c r="AE1280" s="985" t="s">
        <v>436</v>
      </c>
      <c r="AF1280" s="985" t="s">
        <v>369</v>
      </c>
      <c r="AG1280" s="985">
        <v>1</v>
      </c>
      <c r="AH1280" s="1193">
        <v>14</v>
      </c>
      <c r="AI1280" s="1193">
        <v>0</v>
      </c>
      <c r="AJ1280" s="1193">
        <f>VLOOKUP($I1280,'Price List, Weapons &amp; Items'!B:F,5,0)</f>
        <v>1</v>
      </c>
      <c r="AK1280" s="1193">
        <f t="shared" si="264"/>
        <v>0</v>
      </c>
      <c r="AL1280" s="1193">
        <f t="shared" si="265"/>
        <v>1</v>
      </c>
      <c r="AM1280" s="1193">
        <f t="shared" si="266"/>
        <v>0</v>
      </c>
      <c r="AN1280" s="1194" t="str">
        <f>VLOOKUP($I1280,'Price List, Weapons &amp; Items'!B:L,COLUMN('Price List, Weapons &amp; Items'!$J$11)-1,0)</f>
        <v>Military media (incl. websites)</v>
      </c>
      <c r="AO1280" s="1194" t="str">
        <f>IF(I1280=".",".",VLOOKUP($I1280,'Price List, Weapons &amp; Items'!B:J,3,0))</f>
        <v>Armored Personnel Carrier (APC)</v>
      </c>
      <c r="AP1280" s="1195" t="str">
        <f t="shared" ca="1" si="260"/>
        <v>M113 armored personnel carrier</v>
      </c>
      <c r="AQ1280" s="1194">
        <f>VLOOKUP($I1280,'Price List, Weapons &amp; Items'!B:L,COLUMN('Price List, Weapons &amp; Items'!$L$11)-1,0)</f>
        <v>2</v>
      </c>
      <c r="AR1280" s="1194">
        <f t="shared" si="267"/>
        <v>0</v>
      </c>
      <c r="AS1280" s="1194">
        <f t="shared" si="268"/>
        <v>1</v>
      </c>
      <c r="AT1280" s="1194">
        <f t="shared" si="269"/>
        <v>1</v>
      </c>
      <c r="AU1280" s="1194" t="str">
        <f t="shared" si="272"/>
        <v>.</v>
      </c>
      <c r="AV1280" s="1194" t="str">
        <f t="shared" si="261"/>
        <v>.</v>
      </c>
      <c r="AW1280" s="1194" t="str">
        <f t="shared" si="271"/>
        <v>.</v>
      </c>
      <c r="AX1280" s="1194">
        <f>IFERROR(VLOOKUP(B1280,'Share, Heavy Weapons to Ukraine'!B:Z,COLUMN('Share, Heavy Weapons to Ukraine'!C1292)-1,0),0)</f>
        <v>0</v>
      </c>
      <c r="AY1280" s="1194">
        <f>VLOOKUP('Bilateral Assistance, MAIN DATA'!B1280,'Country Summary (€)'!B:F,COLUMN('Country Summary (€)'!C1293)-1,FALSE)</f>
        <v>1</v>
      </c>
      <c r="AZ1280" s="1194" t="str">
        <f>IF(AND(AD1280=1,D1280="Military",H1280&lt;&gt;"Not given")=TRUE,IF(SUMIFS(P:P,A:A,A1280)&gt;0,ABS((SUMIFS(P:P,A:A,A1280)/VLOOKUP("USD",'Exchange Rates'!B:C,2,0)))/S1280,"."),".")</f>
        <v>.</v>
      </c>
      <c r="BA1280" s="1196" t="str">
        <f>IF(AND(AD1280=1,D1280="Military",H1280&lt;&gt;"Not given")=TRUE,IF(SUMIFS(P:P,A:A,A1280)&gt;0,IF((ABS((SUMIFS(P:P,A:A,A1280)/VLOOKUP("USD",'Exchange Rates'!B:C,2,0)))/S1280)&gt;1,(SUMIFS(P:P,A:A,A1280)-S1280)/S1280,(S1280-SUMIFS(P:P,A:A,A1280))/SUMIFS(P:P,A:A,A1280)),"."),".")</f>
        <v>.</v>
      </c>
    </row>
    <row r="1281" spans="1:71" ht="15.95" customHeight="1">
      <c r="A1281" s="1180" t="s">
        <v>3524</v>
      </c>
      <c r="B1281" s="1180" t="s">
        <v>3412</v>
      </c>
      <c r="C1281" s="1181">
        <v>45071</v>
      </c>
      <c r="D1281" s="1182" t="s">
        <v>389</v>
      </c>
      <c r="E1281" s="1182" t="s">
        <v>443</v>
      </c>
      <c r="F1281" s="1183" t="s">
        <v>3525</v>
      </c>
      <c r="G1281" s="1184" t="s">
        <v>456</v>
      </c>
      <c r="H1281" s="1185" t="s">
        <v>457</v>
      </c>
      <c r="I1281" s="1270" t="s">
        <v>428</v>
      </c>
      <c r="J1281" s="1186" t="str">
        <f>VLOOKUP($I1281,'Price List, Weapons &amp; Items'!B:C,2,0)</f>
        <v>Heavy weapon</v>
      </c>
      <c r="K1281" s="1186" t="str">
        <f>IF(I1281=".",I1281,VLOOKUP($I1281,'Price List, Weapons &amp; Items'!B:D,3,0))</f>
        <v>Armored Personnel Carrier (APC)</v>
      </c>
      <c r="L1281" s="1187">
        <f>VLOOKUP(I1281,'Price List, Weapons &amp; Items'!B:E,4,0)</f>
        <v>0</v>
      </c>
      <c r="M1281" s="1188" t="s">
        <v>374</v>
      </c>
      <c r="N1281" s="1188" t="s">
        <v>374</v>
      </c>
      <c r="O1281" s="1188">
        <f>VLOOKUP($I1281,'Price List, Weapons &amp; Items'!B:G,6,0)</f>
        <v>300000</v>
      </c>
      <c r="P1281" s="1185" t="str">
        <f t="shared" si="262"/>
        <v>.</v>
      </c>
      <c r="Q1281" s="1185" t="str">
        <f t="shared" si="263"/>
        <v>.</v>
      </c>
      <c r="R1281" s="1185" t="str">
        <f t="shared" si="259"/>
        <v>.</v>
      </c>
      <c r="S1281" s="1185" t="str">
        <f>IF(AND(AD1281=1,R1281&lt;&gt;".")=TRUE,R1281/VLOOKUP(G1281,'Exchange Rates'!B:C,2,0),IF(R1281=".",".",""))</f>
        <v>.</v>
      </c>
      <c r="T1281" s="1185" t="str">
        <f>IF(AD1281=1,IF(AF1281="Value is not given at all",".",IF(AF1281="Value is given by the source",S1281,IF(AF1281="Value is calculated with prices",(IF(SUMIFS(Q:Q,A:A,A1281)&gt;0,SUMIFS(Q:Q,A:A,A1281),"."))/VLOOKUP("USD",'Exchange Rates'!B:C,2,0),"Error with coding"))),"")</f>
        <v>.</v>
      </c>
      <c r="U1281" s="1187" t="s">
        <v>365</v>
      </c>
      <c r="V1281" s="1025" t="s">
        <v>3519</v>
      </c>
      <c r="W1281" s="994" t="s">
        <v>3526</v>
      </c>
      <c r="X1281" s="981" t="s">
        <v>364</v>
      </c>
      <c r="Y1281" s="981" t="s">
        <v>364</v>
      </c>
      <c r="Z1281" s="1187">
        <v>0</v>
      </c>
      <c r="AA1281" s="1191">
        <v>1</v>
      </c>
      <c r="AB1281" s="1000" t="s">
        <v>364</v>
      </c>
      <c r="AC1281" s="1192" t="str">
        <f>""</f>
        <v/>
      </c>
      <c r="AD1281" s="985">
        <v>1</v>
      </c>
      <c r="AE1281" s="985" t="s">
        <v>436</v>
      </c>
      <c r="AF1281" s="985" t="s">
        <v>369</v>
      </c>
      <c r="AG1281" s="985">
        <v>1</v>
      </c>
      <c r="AH1281" s="1193">
        <v>17</v>
      </c>
      <c r="AI1281" s="1193">
        <v>0</v>
      </c>
      <c r="AJ1281" s="1193">
        <f>VLOOKUP($I1281,'Price List, Weapons &amp; Items'!B:F,5,0)</f>
        <v>1</v>
      </c>
      <c r="AK1281" s="1193">
        <f t="shared" si="264"/>
        <v>1</v>
      </c>
      <c r="AL1281" s="1193">
        <f t="shared" si="265"/>
        <v>1</v>
      </c>
      <c r="AM1281" s="1193">
        <f t="shared" si="266"/>
        <v>0</v>
      </c>
      <c r="AN1281" s="1194" t="str">
        <f>VLOOKUP($I1281,'Price List, Weapons &amp; Items'!B:L,COLUMN('Price List, Weapons &amp; Items'!$J$11)-1,0)</f>
        <v>Military media (incl. websites)</v>
      </c>
      <c r="AO1281" s="1194" t="str">
        <f>IF(I1281=".",".",VLOOKUP($I1281,'Price List, Weapons &amp; Items'!B:J,3,0))</f>
        <v>Armored Personnel Carrier (APC)</v>
      </c>
      <c r="AP1281" s="1195" t="str">
        <f t="shared" ca="1" si="260"/>
        <v>M113 armored personnel carrier</v>
      </c>
      <c r="AQ1281" s="1194">
        <f>VLOOKUP($I1281,'Price List, Weapons &amp; Items'!B:L,COLUMN('Price List, Weapons &amp; Items'!$L$11)-1,0)</f>
        <v>2</v>
      </c>
      <c r="AR1281" s="1194">
        <f t="shared" si="267"/>
        <v>1</v>
      </c>
      <c r="AS1281" s="1194">
        <f t="shared" si="268"/>
        <v>1</v>
      </c>
      <c r="AT1281" s="1194">
        <f t="shared" si="269"/>
        <v>1</v>
      </c>
      <c r="AU1281" s="1194" t="str">
        <f t="shared" si="272"/>
        <v>.</v>
      </c>
      <c r="AV1281" s="1194" t="str">
        <f t="shared" si="261"/>
        <v>.</v>
      </c>
      <c r="AW1281" s="1194" t="str">
        <f t="shared" si="271"/>
        <v>.</v>
      </c>
      <c r="AX1281" s="1194">
        <f>IFERROR(VLOOKUP(B1281,'Share, Heavy Weapons to Ukraine'!B:Z,COLUMN('Share, Heavy Weapons to Ukraine'!C1293)-1,0),0)</f>
        <v>0</v>
      </c>
      <c r="AY1281" s="1194">
        <f>VLOOKUP('Bilateral Assistance, MAIN DATA'!B1281,'Country Summary (€)'!B:F,COLUMN('Country Summary (€)'!C1294)-1,FALSE)</f>
        <v>1</v>
      </c>
      <c r="AZ1281" s="1194" t="str">
        <f>IF(AND(AD1281=1,D1281="Military",H1281&lt;&gt;"Not given")=TRUE,IF(SUMIFS(P:P,A:A,A1281)&gt;0,ABS((SUMIFS(P:P,A:A,A1281)/VLOOKUP("USD",'Exchange Rates'!B:C,2,0)))/S1281,"."),".")</f>
        <v>.</v>
      </c>
      <c r="BA1281" s="1196" t="str">
        <f>IF(AND(AD1281=1,D1281="Military",H1281&lt;&gt;"Not given")=TRUE,IF(SUMIFS(P:P,A:A,A1281)&gt;0,IF((ABS((SUMIFS(P:P,A:A,A1281)/VLOOKUP("USD",'Exchange Rates'!B:C,2,0)))/S1281)&gt;1,(SUMIFS(P:P,A:A,A1281)-S1281)/S1281,(S1281-SUMIFS(P:P,A:A,A1281))/SUMIFS(P:P,A:A,A1281)),"."),".")</f>
        <v>.</v>
      </c>
    </row>
    <row r="1282" spans="1:71" ht="15.95" customHeight="1">
      <c r="A1282" s="1266" t="s">
        <v>3527</v>
      </c>
      <c r="B1282" s="1180" t="s">
        <v>3412</v>
      </c>
      <c r="C1282" s="1181">
        <v>44748</v>
      </c>
      <c r="D1282" s="1182" t="s">
        <v>544</v>
      </c>
      <c r="E1282" s="1182" t="s">
        <v>495</v>
      </c>
      <c r="F1282" s="1183" t="s">
        <v>3528</v>
      </c>
      <c r="G1282" s="1184" t="s">
        <v>483</v>
      </c>
      <c r="H1282" s="1185">
        <v>100000000</v>
      </c>
      <c r="I1282" s="1266" t="s">
        <v>364</v>
      </c>
      <c r="J1282" s="1186" t="str">
        <f>VLOOKUP($I1282,'Price List, Weapons &amp; Items'!B:C,2,0)</f>
        <v>.</v>
      </c>
      <c r="K1282" s="1186" t="str">
        <f>IF(I1282=".",I1282,VLOOKUP($I1282,'Price List, Weapons &amp; Items'!B:D,3,0))</f>
        <v>.</v>
      </c>
      <c r="L1282" s="1187">
        <f>VLOOKUP(I1282,'Price List, Weapons &amp; Items'!B:E,4,0)</f>
        <v>0</v>
      </c>
      <c r="M1282" s="1188" t="s">
        <v>364</v>
      </c>
      <c r="N1282" s="1275" t="s">
        <v>364</v>
      </c>
      <c r="O1282" s="1188" t="str">
        <f>VLOOKUP($I1282,'Price List, Weapons &amp; Items'!B:G,6,0)</f>
        <v>.</v>
      </c>
      <c r="P1282" s="1185" t="str">
        <f t="shared" si="262"/>
        <v>.</v>
      </c>
      <c r="Q1282" s="1185" t="str">
        <f t="shared" si="263"/>
        <v>.</v>
      </c>
      <c r="R1282" s="1185">
        <f t="shared" ref="R1282:R1345" si="273">IF(AD1282=1,IF(H1282&lt;&gt;"Not given",H1282,IF(TYPE(H1282)=2,IF(SUMIFS(P:P,A:A,A1282)&gt;0,SUMIFS(P:P,A:A,A1282),"."),"Format error")),"")</f>
        <v>100000000</v>
      </c>
      <c r="S1282" s="1185">
        <f>IF(AND(AD1282=1,R1282&lt;&gt;".")=TRUE,R1282/VLOOKUP(G1282,'Exchange Rates'!B:C,2,0),IF(R1282=".",".",""))</f>
        <v>100000000</v>
      </c>
      <c r="T1282" s="1185">
        <f>IF(AD1282=1,IF(AF1282="Value is not given at all",".",IF(AF1282="Value is given by the source",S1282,IF(AF1282="Value is calculated with prices",(IF(SUMIFS(Q:Q,A:A,A1282)&gt;0,SUMIFS(Q:Q,A:A,A1282),"."))/VLOOKUP("USD",'Exchange Rates'!B:C,2,0),"Error with coding"))),"")</f>
        <v>100000000</v>
      </c>
      <c r="U1282" s="1184" t="s">
        <v>365</v>
      </c>
      <c r="V1282" s="980" t="s">
        <v>3529</v>
      </c>
      <c r="W1282" s="971" t="s">
        <v>3530</v>
      </c>
      <c r="X1282" s="971" t="s">
        <v>3531</v>
      </c>
      <c r="Y1282" s="971" t="s">
        <v>364</v>
      </c>
      <c r="Z1282" s="1184">
        <v>1</v>
      </c>
      <c r="AA1282" s="1194">
        <v>0</v>
      </c>
      <c r="AB1282" s="1180" t="s">
        <v>364</v>
      </c>
      <c r="AC1282" s="1192" t="str">
        <f>""</f>
        <v/>
      </c>
      <c r="AD1282" s="985">
        <v>1</v>
      </c>
      <c r="AE1282" s="985" t="s">
        <v>368</v>
      </c>
      <c r="AF1282" s="985" t="s">
        <v>368</v>
      </c>
      <c r="AG1282" s="985">
        <v>1</v>
      </c>
      <c r="AH1282" s="1193">
        <v>7</v>
      </c>
      <c r="AI1282" s="1193">
        <v>0</v>
      </c>
      <c r="AJ1282" s="1193">
        <f>VLOOKUP($I1282,'Price List, Weapons &amp; Items'!B:F,5,0)</f>
        <v>0</v>
      </c>
      <c r="AK1282" s="1193">
        <f t="shared" si="264"/>
        <v>0</v>
      </c>
      <c r="AL1282" s="1193">
        <f t="shared" si="265"/>
        <v>0</v>
      </c>
      <c r="AM1282" s="1193">
        <f t="shared" si="266"/>
        <v>0</v>
      </c>
      <c r="AN1282" s="1194" t="str">
        <f>VLOOKUP($I1282,'Price List, Weapons &amp; Items'!B:L,COLUMN('Price List, Weapons &amp; Items'!$J$11)-1,0)</f>
        <v>.</v>
      </c>
      <c r="AO1282" s="1194" t="str">
        <f>IF(I1282=".",".",VLOOKUP($I1282,'Price List, Weapons &amp; Items'!B:J,3,0))</f>
        <v>.</v>
      </c>
      <c r="AP1282" s="1195" t="str">
        <f t="shared" ref="AP1282:AP1345" ca="1" si="274">IF(AD1282=1,(OFFSET(I1282,0,0,COUNTIF(A:A,A1282),1)),"")</f>
        <v>.</v>
      </c>
      <c r="AQ1282" s="1194">
        <f>VLOOKUP($I1282,'Price List, Weapons &amp; Items'!B:L,COLUMN('Price List, Weapons &amp; Items'!$L$11)-1,0)</f>
        <v>0</v>
      </c>
      <c r="AR1282" s="1194">
        <f t="shared" si="267"/>
        <v>1</v>
      </c>
      <c r="AS1282" s="1194">
        <f t="shared" si="268"/>
        <v>0</v>
      </c>
      <c r="AT1282" s="1194">
        <f t="shared" si="269"/>
        <v>1</v>
      </c>
      <c r="AU1282" s="1194" t="str">
        <f t="shared" si="272"/>
        <v>.</v>
      </c>
      <c r="AV1282" s="1194" t="str">
        <f t="shared" ref="AV1282:AV1345" si="275">IF(AND(_xlfn.ISFORMULA(R1282),_xlfn.ISFORMULA(S1282),_xlfn.ISFORMULA(T1282))=TRUE,".",1)</f>
        <v>.</v>
      </c>
      <c r="AW1282" s="1194" t="str">
        <f t="shared" si="271"/>
        <v>.</v>
      </c>
      <c r="AX1282" s="1194">
        <f>IFERROR(VLOOKUP(B1282,'Share, Heavy Weapons to Ukraine'!B:Z,COLUMN('Share, Heavy Weapons to Ukraine'!C1294)-1,0),0)</f>
        <v>0</v>
      </c>
      <c r="AY1282" s="1194">
        <f>VLOOKUP('Bilateral Assistance, MAIN DATA'!B1282,'Country Summary (€)'!B:F,COLUMN('Country Summary (€)'!C1295)-1,FALSE)</f>
        <v>1</v>
      </c>
      <c r="AZ1282" s="1194" t="str">
        <f>IF(AND(AD1282=1,D1282="Military",H1282&lt;&gt;"Not given")=TRUE,IF(SUMIFS(P:P,A:A,A1282)&gt;0,ABS((SUMIFS(P:P,A:A,A1282)/VLOOKUP("USD",'Exchange Rates'!B:C,2,0)))/S1282,"."),".")</f>
        <v>.</v>
      </c>
      <c r="BA1282" s="1196" t="str">
        <f>IF(AND(AD1282=1,D1282="Military",H1282&lt;&gt;"Not given")=TRUE,IF(SUMIFS(P:P,A:A,A1282)&gt;0,IF((ABS((SUMIFS(P:P,A:A,A1282)/VLOOKUP("USD",'Exchange Rates'!B:C,2,0)))/S1282)&gt;1,(SUMIFS(P:P,A:A,A1282)-S1282)/S1282,(S1282-SUMIFS(P:P,A:A,A1282))/SUMIFS(P:P,A:A,A1282)),"."),".")</f>
        <v>.</v>
      </c>
    </row>
    <row r="1283" spans="1:71" ht="15.95" customHeight="1">
      <c r="A1283" s="1266" t="s">
        <v>3532</v>
      </c>
      <c r="B1283" s="1180" t="s">
        <v>3412</v>
      </c>
      <c r="C1283" s="1181">
        <v>44748</v>
      </c>
      <c r="D1283" s="1182" t="s">
        <v>544</v>
      </c>
      <c r="E1283" s="1182" t="s">
        <v>495</v>
      </c>
      <c r="F1283" s="1183" t="s">
        <v>3533</v>
      </c>
      <c r="G1283" s="1184" t="s">
        <v>483</v>
      </c>
      <c r="H1283" s="1185">
        <v>100000000</v>
      </c>
      <c r="I1283" s="1266" t="s">
        <v>364</v>
      </c>
      <c r="J1283" s="1186" t="str">
        <f>VLOOKUP($I1283,'Price List, Weapons &amp; Items'!B:C,2,0)</f>
        <v>.</v>
      </c>
      <c r="K1283" s="1186" t="str">
        <f>IF(I1283=".",I1283,VLOOKUP($I1283,'Price List, Weapons &amp; Items'!B:D,3,0))</f>
        <v>.</v>
      </c>
      <c r="L1283" s="1187">
        <f>VLOOKUP(I1283,'Price List, Weapons &amp; Items'!B:E,4,0)</f>
        <v>0</v>
      </c>
      <c r="M1283" s="1188" t="s">
        <v>364</v>
      </c>
      <c r="N1283" s="1275" t="s">
        <v>364</v>
      </c>
      <c r="O1283" s="1188" t="str">
        <f>VLOOKUP($I1283,'Price List, Weapons &amp; Items'!B:G,6,0)</f>
        <v>.</v>
      </c>
      <c r="P1283" s="1185" t="str">
        <f t="shared" ref="P1283:P1346" si="276">IF(TYPE(M1283)=1,IF(TYPE(O1283)=1,M1283*O1283,"No price"),".")</f>
        <v>.</v>
      </c>
      <c r="Q1283" s="1185" t="str">
        <f t="shared" ref="Q1283:Q1346" si="277">IF(TYPE(N1283)=1,IF(TYPE(O1283)=1,N1283*O1283,"No price"),".")</f>
        <v>.</v>
      </c>
      <c r="R1283" s="1185">
        <f t="shared" si="273"/>
        <v>100000000</v>
      </c>
      <c r="S1283" s="1185">
        <f>IF(AND(AD1283=1,R1283&lt;&gt;".")=TRUE,R1283/VLOOKUP(G1283,'Exchange Rates'!B:C,2,0),IF(R1283=".",".",""))</f>
        <v>100000000</v>
      </c>
      <c r="T1283" s="1185">
        <f>IF(AD1283=1,IF(AF1283="Value is not given at all",".",IF(AF1283="Value is given by the source",S1283,IF(AF1283="Value is calculated with prices",(IF(SUMIFS(Q:Q,A:A,A1283)&gt;0,SUMIFS(Q:Q,A:A,A1283),"."))/VLOOKUP("USD",'Exchange Rates'!B:C,2,0),"Error with coding"))),"")</f>
        <v>100000000</v>
      </c>
      <c r="U1283" s="1184" t="s">
        <v>365</v>
      </c>
      <c r="V1283" s="980" t="s">
        <v>3529</v>
      </c>
      <c r="W1283" s="971" t="s">
        <v>3530</v>
      </c>
      <c r="X1283" s="971" t="s">
        <v>3531</v>
      </c>
      <c r="Y1283" s="971" t="s">
        <v>364</v>
      </c>
      <c r="Z1283" s="1184">
        <v>0</v>
      </c>
      <c r="AA1283" s="1194">
        <v>0</v>
      </c>
      <c r="AB1283" s="1180" t="s">
        <v>364</v>
      </c>
      <c r="AC1283" s="1192" t="str">
        <f>""</f>
        <v/>
      </c>
      <c r="AD1283" s="985">
        <v>1</v>
      </c>
      <c r="AE1283" s="985" t="s">
        <v>368</v>
      </c>
      <c r="AF1283" s="985" t="s">
        <v>368</v>
      </c>
      <c r="AG1283" s="985">
        <v>1</v>
      </c>
      <c r="AH1283" s="1193">
        <v>7</v>
      </c>
      <c r="AI1283" s="1193">
        <v>0</v>
      </c>
      <c r="AJ1283" s="1193">
        <f>VLOOKUP($I1283,'Price List, Weapons &amp; Items'!B:F,5,0)</f>
        <v>0</v>
      </c>
      <c r="AK1283" s="1193">
        <f t="shared" ref="AK1283:AK1346" si="278">IF(AND(AJ1283=1,M1283="undisclosed")=TRUE,1,0)</f>
        <v>0</v>
      </c>
      <c r="AL1283" s="1193">
        <f t="shared" ref="AL1283:AL1346" si="279">IF(AND(AJ1283=1,N1283="undisclosed")=TRUE,1,0)</f>
        <v>0</v>
      </c>
      <c r="AM1283" s="1193">
        <f t="shared" ref="AM1283:AM1346" si="280">IFERROR(IF(SEARCH("ammuni",I1283,1)&gt;0,1,0),0)</f>
        <v>0</v>
      </c>
      <c r="AN1283" s="1194" t="str">
        <f>VLOOKUP($I1283,'Price List, Weapons &amp; Items'!B:L,COLUMN('Price List, Weapons &amp; Items'!$J$11)-1,0)</f>
        <v>.</v>
      </c>
      <c r="AO1283" s="1194" t="str">
        <f>IF(I1283=".",".",VLOOKUP($I1283,'Price List, Weapons &amp; Items'!B:J,3,0))</f>
        <v>.</v>
      </c>
      <c r="AP1283" s="1195" t="str">
        <f t="shared" ca="1" si="274"/>
        <v>.</v>
      </c>
      <c r="AQ1283" s="1194">
        <f>VLOOKUP($I1283,'Price List, Weapons &amp; Items'!B:L,COLUMN('Price List, Weapons &amp; Items'!$L$11)-1,0)</f>
        <v>0</v>
      </c>
      <c r="AR1283" s="1194">
        <f t="shared" ref="AR1283:AR1346" si="281">IF(U1283="Yes",1,0)</f>
        <v>1</v>
      </c>
      <c r="AS1283" s="1194">
        <f t="shared" ref="AS1283:AS1346" si="282">IF(D1283="Military",IF(OR(IFERROR(SEARCH("equipment",E1283,1),0)&gt;0,IFERROR(SEARCH("weapons",E1283,1),0)&gt;0),1,0),0)</f>
        <v>0</v>
      </c>
      <c r="AT1283" s="1194">
        <f t="shared" ref="AT1283:AT1346" si="283">IFERROR(IF(VALUE(TEXT(C1283,"mm"))=IF(AH1283&gt;12,AH1283-12,AH1283),".",IF(TEXT(C1283,"mm")="01",".",1)),"Value is not in date format")</f>
        <v>1</v>
      </c>
      <c r="AU1283" s="1194" t="str">
        <f t="shared" si="272"/>
        <v>.</v>
      </c>
      <c r="AV1283" s="1194" t="str">
        <f t="shared" si="275"/>
        <v>.</v>
      </c>
      <c r="AW1283" s="1194" t="str">
        <f t="shared" ref="AW1283:AW1346" si="284">IF(T1283&lt;&gt;".",IF(T1283&gt;S1283,1,"."),".")</f>
        <v>.</v>
      </c>
      <c r="AX1283" s="1194">
        <f>IFERROR(VLOOKUP(B1283,'Share, Heavy Weapons to Ukraine'!B:Z,COLUMN('Share, Heavy Weapons to Ukraine'!C1295)-1,0),0)</f>
        <v>0</v>
      </c>
      <c r="AY1283" s="1194">
        <f>VLOOKUP('Bilateral Assistance, MAIN DATA'!B1283,'Country Summary (€)'!B:F,COLUMN('Country Summary (€)'!C1296)-1,FALSE)</f>
        <v>1</v>
      </c>
      <c r="AZ1283" s="1194" t="str">
        <f>IF(AND(AD1283=1,D1283="Military",H1283&lt;&gt;"Not given")=TRUE,IF(SUMIFS(P:P,A:A,A1283)&gt;0,ABS((SUMIFS(P:P,A:A,A1283)/VLOOKUP("USD",'Exchange Rates'!B:C,2,0)))/S1283,"."),".")</f>
        <v>.</v>
      </c>
      <c r="BA1283" s="1196" t="str">
        <f>IF(AND(AD1283=1,D1283="Military",H1283&lt;&gt;"Not given")=TRUE,IF(SUMIFS(P:P,A:A,A1283)&gt;0,IF((ABS((SUMIFS(P:P,A:A,A1283)/VLOOKUP("USD",'Exchange Rates'!B:C,2,0)))/S1283)&gt;1,(SUMIFS(P:P,A:A,A1283)-S1283)/S1283,(S1283-SUMIFS(P:P,A:A,A1283))/SUMIFS(P:P,A:A,A1283)),"."),".")</f>
        <v>.</v>
      </c>
    </row>
    <row r="1284" spans="1:71" s="1194" customFormat="1" ht="15.95" customHeight="1">
      <c r="A1284" s="1180" t="s">
        <v>3534</v>
      </c>
      <c r="B1284" s="1180" t="s">
        <v>3412</v>
      </c>
      <c r="C1284" s="1181">
        <v>44748</v>
      </c>
      <c r="D1284" s="1182" t="s">
        <v>544</v>
      </c>
      <c r="E1284" s="1182" t="s">
        <v>481</v>
      </c>
      <c r="F1284" s="1183" t="s">
        <v>3535</v>
      </c>
      <c r="G1284" s="1184" t="s">
        <v>483</v>
      </c>
      <c r="H1284" s="1185">
        <v>49700000</v>
      </c>
      <c r="I1284" s="1180" t="s">
        <v>364</v>
      </c>
      <c r="J1284" s="1186" t="str">
        <f>VLOOKUP($I1284,'Price List, Weapons &amp; Items'!B:C,2,0)</f>
        <v>.</v>
      </c>
      <c r="K1284" s="1186" t="str">
        <f>IF(I1284=".",I1284,VLOOKUP($I1284,'Price List, Weapons &amp; Items'!B:D,3,0))</f>
        <v>.</v>
      </c>
      <c r="L1284" s="1187">
        <f>VLOOKUP(I1284,'Price List, Weapons &amp; Items'!B:E,4,0)</f>
        <v>0</v>
      </c>
      <c r="M1284" s="1188" t="s">
        <v>364</v>
      </c>
      <c r="N1284" s="1275" t="s">
        <v>364</v>
      </c>
      <c r="O1284" s="1188" t="str">
        <f>VLOOKUP($I1284,'Price List, Weapons &amp; Items'!B:G,6,0)</f>
        <v>.</v>
      </c>
      <c r="P1284" s="1185" t="str">
        <f t="shared" si="276"/>
        <v>.</v>
      </c>
      <c r="Q1284" s="1185" t="str">
        <f t="shared" si="277"/>
        <v>.</v>
      </c>
      <c r="R1284" s="1185">
        <f t="shared" si="273"/>
        <v>49700000</v>
      </c>
      <c r="S1284" s="1185">
        <f>IF(AND(AD1284=1,R1284&lt;&gt;".")=TRUE,R1284/VLOOKUP(G1284,'Exchange Rates'!B:C,2,0),IF(R1284=".",".",""))</f>
        <v>49700000</v>
      </c>
      <c r="T1284" s="1185" t="str">
        <f>IF(AD1284=1,IF(AF1284="Value is not given at all",".",IF(AF1284="Value is given by the source",S1284,IF(AF1284="Value is calculated with prices",(IF(SUMIFS(Q:Q,A:A,A1284)&gt;0,SUMIFS(Q:Q,A:A,A1284),"."))/VLOOKUP("USD",'Exchange Rates'!B:C,2,0),"Error with coding"))),"")</f>
        <v>.</v>
      </c>
      <c r="U1284" s="1184" t="s">
        <v>365</v>
      </c>
      <c r="V1284" s="980" t="s">
        <v>3529</v>
      </c>
      <c r="W1284" s="971" t="s">
        <v>3530</v>
      </c>
      <c r="X1284" s="971" t="s">
        <v>3531</v>
      </c>
      <c r="Y1284" s="1190" t="s">
        <v>364</v>
      </c>
      <c r="Z1284" s="1184">
        <v>1</v>
      </c>
      <c r="AA1284" s="1194">
        <v>0</v>
      </c>
      <c r="AB1284" s="1180" t="s">
        <v>364</v>
      </c>
      <c r="AC1284" s="1192" t="str">
        <f>""</f>
        <v/>
      </c>
      <c r="AD1284" s="985">
        <v>1</v>
      </c>
      <c r="AE1284" s="985" t="s">
        <v>368</v>
      </c>
      <c r="AF1284" s="985" t="s">
        <v>369</v>
      </c>
      <c r="AG1284" s="985">
        <v>1</v>
      </c>
      <c r="AH1284" s="1193">
        <v>7</v>
      </c>
      <c r="AI1284" s="1193">
        <v>0</v>
      </c>
      <c r="AJ1284" s="1193">
        <f>VLOOKUP($I1284,'Price List, Weapons &amp; Items'!B:F,5,0)</f>
        <v>0</v>
      </c>
      <c r="AK1284" s="1193">
        <f t="shared" si="278"/>
        <v>0</v>
      </c>
      <c r="AL1284" s="1193">
        <f t="shared" si="279"/>
        <v>0</v>
      </c>
      <c r="AM1284" s="1193">
        <f t="shared" si="280"/>
        <v>0</v>
      </c>
      <c r="AN1284" s="1194" t="str">
        <f>VLOOKUP($I1284,'Price List, Weapons &amp; Items'!B:L,COLUMN('Price List, Weapons &amp; Items'!$J$11)-1,0)</f>
        <v>.</v>
      </c>
      <c r="AO1284" s="1194" t="str">
        <f>IF(I1284=".",".",VLOOKUP($I1284,'Price List, Weapons &amp; Items'!B:J,3,0))</f>
        <v>.</v>
      </c>
      <c r="AP1284" s="1195" t="str">
        <f t="shared" ca="1" si="274"/>
        <v>.</v>
      </c>
      <c r="AQ1284" s="1194">
        <f>VLOOKUP($I1284,'Price List, Weapons &amp; Items'!B:L,COLUMN('Price List, Weapons &amp; Items'!$L$11)-1,0)</f>
        <v>0</v>
      </c>
      <c r="AR1284" s="1194">
        <f t="shared" si="281"/>
        <v>1</v>
      </c>
      <c r="AS1284" s="1194">
        <f t="shared" si="282"/>
        <v>0</v>
      </c>
      <c r="AT1284" s="1194">
        <f t="shared" si="283"/>
        <v>1</v>
      </c>
      <c r="AU1284" s="1194" t="str">
        <f t="shared" si="272"/>
        <v>.</v>
      </c>
      <c r="AV1284" s="1194" t="str">
        <f t="shared" si="275"/>
        <v>.</v>
      </c>
      <c r="AW1284" s="1194" t="str">
        <f t="shared" si="284"/>
        <v>.</v>
      </c>
      <c r="AX1284" s="1194">
        <f>IFERROR(VLOOKUP(B1284,'Share, Heavy Weapons to Ukraine'!B:Z,COLUMN('Share, Heavy Weapons to Ukraine'!C1296)-1,0),0)</f>
        <v>0</v>
      </c>
      <c r="AY1284" s="1194">
        <f>VLOOKUP('Bilateral Assistance, MAIN DATA'!B1284,'Country Summary (€)'!B:F,COLUMN('Country Summary (€)'!C1297)-1,FALSE)</f>
        <v>1</v>
      </c>
      <c r="AZ1284" s="1194" t="str">
        <f>IF(AND(AD1284=1,D1284="Military",H1284&lt;&gt;"Not given")=TRUE,IF(SUMIFS(P:P,A:A,A1284)&gt;0,ABS((SUMIFS(P:P,A:A,A1284)/VLOOKUP("USD",'Exchange Rates'!B:C,2,0)))/S1284,"."),".")</f>
        <v>.</v>
      </c>
      <c r="BA1284" s="1196" t="str">
        <f>IF(AND(AD1284=1,D1284="Military",H1284&lt;&gt;"Not given")=TRUE,IF(SUMIFS(P:P,A:A,A1284)&gt;0,IF((ABS((SUMIFS(P:P,A:A,A1284)/VLOOKUP("USD",'Exchange Rates'!B:C,2,0)))/S1284)&gt;1,(SUMIFS(P:P,A:A,A1284)-S1284)/S1284,(S1284-SUMIFS(P:P,A:A,A1284))/SUMIFS(P:P,A:A,A1284)),"."),".")</f>
        <v>.</v>
      </c>
    </row>
    <row r="1285" spans="1:71" s="1194" customFormat="1" ht="15.95" customHeight="1">
      <c r="A1285" s="1266" t="s">
        <v>3536</v>
      </c>
      <c r="B1285" s="1180" t="s">
        <v>3412</v>
      </c>
      <c r="C1285" s="1181">
        <v>44916</v>
      </c>
      <c r="D1285" s="1182" t="s">
        <v>544</v>
      </c>
      <c r="E1285" s="1182" t="s">
        <v>495</v>
      </c>
      <c r="F1285" s="1183" t="s">
        <v>3537</v>
      </c>
      <c r="G1285" s="1184" t="s">
        <v>483</v>
      </c>
      <c r="H1285" s="1185">
        <v>100000000</v>
      </c>
      <c r="I1285" s="1266" t="s">
        <v>364</v>
      </c>
      <c r="J1285" s="1186" t="str">
        <f>VLOOKUP($I1285,'Price List, Weapons &amp; Items'!B:C,2,0)</f>
        <v>.</v>
      </c>
      <c r="K1285" s="1186" t="str">
        <f>IF(I1285=".",I1285,VLOOKUP($I1285,'Price List, Weapons &amp; Items'!B:D,3,0))</f>
        <v>.</v>
      </c>
      <c r="L1285" s="1187">
        <f>VLOOKUP(I1285,'Price List, Weapons &amp; Items'!B:E,4,0)</f>
        <v>0</v>
      </c>
      <c r="M1285" s="1188" t="s">
        <v>364</v>
      </c>
      <c r="N1285" s="1275" t="s">
        <v>364</v>
      </c>
      <c r="O1285" s="1188" t="str">
        <f>VLOOKUP($I1285,'Price List, Weapons &amp; Items'!B:G,6,0)</f>
        <v>.</v>
      </c>
      <c r="P1285" s="1185" t="str">
        <f t="shared" si="276"/>
        <v>.</v>
      </c>
      <c r="Q1285" s="1185" t="str">
        <f t="shared" si="277"/>
        <v>.</v>
      </c>
      <c r="R1285" s="1185">
        <f t="shared" si="273"/>
        <v>100000000</v>
      </c>
      <c r="S1285" s="1185">
        <f>IF(AND(AD1285=1,R1285&lt;&gt;".")=TRUE,R1285/VLOOKUP(G1285,'Exchange Rates'!B:C,2,0),IF(R1285=".",".",""))</f>
        <v>100000000</v>
      </c>
      <c r="T1285" s="1185" t="str">
        <f>IF(AD1285=1,IF(AF1285="Value is not given at all",".",IF(AF1285="Value is given by the source",S1285,IF(AF1285="Value is calculated with prices",(IF(SUMIFS(Q:Q,A:A,A1285)&gt;0,SUMIFS(Q:Q,A:A,A1285),"."))/VLOOKUP("USD",'Exchange Rates'!B:C,2,0),"Error with coding"))),"")</f>
        <v>.</v>
      </c>
      <c r="U1285" s="1184" t="s">
        <v>365</v>
      </c>
      <c r="V1285" s="973" t="s">
        <v>3538</v>
      </c>
      <c r="W1285" s="973" t="s">
        <v>3539</v>
      </c>
      <c r="X1285" s="1190" t="s">
        <v>364</v>
      </c>
      <c r="Y1285" s="1190" t="s">
        <v>364</v>
      </c>
      <c r="Z1285" s="1184">
        <v>0</v>
      </c>
      <c r="AA1285" s="1191">
        <v>0</v>
      </c>
      <c r="AB1285" s="1180" t="s">
        <v>364</v>
      </c>
      <c r="AC1285" s="1192" t="str">
        <f>""</f>
        <v/>
      </c>
      <c r="AD1285" s="985">
        <v>1</v>
      </c>
      <c r="AE1285" s="985" t="s">
        <v>368</v>
      </c>
      <c r="AF1285" s="985" t="s">
        <v>369</v>
      </c>
      <c r="AG1285" s="985">
        <v>1</v>
      </c>
      <c r="AH1285" s="1193">
        <v>12</v>
      </c>
      <c r="AI1285" s="1193">
        <v>0</v>
      </c>
      <c r="AJ1285" s="1193">
        <f>VLOOKUP($I1285,'Price List, Weapons &amp; Items'!B:F,5,0)</f>
        <v>0</v>
      </c>
      <c r="AK1285" s="1193">
        <f t="shared" si="278"/>
        <v>0</v>
      </c>
      <c r="AL1285" s="1193">
        <f t="shared" si="279"/>
        <v>0</v>
      </c>
      <c r="AM1285" s="1193">
        <f t="shared" si="280"/>
        <v>0</v>
      </c>
      <c r="AN1285" s="1194" t="str">
        <f>VLOOKUP($I1285,'Price List, Weapons &amp; Items'!B:L,COLUMN('Price List, Weapons &amp; Items'!$J$11)-1,0)</f>
        <v>.</v>
      </c>
      <c r="AO1285" s="1194" t="str">
        <f>IF(I1285=".",".",VLOOKUP($I1285,'Price List, Weapons &amp; Items'!B:J,3,0))</f>
        <v>.</v>
      </c>
      <c r="AP1285" s="1195" t="str">
        <f t="shared" ca="1" si="274"/>
        <v>.</v>
      </c>
      <c r="AQ1285" s="1194">
        <f>VLOOKUP($I1285,'Price List, Weapons &amp; Items'!B:L,COLUMN('Price List, Weapons &amp; Items'!$L$11)-1,0)</f>
        <v>0</v>
      </c>
      <c r="AR1285" s="1194">
        <f t="shared" si="281"/>
        <v>1</v>
      </c>
      <c r="AS1285" s="1194">
        <f t="shared" si="282"/>
        <v>0</v>
      </c>
      <c r="AT1285" s="1194">
        <f t="shared" si="283"/>
        <v>1</v>
      </c>
      <c r="AU1285" s="1194" t="str">
        <f t="shared" si="272"/>
        <v>.</v>
      </c>
      <c r="AV1285" s="1194" t="str">
        <f t="shared" si="275"/>
        <v>.</v>
      </c>
      <c r="AW1285" s="1194" t="str">
        <f t="shared" si="284"/>
        <v>.</v>
      </c>
      <c r="AX1285" s="1194">
        <f>IFERROR(VLOOKUP(B1285,'Share, Heavy Weapons to Ukraine'!B:Z,COLUMN('Share, Heavy Weapons to Ukraine'!C1297)-1,0),0)</f>
        <v>0</v>
      </c>
      <c r="AY1285" s="1194">
        <f>VLOOKUP('Bilateral Assistance, MAIN DATA'!B1285,'Country Summary (€)'!B:F,COLUMN('Country Summary (€)'!C1298)-1,FALSE)</f>
        <v>1</v>
      </c>
      <c r="AZ1285" s="1194" t="str">
        <f>IF(AND(AD1285=1,D1285="Military",H1285&lt;&gt;"Not given")=TRUE,IF(SUMIFS(P:P,A:A,A1285)&gt;0,ABS((SUMIFS(P:P,A:A,A1285)/VLOOKUP("USD",'Exchange Rates'!B:C,2,0)))/S1285,"."),".")</f>
        <v>.</v>
      </c>
      <c r="BA1285" s="1196" t="str">
        <f>IF(AND(AD1285=1,D1285="Military",H1285&lt;&gt;"Not given")=TRUE,IF(SUMIFS(P:P,A:A,A1285)&gt;0,IF((ABS((SUMIFS(P:P,A:A,A1285)/VLOOKUP("USD",'Exchange Rates'!B:C,2,0)))/S1285)&gt;1,(SUMIFS(P:P,A:A,A1285)-S1285)/S1285,(S1285-SUMIFS(P:P,A:A,A1285))/SUMIFS(P:P,A:A,A1285)),"."),".")</f>
        <v>.</v>
      </c>
      <c r="BB1285" s="1196"/>
      <c r="BC1285" s="1196"/>
      <c r="BD1285" s="1196"/>
      <c r="BE1285" s="1196"/>
      <c r="BF1285" s="1196"/>
      <c r="BG1285" s="1196"/>
      <c r="BH1285" s="1196"/>
      <c r="BI1285" s="1196"/>
      <c r="BJ1285" s="1196"/>
      <c r="BK1285" s="1196"/>
      <c r="BL1285" s="1196"/>
      <c r="BM1285" s="1196"/>
    </row>
    <row r="1286" spans="1:71" ht="15.95" customHeight="1">
      <c r="A1286" s="1266" t="s">
        <v>3540</v>
      </c>
      <c r="B1286" s="1180" t="s">
        <v>3412</v>
      </c>
      <c r="C1286" s="1181">
        <v>44937</v>
      </c>
      <c r="D1286" s="1182" t="s">
        <v>544</v>
      </c>
      <c r="E1286" s="1182" t="s">
        <v>481</v>
      </c>
      <c r="F1286" s="1183" t="s">
        <v>3541</v>
      </c>
      <c r="G1286" s="1184" t="s">
        <v>483</v>
      </c>
      <c r="H1286" s="1185">
        <v>4500000</v>
      </c>
      <c r="I1286" s="1266" t="s">
        <v>364</v>
      </c>
      <c r="J1286" s="1186" t="str">
        <f>VLOOKUP($I1286,'Price List, Weapons &amp; Items'!B:C,2,0)</f>
        <v>.</v>
      </c>
      <c r="K1286" s="1186" t="str">
        <f>IF(I1286=".",I1286,VLOOKUP($I1286,'Price List, Weapons &amp; Items'!B:D,3,0))</f>
        <v>.</v>
      </c>
      <c r="L1286" s="1187">
        <f>VLOOKUP(I1286,'Price List, Weapons &amp; Items'!B:E,4,0)</f>
        <v>0</v>
      </c>
      <c r="M1286" s="1188" t="s">
        <v>364</v>
      </c>
      <c r="N1286" s="1275" t="s">
        <v>364</v>
      </c>
      <c r="O1286" s="1188" t="str">
        <f>VLOOKUP($I1286,'Price List, Weapons &amp; Items'!B:G,6,0)</f>
        <v>.</v>
      </c>
      <c r="P1286" s="1185" t="str">
        <f t="shared" si="276"/>
        <v>.</v>
      </c>
      <c r="Q1286" s="1185" t="str">
        <f t="shared" si="277"/>
        <v>.</v>
      </c>
      <c r="R1286" s="1185">
        <f t="shared" si="273"/>
        <v>4500000</v>
      </c>
      <c r="S1286" s="1185">
        <f>IF(AND(AD1286=1,R1286&lt;&gt;".")=TRUE,R1286/VLOOKUP(G1286,'Exchange Rates'!B:C,2,0),IF(R1286=".",".",""))</f>
        <v>4500000</v>
      </c>
      <c r="T1286" s="1185">
        <f>IF(AD1286=1,IF(AF1286="Value is not given at all",".",IF(AF1286="Value is given by the source",S1286,IF(AF1286="Value is calculated with prices",(IF(SUMIFS(Q:Q,A:A,A1286)&gt;0,SUMIFS(Q:Q,A:A,A1286),"."))/VLOOKUP("USD",'Exchange Rates'!B:C,2,0),"Error with coding"))),"")</f>
        <v>4500000</v>
      </c>
      <c r="U1286" s="1184" t="s">
        <v>365</v>
      </c>
      <c r="V1286" s="971" t="s">
        <v>3542</v>
      </c>
      <c r="W1286" s="986" t="s">
        <v>364</v>
      </c>
      <c r="X1286" s="1190" t="s">
        <v>364</v>
      </c>
      <c r="Y1286" s="1190" t="s">
        <v>364</v>
      </c>
      <c r="Z1286" s="1184">
        <v>0</v>
      </c>
      <c r="AA1286" s="1191">
        <v>0</v>
      </c>
      <c r="AB1286" s="1180" t="s">
        <v>364</v>
      </c>
      <c r="AC1286" s="1192" t="str">
        <f>""</f>
        <v/>
      </c>
      <c r="AD1286" s="985">
        <v>1</v>
      </c>
      <c r="AE1286" s="985" t="s">
        <v>368</v>
      </c>
      <c r="AF1286" s="985" t="s">
        <v>368</v>
      </c>
      <c r="AG1286" s="985">
        <v>1</v>
      </c>
      <c r="AH1286" s="1193">
        <v>13</v>
      </c>
      <c r="AI1286" s="1193">
        <v>0</v>
      </c>
      <c r="AJ1286" s="1193">
        <f>VLOOKUP($I1286,'Price List, Weapons &amp; Items'!B:F,5,0)</f>
        <v>0</v>
      </c>
      <c r="AK1286" s="1193">
        <f t="shared" si="278"/>
        <v>0</v>
      </c>
      <c r="AL1286" s="1193">
        <f t="shared" si="279"/>
        <v>0</v>
      </c>
      <c r="AM1286" s="1193">
        <f t="shared" si="280"/>
        <v>0</v>
      </c>
      <c r="AN1286" s="1194" t="str">
        <f>VLOOKUP($I1286,'Price List, Weapons &amp; Items'!B:L,COLUMN('Price List, Weapons &amp; Items'!$J$11)-1,0)</f>
        <v>.</v>
      </c>
      <c r="AO1286" s="1194" t="str">
        <f>IF(I1286=".",".",VLOOKUP($I1286,'Price List, Weapons &amp; Items'!B:J,3,0))</f>
        <v>.</v>
      </c>
      <c r="AP1286" s="1195" t="str">
        <f t="shared" ca="1" si="274"/>
        <v>.</v>
      </c>
      <c r="AQ1286" s="1194">
        <f>VLOOKUP($I1286,'Price List, Weapons &amp; Items'!B:L,COLUMN('Price List, Weapons &amp; Items'!$L$11)-1,0)</f>
        <v>0</v>
      </c>
      <c r="AR1286" s="1194">
        <f t="shared" si="281"/>
        <v>1</v>
      </c>
      <c r="AS1286" s="1194">
        <f t="shared" si="282"/>
        <v>0</v>
      </c>
      <c r="AT1286" s="1194">
        <f t="shared" si="283"/>
        <v>1</v>
      </c>
      <c r="AU1286" s="1194" t="str">
        <f t="shared" si="272"/>
        <v>.</v>
      </c>
      <c r="AV1286" s="1194" t="str">
        <f t="shared" si="275"/>
        <v>.</v>
      </c>
      <c r="AW1286" s="1194" t="str">
        <f t="shared" si="284"/>
        <v>.</v>
      </c>
      <c r="AX1286" s="1194">
        <f>IFERROR(VLOOKUP(B1286,'Share, Heavy Weapons to Ukraine'!B:Z,COLUMN('Share, Heavy Weapons to Ukraine'!C1298)-1,0),0)</f>
        <v>0</v>
      </c>
      <c r="AY1286" s="1194">
        <f>VLOOKUP('Bilateral Assistance, MAIN DATA'!B1286,'Country Summary (€)'!B:F,COLUMN('Country Summary (€)'!C1299)-1,FALSE)</f>
        <v>1</v>
      </c>
      <c r="AZ1286" s="1194" t="str">
        <f>IF(AND(AD1286=1,D1286="Military",H1286&lt;&gt;"Not given")=TRUE,IF(SUMIFS(P:P,A:A,A1286)&gt;0,ABS((SUMIFS(P:P,A:A,A1286)/VLOOKUP("USD",'Exchange Rates'!B:C,2,0)))/S1286,"."),".")</f>
        <v>.</v>
      </c>
      <c r="BA1286" s="1196" t="str">
        <f>IF(AND(AD1286=1,D1286="Military",H1286&lt;&gt;"Not given")=TRUE,IF(SUMIFS(P:P,A:A,A1286)&gt;0,IF((ABS((SUMIFS(P:P,A:A,A1286)/VLOOKUP("USD",'Exchange Rates'!B:C,2,0)))/S1286)&gt;1,(SUMIFS(P:P,A:A,A1286)-S1286)/S1286,(S1286-SUMIFS(P:P,A:A,A1286))/SUMIFS(P:P,A:A,A1286)),"."),".")</f>
        <v>.</v>
      </c>
    </row>
    <row r="1287" spans="1:71" ht="15.95" customHeight="1">
      <c r="A1287" s="1266" t="s">
        <v>3543</v>
      </c>
      <c r="B1287" s="1180" t="s">
        <v>3412</v>
      </c>
      <c r="C1287" s="1181">
        <v>45029</v>
      </c>
      <c r="D1287" s="1182" t="s">
        <v>544</v>
      </c>
      <c r="E1287" s="1182" t="s">
        <v>495</v>
      </c>
      <c r="F1287" s="1183" t="s">
        <v>3544</v>
      </c>
      <c r="G1287" s="1184" t="s">
        <v>483</v>
      </c>
      <c r="H1287" s="1185">
        <v>100000000</v>
      </c>
      <c r="I1287" s="1266" t="s">
        <v>364</v>
      </c>
      <c r="J1287" s="1186" t="str">
        <f>VLOOKUP($I1287,'Price List, Weapons &amp; Items'!B:C,2,0)</f>
        <v>.</v>
      </c>
      <c r="K1287" s="1186" t="str">
        <f>IF(I1287=".",I1287,VLOOKUP($I1287,'Price List, Weapons &amp; Items'!B:D,3,0))</f>
        <v>.</v>
      </c>
      <c r="L1287" s="1187">
        <f>VLOOKUP(I1287,'Price List, Weapons &amp; Items'!B:E,4,0)</f>
        <v>0</v>
      </c>
      <c r="M1287" s="1188" t="s">
        <v>364</v>
      </c>
      <c r="N1287" s="1275" t="s">
        <v>364</v>
      </c>
      <c r="O1287" s="1188" t="str">
        <f>VLOOKUP($I1287,'Price List, Weapons &amp; Items'!B:G,6,0)</f>
        <v>.</v>
      </c>
      <c r="P1287" s="1185" t="str">
        <f t="shared" si="276"/>
        <v>.</v>
      </c>
      <c r="Q1287" s="1185" t="str">
        <f t="shared" si="277"/>
        <v>.</v>
      </c>
      <c r="R1287" s="1185">
        <f t="shared" si="273"/>
        <v>100000000</v>
      </c>
      <c r="S1287" s="1185">
        <f>IF(AND(AD1287=1,R1287&lt;&gt;".")=TRUE,R1287/VLOOKUP(G1287,'Exchange Rates'!B:C,2,0),IF(R1287=".",".",""))</f>
        <v>100000000</v>
      </c>
      <c r="T1287" s="1185" t="str">
        <f>IF(AD1287=1,IF(AF1287="Value is not given at all",".",IF(AF1287="Value is given by the source",S1287,IF(AF1287="Value is calculated with prices",(IF(SUMIFS(Q:Q,A:A,A1287)&gt;0,SUMIFS(Q:Q,A:A,A1287),"."))/VLOOKUP("USD",'Exchange Rates'!B:C,2,0),"Error with coding"))),"")</f>
        <v>.</v>
      </c>
      <c r="U1287" s="1184" t="s">
        <v>365</v>
      </c>
      <c r="V1287" s="973" t="s">
        <v>3545</v>
      </c>
      <c r="W1287" s="973" t="s">
        <v>3546</v>
      </c>
      <c r="X1287" s="1190" t="s">
        <v>364</v>
      </c>
      <c r="Y1287" s="1190" t="s">
        <v>364</v>
      </c>
      <c r="Z1287" s="1184">
        <v>0</v>
      </c>
      <c r="AA1287" s="1191">
        <v>1</v>
      </c>
      <c r="AB1287" s="1180" t="s">
        <v>364</v>
      </c>
      <c r="AC1287" s="1192" t="str">
        <f>""</f>
        <v/>
      </c>
      <c r="AD1287" s="985">
        <v>1</v>
      </c>
      <c r="AE1287" s="985" t="s">
        <v>368</v>
      </c>
      <c r="AF1287" s="985" t="s">
        <v>369</v>
      </c>
      <c r="AG1287" s="985">
        <v>1</v>
      </c>
      <c r="AH1287" s="1193">
        <v>16</v>
      </c>
      <c r="AI1287" s="1193">
        <v>0</v>
      </c>
      <c r="AJ1287" s="1193">
        <f>VLOOKUP($I1287,'Price List, Weapons &amp; Items'!B:F,5,0)</f>
        <v>0</v>
      </c>
      <c r="AK1287" s="1193">
        <f t="shared" si="278"/>
        <v>0</v>
      </c>
      <c r="AL1287" s="1193">
        <f t="shared" si="279"/>
        <v>0</v>
      </c>
      <c r="AM1287" s="1193">
        <f t="shared" si="280"/>
        <v>0</v>
      </c>
      <c r="AN1287" s="1194" t="str">
        <f>VLOOKUP($I1287,'Price List, Weapons &amp; Items'!B:L,COLUMN('Price List, Weapons &amp; Items'!$J$11)-1,0)</f>
        <v>.</v>
      </c>
      <c r="AO1287" s="1194" t="str">
        <f>IF(I1287=".",".",VLOOKUP($I1287,'Price List, Weapons &amp; Items'!B:J,3,0))</f>
        <v>.</v>
      </c>
      <c r="AP1287" s="1195" t="str">
        <f t="shared" ca="1" si="274"/>
        <v>.</v>
      </c>
      <c r="AQ1287" s="1194">
        <f>VLOOKUP($I1287,'Price List, Weapons &amp; Items'!B:L,COLUMN('Price List, Weapons &amp; Items'!$L$11)-1,0)</f>
        <v>0</v>
      </c>
      <c r="AR1287" s="1194">
        <f t="shared" si="281"/>
        <v>1</v>
      </c>
      <c r="AS1287" s="1194">
        <f t="shared" si="282"/>
        <v>0</v>
      </c>
      <c r="AT1287" s="1194">
        <f t="shared" si="283"/>
        <v>1</v>
      </c>
      <c r="AU1287" s="1194" t="str">
        <f t="shared" si="272"/>
        <v>.</v>
      </c>
      <c r="AV1287" s="1194" t="str">
        <f t="shared" si="275"/>
        <v>.</v>
      </c>
      <c r="AW1287" s="1194" t="str">
        <f t="shared" si="284"/>
        <v>.</v>
      </c>
      <c r="AX1287" s="1194">
        <f>IFERROR(VLOOKUP(B1287,'Share, Heavy Weapons to Ukraine'!B:Z,COLUMN('Share, Heavy Weapons to Ukraine'!C1299)-1,0),0)</f>
        <v>0</v>
      </c>
      <c r="AY1287" s="1194">
        <f>VLOOKUP('Bilateral Assistance, MAIN DATA'!B1287,'Country Summary (€)'!B:F,COLUMN('Country Summary (€)'!C1300)-1,FALSE)</f>
        <v>1</v>
      </c>
      <c r="AZ1287" s="1194" t="str">
        <f>IF(AND(AD1287=1,D1287="Military",H1287&lt;&gt;"Not given")=TRUE,IF(SUMIFS(P:P,A:A,A1287)&gt;0,ABS((SUMIFS(P:P,A:A,A1287)/VLOOKUP("USD",'Exchange Rates'!B:C,2,0)))/S1287,"."),".")</f>
        <v>.</v>
      </c>
      <c r="BA1287" s="1196" t="str">
        <f>IF(AND(AD1287=1,D1287="Military",H1287&lt;&gt;"Not given")=TRUE,IF(SUMIFS(P:P,A:A,A1287)&gt;0,IF((ABS((SUMIFS(P:P,A:A,A1287)/VLOOKUP("USD",'Exchange Rates'!B:C,2,0)))/S1287)&gt;1,(SUMIFS(P:P,A:A,A1287)-S1287)/S1287,(S1287-SUMIFS(P:P,A:A,A1287))/SUMIFS(P:P,A:A,A1287)),"."),".")</f>
        <v>.</v>
      </c>
    </row>
    <row r="1288" spans="1:71" ht="15.95" customHeight="1">
      <c r="A1288" s="1180" t="s">
        <v>3547</v>
      </c>
      <c r="B1288" s="1180" t="s">
        <v>3548</v>
      </c>
      <c r="C1288" s="1181">
        <v>44673</v>
      </c>
      <c r="D1288" s="1182" t="s">
        <v>360</v>
      </c>
      <c r="E1288" s="1182" t="s">
        <v>371</v>
      </c>
      <c r="F1288" s="1183" t="s">
        <v>3549</v>
      </c>
      <c r="G1288" s="1184" t="s">
        <v>364</v>
      </c>
      <c r="H1288" s="1185" t="s">
        <v>457</v>
      </c>
      <c r="I1288" s="1180" t="s">
        <v>364</v>
      </c>
      <c r="J1288" s="1186" t="str">
        <f>VLOOKUP($I1288,'Price List, Weapons &amp; Items'!B:C,2,0)</f>
        <v>.</v>
      </c>
      <c r="K1288" s="1186" t="str">
        <f>IF(I1288=".",I1288,VLOOKUP($I1288,'Price List, Weapons &amp; Items'!B:D,3,0))</f>
        <v>.</v>
      </c>
      <c r="L1288" s="1187">
        <f>VLOOKUP(I1288,'Price List, Weapons &amp; Items'!B:E,4,0)</f>
        <v>0</v>
      </c>
      <c r="M1288" s="1188" t="s">
        <v>364</v>
      </c>
      <c r="N1288" s="1188" t="s">
        <v>364</v>
      </c>
      <c r="O1288" s="1188" t="str">
        <f>VLOOKUP($I1288,'Price List, Weapons &amp; Items'!B:G,6,0)</f>
        <v>.</v>
      </c>
      <c r="P1288" s="1185" t="str">
        <f t="shared" si="276"/>
        <v>.</v>
      </c>
      <c r="Q1288" s="1185" t="str">
        <f t="shared" si="277"/>
        <v>.</v>
      </c>
      <c r="R1288" s="1185" t="str">
        <f t="shared" si="273"/>
        <v>.</v>
      </c>
      <c r="S1288" s="1185" t="str">
        <f>IF(AND(AD1288=1,R1288&lt;&gt;".")=TRUE,R1288/VLOOKUP(G1288,'Exchange Rates'!B:C,2,0),IF(R1288=".",".",""))</f>
        <v>.</v>
      </c>
      <c r="T1288" s="1185" t="str">
        <f>IF(AD1288=1,IF(AF1288="Value is not given at all",".",IF(AF1288="Value is given by the source",S1288,IF(AF1288="Value is calculated with prices",(IF(SUMIFS(Q:Q,A:A,A1288)&gt;0,SUMIFS(Q:Q,A:A,A1288),"."))/VLOOKUP("USD",'Exchange Rates'!B:C,2,0),"Error with coding"))),"")</f>
        <v>.</v>
      </c>
      <c r="U1288" s="1184" t="s">
        <v>365</v>
      </c>
      <c r="V1288" s="973" t="s">
        <v>3550</v>
      </c>
      <c r="W1288" s="1219" t="s">
        <v>364</v>
      </c>
      <c r="X1288" s="1219" t="s">
        <v>364</v>
      </c>
      <c r="Y1288" s="1190" t="s">
        <v>364</v>
      </c>
      <c r="Z1288" s="1184">
        <v>0</v>
      </c>
      <c r="AA1288" s="1194">
        <v>0</v>
      </c>
      <c r="AB1288" s="1201" t="s">
        <v>364</v>
      </c>
      <c r="AC1288" s="1192" t="str">
        <f>""</f>
        <v/>
      </c>
      <c r="AD1288" s="985">
        <v>1</v>
      </c>
      <c r="AE1288" s="985" t="s">
        <v>369</v>
      </c>
      <c r="AF1288" s="985" t="s">
        <v>369</v>
      </c>
      <c r="AG1288" s="985">
        <v>1</v>
      </c>
      <c r="AH1288" s="1193">
        <v>4</v>
      </c>
      <c r="AI1288" s="1193">
        <v>0</v>
      </c>
      <c r="AJ1288" s="1193">
        <f>VLOOKUP($I1288,'Price List, Weapons &amp; Items'!B:F,5,0)</f>
        <v>0</v>
      </c>
      <c r="AK1288" s="1193">
        <f t="shared" si="278"/>
        <v>0</v>
      </c>
      <c r="AL1288" s="1193">
        <f t="shared" si="279"/>
        <v>0</v>
      </c>
      <c r="AM1288" s="1193">
        <f t="shared" si="280"/>
        <v>0</v>
      </c>
      <c r="AN1288" s="1194" t="str">
        <f>VLOOKUP($I1288,'Price List, Weapons &amp; Items'!B:L,COLUMN('Price List, Weapons &amp; Items'!$J$11)-1,0)</f>
        <v>.</v>
      </c>
      <c r="AO1288" s="1194" t="str">
        <f>IF(I1288=".",".",VLOOKUP($I1288,'Price List, Weapons &amp; Items'!B:J,3,0))</f>
        <v>.</v>
      </c>
      <c r="AP1288" s="1195" t="str">
        <f t="shared" ca="1" si="274"/>
        <v>.</v>
      </c>
      <c r="AQ1288" s="1194">
        <f>VLOOKUP($I1288,'Price List, Weapons &amp; Items'!B:L,COLUMN('Price List, Weapons &amp; Items'!$L$11)-1,0)</f>
        <v>0</v>
      </c>
      <c r="AR1288" s="1194">
        <f t="shared" si="281"/>
        <v>1</v>
      </c>
      <c r="AS1288" s="1194">
        <f t="shared" si="282"/>
        <v>0</v>
      </c>
      <c r="AT1288" s="1194">
        <f t="shared" si="283"/>
        <v>1</v>
      </c>
      <c r="AU1288" s="1194" t="str">
        <f t="shared" si="272"/>
        <v>.</v>
      </c>
      <c r="AV1288" s="1194" t="str">
        <f t="shared" si="275"/>
        <v>.</v>
      </c>
      <c r="AW1288" s="1194" t="str">
        <f t="shared" si="284"/>
        <v>.</v>
      </c>
      <c r="AX1288" s="1194">
        <f>IFERROR(VLOOKUP(B1288,'Share, Heavy Weapons to Ukraine'!B:Z,COLUMN('Share, Heavy Weapons to Ukraine'!C1300)-1,0),0)</f>
        <v>0</v>
      </c>
      <c r="AY1288" s="1194">
        <f>VLOOKUP('Bilateral Assistance, MAIN DATA'!B1288,'Country Summary (€)'!B:F,COLUMN('Country Summary (€)'!C1301)-1,FALSE)</f>
        <v>1</v>
      </c>
      <c r="AZ1288" s="1194" t="str">
        <f>IF(AND(AD1288=1,D1288="Military",H1288&lt;&gt;"Not given")=TRUE,IF(SUMIFS(P:P,A:A,A1288)&gt;0,ABS((SUMIFS(P:P,A:A,A1288)/VLOOKUP("USD",'Exchange Rates'!B:C,2,0)))/S1288,"."),".")</f>
        <v>.</v>
      </c>
      <c r="BA1288" s="1196" t="str">
        <f>IF(AND(AD1288=1,D1288="Military",H1288&lt;&gt;"Not given")=TRUE,IF(SUMIFS(P:P,A:A,A1288)&gt;0,IF((ABS((SUMIFS(P:P,A:A,A1288)/VLOOKUP("USD",'Exchange Rates'!B:C,2,0)))/S1288)&gt;1,(SUMIFS(P:P,A:A,A1288)-S1288)/S1288,(S1288-SUMIFS(P:P,A:A,A1288))/SUMIFS(P:P,A:A,A1288)),"."),".")</f>
        <v>.</v>
      </c>
    </row>
    <row r="1289" spans="1:71" s="1194" customFormat="1" ht="15.95" customHeight="1">
      <c r="A1289" s="1180" t="s">
        <v>3551</v>
      </c>
      <c r="B1289" s="1180" t="s">
        <v>3548</v>
      </c>
      <c r="C1289" s="1181" t="s">
        <v>3552</v>
      </c>
      <c r="D1289" s="1182" t="s">
        <v>360</v>
      </c>
      <c r="E1289" s="1182" t="s">
        <v>759</v>
      </c>
      <c r="F1289" s="1183" t="s">
        <v>3553</v>
      </c>
      <c r="G1289" s="1184" t="s">
        <v>3554</v>
      </c>
      <c r="H1289" s="1185">
        <v>570000000</v>
      </c>
      <c r="I1289" s="1180" t="s">
        <v>364</v>
      </c>
      <c r="J1289" s="1186" t="str">
        <f>VLOOKUP($I1289,'Price List, Weapons &amp; Items'!B:C,2,0)</f>
        <v>.</v>
      </c>
      <c r="K1289" s="1186" t="str">
        <f>IF(I1289=".",I1289,VLOOKUP($I1289,'Price List, Weapons &amp; Items'!B:D,3,0))</f>
        <v>.</v>
      </c>
      <c r="L1289" s="1187">
        <f>VLOOKUP(I1289,'Price List, Weapons &amp; Items'!B:E,4,0)</f>
        <v>0</v>
      </c>
      <c r="M1289" s="1188" t="s">
        <v>364</v>
      </c>
      <c r="N1289" s="1188" t="s">
        <v>364</v>
      </c>
      <c r="O1289" s="1188" t="str">
        <f>VLOOKUP($I1289,'Price List, Weapons &amp; Items'!B:G,6,0)</f>
        <v>.</v>
      </c>
      <c r="P1289" s="1185" t="str">
        <f t="shared" si="276"/>
        <v>.</v>
      </c>
      <c r="Q1289" s="1185" t="str">
        <f t="shared" si="277"/>
        <v>.</v>
      </c>
      <c r="R1289" s="1185">
        <f t="shared" si="273"/>
        <v>570000000</v>
      </c>
      <c r="S1289" s="1185">
        <f>IF(AND(AD1289=1,R1289&lt;&gt;".")=TRUE,R1289/VLOOKUP(G1289,'Exchange Rates'!B:C,2,0),IF(R1289=".",".",""))</f>
        <v>50133248.89838782</v>
      </c>
      <c r="T1289" s="1185" t="str">
        <f>IF(AD1289=1,IF(AF1289="Value is not given at all",".",IF(AF1289="Value is given by the source",S1289,IF(AF1289="Value is calculated with prices",(IF(SUMIFS(Q:Q,A:A,A1289)&gt;0,SUMIFS(Q:Q,A:A,A1289),"."))/VLOOKUP("USD",'Exchange Rates'!B:C,2,0),"Error with coding"))),"")</f>
        <v>.</v>
      </c>
      <c r="U1289" s="1184" t="s">
        <v>365</v>
      </c>
      <c r="V1289" s="973" t="s">
        <v>3555</v>
      </c>
      <c r="W1289" s="973"/>
      <c r="X1289" s="971" t="s">
        <v>3556</v>
      </c>
      <c r="Y1289" s="1190" t="s">
        <v>364</v>
      </c>
      <c r="Z1289" s="1184">
        <v>0</v>
      </c>
      <c r="AA1289" s="1194">
        <v>0</v>
      </c>
      <c r="AB1289" s="1180" t="s">
        <v>364</v>
      </c>
      <c r="AC1289" s="1192" t="str">
        <f>""</f>
        <v/>
      </c>
      <c r="AD1289" s="985">
        <v>1</v>
      </c>
      <c r="AE1289" s="985" t="s">
        <v>368</v>
      </c>
      <c r="AF1289" s="985" t="s">
        <v>369</v>
      </c>
      <c r="AG1289" s="985">
        <v>1</v>
      </c>
      <c r="AH1289" s="1193">
        <v>5</v>
      </c>
      <c r="AI1289" s="1193">
        <v>0</v>
      </c>
      <c r="AJ1289" s="1193">
        <f>VLOOKUP($I1289,'Price List, Weapons &amp; Items'!B:F,5,0)</f>
        <v>0</v>
      </c>
      <c r="AK1289" s="1193">
        <f t="shared" si="278"/>
        <v>0</v>
      </c>
      <c r="AL1289" s="1193">
        <f t="shared" si="279"/>
        <v>0</v>
      </c>
      <c r="AM1289" s="1193">
        <f t="shared" si="280"/>
        <v>0</v>
      </c>
      <c r="AN1289" s="1194" t="str">
        <f>VLOOKUP($I1289,'Price List, Weapons &amp; Items'!B:L,COLUMN('Price List, Weapons &amp; Items'!$J$11)-1,0)</f>
        <v>.</v>
      </c>
      <c r="AO1289" s="1194" t="str">
        <f>IF(I1289=".",".",VLOOKUP($I1289,'Price List, Weapons &amp; Items'!B:J,3,0))</f>
        <v>.</v>
      </c>
      <c r="AP1289" s="1195" t="str">
        <f t="shared" ca="1" si="274"/>
        <v>.</v>
      </c>
      <c r="AQ1289" s="1194">
        <f>VLOOKUP($I1289,'Price List, Weapons &amp; Items'!B:L,COLUMN('Price List, Weapons &amp; Items'!$L$11)-1,0)</f>
        <v>0</v>
      </c>
      <c r="AR1289" s="1194">
        <f t="shared" si="281"/>
        <v>1</v>
      </c>
      <c r="AS1289" s="1194">
        <f t="shared" si="282"/>
        <v>0</v>
      </c>
      <c r="AT1289" s="1194" t="str">
        <f t="shared" si="283"/>
        <v>Value is not in date format</v>
      </c>
      <c r="AU1289" s="1194" t="str">
        <f t="shared" si="272"/>
        <v>.</v>
      </c>
      <c r="AV1289" s="1194" t="str">
        <f t="shared" si="275"/>
        <v>.</v>
      </c>
      <c r="AW1289" s="1194" t="str">
        <f t="shared" si="284"/>
        <v>.</v>
      </c>
      <c r="AX1289" s="1194">
        <f>IFERROR(VLOOKUP(B1289,'Share, Heavy Weapons to Ukraine'!B:Z,COLUMN('Share, Heavy Weapons to Ukraine'!C1301)-1,0),0)</f>
        <v>0</v>
      </c>
      <c r="AY1289" s="1194">
        <f>VLOOKUP('Bilateral Assistance, MAIN DATA'!B1289,'Country Summary (€)'!B:F,COLUMN('Country Summary (€)'!C1302)-1,FALSE)</f>
        <v>1</v>
      </c>
      <c r="AZ1289" s="1194" t="str">
        <f>IF(AND(AD1289=1,D1289="Military",H1289&lt;&gt;"Not given")=TRUE,IF(SUMIFS(P:P,A:A,A1289)&gt;0,ABS((SUMIFS(P:P,A:A,A1289)/VLOOKUP("USD",'Exchange Rates'!B:C,2,0)))/S1289,"."),".")</f>
        <v>.</v>
      </c>
      <c r="BA1289" s="1196" t="str">
        <f>IF(AND(AD1289=1,D1289="Military",H1289&lt;&gt;"Not given")=TRUE,IF(SUMIFS(P:P,A:A,A1289)&gt;0,IF((ABS((SUMIFS(P:P,A:A,A1289)/VLOOKUP("USD",'Exchange Rates'!B:C,2,0)))/S1289)&gt;1,(SUMIFS(P:P,A:A,A1289)-S1289)/S1289,(S1289-SUMIFS(P:P,A:A,A1289))/SUMIFS(P:P,A:A,A1289)),"."),".")</f>
        <v>.</v>
      </c>
    </row>
    <row r="1290" spans="1:71" s="1194" customFormat="1" ht="15.95" customHeight="1">
      <c r="A1290" s="1180" t="s">
        <v>3557</v>
      </c>
      <c r="B1290" s="1180" t="s">
        <v>3548</v>
      </c>
      <c r="C1290" s="1181">
        <v>44686</v>
      </c>
      <c r="D1290" s="1182" t="s">
        <v>360</v>
      </c>
      <c r="E1290" s="1182" t="s">
        <v>361</v>
      </c>
      <c r="F1290" s="1183" t="s">
        <v>3558</v>
      </c>
      <c r="G1290" s="1184" t="s">
        <v>3554</v>
      </c>
      <c r="H1290" s="1185">
        <v>230000000</v>
      </c>
      <c r="I1290" s="1180" t="s">
        <v>364</v>
      </c>
      <c r="J1290" s="1186" t="str">
        <f>VLOOKUP($I1290,'Price List, Weapons &amp; Items'!B:C,2,0)</f>
        <v>.</v>
      </c>
      <c r="K1290" s="1186" t="str">
        <f>IF(I1290=".",I1290,VLOOKUP($I1290,'Price List, Weapons &amp; Items'!B:D,3,0))</f>
        <v>.</v>
      </c>
      <c r="L1290" s="1187">
        <f>VLOOKUP(I1290,'Price List, Weapons &amp; Items'!B:E,4,0)</f>
        <v>0</v>
      </c>
      <c r="M1290" s="1188" t="s">
        <v>364</v>
      </c>
      <c r="N1290" s="1188" t="s">
        <v>364</v>
      </c>
      <c r="O1290" s="1188" t="str">
        <f>VLOOKUP($I1290,'Price List, Weapons &amp; Items'!B:G,6,0)</f>
        <v>.</v>
      </c>
      <c r="P1290" s="1185" t="str">
        <f t="shared" si="276"/>
        <v>.</v>
      </c>
      <c r="Q1290" s="1185" t="str">
        <f t="shared" si="277"/>
        <v>.</v>
      </c>
      <c r="R1290" s="1185">
        <f t="shared" si="273"/>
        <v>230000000</v>
      </c>
      <c r="S1290" s="1185">
        <f>IF(AND(AD1290=1,R1290&lt;&gt;".")=TRUE,R1290/VLOOKUP(G1290,'Exchange Rates'!B:C,2,0),IF(R1290=".",".",""))</f>
        <v>20229205.695840698</v>
      </c>
      <c r="T1290" s="1185" t="str">
        <f>IF(AD1290=1,IF(AF1290="Value is not given at all",".",IF(AF1290="Value is given by the source",S1290,IF(AF1290="Value is calculated with prices",(IF(SUMIFS(Q:Q,A:A,A1290)&gt;0,SUMIFS(Q:Q,A:A,A1290),"."))/VLOOKUP("USD",'Exchange Rates'!B:C,2,0),"Error with coding"))),"")</f>
        <v>.</v>
      </c>
      <c r="U1290" s="1184" t="s">
        <v>365</v>
      </c>
      <c r="V1290" s="973" t="s">
        <v>3555</v>
      </c>
      <c r="W1290" s="971" t="s">
        <v>3559</v>
      </c>
      <c r="X1290" s="971" t="s">
        <v>3560</v>
      </c>
      <c r="Y1290" s="1190" t="s">
        <v>364</v>
      </c>
      <c r="Z1290" s="1184">
        <v>0</v>
      </c>
      <c r="AA1290" s="1194">
        <v>0</v>
      </c>
      <c r="AB1290" s="1180" t="s">
        <v>364</v>
      </c>
      <c r="AC1290" s="1192" t="str">
        <f>""</f>
        <v/>
      </c>
      <c r="AD1290" s="985">
        <v>1</v>
      </c>
      <c r="AE1290" s="985" t="s">
        <v>368</v>
      </c>
      <c r="AF1290" s="985" t="s">
        <v>369</v>
      </c>
      <c r="AG1290" s="985">
        <v>1</v>
      </c>
      <c r="AH1290" s="1193">
        <v>5</v>
      </c>
      <c r="AI1290" s="1193">
        <v>0</v>
      </c>
      <c r="AJ1290" s="1193">
        <f>VLOOKUP($I1290,'Price List, Weapons &amp; Items'!B:F,5,0)</f>
        <v>0</v>
      </c>
      <c r="AK1290" s="1193">
        <f t="shared" si="278"/>
        <v>0</v>
      </c>
      <c r="AL1290" s="1193">
        <f t="shared" si="279"/>
        <v>0</v>
      </c>
      <c r="AM1290" s="1193">
        <f t="shared" si="280"/>
        <v>0</v>
      </c>
      <c r="AN1290" s="1194" t="str">
        <f>VLOOKUP($I1290,'Price List, Weapons &amp; Items'!B:L,COLUMN('Price List, Weapons &amp; Items'!$J$11)-1,0)</f>
        <v>.</v>
      </c>
      <c r="AO1290" s="1194" t="str">
        <f>IF(I1290=".",".",VLOOKUP($I1290,'Price List, Weapons &amp; Items'!B:J,3,0))</f>
        <v>.</v>
      </c>
      <c r="AP1290" s="1195" t="str">
        <f t="shared" ca="1" si="274"/>
        <v>.</v>
      </c>
      <c r="AQ1290" s="1194">
        <f>VLOOKUP($I1290,'Price List, Weapons &amp; Items'!B:L,COLUMN('Price List, Weapons &amp; Items'!$L$11)-1,0)</f>
        <v>0</v>
      </c>
      <c r="AR1290" s="1194">
        <f t="shared" si="281"/>
        <v>1</v>
      </c>
      <c r="AS1290" s="1194">
        <f t="shared" si="282"/>
        <v>0</v>
      </c>
      <c r="AT1290" s="1194">
        <f t="shared" si="283"/>
        <v>1</v>
      </c>
      <c r="AU1290" s="1194" t="str">
        <f t="shared" si="272"/>
        <v>.</v>
      </c>
      <c r="AV1290" s="1194" t="str">
        <f t="shared" si="275"/>
        <v>.</v>
      </c>
      <c r="AW1290" s="1194" t="str">
        <f t="shared" si="284"/>
        <v>.</v>
      </c>
      <c r="AX1290" s="1194">
        <f>IFERROR(VLOOKUP(B1290,'Share, Heavy Weapons to Ukraine'!B:Z,COLUMN('Share, Heavy Weapons to Ukraine'!C1302)-1,0),0)</f>
        <v>0</v>
      </c>
      <c r="AY1290" s="1194">
        <f>VLOOKUP('Bilateral Assistance, MAIN DATA'!B1290,'Country Summary (€)'!B:F,COLUMN('Country Summary (€)'!C1303)-1,FALSE)</f>
        <v>1</v>
      </c>
      <c r="AZ1290" s="1194" t="str">
        <f>IF(AND(AD1290=1,D1290="Military",H1290&lt;&gt;"Not given")=TRUE,IF(SUMIFS(P:P,A:A,A1290)&gt;0,ABS((SUMIFS(P:P,A:A,A1290)/VLOOKUP("USD",'Exchange Rates'!B:C,2,0)))/S1290,"."),".")</f>
        <v>.</v>
      </c>
      <c r="BA1290" s="1196" t="str">
        <f>IF(AND(AD1290=1,D1290="Military",H1290&lt;&gt;"Not given")=TRUE,IF(SUMIFS(P:P,A:A,A1290)&gt;0,IF((ABS((SUMIFS(P:P,A:A,A1290)/VLOOKUP("USD",'Exchange Rates'!B:C,2,0)))/S1290)&gt;1,(SUMIFS(P:P,A:A,A1290)-S1290)/S1290,(S1290-SUMIFS(P:P,A:A,A1290))/SUMIFS(P:P,A:A,A1290)),"."),".")</f>
        <v>.</v>
      </c>
    </row>
    <row r="1291" spans="1:71" s="1194" customFormat="1" ht="15.95" customHeight="1">
      <c r="A1291" s="1180" t="s">
        <v>3561</v>
      </c>
      <c r="B1291" s="1180" t="s">
        <v>3548</v>
      </c>
      <c r="C1291" s="1181">
        <v>44714</v>
      </c>
      <c r="D1291" s="1182" t="s">
        <v>360</v>
      </c>
      <c r="E1291" s="1182" t="s">
        <v>361</v>
      </c>
      <c r="F1291" s="1183" t="s">
        <v>3562</v>
      </c>
      <c r="G1291" s="1184" t="s">
        <v>3554</v>
      </c>
      <c r="H1291" s="1185">
        <v>100000000</v>
      </c>
      <c r="I1291" s="1180" t="s">
        <v>364</v>
      </c>
      <c r="J1291" s="1186" t="str">
        <f>VLOOKUP($I1291,'Price List, Weapons &amp; Items'!B:C,2,0)</f>
        <v>.</v>
      </c>
      <c r="K1291" s="1186" t="str">
        <f>IF(I1291=".",I1291,VLOOKUP($I1291,'Price List, Weapons &amp; Items'!B:D,3,0))</f>
        <v>.</v>
      </c>
      <c r="L1291" s="1187">
        <f>VLOOKUP(I1291,'Price List, Weapons &amp; Items'!B:E,4,0)</f>
        <v>0</v>
      </c>
      <c r="M1291" s="1188" t="s">
        <v>364</v>
      </c>
      <c r="N1291" s="1188" t="s">
        <v>364</v>
      </c>
      <c r="O1291" s="1188" t="str">
        <f>VLOOKUP($I1291,'Price List, Weapons &amp; Items'!B:G,6,0)</f>
        <v>.</v>
      </c>
      <c r="P1291" s="1185" t="str">
        <f t="shared" si="276"/>
        <v>.</v>
      </c>
      <c r="Q1291" s="1185" t="str">
        <f t="shared" si="277"/>
        <v>.</v>
      </c>
      <c r="R1291" s="1185">
        <f t="shared" si="273"/>
        <v>100000000</v>
      </c>
      <c r="S1291" s="1185">
        <f>IF(AND(AD1291=1,R1291&lt;&gt;".")=TRUE,R1291/VLOOKUP(G1291,'Exchange Rates'!B:C,2,0),IF(R1291=".",".",""))</f>
        <v>8795306.8242785651</v>
      </c>
      <c r="T1291" s="1185" t="str">
        <f>IF(AD1291=1,IF(AF1291="Value is not given at all",".",IF(AF1291="Value is given by the source",S1291,IF(AF1291="Value is calculated with prices",(IF(SUMIFS(Q:Q,A:A,A1291)&gt;0,SUMIFS(Q:Q,A:A,A1291),"."))/VLOOKUP("USD",'Exchange Rates'!B:C,2,0),"Error with coding"))),"")</f>
        <v>.</v>
      </c>
      <c r="U1291" s="1184" t="s">
        <v>365</v>
      </c>
      <c r="V1291" s="971" t="s">
        <v>3563</v>
      </c>
      <c r="W1291" s="1190" t="s">
        <v>364</v>
      </c>
      <c r="X1291" s="1190" t="s">
        <v>364</v>
      </c>
      <c r="Y1291" s="1190" t="s">
        <v>364</v>
      </c>
      <c r="Z1291" s="1184">
        <v>0</v>
      </c>
      <c r="AA1291" s="1194">
        <v>0</v>
      </c>
      <c r="AB1291" s="1180" t="s">
        <v>364</v>
      </c>
      <c r="AC1291" s="1192" t="str">
        <f>""</f>
        <v/>
      </c>
      <c r="AD1291" s="985">
        <v>1</v>
      </c>
      <c r="AE1291" s="985" t="s">
        <v>368</v>
      </c>
      <c r="AF1291" s="985" t="s">
        <v>369</v>
      </c>
      <c r="AG1291" s="985">
        <v>1</v>
      </c>
      <c r="AH1291" s="1193">
        <v>6</v>
      </c>
      <c r="AI1291" s="1193">
        <v>0</v>
      </c>
      <c r="AJ1291" s="1193">
        <f>VLOOKUP($I1291,'Price List, Weapons &amp; Items'!B:F,5,0)</f>
        <v>0</v>
      </c>
      <c r="AK1291" s="1193">
        <f t="shared" si="278"/>
        <v>0</v>
      </c>
      <c r="AL1291" s="1193">
        <f t="shared" si="279"/>
        <v>0</v>
      </c>
      <c r="AM1291" s="1193">
        <f t="shared" si="280"/>
        <v>0</v>
      </c>
      <c r="AN1291" s="1194" t="str">
        <f>VLOOKUP($I1291,'Price List, Weapons &amp; Items'!B:L,COLUMN('Price List, Weapons &amp; Items'!$J$11)-1,0)</f>
        <v>.</v>
      </c>
      <c r="AO1291" s="1194" t="str">
        <f>IF(I1291=".",".",VLOOKUP($I1291,'Price List, Weapons &amp; Items'!B:J,3,0))</f>
        <v>.</v>
      </c>
      <c r="AP1291" s="1195" t="str">
        <f t="shared" ca="1" si="274"/>
        <v>.</v>
      </c>
      <c r="AQ1291" s="1194">
        <f>VLOOKUP($I1291,'Price List, Weapons &amp; Items'!B:L,COLUMN('Price List, Weapons &amp; Items'!$L$11)-1,0)</f>
        <v>0</v>
      </c>
      <c r="AR1291" s="1194">
        <f t="shared" si="281"/>
        <v>1</v>
      </c>
      <c r="AS1291" s="1194">
        <f t="shared" si="282"/>
        <v>0</v>
      </c>
      <c r="AT1291" s="1194">
        <f t="shared" si="283"/>
        <v>1</v>
      </c>
      <c r="AU1291" s="1194" t="str">
        <f t="shared" si="272"/>
        <v>.</v>
      </c>
      <c r="AV1291" s="1194" t="str">
        <f t="shared" si="275"/>
        <v>.</v>
      </c>
      <c r="AW1291" s="1194" t="str">
        <f t="shared" si="284"/>
        <v>.</v>
      </c>
      <c r="AX1291" s="1194">
        <f>IFERROR(VLOOKUP(B1291,'Share, Heavy Weapons to Ukraine'!B:Z,COLUMN('Share, Heavy Weapons to Ukraine'!C1303)-1,0),0)</f>
        <v>0</v>
      </c>
      <c r="AY1291" s="1194">
        <f>VLOOKUP('Bilateral Assistance, MAIN DATA'!B1291,'Country Summary (€)'!B:F,COLUMN('Country Summary (€)'!C1304)-1,FALSE)</f>
        <v>1</v>
      </c>
      <c r="AZ1291" s="1194" t="str">
        <f>IF(AND(AD1291=1,D1291="Military",H1291&lt;&gt;"Not given")=TRUE,IF(SUMIFS(P:P,A:A,A1291)&gt;0,ABS((SUMIFS(P:P,A:A,A1291)/VLOOKUP("USD",'Exchange Rates'!B:C,2,0)))/S1291,"."),".")</f>
        <v>.</v>
      </c>
      <c r="BA1291" s="1196" t="str">
        <f>IF(AND(AD1291=1,D1291="Military",H1291&lt;&gt;"Not given")=TRUE,IF(SUMIFS(P:P,A:A,A1291)&gt;0,IF((ABS((SUMIFS(P:P,A:A,A1291)/VLOOKUP("USD",'Exchange Rates'!B:C,2,0)))/S1291)&gt;1,(SUMIFS(P:P,A:A,A1291)-S1291)/S1291,(S1291-SUMIFS(P:P,A:A,A1291))/SUMIFS(P:P,A:A,A1291)),"."),".")</f>
        <v>.</v>
      </c>
    </row>
    <row r="1292" spans="1:71" s="1194" customFormat="1" ht="15.95" customHeight="1">
      <c r="A1292" s="1180" t="s">
        <v>3564</v>
      </c>
      <c r="B1292" s="1180" t="s">
        <v>3548</v>
      </c>
      <c r="C1292" s="1181">
        <v>44817</v>
      </c>
      <c r="D1292" s="1182" t="s">
        <v>360</v>
      </c>
      <c r="E1292" s="1182" t="s">
        <v>1542</v>
      </c>
      <c r="F1292" s="1183" t="s">
        <v>3565</v>
      </c>
      <c r="G1292" s="1184" t="s">
        <v>456</v>
      </c>
      <c r="H1292" s="1185" t="s">
        <v>457</v>
      </c>
      <c r="I1292" s="1180" t="s">
        <v>3566</v>
      </c>
      <c r="J1292" s="1186" t="str">
        <f>VLOOKUP($I1292,'Price List, Weapons &amp; Items'!B:C,2,0)</f>
        <v>Humanitarian</v>
      </c>
      <c r="K1292" s="1186" t="str">
        <f>IF(I1292=".",I1292,VLOOKUP($I1292,'Price List, Weapons &amp; Items'!B:D,3,0))</f>
        <v>Humanitarian</v>
      </c>
      <c r="L1292" s="1187">
        <f>VLOOKUP(I1292,'Price List, Weapons &amp; Items'!B:E,4,0)</f>
        <v>0</v>
      </c>
      <c r="M1292" s="1188">
        <v>500000</v>
      </c>
      <c r="N1292" s="1188" t="s">
        <v>374</v>
      </c>
      <c r="O1292" s="1188">
        <f>VLOOKUP($I1292,'Price List, Weapons &amp; Items'!B:G,6,0)</f>
        <v>19.5</v>
      </c>
      <c r="P1292" s="1185">
        <f t="shared" si="276"/>
        <v>9750000</v>
      </c>
      <c r="Q1292" s="1185" t="str">
        <f t="shared" si="277"/>
        <v>.</v>
      </c>
      <c r="R1292" s="1185">
        <f t="shared" si="273"/>
        <v>9750000</v>
      </c>
      <c r="S1292" s="1185">
        <f>IF(AND(AD1292=1,R1292&lt;&gt;".")=TRUE,R1292/VLOOKUP(G1292,'Exchange Rates'!B:C,2,0),IF(R1292=".",".",""))</f>
        <v>8971291.8660287075</v>
      </c>
      <c r="T1292" s="1185" t="str">
        <f>IF(AD1292=1,IF(AF1292="Value is not given at all",".",IF(AF1292="Value is given by the source",S1292,IF(AF1292="Value is calculated with prices",(IF(SUMIFS(Q:Q,A:A,A1292)&gt;0,SUMIFS(Q:Q,A:A,A1292),"."))/VLOOKUP("USD",'Exchange Rates'!B:C,2,0),"Error with coding"))),"")</f>
        <v>.</v>
      </c>
      <c r="U1292" s="1184" t="s">
        <v>365</v>
      </c>
      <c r="V1292" s="973" t="s">
        <v>3567</v>
      </c>
      <c r="W1292" s="1190" t="s">
        <v>364</v>
      </c>
      <c r="X1292" s="1190" t="s">
        <v>364</v>
      </c>
      <c r="Y1292" s="1190" t="s">
        <v>364</v>
      </c>
      <c r="Z1292" s="1184">
        <v>0</v>
      </c>
      <c r="AA1292" s="1194">
        <v>0</v>
      </c>
      <c r="AB1292" s="1180" t="s">
        <v>364</v>
      </c>
      <c r="AC1292" s="1192" t="str">
        <f>""</f>
        <v/>
      </c>
      <c r="AD1292" s="985">
        <v>1</v>
      </c>
      <c r="AE1292" s="985" t="s">
        <v>436</v>
      </c>
      <c r="AF1292" s="985" t="s">
        <v>369</v>
      </c>
      <c r="AG1292" s="985">
        <v>1</v>
      </c>
      <c r="AH1292" s="1193">
        <v>9</v>
      </c>
      <c r="AI1292" s="1193">
        <v>0</v>
      </c>
      <c r="AJ1292" s="1193">
        <f>VLOOKUP($I1292,'Price List, Weapons &amp; Items'!B:F,5,0)</f>
        <v>0</v>
      </c>
      <c r="AK1292" s="1193">
        <f t="shared" si="278"/>
        <v>0</v>
      </c>
      <c r="AL1292" s="1193">
        <f t="shared" si="279"/>
        <v>0</v>
      </c>
      <c r="AM1292" s="1193">
        <f t="shared" si="280"/>
        <v>0</v>
      </c>
      <c r="AN1292" s="1194" t="str">
        <f>VLOOKUP($I1292,'Price List, Weapons &amp; Items'!B:L,COLUMN('Price List, Weapons &amp; Items'!$J$11)-1,0)</f>
        <v>Media reports (incl. social media)</v>
      </c>
      <c r="AO1292" s="1194" t="str">
        <f>IF(I1292=".",".",VLOOKUP($I1292,'Price List, Weapons &amp; Items'!B:J,3,0))</f>
        <v>Humanitarian</v>
      </c>
      <c r="AP1292" s="1195" t="str">
        <f t="shared" ca="1" si="274"/>
        <v>Pfizer vaccine dose</v>
      </c>
      <c r="AQ1292" s="1194">
        <f>VLOOKUP($I1292,'Price List, Weapons &amp; Items'!B:L,COLUMN('Price List, Weapons &amp; Items'!$L$11)-1,0)</f>
        <v>0</v>
      </c>
      <c r="AR1292" s="1194">
        <f t="shared" si="281"/>
        <v>1</v>
      </c>
      <c r="AS1292" s="1194">
        <f t="shared" si="282"/>
        <v>0</v>
      </c>
      <c r="AT1292" s="1194">
        <f t="shared" si="283"/>
        <v>1</v>
      </c>
      <c r="AU1292" s="1194" t="str">
        <f t="shared" si="272"/>
        <v>.</v>
      </c>
      <c r="AV1292" s="1194" t="str">
        <f t="shared" si="275"/>
        <v>.</v>
      </c>
      <c r="AW1292" s="1194" t="str">
        <f t="shared" si="284"/>
        <v>.</v>
      </c>
      <c r="AX1292" s="1194">
        <f>IFERROR(VLOOKUP(B1292,'Share, Heavy Weapons to Ukraine'!B:Z,COLUMN('Share, Heavy Weapons to Ukraine'!C1304)-1,0),0)</f>
        <v>0</v>
      </c>
      <c r="AY1292" s="1194">
        <f>VLOOKUP('Bilateral Assistance, MAIN DATA'!B1292,'Country Summary (€)'!B:F,COLUMN('Country Summary (€)'!C1305)-1,FALSE)</f>
        <v>1</v>
      </c>
      <c r="AZ1292" s="1194" t="str">
        <f>IF(AND(AD1292=1,D1292="Military",H1292&lt;&gt;"Not given")=TRUE,IF(SUMIFS(P:P,A:A,A1292)&gt;0,ABS((SUMIFS(P:P,A:A,A1292)/VLOOKUP("USD",'Exchange Rates'!B:C,2,0)))/S1292,"."),".")</f>
        <v>.</v>
      </c>
      <c r="BA1292" s="1196" t="str">
        <f>IF(AND(AD1292=1,D1292="Military",H1292&lt;&gt;"Not given")=TRUE,IF(SUMIFS(P:P,A:A,A1292)&gt;0,IF((ABS((SUMIFS(P:P,A:A,A1292)/VLOOKUP("USD",'Exchange Rates'!B:C,2,0)))/S1292)&gt;1,(SUMIFS(P:P,A:A,A1292)-S1292)/S1292,(S1292-SUMIFS(P:P,A:A,A1292))/SUMIFS(P:P,A:A,A1292)),"."),".")</f>
        <v>.</v>
      </c>
    </row>
    <row r="1293" spans="1:71" s="1194" customFormat="1" ht="15.95" customHeight="1">
      <c r="A1293" s="1180" t="s">
        <v>3568</v>
      </c>
      <c r="B1293" s="1180" t="s">
        <v>3548</v>
      </c>
      <c r="C1293" s="1181">
        <v>44881</v>
      </c>
      <c r="D1293" s="1182" t="s">
        <v>360</v>
      </c>
      <c r="E1293" s="1182" t="s">
        <v>759</v>
      </c>
      <c r="F1293" s="1183" t="s">
        <v>3569</v>
      </c>
      <c r="G1293" s="1184" t="s">
        <v>3554</v>
      </c>
      <c r="H1293" s="1185">
        <v>170000000</v>
      </c>
      <c r="I1293" s="1180" t="s">
        <v>364</v>
      </c>
      <c r="J1293" s="1186" t="str">
        <f>VLOOKUP($I1293,'Price List, Weapons &amp; Items'!B:C,2,0)</f>
        <v>.</v>
      </c>
      <c r="K1293" s="1186" t="str">
        <f>IF(I1293=".",I1293,VLOOKUP($I1293,'Price List, Weapons &amp; Items'!B:D,3,0))</f>
        <v>.</v>
      </c>
      <c r="L1293" s="1187">
        <f>VLOOKUP(I1293,'Price List, Weapons &amp; Items'!B:E,4,0)</f>
        <v>0</v>
      </c>
      <c r="M1293" s="1188" t="s">
        <v>364</v>
      </c>
      <c r="N1293" s="1188" t="s">
        <v>364</v>
      </c>
      <c r="O1293" s="1188" t="str">
        <f>VLOOKUP($I1293,'Price List, Weapons &amp; Items'!B:G,6,0)</f>
        <v>.</v>
      </c>
      <c r="P1293" s="1185" t="str">
        <f t="shared" si="276"/>
        <v>.</v>
      </c>
      <c r="Q1293" s="1185" t="str">
        <f t="shared" si="277"/>
        <v>.</v>
      </c>
      <c r="R1293" s="1185">
        <f t="shared" si="273"/>
        <v>170000000</v>
      </c>
      <c r="S1293" s="1185">
        <f>IF(AND(AD1293=1,R1293&lt;&gt;".")=TRUE,R1293/VLOOKUP(G1293,'Exchange Rates'!B:C,2,0),IF(R1293=".",".",""))</f>
        <v>14952021.601273561</v>
      </c>
      <c r="T1293" s="1185" t="str">
        <f>IF(AD1293=1,IF(AF1293="Value is not given at all",".",IF(AF1293="Value is given by the source",S1293,IF(AF1293="Value is calculated with prices",(IF(SUMIFS(Q:Q,A:A,A1293)&gt;0,SUMIFS(Q:Q,A:A,A1293),"."))/VLOOKUP("USD",'Exchange Rates'!B:C,2,0),"Error with coding"))),"")</f>
        <v>.</v>
      </c>
      <c r="U1293" s="1184" t="s">
        <v>365</v>
      </c>
      <c r="V1293" s="973" t="s">
        <v>3570</v>
      </c>
      <c r="W1293" s="986" t="s">
        <v>364</v>
      </c>
      <c r="X1293" s="986" t="s">
        <v>364</v>
      </c>
      <c r="Y1293" s="981" t="s">
        <v>364</v>
      </c>
      <c r="Z1293" s="1184">
        <v>0</v>
      </c>
      <c r="AA1293" s="1194">
        <v>0</v>
      </c>
      <c r="AB1293" s="1000" t="s">
        <v>364</v>
      </c>
      <c r="AC1293" s="1192" t="str">
        <f>""</f>
        <v/>
      </c>
      <c r="AD1293" s="985">
        <v>1</v>
      </c>
      <c r="AE1293" s="985" t="s">
        <v>368</v>
      </c>
      <c r="AF1293" s="985" t="s">
        <v>369</v>
      </c>
      <c r="AG1293" s="985">
        <v>1</v>
      </c>
      <c r="AH1293" s="1193">
        <v>11</v>
      </c>
      <c r="AI1293" s="1193">
        <v>0</v>
      </c>
      <c r="AJ1293" s="1193">
        <f>VLOOKUP($I1293,'Price List, Weapons &amp; Items'!B:F,5,0)</f>
        <v>0</v>
      </c>
      <c r="AK1293" s="1193">
        <f t="shared" si="278"/>
        <v>0</v>
      </c>
      <c r="AL1293" s="1193">
        <f t="shared" si="279"/>
        <v>0</v>
      </c>
      <c r="AM1293" s="1193">
        <f t="shared" si="280"/>
        <v>0</v>
      </c>
      <c r="AN1293" s="1194" t="str">
        <f>VLOOKUP($I1293,'Price List, Weapons &amp; Items'!B:L,COLUMN('Price List, Weapons &amp; Items'!$J$11)-1,0)</f>
        <v>.</v>
      </c>
      <c r="AO1293" s="1194" t="str">
        <f>IF(I1293=".",".",VLOOKUP($I1293,'Price List, Weapons &amp; Items'!B:J,3,0))</f>
        <v>.</v>
      </c>
      <c r="AP1293" s="1195" t="str">
        <f t="shared" ca="1" si="274"/>
        <v>.</v>
      </c>
      <c r="AQ1293" s="1194">
        <f>VLOOKUP($I1293,'Price List, Weapons &amp; Items'!B:L,COLUMN('Price List, Weapons &amp; Items'!$L$11)-1,0)</f>
        <v>0</v>
      </c>
      <c r="AR1293" s="1194">
        <f t="shared" si="281"/>
        <v>1</v>
      </c>
      <c r="AS1293" s="1194">
        <f t="shared" si="282"/>
        <v>0</v>
      </c>
      <c r="AT1293" s="1194">
        <f t="shared" si="283"/>
        <v>1</v>
      </c>
      <c r="AU1293" s="1194" t="str">
        <f t="shared" si="272"/>
        <v>.</v>
      </c>
      <c r="AV1293" s="1194" t="str">
        <f t="shared" si="275"/>
        <v>.</v>
      </c>
      <c r="AW1293" s="1194" t="str">
        <f t="shared" si="284"/>
        <v>.</v>
      </c>
      <c r="AX1293" s="1194">
        <f>IFERROR(VLOOKUP(B1293,'Share, Heavy Weapons to Ukraine'!B:Z,COLUMN('Share, Heavy Weapons to Ukraine'!C1305)-1,0),0)</f>
        <v>0</v>
      </c>
      <c r="AY1293" s="1194">
        <f>VLOOKUP('Bilateral Assistance, MAIN DATA'!B1293,'Country Summary (€)'!B:F,COLUMN('Country Summary (€)'!C1306)-1,FALSE)</f>
        <v>1</v>
      </c>
      <c r="AZ1293" s="1194" t="str">
        <f>IF(AND(AD1293=1,D1293="Military",H1293&lt;&gt;"Not given")=TRUE,IF(SUMIFS(P:P,A:A,A1293)&gt;0,ABS((SUMIFS(P:P,A:A,A1293)/VLOOKUP("USD",'Exchange Rates'!B:C,2,0)))/S1293,"."),".")</f>
        <v>.</v>
      </c>
      <c r="BA1293" s="1196" t="str">
        <f>IF(AND(AD1293=1,D1293="Military",H1293&lt;&gt;"Not given")=TRUE,IF(SUMIFS(P:P,A:A,A1293)&gt;0,IF((ABS((SUMIFS(P:P,A:A,A1293)/VLOOKUP("USD",'Exchange Rates'!B:C,2,0)))/S1293)&gt;1,(SUMIFS(P:P,A:A,A1293)-S1293)/S1293,(S1293-SUMIFS(P:P,A:A,A1293))/SUMIFS(P:P,A:A,A1293)),"."),".")</f>
        <v>.</v>
      </c>
    </row>
    <row r="1294" spans="1:71" s="1194" customFormat="1" ht="15.95" customHeight="1">
      <c r="A1294" s="1208" t="s">
        <v>3571</v>
      </c>
      <c r="B1294" s="1208" t="s">
        <v>3548</v>
      </c>
      <c r="C1294" s="1209">
        <v>44952</v>
      </c>
      <c r="D1294" s="1208" t="s">
        <v>360</v>
      </c>
      <c r="E1294" s="1208" t="s">
        <v>361</v>
      </c>
      <c r="F1294" s="1208" t="s">
        <v>3572</v>
      </c>
      <c r="G1294" s="1184" t="s">
        <v>3554</v>
      </c>
      <c r="H1294" s="1210">
        <v>20000000</v>
      </c>
      <c r="I1294" s="1208" t="s">
        <v>364</v>
      </c>
      <c r="J1294" s="1186" t="str">
        <f>VLOOKUP($I1294,'Price List, Weapons &amp; Items'!B:C,2,0)</f>
        <v>.</v>
      </c>
      <c r="K1294" s="1186" t="str">
        <f>IF(I1294=".",I1294,VLOOKUP($I1294,'Price List, Weapons &amp; Items'!B:D,3,0))</f>
        <v>.</v>
      </c>
      <c r="L1294" s="1187">
        <f>VLOOKUP(I1294,'Price List, Weapons &amp; Items'!B:E,4,0)</f>
        <v>0</v>
      </c>
      <c r="M1294" s="1241" t="s">
        <v>364</v>
      </c>
      <c r="N1294" s="1211" t="s">
        <v>364</v>
      </c>
      <c r="O1294" s="1188" t="str">
        <f>VLOOKUP($I1294,'Price List, Weapons &amp; Items'!B:G,6,0)</f>
        <v>.</v>
      </c>
      <c r="P1294" s="1185" t="str">
        <f t="shared" si="276"/>
        <v>.</v>
      </c>
      <c r="Q1294" s="1185" t="str">
        <f t="shared" si="277"/>
        <v>.</v>
      </c>
      <c r="R1294" s="1185">
        <f t="shared" si="273"/>
        <v>20000000</v>
      </c>
      <c r="S1294" s="1185">
        <f>IF(AND(AD1294=1,R1294&lt;&gt;".")=TRUE,R1294/VLOOKUP(G1294,'Exchange Rates'!B:C,2,0),IF(R1294=".",".",""))</f>
        <v>1759061.364855713</v>
      </c>
      <c r="T1294" s="1185" t="str">
        <f>IF(AD1294=1,IF(AF1294="Value is not given at all",".",IF(AF1294="Value is given by the source",S1294,IF(AF1294="Value is calculated with prices",(IF(SUMIFS(Q:Q,A:A,A1294)&gt;0,SUMIFS(Q:Q,A:A,A1294),"."))/VLOOKUP("USD",'Exchange Rates'!B:C,2,0),"Error with coding"))),"")</f>
        <v>.</v>
      </c>
      <c r="U1294" s="1191" t="s">
        <v>365</v>
      </c>
      <c r="V1294" s="983" t="s">
        <v>3573</v>
      </c>
      <c r="W1294" s="983" t="s">
        <v>3574</v>
      </c>
      <c r="X1294" s="1208" t="s">
        <v>364</v>
      </c>
      <c r="Y1294" s="1208" t="s">
        <v>364</v>
      </c>
      <c r="Z1294" s="1191">
        <v>0</v>
      </c>
      <c r="AA1294" s="1191">
        <v>0</v>
      </c>
      <c r="AB1294" s="1208" t="s">
        <v>364</v>
      </c>
      <c r="AC1294" s="1192" t="str">
        <f>""</f>
        <v/>
      </c>
      <c r="AD1294" s="1191">
        <v>1</v>
      </c>
      <c r="AE1294" s="1191" t="s">
        <v>368</v>
      </c>
      <c r="AF1294" s="1191" t="s">
        <v>369</v>
      </c>
      <c r="AG1294" s="1191">
        <v>1</v>
      </c>
      <c r="AH1294" s="1191">
        <v>14</v>
      </c>
      <c r="AI1294" s="1191">
        <v>0</v>
      </c>
      <c r="AJ1294" s="1193">
        <f>VLOOKUP($I1294,'Price List, Weapons &amp; Items'!B:F,5,0)</f>
        <v>0</v>
      </c>
      <c r="AK1294" s="1193">
        <f t="shared" si="278"/>
        <v>0</v>
      </c>
      <c r="AL1294" s="1193">
        <f t="shared" si="279"/>
        <v>0</v>
      </c>
      <c r="AM1294" s="1193">
        <f t="shared" si="280"/>
        <v>0</v>
      </c>
      <c r="AN1294" s="1194" t="str">
        <f>VLOOKUP($I1294,'Price List, Weapons &amp; Items'!B:L,COLUMN('Price List, Weapons &amp; Items'!$J$11)-1,0)</f>
        <v>.</v>
      </c>
      <c r="AO1294" s="1194" t="str">
        <f>IF(I1294=".",".",VLOOKUP($I1294,'Price List, Weapons &amp; Items'!B:J,3,0))</f>
        <v>.</v>
      </c>
      <c r="AP1294" s="1195" t="str">
        <f t="shared" ca="1" si="274"/>
        <v>.</v>
      </c>
      <c r="AQ1294" s="1194">
        <f>VLOOKUP($I1294,'Price List, Weapons &amp; Items'!B:L,COLUMN('Price List, Weapons &amp; Items'!$L$11)-1,0)</f>
        <v>0</v>
      </c>
      <c r="AR1294" s="1194">
        <f t="shared" si="281"/>
        <v>1</v>
      </c>
      <c r="AS1294" s="1194">
        <f t="shared" si="282"/>
        <v>0</v>
      </c>
      <c r="AT1294" s="1194">
        <f t="shared" si="283"/>
        <v>1</v>
      </c>
      <c r="AU1294" s="1194" t="str">
        <f t="shared" si="272"/>
        <v>.</v>
      </c>
      <c r="AV1294" s="1194" t="str">
        <f t="shared" si="275"/>
        <v>.</v>
      </c>
      <c r="AW1294" s="1194" t="str">
        <f t="shared" si="284"/>
        <v>.</v>
      </c>
      <c r="AX1294" s="1194">
        <f>IFERROR(VLOOKUP(B1294,'Share, Heavy Weapons to Ukraine'!B:Z,COLUMN('Share, Heavy Weapons to Ukraine'!C1306)-1,0),0)</f>
        <v>0</v>
      </c>
      <c r="AY1294" s="1194">
        <f>VLOOKUP('Bilateral Assistance, MAIN DATA'!B1294,'Country Summary (€)'!B:F,COLUMN('Country Summary (€)'!C1307)-1,FALSE)</f>
        <v>1</v>
      </c>
      <c r="AZ1294" s="1194" t="str">
        <f>IF(AND(AD1294=1,D1294="Military",H1294&lt;&gt;"Not given")=TRUE,IF(SUMIFS(P:P,A:A,A1294)&gt;0,ABS((SUMIFS(P:P,A:A,A1294)/VLOOKUP("USD",'Exchange Rates'!B:C,2,0)))/S1294,"."),".")</f>
        <v>.</v>
      </c>
      <c r="BA1294" s="1196" t="str">
        <f>IF(AND(AD1294=1,D1294="Military",H1294&lt;&gt;"Not given")=TRUE,IF(SUMIFS(P:P,A:A,A1294)&gt;0,IF((ABS((SUMIFS(P:P,A:A,A1294)/VLOOKUP("USD",'Exchange Rates'!B:C,2,0)))/S1294)&gt;1,(SUMIFS(P:P,A:A,A1294)-S1294)/S1294,(S1294-SUMIFS(P:P,A:A,A1294))/SUMIFS(P:P,A:A,A1294)),"."),".")</f>
        <v>.</v>
      </c>
      <c r="BB1294" s="1208" t="s">
        <v>38</v>
      </c>
      <c r="BC1294" s="1208" t="s">
        <v>38</v>
      </c>
      <c r="BD1294" s="1208" t="s">
        <v>38</v>
      </c>
      <c r="BE1294" s="1208" t="s">
        <v>38</v>
      </c>
      <c r="BF1294" s="1208" t="s">
        <v>38</v>
      </c>
      <c r="BG1294" s="1208" t="s">
        <v>38</v>
      </c>
      <c r="BH1294" s="1208" t="s">
        <v>38</v>
      </c>
      <c r="BI1294" s="1208" t="s">
        <v>38</v>
      </c>
      <c r="BJ1294" s="1208" t="s">
        <v>38</v>
      </c>
      <c r="BK1294" s="1208" t="s">
        <v>38</v>
      </c>
      <c r="BL1294" s="1208" t="s">
        <v>38</v>
      </c>
      <c r="BM1294" s="1208" t="s">
        <v>38</v>
      </c>
      <c r="BN1294" s="1208" t="s">
        <v>38</v>
      </c>
      <c r="BO1294" s="1208" t="s">
        <v>38</v>
      </c>
      <c r="BP1294" s="1208" t="s">
        <v>38</v>
      </c>
      <c r="BQ1294" s="1208" t="s">
        <v>38</v>
      </c>
      <c r="BR1294" s="1208" t="s">
        <v>38</v>
      </c>
      <c r="BS1294" s="1208" t="s">
        <v>38</v>
      </c>
    </row>
    <row r="1295" spans="1:71" s="1194" customFormat="1" ht="15.95" customHeight="1">
      <c r="A1295" s="1208" t="s">
        <v>3575</v>
      </c>
      <c r="B1295" s="1208" t="s">
        <v>3548</v>
      </c>
      <c r="C1295" s="1209">
        <v>45054</v>
      </c>
      <c r="D1295" s="1208" t="s">
        <v>360</v>
      </c>
      <c r="E1295" s="1208" t="s">
        <v>361</v>
      </c>
      <c r="F1295" s="1208" t="s">
        <v>3576</v>
      </c>
      <c r="G1295" s="1184" t="s">
        <v>483</v>
      </c>
      <c r="H1295" s="1210">
        <v>11000000</v>
      </c>
      <c r="I1295" s="1208" t="s">
        <v>364</v>
      </c>
      <c r="J1295" s="1186" t="str">
        <f>VLOOKUP($I1295,'Price List, Weapons &amp; Items'!B:C,2,0)</f>
        <v>.</v>
      </c>
      <c r="K1295" s="1186" t="str">
        <f>IF(I1295=".",I1295,VLOOKUP($I1295,'Price List, Weapons &amp; Items'!B:D,3,0))</f>
        <v>.</v>
      </c>
      <c r="L1295" s="1187">
        <f>VLOOKUP(I1295,'Price List, Weapons &amp; Items'!B:E,4,0)</f>
        <v>0</v>
      </c>
      <c r="M1295" s="1241" t="s">
        <v>364</v>
      </c>
      <c r="N1295" s="1211" t="s">
        <v>364</v>
      </c>
      <c r="O1295" s="1188" t="str">
        <f>VLOOKUP($I1295,'Price List, Weapons &amp; Items'!B:G,6,0)</f>
        <v>.</v>
      </c>
      <c r="P1295" s="1185" t="str">
        <f t="shared" si="276"/>
        <v>.</v>
      </c>
      <c r="Q1295" s="1185" t="str">
        <f t="shared" si="277"/>
        <v>.</v>
      </c>
      <c r="R1295" s="1185">
        <f t="shared" si="273"/>
        <v>11000000</v>
      </c>
      <c r="S1295" s="1185">
        <f>IF(AND(AD1295=1,R1295&lt;&gt;".")=TRUE,R1295/VLOOKUP(G1295,'Exchange Rates'!B:C,2,0),IF(R1295=".",".",""))</f>
        <v>11000000</v>
      </c>
      <c r="T1295" s="1185" t="str">
        <f>IF(AD1295=1,IF(AF1295="Value is not given at all",".",IF(AF1295="Value is given by the source",S1295,IF(AF1295="Value is calculated with prices",(IF(SUMIFS(Q:Q,A:A,A1295)&gt;0,SUMIFS(Q:Q,A:A,A1295),"."))/VLOOKUP("USD",'Exchange Rates'!B:C,2,0),"Error with coding"))),"")</f>
        <v>.</v>
      </c>
      <c r="U1295" s="1191" t="s">
        <v>365</v>
      </c>
      <c r="V1295" s="983" t="s">
        <v>3577</v>
      </c>
      <c r="W1295" s="983" t="s">
        <v>3578</v>
      </c>
      <c r="X1295" s="1208" t="s">
        <v>364</v>
      </c>
      <c r="Y1295" s="1208" t="s">
        <v>364</v>
      </c>
      <c r="Z1295" s="1191">
        <v>0</v>
      </c>
      <c r="AA1295" s="1191">
        <v>1</v>
      </c>
      <c r="AB1295" s="1208" t="s">
        <v>364</v>
      </c>
      <c r="AC1295" s="1192" t="str">
        <f>""</f>
        <v/>
      </c>
      <c r="AD1295" s="1191">
        <v>1</v>
      </c>
      <c r="AE1295" s="1191" t="s">
        <v>368</v>
      </c>
      <c r="AF1295" s="1191" t="s">
        <v>369</v>
      </c>
      <c r="AG1295" s="1191">
        <v>1</v>
      </c>
      <c r="AH1295" s="1191">
        <v>17</v>
      </c>
      <c r="AI1295" s="1191">
        <v>0</v>
      </c>
      <c r="AJ1295" s="1193">
        <f>VLOOKUP($I1295,'Price List, Weapons &amp; Items'!B:F,5,0)</f>
        <v>0</v>
      </c>
      <c r="AK1295" s="1193">
        <f t="shared" si="278"/>
        <v>0</v>
      </c>
      <c r="AL1295" s="1193">
        <f t="shared" si="279"/>
        <v>0</v>
      </c>
      <c r="AM1295" s="1193">
        <f t="shared" si="280"/>
        <v>0</v>
      </c>
      <c r="AN1295" s="1194" t="str">
        <f>VLOOKUP($I1295,'Price List, Weapons &amp; Items'!B:L,COLUMN('Price List, Weapons &amp; Items'!$J$11)-1,0)</f>
        <v>.</v>
      </c>
      <c r="AO1295" s="1194" t="str">
        <f>IF(I1295=".",".",VLOOKUP($I1295,'Price List, Weapons &amp; Items'!B:J,3,0))</f>
        <v>.</v>
      </c>
      <c r="AP1295" s="1195" t="str">
        <f t="shared" ca="1" si="274"/>
        <v>.</v>
      </c>
      <c r="AQ1295" s="1194">
        <f>VLOOKUP($I1295,'Price List, Weapons &amp; Items'!B:L,COLUMN('Price List, Weapons &amp; Items'!$L$11)-1,0)</f>
        <v>0</v>
      </c>
      <c r="AR1295" s="1194">
        <f t="shared" si="281"/>
        <v>1</v>
      </c>
      <c r="AS1295" s="1194">
        <f t="shared" si="282"/>
        <v>0</v>
      </c>
      <c r="AT1295" s="1194">
        <f t="shared" si="283"/>
        <v>1</v>
      </c>
      <c r="AU1295" s="1194" t="str">
        <f t="shared" si="272"/>
        <v>.</v>
      </c>
      <c r="AV1295" s="1194" t="str">
        <f t="shared" si="275"/>
        <v>.</v>
      </c>
      <c r="AW1295" s="1194" t="str">
        <f t="shared" si="284"/>
        <v>.</v>
      </c>
      <c r="AX1295" s="1194">
        <f>IFERROR(VLOOKUP(B1295,'Share, Heavy Weapons to Ukraine'!B:Z,COLUMN('Share, Heavy Weapons to Ukraine'!C1307)-1,0),0)</f>
        <v>0</v>
      </c>
      <c r="AY1295" s="1194">
        <f>VLOOKUP('Bilateral Assistance, MAIN DATA'!B1295,'Country Summary (€)'!B:F,COLUMN('Country Summary (€)'!C1308)-1,FALSE)</f>
        <v>1</v>
      </c>
      <c r="AZ1295" s="1194" t="str">
        <f>IF(AND(AD1295=1,D1295="Military",H1295&lt;&gt;"Not given")=TRUE,IF(SUMIFS(P:P,A:A,A1295)&gt;0,ABS((SUMIFS(P:P,A:A,A1295)/VLOOKUP("USD",'Exchange Rates'!B:C,2,0)))/S1295,"."),".")</f>
        <v>.</v>
      </c>
      <c r="BA1295" s="1196" t="str">
        <f>IF(AND(AD1295=1,D1295="Military",H1295&lt;&gt;"Not given")=TRUE,IF(SUMIFS(P:P,A:A,A1295)&gt;0,IF((ABS((SUMIFS(P:P,A:A,A1295)/VLOOKUP("USD",'Exchange Rates'!B:C,2,0)))/S1295)&gt;1,(SUMIFS(P:P,A:A,A1295)-S1295)/S1295,(S1295-SUMIFS(P:P,A:A,A1295))/SUMIFS(P:P,A:A,A1295)),"."),".")</f>
        <v>.</v>
      </c>
      <c r="BB1295" s="1208"/>
      <c r="BC1295" s="1208"/>
      <c r="BD1295" s="1208"/>
      <c r="BE1295" s="1208"/>
      <c r="BF1295" s="1208"/>
      <c r="BG1295" s="1208"/>
      <c r="BH1295" s="1208"/>
      <c r="BI1295" s="1208"/>
      <c r="BJ1295" s="1208"/>
      <c r="BK1295" s="1208"/>
      <c r="BL1295" s="1208"/>
      <c r="BM1295" s="1208"/>
      <c r="BN1295" s="1208"/>
      <c r="BO1295" s="1208"/>
      <c r="BP1295" s="1208"/>
      <c r="BQ1295" s="1208"/>
      <c r="BR1295" s="1208"/>
      <c r="BS1295" s="1208"/>
    </row>
    <row r="1296" spans="1:71" ht="15.95" customHeight="1">
      <c r="A1296" s="1182" t="s">
        <v>3579</v>
      </c>
      <c r="B1296" s="1182" t="s">
        <v>3548</v>
      </c>
      <c r="C1296" s="1181">
        <v>44619</v>
      </c>
      <c r="D1296" s="1182" t="s">
        <v>389</v>
      </c>
      <c r="E1296" s="1182" t="s">
        <v>390</v>
      </c>
      <c r="F1296" s="1183" t="s">
        <v>3580</v>
      </c>
      <c r="G1296" s="1184" t="s">
        <v>3554</v>
      </c>
      <c r="H1296" s="1185">
        <v>400000000</v>
      </c>
      <c r="I1296" s="1180" t="s">
        <v>594</v>
      </c>
      <c r="J1296" s="1186" t="str">
        <f>VLOOKUP($I1296,'Price List, Weapons &amp; Items'!B:C,2,0)</f>
        <v>Military equipment</v>
      </c>
      <c r="K1296" s="1186" t="str">
        <f>IF(I1296=".",I1296,VLOOKUP($I1296,'Price List, Weapons &amp; Items'!B:D,3,0))</f>
        <v>Military equipment</v>
      </c>
      <c r="L1296" s="1187">
        <f>VLOOKUP(I1296,'Price List, Weapons &amp; Items'!B:E,4,0)</f>
        <v>0</v>
      </c>
      <c r="M1296" s="1188">
        <v>5000</v>
      </c>
      <c r="N1296" s="1188">
        <v>5000</v>
      </c>
      <c r="O1296" s="1188">
        <f>VLOOKUP($I1296,'Price List, Weapons &amp; Items'!B:G,6,0)</f>
        <v>1400</v>
      </c>
      <c r="P1296" s="1185">
        <f t="shared" si="276"/>
        <v>7000000</v>
      </c>
      <c r="Q1296" s="1185">
        <f t="shared" si="277"/>
        <v>7000000</v>
      </c>
      <c r="R1296" s="1185">
        <f t="shared" si="273"/>
        <v>400000000</v>
      </c>
      <c r="S1296" s="1185">
        <f>IF(AND(AD1296=1,R1296&lt;&gt;".")=TRUE,R1296/VLOOKUP(G1296,'Exchange Rates'!B:C,2,0),IF(R1296=".",".",""))</f>
        <v>35181227.29711426</v>
      </c>
      <c r="T1296" s="1185">
        <f>IF(AD1296=1,IF(AF1296="Value is not given at all",".",IF(AF1296="Value is given by the source",S1296,IF(AF1296="Value is calculated with prices",(IF(SUMIFS(Q:Q,A:A,A1296)&gt;0,SUMIFS(Q:Q,A:A,A1296),"."))/VLOOKUP("USD",'Exchange Rates'!B:C,2,0),"Error with coding"))),"")</f>
        <v>35181227.29711426</v>
      </c>
      <c r="U1296" s="1184" t="s">
        <v>365</v>
      </c>
      <c r="V1296" s="987" t="s">
        <v>3555</v>
      </c>
      <c r="W1296" s="974" t="s">
        <v>3581</v>
      </c>
      <c r="X1296" s="974" t="s">
        <v>3582</v>
      </c>
      <c r="Y1296" s="1183" t="s">
        <v>364</v>
      </c>
      <c r="Z1296" s="1184">
        <v>0</v>
      </c>
      <c r="AA1296" s="1194">
        <v>0</v>
      </c>
      <c r="AB1296" s="975" t="s">
        <v>3583</v>
      </c>
      <c r="AC1296" s="1192" t="str">
        <f>""</f>
        <v/>
      </c>
      <c r="AD1296" s="1193">
        <v>1</v>
      </c>
      <c r="AE1296" s="1193" t="s">
        <v>368</v>
      </c>
      <c r="AF1296" s="1193" t="s">
        <v>368</v>
      </c>
      <c r="AG1296" s="1193">
        <v>1</v>
      </c>
      <c r="AH1296" s="1193">
        <v>2</v>
      </c>
      <c r="AI1296" s="1193">
        <v>0</v>
      </c>
      <c r="AJ1296" s="1193">
        <f>VLOOKUP($I1296,'Price List, Weapons &amp; Items'!B:F,5,0)</f>
        <v>0</v>
      </c>
      <c r="AK1296" s="1193">
        <f t="shared" si="278"/>
        <v>0</v>
      </c>
      <c r="AL1296" s="1193">
        <f t="shared" si="279"/>
        <v>0</v>
      </c>
      <c r="AM1296" s="1193">
        <f t="shared" si="280"/>
        <v>0</v>
      </c>
      <c r="AN1296" s="1194" t="str">
        <f>VLOOKUP($I1296,'Price List, Weapons &amp; Items'!B:L,COLUMN('Price List, Weapons &amp; Items'!$J$11)-1,0)</f>
        <v>Military media (incl. websites)</v>
      </c>
      <c r="AO1296" s="1194" t="str">
        <f>IF(I1296=".",".",VLOOKUP($I1296,'Price List, Weapons &amp; Items'!B:J,3,0))</f>
        <v>Military equipment</v>
      </c>
      <c r="AP1296" s="1195" t="str">
        <f t="shared" ca="1" si="274"/>
        <v>helmet</v>
      </c>
      <c r="AQ1296" s="1194">
        <f>VLOOKUP($I1296,'Price List, Weapons &amp; Items'!B:L,COLUMN('Price List, Weapons &amp; Items'!$L$11)-1,0)</f>
        <v>2</v>
      </c>
      <c r="AR1296" s="1194">
        <f t="shared" si="281"/>
        <v>1</v>
      </c>
      <c r="AS1296" s="1194">
        <f t="shared" si="282"/>
        <v>1</v>
      </c>
      <c r="AT1296" s="1194">
        <f t="shared" si="283"/>
        <v>1</v>
      </c>
      <c r="AU1296" s="1194" t="str">
        <f t="shared" si="272"/>
        <v>.</v>
      </c>
      <c r="AV1296" s="1194" t="str">
        <f t="shared" si="275"/>
        <v>.</v>
      </c>
      <c r="AW1296" s="1194" t="str">
        <f t="shared" si="284"/>
        <v>.</v>
      </c>
      <c r="AX1296" s="1194">
        <f>IFERROR(VLOOKUP(B1296,'Share, Heavy Weapons to Ukraine'!B:Z,COLUMN('Share, Heavy Weapons to Ukraine'!C1308)-1,0),0)</f>
        <v>0</v>
      </c>
      <c r="AY1296" s="1194">
        <f>VLOOKUP('Bilateral Assistance, MAIN DATA'!B1296,'Country Summary (€)'!B:F,COLUMN('Country Summary (€)'!C1309)-1,FALSE)</f>
        <v>1</v>
      </c>
      <c r="AZ1296" s="1194">
        <f>IF(AND(AD1296=1,D1296="Military",H1296&lt;&gt;"Not given")=TRUE,IF(SUMIFS(P:P,A:A,A1296)&gt;0,ABS((SUMIFS(P:P,A:A,A1296)/VLOOKUP("USD",'Exchange Rates'!B:C,2,0)))/S1296,"."),".")</f>
        <v>0.51976518687891049</v>
      </c>
      <c r="BA1296" s="1196">
        <f>IF(AND(AD1296=1,D1296="Military",H1296&lt;&gt;"Not given")=TRUE,IF(SUMIFS(P:P,A:A,A1296)&gt;0,IF((ABS((SUMIFS(P:P,A:A,A1296)/VLOOKUP("USD",'Exchange Rates'!B:C,2,0)))/S1296)&gt;1,(SUMIFS(P:P,A:A,A1296)-S1296)/S1296,(S1296-SUMIFS(P:P,A:A,A1296))/SUMIFS(P:P,A:A,A1296)),"."),".")</f>
        <v>0.77028497157550169</v>
      </c>
    </row>
    <row r="1297" spans="1:71" ht="15.95" customHeight="1">
      <c r="A1297" s="1182" t="s">
        <v>3579</v>
      </c>
      <c r="B1297" s="1182" t="s">
        <v>3548</v>
      </c>
      <c r="C1297" s="1181">
        <v>44619</v>
      </c>
      <c r="D1297" s="1182" t="s">
        <v>389</v>
      </c>
      <c r="E1297" s="1182" t="s">
        <v>390</v>
      </c>
      <c r="F1297" s="1183" t="s">
        <v>3580</v>
      </c>
      <c r="G1297" s="1184" t="s">
        <v>3554</v>
      </c>
      <c r="H1297" s="1185">
        <v>400000000</v>
      </c>
      <c r="I1297" s="1180" t="s">
        <v>694</v>
      </c>
      <c r="J1297" s="1186" t="str">
        <f>VLOOKUP($I1297,'Price List, Weapons &amp; Items'!B:C,2,0)</f>
        <v>Military equipment</v>
      </c>
      <c r="K1297" s="1186" t="str">
        <f>IF(I1297=".",I1297,VLOOKUP($I1297,'Price List, Weapons &amp; Items'!B:D,3,0))</f>
        <v>Military equipment</v>
      </c>
      <c r="L1297" s="1187">
        <f>VLOOKUP(I1297,'Price List, Weapons &amp; Items'!B:E,4,0)</f>
        <v>0</v>
      </c>
      <c r="M1297" s="1188">
        <v>5000</v>
      </c>
      <c r="N1297" s="1188">
        <v>5000</v>
      </c>
      <c r="O1297" s="1188">
        <f>VLOOKUP($I1297,'Price List, Weapons &amp; Items'!B:G,6,0)</f>
        <v>500</v>
      </c>
      <c r="P1297" s="1185">
        <f t="shared" si="276"/>
        <v>2500000</v>
      </c>
      <c r="Q1297" s="1185">
        <f t="shared" si="277"/>
        <v>2500000</v>
      </c>
      <c r="R1297" s="1185" t="str">
        <f t="shared" si="273"/>
        <v/>
      </c>
      <c r="S1297" s="1185" t="str">
        <f>IF(AND(AD1297=1,R1297&lt;&gt;".")=TRUE,R1297/VLOOKUP(G1297,'Exchange Rates'!B:C,2,0),IF(R1297=".",".",""))</f>
        <v/>
      </c>
      <c r="T1297" s="1185" t="str">
        <f>IF(AD1297=1,IF(AF1297="Value is not given at all",".",IF(AF1297="Value is given by the source",S1297,IF(AF1297="Value is calculated with prices",(IF(SUMIFS(Q:Q,A:A,A1297)&gt;0,SUMIFS(Q:Q,A:A,A1297),"."))/VLOOKUP("USD",'Exchange Rates'!B:C,2,0),"Error with coding"))),"")</f>
        <v/>
      </c>
      <c r="U1297" s="1184" t="s">
        <v>365</v>
      </c>
      <c r="V1297" s="987" t="s">
        <v>3555</v>
      </c>
      <c r="W1297" s="974" t="s">
        <v>3581</v>
      </c>
      <c r="X1297" s="974" t="s">
        <v>3582</v>
      </c>
      <c r="Y1297" s="1183" t="s">
        <v>364</v>
      </c>
      <c r="Z1297" s="1184">
        <v>0</v>
      </c>
      <c r="AA1297" s="1194">
        <v>0</v>
      </c>
      <c r="AB1297" s="975" t="s">
        <v>3583</v>
      </c>
      <c r="AC1297" s="1192" t="str">
        <f>""</f>
        <v/>
      </c>
      <c r="AD1297" s="1193">
        <v>0</v>
      </c>
      <c r="AE1297" s="1193" t="s">
        <v>368</v>
      </c>
      <c r="AF1297" s="1193" t="s">
        <v>368</v>
      </c>
      <c r="AG1297" s="1193">
        <v>1</v>
      </c>
      <c r="AH1297" s="1193">
        <v>2</v>
      </c>
      <c r="AI1297" s="1193">
        <v>0</v>
      </c>
      <c r="AJ1297" s="1193">
        <f>VLOOKUP($I1297,'Price List, Weapons &amp; Items'!B:F,5,0)</f>
        <v>0</v>
      </c>
      <c r="AK1297" s="1193">
        <f t="shared" si="278"/>
        <v>0</v>
      </c>
      <c r="AL1297" s="1193">
        <f t="shared" si="279"/>
        <v>0</v>
      </c>
      <c r="AM1297" s="1193">
        <f t="shared" si="280"/>
        <v>0</v>
      </c>
      <c r="AN1297" s="1194" t="str">
        <f>VLOOKUP($I1297,'Price List, Weapons &amp; Items'!B:L,COLUMN('Price List, Weapons &amp; Items'!$J$11)-1,0)</f>
        <v>Military media (incl. websites)</v>
      </c>
      <c r="AO1297" s="1194" t="str">
        <f>IF(I1297=".",".",VLOOKUP($I1297,'Price List, Weapons &amp; Items'!B:J,3,0))</f>
        <v>Military equipment</v>
      </c>
      <c r="AP1297" s="1195" t="str">
        <f t="shared" ca="1" si="274"/>
        <v/>
      </c>
      <c r="AQ1297" s="1194">
        <f>VLOOKUP($I1297,'Price List, Weapons &amp; Items'!B:L,COLUMN('Price List, Weapons &amp; Items'!$L$11)-1,0)</f>
        <v>2</v>
      </c>
      <c r="AR1297" s="1194">
        <f t="shared" si="281"/>
        <v>1</v>
      </c>
      <c r="AS1297" s="1194">
        <f t="shared" si="282"/>
        <v>1</v>
      </c>
      <c r="AT1297" s="1194">
        <f t="shared" si="283"/>
        <v>1</v>
      </c>
      <c r="AU1297" s="1194" t="str">
        <f t="shared" si="272"/>
        <v>.</v>
      </c>
      <c r="AV1297" s="1194" t="str">
        <f t="shared" si="275"/>
        <v>.</v>
      </c>
      <c r="AW1297" s="1194" t="str">
        <f t="shared" si="284"/>
        <v>.</v>
      </c>
      <c r="AX1297" s="1194">
        <f>IFERROR(VLOOKUP(B1297,'Share, Heavy Weapons to Ukraine'!B:Z,COLUMN('Share, Heavy Weapons to Ukraine'!C1309)-1,0),0)</f>
        <v>0</v>
      </c>
      <c r="AY1297" s="1194">
        <f>VLOOKUP('Bilateral Assistance, MAIN DATA'!B1297,'Country Summary (€)'!B:F,COLUMN('Country Summary (€)'!C1310)-1,FALSE)</f>
        <v>1</v>
      </c>
      <c r="AZ1297" s="1194" t="str">
        <f>IF(AND(AD1297=1,D1297="Military",H1297&lt;&gt;"Not given")=TRUE,IF(SUMIFS(P:P,A:A,A1297)&gt;0,ABS((SUMIFS(P:P,A:A,A1297)/VLOOKUP("USD",'Exchange Rates'!B:C,2,0)))/S1297,"."),".")</f>
        <v>.</v>
      </c>
      <c r="BA1297" s="1196" t="str">
        <f>IF(AND(AD1297=1,D1297="Military",H1297&lt;&gt;"Not given")=TRUE,IF(SUMIFS(P:P,A:A,A1297)&gt;0,IF((ABS((SUMIFS(P:P,A:A,A1297)/VLOOKUP("USD",'Exchange Rates'!B:C,2,0)))/S1297)&gt;1,(SUMIFS(P:P,A:A,A1297)-S1297)/S1297,(S1297-SUMIFS(P:P,A:A,A1297))/SUMIFS(P:P,A:A,A1297)),"."),".")</f>
        <v>.</v>
      </c>
    </row>
    <row r="1298" spans="1:71" ht="15.95" customHeight="1">
      <c r="A1298" s="1182" t="s">
        <v>3579</v>
      </c>
      <c r="B1298" s="1182" t="s">
        <v>3548</v>
      </c>
      <c r="C1298" s="1181">
        <v>44619</v>
      </c>
      <c r="D1298" s="1182" t="s">
        <v>389</v>
      </c>
      <c r="E1298" s="1182" t="s">
        <v>390</v>
      </c>
      <c r="F1298" s="1183" t="s">
        <v>3580</v>
      </c>
      <c r="G1298" s="1184" t="s">
        <v>3554</v>
      </c>
      <c r="H1298" s="1185">
        <v>400000000</v>
      </c>
      <c r="I1298" s="1180" t="s">
        <v>3584</v>
      </c>
      <c r="J1298" s="1186" t="str">
        <f>VLOOKUP($I1298,'Price List, Weapons &amp; Items'!B:C,2,0)</f>
        <v>Portable defence system</v>
      </c>
      <c r="K1298" s="1186" t="str">
        <f>IF(I1298=".",I1298,VLOOKUP($I1298,'Price List, Weapons &amp; Items'!B:D,3,0))</f>
        <v>MANPADS</v>
      </c>
      <c r="L1298" s="1187">
        <f>VLOOKUP(I1298,'Price List, Weapons &amp; Items'!B:E,4,0)</f>
        <v>0</v>
      </c>
      <c r="M1298" s="1188">
        <v>5000</v>
      </c>
      <c r="N1298" s="1188">
        <v>5000</v>
      </c>
      <c r="O1298" s="1188">
        <f>VLOOKUP($I1298,'Price List, Weapons &amp; Items'!B:G,6,0)</f>
        <v>1480.64</v>
      </c>
      <c r="P1298" s="1185">
        <f t="shared" si="276"/>
        <v>7403200.0000000009</v>
      </c>
      <c r="Q1298" s="1185">
        <f t="shared" si="277"/>
        <v>7403200.0000000009</v>
      </c>
      <c r="R1298" s="1185" t="str">
        <f t="shared" si="273"/>
        <v/>
      </c>
      <c r="S1298" s="1185" t="str">
        <f>IF(AND(AD1298=1,R1298&lt;&gt;".")=TRUE,R1298/VLOOKUP(G1298,'Exchange Rates'!B:C,2,0),IF(R1298=".",".",""))</f>
        <v/>
      </c>
      <c r="T1298" s="1185" t="str">
        <f>IF(AD1298=1,IF(AF1298="Value is not given at all",".",IF(AF1298="Value is given by the source",S1298,IF(AF1298="Value is calculated with prices",(IF(SUMIFS(Q:Q,A:A,A1298)&gt;0,SUMIFS(Q:Q,A:A,A1298),"."))/VLOOKUP("USD",'Exchange Rates'!B:C,2,0),"Error with coding"))),"")</f>
        <v/>
      </c>
      <c r="U1298" s="1184" t="s">
        <v>365</v>
      </c>
      <c r="V1298" s="987" t="s">
        <v>3555</v>
      </c>
      <c r="W1298" s="974" t="s">
        <v>3581</v>
      </c>
      <c r="X1298" s="974" t="s">
        <v>3582</v>
      </c>
      <c r="Y1298" s="1183" t="s">
        <v>364</v>
      </c>
      <c r="Z1298" s="1184">
        <v>0</v>
      </c>
      <c r="AA1298" s="1194">
        <v>0</v>
      </c>
      <c r="AB1298" s="975" t="s">
        <v>3583</v>
      </c>
      <c r="AC1298" s="1192" t="str">
        <f>""</f>
        <v/>
      </c>
      <c r="AD1298" s="1193">
        <v>0</v>
      </c>
      <c r="AE1298" s="1193" t="s">
        <v>368</v>
      </c>
      <c r="AF1298" s="1193" t="s">
        <v>368</v>
      </c>
      <c r="AG1298" s="1193">
        <v>1</v>
      </c>
      <c r="AH1298" s="1193">
        <v>2</v>
      </c>
      <c r="AI1298" s="1193">
        <v>0</v>
      </c>
      <c r="AJ1298" s="1193">
        <f>VLOOKUP($I1298,'Price List, Weapons &amp; Items'!B:F,5,0)</f>
        <v>0</v>
      </c>
      <c r="AK1298" s="1193">
        <f t="shared" si="278"/>
        <v>0</v>
      </c>
      <c r="AL1298" s="1193">
        <f t="shared" si="279"/>
        <v>0</v>
      </c>
      <c r="AM1298" s="1193">
        <f t="shared" si="280"/>
        <v>0</v>
      </c>
      <c r="AN1298" s="1194" t="str">
        <f>VLOOKUP($I1298,'Price List, Weapons &amp; Items'!B:L,COLUMN('Price List, Weapons &amp; Items'!$J$11)-1,0)</f>
        <v>Military media (incl. websites)</v>
      </c>
      <c r="AO1298" s="1194" t="str">
        <f>IF(I1298=".",".",VLOOKUP($I1298,'Price List, Weapons &amp; Items'!B:J,3,0))</f>
        <v>MANPADS</v>
      </c>
      <c r="AP1298" s="1195" t="str">
        <f t="shared" ca="1" si="274"/>
        <v/>
      </c>
      <c r="AQ1298" s="1194">
        <f>VLOOKUP($I1298,'Price List, Weapons &amp; Items'!B:L,COLUMN('Price List, Weapons &amp; Items'!$L$11)-1,0)</f>
        <v>2</v>
      </c>
      <c r="AR1298" s="1194">
        <f t="shared" si="281"/>
        <v>1</v>
      </c>
      <c r="AS1298" s="1194">
        <f t="shared" si="282"/>
        <v>1</v>
      </c>
      <c r="AT1298" s="1194">
        <f t="shared" si="283"/>
        <v>1</v>
      </c>
      <c r="AU1298" s="1194" t="str">
        <f t="shared" si="272"/>
        <v>.</v>
      </c>
      <c r="AV1298" s="1194" t="str">
        <f t="shared" si="275"/>
        <v>.</v>
      </c>
      <c r="AW1298" s="1194" t="str">
        <f t="shared" si="284"/>
        <v>.</v>
      </c>
      <c r="AX1298" s="1194">
        <f>IFERROR(VLOOKUP(B1298,'Share, Heavy Weapons to Ukraine'!B:Z,COLUMN('Share, Heavy Weapons to Ukraine'!C1310)-1,0),0)</f>
        <v>0</v>
      </c>
      <c r="AY1298" s="1194">
        <f>VLOOKUP('Bilateral Assistance, MAIN DATA'!B1298,'Country Summary (€)'!B:F,COLUMN('Country Summary (€)'!C1311)-1,FALSE)</f>
        <v>1</v>
      </c>
      <c r="AZ1298" s="1194" t="str">
        <f>IF(AND(AD1298=1,D1298="Military",H1298&lt;&gt;"Not given")=TRUE,IF(SUMIFS(P:P,A:A,A1298)&gt;0,ABS((SUMIFS(P:P,A:A,A1298)/VLOOKUP("USD",'Exchange Rates'!B:C,2,0)))/S1298,"."),".")</f>
        <v>.</v>
      </c>
      <c r="BA1298" s="1196" t="str">
        <f>IF(AND(AD1298=1,D1298="Military",H1298&lt;&gt;"Not given")=TRUE,IF(SUMIFS(P:P,A:A,A1298)&gt;0,IF((ABS((SUMIFS(P:P,A:A,A1298)/VLOOKUP("USD",'Exchange Rates'!B:C,2,0)))/S1298)&gt;1,(SUMIFS(P:P,A:A,A1298)-S1298)/S1298,(S1298-SUMIFS(P:P,A:A,A1298))/SUMIFS(P:P,A:A,A1298)),"."),".")</f>
        <v>.</v>
      </c>
    </row>
    <row r="1299" spans="1:71" ht="15.95" customHeight="1">
      <c r="A1299" s="1182" t="s">
        <v>3579</v>
      </c>
      <c r="B1299" s="1182" t="s">
        <v>3548</v>
      </c>
      <c r="C1299" s="1181">
        <v>44619</v>
      </c>
      <c r="D1299" s="1182" t="s">
        <v>389</v>
      </c>
      <c r="E1299" s="1182" t="s">
        <v>390</v>
      </c>
      <c r="F1299" s="1183" t="s">
        <v>3580</v>
      </c>
      <c r="G1299" s="1184" t="s">
        <v>3554</v>
      </c>
      <c r="H1299" s="1185">
        <v>400000000</v>
      </c>
      <c r="I1299" s="1180" t="s">
        <v>406</v>
      </c>
      <c r="J1299" s="1186" t="str">
        <f>VLOOKUP($I1299,'Price List, Weapons &amp; Items'!B:C,2,0)</f>
        <v>Military equipment</v>
      </c>
      <c r="K1299" s="1186" t="str">
        <f>IF(I1299=".",I1299,VLOOKUP($I1299,'Price List, Weapons &amp; Items'!B:D,3,0))</f>
        <v>Military equipment</v>
      </c>
      <c r="L1299" s="1187">
        <f>VLOOKUP(I1299,'Price List, Weapons &amp; Items'!B:E,4,0)</f>
        <v>0</v>
      </c>
      <c r="M1299" s="1188">
        <v>135000</v>
      </c>
      <c r="N1299" s="1188">
        <v>135000</v>
      </c>
      <c r="O1299" s="1188">
        <f>VLOOKUP($I1299,'Price List, Weapons &amp; Items'!B:G,6,0)</f>
        <v>22</v>
      </c>
      <c r="P1299" s="1185">
        <f t="shared" si="276"/>
        <v>2970000</v>
      </c>
      <c r="Q1299" s="1185">
        <f t="shared" si="277"/>
        <v>2970000</v>
      </c>
      <c r="R1299" s="1185" t="str">
        <f t="shared" si="273"/>
        <v/>
      </c>
      <c r="S1299" s="1185" t="str">
        <f>IF(AND(AD1299=1,R1299&lt;&gt;".")=TRUE,R1299/VLOOKUP(G1299,'Exchange Rates'!B:C,2,0),IF(R1299=".",".",""))</f>
        <v/>
      </c>
      <c r="T1299" s="1185" t="str">
        <f>IF(AD1299=1,IF(AF1299="Value is not given at all",".",IF(AF1299="Value is given by the source",S1299,IF(AF1299="Value is calculated with prices",(IF(SUMIFS(Q:Q,A:A,A1299)&gt;0,SUMIFS(Q:Q,A:A,A1299),"."))/VLOOKUP("USD",'Exchange Rates'!B:C,2,0),"Error with coding"))),"")</f>
        <v/>
      </c>
      <c r="U1299" s="1184" t="s">
        <v>365</v>
      </c>
      <c r="V1299" s="987" t="s">
        <v>3555</v>
      </c>
      <c r="W1299" s="974" t="s">
        <v>3581</v>
      </c>
      <c r="X1299" s="974" t="s">
        <v>3582</v>
      </c>
      <c r="Y1299" s="1183" t="s">
        <v>364</v>
      </c>
      <c r="Z1299" s="1184">
        <v>0</v>
      </c>
      <c r="AA1299" s="1194">
        <v>0</v>
      </c>
      <c r="AB1299" s="975" t="s">
        <v>3583</v>
      </c>
      <c r="AC1299" s="1192" t="str">
        <f>""</f>
        <v/>
      </c>
      <c r="AD1299" s="1193">
        <v>0</v>
      </c>
      <c r="AE1299" s="1193" t="s">
        <v>368</v>
      </c>
      <c r="AF1299" s="1193" t="s">
        <v>368</v>
      </c>
      <c r="AG1299" s="1193">
        <v>1</v>
      </c>
      <c r="AH1299" s="1193">
        <v>2</v>
      </c>
      <c r="AI1299" s="1193">
        <v>0</v>
      </c>
      <c r="AJ1299" s="1193">
        <f>VLOOKUP($I1299,'Price List, Weapons &amp; Items'!B:F,5,0)</f>
        <v>0</v>
      </c>
      <c r="AK1299" s="1193">
        <f t="shared" si="278"/>
        <v>0</v>
      </c>
      <c r="AL1299" s="1193">
        <f t="shared" si="279"/>
        <v>0</v>
      </c>
      <c r="AM1299" s="1193">
        <f t="shared" si="280"/>
        <v>0</v>
      </c>
      <c r="AN1299" s="1194" t="str">
        <f>VLOOKUP($I1299,'Price List, Weapons &amp; Items'!B:L,COLUMN('Price List, Weapons &amp; Items'!$J$11)-1,0)</f>
        <v>Online marketplaces and stores</v>
      </c>
      <c r="AO1299" s="1194" t="str">
        <f>IF(I1299=".",".",VLOOKUP($I1299,'Price List, Weapons &amp; Items'!B:J,3,0))</f>
        <v>Military equipment</v>
      </c>
      <c r="AP1299" s="1195" t="str">
        <f t="shared" ca="1" si="274"/>
        <v/>
      </c>
      <c r="AQ1299" s="1194">
        <f>VLOOKUP($I1299,'Price List, Weapons &amp; Items'!B:L,COLUMN('Price List, Weapons &amp; Items'!$L$11)-1,0)</f>
        <v>2</v>
      </c>
      <c r="AR1299" s="1194">
        <f t="shared" si="281"/>
        <v>1</v>
      </c>
      <c r="AS1299" s="1194">
        <f t="shared" si="282"/>
        <v>1</v>
      </c>
      <c r="AT1299" s="1194">
        <f t="shared" si="283"/>
        <v>1</v>
      </c>
      <c r="AU1299" s="1194" t="str">
        <f t="shared" si="272"/>
        <v>.</v>
      </c>
      <c r="AV1299" s="1194" t="str">
        <f t="shared" si="275"/>
        <v>.</v>
      </c>
      <c r="AW1299" s="1194" t="str">
        <f t="shared" si="284"/>
        <v>.</v>
      </c>
      <c r="AX1299" s="1194">
        <f>IFERROR(VLOOKUP(B1299,'Share, Heavy Weapons to Ukraine'!B:Z,COLUMN('Share, Heavy Weapons to Ukraine'!C1311)-1,0),0)</f>
        <v>0</v>
      </c>
      <c r="AY1299" s="1194">
        <f>VLOOKUP('Bilateral Assistance, MAIN DATA'!B1299,'Country Summary (€)'!B:F,COLUMN('Country Summary (€)'!C1312)-1,FALSE)</f>
        <v>1</v>
      </c>
      <c r="AZ1299" s="1194" t="str">
        <f>IF(AND(AD1299=1,D1299="Military",H1299&lt;&gt;"Not given")=TRUE,IF(SUMIFS(P:P,A:A,A1299)&gt;0,ABS((SUMIFS(P:P,A:A,A1299)/VLOOKUP("USD",'Exchange Rates'!B:C,2,0)))/S1299,"."),".")</f>
        <v>.</v>
      </c>
      <c r="BA1299" s="1196" t="str">
        <f>IF(AND(AD1299=1,D1299="Military",H1299&lt;&gt;"Not given")=TRUE,IF(SUMIFS(P:P,A:A,A1299)&gt;0,IF((ABS((SUMIFS(P:P,A:A,A1299)/VLOOKUP("USD",'Exchange Rates'!B:C,2,0)))/S1299)&gt;1,(SUMIFS(P:P,A:A,A1299)-S1299)/S1299,(S1299-SUMIFS(P:P,A:A,A1299))/SUMIFS(P:P,A:A,A1299)),"."),".")</f>
        <v>.</v>
      </c>
    </row>
    <row r="1300" spans="1:71" ht="15.95" customHeight="1">
      <c r="A1300" s="1180" t="s">
        <v>3585</v>
      </c>
      <c r="B1300" s="1180" t="s">
        <v>3548</v>
      </c>
      <c r="C1300" s="1181">
        <v>44619</v>
      </c>
      <c r="D1300" s="1182" t="s">
        <v>389</v>
      </c>
      <c r="E1300" s="1182" t="s">
        <v>481</v>
      </c>
      <c r="F1300" s="1183" t="s">
        <v>3586</v>
      </c>
      <c r="G1300" s="1184" t="s">
        <v>3554</v>
      </c>
      <c r="H1300" s="1185">
        <v>500000000</v>
      </c>
      <c r="I1300" s="1180" t="s">
        <v>364</v>
      </c>
      <c r="J1300" s="1186" t="str">
        <f>VLOOKUP($I1300,'Price List, Weapons &amp; Items'!B:C,2,0)</f>
        <v>.</v>
      </c>
      <c r="K1300" s="1186" t="str">
        <f>IF(I1300=".",I1300,VLOOKUP($I1300,'Price List, Weapons &amp; Items'!B:D,3,0))</f>
        <v>.</v>
      </c>
      <c r="L1300" s="1187">
        <f>VLOOKUP(I1300,'Price List, Weapons &amp; Items'!B:E,4,0)</f>
        <v>0</v>
      </c>
      <c r="M1300" s="1188" t="s">
        <v>364</v>
      </c>
      <c r="N1300" s="1188" t="s">
        <v>364</v>
      </c>
      <c r="O1300" s="1188" t="str">
        <f>VLOOKUP($I1300,'Price List, Weapons &amp; Items'!B:G,6,0)</f>
        <v>.</v>
      </c>
      <c r="P1300" s="1185" t="str">
        <f t="shared" si="276"/>
        <v>.</v>
      </c>
      <c r="Q1300" s="1185" t="str">
        <f t="shared" si="277"/>
        <v>.</v>
      </c>
      <c r="R1300" s="1185">
        <f t="shared" si="273"/>
        <v>500000000</v>
      </c>
      <c r="S1300" s="1185">
        <f>IF(AND(AD1300=1,R1300&lt;&gt;".")=TRUE,R1300/VLOOKUP(G1300,'Exchange Rates'!B:C,2,0),IF(R1300=".",".",""))</f>
        <v>43976534.121392824</v>
      </c>
      <c r="T1300" s="1185" t="str">
        <f>IF(AD1300=1,IF(AF1300="Value is not given at all",".",IF(AF1300="Value is given by the source",S1300,IF(AF1300="Value is calculated with prices",(IF(SUMIFS(Q:Q,A:A,A1300)&gt;0,SUMIFS(Q:Q,A:A,A1300),"."))/VLOOKUP("USD",'Exchange Rates'!B:C,2,0),"Error with coding"))),"")</f>
        <v>.</v>
      </c>
      <c r="U1300" s="1184" t="s">
        <v>365</v>
      </c>
      <c r="V1300" s="971" t="s">
        <v>3582</v>
      </c>
      <c r="W1300" s="971" t="s">
        <v>3587</v>
      </c>
      <c r="X1300" s="1190" t="s">
        <v>364</v>
      </c>
      <c r="Y1300" s="1190" t="s">
        <v>364</v>
      </c>
      <c r="Z1300" s="1184">
        <v>0</v>
      </c>
      <c r="AA1300" s="1194">
        <v>0</v>
      </c>
      <c r="AB1300" s="1201" t="s">
        <v>364</v>
      </c>
      <c r="AC1300" s="1192" t="str">
        <f>""</f>
        <v/>
      </c>
      <c r="AD1300" s="1193">
        <v>1</v>
      </c>
      <c r="AE1300" s="1193" t="s">
        <v>368</v>
      </c>
      <c r="AF1300" s="1193" t="s">
        <v>369</v>
      </c>
      <c r="AG1300" s="1193">
        <v>1</v>
      </c>
      <c r="AH1300" s="1193">
        <v>2</v>
      </c>
      <c r="AI1300" s="1193">
        <v>0</v>
      </c>
      <c r="AJ1300" s="1193">
        <f>VLOOKUP($I1300,'Price List, Weapons &amp; Items'!B:F,5,0)</f>
        <v>0</v>
      </c>
      <c r="AK1300" s="1193">
        <f t="shared" si="278"/>
        <v>0</v>
      </c>
      <c r="AL1300" s="1193">
        <f t="shared" si="279"/>
        <v>0</v>
      </c>
      <c r="AM1300" s="1193">
        <f t="shared" si="280"/>
        <v>0</v>
      </c>
      <c r="AN1300" s="1194" t="str">
        <f>VLOOKUP($I1300,'Price List, Weapons &amp; Items'!B:L,COLUMN('Price List, Weapons &amp; Items'!$J$11)-1,0)</f>
        <v>.</v>
      </c>
      <c r="AO1300" s="1194" t="str">
        <f>IF(I1300=".",".",VLOOKUP($I1300,'Price List, Weapons &amp; Items'!B:J,3,0))</f>
        <v>.</v>
      </c>
      <c r="AP1300" s="1195" t="str">
        <f t="shared" ca="1" si="274"/>
        <v>.</v>
      </c>
      <c r="AQ1300" s="1194">
        <f>VLOOKUP($I1300,'Price List, Weapons &amp; Items'!B:L,COLUMN('Price List, Weapons &amp; Items'!$L$11)-1,0)</f>
        <v>0</v>
      </c>
      <c r="AR1300" s="1194">
        <f t="shared" si="281"/>
        <v>1</v>
      </c>
      <c r="AS1300" s="1194">
        <f t="shared" si="282"/>
        <v>0</v>
      </c>
      <c r="AT1300" s="1194">
        <f t="shared" si="283"/>
        <v>1</v>
      </c>
      <c r="AU1300" s="1194" t="str">
        <f t="shared" si="272"/>
        <v>.</v>
      </c>
      <c r="AV1300" s="1194" t="str">
        <f t="shared" si="275"/>
        <v>.</v>
      </c>
      <c r="AW1300" s="1194" t="str">
        <f t="shared" si="284"/>
        <v>.</v>
      </c>
      <c r="AX1300" s="1194">
        <f>IFERROR(VLOOKUP(B1300,'Share, Heavy Weapons to Ukraine'!B:Z,COLUMN('Share, Heavy Weapons to Ukraine'!C1312)-1,0),0)</f>
        <v>0</v>
      </c>
      <c r="AY1300" s="1194">
        <f>VLOOKUP('Bilateral Assistance, MAIN DATA'!B1300,'Country Summary (€)'!B:F,COLUMN('Country Summary (€)'!C1313)-1,FALSE)</f>
        <v>1</v>
      </c>
      <c r="AZ1300" s="1194" t="str">
        <f>IF(AND(AD1300=1,D1300="Military",H1300&lt;&gt;"Not given")=TRUE,IF(SUMIFS(P:P,A:A,A1300)&gt;0,ABS((SUMIFS(P:P,A:A,A1300)/VLOOKUP("USD",'Exchange Rates'!B:C,2,0)))/S1300,"."),".")</f>
        <v>.</v>
      </c>
      <c r="BA1300" s="1196" t="str">
        <f>IF(AND(AD1300=1,D1300="Military",H1300&lt;&gt;"Not given")=TRUE,IF(SUMIFS(P:P,A:A,A1300)&gt;0,IF((ABS((SUMIFS(P:P,A:A,A1300)/VLOOKUP("USD",'Exchange Rates'!B:C,2,0)))/S1300)&gt;1,(SUMIFS(P:P,A:A,A1300)-S1300)/S1300,(S1300-SUMIFS(P:P,A:A,A1300))/SUMIFS(P:P,A:A,A1300)),"."),".")</f>
        <v>.</v>
      </c>
    </row>
    <row r="1301" spans="1:71" ht="15.95" customHeight="1">
      <c r="A1301" s="1182" t="s">
        <v>3588</v>
      </c>
      <c r="B1301" s="1182" t="s">
        <v>3548</v>
      </c>
      <c r="C1301" s="1181">
        <v>44714</v>
      </c>
      <c r="D1301" s="1182" t="s">
        <v>389</v>
      </c>
      <c r="E1301" s="1182" t="s">
        <v>390</v>
      </c>
      <c r="F1301" s="1183" t="s">
        <v>3589</v>
      </c>
      <c r="G1301" s="1184" t="s">
        <v>3554</v>
      </c>
      <c r="H1301" s="1185">
        <v>262000000</v>
      </c>
      <c r="I1301" s="1180" t="s">
        <v>3584</v>
      </c>
      <c r="J1301" s="1186" t="str">
        <f>VLOOKUP($I1301,'Price List, Weapons &amp; Items'!B:C,2,0)</f>
        <v>Portable defence system</v>
      </c>
      <c r="K1301" s="1186" t="str">
        <f>IF(I1301=".",I1301,VLOOKUP($I1301,'Price List, Weapons &amp; Items'!B:D,3,0))</f>
        <v>MANPADS</v>
      </c>
      <c r="L1301" s="1187">
        <f>VLOOKUP(I1301,'Price List, Weapons &amp; Items'!B:E,4,0)</f>
        <v>0</v>
      </c>
      <c r="M1301" s="1188">
        <v>5000</v>
      </c>
      <c r="N1301" s="1188" t="s">
        <v>374</v>
      </c>
      <c r="O1301" s="1188">
        <f>VLOOKUP($I1301,'Price List, Weapons &amp; Items'!B:G,6,0)</f>
        <v>1480.64</v>
      </c>
      <c r="P1301" s="1185">
        <f t="shared" si="276"/>
        <v>7403200.0000000009</v>
      </c>
      <c r="Q1301" s="1185" t="str">
        <f t="shared" si="277"/>
        <v>.</v>
      </c>
      <c r="R1301" s="1185">
        <f t="shared" si="273"/>
        <v>262000000</v>
      </c>
      <c r="S1301" s="1185">
        <f>IF(AND(AD1301=1,R1301&lt;&gt;".")=TRUE,R1301/VLOOKUP(G1301,'Exchange Rates'!B:C,2,0),IF(R1301=".",".",""))</f>
        <v>23043703.879609842</v>
      </c>
      <c r="T1301" s="1185" t="str">
        <f>IF(AD1301=1,IF(AF1301="Value is not given at all",".",IF(AF1301="Value is given by the source",S1301,IF(AF1301="Value is calculated with prices",(IF(SUMIFS(Q:Q,A:A,A1301)&gt;0,SUMIFS(Q:Q,A:A,A1301),"."))/VLOOKUP("USD",'Exchange Rates'!B:C,2,0),"Error with coding"))),"")</f>
        <v>.</v>
      </c>
      <c r="U1301" s="1184" t="s">
        <v>365</v>
      </c>
      <c r="V1301" s="974" t="s">
        <v>3590</v>
      </c>
      <c r="W1301" s="974" t="s">
        <v>3591</v>
      </c>
      <c r="X1301" s="974" t="s">
        <v>3592</v>
      </c>
      <c r="Y1301" s="1183" t="s">
        <v>364</v>
      </c>
      <c r="Z1301" s="1184">
        <v>0</v>
      </c>
      <c r="AA1301" s="1194">
        <v>0</v>
      </c>
      <c r="AB1301" s="1180" t="s">
        <v>364</v>
      </c>
      <c r="AC1301" s="1192" t="str">
        <f>""</f>
        <v/>
      </c>
      <c r="AD1301" s="1193">
        <v>1</v>
      </c>
      <c r="AE1301" s="1193" t="s">
        <v>368</v>
      </c>
      <c r="AF1301" s="1193" t="s">
        <v>369</v>
      </c>
      <c r="AG1301" s="1193">
        <v>1</v>
      </c>
      <c r="AH1301" s="1193">
        <v>6</v>
      </c>
      <c r="AI1301" s="1193">
        <v>0</v>
      </c>
      <c r="AJ1301" s="1193">
        <f>VLOOKUP($I1301,'Price List, Weapons &amp; Items'!B:F,5,0)</f>
        <v>0</v>
      </c>
      <c r="AK1301" s="1193">
        <f t="shared" si="278"/>
        <v>0</v>
      </c>
      <c r="AL1301" s="1193">
        <f t="shared" si="279"/>
        <v>0</v>
      </c>
      <c r="AM1301" s="1193">
        <f t="shared" si="280"/>
        <v>0</v>
      </c>
      <c r="AN1301" s="1194" t="str">
        <f>VLOOKUP($I1301,'Price List, Weapons &amp; Items'!B:L,COLUMN('Price List, Weapons &amp; Items'!$J$11)-1,0)</f>
        <v>Military media (incl. websites)</v>
      </c>
      <c r="AO1301" s="1194" t="str">
        <f>IF(I1301=".",".",VLOOKUP($I1301,'Price List, Weapons &amp; Items'!B:J,3,0))</f>
        <v>MANPADS</v>
      </c>
      <c r="AP1301" s="1195" t="str">
        <f t="shared" ca="1" si="274"/>
        <v>AT4 anti-tank weapon</v>
      </c>
      <c r="AQ1301" s="1194">
        <f>VLOOKUP($I1301,'Price List, Weapons &amp; Items'!B:L,COLUMN('Price List, Weapons &amp; Items'!$L$11)-1,0)</f>
        <v>2</v>
      </c>
      <c r="AR1301" s="1194">
        <f t="shared" si="281"/>
        <v>1</v>
      </c>
      <c r="AS1301" s="1194">
        <f t="shared" si="282"/>
        <v>1</v>
      </c>
      <c r="AT1301" s="1194">
        <f t="shared" si="283"/>
        <v>1</v>
      </c>
      <c r="AU1301" s="1194" t="str">
        <f t="shared" si="272"/>
        <v>.</v>
      </c>
      <c r="AV1301" s="1194" t="str">
        <f t="shared" si="275"/>
        <v>.</v>
      </c>
      <c r="AW1301" s="1194" t="str">
        <f t="shared" si="284"/>
        <v>.</v>
      </c>
      <c r="AX1301" s="1194">
        <f>IFERROR(VLOOKUP(B1301,'Share, Heavy Weapons to Ukraine'!B:Z,COLUMN('Share, Heavy Weapons to Ukraine'!C1313)-1,0),0)</f>
        <v>0</v>
      </c>
      <c r="AY1301" s="1194">
        <f>VLOOKUP('Bilateral Assistance, MAIN DATA'!B1301,'Country Summary (€)'!B:F,COLUMN('Country Summary (€)'!C1314)-1,FALSE)</f>
        <v>1</v>
      </c>
      <c r="AZ1301" s="1194">
        <f>IF(AND(AD1301=1,D1301="Military",H1301&lt;&gt;"Not given")=TRUE,IF(SUMIFS(P:P,A:A,A1301)&gt;0,ABS((SUMIFS(P:P,A:A,A1301)/VLOOKUP("USD",'Exchange Rates'!B:C,2,0)))/S1301,"."),".")</f>
        <v>0.29932601493073019</v>
      </c>
      <c r="BA1301" s="1196">
        <f>IF(AND(AD1301=1,D1301="Military",H1301&lt;&gt;"Not given")=TRUE,IF(SUMIFS(P:P,A:A,A1301)&gt;0,IF((ABS((SUMIFS(P:P,A:A,A1301)/VLOOKUP("USD",'Exchange Rates'!B:C,2,0)))/S1301)&gt;1,(SUMIFS(P:P,A:A,A1301)-S1301)/S1301,(S1301-SUMIFS(P:P,A:A,A1301))/SUMIFS(P:P,A:A,A1301)),"."),".")</f>
        <v>2.0740144631023933</v>
      </c>
    </row>
    <row r="1302" spans="1:71" ht="15.95" customHeight="1">
      <c r="A1302" s="1182" t="s">
        <v>3588</v>
      </c>
      <c r="B1302" s="1182" t="s">
        <v>3548</v>
      </c>
      <c r="C1302" s="1181">
        <v>44714</v>
      </c>
      <c r="D1302" s="1182" t="s">
        <v>389</v>
      </c>
      <c r="E1302" s="1182" t="s">
        <v>390</v>
      </c>
      <c r="F1302" s="1183" t="s">
        <v>3589</v>
      </c>
      <c r="G1302" s="1184" t="s">
        <v>3554</v>
      </c>
      <c r="H1302" s="1185">
        <v>262000000</v>
      </c>
      <c r="I1302" s="1180" t="s">
        <v>3593</v>
      </c>
      <c r="J1302" s="1186" t="str">
        <f>VLOOKUP($I1302,'Price List, Weapons &amp; Items'!B:C,2,0)</f>
        <v>Heavy weapon</v>
      </c>
      <c r="K1302" s="1186" t="str">
        <f>IF(I1302=".",I1302,VLOOKUP($I1302,'Price List, Weapons &amp; Items'!B:D,3,0))</f>
        <v>Anti-ship missle system</v>
      </c>
      <c r="L1302" s="1187">
        <f>VLOOKUP(I1302,'Price List, Weapons &amp; Items'!B:E,4,0)</f>
        <v>0</v>
      </c>
      <c r="M1302" s="1188">
        <v>1</v>
      </c>
      <c r="N1302" s="1188">
        <v>1</v>
      </c>
      <c r="O1302" s="1188">
        <f>VLOOKUP($I1302,'Price List, Weapons &amp; Items'!B:G,6,0)</f>
        <v>93090</v>
      </c>
      <c r="P1302" s="1185">
        <f t="shared" si="276"/>
        <v>93090</v>
      </c>
      <c r="Q1302" s="1185">
        <f t="shared" si="277"/>
        <v>93090</v>
      </c>
      <c r="R1302" s="1185" t="str">
        <f t="shared" si="273"/>
        <v/>
      </c>
      <c r="S1302" s="1185" t="str">
        <f>IF(AND(AD1302=1,R1302&lt;&gt;".")=TRUE,R1302/VLOOKUP(G1302,'Exchange Rates'!B:C,2,0),IF(R1302=".",".",""))</f>
        <v/>
      </c>
      <c r="T1302" s="1185" t="str">
        <f>IF(AD1302=1,IF(AF1302="Value is not given at all",".",IF(AF1302="Value is given by the source",S1302,IF(AF1302="Value is calculated with prices",(IF(SUMIFS(Q:Q,A:A,A1302)&gt;0,SUMIFS(Q:Q,A:A,A1302),"."))/VLOOKUP("USD",'Exchange Rates'!B:C,2,0),"Error with coding"))),"")</f>
        <v/>
      </c>
      <c r="U1302" s="1184" t="s">
        <v>365</v>
      </c>
      <c r="V1302" s="974" t="s">
        <v>3590</v>
      </c>
      <c r="W1302" s="974" t="s">
        <v>3591</v>
      </c>
      <c r="X1302" s="974" t="s">
        <v>3592</v>
      </c>
      <c r="Y1302" s="1183" t="s">
        <v>364</v>
      </c>
      <c r="Z1302" s="1184">
        <v>0</v>
      </c>
      <c r="AA1302" s="1194">
        <v>0</v>
      </c>
      <c r="AB1302" s="964" t="s">
        <v>3594</v>
      </c>
      <c r="AC1302" s="1192" t="str">
        <f>""</f>
        <v/>
      </c>
      <c r="AD1302" s="1193">
        <v>0</v>
      </c>
      <c r="AE1302" s="1193" t="s">
        <v>368</v>
      </c>
      <c r="AF1302" s="1193" t="s">
        <v>369</v>
      </c>
      <c r="AG1302" s="1193">
        <v>1</v>
      </c>
      <c r="AH1302" s="1193">
        <v>6</v>
      </c>
      <c r="AI1302" s="1193">
        <v>0</v>
      </c>
      <c r="AJ1302" s="1193">
        <f>VLOOKUP($I1302,'Price List, Weapons &amp; Items'!B:F,5,0)</f>
        <v>0</v>
      </c>
      <c r="AK1302" s="1193">
        <f t="shared" si="278"/>
        <v>0</v>
      </c>
      <c r="AL1302" s="1193">
        <f t="shared" si="279"/>
        <v>0</v>
      </c>
      <c r="AM1302" s="1193">
        <f t="shared" si="280"/>
        <v>0</v>
      </c>
      <c r="AN1302" s="1194" t="str">
        <f>VLOOKUP($I1302,'Price List, Weapons &amp; Items'!B:L,COLUMN('Price List, Weapons &amp; Items'!$J$11)-1,0)</f>
        <v>Government information</v>
      </c>
      <c r="AO1302" s="1194" t="str">
        <f>IF(I1302=".",".",VLOOKUP($I1302,'Price List, Weapons &amp; Items'!B:J,3,0))</f>
        <v>Anti-ship missle system</v>
      </c>
      <c r="AP1302" s="1195" t="str">
        <f t="shared" ca="1" si="274"/>
        <v/>
      </c>
      <c r="AQ1302" s="1194">
        <f>VLOOKUP($I1302,'Price List, Weapons &amp; Items'!B:L,COLUMN('Price List, Weapons &amp; Items'!$L$11)-1,0)</f>
        <v>1</v>
      </c>
      <c r="AR1302" s="1194">
        <f t="shared" si="281"/>
        <v>1</v>
      </c>
      <c r="AS1302" s="1194">
        <f t="shared" si="282"/>
        <v>1</v>
      </c>
      <c r="AT1302" s="1194">
        <f t="shared" si="283"/>
        <v>1</v>
      </c>
      <c r="AU1302" s="1194" t="str">
        <f t="shared" si="272"/>
        <v>.</v>
      </c>
      <c r="AV1302" s="1194" t="str">
        <f t="shared" si="275"/>
        <v>.</v>
      </c>
      <c r="AW1302" s="1194" t="str">
        <f t="shared" si="284"/>
        <v>.</v>
      </c>
      <c r="AX1302" s="1194">
        <f>IFERROR(VLOOKUP(B1302,'Share, Heavy Weapons to Ukraine'!B:Z,COLUMN('Share, Heavy Weapons to Ukraine'!C1314)-1,0),0)</f>
        <v>0</v>
      </c>
      <c r="AY1302" s="1194">
        <f>VLOOKUP('Bilateral Assistance, MAIN DATA'!B1302,'Country Summary (€)'!B:F,COLUMN('Country Summary (€)'!C1315)-1,FALSE)</f>
        <v>1</v>
      </c>
      <c r="AZ1302" s="1194" t="str">
        <f>IF(AND(AD1302=1,D1302="Military",H1302&lt;&gt;"Not given")=TRUE,IF(SUMIFS(P:P,A:A,A1302)&gt;0,ABS((SUMIFS(P:P,A:A,A1302)/VLOOKUP("USD",'Exchange Rates'!B:C,2,0)))/S1302,"."),".")</f>
        <v>.</v>
      </c>
      <c r="BA1302" s="1196" t="str">
        <f>IF(AND(AD1302=1,D1302="Military",H1302&lt;&gt;"Not given")=TRUE,IF(SUMIFS(P:P,A:A,A1302)&gt;0,IF((ABS((SUMIFS(P:P,A:A,A1302)/VLOOKUP("USD",'Exchange Rates'!B:C,2,0)))/S1302)&gt;1,(SUMIFS(P:P,A:A,A1302)-S1302)/S1302,(S1302-SUMIFS(P:P,A:A,A1302))/SUMIFS(P:P,A:A,A1302)),"."),".")</f>
        <v>.</v>
      </c>
    </row>
    <row r="1303" spans="1:71" ht="15.95" customHeight="1">
      <c r="A1303" s="1182" t="s">
        <v>3588</v>
      </c>
      <c r="B1303" s="1182" t="s">
        <v>3548</v>
      </c>
      <c r="C1303" s="1181">
        <v>44714</v>
      </c>
      <c r="D1303" s="1182" t="s">
        <v>389</v>
      </c>
      <c r="E1303" s="1182" t="s">
        <v>390</v>
      </c>
      <c r="F1303" s="1183" t="s">
        <v>3589</v>
      </c>
      <c r="G1303" s="1184" t="s">
        <v>3554</v>
      </c>
      <c r="H1303" s="1185">
        <v>262000000</v>
      </c>
      <c r="I1303" s="1180" t="s">
        <v>3595</v>
      </c>
      <c r="J1303" s="1186" t="str">
        <f>VLOOKUP($I1303,'Price List, Weapons &amp; Items'!B:C,2,0)</f>
        <v>Light armaments &amp; infantry</v>
      </c>
      <c r="K1303" s="1186" t="str">
        <f>IF(I1303=".",I1303,VLOOKUP($I1303,'Price List, Weapons &amp; Items'!B:D,3,0))</f>
        <v>Anti-materiel rifle</v>
      </c>
      <c r="L1303" s="1187">
        <f>VLOOKUP(I1303,'Price List, Weapons &amp; Items'!B:E,4,0)</f>
        <v>0</v>
      </c>
      <c r="M1303" s="1188" t="s">
        <v>374</v>
      </c>
      <c r="N1303" s="1188" t="s">
        <v>374</v>
      </c>
      <c r="O1303" s="1188">
        <f>VLOOKUP($I1303,'Price List, Weapons &amp; Items'!B:G,6,0)</f>
        <v>12807.38</v>
      </c>
      <c r="P1303" s="1185" t="str">
        <f t="shared" si="276"/>
        <v>.</v>
      </c>
      <c r="Q1303" s="1185" t="str">
        <f t="shared" si="277"/>
        <v>.</v>
      </c>
      <c r="R1303" s="1185" t="str">
        <f t="shared" si="273"/>
        <v/>
      </c>
      <c r="S1303" s="1185" t="str">
        <f>IF(AND(AD1303=1,R1303&lt;&gt;".")=TRUE,R1303/VLOOKUP(G1303,'Exchange Rates'!B:C,2,0),IF(R1303=".",".",""))</f>
        <v/>
      </c>
      <c r="T1303" s="1185" t="str">
        <f>IF(AD1303=1,IF(AF1303="Value is not given at all",".",IF(AF1303="Value is given by the source",S1303,IF(AF1303="Value is calculated with prices",(IF(SUMIFS(Q:Q,A:A,A1303)&gt;0,SUMIFS(Q:Q,A:A,A1303),"."))/VLOOKUP("USD",'Exchange Rates'!B:C,2,0),"Error with coding"))),"")</f>
        <v/>
      </c>
      <c r="U1303" s="1184" t="s">
        <v>365</v>
      </c>
      <c r="V1303" s="974" t="s">
        <v>3590</v>
      </c>
      <c r="W1303" s="974" t="s">
        <v>3591</v>
      </c>
      <c r="X1303" s="974" t="s">
        <v>3592</v>
      </c>
      <c r="Y1303" s="1183" t="s">
        <v>364</v>
      </c>
      <c r="Z1303" s="1184">
        <v>0</v>
      </c>
      <c r="AA1303" s="1194">
        <v>0</v>
      </c>
      <c r="AB1303" s="1180" t="s">
        <v>364</v>
      </c>
      <c r="AC1303" s="1192" t="str">
        <f>""</f>
        <v/>
      </c>
      <c r="AD1303" s="1193">
        <v>0</v>
      </c>
      <c r="AE1303" s="1193" t="s">
        <v>368</v>
      </c>
      <c r="AF1303" s="1193" t="s">
        <v>369</v>
      </c>
      <c r="AG1303" s="1193">
        <v>1</v>
      </c>
      <c r="AH1303" s="1193">
        <v>6</v>
      </c>
      <c r="AI1303" s="1193">
        <v>0</v>
      </c>
      <c r="AJ1303" s="1193">
        <f>VLOOKUP($I1303,'Price List, Weapons &amp; Items'!B:F,5,0)</f>
        <v>0</v>
      </c>
      <c r="AK1303" s="1193">
        <f t="shared" si="278"/>
        <v>0</v>
      </c>
      <c r="AL1303" s="1193">
        <f t="shared" si="279"/>
        <v>0</v>
      </c>
      <c r="AM1303" s="1193">
        <f t="shared" si="280"/>
        <v>0</v>
      </c>
      <c r="AN1303" s="1194" t="str">
        <f>VLOOKUP($I1303,'Price List, Weapons &amp; Items'!B:L,COLUMN('Price List, Weapons &amp; Items'!$J$11)-1,0)</f>
        <v>Military media (incl. websites)</v>
      </c>
      <c r="AO1303" s="1194" t="str">
        <f>IF(I1303=".",".",VLOOKUP($I1303,'Price List, Weapons &amp; Items'!B:J,3,0))</f>
        <v>Anti-materiel rifle</v>
      </c>
      <c r="AP1303" s="1195" t="str">
        <f t="shared" ca="1" si="274"/>
        <v/>
      </c>
      <c r="AQ1303" s="1194" t="str">
        <f>VLOOKUP($I1303,'Price List, Weapons &amp; Items'!B:L,COLUMN('Price List, Weapons &amp; Items'!$L$11)-1,0)</f>
        <v>no price, 0 count</v>
      </c>
      <c r="AR1303" s="1194">
        <f t="shared" si="281"/>
        <v>1</v>
      </c>
      <c r="AS1303" s="1194">
        <f t="shared" si="282"/>
        <v>1</v>
      </c>
      <c r="AT1303" s="1194">
        <f t="shared" si="283"/>
        <v>1</v>
      </c>
      <c r="AU1303" s="1194" t="str">
        <f t="shared" si="272"/>
        <v>.</v>
      </c>
      <c r="AV1303" s="1194" t="str">
        <f t="shared" si="275"/>
        <v>.</v>
      </c>
      <c r="AW1303" s="1194" t="str">
        <f t="shared" si="284"/>
        <v>.</v>
      </c>
      <c r="AX1303" s="1194">
        <f>IFERROR(VLOOKUP(B1303,'Share, Heavy Weapons to Ukraine'!B:Z,COLUMN('Share, Heavy Weapons to Ukraine'!C1315)-1,0),0)</f>
        <v>0</v>
      </c>
      <c r="AY1303" s="1194">
        <f>VLOOKUP('Bilateral Assistance, MAIN DATA'!B1303,'Country Summary (€)'!B:F,COLUMN('Country Summary (€)'!C1316)-1,FALSE)</f>
        <v>1</v>
      </c>
      <c r="AZ1303" s="1194" t="str">
        <f>IF(AND(AD1303=1,D1303="Military",H1303&lt;&gt;"Not given")=TRUE,IF(SUMIFS(P:P,A:A,A1303)&gt;0,ABS((SUMIFS(P:P,A:A,A1303)/VLOOKUP("USD",'Exchange Rates'!B:C,2,0)))/S1303,"."),".")</f>
        <v>.</v>
      </c>
      <c r="BA1303" s="1196" t="str">
        <f>IF(AND(AD1303=1,D1303="Military",H1303&lt;&gt;"Not given")=TRUE,IF(SUMIFS(P:P,A:A,A1303)&gt;0,IF((ABS((SUMIFS(P:P,A:A,A1303)/VLOOKUP("USD",'Exchange Rates'!B:C,2,0)))/S1303)&gt;1,(SUMIFS(P:P,A:A,A1303)-S1303)/S1303,(S1303-SUMIFS(P:P,A:A,A1303))/SUMIFS(P:P,A:A,A1303)),"."),".")</f>
        <v>.</v>
      </c>
    </row>
    <row r="1304" spans="1:71" ht="15.95" customHeight="1">
      <c r="A1304" s="1180" t="s">
        <v>3596</v>
      </c>
      <c r="B1304" s="1180" t="s">
        <v>3548</v>
      </c>
      <c r="C1304" s="1181">
        <v>44714</v>
      </c>
      <c r="D1304" s="1182" t="s">
        <v>389</v>
      </c>
      <c r="E1304" s="1182" t="s">
        <v>481</v>
      </c>
      <c r="F1304" s="1183" t="s">
        <v>3597</v>
      </c>
      <c r="G1304" s="1184" t="s">
        <v>3554</v>
      </c>
      <c r="H1304" s="1185">
        <v>578000000</v>
      </c>
      <c r="I1304" s="1180" t="s">
        <v>364</v>
      </c>
      <c r="J1304" s="1186" t="str">
        <f>VLOOKUP($I1304,'Price List, Weapons &amp; Items'!B:C,2,0)</f>
        <v>.</v>
      </c>
      <c r="K1304" s="1186" t="str">
        <f>IF(I1304=".",I1304,VLOOKUP($I1304,'Price List, Weapons &amp; Items'!B:D,3,0))</f>
        <v>.</v>
      </c>
      <c r="L1304" s="1187">
        <f>VLOOKUP(I1304,'Price List, Weapons &amp; Items'!B:E,4,0)</f>
        <v>0</v>
      </c>
      <c r="M1304" s="1188" t="s">
        <v>364</v>
      </c>
      <c r="N1304" s="1188" t="s">
        <v>364</v>
      </c>
      <c r="O1304" s="1188" t="str">
        <f>VLOOKUP($I1304,'Price List, Weapons &amp; Items'!B:G,6,0)</f>
        <v>.</v>
      </c>
      <c r="P1304" s="1185" t="str">
        <f t="shared" si="276"/>
        <v>.</v>
      </c>
      <c r="Q1304" s="1185" t="str">
        <f t="shared" si="277"/>
        <v>.</v>
      </c>
      <c r="R1304" s="1185">
        <f t="shared" si="273"/>
        <v>578000000</v>
      </c>
      <c r="S1304" s="1185">
        <f>IF(AND(AD1304=1,R1304&lt;&gt;".")=TRUE,R1304/VLOOKUP(G1304,'Exchange Rates'!B:C,2,0),IF(R1304=".",".",""))</f>
        <v>50836873.444330104</v>
      </c>
      <c r="T1304" s="1185" t="str">
        <f>IF(AD1304=1,IF(AF1304="Value is not given at all",".",IF(AF1304="Value is given by the source",S1304,IF(AF1304="Value is calculated with prices",(IF(SUMIFS(Q:Q,A:A,A1304)&gt;0,SUMIFS(Q:Q,A:A,A1304),"."))/VLOOKUP("USD",'Exchange Rates'!B:C,2,0),"Error with coding"))),"")</f>
        <v>.</v>
      </c>
      <c r="U1304" s="1184" t="s">
        <v>365</v>
      </c>
      <c r="V1304" s="987" t="s">
        <v>3555</v>
      </c>
      <c r="W1304" s="971" t="s">
        <v>3591</v>
      </c>
      <c r="X1304" s="971" t="s">
        <v>3592</v>
      </c>
      <c r="Y1304" s="1190" t="s">
        <v>364</v>
      </c>
      <c r="Z1304" s="1184">
        <v>0</v>
      </c>
      <c r="AA1304" s="1194">
        <v>0</v>
      </c>
      <c r="AB1304" s="1180" t="s">
        <v>364</v>
      </c>
      <c r="AC1304" s="1192" t="str">
        <f>""</f>
        <v/>
      </c>
      <c r="AD1304" s="1193">
        <v>1</v>
      </c>
      <c r="AE1304" s="1193" t="s">
        <v>368</v>
      </c>
      <c r="AF1304" s="1193" t="s">
        <v>369</v>
      </c>
      <c r="AG1304" s="1193">
        <v>1</v>
      </c>
      <c r="AH1304" s="1193">
        <v>6</v>
      </c>
      <c r="AI1304" s="1193">
        <v>0</v>
      </c>
      <c r="AJ1304" s="1193">
        <f>VLOOKUP($I1304,'Price List, Weapons &amp; Items'!B:F,5,0)</f>
        <v>0</v>
      </c>
      <c r="AK1304" s="1193">
        <f t="shared" si="278"/>
        <v>0</v>
      </c>
      <c r="AL1304" s="1193">
        <f t="shared" si="279"/>
        <v>0</v>
      </c>
      <c r="AM1304" s="1193">
        <f t="shared" si="280"/>
        <v>0</v>
      </c>
      <c r="AN1304" s="1194" t="str">
        <f>VLOOKUP($I1304,'Price List, Weapons &amp; Items'!B:L,COLUMN('Price List, Weapons &amp; Items'!$J$11)-1,0)</f>
        <v>.</v>
      </c>
      <c r="AO1304" s="1194" t="str">
        <f>IF(I1304=".",".",VLOOKUP($I1304,'Price List, Weapons &amp; Items'!B:J,3,0))</f>
        <v>.</v>
      </c>
      <c r="AP1304" s="1195" t="str">
        <f t="shared" ca="1" si="274"/>
        <v>.</v>
      </c>
      <c r="AQ1304" s="1194">
        <f>VLOOKUP($I1304,'Price List, Weapons &amp; Items'!B:L,COLUMN('Price List, Weapons &amp; Items'!$L$11)-1,0)</f>
        <v>0</v>
      </c>
      <c r="AR1304" s="1194">
        <f t="shared" si="281"/>
        <v>1</v>
      </c>
      <c r="AS1304" s="1194">
        <f t="shared" si="282"/>
        <v>0</v>
      </c>
      <c r="AT1304" s="1194">
        <f t="shared" si="283"/>
        <v>1</v>
      </c>
      <c r="AU1304" s="1194" t="str">
        <f t="shared" si="272"/>
        <v>.</v>
      </c>
      <c r="AV1304" s="1194" t="str">
        <f t="shared" si="275"/>
        <v>.</v>
      </c>
      <c r="AW1304" s="1194" t="str">
        <f t="shared" si="284"/>
        <v>.</v>
      </c>
      <c r="AX1304" s="1194">
        <f>IFERROR(VLOOKUP(B1304,'Share, Heavy Weapons to Ukraine'!B:Z,COLUMN('Share, Heavy Weapons to Ukraine'!C1316)-1,0),0)</f>
        <v>0</v>
      </c>
      <c r="AY1304" s="1194">
        <f>VLOOKUP('Bilateral Assistance, MAIN DATA'!B1304,'Country Summary (€)'!B:F,COLUMN('Country Summary (€)'!C1317)-1,FALSE)</f>
        <v>1</v>
      </c>
      <c r="AZ1304" s="1194" t="str">
        <f>IF(AND(AD1304=1,D1304="Military",H1304&lt;&gt;"Not given")=TRUE,IF(SUMIFS(P:P,A:A,A1304)&gt;0,ABS((SUMIFS(P:P,A:A,A1304)/VLOOKUP("USD",'Exchange Rates'!B:C,2,0)))/S1304,"."),".")</f>
        <v>.</v>
      </c>
      <c r="BA1304" s="1196" t="str">
        <f>IF(AND(AD1304=1,D1304="Military",H1304&lt;&gt;"Not given")=TRUE,IF(SUMIFS(P:P,A:A,A1304)&gt;0,IF((ABS((SUMIFS(P:P,A:A,A1304)/VLOOKUP("USD",'Exchange Rates'!B:C,2,0)))/S1304)&gt;1,(SUMIFS(P:P,A:A,A1304)-S1304)/S1304,(S1304-SUMIFS(P:P,A:A,A1304))/SUMIFS(P:P,A:A,A1304)),"."),".")</f>
        <v>.</v>
      </c>
    </row>
    <row r="1305" spans="1:71" ht="15.95" customHeight="1">
      <c r="A1305" s="1180" t="s">
        <v>3598</v>
      </c>
      <c r="B1305" s="1180" t="s">
        <v>3548</v>
      </c>
      <c r="C1305" s="1181">
        <v>44714</v>
      </c>
      <c r="D1305" s="1182" t="s">
        <v>389</v>
      </c>
      <c r="E1305" s="1182" t="s">
        <v>481</v>
      </c>
      <c r="F1305" s="1183" t="s">
        <v>3599</v>
      </c>
      <c r="G1305" s="1184" t="s">
        <v>3554</v>
      </c>
      <c r="H1305" s="1185">
        <v>60000000</v>
      </c>
      <c r="I1305" s="1180" t="s">
        <v>364</v>
      </c>
      <c r="J1305" s="1186" t="str">
        <f>VLOOKUP($I1305,'Price List, Weapons &amp; Items'!B:C,2,0)</f>
        <v>.</v>
      </c>
      <c r="K1305" s="1186" t="str">
        <f>IF(I1305=".",I1305,VLOOKUP($I1305,'Price List, Weapons &amp; Items'!B:D,3,0))</f>
        <v>.</v>
      </c>
      <c r="L1305" s="1187">
        <f>VLOOKUP(I1305,'Price List, Weapons &amp; Items'!B:E,4,0)</f>
        <v>0</v>
      </c>
      <c r="M1305" s="1188" t="s">
        <v>364</v>
      </c>
      <c r="N1305" s="1188" t="s">
        <v>364</v>
      </c>
      <c r="O1305" s="1188" t="str">
        <f>VLOOKUP($I1305,'Price List, Weapons &amp; Items'!B:G,6,0)</f>
        <v>.</v>
      </c>
      <c r="P1305" s="1185" t="str">
        <f t="shared" si="276"/>
        <v>.</v>
      </c>
      <c r="Q1305" s="1185" t="str">
        <f t="shared" si="277"/>
        <v>.</v>
      </c>
      <c r="R1305" s="1185">
        <f t="shared" si="273"/>
        <v>60000000</v>
      </c>
      <c r="S1305" s="1185">
        <f>IF(AND(AD1305=1,R1305&lt;&gt;".")=TRUE,R1305/VLOOKUP(G1305,'Exchange Rates'!B:C,2,0),IF(R1305=".",".",""))</f>
        <v>5277184.0945671387</v>
      </c>
      <c r="T1305" s="1185" t="str">
        <f>IF(AD1305=1,IF(AF1305="Value is not given at all",".",IF(AF1305="Value is given by the source",S1305,IF(AF1305="Value is calculated with prices",(IF(SUMIFS(Q:Q,A:A,A1305)&gt;0,SUMIFS(Q:Q,A:A,A1305),"."))/VLOOKUP("USD",'Exchange Rates'!B:C,2,0),"Error with coding"))),"")</f>
        <v>.</v>
      </c>
      <c r="U1305" s="1184" t="s">
        <v>365</v>
      </c>
      <c r="V1305" s="987" t="s">
        <v>3555</v>
      </c>
      <c r="W1305" s="971" t="s">
        <v>3591</v>
      </c>
      <c r="X1305" s="971" t="s">
        <v>3592</v>
      </c>
      <c r="Y1305" s="1190" t="s">
        <v>364</v>
      </c>
      <c r="Z1305" s="1184">
        <v>0</v>
      </c>
      <c r="AA1305" s="1194">
        <v>0</v>
      </c>
      <c r="AB1305" s="1180" t="s">
        <v>364</v>
      </c>
      <c r="AC1305" s="1192" t="str">
        <f>""</f>
        <v/>
      </c>
      <c r="AD1305" s="1193">
        <v>1</v>
      </c>
      <c r="AE1305" s="1193" t="s">
        <v>368</v>
      </c>
      <c r="AF1305" s="1193" t="s">
        <v>369</v>
      </c>
      <c r="AG1305" s="1193">
        <v>1</v>
      </c>
      <c r="AH1305" s="1193">
        <v>6</v>
      </c>
      <c r="AI1305" s="1193">
        <v>0</v>
      </c>
      <c r="AJ1305" s="1193">
        <f>VLOOKUP($I1305,'Price List, Weapons &amp; Items'!B:F,5,0)</f>
        <v>0</v>
      </c>
      <c r="AK1305" s="1193">
        <f t="shared" si="278"/>
        <v>0</v>
      </c>
      <c r="AL1305" s="1193">
        <f t="shared" si="279"/>
        <v>0</v>
      </c>
      <c r="AM1305" s="1193">
        <f t="shared" si="280"/>
        <v>0</v>
      </c>
      <c r="AN1305" s="1194" t="str">
        <f>VLOOKUP($I1305,'Price List, Weapons &amp; Items'!B:L,COLUMN('Price List, Weapons &amp; Items'!$J$11)-1,0)</f>
        <v>.</v>
      </c>
      <c r="AO1305" s="1194" t="str">
        <f>IF(I1305=".",".",VLOOKUP($I1305,'Price List, Weapons &amp; Items'!B:J,3,0))</f>
        <v>.</v>
      </c>
      <c r="AP1305" s="1195" t="str">
        <f t="shared" ca="1" si="274"/>
        <v>.</v>
      </c>
      <c r="AQ1305" s="1194">
        <f>VLOOKUP($I1305,'Price List, Weapons &amp; Items'!B:L,COLUMN('Price List, Weapons &amp; Items'!$L$11)-1,0)</f>
        <v>0</v>
      </c>
      <c r="AR1305" s="1194">
        <f t="shared" si="281"/>
        <v>1</v>
      </c>
      <c r="AS1305" s="1194">
        <f t="shared" si="282"/>
        <v>0</v>
      </c>
      <c r="AT1305" s="1194">
        <f t="shared" si="283"/>
        <v>1</v>
      </c>
      <c r="AU1305" s="1194" t="str">
        <f t="shared" si="272"/>
        <v>.</v>
      </c>
      <c r="AV1305" s="1194" t="str">
        <f t="shared" si="275"/>
        <v>.</v>
      </c>
      <c r="AW1305" s="1194" t="str">
        <f t="shared" si="284"/>
        <v>.</v>
      </c>
      <c r="AX1305" s="1194">
        <f>IFERROR(VLOOKUP(B1305,'Share, Heavy Weapons to Ukraine'!B:Z,COLUMN('Share, Heavy Weapons to Ukraine'!C1317)-1,0),0)</f>
        <v>0</v>
      </c>
      <c r="AY1305" s="1194">
        <f>VLOOKUP('Bilateral Assistance, MAIN DATA'!B1305,'Country Summary (€)'!B:F,COLUMN('Country Summary (€)'!C1318)-1,FALSE)</f>
        <v>1</v>
      </c>
      <c r="AZ1305" s="1194" t="str">
        <f>IF(AND(AD1305=1,D1305="Military",H1305&lt;&gt;"Not given")=TRUE,IF(SUMIFS(P:P,A:A,A1305)&gt;0,ABS((SUMIFS(P:P,A:A,A1305)/VLOOKUP("USD",'Exchange Rates'!B:C,2,0)))/S1305,"."),".")</f>
        <v>.</v>
      </c>
      <c r="BA1305" s="1196" t="str">
        <f>IF(AND(AD1305=1,D1305="Military",H1305&lt;&gt;"Not given")=TRUE,IF(SUMIFS(P:P,A:A,A1305)&gt;0,IF((ABS((SUMIFS(P:P,A:A,A1305)/VLOOKUP("USD",'Exchange Rates'!B:C,2,0)))/S1305)&gt;1,(SUMIFS(P:P,A:A,A1305)-S1305)/S1305,(S1305-SUMIFS(P:P,A:A,A1305))/SUMIFS(P:P,A:A,A1305)),"."),".")</f>
        <v>.</v>
      </c>
    </row>
    <row r="1306" spans="1:71" ht="15.95" customHeight="1">
      <c r="A1306" s="1180" t="s">
        <v>3600</v>
      </c>
      <c r="B1306" s="1180" t="s">
        <v>3548</v>
      </c>
      <c r="C1306" s="1181">
        <v>44754</v>
      </c>
      <c r="D1306" s="1182" t="s">
        <v>389</v>
      </c>
      <c r="E1306" s="1182" t="s">
        <v>481</v>
      </c>
      <c r="F1306" s="1183" t="s">
        <v>3601</v>
      </c>
      <c r="G1306" s="1184" t="s">
        <v>3554</v>
      </c>
      <c r="H1306" s="1185">
        <v>577700000</v>
      </c>
      <c r="I1306" s="1180" t="s">
        <v>364</v>
      </c>
      <c r="J1306" s="1186" t="str">
        <f>VLOOKUP($I1306,'Price List, Weapons &amp; Items'!B:C,2,0)</f>
        <v>.</v>
      </c>
      <c r="K1306" s="1186" t="str">
        <f>IF(I1306=".",I1306,VLOOKUP($I1306,'Price List, Weapons &amp; Items'!B:D,3,0))</f>
        <v>.</v>
      </c>
      <c r="L1306" s="1187">
        <f>VLOOKUP(I1306,'Price List, Weapons &amp; Items'!B:E,4,0)</f>
        <v>0</v>
      </c>
      <c r="M1306" s="1188" t="s">
        <v>364</v>
      </c>
      <c r="N1306" s="1188" t="s">
        <v>364</v>
      </c>
      <c r="O1306" s="1188" t="str">
        <f>VLOOKUP($I1306,'Price List, Weapons &amp; Items'!B:G,6,0)</f>
        <v>.</v>
      </c>
      <c r="P1306" s="1185" t="str">
        <f t="shared" si="276"/>
        <v>.</v>
      </c>
      <c r="Q1306" s="1185" t="str">
        <f t="shared" si="277"/>
        <v>.</v>
      </c>
      <c r="R1306" s="1185">
        <f t="shared" si="273"/>
        <v>577700000</v>
      </c>
      <c r="S1306" s="1185">
        <f>IF(AND(AD1306=1,R1306&lt;&gt;".")=TRUE,R1306/VLOOKUP(G1306,'Exchange Rates'!B:C,2,0),IF(R1306=".",".",""))</f>
        <v>50810487.523857273</v>
      </c>
      <c r="T1306" s="1185" t="str">
        <f>IF(AD1306=1,IF(AF1306="Value is not given at all",".",IF(AF1306="Value is given by the source",S1306,IF(AF1306="Value is calculated with prices",(IF(SUMIFS(Q:Q,A:A,A1306)&gt;0,SUMIFS(Q:Q,A:A,A1306),"."))/VLOOKUP("USD",'Exchange Rates'!B:C,2,0),"Error with coding"))),"")</f>
        <v>.</v>
      </c>
      <c r="U1306" s="1184" t="s">
        <v>365</v>
      </c>
      <c r="V1306" s="971" t="s">
        <v>3602</v>
      </c>
      <c r="W1306" s="973" t="s">
        <v>3603</v>
      </c>
      <c r="X1306" s="986" t="s">
        <v>364</v>
      </c>
      <c r="Y1306" s="1190" t="s">
        <v>364</v>
      </c>
      <c r="Z1306" s="1184">
        <v>0</v>
      </c>
      <c r="AA1306" s="1194">
        <v>0</v>
      </c>
      <c r="AB1306" s="1180" t="s">
        <v>364</v>
      </c>
      <c r="AC1306" s="1192" t="str">
        <f>""</f>
        <v/>
      </c>
      <c r="AD1306" s="1193">
        <v>1</v>
      </c>
      <c r="AE1306" s="1193" t="s">
        <v>368</v>
      </c>
      <c r="AF1306" s="1193" t="s">
        <v>369</v>
      </c>
      <c r="AG1306" s="1193">
        <v>1</v>
      </c>
      <c r="AH1306" s="1193">
        <v>7</v>
      </c>
      <c r="AI1306" s="1193">
        <v>0</v>
      </c>
      <c r="AJ1306" s="1193">
        <f>VLOOKUP($I1306,'Price List, Weapons &amp; Items'!B:F,5,0)</f>
        <v>0</v>
      </c>
      <c r="AK1306" s="1193">
        <f t="shared" si="278"/>
        <v>0</v>
      </c>
      <c r="AL1306" s="1193">
        <f t="shared" si="279"/>
        <v>0</v>
      </c>
      <c r="AM1306" s="1193">
        <f t="shared" si="280"/>
        <v>0</v>
      </c>
      <c r="AN1306" s="1194" t="str">
        <f>VLOOKUP($I1306,'Price List, Weapons &amp; Items'!B:L,COLUMN('Price List, Weapons &amp; Items'!$J$11)-1,0)</f>
        <v>.</v>
      </c>
      <c r="AO1306" s="1194" t="str">
        <f>IF(I1306=".",".",VLOOKUP($I1306,'Price List, Weapons &amp; Items'!B:J,3,0))</f>
        <v>.</v>
      </c>
      <c r="AP1306" s="1195" t="str">
        <f t="shared" ca="1" si="274"/>
        <v>.</v>
      </c>
      <c r="AQ1306" s="1194">
        <f>VLOOKUP($I1306,'Price List, Weapons &amp; Items'!B:L,COLUMN('Price List, Weapons &amp; Items'!$L$11)-1,0)</f>
        <v>0</v>
      </c>
      <c r="AR1306" s="1194">
        <f t="shared" si="281"/>
        <v>1</v>
      </c>
      <c r="AS1306" s="1194">
        <f t="shared" si="282"/>
        <v>0</v>
      </c>
      <c r="AT1306" s="1194">
        <f t="shared" si="283"/>
        <v>1</v>
      </c>
      <c r="AU1306" s="1194" t="str">
        <f t="shared" si="272"/>
        <v>.</v>
      </c>
      <c r="AV1306" s="1194" t="str">
        <f t="shared" si="275"/>
        <v>.</v>
      </c>
      <c r="AW1306" s="1194" t="str">
        <f t="shared" si="284"/>
        <v>.</v>
      </c>
      <c r="AX1306" s="1194">
        <f>IFERROR(VLOOKUP(B1306,'Share, Heavy Weapons to Ukraine'!B:Z,COLUMN('Share, Heavy Weapons to Ukraine'!C1318)-1,0),0)</f>
        <v>0</v>
      </c>
      <c r="AY1306" s="1194">
        <f>VLOOKUP('Bilateral Assistance, MAIN DATA'!B1306,'Country Summary (€)'!B:F,COLUMN('Country Summary (€)'!C1319)-1,FALSE)</f>
        <v>1</v>
      </c>
      <c r="AZ1306" s="1194" t="str">
        <f>IF(AND(AD1306=1,D1306="Military",H1306&lt;&gt;"Not given")=TRUE,IF(SUMIFS(P:P,A:A,A1306)&gt;0,ABS((SUMIFS(P:P,A:A,A1306)/VLOOKUP("USD",'Exchange Rates'!B:C,2,0)))/S1306,"."),".")</f>
        <v>.</v>
      </c>
      <c r="BA1306" s="1196" t="str">
        <f>IF(AND(AD1306=1,D1306="Military",H1306&lt;&gt;"Not given")=TRUE,IF(SUMIFS(P:P,A:A,A1306)&gt;0,IF((ABS((SUMIFS(P:P,A:A,A1306)/VLOOKUP("USD",'Exchange Rates'!B:C,2,0)))/S1306)&gt;1,(SUMIFS(P:P,A:A,A1306)-S1306)/S1306,(S1306-SUMIFS(P:P,A:A,A1306))/SUMIFS(P:P,A:A,A1306)),"."),".")</f>
        <v>.</v>
      </c>
    </row>
    <row r="1307" spans="1:71" ht="15.95" customHeight="1">
      <c r="A1307" s="1180" t="s">
        <v>3604</v>
      </c>
      <c r="B1307" s="1180" t="s">
        <v>3548</v>
      </c>
      <c r="C1307" s="1181">
        <v>44801</v>
      </c>
      <c r="D1307" s="1182" t="s">
        <v>389</v>
      </c>
      <c r="E1307" s="1182" t="s">
        <v>390</v>
      </c>
      <c r="F1307" s="1183" t="s">
        <v>3605</v>
      </c>
      <c r="G1307" s="1184" t="s">
        <v>3554</v>
      </c>
      <c r="H1307" s="1185">
        <v>500000000</v>
      </c>
      <c r="I1307" s="1180" t="s">
        <v>1669</v>
      </c>
      <c r="J1307" s="1186" t="str">
        <f>VLOOKUP($I1307,'Price List, Weapons &amp; Items'!B:C,2,0)</f>
        <v>Ammunition for heavy weapon</v>
      </c>
      <c r="K1307" s="1186" t="str">
        <f>IF(I1307=".",I1307,VLOOKUP($I1307,'Price List, Weapons &amp; Items'!B:D,3,0))</f>
        <v>155mm howitzer ammunition</v>
      </c>
      <c r="L1307" s="1187">
        <f>VLOOKUP(I1307,'Price List, Weapons &amp; Items'!B:E,4,0)</f>
        <v>0</v>
      </c>
      <c r="M1307" s="1188" t="s">
        <v>374</v>
      </c>
      <c r="N1307" s="1188" t="s">
        <v>374</v>
      </c>
      <c r="O1307" s="1188">
        <f>VLOOKUP($I1307,'Price List, Weapons &amp; Items'!B:G,6,0)</f>
        <v>3800</v>
      </c>
      <c r="P1307" s="1185" t="str">
        <f t="shared" si="276"/>
        <v>.</v>
      </c>
      <c r="Q1307" s="1185" t="str">
        <f t="shared" si="277"/>
        <v>.</v>
      </c>
      <c r="R1307" s="1185">
        <f t="shared" si="273"/>
        <v>500000000</v>
      </c>
      <c r="S1307" s="1185">
        <f>IF(AND(AD1307=1,R1307&lt;&gt;".")=TRUE,R1307/VLOOKUP(G1307,'Exchange Rates'!B:C,2,0),IF(R1307=".",".",""))</f>
        <v>43976534.121392824</v>
      </c>
      <c r="T1307" s="1185" t="str">
        <f>IF(AD1307=1,IF(AF1307="Value is not given at all",".",IF(AF1307="Value is given by the source",S1307,IF(AF1307="Value is calculated with prices",(IF(SUMIFS(Q:Q,A:A,A1307)&gt;0,SUMIFS(Q:Q,A:A,A1307),"."))/VLOOKUP("USD",'Exchange Rates'!B:C,2,0),"Error with coding"))),"")</f>
        <v>.</v>
      </c>
      <c r="U1307" s="1184" t="s">
        <v>365</v>
      </c>
      <c r="V1307" s="971" t="s">
        <v>3606</v>
      </c>
      <c r="W1307" s="1017" t="s">
        <v>3607</v>
      </c>
      <c r="X1307" s="1011" t="s">
        <v>3608</v>
      </c>
      <c r="Y1307" s="972" t="s">
        <v>3609</v>
      </c>
      <c r="Z1307" s="1184">
        <v>0</v>
      </c>
      <c r="AA1307" s="1194">
        <v>0</v>
      </c>
      <c r="AB1307" s="991" t="s">
        <v>3609</v>
      </c>
      <c r="AC1307" s="1192" t="str">
        <f>""</f>
        <v/>
      </c>
      <c r="AD1307" s="1193">
        <v>1</v>
      </c>
      <c r="AE1307" s="1193" t="s">
        <v>368</v>
      </c>
      <c r="AF1307" s="1193" t="s">
        <v>369</v>
      </c>
      <c r="AG1307" s="1193">
        <v>1</v>
      </c>
      <c r="AH1307" s="1193">
        <v>8</v>
      </c>
      <c r="AI1307" s="1193">
        <v>0</v>
      </c>
      <c r="AJ1307" s="1193">
        <f>VLOOKUP($I1307,'Price List, Weapons &amp; Items'!B:F,5,0)</f>
        <v>1</v>
      </c>
      <c r="AK1307" s="1193">
        <f t="shared" si="278"/>
        <v>1</v>
      </c>
      <c r="AL1307" s="1193">
        <f t="shared" si="279"/>
        <v>1</v>
      </c>
      <c r="AM1307" s="1193">
        <f t="shared" si="280"/>
        <v>1</v>
      </c>
      <c r="AN1307" s="1194" t="str">
        <f>VLOOKUP($I1307,'Price List, Weapons &amp; Items'!B:L,COLUMN('Price List, Weapons &amp; Items'!$J$11)-1,0)</f>
        <v>Government information</v>
      </c>
      <c r="AO1307" s="1194" t="str">
        <f>IF(I1307=".",".",VLOOKUP($I1307,'Price List, Weapons &amp; Items'!B:J,3,0))</f>
        <v>155mm howitzer ammunition</v>
      </c>
      <c r="AP1307" s="1195" t="str">
        <f t="shared" ca="1" si="274"/>
        <v>Round of ammunition for 155mm howitzer</v>
      </c>
      <c r="AQ1307" s="1194">
        <f>VLOOKUP($I1307,'Price List, Weapons &amp; Items'!B:L,COLUMN('Price List, Weapons &amp; Items'!$L$11)-1,0)</f>
        <v>2</v>
      </c>
      <c r="AR1307" s="1194">
        <f t="shared" si="281"/>
        <v>1</v>
      </c>
      <c r="AS1307" s="1194">
        <f t="shared" si="282"/>
        <v>1</v>
      </c>
      <c r="AT1307" s="1194">
        <f t="shared" si="283"/>
        <v>1</v>
      </c>
      <c r="AU1307" s="1194" t="str">
        <f t="shared" si="272"/>
        <v>.</v>
      </c>
      <c r="AV1307" s="1194" t="str">
        <f t="shared" si="275"/>
        <v>.</v>
      </c>
      <c r="AW1307" s="1194" t="str">
        <f t="shared" si="284"/>
        <v>.</v>
      </c>
      <c r="AX1307" s="1194">
        <f>IFERROR(VLOOKUP(B1307,'Share, Heavy Weapons to Ukraine'!B:Z,COLUMN('Share, Heavy Weapons to Ukraine'!C1319)-1,0),0)</f>
        <v>0</v>
      </c>
      <c r="AY1307" s="1194">
        <f>VLOOKUP('Bilateral Assistance, MAIN DATA'!B1307,'Country Summary (€)'!B:F,COLUMN('Country Summary (€)'!C1320)-1,FALSE)</f>
        <v>1</v>
      </c>
      <c r="AZ1307" s="1194" t="str">
        <f>IF(AND(AD1307=1,D1307="Military",H1307&lt;&gt;"Not given")=TRUE,IF(SUMIFS(P:P,A:A,A1307)&gt;0,ABS((SUMIFS(P:P,A:A,A1307)/VLOOKUP("USD",'Exchange Rates'!B:C,2,0)))/S1307,"."),".")</f>
        <v>.</v>
      </c>
      <c r="BA1307" s="1196" t="str">
        <f>IF(AND(AD1307=1,D1307="Military",H1307&lt;&gt;"Not given")=TRUE,IF(SUMIFS(P:P,A:A,A1307)&gt;0,IF((ABS((SUMIFS(P:P,A:A,A1307)/VLOOKUP("USD",'Exchange Rates'!B:C,2,0)))/S1307)&gt;1,(SUMIFS(P:P,A:A,A1307)-S1307)/S1307,(S1307-SUMIFS(P:P,A:A,A1307))/SUMIFS(P:P,A:A,A1307)),"."),".")</f>
        <v>.</v>
      </c>
    </row>
    <row r="1308" spans="1:71" ht="15.95" customHeight="1">
      <c r="A1308" s="1180" t="s">
        <v>3610</v>
      </c>
      <c r="B1308" s="1180" t="s">
        <v>3548</v>
      </c>
      <c r="C1308" s="1181">
        <v>44881</v>
      </c>
      <c r="D1308" s="1182" t="s">
        <v>389</v>
      </c>
      <c r="E1308" s="1182" t="s">
        <v>390</v>
      </c>
      <c r="F1308" s="1183" t="s">
        <v>3611</v>
      </c>
      <c r="G1308" s="1184" t="s">
        <v>3554</v>
      </c>
      <c r="H1308" s="1185">
        <v>3000000000</v>
      </c>
      <c r="I1308" s="1180" t="s">
        <v>364</v>
      </c>
      <c r="J1308" s="1186" t="str">
        <f>VLOOKUP($I1308,'Price List, Weapons &amp; Items'!B:C,2,0)</f>
        <v>.</v>
      </c>
      <c r="K1308" s="1186" t="str">
        <f>IF(I1308=".",I1308,VLOOKUP($I1308,'Price List, Weapons &amp; Items'!B:D,3,0))</f>
        <v>.</v>
      </c>
      <c r="L1308" s="1187">
        <f>VLOOKUP(I1308,'Price List, Weapons &amp; Items'!B:E,4,0)</f>
        <v>0</v>
      </c>
      <c r="M1308" s="1188" t="s">
        <v>364</v>
      </c>
      <c r="N1308" s="1188" t="s">
        <v>364</v>
      </c>
      <c r="O1308" s="1188" t="str">
        <f>VLOOKUP($I1308,'Price List, Weapons &amp; Items'!B:G,6,0)</f>
        <v>.</v>
      </c>
      <c r="P1308" s="1185" t="str">
        <f t="shared" si="276"/>
        <v>.</v>
      </c>
      <c r="Q1308" s="1185" t="str">
        <f t="shared" si="277"/>
        <v>.</v>
      </c>
      <c r="R1308" s="1185">
        <f t="shared" si="273"/>
        <v>3000000000</v>
      </c>
      <c r="S1308" s="1185">
        <f>IF(AND(AD1308=1,R1308&lt;&gt;".")=TRUE,R1308/VLOOKUP(G1308,'Exchange Rates'!B:C,2,0),IF(R1308=".",".",""))</f>
        <v>263859204.72835696</v>
      </c>
      <c r="T1308" s="1185">
        <f>IF(AD1308=1,IF(AF1308="Value is not given at all",".",IF(AF1308="Value is given by the source",S1308,IF(AF1308="Value is calculated with prices",(IF(SUMIFS(Q:Q,A:A,A1308)&gt;0,SUMIFS(Q:Q,A:A,A1308),"."))/VLOOKUP("USD",'Exchange Rates'!B:C,2,0),"Error with coding"))),"")</f>
        <v>263859204.72835696</v>
      </c>
      <c r="U1308" s="1184" t="s">
        <v>365</v>
      </c>
      <c r="V1308" s="1017" t="s">
        <v>3570</v>
      </c>
      <c r="W1308" s="986" t="s">
        <v>364</v>
      </c>
      <c r="X1308" s="986" t="s">
        <v>364</v>
      </c>
      <c r="Y1308" s="981" t="s">
        <v>364</v>
      </c>
      <c r="Z1308" s="1184">
        <v>0</v>
      </c>
      <c r="AA1308" s="1194">
        <v>0</v>
      </c>
      <c r="AB1308" s="1039" t="s">
        <v>3612</v>
      </c>
      <c r="AC1308" s="1192" t="str">
        <f>""</f>
        <v/>
      </c>
      <c r="AD1308" s="1193">
        <v>1</v>
      </c>
      <c r="AE1308" s="1193" t="s">
        <v>368</v>
      </c>
      <c r="AF1308" s="1193" t="s">
        <v>368</v>
      </c>
      <c r="AG1308" s="1193">
        <v>1</v>
      </c>
      <c r="AH1308" s="1193">
        <v>11</v>
      </c>
      <c r="AI1308" s="1193">
        <v>0</v>
      </c>
      <c r="AJ1308" s="1193">
        <f>VLOOKUP($I1308,'Price List, Weapons &amp; Items'!B:F,5,0)</f>
        <v>0</v>
      </c>
      <c r="AK1308" s="1193">
        <f t="shared" si="278"/>
        <v>0</v>
      </c>
      <c r="AL1308" s="1193">
        <f t="shared" si="279"/>
        <v>0</v>
      </c>
      <c r="AM1308" s="1193">
        <f t="shared" si="280"/>
        <v>0</v>
      </c>
      <c r="AN1308" s="1194" t="str">
        <f>VLOOKUP($I1308,'Price List, Weapons &amp; Items'!B:L,COLUMN('Price List, Weapons &amp; Items'!$J$11)-1,0)</f>
        <v>.</v>
      </c>
      <c r="AO1308" s="1194" t="str">
        <f>IF(I1308=".",".",VLOOKUP($I1308,'Price List, Weapons &amp; Items'!B:J,3,0))</f>
        <v>.</v>
      </c>
      <c r="AP1308" s="1195" t="str">
        <f t="shared" ca="1" si="274"/>
        <v>.</v>
      </c>
      <c r="AQ1308" s="1194">
        <f>VLOOKUP($I1308,'Price List, Weapons &amp; Items'!B:L,COLUMN('Price List, Weapons &amp; Items'!$L$11)-1,0)</f>
        <v>0</v>
      </c>
      <c r="AR1308" s="1194">
        <f t="shared" si="281"/>
        <v>1</v>
      </c>
      <c r="AS1308" s="1194">
        <f t="shared" si="282"/>
        <v>1</v>
      </c>
      <c r="AT1308" s="1194">
        <f t="shared" si="283"/>
        <v>1</v>
      </c>
      <c r="AU1308" s="1194" t="str">
        <f t="shared" si="272"/>
        <v>.</v>
      </c>
      <c r="AV1308" s="1194" t="str">
        <f t="shared" si="275"/>
        <v>.</v>
      </c>
      <c r="AW1308" s="1194" t="str">
        <f t="shared" si="284"/>
        <v>.</v>
      </c>
      <c r="AX1308" s="1194">
        <f>IFERROR(VLOOKUP(B1308,'Share, Heavy Weapons to Ukraine'!B:Z,COLUMN('Share, Heavy Weapons to Ukraine'!C1320)-1,0),0)</f>
        <v>0</v>
      </c>
      <c r="AY1308" s="1194">
        <f>VLOOKUP('Bilateral Assistance, MAIN DATA'!B1308,'Country Summary (€)'!B:F,COLUMN('Country Summary (€)'!C1321)-1,FALSE)</f>
        <v>1</v>
      </c>
      <c r="AZ1308" s="1194" t="str">
        <f>IF(AND(AD1308=1,D1308="Military",H1308&lt;&gt;"Not given")=TRUE,IF(SUMIFS(P:P,A:A,A1308)&gt;0,ABS((SUMIFS(P:P,A:A,A1308)/VLOOKUP("USD",'Exchange Rates'!B:C,2,0)))/S1308,"."),".")</f>
        <v>.</v>
      </c>
      <c r="BA1308" s="1196" t="str">
        <f>IF(AND(AD1308=1,D1308="Military",H1308&lt;&gt;"Not given")=TRUE,IF(SUMIFS(P:P,A:A,A1308)&gt;0,IF((ABS((SUMIFS(P:P,A:A,A1308)/VLOOKUP("USD",'Exchange Rates'!B:C,2,0)))/S1308)&gt;1,(SUMIFS(P:P,A:A,A1308)-S1308)/S1308,(S1308-SUMIFS(P:P,A:A,A1308))/SUMIFS(P:P,A:A,A1308)),"."),".")</f>
        <v>.</v>
      </c>
    </row>
    <row r="1309" spans="1:71" ht="15.95" customHeight="1">
      <c r="A1309" s="1180" t="s">
        <v>3613</v>
      </c>
      <c r="B1309" s="1208" t="s">
        <v>3548</v>
      </c>
      <c r="C1309" s="1209">
        <v>44945</v>
      </c>
      <c r="D1309" s="1208" t="s">
        <v>389</v>
      </c>
      <c r="E1309" s="1208" t="s">
        <v>443</v>
      </c>
      <c r="F1309" s="1208" t="s">
        <v>3614</v>
      </c>
      <c r="G1309" s="1184" t="s">
        <v>3554</v>
      </c>
      <c r="H1309" s="1210">
        <v>4300000000</v>
      </c>
      <c r="I1309" s="1208" t="s">
        <v>3615</v>
      </c>
      <c r="J1309" s="1186" t="str">
        <f>VLOOKUP($I1309,'Price List, Weapons &amp; Items'!B:C,2,0)</f>
        <v>Heavy weapon</v>
      </c>
      <c r="K1309" s="1186" t="str">
        <f>IF(I1309=".",I1309,VLOOKUP($I1309,'Price List, Weapons &amp; Items'!B:D,3,0))</f>
        <v>Infantry fighting vehicle (IFV)</v>
      </c>
      <c r="L1309" s="1187">
        <f>VLOOKUP(I1309,'Price List, Weapons &amp; Items'!B:E,4,0)</f>
        <v>0</v>
      </c>
      <c r="M1309" s="1241">
        <v>50</v>
      </c>
      <c r="N1309" s="1211" t="s">
        <v>374</v>
      </c>
      <c r="O1309" s="1188">
        <f>VLOOKUP($I1309,'Price List, Weapons &amp; Items'!B:G,6,0)</f>
        <v>6822368</v>
      </c>
      <c r="P1309" s="1185">
        <f t="shared" si="276"/>
        <v>341118400</v>
      </c>
      <c r="Q1309" s="1185" t="str">
        <f t="shared" si="277"/>
        <v>.</v>
      </c>
      <c r="R1309" s="1185">
        <f t="shared" si="273"/>
        <v>4300000000</v>
      </c>
      <c r="S1309" s="1185">
        <f>IF(AND(AD1309=1,R1309&lt;&gt;".")=TRUE,R1309/VLOOKUP(G1309,'Exchange Rates'!B:C,2,0),IF(R1309=".",".",""))</f>
        <v>378198193.44397831</v>
      </c>
      <c r="T1309" s="1185" t="str">
        <f>IF(AD1309=1,IF(AF1309="Value is not given at all",".",IF(AF1309="Value is given by the source",S1309,IF(AF1309="Value is calculated with prices",(IF(SUMIFS(Q:Q,A:A,A1309)&gt;0,SUMIFS(Q:Q,A:A,A1309),"."))/VLOOKUP("USD",'Exchange Rates'!B:C,2,0),"Error with coding"))),"")</f>
        <v>.</v>
      </c>
      <c r="U1309" s="1191" t="s">
        <v>365</v>
      </c>
      <c r="V1309" s="983" t="s">
        <v>3616</v>
      </c>
      <c r="W1309" s="983" t="s">
        <v>3617</v>
      </c>
      <c r="X1309" s="983" t="s">
        <v>3574</v>
      </c>
      <c r="Y1309" s="1208" t="s">
        <v>364</v>
      </c>
      <c r="Z1309" s="1191">
        <v>0</v>
      </c>
      <c r="AA1309" s="1191">
        <v>1</v>
      </c>
      <c r="AB1309" s="1298" t="s">
        <v>364</v>
      </c>
      <c r="AC1309" s="1192" t="str">
        <f>""</f>
        <v/>
      </c>
      <c r="AD1309" s="1191">
        <v>1</v>
      </c>
      <c r="AE1309" s="1191" t="s">
        <v>368</v>
      </c>
      <c r="AF1309" s="1191" t="s">
        <v>369</v>
      </c>
      <c r="AG1309" s="1191">
        <v>1</v>
      </c>
      <c r="AH1309" s="1191">
        <v>13</v>
      </c>
      <c r="AI1309" s="1191">
        <v>0</v>
      </c>
      <c r="AJ1309" s="1193">
        <f>VLOOKUP($I1309,'Price List, Weapons &amp; Items'!B:F,5,0)</f>
        <v>1</v>
      </c>
      <c r="AK1309" s="1193">
        <f t="shared" si="278"/>
        <v>0</v>
      </c>
      <c r="AL1309" s="1193">
        <f t="shared" si="279"/>
        <v>1</v>
      </c>
      <c r="AM1309" s="1193">
        <f t="shared" si="280"/>
        <v>0</v>
      </c>
      <c r="AN1309" s="1194" t="str">
        <f>VLOOKUP($I1309,'Price List, Weapons &amp; Items'!B:L,COLUMN('Price List, Weapons &amp; Items'!$J$11)-1,0)</f>
        <v>Media reports (incl. Social media)</v>
      </c>
      <c r="AO1309" s="1194" t="str">
        <f>IF(I1309=".",".",VLOOKUP($I1309,'Price List, Weapons &amp; Items'!B:J,3,0))</f>
        <v>Infantry fighting vehicle (IFV)</v>
      </c>
      <c r="AP1309" s="1195" t="str">
        <f t="shared" ca="1" si="274"/>
        <v>CV90 combat vehicle</v>
      </c>
      <c r="AQ1309" s="1194">
        <f>VLOOKUP($I1309,'Price List, Weapons &amp; Items'!B:L,COLUMN('Price List, Weapons &amp; Items'!$L$11)-1,0)</f>
        <v>0</v>
      </c>
      <c r="AR1309" s="1194">
        <f t="shared" si="281"/>
        <v>1</v>
      </c>
      <c r="AS1309" s="1194">
        <f t="shared" si="282"/>
        <v>1</v>
      </c>
      <c r="AT1309" s="1194">
        <f t="shared" si="283"/>
        <v>1</v>
      </c>
      <c r="AU1309" s="1194" t="str">
        <f t="shared" si="272"/>
        <v>.</v>
      </c>
      <c r="AV1309" s="1194" t="str">
        <f t="shared" si="275"/>
        <v>.</v>
      </c>
      <c r="AW1309" s="1194" t="str">
        <f t="shared" si="284"/>
        <v>.</v>
      </c>
      <c r="AX1309" s="1194">
        <f>IFERROR(VLOOKUP(B1309,'Share, Heavy Weapons to Ukraine'!B:Z,COLUMN('Share, Heavy Weapons to Ukraine'!C1321)-1,0),0)</f>
        <v>0</v>
      </c>
      <c r="AY1309" s="1194">
        <f>VLOOKUP('Bilateral Assistance, MAIN DATA'!B1309,'Country Summary (€)'!B:F,COLUMN('Country Summary (€)'!C1322)-1,FALSE)</f>
        <v>1</v>
      </c>
      <c r="AZ1309" s="1194">
        <f>IF(AND(AD1309=1,D1309="Military",H1309&lt;&gt;"Not given")=TRUE,IF(SUMIFS(P:P,A:A,A1309)&gt;0,ABS((SUMIFS(P:P,A:A,A1309)/VLOOKUP("USD",'Exchange Rates'!B:C,2,0)))/S1309,"."),".")</f>
        <v>0.82991968580256958</v>
      </c>
      <c r="BA1309" s="1196">
        <f>IF(AND(AD1309=1,D1309="Military",H1309&lt;&gt;"Not given")=TRUE,IF(SUMIFS(P:P,A:A,A1309)&gt;0,IF((ABS((SUMIFS(P:P,A:A,A1309)/VLOOKUP("USD",'Exchange Rates'!B:C,2,0)))/S1309)&gt;1,(SUMIFS(P:P,A:A,A1309)-S1309)/S1309,(S1309-SUMIFS(P:P,A:A,A1309))/SUMIFS(P:P,A:A,A1309)),"."),".")</f>
        <v>0.10870065479897394</v>
      </c>
      <c r="BB1309" s="1208" t="s">
        <v>38</v>
      </c>
      <c r="BC1309" s="1208" t="s">
        <v>38</v>
      </c>
      <c r="BD1309" s="1208" t="s">
        <v>38</v>
      </c>
      <c r="BE1309" s="1208" t="s">
        <v>38</v>
      </c>
      <c r="BF1309" s="1208" t="s">
        <v>38</v>
      </c>
      <c r="BG1309" s="1208" t="s">
        <v>38</v>
      </c>
      <c r="BH1309" s="1208" t="s">
        <v>38</v>
      </c>
      <c r="BI1309" s="1208" t="s">
        <v>38</v>
      </c>
      <c r="BJ1309" s="1208" t="s">
        <v>38</v>
      </c>
      <c r="BK1309" s="1208" t="s">
        <v>38</v>
      </c>
      <c r="BL1309" s="1208" t="s">
        <v>38</v>
      </c>
      <c r="BM1309" s="1208" t="s">
        <v>38</v>
      </c>
      <c r="BN1309" s="1208" t="s">
        <v>38</v>
      </c>
      <c r="BO1309" s="1208" t="s">
        <v>38</v>
      </c>
      <c r="BP1309" s="1208" t="s">
        <v>38</v>
      </c>
      <c r="BQ1309" s="1208" t="s">
        <v>38</v>
      </c>
      <c r="BR1309" s="1208" t="s">
        <v>38</v>
      </c>
      <c r="BS1309" s="1208" t="s">
        <v>38</v>
      </c>
    </row>
    <row r="1310" spans="1:71" ht="15.95" customHeight="1">
      <c r="A1310" s="1180" t="s">
        <v>3613</v>
      </c>
      <c r="B1310" s="1208" t="s">
        <v>3548</v>
      </c>
      <c r="C1310" s="1209">
        <v>44945</v>
      </c>
      <c r="D1310" s="1208" t="s">
        <v>389</v>
      </c>
      <c r="E1310" s="1208" t="s">
        <v>443</v>
      </c>
      <c r="F1310" s="1208" t="s">
        <v>3614</v>
      </c>
      <c r="G1310" s="1184" t="s">
        <v>3554</v>
      </c>
      <c r="H1310" s="1210">
        <v>4300000000</v>
      </c>
      <c r="I1310" s="1208" t="s">
        <v>804</v>
      </c>
      <c r="J1310" s="1186" t="str">
        <f>VLOOKUP($I1310,'Price List, Weapons &amp; Items'!B:C,2,0)</f>
        <v>Light armaments &amp; infantry</v>
      </c>
      <c r="K1310" s="1186" t="str">
        <f>IF(I1310=".",I1310,VLOOKUP($I1310,'Price List, Weapons &amp; Items'!B:D,3,0))</f>
        <v>Recoilless rifle (RR/RCL)</v>
      </c>
      <c r="L1310" s="1187">
        <f>VLOOKUP(I1310,'Price List, Weapons &amp; Items'!B:E,4,0)</f>
        <v>0</v>
      </c>
      <c r="M1310" s="1241" t="s">
        <v>374</v>
      </c>
      <c r="N1310" s="1211" t="s">
        <v>374</v>
      </c>
      <c r="O1310" s="1188">
        <f>VLOOKUP($I1310,'Price List, Weapons &amp; Items'!B:G,6,0)</f>
        <v>38334.53182718272</v>
      </c>
      <c r="P1310" s="1185" t="str">
        <f t="shared" si="276"/>
        <v>.</v>
      </c>
      <c r="Q1310" s="1185" t="str">
        <f t="shared" si="277"/>
        <v>.</v>
      </c>
      <c r="R1310" s="1185" t="str">
        <f t="shared" si="273"/>
        <v/>
      </c>
      <c r="S1310" s="1185" t="str">
        <f>IF(AND(AD1310=1,R1310&lt;&gt;".")=TRUE,R1310/VLOOKUP(G1310,'Exchange Rates'!B:C,2,0),IF(R1310=".",".",""))</f>
        <v/>
      </c>
      <c r="T1310" s="1185" t="str">
        <f>IF(AD1310=1,IF(AF1310="Value is not given at all",".",IF(AF1310="Value is given by the source",S1310,IF(AF1310="Value is calculated with prices",(IF(SUMIFS(Q:Q,A:A,A1310)&gt;0,SUMIFS(Q:Q,A:A,A1310),"."))/VLOOKUP("USD",'Exchange Rates'!B:C,2,0),"Error with coding"))),"")</f>
        <v/>
      </c>
      <c r="U1310" s="1191" t="s">
        <v>365</v>
      </c>
      <c r="V1310" s="983" t="s">
        <v>3616</v>
      </c>
      <c r="W1310" s="983" t="s">
        <v>3617</v>
      </c>
      <c r="X1310" s="983" t="s">
        <v>3555</v>
      </c>
      <c r="Y1310" s="1208" t="s">
        <v>364</v>
      </c>
      <c r="Z1310" s="1191">
        <v>0</v>
      </c>
      <c r="AA1310" s="1191">
        <v>1</v>
      </c>
      <c r="AB1310" s="1298" t="s">
        <v>364</v>
      </c>
      <c r="AC1310" s="1192" t="str">
        <f>""</f>
        <v/>
      </c>
      <c r="AD1310" s="1191">
        <v>0</v>
      </c>
      <c r="AE1310" s="1191" t="s">
        <v>368</v>
      </c>
      <c r="AF1310" s="1191" t="s">
        <v>369</v>
      </c>
      <c r="AG1310" s="1191">
        <v>1</v>
      </c>
      <c r="AH1310" s="1191">
        <v>13</v>
      </c>
      <c r="AI1310" s="1191">
        <v>0</v>
      </c>
      <c r="AJ1310" s="1193">
        <f>VLOOKUP($I1310,'Price List, Weapons &amp; Items'!B:F,5,0)</f>
        <v>0</v>
      </c>
      <c r="AK1310" s="1193">
        <f t="shared" si="278"/>
        <v>0</v>
      </c>
      <c r="AL1310" s="1193">
        <f t="shared" si="279"/>
        <v>0</v>
      </c>
      <c r="AM1310" s="1193">
        <f t="shared" si="280"/>
        <v>0</v>
      </c>
      <c r="AN1310" s="1194" t="str">
        <f>VLOOKUP($I1310,'Price List, Weapons &amp; Items'!B:L,COLUMN('Price List, Weapons &amp; Items'!$J$11)-1,0)</f>
        <v>Military media (incl. websites)</v>
      </c>
      <c r="AO1310" s="1194" t="str">
        <f>IF(I1310=".",".",VLOOKUP($I1310,'Price List, Weapons &amp; Items'!B:J,3,0))</f>
        <v>Recoilless rifle (RR/RCL)</v>
      </c>
      <c r="AP1310" s="1195" t="str">
        <f t="shared" ca="1" si="274"/>
        <v/>
      </c>
      <c r="AQ1310" s="1194">
        <f>VLOOKUP($I1310,'Price List, Weapons &amp; Items'!B:L,COLUMN('Price List, Weapons &amp; Items'!$L$11)-1,0)</f>
        <v>2</v>
      </c>
      <c r="AR1310" s="1194">
        <f t="shared" si="281"/>
        <v>1</v>
      </c>
      <c r="AS1310" s="1194">
        <f t="shared" si="282"/>
        <v>1</v>
      </c>
      <c r="AT1310" s="1194">
        <f t="shared" si="283"/>
        <v>1</v>
      </c>
      <c r="AU1310" s="1194" t="str">
        <f t="shared" si="272"/>
        <v>.</v>
      </c>
      <c r="AV1310" s="1194" t="str">
        <f t="shared" si="275"/>
        <v>.</v>
      </c>
      <c r="AW1310" s="1194" t="str">
        <f t="shared" si="284"/>
        <v>.</v>
      </c>
      <c r="AX1310" s="1194">
        <f>IFERROR(VLOOKUP(B1310,'Share, Heavy Weapons to Ukraine'!B:Z,COLUMN('Share, Heavy Weapons to Ukraine'!C1322)-1,0),0)</f>
        <v>0</v>
      </c>
      <c r="AY1310" s="1194">
        <f>VLOOKUP('Bilateral Assistance, MAIN DATA'!B1310,'Country Summary (€)'!B:F,COLUMN('Country Summary (€)'!C1323)-1,FALSE)</f>
        <v>1</v>
      </c>
      <c r="AZ1310" s="1194" t="str">
        <f>IF(AND(AD1310=1,D1310="Military",H1310&lt;&gt;"Not given")=TRUE,IF(SUMIFS(P:P,A:A,A1310)&gt;0,ABS((SUMIFS(P:P,A:A,A1310)/VLOOKUP("USD",'Exchange Rates'!B:C,2,0)))/S1310,"."),".")</f>
        <v>.</v>
      </c>
      <c r="BA1310" s="1196" t="str">
        <f>IF(AND(AD1310=1,D1310="Military",H1310&lt;&gt;"Not given")=TRUE,IF(SUMIFS(P:P,A:A,A1310)&gt;0,IF((ABS((SUMIFS(P:P,A:A,A1310)/VLOOKUP("USD",'Exchange Rates'!B:C,2,0)))/S1310)&gt;1,(SUMIFS(P:P,A:A,A1310)-S1310)/S1310,(S1310-SUMIFS(P:P,A:A,A1310))/SUMIFS(P:P,A:A,A1310)),"."),".")</f>
        <v>.</v>
      </c>
      <c r="BB1310" s="1208" t="s">
        <v>38</v>
      </c>
      <c r="BC1310" s="1208" t="s">
        <v>38</v>
      </c>
      <c r="BD1310" s="1208" t="s">
        <v>38</v>
      </c>
      <c r="BE1310" s="1208" t="s">
        <v>38</v>
      </c>
      <c r="BF1310" s="1208" t="s">
        <v>38</v>
      </c>
      <c r="BG1310" s="1208" t="s">
        <v>38</v>
      </c>
      <c r="BH1310" s="1208" t="s">
        <v>38</v>
      </c>
      <c r="BI1310" s="1208" t="s">
        <v>38</v>
      </c>
      <c r="BJ1310" s="1208" t="s">
        <v>38</v>
      </c>
      <c r="BK1310" s="1208" t="s">
        <v>38</v>
      </c>
      <c r="BL1310" s="1208" t="s">
        <v>38</v>
      </c>
      <c r="BM1310" s="1208" t="s">
        <v>38</v>
      </c>
      <c r="BN1310" s="1208" t="s">
        <v>38</v>
      </c>
      <c r="BO1310" s="1208" t="s">
        <v>38</v>
      </c>
      <c r="BP1310" s="1208" t="s">
        <v>38</v>
      </c>
      <c r="BQ1310" s="1208" t="s">
        <v>38</v>
      </c>
      <c r="BR1310" s="1208" t="s">
        <v>38</v>
      </c>
      <c r="BS1310" s="1208" t="s">
        <v>38</v>
      </c>
    </row>
    <row r="1311" spans="1:71" ht="15.95" customHeight="1">
      <c r="A1311" s="1180" t="s">
        <v>3613</v>
      </c>
      <c r="B1311" s="1208" t="s">
        <v>3548</v>
      </c>
      <c r="C1311" s="1209">
        <v>44945</v>
      </c>
      <c r="D1311" s="1208" t="s">
        <v>389</v>
      </c>
      <c r="E1311" s="1208" t="s">
        <v>443</v>
      </c>
      <c r="F1311" s="1208" t="s">
        <v>3614</v>
      </c>
      <c r="G1311" s="1184" t="s">
        <v>3554</v>
      </c>
      <c r="H1311" s="1210">
        <v>4300000000</v>
      </c>
      <c r="I1311" s="1208" t="s">
        <v>3584</v>
      </c>
      <c r="J1311" s="1186" t="str">
        <f>VLOOKUP($I1311,'Price List, Weapons &amp; Items'!B:C,2,0)</f>
        <v>Portable defence system</v>
      </c>
      <c r="K1311" s="1186" t="str">
        <f>IF(I1311=".",I1311,VLOOKUP($I1311,'Price List, Weapons &amp; Items'!B:D,3,0))</f>
        <v>MANPADS</v>
      </c>
      <c r="L1311" s="1187">
        <f>VLOOKUP(I1311,'Price List, Weapons &amp; Items'!B:E,4,0)</f>
        <v>0</v>
      </c>
      <c r="M1311" s="1241" t="s">
        <v>374</v>
      </c>
      <c r="N1311" s="1211" t="s">
        <v>374</v>
      </c>
      <c r="O1311" s="1188">
        <f>VLOOKUP($I1311,'Price List, Weapons &amp; Items'!B:G,6,0)</f>
        <v>1480.64</v>
      </c>
      <c r="P1311" s="1185" t="str">
        <f t="shared" si="276"/>
        <v>.</v>
      </c>
      <c r="Q1311" s="1185" t="str">
        <f t="shared" si="277"/>
        <v>.</v>
      </c>
      <c r="R1311" s="1185" t="str">
        <f t="shared" si="273"/>
        <v/>
      </c>
      <c r="S1311" s="1185" t="str">
        <f>IF(AND(AD1311=1,R1311&lt;&gt;".")=TRUE,R1311/VLOOKUP(G1311,'Exchange Rates'!B:C,2,0),IF(R1311=".",".",""))</f>
        <v/>
      </c>
      <c r="T1311" s="1185" t="str">
        <f>IF(AD1311=1,IF(AF1311="Value is not given at all",".",IF(AF1311="Value is given by the source",S1311,IF(AF1311="Value is calculated with prices",(IF(SUMIFS(Q:Q,A:A,A1311)&gt;0,SUMIFS(Q:Q,A:A,A1311),"."))/VLOOKUP("USD",'Exchange Rates'!B:C,2,0),"Error with coding"))),"")</f>
        <v/>
      </c>
      <c r="U1311" s="1191" t="s">
        <v>365</v>
      </c>
      <c r="V1311" s="983" t="s">
        <v>3616</v>
      </c>
      <c r="W1311" s="983" t="s">
        <v>3617</v>
      </c>
      <c r="X1311" s="983" t="s">
        <v>3618</v>
      </c>
      <c r="Y1311" s="1208" t="s">
        <v>364</v>
      </c>
      <c r="Z1311" s="1191">
        <v>0</v>
      </c>
      <c r="AA1311" s="1191">
        <v>1</v>
      </c>
      <c r="AB1311" s="1298" t="s">
        <v>364</v>
      </c>
      <c r="AC1311" s="1192" t="str">
        <f>""</f>
        <v/>
      </c>
      <c r="AD1311" s="1191">
        <v>0</v>
      </c>
      <c r="AE1311" s="1191" t="s">
        <v>368</v>
      </c>
      <c r="AF1311" s="1191" t="s">
        <v>369</v>
      </c>
      <c r="AG1311" s="1191">
        <v>1</v>
      </c>
      <c r="AH1311" s="1191">
        <v>13</v>
      </c>
      <c r="AI1311" s="1191">
        <v>0</v>
      </c>
      <c r="AJ1311" s="1193">
        <f>VLOOKUP($I1311,'Price List, Weapons &amp; Items'!B:F,5,0)</f>
        <v>0</v>
      </c>
      <c r="AK1311" s="1193">
        <f t="shared" si="278"/>
        <v>0</v>
      </c>
      <c r="AL1311" s="1193">
        <f t="shared" si="279"/>
        <v>0</v>
      </c>
      <c r="AM1311" s="1193">
        <f t="shared" si="280"/>
        <v>0</v>
      </c>
      <c r="AN1311" s="1194" t="str">
        <f>VLOOKUP($I1311,'Price List, Weapons &amp; Items'!B:L,COLUMN('Price List, Weapons &amp; Items'!$J$11)-1,0)</f>
        <v>Military media (incl. websites)</v>
      </c>
      <c r="AO1311" s="1194" t="str">
        <f>IF(I1311=".",".",VLOOKUP($I1311,'Price List, Weapons &amp; Items'!B:J,3,0))</f>
        <v>MANPADS</v>
      </c>
      <c r="AP1311" s="1195" t="str">
        <f t="shared" ca="1" si="274"/>
        <v/>
      </c>
      <c r="AQ1311" s="1194">
        <f>VLOOKUP($I1311,'Price List, Weapons &amp; Items'!B:L,COLUMN('Price List, Weapons &amp; Items'!$L$11)-1,0)</f>
        <v>2</v>
      </c>
      <c r="AR1311" s="1194">
        <f t="shared" si="281"/>
        <v>1</v>
      </c>
      <c r="AS1311" s="1194">
        <f t="shared" si="282"/>
        <v>1</v>
      </c>
      <c r="AT1311" s="1194">
        <f t="shared" si="283"/>
        <v>1</v>
      </c>
      <c r="AU1311" s="1194" t="str">
        <f t="shared" ref="AU1311:AU1374" si="285">IF(AND(A1311=A1310,C1311=C1310)=TRUE,IF(F1311=F1310,".","1"),".")</f>
        <v>.</v>
      </c>
      <c r="AV1311" s="1194" t="str">
        <f t="shared" si="275"/>
        <v>.</v>
      </c>
      <c r="AW1311" s="1194" t="str">
        <f t="shared" si="284"/>
        <v>.</v>
      </c>
      <c r="AX1311" s="1194">
        <f>IFERROR(VLOOKUP(B1311,'Share, Heavy Weapons to Ukraine'!B:Z,COLUMN('Share, Heavy Weapons to Ukraine'!C1323)-1,0),0)</f>
        <v>0</v>
      </c>
      <c r="AY1311" s="1194">
        <f>VLOOKUP('Bilateral Assistance, MAIN DATA'!B1311,'Country Summary (€)'!B:F,COLUMN('Country Summary (€)'!C1324)-1,FALSE)</f>
        <v>1</v>
      </c>
      <c r="AZ1311" s="1194" t="str">
        <f>IF(AND(AD1311=1,D1311="Military",H1311&lt;&gt;"Not given")=TRUE,IF(SUMIFS(P:P,A:A,A1311)&gt;0,ABS((SUMIFS(P:P,A:A,A1311)/VLOOKUP("USD",'Exchange Rates'!B:C,2,0)))/S1311,"."),".")</f>
        <v>.</v>
      </c>
      <c r="BA1311" s="1196" t="str">
        <f>IF(AND(AD1311=1,D1311="Military",H1311&lt;&gt;"Not given")=TRUE,IF(SUMIFS(P:P,A:A,A1311)&gt;0,IF((ABS((SUMIFS(P:P,A:A,A1311)/VLOOKUP("USD",'Exchange Rates'!B:C,2,0)))/S1311)&gt;1,(SUMIFS(P:P,A:A,A1311)-S1311)/S1311,(S1311-SUMIFS(P:P,A:A,A1311))/SUMIFS(P:P,A:A,A1311)),"."),".")</f>
        <v>.</v>
      </c>
      <c r="BB1311" s="1208" t="s">
        <v>38</v>
      </c>
      <c r="BC1311" s="1208" t="s">
        <v>38</v>
      </c>
      <c r="BD1311" s="1208" t="s">
        <v>38</v>
      </c>
      <c r="BE1311" s="1208" t="s">
        <v>38</v>
      </c>
      <c r="BF1311" s="1208" t="s">
        <v>38</v>
      </c>
      <c r="BG1311" s="1208" t="s">
        <v>38</v>
      </c>
      <c r="BH1311" s="1208" t="s">
        <v>38</v>
      </c>
      <c r="BI1311" s="1208" t="s">
        <v>38</v>
      </c>
      <c r="BJ1311" s="1208" t="s">
        <v>38</v>
      </c>
      <c r="BK1311" s="1208" t="s">
        <v>38</v>
      </c>
      <c r="BL1311" s="1208" t="s">
        <v>38</v>
      </c>
      <c r="BM1311" s="1208" t="s">
        <v>38</v>
      </c>
      <c r="BN1311" s="1208" t="s">
        <v>38</v>
      </c>
      <c r="BO1311" s="1208" t="s">
        <v>38</v>
      </c>
      <c r="BP1311" s="1208" t="s">
        <v>38</v>
      </c>
      <c r="BQ1311" s="1208" t="s">
        <v>38</v>
      </c>
      <c r="BR1311" s="1208" t="s">
        <v>38</v>
      </c>
      <c r="BS1311" s="1208" t="s">
        <v>38</v>
      </c>
    </row>
    <row r="1312" spans="1:71" ht="15.95" customHeight="1">
      <c r="A1312" s="1180" t="s">
        <v>3613</v>
      </c>
      <c r="B1312" s="1208" t="s">
        <v>3548</v>
      </c>
      <c r="C1312" s="1209">
        <v>44945</v>
      </c>
      <c r="D1312" s="1208" t="s">
        <v>389</v>
      </c>
      <c r="E1312" s="1208" t="s">
        <v>443</v>
      </c>
      <c r="F1312" s="1208" t="s">
        <v>3614</v>
      </c>
      <c r="G1312" s="1184" t="s">
        <v>3554</v>
      </c>
      <c r="H1312" s="1210">
        <v>4300000000</v>
      </c>
      <c r="I1312" s="1208" t="s">
        <v>3619</v>
      </c>
      <c r="J1312" s="1186" t="str">
        <f>VLOOKUP($I1312,'Price List, Weapons &amp; Items'!B:C,2,0)</f>
        <v>Portable defence system</v>
      </c>
      <c r="K1312" s="1186" t="str">
        <f>IF(I1312=".",I1312,VLOOKUP($I1312,'Price List, Weapons &amp; Items'!B:D,3,0))</f>
        <v>Light Anti-armor Weapon (LAW)</v>
      </c>
      <c r="L1312" s="1187">
        <f>VLOOKUP(I1312,'Price List, Weapons &amp; Items'!B:E,4,0)</f>
        <v>0</v>
      </c>
      <c r="M1312" s="1241" t="s">
        <v>374</v>
      </c>
      <c r="N1312" s="1211" t="s">
        <v>374</v>
      </c>
      <c r="O1312" s="1188">
        <f>VLOOKUP($I1312,'Price List, Weapons &amp; Items'!B:G,6,0)</f>
        <v>31500</v>
      </c>
      <c r="P1312" s="1185" t="str">
        <f t="shared" si="276"/>
        <v>.</v>
      </c>
      <c r="Q1312" s="1185" t="str">
        <f t="shared" si="277"/>
        <v>.</v>
      </c>
      <c r="R1312" s="1185" t="str">
        <f t="shared" si="273"/>
        <v/>
      </c>
      <c r="S1312" s="1185" t="str">
        <f>IF(AND(AD1312=1,R1312&lt;&gt;".")=TRUE,R1312/VLOOKUP(G1312,'Exchange Rates'!B:C,2,0),IF(R1312=".",".",""))</f>
        <v/>
      </c>
      <c r="T1312" s="1185" t="str">
        <f>IF(AD1312=1,IF(AF1312="Value is not given at all",".",IF(AF1312="Value is given by the source",S1312,IF(AF1312="Value is calculated with prices",(IF(SUMIFS(Q:Q,A:A,A1312)&gt;0,SUMIFS(Q:Q,A:A,A1312),"."))/VLOOKUP("USD",'Exchange Rates'!B:C,2,0),"Error with coding"))),"")</f>
        <v/>
      </c>
      <c r="U1312" s="1191" t="s">
        <v>365</v>
      </c>
      <c r="V1312" s="983" t="s">
        <v>3616</v>
      </c>
      <c r="W1312" s="983" t="s">
        <v>3617</v>
      </c>
      <c r="X1312" s="983" t="s">
        <v>3620</v>
      </c>
      <c r="Y1312" s="1208" t="s">
        <v>364</v>
      </c>
      <c r="Z1312" s="1191">
        <v>0</v>
      </c>
      <c r="AA1312" s="1191">
        <v>1</v>
      </c>
      <c r="AB1312" s="1298" t="s">
        <v>364</v>
      </c>
      <c r="AC1312" s="1192" t="str">
        <f>""</f>
        <v/>
      </c>
      <c r="AD1312" s="1191">
        <v>0</v>
      </c>
      <c r="AE1312" s="1191" t="s">
        <v>368</v>
      </c>
      <c r="AF1312" s="1191" t="s">
        <v>369</v>
      </c>
      <c r="AG1312" s="1191">
        <v>1</v>
      </c>
      <c r="AH1312" s="1191">
        <v>13</v>
      </c>
      <c r="AI1312" s="1191">
        <v>0</v>
      </c>
      <c r="AJ1312" s="1193">
        <f>VLOOKUP($I1312,'Price List, Weapons &amp; Items'!B:F,5,0)</f>
        <v>0</v>
      </c>
      <c r="AK1312" s="1193">
        <f t="shared" si="278"/>
        <v>0</v>
      </c>
      <c r="AL1312" s="1193">
        <f t="shared" si="279"/>
        <v>0</v>
      </c>
      <c r="AM1312" s="1193">
        <f t="shared" si="280"/>
        <v>0</v>
      </c>
      <c r="AN1312" s="1194" t="str">
        <f>VLOOKUP($I1312,'Price List, Weapons &amp; Items'!B:L,COLUMN('Price List, Weapons &amp; Items'!$J$11)-1,0)</f>
        <v>Contracts</v>
      </c>
      <c r="AO1312" s="1194" t="str">
        <f>IF(I1312=".",".",VLOOKUP($I1312,'Price List, Weapons &amp; Items'!B:J,3,0))</f>
        <v>Light Anti-armor Weapon (LAW)</v>
      </c>
      <c r="AP1312" s="1195" t="str">
        <f t="shared" ca="1" si="274"/>
        <v/>
      </c>
      <c r="AQ1312" s="1194">
        <f>VLOOKUP($I1312,'Price List, Weapons &amp; Items'!B:L,COLUMN('Price List, Weapons &amp; Items'!$L$11)-1,0)</f>
        <v>0</v>
      </c>
      <c r="AR1312" s="1194">
        <f t="shared" si="281"/>
        <v>1</v>
      </c>
      <c r="AS1312" s="1194">
        <f t="shared" si="282"/>
        <v>1</v>
      </c>
      <c r="AT1312" s="1194">
        <f t="shared" si="283"/>
        <v>1</v>
      </c>
      <c r="AU1312" s="1194" t="str">
        <f t="shared" si="285"/>
        <v>.</v>
      </c>
      <c r="AV1312" s="1194" t="str">
        <f t="shared" si="275"/>
        <v>.</v>
      </c>
      <c r="AW1312" s="1194" t="str">
        <f t="shared" si="284"/>
        <v>.</v>
      </c>
      <c r="AX1312" s="1194">
        <f>IFERROR(VLOOKUP(B1312,'Share, Heavy Weapons to Ukraine'!B:Z,COLUMN('Share, Heavy Weapons to Ukraine'!C1324)-1,0),0)</f>
        <v>0</v>
      </c>
      <c r="AY1312" s="1194">
        <f>VLOOKUP('Bilateral Assistance, MAIN DATA'!B1312,'Country Summary (€)'!B:F,COLUMN('Country Summary (€)'!C1325)-1,FALSE)</f>
        <v>1</v>
      </c>
      <c r="AZ1312" s="1194" t="str">
        <f>IF(AND(AD1312=1,D1312="Military",H1312&lt;&gt;"Not given")=TRUE,IF(SUMIFS(P:P,A:A,A1312)&gt;0,ABS((SUMIFS(P:P,A:A,A1312)/VLOOKUP("USD",'Exchange Rates'!B:C,2,0)))/S1312,"."),".")</f>
        <v>.</v>
      </c>
      <c r="BA1312" s="1196" t="str">
        <f>IF(AND(AD1312=1,D1312="Military",H1312&lt;&gt;"Not given")=TRUE,IF(SUMIFS(P:P,A:A,A1312)&gt;0,IF((ABS((SUMIFS(P:P,A:A,A1312)/VLOOKUP("USD",'Exchange Rates'!B:C,2,0)))/S1312)&gt;1,(SUMIFS(P:P,A:A,A1312)-S1312)/S1312,(S1312-SUMIFS(P:P,A:A,A1312))/SUMIFS(P:P,A:A,A1312)),"."),".")</f>
        <v>.</v>
      </c>
      <c r="BB1312" s="1208" t="s">
        <v>38</v>
      </c>
      <c r="BC1312" s="1208" t="s">
        <v>38</v>
      </c>
      <c r="BD1312" s="1208" t="s">
        <v>38</v>
      </c>
      <c r="BE1312" s="1208" t="s">
        <v>38</v>
      </c>
      <c r="BF1312" s="1208" t="s">
        <v>38</v>
      </c>
      <c r="BG1312" s="1208" t="s">
        <v>38</v>
      </c>
      <c r="BH1312" s="1208" t="s">
        <v>38</v>
      </c>
      <c r="BI1312" s="1208" t="s">
        <v>38</v>
      </c>
      <c r="BJ1312" s="1208" t="s">
        <v>38</v>
      </c>
      <c r="BK1312" s="1208" t="s">
        <v>38</v>
      </c>
      <c r="BL1312" s="1208" t="s">
        <v>38</v>
      </c>
      <c r="BM1312" s="1208" t="s">
        <v>38</v>
      </c>
      <c r="BN1312" s="1208" t="s">
        <v>38</v>
      </c>
      <c r="BO1312" s="1208" t="s">
        <v>38</v>
      </c>
      <c r="BP1312" s="1208" t="s">
        <v>38</v>
      </c>
      <c r="BQ1312" s="1208" t="s">
        <v>38</v>
      </c>
      <c r="BR1312" s="1208" t="s">
        <v>38</v>
      </c>
      <c r="BS1312" s="1208" t="s">
        <v>38</v>
      </c>
    </row>
    <row r="1313" spans="1:71" ht="15.95" customHeight="1">
      <c r="A1313" s="1180" t="s">
        <v>3613</v>
      </c>
      <c r="B1313" s="1208" t="s">
        <v>3548</v>
      </c>
      <c r="C1313" s="1209">
        <v>44945</v>
      </c>
      <c r="D1313" s="1208" t="s">
        <v>389</v>
      </c>
      <c r="E1313" s="1208" t="s">
        <v>443</v>
      </c>
      <c r="F1313" s="1208" t="s">
        <v>3614</v>
      </c>
      <c r="G1313" s="1184" t="s">
        <v>3554</v>
      </c>
      <c r="H1313" s="1210">
        <v>4300000000</v>
      </c>
      <c r="I1313" s="1208" t="s">
        <v>847</v>
      </c>
      <c r="J1313" s="1186" t="str">
        <f>VLOOKUP($I1313,'Price List, Weapons &amp; Items'!B:C,2,0)</f>
        <v>Ammunition for light infantry</v>
      </c>
      <c r="K1313" s="1186" t="str">
        <f>IF(I1313=".",I1313,VLOOKUP($I1313,'Price List, Weapons &amp; Items'!B:D,3,0))</f>
        <v>Small Arms and Light Weapons (SALW) ammunition</v>
      </c>
      <c r="L1313" s="1187">
        <f>VLOOKUP(I1313,'Price List, Weapons &amp; Items'!B:E,4,0)</f>
        <v>0</v>
      </c>
      <c r="M1313" s="1241" t="s">
        <v>374</v>
      </c>
      <c r="N1313" s="1211" t="s">
        <v>374</v>
      </c>
      <c r="O1313" s="1188" t="str">
        <f>VLOOKUP($I1313,'Price List, Weapons &amp; Items'!B:G,6,0)</f>
        <v>.</v>
      </c>
      <c r="P1313" s="1185" t="str">
        <f t="shared" si="276"/>
        <v>.</v>
      </c>
      <c r="Q1313" s="1185" t="str">
        <f t="shared" si="277"/>
        <v>.</v>
      </c>
      <c r="R1313" s="1185" t="str">
        <f t="shared" si="273"/>
        <v/>
      </c>
      <c r="S1313" s="1185" t="str">
        <f>IF(AND(AD1313=1,R1313&lt;&gt;".")=TRUE,R1313/VLOOKUP(G1313,'Exchange Rates'!B:C,2,0),IF(R1313=".",".",""))</f>
        <v/>
      </c>
      <c r="T1313" s="1185" t="str">
        <f>IF(AD1313=1,IF(AF1313="Value is not given at all",".",IF(AF1313="Value is given by the source",S1313,IF(AF1313="Value is calculated with prices",(IF(SUMIFS(Q:Q,A:A,A1313)&gt;0,SUMIFS(Q:Q,A:A,A1313),"."))/VLOOKUP("USD",'Exchange Rates'!B:C,2,0),"Error with coding"))),"")</f>
        <v/>
      </c>
      <c r="U1313" s="1191" t="s">
        <v>365</v>
      </c>
      <c r="V1313" s="983" t="s">
        <v>3616</v>
      </c>
      <c r="W1313" s="983" t="s">
        <v>3617</v>
      </c>
      <c r="X1313" s="983" t="s">
        <v>3621</v>
      </c>
      <c r="Y1313" s="1208" t="s">
        <v>364</v>
      </c>
      <c r="Z1313" s="1191">
        <v>0</v>
      </c>
      <c r="AA1313" s="1191">
        <v>1</v>
      </c>
      <c r="AB1313" s="1298" t="s">
        <v>364</v>
      </c>
      <c r="AC1313" s="1192" t="str">
        <f>""</f>
        <v/>
      </c>
      <c r="AD1313" s="1191">
        <v>0</v>
      </c>
      <c r="AE1313" s="1191" t="s">
        <v>368</v>
      </c>
      <c r="AF1313" s="1191" t="s">
        <v>369</v>
      </c>
      <c r="AG1313" s="1191">
        <v>1</v>
      </c>
      <c r="AH1313" s="1191">
        <v>13</v>
      </c>
      <c r="AI1313" s="1191">
        <v>0</v>
      </c>
      <c r="AJ1313" s="1193">
        <f>VLOOKUP($I1313,'Price List, Weapons &amp; Items'!B:F,5,0)</f>
        <v>0</v>
      </c>
      <c r="AK1313" s="1193">
        <f t="shared" si="278"/>
        <v>0</v>
      </c>
      <c r="AL1313" s="1193">
        <f t="shared" si="279"/>
        <v>0</v>
      </c>
      <c r="AM1313" s="1193">
        <f t="shared" si="280"/>
        <v>1</v>
      </c>
      <c r="AN1313" s="1194" t="str">
        <f>VLOOKUP($I1313,'Price List, Weapons &amp; Items'!B:L,COLUMN('Price List, Weapons &amp; Items'!$J$11)-1,0)</f>
        <v>.</v>
      </c>
      <c r="AO1313" s="1194" t="str">
        <f>IF(I1313=".",".",VLOOKUP($I1313,'Price List, Weapons &amp; Items'!B:J,3,0))</f>
        <v>Small Arms and Light Weapons (SALW) ammunition</v>
      </c>
      <c r="AP1313" s="1195" t="str">
        <f t="shared" ca="1" si="274"/>
        <v/>
      </c>
      <c r="AQ1313" s="1194" t="str">
        <f>VLOOKUP($I1313,'Price List, Weapons &amp; Items'!B:L,COLUMN('Price List, Weapons &amp; Items'!$L$11)-1,0)</f>
        <v>no price, 0 count</v>
      </c>
      <c r="AR1313" s="1194">
        <f t="shared" si="281"/>
        <v>1</v>
      </c>
      <c r="AS1313" s="1194">
        <f t="shared" si="282"/>
        <v>1</v>
      </c>
      <c r="AT1313" s="1194">
        <f t="shared" si="283"/>
        <v>1</v>
      </c>
      <c r="AU1313" s="1194" t="str">
        <f t="shared" si="285"/>
        <v>.</v>
      </c>
      <c r="AV1313" s="1194" t="str">
        <f t="shared" si="275"/>
        <v>.</v>
      </c>
      <c r="AW1313" s="1194" t="str">
        <f t="shared" si="284"/>
        <v>.</v>
      </c>
      <c r="AX1313" s="1194">
        <f>IFERROR(VLOOKUP(B1313,'Share, Heavy Weapons to Ukraine'!B:Z,COLUMN('Share, Heavy Weapons to Ukraine'!C1325)-1,0),0)</f>
        <v>0</v>
      </c>
      <c r="AY1313" s="1194">
        <f>VLOOKUP('Bilateral Assistance, MAIN DATA'!B1313,'Country Summary (€)'!B:F,COLUMN('Country Summary (€)'!C1326)-1,FALSE)</f>
        <v>1</v>
      </c>
      <c r="AZ1313" s="1194" t="str">
        <f>IF(AND(AD1313=1,D1313="Military",H1313&lt;&gt;"Not given")=TRUE,IF(SUMIFS(P:P,A:A,A1313)&gt;0,ABS((SUMIFS(P:P,A:A,A1313)/VLOOKUP("USD",'Exchange Rates'!B:C,2,0)))/S1313,"."),".")</f>
        <v>.</v>
      </c>
      <c r="BA1313" s="1196" t="str">
        <f>IF(AND(AD1313=1,D1313="Military",H1313&lt;&gt;"Not given")=TRUE,IF(SUMIFS(P:P,A:A,A1313)&gt;0,IF((ABS((SUMIFS(P:P,A:A,A1313)/VLOOKUP("USD",'Exchange Rates'!B:C,2,0)))/S1313)&gt;1,(SUMIFS(P:P,A:A,A1313)-S1313)/S1313,(S1313-SUMIFS(P:P,A:A,A1313))/SUMIFS(P:P,A:A,A1313)),"."),".")</f>
        <v>.</v>
      </c>
      <c r="BB1313" s="1208" t="s">
        <v>38</v>
      </c>
      <c r="BC1313" s="1208" t="s">
        <v>38</v>
      </c>
      <c r="BD1313" s="1208" t="s">
        <v>38</v>
      </c>
      <c r="BE1313" s="1208" t="s">
        <v>38</v>
      </c>
      <c r="BF1313" s="1208" t="s">
        <v>38</v>
      </c>
      <c r="BG1313" s="1208" t="s">
        <v>38</v>
      </c>
      <c r="BH1313" s="1208" t="s">
        <v>38</v>
      </c>
      <c r="BI1313" s="1208" t="s">
        <v>38</v>
      </c>
      <c r="BJ1313" s="1208" t="s">
        <v>38</v>
      </c>
      <c r="BK1313" s="1208" t="s">
        <v>38</v>
      </c>
      <c r="BL1313" s="1208" t="s">
        <v>38</v>
      </c>
      <c r="BM1313" s="1208" t="s">
        <v>38</v>
      </c>
      <c r="BN1313" s="1208" t="s">
        <v>38</v>
      </c>
      <c r="BO1313" s="1208" t="s">
        <v>38</v>
      </c>
      <c r="BP1313" s="1208" t="s">
        <v>38</v>
      </c>
      <c r="BQ1313" s="1208" t="s">
        <v>38</v>
      </c>
      <c r="BR1313" s="1208" t="s">
        <v>38</v>
      </c>
      <c r="BS1313" s="1208" t="s">
        <v>38</v>
      </c>
    </row>
    <row r="1314" spans="1:71" ht="15.95" customHeight="1">
      <c r="A1314" s="1208" t="s">
        <v>3622</v>
      </c>
      <c r="B1314" s="1208" t="s">
        <v>3548</v>
      </c>
      <c r="C1314" s="1209">
        <v>45051</v>
      </c>
      <c r="D1314" s="1208" t="s">
        <v>389</v>
      </c>
      <c r="E1314" s="1208" t="s">
        <v>443</v>
      </c>
      <c r="F1314" s="1208" t="s">
        <v>3623</v>
      </c>
      <c r="G1314" s="1184" t="s">
        <v>3554</v>
      </c>
      <c r="H1314" s="1210">
        <v>6724500000</v>
      </c>
      <c r="I1314" s="1208" t="s">
        <v>364</v>
      </c>
      <c r="J1314" s="1186" t="str">
        <f>VLOOKUP($I1314,'Price List, Weapons &amp; Items'!B:C,2,0)</f>
        <v>.</v>
      </c>
      <c r="K1314" s="1186" t="str">
        <f>IF(I1314=".",I1314,VLOOKUP($I1314,'Price List, Weapons &amp; Items'!B:D,3,0))</f>
        <v>.</v>
      </c>
      <c r="L1314" s="1187">
        <f>VLOOKUP(I1314,'Price List, Weapons &amp; Items'!B:E,4,0)</f>
        <v>0</v>
      </c>
      <c r="M1314" s="1241" t="s">
        <v>364</v>
      </c>
      <c r="N1314" s="1211" t="s">
        <v>364</v>
      </c>
      <c r="O1314" s="1188" t="str">
        <f>VLOOKUP($I1314,'Price List, Weapons &amp; Items'!B:G,6,0)</f>
        <v>.</v>
      </c>
      <c r="P1314" s="1185" t="str">
        <f t="shared" si="276"/>
        <v>.</v>
      </c>
      <c r="Q1314" s="1185" t="str">
        <f t="shared" si="277"/>
        <v>.</v>
      </c>
      <c r="R1314" s="1185">
        <f t="shared" si="273"/>
        <v>6724500000</v>
      </c>
      <c r="S1314" s="1185">
        <f>IF(AND(AD1314=1,R1314&lt;&gt;".")=TRUE,R1314/VLOOKUP(G1314,'Exchange Rates'!B:C,2,0),IF(R1314=".",".",""))</f>
        <v>591440407.39861214</v>
      </c>
      <c r="T1314" s="1185" t="str">
        <f>IF(AD1314=1,IF(AF1314="Value is not given at all",".",IF(AF1314="Value is given by the source",S1314,IF(AF1314="Value is calculated with prices",(IF(SUMIFS(Q:Q,A:A,A1314)&gt;0,SUMIFS(Q:Q,A:A,A1314),"."))/VLOOKUP("USD",'Exchange Rates'!B:C,2,0),"Error with coding"))),"")</f>
        <v>.</v>
      </c>
      <c r="U1314" s="1191" t="s">
        <v>365</v>
      </c>
      <c r="V1314" s="983" t="s">
        <v>3624</v>
      </c>
      <c r="W1314" s="983" t="s">
        <v>3578</v>
      </c>
      <c r="X1314" s="990" t="s">
        <v>364</v>
      </c>
      <c r="Y1314" s="1208" t="s">
        <v>364</v>
      </c>
      <c r="Z1314" s="1191">
        <v>0</v>
      </c>
      <c r="AA1314" s="1191">
        <v>1</v>
      </c>
      <c r="AB1314" s="1298" t="s">
        <v>364</v>
      </c>
      <c r="AC1314" s="1192" t="str">
        <f>""</f>
        <v/>
      </c>
      <c r="AD1314" s="1191">
        <v>1</v>
      </c>
      <c r="AE1314" s="1191" t="s">
        <v>368</v>
      </c>
      <c r="AF1314" s="1191" t="s">
        <v>369</v>
      </c>
      <c r="AG1314" s="1191">
        <v>1</v>
      </c>
      <c r="AH1314" s="1191">
        <v>17</v>
      </c>
      <c r="AI1314" s="1191">
        <v>0</v>
      </c>
      <c r="AJ1314" s="1193">
        <f>VLOOKUP($I1314,'Price List, Weapons &amp; Items'!B:F,5,0)</f>
        <v>0</v>
      </c>
      <c r="AK1314" s="1193">
        <f t="shared" si="278"/>
        <v>0</v>
      </c>
      <c r="AL1314" s="1193">
        <f t="shared" si="279"/>
        <v>0</v>
      </c>
      <c r="AM1314" s="1193">
        <f t="shared" si="280"/>
        <v>0</v>
      </c>
      <c r="AN1314" s="1194" t="str">
        <f>VLOOKUP($I1314,'Price List, Weapons &amp; Items'!B:L,COLUMN('Price List, Weapons &amp; Items'!$J$11)-1,0)</f>
        <v>.</v>
      </c>
      <c r="AO1314" s="1194" t="str">
        <f>IF(I1314=".",".",VLOOKUP($I1314,'Price List, Weapons &amp; Items'!B:J,3,0))</f>
        <v>.</v>
      </c>
      <c r="AP1314" s="1195" t="str">
        <f t="shared" ca="1" si="274"/>
        <v>.</v>
      </c>
      <c r="AQ1314" s="1194">
        <f>VLOOKUP($I1314,'Price List, Weapons &amp; Items'!B:L,COLUMN('Price List, Weapons &amp; Items'!$L$11)-1,0)</f>
        <v>0</v>
      </c>
      <c r="AR1314" s="1194">
        <f t="shared" si="281"/>
        <v>1</v>
      </c>
      <c r="AS1314" s="1194">
        <f t="shared" si="282"/>
        <v>1</v>
      </c>
      <c r="AT1314" s="1194">
        <f t="shared" si="283"/>
        <v>1</v>
      </c>
      <c r="AU1314" s="1194" t="str">
        <f t="shared" si="285"/>
        <v>.</v>
      </c>
      <c r="AV1314" s="1194" t="str">
        <f t="shared" si="275"/>
        <v>.</v>
      </c>
      <c r="AW1314" s="1194" t="str">
        <f t="shared" si="284"/>
        <v>.</v>
      </c>
      <c r="AX1314" s="1194">
        <f>IFERROR(VLOOKUP(B1314,'Share, Heavy Weapons to Ukraine'!B:Z,COLUMN('Share, Heavy Weapons to Ukraine'!C1326)-1,0),0)</f>
        <v>0</v>
      </c>
      <c r="AY1314" s="1194">
        <f>VLOOKUP('Bilateral Assistance, MAIN DATA'!B1314,'Country Summary (€)'!B:F,COLUMN('Country Summary (€)'!C1327)-1,FALSE)</f>
        <v>1</v>
      </c>
      <c r="AZ1314" s="1194">
        <f>IF(AND(AD1314=1,D1314="Military",H1314&lt;&gt;"Not given")=TRUE,IF(SUMIFS(P:P,A:A,A1314)&gt;0,ABS((SUMIFS(P:P,A:A,A1314)/VLOOKUP("USD",'Exchange Rates'!B:C,2,0)))/S1314,"."),".")</f>
        <v>0.20535879584683839</v>
      </c>
      <c r="BA1314" s="1196">
        <f>IF(AND(AD1314=1,D1314="Military",H1314&lt;&gt;"Not given")=TRUE,IF(SUMIFS(P:P,A:A,A1314)&gt;0,IF((ABS((SUMIFS(P:P,A:A,A1314)/VLOOKUP("USD",'Exchange Rates'!B:C,2,0)))/S1314)&gt;1,(SUMIFS(P:P,A:A,A1314)-S1314)/S1314,(S1314-SUMIFS(P:P,A:A,A1314))/SUMIFS(P:P,A:A,A1314)),"."),".")</f>
        <v>3.4806091469591829</v>
      </c>
      <c r="BB1314" s="1208"/>
      <c r="BC1314" s="1208"/>
      <c r="BD1314" s="1208"/>
      <c r="BE1314" s="1208"/>
      <c r="BF1314" s="1208"/>
      <c r="BG1314" s="1208"/>
      <c r="BH1314" s="1208"/>
      <c r="BI1314" s="1208"/>
      <c r="BJ1314" s="1208"/>
      <c r="BK1314" s="1208"/>
      <c r="BL1314" s="1208"/>
      <c r="BM1314" s="1208"/>
      <c r="BN1314" s="1208"/>
      <c r="BO1314" s="1208"/>
      <c r="BP1314" s="1208"/>
      <c r="BQ1314" s="1208"/>
      <c r="BR1314" s="1208"/>
      <c r="BS1314" s="1208"/>
    </row>
    <row r="1315" spans="1:71" ht="15.95" customHeight="1">
      <c r="A1315" s="1208" t="s">
        <v>3622</v>
      </c>
      <c r="B1315" s="1208" t="s">
        <v>3548</v>
      </c>
      <c r="C1315" s="1209">
        <v>44981</v>
      </c>
      <c r="D1315" s="1208" t="s">
        <v>389</v>
      </c>
      <c r="E1315" s="1208" t="s">
        <v>390</v>
      </c>
      <c r="F1315" s="1208" t="s">
        <v>3623</v>
      </c>
      <c r="G1315" s="1184" t="s">
        <v>3554</v>
      </c>
      <c r="H1315" s="1210">
        <v>6724500000</v>
      </c>
      <c r="I1315" s="1208" t="s">
        <v>1933</v>
      </c>
      <c r="J1315" s="1186" t="str">
        <f>VLOOKUP($I1315,'Price List, Weapons &amp; Items'!B:C,2,0)</f>
        <v>Heavy weapon</v>
      </c>
      <c r="K1315" s="1186" t="str">
        <f>IF(I1315=".",I1315,VLOOKUP($I1315,'Price List, Weapons &amp; Items'!B:D,3,0))</f>
        <v>Main Battle Tank (MBT)</v>
      </c>
      <c r="L1315" s="1187">
        <f>VLOOKUP(I1315,'Price List, Weapons &amp; Items'!B:E,4,0)</f>
        <v>0</v>
      </c>
      <c r="M1315" s="1241">
        <v>10</v>
      </c>
      <c r="N1315" s="1211" t="s">
        <v>374</v>
      </c>
      <c r="O1315" s="1188">
        <f>VLOOKUP($I1315,'Price List, Weapons &amp; Items'!B:G,6,0)</f>
        <v>10000000</v>
      </c>
      <c r="P1315" s="1185">
        <f t="shared" si="276"/>
        <v>100000000</v>
      </c>
      <c r="Q1315" s="1185" t="str">
        <f t="shared" si="277"/>
        <v>.</v>
      </c>
      <c r="R1315" s="1185" t="str">
        <f t="shared" si="273"/>
        <v/>
      </c>
      <c r="S1315" s="1185" t="str">
        <f>IF(AND(AD1315=1,R1315&lt;&gt;".")=TRUE,R1315/VLOOKUP(G1315,'Exchange Rates'!B:C,2,0),IF(R1315=".",".",""))</f>
        <v/>
      </c>
      <c r="T1315" s="1185" t="str">
        <f>IF(AD1315=1,IF(AF1315="Value is not given at all",".",IF(AF1315="Value is given by the source",S1315,IF(AF1315="Value is calculated with prices",(IF(SUMIFS(Q:Q,A:A,A1315)&gt;0,SUMIFS(Q:Q,A:A,A1315),"."))/VLOOKUP("USD",'Exchange Rates'!B:C,2,0),"Error with coding"))),"")</f>
        <v/>
      </c>
      <c r="U1315" s="1191" t="s">
        <v>365</v>
      </c>
      <c r="V1315" s="983" t="s">
        <v>3625</v>
      </c>
      <c r="W1315" s="983" t="s">
        <v>3578</v>
      </c>
      <c r="X1315" s="983" t="s">
        <v>3626</v>
      </c>
      <c r="Y1315" s="1208" t="s">
        <v>364</v>
      </c>
      <c r="Z1315" s="1191">
        <v>0</v>
      </c>
      <c r="AA1315" s="1191">
        <v>1</v>
      </c>
      <c r="AB1315" s="1298" t="s">
        <v>364</v>
      </c>
      <c r="AC1315" s="1192" t="str">
        <f>""</f>
        <v/>
      </c>
      <c r="AD1315" s="1191">
        <v>0</v>
      </c>
      <c r="AE1315" s="1191" t="s">
        <v>368</v>
      </c>
      <c r="AF1315" s="1191" t="s">
        <v>369</v>
      </c>
      <c r="AG1315" s="1191">
        <v>1</v>
      </c>
      <c r="AH1315" s="1191">
        <v>14</v>
      </c>
      <c r="AI1315" s="1191">
        <v>0</v>
      </c>
      <c r="AJ1315" s="1193">
        <f>VLOOKUP($I1315,'Price List, Weapons &amp; Items'!B:F,5,0)</f>
        <v>1</v>
      </c>
      <c r="AK1315" s="1193">
        <f t="shared" si="278"/>
        <v>0</v>
      </c>
      <c r="AL1315" s="1193">
        <f t="shared" si="279"/>
        <v>1</v>
      </c>
      <c r="AM1315" s="1193">
        <f t="shared" si="280"/>
        <v>0</v>
      </c>
      <c r="AN1315" s="1194" t="str">
        <f>VLOOKUP($I1315,'Price List, Weapons &amp; Items'!B:L,COLUMN('Price List, Weapons &amp; Items'!$J$11)-1,0)</f>
        <v>Contracts</v>
      </c>
      <c r="AO1315" s="1194" t="str">
        <f>IF(I1315=".",".",VLOOKUP($I1315,'Price List, Weapons &amp; Items'!B:J,3,0))</f>
        <v>Main Battle Tank (MBT)</v>
      </c>
      <c r="AP1315" s="1195" t="str">
        <f t="shared" ca="1" si="274"/>
        <v/>
      </c>
      <c r="AQ1315" s="1194">
        <f>VLOOKUP($I1315,'Price List, Weapons &amp; Items'!B:L,COLUMN('Price List, Weapons &amp; Items'!$L$11)-1,0)</f>
        <v>2</v>
      </c>
      <c r="AR1315" s="1194">
        <f t="shared" si="281"/>
        <v>1</v>
      </c>
      <c r="AS1315" s="1194">
        <f t="shared" si="282"/>
        <v>1</v>
      </c>
      <c r="AT1315" s="1194">
        <f t="shared" si="283"/>
        <v>1</v>
      </c>
      <c r="AU1315" s="1194" t="str">
        <f t="shared" si="285"/>
        <v>.</v>
      </c>
      <c r="AV1315" s="1194" t="str">
        <f t="shared" si="275"/>
        <v>.</v>
      </c>
      <c r="AW1315" s="1194" t="str">
        <f t="shared" si="284"/>
        <v>.</v>
      </c>
      <c r="AX1315" s="1194">
        <f>IFERROR(VLOOKUP(B1315,'Share, Heavy Weapons to Ukraine'!B:Z,COLUMN('Share, Heavy Weapons to Ukraine'!C1327)-1,0),0)</f>
        <v>0</v>
      </c>
      <c r="AY1315" s="1194">
        <f>VLOOKUP('Bilateral Assistance, MAIN DATA'!B1315,'Country Summary (€)'!B:F,COLUMN('Country Summary (€)'!C1328)-1,FALSE)</f>
        <v>1</v>
      </c>
      <c r="AZ1315" s="1194" t="str">
        <f>IF(AND(AD1315=1,D1315="Military",H1315&lt;&gt;"Not given")=TRUE,IF(SUMIFS(P:P,A:A,A1315)&gt;0,ABS((SUMIFS(P:P,A:A,A1315)/VLOOKUP("USD",'Exchange Rates'!B:C,2,0)))/S1315,"."),".")</f>
        <v>.</v>
      </c>
      <c r="BA1315" s="1196" t="str">
        <f>IF(AND(AD1315=1,D1315="Military",H1315&lt;&gt;"Not given")=TRUE,IF(SUMIFS(P:P,A:A,A1315)&gt;0,IF((ABS((SUMIFS(P:P,A:A,A1315)/VLOOKUP("USD",'Exchange Rates'!B:C,2,0)))/S1315)&gt;1,(SUMIFS(P:P,A:A,A1315)-S1315)/S1315,(S1315-SUMIFS(P:P,A:A,A1315))/SUMIFS(P:P,A:A,A1315)),"."),".")</f>
        <v>.</v>
      </c>
      <c r="BB1315" s="1208"/>
      <c r="BC1315" s="1208"/>
      <c r="BD1315" s="1208"/>
      <c r="BE1315" s="1208"/>
      <c r="BF1315" s="1208"/>
      <c r="BG1315" s="1208"/>
      <c r="BH1315" s="1208"/>
      <c r="BI1315" s="1208"/>
      <c r="BJ1315" s="1208"/>
      <c r="BK1315" s="1208"/>
      <c r="BL1315" s="1208"/>
      <c r="BM1315" s="1208"/>
      <c r="BN1315" s="1208"/>
      <c r="BO1315" s="1208"/>
      <c r="BP1315" s="1208"/>
      <c r="BQ1315" s="1208"/>
      <c r="BR1315" s="1208"/>
      <c r="BS1315" s="1208"/>
    </row>
    <row r="1316" spans="1:71" ht="15.95" customHeight="1">
      <c r="A1316" s="1208" t="s">
        <v>3622</v>
      </c>
      <c r="B1316" s="1180" t="s">
        <v>3548</v>
      </c>
      <c r="C1316" s="1181">
        <v>44936</v>
      </c>
      <c r="D1316" s="1182" t="s">
        <v>389</v>
      </c>
      <c r="E1316" s="1182" t="s">
        <v>443</v>
      </c>
      <c r="F1316" s="1208" t="s">
        <v>3623</v>
      </c>
      <c r="G1316" s="1184" t="s">
        <v>3554</v>
      </c>
      <c r="H1316" s="1210">
        <v>6724500000</v>
      </c>
      <c r="I1316" s="1180" t="s">
        <v>3627</v>
      </c>
      <c r="J1316" s="1186" t="str">
        <f>VLOOKUP($I1316,'Price List, Weapons &amp; Items'!B:C,2,0)</f>
        <v>Heavy weapon</v>
      </c>
      <c r="K1316" s="1186" t="str">
        <f>IF(I1316=".",I1316,VLOOKUP($I1316,'Price List, Weapons &amp; Items'!B:D,3,0))</f>
        <v>155mm howitzer</v>
      </c>
      <c r="L1316" s="1187">
        <f>VLOOKUP(I1316,'Price List, Weapons &amp; Items'!B:E,4,0)</f>
        <v>0</v>
      </c>
      <c r="M1316" s="1188">
        <v>8</v>
      </c>
      <c r="N1316" s="1188" t="s">
        <v>374</v>
      </c>
      <c r="O1316" s="1188">
        <f>VLOOKUP($I1316,'Price List, Weapons &amp; Items'!B:G,6,0)</f>
        <v>4000000</v>
      </c>
      <c r="P1316" s="1185">
        <f t="shared" si="276"/>
        <v>32000000</v>
      </c>
      <c r="Q1316" s="1185" t="str">
        <f t="shared" si="277"/>
        <v>.</v>
      </c>
      <c r="R1316" s="1185" t="str">
        <f t="shared" si="273"/>
        <v/>
      </c>
      <c r="S1316" s="1185" t="str">
        <f>IF(AND(AD1316=1,R1316&lt;&gt;".")=TRUE,R1316/VLOOKUP(G1316,'Exchange Rates'!B:C,2,0),IF(R1316=".",".",""))</f>
        <v/>
      </c>
      <c r="T1316" s="1185" t="str">
        <f>IF(AD1316=1,IF(AF1316="Value is not given at all",".",IF(AF1316="Value is given by the source",S1316,IF(AF1316="Value is calculated with prices",(IF(SUMIFS(Q:Q,A:A,A1316)&gt;0,SUMIFS(Q:Q,A:A,A1316),"."))/VLOOKUP("USD",'Exchange Rates'!B:C,2,0),"Error with coding"))),"")</f>
        <v/>
      </c>
      <c r="U1316" s="1184" t="s">
        <v>365</v>
      </c>
      <c r="V1316" s="983" t="s">
        <v>3616</v>
      </c>
      <c r="W1316" s="1017" t="s">
        <v>3628</v>
      </c>
      <c r="X1316" s="986" t="s">
        <v>364</v>
      </c>
      <c r="Y1316" s="981" t="s">
        <v>364</v>
      </c>
      <c r="Z1316" s="1184">
        <v>0</v>
      </c>
      <c r="AA1316" s="1194">
        <v>1</v>
      </c>
      <c r="AB1316" s="1299" t="s">
        <v>364</v>
      </c>
      <c r="AC1316" s="1192" t="str">
        <f>""</f>
        <v/>
      </c>
      <c r="AD1316" s="1193">
        <v>0</v>
      </c>
      <c r="AE1316" s="1193" t="s">
        <v>368</v>
      </c>
      <c r="AF1316" s="1193" t="s">
        <v>369</v>
      </c>
      <c r="AG1316" s="1193">
        <v>1</v>
      </c>
      <c r="AH1316" s="1193">
        <v>13</v>
      </c>
      <c r="AI1316" s="1193">
        <v>0</v>
      </c>
      <c r="AJ1316" s="1193">
        <f>VLOOKUP($I1316,'Price List, Weapons &amp; Items'!B:F,5,0)</f>
        <v>1</v>
      </c>
      <c r="AK1316" s="1193">
        <f t="shared" si="278"/>
        <v>0</v>
      </c>
      <c r="AL1316" s="1193">
        <f t="shared" si="279"/>
        <v>1</v>
      </c>
      <c r="AM1316" s="1193">
        <f t="shared" si="280"/>
        <v>0</v>
      </c>
      <c r="AN1316" s="1194" t="str">
        <f>VLOOKUP($I1316,'Price List, Weapons &amp; Items'!B:L,COLUMN('Price List, Weapons &amp; Items'!$J$11)-1,0)</f>
        <v>Media reports (incl. social media)</v>
      </c>
      <c r="AO1316" s="1194" t="str">
        <f>IF(I1316=".",".",VLOOKUP($I1316,'Price List, Weapons &amp; Items'!B:J,3,0))</f>
        <v>155mm howitzer</v>
      </c>
      <c r="AP1316" s="1195" t="str">
        <f t="shared" ca="1" si="274"/>
        <v/>
      </c>
      <c r="AQ1316" s="1194">
        <f>VLOOKUP($I1316,'Price List, Weapons &amp; Items'!B:L,COLUMN('Price List, Weapons &amp; Items'!$L$11)-1,0)</f>
        <v>2</v>
      </c>
      <c r="AR1316" s="1194">
        <f t="shared" si="281"/>
        <v>1</v>
      </c>
      <c r="AS1316" s="1194">
        <f t="shared" si="282"/>
        <v>1</v>
      </c>
      <c r="AT1316" s="1194">
        <f t="shared" si="283"/>
        <v>1</v>
      </c>
      <c r="AU1316" s="1194" t="str">
        <f t="shared" si="285"/>
        <v>.</v>
      </c>
      <c r="AV1316" s="1194" t="str">
        <f t="shared" si="275"/>
        <v>.</v>
      </c>
      <c r="AW1316" s="1194" t="str">
        <f t="shared" si="284"/>
        <v>.</v>
      </c>
      <c r="AX1316" s="1194">
        <f>IFERROR(VLOOKUP(B1316,'Share, Heavy Weapons to Ukraine'!B:Z,COLUMN('Share, Heavy Weapons to Ukraine'!C1328)-1,0),0)</f>
        <v>0</v>
      </c>
      <c r="AY1316" s="1194">
        <f>VLOOKUP('Bilateral Assistance, MAIN DATA'!B1316,'Country Summary (€)'!B:F,COLUMN('Country Summary (€)'!C1329)-1,FALSE)</f>
        <v>1</v>
      </c>
      <c r="AZ1316" s="1194" t="str">
        <f>IF(AND(AD1316=1,D1316="Military",H1316&lt;&gt;"Not given")=TRUE,IF(SUMIFS(P:P,A:A,A1316)&gt;0,ABS((SUMIFS(P:P,A:A,A1316)/VLOOKUP("USD",'Exchange Rates'!B:C,2,0)))/S1316,"."),".")</f>
        <v>.</v>
      </c>
      <c r="BA1316" s="1196" t="str">
        <f>IF(AND(AD1316=1,D1316="Military",H1316&lt;&gt;"Not given")=TRUE,IF(SUMIFS(P:P,A:A,A1316)&gt;0,IF((ABS((SUMIFS(P:P,A:A,A1316)/VLOOKUP("USD",'Exchange Rates'!B:C,2,0)))/S1316)&gt;1,(SUMIFS(P:P,A:A,A1316)-S1316)/S1316,(S1316-SUMIFS(P:P,A:A,A1316))/SUMIFS(P:P,A:A,A1316)),"."),".")</f>
        <v>.</v>
      </c>
    </row>
    <row r="1317" spans="1:71" ht="15.95" customHeight="1">
      <c r="A1317" s="1208" t="s">
        <v>3622</v>
      </c>
      <c r="B1317" s="1180" t="s">
        <v>3548</v>
      </c>
      <c r="C1317" s="1181">
        <v>44936</v>
      </c>
      <c r="D1317" s="1182" t="s">
        <v>389</v>
      </c>
      <c r="E1317" s="1182" t="s">
        <v>443</v>
      </c>
      <c r="F1317" s="1208" t="s">
        <v>3623</v>
      </c>
      <c r="G1317" s="1184" t="s">
        <v>3554</v>
      </c>
      <c r="H1317" s="1210">
        <v>6724500000</v>
      </c>
      <c r="I1317" s="1180" t="s">
        <v>3629</v>
      </c>
      <c r="J1317" s="1186" t="str">
        <f>VLOOKUP($I1317,'Price List, Weapons &amp; Items'!B:C,2,0)</f>
        <v>Ammunition for heavy weapon</v>
      </c>
      <c r="K1317" s="1186" t="str">
        <f>IF(I1317=".",I1317,VLOOKUP($I1317,'Price List, Weapons &amp; Items'!B:D,3,0))</f>
        <v>Surface-to-air missile (SAM)</v>
      </c>
      <c r="L1317" s="1187">
        <f>VLOOKUP(I1317,'Price List, Weapons &amp; Items'!B:E,4,0)</f>
        <v>0</v>
      </c>
      <c r="M1317" s="1188" t="s">
        <v>374</v>
      </c>
      <c r="N1317" s="1188" t="s">
        <v>374</v>
      </c>
      <c r="O1317" s="1188">
        <f>VLOOKUP($I1317,'Price List, Weapons &amp; Items'!B:G,6,0)</f>
        <v>97800</v>
      </c>
      <c r="P1317" s="1185" t="str">
        <f t="shared" si="276"/>
        <v>.</v>
      </c>
      <c r="Q1317" s="1185" t="str">
        <f t="shared" si="277"/>
        <v>.</v>
      </c>
      <c r="R1317" s="1185" t="str">
        <f t="shared" si="273"/>
        <v/>
      </c>
      <c r="S1317" s="1185" t="str">
        <f>IF(AND(AD1317=1,R1317&lt;&gt;".")=TRUE,R1317/VLOOKUP(G1317,'Exchange Rates'!B:C,2,0),IF(R1317=".",".",""))</f>
        <v/>
      </c>
      <c r="T1317" s="1185" t="str">
        <f>IF(AD1317=1,IF(AF1317="Value is not given at all",".",IF(AF1317="Value is given by the source",S1317,IF(AF1317="Value is calculated with prices",(IF(SUMIFS(Q:Q,A:A,A1317)&gt;0,SUMIFS(Q:Q,A:A,A1317),"."))/VLOOKUP("USD",'Exchange Rates'!B:C,2,0),"Error with coding"))),"")</f>
        <v/>
      </c>
      <c r="U1317" s="1184" t="s">
        <v>365</v>
      </c>
      <c r="V1317" s="983" t="s">
        <v>3616</v>
      </c>
      <c r="W1317" s="1017" t="s">
        <v>3628</v>
      </c>
      <c r="X1317" s="986" t="s">
        <v>364</v>
      </c>
      <c r="Y1317" s="981" t="s">
        <v>364</v>
      </c>
      <c r="Z1317" s="1184">
        <v>0</v>
      </c>
      <c r="AA1317" s="1194">
        <v>1</v>
      </c>
      <c r="AB1317" s="1299" t="s">
        <v>364</v>
      </c>
      <c r="AC1317" s="1192" t="str">
        <f>""</f>
        <v/>
      </c>
      <c r="AD1317" s="1193">
        <v>0</v>
      </c>
      <c r="AE1317" s="1193" t="s">
        <v>368</v>
      </c>
      <c r="AF1317" s="1193" t="s">
        <v>369</v>
      </c>
      <c r="AG1317" s="1193">
        <v>1</v>
      </c>
      <c r="AH1317" s="1193">
        <v>13</v>
      </c>
      <c r="AI1317" s="1193">
        <v>0</v>
      </c>
      <c r="AJ1317" s="1193">
        <f>VLOOKUP($I1317,'Price List, Weapons &amp; Items'!B:F,5,0)</f>
        <v>0</v>
      </c>
      <c r="AK1317" s="1193">
        <f t="shared" si="278"/>
        <v>0</v>
      </c>
      <c r="AL1317" s="1193">
        <f t="shared" si="279"/>
        <v>0</v>
      </c>
      <c r="AM1317" s="1193">
        <f t="shared" si="280"/>
        <v>0</v>
      </c>
      <c r="AN1317" s="1194" t="str">
        <f>VLOOKUP($I1317,'Price List, Weapons &amp; Items'!B:L,COLUMN('Price List, Weapons &amp; Items'!$J$11)-1,0)</f>
        <v>Government information</v>
      </c>
      <c r="AO1317" s="1194" t="str">
        <f>IF(I1317=".",".",VLOOKUP($I1317,'Price List, Weapons &amp; Items'!B:J,3,0))</f>
        <v>Surface-to-air missile (SAM)</v>
      </c>
      <c r="AP1317" s="1195" t="str">
        <f t="shared" ca="1" si="274"/>
        <v/>
      </c>
      <c r="AQ1317" s="1194" t="str">
        <f>VLOOKUP($I1317,'Price List, Weapons &amp; Items'!B:L,COLUMN('Price List, Weapons &amp; Items'!$L$11)-1,0)</f>
        <v>no price, 0 count</v>
      </c>
      <c r="AR1317" s="1194">
        <f t="shared" si="281"/>
        <v>1</v>
      </c>
      <c r="AS1317" s="1194">
        <f t="shared" si="282"/>
        <v>1</v>
      </c>
      <c r="AT1317" s="1194">
        <f t="shared" si="283"/>
        <v>1</v>
      </c>
      <c r="AU1317" s="1194" t="str">
        <f t="shared" si="285"/>
        <v>.</v>
      </c>
      <c r="AV1317" s="1194" t="str">
        <f t="shared" si="275"/>
        <v>.</v>
      </c>
      <c r="AW1317" s="1194" t="str">
        <f t="shared" si="284"/>
        <v>.</v>
      </c>
      <c r="AX1317" s="1194">
        <f>IFERROR(VLOOKUP(B1317,'Share, Heavy Weapons to Ukraine'!B:Z,COLUMN('Share, Heavy Weapons to Ukraine'!C1329)-1,0),0)</f>
        <v>0</v>
      </c>
      <c r="AY1317" s="1194">
        <f>VLOOKUP('Bilateral Assistance, MAIN DATA'!B1317,'Country Summary (€)'!B:F,COLUMN('Country Summary (€)'!C1330)-1,FALSE)</f>
        <v>1</v>
      </c>
      <c r="AZ1317" s="1194" t="str">
        <f>IF(AND(AD1317=1,D1317="Military",H1317&lt;&gt;"Not given")=TRUE,IF(SUMIFS(P:P,A:A,A1317)&gt;0,ABS((SUMIFS(P:P,A:A,A1317)/VLOOKUP("USD",'Exchange Rates'!B:C,2,0)))/S1317,"."),".")</f>
        <v>.</v>
      </c>
      <c r="BA1317" s="1196" t="str">
        <f>IF(AND(AD1317=1,D1317="Military",H1317&lt;&gt;"Not given")=TRUE,IF(SUMIFS(P:P,A:A,A1317)&gt;0,IF((ABS((SUMIFS(P:P,A:A,A1317)/VLOOKUP("USD",'Exchange Rates'!B:C,2,0)))/S1317)&gt;1,(SUMIFS(P:P,A:A,A1317)-S1317)/S1317,(S1317-SUMIFS(P:P,A:A,A1317))/SUMIFS(P:P,A:A,A1317)),"."),".")</f>
        <v>.</v>
      </c>
    </row>
    <row r="1318" spans="1:71" ht="15.95" customHeight="1">
      <c r="A1318" s="1180" t="s">
        <v>3630</v>
      </c>
      <c r="B1318" s="1180" t="s">
        <v>3548</v>
      </c>
      <c r="C1318" s="1181">
        <v>44627</v>
      </c>
      <c r="D1318" s="1182" t="s">
        <v>544</v>
      </c>
      <c r="E1318" s="1182" t="s">
        <v>495</v>
      </c>
      <c r="F1318" s="1183" t="s">
        <v>3631</v>
      </c>
      <c r="G1318" s="1184" t="s">
        <v>456</v>
      </c>
      <c r="H1318" s="1185">
        <v>50000000</v>
      </c>
      <c r="I1318" s="1180" t="s">
        <v>364</v>
      </c>
      <c r="J1318" s="1186" t="str">
        <f>VLOOKUP($I1318,'Price List, Weapons &amp; Items'!B:C,2,0)</f>
        <v>.</v>
      </c>
      <c r="K1318" s="1186" t="str">
        <f>IF(I1318=".",I1318,VLOOKUP($I1318,'Price List, Weapons &amp; Items'!B:D,3,0))</f>
        <v>.</v>
      </c>
      <c r="L1318" s="1187">
        <f>VLOOKUP(I1318,'Price List, Weapons &amp; Items'!B:E,4,0)</f>
        <v>0</v>
      </c>
      <c r="M1318" s="1188" t="s">
        <v>364</v>
      </c>
      <c r="N1318" s="1188" t="s">
        <v>364</v>
      </c>
      <c r="O1318" s="1188" t="str">
        <f>VLOOKUP($I1318,'Price List, Weapons &amp; Items'!B:G,6,0)</f>
        <v>.</v>
      </c>
      <c r="P1318" s="1185" t="str">
        <f t="shared" si="276"/>
        <v>.</v>
      </c>
      <c r="Q1318" s="1185" t="str">
        <f t="shared" si="277"/>
        <v>.</v>
      </c>
      <c r="R1318" s="1185">
        <f t="shared" si="273"/>
        <v>50000000</v>
      </c>
      <c r="S1318" s="1185">
        <f>IF(AND(AD1318=1,R1318&lt;&gt;".")=TRUE,R1318/VLOOKUP(G1318,'Exchange Rates'!B:C,2,0),IF(R1318=".",".",""))</f>
        <v>46006624.953993373</v>
      </c>
      <c r="T1318" s="1185" t="str">
        <f>IF(AD1318=1,IF(AF1318="Value is not given at all",".",IF(AF1318="Value is given by the source",S1318,IF(AF1318="Value is calculated with prices",(IF(SUMIFS(Q:Q,A:A,A1318)&gt;0,SUMIFS(Q:Q,A:A,A1318),"."))/VLOOKUP("USD",'Exchange Rates'!B:C,2,0),"Error with coding"))),"")</f>
        <v>.</v>
      </c>
      <c r="U1318" s="1184" t="s">
        <v>365</v>
      </c>
      <c r="V1318" s="971" t="s">
        <v>1298</v>
      </c>
      <c r="W1318" s="1190" t="s">
        <v>364</v>
      </c>
      <c r="X1318" s="1190" t="s">
        <v>364</v>
      </c>
      <c r="Y1318" s="1190" t="s">
        <v>364</v>
      </c>
      <c r="Z1318" s="1184">
        <v>1</v>
      </c>
      <c r="AA1318" s="1194">
        <v>0</v>
      </c>
      <c r="AB1318" s="1201" t="s">
        <v>364</v>
      </c>
      <c r="AC1318" s="1192" t="str">
        <f>""</f>
        <v/>
      </c>
      <c r="AD1318" s="1193">
        <v>1</v>
      </c>
      <c r="AE1318" s="1193" t="s">
        <v>368</v>
      </c>
      <c r="AF1318" s="1193" t="s">
        <v>369</v>
      </c>
      <c r="AG1318" s="1193">
        <v>1</v>
      </c>
      <c r="AH1318" s="1193">
        <v>3</v>
      </c>
      <c r="AI1318" s="1193">
        <v>0</v>
      </c>
      <c r="AJ1318" s="1193">
        <f>VLOOKUP($I1318,'Price List, Weapons &amp; Items'!B:F,5,0)</f>
        <v>0</v>
      </c>
      <c r="AK1318" s="1193">
        <f t="shared" si="278"/>
        <v>0</v>
      </c>
      <c r="AL1318" s="1193">
        <f t="shared" si="279"/>
        <v>0</v>
      </c>
      <c r="AM1318" s="1193">
        <f t="shared" si="280"/>
        <v>0</v>
      </c>
      <c r="AN1318" s="1194" t="str">
        <f>VLOOKUP($I1318,'Price List, Weapons &amp; Items'!B:L,COLUMN('Price List, Weapons &amp; Items'!$J$11)-1,0)</f>
        <v>.</v>
      </c>
      <c r="AO1318" s="1194" t="str">
        <f>IF(I1318=".",".",VLOOKUP($I1318,'Price List, Weapons &amp; Items'!B:J,3,0))</f>
        <v>.</v>
      </c>
      <c r="AP1318" s="1195" t="str">
        <f t="shared" ca="1" si="274"/>
        <v>.</v>
      </c>
      <c r="AQ1318" s="1194">
        <f>VLOOKUP($I1318,'Price List, Weapons &amp; Items'!B:L,COLUMN('Price List, Weapons &amp; Items'!$L$11)-1,0)</f>
        <v>0</v>
      </c>
      <c r="AR1318" s="1194">
        <f t="shared" si="281"/>
        <v>1</v>
      </c>
      <c r="AS1318" s="1194">
        <f t="shared" si="282"/>
        <v>0</v>
      </c>
      <c r="AT1318" s="1194">
        <f t="shared" si="283"/>
        <v>1</v>
      </c>
      <c r="AU1318" s="1194" t="str">
        <f t="shared" si="285"/>
        <v>.</v>
      </c>
      <c r="AV1318" s="1194" t="str">
        <f t="shared" si="275"/>
        <v>.</v>
      </c>
      <c r="AW1318" s="1194" t="str">
        <f t="shared" si="284"/>
        <v>.</v>
      </c>
      <c r="AX1318" s="1194">
        <f>IFERROR(VLOOKUP(B1318,'Share, Heavy Weapons to Ukraine'!B:Z,COLUMN('Share, Heavy Weapons to Ukraine'!C1330)-1,0),0)</f>
        <v>0</v>
      </c>
      <c r="AY1318" s="1194">
        <f>VLOOKUP('Bilateral Assistance, MAIN DATA'!B1318,'Country Summary (€)'!B:F,COLUMN('Country Summary (€)'!C1331)-1,FALSE)</f>
        <v>1</v>
      </c>
      <c r="AZ1318" s="1194" t="str">
        <f>IF(AND(AD1318=1,D1318="Military",H1318&lt;&gt;"Not given")=TRUE,IF(SUMIFS(P:P,A:A,A1318)&gt;0,ABS((SUMIFS(P:P,A:A,A1318)/VLOOKUP("USD",'Exchange Rates'!B:C,2,0)))/S1318,"."),".")</f>
        <v>.</v>
      </c>
      <c r="BA1318" s="1196" t="str">
        <f>IF(AND(AD1318=1,D1318="Military",H1318&lt;&gt;"Not given")=TRUE,IF(SUMIFS(P:P,A:A,A1318)&gt;0,IF((ABS((SUMIFS(P:P,A:A,A1318)/VLOOKUP("USD",'Exchange Rates'!B:C,2,0)))/S1318)&gt;1,(SUMIFS(P:P,A:A,A1318)-S1318)/S1318,(S1318-SUMIFS(P:P,A:A,A1318))/SUMIFS(P:P,A:A,A1318)),"."),".")</f>
        <v>.</v>
      </c>
    </row>
    <row r="1319" spans="1:71" ht="15.95" customHeight="1">
      <c r="A1319" s="1180" t="s">
        <v>3632</v>
      </c>
      <c r="B1319" s="1180" t="s">
        <v>3548</v>
      </c>
      <c r="C1319" s="1181">
        <v>44673</v>
      </c>
      <c r="D1319" s="1182" t="s">
        <v>544</v>
      </c>
      <c r="E1319" s="1182" t="s">
        <v>495</v>
      </c>
      <c r="F1319" s="1183" t="s">
        <v>3633</v>
      </c>
      <c r="G1319" s="1184" t="s">
        <v>483</v>
      </c>
      <c r="H1319" s="1185">
        <v>44000000</v>
      </c>
      <c r="I1319" s="1180" t="s">
        <v>364</v>
      </c>
      <c r="J1319" s="1186" t="str">
        <f>VLOOKUP($I1319,'Price List, Weapons &amp; Items'!B:C,2,0)</f>
        <v>.</v>
      </c>
      <c r="K1319" s="1186" t="str">
        <f>IF(I1319=".",I1319,VLOOKUP($I1319,'Price List, Weapons &amp; Items'!B:D,3,0))</f>
        <v>.</v>
      </c>
      <c r="L1319" s="1187">
        <f>VLOOKUP(I1319,'Price List, Weapons &amp; Items'!B:E,4,0)</f>
        <v>0</v>
      </c>
      <c r="M1319" s="1188" t="s">
        <v>364</v>
      </c>
      <c r="N1319" s="1188" t="s">
        <v>364</v>
      </c>
      <c r="O1319" s="1188" t="str">
        <f>VLOOKUP($I1319,'Price List, Weapons &amp; Items'!B:G,6,0)</f>
        <v>.</v>
      </c>
      <c r="P1319" s="1185" t="str">
        <f t="shared" si="276"/>
        <v>.</v>
      </c>
      <c r="Q1319" s="1185" t="str">
        <f t="shared" si="277"/>
        <v>.</v>
      </c>
      <c r="R1319" s="1185">
        <f t="shared" si="273"/>
        <v>44000000</v>
      </c>
      <c r="S1319" s="1185">
        <f>IF(AND(AD1319=1,R1319&lt;&gt;".")=TRUE,R1319/VLOOKUP(G1319,'Exchange Rates'!B:C,2,0),IF(R1319=".",".",""))</f>
        <v>44000000</v>
      </c>
      <c r="T1319" s="1185" t="str">
        <f>IF(AD1319=1,IF(AF1319="Value is not given at all",".",IF(AF1319="Value is given by the source",S1319,IF(AF1319="Value is calculated with prices",(IF(SUMIFS(Q:Q,A:A,A1319)&gt;0,SUMIFS(Q:Q,A:A,A1319),"."))/VLOOKUP("USD",'Exchange Rates'!B:C,2,0),"Error with coding"))),"")</f>
        <v>.</v>
      </c>
      <c r="U1319" s="1184" t="s">
        <v>365</v>
      </c>
      <c r="V1319" s="971" t="s">
        <v>3634</v>
      </c>
      <c r="W1319" s="1190" t="s">
        <v>364</v>
      </c>
      <c r="X1319" s="1190" t="s">
        <v>364</v>
      </c>
      <c r="Y1319" s="1190" t="s">
        <v>364</v>
      </c>
      <c r="Z1319" s="1184">
        <v>1</v>
      </c>
      <c r="AA1319" s="1194">
        <v>0</v>
      </c>
      <c r="AB1319" s="1201" t="s">
        <v>364</v>
      </c>
      <c r="AC1319" s="1192" t="str">
        <f>""</f>
        <v/>
      </c>
      <c r="AD1319" s="1193">
        <v>1</v>
      </c>
      <c r="AE1319" s="1193" t="s">
        <v>368</v>
      </c>
      <c r="AF1319" s="1193" t="s">
        <v>369</v>
      </c>
      <c r="AG1319" s="1193">
        <v>1</v>
      </c>
      <c r="AH1319" s="1193">
        <v>4</v>
      </c>
      <c r="AI1319" s="1193">
        <v>0</v>
      </c>
      <c r="AJ1319" s="1193">
        <f>VLOOKUP($I1319,'Price List, Weapons &amp; Items'!B:F,5,0)</f>
        <v>0</v>
      </c>
      <c r="AK1319" s="1193">
        <f t="shared" si="278"/>
        <v>0</v>
      </c>
      <c r="AL1319" s="1193">
        <f t="shared" si="279"/>
        <v>0</v>
      </c>
      <c r="AM1319" s="1193">
        <f t="shared" si="280"/>
        <v>0</v>
      </c>
      <c r="AN1319" s="1194" t="str">
        <f>VLOOKUP($I1319,'Price List, Weapons &amp; Items'!B:L,COLUMN('Price List, Weapons &amp; Items'!$J$11)-1,0)</f>
        <v>.</v>
      </c>
      <c r="AO1319" s="1194" t="str">
        <f>IF(I1319=".",".",VLOOKUP($I1319,'Price List, Weapons &amp; Items'!B:J,3,0))</f>
        <v>.</v>
      </c>
      <c r="AP1319" s="1195" t="str">
        <f t="shared" ca="1" si="274"/>
        <v>.</v>
      </c>
      <c r="AQ1319" s="1194">
        <f>VLOOKUP($I1319,'Price List, Weapons &amp; Items'!B:L,COLUMN('Price List, Weapons &amp; Items'!$L$11)-1,0)</f>
        <v>0</v>
      </c>
      <c r="AR1319" s="1194">
        <f t="shared" si="281"/>
        <v>1</v>
      </c>
      <c r="AS1319" s="1194">
        <f t="shared" si="282"/>
        <v>0</v>
      </c>
      <c r="AT1319" s="1194">
        <f t="shared" si="283"/>
        <v>1</v>
      </c>
      <c r="AU1319" s="1194" t="str">
        <f t="shared" si="285"/>
        <v>.</v>
      </c>
      <c r="AV1319" s="1194" t="str">
        <f t="shared" si="275"/>
        <v>.</v>
      </c>
      <c r="AW1319" s="1194" t="str">
        <f t="shared" si="284"/>
        <v>.</v>
      </c>
      <c r="AX1319" s="1194">
        <f>IFERROR(VLOOKUP(B1319,'Share, Heavy Weapons to Ukraine'!B:Z,COLUMN('Share, Heavy Weapons to Ukraine'!C1331)-1,0),0)</f>
        <v>0</v>
      </c>
      <c r="AY1319" s="1194">
        <f>VLOOKUP('Bilateral Assistance, MAIN DATA'!B1319,'Country Summary (€)'!B:F,COLUMN('Country Summary (€)'!C1332)-1,FALSE)</f>
        <v>1</v>
      </c>
      <c r="AZ1319" s="1194" t="str">
        <f>IF(AND(AD1319=1,D1319="Military",H1319&lt;&gt;"Not given")=TRUE,IF(SUMIFS(P:P,A:A,A1319)&gt;0,ABS((SUMIFS(P:P,A:A,A1319)/VLOOKUP("USD",'Exchange Rates'!B:C,2,0)))/S1319,"."),".")</f>
        <v>.</v>
      </c>
      <c r="BA1319" s="1196" t="str">
        <f>IF(AND(AD1319=1,D1319="Military",H1319&lt;&gt;"Not given")=TRUE,IF(SUMIFS(P:P,A:A,A1319)&gt;0,IF((ABS((SUMIFS(P:P,A:A,A1319)/VLOOKUP("USD",'Exchange Rates'!B:C,2,0)))/S1319)&gt;1,(SUMIFS(P:P,A:A,A1319)-S1319)/S1319,(S1319-SUMIFS(P:P,A:A,A1319))/SUMIFS(P:P,A:A,A1319)),"."),".")</f>
        <v>.</v>
      </c>
    </row>
    <row r="1320" spans="1:71" ht="15.95" customHeight="1">
      <c r="A1320" s="1180" t="s">
        <v>3635</v>
      </c>
      <c r="B1320" s="1180" t="s">
        <v>3548</v>
      </c>
      <c r="C1320" s="1181">
        <v>44801</v>
      </c>
      <c r="D1320" s="1182" t="s">
        <v>544</v>
      </c>
      <c r="E1320" s="1182" t="s">
        <v>481</v>
      </c>
      <c r="F1320" s="1183" t="s">
        <v>3636</v>
      </c>
      <c r="G1320" s="1184" t="s">
        <v>3554</v>
      </c>
      <c r="H1320" s="1185">
        <v>500000000</v>
      </c>
      <c r="I1320" s="1180" t="s">
        <v>364</v>
      </c>
      <c r="J1320" s="1186" t="str">
        <f>VLOOKUP($I1320,'Price List, Weapons &amp; Items'!B:C,2,0)</f>
        <v>.</v>
      </c>
      <c r="K1320" s="1186" t="str">
        <f>IF(I1320=".",I1320,VLOOKUP($I1320,'Price List, Weapons &amp; Items'!B:D,3,0))</f>
        <v>.</v>
      </c>
      <c r="L1320" s="1187">
        <f>VLOOKUP(I1320,'Price List, Weapons &amp; Items'!B:E,4,0)</f>
        <v>0</v>
      </c>
      <c r="M1320" s="1188" t="s">
        <v>364</v>
      </c>
      <c r="N1320" s="1188" t="s">
        <v>364</v>
      </c>
      <c r="O1320" s="1188" t="str">
        <f>VLOOKUP($I1320,'Price List, Weapons &amp; Items'!B:G,6,0)</f>
        <v>.</v>
      </c>
      <c r="P1320" s="1185" t="str">
        <f t="shared" si="276"/>
        <v>.</v>
      </c>
      <c r="Q1320" s="1185" t="str">
        <f t="shared" si="277"/>
        <v>.</v>
      </c>
      <c r="R1320" s="1185">
        <f t="shared" si="273"/>
        <v>500000000</v>
      </c>
      <c r="S1320" s="1185">
        <f>IF(AND(AD1320=1,R1320&lt;&gt;".")=TRUE,R1320/VLOOKUP(G1320,'Exchange Rates'!B:C,2,0),IF(R1320=".",".",""))</f>
        <v>43976534.121392824</v>
      </c>
      <c r="T1320" s="1185" t="str">
        <f>IF(AD1320=1,IF(AF1320="Value is not given at all",".",IF(AF1320="Value is given by the source",S1320,IF(AF1320="Value is calculated with prices",(IF(SUMIFS(Q:Q,A:A,A1320)&gt;0,SUMIFS(Q:Q,A:A,A1320),"."))/VLOOKUP("USD",'Exchange Rates'!B:C,2,0),"Error with coding"))),"")</f>
        <v>.</v>
      </c>
      <c r="U1320" s="1184" t="s">
        <v>365</v>
      </c>
      <c r="V1320" s="971" t="s">
        <v>3606</v>
      </c>
      <c r="W1320" s="1017" t="s">
        <v>3607</v>
      </c>
      <c r="X1320" s="1011" t="s">
        <v>3608</v>
      </c>
      <c r="Y1320" s="1190" t="s">
        <v>364</v>
      </c>
      <c r="Z1320" s="1184">
        <v>0</v>
      </c>
      <c r="AA1320" s="1194">
        <v>0</v>
      </c>
      <c r="AB1320" s="1201" t="s">
        <v>364</v>
      </c>
      <c r="AC1320" s="1192" t="str">
        <f>""</f>
        <v/>
      </c>
      <c r="AD1320" s="1193">
        <v>1</v>
      </c>
      <c r="AE1320" s="1193" t="s">
        <v>368</v>
      </c>
      <c r="AF1320" s="1193" t="s">
        <v>369</v>
      </c>
      <c r="AG1320" s="1193">
        <v>1</v>
      </c>
      <c r="AH1320" s="1193">
        <v>8</v>
      </c>
      <c r="AI1320" s="1193">
        <v>0</v>
      </c>
      <c r="AJ1320" s="1193">
        <f>VLOOKUP($I1320,'Price List, Weapons &amp; Items'!B:F,5,0)</f>
        <v>0</v>
      </c>
      <c r="AK1320" s="1193">
        <f t="shared" si="278"/>
        <v>0</v>
      </c>
      <c r="AL1320" s="1193">
        <f t="shared" si="279"/>
        <v>0</v>
      </c>
      <c r="AM1320" s="1193">
        <f t="shared" si="280"/>
        <v>0</v>
      </c>
      <c r="AN1320" s="1194" t="str">
        <f>VLOOKUP($I1320,'Price List, Weapons &amp; Items'!B:L,COLUMN('Price List, Weapons &amp; Items'!$J$11)-1,0)</f>
        <v>.</v>
      </c>
      <c r="AO1320" s="1194" t="str">
        <f>IF(I1320=".",".",VLOOKUP($I1320,'Price List, Weapons &amp; Items'!B:J,3,0))</f>
        <v>.</v>
      </c>
      <c r="AP1320" s="1195" t="str">
        <f t="shared" ca="1" si="274"/>
        <v>.</v>
      </c>
      <c r="AQ1320" s="1194">
        <f>VLOOKUP($I1320,'Price List, Weapons &amp; Items'!B:L,COLUMN('Price List, Weapons &amp; Items'!$L$11)-1,0)</f>
        <v>0</v>
      </c>
      <c r="AR1320" s="1194">
        <f t="shared" si="281"/>
        <v>1</v>
      </c>
      <c r="AS1320" s="1194">
        <f t="shared" si="282"/>
        <v>0</v>
      </c>
      <c r="AT1320" s="1194">
        <f t="shared" si="283"/>
        <v>1</v>
      </c>
      <c r="AU1320" s="1194" t="str">
        <f t="shared" si="285"/>
        <v>.</v>
      </c>
      <c r="AV1320" s="1194" t="str">
        <f t="shared" si="275"/>
        <v>.</v>
      </c>
      <c r="AW1320" s="1194" t="str">
        <f t="shared" si="284"/>
        <v>.</v>
      </c>
      <c r="AX1320" s="1194">
        <f>IFERROR(VLOOKUP(B1320,'Share, Heavy Weapons to Ukraine'!B:Z,COLUMN('Share, Heavy Weapons to Ukraine'!C1332)-1,0),0)</f>
        <v>0</v>
      </c>
      <c r="AY1320" s="1194">
        <f>VLOOKUP('Bilateral Assistance, MAIN DATA'!B1320,'Country Summary (€)'!B:F,COLUMN('Country Summary (€)'!C1333)-1,FALSE)</f>
        <v>1</v>
      </c>
      <c r="AZ1320" s="1194" t="str">
        <f>IF(AND(AD1320=1,D1320="Military",H1320&lt;&gt;"Not given")=TRUE,IF(SUMIFS(P:P,A:A,A1320)&gt;0,ABS((SUMIFS(P:P,A:A,A1320)/VLOOKUP("USD",'Exchange Rates'!B:C,2,0)))/S1320,"."),".")</f>
        <v>.</v>
      </c>
      <c r="BA1320" s="1196" t="str">
        <f>IF(AND(AD1320=1,D1320="Military",H1320&lt;&gt;"Not given")=TRUE,IF(SUMIFS(P:P,A:A,A1320)&gt;0,IF((ABS((SUMIFS(P:P,A:A,A1320)/VLOOKUP("USD",'Exchange Rates'!B:C,2,0)))/S1320)&gt;1,(SUMIFS(P:P,A:A,A1320)-S1320)/S1320,(S1320-SUMIFS(P:P,A:A,A1320))/SUMIFS(P:P,A:A,A1320)),"."),".")</f>
        <v>.</v>
      </c>
    </row>
    <row r="1321" spans="1:71" ht="15.95" customHeight="1">
      <c r="A1321" s="1180" t="s">
        <v>3637</v>
      </c>
      <c r="B1321" s="1180" t="s">
        <v>3548</v>
      </c>
      <c r="C1321" s="1181">
        <v>44881</v>
      </c>
      <c r="D1321" s="1182" t="s">
        <v>544</v>
      </c>
      <c r="E1321" s="1182" t="s">
        <v>481</v>
      </c>
      <c r="F1321" s="1183" t="s">
        <v>3638</v>
      </c>
      <c r="G1321" s="1184" t="s">
        <v>3554</v>
      </c>
      <c r="H1321" s="1185">
        <v>140000000</v>
      </c>
      <c r="I1321" s="1180" t="s">
        <v>364</v>
      </c>
      <c r="J1321" s="1186" t="str">
        <f>VLOOKUP($I1321,'Price List, Weapons &amp; Items'!B:C,2,0)</f>
        <v>.</v>
      </c>
      <c r="K1321" s="1186" t="str">
        <f>IF(I1321=".",I1321,VLOOKUP($I1321,'Price List, Weapons &amp; Items'!B:D,3,0))</f>
        <v>.</v>
      </c>
      <c r="L1321" s="1187">
        <f>VLOOKUP(I1321,'Price List, Weapons &amp; Items'!B:E,4,0)</f>
        <v>0</v>
      </c>
      <c r="M1321" s="1188" t="s">
        <v>364</v>
      </c>
      <c r="N1321" s="1188" t="s">
        <v>364</v>
      </c>
      <c r="O1321" s="1188" t="str">
        <f>VLOOKUP($I1321,'Price List, Weapons &amp; Items'!B:G,6,0)</f>
        <v>.</v>
      </c>
      <c r="P1321" s="1185" t="str">
        <f t="shared" si="276"/>
        <v>.</v>
      </c>
      <c r="Q1321" s="1185" t="str">
        <f t="shared" si="277"/>
        <v>.</v>
      </c>
      <c r="R1321" s="1185">
        <f t="shared" si="273"/>
        <v>140000000</v>
      </c>
      <c r="S1321" s="1185">
        <f>IF(AND(AD1321=1,R1321&lt;&gt;".")=TRUE,R1321/VLOOKUP(G1321,'Exchange Rates'!B:C,2,0),IF(R1321=".",".",""))</f>
        <v>12313429.553989992</v>
      </c>
      <c r="T1321" s="1185" t="str">
        <f>IF(AD1321=1,IF(AF1321="Value is not given at all",".",IF(AF1321="Value is given by the source",S1321,IF(AF1321="Value is calculated with prices",(IF(SUMIFS(Q:Q,A:A,A1321)&gt;0,SUMIFS(Q:Q,A:A,A1321),"."))/VLOOKUP("USD",'Exchange Rates'!B:C,2,0),"Error with coding"))),"")</f>
        <v>.</v>
      </c>
      <c r="U1321" s="1184" t="s">
        <v>365</v>
      </c>
      <c r="V1321" s="973" t="s">
        <v>3570</v>
      </c>
      <c r="W1321" s="966" t="s">
        <v>3639</v>
      </c>
      <c r="X1321" s="986" t="s">
        <v>364</v>
      </c>
      <c r="Y1321" s="981" t="s">
        <v>364</v>
      </c>
      <c r="Z1321" s="1184">
        <v>1</v>
      </c>
      <c r="AA1321" s="1194">
        <v>0</v>
      </c>
      <c r="AB1321" s="1000" t="s">
        <v>364</v>
      </c>
      <c r="AC1321" s="1192" t="str">
        <f>""</f>
        <v/>
      </c>
      <c r="AD1321" s="1193">
        <v>1</v>
      </c>
      <c r="AE1321" s="1193" t="s">
        <v>368</v>
      </c>
      <c r="AF1321" s="1193" t="s">
        <v>369</v>
      </c>
      <c r="AG1321" s="1193">
        <v>1</v>
      </c>
      <c r="AH1321" s="1193">
        <v>11</v>
      </c>
      <c r="AI1321" s="1193">
        <v>0</v>
      </c>
      <c r="AJ1321" s="1193">
        <f>VLOOKUP($I1321,'Price List, Weapons &amp; Items'!B:F,5,0)</f>
        <v>0</v>
      </c>
      <c r="AK1321" s="1193">
        <f t="shared" si="278"/>
        <v>0</v>
      </c>
      <c r="AL1321" s="1193">
        <f t="shared" si="279"/>
        <v>0</v>
      </c>
      <c r="AM1321" s="1193">
        <f t="shared" si="280"/>
        <v>0</v>
      </c>
      <c r="AN1321" s="1194" t="str">
        <f>VLOOKUP($I1321,'Price List, Weapons &amp; Items'!B:L,COLUMN('Price List, Weapons &amp; Items'!$J$11)-1,0)</f>
        <v>.</v>
      </c>
      <c r="AO1321" s="1194" t="str">
        <f>IF(I1321=".",".",VLOOKUP($I1321,'Price List, Weapons &amp; Items'!B:J,3,0))</f>
        <v>.</v>
      </c>
      <c r="AP1321" s="1195" t="str">
        <f t="shared" ca="1" si="274"/>
        <v>.</v>
      </c>
      <c r="AQ1321" s="1194">
        <f>VLOOKUP($I1321,'Price List, Weapons &amp; Items'!B:L,COLUMN('Price List, Weapons &amp; Items'!$L$11)-1,0)</f>
        <v>0</v>
      </c>
      <c r="AR1321" s="1194">
        <f t="shared" si="281"/>
        <v>1</v>
      </c>
      <c r="AS1321" s="1194">
        <f t="shared" si="282"/>
        <v>0</v>
      </c>
      <c r="AT1321" s="1194">
        <f t="shared" si="283"/>
        <v>1</v>
      </c>
      <c r="AU1321" s="1194" t="str">
        <f t="shared" si="285"/>
        <v>.</v>
      </c>
      <c r="AV1321" s="1194" t="str">
        <f t="shared" si="275"/>
        <v>.</v>
      </c>
      <c r="AW1321" s="1194" t="str">
        <f t="shared" si="284"/>
        <v>.</v>
      </c>
      <c r="AX1321" s="1194">
        <f>IFERROR(VLOOKUP(B1321,'Share, Heavy Weapons to Ukraine'!B:Z,COLUMN('Share, Heavy Weapons to Ukraine'!C1333)-1,0),0)</f>
        <v>0</v>
      </c>
      <c r="AY1321" s="1194">
        <f>VLOOKUP('Bilateral Assistance, MAIN DATA'!B1321,'Country Summary (€)'!B:F,COLUMN('Country Summary (€)'!C1334)-1,FALSE)</f>
        <v>1</v>
      </c>
      <c r="AZ1321" s="1194" t="str">
        <f>IF(AND(AD1321=1,D1321="Military",H1321&lt;&gt;"Not given")=TRUE,IF(SUMIFS(P:P,A:A,A1321)&gt;0,ABS((SUMIFS(P:P,A:A,A1321)/VLOOKUP("USD",'Exchange Rates'!B:C,2,0)))/S1321,"."),".")</f>
        <v>.</v>
      </c>
      <c r="BA1321" s="1196" t="str">
        <f>IF(AND(AD1321=1,D1321="Military",H1321&lt;&gt;"Not given")=TRUE,IF(SUMIFS(P:P,A:A,A1321)&gt;0,IF((ABS((SUMIFS(P:P,A:A,A1321)/VLOOKUP("USD",'Exchange Rates'!B:C,2,0)))/S1321)&gt;1,(SUMIFS(P:P,A:A,A1321)-S1321)/S1321,(S1321-SUMIFS(P:P,A:A,A1321))/SUMIFS(P:P,A:A,A1321)),"."),".")</f>
        <v>.</v>
      </c>
    </row>
    <row r="1322" spans="1:71" ht="15.95" customHeight="1">
      <c r="A1322" s="1180" t="s">
        <v>3640</v>
      </c>
      <c r="B1322" s="1180" t="s">
        <v>3548</v>
      </c>
      <c r="C1322" s="1181">
        <v>44908</v>
      </c>
      <c r="D1322" s="1182" t="s">
        <v>544</v>
      </c>
      <c r="E1322" s="1182" t="s">
        <v>481</v>
      </c>
      <c r="F1322" s="1183" t="s">
        <v>3641</v>
      </c>
      <c r="G1322" s="1184" t="s">
        <v>3554</v>
      </c>
      <c r="H1322" s="1185">
        <v>600000000</v>
      </c>
      <c r="I1322" s="1180" t="s">
        <v>364</v>
      </c>
      <c r="J1322" s="1186" t="str">
        <f>VLOOKUP($I1322,'Price List, Weapons &amp; Items'!B:C,2,0)</f>
        <v>.</v>
      </c>
      <c r="K1322" s="1186" t="str">
        <f>IF(I1322=".",I1322,VLOOKUP($I1322,'Price List, Weapons &amp; Items'!B:D,3,0))</f>
        <v>.</v>
      </c>
      <c r="L1322" s="1187">
        <f>VLOOKUP(I1322,'Price List, Weapons &amp; Items'!B:E,4,0)</f>
        <v>0</v>
      </c>
      <c r="M1322" s="1188" t="s">
        <v>364</v>
      </c>
      <c r="N1322" s="1188" t="s">
        <v>364</v>
      </c>
      <c r="O1322" s="1188" t="str">
        <f>VLOOKUP($I1322,'Price List, Weapons &amp; Items'!B:G,6,0)</f>
        <v>.</v>
      </c>
      <c r="P1322" s="1185" t="str">
        <f t="shared" si="276"/>
        <v>.</v>
      </c>
      <c r="Q1322" s="1185" t="str">
        <f t="shared" si="277"/>
        <v>.</v>
      </c>
      <c r="R1322" s="1185">
        <f t="shared" si="273"/>
        <v>600000000</v>
      </c>
      <c r="S1322" s="1185">
        <f>IF(AND(AD1322=1,R1322&lt;&gt;".")=TRUE,R1322/VLOOKUP(G1322,'Exchange Rates'!B:C,2,0),IF(R1322=".",".",""))</f>
        <v>52771840.945671387</v>
      </c>
      <c r="T1322" s="1185" t="str">
        <f>IF(AD1322=1,IF(AF1322="Value is not given at all",".",IF(AF1322="Value is given by the source",S1322,IF(AF1322="Value is calculated with prices",(IF(SUMIFS(Q:Q,A:A,A1322)&gt;0,SUMIFS(Q:Q,A:A,A1322),"."))/VLOOKUP("USD",'Exchange Rates'!B:C,2,0),"Error with coding"))),"")</f>
        <v>.</v>
      </c>
      <c r="U1322" s="1184" t="s">
        <v>365</v>
      </c>
      <c r="V1322" s="973" t="s">
        <v>3642</v>
      </c>
      <c r="W1322" s="973" t="s">
        <v>3578</v>
      </c>
      <c r="X1322" s="973" t="s">
        <v>3643</v>
      </c>
      <c r="Y1322" s="981" t="s">
        <v>364</v>
      </c>
      <c r="Z1322" s="1184">
        <v>1</v>
      </c>
      <c r="AA1322" s="1194">
        <v>1</v>
      </c>
      <c r="AB1322" s="1000" t="s">
        <v>364</v>
      </c>
      <c r="AC1322" s="1192" t="str">
        <f>""</f>
        <v/>
      </c>
      <c r="AD1322" s="1193">
        <v>1</v>
      </c>
      <c r="AE1322" s="1193" t="s">
        <v>368</v>
      </c>
      <c r="AF1322" s="1193" t="s">
        <v>369</v>
      </c>
      <c r="AG1322" s="1193">
        <v>1</v>
      </c>
      <c r="AH1322" s="1193">
        <v>12</v>
      </c>
      <c r="AI1322" s="1193">
        <v>0</v>
      </c>
      <c r="AJ1322" s="1193">
        <f>VLOOKUP($I1322,'Price List, Weapons &amp; Items'!B:F,5,0)</f>
        <v>0</v>
      </c>
      <c r="AK1322" s="1193">
        <f t="shared" si="278"/>
        <v>0</v>
      </c>
      <c r="AL1322" s="1193">
        <f t="shared" si="279"/>
        <v>0</v>
      </c>
      <c r="AM1322" s="1193">
        <f t="shared" si="280"/>
        <v>0</v>
      </c>
      <c r="AN1322" s="1194" t="str">
        <f>VLOOKUP($I1322,'Price List, Weapons &amp; Items'!B:L,COLUMN('Price List, Weapons &amp; Items'!$J$11)-1,0)</f>
        <v>.</v>
      </c>
      <c r="AO1322" s="1194" t="str">
        <f>IF(I1322=".",".",VLOOKUP($I1322,'Price List, Weapons &amp; Items'!B:J,3,0))</f>
        <v>.</v>
      </c>
      <c r="AP1322" s="1195" t="str">
        <f t="shared" ca="1" si="274"/>
        <v>.</v>
      </c>
      <c r="AQ1322" s="1194">
        <f>VLOOKUP($I1322,'Price List, Weapons &amp; Items'!B:L,COLUMN('Price List, Weapons &amp; Items'!$L$11)-1,0)</f>
        <v>0</v>
      </c>
      <c r="AR1322" s="1194">
        <f t="shared" si="281"/>
        <v>1</v>
      </c>
      <c r="AS1322" s="1194">
        <f t="shared" si="282"/>
        <v>0</v>
      </c>
      <c r="AT1322" s="1194">
        <f t="shared" si="283"/>
        <v>1</v>
      </c>
      <c r="AU1322" s="1194" t="str">
        <f t="shared" si="285"/>
        <v>.</v>
      </c>
      <c r="AV1322" s="1194" t="str">
        <f t="shared" si="275"/>
        <v>.</v>
      </c>
      <c r="AW1322" s="1194" t="str">
        <f t="shared" si="284"/>
        <v>.</v>
      </c>
      <c r="AX1322" s="1194">
        <f>IFERROR(VLOOKUP(B1322,'Share, Heavy Weapons to Ukraine'!B:Z,COLUMN('Share, Heavy Weapons to Ukraine'!C1334)-1,0),0)</f>
        <v>0</v>
      </c>
      <c r="AY1322" s="1194">
        <f>VLOOKUP('Bilateral Assistance, MAIN DATA'!B1322,'Country Summary (€)'!B:F,COLUMN('Country Summary (€)'!C1335)-1,FALSE)</f>
        <v>1</v>
      </c>
      <c r="AZ1322" s="1194" t="str">
        <f>IF(AND(AD1322=1,D1322="Military",H1322&lt;&gt;"Not given")=TRUE,IF(SUMIFS(P:P,A:A,A1322)&gt;0,ABS((SUMIFS(P:P,A:A,A1322)/VLOOKUP("USD",'Exchange Rates'!B:C,2,0)))/S1322,"."),".")</f>
        <v>.</v>
      </c>
      <c r="BA1322" s="1196" t="str">
        <f>IF(AND(AD1322=1,D1322="Military",H1322&lt;&gt;"Not given")=TRUE,IF(SUMIFS(P:P,A:A,A1322)&gt;0,IF((ABS((SUMIFS(P:P,A:A,A1322)/VLOOKUP("USD",'Exchange Rates'!B:C,2,0)))/S1322)&gt;1,(SUMIFS(P:P,A:A,A1322)-S1322)/S1322,(S1322-SUMIFS(P:P,A:A,A1322))/SUMIFS(P:P,A:A,A1322)),"."),".")</f>
        <v>.</v>
      </c>
    </row>
    <row r="1323" spans="1:71" ht="15.95" customHeight="1">
      <c r="A1323" s="1208" t="s">
        <v>3644</v>
      </c>
      <c r="B1323" s="1208" t="s">
        <v>3548</v>
      </c>
      <c r="C1323" s="1209">
        <v>44981</v>
      </c>
      <c r="D1323" s="1208" t="s">
        <v>360</v>
      </c>
      <c r="E1323" s="1208" t="s">
        <v>361</v>
      </c>
      <c r="F1323" s="1208" t="s">
        <v>3645</v>
      </c>
      <c r="G1323" s="1184" t="s">
        <v>3554</v>
      </c>
      <c r="H1323" s="1210">
        <v>300000000</v>
      </c>
      <c r="I1323" s="1208" t="s">
        <v>364</v>
      </c>
      <c r="J1323" s="1186" t="str">
        <f>VLOOKUP($I1323,'Price List, Weapons &amp; Items'!B:C,2,0)</f>
        <v>.</v>
      </c>
      <c r="K1323" s="1186" t="str">
        <f>IF(I1323=".",I1323,VLOOKUP($I1323,'Price List, Weapons &amp; Items'!B:D,3,0))</f>
        <v>.</v>
      </c>
      <c r="L1323" s="1187">
        <f>VLOOKUP(I1323,'Price List, Weapons &amp; Items'!B:E,4,0)</f>
        <v>0</v>
      </c>
      <c r="M1323" s="1241" t="s">
        <v>364</v>
      </c>
      <c r="N1323" s="1211" t="s">
        <v>364</v>
      </c>
      <c r="O1323" s="1188" t="str">
        <f>VLOOKUP($I1323,'Price List, Weapons &amp; Items'!B:G,6,0)</f>
        <v>.</v>
      </c>
      <c r="P1323" s="1185" t="str">
        <f t="shared" si="276"/>
        <v>.</v>
      </c>
      <c r="Q1323" s="1185" t="str">
        <f t="shared" si="277"/>
        <v>.</v>
      </c>
      <c r="R1323" s="1185">
        <f t="shared" si="273"/>
        <v>300000000</v>
      </c>
      <c r="S1323" s="1185">
        <f>IF(AND(AD1323=1,R1323&lt;&gt;".")=TRUE,R1323/VLOOKUP(G1323,'Exchange Rates'!B:C,2,0),IF(R1323=".",".",""))</f>
        <v>26385920.472835694</v>
      </c>
      <c r="T1323" s="1185" t="str">
        <f>IF(AD1323=1,IF(AF1323="Value is not given at all",".",IF(AF1323="Value is given by the source",S1323,IF(AF1323="Value is calculated with prices",(IF(SUMIFS(Q:Q,A:A,A1323)&gt;0,SUMIFS(Q:Q,A:A,A1323),"."))/VLOOKUP("USD",'Exchange Rates'!B:C,2,0),"Error with coding"))),"")</f>
        <v>.</v>
      </c>
      <c r="U1323" s="1191" t="s">
        <v>365</v>
      </c>
      <c r="V1323" s="983" t="s">
        <v>3646</v>
      </c>
      <c r="W1323" s="966" t="s">
        <v>3647</v>
      </c>
      <c r="X1323" s="1208" t="s">
        <v>364</v>
      </c>
      <c r="Y1323" s="1208" t="s">
        <v>364</v>
      </c>
      <c r="Z1323" s="1191">
        <v>0</v>
      </c>
      <c r="AA1323" s="1191">
        <v>0</v>
      </c>
      <c r="AB1323" s="1208" t="s">
        <v>364</v>
      </c>
      <c r="AC1323" s="1192" t="str">
        <f>""</f>
        <v/>
      </c>
      <c r="AD1323" s="1191">
        <v>1</v>
      </c>
      <c r="AE1323" s="1191" t="s">
        <v>368</v>
      </c>
      <c r="AF1323" s="1191" t="s">
        <v>369</v>
      </c>
      <c r="AG1323" s="1191">
        <v>1</v>
      </c>
      <c r="AH1323" s="1191">
        <v>14</v>
      </c>
      <c r="AI1323" s="1191">
        <v>0</v>
      </c>
      <c r="AJ1323" s="1193">
        <f>VLOOKUP($I1323,'Price List, Weapons &amp; Items'!B:F,5,0)</f>
        <v>0</v>
      </c>
      <c r="AK1323" s="1193">
        <f t="shared" si="278"/>
        <v>0</v>
      </c>
      <c r="AL1323" s="1193">
        <f t="shared" si="279"/>
        <v>0</v>
      </c>
      <c r="AM1323" s="1193">
        <f t="shared" si="280"/>
        <v>0</v>
      </c>
      <c r="AN1323" s="1194" t="str">
        <f>VLOOKUP($I1323,'Price List, Weapons &amp; Items'!B:L,COLUMN('Price List, Weapons &amp; Items'!$J$11)-1,0)</f>
        <v>.</v>
      </c>
      <c r="AO1323" s="1194" t="str">
        <f>IF(I1323=".",".",VLOOKUP($I1323,'Price List, Weapons &amp; Items'!B:J,3,0))</f>
        <v>.</v>
      </c>
      <c r="AP1323" s="1195" t="str">
        <f t="shared" ca="1" si="274"/>
        <v>.</v>
      </c>
      <c r="AQ1323" s="1194">
        <f>VLOOKUP($I1323,'Price List, Weapons &amp; Items'!B:L,COLUMN('Price List, Weapons &amp; Items'!$L$11)-1,0)</f>
        <v>0</v>
      </c>
      <c r="AR1323" s="1194">
        <f t="shared" si="281"/>
        <v>1</v>
      </c>
      <c r="AS1323" s="1194">
        <f t="shared" si="282"/>
        <v>0</v>
      </c>
      <c r="AT1323" s="1194">
        <f t="shared" si="283"/>
        <v>1</v>
      </c>
      <c r="AU1323" s="1194" t="str">
        <f t="shared" si="285"/>
        <v>.</v>
      </c>
      <c r="AV1323" s="1194" t="str">
        <f t="shared" si="275"/>
        <v>.</v>
      </c>
      <c r="AW1323" s="1194" t="str">
        <f t="shared" si="284"/>
        <v>.</v>
      </c>
      <c r="AX1323" s="1194">
        <f>IFERROR(VLOOKUP(B1323,'Share, Heavy Weapons to Ukraine'!B:Z,COLUMN('Share, Heavy Weapons to Ukraine'!C1335)-1,0),0)</f>
        <v>0</v>
      </c>
      <c r="AY1323" s="1194">
        <f>VLOOKUP('Bilateral Assistance, MAIN DATA'!B1323,'Country Summary (€)'!B:F,COLUMN('Country Summary (€)'!C1336)-1,FALSE)</f>
        <v>1</v>
      </c>
      <c r="AZ1323" s="1194" t="str">
        <f>IF(AND(AD1323=1,D1323="Military",H1323&lt;&gt;"Not given")=TRUE,IF(SUMIFS(P:P,A:A,A1323)&gt;0,ABS((SUMIFS(P:P,A:A,A1323)/VLOOKUP("USD",'Exchange Rates'!B:C,2,0)))/S1323,"."),".")</f>
        <v>.</v>
      </c>
      <c r="BA1323" s="1196" t="str">
        <f>IF(AND(AD1323=1,D1323="Military",H1323&lt;&gt;"Not given")=TRUE,IF(SUMIFS(P:P,A:A,A1323)&gt;0,IF((ABS((SUMIFS(P:P,A:A,A1323)/VLOOKUP("USD",'Exchange Rates'!B:C,2,0)))/S1323)&gt;1,(SUMIFS(P:P,A:A,A1323)-S1323)/S1323,(S1323-SUMIFS(P:P,A:A,A1323))/SUMIFS(P:P,A:A,A1323)),"."),".")</f>
        <v>.</v>
      </c>
      <c r="BB1323" s="1208" t="s">
        <v>38</v>
      </c>
      <c r="BC1323" s="1208" t="s">
        <v>38</v>
      </c>
      <c r="BD1323" s="1208" t="s">
        <v>38</v>
      </c>
      <c r="BE1323" s="1208" t="s">
        <v>38</v>
      </c>
      <c r="BF1323" s="1208" t="s">
        <v>38</v>
      </c>
      <c r="BG1323" s="1208" t="s">
        <v>38</v>
      </c>
      <c r="BH1323" s="1208" t="s">
        <v>38</v>
      </c>
      <c r="BI1323" s="1208" t="s">
        <v>38</v>
      </c>
      <c r="BJ1323" s="1208" t="s">
        <v>38</v>
      </c>
      <c r="BK1323" s="1208" t="s">
        <v>38</v>
      </c>
      <c r="BL1323" s="1208" t="s">
        <v>38</v>
      </c>
      <c r="BM1323" s="1208" t="s">
        <v>38</v>
      </c>
      <c r="BN1323" s="1208" t="s">
        <v>38</v>
      </c>
      <c r="BO1323" s="1208" t="s">
        <v>38</v>
      </c>
      <c r="BP1323" s="1208" t="s">
        <v>38</v>
      </c>
      <c r="BQ1323" s="1208" t="s">
        <v>38</v>
      </c>
      <c r="BR1323" s="1208" t="s">
        <v>38</v>
      </c>
      <c r="BS1323" s="1208" t="s">
        <v>38</v>
      </c>
    </row>
    <row r="1324" spans="1:71" ht="15.95" customHeight="1">
      <c r="A1324" s="1180" t="s">
        <v>3648</v>
      </c>
      <c r="B1324" s="1180" t="s">
        <v>3649</v>
      </c>
      <c r="C1324" s="1181">
        <v>44631</v>
      </c>
      <c r="D1324" s="1182" t="s">
        <v>360</v>
      </c>
      <c r="E1324" s="1182" t="s">
        <v>2586</v>
      </c>
      <c r="F1324" s="1183" t="s">
        <v>3650</v>
      </c>
      <c r="G1324" s="1184" t="s">
        <v>3651</v>
      </c>
      <c r="H1324" s="1185">
        <v>60000000</v>
      </c>
      <c r="I1324" s="1201" t="s">
        <v>364</v>
      </c>
      <c r="J1324" s="1186" t="str">
        <f>VLOOKUP($I1324,'Price List, Weapons &amp; Items'!B:C,2,0)</f>
        <v>.</v>
      </c>
      <c r="K1324" s="1186" t="str">
        <f>IF(I1324=".",I1324,VLOOKUP($I1324,'Price List, Weapons &amp; Items'!B:D,3,0))</f>
        <v>.</v>
      </c>
      <c r="L1324" s="1187">
        <f>VLOOKUP(I1324,'Price List, Weapons &amp; Items'!B:E,4,0)</f>
        <v>0</v>
      </c>
      <c r="M1324" s="1188" t="s">
        <v>364</v>
      </c>
      <c r="N1324" s="1188" t="s">
        <v>364</v>
      </c>
      <c r="O1324" s="1188" t="str">
        <f>VLOOKUP($I1324,'Price List, Weapons &amp; Items'!B:G,6,0)</f>
        <v>.</v>
      </c>
      <c r="P1324" s="1185" t="str">
        <f t="shared" si="276"/>
        <v>.</v>
      </c>
      <c r="Q1324" s="1185" t="str">
        <f t="shared" si="277"/>
        <v>.</v>
      </c>
      <c r="R1324" s="1185">
        <f t="shared" si="273"/>
        <v>60000000</v>
      </c>
      <c r="S1324" s="1185">
        <f>IF(AND(AD1324=1,R1324&lt;&gt;".")=TRUE,R1324/VLOOKUP(G1324,'Exchange Rates'!B:C,2,0),IF(R1324=".",".",""))</f>
        <v>61532150.548661679</v>
      </c>
      <c r="T1324" s="1185" t="str">
        <f>IF(AD1324=1,IF(AF1324="Value is not given at all",".",IF(AF1324="Value is given by the source",S1324,IF(AF1324="Value is calculated with prices",(IF(SUMIFS(Q:Q,A:A,A1324)&gt;0,SUMIFS(Q:Q,A:A,A1324),"."))/VLOOKUP("USD",'Exchange Rates'!B:C,2,0),"Error with coding"))),"")</f>
        <v>.</v>
      </c>
      <c r="U1324" s="1184" t="s">
        <v>365</v>
      </c>
      <c r="V1324" s="964" t="s">
        <v>3652</v>
      </c>
      <c r="W1324" s="973" t="s">
        <v>3653</v>
      </c>
      <c r="X1324" s="971" t="s">
        <v>3654</v>
      </c>
      <c r="Y1324" s="971" t="s">
        <v>3655</v>
      </c>
      <c r="Z1324" s="1184">
        <v>0</v>
      </c>
      <c r="AA1324" s="1194">
        <v>1</v>
      </c>
      <c r="AB1324" s="1208" t="s">
        <v>364</v>
      </c>
      <c r="AC1324" s="1192" t="str">
        <f>""</f>
        <v/>
      </c>
      <c r="AD1324" s="1193">
        <v>1</v>
      </c>
      <c r="AE1324" s="1193" t="s">
        <v>368</v>
      </c>
      <c r="AF1324" s="1193" t="s">
        <v>369</v>
      </c>
      <c r="AG1324" s="1193">
        <v>1</v>
      </c>
      <c r="AH1324" s="1193">
        <v>3</v>
      </c>
      <c r="AI1324" s="1193">
        <v>0</v>
      </c>
      <c r="AJ1324" s="1193">
        <f>VLOOKUP($I1324,'Price List, Weapons &amp; Items'!B:F,5,0)</f>
        <v>0</v>
      </c>
      <c r="AK1324" s="1193">
        <f t="shared" si="278"/>
        <v>0</v>
      </c>
      <c r="AL1324" s="1193">
        <f t="shared" si="279"/>
        <v>0</v>
      </c>
      <c r="AM1324" s="1193">
        <f t="shared" si="280"/>
        <v>0</v>
      </c>
      <c r="AN1324" s="1194" t="str">
        <f>VLOOKUP($I1324,'Price List, Weapons &amp; Items'!B:L,COLUMN('Price List, Weapons &amp; Items'!$J$11)-1,0)</f>
        <v>.</v>
      </c>
      <c r="AO1324" s="1194" t="str">
        <f>IF(I1324=".",".",VLOOKUP($I1324,'Price List, Weapons &amp; Items'!B:J,3,0))</f>
        <v>.</v>
      </c>
      <c r="AP1324" s="1195" t="str">
        <f t="shared" ca="1" si="274"/>
        <v>.</v>
      </c>
      <c r="AQ1324" s="1194">
        <f>VLOOKUP($I1324,'Price List, Weapons &amp; Items'!B:L,COLUMN('Price List, Weapons &amp; Items'!$L$11)-1,0)</f>
        <v>0</v>
      </c>
      <c r="AR1324" s="1194">
        <f t="shared" si="281"/>
        <v>1</v>
      </c>
      <c r="AS1324" s="1194">
        <f t="shared" si="282"/>
        <v>0</v>
      </c>
      <c r="AT1324" s="1194">
        <f t="shared" si="283"/>
        <v>1</v>
      </c>
      <c r="AU1324" s="1194" t="str">
        <f t="shared" si="285"/>
        <v>.</v>
      </c>
      <c r="AV1324" s="1194" t="str">
        <f t="shared" si="275"/>
        <v>.</v>
      </c>
      <c r="AW1324" s="1194" t="str">
        <f t="shared" si="284"/>
        <v>.</v>
      </c>
      <c r="AX1324" s="1194">
        <f>IFERROR(VLOOKUP(B1324,'Share, Heavy Weapons to Ukraine'!B:Z,COLUMN('Share, Heavy Weapons to Ukraine'!C1336)-1,0),0)</f>
        <v>0</v>
      </c>
      <c r="AY1324" s="1194">
        <f>VLOOKUP('Bilateral Assistance, MAIN DATA'!B1324,'Country Summary (€)'!B:F,COLUMN('Country Summary (€)'!C1337)-1,FALSE)</f>
        <v>0</v>
      </c>
      <c r="AZ1324" s="1194" t="str">
        <f>IF(AND(AD1324=1,D1324="Military",H1324&lt;&gt;"Not given")=TRUE,IF(SUMIFS(P:P,A:A,A1324)&gt;0,ABS((SUMIFS(P:P,A:A,A1324)/VLOOKUP("USD",'Exchange Rates'!B:C,2,0)))/S1324,"."),".")</f>
        <v>.</v>
      </c>
      <c r="BA1324" s="1196" t="str">
        <f>IF(AND(AD1324=1,D1324="Military",H1324&lt;&gt;"Not given")=TRUE,IF(SUMIFS(P:P,A:A,A1324)&gt;0,IF((ABS((SUMIFS(P:P,A:A,A1324)/VLOOKUP("USD",'Exchange Rates'!B:C,2,0)))/S1324)&gt;1,(SUMIFS(P:P,A:A,A1324)-S1324)/S1324,(S1324-SUMIFS(P:P,A:A,A1324))/SUMIFS(P:P,A:A,A1324)),"."),".")</f>
        <v>.</v>
      </c>
    </row>
    <row r="1325" spans="1:71" ht="15.95" customHeight="1">
      <c r="A1325" s="1208" t="s">
        <v>3656</v>
      </c>
      <c r="B1325" s="1208" t="s">
        <v>3649</v>
      </c>
      <c r="C1325" s="1220">
        <v>44783</v>
      </c>
      <c r="D1325" s="1208" t="s">
        <v>360</v>
      </c>
      <c r="E1325" s="1208" t="s">
        <v>2586</v>
      </c>
      <c r="F1325" s="1208" t="s">
        <v>3657</v>
      </c>
      <c r="G1325" s="1184" t="s">
        <v>3651</v>
      </c>
      <c r="H1325" s="1185">
        <v>21300000</v>
      </c>
      <c r="I1325" s="1201" t="s">
        <v>364</v>
      </c>
      <c r="J1325" s="1186" t="str">
        <f>VLOOKUP($I1325,'Price List, Weapons &amp; Items'!B:C,2,0)</f>
        <v>.</v>
      </c>
      <c r="K1325" s="1186" t="str">
        <f>IF(I1325=".",I1325,VLOOKUP($I1325,'Price List, Weapons &amp; Items'!B:D,3,0))</f>
        <v>.</v>
      </c>
      <c r="L1325" s="1187">
        <f>VLOOKUP(I1325,'Price List, Weapons &amp; Items'!B:E,4,0)</f>
        <v>0</v>
      </c>
      <c r="M1325" s="1188" t="s">
        <v>364</v>
      </c>
      <c r="N1325" s="1188" t="s">
        <v>364</v>
      </c>
      <c r="O1325" s="1188" t="str">
        <f>VLOOKUP($I1325,'Price List, Weapons &amp; Items'!B:G,6,0)</f>
        <v>.</v>
      </c>
      <c r="P1325" s="1185" t="str">
        <f t="shared" si="276"/>
        <v>.</v>
      </c>
      <c r="Q1325" s="1185" t="str">
        <f t="shared" si="277"/>
        <v>.</v>
      </c>
      <c r="R1325" s="1185">
        <f t="shared" si="273"/>
        <v>21300000</v>
      </c>
      <c r="S1325" s="1185">
        <f>IF(AND(AD1325=1,R1325&lt;&gt;".")=TRUE,R1325/VLOOKUP(G1325,'Exchange Rates'!B:C,2,0),IF(R1325=".",".",""))</f>
        <v>21843913.444774896</v>
      </c>
      <c r="T1325" s="1185" t="str">
        <f>IF(AD1325=1,IF(AF1325="Value is not given at all",".",IF(AF1325="Value is given by the source",S1325,IF(AF1325="Value is calculated with prices",(IF(SUMIFS(Q:Q,A:A,A1325)&gt;0,SUMIFS(Q:Q,A:A,A1325),"."))/VLOOKUP("USD",'Exchange Rates'!B:C,2,0),"Error with coding"))),"")</f>
        <v>.</v>
      </c>
      <c r="U1325" s="1184" t="s">
        <v>365</v>
      </c>
      <c r="V1325" s="1300" t="s">
        <v>3658</v>
      </c>
      <c r="W1325" s="964" t="s">
        <v>3659</v>
      </c>
      <c r="X1325" s="1002" t="s">
        <v>3660</v>
      </c>
      <c r="Y1325" s="1023" t="s">
        <v>364</v>
      </c>
      <c r="Z1325" s="1184">
        <v>0</v>
      </c>
      <c r="AA1325" s="1194">
        <v>0</v>
      </c>
      <c r="AB1325" s="1262" t="s">
        <v>3658</v>
      </c>
      <c r="AC1325" s="1192" t="str">
        <f>""</f>
        <v/>
      </c>
      <c r="AD1325" s="1193">
        <v>1</v>
      </c>
      <c r="AE1325" s="1193" t="s">
        <v>368</v>
      </c>
      <c r="AF1325" s="1193" t="s">
        <v>369</v>
      </c>
      <c r="AG1325" s="1193">
        <v>1</v>
      </c>
      <c r="AH1325" s="1193">
        <v>8</v>
      </c>
      <c r="AI1325" s="1193">
        <v>0</v>
      </c>
      <c r="AJ1325" s="1193">
        <f>VLOOKUP($I1325,'Price List, Weapons &amp; Items'!B:F,5,0)</f>
        <v>0</v>
      </c>
      <c r="AK1325" s="1193">
        <f t="shared" si="278"/>
        <v>0</v>
      </c>
      <c r="AL1325" s="1193">
        <f t="shared" si="279"/>
        <v>0</v>
      </c>
      <c r="AM1325" s="1193">
        <f t="shared" si="280"/>
        <v>0</v>
      </c>
      <c r="AN1325" s="1194" t="str">
        <f>VLOOKUP($I1325,'Price List, Weapons &amp; Items'!B:L,COLUMN('Price List, Weapons &amp; Items'!$J$11)-1,0)</f>
        <v>.</v>
      </c>
      <c r="AO1325" s="1194" t="str">
        <f>IF(I1325=".",".",VLOOKUP($I1325,'Price List, Weapons &amp; Items'!B:J,3,0))</f>
        <v>.</v>
      </c>
      <c r="AP1325" s="1195" t="str">
        <f t="shared" ca="1" si="274"/>
        <v>.</v>
      </c>
      <c r="AQ1325" s="1194">
        <f>VLOOKUP($I1325,'Price List, Weapons &amp; Items'!B:L,COLUMN('Price List, Weapons &amp; Items'!$L$11)-1,0)</f>
        <v>0</v>
      </c>
      <c r="AR1325" s="1194">
        <f t="shared" si="281"/>
        <v>1</v>
      </c>
      <c r="AS1325" s="1194">
        <f t="shared" si="282"/>
        <v>0</v>
      </c>
      <c r="AT1325" s="1194">
        <f t="shared" si="283"/>
        <v>1</v>
      </c>
      <c r="AU1325" s="1194" t="str">
        <f t="shared" si="285"/>
        <v>.</v>
      </c>
      <c r="AV1325" s="1194" t="str">
        <f t="shared" si="275"/>
        <v>.</v>
      </c>
      <c r="AW1325" s="1194" t="str">
        <f t="shared" si="284"/>
        <v>.</v>
      </c>
      <c r="AX1325" s="1194">
        <f>IFERROR(VLOOKUP(B1325,'Share, Heavy Weapons to Ukraine'!B:Z,COLUMN('Share, Heavy Weapons to Ukraine'!C1337)-1,0),0)</f>
        <v>0</v>
      </c>
      <c r="AY1325" s="1194">
        <f>VLOOKUP('Bilateral Assistance, MAIN DATA'!B1325,'Country Summary (€)'!B:F,COLUMN('Country Summary (€)'!C1338)-1,FALSE)</f>
        <v>0</v>
      </c>
      <c r="AZ1325" s="1194" t="str">
        <f>IF(AND(AD1325=1,D1325="Military",H1325&lt;&gt;"Not given")=TRUE,IF(SUMIFS(P:P,A:A,A1325)&gt;0,ABS((SUMIFS(P:P,A:A,A1325)/VLOOKUP("USD",'Exchange Rates'!B:C,2,0)))/S1325,"."),".")</f>
        <v>.</v>
      </c>
      <c r="BA1325" s="1196" t="str">
        <f>IF(AND(AD1325=1,D1325="Military",H1325&lt;&gt;"Not given")=TRUE,IF(SUMIFS(P:P,A:A,A1325)&gt;0,IF((ABS((SUMIFS(P:P,A:A,A1325)/VLOOKUP("USD",'Exchange Rates'!B:C,2,0)))/S1325)&gt;1,(SUMIFS(P:P,A:A,A1325)-S1325)/S1325,(S1325-SUMIFS(P:P,A:A,A1325))/SUMIFS(P:P,A:A,A1325)),"."),".")</f>
        <v>.</v>
      </c>
    </row>
    <row r="1326" spans="1:71" ht="15.95" customHeight="1">
      <c r="A1326" s="1208" t="s">
        <v>3661</v>
      </c>
      <c r="B1326" s="1208" t="s">
        <v>3649</v>
      </c>
      <c r="C1326" s="1220">
        <v>44867</v>
      </c>
      <c r="D1326" s="1208" t="s">
        <v>360</v>
      </c>
      <c r="E1326" s="1208" t="s">
        <v>2586</v>
      </c>
      <c r="F1326" s="1208" t="s">
        <v>3662</v>
      </c>
      <c r="G1326" s="1184" t="s">
        <v>3651</v>
      </c>
      <c r="H1326" s="1185">
        <v>100000000</v>
      </c>
      <c r="I1326" s="1201" t="s">
        <v>364</v>
      </c>
      <c r="J1326" s="1186" t="str">
        <f>VLOOKUP($I1326,'Price List, Weapons &amp; Items'!B:C,2,0)</f>
        <v>.</v>
      </c>
      <c r="K1326" s="1186" t="str">
        <f>IF(I1326=".",I1326,VLOOKUP($I1326,'Price List, Weapons &amp; Items'!B:D,3,0))</f>
        <v>.</v>
      </c>
      <c r="L1326" s="1187">
        <f>VLOOKUP(I1326,'Price List, Weapons &amp; Items'!B:E,4,0)</f>
        <v>0</v>
      </c>
      <c r="M1326" s="1188" t="s">
        <v>364</v>
      </c>
      <c r="N1326" s="1188" t="s">
        <v>364</v>
      </c>
      <c r="O1326" s="1188" t="str">
        <f>VLOOKUP($I1326,'Price List, Weapons &amp; Items'!B:G,6,0)</f>
        <v>.</v>
      </c>
      <c r="P1326" s="1185" t="str">
        <f t="shared" si="276"/>
        <v>.</v>
      </c>
      <c r="Q1326" s="1185" t="str">
        <f t="shared" si="277"/>
        <v>.</v>
      </c>
      <c r="R1326" s="1185">
        <f t="shared" si="273"/>
        <v>100000000</v>
      </c>
      <c r="S1326" s="1185">
        <f>IF(AND(AD1326=1,R1326&lt;&gt;".")=TRUE,R1326/VLOOKUP(G1326,'Exchange Rates'!B:C,2,0),IF(R1326=".",".",""))</f>
        <v>102553584.24776946</v>
      </c>
      <c r="T1326" s="1185" t="str">
        <f>IF(AD1326=1,IF(AF1326="Value is not given at all",".",IF(AF1326="Value is given by the source",S1326,IF(AF1326="Value is calculated with prices",(IF(SUMIFS(Q:Q,A:A,A1326)&gt;0,SUMIFS(Q:Q,A:A,A1326),"."))/VLOOKUP("USD",'Exchange Rates'!B:C,2,0),"Error with coding"))),"")</f>
        <v>.</v>
      </c>
      <c r="U1326" s="1184" t="s">
        <v>365</v>
      </c>
      <c r="V1326" s="1017" t="s">
        <v>3663</v>
      </c>
      <c r="W1326" s="971" t="s">
        <v>3664</v>
      </c>
      <c r="X1326" s="1301" t="s">
        <v>3665</v>
      </c>
      <c r="Y1326" s="980" t="s">
        <v>3666</v>
      </c>
      <c r="Z1326" s="1184">
        <v>0</v>
      </c>
      <c r="AA1326" s="1194">
        <v>1</v>
      </c>
      <c r="AB1326" s="1000" t="s">
        <v>364</v>
      </c>
      <c r="AC1326" s="1192" t="str">
        <f>""</f>
        <v/>
      </c>
      <c r="AD1326" s="1193">
        <v>1</v>
      </c>
      <c r="AE1326" s="1193" t="s">
        <v>368</v>
      </c>
      <c r="AF1326" s="1193" t="s">
        <v>369</v>
      </c>
      <c r="AG1326" s="1193">
        <v>1</v>
      </c>
      <c r="AH1326" s="1193">
        <v>11</v>
      </c>
      <c r="AI1326" s="1193">
        <v>0</v>
      </c>
      <c r="AJ1326" s="1193">
        <f>VLOOKUP($I1326,'Price List, Weapons &amp; Items'!B:F,5,0)</f>
        <v>0</v>
      </c>
      <c r="AK1326" s="1193">
        <f t="shared" si="278"/>
        <v>0</v>
      </c>
      <c r="AL1326" s="1193">
        <f t="shared" si="279"/>
        <v>0</v>
      </c>
      <c r="AM1326" s="1193">
        <f t="shared" si="280"/>
        <v>0</v>
      </c>
      <c r="AN1326" s="1194" t="str">
        <f>VLOOKUP($I1326,'Price List, Weapons &amp; Items'!B:L,COLUMN('Price List, Weapons &amp; Items'!$J$11)-1,0)</f>
        <v>.</v>
      </c>
      <c r="AO1326" s="1194" t="str">
        <f>IF(I1326=".",".",VLOOKUP($I1326,'Price List, Weapons &amp; Items'!B:J,3,0))</f>
        <v>.</v>
      </c>
      <c r="AP1326" s="1195" t="str">
        <f t="shared" ca="1" si="274"/>
        <v>.</v>
      </c>
      <c r="AQ1326" s="1194">
        <f>VLOOKUP($I1326,'Price List, Weapons &amp; Items'!B:L,COLUMN('Price List, Weapons &amp; Items'!$L$11)-1,0)</f>
        <v>0</v>
      </c>
      <c r="AR1326" s="1194">
        <f t="shared" si="281"/>
        <v>1</v>
      </c>
      <c r="AS1326" s="1194">
        <f t="shared" si="282"/>
        <v>0</v>
      </c>
      <c r="AT1326" s="1194">
        <f t="shared" si="283"/>
        <v>1</v>
      </c>
      <c r="AU1326" s="1194" t="str">
        <f t="shared" si="285"/>
        <v>.</v>
      </c>
      <c r="AV1326" s="1194" t="str">
        <f t="shared" si="275"/>
        <v>.</v>
      </c>
      <c r="AW1326" s="1194" t="str">
        <f t="shared" si="284"/>
        <v>.</v>
      </c>
      <c r="AX1326" s="1194">
        <f>IFERROR(VLOOKUP(B1326,'Share, Heavy Weapons to Ukraine'!B:Z,COLUMN('Share, Heavy Weapons to Ukraine'!C1338)-1,0),0)</f>
        <v>0</v>
      </c>
      <c r="AY1326" s="1194">
        <f>VLOOKUP('Bilateral Assistance, MAIN DATA'!B1326,'Country Summary (€)'!B:F,COLUMN('Country Summary (€)'!C1339)-1,FALSE)</f>
        <v>0</v>
      </c>
      <c r="AZ1326" s="1194" t="str">
        <f>IF(AND(AD1326=1,D1326="Military",H1326&lt;&gt;"Not given")=TRUE,IF(SUMIFS(P:P,A:A,A1326)&gt;0,ABS((SUMIFS(P:P,A:A,A1326)/VLOOKUP("USD",'Exchange Rates'!B:C,2,0)))/S1326,"."),".")</f>
        <v>.</v>
      </c>
      <c r="BA1326" s="1196" t="str">
        <f>IF(AND(AD1326=1,D1326="Military",H1326&lt;&gt;"Not given")=TRUE,IF(SUMIFS(P:P,A:A,A1326)&gt;0,IF((ABS((SUMIFS(P:P,A:A,A1326)/VLOOKUP("USD",'Exchange Rates'!B:C,2,0)))/S1326)&gt;1,(SUMIFS(P:P,A:A,A1326)-S1326)/S1326,(S1326-SUMIFS(P:P,A:A,A1326))/SUMIFS(P:P,A:A,A1326)),"."),".")</f>
        <v>.</v>
      </c>
    </row>
    <row r="1327" spans="1:71" ht="15.95" customHeight="1">
      <c r="A1327" s="1208" t="s">
        <v>3661</v>
      </c>
      <c r="B1327" s="1208" t="s">
        <v>3649</v>
      </c>
      <c r="C1327" s="1220">
        <v>44867</v>
      </c>
      <c r="D1327" s="1208" t="s">
        <v>360</v>
      </c>
      <c r="E1327" s="1208" t="s">
        <v>2586</v>
      </c>
      <c r="F1327" s="1208" t="s">
        <v>3662</v>
      </c>
      <c r="G1327" s="1184" t="s">
        <v>3651</v>
      </c>
      <c r="H1327" s="1185">
        <v>100000000</v>
      </c>
      <c r="I1327" s="1201" t="s">
        <v>601</v>
      </c>
      <c r="J1327" s="1186" t="str">
        <f>VLOOKUP($I1327,'Price List, Weapons &amp; Items'!B:C,2,0)</f>
        <v>Humanitarian</v>
      </c>
      <c r="K1327" s="1186" t="str">
        <f>IF(I1327=".",I1327,VLOOKUP($I1327,'Price List, Weapons &amp; Items'!B:D,3,0))</f>
        <v>Humanitarian</v>
      </c>
      <c r="L1327" s="1187">
        <f>VLOOKUP(I1327,'Price List, Weapons &amp; Items'!B:E,4,0)</f>
        <v>0</v>
      </c>
      <c r="M1327" s="1188">
        <v>40</v>
      </c>
      <c r="N1327" s="1188" t="s">
        <v>364</v>
      </c>
      <c r="O1327" s="1188">
        <f>VLOOKUP($I1327,'Price List, Weapons &amp; Items'!B:G,6,0)</f>
        <v>300</v>
      </c>
      <c r="P1327" s="1185">
        <f t="shared" si="276"/>
        <v>12000</v>
      </c>
      <c r="Q1327" s="1185" t="str">
        <f t="shared" si="277"/>
        <v>.</v>
      </c>
      <c r="R1327" s="1185" t="str">
        <f t="shared" si="273"/>
        <v/>
      </c>
      <c r="S1327" s="1185" t="str">
        <f>IF(AND(AD1327=1,R1327&lt;&gt;".")=TRUE,R1327/VLOOKUP(G1327,'Exchange Rates'!B:C,2,0),IF(R1327=".",".",""))</f>
        <v/>
      </c>
      <c r="T1327" s="1185" t="str">
        <f>IF(AD1327=1,IF(AF1327="Value is not given at all",".",IF(AF1327="Value is given by the source",S1327,IF(AF1327="Value is calculated with prices",(IF(SUMIFS(Q:Q,A:A,A1327)&gt;0,SUMIFS(Q:Q,A:A,A1327),"."))/VLOOKUP("USD",'Exchange Rates'!B:C,2,0),"Error with coding"))),"")</f>
        <v/>
      </c>
      <c r="U1327" s="1184" t="s">
        <v>365</v>
      </c>
      <c r="V1327" s="1017" t="s">
        <v>3663</v>
      </c>
      <c r="W1327" s="971" t="s">
        <v>3664</v>
      </c>
      <c r="X1327" s="1301" t="s">
        <v>3665</v>
      </c>
      <c r="Y1327" s="980" t="s">
        <v>3666</v>
      </c>
      <c r="Z1327" s="1184">
        <v>0</v>
      </c>
      <c r="AA1327" s="1194">
        <v>1</v>
      </c>
      <c r="AB1327" s="1000" t="s">
        <v>364</v>
      </c>
      <c r="AC1327" s="1192" t="str">
        <f>""</f>
        <v/>
      </c>
      <c r="AD1327" s="1193">
        <v>0</v>
      </c>
      <c r="AE1327" s="1193" t="s">
        <v>368</v>
      </c>
      <c r="AF1327" s="1193" t="s">
        <v>369</v>
      </c>
      <c r="AG1327" s="1193">
        <v>1</v>
      </c>
      <c r="AH1327" s="1193">
        <v>11</v>
      </c>
      <c r="AI1327" s="1193">
        <v>0</v>
      </c>
      <c r="AJ1327" s="1193">
        <f>VLOOKUP($I1327,'Price List, Weapons &amp; Items'!B:F,5,0)</f>
        <v>0</v>
      </c>
      <c r="AK1327" s="1193">
        <f t="shared" si="278"/>
        <v>0</v>
      </c>
      <c r="AL1327" s="1193">
        <f t="shared" si="279"/>
        <v>0</v>
      </c>
      <c r="AM1327" s="1193">
        <f t="shared" si="280"/>
        <v>0</v>
      </c>
      <c r="AN1327" s="1194" t="str">
        <f>VLOOKUP($I1327,'Price List, Weapons &amp; Items'!B:L,COLUMN('Price List, Weapons &amp; Items'!$J$11)-1,0)</f>
        <v>Miscellaneous</v>
      </c>
      <c r="AO1327" s="1194" t="str">
        <f>IF(I1327=".",".",VLOOKUP($I1327,'Price List, Weapons &amp; Items'!B:J,3,0))</f>
        <v>Humanitarian</v>
      </c>
      <c r="AP1327" s="1195" t="str">
        <f t="shared" ca="1" si="274"/>
        <v/>
      </c>
      <c r="AQ1327" s="1194">
        <f>VLOOKUP($I1327,'Price List, Weapons &amp; Items'!B:L,COLUMN('Price List, Weapons &amp; Items'!$L$11)-1,0)</f>
        <v>0</v>
      </c>
      <c r="AR1327" s="1194">
        <f t="shared" si="281"/>
        <v>1</v>
      </c>
      <c r="AS1327" s="1194">
        <f t="shared" si="282"/>
        <v>0</v>
      </c>
      <c r="AT1327" s="1194">
        <f t="shared" si="283"/>
        <v>1</v>
      </c>
      <c r="AU1327" s="1194" t="str">
        <f t="shared" si="285"/>
        <v>.</v>
      </c>
      <c r="AV1327" s="1194" t="str">
        <f t="shared" si="275"/>
        <v>.</v>
      </c>
      <c r="AW1327" s="1194" t="str">
        <f t="shared" si="284"/>
        <v>.</v>
      </c>
      <c r="AX1327" s="1194">
        <f>IFERROR(VLOOKUP(B1327,'Share, Heavy Weapons to Ukraine'!B:Z,COLUMN('Share, Heavy Weapons to Ukraine'!C1339)-1,0),0)</f>
        <v>0</v>
      </c>
      <c r="AY1327" s="1194">
        <f>VLOOKUP('Bilateral Assistance, MAIN DATA'!B1327,'Country Summary (€)'!B:F,COLUMN('Country Summary (€)'!C1340)-1,FALSE)</f>
        <v>0</v>
      </c>
      <c r="AZ1327" s="1194" t="str">
        <f>IF(AND(AD1327=1,D1327="Military",H1327&lt;&gt;"Not given")=TRUE,IF(SUMIFS(P:P,A:A,A1327)&gt;0,ABS((SUMIFS(P:P,A:A,A1327)/VLOOKUP("USD",'Exchange Rates'!B:C,2,0)))/S1327,"."),".")</f>
        <v>.</v>
      </c>
      <c r="BA1327" s="1196" t="str">
        <f>IF(AND(AD1327=1,D1327="Military",H1327&lt;&gt;"Not given")=TRUE,IF(SUMIFS(P:P,A:A,A1327)&gt;0,IF((ABS((SUMIFS(P:P,A:A,A1327)/VLOOKUP("USD",'Exchange Rates'!B:C,2,0)))/S1327)&gt;1,(SUMIFS(P:P,A:A,A1327)-S1327)/S1327,(S1327-SUMIFS(P:P,A:A,A1327))/SUMIFS(P:P,A:A,A1327)),"."),".")</f>
        <v>.</v>
      </c>
    </row>
    <row r="1328" spans="1:71" ht="15.95" customHeight="1">
      <c r="A1328" s="1208" t="s">
        <v>3661</v>
      </c>
      <c r="B1328" s="1208" t="s">
        <v>3649</v>
      </c>
      <c r="C1328" s="1220">
        <v>44867</v>
      </c>
      <c r="D1328" s="1208" t="s">
        <v>360</v>
      </c>
      <c r="E1328" s="1208" t="s">
        <v>2586</v>
      </c>
      <c r="F1328" s="1208" t="s">
        <v>3662</v>
      </c>
      <c r="G1328" s="1184" t="s">
        <v>3651</v>
      </c>
      <c r="H1328" s="1185">
        <v>100000000</v>
      </c>
      <c r="I1328" s="1201" t="s">
        <v>596</v>
      </c>
      <c r="J1328" s="1186" t="str">
        <f>VLOOKUP($I1328,'Price List, Weapons &amp; Items'!B:C,2,0)</f>
        <v>Military equipment</v>
      </c>
      <c r="K1328" s="1186" t="str">
        <f>IF(I1328=".",I1328,VLOOKUP($I1328,'Price List, Weapons &amp; Items'!B:D,3,0))</f>
        <v>Military equipment</v>
      </c>
      <c r="L1328" s="1187">
        <f>VLOOKUP(I1328,'Price List, Weapons &amp; Items'!B:E,4,0)</f>
        <v>0</v>
      </c>
      <c r="M1328" s="1188">
        <v>70</v>
      </c>
      <c r="N1328" s="1188" t="s">
        <v>364</v>
      </c>
      <c r="O1328" s="1188">
        <f>VLOOKUP($I1328,'Price List, Weapons &amp; Items'!B:G,6,0)</f>
        <v>22216</v>
      </c>
      <c r="P1328" s="1185">
        <f t="shared" si="276"/>
        <v>1555120</v>
      </c>
      <c r="Q1328" s="1185" t="str">
        <f t="shared" si="277"/>
        <v>.</v>
      </c>
      <c r="R1328" s="1185" t="str">
        <f t="shared" si="273"/>
        <v/>
      </c>
      <c r="S1328" s="1185" t="str">
        <f>IF(AND(AD1328=1,R1328&lt;&gt;".")=TRUE,R1328/VLOOKUP(G1328,'Exchange Rates'!B:C,2,0),IF(R1328=".",".",""))</f>
        <v/>
      </c>
      <c r="T1328" s="1185" t="str">
        <f>IF(AD1328=1,IF(AF1328="Value is not given at all",".",IF(AF1328="Value is given by the source",S1328,IF(AF1328="Value is calculated with prices",(IF(SUMIFS(Q:Q,A:A,A1328)&gt;0,SUMIFS(Q:Q,A:A,A1328),"."))/VLOOKUP("USD",'Exchange Rates'!B:C,2,0),"Error with coding"))),"")</f>
        <v/>
      </c>
      <c r="U1328" s="1184" t="s">
        <v>365</v>
      </c>
      <c r="V1328" s="1017" t="s">
        <v>3663</v>
      </c>
      <c r="W1328" s="971" t="s">
        <v>3664</v>
      </c>
      <c r="X1328" s="1301" t="s">
        <v>3665</v>
      </c>
      <c r="Y1328" s="980" t="s">
        <v>3666</v>
      </c>
      <c r="Z1328" s="1184">
        <v>0</v>
      </c>
      <c r="AA1328" s="1194">
        <v>1</v>
      </c>
      <c r="AB1328" s="1000" t="s">
        <v>364</v>
      </c>
      <c r="AC1328" s="1192" t="str">
        <f>""</f>
        <v/>
      </c>
      <c r="AD1328" s="1193">
        <v>0</v>
      </c>
      <c r="AE1328" s="1193" t="s">
        <v>368</v>
      </c>
      <c r="AF1328" s="1193" t="s">
        <v>369</v>
      </c>
      <c r="AG1328" s="1193">
        <v>1</v>
      </c>
      <c r="AH1328" s="1193">
        <v>11</v>
      </c>
      <c r="AI1328" s="1193">
        <v>0</v>
      </c>
      <c r="AJ1328" s="1193">
        <f>VLOOKUP($I1328,'Price List, Weapons &amp; Items'!B:F,5,0)</f>
        <v>0</v>
      </c>
      <c r="AK1328" s="1193">
        <f t="shared" si="278"/>
        <v>0</v>
      </c>
      <c r="AL1328" s="1193">
        <f t="shared" si="279"/>
        <v>0</v>
      </c>
      <c r="AM1328" s="1193">
        <f t="shared" si="280"/>
        <v>0</v>
      </c>
      <c r="AN1328" s="1194" t="str">
        <f>VLOOKUP($I1328,'Price List, Weapons &amp; Items'!B:L,COLUMN('Price List, Weapons &amp; Items'!$J$11)-1,0)</f>
        <v>Government information</v>
      </c>
      <c r="AO1328" s="1194" t="str">
        <f>IF(I1328=".",".",VLOOKUP($I1328,'Price List, Weapons &amp; Items'!B:J,3,0))</f>
        <v>Military equipment</v>
      </c>
      <c r="AP1328" s="1195" t="str">
        <f t="shared" ca="1" si="274"/>
        <v/>
      </c>
      <c r="AQ1328" s="1194">
        <f>VLOOKUP($I1328,'Price List, Weapons &amp; Items'!B:L,COLUMN('Price List, Weapons &amp; Items'!$L$11)-1,0)</f>
        <v>2</v>
      </c>
      <c r="AR1328" s="1194">
        <f t="shared" si="281"/>
        <v>1</v>
      </c>
      <c r="AS1328" s="1194">
        <f t="shared" si="282"/>
        <v>0</v>
      </c>
      <c r="AT1328" s="1194">
        <f t="shared" si="283"/>
        <v>1</v>
      </c>
      <c r="AU1328" s="1194" t="str">
        <f t="shared" si="285"/>
        <v>.</v>
      </c>
      <c r="AV1328" s="1194" t="str">
        <f t="shared" si="275"/>
        <v>.</v>
      </c>
      <c r="AW1328" s="1194" t="str">
        <f t="shared" si="284"/>
        <v>.</v>
      </c>
      <c r="AX1328" s="1194">
        <f>IFERROR(VLOOKUP(B1328,'Share, Heavy Weapons to Ukraine'!B:Z,COLUMN('Share, Heavy Weapons to Ukraine'!C1340)-1,0),0)</f>
        <v>0</v>
      </c>
      <c r="AY1328" s="1194">
        <f>VLOOKUP('Bilateral Assistance, MAIN DATA'!B1328,'Country Summary (€)'!B:F,COLUMN('Country Summary (€)'!C1341)-1,FALSE)</f>
        <v>0</v>
      </c>
      <c r="AZ1328" s="1194" t="str">
        <f>IF(AND(AD1328=1,D1328="Military",H1328&lt;&gt;"Not given")=TRUE,IF(SUMIFS(P:P,A:A,A1328)&gt;0,ABS((SUMIFS(P:P,A:A,A1328)/VLOOKUP("USD",'Exchange Rates'!B:C,2,0)))/S1328,"."),".")</f>
        <v>.</v>
      </c>
      <c r="BA1328" s="1196" t="str">
        <f>IF(AND(AD1328=1,D1328="Military",H1328&lt;&gt;"Not given")=TRUE,IF(SUMIFS(P:P,A:A,A1328)&gt;0,IF((ABS((SUMIFS(P:P,A:A,A1328)/VLOOKUP("USD",'Exchange Rates'!B:C,2,0)))/S1328)&gt;1,(SUMIFS(P:P,A:A,A1328)-S1328)/S1328,(S1328-SUMIFS(P:P,A:A,A1328))/SUMIFS(P:P,A:A,A1328)),"."),".")</f>
        <v>.</v>
      </c>
    </row>
    <row r="1329" spans="1:71" ht="15.95" customHeight="1">
      <c r="A1329" s="1208" t="s">
        <v>3667</v>
      </c>
      <c r="B1329" s="1208" t="s">
        <v>3649</v>
      </c>
      <c r="C1329" s="1209">
        <v>44918</v>
      </c>
      <c r="D1329" s="1208" t="s">
        <v>360</v>
      </c>
      <c r="E1329" s="1208" t="s">
        <v>759</v>
      </c>
      <c r="F1329" s="1208" t="s">
        <v>3668</v>
      </c>
      <c r="G1329" s="1184" t="s">
        <v>3651</v>
      </c>
      <c r="H1329" s="1210">
        <v>46000000</v>
      </c>
      <c r="I1329" s="1208" t="s">
        <v>364</v>
      </c>
      <c r="J1329" s="1186" t="str">
        <f>VLOOKUP($I1329,'Price List, Weapons &amp; Items'!B:C,2,0)</f>
        <v>.</v>
      </c>
      <c r="K1329" s="1186" t="str">
        <f>IF(I1329=".",I1329,VLOOKUP($I1329,'Price List, Weapons &amp; Items'!B:D,3,0))</f>
        <v>.</v>
      </c>
      <c r="L1329" s="1187">
        <f>VLOOKUP(I1329,'Price List, Weapons &amp; Items'!B:E,4,0)</f>
        <v>0</v>
      </c>
      <c r="M1329" s="1241" t="s">
        <v>364</v>
      </c>
      <c r="N1329" s="1211" t="s">
        <v>364</v>
      </c>
      <c r="O1329" s="1188" t="str">
        <f>VLOOKUP($I1329,'Price List, Weapons &amp; Items'!B:G,6,0)</f>
        <v>.</v>
      </c>
      <c r="P1329" s="1185" t="str">
        <f t="shared" si="276"/>
        <v>.</v>
      </c>
      <c r="Q1329" s="1185" t="str">
        <f t="shared" si="277"/>
        <v>.</v>
      </c>
      <c r="R1329" s="1185">
        <f t="shared" si="273"/>
        <v>46000000</v>
      </c>
      <c r="S1329" s="1185">
        <f>IF(AND(AD1329=1,R1329&lt;&gt;".")=TRUE,R1329/VLOOKUP(G1329,'Exchange Rates'!B:C,2,0),IF(R1329=".",".",""))</f>
        <v>47174648.753973953</v>
      </c>
      <c r="T1329" s="1185" t="str">
        <f>IF(AD1329=1,IF(AF1329="Value is not given at all",".",IF(AF1329="Value is given by the source",S1329,IF(AF1329="Value is calculated with prices",(IF(SUMIFS(Q:Q,A:A,A1329)&gt;0,SUMIFS(Q:Q,A:A,A1329),"."))/VLOOKUP("USD",'Exchange Rates'!B:C,2,0),"Error with coding"))),"")</f>
        <v>.</v>
      </c>
      <c r="U1329" s="1191" t="s">
        <v>365</v>
      </c>
      <c r="V1329" s="1301" t="s">
        <v>3669</v>
      </c>
      <c r="W1329" s="983" t="s">
        <v>3670</v>
      </c>
      <c r="X1329" s="980" t="s">
        <v>3671</v>
      </c>
      <c r="Y1329" s="1208" t="s">
        <v>364</v>
      </c>
      <c r="Z1329" s="1191">
        <v>0</v>
      </c>
      <c r="AA1329" s="1191">
        <v>1</v>
      </c>
      <c r="AB1329" s="1208" t="s">
        <v>364</v>
      </c>
      <c r="AC1329" s="1192" t="str">
        <f>""</f>
        <v/>
      </c>
      <c r="AD1329" s="1191">
        <v>1</v>
      </c>
      <c r="AE1329" s="1191" t="s">
        <v>368</v>
      </c>
      <c r="AF1329" s="1191" t="s">
        <v>369</v>
      </c>
      <c r="AG1329" s="1193">
        <v>1</v>
      </c>
      <c r="AH1329" s="1191">
        <v>12</v>
      </c>
      <c r="AI1329" s="1193">
        <v>0</v>
      </c>
      <c r="AJ1329" s="1193">
        <f>VLOOKUP($I1329,'Price List, Weapons &amp; Items'!B:F,5,0)</f>
        <v>0</v>
      </c>
      <c r="AK1329" s="1193">
        <f t="shared" si="278"/>
        <v>0</v>
      </c>
      <c r="AL1329" s="1193">
        <f t="shared" si="279"/>
        <v>0</v>
      </c>
      <c r="AM1329" s="1193">
        <f t="shared" si="280"/>
        <v>0</v>
      </c>
      <c r="AN1329" s="1194" t="str">
        <f>VLOOKUP($I1329,'Price List, Weapons &amp; Items'!B:L,COLUMN('Price List, Weapons &amp; Items'!$J$11)-1,0)</f>
        <v>.</v>
      </c>
      <c r="AO1329" s="1194" t="str">
        <f>IF(I1329=".",".",VLOOKUP($I1329,'Price List, Weapons &amp; Items'!B:J,3,0))</f>
        <v>.</v>
      </c>
      <c r="AP1329" s="1195" t="str">
        <f t="shared" ca="1" si="274"/>
        <v>.</v>
      </c>
      <c r="AQ1329" s="1194">
        <f>VLOOKUP($I1329,'Price List, Weapons &amp; Items'!B:L,COLUMN('Price List, Weapons &amp; Items'!$L$11)-1,0)</f>
        <v>0</v>
      </c>
      <c r="AR1329" s="1194">
        <f t="shared" si="281"/>
        <v>1</v>
      </c>
      <c r="AS1329" s="1194">
        <f t="shared" si="282"/>
        <v>0</v>
      </c>
      <c r="AT1329" s="1194">
        <f t="shared" si="283"/>
        <v>1</v>
      </c>
      <c r="AU1329" s="1194" t="str">
        <f t="shared" si="285"/>
        <v>.</v>
      </c>
      <c r="AV1329" s="1194" t="str">
        <f t="shared" si="275"/>
        <v>.</v>
      </c>
      <c r="AW1329" s="1194" t="str">
        <f t="shared" si="284"/>
        <v>.</v>
      </c>
      <c r="AX1329" s="1194">
        <f>IFERROR(VLOOKUP(B1329,'Share, Heavy Weapons to Ukraine'!B:Z,COLUMN('Share, Heavy Weapons to Ukraine'!C1341)-1,0),0)</f>
        <v>0</v>
      </c>
      <c r="AY1329" s="1194">
        <f>VLOOKUP('Bilateral Assistance, MAIN DATA'!B1329,'Country Summary (€)'!B:F,COLUMN('Country Summary (€)'!C1342)-1,FALSE)</f>
        <v>0</v>
      </c>
      <c r="AZ1329" s="1194" t="str">
        <f>IF(AND(AD1329=1,D1329="Military",H1329&lt;&gt;"Not given")=TRUE,IF(SUMIFS(P:P,A:A,A1329)&gt;0,ABS((SUMIFS(P:P,A:A,A1329)/VLOOKUP("USD",'Exchange Rates'!B:C,2,0)))/S1329,"."),".")</f>
        <v>.</v>
      </c>
      <c r="BA1329" s="1196" t="str">
        <f>IF(AND(AD1329=1,D1329="Military",H1329&lt;&gt;"Not given")=TRUE,IF(SUMIFS(P:P,A:A,A1329)&gt;0,IF((ABS((SUMIFS(P:P,A:A,A1329)/VLOOKUP("USD",'Exchange Rates'!B:C,2,0)))/S1329)&gt;1,(SUMIFS(P:P,A:A,A1329)-S1329)/S1329,(S1329-SUMIFS(P:P,A:A,A1329))/SUMIFS(P:P,A:A,A1329)),"."),".")</f>
        <v>.</v>
      </c>
      <c r="BB1329" s="1208"/>
      <c r="BC1329" s="1208"/>
      <c r="BD1329" s="1208"/>
      <c r="BE1329" s="1208"/>
      <c r="BF1329" s="1208"/>
      <c r="BG1329" s="1208"/>
      <c r="BH1329" s="1208"/>
      <c r="BI1329" s="1208"/>
      <c r="BJ1329" s="1208"/>
      <c r="BK1329" s="1208"/>
      <c r="BL1329" s="1208"/>
      <c r="BM1329" s="1208"/>
      <c r="BN1329" s="1208"/>
      <c r="BO1329" s="1208"/>
      <c r="BP1329" s="1208"/>
      <c r="BQ1329" s="1208"/>
      <c r="BR1329" s="1208"/>
      <c r="BS1329" s="1208"/>
    </row>
    <row r="1330" spans="1:71" ht="15.95" customHeight="1">
      <c r="A1330" s="1208" t="s">
        <v>3672</v>
      </c>
      <c r="B1330" s="1208" t="s">
        <v>3649</v>
      </c>
      <c r="C1330" s="1209">
        <v>44918</v>
      </c>
      <c r="D1330" s="1208" t="s">
        <v>360</v>
      </c>
      <c r="E1330" s="1208" t="s">
        <v>361</v>
      </c>
      <c r="F1330" s="1208" t="s">
        <v>3673</v>
      </c>
      <c r="G1330" s="1184" t="s">
        <v>3651</v>
      </c>
      <c r="H1330" s="1210">
        <v>1500000</v>
      </c>
      <c r="I1330" s="1208" t="s">
        <v>364</v>
      </c>
      <c r="J1330" s="1186" t="str">
        <f>VLOOKUP($I1330,'Price List, Weapons &amp; Items'!B:C,2,0)</f>
        <v>.</v>
      </c>
      <c r="K1330" s="1186" t="str">
        <f>IF(I1330=".",I1330,VLOOKUP($I1330,'Price List, Weapons &amp; Items'!B:D,3,0))</f>
        <v>.</v>
      </c>
      <c r="L1330" s="1187">
        <f>VLOOKUP(I1330,'Price List, Weapons &amp; Items'!B:E,4,0)</f>
        <v>0</v>
      </c>
      <c r="M1330" s="1241" t="s">
        <v>364</v>
      </c>
      <c r="N1330" s="1211" t="s">
        <v>364</v>
      </c>
      <c r="O1330" s="1188" t="str">
        <f>VLOOKUP($I1330,'Price List, Weapons &amp; Items'!B:G,6,0)</f>
        <v>.</v>
      </c>
      <c r="P1330" s="1185" t="str">
        <f t="shared" si="276"/>
        <v>.</v>
      </c>
      <c r="Q1330" s="1185" t="str">
        <f t="shared" si="277"/>
        <v>.</v>
      </c>
      <c r="R1330" s="1185">
        <f t="shared" si="273"/>
        <v>1500000</v>
      </c>
      <c r="S1330" s="1185">
        <f>IF(AND(AD1330=1,R1330&lt;&gt;".")=TRUE,R1330/VLOOKUP(G1330,'Exchange Rates'!B:C,2,0),IF(R1330=".",".",""))</f>
        <v>1538303.7637165419</v>
      </c>
      <c r="T1330" s="1185" t="str">
        <f>IF(AD1330=1,IF(AF1330="Value is not given at all",".",IF(AF1330="Value is given by the source",S1330,IF(AF1330="Value is calculated with prices",(IF(SUMIFS(Q:Q,A:A,A1330)&gt;0,SUMIFS(Q:Q,A:A,A1330),"."))/VLOOKUP("USD",'Exchange Rates'!B:C,2,0),"Error with coding"))),"")</f>
        <v>.</v>
      </c>
      <c r="U1330" s="1191" t="s">
        <v>365</v>
      </c>
      <c r="V1330" s="966" t="s">
        <v>3669</v>
      </c>
      <c r="W1330" s="983" t="s">
        <v>3659</v>
      </c>
      <c r="X1330" s="966" t="s">
        <v>3674</v>
      </c>
      <c r="Y1330" s="1208" t="s">
        <v>364</v>
      </c>
      <c r="Z1330" s="1191">
        <v>0</v>
      </c>
      <c r="AA1330" s="1191">
        <v>1</v>
      </c>
      <c r="AB1330" s="1208" t="s">
        <v>364</v>
      </c>
      <c r="AC1330" s="1192" t="str">
        <f>""</f>
        <v/>
      </c>
      <c r="AD1330" s="1191">
        <v>1</v>
      </c>
      <c r="AE1330" s="1191" t="s">
        <v>368</v>
      </c>
      <c r="AF1330" s="1191" t="s">
        <v>369</v>
      </c>
      <c r="AG1330" s="1193">
        <v>1</v>
      </c>
      <c r="AH1330" s="1191">
        <v>12</v>
      </c>
      <c r="AI1330" s="1193">
        <v>0</v>
      </c>
      <c r="AJ1330" s="1193">
        <f>VLOOKUP($I1330,'Price List, Weapons &amp; Items'!B:F,5,0)</f>
        <v>0</v>
      </c>
      <c r="AK1330" s="1193">
        <f t="shared" si="278"/>
        <v>0</v>
      </c>
      <c r="AL1330" s="1193">
        <f t="shared" si="279"/>
        <v>0</v>
      </c>
      <c r="AM1330" s="1193">
        <f t="shared" si="280"/>
        <v>0</v>
      </c>
      <c r="AN1330" s="1194" t="str">
        <f>VLOOKUP($I1330,'Price List, Weapons &amp; Items'!B:L,COLUMN('Price List, Weapons &amp; Items'!$J$11)-1,0)</f>
        <v>.</v>
      </c>
      <c r="AO1330" s="1194" t="str">
        <f>IF(I1330=".",".",VLOOKUP($I1330,'Price List, Weapons &amp; Items'!B:J,3,0))</f>
        <v>.</v>
      </c>
      <c r="AP1330" s="1195" t="str">
        <f t="shared" ca="1" si="274"/>
        <v>.</v>
      </c>
      <c r="AQ1330" s="1194">
        <f>VLOOKUP($I1330,'Price List, Weapons &amp; Items'!B:L,COLUMN('Price List, Weapons &amp; Items'!$L$11)-1,0)</f>
        <v>0</v>
      </c>
      <c r="AR1330" s="1194">
        <f t="shared" si="281"/>
        <v>1</v>
      </c>
      <c r="AS1330" s="1194">
        <f t="shared" si="282"/>
        <v>0</v>
      </c>
      <c r="AT1330" s="1194">
        <f t="shared" si="283"/>
        <v>1</v>
      </c>
      <c r="AU1330" s="1194" t="str">
        <f t="shared" si="285"/>
        <v>.</v>
      </c>
      <c r="AV1330" s="1194" t="str">
        <f t="shared" si="275"/>
        <v>.</v>
      </c>
      <c r="AW1330" s="1194" t="str">
        <f t="shared" si="284"/>
        <v>.</v>
      </c>
      <c r="AX1330" s="1194">
        <f>IFERROR(VLOOKUP(B1330,'Share, Heavy Weapons to Ukraine'!B:Z,COLUMN('Share, Heavy Weapons to Ukraine'!C1342)-1,0),0)</f>
        <v>0</v>
      </c>
      <c r="AY1330" s="1194">
        <f>VLOOKUP('Bilateral Assistance, MAIN DATA'!B1330,'Country Summary (€)'!B:F,COLUMN('Country Summary (€)'!C1343)-1,FALSE)</f>
        <v>0</v>
      </c>
      <c r="AZ1330" s="1194" t="str">
        <f>IF(AND(AD1330=1,D1330="Military",H1330&lt;&gt;"Not given")=TRUE,IF(SUMIFS(P:P,A:A,A1330)&gt;0,ABS((SUMIFS(P:P,A:A,A1330)/VLOOKUP("USD",'Exchange Rates'!B:C,2,0)))/S1330,"."),".")</f>
        <v>.</v>
      </c>
      <c r="BA1330" s="1196" t="str">
        <f>IF(AND(AD1330=1,D1330="Military",H1330&lt;&gt;"Not given")=TRUE,IF(SUMIFS(P:P,A:A,A1330)&gt;0,IF((ABS((SUMIFS(P:P,A:A,A1330)/VLOOKUP("USD",'Exchange Rates'!B:C,2,0)))/S1330)&gt;1,(SUMIFS(P:P,A:A,A1330)-S1330)/S1330,(S1330-SUMIFS(P:P,A:A,A1330))/SUMIFS(P:P,A:A,A1330)),"."),".")</f>
        <v>.</v>
      </c>
      <c r="BB1330" s="1208"/>
      <c r="BC1330" s="1208"/>
      <c r="BD1330" s="1208"/>
      <c r="BE1330" s="1208"/>
      <c r="BF1330" s="1208"/>
      <c r="BG1330" s="1208"/>
      <c r="BH1330" s="1208"/>
      <c r="BI1330" s="1208"/>
      <c r="BJ1330" s="1208"/>
      <c r="BK1330" s="1208"/>
      <c r="BL1330" s="1208"/>
      <c r="BM1330" s="1208"/>
      <c r="BN1330" s="1208"/>
      <c r="BO1330" s="1208"/>
      <c r="BP1330" s="1208"/>
      <c r="BQ1330" s="1208"/>
      <c r="BR1330" s="1208"/>
      <c r="BS1330" s="1208"/>
    </row>
    <row r="1331" spans="1:71" ht="15.95" customHeight="1">
      <c r="A1331" s="1208" t="s">
        <v>3675</v>
      </c>
      <c r="B1331" s="1208" t="s">
        <v>3649</v>
      </c>
      <c r="C1331" s="1209">
        <v>44979</v>
      </c>
      <c r="D1331" s="1208" t="s">
        <v>360</v>
      </c>
      <c r="E1331" s="1208" t="s">
        <v>759</v>
      </c>
      <c r="F1331" s="1208" t="s">
        <v>3676</v>
      </c>
      <c r="G1331" s="1184" t="s">
        <v>3651</v>
      </c>
      <c r="H1331" s="1210">
        <v>114000000</v>
      </c>
      <c r="I1331" s="1208" t="s">
        <v>364</v>
      </c>
      <c r="J1331" s="1186" t="str">
        <f>VLOOKUP($I1331,'Price List, Weapons &amp; Items'!B:C,2,0)</f>
        <v>.</v>
      </c>
      <c r="K1331" s="1186" t="str">
        <f>IF(I1331=".",I1331,VLOOKUP($I1331,'Price List, Weapons &amp; Items'!B:D,3,0))</f>
        <v>.</v>
      </c>
      <c r="L1331" s="1187">
        <f>VLOOKUP(I1331,'Price List, Weapons &amp; Items'!B:E,4,0)</f>
        <v>0</v>
      </c>
      <c r="M1331" s="1241" t="s">
        <v>364</v>
      </c>
      <c r="N1331" s="1211" t="s">
        <v>364</v>
      </c>
      <c r="O1331" s="1188" t="str">
        <f>VLOOKUP($I1331,'Price List, Weapons &amp; Items'!B:G,6,0)</f>
        <v>.</v>
      </c>
      <c r="P1331" s="1185" t="str">
        <f t="shared" si="276"/>
        <v>.</v>
      </c>
      <c r="Q1331" s="1185" t="str">
        <f t="shared" si="277"/>
        <v>.</v>
      </c>
      <c r="R1331" s="1185">
        <f t="shared" si="273"/>
        <v>114000000</v>
      </c>
      <c r="S1331" s="1185">
        <f>IF(AND(AD1331=1,R1331&lt;&gt;".")=TRUE,R1331/VLOOKUP(G1331,'Exchange Rates'!B:C,2,0),IF(R1331=".",".",""))</f>
        <v>116911086.04245719</v>
      </c>
      <c r="T1331" s="1185" t="str">
        <f>IF(AD1331=1,IF(AF1331="Value is not given at all",".",IF(AF1331="Value is given by the source",S1331,IF(AF1331="Value is calculated with prices",(IF(SUMIFS(Q:Q,A:A,A1331)&gt;0,SUMIFS(Q:Q,A:A,A1331),"."))/VLOOKUP("USD",'Exchange Rates'!B:C,2,0),"Error with coding"))),"")</f>
        <v>.</v>
      </c>
      <c r="U1331" s="1191" t="s">
        <v>365</v>
      </c>
      <c r="V1331" s="983" t="s">
        <v>3677</v>
      </c>
      <c r="W1331" s="983" t="s">
        <v>3678</v>
      </c>
      <c r="X1331" s="966" t="s">
        <v>3679</v>
      </c>
      <c r="Y1331" s="1208" t="s">
        <v>364</v>
      </c>
      <c r="Z1331" s="1191">
        <v>0</v>
      </c>
      <c r="AA1331" s="1191">
        <v>1</v>
      </c>
      <c r="AB1331" s="1208" t="s">
        <v>364</v>
      </c>
      <c r="AC1331" s="1192" t="str">
        <f>""</f>
        <v/>
      </c>
      <c r="AD1331" s="1191">
        <v>1</v>
      </c>
      <c r="AE1331" s="1191" t="s">
        <v>368</v>
      </c>
      <c r="AF1331" s="1191" t="s">
        <v>369</v>
      </c>
      <c r="AG1331" s="1193">
        <v>1</v>
      </c>
      <c r="AH1331" s="1191">
        <v>14</v>
      </c>
      <c r="AI1331" s="1193">
        <v>0</v>
      </c>
      <c r="AJ1331" s="1193">
        <f>VLOOKUP($I1331,'Price List, Weapons &amp; Items'!B:F,5,0)</f>
        <v>0</v>
      </c>
      <c r="AK1331" s="1193">
        <f t="shared" si="278"/>
        <v>0</v>
      </c>
      <c r="AL1331" s="1193">
        <f t="shared" si="279"/>
        <v>0</v>
      </c>
      <c r="AM1331" s="1193">
        <f t="shared" si="280"/>
        <v>0</v>
      </c>
      <c r="AN1331" s="1194" t="str">
        <f>VLOOKUP($I1331,'Price List, Weapons &amp; Items'!B:L,COLUMN('Price List, Weapons &amp; Items'!$J$11)-1,0)</f>
        <v>.</v>
      </c>
      <c r="AO1331" s="1194" t="str">
        <f>IF(I1331=".",".",VLOOKUP($I1331,'Price List, Weapons &amp; Items'!B:J,3,0))</f>
        <v>.</v>
      </c>
      <c r="AP1331" s="1195" t="str">
        <f t="shared" ca="1" si="274"/>
        <v>.</v>
      </c>
      <c r="AQ1331" s="1194">
        <f>VLOOKUP($I1331,'Price List, Weapons &amp; Items'!B:L,COLUMN('Price List, Weapons &amp; Items'!$L$11)-1,0)</f>
        <v>0</v>
      </c>
      <c r="AR1331" s="1194">
        <f t="shared" si="281"/>
        <v>1</v>
      </c>
      <c r="AS1331" s="1194">
        <f t="shared" si="282"/>
        <v>0</v>
      </c>
      <c r="AT1331" s="1194">
        <f t="shared" si="283"/>
        <v>1</v>
      </c>
      <c r="AU1331" s="1194" t="str">
        <f t="shared" si="285"/>
        <v>.</v>
      </c>
      <c r="AV1331" s="1194" t="str">
        <f t="shared" si="275"/>
        <v>.</v>
      </c>
      <c r="AW1331" s="1194" t="str">
        <f t="shared" si="284"/>
        <v>.</v>
      </c>
      <c r="AX1331" s="1194">
        <f>IFERROR(VLOOKUP(B1331,'Share, Heavy Weapons to Ukraine'!B:Z,COLUMN('Share, Heavy Weapons to Ukraine'!C1343)-1,0),0)</f>
        <v>0</v>
      </c>
      <c r="AY1331" s="1194">
        <f>VLOOKUP('Bilateral Assistance, MAIN DATA'!B1331,'Country Summary (€)'!B:F,COLUMN('Country Summary (€)'!C1344)-1,FALSE)</f>
        <v>0</v>
      </c>
      <c r="AZ1331" s="1194" t="str">
        <f>IF(AND(AD1331=1,D1331="Military",H1331&lt;&gt;"Not given")=TRUE,IF(SUMIFS(P:P,A:A,A1331)&gt;0,ABS((SUMIFS(P:P,A:A,A1331)/VLOOKUP("USD",'Exchange Rates'!B:C,2,0)))/S1331,"."),".")</f>
        <v>.</v>
      </c>
      <c r="BA1331" s="1196" t="str">
        <f>IF(AND(AD1331=1,D1331="Military",H1331&lt;&gt;"Not given")=TRUE,IF(SUMIFS(P:P,A:A,A1331)&gt;0,IF((ABS((SUMIFS(P:P,A:A,A1331)/VLOOKUP("USD",'Exchange Rates'!B:C,2,0)))/S1331)&gt;1,(SUMIFS(P:P,A:A,A1331)-S1331)/S1331,(S1331-SUMIFS(P:P,A:A,A1331))/SUMIFS(P:P,A:A,A1331)),"."),".")</f>
        <v>.</v>
      </c>
      <c r="BB1331" s="1208" t="s">
        <v>38</v>
      </c>
      <c r="BC1331" s="1208" t="s">
        <v>38</v>
      </c>
      <c r="BD1331" s="1208" t="s">
        <v>38</v>
      </c>
      <c r="BE1331" s="1208" t="s">
        <v>38</v>
      </c>
      <c r="BF1331" s="1208" t="s">
        <v>38</v>
      </c>
      <c r="BG1331" s="1208" t="s">
        <v>38</v>
      </c>
      <c r="BH1331" s="1208" t="s">
        <v>38</v>
      </c>
      <c r="BI1331" s="1208" t="s">
        <v>38</v>
      </c>
      <c r="BJ1331" s="1208" t="s">
        <v>38</v>
      </c>
      <c r="BK1331" s="1208" t="s">
        <v>38</v>
      </c>
      <c r="BL1331" s="1208" t="s">
        <v>38</v>
      </c>
      <c r="BM1331" s="1208" t="s">
        <v>38</v>
      </c>
      <c r="BN1331" s="1208" t="s">
        <v>38</v>
      </c>
      <c r="BO1331" s="1208" t="s">
        <v>38</v>
      </c>
      <c r="BP1331" s="1208" t="s">
        <v>38</v>
      </c>
      <c r="BQ1331" s="1208" t="s">
        <v>38</v>
      </c>
      <c r="BR1331" s="1208" t="s">
        <v>38</v>
      </c>
      <c r="BS1331" s="1208" t="s">
        <v>38</v>
      </c>
    </row>
    <row r="1332" spans="1:71" ht="15.95" customHeight="1">
      <c r="A1332" s="1208" t="s">
        <v>3680</v>
      </c>
      <c r="B1332" s="1208" t="s">
        <v>3649</v>
      </c>
      <c r="C1332" s="1209">
        <v>44918</v>
      </c>
      <c r="D1332" s="1208" t="s">
        <v>544</v>
      </c>
      <c r="E1332" s="1208" t="s">
        <v>481</v>
      </c>
      <c r="F1332" s="1208" t="s">
        <v>3681</v>
      </c>
      <c r="G1332" s="1184" t="s">
        <v>3651</v>
      </c>
      <c r="H1332" s="1185">
        <v>23000000</v>
      </c>
      <c r="I1332" s="1201" t="s">
        <v>364</v>
      </c>
      <c r="J1332" s="1186" t="str">
        <f>VLOOKUP($I1332,'Price List, Weapons &amp; Items'!B:C,2,0)</f>
        <v>.</v>
      </c>
      <c r="K1332" s="1186" t="str">
        <f>IF(I1332=".",I1332,VLOOKUP($I1332,'Price List, Weapons &amp; Items'!B:D,3,0))</f>
        <v>.</v>
      </c>
      <c r="L1332" s="1187">
        <f>VLOOKUP(I1332,'Price List, Weapons &amp; Items'!B:E,4,0)</f>
        <v>0</v>
      </c>
      <c r="M1332" s="1188" t="s">
        <v>364</v>
      </c>
      <c r="N1332" s="1188" t="s">
        <v>364</v>
      </c>
      <c r="O1332" s="1188" t="str">
        <f>VLOOKUP($I1332,'Price List, Weapons &amp; Items'!B:G,6,0)</f>
        <v>.</v>
      </c>
      <c r="P1332" s="1185" t="str">
        <f t="shared" si="276"/>
        <v>.</v>
      </c>
      <c r="Q1332" s="1185" t="str">
        <f t="shared" si="277"/>
        <v>.</v>
      </c>
      <c r="R1332" s="1185">
        <f t="shared" si="273"/>
        <v>23000000</v>
      </c>
      <c r="S1332" s="1185">
        <f>IF(AND(AD1332=1,R1332&lt;&gt;".")=TRUE,R1332/VLOOKUP(G1332,'Exchange Rates'!B:C,2,0),IF(R1332=".",".",""))</f>
        <v>23587324.376986977</v>
      </c>
      <c r="T1332" s="1185" t="str">
        <f>IF(AD1332=1,IF(AF1332="Value is not given at all",".",IF(AF1332="Value is given by the source",S1332,IF(AF1332="Value is calculated with prices",(IF(SUMIFS(Q:Q,A:A,A1332)&gt;0,SUMIFS(Q:Q,A:A,A1332),"."))/VLOOKUP("USD",'Exchange Rates'!B:C,2,0),"Error with coding"))),"")</f>
        <v>.</v>
      </c>
      <c r="U1332" s="1191" t="s">
        <v>365</v>
      </c>
      <c r="V1332" s="966" t="s">
        <v>3669</v>
      </c>
      <c r="W1332" s="973" t="s">
        <v>3670</v>
      </c>
      <c r="X1332" s="981" t="s">
        <v>364</v>
      </c>
      <c r="Y1332" s="981" t="s">
        <v>364</v>
      </c>
      <c r="Z1332" s="1184">
        <v>1</v>
      </c>
      <c r="AA1332" s="1194">
        <v>1</v>
      </c>
      <c r="AB1332" s="1000" t="s">
        <v>364</v>
      </c>
      <c r="AC1332" s="1192" t="str">
        <f>""</f>
        <v/>
      </c>
      <c r="AD1332" s="1193">
        <v>1</v>
      </c>
      <c r="AE1332" s="1193" t="s">
        <v>368</v>
      </c>
      <c r="AF1332" s="1193" t="s">
        <v>369</v>
      </c>
      <c r="AG1332" s="1193">
        <v>1</v>
      </c>
      <c r="AH1332" s="1193">
        <v>12</v>
      </c>
      <c r="AI1332" s="1193">
        <v>0</v>
      </c>
      <c r="AJ1332" s="1193">
        <f>VLOOKUP($I1332,'Price List, Weapons &amp; Items'!B:F,5,0)</f>
        <v>0</v>
      </c>
      <c r="AK1332" s="1193">
        <f t="shared" si="278"/>
        <v>0</v>
      </c>
      <c r="AL1332" s="1193">
        <f t="shared" si="279"/>
        <v>0</v>
      </c>
      <c r="AM1332" s="1193">
        <f t="shared" si="280"/>
        <v>0</v>
      </c>
      <c r="AN1332" s="1194" t="str">
        <f>VLOOKUP($I1332,'Price List, Weapons &amp; Items'!B:L,COLUMN('Price List, Weapons &amp; Items'!$J$11)-1,0)</f>
        <v>.</v>
      </c>
      <c r="AO1332" s="1194" t="str">
        <f>IF(I1332=".",".",VLOOKUP($I1332,'Price List, Weapons &amp; Items'!B:J,3,0))</f>
        <v>.</v>
      </c>
      <c r="AP1332" s="1195" t="str">
        <f t="shared" ca="1" si="274"/>
        <v>.</v>
      </c>
      <c r="AQ1332" s="1194">
        <f>VLOOKUP($I1332,'Price List, Weapons &amp; Items'!B:L,COLUMN('Price List, Weapons &amp; Items'!$L$11)-1,0)</f>
        <v>0</v>
      </c>
      <c r="AR1332" s="1194">
        <f t="shared" si="281"/>
        <v>1</v>
      </c>
      <c r="AS1332" s="1194">
        <f t="shared" si="282"/>
        <v>0</v>
      </c>
      <c r="AT1332" s="1194">
        <f t="shared" si="283"/>
        <v>1</v>
      </c>
      <c r="AU1332" s="1194" t="str">
        <f t="shared" si="285"/>
        <v>.</v>
      </c>
      <c r="AV1332" s="1194" t="str">
        <f t="shared" si="275"/>
        <v>.</v>
      </c>
      <c r="AW1332" s="1194" t="str">
        <f t="shared" si="284"/>
        <v>.</v>
      </c>
      <c r="AX1332" s="1194">
        <f>IFERROR(VLOOKUP(B1332,'Share, Heavy Weapons to Ukraine'!B:Z,COLUMN('Share, Heavy Weapons to Ukraine'!C1344)-1,0),0)</f>
        <v>0</v>
      </c>
      <c r="AY1332" s="1194">
        <f>VLOOKUP('Bilateral Assistance, MAIN DATA'!B1332,'Country Summary (€)'!B:F,COLUMN('Country Summary (€)'!C1345)-1,FALSE)</f>
        <v>0</v>
      </c>
      <c r="AZ1332" s="1194" t="str">
        <f>IF(AND(AD1332=1,D1332="Military",H1332&lt;&gt;"Not given")=TRUE,IF(SUMIFS(P:P,A:A,A1332)&gt;0,ABS((SUMIFS(P:P,A:A,A1332)/VLOOKUP("USD",'Exchange Rates'!B:C,2,0)))/S1332,"."),".")</f>
        <v>.</v>
      </c>
      <c r="BA1332" s="1196" t="str">
        <f>IF(AND(AD1332=1,D1332="Military",H1332&lt;&gt;"Not given")=TRUE,IF(SUMIFS(P:P,A:A,A1332)&gt;0,IF((ABS((SUMIFS(P:P,A:A,A1332)/VLOOKUP("USD",'Exchange Rates'!B:C,2,0)))/S1332)&gt;1,(SUMIFS(P:P,A:A,A1332)-S1332)/S1332,(S1332-SUMIFS(P:P,A:A,A1332))/SUMIFS(P:P,A:A,A1332)),"."),".")</f>
        <v>.</v>
      </c>
    </row>
    <row r="1333" spans="1:71" ht="15.95" customHeight="1">
      <c r="A1333" s="1208" t="s">
        <v>3682</v>
      </c>
      <c r="B1333" s="1208" t="s">
        <v>3649</v>
      </c>
      <c r="C1333" s="1209">
        <v>44918</v>
      </c>
      <c r="D1333" s="1208" t="s">
        <v>544</v>
      </c>
      <c r="E1333" s="1208" t="s">
        <v>481</v>
      </c>
      <c r="F1333" s="1208" t="s">
        <v>3683</v>
      </c>
      <c r="G1333" s="1184" t="s">
        <v>3651</v>
      </c>
      <c r="H1333" s="1185">
        <v>15000000</v>
      </c>
      <c r="I1333" s="1201" t="s">
        <v>364</v>
      </c>
      <c r="J1333" s="1186" t="str">
        <f>VLOOKUP($I1333,'Price List, Weapons &amp; Items'!B:C,2,0)</f>
        <v>.</v>
      </c>
      <c r="K1333" s="1186" t="str">
        <f>IF(I1333=".",I1333,VLOOKUP($I1333,'Price List, Weapons &amp; Items'!B:D,3,0))</f>
        <v>.</v>
      </c>
      <c r="L1333" s="1187">
        <f>VLOOKUP(I1333,'Price List, Weapons &amp; Items'!B:E,4,0)</f>
        <v>0</v>
      </c>
      <c r="M1333" s="1188" t="s">
        <v>364</v>
      </c>
      <c r="N1333" s="1188" t="s">
        <v>364</v>
      </c>
      <c r="O1333" s="1188" t="str">
        <f>VLOOKUP($I1333,'Price List, Weapons &amp; Items'!B:G,6,0)</f>
        <v>.</v>
      </c>
      <c r="P1333" s="1185" t="str">
        <f t="shared" si="276"/>
        <v>.</v>
      </c>
      <c r="Q1333" s="1185" t="str">
        <f t="shared" si="277"/>
        <v>.</v>
      </c>
      <c r="R1333" s="1185">
        <f t="shared" si="273"/>
        <v>15000000</v>
      </c>
      <c r="S1333" s="1185">
        <f>IF(AND(AD1333=1,R1333&lt;&gt;".")=TRUE,R1333/VLOOKUP(G1333,'Exchange Rates'!B:C,2,0),IF(R1333=".",".",""))</f>
        <v>15383037.63716542</v>
      </c>
      <c r="T1333" s="1185" t="str">
        <f>IF(AD1333=1,IF(AF1333="Value is not given at all",".",IF(AF1333="Value is given by the source",S1333,IF(AF1333="Value is calculated with prices",(IF(SUMIFS(Q:Q,A:A,A1333)&gt;0,SUMIFS(Q:Q,A:A,A1333),"."))/VLOOKUP("USD",'Exchange Rates'!B:C,2,0),"Error with coding"))),"")</f>
        <v>.</v>
      </c>
      <c r="U1333" s="1191" t="s">
        <v>365</v>
      </c>
      <c r="V1333" s="966" t="s">
        <v>3669</v>
      </c>
      <c r="W1333" s="966" t="s">
        <v>3670</v>
      </c>
      <c r="X1333" s="981" t="s">
        <v>364</v>
      </c>
      <c r="Y1333" s="981" t="s">
        <v>364</v>
      </c>
      <c r="Z1333" s="1184">
        <v>0</v>
      </c>
      <c r="AA1333" s="1194">
        <v>1</v>
      </c>
      <c r="AB1333" s="1000" t="s">
        <v>364</v>
      </c>
      <c r="AC1333" s="1192" t="str">
        <f>""</f>
        <v/>
      </c>
      <c r="AD1333" s="1193">
        <v>1</v>
      </c>
      <c r="AE1333" s="1193" t="s">
        <v>368</v>
      </c>
      <c r="AF1333" s="1193" t="s">
        <v>369</v>
      </c>
      <c r="AG1333" s="1193">
        <v>1</v>
      </c>
      <c r="AH1333" s="1193">
        <v>12</v>
      </c>
      <c r="AI1333" s="1193">
        <v>0</v>
      </c>
      <c r="AJ1333" s="1193">
        <f>VLOOKUP($I1333,'Price List, Weapons &amp; Items'!B:F,5,0)</f>
        <v>0</v>
      </c>
      <c r="AK1333" s="1193">
        <f t="shared" si="278"/>
        <v>0</v>
      </c>
      <c r="AL1333" s="1193">
        <f t="shared" si="279"/>
        <v>0</v>
      </c>
      <c r="AM1333" s="1193">
        <f t="shared" si="280"/>
        <v>0</v>
      </c>
      <c r="AN1333" s="1194" t="str">
        <f>VLOOKUP($I1333,'Price List, Weapons &amp; Items'!B:L,COLUMN('Price List, Weapons &amp; Items'!$J$11)-1,0)</f>
        <v>.</v>
      </c>
      <c r="AO1333" s="1194" t="str">
        <f>IF(I1333=".",".",VLOOKUP($I1333,'Price List, Weapons &amp; Items'!B:J,3,0))</f>
        <v>.</v>
      </c>
      <c r="AP1333" s="1195" t="str">
        <f t="shared" ca="1" si="274"/>
        <v>.</v>
      </c>
      <c r="AQ1333" s="1194">
        <f>VLOOKUP($I1333,'Price List, Weapons &amp; Items'!B:L,COLUMN('Price List, Weapons &amp; Items'!$L$11)-1,0)</f>
        <v>0</v>
      </c>
      <c r="AR1333" s="1194">
        <f t="shared" si="281"/>
        <v>1</v>
      </c>
      <c r="AS1333" s="1194">
        <f t="shared" si="282"/>
        <v>0</v>
      </c>
      <c r="AT1333" s="1194">
        <f t="shared" si="283"/>
        <v>1</v>
      </c>
      <c r="AU1333" s="1194" t="str">
        <f t="shared" si="285"/>
        <v>.</v>
      </c>
      <c r="AV1333" s="1194" t="str">
        <f t="shared" si="275"/>
        <v>.</v>
      </c>
      <c r="AW1333" s="1194" t="str">
        <f t="shared" si="284"/>
        <v>.</v>
      </c>
      <c r="AX1333" s="1194">
        <f>IFERROR(VLOOKUP(B1333,'Share, Heavy Weapons to Ukraine'!B:Z,COLUMN('Share, Heavy Weapons to Ukraine'!C1345)-1,0),0)</f>
        <v>0</v>
      </c>
      <c r="AY1333" s="1194">
        <f>VLOOKUP('Bilateral Assistance, MAIN DATA'!B1333,'Country Summary (€)'!B:F,COLUMN('Country Summary (€)'!C1346)-1,FALSE)</f>
        <v>0</v>
      </c>
      <c r="AZ1333" s="1194" t="str">
        <f>IF(AND(AD1333=1,D1333="Military",H1333&lt;&gt;"Not given")=TRUE,IF(SUMIFS(P:P,A:A,A1333)&gt;0,ABS((SUMIFS(P:P,A:A,A1333)/VLOOKUP("USD",'Exchange Rates'!B:C,2,0)))/S1333,"."),".")</f>
        <v>.</v>
      </c>
      <c r="BA1333" s="1196" t="str">
        <f>IF(AND(AD1333=1,D1333="Military",H1333&lt;&gt;"Not given")=TRUE,IF(SUMIFS(P:P,A:A,A1333)&gt;0,IF((ABS((SUMIFS(P:P,A:A,A1333)/VLOOKUP("USD",'Exchange Rates'!B:C,2,0)))/S1333)&gt;1,(SUMIFS(P:P,A:A,A1333)-S1333)/S1333,(S1333-SUMIFS(P:P,A:A,A1333))/SUMIFS(P:P,A:A,A1333)),"."),".")</f>
        <v>.</v>
      </c>
    </row>
    <row r="1334" spans="1:71" ht="15.95" customHeight="1">
      <c r="A1334" s="1180" t="s">
        <v>3684</v>
      </c>
      <c r="B1334" s="1180" t="s">
        <v>3685</v>
      </c>
      <c r="C1334" s="1181">
        <v>44595</v>
      </c>
      <c r="D1334" s="1182" t="s">
        <v>389</v>
      </c>
      <c r="E1334" s="1182" t="s">
        <v>361</v>
      </c>
      <c r="F1334" s="1183" t="s">
        <v>3686</v>
      </c>
      <c r="G1334" s="1184" t="s">
        <v>364</v>
      </c>
      <c r="H1334" s="1185" t="s">
        <v>457</v>
      </c>
      <c r="I1334" s="1180" t="s">
        <v>364</v>
      </c>
      <c r="J1334" s="1186" t="str">
        <f>VLOOKUP($I1334,'Price List, Weapons &amp; Items'!B:C,2,0)</f>
        <v>.</v>
      </c>
      <c r="K1334" s="1186" t="str">
        <f>IF(I1334=".",I1334,VLOOKUP($I1334,'Price List, Weapons &amp; Items'!B:D,3,0))</f>
        <v>.</v>
      </c>
      <c r="L1334" s="1187">
        <f>VLOOKUP(I1334,'Price List, Weapons &amp; Items'!B:E,4,0)</f>
        <v>0</v>
      </c>
      <c r="M1334" s="1188" t="s">
        <v>364</v>
      </c>
      <c r="N1334" s="1188" t="s">
        <v>364</v>
      </c>
      <c r="O1334" s="1188" t="str">
        <f>VLOOKUP($I1334,'Price List, Weapons &amp; Items'!B:G,6,0)</f>
        <v>.</v>
      </c>
      <c r="P1334" s="1185" t="str">
        <f t="shared" si="276"/>
        <v>.</v>
      </c>
      <c r="Q1334" s="1185" t="str">
        <f t="shared" si="277"/>
        <v>.</v>
      </c>
      <c r="R1334" s="1185" t="str">
        <f t="shared" si="273"/>
        <v>.</v>
      </c>
      <c r="S1334" s="1185" t="str">
        <f>IF(AND(AD1334=1,R1334&lt;&gt;".")=TRUE,R1334/VLOOKUP(G1334,'Exchange Rates'!B:C,2,0),IF(R1334=".",".",""))</f>
        <v>.</v>
      </c>
      <c r="T1334" s="1185" t="str">
        <f>IF(AD1334=1,IF(AF1334="Value is not given at all",".",IF(AF1334="Value is given by the source",S1334,IF(AF1334="Value is calculated with prices",(IF(SUMIFS(Q:Q,A:A,A1334)&gt;0,SUMIFS(Q:Q,A:A,A1334),"."))/VLOOKUP("USD",'Exchange Rates'!B:C,2,0),"Error with coding"))),"")</f>
        <v>.</v>
      </c>
      <c r="U1334" s="1184" t="s">
        <v>675</v>
      </c>
      <c r="V1334" s="971" t="s">
        <v>3687</v>
      </c>
      <c r="W1334" s="980" t="s">
        <v>3688</v>
      </c>
      <c r="X1334" s="1190" t="s">
        <v>364</v>
      </c>
      <c r="Y1334" s="1190" t="s">
        <v>364</v>
      </c>
      <c r="Z1334" s="1184">
        <v>0</v>
      </c>
      <c r="AA1334" s="1194">
        <v>1</v>
      </c>
      <c r="AB1334" s="975" t="s">
        <v>364</v>
      </c>
      <c r="AC1334" s="1192" t="str">
        <f>""</f>
        <v/>
      </c>
      <c r="AD1334" s="1193">
        <v>1</v>
      </c>
      <c r="AE1334" s="1193" t="s">
        <v>369</v>
      </c>
      <c r="AF1334" s="1193" t="s">
        <v>369</v>
      </c>
      <c r="AG1334" s="1193">
        <v>1</v>
      </c>
      <c r="AH1334" s="1193">
        <v>2</v>
      </c>
      <c r="AI1334" s="1193">
        <v>1</v>
      </c>
      <c r="AJ1334" s="1193">
        <f>VLOOKUP($I1334,'Price List, Weapons &amp; Items'!B:F,5,0)</f>
        <v>0</v>
      </c>
      <c r="AK1334" s="1193">
        <f t="shared" si="278"/>
        <v>0</v>
      </c>
      <c r="AL1334" s="1193">
        <f t="shared" si="279"/>
        <v>0</v>
      </c>
      <c r="AM1334" s="1193">
        <f t="shared" si="280"/>
        <v>0</v>
      </c>
      <c r="AN1334" s="1194" t="str">
        <f>VLOOKUP($I1334,'Price List, Weapons &amp; Items'!B:L,COLUMN('Price List, Weapons &amp; Items'!$J$11)-1,0)</f>
        <v>.</v>
      </c>
      <c r="AO1334" s="1194" t="str">
        <f>IF(I1334=".",".",VLOOKUP($I1334,'Price List, Weapons &amp; Items'!B:J,3,0))</f>
        <v>.</v>
      </c>
      <c r="AP1334" s="1195" t="str">
        <f t="shared" ca="1" si="274"/>
        <v>.</v>
      </c>
      <c r="AQ1334" s="1194">
        <f>VLOOKUP($I1334,'Price List, Weapons &amp; Items'!B:L,COLUMN('Price List, Weapons &amp; Items'!$L$11)-1,0)</f>
        <v>0</v>
      </c>
      <c r="AR1334" s="1194">
        <f t="shared" si="281"/>
        <v>0</v>
      </c>
      <c r="AS1334" s="1194">
        <f t="shared" si="282"/>
        <v>0</v>
      </c>
      <c r="AT1334" s="1194">
        <f t="shared" si="283"/>
        <v>1</v>
      </c>
      <c r="AU1334" s="1194" t="str">
        <f t="shared" si="285"/>
        <v>.</v>
      </c>
      <c r="AV1334" s="1194" t="str">
        <f t="shared" si="275"/>
        <v>.</v>
      </c>
      <c r="AW1334" s="1194" t="str">
        <f t="shared" si="284"/>
        <v>.</v>
      </c>
      <c r="AX1334" s="1194">
        <f>IFERROR(VLOOKUP(B1334,'Share, Heavy Weapons to Ukraine'!B:Z,COLUMN('Share, Heavy Weapons to Ukraine'!C1346)-1,0),0)</f>
        <v>1</v>
      </c>
      <c r="AY1334" s="1194">
        <f>VLOOKUP('Bilateral Assistance, MAIN DATA'!B1334,'Country Summary (€)'!B:F,COLUMN('Country Summary (€)'!C1347)-1,FALSE)</f>
        <v>0</v>
      </c>
      <c r="AZ1334" s="1194" t="str">
        <f>IF(AND(AD1334=1,D1334="Military",H1334&lt;&gt;"Not given")=TRUE,IF(SUMIFS(P:P,A:A,A1334)&gt;0,ABS((SUMIFS(P:P,A:A,A1334)/VLOOKUP("USD",'Exchange Rates'!B:C,2,0)))/S1334,"."),".")</f>
        <v>.</v>
      </c>
      <c r="BA1334" s="1196" t="str">
        <f>IF(AND(AD1334=1,D1334="Military",H1334&lt;&gt;"Not given")=TRUE,IF(SUMIFS(P:P,A:A,A1334)&gt;0,IF((ABS((SUMIFS(P:P,A:A,A1334)/VLOOKUP("USD",'Exchange Rates'!B:C,2,0)))/S1334)&gt;1,(SUMIFS(P:P,A:A,A1334)-S1334)/S1334,(S1334-SUMIFS(P:P,A:A,A1334))/SUMIFS(P:P,A:A,A1334)),"."),".")</f>
        <v>.</v>
      </c>
    </row>
    <row r="1335" spans="1:71" ht="15.95" customHeight="1">
      <c r="A1335" s="1180" t="s">
        <v>3689</v>
      </c>
      <c r="B1335" s="1180" t="s">
        <v>3685</v>
      </c>
      <c r="C1335" s="1181">
        <v>44795</v>
      </c>
      <c r="D1335" s="1182" t="s">
        <v>389</v>
      </c>
      <c r="E1335" s="1208" t="s">
        <v>390</v>
      </c>
      <c r="F1335" s="1208" t="s">
        <v>3690</v>
      </c>
      <c r="G1335" s="1184" t="s">
        <v>456</v>
      </c>
      <c r="H1335" s="1185" t="s">
        <v>457</v>
      </c>
      <c r="I1335" s="1208" t="s">
        <v>3691</v>
      </c>
      <c r="J1335" s="1186" t="str">
        <f>VLOOKUP($I1335,'Price List, Weapons &amp; Items'!B:C,2,0)</f>
        <v>Heavy weapon</v>
      </c>
      <c r="K1335" s="1186" t="str">
        <f>IF(I1335=".",I1335,VLOOKUP($I1335,'Price List, Weapons &amp; Items'!B:D,3,0))</f>
        <v>Armored Utility Vehicle (AUV)</v>
      </c>
      <c r="L1335" s="1187">
        <f>VLOOKUP(I1335,'Price List, Weapons &amp; Items'!B:E,4,0)</f>
        <v>0</v>
      </c>
      <c r="M1335" s="1188">
        <v>200</v>
      </c>
      <c r="N1335" s="1188">
        <v>50</v>
      </c>
      <c r="O1335" s="1188">
        <f>VLOOKUP($I1335,'Price List, Weapons &amp; Items'!B:G,6,0)</f>
        <v>335470</v>
      </c>
      <c r="P1335" s="1185">
        <f t="shared" si="276"/>
        <v>67094000</v>
      </c>
      <c r="Q1335" s="1185">
        <f t="shared" si="277"/>
        <v>16773500</v>
      </c>
      <c r="R1335" s="1185">
        <f t="shared" si="273"/>
        <v>67094000</v>
      </c>
      <c r="S1335" s="1185">
        <f>IF(AND(AD1335=1,R1335&lt;&gt;".")=TRUE,R1335/VLOOKUP(G1335,'Exchange Rates'!B:C,2,0),IF(R1335=".",".",""))</f>
        <v>61735369.893264629</v>
      </c>
      <c r="T1335" s="1185">
        <f>IF(AD1335=1,IF(AF1335="Value is not given at all",".",IF(AF1335="Value is given by the source",S1335,IF(AF1335="Value is calculated with prices",(IF(SUMIFS(Q:Q,A:A,A1335)&gt;0,SUMIFS(Q:Q,A:A,A1335),"."))/VLOOKUP("USD",'Exchange Rates'!B:C,2,0),"Error with coding"))),"")</f>
        <v>15433842.473316157</v>
      </c>
      <c r="U1335" s="1184" t="s">
        <v>675</v>
      </c>
      <c r="V1335" s="979" t="s">
        <v>3692</v>
      </c>
      <c r="W1335" s="980" t="s">
        <v>3693</v>
      </c>
      <c r="X1335" s="980" t="s">
        <v>3694</v>
      </c>
      <c r="Y1335" s="980" t="s">
        <v>3695</v>
      </c>
      <c r="Z1335" s="1184">
        <v>0</v>
      </c>
      <c r="AA1335" s="1194">
        <v>1</v>
      </c>
      <c r="AB1335" s="979" t="s">
        <v>3692</v>
      </c>
      <c r="AC1335" s="1192" t="str">
        <f>""</f>
        <v/>
      </c>
      <c r="AD1335" s="1193">
        <v>1</v>
      </c>
      <c r="AE1335" s="1193" t="s">
        <v>436</v>
      </c>
      <c r="AF1335" s="1193" t="s">
        <v>436</v>
      </c>
      <c r="AG1335" s="1193">
        <v>1</v>
      </c>
      <c r="AH1335" s="1193">
        <v>8</v>
      </c>
      <c r="AI1335" s="1193">
        <v>0</v>
      </c>
      <c r="AJ1335" s="1193">
        <f>VLOOKUP($I1335,'Price List, Weapons &amp; Items'!B:F,5,0)</f>
        <v>1</v>
      </c>
      <c r="AK1335" s="1193">
        <f t="shared" si="278"/>
        <v>0</v>
      </c>
      <c r="AL1335" s="1193">
        <f t="shared" si="279"/>
        <v>0</v>
      </c>
      <c r="AM1335" s="1193">
        <f t="shared" si="280"/>
        <v>0</v>
      </c>
      <c r="AN1335" s="1194" t="str">
        <f>VLOOKUP($I1335,'Price List, Weapons &amp; Items'!B:L,COLUMN('Price List, Weapons &amp; Items'!$J$11)-1,0)</f>
        <v>Contract</v>
      </c>
      <c r="AO1335" s="1194" t="str">
        <f>IF(I1335=".",".",VLOOKUP($I1335,'Price List, Weapons &amp; Items'!B:J,3,0))</f>
        <v>Armored Utility Vehicle (AUV)</v>
      </c>
      <c r="AP1335" s="1195" t="str">
        <f t="shared" ca="1" si="274"/>
        <v>BMC Kirpi</v>
      </c>
      <c r="AQ1335" s="1194">
        <f>VLOOKUP($I1335,'Price List, Weapons &amp; Items'!B:L,COLUMN('Price List, Weapons &amp; Items'!$L$11)-1,0)</f>
        <v>2</v>
      </c>
      <c r="AR1335" s="1194">
        <f t="shared" si="281"/>
        <v>0</v>
      </c>
      <c r="AS1335" s="1194">
        <f t="shared" si="282"/>
        <v>1</v>
      </c>
      <c r="AT1335" s="1194">
        <f t="shared" si="283"/>
        <v>1</v>
      </c>
      <c r="AU1335" s="1194" t="str">
        <f t="shared" si="285"/>
        <v>.</v>
      </c>
      <c r="AV1335" s="1194" t="str">
        <f t="shared" si="275"/>
        <v>.</v>
      </c>
      <c r="AW1335" s="1194" t="str">
        <f t="shared" si="284"/>
        <v>.</v>
      </c>
      <c r="AX1335" s="1194">
        <f>IFERROR(VLOOKUP(B1335,'Share, Heavy Weapons to Ukraine'!B:Z,COLUMN('Share, Heavy Weapons to Ukraine'!C1347)-1,0),0)</f>
        <v>1</v>
      </c>
      <c r="AY1335" s="1194">
        <f>VLOOKUP('Bilateral Assistance, MAIN DATA'!B1335,'Country Summary (€)'!B:F,COLUMN('Country Summary (€)'!C1348)-1,FALSE)</f>
        <v>0</v>
      </c>
      <c r="AZ1335" s="1194" t="str">
        <f>IF(AND(AD1335=1,D1335="Military",H1335&lt;&gt;"Not given")=TRUE,IF(SUMIFS(P:P,A:A,A1335)&gt;0,ABS((SUMIFS(P:P,A:A,A1335)/VLOOKUP("USD",'Exchange Rates'!B:C,2,0)))/S1335,"."),".")</f>
        <v>.</v>
      </c>
      <c r="BA1335" s="1196" t="str">
        <f>IF(AND(AD1335=1,D1335="Military",H1335&lt;&gt;"Not given")=TRUE,IF(SUMIFS(P:P,A:A,A1335)&gt;0,IF((ABS((SUMIFS(P:P,A:A,A1335)/VLOOKUP("USD",'Exchange Rates'!B:C,2,0)))/S1335)&gt;1,(SUMIFS(P:P,A:A,A1335)-S1335)/S1335,(S1335-SUMIFS(P:P,A:A,A1335))/SUMIFS(P:P,A:A,A1335)),"."),".")</f>
        <v>.</v>
      </c>
    </row>
    <row r="1336" spans="1:71" ht="15.95" customHeight="1">
      <c r="A1336" s="1182" t="s">
        <v>3696</v>
      </c>
      <c r="B1336" s="1182" t="s">
        <v>3685</v>
      </c>
      <c r="C1336" s="1181">
        <v>44618</v>
      </c>
      <c r="D1336" s="1182" t="s">
        <v>360</v>
      </c>
      <c r="E1336" s="1182" t="s">
        <v>371</v>
      </c>
      <c r="F1336" s="1183" t="s">
        <v>3697</v>
      </c>
      <c r="G1336" s="1184" t="s">
        <v>456</v>
      </c>
      <c r="H1336" s="1185" t="s">
        <v>457</v>
      </c>
      <c r="I1336" s="1180" t="s">
        <v>1570</v>
      </c>
      <c r="J1336" s="1186" t="str">
        <f>VLOOKUP($I1336,'Price List, Weapons &amp; Items'!B:C,2,0)</f>
        <v>Humanitarian</v>
      </c>
      <c r="K1336" s="1186" t="str">
        <f>IF(I1336=".",I1336,VLOOKUP($I1336,'Price List, Weapons &amp; Items'!B:D,3,0))</f>
        <v>Humanitarian</v>
      </c>
      <c r="L1336" s="1187">
        <f>VLOOKUP(I1336,'Price List, Weapons &amp; Items'!B:E,4,0)</f>
        <v>0</v>
      </c>
      <c r="M1336" s="1188">
        <v>1536</v>
      </c>
      <c r="N1336" s="1188">
        <v>1536</v>
      </c>
      <c r="O1336" s="1188">
        <f>VLOOKUP($I1336,'Price List, Weapons &amp; Items'!B:G,6,0)</f>
        <v>22</v>
      </c>
      <c r="P1336" s="1185">
        <f t="shared" si="276"/>
        <v>33792</v>
      </c>
      <c r="Q1336" s="1185">
        <f t="shared" si="277"/>
        <v>33792</v>
      </c>
      <c r="R1336" s="1185">
        <f t="shared" si="273"/>
        <v>248032</v>
      </c>
      <c r="S1336" s="1185">
        <f>IF(AND(AD1336=1,R1336&lt;&gt;".")=TRUE,R1336/VLOOKUP(G1336,'Exchange Rates'!B:C,2,0),IF(R1336=".",".",""))</f>
        <v>228222.30401177771</v>
      </c>
      <c r="T1336" s="1185">
        <f>IF(AD1336=1,IF(AF1336="Value is not given at all",".",IF(AF1336="Value is given by the source",S1336,IF(AF1336="Value is calculated with prices",(IF(SUMIFS(Q:Q,A:A,A1336)&gt;0,SUMIFS(Q:Q,A:A,A1336),"."))/VLOOKUP("USD",'Exchange Rates'!B:C,2,0),"Error with coding"))),"")</f>
        <v>228222.30401177771</v>
      </c>
      <c r="U1336" s="1184" t="s">
        <v>365</v>
      </c>
      <c r="V1336" s="974" t="s">
        <v>3698</v>
      </c>
      <c r="W1336" s="1183" t="s">
        <v>364</v>
      </c>
      <c r="X1336" s="1183" t="s">
        <v>364</v>
      </c>
      <c r="Y1336" s="1183" t="s">
        <v>364</v>
      </c>
      <c r="Z1336" s="1184">
        <v>0</v>
      </c>
      <c r="AA1336" s="1194">
        <v>0</v>
      </c>
      <c r="AB1336" s="1026" t="s">
        <v>3699</v>
      </c>
      <c r="AC1336" s="1192" t="str">
        <f>""</f>
        <v/>
      </c>
      <c r="AD1336" s="1193">
        <v>1</v>
      </c>
      <c r="AE1336" s="1193" t="s">
        <v>436</v>
      </c>
      <c r="AF1336" s="1193" t="s">
        <v>436</v>
      </c>
      <c r="AG1336" s="1193">
        <v>1</v>
      </c>
      <c r="AH1336" s="1193">
        <v>2</v>
      </c>
      <c r="AI1336" s="1193">
        <v>0</v>
      </c>
      <c r="AJ1336" s="1193">
        <f>VLOOKUP($I1336,'Price List, Weapons &amp; Items'!B:F,5,0)</f>
        <v>0</v>
      </c>
      <c r="AK1336" s="1193">
        <f t="shared" si="278"/>
        <v>0</v>
      </c>
      <c r="AL1336" s="1193">
        <f t="shared" si="279"/>
        <v>0</v>
      </c>
      <c r="AM1336" s="1193">
        <f t="shared" si="280"/>
        <v>0</v>
      </c>
      <c r="AN1336" s="1194" t="str">
        <f>VLOOKUP($I1336,'Price List, Weapons &amp; Items'!B:L,COLUMN('Price List, Weapons &amp; Items'!$J$11)-1,0)</f>
        <v>Online marketplaces and stores</v>
      </c>
      <c r="AO1336" s="1194" t="str">
        <f>IF(I1336=".",".",VLOOKUP($I1336,'Price List, Weapons &amp; Items'!B:J,3,0))</f>
        <v>Humanitarian</v>
      </c>
      <c r="AP1336" s="1195" t="str">
        <f t="shared" ca="1" si="274"/>
        <v>food ration H</v>
      </c>
      <c r="AQ1336" s="1194">
        <f>VLOOKUP($I1336,'Price List, Weapons &amp; Items'!B:L,COLUMN('Price List, Weapons &amp; Items'!$L$11)-1,0)</f>
        <v>0</v>
      </c>
      <c r="AR1336" s="1194">
        <f t="shared" si="281"/>
        <v>1</v>
      </c>
      <c r="AS1336" s="1194">
        <f t="shared" si="282"/>
        <v>0</v>
      </c>
      <c r="AT1336" s="1194">
        <f t="shared" si="283"/>
        <v>1</v>
      </c>
      <c r="AU1336" s="1194" t="str">
        <f t="shared" si="285"/>
        <v>.</v>
      </c>
      <c r="AV1336" s="1194" t="str">
        <f t="shared" si="275"/>
        <v>.</v>
      </c>
      <c r="AW1336" s="1194" t="str">
        <f t="shared" si="284"/>
        <v>.</v>
      </c>
      <c r="AX1336" s="1194">
        <f>IFERROR(VLOOKUP(B1336,'Share, Heavy Weapons to Ukraine'!B:Z,COLUMN('Share, Heavy Weapons to Ukraine'!C1348)-1,0),0)</f>
        <v>1</v>
      </c>
      <c r="AY1336" s="1194">
        <f>VLOOKUP('Bilateral Assistance, MAIN DATA'!B1336,'Country Summary (€)'!B:F,COLUMN('Country Summary (€)'!C1349)-1,FALSE)</f>
        <v>0</v>
      </c>
      <c r="AZ1336" s="1194" t="str">
        <f>IF(AND(AD1336=1,D1336="Military",H1336&lt;&gt;"Not given")=TRUE,IF(SUMIFS(P:P,A:A,A1336)&gt;0,ABS((SUMIFS(P:P,A:A,A1336)/VLOOKUP("USD",'Exchange Rates'!B:C,2,0)))/S1336,"."),".")</f>
        <v>.</v>
      </c>
      <c r="BA1336" s="1196" t="str">
        <f>IF(AND(AD1336=1,D1336="Military",H1336&lt;&gt;"Not given")=TRUE,IF(SUMIFS(P:P,A:A,A1336)&gt;0,IF((ABS((SUMIFS(P:P,A:A,A1336)/VLOOKUP("USD",'Exchange Rates'!B:C,2,0)))/S1336)&gt;1,(SUMIFS(P:P,A:A,A1336)-S1336)/S1336,(S1336-SUMIFS(P:P,A:A,A1336))/SUMIFS(P:P,A:A,A1336)),"."),".")</f>
        <v>.</v>
      </c>
    </row>
    <row r="1337" spans="1:71" ht="15.95" customHeight="1">
      <c r="A1337" s="1182" t="s">
        <v>3696</v>
      </c>
      <c r="B1337" s="1182" t="s">
        <v>3685</v>
      </c>
      <c r="C1337" s="1181">
        <v>44618</v>
      </c>
      <c r="D1337" s="1182" t="s">
        <v>360</v>
      </c>
      <c r="E1337" s="1182" t="s">
        <v>371</v>
      </c>
      <c r="F1337" s="1183" t="s">
        <v>3697</v>
      </c>
      <c r="G1337" s="1184" t="s">
        <v>456</v>
      </c>
      <c r="H1337" s="1185" t="s">
        <v>457</v>
      </c>
      <c r="I1337" s="1180" t="s">
        <v>1525</v>
      </c>
      <c r="J1337" s="1186" t="str">
        <f>VLOOKUP($I1337,'Price List, Weapons &amp; Items'!B:C,2,0)</f>
        <v>Humanitarian</v>
      </c>
      <c r="K1337" s="1186" t="str">
        <f>IF(I1337=".",I1337,VLOOKUP($I1337,'Price List, Weapons &amp; Items'!B:D,3,0))</f>
        <v>Humanitarian</v>
      </c>
      <c r="L1337" s="1187">
        <f>VLOOKUP(I1337,'Price List, Weapons &amp; Items'!B:E,4,0)</f>
        <v>0</v>
      </c>
      <c r="M1337" s="1188">
        <v>240</v>
      </c>
      <c r="N1337" s="1188">
        <v>240</v>
      </c>
      <c r="O1337" s="1188">
        <f>VLOOKUP($I1337,'Price List, Weapons &amp; Items'!B:G,6,0)</f>
        <v>200</v>
      </c>
      <c r="P1337" s="1185">
        <f t="shared" si="276"/>
        <v>48000</v>
      </c>
      <c r="Q1337" s="1185">
        <f t="shared" si="277"/>
        <v>48000</v>
      </c>
      <c r="R1337" s="1185" t="str">
        <f t="shared" si="273"/>
        <v/>
      </c>
      <c r="S1337" s="1185" t="str">
        <f>IF(AND(AD1337=1,R1337&lt;&gt;".")=TRUE,R1337/VLOOKUP(G1337,'Exchange Rates'!B:C,2,0),IF(R1337=".",".",""))</f>
        <v/>
      </c>
      <c r="T1337" s="1185" t="str">
        <f>IF(AD1337=1,IF(AF1337="Value is not given at all",".",IF(AF1337="Value is given by the source",S1337,IF(AF1337="Value is calculated with prices",(IF(SUMIFS(Q:Q,A:A,A1337)&gt;0,SUMIFS(Q:Q,A:A,A1337),"."))/VLOOKUP("USD",'Exchange Rates'!B:C,2,0),"Error with coding"))),"")</f>
        <v/>
      </c>
      <c r="U1337" s="1184" t="s">
        <v>365</v>
      </c>
      <c r="V1337" s="974" t="s">
        <v>3698</v>
      </c>
      <c r="W1337" s="1183" t="s">
        <v>364</v>
      </c>
      <c r="X1337" s="1183" t="s">
        <v>364</v>
      </c>
      <c r="Y1337" s="1183" t="s">
        <v>364</v>
      </c>
      <c r="Z1337" s="1184">
        <v>0</v>
      </c>
      <c r="AA1337" s="1194">
        <v>0</v>
      </c>
      <c r="AB1337" s="1026" t="s">
        <v>3699</v>
      </c>
      <c r="AC1337" s="1192" t="str">
        <f>""</f>
        <v/>
      </c>
      <c r="AD1337" s="1193">
        <v>0</v>
      </c>
      <c r="AE1337" s="1193" t="s">
        <v>436</v>
      </c>
      <c r="AF1337" s="1193" t="s">
        <v>436</v>
      </c>
      <c r="AG1337" s="1193">
        <v>1</v>
      </c>
      <c r="AH1337" s="1193">
        <v>2</v>
      </c>
      <c r="AI1337" s="1193">
        <v>0</v>
      </c>
      <c r="AJ1337" s="1193">
        <f>VLOOKUP($I1337,'Price List, Weapons &amp; Items'!B:F,5,0)</f>
        <v>0</v>
      </c>
      <c r="AK1337" s="1193">
        <f t="shared" si="278"/>
        <v>0</v>
      </c>
      <c r="AL1337" s="1193">
        <f t="shared" si="279"/>
        <v>0</v>
      </c>
      <c r="AM1337" s="1193">
        <f t="shared" si="280"/>
        <v>0</v>
      </c>
      <c r="AN1337" s="1194" t="str">
        <f>VLOOKUP($I1337,'Price List, Weapons &amp; Items'!B:L,COLUMN('Price List, Weapons &amp; Items'!$J$11)-1,0)</f>
        <v>Media reports (incl. social media)</v>
      </c>
      <c r="AO1337" s="1194" t="str">
        <f>IF(I1337=".",".",VLOOKUP($I1337,'Price List, Weapons &amp; Items'!B:J,3,0))</f>
        <v>Humanitarian</v>
      </c>
      <c r="AP1337" s="1195" t="str">
        <f t="shared" ca="1" si="274"/>
        <v/>
      </c>
      <c r="AQ1337" s="1194">
        <f>VLOOKUP($I1337,'Price List, Weapons &amp; Items'!B:L,COLUMN('Price List, Weapons &amp; Items'!$L$11)-1,0)</f>
        <v>0</v>
      </c>
      <c r="AR1337" s="1194">
        <f t="shared" si="281"/>
        <v>1</v>
      </c>
      <c r="AS1337" s="1194">
        <f t="shared" si="282"/>
        <v>0</v>
      </c>
      <c r="AT1337" s="1194">
        <f t="shared" si="283"/>
        <v>1</v>
      </c>
      <c r="AU1337" s="1194" t="str">
        <f t="shared" si="285"/>
        <v>.</v>
      </c>
      <c r="AV1337" s="1194" t="str">
        <f t="shared" si="275"/>
        <v>.</v>
      </c>
      <c r="AW1337" s="1194" t="str">
        <f t="shared" si="284"/>
        <v>.</v>
      </c>
      <c r="AX1337" s="1194">
        <f>IFERROR(VLOOKUP(B1337,'Share, Heavy Weapons to Ukraine'!B:Z,COLUMN('Share, Heavy Weapons to Ukraine'!C1349)-1,0),0)</f>
        <v>1</v>
      </c>
      <c r="AY1337" s="1194">
        <f>VLOOKUP('Bilateral Assistance, MAIN DATA'!B1337,'Country Summary (€)'!B:F,COLUMN('Country Summary (€)'!C1350)-1,FALSE)</f>
        <v>0</v>
      </c>
      <c r="AZ1337" s="1194" t="str">
        <f>IF(AND(AD1337=1,D1337="Military",H1337&lt;&gt;"Not given")=TRUE,IF(SUMIFS(P:P,A:A,A1337)&gt;0,ABS((SUMIFS(P:P,A:A,A1337)/VLOOKUP("USD",'Exchange Rates'!B:C,2,0)))/S1337,"."),".")</f>
        <v>.</v>
      </c>
      <c r="BA1337" s="1196" t="str">
        <f>IF(AND(AD1337=1,D1337="Military",H1337&lt;&gt;"Not given")=TRUE,IF(SUMIFS(P:P,A:A,A1337)&gt;0,IF((ABS((SUMIFS(P:P,A:A,A1337)/VLOOKUP("USD",'Exchange Rates'!B:C,2,0)))/S1337)&gt;1,(SUMIFS(P:P,A:A,A1337)-S1337)/S1337,(S1337-SUMIFS(P:P,A:A,A1337))/SUMIFS(P:P,A:A,A1337)),"."),".")</f>
        <v>.</v>
      </c>
    </row>
    <row r="1338" spans="1:71" ht="15.95" customHeight="1">
      <c r="A1338" s="1182" t="s">
        <v>3696</v>
      </c>
      <c r="B1338" s="1182" t="s">
        <v>3685</v>
      </c>
      <c r="C1338" s="1181">
        <v>44618</v>
      </c>
      <c r="D1338" s="1182" t="s">
        <v>360</v>
      </c>
      <c r="E1338" s="1182" t="s">
        <v>371</v>
      </c>
      <c r="F1338" s="1183" t="s">
        <v>3697</v>
      </c>
      <c r="G1338" s="1184" t="s">
        <v>456</v>
      </c>
      <c r="H1338" s="1185" t="s">
        <v>457</v>
      </c>
      <c r="I1338" s="1180" t="s">
        <v>1529</v>
      </c>
      <c r="J1338" s="1186" t="str">
        <f>VLOOKUP($I1338,'Price List, Weapons &amp; Items'!B:C,2,0)</f>
        <v>Humanitarian</v>
      </c>
      <c r="K1338" s="1186" t="str">
        <f>IF(I1338=".",I1338,VLOOKUP($I1338,'Price List, Weapons &amp; Items'!B:D,3,0))</f>
        <v>Humanitarian</v>
      </c>
      <c r="L1338" s="1187">
        <f>VLOOKUP(I1338,'Price List, Weapons &amp; Items'!B:E,4,0)</f>
        <v>0</v>
      </c>
      <c r="M1338" s="1188">
        <v>1680</v>
      </c>
      <c r="N1338" s="1188">
        <v>1680</v>
      </c>
      <c r="O1338" s="1188">
        <f>VLOOKUP($I1338,'Price List, Weapons &amp; Items'!B:G,6,0)</f>
        <v>43</v>
      </c>
      <c r="P1338" s="1185">
        <f t="shared" si="276"/>
        <v>72240</v>
      </c>
      <c r="Q1338" s="1185">
        <f t="shared" si="277"/>
        <v>72240</v>
      </c>
      <c r="R1338" s="1185" t="str">
        <f t="shared" si="273"/>
        <v/>
      </c>
      <c r="S1338" s="1185" t="str">
        <f>IF(AND(AD1338=1,R1338&lt;&gt;".")=TRUE,R1338/VLOOKUP(G1338,'Exchange Rates'!B:C,2,0),IF(R1338=".",".",""))</f>
        <v/>
      </c>
      <c r="T1338" s="1185" t="str">
        <f>IF(AD1338=1,IF(AF1338="Value is not given at all",".",IF(AF1338="Value is given by the source",S1338,IF(AF1338="Value is calculated with prices",(IF(SUMIFS(Q:Q,A:A,A1338)&gt;0,SUMIFS(Q:Q,A:A,A1338),"."))/VLOOKUP("USD",'Exchange Rates'!B:C,2,0),"Error with coding"))),"")</f>
        <v/>
      </c>
      <c r="U1338" s="1184" t="s">
        <v>365</v>
      </c>
      <c r="V1338" s="974" t="s">
        <v>3698</v>
      </c>
      <c r="W1338" s="1183" t="s">
        <v>364</v>
      </c>
      <c r="X1338" s="1183" t="s">
        <v>364</v>
      </c>
      <c r="Y1338" s="1183" t="s">
        <v>364</v>
      </c>
      <c r="Z1338" s="1184">
        <v>0</v>
      </c>
      <c r="AA1338" s="1194">
        <v>0</v>
      </c>
      <c r="AB1338" s="1026" t="s">
        <v>3699</v>
      </c>
      <c r="AC1338" s="1192" t="str">
        <f>""</f>
        <v/>
      </c>
      <c r="AD1338" s="1193">
        <v>0</v>
      </c>
      <c r="AE1338" s="1193" t="s">
        <v>436</v>
      </c>
      <c r="AF1338" s="1193" t="s">
        <v>436</v>
      </c>
      <c r="AG1338" s="1193">
        <v>1</v>
      </c>
      <c r="AH1338" s="1193">
        <v>2</v>
      </c>
      <c r="AI1338" s="1193">
        <v>0</v>
      </c>
      <c r="AJ1338" s="1193">
        <f>VLOOKUP($I1338,'Price List, Weapons &amp; Items'!B:F,5,0)</f>
        <v>0</v>
      </c>
      <c r="AK1338" s="1193">
        <f t="shared" si="278"/>
        <v>0</v>
      </c>
      <c r="AL1338" s="1193">
        <f t="shared" si="279"/>
        <v>0</v>
      </c>
      <c r="AM1338" s="1193">
        <f t="shared" si="280"/>
        <v>0</v>
      </c>
      <c r="AN1338" s="1194" t="str">
        <f>VLOOKUP($I1338,'Price List, Weapons &amp; Items'!B:L,COLUMN('Price List, Weapons &amp; Items'!$J$11)-1,0)</f>
        <v>Media reports (incl. social media)</v>
      </c>
      <c r="AO1338" s="1194" t="str">
        <f>IF(I1338=".",".",VLOOKUP($I1338,'Price List, Weapons &amp; Items'!B:J,3,0))</f>
        <v>Humanitarian</v>
      </c>
      <c r="AP1338" s="1195" t="str">
        <f t="shared" ca="1" si="274"/>
        <v/>
      </c>
      <c r="AQ1338" s="1194">
        <f>VLOOKUP($I1338,'Price List, Weapons &amp; Items'!B:L,COLUMN('Price List, Weapons &amp; Items'!$L$11)-1,0)</f>
        <v>0</v>
      </c>
      <c r="AR1338" s="1194">
        <f t="shared" si="281"/>
        <v>1</v>
      </c>
      <c r="AS1338" s="1194">
        <f t="shared" si="282"/>
        <v>0</v>
      </c>
      <c r="AT1338" s="1194">
        <f t="shared" si="283"/>
        <v>1</v>
      </c>
      <c r="AU1338" s="1194" t="str">
        <f t="shared" si="285"/>
        <v>.</v>
      </c>
      <c r="AV1338" s="1194" t="str">
        <f t="shared" si="275"/>
        <v>.</v>
      </c>
      <c r="AW1338" s="1194" t="str">
        <f t="shared" si="284"/>
        <v>.</v>
      </c>
      <c r="AX1338" s="1194">
        <f>IFERROR(VLOOKUP(B1338,'Share, Heavy Weapons to Ukraine'!B:Z,COLUMN('Share, Heavy Weapons to Ukraine'!C1350)-1,0),0)</f>
        <v>1</v>
      </c>
      <c r="AY1338" s="1194">
        <f>VLOOKUP('Bilateral Assistance, MAIN DATA'!B1338,'Country Summary (€)'!B:F,COLUMN('Country Summary (€)'!C1351)-1,FALSE)</f>
        <v>0</v>
      </c>
      <c r="AZ1338" s="1194" t="str">
        <f>IF(AND(AD1338=1,D1338="Military",H1338&lt;&gt;"Not given")=TRUE,IF(SUMIFS(P:P,A:A,A1338)&gt;0,ABS((SUMIFS(P:P,A:A,A1338)/VLOOKUP("USD",'Exchange Rates'!B:C,2,0)))/S1338,"."),".")</f>
        <v>.</v>
      </c>
      <c r="BA1338" s="1196" t="str">
        <f>IF(AND(AD1338=1,D1338="Military",H1338&lt;&gt;"Not given")=TRUE,IF(SUMIFS(P:P,A:A,A1338)&gt;0,IF((ABS((SUMIFS(P:P,A:A,A1338)/VLOOKUP("USD",'Exchange Rates'!B:C,2,0)))/S1338)&gt;1,(SUMIFS(P:P,A:A,A1338)-S1338)/S1338,(S1338-SUMIFS(P:P,A:A,A1338))/SUMIFS(P:P,A:A,A1338)),"."),".")</f>
        <v>.</v>
      </c>
    </row>
    <row r="1339" spans="1:71" ht="15.95" customHeight="1">
      <c r="A1339" s="1182" t="s">
        <v>3696</v>
      </c>
      <c r="B1339" s="1182" t="s">
        <v>3685</v>
      </c>
      <c r="C1339" s="1181">
        <v>44618</v>
      </c>
      <c r="D1339" s="1182" t="s">
        <v>360</v>
      </c>
      <c r="E1339" s="1182" t="s">
        <v>371</v>
      </c>
      <c r="F1339" s="1183" t="s">
        <v>3697</v>
      </c>
      <c r="G1339" s="1184" t="s">
        <v>456</v>
      </c>
      <c r="H1339" s="1185" t="s">
        <v>457</v>
      </c>
      <c r="I1339" s="1180" t="s">
        <v>599</v>
      </c>
      <c r="J1339" s="1186" t="str">
        <f>VLOOKUP($I1339,'Price List, Weapons &amp; Items'!B:C,2,0)</f>
        <v>Humanitarian</v>
      </c>
      <c r="K1339" s="1186" t="str">
        <f>IF(I1339=".",I1339,VLOOKUP($I1339,'Price List, Weapons &amp; Items'!B:D,3,0))</f>
        <v>Humanitarian</v>
      </c>
      <c r="L1339" s="1187">
        <f>VLOOKUP(I1339,'Price List, Weapons &amp; Items'!B:E,4,0)</f>
        <v>0</v>
      </c>
      <c r="M1339" s="1188">
        <v>200</v>
      </c>
      <c r="N1339" s="1188">
        <v>200</v>
      </c>
      <c r="O1339" s="1188">
        <f>VLOOKUP($I1339,'Price List, Weapons &amp; Items'!B:G,6,0)</f>
        <v>200</v>
      </c>
      <c r="P1339" s="1185">
        <f t="shared" si="276"/>
        <v>40000</v>
      </c>
      <c r="Q1339" s="1185">
        <f t="shared" si="277"/>
        <v>40000</v>
      </c>
      <c r="R1339" s="1185" t="str">
        <f t="shared" si="273"/>
        <v/>
      </c>
      <c r="S1339" s="1185" t="str">
        <f>IF(AND(AD1339=1,R1339&lt;&gt;".")=TRUE,R1339/VLOOKUP(G1339,'Exchange Rates'!B:C,2,0),IF(R1339=".",".",""))</f>
        <v/>
      </c>
      <c r="T1339" s="1185" t="str">
        <f>IF(AD1339=1,IF(AF1339="Value is not given at all",".",IF(AF1339="Value is given by the source",S1339,IF(AF1339="Value is calculated with prices",(IF(SUMIFS(Q:Q,A:A,A1339)&gt;0,SUMIFS(Q:Q,A:A,A1339),"."))/VLOOKUP("USD",'Exchange Rates'!B:C,2,0),"Error with coding"))),"")</f>
        <v/>
      </c>
      <c r="U1339" s="1184" t="s">
        <v>365</v>
      </c>
      <c r="V1339" s="974" t="s">
        <v>3698</v>
      </c>
      <c r="W1339" s="1183" t="s">
        <v>364</v>
      </c>
      <c r="X1339" s="1183" t="s">
        <v>364</v>
      </c>
      <c r="Y1339" s="1183" t="s">
        <v>364</v>
      </c>
      <c r="Z1339" s="1184">
        <v>0</v>
      </c>
      <c r="AA1339" s="1194">
        <v>0</v>
      </c>
      <c r="AB1339" s="1026" t="s">
        <v>3699</v>
      </c>
      <c r="AC1339" s="1192" t="str">
        <f>""</f>
        <v/>
      </c>
      <c r="AD1339" s="1193">
        <v>0</v>
      </c>
      <c r="AE1339" s="1193" t="s">
        <v>436</v>
      </c>
      <c r="AF1339" s="1193" t="s">
        <v>436</v>
      </c>
      <c r="AG1339" s="1193">
        <v>1</v>
      </c>
      <c r="AH1339" s="1193">
        <v>2</v>
      </c>
      <c r="AI1339" s="1193">
        <v>0</v>
      </c>
      <c r="AJ1339" s="1193">
        <f>VLOOKUP($I1339,'Price List, Weapons &amp; Items'!B:F,5,0)</f>
        <v>0</v>
      </c>
      <c r="AK1339" s="1193">
        <f t="shared" si="278"/>
        <v>0</v>
      </c>
      <c r="AL1339" s="1193">
        <f t="shared" si="279"/>
        <v>0</v>
      </c>
      <c r="AM1339" s="1193">
        <f t="shared" si="280"/>
        <v>0</v>
      </c>
      <c r="AN1339" s="1194" t="str">
        <f>VLOOKUP($I1339,'Price List, Weapons &amp; Items'!B:L,COLUMN('Price List, Weapons &amp; Items'!$J$11)-1,0)</f>
        <v>Online marketplaces and stores</v>
      </c>
      <c r="AO1339" s="1194" t="str">
        <f>IF(I1339=".",".",VLOOKUP($I1339,'Price List, Weapons &amp; Items'!B:J,3,0))</f>
        <v>Humanitarian</v>
      </c>
      <c r="AP1339" s="1195" t="str">
        <f t="shared" ca="1" si="274"/>
        <v/>
      </c>
      <c r="AQ1339" s="1194">
        <f>VLOOKUP($I1339,'Price List, Weapons &amp; Items'!B:L,COLUMN('Price List, Weapons &amp; Items'!$L$11)-1,0)</f>
        <v>0</v>
      </c>
      <c r="AR1339" s="1194">
        <f t="shared" si="281"/>
        <v>1</v>
      </c>
      <c r="AS1339" s="1194">
        <f t="shared" si="282"/>
        <v>0</v>
      </c>
      <c r="AT1339" s="1194">
        <f t="shared" si="283"/>
        <v>1</v>
      </c>
      <c r="AU1339" s="1194" t="str">
        <f t="shared" si="285"/>
        <v>.</v>
      </c>
      <c r="AV1339" s="1194" t="str">
        <f t="shared" si="275"/>
        <v>.</v>
      </c>
      <c r="AW1339" s="1194" t="str">
        <f t="shared" si="284"/>
        <v>.</v>
      </c>
      <c r="AX1339" s="1194">
        <f>IFERROR(VLOOKUP(B1339,'Share, Heavy Weapons to Ukraine'!B:Z,COLUMN('Share, Heavy Weapons to Ukraine'!C1351)-1,0),0)</f>
        <v>1</v>
      </c>
      <c r="AY1339" s="1194">
        <f>VLOOKUP('Bilateral Assistance, MAIN DATA'!B1339,'Country Summary (€)'!B:F,COLUMN('Country Summary (€)'!C1352)-1,FALSE)</f>
        <v>0</v>
      </c>
      <c r="AZ1339" s="1194" t="str">
        <f>IF(AND(AD1339=1,D1339="Military",H1339&lt;&gt;"Not given")=TRUE,IF(SUMIFS(P:P,A:A,A1339)&gt;0,ABS((SUMIFS(P:P,A:A,A1339)/VLOOKUP("USD",'Exchange Rates'!B:C,2,0)))/S1339,"."),".")</f>
        <v>.</v>
      </c>
      <c r="BA1339" s="1196" t="str">
        <f>IF(AND(AD1339=1,D1339="Military",H1339&lt;&gt;"Not given")=TRUE,IF(SUMIFS(P:P,A:A,A1339)&gt;0,IF((ABS((SUMIFS(P:P,A:A,A1339)/VLOOKUP("USD",'Exchange Rates'!B:C,2,0)))/S1339)&gt;1,(SUMIFS(P:P,A:A,A1339)-S1339)/S1339,(S1339-SUMIFS(P:P,A:A,A1339))/SUMIFS(P:P,A:A,A1339)),"."),".")</f>
        <v>.</v>
      </c>
    </row>
    <row r="1340" spans="1:71" ht="15.95" customHeight="1">
      <c r="A1340" s="1182" t="s">
        <v>3696</v>
      </c>
      <c r="B1340" s="1182" t="s">
        <v>3685</v>
      </c>
      <c r="C1340" s="1181">
        <v>44618</v>
      </c>
      <c r="D1340" s="1182" t="s">
        <v>360</v>
      </c>
      <c r="E1340" s="1182" t="s">
        <v>371</v>
      </c>
      <c r="F1340" s="1183" t="s">
        <v>3697</v>
      </c>
      <c r="G1340" s="1184" t="s">
        <v>456</v>
      </c>
      <c r="H1340" s="1185" t="s">
        <v>457</v>
      </c>
      <c r="I1340" s="1180" t="s">
        <v>1442</v>
      </c>
      <c r="J1340" s="1186" t="str">
        <f>VLOOKUP($I1340,'Price List, Weapons &amp; Items'!B:C,2,0)</f>
        <v>Humanitarian</v>
      </c>
      <c r="K1340" s="1186" t="str">
        <f>IF(I1340=".",I1340,VLOOKUP($I1340,'Price List, Weapons &amp; Items'!B:D,3,0))</f>
        <v>Humanitarian</v>
      </c>
      <c r="L1340" s="1187">
        <f>VLOOKUP(I1340,'Price List, Weapons &amp; Items'!B:E,4,0)</f>
        <v>0</v>
      </c>
      <c r="M1340" s="1188">
        <v>18</v>
      </c>
      <c r="N1340" s="1188">
        <v>18</v>
      </c>
      <c r="O1340" s="1188">
        <f>VLOOKUP($I1340,'Price List, Weapons &amp; Items'!B:G,6,0)</f>
        <v>3000</v>
      </c>
      <c r="P1340" s="1185">
        <f t="shared" si="276"/>
        <v>54000</v>
      </c>
      <c r="Q1340" s="1185">
        <f t="shared" si="277"/>
        <v>54000</v>
      </c>
      <c r="R1340" s="1185" t="str">
        <f t="shared" si="273"/>
        <v/>
      </c>
      <c r="S1340" s="1185" t="str">
        <f>IF(AND(AD1340=1,R1340&lt;&gt;".")=TRUE,R1340/VLOOKUP(G1340,'Exchange Rates'!B:C,2,0),IF(R1340=".",".",""))</f>
        <v/>
      </c>
      <c r="T1340" s="1185" t="str">
        <f>IF(AD1340=1,IF(AF1340="Value is not given at all",".",IF(AF1340="Value is given by the source",S1340,IF(AF1340="Value is calculated with prices",(IF(SUMIFS(Q:Q,A:A,A1340)&gt;0,SUMIFS(Q:Q,A:A,A1340),"."))/VLOOKUP("USD",'Exchange Rates'!B:C,2,0),"Error with coding"))),"")</f>
        <v/>
      </c>
      <c r="U1340" s="1184" t="s">
        <v>365</v>
      </c>
      <c r="V1340" s="974" t="s">
        <v>3698</v>
      </c>
      <c r="W1340" s="1183" t="s">
        <v>364</v>
      </c>
      <c r="X1340" s="1183" t="s">
        <v>364</v>
      </c>
      <c r="Y1340" s="1183" t="s">
        <v>364</v>
      </c>
      <c r="Z1340" s="1184">
        <v>0</v>
      </c>
      <c r="AA1340" s="1194">
        <v>0</v>
      </c>
      <c r="AB1340" s="1026" t="s">
        <v>3699</v>
      </c>
      <c r="AC1340" s="1192" t="str">
        <f>""</f>
        <v/>
      </c>
      <c r="AD1340" s="1193">
        <v>0</v>
      </c>
      <c r="AE1340" s="1193" t="s">
        <v>436</v>
      </c>
      <c r="AF1340" s="1193" t="s">
        <v>436</v>
      </c>
      <c r="AG1340" s="1193">
        <v>1</v>
      </c>
      <c r="AH1340" s="1193">
        <v>2</v>
      </c>
      <c r="AI1340" s="1193">
        <v>0</v>
      </c>
      <c r="AJ1340" s="1193">
        <f>VLOOKUP($I1340,'Price List, Weapons &amp; Items'!B:F,5,0)</f>
        <v>0</v>
      </c>
      <c r="AK1340" s="1193">
        <f t="shared" si="278"/>
        <v>0</v>
      </c>
      <c r="AL1340" s="1193">
        <f t="shared" si="279"/>
        <v>0</v>
      </c>
      <c r="AM1340" s="1193">
        <f t="shared" si="280"/>
        <v>0</v>
      </c>
      <c r="AN1340" s="1194" t="str">
        <f>VLOOKUP($I1340,'Price List, Weapons &amp; Items'!B:L,COLUMN('Price List, Weapons &amp; Items'!$J$11)-1,0)</f>
        <v>Online marketplaces and stores</v>
      </c>
      <c r="AO1340" s="1194" t="str">
        <f>IF(I1340=".",".",VLOOKUP($I1340,'Price List, Weapons &amp; Items'!B:J,3,0))</f>
        <v>Humanitarian</v>
      </c>
      <c r="AP1340" s="1195" t="str">
        <f t="shared" ca="1" si="274"/>
        <v/>
      </c>
      <c r="AQ1340" s="1194">
        <f>VLOOKUP($I1340,'Price List, Weapons &amp; Items'!B:L,COLUMN('Price List, Weapons &amp; Items'!$L$11)-1,0)</f>
        <v>0</v>
      </c>
      <c r="AR1340" s="1194">
        <f t="shared" si="281"/>
        <v>1</v>
      </c>
      <c r="AS1340" s="1194">
        <f t="shared" si="282"/>
        <v>0</v>
      </c>
      <c r="AT1340" s="1194">
        <f t="shared" si="283"/>
        <v>1</v>
      </c>
      <c r="AU1340" s="1194" t="str">
        <f t="shared" si="285"/>
        <v>.</v>
      </c>
      <c r="AV1340" s="1194" t="str">
        <f t="shared" si="275"/>
        <v>.</v>
      </c>
      <c r="AW1340" s="1194" t="str">
        <f t="shared" si="284"/>
        <v>.</v>
      </c>
      <c r="AX1340" s="1194">
        <f>IFERROR(VLOOKUP(B1340,'Share, Heavy Weapons to Ukraine'!B:Z,COLUMN('Share, Heavy Weapons to Ukraine'!C1352)-1,0),0)</f>
        <v>1</v>
      </c>
      <c r="AY1340" s="1194">
        <f>VLOOKUP('Bilateral Assistance, MAIN DATA'!B1340,'Country Summary (€)'!B:F,COLUMN('Country Summary (€)'!C1353)-1,FALSE)</f>
        <v>0</v>
      </c>
      <c r="AZ1340" s="1194" t="str">
        <f>IF(AND(AD1340=1,D1340="Military",H1340&lt;&gt;"Not given")=TRUE,IF(SUMIFS(P:P,A:A,A1340)&gt;0,ABS((SUMIFS(P:P,A:A,A1340)/VLOOKUP("USD",'Exchange Rates'!B:C,2,0)))/S1340,"."),".")</f>
        <v>.</v>
      </c>
      <c r="BA1340" s="1196" t="str">
        <f>IF(AND(AD1340=1,D1340="Military",H1340&lt;&gt;"Not given")=TRUE,IF(SUMIFS(P:P,A:A,A1340)&gt;0,IF((ABS((SUMIFS(P:P,A:A,A1340)/VLOOKUP("USD",'Exchange Rates'!B:C,2,0)))/S1340)&gt;1,(SUMIFS(P:P,A:A,A1340)-S1340)/S1340,(S1340-SUMIFS(P:P,A:A,A1340))/SUMIFS(P:P,A:A,A1340)),"."),".")</f>
        <v>.</v>
      </c>
    </row>
    <row r="1341" spans="1:71" ht="15.95" customHeight="1">
      <c r="A1341" s="1180" t="s">
        <v>3700</v>
      </c>
      <c r="B1341" s="1180" t="s">
        <v>3685</v>
      </c>
      <c r="C1341" s="1181">
        <v>44632</v>
      </c>
      <c r="D1341" s="1182" t="s">
        <v>360</v>
      </c>
      <c r="E1341" s="1182" t="s">
        <v>361</v>
      </c>
      <c r="F1341" s="1183" t="s">
        <v>3701</v>
      </c>
      <c r="G1341" s="1184" t="s">
        <v>456</v>
      </c>
      <c r="H1341" s="1185" t="s">
        <v>457</v>
      </c>
      <c r="I1341" s="1180" t="s">
        <v>364</v>
      </c>
      <c r="J1341" s="1186" t="str">
        <f>VLOOKUP($I1341,'Price List, Weapons &amp; Items'!B:C,2,0)</f>
        <v>.</v>
      </c>
      <c r="K1341" s="1186" t="str">
        <f>IF(I1341=".",I1341,VLOOKUP($I1341,'Price List, Weapons &amp; Items'!B:D,3,0))</f>
        <v>.</v>
      </c>
      <c r="L1341" s="1187">
        <f>VLOOKUP(I1341,'Price List, Weapons &amp; Items'!B:E,4,0)</f>
        <v>0</v>
      </c>
      <c r="M1341" s="1188" t="s">
        <v>364</v>
      </c>
      <c r="N1341" s="1188" t="s">
        <v>364</v>
      </c>
      <c r="O1341" s="1188" t="str">
        <f>VLOOKUP($I1341,'Price List, Weapons &amp; Items'!B:G,6,0)</f>
        <v>.</v>
      </c>
      <c r="P1341" s="1185" t="str">
        <f t="shared" si="276"/>
        <v>.</v>
      </c>
      <c r="Q1341" s="1185" t="str">
        <f t="shared" si="277"/>
        <v>.</v>
      </c>
      <c r="R1341" s="1185">
        <f t="shared" si="273"/>
        <v>4763650</v>
      </c>
      <c r="S1341" s="1185">
        <f>IF(AND(AD1341=1,R1341&lt;&gt;".")=TRUE,R1341/VLOOKUP(G1341,'Exchange Rates'!B:C,2,0),IF(R1341=".",".",""))</f>
        <v>4383189.1792418109</v>
      </c>
      <c r="T1341" s="1185">
        <f>IF(AD1341=1,IF(AF1341="Value is not given at all",".",IF(AF1341="Value is given by the source",S1341,IF(AF1341="Value is calculated with prices",(IF(SUMIFS(Q:Q,A:A,A1341)&gt;0,SUMIFS(Q:Q,A:A,A1341),"."))/VLOOKUP("USD",'Exchange Rates'!B:C,2,0),"Error with coding"))),"")</f>
        <v>4383189.1792418109</v>
      </c>
      <c r="U1341" s="1184" t="s">
        <v>365</v>
      </c>
      <c r="V1341" s="971" t="s">
        <v>3702</v>
      </c>
      <c r="W1341" s="980" t="s">
        <v>3699</v>
      </c>
      <c r="X1341" s="1190" t="s">
        <v>364</v>
      </c>
      <c r="Y1341" s="1190" t="s">
        <v>364</v>
      </c>
      <c r="Z1341" s="1184">
        <v>0</v>
      </c>
      <c r="AA1341" s="1194">
        <v>0</v>
      </c>
      <c r="AB1341" s="1026" t="s">
        <v>3699</v>
      </c>
      <c r="AC1341" s="1192" t="str">
        <f>""</f>
        <v/>
      </c>
      <c r="AD1341" s="1193">
        <v>1</v>
      </c>
      <c r="AE1341" s="1193" t="s">
        <v>436</v>
      </c>
      <c r="AF1341" s="1193" t="s">
        <v>436</v>
      </c>
      <c r="AG1341" s="1193">
        <v>1</v>
      </c>
      <c r="AH1341" s="1193">
        <v>3</v>
      </c>
      <c r="AI1341" s="1193">
        <v>0</v>
      </c>
      <c r="AJ1341" s="1193">
        <f>VLOOKUP($I1341,'Price List, Weapons &amp; Items'!B:F,5,0)</f>
        <v>0</v>
      </c>
      <c r="AK1341" s="1193">
        <f t="shared" si="278"/>
        <v>0</v>
      </c>
      <c r="AL1341" s="1193">
        <f t="shared" si="279"/>
        <v>0</v>
      </c>
      <c r="AM1341" s="1193">
        <f t="shared" si="280"/>
        <v>0</v>
      </c>
      <c r="AN1341" s="1194" t="str">
        <f>VLOOKUP($I1341,'Price List, Weapons &amp; Items'!B:L,COLUMN('Price List, Weapons &amp; Items'!$J$11)-1,0)</f>
        <v>.</v>
      </c>
      <c r="AO1341" s="1194" t="str">
        <f>IF(I1341=".",".",VLOOKUP($I1341,'Price List, Weapons &amp; Items'!B:J,3,0))</f>
        <v>.</v>
      </c>
      <c r="AP1341" s="1195" t="str">
        <f t="shared" ca="1" si="274"/>
        <v>.</v>
      </c>
      <c r="AQ1341" s="1194">
        <f>VLOOKUP($I1341,'Price List, Weapons &amp; Items'!B:L,COLUMN('Price List, Weapons &amp; Items'!$L$11)-1,0)</f>
        <v>0</v>
      </c>
      <c r="AR1341" s="1194">
        <f t="shared" si="281"/>
        <v>1</v>
      </c>
      <c r="AS1341" s="1194">
        <f t="shared" si="282"/>
        <v>0</v>
      </c>
      <c r="AT1341" s="1194">
        <f t="shared" si="283"/>
        <v>1</v>
      </c>
      <c r="AU1341" s="1194" t="str">
        <f t="shared" si="285"/>
        <v>.</v>
      </c>
      <c r="AV1341" s="1194" t="str">
        <f t="shared" si="275"/>
        <v>.</v>
      </c>
      <c r="AW1341" s="1194" t="str">
        <f t="shared" si="284"/>
        <v>.</v>
      </c>
      <c r="AX1341" s="1194">
        <f>IFERROR(VLOOKUP(B1341,'Share, Heavy Weapons to Ukraine'!B:Z,COLUMN('Share, Heavy Weapons to Ukraine'!C1353)-1,0),0)</f>
        <v>1</v>
      </c>
      <c r="AY1341" s="1194">
        <f>VLOOKUP('Bilateral Assistance, MAIN DATA'!B1341,'Country Summary (€)'!B:F,COLUMN('Country Summary (€)'!C1354)-1,FALSE)</f>
        <v>0</v>
      </c>
      <c r="AZ1341" s="1194" t="str">
        <f>IF(AND(AD1341=1,D1341="Military",H1341&lt;&gt;"Not given")=TRUE,IF(SUMIFS(P:P,A:A,A1341)&gt;0,ABS((SUMIFS(P:P,A:A,A1341)/VLOOKUP("USD",'Exchange Rates'!B:C,2,0)))/S1341,"."),".")</f>
        <v>.</v>
      </c>
      <c r="BA1341" s="1196" t="str">
        <f>IF(AND(AD1341=1,D1341="Military",H1341&lt;&gt;"Not given")=TRUE,IF(SUMIFS(P:P,A:A,A1341)&gt;0,IF((ABS((SUMIFS(P:P,A:A,A1341)/VLOOKUP("USD",'Exchange Rates'!B:C,2,0)))/S1341)&gt;1,(SUMIFS(P:P,A:A,A1341)-S1341)/S1341,(S1341-SUMIFS(P:P,A:A,A1341))/SUMIFS(P:P,A:A,A1341)),"."),".")</f>
        <v>.</v>
      </c>
    </row>
    <row r="1342" spans="1:71" ht="15.95" customHeight="1">
      <c r="A1342" s="1180" t="s">
        <v>3700</v>
      </c>
      <c r="B1342" s="1180" t="s">
        <v>3685</v>
      </c>
      <c r="C1342" s="1181">
        <v>44632</v>
      </c>
      <c r="D1342" s="1182" t="s">
        <v>360</v>
      </c>
      <c r="E1342" s="1182" t="s">
        <v>361</v>
      </c>
      <c r="F1342" s="1183" t="s">
        <v>3701</v>
      </c>
      <c r="G1342" s="1184" t="s">
        <v>456</v>
      </c>
      <c r="H1342" s="1185" t="s">
        <v>457</v>
      </c>
      <c r="I1342" s="1180" t="s">
        <v>1525</v>
      </c>
      <c r="J1342" s="1186" t="str">
        <f>VLOOKUP($I1342,'Price List, Weapons &amp; Items'!B:C,2,0)</f>
        <v>Humanitarian</v>
      </c>
      <c r="K1342" s="1186" t="str">
        <f>IF(I1342=".",I1342,VLOOKUP($I1342,'Price List, Weapons &amp; Items'!B:D,3,0))</f>
        <v>Humanitarian</v>
      </c>
      <c r="L1342" s="1187">
        <f>VLOOKUP(I1342,'Price List, Weapons &amp; Items'!B:E,4,0)</f>
        <v>0</v>
      </c>
      <c r="M1342" s="1188">
        <v>510</v>
      </c>
      <c r="N1342" s="1188">
        <v>510</v>
      </c>
      <c r="O1342" s="1188">
        <f>VLOOKUP($I1342,'Price List, Weapons &amp; Items'!B:G,6,0)</f>
        <v>200</v>
      </c>
      <c r="P1342" s="1185">
        <f t="shared" si="276"/>
        <v>102000</v>
      </c>
      <c r="Q1342" s="1185">
        <f t="shared" si="277"/>
        <v>102000</v>
      </c>
      <c r="R1342" s="1185" t="str">
        <f t="shared" si="273"/>
        <v/>
      </c>
      <c r="S1342" s="1185" t="str">
        <f>IF(AND(AD1342=1,R1342&lt;&gt;".")=TRUE,R1342/VLOOKUP(G1342,'Exchange Rates'!B:C,2,0),IF(R1342=".",".",""))</f>
        <v/>
      </c>
      <c r="T1342" s="1185" t="str">
        <f>IF(AD1342=1,IF(AF1342="Value is not given at all",".",IF(AF1342="Value is given by the source",S1342,IF(AF1342="Value is calculated with prices",(IF(SUMIFS(Q:Q,A:A,A1342)&gt;0,SUMIFS(Q:Q,A:A,A1342),"."))/VLOOKUP("USD",'Exchange Rates'!B:C,2,0),"Error with coding"))),"")</f>
        <v/>
      </c>
      <c r="U1342" s="1184" t="s">
        <v>365</v>
      </c>
      <c r="V1342" s="971" t="s">
        <v>3702</v>
      </c>
      <c r="W1342" s="980" t="s">
        <v>3699</v>
      </c>
      <c r="X1342" s="1190" t="s">
        <v>364</v>
      </c>
      <c r="Y1342" s="1190" t="s">
        <v>364</v>
      </c>
      <c r="Z1342" s="1184">
        <v>0</v>
      </c>
      <c r="AA1342" s="1194">
        <v>0</v>
      </c>
      <c r="AB1342" s="1026" t="s">
        <v>3699</v>
      </c>
      <c r="AC1342" s="1192" t="str">
        <f>""</f>
        <v/>
      </c>
      <c r="AD1342" s="1193">
        <v>0</v>
      </c>
      <c r="AE1342" s="1193" t="s">
        <v>436</v>
      </c>
      <c r="AF1342" s="1193" t="s">
        <v>436</v>
      </c>
      <c r="AG1342" s="1193">
        <v>1</v>
      </c>
      <c r="AH1342" s="1193">
        <v>3</v>
      </c>
      <c r="AI1342" s="1193">
        <v>1</v>
      </c>
      <c r="AJ1342" s="1193">
        <f>VLOOKUP($I1342,'Price List, Weapons &amp; Items'!B:F,5,0)</f>
        <v>0</v>
      </c>
      <c r="AK1342" s="1193">
        <f t="shared" si="278"/>
        <v>0</v>
      </c>
      <c r="AL1342" s="1193">
        <f t="shared" si="279"/>
        <v>0</v>
      </c>
      <c r="AM1342" s="1193">
        <f t="shared" si="280"/>
        <v>0</v>
      </c>
      <c r="AN1342" s="1194" t="str">
        <f>VLOOKUP($I1342,'Price List, Weapons &amp; Items'!B:L,COLUMN('Price List, Weapons &amp; Items'!$J$11)-1,0)</f>
        <v>Media reports (incl. social media)</v>
      </c>
      <c r="AO1342" s="1194" t="str">
        <f>IF(I1342=".",".",VLOOKUP($I1342,'Price List, Weapons &amp; Items'!B:J,3,0))</f>
        <v>Humanitarian</v>
      </c>
      <c r="AP1342" s="1195" t="str">
        <f t="shared" ca="1" si="274"/>
        <v/>
      </c>
      <c r="AQ1342" s="1194">
        <f>VLOOKUP($I1342,'Price List, Weapons &amp; Items'!B:L,COLUMN('Price List, Weapons &amp; Items'!$L$11)-1,0)</f>
        <v>0</v>
      </c>
      <c r="AR1342" s="1194">
        <f t="shared" si="281"/>
        <v>1</v>
      </c>
      <c r="AS1342" s="1194">
        <f t="shared" si="282"/>
        <v>0</v>
      </c>
      <c r="AT1342" s="1194">
        <f t="shared" si="283"/>
        <v>1</v>
      </c>
      <c r="AU1342" s="1194" t="str">
        <f t="shared" si="285"/>
        <v>.</v>
      </c>
      <c r="AV1342" s="1194" t="str">
        <f t="shared" si="275"/>
        <v>.</v>
      </c>
      <c r="AW1342" s="1194" t="str">
        <f t="shared" si="284"/>
        <v>.</v>
      </c>
      <c r="AX1342" s="1194">
        <f>IFERROR(VLOOKUP(B1342,'Share, Heavy Weapons to Ukraine'!B:Z,COLUMN('Share, Heavy Weapons to Ukraine'!C1354)-1,0),0)</f>
        <v>1</v>
      </c>
      <c r="AY1342" s="1194">
        <f>VLOOKUP('Bilateral Assistance, MAIN DATA'!B1342,'Country Summary (€)'!B:F,COLUMN('Country Summary (€)'!C1355)-1,FALSE)</f>
        <v>0</v>
      </c>
      <c r="AZ1342" s="1194" t="str">
        <f>IF(AND(AD1342=1,D1342="Military",H1342&lt;&gt;"Not given")=TRUE,IF(SUMIFS(P:P,A:A,A1342)&gt;0,ABS((SUMIFS(P:P,A:A,A1342)/VLOOKUP("USD",'Exchange Rates'!B:C,2,0)))/S1342,"."),".")</f>
        <v>.</v>
      </c>
      <c r="BA1342" s="1196" t="str">
        <f>IF(AND(AD1342=1,D1342="Military",H1342&lt;&gt;"Not given")=TRUE,IF(SUMIFS(P:P,A:A,A1342)&gt;0,IF((ABS((SUMIFS(P:P,A:A,A1342)/VLOOKUP("USD",'Exchange Rates'!B:C,2,0)))/S1342)&gt;1,(SUMIFS(P:P,A:A,A1342)-S1342)/S1342,(S1342-SUMIFS(P:P,A:A,A1342))/SUMIFS(P:P,A:A,A1342)),"."),".")</f>
        <v>.</v>
      </c>
    </row>
    <row r="1343" spans="1:71" ht="15.95" customHeight="1">
      <c r="A1343" s="1180" t="s">
        <v>3700</v>
      </c>
      <c r="B1343" s="1180" t="s">
        <v>3685</v>
      </c>
      <c r="C1343" s="1181">
        <v>44632</v>
      </c>
      <c r="D1343" s="1182" t="s">
        <v>360</v>
      </c>
      <c r="E1343" s="1182" t="s">
        <v>361</v>
      </c>
      <c r="F1343" s="1183" t="s">
        <v>3701</v>
      </c>
      <c r="G1343" s="1184" t="s">
        <v>456</v>
      </c>
      <c r="H1343" s="1185" t="s">
        <v>457</v>
      </c>
      <c r="I1343" s="1180" t="s">
        <v>1442</v>
      </c>
      <c r="J1343" s="1186" t="str">
        <f>VLOOKUP($I1343,'Price List, Weapons &amp; Items'!B:C,2,0)</f>
        <v>Humanitarian</v>
      </c>
      <c r="K1343" s="1186" t="str">
        <f>IF(I1343=".",I1343,VLOOKUP($I1343,'Price List, Weapons &amp; Items'!B:D,3,0))</f>
        <v>Humanitarian</v>
      </c>
      <c r="L1343" s="1187">
        <f>VLOOKUP(I1343,'Price List, Weapons &amp; Items'!B:E,4,0)</f>
        <v>0</v>
      </c>
      <c r="M1343" s="1188">
        <v>8</v>
      </c>
      <c r="N1343" s="1188">
        <v>8</v>
      </c>
      <c r="O1343" s="1188">
        <f>VLOOKUP($I1343,'Price List, Weapons &amp; Items'!B:G,6,0)</f>
        <v>3000</v>
      </c>
      <c r="P1343" s="1185">
        <f t="shared" si="276"/>
        <v>24000</v>
      </c>
      <c r="Q1343" s="1185">
        <f t="shared" si="277"/>
        <v>24000</v>
      </c>
      <c r="R1343" s="1185" t="str">
        <f t="shared" si="273"/>
        <v/>
      </c>
      <c r="S1343" s="1185" t="str">
        <f>IF(AND(AD1343=1,R1343&lt;&gt;".")=TRUE,R1343/VLOOKUP(G1343,'Exchange Rates'!B:C,2,0),IF(R1343=".",".",""))</f>
        <v/>
      </c>
      <c r="T1343" s="1185" t="str">
        <f>IF(AD1343=1,IF(AF1343="Value is not given at all",".",IF(AF1343="Value is given by the source",S1343,IF(AF1343="Value is calculated with prices",(IF(SUMIFS(Q:Q,A:A,A1343)&gt;0,SUMIFS(Q:Q,A:A,A1343),"."))/VLOOKUP("USD",'Exchange Rates'!B:C,2,0),"Error with coding"))),"")</f>
        <v/>
      </c>
      <c r="U1343" s="1184" t="s">
        <v>365</v>
      </c>
      <c r="V1343" s="972" t="s">
        <v>3702</v>
      </c>
      <c r="W1343" s="980" t="s">
        <v>3699</v>
      </c>
      <c r="X1343" s="1190" t="s">
        <v>364</v>
      </c>
      <c r="Y1343" s="1190" t="s">
        <v>364</v>
      </c>
      <c r="Z1343" s="1184">
        <v>0</v>
      </c>
      <c r="AA1343" s="1194">
        <v>0</v>
      </c>
      <c r="AB1343" s="1026" t="s">
        <v>3699</v>
      </c>
      <c r="AC1343" s="1192" t="str">
        <f>""</f>
        <v/>
      </c>
      <c r="AD1343" s="1193">
        <v>0</v>
      </c>
      <c r="AE1343" s="1193" t="s">
        <v>436</v>
      </c>
      <c r="AF1343" s="1193" t="s">
        <v>436</v>
      </c>
      <c r="AG1343" s="1193">
        <v>1</v>
      </c>
      <c r="AH1343" s="1193">
        <v>3</v>
      </c>
      <c r="AI1343" s="1193">
        <v>2</v>
      </c>
      <c r="AJ1343" s="1193">
        <f>VLOOKUP($I1343,'Price List, Weapons &amp; Items'!B:F,5,0)</f>
        <v>0</v>
      </c>
      <c r="AK1343" s="1193">
        <f t="shared" si="278"/>
        <v>0</v>
      </c>
      <c r="AL1343" s="1193">
        <f t="shared" si="279"/>
        <v>0</v>
      </c>
      <c r="AM1343" s="1193">
        <f t="shared" si="280"/>
        <v>0</v>
      </c>
      <c r="AN1343" s="1194" t="str">
        <f>VLOOKUP($I1343,'Price List, Weapons &amp; Items'!B:L,COLUMN('Price List, Weapons &amp; Items'!$J$11)-1,0)</f>
        <v>Online marketplaces and stores</v>
      </c>
      <c r="AO1343" s="1194" t="str">
        <f>IF(I1343=".",".",VLOOKUP($I1343,'Price List, Weapons &amp; Items'!B:J,3,0))</f>
        <v>Humanitarian</v>
      </c>
      <c r="AP1343" s="1195" t="str">
        <f t="shared" ca="1" si="274"/>
        <v/>
      </c>
      <c r="AQ1343" s="1194">
        <f>VLOOKUP($I1343,'Price List, Weapons &amp; Items'!B:L,COLUMN('Price List, Weapons &amp; Items'!$L$11)-1,0)</f>
        <v>0</v>
      </c>
      <c r="AR1343" s="1194">
        <f t="shared" si="281"/>
        <v>1</v>
      </c>
      <c r="AS1343" s="1194">
        <f t="shared" si="282"/>
        <v>0</v>
      </c>
      <c r="AT1343" s="1194">
        <f t="shared" si="283"/>
        <v>1</v>
      </c>
      <c r="AU1343" s="1194" t="str">
        <f t="shared" si="285"/>
        <v>.</v>
      </c>
      <c r="AV1343" s="1194" t="str">
        <f t="shared" si="275"/>
        <v>.</v>
      </c>
      <c r="AW1343" s="1194" t="str">
        <f t="shared" si="284"/>
        <v>.</v>
      </c>
      <c r="AX1343" s="1194">
        <f>IFERROR(VLOOKUP(B1343,'Share, Heavy Weapons to Ukraine'!B:Z,COLUMN('Share, Heavy Weapons to Ukraine'!C1355)-1,0),0)</f>
        <v>1</v>
      </c>
      <c r="AY1343" s="1194">
        <f>VLOOKUP('Bilateral Assistance, MAIN DATA'!B1343,'Country Summary (€)'!B:F,COLUMN('Country Summary (€)'!C1356)-1,FALSE)</f>
        <v>0</v>
      </c>
      <c r="AZ1343" s="1194" t="str">
        <f>IF(AND(AD1343=1,D1343="Military",H1343&lt;&gt;"Not given")=TRUE,IF(SUMIFS(P:P,A:A,A1343)&gt;0,ABS((SUMIFS(P:P,A:A,A1343)/VLOOKUP("USD",'Exchange Rates'!B:C,2,0)))/S1343,"."),".")</f>
        <v>.</v>
      </c>
      <c r="BA1343" s="1196" t="str">
        <f>IF(AND(AD1343=1,D1343="Military",H1343&lt;&gt;"Not given")=TRUE,IF(SUMIFS(P:P,A:A,A1343)&gt;0,IF((ABS((SUMIFS(P:P,A:A,A1343)/VLOOKUP("USD",'Exchange Rates'!B:C,2,0)))/S1343)&gt;1,(SUMIFS(P:P,A:A,A1343)-S1343)/S1343,(S1343-SUMIFS(P:P,A:A,A1343))/SUMIFS(P:P,A:A,A1343)),"."),".")</f>
        <v>.</v>
      </c>
    </row>
    <row r="1344" spans="1:71" ht="15.95" customHeight="1">
      <c r="A1344" s="1180" t="s">
        <v>3700</v>
      </c>
      <c r="B1344" s="1180" t="s">
        <v>3685</v>
      </c>
      <c r="C1344" s="1181">
        <v>44632</v>
      </c>
      <c r="D1344" s="1182" t="s">
        <v>360</v>
      </c>
      <c r="E1344" s="1182" t="s">
        <v>361</v>
      </c>
      <c r="F1344" s="1183" t="s">
        <v>3701</v>
      </c>
      <c r="G1344" s="1184" t="s">
        <v>456</v>
      </c>
      <c r="H1344" s="1185" t="s">
        <v>457</v>
      </c>
      <c r="I1344" s="1180" t="s">
        <v>1529</v>
      </c>
      <c r="J1344" s="1186" t="str">
        <f>VLOOKUP($I1344,'Price List, Weapons &amp; Items'!B:C,2,0)</f>
        <v>Humanitarian</v>
      </c>
      <c r="K1344" s="1186" t="str">
        <f>IF(I1344=".",I1344,VLOOKUP($I1344,'Price List, Weapons &amp; Items'!B:D,3,0))</f>
        <v>Humanitarian</v>
      </c>
      <c r="L1344" s="1187">
        <f>VLOOKUP(I1344,'Price List, Weapons &amp; Items'!B:E,4,0)</f>
        <v>0</v>
      </c>
      <c r="M1344" s="1188">
        <v>9940</v>
      </c>
      <c r="N1344" s="1188">
        <v>9940</v>
      </c>
      <c r="O1344" s="1188">
        <f>VLOOKUP($I1344,'Price List, Weapons &amp; Items'!B:G,6,0)</f>
        <v>43</v>
      </c>
      <c r="P1344" s="1185">
        <f t="shared" si="276"/>
        <v>427420</v>
      </c>
      <c r="Q1344" s="1185">
        <f t="shared" si="277"/>
        <v>427420</v>
      </c>
      <c r="R1344" s="1185" t="str">
        <f t="shared" si="273"/>
        <v/>
      </c>
      <c r="S1344" s="1185" t="str">
        <f>IF(AND(AD1344=1,R1344&lt;&gt;".")=TRUE,R1344/VLOOKUP(G1344,'Exchange Rates'!B:C,2,0),IF(R1344=".",".",""))</f>
        <v/>
      </c>
      <c r="T1344" s="1185" t="str">
        <f>IF(AD1344=1,IF(AF1344="Value is not given at all",".",IF(AF1344="Value is given by the source",S1344,IF(AF1344="Value is calculated with prices",(IF(SUMIFS(Q:Q,A:A,A1344)&gt;0,SUMIFS(Q:Q,A:A,A1344),"."))/VLOOKUP("USD",'Exchange Rates'!B:C,2,0),"Error with coding"))),"")</f>
        <v/>
      </c>
      <c r="U1344" s="1184" t="s">
        <v>365</v>
      </c>
      <c r="V1344" s="972" t="s">
        <v>3702</v>
      </c>
      <c r="W1344" s="980" t="s">
        <v>3699</v>
      </c>
      <c r="X1344" s="1190" t="s">
        <v>364</v>
      </c>
      <c r="Y1344" s="1190" t="s">
        <v>364</v>
      </c>
      <c r="Z1344" s="1184">
        <v>0</v>
      </c>
      <c r="AA1344" s="1194">
        <v>0</v>
      </c>
      <c r="AB1344" s="1026" t="s">
        <v>3699</v>
      </c>
      <c r="AC1344" s="1192" t="str">
        <f>""</f>
        <v/>
      </c>
      <c r="AD1344" s="1193">
        <v>0</v>
      </c>
      <c r="AE1344" s="1193" t="s">
        <v>436</v>
      </c>
      <c r="AF1344" s="1193" t="s">
        <v>436</v>
      </c>
      <c r="AG1344" s="1193">
        <v>1</v>
      </c>
      <c r="AH1344" s="1193">
        <v>3</v>
      </c>
      <c r="AI1344" s="1193">
        <v>3</v>
      </c>
      <c r="AJ1344" s="1193">
        <f>VLOOKUP($I1344,'Price List, Weapons &amp; Items'!B:F,5,0)</f>
        <v>0</v>
      </c>
      <c r="AK1344" s="1193">
        <f t="shared" si="278"/>
        <v>0</v>
      </c>
      <c r="AL1344" s="1193">
        <f t="shared" si="279"/>
        <v>0</v>
      </c>
      <c r="AM1344" s="1193">
        <f t="shared" si="280"/>
        <v>0</v>
      </c>
      <c r="AN1344" s="1194" t="str">
        <f>VLOOKUP($I1344,'Price List, Weapons &amp; Items'!B:L,COLUMN('Price List, Weapons &amp; Items'!$J$11)-1,0)</f>
        <v>Media reports (incl. social media)</v>
      </c>
      <c r="AO1344" s="1194" t="str">
        <f>IF(I1344=".",".",VLOOKUP($I1344,'Price List, Weapons &amp; Items'!B:J,3,0))</f>
        <v>Humanitarian</v>
      </c>
      <c r="AP1344" s="1195" t="str">
        <f t="shared" ca="1" si="274"/>
        <v/>
      </c>
      <c r="AQ1344" s="1194">
        <f>VLOOKUP($I1344,'Price List, Weapons &amp; Items'!B:L,COLUMN('Price List, Weapons &amp; Items'!$L$11)-1,0)</f>
        <v>0</v>
      </c>
      <c r="AR1344" s="1194">
        <f t="shared" si="281"/>
        <v>1</v>
      </c>
      <c r="AS1344" s="1194">
        <f t="shared" si="282"/>
        <v>0</v>
      </c>
      <c r="AT1344" s="1194">
        <f t="shared" si="283"/>
        <v>1</v>
      </c>
      <c r="AU1344" s="1194" t="str">
        <f t="shared" si="285"/>
        <v>.</v>
      </c>
      <c r="AV1344" s="1194" t="str">
        <f t="shared" si="275"/>
        <v>.</v>
      </c>
      <c r="AW1344" s="1194" t="str">
        <f t="shared" si="284"/>
        <v>.</v>
      </c>
      <c r="AX1344" s="1194">
        <f>IFERROR(VLOOKUP(B1344,'Share, Heavy Weapons to Ukraine'!B:Z,COLUMN('Share, Heavy Weapons to Ukraine'!C1356)-1,0),0)</f>
        <v>1</v>
      </c>
      <c r="AY1344" s="1194">
        <f>VLOOKUP('Bilateral Assistance, MAIN DATA'!B1344,'Country Summary (€)'!B:F,COLUMN('Country Summary (€)'!C1357)-1,FALSE)</f>
        <v>0</v>
      </c>
      <c r="AZ1344" s="1194" t="str">
        <f>IF(AND(AD1344=1,D1344="Military",H1344&lt;&gt;"Not given")=TRUE,IF(SUMIFS(P:P,A:A,A1344)&gt;0,ABS((SUMIFS(P:P,A:A,A1344)/VLOOKUP("USD",'Exchange Rates'!B:C,2,0)))/S1344,"."),".")</f>
        <v>.</v>
      </c>
      <c r="BA1344" s="1196" t="str">
        <f>IF(AND(AD1344=1,D1344="Military",H1344&lt;&gt;"Not given")=TRUE,IF(SUMIFS(P:P,A:A,A1344)&gt;0,IF((ABS((SUMIFS(P:P,A:A,A1344)/VLOOKUP("USD",'Exchange Rates'!B:C,2,0)))/S1344)&gt;1,(SUMIFS(P:P,A:A,A1344)-S1344)/S1344,(S1344-SUMIFS(P:P,A:A,A1344))/SUMIFS(P:P,A:A,A1344)),"."),".")</f>
        <v>.</v>
      </c>
    </row>
    <row r="1345" spans="1:53" ht="15.95" customHeight="1">
      <c r="A1345" s="1180" t="s">
        <v>3700</v>
      </c>
      <c r="B1345" s="1180" t="s">
        <v>3685</v>
      </c>
      <c r="C1345" s="1181">
        <v>44632</v>
      </c>
      <c r="D1345" s="1182" t="s">
        <v>360</v>
      </c>
      <c r="E1345" s="1182" t="s">
        <v>361</v>
      </c>
      <c r="F1345" s="1183" t="s">
        <v>3701</v>
      </c>
      <c r="G1345" s="1184" t="s">
        <v>456</v>
      </c>
      <c r="H1345" s="1185" t="s">
        <v>457</v>
      </c>
      <c r="I1345" s="1180" t="s">
        <v>599</v>
      </c>
      <c r="J1345" s="1186" t="str">
        <f>VLOOKUP($I1345,'Price List, Weapons &amp; Items'!B:C,2,0)</f>
        <v>Humanitarian</v>
      </c>
      <c r="K1345" s="1186" t="str">
        <f>IF(I1345=".",I1345,VLOOKUP($I1345,'Price List, Weapons &amp; Items'!B:D,3,0))</f>
        <v>Humanitarian</v>
      </c>
      <c r="L1345" s="1187">
        <f>VLOOKUP(I1345,'Price List, Weapons &amp; Items'!B:E,4,0)</f>
        <v>0</v>
      </c>
      <c r="M1345" s="1188">
        <v>1690</v>
      </c>
      <c r="N1345" s="1188">
        <v>1690</v>
      </c>
      <c r="O1345" s="1188">
        <f>VLOOKUP($I1345,'Price List, Weapons &amp; Items'!B:G,6,0)</f>
        <v>200</v>
      </c>
      <c r="P1345" s="1185">
        <f t="shared" si="276"/>
        <v>338000</v>
      </c>
      <c r="Q1345" s="1185">
        <f t="shared" si="277"/>
        <v>338000</v>
      </c>
      <c r="R1345" s="1185" t="str">
        <f t="shared" si="273"/>
        <v/>
      </c>
      <c r="S1345" s="1185" t="str">
        <f>IF(AND(AD1345=1,R1345&lt;&gt;".")=TRUE,R1345/VLOOKUP(G1345,'Exchange Rates'!B:C,2,0),IF(R1345=".",".",""))</f>
        <v/>
      </c>
      <c r="T1345" s="1185" t="str">
        <f>IF(AD1345=1,IF(AF1345="Value is not given at all",".",IF(AF1345="Value is given by the source",S1345,IF(AF1345="Value is calculated with prices",(IF(SUMIFS(Q:Q,A:A,A1345)&gt;0,SUMIFS(Q:Q,A:A,A1345),"."))/VLOOKUP("USD",'Exchange Rates'!B:C,2,0),"Error with coding"))),"")</f>
        <v/>
      </c>
      <c r="U1345" s="1184" t="s">
        <v>365</v>
      </c>
      <c r="V1345" s="972" t="s">
        <v>3702</v>
      </c>
      <c r="W1345" s="980" t="s">
        <v>3699</v>
      </c>
      <c r="X1345" s="1190" t="s">
        <v>364</v>
      </c>
      <c r="Y1345" s="1190" t="s">
        <v>364</v>
      </c>
      <c r="Z1345" s="1184">
        <v>0</v>
      </c>
      <c r="AA1345" s="1194">
        <v>0</v>
      </c>
      <c r="AB1345" s="1026" t="s">
        <v>3699</v>
      </c>
      <c r="AC1345" s="1192" t="str">
        <f>""</f>
        <v/>
      </c>
      <c r="AD1345" s="1193">
        <v>0</v>
      </c>
      <c r="AE1345" s="1193" t="s">
        <v>436</v>
      </c>
      <c r="AF1345" s="1193" t="s">
        <v>436</v>
      </c>
      <c r="AG1345" s="1193">
        <v>1</v>
      </c>
      <c r="AH1345" s="1193">
        <v>3</v>
      </c>
      <c r="AI1345" s="1193">
        <v>4</v>
      </c>
      <c r="AJ1345" s="1193">
        <f>VLOOKUP($I1345,'Price List, Weapons &amp; Items'!B:F,5,0)</f>
        <v>0</v>
      </c>
      <c r="AK1345" s="1193">
        <f t="shared" si="278"/>
        <v>0</v>
      </c>
      <c r="AL1345" s="1193">
        <f t="shared" si="279"/>
        <v>0</v>
      </c>
      <c r="AM1345" s="1193">
        <f t="shared" si="280"/>
        <v>0</v>
      </c>
      <c r="AN1345" s="1194" t="str">
        <f>VLOOKUP($I1345,'Price List, Weapons &amp; Items'!B:L,COLUMN('Price List, Weapons &amp; Items'!$J$11)-1,0)</f>
        <v>Online marketplaces and stores</v>
      </c>
      <c r="AO1345" s="1194" t="str">
        <f>IF(I1345=".",".",VLOOKUP($I1345,'Price List, Weapons &amp; Items'!B:J,3,0))</f>
        <v>Humanitarian</v>
      </c>
      <c r="AP1345" s="1195" t="str">
        <f t="shared" ca="1" si="274"/>
        <v/>
      </c>
      <c r="AQ1345" s="1194">
        <f>VLOOKUP($I1345,'Price List, Weapons &amp; Items'!B:L,COLUMN('Price List, Weapons &amp; Items'!$L$11)-1,0)</f>
        <v>0</v>
      </c>
      <c r="AR1345" s="1194">
        <f t="shared" si="281"/>
        <v>1</v>
      </c>
      <c r="AS1345" s="1194">
        <f t="shared" si="282"/>
        <v>0</v>
      </c>
      <c r="AT1345" s="1194">
        <f t="shared" si="283"/>
        <v>1</v>
      </c>
      <c r="AU1345" s="1194" t="str">
        <f t="shared" si="285"/>
        <v>.</v>
      </c>
      <c r="AV1345" s="1194" t="str">
        <f t="shared" si="275"/>
        <v>.</v>
      </c>
      <c r="AW1345" s="1194" t="str">
        <f t="shared" si="284"/>
        <v>.</v>
      </c>
      <c r="AX1345" s="1194">
        <f>IFERROR(VLOOKUP(B1345,'Share, Heavy Weapons to Ukraine'!B:Z,COLUMN('Share, Heavy Weapons to Ukraine'!C1357)-1,0),0)</f>
        <v>1</v>
      </c>
      <c r="AY1345" s="1194">
        <f>VLOOKUP('Bilateral Assistance, MAIN DATA'!B1345,'Country Summary (€)'!B:F,COLUMN('Country Summary (€)'!C1358)-1,FALSE)</f>
        <v>0</v>
      </c>
      <c r="AZ1345" s="1194" t="str">
        <f>IF(AND(AD1345=1,D1345="Military",H1345&lt;&gt;"Not given")=TRUE,IF(SUMIFS(P:P,A:A,A1345)&gt;0,ABS((SUMIFS(P:P,A:A,A1345)/VLOOKUP("USD",'Exchange Rates'!B:C,2,0)))/S1345,"."),".")</f>
        <v>.</v>
      </c>
      <c r="BA1345" s="1196" t="str">
        <f>IF(AND(AD1345=1,D1345="Military",H1345&lt;&gt;"Not given")=TRUE,IF(SUMIFS(P:P,A:A,A1345)&gt;0,IF((ABS((SUMIFS(P:P,A:A,A1345)/VLOOKUP("USD",'Exchange Rates'!B:C,2,0)))/S1345)&gt;1,(SUMIFS(P:P,A:A,A1345)-S1345)/S1345,(S1345-SUMIFS(P:P,A:A,A1345))/SUMIFS(P:P,A:A,A1345)),"."),".")</f>
        <v>.</v>
      </c>
    </row>
    <row r="1346" spans="1:53" ht="15.95" customHeight="1">
      <c r="A1346" s="1180" t="s">
        <v>3700</v>
      </c>
      <c r="B1346" s="1180" t="s">
        <v>3685</v>
      </c>
      <c r="C1346" s="1181">
        <v>44632</v>
      </c>
      <c r="D1346" s="1182" t="s">
        <v>360</v>
      </c>
      <c r="E1346" s="1182" t="s">
        <v>361</v>
      </c>
      <c r="F1346" s="1183" t="s">
        <v>3701</v>
      </c>
      <c r="G1346" s="1184" t="s">
        <v>456</v>
      </c>
      <c r="H1346" s="1185" t="s">
        <v>457</v>
      </c>
      <c r="I1346" s="1180" t="s">
        <v>471</v>
      </c>
      <c r="J1346" s="1186" t="str">
        <f>VLOOKUP($I1346,'Price List, Weapons &amp; Items'!B:C,2,0)</f>
        <v>Humanitarian</v>
      </c>
      <c r="K1346" s="1186" t="str">
        <f>IF(I1346=".",I1346,VLOOKUP($I1346,'Price List, Weapons &amp; Items'!B:D,3,0))</f>
        <v>Humanitarian</v>
      </c>
      <c r="L1346" s="1187">
        <f>VLOOKUP(I1346,'Price List, Weapons &amp; Items'!B:E,4,0)</f>
        <v>0</v>
      </c>
      <c r="M1346" s="1188">
        <v>141</v>
      </c>
      <c r="N1346" s="1188">
        <v>141</v>
      </c>
      <c r="O1346" s="1188">
        <f>VLOOKUP($I1346,'Price List, Weapons &amp; Items'!B:G,6,0)</f>
        <v>150</v>
      </c>
      <c r="P1346" s="1185">
        <f t="shared" si="276"/>
        <v>21150</v>
      </c>
      <c r="Q1346" s="1185">
        <f t="shared" si="277"/>
        <v>21150</v>
      </c>
      <c r="R1346" s="1185" t="str">
        <f t="shared" ref="R1346:R1409" si="286">IF(AD1346=1,IF(H1346&lt;&gt;"Not given",H1346,IF(TYPE(H1346)=2,IF(SUMIFS(P:P,A:A,A1346)&gt;0,SUMIFS(P:P,A:A,A1346),"."),"Format error")),"")</f>
        <v/>
      </c>
      <c r="S1346" s="1185" t="str">
        <f>IF(AND(AD1346=1,R1346&lt;&gt;".")=TRUE,R1346/VLOOKUP(G1346,'Exchange Rates'!B:C,2,0),IF(R1346=".",".",""))</f>
        <v/>
      </c>
      <c r="T1346" s="1185" t="str">
        <f>IF(AD1346=1,IF(AF1346="Value is not given at all",".",IF(AF1346="Value is given by the source",S1346,IF(AF1346="Value is calculated with prices",(IF(SUMIFS(Q:Q,A:A,A1346)&gt;0,SUMIFS(Q:Q,A:A,A1346),"."))/VLOOKUP("USD",'Exchange Rates'!B:C,2,0),"Error with coding"))),"")</f>
        <v/>
      </c>
      <c r="U1346" s="1184" t="s">
        <v>365</v>
      </c>
      <c r="V1346" s="972" t="s">
        <v>3702</v>
      </c>
      <c r="W1346" s="980" t="s">
        <v>3699</v>
      </c>
      <c r="X1346" s="1190" t="s">
        <v>364</v>
      </c>
      <c r="Y1346" s="1190" t="s">
        <v>364</v>
      </c>
      <c r="Z1346" s="1184">
        <v>0</v>
      </c>
      <c r="AA1346" s="1194">
        <v>0</v>
      </c>
      <c r="AB1346" s="1026" t="s">
        <v>3699</v>
      </c>
      <c r="AC1346" s="1192" t="str">
        <f>""</f>
        <v/>
      </c>
      <c r="AD1346" s="1193">
        <v>0</v>
      </c>
      <c r="AE1346" s="1193" t="s">
        <v>436</v>
      </c>
      <c r="AF1346" s="1193" t="s">
        <v>436</v>
      </c>
      <c r="AG1346" s="1193">
        <v>1</v>
      </c>
      <c r="AH1346" s="1193">
        <v>3</v>
      </c>
      <c r="AI1346" s="1193">
        <v>5</v>
      </c>
      <c r="AJ1346" s="1193">
        <f>VLOOKUP($I1346,'Price List, Weapons &amp; Items'!B:F,5,0)</f>
        <v>0</v>
      </c>
      <c r="AK1346" s="1193">
        <f t="shared" si="278"/>
        <v>0</v>
      </c>
      <c r="AL1346" s="1193">
        <f t="shared" si="279"/>
        <v>0</v>
      </c>
      <c r="AM1346" s="1193">
        <f t="shared" si="280"/>
        <v>0</v>
      </c>
      <c r="AN1346" s="1194" t="str">
        <f>VLOOKUP($I1346,'Price List, Weapons &amp; Items'!B:L,COLUMN('Price List, Weapons &amp; Items'!$J$11)-1,0)</f>
        <v>Miscellaneous</v>
      </c>
      <c r="AO1346" s="1194" t="str">
        <f>IF(I1346=".",".",VLOOKUP($I1346,'Price List, Weapons &amp; Items'!B:J,3,0))</f>
        <v>Humanitarian</v>
      </c>
      <c r="AP1346" s="1195" t="str">
        <f t="shared" ref="AP1346:AP1409" ca="1" si="287">IF(AD1346=1,(OFFSET(I1346,0,0,COUNTIF(A:A,A1346),1)),"")</f>
        <v/>
      </c>
      <c r="AQ1346" s="1194">
        <f>VLOOKUP($I1346,'Price List, Weapons &amp; Items'!B:L,COLUMN('Price List, Weapons &amp; Items'!$L$11)-1,0)</f>
        <v>0</v>
      </c>
      <c r="AR1346" s="1194">
        <f t="shared" si="281"/>
        <v>1</v>
      </c>
      <c r="AS1346" s="1194">
        <f t="shared" si="282"/>
        <v>0</v>
      </c>
      <c r="AT1346" s="1194">
        <f t="shared" si="283"/>
        <v>1</v>
      </c>
      <c r="AU1346" s="1194" t="str">
        <f t="shared" si="285"/>
        <v>.</v>
      </c>
      <c r="AV1346" s="1194" t="str">
        <f t="shared" ref="AV1346:AV1409" si="288">IF(AND(_xlfn.ISFORMULA(R1346),_xlfn.ISFORMULA(S1346),_xlfn.ISFORMULA(T1346))=TRUE,".",1)</f>
        <v>.</v>
      </c>
      <c r="AW1346" s="1194" t="str">
        <f t="shared" si="284"/>
        <v>.</v>
      </c>
      <c r="AX1346" s="1194">
        <f>IFERROR(VLOOKUP(B1346,'Share, Heavy Weapons to Ukraine'!B:Z,COLUMN('Share, Heavy Weapons to Ukraine'!C1358)-1,0),0)</f>
        <v>1</v>
      </c>
      <c r="AY1346" s="1194">
        <f>VLOOKUP('Bilateral Assistance, MAIN DATA'!B1346,'Country Summary (€)'!B:F,COLUMN('Country Summary (€)'!C1359)-1,FALSE)</f>
        <v>0</v>
      </c>
      <c r="AZ1346" s="1194" t="str">
        <f>IF(AND(AD1346=1,D1346="Military",H1346&lt;&gt;"Not given")=TRUE,IF(SUMIFS(P:P,A:A,A1346)&gt;0,ABS((SUMIFS(P:P,A:A,A1346)/VLOOKUP("USD",'Exchange Rates'!B:C,2,0)))/S1346,"."),".")</f>
        <v>.</v>
      </c>
      <c r="BA1346" s="1196" t="str">
        <f>IF(AND(AD1346=1,D1346="Military",H1346&lt;&gt;"Not given")=TRUE,IF(SUMIFS(P:P,A:A,A1346)&gt;0,IF((ABS((SUMIFS(P:P,A:A,A1346)/VLOOKUP("USD",'Exchange Rates'!B:C,2,0)))/S1346)&gt;1,(SUMIFS(P:P,A:A,A1346)-S1346)/S1346,(S1346-SUMIFS(P:P,A:A,A1346))/SUMIFS(P:P,A:A,A1346)),"."),".")</f>
        <v>.</v>
      </c>
    </row>
    <row r="1347" spans="1:53" ht="15.95" customHeight="1">
      <c r="A1347" s="1180" t="s">
        <v>3700</v>
      </c>
      <c r="B1347" s="1180" t="s">
        <v>3685</v>
      </c>
      <c r="C1347" s="1181">
        <v>44632</v>
      </c>
      <c r="D1347" s="1182" t="s">
        <v>360</v>
      </c>
      <c r="E1347" s="1182" t="s">
        <v>361</v>
      </c>
      <c r="F1347" s="1183" t="s">
        <v>3701</v>
      </c>
      <c r="G1347" s="1184" t="s">
        <v>456</v>
      </c>
      <c r="H1347" s="1185" t="s">
        <v>457</v>
      </c>
      <c r="I1347" s="1180" t="s">
        <v>1570</v>
      </c>
      <c r="J1347" s="1186" t="str">
        <f>VLOOKUP($I1347,'Price List, Weapons &amp; Items'!B:C,2,0)</f>
        <v>Humanitarian</v>
      </c>
      <c r="K1347" s="1186" t="str">
        <f>IF(I1347=".",I1347,VLOOKUP($I1347,'Price List, Weapons &amp; Items'!B:D,3,0))</f>
        <v>Humanitarian</v>
      </c>
      <c r="L1347" s="1187">
        <f>VLOOKUP(I1347,'Price List, Weapons &amp; Items'!B:E,4,0)</f>
        <v>0</v>
      </c>
      <c r="M1347" s="1188">
        <v>103000</v>
      </c>
      <c r="N1347" s="1188">
        <v>103000</v>
      </c>
      <c r="O1347" s="1188">
        <f>VLOOKUP($I1347,'Price List, Weapons &amp; Items'!B:G,6,0)</f>
        <v>22</v>
      </c>
      <c r="P1347" s="1185">
        <f t="shared" ref="P1347:P1410" si="289">IF(TYPE(M1347)=1,IF(TYPE(O1347)=1,M1347*O1347,"No price"),".")</f>
        <v>2266000</v>
      </c>
      <c r="Q1347" s="1185">
        <f t="shared" ref="Q1347:Q1410" si="290">IF(TYPE(N1347)=1,IF(TYPE(O1347)=1,N1347*O1347,"No price"),".")</f>
        <v>2266000</v>
      </c>
      <c r="R1347" s="1185" t="str">
        <f t="shared" si="286"/>
        <v/>
      </c>
      <c r="S1347" s="1185" t="str">
        <f>IF(AND(AD1347=1,R1347&lt;&gt;".")=TRUE,R1347/VLOOKUP(G1347,'Exchange Rates'!B:C,2,0),IF(R1347=".",".",""))</f>
        <v/>
      </c>
      <c r="T1347" s="1185" t="str">
        <f>IF(AD1347=1,IF(AF1347="Value is not given at all",".",IF(AF1347="Value is given by the source",S1347,IF(AF1347="Value is calculated with prices",(IF(SUMIFS(Q:Q,A:A,A1347)&gt;0,SUMIFS(Q:Q,A:A,A1347),"."))/VLOOKUP("USD",'Exchange Rates'!B:C,2,0),"Error with coding"))),"")</f>
        <v/>
      </c>
      <c r="U1347" s="1184" t="s">
        <v>365</v>
      </c>
      <c r="V1347" s="972" t="s">
        <v>3702</v>
      </c>
      <c r="W1347" s="980" t="s">
        <v>3699</v>
      </c>
      <c r="X1347" s="1190" t="s">
        <v>364</v>
      </c>
      <c r="Y1347" s="1190" t="s">
        <v>364</v>
      </c>
      <c r="Z1347" s="1184">
        <v>0</v>
      </c>
      <c r="AA1347" s="1194">
        <v>0</v>
      </c>
      <c r="AB1347" s="1026" t="s">
        <v>3699</v>
      </c>
      <c r="AC1347" s="1192" t="str">
        <f>""</f>
        <v/>
      </c>
      <c r="AD1347" s="1193">
        <v>0</v>
      </c>
      <c r="AE1347" s="1193" t="s">
        <v>436</v>
      </c>
      <c r="AF1347" s="1193" t="s">
        <v>436</v>
      </c>
      <c r="AG1347" s="1193">
        <v>1</v>
      </c>
      <c r="AH1347" s="1193">
        <v>3</v>
      </c>
      <c r="AI1347" s="1193">
        <v>6</v>
      </c>
      <c r="AJ1347" s="1193">
        <f>VLOOKUP($I1347,'Price List, Weapons &amp; Items'!B:F,5,0)</f>
        <v>0</v>
      </c>
      <c r="AK1347" s="1193">
        <f t="shared" ref="AK1347:AK1410" si="291">IF(AND(AJ1347=1,M1347="undisclosed")=TRUE,1,0)</f>
        <v>0</v>
      </c>
      <c r="AL1347" s="1193">
        <f t="shared" ref="AL1347:AL1410" si="292">IF(AND(AJ1347=1,N1347="undisclosed")=TRUE,1,0)</f>
        <v>0</v>
      </c>
      <c r="AM1347" s="1193">
        <f t="shared" ref="AM1347:AM1410" si="293">IFERROR(IF(SEARCH("ammuni",I1347,1)&gt;0,1,0),0)</f>
        <v>0</v>
      </c>
      <c r="AN1347" s="1194" t="str">
        <f>VLOOKUP($I1347,'Price List, Weapons &amp; Items'!B:L,COLUMN('Price List, Weapons &amp; Items'!$J$11)-1,0)</f>
        <v>Online marketplaces and stores</v>
      </c>
      <c r="AO1347" s="1194" t="str">
        <f>IF(I1347=".",".",VLOOKUP($I1347,'Price List, Weapons &amp; Items'!B:J,3,0))</f>
        <v>Humanitarian</v>
      </c>
      <c r="AP1347" s="1195" t="str">
        <f t="shared" ca="1" si="287"/>
        <v/>
      </c>
      <c r="AQ1347" s="1194">
        <f>VLOOKUP($I1347,'Price List, Weapons &amp; Items'!B:L,COLUMN('Price List, Weapons &amp; Items'!$L$11)-1,0)</f>
        <v>0</v>
      </c>
      <c r="AR1347" s="1194">
        <f t="shared" ref="AR1347:AR1410" si="294">IF(U1347="Yes",1,0)</f>
        <v>1</v>
      </c>
      <c r="AS1347" s="1194">
        <f t="shared" ref="AS1347:AS1410" si="295">IF(D1347="Military",IF(OR(IFERROR(SEARCH("equipment",E1347,1),0)&gt;0,IFERROR(SEARCH("weapons",E1347,1),0)&gt;0),1,0),0)</f>
        <v>0</v>
      </c>
      <c r="AT1347" s="1194">
        <f t="shared" ref="AT1347:AT1410" si="296">IFERROR(IF(VALUE(TEXT(C1347,"mm"))=IF(AH1347&gt;12,AH1347-12,AH1347),".",IF(TEXT(C1347,"mm")="01",".",1)),"Value is not in date format")</f>
        <v>1</v>
      </c>
      <c r="AU1347" s="1194" t="str">
        <f t="shared" si="285"/>
        <v>.</v>
      </c>
      <c r="AV1347" s="1194" t="str">
        <f t="shared" si="288"/>
        <v>.</v>
      </c>
      <c r="AW1347" s="1194" t="str">
        <f t="shared" ref="AW1347:AW1410" si="297">IF(T1347&lt;&gt;".",IF(T1347&gt;S1347,1,"."),".")</f>
        <v>.</v>
      </c>
      <c r="AX1347" s="1194">
        <f>IFERROR(VLOOKUP(B1347,'Share, Heavy Weapons to Ukraine'!B:Z,COLUMN('Share, Heavy Weapons to Ukraine'!C1359)-1,0),0)</f>
        <v>1</v>
      </c>
      <c r="AY1347" s="1194">
        <f>VLOOKUP('Bilateral Assistance, MAIN DATA'!B1347,'Country Summary (€)'!B:F,COLUMN('Country Summary (€)'!C1360)-1,FALSE)</f>
        <v>0</v>
      </c>
      <c r="AZ1347" s="1194" t="str">
        <f>IF(AND(AD1347=1,D1347="Military",H1347&lt;&gt;"Not given")=TRUE,IF(SUMIFS(P:P,A:A,A1347)&gt;0,ABS((SUMIFS(P:P,A:A,A1347)/VLOOKUP("USD",'Exchange Rates'!B:C,2,0)))/S1347,"."),".")</f>
        <v>.</v>
      </c>
      <c r="BA1347" s="1196" t="str">
        <f>IF(AND(AD1347=1,D1347="Military",H1347&lt;&gt;"Not given")=TRUE,IF(SUMIFS(P:P,A:A,A1347)&gt;0,IF((ABS((SUMIFS(P:P,A:A,A1347)/VLOOKUP("USD",'Exchange Rates'!B:C,2,0)))/S1347)&gt;1,(SUMIFS(P:P,A:A,A1347)-S1347)/S1347,(S1347-SUMIFS(P:P,A:A,A1347))/SUMIFS(P:P,A:A,A1347)),"."),".")</f>
        <v>.</v>
      </c>
    </row>
    <row r="1348" spans="1:53" ht="15.95" customHeight="1">
      <c r="A1348" s="1180" t="s">
        <v>3700</v>
      </c>
      <c r="B1348" s="1180" t="s">
        <v>3685</v>
      </c>
      <c r="C1348" s="1181">
        <v>44632</v>
      </c>
      <c r="D1348" s="1182" t="s">
        <v>360</v>
      </c>
      <c r="E1348" s="1182" t="s">
        <v>361</v>
      </c>
      <c r="F1348" s="1183" t="s">
        <v>3701</v>
      </c>
      <c r="G1348" s="1184" t="s">
        <v>456</v>
      </c>
      <c r="H1348" s="1185" t="s">
        <v>457</v>
      </c>
      <c r="I1348" s="1180" t="s">
        <v>1243</v>
      </c>
      <c r="J1348" s="1186" t="str">
        <f>VLOOKUP($I1348,'Price List, Weapons &amp; Items'!B:C,2,0)</f>
        <v>Military equipment</v>
      </c>
      <c r="K1348" s="1186" t="str">
        <f>IF(I1348=".",I1348,VLOOKUP($I1348,'Price List, Weapons &amp; Items'!B:D,3,0))</f>
        <v>Military equipment</v>
      </c>
      <c r="L1348" s="1187">
        <f>VLOOKUP(I1348,'Price List, Weapons &amp; Items'!B:E,4,0)</f>
        <v>0</v>
      </c>
      <c r="M1348" s="1188">
        <v>52820</v>
      </c>
      <c r="N1348" s="1188">
        <v>52820</v>
      </c>
      <c r="O1348" s="1188">
        <f>VLOOKUP($I1348,'Price List, Weapons &amp; Items'!B:G,6,0)</f>
        <v>2.5</v>
      </c>
      <c r="P1348" s="1185">
        <f t="shared" si="289"/>
        <v>132050</v>
      </c>
      <c r="Q1348" s="1185">
        <f t="shared" si="290"/>
        <v>132050</v>
      </c>
      <c r="R1348" s="1185" t="str">
        <f t="shared" si="286"/>
        <v/>
      </c>
      <c r="S1348" s="1185" t="str">
        <f>IF(AND(AD1348=1,R1348&lt;&gt;".")=TRUE,R1348/VLOOKUP(G1348,'Exchange Rates'!B:C,2,0),IF(R1348=".",".",""))</f>
        <v/>
      </c>
      <c r="T1348" s="1185" t="str">
        <f>IF(AD1348=1,IF(AF1348="Value is not given at all",".",IF(AF1348="Value is given by the source",S1348,IF(AF1348="Value is calculated with prices",(IF(SUMIFS(Q:Q,A:A,A1348)&gt;0,SUMIFS(Q:Q,A:A,A1348),"."))/VLOOKUP("USD",'Exchange Rates'!B:C,2,0),"Error with coding"))),"")</f>
        <v/>
      </c>
      <c r="U1348" s="1184" t="s">
        <v>365</v>
      </c>
      <c r="V1348" s="972" t="s">
        <v>3702</v>
      </c>
      <c r="W1348" s="980" t="s">
        <v>3699</v>
      </c>
      <c r="X1348" s="1190" t="s">
        <v>364</v>
      </c>
      <c r="Y1348" s="1190" t="s">
        <v>364</v>
      </c>
      <c r="Z1348" s="1184">
        <v>0</v>
      </c>
      <c r="AA1348" s="1194">
        <v>0</v>
      </c>
      <c r="AB1348" s="1026" t="s">
        <v>3699</v>
      </c>
      <c r="AC1348" s="1192" t="str">
        <f>""</f>
        <v/>
      </c>
      <c r="AD1348" s="1193">
        <v>0</v>
      </c>
      <c r="AE1348" s="1193" t="s">
        <v>436</v>
      </c>
      <c r="AF1348" s="1193" t="s">
        <v>436</v>
      </c>
      <c r="AG1348" s="1193">
        <v>1</v>
      </c>
      <c r="AH1348" s="1193">
        <v>3</v>
      </c>
      <c r="AI1348" s="1193">
        <v>7</v>
      </c>
      <c r="AJ1348" s="1193">
        <f>VLOOKUP($I1348,'Price List, Weapons &amp; Items'!B:F,5,0)</f>
        <v>0</v>
      </c>
      <c r="AK1348" s="1193">
        <f t="shared" si="291"/>
        <v>0</v>
      </c>
      <c r="AL1348" s="1193">
        <f t="shared" si="292"/>
        <v>0</v>
      </c>
      <c r="AM1348" s="1193">
        <f t="shared" si="293"/>
        <v>0</v>
      </c>
      <c r="AN1348" s="1194" t="str">
        <f>VLOOKUP($I1348,'Price List, Weapons &amp; Items'!B:L,COLUMN('Price List, Weapons &amp; Items'!$J$11)-1,0)</f>
        <v>Online marketplaces and stores</v>
      </c>
      <c r="AO1348" s="1194" t="str">
        <f>IF(I1348=".",".",VLOOKUP($I1348,'Price List, Weapons &amp; Items'!B:J,3,0))</f>
        <v>Military equipment</v>
      </c>
      <c r="AP1348" s="1195" t="str">
        <f t="shared" ca="1" si="287"/>
        <v/>
      </c>
      <c r="AQ1348" s="1194">
        <f>VLOOKUP($I1348,'Price List, Weapons &amp; Items'!B:L,COLUMN('Price List, Weapons &amp; Items'!$L$11)-1,0)</f>
        <v>1</v>
      </c>
      <c r="AR1348" s="1194">
        <f t="shared" si="294"/>
        <v>1</v>
      </c>
      <c r="AS1348" s="1194">
        <f t="shared" si="295"/>
        <v>0</v>
      </c>
      <c r="AT1348" s="1194">
        <f t="shared" si="296"/>
        <v>1</v>
      </c>
      <c r="AU1348" s="1194" t="str">
        <f t="shared" si="285"/>
        <v>.</v>
      </c>
      <c r="AV1348" s="1194" t="str">
        <f t="shared" si="288"/>
        <v>.</v>
      </c>
      <c r="AW1348" s="1194" t="str">
        <f t="shared" si="297"/>
        <v>.</v>
      </c>
      <c r="AX1348" s="1194">
        <f>IFERROR(VLOOKUP(B1348,'Share, Heavy Weapons to Ukraine'!B:Z,COLUMN('Share, Heavy Weapons to Ukraine'!C1360)-1,0),0)</f>
        <v>1</v>
      </c>
      <c r="AY1348" s="1194">
        <f>VLOOKUP('Bilateral Assistance, MAIN DATA'!B1348,'Country Summary (€)'!B:F,COLUMN('Country Summary (€)'!C1361)-1,FALSE)</f>
        <v>0</v>
      </c>
      <c r="AZ1348" s="1194" t="str">
        <f>IF(AND(AD1348=1,D1348="Military",H1348&lt;&gt;"Not given")=TRUE,IF(SUMIFS(P:P,A:A,A1348)&gt;0,ABS((SUMIFS(P:P,A:A,A1348)/VLOOKUP("USD",'Exchange Rates'!B:C,2,0)))/S1348,"."),".")</f>
        <v>.</v>
      </c>
      <c r="BA1348" s="1196" t="str">
        <f>IF(AND(AD1348=1,D1348="Military",H1348&lt;&gt;"Not given")=TRUE,IF(SUMIFS(P:P,A:A,A1348)&gt;0,IF((ABS((SUMIFS(P:P,A:A,A1348)/VLOOKUP("USD",'Exchange Rates'!B:C,2,0)))/S1348)&gt;1,(SUMIFS(P:P,A:A,A1348)-S1348)/S1348,(S1348-SUMIFS(P:P,A:A,A1348))/SUMIFS(P:P,A:A,A1348)),"."),".")</f>
        <v>.</v>
      </c>
    </row>
    <row r="1349" spans="1:53" ht="15.95" customHeight="1">
      <c r="A1349" s="1180" t="s">
        <v>3700</v>
      </c>
      <c r="B1349" s="1180" t="s">
        <v>3685</v>
      </c>
      <c r="C1349" s="1181">
        <v>44632</v>
      </c>
      <c r="D1349" s="1182" t="s">
        <v>360</v>
      </c>
      <c r="E1349" s="1182" t="s">
        <v>361</v>
      </c>
      <c r="F1349" s="1183" t="s">
        <v>3701</v>
      </c>
      <c r="G1349" s="1184" t="s">
        <v>456</v>
      </c>
      <c r="H1349" s="1185" t="s">
        <v>457</v>
      </c>
      <c r="I1349" s="1180" t="s">
        <v>3703</v>
      </c>
      <c r="J1349" s="1186" t="str">
        <f>VLOOKUP($I1349,'Price List, Weapons &amp; Items'!B:C,2,0)</f>
        <v>Humanitarian</v>
      </c>
      <c r="K1349" s="1186" t="str">
        <f>IF(I1349=".",I1349,VLOOKUP($I1349,'Price List, Weapons &amp; Items'!B:D,3,0))</f>
        <v>Humanitarian</v>
      </c>
      <c r="L1349" s="1187">
        <f>VLOOKUP(I1349,'Price List, Weapons &amp; Items'!B:E,4,0)</f>
        <v>0</v>
      </c>
      <c r="M1349" s="1188">
        <v>15000</v>
      </c>
      <c r="N1349" s="1188">
        <v>15000</v>
      </c>
      <c r="O1349" s="1188">
        <f>VLOOKUP($I1349,'Price List, Weapons &amp; Items'!B:G,6,0)</f>
        <v>93.37</v>
      </c>
      <c r="P1349" s="1185">
        <f t="shared" si="289"/>
        <v>1400550</v>
      </c>
      <c r="Q1349" s="1185">
        <f t="shared" si="290"/>
        <v>1400550</v>
      </c>
      <c r="R1349" s="1185" t="str">
        <f t="shared" si="286"/>
        <v/>
      </c>
      <c r="S1349" s="1185" t="str">
        <f>IF(AND(AD1349=1,R1349&lt;&gt;".")=TRUE,R1349/VLOOKUP(G1349,'Exchange Rates'!B:C,2,0),IF(R1349=".",".",""))</f>
        <v/>
      </c>
      <c r="T1349" s="1185" t="str">
        <f>IF(AD1349=1,IF(AF1349="Value is not given at all",".",IF(AF1349="Value is given by the source",S1349,IF(AF1349="Value is calculated with prices",(IF(SUMIFS(Q:Q,A:A,A1349)&gt;0,SUMIFS(Q:Q,A:A,A1349),"."))/VLOOKUP("USD",'Exchange Rates'!B:C,2,0),"Error with coding"))),"")</f>
        <v/>
      </c>
      <c r="U1349" s="1184" t="s">
        <v>365</v>
      </c>
      <c r="V1349" s="972" t="s">
        <v>3702</v>
      </c>
      <c r="W1349" s="980" t="s">
        <v>3699</v>
      </c>
      <c r="X1349" s="1190" t="s">
        <v>364</v>
      </c>
      <c r="Y1349" s="1190" t="s">
        <v>364</v>
      </c>
      <c r="Z1349" s="1184">
        <v>0</v>
      </c>
      <c r="AA1349" s="1194">
        <v>0</v>
      </c>
      <c r="AB1349" s="1026" t="s">
        <v>3699</v>
      </c>
      <c r="AC1349" s="1192" t="str">
        <f>""</f>
        <v/>
      </c>
      <c r="AD1349" s="1193">
        <v>0</v>
      </c>
      <c r="AE1349" s="1193" t="s">
        <v>436</v>
      </c>
      <c r="AF1349" s="1193" t="s">
        <v>436</v>
      </c>
      <c r="AG1349" s="1193">
        <v>1</v>
      </c>
      <c r="AH1349" s="1193">
        <v>3</v>
      </c>
      <c r="AI1349" s="1193">
        <v>8</v>
      </c>
      <c r="AJ1349" s="1193">
        <f>VLOOKUP($I1349,'Price List, Weapons &amp; Items'!B:F,5,0)</f>
        <v>0</v>
      </c>
      <c r="AK1349" s="1193">
        <f t="shared" si="291"/>
        <v>0</v>
      </c>
      <c r="AL1349" s="1193">
        <f t="shared" si="292"/>
        <v>0</v>
      </c>
      <c r="AM1349" s="1193">
        <f t="shared" si="293"/>
        <v>0</v>
      </c>
      <c r="AN1349" s="1194" t="str">
        <f>VLOOKUP($I1349,'Price List, Weapons &amp; Items'!B:L,COLUMN('Price List, Weapons &amp; Items'!$J$11)-1,0)</f>
        <v>Online marketplaces and stores</v>
      </c>
      <c r="AO1349" s="1194" t="str">
        <f>IF(I1349=".",".",VLOOKUP($I1349,'Price List, Weapons &amp; Items'!B:J,3,0))</f>
        <v>Humanitarian</v>
      </c>
      <c r="AP1349" s="1195" t="str">
        <f t="shared" ca="1" si="287"/>
        <v/>
      </c>
      <c r="AQ1349" s="1194">
        <f>VLOOKUP($I1349,'Price List, Weapons &amp; Items'!B:L,COLUMN('Price List, Weapons &amp; Items'!$L$11)-1,0)</f>
        <v>0</v>
      </c>
      <c r="AR1349" s="1194">
        <f t="shared" si="294"/>
        <v>1</v>
      </c>
      <c r="AS1349" s="1194">
        <f t="shared" si="295"/>
        <v>0</v>
      </c>
      <c r="AT1349" s="1194">
        <f t="shared" si="296"/>
        <v>1</v>
      </c>
      <c r="AU1349" s="1194" t="str">
        <f t="shared" si="285"/>
        <v>.</v>
      </c>
      <c r="AV1349" s="1194" t="str">
        <f t="shared" si="288"/>
        <v>.</v>
      </c>
      <c r="AW1349" s="1194" t="str">
        <f t="shared" si="297"/>
        <v>.</v>
      </c>
      <c r="AX1349" s="1194">
        <f>IFERROR(VLOOKUP(B1349,'Share, Heavy Weapons to Ukraine'!B:Z,COLUMN('Share, Heavy Weapons to Ukraine'!C1361)-1,0),0)</f>
        <v>1</v>
      </c>
      <c r="AY1349" s="1194">
        <f>VLOOKUP('Bilateral Assistance, MAIN DATA'!B1349,'Country Summary (€)'!B:F,COLUMN('Country Summary (€)'!C1362)-1,FALSE)</f>
        <v>0</v>
      </c>
      <c r="AZ1349" s="1194" t="str">
        <f>IF(AND(AD1349=1,D1349="Military",H1349&lt;&gt;"Not given")=TRUE,IF(SUMIFS(P:P,A:A,A1349)&gt;0,ABS((SUMIFS(P:P,A:A,A1349)/VLOOKUP("USD",'Exchange Rates'!B:C,2,0)))/S1349,"."),".")</f>
        <v>.</v>
      </c>
      <c r="BA1349" s="1196" t="str">
        <f>IF(AND(AD1349=1,D1349="Military",H1349&lt;&gt;"Not given")=TRUE,IF(SUMIFS(P:P,A:A,A1349)&gt;0,IF((ABS((SUMIFS(P:P,A:A,A1349)/VLOOKUP("USD",'Exchange Rates'!B:C,2,0)))/S1349)&gt;1,(SUMIFS(P:P,A:A,A1349)-S1349)/S1349,(S1349-SUMIFS(P:P,A:A,A1349))/SUMIFS(P:P,A:A,A1349)),"."),".")</f>
        <v>.</v>
      </c>
    </row>
    <row r="1350" spans="1:53" ht="15.95" customHeight="1">
      <c r="A1350" s="1180" t="s">
        <v>3700</v>
      </c>
      <c r="B1350" s="1180" t="s">
        <v>3685</v>
      </c>
      <c r="C1350" s="1181">
        <v>44632</v>
      </c>
      <c r="D1350" s="1182" t="s">
        <v>360</v>
      </c>
      <c r="E1350" s="1182" t="s">
        <v>361</v>
      </c>
      <c r="F1350" s="1183" t="s">
        <v>3701</v>
      </c>
      <c r="G1350" s="1184" t="s">
        <v>456</v>
      </c>
      <c r="H1350" s="1185" t="s">
        <v>457</v>
      </c>
      <c r="I1350" s="1180" t="s">
        <v>3704</v>
      </c>
      <c r="J1350" s="1186" t="str">
        <f>VLOOKUP($I1350,'Price List, Weapons &amp; Items'!B:C,2,0)</f>
        <v>Humanitarian</v>
      </c>
      <c r="K1350" s="1186" t="str">
        <f>IF(I1350=".",I1350,VLOOKUP($I1350,'Price List, Weapons &amp; Items'!B:D,3,0))</f>
        <v>Humanitarian</v>
      </c>
      <c r="L1350" s="1187">
        <f>VLOOKUP(I1350,'Price List, Weapons &amp; Items'!B:E,4,0)</f>
        <v>0</v>
      </c>
      <c r="M1350" s="1188">
        <v>1640</v>
      </c>
      <c r="N1350" s="1188">
        <v>1640</v>
      </c>
      <c r="O1350" s="1188">
        <f>VLOOKUP($I1350,'Price List, Weapons &amp; Items'!B:G,6,0)</f>
        <v>32</v>
      </c>
      <c r="P1350" s="1185">
        <f t="shared" si="289"/>
        <v>52480</v>
      </c>
      <c r="Q1350" s="1185">
        <f t="shared" si="290"/>
        <v>52480</v>
      </c>
      <c r="R1350" s="1185" t="str">
        <f t="shared" si="286"/>
        <v/>
      </c>
      <c r="S1350" s="1185" t="str">
        <f>IF(AND(AD1350=1,R1350&lt;&gt;".")=TRUE,R1350/VLOOKUP(G1350,'Exchange Rates'!B:C,2,0),IF(R1350=".",".",""))</f>
        <v/>
      </c>
      <c r="T1350" s="1185" t="str">
        <f>IF(AD1350=1,IF(AF1350="Value is not given at all",".",IF(AF1350="Value is given by the source",S1350,IF(AF1350="Value is calculated with prices",(IF(SUMIFS(Q:Q,A:A,A1350)&gt;0,SUMIFS(Q:Q,A:A,A1350),"."))/VLOOKUP("USD",'Exchange Rates'!B:C,2,0),"Error with coding"))),"")</f>
        <v/>
      </c>
      <c r="U1350" s="1184" t="s">
        <v>365</v>
      </c>
      <c r="V1350" s="972" t="s">
        <v>3702</v>
      </c>
      <c r="W1350" s="980" t="s">
        <v>3699</v>
      </c>
      <c r="X1350" s="1190" t="s">
        <v>364</v>
      </c>
      <c r="Y1350" s="1190" t="s">
        <v>364</v>
      </c>
      <c r="Z1350" s="1184">
        <v>0</v>
      </c>
      <c r="AA1350" s="1194">
        <v>0</v>
      </c>
      <c r="AB1350" s="1026" t="s">
        <v>3699</v>
      </c>
      <c r="AC1350" s="1192" t="str">
        <f>""</f>
        <v/>
      </c>
      <c r="AD1350" s="1193">
        <v>0</v>
      </c>
      <c r="AE1350" s="1193" t="s">
        <v>436</v>
      </c>
      <c r="AF1350" s="1193" t="s">
        <v>436</v>
      </c>
      <c r="AG1350" s="1193">
        <v>1</v>
      </c>
      <c r="AH1350" s="1193">
        <v>3</v>
      </c>
      <c r="AI1350" s="1193">
        <v>9</v>
      </c>
      <c r="AJ1350" s="1193">
        <f>VLOOKUP($I1350,'Price List, Weapons &amp; Items'!B:F,5,0)</f>
        <v>0</v>
      </c>
      <c r="AK1350" s="1193">
        <f t="shared" si="291"/>
        <v>0</v>
      </c>
      <c r="AL1350" s="1193">
        <f t="shared" si="292"/>
        <v>0</v>
      </c>
      <c r="AM1350" s="1193">
        <f t="shared" si="293"/>
        <v>0</v>
      </c>
      <c r="AN1350" s="1194" t="str">
        <f>VLOOKUP($I1350,'Price List, Weapons &amp; Items'!B:L,COLUMN('Price List, Weapons &amp; Items'!$J$11)-1,0)</f>
        <v>Online marketplaces and stores</v>
      </c>
      <c r="AO1350" s="1194" t="str">
        <f>IF(I1350=".",".",VLOOKUP($I1350,'Price List, Weapons &amp; Items'!B:J,3,0))</f>
        <v>Humanitarian</v>
      </c>
      <c r="AP1350" s="1195" t="str">
        <f t="shared" ca="1" si="287"/>
        <v/>
      </c>
      <c r="AQ1350" s="1194">
        <f>VLOOKUP($I1350,'Price List, Weapons &amp; Items'!B:L,COLUMN('Price List, Weapons &amp; Items'!$L$11)-1,0)</f>
        <v>0</v>
      </c>
      <c r="AR1350" s="1194">
        <f t="shared" si="294"/>
        <v>1</v>
      </c>
      <c r="AS1350" s="1194">
        <f t="shared" si="295"/>
        <v>0</v>
      </c>
      <c r="AT1350" s="1194">
        <f t="shared" si="296"/>
        <v>1</v>
      </c>
      <c r="AU1350" s="1194" t="str">
        <f t="shared" si="285"/>
        <v>.</v>
      </c>
      <c r="AV1350" s="1194" t="str">
        <f t="shared" si="288"/>
        <v>.</v>
      </c>
      <c r="AW1350" s="1194" t="str">
        <f t="shared" si="297"/>
        <v>.</v>
      </c>
      <c r="AX1350" s="1194">
        <f>IFERROR(VLOOKUP(B1350,'Share, Heavy Weapons to Ukraine'!B:Z,COLUMN('Share, Heavy Weapons to Ukraine'!C1362)-1,0),0)</f>
        <v>1</v>
      </c>
      <c r="AY1350" s="1194">
        <f>VLOOKUP('Bilateral Assistance, MAIN DATA'!B1350,'Country Summary (€)'!B:F,COLUMN('Country Summary (€)'!C1363)-1,FALSE)</f>
        <v>0</v>
      </c>
      <c r="AZ1350" s="1194" t="str">
        <f>IF(AND(AD1350=1,D1350="Military",H1350&lt;&gt;"Not given")=TRUE,IF(SUMIFS(P:P,A:A,A1350)&gt;0,ABS((SUMIFS(P:P,A:A,A1350)/VLOOKUP("USD",'Exchange Rates'!B:C,2,0)))/S1350,"."),".")</f>
        <v>.</v>
      </c>
      <c r="BA1350" s="1196" t="str">
        <f>IF(AND(AD1350=1,D1350="Military",H1350&lt;&gt;"Not given")=TRUE,IF(SUMIFS(P:P,A:A,A1350)&gt;0,IF((ABS((SUMIFS(P:P,A:A,A1350)/VLOOKUP("USD",'Exchange Rates'!B:C,2,0)))/S1350)&gt;1,(SUMIFS(P:P,A:A,A1350)-S1350)/S1350,(S1350-SUMIFS(P:P,A:A,A1350))/SUMIFS(P:P,A:A,A1350)),"."),".")</f>
        <v>.</v>
      </c>
    </row>
    <row r="1351" spans="1:53" ht="15.95" customHeight="1">
      <c r="A1351" s="1180" t="s">
        <v>3705</v>
      </c>
      <c r="B1351" s="1180" t="s">
        <v>3685</v>
      </c>
      <c r="C1351" s="1181" t="s">
        <v>3706</v>
      </c>
      <c r="D1351" s="1182" t="s">
        <v>360</v>
      </c>
      <c r="E1351" s="1182" t="s">
        <v>361</v>
      </c>
      <c r="F1351" s="1183" t="s">
        <v>3707</v>
      </c>
      <c r="G1351" s="1184" t="s">
        <v>364</v>
      </c>
      <c r="H1351" s="1185" t="s">
        <v>457</v>
      </c>
      <c r="I1351" s="1180" t="s">
        <v>364</v>
      </c>
      <c r="J1351" s="1186" t="str">
        <f>VLOOKUP($I1351,'Price List, Weapons &amp; Items'!B:C,2,0)</f>
        <v>.</v>
      </c>
      <c r="K1351" s="1186" t="str">
        <f>IF(I1351=".",I1351,VLOOKUP($I1351,'Price List, Weapons &amp; Items'!B:D,3,0))</f>
        <v>.</v>
      </c>
      <c r="L1351" s="1187">
        <f>VLOOKUP(I1351,'Price List, Weapons &amp; Items'!B:E,4,0)</f>
        <v>0</v>
      </c>
      <c r="M1351" s="1188" t="s">
        <v>364</v>
      </c>
      <c r="N1351" s="1188" t="s">
        <v>364</v>
      </c>
      <c r="O1351" s="1188" t="str">
        <f>VLOOKUP($I1351,'Price List, Weapons &amp; Items'!B:G,6,0)</f>
        <v>.</v>
      </c>
      <c r="P1351" s="1185" t="str">
        <f t="shared" si="289"/>
        <v>.</v>
      </c>
      <c r="Q1351" s="1185" t="str">
        <f t="shared" si="290"/>
        <v>.</v>
      </c>
      <c r="R1351" s="1185" t="str">
        <f t="shared" si="286"/>
        <v>.</v>
      </c>
      <c r="S1351" s="1185" t="str">
        <f>IF(AND(AD1351=1,R1351&lt;&gt;".")=TRUE,R1351/VLOOKUP(G1351,'Exchange Rates'!B:C,2,0),IF(R1351=".",".",""))</f>
        <v>.</v>
      </c>
      <c r="T1351" s="1185" t="str">
        <f>IF(AD1351=1,IF(AF1351="Value is not given at all",".",IF(AF1351="Value is given by the source",S1351,IF(AF1351="Value is calculated with prices",(IF(SUMIFS(Q:Q,A:A,A1351)&gt;0,SUMIFS(Q:Q,A:A,A1351),"."))/VLOOKUP("USD",'Exchange Rates'!B:C,2,0),"Error with coding"))),"")</f>
        <v>.</v>
      </c>
      <c r="U1351" s="1184" t="s">
        <v>365</v>
      </c>
      <c r="V1351" s="971" t="s">
        <v>3708</v>
      </c>
      <c r="W1351" s="1190" t="s">
        <v>364</v>
      </c>
      <c r="X1351" s="1190" t="s">
        <v>364</v>
      </c>
      <c r="Y1351" s="1190" t="s">
        <v>364</v>
      </c>
      <c r="Z1351" s="1184">
        <v>0</v>
      </c>
      <c r="AA1351" s="1194">
        <v>0</v>
      </c>
      <c r="AB1351" s="1180" t="s">
        <v>364</v>
      </c>
      <c r="AC1351" s="1192" t="str">
        <f>""</f>
        <v/>
      </c>
      <c r="AD1351" s="985">
        <v>1</v>
      </c>
      <c r="AE1351" s="985" t="s">
        <v>369</v>
      </c>
      <c r="AF1351" s="985" t="s">
        <v>369</v>
      </c>
      <c r="AG1351" s="985">
        <v>0</v>
      </c>
      <c r="AH1351" s="1193">
        <v>0</v>
      </c>
      <c r="AI1351" s="1193">
        <v>0</v>
      </c>
      <c r="AJ1351" s="1193">
        <f>VLOOKUP($I1351,'Price List, Weapons &amp; Items'!B:F,5,0)</f>
        <v>0</v>
      </c>
      <c r="AK1351" s="1193">
        <f t="shared" si="291"/>
        <v>0</v>
      </c>
      <c r="AL1351" s="1193">
        <f t="shared" si="292"/>
        <v>0</v>
      </c>
      <c r="AM1351" s="1193">
        <f t="shared" si="293"/>
        <v>0</v>
      </c>
      <c r="AN1351" s="1194" t="str">
        <f>VLOOKUP($I1351,'Price List, Weapons &amp; Items'!B:L,COLUMN('Price List, Weapons &amp; Items'!$J$11)-1,0)</f>
        <v>.</v>
      </c>
      <c r="AO1351" s="1194" t="str">
        <f>IF(I1351=".",".",VLOOKUP($I1351,'Price List, Weapons &amp; Items'!B:J,3,0))</f>
        <v>.</v>
      </c>
      <c r="AP1351" s="1195" t="str">
        <f t="shared" ca="1" si="287"/>
        <v>.</v>
      </c>
      <c r="AQ1351" s="1194">
        <f>VLOOKUP($I1351,'Price List, Weapons &amp; Items'!B:L,COLUMN('Price List, Weapons &amp; Items'!$L$11)-1,0)</f>
        <v>0</v>
      </c>
      <c r="AR1351" s="1194">
        <f t="shared" si="294"/>
        <v>1</v>
      </c>
      <c r="AS1351" s="1194">
        <f t="shared" si="295"/>
        <v>0</v>
      </c>
      <c r="AT1351" s="1194" t="str">
        <f t="shared" si="296"/>
        <v>Value is not in date format</v>
      </c>
      <c r="AU1351" s="1194" t="str">
        <f t="shared" si="285"/>
        <v>.</v>
      </c>
      <c r="AV1351" s="1194" t="str">
        <f t="shared" si="288"/>
        <v>.</v>
      </c>
      <c r="AW1351" s="1194" t="str">
        <f t="shared" si="297"/>
        <v>.</v>
      </c>
      <c r="AX1351" s="1194">
        <f>IFERROR(VLOOKUP(B1351,'Share, Heavy Weapons to Ukraine'!B:Z,COLUMN('Share, Heavy Weapons to Ukraine'!C1363)-1,0),0)</f>
        <v>1</v>
      </c>
      <c r="AY1351" s="1194">
        <f>VLOOKUP('Bilateral Assistance, MAIN DATA'!B1351,'Country Summary (€)'!B:F,COLUMN('Country Summary (€)'!C1364)-1,FALSE)</f>
        <v>0</v>
      </c>
      <c r="AZ1351" s="1194" t="str">
        <f>IF(AND(AD1351=1,D1351="Military",H1351&lt;&gt;"Not given")=TRUE,IF(SUMIFS(P:P,A:A,A1351)&gt;0,ABS((SUMIFS(P:P,A:A,A1351)/VLOOKUP("USD",'Exchange Rates'!B:C,2,0)))/S1351,"."),".")</f>
        <v>.</v>
      </c>
      <c r="BA1351" s="1196" t="str">
        <f>IF(AND(AD1351=1,D1351="Military",H1351&lt;&gt;"Not given")=TRUE,IF(SUMIFS(P:P,A:A,A1351)&gt;0,IF((ABS((SUMIFS(P:P,A:A,A1351)/VLOOKUP("USD",'Exchange Rates'!B:C,2,0)))/S1351)&gt;1,(SUMIFS(P:P,A:A,A1351)-S1351)/S1351,(S1351-SUMIFS(P:P,A:A,A1351))/SUMIFS(P:P,A:A,A1351)),"."),".")</f>
        <v>.</v>
      </c>
    </row>
    <row r="1352" spans="1:53" ht="15.95" customHeight="1">
      <c r="A1352" s="1180" t="s">
        <v>3709</v>
      </c>
      <c r="B1352" s="1180" t="s">
        <v>3685</v>
      </c>
      <c r="C1352" s="1181">
        <v>44729</v>
      </c>
      <c r="D1352" s="1182" t="s">
        <v>360</v>
      </c>
      <c r="E1352" s="1182" t="s">
        <v>361</v>
      </c>
      <c r="F1352" s="1183" t="s">
        <v>3710</v>
      </c>
      <c r="G1352" s="1184" t="s">
        <v>364</v>
      </c>
      <c r="H1352" s="1185" t="s">
        <v>457</v>
      </c>
      <c r="I1352" s="1180" t="s">
        <v>364</v>
      </c>
      <c r="J1352" s="1186" t="str">
        <f>VLOOKUP($I1352,'Price List, Weapons &amp; Items'!B:C,2,0)</f>
        <v>.</v>
      </c>
      <c r="K1352" s="1186" t="str">
        <f>IF(I1352=".",I1352,VLOOKUP($I1352,'Price List, Weapons &amp; Items'!B:D,3,0))</f>
        <v>.</v>
      </c>
      <c r="L1352" s="1187">
        <f>VLOOKUP(I1352,'Price List, Weapons &amp; Items'!B:E,4,0)</f>
        <v>0</v>
      </c>
      <c r="M1352" s="1188" t="s">
        <v>364</v>
      </c>
      <c r="N1352" s="1188" t="s">
        <v>364</v>
      </c>
      <c r="O1352" s="1188" t="str">
        <f>VLOOKUP($I1352,'Price List, Weapons &amp; Items'!B:G,6,0)</f>
        <v>.</v>
      </c>
      <c r="P1352" s="1185" t="str">
        <f t="shared" si="289"/>
        <v>.</v>
      </c>
      <c r="Q1352" s="1185" t="str">
        <f t="shared" si="290"/>
        <v>.</v>
      </c>
      <c r="R1352" s="1185" t="str">
        <f t="shared" si="286"/>
        <v>.</v>
      </c>
      <c r="S1352" s="1185" t="str">
        <f>IF(AND(AD1352=1,R1352&lt;&gt;".")=TRUE,R1352/VLOOKUP(G1352,'Exchange Rates'!B:C,2,0),IF(R1352=".",".",""))</f>
        <v>.</v>
      </c>
      <c r="T1352" s="1185" t="str">
        <f>IF(AD1352=1,IF(AF1352="Value is not given at all",".",IF(AF1352="Value is given by the source",S1352,IF(AF1352="Value is calculated with prices",(IF(SUMIFS(Q:Q,A:A,A1352)&gt;0,SUMIFS(Q:Q,A:A,A1352),"."))/VLOOKUP("USD",'Exchange Rates'!B:C,2,0),"Error with coding"))),"")</f>
        <v>.</v>
      </c>
      <c r="U1352" s="1184" t="s">
        <v>365</v>
      </c>
      <c r="V1352" s="973" t="s">
        <v>3711</v>
      </c>
      <c r="W1352" s="1190" t="s">
        <v>364</v>
      </c>
      <c r="X1352" s="1190" t="s">
        <v>364</v>
      </c>
      <c r="Y1352" s="1190" t="s">
        <v>364</v>
      </c>
      <c r="Z1352" s="1184">
        <v>0</v>
      </c>
      <c r="AA1352" s="1194">
        <v>1</v>
      </c>
      <c r="AB1352" s="1180" t="s">
        <v>364</v>
      </c>
      <c r="AC1352" s="1192" t="str">
        <f>""</f>
        <v/>
      </c>
      <c r="AD1352" s="1193">
        <v>1</v>
      </c>
      <c r="AE1352" s="985" t="s">
        <v>369</v>
      </c>
      <c r="AF1352" s="985" t="s">
        <v>369</v>
      </c>
      <c r="AG1352" s="1193">
        <v>1</v>
      </c>
      <c r="AH1352" s="1193">
        <v>6</v>
      </c>
      <c r="AI1352" s="1193">
        <v>0</v>
      </c>
      <c r="AJ1352" s="1193">
        <f>VLOOKUP($I1352,'Price List, Weapons &amp; Items'!B:F,5,0)</f>
        <v>0</v>
      </c>
      <c r="AK1352" s="1193">
        <f t="shared" si="291"/>
        <v>0</v>
      </c>
      <c r="AL1352" s="1193">
        <f t="shared" si="292"/>
        <v>0</v>
      </c>
      <c r="AM1352" s="1193">
        <f t="shared" si="293"/>
        <v>0</v>
      </c>
      <c r="AN1352" s="1194" t="str">
        <f>VLOOKUP($I1352,'Price List, Weapons &amp; Items'!B:L,COLUMN('Price List, Weapons &amp; Items'!$J$11)-1,0)</f>
        <v>.</v>
      </c>
      <c r="AO1352" s="1194" t="str">
        <f>IF(I1352=".",".",VLOOKUP($I1352,'Price List, Weapons &amp; Items'!B:J,3,0))</f>
        <v>.</v>
      </c>
      <c r="AP1352" s="1195" t="str">
        <f t="shared" ca="1" si="287"/>
        <v>.</v>
      </c>
      <c r="AQ1352" s="1194">
        <f>VLOOKUP($I1352,'Price List, Weapons &amp; Items'!B:L,COLUMN('Price List, Weapons &amp; Items'!$L$11)-1,0)</f>
        <v>0</v>
      </c>
      <c r="AR1352" s="1194">
        <f t="shared" si="294"/>
        <v>1</v>
      </c>
      <c r="AS1352" s="1194">
        <f t="shared" si="295"/>
        <v>0</v>
      </c>
      <c r="AT1352" s="1194">
        <f t="shared" si="296"/>
        <v>1</v>
      </c>
      <c r="AU1352" s="1194" t="str">
        <f t="shared" si="285"/>
        <v>.</v>
      </c>
      <c r="AV1352" s="1194" t="str">
        <f t="shared" si="288"/>
        <v>.</v>
      </c>
      <c r="AW1352" s="1194" t="str">
        <f t="shared" si="297"/>
        <v>.</v>
      </c>
      <c r="AX1352" s="1194">
        <f>IFERROR(VLOOKUP(B1352,'Share, Heavy Weapons to Ukraine'!B:Z,COLUMN('Share, Heavy Weapons to Ukraine'!C1364)-1,0),0)</f>
        <v>1</v>
      </c>
      <c r="AY1352" s="1194">
        <f>VLOOKUP('Bilateral Assistance, MAIN DATA'!B1352,'Country Summary (€)'!B:F,COLUMN('Country Summary (€)'!C1365)-1,FALSE)</f>
        <v>0</v>
      </c>
      <c r="AZ1352" s="1194" t="str">
        <f>IF(AND(AD1352=1,D1352="Military",H1352&lt;&gt;"Not given")=TRUE,IF(SUMIFS(P:P,A:A,A1352)&gt;0,ABS((SUMIFS(P:P,A:A,A1352)/VLOOKUP("USD",'Exchange Rates'!B:C,2,0)))/S1352,"."),".")</f>
        <v>.</v>
      </c>
      <c r="BA1352" s="1196" t="str">
        <f>IF(AND(AD1352=1,D1352="Military",H1352&lt;&gt;"Not given")=TRUE,IF(SUMIFS(P:P,A:A,A1352)&gt;0,IF((ABS((SUMIFS(P:P,A:A,A1352)/VLOOKUP("USD",'Exchange Rates'!B:C,2,0)))/S1352)&gt;1,(SUMIFS(P:P,A:A,A1352)-S1352)/S1352,(S1352-SUMIFS(P:P,A:A,A1352))/SUMIFS(P:P,A:A,A1352)),"."),".")</f>
        <v>.</v>
      </c>
    </row>
    <row r="1353" spans="1:53" ht="15.95" customHeight="1">
      <c r="A1353" s="1180" t="s">
        <v>3712</v>
      </c>
      <c r="B1353" s="1180" t="s">
        <v>3713</v>
      </c>
      <c r="C1353" s="1181">
        <v>44673</v>
      </c>
      <c r="D1353" s="1182" t="s">
        <v>360</v>
      </c>
      <c r="E1353" s="1182" t="s">
        <v>481</v>
      </c>
      <c r="F1353" s="1183" t="s">
        <v>3714</v>
      </c>
      <c r="G1353" s="1184" t="s">
        <v>456</v>
      </c>
      <c r="H1353" s="1185">
        <v>8000000</v>
      </c>
      <c r="I1353" s="1180" t="s">
        <v>364</v>
      </c>
      <c r="J1353" s="1186" t="str">
        <f>VLOOKUP($I1353,'Price List, Weapons &amp; Items'!B:C,2,0)</f>
        <v>.</v>
      </c>
      <c r="K1353" s="1186" t="str">
        <f>IF(I1353=".",I1353,VLOOKUP($I1353,'Price List, Weapons &amp; Items'!B:D,3,0))</f>
        <v>.</v>
      </c>
      <c r="L1353" s="1187">
        <f>VLOOKUP(I1353,'Price List, Weapons &amp; Items'!B:E,4,0)</f>
        <v>0</v>
      </c>
      <c r="M1353" s="1188" t="s">
        <v>364</v>
      </c>
      <c r="N1353" s="1188" t="s">
        <v>364</v>
      </c>
      <c r="O1353" s="1188" t="str">
        <f>VLOOKUP($I1353,'Price List, Weapons &amp; Items'!B:G,6,0)</f>
        <v>.</v>
      </c>
      <c r="P1353" s="1185" t="str">
        <f t="shared" si="289"/>
        <v>.</v>
      </c>
      <c r="Q1353" s="1185" t="str">
        <f t="shared" si="290"/>
        <v>.</v>
      </c>
      <c r="R1353" s="1185">
        <f t="shared" si="286"/>
        <v>8000000</v>
      </c>
      <c r="S1353" s="1185">
        <f>IF(AND(AD1353=1,R1353&lt;&gt;".")=TRUE,R1353/VLOOKUP(G1353,'Exchange Rates'!B:C,2,0),IF(R1353=".",".",""))</f>
        <v>7361059.99263894</v>
      </c>
      <c r="T1353" s="1185" t="str">
        <f>IF(AD1353=1,IF(AF1353="Value is not given at all",".",IF(AF1353="Value is given by the source",S1353,IF(AF1353="Value is calculated with prices",(IF(SUMIFS(Q:Q,A:A,A1353)&gt;0,SUMIFS(Q:Q,A:A,A1353),"."))/VLOOKUP("USD",'Exchange Rates'!B:C,2,0),"Error with coding"))),"")</f>
        <v>.</v>
      </c>
      <c r="U1353" s="1184" t="s">
        <v>365</v>
      </c>
      <c r="V1353" s="980" t="s">
        <v>3715</v>
      </c>
      <c r="W1353" s="971" t="s">
        <v>3716</v>
      </c>
      <c r="X1353" s="1190" t="s">
        <v>364</v>
      </c>
      <c r="Y1353" s="1190" t="s">
        <v>364</v>
      </c>
      <c r="Z1353" s="1184">
        <v>0</v>
      </c>
      <c r="AA1353" s="1194">
        <v>0</v>
      </c>
      <c r="AB1353" s="1180" t="s">
        <v>364</v>
      </c>
      <c r="AC1353" s="1192" t="str">
        <f>""</f>
        <v/>
      </c>
      <c r="AD1353" s="985">
        <v>1</v>
      </c>
      <c r="AE1353" s="985" t="s">
        <v>368</v>
      </c>
      <c r="AF1353" s="985" t="s">
        <v>369</v>
      </c>
      <c r="AG1353" s="985">
        <v>1</v>
      </c>
      <c r="AH1353" s="1193">
        <v>4</v>
      </c>
      <c r="AI1353" s="1193">
        <v>0</v>
      </c>
      <c r="AJ1353" s="1193">
        <f>VLOOKUP($I1353,'Price List, Weapons &amp; Items'!B:F,5,0)</f>
        <v>0</v>
      </c>
      <c r="AK1353" s="1193">
        <f t="shared" si="291"/>
        <v>0</v>
      </c>
      <c r="AL1353" s="1193">
        <f t="shared" si="292"/>
        <v>0</v>
      </c>
      <c r="AM1353" s="1193">
        <f t="shared" si="293"/>
        <v>0</v>
      </c>
      <c r="AN1353" s="1194" t="str">
        <f>VLOOKUP($I1353,'Price List, Weapons &amp; Items'!B:L,COLUMN('Price List, Weapons &amp; Items'!$J$11)-1,0)</f>
        <v>.</v>
      </c>
      <c r="AO1353" s="1194" t="str">
        <f>IF(I1353=".",".",VLOOKUP($I1353,'Price List, Weapons &amp; Items'!B:J,3,0))</f>
        <v>.</v>
      </c>
      <c r="AP1353" s="1195" t="str">
        <f t="shared" ca="1" si="287"/>
        <v>.</v>
      </c>
      <c r="AQ1353" s="1194">
        <f>VLOOKUP($I1353,'Price List, Weapons &amp; Items'!B:L,COLUMN('Price List, Weapons &amp; Items'!$L$11)-1,0)</f>
        <v>0</v>
      </c>
      <c r="AR1353" s="1194">
        <f t="shared" si="294"/>
        <v>1</v>
      </c>
      <c r="AS1353" s="1194">
        <f t="shared" si="295"/>
        <v>0</v>
      </c>
      <c r="AT1353" s="1194">
        <f t="shared" si="296"/>
        <v>1</v>
      </c>
      <c r="AU1353" s="1194" t="str">
        <f t="shared" si="285"/>
        <v>.</v>
      </c>
      <c r="AV1353" s="1194" t="str">
        <f t="shared" si="288"/>
        <v>.</v>
      </c>
      <c r="AW1353" s="1194" t="str">
        <f t="shared" si="297"/>
        <v>.</v>
      </c>
      <c r="AX1353" s="1194">
        <f>IFERROR(VLOOKUP(B1353,'Share, Heavy Weapons to Ukraine'!B:Z,COLUMN('Share, Heavy Weapons to Ukraine'!C1365)-1,0),0)</f>
        <v>0</v>
      </c>
      <c r="AY1353" s="1194">
        <f>VLOOKUP('Bilateral Assistance, MAIN DATA'!B1353,'Country Summary (€)'!B:F,COLUMN('Country Summary (€)'!C1366)-1,FALSE)</f>
        <v>0</v>
      </c>
      <c r="AZ1353" s="1194" t="str">
        <f>IF(AND(AD1353=1,D1353="Military",H1353&lt;&gt;"Not given")=TRUE,IF(SUMIFS(P:P,A:A,A1353)&gt;0,ABS((SUMIFS(P:P,A:A,A1353)/VLOOKUP("USD",'Exchange Rates'!B:C,2,0)))/S1353,"."),".")</f>
        <v>.</v>
      </c>
      <c r="BA1353" s="1196" t="str">
        <f>IF(AND(AD1353=1,D1353="Military",H1353&lt;&gt;"Not given")=TRUE,IF(SUMIFS(P:P,A:A,A1353)&gt;0,IF((ABS((SUMIFS(P:P,A:A,A1353)/VLOOKUP("USD",'Exchange Rates'!B:C,2,0)))/S1353)&gt;1,(SUMIFS(P:P,A:A,A1353)-S1353)/S1353,(S1353-SUMIFS(P:P,A:A,A1353))/SUMIFS(P:P,A:A,A1353)),"."),".")</f>
        <v>.</v>
      </c>
    </row>
    <row r="1354" spans="1:53" ht="15.95" customHeight="1">
      <c r="A1354" s="1180" t="s">
        <v>3717</v>
      </c>
      <c r="B1354" s="1180" t="s">
        <v>3713</v>
      </c>
      <c r="C1354" s="1181">
        <v>44714</v>
      </c>
      <c r="D1354" s="1182" t="s">
        <v>360</v>
      </c>
      <c r="E1354" s="1182" t="s">
        <v>481</v>
      </c>
      <c r="F1354" s="1183" t="s">
        <v>3718</v>
      </c>
      <c r="G1354" s="1184" t="s">
        <v>456</v>
      </c>
      <c r="H1354" s="1185">
        <v>2000000</v>
      </c>
      <c r="I1354" s="1180" t="s">
        <v>364</v>
      </c>
      <c r="J1354" s="1186" t="str">
        <f>VLOOKUP($I1354,'Price List, Weapons &amp; Items'!B:C,2,0)</f>
        <v>.</v>
      </c>
      <c r="K1354" s="1186" t="str">
        <f>IF(I1354=".",I1354,VLOOKUP($I1354,'Price List, Weapons &amp; Items'!B:D,3,0))</f>
        <v>.</v>
      </c>
      <c r="L1354" s="1187">
        <f>VLOOKUP(I1354,'Price List, Weapons &amp; Items'!B:E,4,0)</f>
        <v>0</v>
      </c>
      <c r="M1354" s="1188" t="s">
        <v>364</v>
      </c>
      <c r="N1354" s="1188" t="s">
        <v>364</v>
      </c>
      <c r="O1354" s="1188" t="str">
        <f>VLOOKUP($I1354,'Price List, Weapons &amp; Items'!B:G,6,0)</f>
        <v>.</v>
      </c>
      <c r="P1354" s="1185" t="str">
        <f t="shared" si="289"/>
        <v>.</v>
      </c>
      <c r="Q1354" s="1185" t="str">
        <f t="shared" si="290"/>
        <v>.</v>
      </c>
      <c r="R1354" s="1185">
        <f t="shared" si="286"/>
        <v>2000000</v>
      </c>
      <c r="S1354" s="1185">
        <f>IF(AND(AD1354=1,R1354&lt;&gt;".")=TRUE,R1354/VLOOKUP(G1354,'Exchange Rates'!B:C,2,0),IF(R1354=".",".",""))</f>
        <v>1840264.998159735</v>
      </c>
      <c r="T1354" s="1185" t="str">
        <f>IF(AD1354=1,IF(AF1354="Value is not given at all",".",IF(AF1354="Value is given by the source",S1354,IF(AF1354="Value is calculated with prices",(IF(SUMIFS(Q:Q,A:A,A1354)&gt;0,SUMIFS(Q:Q,A:A,A1354),"."))/VLOOKUP("USD",'Exchange Rates'!B:C,2,0),"Error with coding"))),"")</f>
        <v>.</v>
      </c>
      <c r="U1354" s="1184" t="s">
        <v>365</v>
      </c>
      <c r="V1354" s="980" t="s">
        <v>3719</v>
      </c>
      <c r="W1354" s="980" t="s">
        <v>3720</v>
      </c>
      <c r="X1354" s="971" t="s">
        <v>3721</v>
      </c>
      <c r="Y1354" s="1190" t="s">
        <v>364</v>
      </c>
      <c r="Z1354" s="1184">
        <v>0</v>
      </c>
      <c r="AA1354" s="1194">
        <v>0</v>
      </c>
      <c r="AB1354" s="1180" t="s">
        <v>364</v>
      </c>
      <c r="AC1354" s="1192" t="str">
        <f>""</f>
        <v/>
      </c>
      <c r="AD1354" s="985">
        <v>1</v>
      </c>
      <c r="AE1354" s="985" t="s">
        <v>368</v>
      </c>
      <c r="AF1354" s="985" t="s">
        <v>369</v>
      </c>
      <c r="AG1354" s="985">
        <v>1</v>
      </c>
      <c r="AH1354" s="1193">
        <v>6</v>
      </c>
      <c r="AI1354" s="1193">
        <v>0</v>
      </c>
      <c r="AJ1354" s="1193">
        <f>VLOOKUP($I1354,'Price List, Weapons &amp; Items'!B:F,5,0)</f>
        <v>0</v>
      </c>
      <c r="AK1354" s="1193">
        <f t="shared" si="291"/>
        <v>0</v>
      </c>
      <c r="AL1354" s="1193">
        <f t="shared" si="292"/>
        <v>0</v>
      </c>
      <c r="AM1354" s="1193">
        <f t="shared" si="293"/>
        <v>0</v>
      </c>
      <c r="AN1354" s="1194" t="str">
        <f>VLOOKUP($I1354,'Price List, Weapons &amp; Items'!B:L,COLUMN('Price List, Weapons &amp; Items'!$J$11)-1,0)</f>
        <v>.</v>
      </c>
      <c r="AO1354" s="1194" t="str">
        <f>IF(I1354=".",".",VLOOKUP($I1354,'Price List, Weapons &amp; Items'!B:J,3,0))</f>
        <v>.</v>
      </c>
      <c r="AP1354" s="1195" t="str">
        <f t="shared" ca="1" si="287"/>
        <v>.</v>
      </c>
      <c r="AQ1354" s="1194">
        <f>VLOOKUP($I1354,'Price List, Weapons &amp; Items'!B:L,COLUMN('Price List, Weapons &amp; Items'!$L$11)-1,0)</f>
        <v>0</v>
      </c>
      <c r="AR1354" s="1194">
        <f t="shared" si="294"/>
        <v>1</v>
      </c>
      <c r="AS1354" s="1194">
        <f t="shared" si="295"/>
        <v>0</v>
      </c>
      <c r="AT1354" s="1194">
        <f t="shared" si="296"/>
        <v>1</v>
      </c>
      <c r="AU1354" s="1194" t="str">
        <f t="shared" si="285"/>
        <v>.</v>
      </c>
      <c r="AV1354" s="1194" t="str">
        <f t="shared" si="288"/>
        <v>.</v>
      </c>
      <c r="AW1354" s="1194" t="str">
        <f t="shared" si="297"/>
        <v>.</v>
      </c>
      <c r="AX1354" s="1194">
        <f>IFERROR(VLOOKUP(B1354,'Share, Heavy Weapons to Ukraine'!B:Z,COLUMN('Share, Heavy Weapons to Ukraine'!C1366)-1,0),0)</f>
        <v>0</v>
      </c>
      <c r="AY1354" s="1194">
        <f>VLOOKUP('Bilateral Assistance, MAIN DATA'!B1354,'Country Summary (€)'!B:F,COLUMN('Country Summary (€)'!C1367)-1,FALSE)</f>
        <v>0</v>
      </c>
      <c r="AZ1354" s="1194" t="str">
        <f>IF(AND(AD1354=1,D1354="Military",H1354&lt;&gt;"Not given")=TRUE,IF(SUMIFS(P:P,A:A,A1354)&gt;0,ABS((SUMIFS(P:P,A:A,A1354)/VLOOKUP("USD",'Exchange Rates'!B:C,2,0)))/S1354,"."),".")</f>
        <v>.</v>
      </c>
      <c r="BA1354" s="1196" t="str">
        <f>IF(AND(AD1354=1,D1354="Military",H1354&lt;&gt;"Not given")=TRUE,IF(SUMIFS(P:P,A:A,A1354)&gt;0,IF((ABS((SUMIFS(P:P,A:A,A1354)/VLOOKUP("USD",'Exchange Rates'!B:C,2,0)))/S1354)&gt;1,(SUMIFS(P:P,A:A,A1354)-S1354)/S1354,(S1354-SUMIFS(P:P,A:A,A1354))/SUMIFS(P:P,A:A,A1354)),"."),".")</f>
        <v>.</v>
      </c>
    </row>
    <row r="1355" spans="1:53" ht="15.95" customHeight="1">
      <c r="A1355" s="1180" t="s">
        <v>3722</v>
      </c>
      <c r="B1355" s="1180" t="s">
        <v>3713</v>
      </c>
      <c r="C1355" s="1181">
        <v>44714</v>
      </c>
      <c r="D1355" s="1182" t="s">
        <v>360</v>
      </c>
      <c r="E1355" s="1182" t="s">
        <v>481</v>
      </c>
      <c r="F1355" s="1183" t="s">
        <v>3723</v>
      </c>
      <c r="G1355" s="1184" t="s">
        <v>456</v>
      </c>
      <c r="H1355" s="1185">
        <v>500000</v>
      </c>
      <c r="I1355" s="1180" t="s">
        <v>364</v>
      </c>
      <c r="J1355" s="1186" t="str">
        <f>VLOOKUP($I1355,'Price List, Weapons &amp; Items'!B:C,2,0)</f>
        <v>.</v>
      </c>
      <c r="K1355" s="1186" t="str">
        <f>IF(I1355=".",I1355,VLOOKUP($I1355,'Price List, Weapons &amp; Items'!B:D,3,0))</f>
        <v>.</v>
      </c>
      <c r="L1355" s="1187">
        <f>VLOOKUP(I1355,'Price List, Weapons &amp; Items'!B:E,4,0)</f>
        <v>0</v>
      </c>
      <c r="M1355" s="1188" t="s">
        <v>364</v>
      </c>
      <c r="N1355" s="1188" t="s">
        <v>364</v>
      </c>
      <c r="O1355" s="1188" t="str">
        <f>VLOOKUP($I1355,'Price List, Weapons &amp; Items'!B:G,6,0)</f>
        <v>.</v>
      </c>
      <c r="P1355" s="1185" t="str">
        <f t="shared" si="289"/>
        <v>.</v>
      </c>
      <c r="Q1355" s="1185" t="str">
        <f t="shared" si="290"/>
        <v>.</v>
      </c>
      <c r="R1355" s="1185">
        <f t="shared" si="286"/>
        <v>500000</v>
      </c>
      <c r="S1355" s="1185">
        <f>IF(AND(AD1355=1,R1355&lt;&gt;".")=TRUE,R1355/VLOOKUP(G1355,'Exchange Rates'!B:C,2,0),IF(R1355=".",".",""))</f>
        <v>460066.24953993375</v>
      </c>
      <c r="T1355" s="1185" t="str">
        <f>IF(AD1355=1,IF(AF1355="Value is not given at all",".",IF(AF1355="Value is given by the source",S1355,IF(AF1355="Value is calculated with prices",(IF(SUMIFS(Q:Q,A:A,A1355)&gt;0,SUMIFS(Q:Q,A:A,A1355),"."))/VLOOKUP("USD",'Exchange Rates'!B:C,2,0),"Error with coding"))),"")</f>
        <v>.</v>
      </c>
      <c r="U1355" s="1184" t="s">
        <v>365</v>
      </c>
      <c r="V1355" s="980" t="s">
        <v>3719</v>
      </c>
      <c r="W1355" s="980" t="s">
        <v>3720</v>
      </c>
      <c r="X1355" s="971" t="s">
        <v>3721</v>
      </c>
      <c r="Y1355" s="1190" t="s">
        <v>364</v>
      </c>
      <c r="Z1355" s="1184">
        <v>0</v>
      </c>
      <c r="AA1355" s="1194">
        <v>0</v>
      </c>
      <c r="AB1355" s="1180" t="s">
        <v>364</v>
      </c>
      <c r="AC1355" s="1192" t="str">
        <f>""</f>
        <v/>
      </c>
      <c r="AD1355" s="985">
        <v>1</v>
      </c>
      <c r="AE1355" s="985" t="s">
        <v>368</v>
      </c>
      <c r="AF1355" s="985" t="s">
        <v>369</v>
      </c>
      <c r="AG1355" s="985">
        <v>1</v>
      </c>
      <c r="AH1355" s="1193">
        <v>6</v>
      </c>
      <c r="AI1355" s="1193">
        <v>0</v>
      </c>
      <c r="AJ1355" s="1193">
        <f>VLOOKUP($I1355,'Price List, Weapons &amp; Items'!B:F,5,0)</f>
        <v>0</v>
      </c>
      <c r="AK1355" s="1193">
        <f t="shared" si="291"/>
        <v>0</v>
      </c>
      <c r="AL1355" s="1193">
        <f t="shared" si="292"/>
        <v>0</v>
      </c>
      <c r="AM1355" s="1193">
        <f t="shared" si="293"/>
        <v>0</v>
      </c>
      <c r="AN1355" s="1194" t="str">
        <f>VLOOKUP($I1355,'Price List, Weapons &amp; Items'!B:L,COLUMN('Price List, Weapons &amp; Items'!$J$11)-1,0)</f>
        <v>.</v>
      </c>
      <c r="AO1355" s="1194" t="str">
        <f>IF(I1355=".",".",VLOOKUP($I1355,'Price List, Weapons &amp; Items'!B:J,3,0))</f>
        <v>.</v>
      </c>
      <c r="AP1355" s="1195" t="str">
        <f t="shared" ca="1" si="287"/>
        <v>.</v>
      </c>
      <c r="AQ1355" s="1194">
        <f>VLOOKUP($I1355,'Price List, Weapons &amp; Items'!B:L,COLUMN('Price List, Weapons &amp; Items'!$L$11)-1,0)</f>
        <v>0</v>
      </c>
      <c r="AR1355" s="1194">
        <f t="shared" si="294"/>
        <v>1</v>
      </c>
      <c r="AS1355" s="1194">
        <f t="shared" si="295"/>
        <v>0</v>
      </c>
      <c r="AT1355" s="1194">
        <f t="shared" si="296"/>
        <v>1</v>
      </c>
      <c r="AU1355" s="1194" t="str">
        <f t="shared" si="285"/>
        <v>.</v>
      </c>
      <c r="AV1355" s="1194" t="str">
        <f t="shared" si="288"/>
        <v>.</v>
      </c>
      <c r="AW1355" s="1194" t="str">
        <f t="shared" si="297"/>
        <v>.</v>
      </c>
      <c r="AX1355" s="1194">
        <f>IFERROR(VLOOKUP(B1355,'Share, Heavy Weapons to Ukraine'!B:Z,COLUMN('Share, Heavy Weapons to Ukraine'!C1367)-1,0),0)</f>
        <v>0</v>
      </c>
      <c r="AY1355" s="1194">
        <f>VLOOKUP('Bilateral Assistance, MAIN DATA'!B1355,'Country Summary (€)'!B:F,COLUMN('Country Summary (€)'!C1368)-1,FALSE)</f>
        <v>0</v>
      </c>
      <c r="AZ1355" s="1194" t="str">
        <f>IF(AND(AD1355=1,D1355="Military",H1355&lt;&gt;"Not given")=TRUE,IF(SUMIFS(P:P,A:A,A1355)&gt;0,ABS((SUMIFS(P:P,A:A,A1355)/VLOOKUP("USD",'Exchange Rates'!B:C,2,0)))/S1355,"."),".")</f>
        <v>.</v>
      </c>
      <c r="BA1355" s="1196" t="str">
        <f>IF(AND(AD1355=1,D1355="Military",H1355&lt;&gt;"Not given")=TRUE,IF(SUMIFS(P:P,A:A,A1355)&gt;0,IF((ABS((SUMIFS(P:P,A:A,A1355)/VLOOKUP("USD",'Exchange Rates'!B:C,2,0)))/S1355)&gt;1,(SUMIFS(P:P,A:A,A1355)-S1355)/S1355,(S1355-SUMIFS(P:P,A:A,A1355))/SUMIFS(P:P,A:A,A1355)),"."),".")</f>
        <v>.</v>
      </c>
    </row>
    <row r="1356" spans="1:53" ht="15.95" customHeight="1">
      <c r="A1356" s="1180" t="s">
        <v>3724</v>
      </c>
      <c r="B1356" s="1180" t="s">
        <v>3713</v>
      </c>
      <c r="C1356" s="1181">
        <v>44714</v>
      </c>
      <c r="D1356" s="1182" t="s">
        <v>360</v>
      </c>
      <c r="E1356" s="1182" t="s">
        <v>481</v>
      </c>
      <c r="F1356" s="1183" t="s">
        <v>3725</v>
      </c>
      <c r="G1356" s="1184" t="s">
        <v>456</v>
      </c>
      <c r="H1356" s="1185">
        <v>500000</v>
      </c>
      <c r="I1356" s="1180" t="s">
        <v>364</v>
      </c>
      <c r="J1356" s="1186" t="str">
        <f>VLOOKUP($I1356,'Price List, Weapons &amp; Items'!B:C,2,0)</f>
        <v>.</v>
      </c>
      <c r="K1356" s="1186" t="str">
        <f>IF(I1356=".",I1356,VLOOKUP($I1356,'Price List, Weapons &amp; Items'!B:D,3,0))</f>
        <v>.</v>
      </c>
      <c r="L1356" s="1187">
        <f>VLOOKUP(I1356,'Price List, Weapons &amp; Items'!B:E,4,0)</f>
        <v>0</v>
      </c>
      <c r="M1356" s="1188" t="s">
        <v>364</v>
      </c>
      <c r="N1356" s="1188" t="s">
        <v>364</v>
      </c>
      <c r="O1356" s="1188" t="str">
        <f>VLOOKUP($I1356,'Price List, Weapons &amp; Items'!B:G,6,0)</f>
        <v>.</v>
      </c>
      <c r="P1356" s="1185" t="str">
        <f t="shared" si="289"/>
        <v>.</v>
      </c>
      <c r="Q1356" s="1185" t="str">
        <f t="shared" si="290"/>
        <v>.</v>
      </c>
      <c r="R1356" s="1185">
        <f t="shared" si="286"/>
        <v>500000</v>
      </c>
      <c r="S1356" s="1185">
        <f>IF(AND(AD1356=1,R1356&lt;&gt;".")=TRUE,R1356/VLOOKUP(G1356,'Exchange Rates'!B:C,2,0),IF(R1356=".",".",""))</f>
        <v>460066.24953993375</v>
      </c>
      <c r="T1356" s="1185" t="str">
        <f>IF(AD1356=1,IF(AF1356="Value is not given at all",".",IF(AF1356="Value is given by the source",S1356,IF(AF1356="Value is calculated with prices",(IF(SUMIFS(Q:Q,A:A,A1356)&gt;0,SUMIFS(Q:Q,A:A,A1356),"."))/VLOOKUP("USD",'Exchange Rates'!B:C,2,0),"Error with coding"))),"")</f>
        <v>.</v>
      </c>
      <c r="U1356" s="1184" t="s">
        <v>365</v>
      </c>
      <c r="V1356" s="980" t="s">
        <v>3719</v>
      </c>
      <c r="W1356" s="980" t="s">
        <v>3720</v>
      </c>
      <c r="X1356" s="1284" t="s">
        <v>3721</v>
      </c>
      <c r="Y1356" s="1190" t="s">
        <v>364</v>
      </c>
      <c r="Z1356" s="1184">
        <v>0</v>
      </c>
      <c r="AA1356" s="1194">
        <v>0</v>
      </c>
      <c r="AB1356" s="1180" t="s">
        <v>364</v>
      </c>
      <c r="AC1356" s="1192" t="str">
        <f>""</f>
        <v/>
      </c>
      <c r="AD1356" s="985">
        <v>1</v>
      </c>
      <c r="AE1356" s="985" t="s">
        <v>368</v>
      </c>
      <c r="AF1356" s="985" t="s">
        <v>369</v>
      </c>
      <c r="AG1356" s="985">
        <v>1</v>
      </c>
      <c r="AH1356" s="1193">
        <v>6</v>
      </c>
      <c r="AI1356" s="1193">
        <v>0</v>
      </c>
      <c r="AJ1356" s="1193">
        <f>VLOOKUP($I1356,'Price List, Weapons &amp; Items'!B:F,5,0)</f>
        <v>0</v>
      </c>
      <c r="AK1356" s="1193">
        <f t="shared" si="291"/>
        <v>0</v>
      </c>
      <c r="AL1356" s="1193">
        <f t="shared" si="292"/>
        <v>0</v>
      </c>
      <c r="AM1356" s="1193">
        <f t="shared" si="293"/>
        <v>0</v>
      </c>
      <c r="AN1356" s="1194" t="str">
        <f>VLOOKUP($I1356,'Price List, Weapons &amp; Items'!B:L,COLUMN('Price List, Weapons &amp; Items'!$J$11)-1,0)</f>
        <v>.</v>
      </c>
      <c r="AO1356" s="1194" t="str">
        <f>IF(I1356=".",".",VLOOKUP($I1356,'Price List, Weapons &amp; Items'!B:J,3,0))</f>
        <v>.</v>
      </c>
      <c r="AP1356" s="1195" t="str">
        <f t="shared" ca="1" si="287"/>
        <v>.</v>
      </c>
      <c r="AQ1356" s="1194">
        <f>VLOOKUP($I1356,'Price List, Weapons &amp; Items'!B:L,COLUMN('Price List, Weapons &amp; Items'!$L$11)-1,0)</f>
        <v>0</v>
      </c>
      <c r="AR1356" s="1194">
        <f t="shared" si="294"/>
        <v>1</v>
      </c>
      <c r="AS1356" s="1194">
        <f t="shared" si="295"/>
        <v>0</v>
      </c>
      <c r="AT1356" s="1194">
        <f t="shared" si="296"/>
        <v>1</v>
      </c>
      <c r="AU1356" s="1194" t="str">
        <f t="shared" si="285"/>
        <v>.</v>
      </c>
      <c r="AV1356" s="1194" t="str">
        <f t="shared" si="288"/>
        <v>.</v>
      </c>
      <c r="AW1356" s="1194" t="str">
        <f t="shared" si="297"/>
        <v>.</v>
      </c>
      <c r="AX1356" s="1194">
        <f>IFERROR(VLOOKUP(B1356,'Share, Heavy Weapons to Ukraine'!B:Z,COLUMN('Share, Heavy Weapons to Ukraine'!C1368)-1,0),0)</f>
        <v>0</v>
      </c>
      <c r="AY1356" s="1194">
        <f>VLOOKUP('Bilateral Assistance, MAIN DATA'!B1356,'Country Summary (€)'!B:F,COLUMN('Country Summary (€)'!C1369)-1,FALSE)</f>
        <v>0</v>
      </c>
      <c r="AZ1356" s="1194" t="str">
        <f>IF(AND(AD1356=1,D1356="Military",H1356&lt;&gt;"Not given")=TRUE,IF(SUMIFS(P:P,A:A,A1356)&gt;0,ABS((SUMIFS(P:P,A:A,A1356)/VLOOKUP("USD",'Exchange Rates'!B:C,2,0)))/S1356,"."),".")</f>
        <v>.</v>
      </c>
      <c r="BA1356" s="1196" t="str">
        <f>IF(AND(AD1356=1,D1356="Military",H1356&lt;&gt;"Not given")=TRUE,IF(SUMIFS(P:P,A:A,A1356)&gt;0,IF((ABS((SUMIFS(P:P,A:A,A1356)/VLOOKUP("USD",'Exchange Rates'!B:C,2,0)))/S1356)&gt;1,(SUMIFS(P:P,A:A,A1356)-S1356)/S1356,(S1356-SUMIFS(P:P,A:A,A1356))/SUMIFS(P:P,A:A,A1356)),"."),".")</f>
        <v>.</v>
      </c>
    </row>
    <row r="1357" spans="1:53" ht="15.95" customHeight="1">
      <c r="A1357" s="1180" t="s">
        <v>3726</v>
      </c>
      <c r="B1357" s="1180" t="s">
        <v>3713</v>
      </c>
      <c r="C1357" s="1181">
        <v>44714</v>
      </c>
      <c r="D1357" s="1182" t="s">
        <v>360</v>
      </c>
      <c r="E1357" s="1182" t="s">
        <v>481</v>
      </c>
      <c r="F1357" s="1183" t="s">
        <v>3727</v>
      </c>
      <c r="G1357" s="1184" t="s">
        <v>456</v>
      </c>
      <c r="H1357" s="1185">
        <v>500000</v>
      </c>
      <c r="I1357" s="1180" t="s">
        <v>364</v>
      </c>
      <c r="J1357" s="1186" t="str">
        <f>VLOOKUP($I1357,'Price List, Weapons &amp; Items'!B:C,2,0)</f>
        <v>.</v>
      </c>
      <c r="K1357" s="1186" t="str">
        <f>IF(I1357=".",I1357,VLOOKUP($I1357,'Price List, Weapons &amp; Items'!B:D,3,0))</f>
        <v>.</v>
      </c>
      <c r="L1357" s="1187">
        <f>VLOOKUP(I1357,'Price List, Weapons &amp; Items'!B:E,4,0)</f>
        <v>0</v>
      </c>
      <c r="M1357" s="1188" t="s">
        <v>364</v>
      </c>
      <c r="N1357" s="1188" t="s">
        <v>364</v>
      </c>
      <c r="O1357" s="1188" t="str">
        <f>VLOOKUP($I1357,'Price List, Weapons &amp; Items'!B:G,6,0)</f>
        <v>.</v>
      </c>
      <c r="P1357" s="1185" t="str">
        <f t="shared" si="289"/>
        <v>.</v>
      </c>
      <c r="Q1357" s="1185" t="str">
        <f t="shared" si="290"/>
        <v>.</v>
      </c>
      <c r="R1357" s="1185">
        <f t="shared" si="286"/>
        <v>500000</v>
      </c>
      <c r="S1357" s="1185">
        <f>IF(AND(AD1357=1,R1357&lt;&gt;".")=TRUE,R1357/VLOOKUP(G1357,'Exchange Rates'!B:C,2,0),IF(R1357=".",".",""))</f>
        <v>460066.24953993375</v>
      </c>
      <c r="T1357" s="1185" t="str">
        <f>IF(AD1357=1,IF(AF1357="Value is not given at all",".",IF(AF1357="Value is given by the source",S1357,IF(AF1357="Value is calculated with prices",(IF(SUMIFS(Q:Q,A:A,A1357)&gt;0,SUMIFS(Q:Q,A:A,A1357),"."))/VLOOKUP("USD",'Exchange Rates'!B:C,2,0),"Error with coding"))),"")</f>
        <v>.</v>
      </c>
      <c r="U1357" s="1184" t="s">
        <v>365</v>
      </c>
      <c r="V1357" s="980" t="s">
        <v>3719</v>
      </c>
      <c r="W1357" s="980" t="s">
        <v>3720</v>
      </c>
      <c r="X1357" s="971" t="s">
        <v>3721</v>
      </c>
      <c r="Y1357" s="1190" t="s">
        <v>364</v>
      </c>
      <c r="Z1357" s="1184">
        <v>0</v>
      </c>
      <c r="AA1357" s="1194">
        <v>0</v>
      </c>
      <c r="AB1357" s="1180" t="s">
        <v>364</v>
      </c>
      <c r="AC1357" s="1192" t="str">
        <f>""</f>
        <v/>
      </c>
      <c r="AD1357" s="985">
        <v>1</v>
      </c>
      <c r="AE1357" s="985" t="s">
        <v>368</v>
      </c>
      <c r="AF1357" s="985" t="s">
        <v>369</v>
      </c>
      <c r="AG1357" s="985">
        <v>1</v>
      </c>
      <c r="AH1357" s="1193">
        <v>6</v>
      </c>
      <c r="AI1357" s="1193">
        <v>0</v>
      </c>
      <c r="AJ1357" s="1193">
        <f>VLOOKUP($I1357,'Price List, Weapons &amp; Items'!B:F,5,0)</f>
        <v>0</v>
      </c>
      <c r="AK1357" s="1193">
        <f t="shared" si="291"/>
        <v>0</v>
      </c>
      <c r="AL1357" s="1193">
        <f t="shared" si="292"/>
        <v>0</v>
      </c>
      <c r="AM1357" s="1193">
        <f t="shared" si="293"/>
        <v>0</v>
      </c>
      <c r="AN1357" s="1194" t="str">
        <f>VLOOKUP($I1357,'Price List, Weapons &amp; Items'!B:L,COLUMN('Price List, Weapons &amp; Items'!$J$11)-1,0)</f>
        <v>.</v>
      </c>
      <c r="AO1357" s="1194" t="str">
        <f>IF(I1357=".",".",VLOOKUP($I1357,'Price List, Weapons &amp; Items'!B:J,3,0))</f>
        <v>.</v>
      </c>
      <c r="AP1357" s="1195" t="str">
        <f t="shared" ca="1" si="287"/>
        <v>.</v>
      </c>
      <c r="AQ1357" s="1194">
        <f>VLOOKUP($I1357,'Price List, Weapons &amp; Items'!B:L,COLUMN('Price List, Weapons &amp; Items'!$L$11)-1,0)</f>
        <v>0</v>
      </c>
      <c r="AR1357" s="1194">
        <f t="shared" si="294"/>
        <v>1</v>
      </c>
      <c r="AS1357" s="1194">
        <f t="shared" si="295"/>
        <v>0</v>
      </c>
      <c r="AT1357" s="1194">
        <f t="shared" si="296"/>
        <v>1</v>
      </c>
      <c r="AU1357" s="1194" t="str">
        <f t="shared" si="285"/>
        <v>.</v>
      </c>
      <c r="AV1357" s="1194" t="str">
        <f t="shared" si="288"/>
        <v>.</v>
      </c>
      <c r="AW1357" s="1194" t="str">
        <f t="shared" si="297"/>
        <v>.</v>
      </c>
      <c r="AX1357" s="1194">
        <f>IFERROR(VLOOKUP(B1357,'Share, Heavy Weapons to Ukraine'!B:Z,COLUMN('Share, Heavy Weapons to Ukraine'!C1369)-1,0),0)</f>
        <v>0</v>
      </c>
      <c r="AY1357" s="1194">
        <f>VLOOKUP('Bilateral Assistance, MAIN DATA'!B1357,'Country Summary (€)'!B:F,COLUMN('Country Summary (€)'!C1370)-1,FALSE)</f>
        <v>0</v>
      </c>
      <c r="AZ1357" s="1194" t="str">
        <f>IF(AND(AD1357=1,D1357="Military",H1357&lt;&gt;"Not given")=TRUE,IF(SUMIFS(P:P,A:A,A1357)&gt;0,ABS((SUMIFS(P:P,A:A,A1357)/VLOOKUP("USD",'Exchange Rates'!B:C,2,0)))/S1357,"."),".")</f>
        <v>.</v>
      </c>
      <c r="BA1357" s="1196" t="str">
        <f>IF(AND(AD1357=1,D1357="Military",H1357&lt;&gt;"Not given")=TRUE,IF(SUMIFS(P:P,A:A,A1357)&gt;0,IF((ABS((SUMIFS(P:P,A:A,A1357)/VLOOKUP("USD",'Exchange Rates'!B:C,2,0)))/S1357)&gt;1,(SUMIFS(P:P,A:A,A1357)-S1357)/S1357,(S1357-SUMIFS(P:P,A:A,A1357))/SUMIFS(P:P,A:A,A1357)),"."),".")</f>
        <v>.</v>
      </c>
    </row>
    <row r="1358" spans="1:53" ht="15.95" customHeight="1">
      <c r="A1358" s="1180" t="s">
        <v>3728</v>
      </c>
      <c r="B1358" s="1180" t="s">
        <v>3713</v>
      </c>
      <c r="C1358" s="1181">
        <v>44714</v>
      </c>
      <c r="D1358" s="1182" t="s">
        <v>360</v>
      </c>
      <c r="E1358" s="1182" t="s">
        <v>481</v>
      </c>
      <c r="F1358" s="1183" t="s">
        <v>3729</v>
      </c>
      <c r="G1358" s="1184" t="s">
        <v>456</v>
      </c>
      <c r="H1358" s="1185">
        <v>500000</v>
      </c>
      <c r="I1358" s="1180" t="s">
        <v>364</v>
      </c>
      <c r="J1358" s="1186" t="str">
        <f>VLOOKUP($I1358,'Price List, Weapons &amp; Items'!B:C,2,0)</f>
        <v>.</v>
      </c>
      <c r="K1358" s="1186" t="str">
        <f>IF(I1358=".",I1358,VLOOKUP($I1358,'Price List, Weapons &amp; Items'!B:D,3,0))</f>
        <v>.</v>
      </c>
      <c r="L1358" s="1187">
        <f>VLOOKUP(I1358,'Price List, Weapons &amp; Items'!B:E,4,0)</f>
        <v>0</v>
      </c>
      <c r="M1358" s="1188" t="s">
        <v>364</v>
      </c>
      <c r="N1358" s="1188" t="s">
        <v>364</v>
      </c>
      <c r="O1358" s="1188" t="str">
        <f>VLOOKUP($I1358,'Price List, Weapons &amp; Items'!B:G,6,0)</f>
        <v>.</v>
      </c>
      <c r="P1358" s="1185" t="str">
        <f t="shared" si="289"/>
        <v>.</v>
      </c>
      <c r="Q1358" s="1185" t="str">
        <f t="shared" si="290"/>
        <v>.</v>
      </c>
      <c r="R1358" s="1185">
        <f t="shared" si="286"/>
        <v>500000</v>
      </c>
      <c r="S1358" s="1185">
        <f>IF(AND(AD1358=1,R1358&lt;&gt;".")=TRUE,R1358/VLOOKUP(G1358,'Exchange Rates'!B:C,2,0),IF(R1358=".",".",""))</f>
        <v>460066.24953993375</v>
      </c>
      <c r="T1358" s="1185" t="str">
        <f>IF(AD1358=1,IF(AF1358="Value is not given at all",".",IF(AF1358="Value is given by the source",S1358,IF(AF1358="Value is calculated with prices",(IF(SUMIFS(Q:Q,A:A,A1358)&gt;0,SUMIFS(Q:Q,A:A,A1358),"."))/VLOOKUP("USD",'Exchange Rates'!B:C,2,0),"Error with coding"))),"")</f>
        <v>.</v>
      </c>
      <c r="U1358" s="1184" t="s">
        <v>365</v>
      </c>
      <c r="V1358" s="980" t="s">
        <v>3719</v>
      </c>
      <c r="W1358" s="980" t="s">
        <v>3720</v>
      </c>
      <c r="X1358" s="971" t="s">
        <v>3721</v>
      </c>
      <c r="Y1358" s="1190" t="s">
        <v>364</v>
      </c>
      <c r="Z1358" s="1184">
        <v>0</v>
      </c>
      <c r="AA1358" s="1194">
        <v>0</v>
      </c>
      <c r="AB1358" s="1180" t="s">
        <v>364</v>
      </c>
      <c r="AC1358" s="1192" t="str">
        <f>""</f>
        <v/>
      </c>
      <c r="AD1358" s="985">
        <v>1</v>
      </c>
      <c r="AE1358" s="985" t="s">
        <v>368</v>
      </c>
      <c r="AF1358" s="985" t="s">
        <v>369</v>
      </c>
      <c r="AG1358" s="985">
        <v>1</v>
      </c>
      <c r="AH1358" s="1193">
        <v>6</v>
      </c>
      <c r="AI1358" s="1193">
        <v>0</v>
      </c>
      <c r="AJ1358" s="1193">
        <f>VLOOKUP($I1358,'Price List, Weapons &amp; Items'!B:F,5,0)</f>
        <v>0</v>
      </c>
      <c r="AK1358" s="1193">
        <f t="shared" si="291"/>
        <v>0</v>
      </c>
      <c r="AL1358" s="1193">
        <f t="shared" si="292"/>
        <v>0</v>
      </c>
      <c r="AM1358" s="1193">
        <f t="shared" si="293"/>
        <v>0</v>
      </c>
      <c r="AN1358" s="1194" t="str">
        <f>VLOOKUP($I1358,'Price List, Weapons &amp; Items'!B:L,COLUMN('Price List, Weapons &amp; Items'!$J$11)-1,0)</f>
        <v>.</v>
      </c>
      <c r="AO1358" s="1194" t="str">
        <f>IF(I1358=".",".",VLOOKUP($I1358,'Price List, Weapons &amp; Items'!B:J,3,0))</f>
        <v>.</v>
      </c>
      <c r="AP1358" s="1195" t="str">
        <f t="shared" ca="1" si="287"/>
        <v>.</v>
      </c>
      <c r="AQ1358" s="1194">
        <f>VLOOKUP($I1358,'Price List, Weapons &amp; Items'!B:L,COLUMN('Price List, Weapons &amp; Items'!$L$11)-1,0)</f>
        <v>0</v>
      </c>
      <c r="AR1358" s="1194">
        <f t="shared" si="294"/>
        <v>1</v>
      </c>
      <c r="AS1358" s="1194">
        <f t="shared" si="295"/>
        <v>0</v>
      </c>
      <c r="AT1358" s="1194">
        <f t="shared" si="296"/>
        <v>1</v>
      </c>
      <c r="AU1358" s="1194" t="str">
        <f t="shared" si="285"/>
        <v>.</v>
      </c>
      <c r="AV1358" s="1194" t="str">
        <f t="shared" si="288"/>
        <v>.</v>
      </c>
      <c r="AW1358" s="1194" t="str">
        <f t="shared" si="297"/>
        <v>.</v>
      </c>
      <c r="AX1358" s="1194">
        <f>IFERROR(VLOOKUP(B1358,'Share, Heavy Weapons to Ukraine'!B:Z,COLUMN('Share, Heavy Weapons to Ukraine'!C1370)-1,0),0)</f>
        <v>0</v>
      </c>
      <c r="AY1358" s="1194">
        <f>VLOOKUP('Bilateral Assistance, MAIN DATA'!B1358,'Country Summary (€)'!B:F,COLUMN('Country Summary (€)'!C1371)-1,FALSE)</f>
        <v>0</v>
      </c>
      <c r="AZ1358" s="1194" t="str">
        <f>IF(AND(AD1358=1,D1358="Military",H1358&lt;&gt;"Not given")=TRUE,IF(SUMIFS(P:P,A:A,A1358)&gt;0,ABS((SUMIFS(P:P,A:A,A1358)/VLOOKUP("USD",'Exchange Rates'!B:C,2,0)))/S1358,"."),".")</f>
        <v>.</v>
      </c>
      <c r="BA1358" s="1196" t="str">
        <f>IF(AND(AD1358=1,D1358="Military",H1358&lt;&gt;"Not given")=TRUE,IF(SUMIFS(P:P,A:A,A1358)&gt;0,IF((ABS((SUMIFS(P:P,A:A,A1358)/VLOOKUP("USD",'Exchange Rates'!B:C,2,0)))/S1358)&gt;1,(SUMIFS(P:P,A:A,A1358)-S1358)/S1358,(S1358-SUMIFS(P:P,A:A,A1358))/SUMIFS(P:P,A:A,A1358)),"."),".")</f>
        <v>.</v>
      </c>
    </row>
    <row r="1359" spans="1:53" ht="15.95" customHeight="1">
      <c r="A1359" s="1180" t="s">
        <v>3730</v>
      </c>
      <c r="B1359" s="1180" t="s">
        <v>3713</v>
      </c>
      <c r="C1359" s="1181">
        <v>44732</v>
      </c>
      <c r="D1359" s="1182" t="s">
        <v>360</v>
      </c>
      <c r="E1359" s="1182" t="s">
        <v>481</v>
      </c>
      <c r="F1359" s="1183" t="s">
        <v>3731</v>
      </c>
      <c r="G1359" s="1184" t="s">
        <v>456</v>
      </c>
      <c r="H1359" s="1185">
        <v>500000</v>
      </c>
      <c r="I1359" s="1180" t="s">
        <v>364</v>
      </c>
      <c r="J1359" s="1186" t="str">
        <f>VLOOKUP($I1359,'Price List, Weapons &amp; Items'!B:C,2,0)</f>
        <v>.</v>
      </c>
      <c r="K1359" s="1186" t="str">
        <f>IF(I1359=".",I1359,VLOOKUP($I1359,'Price List, Weapons &amp; Items'!B:D,3,0))</f>
        <v>.</v>
      </c>
      <c r="L1359" s="1187">
        <f>VLOOKUP(I1359,'Price List, Weapons &amp; Items'!B:E,4,0)</f>
        <v>0</v>
      </c>
      <c r="M1359" s="1188" t="s">
        <v>364</v>
      </c>
      <c r="N1359" s="1188" t="s">
        <v>364</v>
      </c>
      <c r="O1359" s="1188" t="str">
        <f>VLOOKUP($I1359,'Price List, Weapons &amp; Items'!B:G,6,0)</f>
        <v>.</v>
      </c>
      <c r="P1359" s="1185" t="str">
        <f t="shared" si="289"/>
        <v>.</v>
      </c>
      <c r="Q1359" s="1185" t="str">
        <f t="shared" si="290"/>
        <v>.</v>
      </c>
      <c r="R1359" s="1185">
        <f t="shared" si="286"/>
        <v>500000</v>
      </c>
      <c r="S1359" s="1185">
        <f>IF(AND(AD1359=1,R1359&lt;&gt;".")=TRUE,R1359/VLOOKUP(G1359,'Exchange Rates'!B:C,2,0),IF(R1359=".",".",""))</f>
        <v>460066.24953993375</v>
      </c>
      <c r="T1359" s="1185" t="str">
        <f>IF(AD1359=1,IF(AF1359="Value is not given at all",".",IF(AF1359="Value is given by the source",S1359,IF(AF1359="Value is calculated with prices",(IF(SUMIFS(Q:Q,A:A,A1359)&gt;0,SUMIFS(Q:Q,A:A,A1359),"."))/VLOOKUP("USD",'Exchange Rates'!B:C,2,0),"Error with coding"))),"")</f>
        <v>.</v>
      </c>
      <c r="U1359" s="1184" t="s">
        <v>365</v>
      </c>
      <c r="V1359" s="980" t="s">
        <v>3732</v>
      </c>
      <c r="W1359" s="971" t="s">
        <v>3733</v>
      </c>
      <c r="X1359" s="1190" t="s">
        <v>364</v>
      </c>
      <c r="Y1359" s="1190" t="s">
        <v>364</v>
      </c>
      <c r="Z1359" s="1184">
        <v>0</v>
      </c>
      <c r="AA1359" s="1194">
        <v>0</v>
      </c>
      <c r="AB1359" s="1180" t="s">
        <v>364</v>
      </c>
      <c r="AC1359" s="1192" t="str">
        <f>""</f>
        <v/>
      </c>
      <c r="AD1359" s="985">
        <v>1</v>
      </c>
      <c r="AE1359" s="985" t="s">
        <v>368</v>
      </c>
      <c r="AF1359" s="985" t="s">
        <v>369</v>
      </c>
      <c r="AG1359" s="985">
        <v>1</v>
      </c>
      <c r="AH1359" s="1193">
        <v>6</v>
      </c>
      <c r="AI1359" s="1193">
        <v>0</v>
      </c>
      <c r="AJ1359" s="1193">
        <f>VLOOKUP($I1359,'Price List, Weapons &amp; Items'!B:F,5,0)</f>
        <v>0</v>
      </c>
      <c r="AK1359" s="1193">
        <f t="shared" si="291"/>
        <v>0</v>
      </c>
      <c r="AL1359" s="1193">
        <f t="shared" si="292"/>
        <v>0</v>
      </c>
      <c r="AM1359" s="1193">
        <f t="shared" si="293"/>
        <v>0</v>
      </c>
      <c r="AN1359" s="1194" t="str">
        <f>VLOOKUP($I1359,'Price List, Weapons &amp; Items'!B:L,COLUMN('Price List, Weapons &amp; Items'!$J$11)-1,0)</f>
        <v>.</v>
      </c>
      <c r="AO1359" s="1194" t="str">
        <f>IF(I1359=".",".",VLOOKUP($I1359,'Price List, Weapons &amp; Items'!B:J,3,0))</f>
        <v>.</v>
      </c>
      <c r="AP1359" s="1195" t="str">
        <f t="shared" ca="1" si="287"/>
        <v>.</v>
      </c>
      <c r="AQ1359" s="1194">
        <f>VLOOKUP($I1359,'Price List, Weapons &amp; Items'!B:L,COLUMN('Price List, Weapons &amp; Items'!$L$11)-1,0)</f>
        <v>0</v>
      </c>
      <c r="AR1359" s="1194">
        <f t="shared" si="294"/>
        <v>1</v>
      </c>
      <c r="AS1359" s="1194">
        <f t="shared" si="295"/>
        <v>0</v>
      </c>
      <c r="AT1359" s="1194">
        <f t="shared" si="296"/>
        <v>1</v>
      </c>
      <c r="AU1359" s="1194" t="str">
        <f t="shared" si="285"/>
        <v>.</v>
      </c>
      <c r="AV1359" s="1194" t="str">
        <f t="shared" si="288"/>
        <v>.</v>
      </c>
      <c r="AW1359" s="1194" t="str">
        <f t="shared" si="297"/>
        <v>.</v>
      </c>
      <c r="AX1359" s="1194">
        <f>IFERROR(VLOOKUP(B1359,'Share, Heavy Weapons to Ukraine'!B:Z,COLUMN('Share, Heavy Weapons to Ukraine'!C1371)-1,0),0)</f>
        <v>0</v>
      </c>
      <c r="AY1359" s="1194">
        <f>VLOOKUP('Bilateral Assistance, MAIN DATA'!B1359,'Country Summary (€)'!B:F,COLUMN('Country Summary (€)'!C1372)-1,FALSE)</f>
        <v>0</v>
      </c>
      <c r="AZ1359" s="1194" t="str">
        <f>IF(AND(AD1359=1,D1359="Military",H1359&lt;&gt;"Not given")=TRUE,IF(SUMIFS(P:P,A:A,A1359)&gt;0,ABS((SUMIFS(P:P,A:A,A1359)/VLOOKUP("USD",'Exchange Rates'!B:C,2,0)))/S1359,"."),".")</f>
        <v>.</v>
      </c>
      <c r="BA1359" s="1196" t="str">
        <f>IF(AND(AD1359=1,D1359="Military",H1359&lt;&gt;"Not given")=TRUE,IF(SUMIFS(P:P,A:A,A1359)&gt;0,IF((ABS((SUMIFS(P:P,A:A,A1359)/VLOOKUP("USD",'Exchange Rates'!B:C,2,0)))/S1359)&gt;1,(SUMIFS(P:P,A:A,A1359)-S1359)/S1359,(S1359-SUMIFS(P:P,A:A,A1359))/SUMIFS(P:P,A:A,A1359)),"."),".")</f>
        <v>.</v>
      </c>
    </row>
    <row r="1360" spans="1:53" ht="15.95" customHeight="1">
      <c r="A1360" s="1180" t="s">
        <v>3734</v>
      </c>
      <c r="B1360" s="1180" t="s">
        <v>3713</v>
      </c>
      <c r="C1360" s="1181">
        <v>44861</v>
      </c>
      <c r="D1360" s="1182" t="s">
        <v>360</v>
      </c>
      <c r="E1360" s="1182" t="s">
        <v>1216</v>
      </c>
      <c r="F1360" s="1183" t="s">
        <v>3735</v>
      </c>
      <c r="G1360" s="1184" t="s">
        <v>456</v>
      </c>
      <c r="H1360" s="1185">
        <v>56000000</v>
      </c>
      <c r="I1360" s="1180" t="s">
        <v>364</v>
      </c>
      <c r="J1360" s="1186" t="str">
        <f>VLOOKUP($I1360,'Price List, Weapons &amp; Items'!B:C,2,0)</f>
        <v>.</v>
      </c>
      <c r="K1360" s="1186" t="str">
        <f>IF(I1360=".",I1360,VLOOKUP($I1360,'Price List, Weapons &amp; Items'!B:D,3,0))</f>
        <v>.</v>
      </c>
      <c r="L1360" s="1187">
        <f>VLOOKUP(I1360,'Price List, Weapons &amp; Items'!B:E,4,0)</f>
        <v>0</v>
      </c>
      <c r="M1360" s="1188" t="s">
        <v>364</v>
      </c>
      <c r="N1360" s="1188" t="s">
        <v>364</v>
      </c>
      <c r="O1360" s="1188" t="str">
        <f>VLOOKUP($I1360,'Price List, Weapons &amp; Items'!B:G,6,0)</f>
        <v>.</v>
      </c>
      <c r="P1360" s="1185" t="str">
        <f t="shared" si="289"/>
        <v>.</v>
      </c>
      <c r="Q1360" s="1185" t="str">
        <f t="shared" si="290"/>
        <v>.</v>
      </c>
      <c r="R1360" s="1185">
        <f t="shared" si="286"/>
        <v>56000000</v>
      </c>
      <c r="S1360" s="1185">
        <f>IF(AND(AD1360=1,R1360&lt;&gt;".")=TRUE,R1360/VLOOKUP(G1360,'Exchange Rates'!B:C,2,0),IF(R1360=".",".",""))</f>
        <v>51527419.948472582</v>
      </c>
      <c r="T1360" s="1185" t="str">
        <f>IF(AD1360=1,IF(AF1360="Value is not given at all",".",IF(AF1360="Value is given by the source",S1360,IF(AF1360="Value is calculated with prices",(IF(SUMIFS(Q:Q,A:A,A1360)&gt;0,SUMIFS(Q:Q,A:A,A1360),"."))/VLOOKUP("USD",'Exchange Rates'!B:C,2,0),"Error with coding"))),"")</f>
        <v>.</v>
      </c>
      <c r="U1360" s="1184" t="s">
        <v>365</v>
      </c>
      <c r="V1360" s="1017" t="s">
        <v>3736</v>
      </c>
      <c r="W1360" s="1017" t="s">
        <v>3737</v>
      </c>
      <c r="X1360" s="980" t="s">
        <v>3738</v>
      </c>
      <c r="Y1360" s="981" t="s">
        <v>364</v>
      </c>
      <c r="Z1360" s="1184">
        <v>0</v>
      </c>
      <c r="AA1360" s="1194">
        <v>1</v>
      </c>
      <c r="AB1360" s="1000" t="s">
        <v>364</v>
      </c>
      <c r="AC1360" s="1192" t="str">
        <f>""</f>
        <v/>
      </c>
      <c r="AD1360" s="985">
        <v>1</v>
      </c>
      <c r="AE1360" s="985" t="s">
        <v>368</v>
      </c>
      <c r="AF1360" s="985" t="s">
        <v>369</v>
      </c>
      <c r="AG1360" s="985">
        <v>1</v>
      </c>
      <c r="AH1360" s="1193">
        <v>10</v>
      </c>
      <c r="AI1360" s="1193">
        <v>0</v>
      </c>
      <c r="AJ1360" s="1193">
        <f>VLOOKUP($I1360,'Price List, Weapons &amp; Items'!B:F,5,0)</f>
        <v>0</v>
      </c>
      <c r="AK1360" s="1193">
        <f t="shared" si="291"/>
        <v>0</v>
      </c>
      <c r="AL1360" s="1193">
        <f t="shared" si="292"/>
        <v>0</v>
      </c>
      <c r="AM1360" s="1193">
        <f t="shared" si="293"/>
        <v>0</v>
      </c>
      <c r="AN1360" s="1194" t="str">
        <f>VLOOKUP($I1360,'Price List, Weapons &amp; Items'!B:L,COLUMN('Price List, Weapons &amp; Items'!$J$11)-1,0)</f>
        <v>.</v>
      </c>
      <c r="AO1360" s="1194" t="str">
        <f>IF(I1360=".",".",VLOOKUP($I1360,'Price List, Weapons &amp; Items'!B:J,3,0))</f>
        <v>.</v>
      </c>
      <c r="AP1360" s="1195" t="str">
        <f t="shared" ca="1" si="287"/>
        <v>.</v>
      </c>
      <c r="AQ1360" s="1194">
        <f>VLOOKUP($I1360,'Price List, Weapons &amp; Items'!B:L,COLUMN('Price List, Weapons &amp; Items'!$L$11)-1,0)</f>
        <v>0</v>
      </c>
      <c r="AR1360" s="1194">
        <f t="shared" si="294"/>
        <v>1</v>
      </c>
      <c r="AS1360" s="1194">
        <f t="shared" si="295"/>
        <v>0</v>
      </c>
      <c r="AT1360" s="1194">
        <f t="shared" si="296"/>
        <v>1</v>
      </c>
      <c r="AU1360" s="1194" t="str">
        <f t="shared" si="285"/>
        <v>.</v>
      </c>
      <c r="AV1360" s="1194" t="str">
        <f t="shared" si="288"/>
        <v>.</v>
      </c>
      <c r="AW1360" s="1194" t="str">
        <f t="shared" si="297"/>
        <v>.</v>
      </c>
      <c r="AX1360" s="1194">
        <f>IFERROR(VLOOKUP(B1360,'Share, Heavy Weapons to Ukraine'!B:Z,COLUMN('Share, Heavy Weapons to Ukraine'!C1372)-1,0),0)</f>
        <v>0</v>
      </c>
      <c r="AY1360" s="1194">
        <f>VLOOKUP('Bilateral Assistance, MAIN DATA'!B1360,'Country Summary (€)'!B:F,COLUMN('Country Summary (€)'!C1373)-1,FALSE)</f>
        <v>0</v>
      </c>
      <c r="AZ1360" s="1194" t="str">
        <f>IF(AND(AD1360=1,D1360="Military",H1360&lt;&gt;"Not given")=TRUE,IF(SUMIFS(P:P,A:A,A1360)&gt;0,ABS((SUMIFS(P:P,A:A,A1360)/VLOOKUP("USD",'Exchange Rates'!B:C,2,0)))/S1360,"."),".")</f>
        <v>.</v>
      </c>
      <c r="BA1360" s="1196" t="str">
        <f>IF(AND(AD1360=1,D1360="Military",H1360&lt;&gt;"Not given")=TRUE,IF(SUMIFS(P:P,A:A,A1360)&gt;0,IF((ABS((SUMIFS(P:P,A:A,A1360)/VLOOKUP("USD",'Exchange Rates'!B:C,2,0)))/S1360)&gt;1,(SUMIFS(P:P,A:A,A1360)-S1360)/S1360,(S1360-SUMIFS(P:P,A:A,A1360))/SUMIFS(P:P,A:A,A1360)),"."),".")</f>
        <v>.</v>
      </c>
    </row>
    <row r="1361" spans="1:53" ht="15.75" customHeight="1">
      <c r="A1361" s="1180" t="s">
        <v>3734</v>
      </c>
      <c r="B1361" s="1180" t="s">
        <v>3713</v>
      </c>
      <c r="C1361" s="1181">
        <v>44902</v>
      </c>
      <c r="D1361" s="1182" t="s">
        <v>360</v>
      </c>
      <c r="E1361" s="1182" t="s">
        <v>481</v>
      </c>
      <c r="F1361" s="1183" t="s">
        <v>3739</v>
      </c>
      <c r="G1361" s="1184" t="s">
        <v>456</v>
      </c>
      <c r="H1361" s="1185">
        <v>1000000</v>
      </c>
      <c r="I1361" s="1180" t="s">
        <v>364</v>
      </c>
      <c r="J1361" s="1186" t="str">
        <f>VLOOKUP($I1361,'Price List, Weapons &amp; Items'!B:C,2,0)</f>
        <v>.</v>
      </c>
      <c r="K1361" s="1186" t="str">
        <f>IF(I1361=".",I1361,VLOOKUP($I1361,'Price List, Weapons &amp; Items'!B:D,3,0))</f>
        <v>.</v>
      </c>
      <c r="L1361" s="1187">
        <f>VLOOKUP(I1361,'Price List, Weapons &amp; Items'!B:E,4,0)</f>
        <v>0</v>
      </c>
      <c r="M1361" s="1188" t="s">
        <v>364</v>
      </c>
      <c r="N1361" s="1188" t="s">
        <v>364</v>
      </c>
      <c r="O1361" s="1188" t="str">
        <f>VLOOKUP($I1361,'Price List, Weapons &amp; Items'!B:G,6,0)</f>
        <v>.</v>
      </c>
      <c r="P1361" s="1185" t="str">
        <f t="shared" si="289"/>
        <v>.</v>
      </c>
      <c r="Q1361" s="1185" t="str">
        <f t="shared" si="290"/>
        <v>.</v>
      </c>
      <c r="R1361" s="1185" t="str">
        <f t="shared" si="286"/>
        <v/>
      </c>
      <c r="S1361" s="1185" t="str">
        <f>IF(AND(AD1361=1,R1361&lt;&gt;".")=TRUE,R1361/VLOOKUP(G1361,'Exchange Rates'!B:C,2,0),IF(R1361=".",".",""))</f>
        <v/>
      </c>
      <c r="T1361" s="1185" t="str">
        <f>IF(AD1361=1,IF(AF1361="Value is not given at all",".",IF(AF1361="Value is given by the source",S1361,IF(AF1361="Value is calculated with prices",(IF(SUMIFS(Q:Q,A:A,A1361)&gt;0,SUMIFS(Q:Q,A:A,A1361),"."))/VLOOKUP("USD",'Exchange Rates'!B:C,2,0),"Error with coding"))),"")</f>
        <v/>
      </c>
      <c r="U1361" s="1184" t="s">
        <v>365</v>
      </c>
      <c r="V1361" s="1017" t="s">
        <v>3740</v>
      </c>
      <c r="W1361" s="1017" t="s">
        <v>3741</v>
      </c>
      <c r="X1361" s="980" t="s">
        <v>3742</v>
      </c>
      <c r="Y1361" s="981" t="s">
        <v>364</v>
      </c>
      <c r="Z1361" s="1184">
        <v>0</v>
      </c>
      <c r="AA1361" s="1194">
        <v>1</v>
      </c>
      <c r="AB1361" s="982" t="s">
        <v>3742</v>
      </c>
      <c r="AC1361" s="1192" t="str">
        <f>""</f>
        <v/>
      </c>
      <c r="AD1361" s="985">
        <v>0</v>
      </c>
      <c r="AE1361" s="985" t="s">
        <v>368</v>
      </c>
      <c r="AF1361" s="985" t="s">
        <v>368</v>
      </c>
      <c r="AG1361" s="985">
        <v>1</v>
      </c>
      <c r="AH1361" s="1193">
        <v>12</v>
      </c>
      <c r="AI1361" s="1193">
        <v>0</v>
      </c>
      <c r="AJ1361" s="1193">
        <f>VLOOKUP($I1361,'Price List, Weapons &amp; Items'!B:F,5,0)</f>
        <v>0</v>
      </c>
      <c r="AK1361" s="1193">
        <f t="shared" si="291"/>
        <v>0</v>
      </c>
      <c r="AL1361" s="1193">
        <f t="shared" si="292"/>
        <v>0</v>
      </c>
      <c r="AM1361" s="1193">
        <f t="shared" si="293"/>
        <v>0</v>
      </c>
      <c r="AN1361" s="1194" t="str">
        <f>VLOOKUP($I1361,'Price List, Weapons &amp; Items'!B:L,COLUMN('Price List, Weapons &amp; Items'!$J$11)-1,0)</f>
        <v>.</v>
      </c>
      <c r="AO1361" s="1194" t="str">
        <f>IF(I1361=".",".",VLOOKUP($I1361,'Price List, Weapons &amp; Items'!B:J,3,0))</f>
        <v>.</v>
      </c>
      <c r="AP1361" s="1195" t="str">
        <f t="shared" ca="1" si="287"/>
        <v/>
      </c>
      <c r="AQ1361" s="1194">
        <f>VLOOKUP($I1361,'Price List, Weapons &amp; Items'!B:L,COLUMN('Price List, Weapons &amp; Items'!$L$11)-1,0)</f>
        <v>0</v>
      </c>
      <c r="AR1361" s="1194">
        <f t="shared" si="294"/>
        <v>1</v>
      </c>
      <c r="AS1361" s="1194">
        <f t="shared" si="295"/>
        <v>0</v>
      </c>
      <c r="AT1361" s="1194">
        <f t="shared" si="296"/>
        <v>1</v>
      </c>
      <c r="AU1361" s="1194" t="str">
        <f t="shared" si="285"/>
        <v>.</v>
      </c>
      <c r="AV1361" s="1194" t="str">
        <f t="shared" si="288"/>
        <v>.</v>
      </c>
      <c r="AW1361" s="1194" t="str">
        <f t="shared" si="297"/>
        <v>.</v>
      </c>
      <c r="AX1361" s="1194">
        <f>IFERROR(VLOOKUP(B1361,'Share, Heavy Weapons to Ukraine'!B:Z,COLUMN('Share, Heavy Weapons to Ukraine'!C1373)-1,0),0)</f>
        <v>0</v>
      </c>
      <c r="AY1361" s="1194">
        <f>VLOOKUP('Bilateral Assistance, MAIN DATA'!B1361,'Country Summary (€)'!B:F,COLUMN('Country Summary (€)'!C1374)-1,FALSE)</f>
        <v>0</v>
      </c>
      <c r="AZ1361" s="1194" t="str">
        <f>IF(AND(AD1361=1,D1361="Military",H1361&lt;&gt;"Not given")=TRUE,IF(SUMIFS(P:P,A:A,A1361)&gt;0,ABS((SUMIFS(P:P,A:A,A1361)/VLOOKUP("USD",'Exchange Rates'!B:C,2,0)))/S1361,"."),".")</f>
        <v>.</v>
      </c>
      <c r="BA1361" s="1196" t="str">
        <f>IF(AND(AD1361=1,D1361="Military",H1361&lt;&gt;"Not given")=TRUE,IF(SUMIFS(P:P,A:A,A1361)&gt;0,IF((ABS((SUMIFS(P:P,A:A,A1361)/VLOOKUP("USD",'Exchange Rates'!B:C,2,0)))/S1361)&gt;1,(SUMIFS(P:P,A:A,A1361)-S1361)/S1361,(S1361-SUMIFS(P:P,A:A,A1361))/SUMIFS(P:P,A:A,A1361)),"."),".")</f>
        <v>.</v>
      </c>
    </row>
    <row r="1362" spans="1:53" ht="15.95" customHeight="1">
      <c r="A1362" s="1180" t="s">
        <v>3734</v>
      </c>
      <c r="B1362" s="1180" t="s">
        <v>3713</v>
      </c>
      <c r="C1362" s="1181">
        <v>44930</v>
      </c>
      <c r="D1362" s="1182" t="s">
        <v>360</v>
      </c>
      <c r="E1362" s="1182" t="s">
        <v>481</v>
      </c>
      <c r="F1362" s="1183" t="s">
        <v>3743</v>
      </c>
      <c r="G1362" s="1184" t="s">
        <v>456</v>
      </c>
      <c r="H1362" s="1185">
        <v>2000000</v>
      </c>
      <c r="I1362" s="1180" t="s">
        <v>364</v>
      </c>
      <c r="J1362" s="1186" t="str">
        <f>VLOOKUP($I1362,'Price List, Weapons &amp; Items'!B:C,2,0)</f>
        <v>.</v>
      </c>
      <c r="K1362" s="1186" t="str">
        <f>IF(I1362=".",I1362,VLOOKUP($I1362,'Price List, Weapons &amp; Items'!B:D,3,0))</f>
        <v>.</v>
      </c>
      <c r="L1362" s="1187">
        <f>VLOOKUP(I1362,'Price List, Weapons &amp; Items'!B:E,4,0)</f>
        <v>0</v>
      </c>
      <c r="M1362" s="1188" t="s">
        <v>364</v>
      </c>
      <c r="N1362" s="1188" t="s">
        <v>364</v>
      </c>
      <c r="O1362" s="1188" t="str">
        <f>VLOOKUP($I1362,'Price List, Weapons &amp; Items'!B:G,6,0)</f>
        <v>.</v>
      </c>
      <c r="P1362" s="1185" t="str">
        <f t="shared" si="289"/>
        <v>.</v>
      </c>
      <c r="Q1362" s="1185" t="str">
        <f t="shared" si="290"/>
        <v>.</v>
      </c>
      <c r="R1362" s="1185" t="str">
        <f t="shared" si="286"/>
        <v/>
      </c>
      <c r="S1362" s="1185" t="str">
        <f>IF(AND(AD1362=1,R1362&lt;&gt;".")=TRUE,R1362/VLOOKUP(G1362,'Exchange Rates'!B:C,2,0),IF(R1362=".",".",""))</f>
        <v/>
      </c>
      <c r="T1362" s="1185" t="str">
        <f>IF(AD1362=1,IF(AF1362="Value is not given at all",".",IF(AF1362="Value is given by the source",S1362,IF(AF1362="Value is calculated with prices",(IF(SUMIFS(Q:Q,A:A,A1362)&gt;0,SUMIFS(Q:Q,A:A,A1362),"."))/VLOOKUP("USD",'Exchange Rates'!B:C,2,0),"Error with coding"))),"")</f>
        <v/>
      </c>
      <c r="U1362" s="1184" t="s">
        <v>365</v>
      </c>
      <c r="V1362" s="966" t="s">
        <v>3744</v>
      </c>
      <c r="W1362" s="1017" t="s">
        <v>3745</v>
      </c>
      <c r="X1362" s="980" t="s">
        <v>3746</v>
      </c>
      <c r="Y1362" s="981" t="s">
        <v>364</v>
      </c>
      <c r="Z1362" s="1184">
        <v>0</v>
      </c>
      <c r="AA1362" s="1194">
        <v>1</v>
      </c>
      <c r="AB1362" s="1000" t="s">
        <v>364</v>
      </c>
      <c r="AC1362" s="1192" t="str">
        <f>""</f>
        <v/>
      </c>
      <c r="AD1362" s="985">
        <v>0</v>
      </c>
      <c r="AE1362" s="985" t="s">
        <v>368</v>
      </c>
      <c r="AF1362" s="985" t="s">
        <v>369</v>
      </c>
      <c r="AG1362" s="985">
        <v>1</v>
      </c>
      <c r="AH1362" s="1193">
        <v>13</v>
      </c>
      <c r="AI1362" s="1193">
        <v>0</v>
      </c>
      <c r="AJ1362" s="1193">
        <f>VLOOKUP($I1362,'Price List, Weapons &amp; Items'!B:F,5,0)</f>
        <v>0</v>
      </c>
      <c r="AK1362" s="1193">
        <f t="shared" si="291"/>
        <v>0</v>
      </c>
      <c r="AL1362" s="1193">
        <f t="shared" si="292"/>
        <v>0</v>
      </c>
      <c r="AM1362" s="1193">
        <f t="shared" si="293"/>
        <v>0</v>
      </c>
      <c r="AN1362" s="1194" t="str">
        <f>VLOOKUP($I1362,'Price List, Weapons &amp; Items'!B:L,COLUMN('Price List, Weapons &amp; Items'!$J$11)-1,0)</f>
        <v>.</v>
      </c>
      <c r="AO1362" s="1194" t="str">
        <f>IF(I1362=".",".",VLOOKUP($I1362,'Price List, Weapons &amp; Items'!B:J,3,0))</f>
        <v>.</v>
      </c>
      <c r="AP1362" s="1195" t="str">
        <f t="shared" ca="1" si="287"/>
        <v/>
      </c>
      <c r="AQ1362" s="1194">
        <f>VLOOKUP($I1362,'Price List, Weapons &amp; Items'!B:L,COLUMN('Price List, Weapons &amp; Items'!$L$11)-1,0)</f>
        <v>0</v>
      </c>
      <c r="AR1362" s="1194">
        <f t="shared" si="294"/>
        <v>1</v>
      </c>
      <c r="AS1362" s="1194">
        <f t="shared" si="295"/>
        <v>0</v>
      </c>
      <c r="AT1362" s="1194">
        <f t="shared" si="296"/>
        <v>1</v>
      </c>
      <c r="AU1362" s="1194" t="str">
        <f t="shared" si="285"/>
        <v>.</v>
      </c>
      <c r="AV1362" s="1194" t="str">
        <f t="shared" si="288"/>
        <v>.</v>
      </c>
      <c r="AW1362" s="1194" t="str">
        <f t="shared" si="297"/>
        <v>.</v>
      </c>
      <c r="AX1362" s="1194">
        <f>IFERROR(VLOOKUP(B1362,'Share, Heavy Weapons to Ukraine'!B:Z,COLUMN('Share, Heavy Weapons to Ukraine'!C1374)-1,0),0)</f>
        <v>0</v>
      </c>
      <c r="AY1362" s="1194">
        <f>VLOOKUP('Bilateral Assistance, MAIN DATA'!B1362,'Country Summary (€)'!B:F,COLUMN('Country Summary (€)'!C1375)-1,FALSE)</f>
        <v>0</v>
      </c>
      <c r="AZ1362" s="1194" t="str">
        <f>IF(AND(AD1362=1,D1362="Military",H1362&lt;&gt;"Not given")=TRUE,IF(SUMIFS(P:P,A:A,A1362)&gt;0,ABS((SUMIFS(P:P,A:A,A1362)/VLOOKUP("USD",'Exchange Rates'!B:C,2,0)))/S1362,"."),".")</f>
        <v>.</v>
      </c>
      <c r="BA1362" s="1196" t="str">
        <f>IF(AND(AD1362=1,D1362="Military",H1362&lt;&gt;"Not given")=TRUE,IF(SUMIFS(P:P,A:A,A1362)&gt;0,IF((ABS((SUMIFS(P:P,A:A,A1362)/VLOOKUP("USD",'Exchange Rates'!B:C,2,0)))/S1362)&gt;1,(SUMIFS(P:P,A:A,A1362)-S1362)/S1362,(S1362-SUMIFS(P:P,A:A,A1362))/SUMIFS(P:P,A:A,A1362)),"."),".")</f>
        <v>.</v>
      </c>
    </row>
    <row r="1363" spans="1:53" ht="15.95" customHeight="1">
      <c r="A1363" s="1180" t="s">
        <v>3747</v>
      </c>
      <c r="B1363" s="1180" t="s">
        <v>3748</v>
      </c>
      <c r="C1363" s="1181">
        <v>44619</v>
      </c>
      <c r="D1363" s="1182" t="s">
        <v>360</v>
      </c>
      <c r="E1363" s="1182" t="s">
        <v>759</v>
      </c>
      <c r="F1363" s="1183" t="s">
        <v>3749</v>
      </c>
      <c r="G1363" s="1184" t="s">
        <v>3750</v>
      </c>
      <c r="H1363" s="1185">
        <v>40000000</v>
      </c>
      <c r="I1363" s="1180" t="s">
        <v>364</v>
      </c>
      <c r="J1363" s="1186" t="str">
        <f>VLOOKUP($I1363,'Price List, Weapons &amp; Items'!B:C,2,0)</f>
        <v>.</v>
      </c>
      <c r="K1363" s="1186" t="str">
        <f>IF(I1363=".",I1363,VLOOKUP($I1363,'Price List, Weapons &amp; Items'!B:D,3,0))</f>
        <v>.</v>
      </c>
      <c r="L1363" s="1187">
        <f>VLOOKUP(I1363,'Price List, Weapons &amp; Items'!B:E,4,0)</f>
        <v>0</v>
      </c>
      <c r="M1363" s="1188" t="s">
        <v>364</v>
      </c>
      <c r="N1363" s="1188" t="s">
        <v>364</v>
      </c>
      <c r="O1363" s="1188" t="str">
        <f>VLOOKUP($I1363,'Price List, Weapons &amp; Items'!B:G,6,0)</f>
        <v>.</v>
      </c>
      <c r="P1363" s="1185" t="str">
        <f t="shared" si="289"/>
        <v>.</v>
      </c>
      <c r="Q1363" s="1185" t="str">
        <f t="shared" si="290"/>
        <v>.</v>
      </c>
      <c r="R1363" s="1185">
        <f t="shared" si="286"/>
        <v>40000000</v>
      </c>
      <c r="S1363" s="1185">
        <f>IF(AND(AD1363=1,R1363&lt;&gt;".")=TRUE,R1363/VLOOKUP(G1363,'Exchange Rates'!B:C,2,0),IF(R1363=".",".",""))</f>
        <v>45955882.352941178</v>
      </c>
      <c r="T1363" s="1185" t="str">
        <f>IF(AD1363=1,IF(AF1363="Value is not given at all",".",IF(AF1363="Value is given by the source",S1363,IF(AF1363="Value is calculated with prices",(IF(SUMIFS(Q:Q,A:A,A1363)&gt;0,SUMIFS(Q:Q,A:A,A1363),"."))/VLOOKUP("USD",'Exchange Rates'!B:C,2,0),"Error with coding"))),"")</f>
        <v>.</v>
      </c>
      <c r="U1363" s="1184" t="s">
        <v>365</v>
      </c>
      <c r="V1363" s="971" t="s">
        <v>3751</v>
      </c>
      <c r="W1363" s="1190" t="s">
        <v>364</v>
      </c>
      <c r="X1363" s="1190" t="s">
        <v>364</v>
      </c>
      <c r="Y1363" s="1190" t="s">
        <v>364</v>
      </c>
      <c r="Z1363" s="1184">
        <v>0</v>
      </c>
      <c r="AA1363" s="1194">
        <v>0</v>
      </c>
      <c r="AB1363" s="1201" t="s">
        <v>364</v>
      </c>
      <c r="AC1363" s="1192" t="str">
        <f>""</f>
        <v/>
      </c>
      <c r="AD1363" s="1193">
        <v>1</v>
      </c>
      <c r="AE1363" s="1193" t="s">
        <v>368</v>
      </c>
      <c r="AF1363" s="1193" t="s">
        <v>369</v>
      </c>
      <c r="AG1363" s="1193">
        <v>1</v>
      </c>
      <c r="AH1363" s="1193">
        <v>2</v>
      </c>
      <c r="AI1363" s="1193">
        <v>0</v>
      </c>
      <c r="AJ1363" s="1193">
        <f>VLOOKUP($I1363,'Price List, Weapons &amp; Items'!B:F,5,0)</f>
        <v>0</v>
      </c>
      <c r="AK1363" s="1193">
        <f t="shared" si="291"/>
        <v>0</v>
      </c>
      <c r="AL1363" s="1193">
        <f t="shared" si="292"/>
        <v>0</v>
      </c>
      <c r="AM1363" s="1193">
        <f t="shared" si="293"/>
        <v>0</v>
      </c>
      <c r="AN1363" s="1194" t="str">
        <f>VLOOKUP($I1363,'Price List, Weapons &amp; Items'!B:L,COLUMN('Price List, Weapons &amp; Items'!$J$11)-1,0)</f>
        <v>.</v>
      </c>
      <c r="AO1363" s="1194" t="str">
        <f>IF(I1363=".",".",VLOOKUP($I1363,'Price List, Weapons &amp; Items'!B:J,3,0))</f>
        <v>.</v>
      </c>
      <c r="AP1363" s="1195" t="str">
        <f t="shared" ca="1" si="287"/>
        <v>.</v>
      </c>
      <c r="AQ1363" s="1194">
        <f>VLOOKUP($I1363,'Price List, Weapons &amp; Items'!B:L,COLUMN('Price List, Weapons &amp; Items'!$L$11)-1,0)</f>
        <v>0</v>
      </c>
      <c r="AR1363" s="1194">
        <f t="shared" si="294"/>
        <v>1</v>
      </c>
      <c r="AS1363" s="1194">
        <f t="shared" si="295"/>
        <v>0</v>
      </c>
      <c r="AT1363" s="1194">
        <f t="shared" si="296"/>
        <v>1</v>
      </c>
      <c r="AU1363" s="1194" t="str">
        <f t="shared" si="285"/>
        <v>.</v>
      </c>
      <c r="AV1363" s="1194" t="str">
        <f t="shared" si="288"/>
        <v>.</v>
      </c>
      <c r="AW1363" s="1194" t="str">
        <f t="shared" si="297"/>
        <v>.</v>
      </c>
      <c r="AX1363" s="1194">
        <f>IFERROR(VLOOKUP(B1363,'Share, Heavy Weapons to Ukraine'!B:Z,COLUMN('Share, Heavy Weapons to Ukraine'!C1375)-1,0),0)</f>
        <v>1</v>
      </c>
      <c r="AY1363" s="1194">
        <f>VLOOKUP('Bilateral Assistance, MAIN DATA'!B1363,'Country Summary (€)'!B:F,COLUMN('Country Summary (€)'!C1376)-1,FALSE)</f>
        <v>0</v>
      </c>
      <c r="AZ1363" s="1194" t="str">
        <f>IF(AND(AD1363=1,D1363="Military",H1363&lt;&gt;"Not given")=TRUE,IF(SUMIFS(P:P,A:A,A1363)&gt;0,ABS((SUMIFS(P:P,A:A,A1363)/VLOOKUP("USD",'Exchange Rates'!B:C,2,0)))/S1363,"."),".")</f>
        <v>.</v>
      </c>
      <c r="BA1363" s="1196" t="str">
        <f>IF(AND(AD1363=1,D1363="Military",H1363&lt;&gt;"Not given")=TRUE,IF(SUMIFS(P:P,A:A,A1363)&gt;0,IF((ABS((SUMIFS(P:P,A:A,A1363)/VLOOKUP("USD",'Exchange Rates'!B:C,2,0)))/S1363)&gt;1,(SUMIFS(P:P,A:A,A1363)-S1363)/S1363,(S1363-SUMIFS(P:P,A:A,A1363))/SUMIFS(P:P,A:A,A1363)),"."),".")</f>
        <v>.</v>
      </c>
    </row>
    <row r="1364" spans="1:53" ht="15.95" customHeight="1">
      <c r="A1364" s="1180" t="s">
        <v>3752</v>
      </c>
      <c r="B1364" s="1180" t="s">
        <v>3748</v>
      </c>
      <c r="C1364" s="1181">
        <v>44621</v>
      </c>
      <c r="D1364" s="1182" t="s">
        <v>360</v>
      </c>
      <c r="E1364" s="1182" t="s">
        <v>759</v>
      </c>
      <c r="F1364" s="1183" t="s">
        <v>3753</v>
      </c>
      <c r="G1364" s="1184" t="s">
        <v>3750</v>
      </c>
      <c r="H1364" s="1185">
        <v>40000000</v>
      </c>
      <c r="I1364" s="1180" t="s">
        <v>364</v>
      </c>
      <c r="J1364" s="1186" t="str">
        <f>VLOOKUP($I1364,'Price List, Weapons &amp; Items'!B:C,2,0)</f>
        <v>.</v>
      </c>
      <c r="K1364" s="1186" t="str">
        <f>IF(I1364=".",I1364,VLOOKUP($I1364,'Price List, Weapons &amp; Items'!B:D,3,0))</f>
        <v>.</v>
      </c>
      <c r="L1364" s="1187">
        <f>VLOOKUP(I1364,'Price List, Weapons &amp; Items'!B:E,4,0)</f>
        <v>0</v>
      </c>
      <c r="M1364" s="1188" t="s">
        <v>364</v>
      </c>
      <c r="N1364" s="1188" t="s">
        <v>364</v>
      </c>
      <c r="O1364" s="1188" t="str">
        <f>VLOOKUP($I1364,'Price List, Weapons &amp; Items'!B:G,6,0)</f>
        <v>.</v>
      </c>
      <c r="P1364" s="1185" t="str">
        <f t="shared" si="289"/>
        <v>.</v>
      </c>
      <c r="Q1364" s="1185" t="str">
        <f t="shared" si="290"/>
        <v>.</v>
      </c>
      <c r="R1364" s="1185">
        <f t="shared" si="286"/>
        <v>40000000</v>
      </c>
      <c r="S1364" s="1185">
        <f>IF(AND(AD1364=1,R1364&lt;&gt;".")=TRUE,R1364/VLOOKUP(G1364,'Exchange Rates'!B:C,2,0),IF(R1364=".",".",""))</f>
        <v>45955882.352941178</v>
      </c>
      <c r="T1364" s="1185" t="str">
        <f>IF(AD1364=1,IF(AF1364="Value is not given at all",".",IF(AF1364="Value is given by the source",S1364,IF(AF1364="Value is calculated with prices",(IF(SUMIFS(Q:Q,A:A,A1364)&gt;0,SUMIFS(Q:Q,A:A,A1364),"."))/VLOOKUP("USD",'Exchange Rates'!B:C,2,0),"Error with coding"))),"")</f>
        <v>.</v>
      </c>
      <c r="U1364" s="1184" t="s">
        <v>365</v>
      </c>
      <c r="V1364" s="971" t="s">
        <v>3754</v>
      </c>
      <c r="W1364" s="971" t="s">
        <v>3755</v>
      </c>
      <c r="X1364" s="971" t="s">
        <v>3756</v>
      </c>
      <c r="Y1364" s="1190" t="s">
        <v>364</v>
      </c>
      <c r="Z1364" s="1184">
        <v>0</v>
      </c>
      <c r="AA1364" s="1194">
        <v>0</v>
      </c>
      <c r="AB1364" s="1201" t="s">
        <v>364</v>
      </c>
      <c r="AC1364" s="1192" t="str">
        <f>""</f>
        <v/>
      </c>
      <c r="AD1364" s="1193">
        <v>1</v>
      </c>
      <c r="AE1364" s="1193" t="s">
        <v>368</v>
      </c>
      <c r="AF1364" s="1193" t="s">
        <v>369</v>
      </c>
      <c r="AG1364" s="1193">
        <v>1</v>
      </c>
      <c r="AH1364" s="1193">
        <v>3</v>
      </c>
      <c r="AI1364" s="1193">
        <v>0</v>
      </c>
      <c r="AJ1364" s="1193">
        <f>VLOOKUP($I1364,'Price List, Weapons &amp; Items'!B:F,5,0)</f>
        <v>0</v>
      </c>
      <c r="AK1364" s="1193">
        <f t="shared" si="291"/>
        <v>0</v>
      </c>
      <c r="AL1364" s="1193">
        <f t="shared" si="292"/>
        <v>0</v>
      </c>
      <c r="AM1364" s="1193">
        <f t="shared" si="293"/>
        <v>0</v>
      </c>
      <c r="AN1364" s="1194" t="str">
        <f>VLOOKUP($I1364,'Price List, Weapons &amp; Items'!B:L,COLUMN('Price List, Weapons &amp; Items'!$J$11)-1,0)</f>
        <v>.</v>
      </c>
      <c r="AO1364" s="1194" t="str">
        <f>IF(I1364=".",".",VLOOKUP($I1364,'Price List, Weapons &amp; Items'!B:J,3,0))</f>
        <v>.</v>
      </c>
      <c r="AP1364" s="1195" t="str">
        <f t="shared" ca="1" si="287"/>
        <v>.</v>
      </c>
      <c r="AQ1364" s="1194">
        <f>VLOOKUP($I1364,'Price List, Weapons &amp; Items'!B:L,COLUMN('Price List, Weapons &amp; Items'!$L$11)-1,0)</f>
        <v>0</v>
      </c>
      <c r="AR1364" s="1194">
        <f t="shared" si="294"/>
        <v>1</v>
      </c>
      <c r="AS1364" s="1194">
        <f t="shared" si="295"/>
        <v>0</v>
      </c>
      <c r="AT1364" s="1194">
        <f t="shared" si="296"/>
        <v>1</v>
      </c>
      <c r="AU1364" s="1194" t="str">
        <f t="shared" si="285"/>
        <v>.</v>
      </c>
      <c r="AV1364" s="1194" t="str">
        <f t="shared" si="288"/>
        <v>.</v>
      </c>
      <c r="AW1364" s="1194" t="str">
        <f t="shared" si="297"/>
        <v>.</v>
      </c>
      <c r="AX1364" s="1194">
        <f>IFERROR(VLOOKUP(B1364,'Share, Heavy Weapons to Ukraine'!B:Z,COLUMN('Share, Heavy Weapons to Ukraine'!C1376)-1,0),0)</f>
        <v>1</v>
      </c>
      <c r="AY1364" s="1194">
        <f>VLOOKUP('Bilateral Assistance, MAIN DATA'!B1364,'Country Summary (€)'!B:F,COLUMN('Country Summary (€)'!C1377)-1,FALSE)</f>
        <v>0</v>
      </c>
      <c r="AZ1364" s="1194" t="str">
        <f>IF(AND(AD1364=1,D1364="Military",H1364&lt;&gt;"Not given")=TRUE,IF(SUMIFS(P:P,A:A,A1364)&gt;0,ABS((SUMIFS(P:P,A:A,A1364)/VLOOKUP("USD",'Exchange Rates'!B:C,2,0)))/S1364,"."),".")</f>
        <v>.</v>
      </c>
      <c r="BA1364" s="1196" t="str">
        <f>IF(AND(AD1364=1,D1364="Military",H1364&lt;&gt;"Not given")=TRUE,IF(SUMIFS(P:P,A:A,A1364)&gt;0,IF((ABS((SUMIFS(P:P,A:A,A1364)/VLOOKUP("USD",'Exchange Rates'!B:C,2,0)))/S1364)&gt;1,(SUMIFS(P:P,A:A,A1364)-S1364)/S1364,(S1364-SUMIFS(P:P,A:A,A1364))/SUMIFS(P:P,A:A,A1364)),"."),".")</f>
        <v>.</v>
      </c>
    </row>
    <row r="1365" spans="1:53" ht="15.95" customHeight="1">
      <c r="A1365" s="1180" t="s">
        <v>3757</v>
      </c>
      <c r="B1365" s="1180" t="s">
        <v>3748</v>
      </c>
      <c r="C1365" s="1181">
        <v>44627</v>
      </c>
      <c r="D1365" s="1182" t="s">
        <v>360</v>
      </c>
      <c r="E1365" s="1182" t="s">
        <v>759</v>
      </c>
      <c r="F1365" s="1183" t="s">
        <v>3758</v>
      </c>
      <c r="G1365" s="1184" t="s">
        <v>3750</v>
      </c>
      <c r="H1365" s="1185">
        <v>100000000</v>
      </c>
      <c r="I1365" s="1180" t="s">
        <v>364</v>
      </c>
      <c r="J1365" s="1186" t="str">
        <f>VLOOKUP($I1365,'Price List, Weapons &amp; Items'!B:C,2,0)</f>
        <v>.</v>
      </c>
      <c r="K1365" s="1186" t="str">
        <f>IF(I1365=".",I1365,VLOOKUP($I1365,'Price List, Weapons &amp; Items'!B:D,3,0))</f>
        <v>.</v>
      </c>
      <c r="L1365" s="1187">
        <f>VLOOKUP(I1365,'Price List, Weapons &amp; Items'!B:E,4,0)</f>
        <v>0</v>
      </c>
      <c r="M1365" s="1188" t="s">
        <v>364</v>
      </c>
      <c r="N1365" s="1188" t="s">
        <v>364</v>
      </c>
      <c r="O1365" s="1188" t="str">
        <f>VLOOKUP($I1365,'Price List, Weapons &amp; Items'!B:G,6,0)</f>
        <v>.</v>
      </c>
      <c r="P1365" s="1185" t="str">
        <f t="shared" si="289"/>
        <v>.</v>
      </c>
      <c r="Q1365" s="1185" t="str">
        <f t="shared" si="290"/>
        <v>.</v>
      </c>
      <c r="R1365" s="1185">
        <f t="shared" si="286"/>
        <v>100000000</v>
      </c>
      <c r="S1365" s="1185">
        <f>IF(AND(AD1365=1,R1365&lt;&gt;".")=TRUE,R1365/VLOOKUP(G1365,'Exchange Rates'!B:C,2,0),IF(R1365=".",".",""))</f>
        <v>114889705.88235295</v>
      </c>
      <c r="T1365" s="1185" t="str">
        <f>IF(AD1365=1,IF(AF1365="Value is not given at all",".",IF(AF1365="Value is given by the source",S1365,IF(AF1365="Value is calculated with prices",(IF(SUMIFS(Q:Q,A:A,A1365)&gt;0,SUMIFS(Q:Q,A:A,A1365),"."))/VLOOKUP("USD",'Exchange Rates'!B:C,2,0),"Error with coding"))),"")</f>
        <v>.</v>
      </c>
      <c r="U1365" s="1184" t="s">
        <v>365</v>
      </c>
      <c r="V1365" s="973" t="s">
        <v>3759</v>
      </c>
      <c r="W1365" s="1190" t="s">
        <v>364</v>
      </c>
      <c r="X1365" s="1190" t="s">
        <v>364</v>
      </c>
      <c r="Y1365" s="1190" t="s">
        <v>364</v>
      </c>
      <c r="Z1365" s="1184">
        <v>0</v>
      </c>
      <c r="AA1365" s="1194">
        <v>0</v>
      </c>
      <c r="AB1365" s="1201" t="s">
        <v>364</v>
      </c>
      <c r="AC1365" s="1192" t="str">
        <f>""</f>
        <v/>
      </c>
      <c r="AD1365" s="1193">
        <v>1</v>
      </c>
      <c r="AE1365" s="1193" t="s">
        <v>368</v>
      </c>
      <c r="AF1365" s="1193" t="s">
        <v>369</v>
      </c>
      <c r="AG1365" s="1193">
        <v>1</v>
      </c>
      <c r="AH1365" s="1193">
        <v>3</v>
      </c>
      <c r="AI1365" s="1193">
        <v>0</v>
      </c>
      <c r="AJ1365" s="1193">
        <f>VLOOKUP($I1365,'Price List, Weapons &amp; Items'!B:F,5,0)</f>
        <v>0</v>
      </c>
      <c r="AK1365" s="1193">
        <f t="shared" si="291"/>
        <v>0</v>
      </c>
      <c r="AL1365" s="1193">
        <f t="shared" si="292"/>
        <v>0</v>
      </c>
      <c r="AM1365" s="1193">
        <f t="shared" si="293"/>
        <v>0</v>
      </c>
      <c r="AN1365" s="1194" t="str">
        <f>VLOOKUP($I1365,'Price List, Weapons &amp; Items'!B:L,COLUMN('Price List, Weapons &amp; Items'!$J$11)-1,0)</f>
        <v>.</v>
      </c>
      <c r="AO1365" s="1194" t="str">
        <f>IF(I1365=".",".",VLOOKUP($I1365,'Price List, Weapons &amp; Items'!B:J,3,0))</f>
        <v>.</v>
      </c>
      <c r="AP1365" s="1195" t="str">
        <f t="shared" ca="1" si="287"/>
        <v>.</v>
      </c>
      <c r="AQ1365" s="1194">
        <f>VLOOKUP($I1365,'Price List, Weapons &amp; Items'!B:L,COLUMN('Price List, Weapons &amp; Items'!$L$11)-1,0)</f>
        <v>0</v>
      </c>
      <c r="AR1365" s="1194">
        <f t="shared" si="294"/>
        <v>1</v>
      </c>
      <c r="AS1365" s="1194">
        <f t="shared" si="295"/>
        <v>0</v>
      </c>
      <c r="AT1365" s="1194">
        <f t="shared" si="296"/>
        <v>1</v>
      </c>
      <c r="AU1365" s="1194" t="str">
        <f t="shared" si="285"/>
        <v>.</v>
      </c>
      <c r="AV1365" s="1194" t="str">
        <f t="shared" si="288"/>
        <v>.</v>
      </c>
      <c r="AW1365" s="1194" t="str">
        <f t="shared" si="297"/>
        <v>.</v>
      </c>
      <c r="AX1365" s="1194">
        <f>IFERROR(VLOOKUP(B1365,'Share, Heavy Weapons to Ukraine'!B:Z,COLUMN('Share, Heavy Weapons to Ukraine'!C1377)-1,0),0)</f>
        <v>1</v>
      </c>
      <c r="AY1365" s="1194">
        <f>VLOOKUP('Bilateral Assistance, MAIN DATA'!B1365,'Country Summary (€)'!B:F,COLUMN('Country Summary (€)'!C1378)-1,FALSE)</f>
        <v>0</v>
      </c>
      <c r="AZ1365" s="1194" t="str">
        <f>IF(AND(AD1365=1,D1365="Military",H1365&lt;&gt;"Not given")=TRUE,IF(SUMIFS(P:P,A:A,A1365)&gt;0,ABS((SUMIFS(P:P,A:A,A1365)/VLOOKUP("USD",'Exchange Rates'!B:C,2,0)))/S1365,"."),".")</f>
        <v>.</v>
      </c>
      <c r="BA1365" s="1196" t="str">
        <f>IF(AND(AD1365=1,D1365="Military",H1365&lt;&gt;"Not given")=TRUE,IF(SUMIFS(P:P,A:A,A1365)&gt;0,IF((ABS((SUMIFS(P:P,A:A,A1365)/VLOOKUP("USD",'Exchange Rates'!B:C,2,0)))/S1365)&gt;1,(SUMIFS(P:P,A:A,A1365)-S1365)/S1365,(S1365-SUMIFS(P:P,A:A,A1365))/SUMIFS(P:P,A:A,A1365)),"."),".")</f>
        <v>.</v>
      </c>
    </row>
    <row r="1366" spans="1:53" ht="15.95" customHeight="1">
      <c r="A1366" s="1180" t="s">
        <v>3760</v>
      </c>
      <c r="B1366" s="1180" t="s">
        <v>3748</v>
      </c>
      <c r="C1366" s="1181">
        <v>44634</v>
      </c>
      <c r="D1366" s="1182" t="s">
        <v>360</v>
      </c>
      <c r="E1366" s="1182" t="s">
        <v>371</v>
      </c>
      <c r="F1366" s="1183" t="s">
        <v>3761</v>
      </c>
      <c r="G1366" s="1184" t="s">
        <v>3750</v>
      </c>
      <c r="H1366" s="1185">
        <v>7000000</v>
      </c>
      <c r="I1366" s="1180" t="s">
        <v>989</v>
      </c>
      <c r="J1366" s="1186" t="str">
        <f>VLOOKUP($I1366,'Price List, Weapons &amp; Items'!B:C,2,0)</f>
        <v>Humanitarian</v>
      </c>
      <c r="K1366" s="1186" t="str">
        <f>IF(I1366=".",I1366,VLOOKUP($I1366,'Price List, Weapons &amp; Items'!B:D,3,0))</f>
        <v>Humanitarian</v>
      </c>
      <c r="L1366" s="1187">
        <f>VLOOKUP(I1366,'Price List, Weapons &amp; Items'!B:E,4,0)</f>
        <v>0</v>
      </c>
      <c r="M1366" s="1188">
        <f>569 +287</f>
        <v>856</v>
      </c>
      <c r="N1366" s="1188" t="s">
        <v>374</v>
      </c>
      <c r="O1366" s="1188" t="str">
        <f>VLOOKUP($I1366,'Price List, Weapons &amp; Items'!B:G,6,0)</f>
        <v>.</v>
      </c>
      <c r="P1366" s="1185" t="str">
        <f t="shared" si="289"/>
        <v>No price</v>
      </c>
      <c r="Q1366" s="1185" t="str">
        <f t="shared" si="290"/>
        <v>.</v>
      </c>
      <c r="R1366" s="1185">
        <f t="shared" si="286"/>
        <v>7000000</v>
      </c>
      <c r="S1366" s="1185">
        <f>IF(AND(AD1366=1,R1366&lt;&gt;".")=TRUE,R1366/VLOOKUP(G1366,'Exchange Rates'!B:C,2,0),IF(R1366=".",".",""))</f>
        <v>8042279.4117647065</v>
      </c>
      <c r="T1366" s="1185" t="str">
        <f>IF(AD1366=1,IF(AF1366="Value is not given at all",".",IF(AF1366="Value is given by the source",S1366,IF(AF1366="Value is calculated with prices",(IF(SUMIFS(Q:Q,A:A,A1366)&gt;0,SUMIFS(Q:Q,A:A,A1366),"."))/VLOOKUP("USD",'Exchange Rates'!B:C,2,0),"Error with coding"))),"")</f>
        <v>.</v>
      </c>
      <c r="U1366" s="1184" t="s">
        <v>365</v>
      </c>
      <c r="V1366" s="971" t="s">
        <v>3762</v>
      </c>
      <c r="W1366" s="972" t="s">
        <v>3763</v>
      </c>
      <c r="X1366" s="972" t="s">
        <v>3764</v>
      </c>
      <c r="Y1366" s="1190" t="s">
        <v>364</v>
      </c>
      <c r="Z1366" s="1184">
        <v>0</v>
      </c>
      <c r="AA1366" s="1194">
        <v>0</v>
      </c>
      <c r="AB1366" s="1201" t="s">
        <v>364</v>
      </c>
      <c r="AC1366" s="1192" t="str">
        <f>""</f>
        <v/>
      </c>
      <c r="AD1366" s="1193">
        <v>1</v>
      </c>
      <c r="AE1366" s="1193" t="s">
        <v>368</v>
      </c>
      <c r="AF1366" s="1193" t="s">
        <v>369</v>
      </c>
      <c r="AG1366" s="1193">
        <v>1</v>
      </c>
      <c r="AH1366" s="1193">
        <v>3</v>
      </c>
      <c r="AI1366" s="1193">
        <v>0</v>
      </c>
      <c r="AJ1366" s="1193">
        <f>VLOOKUP($I1366,'Price List, Weapons &amp; Items'!B:F,5,0)</f>
        <v>0</v>
      </c>
      <c r="AK1366" s="1193">
        <f t="shared" si="291"/>
        <v>0</v>
      </c>
      <c r="AL1366" s="1193">
        <f t="shared" si="292"/>
        <v>0</v>
      </c>
      <c r="AM1366" s="1193">
        <f t="shared" si="293"/>
        <v>0</v>
      </c>
      <c r="AN1366" s="1194" t="str">
        <f>VLOOKUP($I1366,'Price List, Weapons &amp; Items'!B:L,COLUMN('Price List, Weapons &amp; Items'!$J$11)-1,0)</f>
        <v>Media reports (incl. social media)</v>
      </c>
      <c r="AO1366" s="1194" t="str">
        <f>IF(I1366=".",".",VLOOKUP($I1366,'Price List, Weapons &amp; Items'!B:J,3,0))</f>
        <v>Humanitarian</v>
      </c>
      <c r="AP1366" s="1195" t="str">
        <f t="shared" ca="1" si="287"/>
        <v>Power generator</v>
      </c>
      <c r="AQ1366" s="1194">
        <f>VLOOKUP($I1366,'Price List, Weapons &amp; Items'!B:L,COLUMN('Price List, Weapons &amp; Items'!$L$11)-1,0)</f>
        <v>0</v>
      </c>
      <c r="AR1366" s="1194">
        <f t="shared" si="294"/>
        <v>1</v>
      </c>
      <c r="AS1366" s="1194">
        <f t="shared" si="295"/>
        <v>0</v>
      </c>
      <c r="AT1366" s="1194">
        <f t="shared" si="296"/>
        <v>1</v>
      </c>
      <c r="AU1366" s="1194" t="str">
        <f t="shared" si="285"/>
        <v>.</v>
      </c>
      <c r="AV1366" s="1194" t="str">
        <f t="shared" si="288"/>
        <v>.</v>
      </c>
      <c r="AW1366" s="1194" t="str">
        <f t="shared" si="297"/>
        <v>.</v>
      </c>
      <c r="AX1366" s="1194">
        <f>IFERROR(VLOOKUP(B1366,'Share, Heavy Weapons to Ukraine'!B:Z,COLUMN('Share, Heavy Weapons to Ukraine'!C1378)-1,0),0)</f>
        <v>1</v>
      </c>
      <c r="AY1366" s="1194">
        <f>VLOOKUP('Bilateral Assistance, MAIN DATA'!B1366,'Country Summary (€)'!B:F,COLUMN('Country Summary (€)'!C1379)-1,FALSE)</f>
        <v>0</v>
      </c>
      <c r="AZ1366" s="1194" t="str">
        <f>IF(AND(AD1366=1,D1366="Military",H1366&lt;&gt;"Not given")=TRUE,IF(SUMIFS(P:P,A:A,A1366)&gt;0,ABS((SUMIFS(P:P,A:A,A1366)/VLOOKUP("USD",'Exchange Rates'!B:C,2,0)))/S1366,"."),".")</f>
        <v>.</v>
      </c>
      <c r="BA1366" s="1196" t="str">
        <f>IF(AND(AD1366=1,D1366="Military",H1366&lt;&gt;"Not given")=TRUE,IF(SUMIFS(P:P,A:A,A1366)&gt;0,IF((ABS((SUMIFS(P:P,A:A,A1366)/VLOOKUP("USD",'Exchange Rates'!B:C,2,0)))/S1366)&gt;1,(SUMIFS(P:P,A:A,A1366)-S1366)/S1366,(S1366-SUMIFS(P:P,A:A,A1366))/SUMIFS(P:P,A:A,A1366)),"."),".")</f>
        <v>.</v>
      </c>
    </row>
    <row r="1367" spans="1:53" ht="15.95" customHeight="1">
      <c r="A1367" s="1180" t="s">
        <v>3765</v>
      </c>
      <c r="B1367" s="1180" t="s">
        <v>3748</v>
      </c>
      <c r="C1367" s="1181">
        <v>44656</v>
      </c>
      <c r="D1367" s="1182" t="s">
        <v>360</v>
      </c>
      <c r="E1367" s="1182" t="s">
        <v>361</v>
      </c>
      <c r="F1367" s="1183" t="s">
        <v>3766</v>
      </c>
      <c r="G1367" s="1184" t="s">
        <v>3750</v>
      </c>
      <c r="H1367" s="1185">
        <v>10000000</v>
      </c>
      <c r="I1367" s="1180" t="s">
        <v>364</v>
      </c>
      <c r="J1367" s="1186" t="str">
        <f>VLOOKUP($I1367,'Price List, Weapons &amp; Items'!B:C,2,0)</f>
        <v>.</v>
      </c>
      <c r="K1367" s="1186" t="str">
        <f>IF(I1367=".",I1367,VLOOKUP($I1367,'Price List, Weapons &amp; Items'!B:D,3,0))</f>
        <v>.</v>
      </c>
      <c r="L1367" s="1187">
        <f>VLOOKUP(I1367,'Price List, Weapons &amp; Items'!B:E,4,0)</f>
        <v>0</v>
      </c>
      <c r="M1367" s="1188" t="s">
        <v>364</v>
      </c>
      <c r="N1367" s="1188" t="s">
        <v>364</v>
      </c>
      <c r="O1367" s="1188" t="str">
        <f>VLOOKUP($I1367,'Price List, Weapons &amp; Items'!B:G,6,0)</f>
        <v>.</v>
      </c>
      <c r="P1367" s="1185" t="str">
        <f t="shared" si="289"/>
        <v>.</v>
      </c>
      <c r="Q1367" s="1185" t="str">
        <f t="shared" si="290"/>
        <v>.</v>
      </c>
      <c r="R1367" s="1185">
        <f t="shared" si="286"/>
        <v>10000000</v>
      </c>
      <c r="S1367" s="1185">
        <f>IF(AND(AD1367=1,R1367&lt;&gt;".")=TRUE,R1367/VLOOKUP(G1367,'Exchange Rates'!B:C,2,0),IF(R1367=".",".",""))</f>
        <v>11488970.588235294</v>
      </c>
      <c r="T1367" s="1185" t="str">
        <f>IF(AD1367=1,IF(AF1367="Value is not given at all",".",IF(AF1367="Value is given by the source",S1367,IF(AF1367="Value is calculated with prices",(IF(SUMIFS(Q:Q,A:A,A1367)&gt;0,SUMIFS(Q:Q,A:A,A1367),"."))/VLOOKUP("USD",'Exchange Rates'!B:C,2,0),"Error with coding"))),"")</f>
        <v>.</v>
      </c>
      <c r="U1367" s="1184" t="s">
        <v>365</v>
      </c>
      <c r="V1367" s="971" t="s">
        <v>3767</v>
      </c>
      <c r="W1367" s="971" t="s">
        <v>3768</v>
      </c>
      <c r="X1367" s="1190" t="s">
        <v>364</v>
      </c>
      <c r="Y1367" s="1190" t="s">
        <v>364</v>
      </c>
      <c r="Z1367" s="1184">
        <v>0</v>
      </c>
      <c r="AA1367" s="1194">
        <v>0</v>
      </c>
      <c r="AB1367" s="1201" t="s">
        <v>364</v>
      </c>
      <c r="AC1367" s="1192" t="str">
        <f>""</f>
        <v/>
      </c>
      <c r="AD1367" s="1193">
        <v>1</v>
      </c>
      <c r="AE1367" s="1193" t="s">
        <v>368</v>
      </c>
      <c r="AF1367" s="1193" t="s">
        <v>369</v>
      </c>
      <c r="AG1367" s="1193">
        <v>1</v>
      </c>
      <c r="AH1367" s="1193">
        <v>4</v>
      </c>
      <c r="AI1367" s="1193">
        <v>0</v>
      </c>
      <c r="AJ1367" s="1193">
        <f>VLOOKUP($I1367,'Price List, Weapons &amp; Items'!B:F,5,0)</f>
        <v>0</v>
      </c>
      <c r="AK1367" s="1193">
        <f t="shared" si="291"/>
        <v>0</v>
      </c>
      <c r="AL1367" s="1193">
        <f t="shared" si="292"/>
        <v>0</v>
      </c>
      <c r="AM1367" s="1193">
        <f t="shared" si="293"/>
        <v>0</v>
      </c>
      <c r="AN1367" s="1194" t="str">
        <f>VLOOKUP($I1367,'Price List, Weapons &amp; Items'!B:L,COLUMN('Price List, Weapons &amp; Items'!$J$11)-1,0)</f>
        <v>.</v>
      </c>
      <c r="AO1367" s="1194" t="str">
        <f>IF(I1367=".",".",VLOOKUP($I1367,'Price List, Weapons &amp; Items'!B:J,3,0))</f>
        <v>.</v>
      </c>
      <c r="AP1367" s="1195" t="str">
        <f t="shared" ca="1" si="287"/>
        <v>.</v>
      </c>
      <c r="AQ1367" s="1194">
        <f>VLOOKUP($I1367,'Price List, Weapons &amp; Items'!B:L,COLUMN('Price List, Weapons &amp; Items'!$L$11)-1,0)</f>
        <v>0</v>
      </c>
      <c r="AR1367" s="1194">
        <f t="shared" si="294"/>
        <v>1</v>
      </c>
      <c r="AS1367" s="1194">
        <f t="shared" si="295"/>
        <v>0</v>
      </c>
      <c r="AT1367" s="1194">
        <f t="shared" si="296"/>
        <v>1</v>
      </c>
      <c r="AU1367" s="1194" t="str">
        <f t="shared" si="285"/>
        <v>.</v>
      </c>
      <c r="AV1367" s="1194" t="str">
        <f t="shared" si="288"/>
        <v>.</v>
      </c>
      <c r="AW1367" s="1194" t="str">
        <f t="shared" si="297"/>
        <v>.</v>
      </c>
      <c r="AX1367" s="1194">
        <f>IFERROR(VLOOKUP(B1367,'Share, Heavy Weapons to Ukraine'!B:Z,COLUMN('Share, Heavy Weapons to Ukraine'!C1379)-1,0),0)</f>
        <v>1</v>
      </c>
      <c r="AY1367" s="1194">
        <f>VLOOKUP('Bilateral Assistance, MAIN DATA'!B1367,'Country Summary (€)'!B:F,COLUMN('Country Summary (€)'!C1380)-1,FALSE)</f>
        <v>0</v>
      </c>
      <c r="AZ1367" s="1194" t="str">
        <f>IF(AND(AD1367=1,D1367="Military",H1367&lt;&gt;"Not given")=TRUE,IF(SUMIFS(P:P,A:A,A1367)&gt;0,ABS((SUMIFS(P:P,A:A,A1367)/VLOOKUP("USD",'Exchange Rates'!B:C,2,0)))/S1367,"."),".")</f>
        <v>.</v>
      </c>
      <c r="BA1367" s="1196" t="str">
        <f>IF(AND(AD1367=1,D1367="Military",H1367&lt;&gt;"Not given")=TRUE,IF(SUMIFS(P:P,A:A,A1367)&gt;0,IF((ABS((SUMIFS(P:P,A:A,A1367)/VLOOKUP("USD",'Exchange Rates'!B:C,2,0)))/S1367)&gt;1,(SUMIFS(P:P,A:A,A1367)-S1367)/S1367,(S1367-SUMIFS(P:P,A:A,A1367))/SUMIFS(P:P,A:A,A1367)),"."),".")</f>
        <v>.</v>
      </c>
    </row>
    <row r="1368" spans="1:53" ht="15.95" customHeight="1">
      <c r="A1368" s="1180" t="s">
        <v>3769</v>
      </c>
      <c r="B1368" s="1180" t="s">
        <v>3748</v>
      </c>
      <c r="C1368" s="1181">
        <v>44738</v>
      </c>
      <c r="D1368" s="1182" t="s">
        <v>360</v>
      </c>
      <c r="E1368" s="1182" t="s">
        <v>361</v>
      </c>
      <c r="F1368" s="1183" t="s">
        <v>3770</v>
      </c>
      <c r="G1368" s="1184" t="s">
        <v>3750</v>
      </c>
      <c r="H1368" s="1185">
        <v>10000000</v>
      </c>
      <c r="I1368" s="1180" t="s">
        <v>364</v>
      </c>
      <c r="J1368" s="1186" t="str">
        <f>VLOOKUP($I1368,'Price List, Weapons &amp; Items'!B:C,2,0)</f>
        <v>.</v>
      </c>
      <c r="K1368" s="1186" t="str">
        <f>IF(I1368=".",I1368,VLOOKUP($I1368,'Price List, Weapons &amp; Items'!B:D,3,0))</f>
        <v>.</v>
      </c>
      <c r="L1368" s="1187">
        <f>VLOOKUP(I1368,'Price List, Weapons &amp; Items'!B:E,4,0)</f>
        <v>0</v>
      </c>
      <c r="M1368" s="1188" t="s">
        <v>364</v>
      </c>
      <c r="N1368" s="1188" t="s">
        <v>364</v>
      </c>
      <c r="O1368" s="1188" t="str">
        <f>VLOOKUP($I1368,'Price List, Weapons &amp; Items'!B:G,6,0)</f>
        <v>.</v>
      </c>
      <c r="P1368" s="1185" t="str">
        <f t="shared" si="289"/>
        <v>.</v>
      </c>
      <c r="Q1368" s="1185" t="str">
        <f t="shared" si="290"/>
        <v>.</v>
      </c>
      <c r="R1368" s="1185">
        <f t="shared" si="286"/>
        <v>10000000</v>
      </c>
      <c r="S1368" s="1185">
        <f>IF(AND(AD1368=1,R1368&lt;&gt;".")=TRUE,R1368/VLOOKUP(G1368,'Exchange Rates'!B:C,2,0),IF(R1368=".",".",""))</f>
        <v>11488970.588235294</v>
      </c>
      <c r="T1368" s="1185" t="str">
        <f>IF(AD1368=1,IF(AF1368="Value is not given at all",".",IF(AF1368="Value is given by the source",S1368,IF(AF1368="Value is calculated with prices",(IF(SUMIFS(Q:Q,A:A,A1368)&gt;0,SUMIFS(Q:Q,A:A,A1368),"."))/VLOOKUP("USD",'Exchange Rates'!B:C,2,0),"Error with coding"))),"")</f>
        <v>.</v>
      </c>
      <c r="U1368" s="1184" t="s">
        <v>365</v>
      </c>
      <c r="V1368" s="973" t="s">
        <v>3771</v>
      </c>
      <c r="W1368" s="973" t="s">
        <v>3772</v>
      </c>
      <c r="X1368" s="1190" t="s">
        <v>364</v>
      </c>
      <c r="Y1368" s="1190" t="s">
        <v>364</v>
      </c>
      <c r="Z1368" s="1184">
        <v>0</v>
      </c>
      <c r="AA1368" s="1194">
        <v>0</v>
      </c>
      <c r="AB1368" s="1201" t="s">
        <v>364</v>
      </c>
      <c r="AC1368" s="1192" t="str">
        <f>""</f>
        <v/>
      </c>
      <c r="AD1368" s="1193">
        <v>1</v>
      </c>
      <c r="AE1368" s="1193" t="s">
        <v>368</v>
      </c>
      <c r="AF1368" s="1193" t="s">
        <v>369</v>
      </c>
      <c r="AG1368" s="1193">
        <v>1</v>
      </c>
      <c r="AH1368" s="1193">
        <v>6</v>
      </c>
      <c r="AI1368" s="1193">
        <v>0</v>
      </c>
      <c r="AJ1368" s="1193">
        <f>VLOOKUP($I1368,'Price List, Weapons &amp; Items'!B:F,5,0)</f>
        <v>0</v>
      </c>
      <c r="AK1368" s="1193">
        <f t="shared" si="291"/>
        <v>0</v>
      </c>
      <c r="AL1368" s="1193">
        <f t="shared" si="292"/>
        <v>0</v>
      </c>
      <c r="AM1368" s="1193">
        <f t="shared" si="293"/>
        <v>0</v>
      </c>
      <c r="AN1368" s="1194" t="str">
        <f>VLOOKUP($I1368,'Price List, Weapons &amp; Items'!B:L,COLUMN('Price List, Weapons &amp; Items'!$J$11)-1,0)</f>
        <v>.</v>
      </c>
      <c r="AO1368" s="1194" t="str">
        <f>IF(I1368=".",".",VLOOKUP($I1368,'Price List, Weapons &amp; Items'!B:J,3,0))</f>
        <v>.</v>
      </c>
      <c r="AP1368" s="1195" t="str">
        <f t="shared" ca="1" si="287"/>
        <v>.</v>
      </c>
      <c r="AQ1368" s="1194">
        <f>VLOOKUP($I1368,'Price List, Weapons &amp; Items'!B:L,COLUMN('Price List, Weapons &amp; Items'!$L$11)-1,0)</f>
        <v>0</v>
      </c>
      <c r="AR1368" s="1194">
        <f t="shared" si="294"/>
        <v>1</v>
      </c>
      <c r="AS1368" s="1194">
        <f t="shared" si="295"/>
        <v>0</v>
      </c>
      <c r="AT1368" s="1194">
        <f t="shared" si="296"/>
        <v>1</v>
      </c>
      <c r="AU1368" s="1194" t="str">
        <f t="shared" si="285"/>
        <v>.</v>
      </c>
      <c r="AV1368" s="1194" t="str">
        <f t="shared" si="288"/>
        <v>.</v>
      </c>
      <c r="AW1368" s="1194" t="str">
        <f t="shared" si="297"/>
        <v>.</v>
      </c>
      <c r="AX1368" s="1194">
        <f>IFERROR(VLOOKUP(B1368,'Share, Heavy Weapons to Ukraine'!B:Z,COLUMN('Share, Heavy Weapons to Ukraine'!C1380)-1,0),0)</f>
        <v>1</v>
      </c>
      <c r="AY1368" s="1194">
        <f>VLOOKUP('Bilateral Assistance, MAIN DATA'!B1368,'Country Summary (€)'!B:F,COLUMN('Country Summary (€)'!C1381)-1,FALSE)</f>
        <v>0</v>
      </c>
      <c r="AZ1368" s="1194" t="str">
        <f>IF(AND(AD1368=1,D1368="Military",H1368&lt;&gt;"Not given")=TRUE,IF(SUMIFS(P:P,A:A,A1368)&gt;0,ABS((SUMIFS(P:P,A:A,A1368)/VLOOKUP("USD",'Exchange Rates'!B:C,2,0)))/S1368,"."),".")</f>
        <v>.</v>
      </c>
      <c r="BA1368" s="1196" t="str">
        <f>IF(AND(AD1368=1,D1368="Military",H1368&lt;&gt;"Not given")=TRUE,IF(SUMIFS(P:P,A:A,A1368)&gt;0,IF((ABS((SUMIFS(P:P,A:A,A1368)/VLOOKUP("USD",'Exchange Rates'!B:C,2,0)))/S1368)&gt;1,(SUMIFS(P:P,A:A,A1368)-S1368)/S1368,(S1368-SUMIFS(P:P,A:A,A1368))/SUMIFS(P:P,A:A,A1368)),"."),".")</f>
        <v>.</v>
      </c>
    </row>
    <row r="1369" spans="1:53" ht="15.95" customHeight="1">
      <c r="A1369" s="1180" t="s">
        <v>3773</v>
      </c>
      <c r="B1369" s="1180" t="s">
        <v>3748</v>
      </c>
      <c r="C1369" s="1181">
        <v>44753</v>
      </c>
      <c r="D1369" s="1182" t="s">
        <v>360</v>
      </c>
      <c r="E1369" s="1182" t="s">
        <v>481</v>
      </c>
      <c r="F1369" s="1183" t="s">
        <v>3774</v>
      </c>
      <c r="G1369" s="1184" t="s">
        <v>3750</v>
      </c>
      <c r="H1369" s="1185">
        <v>5000000</v>
      </c>
      <c r="I1369" s="1180" t="s">
        <v>364</v>
      </c>
      <c r="J1369" s="1186" t="str">
        <f>VLOOKUP($I1369,'Price List, Weapons &amp; Items'!B:C,2,0)</f>
        <v>.</v>
      </c>
      <c r="K1369" s="1186" t="str">
        <f>IF(I1369=".",I1369,VLOOKUP($I1369,'Price List, Weapons &amp; Items'!B:D,3,0))</f>
        <v>.</v>
      </c>
      <c r="L1369" s="1187">
        <f>VLOOKUP(I1369,'Price List, Weapons &amp; Items'!B:E,4,0)</f>
        <v>0</v>
      </c>
      <c r="M1369" s="1188" t="s">
        <v>364</v>
      </c>
      <c r="N1369" s="1188" t="s">
        <v>364</v>
      </c>
      <c r="O1369" s="1188" t="str">
        <f>VLOOKUP($I1369,'Price List, Weapons &amp; Items'!B:G,6,0)</f>
        <v>.</v>
      </c>
      <c r="P1369" s="1185" t="str">
        <f t="shared" si="289"/>
        <v>.</v>
      </c>
      <c r="Q1369" s="1185" t="str">
        <f t="shared" si="290"/>
        <v>.</v>
      </c>
      <c r="R1369" s="1185">
        <f t="shared" si="286"/>
        <v>5000000</v>
      </c>
      <c r="S1369" s="1185">
        <f>IF(AND(AD1369=1,R1369&lt;&gt;".")=TRUE,R1369/VLOOKUP(G1369,'Exchange Rates'!B:C,2,0),IF(R1369=".",".",""))</f>
        <v>5744485.2941176472</v>
      </c>
      <c r="T1369" s="1185" t="str">
        <f>IF(AD1369=1,IF(AF1369="Value is not given at all",".",IF(AF1369="Value is given by the source",S1369,IF(AF1369="Value is calculated with prices",(IF(SUMIFS(Q:Q,A:A,A1369)&gt;0,SUMIFS(Q:Q,A:A,A1369),"."))/VLOOKUP("USD",'Exchange Rates'!B:C,2,0),"Error with coding"))),"")</f>
        <v>.</v>
      </c>
      <c r="U1369" s="1184" t="s">
        <v>365</v>
      </c>
      <c r="V1369" s="971" t="s">
        <v>3775</v>
      </c>
      <c r="W1369" s="973" t="s">
        <v>3776</v>
      </c>
      <c r="X1369" s="1190" t="s">
        <v>364</v>
      </c>
      <c r="Y1369" s="1190" t="s">
        <v>364</v>
      </c>
      <c r="Z1369" s="1184">
        <v>0</v>
      </c>
      <c r="AA1369" s="1194">
        <v>0</v>
      </c>
      <c r="AB1369" s="1201" t="s">
        <v>364</v>
      </c>
      <c r="AC1369" s="1192" t="str">
        <f>""</f>
        <v/>
      </c>
      <c r="AD1369" s="1193">
        <v>1</v>
      </c>
      <c r="AE1369" s="1193" t="s">
        <v>368</v>
      </c>
      <c r="AF1369" s="1193" t="s">
        <v>369</v>
      </c>
      <c r="AG1369" s="1193">
        <v>1</v>
      </c>
      <c r="AH1369" s="1193">
        <v>7</v>
      </c>
      <c r="AI1369" s="1193">
        <v>0</v>
      </c>
      <c r="AJ1369" s="1193">
        <f>VLOOKUP($I1369,'Price List, Weapons &amp; Items'!B:F,5,0)</f>
        <v>0</v>
      </c>
      <c r="AK1369" s="1193">
        <f t="shared" si="291"/>
        <v>0</v>
      </c>
      <c r="AL1369" s="1193">
        <f t="shared" si="292"/>
        <v>0</v>
      </c>
      <c r="AM1369" s="1193">
        <f t="shared" si="293"/>
        <v>0</v>
      </c>
      <c r="AN1369" s="1194" t="str">
        <f>VLOOKUP($I1369,'Price List, Weapons &amp; Items'!B:L,COLUMN('Price List, Weapons &amp; Items'!$J$11)-1,0)</f>
        <v>.</v>
      </c>
      <c r="AO1369" s="1194" t="str">
        <f>IF(I1369=".",".",VLOOKUP($I1369,'Price List, Weapons &amp; Items'!B:J,3,0))</f>
        <v>.</v>
      </c>
      <c r="AP1369" s="1195" t="str">
        <f t="shared" ca="1" si="287"/>
        <v>.</v>
      </c>
      <c r="AQ1369" s="1194">
        <f>VLOOKUP($I1369,'Price List, Weapons &amp; Items'!B:L,COLUMN('Price List, Weapons &amp; Items'!$L$11)-1,0)</f>
        <v>0</v>
      </c>
      <c r="AR1369" s="1194">
        <f t="shared" si="294"/>
        <v>1</v>
      </c>
      <c r="AS1369" s="1194">
        <f t="shared" si="295"/>
        <v>0</v>
      </c>
      <c r="AT1369" s="1194">
        <f t="shared" si="296"/>
        <v>1</v>
      </c>
      <c r="AU1369" s="1194" t="str">
        <f t="shared" si="285"/>
        <v>.</v>
      </c>
      <c r="AV1369" s="1194" t="str">
        <f t="shared" si="288"/>
        <v>.</v>
      </c>
      <c r="AW1369" s="1194" t="str">
        <f t="shared" si="297"/>
        <v>.</v>
      </c>
      <c r="AX1369" s="1194">
        <f>IFERROR(VLOOKUP(B1369,'Share, Heavy Weapons to Ukraine'!B:Z,COLUMN('Share, Heavy Weapons to Ukraine'!C1381)-1,0),0)</f>
        <v>1</v>
      </c>
      <c r="AY1369" s="1194">
        <f>VLOOKUP('Bilateral Assistance, MAIN DATA'!B1369,'Country Summary (€)'!B:F,COLUMN('Country Summary (€)'!C1382)-1,FALSE)</f>
        <v>0</v>
      </c>
      <c r="AZ1369" s="1194" t="str">
        <f>IF(AND(AD1369=1,D1369="Military",H1369&lt;&gt;"Not given")=TRUE,IF(SUMIFS(P:P,A:A,A1369)&gt;0,ABS((SUMIFS(P:P,A:A,A1369)/VLOOKUP("USD",'Exchange Rates'!B:C,2,0)))/S1369,"."),".")</f>
        <v>.</v>
      </c>
      <c r="BA1369" s="1196" t="str">
        <f>IF(AND(AD1369=1,D1369="Military",H1369&lt;&gt;"Not given")=TRUE,IF(SUMIFS(P:P,A:A,A1369)&gt;0,IF((ABS((SUMIFS(P:P,A:A,A1369)/VLOOKUP("USD",'Exchange Rates'!B:C,2,0)))/S1369)&gt;1,(SUMIFS(P:P,A:A,A1369)-S1369)/S1369,(S1369-SUMIFS(P:P,A:A,A1369))/SUMIFS(P:P,A:A,A1369)),"."),".")</f>
        <v>.</v>
      </c>
    </row>
    <row r="1370" spans="1:53" ht="15.95" customHeight="1">
      <c r="A1370" s="1180" t="s">
        <v>3777</v>
      </c>
      <c r="B1370" s="1180" t="s">
        <v>3748</v>
      </c>
      <c r="C1370" s="1181">
        <v>44861</v>
      </c>
      <c r="D1370" s="1182" t="s">
        <v>360</v>
      </c>
      <c r="E1370" s="1182" t="s">
        <v>371</v>
      </c>
      <c r="F1370" s="1183" t="s">
        <v>3778</v>
      </c>
      <c r="G1370" s="1184" t="s">
        <v>456</v>
      </c>
      <c r="H1370" s="1185" t="s">
        <v>457</v>
      </c>
      <c r="I1370" s="1180" t="s">
        <v>492</v>
      </c>
      <c r="J1370" s="1186" t="str">
        <f>VLOOKUP($I1370,'Price List, Weapons &amp; Items'!B:C,2,0)</f>
        <v>Humanitarian</v>
      </c>
      <c r="K1370" s="1186" t="str">
        <f>IF(I1370=".",I1370,VLOOKUP($I1370,'Price List, Weapons &amp; Items'!B:D,3,0))</f>
        <v>Humanitarian</v>
      </c>
      <c r="L1370" s="1187">
        <f>VLOOKUP(I1370,'Price List, Weapons &amp; Items'!B:E,4,0)</f>
        <v>0</v>
      </c>
      <c r="M1370" s="1188">
        <v>9</v>
      </c>
      <c r="N1370" s="1188">
        <v>9</v>
      </c>
      <c r="O1370" s="1188">
        <f>VLOOKUP($I1370,'Price List, Weapons &amp; Items'!B:G,6,0)</f>
        <v>400000</v>
      </c>
      <c r="P1370" s="1185">
        <f t="shared" si="289"/>
        <v>3600000</v>
      </c>
      <c r="Q1370" s="1185">
        <f t="shared" si="290"/>
        <v>3600000</v>
      </c>
      <c r="R1370" s="1185">
        <f t="shared" si="286"/>
        <v>3600000</v>
      </c>
      <c r="S1370" s="1185">
        <f>IF(AND(AD1370=1,R1370&lt;&gt;".")=TRUE,R1370/VLOOKUP(G1370,'Exchange Rates'!B:C,2,0),IF(R1370=".",".",""))</f>
        <v>3312476.9966875231</v>
      </c>
      <c r="T1370" s="1185" t="str">
        <f>IF(AD1370=1,IF(AF1370="Value is not given at all",".",IF(AF1370="Value is given by the source",S1370,IF(AF1370="Value is calculated with prices",(IF(SUMIFS(Q:Q,A:A,A1370)&gt;0,SUMIFS(Q:Q,A:A,A1370),"."))/VLOOKUP("USD",'Exchange Rates'!B:C,2,0),"Error with coding"))),"")</f>
        <v>.</v>
      </c>
      <c r="U1370" s="1184" t="s">
        <v>365</v>
      </c>
      <c r="V1370" s="971" t="s">
        <v>3779</v>
      </c>
      <c r="W1370" s="973" t="s">
        <v>3780</v>
      </c>
      <c r="X1370" s="1190" t="s">
        <v>364</v>
      </c>
      <c r="Y1370" s="1190" t="s">
        <v>364</v>
      </c>
      <c r="Z1370" s="1184">
        <v>0</v>
      </c>
      <c r="AA1370" s="1194">
        <v>0</v>
      </c>
      <c r="AB1370" s="1016" t="s">
        <v>3779</v>
      </c>
      <c r="AC1370" s="1192" t="str">
        <f>""</f>
        <v/>
      </c>
      <c r="AD1370" s="1193">
        <v>1</v>
      </c>
      <c r="AE1370" s="1193" t="s">
        <v>436</v>
      </c>
      <c r="AF1370" s="1193" t="s">
        <v>369</v>
      </c>
      <c r="AG1370" s="1193">
        <v>1</v>
      </c>
      <c r="AH1370" s="1193">
        <v>10</v>
      </c>
      <c r="AI1370" s="1193">
        <v>0</v>
      </c>
      <c r="AJ1370" s="1193">
        <f>VLOOKUP($I1370,'Price List, Weapons &amp; Items'!B:F,5,0)</f>
        <v>0</v>
      </c>
      <c r="AK1370" s="1193">
        <f t="shared" si="291"/>
        <v>0</v>
      </c>
      <c r="AL1370" s="1193">
        <f t="shared" si="292"/>
        <v>0</v>
      </c>
      <c r="AM1370" s="1193">
        <f t="shared" si="293"/>
        <v>0</v>
      </c>
      <c r="AN1370" s="1194" t="str">
        <f>VLOOKUP($I1370,'Price List, Weapons &amp; Items'!B:L,COLUMN('Price List, Weapons &amp; Items'!$J$11)-1,0)</f>
        <v>Media reports (incl. social media)</v>
      </c>
      <c r="AO1370" s="1194" t="str">
        <f>IF(I1370=".",".",VLOOKUP($I1370,'Price List, Weapons &amp; Items'!B:J,3,0))</f>
        <v>Humanitarian</v>
      </c>
      <c r="AP1370" s="1195" t="str">
        <f t="shared" ca="1" si="287"/>
        <v>Fire-vehicle</v>
      </c>
      <c r="AQ1370" s="1194">
        <f>VLOOKUP($I1370,'Price List, Weapons &amp; Items'!B:L,COLUMN('Price List, Weapons &amp; Items'!$L$11)-1,0)</f>
        <v>0</v>
      </c>
      <c r="AR1370" s="1194">
        <f t="shared" si="294"/>
        <v>1</v>
      </c>
      <c r="AS1370" s="1194">
        <f t="shared" si="295"/>
        <v>0</v>
      </c>
      <c r="AT1370" s="1194">
        <f t="shared" si="296"/>
        <v>1</v>
      </c>
      <c r="AU1370" s="1194" t="str">
        <f t="shared" si="285"/>
        <v>.</v>
      </c>
      <c r="AV1370" s="1194" t="str">
        <f t="shared" si="288"/>
        <v>.</v>
      </c>
      <c r="AW1370" s="1194" t="str">
        <f t="shared" si="297"/>
        <v>.</v>
      </c>
      <c r="AX1370" s="1194">
        <f>IFERROR(VLOOKUP(B1370,'Share, Heavy Weapons to Ukraine'!B:Z,COLUMN('Share, Heavy Weapons to Ukraine'!C1382)-1,0),0)</f>
        <v>1</v>
      </c>
      <c r="AY1370" s="1194">
        <f>VLOOKUP('Bilateral Assistance, MAIN DATA'!B1370,'Country Summary (€)'!B:F,COLUMN('Country Summary (€)'!C1383)-1,FALSE)</f>
        <v>0</v>
      </c>
      <c r="AZ1370" s="1194" t="str">
        <f>IF(AND(AD1370=1,D1370="Military",H1370&lt;&gt;"Not given")=TRUE,IF(SUMIFS(P:P,A:A,A1370)&gt;0,ABS((SUMIFS(P:P,A:A,A1370)/VLOOKUP("USD",'Exchange Rates'!B:C,2,0)))/S1370,"."),".")</f>
        <v>.</v>
      </c>
      <c r="BA1370" s="1196" t="str">
        <f>IF(AND(AD1370=1,D1370="Military",H1370&lt;&gt;"Not given")=TRUE,IF(SUMIFS(P:P,A:A,A1370)&gt;0,IF((ABS((SUMIFS(P:P,A:A,A1370)/VLOOKUP("USD",'Exchange Rates'!B:C,2,0)))/S1370)&gt;1,(SUMIFS(P:P,A:A,A1370)-S1370)/S1370,(S1370-SUMIFS(P:P,A:A,A1370))/SUMIFS(P:P,A:A,A1370)),"."),".")</f>
        <v>.</v>
      </c>
    </row>
    <row r="1371" spans="1:53" ht="15.95" customHeight="1">
      <c r="A1371" s="1180" t="s">
        <v>3781</v>
      </c>
      <c r="B1371" s="1180" t="s">
        <v>3748</v>
      </c>
      <c r="C1371" s="1181">
        <v>44881</v>
      </c>
      <c r="D1371" s="1182" t="s">
        <v>360</v>
      </c>
      <c r="E1371" s="1182" t="s">
        <v>481</v>
      </c>
      <c r="F1371" s="1183" t="s">
        <v>3782</v>
      </c>
      <c r="G1371" s="1184" t="s">
        <v>3750</v>
      </c>
      <c r="H1371" s="1185">
        <v>10000000</v>
      </c>
      <c r="I1371" s="1180" t="s">
        <v>364</v>
      </c>
      <c r="J1371" s="1186" t="str">
        <f>VLOOKUP($I1371,'Price List, Weapons &amp; Items'!B:C,2,0)</f>
        <v>.</v>
      </c>
      <c r="K1371" s="1186" t="str">
        <f>IF(I1371=".",I1371,VLOOKUP($I1371,'Price List, Weapons &amp; Items'!B:D,3,0))</f>
        <v>.</v>
      </c>
      <c r="L1371" s="1187">
        <f>VLOOKUP(I1371,'Price List, Weapons &amp; Items'!B:E,4,0)</f>
        <v>0</v>
      </c>
      <c r="M1371" s="1188" t="s">
        <v>364</v>
      </c>
      <c r="N1371" s="1188" t="s">
        <v>364</v>
      </c>
      <c r="O1371" s="1188" t="str">
        <f>VLOOKUP($I1371,'Price List, Weapons &amp; Items'!B:G,6,0)</f>
        <v>.</v>
      </c>
      <c r="P1371" s="1185" t="str">
        <f t="shared" si="289"/>
        <v>.</v>
      </c>
      <c r="Q1371" s="1185" t="str">
        <f t="shared" si="290"/>
        <v>.</v>
      </c>
      <c r="R1371" s="1185">
        <f t="shared" si="286"/>
        <v>10000000</v>
      </c>
      <c r="S1371" s="1185">
        <f>IF(AND(AD1371=1,R1371&lt;&gt;".")=TRUE,R1371/VLOOKUP(G1371,'Exchange Rates'!B:C,2,0),IF(R1371=".",".",""))</f>
        <v>11488970.588235294</v>
      </c>
      <c r="T1371" s="1185" t="str">
        <f>IF(AD1371=1,IF(AF1371="Value is not given at all",".",IF(AF1371="Value is given by the source",S1371,IF(AF1371="Value is calculated with prices",(IF(SUMIFS(Q:Q,A:A,A1371)&gt;0,SUMIFS(Q:Q,A:A,A1371),"."))/VLOOKUP("USD",'Exchange Rates'!B:C,2,0),"Error with coding"))),"")</f>
        <v>.</v>
      </c>
      <c r="U1371" s="1184" t="s">
        <v>365</v>
      </c>
      <c r="V1371" s="973" t="s">
        <v>3783</v>
      </c>
      <c r="W1371" s="973" t="s">
        <v>3784</v>
      </c>
      <c r="X1371" s="1190" t="s">
        <v>364</v>
      </c>
      <c r="Y1371" s="1190" t="s">
        <v>364</v>
      </c>
      <c r="Z1371" s="1184">
        <v>0</v>
      </c>
      <c r="AA1371" s="1194">
        <v>0</v>
      </c>
      <c r="AB1371" s="1201" t="s">
        <v>364</v>
      </c>
      <c r="AC1371" s="1192" t="str">
        <f>""</f>
        <v/>
      </c>
      <c r="AD1371" s="1193">
        <v>1</v>
      </c>
      <c r="AE1371" s="1193" t="s">
        <v>368</v>
      </c>
      <c r="AF1371" s="1193" t="s">
        <v>369</v>
      </c>
      <c r="AG1371" s="1193">
        <v>1</v>
      </c>
      <c r="AH1371" s="1193">
        <v>11</v>
      </c>
      <c r="AI1371" s="1193">
        <v>0</v>
      </c>
      <c r="AJ1371" s="1193">
        <f>VLOOKUP($I1371,'Price List, Weapons &amp; Items'!B:F,5,0)</f>
        <v>0</v>
      </c>
      <c r="AK1371" s="1193">
        <f t="shared" si="291"/>
        <v>0</v>
      </c>
      <c r="AL1371" s="1193">
        <f t="shared" si="292"/>
        <v>0</v>
      </c>
      <c r="AM1371" s="1193">
        <f t="shared" si="293"/>
        <v>0</v>
      </c>
      <c r="AN1371" s="1194" t="str">
        <f>VLOOKUP($I1371,'Price List, Weapons &amp; Items'!B:L,COLUMN('Price List, Weapons &amp; Items'!$J$11)-1,0)</f>
        <v>.</v>
      </c>
      <c r="AO1371" s="1194" t="str">
        <f>IF(I1371=".",".",VLOOKUP($I1371,'Price List, Weapons &amp; Items'!B:J,3,0))</f>
        <v>.</v>
      </c>
      <c r="AP1371" s="1195" t="str">
        <f t="shared" ca="1" si="287"/>
        <v>.</v>
      </c>
      <c r="AQ1371" s="1194">
        <f>VLOOKUP($I1371,'Price List, Weapons &amp; Items'!B:L,COLUMN('Price List, Weapons &amp; Items'!$L$11)-1,0)</f>
        <v>0</v>
      </c>
      <c r="AR1371" s="1194">
        <f t="shared" si="294"/>
        <v>1</v>
      </c>
      <c r="AS1371" s="1194">
        <f t="shared" si="295"/>
        <v>0</v>
      </c>
      <c r="AT1371" s="1194">
        <f t="shared" si="296"/>
        <v>1</v>
      </c>
      <c r="AU1371" s="1194" t="str">
        <f t="shared" si="285"/>
        <v>.</v>
      </c>
      <c r="AV1371" s="1194" t="str">
        <f t="shared" si="288"/>
        <v>.</v>
      </c>
      <c r="AW1371" s="1194" t="str">
        <f t="shared" si="297"/>
        <v>.</v>
      </c>
      <c r="AX1371" s="1194">
        <f>IFERROR(VLOOKUP(B1371,'Share, Heavy Weapons to Ukraine'!B:Z,COLUMN('Share, Heavy Weapons to Ukraine'!C1383)-1,0),0)</f>
        <v>1</v>
      </c>
      <c r="AY1371" s="1194">
        <f>VLOOKUP('Bilateral Assistance, MAIN DATA'!B1371,'Country Summary (€)'!B:F,COLUMN('Country Summary (€)'!C1384)-1,FALSE)</f>
        <v>0</v>
      </c>
      <c r="AZ1371" s="1194" t="str">
        <f>IF(AND(AD1371=1,D1371="Military",H1371&lt;&gt;"Not given")=TRUE,IF(SUMIFS(P:P,A:A,A1371)&gt;0,ABS((SUMIFS(P:P,A:A,A1371)/VLOOKUP("USD",'Exchange Rates'!B:C,2,0)))/S1371,"."),".")</f>
        <v>.</v>
      </c>
      <c r="BA1371" s="1196" t="str">
        <f>IF(AND(AD1371=1,D1371="Military",H1371&lt;&gt;"Not given")=TRUE,IF(SUMIFS(P:P,A:A,A1371)&gt;0,IF((ABS((SUMIFS(P:P,A:A,A1371)/VLOOKUP("USD",'Exchange Rates'!B:C,2,0)))/S1371)&gt;1,(SUMIFS(P:P,A:A,A1371)-S1371)/S1371,(S1371-SUMIFS(P:P,A:A,A1371))/SUMIFS(P:P,A:A,A1371)),"."),".")</f>
        <v>.</v>
      </c>
    </row>
    <row r="1372" spans="1:53" ht="15.95" customHeight="1">
      <c r="A1372" s="1180" t="s">
        <v>3785</v>
      </c>
      <c r="B1372" s="1180" t="s">
        <v>3748</v>
      </c>
      <c r="C1372" s="1181">
        <v>45013</v>
      </c>
      <c r="D1372" s="1182" t="s">
        <v>360</v>
      </c>
      <c r="E1372" s="1182" t="s">
        <v>1152</v>
      </c>
      <c r="F1372" s="1183" t="s">
        <v>3786</v>
      </c>
      <c r="G1372" s="1184" t="s">
        <v>3750</v>
      </c>
      <c r="H1372" s="1185">
        <v>10000000</v>
      </c>
      <c r="I1372" s="1180" t="s">
        <v>364</v>
      </c>
      <c r="J1372" s="1186" t="str">
        <f>VLOOKUP($I1372,'Price List, Weapons &amp; Items'!B:C,2,0)</f>
        <v>.</v>
      </c>
      <c r="K1372" s="1186" t="str">
        <f>IF(I1372=".",I1372,VLOOKUP($I1372,'Price List, Weapons &amp; Items'!B:D,3,0))</f>
        <v>.</v>
      </c>
      <c r="L1372" s="1187">
        <f>VLOOKUP(I1372,'Price List, Weapons &amp; Items'!B:E,4,0)</f>
        <v>0</v>
      </c>
      <c r="M1372" s="1188" t="s">
        <v>364</v>
      </c>
      <c r="N1372" s="1188" t="s">
        <v>364</v>
      </c>
      <c r="O1372" s="1188" t="str">
        <f>VLOOKUP($I1372,'Price List, Weapons &amp; Items'!B:G,6,0)</f>
        <v>.</v>
      </c>
      <c r="P1372" s="1185" t="str">
        <f t="shared" si="289"/>
        <v>.</v>
      </c>
      <c r="Q1372" s="1185" t="str">
        <f t="shared" si="290"/>
        <v>.</v>
      </c>
      <c r="R1372" s="1185">
        <f t="shared" si="286"/>
        <v>10000000</v>
      </c>
      <c r="S1372" s="1185">
        <f>IF(AND(AD1372=1,R1372&lt;&gt;".")=TRUE,R1372/VLOOKUP(G1372,'Exchange Rates'!B:C,2,0),IF(R1372=".",".",""))</f>
        <v>11488970.588235294</v>
      </c>
      <c r="T1372" s="1185" t="str">
        <f>IF(AD1372=1,IF(AF1372="Value is not given at all",".",IF(AF1372="Value is given by the source",S1372,IF(AF1372="Value is calculated with prices",(IF(SUMIFS(Q:Q,A:A,A1372)&gt;0,SUMIFS(Q:Q,A:A,A1372),"."))/VLOOKUP("USD",'Exchange Rates'!B:C,2,0),"Error with coding"))),"")</f>
        <v>.</v>
      </c>
      <c r="U1372" s="1184" t="s">
        <v>365</v>
      </c>
      <c r="V1372" s="973" t="s">
        <v>3787</v>
      </c>
      <c r="W1372" s="973" t="s">
        <v>3788</v>
      </c>
      <c r="X1372" s="1190" t="s">
        <v>364</v>
      </c>
      <c r="Y1372" s="1190" t="s">
        <v>364</v>
      </c>
      <c r="Z1372" s="1184">
        <v>0</v>
      </c>
      <c r="AA1372" s="1191">
        <v>1</v>
      </c>
      <c r="AB1372" s="1201" t="s">
        <v>364</v>
      </c>
      <c r="AC1372" s="1192" t="str">
        <f>""</f>
        <v/>
      </c>
      <c r="AD1372" s="1193">
        <v>1</v>
      </c>
      <c r="AE1372" s="1193" t="s">
        <v>368</v>
      </c>
      <c r="AF1372" s="1193" t="s">
        <v>369</v>
      </c>
      <c r="AG1372" s="1193">
        <v>1</v>
      </c>
      <c r="AH1372" s="1193">
        <v>15</v>
      </c>
      <c r="AI1372" s="1193">
        <v>0</v>
      </c>
      <c r="AJ1372" s="1193">
        <f>VLOOKUP($I1372,'Price List, Weapons &amp; Items'!B:F,5,0)</f>
        <v>0</v>
      </c>
      <c r="AK1372" s="1193">
        <f t="shared" si="291"/>
        <v>0</v>
      </c>
      <c r="AL1372" s="1193">
        <f t="shared" si="292"/>
        <v>0</v>
      </c>
      <c r="AM1372" s="1193">
        <f t="shared" si="293"/>
        <v>0</v>
      </c>
      <c r="AN1372" s="1194" t="str">
        <f>VLOOKUP($I1372,'Price List, Weapons &amp; Items'!B:L,COLUMN('Price List, Weapons &amp; Items'!$J$11)-1,0)</f>
        <v>.</v>
      </c>
      <c r="AO1372" s="1194" t="str">
        <f>IF(I1372=".",".",VLOOKUP($I1372,'Price List, Weapons &amp; Items'!B:J,3,0))</f>
        <v>.</v>
      </c>
      <c r="AP1372" s="1195" t="str">
        <f t="shared" ca="1" si="287"/>
        <v>.</v>
      </c>
      <c r="AQ1372" s="1194">
        <f>VLOOKUP($I1372,'Price List, Weapons &amp; Items'!B:L,COLUMN('Price List, Weapons &amp; Items'!$L$11)-1,0)</f>
        <v>0</v>
      </c>
      <c r="AR1372" s="1194">
        <f t="shared" si="294"/>
        <v>1</v>
      </c>
      <c r="AS1372" s="1194">
        <f t="shared" si="295"/>
        <v>0</v>
      </c>
      <c r="AT1372" s="1194">
        <f t="shared" si="296"/>
        <v>1</v>
      </c>
      <c r="AU1372" s="1194" t="str">
        <f t="shared" si="285"/>
        <v>.</v>
      </c>
      <c r="AV1372" s="1194" t="str">
        <f t="shared" si="288"/>
        <v>.</v>
      </c>
      <c r="AW1372" s="1194" t="str">
        <f t="shared" si="297"/>
        <v>.</v>
      </c>
      <c r="AX1372" s="1194">
        <f>IFERROR(VLOOKUP(B1372,'Share, Heavy Weapons to Ukraine'!B:Z,COLUMN('Share, Heavy Weapons to Ukraine'!C1384)-1,0),0)</f>
        <v>1</v>
      </c>
      <c r="AY1372" s="1194">
        <f>VLOOKUP('Bilateral Assistance, MAIN DATA'!B1372,'Country Summary (€)'!B:F,COLUMN('Country Summary (€)'!C1385)-1,FALSE)</f>
        <v>0</v>
      </c>
      <c r="AZ1372" s="1194" t="str">
        <f>IF(AND(AD1372=1,D1372="Military",H1372&lt;&gt;"Not given")=TRUE,IF(SUMIFS(P:P,A:A,A1372)&gt;0,ABS((SUMIFS(P:P,A:A,A1372)/VLOOKUP("USD",'Exchange Rates'!B:C,2,0)))/S1372,"."),".")</f>
        <v>.</v>
      </c>
      <c r="BA1372" s="1196" t="str">
        <f>IF(AND(AD1372=1,D1372="Military",H1372&lt;&gt;"Not given")=TRUE,IF(SUMIFS(P:P,A:A,A1372)&gt;0,IF((ABS((SUMIFS(P:P,A:A,A1372)/VLOOKUP("USD",'Exchange Rates'!B:C,2,0)))/S1372)&gt;1,(SUMIFS(P:P,A:A,A1372)-S1372)/S1372,(S1372-SUMIFS(P:P,A:A,A1372))/SUMIFS(P:P,A:A,A1372)),"."),".")</f>
        <v>.</v>
      </c>
    </row>
    <row r="1373" spans="1:53" ht="15.95" customHeight="1">
      <c r="A1373" s="1180" t="s">
        <v>3789</v>
      </c>
      <c r="B1373" s="1180" t="s">
        <v>3748</v>
      </c>
      <c r="C1373" s="1181">
        <v>44593</v>
      </c>
      <c r="D1373" s="1182" t="s">
        <v>389</v>
      </c>
      <c r="E1373" s="1182" t="s">
        <v>443</v>
      </c>
      <c r="F1373" s="1183" t="s">
        <v>3790</v>
      </c>
      <c r="G1373" s="1184" t="s">
        <v>456</v>
      </c>
      <c r="H1373" s="1185" t="s">
        <v>457</v>
      </c>
      <c r="I1373" s="1180" t="s">
        <v>2632</v>
      </c>
      <c r="J1373" s="1186" t="str">
        <f>VLOOKUP($I1373,'Price List, Weapons &amp; Items'!B:C,2,0)</f>
        <v>Portable defence system</v>
      </c>
      <c r="K1373" s="1186" t="str">
        <f>IF(I1373=".",I1373,VLOOKUP($I1373,'Price List, Weapons &amp; Items'!B:D,3,0))</f>
        <v>Light Anti-armor Weapon (LAW)</v>
      </c>
      <c r="L1373" s="1187">
        <f>VLOOKUP(I1373,'Price List, Weapons &amp; Items'!B:E,4,0)</f>
        <v>0</v>
      </c>
      <c r="M1373" s="1188">
        <v>2000</v>
      </c>
      <c r="N1373" s="1188">
        <v>2000</v>
      </c>
      <c r="O1373" s="1188">
        <f>VLOOKUP($I1373,'Price List, Weapons &amp; Items'!B:G,6,0)</f>
        <v>40000</v>
      </c>
      <c r="P1373" s="1185">
        <f t="shared" si="289"/>
        <v>80000000</v>
      </c>
      <c r="Q1373" s="1185">
        <f t="shared" si="290"/>
        <v>80000000</v>
      </c>
      <c r="R1373" s="1185">
        <f t="shared" si="286"/>
        <v>80000000</v>
      </c>
      <c r="S1373" s="1185">
        <f>IF(AND(AD1373=1,R1373&lt;&gt;".")=TRUE,R1373/VLOOKUP(G1373,'Exchange Rates'!B:C,2,0),IF(R1373=".",".",""))</f>
        <v>73610599.926389396</v>
      </c>
      <c r="T1373" s="1185">
        <f>IF(AD1373=1,IF(AF1373="Value is not given at all",".",IF(AF1373="Value is given by the source",S1373,IF(AF1373="Value is calculated with prices",(IF(SUMIFS(Q:Q,A:A,A1373)&gt;0,SUMIFS(Q:Q,A:A,A1373),"."))/VLOOKUP("USD",'Exchange Rates'!B:C,2,0),"Error with coding"))),"")</f>
        <v>73610599.926389396</v>
      </c>
      <c r="U1373" s="1184" t="s">
        <v>365</v>
      </c>
      <c r="V1373" s="971" t="s">
        <v>3791</v>
      </c>
      <c r="W1373" s="971" t="s">
        <v>3792</v>
      </c>
      <c r="X1373" s="1190" t="s">
        <v>364</v>
      </c>
      <c r="Y1373" s="1190" t="s">
        <v>364</v>
      </c>
      <c r="Z1373" s="1184">
        <v>0</v>
      </c>
      <c r="AA1373" s="1194">
        <v>0</v>
      </c>
      <c r="AB1373" s="975" t="s">
        <v>3793</v>
      </c>
      <c r="AC1373" s="1192" t="str">
        <f>""</f>
        <v/>
      </c>
      <c r="AD1373" s="1193">
        <v>1</v>
      </c>
      <c r="AE1373" s="1193" t="s">
        <v>436</v>
      </c>
      <c r="AF1373" s="1193" t="s">
        <v>436</v>
      </c>
      <c r="AG1373" s="1193">
        <v>1</v>
      </c>
      <c r="AH1373" s="1193">
        <v>2</v>
      </c>
      <c r="AI1373" s="1193">
        <v>1</v>
      </c>
      <c r="AJ1373" s="1193">
        <f>VLOOKUP($I1373,'Price List, Weapons &amp; Items'!B:F,5,0)</f>
        <v>0</v>
      </c>
      <c r="AK1373" s="1193">
        <f t="shared" si="291"/>
        <v>0</v>
      </c>
      <c r="AL1373" s="1193">
        <f t="shared" si="292"/>
        <v>0</v>
      </c>
      <c r="AM1373" s="1193">
        <f t="shared" si="293"/>
        <v>0</v>
      </c>
      <c r="AN1373" s="1194" t="str">
        <f>VLOOKUP($I1373,'Price List, Weapons &amp; Items'!B:L,COLUMN('Price List, Weapons &amp; Items'!$J$11)-1,0)</f>
        <v>Media reports (incl. social media)</v>
      </c>
      <c r="AO1373" s="1194" t="str">
        <f>IF(I1373=".",".",VLOOKUP($I1373,'Price List, Weapons &amp; Items'!B:J,3,0))</f>
        <v>Light Anti-armor Weapon (LAW)</v>
      </c>
      <c r="AP1373" s="1195" t="str">
        <f t="shared" ca="1" si="287"/>
        <v>NLAW anti-tank weapon</v>
      </c>
      <c r="AQ1373" s="1194">
        <f>VLOOKUP($I1373,'Price List, Weapons &amp; Items'!B:L,COLUMN('Price List, Weapons &amp; Items'!$L$11)-1,0)</f>
        <v>2</v>
      </c>
      <c r="AR1373" s="1194">
        <f t="shared" si="294"/>
        <v>1</v>
      </c>
      <c r="AS1373" s="1194">
        <f t="shared" si="295"/>
        <v>1</v>
      </c>
      <c r="AT1373" s="1194">
        <f t="shared" si="296"/>
        <v>1</v>
      </c>
      <c r="AU1373" s="1194" t="str">
        <f t="shared" si="285"/>
        <v>.</v>
      </c>
      <c r="AV1373" s="1194" t="str">
        <f t="shared" si="288"/>
        <v>.</v>
      </c>
      <c r="AW1373" s="1194" t="str">
        <f t="shared" si="297"/>
        <v>.</v>
      </c>
      <c r="AX1373" s="1194">
        <f>IFERROR(VLOOKUP(B1373,'Share, Heavy Weapons to Ukraine'!B:Z,COLUMN('Share, Heavy Weapons to Ukraine'!C1385)-1,0),0)</f>
        <v>1</v>
      </c>
      <c r="AY1373" s="1194">
        <f>VLOOKUP('Bilateral Assistance, MAIN DATA'!B1373,'Country Summary (€)'!B:F,COLUMN('Country Summary (€)'!C1386)-1,FALSE)</f>
        <v>0</v>
      </c>
      <c r="AZ1373" s="1194" t="str">
        <f>IF(AND(AD1373=1,D1373="Military",H1373&lt;&gt;"Not given")=TRUE,IF(SUMIFS(P:P,A:A,A1373)&gt;0,ABS((SUMIFS(P:P,A:A,A1373)/VLOOKUP("USD",'Exchange Rates'!B:C,2,0)))/S1373,"."),".")</f>
        <v>.</v>
      </c>
      <c r="BA1373" s="1196" t="str">
        <f>IF(AND(AD1373=1,D1373="Military",H1373&lt;&gt;"Not given")=TRUE,IF(SUMIFS(P:P,A:A,A1373)&gt;0,IF((ABS((SUMIFS(P:P,A:A,A1373)/VLOOKUP("USD",'Exchange Rates'!B:C,2,0)))/S1373)&gt;1,(SUMIFS(P:P,A:A,A1373)-S1373)/S1373,(S1373-SUMIFS(P:P,A:A,A1373))/SUMIFS(P:P,A:A,A1373)),"."),".")</f>
        <v>.</v>
      </c>
    </row>
    <row r="1374" spans="1:53" ht="15.95" customHeight="1">
      <c r="A1374" s="1180" t="s">
        <v>3794</v>
      </c>
      <c r="B1374" s="1180" t="s">
        <v>3748</v>
      </c>
      <c r="C1374" s="1181">
        <v>44629</v>
      </c>
      <c r="D1374" s="1182" t="s">
        <v>389</v>
      </c>
      <c r="E1374" s="1182" t="s">
        <v>443</v>
      </c>
      <c r="F1374" s="1183" t="s">
        <v>3795</v>
      </c>
      <c r="G1374" s="1184" t="s">
        <v>456</v>
      </c>
      <c r="H1374" s="1185" t="s">
        <v>457</v>
      </c>
      <c r="I1374" s="1180" t="s">
        <v>2632</v>
      </c>
      <c r="J1374" s="1186" t="str">
        <f>VLOOKUP($I1374,'Price List, Weapons &amp; Items'!B:C,2,0)</f>
        <v>Portable defence system</v>
      </c>
      <c r="K1374" s="1186" t="str">
        <f>IF(I1374=".",I1374,VLOOKUP($I1374,'Price List, Weapons &amp; Items'!B:D,3,0))</f>
        <v>Light Anti-armor Weapon (LAW)</v>
      </c>
      <c r="L1374" s="1187">
        <f>VLOOKUP(I1374,'Price List, Weapons &amp; Items'!B:E,4,0)</f>
        <v>0</v>
      </c>
      <c r="M1374" s="1188">
        <v>3165</v>
      </c>
      <c r="N1374" s="1188">
        <v>3165</v>
      </c>
      <c r="O1374" s="1188">
        <f>VLOOKUP($I1374,'Price List, Weapons &amp; Items'!B:G,6,0)</f>
        <v>40000</v>
      </c>
      <c r="P1374" s="1185">
        <f t="shared" si="289"/>
        <v>126600000</v>
      </c>
      <c r="Q1374" s="1185">
        <f t="shared" si="290"/>
        <v>126600000</v>
      </c>
      <c r="R1374" s="1185">
        <f t="shared" si="286"/>
        <v>126600000</v>
      </c>
      <c r="S1374" s="1185">
        <f>IF(AND(AD1374=1,R1374&lt;&gt;".")=TRUE,R1374/VLOOKUP(G1374,'Exchange Rates'!B:C,2,0),IF(R1374=".",".",""))</f>
        <v>116488774.38351123</v>
      </c>
      <c r="T1374" s="1185">
        <f>IF(AD1374=1,IF(AF1374="Value is not given at all",".",IF(AF1374="Value is given by the source",S1374,IF(AF1374="Value is calculated with prices",(IF(SUMIFS(Q:Q,A:A,A1374)&gt;0,SUMIFS(Q:Q,A:A,A1374),"."))/VLOOKUP("USD",'Exchange Rates'!B:C,2,0),"Error with coding"))),"")</f>
        <v>116488774.38351123</v>
      </c>
      <c r="U1374" s="1184" t="s">
        <v>365</v>
      </c>
      <c r="V1374" s="971" t="s">
        <v>3792</v>
      </c>
      <c r="W1374" s="971" t="s">
        <v>3796</v>
      </c>
      <c r="X1374" s="1190" t="s">
        <v>364</v>
      </c>
      <c r="Y1374" s="1190" t="s">
        <v>364</v>
      </c>
      <c r="Z1374" s="1184">
        <v>0</v>
      </c>
      <c r="AA1374" s="1194">
        <v>0</v>
      </c>
      <c r="AB1374" s="975" t="s">
        <v>3793</v>
      </c>
      <c r="AC1374" s="1192" t="str">
        <f>""</f>
        <v/>
      </c>
      <c r="AD1374" s="1193">
        <v>1</v>
      </c>
      <c r="AE1374" s="1193" t="s">
        <v>436</v>
      </c>
      <c r="AF1374" s="1193" t="s">
        <v>436</v>
      </c>
      <c r="AG1374" s="1193">
        <v>1</v>
      </c>
      <c r="AH1374" s="1193">
        <v>3</v>
      </c>
      <c r="AI1374" s="1193">
        <v>0</v>
      </c>
      <c r="AJ1374" s="1193">
        <f>VLOOKUP($I1374,'Price List, Weapons &amp; Items'!B:F,5,0)</f>
        <v>0</v>
      </c>
      <c r="AK1374" s="1193">
        <f t="shared" si="291"/>
        <v>0</v>
      </c>
      <c r="AL1374" s="1193">
        <f t="shared" si="292"/>
        <v>0</v>
      </c>
      <c r="AM1374" s="1193">
        <f t="shared" si="293"/>
        <v>0</v>
      </c>
      <c r="AN1374" s="1194" t="str">
        <f>VLOOKUP($I1374,'Price List, Weapons &amp; Items'!B:L,COLUMN('Price List, Weapons &amp; Items'!$J$11)-1,0)</f>
        <v>Media reports (incl. social media)</v>
      </c>
      <c r="AO1374" s="1194" t="str">
        <f>IF(I1374=".",".",VLOOKUP($I1374,'Price List, Weapons &amp; Items'!B:J,3,0))</f>
        <v>Light Anti-armor Weapon (LAW)</v>
      </c>
      <c r="AP1374" s="1195" t="str">
        <f t="shared" ca="1" si="287"/>
        <v>NLAW anti-tank weapon</v>
      </c>
      <c r="AQ1374" s="1194">
        <f>VLOOKUP($I1374,'Price List, Weapons &amp; Items'!B:L,COLUMN('Price List, Weapons &amp; Items'!$L$11)-1,0)</f>
        <v>2</v>
      </c>
      <c r="AR1374" s="1194">
        <f t="shared" si="294"/>
        <v>1</v>
      </c>
      <c r="AS1374" s="1194">
        <f t="shared" si="295"/>
        <v>1</v>
      </c>
      <c r="AT1374" s="1194">
        <f t="shared" si="296"/>
        <v>1</v>
      </c>
      <c r="AU1374" s="1194" t="str">
        <f t="shared" si="285"/>
        <v>.</v>
      </c>
      <c r="AV1374" s="1194" t="str">
        <f t="shared" si="288"/>
        <v>.</v>
      </c>
      <c r="AW1374" s="1194" t="str">
        <f t="shared" si="297"/>
        <v>.</v>
      </c>
      <c r="AX1374" s="1194">
        <f>IFERROR(VLOOKUP(B1374,'Share, Heavy Weapons to Ukraine'!B:Z,COLUMN('Share, Heavy Weapons to Ukraine'!C1386)-1,0),0)</f>
        <v>1</v>
      </c>
      <c r="AY1374" s="1194">
        <f>VLOOKUP('Bilateral Assistance, MAIN DATA'!B1374,'Country Summary (€)'!B:F,COLUMN('Country Summary (€)'!C1387)-1,FALSE)</f>
        <v>0</v>
      </c>
      <c r="AZ1374" s="1194" t="str">
        <f>IF(AND(AD1374=1,D1374="Military",H1374&lt;&gt;"Not given")=TRUE,IF(SUMIFS(P:P,A:A,A1374)&gt;0,ABS((SUMIFS(P:P,A:A,A1374)/VLOOKUP("USD",'Exchange Rates'!B:C,2,0)))/S1374,"."),".")</f>
        <v>.</v>
      </c>
      <c r="BA1374" s="1196" t="str">
        <f>IF(AND(AD1374=1,D1374="Military",H1374&lt;&gt;"Not given")=TRUE,IF(SUMIFS(P:P,A:A,A1374)&gt;0,IF((ABS((SUMIFS(P:P,A:A,A1374)/VLOOKUP("USD",'Exchange Rates'!B:C,2,0)))/S1374)&gt;1,(SUMIFS(P:P,A:A,A1374)-S1374)/S1374,(S1374-SUMIFS(P:P,A:A,A1374))/SUMIFS(P:P,A:A,A1374)),"."),".")</f>
        <v>.</v>
      </c>
    </row>
    <row r="1375" spans="1:53" ht="15.95" customHeight="1">
      <c r="A1375" s="1180" t="s">
        <v>3797</v>
      </c>
      <c r="B1375" s="1180" t="s">
        <v>3748</v>
      </c>
      <c r="C1375" s="1181">
        <v>44629</v>
      </c>
      <c r="D1375" s="1182" t="s">
        <v>389</v>
      </c>
      <c r="E1375" s="1182" t="s">
        <v>443</v>
      </c>
      <c r="F1375" s="1183" t="s">
        <v>3798</v>
      </c>
      <c r="G1375" s="1184" t="s">
        <v>364</v>
      </c>
      <c r="H1375" s="1185" t="s">
        <v>457</v>
      </c>
      <c r="I1375" s="1180" t="s">
        <v>3799</v>
      </c>
      <c r="J1375" s="1186" t="str">
        <f>VLOOKUP($I1375,'Price List, Weapons &amp; Items'!B:C,2,0)</f>
        <v>Portable defence system</v>
      </c>
      <c r="K1375" s="1186" t="str">
        <f>IF(I1375=".",I1375,VLOOKUP($I1375,'Price List, Weapons &amp; Items'!B:D,3,0))</f>
        <v>MANPADS</v>
      </c>
      <c r="L1375" s="1187">
        <f>VLOOKUP(I1375,'Price List, Weapons &amp; Items'!B:E,4,0)</f>
        <v>0</v>
      </c>
      <c r="M1375" s="1188" t="s">
        <v>374</v>
      </c>
      <c r="N1375" s="1188" t="s">
        <v>374</v>
      </c>
      <c r="O1375" s="1188">
        <f>VLOOKUP($I1375,'Price List, Weapons &amp; Items'!B:G,6,0)</f>
        <v>1750000</v>
      </c>
      <c r="P1375" s="1185" t="str">
        <f t="shared" si="289"/>
        <v>.</v>
      </c>
      <c r="Q1375" s="1185" t="str">
        <f t="shared" si="290"/>
        <v>.</v>
      </c>
      <c r="R1375" s="1185" t="str">
        <f t="shared" si="286"/>
        <v>.</v>
      </c>
      <c r="S1375" s="1185" t="str">
        <f>IF(AND(AD1375=1,R1375&lt;&gt;".")=TRUE,R1375/VLOOKUP(G1375,'Exchange Rates'!B:C,2,0),IF(R1375=".",".",""))</f>
        <v>.</v>
      </c>
      <c r="T1375" s="1185" t="str">
        <f>IF(AD1375=1,IF(AF1375="Value is not given at all",".",IF(AF1375="Value is given by the source",S1375,IF(AF1375="Value is calculated with prices",(IF(SUMIFS(Q:Q,A:A,A1375)&gt;0,SUMIFS(Q:Q,A:A,A1375),"."))/VLOOKUP("USD",'Exchange Rates'!B:C,2,0),"Error with coding"))),"")</f>
        <v>.</v>
      </c>
      <c r="U1375" s="1184" t="s">
        <v>365</v>
      </c>
      <c r="V1375" s="971" t="s">
        <v>3800</v>
      </c>
      <c r="W1375" s="971" t="s">
        <v>3801</v>
      </c>
      <c r="X1375" s="1190" t="s">
        <v>364</v>
      </c>
      <c r="Y1375" s="1190" t="s">
        <v>364</v>
      </c>
      <c r="Z1375" s="1184">
        <v>0</v>
      </c>
      <c r="AA1375" s="1194">
        <v>0</v>
      </c>
      <c r="AB1375" s="975" t="s">
        <v>3802</v>
      </c>
      <c r="AC1375" s="1192" t="str">
        <f>""</f>
        <v/>
      </c>
      <c r="AD1375" s="1193">
        <v>1</v>
      </c>
      <c r="AE1375" s="1193" t="s">
        <v>369</v>
      </c>
      <c r="AF1375" s="1193" t="s">
        <v>369</v>
      </c>
      <c r="AG1375" s="1193">
        <v>1</v>
      </c>
      <c r="AH1375" s="1193">
        <v>3</v>
      </c>
      <c r="AI1375" s="1193">
        <v>0</v>
      </c>
      <c r="AJ1375" s="1193">
        <f>VLOOKUP($I1375,'Price List, Weapons &amp; Items'!B:F,5,0)</f>
        <v>0</v>
      </c>
      <c r="AK1375" s="1193">
        <f t="shared" si="291"/>
        <v>0</v>
      </c>
      <c r="AL1375" s="1193">
        <f t="shared" si="292"/>
        <v>0</v>
      </c>
      <c r="AM1375" s="1193">
        <f t="shared" si="293"/>
        <v>0</v>
      </c>
      <c r="AN1375" s="1194" t="str">
        <f>VLOOKUP($I1375,'Price List, Weapons &amp; Items'!B:L,COLUMN('Price List, Weapons &amp; Items'!$J$11)-1,0)</f>
        <v>Contracts</v>
      </c>
      <c r="AO1375" s="1194" t="str">
        <f>IF(I1375=".",".",VLOOKUP($I1375,'Price List, Weapons &amp; Items'!B:J,3,0))</f>
        <v>MANPADS</v>
      </c>
      <c r="AP1375" s="1195" t="str">
        <f t="shared" ca="1" si="287"/>
        <v>Starstreak anti-aircraft missile system</v>
      </c>
      <c r="AQ1375" s="1194" t="str">
        <f>VLOOKUP($I1375,'Price List, Weapons &amp; Items'!B:L,COLUMN('Price List, Weapons &amp; Items'!$L$11)-1,0)</f>
        <v>no price, 0 count</v>
      </c>
      <c r="AR1375" s="1194">
        <f t="shared" si="294"/>
        <v>1</v>
      </c>
      <c r="AS1375" s="1194">
        <f t="shared" si="295"/>
        <v>1</v>
      </c>
      <c r="AT1375" s="1194">
        <f t="shared" si="296"/>
        <v>1</v>
      </c>
      <c r="AU1375" s="1194" t="str">
        <f t="shared" ref="AU1375:AU1438" si="298">IF(AND(A1375=A1374,C1375=C1374)=TRUE,IF(F1375=F1374,".","1"),".")</f>
        <v>.</v>
      </c>
      <c r="AV1375" s="1194" t="str">
        <f t="shared" si="288"/>
        <v>.</v>
      </c>
      <c r="AW1375" s="1194" t="str">
        <f t="shared" si="297"/>
        <v>.</v>
      </c>
      <c r="AX1375" s="1194">
        <f>IFERROR(VLOOKUP(B1375,'Share, Heavy Weapons to Ukraine'!B:Z,COLUMN('Share, Heavy Weapons to Ukraine'!C1387)-1,0),0)</f>
        <v>1</v>
      </c>
      <c r="AY1375" s="1194">
        <f>VLOOKUP('Bilateral Assistance, MAIN DATA'!B1375,'Country Summary (€)'!B:F,COLUMN('Country Summary (€)'!C1388)-1,FALSE)</f>
        <v>0</v>
      </c>
      <c r="AZ1375" s="1194" t="str">
        <f>IF(AND(AD1375=1,D1375="Military",H1375&lt;&gt;"Not given")=TRUE,IF(SUMIFS(P:P,A:A,A1375)&gt;0,ABS((SUMIFS(P:P,A:A,A1375)/VLOOKUP("USD",'Exchange Rates'!B:C,2,0)))/S1375,"."),".")</f>
        <v>.</v>
      </c>
      <c r="BA1375" s="1196" t="str">
        <f>IF(AND(AD1375=1,D1375="Military",H1375&lt;&gt;"Not given")=TRUE,IF(SUMIFS(P:P,A:A,A1375)&gt;0,IF((ABS((SUMIFS(P:P,A:A,A1375)/VLOOKUP("USD",'Exchange Rates'!B:C,2,0)))/S1375)&gt;1,(SUMIFS(P:P,A:A,A1375)-S1375)/S1375,(S1375-SUMIFS(P:P,A:A,A1375))/SUMIFS(P:P,A:A,A1375)),"."),".")</f>
        <v>.</v>
      </c>
    </row>
    <row r="1376" spans="1:53" ht="15.95" customHeight="1">
      <c r="A1376" s="1180" t="s">
        <v>3803</v>
      </c>
      <c r="B1376" s="1180" t="s">
        <v>3748</v>
      </c>
      <c r="C1376" s="1181">
        <v>44643</v>
      </c>
      <c r="D1376" s="1182" t="s">
        <v>389</v>
      </c>
      <c r="E1376" s="1182" t="s">
        <v>443</v>
      </c>
      <c r="F1376" s="1183" t="s">
        <v>3804</v>
      </c>
      <c r="G1376" s="1184" t="s">
        <v>456</v>
      </c>
      <c r="H1376" s="1185" t="s">
        <v>457</v>
      </c>
      <c r="I1376" s="1180" t="s">
        <v>3805</v>
      </c>
      <c r="J1376" s="1186" t="str">
        <f>VLOOKUP($I1376,'Price List, Weapons &amp; Items'!B:C,2,0)</f>
        <v>Ammunition for portable defence system</v>
      </c>
      <c r="K1376" s="1186" t="str">
        <f>IF(I1376=".",I1376,VLOOKUP($I1376,'Price List, Weapons &amp; Items'!B:D,3,0))</f>
        <v>Light Anti-armor Weapon (LAW) ammunition</v>
      </c>
      <c r="L1376" s="1187">
        <f>VLOOKUP(I1376,'Price List, Weapons &amp; Items'!B:E,4,0)</f>
        <v>0</v>
      </c>
      <c r="M1376" s="1188">
        <v>6000</v>
      </c>
      <c r="N1376" s="1188" t="s">
        <v>374</v>
      </c>
      <c r="O1376" s="1188">
        <f>VLOOKUP($I1376,'Price List, Weapons &amp; Items'!B:G,6,0)</f>
        <v>20000</v>
      </c>
      <c r="P1376" s="1185">
        <f t="shared" si="289"/>
        <v>120000000</v>
      </c>
      <c r="Q1376" s="1185" t="str">
        <f t="shared" si="290"/>
        <v>.</v>
      </c>
      <c r="R1376" s="1185">
        <f t="shared" si="286"/>
        <v>120000000</v>
      </c>
      <c r="S1376" s="1185">
        <f>IF(AND(AD1376=1,R1376&lt;&gt;".")=TRUE,R1376/VLOOKUP(G1376,'Exchange Rates'!B:C,2,0),IF(R1376=".",".",""))</f>
        <v>110415899.88958409</v>
      </c>
      <c r="T1376" s="1185" t="str">
        <f>IF(AD1376=1,IF(AF1376="Value is not given at all",".",IF(AF1376="Value is given by the source",S1376,IF(AF1376="Value is calculated with prices",(IF(SUMIFS(Q:Q,A:A,A1376)&gt;0,SUMIFS(Q:Q,A:A,A1376),"."))/VLOOKUP("USD",'Exchange Rates'!B:C,2,0),"Error with coding"))),"")</f>
        <v>.</v>
      </c>
      <c r="U1376" s="1184" t="s">
        <v>365</v>
      </c>
      <c r="V1376" s="971" t="s">
        <v>3806</v>
      </c>
      <c r="W1376" s="971" t="s">
        <v>3807</v>
      </c>
      <c r="X1376" s="1190" t="s">
        <v>364</v>
      </c>
      <c r="Y1376" s="1190" t="s">
        <v>364</v>
      </c>
      <c r="Z1376" s="1184">
        <v>0</v>
      </c>
      <c r="AA1376" s="1194">
        <v>0</v>
      </c>
      <c r="AB1376" s="1201" t="s">
        <v>364</v>
      </c>
      <c r="AC1376" s="1192" t="str">
        <f>""</f>
        <v/>
      </c>
      <c r="AD1376" s="1193">
        <v>1</v>
      </c>
      <c r="AE1376" s="1193" t="s">
        <v>436</v>
      </c>
      <c r="AF1376" s="1193" t="s">
        <v>369</v>
      </c>
      <c r="AG1376" s="1193">
        <v>1</v>
      </c>
      <c r="AH1376" s="1193">
        <v>3</v>
      </c>
      <c r="AI1376" s="1193">
        <v>0</v>
      </c>
      <c r="AJ1376" s="1193">
        <f>VLOOKUP($I1376,'Price List, Weapons &amp; Items'!B:F,5,0)</f>
        <v>0</v>
      </c>
      <c r="AK1376" s="1193">
        <f t="shared" si="291"/>
        <v>0</v>
      </c>
      <c r="AL1376" s="1193">
        <f t="shared" si="292"/>
        <v>0</v>
      </c>
      <c r="AM1376" s="1193">
        <f t="shared" si="293"/>
        <v>0</v>
      </c>
      <c r="AN1376" s="1194" t="str">
        <f>VLOOKUP($I1376,'Price List, Weapons &amp; Items'!B:L,COLUMN('Price List, Weapons &amp; Items'!$J$11)-1,0)</f>
        <v>Media reports (incl. social media)</v>
      </c>
      <c r="AO1376" s="1194" t="str">
        <f>IF(I1376=".",".",VLOOKUP($I1376,'Price List, Weapons &amp; Items'!B:J,3,0))</f>
        <v>Light Anti-armor Weapon (LAW) ammunition</v>
      </c>
      <c r="AP1376" s="1195" t="str">
        <f t="shared" ca="1" si="287"/>
        <v>defensive missile</v>
      </c>
      <c r="AQ1376" s="1194">
        <f>VLOOKUP($I1376,'Price List, Weapons &amp; Items'!B:L,COLUMN('Price List, Weapons &amp; Items'!$L$11)-1,0)</f>
        <v>2</v>
      </c>
      <c r="AR1376" s="1194">
        <f t="shared" si="294"/>
        <v>1</v>
      </c>
      <c r="AS1376" s="1194">
        <f t="shared" si="295"/>
        <v>1</v>
      </c>
      <c r="AT1376" s="1194">
        <f t="shared" si="296"/>
        <v>1</v>
      </c>
      <c r="AU1376" s="1194" t="str">
        <f t="shared" si="298"/>
        <v>.</v>
      </c>
      <c r="AV1376" s="1194" t="str">
        <f t="shared" si="288"/>
        <v>.</v>
      </c>
      <c r="AW1376" s="1194" t="str">
        <f t="shared" si="297"/>
        <v>.</v>
      </c>
      <c r="AX1376" s="1194">
        <f>IFERROR(VLOOKUP(B1376,'Share, Heavy Weapons to Ukraine'!B:Z,COLUMN('Share, Heavy Weapons to Ukraine'!C1388)-1,0),0)</f>
        <v>1</v>
      </c>
      <c r="AY1376" s="1194">
        <f>VLOOKUP('Bilateral Assistance, MAIN DATA'!B1376,'Country Summary (€)'!B:F,COLUMN('Country Summary (€)'!C1389)-1,FALSE)</f>
        <v>0</v>
      </c>
      <c r="AZ1376" s="1194" t="str">
        <f>IF(AND(AD1376=1,D1376="Military",H1376&lt;&gt;"Not given")=TRUE,IF(SUMIFS(P:P,A:A,A1376)&gt;0,ABS((SUMIFS(P:P,A:A,A1376)/VLOOKUP("USD",'Exchange Rates'!B:C,2,0)))/S1376,"."),".")</f>
        <v>.</v>
      </c>
      <c r="BA1376" s="1196" t="str">
        <f>IF(AND(AD1376=1,D1376="Military",H1376&lt;&gt;"Not given")=TRUE,IF(SUMIFS(P:P,A:A,A1376)&gt;0,IF((ABS((SUMIFS(P:P,A:A,A1376)/VLOOKUP("USD",'Exchange Rates'!B:C,2,0)))/S1376)&gt;1,(SUMIFS(P:P,A:A,A1376)-S1376)/S1376,(S1376-SUMIFS(P:P,A:A,A1376))/SUMIFS(P:P,A:A,A1376)),"."),".")</f>
        <v>.</v>
      </c>
    </row>
    <row r="1377" spans="1:53" ht="15.95" customHeight="1">
      <c r="A1377" s="1182" t="s">
        <v>3808</v>
      </c>
      <c r="B1377" s="1182" t="s">
        <v>3748</v>
      </c>
      <c r="C1377" s="1181">
        <v>44644</v>
      </c>
      <c r="D1377" s="1182" t="s">
        <v>389</v>
      </c>
      <c r="E1377" s="1182" t="s">
        <v>443</v>
      </c>
      <c r="F1377" s="1183" t="s">
        <v>3809</v>
      </c>
      <c r="G1377" s="1184" t="s">
        <v>456</v>
      </c>
      <c r="H1377" s="1185" t="s">
        <v>457</v>
      </c>
      <c r="I1377" s="1180" t="s">
        <v>3810</v>
      </c>
      <c r="J1377" s="1186" t="str">
        <f>VLOOKUP($I1377,'Price List, Weapons &amp; Items'!B:C,2,0)</f>
        <v>Ammunition for portable defence system</v>
      </c>
      <c r="K1377" s="1186" t="str">
        <f>IF(I1377=".",I1377,VLOOKUP($I1377,'Price List, Weapons &amp; Items'!B:D,3,0))</f>
        <v>Light Anti-armor Weapon (LAW) ammunition</v>
      </c>
      <c r="L1377" s="1187">
        <f>VLOOKUP(I1377,'Price List, Weapons &amp; Items'!B:E,4,0)</f>
        <v>0</v>
      </c>
      <c r="M1377" s="1188">
        <v>6000</v>
      </c>
      <c r="N1377" s="1188">
        <f>M1377</f>
        <v>6000</v>
      </c>
      <c r="O1377" s="1188">
        <f>VLOOKUP($I1377,'Price List, Weapons &amp; Items'!B:G,6,0)</f>
        <v>78000</v>
      </c>
      <c r="P1377" s="1185">
        <f t="shared" si="289"/>
        <v>468000000</v>
      </c>
      <c r="Q1377" s="1185">
        <f t="shared" si="290"/>
        <v>468000000</v>
      </c>
      <c r="R1377" s="1185">
        <f t="shared" si="286"/>
        <v>468000000</v>
      </c>
      <c r="S1377" s="1185">
        <f>IF(AND(AD1377=1,R1377&lt;&gt;".")=TRUE,R1377/VLOOKUP(G1377,'Exchange Rates'!B:C,2,0),IF(R1377=".",".",""))</f>
        <v>430622009.56937802</v>
      </c>
      <c r="T1377" s="1185">
        <f>IF(AD1377=1,IF(AF1377="Value is not given at all",".",IF(AF1377="Value is given by the source",S1377,IF(AF1377="Value is calculated with prices",(IF(SUMIFS(Q:Q,A:A,A1377)&gt;0,SUMIFS(Q:Q,A:A,A1377),"."))/VLOOKUP("USD",'Exchange Rates'!B:C,2,0),"Error with coding"))),"")</f>
        <v>430622009.56937802</v>
      </c>
      <c r="U1377" s="1184" t="s">
        <v>365</v>
      </c>
      <c r="V1377" s="974" t="s">
        <v>3811</v>
      </c>
      <c r="W1377" s="974" t="s">
        <v>3812</v>
      </c>
      <c r="X1377" s="1183" t="s">
        <v>364</v>
      </c>
      <c r="Y1377" s="1183" t="s">
        <v>364</v>
      </c>
      <c r="Z1377" s="1184">
        <v>0</v>
      </c>
      <c r="AA1377" s="1194">
        <v>0</v>
      </c>
      <c r="AB1377" s="975" t="s">
        <v>3813</v>
      </c>
      <c r="AC1377" s="1192" t="str">
        <f>""</f>
        <v/>
      </c>
      <c r="AD1377" s="1193">
        <v>1</v>
      </c>
      <c r="AE1377" s="1193" t="s">
        <v>436</v>
      </c>
      <c r="AF1377" s="1193" t="s">
        <v>436</v>
      </c>
      <c r="AG1377" s="1193">
        <v>1</v>
      </c>
      <c r="AH1377" s="1193">
        <v>3</v>
      </c>
      <c r="AI1377" s="1193">
        <v>0</v>
      </c>
      <c r="AJ1377" s="1193">
        <f>VLOOKUP($I1377,'Price List, Weapons &amp; Items'!B:F,5,0)</f>
        <v>0</v>
      </c>
      <c r="AK1377" s="1193">
        <f t="shared" si="291"/>
        <v>0</v>
      </c>
      <c r="AL1377" s="1193">
        <f t="shared" si="292"/>
        <v>0</v>
      </c>
      <c r="AM1377" s="1193">
        <f t="shared" si="293"/>
        <v>0</v>
      </c>
      <c r="AN1377" s="1194" t="str">
        <f>VLOOKUP($I1377,'Price List, Weapons &amp; Items'!B:L,COLUMN('Price List, Weapons &amp; Items'!$J$11)-1,0)</f>
        <v>Military media (incl. websites)</v>
      </c>
      <c r="AO1377" s="1194" t="str">
        <f>IF(I1377=".",".",VLOOKUP($I1377,'Price List, Weapons &amp; Items'!B:J,3,0))</f>
        <v>Light Anti-armor Weapon (LAW) ammunition</v>
      </c>
      <c r="AP1377" s="1195" t="str">
        <f t="shared" ca="1" si="287"/>
        <v>missile (including NLAWs and Javelin anti-tank weapons)</v>
      </c>
      <c r="AQ1377" s="1194">
        <f>VLOOKUP($I1377,'Price List, Weapons &amp; Items'!B:L,COLUMN('Price List, Weapons &amp; Items'!$L$11)-1,0)</f>
        <v>2</v>
      </c>
      <c r="AR1377" s="1194">
        <f t="shared" si="294"/>
        <v>1</v>
      </c>
      <c r="AS1377" s="1194">
        <f t="shared" si="295"/>
        <v>1</v>
      </c>
      <c r="AT1377" s="1194">
        <f t="shared" si="296"/>
        <v>1</v>
      </c>
      <c r="AU1377" s="1194" t="str">
        <f t="shared" si="298"/>
        <v>.</v>
      </c>
      <c r="AV1377" s="1194" t="str">
        <f t="shared" si="288"/>
        <v>.</v>
      </c>
      <c r="AW1377" s="1194" t="str">
        <f t="shared" si="297"/>
        <v>.</v>
      </c>
      <c r="AX1377" s="1194">
        <f>IFERROR(VLOOKUP(B1377,'Share, Heavy Weapons to Ukraine'!B:Z,COLUMN('Share, Heavy Weapons to Ukraine'!C1389)-1,0),0)</f>
        <v>1</v>
      </c>
      <c r="AY1377" s="1194">
        <f>VLOOKUP('Bilateral Assistance, MAIN DATA'!B1377,'Country Summary (€)'!B:F,COLUMN('Country Summary (€)'!C1390)-1,FALSE)</f>
        <v>0</v>
      </c>
      <c r="AZ1377" s="1194" t="str">
        <f>IF(AND(AD1377=1,D1377="Military",H1377&lt;&gt;"Not given")=TRUE,IF(SUMIFS(P:P,A:A,A1377)&gt;0,ABS((SUMIFS(P:P,A:A,A1377)/VLOOKUP("USD",'Exchange Rates'!B:C,2,0)))/S1377,"."),".")</f>
        <v>.</v>
      </c>
      <c r="BA1377" s="1196" t="str">
        <f>IF(AND(AD1377=1,D1377="Military",H1377&lt;&gt;"Not given")=TRUE,IF(SUMIFS(P:P,A:A,A1377)&gt;0,IF((ABS((SUMIFS(P:P,A:A,A1377)/VLOOKUP("USD",'Exchange Rates'!B:C,2,0)))/S1377)&gt;1,(SUMIFS(P:P,A:A,A1377)-S1377)/S1377,(S1377-SUMIFS(P:P,A:A,A1377))/SUMIFS(P:P,A:A,A1377)),"."),".")</f>
        <v>.</v>
      </c>
    </row>
    <row r="1378" spans="1:53" ht="15.95" customHeight="1">
      <c r="A1378" s="1182" t="s">
        <v>3808</v>
      </c>
      <c r="B1378" s="1182" t="s">
        <v>3748</v>
      </c>
      <c r="C1378" s="1181">
        <v>44644</v>
      </c>
      <c r="D1378" s="1182" t="s">
        <v>389</v>
      </c>
      <c r="E1378" s="1182" t="s">
        <v>443</v>
      </c>
      <c r="F1378" s="1183" t="s">
        <v>3809</v>
      </c>
      <c r="G1378" s="1184" t="s">
        <v>456</v>
      </c>
      <c r="H1378" s="1185" t="s">
        <v>457</v>
      </c>
      <c r="I1378" s="1180" t="s">
        <v>3814</v>
      </c>
      <c r="J1378" s="1186" t="str">
        <f>VLOOKUP($I1378,'Price List, Weapons &amp; Items'!B:C,2,0)</f>
        <v>Ammunition for portable defence system</v>
      </c>
      <c r="K1378" s="1186" t="str">
        <f>IF(I1378=".",I1378,VLOOKUP($I1378,'Price List, Weapons &amp; Items'!B:D,3,0))</f>
        <v>MANPADS ammunition</v>
      </c>
      <c r="L1378" s="1187">
        <f>VLOOKUP(I1378,'Price List, Weapons &amp; Items'!B:E,4,0)</f>
        <v>0</v>
      </c>
      <c r="M1378" s="1188" t="s">
        <v>374</v>
      </c>
      <c r="N1378" s="1188" t="str">
        <f>M1378</f>
        <v>undisclosed</v>
      </c>
      <c r="O1378" s="1188">
        <f>VLOOKUP($I1378,'Price List, Weapons &amp; Items'!B:G,6,0)</f>
        <v>194000</v>
      </c>
      <c r="P1378" s="1185" t="str">
        <f t="shared" si="289"/>
        <v>.</v>
      </c>
      <c r="Q1378" s="1185" t="str">
        <f t="shared" si="290"/>
        <v>.</v>
      </c>
      <c r="R1378" s="1185" t="str">
        <f t="shared" si="286"/>
        <v/>
      </c>
      <c r="S1378" s="1185" t="str">
        <f>IF(AND(AD1378=1,R1378&lt;&gt;".")=TRUE,R1378/VLOOKUP(G1378,'Exchange Rates'!B:C,2,0),IF(R1378=".",".",""))</f>
        <v/>
      </c>
      <c r="T1378" s="1185" t="str">
        <f>IF(AD1378=1,IF(AF1378="Value is not given at all",".",IF(AF1378="Value is given by the source",S1378,IF(AF1378="Value is calculated with prices",(IF(SUMIFS(Q:Q,A:A,A1378)&gt;0,SUMIFS(Q:Q,A:A,A1378),"."))/VLOOKUP("USD",'Exchange Rates'!B:C,2,0),"Error with coding"))),"")</f>
        <v/>
      </c>
      <c r="U1378" s="1184" t="s">
        <v>365</v>
      </c>
      <c r="V1378" s="974" t="s">
        <v>3811</v>
      </c>
      <c r="W1378" s="974" t="s">
        <v>3812</v>
      </c>
      <c r="X1378" s="1183" t="s">
        <v>364</v>
      </c>
      <c r="Y1378" s="1183" t="s">
        <v>364</v>
      </c>
      <c r="Z1378" s="1184">
        <v>0</v>
      </c>
      <c r="AA1378" s="1194">
        <v>0</v>
      </c>
      <c r="AB1378" s="975" t="s">
        <v>3813</v>
      </c>
      <c r="AC1378" s="1192" t="str">
        <f>""</f>
        <v/>
      </c>
      <c r="AD1378" s="1193">
        <v>0</v>
      </c>
      <c r="AE1378" s="1193" t="s">
        <v>436</v>
      </c>
      <c r="AF1378" s="1193" t="s">
        <v>436</v>
      </c>
      <c r="AG1378" s="1193">
        <v>1</v>
      </c>
      <c r="AH1378" s="1193">
        <v>3</v>
      </c>
      <c r="AI1378" s="1193">
        <v>0</v>
      </c>
      <c r="AJ1378" s="1193">
        <f>VLOOKUP($I1378,'Price List, Weapons &amp; Items'!B:F,5,0)</f>
        <v>0</v>
      </c>
      <c r="AK1378" s="1193">
        <f t="shared" si="291"/>
        <v>0</v>
      </c>
      <c r="AL1378" s="1193">
        <f t="shared" si="292"/>
        <v>0</v>
      </c>
      <c r="AM1378" s="1193">
        <f t="shared" si="293"/>
        <v>0</v>
      </c>
      <c r="AN1378" s="1194" t="str">
        <f>VLOOKUP($I1378,'Price List, Weapons &amp; Items'!B:L,COLUMN('Price List, Weapons &amp; Items'!$J$11)-1,0)</f>
        <v>Contracts</v>
      </c>
      <c r="AO1378" s="1194" t="str">
        <f>IF(I1378=".",".",VLOOKUP($I1378,'Price List, Weapons &amp; Items'!B:J,3,0))</f>
        <v>MANPADS ammunition</v>
      </c>
      <c r="AP1378" s="1195" t="str">
        <f t="shared" ca="1" si="287"/>
        <v/>
      </c>
      <c r="AQ1378" s="1194" t="str">
        <f>VLOOKUP($I1378,'Price List, Weapons &amp; Items'!B:L,COLUMN('Price List, Weapons &amp; Items'!$L$11)-1,0)</f>
        <v>no price, 0 count</v>
      </c>
      <c r="AR1378" s="1194">
        <f t="shared" si="294"/>
        <v>1</v>
      </c>
      <c r="AS1378" s="1194">
        <f t="shared" si="295"/>
        <v>1</v>
      </c>
      <c r="AT1378" s="1194">
        <f t="shared" si="296"/>
        <v>1</v>
      </c>
      <c r="AU1378" s="1194" t="str">
        <f t="shared" si="298"/>
        <v>.</v>
      </c>
      <c r="AV1378" s="1194" t="str">
        <f t="shared" si="288"/>
        <v>.</v>
      </c>
      <c r="AW1378" s="1194" t="str">
        <f t="shared" si="297"/>
        <v>.</v>
      </c>
      <c r="AX1378" s="1194">
        <f>IFERROR(VLOOKUP(B1378,'Share, Heavy Weapons to Ukraine'!B:Z,COLUMN('Share, Heavy Weapons to Ukraine'!C1390)-1,0),0)</f>
        <v>1</v>
      </c>
      <c r="AY1378" s="1194">
        <f>VLOOKUP('Bilateral Assistance, MAIN DATA'!B1378,'Country Summary (€)'!B:F,COLUMN('Country Summary (€)'!C1391)-1,FALSE)</f>
        <v>0</v>
      </c>
      <c r="AZ1378" s="1194" t="str">
        <f>IF(AND(AD1378=1,D1378="Military",H1378&lt;&gt;"Not given")=TRUE,IF(SUMIFS(P:P,A:A,A1378)&gt;0,ABS((SUMIFS(P:P,A:A,A1378)/VLOOKUP("USD",'Exchange Rates'!B:C,2,0)))/S1378,"."),".")</f>
        <v>.</v>
      </c>
      <c r="BA1378" s="1196" t="str">
        <f>IF(AND(AD1378=1,D1378="Military",H1378&lt;&gt;"Not given")=TRUE,IF(SUMIFS(P:P,A:A,A1378)&gt;0,IF((ABS((SUMIFS(P:P,A:A,A1378)/VLOOKUP("USD",'Exchange Rates'!B:C,2,0)))/S1378)&gt;1,(SUMIFS(P:P,A:A,A1378)-S1378)/S1378,(S1378-SUMIFS(P:P,A:A,A1378))/SUMIFS(P:P,A:A,A1378)),"."),".")</f>
        <v>.</v>
      </c>
    </row>
    <row r="1379" spans="1:53" ht="15.95" customHeight="1">
      <c r="A1379" s="1182" t="s">
        <v>3815</v>
      </c>
      <c r="B1379" s="1182" t="s">
        <v>3748</v>
      </c>
      <c r="C1379" s="1181">
        <v>44659</v>
      </c>
      <c r="D1379" s="1182" t="s">
        <v>389</v>
      </c>
      <c r="E1379" s="1182" t="s">
        <v>390</v>
      </c>
      <c r="F1379" s="1183" t="s">
        <v>3816</v>
      </c>
      <c r="G1379" s="1184" t="s">
        <v>3750</v>
      </c>
      <c r="H1379" s="1185">
        <v>100000000</v>
      </c>
      <c r="I1379" s="1180" t="s">
        <v>2632</v>
      </c>
      <c r="J1379" s="1186" t="str">
        <f>VLOOKUP($I1379,'Price List, Weapons &amp; Items'!B:C,2,0)</f>
        <v>Portable defence system</v>
      </c>
      <c r="K1379" s="1186" t="str">
        <f>IF(I1379=".",I1379,VLOOKUP($I1379,'Price List, Weapons &amp; Items'!B:D,3,0))</f>
        <v>Light Anti-armor Weapon (LAW)</v>
      </c>
      <c r="L1379" s="1187">
        <f>VLOOKUP(I1379,'Price List, Weapons &amp; Items'!B:E,4,0)</f>
        <v>0</v>
      </c>
      <c r="M1379" s="1188">
        <v>800</v>
      </c>
      <c r="N1379" s="1188">
        <v>800</v>
      </c>
      <c r="O1379" s="1188">
        <f>VLOOKUP($I1379,'Price List, Weapons &amp; Items'!B:G,6,0)</f>
        <v>40000</v>
      </c>
      <c r="P1379" s="1185">
        <f t="shared" si="289"/>
        <v>32000000</v>
      </c>
      <c r="Q1379" s="1185">
        <f t="shared" si="290"/>
        <v>32000000</v>
      </c>
      <c r="R1379" s="1185">
        <f t="shared" si="286"/>
        <v>100000000</v>
      </c>
      <c r="S1379" s="1185">
        <f>IF(AND(AD1379=1,R1379&lt;&gt;".")=TRUE,R1379/VLOOKUP(G1379,'Exchange Rates'!B:C,2,0),IF(R1379=".",".",""))</f>
        <v>114889705.88235295</v>
      </c>
      <c r="T1379" s="1185">
        <f>IF(AD1379=1,IF(AF1379="Value is not given at all",".",IF(AF1379="Value is given by the source",S1379,IF(AF1379="Value is calculated with prices",(IF(SUMIFS(Q:Q,A:A,A1379)&gt;0,SUMIFS(Q:Q,A:A,A1379),"."))/VLOOKUP("USD",'Exchange Rates'!B:C,2,0),"Error with coding"))),"")</f>
        <v>114889705.88235295</v>
      </c>
      <c r="U1379" s="1184" t="s">
        <v>365</v>
      </c>
      <c r="V1379" s="974" t="s">
        <v>3817</v>
      </c>
      <c r="W1379" s="974" t="s">
        <v>3818</v>
      </c>
      <c r="X1379" s="974" t="s">
        <v>3819</v>
      </c>
      <c r="Y1379" s="974" t="s">
        <v>3820</v>
      </c>
      <c r="Z1379" s="1184">
        <v>0</v>
      </c>
      <c r="AA1379" s="1194">
        <v>0</v>
      </c>
      <c r="AB1379" s="1201" t="s">
        <v>364</v>
      </c>
      <c r="AC1379" s="1192" t="str">
        <f>""</f>
        <v/>
      </c>
      <c r="AD1379" s="1193">
        <v>1</v>
      </c>
      <c r="AE1379" s="1193" t="s">
        <v>368</v>
      </c>
      <c r="AF1379" s="1193" t="s">
        <v>368</v>
      </c>
      <c r="AG1379" s="1193">
        <v>1</v>
      </c>
      <c r="AH1379" s="1193">
        <v>4</v>
      </c>
      <c r="AI1379" s="1193">
        <v>0</v>
      </c>
      <c r="AJ1379" s="1193">
        <f>VLOOKUP($I1379,'Price List, Weapons &amp; Items'!B:F,5,0)</f>
        <v>0</v>
      </c>
      <c r="AK1379" s="1193">
        <f t="shared" si="291"/>
        <v>0</v>
      </c>
      <c r="AL1379" s="1193">
        <f t="shared" si="292"/>
        <v>0</v>
      </c>
      <c r="AM1379" s="1193">
        <f t="shared" si="293"/>
        <v>0</v>
      </c>
      <c r="AN1379" s="1194" t="str">
        <f>VLOOKUP($I1379,'Price List, Weapons &amp; Items'!B:L,COLUMN('Price List, Weapons &amp; Items'!$J$11)-1,0)</f>
        <v>Media reports (incl. social media)</v>
      </c>
      <c r="AO1379" s="1194" t="str">
        <f>IF(I1379=".",".",VLOOKUP($I1379,'Price List, Weapons &amp; Items'!B:J,3,0))</f>
        <v>Light Anti-armor Weapon (LAW)</v>
      </c>
      <c r="AP1379" s="1195" t="str">
        <f t="shared" ca="1" si="287"/>
        <v>NLAW anti-tank weapon</v>
      </c>
      <c r="AQ1379" s="1194">
        <f>VLOOKUP($I1379,'Price List, Weapons &amp; Items'!B:L,COLUMN('Price List, Weapons &amp; Items'!$L$11)-1,0)</f>
        <v>2</v>
      </c>
      <c r="AR1379" s="1194">
        <f t="shared" si="294"/>
        <v>1</v>
      </c>
      <c r="AS1379" s="1194">
        <f t="shared" si="295"/>
        <v>1</v>
      </c>
      <c r="AT1379" s="1194">
        <f t="shared" si="296"/>
        <v>1</v>
      </c>
      <c r="AU1379" s="1194" t="str">
        <f t="shared" si="298"/>
        <v>.</v>
      </c>
      <c r="AV1379" s="1194" t="str">
        <f t="shared" si="288"/>
        <v>.</v>
      </c>
      <c r="AW1379" s="1194" t="str">
        <f t="shared" si="297"/>
        <v>.</v>
      </c>
      <c r="AX1379" s="1194">
        <f>IFERROR(VLOOKUP(B1379,'Share, Heavy Weapons to Ukraine'!B:Z,COLUMN('Share, Heavy Weapons to Ukraine'!C1391)-1,0),0)</f>
        <v>1</v>
      </c>
      <c r="AY1379" s="1194">
        <f>VLOOKUP('Bilateral Assistance, MAIN DATA'!B1379,'Country Summary (€)'!B:F,COLUMN('Country Summary (€)'!C1392)-1,FALSE)</f>
        <v>0</v>
      </c>
      <c r="AZ1379" s="1194">
        <f>IF(AND(AD1379=1,D1379="Military",H1379&lt;&gt;"Not given")=TRUE,IF(SUMIFS(P:P,A:A,A1379)&gt;0,ABS((SUMIFS(P:P,A:A,A1379)/VLOOKUP("USD",'Exchange Rates'!B:C,2,0)))/S1379,"."),".")</f>
        <v>1.3024365108575635</v>
      </c>
      <c r="BA1379" s="1196">
        <f>IF(AND(AD1379=1,D1379="Military",H1379&lt;&gt;"Not given")=TRUE,IF(SUMIFS(P:P,A:A,A1379)&gt;0,IF((ABS((SUMIFS(P:P,A:A,A1379)/VLOOKUP("USD",'Exchange Rates'!B:C,2,0)))/S1379)&gt;1,(SUMIFS(P:P,A:A,A1379)-S1379)/S1379,(S1379-SUMIFS(P:P,A:A,A1379))/SUMIFS(P:P,A:A,A1379)),"."),".")</f>
        <v>0.41548799999999991</v>
      </c>
    </row>
    <row r="1380" spans="1:53" ht="15.95" customHeight="1">
      <c r="A1380" s="1182" t="s">
        <v>3815</v>
      </c>
      <c r="B1380" s="1182" t="s">
        <v>3748</v>
      </c>
      <c r="C1380" s="1181">
        <v>44659</v>
      </c>
      <c r="D1380" s="1182" t="s">
        <v>389</v>
      </c>
      <c r="E1380" s="1182" t="s">
        <v>390</v>
      </c>
      <c r="F1380" s="1183" t="s">
        <v>3816</v>
      </c>
      <c r="G1380" s="1184" t="s">
        <v>3750</v>
      </c>
      <c r="H1380" s="1185">
        <v>100000000</v>
      </c>
      <c r="I1380" s="1180" t="s">
        <v>1314</v>
      </c>
      <c r="J1380" s="1186" t="str">
        <f>VLOOKUP($I1380,'Price List, Weapons &amp; Items'!B:C,2,0)</f>
        <v>Ammunition for portable defence system</v>
      </c>
      <c r="K1380" s="1186" t="str">
        <f>IF(I1380=".",I1380,VLOOKUP($I1380,'Price List, Weapons &amp; Items'!B:D,3,0))</f>
        <v>Light Anti-armor Weapon (LAW) ammunition</v>
      </c>
      <c r="L1380" s="1187">
        <f>VLOOKUP(I1380,'Price List, Weapons &amp; Items'!B:E,4,0)</f>
        <v>0</v>
      </c>
      <c r="M1380" s="1188" t="s">
        <v>374</v>
      </c>
      <c r="N1380" s="1188">
        <v>201</v>
      </c>
      <c r="O1380" s="1188">
        <f>VLOOKUP($I1380,'Price List, Weapons &amp; Items'!B:G,6,0)</f>
        <v>78000</v>
      </c>
      <c r="P1380" s="1185" t="str">
        <f t="shared" si="289"/>
        <v>.</v>
      </c>
      <c r="Q1380" s="1185">
        <f t="shared" si="290"/>
        <v>15678000</v>
      </c>
      <c r="R1380" s="1185" t="str">
        <f t="shared" si="286"/>
        <v/>
      </c>
      <c r="S1380" s="1185" t="str">
        <f>IF(AND(AD1380=1,R1380&lt;&gt;".")=TRUE,R1380/VLOOKUP(G1380,'Exchange Rates'!B:C,2,0),IF(R1380=".",".",""))</f>
        <v/>
      </c>
      <c r="T1380" s="1185" t="str">
        <f>IF(AD1380=1,IF(AF1380="Value is not given at all",".",IF(AF1380="Value is given by the source",S1380,IF(AF1380="Value is calculated with prices",(IF(SUMIFS(Q:Q,A:A,A1380)&gt;0,SUMIFS(Q:Q,A:A,A1380),"."))/VLOOKUP("USD",'Exchange Rates'!B:C,2,0),"Error with coding"))),"")</f>
        <v/>
      </c>
      <c r="U1380" s="1184" t="s">
        <v>365</v>
      </c>
      <c r="V1380" s="974" t="s">
        <v>3817</v>
      </c>
      <c r="W1380" s="974" t="s">
        <v>3818</v>
      </c>
      <c r="X1380" s="974" t="s">
        <v>3819</v>
      </c>
      <c r="Y1380" s="974" t="s">
        <v>3820</v>
      </c>
      <c r="Z1380" s="1184">
        <v>0</v>
      </c>
      <c r="AA1380" s="1194">
        <v>0</v>
      </c>
      <c r="AB1380" s="975" t="s">
        <v>3793</v>
      </c>
      <c r="AC1380" s="1192" t="str">
        <f>""</f>
        <v/>
      </c>
      <c r="AD1380" s="1193">
        <v>0</v>
      </c>
      <c r="AE1380" s="1193" t="s">
        <v>368</v>
      </c>
      <c r="AF1380" s="1193" t="s">
        <v>368</v>
      </c>
      <c r="AG1380" s="1193">
        <v>1</v>
      </c>
      <c r="AH1380" s="1193">
        <v>4</v>
      </c>
      <c r="AI1380" s="1193">
        <v>0</v>
      </c>
      <c r="AJ1380" s="1193">
        <f>VLOOKUP($I1380,'Price List, Weapons &amp; Items'!B:F,5,0)</f>
        <v>0</v>
      </c>
      <c r="AK1380" s="1193">
        <f t="shared" si="291"/>
        <v>0</v>
      </c>
      <c r="AL1380" s="1193">
        <f t="shared" si="292"/>
        <v>0</v>
      </c>
      <c r="AM1380" s="1193">
        <f t="shared" si="293"/>
        <v>0</v>
      </c>
      <c r="AN1380" s="1194" t="str">
        <f>VLOOKUP($I1380,'Price List, Weapons &amp; Items'!B:L,COLUMN('Price List, Weapons &amp; Items'!$J$11)-1,0)</f>
        <v>Military media (incl. websites)</v>
      </c>
      <c r="AO1380" s="1194" t="str">
        <f>IF(I1380=".",".",VLOOKUP($I1380,'Price List, Weapons &amp; Items'!B:J,3,0))</f>
        <v>Light Anti-armor Weapon (LAW) ammunition</v>
      </c>
      <c r="AP1380" s="1195" t="str">
        <f t="shared" ca="1" si="287"/>
        <v/>
      </c>
      <c r="AQ1380" s="1194">
        <f>VLOOKUP($I1380,'Price List, Weapons &amp; Items'!B:L,COLUMN('Price List, Weapons &amp; Items'!$L$11)-1,0)</f>
        <v>2</v>
      </c>
      <c r="AR1380" s="1194">
        <f t="shared" si="294"/>
        <v>1</v>
      </c>
      <c r="AS1380" s="1194">
        <f t="shared" si="295"/>
        <v>1</v>
      </c>
      <c r="AT1380" s="1194">
        <f t="shared" si="296"/>
        <v>1</v>
      </c>
      <c r="AU1380" s="1194" t="str">
        <f t="shared" si="298"/>
        <v>.</v>
      </c>
      <c r="AV1380" s="1194" t="str">
        <f t="shared" si="288"/>
        <v>.</v>
      </c>
      <c r="AW1380" s="1194" t="str">
        <f t="shared" si="297"/>
        <v>.</v>
      </c>
      <c r="AX1380" s="1194">
        <f>IFERROR(VLOOKUP(B1380,'Share, Heavy Weapons to Ukraine'!B:Z,COLUMN('Share, Heavy Weapons to Ukraine'!C1392)-1,0),0)</f>
        <v>1</v>
      </c>
      <c r="AY1380" s="1194">
        <f>VLOOKUP('Bilateral Assistance, MAIN DATA'!B1380,'Country Summary (€)'!B:F,COLUMN('Country Summary (€)'!C1393)-1,FALSE)</f>
        <v>0</v>
      </c>
      <c r="AZ1380" s="1194" t="str">
        <f>IF(AND(AD1380=1,D1380="Military",H1380&lt;&gt;"Not given")=TRUE,IF(SUMIFS(P:P,A:A,A1380)&gt;0,ABS((SUMIFS(P:P,A:A,A1380)/VLOOKUP("USD",'Exchange Rates'!B:C,2,0)))/S1380,"."),".")</f>
        <v>.</v>
      </c>
      <c r="BA1380" s="1196" t="str">
        <f>IF(AND(AD1380=1,D1380="Military",H1380&lt;&gt;"Not given")=TRUE,IF(SUMIFS(P:P,A:A,A1380)&gt;0,IF((ABS((SUMIFS(P:P,A:A,A1380)/VLOOKUP("USD",'Exchange Rates'!B:C,2,0)))/S1380)&gt;1,(SUMIFS(P:P,A:A,A1380)-S1380)/S1380,(S1380-SUMIFS(P:P,A:A,A1380))/SUMIFS(P:P,A:A,A1380)),"."),".")</f>
        <v>.</v>
      </c>
    </row>
    <row r="1381" spans="1:53" ht="15.95" customHeight="1">
      <c r="A1381" s="1182" t="s">
        <v>3815</v>
      </c>
      <c r="B1381" s="1182" t="s">
        <v>3748</v>
      </c>
      <c r="C1381" s="1181">
        <v>44659</v>
      </c>
      <c r="D1381" s="1182" t="s">
        <v>389</v>
      </c>
      <c r="E1381" s="1182" t="s">
        <v>390</v>
      </c>
      <c r="F1381" s="1183" t="s">
        <v>3816</v>
      </c>
      <c r="G1381" s="1184" t="s">
        <v>3750</v>
      </c>
      <c r="H1381" s="1185">
        <v>100000000</v>
      </c>
      <c r="I1381" s="1180" t="s">
        <v>3821</v>
      </c>
      <c r="J1381" s="1186" t="str">
        <f>VLOOKUP($I1381,'Price List, Weapons &amp; Items'!B:C,2,0)</f>
        <v>Aviation and drones</v>
      </c>
      <c r="K1381" s="1186" t="str">
        <f>IF(I1381=".",I1381,VLOOKUP($I1381,'Price List, Weapons &amp; Items'!B:D,3,0))</f>
        <v>drone</v>
      </c>
      <c r="L1381" s="1187">
        <f>VLOOKUP(I1381,'Price List, Weapons &amp; Items'!B:E,4,0)</f>
        <v>0</v>
      </c>
      <c r="M1381" s="1188" t="s">
        <v>374</v>
      </c>
      <c r="N1381" s="1188" t="s">
        <v>374</v>
      </c>
      <c r="O1381" s="1188">
        <f>VLOOKUP($I1381,'Price List, Weapons &amp; Items'!B:G,6,0)</f>
        <v>6000</v>
      </c>
      <c r="P1381" s="1185" t="str">
        <f t="shared" si="289"/>
        <v>.</v>
      </c>
      <c r="Q1381" s="1185" t="str">
        <f t="shared" si="290"/>
        <v>.</v>
      </c>
      <c r="R1381" s="1185" t="str">
        <f t="shared" si="286"/>
        <v/>
      </c>
      <c r="S1381" s="1185" t="str">
        <f>IF(AND(AD1381=1,R1381&lt;&gt;".")=TRUE,R1381/VLOOKUP(G1381,'Exchange Rates'!B:C,2,0),IF(R1381=".",".",""))</f>
        <v/>
      </c>
      <c r="T1381" s="1185" t="str">
        <f>IF(AD1381=1,IF(AF1381="Value is not given at all",".",IF(AF1381="Value is given by the source",S1381,IF(AF1381="Value is calculated with prices",(IF(SUMIFS(Q:Q,A:A,A1381)&gt;0,SUMIFS(Q:Q,A:A,A1381),"."))/VLOOKUP("USD",'Exchange Rates'!B:C,2,0),"Error with coding"))),"")</f>
        <v/>
      </c>
      <c r="U1381" s="1184" t="s">
        <v>365</v>
      </c>
      <c r="V1381" s="974" t="s">
        <v>3817</v>
      </c>
      <c r="W1381" s="974" t="s">
        <v>3818</v>
      </c>
      <c r="X1381" s="974" t="s">
        <v>3819</v>
      </c>
      <c r="Y1381" s="974" t="s">
        <v>3820</v>
      </c>
      <c r="Z1381" s="1184">
        <v>0</v>
      </c>
      <c r="AA1381" s="1194">
        <v>0</v>
      </c>
      <c r="AB1381" s="1201" t="s">
        <v>364</v>
      </c>
      <c r="AC1381" s="1192" t="str">
        <f>""</f>
        <v/>
      </c>
      <c r="AD1381" s="1193">
        <v>0</v>
      </c>
      <c r="AE1381" s="1193" t="s">
        <v>368</v>
      </c>
      <c r="AF1381" s="1193" t="s">
        <v>368</v>
      </c>
      <c r="AG1381" s="1193">
        <v>1</v>
      </c>
      <c r="AH1381" s="1193">
        <v>4</v>
      </c>
      <c r="AI1381" s="1193">
        <v>0</v>
      </c>
      <c r="AJ1381" s="1193">
        <f>VLOOKUP($I1381,'Price List, Weapons &amp; Items'!B:F,5,0)</f>
        <v>0</v>
      </c>
      <c r="AK1381" s="1193">
        <f t="shared" si="291"/>
        <v>0</v>
      </c>
      <c r="AL1381" s="1193">
        <f t="shared" si="292"/>
        <v>0</v>
      </c>
      <c r="AM1381" s="1193">
        <f t="shared" si="293"/>
        <v>0</v>
      </c>
      <c r="AN1381" s="1194" t="str">
        <f>VLOOKUP($I1381,'Price List, Weapons &amp; Items'!B:L,COLUMN('Price List, Weapons &amp; Items'!$J$11)-1,0)</f>
        <v>Miscellaneous</v>
      </c>
      <c r="AO1381" s="1194" t="str">
        <f>IF(I1381=".",".",VLOOKUP($I1381,'Price List, Weapons &amp; Items'!B:J,3,0))</f>
        <v>drone</v>
      </c>
      <c r="AP1381" s="1195" t="str">
        <f t="shared" ca="1" si="287"/>
        <v/>
      </c>
      <c r="AQ1381" s="1194">
        <f>VLOOKUP($I1381,'Price List, Weapons &amp; Items'!B:L,COLUMN('Price List, Weapons &amp; Items'!$L$11)-1,0)</f>
        <v>2</v>
      </c>
      <c r="AR1381" s="1194">
        <f t="shared" si="294"/>
        <v>1</v>
      </c>
      <c r="AS1381" s="1194">
        <f t="shared" si="295"/>
        <v>1</v>
      </c>
      <c r="AT1381" s="1194">
        <f t="shared" si="296"/>
        <v>1</v>
      </c>
      <c r="AU1381" s="1194" t="str">
        <f t="shared" si="298"/>
        <v>.</v>
      </c>
      <c r="AV1381" s="1194" t="str">
        <f t="shared" si="288"/>
        <v>.</v>
      </c>
      <c r="AW1381" s="1194" t="str">
        <f t="shared" si="297"/>
        <v>.</v>
      </c>
      <c r="AX1381" s="1194">
        <f>IFERROR(VLOOKUP(B1381,'Share, Heavy Weapons to Ukraine'!B:Z,COLUMN('Share, Heavy Weapons to Ukraine'!C1393)-1,0),0)</f>
        <v>1</v>
      </c>
      <c r="AY1381" s="1194">
        <f>VLOOKUP('Bilateral Assistance, MAIN DATA'!B1381,'Country Summary (€)'!B:F,COLUMN('Country Summary (€)'!C1394)-1,FALSE)</f>
        <v>0</v>
      </c>
      <c r="AZ1381" s="1194" t="str">
        <f>IF(AND(AD1381=1,D1381="Military",H1381&lt;&gt;"Not given")=TRUE,IF(SUMIFS(P:P,A:A,A1381)&gt;0,ABS((SUMIFS(P:P,A:A,A1381)/VLOOKUP("USD",'Exchange Rates'!B:C,2,0)))/S1381,"."),".")</f>
        <v>.</v>
      </c>
      <c r="BA1381" s="1196" t="str">
        <f>IF(AND(AD1381=1,D1381="Military",H1381&lt;&gt;"Not given")=TRUE,IF(SUMIFS(P:P,A:A,A1381)&gt;0,IF((ABS((SUMIFS(P:P,A:A,A1381)/VLOOKUP("USD",'Exchange Rates'!B:C,2,0)))/S1381)&gt;1,(SUMIFS(P:P,A:A,A1381)-S1381)/S1381,(S1381-SUMIFS(P:P,A:A,A1381))/SUMIFS(P:P,A:A,A1381)),"."),".")</f>
        <v>.</v>
      </c>
    </row>
    <row r="1382" spans="1:53" ht="15.95" customHeight="1">
      <c r="A1382" s="1182" t="s">
        <v>3815</v>
      </c>
      <c r="B1382" s="1182" t="s">
        <v>3748</v>
      </c>
      <c r="C1382" s="1181">
        <v>44659</v>
      </c>
      <c r="D1382" s="1182" t="s">
        <v>389</v>
      </c>
      <c r="E1382" s="1182" t="s">
        <v>390</v>
      </c>
      <c r="F1382" s="1183" t="s">
        <v>3816</v>
      </c>
      <c r="G1382" s="1184" t="s">
        <v>3750</v>
      </c>
      <c r="H1382" s="1185">
        <v>100000000</v>
      </c>
      <c r="I1382" s="1180" t="s">
        <v>3799</v>
      </c>
      <c r="J1382" s="1186" t="str">
        <f>VLOOKUP($I1382,'Price List, Weapons &amp; Items'!B:C,2,0)</f>
        <v>Portable defence system</v>
      </c>
      <c r="K1382" s="1186" t="str">
        <f>IF(I1382=".",I1382,VLOOKUP($I1382,'Price List, Weapons &amp; Items'!B:D,3,0))</f>
        <v>MANPADS</v>
      </c>
      <c r="L1382" s="1187">
        <f>VLOOKUP(I1382,'Price List, Weapons &amp; Items'!B:E,4,0)</f>
        <v>0</v>
      </c>
      <c r="M1382" s="1188" t="s">
        <v>374</v>
      </c>
      <c r="N1382" s="1188" t="s">
        <v>374</v>
      </c>
      <c r="O1382" s="1188">
        <f>VLOOKUP($I1382,'Price List, Weapons &amp; Items'!B:G,6,0)</f>
        <v>1750000</v>
      </c>
      <c r="P1382" s="1185" t="str">
        <f t="shared" si="289"/>
        <v>.</v>
      </c>
      <c r="Q1382" s="1185" t="str">
        <f t="shared" si="290"/>
        <v>.</v>
      </c>
      <c r="R1382" s="1185" t="str">
        <f t="shared" si="286"/>
        <v/>
      </c>
      <c r="S1382" s="1185" t="str">
        <f>IF(AND(AD1382=1,R1382&lt;&gt;".")=TRUE,R1382/VLOOKUP(G1382,'Exchange Rates'!B:C,2,0),IF(R1382=".",".",""))</f>
        <v/>
      </c>
      <c r="T1382" s="1185" t="str">
        <f>IF(AD1382=1,IF(AF1382="Value is not given at all",".",IF(AF1382="Value is given by the source",S1382,IF(AF1382="Value is calculated with prices",(IF(SUMIFS(Q:Q,A:A,A1382)&gt;0,SUMIFS(Q:Q,A:A,A1382),"."))/VLOOKUP("USD",'Exchange Rates'!B:C,2,0),"Error with coding"))),"")</f>
        <v/>
      </c>
      <c r="U1382" s="1184" t="s">
        <v>365</v>
      </c>
      <c r="V1382" s="974" t="s">
        <v>3817</v>
      </c>
      <c r="W1382" s="974" t="s">
        <v>3818</v>
      </c>
      <c r="X1382" s="974" t="s">
        <v>3819</v>
      </c>
      <c r="Y1382" s="974" t="s">
        <v>3820</v>
      </c>
      <c r="Z1382" s="1184">
        <v>0</v>
      </c>
      <c r="AA1382" s="1194">
        <v>0</v>
      </c>
      <c r="AB1382" s="1201" t="s">
        <v>364</v>
      </c>
      <c r="AC1382" s="1192" t="str">
        <f>""</f>
        <v/>
      </c>
      <c r="AD1382" s="1193">
        <v>0</v>
      </c>
      <c r="AE1382" s="1193" t="s">
        <v>368</v>
      </c>
      <c r="AF1382" s="1193" t="s">
        <v>368</v>
      </c>
      <c r="AG1382" s="1193">
        <v>1</v>
      </c>
      <c r="AH1382" s="1193">
        <v>4</v>
      </c>
      <c r="AI1382" s="1193">
        <v>0</v>
      </c>
      <c r="AJ1382" s="1193">
        <f>VLOOKUP($I1382,'Price List, Weapons &amp; Items'!B:F,5,0)</f>
        <v>0</v>
      </c>
      <c r="AK1382" s="1193">
        <f t="shared" si="291"/>
        <v>0</v>
      </c>
      <c r="AL1382" s="1193">
        <f t="shared" si="292"/>
        <v>0</v>
      </c>
      <c r="AM1382" s="1193">
        <f t="shared" si="293"/>
        <v>0</v>
      </c>
      <c r="AN1382" s="1194" t="str">
        <f>VLOOKUP($I1382,'Price List, Weapons &amp; Items'!B:L,COLUMN('Price List, Weapons &amp; Items'!$J$11)-1,0)</f>
        <v>Contracts</v>
      </c>
      <c r="AO1382" s="1194" t="str">
        <f>IF(I1382=".",".",VLOOKUP($I1382,'Price List, Weapons &amp; Items'!B:J,3,0))</f>
        <v>MANPADS</v>
      </c>
      <c r="AP1382" s="1195" t="str">
        <f t="shared" ca="1" si="287"/>
        <v/>
      </c>
      <c r="AQ1382" s="1194" t="str">
        <f>VLOOKUP($I1382,'Price List, Weapons &amp; Items'!B:L,COLUMN('Price List, Weapons &amp; Items'!$L$11)-1,0)</f>
        <v>no price, 0 count</v>
      </c>
      <c r="AR1382" s="1194">
        <f t="shared" si="294"/>
        <v>1</v>
      </c>
      <c r="AS1382" s="1194">
        <f t="shared" si="295"/>
        <v>1</v>
      </c>
      <c r="AT1382" s="1194">
        <f t="shared" si="296"/>
        <v>1</v>
      </c>
      <c r="AU1382" s="1194" t="str">
        <f t="shared" si="298"/>
        <v>.</v>
      </c>
      <c r="AV1382" s="1194" t="str">
        <f t="shared" si="288"/>
        <v>.</v>
      </c>
      <c r="AW1382" s="1194" t="str">
        <f t="shared" si="297"/>
        <v>.</v>
      </c>
      <c r="AX1382" s="1194">
        <f>IFERROR(VLOOKUP(B1382,'Share, Heavy Weapons to Ukraine'!B:Z,COLUMN('Share, Heavy Weapons to Ukraine'!C1394)-1,0),0)</f>
        <v>1</v>
      </c>
      <c r="AY1382" s="1194">
        <f>VLOOKUP('Bilateral Assistance, MAIN DATA'!B1382,'Country Summary (€)'!B:F,COLUMN('Country Summary (€)'!C1395)-1,FALSE)</f>
        <v>0</v>
      </c>
      <c r="AZ1382" s="1194" t="str">
        <f>IF(AND(AD1382=1,D1382="Military",H1382&lt;&gt;"Not given")=TRUE,IF(SUMIFS(P:P,A:A,A1382)&gt;0,ABS((SUMIFS(P:P,A:A,A1382)/VLOOKUP("USD",'Exchange Rates'!B:C,2,0)))/S1382,"."),".")</f>
        <v>.</v>
      </c>
      <c r="BA1382" s="1196" t="str">
        <f>IF(AND(AD1382=1,D1382="Military",H1382&lt;&gt;"Not given")=TRUE,IF(SUMIFS(P:P,A:A,A1382)&gt;0,IF((ABS((SUMIFS(P:P,A:A,A1382)/VLOOKUP("USD",'Exchange Rates'!B:C,2,0)))/S1382)&gt;1,(SUMIFS(P:P,A:A,A1382)-S1382)/S1382,(S1382-SUMIFS(P:P,A:A,A1382))/SUMIFS(P:P,A:A,A1382)),"."),".")</f>
        <v>.</v>
      </c>
    </row>
    <row r="1383" spans="1:53" ht="15.95" customHeight="1">
      <c r="A1383" s="1182" t="s">
        <v>3815</v>
      </c>
      <c r="B1383" s="1182" t="s">
        <v>3748</v>
      </c>
      <c r="C1383" s="1181">
        <v>44659</v>
      </c>
      <c r="D1383" s="1182" t="s">
        <v>389</v>
      </c>
      <c r="E1383" s="1182" t="s">
        <v>390</v>
      </c>
      <c r="F1383" s="1183" t="s">
        <v>3816</v>
      </c>
      <c r="G1383" s="1184" t="s">
        <v>3750</v>
      </c>
      <c r="H1383" s="1185">
        <v>100000000</v>
      </c>
      <c r="I1383" s="1180" t="s">
        <v>594</v>
      </c>
      <c r="J1383" s="1186" t="str">
        <f>VLOOKUP($I1383,'Price List, Weapons &amp; Items'!B:C,2,0)</f>
        <v>Military equipment</v>
      </c>
      <c r="K1383" s="1186" t="str">
        <f>IF(I1383=".",I1383,VLOOKUP($I1383,'Price List, Weapons &amp; Items'!B:D,3,0))</f>
        <v>Military equipment</v>
      </c>
      <c r="L1383" s="1187">
        <f>VLOOKUP(I1383,'Price List, Weapons &amp; Items'!B:E,4,0)</f>
        <v>0</v>
      </c>
      <c r="M1383" s="1188">
        <v>82000</v>
      </c>
      <c r="N1383" s="1188">
        <v>82000</v>
      </c>
      <c r="O1383" s="1188">
        <f>VLOOKUP($I1383,'Price List, Weapons &amp; Items'!B:G,6,0)</f>
        <v>1400</v>
      </c>
      <c r="P1383" s="1185">
        <f t="shared" si="289"/>
        <v>114800000</v>
      </c>
      <c r="Q1383" s="1185">
        <f t="shared" si="290"/>
        <v>114800000</v>
      </c>
      <c r="R1383" s="1185" t="str">
        <f t="shared" si="286"/>
        <v/>
      </c>
      <c r="S1383" s="1185" t="str">
        <f>IF(AND(AD1383=1,R1383&lt;&gt;".")=TRUE,R1383/VLOOKUP(G1383,'Exchange Rates'!B:C,2,0),IF(R1383=".",".",""))</f>
        <v/>
      </c>
      <c r="T1383" s="1185" t="str">
        <f>IF(AD1383=1,IF(AF1383="Value is not given at all",".",IF(AF1383="Value is given by the source",S1383,IF(AF1383="Value is calculated with prices",(IF(SUMIFS(Q:Q,A:A,A1383)&gt;0,SUMIFS(Q:Q,A:A,A1383),"."))/VLOOKUP("USD",'Exchange Rates'!B:C,2,0),"Error with coding"))),"")</f>
        <v/>
      </c>
      <c r="U1383" s="1184" t="s">
        <v>365</v>
      </c>
      <c r="V1383" s="974" t="s">
        <v>3817</v>
      </c>
      <c r="W1383" s="974" t="s">
        <v>3818</v>
      </c>
      <c r="X1383" s="974" t="s">
        <v>3819</v>
      </c>
      <c r="Y1383" s="974" t="s">
        <v>3820</v>
      </c>
      <c r="Z1383" s="1184">
        <v>0</v>
      </c>
      <c r="AA1383" s="1194">
        <v>0</v>
      </c>
      <c r="AB1383" s="1201" t="s">
        <v>364</v>
      </c>
      <c r="AC1383" s="1192" t="str">
        <f>""</f>
        <v/>
      </c>
      <c r="AD1383" s="1193">
        <v>0</v>
      </c>
      <c r="AE1383" s="1193" t="s">
        <v>368</v>
      </c>
      <c r="AF1383" s="1193" t="s">
        <v>368</v>
      </c>
      <c r="AG1383" s="1193">
        <v>1</v>
      </c>
      <c r="AH1383" s="1193">
        <v>4</v>
      </c>
      <c r="AI1383" s="1193">
        <v>0</v>
      </c>
      <c r="AJ1383" s="1193">
        <f>VLOOKUP($I1383,'Price List, Weapons &amp; Items'!B:F,5,0)</f>
        <v>0</v>
      </c>
      <c r="AK1383" s="1193">
        <f t="shared" si="291"/>
        <v>0</v>
      </c>
      <c r="AL1383" s="1193">
        <f t="shared" si="292"/>
        <v>0</v>
      </c>
      <c r="AM1383" s="1193">
        <f t="shared" si="293"/>
        <v>0</v>
      </c>
      <c r="AN1383" s="1194" t="str">
        <f>VLOOKUP($I1383,'Price List, Weapons &amp; Items'!B:L,COLUMN('Price List, Weapons &amp; Items'!$J$11)-1,0)</f>
        <v>Military media (incl. websites)</v>
      </c>
      <c r="AO1383" s="1194" t="str">
        <f>IF(I1383=".",".",VLOOKUP($I1383,'Price List, Weapons &amp; Items'!B:J,3,0))</f>
        <v>Military equipment</v>
      </c>
      <c r="AP1383" s="1195" t="str">
        <f t="shared" ca="1" si="287"/>
        <v/>
      </c>
      <c r="AQ1383" s="1194">
        <f>VLOOKUP($I1383,'Price List, Weapons &amp; Items'!B:L,COLUMN('Price List, Weapons &amp; Items'!$L$11)-1,0)</f>
        <v>2</v>
      </c>
      <c r="AR1383" s="1194">
        <f t="shared" si="294"/>
        <v>1</v>
      </c>
      <c r="AS1383" s="1194">
        <f t="shared" si="295"/>
        <v>1</v>
      </c>
      <c r="AT1383" s="1194">
        <f t="shared" si="296"/>
        <v>1</v>
      </c>
      <c r="AU1383" s="1194" t="str">
        <f t="shared" si="298"/>
        <v>.</v>
      </c>
      <c r="AV1383" s="1194" t="str">
        <f t="shared" si="288"/>
        <v>.</v>
      </c>
      <c r="AW1383" s="1194" t="str">
        <f t="shared" si="297"/>
        <v>.</v>
      </c>
      <c r="AX1383" s="1194">
        <f>IFERROR(VLOOKUP(B1383,'Share, Heavy Weapons to Ukraine'!B:Z,COLUMN('Share, Heavy Weapons to Ukraine'!C1395)-1,0),0)</f>
        <v>1</v>
      </c>
      <c r="AY1383" s="1194">
        <f>VLOOKUP('Bilateral Assistance, MAIN DATA'!B1383,'Country Summary (€)'!B:F,COLUMN('Country Summary (€)'!C1396)-1,FALSE)</f>
        <v>0</v>
      </c>
      <c r="AZ1383" s="1194" t="str">
        <f>IF(AND(AD1383=1,D1383="Military",H1383&lt;&gt;"Not given")=TRUE,IF(SUMIFS(P:P,A:A,A1383)&gt;0,ABS((SUMIFS(P:P,A:A,A1383)/VLOOKUP("USD",'Exchange Rates'!B:C,2,0)))/S1383,"."),".")</f>
        <v>.</v>
      </c>
      <c r="BA1383" s="1196" t="str">
        <f>IF(AND(AD1383=1,D1383="Military",H1383&lt;&gt;"Not given")=TRUE,IF(SUMIFS(P:P,A:A,A1383)&gt;0,IF((ABS((SUMIFS(P:P,A:A,A1383)/VLOOKUP("USD",'Exchange Rates'!B:C,2,0)))/S1383)&gt;1,(SUMIFS(P:P,A:A,A1383)-S1383)/S1383,(S1383-SUMIFS(P:P,A:A,A1383))/SUMIFS(P:P,A:A,A1383)),"."),".")</f>
        <v>.</v>
      </c>
    </row>
    <row r="1384" spans="1:53" ht="15.95" customHeight="1">
      <c r="A1384" s="1182" t="s">
        <v>3815</v>
      </c>
      <c r="B1384" s="1182" t="s">
        <v>3748</v>
      </c>
      <c r="C1384" s="1181">
        <v>44659</v>
      </c>
      <c r="D1384" s="1182" t="s">
        <v>389</v>
      </c>
      <c r="E1384" s="1182" t="s">
        <v>390</v>
      </c>
      <c r="F1384" s="1183" t="s">
        <v>3816</v>
      </c>
      <c r="G1384" s="1184" t="s">
        <v>3750</v>
      </c>
      <c r="H1384" s="1185">
        <v>100000000</v>
      </c>
      <c r="I1384" s="1180" t="s">
        <v>694</v>
      </c>
      <c r="J1384" s="1186" t="str">
        <f>VLOOKUP($I1384,'Price List, Weapons &amp; Items'!B:C,2,0)</f>
        <v>Military equipment</v>
      </c>
      <c r="K1384" s="1186" t="str">
        <f>IF(I1384=".",I1384,VLOOKUP($I1384,'Price List, Weapons &amp; Items'!B:D,3,0))</f>
        <v>Military equipment</v>
      </c>
      <c r="L1384" s="1187">
        <f>VLOOKUP(I1384,'Price List, Weapons &amp; Items'!B:E,4,0)</f>
        <v>0</v>
      </c>
      <c r="M1384" s="1188">
        <v>8450</v>
      </c>
      <c r="N1384" s="1188">
        <v>8450</v>
      </c>
      <c r="O1384" s="1188">
        <f>VLOOKUP($I1384,'Price List, Weapons &amp; Items'!B:G,6,0)</f>
        <v>500</v>
      </c>
      <c r="P1384" s="1185">
        <f t="shared" si="289"/>
        <v>4225000</v>
      </c>
      <c r="Q1384" s="1185">
        <f t="shared" si="290"/>
        <v>4225000</v>
      </c>
      <c r="R1384" s="1185" t="str">
        <f t="shared" si="286"/>
        <v/>
      </c>
      <c r="S1384" s="1185" t="str">
        <f>IF(AND(AD1384=1,R1384&lt;&gt;".")=TRUE,R1384/VLOOKUP(G1384,'Exchange Rates'!B:C,2,0),IF(R1384=".",".",""))</f>
        <v/>
      </c>
      <c r="T1384" s="1185" t="str">
        <f>IF(AD1384=1,IF(AF1384="Value is not given at all",".",IF(AF1384="Value is given by the source",S1384,IF(AF1384="Value is calculated with prices",(IF(SUMIFS(Q:Q,A:A,A1384)&gt;0,SUMIFS(Q:Q,A:A,A1384),"."))/VLOOKUP("USD",'Exchange Rates'!B:C,2,0),"Error with coding"))),"")</f>
        <v/>
      </c>
      <c r="U1384" s="1184" t="s">
        <v>365</v>
      </c>
      <c r="V1384" s="974" t="s">
        <v>3817</v>
      </c>
      <c r="W1384" s="974" t="s">
        <v>3818</v>
      </c>
      <c r="X1384" s="974" t="s">
        <v>3819</v>
      </c>
      <c r="Y1384" s="974" t="s">
        <v>3820</v>
      </c>
      <c r="Z1384" s="1184">
        <v>0</v>
      </c>
      <c r="AA1384" s="1194">
        <v>0</v>
      </c>
      <c r="AB1384" s="1201" t="s">
        <v>364</v>
      </c>
      <c r="AC1384" s="1192" t="str">
        <f>""</f>
        <v/>
      </c>
      <c r="AD1384" s="1193">
        <v>0</v>
      </c>
      <c r="AE1384" s="1193" t="s">
        <v>368</v>
      </c>
      <c r="AF1384" s="1193" t="s">
        <v>368</v>
      </c>
      <c r="AG1384" s="1193">
        <v>1</v>
      </c>
      <c r="AH1384" s="1193">
        <v>4</v>
      </c>
      <c r="AI1384" s="1193">
        <v>0</v>
      </c>
      <c r="AJ1384" s="1193">
        <f>VLOOKUP($I1384,'Price List, Weapons &amp; Items'!B:F,5,0)</f>
        <v>0</v>
      </c>
      <c r="AK1384" s="1193">
        <f t="shared" si="291"/>
        <v>0</v>
      </c>
      <c r="AL1384" s="1193">
        <f t="shared" si="292"/>
        <v>0</v>
      </c>
      <c r="AM1384" s="1193">
        <f t="shared" si="293"/>
        <v>0</v>
      </c>
      <c r="AN1384" s="1194" t="str">
        <f>VLOOKUP($I1384,'Price List, Weapons &amp; Items'!B:L,COLUMN('Price List, Weapons &amp; Items'!$J$11)-1,0)</f>
        <v>Military media (incl. websites)</v>
      </c>
      <c r="AO1384" s="1194" t="str">
        <f>IF(I1384=".",".",VLOOKUP($I1384,'Price List, Weapons &amp; Items'!B:J,3,0))</f>
        <v>Military equipment</v>
      </c>
      <c r="AP1384" s="1195" t="str">
        <f t="shared" ca="1" si="287"/>
        <v/>
      </c>
      <c r="AQ1384" s="1194">
        <f>VLOOKUP($I1384,'Price List, Weapons &amp; Items'!B:L,COLUMN('Price List, Weapons &amp; Items'!$L$11)-1,0)</f>
        <v>2</v>
      </c>
      <c r="AR1384" s="1194">
        <f t="shared" si="294"/>
        <v>1</v>
      </c>
      <c r="AS1384" s="1194">
        <f t="shared" si="295"/>
        <v>1</v>
      </c>
      <c r="AT1384" s="1194">
        <f t="shared" si="296"/>
        <v>1</v>
      </c>
      <c r="AU1384" s="1194" t="str">
        <f t="shared" si="298"/>
        <v>.</v>
      </c>
      <c r="AV1384" s="1194" t="str">
        <f t="shared" si="288"/>
        <v>.</v>
      </c>
      <c r="AW1384" s="1194" t="str">
        <f t="shared" si="297"/>
        <v>.</v>
      </c>
      <c r="AX1384" s="1194">
        <f>IFERROR(VLOOKUP(B1384,'Share, Heavy Weapons to Ukraine'!B:Z,COLUMN('Share, Heavy Weapons to Ukraine'!C1396)-1,0),0)</f>
        <v>1</v>
      </c>
      <c r="AY1384" s="1194">
        <f>VLOOKUP('Bilateral Assistance, MAIN DATA'!B1384,'Country Summary (€)'!B:F,COLUMN('Country Summary (€)'!C1397)-1,FALSE)</f>
        <v>0</v>
      </c>
      <c r="AZ1384" s="1194" t="str">
        <f>IF(AND(AD1384=1,D1384="Military",H1384&lt;&gt;"Not given")=TRUE,IF(SUMIFS(P:P,A:A,A1384)&gt;0,ABS((SUMIFS(P:P,A:A,A1384)/VLOOKUP("USD",'Exchange Rates'!B:C,2,0)))/S1384,"."),".")</f>
        <v>.</v>
      </c>
      <c r="BA1384" s="1196" t="str">
        <f>IF(AND(AD1384=1,D1384="Military",H1384&lt;&gt;"Not given")=TRUE,IF(SUMIFS(P:P,A:A,A1384)&gt;0,IF((ABS((SUMIFS(P:P,A:A,A1384)/VLOOKUP("USD",'Exchange Rates'!B:C,2,0)))/S1384)&gt;1,(SUMIFS(P:P,A:A,A1384)-S1384)/S1384,(S1384-SUMIFS(P:P,A:A,A1384))/SUMIFS(P:P,A:A,A1384)),"."),".")</f>
        <v>.</v>
      </c>
    </row>
    <row r="1385" spans="1:53" ht="15.95" customHeight="1">
      <c r="A1385" s="1182" t="s">
        <v>3815</v>
      </c>
      <c r="B1385" s="1182" t="s">
        <v>3748</v>
      </c>
      <c r="C1385" s="1181">
        <v>44659</v>
      </c>
      <c r="D1385" s="1182" t="s">
        <v>389</v>
      </c>
      <c r="E1385" s="1182" t="s">
        <v>390</v>
      </c>
      <c r="F1385" s="1183" t="s">
        <v>3816</v>
      </c>
      <c r="G1385" s="1184" t="s">
        <v>3750</v>
      </c>
      <c r="H1385" s="1185">
        <v>100000000</v>
      </c>
      <c r="I1385" s="1180" t="s">
        <v>605</v>
      </c>
      <c r="J1385" s="1186" t="str">
        <f>VLOOKUP($I1385,'Price List, Weapons &amp; Items'!B:C,2,0)</f>
        <v>Military equipment</v>
      </c>
      <c r="K1385" s="1186" t="str">
        <f>IF(I1385=".",I1385,VLOOKUP($I1385,'Price List, Weapons &amp; Items'!B:D,3,0))</f>
        <v>Military equipment</v>
      </c>
      <c r="L1385" s="1187">
        <f>VLOOKUP(I1385,'Price List, Weapons &amp; Items'!B:E,4,0)</f>
        <v>0</v>
      </c>
      <c r="M1385" s="1188">
        <v>5000</v>
      </c>
      <c r="N1385" s="1188">
        <v>5000</v>
      </c>
      <c r="O1385" s="1188">
        <f>VLOOKUP($I1385,'Price List, Weapons &amp; Items'!B:G,6,0)</f>
        <v>2320</v>
      </c>
      <c r="P1385" s="1185">
        <f t="shared" si="289"/>
        <v>11600000</v>
      </c>
      <c r="Q1385" s="1185">
        <f t="shared" si="290"/>
        <v>11600000</v>
      </c>
      <c r="R1385" s="1185" t="str">
        <f t="shared" si="286"/>
        <v/>
      </c>
      <c r="S1385" s="1185" t="str">
        <f>IF(AND(AD1385=1,R1385&lt;&gt;".")=TRUE,R1385/VLOOKUP(G1385,'Exchange Rates'!B:C,2,0),IF(R1385=".",".",""))</f>
        <v/>
      </c>
      <c r="T1385" s="1185" t="str">
        <f>IF(AD1385=1,IF(AF1385="Value is not given at all",".",IF(AF1385="Value is given by the source",S1385,IF(AF1385="Value is calculated with prices",(IF(SUMIFS(Q:Q,A:A,A1385)&gt;0,SUMIFS(Q:Q,A:A,A1385),"."))/VLOOKUP("USD",'Exchange Rates'!B:C,2,0),"Error with coding"))),"")</f>
        <v/>
      </c>
      <c r="U1385" s="1184" t="s">
        <v>365</v>
      </c>
      <c r="V1385" s="974" t="s">
        <v>3817</v>
      </c>
      <c r="W1385" s="974" t="s">
        <v>3818</v>
      </c>
      <c r="X1385" s="974" t="s">
        <v>3819</v>
      </c>
      <c r="Y1385" s="974" t="s">
        <v>3820</v>
      </c>
      <c r="Z1385" s="1184">
        <v>0</v>
      </c>
      <c r="AA1385" s="1194">
        <v>0</v>
      </c>
      <c r="AB1385" s="975" t="s">
        <v>3793</v>
      </c>
      <c r="AC1385" s="1192" t="str">
        <f>""</f>
        <v/>
      </c>
      <c r="AD1385" s="1193">
        <v>0</v>
      </c>
      <c r="AE1385" s="1193" t="s">
        <v>368</v>
      </c>
      <c r="AF1385" s="1193" t="s">
        <v>368</v>
      </c>
      <c r="AG1385" s="1193">
        <v>1</v>
      </c>
      <c r="AH1385" s="1193">
        <v>4</v>
      </c>
      <c r="AI1385" s="1193">
        <v>0</v>
      </c>
      <c r="AJ1385" s="1193">
        <f>VLOOKUP($I1385,'Price List, Weapons &amp; Items'!B:F,5,0)</f>
        <v>0</v>
      </c>
      <c r="AK1385" s="1193">
        <f t="shared" si="291"/>
        <v>0</v>
      </c>
      <c r="AL1385" s="1193">
        <f t="shared" si="292"/>
        <v>0</v>
      </c>
      <c r="AM1385" s="1193">
        <f t="shared" si="293"/>
        <v>0</v>
      </c>
      <c r="AN1385" s="1194" t="str">
        <f>VLOOKUP($I1385,'Price List, Weapons &amp; Items'!B:L,COLUMN('Price List, Weapons &amp; Items'!$J$11)-1,0)</f>
        <v>Media reports (incl. social media)</v>
      </c>
      <c r="AO1385" s="1194" t="str">
        <f>IF(I1385=".",".",VLOOKUP($I1385,'Price List, Weapons &amp; Items'!B:J,3,0))</f>
        <v>Military equipment</v>
      </c>
      <c r="AP1385" s="1195" t="str">
        <f t="shared" ca="1" si="287"/>
        <v/>
      </c>
      <c r="AQ1385" s="1194">
        <f>VLOOKUP($I1385,'Price List, Weapons &amp; Items'!B:L,COLUMN('Price List, Weapons &amp; Items'!$L$11)-1,0)</f>
        <v>2</v>
      </c>
      <c r="AR1385" s="1194">
        <f t="shared" si="294"/>
        <v>1</v>
      </c>
      <c r="AS1385" s="1194">
        <f t="shared" si="295"/>
        <v>1</v>
      </c>
      <c r="AT1385" s="1194">
        <f t="shared" si="296"/>
        <v>1</v>
      </c>
      <c r="AU1385" s="1194" t="str">
        <f t="shared" si="298"/>
        <v>.</v>
      </c>
      <c r="AV1385" s="1194" t="str">
        <f t="shared" si="288"/>
        <v>.</v>
      </c>
      <c r="AW1385" s="1194" t="str">
        <f t="shared" si="297"/>
        <v>.</v>
      </c>
      <c r="AX1385" s="1194">
        <f>IFERROR(VLOOKUP(B1385,'Share, Heavy Weapons to Ukraine'!B:Z,COLUMN('Share, Heavy Weapons to Ukraine'!C1397)-1,0),0)</f>
        <v>1</v>
      </c>
      <c r="AY1385" s="1194">
        <f>VLOOKUP('Bilateral Assistance, MAIN DATA'!B1385,'Country Summary (€)'!B:F,COLUMN('Country Summary (€)'!C1398)-1,FALSE)</f>
        <v>0</v>
      </c>
      <c r="AZ1385" s="1194" t="str">
        <f>IF(AND(AD1385=1,D1385="Military",H1385&lt;&gt;"Not given")=TRUE,IF(SUMIFS(P:P,A:A,A1385)&gt;0,ABS((SUMIFS(P:P,A:A,A1385)/VLOOKUP("USD",'Exchange Rates'!B:C,2,0)))/S1385,"."),".")</f>
        <v>.</v>
      </c>
      <c r="BA1385" s="1196" t="str">
        <f>IF(AND(AD1385=1,D1385="Military",H1385&lt;&gt;"Not given")=TRUE,IF(SUMIFS(P:P,A:A,A1385)&gt;0,IF((ABS((SUMIFS(P:P,A:A,A1385)/VLOOKUP("USD",'Exchange Rates'!B:C,2,0)))/S1385)&gt;1,(SUMIFS(P:P,A:A,A1385)-S1385)/S1385,(S1385-SUMIFS(P:P,A:A,A1385))/SUMIFS(P:P,A:A,A1385)),"."),".")</f>
        <v>.</v>
      </c>
    </row>
    <row r="1386" spans="1:53" s="1180" customFormat="1" ht="15.95" customHeight="1">
      <c r="A1386" s="1182" t="s">
        <v>3822</v>
      </c>
      <c r="B1386" s="1182" t="s">
        <v>3748</v>
      </c>
      <c r="C1386" s="1181">
        <v>44660</v>
      </c>
      <c r="D1386" s="1182" t="s">
        <v>389</v>
      </c>
      <c r="E1386" s="1182" t="s">
        <v>443</v>
      </c>
      <c r="F1386" s="1183" t="s">
        <v>3823</v>
      </c>
      <c r="G1386" s="1184" t="s">
        <v>456</v>
      </c>
      <c r="H1386" s="1185" t="s">
        <v>457</v>
      </c>
      <c r="I1386" s="1266" t="s">
        <v>3824</v>
      </c>
      <c r="J1386" s="1186" t="str">
        <f>VLOOKUP($I1386,'Price List, Weapons &amp; Items'!B:C,2,0)</f>
        <v>Heavy weapon</v>
      </c>
      <c r="K1386" s="1186" t="str">
        <f>IF(I1386=".",I1386,VLOOKUP($I1386,'Price List, Weapons &amp; Items'!B:D,3,0))</f>
        <v>Protected Patrol Vehicle (PPV)</v>
      </c>
      <c r="L1386" s="1187">
        <f>VLOOKUP(I1386,'Price List, Weapons &amp; Items'!B:E,4,0)</f>
        <v>0</v>
      </c>
      <c r="M1386" s="1188">
        <v>80</v>
      </c>
      <c r="N1386" s="1188">
        <v>80</v>
      </c>
      <c r="O1386" s="1188">
        <f>VLOOKUP($I1386,'Price List, Weapons &amp; Items'!B:G,6,0)</f>
        <v>743989.18081292231</v>
      </c>
      <c r="P1386" s="1185">
        <f t="shared" si="289"/>
        <v>59519134.465033785</v>
      </c>
      <c r="Q1386" s="1185">
        <f t="shared" si="290"/>
        <v>59519134.465033785</v>
      </c>
      <c r="R1386" s="1185">
        <f t="shared" si="286"/>
        <v>63531834.465033785</v>
      </c>
      <c r="S1386" s="1185">
        <f>IF(AND(AD1386=1,R1386&lt;&gt;".")=TRUE,R1386/VLOOKUP(G1386,'Exchange Rates'!B:C,2,0),IF(R1386=".",".",""))</f>
        <v>58457705.617439993</v>
      </c>
      <c r="T1386" s="1185">
        <f>IF(AD1386=1,IF(AF1386="Value is not given at all",".",IF(AF1386="Value is given by the source",S1386,IF(AF1386="Value is calculated with prices",(IF(SUMIFS(Q:Q,A:A,A1386)&gt;0,SUMIFS(Q:Q,A:A,A1386),"."))/VLOOKUP("USD",'Exchange Rates'!B:C,2,0),"Error with coding"))),"")</f>
        <v>58457705.617439993</v>
      </c>
      <c r="U1386" s="1184" t="s">
        <v>365</v>
      </c>
      <c r="V1386" s="974" t="s">
        <v>3819</v>
      </c>
      <c r="W1386" s="974" t="s">
        <v>3825</v>
      </c>
      <c r="X1386" s="1183" t="s">
        <v>364</v>
      </c>
      <c r="Y1386" s="1183" t="s">
        <v>364</v>
      </c>
      <c r="Z1386" s="1184">
        <v>0</v>
      </c>
      <c r="AA1386" s="1194">
        <v>0</v>
      </c>
      <c r="AB1386" s="975" t="s">
        <v>3793</v>
      </c>
      <c r="AC1386" s="1192" t="str">
        <f>""</f>
        <v/>
      </c>
      <c r="AD1386" s="985">
        <v>1</v>
      </c>
      <c r="AE1386" s="985" t="s">
        <v>436</v>
      </c>
      <c r="AF1386" s="985" t="s">
        <v>436</v>
      </c>
      <c r="AG1386" s="985">
        <v>1</v>
      </c>
      <c r="AH1386" s="985">
        <v>4</v>
      </c>
      <c r="AI1386" s="985">
        <v>0</v>
      </c>
      <c r="AJ1386" s="1193">
        <f>VLOOKUP($I1386,'Price List, Weapons &amp; Items'!B:F,5,0)</f>
        <v>1</v>
      </c>
      <c r="AK1386" s="1193">
        <f t="shared" si="291"/>
        <v>0</v>
      </c>
      <c r="AL1386" s="1193">
        <f t="shared" si="292"/>
        <v>0</v>
      </c>
      <c r="AM1386" s="1193">
        <f t="shared" si="293"/>
        <v>0</v>
      </c>
      <c r="AN1386" s="1194" t="str">
        <f>VLOOKUP($I1386,'Price List, Weapons &amp; Items'!B:L,COLUMN('Price List, Weapons &amp; Items'!$J$11)-1,0)</f>
        <v>Contracts</v>
      </c>
      <c r="AO1386" s="1194" t="str">
        <f>IF(I1386=".",".",VLOOKUP($I1386,'Price List, Weapons &amp; Items'!B:J,3,0))</f>
        <v>Protected Patrol Vehicle (PPV)</v>
      </c>
      <c r="AP1386" s="1195" t="str">
        <f t="shared" ca="1" si="287"/>
        <v>Mastiff 6x6, Wolfhound and Husky Armored vehicle</v>
      </c>
      <c r="AQ1386" s="1194">
        <f>VLOOKUP($I1386,'Price List, Weapons &amp; Items'!B:L,COLUMN('Price List, Weapons &amp; Items'!$L$11)-1,0)</f>
        <v>2</v>
      </c>
      <c r="AR1386" s="1194">
        <f t="shared" si="294"/>
        <v>1</v>
      </c>
      <c r="AS1386" s="1194">
        <f t="shared" si="295"/>
        <v>1</v>
      </c>
      <c r="AT1386" s="1194">
        <f t="shared" si="296"/>
        <v>1</v>
      </c>
      <c r="AU1386" s="1194" t="str">
        <f t="shared" si="298"/>
        <v>.</v>
      </c>
      <c r="AV1386" s="1194" t="str">
        <f t="shared" si="288"/>
        <v>.</v>
      </c>
      <c r="AW1386" s="1194" t="str">
        <f t="shared" si="297"/>
        <v>.</v>
      </c>
      <c r="AX1386" s="1194">
        <f>IFERROR(VLOOKUP(B1386,'Share, Heavy Weapons to Ukraine'!B:Z,COLUMN('Share, Heavy Weapons to Ukraine'!C1398)-1,0),0)</f>
        <v>1</v>
      </c>
      <c r="AY1386" s="1194">
        <f>VLOOKUP('Bilateral Assistance, MAIN DATA'!B1386,'Country Summary (€)'!B:F,COLUMN('Country Summary (€)'!C1399)-1,FALSE)</f>
        <v>0</v>
      </c>
      <c r="AZ1386" s="1194" t="str">
        <f>IF(AND(AD1386=1,D1386="Military",H1386&lt;&gt;"Not given")=TRUE,IF(SUMIFS(P:P,A:A,A1386)&gt;0,ABS((SUMIFS(P:P,A:A,A1386)/VLOOKUP("USD",'Exchange Rates'!B:C,2,0)))/S1386,"."),".")</f>
        <v>.</v>
      </c>
      <c r="BA1386" s="1196" t="str">
        <f>IF(AND(AD1386=1,D1386="Military",H1386&lt;&gt;"Not given")=TRUE,IF(SUMIFS(P:P,A:A,A1386)&gt;0,IF((ABS((SUMIFS(P:P,A:A,A1386)/VLOOKUP("USD",'Exchange Rates'!B:C,2,0)))/S1386)&gt;1,(SUMIFS(P:P,A:A,A1386)-S1386)/S1386,(S1386-SUMIFS(P:P,A:A,A1386))/SUMIFS(P:P,A:A,A1386)),"."),".")</f>
        <v>.</v>
      </c>
    </row>
    <row r="1387" spans="1:53" s="1180" customFormat="1" ht="15.95" customHeight="1">
      <c r="A1387" s="1182" t="s">
        <v>3822</v>
      </c>
      <c r="B1387" s="1182" t="s">
        <v>3748</v>
      </c>
      <c r="C1387" s="1181">
        <v>44660</v>
      </c>
      <c r="D1387" s="1182" t="s">
        <v>389</v>
      </c>
      <c r="E1387" s="1182" t="s">
        <v>443</v>
      </c>
      <c r="F1387" s="1183" t="s">
        <v>3823</v>
      </c>
      <c r="G1387" s="1184" t="s">
        <v>456</v>
      </c>
      <c r="H1387" s="1185" t="s">
        <v>457</v>
      </c>
      <c r="I1387" s="1180" t="s">
        <v>3826</v>
      </c>
      <c r="J1387" s="1186" t="str">
        <f>VLOOKUP($I1387,'Price List, Weapons &amp; Items'!B:C,2,0)</f>
        <v>Heavy weapon</v>
      </c>
      <c r="K1387" s="1186" t="str">
        <f>IF(I1387=".",I1387,VLOOKUP($I1387,'Price List, Weapons &amp; Items'!B:D,3,0))</f>
        <v>Anti-Ship system</v>
      </c>
      <c r="L1387" s="1187">
        <f>VLOOKUP(I1387,'Price List, Weapons &amp; Items'!B:E,4,0)</f>
        <v>0</v>
      </c>
      <c r="M1387" s="1188" t="s">
        <v>374</v>
      </c>
      <c r="N1387" s="1188" t="s">
        <v>374</v>
      </c>
      <c r="O1387" s="1188">
        <f>VLOOKUP($I1387,'Price List, Weapons &amp; Items'!B:G,6,0)</f>
        <v>3960000</v>
      </c>
      <c r="P1387" s="1185" t="str">
        <f t="shared" si="289"/>
        <v>.</v>
      </c>
      <c r="Q1387" s="1185" t="str">
        <f t="shared" si="290"/>
        <v>.</v>
      </c>
      <c r="R1387" s="1185" t="str">
        <f t="shared" si="286"/>
        <v/>
      </c>
      <c r="S1387" s="1185" t="str">
        <f>IF(AND(AD1387=1,R1387&lt;&gt;".")=TRUE,R1387/VLOOKUP(G1387,'Exchange Rates'!B:C,2,0),IF(R1387=".",".",""))</f>
        <v/>
      </c>
      <c r="T1387" s="1185" t="str">
        <f>IF(AD1387=1,IF(AF1387="Value is not given at all",".",IF(AF1387="Value is given by the source",S1387,IF(AF1387="Value is calculated with prices",(IF(SUMIFS(Q:Q,A:A,A1387)&gt;0,SUMIFS(Q:Q,A:A,A1387),"."))/VLOOKUP("USD",'Exchange Rates'!B:C,2,0),"Error with coding"))),"")</f>
        <v/>
      </c>
      <c r="U1387" s="1184" t="s">
        <v>365</v>
      </c>
      <c r="V1387" s="974" t="s">
        <v>3819</v>
      </c>
      <c r="W1387" s="974" t="s">
        <v>3825</v>
      </c>
      <c r="X1387" s="1183" t="s">
        <v>364</v>
      </c>
      <c r="Y1387" s="1183" t="s">
        <v>364</v>
      </c>
      <c r="Z1387" s="1184">
        <v>0</v>
      </c>
      <c r="AA1387" s="1194">
        <v>0</v>
      </c>
      <c r="AB1387" s="1201" t="s">
        <v>364</v>
      </c>
      <c r="AC1387" s="1192" t="str">
        <f>""</f>
        <v/>
      </c>
      <c r="AD1387" s="985">
        <v>0</v>
      </c>
      <c r="AE1387" s="985" t="s">
        <v>436</v>
      </c>
      <c r="AF1387" s="985" t="s">
        <v>436</v>
      </c>
      <c r="AG1387" s="985">
        <v>1</v>
      </c>
      <c r="AH1387" s="985">
        <v>4</v>
      </c>
      <c r="AI1387" s="985">
        <v>0</v>
      </c>
      <c r="AJ1387" s="1193">
        <f>VLOOKUP($I1387,'Price List, Weapons &amp; Items'!B:F,5,0)</f>
        <v>0</v>
      </c>
      <c r="AK1387" s="1193">
        <f t="shared" si="291"/>
        <v>0</v>
      </c>
      <c r="AL1387" s="1193">
        <f t="shared" si="292"/>
        <v>0</v>
      </c>
      <c r="AM1387" s="1193">
        <f t="shared" si="293"/>
        <v>0</v>
      </c>
      <c r="AN1387" s="1194" t="str">
        <f>VLOOKUP($I1387,'Price List, Weapons &amp; Items'!B:L,COLUMN('Price List, Weapons &amp; Items'!$J$11)-1,0)</f>
        <v>Military media (incl. websites)</v>
      </c>
      <c r="AO1387" s="1194" t="str">
        <f>IF(I1387=".",".",VLOOKUP($I1387,'Price List, Weapons &amp; Items'!B:J,3,0))</f>
        <v>Anti-Ship system</v>
      </c>
      <c r="AP1387" s="1195" t="str">
        <f t="shared" ca="1" si="287"/>
        <v/>
      </c>
      <c r="AQ1387" s="1194" t="str">
        <f>VLOOKUP($I1387,'Price List, Weapons &amp; Items'!B:L,COLUMN('Price List, Weapons &amp; Items'!$L$11)-1,0)</f>
        <v>no price, 0 count</v>
      </c>
      <c r="AR1387" s="1194">
        <f t="shared" si="294"/>
        <v>1</v>
      </c>
      <c r="AS1387" s="1194">
        <f t="shared" si="295"/>
        <v>1</v>
      </c>
      <c r="AT1387" s="1194">
        <f t="shared" si="296"/>
        <v>1</v>
      </c>
      <c r="AU1387" s="1194" t="str">
        <f t="shared" si="298"/>
        <v>.</v>
      </c>
      <c r="AV1387" s="1194" t="str">
        <f t="shared" si="288"/>
        <v>.</v>
      </c>
      <c r="AW1387" s="1194" t="str">
        <f t="shared" si="297"/>
        <v>.</v>
      </c>
      <c r="AX1387" s="1194">
        <f>IFERROR(VLOOKUP(B1387,'Share, Heavy Weapons to Ukraine'!B:Z,COLUMN('Share, Heavy Weapons to Ukraine'!C1399)-1,0),0)</f>
        <v>1</v>
      </c>
      <c r="AY1387" s="1194">
        <f>VLOOKUP('Bilateral Assistance, MAIN DATA'!B1387,'Country Summary (€)'!B:F,COLUMN('Country Summary (€)'!C1400)-1,FALSE)</f>
        <v>0</v>
      </c>
      <c r="AZ1387" s="1194" t="str">
        <f>IF(AND(AD1387=1,D1387="Military",H1387&lt;&gt;"Not given")=TRUE,IF(SUMIFS(P:P,A:A,A1387)&gt;0,ABS((SUMIFS(P:P,A:A,A1387)/VLOOKUP("USD",'Exchange Rates'!B:C,2,0)))/S1387,"."),".")</f>
        <v>.</v>
      </c>
      <c r="BA1387" s="1196" t="str">
        <f>IF(AND(AD1387=1,D1387="Military",H1387&lt;&gt;"Not given")=TRUE,IF(SUMIFS(P:P,A:A,A1387)&gt;0,IF((ABS((SUMIFS(P:P,A:A,A1387)/VLOOKUP("USD",'Exchange Rates'!B:C,2,0)))/S1387)&gt;1,(SUMIFS(P:P,A:A,A1387)-S1387)/S1387,(S1387-SUMIFS(P:P,A:A,A1387))/SUMIFS(P:P,A:A,A1387)),"."),".")</f>
        <v>.</v>
      </c>
    </row>
    <row r="1388" spans="1:53" s="1180" customFormat="1" ht="15.95" customHeight="1">
      <c r="A1388" s="1182" t="s">
        <v>3822</v>
      </c>
      <c r="B1388" s="1182" t="s">
        <v>3748</v>
      </c>
      <c r="C1388" s="1181">
        <v>44660</v>
      </c>
      <c r="D1388" s="1182" t="s">
        <v>389</v>
      </c>
      <c r="E1388" s="1182" t="s">
        <v>443</v>
      </c>
      <c r="F1388" s="1183" t="s">
        <v>3823</v>
      </c>
      <c r="G1388" s="1184" t="s">
        <v>456</v>
      </c>
      <c r="H1388" s="1185" t="s">
        <v>457</v>
      </c>
      <c r="I1388" s="1180" t="s">
        <v>3827</v>
      </c>
      <c r="J1388" s="1186" t="str">
        <f>VLOOKUP($I1388,'Price List, Weapons &amp; Items'!B:C,2,0)</f>
        <v>Heavy weapon</v>
      </c>
      <c r="K1388" s="1186" t="str">
        <f>IF(I1388=".",I1388,VLOOKUP($I1388,'Price List, Weapons &amp; Items'!B:D,3,0))</f>
        <v>Armored Utility Vehicle (AUV)</v>
      </c>
      <c r="L1388" s="1187">
        <f>VLOOKUP(I1388,'Price List, Weapons &amp; Items'!B:E,4,0)</f>
        <v>0</v>
      </c>
      <c r="M1388" s="1188">
        <v>5</v>
      </c>
      <c r="N1388" s="1188">
        <v>5</v>
      </c>
      <c r="O1388" s="1188">
        <f>VLOOKUP($I1388,'Price List, Weapons &amp; Items'!B:G,6,0)</f>
        <v>32540</v>
      </c>
      <c r="P1388" s="1185">
        <f t="shared" si="289"/>
        <v>162700</v>
      </c>
      <c r="Q1388" s="1185">
        <f t="shared" si="290"/>
        <v>162700</v>
      </c>
      <c r="R1388" s="1185" t="str">
        <f t="shared" si="286"/>
        <v/>
      </c>
      <c r="S1388" s="1185" t="str">
        <f>IF(AND(AD1388=1,R1388&lt;&gt;".")=TRUE,R1388/VLOOKUP(G1388,'Exchange Rates'!B:C,2,0),IF(R1388=".",".",""))</f>
        <v/>
      </c>
      <c r="T1388" s="1185" t="str">
        <f>IF(AD1388=1,IF(AF1388="Value is not given at all",".",IF(AF1388="Value is given by the source",S1388,IF(AF1388="Value is calculated with prices",(IF(SUMIFS(Q:Q,A:A,A1388)&gt;0,SUMIFS(Q:Q,A:A,A1388),"."))/VLOOKUP("USD",'Exchange Rates'!B:C,2,0),"Error with coding"))),"")</f>
        <v/>
      </c>
      <c r="U1388" s="1184" t="s">
        <v>365</v>
      </c>
      <c r="V1388" s="974" t="s">
        <v>3819</v>
      </c>
      <c r="W1388" s="974" t="s">
        <v>3825</v>
      </c>
      <c r="X1388" s="976" t="s">
        <v>3828</v>
      </c>
      <c r="Y1388" s="1183" t="s">
        <v>364</v>
      </c>
      <c r="Z1388" s="1184">
        <v>0</v>
      </c>
      <c r="AA1388" s="1194">
        <v>0</v>
      </c>
      <c r="AB1388" s="1016" t="s">
        <v>3820</v>
      </c>
      <c r="AC1388" s="1192" t="str">
        <f>""</f>
        <v/>
      </c>
      <c r="AD1388" s="985">
        <v>0</v>
      </c>
      <c r="AE1388" s="985" t="s">
        <v>436</v>
      </c>
      <c r="AF1388" s="985" t="s">
        <v>436</v>
      </c>
      <c r="AG1388" s="985">
        <v>1</v>
      </c>
      <c r="AH1388" s="985">
        <v>4</v>
      </c>
      <c r="AI1388" s="985">
        <v>0</v>
      </c>
      <c r="AJ1388" s="1193">
        <f>VLOOKUP($I1388,'Price List, Weapons &amp; Items'!B:F,5,0)</f>
        <v>1</v>
      </c>
      <c r="AK1388" s="1193">
        <f t="shared" si="291"/>
        <v>0</v>
      </c>
      <c r="AL1388" s="1193">
        <f t="shared" si="292"/>
        <v>0</v>
      </c>
      <c r="AM1388" s="1193">
        <f t="shared" si="293"/>
        <v>0</v>
      </c>
      <c r="AN1388" s="1194" t="str">
        <f>VLOOKUP($I1388,'Price List, Weapons &amp; Items'!B:L,COLUMN('Price List, Weapons &amp; Items'!$J$11)-1,0)</f>
        <v>.</v>
      </c>
      <c r="AO1388" s="1194" t="str">
        <f>IF(I1388=".",".",VLOOKUP($I1388,'Price List, Weapons &amp; Items'!B:J,3,0))</f>
        <v>Armored Utility Vehicle (AUV)</v>
      </c>
      <c r="AP1388" s="1195" t="str">
        <f t="shared" ca="1" si="287"/>
        <v/>
      </c>
      <c r="AQ1388" s="1194">
        <f>VLOOKUP($I1388,'Price List, Weapons &amp; Items'!B:L,COLUMN('Price List, Weapons &amp; Items'!$L$11)-1,0)</f>
        <v>1</v>
      </c>
      <c r="AR1388" s="1194">
        <f t="shared" si="294"/>
        <v>1</v>
      </c>
      <c r="AS1388" s="1194">
        <f t="shared" si="295"/>
        <v>1</v>
      </c>
      <c r="AT1388" s="1194">
        <f t="shared" si="296"/>
        <v>1</v>
      </c>
      <c r="AU1388" s="1194" t="str">
        <f t="shared" si="298"/>
        <v>.</v>
      </c>
      <c r="AV1388" s="1194" t="str">
        <f t="shared" si="288"/>
        <v>.</v>
      </c>
      <c r="AW1388" s="1194" t="str">
        <f t="shared" si="297"/>
        <v>.</v>
      </c>
      <c r="AX1388" s="1194">
        <f>IFERROR(VLOOKUP(B1388,'Share, Heavy Weapons to Ukraine'!B:Z,COLUMN('Share, Heavy Weapons to Ukraine'!C1400)-1,0),0)</f>
        <v>1</v>
      </c>
      <c r="AY1388" s="1194">
        <f>VLOOKUP('Bilateral Assistance, MAIN DATA'!B1388,'Country Summary (€)'!B:F,COLUMN('Country Summary (€)'!C1401)-1,FALSE)</f>
        <v>0</v>
      </c>
      <c r="AZ1388" s="1194" t="str">
        <f>IF(AND(AD1388=1,D1388="Military",H1388&lt;&gt;"Not given")=TRUE,IF(SUMIFS(P:P,A:A,A1388)&gt;0,ABS((SUMIFS(P:P,A:A,A1388)/VLOOKUP("USD",'Exchange Rates'!B:C,2,0)))/S1388,"."),".")</f>
        <v>.</v>
      </c>
      <c r="BA1388" s="1196" t="str">
        <f>IF(AND(AD1388=1,D1388="Military",H1388&lt;&gt;"Not given")=TRUE,IF(SUMIFS(P:P,A:A,A1388)&gt;0,IF((ABS((SUMIFS(P:P,A:A,A1388)/VLOOKUP("USD",'Exchange Rates'!B:C,2,0)))/S1388)&gt;1,(SUMIFS(P:P,A:A,A1388)-S1388)/S1388,(S1388-SUMIFS(P:P,A:A,A1388))/SUMIFS(P:P,A:A,A1388)),"."),".")</f>
        <v>.</v>
      </c>
    </row>
    <row r="1389" spans="1:53" s="1180" customFormat="1" ht="15.95" customHeight="1">
      <c r="A1389" s="1182" t="s">
        <v>3822</v>
      </c>
      <c r="B1389" s="1182" t="s">
        <v>3748</v>
      </c>
      <c r="C1389" s="1181">
        <v>44660</v>
      </c>
      <c r="D1389" s="1182" t="s">
        <v>389</v>
      </c>
      <c r="E1389" s="1182" t="s">
        <v>443</v>
      </c>
      <c r="F1389" s="1183" t="s">
        <v>3823</v>
      </c>
      <c r="G1389" s="1184" t="s">
        <v>456</v>
      </c>
      <c r="H1389" s="1185" t="s">
        <v>457</v>
      </c>
      <c r="I1389" s="1180" t="s">
        <v>3829</v>
      </c>
      <c r="J1389" s="1186" t="str">
        <f>VLOOKUP($I1389,'Price List, Weapons &amp; Items'!B:C,2,0)</f>
        <v>Heavy weapon</v>
      </c>
      <c r="K1389" s="1186" t="str">
        <f>IF(I1389=".",I1389,VLOOKUP($I1389,'Price List, Weapons &amp; Items'!B:D,3,0))</f>
        <v>Armored Personnel Carrier (APC)</v>
      </c>
      <c r="L1389" s="1187">
        <f>VLOOKUP(I1389,'Price List, Weapons &amp; Items'!B:E,4,0)</f>
        <v>0</v>
      </c>
      <c r="M1389" s="1188">
        <v>35</v>
      </c>
      <c r="N1389" s="1188">
        <v>35</v>
      </c>
      <c r="O1389" s="1188">
        <f>VLOOKUP($I1389,'Price List, Weapons &amp; Items'!B:G,6,0)</f>
        <v>110000</v>
      </c>
      <c r="P1389" s="1185">
        <f t="shared" si="289"/>
        <v>3850000</v>
      </c>
      <c r="Q1389" s="1185">
        <f t="shared" si="290"/>
        <v>3850000</v>
      </c>
      <c r="R1389" s="1185" t="str">
        <f t="shared" si="286"/>
        <v/>
      </c>
      <c r="S1389" s="1185" t="str">
        <f>IF(AND(AD1389=1,R1389&lt;&gt;".")=TRUE,R1389/VLOOKUP(G1389,'Exchange Rates'!B:C,2,0),IF(R1389=".",".",""))</f>
        <v/>
      </c>
      <c r="T1389" s="1185" t="str">
        <f>IF(AD1389=1,IF(AF1389="Value is not given at all",".",IF(AF1389="Value is given by the source",S1389,IF(AF1389="Value is calculated with prices",(IF(SUMIFS(Q:Q,A:A,A1389)&gt;0,SUMIFS(Q:Q,A:A,A1389),"."))/VLOOKUP("USD",'Exchange Rates'!B:C,2,0),"Error with coding"))),"")</f>
        <v/>
      </c>
      <c r="U1389" s="1184" t="s">
        <v>365</v>
      </c>
      <c r="V1389" s="974" t="s">
        <v>3819</v>
      </c>
      <c r="W1389" s="974" t="s">
        <v>3825</v>
      </c>
      <c r="X1389" s="976" t="s">
        <v>3828</v>
      </c>
      <c r="Y1389" s="1183" t="s">
        <v>364</v>
      </c>
      <c r="Z1389" s="1184">
        <v>0</v>
      </c>
      <c r="AA1389" s="1194">
        <v>0</v>
      </c>
      <c r="AB1389" s="1016" t="s">
        <v>3820</v>
      </c>
      <c r="AC1389" s="1192" t="str">
        <f>""</f>
        <v/>
      </c>
      <c r="AD1389" s="985">
        <v>0</v>
      </c>
      <c r="AE1389" s="985" t="s">
        <v>436</v>
      </c>
      <c r="AF1389" s="985" t="s">
        <v>436</v>
      </c>
      <c r="AG1389" s="985">
        <v>1</v>
      </c>
      <c r="AH1389" s="985">
        <v>4</v>
      </c>
      <c r="AI1389" s="985">
        <v>0</v>
      </c>
      <c r="AJ1389" s="1193">
        <f>VLOOKUP($I1389,'Price List, Weapons &amp; Items'!B:F,5,0)</f>
        <v>1</v>
      </c>
      <c r="AK1389" s="1193">
        <f t="shared" si="291"/>
        <v>0</v>
      </c>
      <c r="AL1389" s="1193">
        <f t="shared" si="292"/>
        <v>0</v>
      </c>
      <c r="AM1389" s="1193">
        <f t="shared" si="293"/>
        <v>0</v>
      </c>
      <c r="AN1389" s="1194" t="str">
        <f>VLOOKUP($I1389,'Price List, Weapons &amp; Items'!B:L,COLUMN('Price List, Weapons &amp; Items'!$J$11)-1,0)</f>
        <v>Contracts</v>
      </c>
      <c r="AO1389" s="1194" t="str">
        <f>IF(I1389=".",".",VLOOKUP($I1389,'Price List, Weapons &amp; Items'!B:J,3,0))</f>
        <v>Armored Personnel Carrier (APC)</v>
      </c>
      <c r="AP1389" s="1195" t="str">
        <f t="shared" ca="1" si="287"/>
        <v/>
      </c>
      <c r="AQ1389" s="1194">
        <f>VLOOKUP($I1389,'Price List, Weapons &amp; Items'!B:L,COLUMN('Price List, Weapons &amp; Items'!$L$11)-1,0)</f>
        <v>2</v>
      </c>
      <c r="AR1389" s="1194">
        <f t="shared" si="294"/>
        <v>1</v>
      </c>
      <c r="AS1389" s="1194">
        <f t="shared" si="295"/>
        <v>1</v>
      </c>
      <c r="AT1389" s="1194">
        <f t="shared" si="296"/>
        <v>1</v>
      </c>
      <c r="AU1389" s="1194" t="str">
        <f t="shared" si="298"/>
        <v>.</v>
      </c>
      <c r="AV1389" s="1194" t="str">
        <f t="shared" si="288"/>
        <v>.</v>
      </c>
      <c r="AW1389" s="1194" t="str">
        <f t="shared" si="297"/>
        <v>.</v>
      </c>
      <c r="AX1389" s="1194">
        <f>IFERROR(VLOOKUP(B1389,'Share, Heavy Weapons to Ukraine'!B:Z,COLUMN('Share, Heavy Weapons to Ukraine'!C1401)-1,0),0)</f>
        <v>1</v>
      </c>
      <c r="AY1389" s="1194">
        <f>VLOOKUP('Bilateral Assistance, MAIN DATA'!B1389,'Country Summary (€)'!B:F,COLUMN('Country Summary (€)'!C1402)-1,FALSE)</f>
        <v>0</v>
      </c>
      <c r="AZ1389" s="1194" t="str">
        <f>IF(AND(AD1389=1,D1389="Military",H1389&lt;&gt;"Not given")=TRUE,IF(SUMIFS(P:P,A:A,A1389)&gt;0,ABS((SUMIFS(P:P,A:A,A1389)/VLOOKUP("USD",'Exchange Rates'!B:C,2,0)))/S1389,"."),".")</f>
        <v>.</v>
      </c>
      <c r="BA1389" s="1196" t="str">
        <f>IF(AND(AD1389=1,D1389="Military",H1389&lt;&gt;"Not given")=TRUE,IF(SUMIFS(P:P,A:A,A1389)&gt;0,IF((ABS((SUMIFS(P:P,A:A,A1389)/VLOOKUP("USD",'Exchange Rates'!B:C,2,0)))/S1389)&gt;1,(SUMIFS(P:P,A:A,A1389)-S1389)/S1389,(S1389-SUMIFS(P:P,A:A,A1389))/SUMIFS(P:P,A:A,A1389)),"."),".")</f>
        <v>.</v>
      </c>
    </row>
    <row r="1390" spans="1:53" ht="15.95" customHeight="1">
      <c r="A1390" s="1180" t="s">
        <v>3830</v>
      </c>
      <c r="B1390" s="1180" t="s">
        <v>3748</v>
      </c>
      <c r="C1390" s="1181">
        <v>44700</v>
      </c>
      <c r="D1390" s="1182" t="s">
        <v>389</v>
      </c>
      <c r="E1390" s="1182" t="s">
        <v>443</v>
      </c>
      <c r="F1390" s="1183" t="s">
        <v>3831</v>
      </c>
      <c r="G1390" s="1184" t="s">
        <v>456</v>
      </c>
      <c r="H1390" s="1185" t="s">
        <v>457</v>
      </c>
      <c r="I1390" s="1180" t="s">
        <v>3832</v>
      </c>
      <c r="J1390" s="1186" t="str">
        <f>VLOOKUP($I1390,'Price List, Weapons &amp; Items'!B:C,2,0)</f>
        <v>Heavy weapon</v>
      </c>
      <c r="K1390" s="1186" t="str">
        <f>IF(I1390=".",I1390,VLOOKUP($I1390,'Price List, Weapons &amp; Items'!B:D,3,0))</f>
        <v>Anti-aircraft surface-to-air missile (SAM) system (point-defense)</v>
      </c>
      <c r="L1390" s="1187">
        <f>VLOOKUP(I1390,'Price List, Weapons &amp; Items'!B:E,4,0)</f>
        <v>0</v>
      </c>
      <c r="M1390" s="1188">
        <v>6</v>
      </c>
      <c r="N1390" s="1188">
        <v>6</v>
      </c>
      <c r="O1390" s="1188">
        <f>VLOOKUP($I1390,'Price List, Weapons &amp; Items'!B:G,6,0)</f>
        <v>16000</v>
      </c>
      <c r="P1390" s="1185">
        <f t="shared" si="289"/>
        <v>96000</v>
      </c>
      <c r="Q1390" s="1185">
        <f t="shared" si="290"/>
        <v>96000</v>
      </c>
      <c r="R1390" s="1185">
        <f t="shared" si="286"/>
        <v>96000</v>
      </c>
      <c r="S1390" s="1185">
        <f>IF(AND(AD1390=1,R1390&lt;&gt;".")=TRUE,R1390/VLOOKUP(G1390,'Exchange Rates'!B:C,2,0),IF(R1390=".",".",""))</f>
        <v>88332.719911667285</v>
      </c>
      <c r="T1390" s="1185">
        <f>IF(AD1390=1,IF(AF1390="Value is not given at all",".",IF(AF1390="Value is given by the source",S1390,IF(AF1390="Value is calculated with prices",(IF(SUMIFS(Q:Q,A:A,A1390)&gt;0,SUMIFS(Q:Q,A:A,A1390),"."))/VLOOKUP("USD",'Exchange Rates'!B:C,2,0),"Error with coding"))),"")</f>
        <v>88332.719911667285</v>
      </c>
      <c r="U1390" s="1184" t="s">
        <v>365</v>
      </c>
      <c r="V1390" s="974" t="s">
        <v>3833</v>
      </c>
      <c r="W1390" s="974" t="s">
        <v>3820</v>
      </c>
      <c r="X1390" s="1190" t="s">
        <v>364</v>
      </c>
      <c r="Y1390" s="1190" t="s">
        <v>364</v>
      </c>
      <c r="Z1390" s="1184">
        <v>0</v>
      </c>
      <c r="AA1390" s="1194">
        <v>0</v>
      </c>
      <c r="AB1390" s="977" t="s">
        <v>3820</v>
      </c>
      <c r="AC1390" s="1192" t="str">
        <f>""</f>
        <v/>
      </c>
      <c r="AD1390" s="1193">
        <v>1</v>
      </c>
      <c r="AE1390" s="1193" t="s">
        <v>436</v>
      </c>
      <c r="AF1390" s="1193" t="s">
        <v>436</v>
      </c>
      <c r="AG1390" s="1193">
        <v>1</v>
      </c>
      <c r="AH1390" s="1193">
        <v>5</v>
      </c>
      <c r="AI1390" s="1193">
        <v>0</v>
      </c>
      <c r="AJ1390" s="1193">
        <f>VLOOKUP($I1390,'Price List, Weapons &amp; Items'!B:F,5,0)</f>
        <v>0</v>
      </c>
      <c r="AK1390" s="1193">
        <f t="shared" si="291"/>
        <v>0</v>
      </c>
      <c r="AL1390" s="1193">
        <f t="shared" si="292"/>
        <v>0</v>
      </c>
      <c r="AM1390" s="1193">
        <f t="shared" si="293"/>
        <v>0</v>
      </c>
      <c r="AN1390" s="1194" t="str">
        <f>VLOOKUP($I1390,'Price List, Weapons &amp; Items'!B:L,COLUMN('Price List, Weapons &amp; Items'!$J$11)-1,0)</f>
        <v>Online marketplaces and stores</v>
      </c>
      <c r="AO1390" s="1194" t="str">
        <f>IF(I1390=".",".",VLOOKUP($I1390,'Price List, Weapons &amp; Items'!B:J,3,0))</f>
        <v>Anti-aircraft surface-to-air missile (SAM) system (point-defense)</v>
      </c>
      <c r="AP1390" s="1195" t="str">
        <f t="shared" ca="1" si="287"/>
        <v>Stormer Armored vehicle with Starstreak anti-air missile launchers</v>
      </c>
      <c r="AQ1390" s="1194">
        <f>VLOOKUP($I1390,'Price List, Weapons &amp; Items'!B:L,COLUMN('Price List, Weapons &amp; Items'!$L$11)-1,0)</f>
        <v>1</v>
      </c>
      <c r="AR1390" s="1194">
        <f t="shared" si="294"/>
        <v>1</v>
      </c>
      <c r="AS1390" s="1194">
        <f t="shared" si="295"/>
        <v>1</v>
      </c>
      <c r="AT1390" s="1194">
        <f t="shared" si="296"/>
        <v>1</v>
      </c>
      <c r="AU1390" s="1194" t="str">
        <f t="shared" si="298"/>
        <v>.</v>
      </c>
      <c r="AV1390" s="1194" t="str">
        <f t="shared" si="288"/>
        <v>.</v>
      </c>
      <c r="AW1390" s="1194" t="str">
        <f t="shared" si="297"/>
        <v>.</v>
      </c>
      <c r="AX1390" s="1194">
        <f>IFERROR(VLOOKUP(B1390,'Share, Heavy Weapons to Ukraine'!B:Z,COLUMN('Share, Heavy Weapons to Ukraine'!C1402)-1,0),0)</f>
        <v>1</v>
      </c>
      <c r="AY1390" s="1194">
        <f>VLOOKUP('Bilateral Assistance, MAIN DATA'!B1390,'Country Summary (€)'!B:F,COLUMN('Country Summary (€)'!C1403)-1,FALSE)</f>
        <v>0</v>
      </c>
      <c r="AZ1390" s="1194" t="str">
        <f>IF(AND(AD1390=1,D1390="Military",H1390&lt;&gt;"Not given")=TRUE,IF(SUMIFS(P:P,A:A,A1390)&gt;0,ABS((SUMIFS(P:P,A:A,A1390)/VLOOKUP("USD",'Exchange Rates'!B:C,2,0)))/S1390,"."),".")</f>
        <v>.</v>
      </c>
      <c r="BA1390" s="1196" t="str">
        <f>IF(AND(AD1390=1,D1390="Military",H1390&lt;&gt;"Not given")=TRUE,IF(SUMIFS(P:P,A:A,A1390)&gt;0,IF((ABS((SUMIFS(P:P,A:A,A1390)/VLOOKUP("USD",'Exchange Rates'!B:C,2,0)))/S1390)&gt;1,(SUMIFS(P:P,A:A,A1390)-S1390)/S1390,(S1390-SUMIFS(P:P,A:A,A1390))/SUMIFS(P:P,A:A,A1390)),"."),".")</f>
        <v>.</v>
      </c>
    </row>
    <row r="1391" spans="1:53" ht="15.95" customHeight="1">
      <c r="A1391" s="1182" t="s">
        <v>3834</v>
      </c>
      <c r="B1391" s="1182" t="s">
        <v>3748</v>
      </c>
      <c r="C1391" s="1181">
        <v>44701</v>
      </c>
      <c r="D1391" s="1182" t="s">
        <v>389</v>
      </c>
      <c r="E1391" s="1182" t="s">
        <v>390</v>
      </c>
      <c r="F1391" s="1183" t="s">
        <v>3835</v>
      </c>
      <c r="G1391" s="1184" t="s">
        <v>3750</v>
      </c>
      <c r="H1391" s="1185">
        <v>1300000000</v>
      </c>
      <c r="I1391" s="1180" t="s">
        <v>3836</v>
      </c>
      <c r="J1391" s="1186" t="str">
        <f>VLOOKUP($I1391,'Price List, Weapons &amp; Items'!B:C,2,0)</f>
        <v>Heavy weapon</v>
      </c>
      <c r="K1391" s="1186" t="str">
        <f>IF(I1391=".",I1391,VLOOKUP($I1391,'Price List, Weapons &amp; Items'!B:D,3,0))</f>
        <v>Radar or imagery systems</v>
      </c>
      <c r="L1391" s="1187">
        <f>VLOOKUP(I1391,'Price List, Weapons &amp; Items'!B:E,4,0)</f>
        <v>0</v>
      </c>
      <c r="M1391" s="1188" t="s">
        <v>374</v>
      </c>
      <c r="N1391" s="1188" t="s">
        <v>374</v>
      </c>
      <c r="O1391" s="1188" t="str">
        <f>VLOOKUP($I1391,'Price List, Weapons &amp; Items'!B:G,6,0)</f>
        <v>.</v>
      </c>
      <c r="P1391" s="1185" t="str">
        <f t="shared" si="289"/>
        <v>.</v>
      </c>
      <c r="Q1391" s="1185" t="str">
        <f t="shared" si="290"/>
        <v>.</v>
      </c>
      <c r="R1391" s="1185">
        <f t="shared" si="286"/>
        <v>1300000000</v>
      </c>
      <c r="S1391" s="1185">
        <f>IF(AND(AD1391=1,R1391&lt;&gt;".")=TRUE,R1391/VLOOKUP(G1391,'Exchange Rates'!B:C,2,0),IF(R1391=".",".",""))</f>
        <v>1493566176.4705882</v>
      </c>
      <c r="T1391" s="1185">
        <f>IF(AD1391=1,IF(AF1391="Value is not given at all",".",IF(AF1391="Value is given by the source",S1391,IF(AF1391="Value is calculated with prices",(IF(SUMIFS(Q:Q,A:A,A1391)&gt;0,SUMIFS(Q:Q,A:A,A1391),"."))/VLOOKUP("USD",'Exchange Rates'!B:C,2,0),"Error with coding"))),"")</f>
        <v>156478673.17605427</v>
      </c>
      <c r="U1391" s="1184" t="s">
        <v>365</v>
      </c>
      <c r="V1391" s="974" t="s">
        <v>3837</v>
      </c>
      <c r="W1391" s="974" t="s">
        <v>3838</v>
      </c>
      <c r="X1391" s="1034" t="s">
        <v>364</v>
      </c>
      <c r="Y1391" s="1183" t="s">
        <v>364</v>
      </c>
      <c r="Z1391" s="1184">
        <v>0</v>
      </c>
      <c r="AA1391" s="1194">
        <v>0</v>
      </c>
      <c r="AB1391" s="977" t="s">
        <v>3839</v>
      </c>
      <c r="AC1391" s="1192" t="str">
        <f>""</f>
        <v/>
      </c>
      <c r="AD1391" s="985">
        <v>1</v>
      </c>
      <c r="AE1391" s="985" t="s">
        <v>368</v>
      </c>
      <c r="AF1391" s="985" t="s">
        <v>436</v>
      </c>
      <c r="AG1391" s="985">
        <v>1</v>
      </c>
      <c r="AH1391" s="985">
        <v>5</v>
      </c>
      <c r="AI1391" s="985">
        <v>0</v>
      </c>
      <c r="AJ1391" s="1193">
        <f>VLOOKUP($I1391,'Price List, Weapons &amp; Items'!B:F,5,0)</f>
        <v>0</v>
      </c>
      <c r="AK1391" s="1193">
        <f t="shared" si="291"/>
        <v>0</v>
      </c>
      <c r="AL1391" s="1193">
        <f t="shared" si="292"/>
        <v>0</v>
      </c>
      <c r="AM1391" s="1193">
        <f t="shared" si="293"/>
        <v>0</v>
      </c>
      <c r="AN1391" s="1194" t="str">
        <f>VLOOKUP($I1391,'Price List, Weapons &amp; Items'!B:L,COLUMN('Price List, Weapons &amp; Items'!$J$11)-1,0)</f>
        <v>.</v>
      </c>
      <c r="AO1391" s="1194" t="str">
        <f>IF(I1391=".",".",VLOOKUP($I1391,'Price List, Weapons &amp; Items'!B:J,3,0))</f>
        <v>Radar or imagery systems</v>
      </c>
      <c r="AP1391" s="1195" t="str">
        <f t="shared" ca="1" si="287"/>
        <v>weapon locating radar system</v>
      </c>
      <c r="AQ1391" s="1194" t="str">
        <f>VLOOKUP($I1391,'Price List, Weapons &amp; Items'!B:L,COLUMN('Price List, Weapons &amp; Items'!$L$11)-1,0)</f>
        <v>no price, 0 count</v>
      </c>
      <c r="AR1391" s="1194">
        <f t="shared" si="294"/>
        <v>1</v>
      </c>
      <c r="AS1391" s="1194">
        <f t="shared" si="295"/>
        <v>1</v>
      </c>
      <c r="AT1391" s="1194">
        <f t="shared" si="296"/>
        <v>1</v>
      </c>
      <c r="AU1391" s="1194" t="str">
        <f t="shared" si="298"/>
        <v>.</v>
      </c>
      <c r="AV1391" s="1194" t="str">
        <f t="shared" si="288"/>
        <v>.</v>
      </c>
      <c r="AW1391" s="1194" t="str">
        <f t="shared" si="297"/>
        <v>.</v>
      </c>
      <c r="AX1391" s="1194">
        <f>IFERROR(VLOOKUP(B1391,'Share, Heavy Weapons to Ukraine'!B:Z,COLUMN('Share, Heavy Weapons to Ukraine'!C1403)-1,0),0)</f>
        <v>1</v>
      </c>
      <c r="AY1391" s="1194">
        <f>VLOOKUP('Bilateral Assistance, MAIN DATA'!B1391,'Country Summary (€)'!B:F,COLUMN('Country Summary (€)'!C1404)-1,FALSE)</f>
        <v>0</v>
      </c>
      <c r="AZ1391" s="1194">
        <f>IF(AND(AD1391=1,D1391="Military",H1391&lt;&gt;"Not given")=TRUE,IF(SUMIFS(P:P,A:A,A1391)&gt;0,ABS((SUMIFS(P:P,A:A,A1391)/VLOOKUP("USD",'Exchange Rates'!B:C,2,0)))/S1391,"."),".")</f>
        <v>0.10476849010187511</v>
      </c>
      <c r="BA1391" s="1196">
        <f>IF(AND(AD1391=1,D1391="Military",H1391&lt;&gt;"Not given")=TRUE,IF(SUMIFS(P:P,A:A,A1391)&gt;0,IF((ABS((SUMIFS(P:P,A:A,A1391)/VLOOKUP("USD",'Exchange Rates'!B:C,2,0)))/S1391)&gt;1,(SUMIFS(P:P,A:A,A1391)-S1391)/S1391,(S1391-SUMIFS(P:P,A:A,A1391))/SUMIFS(P:P,A:A,A1391)),"."),".")</f>
        <v>7.782530875315147</v>
      </c>
    </row>
    <row r="1392" spans="1:53" ht="15.95" customHeight="1">
      <c r="A1392" s="1182" t="s">
        <v>3834</v>
      </c>
      <c r="B1392" s="1182" t="s">
        <v>3748</v>
      </c>
      <c r="C1392" s="1181">
        <v>44701</v>
      </c>
      <c r="D1392" s="1182" t="s">
        <v>389</v>
      </c>
      <c r="E1392" s="1182" t="s">
        <v>390</v>
      </c>
      <c r="F1392" s="1183" t="s">
        <v>3835</v>
      </c>
      <c r="G1392" s="1184" t="s">
        <v>3750</v>
      </c>
      <c r="H1392" s="1185">
        <v>1300000000</v>
      </c>
      <c r="I1392" s="1180" t="s">
        <v>3840</v>
      </c>
      <c r="J1392" s="1186" t="str">
        <f>VLOOKUP($I1392,'Price List, Weapons &amp; Items'!B:C,2,0)</f>
        <v>Aviation and drones</v>
      </c>
      <c r="K1392" s="1186" t="str">
        <f>IF(I1392=".",I1392,VLOOKUP($I1392,'Price List, Weapons &amp; Items'!B:D,3,0))</f>
        <v>Drone</v>
      </c>
      <c r="L1392" s="1187">
        <f>VLOOKUP(I1392,'Price List, Weapons &amp; Items'!B:E,4,0)</f>
        <v>0</v>
      </c>
      <c r="M1392" s="1188" t="s">
        <v>374</v>
      </c>
      <c r="N1392" s="1188" t="s">
        <v>374</v>
      </c>
      <c r="O1392" s="1188">
        <f>VLOOKUP($I1392,'Price List, Weapons &amp; Items'!B:G,6,0)</f>
        <v>64000</v>
      </c>
      <c r="P1392" s="1185" t="str">
        <f t="shared" si="289"/>
        <v>.</v>
      </c>
      <c r="Q1392" s="1185" t="str">
        <f t="shared" si="290"/>
        <v>.</v>
      </c>
      <c r="R1392" s="1185" t="str">
        <f t="shared" si="286"/>
        <v/>
      </c>
      <c r="S1392" s="1185" t="str">
        <f>IF(AND(AD1392=1,R1392&lt;&gt;".")=TRUE,R1392/VLOOKUP(G1392,'Exchange Rates'!B:C,2,0),IF(R1392=".",".",""))</f>
        <v/>
      </c>
      <c r="T1392" s="1185" t="str">
        <f>IF(AD1392=1,IF(AF1392="Value is not given at all",".",IF(AF1392="Value is given by the source",S1392,IF(AF1392="Value is calculated with prices",(IF(SUMIFS(Q:Q,A:A,A1392)&gt;0,SUMIFS(Q:Q,A:A,A1392),"."))/VLOOKUP("USD",'Exchange Rates'!B:C,2,0),"Error with coding"))),"")</f>
        <v/>
      </c>
      <c r="U1392" s="1184" t="s">
        <v>365</v>
      </c>
      <c r="V1392" s="974" t="s">
        <v>3837</v>
      </c>
      <c r="W1392" s="974" t="s">
        <v>3838</v>
      </c>
      <c r="X1392" s="1034" t="s">
        <v>364</v>
      </c>
      <c r="Y1392" s="1183" t="s">
        <v>364</v>
      </c>
      <c r="Z1392" s="1184">
        <v>0</v>
      </c>
      <c r="AA1392" s="1194">
        <v>0</v>
      </c>
      <c r="AB1392" s="1180" t="s">
        <v>364</v>
      </c>
      <c r="AC1392" s="1192" t="str">
        <f>""</f>
        <v/>
      </c>
      <c r="AD1392" s="985">
        <v>0</v>
      </c>
      <c r="AE1392" s="985" t="s">
        <v>368</v>
      </c>
      <c r="AF1392" s="985" t="s">
        <v>436</v>
      </c>
      <c r="AG1392" s="985">
        <v>1</v>
      </c>
      <c r="AH1392" s="985">
        <v>5</v>
      </c>
      <c r="AI1392" s="985">
        <v>0</v>
      </c>
      <c r="AJ1392" s="1193">
        <f>VLOOKUP($I1392,'Price List, Weapons &amp; Items'!B:F,5,0)</f>
        <v>0</v>
      </c>
      <c r="AK1392" s="1193">
        <f t="shared" si="291"/>
        <v>0</v>
      </c>
      <c r="AL1392" s="1193">
        <f t="shared" si="292"/>
        <v>0</v>
      </c>
      <c r="AM1392" s="1193">
        <f t="shared" si="293"/>
        <v>0</v>
      </c>
      <c r="AN1392" s="1194" t="str">
        <f>VLOOKUP($I1392,'Price List, Weapons &amp; Items'!B:L,COLUMN('Price List, Weapons &amp; Items'!$J$11)-1,0)</f>
        <v>Miscellaneous</v>
      </c>
      <c r="AO1392" s="1194" t="str">
        <f>IF(I1392=".",".",VLOOKUP($I1392,'Price List, Weapons &amp; Items'!B:J,3,0))</f>
        <v>Drone</v>
      </c>
      <c r="AP1392" s="1195" t="str">
        <f t="shared" ca="1" si="287"/>
        <v/>
      </c>
      <c r="AQ1392" s="1194" t="str">
        <f>VLOOKUP($I1392,'Price List, Weapons &amp; Items'!B:L,COLUMN('Price List, Weapons &amp; Items'!$L$11)-1,0)</f>
        <v>no price, 0 count</v>
      </c>
      <c r="AR1392" s="1194">
        <f t="shared" si="294"/>
        <v>1</v>
      </c>
      <c r="AS1392" s="1194">
        <f t="shared" si="295"/>
        <v>1</v>
      </c>
      <c r="AT1392" s="1194">
        <f t="shared" si="296"/>
        <v>1</v>
      </c>
      <c r="AU1392" s="1194" t="str">
        <f t="shared" si="298"/>
        <v>.</v>
      </c>
      <c r="AV1392" s="1194" t="str">
        <f t="shared" si="288"/>
        <v>.</v>
      </c>
      <c r="AW1392" s="1194" t="str">
        <f t="shared" si="297"/>
        <v>.</v>
      </c>
      <c r="AX1392" s="1194">
        <f>IFERROR(VLOOKUP(B1392,'Share, Heavy Weapons to Ukraine'!B:Z,COLUMN('Share, Heavy Weapons to Ukraine'!C1404)-1,0),0)</f>
        <v>1</v>
      </c>
      <c r="AY1392" s="1194">
        <f>VLOOKUP('Bilateral Assistance, MAIN DATA'!B1392,'Country Summary (€)'!B:F,COLUMN('Country Summary (€)'!C1405)-1,FALSE)</f>
        <v>0</v>
      </c>
      <c r="AZ1392" s="1194" t="str">
        <f>IF(AND(AD1392=1,D1392="Military",H1392&lt;&gt;"Not given")=TRUE,IF(SUMIFS(P:P,A:A,A1392)&gt;0,ABS((SUMIFS(P:P,A:A,A1392)/VLOOKUP("USD",'Exchange Rates'!B:C,2,0)))/S1392,"."),".")</f>
        <v>.</v>
      </c>
      <c r="BA1392" s="1196" t="str">
        <f>IF(AND(AD1392=1,D1392="Military",H1392&lt;&gt;"Not given")=TRUE,IF(SUMIFS(P:P,A:A,A1392)&gt;0,IF((ABS((SUMIFS(P:P,A:A,A1392)/VLOOKUP("USD",'Exchange Rates'!B:C,2,0)))/S1392)&gt;1,(SUMIFS(P:P,A:A,A1392)-S1392)/S1392,(S1392-SUMIFS(P:P,A:A,A1392))/SUMIFS(P:P,A:A,A1392)),"."),".")</f>
        <v>.</v>
      </c>
    </row>
    <row r="1393" spans="1:53" ht="15.95" customHeight="1">
      <c r="A1393" s="1182" t="s">
        <v>3834</v>
      </c>
      <c r="B1393" s="1182" t="s">
        <v>3748</v>
      </c>
      <c r="C1393" s="1181">
        <v>44701</v>
      </c>
      <c r="D1393" s="1182" t="s">
        <v>389</v>
      </c>
      <c r="E1393" s="1182" t="s">
        <v>390</v>
      </c>
      <c r="F1393" s="1183" t="s">
        <v>3835</v>
      </c>
      <c r="G1393" s="1184" t="s">
        <v>3750</v>
      </c>
      <c r="H1393" s="1185">
        <v>1300000000</v>
      </c>
      <c r="I1393" s="1180" t="s">
        <v>605</v>
      </c>
      <c r="J1393" s="1186" t="str">
        <f>VLOOKUP($I1393,'Price List, Weapons &amp; Items'!B:C,2,0)</f>
        <v>Military equipment</v>
      </c>
      <c r="K1393" s="1186" t="str">
        <f>IF(I1393=".",I1393,VLOOKUP($I1393,'Price List, Weapons &amp; Items'!B:D,3,0))</f>
        <v>Military equipment</v>
      </c>
      <c r="L1393" s="1187">
        <f>VLOOKUP(I1393,'Price List, Weapons &amp; Items'!B:E,4,0)</f>
        <v>0</v>
      </c>
      <c r="M1393" s="1188">
        <v>2000</v>
      </c>
      <c r="N1393" s="1188">
        <v>2000</v>
      </c>
      <c r="O1393" s="1188">
        <f>VLOOKUP($I1393,'Price List, Weapons &amp; Items'!B:G,6,0)</f>
        <v>2320</v>
      </c>
      <c r="P1393" s="1185">
        <f t="shared" si="289"/>
        <v>4640000</v>
      </c>
      <c r="Q1393" s="1185">
        <f t="shared" si="290"/>
        <v>4640000</v>
      </c>
      <c r="R1393" s="1185" t="str">
        <f t="shared" si="286"/>
        <v/>
      </c>
      <c r="S1393" s="1185" t="str">
        <f>IF(AND(AD1393=1,R1393&lt;&gt;".")=TRUE,R1393/VLOOKUP(G1393,'Exchange Rates'!B:C,2,0),IF(R1393=".",".",""))</f>
        <v/>
      </c>
      <c r="T1393" s="1185" t="str">
        <f>IF(AD1393=1,IF(AF1393="Value is not given at all",".",IF(AF1393="Value is given by the source",S1393,IF(AF1393="Value is calculated with prices",(IF(SUMIFS(Q:Q,A:A,A1393)&gt;0,SUMIFS(Q:Q,A:A,A1393),"."))/VLOOKUP("USD",'Exchange Rates'!B:C,2,0),"Error with coding"))),"")</f>
        <v/>
      </c>
      <c r="U1393" s="1184" t="s">
        <v>365</v>
      </c>
      <c r="V1393" s="974" t="s">
        <v>3837</v>
      </c>
      <c r="W1393" s="974" t="s">
        <v>3838</v>
      </c>
      <c r="X1393" s="1034" t="s">
        <v>364</v>
      </c>
      <c r="Y1393" s="1183" t="s">
        <v>364</v>
      </c>
      <c r="Z1393" s="1184">
        <v>0</v>
      </c>
      <c r="AA1393" s="1194">
        <v>0</v>
      </c>
      <c r="AB1393" s="1180" t="s">
        <v>364</v>
      </c>
      <c r="AC1393" s="1192" t="str">
        <f>""</f>
        <v/>
      </c>
      <c r="AD1393" s="985">
        <v>0</v>
      </c>
      <c r="AE1393" s="985" t="s">
        <v>368</v>
      </c>
      <c r="AF1393" s="985" t="s">
        <v>436</v>
      </c>
      <c r="AG1393" s="985">
        <v>1</v>
      </c>
      <c r="AH1393" s="985">
        <v>5</v>
      </c>
      <c r="AI1393" s="985">
        <v>0</v>
      </c>
      <c r="AJ1393" s="1193">
        <f>VLOOKUP($I1393,'Price List, Weapons &amp; Items'!B:F,5,0)</f>
        <v>0</v>
      </c>
      <c r="AK1393" s="1193">
        <f t="shared" si="291"/>
        <v>0</v>
      </c>
      <c r="AL1393" s="1193">
        <f t="shared" si="292"/>
        <v>0</v>
      </c>
      <c r="AM1393" s="1193">
        <f t="shared" si="293"/>
        <v>0</v>
      </c>
      <c r="AN1393" s="1194" t="str">
        <f>VLOOKUP($I1393,'Price List, Weapons &amp; Items'!B:L,COLUMN('Price List, Weapons &amp; Items'!$J$11)-1,0)</f>
        <v>Media reports (incl. social media)</v>
      </c>
      <c r="AO1393" s="1194" t="str">
        <f>IF(I1393=".",".",VLOOKUP($I1393,'Price List, Weapons &amp; Items'!B:J,3,0))</f>
        <v>Military equipment</v>
      </c>
      <c r="AP1393" s="1195" t="str">
        <f t="shared" ca="1" si="287"/>
        <v/>
      </c>
      <c r="AQ1393" s="1194">
        <f>VLOOKUP($I1393,'Price List, Weapons &amp; Items'!B:L,COLUMN('Price List, Weapons &amp; Items'!$L$11)-1,0)</f>
        <v>2</v>
      </c>
      <c r="AR1393" s="1194">
        <f t="shared" si="294"/>
        <v>1</v>
      </c>
      <c r="AS1393" s="1194">
        <f t="shared" si="295"/>
        <v>1</v>
      </c>
      <c r="AT1393" s="1194">
        <f t="shared" si="296"/>
        <v>1</v>
      </c>
      <c r="AU1393" s="1194" t="str">
        <f t="shared" si="298"/>
        <v>.</v>
      </c>
      <c r="AV1393" s="1194" t="str">
        <f t="shared" si="288"/>
        <v>.</v>
      </c>
      <c r="AW1393" s="1194" t="str">
        <f t="shared" si="297"/>
        <v>.</v>
      </c>
      <c r="AX1393" s="1194">
        <f>IFERROR(VLOOKUP(B1393,'Share, Heavy Weapons to Ukraine'!B:Z,COLUMN('Share, Heavy Weapons to Ukraine'!C1405)-1,0),0)</f>
        <v>1</v>
      </c>
      <c r="AY1393" s="1194">
        <f>VLOOKUP('Bilateral Assistance, MAIN DATA'!B1393,'Country Summary (€)'!B:F,COLUMN('Country Summary (€)'!C1406)-1,FALSE)</f>
        <v>0</v>
      </c>
      <c r="AZ1393" s="1194" t="str">
        <f>IF(AND(AD1393=1,D1393="Military",H1393&lt;&gt;"Not given")=TRUE,IF(SUMIFS(P:P,A:A,A1393)&gt;0,ABS((SUMIFS(P:P,A:A,A1393)/VLOOKUP("USD",'Exchange Rates'!B:C,2,0)))/S1393,"."),".")</f>
        <v>.</v>
      </c>
      <c r="BA1393" s="1196" t="str">
        <f>IF(AND(AD1393=1,D1393="Military",H1393&lt;&gt;"Not given")=TRUE,IF(SUMIFS(P:P,A:A,A1393)&gt;0,IF((ABS((SUMIFS(P:P,A:A,A1393)/VLOOKUP("USD",'Exchange Rates'!B:C,2,0)))/S1393)&gt;1,(SUMIFS(P:P,A:A,A1393)-S1393)/S1393,(S1393-SUMIFS(P:P,A:A,A1393))/SUMIFS(P:P,A:A,A1393)),"."),".")</f>
        <v>.</v>
      </c>
    </row>
    <row r="1394" spans="1:53" ht="15.95" customHeight="1">
      <c r="A1394" s="1182" t="s">
        <v>3834</v>
      </c>
      <c r="B1394" s="1182" t="s">
        <v>3748</v>
      </c>
      <c r="C1394" s="1181">
        <v>44701</v>
      </c>
      <c r="D1394" s="1182" t="s">
        <v>389</v>
      </c>
      <c r="E1394" s="1182" t="s">
        <v>390</v>
      </c>
      <c r="F1394" s="1183" t="s">
        <v>3835</v>
      </c>
      <c r="G1394" s="1184" t="s">
        <v>3750</v>
      </c>
      <c r="H1394" s="1185">
        <v>1300000000</v>
      </c>
      <c r="I1394" s="1180" t="s">
        <v>3841</v>
      </c>
      <c r="J1394" s="1186" t="str">
        <f>VLOOKUP($I1394,'Price List, Weapons &amp; Items'!B:C,2,0)</f>
        <v>Ammunition for heavy weapon</v>
      </c>
      <c r="K1394" s="1186" t="str">
        <f>IF(I1394=".",I1394,VLOOKUP($I1394,'Price List, Weapons &amp; Items'!B:D,3,0))</f>
        <v>Howitzer ammunition</v>
      </c>
      <c r="L1394" s="1187">
        <f>VLOOKUP(I1394,'Price List, Weapons &amp; Items'!B:E,4,0)</f>
        <v>0</v>
      </c>
      <c r="M1394" s="1188">
        <v>16000</v>
      </c>
      <c r="N1394" s="1188">
        <v>16000</v>
      </c>
      <c r="O1394" s="1188">
        <f>VLOOKUP($I1394,'Price List, Weapons &amp; Items'!B:G,6,0)</f>
        <v>2000</v>
      </c>
      <c r="P1394" s="1185">
        <f t="shared" si="289"/>
        <v>32000000</v>
      </c>
      <c r="Q1394" s="1185">
        <f t="shared" si="290"/>
        <v>32000000</v>
      </c>
      <c r="R1394" s="1185" t="str">
        <f t="shared" si="286"/>
        <v/>
      </c>
      <c r="S1394" s="1185" t="str">
        <f>IF(AND(AD1394=1,R1394&lt;&gt;".")=TRUE,R1394/VLOOKUP(G1394,'Exchange Rates'!B:C,2,0),IF(R1394=".",".",""))</f>
        <v/>
      </c>
      <c r="T1394" s="1185" t="str">
        <f>IF(AD1394=1,IF(AF1394="Value is not given at all",".",IF(AF1394="Value is given by the source",S1394,IF(AF1394="Value is calculated with prices",(IF(SUMIFS(Q:Q,A:A,A1394)&gt;0,SUMIFS(Q:Q,A:A,A1394),"."))/VLOOKUP("USD",'Exchange Rates'!B:C,2,0),"Error with coding"))),"")</f>
        <v/>
      </c>
      <c r="U1394" s="1184" t="s">
        <v>365</v>
      </c>
      <c r="V1394" s="974" t="s">
        <v>3837</v>
      </c>
      <c r="W1394" s="974" t="s">
        <v>3838</v>
      </c>
      <c r="X1394" s="1034" t="s">
        <v>364</v>
      </c>
      <c r="Y1394" s="1183" t="s">
        <v>364</v>
      </c>
      <c r="Z1394" s="1184">
        <v>0</v>
      </c>
      <c r="AA1394" s="1194">
        <v>0</v>
      </c>
      <c r="AB1394" s="991" t="s">
        <v>3820</v>
      </c>
      <c r="AC1394" s="1192" t="str">
        <f>""</f>
        <v/>
      </c>
      <c r="AD1394" s="985">
        <v>0</v>
      </c>
      <c r="AE1394" s="985" t="s">
        <v>368</v>
      </c>
      <c r="AF1394" s="985" t="s">
        <v>436</v>
      </c>
      <c r="AG1394" s="985">
        <v>1</v>
      </c>
      <c r="AH1394" s="985">
        <v>5</v>
      </c>
      <c r="AI1394" s="985">
        <v>0</v>
      </c>
      <c r="AJ1394" s="1193">
        <f>VLOOKUP($I1394,'Price List, Weapons &amp; Items'!B:F,5,0)</f>
        <v>0</v>
      </c>
      <c r="AK1394" s="1193">
        <f t="shared" si="291"/>
        <v>0</v>
      </c>
      <c r="AL1394" s="1193">
        <f t="shared" si="292"/>
        <v>0</v>
      </c>
      <c r="AM1394" s="1193">
        <f t="shared" si="293"/>
        <v>0</v>
      </c>
      <c r="AN1394" s="1194" t="str">
        <f>VLOOKUP($I1394,'Price List, Weapons &amp; Items'!B:L,COLUMN('Price List, Weapons &amp; Items'!$J$11)-1,0)</f>
        <v>Media reports (incl. social media)</v>
      </c>
      <c r="AO1394" s="1194" t="str">
        <f>IF(I1394=".",".",VLOOKUP($I1394,'Price List, Weapons &amp; Items'!B:J,3,0))</f>
        <v>Howitzer ammunition</v>
      </c>
      <c r="AP1394" s="1195" t="str">
        <f t="shared" ca="1" si="287"/>
        <v/>
      </c>
      <c r="AQ1394" s="1194">
        <f>VLOOKUP($I1394,'Price List, Weapons &amp; Items'!B:L,COLUMN('Price List, Weapons &amp; Items'!$L$11)-1,0)</f>
        <v>2</v>
      </c>
      <c r="AR1394" s="1194">
        <f t="shared" si="294"/>
        <v>1</v>
      </c>
      <c r="AS1394" s="1194">
        <f t="shared" si="295"/>
        <v>1</v>
      </c>
      <c r="AT1394" s="1194">
        <f t="shared" si="296"/>
        <v>1</v>
      </c>
      <c r="AU1394" s="1194" t="str">
        <f t="shared" si="298"/>
        <v>.</v>
      </c>
      <c r="AV1394" s="1194" t="str">
        <f t="shared" si="288"/>
        <v>.</v>
      </c>
      <c r="AW1394" s="1194" t="str">
        <f t="shared" si="297"/>
        <v>.</v>
      </c>
      <c r="AX1394" s="1194">
        <f>IFERROR(VLOOKUP(B1394,'Share, Heavy Weapons to Ukraine'!B:Z,COLUMN('Share, Heavy Weapons to Ukraine'!C1406)-1,0),0)</f>
        <v>1</v>
      </c>
      <c r="AY1394" s="1194">
        <f>VLOOKUP('Bilateral Assistance, MAIN DATA'!B1394,'Country Summary (€)'!B:F,COLUMN('Country Summary (€)'!C1407)-1,FALSE)</f>
        <v>0</v>
      </c>
      <c r="AZ1394" s="1194" t="str">
        <f>IF(AND(AD1394=1,D1394="Military",H1394&lt;&gt;"Not given")=TRUE,IF(SUMIFS(P:P,A:A,A1394)&gt;0,ABS((SUMIFS(P:P,A:A,A1394)/VLOOKUP("USD",'Exchange Rates'!B:C,2,0)))/S1394,"."),".")</f>
        <v>.</v>
      </c>
      <c r="BA1394" s="1196" t="str">
        <f>IF(AND(AD1394=1,D1394="Military",H1394&lt;&gt;"Not given")=TRUE,IF(SUMIFS(P:P,A:A,A1394)&gt;0,IF((ABS((SUMIFS(P:P,A:A,A1394)/VLOOKUP("USD",'Exchange Rates'!B:C,2,0)))/S1394)&gt;1,(SUMIFS(P:P,A:A,A1394)-S1394)/S1394,(S1394-SUMIFS(P:P,A:A,A1394))/SUMIFS(P:P,A:A,A1394)),"."),".")</f>
        <v>.</v>
      </c>
    </row>
    <row r="1395" spans="1:53" ht="15.95" customHeight="1">
      <c r="A1395" s="1182" t="s">
        <v>3834</v>
      </c>
      <c r="B1395" s="1182" t="s">
        <v>3748</v>
      </c>
      <c r="C1395" s="1181">
        <v>44701</v>
      </c>
      <c r="D1395" s="1182" t="s">
        <v>389</v>
      </c>
      <c r="E1395" s="1182" t="s">
        <v>390</v>
      </c>
      <c r="F1395" s="1183" t="s">
        <v>3835</v>
      </c>
      <c r="G1395" s="1184" t="s">
        <v>3750</v>
      </c>
      <c r="H1395" s="1185">
        <v>1300000000</v>
      </c>
      <c r="I1395" s="1180" t="s">
        <v>3842</v>
      </c>
      <c r="J1395" s="1186" t="str">
        <f>VLOOKUP($I1395,'Price List, Weapons &amp; Items'!B:C,2,0)</f>
        <v>Military equipment</v>
      </c>
      <c r="K1395" s="1186" t="str">
        <f>IF(I1395=".",I1395,VLOOKUP($I1395,'Price List, Weapons &amp; Items'!B:D,3,0))</f>
        <v>Military equipment</v>
      </c>
      <c r="L1395" s="1187">
        <f>VLOOKUP(I1395,'Price List, Weapons &amp; Items'!B:E,4,0)</f>
        <v>0</v>
      </c>
      <c r="M1395" s="1188" t="s">
        <v>374</v>
      </c>
      <c r="N1395" s="1188" t="s">
        <v>374</v>
      </c>
      <c r="O1395" s="1188" t="str">
        <f>VLOOKUP($I1395,'Price List, Weapons &amp; Items'!B:G,6,0)</f>
        <v>.</v>
      </c>
      <c r="P1395" s="1185" t="str">
        <f t="shared" si="289"/>
        <v>.</v>
      </c>
      <c r="Q1395" s="1185" t="str">
        <f t="shared" si="290"/>
        <v>.</v>
      </c>
      <c r="R1395" s="1185" t="str">
        <f t="shared" si="286"/>
        <v/>
      </c>
      <c r="S1395" s="1185" t="str">
        <f>IF(AND(AD1395=1,R1395&lt;&gt;".")=TRUE,R1395/VLOOKUP(G1395,'Exchange Rates'!B:C,2,0),IF(R1395=".",".",""))</f>
        <v/>
      </c>
      <c r="T1395" s="1185" t="str">
        <f>IF(AD1395=1,IF(AF1395="Value is not given at all",".",IF(AF1395="Value is given by the source",S1395,IF(AF1395="Value is calculated with prices",(IF(SUMIFS(Q:Q,A:A,A1395)&gt;0,SUMIFS(Q:Q,A:A,A1395),"."))/VLOOKUP("USD",'Exchange Rates'!B:C,2,0),"Error with coding"))),"")</f>
        <v/>
      </c>
      <c r="U1395" s="1184" t="s">
        <v>365</v>
      </c>
      <c r="V1395" s="974" t="s">
        <v>3837</v>
      </c>
      <c r="W1395" s="974" t="s">
        <v>3838</v>
      </c>
      <c r="X1395" s="1034" t="s">
        <v>364</v>
      </c>
      <c r="Y1395" s="1183" t="s">
        <v>364</v>
      </c>
      <c r="Z1395" s="1184">
        <v>0</v>
      </c>
      <c r="AA1395" s="1194">
        <v>0</v>
      </c>
      <c r="AB1395" s="1180" t="s">
        <v>364</v>
      </c>
      <c r="AC1395" s="1192" t="str">
        <f>""</f>
        <v/>
      </c>
      <c r="AD1395" s="985">
        <v>0</v>
      </c>
      <c r="AE1395" s="985" t="s">
        <v>368</v>
      </c>
      <c r="AF1395" s="985" t="s">
        <v>436</v>
      </c>
      <c r="AG1395" s="985">
        <v>1</v>
      </c>
      <c r="AH1395" s="985">
        <v>5</v>
      </c>
      <c r="AI1395" s="985">
        <v>0</v>
      </c>
      <c r="AJ1395" s="1193">
        <f>VLOOKUP($I1395,'Price List, Weapons &amp; Items'!B:F,5,0)</f>
        <v>0</v>
      </c>
      <c r="AK1395" s="1193">
        <f t="shared" si="291"/>
        <v>0</v>
      </c>
      <c r="AL1395" s="1193">
        <f t="shared" si="292"/>
        <v>0</v>
      </c>
      <c r="AM1395" s="1193">
        <f t="shared" si="293"/>
        <v>0</v>
      </c>
      <c r="AN1395" s="1194" t="str">
        <f>VLOOKUP($I1395,'Price List, Weapons &amp; Items'!B:L,COLUMN('Price List, Weapons &amp; Items'!$J$11)-1,0)</f>
        <v>.</v>
      </c>
      <c r="AO1395" s="1194" t="str">
        <f>IF(I1395=".",".",VLOOKUP($I1395,'Price List, Weapons &amp; Items'!B:J,3,0))</f>
        <v>Military equipment</v>
      </c>
      <c r="AP1395" s="1195" t="str">
        <f t="shared" ca="1" si="287"/>
        <v/>
      </c>
      <c r="AQ1395" s="1194" t="str">
        <f>VLOOKUP($I1395,'Price List, Weapons &amp; Items'!B:L,COLUMN('Price List, Weapons &amp; Items'!$L$11)-1,0)</f>
        <v>no price, 0 count</v>
      </c>
      <c r="AR1395" s="1194">
        <f t="shared" si="294"/>
        <v>1</v>
      </c>
      <c r="AS1395" s="1194">
        <f t="shared" si="295"/>
        <v>1</v>
      </c>
      <c r="AT1395" s="1194">
        <f t="shared" si="296"/>
        <v>1</v>
      </c>
      <c r="AU1395" s="1194" t="str">
        <f t="shared" si="298"/>
        <v>.</v>
      </c>
      <c r="AV1395" s="1194" t="str">
        <f t="shared" si="288"/>
        <v>.</v>
      </c>
      <c r="AW1395" s="1194" t="str">
        <f t="shared" si="297"/>
        <v>.</v>
      </c>
      <c r="AX1395" s="1194">
        <f>IFERROR(VLOOKUP(B1395,'Share, Heavy Weapons to Ukraine'!B:Z,COLUMN('Share, Heavy Weapons to Ukraine'!C1407)-1,0),0)</f>
        <v>1</v>
      </c>
      <c r="AY1395" s="1194">
        <f>VLOOKUP('Bilateral Assistance, MAIN DATA'!B1395,'Country Summary (€)'!B:F,COLUMN('Country Summary (€)'!C1408)-1,FALSE)</f>
        <v>0</v>
      </c>
      <c r="AZ1395" s="1194" t="str">
        <f>IF(AND(AD1395=1,D1395="Military",H1395&lt;&gt;"Not given")=TRUE,IF(SUMIFS(P:P,A:A,A1395)&gt;0,ABS((SUMIFS(P:P,A:A,A1395)/VLOOKUP("USD",'Exchange Rates'!B:C,2,0)))/S1395,"."),".")</f>
        <v>.</v>
      </c>
      <c r="BA1395" s="1196" t="str">
        <f>IF(AND(AD1395=1,D1395="Military",H1395&lt;&gt;"Not given")=TRUE,IF(SUMIFS(P:P,A:A,A1395)&gt;0,IF((ABS((SUMIFS(P:P,A:A,A1395)/VLOOKUP("USD",'Exchange Rates'!B:C,2,0)))/S1395)&gt;1,(SUMIFS(P:P,A:A,A1395)-S1395)/S1395,(S1395-SUMIFS(P:P,A:A,A1395))/SUMIFS(P:P,A:A,A1395)),"."),".")</f>
        <v>.</v>
      </c>
    </row>
    <row r="1396" spans="1:53" ht="15.95" customHeight="1">
      <c r="A1396" s="1182" t="s">
        <v>3834</v>
      </c>
      <c r="B1396" s="1182" t="s">
        <v>3748</v>
      </c>
      <c r="C1396" s="1181">
        <v>44684</v>
      </c>
      <c r="D1396" s="1182" t="s">
        <v>389</v>
      </c>
      <c r="E1396" s="1182" t="s">
        <v>390</v>
      </c>
      <c r="F1396" s="1183" t="s">
        <v>3835</v>
      </c>
      <c r="G1396" s="1184" t="s">
        <v>3750</v>
      </c>
      <c r="H1396" s="1185">
        <v>1300000000</v>
      </c>
      <c r="I1396" s="1180" t="s">
        <v>3843</v>
      </c>
      <c r="J1396" s="1186" t="str">
        <f>VLOOKUP($I1396,'Price List, Weapons &amp; Items'!B:C,2,0)</f>
        <v>Ammunition for heavy weapon</v>
      </c>
      <c r="K1396" s="1186" t="str">
        <f>IF(I1396=".",I1396,VLOOKUP($I1396,'Price List, Weapons &amp; Items'!B:D,3,0))</f>
        <v>Air-to-surface missile (ASM)</v>
      </c>
      <c r="L1396" s="1187">
        <f>VLOOKUP(I1396,'Price List, Weapons &amp; Items'!B:E,4,0)</f>
        <v>0</v>
      </c>
      <c r="M1396" s="1188">
        <v>200</v>
      </c>
      <c r="N1396" s="1188">
        <v>200</v>
      </c>
      <c r="O1396" s="1188">
        <f>VLOOKUP($I1396,'Price List, Weapons &amp; Items'!B:G,6,0)</f>
        <v>220000</v>
      </c>
      <c r="P1396" s="1185">
        <f t="shared" si="289"/>
        <v>44000000</v>
      </c>
      <c r="Q1396" s="1185">
        <f t="shared" si="290"/>
        <v>44000000</v>
      </c>
      <c r="R1396" s="1185" t="str">
        <f t="shared" si="286"/>
        <v/>
      </c>
      <c r="S1396" s="1185" t="str">
        <f>IF(AND(AD1396=1,R1396&lt;&gt;".")=TRUE,R1396/VLOOKUP(G1396,'Exchange Rates'!B:C,2,0),IF(R1396=".",".",""))</f>
        <v/>
      </c>
      <c r="T1396" s="1185" t="str">
        <f>IF(AD1396=1,IF(AF1396="Value is not given at all",".",IF(AF1396="Value is given by the source",S1396,IF(AF1396="Value is calculated with prices",(IF(SUMIFS(Q:Q,A:A,A1396)&gt;0,SUMIFS(Q:Q,A:A,A1396),"."))/VLOOKUP("USD",'Exchange Rates'!B:C,2,0),"Error with coding"))),"")</f>
        <v/>
      </c>
      <c r="U1396" s="1184" t="s">
        <v>365</v>
      </c>
      <c r="V1396" s="974" t="s">
        <v>3837</v>
      </c>
      <c r="W1396" s="974" t="s">
        <v>3838</v>
      </c>
      <c r="X1396" s="1034" t="s">
        <v>364</v>
      </c>
      <c r="Y1396" s="1183" t="s">
        <v>364</v>
      </c>
      <c r="Z1396" s="1184">
        <v>0</v>
      </c>
      <c r="AA1396" s="1194">
        <v>0</v>
      </c>
      <c r="AB1396" s="1180" t="s">
        <v>364</v>
      </c>
      <c r="AC1396" s="1192" t="str">
        <f>""</f>
        <v/>
      </c>
      <c r="AD1396" s="985">
        <v>0</v>
      </c>
      <c r="AE1396" s="985" t="s">
        <v>368</v>
      </c>
      <c r="AF1396" s="985" t="s">
        <v>436</v>
      </c>
      <c r="AG1396" s="985">
        <v>1</v>
      </c>
      <c r="AH1396" s="1193">
        <v>5</v>
      </c>
      <c r="AI1396" s="1193">
        <v>0</v>
      </c>
      <c r="AJ1396" s="1193">
        <f>VLOOKUP($I1396,'Price List, Weapons &amp; Items'!B:F,5,0)</f>
        <v>0</v>
      </c>
      <c r="AK1396" s="1193">
        <f t="shared" si="291"/>
        <v>0</v>
      </c>
      <c r="AL1396" s="1193">
        <f t="shared" si="292"/>
        <v>0</v>
      </c>
      <c r="AM1396" s="1193">
        <f t="shared" si="293"/>
        <v>0</v>
      </c>
      <c r="AN1396" s="1194" t="str">
        <f>VLOOKUP($I1396,'Price List, Weapons &amp; Items'!B:L,COLUMN('Price List, Weapons &amp; Items'!$J$11)-1,0)</f>
        <v>Government information</v>
      </c>
      <c r="AO1396" s="1194" t="str">
        <f>IF(I1396=".",".",VLOOKUP($I1396,'Price List, Weapons &amp; Items'!B:J,3,0))</f>
        <v>Air-to-surface missile (ASM)</v>
      </c>
      <c r="AP1396" s="1195" t="str">
        <f t="shared" ca="1" si="287"/>
        <v/>
      </c>
      <c r="AQ1396" s="1194">
        <f>VLOOKUP($I1396,'Price List, Weapons &amp; Items'!B:L,COLUMN('Price List, Weapons &amp; Items'!$L$11)-1,0)</f>
        <v>2</v>
      </c>
      <c r="AR1396" s="1194">
        <f t="shared" si="294"/>
        <v>1</v>
      </c>
      <c r="AS1396" s="1194">
        <f t="shared" si="295"/>
        <v>1</v>
      </c>
      <c r="AT1396" s="1194">
        <f t="shared" si="296"/>
        <v>1</v>
      </c>
      <c r="AU1396" s="1194" t="str">
        <f t="shared" si="298"/>
        <v>.</v>
      </c>
      <c r="AV1396" s="1194" t="str">
        <f t="shared" si="288"/>
        <v>.</v>
      </c>
      <c r="AW1396" s="1194" t="str">
        <f t="shared" si="297"/>
        <v>.</v>
      </c>
      <c r="AX1396" s="1194">
        <f>IFERROR(VLOOKUP(B1396,'Share, Heavy Weapons to Ukraine'!B:Z,COLUMN('Share, Heavy Weapons to Ukraine'!C1408)-1,0),0)</f>
        <v>1</v>
      </c>
      <c r="AY1396" s="1194">
        <f>VLOOKUP('Bilateral Assistance, MAIN DATA'!B1396,'Country Summary (€)'!B:F,COLUMN('Country Summary (€)'!C1409)-1,FALSE)</f>
        <v>0</v>
      </c>
      <c r="AZ1396" s="1194" t="str">
        <f>IF(AND(AD1396=1,D1396="Military",H1396&lt;&gt;"Not given")=TRUE,IF(SUMIFS(P:P,A:A,A1396)&gt;0,ABS((SUMIFS(P:P,A:A,A1396)/VLOOKUP("USD",'Exchange Rates'!B:C,2,0)))/S1396,"."),".")</f>
        <v>.</v>
      </c>
      <c r="BA1396" s="1196" t="str">
        <f>IF(AND(AD1396=1,D1396="Military",H1396&lt;&gt;"Not given")=TRUE,IF(SUMIFS(P:P,A:A,A1396)&gt;0,IF((ABS((SUMIFS(P:P,A:A,A1396)/VLOOKUP("USD",'Exchange Rates'!B:C,2,0)))/S1396)&gt;1,(SUMIFS(P:P,A:A,A1396)-S1396)/S1396,(S1396-SUMIFS(P:P,A:A,A1396))/SUMIFS(P:P,A:A,A1396)),"."),".")</f>
        <v>.</v>
      </c>
    </row>
    <row r="1397" spans="1:53" ht="15.95" customHeight="1">
      <c r="A1397" s="1182" t="s">
        <v>3834</v>
      </c>
      <c r="B1397" s="1182" t="s">
        <v>3748</v>
      </c>
      <c r="C1397" s="1181">
        <v>44718</v>
      </c>
      <c r="D1397" s="1182" t="s">
        <v>389</v>
      </c>
      <c r="E1397" s="1182" t="s">
        <v>390</v>
      </c>
      <c r="F1397" s="1183" t="s">
        <v>3835</v>
      </c>
      <c r="G1397" s="1184" t="s">
        <v>3750</v>
      </c>
      <c r="H1397" s="1185">
        <v>1300000000</v>
      </c>
      <c r="I1397" s="1180" t="s">
        <v>1686</v>
      </c>
      <c r="J1397" s="1186" t="str">
        <f>VLOOKUP($I1397,'Price List, Weapons &amp; Items'!B:C,2,0)</f>
        <v>Heavy weapon</v>
      </c>
      <c r="K1397" s="1186" t="str">
        <f>IF(I1397=".",I1397,VLOOKUP($I1397,'Price List, Weapons &amp; Items'!B:D,3,0))</f>
        <v>227mm MLRS</v>
      </c>
      <c r="L1397" s="1187">
        <f>VLOOKUP(I1397,'Price List, Weapons &amp; Items'!B:E,4,0)</f>
        <v>0</v>
      </c>
      <c r="M1397" s="1188">
        <v>3</v>
      </c>
      <c r="N1397" s="1188">
        <v>3</v>
      </c>
      <c r="O1397" s="1188">
        <f>VLOOKUP($I1397,'Price List, Weapons &amp; Items'!B:G,6,0)</f>
        <v>13615659.128881287</v>
      </c>
      <c r="P1397" s="1185">
        <f t="shared" si="289"/>
        <v>40846977.386643857</v>
      </c>
      <c r="Q1397" s="1185">
        <f t="shared" si="290"/>
        <v>40846977.386643857</v>
      </c>
      <c r="R1397" s="1185" t="str">
        <f t="shared" si="286"/>
        <v/>
      </c>
      <c r="S1397" s="1185" t="str">
        <f>IF(AND(AD1397=1,R1397&lt;&gt;".")=TRUE,R1397/VLOOKUP(G1397,'Exchange Rates'!B:C,2,0),IF(R1397=".",".",""))</f>
        <v/>
      </c>
      <c r="T1397" s="1185" t="str">
        <f>IF(AD1397=1,IF(AF1397="Value is not given at all",".",IF(AF1397="Value is given by the source",S1397,IF(AF1397="Value is calculated with prices",(IF(SUMIFS(Q:Q,A:A,A1397)&gt;0,SUMIFS(Q:Q,A:A,A1397),"."))/VLOOKUP("USD",'Exchange Rates'!B:C,2,0),"Error with coding"))),"")</f>
        <v/>
      </c>
      <c r="U1397" s="1184" t="s">
        <v>365</v>
      </c>
      <c r="V1397" s="971" t="s">
        <v>3844</v>
      </c>
      <c r="W1397" s="972" t="s">
        <v>3845</v>
      </c>
      <c r="X1397" s="1183" t="s">
        <v>364</v>
      </c>
      <c r="Y1397" s="1183" t="s">
        <v>364</v>
      </c>
      <c r="Z1397" s="1184">
        <v>0</v>
      </c>
      <c r="AA1397" s="1194">
        <v>0</v>
      </c>
      <c r="AB1397" s="991" t="s">
        <v>3846</v>
      </c>
      <c r="AC1397" s="1192" t="str">
        <f>""</f>
        <v/>
      </c>
      <c r="AD1397" s="985">
        <v>0</v>
      </c>
      <c r="AE1397" s="985" t="s">
        <v>368</v>
      </c>
      <c r="AF1397" s="985" t="s">
        <v>436</v>
      </c>
      <c r="AG1397" s="985">
        <v>1</v>
      </c>
      <c r="AH1397" s="1193">
        <v>6</v>
      </c>
      <c r="AI1397" s="1193">
        <v>0</v>
      </c>
      <c r="AJ1397" s="1193">
        <f>VLOOKUP($I1397,'Price List, Weapons &amp; Items'!B:F,5,0)</f>
        <v>1</v>
      </c>
      <c r="AK1397" s="1193">
        <f t="shared" si="291"/>
        <v>0</v>
      </c>
      <c r="AL1397" s="1193">
        <f t="shared" si="292"/>
        <v>0</v>
      </c>
      <c r="AM1397" s="1193">
        <f t="shared" si="293"/>
        <v>0</v>
      </c>
      <c r="AN1397" s="1194" t="str">
        <f>VLOOKUP($I1397,'Price List, Weapons &amp; Items'!B:L,COLUMN('Price List, Weapons &amp; Items'!$J$11)-1,0)</f>
        <v>Contracts</v>
      </c>
      <c r="AO1397" s="1194" t="str">
        <f>IF(I1397=".",".",VLOOKUP($I1397,'Price List, Weapons &amp; Items'!B:J,3,0))</f>
        <v>227mm MLRS</v>
      </c>
      <c r="AP1397" s="1195" t="str">
        <f t="shared" ca="1" si="287"/>
        <v/>
      </c>
      <c r="AQ1397" s="1194">
        <f>VLOOKUP($I1397,'Price List, Weapons &amp; Items'!B:L,COLUMN('Price List, Weapons &amp; Items'!$L$11)-1,0)</f>
        <v>2</v>
      </c>
      <c r="AR1397" s="1194">
        <f t="shared" si="294"/>
        <v>1</v>
      </c>
      <c r="AS1397" s="1194">
        <f t="shared" si="295"/>
        <v>1</v>
      </c>
      <c r="AT1397" s="1194">
        <f t="shared" si="296"/>
        <v>1</v>
      </c>
      <c r="AU1397" s="1194" t="str">
        <f t="shared" si="298"/>
        <v>.</v>
      </c>
      <c r="AV1397" s="1194" t="str">
        <f t="shared" si="288"/>
        <v>.</v>
      </c>
      <c r="AW1397" s="1194" t="str">
        <f t="shared" si="297"/>
        <v>.</v>
      </c>
      <c r="AX1397" s="1194">
        <f>IFERROR(VLOOKUP(B1397,'Share, Heavy Weapons to Ukraine'!B:Z,COLUMN('Share, Heavy Weapons to Ukraine'!C1409)-1,0),0)</f>
        <v>1</v>
      </c>
      <c r="AY1397" s="1194">
        <f>VLOOKUP('Bilateral Assistance, MAIN DATA'!B1397,'Country Summary (€)'!B:F,COLUMN('Country Summary (€)'!C1410)-1,FALSE)</f>
        <v>0</v>
      </c>
      <c r="AZ1397" s="1194" t="str">
        <f>IF(AND(AD1397=1,D1397="Military",H1397&lt;&gt;"Not given")=TRUE,IF(SUMIFS(P:P,A:A,A1397)&gt;0,ABS((SUMIFS(P:P,A:A,A1397)/VLOOKUP("USD",'Exchange Rates'!B:C,2,0)))/S1397,"."),".")</f>
        <v>.</v>
      </c>
      <c r="BA1397" s="1196" t="str">
        <f>IF(AND(AD1397=1,D1397="Military",H1397&lt;&gt;"Not given")=TRUE,IF(SUMIFS(P:P,A:A,A1397)&gt;0,IF((ABS((SUMIFS(P:P,A:A,A1397)/VLOOKUP("USD",'Exchange Rates'!B:C,2,0)))/S1397)&gt;1,(SUMIFS(P:P,A:A,A1397)-S1397)/S1397,(S1397-SUMIFS(P:P,A:A,A1397))/SUMIFS(P:P,A:A,A1397)),"."),".")</f>
        <v>.</v>
      </c>
    </row>
    <row r="1398" spans="1:53" ht="15.95" customHeight="1">
      <c r="A1398" s="1182" t="s">
        <v>3834</v>
      </c>
      <c r="B1398" s="1182" t="s">
        <v>3748</v>
      </c>
      <c r="C1398" s="1181">
        <v>44718</v>
      </c>
      <c r="D1398" s="1182" t="s">
        <v>389</v>
      </c>
      <c r="E1398" s="1182" t="s">
        <v>390</v>
      </c>
      <c r="F1398" s="1183" t="s">
        <v>3835</v>
      </c>
      <c r="G1398" s="1184" t="s">
        <v>3750</v>
      </c>
      <c r="H1398" s="1185">
        <v>1300000000</v>
      </c>
      <c r="I1398" s="1180" t="s">
        <v>3847</v>
      </c>
      <c r="J1398" s="1186" t="str">
        <f>VLOOKUP($I1398,'Price List, Weapons &amp; Items'!B:C,2,0)</f>
        <v>Ammunition for heavy weapon</v>
      </c>
      <c r="K1398" s="1186" t="str">
        <f>IF(I1398=".",I1398,VLOOKUP($I1398,'Price List, Weapons &amp; Items'!B:D,3,0))</f>
        <v>298mm MLRS ammunition</v>
      </c>
      <c r="L1398" s="1187">
        <f>VLOOKUP(I1398,'Price List, Weapons &amp; Items'!B:E,4,0)</f>
        <v>0</v>
      </c>
      <c r="M1398" s="1188" t="s">
        <v>374</v>
      </c>
      <c r="N1398" s="1188" t="s">
        <v>374</v>
      </c>
      <c r="O1398" s="1188">
        <f>VLOOKUP($I1398,'Price List, Weapons &amp; Items'!B:G,6,0)</f>
        <v>625000</v>
      </c>
      <c r="P1398" s="1185" t="str">
        <f t="shared" si="289"/>
        <v>.</v>
      </c>
      <c r="Q1398" s="1185" t="str">
        <f t="shared" si="290"/>
        <v>.</v>
      </c>
      <c r="R1398" s="1185" t="str">
        <f t="shared" si="286"/>
        <v/>
      </c>
      <c r="S1398" s="1185" t="str">
        <f>IF(AND(AD1398=1,R1398&lt;&gt;".")=TRUE,R1398/VLOOKUP(G1398,'Exchange Rates'!B:C,2,0),IF(R1398=".",".",""))</f>
        <v/>
      </c>
      <c r="T1398" s="1185" t="str">
        <f>IF(AD1398=1,IF(AF1398="Value is not given at all",".",IF(AF1398="Value is given by the source",S1398,IF(AF1398="Value is calculated with prices",(IF(SUMIFS(Q:Q,A:A,A1398)&gt;0,SUMIFS(Q:Q,A:A,A1398),"."))/VLOOKUP("USD",'Exchange Rates'!B:C,2,0),"Error with coding"))),"")</f>
        <v/>
      </c>
      <c r="U1398" s="1184" t="s">
        <v>365</v>
      </c>
      <c r="V1398" s="971" t="s">
        <v>3844</v>
      </c>
      <c r="W1398" s="980" t="s">
        <v>3793</v>
      </c>
      <c r="X1398" s="1183" t="s">
        <v>364</v>
      </c>
      <c r="Y1398" s="1183" t="s">
        <v>364</v>
      </c>
      <c r="Z1398" s="1184">
        <v>0</v>
      </c>
      <c r="AA1398" s="1194">
        <v>0</v>
      </c>
      <c r="AB1398" s="1180" t="s">
        <v>364</v>
      </c>
      <c r="AC1398" s="1192" t="str">
        <f>""</f>
        <v/>
      </c>
      <c r="AD1398" s="985">
        <v>0</v>
      </c>
      <c r="AE1398" s="985" t="s">
        <v>368</v>
      </c>
      <c r="AF1398" s="985" t="s">
        <v>436</v>
      </c>
      <c r="AG1398" s="985">
        <v>1</v>
      </c>
      <c r="AH1398" s="1193">
        <v>6</v>
      </c>
      <c r="AI1398" s="1193">
        <v>0</v>
      </c>
      <c r="AJ1398" s="1193">
        <f>VLOOKUP($I1398,'Price List, Weapons &amp; Items'!B:F,5,0)</f>
        <v>0</v>
      </c>
      <c r="AK1398" s="1193">
        <f t="shared" si="291"/>
        <v>0</v>
      </c>
      <c r="AL1398" s="1193">
        <f t="shared" si="292"/>
        <v>0</v>
      </c>
      <c r="AM1398" s="1193">
        <f t="shared" si="293"/>
        <v>0</v>
      </c>
      <c r="AN1398" s="1194" t="str">
        <f>VLOOKUP($I1398,'Price List, Weapons &amp; Items'!B:L,COLUMN('Price List, Weapons &amp; Items'!$J$11)-1,0)</f>
        <v>Government information</v>
      </c>
      <c r="AO1398" s="1194" t="str">
        <f>IF(I1398=".",".",VLOOKUP($I1398,'Price List, Weapons &amp; Items'!B:J,3,0))</f>
        <v>298mm MLRS ammunition</v>
      </c>
      <c r="AP1398" s="1195" t="str">
        <f t="shared" ca="1" si="287"/>
        <v/>
      </c>
      <c r="AQ1398" s="1194" t="str">
        <f>VLOOKUP($I1398,'Price List, Weapons &amp; Items'!B:L,COLUMN('Price List, Weapons &amp; Items'!$L$11)-1,0)</f>
        <v>no price, 0 count</v>
      </c>
      <c r="AR1398" s="1194">
        <f t="shared" si="294"/>
        <v>1</v>
      </c>
      <c r="AS1398" s="1194">
        <f t="shared" si="295"/>
        <v>1</v>
      </c>
      <c r="AT1398" s="1194">
        <f t="shared" si="296"/>
        <v>1</v>
      </c>
      <c r="AU1398" s="1194" t="str">
        <f t="shared" si="298"/>
        <v>.</v>
      </c>
      <c r="AV1398" s="1194" t="str">
        <f t="shared" si="288"/>
        <v>.</v>
      </c>
      <c r="AW1398" s="1194" t="str">
        <f t="shared" si="297"/>
        <v>.</v>
      </c>
      <c r="AX1398" s="1194">
        <f>IFERROR(VLOOKUP(B1398,'Share, Heavy Weapons to Ukraine'!B:Z,COLUMN('Share, Heavy Weapons to Ukraine'!C1410)-1,0),0)</f>
        <v>1</v>
      </c>
      <c r="AY1398" s="1194">
        <f>VLOOKUP('Bilateral Assistance, MAIN DATA'!B1398,'Country Summary (€)'!B:F,COLUMN('Country Summary (€)'!C1411)-1,FALSE)</f>
        <v>0</v>
      </c>
      <c r="AZ1398" s="1194" t="str">
        <f>IF(AND(AD1398=1,D1398="Military",H1398&lt;&gt;"Not given")=TRUE,IF(SUMIFS(P:P,A:A,A1398)&gt;0,ABS((SUMIFS(P:P,A:A,A1398)/VLOOKUP("USD",'Exchange Rates'!B:C,2,0)))/S1398,"."),".")</f>
        <v>.</v>
      </c>
      <c r="BA1398" s="1196" t="str">
        <f>IF(AND(AD1398=1,D1398="Military",H1398&lt;&gt;"Not given")=TRUE,IF(SUMIFS(P:P,A:A,A1398)&gt;0,IF((ABS((SUMIFS(P:P,A:A,A1398)/VLOOKUP("USD",'Exchange Rates'!B:C,2,0)))/S1398)&gt;1,(SUMIFS(P:P,A:A,A1398)-S1398)/S1398,(S1398-SUMIFS(P:P,A:A,A1398))/SUMIFS(P:P,A:A,A1398)),"."),".")</f>
        <v>.</v>
      </c>
    </row>
    <row r="1399" spans="1:53" ht="15.95" customHeight="1">
      <c r="A1399" s="1182" t="s">
        <v>3834</v>
      </c>
      <c r="B1399" s="1182" t="s">
        <v>3748</v>
      </c>
      <c r="C1399" s="1181" t="s">
        <v>3848</v>
      </c>
      <c r="D1399" s="1182" t="s">
        <v>389</v>
      </c>
      <c r="E1399" s="1182" t="s">
        <v>390</v>
      </c>
      <c r="F1399" s="1183" t="s">
        <v>3835</v>
      </c>
      <c r="G1399" s="1184" t="s">
        <v>3750</v>
      </c>
      <c r="H1399" s="1185">
        <v>1300000000</v>
      </c>
      <c r="I1399" s="1180" t="s">
        <v>2269</v>
      </c>
      <c r="J1399" s="1186" t="str">
        <f>VLOOKUP($I1399,'Price List, Weapons &amp; Items'!B:C,2,0)</f>
        <v>Heavy weapon</v>
      </c>
      <c r="K1399" s="1186" t="str">
        <f>IF(I1399=".",I1399,VLOOKUP($I1399,'Price List, Weapons &amp; Items'!B:D,3,0))</f>
        <v>155mm howitzer</v>
      </c>
      <c r="L1399" s="1187">
        <f>VLOOKUP(I1399,'Price List, Weapons &amp; Items'!B:E,4,0)</f>
        <v>0</v>
      </c>
      <c r="M1399" s="1188">
        <v>28</v>
      </c>
      <c r="N1399" s="1188">
        <v>28</v>
      </c>
      <c r="O1399" s="1188">
        <f>VLOOKUP($I1399,'Price List, Weapons &amp; Items'!B:G,6,0)</f>
        <v>1734787.30789614</v>
      </c>
      <c r="P1399" s="1185">
        <f t="shared" si="289"/>
        <v>48574044.621091917</v>
      </c>
      <c r="Q1399" s="1185">
        <f t="shared" si="290"/>
        <v>48574044.621091917</v>
      </c>
      <c r="R1399" s="1185" t="str">
        <f t="shared" si="286"/>
        <v/>
      </c>
      <c r="S1399" s="1185" t="str">
        <f>IF(AND(AD1399=1,R1399&lt;&gt;".")=TRUE,R1399/VLOOKUP(G1399,'Exchange Rates'!B:C,2,0),IF(R1399=".",".",""))</f>
        <v/>
      </c>
      <c r="T1399" s="1185" t="str">
        <f>IF(AD1399=1,IF(AF1399="Value is not given at all",".",IF(AF1399="Value is given by the source",S1399,IF(AF1399="Value is calculated with prices",(IF(SUMIFS(Q:Q,A:A,A1399)&gt;0,SUMIFS(Q:Q,A:A,A1399),"."))/VLOOKUP("USD",'Exchange Rates'!B:C,2,0),"Error with coding"))),"")</f>
        <v/>
      </c>
      <c r="U1399" s="1184" t="s">
        <v>365</v>
      </c>
      <c r="V1399" s="972" t="s">
        <v>3849</v>
      </c>
      <c r="W1399" s="971" t="s">
        <v>3850</v>
      </c>
      <c r="X1399" s="972" t="s">
        <v>3851</v>
      </c>
      <c r="Y1399" s="1190" t="s">
        <v>364</v>
      </c>
      <c r="Z1399" s="1184">
        <v>0</v>
      </c>
      <c r="AA1399" s="1194">
        <v>0</v>
      </c>
      <c r="AB1399" s="991" t="s">
        <v>3851</v>
      </c>
      <c r="AC1399" s="1192" t="str">
        <f>""</f>
        <v/>
      </c>
      <c r="AD1399" s="985">
        <v>0</v>
      </c>
      <c r="AE1399" s="985" t="s">
        <v>368</v>
      </c>
      <c r="AF1399" s="985" t="s">
        <v>436</v>
      </c>
      <c r="AG1399" s="985">
        <v>1</v>
      </c>
      <c r="AH1399" s="1193">
        <v>6</v>
      </c>
      <c r="AI1399" s="1193">
        <v>0</v>
      </c>
      <c r="AJ1399" s="1193">
        <f>VLOOKUP($I1399,'Price List, Weapons &amp; Items'!B:F,5,0)</f>
        <v>1</v>
      </c>
      <c r="AK1399" s="1193">
        <f t="shared" si="291"/>
        <v>0</v>
      </c>
      <c r="AL1399" s="1193">
        <f t="shared" si="292"/>
        <v>0</v>
      </c>
      <c r="AM1399" s="1193">
        <f t="shared" si="293"/>
        <v>0</v>
      </c>
      <c r="AN1399" s="1194" t="str">
        <f>VLOOKUP($I1399,'Price List, Weapons &amp; Items'!B:L,COLUMN('Price List, Weapons &amp; Items'!$J$11)-1,0)</f>
        <v>Contracts</v>
      </c>
      <c r="AO1399" s="1194" t="str">
        <f>IF(I1399=".",".",VLOOKUP($I1399,'Price List, Weapons &amp; Items'!B:J,3,0))</f>
        <v>155mm howitzer</v>
      </c>
      <c r="AP1399" s="1195" t="str">
        <f t="shared" ca="1" si="287"/>
        <v/>
      </c>
      <c r="AQ1399" s="1194">
        <f>VLOOKUP($I1399,'Price List, Weapons &amp; Items'!B:L,COLUMN('Price List, Weapons &amp; Items'!$L$11)-1,0)</f>
        <v>2</v>
      </c>
      <c r="AR1399" s="1194">
        <f t="shared" si="294"/>
        <v>1</v>
      </c>
      <c r="AS1399" s="1194">
        <f t="shared" si="295"/>
        <v>1</v>
      </c>
      <c r="AT1399" s="1194" t="str">
        <f t="shared" si="296"/>
        <v>Value is not in date format</v>
      </c>
      <c r="AU1399" s="1194" t="str">
        <f t="shared" si="298"/>
        <v>.</v>
      </c>
      <c r="AV1399" s="1194" t="str">
        <f t="shared" si="288"/>
        <v>.</v>
      </c>
      <c r="AW1399" s="1194" t="str">
        <f t="shared" si="297"/>
        <v>.</v>
      </c>
      <c r="AX1399" s="1194">
        <f>IFERROR(VLOOKUP(B1399,'Share, Heavy Weapons to Ukraine'!B:Z,COLUMN('Share, Heavy Weapons to Ukraine'!C1411)-1,0),0)</f>
        <v>1</v>
      </c>
      <c r="AY1399" s="1194">
        <f>VLOOKUP('Bilateral Assistance, MAIN DATA'!B1399,'Country Summary (€)'!B:F,COLUMN('Country Summary (€)'!C1412)-1,FALSE)</f>
        <v>0</v>
      </c>
      <c r="AZ1399" s="1194" t="str">
        <f>IF(AND(AD1399=1,D1399="Military",H1399&lt;&gt;"Not given")=TRUE,IF(SUMIFS(P:P,A:A,A1399)&gt;0,ABS((SUMIFS(P:P,A:A,A1399)/VLOOKUP("USD",'Exchange Rates'!B:C,2,0)))/S1399,"."),".")</f>
        <v>.</v>
      </c>
      <c r="BA1399" s="1196" t="str">
        <f>IF(AND(AD1399=1,D1399="Military",H1399&lt;&gt;"Not given")=TRUE,IF(SUMIFS(P:P,A:A,A1399)&gt;0,IF((ABS((SUMIFS(P:P,A:A,A1399)/VLOOKUP("USD",'Exchange Rates'!B:C,2,0)))/S1399)&gt;1,(SUMIFS(P:P,A:A,A1399)-S1399)/S1399,(S1399-SUMIFS(P:P,A:A,A1399))/SUMIFS(P:P,A:A,A1399)),"."),".")</f>
        <v>.</v>
      </c>
    </row>
    <row r="1400" spans="1:53" ht="15.95" customHeight="1">
      <c r="A1400" s="1182" t="s">
        <v>3852</v>
      </c>
      <c r="B1400" s="1182" t="s">
        <v>3748</v>
      </c>
      <c r="C1400" s="1181">
        <v>44742</v>
      </c>
      <c r="D1400" s="1182" t="s">
        <v>389</v>
      </c>
      <c r="E1400" s="1182" t="s">
        <v>390</v>
      </c>
      <c r="F1400" s="1183" t="s">
        <v>3853</v>
      </c>
      <c r="G1400" s="1184" t="s">
        <v>3750</v>
      </c>
      <c r="H1400" s="1185">
        <v>1000000000</v>
      </c>
      <c r="I1400" s="1180" t="s">
        <v>3854</v>
      </c>
      <c r="J1400" s="1186" t="str">
        <f>VLOOKUP($I1400,'Price List, Weapons &amp; Items'!B:C,2,0)</f>
        <v>Heavy weapon</v>
      </c>
      <c r="K1400" s="1186" t="str">
        <f>IF(I1400=".",I1400,VLOOKUP($I1400,'Price List, Weapons &amp; Items'!B:D,3,0))</f>
        <v>105mm howitzer</v>
      </c>
      <c r="L1400" s="1187">
        <f>VLOOKUP(I1400,'Price List, Weapons &amp; Items'!B:E,4,0)</f>
        <v>0</v>
      </c>
      <c r="M1400" s="1188">
        <v>36</v>
      </c>
      <c r="N1400" s="1188">
        <v>36</v>
      </c>
      <c r="O1400" s="1188">
        <f>VLOOKUP($I1400,'Price List, Weapons &amp; Items'!B:G,6,0)</f>
        <v>1272482.2760025531</v>
      </c>
      <c r="P1400" s="1185">
        <f t="shared" si="289"/>
        <v>45809361.936091907</v>
      </c>
      <c r="Q1400" s="1185">
        <f t="shared" si="290"/>
        <v>45809361.936091907</v>
      </c>
      <c r="R1400" s="1185">
        <f t="shared" si="286"/>
        <v>1000000000</v>
      </c>
      <c r="S1400" s="1185">
        <f>IF(AND(AD1400=1,R1400&lt;&gt;".")=TRUE,R1400/VLOOKUP(G1400,'Exchange Rates'!B:C,2,0),IF(R1400=".",".",""))</f>
        <v>1148897058.8235295</v>
      </c>
      <c r="T1400" s="1185">
        <f>IF(AD1400=1,IF(AF1400="Value is not given at all",".",IF(AF1400="Value is given by the source",S1400,IF(AF1400="Value is calculated with prices",(IF(SUMIFS(Q:Q,A:A,A1400)&gt;0,SUMIFS(Q:Q,A:A,A1400),"."))/VLOOKUP("USD",'Exchange Rates'!B:C,2,0),"Error with coding"))),"")</f>
        <v>193052412.52860868</v>
      </c>
      <c r="U1400" s="1187" t="s">
        <v>365</v>
      </c>
      <c r="V1400" s="1040" t="s">
        <v>3855</v>
      </c>
      <c r="W1400" s="1040" t="s">
        <v>3820</v>
      </c>
      <c r="X1400" s="972" t="s">
        <v>3851</v>
      </c>
      <c r="Y1400" s="1265" t="s">
        <v>364</v>
      </c>
      <c r="Z1400" s="1187">
        <v>0</v>
      </c>
      <c r="AA1400" s="1194">
        <v>0</v>
      </c>
      <c r="AB1400" s="991" t="s">
        <v>3851</v>
      </c>
      <c r="AC1400" s="1192" t="str">
        <f>""</f>
        <v/>
      </c>
      <c r="AD1400" s="985">
        <v>1</v>
      </c>
      <c r="AE1400" s="985" t="s">
        <v>368</v>
      </c>
      <c r="AF1400" s="985" t="s">
        <v>436</v>
      </c>
      <c r="AG1400" s="985">
        <v>1</v>
      </c>
      <c r="AH1400" s="985">
        <v>6</v>
      </c>
      <c r="AI1400" s="985">
        <v>0</v>
      </c>
      <c r="AJ1400" s="1193">
        <f>VLOOKUP($I1400,'Price List, Weapons &amp; Items'!B:F,5,0)</f>
        <v>0</v>
      </c>
      <c r="AK1400" s="1193">
        <f t="shared" si="291"/>
        <v>0</v>
      </c>
      <c r="AL1400" s="1193">
        <f t="shared" si="292"/>
        <v>0</v>
      </c>
      <c r="AM1400" s="1193">
        <f t="shared" si="293"/>
        <v>0</v>
      </c>
      <c r="AN1400" s="1194" t="str">
        <f>VLOOKUP($I1400,'Price List, Weapons &amp; Items'!B:L,COLUMN('Price List, Weapons &amp; Items'!$J$11)-1,0)</f>
        <v>Contracts</v>
      </c>
      <c r="AO1400" s="1194" t="str">
        <f>IF(I1400=".",".",VLOOKUP($I1400,'Price List, Weapons &amp; Items'!B:J,3,0))</f>
        <v>105mm howitzer</v>
      </c>
      <c r="AP1400" s="1195" t="str">
        <f t="shared" ca="1" si="287"/>
        <v>L119 105mm howitzer</v>
      </c>
      <c r="AQ1400" s="1194">
        <f>VLOOKUP($I1400,'Price List, Weapons &amp; Items'!B:L,COLUMN('Price List, Weapons &amp; Items'!$L$11)-1,0)</f>
        <v>2</v>
      </c>
      <c r="AR1400" s="1194">
        <f t="shared" si="294"/>
        <v>1</v>
      </c>
      <c r="AS1400" s="1194">
        <f t="shared" si="295"/>
        <v>1</v>
      </c>
      <c r="AT1400" s="1194">
        <f t="shared" si="296"/>
        <v>1</v>
      </c>
      <c r="AU1400" s="1194" t="str">
        <f t="shared" si="298"/>
        <v>.</v>
      </c>
      <c r="AV1400" s="1194" t="str">
        <f t="shared" si="288"/>
        <v>.</v>
      </c>
      <c r="AW1400" s="1194" t="str">
        <f t="shared" si="297"/>
        <v>.</v>
      </c>
      <c r="AX1400" s="1194">
        <f>IFERROR(VLOOKUP(B1400,'Share, Heavy Weapons to Ukraine'!B:Z,COLUMN('Share, Heavy Weapons to Ukraine'!C1412)-1,0),0)</f>
        <v>1</v>
      </c>
      <c r="AY1400" s="1194">
        <f>VLOOKUP('Bilateral Assistance, MAIN DATA'!B1400,'Country Summary (€)'!B:F,COLUMN('Country Summary (€)'!C1413)-1,FALSE)</f>
        <v>0</v>
      </c>
      <c r="AZ1400" s="1194">
        <f>IF(AND(AD1400=1,D1400="Military",H1400&lt;&gt;"Not given")=TRUE,IF(SUMIFS(P:P,A:A,A1400)&gt;0,ABS((SUMIFS(P:P,A:A,A1400)/VLOOKUP("USD",'Exchange Rates'!B:C,2,0)))/S1400,"."),".")</f>
        <v>0.21928948063898721</v>
      </c>
      <c r="BA1400" s="1196">
        <f>IF(AND(AD1400=1,D1400="Military",H1400&lt;&gt;"Not given")=TRUE,IF(SUMIFS(P:P,A:A,A1400)&gt;0,IF((ABS((SUMIFS(P:P,A:A,A1400)/VLOOKUP("USD",'Exchange Rates'!B:C,2,0)))/S1400)&gt;1,(SUMIFS(P:P,A:A,A1400)-S1400)/S1400,(S1400-SUMIFS(P:P,A:A,A1400))/SUMIFS(P:P,A:A,A1400)),"."),".")</f>
        <v>3.1959719016101236</v>
      </c>
    </row>
    <row r="1401" spans="1:53" ht="15.95" customHeight="1">
      <c r="A1401" s="1182" t="s">
        <v>3852</v>
      </c>
      <c r="B1401" s="1182" t="s">
        <v>3748</v>
      </c>
      <c r="C1401" s="1181">
        <v>44742</v>
      </c>
      <c r="D1401" s="1182" t="s">
        <v>389</v>
      </c>
      <c r="E1401" s="1182" t="s">
        <v>390</v>
      </c>
      <c r="F1401" s="1183" t="s">
        <v>3853</v>
      </c>
      <c r="G1401" s="1184" t="s">
        <v>3750</v>
      </c>
      <c r="H1401" s="1185">
        <v>1000000000</v>
      </c>
      <c r="I1401" s="1180" t="s">
        <v>3841</v>
      </c>
      <c r="J1401" s="1186" t="str">
        <f>VLOOKUP($I1401,'Price List, Weapons &amp; Items'!B:C,2,0)</f>
        <v>Ammunition for heavy weapon</v>
      </c>
      <c r="K1401" s="1186" t="str">
        <f>IF(I1401=".",I1401,VLOOKUP($I1401,'Price List, Weapons &amp; Items'!B:D,3,0))</f>
        <v>Howitzer ammunition</v>
      </c>
      <c r="L1401" s="1187">
        <f>VLOOKUP(I1401,'Price List, Weapons &amp; Items'!B:E,4,0)</f>
        <v>0</v>
      </c>
      <c r="M1401" s="1188">
        <v>50000</v>
      </c>
      <c r="N1401" s="1188">
        <v>50000</v>
      </c>
      <c r="O1401" s="1188">
        <f>VLOOKUP($I1401,'Price List, Weapons &amp; Items'!B:G,6,0)</f>
        <v>2000</v>
      </c>
      <c r="P1401" s="1185">
        <f t="shared" si="289"/>
        <v>100000000</v>
      </c>
      <c r="Q1401" s="1185">
        <f t="shared" si="290"/>
        <v>100000000</v>
      </c>
      <c r="R1401" s="1185" t="str">
        <f t="shared" si="286"/>
        <v/>
      </c>
      <c r="S1401" s="1185" t="str">
        <f>IF(AND(AD1401=1,R1401&lt;&gt;".")=TRUE,R1401/VLOOKUP(G1401,'Exchange Rates'!B:C,2,0),IF(R1401=".",".",""))</f>
        <v/>
      </c>
      <c r="T1401" s="1185" t="str">
        <f>IF(AD1401=1,IF(AF1401="Value is not given at all",".",IF(AF1401="Value is given by the source",S1401,IF(AF1401="Value is calculated with prices",(IF(SUMIFS(Q:Q,A:A,A1401)&gt;0,SUMIFS(Q:Q,A:A,A1401),"."))/VLOOKUP("USD",'Exchange Rates'!B:C,2,0),"Error with coding"))),"")</f>
        <v/>
      </c>
      <c r="U1401" s="1187" t="s">
        <v>365</v>
      </c>
      <c r="V1401" s="1040" t="s">
        <v>3856</v>
      </c>
      <c r="W1401" s="1040" t="s">
        <v>3820</v>
      </c>
      <c r="X1401" s="1265" t="s">
        <v>364</v>
      </c>
      <c r="Y1401" s="1265" t="s">
        <v>364</v>
      </c>
      <c r="Z1401" s="1187">
        <v>0</v>
      </c>
      <c r="AA1401" s="1194">
        <v>0</v>
      </c>
      <c r="AB1401" s="1016" t="s">
        <v>3820</v>
      </c>
      <c r="AC1401" s="1192" t="str">
        <f>""</f>
        <v/>
      </c>
      <c r="AD1401" s="985">
        <v>0</v>
      </c>
      <c r="AE1401" s="985" t="s">
        <v>368</v>
      </c>
      <c r="AF1401" s="985" t="s">
        <v>369</v>
      </c>
      <c r="AG1401" s="985">
        <v>1</v>
      </c>
      <c r="AH1401" s="985">
        <v>6</v>
      </c>
      <c r="AI1401" s="985">
        <v>0</v>
      </c>
      <c r="AJ1401" s="1193">
        <f>VLOOKUP($I1401,'Price List, Weapons &amp; Items'!B:F,5,0)</f>
        <v>0</v>
      </c>
      <c r="AK1401" s="1193">
        <f t="shared" si="291"/>
        <v>0</v>
      </c>
      <c r="AL1401" s="1193">
        <f t="shared" si="292"/>
        <v>0</v>
      </c>
      <c r="AM1401" s="1193">
        <f t="shared" si="293"/>
        <v>0</v>
      </c>
      <c r="AN1401" s="1194" t="str">
        <f>VLOOKUP($I1401,'Price List, Weapons &amp; Items'!B:L,COLUMN('Price List, Weapons &amp; Items'!$J$11)-1,0)</f>
        <v>Media reports (incl. social media)</v>
      </c>
      <c r="AO1401" s="1194" t="str">
        <f>IF(I1401=".",".",VLOOKUP($I1401,'Price List, Weapons &amp; Items'!B:J,3,0))</f>
        <v>Howitzer ammunition</v>
      </c>
      <c r="AP1401" s="1195" t="str">
        <f t="shared" ca="1" si="287"/>
        <v/>
      </c>
      <c r="AQ1401" s="1194">
        <f>VLOOKUP($I1401,'Price List, Weapons &amp; Items'!B:L,COLUMN('Price List, Weapons &amp; Items'!$L$11)-1,0)</f>
        <v>2</v>
      </c>
      <c r="AR1401" s="1194">
        <f t="shared" si="294"/>
        <v>1</v>
      </c>
      <c r="AS1401" s="1194">
        <f t="shared" si="295"/>
        <v>1</v>
      </c>
      <c r="AT1401" s="1194">
        <f t="shared" si="296"/>
        <v>1</v>
      </c>
      <c r="AU1401" s="1194" t="str">
        <f t="shared" si="298"/>
        <v>.</v>
      </c>
      <c r="AV1401" s="1194" t="str">
        <f t="shared" si="288"/>
        <v>.</v>
      </c>
      <c r="AW1401" s="1194" t="str">
        <f t="shared" si="297"/>
        <v>.</v>
      </c>
      <c r="AX1401" s="1194">
        <f>IFERROR(VLOOKUP(B1401,'Share, Heavy Weapons to Ukraine'!B:Z,COLUMN('Share, Heavy Weapons to Ukraine'!C1413)-1,0),0)</f>
        <v>1</v>
      </c>
      <c r="AY1401" s="1194">
        <f>VLOOKUP('Bilateral Assistance, MAIN DATA'!B1401,'Country Summary (€)'!B:F,COLUMN('Country Summary (€)'!C1414)-1,FALSE)</f>
        <v>0</v>
      </c>
      <c r="AZ1401" s="1194" t="str">
        <f>IF(AND(AD1401=1,D1401="Military",H1401&lt;&gt;"Not given")=TRUE,IF(SUMIFS(P:P,A:A,A1401)&gt;0,ABS((SUMIFS(P:P,A:A,A1401)/VLOOKUP("USD",'Exchange Rates'!B:C,2,0)))/S1401,"."),".")</f>
        <v>.</v>
      </c>
      <c r="BA1401" s="1196" t="str">
        <f>IF(AND(AD1401=1,D1401="Military",H1401&lt;&gt;"Not given")=TRUE,IF(SUMIFS(P:P,A:A,A1401)&gt;0,IF((ABS((SUMIFS(P:P,A:A,A1401)/VLOOKUP("USD",'Exchange Rates'!B:C,2,0)))/S1401)&gt;1,(SUMIFS(P:P,A:A,A1401)-S1401)/S1401,(S1401-SUMIFS(P:P,A:A,A1401))/SUMIFS(P:P,A:A,A1401)),"."),".")</f>
        <v>.</v>
      </c>
    </row>
    <row r="1402" spans="1:53" ht="15.95" customHeight="1">
      <c r="A1402" s="1182" t="s">
        <v>3852</v>
      </c>
      <c r="B1402" s="1182" t="s">
        <v>3748</v>
      </c>
      <c r="C1402" s="1181">
        <v>44742</v>
      </c>
      <c r="D1402" s="1182" t="s">
        <v>389</v>
      </c>
      <c r="E1402" s="1182" t="s">
        <v>390</v>
      </c>
      <c r="F1402" s="1183" t="s">
        <v>3853</v>
      </c>
      <c r="G1402" s="1184" t="s">
        <v>3750</v>
      </c>
      <c r="H1402" s="1185">
        <v>1000000000</v>
      </c>
      <c r="I1402" s="1180" t="s">
        <v>2632</v>
      </c>
      <c r="J1402" s="1186" t="str">
        <f>VLOOKUP($I1402,'Price List, Weapons &amp; Items'!B:C,2,0)</f>
        <v>Portable defence system</v>
      </c>
      <c r="K1402" s="1186" t="str">
        <f>IF(I1402=".",I1402,VLOOKUP($I1402,'Price List, Weapons &amp; Items'!B:D,3,0))</f>
        <v>Light Anti-armor Weapon (LAW)</v>
      </c>
      <c r="L1402" s="1187">
        <f>VLOOKUP(I1402,'Price List, Weapons &amp; Items'!B:E,4,0)</f>
        <v>0</v>
      </c>
      <c r="M1402" s="1188">
        <v>1600</v>
      </c>
      <c r="N1402" s="1188">
        <v>1600</v>
      </c>
      <c r="O1402" s="1188">
        <f>VLOOKUP($I1402,'Price List, Weapons &amp; Items'!B:G,6,0)</f>
        <v>40000</v>
      </c>
      <c r="P1402" s="1185">
        <f t="shared" si="289"/>
        <v>64000000</v>
      </c>
      <c r="Q1402" s="1185">
        <f t="shared" si="290"/>
        <v>64000000</v>
      </c>
      <c r="R1402" s="1185" t="str">
        <f t="shared" si="286"/>
        <v/>
      </c>
      <c r="S1402" s="1185" t="str">
        <f>IF(AND(AD1402=1,R1402&lt;&gt;".")=TRUE,R1402/VLOOKUP(G1402,'Exchange Rates'!B:C,2,0),IF(R1402=".",".",""))</f>
        <v/>
      </c>
      <c r="T1402" s="1185" t="str">
        <f>IF(AD1402=1,IF(AF1402="Value is not given at all",".",IF(AF1402="Value is given by the source",S1402,IF(AF1402="Value is calculated with prices",(IF(SUMIFS(Q:Q,A:A,A1402)&gt;0,SUMIFS(Q:Q,A:A,A1402),"."))/VLOOKUP("USD",'Exchange Rates'!B:C,2,0),"Error with coding"))),"")</f>
        <v/>
      </c>
      <c r="U1402" s="1187" t="s">
        <v>365</v>
      </c>
      <c r="V1402" s="1040" t="s">
        <v>3856</v>
      </c>
      <c r="W1402" s="1040" t="s">
        <v>3820</v>
      </c>
      <c r="X1402" s="1265" t="s">
        <v>364</v>
      </c>
      <c r="Y1402" s="1265" t="s">
        <v>364</v>
      </c>
      <c r="Z1402" s="1187">
        <v>0</v>
      </c>
      <c r="AA1402" s="1194">
        <v>0</v>
      </c>
      <c r="AB1402" s="1016" t="s">
        <v>3820</v>
      </c>
      <c r="AC1402" s="1192" t="str">
        <f>""</f>
        <v/>
      </c>
      <c r="AD1402" s="985">
        <v>0</v>
      </c>
      <c r="AE1402" s="985" t="s">
        <v>368</v>
      </c>
      <c r="AF1402" s="985" t="s">
        <v>369</v>
      </c>
      <c r="AG1402" s="985">
        <v>1</v>
      </c>
      <c r="AH1402" s="985">
        <v>6</v>
      </c>
      <c r="AI1402" s="985">
        <v>0</v>
      </c>
      <c r="AJ1402" s="1193">
        <f>VLOOKUP($I1402,'Price List, Weapons &amp; Items'!B:F,5,0)</f>
        <v>0</v>
      </c>
      <c r="AK1402" s="1193">
        <f t="shared" si="291"/>
        <v>0</v>
      </c>
      <c r="AL1402" s="1193">
        <f t="shared" si="292"/>
        <v>0</v>
      </c>
      <c r="AM1402" s="1193">
        <f t="shared" si="293"/>
        <v>0</v>
      </c>
      <c r="AN1402" s="1194" t="str">
        <f>VLOOKUP($I1402,'Price List, Weapons &amp; Items'!B:L,COLUMN('Price List, Weapons &amp; Items'!$J$11)-1,0)</f>
        <v>Media reports (incl. social media)</v>
      </c>
      <c r="AO1402" s="1194" t="str">
        <f>IF(I1402=".",".",VLOOKUP($I1402,'Price List, Weapons &amp; Items'!B:J,3,0))</f>
        <v>Light Anti-armor Weapon (LAW)</v>
      </c>
      <c r="AP1402" s="1195" t="str">
        <f t="shared" ca="1" si="287"/>
        <v/>
      </c>
      <c r="AQ1402" s="1194">
        <f>VLOOKUP($I1402,'Price List, Weapons &amp; Items'!B:L,COLUMN('Price List, Weapons &amp; Items'!$L$11)-1,0)</f>
        <v>2</v>
      </c>
      <c r="AR1402" s="1194">
        <f t="shared" si="294"/>
        <v>1</v>
      </c>
      <c r="AS1402" s="1194">
        <f t="shared" si="295"/>
        <v>1</v>
      </c>
      <c r="AT1402" s="1194">
        <f t="shared" si="296"/>
        <v>1</v>
      </c>
      <c r="AU1402" s="1194" t="str">
        <f t="shared" si="298"/>
        <v>.</v>
      </c>
      <c r="AV1402" s="1194" t="str">
        <f t="shared" si="288"/>
        <v>.</v>
      </c>
      <c r="AW1402" s="1194" t="str">
        <f t="shared" si="297"/>
        <v>.</v>
      </c>
      <c r="AX1402" s="1194">
        <f>IFERROR(VLOOKUP(B1402,'Share, Heavy Weapons to Ukraine'!B:Z,COLUMN('Share, Heavy Weapons to Ukraine'!C1414)-1,0),0)</f>
        <v>1</v>
      </c>
      <c r="AY1402" s="1194">
        <f>VLOOKUP('Bilateral Assistance, MAIN DATA'!B1402,'Country Summary (€)'!B:F,COLUMN('Country Summary (€)'!C1415)-1,FALSE)</f>
        <v>0</v>
      </c>
      <c r="AZ1402" s="1194" t="str">
        <f>IF(AND(AD1402=1,D1402="Military",H1402&lt;&gt;"Not given")=TRUE,IF(SUMIFS(P:P,A:A,A1402)&gt;0,ABS((SUMIFS(P:P,A:A,A1402)/VLOOKUP("USD",'Exchange Rates'!B:C,2,0)))/S1402,"."),".")</f>
        <v>.</v>
      </c>
      <c r="BA1402" s="1196" t="str">
        <f>IF(AND(AD1402=1,D1402="Military",H1402&lt;&gt;"Not given")=TRUE,IF(SUMIFS(P:P,A:A,A1402)&gt;0,IF((ABS((SUMIFS(P:P,A:A,A1402)/VLOOKUP("USD",'Exchange Rates'!B:C,2,0)))/S1402)&gt;1,(SUMIFS(P:P,A:A,A1402)-S1402)/S1402,(S1402-SUMIFS(P:P,A:A,A1402))/SUMIFS(P:P,A:A,A1402)),"."),".")</f>
        <v>.</v>
      </c>
    </row>
    <row r="1403" spans="1:53" ht="15.95" customHeight="1">
      <c r="A1403" s="1182" t="s">
        <v>3852</v>
      </c>
      <c r="B1403" s="1182" t="s">
        <v>3748</v>
      </c>
      <c r="C1403" s="1181">
        <v>44742</v>
      </c>
      <c r="D1403" s="1182" t="s">
        <v>389</v>
      </c>
      <c r="E1403" s="1182" t="s">
        <v>390</v>
      </c>
      <c r="F1403" s="1183" t="s">
        <v>3853</v>
      </c>
      <c r="G1403" s="1184" t="s">
        <v>3750</v>
      </c>
      <c r="H1403" s="1185">
        <v>1000000000</v>
      </c>
      <c r="I1403" s="1268" t="s">
        <v>3821</v>
      </c>
      <c r="J1403" s="1186" t="str">
        <f>VLOOKUP($I1403,'Price List, Weapons &amp; Items'!B:C,2,0)</f>
        <v>Aviation and drones</v>
      </c>
      <c r="K1403" s="1186" t="str">
        <f>IF(I1403=".",I1403,VLOOKUP($I1403,'Price List, Weapons &amp; Items'!B:D,3,0))</f>
        <v>drone</v>
      </c>
      <c r="L1403" s="1187">
        <f>VLOOKUP(I1403,'Price List, Weapons &amp; Items'!B:E,4,0)</f>
        <v>0</v>
      </c>
      <c r="M1403" s="1188">
        <v>200</v>
      </c>
      <c r="N1403" s="1188" t="s">
        <v>374</v>
      </c>
      <c r="O1403" s="1188">
        <f>VLOOKUP($I1403,'Price List, Weapons &amp; Items'!B:G,6,0)</f>
        <v>6000</v>
      </c>
      <c r="P1403" s="1185">
        <f t="shared" si="289"/>
        <v>1200000</v>
      </c>
      <c r="Q1403" s="1185" t="str">
        <f t="shared" si="290"/>
        <v>.</v>
      </c>
      <c r="R1403" s="1185" t="str">
        <f t="shared" si="286"/>
        <v/>
      </c>
      <c r="S1403" s="1185" t="str">
        <f>IF(AND(AD1403=1,R1403&lt;&gt;".")=TRUE,R1403/VLOOKUP(G1403,'Exchange Rates'!B:C,2,0),IF(R1403=".",".",""))</f>
        <v/>
      </c>
      <c r="T1403" s="1185" t="str">
        <f>IF(AD1403=1,IF(AF1403="Value is not given at all",".",IF(AF1403="Value is given by the source",S1403,IF(AF1403="Value is calculated with prices",(IF(SUMIFS(Q:Q,A:A,A1403)&gt;0,SUMIFS(Q:Q,A:A,A1403),"."))/VLOOKUP("USD",'Exchange Rates'!B:C,2,0),"Error with coding"))),"")</f>
        <v/>
      </c>
      <c r="U1403" s="1187" t="s">
        <v>365</v>
      </c>
      <c r="V1403" s="1040" t="s">
        <v>3856</v>
      </c>
      <c r="W1403" s="1040" t="s">
        <v>3820</v>
      </c>
      <c r="X1403" s="1265" t="s">
        <v>364</v>
      </c>
      <c r="Y1403" s="1265" t="s">
        <v>364</v>
      </c>
      <c r="Z1403" s="1187">
        <v>0</v>
      </c>
      <c r="AA1403" s="1194">
        <v>0</v>
      </c>
      <c r="AB1403" s="1201" t="s">
        <v>364</v>
      </c>
      <c r="AC1403" s="1192" t="str">
        <f>""</f>
        <v/>
      </c>
      <c r="AD1403" s="985">
        <v>0</v>
      </c>
      <c r="AE1403" s="985" t="s">
        <v>368</v>
      </c>
      <c r="AF1403" s="985" t="s">
        <v>369</v>
      </c>
      <c r="AG1403" s="985">
        <v>1</v>
      </c>
      <c r="AH1403" s="985">
        <v>6</v>
      </c>
      <c r="AI1403" s="985">
        <v>0</v>
      </c>
      <c r="AJ1403" s="1193">
        <f>VLOOKUP($I1403,'Price List, Weapons &amp; Items'!B:F,5,0)</f>
        <v>0</v>
      </c>
      <c r="AK1403" s="1193">
        <f t="shared" si="291"/>
        <v>0</v>
      </c>
      <c r="AL1403" s="1193">
        <f t="shared" si="292"/>
        <v>0</v>
      </c>
      <c r="AM1403" s="1193">
        <f t="shared" si="293"/>
        <v>0</v>
      </c>
      <c r="AN1403" s="1194" t="str">
        <f>VLOOKUP($I1403,'Price List, Weapons &amp; Items'!B:L,COLUMN('Price List, Weapons &amp; Items'!$J$11)-1,0)</f>
        <v>Miscellaneous</v>
      </c>
      <c r="AO1403" s="1194" t="str">
        <f>IF(I1403=".",".",VLOOKUP($I1403,'Price List, Weapons &amp; Items'!B:J,3,0))</f>
        <v>drone</v>
      </c>
      <c r="AP1403" s="1195" t="str">
        <f t="shared" ca="1" si="287"/>
        <v/>
      </c>
      <c r="AQ1403" s="1194">
        <f>VLOOKUP($I1403,'Price List, Weapons &amp; Items'!B:L,COLUMN('Price List, Weapons &amp; Items'!$L$11)-1,0)</f>
        <v>2</v>
      </c>
      <c r="AR1403" s="1194">
        <f t="shared" si="294"/>
        <v>1</v>
      </c>
      <c r="AS1403" s="1194">
        <f t="shared" si="295"/>
        <v>1</v>
      </c>
      <c r="AT1403" s="1194">
        <f t="shared" si="296"/>
        <v>1</v>
      </c>
      <c r="AU1403" s="1194" t="str">
        <f t="shared" si="298"/>
        <v>.</v>
      </c>
      <c r="AV1403" s="1194" t="str">
        <f t="shared" si="288"/>
        <v>.</v>
      </c>
      <c r="AW1403" s="1194" t="str">
        <f t="shared" si="297"/>
        <v>.</v>
      </c>
      <c r="AX1403" s="1194">
        <f>IFERROR(VLOOKUP(B1403,'Share, Heavy Weapons to Ukraine'!B:Z,COLUMN('Share, Heavy Weapons to Ukraine'!C1415)-1,0),0)</f>
        <v>1</v>
      </c>
      <c r="AY1403" s="1194">
        <f>VLOOKUP('Bilateral Assistance, MAIN DATA'!B1403,'Country Summary (€)'!B:F,COLUMN('Country Summary (€)'!C1416)-1,FALSE)</f>
        <v>0</v>
      </c>
      <c r="AZ1403" s="1194" t="str">
        <f>IF(AND(AD1403=1,D1403="Military",H1403&lt;&gt;"Not given")=TRUE,IF(SUMIFS(P:P,A:A,A1403)&gt;0,ABS((SUMIFS(P:P,A:A,A1403)/VLOOKUP("USD",'Exchange Rates'!B:C,2,0)))/S1403,"."),".")</f>
        <v>.</v>
      </c>
      <c r="BA1403" s="1196" t="str">
        <f>IF(AND(AD1403=1,D1403="Military",H1403&lt;&gt;"Not given")=TRUE,IF(SUMIFS(P:P,A:A,A1403)&gt;0,IF((ABS((SUMIFS(P:P,A:A,A1403)/VLOOKUP("USD",'Exchange Rates'!B:C,2,0)))/S1403)&gt;1,(SUMIFS(P:P,A:A,A1403)-S1403)/S1403,(S1403-SUMIFS(P:P,A:A,A1403))/SUMIFS(P:P,A:A,A1403)),"."),".")</f>
        <v>.</v>
      </c>
    </row>
    <row r="1404" spans="1:53" ht="15.95" customHeight="1">
      <c r="A1404" s="1182" t="s">
        <v>3852</v>
      </c>
      <c r="B1404" s="1182" t="s">
        <v>3748</v>
      </c>
      <c r="C1404" s="1181">
        <v>44742</v>
      </c>
      <c r="D1404" s="1182" t="s">
        <v>389</v>
      </c>
      <c r="E1404" s="1182" t="s">
        <v>390</v>
      </c>
      <c r="F1404" s="1183" t="s">
        <v>3853</v>
      </c>
      <c r="G1404" s="1184" t="s">
        <v>3750</v>
      </c>
      <c r="H1404" s="1185">
        <v>1000000000</v>
      </c>
      <c r="I1404" s="1180" t="s">
        <v>3857</v>
      </c>
      <c r="J1404" s="1186" t="str">
        <f>VLOOKUP($I1404,'Price List, Weapons &amp; Items'!B:C,2,0)</f>
        <v>Aviation and drones</v>
      </c>
      <c r="K1404" s="1186" t="str">
        <f>IF(I1404=".",I1404,VLOOKUP($I1404,'Price List, Weapons &amp; Items'!B:D,3,0))</f>
        <v>drone</v>
      </c>
      <c r="L1404" s="1187">
        <f>VLOOKUP(I1404,'Price List, Weapons &amp; Items'!B:E,4,0)</f>
        <v>0</v>
      </c>
      <c r="M1404" s="1188">
        <v>200</v>
      </c>
      <c r="N1404" s="1188" t="s">
        <v>374</v>
      </c>
      <c r="O1404" s="1188">
        <f>VLOOKUP($I1404,'Price List, Weapons &amp; Items'!B:G,6,0)</f>
        <v>75265.911143968755</v>
      </c>
      <c r="P1404" s="1185">
        <f t="shared" si="289"/>
        <v>15053182.228793751</v>
      </c>
      <c r="Q1404" s="1185" t="str">
        <f t="shared" si="290"/>
        <v>.</v>
      </c>
      <c r="R1404" s="1185" t="str">
        <f t="shared" si="286"/>
        <v/>
      </c>
      <c r="S1404" s="1185" t="str">
        <f>IF(AND(AD1404=1,R1404&lt;&gt;".")=TRUE,R1404/VLOOKUP(G1404,'Exchange Rates'!B:C,2,0),IF(R1404=".",".",""))</f>
        <v/>
      </c>
      <c r="T1404" s="1185" t="str">
        <f>IF(AD1404=1,IF(AF1404="Value is not given at all",".",IF(AF1404="Value is given by the source",S1404,IF(AF1404="Value is calculated with prices",(IF(SUMIFS(Q:Q,A:A,A1404)&gt;0,SUMIFS(Q:Q,A:A,A1404),"."))/VLOOKUP("USD",'Exchange Rates'!B:C,2,0),"Error with coding"))),"")</f>
        <v/>
      </c>
      <c r="U1404" s="1187" t="s">
        <v>365</v>
      </c>
      <c r="V1404" s="1040" t="s">
        <v>3856</v>
      </c>
      <c r="W1404" s="1040" t="s">
        <v>3820</v>
      </c>
      <c r="X1404" s="1265" t="s">
        <v>364</v>
      </c>
      <c r="Y1404" s="1265" t="s">
        <v>364</v>
      </c>
      <c r="Z1404" s="1187">
        <v>0</v>
      </c>
      <c r="AA1404" s="1194">
        <v>0</v>
      </c>
      <c r="AB1404" s="1201" t="s">
        <v>364</v>
      </c>
      <c r="AC1404" s="1192" t="str">
        <f>""</f>
        <v/>
      </c>
      <c r="AD1404" s="985">
        <v>0</v>
      </c>
      <c r="AE1404" s="985" t="s">
        <v>368</v>
      </c>
      <c r="AF1404" s="985" t="s">
        <v>369</v>
      </c>
      <c r="AG1404" s="985">
        <v>1</v>
      </c>
      <c r="AH1404" s="985">
        <v>6</v>
      </c>
      <c r="AI1404" s="985">
        <v>0</v>
      </c>
      <c r="AJ1404" s="1193">
        <f>VLOOKUP($I1404,'Price List, Weapons &amp; Items'!B:F,5,0)</f>
        <v>0</v>
      </c>
      <c r="AK1404" s="1193">
        <f t="shared" si="291"/>
        <v>0</v>
      </c>
      <c r="AL1404" s="1193">
        <f t="shared" si="292"/>
        <v>0</v>
      </c>
      <c r="AM1404" s="1193">
        <f t="shared" si="293"/>
        <v>0</v>
      </c>
      <c r="AN1404" s="1194" t="str">
        <f>VLOOKUP($I1404,'Price List, Weapons &amp; Items'!B:L,COLUMN('Price List, Weapons &amp; Items'!$J$11)-1,0)</f>
        <v>Media reports (incl. social media)</v>
      </c>
      <c r="AO1404" s="1194" t="str">
        <f>IF(I1404=".",".",VLOOKUP($I1404,'Price List, Weapons &amp; Items'!B:J,3,0))</f>
        <v>drone</v>
      </c>
      <c r="AP1404" s="1195" t="str">
        <f t="shared" ca="1" si="287"/>
        <v/>
      </c>
      <c r="AQ1404" s="1194">
        <f>VLOOKUP($I1404,'Price List, Weapons &amp; Items'!B:L,COLUMN('Price List, Weapons &amp; Items'!$L$11)-1,0)</f>
        <v>2</v>
      </c>
      <c r="AR1404" s="1194">
        <f t="shared" si="294"/>
        <v>1</v>
      </c>
      <c r="AS1404" s="1194">
        <f t="shared" si="295"/>
        <v>1</v>
      </c>
      <c r="AT1404" s="1194">
        <f t="shared" si="296"/>
        <v>1</v>
      </c>
      <c r="AU1404" s="1194" t="str">
        <f t="shared" si="298"/>
        <v>.</v>
      </c>
      <c r="AV1404" s="1194" t="str">
        <f t="shared" si="288"/>
        <v>.</v>
      </c>
      <c r="AW1404" s="1194" t="str">
        <f t="shared" si="297"/>
        <v>.</v>
      </c>
      <c r="AX1404" s="1194">
        <f>IFERROR(VLOOKUP(B1404,'Share, Heavy Weapons to Ukraine'!B:Z,COLUMN('Share, Heavy Weapons to Ukraine'!C1416)-1,0),0)</f>
        <v>1</v>
      </c>
      <c r="AY1404" s="1194">
        <f>VLOOKUP('Bilateral Assistance, MAIN DATA'!B1404,'Country Summary (€)'!B:F,COLUMN('Country Summary (€)'!C1417)-1,FALSE)</f>
        <v>0</v>
      </c>
      <c r="AZ1404" s="1194" t="str">
        <f>IF(AND(AD1404=1,D1404="Military",H1404&lt;&gt;"Not given")=TRUE,IF(SUMIFS(P:P,A:A,A1404)&gt;0,ABS((SUMIFS(P:P,A:A,A1404)/VLOOKUP("USD",'Exchange Rates'!B:C,2,0)))/S1404,"."),".")</f>
        <v>.</v>
      </c>
      <c r="BA1404" s="1196" t="str">
        <f>IF(AND(AD1404=1,D1404="Military",H1404&lt;&gt;"Not given")=TRUE,IF(SUMIFS(P:P,A:A,A1404)&gt;0,IF((ABS((SUMIFS(P:P,A:A,A1404)/VLOOKUP("USD",'Exchange Rates'!B:C,2,0)))/S1404)&gt;1,(SUMIFS(P:P,A:A,A1404)-S1404)/S1404,(S1404-SUMIFS(P:P,A:A,A1404))/SUMIFS(P:P,A:A,A1404)),"."),".")</f>
        <v>.</v>
      </c>
    </row>
    <row r="1405" spans="1:53" ht="15.95" customHeight="1">
      <c r="A1405" s="1182" t="s">
        <v>3852</v>
      </c>
      <c r="B1405" s="1182" t="s">
        <v>3748</v>
      </c>
      <c r="C1405" s="1181">
        <v>44784</v>
      </c>
      <c r="D1405" s="1182" t="s">
        <v>389</v>
      </c>
      <c r="E1405" s="1182" t="s">
        <v>390</v>
      </c>
      <c r="F1405" s="1183" t="s">
        <v>3858</v>
      </c>
      <c r="G1405" s="1184" t="s">
        <v>3750</v>
      </c>
      <c r="H1405" s="1185">
        <v>1000000000</v>
      </c>
      <c r="I1405" s="1180" t="s">
        <v>1686</v>
      </c>
      <c r="J1405" s="1186" t="str">
        <f>VLOOKUP($I1405,'Price List, Weapons &amp; Items'!B:C,2,0)</f>
        <v>Heavy weapon</v>
      </c>
      <c r="K1405" s="1186" t="str">
        <f>IF(I1405=".",I1405,VLOOKUP($I1405,'Price List, Weapons &amp; Items'!B:D,3,0))</f>
        <v>227mm MLRS</v>
      </c>
      <c r="L1405" s="1187">
        <f>VLOOKUP(I1405,'Price List, Weapons &amp; Items'!B:E,4,0)</f>
        <v>0</v>
      </c>
      <c r="M1405" s="1188">
        <v>3</v>
      </c>
      <c r="N1405" s="1188" t="s">
        <v>374</v>
      </c>
      <c r="O1405" s="1188">
        <f>VLOOKUP($I1405,'Price List, Weapons &amp; Items'!B:G,6,0)</f>
        <v>13615659.128881287</v>
      </c>
      <c r="P1405" s="1185">
        <f t="shared" si="289"/>
        <v>40846977.386643857</v>
      </c>
      <c r="Q1405" s="1185" t="str">
        <f t="shared" si="290"/>
        <v>.</v>
      </c>
      <c r="R1405" s="1185" t="str">
        <f t="shared" si="286"/>
        <v/>
      </c>
      <c r="S1405" s="1185" t="str">
        <f>IF(AND(AD1405=1,R1405&lt;&gt;".")=TRUE,R1405/VLOOKUP(G1405,'Exchange Rates'!B:C,2,0),IF(R1405=".",".",""))</f>
        <v/>
      </c>
      <c r="T1405" s="1185" t="str">
        <f>IF(AD1405=1,IF(AF1405="Value is not given at all",".",IF(AF1405="Value is given by the source",S1405,IF(AF1405="Value is calculated with prices",(IF(SUMIFS(Q:Q,A:A,A1405)&gt;0,SUMIFS(Q:Q,A:A,A1405),"."))/VLOOKUP("USD",'Exchange Rates'!B:C,2,0),"Error with coding"))),"")</f>
        <v/>
      </c>
      <c r="U1405" s="1187" t="s">
        <v>365</v>
      </c>
      <c r="V1405" s="1040" t="s">
        <v>3859</v>
      </c>
      <c r="W1405" s="1040" t="s">
        <v>3860</v>
      </c>
      <c r="X1405" s="972" t="s">
        <v>3861</v>
      </c>
      <c r="Y1405" s="1190" t="s">
        <v>364</v>
      </c>
      <c r="Z1405" s="1187">
        <v>0</v>
      </c>
      <c r="AA1405" s="1194">
        <v>0</v>
      </c>
      <c r="AB1405" s="1016" t="s">
        <v>3862</v>
      </c>
      <c r="AC1405" s="1192" t="str">
        <f>""</f>
        <v/>
      </c>
      <c r="AD1405" s="985">
        <v>0</v>
      </c>
      <c r="AE1405" s="985" t="s">
        <v>368</v>
      </c>
      <c r="AF1405" s="985" t="s">
        <v>369</v>
      </c>
      <c r="AG1405" s="985">
        <v>1</v>
      </c>
      <c r="AH1405" s="985">
        <v>8</v>
      </c>
      <c r="AI1405" s="985">
        <v>0</v>
      </c>
      <c r="AJ1405" s="1193">
        <f>VLOOKUP($I1405,'Price List, Weapons &amp; Items'!B:F,5,0)</f>
        <v>1</v>
      </c>
      <c r="AK1405" s="1193">
        <f t="shared" si="291"/>
        <v>0</v>
      </c>
      <c r="AL1405" s="1193">
        <f t="shared" si="292"/>
        <v>1</v>
      </c>
      <c r="AM1405" s="1193">
        <f t="shared" si="293"/>
        <v>0</v>
      </c>
      <c r="AN1405" s="1194" t="str">
        <f>VLOOKUP($I1405,'Price List, Weapons &amp; Items'!B:L,COLUMN('Price List, Weapons &amp; Items'!$J$11)-1,0)</f>
        <v>Contracts</v>
      </c>
      <c r="AO1405" s="1194" t="str">
        <f>IF(I1405=".",".",VLOOKUP($I1405,'Price List, Weapons &amp; Items'!B:J,3,0))</f>
        <v>227mm MLRS</v>
      </c>
      <c r="AP1405" s="1195" t="str">
        <f t="shared" ca="1" si="287"/>
        <v/>
      </c>
      <c r="AQ1405" s="1194">
        <f>VLOOKUP($I1405,'Price List, Weapons &amp; Items'!B:L,COLUMN('Price List, Weapons &amp; Items'!$L$11)-1,0)</f>
        <v>2</v>
      </c>
      <c r="AR1405" s="1194">
        <f t="shared" si="294"/>
        <v>1</v>
      </c>
      <c r="AS1405" s="1194">
        <f t="shared" si="295"/>
        <v>1</v>
      </c>
      <c r="AT1405" s="1194">
        <f t="shared" si="296"/>
        <v>1</v>
      </c>
      <c r="AU1405" s="1194" t="str">
        <f t="shared" si="298"/>
        <v>.</v>
      </c>
      <c r="AV1405" s="1194" t="str">
        <f t="shared" si="288"/>
        <v>.</v>
      </c>
      <c r="AW1405" s="1194" t="str">
        <f t="shared" si="297"/>
        <v>.</v>
      </c>
      <c r="AX1405" s="1194">
        <f>IFERROR(VLOOKUP(B1405,'Share, Heavy Weapons to Ukraine'!B:Z,COLUMN('Share, Heavy Weapons to Ukraine'!C1417)-1,0),0)</f>
        <v>1</v>
      </c>
      <c r="AY1405" s="1194">
        <f>VLOOKUP('Bilateral Assistance, MAIN DATA'!B1405,'Country Summary (€)'!B:F,COLUMN('Country Summary (€)'!C1418)-1,FALSE)</f>
        <v>0</v>
      </c>
      <c r="AZ1405" s="1194" t="str">
        <f>IF(AND(AD1405=1,D1405="Military",H1405&lt;&gt;"Not given")=TRUE,IF(SUMIFS(P:P,A:A,A1405)&gt;0,ABS((SUMIFS(P:P,A:A,A1405)/VLOOKUP("USD",'Exchange Rates'!B:C,2,0)))/S1405,"."),".")</f>
        <v>.</v>
      </c>
      <c r="BA1405" s="1196" t="str">
        <f>IF(AND(AD1405=1,D1405="Military",H1405&lt;&gt;"Not given")=TRUE,IF(SUMIFS(P:P,A:A,A1405)&gt;0,IF((ABS((SUMIFS(P:P,A:A,A1405)/VLOOKUP("USD",'Exchange Rates'!B:C,2,0)))/S1405)&gt;1,(SUMIFS(P:P,A:A,A1405)-S1405)/S1405,(S1405-SUMIFS(P:P,A:A,A1405))/SUMIFS(P:P,A:A,A1405)),"."),".")</f>
        <v>.</v>
      </c>
    </row>
    <row r="1406" spans="1:53" ht="15.95" customHeight="1">
      <c r="A1406" s="1182" t="s">
        <v>3852</v>
      </c>
      <c r="B1406" s="1182" t="s">
        <v>3748</v>
      </c>
      <c r="C1406" s="1181">
        <v>44784</v>
      </c>
      <c r="D1406" s="1182" t="s">
        <v>389</v>
      </c>
      <c r="E1406" s="1182" t="s">
        <v>390</v>
      </c>
      <c r="F1406" s="1183" t="s">
        <v>3858</v>
      </c>
      <c r="G1406" s="1184" t="s">
        <v>3750</v>
      </c>
      <c r="H1406" s="1185">
        <v>1000000000</v>
      </c>
      <c r="I1406" s="1180" t="s">
        <v>3847</v>
      </c>
      <c r="J1406" s="1186" t="str">
        <f>VLOOKUP($I1406,'Price List, Weapons &amp; Items'!B:C,2,0)</f>
        <v>Ammunition for heavy weapon</v>
      </c>
      <c r="K1406" s="1186" t="str">
        <f>IF(I1406=".",I1406,VLOOKUP($I1406,'Price List, Weapons &amp; Items'!B:D,3,0))</f>
        <v>298mm MLRS ammunition</v>
      </c>
      <c r="L1406" s="1187">
        <f>VLOOKUP(I1406,'Price List, Weapons &amp; Items'!B:E,4,0)</f>
        <v>0</v>
      </c>
      <c r="M1406" s="1188" t="s">
        <v>374</v>
      </c>
      <c r="N1406" s="1188" t="s">
        <v>374</v>
      </c>
      <c r="O1406" s="1188">
        <f>VLOOKUP($I1406,'Price List, Weapons &amp; Items'!B:G,6,0)</f>
        <v>625000</v>
      </c>
      <c r="P1406" s="1185" t="str">
        <f t="shared" si="289"/>
        <v>.</v>
      </c>
      <c r="Q1406" s="1185" t="str">
        <f t="shared" si="290"/>
        <v>.</v>
      </c>
      <c r="R1406" s="1185" t="str">
        <f t="shared" si="286"/>
        <v/>
      </c>
      <c r="S1406" s="1185" t="str">
        <f>IF(AND(AD1406=1,R1406&lt;&gt;".")=TRUE,R1406/VLOOKUP(G1406,'Exchange Rates'!B:C,2,0),IF(R1406=".",".",""))</f>
        <v/>
      </c>
      <c r="T1406" s="1185" t="str">
        <f>IF(AD1406=1,IF(AF1406="Value is not given at all",".",IF(AF1406="Value is given by the source",S1406,IF(AF1406="Value is calculated with prices",(IF(SUMIFS(Q:Q,A:A,A1406)&gt;0,SUMIFS(Q:Q,A:A,A1406),"."))/VLOOKUP("USD",'Exchange Rates'!B:C,2,0),"Error with coding"))),"")</f>
        <v/>
      </c>
      <c r="U1406" s="1187" t="s">
        <v>365</v>
      </c>
      <c r="V1406" s="1040" t="s">
        <v>3863</v>
      </c>
      <c r="W1406" s="1040" t="s">
        <v>3860</v>
      </c>
      <c r="X1406" s="1190" t="s">
        <v>364</v>
      </c>
      <c r="Y1406" s="1190" t="s">
        <v>364</v>
      </c>
      <c r="Z1406" s="1187">
        <v>0</v>
      </c>
      <c r="AA1406" s="1194">
        <v>0</v>
      </c>
      <c r="AB1406" s="1201" t="s">
        <v>364</v>
      </c>
      <c r="AC1406" s="1192" t="str">
        <f>""</f>
        <v/>
      </c>
      <c r="AD1406" s="985">
        <v>0</v>
      </c>
      <c r="AE1406" s="985" t="s">
        <v>368</v>
      </c>
      <c r="AF1406" s="985" t="s">
        <v>369</v>
      </c>
      <c r="AG1406" s="985">
        <v>1</v>
      </c>
      <c r="AH1406" s="985">
        <v>8</v>
      </c>
      <c r="AI1406" s="985">
        <v>0</v>
      </c>
      <c r="AJ1406" s="1193">
        <f>VLOOKUP($I1406,'Price List, Weapons &amp; Items'!B:F,5,0)</f>
        <v>0</v>
      </c>
      <c r="AK1406" s="1193">
        <f t="shared" si="291"/>
        <v>0</v>
      </c>
      <c r="AL1406" s="1193">
        <f t="shared" si="292"/>
        <v>0</v>
      </c>
      <c r="AM1406" s="1193">
        <f t="shared" si="293"/>
        <v>0</v>
      </c>
      <c r="AN1406" s="1194" t="str">
        <f>VLOOKUP($I1406,'Price List, Weapons &amp; Items'!B:L,COLUMN('Price List, Weapons &amp; Items'!$J$11)-1,0)</f>
        <v>Government information</v>
      </c>
      <c r="AO1406" s="1194" t="str">
        <f>IF(I1406=".",".",VLOOKUP($I1406,'Price List, Weapons &amp; Items'!B:J,3,0))</f>
        <v>298mm MLRS ammunition</v>
      </c>
      <c r="AP1406" s="1195" t="str">
        <f t="shared" ca="1" si="287"/>
        <v/>
      </c>
      <c r="AQ1406" s="1194" t="str">
        <f>VLOOKUP($I1406,'Price List, Weapons &amp; Items'!B:L,COLUMN('Price List, Weapons &amp; Items'!$L$11)-1,0)</f>
        <v>no price, 0 count</v>
      </c>
      <c r="AR1406" s="1194">
        <f t="shared" si="294"/>
        <v>1</v>
      </c>
      <c r="AS1406" s="1194">
        <f t="shared" si="295"/>
        <v>1</v>
      </c>
      <c r="AT1406" s="1194">
        <f t="shared" si="296"/>
        <v>1</v>
      </c>
      <c r="AU1406" s="1194" t="str">
        <f t="shared" si="298"/>
        <v>.</v>
      </c>
      <c r="AV1406" s="1194" t="str">
        <f t="shared" si="288"/>
        <v>.</v>
      </c>
      <c r="AW1406" s="1194" t="str">
        <f t="shared" si="297"/>
        <v>.</v>
      </c>
      <c r="AX1406" s="1194">
        <f>IFERROR(VLOOKUP(B1406,'Share, Heavy Weapons to Ukraine'!B:Z,COLUMN('Share, Heavy Weapons to Ukraine'!C1418)-1,0),0)</f>
        <v>1</v>
      </c>
      <c r="AY1406" s="1194">
        <f>VLOOKUP('Bilateral Assistance, MAIN DATA'!B1406,'Country Summary (€)'!B:F,COLUMN('Country Summary (€)'!C1419)-1,FALSE)</f>
        <v>0</v>
      </c>
      <c r="AZ1406" s="1194" t="str">
        <f>IF(AND(AD1406=1,D1406="Military",H1406&lt;&gt;"Not given")=TRUE,IF(SUMIFS(P:P,A:A,A1406)&gt;0,ABS((SUMIFS(P:P,A:A,A1406)/VLOOKUP("USD",'Exchange Rates'!B:C,2,0)))/S1406,"."),".")</f>
        <v>.</v>
      </c>
      <c r="BA1406" s="1196" t="str">
        <f>IF(AND(AD1406=1,D1406="Military",H1406&lt;&gt;"Not given")=TRUE,IF(SUMIFS(P:P,A:A,A1406)&gt;0,IF((ABS((SUMIFS(P:P,A:A,A1406)/VLOOKUP("USD",'Exchange Rates'!B:C,2,0)))/S1406)&gt;1,(SUMIFS(P:P,A:A,A1406)-S1406)/S1406,(S1406-SUMIFS(P:P,A:A,A1406))/SUMIFS(P:P,A:A,A1406)),"."),".")</f>
        <v>.</v>
      </c>
    </row>
    <row r="1407" spans="1:53" ht="15.95" customHeight="1">
      <c r="A1407" s="1182" t="s">
        <v>3852</v>
      </c>
      <c r="B1407" s="1182" t="s">
        <v>3748</v>
      </c>
      <c r="C1407" s="1181">
        <v>44797</v>
      </c>
      <c r="D1407" s="1182" t="s">
        <v>389</v>
      </c>
      <c r="E1407" s="1182" t="s">
        <v>390</v>
      </c>
      <c r="F1407" s="1183" t="s">
        <v>3864</v>
      </c>
      <c r="G1407" s="1184" t="s">
        <v>3750</v>
      </c>
      <c r="H1407" s="1185">
        <v>1000000000</v>
      </c>
      <c r="I1407" s="1180" t="s">
        <v>2912</v>
      </c>
      <c r="J1407" s="1186" t="str">
        <f>VLOOKUP($I1407,'Price List, Weapons &amp; Items'!B:C,2,0)</f>
        <v>Aviation and drones</v>
      </c>
      <c r="K1407" s="1186" t="str">
        <f>IF(I1407=".",I1407,VLOOKUP($I1407,'Price List, Weapons &amp; Items'!B:D,3,0))</f>
        <v>Drone</v>
      </c>
      <c r="L1407" s="1187">
        <f>VLOOKUP(I1407,'Price List, Weapons &amp; Items'!B:E,4,0)</f>
        <v>0</v>
      </c>
      <c r="M1407" s="1188">
        <v>850</v>
      </c>
      <c r="N1407" s="1188" t="s">
        <v>374</v>
      </c>
      <c r="O1407" s="1188" t="str">
        <f>VLOOKUP($I1407,'Price List, Weapons &amp; Items'!B:G,6,0)</f>
        <v>.</v>
      </c>
      <c r="P1407" s="1185" t="str">
        <f t="shared" si="289"/>
        <v>No price</v>
      </c>
      <c r="Q1407" s="1185" t="str">
        <f t="shared" si="290"/>
        <v>.</v>
      </c>
      <c r="R1407" s="1185" t="str">
        <f t="shared" si="286"/>
        <v/>
      </c>
      <c r="S1407" s="1185" t="str">
        <f>IF(AND(AD1407=1,R1407&lt;&gt;".")=TRUE,R1407/VLOOKUP(G1407,'Exchange Rates'!B:C,2,0),IF(R1407=".",".",""))</f>
        <v/>
      </c>
      <c r="T1407" s="1185" t="str">
        <f>IF(AD1407=1,IF(AF1407="Value is not given at all",".",IF(AF1407="Value is given by the source",S1407,IF(AF1407="Value is calculated with prices",(IF(SUMIFS(Q:Q,A:A,A1407)&gt;0,SUMIFS(Q:Q,A:A,A1407),"."))/VLOOKUP("USD",'Exchange Rates'!B:C,2,0),"Error with coding"))),"")</f>
        <v/>
      </c>
      <c r="U1407" s="1187" t="s">
        <v>365</v>
      </c>
      <c r="V1407" s="1040" t="s">
        <v>3865</v>
      </c>
      <c r="W1407" s="1041" t="s">
        <v>3866</v>
      </c>
      <c r="X1407" s="1190" t="s">
        <v>364</v>
      </c>
      <c r="Y1407" s="1190" t="s">
        <v>364</v>
      </c>
      <c r="Z1407" s="1187">
        <v>0</v>
      </c>
      <c r="AA1407" s="1194">
        <v>0</v>
      </c>
      <c r="AB1407" s="1201" t="s">
        <v>364</v>
      </c>
      <c r="AC1407" s="1192" t="str">
        <f>""</f>
        <v/>
      </c>
      <c r="AD1407" s="985">
        <v>0</v>
      </c>
      <c r="AE1407" s="985" t="s">
        <v>368</v>
      </c>
      <c r="AF1407" s="985" t="s">
        <v>369</v>
      </c>
      <c r="AG1407" s="985">
        <v>1</v>
      </c>
      <c r="AH1407" s="985">
        <v>8</v>
      </c>
      <c r="AI1407" s="985">
        <v>0</v>
      </c>
      <c r="AJ1407" s="1193">
        <f>VLOOKUP($I1407,'Price List, Weapons &amp; Items'!B:F,5,0)</f>
        <v>0</v>
      </c>
      <c r="AK1407" s="1193">
        <f t="shared" si="291"/>
        <v>0</v>
      </c>
      <c r="AL1407" s="1193">
        <f t="shared" si="292"/>
        <v>0</v>
      </c>
      <c r="AM1407" s="1193">
        <f t="shared" si="293"/>
        <v>0</v>
      </c>
      <c r="AN1407" s="1194" t="str">
        <f>VLOOKUP($I1407,'Price List, Weapons &amp; Items'!B:L,COLUMN('Price List, Weapons &amp; Items'!$J$11)-1,0)</f>
        <v>.</v>
      </c>
      <c r="AO1407" s="1194" t="str">
        <f>IF(I1407=".",".",VLOOKUP($I1407,'Price List, Weapons &amp; Items'!B:J,3,0))</f>
        <v>Drone</v>
      </c>
      <c r="AP1407" s="1195" t="str">
        <f t="shared" ca="1" si="287"/>
        <v/>
      </c>
      <c r="AQ1407" s="1194">
        <f>VLOOKUP($I1407,'Price List, Weapons &amp; Items'!B:L,COLUMN('Price List, Weapons &amp; Items'!$L$11)-1,0)</f>
        <v>0</v>
      </c>
      <c r="AR1407" s="1194">
        <f t="shared" si="294"/>
        <v>1</v>
      </c>
      <c r="AS1407" s="1194">
        <f t="shared" si="295"/>
        <v>1</v>
      </c>
      <c r="AT1407" s="1194">
        <f t="shared" si="296"/>
        <v>1</v>
      </c>
      <c r="AU1407" s="1194" t="str">
        <f t="shared" si="298"/>
        <v>.</v>
      </c>
      <c r="AV1407" s="1194" t="str">
        <f t="shared" si="288"/>
        <v>.</v>
      </c>
      <c r="AW1407" s="1194" t="str">
        <f t="shared" si="297"/>
        <v>.</v>
      </c>
      <c r="AX1407" s="1194">
        <f>IFERROR(VLOOKUP(B1407,'Share, Heavy Weapons to Ukraine'!B:Z,COLUMN('Share, Heavy Weapons to Ukraine'!C1419)-1,0),0)</f>
        <v>1</v>
      </c>
      <c r="AY1407" s="1194">
        <f>VLOOKUP('Bilateral Assistance, MAIN DATA'!B1407,'Country Summary (€)'!B:F,COLUMN('Country Summary (€)'!C1420)-1,FALSE)</f>
        <v>0</v>
      </c>
      <c r="AZ1407" s="1194" t="str">
        <f>IF(AND(AD1407=1,D1407="Military",H1407&lt;&gt;"Not given")=TRUE,IF(SUMIFS(P:P,A:A,A1407)&gt;0,ABS((SUMIFS(P:P,A:A,A1407)/VLOOKUP("USD",'Exchange Rates'!B:C,2,0)))/S1407,"."),".")</f>
        <v>.</v>
      </c>
      <c r="BA1407" s="1196" t="str">
        <f>IF(AND(AD1407=1,D1407="Military",H1407&lt;&gt;"Not given")=TRUE,IF(SUMIFS(P:P,A:A,A1407)&gt;0,IF((ABS((SUMIFS(P:P,A:A,A1407)/VLOOKUP("USD",'Exchange Rates'!B:C,2,0)))/S1407)&gt;1,(SUMIFS(P:P,A:A,A1407)-S1407)/S1407,(S1407-SUMIFS(P:P,A:A,A1407))/SUMIFS(P:P,A:A,A1407)),"."),".")</f>
        <v>.</v>
      </c>
    </row>
    <row r="1408" spans="1:53" ht="15.95" customHeight="1">
      <c r="A1408" s="1182" t="s">
        <v>3852</v>
      </c>
      <c r="B1408" s="1182" t="s">
        <v>3748</v>
      </c>
      <c r="C1408" s="1181">
        <v>44797</v>
      </c>
      <c r="D1408" s="1182" t="s">
        <v>389</v>
      </c>
      <c r="E1408" s="1182" t="s">
        <v>390</v>
      </c>
      <c r="F1408" s="1183" t="s">
        <v>3864</v>
      </c>
      <c r="G1408" s="1184" t="s">
        <v>3750</v>
      </c>
      <c r="H1408" s="1185">
        <v>1000000000</v>
      </c>
      <c r="I1408" s="1180" t="s">
        <v>3867</v>
      </c>
      <c r="J1408" s="1186" t="str">
        <f>VLOOKUP($I1408,'Price List, Weapons &amp; Items'!B:C,2,0)</f>
        <v>Aviation and drones</v>
      </c>
      <c r="K1408" s="1186" t="str">
        <f>IF(I1408=".",I1408,VLOOKUP($I1408,'Price List, Weapons &amp; Items'!B:D,3,0))</f>
        <v>drone</v>
      </c>
      <c r="L1408" s="1187">
        <f>VLOOKUP(I1408,'Price List, Weapons &amp; Items'!B:E,4,0)</f>
        <v>0</v>
      </c>
      <c r="M1408" s="1188">
        <v>1150</v>
      </c>
      <c r="N1408" s="1188" t="s">
        <v>374</v>
      </c>
      <c r="O1408" s="1188">
        <f>VLOOKUP($I1408,'Price List, Weapons &amp; Items'!B:G,6,0)</f>
        <v>6000</v>
      </c>
      <c r="P1408" s="1185">
        <f t="shared" si="289"/>
        <v>6900000</v>
      </c>
      <c r="Q1408" s="1185" t="str">
        <f t="shared" si="290"/>
        <v>.</v>
      </c>
      <c r="R1408" s="1185" t="str">
        <f t="shared" si="286"/>
        <v/>
      </c>
      <c r="S1408" s="1185" t="str">
        <f>IF(AND(AD1408=1,R1408&lt;&gt;".")=TRUE,R1408/VLOOKUP(G1408,'Exchange Rates'!B:C,2,0),IF(R1408=".",".",""))</f>
        <v/>
      </c>
      <c r="T1408" s="1185" t="str">
        <f>IF(AD1408=1,IF(AF1408="Value is not given at all",".",IF(AF1408="Value is given by the source",S1408,IF(AF1408="Value is calculated with prices",(IF(SUMIFS(Q:Q,A:A,A1408)&gt;0,SUMIFS(Q:Q,A:A,A1408),"."))/VLOOKUP("USD",'Exchange Rates'!B:C,2,0),"Error with coding"))),"")</f>
        <v/>
      </c>
      <c r="U1408" s="1187" t="s">
        <v>365</v>
      </c>
      <c r="V1408" s="1040" t="s">
        <v>3865</v>
      </c>
      <c r="W1408" s="1041" t="s">
        <v>3866</v>
      </c>
      <c r="X1408" s="1190" t="s">
        <v>364</v>
      </c>
      <c r="Y1408" s="1190" t="s">
        <v>364</v>
      </c>
      <c r="Z1408" s="1187">
        <v>0</v>
      </c>
      <c r="AA1408" s="1194">
        <v>0</v>
      </c>
      <c r="AB1408" s="1201" t="s">
        <v>364</v>
      </c>
      <c r="AC1408" s="1192" t="str">
        <f>""</f>
        <v/>
      </c>
      <c r="AD1408" s="985">
        <v>0</v>
      </c>
      <c r="AE1408" s="985" t="s">
        <v>368</v>
      </c>
      <c r="AF1408" s="985" t="s">
        <v>369</v>
      </c>
      <c r="AG1408" s="985">
        <v>1</v>
      </c>
      <c r="AH1408" s="985">
        <v>8</v>
      </c>
      <c r="AI1408" s="985">
        <v>0</v>
      </c>
      <c r="AJ1408" s="1193">
        <f>VLOOKUP($I1408,'Price List, Weapons &amp; Items'!B:F,5,0)</f>
        <v>0</v>
      </c>
      <c r="AK1408" s="1193">
        <f t="shared" si="291"/>
        <v>0</v>
      </c>
      <c r="AL1408" s="1193">
        <f t="shared" si="292"/>
        <v>0</v>
      </c>
      <c r="AM1408" s="1193">
        <f t="shared" si="293"/>
        <v>0</v>
      </c>
      <c r="AN1408" s="1194" t="str">
        <f>VLOOKUP($I1408,'Price List, Weapons &amp; Items'!B:L,COLUMN('Price List, Weapons &amp; Items'!$J$11)-1,0)</f>
        <v>Miscellaneous</v>
      </c>
      <c r="AO1408" s="1194" t="str">
        <f>IF(I1408=".",".",VLOOKUP($I1408,'Price List, Weapons &amp; Items'!B:J,3,0))</f>
        <v>drone</v>
      </c>
      <c r="AP1408" s="1195" t="str">
        <f t="shared" ca="1" si="287"/>
        <v/>
      </c>
      <c r="AQ1408" s="1194">
        <f>VLOOKUP($I1408,'Price List, Weapons &amp; Items'!B:L,COLUMN('Price List, Weapons &amp; Items'!$L$11)-1,0)</f>
        <v>2</v>
      </c>
      <c r="AR1408" s="1194">
        <f t="shared" si="294"/>
        <v>1</v>
      </c>
      <c r="AS1408" s="1194">
        <f t="shared" si="295"/>
        <v>1</v>
      </c>
      <c r="AT1408" s="1194">
        <f t="shared" si="296"/>
        <v>1</v>
      </c>
      <c r="AU1408" s="1194" t="str">
        <f t="shared" si="298"/>
        <v>.</v>
      </c>
      <c r="AV1408" s="1194" t="str">
        <f t="shared" si="288"/>
        <v>.</v>
      </c>
      <c r="AW1408" s="1194" t="str">
        <f t="shared" si="297"/>
        <v>.</v>
      </c>
      <c r="AX1408" s="1194">
        <f>IFERROR(VLOOKUP(B1408,'Share, Heavy Weapons to Ukraine'!B:Z,COLUMN('Share, Heavy Weapons to Ukraine'!C1420)-1,0),0)</f>
        <v>1</v>
      </c>
      <c r="AY1408" s="1194">
        <f>VLOOKUP('Bilateral Assistance, MAIN DATA'!B1408,'Country Summary (€)'!B:F,COLUMN('Country Summary (€)'!C1421)-1,FALSE)</f>
        <v>0</v>
      </c>
      <c r="AZ1408" s="1194" t="str">
        <f>IF(AND(AD1408=1,D1408="Military",H1408&lt;&gt;"Not given")=TRUE,IF(SUMIFS(P:P,A:A,A1408)&gt;0,ABS((SUMIFS(P:P,A:A,A1408)/VLOOKUP("USD",'Exchange Rates'!B:C,2,0)))/S1408,"."),".")</f>
        <v>.</v>
      </c>
      <c r="BA1408" s="1196" t="str">
        <f>IF(AND(AD1408=1,D1408="Military",H1408&lt;&gt;"Not given")=TRUE,IF(SUMIFS(P:P,A:A,A1408)&gt;0,IF((ABS((SUMIFS(P:P,A:A,A1408)/VLOOKUP("USD",'Exchange Rates'!B:C,2,0)))/S1408)&gt;1,(SUMIFS(P:P,A:A,A1408)-S1408)/S1408,(S1408-SUMIFS(P:P,A:A,A1408))/SUMIFS(P:P,A:A,A1408)),"."),".")</f>
        <v>.</v>
      </c>
    </row>
    <row r="1409" spans="1:53" ht="15.95" customHeight="1">
      <c r="A1409" s="1182" t="s">
        <v>3852</v>
      </c>
      <c r="B1409" s="1182" t="s">
        <v>3748</v>
      </c>
      <c r="C1409" s="1181">
        <v>44800</v>
      </c>
      <c r="D1409" s="1182" t="s">
        <v>389</v>
      </c>
      <c r="E1409" s="1182" t="s">
        <v>390</v>
      </c>
      <c r="F1409" s="1183" t="s">
        <v>3868</v>
      </c>
      <c r="G1409" s="1184" t="s">
        <v>3750</v>
      </c>
      <c r="H1409" s="1185">
        <v>1000000000</v>
      </c>
      <c r="I1409" s="1180" t="s">
        <v>3869</v>
      </c>
      <c r="J1409" s="1186" t="str">
        <f>VLOOKUP($I1409,'Price List, Weapons &amp; Items'!B:C,2,0)</f>
        <v>Aviation and drones</v>
      </c>
      <c r="K1409" s="1186" t="str">
        <f>IF(I1409=".",I1409,VLOOKUP($I1409,'Price List, Weapons &amp; Items'!B:D,3,0))</f>
        <v>Drone</v>
      </c>
      <c r="L1409" s="1187">
        <f>VLOOKUP(I1409,'Price List, Weapons &amp; Items'!B:E,4,0)</f>
        <v>0</v>
      </c>
      <c r="M1409" s="1188">
        <v>6</v>
      </c>
      <c r="N1409" s="1188" t="s">
        <v>374</v>
      </c>
      <c r="O1409" s="1188" t="str">
        <f>VLOOKUP($I1409,'Price List, Weapons &amp; Items'!B:G,6,0)</f>
        <v>.</v>
      </c>
      <c r="P1409" s="1185" t="str">
        <f t="shared" si="289"/>
        <v>No price</v>
      </c>
      <c r="Q1409" s="1185" t="str">
        <f t="shared" si="290"/>
        <v>.</v>
      </c>
      <c r="R1409" s="1185" t="str">
        <f t="shared" si="286"/>
        <v/>
      </c>
      <c r="S1409" s="1185" t="str">
        <f>IF(AND(AD1409=1,R1409&lt;&gt;".")=TRUE,R1409/VLOOKUP(G1409,'Exchange Rates'!B:C,2,0),IF(R1409=".",".",""))</f>
        <v/>
      </c>
      <c r="T1409" s="1185" t="str">
        <f>IF(AD1409=1,IF(AF1409="Value is not given at all",".",IF(AF1409="Value is given by the source",S1409,IF(AF1409="Value is calculated with prices",(IF(SUMIFS(Q:Q,A:A,A1409)&gt;0,SUMIFS(Q:Q,A:A,A1409),"."))/VLOOKUP("USD",'Exchange Rates'!B:C,2,0),"Error with coding"))),"")</f>
        <v/>
      </c>
      <c r="U1409" s="1187" t="s">
        <v>365</v>
      </c>
      <c r="V1409" s="1040" t="s">
        <v>3865</v>
      </c>
      <c r="W1409" s="1041" t="s">
        <v>3866</v>
      </c>
      <c r="X1409" s="1190" t="s">
        <v>364</v>
      </c>
      <c r="Y1409" s="1190" t="s">
        <v>364</v>
      </c>
      <c r="Z1409" s="1187">
        <v>0</v>
      </c>
      <c r="AA1409" s="1194">
        <v>0</v>
      </c>
      <c r="AB1409" s="1201" t="s">
        <v>364</v>
      </c>
      <c r="AC1409" s="1192" t="str">
        <f>""</f>
        <v/>
      </c>
      <c r="AD1409" s="985">
        <v>0</v>
      </c>
      <c r="AE1409" s="985" t="s">
        <v>368</v>
      </c>
      <c r="AF1409" s="985" t="s">
        <v>369</v>
      </c>
      <c r="AG1409" s="985">
        <v>1</v>
      </c>
      <c r="AH1409" s="985">
        <v>8</v>
      </c>
      <c r="AI1409" s="985">
        <v>0</v>
      </c>
      <c r="AJ1409" s="1193">
        <f>VLOOKUP($I1409,'Price List, Weapons &amp; Items'!B:F,5,0)</f>
        <v>0</v>
      </c>
      <c r="AK1409" s="1193">
        <f t="shared" si="291"/>
        <v>0</v>
      </c>
      <c r="AL1409" s="1193">
        <f t="shared" si="292"/>
        <v>0</v>
      </c>
      <c r="AM1409" s="1193">
        <f t="shared" si="293"/>
        <v>0</v>
      </c>
      <c r="AN1409" s="1194" t="str">
        <f>VLOOKUP($I1409,'Price List, Weapons &amp; Items'!B:L,COLUMN('Price List, Weapons &amp; Items'!$J$11)-1,0)</f>
        <v>.</v>
      </c>
      <c r="AO1409" s="1194" t="str">
        <f>IF(I1409=".",".",VLOOKUP($I1409,'Price List, Weapons &amp; Items'!B:J,3,0))</f>
        <v>Drone</v>
      </c>
      <c r="AP1409" s="1195" t="str">
        <f t="shared" ca="1" si="287"/>
        <v/>
      </c>
      <c r="AQ1409" s="1194">
        <f>VLOOKUP($I1409,'Price List, Weapons &amp; Items'!B:L,COLUMN('Price List, Weapons &amp; Items'!$L$11)-1,0)</f>
        <v>0</v>
      </c>
      <c r="AR1409" s="1194">
        <f t="shared" si="294"/>
        <v>1</v>
      </c>
      <c r="AS1409" s="1194">
        <f t="shared" si="295"/>
        <v>1</v>
      </c>
      <c r="AT1409" s="1194">
        <f t="shared" si="296"/>
        <v>1</v>
      </c>
      <c r="AU1409" s="1194" t="str">
        <f t="shared" si="298"/>
        <v>.</v>
      </c>
      <c r="AV1409" s="1194" t="str">
        <f t="shared" si="288"/>
        <v>.</v>
      </c>
      <c r="AW1409" s="1194" t="str">
        <f t="shared" si="297"/>
        <v>.</v>
      </c>
      <c r="AX1409" s="1194">
        <f>IFERROR(VLOOKUP(B1409,'Share, Heavy Weapons to Ukraine'!B:Z,COLUMN('Share, Heavy Weapons to Ukraine'!C1421)-1,0),0)</f>
        <v>1</v>
      </c>
      <c r="AY1409" s="1194">
        <f>VLOOKUP('Bilateral Assistance, MAIN DATA'!B1409,'Country Summary (€)'!B:F,COLUMN('Country Summary (€)'!C1422)-1,FALSE)</f>
        <v>0</v>
      </c>
      <c r="AZ1409" s="1194" t="str">
        <f>IF(AND(AD1409=1,D1409="Military",H1409&lt;&gt;"Not given")=TRUE,IF(SUMIFS(P:P,A:A,A1409)&gt;0,ABS((SUMIFS(P:P,A:A,A1409)/VLOOKUP("USD",'Exchange Rates'!B:C,2,0)))/S1409,"."),".")</f>
        <v>.</v>
      </c>
      <c r="BA1409" s="1196" t="str">
        <f>IF(AND(AD1409=1,D1409="Military",H1409&lt;&gt;"Not given")=TRUE,IF(SUMIFS(P:P,A:A,A1409)&gt;0,IF((ABS((SUMIFS(P:P,A:A,A1409)/VLOOKUP("USD",'Exchange Rates'!B:C,2,0)))/S1409)&gt;1,(SUMIFS(P:P,A:A,A1409)-S1409)/S1409,(S1409-SUMIFS(P:P,A:A,A1409))/SUMIFS(P:P,A:A,A1409)),"."),".")</f>
        <v>.</v>
      </c>
    </row>
    <row r="1410" spans="1:53" ht="15.95" customHeight="1">
      <c r="A1410" s="1182" t="s">
        <v>3870</v>
      </c>
      <c r="B1410" s="1182" t="s">
        <v>3748</v>
      </c>
      <c r="C1410" s="1181">
        <v>44847</v>
      </c>
      <c r="D1410" s="1182" t="s">
        <v>389</v>
      </c>
      <c r="E1410" s="1182" t="s">
        <v>443</v>
      </c>
      <c r="F1410" s="1183" t="s">
        <v>3871</v>
      </c>
      <c r="G1410" s="1184" t="s">
        <v>3750</v>
      </c>
      <c r="H1410" s="1185" t="s">
        <v>457</v>
      </c>
      <c r="I1410" s="1196" t="s">
        <v>887</v>
      </c>
      <c r="J1410" s="1186" t="str">
        <f>VLOOKUP($I1410,'Price List, Weapons &amp; Items'!B:C,2,0)</f>
        <v>Ammunition for heavy weapon</v>
      </c>
      <c r="K1410" s="1186" t="str">
        <f>IF(I1410=".",I1410,VLOOKUP($I1410,'Price List, Weapons &amp; Items'!B:D,3,0))</f>
        <v>Surface-to-air missile (SAM)</v>
      </c>
      <c r="L1410" s="1187">
        <f>VLOOKUP(I1410,'Price List, Weapons &amp; Items'!B:E,4,0)</f>
        <v>0</v>
      </c>
      <c r="M1410" s="1188" t="s">
        <v>374</v>
      </c>
      <c r="N1410" s="1188" t="s">
        <v>374</v>
      </c>
      <c r="O1410" s="1188">
        <f>VLOOKUP($I1410,'Price List, Weapons &amp; Items'!B:G,6,0)</f>
        <v>1392389.093089018</v>
      </c>
      <c r="P1410" s="1185" t="str">
        <f t="shared" si="289"/>
        <v>.</v>
      </c>
      <c r="Q1410" s="1185" t="str">
        <f t="shared" si="290"/>
        <v>.</v>
      </c>
      <c r="R1410" s="1185">
        <f t="shared" ref="R1410:R1473" si="299">IF(AD1410=1,IF(H1410&lt;&gt;"Not given",H1410,IF(TYPE(H1410)=2,IF(SUMIFS(P:P,A:A,A1410)&gt;0,SUMIFS(P:P,A:A,A1410),"."),"Format error")),"")</f>
        <v>252922851.9360919</v>
      </c>
      <c r="S1410" s="1185">
        <f>IF(AND(AD1410=1,R1410&lt;&gt;".")=TRUE,R1410/VLOOKUP(G1410,'Exchange Rates'!B:C,2,0),IF(R1410=".",".",""))</f>
        <v>290582320.69863498</v>
      </c>
      <c r="T1410" s="1185" t="str">
        <f>IF(AD1410=1,IF(AF1410="Value is not given at all",".",IF(AF1410="Value is given by the source",S1410,IF(AF1410="Value is calculated with prices",(IF(SUMIFS(Q:Q,A:A,A1410)&gt;0,SUMIFS(Q:Q,A:A,A1410),"."))/VLOOKUP("USD",'Exchange Rates'!B:C,2,0),"Error with coding"))),"")</f>
        <v>.</v>
      </c>
      <c r="U1410" s="1187" t="s">
        <v>365</v>
      </c>
      <c r="V1410" s="1040" t="s">
        <v>3872</v>
      </c>
      <c r="W1410" s="1041" t="s">
        <v>3873</v>
      </c>
      <c r="X1410" s="1041" t="s">
        <v>3874</v>
      </c>
      <c r="Y1410" s="1265" t="s">
        <v>364</v>
      </c>
      <c r="Z1410" s="1187">
        <v>0</v>
      </c>
      <c r="AA1410" s="1194">
        <v>0</v>
      </c>
      <c r="AB1410" s="1201" t="s">
        <v>364</v>
      </c>
      <c r="AC1410" s="1192" t="str">
        <f>""</f>
        <v/>
      </c>
      <c r="AD1410" s="985">
        <v>1</v>
      </c>
      <c r="AE1410" s="985" t="s">
        <v>436</v>
      </c>
      <c r="AF1410" s="985" t="s">
        <v>369</v>
      </c>
      <c r="AG1410" s="985">
        <v>1</v>
      </c>
      <c r="AH1410" s="985">
        <v>10</v>
      </c>
      <c r="AI1410" s="1193">
        <v>0</v>
      </c>
      <c r="AJ1410" s="1193">
        <f>VLOOKUP($I1410,'Price List, Weapons &amp; Items'!B:F,5,0)</f>
        <v>0</v>
      </c>
      <c r="AK1410" s="1193">
        <f t="shared" si="291"/>
        <v>0</v>
      </c>
      <c r="AL1410" s="1193">
        <f t="shared" si="292"/>
        <v>0</v>
      </c>
      <c r="AM1410" s="1193">
        <f t="shared" si="293"/>
        <v>0</v>
      </c>
      <c r="AN1410" s="1194" t="str">
        <f>VLOOKUP($I1410,'Price List, Weapons &amp; Items'!B:L,COLUMN('Price List, Weapons &amp; Items'!$J$11)-1,0)</f>
        <v>Contracts</v>
      </c>
      <c r="AO1410" s="1194" t="str">
        <f>IF(I1410=".",".",VLOOKUP($I1410,'Price List, Weapons &amp; Items'!B:J,3,0))</f>
        <v>Surface-to-air missile (SAM)</v>
      </c>
      <c r="AP1410" s="1195" t="str">
        <f t="shared" ref="AP1410:AP1473" ca="1" si="300">IF(AD1410=1,(OFFSET(I1410,0,0,COUNTIF(A:A,A1410),1)),"")</f>
        <v>AMRAAM rockets (for NASAMS)</v>
      </c>
      <c r="AQ1410" s="1194">
        <f>VLOOKUP($I1410,'Price List, Weapons &amp; Items'!B:L,COLUMN('Price List, Weapons &amp; Items'!$L$11)-1,0)</f>
        <v>2</v>
      </c>
      <c r="AR1410" s="1194">
        <f t="shared" si="294"/>
        <v>1</v>
      </c>
      <c r="AS1410" s="1194">
        <f t="shared" si="295"/>
        <v>1</v>
      </c>
      <c r="AT1410" s="1194">
        <f t="shared" si="296"/>
        <v>1</v>
      </c>
      <c r="AU1410" s="1194" t="str">
        <f t="shared" si="298"/>
        <v>.</v>
      </c>
      <c r="AV1410" s="1194" t="str">
        <f t="shared" ref="AV1410:AV1473" si="301">IF(AND(_xlfn.ISFORMULA(R1410),_xlfn.ISFORMULA(S1410),_xlfn.ISFORMULA(T1410))=TRUE,".",1)</f>
        <v>.</v>
      </c>
      <c r="AW1410" s="1194" t="str">
        <f t="shared" si="297"/>
        <v>.</v>
      </c>
      <c r="AX1410" s="1194">
        <f>IFERROR(VLOOKUP(B1410,'Share, Heavy Weapons to Ukraine'!B:Z,COLUMN('Share, Heavy Weapons to Ukraine'!C1422)-1,0),0)</f>
        <v>1</v>
      </c>
      <c r="AY1410" s="1194">
        <f>VLOOKUP('Bilateral Assistance, MAIN DATA'!B1410,'Country Summary (€)'!B:F,COLUMN('Country Summary (€)'!C1423)-1,FALSE)</f>
        <v>0</v>
      </c>
      <c r="AZ1410" s="1194" t="str">
        <f>IF(AND(AD1410=1,D1410="Military",H1410&lt;&gt;"Not given")=TRUE,IF(SUMIFS(P:P,A:A,A1410)&gt;0,ABS((SUMIFS(P:P,A:A,A1410)/VLOOKUP("USD",'Exchange Rates'!B:C,2,0)))/S1410,"."),".")</f>
        <v>.</v>
      </c>
      <c r="BA1410" s="1196" t="str">
        <f>IF(AND(AD1410=1,D1410="Military",H1410&lt;&gt;"Not given")=TRUE,IF(SUMIFS(P:P,A:A,A1410)&gt;0,IF((ABS((SUMIFS(P:P,A:A,A1410)/VLOOKUP("USD",'Exchange Rates'!B:C,2,0)))/S1410)&gt;1,(SUMIFS(P:P,A:A,A1410)-S1410)/S1410,(S1410-SUMIFS(P:P,A:A,A1410))/SUMIFS(P:P,A:A,A1410)),"."),".")</f>
        <v>.</v>
      </c>
    </row>
    <row r="1411" spans="1:53" ht="15.95" customHeight="1">
      <c r="A1411" s="1182" t="s">
        <v>3870</v>
      </c>
      <c r="B1411" s="1182" t="s">
        <v>3748</v>
      </c>
      <c r="C1411" s="1181">
        <v>44847</v>
      </c>
      <c r="D1411" s="1182" t="s">
        <v>389</v>
      </c>
      <c r="E1411" s="1182" t="s">
        <v>443</v>
      </c>
      <c r="F1411" s="1183" t="s">
        <v>3871</v>
      </c>
      <c r="G1411" s="1184" t="s">
        <v>3750</v>
      </c>
      <c r="H1411" s="1185" t="s">
        <v>457</v>
      </c>
      <c r="I1411" s="1180" t="s">
        <v>650</v>
      </c>
      <c r="J1411" s="1186" t="str">
        <f>VLOOKUP($I1411,'Price List, Weapons &amp; Items'!B:C,2,0)</f>
        <v>Ammunition for heavy weapon</v>
      </c>
      <c r="K1411" s="1186" t="str">
        <f>IF(I1411=".",I1411,VLOOKUP($I1411,'Price List, Weapons &amp; Items'!B:D,3,0))</f>
        <v>Surface-to-air missile (SAM)</v>
      </c>
      <c r="L1411" s="1187">
        <f>VLOOKUP(I1411,'Price List, Weapons &amp; Items'!B:E,4,0)</f>
        <v>0</v>
      </c>
      <c r="M1411" s="1188">
        <v>200</v>
      </c>
      <c r="N1411" s="1188" t="s">
        <v>374</v>
      </c>
      <c r="O1411" s="1188" t="str">
        <f>VLOOKUP($I1411,'Price List, Weapons &amp; Items'!B:G,6,0)</f>
        <v>.</v>
      </c>
      <c r="P1411" s="1185" t="str">
        <f t="shared" ref="P1411:P1474" si="302">IF(TYPE(M1411)=1,IF(TYPE(O1411)=1,M1411*O1411,"No price"),".")</f>
        <v>No price</v>
      </c>
      <c r="Q1411" s="1185" t="str">
        <f t="shared" ref="Q1411:Q1474" si="303">IF(TYPE(N1411)=1,IF(TYPE(O1411)=1,N1411*O1411,"No price"),".")</f>
        <v>.</v>
      </c>
      <c r="R1411" s="1185" t="str">
        <f t="shared" si="299"/>
        <v/>
      </c>
      <c r="S1411" s="1185" t="str">
        <f>IF(AND(AD1411=1,R1411&lt;&gt;".")=TRUE,R1411/VLOOKUP(G1411,'Exchange Rates'!B:C,2,0),IF(R1411=".",".",""))</f>
        <v/>
      </c>
      <c r="T1411" s="1185" t="str">
        <f>IF(AD1411=1,IF(AF1411="Value is not given at all",".",IF(AF1411="Value is given by the source",S1411,IF(AF1411="Value is calculated with prices",(IF(SUMIFS(Q:Q,A:A,A1411)&gt;0,SUMIFS(Q:Q,A:A,A1411),"."))/VLOOKUP("USD",'Exchange Rates'!B:C,2,0),"Error with coding"))),"")</f>
        <v/>
      </c>
      <c r="U1411" s="1187" t="s">
        <v>365</v>
      </c>
      <c r="V1411" s="1040" t="s">
        <v>3872</v>
      </c>
      <c r="W1411" s="1041" t="s">
        <v>3873</v>
      </c>
      <c r="X1411" s="1041" t="s">
        <v>3874</v>
      </c>
      <c r="Y1411" s="1265" t="s">
        <v>364</v>
      </c>
      <c r="Z1411" s="1187">
        <v>0</v>
      </c>
      <c r="AA1411" s="1194">
        <v>0</v>
      </c>
      <c r="AB1411" s="1201" t="s">
        <v>364</v>
      </c>
      <c r="AC1411" s="1192" t="str">
        <f>""</f>
        <v/>
      </c>
      <c r="AD1411" s="985">
        <v>0</v>
      </c>
      <c r="AE1411" s="985" t="s">
        <v>436</v>
      </c>
      <c r="AF1411" s="985" t="s">
        <v>369</v>
      </c>
      <c r="AG1411" s="985">
        <v>1</v>
      </c>
      <c r="AH1411" s="985">
        <v>10</v>
      </c>
      <c r="AI1411" s="1193">
        <v>0</v>
      </c>
      <c r="AJ1411" s="1193">
        <f>VLOOKUP($I1411,'Price List, Weapons &amp; Items'!B:F,5,0)</f>
        <v>0</v>
      </c>
      <c r="AK1411" s="1193">
        <f t="shared" ref="AK1411:AK1474" si="304">IF(AND(AJ1411=1,M1411="undisclosed")=TRUE,1,0)</f>
        <v>0</v>
      </c>
      <c r="AL1411" s="1193">
        <f t="shared" ref="AL1411:AL1474" si="305">IF(AND(AJ1411=1,N1411="undisclosed")=TRUE,1,0)</f>
        <v>0</v>
      </c>
      <c r="AM1411" s="1193">
        <f t="shared" ref="AM1411:AM1474" si="306">IFERROR(IF(SEARCH("ammuni",I1411,1)&gt;0,1,0),0)</f>
        <v>0</v>
      </c>
      <c r="AN1411" s="1194" t="str">
        <f>VLOOKUP($I1411,'Price List, Weapons &amp; Items'!B:L,COLUMN('Price List, Weapons &amp; Items'!$J$11)-1,0)</f>
        <v>.</v>
      </c>
      <c r="AO1411" s="1194" t="str">
        <f>IF(I1411=".",".",VLOOKUP($I1411,'Price List, Weapons &amp; Items'!B:J,3,0))</f>
        <v>Surface-to-air missile (SAM)</v>
      </c>
      <c r="AP1411" s="1195" t="str">
        <f t="shared" ca="1" si="300"/>
        <v/>
      </c>
      <c r="AQ1411" s="1194">
        <f>VLOOKUP($I1411,'Price List, Weapons &amp; Items'!B:L,COLUMN('Price List, Weapons &amp; Items'!$L$11)-1,0)</f>
        <v>0</v>
      </c>
      <c r="AR1411" s="1194">
        <f t="shared" ref="AR1411:AR1474" si="307">IF(U1411="Yes",1,0)</f>
        <v>1</v>
      </c>
      <c r="AS1411" s="1194">
        <f t="shared" ref="AS1411:AS1474" si="308">IF(D1411="Military",IF(OR(IFERROR(SEARCH("equipment",E1411,1),0)&gt;0,IFERROR(SEARCH("weapons",E1411,1),0)&gt;0),1,0),0)</f>
        <v>1</v>
      </c>
      <c r="AT1411" s="1194">
        <f t="shared" ref="AT1411:AT1474" si="309">IFERROR(IF(VALUE(TEXT(C1411,"mm"))=IF(AH1411&gt;12,AH1411-12,AH1411),".",IF(TEXT(C1411,"mm")="01",".",1)),"Value is not in date format")</f>
        <v>1</v>
      </c>
      <c r="AU1411" s="1194" t="str">
        <f t="shared" si="298"/>
        <v>.</v>
      </c>
      <c r="AV1411" s="1194" t="str">
        <f t="shared" si="301"/>
        <v>.</v>
      </c>
      <c r="AW1411" s="1194" t="str">
        <f t="shared" ref="AW1411:AW1474" si="310">IF(T1411&lt;&gt;".",IF(T1411&gt;S1411,1,"."),".")</f>
        <v>.</v>
      </c>
      <c r="AX1411" s="1194">
        <f>IFERROR(VLOOKUP(B1411,'Share, Heavy Weapons to Ukraine'!B:Z,COLUMN('Share, Heavy Weapons to Ukraine'!C1423)-1,0),0)</f>
        <v>1</v>
      </c>
      <c r="AY1411" s="1194">
        <f>VLOOKUP('Bilateral Assistance, MAIN DATA'!B1411,'Country Summary (€)'!B:F,COLUMN('Country Summary (€)'!C1424)-1,FALSE)</f>
        <v>0</v>
      </c>
      <c r="AZ1411" s="1194" t="str">
        <f>IF(AND(AD1411=1,D1411="Military",H1411&lt;&gt;"Not given")=TRUE,IF(SUMIFS(P:P,A:A,A1411)&gt;0,ABS((SUMIFS(P:P,A:A,A1411)/VLOOKUP("USD",'Exchange Rates'!B:C,2,0)))/S1411,"."),".")</f>
        <v>.</v>
      </c>
      <c r="BA1411" s="1196" t="str">
        <f>IF(AND(AD1411=1,D1411="Military",H1411&lt;&gt;"Not given")=TRUE,IF(SUMIFS(P:P,A:A,A1411)&gt;0,IF((ABS((SUMIFS(P:P,A:A,A1411)/VLOOKUP("USD",'Exchange Rates'!B:C,2,0)))/S1411)&gt;1,(SUMIFS(P:P,A:A,A1411)-S1411)/S1411,(S1411-SUMIFS(P:P,A:A,A1411))/SUMIFS(P:P,A:A,A1411)),"."),".")</f>
        <v>.</v>
      </c>
    </row>
    <row r="1412" spans="1:53" ht="15.95" customHeight="1">
      <c r="A1412" s="1182" t="s">
        <v>3870</v>
      </c>
      <c r="B1412" s="1182" t="s">
        <v>3748</v>
      </c>
      <c r="C1412" s="1181">
        <v>44847</v>
      </c>
      <c r="D1412" s="1182" t="s">
        <v>389</v>
      </c>
      <c r="E1412" s="1182" t="s">
        <v>443</v>
      </c>
      <c r="F1412" s="1183" t="s">
        <v>3871</v>
      </c>
      <c r="G1412" s="1184" t="s">
        <v>3750</v>
      </c>
      <c r="H1412" s="1185" t="s">
        <v>457</v>
      </c>
      <c r="I1412" s="1266" t="s">
        <v>1838</v>
      </c>
      <c r="J1412" s="1186" t="str">
        <f>VLOOKUP($I1412,'Price List, Weapons &amp; Items'!B:C,2,0)</f>
        <v>Aviation and drones</v>
      </c>
      <c r="K1412" s="1186" t="str">
        <f>IF(I1412=".",I1412,VLOOKUP($I1412,'Price List, Weapons &amp; Items'!B:D,3,0))</f>
        <v>drone</v>
      </c>
      <c r="L1412" s="1187">
        <f>VLOOKUP(I1412,'Price List, Weapons &amp; Items'!B:E,4,0)</f>
        <v>0</v>
      </c>
      <c r="M1412" s="1188">
        <v>200</v>
      </c>
      <c r="N1412" s="1188" t="s">
        <v>374</v>
      </c>
      <c r="O1412" s="1188">
        <f>VLOOKUP($I1412,'Price List, Weapons &amp; Items'!B:G,6,0)</f>
        <v>1035567.45</v>
      </c>
      <c r="P1412" s="1185">
        <f t="shared" si="302"/>
        <v>207113490</v>
      </c>
      <c r="Q1412" s="1185" t="str">
        <f t="shared" si="303"/>
        <v>.</v>
      </c>
      <c r="R1412" s="1185" t="str">
        <f t="shared" si="299"/>
        <v/>
      </c>
      <c r="S1412" s="1185" t="str">
        <f>IF(AND(AD1412=1,R1412&lt;&gt;".")=TRUE,R1412/VLOOKUP(G1412,'Exchange Rates'!B:C,2,0),IF(R1412=".",".",""))</f>
        <v/>
      </c>
      <c r="T1412" s="1185" t="str">
        <f>IF(AD1412=1,IF(AF1412="Value is not given at all",".",IF(AF1412="Value is given by the source",S1412,IF(AF1412="Value is calculated with prices",(IF(SUMIFS(Q:Q,A:A,A1412)&gt;0,SUMIFS(Q:Q,A:A,A1412),"."))/VLOOKUP("USD",'Exchange Rates'!B:C,2,0),"Error with coding"))),"")</f>
        <v/>
      </c>
      <c r="U1412" s="1187" t="s">
        <v>365</v>
      </c>
      <c r="V1412" s="1040" t="s">
        <v>3872</v>
      </c>
      <c r="W1412" s="1041" t="s">
        <v>3873</v>
      </c>
      <c r="X1412" s="1041" t="s">
        <v>3874</v>
      </c>
      <c r="Y1412" s="1265" t="s">
        <v>364</v>
      </c>
      <c r="Z1412" s="1187">
        <v>0</v>
      </c>
      <c r="AA1412" s="1194">
        <v>0</v>
      </c>
      <c r="AB1412" s="1201" t="s">
        <v>364</v>
      </c>
      <c r="AC1412" s="1192" t="str">
        <f>""</f>
        <v/>
      </c>
      <c r="AD1412" s="985">
        <v>0</v>
      </c>
      <c r="AE1412" s="985" t="s">
        <v>436</v>
      </c>
      <c r="AF1412" s="985" t="s">
        <v>369</v>
      </c>
      <c r="AG1412" s="985">
        <v>1</v>
      </c>
      <c r="AH1412" s="985">
        <v>10</v>
      </c>
      <c r="AI1412" s="1193">
        <v>0</v>
      </c>
      <c r="AJ1412" s="1193">
        <f>VLOOKUP($I1412,'Price List, Weapons &amp; Items'!B:F,5,0)</f>
        <v>0</v>
      </c>
      <c r="AK1412" s="1193">
        <f t="shared" si="304"/>
        <v>0</v>
      </c>
      <c r="AL1412" s="1193">
        <f t="shared" si="305"/>
        <v>0</v>
      </c>
      <c r="AM1412" s="1193">
        <f t="shared" si="306"/>
        <v>0</v>
      </c>
      <c r="AN1412" s="1194" t="str">
        <f>VLOOKUP($I1412,'Price List, Weapons &amp; Items'!B:L,COLUMN('Price List, Weapons &amp; Items'!$J$11)-1,0)</f>
        <v>Miscellaneous</v>
      </c>
      <c r="AO1412" s="1194" t="str">
        <f>IF(I1412=".",".",VLOOKUP($I1412,'Price List, Weapons &amp; Items'!B:J,3,0))</f>
        <v>drone</v>
      </c>
      <c r="AP1412" s="1195" t="str">
        <f t="shared" ca="1" si="300"/>
        <v/>
      </c>
      <c r="AQ1412" s="1194">
        <f>VLOOKUP($I1412,'Price List, Weapons &amp; Items'!B:L,COLUMN('Price List, Weapons &amp; Items'!$L$11)-1,0)</f>
        <v>2</v>
      </c>
      <c r="AR1412" s="1194">
        <f t="shared" si="307"/>
        <v>1</v>
      </c>
      <c r="AS1412" s="1194">
        <f t="shared" si="308"/>
        <v>1</v>
      </c>
      <c r="AT1412" s="1194">
        <f t="shared" si="309"/>
        <v>1</v>
      </c>
      <c r="AU1412" s="1194" t="str">
        <f t="shared" si="298"/>
        <v>.</v>
      </c>
      <c r="AV1412" s="1194" t="str">
        <f t="shared" si="301"/>
        <v>.</v>
      </c>
      <c r="AW1412" s="1194" t="str">
        <f t="shared" si="310"/>
        <v>.</v>
      </c>
      <c r="AX1412" s="1194">
        <f>IFERROR(VLOOKUP(B1412,'Share, Heavy Weapons to Ukraine'!B:Z,COLUMN('Share, Heavy Weapons to Ukraine'!C1424)-1,0),0)</f>
        <v>1</v>
      </c>
      <c r="AY1412" s="1194">
        <f>VLOOKUP('Bilateral Assistance, MAIN DATA'!B1412,'Country Summary (€)'!B:F,COLUMN('Country Summary (€)'!C1425)-1,FALSE)</f>
        <v>0</v>
      </c>
      <c r="AZ1412" s="1194" t="str">
        <f>IF(AND(AD1412=1,D1412="Military",H1412&lt;&gt;"Not given")=TRUE,IF(SUMIFS(P:P,A:A,A1412)&gt;0,ABS((SUMIFS(P:P,A:A,A1412)/VLOOKUP("USD",'Exchange Rates'!B:C,2,0)))/S1412,"."),".")</f>
        <v>.</v>
      </c>
      <c r="BA1412" s="1196" t="str">
        <f>IF(AND(AD1412=1,D1412="Military",H1412&lt;&gt;"Not given")=TRUE,IF(SUMIFS(P:P,A:A,A1412)&gt;0,IF((ABS((SUMIFS(P:P,A:A,A1412)/VLOOKUP("USD",'Exchange Rates'!B:C,2,0)))/S1412)&gt;1,(SUMIFS(P:P,A:A,A1412)-S1412)/S1412,(S1412-SUMIFS(P:P,A:A,A1412))/SUMIFS(P:P,A:A,A1412)),"."),".")</f>
        <v>.</v>
      </c>
    </row>
    <row r="1413" spans="1:53" ht="15.95" customHeight="1">
      <c r="A1413" s="1182" t="s">
        <v>3870</v>
      </c>
      <c r="B1413" s="1182" t="s">
        <v>3748</v>
      </c>
      <c r="C1413" s="1181">
        <v>44847</v>
      </c>
      <c r="D1413" s="1182" t="s">
        <v>389</v>
      </c>
      <c r="E1413" s="1182" t="s">
        <v>443</v>
      </c>
      <c r="F1413" s="1183" t="s">
        <v>3871</v>
      </c>
      <c r="G1413" s="1184" t="s">
        <v>3750</v>
      </c>
      <c r="H1413" s="1185" t="s">
        <v>457</v>
      </c>
      <c r="I1413" s="1180" t="s">
        <v>3854</v>
      </c>
      <c r="J1413" s="1186" t="str">
        <f>VLOOKUP($I1413,'Price List, Weapons &amp; Items'!B:C,2,0)</f>
        <v>Heavy weapon</v>
      </c>
      <c r="K1413" s="1186" t="str">
        <f>IF(I1413=".",I1413,VLOOKUP($I1413,'Price List, Weapons &amp; Items'!B:D,3,0))</f>
        <v>105mm howitzer</v>
      </c>
      <c r="L1413" s="1187">
        <f>VLOOKUP(I1413,'Price List, Weapons &amp; Items'!B:E,4,0)</f>
        <v>0</v>
      </c>
      <c r="M1413" s="1188">
        <v>36</v>
      </c>
      <c r="N1413" s="1188">
        <v>36</v>
      </c>
      <c r="O1413" s="1188">
        <f>VLOOKUP($I1413,'Price List, Weapons &amp; Items'!B:G,6,0)</f>
        <v>1272482.2760025531</v>
      </c>
      <c r="P1413" s="1185">
        <f t="shared" si="302"/>
        <v>45809361.936091907</v>
      </c>
      <c r="Q1413" s="1185">
        <f t="shared" si="303"/>
        <v>45809361.936091907</v>
      </c>
      <c r="R1413" s="1185" t="str">
        <f t="shared" si="299"/>
        <v/>
      </c>
      <c r="S1413" s="1185" t="str">
        <f>IF(AND(AD1413=1,R1413&lt;&gt;".")=TRUE,R1413/VLOOKUP(G1413,'Exchange Rates'!B:C,2,0),IF(R1413=".",".",""))</f>
        <v/>
      </c>
      <c r="T1413" s="1185" t="str">
        <f>IF(AD1413=1,IF(AF1413="Value is not given at all",".",IF(AF1413="Value is given by the source",S1413,IF(AF1413="Value is calculated with prices",(IF(SUMIFS(Q:Q,A:A,A1413)&gt;0,SUMIFS(Q:Q,A:A,A1413),"."))/VLOOKUP("USD",'Exchange Rates'!B:C,2,0),"Error with coding"))),"")</f>
        <v/>
      </c>
      <c r="U1413" s="1187" t="s">
        <v>365</v>
      </c>
      <c r="V1413" s="1041" t="s">
        <v>3875</v>
      </c>
      <c r="W1413" s="1041" t="s">
        <v>3873</v>
      </c>
      <c r="X1413" s="1041" t="s">
        <v>3874</v>
      </c>
      <c r="Y1413" s="1265" t="s">
        <v>364</v>
      </c>
      <c r="Z1413" s="1187">
        <v>0</v>
      </c>
      <c r="AA1413" s="1194">
        <v>0</v>
      </c>
      <c r="AB1413" s="1026" t="s">
        <v>3876</v>
      </c>
      <c r="AC1413" s="1192" t="str">
        <f>""</f>
        <v/>
      </c>
      <c r="AD1413" s="985">
        <v>0</v>
      </c>
      <c r="AE1413" s="985" t="s">
        <v>436</v>
      </c>
      <c r="AF1413" s="985" t="s">
        <v>369</v>
      </c>
      <c r="AG1413" s="985">
        <v>1</v>
      </c>
      <c r="AH1413" s="985">
        <v>10</v>
      </c>
      <c r="AI1413" s="1193">
        <v>0</v>
      </c>
      <c r="AJ1413" s="1193">
        <f>VLOOKUP($I1413,'Price List, Weapons &amp; Items'!B:F,5,0)</f>
        <v>0</v>
      </c>
      <c r="AK1413" s="1193">
        <f t="shared" si="304"/>
        <v>0</v>
      </c>
      <c r="AL1413" s="1193">
        <f t="shared" si="305"/>
        <v>0</v>
      </c>
      <c r="AM1413" s="1193">
        <f t="shared" si="306"/>
        <v>0</v>
      </c>
      <c r="AN1413" s="1194" t="str">
        <f>VLOOKUP($I1413,'Price List, Weapons &amp; Items'!B:L,COLUMN('Price List, Weapons &amp; Items'!$J$11)-1,0)</f>
        <v>Contracts</v>
      </c>
      <c r="AO1413" s="1194" t="str">
        <f>IF(I1413=".",".",VLOOKUP($I1413,'Price List, Weapons &amp; Items'!B:J,3,0))</f>
        <v>105mm howitzer</v>
      </c>
      <c r="AP1413" s="1195" t="str">
        <f t="shared" ca="1" si="300"/>
        <v/>
      </c>
      <c r="AQ1413" s="1194">
        <f>VLOOKUP($I1413,'Price List, Weapons &amp; Items'!B:L,COLUMN('Price List, Weapons &amp; Items'!$L$11)-1,0)</f>
        <v>2</v>
      </c>
      <c r="AR1413" s="1194">
        <f t="shared" si="307"/>
        <v>1</v>
      </c>
      <c r="AS1413" s="1194">
        <f t="shared" si="308"/>
        <v>1</v>
      </c>
      <c r="AT1413" s="1194">
        <f t="shared" si="309"/>
        <v>1</v>
      </c>
      <c r="AU1413" s="1194" t="str">
        <f t="shared" si="298"/>
        <v>.</v>
      </c>
      <c r="AV1413" s="1194" t="str">
        <f t="shared" si="301"/>
        <v>.</v>
      </c>
      <c r="AW1413" s="1194" t="str">
        <f t="shared" si="310"/>
        <v>.</v>
      </c>
      <c r="AX1413" s="1194">
        <f>IFERROR(VLOOKUP(B1413,'Share, Heavy Weapons to Ukraine'!B:Z,COLUMN('Share, Heavy Weapons to Ukraine'!C1425)-1,0),0)</f>
        <v>1</v>
      </c>
      <c r="AY1413" s="1194">
        <f>VLOOKUP('Bilateral Assistance, MAIN DATA'!B1413,'Country Summary (€)'!B:F,COLUMN('Country Summary (€)'!C1426)-1,FALSE)</f>
        <v>0</v>
      </c>
      <c r="AZ1413" s="1194" t="str">
        <f>IF(AND(AD1413=1,D1413="Military",H1413&lt;&gt;"Not given")=TRUE,IF(SUMIFS(P:P,A:A,A1413)&gt;0,ABS((SUMIFS(P:P,A:A,A1413)/VLOOKUP("USD",'Exchange Rates'!B:C,2,0)))/S1413,"."),".")</f>
        <v>.</v>
      </c>
      <c r="BA1413" s="1196" t="str">
        <f>IF(AND(AD1413=1,D1413="Military",H1413&lt;&gt;"Not given")=TRUE,IF(SUMIFS(P:P,A:A,A1413)&gt;0,IF((ABS((SUMIFS(P:P,A:A,A1413)/VLOOKUP("USD",'Exchange Rates'!B:C,2,0)))/S1413)&gt;1,(SUMIFS(P:P,A:A,A1413)-S1413)/S1413,(S1413-SUMIFS(P:P,A:A,A1413))/SUMIFS(P:P,A:A,A1413)),"."),".")</f>
        <v>.</v>
      </c>
    </row>
    <row r="1414" spans="1:53" ht="15.95" customHeight="1">
      <c r="A1414" s="1182" t="s">
        <v>3877</v>
      </c>
      <c r="B1414" s="1182" t="s">
        <v>3748</v>
      </c>
      <c r="C1414" s="1181">
        <v>44847</v>
      </c>
      <c r="D1414" s="1182" t="s">
        <v>389</v>
      </c>
      <c r="E1414" s="1182" t="s">
        <v>398</v>
      </c>
      <c r="F1414" s="1183" t="s">
        <v>3878</v>
      </c>
      <c r="G1414" s="1184" t="s">
        <v>3750</v>
      </c>
      <c r="H1414" s="1185">
        <v>10000000</v>
      </c>
      <c r="I1414" s="1180" t="s">
        <v>364</v>
      </c>
      <c r="J1414" s="1186" t="str">
        <f>VLOOKUP($I1414,'Price List, Weapons &amp; Items'!B:C,2,0)</f>
        <v>.</v>
      </c>
      <c r="K1414" s="1186" t="str">
        <f>IF(I1414=".",I1414,VLOOKUP($I1414,'Price List, Weapons &amp; Items'!B:D,3,0))</f>
        <v>.</v>
      </c>
      <c r="L1414" s="1187">
        <f>VLOOKUP(I1414,'Price List, Weapons &amp; Items'!B:E,4,0)</f>
        <v>0</v>
      </c>
      <c r="M1414" s="1188" t="s">
        <v>364</v>
      </c>
      <c r="N1414" s="1188" t="s">
        <v>364</v>
      </c>
      <c r="O1414" s="1188" t="str">
        <f>VLOOKUP($I1414,'Price List, Weapons &amp; Items'!B:G,6,0)</f>
        <v>.</v>
      </c>
      <c r="P1414" s="1185" t="str">
        <f t="shared" si="302"/>
        <v>.</v>
      </c>
      <c r="Q1414" s="1185" t="str">
        <f t="shared" si="303"/>
        <v>.</v>
      </c>
      <c r="R1414" s="1185">
        <f t="shared" si="299"/>
        <v>10000000</v>
      </c>
      <c r="S1414" s="1185">
        <f>IF(AND(AD1414=1,R1414&lt;&gt;".")=TRUE,R1414/VLOOKUP(G1414,'Exchange Rates'!B:C,2,0),IF(R1414=".",".",""))</f>
        <v>11488970.588235294</v>
      </c>
      <c r="T1414" s="1185" t="str">
        <f>IF(AD1414=1,IF(AF1414="Value is not given at all",".",IF(AF1414="Value is given by the source",S1414,IF(AF1414="Value is calculated with prices",(IF(SUMIFS(Q:Q,A:A,A1414)&gt;0,SUMIFS(Q:Q,A:A,A1414),"."))/VLOOKUP("USD",'Exchange Rates'!B:C,2,0),"Error with coding"))),"")</f>
        <v>.</v>
      </c>
      <c r="U1414" s="1187" t="s">
        <v>365</v>
      </c>
      <c r="V1414" s="1041" t="s">
        <v>3872</v>
      </c>
      <c r="W1414" s="1041" t="s">
        <v>3874</v>
      </c>
      <c r="X1414" s="1265" t="s">
        <v>364</v>
      </c>
      <c r="Y1414" s="1265" t="s">
        <v>364</v>
      </c>
      <c r="Z1414" s="1187">
        <v>0</v>
      </c>
      <c r="AA1414" s="1194">
        <v>0</v>
      </c>
      <c r="AB1414" s="1201" t="s">
        <v>364</v>
      </c>
      <c r="AC1414" s="1192" t="str">
        <f>""</f>
        <v/>
      </c>
      <c r="AD1414" s="985">
        <v>1</v>
      </c>
      <c r="AE1414" s="985" t="s">
        <v>368</v>
      </c>
      <c r="AF1414" s="985" t="s">
        <v>369</v>
      </c>
      <c r="AG1414" s="985">
        <v>1</v>
      </c>
      <c r="AH1414" s="985">
        <v>10</v>
      </c>
      <c r="AI1414" s="1193">
        <v>0</v>
      </c>
      <c r="AJ1414" s="1193">
        <f>VLOOKUP($I1414,'Price List, Weapons &amp; Items'!B:F,5,0)</f>
        <v>0</v>
      </c>
      <c r="AK1414" s="1193">
        <f t="shared" si="304"/>
        <v>0</v>
      </c>
      <c r="AL1414" s="1193">
        <f t="shared" si="305"/>
        <v>0</v>
      </c>
      <c r="AM1414" s="1193">
        <f t="shared" si="306"/>
        <v>0</v>
      </c>
      <c r="AN1414" s="1194" t="str">
        <f>VLOOKUP($I1414,'Price List, Weapons &amp; Items'!B:L,COLUMN('Price List, Weapons &amp; Items'!$J$11)-1,0)</f>
        <v>.</v>
      </c>
      <c r="AO1414" s="1194" t="str">
        <f>IF(I1414=".",".",VLOOKUP($I1414,'Price List, Weapons &amp; Items'!B:J,3,0))</f>
        <v>.</v>
      </c>
      <c r="AP1414" s="1195" t="str">
        <f t="shared" ca="1" si="300"/>
        <v>.</v>
      </c>
      <c r="AQ1414" s="1194">
        <f>VLOOKUP($I1414,'Price List, Weapons &amp; Items'!B:L,COLUMN('Price List, Weapons &amp; Items'!$L$11)-1,0)</f>
        <v>0</v>
      </c>
      <c r="AR1414" s="1194">
        <f t="shared" si="307"/>
        <v>1</v>
      </c>
      <c r="AS1414" s="1194">
        <f t="shared" si="308"/>
        <v>1</v>
      </c>
      <c r="AT1414" s="1194">
        <f t="shared" si="309"/>
        <v>1</v>
      </c>
      <c r="AU1414" s="1194" t="str">
        <f t="shared" si="298"/>
        <v>.</v>
      </c>
      <c r="AV1414" s="1194" t="str">
        <f t="shared" si="301"/>
        <v>.</v>
      </c>
      <c r="AW1414" s="1194" t="str">
        <f t="shared" si="310"/>
        <v>.</v>
      </c>
      <c r="AX1414" s="1194">
        <f>IFERROR(VLOOKUP(B1414,'Share, Heavy Weapons to Ukraine'!B:Z,COLUMN('Share, Heavy Weapons to Ukraine'!C1426)-1,0),0)</f>
        <v>1</v>
      </c>
      <c r="AY1414" s="1194">
        <f>VLOOKUP('Bilateral Assistance, MAIN DATA'!B1414,'Country Summary (€)'!B:F,COLUMN('Country Summary (€)'!C1427)-1,FALSE)</f>
        <v>0</v>
      </c>
      <c r="AZ1414" s="1194" t="str">
        <f>IF(AND(AD1414=1,D1414="Military",H1414&lt;&gt;"Not given")=TRUE,IF(SUMIFS(P:P,A:A,A1414)&gt;0,ABS((SUMIFS(P:P,A:A,A1414)/VLOOKUP("USD",'Exchange Rates'!B:C,2,0)))/S1414,"."),".")</f>
        <v>.</v>
      </c>
      <c r="BA1414" s="1196" t="str">
        <f>IF(AND(AD1414=1,D1414="Military",H1414&lt;&gt;"Not given")=TRUE,IF(SUMIFS(P:P,A:A,A1414)&gt;0,IF((ABS((SUMIFS(P:P,A:A,A1414)/VLOOKUP("USD",'Exchange Rates'!B:C,2,0)))/S1414)&gt;1,(SUMIFS(P:P,A:A,A1414)-S1414)/S1414,(S1414-SUMIFS(P:P,A:A,A1414))/SUMIFS(P:P,A:A,A1414)),"."),".")</f>
        <v>.</v>
      </c>
    </row>
    <row r="1415" spans="1:53" ht="15.95" customHeight="1">
      <c r="A1415" s="1182" t="s">
        <v>3879</v>
      </c>
      <c r="B1415" s="1182" t="s">
        <v>3748</v>
      </c>
      <c r="C1415" s="1181">
        <v>44874</v>
      </c>
      <c r="D1415" s="1182" t="s">
        <v>389</v>
      </c>
      <c r="E1415" s="1182" t="s">
        <v>443</v>
      </c>
      <c r="F1415" s="1183" t="s">
        <v>3880</v>
      </c>
      <c r="G1415" s="1184" t="s">
        <v>3750</v>
      </c>
      <c r="H1415" s="1185" t="s">
        <v>457</v>
      </c>
      <c r="I1415" s="1270" t="s">
        <v>3881</v>
      </c>
      <c r="J1415" s="1186" t="str">
        <f>VLOOKUP($I1415,'Price List, Weapons &amp; Items'!B:C,2,0)</f>
        <v>Ammunition for heavy weapon</v>
      </c>
      <c r="K1415" s="1186" t="str">
        <f>IF(I1415=".",I1415,VLOOKUP($I1415,'Price List, Weapons &amp; Items'!B:D,3,0))</f>
        <v>Surface-to-air missile (SAM)</v>
      </c>
      <c r="L1415" s="1187">
        <f>VLOOKUP(I1415,'Price List, Weapons &amp; Items'!B:E,4,0)</f>
        <v>0</v>
      </c>
      <c r="M1415" s="1188">
        <v>1000</v>
      </c>
      <c r="N1415" s="1188">
        <v>1000</v>
      </c>
      <c r="O1415" s="1188" t="str">
        <f>VLOOKUP($I1415,'Price List, Weapons &amp; Items'!B:G,6,0)</f>
        <v>.</v>
      </c>
      <c r="P1415" s="1185" t="str">
        <f t="shared" si="302"/>
        <v>No price</v>
      </c>
      <c r="Q1415" s="1185" t="str">
        <f t="shared" si="303"/>
        <v>No price</v>
      </c>
      <c r="R1415" s="1185" t="str">
        <f t="shared" si="299"/>
        <v>.</v>
      </c>
      <c r="S1415" s="1185" t="str">
        <f>IF(AND(AD1415=1,R1415&lt;&gt;".")=TRUE,R1415/VLOOKUP(G1415,'Exchange Rates'!B:C,2,0),IF(R1415=".",".",""))</f>
        <v>.</v>
      </c>
      <c r="T1415" s="1185" t="str">
        <f>IF(AD1415=1,IF(AF1415="Value is not given at all",".",IF(AF1415="Value is given by the source",S1415,IF(AF1415="Value is calculated with prices",(IF(SUMIFS(Q:Q,A:A,A1415)&gt;0,SUMIFS(Q:Q,A:A,A1415),"."))/VLOOKUP("USD",'Exchange Rates'!B:C,2,0),"Error with coding"))),"")</f>
        <v>.</v>
      </c>
      <c r="U1415" s="1187" t="s">
        <v>365</v>
      </c>
      <c r="V1415" s="1041" t="s">
        <v>3882</v>
      </c>
      <c r="W1415" s="973" t="s">
        <v>3883</v>
      </c>
      <c r="X1415" s="986" t="s">
        <v>364</v>
      </c>
      <c r="Y1415" s="981" t="s">
        <v>364</v>
      </c>
      <c r="Z1415" s="1187">
        <v>0</v>
      </c>
      <c r="AA1415" s="1194">
        <v>0</v>
      </c>
      <c r="AB1415" s="1016" t="s">
        <v>3882</v>
      </c>
      <c r="AC1415" s="1192" t="str">
        <f>""</f>
        <v/>
      </c>
      <c r="AD1415" s="985">
        <v>1</v>
      </c>
      <c r="AE1415" s="985" t="s">
        <v>436</v>
      </c>
      <c r="AF1415" s="985" t="s">
        <v>369</v>
      </c>
      <c r="AG1415" s="985">
        <v>1</v>
      </c>
      <c r="AH1415" s="985">
        <v>11</v>
      </c>
      <c r="AI1415" s="1193">
        <v>0</v>
      </c>
      <c r="AJ1415" s="1193">
        <f>VLOOKUP($I1415,'Price List, Weapons &amp; Items'!B:F,5,0)</f>
        <v>0</v>
      </c>
      <c r="AK1415" s="1193">
        <f t="shared" si="304"/>
        <v>0</v>
      </c>
      <c r="AL1415" s="1193">
        <f t="shared" si="305"/>
        <v>0</v>
      </c>
      <c r="AM1415" s="1193">
        <f t="shared" si="306"/>
        <v>0</v>
      </c>
      <c r="AN1415" s="1194" t="str">
        <f>VLOOKUP($I1415,'Price List, Weapons &amp; Items'!B:L,COLUMN('Price List, Weapons &amp; Items'!$J$11)-1,0)</f>
        <v>.</v>
      </c>
      <c r="AO1415" s="1194" t="str">
        <f>IF(I1415=".",".",VLOOKUP($I1415,'Price List, Weapons &amp; Items'!B:J,3,0))</f>
        <v>Surface-to-air missile (SAM)</v>
      </c>
      <c r="AP1415" s="1195" t="str">
        <f t="shared" ca="1" si="300"/>
        <v>surface to air missile</v>
      </c>
      <c r="AQ1415" s="1194">
        <f>VLOOKUP($I1415,'Price List, Weapons &amp; Items'!B:L,COLUMN('Price List, Weapons &amp; Items'!$L$11)-1,0)</f>
        <v>0</v>
      </c>
      <c r="AR1415" s="1194">
        <f t="shared" si="307"/>
        <v>1</v>
      </c>
      <c r="AS1415" s="1194">
        <f t="shared" si="308"/>
        <v>1</v>
      </c>
      <c r="AT1415" s="1194">
        <f t="shared" si="309"/>
        <v>1</v>
      </c>
      <c r="AU1415" s="1194" t="str">
        <f t="shared" si="298"/>
        <v>.</v>
      </c>
      <c r="AV1415" s="1194" t="str">
        <f t="shared" si="301"/>
        <v>.</v>
      </c>
      <c r="AW1415" s="1194" t="str">
        <f t="shared" si="310"/>
        <v>.</v>
      </c>
      <c r="AX1415" s="1194">
        <f>IFERROR(VLOOKUP(B1415,'Share, Heavy Weapons to Ukraine'!B:Z,COLUMN('Share, Heavy Weapons to Ukraine'!C1427)-1,0),0)</f>
        <v>1</v>
      </c>
      <c r="AY1415" s="1194">
        <f>VLOOKUP('Bilateral Assistance, MAIN DATA'!B1415,'Country Summary (€)'!B:F,COLUMN('Country Summary (€)'!C1428)-1,FALSE)</f>
        <v>0</v>
      </c>
      <c r="AZ1415" s="1194" t="str">
        <f>IF(AND(AD1415=1,D1415="Military",H1415&lt;&gt;"Not given")=TRUE,IF(SUMIFS(P:P,A:A,A1415)&gt;0,ABS((SUMIFS(P:P,A:A,A1415)/VLOOKUP("USD",'Exchange Rates'!B:C,2,0)))/S1415,"."),".")</f>
        <v>.</v>
      </c>
      <c r="BA1415" s="1196" t="str">
        <f>IF(AND(AD1415=1,D1415="Military",H1415&lt;&gt;"Not given")=TRUE,IF(SUMIFS(P:P,A:A,A1415)&gt;0,IF((ABS((SUMIFS(P:P,A:A,A1415)/VLOOKUP("USD",'Exchange Rates'!B:C,2,0)))/S1415)&gt;1,(SUMIFS(P:P,A:A,A1415)-S1415)/S1415,(S1415-SUMIFS(P:P,A:A,A1415))/SUMIFS(P:P,A:A,A1415)),"."),".")</f>
        <v>.</v>
      </c>
    </row>
    <row r="1416" spans="1:53" ht="15.95" customHeight="1">
      <c r="A1416" s="1182" t="s">
        <v>3884</v>
      </c>
      <c r="B1416" s="1182" t="s">
        <v>3748</v>
      </c>
      <c r="C1416" s="1181">
        <v>44884</v>
      </c>
      <c r="D1416" s="1182" t="s">
        <v>389</v>
      </c>
      <c r="E1416" s="1182" t="s">
        <v>443</v>
      </c>
      <c r="F1416" s="1183" t="s">
        <v>3885</v>
      </c>
      <c r="G1416" s="1184" t="s">
        <v>3750</v>
      </c>
      <c r="H1416" s="1185">
        <v>50000000</v>
      </c>
      <c r="I1416" s="1283" t="s">
        <v>3886</v>
      </c>
      <c r="J1416" s="1186" t="str">
        <f>VLOOKUP($I1416,'Price List, Weapons &amp; Items'!B:C,2,0)</f>
        <v>Heavy weapon</v>
      </c>
      <c r="K1416" s="1186" t="str">
        <f>IF(I1416=".",I1416,VLOOKUP($I1416,'Price List, Weapons &amp; Items'!B:D,3,0))</f>
        <v>Self-propelled anti-aircraft weapon</v>
      </c>
      <c r="L1416" s="1187">
        <f>VLOOKUP(I1416,'Price List, Weapons &amp; Items'!B:E,4,0)</f>
        <v>0</v>
      </c>
      <c r="M1416" s="1188">
        <v>125</v>
      </c>
      <c r="N1416" s="1188" t="s">
        <v>374</v>
      </c>
      <c r="O1416" s="1188" t="str">
        <f>VLOOKUP($I1416,'Price List, Weapons &amp; Items'!B:G,6,0)</f>
        <v>.</v>
      </c>
      <c r="P1416" s="1185" t="str">
        <f t="shared" si="302"/>
        <v>No price</v>
      </c>
      <c r="Q1416" s="1185" t="str">
        <f t="shared" si="303"/>
        <v>.</v>
      </c>
      <c r="R1416" s="1185">
        <f t="shared" si="299"/>
        <v>50000000</v>
      </c>
      <c r="S1416" s="1185">
        <f>IF(AND(AD1416=1,R1416&lt;&gt;".")=TRUE,R1416/VLOOKUP(G1416,'Exchange Rates'!B:C,2,0),IF(R1416=".",".",""))</f>
        <v>57444852.941176474</v>
      </c>
      <c r="T1416" s="1185" t="str">
        <f>IF(AD1416=1,IF(AF1416="Value is not given at all",".",IF(AF1416="Value is given by the source",S1416,IF(AF1416="Value is calculated with prices",(IF(SUMIFS(Q:Q,A:A,A1416)&gt;0,SUMIFS(Q:Q,A:A,A1416),"."))/VLOOKUP("USD",'Exchange Rates'!B:C,2,0),"Error with coding"))),"")</f>
        <v>.</v>
      </c>
      <c r="U1416" s="1187" t="s">
        <v>365</v>
      </c>
      <c r="V1416" s="1040" t="s">
        <v>3887</v>
      </c>
      <c r="W1416" s="1041" t="s">
        <v>3888</v>
      </c>
      <c r="X1416" s="1190" t="s">
        <v>364</v>
      </c>
      <c r="Y1416" s="1190" t="s">
        <v>364</v>
      </c>
      <c r="Z1416" s="1187">
        <v>0</v>
      </c>
      <c r="AA1416" s="1194">
        <v>0</v>
      </c>
      <c r="AB1416" s="1028" t="s">
        <v>364</v>
      </c>
      <c r="AC1416" s="1192" t="str">
        <f>""</f>
        <v/>
      </c>
      <c r="AD1416" s="985">
        <v>1</v>
      </c>
      <c r="AE1416" s="985" t="s">
        <v>368</v>
      </c>
      <c r="AF1416" s="985" t="s">
        <v>369</v>
      </c>
      <c r="AG1416" s="985">
        <v>1</v>
      </c>
      <c r="AH1416" s="985">
        <v>11</v>
      </c>
      <c r="AI1416" s="985">
        <v>0</v>
      </c>
      <c r="AJ1416" s="1193">
        <f>VLOOKUP($I1416,'Price List, Weapons &amp; Items'!B:F,5,0)</f>
        <v>0</v>
      </c>
      <c r="AK1416" s="1193">
        <f t="shared" si="304"/>
        <v>0</v>
      </c>
      <c r="AL1416" s="1193">
        <f t="shared" si="305"/>
        <v>0</v>
      </c>
      <c r="AM1416" s="1193">
        <f t="shared" si="306"/>
        <v>0</v>
      </c>
      <c r="AN1416" s="1194" t="str">
        <f>VLOOKUP($I1416,'Price List, Weapons &amp; Items'!B:L,COLUMN('Price List, Weapons &amp; Items'!$J$11)-1,0)</f>
        <v>.</v>
      </c>
      <c r="AO1416" s="1194" t="str">
        <f>IF(I1416=".",".",VLOOKUP($I1416,'Price List, Weapons &amp; Items'!B:J,3,0))</f>
        <v>Self-propelled anti-aircraft weapon</v>
      </c>
      <c r="AP1416" s="1195" t="str">
        <f t="shared" ca="1" si="300"/>
        <v>anti-aircraft gun</v>
      </c>
      <c r="AQ1416" s="1194">
        <f>VLOOKUP($I1416,'Price List, Weapons &amp; Items'!B:L,COLUMN('Price List, Weapons &amp; Items'!$L$11)-1,0)</f>
        <v>0</v>
      </c>
      <c r="AR1416" s="1194">
        <f t="shared" si="307"/>
        <v>1</v>
      </c>
      <c r="AS1416" s="1194">
        <f t="shared" si="308"/>
        <v>1</v>
      </c>
      <c r="AT1416" s="1194">
        <f t="shared" si="309"/>
        <v>1</v>
      </c>
      <c r="AU1416" s="1194" t="str">
        <f t="shared" si="298"/>
        <v>.</v>
      </c>
      <c r="AV1416" s="1194" t="str">
        <f t="shared" si="301"/>
        <v>.</v>
      </c>
      <c r="AW1416" s="1194" t="str">
        <f t="shared" si="310"/>
        <v>.</v>
      </c>
      <c r="AX1416" s="1194">
        <f>IFERROR(VLOOKUP(B1416,'Share, Heavy Weapons to Ukraine'!B:Z,COLUMN('Share, Heavy Weapons to Ukraine'!C1428)-1,0),0)</f>
        <v>1</v>
      </c>
      <c r="AY1416" s="1194">
        <f>VLOOKUP('Bilateral Assistance, MAIN DATA'!B1416,'Country Summary (€)'!B:F,COLUMN('Country Summary (€)'!C1429)-1,FALSE)</f>
        <v>0</v>
      </c>
      <c r="AZ1416" s="1194" t="str">
        <f>IF(AND(AD1416=1,D1416="Military",H1416&lt;&gt;"Not given")=TRUE,IF(SUMIFS(P:P,A:A,A1416)&gt;0,ABS((SUMIFS(P:P,A:A,A1416)/VLOOKUP("USD",'Exchange Rates'!B:C,2,0)))/S1416,"."),".")</f>
        <v>.</v>
      </c>
      <c r="BA1416" s="1196" t="str">
        <f>IF(AND(AD1416=1,D1416="Military",H1416&lt;&gt;"Not given")=TRUE,IF(SUMIFS(P:P,A:A,A1416)&gt;0,IF((ABS((SUMIFS(P:P,A:A,A1416)/VLOOKUP("USD",'Exchange Rates'!B:C,2,0)))/S1416)&gt;1,(SUMIFS(P:P,A:A,A1416)-S1416)/S1416,(S1416-SUMIFS(P:P,A:A,A1416))/SUMIFS(P:P,A:A,A1416)),"."),".")</f>
        <v>.</v>
      </c>
    </row>
    <row r="1417" spans="1:53" ht="15.95" customHeight="1">
      <c r="A1417" s="1182" t="s">
        <v>3889</v>
      </c>
      <c r="B1417" s="1182" t="s">
        <v>3748</v>
      </c>
      <c r="C1417" s="1181">
        <v>44888</v>
      </c>
      <c r="D1417" s="1182" t="s">
        <v>389</v>
      </c>
      <c r="E1417" s="1182" t="s">
        <v>443</v>
      </c>
      <c r="F1417" s="1183" t="s">
        <v>3890</v>
      </c>
      <c r="G1417" s="1184" t="s">
        <v>456</v>
      </c>
      <c r="H1417" s="1185" t="s">
        <v>457</v>
      </c>
      <c r="I1417" s="1283" t="s">
        <v>1101</v>
      </c>
      <c r="J1417" s="1186" t="str">
        <f>VLOOKUP($I1417,'Price List, Weapons &amp; Items'!B:C,2,0)</f>
        <v>Ammunition for heavy weapon</v>
      </c>
      <c r="K1417" s="1186" t="str">
        <f>IF(I1417=".",I1417,VLOOKUP($I1417,'Price List, Weapons &amp; Items'!B:D,3,0))</f>
        <v>howitzer ammunition</v>
      </c>
      <c r="L1417" s="1187">
        <f>VLOOKUP(I1417,'Price List, Weapons &amp; Items'!B:E,4,0)</f>
        <v>0</v>
      </c>
      <c r="M1417" s="1188">
        <v>10000</v>
      </c>
      <c r="N1417" s="1188">
        <v>10000</v>
      </c>
      <c r="O1417" s="1188">
        <f>VLOOKUP($I1417,'Price List, Weapons &amp; Items'!B:G,6,0)</f>
        <v>2000</v>
      </c>
      <c r="P1417" s="1185">
        <f t="shared" si="302"/>
        <v>20000000</v>
      </c>
      <c r="Q1417" s="1185">
        <f t="shared" si="303"/>
        <v>20000000</v>
      </c>
      <c r="R1417" s="1185">
        <f t="shared" si="299"/>
        <v>32234577.649999999</v>
      </c>
      <c r="S1417" s="1185">
        <f>IF(AND(AD1417=1,R1417&lt;&gt;".")=TRUE,R1417/VLOOKUP(G1417,'Exchange Rates'!B:C,2,0),IF(R1417=".",".",""))</f>
        <v>29660082.489878543</v>
      </c>
      <c r="T1417" s="1185" t="str">
        <f>IF(AD1417=1,IF(AF1417="Value is not given at all",".",IF(AF1417="Value is given by the source",S1417,IF(AF1417="Value is calculated with prices",(IF(SUMIFS(Q:Q,A:A,A1417)&gt;0,SUMIFS(Q:Q,A:A,A1417),"."))/VLOOKUP("USD",'Exchange Rates'!B:C,2,0),"Error with coding"))),"")</f>
        <v>.</v>
      </c>
      <c r="U1417" s="1187" t="s">
        <v>365</v>
      </c>
      <c r="V1417" s="1040" t="s">
        <v>3891</v>
      </c>
      <c r="W1417" s="1040" t="s">
        <v>3892</v>
      </c>
      <c r="X1417" s="1190" t="s">
        <v>364</v>
      </c>
      <c r="Y1417" s="1190" t="s">
        <v>364</v>
      </c>
      <c r="Z1417" s="1187">
        <v>0</v>
      </c>
      <c r="AA1417" s="1191">
        <v>0</v>
      </c>
      <c r="AB1417" s="1016" t="s">
        <v>3893</v>
      </c>
      <c r="AC1417" s="1192" t="str">
        <f>""</f>
        <v/>
      </c>
      <c r="AD1417" s="985">
        <v>1</v>
      </c>
      <c r="AE1417" s="985" t="s">
        <v>436</v>
      </c>
      <c r="AF1417" s="985" t="s">
        <v>369</v>
      </c>
      <c r="AG1417" s="985">
        <v>1</v>
      </c>
      <c r="AH1417" s="985">
        <v>11</v>
      </c>
      <c r="AI1417" s="985">
        <v>0</v>
      </c>
      <c r="AJ1417" s="1193">
        <f>VLOOKUP($I1417,'Price List, Weapons &amp; Items'!B:F,5,0)</f>
        <v>0</v>
      </c>
      <c r="AK1417" s="1193">
        <f t="shared" si="304"/>
        <v>0</v>
      </c>
      <c r="AL1417" s="1193">
        <f t="shared" si="305"/>
        <v>0</v>
      </c>
      <c r="AM1417" s="1193">
        <f t="shared" si="306"/>
        <v>1</v>
      </c>
      <c r="AN1417" s="1194" t="str">
        <f>VLOOKUP($I1417,'Price List, Weapons &amp; Items'!B:L,COLUMN('Price List, Weapons &amp; Items'!$J$11)-1,0)</f>
        <v>Media reports (incl. social media)</v>
      </c>
      <c r="AO1417" s="1194" t="str">
        <f>IF(I1417=".",".",VLOOKUP($I1417,'Price List, Weapons &amp; Items'!B:J,3,0))</f>
        <v>howitzer ammunition</v>
      </c>
      <c r="AP1417" s="1195" t="str">
        <f t="shared" ca="1" si="300"/>
        <v>Artillery ammunition</v>
      </c>
      <c r="AQ1417" s="1194">
        <f>VLOOKUP($I1417,'Price List, Weapons &amp; Items'!B:L,COLUMN('Price List, Weapons &amp; Items'!$L$11)-1,0)</f>
        <v>2</v>
      </c>
      <c r="AR1417" s="1194">
        <f t="shared" si="307"/>
        <v>1</v>
      </c>
      <c r="AS1417" s="1194">
        <f t="shared" si="308"/>
        <v>1</v>
      </c>
      <c r="AT1417" s="1194">
        <f t="shared" si="309"/>
        <v>1</v>
      </c>
      <c r="AU1417" s="1194" t="str">
        <f t="shared" si="298"/>
        <v>.</v>
      </c>
      <c r="AV1417" s="1194" t="str">
        <f t="shared" si="301"/>
        <v>.</v>
      </c>
      <c r="AW1417" s="1194" t="str">
        <f t="shared" si="310"/>
        <v>.</v>
      </c>
      <c r="AX1417" s="1194">
        <f>IFERROR(VLOOKUP(B1417,'Share, Heavy Weapons to Ukraine'!B:Z,COLUMN('Share, Heavy Weapons to Ukraine'!C1429)-1,0),0)</f>
        <v>1</v>
      </c>
      <c r="AY1417" s="1194">
        <f>VLOOKUP('Bilateral Assistance, MAIN DATA'!B1417,'Country Summary (€)'!B:F,COLUMN('Country Summary (€)'!C1430)-1,FALSE)</f>
        <v>0</v>
      </c>
      <c r="AZ1417" s="1194" t="str">
        <f>IF(AND(AD1417=1,D1417="Military",H1417&lt;&gt;"Not given")=TRUE,IF(SUMIFS(P:P,A:A,A1417)&gt;0,ABS((SUMIFS(P:P,A:A,A1417)/VLOOKUP("USD",'Exchange Rates'!B:C,2,0)))/S1417,"."),".")</f>
        <v>.</v>
      </c>
      <c r="BA1417" s="1196" t="str">
        <f>IF(AND(AD1417=1,D1417="Military",H1417&lt;&gt;"Not given")=TRUE,IF(SUMIFS(P:P,A:A,A1417)&gt;0,IF((ABS((SUMIFS(P:P,A:A,A1417)/VLOOKUP("USD",'Exchange Rates'!B:C,2,0)))/S1417)&gt;1,(SUMIFS(P:P,A:A,A1417)-S1417)/S1417,(S1417-SUMIFS(P:P,A:A,A1417))/SUMIFS(P:P,A:A,A1417)),"."),".")</f>
        <v>.</v>
      </c>
    </row>
    <row r="1418" spans="1:53" ht="15.95" customHeight="1">
      <c r="A1418" s="1182" t="s">
        <v>3889</v>
      </c>
      <c r="B1418" s="1182" t="s">
        <v>3748</v>
      </c>
      <c r="C1418" s="1181">
        <v>44888</v>
      </c>
      <c r="D1418" s="1182" t="s">
        <v>389</v>
      </c>
      <c r="E1418" s="1182" t="s">
        <v>443</v>
      </c>
      <c r="F1418" s="1183" t="s">
        <v>3890</v>
      </c>
      <c r="G1418" s="1184" t="s">
        <v>456</v>
      </c>
      <c r="H1418" s="1185" t="s">
        <v>457</v>
      </c>
      <c r="I1418" s="1283" t="s">
        <v>3894</v>
      </c>
      <c r="J1418" s="1186" t="str">
        <f>VLOOKUP($I1418,'Price List, Weapons &amp; Items'!B:C,2,0)</f>
        <v>Aviation and drones</v>
      </c>
      <c r="K1418" s="1186" t="str">
        <f>IF(I1418=".",I1418,VLOOKUP($I1418,'Price List, Weapons &amp; Items'!B:D,3,0))</f>
        <v>non combat military helicopter</v>
      </c>
      <c r="L1418" s="1187">
        <f>VLOOKUP(I1418,'Price List, Weapons &amp; Items'!B:E,4,0)</f>
        <v>0</v>
      </c>
      <c r="M1418" s="1188">
        <v>3</v>
      </c>
      <c r="N1418" s="1188">
        <v>3</v>
      </c>
      <c r="O1418" s="1188">
        <f>VLOOKUP($I1418,'Price List, Weapons &amp; Items'!B:G,6,0)</f>
        <v>4078192.55</v>
      </c>
      <c r="P1418" s="1185">
        <f t="shared" si="302"/>
        <v>12234577.649999999</v>
      </c>
      <c r="Q1418" s="1185">
        <f t="shared" si="303"/>
        <v>12234577.649999999</v>
      </c>
      <c r="R1418" s="1185" t="str">
        <f t="shared" si="299"/>
        <v/>
      </c>
      <c r="S1418" s="1185" t="str">
        <f>IF(AND(AD1418=1,R1418&lt;&gt;".")=TRUE,R1418/VLOOKUP(G1418,'Exchange Rates'!B:C,2,0),IF(R1418=".",".",""))</f>
        <v/>
      </c>
      <c r="T1418" s="1185" t="str">
        <f>IF(AD1418=1,IF(AF1418="Value is not given at all",".",IF(AF1418="Value is given by the source",S1418,IF(AF1418="Value is calculated with prices",(IF(SUMIFS(Q:Q,A:A,A1418)&gt;0,SUMIFS(Q:Q,A:A,A1418),"."))/VLOOKUP("USD",'Exchange Rates'!B:C,2,0),"Error with coding"))),"")</f>
        <v/>
      </c>
      <c r="U1418" s="1187" t="s">
        <v>365</v>
      </c>
      <c r="V1418" s="1040" t="s">
        <v>3891</v>
      </c>
      <c r="W1418" s="1040" t="s">
        <v>3892</v>
      </c>
      <c r="X1418" s="1190" t="s">
        <v>364</v>
      </c>
      <c r="Y1418" s="1190" t="s">
        <v>364</v>
      </c>
      <c r="Z1418" s="1187">
        <v>0</v>
      </c>
      <c r="AA1418" s="1191">
        <v>0</v>
      </c>
      <c r="AB1418" s="1016" t="s">
        <v>3893</v>
      </c>
      <c r="AC1418" s="1192" t="str">
        <f>""</f>
        <v/>
      </c>
      <c r="AD1418" s="985">
        <v>0</v>
      </c>
      <c r="AE1418" s="985" t="s">
        <v>436</v>
      </c>
      <c r="AF1418" s="985" t="s">
        <v>369</v>
      </c>
      <c r="AG1418" s="985">
        <v>1</v>
      </c>
      <c r="AH1418" s="985">
        <v>11</v>
      </c>
      <c r="AI1418" s="985">
        <v>0</v>
      </c>
      <c r="AJ1418" s="1193">
        <f>VLOOKUP($I1418,'Price List, Weapons &amp; Items'!B:F,5,0)</f>
        <v>0</v>
      </c>
      <c r="AK1418" s="1193">
        <f t="shared" si="304"/>
        <v>0</v>
      </c>
      <c r="AL1418" s="1193">
        <f t="shared" si="305"/>
        <v>0</v>
      </c>
      <c r="AM1418" s="1193">
        <f t="shared" si="306"/>
        <v>0</v>
      </c>
      <c r="AN1418" s="1194" t="str">
        <f>VLOOKUP($I1418,'Price List, Weapons &amp; Items'!B:L,COLUMN('Price List, Weapons &amp; Items'!$J$11)-1,0)</f>
        <v>Contracts</v>
      </c>
      <c r="AO1418" s="1194" t="str">
        <f>IF(I1418=".",".",VLOOKUP($I1418,'Price List, Weapons &amp; Items'!B:J,3,0))</f>
        <v>non combat military helicopter</v>
      </c>
      <c r="AP1418" s="1195" t="str">
        <f t="shared" ca="1" si="300"/>
        <v/>
      </c>
      <c r="AQ1418" s="1194">
        <f>VLOOKUP($I1418,'Price List, Weapons &amp; Items'!B:L,COLUMN('Price List, Weapons &amp; Items'!$L$11)-1,0)</f>
        <v>2</v>
      </c>
      <c r="AR1418" s="1194">
        <f t="shared" si="307"/>
        <v>1</v>
      </c>
      <c r="AS1418" s="1194">
        <f t="shared" si="308"/>
        <v>1</v>
      </c>
      <c r="AT1418" s="1194">
        <f t="shared" si="309"/>
        <v>1</v>
      </c>
      <c r="AU1418" s="1194" t="str">
        <f t="shared" si="298"/>
        <v>.</v>
      </c>
      <c r="AV1418" s="1194" t="str">
        <f t="shared" si="301"/>
        <v>.</v>
      </c>
      <c r="AW1418" s="1194" t="str">
        <f t="shared" si="310"/>
        <v>.</v>
      </c>
      <c r="AX1418" s="1194">
        <f>IFERROR(VLOOKUP(B1418,'Share, Heavy Weapons to Ukraine'!B:Z,COLUMN('Share, Heavy Weapons to Ukraine'!C1430)-1,0),0)</f>
        <v>1</v>
      </c>
      <c r="AY1418" s="1194">
        <f>VLOOKUP('Bilateral Assistance, MAIN DATA'!B1418,'Country Summary (€)'!B:F,COLUMN('Country Summary (€)'!C1431)-1,FALSE)</f>
        <v>0</v>
      </c>
      <c r="AZ1418" s="1194" t="str">
        <f>IF(AND(AD1418=1,D1418="Military",H1418&lt;&gt;"Not given")=TRUE,IF(SUMIFS(P:P,A:A,A1418)&gt;0,ABS((SUMIFS(P:P,A:A,A1418)/VLOOKUP("USD",'Exchange Rates'!B:C,2,0)))/S1418,"."),".")</f>
        <v>.</v>
      </c>
      <c r="BA1418" s="1196" t="str">
        <f>IF(AND(AD1418=1,D1418="Military",H1418&lt;&gt;"Not given")=TRUE,IF(SUMIFS(P:P,A:A,A1418)&gt;0,IF((ABS((SUMIFS(P:P,A:A,A1418)/VLOOKUP("USD",'Exchange Rates'!B:C,2,0)))/S1418)&gt;1,(SUMIFS(P:P,A:A,A1418)-S1418)/S1418,(S1418-SUMIFS(P:P,A:A,A1418))/SUMIFS(P:P,A:A,A1418)),"."),".")</f>
        <v>.</v>
      </c>
    </row>
    <row r="1419" spans="1:53" ht="15.95" customHeight="1">
      <c r="A1419" s="1182" t="s">
        <v>3895</v>
      </c>
      <c r="B1419" s="1182" t="s">
        <v>3748</v>
      </c>
      <c r="C1419" s="1181">
        <v>44940</v>
      </c>
      <c r="D1419" s="1182" t="s">
        <v>389</v>
      </c>
      <c r="E1419" s="1182" t="s">
        <v>443</v>
      </c>
      <c r="F1419" s="1183" t="s">
        <v>3896</v>
      </c>
      <c r="G1419" s="1184" t="s">
        <v>3750</v>
      </c>
      <c r="H1419" s="1185">
        <v>2300000000</v>
      </c>
      <c r="I1419" s="1283" t="s">
        <v>364</v>
      </c>
      <c r="J1419" s="1186" t="str">
        <f>VLOOKUP($I1419,'Price List, Weapons &amp; Items'!B:C,2,0)</f>
        <v>.</v>
      </c>
      <c r="K1419" s="1186" t="str">
        <f>IF(I1419=".",I1419,VLOOKUP($I1419,'Price List, Weapons &amp; Items'!B:D,3,0))</f>
        <v>.</v>
      </c>
      <c r="L1419" s="1187">
        <f>VLOOKUP(I1419,'Price List, Weapons &amp; Items'!B:E,4,0)</f>
        <v>0</v>
      </c>
      <c r="M1419" s="1188" t="s">
        <v>364</v>
      </c>
      <c r="N1419" s="1188" t="s">
        <v>364</v>
      </c>
      <c r="O1419" s="1188" t="str">
        <f>VLOOKUP($I1419,'Price List, Weapons &amp; Items'!B:G,6,0)</f>
        <v>.</v>
      </c>
      <c r="P1419" s="1185" t="str">
        <f t="shared" si="302"/>
        <v>.</v>
      </c>
      <c r="Q1419" s="1185" t="str">
        <f t="shared" si="303"/>
        <v>.</v>
      </c>
      <c r="R1419" s="1185">
        <f t="shared" si="299"/>
        <v>2300000000</v>
      </c>
      <c r="S1419" s="1185">
        <f>IF(AND(AD1419=1,R1419&lt;&gt;".")=TRUE,R1419/VLOOKUP(G1419,'Exchange Rates'!B:C,2,0),IF(R1419=".",".",""))</f>
        <v>2642463235.2941179</v>
      </c>
      <c r="T1419" s="1185" t="str">
        <f>IF(AD1419=1,IF(AF1419="Value is not given at all",".",IF(AF1419="Value is given by the source",S1419,IF(AF1419="Value is calculated with prices",(IF(SUMIFS(Q:Q,A:A,A1419)&gt;0,SUMIFS(Q:Q,A:A,A1419),"."))/VLOOKUP("USD",'Exchange Rates'!B:C,2,0),"Error with coding"))),"")</f>
        <v>.</v>
      </c>
      <c r="U1419" s="1187" t="s">
        <v>365</v>
      </c>
      <c r="V1419" s="1041" t="s">
        <v>3897</v>
      </c>
      <c r="W1419" s="1041" t="s">
        <v>3898</v>
      </c>
      <c r="X1419" s="980" t="s">
        <v>3899</v>
      </c>
      <c r="Y1419" s="980" t="s">
        <v>3900</v>
      </c>
      <c r="Z1419" s="1187">
        <v>0</v>
      </c>
      <c r="AA1419" s="1191">
        <v>0</v>
      </c>
      <c r="AB1419" s="1028" t="s">
        <v>364</v>
      </c>
      <c r="AC1419" s="1192" t="str">
        <f>""</f>
        <v/>
      </c>
      <c r="AD1419" s="985">
        <v>1</v>
      </c>
      <c r="AE1419" s="985" t="s">
        <v>368</v>
      </c>
      <c r="AF1419" s="985" t="s">
        <v>369</v>
      </c>
      <c r="AG1419" s="985">
        <v>1</v>
      </c>
      <c r="AH1419" s="985">
        <v>13</v>
      </c>
      <c r="AI1419" s="985">
        <v>0</v>
      </c>
      <c r="AJ1419" s="1193">
        <f>VLOOKUP($I1419,'Price List, Weapons &amp; Items'!B:F,5,0)</f>
        <v>0</v>
      </c>
      <c r="AK1419" s="1193">
        <f t="shared" si="304"/>
        <v>0</v>
      </c>
      <c r="AL1419" s="1193">
        <f t="shared" si="305"/>
        <v>0</v>
      </c>
      <c r="AM1419" s="1193">
        <f t="shared" si="306"/>
        <v>0</v>
      </c>
      <c r="AN1419" s="1194" t="str">
        <f>VLOOKUP($I1419,'Price List, Weapons &amp; Items'!B:L,COLUMN('Price List, Weapons &amp; Items'!$J$11)-1,0)</f>
        <v>.</v>
      </c>
      <c r="AO1419" s="1194" t="str">
        <f>IF(I1419=".",".",VLOOKUP($I1419,'Price List, Weapons &amp; Items'!B:J,3,0))</f>
        <v>.</v>
      </c>
      <c r="AP1419" s="1195" t="str">
        <f t="shared" ca="1" si="300"/>
        <v>.</v>
      </c>
      <c r="AQ1419" s="1194">
        <f>VLOOKUP($I1419,'Price List, Weapons &amp; Items'!B:L,COLUMN('Price List, Weapons &amp; Items'!$L$11)-1,0)</f>
        <v>0</v>
      </c>
      <c r="AR1419" s="1194">
        <f t="shared" si="307"/>
        <v>1</v>
      </c>
      <c r="AS1419" s="1194">
        <f t="shared" si="308"/>
        <v>1</v>
      </c>
      <c r="AT1419" s="1194">
        <f t="shared" si="309"/>
        <v>1</v>
      </c>
      <c r="AU1419" s="1194" t="str">
        <f t="shared" si="298"/>
        <v>.</v>
      </c>
      <c r="AV1419" s="1194" t="str">
        <f t="shared" si="301"/>
        <v>.</v>
      </c>
      <c r="AW1419" s="1194" t="str">
        <f t="shared" si="310"/>
        <v>.</v>
      </c>
      <c r="AX1419" s="1194">
        <f>IFERROR(VLOOKUP(B1419,'Share, Heavy Weapons to Ukraine'!B:Z,COLUMN('Share, Heavy Weapons to Ukraine'!C1431)-1,0),0)</f>
        <v>1</v>
      </c>
      <c r="AY1419" s="1194">
        <f>VLOOKUP('Bilateral Assistance, MAIN DATA'!B1419,'Country Summary (€)'!B:F,COLUMN('Country Summary (€)'!C1432)-1,FALSE)</f>
        <v>0</v>
      </c>
      <c r="AZ1419" s="1194">
        <f>IF(AND(AD1419=1,D1419="Military",H1419&lt;&gt;"Not given")=TRUE,IF(SUMIFS(P:P,A:A,A1419)&gt;0,ABS((SUMIFS(P:P,A:A,A1419)/VLOOKUP("USD",'Exchange Rates'!B:C,2,0)))/S1419,"."),".")</f>
        <v>0.32084871637412027</v>
      </c>
      <c r="BA1419" s="1196">
        <f>IF(AND(AD1419=1,D1419="Military",H1419&lt;&gt;"Not given")=TRUE,IF(SUMIFS(P:P,A:A,A1419)&gt;0,IF((ABS((SUMIFS(P:P,A:A,A1419)/VLOOKUP("USD",'Exchange Rates'!B:C,2,0)))/S1419)&gt;1,(SUMIFS(P:P,A:A,A1419)-S1419)/S1419,(S1419-SUMIFS(P:P,A:A,A1419))/SUMIFS(P:P,A:A,A1419)),"."),".")</f>
        <v>1.8678079484879799</v>
      </c>
    </row>
    <row r="1420" spans="1:53" ht="15.95" customHeight="1">
      <c r="A1420" s="1182" t="s">
        <v>3895</v>
      </c>
      <c r="B1420" s="1182" t="s">
        <v>3748</v>
      </c>
      <c r="C1420" s="1181">
        <v>44940</v>
      </c>
      <c r="D1420" s="1182" t="s">
        <v>389</v>
      </c>
      <c r="E1420" s="1182" t="s">
        <v>443</v>
      </c>
      <c r="F1420" s="1183" t="s">
        <v>3896</v>
      </c>
      <c r="G1420" s="1184" t="s">
        <v>3750</v>
      </c>
      <c r="H1420" s="1185">
        <v>2300000000</v>
      </c>
      <c r="I1420" s="1283" t="s">
        <v>3901</v>
      </c>
      <c r="J1420" s="1186" t="str">
        <f>VLOOKUP($I1420,'Price List, Weapons &amp; Items'!B:C,2,0)</f>
        <v>Heavy weapon</v>
      </c>
      <c r="K1420" s="1186" t="str">
        <f>IF(I1420=".",I1420,VLOOKUP($I1420,'Price List, Weapons &amp; Items'!B:D,3,0))</f>
        <v>Main Battle Tank (MBT)</v>
      </c>
      <c r="L1420" s="1187">
        <f>VLOOKUP(I1420,'Price List, Weapons &amp; Items'!B:E,4,0)</f>
        <v>0</v>
      </c>
      <c r="M1420" s="1188">
        <v>14</v>
      </c>
      <c r="N1420" s="1188">
        <v>14</v>
      </c>
      <c r="O1420" s="1188">
        <f>VLOOKUP($I1420,'Price List, Weapons &amp; Items'!B:G,6,0)</f>
        <v>13644373.365967626</v>
      </c>
      <c r="P1420" s="1185">
        <f t="shared" si="302"/>
        <v>191021227.12354675</v>
      </c>
      <c r="Q1420" s="1185">
        <f t="shared" si="303"/>
        <v>191021227.12354675</v>
      </c>
      <c r="R1420" s="1185" t="str">
        <f t="shared" si="299"/>
        <v/>
      </c>
      <c r="S1420" s="1185" t="str">
        <f>IF(AND(AD1420=1,R1420&lt;&gt;".")=TRUE,R1420/VLOOKUP(G1420,'Exchange Rates'!B:C,2,0),IF(R1420=".",".",""))</f>
        <v/>
      </c>
      <c r="T1420" s="1185" t="str">
        <f>IF(AD1420=1,IF(AF1420="Value is not given at all",".",IF(AF1420="Value is given by the source",S1420,IF(AF1420="Value is calculated with prices",(IF(SUMIFS(Q:Q,A:A,A1420)&gt;0,SUMIFS(Q:Q,A:A,A1420),"."))/VLOOKUP("USD",'Exchange Rates'!B:C,2,0),"Error with coding"))),"")</f>
        <v/>
      </c>
      <c r="U1420" s="1187" t="s">
        <v>365</v>
      </c>
      <c r="V1420" s="1040" t="s">
        <v>3902</v>
      </c>
      <c r="W1420" s="1040" t="s">
        <v>3903</v>
      </c>
      <c r="X1420" s="980" t="s">
        <v>1372</v>
      </c>
      <c r="Y1420" s="1190" t="s">
        <v>364</v>
      </c>
      <c r="Z1420" s="1187">
        <v>0</v>
      </c>
      <c r="AA1420" s="1191">
        <v>0</v>
      </c>
      <c r="AB1420" s="966" t="s">
        <v>3904</v>
      </c>
      <c r="AC1420" s="1192" t="str">
        <f>""</f>
        <v/>
      </c>
      <c r="AD1420" s="985">
        <v>0</v>
      </c>
      <c r="AE1420" s="985" t="s">
        <v>436</v>
      </c>
      <c r="AF1420" s="985" t="s">
        <v>369</v>
      </c>
      <c r="AG1420" s="985">
        <v>1</v>
      </c>
      <c r="AH1420" s="985">
        <v>13</v>
      </c>
      <c r="AI1420" s="985">
        <v>0</v>
      </c>
      <c r="AJ1420" s="1193">
        <f>VLOOKUP($I1420,'Price List, Weapons &amp; Items'!B:F,5,0)</f>
        <v>1</v>
      </c>
      <c r="AK1420" s="1193">
        <f t="shared" si="304"/>
        <v>0</v>
      </c>
      <c r="AL1420" s="1193">
        <f t="shared" si="305"/>
        <v>0</v>
      </c>
      <c r="AM1420" s="1193">
        <f t="shared" si="306"/>
        <v>0</v>
      </c>
      <c r="AN1420" s="1194" t="str">
        <f>VLOOKUP($I1420,'Price List, Weapons &amp; Items'!B:L,COLUMN('Price List, Weapons &amp; Items'!$J$11)-1,0)</f>
        <v>Contracts</v>
      </c>
      <c r="AO1420" s="1194" t="str">
        <f>IF(I1420=".",".",VLOOKUP($I1420,'Price List, Weapons &amp; Items'!B:J,3,0))</f>
        <v>Main Battle Tank (MBT)</v>
      </c>
      <c r="AP1420" s="1195" t="str">
        <f t="shared" ca="1" si="300"/>
        <v/>
      </c>
      <c r="AQ1420" s="1194">
        <f>VLOOKUP($I1420,'Price List, Weapons &amp; Items'!B:L,COLUMN('Price List, Weapons &amp; Items'!$L$11)-1,0)</f>
        <v>2</v>
      </c>
      <c r="AR1420" s="1194">
        <f t="shared" si="307"/>
        <v>1</v>
      </c>
      <c r="AS1420" s="1194">
        <f t="shared" si="308"/>
        <v>1</v>
      </c>
      <c r="AT1420" s="1194">
        <f t="shared" si="309"/>
        <v>1</v>
      </c>
      <c r="AU1420" s="1194" t="str">
        <f t="shared" si="298"/>
        <v>.</v>
      </c>
      <c r="AV1420" s="1194" t="str">
        <f t="shared" si="301"/>
        <v>.</v>
      </c>
      <c r="AW1420" s="1194" t="str">
        <f t="shared" si="310"/>
        <v>.</v>
      </c>
      <c r="AX1420" s="1194">
        <f>IFERROR(VLOOKUP(B1420,'Share, Heavy Weapons to Ukraine'!B:Z,COLUMN('Share, Heavy Weapons to Ukraine'!C1432)-1,0),0)</f>
        <v>1</v>
      </c>
      <c r="AY1420" s="1194">
        <f>VLOOKUP('Bilateral Assistance, MAIN DATA'!B1420,'Country Summary (€)'!B:F,COLUMN('Country Summary (€)'!C1433)-1,FALSE)</f>
        <v>0</v>
      </c>
      <c r="AZ1420" s="1194" t="str">
        <f>IF(AND(AD1420=1,D1420="Military",H1420&lt;&gt;"Not given")=TRUE,IF(SUMIFS(P:P,A:A,A1420)&gt;0,ABS((SUMIFS(P:P,A:A,A1420)/VLOOKUP("USD",'Exchange Rates'!B:C,2,0)))/S1420,"."),".")</f>
        <v>.</v>
      </c>
      <c r="BA1420" s="1196" t="str">
        <f>IF(AND(AD1420=1,D1420="Military",H1420&lt;&gt;"Not given")=TRUE,IF(SUMIFS(P:P,A:A,A1420)&gt;0,IF((ABS((SUMIFS(P:P,A:A,A1420)/VLOOKUP("USD",'Exchange Rates'!B:C,2,0)))/S1420)&gt;1,(SUMIFS(P:P,A:A,A1420)-S1420)/S1420,(S1420-SUMIFS(P:P,A:A,A1420))/SUMIFS(P:P,A:A,A1420)),"."),".")</f>
        <v>.</v>
      </c>
    </row>
    <row r="1421" spans="1:53" ht="15.95" customHeight="1">
      <c r="A1421" s="1182" t="s">
        <v>3895</v>
      </c>
      <c r="B1421" s="1182" t="s">
        <v>3748</v>
      </c>
      <c r="C1421" s="1181">
        <v>44940</v>
      </c>
      <c r="D1421" s="1182" t="s">
        <v>389</v>
      </c>
      <c r="E1421" s="1182" t="s">
        <v>443</v>
      </c>
      <c r="F1421" s="1183" t="s">
        <v>3896</v>
      </c>
      <c r="G1421" s="1184" t="s">
        <v>3750</v>
      </c>
      <c r="H1421" s="1185">
        <v>2300000000</v>
      </c>
      <c r="I1421" s="1283" t="s">
        <v>3905</v>
      </c>
      <c r="J1421" s="1186" t="str">
        <f>VLOOKUP($I1421,'Price List, Weapons &amp; Items'!B:C,2,0)</f>
        <v>Heavy weapon</v>
      </c>
      <c r="K1421" s="1186" t="str">
        <f>IF(I1421=".",I1421,VLOOKUP($I1421,'Price List, Weapons &amp; Items'!B:D,3,0))</f>
        <v>155mm howitzer</v>
      </c>
      <c r="L1421" s="1187">
        <f>VLOOKUP(I1421,'Price List, Weapons &amp; Items'!B:E,4,0)</f>
        <v>0</v>
      </c>
      <c r="M1421" s="1188">
        <v>30</v>
      </c>
      <c r="N1421" s="1188" t="s">
        <v>374</v>
      </c>
      <c r="O1421" s="1188">
        <f>VLOOKUP($I1421,'Price List, Weapons &amp; Items'!B:G,6,0)</f>
        <v>13280047.844250571</v>
      </c>
      <c r="P1421" s="1185">
        <f t="shared" si="302"/>
        <v>398401435.32751715</v>
      </c>
      <c r="Q1421" s="1185" t="str">
        <f t="shared" si="303"/>
        <v>.</v>
      </c>
      <c r="R1421" s="1185" t="str">
        <f t="shared" si="299"/>
        <v/>
      </c>
      <c r="S1421" s="1185" t="str">
        <f>IF(AND(AD1421=1,R1421&lt;&gt;".")=TRUE,R1421/VLOOKUP(G1421,'Exchange Rates'!B:C,2,0),IF(R1421=".",".",""))</f>
        <v/>
      </c>
      <c r="T1421" s="1185" t="str">
        <f>IF(AD1421=1,IF(AF1421="Value is not given at all",".",IF(AF1421="Value is given by the source",S1421,IF(AF1421="Value is calculated with prices",(IF(SUMIFS(Q:Q,A:A,A1421)&gt;0,SUMIFS(Q:Q,A:A,A1421),"."))/VLOOKUP("USD",'Exchange Rates'!B:C,2,0),"Error with coding"))),"")</f>
        <v/>
      </c>
      <c r="U1421" s="1187" t="s">
        <v>365</v>
      </c>
      <c r="V1421" s="1040" t="s">
        <v>3902</v>
      </c>
      <c r="W1421" s="1040" t="s">
        <v>3903</v>
      </c>
      <c r="X1421" s="980" t="s">
        <v>1372</v>
      </c>
      <c r="Y1421" s="1190" t="s">
        <v>364</v>
      </c>
      <c r="Z1421" s="1187">
        <v>0</v>
      </c>
      <c r="AA1421" s="1191">
        <v>0</v>
      </c>
      <c r="AB1421" s="1028" t="s">
        <v>364</v>
      </c>
      <c r="AC1421" s="1192" t="str">
        <f>""</f>
        <v/>
      </c>
      <c r="AD1421" s="985">
        <v>0</v>
      </c>
      <c r="AE1421" s="985" t="s">
        <v>436</v>
      </c>
      <c r="AF1421" s="985" t="s">
        <v>369</v>
      </c>
      <c r="AG1421" s="985">
        <v>1</v>
      </c>
      <c r="AH1421" s="985">
        <v>13</v>
      </c>
      <c r="AI1421" s="985">
        <v>0</v>
      </c>
      <c r="AJ1421" s="1193">
        <f>VLOOKUP($I1421,'Price List, Weapons &amp; Items'!B:F,5,0)</f>
        <v>1</v>
      </c>
      <c r="AK1421" s="1193">
        <f t="shared" si="304"/>
        <v>0</v>
      </c>
      <c r="AL1421" s="1193">
        <f t="shared" si="305"/>
        <v>1</v>
      </c>
      <c r="AM1421" s="1193">
        <f t="shared" si="306"/>
        <v>0</v>
      </c>
      <c r="AN1421" s="1194" t="str">
        <f>VLOOKUP($I1421,'Price List, Weapons &amp; Items'!B:L,COLUMN('Price List, Weapons &amp; Items'!$J$11)-1,0)</f>
        <v>Contracts</v>
      </c>
      <c r="AO1421" s="1194" t="str">
        <f>IF(I1421=".",".",VLOOKUP($I1421,'Price List, Weapons &amp; Items'!B:J,3,0))</f>
        <v>155mm howitzer</v>
      </c>
      <c r="AP1421" s="1195" t="str">
        <f t="shared" ca="1" si="300"/>
        <v/>
      </c>
      <c r="AQ1421" s="1194">
        <f>VLOOKUP($I1421,'Price List, Weapons &amp; Items'!B:L,COLUMN('Price List, Weapons &amp; Items'!$L$11)-1,0)</f>
        <v>2</v>
      </c>
      <c r="AR1421" s="1194">
        <f t="shared" si="307"/>
        <v>1</v>
      </c>
      <c r="AS1421" s="1194">
        <f t="shared" si="308"/>
        <v>1</v>
      </c>
      <c r="AT1421" s="1194">
        <f t="shared" si="309"/>
        <v>1</v>
      </c>
      <c r="AU1421" s="1194" t="str">
        <f t="shared" si="298"/>
        <v>.</v>
      </c>
      <c r="AV1421" s="1194" t="str">
        <f t="shared" si="301"/>
        <v>.</v>
      </c>
      <c r="AW1421" s="1194" t="str">
        <f t="shared" si="310"/>
        <v>.</v>
      </c>
      <c r="AX1421" s="1194">
        <f>IFERROR(VLOOKUP(B1421,'Share, Heavy Weapons to Ukraine'!B:Z,COLUMN('Share, Heavy Weapons to Ukraine'!C1433)-1,0),0)</f>
        <v>1</v>
      </c>
      <c r="AY1421" s="1194">
        <f>VLOOKUP('Bilateral Assistance, MAIN DATA'!B1421,'Country Summary (€)'!B:F,COLUMN('Country Summary (€)'!C1434)-1,FALSE)</f>
        <v>0</v>
      </c>
      <c r="AZ1421" s="1194" t="str">
        <f>IF(AND(AD1421=1,D1421="Military",H1421&lt;&gt;"Not given")=TRUE,IF(SUMIFS(P:P,A:A,A1421)&gt;0,ABS((SUMIFS(P:P,A:A,A1421)/VLOOKUP("USD",'Exchange Rates'!B:C,2,0)))/S1421,"."),".")</f>
        <v>.</v>
      </c>
      <c r="BA1421" s="1196" t="str">
        <f>IF(AND(AD1421=1,D1421="Military",H1421&lt;&gt;"Not given")=TRUE,IF(SUMIFS(P:P,A:A,A1421)&gt;0,IF((ABS((SUMIFS(P:P,A:A,A1421)/VLOOKUP("USD",'Exchange Rates'!B:C,2,0)))/S1421)&gt;1,(SUMIFS(P:P,A:A,A1421)-S1421)/S1421,(S1421-SUMIFS(P:P,A:A,A1421))/SUMIFS(P:P,A:A,A1421)),"."),".")</f>
        <v>.</v>
      </c>
    </row>
    <row r="1422" spans="1:53" ht="15.95" customHeight="1">
      <c r="A1422" s="1182" t="s">
        <v>3895</v>
      </c>
      <c r="B1422" s="1182" t="s">
        <v>3748</v>
      </c>
      <c r="C1422" s="1181">
        <v>44940</v>
      </c>
      <c r="D1422" s="1182" t="s">
        <v>389</v>
      </c>
      <c r="E1422" s="1182" t="s">
        <v>443</v>
      </c>
      <c r="F1422" s="1183" t="s">
        <v>3896</v>
      </c>
      <c r="G1422" s="1184" t="s">
        <v>3750</v>
      </c>
      <c r="H1422" s="1185">
        <v>2300000000</v>
      </c>
      <c r="I1422" s="1283" t="s">
        <v>1101</v>
      </c>
      <c r="J1422" s="1186" t="str">
        <f>VLOOKUP($I1422,'Price List, Weapons &amp; Items'!B:C,2,0)</f>
        <v>Ammunition for heavy weapon</v>
      </c>
      <c r="K1422" s="1186" t="str">
        <f>IF(I1422=".",I1422,VLOOKUP($I1422,'Price List, Weapons &amp; Items'!B:D,3,0))</f>
        <v>howitzer ammunition</v>
      </c>
      <c r="L1422" s="1187">
        <f>VLOOKUP(I1422,'Price List, Weapons &amp; Items'!B:E,4,0)</f>
        <v>0</v>
      </c>
      <c r="M1422" s="1188">
        <v>100000</v>
      </c>
      <c r="N1422" s="1188" t="s">
        <v>374</v>
      </c>
      <c r="O1422" s="1188">
        <f>VLOOKUP($I1422,'Price List, Weapons &amp; Items'!B:G,6,0)</f>
        <v>2000</v>
      </c>
      <c r="P1422" s="1185">
        <f t="shared" si="302"/>
        <v>200000000</v>
      </c>
      <c r="Q1422" s="1185" t="str">
        <f t="shared" si="303"/>
        <v>.</v>
      </c>
      <c r="R1422" s="1185" t="str">
        <f t="shared" si="299"/>
        <v/>
      </c>
      <c r="S1422" s="1185" t="str">
        <f>IF(AND(AD1422=1,R1422&lt;&gt;".")=TRUE,R1422/VLOOKUP(G1422,'Exchange Rates'!B:C,2,0),IF(R1422=".",".",""))</f>
        <v/>
      </c>
      <c r="T1422" s="1185" t="str">
        <f>IF(AD1422=1,IF(AF1422="Value is not given at all",".",IF(AF1422="Value is given by the source",S1422,IF(AF1422="Value is calculated with prices",(IF(SUMIFS(Q:Q,A:A,A1422)&gt;0,SUMIFS(Q:Q,A:A,A1422),"."))/VLOOKUP("USD",'Exchange Rates'!B:C,2,0),"Error with coding"))),"")</f>
        <v/>
      </c>
      <c r="U1422" s="1187" t="s">
        <v>365</v>
      </c>
      <c r="V1422" s="1040" t="s">
        <v>3902</v>
      </c>
      <c r="W1422" s="1040" t="s">
        <v>3903</v>
      </c>
      <c r="X1422" s="980" t="s">
        <v>1372</v>
      </c>
      <c r="Y1422" s="1190" t="s">
        <v>364</v>
      </c>
      <c r="Z1422" s="1187">
        <v>0</v>
      </c>
      <c r="AA1422" s="1191">
        <v>0</v>
      </c>
      <c r="AB1422" s="1028" t="s">
        <v>364</v>
      </c>
      <c r="AC1422" s="1192" t="str">
        <f>""</f>
        <v/>
      </c>
      <c r="AD1422" s="985">
        <v>0</v>
      </c>
      <c r="AE1422" s="985" t="s">
        <v>436</v>
      </c>
      <c r="AF1422" s="985" t="s">
        <v>369</v>
      </c>
      <c r="AG1422" s="985">
        <v>1</v>
      </c>
      <c r="AH1422" s="985">
        <v>13</v>
      </c>
      <c r="AI1422" s="985">
        <v>0</v>
      </c>
      <c r="AJ1422" s="1193">
        <f>VLOOKUP($I1422,'Price List, Weapons &amp; Items'!B:F,5,0)</f>
        <v>0</v>
      </c>
      <c r="AK1422" s="1193">
        <f t="shared" si="304"/>
        <v>0</v>
      </c>
      <c r="AL1422" s="1193">
        <f t="shared" si="305"/>
        <v>0</v>
      </c>
      <c r="AM1422" s="1193">
        <f t="shared" si="306"/>
        <v>1</v>
      </c>
      <c r="AN1422" s="1194" t="str">
        <f>VLOOKUP($I1422,'Price List, Weapons &amp; Items'!B:L,COLUMN('Price List, Weapons &amp; Items'!$J$11)-1,0)</f>
        <v>Media reports (incl. social media)</v>
      </c>
      <c r="AO1422" s="1194" t="str">
        <f>IF(I1422=".",".",VLOOKUP($I1422,'Price List, Weapons &amp; Items'!B:J,3,0))</f>
        <v>howitzer ammunition</v>
      </c>
      <c r="AP1422" s="1195" t="str">
        <f t="shared" ca="1" si="300"/>
        <v/>
      </c>
      <c r="AQ1422" s="1194">
        <f>VLOOKUP($I1422,'Price List, Weapons &amp; Items'!B:L,COLUMN('Price List, Weapons &amp; Items'!$L$11)-1,0)</f>
        <v>2</v>
      </c>
      <c r="AR1422" s="1194">
        <f t="shared" si="307"/>
        <v>1</v>
      </c>
      <c r="AS1422" s="1194">
        <f t="shared" si="308"/>
        <v>1</v>
      </c>
      <c r="AT1422" s="1194">
        <f t="shared" si="309"/>
        <v>1</v>
      </c>
      <c r="AU1422" s="1194" t="str">
        <f t="shared" si="298"/>
        <v>.</v>
      </c>
      <c r="AV1422" s="1194" t="str">
        <f t="shared" si="301"/>
        <v>.</v>
      </c>
      <c r="AW1422" s="1194" t="str">
        <f t="shared" si="310"/>
        <v>.</v>
      </c>
      <c r="AX1422" s="1194">
        <f>IFERROR(VLOOKUP(B1422,'Share, Heavy Weapons to Ukraine'!B:Z,COLUMN('Share, Heavy Weapons to Ukraine'!C1434)-1,0),0)</f>
        <v>1</v>
      </c>
      <c r="AY1422" s="1194">
        <f>VLOOKUP('Bilateral Assistance, MAIN DATA'!B1422,'Country Summary (€)'!B:F,COLUMN('Country Summary (€)'!C1435)-1,FALSE)</f>
        <v>0</v>
      </c>
      <c r="AZ1422" s="1194" t="str">
        <f>IF(AND(AD1422=1,D1422="Military",H1422&lt;&gt;"Not given")=TRUE,IF(SUMIFS(P:P,A:A,A1422)&gt;0,ABS((SUMIFS(P:P,A:A,A1422)/VLOOKUP("USD",'Exchange Rates'!B:C,2,0)))/S1422,"."),".")</f>
        <v>.</v>
      </c>
      <c r="BA1422" s="1196" t="str">
        <f>IF(AND(AD1422=1,D1422="Military",H1422&lt;&gt;"Not given")=TRUE,IF(SUMIFS(P:P,A:A,A1422)&gt;0,IF((ABS((SUMIFS(P:P,A:A,A1422)/VLOOKUP("USD",'Exchange Rates'!B:C,2,0)))/S1422)&gt;1,(SUMIFS(P:P,A:A,A1422)-S1422)/S1422,(S1422-SUMIFS(P:P,A:A,A1422))/SUMIFS(P:P,A:A,A1422)),"."),".")</f>
        <v>.</v>
      </c>
    </row>
    <row r="1423" spans="1:53" ht="15.95" customHeight="1">
      <c r="A1423" s="1182" t="s">
        <v>3895</v>
      </c>
      <c r="B1423" s="1182" t="s">
        <v>3748</v>
      </c>
      <c r="C1423" s="1181">
        <v>44940</v>
      </c>
      <c r="D1423" s="1182" t="s">
        <v>389</v>
      </c>
      <c r="E1423" s="1182" t="s">
        <v>443</v>
      </c>
      <c r="F1423" s="1183" t="s">
        <v>3896</v>
      </c>
      <c r="G1423" s="1184" t="s">
        <v>3750</v>
      </c>
      <c r="H1423" s="1185">
        <v>2300000000</v>
      </c>
      <c r="I1423" s="1283" t="s">
        <v>3906</v>
      </c>
      <c r="J1423" s="1186" t="str">
        <f>VLOOKUP($I1423,'Price List, Weapons &amp; Items'!B:C,2,0)</f>
        <v>Ammunition for heavy weapon</v>
      </c>
      <c r="K1423" s="1186" t="str">
        <f>IF(I1423=".",I1423,VLOOKUP($I1423,'Price List, Weapons &amp; Items'!B:D,3,0))</f>
        <v>227mm MLRS ammunition</v>
      </c>
      <c r="L1423" s="1187">
        <f>VLOOKUP(I1423,'Price List, Weapons &amp; Items'!B:E,4,0)</f>
        <v>0</v>
      </c>
      <c r="M1423" s="1188" t="s">
        <v>374</v>
      </c>
      <c r="N1423" s="1188" t="s">
        <v>374</v>
      </c>
      <c r="O1423" s="1188">
        <f>VLOOKUP($I1423,'Price List, Weapons &amp; Items'!B:G,6,0)</f>
        <v>168000</v>
      </c>
      <c r="P1423" s="1185" t="str">
        <f t="shared" si="302"/>
        <v>.</v>
      </c>
      <c r="Q1423" s="1185" t="str">
        <f t="shared" si="303"/>
        <v>.</v>
      </c>
      <c r="R1423" s="1185" t="str">
        <f t="shared" si="299"/>
        <v/>
      </c>
      <c r="S1423" s="1185" t="str">
        <f>IF(AND(AD1423=1,R1423&lt;&gt;".")=TRUE,R1423/VLOOKUP(G1423,'Exchange Rates'!B:C,2,0),IF(R1423=".",".",""))</f>
        <v/>
      </c>
      <c r="T1423" s="1185" t="str">
        <f>IF(AD1423=1,IF(AF1423="Value is not given at all",".",IF(AF1423="Value is given by the source",S1423,IF(AF1423="Value is calculated with prices",(IF(SUMIFS(Q:Q,A:A,A1423)&gt;0,SUMIFS(Q:Q,A:A,A1423),"."))/VLOOKUP("USD",'Exchange Rates'!B:C,2,0),"Error with coding"))),"")</f>
        <v/>
      </c>
      <c r="U1423" s="1187" t="s">
        <v>365</v>
      </c>
      <c r="V1423" s="1040" t="s">
        <v>3902</v>
      </c>
      <c r="W1423" s="1040" t="s">
        <v>3903</v>
      </c>
      <c r="X1423" s="980" t="s">
        <v>1372</v>
      </c>
      <c r="Y1423" s="1190" t="s">
        <v>364</v>
      </c>
      <c r="Z1423" s="1187">
        <v>0</v>
      </c>
      <c r="AA1423" s="1191">
        <v>0</v>
      </c>
      <c r="AB1423" s="1028" t="s">
        <v>364</v>
      </c>
      <c r="AC1423" s="1192" t="str">
        <f>""</f>
        <v/>
      </c>
      <c r="AD1423" s="985">
        <v>0</v>
      </c>
      <c r="AE1423" s="985" t="s">
        <v>436</v>
      </c>
      <c r="AF1423" s="985" t="s">
        <v>369</v>
      </c>
      <c r="AG1423" s="985">
        <v>1</v>
      </c>
      <c r="AH1423" s="985">
        <v>13</v>
      </c>
      <c r="AI1423" s="985">
        <v>0</v>
      </c>
      <c r="AJ1423" s="1193">
        <f>VLOOKUP($I1423,'Price List, Weapons &amp; Items'!B:F,5,0)</f>
        <v>1</v>
      </c>
      <c r="AK1423" s="1193">
        <f t="shared" si="304"/>
        <v>1</v>
      </c>
      <c r="AL1423" s="1193">
        <f t="shared" si="305"/>
        <v>1</v>
      </c>
      <c r="AM1423" s="1193">
        <f t="shared" si="306"/>
        <v>0</v>
      </c>
      <c r="AN1423" s="1194" t="str">
        <f>VLOOKUP($I1423,'Price List, Weapons &amp; Items'!B:L,COLUMN('Price List, Weapons &amp; Items'!$J$11)-1,0)</f>
        <v>Military media (incl. websites)</v>
      </c>
      <c r="AO1423" s="1194" t="str">
        <f>IF(I1423=".",".",VLOOKUP($I1423,'Price List, Weapons &amp; Items'!B:J,3,0))</f>
        <v>227mm MLRS ammunition</v>
      </c>
      <c r="AP1423" s="1195" t="str">
        <f t="shared" ca="1" si="300"/>
        <v/>
      </c>
      <c r="AQ1423" s="1194" t="str">
        <f>VLOOKUP($I1423,'Price List, Weapons &amp; Items'!B:L,COLUMN('Price List, Weapons &amp; Items'!$L$11)-1,0)</f>
        <v>no price, 0 count</v>
      </c>
      <c r="AR1423" s="1194">
        <f t="shared" si="307"/>
        <v>1</v>
      </c>
      <c r="AS1423" s="1194">
        <f t="shared" si="308"/>
        <v>1</v>
      </c>
      <c r="AT1423" s="1194">
        <f t="shared" si="309"/>
        <v>1</v>
      </c>
      <c r="AU1423" s="1194" t="str">
        <f t="shared" si="298"/>
        <v>.</v>
      </c>
      <c r="AV1423" s="1194" t="str">
        <f t="shared" si="301"/>
        <v>.</v>
      </c>
      <c r="AW1423" s="1194" t="str">
        <f t="shared" si="310"/>
        <v>.</v>
      </c>
      <c r="AX1423" s="1194">
        <f>IFERROR(VLOOKUP(B1423,'Share, Heavy Weapons to Ukraine'!B:Z,COLUMN('Share, Heavy Weapons to Ukraine'!C1435)-1,0),0)</f>
        <v>1</v>
      </c>
      <c r="AY1423" s="1194">
        <f>VLOOKUP('Bilateral Assistance, MAIN DATA'!B1423,'Country Summary (€)'!B:F,COLUMN('Country Summary (€)'!C1436)-1,FALSE)</f>
        <v>0</v>
      </c>
      <c r="AZ1423" s="1194" t="str">
        <f>IF(AND(AD1423=1,D1423="Military",H1423&lt;&gt;"Not given")=TRUE,IF(SUMIFS(P:P,A:A,A1423)&gt;0,ABS((SUMIFS(P:P,A:A,A1423)/VLOOKUP("USD",'Exchange Rates'!B:C,2,0)))/S1423,"."),".")</f>
        <v>.</v>
      </c>
      <c r="BA1423" s="1196" t="str">
        <f>IF(AND(AD1423=1,D1423="Military",H1423&lt;&gt;"Not given")=TRUE,IF(SUMIFS(P:P,A:A,A1423)&gt;0,IF((ABS((SUMIFS(P:P,A:A,A1423)/VLOOKUP("USD",'Exchange Rates'!B:C,2,0)))/S1423)&gt;1,(SUMIFS(P:P,A:A,A1423)-S1423)/S1423,(S1423-SUMIFS(P:P,A:A,A1423))/SUMIFS(P:P,A:A,A1423)),"."),".")</f>
        <v>.</v>
      </c>
    </row>
    <row r="1424" spans="1:53" ht="15.95" customHeight="1">
      <c r="A1424" s="1182" t="s">
        <v>3895</v>
      </c>
      <c r="B1424" s="1182" t="s">
        <v>3748</v>
      </c>
      <c r="C1424" s="1181">
        <v>44940</v>
      </c>
      <c r="D1424" s="1182" t="s">
        <v>389</v>
      </c>
      <c r="E1424" s="1182" t="s">
        <v>443</v>
      </c>
      <c r="F1424" s="1183" t="s">
        <v>3896</v>
      </c>
      <c r="G1424" s="1184" t="s">
        <v>3750</v>
      </c>
      <c r="H1424" s="1185">
        <v>2300000000</v>
      </c>
      <c r="I1424" s="1283" t="s">
        <v>3814</v>
      </c>
      <c r="J1424" s="1186" t="str">
        <f>VLOOKUP($I1424,'Price List, Weapons &amp; Items'!B:C,2,0)</f>
        <v>Ammunition for portable defence system</v>
      </c>
      <c r="K1424" s="1186" t="str">
        <f>IF(I1424=".",I1424,VLOOKUP($I1424,'Price List, Weapons &amp; Items'!B:D,3,0))</f>
        <v>MANPADS ammunition</v>
      </c>
      <c r="L1424" s="1187">
        <f>VLOOKUP(I1424,'Price List, Weapons &amp; Items'!B:E,4,0)</f>
        <v>0</v>
      </c>
      <c r="M1424" s="1188" t="s">
        <v>374</v>
      </c>
      <c r="N1424" s="1188" t="s">
        <v>374</v>
      </c>
      <c r="O1424" s="1188">
        <f>VLOOKUP($I1424,'Price List, Weapons &amp; Items'!B:G,6,0)</f>
        <v>194000</v>
      </c>
      <c r="P1424" s="1185" t="str">
        <f t="shared" si="302"/>
        <v>.</v>
      </c>
      <c r="Q1424" s="1185" t="str">
        <f t="shared" si="303"/>
        <v>.</v>
      </c>
      <c r="R1424" s="1185" t="str">
        <f t="shared" si="299"/>
        <v/>
      </c>
      <c r="S1424" s="1185" t="str">
        <f>IF(AND(AD1424=1,R1424&lt;&gt;".")=TRUE,R1424/VLOOKUP(G1424,'Exchange Rates'!B:C,2,0),IF(R1424=".",".",""))</f>
        <v/>
      </c>
      <c r="T1424" s="1185" t="str">
        <f>IF(AD1424=1,IF(AF1424="Value is not given at all",".",IF(AF1424="Value is given by the source",S1424,IF(AF1424="Value is calculated with prices",(IF(SUMIFS(Q:Q,A:A,A1424)&gt;0,SUMIFS(Q:Q,A:A,A1424),"."))/VLOOKUP("USD",'Exchange Rates'!B:C,2,0),"Error with coding"))),"")</f>
        <v/>
      </c>
      <c r="U1424" s="1187" t="s">
        <v>365</v>
      </c>
      <c r="V1424" s="1040" t="s">
        <v>3902</v>
      </c>
      <c r="W1424" s="1040" t="s">
        <v>3903</v>
      </c>
      <c r="X1424" s="980" t="s">
        <v>1372</v>
      </c>
      <c r="Y1424" s="1190" t="s">
        <v>364</v>
      </c>
      <c r="Z1424" s="1187">
        <v>0</v>
      </c>
      <c r="AA1424" s="1191">
        <v>0</v>
      </c>
      <c r="AB1424" s="1028" t="s">
        <v>364</v>
      </c>
      <c r="AC1424" s="1192" t="str">
        <f>""</f>
        <v/>
      </c>
      <c r="AD1424" s="985">
        <v>0</v>
      </c>
      <c r="AE1424" s="985" t="s">
        <v>436</v>
      </c>
      <c r="AF1424" s="985" t="s">
        <v>369</v>
      </c>
      <c r="AG1424" s="985">
        <v>1</v>
      </c>
      <c r="AH1424" s="985">
        <v>13</v>
      </c>
      <c r="AI1424" s="985">
        <v>0</v>
      </c>
      <c r="AJ1424" s="1193">
        <f>VLOOKUP($I1424,'Price List, Weapons &amp; Items'!B:F,5,0)</f>
        <v>0</v>
      </c>
      <c r="AK1424" s="1193">
        <f t="shared" si="304"/>
        <v>0</v>
      </c>
      <c r="AL1424" s="1193">
        <f t="shared" si="305"/>
        <v>0</v>
      </c>
      <c r="AM1424" s="1193">
        <f t="shared" si="306"/>
        <v>0</v>
      </c>
      <c r="AN1424" s="1194" t="str">
        <f>VLOOKUP($I1424,'Price List, Weapons &amp; Items'!B:L,COLUMN('Price List, Weapons &amp; Items'!$J$11)-1,0)</f>
        <v>Contracts</v>
      </c>
      <c r="AO1424" s="1194" t="str">
        <f>IF(I1424=".",".",VLOOKUP($I1424,'Price List, Weapons &amp; Items'!B:J,3,0))</f>
        <v>MANPADS ammunition</v>
      </c>
      <c r="AP1424" s="1195" t="str">
        <f t="shared" ca="1" si="300"/>
        <v/>
      </c>
      <c r="AQ1424" s="1194" t="str">
        <f>VLOOKUP($I1424,'Price List, Weapons &amp; Items'!B:L,COLUMN('Price List, Weapons &amp; Items'!$L$11)-1,0)</f>
        <v>no price, 0 count</v>
      </c>
      <c r="AR1424" s="1194">
        <f t="shared" si="307"/>
        <v>1</v>
      </c>
      <c r="AS1424" s="1194">
        <f t="shared" si="308"/>
        <v>1</v>
      </c>
      <c r="AT1424" s="1194">
        <f t="shared" si="309"/>
        <v>1</v>
      </c>
      <c r="AU1424" s="1194" t="str">
        <f t="shared" si="298"/>
        <v>.</v>
      </c>
      <c r="AV1424" s="1194" t="str">
        <f t="shared" si="301"/>
        <v>.</v>
      </c>
      <c r="AW1424" s="1194" t="str">
        <f t="shared" si="310"/>
        <v>.</v>
      </c>
      <c r="AX1424" s="1194">
        <f>IFERROR(VLOOKUP(B1424,'Share, Heavy Weapons to Ukraine'!B:Z,COLUMN('Share, Heavy Weapons to Ukraine'!C1436)-1,0),0)</f>
        <v>1</v>
      </c>
      <c r="AY1424" s="1194">
        <f>VLOOKUP('Bilateral Assistance, MAIN DATA'!B1424,'Country Summary (€)'!B:F,COLUMN('Country Summary (€)'!C1437)-1,FALSE)</f>
        <v>0</v>
      </c>
      <c r="AZ1424" s="1194" t="str">
        <f>IF(AND(AD1424=1,D1424="Military",H1424&lt;&gt;"Not given")=TRUE,IF(SUMIFS(P:P,A:A,A1424)&gt;0,ABS((SUMIFS(P:P,A:A,A1424)/VLOOKUP("USD",'Exchange Rates'!B:C,2,0)))/S1424,"."),".")</f>
        <v>.</v>
      </c>
      <c r="BA1424" s="1196" t="str">
        <f>IF(AND(AD1424=1,D1424="Military",H1424&lt;&gt;"Not given")=TRUE,IF(SUMIFS(P:P,A:A,A1424)&gt;0,IF((ABS((SUMIFS(P:P,A:A,A1424)/VLOOKUP("USD",'Exchange Rates'!B:C,2,0)))/S1424)&gt;1,(SUMIFS(P:P,A:A,A1424)-S1424)/S1424,(S1424-SUMIFS(P:P,A:A,A1424))/SUMIFS(P:P,A:A,A1424)),"."),".")</f>
        <v>.</v>
      </c>
    </row>
    <row r="1425" spans="1:53" ht="15.95" customHeight="1">
      <c r="A1425" s="1182" t="s">
        <v>3895</v>
      </c>
      <c r="B1425" s="1182" t="s">
        <v>3748</v>
      </c>
      <c r="C1425" s="1181">
        <v>44940</v>
      </c>
      <c r="D1425" s="1182" t="s">
        <v>389</v>
      </c>
      <c r="E1425" s="1182" t="s">
        <v>443</v>
      </c>
      <c r="F1425" s="1183" t="s">
        <v>3896</v>
      </c>
      <c r="G1425" s="1184" t="s">
        <v>3750</v>
      </c>
      <c r="H1425" s="1185">
        <v>2300000000</v>
      </c>
      <c r="I1425" s="1283" t="s">
        <v>3843</v>
      </c>
      <c r="J1425" s="1186" t="str">
        <f>VLOOKUP($I1425,'Price List, Weapons &amp; Items'!B:C,2,0)</f>
        <v>Ammunition for heavy weapon</v>
      </c>
      <c r="K1425" s="1186" t="str">
        <f>IF(I1425=".",I1425,VLOOKUP($I1425,'Price List, Weapons &amp; Items'!B:D,3,0))</f>
        <v>Air-to-surface missile (ASM)</v>
      </c>
      <c r="L1425" s="1187">
        <f>VLOOKUP(I1425,'Price List, Weapons &amp; Items'!B:E,4,0)</f>
        <v>0</v>
      </c>
      <c r="M1425" s="1188">
        <v>600</v>
      </c>
      <c r="N1425" s="1188" t="s">
        <v>374</v>
      </c>
      <c r="O1425" s="1188">
        <f>VLOOKUP($I1425,'Price List, Weapons &amp; Items'!B:G,6,0)</f>
        <v>220000</v>
      </c>
      <c r="P1425" s="1185">
        <f t="shared" si="302"/>
        <v>132000000</v>
      </c>
      <c r="Q1425" s="1185" t="str">
        <f t="shared" si="303"/>
        <v>.</v>
      </c>
      <c r="R1425" s="1185" t="str">
        <f t="shared" si="299"/>
        <v/>
      </c>
      <c r="S1425" s="1185" t="str">
        <f>IF(AND(AD1425=1,R1425&lt;&gt;".")=TRUE,R1425/VLOOKUP(G1425,'Exchange Rates'!B:C,2,0),IF(R1425=".",".",""))</f>
        <v/>
      </c>
      <c r="T1425" s="1185" t="str">
        <f>IF(AD1425=1,IF(AF1425="Value is not given at all",".",IF(AF1425="Value is given by the source",S1425,IF(AF1425="Value is calculated with prices",(IF(SUMIFS(Q:Q,A:A,A1425)&gt;0,SUMIFS(Q:Q,A:A,A1425),"."))/VLOOKUP("USD",'Exchange Rates'!B:C,2,0),"Error with coding"))),"")</f>
        <v/>
      </c>
      <c r="U1425" s="1187" t="s">
        <v>365</v>
      </c>
      <c r="V1425" s="1040" t="s">
        <v>3902</v>
      </c>
      <c r="W1425" s="1040" t="s">
        <v>3903</v>
      </c>
      <c r="X1425" s="980" t="s">
        <v>1372</v>
      </c>
      <c r="Y1425" s="1190" t="s">
        <v>364</v>
      </c>
      <c r="Z1425" s="1187">
        <v>0</v>
      </c>
      <c r="AA1425" s="1191">
        <v>0</v>
      </c>
      <c r="AB1425" s="1028" t="s">
        <v>364</v>
      </c>
      <c r="AC1425" s="1192" t="str">
        <f>""</f>
        <v/>
      </c>
      <c r="AD1425" s="985">
        <v>0</v>
      </c>
      <c r="AE1425" s="985" t="s">
        <v>436</v>
      </c>
      <c r="AF1425" s="985" t="s">
        <v>369</v>
      </c>
      <c r="AG1425" s="985">
        <v>1</v>
      </c>
      <c r="AH1425" s="985">
        <v>13</v>
      </c>
      <c r="AI1425" s="985">
        <v>0</v>
      </c>
      <c r="AJ1425" s="1193">
        <f>VLOOKUP($I1425,'Price List, Weapons &amp; Items'!B:F,5,0)</f>
        <v>0</v>
      </c>
      <c r="AK1425" s="1193">
        <f t="shared" si="304"/>
        <v>0</v>
      </c>
      <c r="AL1425" s="1193">
        <f t="shared" si="305"/>
        <v>0</v>
      </c>
      <c r="AM1425" s="1193">
        <f t="shared" si="306"/>
        <v>0</v>
      </c>
      <c r="AN1425" s="1194" t="str">
        <f>VLOOKUP($I1425,'Price List, Weapons &amp; Items'!B:L,COLUMN('Price List, Weapons &amp; Items'!$J$11)-1,0)</f>
        <v>Government information</v>
      </c>
      <c r="AO1425" s="1194" t="str">
        <f>IF(I1425=".",".",VLOOKUP($I1425,'Price List, Weapons &amp; Items'!B:J,3,0))</f>
        <v>Air-to-surface missile (ASM)</v>
      </c>
      <c r="AP1425" s="1195" t="str">
        <f t="shared" ca="1" si="300"/>
        <v/>
      </c>
      <c r="AQ1425" s="1194">
        <f>VLOOKUP($I1425,'Price List, Weapons &amp; Items'!B:L,COLUMN('Price List, Weapons &amp; Items'!$L$11)-1,0)</f>
        <v>2</v>
      </c>
      <c r="AR1425" s="1194">
        <f t="shared" si="307"/>
        <v>1</v>
      </c>
      <c r="AS1425" s="1194">
        <f t="shared" si="308"/>
        <v>1</v>
      </c>
      <c r="AT1425" s="1194">
        <f t="shared" si="309"/>
        <v>1</v>
      </c>
      <c r="AU1425" s="1194" t="str">
        <f t="shared" si="298"/>
        <v>.</v>
      </c>
      <c r="AV1425" s="1194" t="str">
        <f t="shared" si="301"/>
        <v>.</v>
      </c>
      <c r="AW1425" s="1194" t="str">
        <f t="shared" si="310"/>
        <v>.</v>
      </c>
      <c r="AX1425" s="1194">
        <f>IFERROR(VLOOKUP(B1425,'Share, Heavy Weapons to Ukraine'!B:Z,COLUMN('Share, Heavy Weapons to Ukraine'!C1437)-1,0),0)</f>
        <v>1</v>
      </c>
      <c r="AY1425" s="1194">
        <f>VLOOKUP('Bilateral Assistance, MAIN DATA'!B1425,'Country Summary (€)'!B:F,COLUMN('Country Summary (€)'!C1438)-1,FALSE)</f>
        <v>0</v>
      </c>
      <c r="AZ1425" s="1194" t="str">
        <f>IF(AND(AD1425=1,D1425="Military",H1425&lt;&gt;"Not given")=TRUE,IF(SUMIFS(P:P,A:A,A1425)&gt;0,ABS((SUMIFS(P:P,A:A,A1425)/VLOOKUP("USD",'Exchange Rates'!B:C,2,0)))/S1425,"."),".")</f>
        <v>.</v>
      </c>
      <c r="BA1425" s="1196" t="str">
        <f>IF(AND(AD1425=1,D1425="Military",H1425&lt;&gt;"Not given")=TRUE,IF(SUMIFS(P:P,A:A,A1425)&gt;0,IF((ABS((SUMIFS(P:P,A:A,A1425)/VLOOKUP("USD",'Exchange Rates'!B:C,2,0)))/S1425)&gt;1,(SUMIFS(P:P,A:A,A1425)-S1425)/S1425,(S1425-SUMIFS(P:P,A:A,A1425))/SUMIFS(P:P,A:A,A1425)),"."),".")</f>
        <v>.</v>
      </c>
    </row>
    <row r="1426" spans="1:53" ht="15.95" customHeight="1">
      <c r="A1426" s="1182" t="s">
        <v>3895</v>
      </c>
      <c r="B1426" s="1182" t="s">
        <v>3748</v>
      </c>
      <c r="C1426" s="1181">
        <v>44940</v>
      </c>
      <c r="D1426" s="1182" t="s">
        <v>389</v>
      </c>
      <c r="E1426" s="1182" t="s">
        <v>443</v>
      </c>
      <c r="F1426" s="1183" t="s">
        <v>3896</v>
      </c>
      <c r="G1426" s="1184" t="s">
        <v>3750</v>
      </c>
      <c r="H1426" s="1185">
        <v>2300000000</v>
      </c>
      <c r="I1426" s="1283" t="s">
        <v>3907</v>
      </c>
      <c r="J1426" s="1186" t="str">
        <f>VLOOKUP($I1426,'Price List, Weapons &amp; Items'!B:C,2,0)</f>
        <v>Heavy weapon</v>
      </c>
      <c r="K1426" s="1186" t="str">
        <f>IF(I1426=".",I1426,VLOOKUP($I1426,'Price List, Weapons &amp; Items'!B:D,3,0))</f>
        <v>unspecified Armored vehicle</v>
      </c>
      <c r="L1426" s="1187">
        <f>VLOOKUP(I1426,'Price List, Weapons &amp; Items'!B:E,4,0)</f>
        <v>0</v>
      </c>
      <c r="M1426" s="1188">
        <v>200</v>
      </c>
      <c r="N1426" s="1188" t="s">
        <v>374</v>
      </c>
      <c r="O1426" s="1188" t="str">
        <f>VLOOKUP($I1426,'Price List, Weapons &amp; Items'!B:G,6,0)</f>
        <v>.</v>
      </c>
      <c r="P1426" s="1185" t="str">
        <f t="shared" si="302"/>
        <v>No price</v>
      </c>
      <c r="Q1426" s="1185" t="str">
        <f t="shared" si="303"/>
        <v>.</v>
      </c>
      <c r="R1426" s="1185" t="str">
        <f t="shared" si="299"/>
        <v/>
      </c>
      <c r="S1426" s="1185" t="str">
        <f>IF(AND(AD1426=1,R1426&lt;&gt;".")=TRUE,R1426/VLOOKUP(G1426,'Exchange Rates'!B:C,2,0),IF(R1426=".",".",""))</f>
        <v/>
      </c>
      <c r="T1426" s="1185" t="str">
        <f>IF(AD1426=1,IF(AF1426="Value is not given at all",".",IF(AF1426="Value is given by the source",S1426,IF(AF1426="Value is calculated with prices",(IF(SUMIFS(Q:Q,A:A,A1426)&gt;0,SUMIFS(Q:Q,A:A,A1426),"."))/VLOOKUP("USD",'Exchange Rates'!B:C,2,0),"Error with coding"))),"")</f>
        <v/>
      </c>
      <c r="U1426" s="1187" t="s">
        <v>365</v>
      </c>
      <c r="V1426" s="1040" t="s">
        <v>3902</v>
      </c>
      <c r="W1426" s="1040" t="s">
        <v>3903</v>
      </c>
      <c r="X1426" s="980" t="s">
        <v>1372</v>
      </c>
      <c r="Y1426" s="1190" t="s">
        <v>364</v>
      </c>
      <c r="Z1426" s="1187">
        <v>0</v>
      </c>
      <c r="AA1426" s="1191">
        <v>0</v>
      </c>
      <c r="AB1426" s="1028" t="s">
        <v>364</v>
      </c>
      <c r="AC1426" s="1192" t="str">
        <f>""</f>
        <v/>
      </c>
      <c r="AD1426" s="985">
        <v>0</v>
      </c>
      <c r="AE1426" s="985" t="s">
        <v>436</v>
      </c>
      <c r="AF1426" s="985" t="s">
        <v>369</v>
      </c>
      <c r="AG1426" s="985">
        <v>1</v>
      </c>
      <c r="AH1426" s="985">
        <v>13</v>
      </c>
      <c r="AI1426" s="985">
        <v>0</v>
      </c>
      <c r="AJ1426" s="1193">
        <f>VLOOKUP($I1426,'Price List, Weapons &amp; Items'!B:F,5,0)</f>
        <v>0</v>
      </c>
      <c r="AK1426" s="1193">
        <f t="shared" si="304"/>
        <v>0</v>
      </c>
      <c r="AL1426" s="1193">
        <f t="shared" si="305"/>
        <v>0</v>
      </c>
      <c r="AM1426" s="1193">
        <f t="shared" si="306"/>
        <v>0</v>
      </c>
      <c r="AN1426" s="1194" t="str">
        <f>VLOOKUP($I1426,'Price List, Weapons &amp; Items'!B:L,COLUMN('Price List, Weapons &amp; Items'!$J$11)-1,0)</f>
        <v>.</v>
      </c>
      <c r="AO1426" s="1194" t="str">
        <f>IF(I1426=".",".",VLOOKUP($I1426,'Price List, Weapons &amp; Items'!B:J,3,0))</f>
        <v>unspecified Armored vehicle</v>
      </c>
      <c r="AP1426" s="1195" t="str">
        <f t="shared" ca="1" si="300"/>
        <v/>
      </c>
      <c r="AQ1426" s="1194">
        <f>VLOOKUP($I1426,'Price List, Weapons &amp; Items'!B:L,COLUMN('Price List, Weapons &amp; Items'!$L$11)-1,0)</f>
        <v>0</v>
      </c>
      <c r="AR1426" s="1194">
        <f t="shared" si="307"/>
        <v>1</v>
      </c>
      <c r="AS1426" s="1194">
        <f t="shared" si="308"/>
        <v>1</v>
      </c>
      <c r="AT1426" s="1194">
        <f t="shared" si="309"/>
        <v>1</v>
      </c>
      <c r="AU1426" s="1194" t="str">
        <f t="shared" si="298"/>
        <v>.</v>
      </c>
      <c r="AV1426" s="1194" t="str">
        <f t="shared" si="301"/>
        <v>.</v>
      </c>
      <c r="AW1426" s="1194" t="str">
        <f t="shared" si="310"/>
        <v>.</v>
      </c>
      <c r="AX1426" s="1194">
        <f>IFERROR(VLOOKUP(B1426,'Share, Heavy Weapons to Ukraine'!B:Z,COLUMN('Share, Heavy Weapons to Ukraine'!C1438)-1,0),0)</f>
        <v>1</v>
      </c>
      <c r="AY1426" s="1194">
        <f>VLOOKUP('Bilateral Assistance, MAIN DATA'!B1426,'Country Summary (€)'!B:F,COLUMN('Country Summary (€)'!C1439)-1,FALSE)</f>
        <v>0</v>
      </c>
      <c r="AZ1426" s="1194" t="str">
        <f>IF(AND(AD1426=1,D1426="Military",H1426&lt;&gt;"Not given")=TRUE,IF(SUMIFS(P:P,A:A,A1426)&gt;0,ABS((SUMIFS(P:P,A:A,A1426)/VLOOKUP("USD",'Exchange Rates'!B:C,2,0)))/S1426,"."),".")</f>
        <v>.</v>
      </c>
      <c r="BA1426" s="1196" t="str">
        <f>IF(AND(AD1426=1,D1426="Military",H1426&lt;&gt;"Not given")=TRUE,IF(SUMIFS(P:P,A:A,A1426)&gt;0,IF((ABS((SUMIFS(P:P,A:A,A1426)/VLOOKUP("USD",'Exchange Rates'!B:C,2,0)))/S1426)&gt;1,(SUMIFS(P:P,A:A,A1426)-S1426)/S1426,(S1426-SUMIFS(P:P,A:A,A1426))/SUMIFS(P:P,A:A,A1426)),"."),".")</f>
        <v>.</v>
      </c>
    </row>
    <row r="1427" spans="1:53" ht="15.95" customHeight="1">
      <c r="A1427" s="1182" t="s">
        <v>3895</v>
      </c>
      <c r="B1427" s="1182" t="s">
        <v>3748</v>
      </c>
      <c r="C1427" s="1181">
        <v>44940</v>
      </c>
      <c r="D1427" s="1182" t="s">
        <v>389</v>
      </c>
      <c r="E1427" s="1182" t="s">
        <v>443</v>
      </c>
      <c r="F1427" s="1183" t="s">
        <v>3896</v>
      </c>
      <c r="G1427" s="1184" t="s">
        <v>3750</v>
      </c>
      <c r="H1427" s="1185">
        <v>2300000000</v>
      </c>
      <c r="I1427" s="1283" t="s">
        <v>3908</v>
      </c>
      <c r="J1427" s="1186" t="str">
        <f>VLOOKUP($I1427,'Price List, Weapons &amp; Items'!B:C,2,0)</f>
        <v>Military equipment</v>
      </c>
      <c r="K1427" s="1186" t="str">
        <f>IF(I1427=".",I1427,VLOOKUP($I1427,'Price List, Weapons &amp; Items'!B:D,3,0))</f>
        <v>Military equipment</v>
      </c>
      <c r="L1427" s="1187">
        <f>VLOOKUP(I1427,'Price List, Weapons &amp; Items'!B:E,4,0)</f>
        <v>0</v>
      </c>
      <c r="M1427" s="1188" t="s">
        <v>374</v>
      </c>
      <c r="N1427" s="1188" t="s">
        <v>374</v>
      </c>
      <c r="O1427" s="1188">
        <f>VLOOKUP($I1427,'Price List, Weapons &amp; Items'!B:G,6,0)</f>
        <v>34613600</v>
      </c>
      <c r="P1427" s="1185" t="str">
        <f t="shared" si="302"/>
        <v>.</v>
      </c>
      <c r="Q1427" s="1185" t="str">
        <f t="shared" si="303"/>
        <v>.</v>
      </c>
      <c r="R1427" s="1185" t="str">
        <f t="shared" si="299"/>
        <v/>
      </c>
      <c r="S1427" s="1185" t="str">
        <f>IF(AND(AD1427=1,R1427&lt;&gt;".")=TRUE,R1427/VLOOKUP(G1427,'Exchange Rates'!B:C,2,0),IF(R1427=".",".",""))</f>
        <v/>
      </c>
      <c r="T1427" s="1185" t="str">
        <f>IF(AD1427=1,IF(AF1427="Value is not given at all",".",IF(AF1427="Value is given by the source",S1427,IF(AF1427="Value is calculated with prices",(IF(SUMIFS(Q:Q,A:A,A1427)&gt;0,SUMIFS(Q:Q,A:A,A1427),"."))/VLOOKUP("USD",'Exchange Rates'!B:C,2,0),"Error with coding"))),"")</f>
        <v/>
      </c>
      <c r="U1427" s="1187" t="s">
        <v>365</v>
      </c>
      <c r="V1427" s="1040" t="s">
        <v>3902</v>
      </c>
      <c r="W1427" s="1040" t="s">
        <v>3903</v>
      </c>
      <c r="X1427" s="980" t="s">
        <v>1372</v>
      </c>
      <c r="Y1427" s="1190" t="s">
        <v>364</v>
      </c>
      <c r="Z1427" s="1187">
        <v>0</v>
      </c>
      <c r="AA1427" s="1191">
        <v>0</v>
      </c>
      <c r="AB1427" s="1028" t="s">
        <v>364</v>
      </c>
      <c r="AC1427" s="1192" t="str">
        <f>""</f>
        <v/>
      </c>
      <c r="AD1427" s="985">
        <v>0</v>
      </c>
      <c r="AE1427" s="985" t="s">
        <v>436</v>
      </c>
      <c r="AF1427" s="985" t="s">
        <v>369</v>
      </c>
      <c r="AG1427" s="985">
        <v>1</v>
      </c>
      <c r="AH1427" s="985">
        <v>13</v>
      </c>
      <c r="AI1427" s="985">
        <v>0</v>
      </c>
      <c r="AJ1427" s="1193">
        <f>VLOOKUP($I1427,'Price List, Weapons &amp; Items'!B:F,5,0)</f>
        <v>0</v>
      </c>
      <c r="AK1427" s="1193">
        <f t="shared" si="304"/>
        <v>0</v>
      </c>
      <c r="AL1427" s="1193">
        <f t="shared" si="305"/>
        <v>0</v>
      </c>
      <c r="AM1427" s="1193">
        <f t="shared" si="306"/>
        <v>0</v>
      </c>
      <c r="AN1427" s="1194" t="str">
        <f>VLOOKUP($I1427,'Price List, Weapons &amp; Items'!B:L,COLUMN('Price List, Weapons &amp; Items'!$J$11)-1,0)</f>
        <v>Government information</v>
      </c>
      <c r="AO1427" s="1194" t="str">
        <f>IF(I1427=".",".",VLOOKUP($I1427,'Price List, Weapons &amp; Items'!B:J,3,0))</f>
        <v>Military equipment</v>
      </c>
      <c r="AP1427" s="1195" t="str">
        <f t="shared" ca="1" si="300"/>
        <v/>
      </c>
      <c r="AQ1427" s="1194" t="str">
        <f>VLOOKUP($I1427,'Price List, Weapons &amp; Items'!B:L,COLUMN('Price List, Weapons &amp; Items'!$L$11)-1,0)</f>
        <v>no price, 0 count</v>
      </c>
      <c r="AR1427" s="1194">
        <f t="shared" si="307"/>
        <v>1</v>
      </c>
      <c r="AS1427" s="1194">
        <f t="shared" si="308"/>
        <v>1</v>
      </c>
      <c r="AT1427" s="1194">
        <f t="shared" si="309"/>
        <v>1</v>
      </c>
      <c r="AU1427" s="1194" t="str">
        <f t="shared" si="298"/>
        <v>.</v>
      </c>
      <c r="AV1427" s="1194" t="str">
        <f t="shared" si="301"/>
        <v>.</v>
      </c>
      <c r="AW1427" s="1194" t="str">
        <f t="shared" si="310"/>
        <v>.</v>
      </c>
      <c r="AX1427" s="1194">
        <f>IFERROR(VLOOKUP(B1427,'Share, Heavy Weapons to Ukraine'!B:Z,COLUMN('Share, Heavy Weapons to Ukraine'!C1439)-1,0),0)</f>
        <v>1</v>
      </c>
      <c r="AY1427" s="1194">
        <f>VLOOKUP('Bilateral Assistance, MAIN DATA'!B1427,'Country Summary (€)'!B:F,COLUMN('Country Summary (€)'!C1440)-1,FALSE)</f>
        <v>0</v>
      </c>
      <c r="AZ1427" s="1194" t="str">
        <f>IF(AND(AD1427=1,D1427="Military",H1427&lt;&gt;"Not given")=TRUE,IF(SUMIFS(P:P,A:A,A1427)&gt;0,ABS((SUMIFS(P:P,A:A,A1427)/VLOOKUP("USD",'Exchange Rates'!B:C,2,0)))/S1427,"."),".")</f>
        <v>.</v>
      </c>
      <c r="BA1427" s="1196" t="str">
        <f>IF(AND(AD1427=1,D1427="Military",H1427&lt;&gt;"Not given")=TRUE,IF(SUMIFS(P:P,A:A,A1427)&gt;0,IF((ABS((SUMIFS(P:P,A:A,A1427)/VLOOKUP("USD",'Exchange Rates'!B:C,2,0)))/S1427)&gt;1,(SUMIFS(P:P,A:A,A1427)-S1427)/S1427,(S1427-SUMIFS(P:P,A:A,A1427))/SUMIFS(P:P,A:A,A1427)),"."),".")</f>
        <v>.</v>
      </c>
    </row>
    <row r="1428" spans="1:53" ht="15.95" customHeight="1">
      <c r="A1428" s="1182" t="s">
        <v>3895</v>
      </c>
      <c r="B1428" s="1182" t="s">
        <v>3748</v>
      </c>
      <c r="C1428" s="1181">
        <v>44940</v>
      </c>
      <c r="D1428" s="1182" t="s">
        <v>389</v>
      </c>
      <c r="E1428" s="1182" t="s">
        <v>443</v>
      </c>
      <c r="F1428" s="1183" t="s">
        <v>3896</v>
      </c>
      <c r="G1428" s="1184" t="s">
        <v>3750</v>
      </c>
      <c r="H1428" s="1185">
        <v>2300000000</v>
      </c>
      <c r="I1428" s="1283" t="s">
        <v>3909</v>
      </c>
      <c r="J1428" s="1186" t="str">
        <f>VLOOKUP($I1428,'Price List, Weapons &amp; Items'!B:C,2,0)</f>
        <v>Military equipment</v>
      </c>
      <c r="K1428" s="1186" t="str">
        <f>IF(I1428=".",I1428,VLOOKUP($I1428,'Price List, Weapons &amp; Items'!B:D,3,0))</f>
        <v>Military equipment</v>
      </c>
      <c r="L1428" s="1187">
        <f>VLOOKUP(I1428,'Price List, Weapons &amp; Items'!B:E,4,0)</f>
        <v>0</v>
      </c>
      <c r="M1428" s="1188" t="s">
        <v>374</v>
      </c>
      <c r="N1428" s="1188" t="s">
        <v>374</v>
      </c>
      <c r="O1428" s="1188">
        <f>VLOOKUP($I1428,'Price List, Weapons &amp; Items'!B:G,6,0)</f>
        <v>24724000</v>
      </c>
      <c r="P1428" s="1185" t="str">
        <f t="shared" si="302"/>
        <v>.</v>
      </c>
      <c r="Q1428" s="1185" t="str">
        <f t="shared" si="303"/>
        <v>.</v>
      </c>
      <c r="R1428" s="1185" t="str">
        <f t="shared" si="299"/>
        <v/>
      </c>
      <c r="S1428" s="1185" t="str">
        <f>IF(AND(AD1428=1,R1428&lt;&gt;".")=TRUE,R1428/VLOOKUP(G1428,'Exchange Rates'!B:C,2,0),IF(R1428=".",".",""))</f>
        <v/>
      </c>
      <c r="T1428" s="1185" t="str">
        <f>IF(AD1428=1,IF(AF1428="Value is not given at all",".",IF(AF1428="Value is given by the source",S1428,IF(AF1428="Value is calculated with prices",(IF(SUMIFS(Q:Q,A:A,A1428)&gt;0,SUMIFS(Q:Q,A:A,A1428),"."))/VLOOKUP("USD",'Exchange Rates'!B:C,2,0),"Error with coding"))),"")</f>
        <v/>
      </c>
      <c r="U1428" s="1187" t="s">
        <v>365</v>
      </c>
      <c r="V1428" s="1040" t="s">
        <v>3902</v>
      </c>
      <c r="W1428" s="1040" t="s">
        <v>3903</v>
      </c>
      <c r="X1428" s="980" t="s">
        <v>1372</v>
      </c>
      <c r="Y1428" s="1190" t="s">
        <v>364</v>
      </c>
      <c r="Z1428" s="1187">
        <v>0</v>
      </c>
      <c r="AA1428" s="1191">
        <v>0</v>
      </c>
      <c r="AB1428" s="1028" t="s">
        <v>364</v>
      </c>
      <c r="AC1428" s="1192" t="str">
        <f>""</f>
        <v/>
      </c>
      <c r="AD1428" s="985">
        <v>0</v>
      </c>
      <c r="AE1428" s="985" t="s">
        <v>436</v>
      </c>
      <c r="AF1428" s="985" t="s">
        <v>369</v>
      </c>
      <c r="AG1428" s="985">
        <v>1</v>
      </c>
      <c r="AH1428" s="985">
        <v>13</v>
      </c>
      <c r="AI1428" s="985">
        <v>0</v>
      </c>
      <c r="AJ1428" s="1193">
        <f>VLOOKUP($I1428,'Price List, Weapons &amp; Items'!B:F,5,0)</f>
        <v>0</v>
      </c>
      <c r="AK1428" s="1193">
        <f t="shared" si="304"/>
        <v>0</v>
      </c>
      <c r="AL1428" s="1193">
        <f t="shared" si="305"/>
        <v>0</v>
      </c>
      <c r="AM1428" s="1193">
        <f t="shared" si="306"/>
        <v>0</v>
      </c>
      <c r="AN1428" s="1194" t="str">
        <f>VLOOKUP($I1428,'Price List, Weapons &amp; Items'!B:L,COLUMN('Price List, Weapons &amp; Items'!$J$11)-1,0)</f>
        <v>Government information</v>
      </c>
      <c r="AO1428" s="1194" t="str">
        <f>IF(I1428=".",".",VLOOKUP($I1428,'Price List, Weapons &amp; Items'!B:J,3,0))</f>
        <v>Military equipment</v>
      </c>
      <c r="AP1428" s="1195" t="str">
        <f t="shared" ca="1" si="300"/>
        <v/>
      </c>
      <c r="AQ1428" s="1194" t="str">
        <f>VLOOKUP($I1428,'Price List, Weapons &amp; Items'!B:L,COLUMN('Price List, Weapons &amp; Items'!$L$11)-1,0)</f>
        <v>no price, 0 count</v>
      </c>
      <c r="AR1428" s="1194">
        <f t="shared" si="307"/>
        <v>1</v>
      </c>
      <c r="AS1428" s="1194">
        <f t="shared" si="308"/>
        <v>1</v>
      </c>
      <c r="AT1428" s="1194">
        <f t="shared" si="309"/>
        <v>1</v>
      </c>
      <c r="AU1428" s="1194" t="str">
        <f t="shared" si="298"/>
        <v>.</v>
      </c>
      <c r="AV1428" s="1194" t="str">
        <f t="shared" si="301"/>
        <v>.</v>
      </c>
      <c r="AW1428" s="1194" t="str">
        <f t="shared" si="310"/>
        <v>.</v>
      </c>
      <c r="AX1428" s="1194">
        <f>IFERROR(VLOOKUP(B1428,'Share, Heavy Weapons to Ukraine'!B:Z,COLUMN('Share, Heavy Weapons to Ukraine'!C1440)-1,0),0)</f>
        <v>1</v>
      </c>
      <c r="AY1428" s="1194">
        <f>VLOOKUP('Bilateral Assistance, MAIN DATA'!B1428,'Country Summary (€)'!B:F,COLUMN('Country Summary (€)'!C1441)-1,FALSE)</f>
        <v>0</v>
      </c>
      <c r="AZ1428" s="1194" t="str">
        <f>IF(AND(AD1428=1,D1428="Military",H1428&lt;&gt;"Not given")=TRUE,IF(SUMIFS(P:P,A:A,A1428)&gt;0,ABS((SUMIFS(P:P,A:A,A1428)/VLOOKUP("USD",'Exchange Rates'!B:C,2,0)))/S1428,"."),".")</f>
        <v>.</v>
      </c>
      <c r="BA1428" s="1196" t="str">
        <f>IF(AND(AD1428=1,D1428="Military",H1428&lt;&gt;"Not given")=TRUE,IF(SUMIFS(P:P,A:A,A1428)&gt;0,IF((ABS((SUMIFS(P:P,A:A,A1428)/VLOOKUP("USD",'Exchange Rates'!B:C,2,0)))/S1428)&gt;1,(SUMIFS(P:P,A:A,A1428)-S1428)/S1428,(S1428-SUMIFS(P:P,A:A,A1428))/SUMIFS(P:P,A:A,A1428)),"."),".")</f>
        <v>.</v>
      </c>
    </row>
    <row r="1429" spans="1:53" ht="15.95" customHeight="1">
      <c r="A1429" s="1182" t="s">
        <v>3895</v>
      </c>
      <c r="B1429" s="1182" t="s">
        <v>3748</v>
      </c>
      <c r="C1429" s="1181">
        <v>44940</v>
      </c>
      <c r="D1429" s="1182" t="s">
        <v>389</v>
      </c>
      <c r="E1429" s="1182" t="s">
        <v>443</v>
      </c>
      <c r="F1429" s="1183" t="s">
        <v>3896</v>
      </c>
      <c r="G1429" s="1184" t="s">
        <v>3750</v>
      </c>
      <c r="H1429" s="1185">
        <v>2300000000</v>
      </c>
      <c r="I1429" s="1283" t="s">
        <v>3910</v>
      </c>
      <c r="J1429" s="1186" t="str">
        <f>VLOOKUP($I1429,'Price List, Weapons &amp; Items'!B:C,2,0)</f>
        <v>Military equipment</v>
      </c>
      <c r="K1429" s="1186" t="str">
        <f>IF(I1429=".",I1429,VLOOKUP($I1429,'Price List, Weapons &amp; Items'!B:D,3,0))</f>
        <v>Military equipment</v>
      </c>
      <c r="L1429" s="1187">
        <f>VLOOKUP(I1429,'Price List, Weapons &amp; Items'!B:E,4,0)</f>
        <v>0</v>
      </c>
      <c r="M1429" s="1188">
        <v>100</v>
      </c>
      <c r="N1429" s="1188" t="s">
        <v>374</v>
      </c>
      <c r="O1429" s="1188" t="str">
        <f>VLOOKUP($I1429,'Price List, Weapons &amp; Items'!B:G,6,0)</f>
        <v>.</v>
      </c>
      <c r="P1429" s="1185" t="str">
        <f t="shared" si="302"/>
        <v>No price</v>
      </c>
      <c r="Q1429" s="1185" t="str">
        <f t="shared" si="303"/>
        <v>.</v>
      </c>
      <c r="R1429" s="1185" t="str">
        <f t="shared" si="299"/>
        <v/>
      </c>
      <c r="S1429" s="1185" t="str">
        <f>IF(AND(AD1429=1,R1429&lt;&gt;".")=TRUE,R1429/VLOOKUP(G1429,'Exchange Rates'!B:C,2,0),IF(R1429=".",".",""))</f>
        <v/>
      </c>
      <c r="T1429" s="1185" t="str">
        <f>IF(AD1429=1,IF(AF1429="Value is not given at all",".",IF(AF1429="Value is given by the source",S1429,IF(AF1429="Value is calculated with prices",(IF(SUMIFS(Q:Q,A:A,A1429)&gt;0,SUMIFS(Q:Q,A:A,A1429),"."))/VLOOKUP("USD",'Exchange Rates'!B:C,2,0),"Error with coding"))),"")</f>
        <v/>
      </c>
      <c r="U1429" s="1187" t="s">
        <v>365</v>
      </c>
      <c r="V1429" s="1040" t="s">
        <v>3902</v>
      </c>
      <c r="W1429" s="1040" t="s">
        <v>3903</v>
      </c>
      <c r="X1429" s="980" t="s">
        <v>1372</v>
      </c>
      <c r="Y1429" s="1190" t="s">
        <v>364</v>
      </c>
      <c r="Z1429" s="1187">
        <v>0</v>
      </c>
      <c r="AA1429" s="1191">
        <v>0</v>
      </c>
      <c r="AB1429" s="1028" t="s">
        <v>364</v>
      </c>
      <c r="AC1429" s="1192" t="str">
        <f>""</f>
        <v/>
      </c>
      <c r="AD1429" s="985">
        <v>0</v>
      </c>
      <c r="AE1429" s="985" t="s">
        <v>436</v>
      </c>
      <c r="AF1429" s="985" t="s">
        <v>369</v>
      </c>
      <c r="AG1429" s="985">
        <v>1</v>
      </c>
      <c r="AH1429" s="985">
        <v>13</v>
      </c>
      <c r="AI1429" s="985">
        <v>0</v>
      </c>
      <c r="AJ1429" s="1193">
        <f>VLOOKUP($I1429,'Price List, Weapons &amp; Items'!B:F,5,0)</f>
        <v>0</v>
      </c>
      <c r="AK1429" s="1193">
        <f t="shared" si="304"/>
        <v>0</v>
      </c>
      <c r="AL1429" s="1193">
        <f t="shared" si="305"/>
        <v>0</v>
      </c>
      <c r="AM1429" s="1193">
        <f t="shared" si="306"/>
        <v>0</v>
      </c>
      <c r="AN1429" s="1194" t="str">
        <f>VLOOKUP($I1429,'Price List, Weapons &amp; Items'!B:L,COLUMN('Price List, Weapons &amp; Items'!$J$11)-1,0)</f>
        <v>.</v>
      </c>
      <c r="AO1429" s="1194" t="str">
        <f>IF(I1429=".",".",VLOOKUP($I1429,'Price List, Weapons &amp; Items'!B:J,3,0))</f>
        <v>Military equipment</v>
      </c>
      <c r="AP1429" s="1195" t="str">
        <f t="shared" ca="1" si="300"/>
        <v/>
      </c>
      <c r="AQ1429" s="1194">
        <f>VLOOKUP($I1429,'Price List, Weapons &amp; Items'!B:L,COLUMN('Price List, Weapons &amp; Items'!$L$11)-1,0)</f>
        <v>0</v>
      </c>
      <c r="AR1429" s="1194">
        <f t="shared" si="307"/>
        <v>1</v>
      </c>
      <c r="AS1429" s="1194">
        <f t="shared" si="308"/>
        <v>1</v>
      </c>
      <c r="AT1429" s="1194">
        <f t="shared" si="309"/>
        <v>1</v>
      </c>
      <c r="AU1429" s="1194" t="str">
        <f t="shared" si="298"/>
        <v>.</v>
      </c>
      <c r="AV1429" s="1194" t="str">
        <f t="shared" si="301"/>
        <v>.</v>
      </c>
      <c r="AW1429" s="1194" t="str">
        <f t="shared" si="310"/>
        <v>.</v>
      </c>
      <c r="AX1429" s="1194">
        <f>IFERROR(VLOOKUP(B1429,'Share, Heavy Weapons to Ukraine'!B:Z,COLUMN('Share, Heavy Weapons to Ukraine'!C1441)-1,0),0)</f>
        <v>1</v>
      </c>
      <c r="AY1429" s="1194">
        <f>VLOOKUP('Bilateral Assistance, MAIN DATA'!B1429,'Country Summary (€)'!B:F,COLUMN('Country Summary (€)'!C1442)-1,FALSE)</f>
        <v>0</v>
      </c>
      <c r="AZ1429" s="1194" t="str">
        <f>IF(AND(AD1429=1,D1429="Military",H1429&lt;&gt;"Not given")=TRUE,IF(SUMIFS(P:P,A:A,A1429)&gt;0,ABS((SUMIFS(P:P,A:A,A1429)/VLOOKUP("USD",'Exchange Rates'!B:C,2,0)))/S1429,"."),".")</f>
        <v>.</v>
      </c>
      <c r="BA1429" s="1196" t="str">
        <f>IF(AND(AD1429=1,D1429="Military",H1429&lt;&gt;"Not given")=TRUE,IF(SUMIFS(P:P,A:A,A1429)&gt;0,IF((ABS((SUMIFS(P:P,A:A,A1429)/VLOOKUP("USD",'Exchange Rates'!B:C,2,0)))/S1429)&gt;1,(SUMIFS(P:P,A:A,A1429)-S1429)/S1429,(S1429-SUMIFS(P:P,A:A,A1429))/SUMIFS(P:P,A:A,A1429)),"."),".")</f>
        <v>.</v>
      </c>
    </row>
    <row r="1430" spans="1:53" ht="15.95" customHeight="1">
      <c r="A1430" s="1180" t="s">
        <v>3911</v>
      </c>
      <c r="B1430" s="1180" t="s">
        <v>3748</v>
      </c>
      <c r="C1430" s="1181">
        <v>44593</v>
      </c>
      <c r="D1430" s="1182" t="s">
        <v>544</v>
      </c>
      <c r="E1430" s="1182" t="s">
        <v>481</v>
      </c>
      <c r="F1430" s="1183" t="s">
        <v>3912</v>
      </c>
      <c r="G1430" s="1184" t="s">
        <v>3750</v>
      </c>
      <c r="H1430" s="1185">
        <v>88000000</v>
      </c>
      <c r="I1430" s="1180" t="s">
        <v>364</v>
      </c>
      <c r="J1430" s="1186" t="str">
        <f>VLOOKUP($I1430,'Price List, Weapons &amp; Items'!B:C,2,0)</f>
        <v>.</v>
      </c>
      <c r="K1430" s="1186" t="str">
        <f>IF(I1430=".",I1430,VLOOKUP($I1430,'Price List, Weapons &amp; Items'!B:D,3,0))</f>
        <v>.</v>
      </c>
      <c r="L1430" s="1187">
        <f>VLOOKUP(I1430,'Price List, Weapons &amp; Items'!B:E,4,0)</f>
        <v>0</v>
      </c>
      <c r="M1430" s="1188" t="s">
        <v>364</v>
      </c>
      <c r="N1430" s="1188" t="s">
        <v>364</v>
      </c>
      <c r="O1430" s="1188" t="str">
        <f>VLOOKUP($I1430,'Price List, Weapons &amp; Items'!B:G,6,0)</f>
        <v>.</v>
      </c>
      <c r="P1430" s="1185" t="str">
        <f t="shared" si="302"/>
        <v>.</v>
      </c>
      <c r="Q1430" s="1185" t="str">
        <f t="shared" si="303"/>
        <v>.</v>
      </c>
      <c r="R1430" s="1185">
        <f t="shared" si="299"/>
        <v>88000000</v>
      </c>
      <c r="S1430" s="1185">
        <f>IF(AND(AD1430=1,R1430&lt;&gt;".")=TRUE,R1430/VLOOKUP(G1430,'Exchange Rates'!B:C,2,0),IF(R1430=".",".",""))</f>
        <v>101102941.17647059</v>
      </c>
      <c r="T1430" s="1185" t="str">
        <f>IF(AD1430=1,IF(AF1430="Value is not given at all",".",IF(AF1430="Value is given by the source",S1430,IF(AF1430="Value is calculated with prices",(IF(SUMIFS(Q:Q,A:A,A1430)&gt;0,SUMIFS(Q:Q,A:A,A1430),"."))/VLOOKUP("USD",'Exchange Rates'!B:C,2,0),"Error with coding"))),"")</f>
        <v>.</v>
      </c>
      <c r="U1430" s="1184" t="s">
        <v>365</v>
      </c>
      <c r="V1430" s="971" t="s">
        <v>3791</v>
      </c>
      <c r="W1430" s="980" t="s">
        <v>3913</v>
      </c>
      <c r="X1430" s="1190" t="s">
        <v>364</v>
      </c>
      <c r="Y1430" s="1190" t="s">
        <v>364</v>
      </c>
      <c r="Z1430" s="1184">
        <v>0</v>
      </c>
      <c r="AA1430" s="1194">
        <v>0</v>
      </c>
      <c r="AB1430" s="1201" t="s">
        <v>364</v>
      </c>
      <c r="AC1430" s="1192" t="str">
        <f>""</f>
        <v/>
      </c>
      <c r="AD1430" s="1193">
        <v>1</v>
      </c>
      <c r="AE1430" s="1193" t="s">
        <v>368</v>
      </c>
      <c r="AF1430" s="1193" t="s">
        <v>369</v>
      </c>
      <c r="AG1430" s="1193">
        <v>1</v>
      </c>
      <c r="AH1430" s="1193">
        <v>2</v>
      </c>
      <c r="AI1430" s="1193">
        <v>1</v>
      </c>
      <c r="AJ1430" s="1193">
        <f>VLOOKUP($I1430,'Price List, Weapons &amp; Items'!B:F,5,0)</f>
        <v>0</v>
      </c>
      <c r="AK1430" s="1193">
        <f t="shared" si="304"/>
        <v>0</v>
      </c>
      <c r="AL1430" s="1193">
        <f t="shared" si="305"/>
        <v>0</v>
      </c>
      <c r="AM1430" s="1193">
        <f t="shared" si="306"/>
        <v>0</v>
      </c>
      <c r="AN1430" s="1194" t="str">
        <f>VLOOKUP($I1430,'Price List, Weapons &amp; Items'!B:L,COLUMN('Price List, Weapons &amp; Items'!$J$11)-1,0)</f>
        <v>.</v>
      </c>
      <c r="AO1430" s="1194" t="str">
        <f>IF(I1430=".",".",VLOOKUP($I1430,'Price List, Weapons &amp; Items'!B:J,3,0))</f>
        <v>.</v>
      </c>
      <c r="AP1430" s="1195" t="str">
        <f t="shared" ca="1" si="300"/>
        <v>.</v>
      </c>
      <c r="AQ1430" s="1194">
        <f>VLOOKUP($I1430,'Price List, Weapons &amp; Items'!B:L,COLUMN('Price List, Weapons &amp; Items'!$L$11)-1,0)</f>
        <v>0</v>
      </c>
      <c r="AR1430" s="1194">
        <f t="shared" si="307"/>
        <v>1</v>
      </c>
      <c r="AS1430" s="1194">
        <f t="shared" si="308"/>
        <v>0</v>
      </c>
      <c r="AT1430" s="1194">
        <f t="shared" si="309"/>
        <v>1</v>
      </c>
      <c r="AU1430" s="1194" t="str">
        <f t="shared" si="298"/>
        <v>.</v>
      </c>
      <c r="AV1430" s="1194" t="str">
        <f t="shared" si="301"/>
        <v>.</v>
      </c>
      <c r="AW1430" s="1194" t="str">
        <f t="shared" si="310"/>
        <v>.</v>
      </c>
      <c r="AX1430" s="1194">
        <f>IFERROR(VLOOKUP(B1430,'Share, Heavy Weapons to Ukraine'!B:Z,COLUMN('Share, Heavy Weapons to Ukraine'!C1442)-1,0),0)</f>
        <v>1</v>
      </c>
      <c r="AY1430" s="1194">
        <f>VLOOKUP('Bilateral Assistance, MAIN DATA'!B1430,'Country Summary (€)'!B:F,COLUMN('Country Summary (€)'!C1443)-1,FALSE)</f>
        <v>0</v>
      </c>
      <c r="AZ1430" s="1194" t="str">
        <f>IF(AND(AD1430=1,D1430="Military",H1430&lt;&gt;"Not given")=TRUE,IF(SUMIFS(P:P,A:A,A1430)&gt;0,ABS((SUMIFS(P:P,A:A,A1430)/VLOOKUP("USD",'Exchange Rates'!B:C,2,0)))/S1430,"."),".")</f>
        <v>.</v>
      </c>
      <c r="BA1430" s="1196" t="str">
        <f>IF(AND(AD1430=1,D1430="Military",H1430&lt;&gt;"Not given")=TRUE,IF(SUMIFS(P:P,A:A,A1430)&gt;0,IF((ABS((SUMIFS(P:P,A:A,A1430)/VLOOKUP("USD",'Exchange Rates'!B:C,2,0)))/S1430)&gt;1,(SUMIFS(P:P,A:A,A1430)-S1430)/S1430,(S1430-SUMIFS(P:P,A:A,A1430))/SUMIFS(P:P,A:A,A1430)),"."),".")</f>
        <v>.</v>
      </c>
    </row>
    <row r="1431" spans="1:53" ht="15.95" customHeight="1">
      <c r="A1431" s="1180" t="s">
        <v>3914</v>
      </c>
      <c r="B1431" s="1180" t="s">
        <v>3748</v>
      </c>
      <c r="C1431" s="1181">
        <v>44615</v>
      </c>
      <c r="D1431" s="1182" t="s">
        <v>544</v>
      </c>
      <c r="E1431" s="1182" t="s">
        <v>714</v>
      </c>
      <c r="F1431" s="1183" t="s">
        <v>3915</v>
      </c>
      <c r="G1431" s="1184" t="s">
        <v>3750</v>
      </c>
      <c r="H1431" s="1185">
        <v>500000000</v>
      </c>
      <c r="I1431" s="1180" t="s">
        <v>364</v>
      </c>
      <c r="J1431" s="1186" t="str">
        <f>VLOOKUP($I1431,'Price List, Weapons &amp; Items'!B:C,2,0)</f>
        <v>.</v>
      </c>
      <c r="K1431" s="1186" t="str">
        <f>IF(I1431=".",I1431,VLOOKUP($I1431,'Price List, Weapons &amp; Items'!B:D,3,0))</f>
        <v>.</v>
      </c>
      <c r="L1431" s="1187">
        <f>VLOOKUP(I1431,'Price List, Weapons &amp; Items'!B:E,4,0)</f>
        <v>0</v>
      </c>
      <c r="M1431" s="1188" t="s">
        <v>364</v>
      </c>
      <c r="N1431" s="1188" t="s">
        <v>364</v>
      </c>
      <c r="O1431" s="1188" t="str">
        <f>VLOOKUP($I1431,'Price List, Weapons &amp; Items'!B:G,6,0)</f>
        <v>.</v>
      </c>
      <c r="P1431" s="1185" t="str">
        <f t="shared" si="302"/>
        <v>.</v>
      </c>
      <c r="Q1431" s="1185" t="str">
        <f t="shared" si="303"/>
        <v>.</v>
      </c>
      <c r="R1431" s="1185">
        <f t="shared" si="299"/>
        <v>500000000</v>
      </c>
      <c r="S1431" s="1185">
        <f>IF(AND(AD1431=1,R1431&lt;&gt;".")=TRUE,R1431/VLOOKUP(G1431,'Exchange Rates'!B:C,2,0),IF(R1431=".",".",""))</f>
        <v>574448529.41176474</v>
      </c>
      <c r="T1431" s="1185" t="str">
        <f>IF(AD1431=1,IF(AF1431="Value is not given at all",".",IF(AF1431="Value is given by the source",S1431,IF(AF1431="Value is calculated with prices",(IF(SUMIFS(Q:Q,A:A,A1431)&gt;0,SUMIFS(Q:Q,A:A,A1431),"."))/VLOOKUP("USD",'Exchange Rates'!B:C,2,0),"Error with coding"))),"")</f>
        <v>.</v>
      </c>
      <c r="U1431" s="1184" t="s">
        <v>365</v>
      </c>
      <c r="V1431" s="971" t="s">
        <v>3755</v>
      </c>
      <c r="W1431" s="980" t="s">
        <v>3916</v>
      </c>
      <c r="X1431" s="1190" t="s">
        <v>364</v>
      </c>
      <c r="Y1431" s="1190" t="s">
        <v>364</v>
      </c>
      <c r="Z1431" s="1184">
        <v>0</v>
      </c>
      <c r="AA1431" s="1194">
        <v>0</v>
      </c>
      <c r="AB1431" s="1201" t="s">
        <v>364</v>
      </c>
      <c r="AC1431" s="1192" t="str">
        <f>""</f>
        <v/>
      </c>
      <c r="AD1431" s="1193">
        <v>1</v>
      </c>
      <c r="AE1431" s="1193" t="s">
        <v>368</v>
      </c>
      <c r="AF1431" s="1193" t="s">
        <v>369</v>
      </c>
      <c r="AG1431" s="1193">
        <v>1</v>
      </c>
      <c r="AH1431" s="1193">
        <v>2</v>
      </c>
      <c r="AI1431" s="1193">
        <v>1</v>
      </c>
      <c r="AJ1431" s="1193">
        <f>VLOOKUP($I1431,'Price List, Weapons &amp; Items'!B:F,5,0)</f>
        <v>0</v>
      </c>
      <c r="AK1431" s="1193">
        <f t="shared" si="304"/>
        <v>0</v>
      </c>
      <c r="AL1431" s="1193">
        <f t="shared" si="305"/>
        <v>0</v>
      </c>
      <c r="AM1431" s="1193">
        <f t="shared" si="306"/>
        <v>0</v>
      </c>
      <c r="AN1431" s="1194" t="str">
        <f>VLOOKUP($I1431,'Price List, Weapons &amp; Items'!B:L,COLUMN('Price List, Weapons &amp; Items'!$J$11)-1,0)</f>
        <v>.</v>
      </c>
      <c r="AO1431" s="1194" t="str">
        <f>IF(I1431=".",".",VLOOKUP($I1431,'Price List, Weapons &amp; Items'!B:J,3,0))</f>
        <v>.</v>
      </c>
      <c r="AP1431" s="1195" t="str">
        <f t="shared" ca="1" si="300"/>
        <v>.</v>
      </c>
      <c r="AQ1431" s="1194">
        <f>VLOOKUP($I1431,'Price List, Weapons &amp; Items'!B:L,COLUMN('Price List, Weapons &amp; Items'!$L$11)-1,0)</f>
        <v>0</v>
      </c>
      <c r="AR1431" s="1194">
        <f t="shared" si="307"/>
        <v>1</v>
      </c>
      <c r="AS1431" s="1194">
        <f t="shared" si="308"/>
        <v>0</v>
      </c>
      <c r="AT1431" s="1194">
        <f t="shared" si="309"/>
        <v>1</v>
      </c>
      <c r="AU1431" s="1194" t="str">
        <f t="shared" si="298"/>
        <v>.</v>
      </c>
      <c r="AV1431" s="1194" t="str">
        <f t="shared" si="301"/>
        <v>.</v>
      </c>
      <c r="AW1431" s="1194" t="str">
        <f t="shared" si="310"/>
        <v>.</v>
      </c>
      <c r="AX1431" s="1194">
        <f>IFERROR(VLOOKUP(B1431,'Share, Heavy Weapons to Ukraine'!B:Z,COLUMN('Share, Heavy Weapons to Ukraine'!C1443)-1,0),0)</f>
        <v>1</v>
      </c>
      <c r="AY1431" s="1194">
        <f>VLOOKUP('Bilateral Assistance, MAIN DATA'!B1431,'Country Summary (€)'!B:F,COLUMN('Country Summary (€)'!C1444)-1,FALSE)</f>
        <v>0</v>
      </c>
      <c r="AZ1431" s="1194" t="str">
        <f>IF(AND(AD1431=1,D1431="Military",H1431&lt;&gt;"Not given")=TRUE,IF(SUMIFS(P:P,A:A,A1431)&gt;0,ABS((SUMIFS(P:P,A:A,A1431)/VLOOKUP("USD",'Exchange Rates'!B:C,2,0)))/S1431,"."),".")</f>
        <v>.</v>
      </c>
      <c r="BA1431" s="1196" t="str">
        <f>IF(AND(AD1431=1,D1431="Military",H1431&lt;&gt;"Not given")=TRUE,IF(SUMIFS(P:P,A:A,A1431)&gt;0,IF((ABS((SUMIFS(P:P,A:A,A1431)/VLOOKUP("USD",'Exchange Rates'!B:C,2,0)))/S1431)&gt;1,(SUMIFS(P:P,A:A,A1431)-S1431)/S1431,(S1431-SUMIFS(P:P,A:A,A1431))/SUMIFS(P:P,A:A,A1431)),"."),".")</f>
        <v>.</v>
      </c>
    </row>
    <row r="1432" spans="1:53" ht="15.95" customHeight="1">
      <c r="A1432" s="1180" t="s">
        <v>3917</v>
      </c>
      <c r="B1432" s="1180" t="s">
        <v>3748</v>
      </c>
      <c r="C1432" s="1181">
        <v>44627</v>
      </c>
      <c r="D1432" s="1182" t="s">
        <v>544</v>
      </c>
      <c r="E1432" s="1182" t="s">
        <v>481</v>
      </c>
      <c r="F1432" s="1183" t="s">
        <v>3918</v>
      </c>
      <c r="G1432" s="1184" t="s">
        <v>3750</v>
      </c>
      <c r="H1432" s="1185">
        <v>74000000</v>
      </c>
      <c r="I1432" s="1180" t="s">
        <v>364</v>
      </c>
      <c r="J1432" s="1186" t="str">
        <f>VLOOKUP($I1432,'Price List, Weapons &amp; Items'!B:C,2,0)</f>
        <v>.</v>
      </c>
      <c r="K1432" s="1186" t="str">
        <f>IF(I1432=".",I1432,VLOOKUP($I1432,'Price List, Weapons &amp; Items'!B:D,3,0))</f>
        <v>.</v>
      </c>
      <c r="L1432" s="1187">
        <f>VLOOKUP(I1432,'Price List, Weapons &amp; Items'!B:E,4,0)</f>
        <v>0</v>
      </c>
      <c r="M1432" s="1188" t="s">
        <v>364</v>
      </c>
      <c r="N1432" s="1188" t="s">
        <v>364</v>
      </c>
      <c r="O1432" s="1188" t="str">
        <f>VLOOKUP($I1432,'Price List, Weapons &amp; Items'!B:G,6,0)</f>
        <v>.</v>
      </c>
      <c r="P1432" s="1185" t="str">
        <f t="shared" si="302"/>
        <v>.</v>
      </c>
      <c r="Q1432" s="1185" t="str">
        <f t="shared" si="303"/>
        <v>.</v>
      </c>
      <c r="R1432" s="1185">
        <f t="shared" si="299"/>
        <v>74000000</v>
      </c>
      <c r="S1432" s="1185">
        <f>IF(AND(AD1432=1,R1432&lt;&gt;".")=TRUE,R1432/VLOOKUP(G1432,'Exchange Rates'!B:C,2,0),IF(R1432=".",".",""))</f>
        <v>85018382.352941185</v>
      </c>
      <c r="T1432" s="1185" t="str">
        <f>IF(AD1432=1,IF(AF1432="Value is not given at all",".",IF(AF1432="Value is given by the source",S1432,IF(AF1432="Value is calculated with prices",(IF(SUMIFS(Q:Q,A:A,A1432)&gt;0,SUMIFS(Q:Q,A:A,A1432),"."))/VLOOKUP("USD",'Exchange Rates'!B:C,2,0),"Error with coding"))),"")</f>
        <v>.</v>
      </c>
      <c r="U1432" s="1184" t="s">
        <v>365</v>
      </c>
      <c r="V1432" s="971" t="s">
        <v>1298</v>
      </c>
      <c r="W1432" s="971" t="s">
        <v>3919</v>
      </c>
      <c r="X1432" s="1190" t="s">
        <v>364</v>
      </c>
      <c r="Y1432" s="1190" t="s">
        <v>364</v>
      </c>
      <c r="Z1432" s="1184">
        <v>1</v>
      </c>
      <c r="AA1432" s="1194">
        <v>0</v>
      </c>
      <c r="AB1432" s="1201" t="s">
        <v>364</v>
      </c>
      <c r="AC1432" s="1192" t="str">
        <f>""</f>
        <v/>
      </c>
      <c r="AD1432" s="1193">
        <v>1</v>
      </c>
      <c r="AE1432" s="1193" t="s">
        <v>368</v>
      </c>
      <c r="AF1432" s="1193" t="s">
        <v>369</v>
      </c>
      <c r="AG1432" s="1193">
        <v>1</v>
      </c>
      <c r="AH1432" s="1193">
        <v>3</v>
      </c>
      <c r="AI1432" s="1193">
        <v>0</v>
      </c>
      <c r="AJ1432" s="1193">
        <f>VLOOKUP($I1432,'Price List, Weapons &amp; Items'!B:F,5,0)</f>
        <v>0</v>
      </c>
      <c r="AK1432" s="1193">
        <f t="shared" si="304"/>
        <v>0</v>
      </c>
      <c r="AL1432" s="1193">
        <f t="shared" si="305"/>
        <v>0</v>
      </c>
      <c r="AM1432" s="1193">
        <f t="shared" si="306"/>
        <v>0</v>
      </c>
      <c r="AN1432" s="1194" t="str">
        <f>VLOOKUP($I1432,'Price List, Weapons &amp; Items'!B:L,COLUMN('Price List, Weapons &amp; Items'!$J$11)-1,0)</f>
        <v>.</v>
      </c>
      <c r="AO1432" s="1194" t="str">
        <f>IF(I1432=".",".",VLOOKUP($I1432,'Price List, Weapons &amp; Items'!B:J,3,0))</f>
        <v>.</v>
      </c>
      <c r="AP1432" s="1195" t="str">
        <f t="shared" ca="1" si="300"/>
        <v>.</v>
      </c>
      <c r="AQ1432" s="1194">
        <f>VLOOKUP($I1432,'Price List, Weapons &amp; Items'!B:L,COLUMN('Price List, Weapons &amp; Items'!$L$11)-1,0)</f>
        <v>0</v>
      </c>
      <c r="AR1432" s="1194">
        <f t="shared" si="307"/>
        <v>1</v>
      </c>
      <c r="AS1432" s="1194">
        <f t="shared" si="308"/>
        <v>0</v>
      </c>
      <c r="AT1432" s="1194">
        <f t="shared" si="309"/>
        <v>1</v>
      </c>
      <c r="AU1432" s="1194" t="str">
        <f t="shared" si="298"/>
        <v>.</v>
      </c>
      <c r="AV1432" s="1194" t="str">
        <f t="shared" si="301"/>
        <v>.</v>
      </c>
      <c r="AW1432" s="1194" t="str">
        <f t="shared" si="310"/>
        <v>.</v>
      </c>
      <c r="AX1432" s="1194">
        <f>IFERROR(VLOOKUP(B1432,'Share, Heavy Weapons to Ukraine'!B:Z,COLUMN('Share, Heavy Weapons to Ukraine'!C1444)-1,0),0)</f>
        <v>1</v>
      </c>
      <c r="AY1432" s="1194">
        <f>VLOOKUP('Bilateral Assistance, MAIN DATA'!B1432,'Country Summary (€)'!B:F,COLUMN('Country Summary (€)'!C1445)-1,FALSE)</f>
        <v>0</v>
      </c>
      <c r="AZ1432" s="1194" t="str">
        <f>IF(AND(AD1432=1,D1432="Military",H1432&lt;&gt;"Not given")=TRUE,IF(SUMIFS(P:P,A:A,A1432)&gt;0,ABS((SUMIFS(P:P,A:A,A1432)/VLOOKUP("USD",'Exchange Rates'!B:C,2,0)))/S1432,"."),".")</f>
        <v>.</v>
      </c>
      <c r="BA1432" s="1196" t="str">
        <f>IF(AND(AD1432=1,D1432="Military",H1432&lt;&gt;"Not given")=TRUE,IF(SUMIFS(P:P,A:A,A1432)&gt;0,IF((ABS((SUMIFS(P:P,A:A,A1432)/VLOOKUP("USD",'Exchange Rates'!B:C,2,0)))/S1432)&gt;1,(SUMIFS(P:P,A:A,A1432)-S1432)/S1432,(S1432-SUMIFS(P:P,A:A,A1432))/SUMIFS(P:P,A:A,A1432)),"."),".")</f>
        <v>.</v>
      </c>
    </row>
    <row r="1433" spans="1:53" ht="15.95" customHeight="1">
      <c r="A1433" s="1180" t="s">
        <v>3920</v>
      </c>
      <c r="B1433" s="1180" t="s">
        <v>3748</v>
      </c>
      <c r="C1433" s="1181">
        <v>44644</v>
      </c>
      <c r="D1433" s="1182" t="s">
        <v>544</v>
      </c>
      <c r="E1433" s="1182" t="s">
        <v>481</v>
      </c>
      <c r="F1433" s="1183" t="s">
        <v>3921</v>
      </c>
      <c r="G1433" s="1184" t="s">
        <v>3750</v>
      </c>
      <c r="H1433" s="1185">
        <v>29100000</v>
      </c>
      <c r="I1433" s="1180" t="s">
        <v>364</v>
      </c>
      <c r="J1433" s="1186" t="str">
        <f>VLOOKUP($I1433,'Price List, Weapons &amp; Items'!B:C,2,0)</f>
        <v>.</v>
      </c>
      <c r="K1433" s="1186" t="str">
        <f>IF(I1433=".",I1433,VLOOKUP($I1433,'Price List, Weapons &amp; Items'!B:D,3,0))</f>
        <v>.</v>
      </c>
      <c r="L1433" s="1187">
        <f>VLOOKUP(I1433,'Price List, Weapons &amp; Items'!B:E,4,0)</f>
        <v>0</v>
      </c>
      <c r="M1433" s="1188" t="s">
        <v>364</v>
      </c>
      <c r="N1433" s="1188" t="s">
        <v>364</v>
      </c>
      <c r="O1433" s="1188" t="str">
        <f>VLOOKUP($I1433,'Price List, Weapons &amp; Items'!B:G,6,0)</f>
        <v>.</v>
      </c>
      <c r="P1433" s="1185" t="str">
        <f t="shared" si="302"/>
        <v>.</v>
      </c>
      <c r="Q1433" s="1185" t="str">
        <f t="shared" si="303"/>
        <v>.</v>
      </c>
      <c r="R1433" s="1185">
        <f t="shared" si="299"/>
        <v>29100000</v>
      </c>
      <c r="S1433" s="1185">
        <f>IF(AND(AD1433=1,R1433&lt;&gt;".")=TRUE,R1433/VLOOKUP(G1433,'Exchange Rates'!B:C,2,0),IF(R1433=".",".",""))</f>
        <v>33432904.411764707</v>
      </c>
      <c r="T1433" s="1185" t="str">
        <f>IF(AD1433=1,IF(AF1433="Value is not given at all",".",IF(AF1433="Value is given by the source",S1433,IF(AF1433="Value is calculated with prices",(IF(SUMIFS(Q:Q,A:A,A1433)&gt;0,SUMIFS(Q:Q,A:A,A1433),"."))/VLOOKUP("USD",'Exchange Rates'!B:C,2,0),"Error with coding"))),"")</f>
        <v>.</v>
      </c>
      <c r="U1433" s="1184" t="s">
        <v>365</v>
      </c>
      <c r="V1433" s="971" t="s">
        <v>3812</v>
      </c>
      <c r="W1433" s="971" t="s">
        <v>3806</v>
      </c>
      <c r="X1433" s="971" t="s">
        <v>3922</v>
      </c>
      <c r="Y1433" s="1190" t="s">
        <v>364</v>
      </c>
      <c r="Z1433" s="1184">
        <v>0</v>
      </c>
      <c r="AA1433" s="1194">
        <v>0</v>
      </c>
      <c r="AB1433" s="1201" t="s">
        <v>364</v>
      </c>
      <c r="AC1433" s="1192" t="str">
        <f>""</f>
        <v/>
      </c>
      <c r="AD1433" s="1193">
        <v>1</v>
      </c>
      <c r="AE1433" s="1193" t="s">
        <v>368</v>
      </c>
      <c r="AF1433" s="1193" t="s">
        <v>369</v>
      </c>
      <c r="AG1433" s="1193">
        <v>1</v>
      </c>
      <c r="AH1433" s="1193">
        <v>3</v>
      </c>
      <c r="AI1433" s="1193">
        <v>0</v>
      </c>
      <c r="AJ1433" s="1193">
        <f>VLOOKUP($I1433,'Price List, Weapons &amp; Items'!B:F,5,0)</f>
        <v>0</v>
      </c>
      <c r="AK1433" s="1193">
        <f t="shared" si="304"/>
        <v>0</v>
      </c>
      <c r="AL1433" s="1193">
        <f t="shared" si="305"/>
        <v>0</v>
      </c>
      <c r="AM1433" s="1193">
        <f t="shared" si="306"/>
        <v>0</v>
      </c>
      <c r="AN1433" s="1194" t="str">
        <f>VLOOKUP($I1433,'Price List, Weapons &amp; Items'!B:L,COLUMN('Price List, Weapons &amp; Items'!$J$11)-1,0)</f>
        <v>.</v>
      </c>
      <c r="AO1433" s="1194" t="str">
        <f>IF(I1433=".",".",VLOOKUP($I1433,'Price List, Weapons &amp; Items'!B:J,3,0))</f>
        <v>.</v>
      </c>
      <c r="AP1433" s="1195" t="str">
        <f t="shared" ca="1" si="300"/>
        <v>.</v>
      </c>
      <c r="AQ1433" s="1194">
        <f>VLOOKUP($I1433,'Price List, Weapons &amp; Items'!B:L,COLUMN('Price List, Weapons &amp; Items'!$L$11)-1,0)</f>
        <v>0</v>
      </c>
      <c r="AR1433" s="1194">
        <f t="shared" si="307"/>
        <v>1</v>
      </c>
      <c r="AS1433" s="1194">
        <f t="shared" si="308"/>
        <v>0</v>
      </c>
      <c r="AT1433" s="1194">
        <f t="shared" si="309"/>
        <v>1</v>
      </c>
      <c r="AU1433" s="1194" t="str">
        <f t="shared" si="298"/>
        <v>.</v>
      </c>
      <c r="AV1433" s="1194" t="str">
        <f t="shared" si="301"/>
        <v>.</v>
      </c>
      <c r="AW1433" s="1194" t="str">
        <f t="shared" si="310"/>
        <v>.</v>
      </c>
      <c r="AX1433" s="1194">
        <f>IFERROR(VLOOKUP(B1433,'Share, Heavy Weapons to Ukraine'!B:Z,COLUMN('Share, Heavy Weapons to Ukraine'!C1445)-1,0),0)</f>
        <v>1</v>
      </c>
      <c r="AY1433" s="1194">
        <f>VLOOKUP('Bilateral Assistance, MAIN DATA'!B1433,'Country Summary (€)'!B:F,COLUMN('Country Summary (€)'!C1446)-1,FALSE)</f>
        <v>0</v>
      </c>
      <c r="AZ1433" s="1194" t="str">
        <f>IF(AND(AD1433=1,D1433="Military",H1433&lt;&gt;"Not given")=TRUE,IF(SUMIFS(P:P,A:A,A1433)&gt;0,ABS((SUMIFS(P:P,A:A,A1433)/VLOOKUP("USD",'Exchange Rates'!B:C,2,0)))/S1433,"."),".")</f>
        <v>.</v>
      </c>
      <c r="BA1433" s="1196" t="str">
        <f>IF(AND(AD1433=1,D1433="Military",H1433&lt;&gt;"Not given")=TRUE,IF(SUMIFS(P:P,A:A,A1433)&gt;0,IF((ABS((SUMIFS(P:P,A:A,A1433)/VLOOKUP("USD",'Exchange Rates'!B:C,2,0)))/S1433)&gt;1,(SUMIFS(P:P,A:A,A1433)-S1433)/S1433,(S1433-SUMIFS(P:P,A:A,A1433))/SUMIFS(P:P,A:A,A1433)),"."),".")</f>
        <v>.</v>
      </c>
    </row>
    <row r="1434" spans="1:53" ht="15.95" customHeight="1">
      <c r="A1434" s="1180" t="s">
        <v>3923</v>
      </c>
      <c r="B1434" s="1180" t="s">
        <v>3748</v>
      </c>
      <c r="C1434" s="1181">
        <v>44673</v>
      </c>
      <c r="D1434" s="1182" t="s">
        <v>544</v>
      </c>
      <c r="E1434" s="1182" t="s">
        <v>495</v>
      </c>
      <c r="F1434" s="1183" t="s">
        <v>3924</v>
      </c>
      <c r="G1434" s="1184" t="s">
        <v>3750</v>
      </c>
      <c r="H1434" s="1185">
        <v>730000000</v>
      </c>
      <c r="I1434" s="1180" t="s">
        <v>364</v>
      </c>
      <c r="J1434" s="1186" t="str">
        <f>VLOOKUP($I1434,'Price List, Weapons &amp; Items'!B:C,2,0)</f>
        <v>.</v>
      </c>
      <c r="K1434" s="1186" t="str">
        <f>IF(I1434=".",I1434,VLOOKUP($I1434,'Price List, Weapons &amp; Items'!B:D,3,0))</f>
        <v>.</v>
      </c>
      <c r="L1434" s="1187">
        <f>VLOOKUP(I1434,'Price List, Weapons &amp; Items'!B:E,4,0)</f>
        <v>0</v>
      </c>
      <c r="M1434" s="1188" t="s">
        <v>364</v>
      </c>
      <c r="N1434" s="1188" t="s">
        <v>364</v>
      </c>
      <c r="O1434" s="1188" t="str">
        <f>VLOOKUP($I1434,'Price List, Weapons &amp; Items'!B:G,6,0)</f>
        <v>.</v>
      </c>
      <c r="P1434" s="1185" t="str">
        <f t="shared" si="302"/>
        <v>.</v>
      </c>
      <c r="Q1434" s="1185" t="str">
        <f t="shared" si="303"/>
        <v>.</v>
      </c>
      <c r="R1434" s="1185">
        <f t="shared" si="299"/>
        <v>730000000</v>
      </c>
      <c r="S1434" s="1185">
        <f>IF(AND(AD1434=1,R1434&lt;&gt;".")=TRUE,R1434/VLOOKUP(G1434,'Exchange Rates'!B:C,2,0),IF(R1434=".",".",""))</f>
        <v>838694852.94117653</v>
      </c>
      <c r="T1434" s="1185" t="str">
        <f>IF(AD1434=1,IF(AF1434="Value is not given at all",".",IF(AF1434="Value is given by the source",S1434,IF(AF1434="Value is calculated with prices",(IF(SUMIFS(Q:Q,A:A,A1434)&gt;0,SUMIFS(Q:Q,A:A,A1434),"."))/VLOOKUP("USD",'Exchange Rates'!B:C,2,0),"Error with coding"))),"")</f>
        <v>.</v>
      </c>
      <c r="U1434" s="1184" t="s">
        <v>365</v>
      </c>
      <c r="V1434" s="971" t="s">
        <v>3919</v>
      </c>
      <c r="W1434" s="980" t="s">
        <v>2598</v>
      </c>
      <c r="X1434" s="1190" t="s">
        <v>364</v>
      </c>
      <c r="Y1434" s="1190" t="s">
        <v>364</v>
      </c>
      <c r="Z1434" s="1184">
        <v>1</v>
      </c>
      <c r="AA1434" s="1194">
        <v>0</v>
      </c>
      <c r="AB1434" s="1201" t="s">
        <v>364</v>
      </c>
      <c r="AC1434" s="1192" t="str">
        <f>""</f>
        <v/>
      </c>
      <c r="AD1434" s="1193">
        <v>1</v>
      </c>
      <c r="AE1434" s="1193" t="s">
        <v>368</v>
      </c>
      <c r="AF1434" s="1193" t="s">
        <v>369</v>
      </c>
      <c r="AG1434" s="1193">
        <v>1</v>
      </c>
      <c r="AH1434" s="1193">
        <v>4</v>
      </c>
      <c r="AI1434" s="1193">
        <v>0</v>
      </c>
      <c r="AJ1434" s="1193">
        <f>VLOOKUP($I1434,'Price List, Weapons &amp; Items'!B:F,5,0)</f>
        <v>0</v>
      </c>
      <c r="AK1434" s="1193">
        <f t="shared" si="304"/>
        <v>0</v>
      </c>
      <c r="AL1434" s="1193">
        <f t="shared" si="305"/>
        <v>0</v>
      </c>
      <c r="AM1434" s="1193">
        <f t="shared" si="306"/>
        <v>0</v>
      </c>
      <c r="AN1434" s="1194" t="str">
        <f>VLOOKUP($I1434,'Price List, Weapons &amp; Items'!B:L,COLUMN('Price List, Weapons &amp; Items'!$J$11)-1,0)</f>
        <v>.</v>
      </c>
      <c r="AO1434" s="1194" t="str">
        <f>IF(I1434=".",".",VLOOKUP($I1434,'Price List, Weapons &amp; Items'!B:J,3,0))</f>
        <v>.</v>
      </c>
      <c r="AP1434" s="1195" t="str">
        <f t="shared" ca="1" si="300"/>
        <v>.</v>
      </c>
      <c r="AQ1434" s="1194">
        <f>VLOOKUP($I1434,'Price List, Weapons &amp; Items'!B:L,COLUMN('Price List, Weapons &amp; Items'!$L$11)-1,0)</f>
        <v>0</v>
      </c>
      <c r="AR1434" s="1194">
        <f t="shared" si="307"/>
        <v>1</v>
      </c>
      <c r="AS1434" s="1194">
        <f t="shared" si="308"/>
        <v>0</v>
      </c>
      <c r="AT1434" s="1194">
        <f t="shared" si="309"/>
        <v>1</v>
      </c>
      <c r="AU1434" s="1194" t="str">
        <f t="shared" si="298"/>
        <v>.</v>
      </c>
      <c r="AV1434" s="1194" t="str">
        <f t="shared" si="301"/>
        <v>.</v>
      </c>
      <c r="AW1434" s="1194" t="str">
        <f t="shared" si="310"/>
        <v>.</v>
      </c>
      <c r="AX1434" s="1194">
        <f>IFERROR(VLOOKUP(B1434,'Share, Heavy Weapons to Ukraine'!B:Z,COLUMN('Share, Heavy Weapons to Ukraine'!C1446)-1,0),0)</f>
        <v>1</v>
      </c>
      <c r="AY1434" s="1194">
        <f>VLOOKUP('Bilateral Assistance, MAIN DATA'!B1434,'Country Summary (€)'!B:F,COLUMN('Country Summary (€)'!C1447)-1,FALSE)</f>
        <v>0</v>
      </c>
      <c r="AZ1434" s="1194" t="str">
        <f>IF(AND(AD1434=1,D1434="Military",H1434&lt;&gt;"Not given")=TRUE,IF(SUMIFS(P:P,A:A,A1434)&gt;0,ABS((SUMIFS(P:P,A:A,A1434)/VLOOKUP("USD",'Exchange Rates'!B:C,2,0)))/S1434,"."),".")</f>
        <v>.</v>
      </c>
      <c r="BA1434" s="1196" t="str">
        <f>IF(AND(AD1434=1,D1434="Military",H1434&lt;&gt;"Not given")=TRUE,IF(SUMIFS(P:P,A:A,A1434)&gt;0,IF((ABS((SUMIFS(P:P,A:A,A1434)/VLOOKUP("USD",'Exchange Rates'!B:C,2,0)))/S1434)&gt;1,(SUMIFS(P:P,A:A,A1434)-S1434)/S1434,(S1434-SUMIFS(P:P,A:A,A1434))/SUMIFS(P:P,A:A,A1434)),"."),".")</f>
        <v>.</v>
      </c>
    </row>
    <row r="1435" spans="1:53" ht="15.95" customHeight="1">
      <c r="A1435" s="1180" t="s">
        <v>3925</v>
      </c>
      <c r="B1435" s="1180" t="s">
        <v>3748</v>
      </c>
      <c r="C1435" s="1181">
        <v>44673</v>
      </c>
      <c r="D1435" s="1182" t="s">
        <v>544</v>
      </c>
      <c r="E1435" s="1182" t="s">
        <v>481</v>
      </c>
      <c r="F1435" s="1183" t="s">
        <v>3926</v>
      </c>
      <c r="G1435" s="1184" t="s">
        <v>3750</v>
      </c>
      <c r="H1435" s="1185">
        <v>320000000</v>
      </c>
      <c r="I1435" s="1180" t="s">
        <v>364</v>
      </c>
      <c r="J1435" s="1186" t="str">
        <f>VLOOKUP($I1435,'Price List, Weapons &amp; Items'!B:C,2,0)</f>
        <v>.</v>
      </c>
      <c r="K1435" s="1186" t="str">
        <f>IF(I1435=".",I1435,VLOOKUP($I1435,'Price List, Weapons &amp; Items'!B:D,3,0))</f>
        <v>.</v>
      </c>
      <c r="L1435" s="1187">
        <f>VLOOKUP(I1435,'Price List, Weapons &amp; Items'!B:E,4,0)</f>
        <v>0</v>
      </c>
      <c r="M1435" s="1188" t="s">
        <v>364</v>
      </c>
      <c r="N1435" s="1188" t="s">
        <v>364</v>
      </c>
      <c r="O1435" s="1188" t="str">
        <f>VLOOKUP($I1435,'Price List, Weapons &amp; Items'!B:G,6,0)</f>
        <v>.</v>
      </c>
      <c r="P1435" s="1185" t="str">
        <f t="shared" si="302"/>
        <v>.</v>
      </c>
      <c r="Q1435" s="1185" t="str">
        <f t="shared" si="303"/>
        <v>.</v>
      </c>
      <c r="R1435" s="1185">
        <f t="shared" si="299"/>
        <v>320000000</v>
      </c>
      <c r="S1435" s="1185">
        <f>IF(AND(AD1435=1,R1435&lt;&gt;".")=TRUE,R1435/VLOOKUP(G1435,'Exchange Rates'!B:C,2,0),IF(R1435=".",".",""))</f>
        <v>367647058.82352942</v>
      </c>
      <c r="T1435" s="1185" t="str">
        <f>IF(AD1435=1,IF(AF1435="Value is not given at all",".",IF(AF1435="Value is given by the source",S1435,IF(AF1435="Value is calculated with prices",(IF(SUMIFS(Q:Q,A:A,A1435)&gt;0,SUMIFS(Q:Q,A:A,A1435),"."))/VLOOKUP("USD",'Exchange Rates'!B:C,2,0),"Error with coding"))),"")</f>
        <v>.</v>
      </c>
      <c r="U1435" s="1184" t="s">
        <v>365</v>
      </c>
      <c r="V1435" s="971" t="s">
        <v>3919</v>
      </c>
      <c r="W1435" s="980" t="s">
        <v>2598</v>
      </c>
      <c r="X1435" s="1190" t="s">
        <v>364</v>
      </c>
      <c r="Y1435" s="1190" t="s">
        <v>364</v>
      </c>
      <c r="Z1435" s="1184">
        <v>0</v>
      </c>
      <c r="AA1435" s="1194">
        <v>0</v>
      </c>
      <c r="AB1435" s="1201" t="s">
        <v>364</v>
      </c>
      <c r="AC1435" s="1192" t="str">
        <f>""</f>
        <v/>
      </c>
      <c r="AD1435" s="1193">
        <v>1</v>
      </c>
      <c r="AE1435" s="1193" t="s">
        <v>368</v>
      </c>
      <c r="AF1435" s="1193" t="s">
        <v>369</v>
      </c>
      <c r="AG1435" s="1193">
        <v>1</v>
      </c>
      <c r="AH1435" s="1193">
        <v>4</v>
      </c>
      <c r="AI1435" s="1193">
        <v>0</v>
      </c>
      <c r="AJ1435" s="1193">
        <f>VLOOKUP($I1435,'Price List, Weapons &amp; Items'!B:F,5,0)</f>
        <v>0</v>
      </c>
      <c r="AK1435" s="1193">
        <f t="shared" si="304"/>
        <v>0</v>
      </c>
      <c r="AL1435" s="1193">
        <f t="shared" si="305"/>
        <v>0</v>
      </c>
      <c r="AM1435" s="1193">
        <f t="shared" si="306"/>
        <v>0</v>
      </c>
      <c r="AN1435" s="1194" t="str">
        <f>VLOOKUP($I1435,'Price List, Weapons &amp; Items'!B:L,COLUMN('Price List, Weapons &amp; Items'!$J$11)-1,0)</f>
        <v>.</v>
      </c>
      <c r="AO1435" s="1194" t="str">
        <f>IF(I1435=".",".",VLOOKUP($I1435,'Price List, Weapons &amp; Items'!B:J,3,0))</f>
        <v>.</v>
      </c>
      <c r="AP1435" s="1195" t="str">
        <f t="shared" ca="1" si="300"/>
        <v>.</v>
      </c>
      <c r="AQ1435" s="1194">
        <f>VLOOKUP($I1435,'Price List, Weapons &amp; Items'!B:L,COLUMN('Price List, Weapons &amp; Items'!$L$11)-1,0)</f>
        <v>0</v>
      </c>
      <c r="AR1435" s="1194">
        <f t="shared" si="307"/>
        <v>1</v>
      </c>
      <c r="AS1435" s="1194">
        <f t="shared" si="308"/>
        <v>0</v>
      </c>
      <c r="AT1435" s="1194">
        <f t="shared" si="309"/>
        <v>1</v>
      </c>
      <c r="AU1435" s="1194" t="str">
        <f t="shared" si="298"/>
        <v>.</v>
      </c>
      <c r="AV1435" s="1194" t="str">
        <f t="shared" si="301"/>
        <v>.</v>
      </c>
      <c r="AW1435" s="1194" t="str">
        <f t="shared" si="310"/>
        <v>.</v>
      </c>
      <c r="AX1435" s="1194">
        <f>IFERROR(VLOOKUP(B1435,'Share, Heavy Weapons to Ukraine'!B:Z,COLUMN('Share, Heavy Weapons to Ukraine'!C1447)-1,0),0)</f>
        <v>1</v>
      </c>
      <c r="AY1435" s="1194">
        <f>VLOOKUP('Bilateral Assistance, MAIN DATA'!B1435,'Country Summary (€)'!B:F,COLUMN('Country Summary (€)'!C1448)-1,FALSE)</f>
        <v>0</v>
      </c>
      <c r="AZ1435" s="1194" t="str">
        <f>IF(AND(AD1435=1,D1435="Military",H1435&lt;&gt;"Not given")=TRUE,IF(SUMIFS(P:P,A:A,A1435)&gt;0,ABS((SUMIFS(P:P,A:A,A1435)/VLOOKUP("USD",'Exchange Rates'!B:C,2,0)))/S1435,"."),".")</f>
        <v>.</v>
      </c>
      <c r="BA1435" s="1196" t="str">
        <f>IF(AND(AD1435=1,D1435="Military",H1435&lt;&gt;"Not given")=TRUE,IF(SUMIFS(P:P,A:A,A1435)&gt;0,IF((ABS((SUMIFS(P:P,A:A,A1435)/VLOOKUP("USD",'Exchange Rates'!B:C,2,0)))/S1435)&gt;1,(SUMIFS(P:P,A:A,A1435)-S1435)/S1435,(S1435-SUMIFS(P:P,A:A,A1435))/SUMIFS(P:P,A:A,A1435)),"."),".")</f>
        <v>.</v>
      </c>
    </row>
    <row r="1436" spans="1:53" s="1180" customFormat="1" ht="15.95" customHeight="1">
      <c r="A1436" s="1180" t="s">
        <v>3927</v>
      </c>
      <c r="B1436" s="1180" t="s">
        <v>3748</v>
      </c>
      <c r="C1436" s="1181">
        <v>44700</v>
      </c>
      <c r="D1436" s="1182" t="s">
        <v>544</v>
      </c>
      <c r="E1436" s="1182" t="s">
        <v>481</v>
      </c>
      <c r="F1436" s="1183" t="s">
        <v>3928</v>
      </c>
      <c r="G1436" s="1184" t="s">
        <v>456</v>
      </c>
      <c r="H1436" s="1185">
        <v>50000000</v>
      </c>
      <c r="I1436" s="1180" t="s">
        <v>364</v>
      </c>
      <c r="J1436" s="1186" t="str">
        <f>VLOOKUP($I1436,'Price List, Weapons &amp; Items'!B:C,2,0)</f>
        <v>.</v>
      </c>
      <c r="K1436" s="1186" t="str">
        <f>IF(I1436=".",I1436,VLOOKUP($I1436,'Price List, Weapons &amp; Items'!B:D,3,0))</f>
        <v>.</v>
      </c>
      <c r="L1436" s="1187">
        <f>VLOOKUP(I1436,'Price List, Weapons &amp; Items'!B:E,4,0)</f>
        <v>0</v>
      </c>
      <c r="M1436" s="1188" t="s">
        <v>364</v>
      </c>
      <c r="N1436" s="1188" t="s">
        <v>364</v>
      </c>
      <c r="O1436" s="1188" t="str">
        <f>VLOOKUP($I1436,'Price List, Weapons &amp; Items'!B:G,6,0)</f>
        <v>.</v>
      </c>
      <c r="P1436" s="1185" t="str">
        <f t="shared" si="302"/>
        <v>.</v>
      </c>
      <c r="Q1436" s="1185" t="str">
        <f t="shared" si="303"/>
        <v>.</v>
      </c>
      <c r="R1436" s="1185">
        <f t="shared" si="299"/>
        <v>50000000</v>
      </c>
      <c r="S1436" s="1185">
        <f>IF(AND(AD1436=1,R1436&lt;&gt;".")=TRUE,R1436/VLOOKUP(G1436,'Exchange Rates'!B:C,2,0),IF(R1436=".",".",""))</f>
        <v>46006624.953993373</v>
      </c>
      <c r="T1436" s="1185" t="str">
        <f>IF(AD1436=1,IF(AF1436="Value is not given at all",".",IF(AF1436="Value is given by the source",S1436,IF(AF1436="Value is calculated with prices",(IF(SUMIFS(Q:Q,A:A,A1436)&gt;0,SUMIFS(Q:Q,A:A,A1436),"."))/VLOOKUP("USD",'Exchange Rates'!B:C,2,0),"Error with coding"))),"")</f>
        <v>.</v>
      </c>
      <c r="U1436" s="1184" t="s">
        <v>365</v>
      </c>
      <c r="V1436" s="973" t="s">
        <v>3929</v>
      </c>
      <c r="W1436" s="980" t="s">
        <v>3930</v>
      </c>
      <c r="X1436" s="1190" t="s">
        <v>364</v>
      </c>
      <c r="Y1436" s="1190" t="s">
        <v>364</v>
      </c>
      <c r="Z1436" s="1184">
        <v>0</v>
      </c>
      <c r="AA1436" s="1194">
        <v>0</v>
      </c>
      <c r="AB1436" s="1180" t="s">
        <v>364</v>
      </c>
      <c r="AC1436" s="1192" t="str">
        <f>""</f>
        <v/>
      </c>
      <c r="AD1436" s="985">
        <v>1</v>
      </c>
      <c r="AE1436" s="985" t="s">
        <v>368</v>
      </c>
      <c r="AF1436" s="985" t="s">
        <v>369</v>
      </c>
      <c r="AG1436" s="985">
        <v>1</v>
      </c>
      <c r="AH1436" s="1193">
        <v>5</v>
      </c>
      <c r="AI1436" s="1193">
        <v>0</v>
      </c>
      <c r="AJ1436" s="1193">
        <f>VLOOKUP($I1436,'Price List, Weapons &amp; Items'!B:F,5,0)</f>
        <v>0</v>
      </c>
      <c r="AK1436" s="1193">
        <f t="shared" si="304"/>
        <v>0</v>
      </c>
      <c r="AL1436" s="1193">
        <f t="shared" si="305"/>
        <v>0</v>
      </c>
      <c r="AM1436" s="1193">
        <f t="shared" si="306"/>
        <v>0</v>
      </c>
      <c r="AN1436" s="1194" t="str">
        <f>VLOOKUP($I1436,'Price List, Weapons &amp; Items'!B:L,COLUMN('Price List, Weapons &amp; Items'!$J$11)-1,0)</f>
        <v>.</v>
      </c>
      <c r="AO1436" s="1194" t="str">
        <f>IF(I1436=".",".",VLOOKUP($I1436,'Price List, Weapons &amp; Items'!B:J,3,0))</f>
        <v>.</v>
      </c>
      <c r="AP1436" s="1195" t="str">
        <f t="shared" ca="1" si="300"/>
        <v>.</v>
      </c>
      <c r="AQ1436" s="1194">
        <f>VLOOKUP($I1436,'Price List, Weapons &amp; Items'!B:L,COLUMN('Price List, Weapons &amp; Items'!$L$11)-1,0)</f>
        <v>0</v>
      </c>
      <c r="AR1436" s="1194">
        <f t="shared" si="307"/>
        <v>1</v>
      </c>
      <c r="AS1436" s="1194">
        <f t="shared" si="308"/>
        <v>0</v>
      </c>
      <c r="AT1436" s="1194">
        <f t="shared" si="309"/>
        <v>1</v>
      </c>
      <c r="AU1436" s="1194" t="str">
        <f t="shared" si="298"/>
        <v>.</v>
      </c>
      <c r="AV1436" s="1194" t="str">
        <f t="shared" si="301"/>
        <v>.</v>
      </c>
      <c r="AW1436" s="1194" t="str">
        <f t="shared" si="310"/>
        <v>.</v>
      </c>
      <c r="AX1436" s="1194">
        <f>IFERROR(VLOOKUP(B1436,'Share, Heavy Weapons to Ukraine'!B:Z,COLUMN('Share, Heavy Weapons to Ukraine'!C1448)-1,0),0)</f>
        <v>1</v>
      </c>
      <c r="AY1436" s="1194">
        <f>VLOOKUP('Bilateral Assistance, MAIN DATA'!B1436,'Country Summary (€)'!B:F,COLUMN('Country Summary (€)'!C1449)-1,FALSE)</f>
        <v>0</v>
      </c>
      <c r="AZ1436" s="1194" t="str">
        <f>IF(AND(AD1436=1,D1436="Military",H1436&lt;&gt;"Not given")=TRUE,IF(SUMIFS(P:P,A:A,A1436)&gt;0,ABS((SUMIFS(P:P,A:A,A1436)/VLOOKUP("USD",'Exchange Rates'!B:C,2,0)))/S1436,"."),".")</f>
        <v>.</v>
      </c>
      <c r="BA1436" s="1196" t="str">
        <f>IF(AND(AD1436=1,D1436="Military",H1436&lt;&gt;"Not given")=TRUE,IF(SUMIFS(P:P,A:A,A1436)&gt;0,IF((ABS((SUMIFS(P:P,A:A,A1436)/VLOOKUP("USD",'Exchange Rates'!B:C,2,0)))/S1436)&gt;1,(SUMIFS(P:P,A:A,A1436)-S1436)/S1436,(S1436-SUMIFS(P:P,A:A,A1436))/SUMIFS(P:P,A:A,A1436)),"."),".")</f>
        <v>.</v>
      </c>
    </row>
    <row r="1437" spans="1:53" s="1180" customFormat="1" ht="15.95" customHeight="1">
      <c r="A1437" s="1180" t="s">
        <v>3931</v>
      </c>
      <c r="B1437" s="1180" t="s">
        <v>3748</v>
      </c>
      <c r="C1437" s="1181">
        <v>44834</v>
      </c>
      <c r="D1437" s="1182" t="s">
        <v>544</v>
      </c>
      <c r="E1437" s="1182" t="s">
        <v>495</v>
      </c>
      <c r="F1437" s="1183" t="s">
        <v>3932</v>
      </c>
      <c r="G1437" s="1184" t="s">
        <v>456</v>
      </c>
      <c r="H1437" s="1185">
        <v>500000000</v>
      </c>
      <c r="I1437" s="1180" t="s">
        <v>364</v>
      </c>
      <c r="J1437" s="1186" t="str">
        <f>VLOOKUP($I1437,'Price List, Weapons &amp; Items'!B:C,2,0)</f>
        <v>.</v>
      </c>
      <c r="K1437" s="1186" t="str">
        <f>IF(I1437=".",I1437,VLOOKUP($I1437,'Price List, Weapons &amp; Items'!B:D,3,0))</f>
        <v>.</v>
      </c>
      <c r="L1437" s="1187">
        <f>VLOOKUP(I1437,'Price List, Weapons &amp; Items'!B:E,4,0)</f>
        <v>0</v>
      </c>
      <c r="M1437" s="1188" t="s">
        <v>364</v>
      </c>
      <c r="N1437" s="1188" t="s">
        <v>364</v>
      </c>
      <c r="O1437" s="1188" t="str">
        <f>VLOOKUP($I1437,'Price List, Weapons &amp; Items'!B:G,6,0)</f>
        <v>.</v>
      </c>
      <c r="P1437" s="1185" t="str">
        <f t="shared" si="302"/>
        <v>.</v>
      </c>
      <c r="Q1437" s="1185" t="str">
        <f t="shared" si="303"/>
        <v>.</v>
      </c>
      <c r="R1437" s="1185">
        <f t="shared" si="299"/>
        <v>500000000</v>
      </c>
      <c r="S1437" s="1185">
        <f>IF(AND(AD1437=1,R1437&lt;&gt;".")=TRUE,R1437/VLOOKUP(G1437,'Exchange Rates'!B:C,2,0),IF(R1437=".",".",""))</f>
        <v>460066249.53993374</v>
      </c>
      <c r="T1437" s="1185" t="str">
        <f>IF(AD1437=1,IF(AF1437="Value is not given at all",".",IF(AF1437="Value is given by the source",S1437,IF(AF1437="Value is calculated with prices",(IF(SUMIFS(Q:Q,A:A,A1437)&gt;0,SUMIFS(Q:Q,A:A,A1437),"."))/VLOOKUP("USD",'Exchange Rates'!B:C,2,0),"Error with coding"))),"")</f>
        <v>.</v>
      </c>
      <c r="U1437" s="1184" t="s">
        <v>365</v>
      </c>
      <c r="V1437" s="971" t="s">
        <v>1302</v>
      </c>
      <c r="W1437" s="972" t="s">
        <v>3933</v>
      </c>
      <c r="X1437" s="972" t="s">
        <v>3934</v>
      </c>
      <c r="Y1437" s="1190" t="s">
        <v>364</v>
      </c>
      <c r="Z1437" s="1184">
        <v>1</v>
      </c>
      <c r="AA1437" s="1184">
        <v>0</v>
      </c>
      <c r="AB1437" s="1180" t="s">
        <v>364</v>
      </c>
      <c r="AC1437" s="1192" t="str">
        <f>""</f>
        <v/>
      </c>
      <c r="AD1437" s="985">
        <v>1</v>
      </c>
      <c r="AE1437" s="985" t="s">
        <v>368</v>
      </c>
      <c r="AF1437" s="985" t="s">
        <v>369</v>
      </c>
      <c r="AG1437" s="985">
        <v>1</v>
      </c>
      <c r="AH1437" s="1193">
        <v>9</v>
      </c>
      <c r="AI1437" s="1193">
        <v>0</v>
      </c>
      <c r="AJ1437" s="1193">
        <f>VLOOKUP($I1437,'Price List, Weapons &amp; Items'!B:F,5,0)</f>
        <v>0</v>
      </c>
      <c r="AK1437" s="1193">
        <f t="shared" si="304"/>
        <v>0</v>
      </c>
      <c r="AL1437" s="1193">
        <f t="shared" si="305"/>
        <v>0</v>
      </c>
      <c r="AM1437" s="1193">
        <f t="shared" si="306"/>
        <v>0</v>
      </c>
      <c r="AN1437" s="1194" t="str">
        <f>VLOOKUP($I1437,'Price List, Weapons &amp; Items'!B:L,COLUMN('Price List, Weapons &amp; Items'!$J$11)-1,0)</f>
        <v>.</v>
      </c>
      <c r="AO1437" s="1194" t="str">
        <f>IF(I1437=".",".",VLOOKUP($I1437,'Price List, Weapons &amp; Items'!B:J,3,0))</f>
        <v>.</v>
      </c>
      <c r="AP1437" s="1195" t="str">
        <f t="shared" ca="1" si="300"/>
        <v>.</v>
      </c>
      <c r="AQ1437" s="1194">
        <f>VLOOKUP($I1437,'Price List, Weapons &amp; Items'!B:L,COLUMN('Price List, Weapons &amp; Items'!$L$11)-1,0)</f>
        <v>0</v>
      </c>
      <c r="AR1437" s="1194">
        <f t="shared" si="307"/>
        <v>1</v>
      </c>
      <c r="AS1437" s="1194">
        <f t="shared" si="308"/>
        <v>0</v>
      </c>
      <c r="AT1437" s="1194">
        <f t="shared" si="309"/>
        <v>1</v>
      </c>
      <c r="AU1437" s="1194" t="str">
        <f t="shared" si="298"/>
        <v>.</v>
      </c>
      <c r="AV1437" s="1194" t="str">
        <f t="shared" si="301"/>
        <v>.</v>
      </c>
      <c r="AW1437" s="1194" t="str">
        <f t="shared" si="310"/>
        <v>.</v>
      </c>
      <c r="AX1437" s="1194">
        <f>IFERROR(VLOOKUP(B1437,'Share, Heavy Weapons to Ukraine'!B:Z,COLUMN('Share, Heavy Weapons to Ukraine'!C1449)-1,0),0)</f>
        <v>1</v>
      </c>
      <c r="AY1437" s="1194">
        <f>VLOOKUP('Bilateral Assistance, MAIN DATA'!B1437,'Country Summary (€)'!B:F,COLUMN('Country Summary (€)'!C1450)-1,FALSE)</f>
        <v>0</v>
      </c>
      <c r="AZ1437" s="1194" t="str">
        <f>IF(AND(AD1437=1,D1437="Military",H1437&lt;&gt;"Not given")=TRUE,IF(SUMIFS(P:P,A:A,A1437)&gt;0,ABS((SUMIFS(P:P,A:A,A1437)/VLOOKUP("USD",'Exchange Rates'!B:C,2,0)))/S1437,"."),".")</f>
        <v>.</v>
      </c>
      <c r="BA1437" s="1196" t="str">
        <f>IF(AND(AD1437=1,D1437="Military",H1437&lt;&gt;"Not given")=TRUE,IF(SUMIFS(P:P,A:A,A1437)&gt;0,IF((ABS((SUMIFS(P:P,A:A,A1437)/VLOOKUP("USD",'Exchange Rates'!B:C,2,0)))/S1437)&gt;1,(SUMIFS(P:P,A:A,A1437)-S1437)/S1437,(S1437-SUMIFS(P:P,A:A,A1437))/SUMIFS(P:P,A:A,A1437)),"."),".")</f>
        <v>.</v>
      </c>
    </row>
    <row r="1438" spans="1:53" s="1180" customFormat="1" ht="15.95" customHeight="1">
      <c r="A1438" s="1180" t="s">
        <v>3935</v>
      </c>
      <c r="B1438" s="1180" t="s">
        <v>3748</v>
      </c>
      <c r="C1438" s="1181">
        <v>44918</v>
      </c>
      <c r="D1438" s="1182" t="s">
        <v>544</v>
      </c>
      <c r="E1438" s="1182" t="s">
        <v>495</v>
      </c>
      <c r="F1438" s="1183" t="s">
        <v>3936</v>
      </c>
      <c r="G1438" s="1184" t="s">
        <v>456</v>
      </c>
      <c r="H1438" s="1185">
        <v>500000000</v>
      </c>
      <c r="I1438" s="1180" t="s">
        <v>364</v>
      </c>
      <c r="J1438" s="1186" t="str">
        <f>VLOOKUP($I1438,'Price List, Weapons &amp; Items'!B:C,2,0)</f>
        <v>.</v>
      </c>
      <c r="K1438" s="1186" t="str">
        <f>IF(I1438=".",I1438,VLOOKUP($I1438,'Price List, Weapons &amp; Items'!B:D,3,0))</f>
        <v>.</v>
      </c>
      <c r="L1438" s="1187">
        <f>VLOOKUP(I1438,'Price List, Weapons &amp; Items'!B:E,4,0)</f>
        <v>0</v>
      </c>
      <c r="M1438" s="1188" t="s">
        <v>364</v>
      </c>
      <c r="N1438" s="1188" t="s">
        <v>364</v>
      </c>
      <c r="O1438" s="1188" t="str">
        <f>VLOOKUP($I1438,'Price List, Weapons &amp; Items'!B:G,6,0)</f>
        <v>.</v>
      </c>
      <c r="P1438" s="1185" t="str">
        <f t="shared" si="302"/>
        <v>.</v>
      </c>
      <c r="Q1438" s="1185" t="str">
        <f t="shared" si="303"/>
        <v>.</v>
      </c>
      <c r="R1438" s="1185">
        <f t="shared" si="299"/>
        <v>500000000</v>
      </c>
      <c r="S1438" s="1185">
        <f>IF(AND(AD1438=1,R1438&lt;&gt;".")=TRUE,R1438/VLOOKUP(G1438,'Exchange Rates'!B:C,2,0),IF(R1438=".",".",""))</f>
        <v>460066249.53993374</v>
      </c>
      <c r="T1438" s="1185" t="str">
        <f>IF(AD1438=1,IF(AF1438="Value is not given at all",".",IF(AF1438="Value is given by the source",S1438,IF(AF1438="Value is calculated with prices",(IF(SUMIFS(Q:Q,A:A,A1438)&gt;0,SUMIFS(Q:Q,A:A,A1438),"."))/VLOOKUP("USD",'Exchange Rates'!B:C,2,0),"Error with coding"))),"")</f>
        <v>.</v>
      </c>
      <c r="U1438" s="1184" t="s">
        <v>365</v>
      </c>
      <c r="V1438" s="971" t="s">
        <v>3937</v>
      </c>
      <c r="W1438" s="972" t="s">
        <v>3938</v>
      </c>
      <c r="X1438" s="980" t="s">
        <v>3939</v>
      </c>
      <c r="Y1438" s="1190" t="s">
        <v>364</v>
      </c>
      <c r="Z1438" s="1184">
        <v>1</v>
      </c>
      <c r="AA1438" s="1191">
        <v>0</v>
      </c>
      <c r="AB1438" s="1180" t="s">
        <v>364</v>
      </c>
      <c r="AC1438" s="1192" t="str">
        <f>""</f>
        <v/>
      </c>
      <c r="AD1438" s="985">
        <v>1</v>
      </c>
      <c r="AE1438" s="985" t="s">
        <v>368</v>
      </c>
      <c r="AF1438" s="985" t="s">
        <v>369</v>
      </c>
      <c r="AG1438" s="985">
        <v>1</v>
      </c>
      <c r="AH1438" s="1193">
        <v>12</v>
      </c>
      <c r="AI1438" s="1193">
        <v>0</v>
      </c>
      <c r="AJ1438" s="1193">
        <f>VLOOKUP($I1438,'Price List, Weapons &amp; Items'!B:F,5,0)</f>
        <v>0</v>
      </c>
      <c r="AK1438" s="1193">
        <f t="shared" si="304"/>
        <v>0</v>
      </c>
      <c r="AL1438" s="1193">
        <f t="shared" si="305"/>
        <v>0</v>
      </c>
      <c r="AM1438" s="1193">
        <f t="shared" si="306"/>
        <v>0</v>
      </c>
      <c r="AN1438" s="1194" t="str">
        <f>VLOOKUP($I1438,'Price List, Weapons &amp; Items'!B:L,COLUMN('Price List, Weapons &amp; Items'!$J$11)-1,0)</f>
        <v>.</v>
      </c>
      <c r="AO1438" s="1194" t="str">
        <f>IF(I1438=".",".",VLOOKUP($I1438,'Price List, Weapons &amp; Items'!B:J,3,0))</f>
        <v>.</v>
      </c>
      <c r="AP1438" s="1195" t="str">
        <f t="shared" ca="1" si="300"/>
        <v>.</v>
      </c>
      <c r="AQ1438" s="1194">
        <f>VLOOKUP($I1438,'Price List, Weapons &amp; Items'!B:L,COLUMN('Price List, Weapons &amp; Items'!$L$11)-1,0)</f>
        <v>0</v>
      </c>
      <c r="AR1438" s="1194">
        <f t="shared" si="307"/>
        <v>1</v>
      </c>
      <c r="AS1438" s="1194">
        <f t="shared" si="308"/>
        <v>0</v>
      </c>
      <c r="AT1438" s="1194">
        <f t="shared" si="309"/>
        <v>1</v>
      </c>
      <c r="AU1438" s="1194" t="str">
        <f t="shared" si="298"/>
        <v>.</v>
      </c>
      <c r="AV1438" s="1194" t="str">
        <f t="shared" si="301"/>
        <v>.</v>
      </c>
      <c r="AW1438" s="1194" t="str">
        <f t="shared" si="310"/>
        <v>.</v>
      </c>
      <c r="AX1438" s="1194">
        <f>IFERROR(VLOOKUP(B1438,'Share, Heavy Weapons to Ukraine'!B:Z,COLUMN('Share, Heavy Weapons to Ukraine'!C1450)-1,0),0)</f>
        <v>1</v>
      </c>
      <c r="AY1438" s="1194">
        <f>VLOOKUP('Bilateral Assistance, MAIN DATA'!B1438,'Country Summary (€)'!B:F,COLUMN('Country Summary (€)'!C1451)-1,FALSE)</f>
        <v>0</v>
      </c>
      <c r="AZ1438" s="1194" t="str">
        <f>IF(AND(AD1438=1,D1438="Military",H1438&lt;&gt;"Not given")=TRUE,IF(SUMIFS(P:P,A:A,A1438)&gt;0,ABS((SUMIFS(P:P,A:A,A1438)/VLOOKUP("USD",'Exchange Rates'!B:C,2,0)))/S1438,"."),".")</f>
        <v>.</v>
      </c>
      <c r="BA1438" s="1196" t="str">
        <f>IF(AND(AD1438=1,D1438="Military",H1438&lt;&gt;"Not given")=TRUE,IF(SUMIFS(P:P,A:A,A1438)&gt;0,IF((ABS((SUMIFS(P:P,A:A,A1438)/VLOOKUP("USD",'Exchange Rates'!B:C,2,0)))/S1438)&gt;1,(SUMIFS(P:P,A:A,A1438)-S1438)/S1438,(S1438-SUMIFS(P:P,A:A,A1438))/SUMIFS(P:P,A:A,A1438)),"."),".")</f>
        <v>.</v>
      </c>
    </row>
    <row r="1439" spans="1:53" s="1180" customFormat="1" ht="15.95" customHeight="1">
      <c r="A1439" s="1180" t="s">
        <v>3940</v>
      </c>
      <c r="B1439" s="1180" t="s">
        <v>3748</v>
      </c>
      <c r="C1439" s="1181">
        <v>45000</v>
      </c>
      <c r="D1439" s="1182" t="s">
        <v>544</v>
      </c>
      <c r="E1439" s="1182" t="s">
        <v>495</v>
      </c>
      <c r="F1439" s="1183" t="s">
        <v>3941</v>
      </c>
      <c r="G1439" s="1184" t="s">
        <v>456</v>
      </c>
      <c r="H1439" s="1185">
        <v>500000000</v>
      </c>
      <c r="I1439" s="1180" t="s">
        <v>364</v>
      </c>
      <c r="J1439" s="1186" t="str">
        <f>VLOOKUP($I1439,'Price List, Weapons &amp; Items'!B:C,2,0)</f>
        <v>.</v>
      </c>
      <c r="K1439" s="1186" t="str">
        <f>IF(I1439=".",I1439,VLOOKUP($I1439,'Price List, Weapons &amp; Items'!B:D,3,0))</f>
        <v>.</v>
      </c>
      <c r="L1439" s="1187">
        <f>VLOOKUP(I1439,'Price List, Weapons &amp; Items'!B:E,4,0)</f>
        <v>0</v>
      </c>
      <c r="M1439" s="1188" t="s">
        <v>364</v>
      </c>
      <c r="N1439" s="1188" t="s">
        <v>364</v>
      </c>
      <c r="O1439" s="1188" t="str">
        <f>VLOOKUP($I1439,'Price List, Weapons &amp; Items'!B:G,6,0)</f>
        <v>.</v>
      </c>
      <c r="P1439" s="1185" t="str">
        <f t="shared" si="302"/>
        <v>.</v>
      </c>
      <c r="Q1439" s="1185" t="str">
        <f t="shared" si="303"/>
        <v>.</v>
      </c>
      <c r="R1439" s="1185">
        <f t="shared" si="299"/>
        <v>500000000</v>
      </c>
      <c r="S1439" s="1185">
        <f>IF(AND(AD1439=1,R1439&lt;&gt;".")=TRUE,R1439/VLOOKUP(G1439,'Exchange Rates'!B:C,2,0),IF(R1439=".",".",""))</f>
        <v>460066249.53993374</v>
      </c>
      <c r="T1439" s="1185" t="str">
        <f>IF(AD1439=1,IF(AF1439="Value is not given at all",".",IF(AF1439="Value is given by the source",S1439,IF(AF1439="Value is calculated with prices",(IF(SUMIFS(Q:Q,A:A,A1439)&gt;0,SUMIFS(Q:Q,A:A,A1439),"."))/VLOOKUP("USD",'Exchange Rates'!B:C,2,0),"Error with coding"))),"")</f>
        <v>.</v>
      </c>
      <c r="U1439" s="1184" t="s">
        <v>365</v>
      </c>
      <c r="V1439" s="973" t="s">
        <v>3942</v>
      </c>
      <c r="W1439" s="972" t="s">
        <v>3943</v>
      </c>
      <c r="X1439" s="980" t="s">
        <v>364</v>
      </c>
      <c r="Y1439" s="1190" t="s">
        <v>364</v>
      </c>
      <c r="Z1439" s="1184">
        <v>1</v>
      </c>
      <c r="AA1439" s="1191">
        <v>1</v>
      </c>
      <c r="AB1439" s="1180" t="s">
        <v>364</v>
      </c>
      <c r="AC1439" s="1192" t="str">
        <f>""</f>
        <v/>
      </c>
      <c r="AD1439" s="985">
        <v>1</v>
      </c>
      <c r="AE1439" s="985" t="s">
        <v>368</v>
      </c>
      <c r="AF1439" s="985" t="s">
        <v>369</v>
      </c>
      <c r="AG1439" s="985">
        <v>1</v>
      </c>
      <c r="AH1439" s="1193">
        <v>15</v>
      </c>
      <c r="AI1439" s="1193">
        <v>0</v>
      </c>
      <c r="AJ1439" s="1193">
        <f>VLOOKUP($I1439,'Price List, Weapons &amp; Items'!B:F,5,0)</f>
        <v>0</v>
      </c>
      <c r="AK1439" s="1193">
        <f t="shared" si="304"/>
        <v>0</v>
      </c>
      <c r="AL1439" s="1193">
        <f t="shared" si="305"/>
        <v>0</v>
      </c>
      <c r="AM1439" s="1193">
        <f t="shared" si="306"/>
        <v>0</v>
      </c>
      <c r="AN1439" s="1194" t="str">
        <f>VLOOKUP($I1439,'Price List, Weapons &amp; Items'!B:L,COLUMN('Price List, Weapons &amp; Items'!$J$11)-1,0)</f>
        <v>.</v>
      </c>
      <c r="AO1439" s="1194" t="str">
        <f>IF(I1439=".",".",VLOOKUP($I1439,'Price List, Weapons &amp; Items'!B:J,3,0))</f>
        <v>.</v>
      </c>
      <c r="AP1439" s="1195" t="str">
        <f t="shared" ca="1" si="300"/>
        <v>.</v>
      </c>
      <c r="AQ1439" s="1194">
        <f>VLOOKUP($I1439,'Price List, Weapons &amp; Items'!B:L,COLUMN('Price List, Weapons &amp; Items'!$L$11)-1,0)</f>
        <v>0</v>
      </c>
      <c r="AR1439" s="1194">
        <f t="shared" si="307"/>
        <v>1</v>
      </c>
      <c r="AS1439" s="1194">
        <f t="shared" si="308"/>
        <v>0</v>
      </c>
      <c r="AT1439" s="1194">
        <f t="shared" si="309"/>
        <v>1</v>
      </c>
      <c r="AU1439" s="1194" t="str">
        <f t="shared" ref="AU1439:AU1502" si="311">IF(AND(A1439=A1438,C1439=C1438)=TRUE,IF(F1439=F1438,".","1"),".")</f>
        <v>.</v>
      </c>
      <c r="AV1439" s="1194" t="str">
        <f t="shared" si="301"/>
        <v>.</v>
      </c>
      <c r="AW1439" s="1194" t="str">
        <f t="shared" si="310"/>
        <v>.</v>
      </c>
      <c r="AX1439" s="1194">
        <f>IFERROR(VLOOKUP(B1439,'Share, Heavy Weapons to Ukraine'!B:Z,COLUMN('Share, Heavy Weapons to Ukraine'!C1451)-1,0),0)</f>
        <v>1</v>
      </c>
      <c r="AY1439" s="1194">
        <f>VLOOKUP('Bilateral Assistance, MAIN DATA'!B1439,'Country Summary (€)'!B:F,COLUMN('Country Summary (€)'!C1452)-1,FALSE)</f>
        <v>0</v>
      </c>
      <c r="AZ1439" s="1194" t="str">
        <f>IF(AND(AD1439=1,D1439="Military",H1439&lt;&gt;"Not given")=TRUE,IF(SUMIFS(P:P,A:A,A1439)&gt;0,ABS((SUMIFS(P:P,A:A,A1439)/VLOOKUP("USD",'Exchange Rates'!B:C,2,0)))/S1439,"."),".")</f>
        <v>.</v>
      </c>
      <c r="BA1439" s="1196" t="str">
        <f>IF(AND(AD1439=1,D1439="Military",H1439&lt;&gt;"Not given")=TRUE,IF(SUMIFS(P:P,A:A,A1439)&gt;0,IF((ABS((SUMIFS(P:P,A:A,A1439)/VLOOKUP("USD",'Exchange Rates'!B:C,2,0)))/S1439)&gt;1,(SUMIFS(P:P,A:A,A1439)-S1439)/S1439,(S1439-SUMIFS(P:P,A:A,A1439))/SUMIFS(P:P,A:A,A1439)),"."),".")</f>
        <v>.</v>
      </c>
    </row>
    <row r="1440" spans="1:53" s="1180" customFormat="1" ht="15.95" customHeight="1">
      <c r="A1440" s="1180" t="s">
        <v>3944</v>
      </c>
      <c r="B1440" s="1180" t="s">
        <v>3748</v>
      </c>
      <c r="C1440" s="1181">
        <v>45029</v>
      </c>
      <c r="D1440" s="1182" t="s">
        <v>544</v>
      </c>
      <c r="E1440" s="1182" t="s">
        <v>495</v>
      </c>
      <c r="F1440" s="1183" t="s">
        <v>3945</v>
      </c>
      <c r="G1440" s="1184" t="s">
        <v>456</v>
      </c>
      <c r="H1440" s="1185">
        <v>500000000</v>
      </c>
      <c r="I1440" s="1180" t="s">
        <v>364</v>
      </c>
      <c r="J1440" s="1186" t="str">
        <f>VLOOKUP($I1440,'Price List, Weapons &amp; Items'!B:C,2,0)</f>
        <v>.</v>
      </c>
      <c r="K1440" s="1186" t="str">
        <f>IF(I1440=".",I1440,VLOOKUP($I1440,'Price List, Weapons &amp; Items'!B:D,3,0))</f>
        <v>.</v>
      </c>
      <c r="L1440" s="1187">
        <f>VLOOKUP(I1440,'Price List, Weapons &amp; Items'!B:E,4,0)</f>
        <v>0</v>
      </c>
      <c r="M1440" s="1188" t="s">
        <v>364</v>
      </c>
      <c r="N1440" s="1188" t="s">
        <v>364</v>
      </c>
      <c r="O1440" s="1188" t="str">
        <f>VLOOKUP($I1440,'Price List, Weapons &amp; Items'!B:G,6,0)</f>
        <v>.</v>
      </c>
      <c r="P1440" s="1185" t="str">
        <f t="shared" si="302"/>
        <v>.</v>
      </c>
      <c r="Q1440" s="1185" t="str">
        <f t="shared" si="303"/>
        <v>.</v>
      </c>
      <c r="R1440" s="1185">
        <f t="shared" si="299"/>
        <v>500000000</v>
      </c>
      <c r="S1440" s="1185">
        <f>IF(AND(AD1440=1,R1440&lt;&gt;".")=TRUE,R1440/VLOOKUP(G1440,'Exchange Rates'!B:C,2,0),IF(R1440=".",".",""))</f>
        <v>460066249.53993374</v>
      </c>
      <c r="T1440" s="1185" t="str">
        <f>IF(AD1440=1,IF(AF1440="Value is not given at all",".",IF(AF1440="Value is given by the source",S1440,IF(AF1440="Value is calculated with prices",(IF(SUMIFS(Q:Q,A:A,A1440)&gt;0,SUMIFS(Q:Q,A:A,A1440),"."))/VLOOKUP("USD",'Exchange Rates'!B:C,2,0),"Error with coding"))),"")</f>
        <v>.</v>
      </c>
      <c r="U1440" s="1184" t="s">
        <v>365</v>
      </c>
      <c r="V1440" s="973" t="s">
        <v>3946</v>
      </c>
      <c r="W1440" s="980" t="s">
        <v>3947</v>
      </c>
      <c r="X1440" s="980" t="s">
        <v>364</v>
      </c>
      <c r="Y1440" s="1190" t="s">
        <v>364</v>
      </c>
      <c r="Z1440" s="1184">
        <v>1</v>
      </c>
      <c r="AA1440" s="1191">
        <v>1</v>
      </c>
      <c r="AB1440" s="1180" t="s">
        <v>364</v>
      </c>
      <c r="AC1440" s="1192" t="str">
        <f>""</f>
        <v/>
      </c>
      <c r="AD1440" s="985">
        <v>1</v>
      </c>
      <c r="AE1440" s="985" t="s">
        <v>368</v>
      </c>
      <c r="AF1440" s="985" t="s">
        <v>369</v>
      </c>
      <c r="AG1440" s="985">
        <v>1</v>
      </c>
      <c r="AH1440" s="1193">
        <v>16</v>
      </c>
      <c r="AI1440" s="1193">
        <v>0</v>
      </c>
      <c r="AJ1440" s="1193">
        <f>VLOOKUP($I1440,'Price List, Weapons &amp; Items'!B:F,5,0)</f>
        <v>0</v>
      </c>
      <c r="AK1440" s="1193">
        <f t="shared" si="304"/>
        <v>0</v>
      </c>
      <c r="AL1440" s="1193">
        <f t="shared" si="305"/>
        <v>0</v>
      </c>
      <c r="AM1440" s="1193">
        <f t="shared" si="306"/>
        <v>0</v>
      </c>
      <c r="AN1440" s="1194" t="str">
        <f>VLOOKUP($I1440,'Price List, Weapons &amp; Items'!B:L,COLUMN('Price List, Weapons &amp; Items'!$J$11)-1,0)</f>
        <v>.</v>
      </c>
      <c r="AO1440" s="1194" t="str">
        <f>IF(I1440=".",".",VLOOKUP($I1440,'Price List, Weapons &amp; Items'!B:J,3,0))</f>
        <v>.</v>
      </c>
      <c r="AP1440" s="1195" t="str">
        <f t="shared" ca="1" si="300"/>
        <v>.</v>
      </c>
      <c r="AQ1440" s="1194">
        <f>VLOOKUP($I1440,'Price List, Weapons &amp; Items'!B:L,COLUMN('Price List, Weapons &amp; Items'!$L$11)-1,0)</f>
        <v>0</v>
      </c>
      <c r="AR1440" s="1194">
        <f t="shared" si="307"/>
        <v>1</v>
      </c>
      <c r="AS1440" s="1194">
        <f t="shared" si="308"/>
        <v>0</v>
      </c>
      <c r="AT1440" s="1194">
        <f t="shared" si="309"/>
        <v>1</v>
      </c>
      <c r="AU1440" s="1194" t="str">
        <f t="shared" si="311"/>
        <v>.</v>
      </c>
      <c r="AV1440" s="1194" t="str">
        <f t="shared" si="301"/>
        <v>.</v>
      </c>
      <c r="AW1440" s="1194" t="str">
        <f t="shared" si="310"/>
        <v>.</v>
      </c>
      <c r="AX1440" s="1194">
        <f>IFERROR(VLOOKUP(B1440,'Share, Heavy Weapons to Ukraine'!B:Z,COLUMN('Share, Heavy Weapons to Ukraine'!C1452)-1,0),0)</f>
        <v>1</v>
      </c>
      <c r="AY1440" s="1194">
        <f>VLOOKUP('Bilateral Assistance, MAIN DATA'!B1440,'Country Summary (€)'!B:F,COLUMN('Country Summary (€)'!C1453)-1,FALSE)</f>
        <v>0</v>
      </c>
      <c r="AZ1440" s="1194" t="str">
        <f>IF(AND(AD1440=1,D1440="Military",H1440&lt;&gt;"Not given")=TRUE,IF(SUMIFS(P:P,A:A,A1440)&gt;0,ABS((SUMIFS(P:P,A:A,A1440)/VLOOKUP("USD",'Exchange Rates'!B:C,2,0)))/S1440,"."),".")</f>
        <v>.</v>
      </c>
      <c r="BA1440" s="1196" t="str">
        <f>IF(AND(AD1440=1,D1440="Military",H1440&lt;&gt;"Not given")=TRUE,IF(SUMIFS(P:P,A:A,A1440)&gt;0,IF((ABS((SUMIFS(P:P,A:A,A1440)/VLOOKUP("USD",'Exchange Rates'!B:C,2,0)))/S1440)&gt;1,(SUMIFS(P:P,A:A,A1440)-S1440)/S1440,(S1440-SUMIFS(P:P,A:A,A1440))/SUMIFS(P:P,A:A,A1440)),"."),".")</f>
        <v>.</v>
      </c>
    </row>
    <row r="1441" spans="1:53" ht="15.95" customHeight="1">
      <c r="A1441" s="1180" t="s">
        <v>3948</v>
      </c>
      <c r="B1441" s="1180" t="s">
        <v>3949</v>
      </c>
      <c r="C1441" s="1181">
        <v>44619</v>
      </c>
      <c r="D1441" s="1182" t="s">
        <v>360</v>
      </c>
      <c r="E1441" s="1182" t="s">
        <v>759</v>
      </c>
      <c r="F1441" s="1183" t="s">
        <v>3950</v>
      </c>
      <c r="G1441" s="1184" t="s">
        <v>456</v>
      </c>
      <c r="H1441" s="1185">
        <v>54000000</v>
      </c>
      <c r="I1441" s="1180" t="s">
        <v>364</v>
      </c>
      <c r="J1441" s="1186" t="str">
        <f>VLOOKUP($I1441,'Price List, Weapons &amp; Items'!B:C,2,0)</f>
        <v>.</v>
      </c>
      <c r="K1441" s="1186" t="str">
        <f>IF(I1441=".",I1441,VLOOKUP($I1441,'Price List, Weapons &amp; Items'!B:D,3,0))</f>
        <v>.</v>
      </c>
      <c r="L1441" s="1187">
        <f>VLOOKUP(I1441,'Price List, Weapons &amp; Items'!B:E,4,0)</f>
        <v>0</v>
      </c>
      <c r="M1441" s="1188" t="s">
        <v>364</v>
      </c>
      <c r="N1441" s="1188" t="s">
        <v>364</v>
      </c>
      <c r="O1441" s="1188" t="str">
        <f>VLOOKUP($I1441,'Price List, Weapons &amp; Items'!B:G,6,0)</f>
        <v>.</v>
      </c>
      <c r="P1441" s="1185" t="str">
        <f t="shared" si="302"/>
        <v>.</v>
      </c>
      <c r="Q1441" s="1185" t="str">
        <f t="shared" si="303"/>
        <v>.</v>
      </c>
      <c r="R1441" s="1185">
        <f t="shared" si="299"/>
        <v>54000000</v>
      </c>
      <c r="S1441" s="1185">
        <f>IF(AND(AD1441=1,R1441&lt;&gt;".")=TRUE,R1441/VLOOKUP(G1441,'Exchange Rates'!B:C,2,0),IF(R1441=".",".",""))</f>
        <v>49687154.950312845</v>
      </c>
      <c r="T1441" s="1185" t="str">
        <f>IF(AD1441=1,IF(AF1441="Value is not given at all",".",IF(AF1441="Value is given by the source",S1441,IF(AF1441="Value is calculated with prices",(IF(SUMIFS(Q:Q,A:A,A1441)&gt;0,SUMIFS(Q:Q,A:A,A1441),"."))/VLOOKUP("USD",'Exchange Rates'!B:C,2,0),"Error with coding"))),"")</f>
        <v>.</v>
      </c>
      <c r="U1441" s="1184" t="s">
        <v>365</v>
      </c>
      <c r="V1441" s="971" t="s">
        <v>3951</v>
      </c>
      <c r="W1441" s="971" t="s">
        <v>3952</v>
      </c>
      <c r="X1441" s="1190" t="s">
        <v>364</v>
      </c>
      <c r="Y1441" s="1335" t="s">
        <v>364</v>
      </c>
      <c r="Z1441" s="1184">
        <v>0</v>
      </c>
      <c r="AA1441" s="1194">
        <v>0</v>
      </c>
      <c r="AB1441" s="1201" t="s">
        <v>364</v>
      </c>
      <c r="AC1441" s="1192" t="str">
        <f>""</f>
        <v/>
      </c>
      <c r="AD1441" s="1193">
        <v>1</v>
      </c>
      <c r="AE1441" s="1193" t="s">
        <v>368</v>
      </c>
      <c r="AF1441" s="1193" t="s">
        <v>369</v>
      </c>
      <c r="AG1441" s="1193">
        <v>1</v>
      </c>
      <c r="AH1441" s="1193">
        <v>2</v>
      </c>
      <c r="AI1441" s="1193">
        <v>0</v>
      </c>
      <c r="AJ1441" s="1193">
        <f>VLOOKUP($I1441,'Price List, Weapons &amp; Items'!B:F,5,0)</f>
        <v>0</v>
      </c>
      <c r="AK1441" s="1193">
        <f t="shared" si="304"/>
        <v>0</v>
      </c>
      <c r="AL1441" s="1193">
        <f t="shared" si="305"/>
        <v>0</v>
      </c>
      <c r="AM1441" s="1193">
        <f t="shared" si="306"/>
        <v>0</v>
      </c>
      <c r="AN1441" s="1194" t="str">
        <f>VLOOKUP($I1441,'Price List, Weapons &amp; Items'!B:L,COLUMN('Price List, Weapons &amp; Items'!$J$11)-1,0)</f>
        <v>.</v>
      </c>
      <c r="AO1441" s="1194" t="str">
        <f>IF(I1441=".",".",VLOOKUP($I1441,'Price List, Weapons &amp; Items'!B:J,3,0))</f>
        <v>.</v>
      </c>
      <c r="AP1441" s="1195" t="str">
        <f t="shared" ca="1" si="300"/>
        <v>.</v>
      </c>
      <c r="AQ1441" s="1194">
        <f>VLOOKUP($I1441,'Price List, Weapons &amp; Items'!B:L,COLUMN('Price List, Weapons &amp; Items'!$L$11)-1,0)</f>
        <v>0</v>
      </c>
      <c r="AR1441" s="1194">
        <f t="shared" si="307"/>
        <v>1</v>
      </c>
      <c r="AS1441" s="1194">
        <f t="shared" si="308"/>
        <v>0</v>
      </c>
      <c r="AT1441" s="1194">
        <f t="shared" si="309"/>
        <v>1</v>
      </c>
      <c r="AU1441" s="1194" t="str">
        <f t="shared" si="311"/>
        <v>.</v>
      </c>
      <c r="AV1441" s="1194" t="str">
        <f t="shared" si="301"/>
        <v>.</v>
      </c>
      <c r="AW1441" s="1194" t="str">
        <f t="shared" si="310"/>
        <v>.</v>
      </c>
      <c r="AX1441" s="1194">
        <f>IFERROR(VLOOKUP(B1441,'Share, Heavy Weapons to Ukraine'!B:Z,COLUMN('Share, Heavy Weapons to Ukraine'!C1453)-1,0),0)</f>
        <v>1</v>
      </c>
      <c r="AY1441" s="1194">
        <f>VLOOKUP('Bilateral Assistance, MAIN DATA'!B1441,'Country Summary (€)'!B:F,COLUMN('Country Summary (€)'!C1454)-1,FALSE)</f>
        <v>0</v>
      </c>
      <c r="AZ1441" s="1194" t="str">
        <f>IF(AND(AD1441=1,D1441="Military",H1441&lt;&gt;"Not given")=TRUE,IF(SUMIFS(P:P,A:A,A1441)&gt;0,ABS((SUMIFS(P:P,A:A,A1441)/VLOOKUP("USD",'Exchange Rates'!B:C,2,0)))/S1441,"."),".")</f>
        <v>.</v>
      </c>
      <c r="BA1441" s="1196" t="str">
        <f>IF(AND(AD1441=1,D1441="Military",H1441&lt;&gt;"Not given")=TRUE,IF(SUMIFS(P:P,A:A,A1441)&gt;0,IF((ABS((SUMIFS(P:P,A:A,A1441)/VLOOKUP("USD",'Exchange Rates'!B:C,2,0)))/S1441)&gt;1,(SUMIFS(P:P,A:A,A1441)-S1441)/S1441,(S1441-SUMIFS(P:P,A:A,A1441))/SUMIFS(P:P,A:A,A1441)),"."),".")</f>
        <v>.</v>
      </c>
    </row>
    <row r="1442" spans="1:53" ht="15.95" customHeight="1">
      <c r="A1442" s="1208" t="s">
        <v>3953</v>
      </c>
      <c r="B1442" s="1208" t="s">
        <v>3949</v>
      </c>
      <c r="C1442" s="1220">
        <v>44635</v>
      </c>
      <c r="D1442" s="1208" t="s">
        <v>360</v>
      </c>
      <c r="E1442" s="1208" t="s">
        <v>361</v>
      </c>
      <c r="F1442" s="1208" t="s">
        <v>3954</v>
      </c>
      <c r="G1442" s="1184" t="s">
        <v>456</v>
      </c>
      <c r="H1442" s="1210">
        <v>30000000</v>
      </c>
      <c r="I1442" s="1208" t="s">
        <v>364</v>
      </c>
      <c r="J1442" s="1186" t="str">
        <f>VLOOKUP($I1442,'Price List, Weapons &amp; Items'!B:C,2,0)</f>
        <v>.</v>
      </c>
      <c r="K1442" s="1186" t="str">
        <f>IF(I1442=".",I1442,VLOOKUP($I1442,'Price List, Weapons &amp; Items'!B:D,3,0))</f>
        <v>.</v>
      </c>
      <c r="L1442" s="1187">
        <f>VLOOKUP(I1442,'Price List, Weapons &amp; Items'!B:E,4,0)</f>
        <v>0</v>
      </c>
      <c r="M1442" s="1241" t="s">
        <v>364</v>
      </c>
      <c r="N1442" s="1211" t="s">
        <v>364</v>
      </c>
      <c r="O1442" s="1188" t="str">
        <f>VLOOKUP($I1442,'Price List, Weapons &amp; Items'!B:G,6,0)</f>
        <v>.</v>
      </c>
      <c r="P1442" s="1185" t="str">
        <f t="shared" si="302"/>
        <v>.</v>
      </c>
      <c r="Q1442" s="1185" t="str">
        <f t="shared" si="303"/>
        <v>.</v>
      </c>
      <c r="R1442" s="1185">
        <f t="shared" si="299"/>
        <v>30000000</v>
      </c>
      <c r="S1442" s="1185">
        <f>IF(AND(AD1442=1,R1442&lt;&gt;".")=TRUE,R1442/VLOOKUP(G1442,'Exchange Rates'!B:C,2,0),IF(R1442=".",".",""))</f>
        <v>27603974.972396024</v>
      </c>
      <c r="T1442" s="1185" t="str">
        <f>IF(AD1442=1,IF(AF1442="Value is not given at all",".",IF(AF1442="Value is given by the source",S1442,IF(AF1442="Value is calculated with prices",(IF(SUMIFS(Q:Q,A:A,A1442)&gt;0,SUMIFS(Q:Q,A:A,A1442),"."))/VLOOKUP("USD",'Exchange Rates'!B:C,2,0),"Error with coding"))),"")</f>
        <v>.</v>
      </c>
      <c r="U1442" s="1184" t="s">
        <v>365</v>
      </c>
      <c r="V1442" s="979" t="s">
        <v>3955</v>
      </c>
      <c r="W1442" s="966" t="s">
        <v>3956</v>
      </c>
      <c r="X1442" s="1208" t="s">
        <v>364</v>
      </c>
      <c r="Y1442" s="1335" t="s">
        <v>364</v>
      </c>
      <c r="Z1442" s="1191">
        <v>0</v>
      </c>
      <c r="AA1442" s="1191">
        <v>0</v>
      </c>
      <c r="AB1442" s="1208" t="s">
        <v>364</v>
      </c>
      <c r="AC1442" s="1192" t="str">
        <f>""</f>
        <v/>
      </c>
      <c r="AD1442" s="1191">
        <v>1</v>
      </c>
      <c r="AE1442" s="1191" t="s">
        <v>368</v>
      </c>
      <c r="AF1442" s="1191" t="s">
        <v>369</v>
      </c>
      <c r="AG1442" s="1191">
        <v>1</v>
      </c>
      <c r="AH1442" s="1191">
        <v>3</v>
      </c>
      <c r="AI1442" s="1191">
        <v>0</v>
      </c>
      <c r="AJ1442" s="1193">
        <f>VLOOKUP($I1442,'Price List, Weapons &amp; Items'!B:F,5,0)</f>
        <v>0</v>
      </c>
      <c r="AK1442" s="1193">
        <f t="shared" si="304"/>
        <v>0</v>
      </c>
      <c r="AL1442" s="1193">
        <f t="shared" si="305"/>
        <v>0</v>
      </c>
      <c r="AM1442" s="1193">
        <f t="shared" si="306"/>
        <v>0</v>
      </c>
      <c r="AN1442" s="1194" t="str">
        <f>VLOOKUP($I1442,'Price List, Weapons &amp; Items'!B:L,COLUMN('Price List, Weapons &amp; Items'!$J$11)-1,0)</f>
        <v>.</v>
      </c>
      <c r="AO1442" s="1194" t="str">
        <f>IF(I1442=".",".",VLOOKUP($I1442,'Price List, Weapons &amp; Items'!B:J,3,0))</f>
        <v>.</v>
      </c>
      <c r="AP1442" s="1195" t="str">
        <f t="shared" ca="1" si="300"/>
        <v>.</v>
      </c>
      <c r="AQ1442" s="1194">
        <f>VLOOKUP($I1442,'Price List, Weapons &amp; Items'!B:L,COLUMN('Price List, Weapons &amp; Items'!$L$11)-1,0)</f>
        <v>0</v>
      </c>
      <c r="AR1442" s="1194">
        <f t="shared" si="307"/>
        <v>1</v>
      </c>
      <c r="AS1442" s="1194">
        <f t="shared" si="308"/>
        <v>0</v>
      </c>
      <c r="AT1442" s="1194">
        <f t="shared" si="309"/>
        <v>1</v>
      </c>
      <c r="AU1442" s="1194" t="str">
        <f t="shared" si="311"/>
        <v>.</v>
      </c>
      <c r="AV1442" s="1194" t="str">
        <f t="shared" si="301"/>
        <v>.</v>
      </c>
      <c r="AW1442" s="1194" t="str">
        <f t="shared" si="310"/>
        <v>.</v>
      </c>
      <c r="AX1442" s="1194">
        <f>IFERROR(VLOOKUP(B1442,'Share, Heavy Weapons to Ukraine'!B:Z,COLUMN('Share, Heavy Weapons to Ukraine'!C1454)-1,0),0)</f>
        <v>1</v>
      </c>
      <c r="AY1442" s="1194">
        <f>VLOOKUP('Bilateral Assistance, MAIN DATA'!B1442,'Country Summary (€)'!B:F,COLUMN('Country Summary (€)'!C1455)-1,FALSE)</f>
        <v>0</v>
      </c>
      <c r="AZ1442" s="1194" t="str">
        <f>IF(AND(AD1442=1,D1442="Military",H1442&lt;&gt;"Not given")=TRUE,IF(SUMIFS(P:P,A:A,A1442)&gt;0,ABS((SUMIFS(P:P,A:A,A1442)/VLOOKUP("USD",'Exchange Rates'!B:C,2,0)))/S1442,"."),".")</f>
        <v>.</v>
      </c>
      <c r="BA1442" s="1196" t="str">
        <f>IF(AND(AD1442=1,D1442="Military",H1442&lt;&gt;"Not given")=TRUE,IF(SUMIFS(P:P,A:A,A1442)&gt;0,IF((ABS((SUMIFS(P:P,A:A,A1442)/VLOOKUP("USD",'Exchange Rates'!B:C,2,0)))/S1442)&gt;1,(SUMIFS(P:P,A:A,A1442)-S1442)/S1442,(S1442-SUMIFS(P:P,A:A,A1442))/SUMIFS(P:P,A:A,A1442)),"."),".")</f>
        <v>.</v>
      </c>
    </row>
    <row r="1443" spans="1:53" ht="15.95" customHeight="1">
      <c r="A1443" s="1208" t="s">
        <v>3957</v>
      </c>
      <c r="B1443" s="1208" t="s">
        <v>3949</v>
      </c>
      <c r="C1443" s="1220">
        <v>44651</v>
      </c>
      <c r="D1443" s="1208" t="s">
        <v>360</v>
      </c>
      <c r="E1443" s="1208" t="s">
        <v>361</v>
      </c>
      <c r="F1443" s="1208" t="s">
        <v>3958</v>
      </c>
      <c r="G1443" s="1184" t="s">
        <v>456</v>
      </c>
      <c r="H1443" s="1210">
        <f>85254690+93100000</f>
        <v>178354690</v>
      </c>
      <c r="I1443" s="1208" t="s">
        <v>364</v>
      </c>
      <c r="J1443" s="1186" t="str">
        <f>VLOOKUP($I1443,'Price List, Weapons &amp; Items'!B:C,2,0)</f>
        <v>.</v>
      </c>
      <c r="K1443" s="1186" t="str">
        <f>IF(I1443=".",I1443,VLOOKUP($I1443,'Price List, Weapons &amp; Items'!B:D,3,0))</f>
        <v>.</v>
      </c>
      <c r="L1443" s="1187">
        <f>VLOOKUP(I1443,'Price List, Weapons &amp; Items'!B:E,4,0)</f>
        <v>0</v>
      </c>
      <c r="M1443" s="1241" t="s">
        <v>364</v>
      </c>
      <c r="N1443" s="1211" t="s">
        <v>364</v>
      </c>
      <c r="O1443" s="1188" t="str">
        <f>VLOOKUP($I1443,'Price List, Weapons &amp; Items'!B:G,6,0)</f>
        <v>.</v>
      </c>
      <c r="P1443" s="1185" t="str">
        <f t="shared" si="302"/>
        <v>.</v>
      </c>
      <c r="Q1443" s="1185" t="str">
        <f t="shared" si="303"/>
        <v>.</v>
      </c>
      <c r="R1443" s="1185">
        <f t="shared" si="299"/>
        <v>178354690</v>
      </c>
      <c r="S1443" s="1185">
        <f>IF(AND(AD1443=1,R1443&lt;&gt;".")=TRUE,R1443/VLOOKUP(G1443,'Exchange Rates'!B:C,2,0),IF(R1443=".",".",""))</f>
        <v>164109946.63231507</v>
      </c>
      <c r="T1443" s="1185" t="str">
        <f>IF(AD1443=1,IF(AF1443="Value is not given at all",".",IF(AF1443="Value is given by the source",S1443,IF(AF1443="Value is calculated with prices",(IF(SUMIFS(Q:Q,A:A,A1443)&gt;0,SUMIFS(Q:Q,A:A,A1443),"."))/VLOOKUP("USD",'Exchange Rates'!B:C,2,0),"Error with coding"))),"")</f>
        <v>.</v>
      </c>
      <c r="U1443" s="1184" t="s">
        <v>365</v>
      </c>
      <c r="V1443" s="979" t="s">
        <v>3955</v>
      </c>
      <c r="W1443" s="966" t="s">
        <v>3959</v>
      </c>
      <c r="X1443" s="966" t="s">
        <v>3960</v>
      </c>
      <c r="Y1443" s="1335" t="s">
        <v>3961</v>
      </c>
      <c r="Z1443" s="1191">
        <v>0</v>
      </c>
      <c r="AA1443" s="1191">
        <v>0</v>
      </c>
      <c r="AB1443" s="1208" t="s">
        <v>364</v>
      </c>
      <c r="AC1443" s="1192" t="str">
        <f>""</f>
        <v/>
      </c>
      <c r="AD1443" s="1191">
        <v>1</v>
      </c>
      <c r="AE1443" s="1191" t="s">
        <v>368</v>
      </c>
      <c r="AF1443" s="1191" t="s">
        <v>369</v>
      </c>
      <c r="AG1443" s="1191">
        <v>1</v>
      </c>
      <c r="AH1443" s="1191">
        <v>3</v>
      </c>
      <c r="AI1443" s="1191">
        <v>0</v>
      </c>
      <c r="AJ1443" s="1193">
        <f>VLOOKUP($I1443,'Price List, Weapons &amp; Items'!B:F,5,0)</f>
        <v>0</v>
      </c>
      <c r="AK1443" s="1193">
        <f t="shared" si="304"/>
        <v>0</v>
      </c>
      <c r="AL1443" s="1193">
        <f t="shared" si="305"/>
        <v>0</v>
      </c>
      <c r="AM1443" s="1193">
        <f t="shared" si="306"/>
        <v>0</v>
      </c>
      <c r="AN1443" s="1194" t="str">
        <f>VLOOKUP($I1443,'Price List, Weapons &amp; Items'!B:L,COLUMN('Price List, Weapons &amp; Items'!$J$11)-1,0)</f>
        <v>.</v>
      </c>
      <c r="AO1443" s="1194" t="str">
        <f>IF(I1443=".",".",VLOOKUP($I1443,'Price List, Weapons &amp; Items'!B:J,3,0))</f>
        <v>.</v>
      </c>
      <c r="AP1443" s="1195" t="str">
        <f t="shared" ca="1" si="300"/>
        <v>.</v>
      </c>
      <c r="AQ1443" s="1194">
        <f>VLOOKUP($I1443,'Price List, Weapons &amp; Items'!B:L,COLUMN('Price List, Weapons &amp; Items'!$L$11)-1,0)</f>
        <v>0</v>
      </c>
      <c r="AR1443" s="1194">
        <f t="shared" si="307"/>
        <v>1</v>
      </c>
      <c r="AS1443" s="1194">
        <f t="shared" si="308"/>
        <v>0</v>
      </c>
      <c r="AT1443" s="1194">
        <f t="shared" si="309"/>
        <v>1</v>
      </c>
      <c r="AU1443" s="1194" t="str">
        <f t="shared" si="311"/>
        <v>.</v>
      </c>
      <c r="AV1443" s="1194" t="str">
        <f t="shared" si="301"/>
        <v>.</v>
      </c>
      <c r="AW1443" s="1194" t="str">
        <f t="shared" si="310"/>
        <v>.</v>
      </c>
      <c r="AX1443" s="1194">
        <f>IFERROR(VLOOKUP(B1443,'Share, Heavy Weapons to Ukraine'!B:Z,COLUMN('Share, Heavy Weapons to Ukraine'!C1455)-1,0),0)</f>
        <v>1</v>
      </c>
      <c r="AY1443" s="1194">
        <f>VLOOKUP('Bilateral Assistance, MAIN DATA'!B1443,'Country Summary (€)'!B:F,COLUMN('Country Summary (€)'!C1456)-1,FALSE)</f>
        <v>0</v>
      </c>
      <c r="AZ1443" s="1194" t="str">
        <f>IF(AND(AD1443=1,D1443="Military",H1443&lt;&gt;"Not given")=TRUE,IF(SUMIFS(P:P,A:A,A1443)&gt;0,ABS((SUMIFS(P:P,A:A,A1443)/VLOOKUP("USD",'Exchange Rates'!B:C,2,0)))/S1443,"."),".")</f>
        <v>.</v>
      </c>
      <c r="BA1443" s="1196" t="str">
        <f>IF(AND(AD1443=1,D1443="Military",H1443&lt;&gt;"Not given")=TRUE,IF(SUMIFS(P:P,A:A,A1443)&gt;0,IF((ABS((SUMIFS(P:P,A:A,A1443)/VLOOKUP("USD",'Exchange Rates'!B:C,2,0)))/S1443)&gt;1,(SUMIFS(P:P,A:A,A1443)-S1443)/S1443,(S1443-SUMIFS(P:P,A:A,A1443))/SUMIFS(P:P,A:A,A1443)),"."),".")</f>
        <v>.</v>
      </c>
    </row>
    <row r="1444" spans="1:53" ht="15.95" customHeight="1">
      <c r="A1444" s="1208" t="s">
        <v>3962</v>
      </c>
      <c r="B1444" s="1208" t="s">
        <v>3949</v>
      </c>
      <c r="C1444" s="1220">
        <v>44691</v>
      </c>
      <c r="D1444" s="1208" t="s">
        <v>360</v>
      </c>
      <c r="E1444" s="1208" t="s">
        <v>361</v>
      </c>
      <c r="F1444" s="1208" t="s">
        <v>3963</v>
      </c>
      <c r="G1444" s="1184" t="s">
        <v>456</v>
      </c>
      <c r="H1444" s="1210">
        <v>2000000</v>
      </c>
      <c r="I1444" s="1208" t="s">
        <v>364</v>
      </c>
      <c r="J1444" s="1186" t="str">
        <f>VLOOKUP($I1444,'Price List, Weapons &amp; Items'!B:C,2,0)</f>
        <v>.</v>
      </c>
      <c r="K1444" s="1186" t="str">
        <f>IF(I1444=".",I1444,VLOOKUP($I1444,'Price List, Weapons &amp; Items'!B:D,3,0))</f>
        <v>.</v>
      </c>
      <c r="L1444" s="1187">
        <f>VLOOKUP(I1444,'Price List, Weapons &amp; Items'!B:E,4,0)</f>
        <v>0</v>
      </c>
      <c r="M1444" s="1241" t="s">
        <v>364</v>
      </c>
      <c r="N1444" s="1211" t="s">
        <v>364</v>
      </c>
      <c r="O1444" s="1188" t="str">
        <f>VLOOKUP($I1444,'Price List, Weapons &amp; Items'!B:G,6,0)</f>
        <v>.</v>
      </c>
      <c r="P1444" s="1185" t="str">
        <f t="shared" si="302"/>
        <v>.</v>
      </c>
      <c r="Q1444" s="1185" t="str">
        <f t="shared" si="303"/>
        <v>.</v>
      </c>
      <c r="R1444" s="1185">
        <f t="shared" si="299"/>
        <v>2000000</v>
      </c>
      <c r="S1444" s="1185">
        <f>IF(AND(AD1444=1,R1444&lt;&gt;".")=TRUE,R1444/VLOOKUP(G1444,'Exchange Rates'!B:C,2,0),IF(R1444=".",".",""))</f>
        <v>1840264.998159735</v>
      </c>
      <c r="T1444" s="1185" t="str">
        <f>IF(AD1444=1,IF(AF1444="Value is not given at all",".",IF(AF1444="Value is given by the source",S1444,IF(AF1444="Value is calculated with prices",(IF(SUMIFS(Q:Q,A:A,A1444)&gt;0,SUMIFS(Q:Q,A:A,A1444),"."))/VLOOKUP("USD",'Exchange Rates'!B:C,2,0),"Error with coding"))),"")</f>
        <v>.</v>
      </c>
      <c r="U1444" s="1184" t="s">
        <v>365</v>
      </c>
      <c r="V1444" s="979" t="s">
        <v>3959</v>
      </c>
      <c r="W1444" s="966" t="s">
        <v>3964</v>
      </c>
      <c r="X1444" s="1208" t="s">
        <v>364</v>
      </c>
      <c r="Y1444" s="1335" t="s">
        <v>364</v>
      </c>
      <c r="Z1444" s="1191">
        <v>0</v>
      </c>
      <c r="AA1444" s="1191">
        <v>0</v>
      </c>
      <c r="AB1444" s="1208" t="s">
        <v>364</v>
      </c>
      <c r="AC1444" s="1192" t="str">
        <f>""</f>
        <v/>
      </c>
      <c r="AD1444" s="1191">
        <v>1</v>
      </c>
      <c r="AE1444" s="1191" t="s">
        <v>368</v>
      </c>
      <c r="AF1444" s="1191" t="s">
        <v>369</v>
      </c>
      <c r="AG1444" s="1191">
        <v>1</v>
      </c>
      <c r="AH1444" s="1191">
        <v>5</v>
      </c>
      <c r="AI1444" s="1191">
        <v>0</v>
      </c>
      <c r="AJ1444" s="1193">
        <f>VLOOKUP($I1444,'Price List, Weapons &amp; Items'!B:F,5,0)</f>
        <v>0</v>
      </c>
      <c r="AK1444" s="1193">
        <f t="shared" si="304"/>
        <v>0</v>
      </c>
      <c r="AL1444" s="1193">
        <f t="shared" si="305"/>
        <v>0</v>
      </c>
      <c r="AM1444" s="1193">
        <f t="shared" si="306"/>
        <v>0</v>
      </c>
      <c r="AN1444" s="1194" t="str">
        <f>VLOOKUP($I1444,'Price List, Weapons &amp; Items'!B:L,COLUMN('Price List, Weapons &amp; Items'!$J$11)-1,0)</f>
        <v>.</v>
      </c>
      <c r="AO1444" s="1194" t="str">
        <f>IF(I1444=".",".",VLOOKUP($I1444,'Price List, Weapons &amp; Items'!B:J,3,0))</f>
        <v>.</v>
      </c>
      <c r="AP1444" s="1195" t="str">
        <f t="shared" ca="1" si="300"/>
        <v>.</v>
      </c>
      <c r="AQ1444" s="1194">
        <f>VLOOKUP($I1444,'Price List, Weapons &amp; Items'!B:L,COLUMN('Price List, Weapons &amp; Items'!$L$11)-1,0)</f>
        <v>0</v>
      </c>
      <c r="AR1444" s="1194">
        <f t="shared" si="307"/>
        <v>1</v>
      </c>
      <c r="AS1444" s="1194">
        <f t="shared" si="308"/>
        <v>0</v>
      </c>
      <c r="AT1444" s="1194">
        <f t="shared" si="309"/>
        <v>1</v>
      </c>
      <c r="AU1444" s="1194" t="str">
        <f t="shared" si="311"/>
        <v>.</v>
      </c>
      <c r="AV1444" s="1194" t="str">
        <f t="shared" si="301"/>
        <v>.</v>
      </c>
      <c r="AW1444" s="1194" t="str">
        <f t="shared" si="310"/>
        <v>.</v>
      </c>
      <c r="AX1444" s="1194">
        <f>IFERROR(VLOOKUP(B1444,'Share, Heavy Weapons to Ukraine'!B:Z,COLUMN('Share, Heavy Weapons to Ukraine'!C1456)-1,0),0)</f>
        <v>1</v>
      </c>
      <c r="AY1444" s="1194">
        <f>VLOOKUP('Bilateral Assistance, MAIN DATA'!B1444,'Country Summary (€)'!B:F,COLUMN('Country Summary (€)'!C1457)-1,FALSE)</f>
        <v>0</v>
      </c>
      <c r="AZ1444" s="1194" t="str">
        <f>IF(AND(AD1444=1,D1444="Military",H1444&lt;&gt;"Not given")=TRUE,IF(SUMIFS(P:P,A:A,A1444)&gt;0,ABS((SUMIFS(P:P,A:A,A1444)/VLOOKUP("USD",'Exchange Rates'!B:C,2,0)))/S1444,"."),".")</f>
        <v>.</v>
      </c>
      <c r="BA1444" s="1196" t="str">
        <f>IF(AND(AD1444=1,D1444="Military",H1444&lt;&gt;"Not given")=TRUE,IF(SUMIFS(P:P,A:A,A1444)&gt;0,IF((ABS((SUMIFS(P:P,A:A,A1444)/VLOOKUP("USD",'Exchange Rates'!B:C,2,0)))/S1444)&gt;1,(SUMIFS(P:P,A:A,A1444)-S1444)/S1444,(S1444-SUMIFS(P:P,A:A,A1444))/SUMIFS(P:P,A:A,A1444)),"."),".")</f>
        <v>.</v>
      </c>
    </row>
    <row r="1445" spans="1:53" ht="15.95" customHeight="1">
      <c r="A1445" s="1208" t="s">
        <v>3965</v>
      </c>
      <c r="B1445" s="1208" t="s">
        <v>3949</v>
      </c>
      <c r="C1445" s="1220">
        <v>44708</v>
      </c>
      <c r="D1445" s="1208" t="s">
        <v>360</v>
      </c>
      <c r="E1445" s="1208" t="s">
        <v>361</v>
      </c>
      <c r="F1445" s="1208" t="s">
        <v>3958</v>
      </c>
      <c r="G1445" s="1184" t="s">
        <v>456</v>
      </c>
      <c r="H1445" s="1210">
        <f>472085886-85254690</f>
        <v>386831196</v>
      </c>
      <c r="I1445" s="1208" t="s">
        <v>364</v>
      </c>
      <c r="J1445" s="1186" t="str">
        <f>VLOOKUP($I1445,'Price List, Weapons &amp; Items'!B:C,2,0)</f>
        <v>.</v>
      </c>
      <c r="K1445" s="1186" t="str">
        <f>IF(I1445=".",I1445,VLOOKUP($I1445,'Price List, Weapons &amp; Items'!B:D,3,0))</f>
        <v>.</v>
      </c>
      <c r="L1445" s="1187">
        <f>VLOOKUP(I1445,'Price List, Weapons &amp; Items'!B:E,4,0)</f>
        <v>0</v>
      </c>
      <c r="M1445" s="1241" t="s">
        <v>364</v>
      </c>
      <c r="N1445" s="1211" t="s">
        <v>364</v>
      </c>
      <c r="O1445" s="1188" t="str">
        <f>VLOOKUP($I1445,'Price List, Weapons &amp; Items'!B:G,6,0)</f>
        <v>.</v>
      </c>
      <c r="P1445" s="1185" t="str">
        <f t="shared" si="302"/>
        <v>.</v>
      </c>
      <c r="Q1445" s="1185" t="str">
        <f t="shared" si="303"/>
        <v>.</v>
      </c>
      <c r="R1445" s="1185">
        <f t="shared" si="299"/>
        <v>386831196</v>
      </c>
      <c r="S1445" s="1185">
        <f>IF(AND(AD1445=1,R1445&lt;&gt;".")=TRUE,R1445/VLOOKUP(G1445,'Exchange Rates'!B:C,2,0),IF(R1445=".",".",""))</f>
        <v>355935955.09753406</v>
      </c>
      <c r="T1445" s="1185" t="str">
        <f>IF(AD1445=1,IF(AF1445="Value is not given at all",".",IF(AF1445="Value is given by the source",S1445,IF(AF1445="Value is calculated with prices",(IF(SUMIFS(Q:Q,A:A,A1445)&gt;0,SUMIFS(Q:Q,A:A,A1445),"."))/VLOOKUP("USD",'Exchange Rates'!B:C,2,0),"Error with coding"))),"")</f>
        <v>.</v>
      </c>
      <c r="U1445" s="1184" t="s">
        <v>365</v>
      </c>
      <c r="V1445" s="979" t="s">
        <v>3955</v>
      </c>
      <c r="W1445" s="966" t="s">
        <v>3959</v>
      </c>
      <c r="X1445" s="966" t="s">
        <v>3960</v>
      </c>
      <c r="Y1445" s="1335" t="s">
        <v>3966</v>
      </c>
      <c r="Z1445" s="1191">
        <v>0</v>
      </c>
      <c r="AA1445" s="1191">
        <v>0</v>
      </c>
      <c r="AB1445" s="1208" t="s">
        <v>364</v>
      </c>
      <c r="AC1445" s="1192" t="str">
        <f>""</f>
        <v/>
      </c>
      <c r="AD1445" s="1191">
        <v>1</v>
      </c>
      <c r="AE1445" s="1191" t="s">
        <v>368</v>
      </c>
      <c r="AF1445" s="1191" t="s">
        <v>369</v>
      </c>
      <c r="AG1445" s="1191">
        <v>1</v>
      </c>
      <c r="AH1445" s="1191">
        <v>5</v>
      </c>
      <c r="AI1445" s="1191">
        <v>0</v>
      </c>
      <c r="AJ1445" s="1193">
        <f>VLOOKUP($I1445,'Price List, Weapons &amp; Items'!B:F,5,0)</f>
        <v>0</v>
      </c>
      <c r="AK1445" s="1193">
        <f t="shared" si="304"/>
        <v>0</v>
      </c>
      <c r="AL1445" s="1193">
        <f t="shared" si="305"/>
        <v>0</v>
      </c>
      <c r="AM1445" s="1193">
        <f t="shared" si="306"/>
        <v>0</v>
      </c>
      <c r="AN1445" s="1194" t="str">
        <f>VLOOKUP($I1445,'Price List, Weapons &amp; Items'!B:L,COLUMN('Price List, Weapons &amp; Items'!$J$11)-1,0)</f>
        <v>.</v>
      </c>
      <c r="AO1445" s="1194" t="str">
        <f>IF(I1445=".",".",VLOOKUP($I1445,'Price List, Weapons &amp; Items'!B:J,3,0))</f>
        <v>.</v>
      </c>
      <c r="AP1445" s="1195" t="str">
        <f t="shared" ca="1" si="300"/>
        <v>.</v>
      </c>
      <c r="AQ1445" s="1194">
        <f>VLOOKUP($I1445,'Price List, Weapons &amp; Items'!B:L,COLUMN('Price List, Weapons &amp; Items'!$L$11)-1,0)</f>
        <v>0</v>
      </c>
      <c r="AR1445" s="1194">
        <f t="shared" si="307"/>
        <v>1</v>
      </c>
      <c r="AS1445" s="1194">
        <f t="shared" si="308"/>
        <v>0</v>
      </c>
      <c r="AT1445" s="1194">
        <f t="shared" si="309"/>
        <v>1</v>
      </c>
      <c r="AU1445" s="1194" t="str">
        <f t="shared" si="311"/>
        <v>.</v>
      </c>
      <c r="AV1445" s="1194" t="str">
        <f t="shared" si="301"/>
        <v>.</v>
      </c>
      <c r="AW1445" s="1194" t="str">
        <f t="shared" si="310"/>
        <v>.</v>
      </c>
      <c r="AX1445" s="1194">
        <f>IFERROR(VLOOKUP(B1445,'Share, Heavy Weapons to Ukraine'!B:Z,COLUMN('Share, Heavy Weapons to Ukraine'!C1457)-1,0),0)</f>
        <v>1</v>
      </c>
      <c r="AY1445" s="1194">
        <f>VLOOKUP('Bilateral Assistance, MAIN DATA'!B1445,'Country Summary (€)'!B:F,COLUMN('Country Summary (€)'!C1458)-1,FALSE)</f>
        <v>0</v>
      </c>
      <c r="AZ1445" s="1194" t="str">
        <f>IF(AND(AD1445=1,D1445="Military",H1445&lt;&gt;"Not given")=TRUE,IF(SUMIFS(P:P,A:A,A1445)&gt;0,ABS((SUMIFS(P:P,A:A,A1445)/VLOOKUP("USD",'Exchange Rates'!B:C,2,0)))/S1445,"."),".")</f>
        <v>.</v>
      </c>
      <c r="BA1445" s="1196" t="str">
        <f>IF(AND(AD1445=1,D1445="Military",H1445&lt;&gt;"Not given")=TRUE,IF(SUMIFS(P:P,A:A,A1445)&gt;0,IF((ABS((SUMIFS(P:P,A:A,A1445)/VLOOKUP("USD",'Exchange Rates'!B:C,2,0)))/S1445)&gt;1,(SUMIFS(P:P,A:A,A1445)-S1445)/S1445,(S1445-SUMIFS(P:P,A:A,A1445))/SUMIFS(P:P,A:A,A1445)),"."),".")</f>
        <v>.</v>
      </c>
    </row>
    <row r="1446" spans="1:53" ht="15.95" customHeight="1">
      <c r="A1446" s="1208" t="s">
        <v>3967</v>
      </c>
      <c r="B1446" s="1208" t="s">
        <v>3949</v>
      </c>
      <c r="C1446" s="1220">
        <v>44736</v>
      </c>
      <c r="D1446" s="1208" t="s">
        <v>360</v>
      </c>
      <c r="E1446" s="1208" t="s">
        <v>361</v>
      </c>
      <c r="F1446" s="1208" t="s">
        <v>3958</v>
      </c>
      <c r="G1446" s="1184" t="s">
        <v>456</v>
      </c>
      <c r="H1446" s="1210">
        <f>697541268-472085886</f>
        <v>225455382</v>
      </c>
      <c r="I1446" s="1208" t="s">
        <v>364</v>
      </c>
      <c r="J1446" s="1186" t="str">
        <f>VLOOKUP($I1446,'Price List, Weapons &amp; Items'!B:C,2,0)</f>
        <v>.</v>
      </c>
      <c r="K1446" s="1186" t="str">
        <f>IF(I1446=".",I1446,VLOOKUP($I1446,'Price List, Weapons &amp; Items'!B:D,3,0))</f>
        <v>.</v>
      </c>
      <c r="L1446" s="1187">
        <f>VLOOKUP(I1446,'Price List, Weapons &amp; Items'!B:E,4,0)</f>
        <v>0</v>
      </c>
      <c r="M1446" s="1241" t="s">
        <v>364</v>
      </c>
      <c r="N1446" s="1211" t="s">
        <v>364</v>
      </c>
      <c r="O1446" s="1188" t="str">
        <f>VLOOKUP($I1446,'Price List, Weapons &amp; Items'!B:G,6,0)</f>
        <v>.</v>
      </c>
      <c r="P1446" s="1185" t="str">
        <f t="shared" si="302"/>
        <v>.</v>
      </c>
      <c r="Q1446" s="1185" t="str">
        <f t="shared" si="303"/>
        <v>.</v>
      </c>
      <c r="R1446" s="1185">
        <f t="shared" si="299"/>
        <v>225455382</v>
      </c>
      <c r="S1446" s="1185">
        <f>IF(AND(AD1446=1,R1446&lt;&gt;".")=TRUE,R1446/VLOOKUP(G1446,'Exchange Rates'!B:C,2,0),IF(R1446=".",".",""))</f>
        <v>207448824.07066616</v>
      </c>
      <c r="T1446" s="1185" t="str">
        <f>IF(AD1446=1,IF(AF1446="Value is not given at all",".",IF(AF1446="Value is given by the source",S1446,IF(AF1446="Value is calculated with prices",(IF(SUMIFS(Q:Q,A:A,A1446)&gt;0,SUMIFS(Q:Q,A:A,A1446),"."))/VLOOKUP("USD",'Exchange Rates'!B:C,2,0),"Error with coding"))),"")</f>
        <v>.</v>
      </c>
      <c r="U1446" s="1184" t="s">
        <v>365</v>
      </c>
      <c r="V1446" s="979" t="s">
        <v>3955</v>
      </c>
      <c r="W1446" s="966" t="s">
        <v>3959</v>
      </c>
      <c r="X1446" s="966" t="s">
        <v>3960</v>
      </c>
      <c r="Y1446" s="1335" t="s">
        <v>3968</v>
      </c>
      <c r="Z1446" s="1191">
        <v>0</v>
      </c>
      <c r="AA1446" s="1191">
        <v>0</v>
      </c>
      <c r="AB1446" s="1208" t="s">
        <v>364</v>
      </c>
      <c r="AC1446" s="1192" t="str">
        <f>""</f>
        <v/>
      </c>
      <c r="AD1446" s="1191">
        <v>1</v>
      </c>
      <c r="AE1446" s="1191" t="s">
        <v>368</v>
      </c>
      <c r="AF1446" s="1191" t="s">
        <v>369</v>
      </c>
      <c r="AG1446" s="1191">
        <v>1</v>
      </c>
      <c r="AH1446" s="1191">
        <v>6</v>
      </c>
      <c r="AI1446" s="1191">
        <v>0</v>
      </c>
      <c r="AJ1446" s="1193">
        <f>VLOOKUP($I1446,'Price List, Weapons &amp; Items'!B:F,5,0)</f>
        <v>0</v>
      </c>
      <c r="AK1446" s="1193">
        <f t="shared" si="304"/>
        <v>0</v>
      </c>
      <c r="AL1446" s="1193">
        <f t="shared" si="305"/>
        <v>0</v>
      </c>
      <c r="AM1446" s="1193">
        <f t="shared" si="306"/>
        <v>0</v>
      </c>
      <c r="AN1446" s="1194" t="str">
        <f>VLOOKUP($I1446,'Price List, Weapons &amp; Items'!B:L,COLUMN('Price List, Weapons &amp; Items'!$J$11)-1,0)</f>
        <v>.</v>
      </c>
      <c r="AO1446" s="1194" t="str">
        <f>IF(I1446=".",".",VLOOKUP($I1446,'Price List, Weapons &amp; Items'!B:J,3,0))</f>
        <v>.</v>
      </c>
      <c r="AP1446" s="1195" t="str">
        <f t="shared" ca="1" si="300"/>
        <v>.</v>
      </c>
      <c r="AQ1446" s="1194">
        <f>VLOOKUP($I1446,'Price List, Weapons &amp; Items'!B:L,COLUMN('Price List, Weapons &amp; Items'!$L$11)-1,0)</f>
        <v>0</v>
      </c>
      <c r="AR1446" s="1194">
        <f t="shared" si="307"/>
        <v>1</v>
      </c>
      <c r="AS1446" s="1194">
        <f t="shared" si="308"/>
        <v>0</v>
      </c>
      <c r="AT1446" s="1194">
        <f t="shared" si="309"/>
        <v>1</v>
      </c>
      <c r="AU1446" s="1194" t="str">
        <f t="shared" si="311"/>
        <v>.</v>
      </c>
      <c r="AV1446" s="1194" t="str">
        <f t="shared" si="301"/>
        <v>.</v>
      </c>
      <c r="AW1446" s="1194" t="str">
        <f t="shared" si="310"/>
        <v>.</v>
      </c>
      <c r="AX1446" s="1194">
        <f>IFERROR(VLOOKUP(B1446,'Share, Heavy Weapons to Ukraine'!B:Z,COLUMN('Share, Heavy Weapons to Ukraine'!C1458)-1,0),0)</f>
        <v>1</v>
      </c>
      <c r="AY1446" s="1194">
        <f>VLOOKUP('Bilateral Assistance, MAIN DATA'!B1446,'Country Summary (€)'!B:F,COLUMN('Country Summary (€)'!C1459)-1,FALSE)</f>
        <v>0</v>
      </c>
      <c r="AZ1446" s="1194" t="str">
        <f>IF(AND(AD1446=1,D1446="Military",H1446&lt;&gt;"Not given")=TRUE,IF(SUMIFS(P:P,A:A,A1446)&gt;0,ABS((SUMIFS(P:P,A:A,A1446)/VLOOKUP("USD",'Exchange Rates'!B:C,2,0)))/S1446,"."),".")</f>
        <v>.</v>
      </c>
      <c r="BA1446" s="1196" t="str">
        <f>IF(AND(AD1446=1,D1446="Military",H1446&lt;&gt;"Not given")=TRUE,IF(SUMIFS(P:P,A:A,A1446)&gt;0,IF((ABS((SUMIFS(P:P,A:A,A1446)/VLOOKUP("USD",'Exchange Rates'!B:C,2,0)))/S1446)&gt;1,(SUMIFS(P:P,A:A,A1446)-S1446)/S1446,(S1446-SUMIFS(P:P,A:A,A1446))/SUMIFS(P:P,A:A,A1446)),"."),".")</f>
        <v>.</v>
      </c>
    </row>
    <row r="1447" spans="1:53" ht="15.95" customHeight="1">
      <c r="A1447" s="1208" t="s">
        <v>3969</v>
      </c>
      <c r="B1447" s="1208" t="s">
        <v>3949</v>
      </c>
      <c r="C1447" s="1220">
        <v>44769</v>
      </c>
      <c r="D1447" s="1208" t="s">
        <v>360</v>
      </c>
      <c r="E1447" s="1208" t="s">
        <v>361</v>
      </c>
      <c r="F1447" s="1208" t="s">
        <v>3958</v>
      </c>
      <c r="G1447" s="1184" t="s">
        <v>456</v>
      </c>
      <c r="H1447" s="1210">
        <f>(1020851025+159800000)-H1446-H1445-H1443</f>
        <v>390009757</v>
      </c>
      <c r="I1447" s="1208" t="s">
        <v>364</v>
      </c>
      <c r="J1447" s="1186" t="str">
        <f>VLOOKUP($I1447,'Price List, Weapons &amp; Items'!B:C,2,0)</f>
        <v>.</v>
      </c>
      <c r="K1447" s="1186" t="str">
        <f>IF(I1447=".",I1447,VLOOKUP($I1447,'Price List, Weapons &amp; Items'!B:D,3,0))</f>
        <v>.</v>
      </c>
      <c r="L1447" s="1187">
        <f>VLOOKUP(I1447,'Price List, Weapons &amp; Items'!B:E,4,0)</f>
        <v>0</v>
      </c>
      <c r="M1447" s="1241" t="s">
        <v>364</v>
      </c>
      <c r="N1447" s="1211" t="s">
        <v>364</v>
      </c>
      <c r="O1447" s="1188" t="str">
        <f>VLOOKUP($I1447,'Price List, Weapons &amp; Items'!B:G,6,0)</f>
        <v>.</v>
      </c>
      <c r="P1447" s="1185" t="str">
        <f t="shared" si="302"/>
        <v>.</v>
      </c>
      <c r="Q1447" s="1185" t="str">
        <f t="shared" si="303"/>
        <v>.</v>
      </c>
      <c r="R1447" s="1185">
        <f t="shared" si="299"/>
        <v>390009757</v>
      </c>
      <c r="S1447" s="1185">
        <f>IF(AND(AD1447=1,R1447&lt;&gt;".")=TRUE,R1447/VLOOKUP(G1447,'Exchange Rates'!B:C,2,0),IF(R1447=".",".",""))</f>
        <v>358860652.37394184</v>
      </c>
      <c r="T1447" s="1185" t="str">
        <f>IF(AD1447=1,IF(AF1447="Value is not given at all",".",IF(AF1447="Value is given by the source",S1447,IF(AF1447="Value is calculated with prices",(IF(SUMIFS(Q:Q,A:A,A1447)&gt;0,SUMIFS(Q:Q,A:A,A1447),"."))/VLOOKUP("USD",'Exchange Rates'!B:C,2,0),"Error with coding"))),"")</f>
        <v>.</v>
      </c>
      <c r="U1447" s="1184" t="s">
        <v>365</v>
      </c>
      <c r="V1447" s="979" t="s">
        <v>3955</v>
      </c>
      <c r="W1447" s="966" t="s">
        <v>3959</v>
      </c>
      <c r="X1447" s="966" t="s">
        <v>3960</v>
      </c>
      <c r="Y1447" s="1335" t="s">
        <v>3970</v>
      </c>
      <c r="Z1447" s="1191">
        <v>0</v>
      </c>
      <c r="AA1447" s="1191">
        <v>0</v>
      </c>
      <c r="AB1447" s="1208" t="s">
        <v>364</v>
      </c>
      <c r="AC1447" s="1192" t="str">
        <f>""</f>
        <v/>
      </c>
      <c r="AD1447" s="1191">
        <v>1</v>
      </c>
      <c r="AE1447" s="1191" t="s">
        <v>368</v>
      </c>
      <c r="AF1447" s="1191" t="s">
        <v>369</v>
      </c>
      <c r="AG1447" s="1191">
        <v>1</v>
      </c>
      <c r="AH1447" s="1191">
        <v>7</v>
      </c>
      <c r="AI1447" s="1191">
        <v>0</v>
      </c>
      <c r="AJ1447" s="1193">
        <f>VLOOKUP($I1447,'Price List, Weapons &amp; Items'!B:F,5,0)</f>
        <v>0</v>
      </c>
      <c r="AK1447" s="1193">
        <f t="shared" si="304"/>
        <v>0</v>
      </c>
      <c r="AL1447" s="1193">
        <f t="shared" si="305"/>
        <v>0</v>
      </c>
      <c r="AM1447" s="1193">
        <f t="shared" si="306"/>
        <v>0</v>
      </c>
      <c r="AN1447" s="1194" t="str">
        <f>VLOOKUP($I1447,'Price List, Weapons &amp; Items'!B:L,COLUMN('Price List, Weapons &amp; Items'!$J$11)-1,0)</f>
        <v>.</v>
      </c>
      <c r="AO1447" s="1194" t="str">
        <f>IF(I1447=".",".",VLOOKUP($I1447,'Price List, Weapons &amp; Items'!B:J,3,0))</f>
        <v>.</v>
      </c>
      <c r="AP1447" s="1195" t="str">
        <f t="shared" ca="1" si="300"/>
        <v>.</v>
      </c>
      <c r="AQ1447" s="1194">
        <f>VLOOKUP($I1447,'Price List, Weapons &amp; Items'!B:L,COLUMN('Price List, Weapons &amp; Items'!$L$11)-1,0)</f>
        <v>0</v>
      </c>
      <c r="AR1447" s="1194">
        <f t="shared" si="307"/>
        <v>1</v>
      </c>
      <c r="AS1447" s="1194">
        <f t="shared" si="308"/>
        <v>0</v>
      </c>
      <c r="AT1447" s="1194">
        <f t="shared" si="309"/>
        <v>1</v>
      </c>
      <c r="AU1447" s="1194" t="str">
        <f t="shared" si="311"/>
        <v>.</v>
      </c>
      <c r="AV1447" s="1194" t="str">
        <f t="shared" si="301"/>
        <v>.</v>
      </c>
      <c r="AW1447" s="1194" t="str">
        <f t="shared" si="310"/>
        <v>.</v>
      </c>
      <c r="AX1447" s="1194">
        <f>IFERROR(VLOOKUP(B1447,'Share, Heavy Weapons to Ukraine'!B:Z,COLUMN('Share, Heavy Weapons to Ukraine'!C1459)-1,0),0)</f>
        <v>1</v>
      </c>
      <c r="AY1447" s="1194">
        <f>VLOOKUP('Bilateral Assistance, MAIN DATA'!B1447,'Country Summary (€)'!B:F,COLUMN('Country Summary (€)'!C1460)-1,FALSE)</f>
        <v>0</v>
      </c>
      <c r="AZ1447" s="1194" t="str">
        <f>IF(AND(AD1447=1,D1447="Military",H1447&lt;&gt;"Not given")=TRUE,IF(SUMIFS(P:P,A:A,A1447)&gt;0,ABS((SUMIFS(P:P,A:A,A1447)/VLOOKUP("USD",'Exchange Rates'!B:C,2,0)))/S1447,"."),".")</f>
        <v>.</v>
      </c>
      <c r="BA1447" s="1196" t="str">
        <f>IF(AND(AD1447=1,D1447="Military",H1447&lt;&gt;"Not given")=TRUE,IF(SUMIFS(P:P,A:A,A1447)&gt;0,IF((ABS((SUMIFS(P:P,A:A,A1447)/VLOOKUP("USD",'Exchange Rates'!B:C,2,0)))/S1447)&gt;1,(SUMIFS(P:P,A:A,A1447)-S1447)/S1447,(S1447-SUMIFS(P:P,A:A,A1447))/SUMIFS(P:P,A:A,A1447)),"."),".")</f>
        <v>.</v>
      </c>
    </row>
    <row r="1448" spans="1:53" ht="15.95" customHeight="1">
      <c r="A1448" s="1208" t="s">
        <v>3971</v>
      </c>
      <c r="B1448" s="1208" t="s">
        <v>3949</v>
      </c>
      <c r="C1448" s="1220">
        <v>44802</v>
      </c>
      <c r="D1448" s="1208" t="s">
        <v>360</v>
      </c>
      <c r="E1448" s="1208" t="s">
        <v>361</v>
      </c>
      <c r="F1448" s="1208" t="s">
        <v>3958</v>
      </c>
      <c r="G1448" s="1184" t="s">
        <v>456</v>
      </c>
      <c r="H1448" s="1210">
        <f>(1032666469+159800000)-H1446-H1445-H1443-H1447</f>
        <v>11815444</v>
      </c>
      <c r="I1448" s="1208" t="s">
        <v>364</v>
      </c>
      <c r="J1448" s="1186" t="str">
        <f>VLOOKUP($I1448,'Price List, Weapons &amp; Items'!B:C,2,0)</f>
        <v>.</v>
      </c>
      <c r="K1448" s="1186" t="str">
        <f>IF(I1448=".",I1448,VLOOKUP($I1448,'Price List, Weapons &amp; Items'!B:D,3,0))</f>
        <v>.</v>
      </c>
      <c r="L1448" s="1187">
        <f>VLOOKUP(I1448,'Price List, Weapons &amp; Items'!B:E,4,0)</f>
        <v>0</v>
      </c>
      <c r="M1448" s="1241" t="s">
        <v>364</v>
      </c>
      <c r="N1448" s="1211" t="s">
        <v>364</v>
      </c>
      <c r="O1448" s="1188" t="str">
        <f>VLOOKUP($I1448,'Price List, Weapons &amp; Items'!B:G,6,0)</f>
        <v>.</v>
      </c>
      <c r="P1448" s="1185" t="str">
        <f t="shared" si="302"/>
        <v>.</v>
      </c>
      <c r="Q1448" s="1185" t="str">
        <f t="shared" si="303"/>
        <v>.</v>
      </c>
      <c r="R1448" s="1185">
        <f t="shared" si="299"/>
        <v>11815444</v>
      </c>
      <c r="S1448" s="1185">
        <f>IF(AND(AD1448=1,R1448&lt;&gt;".")=TRUE,R1448/VLOOKUP(G1448,'Exchange Rates'!B:C,2,0),IF(R1448=".",".",""))</f>
        <v>10871774.015458226</v>
      </c>
      <c r="T1448" s="1185" t="str">
        <f>IF(AD1448=1,IF(AF1448="Value is not given at all",".",IF(AF1448="Value is given by the source",S1448,IF(AF1448="Value is calculated with prices",(IF(SUMIFS(Q:Q,A:A,A1448)&gt;0,SUMIFS(Q:Q,A:A,A1448),"."))/VLOOKUP("USD",'Exchange Rates'!B:C,2,0),"Error with coding"))),"")</f>
        <v>.</v>
      </c>
      <c r="U1448" s="1184" t="s">
        <v>365</v>
      </c>
      <c r="V1448" s="979" t="s">
        <v>3955</v>
      </c>
      <c r="W1448" s="966" t="s">
        <v>3959</v>
      </c>
      <c r="X1448" s="966" t="s">
        <v>3960</v>
      </c>
      <c r="Y1448" s="1335" t="s">
        <v>3972</v>
      </c>
      <c r="Z1448" s="1191">
        <v>0</v>
      </c>
      <c r="AA1448" s="1191">
        <v>0</v>
      </c>
      <c r="AB1448" s="1208" t="s">
        <v>364</v>
      </c>
      <c r="AC1448" s="1192" t="str">
        <f>""</f>
        <v/>
      </c>
      <c r="AD1448" s="1191">
        <v>1</v>
      </c>
      <c r="AE1448" s="1191" t="s">
        <v>368</v>
      </c>
      <c r="AF1448" s="1191" t="s">
        <v>369</v>
      </c>
      <c r="AG1448" s="1191">
        <v>1</v>
      </c>
      <c r="AH1448" s="1191">
        <v>8</v>
      </c>
      <c r="AI1448" s="1191">
        <v>0</v>
      </c>
      <c r="AJ1448" s="1193">
        <f>VLOOKUP($I1448,'Price List, Weapons &amp; Items'!B:F,5,0)</f>
        <v>0</v>
      </c>
      <c r="AK1448" s="1193">
        <f t="shared" si="304"/>
        <v>0</v>
      </c>
      <c r="AL1448" s="1193">
        <f t="shared" si="305"/>
        <v>0</v>
      </c>
      <c r="AM1448" s="1193">
        <f t="shared" si="306"/>
        <v>0</v>
      </c>
      <c r="AN1448" s="1194" t="str">
        <f>VLOOKUP($I1448,'Price List, Weapons &amp; Items'!B:L,COLUMN('Price List, Weapons &amp; Items'!$J$11)-1,0)</f>
        <v>.</v>
      </c>
      <c r="AO1448" s="1194" t="str">
        <f>IF(I1448=".",".",VLOOKUP($I1448,'Price List, Weapons &amp; Items'!B:J,3,0))</f>
        <v>.</v>
      </c>
      <c r="AP1448" s="1195" t="str">
        <f t="shared" ca="1" si="300"/>
        <v>.</v>
      </c>
      <c r="AQ1448" s="1194">
        <f>VLOOKUP($I1448,'Price List, Weapons &amp; Items'!B:L,COLUMN('Price List, Weapons &amp; Items'!$L$11)-1,0)</f>
        <v>0</v>
      </c>
      <c r="AR1448" s="1194">
        <f t="shared" si="307"/>
        <v>1</v>
      </c>
      <c r="AS1448" s="1194">
        <f t="shared" si="308"/>
        <v>0</v>
      </c>
      <c r="AT1448" s="1194">
        <f t="shared" si="309"/>
        <v>1</v>
      </c>
      <c r="AU1448" s="1194" t="str">
        <f t="shared" si="311"/>
        <v>.</v>
      </c>
      <c r="AV1448" s="1194" t="str">
        <f t="shared" si="301"/>
        <v>.</v>
      </c>
      <c r="AW1448" s="1194" t="str">
        <f t="shared" si="310"/>
        <v>.</v>
      </c>
      <c r="AX1448" s="1194">
        <f>IFERROR(VLOOKUP(B1448,'Share, Heavy Weapons to Ukraine'!B:Z,COLUMN('Share, Heavy Weapons to Ukraine'!C1460)-1,0),0)</f>
        <v>1</v>
      </c>
      <c r="AY1448" s="1194">
        <f>VLOOKUP('Bilateral Assistance, MAIN DATA'!B1448,'Country Summary (€)'!B:F,COLUMN('Country Summary (€)'!C1461)-1,FALSE)</f>
        <v>0</v>
      </c>
      <c r="AZ1448" s="1194" t="str">
        <f>IF(AND(AD1448=1,D1448="Military",H1448&lt;&gt;"Not given")=TRUE,IF(SUMIFS(P:P,A:A,A1448)&gt;0,ABS((SUMIFS(P:P,A:A,A1448)/VLOOKUP("USD",'Exchange Rates'!B:C,2,0)))/S1448,"."),".")</f>
        <v>.</v>
      </c>
      <c r="BA1448" s="1196" t="str">
        <f>IF(AND(AD1448=1,D1448="Military",H1448&lt;&gt;"Not given")=TRUE,IF(SUMIFS(P:P,A:A,A1448)&gt;0,IF((ABS((SUMIFS(P:P,A:A,A1448)/VLOOKUP("USD",'Exchange Rates'!B:C,2,0)))/S1448)&gt;1,(SUMIFS(P:P,A:A,A1448)-S1448)/S1448,(S1448-SUMIFS(P:P,A:A,A1448))/SUMIFS(P:P,A:A,A1448)),"."),".")</f>
        <v>.</v>
      </c>
    </row>
    <row r="1449" spans="1:53" ht="15.95" customHeight="1">
      <c r="A1449" s="1208" t="s">
        <v>3973</v>
      </c>
      <c r="B1449" s="1208" t="s">
        <v>3949</v>
      </c>
      <c r="C1449" s="1220">
        <v>44834</v>
      </c>
      <c r="D1449" s="1208" t="s">
        <v>360</v>
      </c>
      <c r="E1449" s="1208" t="s">
        <v>361</v>
      </c>
      <c r="F1449" s="1208" t="s">
        <v>3958</v>
      </c>
      <c r="G1449" s="1184" t="s">
        <v>456</v>
      </c>
      <c r="H1449" s="1210">
        <f>(1033372413+159846579)-H1446-H1445-H1443-H1447-H1448</f>
        <v>752523</v>
      </c>
      <c r="I1449" s="1208" t="s">
        <v>364</v>
      </c>
      <c r="J1449" s="1186" t="str">
        <f>VLOOKUP($I1449,'Price List, Weapons &amp; Items'!B:C,2,0)</f>
        <v>.</v>
      </c>
      <c r="K1449" s="1186" t="str">
        <f>IF(I1449=".",I1449,VLOOKUP($I1449,'Price List, Weapons &amp; Items'!B:D,3,0))</f>
        <v>.</v>
      </c>
      <c r="L1449" s="1187">
        <f>VLOOKUP(I1449,'Price List, Weapons &amp; Items'!B:E,4,0)</f>
        <v>0</v>
      </c>
      <c r="M1449" s="1241" t="s">
        <v>364</v>
      </c>
      <c r="N1449" s="1211" t="s">
        <v>364</v>
      </c>
      <c r="O1449" s="1188" t="str">
        <f>VLOOKUP($I1449,'Price List, Weapons &amp; Items'!B:G,6,0)</f>
        <v>.</v>
      </c>
      <c r="P1449" s="1185" t="str">
        <f t="shared" si="302"/>
        <v>.</v>
      </c>
      <c r="Q1449" s="1185" t="str">
        <f t="shared" si="303"/>
        <v>.</v>
      </c>
      <c r="R1449" s="1185">
        <f t="shared" si="299"/>
        <v>752523</v>
      </c>
      <c r="S1449" s="1185">
        <f>IF(AND(AD1449=1,R1449&lt;&gt;".")=TRUE,R1449/VLOOKUP(G1449,'Exchange Rates'!B:C,2,0),IF(R1449=".",".",""))</f>
        <v>692420.86860507913</v>
      </c>
      <c r="T1449" s="1185" t="str">
        <f>IF(AD1449=1,IF(AF1449="Value is not given at all",".",IF(AF1449="Value is given by the source",S1449,IF(AF1449="Value is calculated with prices",(IF(SUMIFS(Q:Q,A:A,A1449)&gt;0,SUMIFS(Q:Q,A:A,A1449),"."))/VLOOKUP("USD",'Exchange Rates'!B:C,2,0),"Error with coding"))),"")</f>
        <v>.</v>
      </c>
      <c r="U1449" s="1184" t="s">
        <v>365</v>
      </c>
      <c r="V1449" s="979" t="s">
        <v>3955</v>
      </c>
      <c r="W1449" s="966" t="s">
        <v>3959</v>
      </c>
      <c r="X1449" s="1144" t="s">
        <v>3974</v>
      </c>
      <c r="Y1449" s="1335" t="s">
        <v>3975</v>
      </c>
      <c r="Z1449" s="1191">
        <v>0</v>
      </c>
      <c r="AA1449" s="1191">
        <v>0</v>
      </c>
      <c r="AB1449" s="1208" t="s">
        <v>364</v>
      </c>
      <c r="AC1449" s="1192" t="str">
        <f>""</f>
        <v/>
      </c>
      <c r="AD1449" s="1191">
        <v>1</v>
      </c>
      <c r="AE1449" s="1191" t="s">
        <v>368</v>
      </c>
      <c r="AF1449" s="1191" t="s">
        <v>369</v>
      </c>
      <c r="AG1449" s="1191">
        <v>1</v>
      </c>
      <c r="AH1449" s="1191">
        <v>9</v>
      </c>
      <c r="AI1449" s="1191">
        <v>0</v>
      </c>
      <c r="AJ1449" s="1193">
        <f>VLOOKUP($I1449,'Price List, Weapons &amp; Items'!B:F,5,0)</f>
        <v>0</v>
      </c>
      <c r="AK1449" s="1193">
        <f t="shared" si="304"/>
        <v>0</v>
      </c>
      <c r="AL1449" s="1193">
        <f t="shared" si="305"/>
        <v>0</v>
      </c>
      <c r="AM1449" s="1193">
        <f t="shared" si="306"/>
        <v>0</v>
      </c>
      <c r="AN1449" s="1194" t="str">
        <f>VLOOKUP($I1449,'Price List, Weapons &amp; Items'!B:L,COLUMN('Price List, Weapons &amp; Items'!$J$11)-1,0)</f>
        <v>.</v>
      </c>
      <c r="AO1449" s="1194" t="str">
        <f>IF(I1449=".",".",VLOOKUP($I1449,'Price List, Weapons &amp; Items'!B:J,3,0))</f>
        <v>.</v>
      </c>
      <c r="AP1449" s="1195" t="str">
        <f t="shared" ca="1" si="300"/>
        <v>.</v>
      </c>
      <c r="AQ1449" s="1194">
        <f>VLOOKUP($I1449,'Price List, Weapons &amp; Items'!B:L,COLUMN('Price List, Weapons &amp; Items'!$L$11)-1,0)</f>
        <v>0</v>
      </c>
      <c r="AR1449" s="1194">
        <f t="shared" si="307"/>
        <v>1</v>
      </c>
      <c r="AS1449" s="1194">
        <f t="shared" si="308"/>
        <v>0</v>
      </c>
      <c r="AT1449" s="1194">
        <f t="shared" si="309"/>
        <v>1</v>
      </c>
      <c r="AU1449" s="1194" t="str">
        <f t="shared" si="311"/>
        <v>.</v>
      </c>
      <c r="AV1449" s="1194" t="str">
        <f t="shared" si="301"/>
        <v>.</v>
      </c>
      <c r="AW1449" s="1194" t="str">
        <f t="shared" si="310"/>
        <v>.</v>
      </c>
      <c r="AX1449" s="1194">
        <f>IFERROR(VLOOKUP(B1449,'Share, Heavy Weapons to Ukraine'!B:Z,COLUMN('Share, Heavy Weapons to Ukraine'!C1461)-1,0),0)</f>
        <v>1</v>
      </c>
      <c r="AY1449" s="1194">
        <f>VLOOKUP('Bilateral Assistance, MAIN DATA'!B1449,'Country Summary (€)'!B:F,COLUMN('Country Summary (€)'!C1462)-1,FALSE)</f>
        <v>0</v>
      </c>
      <c r="AZ1449" s="1194" t="str">
        <f>IF(AND(AD1449=1,D1449="Military",H1449&lt;&gt;"Not given")=TRUE,IF(SUMIFS(P:P,A:A,A1449)&gt;0,ABS((SUMIFS(P:P,A:A,A1449)/VLOOKUP("USD",'Exchange Rates'!B:C,2,0)))/S1449,"."),".")</f>
        <v>.</v>
      </c>
      <c r="BA1449" s="1196" t="str">
        <f>IF(AND(AD1449=1,D1449="Military",H1449&lt;&gt;"Not given")=TRUE,IF(SUMIFS(P:P,A:A,A1449)&gt;0,IF((ABS((SUMIFS(P:P,A:A,A1449)/VLOOKUP("USD",'Exchange Rates'!B:C,2,0)))/S1449)&gt;1,(SUMIFS(P:P,A:A,A1449)-S1449)/S1449,(S1449-SUMIFS(P:P,A:A,A1449))/SUMIFS(P:P,A:A,A1449)),"."),".")</f>
        <v>.</v>
      </c>
    </row>
    <row r="1450" spans="1:53" ht="15.95" customHeight="1">
      <c r="A1450" s="1208" t="s">
        <v>3976</v>
      </c>
      <c r="B1450" s="1208" t="s">
        <v>3949</v>
      </c>
      <c r="C1450" s="1220">
        <v>44834</v>
      </c>
      <c r="D1450" s="1208" t="s">
        <v>360</v>
      </c>
      <c r="E1450" s="1208" t="s">
        <v>361</v>
      </c>
      <c r="F1450" s="1208" t="s">
        <v>3977</v>
      </c>
      <c r="G1450" s="1184" t="s">
        <v>456</v>
      </c>
      <c r="H1450" s="1210">
        <v>35000000</v>
      </c>
      <c r="I1450" s="1208" t="s">
        <v>364</v>
      </c>
      <c r="J1450" s="1186" t="str">
        <f>VLOOKUP($I1450,'Price List, Weapons &amp; Items'!B:C,2,0)</f>
        <v>.</v>
      </c>
      <c r="K1450" s="1186" t="str">
        <f>IF(I1450=".",I1450,VLOOKUP($I1450,'Price List, Weapons &amp; Items'!B:D,3,0))</f>
        <v>.</v>
      </c>
      <c r="L1450" s="1187">
        <f>VLOOKUP(I1450,'Price List, Weapons &amp; Items'!B:E,4,0)</f>
        <v>0</v>
      </c>
      <c r="M1450" s="1241" t="s">
        <v>364</v>
      </c>
      <c r="N1450" s="1211" t="s">
        <v>364</v>
      </c>
      <c r="O1450" s="1188" t="str">
        <f>VLOOKUP($I1450,'Price List, Weapons &amp; Items'!B:G,6,0)</f>
        <v>.</v>
      </c>
      <c r="P1450" s="1185" t="str">
        <f t="shared" si="302"/>
        <v>.</v>
      </c>
      <c r="Q1450" s="1185" t="str">
        <f t="shared" si="303"/>
        <v>.</v>
      </c>
      <c r="R1450" s="1185">
        <f t="shared" si="299"/>
        <v>35000000</v>
      </c>
      <c r="S1450" s="1185">
        <f>IF(AND(AD1450=1,R1450&lt;&gt;".")=TRUE,R1450/VLOOKUP(G1450,'Exchange Rates'!B:C,2,0),IF(R1450=".",".",""))</f>
        <v>32204637.467795365</v>
      </c>
      <c r="T1450" s="1185" t="str">
        <f>IF(AD1450=1,IF(AF1450="Value is not given at all",".",IF(AF1450="Value is given by the source",S1450,IF(AF1450="Value is calculated with prices",(IF(SUMIFS(Q:Q,A:A,A1450)&gt;0,SUMIFS(Q:Q,A:A,A1450),"."))/VLOOKUP("USD",'Exchange Rates'!B:C,2,0),"Error with coding"))),"")</f>
        <v>.</v>
      </c>
      <c r="U1450" s="1184" t="s">
        <v>365</v>
      </c>
      <c r="V1450" s="983" t="s">
        <v>3978</v>
      </c>
      <c r="W1450" s="966" t="s">
        <v>3979</v>
      </c>
      <c r="X1450" s="1208" t="s">
        <v>364</v>
      </c>
      <c r="Y1450" s="1335" t="s">
        <v>364</v>
      </c>
      <c r="Z1450" s="1191">
        <v>0</v>
      </c>
      <c r="AA1450" s="1191">
        <v>0</v>
      </c>
      <c r="AB1450" s="1208" t="s">
        <v>364</v>
      </c>
      <c r="AC1450" s="1192" t="str">
        <f>""</f>
        <v/>
      </c>
      <c r="AD1450" s="1191">
        <v>1</v>
      </c>
      <c r="AE1450" s="1191" t="s">
        <v>368</v>
      </c>
      <c r="AF1450" s="1191" t="s">
        <v>369</v>
      </c>
      <c r="AG1450" s="1191">
        <v>1</v>
      </c>
      <c r="AH1450" s="1191">
        <v>9</v>
      </c>
      <c r="AI1450" s="1191">
        <v>0</v>
      </c>
      <c r="AJ1450" s="1193">
        <f>VLOOKUP($I1450,'Price List, Weapons &amp; Items'!B:F,5,0)</f>
        <v>0</v>
      </c>
      <c r="AK1450" s="1193">
        <f t="shared" si="304"/>
        <v>0</v>
      </c>
      <c r="AL1450" s="1193">
        <f t="shared" si="305"/>
        <v>0</v>
      </c>
      <c r="AM1450" s="1193">
        <f t="shared" si="306"/>
        <v>0</v>
      </c>
      <c r="AN1450" s="1194" t="str">
        <f>VLOOKUP($I1450,'Price List, Weapons &amp; Items'!B:L,COLUMN('Price List, Weapons &amp; Items'!$J$11)-1,0)</f>
        <v>.</v>
      </c>
      <c r="AO1450" s="1194" t="str">
        <f>IF(I1450=".",".",VLOOKUP($I1450,'Price List, Weapons &amp; Items'!B:J,3,0))</f>
        <v>.</v>
      </c>
      <c r="AP1450" s="1195" t="str">
        <f t="shared" ca="1" si="300"/>
        <v>.</v>
      </c>
      <c r="AQ1450" s="1194">
        <f>VLOOKUP($I1450,'Price List, Weapons &amp; Items'!B:L,COLUMN('Price List, Weapons &amp; Items'!$L$11)-1,0)</f>
        <v>0</v>
      </c>
      <c r="AR1450" s="1194">
        <f t="shared" si="307"/>
        <v>1</v>
      </c>
      <c r="AS1450" s="1194">
        <f t="shared" si="308"/>
        <v>0</v>
      </c>
      <c r="AT1450" s="1194">
        <f t="shared" si="309"/>
        <v>1</v>
      </c>
      <c r="AU1450" s="1194" t="str">
        <f t="shared" si="311"/>
        <v>.</v>
      </c>
      <c r="AV1450" s="1194" t="str">
        <f t="shared" si="301"/>
        <v>.</v>
      </c>
      <c r="AW1450" s="1194" t="str">
        <f t="shared" si="310"/>
        <v>.</v>
      </c>
      <c r="AX1450" s="1194">
        <f>IFERROR(VLOOKUP(B1450,'Share, Heavy Weapons to Ukraine'!B:Z,COLUMN('Share, Heavy Weapons to Ukraine'!C1462)-1,0),0)</f>
        <v>1</v>
      </c>
      <c r="AY1450" s="1194">
        <f>VLOOKUP('Bilateral Assistance, MAIN DATA'!B1450,'Country Summary (€)'!B:F,COLUMN('Country Summary (€)'!C1463)-1,FALSE)</f>
        <v>0</v>
      </c>
      <c r="AZ1450" s="1194" t="str">
        <f>IF(AND(AD1450=1,D1450="Military",H1450&lt;&gt;"Not given")=TRUE,IF(SUMIFS(P:P,A:A,A1450)&gt;0,ABS((SUMIFS(P:P,A:A,A1450)/VLOOKUP("USD",'Exchange Rates'!B:C,2,0)))/S1450,"."),".")</f>
        <v>.</v>
      </c>
      <c r="BA1450" s="1196" t="str">
        <f>IF(AND(AD1450=1,D1450="Military",H1450&lt;&gt;"Not given")=TRUE,IF(SUMIFS(P:P,A:A,A1450)&gt;0,IF((ABS((SUMIFS(P:P,A:A,A1450)/VLOOKUP("USD",'Exchange Rates'!B:C,2,0)))/S1450)&gt;1,(SUMIFS(P:P,A:A,A1450)-S1450)/S1450,(S1450-SUMIFS(P:P,A:A,A1450))/SUMIFS(P:P,A:A,A1450)),"."),".")</f>
        <v>.</v>
      </c>
    </row>
    <row r="1451" spans="1:53" ht="15.95" customHeight="1">
      <c r="A1451" s="1208" t="s">
        <v>3980</v>
      </c>
      <c r="B1451" s="1208" t="s">
        <v>3949</v>
      </c>
      <c r="C1451" s="1220">
        <v>44901</v>
      </c>
      <c r="D1451" s="1208" t="s">
        <v>360</v>
      </c>
      <c r="E1451" s="1208" t="s">
        <v>361</v>
      </c>
      <c r="F1451" s="1208" t="s">
        <v>3981</v>
      </c>
      <c r="G1451" s="1184" t="s">
        <v>456</v>
      </c>
      <c r="H1451" s="1210">
        <v>126300000</v>
      </c>
      <c r="I1451" s="1208" t="s">
        <v>364</v>
      </c>
      <c r="J1451" s="1186" t="str">
        <f>VLOOKUP($I1451,'Price List, Weapons &amp; Items'!B:C,2,0)</f>
        <v>.</v>
      </c>
      <c r="K1451" s="1186" t="str">
        <f>IF(I1451=".",I1451,VLOOKUP($I1451,'Price List, Weapons &amp; Items'!B:D,3,0))</f>
        <v>.</v>
      </c>
      <c r="L1451" s="1187">
        <f>VLOOKUP(I1451,'Price List, Weapons &amp; Items'!B:E,4,0)</f>
        <v>0</v>
      </c>
      <c r="M1451" s="1241" t="s">
        <v>364</v>
      </c>
      <c r="N1451" s="1211" t="s">
        <v>364</v>
      </c>
      <c r="O1451" s="1188" t="str">
        <f>VLOOKUP($I1451,'Price List, Weapons &amp; Items'!B:G,6,0)</f>
        <v>.</v>
      </c>
      <c r="P1451" s="1185" t="str">
        <f t="shared" si="302"/>
        <v>.</v>
      </c>
      <c r="Q1451" s="1185" t="str">
        <f t="shared" si="303"/>
        <v>.</v>
      </c>
      <c r="R1451" s="1185">
        <f t="shared" si="299"/>
        <v>126300000</v>
      </c>
      <c r="S1451" s="1185">
        <f>IF(AND(AD1451=1,R1451&lt;&gt;".")=TRUE,R1451/VLOOKUP(G1451,'Exchange Rates'!B:C,2,0),IF(R1451=".",".",""))</f>
        <v>116212734.63378726</v>
      </c>
      <c r="T1451" s="1185" t="str">
        <f>IF(AD1451=1,IF(AF1451="Value is not given at all",".",IF(AF1451="Value is given by the source",S1451,IF(AF1451="Value is calculated with prices",(IF(SUMIFS(Q:Q,A:A,A1451)&gt;0,SUMIFS(Q:Q,A:A,A1451),"."))/VLOOKUP("USD",'Exchange Rates'!B:C,2,0),"Error with coding"))),"")</f>
        <v>.</v>
      </c>
      <c r="U1451" s="1184" t="s">
        <v>365</v>
      </c>
      <c r="V1451" s="979" t="s">
        <v>3982</v>
      </c>
      <c r="W1451" s="966" t="s">
        <v>3983</v>
      </c>
      <c r="X1451" s="1208" t="s">
        <v>364</v>
      </c>
      <c r="Y1451" s="1335" t="s">
        <v>364</v>
      </c>
      <c r="Z1451" s="1191">
        <v>0</v>
      </c>
      <c r="AA1451" s="1191">
        <v>0</v>
      </c>
      <c r="AB1451" s="1208" t="s">
        <v>364</v>
      </c>
      <c r="AC1451" s="1192" t="str">
        <f>""</f>
        <v/>
      </c>
      <c r="AD1451" s="1191">
        <v>1</v>
      </c>
      <c r="AE1451" s="1191" t="s">
        <v>368</v>
      </c>
      <c r="AF1451" s="1191" t="s">
        <v>369</v>
      </c>
      <c r="AG1451" s="1191">
        <v>1</v>
      </c>
      <c r="AH1451" s="1191">
        <v>12</v>
      </c>
      <c r="AI1451" s="1191">
        <v>0</v>
      </c>
      <c r="AJ1451" s="1193">
        <f>VLOOKUP($I1451,'Price List, Weapons &amp; Items'!B:F,5,0)</f>
        <v>0</v>
      </c>
      <c r="AK1451" s="1193">
        <f t="shared" si="304"/>
        <v>0</v>
      </c>
      <c r="AL1451" s="1193">
        <f t="shared" si="305"/>
        <v>0</v>
      </c>
      <c r="AM1451" s="1193">
        <f t="shared" si="306"/>
        <v>0</v>
      </c>
      <c r="AN1451" s="1194" t="str">
        <f>VLOOKUP($I1451,'Price List, Weapons &amp; Items'!B:L,COLUMN('Price List, Weapons &amp; Items'!$J$11)-1,0)</f>
        <v>.</v>
      </c>
      <c r="AO1451" s="1194" t="str">
        <f>IF(I1451=".",".",VLOOKUP($I1451,'Price List, Weapons &amp; Items'!B:J,3,0))</f>
        <v>.</v>
      </c>
      <c r="AP1451" s="1195" t="str">
        <f t="shared" ca="1" si="300"/>
        <v>.</v>
      </c>
      <c r="AQ1451" s="1194">
        <f>VLOOKUP($I1451,'Price List, Weapons &amp; Items'!B:L,COLUMN('Price List, Weapons &amp; Items'!$L$11)-1,0)</f>
        <v>0</v>
      </c>
      <c r="AR1451" s="1194">
        <f t="shared" si="307"/>
        <v>1</v>
      </c>
      <c r="AS1451" s="1194">
        <f t="shared" si="308"/>
        <v>0</v>
      </c>
      <c r="AT1451" s="1194">
        <f t="shared" si="309"/>
        <v>1</v>
      </c>
      <c r="AU1451" s="1194" t="str">
        <f t="shared" si="311"/>
        <v>.</v>
      </c>
      <c r="AV1451" s="1194" t="str">
        <f t="shared" si="301"/>
        <v>.</v>
      </c>
      <c r="AW1451" s="1194" t="str">
        <f t="shared" si="310"/>
        <v>.</v>
      </c>
      <c r="AX1451" s="1194">
        <f>IFERROR(VLOOKUP(B1451,'Share, Heavy Weapons to Ukraine'!B:Z,COLUMN('Share, Heavy Weapons to Ukraine'!C1463)-1,0),0)</f>
        <v>1</v>
      </c>
      <c r="AY1451" s="1194">
        <f>VLOOKUP('Bilateral Assistance, MAIN DATA'!B1451,'Country Summary (€)'!B:F,COLUMN('Country Summary (€)'!C1464)-1,FALSE)</f>
        <v>0</v>
      </c>
      <c r="AZ1451" s="1194" t="str">
        <f>IF(AND(AD1451=1,D1451="Military",H1451&lt;&gt;"Not given")=TRUE,IF(SUMIFS(P:P,A:A,A1451)&gt;0,ABS((SUMIFS(P:P,A:A,A1451)/VLOOKUP("USD",'Exchange Rates'!B:C,2,0)))/S1451,"."),".")</f>
        <v>.</v>
      </c>
      <c r="BA1451" s="1196" t="str">
        <f>IF(AND(AD1451=1,D1451="Military",H1451&lt;&gt;"Not given")=TRUE,IF(SUMIFS(P:P,A:A,A1451)&gt;0,IF((ABS((SUMIFS(P:P,A:A,A1451)/VLOOKUP("USD",'Exchange Rates'!B:C,2,0)))/S1451)&gt;1,(SUMIFS(P:P,A:A,A1451)-S1451)/S1451,(S1451-SUMIFS(P:P,A:A,A1451))/SUMIFS(P:P,A:A,A1451)),"."),".")</f>
        <v>.</v>
      </c>
    </row>
    <row r="1452" spans="1:53" ht="15.95" customHeight="1">
      <c r="A1452" s="1208" t="s">
        <v>3984</v>
      </c>
      <c r="B1452" s="1208" t="s">
        <v>3949</v>
      </c>
      <c r="C1452" s="1220">
        <v>44901</v>
      </c>
      <c r="D1452" s="1208" t="s">
        <v>360</v>
      </c>
      <c r="E1452" s="1208" t="s">
        <v>361</v>
      </c>
      <c r="F1452" s="1208" t="s">
        <v>3985</v>
      </c>
      <c r="G1452" s="1184" t="s">
        <v>456</v>
      </c>
      <c r="H1452" s="1210">
        <v>2470000000</v>
      </c>
      <c r="I1452" s="1208" t="s">
        <v>364</v>
      </c>
      <c r="J1452" s="1186" t="str">
        <f>VLOOKUP($I1452,'Price List, Weapons &amp; Items'!B:C,2,0)</f>
        <v>.</v>
      </c>
      <c r="K1452" s="1186" t="str">
        <f>IF(I1452=".",I1452,VLOOKUP($I1452,'Price List, Weapons &amp; Items'!B:D,3,0))</f>
        <v>.</v>
      </c>
      <c r="L1452" s="1187">
        <f>VLOOKUP(I1452,'Price List, Weapons &amp; Items'!B:E,4,0)</f>
        <v>0</v>
      </c>
      <c r="M1452" s="1241" t="s">
        <v>364</v>
      </c>
      <c r="N1452" s="1211" t="s">
        <v>364</v>
      </c>
      <c r="O1452" s="1188" t="str">
        <f>VLOOKUP($I1452,'Price List, Weapons &amp; Items'!B:G,6,0)</f>
        <v>.</v>
      </c>
      <c r="P1452" s="1185" t="str">
        <f t="shared" si="302"/>
        <v>.</v>
      </c>
      <c r="Q1452" s="1185" t="str">
        <f t="shared" si="303"/>
        <v>.</v>
      </c>
      <c r="R1452" s="1185">
        <f t="shared" si="299"/>
        <v>2470000000</v>
      </c>
      <c r="S1452" s="1185">
        <f>IF(AND(AD1452=1,R1452&lt;&gt;".")=TRUE,R1452/VLOOKUP(G1452,'Exchange Rates'!B:C,2,0),IF(R1452=".",".",""))</f>
        <v>2272727272.727273</v>
      </c>
      <c r="T1452" s="1185" t="str">
        <f>IF(AD1452=1,IF(AF1452="Value is not given at all",".",IF(AF1452="Value is given by the source",S1452,IF(AF1452="Value is calculated with prices",(IF(SUMIFS(Q:Q,A:A,A1452)&gt;0,SUMIFS(Q:Q,A:A,A1452),"."))/VLOOKUP("USD",'Exchange Rates'!B:C,2,0),"Error with coding"))),"")</f>
        <v>.</v>
      </c>
      <c r="U1452" s="1184" t="s">
        <v>365</v>
      </c>
      <c r="V1452" s="979" t="s">
        <v>3982</v>
      </c>
      <c r="W1452" s="966" t="s">
        <v>3986</v>
      </c>
      <c r="X1452" s="1208" t="s">
        <v>364</v>
      </c>
      <c r="Y1452" s="1208" t="s">
        <v>364</v>
      </c>
      <c r="Z1452" s="1191">
        <v>0</v>
      </c>
      <c r="AA1452" s="1191">
        <v>0</v>
      </c>
      <c r="AB1452" s="1208" t="s">
        <v>364</v>
      </c>
      <c r="AC1452" s="1192" t="str">
        <f>""</f>
        <v/>
      </c>
      <c r="AD1452" s="1191">
        <v>1</v>
      </c>
      <c r="AE1452" s="1191" t="s">
        <v>368</v>
      </c>
      <c r="AF1452" s="1191" t="s">
        <v>369</v>
      </c>
      <c r="AG1452" s="1191">
        <v>1</v>
      </c>
      <c r="AH1452" s="1191">
        <v>12</v>
      </c>
      <c r="AI1452" s="1191">
        <v>0</v>
      </c>
      <c r="AJ1452" s="1193">
        <f>VLOOKUP($I1452,'Price List, Weapons &amp; Items'!B:F,5,0)</f>
        <v>0</v>
      </c>
      <c r="AK1452" s="1193">
        <f t="shared" si="304"/>
        <v>0</v>
      </c>
      <c r="AL1452" s="1193">
        <f t="shared" si="305"/>
        <v>0</v>
      </c>
      <c r="AM1452" s="1193">
        <f t="shared" si="306"/>
        <v>0</v>
      </c>
      <c r="AN1452" s="1194" t="str">
        <f>VLOOKUP($I1452,'Price List, Weapons &amp; Items'!B:L,COLUMN('Price List, Weapons &amp; Items'!$J$11)-1,0)</f>
        <v>.</v>
      </c>
      <c r="AO1452" s="1194" t="str">
        <f>IF(I1452=".",".",VLOOKUP($I1452,'Price List, Weapons &amp; Items'!B:J,3,0))</f>
        <v>.</v>
      </c>
      <c r="AP1452" s="1195" t="str">
        <f t="shared" ca="1" si="300"/>
        <v>.</v>
      </c>
      <c r="AQ1452" s="1194">
        <f>VLOOKUP($I1452,'Price List, Weapons &amp; Items'!B:L,COLUMN('Price List, Weapons &amp; Items'!$L$11)-1,0)</f>
        <v>0</v>
      </c>
      <c r="AR1452" s="1194">
        <f t="shared" si="307"/>
        <v>1</v>
      </c>
      <c r="AS1452" s="1194">
        <f t="shared" si="308"/>
        <v>0</v>
      </c>
      <c r="AT1452" s="1194">
        <f t="shared" si="309"/>
        <v>1</v>
      </c>
      <c r="AU1452" s="1194" t="str">
        <f t="shared" si="311"/>
        <v>.</v>
      </c>
      <c r="AV1452" s="1194" t="str">
        <f t="shared" si="301"/>
        <v>.</v>
      </c>
      <c r="AW1452" s="1194" t="str">
        <f t="shared" si="310"/>
        <v>.</v>
      </c>
      <c r="AX1452" s="1194">
        <f>IFERROR(VLOOKUP(B1452,'Share, Heavy Weapons to Ukraine'!B:Z,COLUMN('Share, Heavy Weapons to Ukraine'!C1464)-1,0),0)</f>
        <v>1</v>
      </c>
      <c r="AY1452" s="1194">
        <f>VLOOKUP('Bilateral Assistance, MAIN DATA'!B1452,'Country Summary (€)'!B:F,COLUMN('Country Summary (€)'!C1465)-1,FALSE)</f>
        <v>0</v>
      </c>
      <c r="AZ1452" s="1194" t="str">
        <f>IF(AND(AD1452=1,D1452="Military",H1452&lt;&gt;"Not given")=TRUE,IF(SUMIFS(P:P,A:A,A1452)&gt;0,ABS((SUMIFS(P:P,A:A,A1452)/VLOOKUP("USD",'Exchange Rates'!B:C,2,0)))/S1452,"."),".")</f>
        <v>.</v>
      </c>
      <c r="BA1452" s="1196" t="str">
        <f>IF(AND(AD1452=1,D1452="Military",H1452&lt;&gt;"Not given")=TRUE,IF(SUMIFS(P:P,A:A,A1452)&gt;0,IF((ABS((SUMIFS(P:P,A:A,A1452)/VLOOKUP("USD",'Exchange Rates'!B:C,2,0)))/S1452)&gt;1,(SUMIFS(P:P,A:A,A1452)-S1452)/S1452,(S1452-SUMIFS(P:P,A:A,A1452))/SUMIFS(P:P,A:A,A1452)),"."),".")</f>
        <v>.</v>
      </c>
    </row>
    <row r="1453" spans="1:53" ht="15.95" customHeight="1">
      <c r="A1453" s="1182" t="s">
        <v>3987</v>
      </c>
      <c r="B1453" s="1182" t="s">
        <v>3949</v>
      </c>
      <c r="C1453" s="1181">
        <v>44635</v>
      </c>
      <c r="D1453" s="1182" t="s">
        <v>389</v>
      </c>
      <c r="E1453" s="1182" t="s">
        <v>1676</v>
      </c>
      <c r="F1453" s="1183" t="s">
        <v>3988</v>
      </c>
      <c r="G1453" s="1184" t="s">
        <v>456</v>
      </c>
      <c r="H1453" s="1185">
        <v>9025000000</v>
      </c>
      <c r="I1453" s="1180" t="s">
        <v>364</v>
      </c>
      <c r="J1453" s="1186" t="str">
        <f>VLOOKUP($I1453,'Price List, Weapons &amp; Items'!B:C,2,0)</f>
        <v>.</v>
      </c>
      <c r="K1453" s="1186" t="str">
        <f>IF(I1453=".",I1453,VLOOKUP($I1453,'Price List, Weapons &amp; Items'!B:D,3,0))</f>
        <v>.</v>
      </c>
      <c r="L1453" s="1187">
        <f>VLOOKUP(I1453,'Price List, Weapons &amp; Items'!B:E,4,0)</f>
        <v>0</v>
      </c>
      <c r="M1453" s="1188" t="s">
        <v>364</v>
      </c>
      <c r="N1453" s="1188" t="s">
        <v>364</v>
      </c>
      <c r="O1453" s="1188" t="str">
        <f>VLOOKUP($I1453,'Price List, Weapons &amp; Items'!B:G,6,0)</f>
        <v>.</v>
      </c>
      <c r="P1453" s="1185" t="str">
        <f t="shared" si="302"/>
        <v>.</v>
      </c>
      <c r="Q1453" s="1185" t="str">
        <f t="shared" si="303"/>
        <v>.</v>
      </c>
      <c r="R1453" s="1185">
        <f t="shared" si="299"/>
        <v>9025000000</v>
      </c>
      <c r="S1453" s="1185">
        <f>IF(AND(AD1453=1,R1453&lt;&gt;".")=TRUE,R1453/VLOOKUP(G1453,'Exchange Rates'!B:C,2,0),IF(R1453=".",".",""))</f>
        <v>8304195804.1958046</v>
      </c>
      <c r="T1453" s="1185">
        <f>IF(AD1453=1,IF(AF1453="Value is not given at all",".",IF(AF1453="Value is given by the source",S1453,IF(AF1453="Value is calculated with prices",(IF(SUMIFS(Q:Q,A:A,A1453)&gt;0,SUMIFS(Q:Q,A:A,A1453),"."))/VLOOKUP("USD",'Exchange Rates'!B:C,2,0),"Error with coding"))),"")</f>
        <v>8304195804.1958046</v>
      </c>
      <c r="U1453" s="1184" t="s">
        <v>365</v>
      </c>
      <c r="V1453" s="973" t="s">
        <v>3955</v>
      </c>
      <c r="W1453" s="973" t="s">
        <v>3959</v>
      </c>
      <c r="X1453" s="973" t="s">
        <v>3989</v>
      </c>
      <c r="Y1453" s="1190" t="s">
        <v>364</v>
      </c>
      <c r="Z1453" s="1184">
        <v>0</v>
      </c>
      <c r="AA1453" s="1194">
        <v>0</v>
      </c>
      <c r="AB1453" s="973" t="s">
        <v>3989</v>
      </c>
      <c r="AC1453" s="1192" t="str">
        <f>""</f>
        <v/>
      </c>
      <c r="AD1453" s="1193">
        <v>1</v>
      </c>
      <c r="AE1453" s="1302" t="s">
        <v>368</v>
      </c>
      <c r="AF1453" s="1193" t="s">
        <v>368</v>
      </c>
      <c r="AG1453" s="1193">
        <v>1</v>
      </c>
      <c r="AH1453" s="1193">
        <v>3</v>
      </c>
      <c r="AI1453" s="1193">
        <v>0</v>
      </c>
      <c r="AJ1453" s="1193">
        <f>VLOOKUP($I1453,'Price List, Weapons &amp; Items'!B:F,5,0)</f>
        <v>0</v>
      </c>
      <c r="AK1453" s="1193">
        <f t="shared" si="304"/>
        <v>0</v>
      </c>
      <c r="AL1453" s="1193">
        <f t="shared" si="305"/>
        <v>0</v>
      </c>
      <c r="AM1453" s="1193">
        <f t="shared" si="306"/>
        <v>0</v>
      </c>
      <c r="AN1453" s="1194" t="str">
        <f>VLOOKUP($I1453,'Price List, Weapons &amp; Items'!B:L,COLUMN('Price List, Weapons &amp; Items'!$J$11)-1,0)</f>
        <v>.</v>
      </c>
      <c r="AO1453" s="1194" t="str">
        <f>IF(I1453=".",".",VLOOKUP($I1453,'Price List, Weapons &amp; Items'!B:J,3,0))</f>
        <v>.</v>
      </c>
      <c r="AP1453" s="1195" t="str">
        <f t="shared" ca="1" si="300"/>
        <v>.</v>
      </c>
      <c r="AQ1453" s="1194">
        <f>VLOOKUP($I1453,'Price List, Weapons &amp; Items'!B:L,COLUMN('Price List, Weapons &amp; Items'!$L$11)-1,0)</f>
        <v>0</v>
      </c>
      <c r="AR1453" s="1194">
        <f t="shared" si="307"/>
        <v>1</v>
      </c>
      <c r="AS1453" s="1194">
        <f t="shared" si="308"/>
        <v>1</v>
      </c>
      <c r="AT1453" s="1194">
        <f t="shared" si="309"/>
        <v>1</v>
      </c>
      <c r="AU1453" s="1194" t="str">
        <f t="shared" si="311"/>
        <v>.</v>
      </c>
      <c r="AV1453" s="1194" t="str">
        <f t="shared" si="301"/>
        <v>.</v>
      </c>
      <c r="AW1453" s="1194" t="str">
        <f t="shared" si="310"/>
        <v>.</v>
      </c>
      <c r="AX1453" s="1194">
        <f>IFERROR(VLOOKUP(B1453,'Share, Heavy Weapons to Ukraine'!B:Z,COLUMN('Share, Heavy Weapons to Ukraine'!C1465)-1,0),0)</f>
        <v>1</v>
      </c>
      <c r="AY1453" s="1194">
        <f>VLOOKUP('Bilateral Assistance, MAIN DATA'!B1453,'Country Summary (€)'!B:F,COLUMN('Country Summary (€)'!C1466)-1,FALSE)</f>
        <v>0</v>
      </c>
      <c r="AZ1453" s="1194">
        <f>IF(AND(AD1453=1,D1453="Military",H1453&lt;&gt;"Not given")=TRUE,IF(SUMIFS(P:P,A:A,A1453)&gt;0,ABS((SUMIFS(P:P,A:A,A1453)/VLOOKUP("USD",'Exchange Rates'!B:C,2,0)))/S1453,"."),".")</f>
        <v>0.83409288680871096</v>
      </c>
      <c r="BA1453" s="1196">
        <f>IF(AND(AD1453=1,D1453="Military",H1453&lt;&gt;"Not given")=TRUE,IF(SUMIFS(P:P,A:A,A1453)&gt;0,IF((ABS((SUMIFS(P:P,A:A,A1453)/VLOOKUP("USD",'Exchange Rates'!B:C,2,0)))/S1453)&gt;1,(SUMIFS(P:P,A:A,A1453)-S1453)/S1453,(S1453-SUMIFS(P:P,A:A,A1453))/SUMIFS(P:P,A:A,A1453)),"."),".")</f>
        <v>0.10315351399332656</v>
      </c>
    </row>
    <row r="1454" spans="1:53" ht="15.95" customHeight="1">
      <c r="A1454" s="1182" t="s">
        <v>3987</v>
      </c>
      <c r="B1454" s="1182" t="s">
        <v>3949</v>
      </c>
      <c r="C1454" s="1181">
        <v>44617</v>
      </c>
      <c r="D1454" s="1182" t="s">
        <v>389</v>
      </c>
      <c r="E1454" s="1182" t="s">
        <v>1676</v>
      </c>
      <c r="F1454" s="1183" t="s">
        <v>3990</v>
      </c>
      <c r="G1454" s="1184" t="s">
        <v>456</v>
      </c>
      <c r="H1454" s="1185">
        <v>350000000</v>
      </c>
      <c r="I1454" s="1180" t="s">
        <v>364</v>
      </c>
      <c r="J1454" s="1186" t="str">
        <f>VLOOKUP($I1454,'Price List, Weapons &amp; Items'!B:C,2,0)</f>
        <v>.</v>
      </c>
      <c r="K1454" s="1186" t="str">
        <f>IF(I1454=".",I1454,VLOOKUP($I1454,'Price List, Weapons &amp; Items'!B:D,3,0))</f>
        <v>.</v>
      </c>
      <c r="L1454" s="1187">
        <f>VLOOKUP(I1454,'Price List, Weapons &amp; Items'!B:E,4,0)</f>
        <v>0</v>
      </c>
      <c r="M1454" s="1188" t="s">
        <v>364</v>
      </c>
      <c r="N1454" s="1188" t="s">
        <v>364</v>
      </c>
      <c r="O1454" s="1188" t="str">
        <f>VLOOKUP($I1454,'Price List, Weapons &amp; Items'!B:G,6,0)</f>
        <v>.</v>
      </c>
      <c r="P1454" s="1185" t="str">
        <f t="shared" si="302"/>
        <v>.</v>
      </c>
      <c r="Q1454" s="1185" t="str">
        <f t="shared" si="303"/>
        <v>.</v>
      </c>
      <c r="R1454" s="1185" t="str">
        <f t="shared" si="299"/>
        <v/>
      </c>
      <c r="S1454" s="1185" t="str">
        <f>IF(AND(AD1454=1,R1454&lt;&gt;".")=TRUE,R1454/VLOOKUP(G1454,'Exchange Rates'!B:C,2,0),IF(R1454=".",".",""))</f>
        <v/>
      </c>
      <c r="T1454" s="1185" t="str">
        <f>IF(AD1454=1,IF(AF1454="Value is not given at all",".",IF(AF1454="Value is given by the source",S1454,IF(AF1454="Value is calculated with prices",(IF(SUMIFS(Q:Q,A:A,A1454)&gt;0,SUMIFS(Q:Q,A:A,A1454),"."))/VLOOKUP("USD",'Exchange Rates'!B:C,2,0),"Error with coding"))),"")</f>
        <v/>
      </c>
      <c r="U1454" s="1184" t="s">
        <v>365</v>
      </c>
      <c r="V1454" s="971" t="s">
        <v>3991</v>
      </c>
      <c r="W1454" s="973" t="s">
        <v>3955</v>
      </c>
      <c r="X1454" s="973" t="s">
        <v>3959</v>
      </c>
      <c r="Y1454" s="973" t="s">
        <v>3989</v>
      </c>
      <c r="Z1454" s="1184">
        <v>0</v>
      </c>
      <c r="AA1454" s="1194">
        <v>0</v>
      </c>
      <c r="AB1454" s="973" t="s">
        <v>3992</v>
      </c>
      <c r="AC1454" s="1192" t="str">
        <f>""</f>
        <v/>
      </c>
      <c r="AD1454" s="1193">
        <v>0</v>
      </c>
      <c r="AE1454" s="1302" t="s">
        <v>368</v>
      </c>
      <c r="AF1454" s="1193" t="s">
        <v>368</v>
      </c>
      <c r="AG1454" s="1193">
        <v>1</v>
      </c>
      <c r="AH1454" s="1193">
        <v>2</v>
      </c>
      <c r="AI1454" s="1193">
        <v>0</v>
      </c>
      <c r="AJ1454" s="1193">
        <f>VLOOKUP($I1454,'Price List, Weapons &amp; Items'!B:F,5,0)</f>
        <v>0</v>
      </c>
      <c r="AK1454" s="1193">
        <f t="shared" si="304"/>
        <v>0</v>
      </c>
      <c r="AL1454" s="1193">
        <f t="shared" si="305"/>
        <v>0</v>
      </c>
      <c r="AM1454" s="1193">
        <f t="shared" si="306"/>
        <v>0</v>
      </c>
      <c r="AN1454" s="1194" t="str">
        <f>VLOOKUP($I1454,'Price List, Weapons &amp; Items'!B:L,COLUMN('Price List, Weapons &amp; Items'!$J$11)-1,0)</f>
        <v>.</v>
      </c>
      <c r="AO1454" s="1194" t="str">
        <f>IF(I1454=".",".",VLOOKUP($I1454,'Price List, Weapons &amp; Items'!B:J,3,0))</f>
        <v>.</v>
      </c>
      <c r="AP1454" s="1195" t="str">
        <f t="shared" ca="1" si="300"/>
        <v/>
      </c>
      <c r="AQ1454" s="1194">
        <f>VLOOKUP($I1454,'Price List, Weapons &amp; Items'!B:L,COLUMN('Price List, Weapons &amp; Items'!$L$11)-1,0)</f>
        <v>0</v>
      </c>
      <c r="AR1454" s="1194">
        <f t="shared" si="307"/>
        <v>1</v>
      </c>
      <c r="AS1454" s="1194">
        <f t="shared" si="308"/>
        <v>1</v>
      </c>
      <c r="AT1454" s="1194">
        <f t="shared" si="309"/>
        <v>1</v>
      </c>
      <c r="AU1454" s="1194" t="str">
        <f t="shared" si="311"/>
        <v>.</v>
      </c>
      <c r="AV1454" s="1194" t="str">
        <f t="shared" si="301"/>
        <v>.</v>
      </c>
      <c r="AW1454" s="1194" t="str">
        <f t="shared" si="310"/>
        <v>.</v>
      </c>
      <c r="AX1454" s="1194">
        <f>IFERROR(VLOOKUP(B1454,'Share, Heavy Weapons to Ukraine'!B:Z,COLUMN('Share, Heavy Weapons to Ukraine'!C1466)-1,0),0)</f>
        <v>1</v>
      </c>
      <c r="AY1454" s="1194">
        <f>VLOOKUP('Bilateral Assistance, MAIN DATA'!B1454,'Country Summary (€)'!B:F,COLUMN('Country Summary (€)'!C1467)-1,FALSE)</f>
        <v>0</v>
      </c>
      <c r="AZ1454" s="1194" t="str">
        <f>IF(AND(AD1454=1,D1454="Military",H1454&lt;&gt;"Not given")=TRUE,IF(SUMIFS(P:P,A:A,A1454)&gt;0,ABS((SUMIFS(P:P,A:A,A1454)/VLOOKUP("USD",'Exchange Rates'!B:C,2,0)))/S1454,"."),".")</f>
        <v>.</v>
      </c>
      <c r="BA1454" s="1196" t="str">
        <f>IF(AND(AD1454=1,D1454="Military",H1454&lt;&gt;"Not given")=TRUE,IF(SUMIFS(P:P,A:A,A1454)&gt;0,IF((ABS((SUMIFS(P:P,A:A,A1454)/VLOOKUP("USD",'Exchange Rates'!B:C,2,0)))/S1454)&gt;1,(SUMIFS(P:P,A:A,A1454)-S1454)/S1454,(S1454-SUMIFS(P:P,A:A,A1454))/SUMIFS(P:P,A:A,A1454)),"."),".")</f>
        <v>.</v>
      </c>
    </row>
    <row r="1455" spans="1:53" ht="15.95" customHeight="1">
      <c r="A1455" s="1182" t="s">
        <v>3987</v>
      </c>
      <c r="B1455" s="1182" t="s">
        <v>3949</v>
      </c>
      <c r="C1455" s="1181">
        <v>44632</v>
      </c>
      <c r="D1455" s="1182" t="s">
        <v>389</v>
      </c>
      <c r="E1455" s="1182" t="s">
        <v>1676</v>
      </c>
      <c r="F1455" s="1183" t="s">
        <v>3993</v>
      </c>
      <c r="G1455" s="1184" t="s">
        <v>456</v>
      </c>
      <c r="H1455" s="1185">
        <v>200000000</v>
      </c>
      <c r="I1455" s="1180" t="s">
        <v>364</v>
      </c>
      <c r="J1455" s="1186" t="str">
        <f>VLOOKUP($I1455,'Price List, Weapons &amp; Items'!B:C,2,0)</f>
        <v>.</v>
      </c>
      <c r="K1455" s="1186" t="str">
        <f>IF(I1455=".",I1455,VLOOKUP($I1455,'Price List, Weapons &amp; Items'!B:D,3,0))</f>
        <v>.</v>
      </c>
      <c r="L1455" s="1187">
        <f>VLOOKUP(I1455,'Price List, Weapons &amp; Items'!B:E,4,0)</f>
        <v>0</v>
      </c>
      <c r="M1455" s="1188" t="s">
        <v>364</v>
      </c>
      <c r="N1455" s="1188" t="s">
        <v>364</v>
      </c>
      <c r="O1455" s="1188" t="str">
        <f>VLOOKUP($I1455,'Price List, Weapons &amp; Items'!B:G,6,0)</f>
        <v>.</v>
      </c>
      <c r="P1455" s="1185" t="str">
        <f t="shared" si="302"/>
        <v>.</v>
      </c>
      <c r="Q1455" s="1185" t="str">
        <f t="shared" si="303"/>
        <v>.</v>
      </c>
      <c r="R1455" s="1185" t="str">
        <f t="shared" si="299"/>
        <v/>
      </c>
      <c r="S1455" s="1185" t="str">
        <f>IF(AND(AD1455=1,R1455&lt;&gt;".")=TRUE,R1455/VLOOKUP(G1455,'Exchange Rates'!B:C,2,0),IF(R1455=".",".",""))</f>
        <v/>
      </c>
      <c r="T1455" s="1185" t="str">
        <f>IF(AD1455=1,IF(AF1455="Value is not given at all",".",IF(AF1455="Value is given by the source",S1455,IF(AF1455="Value is calculated with prices",(IF(SUMIFS(Q:Q,A:A,A1455)&gt;0,SUMIFS(Q:Q,A:A,A1455),"."))/VLOOKUP("USD",'Exchange Rates'!B:C,2,0),"Error with coding"))),"")</f>
        <v/>
      </c>
      <c r="U1455" s="1184" t="s">
        <v>365</v>
      </c>
      <c r="V1455" s="971" t="s">
        <v>3991</v>
      </c>
      <c r="W1455" s="973" t="s">
        <v>3955</v>
      </c>
      <c r="X1455" s="973" t="s">
        <v>3959</v>
      </c>
      <c r="Y1455" s="973" t="s">
        <v>3992</v>
      </c>
      <c r="Z1455" s="1184">
        <v>0</v>
      </c>
      <c r="AA1455" s="1194">
        <v>0</v>
      </c>
      <c r="AB1455" s="973" t="s">
        <v>3994</v>
      </c>
      <c r="AC1455" s="1192" t="str">
        <f>""</f>
        <v/>
      </c>
      <c r="AD1455" s="1193">
        <v>0</v>
      </c>
      <c r="AE1455" s="1302" t="s">
        <v>368</v>
      </c>
      <c r="AF1455" s="1193" t="s">
        <v>368</v>
      </c>
      <c r="AG1455" s="1193">
        <v>1</v>
      </c>
      <c r="AH1455" s="1193">
        <v>3</v>
      </c>
      <c r="AI1455" s="1193">
        <v>0</v>
      </c>
      <c r="AJ1455" s="1193">
        <f>VLOOKUP($I1455,'Price List, Weapons &amp; Items'!B:F,5,0)</f>
        <v>0</v>
      </c>
      <c r="AK1455" s="1193">
        <f t="shared" si="304"/>
        <v>0</v>
      </c>
      <c r="AL1455" s="1193">
        <f t="shared" si="305"/>
        <v>0</v>
      </c>
      <c r="AM1455" s="1193">
        <f t="shared" si="306"/>
        <v>0</v>
      </c>
      <c r="AN1455" s="1194" t="str">
        <f>VLOOKUP($I1455,'Price List, Weapons &amp; Items'!B:L,COLUMN('Price List, Weapons &amp; Items'!$J$11)-1,0)</f>
        <v>.</v>
      </c>
      <c r="AO1455" s="1194" t="str">
        <f>IF(I1455=".",".",VLOOKUP($I1455,'Price List, Weapons &amp; Items'!B:J,3,0))</f>
        <v>.</v>
      </c>
      <c r="AP1455" s="1195" t="str">
        <f t="shared" ca="1" si="300"/>
        <v/>
      </c>
      <c r="AQ1455" s="1194">
        <f>VLOOKUP($I1455,'Price List, Weapons &amp; Items'!B:L,COLUMN('Price List, Weapons &amp; Items'!$L$11)-1,0)</f>
        <v>0</v>
      </c>
      <c r="AR1455" s="1194">
        <f t="shared" si="307"/>
        <v>1</v>
      </c>
      <c r="AS1455" s="1194">
        <f t="shared" si="308"/>
        <v>1</v>
      </c>
      <c r="AT1455" s="1194">
        <f t="shared" si="309"/>
        <v>1</v>
      </c>
      <c r="AU1455" s="1194" t="str">
        <f t="shared" si="311"/>
        <v>.</v>
      </c>
      <c r="AV1455" s="1194" t="str">
        <f t="shared" si="301"/>
        <v>.</v>
      </c>
      <c r="AW1455" s="1194" t="str">
        <f t="shared" si="310"/>
        <v>.</v>
      </c>
      <c r="AX1455" s="1194">
        <f>IFERROR(VLOOKUP(B1455,'Share, Heavy Weapons to Ukraine'!B:Z,COLUMN('Share, Heavy Weapons to Ukraine'!C1467)-1,0),0)</f>
        <v>1</v>
      </c>
      <c r="AY1455" s="1194">
        <f>VLOOKUP('Bilateral Assistance, MAIN DATA'!B1455,'Country Summary (€)'!B:F,COLUMN('Country Summary (€)'!C1468)-1,FALSE)</f>
        <v>0</v>
      </c>
      <c r="AZ1455" s="1194" t="str">
        <f>IF(AND(AD1455=1,D1455="Military",H1455&lt;&gt;"Not given")=TRUE,IF(SUMIFS(P:P,A:A,A1455)&gt;0,ABS((SUMIFS(P:P,A:A,A1455)/VLOOKUP("USD",'Exchange Rates'!B:C,2,0)))/S1455,"."),".")</f>
        <v>.</v>
      </c>
      <c r="BA1455" s="1196" t="str">
        <f>IF(AND(AD1455=1,D1455="Military",H1455&lt;&gt;"Not given")=TRUE,IF(SUMIFS(P:P,A:A,A1455)&gt;0,IF((ABS((SUMIFS(P:P,A:A,A1455)/VLOOKUP("USD",'Exchange Rates'!B:C,2,0)))/S1455)&gt;1,(SUMIFS(P:P,A:A,A1455)-S1455)/S1455,(S1455-SUMIFS(P:P,A:A,A1455))/SUMIFS(P:P,A:A,A1455)),"."),".")</f>
        <v>.</v>
      </c>
    </row>
    <row r="1456" spans="1:53" ht="15.95" customHeight="1">
      <c r="A1456" s="1182" t="s">
        <v>3987</v>
      </c>
      <c r="B1456" s="1182" t="s">
        <v>3949</v>
      </c>
      <c r="C1456" s="1181">
        <v>44636</v>
      </c>
      <c r="D1456" s="1182" t="s">
        <v>389</v>
      </c>
      <c r="E1456" s="1182" t="s">
        <v>1676</v>
      </c>
      <c r="F1456" s="1183" t="s">
        <v>3995</v>
      </c>
      <c r="G1456" s="1184" t="s">
        <v>456</v>
      </c>
      <c r="H1456" s="1185">
        <v>800000000</v>
      </c>
      <c r="I1456" s="1180" t="s">
        <v>1239</v>
      </c>
      <c r="J1456" s="1186" t="str">
        <f>VLOOKUP($I1456,'Price List, Weapons &amp; Items'!B:C,2,0)</f>
        <v>Portable defence system</v>
      </c>
      <c r="K1456" s="1186" t="str">
        <f>IF(I1456=".",I1456,VLOOKUP($I1456,'Price List, Weapons &amp; Items'!B:D,3,0))</f>
        <v>MANPADS</v>
      </c>
      <c r="L1456" s="1187">
        <f>VLOOKUP(I1456,'Price List, Weapons &amp; Items'!B:E,4,0)</f>
        <v>0</v>
      </c>
      <c r="M1456" s="1188">
        <v>800</v>
      </c>
      <c r="N1456" s="1188">
        <f>M1456</f>
        <v>800</v>
      </c>
      <c r="O1456" s="1188">
        <f>VLOOKUP($I1456,'Price List, Weapons &amp; Items'!B:G,6,0)</f>
        <v>119000</v>
      </c>
      <c r="P1456" s="1185">
        <f t="shared" si="302"/>
        <v>95200000</v>
      </c>
      <c r="Q1456" s="1185">
        <f t="shared" si="303"/>
        <v>95200000</v>
      </c>
      <c r="R1456" s="1185" t="str">
        <f t="shared" si="299"/>
        <v/>
      </c>
      <c r="S1456" s="1185" t="str">
        <f>IF(AND(AD1456=1,R1456&lt;&gt;".")=TRUE,R1456/VLOOKUP(G1456,'Exchange Rates'!B:C,2,0),IF(R1456=".",".",""))</f>
        <v/>
      </c>
      <c r="T1456" s="1185" t="str">
        <f>IF(AD1456=1,IF(AF1456="Value is not given at all",".",IF(AF1456="Value is given by the source",S1456,IF(AF1456="Value is calculated with prices",(IF(SUMIFS(Q:Q,A:A,A1456)&gt;0,SUMIFS(Q:Q,A:A,A1456),"."))/VLOOKUP("USD",'Exchange Rates'!B:C,2,0),"Error with coding"))),"")</f>
        <v/>
      </c>
      <c r="U1456" s="1184" t="s">
        <v>365</v>
      </c>
      <c r="V1456" s="974" t="s">
        <v>3991</v>
      </c>
      <c r="W1456" s="973" t="s">
        <v>3955</v>
      </c>
      <c r="X1456" s="973" t="s">
        <v>3959</v>
      </c>
      <c r="Y1456" s="973" t="s">
        <v>3994</v>
      </c>
      <c r="Z1456" s="1184">
        <v>0</v>
      </c>
      <c r="AA1456" s="1194">
        <v>0</v>
      </c>
      <c r="AB1456" s="973" t="s">
        <v>3996</v>
      </c>
      <c r="AC1456" s="1192" t="str">
        <f>""</f>
        <v/>
      </c>
      <c r="AD1456" s="1193">
        <v>0</v>
      </c>
      <c r="AE1456" s="1302" t="s">
        <v>368</v>
      </c>
      <c r="AF1456" s="1193" t="s">
        <v>368</v>
      </c>
      <c r="AG1456" s="1193">
        <v>1</v>
      </c>
      <c r="AH1456" s="1193">
        <v>3</v>
      </c>
      <c r="AI1456" s="1193">
        <v>0</v>
      </c>
      <c r="AJ1456" s="1193">
        <f>VLOOKUP($I1456,'Price List, Weapons &amp; Items'!B:F,5,0)</f>
        <v>0</v>
      </c>
      <c r="AK1456" s="1193">
        <f t="shared" si="304"/>
        <v>0</v>
      </c>
      <c r="AL1456" s="1193">
        <f t="shared" si="305"/>
        <v>0</v>
      </c>
      <c r="AM1456" s="1193">
        <f t="shared" si="306"/>
        <v>0</v>
      </c>
      <c r="AN1456" s="1194" t="str">
        <f>VLOOKUP($I1456,'Price List, Weapons &amp; Items'!B:L,COLUMN('Price List, Weapons &amp; Items'!$J$11)-1,0)</f>
        <v>Miscellaneous</v>
      </c>
      <c r="AO1456" s="1194" t="str">
        <f>IF(I1456=".",".",VLOOKUP($I1456,'Price List, Weapons &amp; Items'!B:J,3,0))</f>
        <v>MANPADS</v>
      </c>
      <c r="AP1456" s="1195" t="str">
        <f t="shared" ca="1" si="300"/>
        <v/>
      </c>
      <c r="AQ1456" s="1194">
        <f>VLOOKUP($I1456,'Price List, Weapons &amp; Items'!B:L,COLUMN('Price List, Weapons &amp; Items'!$L$11)-1,0)</f>
        <v>2</v>
      </c>
      <c r="AR1456" s="1194">
        <f t="shared" si="307"/>
        <v>1</v>
      </c>
      <c r="AS1456" s="1194">
        <f t="shared" si="308"/>
        <v>1</v>
      </c>
      <c r="AT1456" s="1194">
        <f t="shared" si="309"/>
        <v>1</v>
      </c>
      <c r="AU1456" s="1194" t="str">
        <f t="shared" si="311"/>
        <v>.</v>
      </c>
      <c r="AV1456" s="1194" t="str">
        <f t="shared" si="301"/>
        <v>.</v>
      </c>
      <c r="AW1456" s="1194" t="str">
        <f t="shared" si="310"/>
        <v>.</v>
      </c>
      <c r="AX1456" s="1194">
        <f>IFERROR(VLOOKUP(B1456,'Share, Heavy Weapons to Ukraine'!B:Z,COLUMN('Share, Heavy Weapons to Ukraine'!C1468)-1,0),0)</f>
        <v>1</v>
      </c>
      <c r="AY1456" s="1194">
        <f>VLOOKUP('Bilateral Assistance, MAIN DATA'!B1456,'Country Summary (€)'!B:F,COLUMN('Country Summary (€)'!C1469)-1,FALSE)</f>
        <v>0</v>
      </c>
      <c r="AZ1456" s="1194" t="str">
        <f>IF(AND(AD1456=1,D1456="Military",H1456&lt;&gt;"Not given")=TRUE,IF(SUMIFS(P:P,A:A,A1456)&gt;0,ABS((SUMIFS(P:P,A:A,A1456)/VLOOKUP("USD",'Exchange Rates'!B:C,2,0)))/S1456,"."),".")</f>
        <v>.</v>
      </c>
      <c r="BA1456" s="1196" t="str">
        <f>IF(AND(AD1456=1,D1456="Military",H1456&lt;&gt;"Not given")=TRUE,IF(SUMIFS(P:P,A:A,A1456)&gt;0,IF((ABS((SUMIFS(P:P,A:A,A1456)/VLOOKUP("USD",'Exchange Rates'!B:C,2,0)))/S1456)&gt;1,(SUMIFS(P:P,A:A,A1456)-S1456)/S1456,(S1456-SUMIFS(P:P,A:A,A1456))/SUMIFS(P:P,A:A,A1456)),"."),".")</f>
        <v>.</v>
      </c>
    </row>
    <row r="1457" spans="1:53" ht="15.95" customHeight="1">
      <c r="A1457" s="1182" t="s">
        <v>3987</v>
      </c>
      <c r="B1457" s="1182" t="s">
        <v>3949</v>
      </c>
      <c r="C1457" s="1181">
        <v>44636</v>
      </c>
      <c r="D1457" s="1182" t="s">
        <v>389</v>
      </c>
      <c r="E1457" s="1182" t="s">
        <v>1676</v>
      </c>
      <c r="F1457" s="1183" t="s">
        <v>3997</v>
      </c>
      <c r="G1457" s="1184" t="s">
        <v>456</v>
      </c>
      <c r="H1457" s="1185">
        <v>800000000</v>
      </c>
      <c r="I1457" s="1180" t="s">
        <v>3998</v>
      </c>
      <c r="J1457" s="1186" t="str">
        <f>VLOOKUP($I1457,'Price List, Weapons &amp; Items'!B:C,2,0)</f>
        <v>Portable defence system</v>
      </c>
      <c r="K1457" s="1186" t="str">
        <f>IF(I1457=".",I1457,VLOOKUP($I1457,'Price List, Weapons &amp; Items'!B:D,3,0))</f>
        <v>Light Anti-armor Weapon (LAW)</v>
      </c>
      <c r="L1457" s="1187">
        <f>VLOOKUP(I1457,'Price List, Weapons &amp; Items'!B:E,4,0)</f>
        <v>0</v>
      </c>
      <c r="M1457" s="1188">
        <v>2000</v>
      </c>
      <c r="N1457" s="1188">
        <f>M1457</f>
        <v>2000</v>
      </c>
      <c r="O1457" s="1188">
        <f>VLOOKUP($I1457,'Price List, Weapons &amp; Items'!B:G,6,0)</f>
        <v>256000</v>
      </c>
      <c r="P1457" s="1185">
        <f t="shared" si="302"/>
        <v>512000000</v>
      </c>
      <c r="Q1457" s="1185">
        <f t="shared" si="303"/>
        <v>512000000</v>
      </c>
      <c r="R1457" s="1185" t="str">
        <f t="shared" si="299"/>
        <v/>
      </c>
      <c r="S1457" s="1185" t="str">
        <f>IF(AND(AD1457=1,R1457&lt;&gt;".")=TRUE,R1457/VLOOKUP(G1457,'Exchange Rates'!B:C,2,0),IF(R1457=".",".",""))</f>
        <v/>
      </c>
      <c r="T1457" s="1185" t="str">
        <f>IF(AD1457=1,IF(AF1457="Value is not given at all",".",IF(AF1457="Value is given by the source",S1457,IF(AF1457="Value is calculated with prices",(IF(SUMIFS(Q:Q,A:A,A1457)&gt;0,SUMIFS(Q:Q,A:A,A1457),"."))/VLOOKUP("USD",'Exchange Rates'!B:C,2,0),"Error with coding"))),"")</f>
        <v/>
      </c>
      <c r="U1457" s="1184" t="s">
        <v>365</v>
      </c>
      <c r="V1457" s="974" t="s">
        <v>3991</v>
      </c>
      <c r="W1457" s="973" t="s">
        <v>3955</v>
      </c>
      <c r="X1457" s="973" t="s">
        <v>3959</v>
      </c>
      <c r="Y1457" s="973" t="s">
        <v>3996</v>
      </c>
      <c r="Z1457" s="1184">
        <v>0</v>
      </c>
      <c r="AA1457" s="1194">
        <v>0</v>
      </c>
      <c r="AB1457" s="973" t="s">
        <v>3999</v>
      </c>
      <c r="AC1457" s="1192" t="str">
        <f>""</f>
        <v/>
      </c>
      <c r="AD1457" s="1193">
        <v>0</v>
      </c>
      <c r="AE1457" s="1302" t="s">
        <v>368</v>
      </c>
      <c r="AF1457" s="1193" t="s">
        <v>368</v>
      </c>
      <c r="AG1457" s="1193">
        <v>1</v>
      </c>
      <c r="AH1457" s="1193">
        <v>3</v>
      </c>
      <c r="AI1457" s="1193">
        <v>0</v>
      </c>
      <c r="AJ1457" s="1193">
        <f>VLOOKUP($I1457,'Price List, Weapons &amp; Items'!B:F,5,0)</f>
        <v>0</v>
      </c>
      <c r="AK1457" s="1193">
        <f t="shared" si="304"/>
        <v>0</v>
      </c>
      <c r="AL1457" s="1193">
        <f t="shared" si="305"/>
        <v>0</v>
      </c>
      <c r="AM1457" s="1193">
        <f t="shared" si="306"/>
        <v>0</v>
      </c>
      <c r="AN1457" s="1194" t="str">
        <f>VLOOKUP($I1457,'Price List, Weapons &amp; Items'!B:L,COLUMN('Price List, Weapons &amp; Items'!$J$11)-1,0)</f>
        <v>Government information</v>
      </c>
      <c r="AO1457" s="1194" t="str">
        <f>IF(I1457=".",".",VLOOKUP($I1457,'Price List, Weapons &amp; Items'!B:J,3,0))</f>
        <v>Light Anti-armor Weapon (LAW)</v>
      </c>
      <c r="AP1457" s="1195" t="str">
        <f t="shared" ca="1" si="300"/>
        <v/>
      </c>
      <c r="AQ1457" s="1194">
        <f>VLOOKUP($I1457,'Price List, Weapons &amp; Items'!B:L,COLUMN('Price List, Weapons &amp; Items'!$L$11)-1,0)</f>
        <v>2</v>
      </c>
      <c r="AR1457" s="1194">
        <f t="shared" si="307"/>
        <v>1</v>
      </c>
      <c r="AS1457" s="1194">
        <f t="shared" si="308"/>
        <v>1</v>
      </c>
      <c r="AT1457" s="1194">
        <f t="shared" si="309"/>
        <v>1</v>
      </c>
      <c r="AU1457" s="1194" t="str">
        <f t="shared" si="311"/>
        <v>1</v>
      </c>
      <c r="AV1457" s="1194" t="str">
        <f t="shared" si="301"/>
        <v>.</v>
      </c>
      <c r="AW1457" s="1194" t="str">
        <f t="shared" si="310"/>
        <v>.</v>
      </c>
      <c r="AX1457" s="1194">
        <f>IFERROR(VLOOKUP(B1457,'Share, Heavy Weapons to Ukraine'!B:Z,COLUMN('Share, Heavy Weapons to Ukraine'!C1469)-1,0),0)</f>
        <v>1</v>
      </c>
      <c r="AY1457" s="1194">
        <f>VLOOKUP('Bilateral Assistance, MAIN DATA'!B1457,'Country Summary (€)'!B:F,COLUMN('Country Summary (€)'!C1470)-1,FALSE)</f>
        <v>0</v>
      </c>
      <c r="AZ1457" s="1194" t="str">
        <f>IF(AND(AD1457=1,D1457="Military",H1457&lt;&gt;"Not given")=TRUE,IF(SUMIFS(P:P,A:A,A1457)&gt;0,ABS((SUMIFS(P:P,A:A,A1457)/VLOOKUP("USD",'Exchange Rates'!B:C,2,0)))/S1457,"."),".")</f>
        <v>.</v>
      </c>
      <c r="BA1457" s="1196" t="str">
        <f>IF(AND(AD1457=1,D1457="Military",H1457&lt;&gt;"Not given")=TRUE,IF(SUMIFS(P:P,A:A,A1457)&gt;0,IF((ABS((SUMIFS(P:P,A:A,A1457)/VLOOKUP("USD",'Exchange Rates'!B:C,2,0)))/S1457)&gt;1,(SUMIFS(P:P,A:A,A1457)-S1457)/S1457,(S1457-SUMIFS(P:P,A:A,A1457))/SUMIFS(P:P,A:A,A1457)),"."),".")</f>
        <v>.</v>
      </c>
    </row>
    <row r="1458" spans="1:53" ht="15.95" customHeight="1">
      <c r="A1458" s="1182" t="s">
        <v>3987</v>
      </c>
      <c r="B1458" s="1182" t="s">
        <v>3949</v>
      </c>
      <c r="C1458" s="1181">
        <v>44636</v>
      </c>
      <c r="D1458" s="1182" t="s">
        <v>389</v>
      </c>
      <c r="E1458" s="1182" t="s">
        <v>1676</v>
      </c>
      <c r="F1458" s="1183" t="s">
        <v>3995</v>
      </c>
      <c r="G1458" s="1184" t="s">
        <v>456</v>
      </c>
      <c r="H1458" s="1185">
        <v>800000000</v>
      </c>
      <c r="I1458" s="1180" t="s">
        <v>416</v>
      </c>
      <c r="J1458" s="1186" t="str">
        <f>VLOOKUP($I1458,'Price List, Weapons &amp; Items'!B:C,2,0)</f>
        <v>Portable defence system</v>
      </c>
      <c r="K1458" s="1186" t="str">
        <f>IF(I1458=".",I1458,VLOOKUP($I1458,'Price List, Weapons &amp; Items'!B:D,3,0))</f>
        <v>Light Anti-armor Weapon (LAW)</v>
      </c>
      <c r="L1458" s="1187">
        <f>VLOOKUP(I1458,'Price List, Weapons &amp; Items'!B:E,4,0)</f>
        <v>0</v>
      </c>
      <c r="M1458" s="1188">
        <v>1000</v>
      </c>
      <c r="N1458" s="1188">
        <f>M1458</f>
        <v>1000</v>
      </c>
      <c r="O1458" s="1188">
        <f>VLOOKUP($I1458,'Price List, Weapons &amp; Items'!B:G,6,0)</f>
        <v>1475</v>
      </c>
      <c r="P1458" s="1185">
        <f t="shared" si="302"/>
        <v>1475000</v>
      </c>
      <c r="Q1458" s="1185">
        <f t="shared" si="303"/>
        <v>1475000</v>
      </c>
      <c r="R1458" s="1185" t="str">
        <f t="shared" si="299"/>
        <v/>
      </c>
      <c r="S1458" s="1185" t="str">
        <f>IF(AND(AD1458=1,R1458&lt;&gt;".")=TRUE,R1458/VLOOKUP(G1458,'Exchange Rates'!B:C,2,0),IF(R1458=".",".",""))</f>
        <v/>
      </c>
      <c r="T1458" s="1185" t="str">
        <f>IF(AD1458=1,IF(AF1458="Value is not given at all",".",IF(AF1458="Value is given by the source",S1458,IF(AF1458="Value is calculated with prices",(IF(SUMIFS(Q:Q,A:A,A1458)&gt;0,SUMIFS(Q:Q,A:A,A1458),"."))/VLOOKUP("USD",'Exchange Rates'!B:C,2,0),"Error with coding"))),"")</f>
        <v/>
      </c>
      <c r="U1458" s="1184" t="s">
        <v>365</v>
      </c>
      <c r="V1458" s="974" t="s">
        <v>3991</v>
      </c>
      <c r="W1458" s="973" t="s">
        <v>3955</v>
      </c>
      <c r="X1458" s="973" t="s">
        <v>3959</v>
      </c>
      <c r="Y1458" s="973" t="s">
        <v>3999</v>
      </c>
      <c r="Z1458" s="1184">
        <v>0</v>
      </c>
      <c r="AA1458" s="1194">
        <v>0</v>
      </c>
      <c r="AB1458" s="973" t="s">
        <v>4000</v>
      </c>
      <c r="AC1458" s="1192" t="str">
        <f>""</f>
        <v/>
      </c>
      <c r="AD1458" s="1193">
        <v>0</v>
      </c>
      <c r="AE1458" s="1302" t="s">
        <v>368</v>
      </c>
      <c r="AF1458" s="1193" t="s">
        <v>368</v>
      </c>
      <c r="AG1458" s="1193">
        <v>1</v>
      </c>
      <c r="AH1458" s="1193">
        <v>3</v>
      </c>
      <c r="AI1458" s="1193">
        <v>0</v>
      </c>
      <c r="AJ1458" s="1193">
        <f>VLOOKUP($I1458,'Price List, Weapons &amp; Items'!B:F,5,0)</f>
        <v>0</v>
      </c>
      <c r="AK1458" s="1193">
        <f t="shared" si="304"/>
        <v>0</v>
      </c>
      <c r="AL1458" s="1193">
        <f t="shared" si="305"/>
        <v>0</v>
      </c>
      <c r="AM1458" s="1193">
        <f t="shared" si="306"/>
        <v>0</v>
      </c>
      <c r="AN1458" s="1194" t="str">
        <f>VLOOKUP($I1458,'Price List, Weapons &amp; Items'!B:L,COLUMN('Price List, Weapons &amp; Items'!$J$11)-1,0)</f>
        <v>Military media (incl. websites)</v>
      </c>
      <c r="AO1458" s="1194" t="str">
        <f>IF(I1458=".",".",VLOOKUP($I1458,'Price List, Weapons &amp; Items'!B:J,3,0))</f>
        <v>Light Anti-armor Weapon (LAW)</v>
      </c>
      <c r="AP1458" s="1195" t="str">
        <f t="shared" ca="1" si="300"/>
        <v/>
      </c>
      <c r="AQ1458" s="1194">
        <f>VLOOKUP($I1458,'Price List, Weapons &amp; Items'!B:L,COLUMN('Price List, Weapons &amp; Items'!$L$11)-1,0)</f>
        <v>1</v>
      </c>
      <c r="AR1458" s="1194">
        <f t="shared" si="307"/>
        <v>1</v>
      </c>
      <c r="AS1458" s="1194">
        <f t="shared" si="308"/>
        <v>1</v>
      </c>
      <c r="AT1458" s="1194">
        <f t="shared" si="309"/>
        <v>1</v>
      </c>
      <c r="AU1458" s="1194" t="str">
        <f t="shared" si="311"/>
        <v>1</v>
      </c>
      <c r="AV1458" s="1194" t="str">
        <f t="shared" si="301"/>
        <v>.</v>
      </c>
      <c r="AW1458" s="1194" t="str">
        <f t="shared" si="310"/>
        <v>.</v>
      </c>
      <c r="AX1458" s="1194">
        <f>IFERROR(VLOOKUP(B1458,'Share, Heavy Weapons to Ukraine'!B:Z,COLUMN('Share, Heavy Weapons to Ukraine'!C1470)-1,0),0)</f>
        <v>1</v>
      </c>
      <c r="AY1458" s="1194">
        <f>VLOOKUP('Bilateral Assistance, MAIN DATA'!B1458,'Country Summary (€)'!B:F,COLUMN('Country Summary (€)'!C1471)-1,FALSE)</f>
        <v>0</v>
      </c>
      <c r="AZ1458" s="1194" t="str">
        <f>IF(AND(AD1458=1,D1458="Military",H1458&lt;&gt;"Not given")=TRUE,IF(SUMIFS(P:P,A:A,A1458)&gt;0,ABS((SUMIFS(P:P,A:A,A1458)/VLOOKUP("USD",'Exchange Rates'!B:C,2,0)))/S1458,"."),".")</f>
        <v>.</v>
      </c>
      <c r="BA1458" s="1196" t="str">
        <f>IF(AND(AD1458=1,D1458="Military",H1458&lt;&gt;"Not given")=TRUE,IF(SUMIFS(P:P,A:A,A1458)&gt;0,IF((ABS((SUMIFS(P:P,A:A,A1458)/VLOOKUP("USD",'Exchange Rates'!B:C,2,0)))/S1458)&gt;1,(SUMIFS(P:P,A:A,A1458)-S1458)/S1458,(S1458-SUMIFS(P:P,A:A,A1458))/SUMIFS(P:P,A:A,A1458)),"."),".")</f>
        <v>.</v>
      </c>
    </row>
    <row r="1459" spans="1:53" ht="15.95" customHeight="1">
      <c r="A1459" s="1182" t="s">
        <v>3987</v>
      </c>
      <c r="B1459" s="1182" t="s">
        <v>3949</v>
      </c>
      <c r="C1459" s="1181">
        <v>44636</v>
      </c>
      <c r="D1459" s="1182" t="s">
        <v>389</v>
      </c>
      <c r="E1459" s="1182" t="s">
        <v>1676</v>
      </c>
      <c r="F1459" s="1183" t="s">
        <v>3995</v>
      </c>
      <c r="G1459" s="1184" t="s">
        <v>456</v>
      </c>
      <c r="H1459" s="1185">
        <v>800000000</v>
      </c>
      <c r="I1459" s="1180" t="s">
        <v>3584</v>
      </c>
      <c r="J1459" s="1186" t="str">
        <f>VLOOKUP($I1459,'Price List, Weapons &amp; Items'!B:C,2,0)</f>
        <v>Portable defence system</v>
      </c>
      <c r="K1459" s="1186" t="str">
        <f>IF(I1459=".",I1459,VLOOKUP($I1459,'Price List, Weapons &amp; Items'!B:D,3,0))</f>
        <v>MANPADS</v>
      </c>
      <c r="L1459" s="1187">
        <f>VLOOKUP(I1459,'Price List, Weapons &amp; Items'!B:E,4,0)</f>
        <v>0</v>
      </c>
      <c r="M1459" s="1188">
        <v>6000</v>
      </c>
      <c r="N1459" s="1188">
        <f>M1459</f>
        <v>6000</v>
      </c>
      <c r="O1459" s="1188">
        <f>VLOOKUP($I1459,'Price List, Weapons &amp; Items'!B:G,6,0)</f>
        <v>1480.64</v>
      </c>
      <c r="P1459" s="1185">
        <f t="shared" si="302"/>
        <v>8883840</v>
      </c>
      <c r="Q1459" s="1185">
        <f t="shared" si="303"/>
        <v>8883840</v>
      </c>
      <c r="R1459" s="1185" t="str">
        <f t="shared" si="299"/>
        <v/>
      </c>
      <c r="S1459" s="1185" t="str">
        <f>IF(AND(AD1459=1,R1459&lt;&gt;".")=TRUE,R1459/VLOOKUP(G1459,'Exchange Rates'!B:C,2,0),IF(R1459=".",".",""))</f>
        <v/>
      </c>
      <c r="T1459" s="1185" t="str">
        <f>IF(AD1459=1,IF(AF1459="Value is not given at all",".",IF(AF1459="Value is given by the source",S1459,IF(AF1459="Value is calculated with prices",(IF(SUMIFS(Q:Q,A:A,A1459)&gt;0,SUMIFS(Q:Q,A:A,A1459),"."))/VLOOKUP("USD",'Exchange Rates'!B:C,2,0),"Error with coding"))),"")</f>
        <v/>
      </c>
      <c r="U1459" s="1184" t="s">
        <v>365</v>
      </c>
      <c r="V1459" s="974" t="s">
        <v>3991</v>
      </c>
      <c r="W1459" s="973" t="s">
        <v>3955</v>
      </c>
      <c r="X1459" s="973" t="s">
        <v>3959</v>
      </c>
      <c r="Y1459" s="973" t="s">
        <v>4000</v>
      </c>
      <c r="Z1459" s="1184">
        <v>0</v>
      </c>
      <c r="AA1459" s="1194">
        <v>0</v>
      </c>
      <c r="AB1459" s="973" t="s">
        <v>4001</v>
      </c>
      <c r="AC1459" s="1192" t="str">
        <f>""</f>
        <v/>
      </c>
      <c r="AD1459" s="1193">
        <v>0</v>
      </c>
      <c r="AE1459" s="1302" t="s">
        <v>368</v>
      </c>
      <c r="AF1459" s="1193" t="s">
        <v>368</v>
      </c>
      <c r="AG1459" s="1193">
        <v>1</v>
      </c>
      <c r="AH1459" s="1193">
        <v>3</v>
      </c>
      <c r="AI1459" s="1193">
        <v>0</v>
      </c>
      <c r="AJ1459" s="1193">
        <f>VLOOKUP($I1459,'Price List, Weapons &amp; Items'!B:F,5,0)</f>
        <v>0</v>
      </c>
      <c r="AK1459" s="1193">
        <f t="shared" si="304"/>
        <v>0</v>
      </c>
      <c r="AL1459" s="1193">
        <f t="shared" si="305"/>
        <v>0</v>
      </c>
      <c r="AM1459" s="1193">
        <f t="shared" si="306"/>
        <v>0</v>
      </c>
      <c r="AN1459" s="1194" t="str">
        <f>VLOOKUP($I1459,'Price List, Weapons &amp; Items'!B:L,COLUMN('Price List, Weapons &amp; Items'!$J$11)-1,0)</f>
        <v>Military media (incl. websites)</v>
      </c>
      <c r="AO1459" s="1194" t="str">
        <f>IF(I1459=".",".",VLOOKUP($I1459,'Price List, Weapons &amp; Items'!B:J,3,0))</f>
        <v>MANPADS</v>
      </c>
      <c r="AP1459" s="1195" t="str">
        <f t="shared" ca="1" si="300"/>
        <v/>
      </c>
      <c r="AQ1459" s="1194">
        <f>VLOOKUP($I1459,'Price List, Weapons &amp; Items'!B:L,COLUMN('Price List, Weapons &amp; Items'!$L$11)-1,0)</f>
        <v>2</v>
      </c>
      <c r="AR1459" s="1194">
        <f t="shared" si="307"/>
        <v>1</v>
      </c>
      <c r="AS1459" s="1194">
        <f t="shared" si="308"/>
        <v>1</v>
      </c>
      <c r="AT1459" s="1194">
        <f t="shared" si="309"/>
        <v>1</v>
      </c>
      <c r="AU1459" s="1194" t="str">
        <f t="shared" si="311"/>
        <v>.</v>
      </c>
      <c r="AV1459" s="1194" t="str">
        <f t="shared" si="301"/>
        <v>.</v>
      </c>
      <c r="AW1459" s="1194" t="str">
        <f t="shared" si="310"/>
        <v>.</v>
      </c>
      <c r="AX1459" s="1194">
        <f>IFERROR(VLOOKUP(B1459,'Share, Heavy Weapons to Ukraine'!B:Z,COLUMN('Share, Heavy Weapons to Ukraine'!C1471)-1,0),0)</f>
        <v>1</v>
      </c>
      <c r="AY1459" s="1194">
        <f>VLOOKUP('Bilateral Assistance, MAIN DATA'!B1459,'Country Summary (€)'!B:F,COLUMN('Country Summary (€)'!C1472)-1,FALSE)</f>
        <v>0</v>
      </c>
      <c r="AZ1459" s="1194" t="str">
        <f>IF(AND(AD1459=1,D1459="Military",H1459&lt;&gt;"Not given")=TRUE,IF(SUMIFS(P:P,A:A,A1459)&gt;0,ABS((SUMIFS(P:P,A:A,A1459)/VLOOKUP("USD",'Exchange Rates'!B:C,2,0)))/S1459,"."),".")</f>
        <v>.</v>
      </c>
      <c r="BA1459" s="1196" t="str">
        <f>IF(AND(AD1459=1,D1459="Military",H1459&lt;&gt;"Not given")=TRUE,IF(SUMIFS(P:P,A:A,A1459)&gt;0,IF((ABS((SUMIFS(P:P,A:A,A1459)/VLOOKUP("USD",'Exchange Rates'!B:C,2,0)))/S1459)&gt;1,(SUMIFS(P:P,A:A,A1459)-S1459)/S1459,(S1459-SUMIFS(P:P,A:A,A1459))/SUMIFS(P:P,A:A,A1459)),"."),".")</f>
        <v>.</v>
      </c>
    </row>
    <row r="1460" spans="1:53" ht="15.95" customHeight="1">
      <c r="A1460" s="1182" t="s">
        <v>3987</v>
      </c>
      <c r="B1460" s="1182" t="s">
        <v>3949</v>
      </c>
      <c r="C1460" s="1181">
        <v>44636</v>
      </c>
      <c r="D1460" s="1182" t="s">
        <v>389</v>
      </c>
      <c r="E1460" s="1182" t="s">
        <v>1676</v>
      </c>
      <c r="F1460" s="1183" t="s">
        <v>3995</v>
      </c>
      <c r="G1460" s="1184" t="s">
        <v>456</v>
      </c>
      <c r="H1460" s="1185">
        <v>800000000</v>
      </c>
      <c r="I1460" s="1180" t="s">
        <v>4002</v>
      </c>
      <c r="J1460" s="1186" t="str">
        <f>VLOOKUP($I1460,'Price List, Weapons &amp; Items'!B:C,2,0)</f>
        <v>Aviation and drones</v>
      </c>
      <c r="K1460" s="1186" t="str">
        <f>IF(I1460=".",I1460,VLOOKUP($I1460,'Price List, Weapons &amp; Items'!B:D,3,0))</f>
        <v>Drone</v>
      </c>
      <c r="L1460" s="1187">
        <f>VLOOKUP(I1460,'Price List, Weapons &amp; Items'!B:E,4,0)</f>
        <v>0</v>
      </c>
      <c r="M1460" s="1188">
        <v>100</v>
      </c>
      <c r="N1460" s="1188">
        <v>100</v>
      </c>
      <c r="O1460" s="1188">
        <f>VLOOKUP($I1460,'Price List, Weapons &amp; Items'!B:G,6,0)</f>
        <v>6000</v>
      </c>
      <c r="P1460" s="1185">
        <f t="shared" si="302"/>
        <v>600000</v>
      </c>
      <c r="Q1460" s="1185">
        <f t="shared" si="303"/>
        <v>600000</v>
      </c>
      <c r="R1460" s="1185" t="str">
        <f t="shared" si="299"/>
        <v/>
      </c>
      <c r="S1460" s="1185" t="str">
        <f>IF(AND(AD1460=1,R1460&lt;&gt;".")=TRUE,R1460/VLOOKUP(G1460,'Exchange Rates'!B:C,2,0),IF(R1460=".",".",""))</f>
        <v/>
      </c>
      <c r="T1460" s="1185" t="str">
        <f>IF(AD1460=1,IF(AF1460="Value is not given at all",".",IF(AF1460="Value is given by the source",S1460,IF(AF1460="Value is calculated with prices",(IF(SUMIFS(Q:Q,A:A,A1460)&gt;0,SUMIFS(Q:Q,A:A,A1460),"."))/VLOOKUP("USD",'Exchange Rates'!B:C,2,0),"Error with coding"))),"")</f>
        <v/>
      </c>
      <c r="U1460" s="1184" t="s">
        <v>365</v>
      </c>
      <c r="V1460" s="974" t="s">
        <v>3991</v>
      </c>
      <c r="W1460" s="973" t="s">
        <v>3955</v>
      </c>
      <c r="X1460" s="973" t="s">
        <v>3959</v>
      </c>
      <c r="Y1460" s="973" t="s">
        <v>4001</v>
      </c>
      <c r="Z1460" s="1184">
        <v>0</v>
      </c>
      <c r="AA1460" s="1194">
        <v>0</v>
      </c>
      <c r="AB1460" s="973" t="s">
        <v>4003</v>
      </c>
      <c r="AC1460" s="1192" t="str">
        <f>""</f>
        <v/>
      </c>
      <c r="AD1460" s="1193">
        <v>0</v>
      </c>
      <c r="AE1460" s="1302" t="s">
        <v>368</v>
      </c>
      <c r="AF1460" s="1193" t="s">
        <v>368</v>
      </c>
      <c r="AG1460" s="1193">
        <v>1</v>
      </c>
      <c r="AH1460" s="1193">
        <v>3</v>
      </c>
      <c r="AI1460" s="1193">
        <v>0</v>
      </c>
      <c r="AJ1460" s="1193">
        <f>VLOOKUP($I1460,'Price List, Weapons &amp; Items'!B:F,5,0)</f>
        <v>0</v>
      </c>
      <c r="AK1460" s="1193">
        <f t="shared" si="304"/>
        <v>0</v>
      </c>
      <c r="AL1460" s="1193">
        <f t="shared" si="305"/>
        <v>0</v>
      </c>
      <c r="AM1460" s="1193">
        <f t="shared" si="306"/>
        <v>0</v>
      </c>
      <c r="AN1460" s="1194" t="str">
        <f>VLOOKUP($I1460,'Price List, Weapons &amp; Items'!B:L,COLUMN('Price List, Weapons &amp; Items'!$J$11)-1,0)</f>
        <v>Miscellaneous</v>
      </c>
      <c r="AO1460" s="1194" t="str">
        <f>IF(I1460=".",".",VLOOKUP($I1460,'Price List, Weapons &amp; Items'!B:J,3,0))</f>
        <v>Drone</v>
      </c>
      <c r="AP1460" s="1195" t="str">
        <f t="shared" ca="1" si="300"/>
        <v/>
      </c>
      <c r="AQ1460" s="1194">
        <f>VLOOKUP($I1460,'Price List, Weapons &amp; Items'!B:L,COLUMN('Price List, Weapons &amp; Items'!$L$11)-1,0)</f>
        <v>1</v>
      </c>
      <c r="AR1460" s="1194">
        <f t="shared" si="307"/>
        <v>1</v>
      </c>
      <c r="AS1460" s="1194">
        <f t="shared" si="308"/>
        <v>1</v>
      </c>
      <c r="AT1460" s="1194">
        <f t="shared" si="309"/>
        <v>1</v>
      </c>
      <c r="AU1460" s="1194" t="str">
        <f t="shared" si="311"/>
        <v>.</v>
      </c>
      <c r="AV1460" s="1194" t="str">
        <f t="shared" si="301"/>
        <v>.</v>
      </c>
      <c r="AW1460" s="1194" t="str">
        <f t="shared" si="310"/>
        <v>.</v>
      </c>
      <c r="AX1460" s="1194">
        <f>IFERROR(VLOOKUP(B1460,'Share, Heavy Weapons to Ukraine'!B:Z,COLUMN('Share, Heavy Weapons to Ukraine'!C1472)-1,0),0)</f>
        <v>1</v>
      </c>
      <c r="AY1460" s="1194">
        <f>VLOOKUP('Bilateral Assistance, MAIN DATA'!B1460,'Country Summary (€)'!B:F,COLUMN('Country Summary (€)'!C1473)-1,FALSE)</f>
        <v>0</v>
      </c>
      <c r="AZ1460" s="1194" t="str">
        <f>IF(AND(AD1460=1,D1460="Military",H1460&lt;&gt;"Not given")=TRUE,IF(SUMIFS(P:P,A:A,A1460)&gt;0,ABS((SUMIFS(P:P,A:A,A1460)/VLOOKUP("USD",'Exchange Rates'!B:C,2,0)))/S1460,"."),".")</f>
        <v>.</v>
      </c>
      <c r="BA1460" s="1196" t="str">
        <f>IF(AND(AD1460=1,D1460="Military",H1460&lt;&gt;"Not given")=TRUE,IF(SUMIFS(P:P,A:A,A1460)&gt;0,IF((ABS((SUMIFS(P:P,A:A,A1460)/VLOOKUP("USD",'Exchange Rates'!B:C,2,0)))/S1460)&gt;1,(SUMIFS(P:P,A:A,A1460)-S1460)/S1460,(S1460-SUMIFS(P:P,A:A,A1460))/SUMIFS(P:P,A:A,A1460)),"."),".")</f>
        <v>.</v>
      </c>
    </row>
    <row r="1461" spans="1:53" ht="15.95" customHeight="1">
      <c r="A1461" s="1182" t="s">
        <v>3987</v>
      </c>
      <c r="B1461" s="1182" t="s">
        <v>3949</v>
      </c>
      <c r="C1461" s="1181">
        <v>44636</v>
      </c>
      <c r="D1461" s="1182" t="s">
        <v>389</v>
      </c>
      <c r="E1461" s="1182" t="s">
        <v>1676</v>
      </c>
      <c r="F1461" s="1183" t="s">
        <v>3995</v>
      </c>
      <c r="G1461" s="1184" t="s">
        <v>456</v>
      </c>
      <c r="H1461" s="1185">
        <v>800000000</v>
      </c>
      <c r="I1461" s="1180" t="s">
        <v>4004</v>
      </c>
      <c r="J1461" s="1186" t="str">
        <f>VLOOKUP($I1461,'Price List, Weapons &amp; Items'!B:C,2,0)</f>
        <v>Portable defence system</v>
      </c>
      <c r="K1461" s="1186" t="str">
        <f>IF(I1461=".",I1461,VLOOKUP($I1461,'Price List, Weapons &amp; Items'!B:D,3,0))</f>
        <v>Under-barrel grenade launcher</v>
      </c>
      <c r="L1461" s="1187">
        <f>VLOOKUP(I1461,'Price List, Weapons &amp; Items'!B:E,4,0)</f>
        <v>0</v>
      </c>
      <c r="M1461" s="1188">
        <v>100</v>
      </c>
      <c r="N1461" s="1188">
        <f t="shared" ref="N1461:N1468" si="312">M1461</f>
        <v>100</v>
      </c>
      <c r="O1461" s="1188">
        <f>VLOOKUP($I1461,'Price List, Weapons &amp; Items'!B:G,6,0)</f>
        <v>2291</v>
      </c>
      <c r="P1461" s="1185">
        <f t="shared" si="302"/>
        <v>229100</v>
      </c>
      <c r="Q1461" s="1185">
        <f t="shared" si="303"/>
        <v>229100</v>
      </c>
      <c r="R1461" s="1185" t="str">
        <f t="shared" si="299"/>
        <v/>
      </c>
      <c r="S1461" s="1185" t="str">
        <f>IF(AND(AD1461=1,R1461&lt;&gt;".")=TRUE,R1461/VLOOKUP(G1461,'Exchange Rates'!B:C,2,0),IF(R1461=".",".",""))</f>
        <v/>
      </c>
      <c r="T1461" s="1185" t="str">
        <f>IF(AD1461=1,IF(AF1461="Value is not given at all",".",IF(AF1461="Value is given by the source",S1461,IF(AF1461="Value is calculated with prices",(IF(SUMIFS(Q:Q,A:A,A1461)&gt;0,SUMIFS(Q:Q,A:A,A1461),"."))/VLOOKUP("USD",'Exchange Rates'!B:C,2,0),"Error with coding"))),"")</f>
        <v/>
      </c>
      <c r="U1461" s="1184" t="s">
        <v>365</v>
      </c>
      <c r="V1461" s="974" t="s">
        <v>3991</v>
      </c>
      <c r="W1461" s="973" t="s">
        <v>3955</v>
      </c>
      <c r="X1461" s="973" t="s">
        <v>3959</v>
      </c>
      <c r="Y1461" s="973" t="s">
        <v>4003</v>
      </c>
      <c r="Z1461" s="1184">
        <v>0</v>
      </c>
      <c r="AA1461" s="1194">
        <v>0</v>
      </c>
      <c r="AB1461" s="973" t="s">
        <v>4005</v>
      </c>
      <c r="AC1461" s="1192" t="str">
        <f>""</f>
        <v/>
      </c>
      <c r="AD1461" s="1193">
        <v>0</v>
      </c>
      <c r="AE1461" s="1302" t="s">
        <v>368</v>
      </c>
      <c r="AF1461" s="1193" t="s">
        <v>368</v>
      </c>
      <c r="AG1461" s="1193">
        <v>1</v>
      </c>
      <c r="AH1461" s="1193">
        <v>3</v>
      </c>
      <c r="AI1461" s="1193">
        <v>0</v>
      </c>
      <c r="AJ1461" s="1193">
        <f>VLOOKUP($I1461,'Price List, Weapons &amp; Items'!B:F,5,0)</f>
        <v>0</v>
      </c>
      <c r="AK1461" s="1193">
        <f t="shared" si="304"/>
        <v>0</v>
      </c>
      <c r="AL1461" s="1193">
        <f t="shared" si="305"/>
        <v>0</v>
      </c>
      <c r="AM1461" s="1193">
        <f t="shared" si="306"/>
        <v>0</v>
      </c>
      <c r="AN1461" s="1194" t="str">
        <f>VLOOKUP($I1461,'Price List, Weapons &amp; Items'!B:L,COLUMN('Price List, Weapons &amp; Items'!$J$11)-1,0)</f>
        <v>Miscellaneous</v>
      </c>
      <c r="AO1461" s="1194" t="str">
        <f>IF(I1461=".",".",VLOOKUP($I1461,'Price List, Weapons &amp; Items'!B:J,3,0))</f>
        <v>Under-barrel grenade launcher</v>
      </c>
      <c r="AP1461" s="1195" t="str">
        <f t="shared" ca="1" si="300"/>
        <v/>
      </c>
      <c r="AQ1461" s="1194">
        <f>VLOOKUP($I1461,'Price List, Weapons &amp; Items'!B:L,COLUMN('Price List, Weapons &amp; Items'!$L$11)-1,0)</f>
        <v>2</v>
      </c>
      <c r="AR1461" s="1194">
        <f t="shared" si="307"/>
        <v>1</v>
      </c>
      <c r="AS1461" s="1194">
        <f t="shared" si="308"/>
        <v>1</v>
      </c>
      <c r="AT1461" s="1194">
        <f t="shared" si="309"/>
        <v>1</v>
      </c>
      <c r="AU1461" s="1194" t="str">
        <f t="shared" si="311"/>
        <v>.</v>
      </c>
      <c r="AV1461" s="1194" t="str">
        <f t="shared" si="301"/>
        <v>.</v>
      </c>
      <c r="AW1461" s="1194" t="str">
        <f t="shared" si="310"/>
        <v>.</v>
      </c>
      <c r="AX1461" s="1194">
        <f>IFERROR(VLOOKUP(B1461,'Share, Heavy Weapons to Ukraine'!B:Z,COLUMN('Share, Heavy Weapons to Ukraine'!C1473)-1,0),0)</f>
        <v>1</v>
      </c>
      <c r="AY1461" s="1194">
        <f>VLOOKUP('Bilateral Assistance, MAIN DATA'!B1461,'Country Summary (€)'!B:F,COLUMN('Country Summary (€)'!C1474)-1,FALSE)</f>
        <v>0</v>
      </c>
      <c r="AZ1461" s="1194" t="str">
        <f>IF(AND(AD1461=1,D1461="Military",H1461&lt;&gt;"Not given")=TRUE,IF(SUMIFS(P:P,A:A,A1461)&gt;0,ABS((SUMIFS(P:P,A:A,A1461)/VLOOKUP("USD",'Exchange Rates'!B:C,2,0)))/S1461,"."),".")</f>
        <v>.</v>
      </c>
      <c r="BA1461" s="1196" t="str">
        <f>IF(AND(AD1461=1,D1461="Military",H1461&lt;&gt;"Not given")=TRUE,IF(SUMIFS(P:P,A:A,A1461)&gt;0,IF((ABS((SUMIFS(P:P,A:A,A1461)/VLOOKUP("USD",'Exchange Rates'!B:C,2,0)))/S1461)&gt;1,(SUMIFS(P:P,A:A,A1461)-S1461)/S1461,(S1461-SUMIFS(P:P,A:A,A1461))/SUMIFS(P:P,A:A,A1461)),"."),".")</f>
        <v>.</v>
      </c>
    </row>
    <row r="1462" spans="1:53" ht="15.95" customHeight="1">
      <c r="A1462" s="1182" t="s">
        <v>3987</v>
      </c>
      <c r="B1462" s="1182" t="s">
        <v>3949</v>
      </c>
      <c r="C1462" s="1181">
        <v>44636</v>
      </c>
      <c r="D1462" s="1182" t="s">
        <v>389</v>
      </c>
      <c r="E1462" s="1182" t="s">
        <v>1676</v>
      </c>
      <c r="F1462" s="1183" t="s">
        <v>3995</v>
      </c>
      <c r="G1462" s="1184" t="s">
        <v>456</v>
      </c>
      <c r="H1462" s="1185">
        <v>800000000</v>
      </c>
      <c r="I1462" s="1180" t="s">
        <v>4006</v>
      </c>
      <c r="J1462" s="1186" t="str">
        <f>VLOOKUP($I1462,'Price List, Weapons &amp; Items'!B:C,2,0)</f>
        <v>Light armaments &amp; infantry</v>
      </c>
      <c r="K1462" s="1186" t="str">
        <f>IF(I1462=".",I1462,VLOOKUP($I1462,'Price List, Weapons &amp; Items'!B:D,3,0))</f>
        <v>Small Arms and Light Weapons (SALW)</v>
      </c>
      <c r="L1462" s="1187">
        <f>VLOOKUP(I1462,'Price List, Weapons &amp; Items'!B:E,4,0)</f>
        <v>0</v>
      </c>
      <c r="M1462" s="1188">
        <v>5000</v>
      </c>
      <c r="N1462" s="1188">
        <f t="shared" si="312"/>
        <v>5000</v>
      </c>
      <c r="O1462" s="1188">
        <f>VLOOKUP($I1462,'Price List, Weapons &amp; Items'!B:G,6,0)</f>
        <v>800</v>
      </c>
      <c r="P1462" s="1185">
        <f t="shared" si="302"/>
        <v>4000000</v>
      </c>
      <c r="Q1462" s="1185">
        <f t="shared" si="303"/>
        <v>4000000</v>
      </c>
      <c r="R1462" s="1185" t="str">
        <f t="shared" si="299"/>
        <v/>
      </c>
      <c r="S1462" s="1185" t="str">
        <f>IF(AND(AD1462=1,R1462&lt;&gt;".")=TRUE,R1462/VLOOKUP(G1462,'Exchange Rates'!B:C,2,0),IF(R1462=".",".",""))</f>
        <v/>
      </c>
      <c r="T1462" s="1185" t="str">
        <f>IF(AD1462=1,IF(AF1462="Value is not given at all",".",IF(AF1462="Value is given by the source",S1462,IF(AF1462="Value is calculated with prices",(IF(SUMIFS(Q:Q,A:A,A1462)&gt;0,SUMIFS(Q:Q,A:A,A1462),"."))/VLOOKUP("USD",'Exchange Rates'!B:C,2,0),"Error with coding"))),"")</f>
        <v/>
      </c>
      <c r="U1462" s="1184" t="s">
        <v>365</v>
      </c>
      <c r="V1462" s="974" t="s">
        <v>3991</v>
      </c>
      <c r="W1462" s="973" t="s">
        <v>3955</v>
      </c>
      <c r="X1462" s="973" t="s">
        <v>3959</v>
      </c>
      <c r="Y1462" s="973" t="s">
        <v>4005</v>
      </c>
      <c r="Z1462" s="1184">
        <v>0</v>
      </c>
      <c r="AA1462" s="1194">
        <v>0</v>
      </c>
      <c r="AB1462" s="973" t="s">
        <v>4007</v>
      </c>
      <c r="AC1462" s="1192" t="str">
        <f>""</f>
        <v/>
      </c>
      <c r="AD1462" s="1193">
        <v>0</v>
      </c>
      <c r="AE1462" s="1302" t="s">
        <v>368</v>
      </c>
      <c r="AF1462" s="1193" t="s">
        <v>368</v>
      </c>
      <c r="AG1462" s="1193">
        <v>1</v>
      </c>
      <c r="AH1462" s="1193">
        <v>3</v>
      </c>
      <c r="AI1462" s="1193">
        <v>0</v>
      </c>
      <c r="AJ1462" s="1193">
        <f>VLOOKUP($I1462,'Price List, Weapons &amp; Items'!B:F,5,0)</f>
        <v>0</v>
      </c>
      <c r="AK1462" s="1193">
        <f t="shared" si="304"/>
        <v>0</v>
      </c>
      <c r="AL1462" s="1193">
        <f t="shared" si="305"/>
        <v>0</v>
      </c>
      <c r="AM1462" s="1193">
        <f t="shared" si="306"/>
        <v>0</v>
      </c>
      <c r="AN1462" s="1194" t="str">
        <f>VLOOKUP($I1462,'Price List, Weapons &amp; Items'!B:L,COLUMN('Price List, Weapons &amp; Items'!$J$11)-1,0)</f>
        <v>Military media (incl. websites)</v>
      </c>
      <c r="AO1462" s="1194" t="str">
        <f>IF(I1462=".",".",VLOOKUP($I1462,'Price List, Weapons &amp; Items'!B:J,3,0))</f>
        <v>Small Arms and Light Weapons (SALW)</v>
      </c>
      <c r="AP1462" s="1195" t="str">
        <f t="shared" ca="1" si="300"/>
        <v/>
      </c>
      <c r="AQ1462" s="1194">
        <f>VLOOKUP($I1462,'Price List, Weapons &amp; Items'!B:L,COLUMN('Price List, Weapons &amp; Items'!$L$11)-1,0)</f>
        <v>2</v>
      </c>
      <c r="AR1462" s="1194">
        <f t="shared" si="307"/>
        <v>1</v>
      </c>
      <c r="AS1462" s="1194">
        <f t="shared" si="308"/>
        <v>1</v>
      </c>
      <c r="AT1462" s="1194">
        <f t="shared" si="309"/>
        <v>1</v>
      </c>
      <c r="AU1462" s="1194" t="str">
        <f t="shared" si="311"/>
        <v>.</v>
      </c>
      <c r="AV1462" s="1194" t="str">
        <f t="shared" si="301"/>
        <v>.</v>
      </c>
      <c r="AW1462" s="1194" t="str">
        <f t="shared" si="310"/>
        <v>.</v>
      </c>
      <c r="AX1462" s="1194">
        <f>IFERROR(VLOOKUP(B1462,'Share, Heavy Weapons to Ukraine'!B:Z,COLUMN('Share, Heavy Weapons to Ukraine'!C1474)-1,0),0)</f>
        <v>1</v>
      </c>
      <c r="AY1462" s="1194">
        <f>VLOOKUP('Bilateral Assistance, MAIN DATA'!B1462,'Country Summary (€)'!B:F,COLUMN('Country Summary (€)'!C1475)-1,FALSE)</f>
        <v>0</v>
      </c>
      <c r="AZ1462" s="1194" t="str">
        <f>IF(AND(AD1462=1,D1462="Military",H1462&lt;&gt;"Not given")=TRUE,IF(SUMIFS(P:P,A:A,A1462)&gt;0,ABS((SUMIFS(P:P,A:A,A1462)/VLOOKUP("USD",'Exchange Rates'!B:C,2,0)))/S1462,"."),".")</f>
        <v>.</v>
      </c>
      <c r="BA1462" s="1196" t="str">
        <f>IF(AND(AD1462=1,D1462="Military",H1462&lt;&gt;"Not given")=TRUE,IF(SUMIFS(P:P,A:A,A1462)&gt;0,IF((ABS((SUMIFS(P:P,A:A,A1462)/VLOOKUP("USD",'Exchange Rates'!B:C,2,0)))/S1462)&gt;1,(SUMIFS(P:P,A:A,A1462)-S1462)/S1462,(S1462-SUMIFS(P:P,A:A,A1462))/SUMIFS(P:P,A:A,A1462)),"."),".")</f>
        <v>.</v>
      </c>
    </row>
    <row r="1463" spans="1:53" ht="15.95" customHeight="1">
      <c r="A1463" s="1182" t="s">
        <v>3987</v>
      </c>
      <c r="B1463" s="1182" t="s">
        <v>3949</v>
      </c>
      <c r="C1463" s="1181">
        <v>44636</v>
      </c>
      <c r="D1463" s="1182" t="s">
        <v>389</v>
      </c>
      <c r="E1463" s="1182" t="s">
        <v>1676</v>
      </c>
      <c r="F1463" s="1183" t="s">
        <v>3995</v>
      </c>
      <c r="G1463" s="1184" t="s">
        <v>456</v>
      </c>
      <c r="H1463" s="1185">
        <v>800000000</v>
      </c>
      <c r="I1463" s="1180" t="s">
        <v>4008</v>
      </c>
      <c r="J1463" s="1186" t="str">
        <f>VLOOKUP($I1463,'Price List, Weapons &amp; Items'!B:C,2,0)</f>
        <v>Light armaments &amp; infantry</v>
      </c>
      <c r="K1463" s="1186" t="str">
        <f>IF(I1463=".",I1463,VLOOKUP($I1463,'Price List, Weapons &amp; Items'!B:D,3,0))</f>
        <v>Small Arms and Light Weapons (SALW)</v>
      </c>
      <c r="L1463" s="1187">
        <f>VLOOKUP(I1463,'Price List, Weapons &amp; Items'!B:E,4,0)</f>
        <v>0</v>
      </c>
      <c r="M1463" s="1188">
        <v>1000</v>
      </c>
      <c r="N1463" s="1188">
        <f t="shared" si="312"/>
        <v>1000</v>
      </c>
      <c r="O1463" s="1188">
        <f>VLOOKUP($I1463,'Price List, Weapons &amp; Items'!B:G,6,0)</f>
        <v>1071.6400000000001</v>
      </c>
      <c r="P1463" s="1185">
        <f t="shared" si="302"/>
        <v>1071640</v>
      </c>
      <c r="Q1463" s="1185">
        <f t="shared" si="303"/>
        <v>1071640</v>
      </c>
      <c r="R1463" s="1185" t="str">
        <f t="shared" si="299"/>
        <v/>
      </c>
      <c r="S1463" s="1185" t="str">
        <f>IF(AND(AD1463=1,R1463&lt;&gt;".")=TRUE,R1463/VLOOKUP(G1463,'Exchange Rates'!B:C,2,0),IF(R1463=".",".",""))</f>
        <v/>
      </c>
      <c r="T1463" s="1185" t="str">
        <f>IF(AD1463=1,IF(AF1463="Value is not given at all",".",IF(AF1463="Value is given by the source",S1463,IF(AF1463="Value is calculated with prices",(IF(SUMIFS(Q:Q,A:A,A1463)&gt;0,SUMIFS(Q:Q,A:A,A1463),"."))/VLOOKUP("USD",'Exchange Rates'!B:C,2,0),"Error with coding"))),"")</f>
        <v/>
      </c>
      <c r="U1463" s="1184" t="s">
        <v>365</v>
      </c>
      <c r="V1463" s="974" t="s">
        <v>3991</v>
      </c>
      <c r="W1463" s="973" t="s">
        <v>3955</v>
      </c>
      <c r="X1463" s="973" t="s">
        <v>3959</v>
      </c>
      <c r="Y1463" s="973" t="s">
        <v>4007</v>
      </c>
      <c r="Z1463" s="1184">
        <v>0</v>
      </c>
      <c r="AA1463" s="1194">
        <v>0</v>
      </c>
      <c r="AB1463" s="973" t="s">
        <v>4009</v>
      </c>
      <c r="AC1463" s="1192" t="str">
        <f>""</f>
        <v/>
      </c>
      <c r="AD1463" s="1193">
        <v>0</v>
      </c>
      <c r="AE1463" s="1302" t="s">
        <v>368</v>
      </c>
      <c r="AF1463" s="1193" t="s">
        <v>368</v>
      </c>
      <c r="AG1463" s="1193">
        <v>1</v>
      </c>
      <c r="AH1463" s="1193">
        <v>3</v>
      </c>
      <c r="AI1463" s="1193">
        <v>0</v>
      </c>
      <c r="AJ1463" s="1193">
        <f>VLOOKUP($I1463,'Price List, Weapons &amp; Items'!B:F,5,0)</f>
        <v>0</v>
      </c>
      <c r="AK1463" s="1193">
        <f t="shared" si="304"/>
        <v>0</v>
      </c>
      <c r="AL1463" s="1193">
        <f t="shared" si="305"/>
        <v>0</v>
      </c>
      <c r="AM1463" s="1193">
        <f t="shared" si="306"/>
        <v>0</v>
      </c>
      <c r="AN1463" s="1194" t="str">
        <f>VLOOKUP($I1463,'Price List, Weapons &amp; Items'!B:L,COLUMN('Price List, Weapons &amp; Items'!$J$11)-1,0)</f>
        <v>Online marketplaces and stores</v>
      </c>
      <c r="AO1463" s="1194" t="str">
        <f>IF(I1463=".",".",VLOOKUP($I1463,'Price List, Weapons &amp; Items'!B:J,3,0))</f>
        <v>Small Arms and Light Weapons (SALW)</v>
      </c>
      <c r="AP1463" s="1195" t="str">
        <f t="shared" ca="1" si="300"/>
        <v/>
      </c>
      <c r="AQ1463" s="1194">
        <f>VLOOKUP($I1463,'Price List, Weapons &amp; Items'!B:L,COLUMN('Price List, Weapons &amp; Items'!$L$11)-1,0)</f>
        <v>1</v>
      </c>
      <c r="AR1463" s="1194">
        <f t="shared" si="307"/>
        <v>1</v>
      </c>
      <c r="AS1463" s="1194">
        <f t="shared" si="308"/>
        <v>1</v>
      </c>
      <c r="AT1463" s="1194">
        <f t="shared" si="309"/>
        <v>1</v>
      </c>
      <c r="AU1463" s="1194" t="str">
        <f t="shared" si="311"/>
        <v>.</v>
      </c>
      <c r="AV1463" s="1194" t="str">
        <f t="shared" si="301"/>
        <v>.</v>
      </c>
      <c r="AW1463" s="1194" t="str">
        <f t="shared" si="310"/>
        <v>.</v>
      </c>
      <c r="AX1463" s="1194">
        <f>IFERROR(VLOOKUP(B1463,'Share, Heavy Weapons to Ukraine'!B:Z,COLUMN('Share, Heavy Weapons to Ukraine'!C1475)-1,0),0)</f>
        <v>1</v>
      </c>
      <c r="AY1463" s="1194">
        <f>VLOOKUP('Bilateral Assistance, MAIN DATA'!B1463,'Country Summary (€)'!B:F,COLUMN('Country Summary (€)'!C1476)-1,FALSE)</f>
        <v>0</v>
      </c>
      <c r="AZ1463" s="1194" t="str">
        <f>IF(AND(AD1463=1,D1463="Military",H1463&lt;&gt;"Not given")=TRUE,IF(SUMIFS(P:P,A:A,A1463)&gt;0,ABS((SUMIFS(P:P,A:A,A1463)/VLOOKUP("USD",'Exchange Rates'!B:C,2,0)))/S1463,"."),".")</f>
        <v>.</v>
      </c>
      <c r="BA1463" s="1196" t="str">
        <f>IF(AND(AD1463=1,D1463="Military",H1463&lt;&gt;"Not given")=TRUE,IF(SUMIFS(P:P,A:A,A1463)&gt;0,IF((ABS((SUMIFS(P:P,A:A,A1463)/VLOOKUP("USD",'Exchange Rates'!B:C,2,0)))/S1463)&gt;1,(SUMIFS(P:P,A:A,A1463)-S1463)/S1463,(S1463-SUMIFS(P:P,A:A,A1463))/SUMIFS(P:P,A:A,A1463)),"."),".")</f>
        <v>.</v>
      </c>
    </row>
    <row r="1464" spans="1:53" ht="15.95" customHeight="1">
      <c r="A1464" s="1182" t="s">
        <v>3987</v>
      </c>
      <c r="B1464" s="1182" t="s">
        <v>3949</v>
      </c>
      <c r="C1464" s="1181">
        <v>44636</v>
      </c>
      <c r="D1464" s="1182" t="s">
        <v>389</v>
      </c>
      <c r="E1464" s="1182" t="s">
        <v>1676</v>
      </c>
      <c r="F1464" s="1183" t="s">
        <v>3995</v>
      </c>
      <c r="G1464" s="1184" t="s">
        <v>456</v>
      </c>
      <c r="H1464" s="1185">
        <v>800000000</v>
      </c>
      <c r="I1464" s="1180" t="s">
        <v>610</v>
      </c>
      <c r="J1464" s="1186" t="str">
        <f>VLOOKUP($I1464,'Price List, Weapons &amp; Items'!B:C,2,0)</f>
        <v>Light armaments &amp; infantry</v>
      </c>
      <c r="K1464" s="1186" t="str">
        <f>IF(I1464=".",I1464,VLOOKUP($I1464,'Price List, Weapons &amp; Items'!B:D,3,0))</f>
        <v>Small Arms and Light Weapons (SALW)</v>
      </c>
      <c r="L1464" s="1187">
        <f>VLOOKUP(I1464,'Price List, Weapons &amp; Items'!B:E,4,0)</f>
        <v>0</v>
      </c>
      <c r="M1464" s="1188">
        <v>400</v>
      </c>
      <c r="N1464" s="1188">
        <f t="shared" si="312"/>
        <v>400</v>
      </c>
      <c r="O1464" s="1188">
        <f>VLOOKUP($I1464,'Price List, Weapons &amp; Items'!B:G,6,0)</f>
        <v>5300</v>
      </c>
      <c r="P1464" s="1185">
        <f t="shared" si="302"/>
        <v>2120000</v>
      </c>
      <c r="Q1464" s="1185">
        <f t="shared" si="303"/>
        <v>2120000</v>
      </c>
      <c r="R1464" s="1185" t="str">
        <f t="shared" si="299"/>
        <v/>
      </c>
      <c r="S1464" s="1185" t="str">
        <f>IF(AND(AD1464=1,R1464&lt;&gt;".")=TRUE,R1464/VLOOKUP(G1464,'Exchange Rates'!B:C,2,0),IF(R1464=".",".",""))</f>
        <v/>
      </c>
      <c r="T1464" s="1185" t="str">
        <f>IF(AD1464=1,IF(AF1464="Value is not given at all",".",IF(AF1464="Value is given by the source",S1464,IF(AF1464="Value is calculated with prices",(IF(SUMIFS(Q:Q,A:A,A1464)&gt;0,SUMIFS(Q:Q,A:A,A1464),"."))/VLOOKUP("USD",'Exchange Rates'!B:C,2,0),"Error with coding"))),"")</f>
        <v/>
      </c>
      <c r="U1464" s="1184" t="s">
        <v>365</v>
      </c>
      <c r="V1464" s="974" t="s">
        <v>3991</v>
      </c>
      <c r="W1464" s="973" t="s">
        <v>3955</v>
      </c>
      <c r="X1464" s="973" t="s">
        <v>3959</v>
      </c>
      <c r="Y1464" s="973" t="s">
        <v>4009</v>
      </c>
      <c r="Z1464" s="1184">
        <v>0</v>
      </c>
      <c r="AA1464" s="1194">
        <v>0</v>
      </c>
      <c r="AB1464" s="973" t="s">
        <v>4010</v>
      </c>
      <c r="AC1464" s="1192" t="str">
        <f>""</f>
        <v/>
      </c>
      <c r="AD1464" s="1193">
        <v>0</v>
      </c>
      <c r="AE1464" s="1302" t="s">
        <v>368</v>
      </c>
      <c r="AF1464" s="1193" t="s">
        <v>368</v>
      </c>
      <c r="AG1464" s="1193">
        <v>1</v>
      </c>
      <c r="AH1464" s="1193">
        <v>3</v>
      </c>
      <c r="AI1464" s="1193">
        <v>0</v>
      </c>
      <c r="AJ1464" s="1193">
        <f>VLOOKUP($I1464,'Price List, Weapons &amp; Items'!B:F,5,0)</f>
        <v>0</v>
      </c>
      <c r="AK1464" s="1193">
        <f t="shared" si="304"/>
        <v>0</v>
      </c>
      <c r="AL1464" s="1193">
        <f t="shared" si="305"/>
        <v>0</v>
      </c>
      <c r="AM1464" s="1193">
        <f t="shared" si="306"/>
        <v>0</v>
      </c>
      <c r="AN1464" s="1194" t="str">
        <f>VLOOKUP($I1464,'Price List, Weapons &amp; Items'!B:L,COLUMN('Price List, Weapons &amp; Items'!$J$11)-1,0)</f>
        <v>Miscellaneous</v>
      </c>
      <c r="AO1464" s="1194" t="str">
        <f>IF(I1464=".",".",VLOOKUP($I1464,'Price List, Weapons &amp; Items'!B:J,3,0))</f>
        <v>Small Arms and Light Weapons (SALW)</v>
      </c>
      <c r="AP1464" s="1195" t="str">
        <f t="shared" ca="1" si="300"/>
        <v/>
      </c>
      <c r="AQ1464" s="1194">
        <f>VLOOKUP($I1464,'Price List, Weapons &amp; Items'!B:L,COLUMN('Price List, Weapons &amp; Items'!$L$11)-1,0)</f>
        <v>2</v>
      </c>
      <c r="AR1464" s="1194">
        <f t="shared" si="307"/>
        <v>1</v>
      </c>
      <c r="AS1464" s="1194">
        <f t="shared" si="308"/>
        <v>1</v>
      </c>
      <c r="AT1464" s="1194">
        <f t="shared" si="309"/>
        <v>1</v>
      </c>
      <c r="AU1464" s="1194" t="str">
        <f t="shared" si="311"/>
        <v>.</v>
      </c>
      <c r="AV1464" s="1194" t="str">
        <f t="shared" si="301"/>
        <v>.</v>
      </c>
      <c r="AW1464" s="1194" t="str">
        <f t="shared" si="310"/>
        <v>.</v>
      </c>
      <c r="AX1464" s="1194">
        <f>IFERROR(VLOOKUP(B1464,'Share, Heavy Weapons to Ukraine'!B:Z,COLUMN('Share, Heavy Weapons to Ukraine'!C1476)-1,0),0)</f>
        <v>1</v>
      </c>
      <c r="AY1464" s="1194">
        <f>VLOOKUP('Bilateral Assistance, MAIN DATA'!B1464,'Country Summary (€)'!B:F,COLUMN('Country Summary (€)'!C1477)-1,FALSE)</f>
        <v>0</v>
      </c>
      <c r="AZ1464" s="1194" t="str">
        <f>IF(AND(AD1464=1,D1464="Military",H1464&lt;&gt;"Not given")=TRUE,IF(SUMIFS(P:P,A:A,A1464)&gt;0,ABS((SUMIFS(P:P,A:A,A1464)/VLOOKUP("USD",'Exchange Rates'!B:C,2,0)))/S1464,"."),".")</f>
        <v>.</v>
      </c>
      <c r="BA1464" s="1196" t="str">
        <f>IF(AND(AD1464=1,D1464="Military",H1464&lt;&gt;"Not given")=TRUE,IF(SUMIFS(P:P,A:A,A1464)&gt;0,IF((ABS((SUMIFS(P:P,A:A,A1464)/VLOOKUP("USD",'Exchange Rates'!B:C,2,0)))/S1464)&gt;1,(SUMIFS(P:P,A:A,A1464)-S1464)/S1464,(S1464-SUMIFS(P:P,A:A,A1464))/SUMIFS(P:P,A:A,A1464)),"."),".")</f>
        <v>.</v>
      </c>
    </row>
    <row r="1465" spans="1:53" ht="15.95" customHeight="1">
      <c r="A1465" s="1182" t="s">
        <v>3987</v>
      </c>
      <c r="B1465" s="1182" t="s">
        <v>3949</v>
      </c>
      <c r="C1465" s="1181">
        <v>44636</v>
      </c>
      <c r="D1465" s="1182" t="s">
        <v>389</v>
      </c>
      <c r="E1465" s="1182" t="s">
        <v>1676</v>
      </c>
      <c r="F1465" s="1183" t="s">
        <v>3995</v>
      </c>
      <c r="G1465" s="1184" t="s">
        <v>456</v>
      </c>
      <c r="H1465" s="1185">
        <v>800000000</v>
      </c>
      <c r="I1465" s="1180" t="s">
        <v>4011</v>
      </c>
      <c r="J1465" s="1186" t="str">
        <f>VLOOKUP($I1465,'Price List, Weapons &amp; Items'!B:C,2,0)</f>
        <v>Light armaments &amp; infantry</v>
      </c>
      <c r="K1465" s="1186" t="str">
        <f>IF(I1465=".",I1465,VLOOKUP($I1465,'Price List, Weapons &amp; Items'!B:D,3,0))</f>
        <v>Small Arms and Light Weapons (SALW)</v>
      </c>
      <c r="L1465" s="1187">
        <f>VLOOKUP(I1465,'Price List, Weapons &amp; Items'!B:E,4,0)</f>
        <v>0</v>
      </c>
      <c r="M1465" s="1188">
        <v>400</v>
      </c>
      <c r="N1465" s="1188">
        <f t="shared" si="312"/>
        <v>400</v>
      </c>
      <c r="O1465" s="1188">
        <f>VLOOKUP($I1465,'Price List, Weapons &amp; Items'!B:G,6,0)</f>
        <v>1100</v>
      </c>
      <c r="P1465" s="1185">
        <f t="shared" si="302"/>
        <v>440000</v>
      </c>
      <c r="Q1465" s="1185">
        <f t="shared" si="303"/>
        <v>440000</v>
      </c>
      <c r="R1465" s="1185" t="str">
        <f t="shared" si="299"/>
        <v/>
      </c>
      <c r="S1465" s="1185" t="str">
        <f>IF(AND(AD1465=1,R1465&lt;&gt;".")=TRUE,R1465/VLOOKUP(G1465,'Exchange Rates'!B:C,2,0),IF(R1465=".",".",""))</f>
        <v/>
      </c>
      <c r="T1465" s="1185" t="str">
        <f>IF(AD1465=1,IF(AF1465="Value is not given at all",".",IF(AF1465="Value is given by the source",S1465,IF(AF1465="Value is calculated with prices",(IF(SUMIFS(Q:Q,A:A,A1465)&gt;0,SUMIFS(Q:Q,A:A,A1465),"."))/VLOOKUP("USD",'Exchange Rates'!B:C,2,0),"Error with coding"))),"")</f>
        <v/>
      </c>
      <c r="U1465" s="1184" t="s">
        <v>365</v>
      </c>
      <c r="V1465" s="974" t="s">
        <v>3991</v>
      </c>
      <c r="W1465" s="973" t="s">
        <v>3955</v>
      </c>
      <c r="X1465" s="973" t="s">
        <v>3959</v>
      </c>
      <c r="Y1465" s="973" t="s">
        <v>4010</v>
      </c>
      <c r="Z1465" s="1184">
        <v>0</v>
      </c>
      <c r="AA1465" s="1194">
        <v>0</v>
      </c>
      <c r="AB1465" s="973" t="s">
        <v>4012</v>
      </c>
      <c r="AC1465" s="1192" t="str">
        <f>""</f>
        <v/>
      </c>
      <c r="AD1465" s="1193">
        <v>0</v>
      </c>
      <c r="AE1465" s="1302" t="s">
        <v>368</v>
      </c>
      <c r="AF1465" s="1193" t="s">
        <v>368</v>
      </c>
      <c r="AG1465" s="1193">
        <v>1</v>
      </c>
      <c r="AH1465" s="1193">
        <v>3</v>
      </c>
      <c r="AI1465" s="1193">
        <v>0</v>
      </c>
      <c r="AJ1465" s="1193">
        <f>VLOOKUP($I1465,'Price List, Weapons &amp; Items'!B:F,5,0)</f>
        <v>0</v>
      </c>
      <c r="AK1465" s="1193">
        <f t="shared" si="304"/>
        <v>0</v>
      </c>
      <c r="AL1465" s="1193">
        <f t="shared" si="305"/>
        <v>0</v>
      </c>
      <c r="AM1465" s="1193">
        <f t="shared" si="306"/>
        <v>0</v>
      </c>
      <c r="AN1465" s="1194" t="str">
        <f>VLOOKUP($I1465,'Price List, Weapons &amp; Items'!B:L,COLUMN('Price List, Weapons &amp; Items'!$J$11)-1,0)</f>
        <v>Online marketplaces and stores</v>
      </c>
      <c r="AO1465" s="1194" t="str">
        <f>IF(I1465=".",".",VLOOKUP($I1465,'Price List, Weapons &amp; Items'!B:J,3,0))</f>
        <v>Small Arms and Light Weapons (SALW)</v>
      </c>
      <c r="AP1465" s="1195" t="str">
        <f t="shared" ca="1" si="300"/>
        <v/>
      </c>
      <c r="AQ1465" s="1194">
        <f>VLOOKUP($I1465,'Price List, Weapons &amp; Items'!B:L,COLUMN('Price List, Weapons &amp; Items'!$L$11)-1,0)</f>
        <v>1</v>
      </c>
      <c r="AR1465" s="1194">
        <f t="shared" si="307"/>
        <v>1</v>
      </c>
      <c r="AS1465" s="1194">
        <f t="shared" si="308"/>
        <v>1</v>
      </c>
      <c r="AT1465" s="1194">
        <f t="shared" si="309"/>
        <v>1</v>
      </c>
      <c r="AU1465" s="1194" t="str">
        <f t="shared" si="311"/>
        <v>.</v>
      </c>
      <c r="AV1465" s="1194" t="str">
        <f t="shared" si="301"/>
        <v>.</v>
      </c>
      <c r="AW1465" s="1194" t="str">
        <f t="shared" si="310"/>
        <v>.</v>
      </c>
      <c r="AX1465" s="1194">
        <f>IFERROR(VLOOKUP(B1465,'Share, Heavy Weapons to Ukraine'!B:Z,COLUMN('Share, Heavy Weapons to Ukraine'!C1477)-1,0),0)</f>
        <v>1</v>
      </c>
      <c r="AY1465" s="1194">
        <f>VLOOKUP('Bilateral Assistance, MAIN DATA'!B1465,'Country Summary (€)'!B:F,COLUMN('Country Summary (€)'!C1478)-1,FALSE)</f>
        <v>0</v>
      </c>
      <c r="AZ1465" s="1194" t="str">
        <f>IF(AND(AD1465=1,D1465="Military",H1465&lt;&gt;"Not given")=TRUE,IF(SUMIFS(P:P,A:A,A1465)&gt;0,ABS((SUMIFS(P:P,A:A,A1465)/VLOOKUP("USD",'Exchange Rates'!B:C,2,0)))/S1465,"."),".")</f>
        <v>.</v>
      </c>
      <c r="BA1465" s="1196" t="str">
        <f>IF(AND(AD1465=1,D1465="Military",H1465&lt;&gt;"Not given")=TRUE,IF(SUMIFS(P:P,A:A,A1465)&gt;0,IF((ABS((SUMIFS(P:P,A:A,A1465)/VLOOKUP("USD",'Exchange Rates'!B:C,2,0)))/S1465)&gt;1,(SUMIFS(P:P,A:A,A1465)-S1465)/S1465,(S1465-SUMIFS(P:P,A:A,A1465))/SUMIFS(P:P,A:A,A1465)),"."),".")</f>
        <v>.</v>
      </c>
    </row>
    <row r="1466" spans="1:53" ht="15.95" customHeight="1">
      <c r="A1466" s="1182" t="s">
        <v>3987</v>
      </c>
      <c r="B1466" s="1182" t="s">
        <v>3949</v>
      </c>
      <c r="C1466" s="1181">
        <v>44636</v>
      </c>
      <c r="D1466" s="1182" t="s">
        <v>389</v>
      </c>
      <c r="E1466" s="1182" t="s">
        <v>1676</v>
      </c>
      <c r="F1466" s="1183" t="s">
        <v>3995</v>
      </c>
      <c r="G1466" s="1184" t="s">
        <v>456</v>
      </c>
      <c r="H1466" s="1185">
        <v>800000000</v>
      </c>
      <c r="I1466" s="1180" t="s">
        <v>4013</v>
      </c>
      <c r="J1466" s="1186" t="str">
        <f>VLOOKUP($I1466,'Price List, Weapons &amp; Items'!B:C,2,0)</f>
        <v>Ammunition for light infantry</v>
      </c>
      <c r="K1466" s="1186" t="str">
        <f>IF(I1466=".",I1466,VLOOKUP($I1466,'Price List, Weapons &amp; Items'!B:D,3,0))</f>
        <v>Small Arms and Light Weapons (SALW) ammunition</v>
      </c>
      <c r="L1466" s="1187">
        <f>VLOOKUP(I1466,'Price List, Weapons &amp; Items'!B:E,4,0)</f>
        <v>0</v>
      </c>
      <c r="M1466" s="1188">
        <v>20000000</v>
      </c>
      <c r="N1466" s="1188">
        <f t="shared" si="312"/>
        <v>20000000</v>
      </c>
      <c r="O1466" s="1188">
        <f>VLOOKUP($I1466,'Price List, Weapons &amp; Items'!B:G,6,0)</f>
        <v>5</v>
      </c>
      <c r="P1466" s="1185">
        <f t="shared" si="302"/>
        <v>100000000</v>
      </c>
      <c r="Q1466" s="1185">
        <f t="shared" si="303"/>
        <v>100000000</v>
      </c>
      <c r="R1466" s="1185" t="str">
        <f t="shared" si="299"/>
        <v/>
      </c>
      <c r="S1466" s="1185" t="str">
        <f>IF(AND(AD1466=1,R1466&lt;&gt;".")=TRUE,R1466/VLOOKUP(G1466,'Exchange Rates'!B:C,2,0),IF(R1466=".",".",""))</f>
        <v/>
      </c>
      <c r="T1466" s="1185" t="str">
        <f>IF(AD1466=1,IF(AF1466="Value is not given at all",".",IF(AF1466="Value is given by the source",S1466,IF(AF1466="Value is calculated with prices",(IF(SUMIFS(Q:Q,A:A,A1466)&gt;0,SUMIFS(Q:Q,A:A,A1466),"."))/VLOOKUP("USD",'Exchange Rates'!B:C,2,0),"Error with coding"))),"")</f>
        <v/>
      </c>
      <c r="U1466" s="1184" t="s">
        <v>365</v>
      </c>
      <c r="V1466" s="974" t="s">
        <v>3991</v>
      </c>
      <c r="W1466" s="973" t="s">
        <v>3955</v>
      </c>
      <c r="X1466" s="973" t="s">
        <v>3959</v>
      </c>
      <c r="Y1466" s="973" t="s">
        <v>4012</v>
      </c>
      <c r="Z1466" s="1184">
        <v>0</v>
      </c>
      <c r="AA1466" s="1194">
        <v>0</v>
      </c>
      <c r="AB1466" s="973" t="s">
        <v>4014</v>
      </c>
      <c r="AC1466" s="1192" t="str">
        <f>""</f>
        <v/>
      </c>
      <c r="AD1466" s="1193">
        <v>0</v>
      </c>
      <c r="AE1466" s="1302" t="s">
        <v>368</v>
      </c>
      <c r="AF1466" s="1193" t="s">
        <v>368</v>
      </c>
      <c r="AG1466" s="1193">
        <v>1</v>
      </c>
      <c r="AH1466" s="1193">
        <v>3</v>
      </c>
      <c r="AI1466" s="1193">
        <v>0</v>
      </c>
      <c r="AJ1466" s="1193">
        <f>VLOOKUP($I1466,'Price List, Weapons &amp; Items'!B:F,5,0)</f>
        <v>0</v>
      </c>
      <c r="AK1466" s="1193">
        <f t="shared" si="304"/>
        <v>0</v>
      </c>
      <c r="AL1466" s="1193">
        <f t="shared" si="305"/>
        <v>0</v>
      </c>
      <c r="AM1466" s="1193">
        <f t="shared" si="306"/>
        <v>1</v>
      </c>
      <c r="AN1466" s="1194" t="str">
        <f>VLOOKUP($I1466,'Price List, Weapons &amp; Items'!B:L,COLUMN('Price List, Weapons &amp; Items'!$J$11)-1,0)</f>
        <v>Miscellaneous</v>
      </c>
      <c r="AO1466" s="1194" t="str">
        <f>IF(I1466=".",".",VLOOKUP($I1466,'Price List, Weapons &amp; Items'!B:J,3,0))</f>
        <v>Small Arms and Light Weapons (SALW) ammunition</v>
      </c>
      <c r="AP1466" s="1195" t="str">
        <f t="shared" ca="1" si="300"/>
        <v/>
      </c>
      <c r="AQ1466" s="1194">
        <f>VLOOKUP($I1466,'Price List, Weapons &amp; Items'!B:L,COLUMN('Price List, Weapons &amp; Items'!$L$11)-1,0)</f>
        <v>2</v>
      </c>
      <c r="AR1466" s="1194">
        <f t="shared" si="307"/>
        <v>1</v>
      </c>
      <c r="AS1466" s="1194">
        <f t="shared" si="308"/>
        <v>1</v>
      </c>
      <c r="AT1466" s="1194">
        <f t="shared" si="309"/>
        <v>1</v>
      </c>
      <c r="AU1466" s="1194" t="str">
        <f t="shared" si="311"/>
        <v>.</v>
      </c>
      <c r="AV1466" s="1194" t="str">
        <f t="shared" si="301"/>
        <v>.</v>
      </c>
      <c r="AW1466" s="1194" t="str">
        <f t="shared" si="310"/>
        <v>.</v>
      </c>
      <c r="AX1466" s="1194">
        <f>IFERROR(VLOOKUP(B1466,'Share, Heavy Weapons to Ukraine'!B:Z,COLUMN('Share, Heavy Weapons to Ukraine'!C1478)-1,0),0)</f>
        <v>1</v>
      </c>
      <c r="AY1466" s="1194">
        <f>VLOOKUP('Bilateral Assistance, MAIN DATA'!B1466,'Country Summary (€)'!B:F,COLUMN('Country Summary (€)'!C1479)-1,FALSE)</f>
        <v>0</v>
      </c>
      <c r="AZ1466" s="1194" t="str">
        <f>IF(AND(AD1466=1,D1466="Military",H1466&lt;&gt;"Not given")=TRUE,IF(SUMIFS(P:P,A:A,A1466)&gt;0,ABS((SUMIFS(P:P,A:A,A1466)/VLOOKUP("USD",'Exchange Rates'!B:C,2,0)))/S1466,"."),".")</f>
        <v>.</v>
      </c>
      <c r="BA1466" s="1196" t="str">
        <f>IF(AND(AD1466=1,D1466="Military",H1466&lt;&gt;"Not given")=TRUE,IF(SUMIFS(P:P,A:A,A1466)&gt;0,IF((ABS((SUMIFS(P:P,A:A,A1466)/VLOOKUP("USD",'Exchange Rates'!B:C,2,0)))/S1466)&gt;1,(SUMIFS(P:P,A:A,A1466)-S1466)/S1466,(S1466-SUMIFS(P:P,A:A,A1466))/SUMIFS(P:P,A:A,A1466)),"."),".")</f>
        <v>.</v>
      </c>
    </row>
    <row r="1467" spans="1:53" ht="15.95" customHeight="1">
      <c r="A1467" s="1182" t="s">
        <v>3987</v>
      </c>
      <c r="B1467" s="1182" t="s">
        <v>3949</v>
      </c>
      <c r="C1467" s="1181">
        <v>44636</v>
      </c>
      <c r="D1467" s="1182" t="s">
        <v>389</v>
      </c>
      <c r="E1467" s="1182" t="s">
        <v>1676</v>
      </c>
      <c r="F1467" s="1183" t="s">
        <v>3995</v>
      </c>
      <c r="G1467" s="1184" t="s">
        <v>456</v>
      </c>
      <c r="H1467" s="1185">
        <v>800000000</v>
      </c>
      <c r="I1467" s="1180" t="s">
        <v>694</v>
      </c>
      <c r="J1467" s="1186" t="str">
        <f>VLOOKUP($I1467,'Price List, Weapons &amp; Items'!B:C,2,0)</f>
        <v>Military equipment</v>
      </c>
      <c r="K1467" s="1186" t="str">
        <f>IF(I1467=".",I1467,VLOOKUP($I1467,'Price List, Weapons &amp; Items'!B:D,3,0))</f>
        <v>Military equipment</v>
      </c>
      <c r="L1467" s="1187">
        <f>VLOOKUP(I1467,'Price List, Weapons &amp; Items'!B:E,4,0)</f>
        <v>0</v>
      </c>
      <c r="M1467" s="1188">
        <v>25000</v>
      </c>
      <c r="N1467" s="1188">
        <f t="shared" si="312"/>
        <v>25000</v>
      </c>
      <c r="O1467" s="1188">
        <f>VLOOKUP($I1467,'Price List, Weapons &amp; Items'!B:G,6,0)</f>
        <v>500</v>
      </c>
      <c r="P1467" s="1185">
        <f t="shared" si="302"/>
        <v>12500000</v>
      </c>
      <c r="Q1467" s="1185">
        <f t="shared" si="303"/>
        <v>12500000</v>
      </c>
      <c r="R1467" s="1185" t="str">
        <f t="shared" si="299"/>
        <v/>
      </c>
      <c r="S1467" s="1185" t="str">
        <f>IF(AND(AD1467=1,R1467&lt;&gt;".")=TRUE,R1467/VLOOKUP(G1467,'Exchange Rates'!B:C,2,0),IF(R1467=".",".",""))</f>
        <v/>
      </c>
      <c r="T1467" s="1185" t="str">
        <f>IF(AD1467=1,IF(AF1467="Value is not given at all",".",IF(AF1467="Value is given by the source",S1467,IF(AF1467="Value is calculated with prices",(IF(SUMIFS(Q:Q,A:A,A1467)&gt;0,SUMIFS(Q:Q,A:A,A1467),"."))/VLOOKUP("USD",'Exchange Rates'!B:C,2,0),"Error with coding"))),"")</f>
        <v/>
      </c>
      <c r="U1467" s="1184" t="s">
        <v>365</v>
      </c>
      <c r="V1467" s="974" t="s">
        <v>3991</v>
      </c>
      <c r="W1467" s="973" t="s">
        <v>3955</v>
      </c>
      <c r="X1467" s="973" t="s">
        <v>3959</v>
      </c>
      <c r="Y1467" s="973" t="s">
        <v>4014</v>
      </c>
      <c r="Z1467" s="1184">
        <v>0</v>
      </c>
      <c r="AA1467" s="1194">
        <v>0</v>
      </c>
      <c r="AB1467" s="973" t="s">
        <v>4015</v>
      </c>
      <c r="AC1467" s="1192" t="str">
        <f>""</f>
        <v/>
      </c>
      <c r="AD1467" s="1193">
        <v>0</v>
      </c>
      <c r="AE1467" s="1302" t="s">
        <v>368</v>
      </c>
      <c r="AF1467" s="1193" t="s">
        <v>368</v>
      </c>
      <c r="AG1467" s="1193">
        <v>1</v>
      </c>
      <c r="AH1467" s="1193">
        <v>3</v>
      </c>
      <c r="AI1467" s="1193">
        <v>0</v>
      </c>
      <c r="AJ1467" s="1193">
        <f>VLOOKUP($I1467,'Price List, Weapons &amp; Items'!B:F,5,0)</f>
        <v>0</v>
      </c>
      <c r="AK1467" s="1193">
        <f t="shared" si="304"/>
        <v>0</v>
      </c>
      <c r="AL1467" s="1193">
        <f t="shared" si="305"/>
        <v>0</v>
      </c>
      <c r="AM1467" s="1193">
        <f t="shared" si="306"/>
        <v>0</v>
      </c>
      <c r="AN1467" s="1194" t="str">
        <f>VLOOKUP($I1467,'Price List, Weapons &amp; Items'!B:L,COLUMN('Price List, Weapons &amp; Items'!$J$11)-1,0)</f>
        <v>Military media (incl. websites)</v>
      </c>
      <c r="AO1467" s="1194" t="str">
        <f>IF(I1467=".",".",VLOOKUP($I1467,'Price List, Weapons &amp; Items'!B:J,3,0))</f>
        <v>Military equipment</v>
      </c>
      <c r="AP1467" s="1195" t="str">
        <f t="shared" ca="1" si="300"/>
        <v/>
      </c>
      <c r="AQ1467" s="1194">
        <f>VLOOKUP($I1467,'Price List, Weapons &amp; Items'!B:L,COLUMN('Price List, Weapons &amp; Items'!$L$11)-1,0)</f>
        <v>2</v>
      </c>
      <c r="AR1467" s="1194">
        <f t="shared" si="307"/>
        <v>1</v>
      </c>
      <c r="AS1467" s="1194">
        <f t="shared" si="308"/>
        <v>1</v>
      </c>
      <c r="AT1467" s="1194">
        <f t="shared" si="309"/>
        <v>1</v>
      </c>
      <c r="AU1467" s="1194" t="str">
        <f t="shared" si="311"/>
        <v>.</v>
      </c>
      <c r="AV1467" s="1194" t="str">
        <f t="shared" si="301"/>
        <v>.</v>
      </c>
      <c r="AW1467" s="1194" t="str">
        <f t="shared" si="310"/>
        <v>.</v>
      </c>
      <c r="AX1467" s="1194">
        <f>IFERROR(VLOOKUP(B1467,'Share, Heavy Weapons to Ukraine'!B:Z,COLUMN('Share, Heavy Weapons to Ukraine'!C1479)-1,0),0)</f>
        <v>1</v>
      </c>
      <c r="AY1467" s="1194">
        <f>VLOOKUP('Bilateral Assistance, MAIN DATA'!B1467,'Country Summary (€)'!B:F,COLUMN('Country Summary (€)'!C1480)-1,FALSE)</f>
        <v>0</v>
      </c>
      <c r="AZ1467" s="1194" t="str">
        <f>IF(AND(AD1467=1,D1467="Military",H1467&lt;&gt;"Not given")=TRUE,IF(SUMIFS(P:P,A:A,A1467)&gt;0,ABS((SUMIFS(P:P,A:A,A1467)/VLOOKUP("USD",'Exchange Rates'!B:C,2,0)))/S1467,"."),".")</f>
        <v>.</v>
      </c>
      <c r="BA1467" s="1196" t="str">
        <f>IF(AND(AD1467=1,D1467="Military",H1467&lt;&gt;"Not given")=TRUE,IF(SUMIFS(P:P,A:A,A1467)&gt;0,IF((ABS((SUMIFS(P:P,A:A,A1467)/VLOOKUP("USD",'Exchange Rates'!B:C,2,0)))/S1467)&gt;1,(SUMIFS(P:P,A:A,A1467)-S1467)/S1467,(S1467-SUMIFS(P:P,A:A,A1467))/SUMIFS(P:P,A:A,A1467)),"."),".")</f>
        <v>.</v>
      </c>
    </row>
    <row r="1468" spans="1:53" ht="15.95" customHeight="1">
      <c r="A1468" s="1182" t="s">
        <v>3987</v>
      </c>
      <c r="B1468" s="1182" t="s">
        <v>3949</v>
      </c>
      <c r="C1468" s="1181">
        <v>44636</v>
      </c>
      <c r="D1468" s="1182" t="s">
        <v>389</v>
      </c>
      <c r="E1468" s="1182" t="s">
        <v>1676</v>
      </c>
      <c r="F1468" s="1183" t="s">
        <v>3995</v>
      </c>
      <c r="G1468" s="1184" t="s">
        <v>456</v>
      </c>
      <c r="H1468" s="1185">
        <v>800000000</v>
      </c>
      <c r="I1468" s="1180" t="s">
        <v>594</v>
      </c>
      <c r="J1468" s="1186" t="str">
        <f>VLOOKUP($I1468,'Price List, Weapons &amp; Items'!B:C,2,0)</f>
        <v>Military equipment</v>
      </c>
      <c r="K1468" s="1186" t="str">
        <f>IF(I1468=".",I1468,VLOOKUP($I1468,'Price List, Weapons &amp; Items'!B:D,3,0))</f>
        <v>Military equipment</v>
      </c>
      <c r="L1468" s="1187">
        <f>VLOOKUP(I1468,'Price List, Weapons &amp; Items'!B:E,4,0)</f>
        <v>0</v>
      </c>
      <c r="M1468" s="1188">
        <v>25000</v>
      </c>
      <c r="N1468" s="1188">
        <f t="shared" si="312"/>
        <v>25000</v>
      </c>
      <c r="O1468" s="1188">
        <f>VLOOKUP($I1468,'Price List, Weapons &amp; Items'!B:G,6,0)</f>
        <v>1400</v>
      </c>
      <c r="P1468" s="1185">
        <f t="shared" si="302"/>
        <v>35000000</v>
      </c>
      <c r="Q1468" s="1185">
        <f t="shared" si="303"/>
        <v>35000000</v>
      </c>
      <c r="R1468" s="1185" t="str">
        <f t="shared" si="299"/>
        <v/>
      </c>
      <c r="S1468" s="1185" t="str">
        <f>IF(AND(AD1468=1,R1468&lt;&gt;".")=TRUE,R1468/VLOOKUP(G1468,'Exchange Rates'!B:C,2,0),IF(R1468=".",".",""))</f>
        <v/>
      </c>
      <c r="T1468" s="1185" t="str">
        <f>IF(AD1468=1,IF(AF1468="Value is not given at all",".",IF(AF1468="Value is given by the source",S1468,IF(AF1468="Value is calculated with prices",(IF(SUMIFS(Q:Q,A:A,A1468)&gt;0,SUMIFS(Q:Q,A:A,A1468),"."))/VLOOKUP("USD",'Exchange Rates'!B:C,2,0),"Error with coding"))),"")</f>
        <v/>
      </c>
      <c r="U1468" s="1184" t="s">
        <v>365</v>
      </c>
      <c r="V1468" s="974" t="s">
        <v>3991</v>
      </c>
      <c r="W1468" s="973" t="s">
        <v>3955</v>
      </c>
      <c r="X1468" s="973" t="s">
        <v>3959</v>
      </c>
      <c r="Y1468" s="973" t="s">
        <v>4015</v>
      </c>
      <c r="Z1468" s="1184">
        <v>0</v>
      </c>
      <c r="AA1468" s="1194">
        <v>0</v>
      </c>
      <c r="AB1468" s="973" t="s">
        <v>4016</v>
      </c>
      <c r="AC1468" s="1192" t="str">
        <f>""</f>
        <v/>
      </c>
      <c r="AD1468" s="1193">
        <v>0</v>
      </c>
      <c r="AE1468" s="1302" t="s">
        <v>368</v>
      </c>
      <c r="AF1468" s="1193" t="s">
        <v>368</v>
      </c>
      <c r="AG1468" s="1193">
        <v>1</v>
      </c>
      <c r="AH1468" s="1193">
        <v>3</v>
      </c>
      <c r="AI1468" s="1193">
        <v>0</v>
      </c>
      <c r="AJ1468" s="1193">
        <f>VLOOKUP($I1468,'Price List, Weapons &amp; Items'!B:F,5,0)</f>
        <v>0</v>
      </c>
      <c r="AK1468" s="1193">
        <f t="shared" si="304"/>
        <v>0</v>
      </c>
      <c r="AL1468" s="1193">
        <f t="shared" si="305"/>
        <v>0</v>
      </c>
      <c r="AM1468" s="1193">
        <f t="shared" si="306"/>
        <v>0</v>
      </c>
      <c r="AN1468" s="1194" t="str">
        <f>VLOOKUP($I1468,'Price List, Weapons &amp; Items'!B:L,COLUMN('Price List, Weapons &amp; Items'!$J$11)-1,0)</f>
        <v>Military media (incl. websites)</v>
      </c>
      <c r="AO1468" s="1194" t="str">
        <f>IF(I1468=".",".",VLOOKUP($I1468,'Price List, Weapons &amp; Items'!B:J,3,0))</f>
        <v>Military equipment</v>
      </c>
      <c r="AP1468" s="1195" t="str">
        <f t="shared" ca="1" si="300"/>
        <v/>
      </c>
      <c r="AQ1468" s="1194">
        <f>VLOOKUP($I1468,'Price List, Weapons &amp; Items'!B:L,COLUMN('Price List, Weapons &amp; Items'!$L$11)-1,0)</f>
        <v>2</v>
      </c>
      <c r="AR1468" s="1194">
        <f t="shared" si="307"/>
        <v>1</v>
      </c>
      <c r="AS1468" s="1194">
        <f t="shared" si="308"/>
        <v>1</v>
      </c>
      <c r="AT1468" s="1194">
        <f t="shared" si="309"/>
        <v>1</v>
      </c>
      <c r="AU1468" s="1194" t="str">
        <f t="shared" si="311"/>
        <v>.</v>
      </c>
      <c r="AV1468" s="1194" t="str">
        <f t="shared" si="301"/>
        <v>.</v>
      </c>
      <c r="AW1468" s="1194" t="str">
        <f t="shared" si="310"/>
        <v>.</v>
      </c>
      <c r="AX1468" s="1194">
        <f>IFERROR(VLOOKUP(B1468,'Share, Heavy Weapons to Ukraine'!B:Z,COLUMN('Share, Heavy Weapons to Ukraine'!C1480)-1,0),0)</f>
        <v>1</v>
      </c>
      <c r="AY1468" s="1194">
        <f>VLOOKUP('Bilateral Assistance, MAIN DATA'!B1468,'Country Summary (€)'!B:F,COLUMN('Country Summary (€)'!C1481)-1,FALSE)</f>
        <v>0</v>
      </c>
      <c r="AZ1468" s="1194" t="str">
        <f>IF(AND(AD1468=1,D1468="Military",H1468&lt;&gt;"Not given")=TRUE,IF(SUMIFS(P:P,A:A,A1468)&gt;0,ABS((SUMIFS(P:P,A:A,A1468)/VLOOKUP("USD",'Exchange Rates'!B:C,2,0)))/S1468,"."),".")</f>
        <v>.</v>
      </c>
      <c r="BA1468" s="1196" t="str">
        <f>IF(AND(AD1468=1,D1468="Military",H1468&lt;&gt;"Not given")=TRUE,IF(SUMIFS(P:P,A:A,A1468)&gt;0,IF((ABS((SUMIFS(P:P,A:A,A1468)/VLOOKUP("USD",'Exchange Rates'!B:C,2,0)))/S1468)&gt;1,(SUMIFS(P:P,A:A,A1468)-S1468)/S1468,(S1468-SUMIFS(P:P,A:A,A1468))/SUMIFS(P:P,A:A,A1468)),"."),".")</f>
        <v>.</v>
      </c>
    </row>
    <row r="1469" spans="1:53" ht="15.95" customHeight="1">
      <c r="A1469" s="1182" t="s">
        <v>3987</v>
      </c>
      <c r="B1469" s="1182" t="s">
        <v>3949</v>
      </c>
      <c r="C1469" s="1181">
        <v>44656</v>
      </c>
      <c r="D1469" s="1182" t="s">
        <v>389</v>
      </c>
      <c r="E1469" s="1182" t="s">
        <v>1676</v>
      </c>
      <c r="F1469" s="1183" t="s">
        <v>4017</v>
      </c>
      <c r="G1469" s="1184" t="s">
        <v>456</v>
      </c>
      <c r="H1469" s="1185">
        <v>100000000</v>
      </c>
      <c r="I1469" s="1180" t="s">
        <v>3998</v>
      </c>
      <c r="J1469" s="1186" t="str">
        <f>VLOOKUP($I1469,'Price List, Weapons &amp; Items'!B:C,2,0)</f>
        <v>Portable defence system</v>
      </c>
      <c r="K1469" s="1186" t="str">
        <f>IF(I1469=".",I1469,VLOOKUP($I1469,'Price List, Weapons &amp; Items'!B:D,3,0))</f>
        <v>Light Anti-armor Weapon (LAW)</v>
      </c>
      <c r="L1469" s="1187">
        <f>VLOOKUP(I1469,'Price List, Weapons &amp; Items'!B:E,4,0)</f>
        <v>0</v>
      </c>
      <c r="M1469" s="1188">
        <v>2950</v>
      </c>
      <c r="N1469" s="1188">
        <v>2950</v>
      </c>
      <c r="O1469" s="1188">
        <f>VLOOKUP($I1469,'Price List, Weapons &amp; Items'!B:G,6,0)</f>
        <v>256000</v>
      </c>
      <c r="P1469" s="1185">
        <f t="shared" si="302"/>
        <v>755200000</v>
      </c>
      <c r="Q1469" s="1185">
        <f t="shared" si="303"/>
        <v>755200000</v>
      </c>
      <c r="R1469" s="1185" t="str">
        <f t="shared" si="299"/>
        <v/>
      </c>
      <c r="S1469" s="1185" t="str">
        <f>IF(AND(AD1469=1,R1469&lt;&gt;".")=TRUE,R1469/VLOOKUP(G1469,'Exchange Rates'!B:C,2,0),IF(R1469=".",".",""))</f>
        <v/>
      </c>
      <c r="T1469" s="1185" t="str">
        <f>IF(AD1469=1,IF(AF1469="Value is not given at all",".",IF(AF1469="Value is given by the source",S1469,IF(AF1469="Value is calculated with prices",(IF(SUMIFS(Q:Q,A:A,A1469)&gt;0,SUMIFS(Q:Q,A:A,A1469),"."))/VLOOKUP("USD",'Exchange Rates'!B:C,2,0),"Error with coding"))),"")</f>
        <v/>
      </c>
      <c r="U1469" s="1184" t="s">
        <v>365</v>
      </c>
      <c r="V1469" s="971" t="s">
        <v>3989</v>
      </c>
      <c r="W1469" s="973" t="s">
        <v>3955</v>
      </c>
      <c r="X1469" s="973" t="s">
        <v>3959</v>
      </c>
      <c r="Y1469" s="973" t="s">
        <v>4016</v>
      </c>
      <c r="Z1469" s="1184">
        <v>0</v>
      </c>
      <c r="AA1469" s="1194">
        <v>0</v>
      </c>
      <c r="AB1469" s="973" t="s">
        <v>4018</v>
      </c>
      <c r="AC1469" s="1192" t="str">
        <f>""</f>
        <v/>
      </c>
      <c r="AD1469" s="1193">
        <v>0</v>
      </c>
      <c r="AE1469" s="1302" t="s">
        <v>368</v>
      </c>
      <c r="AF1469" s="1193" t="s">
        <v>368</v>
      </c>
      <c r="AG1469" s="1193">
        <v>1</v>
      </c>
      <c r="AH1469" s="1193">
        <v>4</v>
      </c>
      <c r="AI1469" s="1193">
        <v>0</v>
      </c>
      <c r="AJ1469" s="1193">
        <f>VLOOKUP($I1469,'Price List, Weapons &amp; Items'!B:F,5,0)</f>
        <v>0</v>
      </c>
      <c r="AK1469" s="1193">
        <f t="shared" si="304"/>
        <v>0</v>
      </c>
      <c r="AL1469" s="1193">
        <f t="shared" si="305"/>
        <v>0</v>
      </c>
      <c r="AM1469" s="1193">
        <f t="shared" si="306"/>
        <v>0</v>
      </c>
      <c r="AN1469" s="1194" t="str">
        <f>VLOOKUP($I1469,'Price List, Weapons &amp; Items'!B:L,COLUMN('Price List, Weapons &amp; Items'!$J$11)-1,0)</f>
        <v>Government information</v>
      </c>
      <c r="AO1469" s="1194" t="str">
        <f>IF(I1469=".",".",VLOOKUP($I1469,'Price List, Weapons &amp; Items'!B:J,3,0))</f>
        <v>Light Anti-armor Weapon (LAW)</v>
      </c>
      <c r="AP1469" s="1195" t="str">
        <f t="shared" ca="1" si="300"/>
        <v/>
      </c>
      <c r="AQ1469" s="1194">
        <f>VLOOKUP($I1469,'Price List, Weapons &amp; Items'!B:L,COLUMN('Price List, Weapons &amp; Items'!$L$11)-1,0)</f>
        <v>2</v>
      </c>
      <c r="AR1469" s="1194">
        <f t="shared" si="307"/>
        <v>1</v>
      </c>
      <c r="AS1469" s="1194">
        <f t="shared" si="308"/>
        <v>1</v>
      </c>
      <c r="AT1469" s="1194">
        <f t="shared" si="309"/>
        <v>1</v>
      </c>
      <c r="AU1469" s="1194" t="str">
        <f t="shared" si="311"/>
        <v>.</v>
      </c>
      <c r="AV1469" s="1194" t="str">
        <f t="shared" si="301"/>
        <v>.</v>
      </c>
      <c r="AW1469" s="1194" t="str">
        <f t="shared" si="310"/>
        <v>.</v>
      </c>
      <c r="AX1469" s="1194">
        <f>IFERROR(VLOOKUP(B1469,'Share, Heavy Weapons to Ukraine'!B:Z,COLUMN('Share, Heavy Weapons to Ukraine'!C1481)-1,0),0)</f>
        <v>1</v>
      </c>
      <c r="AY1469" s="1194">
        <f>VLOOKUP('Bilateral Assistance, MAIN DATA'!B1469,'Country Summary (€)'!B:F,COLUMN('Country Summary (€)'!C1482)-1,FALSE)</f>
        <v>0</v>
      </c>
      <c r="AZ1469" s="1194" t="str">
        <f>IF(AND(AD1469=1,D1469="Military",H1469&lt;&gt;"Not given")=TRUE,IF(SUMIFS(P:P,A:A,A1469)&gt;0,ABS((SUMIFS(P:P,A:A,A1469)/VLOOKUP("USD",'Exchange Rates'!B:C,2,0)))/S1469,"."),".")</f>
        <v>.</v>
      </c>
      <c r="BA1469" s="1196" t="str">
        <f>IF(AND(AD1469=1,D1469="Military",H1469&lt;&gt;"Not given")=TRUE,IF(SUMIFS(P:P,A:A,A1469)&gt;0,IF((ABS((SUMIFS(P:P,A:A,A1469)/VLOOKUP("USD",'Exchange Rates'!B:C,2,0)))/S1469)&gt;1,(SUMIFS(P:P,A:A,A1469)-S1469)/S1469,(S1469-SUMIFS(P:P,A:A,A1469))/SUMIFS(P:P,A:A,A1469)),"."),".")</f>
        <v>.</v>
      </c>
    </row>
    <row r="1470" spans="1:53" ht="15.95" customHeight="1">
      <c r="A1470" s="1182" t="s">
        <v>3987</v>
      </c>
      <c r="B1470" s="1182" t="s">
        <v>3949</v>
      </c>
      <c r="C1470" s="1181">
        <v>44664</v>
      </c>
      <c r="D1470" s="1182" t="s">
        <v>389</v>
      </c>
      <c r="E1470" s="1182" t="s">
        <v>1676</v>
      </c>
      <c r="F1470" s="1183" t="s">
        <v>4019</v>
      </c>
      <c r="G1470" s="1184" t="s">
        <v>456</v>
      </c>
      <c r="H1470" s="1185">
        <v>800000000</v>
      </c>
      <c r="I1470" s="1180" t="s">
        <v>423</v>
      </c>
      <c r="J1470" s="1186" t="str">
        <f>VLOOKUP($I1470,'Price List, Weapons &amp; Items'!B:C,2,0)</f>
        <v>Heavy weapon</v>
      </c>
      <c r="K1470" s="1186" t="str">
        <f>IF(I1470=".",I1470,VLOOKUP($I1470,'Price List, Weapons &amp; Items'!B:D,3,0))</f>
        <v>155mm howitzer</v>
      </c>
      <c r="L1470" s="1187">
        <f>VLOOKUP(I1470,'Price List, Weapons &amp; Items'!B:E,4,0)</f>
        <v>0</v>
      </c>
      <c r="M1470" s="1188">
        <v>18</v>
      </c>
      <c r="N1470" s="1188">
        <v>18</v>
      </c>
      <c r="O1470" s="1188">
        <f>VLOOKUP($I1470,'Price List, Weapons &amp; Items'!B:G,6,0)</f>
        <v>5170000</v>
      </c>
      <c r="P1470" s="1185">
        <f t="shared" si="302"/>
        <v>93060000</v>
      </c>
      <c r="Q1470" s="1185">
        <f t="shared" si="303"/>
        <v>93060000</v>
      </c>
      <c r="R1470" s="1185" t="str">
        <f t="shared" si="299"/>
        <v/>
      </c>
      <c r="S1470" s="1185" t="str">
        <f>IF(AND(AD1470=1,R1470&lt;&gt;".")=TRUE,R1470/VLOOKUP(G1470,'Exchange Rates'!B:C,2,0),IF(R1470=".",".",""))</f>
        <v/>
      </c>
      <c r="T1470" s="1185" t="str">
        <f>IF(AD1470=1,IF(AF1470="Value is not given at all",".",IF(AF1470="Value is given by the source",S1470,IF(AF1470="Value is calculated with prices",(IF(SUMIFS(Q:Q,A:A,A1470)&gt;0,SUMIFS(Q:Q,A:A,A1470),"."))/VLOOKUP("USD",'Exchange Rates'!B:C,2,0),"Error with coding"))),"")</f>
        <v/>
      </c>
      <c r="U1470" s="1184" t="s">
        <v>365</v>
      </c>
      <c r="V1470" s="974" t="s">
        <v>3991</v>
      </c>
      <c r="W1470" s="973" t="s">
        <v>3955</v>
      </c>
      <c r="X1470" s="973" t="s">
        <v>3959</v>
      </c>
      <c r="Y1470" s="973" t="s">
        <v>4018</v>
      </c>
      <c r="Z1470" s="1184">
        <v>0</v>
      </c>
      <c r="AA1470" s="1194">
        <v>0</v>
      </c>
      <c r="AB1470" s="973" t="s">
        <v>4020</v>
      </c>
      <c r="AC1470" s="1192" t="str">
        <f>""</f>
        <v/>
      </c>
      <c r="AD1470" s="1193">
        <v>0</v>
      </c>
      <c r="AE1470" s="1302" t="s">
        <v>368</v>
      </c>
      <c r="AF1470" s="1193" t="s">
        <v>368</v>
      </c>
      <c r="AG1470" s="1193">
        <v>1</v>
      </c>
      <c r="AH1470" s="1193">
        <v>4</v>
      </c>
      <c r="AI1470" s="1193">
        <v>0</v>
      </c>
      <c r="AJ1470" s="1193">
        <f>VLOOKUP($I1470,'Price List, Weapons &amp; Items'!B:F,5,0)</f>
        <v>1</v>
      </c>
      <c r="AK1470" s="1193">
        <f t="shared" si="304"/>
        <v>0</v>
      </c>
      <c r="AL1470" s="1193">
        <f t="shared" si="305"/>
        <v>0</v>
      </c>
      <c r="AM1470" s="1193">
        <f t="shared" si="306"/>
        <v>0</v>
      </c>
      <c r="AN1470" s="1194" t="str">
        <f>VLOOKUP($I1470,'Price List, Weapons &amp; Items'!B:L,COLUMN('Price List, Weapons &amp; Items'!$J$11)-1,0)</f>
        <v>Military media (incl. websites)</v>
      </c>
      <c r="AO1470" s="1194" t="str">
        <f>IF(I1470=".",".",VLOOKUP($I1470,'Price List, Weapons &amp; Items'!B:J,3,0))</f>
        <v>155mm howitzer</v>
      </c>
      <c r="AP1470" s="1195" t="str">
        <f t="shared" ca="1" si="300"/>
        <v/>
      </c>
      <c r="AQ1470" s="1194">
        <f>VLOOKUP($I1470,'Price List, Weapons &amp; Items'!B:L,COLUMN('Price List, Weapons &amp; Items'!$L$11)-1,0)</f>
        <v>2</v>
      </c>
      <c r="AR1470" s="1194">
        <f t="shared" si="307"/>
        <v>1</v>
      </c>
      <c r="AS1470" s="1194">
        <f t="shared" si="308"/>
        <v>1</v>
      </c>
      <c r="AT1470" s="1194">
        <f t="shared" si="309"/>
        <v>1</v>
      </c>
      <c r="AU1470" s="1194" t="str">
        <f t="shared" si="311"/>
        <v>.</v>
      </c>
      <c r="AV1470" s="1194" t="str">
        <f t="shared" si="301"/>
        <v>.</v>
      </c>
      <c r="AW1470" s="1194" t="str">
        <f t="shared" si="310"/>
        <v>.</v>
      </c>
      <c r="AX1470" s="1194">
        <f>IFERROR(VLOOKUP(B1470,'Share, Heavy Weapons to Ukraine'!B:Z,COLUMN('Share, Heavy Weapons to Ukraine'!C1482)-1,0),0)</f>
        <v>1</v>
      </c>
      <c r="AY1470" s="1194">
        <f>VLOOKUP('Bilateral Assistance, MAIN DATA'!B1470,'Country Summary (€)'!B:F,COLUMN('Country Summary (€)'!C1483)-1,FALSE)</f>
        <v>0</v>
      </c>
      <c r="AZ1470" s="1194" t="str">
        <f>IF(AND(AD1470=1,D1470="Military",H1470&lt;&gt;"Not given")=TRUE,IF(SUMIFS(P:P,A:A,A1470)&gt;0,ABS((SUMIFS(P:P,A:A,A1470)/VLOOKUP("USD",'Exchange Rates'!B:C,2,0)))/S1470,"."),".")</f>
        <v>.</v>
      </c>
      <c r="BA1470" s="1196" t="str">
        <f>IF(AND(AD1470=1,D1470="Military",H1470&lt;&gt;"Not given")=TRUE,IF(SUMIFS(P:P,A:A,A1470)&gt;0,IF((ABS((SUMIFS(P:P,A:A,A1470)/VLOOKUP("USD",'Exchange Rates'!B:C,2,0)))/S1470)&gt;1,(SUMIFS(P:P,A:A,A1470)-S1470)/S1470,(S1470-SUMIFS(P:P,A:A,A1470))/SUMIFS(P:P,A:A,A1470)),"."),".")</f>
        <v>.</v>
      </c>
    </row>
    <row r="1471" spans="1:53" ht="15.95" customHeight="1">
      <c r="A1471" s="1182" t="s">
        <v>3987</v>
      </c>
      <c r="B1471" s="1182" t="s">
        <v>3949</v>
      </c>
      <c r="C1471" s="1181">
        <v>44664</v>
      </c>
      <c r="D1471" s="1182" t="s">
        <v>389</v>
      </c>
      <c r="E1471" s="1182" t="s">
        <v>1676</v>
      </c>
      <c r="F1471" s="1183" t="s">
        <v>4019</v>
      </c>
      <c r="G1471" s="1184" t="s">
        <v>456</v>
      </c>
      <c r="H1471" s="1185">
        <v>800000000</v>
      </c>
      <c r="I1471" s="1266" t="s">
        <v>856</v>
      </c>
      <c r="J1471" s="1186" t="str">
        <f>VLOOKUP($I1471,'Price List, Weapons &amp; Items'!B:C,2,0)</f>
        <v>Ammunition for heavy weapon</v>
      </c>
      <c r="K1471" s="1186" t="str">
        <f>IF(I1471=".",I1471,VLOOKUP($I1471,'Price List, Weapons &amp; Items'!B:D,3,0))</f>
        <v>155mm howitzer ammunition</v>
      </c>
      <c r="L1471" s="1187">
        <f>VLOOKUP(I1471,'Price List, Weapons &amp; Items'!B:E,4,0)</f>
        <v>0</v>
      </c>
      <c r="M1471" s="1188">
        <v>40000</v>
      </c>
      <c r="N1471" s="1188">
        <v>40000</v>
      </c>
      <c r="O1471" s="1188">
        <f>VLOOKUP($I1471,'Price List, Weapons &amp; Items'!B:G,6,0)</f>
        <v>3800</v>
      </c>
      <c r="P1471" s="1185">
        <f t="shared" si="302"/>
        <v>152000000</v>
      </c>
      <c r="Q1471" s="1185">
        <f t="shared" si="303"/>
        <v>152000000</v>
      </c>
      <c r="R1471" s="1185" t="str">
        <f t="shared" si="299"/>
        <v/>
      </c>
      <c r="S1471" s="1185" t="str">
        <f>IF(AND(AD1471=1,R1471&lt;&gt;".")=TRUE,R1471/VLOOKUP(G1471,'Exchange Rates'!B:C,2,0),IF(R1471=".",".",""))</f>
        <v/>
      </c>
      <c r="T1471" s="1185" t="str">
        <f>IF(AD1471=1,IF(AF1471="Value is not given at all",".",IF(AF1471="Value is given by the source",S1471,IF(AF1471="Value is calculated with prices",(IF(SUMIFS(Q:Q,A:A,A1471)&gt;0,SUMIFS(Q:Q,A:A,A1471),"."))/VLOOKUP("USD",'Exchange Rates'!B:C,2,0),"Error with coding"))),"")</f>
        <v/>
      </c>
      <c r="U1471" s="1184" t="s">
        <v>365</v>
      </c>
      <c r="V1471" s="974" t="s">
        <v>3991</v>
      </c>
      <c r="W1471" s="973" t="s">
        <v>3955</v>
      </c>
      <c r="X1471" s="973" t="s">
        <v>3959</v>
      </c>
      <c r="Y1471" s="973" t="s">
        <v>4020</v>
      </c>
      <c r="Z1471" s="1184">
        <v>0</v>
      </c>
      <c r="AA1471" s="1194">
        <v>0</v>
      </c>
      <c r="AB1471" s="973" t="s">
        <v>4021</v>
      </c>
      <c r="AC1471" s="1192" t="str">
        <f>""</f>
        <v/>
      </c>
      <c r="AD1471" s="1193">
        <v>0</v>
      </c>
      <c r="AE1471" s="1302" t="s">
        <v>368</v>
      </c>
      <c r="AF1471" s="1193" t="s">
        <v>368</v>
      </c>
      <c r="AG1471" s="1193">
        <v>1</v>
      </c>
      <c r="AH1471" s="1193">
        <v>4</v>
      </c>
      <c r="AI1471" s="1193">
        <v>0</v>
      </c>
      <c r="AJ1471" s="1193">
        <f>VLOOKUP($I1471,'Price List, Weapons &amp; Items'!B:F,5,0)</f>
        <v>1</v>
      </c>
      <c r="AK1471" s="1193">
        <f t="shared" si="304"/>
        <v>0</v>
      </c>
      <c r="AL1471" s="1193">
        <f t="shared" si="305"/>
        <v>0</v>
      </c>
      <c r="AM1471" s="1193">
        <f t="shared" si="306"/>
        <v>0</v>
      </c>
      <c r="AN1471" s="1194" t="str">
        <f>VLOOKUP($I1471,'Price List, Weapons &amp; Items'!B:L,COLUMN('Price List, Weapons &amp; Items'!$J$11)-1,0)</f>
        <v>Government information</v>
      </c>
      <c r="AO1471" s="1194" t="str">
        <f>IF(I1471=".",".",VLOOKUP($I1471,'Price List, Weapons &amp; Items'!B:J,3,0))</f>
        <v>155mm howitzer ammunition</v>
      </c>
      <c r="AP1471" s="1195" t="str">
        <f t="shared" ca="1" si="300"/>
        <v/>
      </c>
      <c r="AQ1471" s="1194">
        <f>VLOOKUP($I1471,'Price List, Weapons &amp; Items'!B:L,COLUMN('Price List, Weapons &amp; Items'!$L$11)-1,0)</f>
        <v>2</v>
      </c>
      <c r="AR1471" s="1194">
        <f t="shared" si="307"/>
        <v>1</v>
      </c>
      <c r="AS1471" s="1194">
        <f t="shared" si="308"/>
        <v>1</v>
      </c>
      <c r="AT1471" s="1194">
        <f t="shared" si="309"/>
        <v>1</v>
      </c>
      <c r="AU1471" s="1194" t="str">
        <f t="shared" si="311"/>
        <v>.</v>
      </c>
      <c r="AV1471" s="1194" t="str">
        <f t="shared" si="301"/>
        <v>.</v>
      </c>
      <c r="AW1471" s="1194" t="str">
        <f t="shared" si="310"/>
        <v>.</v>
      </c>
      <c r="AX1471" s="1194">
        <f>IFERROR(VLOOKUP(B1471,'Share, Heavy Weapons to Ukraine'!B:Z,COLUMN('Share, Heavy Weapons to Ukraine'!C1483)-1,0),0)</f>
        <v>1</v>
      </c>
      <c r="AY1471" s="1194">
        <f>VLOOKUP('Bilateral Assistance, MAIN DATA'!B1471,'Country Summary (€)'!B:F,COLUMN('Country Summary (€)'!C1484)-1,FALSE)</f>
        <v>0</v>
      </c>
      <c r="AZ1471" s="1194" t="str">
        <f>IF(AND(AD1471=1,D1471="Military",H1471&lt;&gt;"Not given")=TRUE,IF(SUMIFS(P:P,A:A,A1471)&gt;0,ABS((SUMIFS(P:P,A:A,A1471)/VLOOKUP("USD",'Exchange Rates'!B:C,2,0)))/S1471,"."),".")</f>
        <v>.</v>
      </c>
      <c r="BA1471" s="1196" t="str">
        <f>IF(AND(AD1471=1,D1471="Military",H1471&lt;&gt;"Not given")=TRUE,IF(SUMIFS(P:P,A:A,A1471)&gt;0,IF((ABS((SUMIFS(P:P,A:A,A1471)/VLOOKUP("USD",'Exchange Rates'!B:C,2,0)))/S1471)&gt;1,(SUMIFS(P:P,A:A,A1471)-S1471)/S1471,(S1471-SUMIFS(P:P,A:A,A1471))/SUMIFS(P:P,A:A,A1471)),"."),".")</f>
        <v>.</v>
      </c>
    </row>
    <row r="1472" spans="1:53" ht="15.95" customHeight="1">
      <c r="A1472" s="1182" t="s">
        <v>3987</v>
      </c>
      <c r="B1472" s="1182" t="s">
        <v>3949</v>
      </c>
      <c r="C1472" s="1181">
        <v>44664</v>
      </c>
      <c r="D1472" s="1182" t="s">
        <v>389</v>
      </c>
      <c r="E1472" s="1182" t="s">
        <v>1676</v>
      </c>
      <c r="F1472" s="1183" t="s">
        <v>4019</v>
      </c>
      <c r="G1472" s="1184" t="s">
        <v>456</v>
      </c>
      <c r="H1472" s="1185">
        <v>800000000</v>
      </c>
      <c r="I1472" s="1180" t="s">
        <v>2702</v>
      </c>
      <c r="J1472" s="1186" t="str">
        <f>VLOOKUP($I1472,'Price List, Weapons &amp; Items'!B:C,2,0)</f>
        <v>Military equipment</v>
      </c>
      <c r="K1472" s="1186" t="str">
        <f>IF(I1472=".",I1472,VLOOKUP($I1472,'Price List, Weapons &amp; Items'!B:D,3,0))</f>
        <v>Military equipment</v>
      </c>
      <c r="L1472" s="1187">
        <f>VLOOKUP(I1472,'Price List, Weapons &amp; Items'!B:E,4,0)</f>
        <v>0</v>
      </c>
      <c r="M1472" s="1188">
        <v>10</v>
      </c>
      <c r="N1472" s="1188">
        <v>10</v>
      </c>
      <c r="O1472" s="1188">
        <f>VLOOKUP($I1472,'Price List, Weapons &amp; Items'!B:G,6,0)</f>
        <v>8888888</v>
      </c>
      <c r="P1472" s="1185">
        <f t="shared" si="302"/>
        <v>88888880</v>
      </c>
      <c r="Q1472" s="1185">
        <f t="shared" si="303"/>
        <v>88888880</v>
      </c>
      <c r="R1472" s="1185" t="str">
        <f t="shared" si="299"/>
        <v/>
      </c>
      <c r="S1472" s="1185" t="str">
        <f>IF(AND(AD1472=1,R1472&lt;&gt;".")=TRUE,R1472/VLOOKUP(G1472,'Exchange Rates'!B:C,2,0),IF(R1472=".",".",""))</f>
        <v/>
      </c>
      <c r="T1472" s="1185" t="str">
        <f>IF(AD1472=1,IF(AF1472="Value is not given at all",".",IF(AF1472="Value is given by the source",S1472,IF(AF1472="Value is calculated with prices",(IF(SUMIFS(Q:Q,A:A,A1472)&gt;0,SUMIFS(Q:Q,A:A,A1472),"."))/VLOOKUP("USD",'Exchange Rates'!B:C,2,0),"Error with coding"))),"")</f>
        <v/>
      </c>
      <c r="U1472" s="1184" t="s">
        <v>365</v>
      </c>
      <c r="V1472" s="974" t="s">
        <v>3991</v>
      </c>
      <c r="W1472" s="973" t="s">
        <v>3955</v>
      </c>
      <c r="X1472" s="973" t="s">
        <v>3959</v>
      </c>
      <c r="Y1472" s="973" t="s">
        <v>4021</v>
      </c>
      <c r="Z1472" s="1184">
        <v>0</v>
      </c>
      <c r="AA1472" s="1194">
        <v>0</v>
      </c>
      <c r="AB1472" s="973" t="s">
        <v>4022</v>
      </c>
      <c r="AC1472" s="1192" t="str">
        <f>""</f>
        <v/>
      </c>
      <c r="AD1472" s="1193">
        <v>0</v>
      </c>
      <c r="AE1472" s="1302" t="s">
        <v>368</v>
      </c>
      <c r="AF1472" s="1193" t="s">
        <v>368</v>
      </c>
      <c r="AG1472" s="1193">
        <v>1</v>
      </c>
      <c r="AH1472" s="1193">
        <v>4</v>
      </c>
      <c r="AI1472" s="1193">
        <v>0</v>
      </c>
      <c r="AJ1472" s="1193">
        <f>VLOOKUP($I1472,'Price List, Weapons &amp; Items'!B:F,5,0)</f>
        <v>0</v>
      </c>
      <c r="AK1472" s="1193">
        <f t="shared" si="304"/>
        <v>0</v>
      </c>
      <c r="AL1472" s="1193">
        <f t="shared" si="305"/>
        <v>0</v>
      </c>
      <c r="AM1472" s="1193">
        <f t="shared" si="306"/>
        <v>0</v>
      </c>
      <c r="AN1472" s="1194" t="str">
        <f>VLOOKUP($I1472,'Price List, Weapons &amp; Items'!B:L,COLUMN('Price List, Weapons &amp; Items'!$J$11)-1,0)</f>
        <v>Military media (incl. websites)</v>
      </c>
      <c r="AO1472" s="1194" t="str">
        <f>IF(I1472=".",".",VLOOKUP($I1472,'Price List, Weapons &amp; Items'!B:J,3,0))</f>
        <v>Military equipment</v>
      </c>
      <c r="AP1472" s="1195" t="str">
        <f t="shared" ca="1" si="300"/>
        <v/>
      </c>
      <c r="AQ1472" s="1194">
        <f>VLOOKUP($I1472,'Price List, Weapons &amp; Items'!B:L,COLUMN('Price List, Weapons &amp; Items'!$L$11)-1,0)</f>
        <v>2</v>
      </c>
      <c r="AR1472" s="1194">
        <f t="shared" si="307"/>
        <v>1</v>
      </c>
      <c r="AS1472" s="1194">
        <f t="shared" si="308"/>
        <v>1</v>
      </c>
      <c r="AT1472" s="1194">
        <f t="shared" si="309"/>
        <v>1</v>
      </c>
      <c r="AU1472" s="1194" t="str">
        <f t="shared" si="311"/>
        <v>.</v>
      </c>
      <c r="AV1472" s="1194" t="str">
        <f t="shared" si="301"/>
        <v>.</v>
      </c>
      <c r="AW1472" s="1194" t="str">
        <f t="shared" si="310"/>
        <v>.</v>
      </c>
      <c r="AX1472" s="1194">
        <f>IFERROR(VLOOKUP(B1472,'Share, Heavy Weapons to Ukraine'!B:Z,COLUMN('Share, Heavy Weapons to Ukraine'!C1484)-1,0),0)</f>
        <v>1</v>
      </c>
      <c r="AY1472" s="1194">
        <f>VLOOKUP('Bilateral Assistance, MAIN DATA'!B1472,'Country Summary (€)'!B:F,COLUMN('Country Summary (€)'!C1485)-1,FALSE)</f>
        <v>0</v>
      </c>
      <c r="AZ1472" s="1194" t="str">
        <f>IF(AND(AD1472=1,D1472="Military",H1472&lt;&gt;"Not given")=TRUE,IF(SUMIFS(P:P,A:A,A1472)&gt;0,ABS((SUMIFS(P:P,A:A,A1472)/VLOOKUP("USD",'Exchange Rates'!B:C,2,0)))/S1472,"."),".")</f>
        <v>.</v>
      </c>
      <c r="BA1472" s="1196" t="str">
        <f>IF(AND(AD1472=1,D1472="Military",H1472&lt;&gt;"Not given")=TRUE,IF(SUMIFS(P:P,A:A,A1472)&gt;0,IF((ABS((SUMIFS(P:P,A:A,A1472)/VLOOKUP("USD",'Exchange Rates'!B:C,2,0)))/S1472)&gt;1,(SUMIFS(P:P,A:A,A1472)-S1472)/S1472,(S1472-SUMIFS(P:P,A:A,A1472))/SUMIFS(P:P,A:A,A1472)),"."),".")</f>
        <v>.</v>
      </c>
    </row>
    <row r="1473" spans="1:53" ht="15.95" customHeight="1">
      <c r="A1473" s="1182" t="s">
        <v>3987</v>
      </c>
      <c r="B1473" s="1182" t="s">
        <v>3949</v>
      </c>
      <c r="C1473" s="1181">
        <v>44664</v>
      </c>
      <c r="D1473" s="1182" t="s">
        <v>389</v>
      </c>
      <c r="E1473" s="1182" t="s">
        <v>1676</v>
      </c>
      <c r="F1473" s="1183" t="s">
        <v>4019</v>
      </c>
      <c r="G1473" s="1184" t="s">
        <v>456</v>
      </c>
      <c r="H1473" s="1185">
        <v>800000000</v>
      </c>
      <c r="I1473" s="1180" t="s">
        <v>4023</v>
      </c>
      <c r="J1473" s="1186" t="str">
        <f>VLOOKUP($I1473,'Price List, Weapons &amp; Items'!B:C,2,0)</f>
        <v>Heavy weapon</v>
      </c>
      <c r="K1473" s="1186" t="str">
        <f>IF(I1473=".",I1473,VLOOKUP($I1473,'Price List, Weapons &amp; Items'!B:D,3,0))</f>
        <v>Radar or imagery systems</v>
      </c>
      <c r="L1473" s="1187">
        <f>VLOOKUP(I1473,'Price List, Weapons &amp; Items'!B:E,4,0)</f>
        <v>0</v>
      </c>
      <c r="M1473" s="1188">
        <v>2</v>
      </c>
      <c r="N1473" s="1188">
        <v>2</v>
      </c>
      <c r="O1473" s="1188">
        <f>VLOOKUP($I1473,'Price List, Weapons &amp; Items'!B:G,6,0)</f>
        <v>70000000</v>
      </c>
      <c r="P1473" s="1185">
        <f t="shared" si="302"/>
        <v>140000000</v>
      </c>
      <c r="Q1473" s="1185">
        <f t="shared" si="303"/>
        <v>140000000</v>
      </c>
      <c r="R1473" s="1185" t="str">
        <f t="shared" si="299"/>
        <v/>
      </c>
      <c r="S1473" s="1185" t="str">
        <f>IF(AND(AD1473=1,R1473&lt;&gt;".")=TRUE,R1473/VLOOKUP(G1473,'Exchange Rates'!B:C,2,0),IF(R1473=".",".",""))</f>
        <v/>
      </c>
      <c r="T1473" s="1185" t="str">
        <f>IF(AD1473=1,IF(AF1473="Value is not given at all",".",IF(AF1473="Value is given by the source",S1473,IF(AF1473="Value is calculated with prices",(IF(SUMIFS(Q:Q,A:A,A1473)&gt;0,SUMIFS(Q:Q,A:A,A1473),"."))/VLOOKUP("USD",'Exchange Rates'!B:C,2,0),"Error with coding"))),"")</f>
        <v/>
      </c>
      <c r="U1473" s="1184" t="s">
        <v>365</v>
      </c>
      <c r="V1473" s="974" t="s">
        <v>3991</v>
      </c>
      <c r="W1473" s="973" t="s">
        <v>3955</v>
      </c>
      <c r="X1473" s="973" t="s">
        <v>3959</v>
      </c>
      <c r="Y1473" s="973" t="s">
        <v>4022</v>
      </c>
      <c r="Z1473" s="1184">
        <v>0</v>
      </c>
      <c r="AA1473" s="1194">
        <v>0</v>
      </c>
      <c r="AB1473" s="973" t="s">
        <v>4024</v>
      </c>
      <c r="AC1473" s="1192" t="str">
        <f>""</f>
        <v/>
      </c>
      <c r="AD1473" s="1193">
        <v>0</v>
      </c>
      <c r="AE1473" s="1302" t="s">
        <v>368</v>
      </c>
      <c r="AF1473" s="1193" t="s">
        <v>368</v>
      </c>
      <c r="AG1473" s="1193">
        <v>1</v>
      </c>
      <c r="AH1473" s="1193">
        <v>4</v>
      </c>
      <c r="AI1473" s="1193">
        <v>0</v>
      </c>
      <c r="AJ1473" s="1193">
        <f>VLOOKUP($I1473,'Price List, Weapons &amp; Items'!B:F,5,0)</f>
        <v>0</v>
      </c>
      <c r="AK1473" s="1193">
        <f t="shared" si="304"/>
        <v>0</v>
      </c>
      <c r="AL1473" s="1193">
        <f t="shared" si="305"/>
        <v>0</v>
      </c>
      <c r="AM1473" s="1193">
        <f t="shared" si="306"/>
        <v>0</v>
      </c>
      <c r="AN1473" s="1194" t="str">
        <f>VLOOKUP($I1473,'Price List, Weapons &amp; Items'!B:L,COLUMN('Price List, Weapons &amp; Items'!$J$11)-1,0)</f>
        <v>Military media (incl. websites)</v>
      </c>
      <c r="AO1473" s="1194" t="str">
        <f>IF(I1473=".",".",VLOOKUP($I1473,'Price List, Weapons &amp; Items'!B:J,3,0))</f>
        <v>Radar or imagery systems</v>
      </c>
      <c r="AP1473" s="1195" t="str">
        <f t="shared" ca="1" si="300"/>
        <v/>
      </c>
      <c r="AQ1473" s="1194">
        <f>VLOOKUP($I1473,'Price List, Weapons &amp; Items'!B:L,COLUMN('Price List, Weapons &amp; Items'!$L$11)-1,0)</f>
        <v>2</v>
      </c>
      <c r="AR1473" s="1194">
        <f t="shared" si="307"/>
        <v>1</v>
      </c>
      <c r="AS1473" s="1194">
        <f t="shared" si="308"/>
        <v>1</v>
      </c>
      <c r="AT1473" s="1194">
        <f t="shared" si="309"/>
        <v>1</v>
      </c>
      <c r="AU1473" s="1194" t="str">
        <f t="shared" si="311"/>
        <v>.</v>
      </c>
      <c r="AV1473" s="1194" t="str">
        <f t="shared" si="301"/>
        <v>.</v>
      </c>
      <c r="AW1473" s="1194" t="str">
        <f t="shared" si="310"/>
        <v>.</v>
      </c>
      <c r="AX1473" s="1194">
        <f>IFERROR(VLOOKUP(B1473,'Share, Heavy Weapons to Ukraine'!B:Z,COLUMN('Share, Heavy Weapons to Ukraine'!C1485)-1,0),0)</f>
        <v>1</v>
      </c>
      <c r="AY1473" s="1194">
        <f>VLOOKUP('Bilateral Assistance, MAIN DATA'!B1473,'Country Summary (€)'!B:F,COLUMN('Country Summary (€)'!C1486)-1,FALSE)</f>
        <v>0</v>
      </c>
      <c r="AZ1473" s="1194" t="str">
        <f>IF(AND(AD1473=1,D1473="Military",H1473&lt;&gt;"Not given")=TRUE,IF(SUMIFS(P:P,A:A,A1473)&gt;0,ABS((SUMIFS(P:P,A:A,A1473)/VLOOKUP("USD",'Exchange Rates'!B:C,2,0)))/S1473,"."),".")</f>
        <v>.</v>
      </c>
      <c r="BA1473" s="1196" t="str">
        <f>IF(AND(AD1473=1,D1473="Military",H1473&lt;&gt;"Not given")=TRUE,IF(SUMIFS(P:P,A:A,A1473)&gt;0,IF((ABS((SUMIFS(P:P,A:A,A1473)/VLOOKUP("USD",'Exchange Rates'!B:C,2,0)))/S1473)&gt;1,(SUMIFS(P:P,A:A,A1473)-S1473)/S1473,(S1473-SUMIFS(P:P,A:A,A1473))/SUMIFS(P:P,A:A,A1473)),"."),".")</f>
        <v>.</v>
      </c>
    </row>
    <row r="1474" spans="1:53" ht="15.95" customHeight="1">
      <c r="A1474" s="1182" t="s">
        <v>3987</v>
      </c>
      <c r="B1474" s="1182" t="s">
        <v>3949</v>
      </c>
      <c r="C1474" s="1181">
        <v>44664</v>
      </c>
      <c r="D1474" s="1182" t="s">
        <v>389</v>
      </c>
      <c r="E1474" s="1182" t="s">
        <v>1676</v>
      </c>
      <c r="F1474" s="1183" t="s">
        <v>4019</v>
      </c>
      <c r="G1474" s="1184" t="s">
        <v>456</v>
      </c>
      <c r="H1474" s="1185">
        <v>800000000</v>
      </c>
      <c r="I1474" s="1180" t="s">
        <v>4025</v>
      </c>
      <c r="J1474" s="1186" t="str">
        <f>VLOOKUP($I1474,'Price List, Weapons &amp; Items'!B:C,2,0)</f>
        <v>Aviation and drones</v>
      </c>
      <c r="K1474" s="1186" t="str">
        <f>IF(I1474=".",I1474,VLOOKUP($I1474,'Price List, Weapons &amp; Items'!B:D,3,0))</f>
        <v>drone</v>
      </c>
      <c r="L1474" s="1187">
        <f>VLOOKUP(I1474,'Price List, Weapons &amp; Items'!B:E,4,0)</f>
        <v>0</v>
      </c>
      <c r="M1474" s="1188">
        <v>300</v>
      </c>
      <c r="N1474" s="1188">
        <v>300</v>
      </c>
      <c r="O1474" s="1188">
        <f>VLOOKUP($I1474,'Price List, Weapons &amp; Items'!B:G,6,0)</f>
        <v>6000</v>
      </c>
      <c r="P1474" s="1185">
        <f t="shared" si="302"/>
        <v>1800000</v>
      </c>
      <c r="Q1474" s="1185">
        <f t="shared" si="303"/>
        <v>1800000</v>
      </c>
      <c r="R1474" s="1185" t="str">
        <f t="shared" ref="R1474:R1537" si="313">IF(AD1474=1,IF(H1474&lt;&gt;"Not given",H1474,IF(TYPE(H1474)=2,IF(SUMIFS(P:P,A:A,A1474)&gt;0,SUMIFS(P:P,A:A,A1474),"."),"Format error")),"")</f>
        <v/>
      </c>
      <c r="S1474" s="1185" t="str">
        <f>IF(AND(AD1474=1,R1474&lt;&gt;".")=TRUE,R1474/VLOOKUP(G1474,'Exchange Rates'!B:C,2,0),IF(R1474=".",".",""))</f>
        <v/>
      </c>
      <c r="T1474" s="1185" t="str">
        <f>IF(AD1474=1,IF(AF1474="Value is not given at all",".",IF(AF1474="Value is given by the source",S1474,IF(AF1474="Value is calculated with prices",(IF(SUMIFS(Q:Q,A:A,A1474)&gt;0,SUMIFS(Q:Q,A:A,A1474),"."))/VLOOKUP("USD",'Exchange Rates'!B:C,2,0),"Error with coding"))),"")</f>
        <v/>
      </c>
      <c r="U1474" s="1184" t="s">
        <v>365</v>
      </c>
      <c r="V1474" s="974" t="s">
        <v>3991</v>
      </c>
      <c r="W1474" s="973" t="s">
        <v>3955</v>
      </c>
      <c r="X1474" s="973" t="s">
        <v>3959</v>
      </c>
      <c r="Y1474" s="973" t="s">
        <v>4024</v>
      </c>
      <c r="Z1474" s="1184">
        <v>0</v>
      </c>
      <c r="AA1474" s="1194">
        <v>0</v>
      </c>
      <c r="AB1474" s="973" t="s">
        <v>4026</v>
      </c>
      <c r="AC1474" s="1192" t="str">
        <f>""</f>
        <v/>
      </c>
      <c r="AD1474" s="1193">
        <v>0</v>
      </c>
      <c r="AE1474" s="1302" t="s">
        <v>368</v>
      </c>
      <c r="AF1474" s="1193" t="s">
        <v>368</v>
      </c>
      <c r="AG1474" s="1193">
        <v>1</v>
      </c>
      <c r="AH1474" s="1193">
        <v>4</v>
      </c>
      <c r="AI1474" s="1193">
        <v>0</v>
      </c>
      <c r="AJ1474" s="1193">
        <f>VLOOKUP($I1474,'Price List, Weapons &amp; Items'!B:F,5,0)</f>
        <v>0</v>
      </c>
      <c r="AK1474" s="1193">
        <f t="shared" si="304"/>
        <v>0</v>
      </c>
      <c r="AL1474" s="1193">
        <f t="shared" si="305"/>
        <v>0</v>
      </c>
      <c r="AM1474" s="1193">
        <f t="shared" si="306"/>
        <v>0</v>
      </c>
      <c r="AN1474" s="1194" t="str">
        <f>VLOOKUP($I1474,'Price List, Weapons &amp; Items'!B:L,COLUMN('Price List, Weapons &amp; Items'!$J$11)-1,0)</f>
        <v>Miscellaneous</v>
      </c>
      <c r="AO1474" s="1194" t="str">
        <f>IF(I1474=".",".",VLOOKUP($I1474,'Price List, Weapons &amp; Items'!B:J,3,0))</f>
        <v>drone</v>
      </c>
      <c r="AP1474" s="1195" t="str">
        <f t="shared" ref="AP1474:AP1537" ca="1" si="314">IF(AD1474=1,(OFFSET(I1474,0,0,COUNTIF(A:A,A1474),1)),"")</f>
        <v/>
      </c>
      <c r="AQ1474" s="1194">
        <f>VLOOKUP($I1474,'Price List, Weapons &amp; Items'!B:L,COLUMN('Price List, Weapons &amp; Items'!$L$11)-1,0)</f>
        <v>2</v>
      </c>
      <c r="AR1474" s="1194">
        <f t="shared" si="307"/>
        <v>1</v>
      </c>
      <c r="AS1474" s="1194">
        <f t="shared" si="308"/>
        <v>1</v>
      </c>
      <c r="AT1474" s="1194">
        <f t="shared" si="309"/>
        <v>1</v>
      </c>
      <c r="AU1474" s="1194" t="str">
        <f t="shared" si="311"/>
        <v>.</v>
      </c>
      <c r="AV1474" s="1194" t="str">
        <f t="shared" ref="AV1474:AV1537" si="315">IF(AND(_xlfn.ISFORMULA(R1474),_xlfn.ISFORMULA(S1474),_xlfn.ISFORMULA(T1474))=TRUE,".",1)</f>
        <v>.</v>
      </c>
      <c r="AW1474" s="1194" t="str">
        <f t="shared" si="310"/>
        <v>.</v>
      </c>
      <c r="AX1474" s="1194">
        <f>IFERROR(VLOOKUP(B1474,'Share, Heavy Weapons to Ukraine'!B:Z,COLUMN('Share, Heavy Weapons to Ukraine'!C1486)-1,0),0)</f>
        <v>1</v>
      </c>
      <c r="AY1474" s="1194">
        <f>VLOOKUP('Bilateral Assistance, MAIN DATA'!B1474,'Country Summary (€)'!B:F,COLUMN('Country Summary (€)'!C1487)-1,FALSE)</f>
        <v>0</v>
      </c>
      <c r="AZ1474" s="1194" t="str">
        <f>IF(AND(AD1474=1,D1474="Military",H1474&lt;&gt;"Not given")=TRUE,IF(SUMIFS(P:P,A:A,A1474)&gt;0,ABS((SUMIFS(P:P,A:A,A1474)/VLOOKUP("USD",'Exchange Rates'!B:C,2,0)))/S1474,"."),".")</f>
        <v>.</v>
      </c>
      <c r="BA1474" s="1196" t="str">
        <f>IF(AND(AD1474=1,D1474="Military",H1474&lt;&gt;"Not given")=TRUE,IF(SUMIFS(P:P,A:A,A1474)&gt;0,IF((ABS((SUMIFS(P:P,A:A,A1474)/VLOOKUP("USD",'Exchange Rates'!B:C,2,0)))/S1474)&gt;1,(SUMIFS(P:P,A:A,A1474)-S1474)/S1474,(S1474-SUMIFS(P:P,A:A,A1474))/SUMIFS(P:P,A:A,A1474)),"."),".")</f>
        <v>.</v>
      </c>
    </row>
    <row r="1475" spans="1:53" ht="15.95" customHeight="1">
      <c r="A1475" s="1182" t="s">
        <v>3987</v>
      </c>
      <c r="B1475" s="1182" t="s">
        <v>3949</v>
      </c>
      <c r="C1475" s="1181">
        <v>44664</v>
      </c>
      <c r="D1475" s="1182" t="s">
        <v>389</v>
      </c>
      <c r="E1475" s="1182" t="s">
        <v>1676</v>
      </c>
      <c r="F1475" s="1183" t="s">
        <v>4019</v>
      </c>
      <c r="G1475" s="1184" t="s">
        <v>456</v>
      </c>
      <c r="H1475" s="1185">
        <v>800000000</v>
      </c>
      <c r="I1475" s="1180" t="s">
        <v>1314</v>
      </c>
      <c r="J1475" s="1186" t="str">
        <f>VLOOKUP($I1475,'Price List, Weapons &amp; Items'!B:C,2,0)</f>
        <v>Ammunition for portable defence system</v>
      </c>
      <c r="K1475" s="1186" t="str">
        <f>IF(I1475=".",I1475,VLOOKUP($I1475,'Price List, Weapons &amp; Items'!B:D,3,0))</f>
        <v>Light Anti-armor Weapon (LAW) ammunition</v>
      </c>
      <c r="L1475" s="1187">
        <f>VLOOKUP(I1475,'Price List, Weapons &amp; Items'!B:E,4,0)</f>
        <v>0</v>
      </c>
      <c r="M1475" s="1188">
        <v>500</v>
      </c>
      <c r="N1475" s="1188">
        <v>500</v>
      </c>
      <c r="O1475" s="1188">
        <f>VLOOKUP($I1475,'Price List, Weapons &amp; Items'!B:G,6,0)</f>
        <v>78000</v>
      </c>
      <c r="P1475" s="1185">
        <f t="shared" ref="P1475:P1538" si="316">IF(TYPE(M1475)=1,IF(TYPE(O1475)=1,M1475*O1475,"No price"),".")</f>
        <v>39000000</v>
      </c>
      <c r="Q1475" s="1185">
        <f t="shared" ref="Q1475:Q1538" si="317">IF(TYPE(N1475)=1,IF(TYPE(O1475)=1,N1475*O1475,"No price"),".")</f>
        <v>39000000</v>
      </c>
      <c r="R1475" s="1185" t="str">
        <f t="shared" si="313"/>
        <v/>
      </c>
      <c r="S1475" s="1185" t="str">
        <f>IF(AND(AD1475=1,R1475&lt;&gt;".")=TRUE,R1475/VLOOKUP(G1475,'Exchange Rates'!B:C,2,0),IF(R1475=".",".",""))</f>
        <v/>
      </c>
      <c r="T1475" s="1185" t="str">
        <f>IF(AD1475=1,IF(AF1475="Value is not given at all",".",IF(AF1475="Value is given by the source",S1475,IF(AF1475="Value is calculated with prices",(IF(SUMIFS(Q:Q,A:A,A1475)&gt;0,SUMIFS(Q:Q,A:A,A1475),"."))/VLOOKUP("USD",'Exchange Rates'!B:C,2,0),"Error with coding"))),"")</f>
        <v/>
      </c>
      <c r="U1475" s="1184" t="s">
        <v>365</v>
      </c>
      <c r="V1475" s="974" t="s">
        <v>3991</v>
      </c>
      <c r="W1475" s="973" t="s">
        <v>3955</v>
      </c>
      <c r="X1475" s="973" t="s">
        <v>3959</v>
      </c>
      <c r="Y1475" s="973" t="s">
        <v>4026</v>
      </c>
      <c r="Z1475" s="1184">
        <v>0</v>
      </c>
      <c r="AA1475" s="1194">
        <v>0</v>
      </c>
      <c r="AB1475" s="973" t="s">
        <v>4027</v>
      </c>
      <c r="AC1475" s="1192" t="str">
        <f>""</f>
        <v/>
      </c>
      <c r="AD1475" s="1193">
        <v>0</v>
      </c>
      <c r="AE1475" s="1302" t="s">
        <v>368</v>
      </c>
      <c r="AF1475" s="1193" t="s">
        <v>368</v>
      </c>
      <c r="AG1475" s="1193">
        <v>1</v>
      </c>
      <c r="AH1475" s="1193">
        <v>4</v>
      </c>
      <c r="AI1475" s="1193">
        <v>0</v>
      </c>
      <c r="AJ1475" s="1193">
        <f>VLOOKUP($I1475,'Price List, Weapons &amp; Items'!B:F,5,0)</f>
        <v>0</v>
      </c>
      <c r="AK1475" s="1193">
        <f t="shared" ref="AK1475:AK1538" si="318">IF(AND(AJ1475=1,M1475="undisclosed")=TRUE,1,0)</f>
        <v>0</v>
      </c>
      <c r="AL1475" s="1193">
        <f t="shared" ref="AL1475:AL1538" si="319">IF(AND(AJ1475=1,N1475="undisclosed")=TRUE,1,0)</f>
        <v>0</v>
      </c>
      <c r="AM1475" s="1193">
        <f t="shared" ref="AM1475:AM1538" si="320">IFERROR(IF(SEARCH("ammuni",I1475,1)&gt;0,1,0),0)</f>
        <v>0</v>
      </c>
      <c r="AN1475" s="1194" t="str">
        <f>VLOOKUP($I1475,'Price List, Weapons &amp; Items'!B:L,COLUMN('Price List, Weapons &amp; Items'!$J$11)-1,0)</f>
        <v>Military media (incl. websites)</v>
      </c>
      <c r="AO1475" s="1194" t="str">
        <f>IF(I1475=".",".",VLOOKUP($I1475,'Price List, Weapons &amp; Items'!B:J,3,0))</f>
        <v>Light Anti-armor Weapon (LAW) ammunition</v>
      </c>
      <c r="AP1475" s="1195" t="str">
        <f t="shared" ca="1" si="314"/>
        <v/>
      </c>
      <c r="AQ1475" s="1194">
        <f>VLOOKUP($I1475,'Price List, Weapons &amp; Items'!B:L,COLUMN('Price List, Weapons &amp; Items'!$L$11)-1,0)</f>
        <v>2</v>
      </c>
      <c r="AR1475" s="1194">
        <f t="shared" ref="AR1475:AR1538" si="321">IF(U1475="Yes",1,0)</f>
        <v>1</v>
      </c>
      <c r="AS1475" s="1194">
        <f t="shared" ref="AS1475:AS1538" si="322">IF(D1475="Military",IF(OR(IFERROR(SEARCH("equipment",E1475,1),0)&gt;0,IFERROR(SEARCH("weapons",E1475,1),0)&gt;0),1,0),0)</f>
        <v>1</v>
      </c>
      <c r="AT1475" s="1194">
        <f t="shared" ref="AT1475:AT1538" si="323">IFERROR(IF(VALUE(TEXT(C1475,"mm"))=IF(AH1475&gt;12,AH1475-12,AH1475),".",IF(TEXT(C1475,"mm")="01",".",1)),"Value is not in date format")</f>
        <v>1</v>
      </c>
      <c r="AU1475" s="1194" t="str">
        <f t="shared" si="311"/>
        <v>.</v>
      </c>
      <c r="AV1475" s="1194" t="str">
        <f t="shared" si="315"/>
        <v>.</v>
      </c>
      <c r="AW1475" s="1194" t="str">
        <f t="shared" ref="AW1475:AW1538" si="324">IF(T1475&lt;&gt;".",IF(T1475&gt;S1475,1,"."),".")</f>
        <v>.</v>
      </c>
      <c r="AX1475" s="1194">
        <f>IFERROR(VLOOKUP(B1475,'Share, Heavy Weapons to Ukraine'!B:Z,COLUMN('Share, Heavy Weapons to Ukraine'!C1487)-1,0),0)</f>
        <v>1</v>
      </c>
      <c r="AY1475" s="1194">
        <f>VLOOKUP('Bilateral Assistance, MAIN DATA'!B1475,'Country Summary (€)'!B:F,COLUMN('Country Summary (€)'!C1488)-1,FALSE)</f>
        <v>0</v>
      </c>
      <c r="AZ1475" s="1194" t="str">
        <f>IF(AND(AD1475=1,D1475="Military",H1475&lt;&gt;"Not given")=TRUE,IF(SUMIFS(P:P,A:A,A1475)&gt;0,ABS((SUMIFS(P:P,A:A,A1475)/VLOOKUP("USD",'Exchange Rates'!B:C,2,0)))/S1475,"."),".")</f>
        <v>.</v>
      </c>
      <c r="BA1475" s="1196" t="str">
        <f>IF(AND(AD1475=1,D1475="Military",H1475&lt;&gt;"Not given")=TRUE,IF(SUMIFS(P:P,A:A,A1475)&gt;0,IF((ABS((SUMIFS(P:P,A:A,A1475)/VLOOKUP("USD",'Exchange Rates'!B:C,2,0)))/S1475)&gt;1,(SUMIFS(P:P,A:A,A1475)-S1475)/S1475,(S1475-SUMIFS(P:P,A:A,A1475))/SUMIFS(P:P,A:A,A1475)),"."),".")</f>
        <v>.</v>
      </c>
    </row>
    <row r="1476" spans="1:53" ht="15.95" customHeight="1">
      <c r="A1476" s="1182" t="s">
        <v>3987</v>
      </c>
      <c r="B1476" s="1182" t="s">
        <v>3949</v>
      </c>
      <c r="C1476" s="1181">
        <v>44664</v>
      </c>
      <c r="D1476" s="1182" t="s">
        <v>389</v>
      </c>
      <c r="E1476" s="1182" t="s">
        <v>1676</v>
      </c>
      <c r="F1476" s="1183" t="s">
        <v>4019</v>
      </c>
      <c r="G1476" s="1184" t="s">
        <v>456</v>
      </c>
      <c r="H1476" s="1185">
        <v>800000000</v>
      </c>
      <c r="I1476" s="1180" t="s">
        <v>4028</v>
      </c>
      <c r="J1476" s="1186" t="str">
        <f>VLOOKUP($I1476,'Price List, Weapons &amp; Items'!B:C,2,0)</f>
        <v>Portable defence system</v>
      </c>
      <c r="K1476" s="1186" t="str">
        <f>IF(I1476=".",I1476,VLOOKUP($I1476,'Price List, Weapons &amp; Items'!B:D,3,0))</f>
        <v>Light Anti-armor Weapon (LAW)</v>
      </c>
      <c r="L1476" s="1187">
        <f>VLOOKUP(I1476,'Price List, Weapons &amp; Items'!B:E,4,0)</f>
        <v>0</v>
      </c>
      <c r="M1476" s="1188">
        <v>4567</v>
      </c>
      <c r="N1476" s="1188">
        <f>M1476</f>
        <v>4567</v>
      </c>
      <c r="O1476" s="1188">
        <f>VLOOKUP($I1476,'Price List, Weapons &amp; Items'!B:G,6,0)</f>
        <v>78000</v>
      </c>
      <c r="P1476" s="1185">
        <f t="shared" si="316"/>
        <v>356226000</v>
      </c>
      <c r="Q1476" s="1185">
        <f t="shared" si="317"/>
        <v>356226000</v>
      </c>
      <c r="R1476" s="1185" t="str">
        <f t="shared" si="313"/>
        <v/>
      </c>
      <c r="S1476" s="1185" t="str">
        <f>IF(AND(AD1476=1,R1476&lt;&gt;".")=TRUE,R1476/VLOOKUP(G1476,'Exchange Rates'!B:C,2,0),IF(R1476=".",".",""))</f>
        <v/>
      </c>
      <c r="T1476" s="1185" t="str">
        <f>IF(AD1476=1,IF(AF1476="Value is not given at all",".",IF(AF1476="Value is given by the source",S1476,IF(AF1476="Value is calculated with prices",(IF(SUMIFS(Q:Q,A:A,A1476)&gt;0,SUMIFS(Q:Q,A:A,A1476),"."))/VLOOKUP("USD",'Exchange Rates'!B:C,2,0),"Error with coding"))),"")</f>
        <v/>
      </c>
      <c r="U1476" s="1184" t="s">
        <v>365</v>
      </c>
      <c r="V1476" s="974" t="s">
        <v>3991</v>
      </c>
      <c r="W1476" s="973" t="s">
        <v>3955</v>
      </c>
      <c r="X1476" s="973" t="s">
        <v>3959</v>
      </c>
      <c r="Y1476" s="973" t="s">
        <v>4027</v>
      </c>
      <c r="Z1476" s="1184">
        <v>0</v>
      </c>
      <c r="AA1476" s="1194">
        <v>0</v>
      </c>
      <c r="AB1476" s="973" t="s">
        <v>4029</v>
      </c>
      <c r="AC1476" s="1192" t="str">
        <f>""</f>
        <v/>
      </c>
      <c r="AD1476" s="1193">
        <v>0</v>
      </c>
      <c r="AE1476" s="1302" t="s">
        <v>368</v>
      </c>
      <c r="AF1476" s="1193" t="s">
        <v>368</v>
      </c>
      <c r="AG1476" s="1193">
        <v>1</v>
      </c>
      <c r="AH1476" s="1193">
        <v>4</v>
      </c>
      <c r="AI1476" s="1193">
        <v>0</v>
      </c>
      <c r="AJ1476" s="1193">
        <f>VLOOKUP($I1476,'Price List, Weapons &amp; Items'!B:F,5,0)</f>
        <v>0</v>
      </c>
      <c r="AK1476" s="1193">
        <f t="shared" si="318"/>
        <v>0</v>
      </c>
      <c r="AL1476" s="1193">
        <f t="shared" si="319"/>
        <v>0</v>
      </c>
      <c r="AM1476" s="1193">
        <f t="shared" si="320"/>
        <v>0</v>
      </c>
      <c r="AN1476" s="1194" t="str">
        <f>VLOOKUP($I1476,'Price List, Weapons &amp; Items'!B:L,COLUMN('Price List, Weapons &amp; Items'!$J$11)-1,0)</f>
        <v>Military media (incl. websites)</v>
      </c>
      <c r="AO1476" s="1194" t="str">
        <f>IF(I1476=".",".",VLOOKUP($I1476,'Price List, Weapons &amp; Items'!B:J,3,0))</f>
        <v>Light Anti-armor Weapon (LAW)</v>
      </c>
      <c r="AP1476" s="1195" t="str">
        <f t="shared" ca="1" si="314"/>
        <v/>
      </c>
      <c r="AQ1476" s="1194">
        <f>VLOOKUP($I1476,'Price List, Weapons &amp; Items'!B:L,COLUMN('Price List, Weapons &amp; Items'!$L$11)-1,0)</f>
        <v>2</v>
      </c>
      <c r="AR1476" s="1194">
        <f t="shared" si="321"/>
        <v>1</v>
      </c>
      <c r="AS1476" s="1194">
        <f t="shared" si="322"/>
        <v>1</v>
      </c>
      <c r="AT1476" s="1194">
        <f t="shared" si="323"/>
        <v>1</v>
      </c>
      <c r="AU1476" s="1194" t="str">
        <f t="shared" si="311"/>
        <v>.</v>
      </c>
      <c r="AV1476" s="1194" t="str">
        <f t="shared" si="315"/>
        <v>.</v>
      </c>
      <c r="AW1476" s="1194" t="str">
        <f t="shared" si="324"/>
        <v>.</v>
      </c>
      <c r="AX1476" s="1194">
        <f>IFERROR(VLOOKUP(B1476,'Share, Heavy Weapons to Ukraine'!B:Z,COLUMN('Share, Heavy Weapons to Ukraine'!C1488)-1,0),0)</f>
        <v>1</v>
      </c>
      <c r="AY1476" s="1194">
        <f>VLOOKUP('Bilateral Assistance, MAIN DATA'!B1476,'Country Summary (€)'!B:F,COLUMN('Country Summary (€)'!C1489)-1,FALSE)</f>
        <v>0</v>
      </c>
      <c r="AZ1476" s="1194" t="str">
        <f>IF(AND(AD1476=1,D1476="Military",H1476&lt;&gt;"Not given")=TRUE,IF(SUMIFS(P:P,A:A,A1476)&gt;0,ABS((SUMIFS(P:P,A:A,A1476)/VLOOKUP("USD",'Exchange Rates'!B:C,2,0)))/S1476,"."),".")</f>
        <v>.</v>
      </c>
      <c r="BA1476" s="1196" t="str">
        <f>IF(AND(AD1476=1,D1476="Military",H1476&lt;&gt;"Not given")=TRUE,IF(SUMIFS(P:P,A:A,A1476)&gt;0,IF((ABS((SUMIFS(P:P,A:A,A1476)/VLOOKUP("USD",'Exchange Rates'!B:C,2,0)))/S1476)&gt;1,(SUMIFS(P:P,A:A,A1476)-S1476)/S1476,(S1476-SUMIFS(P:P,A:A,A1476))/SUMIFS(P:P,A:A,A1476)),"."),".")</f>
        <v>.</v>
      </c>
    </row>
    <row r="1477" spans="1:53" ht="15.95" customHeight="1">
      <c r="A1477" s="1182" t="s">
        <v>3987</v>
      </c>
      <c r="B1477" s="1182" t="s">
        <v>3949</v>
      </c>
      <c r="C1477" s="1181">
        <v>44664</v>
      </c>
      <c r="D1477" s="1182" t="s">
        <v>389</v>
      </c>
      <c r="E1477" s="1182" t="s">
        <v>1676</v>
      </c>
      <c r="F1477" s="1183" t="s">
        <v>4019</v>
      </c>
      <c r="G1477" s="1184" t="s">
        <v>456</v>
      </c>
      <c r="H1477" s="1185">
        <v>800000000</v>
      </c>
      <c r="I1477" s="1180" t="s">
        <v>428</v>
      </c>
      <c r="J1477" s="1186" t="str">
        <f>VLOOKUP($I1477,'Price List, Weapons &amp; Items'!B:C,2,0)</f>
        <v>Heavy weapon</v>
      </c>
      <c r="K1477" s="1186" t="str">
        <f>IF(I1477=".",I1477,VLOOKUP($I1477,'Price List, Weapons &amp; Items'!B:D,3,0))</f>
        <v>Armored Personnel Carrier (APC)</v>
      </c>
      <c r="L1477" s="1187">
        <f>VLOOKUP(I1477,'Price List, Weapons &amp; Items'!B:E,4,0)</f>
        <v>0</v>
      </c>
      <c r="M1477" s="1188">
        <v>200</v>
      </c>
      <c r="N1477" s="1188">
        <v>200</v>
      </c>
      <c r="O1477" s="1188">
        <f>VLOOKUP($I1477,'Price List, Weapons &amp; Items'!B:G,6,0)</f>
        <v>300000</v>
      </c>
      <c r="P1477" s="1185">
        <f t="shared" si="316"/>
        <v>60000000</v>
      </c>
      <c r="Q1477" s="1185">
        <f t="shared" si="317"/>
        <v>60000000</v>
      </c>
      <c r="R1477" s="1185" t="str">
        <f t="shared" si="313"/>
        <v/>
      </c>
      <c r="S1477" s="1185" t="str">
        <f>IF(AND(AD1477=1,R1477&lt;&gt;".")=TRUE,R1477/VLOOKUP(G1477,'Exchange Rates'!B:C,2,0),IF(R1477=".",".",""))</f>
        <v/>
      </c>
      <c r="T1477" s="1185" t="str">
        <f>IF(AD1477=1,IF(AF1477="Value is not given at all",".",IF(AF1477="Value is given by the source",S1477,IF(AF1477="Value is calculated with prices",(IF(SUMIFS(Q:Q,A:A,A1477)&gt;0,SUMIFS(Q:Q,A:A,A1477),"."))/VLOOKUP("USD",'Exchange Rates'!B:C,2,0),"Error with coding"))),"")</f>
        <v/>
      </c>
      <c r="U1477" s="1184" t="s">
        <v>365</v>
      </c>
      <c r="V1477" s="974" t="s">
        <v>3991</v>
      </c>
      <c r="W1477" s="973" t="s">
        <v>3955</v>
      </c>
      <c r="X1477" s="973" t="s">
        <v>3959</v>
      </c>
      <c r="Y1477" s="973" t="s">
        <v>4029</v>
      </c>
      <c r="Z1477" s="1184">
        <v>0</v>
      </c>
      <c r="AA1477" s="1194">
        <v>0</v>
      </c>
      <c r="AB1477" s="973" t="s">
        <v>4030</v>
      </c>
      <c r="AC1477" s="1192" t="str">
        <f>""</f>
        <v/>
      </c>
      <c r="AD1477" s="1193">
        <v>0</v>
      </c>
      <c r="AE1477" s="1302" t="s">
        <v>368</v>
      </c>
      <c r="AF1477" s="1193" t="s">
        <v>368</v>
      </c>
      <c r="AG1477" s="1193">
        <v>1</v>
      </c>
      <c r="AH1477" s="1193">
        <v>4</v>
      </c>
      <c r="AI1477" s="1193">
        <v>0</v>
      </c>
      <c r="AJ1477" s="1193">
        <f>VLOOKUP($I1477,'Price List, Weapons &amp; Items'!B:F,5,0)</f>
        <v>1</v>
      </c>
      <c r="AK1477" s="1193">
        <f t="shared" si="318"/>
        <v>0</v>
      </c>
      <c r="AL1477" s="1193">
        <f t="shared" si="319"/>
        <v>0</v>
      </c>
      <c r="AM1477" s="1193">
        <f t="shared" si="320"/>
        <v>0</v>
      </c>
      <c r="AN1477" s="1194" t="str">
        <f>VLOOKUP($I1477,'Price List, Weapons &amp; Items'!B:L,COLUMN('Price List, Weapons &amp; Items'!$J$11)-1,0)</f>
        <v>Military media (incl. websites)</v>
      </c>
      <c r="AO1477" s="1194" t="str">
        <f>IF(I1477=".",".",VLOOKUP($I1477,'Price List, Weapons &amp; Items'!B:J,3,0))</f>
        <v>Armored Personnel Carrier (APC)</v>
      </c>
      <c r="AP1477" s="1195" t="str">
        <f t="shared" ca="1" si="314"/>
        <v/>
      </c>
      <c r="AQ1477" s="1194">
        <f>VLOOKUP($I1477,'Price List, Weapons &amp; Items'!B:L,COLUMN('Price List, Weapons &amp; Items'!$L$11)-1,0)</f>
        <v>2</v>
      </c>
      <c r="AR1477" s="1194">
        <f t="shared" si="321"/>
        <v>1</v>
      </c>
      <c r="AS1477" s="1194">
        <f t="shared" si="322"/>
        <v>1</v>
      </c>
      <c r="AT1477" s="1194">
        <f t="shared" si="323"/>
        <v>1</v>
      </c>
      <c r="AU1477" s="1194" t="str">
        <f t="shared" si="311"/>
        <v>.</v>
      </c>
      <c r="AV1477" s="1194" t="str">
        <f t="shared" si="315"/>
        <v>.</v>
      </c>
      <c r="AW1477" s="1194" t="str">
        <f t="shared" si="324"/>
        <v>.</v>
      </c>
      <c r="AX1477" s="1194">
        <f>IFERROR(VLOOKUP(B1477,'Share, Heavy Weapons to Ukraine'!B:Z,COLUMN('Share, Heavy Weapons to Ukraine'!C1489)-1,0),0)</f>
        <v>1</v>
      </c>
      <c r="AY1477" s="1194">
        <f>VLOOKUP('Bilateral Assistance, MAIN DATA'!B1477,'Country Summary (€)'!B:F,COLUMN('Country Summary (€)'!C1490)-1,FALSE)</f>
        <v>0</v>
      </c>
      <c r="AZ1477" s="1194" t="str">
        <f>IF(AND(AD1477=1,D1477="Military",H1477&lt;&gt;"Not given")=TRUE,IF(SUMIFS(P:P,A:A,A1477)&gt;0,ABS((SUMIFS(P:P,A:A,A1477)/VLOOKUP("USD",'Exchange Rates'!B:C,2,0)))/S1477,"."),".")</f>
        <v>.</v>
      </c>
      <c r="BA1477" s="1196" t="str">
        <f>IF(AND(AD1477=1,D1477="Military",H1477&lt;&gt;"Not given")=TRUE,IF(SUMIFS(P:P,A:A,A1477)&gt;0,IF((ABS((SUMIFS(P:P,A:A,A1477)/VLOOKUP("USD",'Exchange Rates'!B:C,2,0)))/S1477)&gt;1,(SUMIFS(P:P,A:A,A1477)-S1477)/S1477,(S1477-SUMIFS(P:P,A:A,A1477))/SUMIFS(P:P,A:A,A1477)),"."),".")</f>
        <v>.</v>
      </c>
    </row>
    <row r="1478" spans="1:53" ht="15.95" customHeight="1">
      <c r="A1478" s="1182" t="s">
        <v>3987</v>
      </c>
      <c r="B1478" s="1182" t="s">
        <v>3949</v>
      </c>
      <c r="C1478" s="1181">
        <v>44664</v>
      </c>
      <c r="D1478" s="1182" t="s">
        <v>389</v>
      </c>
      <c r="E1478" s="1182" t="s">
        <v>1676</v>
      </c>
      <c r="F1478" s="1183" t="s">
        <v>4019</v>
      </c>
      <c r="G1478" s="1184" t="s">
        <v>456</v>
      </c>
      <c r="H1478" s="1185">
        <v>800000000</v>
      </c>
      <c r="I1478" s="1180" t="s">
        <v>4031</v>
      </c>
      <c r="J1478" s="1186" t="str">
        <f>VLOOKUP($I1478,'Price List, Weapons &amp; Items'!B:C,2,0)</f>
        <v>Heavy weapon</v>
      </c>
      <c r="K1478" s="1186" t="str">
        <f>IF(I1478=".",I1478,VLOOKUP($I1478,'Price List, Weapons &amp; Items'!B:D,3,0))</f>
        <v>Armored Utility Vehicle (AUV)</v>
      </c>
      <c r="L1478" s="1187">
        <f>VLOOKUP(I1478,'Price List, Weapons &amp; Items'!B:E,4,0)</f>
        <v>0</v>
      </c>
      <c r="M1478" s="1188">
        <v>100</v>
      </c>
      <c r="N1478" s="1188">
        <v>100</v>
      </c>
      <c r="O1478" s="1188">
        <f>VLOOKUP($I1478,'Price List, Weapons &amp; Items'!B:G,6,0)</f>
        <v>254717</v>
      </c>
      <c r="P1478" s="1185">
        <f t="shared" si="316"/>
        <v>25471700</v>
      </c>
      <c r="Q1478" s="1185">
        <f t="shared" si="317"/>
        <v>25471700</v>
      </c>
      <c r="R1478" s="1185" t="str">
        <f t="shared" si="313"/>
        <v/>
      </c>
      <c r="S1478" s="1185" t="str">
        <f>IF(AND(AD1478=1,R1478&lt;&gt;".")=TRUE,R1478/VLOOKUP(G1478,'Exchange Rates'!B:C,2,0),IF(R1478=".",".",""))</f>
        <v/>
      </c>
      <c r="T1478" s="1185" t="str">
        <f>IF(AD1478=1,IF(AF1478="Value is not given at all",".",IF(AF1478="Value is given by the source",S1478,IF(AF1478="Value is calculated with prices",(IF(SUMIFS(Q:Q,A:A,A1478)&gt;0,SUMIFS(Q:Q,A:A,A1478),"."))/VLOOKUP("USD",'Exchange Rates'!B:C,2,0),"Error with coding"))),"")</f>
        <v/>
      </c>
      <c r="U1478" s="1184" t="s">
        <v>365</v>
      </c>
      <c r="V1478" s="974" t="s">
        <v>3991</v>
      </c>
      <c r="W1478" s="973" t="s">
        <v>3955</v>
      </c>
      <c r="X1478" s="973" t="s">
        <v>3959</v>
      </c>
      <c r="Y1478" s="973" t="s">
        <v>4030</v>
      </c>
      <c r="Z1478" s="1184">
        <v>0</v>
      </c>
      <c r="AA1478" s="1194">
        <v>0</v>
      </c>
      <c r="AB1478" s="973" t="s">
        <v>4032</v>
      </c>
      <c r="AC1478" s="1192" t="str">
        <f>""</f>
        <v/>
      </c>
      <c r="AD1478" s="1193">
        <v>0</v>
      </c>
      <c r="AE1478" s="1302" t="s">
        <v>368</v>
      </c>
      <c r="AF1478" s="1193" t="s">
        <v>368</v>
      </c>
      <c r="AG1478" s="1193">
        <v>1</v>
      </c>
      <c r="AH1478" s="1193">
        <v>4</v>
      </c>
      <c r="AI1478" s="1193">
        <v>0</v>
      </c>
      <c r="AJ1478" s="1193">
        <f>VLOOKUP($I1478,'Price List, Weapons &amp; Items'!B:F,5,0)</f>
        <v>1</v>
      </c>
      <c r="AK1478" s="1193">
        <f t="shared" si="318"/>
        <v>0</v>
      </c>
      <c r="AL1478" s="1193">
        <f t="shared" si="319"/>
        <v>0</v>
      </c>
      <c r="AM1478" s="1193">
        <f t="shared" si="320"/>
        <v>0</v>
      </c>
      <c r="AN1478" s="1194" t="str">
        <f>VLOOKUP($I1478,'Price List, Weapons &amp; Items'!B:L,COLUMN('Price List, Weapons &amp; Items'!$J$11)-1,0)</f>
        <v>Military media (incl. websites)</v>
      </c>
      <c r="AO1478" s="1194" t="str">
        <f>IF(I1478=".",".",VLOOKUP($I1478,'Price List, Weapons &amp; Items'!B:J,3,0))</f>
        <v>Armored Utility Vehicle (AUV)</v>
      </c>
      <c r="AP1478" s="1195" t="str">
        <f t="shared" ca="1" si="314"/>
        <v/>
      </c>
      <c r="AQ1478" s="1194">
        <f>VLOOKUP($I1478,'Price List, Weapons &amp; Items'!B:L,COLUMN('Price List, Weapons &amp; Items'!$L$11)-1,0)</f>
        <v>2</v>
      </c>
      <c r="AR1478" s="1194">
        <f t="shared" si="321"/>
        <v>1</v>
      </c>
      <c r="AS1478" s="1194">
        <f t="shared" si="322"/>
        <v>1</v>
      </c>
      <c r="AT1478" s="1194">
        <f t="shared" si="323"/>
        <v>1</v>
      </c>
      <c r="AU1478" s="1194" t="str">
        <f t="shared" si="311"/>
        <v>.</v>
      </c>
      <c r="AV1478" s="1194" t="str">
        <f t="shared" si="315"/>
        <v>.</v>
      </c>
      <c r="AW1478" s="1194" t="str">
        <f t="shared" si="324"/>
        <v>.</v>
      </c>
      <c r="AX1478" s="1194">
        <f>IFERROR(VLOOKUP(B1478,'Share, Heavy Weapons to Ukraine'!B:Z,COLUMN('Share, Heavy Weapons to Ukraine'!C1490)-1,0),0)</f>
        <v>1</v>
      </c>
      <c r="AY1478" s="1194">
        <f>VLOOKUP('Bilateral Assistance, MAIN DATA'!B1478,'Country Summary (€)'!B:F,COLUMN('Country Summary (€)'!C1491)-1,FALSE)</f>
        <v>0</v>
      </c>
      <c r="AZ1478" s="1194" t="str">
        <f>IF(AND(AD1478=1,D1478="Military",H1478&lt;&gt;"Not given")=TRUE,IF(SUMIFS(P:P,A:A,A1478)&gt;0,ABS((SUMIFS(P:P,A:A,A1478)/VLOOKUP("USD",'Exchange Rates'!B:C,2,0)))/S1478,"."),".")</f>
        <v>.</v>
      </c>
      <c r="BA1478" s="1196" t="str">
        <f>IF(AND(AD1478=1,D1478="Military",H1478&lt;&gt;"Not given")=TRUE,IF(SUMIFS(P:P,A:A,A1478)&gt;0,IF((ABS((SUMIFS(P:P,A:A,A1478)/VLOOKUP("USD",'Exchange Rates'!B:C,2,0)))/S1478)&gt;1,(SUMIFS(P:P,A:A,A1478)-S1478)/S1478,(S1478-SUMIFS(P:P,A:A,A1478))/SUMIFS(P:P,A:A,A1478)),"."),".")</f>
        <v>.</v>
      </c>
    </row>
    <row r="1479" spans="1:53" ht="15.95" customHeight="1">
      <c r="A1479" s="1182" t="s">
        <v>3987</v>
      </c>
      <c r="B1479" s="1182" t="s">
        <v>3949</v>
      </c>
      <c r="C1479" s="1181">
        <v>44664</v>
      </c>
      <c r="D1479" s="1182" t="s">
        <v>389</v>
      </c>
      <c r="E1479" s="1182" t="s">
        <v>1676</v>
      </c>
      <c r="F1479" s="1183" t="s">
        <v>4019</v>
      </c>
      <c r="G1479" s="1184" t="s">
        <v>456</v>
      </c>
      <c r="H1479" s="1185">
        <v>800000000</v>
      </c>
      <c r="I1479" s="1180" t="s">
        <v>2458</v>
      </c>
      <c r="J1479" s="1186" t="str">
        <f>VLOOKUP($I1479,'Price List, Weapons &amp; Items'!B:C,2,0)</f>
        <v>Heavy weapon</v>
      </c>
      <c r="K1479" s="1186" t="str">
        <f>IF(I1479=".",I1479,VLOOKUP($I1479,'Price List, Weapons &amp; Items'!B:D,3,0))</f>
        <v>Combat aircraft</v>
      </c>
      <c r="L1479" s="1187">
        <f>VLOOKUP(I1479,'Price List, Weapons &amp; Items'!B:E,4,0)</f>
        <v>1</v>
      </c>
      <c r="M1479" s="1188">
        <v>11</v>
      </c>
      <c r="N1479" s="1188">
        <v>11</v>
      </c>
      <c r="O1479" s="1188">
        <f>VLOOKUP($I1479,'Price List, Weapons &amp; Items'!B:G,6,0)</f>
        <v>18400000</v>
      </c>
      <c r="P1479" s="1185">
        <f t="shared" si="316"/>
        <v>202400000</v>
      </c>
      <c r="Q1479" s="1185">
        <f t="shared" si="317"/>
        <v>202400000</v>
      </c>
      <c r="R1479" s="1185" t="str">
        <f t="shared" si="313"/>
        <v/>
      </c>
      <c r="S1479" s="1185" t="str">
        <f>IF(AND(AD1479=1,R1479&lt;&gt;".")=TRUE,R1479/VLOOKUP(G1479,'Exchange Rates'!B:C,2,0),IF(R1479=".",".",""))</f>
        <v/>
      </c>
      <c r="T1479" s="1185" t="str">
        <f>IF(AD1479=1,IF(AF1479="Value is not given at all",".",IF(AF1479="Value is given by the source",S1479,IF(AF1479="Value is calculated with prices",(IF(SUMIFS(Q:Q,A:A,A1479)&gt;0,SUMIFS(Q:Q,A:A,A1479),"."))/VLOOKUP("USD",'Exchange Rates'!B:C,2,0),"Error with coding"))),"")</f>
        <v/>
      </c>
      <c r="U1479" s="1184" t="s">
        <v>365</v>
      </c>
      <c r="V1479" s="974" t="s">
        <v>3991</v>
      </c>
      <c r="W1479" s="973" t="s">
        <v>3955</v>
      </c>
      <c r="X1479" s="973" t="s">
        <v>3959</v>
      </c>
      <c r="Y1479" s="973" t="s">
        <v>4032</v>
      </c>
      <c r="Z1479" s="1184">
        <v>0</v>
      </c>
      <c r="AA1479" s="1194">
        <v>0</v>
      </c>
      <c r="AB1479" s="973" t="s">
        <v>4033</v>
      </c>
      <c r="AC1479" s="1192" t="str">
        <f>""</f>
        <v/>
      </c>
      <c r="AD1479" s="1193">
        <v>0</v>
      </c>
      <c r="AE1479" s="1302" t="s">
        <v>368</v>
      </c>
      <c r="AF1479" s="1193" t="s">
        <v>368</v>
      </c>
      <c r="AG1479" s="1193">
        <v>1</v>
      </c>
      <c r="AH1479" s="1193">
        <v>4</v>
      </c>
      <c r="AI1479" s="1193">
        <v>0</v>
      </c>
      <c r="AJ1479" s="1193">
        <f>VLOOKUP($I1479,'Price List, Weapons &amp; Items'!B:F,5,0)</f>
        <v>0</v>
      </c>
      <c r="AK1479" s="1193">
        <f t="shared" si="318"/>
        <v>0</v>
      </c>
      <c r="AL1479" s="1193">
        <f t="shared" si="319"/>
        <v>0</v>
      </c>
      <c r="AM1479" s="1193">
        <f t="shared" si="320"/>
        <v>0</v>
      </c>
      <c r="AN1479" s="1194" t="str">
        <f>VLOOKUP($I1479,'Price List, Weapons &amp; Items'!B:L,COLUMN('Price List, Weapons &amp; Items'!$J$11)-1,0)</f>
        <v>Media reports (incl. social media)</v>
      </c>
      <c r="AO1479" s="1194" t="str">
        <f>IF(I1479=".",".",VLOOKUP($I1479,'Price List, Weapons &amp; Items'!B:J,3,0))</f>
        <v>Combat aircraft</v>
      </c>
      <c r="AP1479" s="1195" t="str">
        <f t="shared" ca="1" si="314"/>
        <v/>
      </c>
      <c r="AQ1479" s="1194">
        <f>VLOOKUP($I1479,'Price List, Weapons &amp; Items'!B:L,COLUMN('Price List, Weapons &amp; Items'!$L$11)-1,0)</f>
        <v>2</v>
      </c>
      <c r="AR1479" s="1194">
        <f t="shared" si="321"/>
        <v>1</v>
      </c>
      <c r="AS1479" s="1194">
        <f t="shared" si="322"/>
        <v>1</v>
      </c>
      <c r="AT1479" s="1194">
        <f t="shared" si="323"/>
        <v>1</v>
      </c>
      <c r="AU1479" s="1194" t="str">
        <f t="shared" si="311"/>
        <v>.</v>
      </c>
      <c r="AV1479" s="1194" t="str">
        <f t="shared" si="315"/>
        <v>.</v>
      </c>
      <c r="AW1479" s="1194" t="str">
        <f t="shared" si="324"/>
        <v>.</v>
      </c>
      <c r="AX1479" s="1194">
        <f>IFERROR(VLOOKUP(B1479,'Share, Heavy Weapons to Ukraine'!B:Z,COLUMN('Share, Heavy Weapons to Ukraine'!C1491)-1,0),0)</f>
        <v>1</v>
      </c>
      <c r="AY1479" s="1194">
        <f>VLOOKUP('Bilateral Assistance, MAIN DATA'!B1479,'Country Summary (€)'!B:F,COLUMN('Country Summary (€)'!C1492)-1,FALSE)</f>
        <v>0</v>
      </c>
      <c r="AZ1479" s="1194" t="str">
        <f>IF(AND(AD1479=1,D1479="Military",H1479&lt;&gt;"Not given")=TRUE,IF(SUMIFS(P:P,A:A,A1479)&gt;0,ABS((SUMIFS(P:P,A:A,A1479)/VLOOKUP("USD",'Exchange Rates'!B:C,2,0)))/S1479,"."),".")</f>
        <v>.</v>
      </c>
      <c r="BA1479" s="1196" t="str">
        <f>IF(AND(AD1479=1,D1479="Military",H1479&lt;&gt;"Not given")=TRUE,IF(SUMIFS(P:P,A:A,A1479)&gt;0,IF((ABS((SUMIFS(P:P,A:A,A1479)/VLOOKUP("USD",'Exchange Rates'!B:C,2,0)))/S1479)&gt;1,(SUMIFS(P:P,A:A,A1479)-S1479)/S1479,(S1479-SUMIFS(P:P,A:A,A1479))/SUMIFS(P:P,A:A,A1479)),"."),".")</f>
        <v>.</v>
      </c>
    </row>
    <row r="1480" spans="1:53" ht="15.95" customHeight="1">
      <c r="A1480" s="1182" t="s">
        <v>3987</v>
      </c>
      <c r="B1480" s="1182" t="s">
        <v>3949</v>
      </c>
      <c r="C1480" s="1181">
        <v>44664</v>
      </c>
      <c r="D1480" s="1182" t="s">
        <v>389</v>
      </c>
      <c r="E1480" s="1182" t="s">
        <v>1676</v>
      </c>
      <c r="F1480" s="1183" t="s">
        <v>4019</v>
      </c>
      <c r="G1480" s="1184" t="s">
        <v>456</v>
      </c>
      <c r="H1480" s="1185">
        <v>800000000</v>
      </c>
      <c r="I1480" s="1345" t="s">
        <v>4034</v>
      </c>
      <c r="J1480" s="1186" t="str">
        <f>VLOOKUP($I1480,'Price List, Weapons &amp; Items'!B:C,2,0)</f>
        <v>Heavy weapon</v>
      </c>
      <c r="K1480" s="1186" t="str">
        <f>IF(I1480=".",I1480,VLOOKUP($I1480,'Price List, Weapons &amp; Items'!B:D,3,0))</f>
        <v>Patrol and coastal combatants</v>
      </c>
      <c r="L1480" s="1187">
        <f>VLOOKUP(I1480,'Price List, Weapons &amp; Items'!B:E,4,0)</f>
        <v>0</v>
      </c>
      <c r="M1480" s="1188" t="s">
        <v>374</v>
      </c>
      <c r="N1480" s="1188" t="s">
        <v>374</v>
      </c>
      <c r="O1480" s="1188">
        <f>VLOOKUP($I1480,'Price List, Weapons &amp; Items'!B:G,6,0)</f>
        <v>2548204.5789999999</v>
      </c>
      <c r="P1480" s="1185" t="str">
        <f t="shared" si="316"/>
        <v>.</v>
      </c>
      <c r="Q1480" s="1185" t="str">
        <f t="shared" si="317"/>
        <v>.</v>
      </c>
      <c r="R1480" s="1185" t="str">
        <f t="shared" si="313"/>
        <v/>
      </c>
      <c r="S1480" s="1185" t="str">
        <f>IF(AND(AD1480=1,R1480&lt;&gt;".")=TRUE,R1480/VLOOKUP(G1480,'Exchange Rates'!B:C,2,0),IF(R1480=".",".",""))</f>
        <v/>
      </c>
      <c r="T1480" s="1185" t="str">
        <f>IF(AD1480=1,IF(AF1480="Value is not given at all",".",IF(AF1480="Value is given by the source",S1480,IF(AF1480="Value is calculated with prices",(IF(SUMIFS(Q:Q,A:A,A1480)&gt;0,SUMIFS(Q:Q,A:A,A1480),"."))/VLOOKUP("USD",'Exchange Rates'!B:C,2,0),"Error with coding"))),"")</f>
        <v/>
      </c>
      <c r="U1480" s="1184" t="s">
        <v>365</v>
      </c>
      <c r="V1480" s="974" t="s">
        <v>3991</v>
      </c>
      <c r="W1480" s="973" t="s">
        <v>3955</v>
      </c>
      <c r="X1480" s="973" t="s">
        <v>3959</v>
      </c>
      <c r="Y1480" s="973" t="s">
        <v>4033</v>
      </c>
      <c r="Z1480" s="1184">
        <v>0</v>
      </c>
      <c r="AA1480" s="1194">
        <v>0</v>
      </c>
      <c r="AB1480" s="973" t="s">
        <v>4035</v>
      </c>
      <c r="AC1480" s="1192" t="str">
        <f>""</f>
        <v/>
      </c>
      <c r="AD1480" s="1193">
        <v>0</v>
      </c>
      <c r="AE1480" s="1302" t="s">
        <v>368</v>
      </c>
      <c r="AF1480" s="1193" t="s">
        <v>368</v>
      </c>
      <c r="AG1480" s="1193">
        <v>1</v>
      </c>
      <c r="AH1480" s="1193">
        <v>4</v>
      </c>
      <c r="AI1480" s="1193">
        <v>0</v>
      </c>
      <c r="AJ1480" s="1193">
        <f>VLOOKUP($I1480,'Price List, Weapons &amp; Items'!B:F,5,0)</f>
        <v>0</v>
      </c>
      <c r="AK1480" s="1193">
        <f t="shared" si="318"/>
        <v>0</v>
      </c>
      <c r="AL1480" s="1193">
        <f t="shared" si="319"/>
        <v>0</v>
      </c>
      <c r="AM1480" s="1193">
        <f t="shared" si="320"/>
        <v>0</v>
      </c>
      <c r="AN1480" s="1194" t="str">
        <f>VLOOKUP($I1480,'Price List, Weapons &amp; Items'!B:L,COLUMN('Price List, Weapons &amp; Items'!$J$11)-1,0)</f>
        <v>Government information</v>
      </c>
      <c r="AO1480" s="1194" t="str">
        <f>IF(I1480=".",".",VLOOKUP($I1480,'Price List, Weapons &amp; Items'!B:J,3,0))</f>
        <v>Patrol and coastal combatants</v>
      </c>
      <c r="AP1480" s="1195" t="str">
        <f t="shared" ca="1" si="314"/>
        <v/>
      </c>
      <c r="AQ1480" s="1194" t="str">
        <f>VLOOKUP($I1480,'Price List, Weapons &amp; Items'!B:L,COLUMN('Price List, Weapons &amp; Items'!$L$11)-1,0)</f>
        <v>no price, 0 count</v>
      </c>
      <c r="AR1480" s="1194">
        <f t="shared" si="321"/>
        <v>1</v>
      </c>
      <c r="AS1480" s="1194">
        <f t="shared" si="322"/>
        <v>1</v>
      </c>
      <c r="AT1480" s="1194">
        <f t="shared" si="323"/>
        <v>1</v>
      </c>
      <c r="AU1480" s="1194" t="str">
        <f t="shared" si="311"/>
        <v>.</v>
      </c>
      <c r="AV1480" s="1194" t="str">
        <f t="shared" si="315"/>
        <v>.</v>
      </c>
      <c r="AW1480" s="1194" t="str">
        <f t="shared" si="324"/>
        <v>.</v>
      </c>
      <c r="AX1480" s="1194">
        <f>IFERROR(VLOOKUP(B1480,'Share, Heavy Weapons to Ukraine'!B:Z,COLUMN('Share, Heavy Weapons to Ukraine'!C1492)-1,0),0)</f>
        <v>1</v>
      </c>
      <c r="AY1480" s="1194">
        <f>VLOOKUP('Bilateral Assistance, MAIN DATA'!B1480,'Country Summary (€)'!B:F,COLUMN('Country Summary (€)'!C1493)-1,FALSE)</f>
        <v>0</v>
      </c>
      <c r="AZ1480" s="1194" t="str">
        <f>IF(AND(AD1480=1,D1480="Military",H1480&lt;&gt;"Not given")=TRUE,IF(SUMIFS(P:P,A:A,A1480)&gt;0,ABS((SUMIFS(P:P,A:A,A1480)/VLOOKUP("USD",'Exchange Rates'!B:C,2,0)))/S1480,"."),".")</f>
        <v>.</v>
      </c>
      <c r="BA1480" s="1196" t="str">
        <f>IF(AND(AD1480=1,D1480="Military",H1480&lt;&gt;"Not given")=TRUE,IF(SUMIFS(P:P,A:A,A1480)&gt;0,IF((ABS((SUMIFS(P:P,A:A,A1480)/VLOOKUP("USD",'Exchange Rates'!B:C,2,0)))/S1480)&gt;1,(SUMIFS(P:P,A:A,A1480)-S1480)/S1480,(S1480-SUMIFS(P:P,A:A,A1480))/SUMIFS(P:P,A:A,A1480)),"."),".")</f>
        <v>.</v>
      </c>
    </row>
    <row r="1481" spans="1:53" ht="15.95" customHeight="1">
      <c r="A1481" s="1182" t="s">
        <v>3987</v>
      </c>
      <c r="B1481" s="1182" t="s">
        <v>3949</v>
      </c>
      <c r="C1481" s="1181">
        <v>44664</v>
      </c>
      <c r="D1481" s="1182" t="s">
        <v>389</v>
      </c>
      <c r="E1481" s="1182" t="s">
        <v>1676</v>
      </c>
      <c r="F1481" s="1183" t="s">
        <v>4019</v>
      </c>
      <c r="G1481" s="1184" t="s">
        <v>456</v>
      </c>
      <c r="H1481" s="1185">
        <v>800000000</v>
      </c>
      <c r="I1481" s="1180" t="s">
        <v>2359</v>
      </c>
      <c r="J1481" s="1186" t="str">
        <f>VLOOKUP($I1481,'Price List, Weapons &amp; Items'!B:C,2,0)</f>
        <v>Military equipment</v>
      </c>
      <c r="K1481" s="1186" t="str">
        <f>IF(I1481=".",I1481,VLOOKUP($I1481,'Price List, Weapons &amp; Items'!B:D,3,0))</f>
        <v>Military equipment</v>
      </c>
      <c r="L1481" s="1187">
        <f>VLOOKUP(I1481,'Price List, Weapons &amp; Items'!B:E,4,0)</f>
        <v>0</v>
      </c>
      <c r="M1481" s="1188" t="s">
        <v>374</v>
      </c>
      <c r="N1481" s="1188" t="s">
        <v>374</v>
      </c>
      <c r="O1481" s="1188" t="str">
        <f>VLOOKUP($I1481,'Price List, Weapons &amp; Items'!B:G,6,0)</f>
        <v>.</v>
      </c>
      <c r="P1481" s="1185" t="str">
        <f t="shared" si="316"/>
        <v>.</v>
      </c>
      <c r="Q1481" s="1185" t="str">
        <f t="shared" si="317"/>
        <v>.</v>
      </c>
      <c r="R1481" s="1185" t="str">
        <f t="shared" si="313"/>
        <v/>
      </c>
      <c r="S1481" s="1185" t="str">
        <f>IF(AND(AD1481=1,R1481&lt;&gt;".")=TRUE,R1481/VLOOKUP(G1481,'Exchange Rates'!B:C,2,0),IF(R1481=".",".",""))</f>
        <v/>
      </c>
      <c r="T1481" s="1185" t="str">
        <f>IF(AD1481=1,IF(AF1481="Value is not given at all",".",IF(AF1481="Value is given by the source",S1481,IF(AF1481="Value is calculated with prices",(IF(SUMIFS(Q:Q,A:A,A1481)&gt;0,SUMIFS(Q:Q,A:A,A1481),"."))/VLOOKUP("USD",'Exchange Rates'!B:C,2,0),"Error with coding"))),"")</f>
        <v/>
      </c>
      <c r="U1481" s="1184" t="s">
        <v>365</v>
      </c>
      <c r="V1481" s="974" t="s">
        <v>3991</v>
      </c>
      <c r="W1481" s="973" t="s">
        <v>3955</v>
      </c>
      <c r="X1481" s="973" t="s">
        <v>3959</v>
      </c>
      <c r="Y1481" s="973" t="s">
        <v>4035</v>
      </c>
      <c r="Z1481" s="1184">
        <v>0</v>
      </c>
      <c r="AA1481" s="1194">
        <v>0</v>
      </c>
      <c r="AB1481" s="973" t="s">
        <v>4036</v>
      </c>
      <c r="AC1481" s="1192" t="str">
        <f>""</f>
        <v/>
      </c>
      <c r="AD1481" s="1193">
        <v>0</v>
      </c>
      <c r="AE1481" s="1302" t="s">
        <v>368</v>
      </c>
      <c r="AF1481" s="1193" t="s">
        <v>368</v>
      </c>
      <c r="AG1481" s="1193">
        <v>1</v>
      </c>
      <c r="AH1481" s="1193">
        <v>4</v>
      </c>
      <c r="AI1481" s="1193">
        <v>0</v>
      </c>
      <c r="AJ1481" s="1193">
        <f>VLOOKUP($I1481,'Price List, Weapons &amp; Items'!B:F,5,0)</f>
        <v>0</v>
      </c>
      <c r="AK1481" s="1193">
        <f t="shared" si="318"/>
        <v>0</v>
      </c>
      <c r="AL1481" s="1193">
        <f t="shared" si="319"/>
        <v>0</v>
      </c>
      <c r="AM1481" s="1193">
        <f t="shared" si="320"/>
        <v>0</v>
      </c>
      <c r="AN1481" s="1194" t="str">
        <f>VLOOKUP($I1481,'Price List, Weapons &amp; Items'!B:L,COLUMN('Price List, Weapons &amp; Items'!$J$11)-1,0)</f>
        <v>.</v>
      </c>
      <c r="AO1481" s="1194" t="str">
        <f>IF(I1481=".",".",VLOOKUP($I1481,'Price List, Weapons &amp; Items'!B:J,3,0))</f>
        <v>Military equipment</v>
      </c>
      <c r="AP1481" s="1195" t="str">
        <f t="shared" ca="1" si="314"/>
        <v/>
      </c>
      <c r="AQ1481" s="1194" t="str">
        <f>VLOOKUP($I1481,'Price List, Weapons &amp; Items'!B:L,COLUMN('Price List, Weapons &amp; Items'!$L$11)-1,0)</f>
        <v>no price, 0 count</v>
      </c>
      <c r="AR1481" s="1194">
        <f t="shared" si="321"/>
        <v>1</v>
      </c>
      <c r="AS1481" s="1194">
        <f t="shared" si="322"/>
        <v>1</v>
      </c>
      <c r="AT1481" s="1194">
        <f t="shared" si="323"/>
        <v>1</v>
      </c>
      <c r="AU1481" s="1194" t="str">
        <f t="shared" si="311"/>
        <v>.</v>
      </c>
      <c r="AV1481" s="1194" t="str">
        <f t="shared" si="315"/>
        <v>.</v>
      </c>
      <c r="AW1481" s="1194" t="str">
        <f t="shared" si="324"/>
        <v>.</v>
      </c>
      <c r="AX1481" s="1194">
        <f>IFERROR(VLOOKUP(B1481,'Share, Heavy Weapons to Ukraine'!B:Z,COLUMN('Share, Heavy Weapons to Ukraine'!C1493)-1,0),0)</f>
        <v>1</v>
      </c>
      <c r="AY1481" s="1194">
        <f>VLOOKUP('Bilateral Assistance, MAIN DATA'!B1481,'Country Summary (€)'!B:F,COLUMN('Country Summary (€)'!C1494)-1,FALSE)</f>
        <v>0</v>
      </c>
      <c r="AZ1481" s="1194" t="str">
        <f>IF(AND(AD1481=1,D1481="Military",H1481&lt;&gt;"Not given")=TRUE,IF(SUMIFS(P:P,A:A,A1481)&gt;0,ABS((SUMIFS(P:P,A:A,A1481)/VLOOKUP("USD",'Exchange Rates'!B:C,2,0)))/S1481,"."),".")</f>
        <v>.</v>
      </c>
      <c r="BA1481" s="1196" t="str">
        <f>IF(AND(AD1481=1,D1481="Military",H1481&lt;&gt;"Not given")=TRUE,IF(SUMIFS(P:P,A:A,A1481)&gt;0,IF((ABS((SUMIFS(P:P,A:A,A1481)/VLOOKUP("USD",'Exchange Rates'!B:C,2,0)))/S1481)&gt;1,(SUMIFS(P:P,A:A,A1481)-S1481)/S1481,(S1481-SUMIFS(P:P,A:A,A1481))/SUMIFS(P:P,A:A,A1481)),"."),".")</f>
        <v>.</v>
      </c>
    </row>
    <row r="1482" spans="1:53" ht="15.95" customHeight="1">
      <c r="A1482" s="1182" t="s">
        <v>3987</v>
      </c>
      <c r="B1482" s="1182" t="s">
        <v>3949</v>
      </c>
      <c r="C1482" s="1181">
        <v>44664</v>
      </c>
      <c r="D1482" s="1182" t="s">
        <v>389</v>
      </c>
      <c r="E1482" s="1182" t="s">
        <v>1676</v>
      </c>
      <c r="F1482" s="1183" t="s">
        <v>4019</v>
      </c>
      <c r="G1482" s="1184" t="s">
        <v>456</v>
      </c>
      <c r="H1482" s="1185">
        <v>800000000</v>
      </c>
      <c r="I1482" s="1180" t="s">
        <v>3196</v>
      </c>
      <c r="J1482" s="1186" t="str">
        <f>VLOOKUP($I1482,'Price List, Weapons &amp; Items'!B:C,2,0)</f>
        <v>Military equipment</v>
      </c>
      <c r="K1482" s="1186" t="str">
        <f>IF(I1482=".",I1482,VLOOKUP($I1482,'Price List, Weapons &amp; Items'!B:D,3,0))</f>
        <v>Military equipment</v>
      </c>
      <c r="L1482" s="1187">
        <f>VLOOKUP(I1482,'Price List, Weapons &amp; Items'!B:E,4,0)</f>
        <v>0</v>
      </c>
      <c r="M1482" s="1188" t="s">
        <v>374</v>
      </c>
      <c r="N1482" s="1188" t="s">
        <v>374</v>
      </c>
      <c r="O1482" s="1188" t="str">
        <f>VLOOKUP($I1482,'Price List, Weapons &amp; Items'!B:G,6,0)</f>
        <v>.</v>
      </c>
      <c r="P1482" s="1185" t="str">
        <f t="shared" si="316"/>
        <v>.</v>
      </c>
      <c r="Q1482" s="1185" t="str">
        <f t="shared" si="317"/>
        <v>.</v>
      </c>
      <c r="R1482" s="1185" t="str">
        <f t="shared" si="313"/>
        <v/>
      </c>
      <c r="S1482" s="1185" t="str">
        <f>IF(AND(AD1482=1,R1482&lt;&gt;".")=TRUE,R1482/VLOOKUP(G1482,'Exchange Rates'!B:C,2,0),IF(R1482=".",".",""))</f>
        <v/>
      </c>
      <c r="T1482" s="1185" t="str">
        <f>IF(AD1482=1,IF(AF1482="Value is not given at all",".",IF(AF1482="Value is given by the source",S1482,IF(AF1482="Value is calculated with prices",(IF(SUMIFS(Q:Q,A:A,A1482)&gt;0,SUMIFS(Q:Q,A:A,A1482),"."))/VLOOKUP("USD",'Exchange Rates'!B:C,2,0),"Error with coding"))),"")</f>
        <v/>
      </c>
      <c r="U1482" s="1184" t="s">
        <v>365</v>
      </c>
      <c r="V1482" s="974" t="s">
        <v>3991</v>
      </c>
      <c r="W1482" s="973" t="s">
        <v>3955</v>
      </c>
      <c r="X1482" s="973" t="s">
        <v>3959</v>
      </c>
      <c r="Y1482" s="973" t="s">
        <v>4036</v>
      </c>
      <c r="Z1482" s="1184">
        <v>0</v>
      </c>
      <c r="AA1482" s="1194">
        <v>0</v>
      </c>
      <c r="AB1482" s="973" t="s">
        <v>4037</v>
      </c>
      <c r="AC1482" s="1192" t="str">
        <f>""</f>
        <v/>
      </c>
      <c r="AD1482" s="1193">
        <v>0</v>
      </c>
      <c r="AE1482" s="1302" t="s">
        <v>368</v>
      </c>
      <c r="AF1482" s="1193" t="s">
        <v>368</v>
      </c>
      <c r="AG1482" s="1193">
        <v>1</v>
      </c>
      <c r="AH1482" s="1193">
        <v>4</v>
      </c>
      <c r="AI1482" s="1193">
        <v>0</v>
      </c>
      <c r="AJ1482" s="1193">
        <f>VLOOKUP($I1482,'Price List, Weapons &amp; Items'!B:F,5,0)</f>
        <v>0</v>
      </c>
      <c r="AK1482" s="1193">
        <f t="shared" si="318"/>
        <v>0</v>
      </c>
      <c r="AL1482" s="1193">
        <f t="shared" si="319"/>
        <v>0</v>
      </c>
      <c r="AM1482" s="1193">
        <f t="shared" si="320"/>
        <v>0</v>
      </c>
      <c r="AN1482" s="1194" t="str">
        <f>VLOOKUP($I1482,'Price List, Weapons &amp; Items'!B:L,COLUMN('Price List, Weapons &amp; Items'!$J$11)-1,0)</f>
        <v>.</v>
      </c>
      <c r="AO1482" s="1194" t="str">
        <f>IF(I1482=".",".",VLOOKUP($I1482,'Price List, Weapons &amp; Items'!B:J,3,0))</f>
        <v>Military equipment</v>
      </c>
      <c r="AP1482" s="1195" t="str">
        <f t="shared" ca="1" si="314"/>
        <v/>
      </c>
      <c r="AQ1482" s="1194" t="str">
        <f>VLOOKUP($I1482,'Price List, Weapons &amp; Items'!B:L,COLUMN('Price List, Weapons &amp; Items'!$L$11)-1,0)</f>
        <v>no price, 0 count</v>
      </c>
      <c r="AR1482" s="1194">
        <f t="shared" si="321"/>
        <v>1</v>
      </c>
      <c r="AS1482" s="1194">
        <f t="shared" si="322"/>
        <v>1</v>
      </c>
      <c r="AT1482" s="1194">
        <f t="shared" si="323"/>
        <v>1</v>
      </c>
      <c r="AU1482" s="1194" t="str">
        <f t="shared" si="311"/>
        <v>.</v>
      </c>
      <c r="AV1482" s="1194" t="str">
        <f t="shared" si="315"/>
        <v>.</v>
      </c>
      <c r="AW1482" s="1194" t="str">
        <f t="shared" si="324"/>
        <v>.</v>
      </c>
      <c r="AX1482" s="1194">
        <f>IFERROR(VLOOKUP(B1482,'Share, Heavy Weapons to Ukraine'!B:Z,COLUMN('Share, Heavy Weapons to Ukraine'!C1494)-1,0),0)</f>
        <v>1</v>
      </c>
      <c r="AY1482" s="1194">
        <f>VLOOKUP('Bilateral Assistance, MAIN DATA'!B1482,'Country Summary (€)'!B:F,COLUMN('Country Summary (€)'!C1495)-1,FALSE)</f>
        <v>0</v>
      </c>
      <c r="AZ1482" s="1194" t="str">
        <f>IF(AND(AD1482=1,D1482="Military",H1482&lt;&gt;"Not given")=TRUE,IF(SUMIFS(P:P,A:A,A1482)&gt;0,ABS((SUMIFS(P:P,A:A,A1482)/VLOOKUP("USD",'Exchange Rates'!B:C,2,0)))/S1482,"."),".")</f>
        <v>.</v>
      </c>
      <c r="BA1482" s="1196" t="str">
        <f>IF(AND(AD1482=1,D1482="Military",H1482&lt;&gt;"Not given")=TRUE,IF(SUMIFS(P:P,A:A,A1482)&gt;0,IF((ABS((SUMIFS(P:P,A:A,A1482)/VLOOKUP("USD",'Exchange Rates'!B:C,2,0)))/S1482)&gt;1,(SUMIFS(P:P,A:A,A1482)-S1482)/S1482,(S1482-SUMIFS(P:P,A:A,A1482))/SUMIFS(P:P,A:A,A1482)),"."),".")</f>
        <v>.</v>
      </c>
    </row>
    <row r="1483" spans="1:53" ht="15.95" customHeight="1">
      <c r="A1483" s="1182" t="s">
        <v>3987</v>
      </c>
      <c r="B1483" s="1182" t="s">
        <v>3949</v>
      </c>
      <c r="C1483" s="1181">
        <v>44664</v>
      </c>
      <c r="D1483" s="1182" t="s">
        <v>389</v>
      </c>
      <c r="E1483" s="1182" t="s">
        <v>1676</v>
      </c>
      <c r="F1483" s="1183" t="s">
        <v>4019</v>
      </c>
      <c r="G1483" s="1184" t="s">
        <v>456</v>
      </c>
      <c r="H1483" s="1185">
        <v>800000000</v>
      </c>
      <c r="I1483" s="1180" t="s">
        <v>694</v>
      </c>
      <c r="J1483" s="1186" t="str">
        <f>VLOOKUP($I1483,'Price List, Weapons &amp; Items'!B:C,2,0)</f>
        <v>Military equipment</v>
      </c>
      <c r="K1483" s="1186" t="str">
        <f>IF(I1483=".",I1483,VLOOKUP($I1483,'Price List, Weapons &amp; Items'!B:D,3,0))</f>
        <v>Military equipment</v>
      </c>
      <c r="L1483" s="1187">
        <f>VLOOKUP(I1483,'Price List, Weapons &amp; Items'!B:E,4,0)</f>
        <v>0</v>
      </c>
      <c r="M1483" s="1188">
        <v>30000</v>
      </c>
      <c r="N1483" s="1188">
        <f t="shared" ref="N1483:N1486" si="325">M1483</f>
        <v>30000</v>
      </c>
      <c r="O1483" s="1188">
        <f>VLOOKUP($I1483,'Price List, Weapons &amp; Items'!B:G,6,0)</f>
        <v>500</v>
      </c>
      <c r="P1483" s="1185">
        <f t="shared" si="316"/>
        <v>15000000</v>
      </c>
      <c r="Q1483" s="1185">
        <f t="shared" si="317"/>
        <v>15000000</v>
      </c>
      <c r="R1483" s="1185" t="str">
        <f t="shared" si="313"/>
        <v/>
      </c>
      <c r="S1483" s="1185" t="str">
        <f>IF(AND(AD1483=1,R1483&lt;&gt;".")=TRUE,R1483/VLOOKUP(G1483,'Exchange Rates'!B:C,2,0),IF(R1483=".",".",""))</f>
        <v/>
      </c>
      <c r="T1483" s="1185" t="str">
        <f>IF(AD1483=1,IF(AF1483="Value is not given at all",".",IF(AF1483="Value is given by the source",S1483,IF(AF1483="Value is calculated with prices",(IF(SUMIFS(Q:Q,A:A,A1483)&gt;0,SUMIFS(Q:Q,A:A,A1483),"."))/VLOOKUP("USD",'Exchange Rates'!B:C,2,0),"Error with coding"))),"")</f>
        <v/>
      </c>
      <c r="U1483" s="1184" t="s">
        <v>365</v>
      </c>
      <c r="V1483" s="974" t="s">
        <v>3991</v>
      </c>
      <c r="W1483" s="973" t="s">
        <v>3955</v>
      </c>
      <c r="X1483" s="973" t="s">
        <v>3959</v>
      </c>
      <c r="Y1483" s="973" t="s">
        <v>4037</v>
      </c>
      <c r="Z1483" s="1184">
        <v>0</v>
      </c>
      <c r="AA1483" s="1194">
        <v>0</v>
      </c>
      <c r="AB1483" s="973" t="s">
        <v>4038</v>
      </c>
      <c r="AC1483" s="1192" t="str">
        <f>""</f>
        <v/>
      </c>
      <c r="AD1483" s="1193">
        <v>0</v>
      </c>
      <c r="AE1483" s="1302" t="s">
        <v>368</v>
      </c>
      <c r="AF1483" s="1193" t="s">
        <v>368</v>
      </c>
      <c r="AG1483" s="1193">
        <v>1</v>
      </c>
      <c r="AH1483" s="1193">
        <v>4</v>
      </c>
      <c r="AI1483" s="1193">
        <v>0</v>
      </c>
      <c r="AJ1483" s="1193">
        <f>VLOOKUP($I1483,'Price List, Weapons &amp; Items'!B:F,5,0)</f>
        <v>0</v>
      </c>
      <c r="AK1483" s="1193">
        <f t="shared" si="318"/>
        <v>0</v>
      </c>
      <c r="AL1483" s="1193">
        <f t="shared" si="319"/>
        <v>0</v>
      </c>
      <c r="AM1483" s="1193">
        <f t="shared" si="320"/>
        <v>0</v>
      </c>
      <c r="AN1483" s="1194" t="str">
        <f>VLOOKUP($I1483,'Price List, Weapons &amp; Items'!B:L,COLUMN('Price List, Weapons &amp; Items'!$J$11)-1,0)</f>
        <v>Military media (incl. websites)</v>
      </c>
      <c r="AO1483" s="1194" t="str">
        <f>IF(I1483=".",".",VLOOKUP($I1483,'Price List, Weapons &amp; Items'!B:J,3,0))</f>
        <v>Military equipment</v>
      </c>
      <c r="AP1483" s="1195" t="str">
        <f t="shared" ca="1" si="314"/>
        <v/>
      </c>
      <c r="AQ1483" s="1194">
        <f>VLOOKUP($I1483,'Price List, Weapons &amp; Items'!B:L,COLUMN('Price List, Weapons &amp; Items'!$L$11)-1,0)</f>
        <v>2</v>
      </c>
      <c r="AR1483" s="1194">
        <f t="shared" si="321"/>
        <v>1</v>
      </c>
      <c r="AS1483" s="1194">
        <f t="shared" si="322"/>
        <v>1</v>
      </c>
      <c r="AT1483" s="1194">
        <f t="shared" si="323"/>
        <v>1</v>
      </c>
      <c r="AU1483" s="1194" t="str">
        <f t="shared" si="311"/>
        <v>.</v>
      </c>
      <c r="AV1483" s="1194" t="str">
        <f t="shared" si="315"/>
        <v>.</v>
      </c>
      <c r="AW1483" s="1194" t="str">
        <f t="shared" si="324"/>
        <v>.</v>
      </c>
      <c r="AX1483" s="1194">
        <f>IFERROR(VLOOKUP(B1483,'Share, Heavy Weapons to Ukraine'!B:Z,COLUMN('Share, Heavy Weapons to Ukraine'!C1495)-1,0),0)</f>
        <v>1</v>
      </c>
      <c r="AY1483" s="1194">
        <f>VLOOKUP('Bilateral Assistance, MAIN DATA'!B1483,'Country Summary (€)'!B:F,COLUMN('Country Summary (€)'!C1496)-1,FALSE)</f>
        <v>0</v>
      </c>
      <c r="AZ1483" s="1194" t="str">
        <f>IF(AND(AD1483=1,D1483="Military",H1483&lt;&gt;"Not given")=TRUE,IF(SUMIFS(P:P,A:A,A1483)&gt;0,ABS((SUMIFS(P:P,A:A,A1483)/VLOOKUP("USD",'Exchange Rates'!B:C,2,0)))/S1483,"."),".")</f>
        <v>.</v>
      </c>
      <c r="BA1483" s="1196" t="str">
        <f>IF(AND(AD1483=1,D1483="Military",H1483&lt;&gt;"Not given")=TRUE,IF(SUMIFS(P:P,A:A,A1483)&gt;0,IF((ABS((SUMIFS(P:P,A:A,A1483)/VLOOKUP("USD",'Exchange Rates'!B:C,2,0)))/S1483)&gt;1,(SUMIFS(P:P,A:A,A1483)-S1483)/S1483,(S1483-SUMIFS(P:P,A:A,A1483))/SUMIFS(P:P,A:A,A1483)),"."),".")</f>
        <v>.</v>
      </c>
    </row>
    <row r="1484" spans="1:53" ht="15.95" customHeight="1">
      <c r="A1484" s="1182" t="s">
        <v>3987</v>
      </c>
      <c r="B1484" s="1182" t="s">
        <v>3949</v>
      </c>
      <c r="C1484" s="1181">
        <v>44664</v>
      </c>
      <c r="D1484" s="1182" t="s">
        <v>389</v>
      </c>
      <c r="E1484" s="1182" t="s">
        <v>1676</v>
      </c>
      <c r="F1484" s="1183" t="s">
        <v>4019</v>
      </c>
      <c r="G1484" s="1184" t="s">
        <v>456</v>
      </c>
      <c r="H1484" s="1185">
        <v>800000000</v>
      </c>
      <c r="I1484" s="1180" t="s">
        <v>594</v>
      </c>
      <c r="J1484" s="1186" t="str">
        <f>VLOOKUP($I1484,'Price List, Weapons &amp; Items'!B:C,2,0)</f>
        <v>Military equipment</v>
      </c>
      <c r="K1484" s="1186" t="str">
        <f>IF(I1484=".",I1484,VLOOKUP($I1484,'Price List, Weapons &amp; Items'!B:D,3,0))</f>
        <v>Military equipment</v>
      </c>
      <c r="L1484" s="1187">
        <f>VLOOKUP(I1484,'Price List, Weapons &amp; Items'!B:E,4,0)</f>
        <v>0</v>
      </c>
      <c r="M1484" s="1188">
        <v>30000</v>
      </c>
      <c r="N1484" s="1188">
        <f t="shared" si="325"/>
        <v>30000</v>
      </c>
      <c r="O1484" s="1188">
        <f>VLOOKUP($I1484,'Price List, Weapons &amp; Items'!B:G,6,0)</f>
        <v>1400</v>
      </c>
      <c r="P1484" s="1185">
        <f t="shared" si="316"/>
        <v>42000000</v>
      </c>
      <c r="Q1484" s="1185">
        <f t="shared" si="317"/>
        <v>42000000</v>
      </c>
      <c r="R1484" s="1185" t="str">
        <f t="shared" si="313"/>
        <v/>
      </c>
      <c r="S1484" s="1185" t="str">
        <f>IF(AND(AD1484=1,R1484&lt;&gt;".")=TRUE,R1484/VLOOKUP(G1484,'Exchange Rates'!B:C,2,0),IF(R1484=".",".",""))</f>
        <v/>
      </c>
      <c r="T1484" s="1185" t="str">
        <f>IF(AD1484=1,IF(AF1484="Value is not given at all",".",IF(AF1484="Value is given by the source",S1484,IF(AF1484="Value is calculated with prices",(IF(SUMIFS(Q:Q,A:A,A1484)&gt;0,SUMIFS(Q:Q,A:A,A1484),"."))/VLOOKUP("USD",'Exchange Rates'!B:C,2,0),"Error with coding"))),"")</f>
        <v/>
      </c>
      <c r="U1484" s="1184" t="s">
        <v>365</v>
      </c>
      <c r="V1484" s="974" t="s">
        <v>3991</v>
      </c>
      <c r="W1484" s="973" t="s">
        <v>3955</v>
      </c>
      <c r="X1484" s="973" t="s">
        <v>3959</v>
      </c>
      <c r="Y1484" s="973" t="s">
        <v>4038</v>
      </c>
      <c r="Z1484" s="1184">
        <v>0</v>
      </c>
      <c r="AA1484" s="1194">
        <v>0</v>
      </c>
      <c r="AB1484" s="973" t="s">
        <v>4039</v>
      </c>
      <c r="AC1484" s="1192" t="str">
        <f>""</f>
        <v/>
      </c>
      <c r="AD1484" s="1193">
        <v>0</v>
      </c>
      <c r="AE1484" s="1302" t="s">
        <v>368</v>
      </c>
      <c r="AF1484" s="1193" t="s">
        <v>368</v>
      </c>
      <c r="AG1484" s="1193">
        <v>1</v>
      </c>
      <c r="AH1484" s="1193">
        <v>4</v>
      </c>
      <c r="AI1484" s="1193">
        <v>0</v>
      </c>
      <c r="AJ1484" s="1193">
        <f>VLOOKUP($I1484,'Price List, Weapons &amp; Items'!B:F,5,0)</f>
        <v>0</v>
      </c>
      <c r="AK1484" s="1193">
        <f t="shared" si="318"/>
        <v>0</v>
      </c>
      <c r="AL1484" s="1193">
        <f t="shared" si="319"/>
        <v>0</v>
      </c>
      <c r="AM1484" s="1193">
        <f t="shared" si="320"/>
        <v>0</v>
      </c>
      <c r="AN1484" s="1194" t="str">
        <f>VLOOKUP($I1484,'Price List, Weapons &amp; Items'!B:L,COLUMN('Price List, Weapons &amp; Items'!$J$11)-1,0)</f>
        <v>Military media (incl. websites)</v>
      </c>
      <c r="AO1484" s="1194" t="str">
        <f>IF(I1484=".",".",VLOOKUP($I1484,'Price List, Weapons &amp; Items'!B:J,3,0))</f>
        <v>Military equipment</v>
      </c>
      <c r="AP1484" s="1195" t="str">
        <f t="shared" ca="1" si="314"/>
        <v/>
      </c>
      <c r="AQ1484" s="1194">
        <f>VLOOKUP($I1484,'Price List, Weapons &amp; Items'!B:L,COLUMN('Price List, Weapons &amp; Items'!$L$11)-1,0)</f>
        <v>2</v>
      </c>
      <c r="AR1484" s="1194">
        <f t="shared" si="321"/>
        <v>1</v>
      </c>
      <c r="AS1484" s="1194">
        <f t="shared" si="322"/>
        <v>1</v>
      </c>
      <c r="AT1484" s="1194">
        <f t="shared" si="323"/>
        <v>1</v>
      </c>
      <c r="AU1484" s="1194" t="str">
        <f t="shared" si="311"/>
        <v>.</v>
      </c>
      <c r="AV1484" s="1194" t="str">
        <f t="shared" si="315"/>
        <v>.</v>
      </c>
      <c r="AW1484" s="1194" t="str">
        <f t="shared" si="324"/>
        <v>.</v>
      </c>
      <c r="AX1484" s="1194">
        <f>IFERROR(VLOOKUP(B1484,'Share, Heavy Weapons to Ukraine'!B:Z,COLUMN('Share, Heavy Weapons to Ukraine'!C1496)-1,0),0)</f>
        <v>1</v>
      </c>
      <c r="AY1484" s="1194">
        <f>VLOOKUP('Bilateral Assistance, MAIN DATA'!B1484,'Country Summary (€)'!B:F,COLUMN('Country Summary (€)'!C1497)-1,FALSE)</f>
        <v>0</v>
      </c>
      <c r="AZ1484" s="1194" t="str">
        <f>IF(AND(AD1484=1,D1484="Military",H1484&lt;&gt;"Not given")=TRUE,IF(SUMIFS(P:P,A:A,A1484)&gt;0,ABS((SUMIFS(P:P,A:A,A1484)/VLOOKUP("USD",'Exchange Rates'!B:C,2,0)))/S1484,"."),".")</f>
        <v>.</v>
      </c>
      <c r="BA1484" s="1196" t="str">
        <f>IF(AND(AD1484=1,D1484="Military",H1484&lt;&gt;"Not given")=TRUE,IF(SUMIFS(P:P,A:A,A1484)&gt;0,IF((ABS((SUMIFS(P:P,A:A,A1484)/VLOOKUP("USD",'Exchange Rates'!B:C,2,0)))/S1484)&gt;1,(SUMIFS(P:P,A:A,A1484)-S1484)/S1484,(S1484-SUMIFS(P:P,A:A,A1484))/SUMIFS(P:P,A:A,A1484)),"."),".")</f>
        <v>.</v>
      </c>
    </row>
    <row r="1485" spans="1:53" ht="15.95" customHeight="1">
      <c r="A1485" s="1182" t="s">
        <v>3987</v>
      </c>
      <c r="B1485" s="1182" t="s">
        <v>3949</v>
      </c>
      <c r="C1485" s="1181">
        <v>44664</v>
      </c>
      <c r="D1485" s="1182" t="s">
        <v>389</v>
      </c>
      <c r="E1485" s="1182" t="s">
        <v>1676</v>
      </c>
      <c r="F1485" s="1183" t="s">
        <v>4019</v>
      </c>
      <c r="G1485" s="1184" t="s">
        <v>456</v>
      </c>
      <c r="H1485" s="1185">
        <v>800000000</v>
      </c>
      <c r="I1485" s="1180" t="s">
        <v>4040</v>
      </c>
      <c r="J1485" s="1186" t="str">
        <f>VLOOKUP($I1485,'Price List, Weapons &amp; Items'!B:C,2,0)</f>
        <v>Military equipment</v>
      </c>
      <c r="K1485" s="1186" t="str">
        <f>IF(I1485=".",I1485,VLOOKUP($I1485,'Price List, Weapons &amp; Items'!B:D,3,0))</f>
        <v>Military equipment</v>
      </c>
      <c r="L1485" s="1187">
        <f>VLOOKUP(I1485,'Price List, Weapons &amp; Items'!B:E,4,0)</f>
        <v>0</v>
      </c>
      <c r="M1485" s="1188">
        <v>2000</v>
      </c>
      <c r="N1485" s="1188">
        <f t="shared" si="325"/>
        <v>2000</v>
      </c>
      <c r="O1485" s="1188">
        <f>VLOOKUP($I1485,'Price List, Weapons &amp; Items'!B:G,6,0)</f>
        <v>45</v>
      </c>
      <c r="P1485" s="1185">
        <f t="shared" si="316"/>
        <v>90000</v>
      </c>
      <c r="Q1485" s="1185">
        <f t="shared" si="317"/>
        <v>90000</v>
      </c>
      <c r="R1485" s="1185" t="str">
        <f t="shared" si="313"/>
        <v/>
      </c>
      <c r="S1485" s="1185" t="str">
        <f>IF(AND(AD1485=1,R1485&lt;&gt;".")=TRUE,R1485/VLOOKUP(G1485,'Exchange Rates'!B:C,2,0),IF(R1485=".",".",""))</f>
        <v/>
      </c>
      <c r="T1485" s="1185" t="str">
        <f>IF(AD1485=1,IF(AF1485="Value is not given at all",".",IF(AF1485="Value is given by the source",S1485,IF(AF1485="Value is calculated with prices",(IF(SUMIFS(Q:Q,A:A,A1485)&gt;0,SUMIFS(Q:Q,A:A,A1485),"."))/VLOOKUP("USD",'Exchange Rates'!B:C,2,0),"Error with coding"))),"")</f>
        <v/>
      </c>
      <c r="U1485" s="1184" t="s">
        <v>365</v>
      </c>
      <c r="V1485" s="974" t="s">
        <v>3991</v>
      </c>
      <c r="W1485" s="973" t="s">
        <v>3955</v>
      </c>
      <c r="X1485" s="973" t="s">
        <v>3959</v>
      </c>
      <c r="Y1485" s="973" t="s">
        <v>4039</v>
      </c>
      <c r="Z1485" s="1184">
        <v>0</v>
      </c>
      <c r="AA1485" s="1194">
        <v>0</v>
      </c>
      <c r="AB1485" s="973" t="s">
        <v>4041</v>
      </c>
      <c r="AC1485" s="1192" t="str">
        <f>""</f>
        <v/>
      </c>
      <c r="AD1485" s="1193">
        <v>0</v>
      </c>
      <c r="AE1485" s="1302" t="s">
        <v>368</v>
      </c>
      <c r="AF1485" s="1193" t="s">
        <v>368</v>
      </c>
      <c r="AG1485" s="1193">
        <v>1</v>
      </c>
      <c r="AH1485" s="1193">
        <v>4</v>
      </c>
      <c r="AI1485" s="1193">
        <v>0</v>
      </c>
      <c r="AJ1485" s="1193">
        <f>VLOOKUP($I1485,'Price List, Weapons &amp; Items'!B:F,5,0)</f>
        <v>0</v>
      </c>
      <c r="AK1485" s="1193">
        <f t="shared" si="318"/>
        <v>0</v>
      </c>
      <c r="AL1485" s="1193">
        <f t="shared" si="319"/>
        <v>0</v>
      </c>
      <c r="AM1485" s="1193">
        <f t="shared" si="320"/>
        <v>0</v>
      </c>
      <c r="AN1485" s="1194" t="str">
        <f>VLOOKUP($I1485,'Price List, Weapons &amp; Items'!B:L,COLUMN('Price List, Weapons &amp; Items'!$J$11)-1,0)</f>
        <v>Online marketplaces and stores</v>
      </c>
      <c r="AO1485" s="1194" t="str">
        <f>IF(I1485=".",".",VLOOKUP($I1485,'Price List, Weapons &amp; Items'!B:J,3,0))</f>
        <v>Military equipment</v>
      </c>
      <c r="AP1485" s="1195" t="str">
        <f t="shared" ca="1" si="314"/>
        <v/>
      </c>
      <c r="AQ1485" s="1194">
        <f>VLOOKUP($I1485,'Price List, Weapons &amp; Items'!B:L,COLUMN('Price List, Weapons &amp; Items'!$L$11)-1,0)</f>
        <v>1</v>
      </c>
      <c r="AR1485" s="1194">
        <f t="shared" si="321"/>
        <v>1</v>
      </c>
      <c r="AS1485" s="1194">
        <f t="shared" si="322"/>
        <v>1</v>
      </c>
      <c r="AT1485" s="1194">
        <f t="shared" si="323"/>
        <v>1</v>
      </c>
      <c r="AU1485" s="1194" t="str">
        <f t="shared" si="311"/>
        <v>.</v>
      </c>
      <c r="AV1485" s="1194" t="str">
        <f t="shared" si="315"/>
        <v>.</v>
      </c>
      <c r="AW1485" s="1194" t="str">
        <f t="shared" si="324"/>
        <v>.</v>
      </c>
      <c r="AX1485" s="1194">
        <f>IFERROR(VLOOKUP(B1485,'Share, Heavy Weapons to Ukraine'!B:Z,COLUMN('Share, Heavy Weapons to Ukraine'!C1497)-1,0),0)</f>
        <v>1</v>
      </c>
      <c r="AY1485" s="1194">
        <f>VLOOKUP('Bilateral Assistance, MAIN DATA'!B1485,'Country Summary (€)'!B:F,COLUMN('Country Summary (€)'!C1498)-1,FALSE)</f>
        <v>0</v>
      </c>
      <c r="AZ1485" s="1194" t="str">
        <f>IF(AND(AD1485=1,D1485="Military",H1485&lt;&gt;"Not given")=TRUE,IF(SUMIFS(P:P,A:A,A1485)&gt;0,ABS((SUMIFS(P:P,A:A,A1485)/VLOOKUP("USD",'Exchange Rates'!B:C,2,0)))/S1485,"."),".")</f>
        <v>.</v>
      </c>
      <c r="BA1485" s="1196" t="str">
        <f>IF(AND(AD1485=1,D1485="Military",H1485&lt;&gt;"Not given")=TRUE,IF(SUMIFS(P:P,A:A,A1485)&gt;0,IF((ABS((SUMIFS(P:P,A:A,A1485)/VLOOKUP("USD",'Exchange Rates'!B:C,2,0)))/S1485)&gt;1,(SUMIFS(P:P,A:A,A1485)-S1485)/S1485,(S1485-SUMIFS(P:P,A:A,A1485))/SUMIFS(P:P,A:A,A1485)),"."),".")</f>
        <v>.</v>
      </c>
    </row>
    <row r="1486" spans="1:53" ht="15.95" customHeight="1">
      <c r="A1486" s="1182" t="s">
        <v>3987</v>
      </c>
      <c r="B1486" s="1182" t="s">
        <v>3949</v>
      </c>
      <c r="C1486" s="1181">
        <v>44664</v>
      </c>
      <c r="D1486" s="1182" t="s">
        <v>389</v>
      </c>
      <c r="E1486" s="1182" t="s">
        <v>1676</v>
      </c>
      <c r="F1486" s="1183" t="s">
        <v>4019</v>
      </c>
      <c r="G1486" s="1184" t="s">
        <v>456</v>
      </c>
      <c r="H1486" s="1185">
        <v>800000000</v>
      </c>
      <c r="I1486" s="1180" t="s">
        <v>1326</v>
      </c>
      <c r="J1486" s="1186" t="str">
        <f>VLOOKUP($I1486,'Price List, Weapons &amp; Items'!B:C,2,0)</f>
        <v>Military equipment</v>
      </c>
      <c r="K1486" s="1186" t="str">
        <f>IF(I1486=".",I1486,VLOOKUP($I1486,'Price List, Weapons &amp; Items'!B:D,3,0))</f>
        <v>Military equipment</v>
      </c>
      <c r="L1486" s="1187">
        <f>VLOOKUP(I1486,'Price List, Weapons &amp; Items'!B:E,4,0)</f>
        <v>0</v>
      </c>
      <c r="M1486" s="1188">
        <v>2000</v>
      </c>
      <c r="N1486" s="1188">
        <f t="shared" si="325"/>
        <v>2000</v>
      </c>
      <c r="O1486" s="1188">
        <f>VLOOKUP($I1486,'Price List, Weapons &amp; Items'!B:G,6,0)</f>
        <v>51404</v>
      </c>
      <c r="P1486" s="1185">
        <f t="shared" si="316"/>
        <v>102808000</v>
      </c>
      <c r="Q1486" s="1185">
        <f t="shared" si="317"/>
        <v>102808000</v>
      </c>
      <c r="R1486" s="1185" t="str">
        <f t="shared" si="313"/>
        <v/>
      </c>
      <c r="S1486" s="1185" t="str">
        <f>IF(AND(AD1486=1,R1486&lt;&gt;".")=TRUE,R1486/VLOOKUP(G1486,'Exchange Rates'!B:C,2,0),IF(R1486=".",".",""))</f>
        <v/>
      </c>
      <c r="T1486" s="1185" t="str">
        <f>IF(AD1486=1,IF(AF1486="Value is not given at all",".",IF(AF1486="Value is given by the source",S1486,IF(AF1486="Value is calculated with prices",(IF(SUMIFS(Q:Q,A:A,A1486)&gt;0,SUMIFS(Q:Q,A:A,A1486),"."))/VLOOKUP("USD",'Exchange Rates'!B:C,2,0),"Error with coding"))),"")</f>
        <v/>
      </c>
      <c r="U1486" s="1184" t="s">
        <v>365</v>
      </c>
      <c r="V1486" s="974" t="s">
        <v>3991</v>
      </c>
      <c r="W1486" s="973" t="s">
        <v>3955</v>
      </c>
      <c r="X1486" s="973" t="s">
        <v>3959</v>
      </c>
      <c r="Y1486" s="973" t="s">
        <v>4041</v>
      </c>
      <c r="Z1486" s="1184">
        <v>0</v>
      </c>
      <c r="AA1486" s="1194">
        <v>0</v>
      </c>
      <c r="AB1486" s="973" t="s">
        <v>4042</v>
      </c>
      <c r="AC1486" s="1192" t="str">
        <f>""</f>
        <v/>
      </c>
      <c r="AD1486" s="1193">
        <v>0</v>
      </c>
      <c r="AE1486" s="1302" t="s">
        <v>368</v>
      </c>
      <c r="AF1486" s="1193" t="s">
        <v>368</v>
      </c>
      <c r="AG1486" s="1193">
        <v>1</v>
      </c>
      <c r="AH1486" s="1193">
        <v>4</v>
      </c>
      <c r="AI1486" s="1193">
        <v>0</v>
      </c>
      <c r="AJ1486" s="1193">
        <f>VLOOKUP($I1486,'Price List, Weapons &amp; Items'!B:F,5,0)</f>
        <v>0</v>
      </c>
      <c r="AK1486" s="1193">
        <f t="shared" si="318"/>
        <v>0</v>
      </c>
      <c r="AL1486" s="1193">
        <f t="shared" si="319"/>
        <v>0</v>
      </c>
      <c r="AM1486" s="1193">
        <f t="shared" si="320"/>
        <v>0</v>
      </c>
      <c r="AN1486" s="1194" t="str">
        <f>VLOOKUP($I1486,'Price List, Weapons &amp; Items'!B:L,COLUMN('Price List, Weapons &amp; Items'!$J$11)-1,0)</f>
        <v>Contracts</v>
      </c>
      <c r="AO1486" s="1194" t="str">
        <f>IF(I1486=".",".",VLOOKUP($I1486,'Price List, Weapons &amp; Items'!B:J,3,0))</f>
        <v>Military equipment</v>
      </c>
      <c r="AP1486" s="1195" t="str">
        <f t="shared" ca="1" si="314"/>
        <v/>
      </c>
      <c r="AQ1486" s="1194">
        <f>VLOOKUP($I1486,'Price List, Weapons &amp; Items'!B:L,COLUMN('Price List, Weapons &amp; Items'!$L$11)-1,0)</f>
        <v>2</v>
      </c>
      <c r="AR1486" s="1194">
        <f t="shared" si="321"/>
        <v>1</v>
      </c>
      <c r="AS1486" s="1194">
        <f t="shared" si="322"/>
        <v>1</v>
      </c>
      <c r="AT1486" s="1194">
        <f t="shared" si="323"/>
        <v>1</v>
      </c>
      <c r="AU1486" s="1194" t="str">
        <f t="shared" si="311"/>
        <v>.</v>
      </c>
      <c r="AV1486" s="1194" t="str">
        <f t="shared" si="315"/>
        <v>.</v>
      </c>
      <c r="AW1486" s="1194" t="str">
        <f t="shared" si="324"/>
        <v>.</v>
      </c>
      <c r="AX1486" s="1194">
        <f>IFERROR(VLOOKUP(B1486,'Share, Heavy Weapons to Ukraine'!B:Z,COLUMN('Share, Heavy Weapons to Ukraine'!C1498)-1,0),0)</f>
        <v>1</v>
      </c>
      <c r="AY1486" s="1194">
        <f>VLOOKUP('Bilateral Assistance, MAIN DATA'!B1486,'Country Summary (€)'!B:F,COLUMN('Country Summary (€)'!C1499)-1,FALSE)</f>
        <v>0</v>
      </c>
      <c r="AZ1486" s="1194" t="str">
        <f>IF(AND(AD1486=1,D1486="Military",H1486&lt;&gt;"Not given")=TRUE,IF(SUMIFS(P:P,A:A,A1486)&gt;0,ABS((SUMIFS(P:P,A:A,A1486)/VLOOKUP("USD",'Exchange Rates'!B:C,2,0)))/S1486,"."),".")</f>
        <v>.</v>
      </c>
      <c r="BA1486" s="1196" t="str">
        <f>IF(AND(AD1486=1,D1486="Military",H1486&lt;&gt;"Not given")=TRUE,IF(SUMIFS(P:P,A:A,A1486)&gt;0,IF((ABS((SUMIFS(P:P,A:A,A1486)/VLOOKUP("USD",'Exchange Rates'!B:C,2,0)))/S1486)&gt;1,(SUMIFS(P:P,A:A,A1486)-S1486)/S1486,(S1486-SUMIFS(P:P,A:A,A1486))/SUMIFS(P:P,A:A,A1486)),"."),".")</f>
        <v>.</v>
      </c>
    </row>
    <row r="1487" spans="1:53" ht="15.95" customHeight="1">
      <c r="A1487" s="1182" t="s">
        <v>3987</v>
      </c>
      <c r="B1487" s="1182" t="s">
        <v>3949</v>
      </c>
      <c r="C1487" s="1181">
        <v>44664</v>
      </c>
      <c r="D1487" s="1182" t="s">
        <v>389</v>
      </c>
      <c r="E1487" s="1182" t="s">
        <v>1676</v>
      </c>
      <c r="F1487" s="1183" t="s">
        <v>4019</v>
      </c>
      <c r="G1487" s="1184" t="s">
        <v>456</v>
      </c>
      <c r="H1487" s="1185">
        <v>800000000</v>
      </c>
      <c r="I1487" s="1180" t="s">
        <v>4043</v>
      </c>
      <c r="J1487" s="1186" t="str">
        <f>VLOOKUP($I1487,'Price List, Weapons &amp; Items'!B:C,2,0)</f>
        <v>Military equipment</v>
      </c>
      <c r="K1487" s="1186" t="str">
        <f>IF(I1487=".",I1487,VLOOKUP($I1487,'Price List, Weapons &amp; Items'!B:D,3,0))</f>
        <v>Military equipment</v>
      </c>
      <c r="L1487" s="1187">
        <f>VLOOKUP(I1487,'Price List, Weapons &amp; Items'!B:E,4,0)</f>
        <v>0</v>
      </c>
      <c r="M1487" s="1188" t="s">
        <v>374</v>
      </c>
      <c r="N1487" s="1188" t="s">
        <v>374</v>
      </c>
      <c r="O1487" s="1188">
        <f>VLOOKUP($I1487,'Price List, Weapons &amp; Items'!B:G,6,0)</f>
        <v>90</v>
      </c>
      <c r="P1487" s="1185" t="str">
        <f t="shared" si="316"/>
        <v>.</v>
      </c>
      <c r="Q1487" s="1185" t="str">
        <f t="shared" si="317"/>
        <v>.</v>
      </c>
      <c r="R1487" s="1185" t="str">
        <f t="shared" si="313"/>
        <v/>
      </c>
      <c r="S1487" s="1185" t="str">
        <f>IF(AND(AD1487=1,R1487&lt;&gt;".")=TRUE,R1487/VLOOKUP(G1487,'Exchange Rates'!B:C,2,0),IF(R1487=".",".",""))</f>
        <v/>
      </c>
      <c r="T1487" s="1185" t="str">
        <f>IF(AD1487=1,IF(AF1487="Value is not given at all",".",IF(AF1487="Value is given by the source",S1487,IF(AF1487="Value is calculated with prices",(IF(SUMIFS(Q:Q,A:A,A1487)&gt;0,SUMIFS(Q:Q,A:A,A1487),"."))/VLOOKUP("USD",'Exchange Rates'!B:C,2,0),"Error with coding"))),"")</f>
        <v/>
      </c>
      <c r="U1487" s="1184" t="s">
        <v>365</v>
      </c>
      <c r="V1487" s="974" t="s">
        <v>3991</v>
      </c>
      <c r="W1487" s="973" t="s">
        <v>3955</v>
      </c>
      <c r="X1487" s="973" t="s">
        <v>3959</v>
      </c>
      <c r="Y1487" s="973" t="s">
        <v>4042</v>
      </c>
      <c r="Z1487" s="1184">
        <v>0</v>
      </c>
      <c r="AA1487" s="1194">
        <v>0</v>
      </c>
      <c r="AB1487" s="973" t="s">
        <v>4044</v>
      </c>
      <c r="AC1487" s="1192" t="str">
        <f>""</f>
        <v/>
      </c>
      <c r="AD1487" s="1193">
        <v>0</v>
      </c>
      <c r="AE1487" s="1302" t="s">
        <v>368</v>
      </c>
      <c r="AF1487" s="1193" t="s">
        <v>368</v>
      </c>
      <c r="AG1487" s="1193">
        <v>1</v>
      </c>
      <c r="AH1487" s="1193">
        <v>4</v>
      </c>
      <c r="AI1487" s="1193">
        <v>0</v>
      </c>
      <c r="AJ1487" s="1193">
        <f>VLOOKUP($I1487,'Price List, Weapons &amp; Items'!B:F,5,0)</f>
        <v>0</v>
      </c>
      <c r="AK1487" s="1193">
        <f t="shared" si="318"/>
        <v>0</v>
      </c>
      <c r="AL1487" s="1193">
        <f t="shared" si="319"/>
        <v>0</v>
      </c>
      <c r="AM1487" s="1193">
        <f t="shared" si="320"/>
        <v>0</v>
      </c>
      <c r="AN1487" s="1194" t="str">
        <f>VLOOKUP($I1487,'Price List, Weapons &amp; Items'!B:L,COLUMN('Price List, Weapons &amp; Items'!$J$11)-1,0)</f>
        <v>Media reports (incl. social media)</v>
      </c>
      <c r="AO1487" s="1194" t="str">
        <f>IF(I1487=".",".",VLOOKUP($I1487,'Price List, Weapons &amp; Items'!B:J,3,0))</f>
        <v>Military equipment</v>
      </c>
      <c r="AP1487" s="1195" t="str">
        <f t="shared" ca="1" si="314"/>
        <v/>
      </c>
      <c r="AQ1487" s="1194" t="str">
        <f>VLOOKUP($I1487,'Price List, Weapons &amp; Items'!B:L,COLUMN('Price List, Weapons &amp; Items'!$L$11)-1,0)</f>
        <v>no price, 0 count</v>
      </c>
      <c r="AR1487" s="1194">
        <f t="shared" si="321"/>
        <v>1</v>
      </c>
      <c r="AS1487" s="1194">
        <f t="shared" si="322"/>
        <v>1</v>
      </c>
      <c r="AT1487" s="1194">
        <f t="shared" si="323"/>
        <v>1</v>
      </c>
      <c r="AU1487" s="1194" t="str">
        <f t="shared" si="311"/>
        <v>.</v>
      </c>
      <c r="AV1487" s="1194" t="str">
        <f t="shared" si="315"/>
        <v>.</v>
      </c>
      <c r="AW1487" s="1194" t="str">
        <f t="shared" si="324"/>
        <v>.</v>
      </c>
      <c r="AX1487" s="1194">
        <f>IFERROR(VLOOKUP(B1487,'Share, Heavy Weapons to Ukraine'!B:Z,COLUMN('Share, Heavy Weapons to Ukraine'!C1499)-1,0),0)</f>
        <v>1</v>
      </c>
      <c r="AY1487" s="1194">
        <f>VLOOKUP('Bilateral Assistance, MAIN DATA'!B1487,'Country Summary (€)'!B:F,COLUMN('Country Summary (€)'!C1500)-1,FALSE)</f>
        <v>0</v>
      </c>
      <c r="AZ1487" s="1194" t="str">
        <f>IF(AND(AD1487=1,D1487="Military",H1487&lt;&gt;"Not given")=TRUE,IF(SUMIFS(P:P,A:A,A1487)&gt;0,ABS((SUMIFS(P:P,A:A,A1487)/VLOOKUP("USD",'Exchange Rates'!B:C,2,0)))/S1487,"."),".")</f>
        <v>.</v>
      </c>
      <c r="BA1487" s="1196" t="str">
        <f>IF(AND(AD1487=1,D1487="Military",H1487&lt;&gt;"Not given")=TRUE,IF(SUMIFS(P:P,A:A,A1487)&gt;0,IF((ABS((SUMIFS(P:P,A:A,A1487)/VLOOKUP("USD",'Exchange Rates'!B:C,2,0)))/S1487)&gt;1,(SUMIFS(P:P,A:A,A1487)-S1487)/S1487,(S1487-SUMIFS(P:P,A:A,A1487))/SUMIFS(P:P,A:A,A1487)),"."),".")</f>
        <v>.</v>
      </c>
    </row>
    <row r="1488" spans="1:53" ht="15.95" customHeight="1">
      <c r="A1488" s="1182" t="s">
        <v>3987</v>
      </c>
      <c r="B1488" s="1182" t="s">
        <v>3949</v>
      </c>
      <c r="C1488" s="1181">
        <v>44664</v>
      </c>
      <c r="D1488" s="1182" t="s">
        <v>389</v>
      </c>
      <c r="E1488" s="1182" t="s">
        <v>1676</v>
      </c>
      <c r="F1488" s="1183" t="s">
        <v>4019</v>
      </c>
      <c r="G1488" s="1184" t="s">
        <v>456</v>
      </c>
      <c r="H1488" s="1185">
        <v>800000000</v>
      </c>
      <c r="I1488" s="1180" t="s">
        <v>4045</v>
      </c>
      <c r="J1488" s="1186" t="str">
        <f>VLOOKUP($I1488,'Price List, Weapons &amp; Items'!B:C,2,0)</f>
        <v>Light armaments &amp; infantry</v>
      </c>
      <c r="K1488" s="1186" t="str">
        <f>IF(I1488=".",I1488,VLOOKUP($I1488,'Price List, Weapons &amp; Items'!B:D,3,0))</f>
        <v>Explosive</v>
      </c>
      <c r="L1488" s="1187">
        <f>VLOOKUP(I1488,'Price List, Weapons &amp; Items'!B:E,4,0)</f>
        <v>0</v>
      </c>
      <c r="M1488" s="1188" t="s">
        <v>374</v>
      </c>
      <c r="N1488" s="1188" t="s">
        <v>374</v>
      </c>
      <c r="O1488" s="1188">
        <f>VLOOKUP($I1488,'Price List, Weapons &amp; Items'!B:G,6,0)</f>
        <v>223.15</v>
      </c>
      <c r="P1488" s="1185" t="str">
        <f t="shared" si="316"/>
        <v>.</v>
      </c>
      <c r="Q1488" s="1185" t="str">
        <f t="shared" si="317"/>
        <v>.</v>
      </c>
      <c r="R1488" s="1185" t="str">
        <f t="shared" si="313"/>
        <v/>
      </c>
      <c r="S1488" s="1185" t="str">
        <f>IF(AND(AD1488=1,R1488&lt;&gt;".")=TRUE,R1488/VLOOKUP(G1488,'Exchange Rates'!B:C,2,0),IF(R1488=".",".",""))</f>
        <v/>
      </c>
      <c r="T1488" s="1185" t="str">
        <f>IF(AD1488=1,IF(AF1488="Value is not given at all",".",IF(AF1488="Value is given by the source",S1488,IF(AF1488="Value is calculated with prices",(IF(SUMIFS(Q:Q,A:A,A1488)&gt;0,SUMIFS(Q:Q,A:A,A1488),"."))/VLOOKUP("USD",'Exchange Rates'!B:C,2,0),"Error with coding"))),"")</f>
        <v/>
      </c>
      <c r="U1488" s="1184" t="s">
        <v>365</v>
      </c>
      <c r="V1488" s="974" t="s">
        <v>3991</v>
      </c>
      <c r="W1488" s="973" t="s">
        <v>3955</v>
      </c>
      <c r="X1488" s="973" t="s">
        <v>3959</v>
      </c>
      <c r="Y1488" s="973" t="s">
        <v>4044</v>
      </c>
      <c r="Z1488" s="1184">
        <v>0</v>
      </c>
      <c r="AA1488" s="1194">
        <v>0</v>
      </c>
      <c r="AB1488" s="973" t="s">
        <v>4046</v>
      </c>
      <c r="AC1488" s="1192" t="str">
        <f>""</f>
        <v/>
      </c>
      <c r="AD1488" s="1193">
        <v>0</v>
      </c>
      <c r="AE1488" s="1302" t="s">
        <v>368</v>
      </c>
      <c r="AF1488" s="1193" t="s">
        <v>368</v>
      </c>
      <c r="AG1488" s="1193">
        <v>1</v>
      </c>
      <c r="AH1488" s="1193">
        <v>4</v>
      </c>
      <c r="AI1488" s="1193">
        <v>0</v>
      </c>
      <c r="AJ1488" s="1193">
        <f>VLOOKUP($I1488,'Price List, Weapons &amp; Items'!B:F,5,0)</f>
        <v>0</v>
      </c>
      <c r="AK1488" s="1193">
        <f t="shared" si="318"/>
        <v>0</v>
      </c>
      <c r="AL1488" s="1193">
        <f t="shared" si="319"/>
        <v>0</v>
      </c>
      <c r="AM1488" s="1193">
        <f t="shared" si="320"/>
        <v>0</v>
      </c>
      <c r="AN1488" s="1194" t="str">
        <f>VLOOKUP($I1488,'Price List, Weapons &amp; Items'!B:L,COLUMN('Price List, Weapons &amp; Items'!$J$11)-1,0)</f>
        <v>Miscellaneous</v>
      </c>
      <c r="AO1488" s="1194" t="str">
        <f>IF(I1488=".",".",VLOOKUP($I1488,'Price List, Weapons &amp; Items'!B:J,3,0))</f>
        <v>Explosive</v>
      </c>
      <c r="AP1488" s="1195" t="str">
        <f t="shared" ca="1" si="314"/>
        <v/>
      </c>
      <c r="AQ1488" s="1194" t="str">
        <f>VLOOKUP($I1488,'Price List, Weapons &amp; Items'!B:L,COLUMN('Price List, Weapons &amp; Items'!$L$11)-1,0)</f>
        <v>no price, 0 count</v>
      </c>
      <c r="AR1488" s="1194">
        <f t="shared" si="321"/>
        <v>1</v>
      </c>
      <c r="AS1488" s="1194">
        <f t="shared" si="322"/>
        <v>1</v>
      </c>
      <c r="AT1488" s="1194">
        <f t="shared" si="323"/>
        <v>1</v>
      </c>
      <c r="AU1488" s="1194" t="str">
        <f t="shared" si="311"/>
        <v>.</v>
      </c>
      <c r="AV1488" s="1194" t="str">
        <f t="shared" si="315"/>
        <v>.</v>
      </c>
      <c r="AW1488" s="1194" t="str">
        <f t="shared" si="324"/>
        <v>.</v>
      </c>
      <c r="AX1488" s="1194">
        <f>IFERROR(VLOOKUP(B1488,'Share, Heavy Weapons to Ukraine'!B:Z,COLUMN('Share, Heavy Weapons to Ukraine'!C1500)-1,0),0)</f>
        <v>1</v>
      </c>
      <c r="AY1488" s="1194">
        <f>VLOOKUP('Bilateral Assistance, MAIN DATA'!B1488,'Country Summary (€)'!B:F,COLUMN('Country Summary (€)'!C1501)-1,FALSE)</f>
        <v>0</v>
      </c>
      <c r="AZ1488" s="1194" t="str">
        <f>IF(AND(AD1488=1,D1488="Military",H1488&lt;&gt;"Not given")=TRUE,IF(SUMIFS(P:P,A:A,A1488)&gt;0,ABS((SUMIFS(P:P,A:A,A1488)/VLOOKUP("USD",'Exchange Rates'!B:C,2,0)))/S1488,"."),".")</f>
        <v>.</v>
      </c>
      <c r="BA1488" s="1196" t="str">
        <f>IF(AND(AD1488=1,D1488="Military",H1488&lt;&gt;"Not given")=TRUE,IF(SUMIFS(P:P,A:A,A1488)&gt;0,IF((ABS((SUMIFS(P:P,A:A,A1488)/VLOOKUP("USD",'Exchange Rates'!B:C,2,0)))/S1488)&gt;1,(SUMIFS(P:P,A:A,A1488)-S1488)/S1488,(S1488-SUMIFS(P:P,A:A,A1488))/SUMIFS(P:P,A:A,A1488)),"."),".")</f>
        <v>.</v>
      </c>
    </row>
    <row r="1489" spans="1:53" ht="15.95" customHeight="1">
      <c r="A1489" s="1182" t="s">
        <v>3987</v>
      </c>
      <c r="B1489" s="1182" t="s">
        <v>3949</v>
      </c>
      <c r="C1489" s="1181">
        <v>44672</v>
      </c>
      <c r="D1489" s="1182" t="s">
        <v>389</v>
      </c>
      <c r="E1489" s="1182" t="s">
        <v>1676</v>
      </c>
      <c r="F1489" s="1183" t="s">
        <v>4019</v>
      </c>
      <c r="G1489" s="1184" t="s">
        <v>456</v>
      </c>
      <c r="H1489" s="1185">
        <v>800000000</v>
      </c>
      <c r="I1489" s="1180" t="s">
        <v>423</v>
      </c>
      <c r="J1489" s="1186" t="str">
        <f>VLOOKUP($I1489,'Price List, Weapons &amp; Items'!B:C,2,0)</f>
        <v>Heavy weapon</v>
      </c>
      <c r="K1489" s="1186" t="str">
        <f>IF(I1489=".",I1489,VLOOKUP($I1489,'Price List, Weapons &amp; Items'!B:D,3,0))</f>
        <v>155mm howitzer</v>
      </c>
      <c r="L1489" s="1187">
        <f>VLOOKUP(I1489,'Price List, Weapons &amp; Items'!B:E,4,0)</f>
        <v>0</v>
      </c>
      <c r="M1489" s="1188">
        <v>72</v>
      </c>
      <c r="N1489" s="1188">
        <v>72</v>
      </c>
      <c r="O1489" s="1188">
        <f>VLOOKUP($I1489,'Price List, Weapons &amp; Items'!B:G,6,0)</f>
        <v>5170000</v>
      </c>
      <c r="P1489" s="1185">
        <f t="shared" si="316"/>
        <v>372240000</v>
      </c>
      <c r="Q1489" s="1185">
        <f t="shared" si="317"/>
        <v>372240000</v>
      </c>
      <c r="R1489" s="1185" t="str">
        <f t="shared" si="313"/>
        <v/>
      </c>
      <c r="S1489" s="1185" t="str">
        <f>IF(AND(AD1489=1,R1489&lt;&gt;".")=TRUE,R1489/VLOOKUP(G1489,'Exchange Rates'!B:C,2,0),IF(R1489=".",".",""))</f>
        <v/>
      </c>
      <c r="T1489" s="1185" t="str">
        <f>IF(AD1489=1,IF(AF1489="Value is not given at all",".",IF(AF1489="Value is given by the source",S1489,IF(AF1489="Value is calculated with prices",(IF(SUMIFS(Q:Q,A:A,A1489)&gt;0,SUMIFS(Q:Q,A:A,A1489),"."))/VLOOKUP("USD",'Exchange Rates'!B:C,2,0),"Error with coding"))),"")</f>
        <v/>
      </c>
      <c r="U1489" s="1184" t="s">
        <v>365</v>
      </c>
      <c r="V1489" s="974" t="s">
        <v>3991</v>
      </c>
      <c r="W1489" s="973" t="s">
        <v>3955</v>
      </c>
      <c r="X1489" s="973" t="s">
        <v>3959</v>
      </c>
      <c r="Y1489" s="973" t="s">
        <v>4046</v>
      </c>
      <c r="Z1489" s="1184">
        <v>0</v>
      </c>
      <c r="AA1489" s="1194">
        <v>0</v>
      </c>
      <c r="AB1489" s="973" t="s">
        <v>4047</v>
      </c>
      <c r="AC1489" s="1192" t="str">
        <f>""</f>
        <v/>
      </c>
      <c r="AD1489" s="1193">
        <v>0</v>
      </c>
      <c r="AE1489" s="1302" t="s">
        <v>368</v>
      </c>
      <c r="AF1489" s="1193" t="s">
        <v>368</v>
      </c>
      <c r="AG1489" s="1193">
        <v>1</v>
      </c>
      <c r="AH1489" s="1193">
        <v>4</v>
      </c>
      <c r="AI1489" s="1193">
        <v>0</v>
      </c>
      <c r="AJ1489" s="1193">
        <f>VLOOKUP($I1489,'Price List, Weapons &amp; Items'!B:F,5,0)</f>
        <v>1</v>
      </c>
      <c r="AK1489" s="1193">
        <f t="shared" si="318"/>
        <v>0</v>
      </c>
      <c r="AL1489" s="1193">
        <f t="shared" si="319"/>
        <v>0</v>
      </c>
      <c r="AM1489" s="1193">
        <f t="shared" si="320"/>
        <v>0</v>
      </c>
      <c r="AN1489" s="1194" t="str">
        <f>VLOOKUP($I1489,'Price List, Weapons &amp; Items'!B:L,COLUMN('Price List, Weapons &amp; Items'!$J$11)-1,0)</f>
        <v>Military media (incl. websites)</v>
      </c>
      <c r="AO1489" s="1194" t="str">
        <f>IF(I1489=".",".",VLOOKUP($I1489,'Price List, Weapons &amp; Items'!B:J,3,0))</f>
        <v>155mm howitzer</v>
      </c>
      <c r="AP1489" s="1195" t="str">
        <f t="shared" ca="1" si="314"/>
        <v/>
      </c>
      <c r="AQ1489" s="1194">
        <f>VLOOKUP($I1489,'Price List, Weapons &amp; Items'!B:L,COLUMN('Price List, Weapons &amp; Items'!$L$11)-1,0)</f>
        <v>2</v>
      </c>
      <c r="AR1489" s="1194">
        <f t="shared" si="321"/>
        <v>1</v>
      </c>
      <c r="AS1489" s="1194">
        <f t="shared" si="322"/>
        <v>1</v>
      </c>
      <c r="AT1489" s="1194">
        <f t="shared" si="323"/>
        <v>1</v>
      </c>
      <c r="AU1489" s="1194" t="str">
        <f t="shared" si="311"/>
        <v>.</v>
      </c>
      <c r="AV1489" s="1194" t="str">
        <f t="shared" si="315"/>
        <v>.</v>
      </c>
      <c r="AW1489" s="1194" t="str">
        <f t="shared" si="324"/>
        <v>.</v>
      </c>
      <c r="AX1489" s="1194">
        <f>IFERROR(VLOOKUP(B1489,'Share, Heavy Weapons to Ukraine'!B:Z,COLUMN('Share, Heavy Weapons to Ukraine'!C1501)-1,0),0)</f>
        <v>1</v>
      </c>
      <c r="AY1489" s="1194">
        <f>VLOOKUP('Bilateral Assistance, MAIN DATA'!B1489,'Country Summary (€)'!B:F,COLUMN('Country Summary (€)'!C1502)-1,FALSE)</f>
        <v>0</v>
      </c>
      <c r="AZ1489" s="1194" t="str">
        <f>IF(AND(AD1489=1,D1489="Military",H1489&lt;&gt;"Not given")=TRUE,IF(SUMIFS(P:P,A:A,A1489)&gt;0,ABS((SUMIFS(P:P,A:A,A1489)/VLOOKUP("USD",'Exchange Rates'!B:C,2,0)))/S1489,"."),".")</f>
        <v>.</v>
      </c>
      <c r="BA1489" s="1196" t="str">
        <f>IF(AND(AD1489=1,D1489="Military",H1489&lt;&gt;"Not given")=TRUE,IF(SUMIFS(P:P,A:A,A1489)&gt;0,IF((ABS((SUMIFS(P:P,A:A,A1489)/VLOOKUP("USD",'Exchange Rates'!B:C,2,0)))/S1489)&gt;1,(SUMIFS(P:P,A:A,A1489)-S1489)/S1489,(S1489-SUMIFS(P:P,A:A,A1489))/SUMIFS(P:P,A:A,A1489)),"."),".")</f>
        <v>.</v>
      </c>
    </row>
    <row r="1490" spans="1:53" ht="15.95" customHeight="1">
      <c r="A1490" s="1182" t="s">
        <v>3987</v>
      </c>
      <c r="B1490" s="1182" t="s">
        <v>3949</v>
      </c>
      <c r="C1490" s="1181">
        <v>44672</v>
      </c>
      <c r="D1490" s="1182" t="s">
        <v>389</v>
      </c>
      <c r="E1490" s="1182" t="s">
        <v>1676</v>
      </c>
      <c r="F1490" s="1183" t="s">
        <v>4019</v>
      </c>
      <c r="G1490" s="1184" t="s">
        <v>456</v>
      </c>
      <c r="H1490" s="1185">
        <v>800000000</v>
      </c>
      <c r="I1490" s="1180" t="s">
        <v>4048</v>
      </c>
      <c r="J1490" s="1186" t="str">
        <f>VLOOKUP($I1490,'Price List, Weapons &amp; Items'!B:C,2,0)</f>
        <v>Military equipment</v>
      </c>
      <c r="K1490" s="1186" t="str">
        <f>IF(I1490=".",I1490,VLOOKUP($I1490,'Price List, Weapons &amp; Items'!B:D,3,0))</f>
        <v>Military equipment</v>
      </c>
      <c r="L1490" s="1187">
        <f>VLOOKUP(I1490,'Price List, Weapons &amp; Items'!B:E,4,0)</f>
        <v>0</v>
      </c>
      <c r="M1490" s="1188">
        <v>72</v>
      </c>
      <c r="N1490" s="1188">
        <v>72</v>
      </c>
      <c r="O1490" s="1188">
        <f>VLOOKUP($I1490,'Price List, Weapons &amp; Items'!B:G,6,0)</f>
        <v>350000</v>
      </c>
      <c r="P1490" s="1185">
        <f t="shared" si="316"/>
        <v>25200000</v>
      </c>
      <c r="Q1490" s="1185">
        <f t="shared" si="317"/>
        <v>25200000</v>
      </c>
      <c r="R1490" s="1185" t="str">
        <f t="shared" si="313"/>
        <v/>
      </c>
      <c r="S1490" s="1185" t="str">
        <f>IF(AND(AD1490=1,R1490&lt;&gt;".")=TRUE,R1490/VLOOKUP(G1490,'Exchange Rates'!B:C,2,0),IF(R1490=".",".",""))</f>
        <v/>
      </c>
      <c r="T1490" s="1185" t="str">
        <f>IF(AD1490=1,IF(AF1490="Value is not given at all",".",IF(AF1490="Value is given by the source",S1490,IF(AF1490="Value is calculated with prices",(IF(SUMIFS(Q:Q,A:A,A1490)&gt;0,SUMIFS(Q:Q,A:A,A1490),"."))/VLOOKUP("USD",'Exchange Rates'!B:C,2,0),"Error with coding"))),"")</f>
        <v/>
      </c>
      <c r="U1490" s="1184" t="s">
        <v>365</v>
      </c>
      <c r="V1490" s="974" t="s">
        <v>3991</v>
      </c>
      <c r="W1490" s="973" t="s">
        <v>3955</v>
      </c>
      <c r="X1490" s="973" t="s">
        <v>3959</v>
      </c>
      <c r="Y1490" s="973" t="s">
        <v>4047</v>
      </c>
      <c r="Z1490" s="1184">
        <v>0</v>
      </c>
      <c r="AA1490" s="1194">
        <v>0</v>
      </c>
      <c r="AB1490" s="973" t="s">
        <v>4049</v>
      </c>
      <c r="AC1490" s="1192" t="str">
        <f>""</f>
        <v/>
      </c>
      <c r="AD1490" s="1193">
        <v>0</v>
      </c>
      <c r="AE1490" s="1302" t="s">
        <v>368</v>
      </c>
      <c r="AF1490" s="1193" t="s">
        <v>368</v>
      </c>
      <c r="AG1490" s="1193">
        <v>1</v>
      </c>
      <c r="AH1490" s="1193">
        <v>4</v>
      </c>
      <c r="AI1490" s="1193">
        <v>0</v>
      </c>
      <c r="AJ1490" s="1193">
        <f>VLOOKUP($I1490,'Price List, Weapons &amp; Items'!B:F,5,0)</f>
        <v>0</v>
      </c>
      <c r="AK1490" s="1193">
        <f t="shared" si="318"/>
        <v>0</v>
      </c>
      <c r="AL1490" s="1193">
        <f t="shared" si="319"/>
        <v>0</v>
      </c>
      <c r="AM1490" s="1193">
        <f t="shared" si="320"/>
        <v>0</v>
      </c>
      <c r="AN1490" s="1194" t="str">
        <f>VLOOKUP($I1490,'Price List, Weapons &amp; Items'!B:L,COLUMN('Price List, Weapons &amp; Items'!$J$11)-1,0)</f>
        <v>Media reports (incl. social media)</v>
      </c>
      <c r="AO1490" s="1194" t="str">
        <f>IF(I1490=".",".",VLOOKUP($I1490,'Price List, Weapons &amp; Items'!B:J,3,0))</f>
        <v>Military equipment</v>
      </c>
      <c r="AP1490" s="1195" t="str">
        <f t="shared" ca="1" si="314"/>
        <v/>
      </c>
      <c r="AQ1490" s="1194">
        <f>VLOOKUP($I1490,'Price List, Weapons &amp; Items'!B:L,COLUMN('Price List, Weapons &amp; Items'!$L$11)-1,0)</f>
        <v>2</v>
      </c>
      <c r="AR1490" s="1194">
        <f t="shared" si="321"/>
        <v>1</v>
      </c>
      <c r="AS1490" s="1194">
        <f t="shared" si="322"/>
        <v>1</v>
      </c>
      <c r="AT1490" s="1194">
        <f t="shared" si="323"/>
        <v>1</v>
      </c>
      <c r="AU1490" s="1194" t="str">
        <f t="shared" si="311"/>
        <v>.</v>
      </c>
      <c r="AV1490" s="1194" t="str">
        <f t="shared" si="315"/>
        <v>.</v>
      </c>
      <c r="AW1490" s="1194" t="str">
        <f t="shared" si="324"/>
        <v>.</v>
      </c>
      <c r="AX1490" s="1194">
        <f>IFERROR(VLOOKUP(B1490,'Share, Heavy Weapons to Ukraine'!B:Z,COLUMN('Share, Heavy Weapons to Ukraine'!C1502)-1,0),0)</f>
        <v>1</v>
      </c>
      <c r="AY1490" s="1194">
        <f>VLOOKUP('Bilateral Assistance, MAIN DATA'!B1490,'Country Summary (€)'!B:F,COLUMN('Country Summary (€)'!C1503)-1,FALSE)</f>
        <v>0</v>
      </c>
      <c r="AZ1490" s="1194" t="str">
        <f>IF(AND(AD1490=1,D1490="Military",H1490&lt;&gt;"Not given")=TRUE,IF(SUMIFS(P:P,A:A,A1490)&gt;0,ABS((SUMIFS(P:P,A:A,A1490)/VLOOKUP("USD",'Exchange Rates'!B:C,2,0)))/S1490,"."),".")</f>
        <v>.</v>
      </c>
      <c r="BA1490" s="1196" t="str">
        <f>IF(AND(AD1490=1,D1490="Military",H1490&lt;&gt;"Not given")=TRUE,IF(SUMIFS(P:P,A:A,A1490)&gt;0,IF((ABS((SUMIFS(P:P,A:A,A1490)/VLOOKUP("USD",'Exchange Rates'!B:C,2,0)))/S1490)&gt;1,(SUMIFS(P:P,A:A,A1490)-S1490)/S1490,(S1490-SUMIFS(P:P,A:A,A1490))/SUMIFS(P:P,A:A,A1490)),"."),".")</f>
        <v>.</v>
      </c>
    </row>
    <row r="1491" spans="1:53" ht="15.95" customHeight="1">
      <c r="A1491" s="1182" t="s">
        <v>3987</v>
      </c>
      <c r="B1491" s="1182" t="s">
        <v>3949</v>
      </c>
      <c r="C1491" s="1181">
        <v>44672</v>
      </c>
      <c r="D1491" s="1182" t="s">
        <v>389</v>
      </c>
      <c r="E1491" s="1182" t="s">
        <v>1676</v>
      </c>
      <c r="F1491" s="1183" t="s">
        <v>4019</v>
      </c>
      <c r="G1491" s="1184" t="s">
        <v>456</v>
      </c>
      <c r="H1491" s="1185">
        <v>800000000</v>
      </c>
      <c r="I1491" s="1180" t="s">
        <v>4050</v>
      </c>
      <c r="J1491" s="1186" t="str">
        <f>VLOOKUP($I1491,'Price List, Weapons &amp; Items'!B:C,2,0)</f>
        <v>Aviation and drones</v>
      </c>
      <c r="K1491" s="1186" t="str">
        <f>IF(I1491=".",I1491,VLOOKUP($I1491,'Price List, Weapons &amp; Items'!B:D,3,0))</f>
        <v>drone</v>
      </c>
      <c r="L1491" s="1187">
        <f>VLOOKUP(I1491,'Price List, Weapons &amp; Items'!B:E,4,0)</f>
        <v>0</v>
      </c>
      <c r="M1491" s="1188">
        <v>121</v>
      </c>
      <c r="N1491" s="1188">
        <v>121</v>
      </c>
      <c r="O1491" s="1188">
        <f>VLOOKUP($I1491,'Price List, Weapons &amp; Items'!B:G,6,0)</f>
        <v>163793</v>
      </c>
      <c r="P1491" s="1185">
        <f t="shared" si="316"/>
        <v>19818953</v>
      </c>
      <c r="Q1491" s="1185">
        <f t="shared" si="317"/>
        <v>19818953</v>
      </c>
      <c r="R1491" s="1185" t="str">
        <f t="shared" si="313"/>
        <v/>
      </c>
      <c r="S1491" s="1185" t="str">
        <f>IF(AND(AD1491=1,R1491&lt;&gt;".")=TRUE,R1491/VLOOKUP(G1491,'Exchange Rates'!B:C,2,0),IF(R1491=".",".",""))</f>
        <v/>
      </c>
      <c r="T1491" s="1185" t="str">
        <f>IF(AD1491=1,IF(AF1491="Value is not given at all",".",IF(AF1491="Value is given by the source",S1491,IF(AF1491="Value is calculated with prices",(IF(SUMIFS(Q:Q,A:A,A1491)&gt;0,SUMIFS(Q:Q,A:A,A1491),"."))/VLOOKUP("USD",'Exchange Rates'!B:C,2,0),"Error with coding"))),"")</f>
        <v/>
      </c>
      <c r="U1491" s="1184" t="s">
        <v>365</v>
      </c>
      <c r="V1491" s="974" t="s">
        <v>3991</v>
      </c>
      <c r="W1491" s="973" t="s">
        <v>3955</v>
      </c>
      <c r="X1491" s="973" t="s">
        <v>3959</v>
      </c>
      <c r="Y1491" s="973" t="s">
        <v>4049</v>
      </c>
      <c r="Z1491" s="1184">
        <v>0</v>
      </c>
      <c r="AA1491" s="1194">
        <v>0</v>
      </c>
      <c r="AB1491" s="973" t="s">
        <v>4051</v>
      </c>
      <c r="AC1491" s="1192" t="str">
        <f>""</f>
        <v/>
      </c>
      <c r="AD1491" s="1193">
        <v>0</v>
      </c>
      <c r="AE1491" s="1302" t="s">
        <v>368</v>
      </c>
      <c r="AF1491" s="1193" t="s">
        <v>368</v>
      </c>
      <c r="AG1491" s="1193">
        <v>1</v>
      </c>
      <c r="AH1491" s="1193">
        <v>4</v>
      </c>
      <c r="AI1491" s="1193">
        <v>0</v>
      </c>
      <c r="AJ1491" s="1193">
        <f>VLOOKUP($I1491,'Price List, Weapons &amp; Items'!B:F,5,0)</f>
        <v>0</v>
      </c>
      <c r="AK1491" s="1193">
        <f t="shared" si="318"/>
        <v>0</v>
      </c>
      <c r="AL1491" s="1193">
        <f t="shared" si="319"/>
        <v>0</v>
      </c>
      <c r="AM1491" s="1193">
        <f t="shared" si="320"/>
        <v>0</v>
      </c>
      <c r="AN1491" s="1194" t="str">
        <f>VLOOKUP($I1491,'Price List, Weapons &amp; Items'!B:L,COLUMN('Price List, Weapons &amp; Items'!$J$11)-1,0)</f>
        <v>Government information</v>
      </c>
      <c r="AO1491" s="1194" t="str">
        <f>IF(I1491=".",".",VLOOKUP($I1491,'Price List, Weapons &amp; Items'!B:J,3,0))</f>
        <v>drone</v>
      </c>
      <c r="AP1491" s="1195" t="str">
        <f t="shared" ca="1" si="314"/>
        <v/>
      </c>
      <c r="AQ1491" s="1194">
        <f>VLOOKUP($I1491,'Price List, Weapons &amp; Items'!B:L,COLUMN('Price List, Weapons &amp; Items'!$L$11)-1,0)</f>
        <v>2</v>
      </c>
      <c r="AR1491" s="1194">
        <f t="shared" si="321"/>
        <v>1</v>
      </c>
      <c r="AS1491" s="1194">
        <f t="shared" si="322"/>
        <v>1</v>
      </c>
      <c r="AT1491" s="1194">
        <f t="shared" si="323"/>
        <v>1</v>
      </c>
      <c r="AU1491" s="1194" t="str">
        <f t="shared" si="311"/>
        <v>.</v>
      </c>
      <c r="AV1491" s="1194" t="str">
        <f t="shared" si="315"/>
        <v>.</v>
      </c>
      <c r="AW1491" s="1194" t="str">
        <f t="shared" si="324"/>
        <v>.</v>
      </c>
      <c r="AX1491" s="1194">
        <f>IFERROR(VLOOKUP(B1491,'Share, Heavy Weapons to Ukraine'!B:Z,COLUMN('Share, Heavy Weapons to Ukraine'!C1503)-1,0),0)</f>
        <v>1</v>
      </c>
      <c r="AY1491" s="1194">
        <f>VLOOKUP('Bilateral Assistance, MAIN DATA'!B1491,'Country Summary (€)'!B:F,COLUMN('Country Summary (€)'!C1504)-1,FALSE)</f>
        <v>0</v>
      </c>
      <c r="AZ1491" s="1194" t="str">
        <f>IF(AND(AD1491=1,D1491="Military",H1491&lt;&gt;"Not given")=TRUE,IF(SUMIFS(P:P,A:A,A1491)&gt;0,ABS((SUMIFS(P:P,A:A,A1491)/VLOOKUP("USD",'Exchange Rates'!B:C,2,0)))/S1491,"."),".")</f>
        <v>.</v>
      </c>
      <c r="BA1491" s="1196" t="str">
        <f>IF(AND(AD1491=1,D1491="Military",H1491&lt;&gt;"Not given")=TRUE,IF(SUMIFS(P:P,A:A,A1491)&gt;0,IF((ABS((SUMIFS(P:P,A:A,A1491)/VLOOKUP("USD",'Exchange Rates'!B:C,2,0)))/S1491)&gt;1,(SUMIFS(P:P,A:A,A1491)-S1491)/S1491,(S1491-SUMIFS(P:P,A:A,A1491))/SUMIFS(P:P,A:A,A1491)),"."),".")</f>
        <v>.</v>
      </c>
    </row>
    <row r="1492" spans="1:53" ht="15.95" customHeight="1">
      <c r="A1492" s="1182" t="s">
        <v>3987</v>
      </c>
      <c r="B1492" s="1182" t="s">
        <v>3949</v>
      </c>
      <c r="C1492" s="1181">
        <v>44672</v>
      </c>
      <c r="D1492" s="1182" t="s">
        <v>389</v>
      </c>
      <c r="E1492" s="1182" t="s">
        <v>1676</v>
      </c>
      <c r="F1492" s="1183" t="s">
        <v>4019</v>
      </c>
      <c r="G1492" s="1184" t="s">
        <v>456</v>
      </c>
      <c r="H1492" s="1185">
        <v>800000000</v>
      </c>
      <c r="I1492" s="1180" t="s">
        <v>4052</v>
      </c>
      <c r="J1492" s="1186" t="str">
        <f>VLOOKUP($I1492,'Price List, Weapons &amp; Items'!B:C,2,0)</f>
        <v>Military equipment</v>
      </c>
      <c r="K1492" s="1186" t="str">
        <f>IF(I1492=".",I1492,VLOOKUP($I1492,'Price List, Weapons &amp; Items'!B:D,3,0))</f>
        <v>Military equipment</v>
      </c>
      <c r="L1492" s="1187">
        <f>VLOOKUP(I1492,'Price List, Weapons &amp; Items'!B:E,4,0)</f>
        <v>0</v>
      </c>
      <c r="M1492" s="1188" t="s">
        <v>374</v>
      </c>
      <c r="N1492" s="1188" t="s">
        <v>374</v>
      </c>
      <c r="O1492" s="1188" t="str">
        <f>VLOOKUP($I1492,'Price List, Weapons &amp; Items'!B:G,6,0)</f>
        <v>.</v>
      </c>
      <c r="P1492" s="1185" t="str">
        <f t="shared" si="316"/>
        <v>.</v>
      </c>
      <c r="Q1492" s="1185" t="str">
        <f t="shared" si="317"/>
        <v>.</v>
      </c>
      <c r="R1492" s="1185" t="str">
        <f t="shared" si="313"/>
        <v/>
      </c>
      <c r="S1492" s="1185" t="str">
        <f>IF(AND(AD1492=1,R1492&lt;&gt;".")=TRUE,R1492/VLOOKUP(G1492,'Exchange Rates'!B:C,2,0),IF(R1492=".",".",""))</f>
        <v/>
      </c>
      <c r="T1492" s="1185" t="str">
        <f>IF(AD1492=1,IF(AF1492="Value is not given at all",".",IF(AF1492="Value is given by the source",S1492,IF(AF1492="Value is calculated with prices",(IF(SUMIFS(Q:Q,A:A,A1492)&gt;0,SUMIFS(Q:Q,A:A,A1492),"."))/VLOOKUP("USD",'Exchange Rates'!B:C,2,0),"Error with coding"))),"")</f>
        <v/>
      </c>
      <c r="U1492" s="1184" t="s">
        <v>365</v>
      </c>
      <c r="V1492" s="974" t="s">
        <v>3991</v>
      </c>
      <c r="W1492" s="973" t="s">
        <v>3955</v>
      </c>
      <c r="X1492" s="973" t="s">
        <v>3959</v>
      </c>
      <c r="Y1492" s="973" t="s">
        <v>4051</v>
      </c>
      <c r="Z1492" s="1184">
        <v>0</v>
      </c>
      <c r="AA1492" s="1194">
        <v>0</v>
      </c>
      <c r="AB1492" s="973" t="s">
        <v>4053</v>
      </c>
      <c r="AC1492" s="1192" t="str">
        <f>""</f>
        <v/>
      </c>
      <c r="AD1492" s="1193">
        <v>0</v>
      </c>
      <c r="AE1492" s="1302" t="s">
        <v>368</v>
      </c>
      <c r="AF1492" s="1193" t="s">
        <v>368</v>
      </c>
      <c r="AG1492" s="1193">
        <v>1</v>
      </c>
      <c r="AH1492" s="1193">
        <v>4</v>
      </c>
      <c r="AI1492" s="1193">
        <v>0</v>
      </c>
      <c r="AJ1492" s="1193">
        <f>VLOOKUP($I1492,'Price List, Weapons &amp; Items'!B:F,5,0)</f>
        <v>0</v>
      </c>
      <c r="AK1492" s="1193">
        <f t="shared" si="318"/>
        <v>0</v>
      </c>
      <c r="AL1492" s="1193">
        <f t="shared" si="319"/>
        <v>0</v>
      </c>
      <c r="AM1492" s="1193">
        <f t="shared" si="320"/>
        <v>0</v>
      </c>
      <c r="AN1492" s="1194" t="str">
        <f>VLOOKUP($I1492,'Price List, Weapons &amp; Items'!B:L,COLUMN('Price List, Weapons &amp; Items'!$J$11)-1,0)</f>
        <v>.</v>
      </c>
      <c r="AO1492" s="1194" t="str">
        <f>IF(I1492=".",".",VLOOKUP($I1492,'Price List, Weapons &amp; Items'!B:J,3,0))</f>
        <v>Military equipment</v>
      </c>
      <c r="AP1492" s="1195" t="str">
        <f t="shared" ca="1" si="314"/>
        <v/>
      </c>
      <c r="AQ1492" s="1194" t="str">
        <f>VLOOKUP($I1492,'Price List, Weapons &amp; Items'!B:L,COLUMN('Price List, Weapons &amp; Items'!$L$11)-1,0)</f>
        <v>no price, 0 count</v>
      </c>
      <c r="AR1492" s="1194">
        <f t="shared" si="321"/>
        <v>1</v>
      </c>
      <c r="AS1492" s="1194">
        <f t="shared" si="322"/>
        <v>1</v>
      </c>
      <c r="AT1492" s="1194">
        <f t="shared" si="323"/>
        <v>1</v>
      </c>
      <c r="AU1492" s="1194" t="str">
        <f t="shared" si="311"/>
        <v>.</v>
      </c>
      <c r="AV1492" s="1194" t="str">
        <f t="shared" si="315"/>
        <v>.</v>
      </c>
      <c r="AW1492" s="1194" t="str">
        <f t="shared" si="324"/>
        <v>.</v>
      </c>
      <c r="AX1492" s="1194">
        <f>IFERROR(VLOOKUP(B1492,'Share, Heavy Weapons to Ukraine'!B:Z,COLUMN('Share, Heavy Weapons to Ukraine'!C1504)-1,0),0)</f>
        <v>1</v>
      </c>
      <c r="AY1492" s="1194">
        <f>VLOOKUP('Bilateral Assistance, MAIN DATA'!B1492,'Country Summary (€)'!B:F,COLUMN('Country Summary (€)'!C1505)-1,FALSE)</f>
        <v>0</v>
      </c>
      <c r="AZ1492" s="1194" t="str">
        <f>IF(AND(AD1492=1,D1492="Military",H1492&lt;&gt;"Not given")=TRUE,IF(SUMIFS(P:P,A:A,A1492)&gt;0,ABS((SUMIFS(P:P,A:A,A1492)/VLOOKUP("USD",'Exchange Rates'!B:C,2,0)))/S1492,"."),".")</f>
        <v>.</v>
      </c>
      <c r="BA1492" s="1196" t="str">
        <f>IF(AND(AD1492=1,D1492="Military",H1492&lt;&gt;"Not given")=TRUE,IF(SUMIFS(P:P,A:A,A1492)&gt;0,IF((ABS((SUMIFS(P:P,A:A,A1492)/VLOOKUP("USD",'Exchange Rates'!B:C,2,0)))/S1492)&gt;1,(SUMIFS(P:P,A:A,A1492)-S1492)/S1492,(S1492-SUMIFS(P:P,A:A,A1492))/SUMIFS(P:P,A:A,A1492)),"."),".")</f>
        <v>.</v>
      </c>
    </row>
    <row r="1493" spans="1:53" ht="15.95" customHeight="1">
      <c r="A1493" s="1182" t="s">
        <v>3987</v>
      </c>
      <c r="B1493" s="1182" t="s">
        <v>3949</v>
      </c>
      <c r="C1493" s="1181">
        <v>44687</v>
      </c>
      <c r="D1493" s="1182" t="s">
        <v>389</v>
      </c>
      <c r="E1493" s="1182" t="s">
        <v>1676</v>
      </c>
      <c r="F1493" s="1183" t="s">
        <v>4054</v>
      </c>
      <c r="G1493" s="1184" t="s">
        <v>456</v>
      </c>
      <c r="H1493" s="1185">
        <v>150000000</v>
      </c>
      <c r="I1493" s="1266" t="s">
        <v>856</v>
      </c>
      <c r="J1493" s="1186" t="str">
        <f>VLOOKUP($I1493,'Price List, Weapons &amp; Items'!B:C,2,0)</f>
        <v>Ammunition for heavy weapon</v>
      </c>
      <c r="K1493" s="1186" t="str">
        <f>IF(I1493=".",I1493,VLOOKUP($I1493,'Price List, Weapons &amp; Items'!B:D,3,0))</f>
        <v>155mm howitzer ammunition</v>
      </c>
      <c r="L1493" s="1187">
        <f>VLOOKUP(I1493,'Price List, Weapons &amp; Items'!B:E,4,0)</f>
        <v>0</v>
      </c>
      <c r="M1493" s="1188">
        <v>25000</v>
      </c>
      <c r="N1493" s="1188">
        <v>25000</v>
      </c>
      <c r="O1493" s="1188">
        <f>VLOOKUP($I1493,'Price List, Weapons &amp; Items'!B:G,6,0)</f>
        <v>3800</v>
      </c>
      <c r="P1493" s="1185">
        <f t="shared" si="316"/>
        <v>95000000</v>
      </c>
      <c r="Q1493" s="1185">
        <f t="shared" si="317"/>
        <v>95000000</v>
      </c>
      <c r="R1493" s="1185" t="str">
        <f t="shared" si="313"/>
        <v/>
      </c>
      <c r="S1493" s="1185" t="str">
        <f>IF(AND(AD1493=1,R1493&lt;&gt;".")=TRUE,R1493/VLOOKUP(G1493,'Exchange Rates'!B:C,2,0),IF(R1493=".",".",""))</f>
        <v/>
      </c>
      <c r="T1493" s="1185" t="str">
        <f>IF(AD1493=1,IF(AF1493="Value is not given at all",".",IF(AF1493="Value is given by the source",S1493,IF(AF1493="Value is calculated with prices",(IF(SUMIFS(Q:Q,A:A,A1493)&gt;0,SUMIFS(Q:Q,A:A,A1493),"."))/VLOOKUP("USD",'Exchange Rates'!B:C,2,0),"Error with coding"))),"")</f>
        <v/>
      </c>
      <c r="U1493" s="1184" t="s">
        <v>365</v>
      </c>
      <c r="V1493" s="974" t="s">
        <v>4055</v>
      </c>
      <c r="W1493" s="973" t="s">
        <v>3955</v>
      </c>
      <c r="X1493" s="973" t="s">
        <v>3959</v>
      </c>
      <c r="Y1493" s="973" t="s">
        <v>4053</v>
      </c>
      <c r="Z1493" s="1184">
        <v>0</v>
      </c>
      <c r="AA1493" s="1194">
        <v>0</v>
      </c>
      <c r="AB1493" s="973" t="s">
        <v>4056</v>
      </c>
      <c r="AC1493" s="1192" t="str">
        <f>""</f>
        <v/>
      </c>
      <c r="AD1493" s="1193">
        <v>0</v>
      </c>
      <c r="AE1493" s="1302" t="s">
        <v>368</v>
      </c>
      <c r="AF1493" s="1193" t="s">
        <v>368</v>
      </c>
      <c r="AG1493" s="1193">
        <v>1</v>
      </c>
      <c r="AH1493" s="1193">
        <v>5</v>
      </c>
      <c r="AI1493" s="1193">
        <v>0</v>
      </c>
      <c r="AJ1493" s="1193">
        <f>VLOOKUP($I1493,'Price List, Weapons &amp; Items'!B:F,5,0)</f>
        <v>1</v>
      </c>
      <c r="AK1493" s="1193">
        <f t="shared" si="318"/>
        <v>0</v>
      </c>
      <c r="AL1493" s="1193">
        <f t="shared" si="319"/>
        <v>0</v>
      </c>
      <c r="AM1493" s="1193">
        <f t="shared" si="320"/>
        <v>0</v>
      </c>
      <c r="AN1493" s="1194" t="str">
        <f>VLOOKUP($I1493,'Price List, Weapons &amp; Items'!B:L,COLUMN('Price List, Weapons &amp; Items'!$J$11)-1,0)</f>
        <v>Government information</v>
      </c>
      <c r="AO1493" s="1194" t="str">
        <f>IF(I1493=".",".",VLOOKUP($I1493,'Price List, Weapons &amp; Items'!B:J,3,0))</f>
        <v>155mm howitzer ammunition</v>
      </c>
      <c r="AP1493" s="1195" t="str">
        <f t="shared" ca="1" si="314"/>
        <v/>
      </c>
      <c r="AQ1493" s="1194">
        <f>VLOOKUP($I1493,'Price List, Weapons &amp; Items'!B:L,COLUMN('Price List, Weapons &amp; Items'!$L$11)-1,0)</f>
        <v>2</v>
      </c>
      <c r="AR1493" s="1194">
        <f t="shared" si="321"/>
        <v>1</v>
      </c>
      <c r="AS1493" s="1194">
        <f t="shared" si="322"/>
        <v>1</v>
      </c>
      <c r="AT1493" s="1194">
        <f t="shared" si="323"/>
        <v>1</v>
      </c>
      <c r="AU1493" s="1194" t="str">
        <f t="shared" si="311"/>
        <v>.</v>
      </c>
      <c r="AV1493" s="1194" t="str">
        <f t="shared" si="315"/>
        <v>.</v>
      </c>
      <c r="AW1493" s="1194" t="str">
        <f t="shared" si="324"/>
        <v>.</v>
      </c>
      <c r="AX1493" s="1194">
        <f>IFERROR(VLOOKUP(B1493,'Share, Heavy Weapons to Ukraine'!B:Z,COLUMN('Share, Heavy Weapons to Ukraine'!C1505)-1,0),0)</f>
        <v>1</v>
      </c>
      <c r="AY1493" s="1194">
        <f>VLOOKUP('Bilateral Assistance, MAIN DATA'!B1493,'Country Summary (€)'!B:F,COLUMN('Country Summary (€)'!C1506)-1,FALSE)</f>
        <v>0</v>
      </c>
      <c r="AZ1493" s="1194" t="str">
        <f>IF(AND(AD1493=1,D1493="Military",H1493&lt;&gt;"Not given")=TRUE,IF(SUMIFS(P:P,A:A,A1493)&gt;0,ABS((SUMIFS(P:P,A:A,A1493)/VLOOKUP("USD",'Exchange Rates'!B:C,2,0)))/S1493,"."),".")</f>
        <v>.</v>
      </c>
      <c r="BA1493" s="1196" t="str">
        <f>IF(AND(AD1493=1,D1493="Military",H1493&lt;&gt;"Not given")=TRUE,IF(SUMIFS(P:P,A:A,A1493)&gt;0,IF((ABS((SUMIFS(P:P,A:A,A1493)/VLOOKUP("USD",'Exchange Rates'!B:C,2,0)))/S1493)&gt;1,(SUMIFS(P:P,A:A,A1493)-S1493)/S1493,(S1493-SUMIFS(P:P,A:A,A1493))/SUMIFS(P:P,A:A,A1493)),"."),".")</f>
        <v>.</v>
      </c>
    </row>
    <row r="1494" spans="1:53" ht="15.95" customHeight="1">
      <c r="A1494" s="1182" t="s">
        <v>3987</v>
      </c>
      <c r="B1494" s="1182" t="s">
        <v>3949</v>
      </c>
      <c r="C1494" s="1181">
        <v>44687</v>
      </c>
      <c r="D1494" s="1182" t="s">
        <v>389</v>
      </c>
      <c r="E1494" s="1182" t="s">
        <v>1676</v>
      </c>
      <c r="F1494" s="1183" t="s">
        <v>4054</v>
      </c>
      <c r="G1494" s="1184" t="s">
        <v>456</v>
      </c>
      <c r="H1494" s="1185">
        <v>150000000</v>
      </c>
      <c r="I1494" s="1180" t="s">
        <v>2702</v>
      </c>
      <c r="J1494" s="1186" t="str">
        <f>VLOOKUP($I1494,'Price List, Weapons &amp; Items'!B:C,2,0)</f>
        <v>Military equipment</v>
      </c>
      <c r="K1494" s="1186" t="str">
        <f>IF(I1494=".",I1494,VLOOKUP($I1494,'Price List, Weapons &amp; Items'!B:D,3,0))</f>
        <v>Military equipment</v>
      </c>
      <c r="L1494" s="1187">
        <f>VLOOKUP(I1494,'Price List, Weapons &amp; Items'!B:E,4,0)</f>
        <v>0</v>
      </c>
      <c r="M1494" s="1188">
        <v>3</v>
      </c>
      <c r="N1494" s="1188">
        <v>3</v>
      </c>
      <c r="O1494" s="1188">
        <f>VLOOKUP($I1494,'Price List, Weapons &amp; Items'!B:G,6,0)</f>
        <v>8888888</v>
      </c>
      <c r="P1494" s="1185">
        <f t="shared" si="316"/>
        <v>26666664</v>
      </c>
      <c r="Q1494" s="1185">
        <f t="shared" si="317"/>
        <v>26666664</v>
      </c>
      <c r="R1494" s="1185" t="str">
        <f t="shared" si="313"/>
        <v/>
      </c>
      <c r="S1494" s="1185" t="str">
        <f>IF(AND(AD1494=1,R1494&lt;&gt;".")=TRUE,R1494/VLOOKUP(G1494,'Exchange Rates'!B:C,2,0),IF(R1494=".",".",""))</f>
        <v/>
      </c>
      <c r="T1494" s="1185" t="str">
        <f>IF(AD1494=1,IF(AF1494="Value is not given at all",".",IF(AF1494="Value is given by the source",S1494,IF(AF1494="Value is calculated with prices",(IF(SUMIFS(Q:Q,A:A,A1494)&gt;0,SUMIFS(Q:Q,A:A,A1494),"."))/VLOOKUP("USD",'Exchange Rates'!B:C,2,0),"Error with coding"))),"")</f>
        <v/>
      </c>
      <c r="U1494" s="1184" t="s">
        <v>365</v>
      </c>
      <c r="V1494" s="974" t="s">
        <v>4055</v>
      </c>
      <c r="W1494" s="973" t="s">
        <v>3955</v>
      </c>
      <c r="X1494" s="973" t="s">
        <v>3959</v>
      </c>
      <c r="Y1494" s="973" t="s">
        <v>4056</v>
      </c>
      <c r="Z1494" s="1184">
        <v>0</v>
      </c>
      <c r="AA1494" s="1194">
        <v>0</v>
      </c>
      <c r="AB1494" s="973" t="s">
        <v>4057</v>
      </c>
      <c r="AC1494" s="1192" t="str">
        <f>""</f>
        <v/>
      </c>
      <c r="AD1494" s="1193">
        <v>0</v>
      </c>
      <c r="AE1494" s="1302" t="s">
        <v>368</v>
      </c>
      <c r="AF1494" s="1193" t="s">
        <v>368</v>
      </c>
      <c r="AG1494" s="1193">
        <v>1</v>
      </c>
      <c r="AH1494" s="1193">
        <v>5</v>
      </c>
      <c r="AI1494" s="1193">
        <v>0</v>
      </c>
      <c r="AJ1494" s="1193">
        <f>VLOOKUP($I1494,'Price List, Weapons &amp; Items'!B:F,5,0)</f>
        <v>0</v>
      </c>
      <c r="AK1494" s="1193">
        <f t="shared" si="318"/>
        <v>0</v>
      </c>
      <c r="AL1494" s="1193">
        <f t="shared" si="319"/>
        <v>0</v>
      </c>
      <c r="AM1494" s="1193">
        <f t="shared" si="320"/>
        <v>0</v>
      </c>
      <c r="AN1494" s="1194" t="str">
        <f>VLOOKUP($I1494,'Price List, Weapons &amp; Items'!B:L,COLUMN('Price List, Weapons &amp; Items'!$J$11)-1,0)</f>
        <v>Military media (incl. websites)</v>
      </c>
      <c r="AO1494" s="1194" t="str">
        <f>IF(I1494=".",".",VLOOKUP($I1494,'Price List, Weapons &amp; Items'!B:J,3,0))</f>
        <v>Military equipment</v>
      </c>
      <c r="AP1494" s="1195" t="str">
        <f t="shared" ca="1" si="314"/>
        <v/>
      </c>
      <c r="AQ1494" s="1194">
        <f>VLOOKUP($I1494,'Price List, Weapons &amp; Items'!B:L,COLUMN('Price List, Weapons &amp; Items'!$L$11)-1,0)</f>
        <v>2</v>
      </c>
      <c r="AR1494" s="1194">
        <f t="shared" si="321"/>
        <v>1</v>
      </c>
      <c r="AS1494" s="1194">
        <f t="shared" si="322"/>
        <v>1</v>
      </c>
      <c r="AT1494" s="1194">
        <f t="shared" si="323"/>
        <v>1</v>
      </c>
      <c r="AU1494" s="1194" t="str">
        <f t="shared" si="311"/>
        <v>.</v>
      </c>
      <c r="AV1494" s="1194" t="str">
        <f t="shared" si="315"/>
        <v>.</v>
      </c>
      <c r="AW1494" s="1194" t="str">
        <f t="shared" si="324"/>
        <v>.</v>
      </c>
      <c r="AX1494" s="1194">
        <f>IFERROR(VLOOKUP(B1494,'Share, Heavy Weapons to Ukraine'!B:Z,COLUMN('Share, Heavy Weapons to Ukraine'!C1506)-1,0),0)</f>
        <v>1</v>
      </c>
      <c r="AY1494" s="1194">
        <f>VLOOKUP('Bilateral Assistance, MAIN DATA'!B1494,'Country Summary (€)'!B:F,COLUMN('Country Summary (€)'!C1507)-1,FALSE)</f>
        <v>0</v>
      </c>
      <c r="AZ1494" s="1194" t="str">
        <f>IF(AND(AD1494=1,D1494="Military",H1494&lt;&gt;"Not given")=TRUE,IF(SUMIFS(P:P,A:A,A1494)&gt;0,ABS((SUMIFS(P:P,A:A,A1494)/VLOOKUP("USD",'Exchange Rates'!B:C,2,0)))/S1494,"."),".")</f>
        <v>.</v>
      </c>
      <c r="BA1494" s="1196" t="str">
        <f>IF(AND(AD1494=1,D1494="Military",H1494&lt;&gt;"Not given")=TRUE,IF(SUMIFS(P:P,A:A,A1494)&gt;0,IF((ABS((SUMIFS(P:P,A:A,A1494)/VLOOKUP("USD",'Exchange Rates'!B:C,2,0)))/S1494)&gt;1,(SUMIFS(P:P,A:A,A1494)-S1494)/S1494,(S1494-SUMIFS(P:P,A:A,A1494))/SUMIFS(P:P,A:A,A1494)),"."),".")</f>
        <v>.</v>
      </c>
    </row>
    <row r="1495" spans="1:53" ht="15.95" customHeight="1">
      <c r="A1495" s="1182" t="s">
        <v>3987</v>
      </c>
      <c r="B1495" s="1182" t="s">
        <v>3949</v>
      </c>
      <c r="C1495" s="1181">
        <v>44687</v>
      </c>
      <c r="D1495" s="1182" t="s">
        <v>389</v>
      </c>
      <c r="E1495" s="1182" t="s">
        <v>1676</v>
      </c>
      <c r="F1495" s="1183" t="s">
        <v>4054</v>
      </c>
      <c r="G1495" s="1184" t="s">
        <v>456</v>
      </c>
      <c r="H1495" s="1185">
        <v>150000000</v>
      </c>
      <c r="I1495" s="1180" t="s">
        <v>4058</v>
      </c>
      <c r="J1495" s="1186" t="str">
        <f>VLOOKUP($I1495,'Price List, Weapons &amp; Items'!B:C,2,0)</f>
        <v>Military equipment</v>
      </c>
      <c r="K1495" s="1186" t="str">
        <f>IF(I1495=".",I1495,VLOOKUP($I1495,'Price List, Weapons &amp; Items'!B:D,3,0))</f>
        <v>Military equipment</v>
      </c>
      <c r="L1495" s="1187">
        <f>VLOOKUP(I1495,'Price List, Weapons &amp; Items'!B:E,4,0)</f>
        <v>0</v>
      </c>
      <c r="M1495" s="1188" t="s">
        <v>364</v>
      </c>
      <c r="N1495" s="1188" t="s">
        <v>364</v>
      </c>
      <c r="O1495" s="1188" t="str">
        <f>VLOOKUP($I1495,'Price List, Weapons &amp; Items'!B:G,6,0)</f>
        <v>.</v>
      </c>
      <c r="P1495" s="1185" t="str">
        <f t="shared" si="316"/>
        <v>.</v>
      </c>
      <c r="Q1495" s="1185" t="str">
        <f t="shared" si="317"/>
        <v>.</v>
      </c>
      <c r="R1495" s="1185" t="str">
        <f t="shared" si="313"/>
        <v/>
      </c>
      <c r="S1495" s="1185" t="str">
        <f>IF(AND(AD1495=1,R1495&lt;&gt;".")=TRUE,R1495/VLOOKUP(G1495,'Exchange Rates'!B:C,2,0),IF(R1495=".",".",""))</f>
        <v/>
      </c>
      <c r="T1495" s="1185" t="str">
        <f>IF(AD1495=1,IF(AF1495="Value is not given at all",".",IF(AF1495="Value is given by the source",S1495,IF(AF1495="Value is calculated with prices",(IF(SUMIFS(Q:Q,A:A,A1495)&gt;0,SUMIFS(Q:Q,A:A,A1495),"."))/VLOOKUP("USD",'Exchange Rates'!B:C,2,0),"Error with coding"))),"")</f>
        <v/>
      </c>
      <c r="U1495" s="1184" t="s">
        <v>365</v>
      </c>
      <c r="V1495" s="974" t="s">
        <v>4055</v>
      </c>
      <c r="W1495" s="973" t="s">
        <v>3955</v>
      </c>
      <c r="X1495" s="973" t="s">
        <v>3959</v>
      </c>
      <c r="Y1495" s="973" t="s">
        <v>4057</v>
      </c>
      <c r="Z1495" s="1184">
        <v>0</v>
      </c>
      <c r="AA1495" s="1194">
        <v>0</v>
      </c>
      <c r="AB1495" s="973" t="s">
        <v>4059</v>
      </c>
      <c r="AC1495" s="1192" t="str">
        <f>""</f>
        <v/>
      </c>
      <c r="AD1495" s="1193">
        <v>0</v>
      </c>
      <c r="AE1495" s="1302" t="s">
        <v>368</v>
      </c>
      <c r="AF1495" s="1193" t="s">
        <v>368</v>
      </c>
      <c r="AG1495" s="1193">
        <v>1</v>
      </c>
      <c r="AH1495" s="1193">
        <v>5</v>
      </c>
      <c r="AI1495" s="1193">
        <v>0</v>
      </c>
      <c r="AJ1495" s="1193">
        <f>VLOOKUP($I1495,'Price List, Weapons &amp; Items'!B:F,5,0)</f>
        <v>0</v>
      </c>
      <c r="AK1495" s="1193">
        <f t="shared" si="318"/>
        <v>0</v>
      </c>
      <c r="AL1495" s="1193">
        <f t="shared" si="319"/>
        <v>0</v>
      </c>
      <c r="AM1495" s="1193">
        <f t="shared" si="320"/>
        <v>0</v>
      </c>
      <c r="AN1495" s="1194" t="str">
        <f>VLOOKUP($I1495,'Price List, Weapons &amp; Items'!B:L,COLUMN('Price List, Weapons &amp; Items'!$J$11)-1,0)</f>
        <v>.</v>
      </c>
      <c r="AO1495" s="1194" t="str">
        <f>IF(I1495=".",".",VLOOKUP($I1495,'Price List, Weapons &amp; Items'!B:J,3,0))</f>
        <v>Military equipment</v>
      </c>
      <c r="AP1495" s="1195" t="str">
        <f t="shared" ca="1" si="314"/>
        <v/>
      </c>
      <c r="AQ1495" s="1194" t="str">
        <f>VLOOKUP($I1495,'Price List, Weapons &amp; Items'!B:L,COLUMN('Price List, Weapons &amp; Items'!$L$11)-1,0)</f>
        <v>no price, 0 count</v>
      </c>
      <c r="AR1495" s="1194">
        <f t="shared" si="321"/>
        <v>1</v>
      </c>
      <c r="AS1495" s="1194">
        <f t="shared" si="322"/>
        <v>1</v>
      </c>
      <c r="AT1495" s="1194">
        <f t="shared" si="323"/>
        <v>1</v>
      </c>
      <c r="AU1495" s="1194" t="str">
        <f t="shared" si="311"/>
        <v>.</v>
      </c>
      <c r="AV1495" s="1194" t="str">
        <f t="shared" si="315"/>
        <v>.</v>
      </c>
      <c r="AW1495" s="1194" t="str">
        <f t="shared" si="324"/>
        <v>.</v>
      </c>
      <c r="AX1495" s="1194">
        <f>IFERROR(VLOOKUP(B1495,'Share, Heavy Weapons to Ukraine'!B:Z,COLUMN('Share, Heavy Weapons to Ukraine'!C1507)-1,0),0)</f>
        <v>1</v>
      </c>
      <c r="AY1495" s="1194">
        <f>VLOOKUP('Bilateral Assistance, MAIN DATA'!B1495,'Country Summary (€)'!B:F,COLUMN('Country Summary (€)'!C1508)-1,FALSE)</f>
        <v>0</v>
      </c>
      <c r="AZ1495" s="1194" t="str">
        <f>IF(AND(AD1495=1,D1495="Military",H1495&lt;&gt;"Not given")=TRUE,IF(SUMIFS(P:P,A:A,A1495)&gt;0,ABS((SUMIFS(P:P,A:A,A1495)/VLOOKUP("USD",'Exchange Rates'!B:C,2,0)))/S1495,"."),".")</f>
        <v>.</v>
      </c>
      <c r="BA1495" s="1196" t="str">
        <f>IF(AND(AD1495=1,D1495="Military",H1495&lt;&gt;"Not given")=TRUE,IF(SUMIFS(P:P,A:A,A1495)&gt;0,IF((ABS((SUMIFS(P:P,A:A,A1495)/VLOOKUP("USD",'Exchange Rates'!B:C,2,0)))/S1495)&gt;1,(SUMIFS(P:P,A:A,A1495)-S1495)/S1495,(S1495-SUMIFS(P:P,A:A,A1495))/SUMIFS(P:P,A:A,A1495)),"."),".")</f>
        <v>.</v>
      </c>
    </row>
    <row r="1496" spans="1:53" ht="15.95" customHeight="1">
      <c r="A1496" s="1182" t="s">
        <v>3987</v>
      </c>
      <c r="B1496" s="1182" t="s">
        <v>3949</v>
      </c>
      <c r="C1496" s="1181">
        <v>44687</v>
      </c>
      <c r="D1496" s="1182" t="s">
        <v>389</v>
      </c>
      <c r="E1496" s="1182" t="s">
        <v>1676</v>
      </c>
      <c r="F1496" s="1183" t="s">
        <v>4054</v>
      </c>
      <c r="G1496" s="1184" t="s">
        <v>456</v>
      </c>
      <c r="H1496" s="1185">
        <v>150000000</v>
      </c>
      <c r="I1496" s="1180" t="s">
        <v>4052</v>
      </c>
      <c r="J1496" s="1186" t="str">
        <f>VLOOKUP($I1496,'Price List, Weapons &amp; Items'!B:C,2,0)</f>
        <v>Military equipment</v>
      </c>
      <c r="K1496" s="1186" t="str">
        <f>IF(I1496=".",I1496,VLOOKUP($I1496,'Price List, Weapons &amp; Items'!B:D,3,0))</f>
        <v>Military equipment</v>
      </c>
      <c r="L1496" s="1187">
        <f>VLOOKUP(I1496,'Price List, Weapons &amp; Items'!B:E,4,0)</f>
        <v>0</v>
      </c>
      <c r="M1496" s="1188" t="s">
        <v>364</v>
      </c>
      <c r="N1496" s="1188" t="s">
        <v>364</v>
      </c>
      <c r="O1496" s="1188" t="str">
        <f>VLOOKUP($I1496,'Price List, Weapons &amp; Items'!B:G,6,0)</f>
        <v>.</v>
      </c>
      <c r="P1496" s="1185" t="str">
        <f t="shared" si="316"/>
        <v>.</v>
      </c>
      <c r="Q1496" s="1185" t="str">
        <f t="shared" si="317"/>
        <v>.</v>
      </c>
      <c r="R1496" s="1185" t="str">
        <f t="shared" si="313"/>
        <v/>
      </c>
      <c r="S1496" s="1185" t="str">
        <f>IF(AND(AD1496=1,R1496&lt;&gt;".")=TRUE,R1496/VLOOKUP(G1496,'Exchange Rates'!B:C,2,0),IF(R1496=".",".",""))</f>
        <v/>
      </c>
      <c r="T1496" s="1185" t="str">
        <f>IF(AD1496=1,IF(AF1496="Value is not given at all",".",IF(AF1496="Value is given by the source",S1496,IF(AF1496="Value is calculated with prices",(IF(SUMIFS(Q:Q,A:A,A1496)&gt;0,SUMIFS(Q:Q,A:A,A1496),"."))/VLOOKUP("USD",'Exchange Rates'!B:C,2,0),"Error with coding"))),"")</f>
        <v/>
      </c>
      <c r="U1496" s="1184" t="s">
        <v>365</v>
      </c>
      <c r="V1496" s="974" t="s">
        <v>4055</v>
      </c>
      <c r="W1496" s="973" t="s">
        <v>3955</v>
      </c>
      <c r="X1496" s="973" t="s">
        <v>3959</v>
      </c>
      <c r="Y1496" s="973" t="s">
        <v>4059</v>
      </c>
      <c r="Z1496" s="1184">
        <v>0</v>
      </c>
      <c r="AA1496" s="1194">
        <v>0</v>
      </c>
      <c r="AB1496" s="973" t="s">
        <v>4060</v>
      </c>
      <c r="AC1496" s="1192" t="str">
        <f>""</f>
        <v/>
      </c>
      <c r="AD1496" s="1193">
        <v>0</v>
      </c>
      <c r="AE1496" s="1302" t="s">
        <v>368</v>
      </c>
      <c r="AF1496" s="1193" t="s">
        <v>368</v>
      </c>
      <c r="AG1496" s="1193">
        <v>1</v>
      </c>
      <c r="AH1496" s="1193">
        <v>5</v>
      </c>
      <c r="AI1496" s="1193">
        <v>0</v>
      </c>
      <c r="AJ1496" s="1193">
        <f>VLOOKUP($I1496,'Price List, Weapons &amp; Items'!B:F,5,0)</f>
        <v>0</v>
      </c>
      <c r="AK1496" s="1193">
        <f t="shared" si="318"/>
        <v>0</v>
      </c>
      <c r="AL1496" s="1193">
        <f t="shared" si="319"/>
        <v>0</v>
      </c>
      <c r="AM1496" s="1193">
        <f t="shared" si="320"/>
        <v>0</v>
      </c>
      <c r="AN1496" s="1194" t="str">
        <f>VLOOKUP($I1496,'Price List, Weapons &amp; Items'!B:L,COLUMN('Price List, Weapons &amp; Items'!$J$11)-1,0)</f>
        <v>.</v>
      </c>
      <c r="AO1496" s="1194" t="str">
        <f>IF(I1496=".",".",VLOOKUP($I1496,'Price List, Weapons &amp; Items'!B:J,3,0))</f>
        <v>Military equipment</v>
      </c>
      <c r="AP1496" s="1195" t="str">
        <f t="shared" ca="1" si="314"/>
        <v/>
      </c>
      <c r="AQ1496" s="1194" t="str">
        <f>VLOOKUP($I1496,'Price List, Weapons &amp; Items'!B:L,COLUMN('Price List, Weapons &amp; Items'!$L$11)-1,0)</f>
        <v>no price, 0 count</v>
      </c>
      <c r="AR1496" s="1194">
        <f t="shared" si="321"/>
        <v>1</v>
      </c>
      <c r="AS1496" s="1194">
        <f t="shared" si="322"/>
        <v>1</v>
      </c>
      <c r="AT1496" s="1194">
        <f t="shared" si="323"/>
        <v>1</v>
      </c>
      <c r="AU1496" s="1194" t="str">
        <f t="shared" si="311"/>
        <v>.</v>
      </c>
      <c r="AV1496" s="1194" t="str">
        <f t="shared" si="315"/>
        <v>.</v>
      </c>
      <c r="AW1496" s="1194" t="str">
        <f t="shared" si="324"/>
        <v>.</v>
      </c>
      <c r="AX1496" s="1194">
        <f>IFERROR(VLOOKUP(B1496,'Share, Heavy Weapons to Ukraine'!B:Z,COLUMN('Share, Heavy Weapons to Ukraine'!C1508)-1,0),0)</f>
        <v>1</v>
      </c>
      <c r="AY1496" s="1194">
        <f>VLOOKUP('Bilateral Assistance, MAIN DATA'!B1496,'Country Summary (€)'!B:F,COLUMN('Country Summary (€)'!C1509)-1,FALSE)</f>
        <v>0</v>
      </c>
      <c r="AZ1496" s="1194" t="str">
        <f>IF(AND(AD1496=1,D1496="Military",H1496&lt;&gt;"Not given")=TRUE,IF(SUMIFS(P:P,A:A,A1496)&gt;0,ABS((SUMIFS(P:P,A:A,A1496)/VLOOKUP("USD",'Exchange Rates'!B:C,2,0)))/S1496,"."),".")</f>
        <v>.</v>
      </c>
      <c r="BA1496" s="1196" t="str">
        <f>IF(AND(AD1496=1,D1496="Military",H1496&lt;&gt;"Not given")=TRUE,IF(SUMIFS(P:P,A:A,A1496)&gt;0,IF((ABS((SUMIFS(P:P,A:A,A1496)/VLOOKUP("USD",'Exchange Rates'!B:C,2,0)))/S1496)&gt;1,(SUMIFS(P:P,A:A,A1496)-S1496)/S1496,(S1496-SUMIFS(P:P,A:A,A1496))/SUMIFS(P:P,A:A,A1496)),"."),".")</f>
        <v>.</v>
      </c>
    </row>
    <row r="1497" spans="1:53" ht="15.95" customHeight="1">
      <c r="A1497" s="1182" t="s">
        <v>3987</v>
      </c>
      <c r="B1497" s="1182" t="s">
        <v>3949</v>
      </c>
      <c r="C1497" s="1181">
        <v>44687</v>
      </c>
      <c r="D1497" s="1182" t="s">
        <v>389</v>
      </c>
      <c r="E1497" s="1182" t="s">
        <v>1676</v>
      </c>
      <c r="F1497" s="1183" t="s">
        <v>4054</v>
      </c>
      <c r="G1497" s="1184" t="s">
        <v>456</v>
      </c>
      <c r="H1497" s="1185">
        <v>150000000</v>
      </c>
      <c r="I1497" s="1180" t="s">
        <v>2472</v>
      </c>
      <c r="J1497" s="1186" t="str">
        <f>VLOOKUP($I1497,'Price List, Weapons &amp; Items'!B:C,2,0)</f>
        <v>Military equipment</v>
      </c>
      <c r="K1497" s="1186" t="str">
        <f>IF(I1497=".",I1497,VLOOKUP($I1497,'Price List, Weapons &amp; Items'!B:D,3,0))</f>
        <v>spare parts</v>
      </c>
      <c r="L1497" s="1187">
        <f>VLOOKUP(I1497,'Price List, Weapons &amp; Items'!B:E,4,0)</f>
        <v>0</v>
      </c>
      <c r="M1497" s="1188" t="s">
        <v>364</v>
      </c>
      <c r="N1497" s="1188" t="s">
        <v>364</v>
      </c>
      <c r="O1497" s="1188" t="str">
        <f>VLOOKUP($I1497,'Price List, Weapons &amp; Items'!B:G,6,0)</f>
        <v>.</v>
      </c>
      <c r="P1497" s="1185" t="str">
        <f t="shared" si="316"/>
        <v>.</v>
      </c>
      <c r="Q1497" s="1185" t="str">
        <f t="shared" si="317"/>
        <v>.</v>
      </c>
      <c r="R1497" s="1185" t="str">
        <f t="shared" si="313"/>
        <v/>
      </c>
      <c r="S1497" s="1185" t="str">
        <f>IF(AND(AD1497=1,R1497&lt;&gt;".")=TRUE,R1497/VLOOKUP(G1497,'Exchange Rates'!B:C,2,0),IF(R1497=".",".",""))</f>
        <v/>
      </c>
      <c r="T1497" s="1185" t="str">
        <f>IF(AD1497=1,IF(AF1497="Value is not given at all",".",IF(AF1497="Value is given by the source",S1497,IF(AF1497="Value is calculated with prices",(IF(SUMIFS(Q:Q,A:A,A1497)&gt;0,SUMIFS(Q:Q,A:A,A1497),"."))/VLOOKUP("USD",'Exchange Rates'!B:C,2,0),"Error with coding"))),"")</f>
        <v/>
      </c>
      <c r="U1497" s="1184" t="s">
        <v>365</v>
      </c>
      <c r="V1497" s="971" t="s">
        <v>4055</v>
      </c>
      <c r="W1497" s="973" t="s">
        <v>3955</v>
      </c>
      <c r="X1497" s="973" t="s">
        <v>3959</v>
      </c>
      <c r="Y1497" s="973" t="s">
        <v>4060</v>
      </c>
      <c r="Z1497" s="1184">
        <v>0</v>
      </c>
      <c r="AA1497" s="1194">
        <v>0</v>
      </c>
      <c r="AB1497" s="973" t="s">
        <v>4061</v>
      </c>
      <c r="AC1497" s="1192" t="str">
        <f>""</f>
        <v/>
      </c>
      <c r="AD1497" s="1193">
        <v>0</v>
      </c>
      <c r="AE1497" s="1302" t="s">
        <v>368</v>
      </c>
      <c r="AF1497" s="1193" t="s">
        <v>368</v>
      </c>
      <c r="AG1497" s="1193">
        <v>1</v>
      </c>
      <c r="AH1497" s="1193">
        <v>5</v>
      </c>
      <c r="AI1497" s="1193">
        <v>0</v>
      </c>
      <c r="AJ1497" s="1193">
        <f>VLOOKUP($I1497,'Price List, Weapons &amp; Items'!B:F,5,0)</f>
        <v>0</v>
      </c>
      <c r="AK1497" s="1193">
        <f t="shared" si="318"/>
        <v>0</v>
      </c>
      <c r="AL1497" s="1193">
        <f t="shared" si="319"/>
        <v>0</v>
      </c>
      <c r="AM1497" s="1193">
        <f t="shared" si="320"/>
        <v>0</v>
      </c>
      <c r="AN1497" s="1194" t="str">
        <f>VLOOKUP($I1497,'Price List, Weapons &amp; Items'!B:L,COLUMN('Price List, Weapons &amp; Items'!$J$11)-1,0)</f>
        <v>.</v>
      </c>
      <c r="AO1497" s="1194" t="str">
        <f>IF(I1497=".",".",VLOOKUP($I1497,'Price List, Weapons &amp; Items'!B:J,3,0))</f>
        <v>spare parts</v>
      </c>
      <c r="AP1497" s="1195" t="str">
        <f t="shared" ca="1" si="314"/>
        <v/>
      </c>
      <c r="AQ1497" s="1194" t="str">
        <f>VLOOKUP($I1497,'Price List, Weapons &amp; Items'!B:L,COLUMN('Price List, Weapons &amp; Items'!$L$11)-1,0)</f>
        <v>no price, 0 count</v>
      </c>
      <c r="AR1497" s="1194">
        <f t="shared" si="321"/>
        <v>1</v>
      </c>
      <c r="AS1497" s="1194">
        <f t="shared" si="322"/>
        <v>1</v>
      </c>
      <c r="AT1497" s="1194">
        <f t="shared" si="323"/>
        <v>1</v>
      </c>
      <c r="AU1497" s="1194" t="str">
        <f t="shared" si="311"/>
        <v>.</v>
      </c>
      <c r="AV1497" s="1194" t="str">
        <f t="shared" si="315"/>
        <v>.</v>
      </c>
      <c r="AW1497" s="1194" t="str">
        <f t="shared" si="324"/>
        <v>.</v>
      </c>
      <c r="AX1497" s="1194">
        <f>IFERROR(VLOOKUP(B1497,'Share, Heavy Weapons to Ukraine'!B:Z,COLUMN('Share, Heavy Weapons to Ukraine'!C1509)-1,0),0)</f>
        <v>1</v>
      </c>
      <c r="AY1497" s="1194">
        <f>VLOOKUP('Bilateral Assistance, MAIN DATA'!B1497,'Country Summary (€)'!B:F,COLUMN('Country Summary (€)'!C1510)-1,FALSE)</f>
        <v>0</v>
      </c>
      <c r="AZ1497" s="1194" t="str">
        <f>IF(AND(AD1497=1,D1497="Military",H1497&lt;&gt;"Not given")=TRUE,IF(SUMIFS(P:P,A:A,A1497)&gt;0,ABS((SUMIFS(P:P,A:A,A1497)/VLOOKUP("USD",'Exchange Rates'!B:C,2,0)))/S1497,"."),".")</f>
        <v>.</v>
      </c>
      <c r="BA1497" s="1196" t="str">
        <f>IF(AND(AD1497=1,D1497="Military",H1497&lt;&gt;"Not given")=TRUE,IF(SUMIFS(P:P,A:A,A1497)&gt;0,IF((ABS((SUMIFS(P:P,A:A,A1497)/VLOOKUP("USD",'Exchange Rates'!B:C,2,0)))/S1497)&gt;1,(SUMIFS(P:P,A:A,A1497)-S1497)/S1497,(S1497-SUMIFS(P:P,A:A,A1497))/SUMIFS(P:P,A:A,A1497)),"."),".")</f>
        <v>.</v>
      </c>
    </row>
    <row r="1498" spans="1:53" ht="15.95" customHeight="1">
      <c r="A1498" s="1182" t="s">
        <v>3987</v>
      </c>
      <c r="B1498" s="1182" t="s">
        <v>3949</v>
      </c>
      <c r="C1498" s="1181">
        <v>44700</v>
      </c>
      <c r="D1498" s="1182" t="s">
        <v>389</v>
      </c>
      <c r="E1498" s="1182" t="s">
        <v>1676</v>
      </c>
      <c r="F1498" s="1183" t="s">
        <v>4062</v>
      </c>
      <c r="G1498" s="1184" t="s">
        <v>456</v>
      </c>
      <c r="H1498" s="1185">
        <v>100000000</v>
      </c>
      <c r="I1498" s="1180" t="s">
        <v>423</v>
      </c>
      <c r="J1498" s="1186" t="str">
        <f>VLOOKUP($I1498,'Price List, Weapons &amp; Items'!B:C,2,0)</f>
        <v>Heavy weapon</v>
      </c>
      <c r="K1498" s="1186" t="str">
        <f>IF(I1498=".",I1498,VLOOKUP($I1498,'Price List, Weapons &amp; Items'!B:D,3,0))</f>
        <v>155mm howitzer</v>
      </c>
      <c r="L1498" s="1187">
        <f>VLOOKUP(I1498,'Price List, Weapons &amp; Items'!B:E,4,0)</f>
        <v>0</v>
      </c>
      <c r="M1498" s="1188">
        <v>18</v>
      </c>
      <c r="N1498" s="1188">
        <v>18</v>
      </c>
      <c r="O1498" s="1188">
        <f>VLOOKUP($I1498,'Price List, Weapons &amp; Items'!B:G,6,0)</f>
        <v>5170000</v>
      </c>
      <c r="P1498" s="1185">
        <f t="shared" si="316"/>
        <v>93060000</v>
      </c>
      <c r="Q1498" s="1185">
        <f t="shared" si="317"/>
        <v>93060000</v>
      </c>
      <c r="R1498" s="1185" t="str">
        <f t="shared" si="313"/>
        <v/>
      </c>
      <c r="S1498" s="1185" t="str">
        <f>IF(AND(AD1498=1,R1498&lt;&gt;".")=TRUE,R1498/VLOOKUP(G1498,'Exchange Rates'!B:C,2,0),IF(R1498=".",".",""))</f>
        <v/>
      </c>
      <c r="T1498" s="1185" t="str">
        <f>IF(AD1498=1,IF(AF1498="Value is not given at all",".",IF(AF1498="Value is given by the source",S1498,IF(AF1498="Value is calculated with prices",(IF(SUMIFS(Q:Q,A:A,A1498)&gt;0,SUMIFS(Q:Q,A:A,A1498),"."))/VLOOKUP("USD",'Exchange Rates'!B:C,2,0),"Error with coding"))),"")</f>
        <v/>
      </c>
      <c r="U1498" s="1184" t="s">
        <v>365</v>
      </c>
      <c r="V1498" s="974" t="s">
        <v>4063</v>
      </c>
      <c r="W1498" s="973" t="s">
        <v>3955</v>
      </c>
      <c r="X1498" s="973" t="s">
        <v>3959</v>
      </c>
      <c r="Y1498" s="973" t="s">
        <v>4061</v>
      </c>
      <c r="Z1498" s="1184">
        <v>0</v>
      </c>
      <c r="AA1498" s="1194">
        <v>0</v>
      </c>
      <c r="AB1498" s="973" t="s">
        <v>4064</v>
      </c>
      <c r="AC1498" s="1192" t="str">
        <f>""</f>
        <v/>
      </c>
      <c r="AD1498" s="1193">
        <v>0</v>
      </c>
      <c r="AE1498" s="1302" t="s">
        <v>368</v>
      </c>
      <c r="AF1498" s="1193" t="s">
        <v>368</v>
      </c>
      <c r="AG1498" s="1193">
        <v>1</v>
      </c>
      <c r="AH1498" s="1193">
        <v>5</v>
      </c>
      <c r="AI1498" s="1193">
        <v>0</v>
      </c>
      <c r="AJ1498" s="1193">
        <f>VLOOKUP($I1498,'Price List, Weapons &amp; Items'!B:F,5,0)</f>
        <v>1</v>
      </c>
      <c r="AK1498" s="1193">
        <f t="shared" si="318"/>
        <v>0</v>
      </c>
      <c r="AL1498" s="1193">
        <f t="shared" si="319"/>
        <v>0</v>
      </c>
      <c r="AM1498" s="1193">
        <f t="shared" si="320"/>
        <v>0</v>
      </c>
      <c r="AN1498" s="1194" t="str">
        <f>VLOOKUP($I1498,'Price List, Weapons &amp; Items'!B:L,COLUMN('Price List, Weapons &amp; Items'!$J$11)-1,0)</f>
        <v>Military media (incl. websites)</v>
      </c>
      <c r="AO1498" s="1194" t="str">
        <f>IF(I1498=".",".",VLOOKUP($I1498,'Price List, Weapons &amp; Items'!B:J,3,0))</f>
        <v>155mm howitzer</v>
      </c>
      <c r="AP1498" s="1195" t="str">
        <f t="shared" ca="1" si="314"/>
        <v/>
      </c>
      <c r="AQ1498" s="1194">
        <f>VLOOKUP($I1498,'Price List, Weapons &amp; Items'!B:L,COLUMN('Price List, Weapons &amp; Items'!$L$11)-1,0)</f>
        <v>2</v>
      </c>
      <c r="AR1498" s="1194">
        <f t="shared" si="321"/>
        <v>1</v>
      </c>
      <c r="AS1498" s="1194">
        <f t="shared" si="322"/>
        <v>1</v>
      </c>
      <c r="AT1498" s="1194">
        <f t="shared" si="323"/>
        <v>1</v>
      </c>
      <c r="AU1498" s="1194" t="str">
        <f t="shared" si="311"/>
        <v>.</v>
      </c>
      <c r="AV1498" s="1194" t="str">
        <f t="shared" si="315"/>
        <v>.</v>
      </c>
      <c r="AW1498" s="1194" t="str">
        <f t="shared" si="324"/>
        <v>.</v>
      </c>
      <c r="AX1498" s="1194">
        <f>IFERROR(VLOOKUP(B1498,'Share, Heavy Weapons to Ukraine'!B:Z,COLUMN('Share, Heavy Weapons to Ukraine'!C1510)-1,0),0)</f>
        <v>1</v>
      </c>
      <c r="AY1498" s="1194">
        <f>VLOOKUP('Bilateral Assistance, MAIN DATA'!B1498,'Country Summary (€)'!B:F,COLUMN('Country Summary (€)'!C1511)-1,FALSE)</f>
        <v>0</v>
      </c>
      <c r="AZ1498" s="1194" t="str">
        <f>IF(AND(AD1498=1,D1498="Military",H1498&lt;&gt;"Not given")=TRUE,IF(SUMIFS(P:P,A:A,A1498)&gt;0,ABS((SUMIFS(P:P,A:A,A1498)/VLOOKUP("USD",'Exchange Rates'!B:C,2,0)))/S1498,"."),".")</f>
        <v>.</v>
      </c>
      <c r="BA1498" s="1196" t="str">
        <f>IF(AND(AD1498=1,D1498="Military",H1498&lt;&gt;"Not given")=TRUE,IF(SUMIFS(P:P,A:A,A1498)&gt;0,IF((ABS((SUMIFS(P:P,A:A,A1498)/VLOOKUP("USD",'Exchange Rates'!B:C,2,0)))/S1498)&gt;1,(SUMIFS(P:P,A:A,A1498)-S1498)/S1498,(S1498-SUMIFS(P:P,A:A,A1498))/SUMIFS(P:P,A:A,A1498)),"."),".")</f>
        <v>.</v>
      </c>
    </row>
    <row r="1499" spans="1:53" ht="15.95" customHeight="1">
      <c r="A1499" s="1182" t="s">
        <v>3987</v>
      </c>
      <c r="B1499" s="1182" t="s">
        <v>3949</v>
      </c>
      <c r="C1499" s="1181">
        <v>44700</v>
      </c>
      <c r="D1499" s="1182" t="s">
        <v>389</v>
      </c>
      <c r="E1499" s="1182" t="s">
        <v>1676</v>
      </c>
      <c r="F1499" s="1183" t="s">
        <v>4062</v>
      </c>
      <c r="G1499" s="1184" t="s">
        <v>456</v>
      </c>
      <c r="H1499" s="1185">
        <v>100000000</v>
      </c>
      <c r="I1499" s="1180" t="s">
        <v>4048</v>
      </c>
      <c r="J1499" s="1186" t="str">
        <f>VLOOKUP($I1499,'Price List, Weapons &amp; Items'!B:C,2,0)</f>
        <v>Military equipment</v>
      </c>
      <c r="K1499" s="1186" t="str">
        <f>IF(I1499=".",I1499,VLOOKUP($I1499,'Price List, Weapons &amp; Items'!B:D,3,0))</f>
        <v>Military equipment</v>
      </c>
      <c r="L1499" s="1187">
        <f>VLOOKUP(I1499,'Price List, Weapons &amp; Items'!B:E,4,0)</f>
        <v>0</v>
      </c>
      <c r="M1499" s="1188">
        <v>18</v>
      </c>
      <c r="N1499" s="1188">
        <v>18</v>
      </c>
      <c r="O1499" s="1188">
        <f>VLOOKUP($I1499,'Price List, Weapons &amp; Items'!B:G,6,0)</f>
        <v>350000</v>
      </c>
      <c r="P1499" s="1185">
        <f t="shared" si="316"/>
        <v>6300000</v>
      </c>
      <c r="Q1499" s="1185">
        <f t="shared" si="317"/>
        <v>6300000</v>
      </c>
      <c r="R1499" s="1185" t="str">
        <f t="shared" si="313"/>
        <v/>
      </c>
      <c r="S1499" s="1185" t="str">
        <f>IF(AND(AD1499=1,R1499&lt;&gt;".")=TRUE,R1499/VLOOKUP(G1499,'Exchange Rates'!B:C,2,0),IF(R1499=".",".",""))</f>
        <v/>
      </c>
      <c r="T1499" s="1185" t="str">
        <f>IF(AD1499=1,IF(AF1499="Value is not given at all",".",IF(AF1499="Value is given by the source",S1499,IF(AF1499="Value is calculated with prices",(IF(SUMIFS(Q:Q,A:A,A1499)&gt;0,SUMIFS(Q:Q,A:A,A1499),"."))/VLOOKUP("USD",'Exchange Rates'!B:C,2,0),"Error with coding"))),"")</f>
        <v/>
      </c>
      <c r="U1499" s="1184" t="s">
        <v>365</v>
      </c>
      <c r="V1499" s="974" t="s">
        <v>4063</v>
      </c>
      <c r="W1499" s="973" t="s">
        <v>3955</v>
      </c>
      <c r="X1499" s="973" t="s">
        <v>3959</v>
      </c>
      <c r="Y1499" s="973" t="s">
        <v>4064</v>
      </c>
      <c r="Z1499" s="1184">
        <v>0</v>
      </c>
      <c r="AA1499" s="1194">
        <v>0</v>
      </c>
      <c r="AB1499" s="973" t="s">
        <v>4065</v>
      </c>
      <c r="AC1499" s="1192" t="str">
        <f>""</f>
        <v/>
      </c>
      <c r="AD1499" s="1193">
        <v>0</v>
      </c>
      <c r="AE1499" s="1302" t="s">
        <v>368</v>
      </c>
      <c r="AF1499" s="1193" t="s">
        <v>368</v>
      </c>
      <c r="AG1499" s="1193">
        <v>1</v>
      </c>
      <c r="AH1499" s="1193">
        <v>5</v>
      </c>
      <c r="AI1499" s="1193">
        <v>0</v>
      </c>
      <c r="AJ1499" s="1193">
        <f>VLOOKUP($I1499,'Price List, Weapons &amp; Items'!B:F,5,0)</f>
        <v>0</v>
      </c>
      <c r="AK1499" s="1193">
        <f t="shared" si="318"/>
        <v>0</v>
      </c>
      <c r="AL1499" s="1193">
        <f t="shared" si="319"/>
        <v>0</v>
      </c>
      <c r="AM1499" s="1193">
        <f t="shared" si="320"/>
        <v>0</v>
      </c>
      <c r="AN1499" s="1194" t="str">
        <f>VLOOKUP($I1499,'Price List, Weapons &amp; Items'!B:L,COLUMN('Price List, Weapons &amp; Items'!$J$11)-1,0)</f>
        <v>Media reports (incl. social media)</v>
      </c>
      <c r="AO1499" s="1194" t="str">
        <f>IF(I1499=".",".",VLOOKUP($I1499,'Price List, Weapons &amp; Items'!B:J,3,0))</f>
        <v>Military equipment</v>
      </c>
      <c r="AP1499" s="1195" t="str">
        <f t="shared" ca="1" si="314"/>
        <v/>
      </c>
      <c r="AQ1499" s="1194">
        <f>VLOOKUP($I1499,'Price List, Weapons &amp; Items'!B:L,COLUMN('Price List, Weapons &amp; Items'!$L$11)-1,0)</f>
        <v>2</v>
      </c>
      <c r="AR1499" s="1194">
        <f t="shared" si="321"/>
        <v>1</v>
      </c>
      <c r="AS1499" s="1194">
        <f t="shared" si="322"/>
        <v>1</v>
      </c>
      <c r="AT1499" s="1194">
        <f t="shared" si="323"/>
        <v>1</v>
      </c>
      <c r="AU1499" s="1194" t="str">
        <f t="shared" si="311"/>
        <v>.</v>
      </c>
      <c r="AV1499" s="1194" t="str">
        <f t="shared" si="315"/>
        <v>.</v>
      </c>
      <c r="AW1499" s="1194" t="str">
        <f t="shared" si="324"/>
        <v>.</v>
      </c>
      <c r="AX1499" s="1194">
        <f>IFERROR(VLOOKUP(B1499,'Share, Heavy Weapons to Ukraine'!B:Z,COLUMN('Share, Heavy Weapons to Ukraine'!C1511)-1,0),0)</f>
        <v>1</v>
      </c>
      <c r="AY1499" s="1194">
        <f>VLOOKUP('Bilateral Assistance, MAIN DATA'!B1499,'Country Summary (€)'!B:F,COLUMN('Country Summary (€)'!C1512)-1,FALSE)</f>
        <v>0</v>
      </c>
      <c r="AZ1499" s="1194" t="str">
        <f>IF(AND(AD1499=1,D1499="Military",H1499&lt;&gt;"Not given")=TRUE,IF(SUMIFS(P:P,A:A,A1499)&gt;0,ABS((SUMIFS(P:P,A:A,A1499)/VLOOKUP("USD",'Exchange Rates'!B:C,2,0)))/S1499,"."),".")</f>
        <v>.</v>
      </c>
      <c r="BA1499" s="1196" t="str">
        <f>IF(AND(AD1499=1,D1499="Military",H1499&lt;&gt;"Not given")=TRUE,IF(SUMIFS(P:P,A:A,A1499)&gt;0,IF((ABS((SUMIFS(P:P,A:A,A1499)/VLOOKUP("USD",'Exchange Rates'!B:C,2,0)))/S1499)&gt;1,(SUMIFS(P:P,A:A,A1499)-S1499)/S1499,(S1499-SUMIFS(P:P,A:A,A1499))/SUMIFS(P:P,A:A,A1499)),"."),".")</f>
        <v>.</v>
      </c>
    </row>
    <row r="1500" spans="1:53" ht="15.95" customHeight="1">
      <c r="A1500" s="1182" t="s">
        <v>3987</v>
      </c>
      <c r="B1500" s="1182" t="s">
        <v>3949</v>
      </c>
      <c r="C1500" s="1181">
        <v>44700</v>
      </c>
      <c r="D1500" s="1182" t="s">
        <v>389</v>
      </c>
      <c r="E1500" s="1182" t="s">
        <v>1676</v>
      </c>
      <c r="F1500" s="1183" t="s">
        <v>4062</v>
      </c>
      <c r="G1500" s="1184" t="s">
        <v>456</v>
      </c>
      <c r="H1500" s="1185">
        <v>100000000</v>
      </c>
      <c r="I1500" s="1180" t="s">
        <v>2702</v>
      </c>
      <c r="J1500" s="1186" t="str">
        <f>VLOOKUP($I1500,'Price List, Weapons &amp; Items'!B:C,2,0)</f>
        <v>Military equipment</v>
      </c>
      <c r="K1500" s="1186" t="str">
        <f>IF(I1500=".",I1500,VLOOKUP($I1500,'Price List, Weapons &amp; Items'!B:D,3,0))</f>
        <v>Military equipment</v>
      </c>
      <c r="L1500" s="1187">
        <f>VLOOKUP(I1500,'Price List, Weapons &amp; Items'!B:E,4,0)</f>
        <v>0</v>
      </c>
      <c r="M1500" s="1188">
        <v>3</v>
      </c>
      <c r="N1500" s="1188">
        <v>3</v>
      </c>
      <c r="O1500" s="1188">
        <f>VLOOKUP($I1500,'Price List, Weapons &amp; Items'!B:G,6,0)</f>
        <v>8888888</v>
      </c>
      <c r="P1500" s="1185">
        <f t="shared" si="316"/>
        <v>26666664</v>
      </c>
      <c r="Q1500" s="1185">
        <f t="shared" si="317"/>
        <v>26666664</v>
      </c>
      <c r="R1500" s="1185" t="str">
        <f t="shared" si="313"/>
        <v/>
      </c>
      <c r="S1500" s="1185" t="str">
        <f>IF(AND(AD1500=1,R1500&lt;&gt;".")=TRUE,R1500/VLOOKUP(G1500,'Exchange Rates'!B:C,2,0),IF(R1500=".",".",""))</f>
        <v/>
      </c>
      <c r="T1500" s="1185" t="str">
        <f>IF(AD1500=1,IF(AF1500="Value is not given at all",".",IF(AF1500="Value is given by the source",S1500,IF(AF1500="Value is calculated with prices",(IF(SUMIFS(Q:Q,A:A,A1500)&gt;0,SUMIFS(Q:Q,A:A,A1500),"."))/VLOOKUP("USD",'Exchange Rates'!B:C,2,0),"Error with coding"))),"")</f>
        <v/>
      </c>
      <c r="U1500" s="1184" t="s">
        <v>365</v>
      </c>
      <c r="V1500" s="974" t="s">
        <v>4063</v>
      </c>
      <c r="W1500" s="973" t="s">
        <v>3955</v>
      </c>
      <c r="X1500" s="973" t="s">
        <v>3959</v>
      </c>
      <c r="Y1500" s="973" t="s">
        <v>4065</v>
      </c>
      <c r="Z1500" s="1184">
        <v>0</v>
      </c>
      <c r="AA1500" s="1194">
        <v>0</v>
      </c>
      <c r="AB1500" s="973" t="s">
        <v>4066</v>
      </c>
      <c r="AC1500" s="1192" t="str">
        <f>""</f>
        <v/>
      </c>
      <c r="AD1500" s="1193">
        <v>0</v>
      </c>
      <c r="AE1500" s="1302" t="s">
        <v>368</v>
      </c>
      <c r="AF1500" s="1193" t="s">
        <v>368</v>
      </c>
      <c r="AG1500" s="1193">
        <v>1</v>
      </c>
      <c r="AH1500" s="1193">
        <v>5</v>
      </c>
      <c r="AI1500" s="1193">
        <v>0</v>
      </c>
      <c r="AJ1500" s="1193">
        <f>VLOOKUP($I1500,'Price List, Weapons &amp; Items'!B:F,5,0)</f>
        <v>0</v>
      </c>
      <c r="AK1500" s="1193">
        <f t="shared" si="318"/>
        <v>0</v>
      </c>
      <c r="AL1500" s="1193">
        <f t="shared" si="319"/>
        <v>0</v>
      </c>
      <c r="AM1500" s="1193">
        <f t="shared" si="320"/>
        <v>0</v>
      </c>
      <c r="AN1500" s="1194" t="str">
        <f>VLOOKUP($I1500,'Price List, Weapons &amp; Items'!B:L,COLUMN('Price List, Weapons &amp; Items'!$J$11)-1,0)</f>
        <v>Military media (incl. websites)</v>
      </c>
      <c r="AO1500" s="1194" t="str">
        <f>IF(I1500=".",".",VLOOKUP($I1500,'Price List, Weapons &amp; Items'!B:J,3,0))</f>
        <v>Military equipment</v>
      </c>
      <c r="AP1500" s="1195" t="str">
        <f t="shared" ca="1" si="314"/>
        <v/>
      </c>
      <c r="AQ1500" s="1194">
        <f>VLOOKUP($I1500,'Price List, Weapons &amp; Items'!B:L,COLUMN('Price List, Weapons &amp; Items'!$L$11)-1,0)</f>
        <v>2</v>
      </c>
      <c r="AR1500" s="1194">
        <f t="shared" si="321"/>
        <v>1</v>
      </c>
      <c r="AS1500" s="1194">
        <f t="shared" si="322"/>
        <v>1</v>
      </c>
      <c r="AT1500" s="1194">
        <f t="shared" si="323"/>
        <v>1</v>
      </c>
      <c r="AU1500" s="1194" t="str">
        <f t="shared" si="311"/>
        <v>.</v>
      </c>
      <c r="AV1500" s="1194" t="str">
        <f t="shared" si="315"/>
        <v>.</v>
      </c>
      <c r="AW1500" s="1194" t="str">
        <f t="shared" si="324"/>
        <v>.</v>
      </c>
      <c r="AX1500" s="1194">
        <f>IFERROR(VLOOKUP(B1500,'Share, Heavy Weapons to Ukraine'!B:Z,COLUMN('Share, Heavy Weapons to Ukraine'!C1512)-1,0),0)</f>
        <v>1</v>
      </c>
      <c r="AY1500" s="1194">
        <f>VLOOKUP('Bilateral Assistance, MAIN DATA'!B1500,'Country Summary (€)'!B:F,COLUMN('Country Summary (€)'!C1513)-1,FALSE)</f>
        <v>0</v>
      </c>
      <c r="AZ1500" s="1194" t="str">
        <f>IF(AND(AD1500=1,D1500="Military",H1500&lt;&gt;"Not given")=TRUE,IF(SUMIFS(P:P,A:A,A1500)&gt;0,ABS((SUMIFS(P:P,A:A,A1500)/VLOOKUP("USD",'Exchange Rates'!B:C,2,0)))/S1500,"."),".")</f>
        <v>.</v>
      </c>
      <c r="BA1500" s="1196" t="str">
        <f>IF(AND(AD1500=1,D1500="Military",H1500&lt;&gt;"Not given")=TRUE,IF(SUMIFS(P:P,A:A,A1500)&gt;0,IF((ABS((SUMIFS(P:P,A:A,A1500)/VLOOKUP("USD",'Exchange Rates'!B:C,2,0)))/S1500)&gt;1,(SUMIFS(P:P,A:A,A1500)-S1500)/S1500,(S1500-SUMIFS(P:P,A:A,A1500))/SUMIFS(P:P,A:A,A1500)),"."),".")</f>
        <v>.</v>
      </c>
    </row>
    <row r="1501" spans="1:53" ht="15.95" customHeight="1">
      <c r="A1501" s="1182" t="s">
        <v>3987</v>
      </c>
      <c r="B1501" s="1182" t="s">
        <v>3949</v>
      </c>
      <c r="C1501" s="1181">
        <v>44700</v>
      </c>
      <c r="D1501" s="1182" t="s">
        <v>389</v>
      </c>
      <c r="E1501" s="1182" t="s">
        <v>1676</v>
      </c>
      <c r="F1501" s="1183" t="s">
        <v>4062</v>
      </c>
      <c r="G1501" s="1184" t="s">
        <v>456</v>
      </c>
      <c r="H1501" s="1185">
        <v>100000000</v>
      </c>
      <c r="I1501" s="1180" t="s">
        <v>4052</v>
      </c>
      <c r="J1501" s="1186" t="str">
        <f>VLOOKUP($I1501,'Price List, Weapons &amp; Items'!B:C,2,0)</f>
        <v>Military equipment</v>
      </c>
      <c r="K1501" s="1186" t="str">
        <f>IF(I1501=".",I1501,VLOOKUP($I1501,'Price List, Weapons &amp; Items'!B:D,3,0))</f>
        <v>Military equipment</v>
      </c>
      <c r="L1501" s="1187">
        <f>VLOOKUP(I1501,'Price List, Weapons &amp; Items'!B:E,4,0)</f>
        <v>0</v>
      </c>
      <c r="M1501" s="1188" t="s">
        <v>374</v>
      </c>
      <c r="N1501" s="1188" t="s">
        <v>374</v>
      </c>
      <c r="O1501" s="1188" t="str">
        <f>VLOOKUP($I1501,'Price List, Weapons &amp; Items'!B:G,6,0)</f>
        <v>.</v>
      </c>
      <c r="P1501" s="1185" t="str">
        <f t="shared" si="316"/>
        <v>.</v>
      </c>
      <c r="Q1501" s="1185" t="str">
        <f t="shared" si="317"/>
        <v>.</v>
      </c>
      <c r="R1501" s="1185" t="str">
        <f t="shared" si="313"/>
        <v/>
      </c>
      <c r="S1501" s="1185" t="str">
        <f>IF(AND(AD1501=1,R1501&lt;&gt;".")=TRUE,R1501/VLOOKUP(G1501,'Exchange Rates'!B:C,2,0),IF(R1501=".",".",""))</f>
        <v/>
      </c>
      <c r="T1501" s="1185" t="str">
        <f>IF(AD1501=1,IF(AF1501="Value is not given at all",".",IF(AF1501="Value is given by the source",S1501,IF(AF1501="Value is calculated with prices",(IF(SUMIFS(Q:Q,A:A,A1501)&gt;0,SUMIFS(Q:Q,A:A,A1501),"."))/VLOOKUP("USD",'Exchange Rates'!B:C,2,0),"Error with coding"))),"")</f>
        <v/>
      </c>
      <c r="U1501" s="1184" t="s">
        <v>365</v>
      </c>
      <c r="V1501" s="974" t="s">
        <v>4063</v>
      </c>
      <c r="W1501" s="973" t="s">
        <v>3955</v>
      </c>
      <c r="X1501" s="973" t="s">
        <v>3959</v>
      </c>
      <c r="Y1501" s="973" t="s">
        <v>4066</v>
      </c>
      <c r="Z1501" s="1184">
        <v>0</v>
      </c>
      <c r="AA1501" s="1194">
        <v>0</v>
      </c>
      <c r="AB1501" s="973" t="s">
        <v>4067</v>
      </c>
      <c r="AC1501" s="1192" t="str">
        <f>""</f>
        <v/>
      </c>
      <c r="AD1501" s="1193">
        <v>0</v>
      </c>
      <c r="AE1501" s="1302" t="s">
        <v>368</v>
      </c>
      <c r="AF1501" s="1193" t="s">
        <v>368</v>
      </c>
      <c r="AG1501" s="1193">
        <v>1</v>
      </c>
      <c r="AH1501" s="1193">
        <v>5</v>
      </c>
      <c r="AI1501" s="1193">
        <v>0</v>
      </c>
      <c r="AJ1501" s="1193">
        <f>VLOOKUP($I1501,'Price List, Weapons &amp; Items'!B:F,5,0)</f>
        <v>0</v>
      </c>
      <c r="AK1501" s="1193">
        <f t="shared" si="318"/>
        <v>0</v>
      </c>
      <c r="AL1501" s="1193">
        <f t="shared" si="319"/>
        <v>0</v>
      </c>
      <c r="AM1501" s="1193">
        <f t="shared" si="320"/>
        <v>0</v>
      </c>
      <c r="AN1501" s="1194" t="str">
        <f>VLOOKUP($I1501,'Price List, Weapons &amp; Items'!B:L,COLUMN('Price List, Weapons &amp; Items'!$J$11)-1,0)</f>
        <v>.</v>
      </c>
      <c r="AO1501" s="1194" t="str">
        <f>IF(I1501=".",".",VLOOKUP($I1501,'Price List, Weapons &amp; Items'!B:J,3,0))</f>
        <v>Military equipment</v>
      </c>
      <c r="AP1501" s="1195" t="str">
        <f t="shared" ca="1" si="314"/>
        <v/>
      </c>
      <c r="AQ1501" s="1194" t="str">
        <f>VLOOKUP($I1501,'Price List, Weapons &amp; Items'!B:L,COLUMN('Price List, Weapons &amp; Items'!$L$11)-1,0)</f>
        <v>no price, 0 count</v>
      </c>
      <c r="AR1501" s="1194">
        <f t="shared" si="321"/>
        <v>1</v>
      </c>
      <c r="AS1501" s="1194">
        <f t="shared" si="322"/>
        <v>1</v>
      </c>
      <c r="AT1501" s="1194">
        <f t="shared" si="323"/>
        <v>1</v>
      </c>
      <c r="AU1501" s="1194" t="str">
        <f t="shared" si="311"/>
        <v>.</v>
      </c>
      <c r="AV1501" s="1194" t="str">
        <f t="shared" si="315"/>
        <v>.</v>
      </c>
      <c r="AW1501" s="1194" t="str">
        <f t="shared" si="324"/>
        <v>.</v>
      </c>
      <c r="AX1501" s="1194">
        <f>IFERROR(VLOOKUP(B1501,'Share, Heavy Weapons to Ukraine'!B:Z,COLUMN('Share, Heavy Weapons to Ukraine'!C1513)-1,0),0)</f>
        <v>1</v>
      </c>
      <c r="AY1501" s="1194">
        <f>VLOOKUP('Bilateral Assistance, MAIN DATA'!B1501,'Country Summary (€)'!B:F,COLUMN('Country Summary (€)'!C1514)-1,FALSE)</f>
        <v>0</v>
      </c>
      <c r="AZ1501" s="1194" t="str">
        <f>IF(AND(AD1501=1,D1501="Military",H1501&lt;&gt;"Not given")=TRUE,IF(SUMIFS(P:P,A:A,A1501)&gt;0,ABS((SUMIFS(P:P,A:A,A1501)/VLOOKUP("USD",'Exchange Rates'!B:C,2,0)))/S1501,"."),".")</f>
        <v>.</v>
      </c>
      <c r="BA1501" s="1196" t="str">
        <f>IF(AND(AD1501=1,D1501="Military",H1501&lt;&gt;"Not given")=TRUE,IF(SUMIFS(P:P,A:A,A1501)&gt;0,IF((ABS((SUMIFS(P:P,A:A,A1501)/VLOOKUP("USD",'Exchange Rates'!B:C,2,0)))/S1501)&gt;1,(SUMIFS(P:P,A:A,A1501)-S1501)/S1501,(S1501-SUMIFS(P:P,A:A,A1501))/SUMIFS(P:P,A:A,A1501)),"."),".")</f>
        <v>.</v>
      </c>
    </row>
    <row r="1502" spans="1:53" ht="15.95" customHeight="1">
      <c r="A1502" s="1182" t="s">
        <v>3987</v>
      </c>
      <c r="B1502" s="1182" t="s">
        <v>3949</v>
      </c>
      <c r="C1502" s="1181">
        <v>44700</v>
      </c>
      <c r="D1502" s="1182" t="s">
        <v>389</v>
      </c>
      <c r="E1502" s="1182" t="s">
        <v>1676</v>
      </c>
      <c r="F1502" s="1183" t="s">
        <v>4062</v>
      </c>
      <c r="G1502" s="1184" t="s">
        <v>456</v>
      </c>
      <c r="H1502" s="1185">
        <v>100000000</v>
      </c>
      <c r="I1502" s="1180" t="s">
        <v>2472</v>
      </c>
      <c r="J1502" s="1186" t="str">
        <f>VLOOKUP($I1502,'Price List, Weapons &amp; Items'!B:C,2,0)</f>
        <v>Military equipment</v>
      </c>
      <c r="K1502" s="1186" t="str">
        <f>IF(I1502=".",I1502,VLOOKUP($I1502,'Price List, Weapons &amp; Items'!B:D,3,0))</f>
        <v>spare parts</v>
      </c>
      <c r="L1502" s="1187">
        <f>VLOOKUP(I1502,'Price List, Weapons &amp; Items'!B:E,4,0)</f>
        <v>0</v>
      </c>
      <c r="M1502" s="1188" t="s">
        <v>374</v>
      </c>
      <c r="N1502" s="1188" t="s">
        <v>374</v>
      </c>
      <c r="O1502" s="1188" t="str">
        <f>VLOOKUP($I1502,'Price List, Weapons &amp; Items'!B:G,6,0)</f>
        <v>.</v>
      </c>
      <c r="P1502" s="1185" t="str">
        <f t="shared" si="316"/>
        <v>.</v>
      </c>
      <c r="Q1502" s="1185" t="str">
        <f t="shared" si="317"/>
        <v>.</v>
      </c>
      <c r="R1502" s="1185" t="str">
        <f t="shared" si="313"/>
        <v/>
      </c>
      <c r="S1502" s="1185" t="str">
        <f>IF(AND(AD1502=1,R1502&lt;&gt;".")=TRUE,R1502/VLOOKUP(G1502,'Exchange Rates'!B:C,2,0),IF(R1502=".",".",""))</f>
        <v/>
      </c>
      <c r="T1502" s="1185" t="str">
        <f>IF(AD1502=1,IF(AF1502="Value is not given at all",".",IF(AF1502="Value is given by the source",S1502,IF(AF1502="Value is calculated with prices",(IF(SUMIFS(Q:Q,A:A,A1502)&gt;0,SUMIFS(Q:Q,A:A,A1502),"."))/VLOOKUP("USD",'Exchange Rates'!B:C,2,0),"Error with coding"))),"")</f>
        <v/>
      </c>
      <c r="U1502" s="1184" t="s">
        <v>365</v>
      </c>
      <c r="V1502" s="974" t="s">
        <v>4063</v>
      </c>
      <c r="W1502" s="973" t="s">
        <v>3955</v>
      </c>
      <c r="X1502" s="973" t="s">
        <v>3959</v>
      </c>
      <c r="Y1502" s="973" t="s">
        <v>4067</v>
      </c>
      <c r="Z1502" s="1184">
        <v>0</v>
      </c>
      <c r="AA1502" s="1194">
        <v>0</v>
      </c>
      <c r="AB1502" s="973" t="s">
        <v>4068</v>
      </c>
      <c r="AC1502" s="1192" t="str">
        <f>""</f>
        <v/>
      </c>
      <c r="AD1502" s="1193">
        <v>0</v>
      </c>
      <c r="AE1502" s="1302" t="s">
        <v>368</v>
      </c>
      <c r="AF1502" s="1193" t="s">
        <v>368</v>
      </c>
      <c r="AG1502" s="1193">
        <v>1</v>
      </c>
      <c r="AH1502" s="1193">
        <v>5</v>
      </c>
      <c r="AI1502" s="1193">
        <v>0</v>
      </c>
      <c r="AJ1502" s="1193">
        <f>VLOOKUP($I1502,'Price List, Weapons &amp; Items'!B:F,5,0)</f>
        <v>0</v>
      </c>
      <c r="AK1502" s="1193">
        <f t="shared" si="318"/>
        <v>0</v>
      </c>
      <c r="AL1502" s="1193">
        <f t="shared" si="319"/>
        <v>0</v>
      </c>
      <c r="AM1502" s="1193">
        <f t="shared" si="320"/>
        <v>0</v>
      </c>
      <c r="AN1502" s="1194" t="str">
        <f>VLOOKUP($I1502,'Price List, Weapons &amp; Items'!B:L,COLUMN('Price List, Weapons &amp; Items'!$J$11)-1,0)</f>
        <v>.</v>
      </c>
      <c r="AO1502" s="1194" t="str">
        <f>IF(I1502=".",".",VLOOKUP($I1502,'Price List, Weapons &amp; Items'!B:J,3,0))</f>
        <v>spare parts</v>
      </c>
      <c r="AP1502" s="1195" t="str">
        <f t="shared" ca="1" si="314"/>
        <v/>
      </c>
      <c r="AQ1502" s="1194" t="str">
        <f>VLOOKUP($I1502,'Price List, Weapons &amp; Items'!B:L,COLUMN('Price List, Weapons &amp; Items'!$L$11)-1,0)</f>
        <v>no price, 0 count</v>
      </c>
      <c r="AR1502" s="1194">
        <f t="shared" si="321"/>
        <v>1</v>
      </c>
      <c r="AS1502" s="1194">
        <f t="shared" si="322"/>
        <v>1</v>
      </c>
      <c r="AT1502" s="1194">
        <f t="shared" si="323"/>
        <v>1</v>
      </c>
      <c r="AU1502" s="1194" t="str">
        <f t="shared" si="311"/>
        <v>.</v>
      </c>
      <c r="AV1502" s="1194" t="str">
        <f t="shared" si="315"/>
        <v>.</v>
      </c>
      <c r="AW1502" s="1194" t="str">
        <f t="shared" si="324"/>
        <v>.</v>
      </c>
      <c r="AX1502" s="1194">
        <f>IFERROR(VLOOKUP(B1502,'Share, Heavy Weapons to Ukraine'!B:Z,COLUMN('Share, Heavy Weapons to Ukraine'!C1514)-1,0),0)</f>
        <v>1</v>
      </c>
      <c r="AY1502" s="1194">
        <f>VLOOKUP('Bilateral Assistance, MAIN DATA'!B1502,'Country Summary (€)'!B:F,COLUMN('Country Summary (€)'!C1515)-1,FALSE)</f>
        <v>0</v>
      </c>
      <c r="AZ1502" s="1194" t="str">
        <f>IF(AND(AD1502=1,D1502="Military",H1502&lt;&gt;"Not given")=TRUE,IF(SUMIFS(P:P,A:A,A1502)&gt;0,ABS((SUMIFS(P:P,A:A,A1502)/VLOOKUP("USD",'Exchange Rates'!B:C,2,0)))/S1502,"."),".")</f>
        <v>.</v>
      </c>
      <c r="BA1502" s="1196" t="str">
        <f>IF(AND(AD1502=1,D1502="Military",H1502&lt;&gt;"Not given")=TRUE,IF(SUMIFS(P:P,A:A,A1502)&gt;0,IF((ABS((SUMIFS(P:P,A:A,A1502)/VLOOKUP("USD",'Exchange Rates'!B:C,2,0)))/S1502)&gt;1,(SUMIFS(P:P,A:A,A1502)-S1502)/S1502,(S1502-SUMIFS(P:P,A:A,A1502))/SUMIFS(P:P,A:A,A1502)),"."),".")</f>
        <v>.</v>
      </c>
    </row>
    <row r="1503" spans="1:53" ht="15.95" customHeight="1">
      <c r="A1503" s="1182" t="s">
        <v>3987</v>
      </c>
      <c r="B1503" s="1303" t="s">
        <v>3949</v>
      </c>
      <c r="C1503" s="1181">
        <v>44713</v>
      </c>
      <c r="D1503" s="1303" t="s">
        <v>389</v>
      </c>
      <c r="E1503" s="1182" t="s">
        <v>1676</v>
      </c>
      <c r="F1503" s="1183" t="s">
        <v>4069</v>
      </c>
      <c r="G1503" s="1184" t="s">
        <v>456</v>
      </c>
      <c r="H1503" s="1185">
        <v>700000000</v>
      </c>
      <c r="I1503" s="1266" t="s">
        <v>4070</v>
      </c>
      <c r="J1503" s="1186" t="str">
        <f>VLOOKUP($I1503,'Price List, Weapons &amp; Items'!B:C,2,0)</f>
        <v>Heavy weapon</v>
      </c>
      <c r="K1503" s="1186" t="str">
        <f>IF(I1503=".",I1503,VLOOKUP($I1503,'Price List, Weapons &amp; Items'!B:D,3,0))</f>
        <v>227mm MLRS</v>
      </c>
      <c r="L1503" s="1187">
        <f>VLOOKUP(I1503,'Price List, Weapons &amp; Items'!B:E,4,0)</f>
        <v>0</v>
      </c>
      <c r="M1503" s="1188">
        <v>4</v>
      </c>
      <c r="N1503" s="1188">
        <v>4</v>
      </c>
      <c r="O1503" s="1188">
        <f>VLOOKUP($I1503,'Price List, Weapons &amp; Items'!B:G,6,0)</f>
        <v>15076313.029999999</v>
      </c>
      <c r="P1503" s="1185">
        <f t="shared" si="316"/>
        <v>60305252.119999997</v>
      </c>
      <c r="Q1503" s="1185">
        <f t="shared" si="317"/>
        <v>60305252.119999997</v>
      </c>
      <c r="R1503" s="1185" t="str">
        <f t="shared" si="313"/>
        <v/>
      </c>
      <c r="S1503" s="1185" t="str">
        <f>IF(AND(AD1503=1,R1503&lt;&gt;".")=TRUE,R1503/VLOOKUP(G1503,'Exchange Rates'!B:C,2,0),IF(R1503=".",".",""))</f>
        <v/>
      </c>
      <c r="T1503" s="1185" t="str">
        <f>IF(AD1503=1,IF(AF1503="Value is not given at all",".",IF(AF1503="Value is given by the source",S1503,IF(AF1503="Value is calculated with prices",(IF(SUMIFS(Q:Q,A:A,A1503)&gt;0,SUMIFS(Q:Q,A:A,A1503),"."))/VLOOKUP("USD",'Exchange Rates'!B:C,2,0),"Error with coding"))),"")</f>
        <v/>
      </c>
      <c r="U1503" s="1184" t="s">
        <v>365</v>
      </c>
      <c r="V1503" s="974" t="s">
        <v>3959</v>
      </c>
      <c r="W1503" s="973" t="s">
        <v>3955</v>
      </c>
      <c r="X1503" s="973" t="s">
        <v>3959</v>
      </c>
      <c r="Y1503" s="973" t="s">
        <v>4068</v>
      </c>
      <c r="Z1503" s="1184">
        <v>0</v>
      </c>
      <c r="AA1503" s="1194">
        <v>0</v>
      </c>
      <c r="AB1503" s="973" t="s">
        <v>4071</v>
      </c>
      <c r="AC1503" s="1192" t="str">
        <f>""</f>
        <v/>
      </c>
      <c r="AD1503" s="1302">
        <v>0</v>
      </c>
      <c r="AE1503" s="1302" t="s">
        <v>368</v>
      </c>
      <c r="AF1503" s="1193" t="s">
        <v>368</v>
      </c>
      <c r="AG1503" s="1302">
        <v>1</v>
      </c>
      <c r="AH1503" s="1302">
        <v>6</v>
      </c>
      <c r="AI1503" s="1302">
        <v>0</v>
      </c>
      <c r="AJ1503" s="1193">
        <f>VLOOKUP($I1503,'Price List, Weapons &amp; Items'!B:F,5,0)</f>
        <v>1</v>
      </c>
      <c r="AK1503" s="1193">
        <f t="shared" si="318"/>
        <v>0</v>
      </c>
      <c r="AL1503" s="1193">
        <f t="shared" si="319"/>
        <v>0</v>
      </c>
      <c r="AM1503" s="1193">
        <f t="shared" si="320"/>
        <v>0</v>
      </c>
      <c r="AN1503" s="1194" t="str">
        <f>VLOOKUP($I1503,'Price List, Weapons &amp; Items'!B:L,COLUMN('Price List, Weapons &amp; Items'!$J$11)-1,0)</f>
        <v>Contracts</v>
      </c>
      <c r="AO1503" s="1194" t="str">
        <f>IF(I1503=".",".",VLOOKUP($I1503,'Price List, Weapons &amp; Items'!B:J,3,0))</f>
        <v>227mm MLRS</v>
      </c>
      <c r="AP1503" s="1195" t="str">
        <f t="shared" ca="1" si="314"/>
        <v/>
      </c>
      <c r="AQ1503" s="1194">
        <f>VLOOKUP($I1503,'Price List, Weapons &amp; Items'!B:L,COLUMN('Price List, Weapons &amp; Items'!$L$11)-1,0)</f>
        <v>2</v>
      </c>
      <c r="AR1503" s="1194">
        <f t="shared" si="321"/>
        <v>1</v>
      </c>
      <c r="AS1503" s="1194">
        <f t="shared" si="322"/>
        <v>1</v>
      </c>
      <c r="AT1503" s="1194">
        <f t="shared" si="323"/>
        <v>1</v>
      </c>
      <c r="AU1503" s="1194" t="str">
        <f t="shared" ref="AU1503:AU1566" si="326">IF(AND(A1503=A1502,C1503=C1502)=TRUE,IF(F1503=F1502,".","1"),".")</f>
        <v>.</v>
      </c>
      <c r="AV1503" s="1194" t="str">
        <f t="shared" si="315"/>
        <v>.</v>
      </c>
      <c r="AW1503" s="1194" t="str">
        <f t="shared" si="324"/>
        <v>.</v>
      </c>
      <c r="AX1503" s="1194">
        <f>IFERROR(VLOOKUP(B1503,'Share, Heavy Weapons to Ukraine'!B:Z,COLUMN('Share, Heavy Weapons to Ukraine'!C1515)-1,0),0)</f>
        <v>1</v>
      </c>
      <c r="AY1503" s="1194">
        <f>VLOOKUP('Bilateral Assistance, MAIN DATA'!B1503,'Country Summary (€)'!B:F,COLUMN('Country Summary (€)'!C1516)-1,FALSE)</f>
        <v>0</v>
      </c>
      <c r="AZ1503" s="1194" t="str">
        <f>IF(AND(AD1503=1,D1503="Military",H1503&lt;&gt;"Not given")=TRUE,IF(SUMIFS(P:P,A:A,A1503)&gt;0,ABS((SUMIFS(P:P,A:A,A1503)/VLOOKUP("USD",'Exchange Rates'!B:C,2,0)))/S1503,"."),".")</f>
        <v>.</v>
      </c>
      <c r="BA1503" s="1196" t="str">
        <f>IF(AND(AD1503=1,D1503="Military",H1503&lt;&gt;"Not given")=TRUE,IF(SUMIFS(P:P,A:A,A1503)&gt;0,IF((ABS((SUMIFS(P:P,A:A,A1503)/VLOOKUP("USD",'Exchange Rates'!B:C,2,0)))/S1503)&gt;1,(SUMIFS(P:P,A:A,A1503)-S1503)/S1503,(S1503-SUMIFS(P:P,A:A,A1503))/SUMIFS(P:P,A:A,A1503)),"."),".")</f>
        <v>.</v>
      </c>
    </row>
    <row r="1504" spans="1:53" ht="15.95" customHeight="1">
      <c r="A1504" s="1182" t="s">
        <v>3987</v>
      </c>
      <c r="B1504" s="1182" t="s">
        <v>3949</v>
      </c>
      <c r="C1504" s="1181">
        <v>44713</v>
      </c>
      <c r="D1504" s="1182" t="s">
        <v>389</v>
      </c>
      <c r="E1504" s="1182" t="s">
        <v>1676</v>
      </c>
      <c r="F1504" s="1183" t="s">
        <v>4069</v>
      </c>
      <c r="G1504" s="1184" t="s">
        <v>456</v>
      </c>
      <c r="H1504" s="1185">
        <v>700000000</v>
      </c>
      <c r="I1504" s="1266" t="s">
        <v>3906</v>
      </c>
      <c r="J1504" s="1186" t="str">
        <f>VLOOKUP($I1504,'Price List, Weapons &amp; Items'!B:C,2,0)</f>
        <v>Ammunition for heavy weapon</v>
      </c>
      <c r="K1504" s="1186" t="str">
        <f>IF(I1504=".",I1504,VLOOKUP($I1504,'Price List, Weapons &amp; Items'!B:D,3,0))</f>
        <v>227mm MLRS ammunition</v>
      </c>
      <c r="L1504" s="1187">
        <f>VLOOKUP(I1504,'Price List, Weapons &amp; Items'!B:E,4,0)</f>
        <v>0</v>
      </c>
      <c r="M1504" s="1188" t="s">
        <v>374</v>
      </c>
      <c r="N1504" s="1188" t="s">
        <v>374</v>
      </c>
      <c r="O1504" s="1188">
        <f>VLOOKUP($I1504,'Price List, Weapons &amp; Items'!B:G,6,0)</f>
        <v>168000</v>
      </c>
      <c r="P1504" s="1185" t="str">
        <f t="shared" si="316"/>
        <v>.</v>
      </c>
      <c r="Q1504" s="1185" t="str">
        <f t="shared" si="317"/>
        <v>.</v>
      </c>
      <c r="R1504" s="1185" t="str">
        <f t="shared" si="313"/>
        <v/>
      </c>
      <c r="S1504" s="1185" t="str">
        <f>IF(AND(AD1504=1,R1504&lt;&gt;".")=TRUE,R1504/VLOOKUP(G1504,'Exchange Rates'!B:C,2,0),IF(R1504=".",".",""))</f>
        <v/>
      </c>
      <c r="T1504" s="1185" t="str">
        <f>IF(AD1504=1,IF(AF1504="Value is not given at all",".",IF(AF1504="Value is given by the source",S1504,IF(AF1504="Value is calculated with prices",(IF(SUMIFS(Q:Q,A:A,A1504)&gt;0,SUMIFS(Q:Q,A:A,A1504),"."))/VLOOKUP("USD",'Exchange Rates'!B:C,2,0),"Error with coding"))),"")</f>
        <v/>
      </c>
      <c r="U1504" s="1184" t="s">
        <v>365</v>
      </c>
      <c r="V1504" s="974" t="s">
        <v>3959</v>
      </c>
      <c r="W1504" s="973" t="s">
        <v>3955</v>
      </c>
      <c r="X1504" s="973" t="s">
        <v>3959</v>
      </c>
      <c r="Y1504" s="973" t="s">
        <v>4072</v>
      </c>
      <c r="Z1504" s="1184">
        <v>0</v>
      </c>
      <c r="AA1504" s="1194">
        <v>0</v>
      </c>
      <c r="AB1504" s="973" t="s">
        <v>4073</v>
      </c>
      <c r="AC1504" s="1192" t="str">
        <f>""</f>
        <v/>
      </c>
      <c r="AD1504" s="985">
        <v>0</v>
      </c>
      <c r="AE1504" s="1302" t="s">
        <v>368</v>
      </c>
      <c r="AF1504" s="1193" t="s">
        <v>368</v>
      </c>
      <c r="AG1504" s="985">
        <v>1</v>
      </c>
      <c r="AH1504" s="985">
        <v>6</v>
      </c>
      <c r="AI1504" s="985">
        <v>0</v>
      </c>
      <c r="AJ1504" s="1193">
        <f>VLOOKUP($I1504,'Price List, Weapons &amp; Items'!B:F,5,0)</f>
        <v>1</v>
      </c>
      <c r="AK1504" s="1193">
        <f t="shared" si="318"/>
        <v>1</v>
      </c>
      <c r="AL1504" s="1193">
        <f t="shared" si="319"/>
        <v>1</v>
      </c>
      <c r="AM1504" s="1193">
        <f t="shared" si="320"/>
        <v>0</v>
      </c>
      <c r="AN1504" s="1194" t="str">
        <f>VLOOKUP($I1504,'Price List, Weapons &amp; Items'!B:L,COLUMN('Price List, Weapons &amp; Items'!$J$11)-1,0)</f>
        <v>Military media (incl. websites)</v>
      </c>
      <c r="AO1504" s="1194" t="str">
        <f>IF(I1504=".",".",VLOOKUP($I1504,'Price List, Weapons &amp; Items'!B:J,3,0))</f>
        <v>227mm MLRS ammunition</v>
      </c>
      <c r="AP1504" s="1195" t="str">
        <f t="shared" ca="1" si="314"/>
        <v/>
      </c>
      <c r="AQ1504" s="1194" t="str">
        <f>VLOOKUP($I1504,'Price List, Weapons &amp; Items'!B:L,COLUMN('Price List, Weapons &amp; Items'!$L$11)-1,0)</f>
        <v>no price, 0 count</v>
      </c>
      <c r="AR1504" s="1194">
        <f t="shared" si="321"/>
        <v>1</v>
      </c>
      <c r="AS1504" s="1194">
        <f t="shared" si="322"/>
        <v>1</v>
      </c>
      <c r="AT1504" s="1194">
        <f t="shared" si="323"/>
        <v>1</v>
      </c>
      <c r="AU1504" s="1194" t="str">
        <f t="shared" si="326"/>
        <v>.</v>
      </c>
      <c r="AV1504" s="1194" t="str">
        <f t="shared" si="315"/>
        <v>.</v>
      </c>
      <c r="AW1504" s="1194" t="str">
        <f t="shared" si="324"/>
        <v>.</v>
      </c>
      <c r="AX1504" s="1194">
        <f>IFERROR(VLOOKUP(B1504,'Share, Heavy Weapons to Ukraine'!B:Z,COLUMN('Share, Heavy Weapons to Ukraine'!C1516)-1,0),0)</f>
        <v>1</v>
      </c>
      <c r="AY1504" s="1194">
        <f>VLOOKUP('Bilateral Assistance, MAIN DATA'!B1504,'Country Summary (€)'!B:F,COLUMN('Country Summary (€)'!C1517)-1,FALSE)</f>
        <v>0</v>
      </c>
      <c r="AZ1504" s="1194" t="str">
        <f>IF(AND(AD1504=1,D1504="Military",H1504&lt;&gt;"Not given")=TRUE,IF(SUMIFS(P:P,A:A,A1504)&gt;0,ABS((SUMIFS(P:P,A:A,A1504)/VLOOKUP("USD",'Exchange Rates'!B:C,2,0)))/S1504,"."),".")</f>
        <v>.</v>
      </c>
      <c r="BA1504" s="1196" t="str">
        <f>IF(AND(AD1504=1,D1504="Military",H1504&lt;&gt;"Not given")=TRUE,IF(SUMIFS(P:P,A:A,A1504)&gt;0,IF((ABS((SUMIFS(P:P,A:A,A1504)/VLOOKUP("USD",'Exchange Rates'!B:C,2,0)))/S1504)&gt;1,(SUMIFS(P:P,A:A,A1504)-S1504)/S1504,(S1504-SUMIFS(P:P,A:A,A1504))/SUMIFS(P:P,A:A,A1504)),"."),".")</f>
        <v>.</v>
      </c>
    </row>
    <row r="1505" spans="1:53" ht="15.95" customHeight="1">
      <c r="A1505" s="1182" t="s">
        <v>3987</v>
      </c>
      <c r="B1505" s="1182" t="s">
        <v>3949</v>
      </c>
      <c r="C1505" s="1181">
        <v>44713</v>
      </c>
      <c r="D1505" s="1182" t="s">
        <v>389</v>
      </c>
      <c r="E1505" s="1182" t="s">
        <v>1676</v>
      </c>
      <c r="F1505" s="1183" t="s">
        <v>4069</v>
      </c>
      <c r="G1505" s="1184" t="s">
        <v>456</v>
      </c>
      <c r="H1505" s="1185">
        <v>700000000</v>
      </c>
      <c r="I1505" s="1266" t="s">
        <v>4074</v>
      </c>
      <c r="J1505" s="1186" t="str">
        <f>VLOOKUP($I1505,'Price List, Weapons &amp; Items'!B:C,2,0)</f>
        <v>Heavy weapon</v>
      </c>
      <c r="K1505" s="1186" t="str">
        <f>IF(I1505=".",I1505,VLOOKUP($I1505,'Price List, Weapons &amp; Items'!B:D,3,0))</f>
        <v>Radar or imagery systems</v>
      </c>
      <c r="L1505" s="1187">
        <f>VLOOKUP(I1505,'Price List, Weapons &amp; Items'!B:E,4,0)</f>
        <v>0</v>
      </c>
      <c r="M1505" s="1188">
        <v>5</v>
      </c>
      <c r="N1505" s="1188">
        <v>5</v>
      </c>
      <c r="O1505" s="1188">
        <f>VLOOKUP($I1505,'Price List, Weapons &amp; Items'!B:G,6,0)</f>
        <v>19354990.843713053</v>
      </c>
      <c r="P1505" s="1185">
        <f t="shared" si="316"/>
        <v>96774954.218565255</v>
      </c>
      <c r="Q1505" s="1185">
        <f t="shared" si="317"/>
        <v>96774954.218565255</v>
      </c>
      <c r="R1505" s="1185" t="str">
        <f t="shared" si="313"/>
        <v/>
      </c>
      <c r="S1505" s="1185" t="str">
        <f>IF(AND(AD1505=1,R1505&lt;&gt;".")=TRUE,R1505/VLOOKUP(G1505,'Exchange Rates'!B:C,2,0),IF(R1505=".",".",""))</f>
        <v/>
      </c>
      <c r="T1505" s="1185" t="str">
        <f>IF(AD1505=1,IF(AF1505="Value is not given at all",".",IF(AF1505="Value is given by the source",S1505,IF(AF1505="Value is calculated with prices",(IF(SUMIFS(Q:Q,A:A,A1505)&gt;0,SUMIFS(Q:Q,A:A,A1505),"."))/VLOOKUP("USD",'Exchange Rates'!B:C,2,0),"Error with coding"))),"")</f>
        <v/>
      </c>
      <c r="U1505" s="1184" t="s">
        <v>365</v>
      </c>
      <c r="V1505" s="974" t="s">
        <v>3959</v>
      </c>
      <c r="W1505" s="973" t="s">
        <v>3955</v>
      </c>
      <c r="X1505" s="973" t="s">
        <v>3959</v>
      </c>
      <c r="Y1505" s="973" t="s">
        <v>4073</v>
      </c>
      <c r="Z1505" s="1184">
        <v>0</v>
      </c>
      <c r="AA1505" s="1194">
        <v>0</v>
      </c>
      <c r="AB1505" s="973" t="s">
        <v>4075</v>
      </c>
      <c r="AC1505" s="1192" t="str">
        <f>""</f>
        <v/>
      </c>
      <c r="AD1505" s="985">
        <v>0</v>
      </c>
      <c r="AE1505" s="1302" t="s">
        <v>368</v>
      </c>
      <c r="AF1505" s="1193" t="s">
        <v>368</v>
      </c>
      <c r="AG1505" s="985">
        <v>1</v>
      </c>
      <c r="AH1505" s="985">
        <v>6</v>
      </c>
      <c r="AI1505" s="985">
        <v>0</v>
      </c>
      <c r="AJ1505" s="1193">
        <f>VLOOKUP($I1505,'Price List, Weapons &amp; Items'!B:F,5,0)</f>
        <v>0</v>
      </c>
      <c r="AK1505" s="1193">
        <f t="shared" si="318"/>
        <v>0</v>
      </c>
      <c r="AL1505" s="1193">
        <f t="shared" si="319"/>
        <v>0</v>
      </c>
      <c r="AM1505" s="1193">
        <f t="shared" si="320"/>
        <v>0</v>
      </c>
      <c r="AN1505" s="1194" t="str">
        <f>VLOOKUP($I1505,'Price List, Weapons &amp; Items'!B:L,COLUMN('Price List, Weapons &amp; Items'!$J$11)-1,0)</f>
        <v>Military media (incl. websites)</v>
      </c>
      <c r="AO1505" s="1194" t="str">
        <f>IF(I1505=".",".",VLOOKUP($I1505,'Price List, Weapons &amp; Items'!B:J,3,0))</f>
        <v>Radar or imagery systems</v>
      </c>
      <c r="AP1505" s="1195" t="str">
        <f t="shared" ca="1" si="314"/>
        <v/>
      </c>
      <c r="AQ1505" s="1194">
        <f>VLOOKUP($I1505,'Price List, Weapons &amp; Items'!B:L,COLUMN('Price List, Weapons &amp; Items'!$L$11)-1,0)</f>
        <v>2</v>
      </c>
      <c r="AR1505" s="1194">
        <f t="shared" si="321"/>
        <v>1</v>
      </c>
      <c r="AS1505" s="1194">
        <f t="shared" si="322"/>
        <v>1</v>
      </c>
      <c r="AT1505" s="1194">
        <f t="shared" si="323"/>
        <v>1</v>
      </c>
      <c r="AU1505" s="1194" t="str">
        <f t="shared" si="326"/>
        <v>.</v>
      </c>
      <c r="AV1505" s="1194" t="str">
        <f t="shared" si="315"/>
        <v>.</v>
      </c>
      <c r="AW1505" s="1194" t="str">
        <f t="shared" si="324"/>
        <v>.</v>
      </c>
      <c r="AX1505" s="1194">
        <f>IFERROR(VLOOKUP(B1505,'Share, Heavy Weapons to Ukraine'!B:Z,COLUMN('Share, Heavy Weapons to Ukraine'!C1517)-1,0),0)</f>
        <v>1</v>
      </c>
      <c r="AY1505" s="1194">
        <f>VLOOKUP('Bilateral Assistance, MAIN DATA'!B1505,'Country Summary (€)'!B:F,COLUMN('Country Summary (€)'!C1518)-1,FALSE)</f>
        <v>0</v>
      </c>
      <c r="AZ1505" s="1194" t="str">
        <f>IF(AND(AD1505=1,D1505="Military",H1505&lt;&gt;"Not given")=TRUE,IF(SUMIFS(P:P,A:A,A1505)&gt;0,ABS((SUMIFS(P:P,A:A,A1505)/VLOOKUP("USD",'Exchange Rates'!B:C,2,0)))/S1505,"."),".")</f>
        <v>.</v>
      </c>
      <c r="BA1505" s="1196" t="str">
        <f>IF(AND(AD1505=1,D1505="Military",H1505&lt;&gt;"Not given")=TRUE,IF(SUMIFS(P:P,A:A,A1505)&gt;0,IF((ABS((SUMIFS(P:P,A:A,A1505)/VLOOKUP("USD",'Exchange Rates'!B:C,2,0)))/S1505)&gt;1,(SUMIFS(P:P,A:A,A1505)-S1505)/S1505,(S1505-SUMIFS(P:P,A:A,A1505))/SUMIFS(P:P,A:A,A1505)),"."),".")</f>
        <v>.</v>
      </c>
    </row>
    <row r="1506" spans="1:53" ht="15.95" customHeight="1">
      <c r="A1506" s="1182" t="s">
        <v>3987</v>
      </c>
      <c r="B1506" s="1182" t="s">
        <v>3949</v>
      </c>
      <c r="C1506" s="1181">
        <v>44713</v>
      </c>
      <c r="D1506" s="1182" t="s">
        <v>389</v>
      </c>
      <c r="E1506" s="1182" t="s">
        <v>1676</v>
      </c>
      <c r="F1506" s="1183" t="s">
        <v>4069</v>
      </c>
      <c r="G1506" s="1184" t="s">
        <v>456</v>
      </c>
      <c r="H1506" s="1185">
        <v>700000000</v>
      </c>
      <c r="I1506" s="1266" t="s">
        <v>4076</v>
      </c>
      <c r="J1506" s="1186" t="str">
        <f>VLOOKUP($I1506,'Price List, Weapons &amp; Items'!B:C,2,0)</f>
        <v>Heavy weapon</v>
      </c>
      <c r="K1506" s="1186" t="str">
        <f>IF(I1506=".",I1506,VLOOKUP($I1506,'Price List, Weapons &amp; Items'!B:D,3,0))</f>
        <v>Radar or imagery systems</v>
      </c>
      <c r="L1506" s="1187">
        <f>VLOOKUP(I1506,'Price List, Weapons &amp; Items'!B:E,4,0)</f>
        <v>0</v>
      </c>
      <c r="M1506" s="1188">
        <v>2</v>
      </c>
      <c r="N1506" s="1188">
        <v>2</v>
      </c>
      <c r="O1506" s="1188">
        <f>VLOOKUP($I1506,'Price List, Weapons &amp; Items'!B:G,6,0)</f>
        <v>70000000</v>
      </c>
      <c r="P1506" s="1185">
        <f t="shared" si="316"/>
        <v>140000000</v>
      </c>
      <c r="Q1506" s="1185">
        <f t="shared" si="317"/>
        <v>140000000</v>
      </c>
      <c r="R1506" s="1185" t="str">
        <f t="shared" si="313"/>
        <v/>
      </c>
      <c r="S1506" s="1185" t="str">
        <f>IF(AND(AD1506=1,R1506&lt;&gt;".")=TRUE,R1506/VLOOKUP(G1506,'Exchange Rates'!B:C,2,0),IF(R1506=".",".",""))</f>
        <v/>
      </c>
      <c r="T1506" s="1185" t="str">
        <f>IF(AD1506=1,IF(AF1506="Value is not given at all",".",IF(AF1506="Value is given by the source",S1506,IF(AF1506="Value is calculated with prices",(IF(SUMIFS(Q:Q,A:A,A1506)&gt;0,SUMIFS(Q:Q,A:A,A1506),"."))/VLOOKUP("USD",'Exchange Rates'!B:C,2,0),"Error with coding"))),"")</f>
        <v/>
      </c>
      <c r="U1506" s="1184" t="s">
        <v>365</v>
      </c>
      <c r="V1506" s="974" t="s">
        <v>3959</v>
      </c>
      <c r="W1506" s="973" t="s">
        <v>3955</v>
      </c>
      <c r="X1506" s="973" t="s">
        <v>3959</v>
      </c>
      <c r="Y1506" s="973" t="s">
        <v>4075</v>
      </c>
      <c r="Z1506" s="1184">
        <v>0</v>
      </c>
      <c r="AA1506" s="1194">
        <v>0</v>
      </c>
      <c r="AB1506" s="973" t="s">
        <v>4077</v>
      </c>
      <c r="AC1506" s="1192" t="str">
        <f>""</f>
        <v/>
      </c>
      <c r="AD1506" s="985">
        <v>0</v>
      </c>
      <c r="AE1506" s="1302" t="s">
        <v>368</v>
      </c>
      <c r="AF1506" s="1193" t="s">
        <v>368</v>
      </c>
      <c r="AG1506" s="985">
        <v>1</v>
      </c>
      <c r="AH1506" s="985">
        <v>6</v>
      </c>
      <c r="AI1506" s="985">
        <v>0</v>
      </c>
      <c r="AJ1506" s="1193">
        <f>VLOOKUP($I1506,'Price List, Weapons &amp; Items'!B:F,5,0)</f>
        <v>0</v>
      </c>
      <c r="AK1506" s="1193">
        <f t="shared" si="318"/>
        <v>0</v>
      </c>
      <c r="AL1506" s="1193">
        <f t="shared" si="319"/>
        <v>0</v>
      </c>
      <c r="AM1506" s="1193">
        <f t="shared" si="320"/>
        <v>0</v>
      </c>
      <c r="AN1506" s="1194" t="str">
        <f>VLOOKUP($I1506,'Price List, Weapons &amp; Items'!B:L,COLUMN('Price List, Weapons &amp; Items'!$J$11)-1,0)</f>
        <v>Military media (incl. websites)</v>
      </c>
      <c r="AO1506" s="1194" t="str">
        <f>IF(I1506=".",".",VLOOKUP($I1506,'Price List, Weapons &amp; Items'!B:J,3,0))</f>
        <v>Radar or imagery systems</v>
      </c>
      <c r="AP1506" s="1195" t="str">
        <f t="shared" ca="1" si="314"/>
        <v/>
      </c>
      <c r="AQ1506" s="1194">
        <f>VLOOKUP($I1506,'Price List, Weapons &amp; Items'!B:L,COLUMN('Price List, Weapons &amp; Items'!$L$11)-1,0)</f>
        <v>2</v>
      </c>
      <c r="AR1506" s="1194">
        <f t="shared" si="321"/>
        <v>1</v>
      </c>
      <c r="AS1506" s="1194">
        <f t="shared" si="322"/>
        <v>1</v>
      </c>
      <c r="AT1506" s="1194">
        <f t="shared" si="323"/>
        <v>1</v>
      </c>
      <c r="AU1506" s="1194" t="str">
        <f t="shared" si="326"/>
        <v>.</v>
      </c>
      <c r="AV1506" s="1194" t="str">
        <f t="shared" si="315"/>
        <v>.</v>
      </c>
      <c r="AW1506" s="1194" t="str">
        <f t="shared" si="324"/>
        <v>.</v>
      </c>
      <c r="AX1506" s="1194">
        <f>IFERROR(VLOOKUP(B1506,'Share, Heavy Weapons to Ukraine'!B:Z,COLUMN('Share, Heavy Weapons to Ukraine'!C1518)-1,0),0)</f>
        <v>1</v>
      </c>
      <c r="AY1506" s="1194">
        <f>VLOOKUP('Bilateral Assistance, MAIN DATA'!B1506,'Country Summary (€)'!B:F,COLUMN('Country Summary (€)'!C1519)-1,FALSE)</f>
        <v>0</v>
      </c>
      <c r="AZ1506" s="1194" t="str">
        <f>IF(AND(AD1506=1,D1506="Military",H1506&lt;&gt;"Not given")=TRUE,IF(SUMIFS(P:P,A:A,A1506)&gt;0,ABS((SUMIFS(P:P,A:A,A1506)/VLOOKUP("USD",'Exchange Rates'!B:C,2,0)))/S1506,"."),".")</f>
        <v>.</v>
      </c>
      <c r="BA1506" s="1196" t="str">
        <f>IF(AND(AD1506=1,D1506="Military",H1506&lt;&gt;"Not given")=TRUE,IF(SUMIFS(P:P,A:A,A1506)&gt;0,IF((ABS((SUMIFS(P:P,A:A,A1506)/VLOOKUP("USD",'Exchange Rates'!B:C,2,0)))/S1506)&gt;1,(SUMIFS(P:P,A:A,A1506)-S1506)/S1506,(S1506-SUMIFS(P:P,A:A,A1506))/SUMIFS(P:P,A:A,A1506)),"."),".")</f>
        <v>.</v>
      </c>
    </row>
    <row r="1507" spans="1:53" ht="15.95" customHeight="1">
      <c r="A1507" s="1182" t="s">
        <v>3987</v>
      </c>
      <c r="B1507" s="1182" t="s">
        <v>3949</v>
      </c>
      <c r="C1507" s="1181">
        <v>44713</v>
      </c>
      <c r="D1507" s="1182" t="s">
        <v>389</v>
      </c>
      <c r="E1507" s="1182" t="s">
        <v>1676</v>
      </c>
      <c r="F1507" s="1183" t="s">
        <v>4069</v>
      </c>
      <c r="G1507" s="1184" t="s">
        <v>456</v>
      </c>
      <c r="H1507" s="1185">
        <v>700000000</v>
      </c>
      <c r="I1507" s="1266" t="s">
        <v>1314</v>
      </c>
      <c r="J1507" s="1186" t="str">
        <f>VLOOKUP($I1507,'Price List, Weapons &amp; Items'!B:C,2,0)</f>
        <v>Ammunition for portable defence system</v>
      </c>
      <c r="K1507" s="1186" t="str">
        <f>IF(I1507=".",I1507,VLOOKUP($I1507,'Price List, Weapons &amp; Items'!B:D,3,0))</f>
        <v>Light Anti-armor Weapon (LAW) ammunition</v>
      </c>
      <c r="L1507" s="1187">
        <f>VLOOKUP(I1507,'Price List, Weapons &amp; Items'!B:E,4,0)</f>
        <v>0</v>
      </c>
      <c r="M1507" s="1188">
        <v>1000</v>
      </c>
      <c r="N1507" s="1188">
        <v>1000</v>
      </c>
      <c r="O1507" s="1188">
        <f>VLOOKUP($I1507,'Price List, Weapons &amp; Items'!B:G,6,0)</f>
        <v>78000</v>
      </c>
      <c r="P1507" s="1185">
        <f t="shared" si="316"/>
        <v>78000000</v>
      </c>
      <c r="Q1507" s="1185">
        <f t="shared" si="317"/>
        <v>78000000</v>
      </c>
      <c r="R1507" s="1185" t="str">
        <f t="shared" si="313"/>
        <v/>
      </c>
      <c r="S1507" s="1185" t="str">
        <f>IF(AND(AD1507=1,R1507&lt;&gt;".")=TRUE,R1507/VLOOKUP(G1507,'Exchange Rates'!B:C,2,0),IF(R1507=".",".",""))</f>
        <v/>
      </c>
      <c r="T1507" s="1185" t="str">
        <f>IF(AD1507=1,IF(AF1507="Value is not given at all",".",IF(AF1507="Value is given by the source",S1507,IF(AF1507="Value is calculated with prices",(IF(SUMIFS(Q:Q,A:A,A1507)&gt;0,SUMIFS(Q:Q,A:A,A1507),"."))/VLOOKUP("USD",'Exchange Rates'!B:C,2,0),"Error with coding"))),"")</f>
        <v/>
      </c>
      <c r="U1507" s="1184" t="s">
        <v>365</v>
      </c>
      <c r="V1507" s="974" t="s">
        <v>3959</v>
      </c>
      <c r="W1507" s="973" t="s">
        <v>3955</v>
      </c>
      <c r="X1507" s="973" t="s">
        <v>3959</v>
      </c>
      <c r="Y1507" s="973" t="s">
        <v>4077</v>
      </c>
      <c r="Z1507" s="1184">
        <v>0</v>
      </c>
      <c r="AA1507" s="1194">
        <v>0</v>
      </c>
      <c r="AB1507" s="973" t="s">
        <v>4078</v>
      </c>
      <c r="AC1507" s="1192" t="str">
        <f>""</f>
        <v/>
      </c>
      <c r="AD1507" s="985">
        <v>0</v>
      </c>
      <c r="AE1507" s="1302" t="s">
        <v>368</v>
      </c>
      <c r="AF1507" s="1193" t="s">
        <v>368</v>
      </c>
      <c r="AG1507" s="985">
        <v>1</v>
      </c>
      <c r="AH1507" s="985">
        <v>6</v>
      </c>
      <c r="AI1507" s="985">
        <v>0</v>
      </c>
      <c r="AJ1507" s="1193">
        <f>VLOOKUP($I1507,'Price List, Weapons &amp; Items'!B:F,5,0)</f>
        <v>0</v>
      </c>
      <c r="AK1507" s="1193">
        <f t="shared" si="318"/>
        <v>0</v>
      </c>
      <c r="AL1507" s="1193">
        <f t="shared" si="319"/>
        <v>0</v>
      </c>
      <c r="AM1507" s="1193">
        <f t="shared" si="320"/>
        <v>0</v>
      </c>
      <c r="AN1507" s="1194" t="str">
        <f>VLOOKUP($I1507,'Price List, Weapons &amp; Items'!B:L,COLUMN('Price List, Weapons &amp; Items'!$J$11)-1,0)</f>
        <v>Military media (incl. websites)</v>
      </c>
      <c r="AO1507" s="1194" t="str">
        <f>IF(I1507=".",".",VLOOKUP($I1507,'Price List, Weapons &amp; Items'!B:J,3,0))</f>
        <v>Light Anti-armor Weapon (LAW) ammunition</v>
      </c>
      <c r="AP1507" s="1195" t="str">
        <f t="shared" ca="1" si="314"/>
        <v/>
      </c>
      <c r="AQ1507" s="1194">
        <f>VLOOKUP($I1507,'Price List, Weapons &amp; Items'!B:L,COLUMN('Price List, Weapons &amp; Items'!$L$11)-1,0)</f>
        <v>2</v>
      </c>
      <c r="AR1507" s="1194">
        <f t="shared" si="321"/>
        <v>1</v>
      </c>
      <c r="AS1507" s="1194">
        <f t="shared" si="322"/>
        <v>1</v>
      </c>
      <c r="AT1507" s="1194">
        <f t="shared" si="323"/>
        <v>1</v>
      </c>
      <c r="AU1507" s="1194" t="str">
        <f t="shared" si="326"/>
        <v>.</v>
      </c>
      <c r="AV1507" s="1194" t="str">
        <f t="shared" si="315"/>
        <v>.</v>
      </c>
      <c r="AW1507" s="1194" t="str">
        <f t="shared" si="324"/>
        <v>.</v>
      </c>
      <c r="AX1507" s="1194">
        <f>IFERROR(VLOOKUP(B1507,'Share, Heavy Weapons to Ukraine'!B:Z,COLUMN('Share, Heavy Weapons to Ukraine'!C1519)-1,0),0)</f>
        <v>1</v>
      </c>
      <c r="AY1507" s="1194">
        <f>VLOOKUP('Bilateral Assistance, MAIN DATA'!B1507,'Country Summary (€)'!B:F,COLUMN('Country Summary (€)'!C1520)-1,FALSE)</f>
        <v>0</v>
      </c>
      <c r="AZ1507" s="1194" t="str">
        <f>IF(AND(AD1507=1,D1507="Military",H1507&lt;&gt;"Not given")=TRUE,IF(SUMIFS(P:P,A:A,A1507)&gt;0,ABS((SUMIFS(P:P,A:A,A1507)/VLOOKUP("USD",'Exchange Rates'!B:C,2,0)))/S1507,"."),".")</f>
        <v>.</v>
      </c>
      <c r="BA1507" s="1196" t="str">
        <f>IF(AND(AD1507=1,D1507="Military",H1507&lt;&gt;"Not given")=TRUE,IF(SUMIFS(P:P,A:A,A1507)&gt;0,IF((ABS((SUMIFS(P:P,A:A,A1507)/VLOOKUP("USD",'Exchange Rates'!B:C,2,0)))/S1507)&gt;1,(SUMIFS(P:P,A:A,A1507)-S1507)/S1507,(S1507-SUMIFS(P:P,A:A,A1507))/SUMIFS(P:P,A:A,A1507)),"."),".")</f>
        <v>.</v>
      </c>
    </row>
    <row r="1508" spans="1:53" ht="15.95" customHeight="1">
      <c r="A1508" s="1182" t="s">
        <v>3987</v>
      </c>
      <c r="B1508" s="1182" t="s">
        <v>3949</v>
      </c>
      <c r="C1508" s="1181">
        <v>44713</v>
      </c>
      <c r="D1508" s="1182" t="s">
        <v>389</v>
      </c>
      <c r="E1508" s="1182" t="s">
        <v>1676</v>
      </c>
      <c r="F1508" s="1183" t="s">
        <v>4069</v>
      </c>
      <c r="G1508" s="1184" t="s">
        <v>456</v>
      </c>
      <c r="H1508" s="1185">
        <v>700000000</v>
      </c>
      <c r="I1508" s="1266" t="s">
        <v>4079</v>
      </c>
      <c r="J1508" s="1186" t="str">
        <f>VLOOKUP($I1508,'Price List, Weapons &amp; Items'!B:C,2,0)</f>
        <v>Portable defence system</v>
      </c>
      <c r="K1508" s="1186" t="str">
        <f>IF(I1508=".",I1508,VLOOKUP($I1508,'Price List, Weapons &amp; Items'!B:D,3,0))</f>
        <v>Light Anti-armor Weapon (LAW)</v>
      </c>
      <c r="L1508" s="1187">
        <f>VLOOKUP(I1508,'Price List, Weapons &amp; Items'!B:E,4,0)</f>
        <v>0</v>
      </c>
      <c r="M1508" s="1188">
        <v>50</v>
      </c>
      <c r="N1508" s="1188">
        <v>50</v>
      </c>
      <c r="O1508" s="1188">
        <f>VLOOKUP($I1508,'Price List, Weapons &amp; Items'!B:G,6,0)</f>
        <v>178000</v>
      </c>
      <c r="P1508" s="1185">
        <f t="shared" si="316"/>
        <v>8900000</v>
      </c>
      <c r="Q1508" s="1185">
        <f t="shared" si="317"/>
        <v>8900000</v>
      </c>
      <c r="R1508" s="1185" t="str">
        <f t="shared" si="313"/>
        <v/>
      </c>
      <c r="S1508" s="1185" t="str">
        <f>IF(AND(AD1508=1,R1508&lt;&gt;".")=TRUE,R1508/VLOOKUP(G1508,'Exchange Rates'!B:C,2,0),IF(R1508=".",".",""))</f>
        <v/>
      </c>
      <c r="T1508" s="1185" t="str">
        <f>IF(AD1508=1,IF(AF1508="Value is not given at all",".",IF(AF1508="Value is given by the source",S1508,IF(AF1508="Value is calculated with prices",(IF(SUMIFS(Q:Q,A:A,A1508)&gt;0,SUMIFS(Q:Q,A:A,A1508),"."))/VLOOKUP("USD",'Exchange Rates'!B:C,2,0),"Error with coding"))),"")</f>
        <v/>
      </c>
      <c r="U1508" s="1184" t="s">
        <v>365</v>
      </c>
      <c r="V1508" s="974" t="s">
        <v>3959</v>
      </c>
      <c r="W1508" s="973" t="s">
        <v>3955</v>
      </c>
      <c r="X1508" s="973" t="s">
        <v>3959</v>
      </c>
      <c r="Y1508" s="973" t="s">
        <v>4078</v>
      </c>
      <c r="Z1508" s="1184">
        <v>0</v>
      </c>
      <c r="AA1508" s="1194">
        <v>0</v>
      </c>
      <c r="AB1508" s="973" t="s">
        <v>4080</v>
      </c>
      <c r="AC1508" s="1192" t="str">
        <f>""</f>
        <v/>
      </c>
      <c r="AD1508" s="985">
        <v>0</v>
      </c>
      <c r="AE1508" s="1302" t="s">
        <v>368</v>
      </c>
      <c r="AF1508" s="1193" t="s">
        <v>368</v>
      </c>
      <c r="AG1508" s="985">
        <v>1</v>
      </c>
      <c r="AH1508" s="985">
        <v>6</v>
      </c>
      <c r="AI1508" s="985">
        <v>0</v>
      </c>
      <c r="AJ1508" s="1193">
        <f>VLOOKUP($I1508,'Price List, Weapons &amp; Items'!B:F,5,0)</f>
        <v>0</v>
      </c>
      <c r="AK1508" s="1193">
        <f t="shared" si="318"/>
        <v>0</v>
      </c>
      <c r="AL1508" s="1193">
        <f t="shared" si="319"/>
        <v>0</v>
      </c>
      <c r="AM1508" s="1193">
        <f t="shared" si="320"/>
        <v>0</v>
      </c>
      <c r="AN1508" s="1194" t="str">
        <f>VLOOKUP($I1508,'Price List, Weapons &amp; Items'!B:L,COLUMN('Price List, Weapons &amp; Items'!$J$11)-1,0)</f>
        <v>Government information</v>
      </c>
      <c r="AO1508" s="1194" t="str">
        <f>IF(I1508=".",".",VLOOKUP($I1508,'Price List, Weapons &amp; Items'!B:J,3,0))</f>
        <v>Light Anti-armor Weapon (LAW)</v>
      </c>
      <c r="AP1508" s="1195" t="str">
        <f t="shared" ca="1" si="314"/>
        <v/>
      </c>
      <c r="AQ1508" s="1194">
        <f>VLOOKUP($I1508,'Price List, Weapons &amp; Items'!B:L,COLUMN('Price List, Weapons &amp; Items'!$L$11)-1,0)</f>
        <v>2</v>
      </c>
      <c r="AR1508" s="1194">
        <f t="shared" si="321"/>
        <v>1</v>
      </c>
      <c r="AS1508" s="1194">
        <f t="shared" si="322"/>
        <v>1</v>
      </c>
      <c r="AT1508" s="1194">
        <f t="shared" si="323"/>
        <v>1</v>
      </c>
      <c r="AU1508" s="1194" t="str">
        <f t="shared" si="326"/>
        <v>.</v>
      </c>
      <c r="AV1508" s="1194" t="str">
        <f t="shared" si="315"/>
        <v>.</v>
      </c>
      <c r="AW1508" s="1194" t="str">
        <f t="shared" si="324"/>
        <v>.</v>
      </c>
      <c r="AX1508" s="1194">
        <f>IFERROR(VLOOKUP(B1508,'Share, Heavy Weapons to Ukraine'!B:Z,COLUMN('Share, Heavy Weapons to Ukraine'!C1520)-1,0),0)</f>
        <v>1</v>
      </c>
      <c r="AY1508" s="1194">
        <f>VLOOKUP('Bilateral Assistance, MAIN DATA'!B1508,'Country Summary (€)'!B:F,COLUMN('Country Summary (€)'!C1521)-1,FALSE)</f>
        <v>0</v>
      </c>
      <c r="AZ1508" s="1194" t="str">
        <f>IF(AND(AD1508=1,D1508="Military",H1508&lt;&gt;"Not given")=TRUE,IF(SUMIFS(P:P,A:A,A1508)&gt;0,ABS((SUMIFS(P:P,A:A,A1508)/VLOOKUP("USD",'Exchange Rates'!B:C,2,0)))/S1508,"."),".")</f>
        <v>.</v>
      </c>
      <c r="BA1508" s="1196" t="str">
        <f>IF(AND(AD1508=1,D1508="Military",H1508&lt;&gt;"Not given")=TRUE,IF(SUMIFS(P:P,A:A,A1508)&gt;0,IF((ABS((SUMIFS(P:P,A:A,A1508)/VLOOKUP("USD",'Exchange Rates'!B:C,2,0)))/S1508)&gt;1,(SUMIFS(P:P,A:A,A1508)-S1508)/S1508,(S1508-SUMIFS(P:P,A:A,A1508))/SUMIFS(P:P,A:A,A1508)),"."),".")</f>
        <v>.</v>
      </c>
    </row>
    <row r="1509" spans="1:53" ht="15.95" customHeight="1">
      <c r="A1509" s="1182" t="s">
        <v>3987</v>
      </c>
      <c r="B1509" s="1182" t="s">
        <v>3949</v>
      </c>
      <c r="C1509" s="1181">
        <v>44713</v>
      </c>
      <c r="D1509" s="1182" t="s">
        <v>389</v>
      </c>
      <c r="E1509" s="1182" t="s">
        <v>1676</v>
      </c>
      <c r="F1509" s="1183" t="s">
        <v>4069</v>
      </c>
      <c r="G1509" s="1184" t="s">
        <v>456</v>
      </c>
      <c r="H1509" s="1185">
        <v>700000000</v>
      </c>
      <c r="I1509" s="1266" t="s">
        <v>4081</v>
      </c>
      <c r="J1509" s="1186" t="str">
        <f>VLOOKUP($I1509,'Price List, Weapons &amp; Items'!B:C,2,0)</f>
        <v>Portable defence system</v>
      </c>
      <c r="K1509" s="1186" t="str">
        <f>IF(I1509=".",I1509,VLOOKUP($I1509,'Price List, Weapons &amp; Items'!B:D,3,0))</f>
        <v>Light Anti-armor Weapon (LAW)</v>
      </c>
      <c r="L1509" s="1187">
        <f>VLOOKUP(I1509,'Price List, Weapons &amp; Items'!B:E,4,0)</f>
        <v>0</v>
      </c>
      <c r="M1509" s="1188">
        <v>6000</v>
      </c>
      <c r="N1509" s="1188">
        <v>6000</v>
      </c>
      <c r="O1509" s="1188">
        <f>VLOOKUP($I1509,'Price List, Weapons &amp; Items'!B:G,6,0)</f>
        <v>3873.65</v>
      </c>
      <c r="P1509" s="1185">
        <f t="shared" si="316"/>
        <v>23241900</v>
      </c>
      <c r="Q1509" s="1185">
        <f t="shared" si="317"/>
        <v>23241900</v>
      </c>
      <c r="R1509" s="1185" t="str">
        <f t="shared" si="313"/>
        <v/>
      </c>
      <c r="S1509" s="1185" t="str">
        <f>IF(AND(AD1509=1,R1509&lt;&gt;".")=TRUE,R1509/VLOOKUP(G1509,'Exchange Rates'!B:C,2,0),IF(R1509=".",".",""))</f>
        <v/>
      </c>
      <c r="T1509" s="1185" t="str">
        <f>IF(AD1509=1,IF(AF1509="Value is not given at all",".",IF(AF1509="Value is given by the source",S1509,IF(AF1509="Value is calculated with prices",(IF(SUMIFS(Q:Q,A:A,A1509)&gt;0,SUMIFS(Q:Q,A:A,A1509),"."))/VLOOKUP("USD",'Exchange Rates'!B:C,2,0),"Error with coding"))),"")</f>
        <v/>
      </c>
      <c r="U1509" s="1184" t="s">
        <v>365</v>
      </c>
      <c r="V1509" s="974" t="s">
        <v>3959</v>
      </c>
      <c r="W1509" s="973" t="s">
        <v>3955</v>
      </c>
      <c r="X1509" s="973" t="s">
        <v>3959</v>
      </c>
      <c r="Y1509" s="973" t="s">
        <v>4080</v>
      </c>
      <c r="Z1509" s="1184">
        <v>0</v>
      </c>
      <c r="AA1509" s="1194">
        <v>0</v>
      </c>
      <c r="AB1509" s="973" t="s">
        <v>4082</v>
      </c>
      <c r="AC1509" s="1192" t="str">
        <f>""</f>
        <v/>
      </c>
      <c r="AD1509" s="985">
        <v>0</v>
      </c>
      <c r="AE1509" s="1302" t="s">
        <v>368</v>
      </c>
      <c r="AF1509" s="1193" t="s">
        <v>368</v>
      </c>
      <c r="AG1509" s="985">
        <v>1</v>
      </c>
      <c r="AH1509" s="985">
        <v>6</v>
      </c>
      <c r="AI1509" s="985">
        <v>0</v>
      </c>
      <c r="AJ1509" s="1193">
        <f>VLOOKUP($I1509,'Price List, Weapons &amp; Items'!B:F,5,0)</f>
        <v>0</v>
      </c>
      <c r="AK1509" s="1193">
        <f t="shared" si="318"/>
        <v>0</v>
      </c>
      <c r="AL1509" s="1193">
        <f t="shared" si="319"/>
        <v>0</v>
      </c>
      <c r="AM1509" s="1193">
        <f t="shared" si="320"/>
        <v>0</v>
      </c>
      <c r="AN1509" s="1194" t="str">
        <f>VLOOKUP($I1509,'Price List, Weapons &amp; Items'!B:L,COLUMN('Price List, Weapons &amp; Items'!$J$11)-1,0)</f>
        <v>Military media (incl. websites)</v>
      </c>
      <c r="AO1509" s="1194" t="str">
        <f>IF(I1509=".",".",VLOOKUP($I1509,'Price List, Weapons &amp; Items'!B:J,3,0))</f>
        <v>Light Anti-armor Weapon (LAW)</v>
      </c>
      <c r="AP1509" s="1195" t="str">
        <f t="shared" ca="1" si="314"/>
        <v/>
      </c>
      <c r="AQ1509" s="1194">
        <f>VLOOKUP($I1509,'Price List, Weapons &amp; Items'!B:L,COLUMN('Price List, Weapons &amp; Items'!$L$11)-1,0)</f>
        <v>2</v>
      </c>
      <c r="AR1509" s="1194">
        <f t="shared" si="321"/>
        <v>1</v>
      </c>
      <c r="AS1509" s="1194">
        <f t="shared" si="322"/>
        <v>1</v>
      </c>
      <c r="AT1509" s="1194">
        <f t="shared" si="323"/>
        <v>1</v>
      </c>
      <c r="AU1509" s="1194" t="str">
        <f t="shared" si="326"/>
        <v>.</v>
      </c>
      <c r="AV1509" s="1194" t="str">
        <f t="shared" si="315"/>
        <v>.</v>
      </c>
      <c r="AW1509" s="1194" t="str">
        <f t="shared" si="324"/>
        <v>.</v>
      </c>
      <c r="AX1509" s="1194">
        <f>IFERROR(VLOOKUP(B1509,'Share, Heavy Weapons to Ukraine'!B:Z,COLUMN('Share, Heavy Weapons to Ukraine'!C1521)-1,0),0)</f>
        <v>1</v>
      </c>
      <c r="AY1509" s="1194">
        <f>VLOOKUP('Bilateral Assistance, MAIN DATA'!B1509,'Country Summary (€)'!B:F,COLUMN('Country Summary (€)'!C1522)-1,FALSE)</f>
        <v>0</v>
      </c>
      <c r="AZ1509" s="1194" t="str">
        <f>IF(AND(AD1509=1,D1509="Military",H1509&lt;&gt;"Not given")=TRUE,IF(SUMIFS(P:P,A:A,A1509)&gt;0,ABS((SUMIFS(P:P,A:A,A1509)/VLOOKUP("USD",'Exchange Rates'!B:C,2,0)))/S1509,"."),".")</f>
        <v>.</v>
      </c>
      <c r="BA1509" s="1196" t="str">
        <f>IF(AND(AD1509=1,D1509="Military",H1509&lt;&gt;"Not given")=TRUE,IF(SUMIFS(P:P,A:A,A1509)&gt;0,IF((ABS((SUMIFS(P:P,A:A,A1509)/VLOOKUP("USD",'Exchange Rates'!B:C,2,0)))/S1509)&gt;1,(SUMIFS(P:P,A:A,A1509)-S1509)/S1509,(S1509-SUMIFS(P:P,A:A,A1509))/SUMIFS(P:P,A:A,A1509)),"."),".")</f>
        <v>.</v>
      </c>
    </row>
    <row r="1510" spans="1:53" ht="15.95" customHeight="1">
      <c r="A1510" s="1182" t="s">
        <v>3987</v>
      </c>
      <c r="B1510" s="1182" t="s">
        <v>3949</v>
      </c>
      <c r="C1510" s="1181">
        <v>44713</v>
      </c>
      <c r="D1510" s="1182" t="s">
        <v>389</v>
      </c>
      <c r="E1510" s="1182" t="s">
        <v>1676</v>
      </c>
      <c r="F1510" s="1183" t="s">
        <v>4069</v>
      </c>
      <c r="G1510" s="1184" t="s">
        <v>456</v>
      </c>
      <c r="H1510" s="1185">
        <v>700000000</v>
      </c>
      <c r="I1510" s="1266" t="s">
        <v>856</v>
      </c>
      <c r="J1510" s="1186" t="str">
        <f>VLOOKUP($I1510,'Price List, Weapons &amp; Items'!B:C,2,0)</f>
        <v>Ammunition for heavy weapon</v>
      </c>
      <c r="K1510" s="1186" t="str">
        <f>IF(I1510=".",I1510,VLOOKUP($I1510,'Price List, Weapons &amp; Items'!B:D,3,0))</f>
        <v>155mm howitzer ammunition</v>
      </c>
      <c r="L1510" s="1187">
        <f>VLOOKUP(I1510,'Price List, Weapons &amp; Items'!B:E,4,0)</f>
        <v>0</v>
      </c>
      <c r="M1510" s="1188">
        <v>15000</v>
      </c>
      <c r="N1510" s="1188">
        <v>15000</v>
      </c>
      <c r="O1510" s="1188">
        <f>VLOOKUP($I1510,'Price List, Weapons &amp; Items'!B:G,6,0)</f>
        <v>3800</v>
      </c>
      <c r="P1510" s="1185">
        <f t="shared" si="316"/>
        <v>57000000</v>
      </c>
      <c r="Q1510" s="1185">
        <f t="shared" si="317"/>
        <v>57000000</v>
      </c>
      <c r="R1510" s="1185" t="str">
        <f t="shared" si="313"/>
        <v/>
      </c>
      <c r="S1510" s="1185" t="str">
        <f>IF(AND(AD1510=1,R1510&lt;&gt;".")=TRUE,R1510/VLOOKUP(G1510,'Exchange Rates'!B:C,2,0),IF(R1510=".",".",""))</f>
        <v/>
      </c>
      <c r="T1510" s="1185" t="str">
        <f>IF(AD1510=1,IF(AF1510="Value is not given at all",".",IF(AF1510="Value is given by the source",S1510,IF(AF1510="Value is calculated with prices",(IF(SUMIFS(Q:Q,A:A,A1510)&gt;0,SUMIFS(Q:Q,A:A,A1510),"."))/VLOOKUP("USD",'Exchange Rates'!B:C,2,0),"Error with coding"))),"")</f>
        <v/>
      </c>
      <c r="U1510" s="1184" t="s">
        <v>365</v>
      </c>
      <c r="V1510" s="974" t="s">
        <v>3959</v>
      </c>
      <c r="W1510" s="973" t="s">
        <v>3955</v>
      </c>
      <c r="X1510" s="973" t="s">
        <v>3959</v>
      </c>
      <c r="Y1510" s="973" t="s">
        <v>4082</v>
      </c>
      <c r="Z1510" s="1184">
        <v>0</v>
      </c>
      <c r="AA1510" s="1194">
        <v>0</v>
      </c>
      <c r="AB1510" s="973" t="s">
        <v>4083</v>
      </c>
      <c r="AC1510" s="1192" t="str">
        <f>""</f>
        <v/>
      </c>
      <c r="AD1510" s="985">
        <v>0</v>
      </c>
      <c r="AE1510" s="1302" t="s">
        <v>368</v>
      </c>
      <c r="AF1510" s="1193" t="s">
        <v>368</v>
      </c>
      <c r="AG1510" s="985">
        <v>1</v>
      </c>
      <c r="AH1510" s="985">
        <v>6</v>
      </c>
      <c r="AI1510" s="985">
        <v>0</v>
      </c>
      <c r="AJ1510" s="1193">
        <f>VLOOKUP($I1510,'Price List, Weapons &amp; Items'!B:F,5,0)</f>
        <v>1</v>
      </c>
      <c r="AK1510" s="1193">
        <f t="shared" si="318"/>
        <v>0</v>
      </c>
      <c r="AL1510" s="1193">
        <f t="shared" si="319"/>
        <v>0</v>
      </c>
      <c r="AM1510" s="1193">
        <f t="shared" si="320"/>
        <v>0</v>
      </c>
      <c r="AN1510" s="1194" t="str">
        <f>VLOOKUP($I1510,'Price List, Weapons &amp; Items'!B:L,COLUMN('Price List, Weapons &amp; Items'!$J$11)-1,0)</f>
        <v>Government information</v>
      </c>
      <c r="AO1510" s="1194" t="str">
        <f>IF(I1510=".",".",VLOOKUP($I1510,'Price List, Weapons &amp; Items'!B:J,3,0))</f>
        <v>155mm howitzer ammunition</v>
      </c>
      <c r="AP1510" s="1195" t="str">
        <f t="shared" ca="1" si="314"/>
        <v/>
      </c>
      <c r="AQ1510" s="1194">
        <f>VLOOKUP($I1510,'Price List, Weapons &amp; Items'!B:L,COLUMN('Price List, Weapons &amp; Items'!$L$11)-1,0)</f>
        <v>2</v>
      </c>
      <c r="AR1510" s="1194">
        <f t="shared" si="321"/>
        <v>1</v>
      </c>
      <c r="AS1510" s="1194">
        <f t="shared" si="322"/>
        <v>1</v>
      </c>
      <c r="AT1510" s="1194">
        <f t="shared" si="323"/>
        <v>1</v>
      </c>
      <c r="AU1510" s="1194" t="str">
        <f t="shared" si="326"/>
        <v>.</v>
      </c>
      <c r="AV1510" s="1194" t="str">
        <f t="shared" si="315"/>
        <v>.</v>
      </c>
      <c r="AW1510" s="1194" t="str">
        <f t="shared" si="324"/>
        <v>.</v>
      </c>
      <c r="AX1510" s="1194">
        <f>IFERROR(VLOOKUP(B1510,'Share, Heavy Weapons to Ukraine'!B:Z,COLUMN('Share, Heavy Weapons to Ukraine'!C1522)-1,0),0)</f>
        <v>1</v>
      </c>
      <c r="AY1510" s="1194">
        <f>VLOOKUP('Bilateral Assistance, MAIN DATA'!B1510,'Country Summary (€)'!B:F,COLUMN('Country Summary (€)'!C1523)-1,FALSE)</f>
        <v>0</v>
      </c>
      <c r="AZ1510" s="1194" t="str">
        <f>IF(AND(AD1510=1,D1510="Military",H1510&lt;&gt;"Not given")=TRUE,IF(SUMIFS(P:P,A:A,A1510)&gt;0,ABS((SUMIFS(P:P,A:A,A1510)/VLOOKUP("USD",'Exchange Rates'!B:C,2,0)))/S1510,"."),".")</f>
        <v>.</v>
      </c>
      <c r="BA1510" s="1196" t="str">
        <f>IF(AND(AD1510=1,D1510="Military",H1510&lt;&gt;"Not given")=TRUE,IF(SUMIFS(P:P,A:A,A1510)&gt;0,IF((ABS((SUMIFS(P:P,A:A,A1510)/VLOOKUP("USD",'Exchange Rates'!B:C,2,0)))/S1510)&gt;1,(SUMIFS(P:P,A:A,A1510)-S1510)/S1510,(S1510-SUMIFS(P:P,A:A,A1510))/SUMIFS(P:P,A:A,A1510)),"."),".")</f>
        <v>.</v>
      </c>
    </row>
    <row r="1511" spans="1:53" ht="15.95" customHeight="1">
      <c r="A1511" s="1182" t="s">
        <v>3987</v>
      </c>
      <c r="B1511" s="1182" t="s">
        <v>3949</v>
      </c>
      <c r="C1511" s="1181">
        <v>44713</v>
      </c>
      <c r="D1511" s="1182" t="s">
        <v>389</v>
      </c>
      <c r="E1511" s="1182" t="s">
        <v>1676</v>
      </c>
      <c r="F1511" s="1183" t="s">
        <v>4069</v>
      </c>
      <c r="G1511" s="1184" t="s">
        <v>456</v>
      </c>
      <c r="H1511" s="1185">
        <v>700000000</v>
      </c>
      <c r="I1511" s="1266" t="s">
        <v>2458</v>
      </c>
      <c r="J1511" s="1186" t="str">
        <f>VLOOKUP($I1511,'Price List, Weapons &amp; Items'!B:C,2,0)</f>
        <v>Heavy weapon</v>
      </c>
      <c r="K1511" s="1186" t="str">
        <f>IF(I1511=".",I1511,VLOOKUP($I1511,'Price List, Weapons &amp; Items'!B:D,3,0))</f>
        <v>Combat aircraft</v>
      </c>
      <c r="L1511" s="1187">
        <f>VLOOKUP(I1511,'Price List, Weapons &amp; Items'!B:E,4,0)</f>
        <v>1</v>
      </c>
      <c r="M1511" s="1188">
        <v>4</v>
      </c>
      <c r="N1511" s="1188">
        <v>4</v>
      </c>
      <c r="O1511" s="1188">
        <f>VLOOKUP($I1511,'Price List, Weapons &amp; Items'!B:G,6,0)</f>
        <v>18400000</v>
      </c>
      <c r="P1511" s="1185">
        <f t="shared" si="316"/>
        <v>73600000</v>
      </c>
      <c r="Q1511" s="1185">
        <f t="shared" si="317"/>
        <v>73600000</v>
      </c>
      <c r="R1511" s="1185" t="str">
        <f t="shared" si="313"/>
        <v/>
      </c>
      <c r="S1511" s="1185" t="str">
        <f>IF(AND(AD1511=1,R1511&lt;&gt;".")=TRUE,R1511/VLOOKUP(G1511,'Exchange Rates'!B:C,2,0),IF(R1511=".",".",""))</f>
        <v/>
      </c>
      <c r="T1511" s="1185" t="str">
        <f>IF(AD1511=1,IF(AF1511="Value is not given at all",".",IF(AF1511="Value is given by the source",S1511,IF(AF1511="Value is calculated with prices",(IF(SUMIFS(Q:Q,A:A,A1511)&gt;0,SUMIFS(Q:Q,A:A,A1511),"."))/VLOOKUP("USD",'Exchange Rates'!B:C,2,0),"Error with coding"))),"")</f>
        <v/>
      </c>
      <c r="U1511" s="1184" t="s">
        <v>365</v>
      </c>
      <c r="V1511" s="974" t="s">
        <v>3959</v>
      </c>
      <c r="W1511" s="973" t="s">
        <v>3955</v>
      </c>
      <c r="X1511" s="973" t="s">
        <v>3959</v>
      </c>
      <c r="Y1511" s="973" t="s">
        <v>4083</v>
      </c>
      <c r="Z1511" s="1184">
        <v>0</v>
      </c>
      <c r="AA1511" s="1194">
        <v>0</v>
      </c>
      <c r="AB1511" s="973" t="s">
        <v>4084</v>
      </c>
      <c r="AC1511" s="1192" t="str">
        <f>""</f>
        <v/>
      </c>
      <c r="AD1511" s="985">
        <v>0</v>
      </c>
      <c r="AE1511" s="1302" t="s">
        <v>368</v>
      </c>
      <c r="AF1511" s="1193" t="s">
        <v>368</v>
      </c>
      <c r="AG1511" s="985">
        <v>1</v>
      </c>
      <c r="AH1511" s="985">
        <v>6</v>
      </c>
      <c r="AI1511" s="985">
        <v>0</v>
      </c>
      <c r="AJ1511" s="1193">
        <f>VLOOKUP($I1511,'Price List, Weapons &amp; Items'!B:F,5,0)</f>
        <v>0</v>
      </c>
      <c r="AK1511" s="1193">
        <f t="shared" si="318"/>
        <v>0</v>
      </c>
      <c r="AL1511" s="1193">
        <f t="shared" si="319"/>
        <v>0</v>
      </c>
      <c r="AM1511" s="1193">
        <f t="shared" si="320"/>
        <v>0</v>
      </c>
      <c r="AN1511" s="1194" t="str">
        <f>VLOOKUP($I1511,'Price List, Weapons &amp; Items'!B:L,COLUMN('Price List, Weapons &amp; Items'!$J$11)-1,0)</f>
        <v>Media reports (incl. social media)</v>
      </c>
      <c r="AO1511" s="1194" t="str">
        <f>IF(I1511=".",".",VLOOKUP($I1511,'Price List, Weapons &amp; Items'!B:J,3,0))</f>
        <v>Combat aircraft</v>
      </c>
      <c r="AP1511" s="1195" t="str">
        <f t="shared" ca="1" si="314"/>
        <v/>
      </c>
      <c r="AQ1511" s="1194">
        <f>VLOOKUP($I1511,'Price List, Weapons &amp; Items'!B:L,COLUMN('Price List, Weapons &amp; Items'!$L$11)-1,0)</f>
        <v>2</v>
      </c>
      <c r="AR1511" s="1194">
        <f t="shared" si="321"/>
        <v>1</v>
      </c>
      <c r="AS1511" s="1194">
        <f t="shared" si="322"/>
        <v>1</v>
      </c>
      <c r="AT1511" s="1194">
        <f t="shared" si="323"/>
        <v>1</v>
      </c>
      <c r="AU1511" s="1194" t="str">
        <f t="shared" si="326"/>
        <v>.</v>
      </c>
      <c r="AV1511" s="1194" t="str">
        <f t="shared" si="315"/>
        <v>.</v>
      </c>
      <c r="AW1511" s="1194" t="str">
        <f t="shared" si="324"/>
        <v>.</v>
      </c>
      <c r="AX1511" s="1194">
        <f>IFERROR(VLOOKUP(B1511,'Share, Heavy Weapons to Ukraine'!B:Z,COLUMN('Share, Heavy Weapons to Ukraine'!C1523)-1,0),0)</f>
        <v>1</v>
      </c>
      <c r="AY1511" s="1194">
        <f>VLOOKUP('Bilateral Assistance, MAIN DATA'!B1511,'Country Summary (€)'!B:F,COLUMN('Country Summary (€)'!C1524)-1,FALSE)</f>
        <v>0</v>
      </c>
      <c r="AZ1511" s="1194" t="str">
        <f>IF(AND(AD1511=1,D1511="Military",H1511&lt;&gt;"Not given")=TRUE,IF(SUMIFS(P:P,A:A,A1511)&gt;0,ABS((SUMIFS(P:P,A:A,A1511)/VLOOKUP("USD",'Exchange Rates'!B:C,2,0)))/S1511,"."),".")</f>
        <v>.</v>
      </c>
      <c r="BA1511" s="1196" t="str">
        <f>IF(AND(AD1511=1,D1511="Military",H1511&lt;&gt;"Not given")=TRUE,IF(SUMIFS(P:P,A:A,A1511)&gt;0,IF((ABS((SUMIFS(P:P,A:A,A1511)/VLOOKUP("USD",'Exchange Rates'!B:C,2,0)))/S1511)&gt;1,(SUMIFS(P:P,A:A,A1511)-S1511)/S1511,(S1511-SUMIFS(P:P,A:A,A1511))/SUMIFS(P:P,A:A,A1511)),"."),".")</f>
        <v>.</v>
      </c>
    </row>
    <row r="1512" spans="1:53" ht="15.95" customHeight="1">
      <c r="A1512" s="1182" t="s">
        <v>3987</v>
      </c>
      <c r="B1512" s="1182" t="s">
        <v>3949</v>
      </c>
      <c r="C1512" s="1181">
        <v>44713</v>
      </c>
      <c r="D1512" s="1182" t="s">
        <v>389</v>
      </c>
      <c r="E1512" s="1182" t="s">
        <v>1676</v>
      </c>
      <c r="F1512" s="1183" t="s">
        <v>4069</v>
      </c>
      <c r="G1512" s="1184" t="s">
        <v>456</v>
      </c>
      <c r="H1512" s="1185">
        <v>700000000</v>
      </c>
      <c r="I1512" s="1266" t="s">
        <v>4085</v>
      </c>
      <c r="J1512" s="1186" t="str">
        <f>VLOOKUP($I1512,'Price List, Weapons &amp; Items'!B:C,2,0)</f>
        <v>Military equipment</v>
      </c>
      <c r="K1512" s="1186" t="str">
        <f>IF(I1512=".",I1512,VLOOKUP($I1512,'Price List, Weapons &amp; Items'!B:D,3,0))</f>
        <v>Military equipment</v>
      </c>
      <c r="L1512" s="1187">
        <f>VLOOKUP(I1512,'Price List, Weapons &amp; Items'!B:E,4,0)</f>
        <v>0</v>
      </c>
      <c r="M1512" s="1188">
        <v>15</v>
      </c>
      <c r="N1512" s="1188">
        <v>15</v>
      </c>
      <c r="O1512" s="1188">
        <f>VLOOKUP($I1512,'Price List, Weapons &amp; Items'!B:G,6,0)</f>
        <v>350000</v>
      </c>
      <c r="P1512" s="1185">
        <f t="shared" si="316"/>
        <v>5250000</v>
      </c>
      <c r="Q1512" s="1185">
        <f t="shared" si="317"/>
        <v>5250000</v>
      </c>
      <c r="R1512" s="1185" t="str">
        <f t="shared" si="313"/>
        <v/>
      </c>
      <c r="S1512" s="1185" t="str">
        <f>IF(AND(AD1512=1,R1512&lt;&gt;".")=TRUE,R1512/VLOOKUP(G1512,'Exchange Rates'!B:C,2,0),IF(R1512=".",".",""))</f>
        <v/>
      </c>
      <c r="T1512" s="1185" t="str">
        <f>IF(AD1512=1,IF(AF1512="Value is not given at all",".",IF(AF1512="Value is given by the source",S1512,IF(AF1512="Value is calculated with prices",(IF(SUMIFS(Q:Q,A:A,A1512)&gt;0,SUMIFS(Q:Q,A:A,A1512),"."))/VLOOKUP("USD",'Exchange Rates'!B:C,2,0),"Error with coding"))),"")</f>
        <v/>
      </c>
      <c r="U1512" s="1184" t="s">
        <v>365</v>
      </c>
      <c r="V1512" s="974" t="s">
        <v>3959</v>
      </c>
      <c r="W1512" s="973" t="s">
        <v>3955</v>
      </c>
      <c r="X1512" s="973" t="s">
        <v>3959</v>
      </c>
      <c r="Y1512" s="973" t="s">
        <v>4084</v>
      </c>
      <c r="Z1512" s="1184">
        <v>0</v>
      </c>
      <c r="AA1512" s="1194">
        <v>0</v>
      </c>
      <c r="AB1512" s="973" t="s">
        <v>4086</v>
      </c>
      <c r="AC1512" s="1192" t="str">
        <f>""</f>
        <v/>
      </c>
      <c r="AD1512" s="985">
        <v>0</v>
      </c>
      <c r="AE1512" s="1302" t="s">
        <v>368</v>
      </c>
      <c r="AF1512" s="1193" t="s">
        <v>368</v>
      </c>
      <c r="AG1512" s="985">
        <v>1</v>
      </c>
      <c r="AH1512" s="985">
        <v>6</v>
      </c>
      <c r="AI1512" s="985">
        <v>0</v>
      </c>
      <c r="AJ1512" s="1193">
        <f>VLOOKUP($I1512,'Price List, Weapons &amp; Items'!B:F,5,0)</f>
        <v>0</v>
      </c>
      <c r="AK1512" s="1193">
        <f t="shared" si="318"/>
        <v>0</v>
      </c>
      <c r="AL1512" s="1193">
        <f t="shared" si="319"/>
        <v>0</v>
      </c>
      <c r="AM1512" s="1193">
        <f t="shared" si="320"/>
        <v>0</v>
      </c>
      <c r="AN1512" s="1194" t="str">
        <f>VLOOKUP($I1512,'Price List, Weapons &amp; Items'!B:L,COLUMN('Price List, Weapons &amp; Items'!$J$11)-1,0)</f>
        <v>Media reports (incl. social media)</v>
      </c>
      <c r="AO1512" s="1194" t="str">
        <f>IF(I1512=".",".",VLOOKUP($I1512,'Price List, Weapons &amp; Items'!B:J,3,0))</f>
        <v>Military equipment</v>
      </c>
      <c r="AP1512" s="1195" t="str">
        <f t="shared" ca="1" si="314"/>
        <v/>
      </c>
      <c r="AQ1512" s="1194">
        <f>VLOOKUP($I1512,'Price List, Weapons &amp; Items'!B:L,COLUMN('Price List, Weapons &amp; Items'!$L$11)-1,0)</f>
        <v>2</v>
      </c>
      <c r="AR1512" s="1194">
        <f t="shared" si="321"/>
        <v>1</v>
      </c>
      <c r="AS1512" s="1194">
        <f t="shared" si="322"/>
        <v>1</v>
      </c>
      <c r="AT1512" s="1194">
        <f t="shared" si="323"/>
        <v>1</v>
      </c>
      <c r="AU1512" s="1194" t="str">
        <f t="shared" si="326"/>
        <v>.</v>
      </c>
      <c r="AV1512" s="1194" t="str">
        <f t="shared" si="315"/>
        <v>.</v>
      </c>
      <c r="AW1512" s="1194" t="str">
        <f t="shared" si="324"/>
        <v>.</v>
      </c>
      <c r="AX1512" s="1194">
        <f>IFERROR(VLOOKUP(B1512,'Share, Heavy Weapons to Ukraine'!B:Z,COLUMN('Share, Heavy Weapons to Ukraine'!C1524)-1,0),0)</f>
        <v>1</v>
      </c>
      <c r="AY1512" s="1194">
        <f>VLOOKUP('Bilateral Assistance, MAIN DATA'!B1512,'Country Summary (€)'!B:F,COLUMN('Country Summary (€)'!C1525)-1,FALSE)</f>
        <v>0</v>
      </c>
      <c r="AZ1512" s="1194" t="str">
        <f>IF(AND(AD1512=1,D1512="Military",H1512&lt;&gt;"Not given")=TRUE,IF(SUMIFS(P:P,A:A,A1512)&gt;0,ABS((SUMIFS(P:P,A:A,A1512)/VLOOKUP("USD",'Exchange Rates'!B:C,2,0)))/S1512,"."),".")</f>
        <v>.</v>
      </c>
      <c r="BA1512" s="1196" t="str">
        <f>IF(AND(AD1512=1,D1512="Military",H1512&lt;&gt;"Not given")=TRUE,IF(SUMIFS(P:P,A:A,A1512)&gt;0,IF((ABS((SUMIFS(P:P,A:A,A1512)/VLOOKUP("USD",'Exchange Rates'!B:C,2,0)))/S1512)&gt;1,(SUMIFS(P:P,A:A,A1512)-S1512)/S1512,(S1512-SUMIFS(P:P,A:A,A1512))/SUMIFS(P:P,A:A,A1512)),"."),".")</f>
        <v>.</v>
      </c>
    </row>
    <row r="1513" spans="1:53" ht="15.95" customHeight="1">
      <c r="A1513" s="1182" t="s">
        <v>3987</v>
      </c>
      <c r="B1513" s="1182" t="s">
        <v>3949</v>
      </c>
      <c r="C1513" s="1181">
        <v>44713</v>
      </c>
      <c r="D1513" s="1182" t="s">
        <v>389</v>
      </c>
      <c r="E1513" s="1182" t="s">
        <v>1676</v>
      </c>
      <c r="F1513" s="1183" t="s">
        <v>4069</v>
      </c>
      <c r="G1513" s="1184" t="s">
        <v>456</v>
      </c>
      <c r="H1513" s="1185">
        <v>700000000</v>
      </c>
      <c r="I1513" s="1266" t="s">
        <v>632</v>
      </c>
      <c r="J1513" s="1186" t="str">
        <f>VLOOKUP($I1513,'Price List, Weapons &amp; Items'!B:C,2,0)</f>
        <v>Military equipment</v>
      </c>
      <c r="K1513" s="1186" t="str">
        <f>IF(I1513=".",I1513,VLOOKUP($I1513,'Price List, Weapons &amp; Items'!B:D,3,0))</f>
        <v>spare parts</v>
      </c>
      <c r="L1513" s="1187">
        <f>VLOOKUP(I1513,'Price List, Weapons &amp; Items'!B:E,4,0)</f>
        <v>0</v>
      </c>
      <c r="M1513" s="1188" t="s">
        <v>374</v>
      </c>
      <c r="N1513" s="1188" t="s">
        <v>374</v>
      </c>
      <c r="O1513" s="1188" t="str">
        <f>VLOOKUP($I1513,'Price List, Weapons &amp; Items'!B:G,6,0)</f>
        <v>.</v>
      </c>
      <c r="P1513" s="1185" t="str">
        <f t="shared" si="316"/>
        <v>.</v>
      </c>
      <c r="Q1513" s="1185" t="str">
        <f t="shared" si="317"/>
        <v>.</v>
      </c>
      <c r="R1513" s="1185" t="str">
        <f t="shared" si="313"/>
        <v/>
      </c>
      <c r="S1513" s="1185" t="str">
        <f>IF(AND(AD1513=1,R1513&lt;&gt;".")=TRUE,R1513/VLOOKUP(G1513,'Exchange Rates'!B:C,2,0),IF(R1513=".",".",""))</f>
        <v/>
      </c>
      <c r="T1513" s="1185" t="str">
        <f>IF(AD1513=1,IF(AF1513="Value is not given at all",".",IF(AF1513="Value is given by the source",S1513,IF(AF1513="Value is calculated with prices",(IF(SUMIFS(Q:Q,A:A,A1513)&gt;0,SUMIFS(Q:Q,A:A,A1513),"."))/VLOOKUP("USD",'Exchange Rates'!B:C,2,0),"Error with coding"))),"")</f>
        <v/>
      </c>
      <c r="U1513" s="1184" t="s">
        <v>365</v>
      </c>
      <c r="V1513" s="974" t="s">
        <v>3959</v>
      </c>
      <c r="W1513" s="973" t="s">
        <v>3955</v>
      </c>
      <c r="X1513" s="973" t="s">
        <v>3959</v>
      </c>
      <c r="Y1513" s="973" t="s">
        <v>4086</v>
      </c>
      <c r="Z1513" s="1184">
        <v>0</v>
      </c>
      <c r="AA1513" s="1194">
        <v>0</v>
      </c>
      <c r="AB1513" s="973" t="s">
        <v>4087</v>
      </c>
      <c r="AC1513" s="1192" t="str">
        <f>""</f>
        <v/>
      </c>
      <c r="AD1513" s="985">
        <v>0</v>
      </c>
      <c r="AE1513" s="1302" t="s">
        <v>368</v>
      </c>
      <c r="AF1513" s="1193" t="s">
        <v>368</v>
      </c>
      <c r="AG1513" s="985">
        <v>1</v>
      </c>
      <c r="AH1513" s="985">
        <v>6</v>
      </c>
      <c r="AI1513" s="985">
        <v>0</v>
      </c>
      <c r="AJ1513" s="1193">
        <f>VLOOKUP($I1513,'Price List, Weapons &amp; Items'!B:F,5,0)</f>
        <v>0</v>
      </c>
      <c r="AK1513" s="1193">
        <f t="shared" si="318"/>
        <v>0</v>
      </c>
      <c r="AL1513" s="1193">
        <f t="shared" si="319"/>
        <v>0</v>
      </c>
      <c r="AM1513" s="1193">
        <f t="shared" si="320"/>
        <v>0</v>
      </c>
      <c r="AN1513" s="1194" t="str">
        <f>VLOOKUP($I1513,'Price List, Weapons &amp; Items'!B:L,COLUMN('Price List, Weapons &amp; Items'!$J$11)-1,0)</f>
        <v>.</v>
      </c>
      <c r="AO1513" s="1194" t="str">
        <f>IF(I1513=".",".",VLOOKUP($I1513,'Price List, Weapons &amp; Items'!B:J,3,0))</f>
        <v>spare parts</v>
      </c>
      <c r="AP1513" s="1195" t="str">
        <f t="shared" ca="1" si="314"/>
        <v/>
      </c>
      <c r="AQ1513" s="1194" t="str">
        <f>VLOOKUP($I1513,'Price List, Weapons &amp; Items'!B:L,COLUMN('Price List, Weapons &amp; Items'!$L$11)-1,0)</f>
        <v>no price, 0 count</v>
      </c>
      <c r="AR1513" s="1194">
        <f t="shared" si="321"/>
        <v>1</v>
      </c>
      <c r="AS1513" s="1194">
        <f t="shared" si="322"/>
        <v>1</v>
      </c>
      <c r="AT1513" s="1194">
        <f t="shared" si="323"/>
        <v>1</v>
      </c>
      <c r="AU1513" s="1194" t="str">
        <f t="shared" si="326"/>
        <v>.</v>
      </c>
      <c r="AV1513" s="1194" t="str">
        <f t="shared" si="315"/>
        <v>.</v>
      </c>
      <c r="AW1513" s="1194" t="str">
        <f t="shared" si="324"/>
        <v>.</v>
      </c>
      <c r="AX1513" s="1194">
        <f>IFERROR(VLOOKUP(B1513,'Share, Heavy Weapons to Ukraine'!B:Z,COLUMN('Share, Heavy Weapons to Ukraine'!C1525)-1,0),0)</f>
        <v>1</v>
      </c>
      <c r="AY1513" s="1194">
        <f>VLOOKUP('Bilateral Assistance, MAIN DATA'!B1513,'Country Summary (€)'!B:F,COLUMN('Country Summary (€)'!C1526)-1,FALSE)</f>
        <v>0</v>
      </c>
      <c r="AZ1513" s="1194" t="str">
        <f>IF(AND(AD1513=1,D1513="Military",H1513&lt;&gt;"Not given")=TRUE,IF(SUMIFS(P:P,A:A,A1513)&gt;0,ABS((SUMIFS(P:P,A:A,A1513)/VLOOKUP("USD",'Exchange Rates'!B:C,2,0)))/S1513,"."),".")</f>
        <v>.</v>
      </c>
      <c r="BA1513" s="1196" t="str">
        <f>IF(AND(AD1513=1,D1513="Military",H1513&lt;&gt;"Not given")=TRUE,IF(SUMIFS(P:P,A:A,A1513)&gt;0,IF((ABS((SUMIFS(P:P,A:A,A1513)/VLOOKUP("USD",'Exchange Rates'!B:C,2,0)))/S1513)&gt;1,(SUMIFS(P:P,A:A,A1513)-S1513)/S1513,(S1513-SUMIFS(P:P,A:A,A1513))/SUMIFS(P:P,A:A,A1513)),"."),".")</f>
        <v>.</v>
      </c>
    </row>
    <row r="1514" spans="1:53" ht="15.95" customHeight="1">
      <c r="A1514" s="1182" t="s">
        <v>3987</v>
      </c>
      <c r="B1514" s="1182" t="s">
        <v>3949</v>
      </c>
      <c r="C1514" s="1181">
        <v>44727</v>
      </c>
      <c r="D1514" s="1182" t="s">
        <v>389</v>
      </c>
      <c r="E1514" s="1182" t="s">
        <v>1676</v>
      </c>
      <c r="F1514" s="1183" t="s">
        <v>4088</v>
      </c>
      <c r="G1514" s="1184" t="s">
        <v>456</v>
      </c>
      <c r="H1514" s="1185">
        <v>350000000</v>
      </c>
      <c r="I1514" s="1266" t="s">
        <v>423</v>
      </c>
      <c r="J1514" s="1186" t="str">
        <f>VLOOKUP($I1514,'Price List, Weapons &amp; Items'!B:C,2,0)</f>
        <v>Heavy weapon</v>
      </c>
      <c r="K1514" s="1186" t="str">
        <f>IF(I1514=".",I1514,VLOOKUP($I1514,'Price List, Weapons &amp; Items'!B:D,3,0))</f>
        <v>155mm howitzer</v>
      </c>
      <c r="L1514" s="1187">
        <f>VLOOKUP(I1514,'Price List, Weapons &amp; Items'!B:E,4,0)</f>
        <v>0</v>
      </c>
      <c r="M1514" s="1188">
        <v>18</v>
      </c>
      <c r="N1514" s="1188">
        <v>18</v>
      </c>
      <c r="O1514" s="1188">
        <f>VLOOKUP($I1514,'Price List, Weapons &amp; Items'!B:G,6,0)</f>
        <v>5170000</v>
      </c>
      <c r="P1514" s="1185">
        <f t="shared" si="316"/>
        <v>93060000</v>
      </c>
      <c r="Q1514" s="1185">
        <f t="shared" si="317"/>
        <v>93060000</v>
      </c>
      <c r="R1514" s="1185" t="str">
        <f t="shared" si="313"/>
        <v/>
      </c>
      <c r="S1514" s="1185" t="str">
        <f>IF(AND(AD1514=1,R1514&lt;&gt;".")=TRUE,R1514/VLOOKUP(G1514,'Exchange Rates'!B:C,2,0),IF(R1514=".",".",""))</f>
        <v/>
      </c>
      <c r="T1514" s="1185" t="str">
        <f>IF(AD1514=1,IF(AF1514="Value is not given at all",".",IF(AF1514="Value is given by the source",S1514,IF(AF1514="Value is calculated with prices",(IF(SUMIFS(Q:Q,A:A,A1514)&gt;0,SUMIFS(Q:Q,A:A,A1514),"."))/VLOOKUP("USD",'Exchange Rates'!B:C,2,0),"Error with coding"))),"")</f>
        <v/>
      </c>
      <c r="U1514" s="1184" t="s">
        <v>365</v>
      </c>
      <c r="V1514" s="974" t="s">
        <v>4089</v>
      </c>
      <c r="W1514" s="973" t="s">
        <v>3955</v>
      </c>
      <c r="X1514" s="973" t="s">
        <v>3959</v>
      </c>
      <c r="Y1514" s="973" t="s">
        <v>4087</v>
      </c>
      <c r="Z1514" s="1184">
        <v>0</v>
      </c>
      <c r="AA1514" s="1194">
        <v>0</v>
      </c>
      <c r="AB1514" s="973" t="s">
        <v>4090</v>
      </c>
      <c r="AC1514" s="1192" t="str">
        <f>""</f>
        <v/>
      </c>
      <c r="AD1514" s="985">
        <v>0</v>
      </c>
      <c r="AE1514" s="1302" t="s">
        <v>368</v>
      </c>
      <c r="AF1514" s="1193" t="s">
        <v>368</v>
      </c>
      <c r="AG1514" s="985">
        <v>1</v>
      </c>
      <c r="AH1514" s="985">
        <v>6</v>
      </c>
      <c r="AI1514" s="985">
        <v>0</v>
      </c>
      <c r="AJ1514" s="1193">
        <f>VLOOKUP($I1514,'Price List, Weapons &amp; Items'!B:F,5,0)</f>
        <v>1</v>
      </c>
      <c r="AK1514" s="1193">
        <f t="shared" si="318"/>
        <v>0</v>
      </c>
      <c r="AL1514" s="1193">
        <f t="shared" si="319"/>
        <v>0</v>
      </c>
      <c r="AM1514" s="1193">
        <f t="shared" si="320"/>
        <v>0</v>
      </c>
      <c r="AN1514" s="1194" t="str">
        <f>VLOOKUP($I1514,'Price List, Weapons &amp; Items'!B:L,COLUMN('Price List, Weapons &amp; Items'!$J$11)-1,0)</f>
        <v>Military media (incl. websites)</v>
      </c>
      <c r="AO1514" s="1194" t="str">
        <f>IF(I1514=".",".",VLOOKUP($I1514,'Price List, Weapons &amp; Items'!B:J,3,0))</f>
        <v>155mm howitzer</v>
      </c>
      <c r="AP1514" s="1195" t="str">
        <f t="shared" ca="1" si="314"/>
        <v/>
      </c>
      <c r="AQ1514" s="1194">
        <f>VLOOKUP($I1514,'Price List, Weapons &amp; Items'!B:L,COLUMN('Price List, Weapons &amp; Items'!$L$11)-1,0)</f>
        <v>2</v>
      </c>
      <c r="AR1514" s="1194">
        <f t="shared" si="321"/>
        <v>1</v>
      </c>
      <c r="AS1514" s="1194">
        <f t="shared" si="322"/>
        <v>1</v>
      </c>
      <c r="AT1514" s="1194">
        <f t="shared" si="323"/>
        <v>1</v>
      </c>
      <c r="AU1514" s="1194" t="str">
        <f t="shared" si="326"/>
        <v>.</v>
      </c>
      <c r="AV1514" s="1194" t="str">
        <f t="shared" si="315"/>
        <v>.</v>
      </c>
      <c r="AW1514" s="1194" t="str">
        <f t="shared" si="324"/>
        <v>.</v>
      </c>
      <c r="AX1514" s="1194">
        <f>IFERROR(VLOOKUP(B1514,'Share, Heavy Weapons to Ukraine'!B:Z,COLUMN('Share, Heavy Weapons to Ukraine'!C1526)-1,0),0)</f>
        <v>1</v>
      </c>
      <c r="AY1514" s="1194">
        <f>VLOOKUP('Bilateral Assistance, MAIN DATA'!B1514,'Country Summary (€)'!B:F,COLUMN('Country Summary (€)'!C1527)-1,FALSE)</f>
        <v>0</v>
      </c>
      <c r="AZ1514" s="1194" t="str">
        <f>IF(AND(AD1514=1,D1514="Military",H1514&lt;&gt;"Not given")=TRUE,IF(SUMIFS(P:P,A:A,A1514)&gt;0,ABS((SUMIFS(P:P,A:A,A1514)/VLOOKUP("USD",'Exchange Rates'!B:C,2,0)))/S1514,"."),".")</f>
        <v>.</v>
      </c>
      <c r="BA1514" s="1196" t="str">
        <f>IF(AND(AD1514=1,D1514="Military",H1514&lt;&gt;"Not given")=TRUE,IF(SUMIFS(P:P,A:A,A1514)&gt;0,IF((ABS((SUMIFS(P:P,A:A,A1514)/VLOOKUP("USD",'Exchange Rates'!B:C,2,0)))/S1514)&gt;1,(SUMIFS(P:P,A:A,A1514)-S1514)/S1514,(S1514-SUMIFS(P:P,A:A,A1514))/SUMIFS(P:P,A:A,A1514)),"."),".")</f>
        <v>.</v>
      </c>
    </row>
    <row r="1515" spans="1:53" ht="15.95" customHeight="1">
      <c r="A1515" s="1182" t="s">
        <v>3987</v>
      </c>
      <c r="B1515" s="1182" t="s">
        <v>3949</v>
      </c>
      <c r="C1515" s="1181">
        <v>44727</v>
      </c>
      <c r="D1515" s="1182" t="s">
        <v>389</v>
      </c>
      <c r="E1515" s="1182" t="s">
        <v>1676</v>
      </c>
      <c r="F1515" s="1183" t="s">
        <v>4088</v>
      </c>
      <c r="G1515" s="1184" t="s">
        <v>456</v>
      </c>
      <c r="H1515" s="1185">
        <v>350000000</v>
      </c>
      <c r="I1515" s="1266" t="s">
        <v>856</v>
      </c>
      <c r="J1515" s="1186" t="str">
        <f>VLOOKUP($I1515,'Price List, Weapons &amp; Items'!B:C,2,0)</f>
        <v>Ammunition for heavy weapon</v>
      </c>
      <c r="K1515" s="1186" t="str">
        <f>IF(I1515=".",I1515,VLOOKUP($I1515,'Price List, Weapons &amp; Items'!B:D,3,0))</f>
        <v>155mm howitzer ammunition</v>
      </c>
      <c r="L1515" s="1187">
        <f>VLOOKUP(I1515,'Price List, Weapons &amp; Items'!B:E,4,0)</f>
        <v>0</v>
      </c>
      <c r="M1515" s="1188">
        <v>36000</v>
      </c>
      <c r="N1515" s="1188">
        <v>3600</v>
      </c>
      <c r="O1515" s="1188">
        <f>VLOOKUP($I1515,'Price List, Weapons &amp; Items'!B:G,6,0)</f>
        <v>3800</v>
      </c>
      <c r="P1515" s="1185">
        <f t="shared" si="316"/>
        <v>136800000</v>
      </c>
      <c r="Q1515" s="1185">
        <f t="shared" si="317"/>
        <v>13680000</v>
      </c>
      <c r="R1515" s="1185" t="str">
        <f t="shared" si="313"/>
        <v/>
      </c>
      <c r="S1515" s="1185" t="str">
        <f>IF(AND(AD1515=1,R1515&lt;&gt;".")=TRUE,R1515/VLOOKUP(G1515,'Exchange Rates'!B:C,2,0),IF(R1515=".",".",""))</f>
        <v/>
      </c>
      <c r="T1515" s="1185" t="str">
        <f>IF(AD1515=1,IF(AF1515="Value is not given at all",".",IF(AF1515="Value is given by the source",S1515,IF(AF1515="Value is calculated with prices",(IF(SUMIFS(Q:Q,A:A,A1515)&gt;0,SUMIFS(Q:Q,A:A,A1515),"."))/VLOOKUP("USD",'Exchange Rates'!B:C,2,0),"Error with coding"))),"")</f>
        <v/>
      </c>
      <c r="U1515" s="1184" t="s">
        <v>365</v>
      </c>
      <c r="V1515" s="974" t="s">
        <v>4089</v>
      </c>
      <c r="W1515" s="973" t="s">
        <v>3955</v>
      </c>
      <c r="X1515" s="973" t="s">
        <v>3959</v>
      </c>
      <c r="Y1515" s="973" t="s">
        <v>4090</v>
      </c>
      <c r="Z1515" s="1184">
        <v>0</v>
      </c>
      <c r="AA1515" s="1194">
        <v>0</v>
      </c>
      <c r="AB1515" s="973" t="s">
        <v>4091</v>
      </c>
      <c r="AC1515" s="1192" t="str">
        <f>""</f>
        <v/>
      </c>
      <c r="AD1515" s="985">
        <v>0</v>
      </c>
      <c r="AE1515" s="1302" t="s">
        <v>368</v>
      </c>
      <c r="AF1515" s="1193" t="s">
        <v>368</v>
      </c>
      <c r="AG1515" s="985">
        <v>1</v>
      </c>
      <c r="AH1515" s="985">
        <v>6</v>
      </c>
      <c r="AI1515" s="985">
        <v>0</v>
      </c>
      <c r="AJ1515" s="1193">
        <f>VLOOKUP($I1515,'Price List, Weapons &amp; Items'!B:F,5,0)</f>
        <v>1</v>
      </c>
      <c r="AK1515" s="1193">
        <f t="shared" si="318"/>
        <v>0</v>
      </c>
      <c r="AL1515" s="1193">
        <f t="shared" si="319"/>
        <v>0</v>
      </c>
      <c r="AM1515" s="1193">
        <f t="shared" si="320"/>
        <v>0</v>
      </c>
      <c r="AN1515" s="1194" t="str">
        <f>VLOOKUP($I1515,'Price List, Weapons &amp; Items'!B:L,COLUMN('Price List, Weapons &amp; Items'!$J$11)-1,0)</f>
        <v>Government information</v>
      </c>
      <c r="AO1515" s="1194" t="str">
        <f>IF(I1515=".",".",VLOOKUP($I1515,'Price List, Weapons &amp; Items'!B:J,3,0))</f>
        <v>155mm howitzer ammunition</v>
      </c>
      <c r="AP1515" s="1195" t="str">
        <f t="shared" ca="1" si="314"/>
        <v/>
      </c>
      <c r="AQ1515" s="1194">
        <f>VLOOKUP($I1515,'Price List, Weapons &amp; Items'!B:L,COLUMN('Price List, Weapons &amp; Items'!$L$11)-1,0)</f>
        <v>2</v>
      </c>
      <c r="AR1515" s="1194">
        <f t="shared" si="321"/>
        <v>1</v>
      </c>
      <c r="AS1515" s="1194">
        <f t="shared" si="322"/>
        <v>1</v>
      </c>
      <c r="AT1515" s="1194">
        <f t="shared" si="323"/>
        <v>1</v>
      </c>
      <c r="AU1515" s="1194" t="str">
        <f t="shared" si="326"/>
        <v>.</v>
      </c>
      <c r="AV1515" s="1194" t="str">
        <f t="shared" si="315"/>
        <v>.</v>
      </c>
      <c r="AW1515" s="1194" t="str">
        <f t="shared" si="324"/>
        <v>.</v>
      </c>
      <c r="AX1515" s="1194">
        <f>IFERROR(VLOOKUP(B1515,'Share, Heavy Weapons to Ukraine'!B:Z,COLUMN('Share, Heavy Weapons to Ukraine'!C1527)-1,0),0)</f>
        <v>1</v>
      </c>
      <c r="AY1515" s="1194">
        <f>VLOOKUP('Bilateral Assistance, MAIN DATA'!B1515,'Country Summary (€)'!B:F,COLUMN('Country Summary (€)'!C1528)-1,FALSE)</f>
        <v>0</v>
      </c>
      <c r="AZ1515" s="1194" t="str">
        <f>IF(AND(AD1515=1,D1515="Military",H1515&lt;&gt;"Not given")=TRUE,IF(SUMIFS(P:P,A:A,A1515)&gt;0,ABS((SUMIFS(P:P,A:A,A1515)/VLOOKUP("USD",'Exchange Rates'!B:C,2,0)))/S1515,"."),".")</f>
        <v>.</v>
      </c>
      <c r="BA1515" s="1196" t="str">
        <f>IF(AND(AD1515=1,D1515="Military",H1515&lt;&gt;"Not given")=TRUE,IF(SUMIFS(P:P,A:A,A1515)&gt;0,IF((ABS((SUMIFS(P:P,A:A,A1515)/VLOOKUP("USD",'Exchange Rates'!B:C,2,0)))/S1515)&gt;1,(SUMIFS(P:P,A:A,A1515)-S1515)/S1515,(S1515-SUMIFS(P:P,A:A,A1515))/SUMIFS(P:P,A:A,A1515)),"."),".")</f>
        <v>.</v>
      </c>
    </row>
    <row r="1516" spans="1:53" ht="15.95" customHeight="1">
      <c r="A1516" s="1182" t="s">
        <v>3987</v>
      </c>
      <c r="B1516" s="1182" t="s">
        <v>3949</v>
      </c>
      <c r="C1516" s="1181">
        <v>44727</v>
      </c>
      <c r="D1516" s="1182" t="s">
        <v>389</v>
      </c>
      <c r="E1516" s="1182" t="s">
        <v>1676</v>
      </c>
      <c r="F1516" s="1183" t="s">
        <v>4088</v>
      </c>
      <c r="G1516" s="1184" t="s">
        <v>456</v>
      </c>
      <c r="H1516" s="1185">
        <v>350000000</v>
      </c>
      <c r="I1516" s="1266" t="s">
        <v>4048</v>
      </c>
      <c r="J1516" s="1186" t="str">
        <f>VLOOKUP($I1516,'Price List, Weapons &amp; Items'!B:C,2,0)</f>
        <v>Military equipment</v>
      </c>
      <c r="K1516" s="1186" t="str">
        <f>IF(I1516=".",I1516,VLOOKUP($I1516,'Price List, Weapons &amp; Items'!B:D,3,0))</f>
        <v>Military equipment</v>
      </c>
      <c r="L1516" s="1187">
        <f>VLOOKUP(I1516,'Price List, Weapons &amp; Items'!B:E,4,0)</f>
        <v>0</v>
      </c>
      <c r="M1516" s="1188">
        <v>18</v>
      </c>
      <c r="N1516" s="1188">
        <v>18</v>
      </c>
      <c r="O1516" s="1188">
        <f>VLOOKUP($I1516,'Price List, Weapons &amp; Items'!B:G,6,0)</f>
        <v>350000</v>
      </c>
      <c r="P1516" s="1185">
        <f t="shared" si="316"/>
        <v>6300000</v>
      </c>
      <c r="Q1516" s="1185">
        <f t="shared" si="317"/>
        <v>6300000</v>
      </c>
      <c r="R1516" s="1185" t="str">
        <f t="shared" si="313"/>
        <v/>
      </c>
      <c r="S1516" s="1185" t="str">
        <f>IF(AND(AD1516=1,R1516&lt;&gt;".")=TRUE,R1516/VLOOKUP(G1516,'Exchange Rates'!B:C,2,0),IF(R1516=".",".",""))</f>
        <v/>
      </c>
      <c r="T1516" s="1185" t="str">
        <f>IF(AD1516=1,IF(AF1516="Value is not given at all",".",IF(AF1516="Value is given by the source",S1516,IF(AF1516="Value is calculated with prices",(IF(SUMIFS(Q:Q,A:A,A1516)&gt;0,SUMIFS(Q:Q,A:A,A1516),"."))/VLOOKUP("USD",'Exchange Rates'!B:C,2,0),"Error with coding"))),"")</f>
        <v/>
      </c>
      <c r="U1516" s="1184" t="s">
        <v>365</v>
      </c>
      <c r="V1516" s="974" t="s">
        <v>4089</v>
      </c>
      <c r="W1516" s="973" t="s">
        <v>3955</v>
      </c>
      <c r="X1516" s="973" t="s">
        <v>3959</v>
      </c>
      <c r="Y1516" s="973" t="s">
        <v>4091</v>
      </c>
      <c r="Z1516" s="1184">
        <v>0</v>
      </c>
      <c r="AA1516" s="1194">
        <v>0</v>
      </c>
      <c r="AB1516" s="973" t="s">
        <v>4092</v>
      </c>
      <c r="AC1516" s="1192" t="str">
        <f>""</f>
        <v/>
      </c>
      <c r="AD1516" s="985">
        <v>0</v>
      </c>
      <c r="AE1516" s="1302" t="s">
        <v>368</v>
      </c>
      <c r="AF1516" s="1193" t="s">
        <v>368</v>
      </c>
      <c r="AG1516" s="985">
        <v>1</v>
      </c>
      <c r="AH1516" s="985">
        <v>6</v>
      </c>
      <c r="AI1516" s="985">
        <v>0</v>
      </c>
      <c r="AJ1516" s="1193">
        <f>VLOOKUP($I1516,'Price List, Weapons &amp; Items'!B:F,5,0)</f>
        <v>0</v>
      </c>
      <c r="AK1516" s="1193">
        <f t="shared" si="318"/>
        <v>0</v>
      </c>
      <c r="AL1516" s="1193">
        <f t="shared" si="319"/>
        <v>0</v>
      </c>
      <c r="AM1516" s="1193">
        <f t="shared" si="320"/>
        <v>0</v>
      </c>
      <c r="AN1516" s="1194" t="str">
        <f>VLOOKUP($I1516,'Price List, Weapons &amp; Items'!B:L,COLUMN('Price List, Weapons &amp; Items'!$J$11)-1,0)</f>
        <v>Media reports (incl. social media)</v>
      </c>
      <c r="AO1516" s="1194" t="str">
        <f>IF(I1516=".",".",VLOOKUP($I1516,'Price List, Weapons &amp; Items'!B:J,3,0))</f>
        <v>Military equipment</v>
      </c>
      <c r="AP1516" s="1195" t="str">
        <f t="shared" ca="1" si="314"/>
        <v/>
      </c>
      <c r="AQ1516" s="1194">
        <f>VLOOKUP($I1516,'Price List, Weapons &amp; Items'!B:L,COLUMN('Price List, Weapons &amp; Items'!$L$11)-1,0)</f>
        <v>2</v>
      </c>
      <c r="AR1516" s="1194">
        <f t="shared" si="321"/>
        <v>1</v>
      </c>
      <c r="AS1516" s="1194">
        <f t="shared" si="322"/>
        <v>1</v>
      </c>
      <c r="AT1516" s="1194">
        <f t="shared" si="323"/>
        <v>1</v>
      </c>
      <c r="AU1516" s="1194" t="str">
        <f t="shared" si="326"/>
        <v>.</v>
      </c>
      <c r="AV1516" s="1194" t="str">
        <f t="shared" si="315"/>
        <v>.</v>
      </c>
      <c r="AW1516" s="1194" t="str">
        <f t="shared" si="324"/>
        <v>.</v>
      </c>
      <c r="AX1516" s="1194">
        <f>IFERROR(VLOOKUP(B1516,'Share, Heavy Weapons to Ukraine'!B:Z,COLUMN('Share, Heavy Weapons to Ukraine'!C1528)-1,0),0)</f>
        <v>1</v>
      </c>
      <c r="AY1516" s="1194">
        <f>VLOOKUP('Bilateral Assistance, MAIN DATA'!B1516,'Country Summary (€)'!B:F,COLUMN('Country Summary (€)'!C1529)-1,FALSE)</f>
        <v>0</v>
      </c>
      <c r="AZ1516" s="1194" t="str">
        <f>IF(AND(AD1516=1,D1516="Military",H1516&lt;&gt;"Not given")=TRUE,IF(SUMIFS(P:P,A:A,A1516)&gt;0,ABS((SUMIFS(P:P,A:A,A1516)/VLOOKUP("USD",'Exchange Rates'!B:C,2,0)))/S1516,"."),".")</f>
        <v>.</v>
      </c>
      <c r="BA1516" s="1196" t="str">
        <f>IF(AND(AD1516=1,D1516="Military",H1516&lt;&gt;"Not given")=TRUE,IF(SUMIFS(P:P,A:A,A1516)&gt;0,IF((ABS((SUMIFS(P:P,A:A,A1516)/VLOOKUP("USD",'Exchange Rates'!B:C,2,0)))/S1516)&gt;1,(SUMIFS(P:P,A:A,A1516)-S1516)/S1516,(S1516-SUMIFS(P:P,A:A,A1516))/SUMIFS(P:P,A:A,A1516)),"."),".")</f>
        <v>.</v>
      </c>
    </row>
    <row r="1517" spans="1:53" ht="15.95" customHeight="1">
      <c r="A1517" s="1182" t="s">
        <v>3987</v>
      </c>
      <c r="B1517" s="1182" t="s">
        <v>3949</v>
      </c>
      <c r="C1517" s="1181">
        <v>44727</v>
      </c>
      <c r="D1517" s="1182" t="s">
        <v>389</v>
      </c>
      <c r="E1517" s="1182" t="s">
        <v>1676</v>
      </c>
      <c r="F1517" s="1183" t="s">
        <v>4088</v>
      </c>
      <c r="G1517" s="1184" t="s">
        <v>456</v>
      </c>
      <c r="H1517" s="1185">
        <v>350000000</v>
      </c>
      <c r="I1517" s="1266" t="s">
        <v>4093</v>
      </c>
      <c r="J1517" s="1186" t="str">
        <f>VLOOKUP($I1517,'Price List, Weapons &amp; Items'!B:C,2,0)</f>
        <v>Ammunition for heavy weapon</v>
      </c>
      <c r="K1517" s="1186" t="str">
        <f>IF(I1517=".",I1517,VLOOKUP($I1517,'Price List, Weapons &amp; Items'!B:D,3,0))</f>
        <v>227mm MLRS ammunition</v>
      </c>
      <c r="L1517" s="1187">
        <f>VLOOKUP(I1517,'Price List, Weapons &amp; Items'!B:E,4,0)</f>
        <v>0</v>
      </c>
      <c r="M1517" s="1188" t="s">
        <v>374</v>
      </c>
      <c r="N1517" s="1188" t="s">
        <v>374</v>
      </c>
      <c r="O1517" s="1188">
        <f>VLOOKUP($I1517,'Price List, Weapons &amp; Items'!B:G,6,0)</f>
        <v>150000</v>
      </c>
      <c r="P1517" s="1185" t="str">
        <f t="shared" si="316"/>
        <v>.</v>
      </c>
      <c r="Q1517" s="1185" t="str">
        <f t="shared" si="317"/>
        <v>.</v>
      </c>
      <c r="R1517" s="1185" t="str">
        <f t="shared" si="313"/>
        <v/>
      </c>
      <c r="S1517" s="1185" t="str">
        <f>IF(AND(AD1517=1,R1517&lt;&gt;".")=TRUE,R1517/VLOOKUP(G1517,'Exchange Rates'!B:C,2,0),IF(R1517=".",".",""))</f>
        <v/>
      </c>
      <c r="T1517" s="1185" t="str">
        <f>IF(AD1517=1,IF(AF1517="Value is not given at all",".",IF(AF1517="Value is given by the source",S1517,IF(AF1517="Value is calculated with prices",(IF(SUMIFS(Q:Q,A:A,A1517)&gt;0,SUMIFS(Q:Q,A:A,A1517),"."))/VLOOKUP("USD",'Exchange Rates'!B:C,2,0),"Error with coding"))),"")</f>
        <v/>
      </c>
      <c r="U1517" s="1184" t="s">
        <v>365</v>
      </c>
      <c r="V1517" s="974" t="s">
        <v>4089</v>
      </c>
      <c r="W1517" s="973" t="s">
        <v>3955</v>
      </c>
      <c r="X1517" s="973" t="s">
        <v>3959</v>
      </c>
      <c r="Y1517" s="973" t="s">
        <v>4092</v>
      </c>
      <c r="Z1517" s="1184">
        <v>0</v>
      </c>
      <c r="AA1517" s="1194">
        <v>0</v>
      </c>
      <c r="AB1517" s="973" t="s">
        <v>4094</v>
      </c>
      <c r="AC1517" s="1192" t="str">
        <f>""</f>
        <v/>
      </c>
      <c r="AD1517" s="985">
        <v>0</v>
      </c>
      <c r="AE1517" s="1302" t="s">
        <v>368</v>
      </c>
      <c r="AF1517" s="1193" t="s">
        <v>368</v>
      </c>
      <c r="AG1517" s="985">
        <v>1</v>
      </c>
      <c r="AH1517" s="985">
        <v>6</v>
      </c>
      <c r="AI1517" s="985">
        <v>0</v>
      </c>
      <c r="AJ1517" s="1193">
        <f>VLOOKUP($I1517,'Price List, Weapons &amp; Items'!B:F,5,0)</f>
        <v>1</v>
      </c>
      <c r="AK1517" s="1193">
        <f t="shared" si="318"/>
        <v>1</v>
      </c>
      <c r="AL1517" s="1193">
        <f t="shared" si="319"/>
        <v>1</v>
      </c>
      <c r="AM1517" s="1193">
        <f t="shared" si="320"/>
        <v>1</v>
      </c>
      <c r="AN1517" s="1194" t="str">
        <f>VLOOKUP($I1517,'Price List, Weapons &amp; Items'!B:L,COLUMN('Price List, Weapons &amp; Items'!$J$11)-1,0)</f>
        <v>Media reports (incl. social media)</v>
      </c>
      <c r="AO1517" s="1194" t="str">
        <f>IF(I1517=".",".",VLOOKUP($I1517,'Price List, Weapons &amp; Items'!B:J,3,0))</f>
        <v>227mm MLRS ammunition</v>
      </c>
      <c r="AP1517" s="1195" t="str">
        <f t="shared" ca="1" si="314"/>
        <v/>
      </c>
      <c r="AQ1517" s="1194" t="str">
        <f>VLOOKUP($I1517,'Price List, Weapons &amp; Items'!B:L,COLUMN('Price List, Weapons &amp; Items'!$L$11)-1,0)</f>
        <v>no price, 0 count</v>
      </c>
      <c r="AR1517" s="1194">
        <f t="shared" si="321"/>
        <v>1</v>
      </c>
      <c r="AS1517" s="1194">
        <f t="shared" si="322"/>
        <v>1</v>
      </c>
      <c r="AT1517" s="1194">
        <f t="shared" si="323"/>
        <v>1</v>
      </c>
      <c r="AU1517" s="1194" t="str">
        <f t="shared" si="326"/>
        <v>.</v>
      </c>
      <c r="AV1517" s="1194" t="str">
        <f t="shared" si="315"/>
        <v>.</v>
      </c>
      <c r="AW1517" s="1194" t="str">
        <f t="shared" si="324"/>
        <v>.</v>
      </c>
      <c r="AX1517" s="1194">
        <f>IFERROR(VLOOKUP(B1517,'Share, Heavy Weapons to Ukraine'!B:Z,COLUMN('Share, Heavy Weapons to Ukraine'!C1529)-1,0),0)</f>
        <v>1</v>
      </c>
      <c r="AY1517" s="1194">
        <f>VLOOKUP('Bilateral Assistance, MAIN DATA'!B1517,'Country Summary (€)'!B:F,COLUMN('Country Summary (€)'!C1530)-1,FALSE)</f>
        <v>0</v>
      </c>
      <c r="AZ1517" s="1194" t="str">
        <f>IF(AND(AD1517=1,D1517="Military",H1517&lt;&gt;"Not given")=TRUE,IF(SUMIFS(P:P,A:A,A1517)&gt;0,ABS((SUMIFS(P:P,A:A,A1517)/VLOOKUP("USD",'Exchange Rates'!B:C,2,0)))/S1517,"."),".")</f>
        <v>.</v>
      </c>
      <c r="BA1517" s="1196" t="str">
        <f>IF(AND(AD1517=1,D1517="Military",H1517&lt;&gt;"Not given")=TRUE,IF(SUMIFS(P:P,A:A,A1517)&gt;0,IF((ABS((SUMIFS(P:P,A:A,A1517)/VLOOKUP("USD",'Exchange Rates'!B:C,2,0)))/S1517)&gt;1,(SUMIFS(P:P,A:A,A1517)-S1517)/S1517,(S1517-SUMIFS(P:P,A:A,A1517))/SUMIFS(P:P,A:A,A1517)),"."),".")</f>
        <v>.</v>
      </c>
    </row>
    <row r="1518" spans="1:53" ht="15.95" customHeight="1">
      <c r="A1518" s="1182" t="s">
        <v>3987</v>
      </c>
      <c r="B1518" s="1182" t="s">
        <v>3949</v>
      </c>
      <c r="C1518" s="1181">
        <v>44727</v>
      </c>
      <c r="D1518" s="1182" t="s">
        <v>389</v>
      </c>
      <c r="E1518" s="1182" t="s">
        <v>1676</v>
      </c>
      <c r="F1518" s="1183" t="s">
        <v>4088</v>
      </c>
      <c r="G1518" s="1184" t="s">
        <v>456</v>
      </c>
      <c r="H1518" s="1185">
        <v>350000000</v>
      </c>
      <c r="I1518" s="1266" t="s">
        <v>4095</v>
      </c>
      <c r="J1518" s="1186" t="str">
        <f>VLOOKUP($I1518,'Price List, Weapons &amp; Items'!B:C,2,0)</f>
        <v>Military equipment</v>
      </c>
      <c r="K1518" s="1186" t="str">
        <f>IF(I1518=".",I1518,VLOOKUP($I1518,'Price List, Weapons &amp; Items'!B:D,3,0))</f>
        <v>Military equipment</v>
      </c>
      <c r="L1518" s="1187">
        <f>VLOOKUP(I1518,'Price List, Weapons &amp; Items'!B:E,4,0)</f>
        <v>0</v>
      </c>
      <c r="M1518" s="1188">
        <v>4</v>
      </c>
      <c r="N1518" s="1188">
        <v>4</v>
      </c>
      <c r="O1518" s="1188">
        <f>VLOOKUP($I1518,'Price List, Weapons &amp; Items'!B:G,6,0)</f>
        <v>350000</v>
      </c>
      <c r="P1518" s="1185">
        <f t="shared" si="316"/>
        <v>1400000</v>
      </c>
      <c r="Q1518" s="1185">
        <f t="shared" si="317"/>
        <v>1400000</v>
      </c>
      <c r="R1518" s="1185" t="str">
        <f t="shared" si="313"/>
        <v/>
      </c>
      <c r="S1518" s="1185" t="str">
        <f>IF(AND(AD1518=1,R1518&lt;&gt;".")=TRUE,R1518/VLOOKUP(G1518,'Exchange Rates'!B:C,2,0),IF(R1518=".",".",""))</f>
        <v/>
      </c>
      <c r="T1518" s="1185" t="str">
        <f>IF(AD1518=1,IF(AF1518="Value is not given at all",".",IF(AF1518="Value is given by the source",S1518,IF(AF1518="Value is calculated with prices",(IF(SUMIFS(Q:Q,A:A,A1518)&gt;0,SUMIFS(Q:Q,A:A,A1518),"."))/VLOOKUP("USD",'Exchange Rates'!B:C,2,0),"Error with coding"))),"")</f>
        <v/>
      </c>
      <c r="U1518" s="1184" t="s">
        <v>365</v>
      </c>
      <c r="V1518" s="974" t="s">
        <v>4089</v>
      </c>
      <c r="W1518" s="973" t="s">
        <v>3955</v>
      </c>
      <c r="X1518" s="973" t="s">
        <v>3959</v>
      </c>
      <c r="Y1518" s="973" t="s">
        <v>4094</v>
      </c>
      <c r="Z1518" s="1184">
        <v>0</v>
      </c>
      <c r="AA1518" s="1194">
        <v>0</v>
      </c>
      <c r="AB1518" s="973" t="s">
        <v>4096</v>
      </c>
      <c r="AC1518" s="1192" t="str">
        <f>""</f>
        <v/>
      </c>
      <c r="AD1518" s="985">
        <v>0</v>
      </c>
      <c r="AE1518" s="1302" t="s">
        <v>368</v>
      </c>
      <c r="AF1518" s="1193" t="s">
        <v>368</v>
      </c>
      <c r="AG1518" s="985">
        <v>1</v>
      </c>
      <c r="AH1518" s="985">
        <v>6</v>
      </c>
      <c r="AI1518" s="985">
        <v>0</v>
      </c>
      <c r="AJ1518" s="1193">
        <f>VLOOKUP($I1518,'Price List, Weapons &amp; Items'!B:F,5,0)</f>
        <v>0</v>
      </c>
      <c r="AK1518" s="1193">
        <f t="shared" si="318"/>
        <v>0</v>
      </c>
      <c r="AL1518" s="1193">
        <f t="shared" si="319"/>
        <v>0</v>
      </c>
      <c r="AM1518" s="1193">
        <f t="shared" si="320"/>
        <v>0</v>
      </c>
      <c r="AN1518" s="1194" t="str">
        <f>VLOOKUP($I1518,'Price List, Weapons &amp; Items'!B:L,COLUMN('Price List, Weapons &amp; Items'!$J$11)-1,0)</f>
        <v>Media reports (incl. social media)</v>
      </c>
      <c r="AO1518" s="1194" t="str">
        <f>IF(I1518=".",".",VLOOKUP($I1518,'Price List, Weapons &amp; Items'!B:J,3,0))</f>
        <v>Military equipment</v>
      </c>
      <c r="AP1518" s="1195" t="str">
        <f t="shared" ca="1" si="314"/>
        <v/>
      </c>
      <c r="AQ1518" s="1194">
        <f>VLOOKUP($I1518,'Price List, Weapons &amp; Items'!B:L,COLUMN('Price List, Weapons &amp; Items'!$L$11)-1,0)</f>
        <v>2</v>
      </c>
      <c r="AR1518" s="1194">
        <f t="shared" si="321"/>
        <v>1</v>
      </c>
      <c r="AS1518" s="1194">
        <f t="shared" si="322"/>
        <v>1</v>
      </c>
      <c r="AT1518" s="1194">
        <f t="shared" si="323"/>
        <v>1</v>
      </c>
      <c r="AU1518" s="1194" t="str">
        <f t="shared" si="326"/>
        <v>.</v>
      </c>
      <c r="AV1518" s="1194" t="str">
        <f t="shared" si="315"/>
        <v>.</v>
      </c>
      <c r="AW1518" s="1194" t="str">
        <f t="shared" si="324"/>
        <v>.</v>
      </c>
      <c r="AX1518" s="1194">
        <f>IFERROR(VLOOKUP(B1518,'Share, Heavy Weapons to Ukraine'!B:Z,COLUMN('Share, Heavy Weapons to Ukraine'!C1530)-1,0),0)</f>
        <v>1</v>
      </c>
      <c r="AY1518" s="1194">
        <f>VLOOKUP('Bilateral Assistance, MAIN DATA'!B1518,'Country Summary (€)'!B:F,COLUMN('Country Summary (€)'!C1531)-1,FALSE)</f>
        <v>0</v>
      </c>
      <c r="AZ1518" s="1194" t="str">
        <f>IF(AND(AD1518=1,D1518="Military",H1518&lt;&gt;"Not given")=TRUE,IF(SUMIFS(P:P,A:A,A1518)&gt;0,ABS((SUMIFS(P:P,A:A,A1518)/VLOOKUP("USD",'Exchange Rates'!B:C,2,0)))/S1518,"."),".")</f>
        <v>.</v>
      </c>
      <c r="BA1518" s="1196" t="str">
        <f>IF(AND(AD1518=1,D1518="Military",H1518&lt;&gt;"Not given")=TRUE,IF(SUMIFS(P:P,A:A,A1518)&gt;0,IF((ABS((SUMIFS(P:P,A:A,A1518)/VLOOKUP("USD",'Exchange Rates'!B:C,2,0)))/S1518)&gt;1,(SUMIFS(P:P,A:A,A1518)-S1518)/S1518,(S1518-SUMIFS(P:P,A:A,A1518))/SUMIFS(P:P,A:A,A1518)),"."),".")</f>
        <v>.</v>
      </c>
    </row>
    <row r="1519" spans="1:53" ht="15.95" customHeight="1">
      <c r="A1519" s="1182" t="s">
        <v>3987</v>
      </c>
      <c r="B1519" s="1182" t="s">
        <v>3949</v>
      </c>
      <c r="C1519" s="1181">
        <v>44727</v>
      </c>
      <c r="D1519" s="1182" t="s">
        <v>389</v>
      </c>
      <c r="E1519" s="1182" t="s">
        <v>1676</v>
      </c>
      <c r="F1519" s="1183" t="s">
        <v>4088</v>
      </c>
      <c r="G1519" s="1184" t="s">
        <v>456</v>
      </c>
      <c r="H1519" s="1185">
        <v>350000000</v>
      </c>
      <c r="I1519" s="1266" t="s">
        <v>632</v>
      </c>
      <c r="J1519" s="1186" t="str">
        <f>VLOOKUP($I1519,'Price List, Weapons &amp; Items'!B:C,2,0)</f>
        <v>Military equipment</v>
      </c>
      <c r="K1519" s="1186" t="str">
        <f>IF(I1519=".",I1519,VLOOKUP($I1519,'Price List, Weapons &amp; Items'!B:D,3,0))</f>
        <v>spare parts</v>
      </c>
      <c r="L1519" s="1187">
        <f>VLOOKUP(I1519,'Price List, Weapons &amp; Items'!B:E,4,0)</f>
        <v>0</v>
      </c>
      <c r="M1519" s="1188" t="s">
        <v>374</v>
      </c>
      <c r="N1519" s="1188" t="s">
        <v>374</v>
      </c>
      <c r="O1519" s="1188" t="str">
        <f>VLOOKUP($I1519,'Price List, Weapons &amp; Items'!B:G,6,0)</f>
        <v>.</v>
      </c>
      <c r="P1519" s="1185" t="str">
        <f t="shared" si="316"/>
        <v>.</v>
      </c>
      <c r="Q1519" s="1185" t="str">
        <f t="shared" si="317"/>
        <v>.</v>
      </c>
      <c r="R1519" s="1185" t="str">
        <f t="shared" si="313"/>
        <v/>
      </c>
      <c r="S1519" s="1185" t="str">
        <f>IF(AND(AD1519=1,R1519&lt;&gt;".")=TRUE,R1519/VLOOKUP(G1519,'Exchange Rates'!B:C,2,0),IF(R1519=".",".",""))</f>
        <v/>
      </c>
      <c r="T1519" s="1185" t="str">
        <f>IF(AD1519=1,IF(AF1519="Value is not given at all",".",IF(AF1519="Value is given by the source",S1519,IF(AF1519="Value is calculated with prices",(IF(SUMIFS(Q:Q,A:A,A1519)&gt;0,SUMIFS(Q:Q,A:A,A1519),"."))/VLOOKUP("USD",'Exchange Rates'!B:C,2,0),"Error with coding"))),"")</f>
        <v/>
      </c>
      <c r="U1519" s="1184" t="s">
        <v>365</v>
      </c>
      <c r="V1519" s="974" t="s">
        <v>4089</v>
      </c>
      <c r="W1519" s="973" t="s">
        <v>3955</v>
      </c>
      <c r="X1519" s="973" t="s">
        <v>3959</v>
      </c>
      <c r="Y1519" s="973" t="s">
        <v>4096</v>
      </c>
      <c r="Z1519" s="1184">
        <v>0</v>
      </c>
      <c r="AA1519" s="1194">
        <v>0</v>
      </c>
      <c r="AB1519" s="973" t="s">
        <v>4097</v>
      </c>
      <c r="AC1519" s="1192" t="str">
        <f>""</f>
        <v/>
      </c>
      <c r="AD1519" s="985">
        <v>0</v>
      </c>
      <c r="AE1519" s="1302" t="s">
        <v>368</v>
      </c>
      <c r="AF1519" s="1193" t="s">
        <v>368</v>
      </c>
      <c r="AG1519" s="985">
        <v>1</v>
      </c>
      <c r="AH1519" s="985">
        <v>6</v>
      </c>
      <c r="AI1519" s="985">
        <v>0</v>
      </c>
      <c r="AJ1519" s="1193">
        <f>VLOOKUP($I1519,'Price List, Weapons &amp; Items'!B:F,5,0)</f>
        <v>0</v>
      </c>
      <c r="AK1519" s="1193">
        <f t="shared" si="318"/>
        <v>0</v>
      </c>
      <c r="AL1519" s="1193">
        <f t="shared" si="319"/>
        <v>0</v>
      </c>
      <c r="AM1519" s="1193">
        <f t="shared" si="320"/>
        <v>0</v>
      </c>
      <c r="AN1519" s="1194" t="str">
        <f>VLOOKUP($I1519,'Price List, Weapons &amp; Items'!B:L,COLUMN('Price List, Weapons &amp; Items'!$J$11)-1,0)</f>
        <v>.</v>
      </c>
      <c r="AO1519" s="1194" t="str">
        <f>IF(I1519=".",".",VLOOKUP($I1519,'Price List, Weapons &amp; Items'!B:J,3,0))</f>
        <v>spare parts</v>
      </c>
      <c r="AP1519" s="1195" t="str">
        <f t="shared" ca="1" si="314"/>
        <v/>
      </c>
      <c r="AQ1519" s="1194" t="str">
        <f>VLOOKUP($I1519,'Price List, Weapons &amp; Items'!B:L,COLUMN('Price List, Weapons &amp; Items'!$L$11)-1,0)</f>
        <v>no price, 0 count</v>
      </c>
      <c r="AR1519" s="1194">
        <f t="shared" si="321"/>
        <v>1</v>
      </c>
      <c r="AS1519" s="1194">
        <f t="shared" si="322"/>
        <v>1</v>
      </c>
      <c r="AT1519" s="1194">
        <f t="shared" si="323"/>
        <v>1</v>
      </c>
      <c r="AU1519" s="1194" t="str">
        <f t="shared" si="326"/>
        <v>.</v>
      </c>
      <c r="AV1519" s="1194" t="str">
        <f t="shared" si="315"/>
        <v>.</v>
      </c>
      <c r="AW1519" s="1194" t="str">
        <f t="shared" si="324"/>
        <v>.</v>
      </c>
      <c r="AX1519" s="1194">
        <f>IFERROR(VLOOKUP(B1519,'Share, Heavy Weapons to Ukraine'!B:Z,COLUMN('Share, Heavy Weapons to Ukraine'!C1531)-1,0),0)</f>
        <v>1</v>
      </c>
      <c r="AY1519" s="1194">
        <f>VLOOKUP('Bilateral Assistance, MAIN DATA'!B1519,'Country Summary (€)'!B:F,COLUMN('Country Summary (€)'!C1532)-1,FALSE)</f>
        <v>0</v>
      </c>
      <c r="AZ1519" s="1194" t="str">
        <f>IF(AND(AD1519=1,D1519="Military",H1519&lt;&gt;"Not given")=TRUE,IF(SUMIFS(P:P,A:A,A1519)&gt;0,ABS((SUMIFS(P:P,A:A,A1519)/VLOOKUP("USD",'Exchange Rates'!B:C,2,0)))/S1519,"."),".")</f>
        <v>.</v>
      </c>
      <c r="BA1519" s="1196" t="str">
        <f>IF(AND(AD1519=1,D1519="Military",H1519&lt;&gt;"Not given")=TRUE,IF(SUMIFS(P:P,A:A,A1519)&gt;0,IF((ABS((SUMIFS(P:P,A:A,A1519)/VLOOKUP("USD",'Exchange Rates'!B:C,2,0)))/S1519)&gt;1,(SUMIFS(P:P,A:A,A1519)-S1519)/S1519,(S1519-SUMIFS(P:P,A:A,A1519))/SUMIFS(P:P,A:A,A1519)),"."),".")</f>
        <v>.</v>
      </c>
    </row>
    <row r="1520" spans="1:53" ht="15.95" customHeight="1">
      <c r="A1520" s="1182" t="s">
        <v>3987</v>
      </c>
      <c r="B1520" s="1182" t="s">
        <v>3949</v>
      </c>
      <c r="C1520" s="1181">
        <v>44735</v>
      </c>
      <c r="D1520" s="1182" t="s">
        <v>389</v>
      </c>
      <c r="E1520" s="1182" t="s">
        <v>1676</v>
      </c>
      <c r="F1520" s="1183" t="s">
        <v>4098</v>
      </c>
      <c r="G1520" s="1184" t="s">
        <v>456</v>
      </c>
      <c r="H1520" s="1185">
        <v>450000000</v>
      </c>
      <c r="I1520" s="1266" t="s">
        <v>4070</v>
      </c>
      <c r="J1520" s="1186" t="str">
        <f>VLOOKUP($I1520,'Price List, Weapons &amp; Items'!B:C,2,0)</f>
        <v>Heavy weapon</v>
      </c>
      <c r="K1520" s="1186" t="str">
        <f>IF(I1520=".",I1520,VLOOKUP($I1520,'Price List, Weapons &amp; Items'!B:D,3,0))</f>
        <v>227mm MLRS</v>
      </c>
      <c r="L1520" s="1187">
        <f>VLOOKUP(I1520,'Price List, Weapons &amp; Items'!B:E,4,0)</f>
        <v>0</v>
      </c>
      <c r="M1520" s="1188">
        <v>4</v>
      </c>
      <c r="N1520" s="1188">
        <v>4</v>
      </c>
      <c r="O1520" s="1188">
        <f>VLOOKUP($I1520,'Price List, Weapons &amp; Items'!B:G,6,0)</f>
        <v>15076313.029999999</v>
      </c>
      <c r="P1520" s="1185">
        <f t="shared" si="316"/>
        <v>60305252.119999997</v>
      </c>
      <c r="Q1520" s="1185">
        <f t="shared" si="317"/>
        <v>60305252.119999997</v>
      </c>
      <c r="R1520" s="1185" t="str">
        <f t="shared" si="313"/>
        <v/>
      </c>
      <c r="S1520" s="1185" t="str">
        <f>IF(AND(AD1520=1,R1520&lt;&gt;".")=TRUE,R1520/VLOOKUP(G1520,'Exchange Rates'!B:C,2,0),IF(R1520=".",".",""))</f>
        <v/>
      </c>
      <c r="T1520" s="1185" t="str">
        <f>IF(AD1520=1,IF(AF1520="Value is not given at all",".",IF(AF1520="Value is given by the source",S1520,IF(AF1520="Value is calculated with prices",(IF(SUMIFS(Q:Q,A:A,A1520)&gt;0,SUMIFS(Q:Q,A:A,A1520),"."))/VLOOKUP("USD",'Exchange Rates'!B:C,2,0),"Error with coding"))),"")</f>
        <v/>
      </c>
      <c r="U1520" s="1184" t="s">
        <v>365</v>
      </c>
      <c r="V1520" s="974" t="s">
        <v>4099</v>
      </c>
      <c r="W1520" s="973" t="s">
        <v>3955</v>
      </c>
      <c r="X1520" s="973" t="s">
        <v>3959</v>
      </c>
      <c r="Y1520" s="973" t="s">
        <v>4097</v>
      </c>
      <c r="Z1520" s="1184">
        <v>0</v>
      </c>
      <c r="AA1520" s="1194">
        <v>0</v>
      </c>
      <c r="AB1520" s="973" t="s">
        <v>4100</v>
      </c>
      <c r="AC1520" s="1192" t="str">
        <f>""</f>
        <v/>
      </c>
      <c r="AD1520" s="985">
        <v>0</v>
      </c>
      <c r="AE1520" s="1302" t="s">
        <v>368</v>
      </c>
      <c r="AF1520" s="1193" t="s">
        <v>368</v>
      </c>
      <c r="AG1520" s="985">
        <v>1</v>
      </c>
      <c r="AH1520" s="985">
        <v>6</v>
      </c>
      <c r="AI1520" s="985">
        <v>0</v>
      </c>
      <c r="AJ1520" s="1193">
        <f>VLOOKUP($I1520,'Price List, Weapons &amp; Items'!B:F,5,0)</f>
        <v>1</v>
      </c>
      <c r="AK1520" s="1193">
        <f t="shared" si="318"/>
        <v>0</v>
      </c>
      <c r="AL1520" s="1193">
        <f t="shared" si="319"/>
        <v>0</v>
      </c>
      <c r="AM1520" s="1193">
        <f t="shared" si="320"/>
        <v>0</v>
      </c>
      <c r="AN1520" s="1194" t="str">
        <f>VLOOKUP($I1520,'Price List, Weapons &amp; Items'!B:L,COLUMN('Price List, Weapons &amp; Items'!$J$11)-1,0)</f>
        <v>Contracts</v>
      </c>
      <c r="AO1520" s="1194" t="str">
        <f>IF(I1520=".",".",VLOOKUP($I1520,'Price List, Weapons &amp; Items'!B:J,3,0))</f>
        <v>227mm MLRS</v>
      </c>
      <c r="AP1520" s="1195" t="str">
        <f t="shared" ca="1" si="314"/>
        <v/>
      </c>
      <c r="AQ1520" s="1194">
        <f>VLOOKUP($I1520,'Price List, Weapons &amp; Items'!B:L,COLUMN('Price List, Weapons &amp; Items'!$L$11)-1,0)</f>
        <v>2</v>
      </c>
      <c r="AR1520" s="1194">
        <f t="shared" si="321"/>
        <v>1</v>
      </c>
      <c r="AS1520" s="1194">
        <f t="shared" si="322"/>
        <v>1</v>
      </c>
      <c r="AT1520" s="1194">
        <f t="shared" si="323"/>
        <v>1</v>
      </c>
      <c r="AU1520" s="1194" t="str">
        <f t="shared" si="326"/>
        <v>.</v>
      </c>
      <c r="AV1520" s="1194" t="str">
        <f t="shared" si="315"/>
        <v>.</v>
      </c>
      <c r="AW1520" s="1194" t="str">
        <f t="shared" si="324"/>
        <v>.</v>
      </c>
      <c r="AX1520" s="1194">
        <f>IFERROR(VLOOKUP(B1520,'Share, Heavy Weapons to Ukraine'!B:Z,COLUMN('Share, Heavy Weapons to Ukraine'!C1532)-1,0),0)</f>
        <v>1</v>
      </c>
      <c r="AY1520" s="1194">
        <f>VLOOKUP('Bilateral Assistance, MAIN DATA'!B1520,'Country Summary (€)'!B:F,COLUMN('Country Summary (€)'!C1533)-1,FALSE)</f>
        <v>0</v>
      </c>
      <c r="AZ1520" s="1194" t="str">
        <f>IF(AND(AD1520=1,D1520="Military",H1520&lt;&gt;"Not given")=TRUE,IF(SUMIFS(P:P,A:A,A1520)&gt;0,ABS((SUMIFS(P:P,A:A,A1520)/VLOOKUP("USD",'Exchange Rates'!B:C,2,0)))/S1520,"."),".")</f>
        <v>.</v>
      </c>
      <c r="BA1520" s="1196" t="str">
        <f>IF(AND(AD1520=1,D1520="Military",H1520&lt;&gt;"Not given")=TRUE,IF(SUMIFS(P:P,A:A,A1520)&gt;0,IF((ABS((SUMIFS(P:P,A:A,A1520)/VLOOKUP("USD",'Exchange Rates'!B:C,2,0)))/S1520)&gt;1,(SUMIFS(P:P,A:A,A1520)-S1520)/S1520,(S1520-SUMIFS(P:P,A:A,A1520))/SUMIFS(P:P,A:A,A1520)),"."),".")</f>
        <v>.</v>
      </c>
    </row>
    <row r="1521" spans="1:53" ht="15.95" customHeight="1">
      <c r="A1521" s="1182" t="s">
        <v>3987</v>
      </c>
      <c r="B1521" s="1182" t="s">
        <v>3949</v>
      </c>
      <c r="C1521" s="1181">
        <v>44735</v>
      </c>
      <c r="D1521" s="1182" t="s">
        <v>389</v>
      </c>
      <c r="E1521" s="1182" t="s">
        <v>1676</v>
      </c>
      <c r="F1521" s="1183" t="s">
        <v>4098</v>
      </c>
      <c r="G1521" s="1184" t="s">
        <v>456</v>
      </c>
      <c r="H1521" s="1185">
        <v>450000000</v>
      </c>
      <c r="I1521" s="1266" t="s">
        <v>2253</v>
      </c>
      <c r="J1521" s="1186" t="str">
        <f>VLOOKUP($I1521,'Price List, Weapons &amp; Items'!B:C,2,0)</f>
        <v>Ammunition for heavy weapon</v>
      </c>
      <c r="K1521" s="1186" t="str">
        <f>IF(I1521=".",I1521,VLOOKUP($I1521,'Price List, Weapons &amp; Items'!B:D,3,0))</f>
        <v>105mm field gun ammunition</v>
      </c>
      <c r="L1521" s="1187">
        <f>VLOOKUP(I1521,'Price List, Weapons &amp; Items'!B:E,4,0)</f>
        <v>0</v>
      </c>
      <c r="M1521" s="1188">
        <v>36000</v>
      </c>
      <c r="N1521" s="1188">
        <v>36000</v>
      </c>
      <c r="O1521" s="1188">
        <f>VLOOKUP($I1521,'Price List, Weapons &amp; Items'!B:G,6,0)</f>
        <v>400</v>
      </c>
      <c r="P1521" s="1185">
        <f t="shared" si="316"/>
        <v>14400000</v>
      </c>
      <c r="Q1521" s="1185">
        <f t="shared" si="317"/>
        <v>14400000</v>
      </c>
      <c r="R1521" s="1185" t="str">
        <f t="shared" si="313"/>
        <v/>
      </c>
      <c r="S1521" s="1185" t="str">
        <f>IF(AND(AD1521=1,R1521&lt;&gt;".")=TRUE,R1521/VLOOKUP(G1521,'Exchange Rates'!B:C,2,0),IF(R1521=".",".",""))</f>
        <v/>
      </c>
      <c r="T1521" s="1185" t="str">
        <f>IF(AD1521=1,IF(AF1521="Value is not given at all",".",IF(AF1521="Value is given by the source",S1521,IF(AF1521="Value is calculated with prices",(IF(SUMIFS(Q:Q,A:A,A1521)&gt;0,SUMIFS(Q:Q,A:A,A1521),"."))/VLOOKUP("USD",'Exchange Rates'!B:C,2,0),"Error with coding"))),"")</f>
        <v/>
      </c>
      <c r="U1521" s="1184" t="s">
        <v>365</v>
      </c>
      <c r="V1521" s="974" t="s">
        <v>4099</v>
      </c>
      <c r="W1521" s="973" t="s">
        <v>3955</v>
      </c>
      <c r="X1521" s="973" t="s">
        <v>3959</v>
      </c>
      <c r="Y1521" s="973" t="s">
        <v>4100</v>
      </c>
      <c r="Z1521" s="1184">
        <v>0</v>
      </c>
      <c r="AA1521" s="1194">
        <v>0</v>
      </c>
      <c r="AB1521" s="973" t="s">
        <v>4101</v>
      </c>
      <c r="AC1521" s="1192" t="str">
        <f>""</f>
        <v/>
      </c>
      <c r="AD1521" s="985">
        <v>0</v>
      </c>
      <c r="AE1521" s="1302" t="s">
        <v>368</v>
      </c>
      <c r="AF1521" s="1193" t="s">
        <v>368</v>
      </c>
      <c r="AG1521" s="985">
        <v>1</v>
      </c>
      <c r="AH1521" s="985">
        <v>6</v>
      </c>
      <c r="AI1521" s="985">
        <v>0</v>
      </c>
      <c r="AJ1521" s="1193">
        <f>VLOOKUP($I1521,'Price List, Weapons &amp; Items'!B:F,5,0)</f>
        <v>0</v>
      </c>
      <c r="AK1521" s="1193">
        <f t="shared" si="318"/>
        <v>0</v>
      </c>
      <c r="AL1521" s="1193">
        <f t="shared" si="319"/>
        <v>0</v>
      </c>
      <c r="AM1521" s="1193">
        <f t="shared" si="320"/>
        <v>1</v>
      </c>
      <c r="AN1521" s="1194" t="str">
        <f>VLOOKUP($I1521,'Price List, Weapons &amp; Items'!B:L,COLUMN('Price List, Weapons &amp; Items'!$J$11)-1,0)</f>
        <v>Military media (incl. websites)</v>
      </c>
      <c r="AO1521" s="1194" t="str">
        <f>IF(I1521=".",".",VLOOKUP($I1521,'Price List, Weapons &amp; Items'!B:J,3,0))</f>
        <v>105mm field gun ammunition</v>
      </c>
      <c r="AP1521" s="1195" t="str">
        <f t="shared" ca="1" si="314"/>
        <v/>
      </c>
      <c r="AQ1521" s="1194">
        <f>VLOOKUP($I1521,'Price List, Weapons &amp; Items'!B:L,COLUMN('Price List, Weapons &amp; Items'!$L$11)-1,0)</f>
        <v>2</v>
      </c>
      <c r="AR1521" s="1194">
        <f t="shared" si="321"/>
        <v>1</v>
      </c>
      <c r="AS1521" s="1194">
        <f t="shared" si="322"/>
        <v>1</v>
      </c>
      <c r="AT1521" s="1194">
        <f t="shared" si="323"/>
        <v>1</v>
      </c>
      <c r="AU1521" s="1194" t="str">
        <f t="shared" si="326"/>
        <v>.</v>
      </c>
      <c r="AV1521" s="1194" t="str">
        <f t="shared" si="315"/>
        <v>.</v>
      </c>
      <c r="AW1521" s="1194" t="str">
        <f t="shared" si="324"/>
        <v>.</v>
      </c>
      <c r="AX1521" s="1194">
        <f>IFERROR(VLOOKUP(B1521,'Share, Heavy Weapons to Ukraine'!B:Z,COLUMN('Share, Heavy Weapons to Ukraine'!C1533)-1,0),0)</f>
        <v>1</v>
      </c>
      <c r="AY1521" s="1194">
        <f>VLOOKUP('Bilateral Assistance, MAIN DATA'!B1521,'Country Summary (€)'!B:F,COLUMN('Country Summary (€)'!C1534)-1,FALSE)</f>
        <v>0</v>
      </c>
      <c r="AZ1521" s="1194" t="str">
        <f>IF(AND(AD1521=1,D1521="Military",H1521&lt;&gt;"Not given")=TRUE,IF(SUMIFS(P:P,A:A,A1521)&gt;0,ABS((SUMIFS(P:P,A:A,A1521)/VLOOKUP("USD",'Exchange Rates'!B:C,2,0)))/S1521,"."),".")</f>
        <v>.</v>
      </c>
      <c r="BA1521" s="1196" t="str">
        <f>IF(AND(AD1521=1,D1521="Military",H1521&lt;&gt;"Not given")=TRUE,IF(SUMIFS(P:P,A:A,A1521)&gt;0,IF((ABS((SUMIFS(P:P,A:A,A1521)/VLOOKUP("USD",'Exchange Rates'!B:C,2,0)))/S1521)&gt;1,(SUMIFS(P:P,A:A,A1521)-S1521)/S1521,(S1521-SUMIFS(P:P,A:A,A1521))/SUMIFS(P:P,A:A,A1521)),"."),".")</f>
        <v>.</v>
      </c>
    </row>
    <row r="1522" spans="1:53" ht="15.95" customHeight="1">
      <c r="A1522" s="1182" t="s">
        <v>3987</v>
      </c>
      <c r="B1522" s="1182" t="s">
        <v>3949</v>
      </c>
      <c r="C1522" s="1181">
        <v>44735</v>
      </c>
      <c r="D1522" s="1182" t="s">
        <v>389</v>
      </c>
      <c r="E1522" s="1182" t="s">
        <v>1676</v>
      </c>
      <c r="F1522" s="1183" t="s">
        <v>4098</v>
      </c>
      <c r="G1522" s="1184" t="s">
        <v>456</v>
      </c>
      <c r="H1522" s="1185">
        <v>450000000</v>
      </c>
      <c r="I1522" s="1266" t="s">
        <v>4048</v>
      </c>
      <c r="J1522" s="1186" t="str">
        <f>VLOOKUP($I1522,'Price List, Weapons &amp; Items'!B:C,2,0)</f>
        <v>Military equipment</v>
      </c>
      <c r="K1522" s="1186" t="str">
        <f>IF(I1522=".",I1522,VLOOKUP($I1522,'Price List, Weapons &amp; Items'!B:D,3,0))</f>
        <v>Military equipment</v>
      </c>
      <c r="L1522" s="1187">
        <f>VLOOKUP(I1522,'Price List, Weapons &amp; Items'!B:E,4,0)</f>
        <v>0</v>
      </c>
      <c r="M1522" s="1188">
        <v>18</v>
      </c>
      <c r="N1522" s="1188">
        <v>18</v>
      </c>
      <c r="O1522" s="1188">
        <f>VLOOKUP($I1522,'Price List, Weapons &amp; Items'!B:G,6,0)</f>
        <v>350000</v>
      </c>
      <c r="P1522" s="1185">
        <f t="shared" si="316"/>
        <v>6300000</v>
      </c>
      <c r="Q1522" s="1185">
        <f t="shared" si="317"/>
        <v>6300000</v>
      </c>
      <c r="R1522" s="1185" t="str">
        <f t="shared" si="313"/>
        <v/>
      </c>
      <c r="S1522" s="1185" t="str">
        <f>IF(AND(AD1522=1,R1522&lt;&gt;".")=TRUE,R1522/VLOOKUP(G1522,'Exchange Rates'!B:C,2,0),IF(R1522=".",".",""))</f>
        <v/>
      </c>
      <c r="T1522" s="1185" t="str">
        <f>IF(AD1522=1,IF(AF1522="Value is not given at all",".",IF(AF1522="Value is given by the source",S1522,IF(AF1522="Value is calculated with prices",(IF(SUMIFS(Q:Q,A:A,A1522)&gt;0,SUMIFS(Q:Q,A:A,A1522),"."))/VLOOKUP("USD",'Exchange Rates'!B:C,2,0),"Error with coding"))),"")</f>
        <v/>
      </c>
      <c r="U1522" s="1184" t="s">
        <v>365</v>
      </c>
      <c r="V1522" s="974" t="s">
        <v>4099</v>
      </c>
      <c r="W1522" s="973" t="s">
        <v>3955</v>
      </c>
      <c r="X1522" s="973" t="s">
        <v>3959</v>
      </c>
      <c r="Y1522" s="973" t="s">
        <v>4101</v>
      </c>
      <c r="Z1522" s="1184">
        <v>0</v>
      </c>
      <c r="AA1522" s="1194">
        <v>0</v>
      </c>
      <c r="AB1522" s="973" t="s">
        <v>4102</v>
      </c>
      <c r="AC1522" s="1192" t="str">
        <f>""</f>
        <v/>
      </c>
      <c r="AD1522" s="985">
        <v>0</v>
      </c>
      <c r="AE1522" s="1302" t="s">
        <v>368</v>
      </c>
      <c r="AF1522" s="1193" t="s">
        <v>368</v>
      </c>
      <c r="AG1522" s="985">
        <v>1</v>
      </c>
      <c r="AH1522" s="985">
        <v>6</v>
      </c>
      <c r="AI1522" s="985">
        <v>0</v>
      </c>
      <c r="AJ1522" s="1193">
        <f>VLOOKUP($I1522,'Price List, Weapons &amp; Items'!B:F,5,0)</f>
        <v>0</v>
      </c>
      <c r="AK1522" s="1193">
        <f t="shared" si="318"/>
        <v>0</v>
      </c>
      <c r="AL1522" s="1193">
        <f t="shared" si="319"/>
        <v>0</v>
      </c>
      <c r="AM1522" s="1193">
        <f t="shared" si="320"/>
        <v>0</v>
      </c>
      <c r="AN1522" s="1194" t="str">
        <f>VLOOKUP($I1522,'Price List, Weapons &amp; Items'!B:L,COLUMN('Price List, Weapons &amp; Items'!$J$11)-1,0)</f>
        <v>Media reports (incl. social media)</v>
      </c>
      <c r="AO1522" s="1194" t="str">
        <f>IF(I1522=".",".",VLOOKUP($I1522,'Price List, Weapons &amp; Items'!B:J,3,0))</f>
        <v>Military equipment</v>
      </c>
      <c r="AP1522" s="1195" t="str">
        <f t="shared" ca="1" si="314"/>
        <v/>
      </c>
      <c r="AQ1522" s="1194">
        <f>VLOOKUP($I1522,'Price List, Weapons &amp; Items'!B:L,COLUMN('Price List, Weapons &amp; Items'!$L$11)-1,0)</f>
        <v>2</v>
      </c>
      <c r="AR1522" s="1194">
        <f t="shared" si="321"/>
        <v>1</v>
      </c>
      <c r="AS1522" s="1194">
        <f t="shared" si="322"/>
        <v>1</v>
      </c>
      <c r="AT1522" s="1194">
        <f t="shared" si="323"/>
        <v>1</v>
      </c>
      <c r="AU1522" s="1194" t="str">
        <f t="shared" si="326"/>
        <v>.</v>
      </c>
      <c r="AV1522" s="1194" t="str">
        <f t="shared" si="315"/>
        <v>.</v>
      </c>
      <c r="AW1522" s="1194" t="str">
        <f t="shared" si="324"/>
        <v>.</v>
      </c>
      <c r="AX1522" s="1194">
        <f>IFERROR(VLOOKUP(B1522,'Share, Heavy Weapons to Ukraine'!B:Z,COLUMN('Share, Heavy Weapons to Ukraine'!C1534)-1,0),0)</f>
        <v>1</v>
      </c>
      <c r="AY1522" s="1194">
        <f>VLOOKUP('Bilateral Assistance, MAIN DATA'!B1522,'Country Summary (€)'!B:F,COLUMN('Country Summary (€)'!C1535)-1,FALSE)</f>
        <v>0</v>
      </c>
      <c r="AZ1522" s="1194" t="str">
        <f>IF(AND(AD1522=1,D1522="Military",H1522&lt;&gt;"Not given")=TRUE,IF(SUMIFS(P:P,A:A,A1522)&gt;0,ABS((SUMIFS(P:P,A:A,A1522)/VLOOKUP("USD",'Exchange Rates'!B:C,2,0)))/S1522,"."),".")</f>
        <v>.</v>
      </c>
      <c r="BA1522" s="1196" t="str">
        <f>IF(AND(AD1522=1,D1522="Military",H1522&lt;&gt;"Not given")=TRUE,IF(SUMIFS(P:P,A:A,A1522)&gt;0,IF((ABS((SUMIFS(P:P,A:A,A1522)/VLOOKUP("USD",'Exchange Rates'!B:C,2,0)))/S1522)&gt;1,(SUMIFS(P:P,A:A,A1522)-S1522)/S1522,(S1522-SUMIFS(P:P,A:A,A1522))/SUMIFS(P:P,A:A,A1522)),"."),".")</f>
        <v>.</v>
      </c>
    </row>
    <row r="1523" spans="1:53" ht="15.95" customHeight="1">
      <c r="A1523" s="1182" t="s">
        <v>3987</v>
      </c>
      <c r="B1523" s="1182" t="s">
        <v>3949</v>
      </c>
      <c r="C1523" s="1181">
        <v>44735</v>
      </c>
      <c r="D1523" s="1182" t="s">
        <v>389</v>
      </c>
      <c r="E1523" s="1182" t="s">
        <v>1676</v>
      </c>
      <c r="F1523" s="1183" t="s">
        <v>4098</v>
      </c>
      <c r="G1523" s="1184" t="s">
        <v>456</v>
      </c>
      <c r="H1523" s="1185">
        <v>450000000</v>
      </c>
      <c r="I1523" s="1180" t="s">
        <v>4004</v>
      </c>
      <c r="J1523" s="1186" t="str">
        <f>VLOOKUP($I1523,'Price List, Weapons &amp; Items'!B:C,2,0)</f>
        <v>Portable defence system</v>
      </c>
      <c r="K1523" s="1186" t="str">
        <f>IF(I1523=".",I1523,VLOOKUP($I1523,'Price List, Weapons &amp; Items'!B:D,3,0))</f>
        <v>Under-barrel grenade launcher</v>
      </c>
      <c r="L1523" s="1187">
        <f>VLOOKUP(I1523,'Price List, Weapons &amp; Items'!B:E,4,0)</f>
        <v>0</v>
      </c>
      <c r="M1523" s="1188">
        <v>1200</v>
      </c>
      <c r="N1523" s="1188">
        <v>1200</v>
      </c>
      <c r="O1523" s="1188">
        <f>VLOOKUP($I1523,'Price List, Weapons &amp; Items'!B:G,6,0)</f>
        <v>2291</v>
      </c>
      <c r="P1523" s="1185">
        <f t="shared" si="316"/>
        <v>2749200</v>
      </c>
      <c r="Q1523" s="1185">
        <f t="shared" si="317"/>
        <v>2749200</v>
      </c>
      <c r="R1523" s="1185" t="str">
        <f t="shared" si="313"/>
        <v/>
      </c>
      <c r="S1523" s="1185" t="str">
        <f>IF(AND(AD1523=1,R1523&lt;&gt;".")=TRUE,R1523/VLOOKUP(G1523,'Exchange Rates'!B:C,2,0),IF(R1523=".",".",""))</f>
        <v/>
      </c>
      <c r="T1523" s="1185" t="str">
        <f>IF(AD1523=1,IF(AF1523="Value is not given at all",".",IF(AF1523="Value is given by the source",S1523,IF(AF1523="Value is calculated with prices",(IF(SUMIFS(Q:Q,A:A,A1523)&gt;0,SUMIFS(Q:Q,A:A,A1523),"."))/VLOOKUP("USD",'Exchange Rates'!B:C,2,0),"Error with coding"))),"")</f>
        <v/>
      </c>
      <c r="U1523" s="1184" t="s">
        <v>365</v>
      </c>
      <c r="V1523" s="974" t="s">
        <v>4099</v>
      </c>
      <c r="W1523" s="973" t="s">
        <v>3955</v>
      </c>
      <c r="X1523" s="973" t="s">
        <v>3959</v>
      </c>
      <c r="Y1523" s="973" t="s">
        <v>4102</v>
      </c>
      <c r="Z1523" s="1184">
        <v>0</v>
      </c>
      <c r="AA1523" s="1194">
        <v>0</v>
      </c>
      <c r="AB1523" s="973" t="s">
        <v>4103</v>
      </c>
      <c r="AC1523" s="1192" t="str">
        <f>""</f>
        <v/>
      </c>
      <c r="AD1523" s="985">
        <v>0</v>
      </c>
      <c r="AE1523" s="1302" t="s">
        <v>368</v>
      </c>
      <c r="AF1523" s="1193" t="s">
        <v>368</v>
      </c>
      <c r="AG1523" s="985">
        <v>1</v>
      </c>
      <c r="AH1523" s="985">
        <v>6</v>
      </c>
      <c r="AI1523" s="985">
        <v>0</v>
      </c>
      <c r="AJ1523" s="1193">
        <f>VLOOKUP($I1523,'Price List, Weapons &amp; Items'!B:F,5,0)</f>
        <v>0</v>
      </c>
      <c r="AK1523" s="1193">
        <f t="shared" si="318"/>
        <v>0</v>
      </c>
      <c r="AL1523" s="1193">
        <f t="shared" si="319"/>
        <v>0</v>
      </c>
      <c r="AM1523" s="1193">
        <f t="shared" si="320"/>
        <v>0</v>
      </c>
      <c r="AN1523" s="1194" t="str">
        <f>VLOOKUP($I1523,'Price List, Weapons &amp; Items'!B:L,COLUMN('Price List, Weapons &amp; Items'!$J$11)-1,0)</f>
        <v>Miscellaneous</v>
      </c>
      <c r="AO1523" s="1194" t="str">
        <f>IF(I1523=".",".",VLOOKUP($I1523,'Price List, Weapons &amp; Items'!B:J,3,0))</f>
        <v>Under-barrel grenade launcher</v>
      </c>
      <c r="AP1523" s="1195" t="str">
        <f t="shared" ca="1" si="314"/>
        <v/>
      </c>
      <c r="AQ1523" s="1194">
        <f>VLOOKUP($I1523,'Price List, Weapons &amp; Items'!B:L,COLUMN('Price List, Weapons &amp; Items'!$L$11)-1,0)</f>
        <v>2</v>
      </c>
      <c r="AR1523" s="1194">
        <f t="shared" si="321"/>
        <v>1</v>
      </c>
      <c r="AS1523" s="1194">
        <f t="shared" si="322"/>
        <v>1</v>
      </c>
      <c r="AT1523" s="1194">
        <f t="shared" si="323"/>
        <v>1</v>
      </c>
      <c r="AU1523" s="1194" t="str">
        <f t="shared" si="326"/>
        <v>.</v>
      </c>
      <c r="AV1523" s="1194" t="str">
        <f t="shared" si="315"/>
        <v>.</v>
      </c>
      <c r="AW1523" s="1194" t="str">
        <f t="shared" si="324"/>
        <v>.</v>
      </c>
      <c r="AX1523" s="1194">
        <f>IFERROR(VLOOKUP(B1523,'Share, Heavy Weapons to Ukraine'!B:Z,COLUMN('Share, Heavy Weapons to Ukraine'!C1535)-1,0),0)</f>
        <v>1</v>
      </c>
      <c r="AY1523" s="1194">
        <f>VLOOKUP('Bilateral Assistance, MAIN DATA'!B1523,'Country Summary (€)'!B:F,COLUMN('Country Summary (€)'!C1536)-1,FALSE)</f>
        <v>0</v>
      </c>
      <c r="AZ1523" s="1194" t="str">
        <f>IF(AND(AD1523=1,D1523="Military",H1523&lt;&gt;"Not given")=TRUE,IF(SUMIFS(P:P,A:A,A1523)&gt;0,ABS((SUMIFS(P:P,A:A,A1523)/VLOOKUP("USD",'Exchange Rates'!B:C,2,0)))/S1523,"."),".")</f>
        <v>.</v>
      </c>
      <c r="BA1523" s="1196" t="str">
        <f>IF(AND(AD1523=1,D1523="Military",H1523&lt;&gt;"Not given")=TRUE,IF(SUMIFS(P:P,A:A,A1523)&gt;0,IF((ABS((SUMIFS(P:P,A:A,A1523)/VLOOKUP("USD",'Exchange Rates'!B:C,2,0)))/S1523)&gt;1,(SUMIFS(P:P,A:A,A1523)-S1523)/S1523,(S1523-SUMIFS(P:P,A:A,A1523))/SUMIFS(P:P,A:A,A1523)),"."),".")</f>
        <v>.</v>
      </c>
    </row>
    <row r="1524" spans="1:53" ht="15.95" customHeight="1">
      <c r="A1524" s="1182" t="s">
        <v>3987</v>
      </c>
      <c r="B1524" s="1182" t="s">
        <v>3949</v>
      </c>
      <c r="C1524" s="1181">
        <v>44735</v>
      </c>
      <c r="D1524" s="1182" t="s">
        <v>389</v>
      </c>
      <c r="E1524" s="1182" t="s">
        <v>1676</v>
      </c>
      <c r="F1524" s="1183" t="s">
        <v>4098</v>
      </c>
      <c r="G1524" s="1184" t="s">
        <v>456</v>
      </c>
      <c r="H1524" s="1185">
        <v>450000000</v>
      </c>
      <c r="I1524" s="1266" t="s">
        <v>610</v>
      </c>
      <c r="J1524" s="1186" t="str">
        <f>VLOOKUP($I1524,'Price List, Weapons &amp; Items'!B:C,2,0)</f>
        <v>Light armaments &amp; infantry</v>
      </c>
      <c r="K1524" s="1186" t="str">
        <f>IF(I1524=".",I1524,VLOOKUP($I1524,'Price List, Weapons &amp; Items'!B:D,3,0))</f>
        <v>Small Arms and Light Weapons (SALW)</v>
      </c>
      <c r="L1524" s="1187">
        <f>VLOOKUP(I1524,'Price List, Weapons &amp; Items'!B:E,4,0)</f>
        <v>0</v>
      </c>
      <c r="M1524" s="1188">
        <v>2000</v>
      </c>
      <c r="N1524" s="1188">
        <v>2000</v>
      </c>
      <c r="O1524" s="1188">
        <f>VLOOKUP($I1524,'Price List, Weapons &amp; Items'!B:G,6,0)</f>
        <v>5300</v>
      </c>
      <c r="P1524" s="1185">
        <f t="shared" si="316"/>
        <v>10600000</v>
      </c>
      <c r="Q1524" s="1185">
        <f t="shared" si="317"/>
        <v>10600000</v>
      </c>
      <c r="R1524" s="1185" t="str">
        <f t="shared" si="313"/>
        <v/>
      </c>
      <c r="S1524" s="1185" t="str">
        <f>IF(AND(AD1524=1,R1524&lt;&gt;".")=TRUE,R1524/VLOOKUP(G1524,'Exchange Rates'!B:C,2,0),IF(R1524=".",".",""))</f>
        <v/>
      </c>
      <c r="T1524" s="1185" t="str">
        <f>IF(AD1524=1,IF(AF1524="Value is not given at all",".",IF(AF1524="Value is given by the source",S1524,IF(AF1524="Value is calculated with prices",(IF(SUMIFS(Q:Q,A:A,A1524)&gt;0,SUMIFS(Q:Q,A:A,A1524),"."))/VLOOKUP("USD",'Exchange Rates'!B:C,2,0),"Error with coding"))),"")</f>
        <v/>
      </c>
      <c r="U1524" s="1184" t="s">
        <v>365</v>
      </c>
      <c r="V1524" s="974" t="s">
        <v>4099</v>
      </c>
      <c r="W1524" s="973" t="s">
        <v>3955</v>
      </c>
      <c r="X1524" s="973" t="s">
        <v>3959</v>
      </c>
      <c r="Y1524" s="973" t="s">
        <v>4103</v>
      </c>
      <c r="Z1524" s="1184">
        <v>0</v>
      </c>
      <c r="AA1524" s="1194">
        <v>0</v>
      </c>
      <c r="AB1524" s="973" t="s">
        <v>4104</v>
      </c>
      <c r="AC1524" s="1192" t="str">
        <f>""</f>
        <v/>
      </c>
      <c r="AD1524" s="985">
        <v>0</v>
      </c>
      <c r="AE1524" s="1302" t="s">
        <v>368</v>
      </c>
      <c r="AF1524" s="1193" t="s">
        <v>368</v>
      </c>
      <c r="AG1524" s="985">
        <v>1</v>
      </c>
      <c r="AH1524" s="985">
        <v>6</v>
      </c>
      <c r="AI1524" s="985">
        <v>0</v>
      </c>
      <c r="AJ1524" s="1193">
        <f>VLOOKUP($I1524,'Price List, Weapons &amp; Items'!B:F,5,0)</f>
        <v>0</v>
      </c>
      <c r="AK1524" s="1193">
        <f t="shared" si="318"/>
        <v>0</v>
      </c>
      <c r="AL1524" s="1193">
        <f t="shared" si="319"/>
        <v>0</v>
      </c>
      <c r="AM1524" s="1193">
        <f t="shared" si="320"/>
        <v>0</v>
      </c>
      <c r="AN1524" s="1194" t="str">
        <f>VLOOKUP($I1524,'Price List, Weapons &amp; Items'!B:L,COLUMN('Price List, Weapons &amp; Items'!$J$11)-1,0)</f>
        <v>Miscellaneous</v>
      </c>
      <c r="AO1524" s="1194" t="str">
        <f>IF(I1524=".",".",VLOOKUP($I1524,'Price List, Weapons &amp; Items'!B:J,3,0))</f>
        <v>Small Arms and Light Weapons (SALW)</v>
      </c>
      <c r="AP1524" s="1195" t="str">
        <f t="shared" ca="1" si="314"/>
        <v/>
      </c>
      <c r="AQ1524" s="1194">
        <f>VLOOKUP($I1524,'Price List, Weapons &amp; Items'!B:L,COLUMN('Price List, Weapons &amp; Items'!$L$11)-1,0)</f>
        <v>2</v>
      </c>
      <c r="AR1524" s="1194">
        <f t="shared" si="321"/>
        <v>1</v>
      </c>
      <c r="AS1524" s="1194">
        <f t="shared" si="322"/>
        <v>1</v>
      </c>
      <c r="AT1524" s="1194">
        <f t="shared" si="323"/>
        <v>1</v>
      </c>
      <c r="AU1524" s="1194" t="str">
        <f t="shared" si="326"/>
        <v>.</v>
      </c>
      <c r="AV1524" s="1194" t="str">
        <f t="shared" si="315"/>
        <v>.</v>
      </c>
      <c r="AW1524" s="1194" t="str">
        <f t="shared" si="324"/>
        <v>.</v>
      </c>
      <c r="AX1524" s="1194">
        <f>IFERROR(VLOOKUP(B1524,'Share, Heavy Weapons to Ukraine'!B:Z,COLUMN('Share, Heavy Weapons to Ukraine'!C1536)-1,0),0)</f>
        <v>1</v>
      </c>
      <c r="AY1524" s="1194">
        <f>VLOOKUP('Bilateral Assistance, MAIN DATA'!B1524,'Country Summary (€)'!B:F,COLUMN('Country Summary (€)'!C1537)-1,FALSE)</f>
        <v>0</v>
      </c>
      <c r="AZ1524" s="1194" t="str">
        <f>IF(AND(AD1524=1,D1524="Military",H1524&lt;&gt;"Not given")=TRUE,IF(SUMIFS(P:P,A:A,A1524)&gt;0,ABS((SUMIFS(P:P,A:A,A1524)/VLOOKUP("USD",'Exchange Rates'!B:C,2,0)))/S1524,"."),".")</f>
        <v>.</v>
      </c>
      <c r="BA1524" s="1196" t="str">
        <f>IF(AND(AD1524=1,D1524="Military",H1524&lt;&gt;"Not given")=TRUE,IF(SUMIFS(P:P,A:A,A1524)&gt;0,IF((ABS((SUMIFS(P:P,A:A,A1524)/VLOOKUP("USD",'Exchange Rates'!B:C,2,0)))/S1524)&gt;1,(SUMIFS(P:P,A:A,A1524)-S1524)/S1524,(S1524-SUMIFS(P:P,A:A,A1524))/SUMIFS(P:P,A:A,A1524)),"."),".")</f>
        <v>.</v>
      </c>
    </row>
    <row r="1525" spans="1:53" ht="15.95" customHeight="1">
      <c r="A1525" s="1182" t="s">
        <v>3987</v>
      </c>
      <c r="B1525" s="1182" t="s">
        <v>3949</v>
      </c>
      <c r="C1525" s="1181">
        <v>44735</v>
      </c>
      <c r="D1525" s="1182" t="s">
        <v>389</v>
      </c>
      <c r="E1525" s="1182" t="s">
        <v>1676</v>
      </c>
      <c r="F1525" s="1183" t="s">
        <v>4098</v>
      </c>
      <c r="G1525" s="1184" t="s">
        <v>456</v>
      </c>
      <c r="H1525" s="1185">
        <v>450000000</v>
      </c>
      <c r="I1525" s="1266" t="s">
        <v>4105</v>
      </c>
      <c r="J1525" s="1186" t="str">
        <f>VLOOKUP($I1525,'Price List, Weapons &amp; Items'!B:C,2,0)</f>
        <v>Heavy weapon</v>
      </c>
      <c r="K1525" s="1186" t="str">
        <f>IF(I1525=".",I1525,VLOOKUP($I1525,'Price List, Weapons &amp; Items'!B:D,3,0))</f>
        <v>Patrol and coastal combatants</v>
      </c>
      <c r="L1525" s="1187">
        <f>VLOOKUP(I1525,'Price List, Weapons &amp; Items'!B:E,4,0)</f>
        <v>0</v>
      </c>
      <c r="M1525" s="1188">
        <v>18</v>
      </c>
      <c r="N1525" s="1188">
        <v>18</v>
      </c>
      <c r="O1525" s="1188">
        <f>VLOOKUP($I1525,'Price List, Weapons &amp; Items'!B:G,6,0)</f>
        <v>39916727.899999999</v>
      </c>
      <c r="P1525" s="1185">
        <f t="shared" si="316"/>
        <v>718501102.19999993</v>
      </c>
      <c r="Q1525" s="1185">
        <f t="shared" si="317"/>
        <v>718501102.19999993</v>
      </c>
      <c r="R1525" s="1185" t="str">
        <f t="shared" si="313"/>
        <v/>
      </c>
      <c r="S1525" s="1185" t="str">
        <f>IF(AND(AD1525=1,R1525&lt;&gt;".")=TRUE,R1525/VLOOKUP(G1525,'Exchange Rates'!B:C,2,0),IF(R1525=".",".",""))</f>
        <v/>
      </c>
      <c r="T1525" s="1185" t="str">
        <f>IF(AD1525=1,IF(AF1525="Value is not given at all",".",IF(AF1525="Value is given by the source",S1525,IF(AF1525="Value is calculated with prices",(IF(SUMIFS(Q:Q,A:A,A1525)&gt;0,SUMIFS(Q:Q,A:A,A1525),"."))/VLOOKUP("USD",'Exchange Rates'!B:C,2,0),"Error with coding"))),"")</f>
        <v/>
      </c>
      <c r="U1525" s="1184" t="s">
        <v>365</v>
      </c>
      <c r="V1525" s="974" t="s">
        <v>4099</v>
      </c>
      <c r="W1525" s="973" t="s">
        <v>3955</v>
      </c>
      <c r="X1525" s="973" t="s">
        <v>3959</v>
      </c>
      <c r="Y1525" s="973" t="s">
        <v>4104</v>
      </c>
      <c r="Z1525" s="1184">
        <v>0</v>
      </c>
      <c r="AA1525" s="1194">
        <v>0</v>
      </c>
      <c r="AB1525" s="973" t="s">
        <v>4106</v>
      </c>
      <c r="AC1525" s="1192" t="str">
        <f>""</f>
        <v/>
      </c>
      <c r="AD1525" s="985">
        <v>0</v>
      </c>
      <c r="AE1525" s="1302" t="s">
        <v>368</v>
      </c>
      <c r="AF1525" s="1193" t="s">
        <v>368</v>
      </c>
      <c r="AG1525" s="985">
        <v>1</v>
      </c>
      <c r="AH1525" s="985">
        <v>6</v>
      </c>
      <c r="AI1525" s="985">
        <v>0</v>
      </c>
      <c r="AJ1525" s="1193">
        <f>VLOOKUP($I1525,'Price List, Weapons &amp; Items'!B:F,5,0)</f>
        <v>0</v>
      </c>
      <c r="AK1525" s="1193">
        <f t="shared" si="318"/>
        <v>0</v>
      </c>
      <c r="AL1525" s="1193">
        <f t="shared" si="319"/>
        <v>0</v>
      </c>
      <c r="AM1525" s="1193">
        <f t="shared" si="320"/>
        <v>0</v>
      </c>
      <c r="AN1525" s="1194" t="str">
        <f>VLOOKUP($I1525,'Price List, Weapons &amp; Items'!B:L,COLUMN('Price List, Weapons &amp; Items'!$J$11)-1,0)</f>
        <v>Military media (incl. websites)</v>
      </c>
      <c r="AO1525" s="1194" t="str">
        <f>IF(I1525=".",".",VLOOKUP($I1525,'Price List, Weapons &amp; Items'!B:J,3,0))</f>
        <v>Patrol and coastal combatants</v>
      </c>
      <c r="AP1525" s="1195" t="str">
        <f t="shared" ca="1" si="314"/>
        <v/>
      </c>
      <c r="AQ1525" s="1194">
        <f>VLOOKUP($I1525,'Price List, Weapons &amp; Items'!B:L,COLUMN('Price List, Weapons &amp; Items'!$L$11)-1,0)</f>
        <v>2</v>
      </c>
      <c r="AR1525" s="1194">
        <f t="shared" si="321"/>
        <v>1</v>
      </c>
      <c r="AS1525" s="1194">
        <f t="shared" si="322"/>
        <v>1</v>
      </c>
      <c r="AT1525" s="1194">
        <f t="shared" si="323"/>
        <v>1</v>
      </c>
      <c r="AU1525" s="1194" t="str">
        <f t="shared" si="326"/>
        <v>.</v>
      </c>
      <c r="AV1525" s="1194" t="str">
        <f t="shared" si="315"/>
        <v>.</v>
      </c>
      <c r="AW1525" s="1194" t="str">
        <f t="shared" si="324"/>
        <v>.</v>
      </c>
      <c r="AX1525" s="1194">
        <f>IFERROR(VLOOKUP(B1525,'Share, Heavy Weapons to Ukraine'!B:Z,COLUMN('Share, Heavy Weapons to Ukraine'!C1537)-1,0),0)</f>
        <v>1</v>
      </c>
      <c r="AY1525" s="1194">
        <f>VLOOKUP('Bilateral Assistance, MAIN DATA'!B1525,'Country Summary (€)'!B:F,COLUMN('Country Summary (€)'!C1538)-1,FALSE)</f>
        <v>0</v>
      </c>
      <c r="AZ1525" s="1194" t="str">
        <f>IF(AND(AD1525=1,D1525="Military",H1525&lt;&gt;"Not given")=TRUE,IF(SUMIFS(P:P,A:A,A1525)&gt;0,ABS((SUMIFS(P:P,A:A,A1525)/VLOOKUP("USD",'Exchange Rates'!B:C,2,0)))/S1525,"."),".")</f>
        <v>.</v>
      </c>
      <c r="BA1525" s="1196" t="str">
        <f>IF(AND(AD1525=1,D1525="Military",H1525&lt;&gt;"Not given")=TRUE,IF(SUMIFS(P:P,A:A,A1525)&gt;0,IF((ABS((SUMIFS(P:P,A:A,A1525)/VLOOKUP("USD",'Exchange Rates'!B:C,2,0)))/S1525)&gt;1,(SUMIFS(P:P,A:A,A1525)-S1525)/S1525,(S1525-SUMIFS(P:P,A:A,A1525))/SUMIFS(P:P,A:A,A1525)),"."),".")</f>
        <v>.</v>
      </c>
    </row>
    <row r="1526" spans="1:53" ht="15.95" customHeight="1">
      <c r="A1526" s="1182" t="s">
        <v>3987</v>
      </c>
      <c r="B1526" s="1182" t="s">
        <v>3949</v>
      </c>
      <c r="C1526" s="1181">
        <v>44735</v>
      </c>
      <c r="D1526" s="1182" t="s">
        <v>389</v>
      </c>
      <c r="E1526" s="1182" t="s">
        <v>1676</v>
      </c>
      <c r="F1526" s="1183" t="s">
        <v>4098</v>
      </c>
      <c r="G1526" s="1184" t="s">
        <v>456</v>
      </c>
      <c r="H1526" s="1185">
        <v>450000000</v>
      </c>
      <c r="I1526" s="1266" t="s">
        <v>632</v>
      </c>
      <c r="J1526" s="1186" t="str">
        <f>VLOOKUP($I1526,'Price List, Weapons &amp; Items'!B:C,2,0)</f>
        <v>Military equipment</v>
      </c>
      <c r="K1526" s="1186" t="str">
        <f>IF(I1526=".",I1526,VLOOKUP($I1526,'Price List, Weapons &amp; Items'!B:D,3,0))</f>
        <v>spare parts</v>
      </c>
      <c r="L1526" s="1187">
        <f>VLOOKUP(I1526,'Price List, Weapons &amp; Items'!B:E,4,0)</f>
        <v>0</v>
      </c>
      <c r="M1526" s="1188" t="s">
        <v>374</v>
      </c>
      <c r="N1526" s="1188" t="s">
        <v>374</v>
      </c>
      <c r="O1526" s="1188" t="str">
        <f>VLOOKUP($I1526,'Price List, Weapons &amp; Items'!B:G,6,0)</f>
        <v>.</v>
      </c>
      <c r="P1526" s="1185" t="str">
        <f t="shared" si="316"/>
        <v>.</v>
      </c>
      <c r="Q1526" s="1185" t="str">
        <f t="shared" si="317"/>
        <v>.</v>
      </c>
      <c r="R1526" s="1185" t="str">
        <f t="shared" si="313"/>
        <v/>
      </c>
      <c r="S1526" s="1185" t="str">
        <f>IF(AND(AD1526=1,R1526&lt;&gt;".")=TRUE,R1526/VLOOKUP(G1526,'Exchange Rates'!B:C,2,0),IF(R1526=".",".",""))</f>
        <v/>
      </c>
      <c r="T1526" s="1185" t="str">
        <f>IF(AD1526=1,IF(AF1526="Value is not given at all",".",IF(AF1526="Value is given by the source",S1526,IF(AF1526="Value is calculated with prices",(IF(SUMIFS(Q:Q,A:A,A1526)&gt;0,SUMIFS(Q:Q,A:A,A1526),"."))/VLOOKUP("USD",'Exchange Rates'!B:C,2,0),"Error with coding"))),"")</f>
        <v/>
      </c>
      <c r="U1526" s="1184" t="s">
        <v>365</v>
      </c>
      <c r="V1526" s="974" t="s">
        <v>4099</v>
      </c>
      <c r="W1526" s="973" t="s">
        <v>3955</v>
      </c>
      <c r="X1526" s="973" t="s">
        <v>3959</v>
      </c>
      <c r="Y1526" s="973" t="s">
        <v>4106</v>
      </c>
      <c r="Z1526" s="1184">
        <v>0</v>
      </c>
      <c r="AA1526" s="1194">
        <v>0</v>
      </c>
      <c r="AB1526" s="973" t="s">
        <v>4107</v>
      </c>
      <c r="AC1526" s="1192" t="str">
        <f>""</f>
        <v/>
      </c>
      <c r="AD1526" s="985">
        <v>0</v>
      </c>
      <c r="AE1526" s="1302" t="s">
        <v>368</v>
      </c>
      <c r="AF1526" s="1193" t="s">
        <v>368</v>
      </c>
      <c r="AG1526" s="985">
        <v>1</v>
      </c>
      <c r="AH1526" s="985">
        <v>6</v>
      </c>
      <c r="AI1526" s="985">
        <v>0</v>
      </c>
      <c r="AJ1526" s="1193">
        <f>VLOOKUP($I1526,'Price List, Weapons &amp; Items'!B:F,5,0)</f>
        <v>0</v>
      </c>
      <c r="AK1526" s="1193">
        <f t="shared" si="318"/>
        <v>0</v>
      </c>
      <c r="AL1526" s="1193">
        <f t="shared" si="319"/>
        <v>0</v>
      </c>
      <c r="AM1526" s="1193">
        <f t="shared" si="320"/>
        <v>0</v>
      </c>
      <c r="AN1526" s="1194" t="str">
        <f>VLOOKUP($I1526,'Price List, Weapons &amp; Items'!B:L,COLUMN('Price List, Weapons &amp; Items'!$J$11)-1,0)</f>
        <v>.</v>
      </c>
      <c r="AO1526" s="1194" t="str">
        <f>IF(I1526=".",".",VLOOKUP($I1526,'Price List, Weapons &amp; Items'!B:J,3,0))</f>
        <v>spare parts</v>
      </c>
      <c r="AP1526" s="1195" t="str">
        <f t="shared" ca="1" si="314"/>
        <v/>
      </c>
      <c r="AQ1526" s="1194" t="str">
        <f>VLOOKUP($I1526,'Price List, Weapons &amp; Items'!B:L,COLUMN('Price List, Weapons &amp; Items'!$L$11)-1,0)</f>
        <v>no price, 0 count</v>
      </c>
      <c r="AR1526" s="1194">
        <f t="shared" si="321"/>
        <v>1</v>
      </c>
      <c r="AS1526" s="1194">
        <f t="shared" si="322"/>
        <v>1</v>
      </c>
      <c r="AT1526" s="1194">
        <f t="shared" si="323"/>
        <v>1</v>
      </c>
      <c r="AU1526" s="1194" t="str">
        <f t="shared" si="326"/>
        <v>.</v>
      </c>
      <c r="AV1526" s="1194" t="str">
        <f t="shared" si="315"/>
        <v>.</v>
      </c>
      <c r="AW1526" s="1194" t="str">
        <f t="shared" si="324"/>
        <v>.</v>
      </c>
      <c r="AX1526" s="1194">
        <f>IFERROR(VLOOKUP(B1526,'Share, Heavy Weapons to Ukraine'!B:Z,COLUMN('Share, Heavy Weapons to Ukraine'!C1538)-1,0),0)</f>
        <v>1</v>
      </c>
      <c r="AY1526" s="1194">
        <f>VLOOKUP('Bilateral Assistance, MAIN DATA'!B1526,'Country Summary (€)'!B:F,COLUMN('Country Summary (€)'!C1539)-1,FALSE)</f>
        <v>0</v>
      </c>
      <c r="AZ1526" s="1194" t="str">
        <f>IF(AND(AD1526=1,D1526="Military",H1526&lt;&gt;"Not given")=TRUE,IF(SUMIFS(P:P,A:A,A1526)&gt;0,ABS((SUMIFS(P:P,A:A,A1526)/VLOOKUP("USD",'Exchange Rates'!B:C,2,0)))/S1526,"."),".")</f>
        <v>.</v>
      </c>
      <c r="BA1526" s="1196" t="str">
        <f>IF(AND(AD1526=1,D1526="Military",H1526&lt;&gt;"Not given")=TRUE,IF(SUMIFS(P:P,A:A,A1526)&gt;0,IF((ABS((SUMIFS(P:P,A:A,A1526)/VLOOKUP("USD",'Exchange Rates'!B:C,2,0)))/S1526)&gt;1,(SUMIFS(P:P,A:A,A1526)-S1526)/S1526,(S1526-SUMIFS(P:P,A:A,A1526))/SUMIFS(P:P,A:A,A1526)),"."),".")</f>
        <v>.</v>
      </c>
    </row>
    <row r="1527" spans="1:53" ht="15.95" customHeight="1">
      <c r="A1527" s="1182" t="s">
        <v>3987</v>
      </c>
      <c r="B1527" s="1182" t="s">
        <v>3949</v>
      </c>
      <c r="C1527" s="1181">
        <v>44743</v>
      </c>
      <c r="D1527" s="1182" t="s">
        <v>389</v>
      </c>
      <c r="E1527" s="1182" t="s">
        <v>1676</v>
      </c>
      <c r="F1527" s="1183" t="s">
        <v>4108</v>
      </c>
      <c r="G1527" s="1184" t="s">
        <v>456</v>
      </c>
      <c r="H1527" s="1185">
        <v>50000000</v>
      </c>
      <c r="I1527" s="1180" t="s">
        <v>4093</v>
      </c>
      <c r="J1527" s="1186" t="str">
        <f>VLOOKUP($I1527,'Price List, Weapons &amp; Items'!B:C,2,0)</f>
        <v>Ammunition for heavy weapon</v>
      </c>
      <c r="K1527" s="1186" t="str">
        <f>IF(I1527=".",I1527,VLOOKUP($I1527,'Price List, Weapons &amp; Items'!B:D,3,0))</f>
        <v>227mm MLRS ammunition</v>
      </c>
      <c r="L1527" s="1187">
        <f>VLOOKUP(I1527,'Price List, Weapons &amp; Items'!B:E,4,0)</f>
        <v>0</v>
      </c>
      <c r="M1527" s="1188" t="s">
        <v>374</v>
      </c>
      <c r="N1527" s="1188" t="s">
        <v>374</v>
      </c>
      <c r="O1527" s="1188">
        <f>VLOOKUP($I1527,'Price List, Weapons &amp; Items'!B:G,6,0)</f>
        <v>150000</v>
      </c>
      <c r="P1527" s="1185" t="str">
        <f t="shared" si="316"/>
        <v>.</v>
      </c>
      <c r="Q1527" s="1185" t="str">
        <f t="shared" si="317"/>
        <v>.</v>
      </c>
      <c r="R1527" s="1185" t="str">
        <f t="shared" si="313"/>
        <v/>
      </c>
      <c r="S1527" s="1185" t="str">
        <f>IF(AND(AD1527=1,R1527&lt;&gt;".")=TRUE,R1527/VLOOKUP(G1527,'Exchange Rates'!B:C,2,0),IF(R1527=".",".",""))</f>
        <v/>
      </c>
      <c r="T1527" s="1185" t="str">
        <f>IF(AD1527=1,IF(AF1527="Value is not given at all",".",IF(AF1527="Value is given by the source",S1527,IF(AF1527="Value is calculated with prices",(IF(SUMIFS(Q:Q,A:A,A1527)&gt;0,SUMIFS(Q:Q,A:A,A1527),"."))/VLOOKUP("USD",'Exchange Rates'!B:C,2,0),"Error with coding"))),"")</f>
        <v/>
      </c>
      <c r="U1527" s="1184" t="s">
        <v>365</v>
      </c>
      <c r="V1527" s="971" t="s">
        <v>4109</v>
      </c>
      <c r="W1527" s="973" t="s">
        <v>3955</v>
      </c>
      <c r="X1527" s="973" t="s">
        <v>3959</v>
      </c>
      <c r="Y1527" s="973" t="s">
        <v>4107</v>
      </c>
      <c r="Z1527" s="1184">
        <v>0</v>
      </c>
      <c r="AA1527" s="1194">
        <v>0</v>
      </c>
      <c r="AB1527" s="973" t="s">
        <v>4110</v>
      </c>
      <c r="AC1527" s="1192" t="str">
        <f>""</f>
        <v/>
      </c>
      <c r="AD1527" s="985">
        <v>0</v>
      </c>
      <c r="AE1527" s="1302" t="s">
        <v>368</v>
      </c>
      <c r="AF1527" s="1193" t="s">
        <v>368</v>
      </c>
      <c r="AG1527" s="985">
        <v>1</v>
      </c>
      <c r="AH1527" s="1193">
        <v>7</v>
      </c>
      <c r="AI1527" s="1193">
        <v>0</v>
      </c>
      <c r="AJ1527" s="1193">
        <f>VLOOKUP($I1527,'Price List, Weapons &amp; Items'!B:F,5,0)</f>
        <v>1</v>
      </c>
      <c r="AK1527" s="1193">
        <f t="shared" si="318"/>
        <v>1</v>
      </c>
      <c r="AL1527" s="1193">
        <f t="shared" si="319"/>
        <v>1</v>
      </c>
      <c r="AM1527" s="1193">
        <f t="shared" si="320"/>
        <v>1</v>
      </c>
      <c r="AN1527" s="1194" t="str">
        <f>VLOOKUP($I1527,'Price List, Weapons &amp; Items'!B:L,COLUMN('Price List, Weapons &amp; Items'!$J$11)-1,0)</f>
        <v>Media reports (incl. social media)</v>
      </c>
      <c r="AO1527" s="1194" t="str">
        <f>IF(I1527=".",".",VLOOKUP($I1527,'Price List, Weapons &amp; Items'!B:J,3,0))</f>
        <v>227mm MLRS ammunition</v>
      </c>
      <c r="AP1527" s="1195" t="str">
        <f t="shared" ca="1" si="314"/>
        <v/>
      </c>
      <c r="AQ1527" s="1194" t="str">
        <f>VLOOKUP($I1527,'Price List, Weapons &amp; Items'!B:L,COLUMN('Price List, Weapons &amp; Items'!$L$11)-1,0)</f>
        <v>no price, 0 count</v>
      </c>
      <c r="AR1527" s="1194">
        <f t="shared" si="321"/>
        <v>1</v>
      </c>
      <c r="AS1527" s="1194">
        <f t="shared" si="322"/>
        <v>1</v>
      </c>
      <c r="AT1527" s="1194">
        <f t="shared" si="323"/>
        <v>1</v>
      </c>
      <c r="AU1527" s="1194" t="str">
        <f t="shared" si="326"/>
        <v>.</v>
      </c>
      <c r="AV1527" s="1194" t="str">
        <f t="shared" si="315"/>
        <v>.</v>
      </c>
      <c r="AW1527" s="1194" t="str">
        <f t="shared" si="324"/>
        <v>.</v>
      </c>
      <c r="AX1527" s="1194">
        <f>IFERROR(VLOOKUP(B1527,'Share, Heavy Weapons to Ukraine'!B:Z,COLUMN('Share, Heavy Weapons to Ukraine'!C1539)-1,0),0)</f>
        <v>1</v>
      </c>
      <c r="AY1527" s="1194">
        <f>VLOOKUP('Bilateral Assistance, MAIN DATA'!B1527,'Country Summary (€)'!B:F,COLUMN('Country Summary (€)'!C1540)-1,FALSE)</f>
        <v>0</v>
      </c>
      <c r="AZ1527" s="1194" t="str">
        <f>IF(AND(AD1527=1,D1527="Military",H1527&lt;&gt;"Not given")=TRUE,IF(SUMIFS(P:P,A:A,A1527)&gt;0,ABS((SUMIFS(P:P,A:A,A1527)/VLOOKUP("USD",'Exchange Rates'!B:C,2,0)))/S1527,"."),".")</f>
        <v>.</v>
      </c>
      <c r="BA1527" s="1196" t="str">
        <f>IF(AND(AD1527=1,D1527="Military",H1527&lt;&gt;"Not given")=TRUE,IF(SUMIFS(P:P,A:A,A1527)&gt;0,IF((ABS((SUMIFS(P:P,A:A,A1527)/VLOOKUP("USD",'Exchange Rates'!B:C,2,0)))/S1527)&gt;1,(SUMIFS(P:P,A:A,A1527)-S1527)/S1527,(S1527-SUMIFS(P:P,A:A,A1527))/SUMIFS(P:P,A:A,A1527)),"."),".")</f>
        <v>.</v>
      </c>
    </row>
    <row r="1528" spans="1:53" ht="15.95" customHeight="1">
      <c r="A1528" s="1182" t="s">
        <v>3987</v>
      </c>
      <c r="B1528" s="1182" t="s">
        <v>3949</v>
      </c>
      <c r="C1528" s="1181">
        <v>44751</v>
      </c>
      <c r="D1528" s="1182" t="s">
        <v>389</v>
      </c>
      <c r="E1528" s="1182" t="s">
        <v>1676</v>
      </c>
      <c r="F1528" s="1183" t="s">
        <v>4111</v>
      </c>
      <c r="G1528" s="1184" t="s">
        <v>456</v>
      </c>
      <c r="H1528" s="1185">
        <v>400000000</v>
      </c>
      <c r="I1528" s="1180" t="s">
        <v>4070</v>
      </c>
      <c r="J1528" s="1186" t="str">
        <f>VLOOKUP($I1528,'Price List, Weapons &amp; Items'!B:C,2,0)</f>
        <v>Heavy weapon</v>
      </c>
      <c r="K1528" s="1186" t="str">
        <f>IF(I1528=".",I1528,VLOOKUP($I1528,'Price List, Weapons &amp; Items'!B:D,3,0))</f>
        <v>227mm MLRS</v>
      </c>
      <c r="L1528" s="1187">
        <f>VLOOKUP(I1528,'Price List, Weapons &amp; Items'!B:E,4,0)</f>
        <v>0</v>
      </c>
      <c r="M1528" s="1188">
        <v>4</v>
      </c>
      <c r="N1528" s="1188">
        <v>4</v>
      </c>
      <c r="O1528" s="1188">
        <f>VLOOKUP($I1528,'Price List, Weapons &amp; Items'!B:G,6,0)</f>
        <v>15076313.029999999</v>
      </c>
      <c r="P1528" s="1185">
        <f t="shared" si="316"/>
        <v>60305252.119999997</v>
      </c>
      <c r="Q1528" s="1185">
        <f t="shared" si="317"/>
        <v>60305252.119999997</v>
      </c>
      <c r="R1528" s="1185" t="str">
        <f t="shared" si="313"/>
        <v/>
      </c>
      <c r="S1528" s="1185" t="str">
        <f>IF(AND(AD1528=1,R1528&lt;&gt;".")=TRUE,R1528/VLOOKUP(G1528,'Exchange Rates'!B:C,2,0),IF(R1528=".",".",""))</f>
        <v/>
      </c>
      <c r="T1528" s="1185" t="str">
        <f>IF(AD1528=1,IF(AF1528="Value is not given at all",".",IF(AF1528="Value is given by the source",S1528,IF(AF1528="Value is calculated with prices",(IF(SUMIFS(Q:Q,A:A,A1528)&gt;0,SUMIFS(Q:Q,A:A,A1528),"."))/VLOOKUP("USD",'Exchange Rates'!B:C,2,0),"Error with coding"))),"")</f>
        <v/>
      </c>
      <c r="U1528" s="1184" t="s">
        <v>365</v>
      </c>
      <c r="V1528" s="974" t="s">
        <v>4112</v>
      </c>
      <c r="W1528" s="973" t="s">
        <v>3955</v>
      </c>
      <c r="X1528" s="973" t="s">
        <v>3959</v>
      </c>
      <c r="Y1528" s="973" t="s">
        <v>4110</v>
      </c>
      <c r="Z1528" s="1184">
        <v>0</v>
      </c>
      <c r="AA1528" s="1194">
        <v>0</v>
      </c>
      <c r="AB1528" s="973" t="s">
        <v>4071</v>
      </c>
      <c r="AC1528" s="1192" t="str">
        <f>""</f>
        <v/>
      </c>
      <c r="AD1528" s="985">
        <v>0</v>
      </c>
      <c r="AE1528" s="1302" t="s">
        <v>368</v>
      </c>
      <c r="AF1528" s="1193" t="s">
        <v>368</v>
      </c>
      <c r="AG1528" s="985">
        <v>1</v>
      </c>
      <c r="AH1528" s="985">
        <v>7</v>
      </c>
      <c r="AI1528" s="985">
        <v>0</v>
      </c>
      <c r="AJ1528" s="1193">
        <f>VLOOKUP($I1528,'Price List, Weapons &amp; Items'!B:F,5,0)</f>
        <v>1</v>
      </c>
      <c r="AK1528" s="1193">
        <f t="shared" si="318"/>
        <v>0</v>
      </c>
      <c r="AL1528" s="1193">
        <f t="shared" si="319"/>
        <v>0</v>
      </c>
      <c r="AM1528" s="1193">
        <f t="shared" si="320"/>
        <v>0</v>
      </c>
      <c r="AN1528" s="1194" t="str">
        <f>VLOOKUP($I1528,'Price List, Weapons &amp; Items'!B:L,COLUMN('Price List, Weapons &amp; Items'!$J$11)-1,0)</f>
        <v>Contracts</v>
      </c>
      <c r="AO1528" s="1194" t="str">
        <f>IF(I1528=".",".",VLOOKUP($I1528,'Price List, Weapons &amp; Items'!B:J,3,0))</f>
        <v>227mm MLRS</v>
      </c>
      <c r="AP1528" s="1195" t="str">
        <f t="shared" ca="1" si="314"/>
        <v/>
      </c>
      <c r="AQ1528" s="1194">
        <f>VLOOKUP($I1528,'Price List, Weapons &amp; Items'!B:L,COLUMN('Price List, Weapons &amp; Items'!$L$11)-1,0)</f>
        <v>2</v>
      </c>
      <c r="AR1528" s="1194">
        <f t="shared" si="321"/>
        <v>1</v>
      </c>
      <c r="AS1528" s="1194">
        <f t="shared" si="322"/>
        <v>1</v>
      </c>
      <c r="AT1528" s="1194">
        <f t="shared" si="323"/>
        <v>1</v>
      </c>
      <c r="AU1528" s="1194" t="str">
        <f t="shared" si="326"/>
        <v>.</v>
      </c>
      <c r="AV1528" s="1194" t="str">
        <f t="shared" si="315"/>
        <v>.</v>
      </c>
      <c r="AW1528" s="1194" t="str">
        <f t="shared" si="324"/>
        <v>.</v>
      </c>
      <c r="AX1528" s="1194">
        <f>IFERROR(VLOOKUP(B1528,'Share, Heavy Weapons to Ukraine'!B:Z,COLUMN('Share, Heavy Weapons to Ukraine'!C1540)-1,0),0)</f>
        <v>1</v>
      </c>
      <c r="AY1528" s="1194">
        <f>VLOOKUP('Bilateral Assistance, MAIN DATA'!B1528,'Country Summary (€)'!B:F,COLUMN('Country Summary (€)'!C1541)-1,FALSE)</f>
        <v>0</v>
      </c>
      <c r="AZ1528" s="1194" t="str">
        <f>IF(AND(AD1528=1,D1528="Military",H1528&lt;&gt;"Not given")=TRUE,IF(SUMIFS(P:P,A:A,A1528)&gt;0,ABS((SUMIFS(P:P,A:A,A1528)/VLOOKUP("USD",'Exchange Rates'!B:C,2,0)))/S1528,"."),".")</f>
        <v>.</v>
      </c>
      <c r="BA1528" s="1196" t="str">
        <f>IF(AND(AD1528=1,D1528="Military",H1528&lt;&gt;"Not given")=TRUE,IF(SUMIFS(P:P,A:A,A1528)&gt;0,IF((ABS((SUMIFS(P:P,A:A,A1528)/VLOOKUP("USD",'Exchange Rates'!B:C,2,0)))/S1528)&gt;1,(SUMIFS(P:P,A:A,A1528)-S1528)/S1528,(S1528-SUMIFS(P:P,A:A,A1528))/SUMIFS(P:P,A:A,A1528)),"."),".")</f>
        <v>.</v>
      </c>
    </row>
    <row r="1529" spans="1:53" ht="15.95" customHeight="1">
      <c r="A1529" s="1182" t="s">
        <v>3987</v>
      </c>
      <c r="B1529" s="1182" t="s">
        <v>3949</v>
      </c>
      <c r="C1529" s="1181">
        <v>44751</v>
      </c>
      <c r="D1529" s="1182" t="s">
        <v>389</v>
      </c>
      <c r="E1529" s="1182" t="s">
        <v>1676</v>
      </c>
      <c r="F1529" s="1183" t="s">
        <v>4111</v>
      </c>
      <c r="G1529" s="1184" t="s">
        <v>456</v>
      </c>
      <c r="H1529" s="1185">
        <v>400000000</v>
      </c>
      <c r="I1529" s="1180" t="s">
        <v>4093</v>
      </c>
      <c r="J1529" s="1186" t="str">
        <f>VLOOKUP($I1529,'Price List, Weapons &amp; Items'!B:C,2,0)</f>
        <v>Ammunition for heavy weapon</v>
      </c>
      <c r="K1529" s="1186" t="str">
        <f>IF(I1529=".",I1529,VLOOKUP($I1529,'Price List, Weapons &amp; Items'!B:D,3,0))</f>
        <v>227mm MLRS ammunition</v>
      </c>
      <c r="L1529" s="1187">
        <f>VLOOKUP(I1529,'Price List, Weapons &amp; Items'!B:E,4,0)</f>
        <v>0</v>
      </c>
      <c r="M1529" s="1188" t="s">
        <v>374</v>
      </c>
      <c r="N1529" s="1188" t="s">
        <v>374</v>
      </c>
      <c r="O1529" s="1188">
        <f>VLOOKUP($I1529,'Price List, Weapons &amp; Items'!B:G,6,0)</f>
        <v>150000</v>
      </c>
      <c r="P1529" s="1185" t="str">
        <f t="shared" si="316"/>
        <v>.</v>
      </c>
      <c r="Q1529" s="1185" t="str">
        <f t="shared" si="317"/>
        <v>.</v>
      </c>
      <c r="R1529" s="1185" t="str">
        <f t="shared" si="313"/>
        <v/>
      </c>
      <c r="S1529" s="1185" t="str">
        <f>IF(AND(AD1529=1,R1529&lt;&gt;".")=TRUE,R1529/VLOOKUP(G1529,'Exchange Rates'!B:C,2,0),IF(R1529=".",".",""))</f>
        <v/>
      </c>
      <c r="T1529" s="1185" t="str">
        <f>IF(AD1529=1,IF(AF1529="Value is not given at all",".",IF(AF1529="Value is given by the source",S1529,IF(AF1529="Value is calculated with prices",(IF(SUMIFS(Q:Q,A:A,A1529)&gt;0,SUMIFS(Q:Q,A:A,A1529),"."))/VLOOKUP("USD",'Exchange Rates'!B:C,2,0),"Error with coding"))),"")</f>
        <v/>
      </c>
      <c r="U1529" s="1184" t="s">
        <v>365</v>
      </c>
      <c r="V1529" s="974" t="s">
        <v>4112</v>
      </c>
      <c r="W1529" s="973" t="s">
        <v>3955</v>
      </c>
      <c r="X1529" s="973" t="s">
        <v>3959</v>
      </c>
      <c r="Y1529" s="973" t="s">
        <v>4113</v>
      </c>
      <c r="Z1529" s="1184">
        <v>0</v>
      </c>
      <c r="AA1529" s="1194">
        <v>0</v>
      </c>
      <c r="AB1529" s="973" t="s">
        <v>4114</v>
      </c>
      <c r="AC1529" s="1192" t="str">
        <f>""</f>
        <v/>
      </c>
      <c r="AD1529" s="985">
        <v>0</v>
      </c>
      <c r="AE1529" s="1302" t="s">
        <v>368</v>
      </c>
      <c r="AF1529" s="1193" t="s">
        <v>368</v>
      </c>
      <c r="AG1529" s="985">
        <v>1</v>
      </c>
      <c r="AH1529" s="985">
        <v>7</v>
      </c>
      <c r="AI1529" s="985">
        <v>0</v>
      </c>
      <c r="AJ1529" s="1193">
        <f>VLOOKUP($I1529,'Price List, Weapons &amp; Items'!B:F,5,0)</f>
        <v>1</v>
      </c>
      <c r="AK1529" s="1193">
        <f t="shared" si="318"/>
        <v>1</v>
      </c>
      <c r="AL1529" s="1193">
        <f t="shared" si="319"/>
        <v>1</v>
      </c>
      <c r="AM1529" s="1193">
        <f t="shared" si="320"/>
        <v>1</v>
      </c>
      <c r="AN1529" s="1194" t="str">
        <f>VLOOKUP($I1529,'Price List, Weapons &amp; Items'!B:L,COLUMN('Price List, Weapons &amp; Items'!$J$11)-1,0)</f>
        <v>Media reports (incl. social media)</v>
      </c>
      <c r="AO1529" s="1194" t="str">
        <f>IF(I1529=".",".",VLOOKUP($I1529,'Price List, Weapons &amp; Items'!B:J,3,0))</f>
        <v>227mm MLRS ammunition</v>
      </c>
      <c r="AP1529" s="1195" t="str">
        <f t="shared" ca="1" si="314"/>
        <v/>
      </c>
      <c r="AQ1529" s="1194" t="str">
        <f>VLOOKUP($I1529,'Price List, Weapons &amp; Items'!B:L,COLUMN('Price List, Weapons &amp; Items'!$L$11)-1,0)</f>
        <v>no price, 0 count</v>
      </c>
      <c r="AR1529" s="1194">
        <f t="shared" si="321"/>
        <v>1</v>
      </c>
      <c r="AS1529" s="1194">
        <f t="shared" si="322"/>
        <v>1</v>
      </c>
      <c r="AT1529" s="1194">
        <f t="shared" si="323"/>
        <v>1</v>
      </c>
      <c r="AU1529" s="1194" t="str">
        <f t="shared" si="326"/>
        <v>.</v>
      </c>
      <c r="AV1529" s="1194" t="str">
        <f t="shared" si="315"/>
        <v>.</v>
      </c>
      <c r="AW1529" s="1194" t="str">
        <f t="shared" si="324"/>
        <v>.</v>
      </c>
      <c r="AX1529" s="1194">
        <f>IFERROR(VLOOKUP(B1529,'Share, Heavy Weapons to Ukraine'!B:Z,COLUMN('Share, Heavy Weapons to Ukraine'!C1541)-1,0),0)</f>
        <v>1</v>
      </c>
      <c r="AY1529" s="1194">
        <f>VLOOKUP('Bilateral Assistance, MAIN DATA'!B1529,'Country Summary (€)'!B:F,COLUMN('Country Summary (€)'!C1542)-1,FALSE)</f>
        <v>0</v>
      </c>
      <c r="AZ1529" s="1194" t="str">
        <f>IF(AND(AD1529=1,D1529="Military",H1529&lt;&gt;"Not given")=TRUE,IF(SUMIFS(P:P,A:A,A1529)&gt;0,ABS((SUMIFS(P:P,A:A,A1529)/VLOOKUP("USD",'Exchange Rates'!B:C,2,0)))/S1529,"."),".")</f>
        <v>.</v>
      </c>
      <c r="BA1529" s="1196" t="str">
        <f>IF(AND(AD1529=1,D1529="Military",H1529&lt;&gt;"Not given")=TRUE,IF(SUMIFS(P:P,A:A,A1529)&gt;0,IF((ABS((SUMIFS(P:P,A:A,A1529)/VLOOKUP("USD",'Exchange Rates'!B:C,2,0)))/S1529)&gt;1,(SUMIFS(P:P,A:A,A1529)-S1529)/S1529,(S1529-SUMIFS(P:P,A:A,A1529))/SUMIFS(P:P,A:A,A1529)),"."),".")</f>
        <v>.</v>
      </c>
    </row>
    <row r="1530" spans="1:53" ht="15.95" customHeight="1">
      <c r="A1530" s="1182" t="s">
        <v>3987</v>
      </c>
      <c r="B1530" s="1182" t="s">
        <v>3949</v>
      </c>
      <c r="C1530" s="1181">
        <v>44751</v>
      </c>
      <c r="D1530" s="1182" t="s">
        <v>389</v>
      </c>
      <c r="E1530" s="1182" t="s">
        <v>1676</v>
      </c>
      <c r="F1530" s="1183" t="s">
        <v>4111</v>
      </c>
      <c r="G1530" s="1184" t="s">
        <v>456</v>
      </c>
      <c r="H1530" s="1185">
        <v>400000000</v>
      </c>
      <c r="I1530" s="1180" t="s">
        <v>4095</v>
      </c>
      <c r="J1530" s="1186" t="str">
        <f>VLOOKUP($I1530,'Price List, Weapons &amp; Items'!B:C,2,0)</f>
        <v>Military equipment</v>
      </c>
      <c r="K1530" s="1186" t="str">
        <f>IF(I1530=".",I1530,VLOOKUP($I1530,'Price List, Weapons &amp; Items'!B:D,3,0))</f>
        <v>Military equipment</v>
      </c>
      <c r="L1530" s="1187">
        <f>VLOOKUP(I1530,'Price List, Weapons &amp; Items'!B:E,4,0)</f>
        <v>0</v>
      </c>
      <c r="M1530" s="1188">
        <v>3</v>
      </c>
      <c r="N1530" s="1188">
        <v>3</v>
      </c>
      <c r="O1530" s="1188">
        <f>VLOOKUP($I1530,'Price List, Weapons &amp; Items'!B:G,6,0)</f>
        <v>350000</v>
      </c>
      <c r="P1530" s="1185">
        <f t="shared" si="316"/>
        <v>1050000</v>
      </c>
      <c r="Q1530" s="1185">
        <f t="shared" si="317"/>
        <v>1050000</v>
      </c>
      <c r="R1530" s="1185" t="str">
        <f t="shared" si="313"/>
        <v/>
      </c>
      <c r="S1530" s="1185" t="str">
        <f>IF(AND(AD1530=1,R1530&lt;&gt;".")=TRUE,R1530/VLOOKUP(G1530,'Exchange Rates'!B:C,2,0),IF(R1530=".",".",""))</f>
        <v/>
      </c>
      <c r="T1530" s="1185" t="str">
        <f>IF(AD1530=1,IF(AF1530="Value is not given at all",".",IF(AF1530="Value is given by the source",S1530,IF(AF1530="Value is calculated with prices",(IF(SUMIFS(Q:Q,A:A,A1530)&gt;0,SUMIFS(Q:Q,A:A,A1530),"."))/VLOOKUP("USD",'Exchange Rates'!B:C,2,0),"Error with coding"))),"")</f>
        <v/>
      </c>
      <c r="U1530" s="1184" t="s">
        <v>365</v>
      </c>
      <c r="V1530" s="974" t="s">
        <v>4112</v>
      </c>
      <c r="W1530" s="973" t="s">
        <v>3955</v>
      </c>
      <c r="X1530" s="973" t="s">
        <v>3959</v>
      </c>
      <c r="Y1530" s="973" t="s">
        <v>4114</v>
      </c>
      <c r="Z1530" s="1184">
        <v>0</v>
      </c>
      <c r="AA1530" s="1194">
        <v>0</v>
      </c>
      <c r="AB1530" s="973" t="s">
        <v>4115</v>
      </c>
      <c r="AC1530" s="1192" t="str">
        <f>""</f>
        <v/>
      </c>
      <c r="AD1530" s="985">
        <v>0</v>
      </c>
      <c r="AE1530" s="1302" t="s">
        <v>368</v>
      </c>
      <c r="AF1530" s="1193" t="s">
        <v>368</v>
      </c>
      <c r="AG1530" s="985">
        <v>1</v>
      </c>
      <c r="AH1530" s="985">
        <v>7</v>
      </c>
      <c r="AI1530" s="985">
        <v>0</v>
      </c>
      <c r="AJ1530" s="1193">
        <f>VLOOKUP($I1530,'Price List, Weapons &amp; Items'!B:F,5,0)</f>
        <v>0</v>
      </c>
      <c r="AK1530" s="1193">
        <f t="shared" si="318"/>
        <v>0</v>
      </c>
      <c r="AL1530" s="1193">
        <f t="shared" si="319"/>
        <v>0</v>
      </c>
      <c r="AM1530" s="1193">
        <f t="shared" si="320"/>
        <v>0</v>
      </c>
      <c r="AN1530" s="1194" t="str">
        <f>VLOOKUP($I1530,'Price List, Weapons &amp; Items'!B:L,COLUMN('Price List, Weapons &amp; Items'!$J$11)-1,0)</f>
        <v>Media reports (incl. social media)</v>
      </c>
      <c r="AO1530" s="1194" t="str">
        <f>IF(I1530=".",".",VLOOKUP($I1530,'Price List, Weapons &amp; Items'!B:J,3,0))</f>
        <v>Military equipment</v>
      </c>
      <c r="AP1530" s="1195" t="str">
        <f t="shared" ca="1" si="314"/>
        <v/>
      </c>
      <c r="AQ1530" s="1194">
        <f>VLOOKUP($I1530,'Price List, Weapons &amp; Items'!B:L,COLUMN('Price List, Weapons &amp; Items'!$L$11)-1,0)</f>
        <v>2</v>
      </c>
      <c r="AR1530" s="1194">
        <f t="shared" si="321"/>
        <v>1</v>
      </c>
      <c r="AS1530" s="1194">
        <f t="shared" si="322"/>
        <v>1</v>
      </c>
      <c r="AT1530" s="1194">
        <f t="shared" si="323"/>
        <v>1</v>
      </c>
      <c r="AU1530" s="1194" t="str">
        <f t="shared" si="326"/>
        <v>.</v>
      </c>
      <c r="AV1530" s="1194" t="str">
        <f t="shared" si="315"/>
        <v>.</v>
      </c>
      <c r="AW1530" s="1194" t="str">
        <f t="shared" si="324"/>
        <v>.</v>
      </c>
      <c r="AX1530" s="1194">
        <f>IFERROR(VLOOKUP(B1530,'Share, Heavy Weapons to Ukraine'!B:Z,COLUMN('Share, Heavy Weapons to Ukraine'!C1542)-1,0),0)</f>
        <v>1</v>
      </c>
      <c r="AY1530" s="1194">
        <f>VLOOKUP('Bilateral Assistance, MAIN DATA'!B1530,'Country Summary (€)'!B:F,COLUMN('Country Summary (€)'!C1543)-1,FALSE)</f>
        <v>0</v>
      </c>
      <c r="AZ1530" s="1194" t="str">
        <f>IF(AND(AD1530=1,D1530="Military",H1530&lt;&gt;"Not given")=TRUE,IF(SUMIFS(P:P,A:A,A1530)&gt;0,ABS((SUMIFS(P:P,A:A,A1530)/VLOOKUP("USD",'Exchange Rates'!B:C,2,0)))/S1530,"."),".")</f>
        <v>.</v>
      </c>
      <c r="BA1530" s="1196" t="str">
        <f>IF(AND(AD1530=1,D1530="Military",H1530&lt;&gt;"Not given")=TRUE,IF(SUMIFS(P:P,A:A,A1530)&gt;0,IF((ABS((SUMIFS(P:P,A:A,A1530)/VLOOKUP("USD",'Exchange Rates'!B:C,2,0)))/S1530)&gt;1,(SUMIFS(P:P,A:A,A1530)-S1530)/S1530,(S1530-SUMIFS(P:P,A:A,A1530))/SUMIFS(P:P,A:A,A1530)),"."),".")</f>
        <v>.</v>
      </c>
    </row>
    <row r="1531" spans="1:53" ht="15.95" customHeight="1">
      <c r="A1531" s="1182" t="s">
        <v>3987</v>
      </c>
      <c r="B1531" s="1182" t="s">
        <v>3949</v>
      </c>
      <c r="C1531" s="1181">
        <v>44751</v>
      </c>
      <c r="D1531" s="1182" t="s">
        <v>389</v>
      </c>
      <c r="E1531" s="1182" t="s">
        <v>1676</v>
      </c>
      <c r="F1531" s="1183" t="s">
        <v>4111</v>
      </c>
      <c r="G1531" s="1184" t="s">
        <v>456</v>
      </c>
      <c r="H1531" s="1185">
        <v>400000000</v>
      </c>
      <c r="I1531" s="1180" t="s">
        <v>856</v>
      </c>
      <c r="J1531" s="1186" t="str">
        <f>VLOOKUP($I1531,'Price List, Weapons &amp; Items'!B:C,2,0)</f>
        <v>Ammunition for heavy weapon</v>
      </c>
      <c r="K1531" s="1186" t="str">
        <f>IF(I1531=".",I1531,VLOOKUP($I1531,'Price List, Weapons &amp; Items'!B:D,3,0))</f>
        <v>155mm howitzer ammunition</v>
      </c>
      <c r="L1531" s="1187">
        <f>VLOOKUP(I1531,'Price List, Weapons &amp; Items'!B:E,4,0)</f>
        <v>0</v>
      </c>
      <c r="M1531" s="1188">
        <v>1000</v>
      </c>
      <c r="N1531" s="1188">
        <v>1000</v>
      </c>
      <c r="O1531" s="1188">
        <f>VLOOKUP($I1531,'Price List, Weapons &amp; Items'!B:G,6,0)</f>
        <v>3800</v>
      </c>
      <c r="P1531" s="1185">
        <f t="shared" si="316"/>
        <v>3800000</v>
      </c>
      <c r="Q1531" s="1185">
        <f t="shared" si="317"/>
        <v>3800000</v>
      </c>
      <c r="R1531" s="1185" t="str">
        <f t="shared" si="313"/>
        <v/>
      </c>
      <c r="S1531" s="1185" t="str">
        <f>IF(AND(AD1531=1,R1531&lt;&gt;".")=TRUE,R1531/VLOOKUP(G1531,'Exchange Rates'!B:C,2,0),IF(R1531=".",".",""))</f>
        <v/>
      </c>
      <c r="T1531" s="1185" t="str">
        <f>IF(AD1531=1,IF(AF1531="Value is not given at all",".",IF(AF1531="Value is given by the source",S1531,IF(AF1531="Value is calculated with prices",(IF(SUMIFS(Q:Q,A:A,A1531)&gt;0,SUMIFS(Q:Q,A:A,A1531),"."))/VLOOKUP("USD",'Exchange Rates'!B:C,2,0),"Error with coding"))),"")</f>
        <v/>
      </c>
      <c r="U1531" s="1184" t="s">
        <v>365</v>
      </c>
      <c r="V1531" s="974" t="s">
        <v>4112</v>
      </c>
      <c r="W1531" s="973" t="s">
        <v>3955</v>
      </c>
      <c r="X1531" s="973" t="s">
        <v>3959</v>
      </c>
      <c r="Y1531" s="973" t="s">
        <v>4115</v>
      </c>
      <c r="Z1531" s="1184">
        <v>0</v>
      </c>
      <c r="AA1531" s="1194">
        <v>0</v>
      </c>
      <c r="AB1531" s="973" t="s">
        <v>4116</v>
      </c>
      <c r="AC1531" s="1192" t="str">
        <f>""</f>
        <v/>
      </c>
      <c r="AD1531" s="985">
        <v>0</v>
      </c>
      <c r="AE1531" s="1302" t="s">
        <v>368</v>
      </c>
      <c r="AF1531" s="1193" t="s">
        <v>368</v>
      </c>
      <c r="AG1531" s="985">
        <v>1</v>
      </c>
      <c r="AH1531" s="985">
        <v>7</v>
      </c>
      <c r="AI1531" s="985">
        <v>0</v>
      </c>
      <c r="AJ1531" s="1193">
        <f>VLOOKUP($I1531,'Price List, Weapons &amp; Items'!B:F,5,0)</f>
        <v>1</v>
      </c>
      <c r="AK1531" s="1193">
        <f t="shared" si="318"/>
        <v>0</v>
      </c>
      <c r="AL1531" s="1193">
        <f t="shared" si="319"/>
        <v>0</v>
      </c>
      <c r="AM1531" s="1193">
        <f t="shared" si="320"/>
        <v>0</v>
      </c>
      <c r="AN1531" s="1194" t="str">
        <f>VLOOKUP($I1531,'Price List, Weapons &amp; Items'!B:L,COLUMN('Price List, Weapons &amp; Items'!$J$11)-1,0)</f>
        <v>Government information</v>
      </c>
      <c r="AO1531" s="1194" t="str">
        <f>IF(I1531=".",".",VLOOKUP($I1531,'Price List, Weapons &amp; Items'!B:J,3,0))</f>
        <v>155mm howitzer ammunition</v>
      </c>
      <c r="AP1531" s="1195" t="str">
        <f t="shared" ca="1" si="314"/>
        <v/>
      </c>
      <c r="AQ1531" s="1194">
        <f>VLOOKUP($I1531,'Price List, Weapons &amp; Items'!B:L,COLUMN('Price List, Weapons &amp; Items'!$L$11)-1,0)</f>
        <v>2</v>
      </c>
      <c r="AR1531" s="1194">
        <f t="shared" si="321"/>
        <v>1</v>
      </c>
      <c r="AS1531" s="1194">
        <f t="shared" si="322"/>
        <v>1</v>
      </c>
      <c r="AT1531" s="1194">
        <f t="shared" si="323"/>
        <v>1</v>
      </c>
      <c r="AU1531" s="1194" t="str">
        <f t="shared" si="326"/>
        <v>.</v>
      </c>
      <c r="AV1531" s="1194" t="str">
        <f t="shared" si="315"/>
        <v>.</v>
      </c>
      <c r="AW1531" s="1194" t="str">
        <f t="shared" si="324"/>
        <v>.</v>
      </c>
      <c r="AX1531" s="1194">
        <f>IFERROR(VLOOKUP(B1531,'Share, Heavy Weapons to Ukraine'!B:Z,COLUMN('Share, Heavy Weapons to Ukraine'!C1543)-1,0),0)</f>
        <v>1</v>
      </c>
      <c r="AY1531" s="1194">
        <f>VLOOKUP('Bilateral Assistance, MAIN DATA'!B1531,'Country Summary (€)'!B:F,COLUMN('Country Summary (€)'!C1544)-1,FALSE)</f>
        <v>0</v>
      </c>
      <c r="AZ1531" s="1194" t="str">
        <f>IF(AND(AD1531=1,D1531="Military",H1531&lt;&gt;"Not given")=TRUE,IF(SUMIFS(P:P,A:A,A1531)&gt;0,ABS((SUMIFS(P:P,A:A,A1531)/VLOOKUP("USD",'Exchange Rates'!B:C,2,0)))/S1531,"."),".")</f>
        <v>.</v>
      </c>
      <c r="BA1531" s="1196" t="str">
        <f>IF(AND(AD1531=1,D1531="Military",H1531&lt;&gt;"Not given")=TRUE,IF(SUMIFS(P:P,A:A,A1531)&gt;0,IF((ABS((SUMIFS(P:P,A:A,A1531)/VLOOKUP("USD",'Exchange Rates'!B:C,2,0)))/S1531)&gt;1,(SUMIFS(P:P,A:A,A1531)-S1531)/S1531,(S1531-SUMIFS(P:P,A:A,A1531))/SUMIFS(P:P,A:A,A1531)),"."),".")</f>
        <v>.</v>
      </c>
    </row>
    <row r="1532" spans="1:53" ht="15.95" customHeight="1">
      <c r="A1532" s="1182" t="s">
        <v>3987</v>
      </c>
      <c r="B1532" s="1182" t="s">
        <v>3949</v>
      </c>
      <c r="C1532" s="1181">
        <v>44751</v>
      </c>
      <c r="D1532" s="1182" t="s">
        <v>389</v>
      </c>
      <c r="E1532" s="1182" t="s">
        <v>1676</v>
      </c>
      <c r="F1532" s="1183" t="s">
        <v>4111</v>
      </c>
      <c r="G1532" s="1184" t="s">
        <v>456</v>
      </c>
      <c r="H1532" s="1185">
        <v>400000000</v>
      </c>
      <c r="I1532" s="1180" t="s">
        <v>4117</v>
      </c>
      <c r="J1532" s="1186" t="str">
        <f>VLOOKUP($I1532,'Price List, Weapons &amp; Items'!B:C,2,0)</f>
        <v>Military equipment</v>
      </c>
      <c r="K1532" s="1186" t="str">
        <f>IF(I1532=".",I1532,VLOOKUP($I1532,'Price List, Weapons &amp; Items'!B:D,3,0))</f>
        <v>Military equipment</v>
      </c>
      <c r="L1532" s="1187">
        <f>VLOOKUP(I1532,'Price List, Weapons &amp; Items'!B:E,4,0)</f>
        <v>0</v>
      </c>
      <c r="M1532" s="1188" t="s">
        <v>374</v>
      </c>
      <c r="N1532" s="1188" t="s">
        <v>374</v>
      </c>
      <c r="O1532" s="1188">
        <f>VLOOKUP($I1532,'Price List, Weapons &amp; Items'!B:G,6,0)</f>
        <v>90</v>
      </c>
      <c r="P1532" s="1185" t="str">
        <f t="shared" si="316"/>
        <v>.</v>
      </c>
      <c r="Q1532" s="1185" t="str">
        <f t="shared" si="317"/>
        <v>.</v>
      </c>
      <c r="R1532" s="1185" t="str">
        <f t="shared" si="313"/>
        <v/>
      </c>
      <c r="S1532" s="1185" t="str">
        <f>IF(AND(AD1532=1,R1532&lt;&gt;".")=TRUE,R1532/VLOOKUP(G1532,'Exchange Rates'!B:C,2,0),IF(R1532=".",".",""))</f>
        <v/>
      </c>
      <c r="T1532" s="1185" t="str">
        <f>IF(AD1532=1,IF(AF1532="Value is not given at all",".",IF(AF1532="Value is given by the source",S1532,IF(AF1532="Value is calculated with prices",(IF(SUMIFS(Q:Q,A:A,A1532)&gt;0,SUMIFS(Q:Q,A:A,A1532),"."))/VLOOKUP("USD",'Exchange Rates'!B:C,2,0),"Error with coding"))),"")</f>
        <v/>
      </c>
      <c r="U1532" s="1184" t="s">
        <v>365</v>
      </c>
      <c r="V1532" s="974" t="s">
        <v>4112</v>
      </c>
      <c r="W1532" s="973" t="s">
        <v>3955</v>
      </c>
      <c r="X1532" s="973" t="s">
        <v>3959</v>
      </c>
      <c r="Y1532" s="973" t="s">
        <v>4116</v>
      </c>
      <c r="Z1532" s="1184">
        <v>0</v>
      </c>
      <c r="AA1532" s="1194">
        <v>0</v>
      </c>
      <c r="AB1532" s="973" t="s">
        <v>4118</v>
      </c>
      <c r="AC1532" s="1192" t="str">
        <f>""</f>
        <v/>
      </c>
      <c r="AD1532" s="985">
        <v>0</v>
      </c>
      <c r="AE1532" s="1302" t="s">
        <v>368</v>
      </c>
      <c r="AF1532" s="1193" t="s">
        <v>368</v>
      </c>
      <c r="AG1532" s="985">
        <v>1</v>
      </c>
      <c r="AH1532" s="985">
        <v>7</v>
      </c>
      <c r="AI1532" s="985">
        <v>0</v>
      </c>
      <c r="AJ1532" s="1193">
        <f>VLOOKUP($I1532,'Price List, Weapons &amp; Items'!B:F,5,0)</f>
        <v>0</v>
      </c>
      <c r="AK1532" s="1193">
        <f t="shared" si="318"/>
        <v>0</v>
      </c>
      <c r="AL1532" s="1193">
        <f t="shared" si="319"/>
        <v>0</v>
      </c>
      <c r="AM1532" s="1193">
        <f t="shared" si="320"/>
        <v>0</v>
      </c>
      <c r="AN1532" s="1194" t="str">
        <f>VLOOKUP($I1532,'Price List, Weapons &amp; Items'!B:L,COLUMN('Price List, Weapons &amp; Items'!$J$11)-1,0)</f>
        <v>Media reports (incl. social media)</v>
      </c>
      <c r="AO1532" s="1194" t="str">
        <f>IF(I1532=".",".",VLOOKUP($I1532,'Price List, Weapons &amp; Items'!B:J,3,0))</f>
        <v>Military equipment</v>
      </c>
      <c r="AP1532" s="1195" t="str">
        <f t="shared" ca="1" si="314"/>
        <v/>
      </c>
      <c r="AQ1532" s="1194" t="str">
        <f>VLOOKUP($I1532,'Price List, Weapons &amp; Items'!B:L,COLUMN('Price List, Weapons &amp; Items'!$L$11)-1,0)</f>
        <v>no price, 0 count</v>
      </c>
      <c r="AR1532" s="1194">
        <f t="shared" si="321"/>
        <v>1</v>
      </c>
      <c r="AS1532" s="1194">
        <f t="shared" si="322"/>
        <v>1</v>
      </c>
      <c r="AT1532" s="1194">
        <f t="shared" si="323"/>
        <v>1</v>
      </c>
      <c r="AU1532" s="1194" t="str">
        <f t="shared" si="326"/>
        <v>.</v>
      </c>
      <c r="AV1532" s="1194" t="str">
        <f t="shared" si="315"/>
        <v>.</v>
      </c>
      <c r="AW1532" s="1194" t="str">
        <f t="shared" si="324"/>
        <v>.</v>
      </c>
      <c r="AX1532" s="1194">
        <f>IFERROR(VLOOKUP(B1532,'Share, Heavy Weapons to Ukraine'!B:Z,COLUMN('Share, Heavy Weapons to Ukraine'!C1544)-1,0),0)</f>
        <v>1</v>
      </c>
      <c r="AY1532" s="1194">
        <f>VLOOKUP('Bilateral Assistance, MAIN DATA'!B1532,'Country Summary (€)'!B:F,COLUMN('Country Summary (€)'!C1545)-1,FALSE)</f>
        <v>0</v>
      </c>
      <c r="AZ1532" s="1194" t="str">
        <f>IF(AND(AD1532=1,D1532="Military",H1532&lt;&gt;"Not given")=TRUE,IF(SUMIFS(P:P,A:A,A1532)&gt;0,ABS((SUMIFS(P:P,A:A,A1532)/VLOOKUP("USD",'Exchange Rates'!B:C,2,0)))/S1532,"."),".")</f>
        <v>.</v>
      </c>
      <c r="BA1532" s="1196" t="str">
        <f>IF(AND(AD1532=1,D1532="Military",H1532&lt;&gt;"Not given")=TRUE,IF(SUMIFS(P:P,A:A,A1532)&gt;0,IF((ABS((SUMIFS(P:P,A:A,A1532)/VLOOKUP("USD",'Exchange Rates'!B:C,2,0)))/S1532)&gt;1,(SUMIFS(P:P,A:A,A1532)-S1532)/S1532,(S1532-SUMIFS(P:P,A:A,A1532))/SUMIFS(P:P,A:A,A1532)),"."),".")</f>
        <v>.</v>
      </c>
    </row>
    <row r="1533" spans="1:53" ht="15.95" customHeight="1">
      <c r="A1533" s="1182" t="s">
        <v>3987</v>
      </c>
      <c r="B1533" s="1182" t="s">
        <v>3949</v>
      </c>
      <c r="C1533" s="1181">
        <v>44751</v>
      </c>
      <c r="D1533" s="1182" t="s">
        <v>389</v>
      </c>
      <c r="E1533" s="1182" t="s">
        <v>1676</v>
      </c>
      <c r="F1533" s="1183" t="s">
        <v>4111</v>
      </c>
      <c r="G1533" s="1184" t="s">
        <v>456</v>
      </c>
      <c r="H1533" s="1185">
        <v>400000000</v>
      </c>
      <c r="I1533" s="1180" t="s">
        <v>4119</v>
      </c>
      <c r="J1533" s="1186" t="str">
        <f>VLOOKUP($I1533,'Price List, Weapons &amp; Items'!B:C,2,0)</f>
        <v>Heavy weapon</v>
      </c>
      <c r="K1533" s="1186" t="str">
        <f>IF(I1533=".",I1533,VLOOKUP($I1533,'Price List, Weapons &amp; Items'!B:D,3,0))</f>
        <v>Radar or imagery systems</v>
      </c>
      <c r="L1533" s="1187">
        <f>VLOOKUP(I1533,'Price List, Weapons &amp; Items'!B:E,4,0)</f>
        <v>0</v>
      </c>
      <c r="M1533" s="1188">
        <v>2</v>
      </c>
      <c r="N1533" s="1188">
        <v>2</v>
      </c>
      <c r="O1533" s="1188">
        <f>VLOOKUP($I1533,'Price List, Weapons &amp; Items'!B:G,6,0)</f>
        <v>19354990.800000001</v>
      </c>
      <c r="P1533" s="1185">
        <f t="shared" si="316"/>
        <v>38709981.600000001</v>
      </c>
      <c r="Q1533" s="1185">
        <f t="shared" si="317"/>
        <v>38709981.600000001</v>
      </c>
      <c r="R1533" s="1185" t="str">
        <f t="shared" si="313"/>
        <v/>
      </c>
      <c r="S1533" s="1185" t="str">
        <f>IF(AND(AD1533=1,R1533&lt;&gt;".")=TRUE,R1533/VLOOKUP(G1533,'Exchange Rates'!B:C,2,0),IF(R1533=".",".",""))</f>
        <v/>
      </c>
      <c r="T1533" s="1185" t="str">
        <f>IF(AD1533=1,IF(AF1533="Value is not given at all",".",IF(AF1533="Value is given by the source",S1533,IF(AF1533="Value is calculated with prices",(IF(SUMIFS(Q:Q,A:A,A1533)&gt;0,SUMIFS(Q:Q,A:A,A1533),"."))/VLOOKUP("USD",'Exchange Rates'!B:C,2,0),"Error with coding"))),"")</f>
        <v/>
      </c>
      <c r="U1533" s="1184" t="s">
        <v>365</v>
      </c>
      <c r="V1533" s="974" t="s">
        <v>4112</v>
      </c>
      <c r="W1533" s="973" t="s">
        <v>3955</v>
      </c>
      <c r="X1533" s="973" t="s">
        <v>3959</v>
      </c>
      <c r="Y1533" s="973" t="s">
        <v>4118</v>
      </c>
      <c r="Z1533" s="1184">
        <v>0</v>
      </c>
      <c r="AA1533" s="1194">
        <v>0</v>
      </c>
      <c r="AB1533" s="973" t="s">
        <v>4120</v>
      </c>
      <c r="AC1533" s="1192" t="str">
        <f>""</f>
        <v/>
      </c>
      <c r="AD1533" s="985">
        <v>0</v>
      </c>
      <c r="AE1533" s="1302" t="s">
        <v>368</v>
      </c>
      <c r="AF1533" s="1193" t="s">
        <v>368</v>
      </c>
      <c r="AG1533" s="985">
        <v>1</v>
      </c>
      <c r="AH1533" s="985">
        <v>7</v>
      </c>
      <c r="AI1533" s="985">
        <v>0</v>
      </c>
      <c r="AJ1533" s="1193">
        <f>VLOOKUP($I1533,'Price List, Weapons &amp; Items'!B:F,5,0)</f>
        <v>0</v>
      </c>
      <c r="AK1533" s="1193">
        <f t="shared" si="318"/>
        <v>0</v>
      </c>
      <c r="AL1533" s="1193">
        <f t="shared" si="319"/>
        <v>0</v>
      </c>
      <c r="AM1533" s="1193">
        <f t="shared" si="320"/>
        <v>0</v>
      </c>
      <c r="AN1533" s="1194" t="str">
        <f>VLOOKUP($I1533,'Price List, Weapons &amp; Items'!B:L,COLUMN('Price List, Weapons &amp; Items'!$J$11)-1,0)</f>
        <v>Contracts</v>
      </c>
      <c r="AO1533" s="1194" t="str">
        <f>IF(I1533=".",".",VLOOKUP($I1533,'Price List, Weapons &amp; Items'!B:J,3,0))</f>
        <v>Radar or imagery systems</v>
      </c>
      <c r="AP1533" s="1195" t="str">
        <f t="shared" ca="1" si="314"/>
        <v/>
      </c>
      <c r="AQ1533" s="1194">
        <f>VLOOKUP($I1533,'Price List, Weapons &amp; Items'!B:L,COLUMN('Price List, Weapons &amp; Items'!$L$11)-1,0)</f>
        <v>2</v>
      </c>
      <c r="AR1533" s="1194">
        <f t="shared" si="321"/>
        <v>1</v>
      </c>
      <c r="AS1533" s="1194">
        <f t="shared" si="322"/>
        <v>1</v>
      </c>
      <c r="AT1533" s="1194">
        <f t="shared" si="323"/>
        <v>1</v>
      </c>
      <c r="AU1533" s="1194" t="str">
        <f t="shared" si="326"/>
        <v>.</v>
      </c>
      <c r="AV1533" s="1194" t="str">
        <f t="shared" si="315"/>
        <v>.</v>
      </c>
      <c r="AW1533" s="1194" t="str">
        <f t="shared" si="324"/>
        <v>.</v>
      </c>
      <c r="AX1533" s="1194">
        <f>IFERROR(VLOOKUP(B1533,'Share, Heavy Weapons to Ukraine'!B:Z,COLUMN('Share, Heavy Weapons to Ukraine'!C1545)-1,0),0)</f>
        <v>1</v>
      </c>
      <c r="AY1533" s="1194">
        <f>VLOOKUP('Bilateral Assistance, MAIN DATA'!B1533,'Country Summary (€)'!B:F,COLUMN('Country Summary (€)'!C1546)-1,FALSE)</f>
        <v>0</v>
      </c>
      <c r="AZ1533" s="1194" t="str">
        <f>IF(AND(AD1533=1,D1533="Military",H1533&lt;&gt;"Not given")=TRUE,IF(SUMIFS(P:P,A:A,A1533)&gt;0,ABS((SUMIFS(P:P,A:A,A1533)/VLOOKUP("USD",'Exchange Rates'!B:C,2,0)))/S1533,"."),".")</f>
        <v>.</v>
      </c>
      <c r="BA1533" s="1196" t="str">
        <f>IF(AND(AD1533=1,D1533="Military",H1533&lt;&gt;"Not given")=TRUE,IF(SUMIFS(P:P,A:A,A1533)&gt;0,IF((ABS((SUMIFS(P:P,A:A,A1533)/VLOOKUP("USD",'Exchange Rates'!B:C,2,0)))/S1533)&gt;1,(SUMIFS(P:P,A:A,A1533)-S1533)/S1533,(S1533-SUMIFS(P:P,A:A,A1533))/SUMIFS(P:P,A:A,A1533)),"."),".")</f>
        <v>.</v>
      </c>
    </row>
    <row r="1534" spans="1:53" ht="15.95" customHeight="1">
      <c r="A1534" s="1182" t="s">
        <v>3987</v>
      </c>
      <c r="B1534" s="1182" t="s">
        <v>3949</v>
      </c>
      <c r="C1534" s="1181">
        <v>44751</v>
      </c>
      <c r="D1534" s="1182" t="s">
        <v>389</v>
      </c>
      <c r="E1534" s="1182" t="s">
        <v>1676</v>
      </c>
      <c r="F1534" s="1183" t="s">
        <v>4111</v>
      </c>
      <c r="G1534" s="1184" t="s">
        <v>456</v>
      </c>
      <c r="H1534" s="1185">
        <v>400000000</v>
      </c>
      <c r="I1534" s="1180" t="s">
        <v>632</v>
      </c>
      <c r="J1534" s="1186" t="str">
        <f>VLOOKUP($I1534,'Price List, Weapons &amp; Items'!B:C,2,0)</f>
        <v>Military equipment</v>
      </c>
      <c r="K1534" s="1186" t="str">
        <f>IF(I1534=".",I1534,VLOOKUP($I1534,'Price List, Weapons &amp; Items'!B:D,3,0))</f>
        <v>spare parts</v>
      </c>
      <c r="L1534" s="1187">
        <f>VLOOKUP(I1534,'Price List, Weapons &amp; Items'!B:E,4,0)</f>
        <v>0</v>
      </c>
      <c r="M1534" s="1188" t="s">
        <v>374</v>
      </c>
      <c r="N1534" s="1188" t="s">
        <v>374</v>
      </c>
      <c r="O1534" s="1188" t="str">
        <f>VLOOKUP($I1534,'Price List, Weapons &amp; Items'!B:G,6,0)</f>
        <v>.</v>
      </c>
      <c r="P1534" s="1185" t="str">
        <f t="shared" si="316"/>
        <v>.</v>
      </c>
      <c r="Q1534" s="1185" t="str">
        <f t="shared" si="317"/>
        <v>.</v>
      </c>
      <c r="R1534" s="1185" t="str">
        <f t="shared" si="313"/>
        <v/>
      </c>
      <c r="S1534" s="1185" t="str">
        <f>IF(AND(AD1534=1,R1534&lt;&gt;".")=TRUE,R1534/VLOOKUP(G1534,'Exchange Rates'!B:C,2,0),IF(R1534=".",".",""))</f>
        <v/>
      </c>
      <c r="T1534" s="1185" t="str">
        <f>IF(AD1534=1,IF(AF1534="Value is not given at all",".",IF(AF1534="Value is given by the source",S1534,IF(AF1534="Value is calculated with prices",(IF(SUMIFS(Q:Q,A:A,A1534)&gt;0,SUMIFS(Q:Q,A:A,A1534),"."))/VLOOKUP("USD",'Exchange Rates'!B:C,2,0),"Error with coding"))),"")</f>
        <v/>
      </c>
      <c r="U1534" s="1184" t="s">
        <v>365</v>
      </c>
      <c r="V1534" s="974" t="s">
        <v>4112</v>
      </c>
      <c r="W1534" s="973" t="s">
        <v>3955</v>
      </c>
      <c r="X1534" s="973" t="s">
        <v>3959</v>
      </c>
      <c r="Y1534" s="973" t="s">
        <v>4120</v>
      </c>
      <c r="Z1534" s="1184">
        <v>0</v>
      </c>
      <c r="AA1534" s="1194">
        <v>0</v>
      </c>
      <c r="AB1534" s="973" t="s">
        <v>4121</v>
      </c>
      <c r="AC1534" s="1192" t="str">
        <f>""</f>
        <v/>
      </c>
      <c r="AD1534" s="985">
        <v>0</v>
      </c>
      <c r="AE1534" s="1302" t="s">
        <v>368</v>
      </c>
      <c r="AF1534" s="1193" t="s">
        <v>368</v>
      </c>
      <c r="AG1534" s="985">
        <v>1</v>
      </c>
      <c r="AH1534" s="985">
        <v>7</v>
      </c>
      <c r="AI1534" s="985">
        <v>0</v>
      </c>
      <c r="AJ1534" s="1193">
        <f>VLOOKUP($I1534,'Price List, Weapons &amp; Items'!B:F,5,0)</f>
        <v>0</v>
      </c>
      <c r="AK1534" s="1193">
        <f t="shared" si="318"/>
        <v>0</v>
      </c>
      <c r="AL1534" s="1193">
        <f t="shared" si="319"/>
        <v>0</v>
      </c>
      <c r="AM1534" s="1193">
        <f t="shared" si="320"/>
        <v>0</v>
      </c>
      <c r="AN1534" s="1194" t="str">
        <f>VLOOKUP($I1534,'Price List, Weapons &amp; Items'!B:L,COLUMN('Price List, Weapons &amp; Items'!$J$11)-1,0)</f>
        <v>.</v>
      </c>
      <c r="AO1534" s="1194" t="str">
        <f>IF(I1534=".",".",VLOOKUP($I1534,'Price List, Weapons &amp; Items'!B:J,3,0))</f>
        <v>spare parts</v>
      </c>
      <c r="AP1534" s="1195" t="str">
        <f t="shared" ca="1" si="314"/>
        <v/>
      </c>
      <c r="AQ1534" s="1194" t="str">
        <f>VLOOKUP($I1534,'Price List, Weapons &amp; Items'!B:L,COLUMN('Price List, Weapons &amp; Items'!$L$11)-1,0)</f>
        <v>no price, 0 count</v>
      </c>
      <c r="AR1534" s="1194">
        <f t="shared" si="321"/>
        <v>1</v>
      </c>
      <c r="AS1534" s="1194">
        <f t="shared" si="322"/>
        <v>1</v>
      </c>
      <c r="AT1534" s="1194">
        <f t="shared" si="323"/>
        <v>1</v>
      </c>
      <c r="AU1534" s="1194" t="str">
        <f t="shared" si="326"/>
        <v>.</v>
      </c>
      <c r="AV1534" s="1194" t="str">
        <f t="shared" si="315"/>
        <v>.</v>
      </c>
      <c r="AW1534" s="1194" t="str">
        <f t="shared" si="324"/>
        <v>.</v>
      </c>
      <c r="AX1534" s="1194">
        <f>IFERROR(VLOOKUP(B1534,'Share, Heavy Weapons to Ukraine'!B:Z,COLUMN('Share, Heavy Weapons to Ukraine'!C1546)-1,0),0)</f>
        <v>1</v>
      </c>
      <c r="AY1534" s="1194">
        <f>VLOOKUP('Bilateral Assistance, MAIN DATA'!B1534,'Country Summary (€)'!B:F,COLUMN('Country Summary (€)'!C1547)-1,FALSE)</f>
        <v>0</v>
      </c>
      <c r="AZ1534" s="1194" t="str">
        <f>IF(AND(AD1534=1,D1534="Military",H1534&lt;&gt;"Not given")=TRUE,IF(SUMIFS(P:P,A:A,A1534)&gt;0,ABS((SUMIFS(P:P,A:A,A1534)/VLOOKUP("USD",'Exchange Rates'!B:C,2,0)))/S1534,"."),".")</f>
        <v>.</v>
      </c>
      <c r="BA1534" s="1196" t="str">
        <f>IF(AND(AD1534=1,D1534="Military",H1534&lt;&gt;"Not given")=TRUE,IF(SUMIFS(P:P,A:A,A1534)&gt;0,IF((ABS((SUMIFS(P:P,A:A,A1534)/VLOOKUP("USD",'Exchange Rates'!B:C,2,0)))/S1534)&gt;1,(SUMIFS(P:P,A:A,A1534)-S1534)/S1534,(S1534-SUMIFS(P:P,A:A,A1534))/SUMIFS(P:P,A:A,A1534)),"."),".")</f>
        <v>.</v>
      </c>
    </row>
    <row r="1535" spans="1:53" ht="15.95" customHeight="1">
      <c r="A1535" s="1182" t="s">
        <v>3987</v>
      </c>
      <c r="B1535" s="1182" t="s">
        <v>3949</v>
      </c>
      <c r="C1535" s="1181">
        <v>44764</v>
      </c>
      <c r="D1535" s="1182" t="s">
        <v>389</v>
      </c>
      <c r="E1535" s="1182" t="s">
        <v>1676</v>
      </c>
      <c r="F1535" s="1183" t="s">
        <v>4122</v>
      </c>
      <c r="G1535" s="1184" t="s">
        <v>456</v>
      </c>
      <c r="H1535" s="1185">
        <v>175000000</v>
      </c>
      <c r="I1535" s="1266" t="s">
        <v>4070</v>
      </c>
      <c r="J1535" s="1186" t="str">
        <f>VLOOKUP($I1535,'Price List, Weapons &amp; Items'!B:C,2,0)</f>
        <v>Heavy weapon</v>
      </c>
      <c r="K1535" s="1186" t="str">
        <f>IF(I1535=".",I1535,VLOOKUP($I1535,'Price List, Weapons &amp; Items'!B:D,3,0))</f>
        <v>227mm MLRS</v>
      </c>
      <c r="L1535" s="1187">
        <f>VLOOKUP(I1535,'Price List, Weapons &amp; Items'!B:E,4,0)</f>
        <v>0</v>
      </c>
      <c r="M1535" s="1188">
        <v>4</v>
      </c>
      <c r="N1535" s="1188">
        <v>4</v>
      </c>
      <c r="O1535" s="1188">
        <f>VLOOKUP($I1535,'Price List, Weapons &amp; Items'!B:G,6,0)</f>
        <v>15076313.029999999</v>
      </c>
      <c r="P1535" s="1185">
        <f t="shared" si="316"/>
        <v>60305252.119999997</v>
      </c>
      <c r="Q1535" s="1185">
        <f t="shared" si="317"/>
        <v>60305252.119999997</v>
      </c>
      <c r="R1535" s="1185" t="str">
        <f t="shared" si="313"/>
        <v/>
      </c>
      <c r="S1535" s="1185" t="str">
        <f>IF(AND(AD1535=1,R1535&lt;&gt;".")=TRUE,R1535/VLOOKUP(G1535,'Exchange Rates'!B:C,2,0),IF(R1535=".",".",""))</f>
        <v/>
      </c>
      <c r="T1535" s="1185" t="str">
        <f>IF(AD1535=1,IF(AF1535="Value is not given at all",".",IF(AF1535="Value is given by the source",S1535,IF(AF1535="Value is calculated with prices",(IF(SUMIFS(Q:Q,A:A,A1535)&gt;0,SUMIFS(Q:Q,A:A,A1535),"."))/VLOOKUP("USD",'Exchange Rates'!B:C,2,0),"Error with coding"))),"")</f>
        <v/>
      </c>
      <c r="U1535" s="1184" t="s">
        <v>365</v>
      </c>
      <c r="V1535" s="974" t="s">
        <v>4123</v>
      </c>
      <c r="W1535" s="973" t="s">
        <v>3955</v>
      </c>
      <c r="X1535" s="973" t="s">
        <v>3959</v>
      </c>
      <c r="Y1535" s="973" t="s">
        <v>4121</v>
      </c>
      <c r="Z1535" s="1184">
        <v>0</v>
      </c>
      <c r="AA1535" s="1194">
        <v>0</v>
      </c>
      <c r="AB1535" s="973" t="s">
        <v>4071</v>
      </c>
      <c r="AC1535" s="1192" t="str">
        <f>""</f>
        <v/>
      </c>
      <c r="AD1535" s="985">
        <v>0</v>
      </c>
      <c r="AE1535" s="1302" t="s">
        <v>368</v>
      </c>
      <c r="AF1535" s="1193" t="s">
        <v>368</v>
      </c>
      <c r="AG1535" s="985">
        <v>1</v>
      </c>
      <c r="AH1535" s="985">
        <v>7</v>
      </c>
      <c r="AI1535" s="985">
        <v>0</v>
      </c>
      <c r="AJ1535" s="1193">
        <f>VLOOKUP($I1535,'Price List, Weapons &amp; Items'!B:F,5,0)</f>
        <v>1</v>
      </c>
      <c r="AK1535" s="1193">
        <f t="shared" si="318"/>
        <v>0</v>
      </c>
      <c r="AL1535" s="1193">
        <f t="shared" si="319"/>
        <v>0</v>
      </c>
      <c r="AM1535" s="1193">
        <f t="shared" si="320"/>
        <v>0</v>
      </c>
      <c r="AN1535" s="1194" t="str">
        <f>VLOOKUP($I1535,'Price List, Weapons &amp; Items'!B:L,COLUMN('Price List, Weapons &amp; Items'!$J$11)-1,0)</f>
        <v>Contracts</v>
      </c>
      <c r="AO1535" s="1194" t="str">
        <f>IF(I1535=".",".",VLOOKUP($I1535,'Price List, Weapons &amp; Items'!B:J,3,0))</f>
        <v>227mm MLRS</v>
      </c>
      <c r="AP1535" s="1195" t="str">
        <f t="shared" ca="1" si="314"/>
        <v/>
      </c>
      <c r="AQ1535" s="1194">
        <f>VLOOKUP($I1535,'Price List, Weapons &amp; Items'!B:L,COLUMN('Price List, Weapons &amp; Items'!$L$11)-1,0)</f>
        <v>2</v>
      </c>
      <c r="AR1535" s="1194">
        <f t="shared" si="321"/>
        <v>1</v>
      </c>
      <c r="AS1535" s="1194">
        <f t="shared" si="322"/>
        <v>1</v>
      </c>
      <c r="AT1535" s="1194">
        <f t="shared" si="323"/>
        <v>1</v>
      </c>
      <c r="AU1535" s="1194" t="str">
        <f t="shared" si="326"/>
        <v>.</v>
      </c>
      <c r="AV1535" s="1194" t="str">
        <f t="shared" si="315"/>
        <v>.</v>
      </c>
      <c r="AW1535" s="1194" t="str">
        <f t="shared" si="324"/>
        <v>.</v>
      </c>
      <c r="AX1535" s="1194">
        <f>IFERROR(VLOOKUP(B1535,'Share, Heavy Weapons to Ukraine'!B:Z,COLUMN('Share, Heavy Weapons to Ukraine'!C1547)-1,0),0)</f>
        <v>1</v>
      </c>
      <c r="AY1535" s="1194">
        <f>VLOOKUP('Bilateral Assistance, MAIN DATA'!B1535,'Country Summary (€)'!B:F,COLUMN('Country Summary (€)'!C1548)-1,FALSE)</f>
        <v>0</v>
      </c>
      <c r="AZ1535" s="1194" t="str">
        <f>IF(AND(AD1535=1,D1535="Military",H1535&lt;&gt;"Not given")=TRUE,IF(SUMIFS(P:P,A:A,A1535)&gt;0,ABS((SUMIFS(P:P,A:A,A1535)/VLOOKUP("USD",'Exchange Rates'!B:C,2,0)))/S1535,"."),".")</f>
        <v>.</v>
      </c>
      <c r="BA1535" s="1196" t="str">
        <f>IF(AND(AD1535=1,D1535="Military",H1535&lt;&gt;"Not given")=TRUE,IF(SUMIFS(P:P,A:A,A1535)&gt;0,IF((ABS((SUMIFS(P:P,A:A,A1535)/VLOOKUP("USD",'Exchange Rates'!B:C,2,0)))/S1535)&gt;1,(SUMIFS(P:P,A:A,A1535)-S1535)/S1535,(S1535-SUMIFS(P:P,A:A,A1535))/SUMIFS(P:P,A:A,A1535)),"."),".")</f>
        <v>.</v>
      </c>
    </row>
    <row r="1536" spans="1:53" ht="15.95" customHeight="1">
      <c r="A1536" s="1182" t="s">
        <v>3987</v>
      </c>
      <c r="B1536" s="1182" t="s">
        <v>3949</v>
      </c>
      <c r="C1536" s="1181">
        <v>44764</v>
      </c>
      <c r="D1536" s="1182" t="s">
        <v>389</v>
      </c>
      <c r="E1536" s="1182" t="s">
        <v>1676</v>
      </c>
      <c r="F1536" s="1183" t="s">
        <v>4122</v>
      </c>
      <c r="G1536" s="1184" t="s">
        <v>456</v>
      </c>
      <c r="H1536" s="1185">
        <v>175000000</v>
      </c>
      <c r="I1536" s="1266" t="s">
        <v>4093</v>
      </c>
      <c r="J1536" s="1186" t="str">
        <f>VLOOKUP($I1536,'Price List, Weapons &amp; Items'!B:C,2,0)</f>
        <v>Ammunition for heavy weapon</v>
      </c>
      <c r="K1536" s="1186" t="str">
        <f>IF(I1536=".",I1536,VLOOKUP($I1536,'Price List, Weapons &amp; Items'!B:D,3,0))</f>
        <v>227mm MLRS ammunition</v>
      </c>
      <c r="L1536" s="1187">
        <f>VLOOKUP(I1536,'Price List, Weapons &amp; Items'!B:E,4,0)</f>
        <v>0</v>
      </c>
      <c r="M1536" s="1188" t="s">
        <v>374</v>
      </c>
      <c r="N1536" s="1188" t="s">
        <v>374</v>
      </c>
      <c r="O1536" s="1188">
        <f>VLOOKUP($I1536,'Price List, Weapons &amp; Items'!B:G,6,0)</f>
        <v>150000</v>
      </c>
      <c r="P1536" s="1185" t="str">
        <f t="shared" si="316"/>
        <v>.</v>
      </c>
      <c r="Q1536" s="1185" t="str">
        <f t="shared" si="317"/>
        <v>.</v>
      </c>
      <c r="R1536" s="1185" t="str">
        <f t="shared" si="313"/>
        <v/>
      </c>
      <c r="S1536" s="1185" t="str">
        <f>IF(AND(AD1536=1,R1536&lt;&gt;".")=TRUE,R1536/VLOOKUP(G1536,'Exchange Rates'!B:C,2,0),IF(R1536=".",".",""))</f>
        <v/>
      </c>
      <c r="T1536" s="1185" t="str">
        <f>IF(AD1536=1,IF(AF1536="Value is not given at all",".",IF(AF1536="Value is given by the source",S1536,IF(AF1536="Value is calculated with prices",(IF(SUMIFS(Q:Q,A:A,A1536)&gt;0,SUMIFS(Q:Q,A:A,A1536),"."))/VLOOKUP("USD",'Exchange Rates'!B:C,2,0),"Error with coding"))),"")</f>
        <v/>
      </c>
      <c r="U1536" s="1184" t="s">
        <v>365</v>
      </c>
      <c r="V1536" s="974" t="s">
        <v>4123</v>
      </c>
      <c r="W1536" s="973" t="s">
        <v>3955</v>
      </c>
      <c r="X1536" s="973" t="s">
        <v>3959</v>
      </c>
      <c r="Y1536" s="973" t="s">
        <v>4124</v>
      </c>
      <c r="Z1536" s="1184">
        <v>0</v>
      </c>
      <c r="AA1536" s="1194">
        <v>0</v>
      </c>
      <c r="AB1536" s="973" t="s">
        <v>4125</v>
      </c>
      <c r="AC1536" s="1192" t="str">
        <f>""</f>
        <v/>
      </c>
      <c r="AD1536" s="985">
        <v>0</v>
      </c>
      <c r="AE1536" s="1302" t="s">
        <v>368</v>
      </c>
      <c r="AF1536" s="1193" t="s">
        <v>368</v>
      </c>
      <c r="AG1536" s="985">
        <v>1</v>
      </c>
      <c r="AH1536" s="985">
        <v>7</v>
      </c>
      <c r="AI1536" s="985">
        <v>0</v>
      </c>
      <c r="AJ1536" s="1193">
        <f>VLOOKUP($I1536,'Price List, Weapons &amp; Items'!B:F,5,0)</f>
        <v>1</v>
      </c>
      <c r="AK1536" s="1193">
        <f t="shared" si="318"/>
        <v>1</v>
      </c>
      <c r="AL1536" s="1193">
        <f t="shared" si="319"/>
        <v>1</v>
      </c>
      <c r="AM1536" s="1193">
        <f t="shared" si="320"/>
        <v>1</v>
      </c>
      <c r="AN1536" s="1194" t="str">
        <f>VLOOKUP($I1536,'Price List, Weapons &amp; Items'!B:L,COLUMN('Price List, Weapons &amp; Items'!$J$11)-1,0)</f>
        <v>Media reports (incl. social media)</v>
      </c>
      <c r="AO1536" s="1194" t="str">
        <f>IF(I1536=".",".",VLOOKUP($I1536,'Price List, Weapons &amp; Items'!B:J,3,0))</f>
        <v>227mm MLRS ammunition</v>
      </c>
      <c r="AP1536" s="1195" t="str">
        <f t="shared" ca="1" si="314"/>
        <v/>
      </c>
      <c r="AQ1536" s="1194" t="str">
        <f>VLOOKUP($I1536,'Price List, Weapons &amp; Items'!B:L,COLUMN('Price List, Weapons &amp; Items'!$L$11)-1,0)</f>
        <v>no price, 0 count</v>
      </c>
      <c r="AR1536" s="1194">
        <f t="shared" si="321"/>
        <v>1</v>
      </c>
      <c r="AS1536" s="1194">
        <f t="shared" si="322"/>
        <v>1</v>
      </c>
      <c r="AT1536" s="1194">
        <f t="shared" si="323"/>
        <v>1</v>
      </c>
      <c r="AU1536" s="1194" t="str">
        <f t="shared" si="326"/>
        <v>.</v>
      </c>
      <c r="AV1536" s="1194" t="str">
        <f t="shared" si="315"/>
        <v>.</v>
      </c>
      <c r="AW1536" s="1194" t="str">
        <f t="shared" si="324"/>
        <v>.</v>
      </c>
      <c r="AX1536" s="1194">
        <f>IFERROR(VLOOKUP(B1536,'Share, Heavy Weapons to Ukraine'!B:Z,COLUMN('Share, Heavy Weapons to Ukraine'!C1548)-1,0),0)</f>
        <v>1</v>
      </c>
      <c r="AY1536" s="1194">
        <f>VLOOKUP('Bilateral Assistance, MAIN DATA'!B1536,'Country Summary (€)'!B:F,COLUMN('Country Summary (€)'!C1549)-1,FALSE)</f>
        <v>0</v>
      </c>
      <c r="AZ1536" s="1194" t="str">
        <f>IF(AND(AD1536=1,D1536="Military",H1536&lt;&gt;"Not given")=TRUE,IF(SUMIFS(P:P,A:A,A1536)&gt;0,ABS((SUMIFS(P:P,A:A,A1536)/VLOOKUP("USD",'Exchange Rates'!B:C,2,0)))/S1536,"."),".")</f>
        <v>.</v>
      </c>
      <c r="BA1536" s="1196" t="str">
        <f>IF(AND(AD1536=1,D1536="Military",H1536&lt;&gt;"Not given")=TRUE,IF(SUMIFS(P:P,A:A,A1536)&gt;0,IF((ABS((SUMIFS(P:P,A:A,A1536)/VLOOKUP("USD",'Exchange Rates'!B:C,2,0)))/S1536)&gt;1,(SUMIFS(P:P,A:A,A1536)-S1536)/S1536,(S1536-SUMIFS(P:P,A:A,A1536))/SUMIFS(P:P,A:A,A1536)),"."),".")</f>
        <v>.</v>
      </c>
    </row>
    <row r="1537" spans="1:53" ht="15.95" customHeight="1">
      <c r="A1537" s="1182" t="s">
        <v>3987</v>
      </c>
      <c r="B1537" s="1182" t="s">
        <v>3949</v>
      </c>
      <c r="C1537" s="1181">
        <v>44764</v>
      </c>
      <c r="D1537" s="1182" t="s">
        <v>389</v>
      </c>
      <c r="E1537" s="1182" t="s">
        <v>1676</v>
      </c>
      <c r="F1537" s="1183" t="s">
        <v>4122</v>
      </c>
      <c r="G1537" s="1184" t="s">
        <v>456</v>
      </c>
      <c r="H1537" s="1185">
        <v>175000000</v>
      </c>
      <c r="I1537" s="1266" t="s">
        <v>4126</v>
      </c>
      <c r="J1537" s="1186" t="str">
        <f>VLOOKUP($I1537,'Price List, Weapons &amp; Items'!B:C,2,0)</f>
        <v>Heavy weapon</v>
      </c>
      <c r="K1537" s="1186" t="str">
        <f>IF(I1537=".",I1537,VLOOKUP($I1537,'Price List, Weapons &amp; Items'!B:D,3,0))</f>
        <v>Armored Personnel Carrier (APC)</v>
      </c>
      <c r="L1537" s="1187">
        <f>VLOOKUP(I1537,'Price List, Weapons &amp; Items'!B:E,4,0)</f>
        <v>0</v>
      </c>
      <c r="M1537" s="1188">
        <v>4</v>
      </c>
      <c r="N1537" s="1188">
        <v>4</v>
      </c>
      <c r="O1537" s="1188">
        <f>VLOOKUP($I1537,'Price List, Weapons &amp; Items'!B:G,6,0)</f>
        <v>326778</v>
      </c>
      <c r="P1537" s="1185">
        <f t="shared" si="316"/>
        <v>1307112</v>
      </c>
      <c r="Q1537" s="1185">
        <f t="shared" si="317"/>
        <v>1307112</v>
      </c>
      <c r="R1537" s="1185" t="str">
        <f t="shared" si="313"/>
        <v/>
      </c>
      <c r="S1537" s="1185" t="str">
        <f>IF(AND(AD1537=1,R1537&lt;&gt;".")=TRUE,R1537/VLOOKUP(G1537,'Exchange Rates'!B:C,2,0),IF(R1537=".",".",""))</f>
        <v/>
      </c>
      <c r="T1537" s="1185" t="str">
        <f>IF(AD1537=1,IF(AF1537="Value is not given at all",".",IF(AF1537="Value is given by the source",S1537,IF(AF1537="Value is calculated with prices",(IF(SUMIFS(Q:Q,A:A,A1537)&gt;0,SUMIFS(Q:Q,A:A,A1537),"."))/VLOOKUP("USD",'Exchange Rates'!B:C,2,0),"Error with coding"))),"")</f>
        <v/>
      </c>
      <c r="U1537" s="1184" t="s">
        <v>365</v>
      </c>
      <c r="V1537" s="974" t="s">
        <v>4123</v>
      </c>
      <c r="W1537" s="973" t="s">
        <v>3955</v>
      </c>
      <c r="X1537" s="973" t="s">
        <v>3959</v>
      </c>
      <c r="Y1537" s="973" t="s">
        <v>4125</v>
      </c>
      <c r="Z1537" s="1184">
        <v>0</v>
      </c>
      <c r="AA1537" s="1194">
        <v>0</v>
      </c>
      <c r="AB1537" s="973" t="s">
        <v>4127</v>
      </c>
      <c r="AC1537" s="1192" t="str">
        <f>""</f>
        <v/>
      </c>
      <c r="AD1537" s="985">
        <v>0</v>
      </c>
      <c r="AE1537" s="1302" t="s">
        <v>368</v>
      </c>
      <c r="AF1537" s="1193" t="s">
        <v>368</v>
      </c>
      <c r="AG1537" s="985">
        <v>1</v>
      </c>
      <c r="AH1537" s="985">
        <v>7</v>
      </c>
      <c r="AI1537" s="985">
        <v>0</v>
      </c>
      <c r="AJ1537" s="1193">
        <f>VLOOKUP($I1537,'Price List, Weapons &amp; Items'!B:F,5,0)</f>
        <v>1</v>
      </c>
      <c r="AK1537" s="1193">
        <f t="shared" si="318"/>
        <v>0</v>
      </c>
      <c r="AL1537" s="1193">
        <f t="shared" si="319"/>
        <v>0</v>
      </c>
      <c r="AM1537" s="1193">
        <f t="shared" si="320"/>
        <v>0</v>
      </c>
      <c r="AN1537" s="1194" t="str">
        <f>VLOOKUP($I1537,'Price List, Weapons &amp; Items'!B:L,COLUMN('Price List, Weapons &amp; Items'!$J$11)-1,0)</f>
        <v>Contracts</v>
      </c>
      <c r="AO1537" s="1194" t="str">
        <f>IF(I1537=".",".",VLOOKUP($I1537,'Price List, Weapons &amp; Items'!B:J,3,0))</f>
        <v>Armored Personnel Carrier (APC)</v>
      </c>
      <c r="AP1537" s="1195" t="str">
        <f t="shared" ca="1" si="314"/>
        <v/>
      </c>
      <c r="AQ1537" s="1194">
        <f>VLOOKUP($I1537,'Price List, Weapons &amp; Items'!B:L,COLUMN('Price List, Weapons &amp; Items'!$L$11)-1,0)</f>
        <v>2</v>
      </c>
      <c r="AR1537" s="1194">
        <f t="shared" si="321"/>
        <v>1</v>
      </c>
      <c r="AS1537" s="1194">
        <f t="shared" si="322"/>
        <v>1</v>
      </c>
      <c r="AT1537" s="1194">
        <f t="shared" si="323"/>
        <v>1</v>
      </c>
      <c r="AU1537" s="1194" t="str">
        <f t="shared" si="326"/>
        <v>.</v>
      </c>
      <c r="AV1537" s="1194" t="str">
        <f t="shared" si="315"/>
        <v>.</v>
      </c>
      <c r="AW1537" s="1194" t="str">
        <f t="shared" si="324"/>
        <v>.</v>
      </c>
      <c r="AX1537" s="1194">
        <f>IFERROR(VLOOKUP(B1537,'Share, Heavy Weapons to Ukraine'!B:Z,COLUMN('Share, Heavy Weapons to Ukraine'!C1549)-1,0),0)</f>
        <v>1</v>
      </c>
      <c r="AY1537" s="1194">
        <f>VLOOKUP('Bilateral Assistance, MAIN DATA'!B1537,'Country Summary (€)'!B:F,COLUMN('Country Summary (€)'!C1550)-1,FALSE)</f>
        <v>0</v>
      </c>
      <c r="AZ1537" s="1194" t="str">
        <f>IF(AND(AD1537=1,D1537="Military",H1537&lt;&gt;"Not given")=TRUE,IF(SUMIFS(P:P,A:A,A1537)&gt;0,ABS((SUMIFS(P:P,A:A,A1537)/VLOOKUP("USD",'Exchange Rates'!B:C,2,0)))/S1537,"."),".")</f>
        <v>.</v>
      </c>
      <c r="BA1537" s="1196" t="str">
        <f>IF(AND(AD1537=1,D1537="Military",H1537&lt;&gt;"Not given")=TRUE,IF(SUMIFS(P:P,A:A,A1537)&gt;0,IF((ABS((SUMIFS(P:P,A:A,A1537)/VLOOKUP("USD",'Exchange Rates'!B:C,2,0)))/S1537)&gt;1,(SUMIFS(P:P,A:A,A1537)-S1537)/S1537,(S1537-SUMIFS(P:P,A:A,A1537))/SUMIFS(P:P,A:A,A1537)),"."),".")</f>
        <v>.</v>
      </c>
    </row>
    <row r="1538" spans="1:53" ht="15.95" customHeight="1">
      <c r="A1538" s="1182" t="s">
        <v>3987</v>
      </c>
      <c r="B1538" s="1182" t="s">
        <v>3949</v>
      </c>
      <c r="C1538" s="1181">
        <v>44764</v>
      </c>
      <c r="D1538" s="1182" t="s">
        <v>389</v>
      </c>
      <c r="E1538" s="1182" t="s">
        <v>1676</v>
      </c>
      <c r="F1538" s="1183" t="s">
        <v>4122</v>
      </c>
      <c r="G1538" s="1184" t="s">
        <v>456</v>
      </c>
      <c r="H1538" s="1185">
        <v>175000000</v>
      </c>
      <c r="I1538" s="1268" t="s">
        <v>2253</v>
      </c>
      <c r="J1538" s="1186" t="str">
        <f>VLOOKUP($I1538,'Price List, Weapons &amp; Items'!B:C,2,0)</f>
        <v>Ammunition for heavy weapon</v>
      </c>
      <c r="K1538" s="1186" t="str">
        <f>IF(I1538=".",I1538,VLOOKUP($I1538,'Price List, Weapons &amp; Items'!B:D,3,0))</f>
        <v>105mm field gun ammunition</v>
      </c>
      <c r="L1538" s="1187">
        <f>VLOOKUP(I1538,'Price List, Weapons &amp; Items'!B:E,4,0)</f>
        <v>0</v>
      </c>
      <c r="M1538" s="1188">
        <v>36000</v>
      </c>
      <c r="N1538" s="1188">
        <v>36000</v>
      </c>
      <c r="O1538" s="1188">
        <f>VLOOKUP($I1538,'Price List, Weapons &amp; Items'!B:G,6,0)</f>
        <v>400</v>
      </c>
      <c r="P1538" s="1185">
        <f t="shared" si="316"/>
        <v>14400000</v>
      </c>
      <c r="Q1538" s="1185">
        <f t="shared" si="317"/>
        <v>14400000</v>
      </c>
      <c r="R1538" s="1185" t="str">
        <f t="shared" ref="R1538:R1601" si="327">IF(AD1538=1,IF(H1538&lt;&gt;"Not given",H1538,IF(TYPE(H1538)=2,IF(SUMIFS(P:P,A:A,A1538)&gt;0,SUMIFS(P:P,A:A,A1538),"."),"Format error")),"")</f>
        <v/>
      </c>
      <c r="S1538" s="1185" t="str">
        <f>IF(AND(AD1538=1,R1538&lt;&gt;".")=TRUE,R1538/VLOOKUP(G1538,'Exchange Rates'!B:C,2,0),IF(R1538=".",".",""))</f>
        <v/>
      </c>
      <c r="T1538" s="1185" t="str">
        <f>IF(AD1538=1,IF(AF1538="Value is not given at all",".",IF(AF1538="Value is given by the source",S1538,IF(AF1538="Value is calculated with prices",(IF(SUMIFS(Q:Q,A:A,A1538)&gt;0,SUMIFS(Q:Q,A:A,A1538),"."))/VLOOKUP("USD",'Exchange Rates'!B:C,2,0),"Error with coding"))),"")</f>
        <v/>
      </c>
      <c r="U1538" s="1184" t="s">
        <v>365</v>
      </c>
      <c r="V1538" s="974" t="s">
        <v>4123</v>
      </c>
      <c r="W1538" s="973" t="s">
        <v>3955</v>
      </c>
      <c r="X1538" s="973" t="s">
        <v>3959</v>
      </c>
      <c r="Y1538" s="973" t="s">
        <v>4127</v>
      </c>
      <c r="Z1538" s="1184">
        <v>0</v>
      </c>
      <c r="AA1538" s="1194">
        <v>0</v>
      </c>
      <c r="AB1538" s="973" t="s">
        <v>4128</v>
      </c>
      <c r="AC1538" s="1192" t="str">
        <f>""</f>
        <v/>
      </c>
      <c r="AD1538" s="985">
        <v>0</v>
      </c>
      <c r="AE1538" s="1302" t="s">
        <v>368</v>
      </c>
      <c r="AF1538" s="1193" t="s">
        <v>368</v>
      </c>
      <c r="AG1538" s="985">
        <v>1</v>
      </c>
      <c r="AH1538" s="985">
        <v>7</v>
      </c>
      <c r="AI1538" s="985">
        <v>0</v>
      </c>
      <c r="AJ1538" s="1193">
        <f>VLOOKUP($I1538,'Price List, Weapons &amp; Items'!B:F,5,0)</f>
        <v>0</v>
      </c>
      <c r="AK1538" s="1193">
        <f t="shared" si="318"/>
        <v>0</v>
      </c>
      <c r="AL1538" s="1193">
        <f t="shared" si="319"/>
        <v>0</v>
      </c>
      <c r="AM1538" s="1193">
        <f t="shared" si="320"/>
        <v>1</v>
      </c>
      <c r="AN1538" s="1194" t="str">
        <f>VLOOKUP($I1538,'Price List, Weapons &amp; Items'!B:L,COLUMN('Price List, Weapons &amp; Items'!$J$11)-1,0)</f>
        <v>Military media (incl. websites)</v>
      </c>
      <c r="AO1538" s="1194" t="str">
        <f>IF(I1538=".",".",VLOOKUP($I1538,'Price List, Weapons &amp; Items'!B:J,3,0))</f>
        <v>105mm field gun ammunition</v>
      </c>
      <c r="AP1538" s="1195" t="str">
        <f t="shared" ref="AP1538:AP1601" ca="1" si="328">IF(AD1538=1,(OFFSET(I1538,0,0,COUNTIF(A:A,A1538),1)),"")</f>
        <v/>
      </c>
      <c r="AQ1538" s="1194">
        <f>VLOOKUP($I1538,'Price List, Weapons &amp; Items'!B:L,COLUMN('Price List, Weapons &amp; Items'!$L$11)-1,0)</f>
        <v>2</v>
      </c>
      <c r="AR1538" s="1194">
        <f t="shared" si="321"/>
        <v>1</v>
      </c>
      <c r="AS1538" s="1194">
        <f t="shared" si="322"/>
        <v>1</v>
      </c>
      <c r="AT1538" s="1194">
        <f t="shared" si="323"/>
        <v>1</v>
      </c>
      <c r="AU1538" s="1194" t="str">
        <f t="shared" si="326"/>
        <v>.</v>
      </c>
      <c r="AV1538" s="1194" t="str">
        <f t="shared" ref="AV1538:AV1601" si="329">IF(AND(_xlfn.ISFORMULA(R1538),_xlfn.ISFORMULA(S1538),_xlfn.ISFORMULA(T1538))=TRUE,".",1)</f>
        <v>.</v>
      </c>
      <c r="AW1538" s="1194" t="str">
        <f t="shared" si="324"/>
        <v>.</v>
      </c>
      <c r="AX1538" s="1194">
        <f>IFERROR(VLOOKUP(B1538,'Share, Heavy Weapons to Ukraine'!B:Z,COLUMN('Share, Heavy Weapons to Ukraine'!C1550)-1,0),0)</f>
        <v>1</v>
      </c>
      <c r="AY1538" s="1194">
        <f>VLOOKUP('Bilateral Assistance, MAIN DATA'!B1538,'Country Summary (€)'!B:F,COLUMN('Country Summary (€)'!C1551)-1,FALSE)</f>
        <v>0</v>
      </c>
      <c r="AZ1538" s="1194" t="str">
        <f>IF(AND(AD1538=1,D1538="Military",H1538&lt;&gt;"Not given")=TRUE,IF(SUMIFS(P:P,A:A,A1538)&gt;0,ABS((SUMIFS(P:P,A:A,A1538)/VLOOKUP("USD",'Exchange Rates'!B:C,2,0)))/S1538,"."),".")</f>
        <v>.</v>
      </c>
      <c r="BA1538" s="1196" t="str">
        <f>IF(AND(AD1538=1,D1538="Military",H1538&lt;&gt;"Not given")=TRUE,IF(SUMIFS(P:P,A:A,A1538)&gt;0,IF((ABS((SUMIFS(P:P,A:A,A1538)/VLOOKUP("USD",'Exchange Rates'!B:C,2,0)))/S1538)&gt;1,(SUMIFS(P:P,A:A,A1538)-S1538)/S1538,(S1538-SUMIFS(P:P,A:A,A1538))/SUMIFS(P:P,A:A,A1538)),"."),".")</f>
        <v>.</v>
      </c>
    </row>
    <row r="1539" spans="1:53" ht="15.95" customHeight="1">
      <c r="A1539" s="1182" t="s">
        <v>3987</v>
      </c>
      <c r="B1539" s="1182" t="s">
        <v>3949</v>
      </c>
      <c r="C1539" s="1181">
        <v>44764</v>
      </c>
      <c r="D1539" s="1182" t="s">
        <v>389</v>
      </c>
      <c r="E1539" s="1182" t="s">
        <v>1676</v>
      </c>
      <c r="F1539" s="1183" t="s">
        <v>4122</v>
      </c>
      <c r="G1539" s="1184" t="s">
        <v>456</v>
      </c>
      <c r="H1539" s="1185">
        <v>175000000</v>
      </c>
      <c r="I1539" s="1266" t="s">
        <v>4081</v>
      </c>
      <c r="J1539" s="1186" t="str">
        <f>VLOOKUP($I1539,'Price List, Weapons &amp; Items'!B:C,2,0)</f>
        <v>Portable defence system</v>
      </c>
      <c r="K1539" s="1186" t="str">
        <f>IF(I1539=".",I1539,VLOOKUP($I1539,'Price List, Weapons &amp; Items'!B:D,3,0))</f>
        <v>Light Anti-armor Weapon (LAW)</v>
      </c>
      <c r="L1539" s="1187">
        <f>VLOOKUP(I1539,'Price List, Weapons &amp; Items'!B:E,4,0)</f>
        <v>0</v>
      </c>
      <c r="M1539" s="1188">
        <v>4567</v>
      </c>
      <c r="N1539" s="1188">
        <v>4567</v>
      </c>
      <c r="O1539" s="1188">
        <f>VLOOKUP($I1539,'Price List, Weapons &amp; Items'!B:G,6,0)</f>
        <v>3873.65</v>
      </c>
      <c r="P1539" s="1185">
        <f t="shared" ref="P1539:P1602" si="330">IF(TYPE(M1539)=1,IF(TYPE(O1539)=1,M1539*O1539,"No price"),".")</f>
        <v>17690959.550000001</v>
      </c>
      <c r="Q1539" s="1185">
        <f t="shared" ref="Q1539:Q1602" si="331">IF(TYPE(N1539)=1,IF(TYPE(O1539)=1,N1539*O1539,"No price"),".")</f>
        <v>17690959.550000001</v>
      </c>
      <c r="R1539" s="1185" t="str">
        <f t="shared" si="327"/>
        <v/>
      </c>
      <c r="S1539" s="1185" t="str">
        <f>IF(AND(AD1539=1,R1539&lt;&gt;".")=TRUE,R1539/VLOOKUP(G1539,'Exchange Rates'!B:C,2,0),IF(R1539=".",".",""))</f>
        <v/>
      </c>
      <c r="T1539" s="1185" t="str">
        <f>IF(AD1539=1,IF(AF1539="Value is not given at all",".",IF(AF1539="Value is given by the source",S1539,IF(AF1539="Value is calculated with prices",(IF(SUMIFS(Q:Q,A:A,A1539)&gt;0,SUMIFS(Q:Q,A:A,A1539),"."))/VLOOKUP("USD",'Exchange Rates'!B:C,2,0),"Error with coding"))),"")</f>
        <v/>
      </c>
      <c r="U1539" s="1184" t="s">
        <v>365</v>
      </c>
      <c r="V1539" s="974" t="s">
        <v>4123</v>
      </c>
      <c r="W1539" s="973" t="s">
        <v>3955</v>
      </c>
      <c r="X1539" s="973" t="s">
        <v>3959</v>
      </c>
      <c r="Y1539" s="973" t="s">
        <v>4128</v>
      </c>
      <c r="Z1539" s="1184">
        <v>0</v>
      </c>
      <c r="AA1539" s="1194">
        <v>0</v>
      </c>
      <c r="AB1539" s="973" t="s">
        <v>4129</v>
      </c>
      <c r="AC1539" s="1192" t="str">
        <f>""</f>
        <v/>
      </c>
      <c r="AD1539" s="985">
        <v>0</v>
      </c>
      <c r="AE1539" s="1302" t="s">
        <v>368</v>
      </c>
      <c r="AF1539" s="1193" t="s">
        <v>368</v>
      </c>
      <c r="AG1539" s="985">
        <v>1</v>
      </c>
      <c r="AH1539" s="985">
        <v>7</v>
      </c>
      <c r="AI1539" s="985">
        <v>0</v>
      </c>
      <c r="AJ1539" s="1193">
        <f>VLOOKUP($I1539,'Price List, Weapons &amp; Items'!B:F,5,0)</f>
        <v>0</v>
      </c>
      <c r="AK1539" s="1193">
        <f t="shared" ref="AK1539:AK1602" si="332">IF(AND(AJ1539=1,M1539="undisclosed")=TRUE,1,0)</f>
        <v>0</v>
      </c>
      <c r="AL1539" s="1193">
        <f t="shared" ref="AL1539:AL1602" si="333">IF(AND(AJ1539=1,N1539="undisclosed")=TRUE,1,0)</f>
        <v>0</v>
      </c>
      <c r="AM1539" s="1193">
        <f t="shared" ref="AM1539:AM1602" si="334">IFERROR(IF(SEARCH("ammuni",I1539,1)&gt;0,1,0),0)</f>
        <v>0</v>
      </c>
      <c r="AN1539" s="1194" t="str">
        <f>VLOOKUP($I1539,'Price List, Weapons &amp; Items'!B:L,COLUMN('Price List, Weapons &amp; Items'!$J$11)-1,0)</f>
        <v>Military media (incl. websites)</v>
      </c>
      <c r="AO1539" s="1194" t="str">
        <f>IF(I1539=".",".",VLOOKUP($I1539,'Price List, Weapons &amp; Items'!B:J,3,0))</f>
        <v>Light Anti-armor Weapon (LAW)</v>
      </c>
      <c r="AP1539" s="1195" t="str">
        <f t="shared" ca="1" si="328"/>
        <v/>
      </c>
      <c r="AQ1539" s="1194">
        <f>VLOOKUP($I1539,'Price List, Weapons &amp; Items'!B:L,COLUMN('Price List, Weapons &amp; Items'!$L$11)-1,0)</f>
        <v>2</v>
      </c>
      <c r="AR1539" s="1194">
        <f t="shared" ref="AR1539:AR1602" si="335">IF(U1539="Yes",1,0)</f>
        <v>1</v>
      </c>
      <c r="AS1539" s="1194">
        <f t="shared" ref="AS1539:AS1602" si="336">IF(D1539="Military",IF(OR(IFERROR(SEARCH("equipment",E1539,1),0)&gt;0,IFERROR(SEARCH("weapons",E1539,1),0)&gt;0),1,0),0)</f>
        <v>1</v>
      </c>
      <c r="AT1539" s="1194">
        <f t="shared" ref="AT1539:AT1602" si="337">IFERROR(IF(VALUE(TEXT(C1539,"mm"))=IF(AH1539&gt;12,AH1539-12,AH1539),".",IF(TEXT(C1539,"mm")="01",".",1)),"Value is not in date format")</f>
        <v>1</v>
      </c>
      <c r="AU1539" s="1194" t="str">
        <f t="shared" si="326"/>
        <v>.</v>
      </c>
      <c r="AV1539" s="1194" t="str">
        <f t="shared" si="329"/>
        <v>.</v>
      </c>
      <c r="AW1539" s="1194" t="str">
        <f t="shared" ref="AW1539:AW1602" si="338">IF(T1539&lt;&gt;".",IF(T1539&gt;S1539,1,"."),".")</f>
        <v>.</v>
      </c>
      <c r="AX1539" s="1194">
        <f>IFERROR(VLOOKUP(B1539,'Share, Heavy Weapons to Ukraine'!B:Z,COLUMN('Share, Heavy Weapons to Ukraine'!C1551)-1,0),0)</f>
        <v>1</v>
      </c>
      <c r="AY1539" s="1194">
        <f>VLOOKUP('Bilateral Assistance, MAIN DATA'!B1539,'Country Summary (€)'!B:F,COLUMN('Country Summary (€)'!C1552)-1,FALSE)</f>
        <v>0</v>
      </c>
      <c r="AZ1539" s="1194" t="str">
        <f>IF(AND(AD1539=1,D1539="Military",H1539&lt;&gt;"Not given")=TRUE,IF(SUMIFS(P:P,A:A,A1539)&gt;0,ABS((SUMIFS(P:P,A:A,A1539)/VLOOKUP("USD",'Exchange Rates'!B:C,2,0)))/S1539,"."),".")</f>
        <v>.</v>
      </c>
      <c r="BA1539" s="1196" t="str">
        <f>IF(AND(AD1539=1,D1539="Military",H1539&lt;&gt;"Not given")=TRUE,IF(SUMIFS(P:P,A:A,A1539)&gt;0,IF((ABS((SUMIFS(P:P,A:A,A1539)/VLOOKUP("USD",'Exchange Rates'!B:C,2,0)))/S1539)&gt;1,(SUMIFS(P:P,A:A,A1539)-S1539)/S1539,(S1539-SUMIFS(P:P,A:A,A1539))/SUMIFS(P:P,A:A,A1539)),"."),".")</f>
        <v>.</v>
      </c>
    </row>
    <row r="1540" spans="1:53" ht="15.95" customHeight="1">
      <c r="A1540" s="1182" t="s">
        <v>3987</v>
      </c>
      <c r="B1540" s="1182" t="s">
        <v>3949</v>
      </c>
      <c r="C1540" s="1181">
        <v>44764</v>
      </c>
      <c r="D1540" s="1182" t="s">
        <v>389</v>
      </c>
      <c r="E1540" s="1182" t="s">
        <v>1676</v>
      </c>
      <c r="F1540" s="1183" t="s">
        <v>4122</v>
      </c>
      <c r="G1540" s="1184" t="s">
        <v>456</v>
      </c>
      <c r="H1540" s="1185">
        <v>175000000</v>
      </c>
      <c r="I1540" s="1266" t="s">
        <v>632</v>
      </c>
      <c r="J1540" s="1186" t="str">
        <f>VLOOKUP($I1540,'Price List, Weapons &amp; Items'!B:C,2,0)</f>
        <v>Military equipment</v>
      </c>
      <c r="K1540" s="1186" t="str">
        <f>IF(I1540=".",I1540,VLOOKUP($I1540,'Price List, Weapons &amp; Items'!B:D,3,0))</f>
        <v>spare parts</v>
      </c>
      <c r="L1540" s="1187">
        <f>VLOOKUP(I1540,'Price List, Weapons &amp; Items'!B:E,4,0)</f>
        <v>0</v>
      </c>
      <c r="M1540" s="1188" t="s">
        <v>374</v>
      </c>
      <c r="N1540" s="1188" t="s">
        <v>374</v>
      </c>
      <c r="O1540" s="1188" t="str">
        <f>VLOOKUP($I1540,'Price List, Weapons &amp; Items'!B:G,6,0)</f>
        <v>.</v>
      </c>
      <c r="P1540" s="1185" t="str">
        <f t="shared" si="330"/>
        <v>.</v>
      </c>
      <c r="Q1540" s="1185" t="str">
        <f t="shared" si="331"/>
        <v>.</v>
      </c>
      <c r="R1540" s="1185" t="str">
        <f t="shared" si="327"/>
        <v/>
      </c>
      <c r="S1540" s="1185" t="str">
        <f>IF(AND(AD1540=1,R1540&lt;&gt;".")=TRUE,R1540/VLOOKUP(G1540,'Exchange Rates'!B:C,2,0),IF(R1540=".",".",""))</f>
        <v/>
      </c>
      <c r="T1540" s="1185" t="str">
        <f>IF(AD1540=1,IF(AF1540="Value is not given at all",".",IF(AF1540="Value is given by the source",S1540,IF(AF1540="Value is calculated with prices",(IF(SUMIFS(Q:Q,A:A,A1540)&gt;0,SUMIFS(Q:Q,A:A,A1540),"."))/VLOOKUP("USD",'Exchange Rates'!B:C,2,0),"Error with coding"))),"")</f>
        <v/>
      </c>
      <c r="U1540" s="1184" t="s">
        <v>365</v>
      </c>
      <c r="V1540" s="974" t="s">
        <v>4123</v>
      </c>
      <c r="W1540" s="973" t="s">
        <v>3955</v>
      </c>
      <c r="X1540" s="973" t="s">
        <v>3959</v>
      </c>
      <c r="Y1540" s="973" t="s">
        <v>4129</v>
      </c>
      <c r="Z1540" s="1184">
        <v>0</v>
      </c>
      <c r="AA1540" s="1194">
        <v>0</v>
      </c>
      <c r="AB1540" s="973" t="s">
        <v>4130</v>
      </c>
      <c r="AC1540" s="1192" t="str">
        <f>""</f>
        <v/>
      </c>
      <c r="AD1540" s="985">
        <v>0</v>
      </c>
      <c r="AE1540" s="1302" t="s">
        <v>368</v>
      </c>
      <c r="AF1540" s="1193" t="s">
        <v>368</v>
      </c>
      <c r="AG1540" s="985">
        <v>1</v>
      </c>
      <c r="AH1540" s="985">
        <v>7</v>
      </c>
      <c r="AI1540" s="985">
        <v>0</v>
      </c>
      <c r="AJ1540" s="1193">
        <f>VLOOKUP($I1540,'Price List, Weapons &amp; Items'!B:F,5,0)</f>
        <v>0</v>
      </c>
      <c r="AK1540" s="1193">
        <f t="shared" si="332"/>
        <v>0</v>
      </c>
      <c r="AL1540" s="1193">
        <f t="shared" si="333"/>
        <v>0</v>
      </c>
      <c r="AM1540" s="1193">
        <f t="shared" si="334"/>
        <v>0</v>
      </c>
      <c r="AN1540" s="1194" t="str">
        <f>VLOOKUP($I1540,'Price List, Weapons &amp; Items'!B:L,COLUMN('Price List, Weapons &amp; Items'!$J$11)-1,0)</f>
        <v>.</v>
      </c>
      <c r="AO1540" s="1194" t="str">
        <f>IF(I1540=".",".",VLOOKUP($I1540,'Price List, Weapons &amp; Items'!B:J,3,0))</f>
        <v>spare parts</v>
      </c>
      <c r="AP1540" s="1195" t="str">
        <f t="shared" ca="1" si="328"/>
        <v/>
      </c>
      <c r="AQ1540" s="1194" t="str">
        <f>VLOOKUP($I1540,'Price List, Weapons &amp; Items'!B:L,COLUMN('Price List, Weapons &amp; Items'!$L$11)-1,0)</f>
        <v>no price, 0 count</v>
      </c>
      <c r="AR1540" s="1194">
        <f t="shared" si="335"/>
        <v>1</v>
      </c>
      <c r="AS1540" s="1194">
        <f t="shared" si="336"/>
        <v>1</v>
      </c>
      <c r="AT1540" s="1194">
        <f t="shared" si="337"/>
        <v>1</v>
      </c>
      <c r="AU1540" s="1194" t="str">
        <f t="shared" si="326"/>
        <v>.</v>
      </c>
      <c r="AV1540" s="1194" t="str">
        <f t="shared" si="329"/>
        <v>.</v>
      </c>
      <c r="AW1540" s="1194" t="str">
        <f t="shared" si="338"/>
        <v>.</v>
      </c>
      <c r="AX1540" s="1194">
        <f>IFERROR(VLOOKUP(B1540,'Share, Heavy Weapons to Ukraine'!B:Z,COLUMN('Share, Heavy Weapons to Ukraine'!C1552)-1,0),0)</f>
        <v>1</v>
      </c>
      <c r="AY1540" s="1194">
        <f>VLOOKUP('Bilateral Assistance, MAIN DATA'!B1540,'Country Summary (€)'!B:F,COLUMN('Country Summary (€)'!C1553)-1,FALSE)</f>
        <v>0</v>
      </c>
      <c r="AZ1540" s="1194" t="str">
        <f>IF(AND(AD1540=1,D1540="Military",H1540&lt;&gt;"Not given")=TRUE,IF(SUMIFS(P:P,A:A,A1540)&gt;0,ABS((SUMIFS(P:P,A:A,A1540)/VLOOKUP("USD",'Exchange Rates'!B:C,2,0)))/S1540,"."),".")</f>
        <v>.</v>
      </c>
      <c r="BA1540" s="1196" t="str">
        <f>IF(AND(AD1540=1,D1540="Military",H1540&lt;&gt;"Not given")=TRUE,IF(SUMIFS(P:P,A:A,A1540)&gt;0,IF((ABS((SUMIFS(P:P,A:A,A1540)/VLOOKUP("USD",'Exchange Rates'!B:C,2,0)))/S1540)&gt;1,(SUMIFS(P:P,A:A,A1540)-S1540)/S1540,(S1540-SUMIFS(P:P,A:A,A1540))/SUMIFS(P:P,A:A,A1540)),"."),".")</f>
        <v>.</v>
      </c>
    </row>
    <row r="1541" spans="1:53" ht="15.95" customHeight="1">
      <c r="A1541" s="1182" t="s">
        <v>3987</v>
      </c>
      <c r="B1541" s="1182" t="s">
        <v>3949</v>
      </c>
      <c r="C1541" s="1181">
        <v>44774</v>
      </c>
      <c r="D1541" s="1182" t="s">
        <v>389</v>
      </c>
      <c r="E1541" s="1182" t="s">
        <v>1676</v>
      </c>
      <c r="F1541" s="1183" t="s">
        <v>4131</v>
      </c>
      <c r="G1541" s="1184" t="s">
        <v>456</v>
      </c>
      <c r="H1541" s="1185">
        <v>550000000</v>
      </c>
      <c r="I1541" s="1180" t="s">
        <v>4093</v>
      </c>
      <c r="J1541" s="1186" t="str">
        <f>VLOOKUP($I1541,'Price List, Weapons &amp; Items'!B:C,2,0)</f>
        <v>Ammunition for heavy weapon</v>
      </c>
      <c r="K1541" s="1186" t="str">
        <f>IF(I1541=".",I1541,VLOOKUP($I1541,'Price List, Weapons &amp; Items'!B:D,3,0))</f>
        <v>227mm MLRS ammunition</v>
      </c>
      <c r="L1541" s="1187">
        <f>VLOOKUP(I1541,'Price List, Weapons &amp; Items'!B:E,4,0)</f>
        <v>0</v>
      </c>
      <c r="M1541" s="1188" t="s">
        <v>374</v>
      </c>
      <c r="N1541" s="1188" t="s">
        <v>374</v>
      </c>
      <c r="O1541" s="1188">
        <f>VLOOKUP($I1541,'Price List, Weapons &amp; Items'!B:G,6,0)</f>
        <v>150000</v>
      </c>
      <c r="P1541" s="1185" t="str">
        <f t="shared" si="330"/>
        <v>.</v>
      </c>
      <c r="Q1541" s="1185" t="str">
        <f t="shared" si="331"/>
        <v>.</v>
      </c>
      <c r="R1541" s="1185" t="str">
        <f t="shared" si="327"/>
        <v/>
      </c>
      <c r="S1541" s="1185" t="str">
        <f>IF(AND(AD1541=1,R1541&lt;&gt;".")=TRUE,R1541/VLOOKUP(G1541,'Exchange Rates'!B:C,2,0),IF(R1541=".",".",""))</f>
        <v/>
      </c>
      <c r="T1541" s="1185" t="str">
        <f>IF(AD1541=1,IF(AF1541="Value is not given at all",".",IF(AF1541="Value is given by the source",S1541,IF(AF1541="Value is calculated with prices",(IF(SUMIFS(Q:Q,A:A,A1541)&gt;0,SUMIFS(Q:Q,A:A,A1541),"."))/VLOOKUP("USD",'Exchange Rates'!B:C,2,0),"Error with coding"))),"")</f>
        <v/>
      </c>
      <c r="U1541" s="1184" t="s">
        <v>365</v>
      </c>
      <c r="V1541" s="974" t="s">
        <v>4132</v>
      </c>
      <c r="W1541" s="973" t="s">
        <v>3955</v>
      </c>
      <c r="X1541" s="973" t="s">
        <v>3959</v>
      </c>
      <c r="Y1541" s="973" t="s">
        <v>4130</v>
      </c>
      <c r="Z1541" s="1184">
        <v>0</v>
      </c>
      <c r="AA1541" s="1194">
        <v>0</v>
      </c>
      <c r="AB1541" s="973" t="s">
        <v>4133</v>
      </c>
      <c r="AC1541" s="1192" t="str">
        <f>""</f>
        <v/>
      </c>
      <c r="AD1541" s="985">
        <v>0</v>
      </c>
      <c r="AE1541" s="1302" t="s">
        <v>368</v>
      </c>
      <c r="AF1541" s="1193" t="s">
        <v>368</v>
      </c>
      <c r="AG1541" s="985">
        <v>1</v>
      </c>
      <c r="AH1541" s="985">
        <v>8</v>
      </c>
      <c r="AI1541" s="985">
        <v>0</v>
      </c>
      <c r="AJ1541" s="1193">
        <f>VLOOKUP($I1541,'Price List, Weapons &amp; Items'!B:F,5,0)</f>
        <v>1</v>
      </c>
      <c r="AK1541" s="1193">
        <f t="shared" si="332"/>
        <v>1</v>
      </c>
      <c r="AL1541" s="1193">
        <f t="shared" si="333"/>
        <v>1</v>
      </c>
      <c r="AM1541" s="1193">
        <f t="shared" si="334"/>
        <v>1</v>
      </c>
      <c r="AN1541" s="1194" t="str">
        <f>VLOOKUP($I1541,'Price List, Weapons &amp; Items'!B:L,COLUMN('Price List, Weapons &amp; Items'!$J$11)-1,0)</f>
        <v>Media reports (incl. social media)</v>
      </c>
      <c r="AO1541" s="1194" t="str">
        <f>IF(I1541=".",".",VLOOKUP($I1541,'Price List, Weapons &amp; Items'!B:J,3,0))</f>
        <v>227mm MLRS ammunition</v>
      </c>
      <c r="AP1541" s="1195" t="str">
        <f t="shared" ca="1" si="328"/>
        <v/>
      </c>
      <c r="AQ1541" s="1194" t="str">
        <f>VLOOKUP($I1541,'Price List, Weapons &amp; Items'!B:L,COLUMN('Price List, Weapons &amp; Items'!$L$11)-1,0)</f>
        <v>no price, 0 count</v>
      </c>
      <c r="AR1541" s="1194">
        <f t="shared" si="335"/>
        <v>1</v>
      </c>
      <c r="AS1541" s="1194">
        <f t="shared" si="336"/>
        <v>1</v>
      </c>
      <c r="AT1541" s="1194">
        <f t="shared" si="337"/>
        <v>1</v>
      </c>
      <c r="AU1541" s="1194" t="str">
        <f t="shared" si="326"/>
        <v>.</v>
      </c>
      <c r="AV1541" s="1194" t="str">
        <f t="shared" si="329"/>
        <v>.</v>
      </c>
      <c r="AW1541" s="1194" t="str">
        <f t="shared" si="338"/>
        <v>.</v>
      </c>
      <c r="AX1541" s="1194">
        <f>IFERROR(VLOOKUP(B1541,'Share, Heavy Weapons to Ukraine'!B:Z,COLUMN('Share, Heavy Weapons to Ukraine'!C1553)-1,0),0)</f>
        <v>1</v>
      </c>
      <c r="AY1541" s="1194">
        <f>VLOOKUP('Bilateral Assistance, MAIN DATA'!B1541,'Country Summary (€)'!B:F,COLUMN('Country Summary (€)'!C1554)-1,FALSE)</f>
        <v>0</v>
      </c>
      <c r="AZ1541" s="1194" t="str">
        <f>IF(AND(AD1541=1,D1541="Military",H1541&lt;&gt;"Not given")=TRUE,IF(SUMIFS(P:P,A:A,A1541)&gt;0,ABS((SUMIFS(P:P,A:A,A1541)/VLOOKUP("USD",'Exchange Rates'!B:C,2,0)))/S1541,"."),".")</f>
        <v>.</v>
      </c>
      <c r="BA1541" s="1196" t="str">
        <f>IF(AND(AD1541=1,D1541="Military",H1541&lt;&gt;"Not given")=TRUE,IF(SUMIFS(P:P,A:A,A1541)&gt;0,IF((ABS((SUMIFS(P:P,A:A,A1541)/VLOOKUP("USD",'Exchange Rates'!B:C,2,0)))/S1541)&gt;1,(SUMIFS(P:P,A:A,A1541)-S1541)/S1541,(S1541-SUMIFS(P:P,A:A,A1541))/SUMIFS(P:P,A:A,A1541)),"."),".")</f>
        <v>.</v>
      </c>
    </row>
    <row r="1542" spans="1:53" ht="15.95" customHeight="1">
      <c r="A1542" s="1182" t="s">
        <v>3987</v>
      </c>
      <c r="B1542" s="1182" t="s">
        <v>3949</v>
      </c>
      <c r="C1542" s="1181">
        <v>44774</v>
      </c>
      <c r="D1542" s="1182" t="s">
        <v>389</v>
      </c>
      <c r="E1542" s="1182" t="s">
        <v>1676</v>
      </c>
      <c r="F1542" s="1183" t="s">
        <v>4131</v>
      </c>
      <c r="G1542" s="1184" t="s">
        <v>456</v>
      </c>
      <c r="H1542" s="1185">
        <v>550000000</v>
      </c>
      <c r="I1542" s="1266" t="s">
        <v>856</v>
      </c>
      <c r="J1542" s="1186" t="str">
        <f>VLOOKUP($I1542,'Price List, Weapons &amp; Items'!B:C,2,0)</f>
        <v>Ammunition for heavy weapon</v>
      </c>
      <c r="K1542" s="1186" t="str">
        <f>IF(I1542=".",I1542,VLOOKUP($I1542,'Price List, Weapons &amp; Items'!B:D,3,0))</f>
        <v>155mm howitzer ammunition</v>
      </c>
      <c r="L1542" s="1187">
        <f>VLOOKUP(I1542,'Price List, Weapons &amp; Items'!B:E,4,0)</f>
        <v>0</v>
      </c>
      <c r="M1542" s="1188">
        <v>75000</v>
      </c>
      <c r="N1542" s="1188">
        <v>75000</v>
      </c>
      <c r="O1542" s="1188">
        <f>VLOOKUP($I1542,'Price List, Weapons &amp; Items'!B:G,6,0)</f>
        <v>3800</v>
      </c>
      <c r="P1542" s="1185">
        <f t="shared" si="330"/>
        <v>285000000</v>
      </c>
      <c r="Q1542" s="1185">
        <f t="shared" si="331"/>
        <v>285000000</v>
      </c>
      <c r="R1542" s="1185" t="str">
        <f t="shared" si="327"/>
        <v/>
      </c>
      <c r="S1542" s="1185" t="str">
        <f>IF(AND(AD1542=1,R1542&lt;&gt;".")=TRUE,R1542/VLOOKUP(G1542,'Exchange Rates'!B:C,2,0),IF(R1542=".",".",""))</f>
        <v/>
      </c>
      <c r="T1542" s="1185" t="str">
        <f>IF(AD1542=1,IF(AF1542="Value is not given at all",".",IF(AF1542="Value is given by the source",S1542,IF(AF1542="Value is calculated with prices",(IF(SUMIFS(Q:Q,A:A,A1542)&gt;0,SUMIFS(Q:Q,A:A,A1542),"."))/VLOOKUP("USD",'Exchange Rates'!B:C,2,0),"Error with coding"))),"")</f>
        <v/>
      </c>
      <c r="U1542" s="1184" t="s">
        <v>365</v>
      </c>
      <c r="V1542" s="974" t="s">
        <v>4132</v>
      </c>
      <c r="W1542" s="973" t="s">
        <v>3955</v>
      </c>
      <c r="X1542" s="973" t="s">
        <v>3959</v>
      </c>
      <c r="Y1542" s="973" t="s">
        <v>4133</v>
      </c>
      <c r="Z1542" s="1184">
        <v>0</v>
      </c>
      <c r="AA1542" s="1194">
        <v>0</v>
      </c>
      <c r="AB1542" s="973" t="s">
        <v>4134</v>
      </c>
      <c r="AC1542" s="1192" t="str">
        <f>""</f>
        <v/>
      </c>
      <c r="AD1542" s="985">
        <v>0</v>
      </c>
      <c r="AE1542" s="1302" t="s">
        <v>368</v>
      </c>
      <c r="AF1542" s="1193" t="s">
        <v>368</v>
      </c>
      <c r="AG1542" s="985">
        <v>1</v>
      </c>
      <c r="AH1542" s="985">
        <v>8</v>
      </c>
      <c r="AI1542" s="985">
        <v>0</v>
      </c>
      <c r="AJ1542" s="1193">
        <f>VLOOKUP($I1542,'Price List, Weapons &amp; Items'!B:F,5,0)</f>
        <v>1</v>
      </c>
      <c r="AK1542" s="1193">
        <f t="shared" si="332"/>
        <v>0</v>
      </c>
      <c r="AL1542" s="1193">
        <f t="shared" si="333"/>
        <v>0</v>
      </c>
      <c r="AM1542" s="1193">
        <f t="shared" si="334"/>
        <v>0</v>
      </c>
      <c r="AN1542" s="1194" t="str">
        <f>VLOOKUP($I1542,'Price List, Weapons &amp; Items'!B:L,COLUMN('Price List, Weapons &amp; Items'!$J$11)-1,0)</f>
        <v>Government information</v>
      </c>
      <c r="AO1542" s="1194" t="str">
        <f>IF(I1542=".",".",VLOOKUP($I1542,'Price List, Weapons &amp; Items'!B:J,3,0))</f>
        <v>155mm howitzer ammunition</v>
      </c>
      <c r="AP1542" s="1195" t="str">
        <f t="shared" ca="1" si="328"/>
        <v/>
      </c>
      <c r="AQ1542" s="1194">
        <f>VLOOKUP($I1542,'Price List, Weapons &amp; Items'!B:L,COLUMN('Price List, Weapons &amp; Items'!$L$11)-1,0)</f>
        <v>2</v>
      </c>
      <c r="AR1542" s="1194">
        <f t="shared" si="335"/>
        <v>1</v>
      </c>
      <c r="AS1542" s="1194">
        <f t="shared" si="336"/>
        <v>1</v>
      </c>
      <c r="AT1542" s="1194">
        <f t="shared" si="337"/>
        <v>1</v>
      </c>
      <c r="AU1542" s="1194" t="str">
        <f t="shared" si="326"/>
        <v>.</v>
      </c>
      <c r="AV1542" s="1194" t="str">
        <f t="shared" si="329"/>
        <v>.</v>
      </c>
      <c r="AW1542" s="1194" t="str">
        <f t="shared" si="338"/>
        <v>.</v>
      </c>
      <c r="AX1542" s="1194">
        <f>IFERROR(VLOOKUP(B1542,'Share, Heavy Weapons to Ukraine'!B:Z,COLUMN('Share, Heavy Weapons to Ukraine'!C1554)-1,0),0)</f>
        <v>1</v>
      </c>
      <c r="AY1542" s="1194">
        <f>VLOOKUP('Bilateral Assistance, MAIN DATA'!B1542,'Country Summary (€)'!B:F,COLUMN('Country Summary (€)'!C1555)-1,FALSE)</f>
        <v>0</v>
      </c>
      <c r="AZ1542" s="1194" t="str">
        <f>IF(AND(AD1542=1,D1542="Military",H1542&lt;&gt;"Not given")=TRUE,IF(SUMIFS(P:P,A:A,A1542)&gt;0,ABS((SUMIFS(P:P,A:A,A1542)/VLOOKUP("USD",'Exchange Rates'!B:C,2,0)))/S1542,"."),".")</f>
        <v>.</v>
      </c>
      <c r="BA1542" s="1196" t="str">
        <f>IF(AND(AD1542=1,D1542="Military",H1542&lt;&gt;"Not given")=TRUE,IF(SUMIFS(P:P,A:A,A1542)&gt;0,IF((ABS((SUMIFS(P:P,A:A,A1542)/VLOOKUP("USD",'Exchange Rates'!B:C,2,0)))/S1542)&gt;1,(SUMIFS(P:P,A:A,A1542)-S1542)/S1542,(S1542-SUMIFS(P:P,A:A,A1542))/SUMIFS(P:P,A:A,A1542)),"."),".")</f>
        <v>.</v>
      </c>
    </row>
    <row r="1543" spans="1:53" ht="15.95" customHeight="1">
      <c r="A1543" s="1182" t="s">
        <v>3987</v>
      </c>
      <c r="B1543" s="1208" t="s">
        <v>3949</v>
      </c>
      <c r="C1543" s="1220">
        <v>44781</v>
      </c>
      <c r="D1543" s="1208" t="s">
        <v>389</v>
      </c>
      <c r="E1543" s="1182" t="s">
        <v>1676</v>
      </c>
      <c r="F1543" s="1183" t="s">
        <v>4135</v>
      </c>
      <c r="G1543" s="1184" t="s">
        <v>456</v>
      </c>
      <c r="H1543" s="1221">
        <v>1000000000</v>
      </c>
      <c r="I1543" s="1208" t="s">
        <v>4093</v>
      </c>
      <c r="J1543" s="1186" t="str">
        <f>VLOOKUP($I1543,'Price List, Weapons &amp; Items'!B:C,2,0)</f>
        <v>Ammunition for heavy weapon</v>
      </c>
      <c r="K1543" s="1186" t="str">
        <f>IF(I1543=".",I1543,VLOOKUP($I1543,'Price List, Weapons &amp; Items'!B:D,3,0))</f>
        <v>227mm MLRS ammunition</v>
      </c>
      <c r="L1543" s="1187">
        <f>VLOOKUP(I1543,'Price List, Weapons &amp; Items'!B:E,4,0)</f>
        <v>0</v>
      </c>
      <c r="M1543" s="1241" t="s">
        <v>374</v>
      </c>
      <c r="N1543" s="1188" t="s">
        <v>374</v>
      </c>
      <c r="O1543" s="1188">
        <f>VLOOKUP($I1543,'Price List, Weapons &amp; Items'!B:G,6,0)</f>
        <v>150000</v>
      </c>
      <c r="P1543" s="1185" t="str">
        <f t="shared" si="330"/>
        <v>.</v>
      </c>
      <c r="Q1543" s="1185" t="str">
        <f t="shared" si="331"/>
        <v>.</v>
      </c>
      <c r="R1543" s="1185" t="str">
        <f t="shared" si="327"/>
        <v/>
      </c>
      <c r="S1543" s="1185" t="str">
        <f>IF(AND(AD1543=1,R1543&lt;&gt;".")=TRUE,R1543/VLOOKUP(G1543,'Exchange Rates'!B:C,2,0),IF(R1543=".",".",""))</f>
        <v/>
      </c>
      <c r="T1543" s="1185" t="str">
        <f>IF(AD1543=1,IF(AF1543="Value is not given at all",".",IF(AF1543="Value is given by the source",S1543,IF(AF1543="Value is calculated with prices",(IF(SUMIFS(Q:Q,A:A,A1543)&gt;0,SUMIFS(Q:Q,A:A,A1543),"."))/VLOOKUP("USD",'Exchange Rates'!B:C,2,0),"Error with coding"))),"")</f>
        <v/>
      </c>
      <c r="U1543" s="1184" t="s">
        <v>365</v>
      </c>
      <c r="V1543" s="979" t="s">
        <v>4136</v>
      </c>
      <c r="W1543" s="973" t="s">
        <v>3955</v>
      </c>
      <c r="X1543" s="973" t="s">
        <v>3959</v>
      </c>
      <c r="Y1543" s="973" t="s">
        <v>4134</v>
      </c>
      <c r="Z1543" s="1191">
        <v>0</v>
      </c>
      <c r="AA1543" s="1194">
        <v>0</v>
      </c>
      <c r="AB1543" s="973" t="s">
        <v>4137</v>
      </c>
      <c r="AC1543" s="1192" t="str">
        <f>""</f>
        <v/>
      </c>
      <c r="AD1543" s="985">
        <v>0</v>
      </c>
      <c r="AE1543" s="1302" t="s">
        <v>368</v>
      </c>
      <c r="AF1543" s="1193" t="s">
        <v>368</v>
      </c>
      <c r="AG1543" s="985">
        <v>1</v>
      </c>
      <c r="AH1543" s="985">
        <v>8</v>
      </c>
      <c r="AI1543" s="985">
        <v>0</v>
      </c>
      <c r="AJ1543" s="1193">
        <f>VLOOKUP($I1543,'Price List, Weapons &amp; Items'!B:F,5,0)</f>
        <v>1</v>
      </c>
      <c r="AK1543" s="1193">
        <f t="shared" si="332"/>
        <v>1</v>
      </c>
      <c r="AL1543" s="1193">
        <f t="shared" si="333"/>
        <v>1</v>
      </c>
      <c r="AM1543" s="1193">
        <f t="shared" si="334"/>
        <v>1</v>
      </c>
      <c r="AN1543" s="1194" t="str">
        <f>VLOOKUP($I1543,'Price List, Weapons &amp; Items'!B:L,COLUMN('Price List, Weapons &amp; Items'!$J$11)-1,0)</f>
        <v>Media reports (incl. social media)</v>
      </c>
      <c r="AO1543" s="1194" t="str">
        <f>IF(I1543=".",".",VLOOKUP($I1543,'Price List, Weapons &amp; Items'!B:J,3,0))</f>
        <v>227mm MLRS ammunition</v>
      </c>
      <c r="AP1543" s="1195" t="str">
        <f t="shared" ca="1" si="328"/>
        <v/>
      </c>
      <c r="AQ1543" s="1194" t="str">
        <f>VLOOKUP($I1543,'Price List, Weapons &amp; Items'!B:L,COLUMN('Price List, Weapons &amp; Items'!$L$11)-1,0)</f>
        <v>no price, 0 count</v>
      </c>
      <c r="AR1543" s="1194">
        <f t="shared" si="335"/>
        <v>1</v>
      </c>
      <c r="AS1543" s="1194">
        <f t="shared" si="336"/>
        <v>1</v>
      </c>
      <c r="AT1543" s="1194">
        <f t="shared" si="337"/>
        <v>1</v>
      </c>
      <c r="AU1543" s="1194" t="str">
        <f t="shared" si="326"/>
        <v>.</v>
      </c>
      <c r="AV1543" s="1194" t="str">
        <f t="shared" si="329"/>
        <v>.</v>
      </c>
      <c r="AW1543" s="1194" t="str">
        <f t="shared" si="338"/>
        <v>.</v>
      </c>
      <c r="AX1543" s="1194">
        <f>IFERROR(VLOOKUP(B1543,'Share, Heavy Weapons to Ukraine'!B:Z,COLUMN('Share, Heavy Weapons to Ukraine'!C1555)-1,0),0)</f>
        <v>1</v>
      </c>
      <c r="AY1543" s="1194">
        <f>VLOOKUP('Bilateral Assistance, MAIN DATA'!B1543,'Country Summary (€)'!B:F,COLUMN('Country Summary (€)'!C1556)-1,FALSE)</f>
        <v>0</v>
      </c>
      <c r="AZ1543" s="1194" t="str">
        <f>IF(AND(AD1543=1,D1543="Military",H1543&lt;&gt;"Not given")=TRUE,IF(SUMIFS(P:P,A:A,A1543)&gt;0,ABS((SUMIFS(P:P,A:A,A1543)/VLOOKUP("USD",'Exchange Rates'!B:C,2,0)))/S1543,"."),".")</f>
        <v>.</v>
      </c>
      <c r="BA1543" s="1196" t="str">
        <f>IF(AND(AD1543=1,D1543="Military",H1543&lt;&gt;"Not given")=TRUE,IF(SUMIFS(P:P,A:A,A1543)&gt;0,IF((ABS((SUMIFS(P:P,A:A,A1543)/VLOOKUP("USD",'Exchange Rates'!B:C,2,0)))/S1543)&gt;1,(SUMIFS(P:P,A:A,A1543)-S1543)/S1543,(S1543-SUMIFS(P:P,A:A,A1543))/SUMIFS(P:P,A:A,A1543)),"."),".")</f>
        <v>.</v>
      </c>
    </row>
    <row r="1544" spans="1:53" ht="15.95" customHeight="1">
      <c r="A1544" s="1182" t="s">
        <v>3987</v>
      </c>
      <c r="B1544" s="1208" t="s">
        <v>3949</v>
      </c>
      <c r="C1544" s="1220">
        <v>44781</v>
      </c>
      <c r="D1544" s="1208" t="s">
        <v>389</v>
      </c>
      <c r="E1544" s="1182" t="s">
        <v>1676</v>
      </c>
      <c r="F1544" s="1183" t="s">
        <v>4135</v>
      </c>
      <c r="G1544" s="1184" t="s">
        <v>456</v>
      </c>
      <c r="H1544" s="1221">
        <v>1000000000</v>
      </c>
      <c r="I1544" s="1208" t="s">
        <v>856</v>
      </c>
      <c r="J1544" s="1186" t="str">
        <f>VLOOKUP($I1544,'Price List, Weapons &amp; Items'!B:C,2,0)</f>
        <v>Ammunition for heavy weapon</v>
      </c>
      <c r="K1544" s="1186" t="str">
        <f>IF(I1544=".",I1544,VLOOKUP($I1544,'Price List, Weapons &amp; Items'!B:D,3,0))</f>
        <v>155mm howitzer ammunition</v>
      </c>
      <c r="L1544" s="1187">
        <f>VLOOKUP(I1544,'Price List, Weapons &amp; Items'!B:E,4,0)</f>
        <v>0</v>
      </c>
      <c r="M1544" s="1241">
        <v>75000</v>
      </c>
      <c r="N1544" s="1188">
        <v>75000</v>
      </c>
      <c r="O1544" s="1188">
        <f>VLOOKUP($I1544,'Price List, Weapons &amp; Items'!B:G,6,0)</f>
        <v>3800</v>
      </c>
      <c r="P1544" s="1185">
        <f t="shared" si="330"/>
        <v>285000000</v>
      </c>
      <c r="Q1544" s="1185">
        <f t="shared" si="331"/>
        <v>285000000</v>
      </c>
      <c r="R1544" s="1185" t="str">
        <f t="shared" si="327"/>
        <v/>
      </c>
      <c r="S1544" s="1185" t="str">
        <f>IF(AND(AD1544=1,R1544&lt;&gt;".")=TRUE,R1544/VLOOKUP(G1544,'Exchange Rates'!B:C,2,0),IF(R1544=".",".",""))</f>
        <v/>
      </c>
      <c r="T1544" s="1185" t="str">
        <f>IF(AD1544=1,IF(AF1544="Value is not given at all",".",IF(AF1544="Value is given by the source",S1544,IF(AF1544="Value is calculated with prices",(IF(SUMIFS(Q:Q,A:A,A1544)&gt;0,SUMIFS(Q:Q,A:A,A1544),"."))/VLOOKUP("USD",'Exchange Rates'!B:C,2,0),"Error with coding"))),"")</f>
        <v/>
      </c>
      <c r="U1544" s="1184" t="s">
        <v>365</v>
      </c>
      <c r="V1544" s="979" t="s">
        <v>4136</v>
      </c>
      <c r="W1544" s="973" t="s">
        <v>3955</v>
      </c>
      <c r="X1544" s="973" t="s">
        <v>3959</v>
      </c>
      <c r="Y1544" s="973" t="s">
        <v>4137</v>
      </c>
      <c r="Z1544" s="1191">
        <v>0</v>
      </c>
      <c r="AA1544" s="1194">
        <v>0</v>
      </c>
      <c r="AB1544" s="973" t="s">
        <v>4138</v>
      </c>
      <c r="AC1544" s="1192" t="str">
        <f>""</f>
        <v/>
      </c>
      <c r="AD1544" s="985">
        <v>0</v>
      </c>
      <c r="AE1544" s="1302" t="s">
        <v>368</v>
      </c>
      <c r="AF1544" s="1193" t="s">
        <v>368</v>
      </c>
      <c r="AG1544" s="985">
        <v>1</v>
      </c>
      <c r="AH1544" s="985">
        <v>8</v>
      </c>
      <c r="AI1544" s="985">
        <v>0</v>
      </c>
      <c r="AJ1544" s="1193">
        <f>VLOOKUP($I1544,'Price List, Weapons &amp; Items'!B:F,5,0)</f>
        <v>1</v>
      </c>
      <c r="AK1544" s="1193">
        <f t="shared" si="332"/>
        <v>0</v>
      </c>
      <c r="AL1544" s="1193">
        <f t="shared" si="333"/>
        <v>0</v>
      </c>
      <c r="AM1544" s="1193">
        <f t="shared" si="334"/>
        <v>0</v>
      </c>
      <c r="AN1544" s="1194" t="str">
        <f>VLOOKUP($I1544,'Price List, Weapons &amp; Items'!B:L,COLUMN('Price List, Weapons &amp; Items'!$J$11)-1,0)</f>
        <v>Government information</v>
      </c>
      <c r="AO1544" s="1194" t="str">
        <f>IF(I1544=".",".",VLOOKUP($I1544,'Price List, Weapons &amp; Items'!B:J,3,0))</f>
        <v>155mm howitzer ammunition</v>
      </c>
      <c r="AP1544" s="1195" t="str">
        <f t="shared" ca="1" si="328"/>
        <v/>
      </c>
      <c r="AQ1544" s="1194">
        <f>VLOOKUP($I1544,'Price List, Weapons &amp; Items'!B:L,COLUMN('Price List, Weapons &amp; Items'!$L$11)-1,0)</f>
        <v>2</v>
      </c>
      <c r="AR1544" s="1194">
        <f t="shared" si="335"/>
        <v>1</v>
      </c>
      <c r="AS1544" s="1194">
        <f t="shared" si="336"/>
        <v>1</v>
      </c>
      <c r="AT1544" s="1194">
        <f t="shared" si="337"/>
        <v>1</v>
      </c>
      <c r="AU1544" s="1194" t="str">
        <f t="shared" si="326"/>
        <v>.</v>
      </c>
      <c r="AV1544" s="1194" t="str">
        <f t="shared" si="329"/>
        <v>.</v>
      </c>
      <c r="AW1544" s="1194" t="str">
        <f t="shared" si="338"/>
        <v>.</v>
      </c>
      <c r="AX1544" s="1194">
        <f>IFERROR(VLOOKUP(B1544,'Share, Heavy Weapons to Ukraine'!B:Z,COLUMN('Share, Heavy Weapons to Ukraine'!C1556)-1,0),0)</f>
        <v>1</v>
      </c>
      <c r="AY1544" s="1194">
        <f>VLOOKUP('Bilateral Assistance, MAIN DATA'!B1544,'Country Summary (€)'!B:F,COLUMN('Country Summary (€)'!C1557)-1,FALSE)</f>
        <v>0</v>
      </c>
      <c r="AZ1544" s="1194" t="str">
        <f>IF(AND(AD1544=1,D1544="Military",H1544&lt;&gt;"Not given")=TRUE,IF(SUMIFS(P:P,A:A,A1544)&gt;0,ABS((SUMIFS(P:P,A:A,A1544)/VLOOKUP("USD",'Exchange Rates'!B:C,2,0)))/S1544,"."),".")</f>
        <v>.</v>
      </c>
      <c r="BA1544" s="1196" t="str">
        <f>IF(AND(AD1544=1,D1544="Military",H1544&lt;&gt;"Not given")=TRUE,IF(SUMIFS(P:P,A:A,A1544)&gt;0,IF((ABS((SUMIFS(P:P,A:A,A1544)/VLOOKUP("USD",'Exchange Rates'!B:C,2,0)))/S1544)&gt;1,(SUMIFS(P:P,A:A,A1544)-S1544)/S1544,(S1544-SUMIFS(P:P,A:A,A1544))/SUMIFS(P:P,A:A,A1544)),"."),".")</f>
        <v>.</v>
      </c>
    </row>
    <row r="1545" spans="1:53" ht="15.95" customHeight="1">
      <c r="A1545" s="1182" t="s">
        <v>3987</v>
      </c>
      <c r="B1545" s="1208" t="s">
        <v>3949</v>
      </c>
      <c r="C1545" s="1220">
        <v>44781</v>
      </c>
      <c r="D1545" s="1208" t="s">
        <v>389</v>
      </c>
      <c r="E1545" s="1182" t="s">
        <v>1676</v>
      </c>
      <c r="F1545" s="1183" t="s">
        <v>4135</v>
      </c>
      <c r="G1545" s="1184" t="s">
        <v>456</v>
      </c>
      <c r="H1545" s="1221">
        <v>1000000000</v>
      </c>
      <c r="I1545" s="1208" t="s">
        <v>626</v>
      </c>
      <c r="J1545" s="1186" t="str">
        <f>VLOOKUP($I1545,'Price List, Weapons &amp; Items'!B:C,2,0)</f>
        <v>Heavy weapon</v>
      </c>
      <c r="K1545" s="1186" t="str">
        <f>IF(I1545=".",I1545,VLOOKUP($I1545,'Price List, Weapons &amp; Items'!B:D,3,0))</f>
        <v>Mortar</v>
      </c>
      <c r="L1545" s="1187">
        <f>VLOOKUP(I1545,'Price List, Weapons &amp; Items'!B:E,4,0)</f>
        <v>0</v>
      </c>
      <c r="M1545" s="1241">
        <v>20</v>
      </c>
      <c r="N1545" s="1188">
        <v>20</v>
      </c>
      <c r="O1545" s="1188">
        <f>VLOOKUP($I1545,'Price List, Weapons &amp; Items'!B:G,6,0)</f>
        <v>388500</v>
      </c>
      <c r="P1545" s="1185">
        <f t="shared" si="330"/>
        <v>7770000</v>
      </c>
      <c r="Q1545" s="1185">
        <f t="shared" si="331"/>
        <v>7770000</v>
      </c>
      <c r="R1545" s="1185" t="str">
        <f t="shared" si="327"/>
        <v/>
      </c>
      <c r="S1545" s="1185" t="str">
        <f>IF(AND(AD1545=1,R1545&lt;&gt;".")=TRUE,R1545/VLOOKUP(G1545,'Exchange Rates'!B:C,2,0),IF(R1545=".",".",""))</f>
        <v/>
      </c>
      <c r="T1545" s="1185" t="str">
        <f>IF(AD1545=1,IF(AF1545="Value is not given at all",".",IF(AF1545="Value is given by the source",S1545,IF(AF1545="Value is calculated with prices",(IF(SUMIFS(Q:Q,A:A,A1545)&gt;0,SUMIFS(Q:Q,A:A,A1545),"."))/VLOOKUP("USD",'Exchange Rates'!B:C,2,0),"Error with coding"))),"")</f>
        <v/>
      </c>
      <c r="U1545" s="1184" t="s">
        <v>365</v>
      </c>
      <c r="V1545" s="979" t="s">
        <v>4136</v>
      </c>
      <c r="W1545" s="973" t="s">
        <v>3955</v>
      </c>
      <c r="X1545" s="973" t="s">
        <v>3959</v>
      </c>
      <c r="Y1545" s="973" t="s">
        <v>4138</v>
      </c>
      <c r="Z1545" s="1191">
        <v>0</v>
      </c>
      <c r="AA1545" s="1194">
        <v>0</v>
      </c>
      <c r="AB1545" s="973" t="s">
        <v>4139</v>
      </c>
      <c r="AC1545" s="1192" t="str">
        <f>""</f>
        <v/>
      </c>
      <c r="AD1545" s="985">
        <v>0</v>
      </c>
      <c r="AE1545" s="1302" t="s">
        <v>368</v>
      </c>
      <c r="AF1545" s="1193" t="s">
        <v>368</v>
      </c>
      <c r="AG1545" s="985">
        <v>1</v>
      </c>
      <c r="AH1545" s="985">
        <v>8</v>
      </c>
      <c r="AI1545" s="985">
        <v>0</v>
      </c>
      <c r="AJ1545" s="1193">
        <f>VLOOKUP($I1545,'Price List, Weapons &amp; Items'!B:F,5,0)</f>
        <v>0</v>
      </c>
      <c r="AK1545" s="1193">
        <f t="shared" si="332"/>
        <v>0</v>
      </c>
      <c r="AL1545" s="1193">
        <f t="shared" si="333"/>
        <v>0</v>
      </c>
      <c r="AM1545" s="1193">
        <f t="shared" si="334"/>
        <v>0</v>
      </c>
      <c r="AN1545" s="1194" t="str">
        <f>VLOOKUP($I1545,'Price List, Weapons &amp; Items'!B:L,COLUMN('Price List, Weapons &amp; Items'!$J$11)-1,0)</f>
        <v>Military media (incl. websites)</v>
      </c>
      <c r="AO1545" s="1194" t="str">
        <f>IF(I1545=".",".",VLOOKUP($I1545,'Price List, Weapons &amp; Items'!B:J,3,0))</f>
        <v>Mortar</v>
      </c>
      <c r="AP1545" s="1195" t="str">
        <f t="shared" ca="1" si="328"/>
        <v/>
      </c>
      <c r="AQ1545" s="1194">
        <f>VLOOKUP($I1545,'Price List, Weapons &amp; Items'!B:L,COLUMN('Price List, Weapons &amp; Items'!$L$11)-1,0)</f>
        <v>2</v>
      </c>
      <c r="AR1545" s="1194">
        <f t="shared" si="335"/>
        <v>1</v>
      </c>
      <c r="AS1545" s="1194">
        <f t="shared" si="336"/>
        <v>1</v>
      </c>
      <c r="AT1545" s="1194">
        <f t="shared" si="337"/>
        <v>1</v>
      </c>
      <c r="AU1545" s="1194" t="str">
        <f t="shared" si="326"/>
        <v>.</v>
      </c>
      <c r="AV1545" s="1194" t="str">
        <f t="shared" si="329"/>
        <v>.</v>
      </c>
      <c r="AW1545" s="1194" t="str">
        <f t="shared" si="338"/>
        <v>.</v>
      </c>
      <c r="AX1545" s="1194">
        <f>IFERROR(VLOOKUP(B1545,'Share, Heavy Weapons to Ukraine'!B:Z,COLUMN('Share, Heavy Weapons to Ukraine'!C1557)-1,0),0)</f>
        <v>1</v>
      </c>
      <c r="AY1545" s="1194">
        <f>VLOOKUP('Bilateral Assistance, MAIN DATA'!B1545,'Country Summary (€)'!B:F,COLUMN('Country Summary (€)'!C1558)-1,FALSE)</f>
        <v>0</v>
      </c>
      <c r="AZ1545" s="1194" t="str">
        <f>IF(AND(AD1545=1,D1545="Military",H1545&lt;&gt;"Not given")=TRUE,IF(SUMIFS(P:P,A:A,A1545)&gt;0,ABS((SUMIFS(P:P,A:A,A1545)/VLOOKUP("USD",'Exchange Rates'!B:C,2,0)))/S1545,"."),".")</f>
        <v>.</v>
      </c>
      <c r="BA1545" s="1196" t="str">
        <f>IF(AND(AD1545=1,D1545="Military",H1545&lt;&gt;"Not given")=TRUE,IF(SUMIFS(P:P,A:A,A1545)&gt;0,IF((ABS((SUMIFS(P:P,A:A,A1545)/VLOOKUP("USD",'Exchange Rates'!B:C,2,0)))/S1545)&gt;1,(SUMIFS(P:P,A:A,A1545)-S1545)/S1545,(S1545-SUMIFS(P:P,A:A,A1545))/SUMIFS(P:P,A:A,A1545)),"."),".")</f>
        <v>.</v>
      </c>
    </row>
    <row r="1546" spans="1:53" ht="15.95" customHeight="1">
      <c r="A1546" s="1182" t="s">
        <v>3987</v>
      </c>
      <c r="B1546" s="1208" t="s">
        <v>3949</v>
      </c>
      <c r="C1546" s="1220">
        <v>44781</v>
      </c>
      <c r="D1546" s="1208" t="s">
        <v>389</v>
      </c>
      <c r="E1546" s="1182" t="s">
        <v>1676</v>
      </c>
      <c r="F1546" s="1183" t="s">
        <v>4135</v>
      </c>
      <c r="G1546" s="1184" t="s">
        <v>456</v>
      </c>
      <c r="H1546" s="1221">
        <v>1000000000</v>
      </c>
      <c r="I1546" s="1208" t="s">
        <v>3137</v>
      </c>
      <c r="J1546" s="1186" t="str">
        <f>VLOOKUP($I1546,'Price List, Weapons &amp; Items'!B:C,2,0)</f>
        <v>Ammunition for heavy weapon</v>
      </c>
      <c r="K1546" s="1186" t="str">
        <f>IF(I1546=".",I1546,VLOOKUP($I1546,'Price List, Weapons &amp; Items'!B:D,3,0))</f>
        <v>Mortar ammunition</v>
      </c>
      <c r="L1546" s="1187">
        <f>VLOOKUP(I1546,'Price List, Weapons &amp; Items'!B:E,4,0)</f>
        <v>0</v>
      </c>
      <c r="M1546" s="1241">
        <v>20000</v>
      </c>
      <c r="N1546" s="1188">
        <v>20000</v>
      </c>
      <c r="O1546" s="1188">
        <f>VLOOKUP($I1546,'Price List, Weapons &amp; Items'!B:G,6,0)</f>
        <v>109.89</v>
      </c>
      <c r="P1546" s="1185">
        <f t="shared" si="330"/>
        <v>2197800</v>
      </c>
      <c r="Q1546" s="1185">
        <f t="shared" si="331"/>
        <v>2197800</v>
      </c>
      <c r="R1546" s="1185" t="str">
        <f t="shared" si="327"/>
        <v/>
      </c>
      <c r="S1546" s="1185" t="str">
        <f>IF(AND(AD1546=1,R1546&lt;&gt;".")=TRUE,R1546/VLOOKUP(G1546,'Exchange Rates'!B:C,2,0),IF(R1546=".",".",""))</f>
        <v/>
      </c>
      <c r="T1546" s="1185" t="str">
        <f>IF(AD1546=1,IF(AF1546="Value is not given at all",".",IF(AF1546="Value is given by the source",S1546,IF(AF1546="Value is calculated with prices",(IF(SUMIFS(Q:Q,A:A,A1546)&gt;0,SUMIFS(Q:Q,A:A,A1546),"."))/VLOOKUP("USD",'Exchange Rates'!B:C,2,0),"Error with coding"))),"")</f>
        <v/>
      </c>
      <c r="U1546" s="1184" t="s">
        <v>365</v>
      </c>
      <c r="V1546" s="979" t="s">
        <v>4136</v>
      </c>
      <c r="W1546" s="973" t="s">
        <v>3955</v>
      </c>
      <c r="X1546" s="973" t="s">
        <v>3959</v>
      </c>
      <c r="Y1546" s="973" t="s">
        <v>4139</v>
      </c>
      <c r="Z1546" s="1191">
        <v>0</v>
      </c>
      <c r="AA1546" s="1194">
        <v>0</v>
      </c>
      <c r="AB1546" s="973" t="s">
        <v>4140</v>
      </c>
      <c r="AC1546" s="1192" t="str">
        <f>""</f>
        <v/>
      </c>
      <c r="AD1546" s="985">
        <v>0</v>
      </c>
      <c r="AE1546" s="1302" t="s">
        <v>368</v>
      </c>
      <c r="AF1546" s="1193" t="s">
        <v>368</v>
      </c>
      <c r="AG1546" s="985">
        <v>1</v>
      </c>
      <c r="AH1546" s="985">
        <v>8</v>
      </c>
      <c r="AI1546" s="985">
        <v>0</v>
      </c>
      <c r="AJ1546" s="1193">
        <f>VLOOKUP($I1546,'Price List, Weapons &amp; Items'!B:F,5,0)</f>
        <v>0</v>
      </c>
      <c r="AK1546" s="1193">
        <f t="shared" si="332"/>
        <v>0</v>
      </c>
      <c r="AL1546" s="1193">
        <f t="shared" si="333"/>
        <v>0</v>
      </c>
      <c r="AM1546" s="1193">
        <f t="shared" si="334"/>
        <v>0</v>
      </c>
      <c r="AN1546" s="1194" t="str">
        <f>VLOOKUP($I1546,'Price List, Weapons &amp; Items'!B:L,COLUMN('Price List, Weapons &amp; Items'!$J$11)-1,0)</f>
        <v>Government information</v>
      </c>
      <c r="AO1546" s="1194" t="str">
        <f>IF(I1546=".",".",VLOOKUP($I1546,'Price List, Weapons &amp; Items'!B:J,3,0))</f>
        <v>Mortar ammunition</v>
      </c>
      <c r="AP1546" s="1195" t="str">
        <f t="shared" ca="1" si="328"/>
        <v/>
      </c>
      <c r="AQ1546" s="1194">
        <f>VLOOKUP($I1546,'Price List, Weapons &amp; Items'!B:L,COLUMN('Price List, Weapons &amp; Items'!$L$11)-1,0)</f>
        <v>2</v>
      </c>
      <c r="AR1546" s="1194">
        <f t="shared" si="335"/>
        <v>1</v>
      </c>
      <c r="AS1546" s="1194">
        <f t="shared" si="336"/>
        <v>1</v>
      </c>
      <c r="AT1546" s="1194">
        <f t="shared" si="337"/>
        <v>1</v>
      </c>
      <c r="AU1546" s="1194" t="str">
        <f t="shared" si="326"/>
        <v>.</v>
      </c>
      <c r="AV1546" s="1194" t="str">
        <f t="shared" si="329"/>
        <v>.</v>
      </c>
      <c r="AW1546" s="1194" t="str">
        <f t="shared" si="338"/>
        <v>.</v>
      </c>
      <c r="AX1546" s="1194">
        <f>IFERROR(VLOOKUP(B1546,'Share, Heavy Weapons to Ukraine'!B:Z,COLUMN('Share, Heavy Weapons to Ukraine'!C1558)-1,0),0)</f>
        <v>1</v>
      </c>
      <c r="AY1546" s="1194">
        <f>VLOOKUP('Bilateral Assistance, MAIN DATA'!B1546,'Country Summary (€)'!B:F,COLUMN('Country Summary (€)'!C1559)-1,FALSE)</f>
        <v>0</v>
      </c>
      <c r="AZ1546" s="1194" t="str">
        <f>IF(AND(AD1546=1,D1546="Military",H1546&lt;&gt;"Not given")=TRUE,IF(SUMIFS(P:P,A:A,A1546)&gt;0,ABS((SUMIFS(P:P,A:A,A1546)/VLOOKUP("USD",'Exchange Rates'!B:C,2,0)))/S1546,"."),".")</f>
        <v>.</v>
      </c>
      <c r="BA1546" s="1196" t="str">
        <f>IF(AND(AD1546=1,D1546="Military",H1546&lt;&gt;"Not given")=TRUE,IF(SUMIFS(P:P,A:A,A1546)&gt;0,IF((ABS((SUMIFS(P:P,A:A,A1546)/VLOOKUP("USD",'Exchange Rates'!B:C,2,0)))/S1546)&gt;1,(SUMIFS(P:P,A:A,A1546)-S1546)/S1546,(S1546-SUMIFS(P:P,A:A,A1546))/SUMIFS(P:P,A:A,A1546)),"."),".")</f>
        <v>.</v>
      </c>
    </row>
    <row r="1547" spans="1:53" ht="15.95" customHeight="1">
      <c r="A1547" s="1182" t="s">
        <v>3987</v>
      </c>
      <c r="B1547" s="1208" t="s">
        <v>3949</v>
      </c>
      <c r="C1547" s="1220">
        <v>44781</v>
      </c>
      <c r="D1547" s="1208" t="s">
        <v>389</v>
      </c>
      <c r="E1547" s="1182" t="s">
        <v>1676</v>
      </c>
      <c r="F1547" s="1183" t="s">
        <v>4135</v>
      </c>
      <c r="G1547" s="1184" t="s">
        <v>456</v>
      </c>
      <c r="H1547" s="1221">
        <v>1000000000</v>
      </c>
      <c r="I1547" s="1208" t="s">
        <v>865</v>
      </c>
      <c r="J1547" s="1186" t="str">
        <f>VLOOKUP($I1547,'Price List, Weapons &amp; Items'!B:C,2,0)</f>
        <v>Ammunition for Heavy Weapon</v>
      </c>
      <c r="K1547" s="1186" t="str">
        <f>IF(I1547=".",I1547,VLOOKUP($I1547,'Price List, Weapons &amp; Items'!B:D,3,0))</f>
        <v>Missile</v>
      </c>
      <c r="L1547" s="1187">
        <f>VLOOKUP(I1547,'Price List, Weapons &amp; Items'!B:E,4,0)</f>
        <v>0</v>
      </c>
      <c r="M1547" s="1241" t="s">
        <v>374</v>
      </c>
      <c r="N1547" s="1188" t="s">
        <v>374</v>
      </c>
      <c r="O1547" s="1188">
        <f>VLOOKUP($I1547,'Price List, Weapons &amp; Items'!B:G,6,0)</f>
        <v>1090000</v>
      </c>
      <c r="P1547" s="1185" t="str">
        <f t="shared" si="330"/>
        <v>.</v>
      </c>
      <c r="Q1547" s="1185" t="str">
        <f t="shared" si="331"/>
        <v>.</v>
      </c>
      <c r="R1547" s="1185" t="str">
        <f t="shared" si="327"/>
        <v/>
      </c>
      <c r="S1547" s="1185" t="str">
        <f>IF(AND(AD1547=1,R1547&lt;&gt;".")=TRUE,R1547/VLOOKUP(G1547,'Exchange Rates'!B:C,2,0),IF(R1547=".",".",""))</f>
        <v/>
      </c>
      <c r="T1547" s="1185" t="str">
        <f>IF(AD1547=1,IF(AF1547="Value is not given at all",".",IF(AF1547="Value is given by the source",S1547,IF(AF1547="Value is calculated with prices",(IF(SUMIFS(Q:Q,A:A,A1547)&gt;0,SUMIFS(Q:Q,A:A,A1547),"."))/VLOOKUP("USD",'Exchange Rates'!B:C,2,0),"Error with coding"))),"")</f>
        <v/>
      </c>
      <c r="U1547" s="1184" t="s">
        <v>365</v>
      </c>
      <c r="V1547" s="979" t="s">
        <v>4136</v>
      </c>
      <c r="W1547" s="973" t="s">
        <v>3955</v>
      </c>
      <c r="X1547" s="973" t="s">
        <v>3959</v>
      </c>
      <c r="Y1547" s="973" t="s">
        <v>4140</v>
      </c>
      <c r="Z1547" s="1191">
        <v>0</v>
      </c>
      <c r="AA1547" s="1194">
        <v>0</v>
      </c>
      <c r="AB1547" s="973" t="s">
        <v>4141</v>
      </c>
      <c r="AC1547" s="1192" t="str">
        <f>""</f>
        <v/>
      </c>
      <c r="AD1547" s="985">
        <v>0</v>
      </c>
      <c r="AE1547" s="1302" t="s">
        <v>368</v>
      </c>
      <c r="AF1547" s="1193" t="s">
        <v>368</v>
      </c>
      <c r="AG1547" s="985">
        <v>1</v>
      </c>
      <c r="AH1547" s="985">
        <v>8</v>
      </c>
      <c r="AI1547" s="985">
        <v>0</v>
      </c>
      <c r="AJ1547" s="1193">
        <f>VLOOKUP($I1547,'Price List, Weapons &amp; Items'!B:F,5,0)</f>
        <v>0</v>
      </c>
      <c r="AK1547" s="1193">
        <f t="shared" si="332"/>
        <v>0</v>
      </c>
      <c r="AL1547" s="1193">
        <f t="shared" si="333"/>
        <v>0</v>
      </c>
      <c r="AM1547" s="1193">
        <f t="shared" si="334"/>
        <v>0</v>
      </c>
      <c r="AN1547" s="1194" t="str">
        <f>VLOOKUP($I1547,'Price List, Weapons &amp; Items'!B:L,COLUMN('Price List, Weapons &amp; Items'!$J$11)-1,0)</f>
        <v>Miscellaneous</v>
      </c>
      <c r="AO1547" s="1194" t="str">
        <f>IF(I1547=".",".",VLOOKUP($I1547,'Price List, Weapons &amp; Items'!B:J,3,0))</f>
        <v>Missile</v>
      </c>
      <c r="AP1547" s="1195" t="str">
        <f t="shared" ca="1" si="328"/>
        <v/>
      </c>
      <c r="AQ1547" s="1194" t="str">
        <f>VLOOKUP($I1547,'Price List, Weapons &amp; Items'!B:L,COLUMN('Price List, Weapons &amp; Items'!$L$11)-1,0)</f>
        <v>no price, 0 count</v>
      </c>
      <c r="AR1547" s="1194">
        <f t="shared" si="335"/>
        <v>1</v>
      </c>
      <c r="AS1547" s="1194">
        <f t="shared" si="336"/>
        <v>1</v>
      </c>
      <c r="AT1547" s="1194">
        <f t="shared" si="337"/>
        <v>1</v>
      </c>
      <c r="AU1547" s="1194" t="str">
        <f t="shared" si="326"/>
        <v>.</v>
      </c>
      <c r="AV1547" s="1194" t="str">
        <f t="shared" si="329"/>
        <v>.</v>
      </c>
      <c r="AW1547" s="1194" t="str">
        <f t="shared" si="338"/>
        <v>.</v>
      </c>
      <c r="AX1547" s="1194">
        <f>IFERROR(VLOOKUP(B1547,'Share, Heavy Weapons to Ukraine'!B:Z,COLUMN('Share, Heavy Weapons to Ukraine'!C1559)-1,0),0)</f>
        <v>1</v>
      </c>
      <c r="AY1547" s="1194">
        <f>VLOOKUP('Bilateral Assistance, MAIN DATA'!B1547,'Country Summary (€)'!B:F,COLUMN('Country Summary (€)'!C1560)-1,FALSE)</f>
        <v>0</v>
      </c>
      <c r="AZ1547" s="1194" t="str">
        <f>IF(AND(AD1547=1,D1547="Military",H1547&lt;&gt;"Not given")=TRUE,IF(SUMIFS(P:P,A:A,A1547)&gt;0,ABS((SUMIFS(P:P,A:A,A1547)/VLOOKUP("USD",'Exchange Rates'!B:C,2,0)))/S1547,"."),".")</f>
        <v>.</v>
      </c>
      <c r="BA1547" s="1196" t="str">
        <f>IF(AND(AD1547=1,D1547="Military",H1547&lt;&gt;"Not given")=TRUE,IF(SUMIFS(P:P,A:A,A1547)&gt;0,IF((ABS((SUMIFS(P:P,A:A,A1547)/VLOOKUP("USD",'Exchange Rates'!B:C,2,0)))/S1547)&gt;1,(SUMIFS(P:P,A:A,A1547)-S1547)/S1547,(S1547-SUMIFS(P:P,A:A,A1547))/SUMIFS(P:P,A:A,A1547)),"."),".")</f>
        <v>.</v>
      </c>
    </row>
    <row r="1548" spans="1:53" ht="15.95" customHeight="1">
      <c r="A1548" s="1182" t="s">
        <v>3987</v>
      </c>
      <c r="B1548" s="1208" t="s">
        <v>3949</v>
      </c>
      <c r="C1548" s="1220">
        <v>44781</v>
      </c>
      <c r="D1548" s="1208" t="s">
        <v>389</v>
      </c>
      <c r="E1548" s="1182" t="s">
        <v>1676</v>
      </c>
      <c r="F1548" s="1183" t="s">
        <v>4135</v>
      </c>
      <c r="G1548" s="1184" t="s">
        <v>456</v>
      </c>
      <c r="H1548" s="1221">
        <v>1000000000</v>
      </c>
      <c r="I1548" s="1208" t="s">
        <v>3998</v>
      </c>
      <c r="J1548" s="1186" t="str">
        <f>VLOOKUP($I1548,'Price List, Weapons &amp; Items'!B:C,2,0)</f>
        <v>Portable defence system</v>
      </c>
      <c r="K1548" s="1186" t="str">
        <f>IF(I1548=".",I1548,VLOOKUP($I1548,'Price List, Weapons &amp; Items'!B:D,3,0))</f>
        <v>Light Anti-armor Weapon (LAW)</v>
      </c>
      <c r="L1548" s="1187">
        <f>VLOOKUP(I1548,'Price List, Weapons &amp; Items'!B:E,4,0)</f>
        <v>0</v>
      </c>
      <c r="M1548" s="1241">
        <v>1000</v>
      </c>
      <c r="N1548" s="1188">
        <v>1000</v>
      </c>
      <c r="O1548" s="1188">
        <f>VLOOKUP($I1548,'Price List, Weapons &amp; Items'!B:G,6,0)</f>
        <v>256000</v>
      </c>
      <c r="P1548" s="1185">
        <f t="shared" si="330"/>
        <v>256000000</v>
      </c>
      <c r="Q1548" s="1185">
        <f t="shared" si="331"/>
        <v>256000000</v>
      </c>
      <c r="R1548" s="1185" t="str">
        <f t="shared" si="327"/>
        <v/>
      </c>
      <c r="S1548" s="1185" t="str">
        <f>IF(AND(AD1548=1,R1548&lt;&gt;".")=TRUE,R1548/VLOOKUP(G1548,'Exchange Rates'!B:C,2,0),IF(R1548=".",".",""))</f>
        <v/>
      </c>
      <c r="T1548" s="1185" t="str">
        <f>IF(AD1548=1,IF(AF1548="Value is not given at all",".",IF(AF1548="Value is given by the source",S1548,IF(AF1548="Value is calculated with prices",(IF(SUMIFS(Q:Q,A:A,A1548)&gt;0,SUMIFS(Q:Q,A:A,A1548),"."))/VLOOKUP("USD",'Exchange Rates'!B:C,2,0),"Error with coding"))),"")</f>
        <v/>
      </c>
      <c r="U1548" s="1184" t="s">
        <v>365</v>
      </c>
      <c r="V1548" s="979" t="s">
        <v>4136</v>
      </c>
      <c r="W1548" s="973" t="s">
        <v>3955</v>
      </c>
      <c r="X1548" s="973" t="s">
        <v>3959</v>
      </c>
      <c r="Y1548" s="973" t="s">
        <v>4141</v>
      </c>
      <c r="Z1548" s="1191">
        <v>0</v>
      </c>
      <c r="AA1548" s="1194">
        <v>0</v>
      </c>
      <c r="AB1548" s="973" t="s">
        <v>4142</v>
      </c>
      <c r="AC1548" s="1192" t="str">
        <f>""</f>
        <v/>
      </c>
      <c r="AD1548" s="985">
        <v>0</v>
      </c>
      <c r="AE1548" s="1302" t="s">
        <v>368</v>
      </c>
      <c r="AF1548" s="1193" t="s">
        <v>368</v>
      </c>
      <c r="AG1548" s="985">
        <v>1</v>
      </c>
      <c r="AH1548" s="985">
        <v>8</v>
      </c>
      <c r="AI1548" s="985">
        <v>0</v>
      </c>
      <c r="AJ1548" s="1193">
        <f>VLOOKUP($I1548,'Price List, Weapons &amp; Items'!B:F,5,0)</f>
        <v>0</v>
      </c>
      <c r="AK1548" s="1193">
        <f t="shared" si="332"/>
        <v>0</v>
      </c>
      <c r="AL1548" s="1193">
        <f t="shared" si="333"/>
        <v>0</v>
      </c>
      <c r="AM1548" s="1193">
        <f t="shared" si="334"/>
        <v>0</v>
      </c>
      <c r="AN1548" s="1194" t="str">
        <f>VLOOKUP($I1548,'Price List, Weapons &amp; Items'!B:L,COLUMN('Price List, Weapons &amp; Items'!$J$11)-1,0)</f>
        <v>Government information</v>
      </c>
      <c r="AO1548" s="1194" t="str">
        <f>IF(I1548=".",".",VLOOKUP($I1548,'Price List, Weapons &amp; Items'!B:J,3,0))</f>
        <v>Light Anti-armor Weapon (LAW)</v>
      </c>
      <c r="AP1548" s="1195" t="str">
        <f t="shared" ca="1" si="328"/>
        <v/>
      </c>
      <c r="AQ1548" s="1194">
        <f>VLOOKUP($I1548,'Price List, Weapons &amp; Items'!B:L,COLUMN('Price List, Weapons &amp; Items'!$L$11)-1,0)</f>
        <v>2</v>
      </c>
      <c r="AR1548" s="1194">
        <f t="shared" si="335"/>
        <v>1</v>
      </c>
      <c r="AS1548" s="1194">
        <f t="shared" si="336"/>
        <v>1</v>
      </c>
      <c r="AT1548" s="1194">
        <f t="shared" si="337"/>
        <v>1</v>
      </c>
      <c r="AU1548" s="1194" t="str">
        <f t="shared" si="326"/>
        <v>.</v>
      </c>
      <c r="AV1548" s="1194" t="str">
        <f t="shared" si="329"/>
        <v>.</v>
      </c>
      <c r="AW1548" s="1194" t="str">
        <f t="shared" si="338"/>
        <v>.</v>
      </c>
      <c r="AX1548" s="1194">
        <f>IFERROR(VLOOKUP(B1548,'Share, Heavy Weapons to Ukraine'!B:Z,COLUMN('Share, Heavy Weapons to Ukraine'!C1560)-1,0),0)</f>
        <v>1</v>
      </c>
      <c r="AY1548" s="1194">
        <f>VLOOKUP('Bilateral Assistance, MAIN DATA'!B1548,'Country Summary (€)'!B:F,COLUMN('Country Summary (€)'!C1561)-1,FALSE)</f>
        <v>0</v>
      </c>
      <c r="AZ1548" s="1194" t="str">
        <f>IF(AND(AD1548=1,D1548="Military",H1548&lt;&gt;"Not given")=TRUE,IF(SUMIFS(P:P,A:A,A1548)&gt;0,ABS((SUMIFS(P:P,A:A,A1548)/VLOOKUP("USD",'Exchange Rates'!B:C,2,0)))/S1548,"."),".")</f>
        <v>.</v>
      </c>
      <c r="BA1548" s="1196" t="str">
        <f>IF(AND(AD1548=1,D1548="Military",H1548&lt;&gt;"Not given")=TRUE,IF(SUMIFS(P:P,A:A,A1548)&gt;0,IF((ABS((SUMIFS(P:P,A:A,A1548)/VLOOKUP("USD",'Exchange Rates'!B:C,2,0)))/S1548)&gt;1,(SUMIFS(P:P,A:A,A1548)-S1548)/S1548,(S1548-SUMIFS(P:P,A:A,A1548))/SUMIFS(P:P,A:A,A1548)),"."),".")</f>
        <v>.</v>
      </c>
    </row>
    <row r="1549" spans="1:53" ht="15.95" customHeight="1">
      <c r="A1549" s="1182" t="s">
        <v>3987</v>
      </c>
      <c r="B1549" s="1208" t="s">
        <v>3949</v>
      </c>
      <c r="C1549" s="1220">
        <v>44781</v>
      </c>
      <c r="D1549" s="1208" t="s">
        <v>389</v>
      </c>
      <c r="E1549" s="1182" t="s">
        <v>1676</v>
      </c>
      <c r="F1549" s="1183" t="s">
        <v>4135</v>
      </c>
      <c r="G1549" s="1184" t="s">
        <v>456</v>
      </c>
      <c r="H1549" s="1221">
        <v>1000000000</v>
      </c>
      <c r="I1549" s="1208" t="s">
        <v>3584</v>
      </c>
      <c r="J1549" s="1186" t="str">
        <f>VLOOKUP($I1549,'Price List, Weapons &amp; Items'!B:C,2,0)</f>
        <v>Portable defence system</v>
      </c>
      <c r="K1549" s="1186" t="str">
        <f>IF(I1549=".",I1549,VLOOKUP($I1549,'Price List, Weapons &amp; Items'!B:D,3,0))</f>
        <v>MANPADS</v>
      </c>
      <c r="L1549" s="1187">
        <f>VLOOKUP(I1549,'Price List, Weapons &amp; Items'!B:E,4,0)</f>
        <v>0</v>
      </c>
      <c r="M1549" s="1241">
        <v>4567</v>
      </c>
      <c r="N1549" s="1188">
        <v>4567</v>
      </c>
      <c r="O1549" s="1188">
        <f>VLOOKUP($I1549,'Price List, Weapons &amp; Items'!B:G,6,0)</f>
        <v>1480.64</v>
      </c>
      <c r="P1549" s="1185">
        <f t="shared" si="330"/>
        <v>6762082.8800000008</v>
      </c>
      <c r="Q1549" s="1185">
        <f t="shared" si="331"/>
        <v>6762082.8800000008</v>
      </c>
      <c r="R1549" s="1185" t="str">
        <f t="shared" si="327"/>
        <v/>
      </c>
      <c r="S1549" s="1185" t="str">
        <f>IF(AND(AD1549=1,R1549&lt;&gt;".")=TRUE,R1549/VLOOKUP(G1549,'Exchange Rates'!B:C,2,0),IF(R1549=".",".",""))</f>
        <v/>
      </c>
      <c r="T1549" s="1185" t="str">
        <f>IF(AD1549=1,IF(AF1549="Value is not given at all",".",IF(AF1549="Value is given by the source",S1549,IF(AF1549="Value is calculated with prices",(IF(SUMIFS(Q:Q,A:A,A1549)&gt;0,SUMIFS(Q:Q,A:A,A1549),"."))/VLOOKUP("USD",'Exchange Rates'!B:C,2,0),"Error with coding"))),"")</f>
        <v/>
      </c>
      <c r="U1549" s="1184" t="s">
        <v>365</v>
      </c>
      <c r="V1549" s="979" t="s">
        <v>4136</v>
      </c>
      <c r="W1549" s="973" t="s">
        <v>3955</v>
      </c>
      <c r="X1549" s="973" t="s">
        <v>3959</v>
      </c>
      <c r="Y1549" s="973" t="s">
        <v>4142</v>
      </c>
      <c r="Z1549" s="1191">
        <v>0</v>
      </c>
      <c r="AA1549" s="1194">
        <v>0</v>
      </c>
      <c r="AB1549" s="973" t="s">
        <v>4143</v>
      </c>
      <c r="AC1549" s="1192" t="str">
        <f>""</f>
        <v/>
      </c>
      <c r="AD1549" s="985">
        <v>0</v>
      </c>
      <c r="AE1549" s="1302" t="s">
        <v>368</v>
      </c>
      <c r="AF1549" s="1193" t="s">
        <v>368</v>
      </c>
      <c r="AG1549" s="985">
        <v>1</v>
      </c>
      <c r="AH1549" s="985">
        <v>8</v>
      </c>
      <c r="AI1549" s="985">
        <v>0</v>
      </c>
      <c r="AJ1549" s="1193">
        <f>VLOOKUP($I1549,'Price List, Weapons &amp; Items'!B:F,5,0)</f>
        <v>0</v>
      </c>
      <c r="AK1549" s="1193">
        <f t="shared" si="332"/>
        <v>0</v>
      </c>
      <c r="AL1549" s="1193">
        <f t="shared" si="333"/>
        <v>0</v>
      </c>
      <c r="AM1549" s="1193">
        <f t="shared" si="334"/>
        <v>0</v>
      </c>
      <c r="AN1549" s="1194" t="str">
        <f>VLOOKUP($I1549,'Price List, Weapons &amp; Items'!B:L,COLUMN('Price List, Weapons &amp; Items'!$J$11)-1,0)</f>
        <v>Military media (incl. websites)</v>
      </c>
      <c r="AO1549" s="1194" t="str">
        <f>IF(I1549=".",".",VLOOKUP($I1549,'Price List, Weapons &amp; Items'!B:J,3,0))</f>
        <v>MANPADS</v>
      </c>
      <c r="AP1549" s="1195" t="str">
        <f t="shared" ca="1" si="328"/>
        <v/>
      </c>
      <c r="AQ1549" s="1194">
        <f>VLOOKUP($I1549,'Price List, Weapons &amp; Items'!B:L,COLUMN('Price List, Weapons &amp; Items'!$L$11)-1,0)</f>
        <v>2</v>
      </c>
      <c r="AR1549" s="1194">
        <f t="shared" si="335"/>
        <v>1</v>
      </c>
      <c r="AS1549" s="1194">
        <f t="shared" si="336"/>
        <v>1</v>
      </c>
      <c r="AT1549" s="1194">
        <f t="shared" si="337"/>
        <v>1</v>
      </c>
      <c r="AU1549" s="1194" t="str">
        <f t="shared" si="326"/>
        <v>.</v>
      </c>
      <c r="AV1549" s="1194" t="str">
        <f t="shared" si="329"/>
        <v>.</v>
      </c>
      <c r="AW1549" s="1194" t="str">
        <f t="shared" si="338"/>
        <v>.</v>
      </c>
      <c r="AX1549" s="1194">
        <f>IFERROR(VLOOKUP(B1549,'Share, Heavy Weapons to Ukraine'!B:Z,COLUMN('Share, Heavy Weapons to Ukraine'!C1561)-1,0),0)</f>
        <v>1</v>
      </c>
      <c r="AY1549" s="1194">
        <f>VLOOKUP('Bilateral Assistance, MAIN DATA'!B1549,'Country Summary (€)'!B:F,COLUMN('Country Summary (€)'!C1562)-1,FALSE)</f>
        <v>0</v>
      </c>
      <c r="AZ1549" s="1194" t="str">
        <f>IF(AND(AD1549=1,D1549="Military",H1549&lt;&gt;"Not given")=TRUE,IF(SUMIFS(P:P,A:A,A1549)&gt;0,ABS((SUMIFS(P:P,A:A,A1549)/VLOOKUP("USD",'Exchange Rates'!B:C,2,0)))/S1549,"."),".")</f>
        <v>.</v>
      </c>
      <c r="BA1549" s="1196" t="str">
        <f>IF(AND(AD1549=1,D1549="Military",H1549&lt;&gt;"Not given")=TRUE,IF(SUMIFS(P:P,A:A,A1549)&gt;0,IF((ABS((SUMIFS(P:P,A:A,A1549)/VLOOKUP("USD",'Exchange Rates'!B:C,2,0)))/S1549)&gt;1,(SUMIFS(P:P,A:A,A1549)-S1549)/S1549,(S1549-SUMIFS(P:P,A:A,A1549))/SUMIFS(P:P,A:A,A1549)),"."),".")</f>
        <v>.</v>
      </c>
    </row>
    <row r="1550" spans="1:53" ht="15.95" customHeight="1">
      <c r="A1550" s="1182" t="s">
        <v>3987</v>
      </c>
      <c r="B1550" s="1208" t="s">
        <v>3949</v>
      </c>
      <c r="C1550" s="1220">
        <v>44781</v>
      </c>
      <c r="D1550" s="1208" t="s">
        <v>389</v>
      </c>
      <c r="E1550" s="1182" t="s">
        <v>1676</v>
      </c>
      <c r="F1550" s="1183" t="s">
        <v>4135</v>
      </c>
      <c r="G1550" s="1184" t="s">
        <v>456</v>
      </c>
      <c r="H1550" s="1221">
        <v>1000000000</v>
      </c>
      <c r="I1550" s="1208" t="s">
        <v>4144</v>
      </c>
      <c r="J1550" s="1186" t="str">
        <f>VLOOKUP($I1550,'Price List, Weapons &amp; Items'!B:C,2,0)</f>
        <v>Heavy weapon</v>
      </c>
      <c r="K1550" s="1186" t="str">
        <f>IF(I1550=".",I1550,VLOOKUP($I1550,'Price List, Weapons &amp; Items'!B:D,3,0))</f>
        <v>Armored Utility Vehicle (AUV)</v>
      </c>
      <c r="L1550" s="1187">
        <f>VLOOKUP(I1550,'Price List, Weapons &amp; Items'!B:E,4,0)</f>
        <v>0</v>
      </c>
      <c r="M1550" s="1241">
        <v>50</v>
      </c>
      <c r="N1550" s="1188">
        <v>50</v>
      </c>
      <c r="O1550" s="1188">
        <f>VLOOKUP($I1550,'Price List, Weapons &amp; Items'!B:G,6,0)</f>
        <v>274051.65999999997</v>
      </c>
      <c r="P1550" s="1185">
        <f t="shared" si="330"/>
        <v>13702582.999999998</v>
      </c>
      <c r="Q1550" s="1185">
        <f t="shared" si="331"/>
        <v>13702582.999999998</v>
      </c>
      <c r="R1550" s="1185" t="str">
        <f t="shared" si="327"/>
        <v/>
      </c>
      <c r="S1550" s="1185" t="str">
        <f>IF(AND(AD1550=1,R1550&lt;&gt;".")=TRUE,R1550/VLOOKUP(G1550,'Exchange Rates'!B:C,2,0),IF(R1550=".",".",""))</f>
        <v/>
      </c>
      <c r="T1550" s="1185" t="str">
        <f>IF(AD1550=1,IF(AF1550="Value is not given at all",".",IF(AF1550="Value is given by the source",S1550,IF(AF1550="Value is calculated with prices",(IF(SUMIFS(Q:Q,A:A,A1550)&gt;0,SUMIFS(Q:Q,A:A,A1550),"."))/VLOOKUP("USD",'Exchange Rates'!B:C,2,0),"Error with coding"))),"")</f>
        <v/>
      </c>
      <c r="U1550" s="1184" t="s">
        <v>365</v>
      </c>
      <c r="V1550" s="979" t="s">
        <v>4136</v>
      </c>
      <c r="W1550" s="973" t="s">
        <v>3955</v>
      </c>
      <c r="X1550" s="973" t="s">
        <v>3959</v>
      </c>
      <c r="Y1550" s="973" t="s">
        <v>4143</v>
      </c>
      <c r="Z1550" s="1191">
        <v>0</v>
      </c>
      <c r="AA1550" s="1194">
        <v>0</v>
      </c>
      <c r="AB1550" s="973" t="s">
        <v>4145</v>
      </c>
      <c r="AC1550" s="1192" t="str">
        <f>""</f>
        <v/>
      </c>
      <c r="AD1550" s="985">
        <v>0</v>
      </c>
      <c r="AE1550" s="1302" t="s">
        <v>368</v>
      </c>
      <c r="AF1550" s="1193" t="s">
        <v>368</v>
      </c>
      <c r="AG1550" s="985">
        <v>1</v>
      </c>
      <c r="AH1550" s="985">
        <v>8</v>
      </c>
      <c r="AI1550" s="985">
        <v>0</v>
      </c>
      <c r="AJ1550" s="1193">
        <f>VLOOKUP($I1550,'Price List, Weapons &amp; Items'!B:F,5,0)</f>
        <v>1</v>
      </c>
      <c r="AK1550" s="1193">
        <f t="shared" si="332"/>
        <v>0</v>
      </c>
      <c r="AL1550" s="1193">
        <f t="shared" si="333"/>
        <v>0</v>
      </c>
      <c r="AM1550" s="1193">
        <f t="shared" si="334"/>
        <v>0</v>
      </c>
      <c r="AN1550" s="1194" t="str">
        <f>VLOOKUP($I1550,'Price List, Weapons &amp; Items'!B:L,COLUMN('Price List, Weapons &amp; Items'!$J$11)-1,0)</f>
        <v>Military media (incl. websites)</v>
      </c>
      <c r="AO1550" s="1194" t="str">
        <f>IF(I1550=".",".",VLOOKUP($I1550,'Price List, Weapons &amp; Items'!B:J,3,0))</f>
        <v>Armored Utility Vehicle (AUV)</v>
      </c>
      <c r="AP1550" s="1195" t="str">
        <f t="shared" ca="1" si="328"/>
        <v/>
      </c>
      <c r="AQ1550" s="1194">
        <f>VLOOKUP($I1550,'Price List, Weapons &amp; Items'!B:L,COLUMN('Price List, Weapons &amp; Items'!$L$11)-1,0)</f>
        <v>2</v>
      </c>
      <c r="AR1550" s="1194">
        <f t="shared" si="335"/>
        <v>1</v>
      </c>
      <c r="AS1550" s="1194">
        <f t="shared" si="336"/>
        <v>1</v>
      </c>
      <c r="AT1550" s="1194">
        <f t="shared" si="337"/>
        <v>1</v>
      </c>
      <c r="AU1550" s="1194" t="str">
        <f t="shared" si="326"/>
        <v>.</v>
      </c>
      <c r="AV1550" s="1194" t="str">
        <f t="shared" si="329"/>
        <v>.</v>
      </c>
      <c r="AW1550" s="1194" t="str">
        <f t="shared" si="338"/>
        <v>.</v>
      </c>
      <c r="AX1550" s="1194">
        <f>IFERROR(VLOOKUP(B1550,'Share, Heavy Weapons to Ukraine'!B:Z,COLUMN('Share, Heavy Weapons to Ukraine'!C1562)-1,0),0)</f>
        <v>1</v>
      </c>
      <c r="AY1550" s="1194">
        <f>VLOOKUP('Bilateral Assistance, MAIN DATA'!B1550,'Country Summary (€)'!B:F,COLUMN('Country Summary (€)'!C1563)-1,FALSE)</f>
        <v>0</v>
      </c>
      <c r="AZ1550" s="1194" t="str">
        <f>IF(AND(AD1550=1,D1550="Military",H1550&lt;&gt;"Not given")=TRUE,IF(SUMIFS(P:P,A:A,A1550)&gt;0,ABS((SUMIFS(P:P,A:A,A1550)/VLOOKUP("USD",'Exchange Rates'!B:C,2,0)))/S1550,"."),".")</f>
        <v>.</v>
      </c>
      <c r="BA1550" s="1196" t="str">
        <f>IF(AND(AD1550=1,D1550="Military",H1550&lt;&gt;"Not given")=TRUE,IF(SUMIFS(P:P,A:A,A1550)&gt;0,IF((ABS((SUMIFS(P:P,A:A,A1550)/VLOOKUP("USD",'Exchange Rates'!B:C,2,0)))/S1550)&gt;1,(SUMIFS(P:P,A:A,A1550)-S1550)/S1550,(S1550-SUMIFS(P:P,A:A,A1550))/SUMIFS(P:P,A:A,A1550)),"."),".")</f>
        <v>.</v>
      </c>
    </row>
    <row r="1551" spans="1:53" ht="15.95" customHeight="1">
      <c r="A1551" s="1182" t="s">
        <v>3987</v>
      </c>
      <c r="B1551" s="1208" t="s">
        <v>3949</v>
      </c>
      <c r="C1551" s="1220">
        <v>44781</v>
      </c>
      <c r="D1551" s="1208" t="s">
        <v>389</v>
      </c>
      <c r="E1551" s="1182" t="s">
        <v>1676</v>
      </c>
      <c r="F1551" s="1183" t="s">
        <v>4135</v>
      </c>
      <c r="G1551" s="1184" t="s">
        <v>456</v>
      </c>
      <c r="H1551" s="1221">
        <v>1000000000</v>
      </c>
      <c r="I1551" s="1208" t="s">
        <v>4045</v>
      </c>
      <c r="J1551" s="1186" t="str">
        <f>VLOOKUP($I1551,'Price List, Weapons &amp; Items'!B:C,2,0)</f>
        <v>Light armaments &amp; infantry</v>
      </c>
      <c r="K1551" s="1186" t="str">
        <f>IF(I1551=".",I1551,VLOOKUP($I1551,'Price List, Weapons &amp; Items'!B:D,3,0))</f>
        <v>Explosive</v>
      </c>
      <c r="L1551" s="1187">
        <f>VLOOKUP(I1551,'Price List, Weapons &amp; Items'!B:E,4,0)</f>
        <v>0</v>
      </c>
      <c r="M1551" s="1241" t="s">
        <v>374</v>
      </c>
      <c r="N1551" s="1188" t="s">
        <v>374</v>
      </c>
      <c r="O1551" s="1188">
        <f>VLOOKUP($I1551,'Price List, Weapons &amp; Items'!B:G,6,0)</f>
        <v>223.15</v>
      </c>
      <c r="P1551" s="1185" t="str">
        <f t="shared" si="330"/>
        <v>.</v>
      </c>
      <c r="Q1551" s="1185" t="str">
        <f t="shared" si="331"/>
        <v>.</v>
      </c>
      <c r="R1551" s="1185" t="str">
        <f t="shared" si="327"/>
        <v/>
      </c>
      <c r="S1551" s="1185" t="str">
        <f>IF(AND(AD1551=1,R1551&lt;&gt;".")=TRUE,R1551/VLOOKUP(G1551,'Exchange Rates'!B:C,2,0),IF(R1551=".",".",""))</f>
        <v/>
      </c>
      <c r="T1551" s="1185" t="str">
        <f>IF(AD1551=1,IF(AF1551="Value is not given at all",".",IF(AF1551="Value is given by the source",S1551,IF(AF1551="Value is calculated with prices",(IF(SUMIFS(Q:Q,A:A,A1551)&gt;0,SUMIFS(Q:Q,A:A,A1551),"."))/VLOOKUP("USD",'Exchange Rates'!B:C,2,0),"Error with coding"))),"")</f>
        <v/>
      </c>
      <c r="U1551" s="1184" t="s">
        <v>365</v>
      </c>
      <c r="V1551" s="979" t="s">
        <v>4136</v>
      </c>
      <c r="W1551" s="973" t="s">
        <v>3955</v>
      </c>
      <c r="X1551" s="973" t="s">
        <v>3959</v>
      </c>
      <c r="Y1551" s="973" t="s">
        <v>4145</v>
      </c>
      <c r="Z1551" s="1191">
        <v>0</v>
      </c>
      <c r="AA1551" s="1194">
        <v>0</v>
      </c>
      <c r="AB1551" s="973" t="s">
        <v>4146</v>
      </c>
      <c r="AC1551" s="1192" t="str">
        <f>""</f>
        <v/>
      </c>
      <c r="AD1551" s="985">
        <v>0</v>
      </c>
      <c r="AE1551" s="1302" t="s">
        <v>368</v>
      </c>
      <c r="AF1551" s="1193" t="s">
        <v>368</v>
      </c>
      <c r="AG1551" s="985">
        <v>1</v>
      </c>
      <c r="AH1551" s="985">
        <v>8</v>
      </c>
      <c r="AI1551" s="985">
        <v>0</v>
      </c>
      <c r="AJ1551" s="1193">
        <f>VLOOKUP($I1551,'Price List, Weapons &amp; Items'!B:F,5,0)</f>
        <v>0</v>
      </c>
      <c r="AK1551" s="1193">
        <f t="shared" si="332"/>
        <v>0</v>
      </c>
      <c r="AL1551" s="1193">
        <f t="shared" si="333"/>
        <v>0</v>
      </c>
      <c r="AM1551" s="1193">
        <f t="shared" si="334"/>
        <v>0</v>
      </c>
      <c r="AN1551" s="1194" t="str">
        <f>VLOOKUP($I1551,'Price List, Weapons &amp; Items'!B:L,COLUMN('Price List, Weapons &amp; Items'!$J$11)-1,0)</f>
        <v>Miscellaneous</v>
      </c>
      <c r="AO1551" s="1194" t="str">
        <f>IF(I1551=".",".",VLOOKUP($I1551,'Price List, Weapons &amp; Items'!B:J,3,0))</f>
        <v>Explosive</v>
      </c>
      <c r="AP1551" s="1195" t="str">
        <f t="shared" ca="1" si="328"/>
        <v/>
      </c>
      <c r="AQ1551" s="1194" t="str">
        <f>VLOOKUP($I1551,'Price List, Weapons &amp; Items'!B:L,COLUMN('Price List, Weapons &amp; Items'!$L$11)-1,0)</f>
        <v>no price, 0 count</v>
      </c>
      <c r="AR1551" s="1194">
        <f t="shared" si="335"/>
        <v>1</v>
      </c>
      <c r="AS1551" s="1194">
        <f t="shared" si="336"/>
        <v>1</v>
      </c>
      <c r="AT1551" s="1194">
        <f t="shared" si="337"/>
        <v>1</v>
      </c>
      <c r="AU1551" s="1194" t="str">
        <f t="shared" si="326"/>
        <v>.</v>
      </c>
      <c r="AV1551" s="1194" t="str">
        <f t="shared" si="329"/>
        <v>.</v>
      </c>
      <c r="AW1551" s="1194" t="str">
        <f t="shared" si="338"/>
        <v>.</v>
      </c>
      <c r="AX1551" s="1194">
        <f>IFERROR(VLOOKUP(B1551,'Share, Heavy Weapons to Ukraine'!B:Z,COLUMN('Share, Heavy Weapons to Ukraine'!C1563)-1,0),0)</f>
        <v>1</v>
      </c>
      <c r="AY1551" s="1194">
        <f>VLOOKUP('Bilateral Assistance, MAIN DATA'!B1551,'Country Summary (€)'!B:F,COLUMN('Country Summary (€)'!C1564)-1,FALSE)</f>
        <v>0</v>
      </c>
      <c r="AZ1551" s="1194" t="str">
        <f>IF(AND(AD1551=1,D1551="Military",H1551&lt;&gt;"Not given")=TRUE,IF(SUMIFS(P:P,A:A,A1551)&gt;0,ABS((SUMIFS(P:P,A:A,A1551)/VLOOKUP("USD",'Exchange Rates'!B:C,2,0)))/S1551,"."),".")</f>
        <v>.</v>
      </c>
      <c r="BA1551" s="1196" t="str">
        <f>IF(AND(AD1551=1,D1551="Military",H1551&lt;&gt;"Not given")=TRUE,IF(SUMIFS(P:P,A:A,A1551)&gt;0,IF((ABS((SUMIFS(P:P,A:A,A1551)/VLOOKUP("USD",'Exchange Rates'!B:C,2,0)))/S1551)&gt;1,(SUMIFS(P:P,A:A,A1551)-S1551)/S1551,(S1551-SUMIFS(P:P,A:A,A1551))/SUMIFS(P:P,A:A,A1551)),"."),".")</f>
        <v>.</v>
      </c>
    </row>
    <row r="1552" spans="1:53" ht="15.95" customHeight="1">
      <c r="A1552" s="1182" t="s">
        <v>3987</v>
      </c>
      <c r="B1552" s="1208" t="s">
        <v>3949</v>
      </c>
      <c r="C1552" s="1220">
        <v>44781</v>
      </c>
      <c r="D1552" s="1208" t="s">
        <v>389</v>
      </c>
      <c r="E1552" s="1182" t="s">
        <v>1676</v>
      </c>
      <c r="F1552" s="1183" t="s">
        <v>4135</v>
      </c>
      <c r="G1552" s="1184" t="s">
        <v>456</v>
      </c>
      <c r="H1552" s="1221">
        <v>1000000000</v>
      </c>
      <c r="I1552" s="1208" t="s">
        <v>4147</v>
      </c>
      <c r="J1552" s="1186" t="str">
        <f>VLOOKUP($I1552,'Price List, Weapons &amp; Items'!B:C,2,0)</f>
        <v>Military equipment</v>
      </c>
      <c r="K1552" s="1186" t="str">
        <f>IF(I1552=".",I1552,VLOOKUP($I1552,'Price List, Weapons &amp; Items'!B:D,3,0))</f>
        <v>Explosive</v>
      </c>
      <c r="L1552" s="1187">
        <f>VLOOKUP(I1552,'Price List, Weapons &amp; Items'!B:E,4,0)</f>
        <v>0</v>
      </c>
      <c r="M1552" s="1241" t="s">
        <v>374</v>
      </c>
      <c r="N1552" s="1188" t="s">
        <v>374</v>
      </c>
      <c r="O1552" s="1188">
        <f>VLOOKUP($I1552,'Price List, Weapons &amp; Items'!B:G,6,0)</f>
        <v>90</v>
      </c>
      <c r="P1552" s="1185" t="str">
        <f t="shared" si="330"/>
        <v>.</v>
      </c>
      <c r="Q1552" s="1185" t="str">
        <f t="shared" si="331"/>
        <v>.</v>
      </c>
      <c r="R1552" s="1185" t="str">
        <f t="shared" si="327"/>
        <v/>
      </c>
      <c r="S1552" s="1185" t="str">
        <f>IF(AND(AD1552=1,R1552&lt;&gt;".")=TRUE,R1552/VLOOKUP(G1552,'Exchange Rates'!B:C,2,0),IF(R1552=".",".",""))</f>
        <v/>
      </c>
      <c r="T1552" s="1185" t="str">
        <f>IF(AD1552=1,IF(AF1552="Value is not given at all",".",IF(AF1552="Value is given by the source",S1552,IF(AF1552="Value is calculated with prices",(IF(SUMIFS(Q:Q,A:A,A1552)&gt;0,SUMIFS(Q:Q,A:A,A1552),"."))/VLOOKUP("USD",'Exchange Rates'!B:C,2,0),"Error with coding"))),"")</f>
        <v/>
      </c>
      <c r="U1552" s="1184" t="s">
        <v>365</v>
      </c>
      <c r="V1552" s="979" t="s">
        <v>4136</v>
      </c>
      <c r="W1552" s="973" t="s">
        <v>3955</v>
      </c>
      <c r="X1552" s="973" t="s">
        <v>3959</v>
      </c>
      <c r="Y1552" s="973" t="s">
        <v>4146</v>
      </c>
      <c r="Z1552" s="1191">
        <v>0</v>
      </c>
      <c r="AA1552" s="1194">
        <v>0</v>
      </c>
      <c r="AB1552" s="973" t="s">
        <v>4148</v>
      </c>
      <c r="AC1552" s="1192" t="str">
        <f>""</f>
        <v/>
      </c>
      <c r="AD1552" s="985">
        <v>0</v>
      </c>
      <c r="AE1552" s="1302" t="s">
        <v>368</v>
      </c>
      <c r="AF1552" s="1193" t="s">
        <v>368</v>
      </c>
      <c r="AG1552" s="985">
        <v>1</v>
      </c>
      <c r="AH1552" s="985">
        <v>8</v>
      </c>
      <c r="AI1552" s="985">
        <v>0</v>
      </c>
      <c r="AJ1552" s="1193">
        <f>VLOOKUP($I1552,'Price List, Weapons &amp; Items'!B:F,5,0)</f>
        <v>0</v>
      </c>
      <c r="AK1552" s="1193">
        <f t="shared" si="332"/>
        <v>0</v>
      </c>
      <c r="AL1552" s="1193">
        <f t="shared" si="333"/>
        <v>0</v>
      </c>
      <c r="AM1552" s="1193">
        <f t="shared" si="334"/>
        <v>0</v>
      </c>
      <c r="AN1552" s="1194" t="str">
        <f>VLOOKUP($I1552,'Price List, Weapons &amp; Items'!B:L,COLUMN('Price List, Weapons &amp; Items'!$J$11)-1,0)</f>
        <v>Media reports (incl. social media)</v>
      </c>
      <c r="AO1552" s="1194" t="str">
        <f>IF(I1552=".",".",VLOOKUP($I1552,'Price List, Weapons &amp; Items'!B:J,3,0))</f>
        <v>Explosive</v>
      </c>
      <c r="AP1552" s="1195" t="str">
        <f t="shared" ca="1" si="328"/>
        <v/>
      </c>
      <c r="AQ1552" s="1194" t="str">
        <f>VLOOKUP($I1552,'Price List, Weapons &amp; Items'!B:L,COLUMN('Price List, Weapons &amp; Items'!$L$11)-1,0)</f>
        <v>no price, 0 count</v>
      </c>
      <c r="AR1552" s="1194">
        <f t="shared" si="335"/>
        <v>1</v>
      </c>
      <c r="AS1552" s="1194">
        <f t="shared" si="336"/>
        <v>1</v>
      </c>
      <c r="AT1552" s="1194">
        <f t="shared" si="337"/>
        <v>1</v>
      </c>
      <c r="AU1552" s="1194" t="str">
        <f t="shared" si="326"/>
        <v>.</v>
      </c>
      <c r="AV1552" s="1194" t="str">
        <f t="shared" si="329"/>
        <v>.</v>
      </c>
      <c r="AW1552" s="1194" t="str">
        <f t="shared" si="338"/>
        <v>.</v>
      </c>
      <c r="AX1552" s="1194">
        <f>IFERROR(VLOOKUP(B1552,'Share, Heavy Weapons to Ukraine'!B:Z,COLUMN('Share, Heavy Weapons to Ukraine'!C1564)-1,0),0)</f>
        <v>1</v>
      </c>
      <c r="AY1552" s="1194">
        <f>VLOOKUP('Bilateral Assistance, MAIN DATA'!B1552,'Country Summary (€)'!B:F,COLUMN('Country Summary (€)'!C1565)-1,FALSE)</f>
        <v>0</v>
      </c>
      <c r="AZ1552" s="1194" t="str">
        <f>IF(AND(AD1552=1,D1552="Military",H1552&lt;&gt;"Not given")=TRUE,IF(SUMIFS(P:P,A:A,A1552)&gt;0,ABS((SUMIFS(P:P,A:A,A1552)/VLOOKUP("USD",'Exchange Rates'!B:C,2,0)))/S1552,"."),".")</f>
        <v>.</v>
      </c>
      <c r="BA1552" s="1196" t="str">
        <f>IF(AND(AD1552=1,D1552="Military",H1552&lt;&gt;"Not given")=TRUE,IF(SUMIFS(P:P,A:A,A1552)&gt;0,IF((ABS((SUMIFS(P:P,A:A,A1552)/VLOOKUP("USD",'Exchange Rates'!B:C,2,0)))/S1552)&gt;1,(SUMIFS(P:P,A:A,A1552)-S1552)/S1552,(S1552-SUMIFS(P:P,A:A,A1552))/SUMIFS(P:P,A:A,A1552)),"."),".")</f>
        <v>.</v>
      </c>
    </row>
    <row r="1553" spans="1:53" ht="15.95" customHeight="1">
      <c r="A1553" s="1182" t="s">
        <v>3987</v>
      </c>
      <c r="B1553" s="1208" t="s">
        <v>3949</v>
      </c>
      <c r="C1553" s="1220">
        <v>44781</v>
      </c>
      <c r="D1553" s="1208" t="s">
        <v>389</v>
      </c>
      <c r="E1553" s="1182" t="s">
        <v>1676</v>
      </c>
      <c r="F1553" s="1183" t="s">
        <v>4135</v>
      </c>
      <c r="G1553" s="1184" t="s">
        <v>456</v>
      </c>
      <c r="H1553" s="1221">
        <v>1000000000</v>
      </c>
      <c r="I1553" s="1208" t="s">
        <v>4149</v>
      </c>
      <c r="J1553" s="1186" t="str">
        <f>VLOOKUP($I1553,'Price List, Weapons &amp; Items'!B:C,2,0)</f>
        <v>Military equipment</v>
      </c>
      <c r="K1553" s="1186" t="str">
        <f>IF(I1553=".",I1553,VLOOKUP($I1553,'Price List, Weapons &amp; Items'!B:D,3,0))</f>
        <v>Military equipment</v>
      </c>
      <c r="L1553" s="1187">
        <f>VLOOKUP(I1553,'Price List, Weapons &amp; Items'!B:E,4,0)</f>
        <v>0</v>
      </c>
      <c r="M1553" s="1241" t="s">
        <v>374</v>
      </c>
      <c r="N1553" s="1188" t="s">
        <v>374</v>
      </c>
      <c r="O1553" s="1188" t="str">
        <f>VLOOKUP($I1553,'Price List, Weapons &amp; Items'!B:G,6,0)</f>
        <v>.</v>
      </c>
      <c r="P1553" s="1185" t="str">
        <f t="shared" si="330"/>
        <v>.</v>
      </c>
      <c r="Q1553" s="1185" t="str">
        <f t="shared" si="331"/>
        <v>.</v>
      </c>
      <c r="R1553" s="1185" t="str">
        <f t="shared" si="327"/>
        <v/>
      </c>
      <c r="S1553" s="1185" t="str">
        <f>IF(AND(AD1553=1,R1553&lt;&gt;".")=TRUE,R1553/VLOOKUP(G1553,'Exchange Rates'!B:C,2,0),IF(R1553=".",".",""))</f>
        <v/>
      </c>
      <c r="T1553" s="1185" t="str">
        <f>IF(AD1553=1,IF(AF1553="Value is not given at all",".",IF(AF1553="Value is given by the source",S1553,IF(AF1553="Value is calculated with prices",(IF(SUMIFS(Q:Q,A:A,A1553)&gt;0,SUMIFS(Q:Q,A:A,A1553),"."))/VLOOKUP("USD",'Exchange Rates'!B:C,2,0),"Error with coding"))),"")</f>
        <v/>
      </c>
      <c r="U1553" s="1184" t="s">
        <v>365</v>
      </c>
      <c r="V1553" s="979" t="s">
        <v>4136</v>
      </c>
      <c r="W1553" s="973" t="s">
        <v>3955</v>
      </c>
      <c r="X1553" s="973" t="s">
        <v>3959</v>
      </c>
      <c r="Y1553" s="973" t="s">
        <v>4148</v>
      </c>
      <c r="Z1553" s="1191">
        <v>0</v>
      </c>
      <c r="AA1553" s="1194">
        <v>0</v>
      </c>
      <c r="AB1553" s="973" t="s">
        <v>4150</v>
      </c>
      <c r="AC1553" s="1192" t="str">
        <f>""</f>
        <v/>
      </c>
      <c r="AD1553" s="985">
        <v>0</v>
      </c>
      <c r="AE1553" s="1302" t="s">
        <v>368</v>
      </c>
      <c r="AF1553" s="1193" t="s">
        <v>368</v>
      </c>
      <c r="AG1553" s="985">
        <v>1</v>
      </c>
      <c r="AH1553" s="985">
        <v>8</v>
      </c>
      <c r="AI1553" s="985">
        <v>0</v>
      </c>
      <c r="AJ1553" s="1193">
        <f>VLOOKUP($I1553,'Price List, Weapons &amp; Items'!B:F,5,0)</f>
        <v>0</v>
      </c>
      <c r="AK1553" s="1193">
        <f t="shared" si="332"/>
        <v>0</v>
      </c>
      <c r="AL1553" s="1193">
        <f t="shared" si="333"/>
        <v>0</v>
      </c>
      <c r="AM1553" s="1193">
        <f t="shared" si="334"/>
        <v>0</v>
      </c>
      <c r="AN1553" s="1194" t="str">
        <f>VLOOKUP($I1553,'Price List, Weapons &amp; Items'!B:L,COLUMN('Price List, Weapons &amp; Items'!$J$11)-1,0)</f>
        <v>.</v>
      </c>
      <c r="AO1553" s="1194" t="str">
        <f>IF(I1553=".",".",VLOOKUP($I1553,'Price List, Weapons &amp; Items'!B:J,3,0))</f>
        <v>Military equipment</v>
      </c>
      <c r="AP1553" s="1195" t="str">
        <f t="shared" ca="1" si="328"/>
        <v/>
      </c>
      <c r="AQ1553" s="1194" t="str">
        <f>VLOOKUP($I1553,'Price List, Weapons &amp; Items'!B:L,COLUMN('Price List, Weapons &amp; Items'!$L$11)-1,0)</f>
        <v>no price, 0 count</v>
      </c>
      <c r="AR1553" s="1194">
        <f t="shared" si="335"/>
        <v>1</v>
      </c>
      <c r="AS1553" s="1194">
        <f t="shared" si="336"/>
        <v>1</v>
      </c>
      <c r="AT1553" s="1194">
        <f t="shared" si="337"/>
        <v>1</v>
      </c>
      <c r="AU1553" s="1194" t="str">
        <f t="shared" si="326"/>
        <v>.</v>
      </c>
      <c r="AV1553" s="1194" t="str">
        <f t="shared" si="329"/>
        <v>.</v>
      </c>
      <c r="AW1553" s="1194" t="str">
        <f t="shared" si="338"/>
        <v>.</v>
      </c>
      <c r="AX1553" s="1194">
        <f>IFERROR(VLOOKUP(B1553,'Share, Heavy Weapons to Ukraine'!B:Z,COLUMN('Share, Heavy Weapons to Ukraine'!C1565)-1,0),0)</f>
        <v>1</v>
      </c>
      <c r="AY1553" s="1194">
        <f>VLOOKUP('Bilateral Assistance, MAIN DATA'!B1553,'Country Summary (€)'!B:F,COLUMN('Country Summary (€)'!C1566)-1,FALSE)</f>
        <v>0</v>
      </c>
      <c r="AZ1553" s="1194" t="str">
        <f>IF(AND(AD1553=1,D1553="Military",H1553&lt;&gt;"Not given")=TRUE,IF(SUMIFS(P:P,A:A,A1553)&gt;0,ABS((SUMIFS(P:P,A:A,A1553)/VLOOKUP("USD",'Exchange Rates'!B:C,2,0)))/S1553,"."),".")</f>
        <v>.</v>
      </c>
      <c r="BA1553" s="1196" t="str">
        <f>IF(AND(AD1553=1,D1553="Military",H1553&lt;&gt;"Not given")=TRUE,IF(SUMIFS(P:P,A:A,A1553)&gt;0,IF((ABS((SUMIFS(P:P,A:A,A1553)/VLOOKUP("USD",'Exchange Rates'!B:C,2,0)))/S1553)&gt;1,(SUMIFS(P:P,A:A,A1553)-S1553)/S1553,(S1553-SUMIFS(P:P,A:A,A1553))/SUMIFS(P:P,A:A,A1553)),"."),".")</f>
        <v>.</v>
      </c>
    </row>
    <row r="1554" spans="1:53" ht="15.95" customHeight="1">
      <c r="A1554" s="1182" t="s">
        <v>3987</v>
      </c>
      <c r="B1554" s="1208" t="s">
        <v>3949</v>
      </c>
      <c r="C1554" s="1220">
        <v>44792</v>
      </c>
      <c r="D1554" s="1208" t="s">
        <v>389</v>
      </c>
      <c r="E1554" s="1182" t="s">
        <v>1676</v>
      </c>
      <c r="F1554" s="1183" t="s">
        <v>4151</v>
      </c>
      <c r="G1554" s="1184" t="s">
        <v>456</v>
      </c>
      <c r="H1554" s="1221">
        <v>775000000</v>
      </c>
      <c r="I1554" s="1208" t="s">
        <v>4093</v>
      </c>
      <c r="J1554" s="1186" t="str">
        <f>VLOOKUP($I1554,'Price List, Weapons &amp; Items'!B:C,2,0)</f>
        <v>Ammunition for heavy weapon</v>
      </c>
      <c r="K1554" s="1186" t="str">
        <f>IF(I1554=".",I1554,VLOOKUP($I1554,'Price List, Weapons &amp; Items'!B:D,3,0))</f>
        <v>227mm MLRS ammunition</v>
      </c>
      <c r="L1554" s="1187">
        <f>VLOOKUP(I1554,'Price List, Weapons &amp; Items'!B:E,4,0)</f>
        <v>0</v>
      </c>
      <c r="M1554" s="1241" t="s">
        <v>374</v>
      </c>
      <c r="N1554" s="1188" t="s">
        <v>374</v>
      </c>
      <c r="O1554" s="1188">
        <f>VLOOKUP($I1554,'Price List, Weapons &amp; Items'!B:G,6,0)</f>
        <v>150000</v>
      </c>
      <c r="P1554" s="1185" t="str">
        <f t="shared" si="330"/>
        <v>.</v>
      </c>
      <c r="Q1554" s="1185" t="str">
        <f t="shared" si="331"/>
        <v>.</v>
      </c>
      <c r="R1554" s="1185" t="str">
        <f t="shared" si="327"/>
        <v/>
      </c>
      <c r="S1554" s="1185" t="str">
        <f>IF(AND(AD1554=1,R1554&lt;&gt;".")=TRUE,R1554/VLOOKUP(G1554,'Exchange Rates'!B:C,2,0),IF(R1554=".",".",""))</f>
        <v/>
      </c>
      <c r="T1554" s="1185" t="str">
        <f>IF(AD1554=1,IF(AF1554="Value is not given at all",".",IF(AF1554="Value is given by the source",S1554,IF(AF1554="Value is calculated with prices",(IF(SUMIFS(Q:Q,A:A,A1554)&gt;0,SUMIFS(Q:Q,A:A,A1554),"."))/VLOOKUP("USD",'Exchange Rates'!B:C,2,0),"Error with coding"))),"")</f>
        <v/>
      </c>
      <c r="U1554" s="1184" t="s">
        <v>365</v>
      </c>
      <c r="V1554" s="979" t="s">
        <v>4152</v>
      </c>
      <c r="W1554" s="973" t="s">
        <v>3955</v>
      </c>
      <c r="X1554" s="973" t="s">
        <v>3959</v>
      </c>
      <c r="Y1554" s="973" t="s">
        <v>4150</v>
      </c>
      <c r="Z1554" s="1191">
        <v>0</v>
      </c>
      <c r="AA1554" s="1194">
        <v>0</v>
      </c>
      <c r="AB1554" s="973" t="s">
        <v>4153</v>
      </c>
      <c r="AC1554" s="1192" t="str">
        <f>""</f>
        <v/>
      </c>
      <c r="AD1554" s="985">
        <v>0</v>
      </c>
      <c r="AE1554" s="1302" t="s">
        <v>368</v>
      </c>
      <c r="AF1554" s="1193" t="s">
        <v>368</v>
      </c>
      <c r="AG1554" s="985">
        <v>1</v>
      </c>
      <c r="AH1554" s="985">
        <v>8</v>
      </c>
      <c r="AI1554" s="985">
        <v>0</v>
      </c>
      <c r="AJ1554" s="1193">
        <f>VLOOKUP($I1554,'Price List, Weapons &amp; Items'!B:F,5,0)</f>
        <v>1</v>
      </c>
      <c r="AK1554" s="1193">
        <f t="shared" si="332"/>
        <v>1</v>
      </c>
      <c r="AL1554" s="1193">
        <f t="shared" si="333"/>
        <v>1</v>
      </c>
      <c r="AM1554" s="1193">
        <f t="shared" si="334"/>
        <v>1</v>
      </c>
      <c r="AN1554" s="1194" t="str">
        <f>VLOOKUP($I1554,'Price List, Weapons &amp; Items'!B:L,COLUMN('Price List, Weapons &amp; Items'!$J$11)-1,0)</f>
        <v>Media reports (incl. social media)</v>
      </c>
      <c r="AO1554" s="1194" t="str">
        <f>IF(I1554=".",".",VLOOKUP($I1554,'Price List, Weapons &amp; Items'!B:J,3,0))</f>
        <v>227mm MLRS ammunition</v>
      </c>
      <c r="AP1554" s="1195" t="str">
        <f t="shared" ca="1" si="328"/>
        <v/>
      </c>
      <c r="AQ1554" s="1194" t="str">
        <f>VLOOKUP($I1554,'Price List, Weapons &amp; Items'!B:L,COLUMN('Price List, Weapons &amp; Items'!$L$11)-1,0)</f>
        <v>no price, 0 count</v>
      </c>
      <c r="AR1554" s="1194">
        <f t="shared" si="335"/>
        <v>1</v>
      </c>
      <c r="AS1554" s="1194">
        <f t="shared" si="336"/>
        <v>1</v>
      </c>
      <c r="AT1554" s="1194">
        <f t="shared" si="337"/>
        <v>1</v>
      </c>
      <c r="AU1554" s="1194" t="str">
        <f t="shared" si="326"/>
        <v>.</v>
      </c>
      <c r="AV1554" s="1194" t="str">
        <f t="shared" si="329"/>
        <v>.</v>
      </c>
      <c r="AW1554" s="1194" t="str">
        <f t="shared" si="338"/>
        <v>.</v>
      </c>
      <c r="AX1554" s="1194">
        <f>IFERROR(VLOOKUP(B1554,'Share, Heavy Weapons to Ukraine'!B:Z,COLUMN('Share, Heavy Weapons to Ukraine'!C1566)-1,0),0)</f>
        <v>1</v>
      </c>
      <c r="AY1554" s="1194">
        <f>VLOOKUP('Bilateral Assistance, MAIN DATA'!B1554,'Country Summary (€)'!B:F,COLUMN('Country Summary (€)'!C1567)-1,FALSE)</f>
        <v>0</v>
      </c>
      <c r="AZ1554" s="1194" t="str">
        <f>IF(AND(AD1554=1,D1554="Military",H1554&lt;&gt;"Not given")=TRUE,IF(SUMIFS(P:P,A:A,A1554)&gt;0,ABS((SUMIFS(P:P,A:A,A1554)/VLOOKUP("USD",'Exchange Rates'!B:C,2,0)))/S1554,"."),".")</f>
        <v>.</v>
      </c>
      <c r="BA1554" s="1196" t="str">
        <f>IF(AND(AD1554=1,D1554="Military",H1554&lt;&gt;"Not given")=TRUE,IF(SUMIFS(P:P,A:A,A1554)&gt;0,IF((ABS((SUMIFS(P:P,A:A,A1554)/VLOOKUP("USD",'Exchange Rates'!B:C,2,0)))/S1554)&gt;1,(SUMIFS(P:P,A:A,A1554)-S1554)/S1554,(S1554-SUMIFS(P:P,A:A,A1554))/SUMIFS(P:P,A:A,A1554)),"."),".")</f>
        <v>.</v>
      </c>
    </row>
    <row r="1555" spans="1:53" ht="15.95" customHeight="1">
      <c r="A1555" s="1182" t="s">
        <v>3987</v>
      </c>
      <c r="B1555" s="1208" t="s">
        <v>3949</v>
      </c>
      <c r="C1555" s="1220">
        <v>44792</v>
      </c>
      <c r="D1555" s="1208" t="s">
        <v>389</v>
      </c>
      <c r="E1555" s="1182" t="s">
        <v>1676</v>
      </c>
      <c r="F1555" s="1183" t="s">
        <v>4151</v>
      </c>
      <c r="G1555" s="1184" t="s">
        <v>456</v>
      </c>
      <c r="H1555" s="1221">
        <v>775000000</v>
      </c>
      <c r="I1555" s="1208" t="s">
        <v>4154</v>
      </c>
      <c r="J1555" s="1186" t="str">
        <f>VLOOKUP($I1555,'Price List, Weapons &amp; Items'!B:C,2,0)</f>
        <v>Heavy weapon</v>
      </c>
      <c r="K1555" s="1186" t="str">
        <f>IF(I1555=".",I1555,VLOOKUP($I1555,'Price List, Weapons &amp; Items'!B:D,3,0))</f>
        <v>105mm howitzer</v>
      </c>
      <c r="L1555" s="1187">
        <f>VLOOKUP(I1555,'Price List, Weapons &amp; Items'!B:E,4,0)</f>
        <v>0</v>
      </c>
      <c r="M1555" s="1241">
        <v>16</v>
      </c>
      <c r="N1555" s="1188">
        <v>16</v>
      </c>
      <c r="O1555" s="1188">
        <f>VLOOKUP($I1555,'Price List, Weapons &amp; Items'!B:G,6,0)</f>
        <v>1272482.2760025531</v>
      </c>
      <c r="P1555" s="1185">
        <f t="shared" si="330"/>
        <v>20359716.416040849</v>
      </c>
      <c r="Q1555" s="1185">
        <f t="shared" si="331"/>
        <v>20359716.416040849</v>
      </c>
      <c r="R1555" s="1185" t="str">
        <f t="shared" si="327"/>
        <v/>
      </c>
      <c r="S1555" s="1185" t="str">
        <f>IF(AND(AD1555=1,R1555&lt;&gt;".")=TRUE,R1555/VLOOKUP(G1555,'Exchange Rates'!B:C,2,0),IF(R1555=".",".",""))</f>
        <v/>
      </c>
      <c r="T1555" s="1185" t="str">
        <f>IF(AD1555=1,IF(AF1555="Value is not given at all",".",IF(AF1555="Value is given by the source",S1555,IF(AF1555="Value is calculated with prices",(IF(SUMIFS(Q:Q,A:A,A1555)&gt;0,SUMIFS(Q:Q,A:A,A1555),"."))/VLOOKUP("USD",'Exchange Rates'!B:C,2,0),"Error with coding"))),"")</f>
        <v/>
      </c>
      <c r="U1555" s="1184" t="s">
        <v>365</v>
      </c>
      <c r="V1555" s="979" t="s">
        <v>4152</v>
      </c>
      <c r="W1555" s="973" t="s">
        <v>3955</v>
      </c>
      <c r="X1555" s="973" t="s">
        <v>3959</v>
      </c>
      <c r="Y1555" s="973" t="s">
        <v>4153</v>
      </c>
      <c r="Z1555" s="1191">
        <v>0</v>
      </c>
      <c r="AA1555" s="1194">
        <v>0</v>
      </c>
      <c r="AB1555" s="973" t="s">
        <v>4155</v>
      </c>
      <c r="AC1555" s="1192" t="str">
        <f>""</f>
        <v/>
      </c>
      <c r="AD1555" s="985">
        <v>0</v>
      </c>
      <c r="AE1555" s="1302" t="s">
        <v>368</v>
      </c>
      <c r="AF1555" s="1193" t="s">
        <v>368</v>
      </c>
      <c r="AG1555" s="985">
        <v>1</v>
      </c>
      <c r="AH1555" s="985">
        <v>8</v>
      </c>
      <c r="AI1555" s="985">
        <v>0</v>
      </c>
      <c r="AJ1555" s="1193">
        <f>VLOOKUP($I1555,'Price List, Weapons &amp; Items'!B:F,5,0)</f>
        <v>0</v>
      </c>
      <c r="AK1555" s="1193">
        <f t="shared" si="332"/>
        <v>0</v>
      </c>
      <c r="AL1555" s="1193">
        <f t="shared" si="333"/>
        <v>0</v>
      </c>
      <c r="AM1555" s="1193">
        <f t="shared" si="334"/>
        <v>0</v>
      </c>
      <c r="AN1555" s="1194" t="str">
        <f>VLOOKUP($I1555,'Price List, Weapons &amp; Items'!B:L,COLUMN('Price List, Weapons &amp; Items'!$J$11)-1,0)</f>
        <v>Contracts</v>
      </c>
      <c r="AO1555" s="1194" t="str">
        <f>IF(I1555=".",".",VLOOKUP($I1555,'Price List, Weapons &amp; Items'!B:J,3,0))</f>
        <v>105mm howitzer</v>
      </c>
      <c r="AP1555" s="1195" t="str">
        <f t="shared" ca="1" si="328"/>
        <v/>
      </c>
      <c r="AQ1555" s="1194">
        <f>VLOOKUP($I1555,'Price List, Weapons &amp; Items'!B:L,COLUMN('Price List, Weapons &amp; Items'!$L$11)-1,0)</f>
        <v>2</v>
      </c>
      <c r="AR1555" s="1194">
        <f t="shared" si="335"/>
        <v>1</v>
      </c>
      <c r="AS1555" s="1194">
        <f t="shared" si="336"/>
        <v>1</v>
      </c>
      <c r="AT1555" s="1194">
        <f t="shared" si="337"/>
        <v>1</v>
      </c>
      <c r="AU1555" s="1194" t="str">
        <f t="shared" si="326"/>
        <v>.</v>
      </c>
      <c r="AV1555" s="1194" t="str">
        <f t="shared" si="329"/>
        <v>.</v>
      </c>
      <c r="AW1555" s="1194" t="str">
        <f t="shared" si="338"/>
        <v>.</v>
      </c>
      <c r="AX1555" s="1194">
        <f>IFERROR(VLOOKUP(B1555,'Share, Heavy Weapons to Ukraine'!B:Z,COLUMN('Share, Heavy Weapons to Ukraine'!C1567)-1,0),0)</f>
        <v>1</v>
      </c>
      <c r="AY1555" s="1194">
        <f>VLOOKUP('Bilateral Assistance, MAIN DATA'!B1555,'Country Summary (€)'!B:F,COLUMN('Country Summary (€)'!C1568)-1,FALSE)</f>
        <v>0</v>
      </c>
      <c r="AZ1555" s="1194" t="str">
        <f>IF(AND(AD1555=1,D1555="Military",H1555&lt;&gt;"Not given")=TRUE,IF(SUMIFS(P:P,A:A,A1555)&gt;0,ABS((SUMIFS(P:P,A:A,A1555)/VLOOKUP("USD",'Exchange Rates'!B:C,2,0)))/S1555,"."),".")</f>
        <v>.</v>
      </c>
      <c r="BA1555" s="1196" t="str">
        <f>IF(AND(AD1555=1,D1555="Military",H1555&lt;&gt;"Not given")=TRUE,IF(SUMIFS(P:P,A:A,A1555)&gt;0,IF((ABS((SUMIFS(P:P,A:A,A1555)/VLOOKUP("USD",'Exchange Rates'!B:C,2,0)))/S1555)&gt;1,(SUMIFS(P:P,A:A,A1555)-S1555)/S1555,(S1555-SUMIFS(P:P,A:A,A1555))/SUMIFS(P:P,A:A,A1555)),"."),".")</f>
        <v>.</v>
      </c>
    </row>
    <row r="1556" spans="1:53" ht="15.95" customHeight="1">
      <c r="A1556" s="1182" t="s">
        <v>3987</v>
      </c>
      <c r="B1556" s="1208" t="s">
        <v>3949</v>
      </c>
      <c r="C1556" s="1220">
        <v>44792</v>
      </c>
      <c r="D1556" s="1208" t="s">
        <v>389</v>
      </c>
      <c r="E1556" s="1182" t="s">
        <v>1676</v>
      </c>
      <c r="F1556" s="1183" t="s">
        <v>4151</v>
      </c>
      <c r="G1556" s="1184" t="s">
        <v>456</v>
      </c>
      <c r="H1556" s="1221">
        <v>775000000</v>
      </c>
      <c r="I1556" s="1208" t="s">
        <v>645</v>
      </c>
      <c r="J1556" s="1186" t="str">
        <f>VLOOKUP($I1556,'Price List, Weapons &amp; Items'!B:C,2,0)</f>
        <v>Ammunition for heavy weapon</v>
      </c>
      <c r="K1556" s="1186" t="str">
        <f>IF(I1556=".",I1556,VLOOKUP($I1556,'Price List, Weapons &amp; Items'!B:D,3,0))</f>
        <v>105mm</v>
      </c>
      <c r="L1556" s="1187">
        <f>VLOOKUP(I1556,'Price List, Weapons &amp; Items'!B:E,4,0)</f>
        <v>0</v>
      </c>
      <c r="M1556" s="1241">
        <v>36000</v>
      </c>
      <c r="N1556" s="1188">
        <v>36000</v>
      </c>
      <c r="O1556" s="1188">
        <f>VLOOKUP($I1556,'Price List, Weapons &amp; Items'!B:G,6,0)</f>
        <v>400</v>
      </c>
      <c r="P1556" s="1185">
        <f t="shared" si="330"/>
        <v>14400000</v>
      </c>
      <c r="Q1556" s="1185">
        <f t="shared" si="331"/>
        <v>14400000</v>
      </c>
      <c r="R1556" s="1185" t="str">
        <f t="shared" si="327"/>
        <v/>
      </c>
      <c r="S1556" s="1185" t="str">
        <f>IF(AND(AD1556=1,R1556&lt;&gt;".")=TRUE,R1556/VLOOKUP(G1556,'Exchange Rates'!B:C,2,0),IF(R1556=".",".",""))</f>
        <v/>
      </c>
      <c r="T1556" s="1185" t="str">
        <f>IF(AD1556=1,IF(AF1556="Value is not given at all",".",IF(AF1556="Value is given by the source",S1556,IF(AF1556="Value is calculated with prices",(IF(SUMIFS(Q:Q,A:A,A1556)&gt;0,SUMIFS(Q:Q,A:A,A1556),"."))/VLOOKUP("USD",'Exchange Rates'!B:C,2,0),"Error with coding"))),"")</f>
        <v/>
      </c>
      <c r="U1556" s="1184" t="s">
        <v>365</v>
      </c>
      <c r="V1556" s="979" t="s">
        <v>4152</v>
      </c>
      <c r="W1556" s="973" t="s">
        <v>3955</v>
      </c>
      <c r="X1556" s="973" t="s">
        <v>3959</v>
      </c>
      <c r="Y1556" s="973" t="s">
        <v>4155</v>
      </c>
      <c r="Z1556" s="1191">
        <v>0</v>
      </c>
      <c r="AA1556" s="1194">
        <v>0</v>
      </c>
      <c r="AB1556" s="973" t="s">
        <v>4156</v>
      </c>
      <c r="AC1556" s="1192" t="str">
        <f>""</f>
        <v/>
      </c>
      <c r="AD1556" s="985">
        <v>0</v>
      </c>
      <c r="AE1556" s="1302" t="s">
        <v>368</v>
      </c>
      <c r="AF1556" s="1193" t="s">
        <v>368</v>
      </c>
      <c r="AG1556" s="985">
        <v>1</v>
      </c>
      <c r="AH1556" s="985">
        <v>8</v>
      </c>
      <c r="AI1556" s="985">
        <v>0</v>
      </c>
      <c r="AJ1556" s="1193">
        <f>VLOOKUP($I1556,'Price List, Weapons &amp; Items'!B:F,5,0)</f>
        <v>0</v>
      </c>
      <c r="AK1556" s="1193">
        <f t="shared" si="332"/>
        <v>0</v>
      </c>
      <c r="AL1556" s="1193">
        <f t="shared" si="333"/>
        <v>0</v>
      </c>
      <c r="AM1556" s="1193">
        <f t="shared" si="334"/>
        <v>0</v>
      </c>
      <c r="AN1556" s="1194" t="str">
        <f>VLOOKUP($I1556,'Price List, Weapons &amp; Items'!B:L,COLUMN('Price List, Weapons &amp; Items'!$J$11)-1,0)</f>
        <v>Military media (incl. websites)</v>
      </c>
      <c r="AO1556" s="1194" t="str">
        <f>IF(I1556=".",".",VLOOKUP($I1556,'Price List, Weapons &amp; Items'!B:J,3,0))</f>
        <v>105mm</v>
      </c>
      <c r="AP1556" s="1195" t="str">
        <f t="shared" ca="1" si="328"/>
        <v/>
      </c>
      <c r="AQ1556" s="1194">
        <f>VLOOKUP($I1556,'Price List, Weapons &amp; Items'!B:L,COLUMN('Price List, Weapons &amp; Items'!$L$11)-1,0)</f>
        <v>2</v>
      </c>
      <c r="AR1556" s="1194">
        <f t="shared" si="335"/>
        <v>1</v>
      </c>
      <c r="AS1556" s="1194">
        <f t="shared" si="336"/>
        <v>1</v>
      </c>
      <c r="AT1556" s="1194">
        <f t="shared" si="337"/>
        <v>1</v>
      </c>
      <c r="AU1556" s="1194" t="str">
        <f t="shared" si="326"/>
        <v>.</v>
      </c>
      <c r="AV1556" s="1194" t="str">
        <f t="shared" si="329"/>
        <v>.</v>
      </c>
      <c r="AW1556" s="1194" t="str">
        <f t="shared" si="338"/>
        <v>.</v>
      </c>
      <c r="AX1556" s="1194">
        <f>IFERROR(VLOOKUP(B1556,'Share, Heavy Weapons to Ukraine'!B:Z,COLUMN('Share, Heavy Weapons to Ukraine'!C1568)-1,0),0)</f>
        <v>1</v>
      </c>
      <c r="AY1556" s="1194">
        <f>VLOOKUP('Bilateral Assistance, MAIN DATA'!B1556,'Country Summary (€)'!B:F,COLUMN('Country Summary (€)'!C1569)-1,FALSE)</f>
        <v>0</v>
      </c>
      <c r="AZ1556" s="1194" t="str">
        <f>IF(AND(AD1556=1,D1556="Military",H1556&lt;&gt;"Not given")=TRUE,IF(SUMIFS(P:P,A:A,A1556)&gt;0,ABS((SUMIFS(P:P,A:A,A1556)/VLOOKUP("USD",'Exchange Rates'!B:C,2,0)))/S1556,"."),".")</f>
        <v>.</v>
      </c>
      <c r="BA1556" s="1196" t="str">
        <f>IF(AND(AD1556=1,D1556="Military",H1556&lt;&gt;"Not given")=TRUE,IF(SUMIFS(P:P,A:A,A1556)&gt;0,IF((ABS((SUMIFS(P:P,A:A,A1556)/VLOOKUP("USD",'Exchange Rates'!B:C,2,0)))/S1556)&gt;1,(SUMIFS(P:P,A:A,A1556)-S1556)/S1556,(S1556-SUMIFS(P:P,A:A,A1556))/SUMIFS(P:P,A:A,A1556)),"."),".")</f>
        <v>.</v>
      </c>
    </row>
    <row r="1557" spans="1:53" ht="15.95" customHeight="1">
      <c r="A1557" s="1182" t="s">
        <v>3987</v>
      </c>
      <c r="B1557" s="1208" t="s">
        <v>3949</v>
      </c>
      <c r="C1557" s="1220">
        <v>44792</v>
      </c>
      <c r="D1557" s="1208" t="s">
        <v>389</v>
      </c>
      <c r="E1557" s="1182" t="s">
        <v>1676</v>
      </c>
      <c r="F1557" s="1183" t="s">
        <v>4151</v>
      </c>
      <c r="G1557" s="1184" t="s">
        <v>456</v>
      </c>
      <c r="H1557" s="1221">
        <v>775000000</v>
      </c>
      <c r="I1557" s="1208" t="s">
        <v>4157</v>
      </c>
      <c r="J1557" s="1186" t="str">
        <f>VLOOKUP($I1557,'Price List, Weapons &amp; Items'!B:C,2,0)</f>
        <v>Aviation and Drones</v>
      </c>
      <c r="K1557" s="1186" t="str">
        <f>IF(I1557=".",I1557,VLOOKUP($I1557,'Price List, Weapons &amp; Items'!B:D,3,0))</f>
        <v>Drone</v>
      </c>
      <c r="L1557" s="1187">
        <f>VLOOKUP(I1557,'Price List, Weapons &amp; Items'!B:E,4,0)</f>
        <v>0</v>
      </c>
      <c r="M1557" s="1241">
        <v>15</v>
      </c>
      <c r="N1557" s="1188">
        <v>15</v>
      </c>
      <c r="O1557" s="1188">
        <f>VLOOKUP($I1557,'Price List, Weapons &amp; Items'!B:G,6,0)</f>
        <v>3200000</v>
      </c>
      <c r="P1557" s="1185">
        <f t="shared" si="330"/>
        <v>48000000</v>
      </c>
      <c r="Q1557" s="1185">
        <f t="shared" si="331"/>
        <v>48000000</v>
      </c>
      <c r="R1557" s="1185" t="str">
        <f t="shared" si="327"/>
        <v/>
      </c>
      <c r="S1557" s="1185" t="str">
        <f>IF(AND(AD1557=1,R1557&lt;&gt;".")=TRUE,R1557/VLOOKUP(G1557,'Exchange Rates'!B:C,2,0),IF(R1557=".",".",""))</f>
        <v/>
      </c>
      <c r="T1557" s="1185" t="str">
        <f>IF(AD1557=1,IF(AF1557="Value is not given at all",".",IF(AF1557="Value is given by the source",S1557,IF(AF1557="Value is calculated with prices",(IF(SUMIFS(Q:Q,A:A,A1557)&gt;0,SUMIFS(Q:Q,A:A,A1557),"."))/VLOOKUP("USD",'Exchange Rates'!B:C,2,0),"Error with coding"))),"")</f>
        <v/>
      </c>
      <c r="U1557" s="1184" t="s">
        <v>365</v>
      </c>
      <c r="V1557" s="979" t="s">
        <v>4152</v>
      </c>
      <c r="W1557" s="973" t="s">
        <v>3955</v>
      </c>
      <c r="X1557" s="973" t="s">
        <v>3959</v>
      </c>
      <c r="Y1557" s="973" t="s">
        <v>4156</v>
      </c>
      <c r="Z1557" s="1191">
        <v>0</v>
      </c>
      <c r="AA1557" s="1194">
        <v>0</v>
      </c>
      <c r="AB1557" s="973" t="s">
        <v>4158</v>
      </c>
      <c r="AC1557" s="1192" t="str">
        <f>""</f>
        <v/>
      </c>
      <c r="AD1557" s="985">
        <v>0</v>
      </c>
      <c r="AE1557" s="1302" t="s">
        <v>368</v>
      </c>
      <c r="AF1557" s="1193" t="s">
        <v>368</v>
      </c>
      <c r="AG1557" s="985">
        <v>1</v>
      </c>
      <c r="AH1557" s="985">
        <v>8</v>
      </c>
      <c r="AI1557" s="985">
        <v>0</v>
      </c>
      <c r="AJ1557" s="1193">
        <f>VLOOKUP($I1557,'Price List, Weapons &amp; Items'!B:F,5,0)</f>
        <v>0</v>
      </c>
      <c r="AK1557" s="1193">
        <f t="shared" si="332"/>
        <v>0</v>
      </c>
      <c r="AL1557" s="1193">
        <f t="shared" si="333"/>
        <v>0</v>
      </c>
      <c r="AM1557" s="1193">
        <f t="shared" si="334"/>
        <v>0</v>
      </c>
      <c r="AN1557" s="1194" t="str">
        <f>VLOOKUP($I1557,'Price List, Weapons &amp; Items'!B:L,COLUMN('Price List, Weapons &amp; Items'!$J$11)-1,0)</f>
        <v>.</v>
      </c>
      <c r="AO1557" s="1194" t="str">
        <f>IF(I1557=".",".",VLOOKUP($I1557,'Price List, Weapons &amp; Items'!B:J,3,0))</f>
        <v>Drone</v>
      </c>
      <c r="AP1557" s="1195" t="str">
        <f t="shared" ca="1" si="328"/>
        <v/>
      </c>
      <c r="AQ1557" s="1194">
        <f>VLOOKUP($I1557,'Price List, Weapons &amp; Items'!B:L,COLUMN('Price List, Weapons &amp; Items'!$L$11)-1,0)</f>
        <v>2</v>
      </c>
      <c r="AR1557" s="1194">
        <f t="shared" si="335"/>
        <v>1</v>
      </c>
      <c r="AS1557" s="1194">
        <f t="shared" si="336"/>
        <v>1</v>
      </c>
      <c r="AT1557" s="1194">
        <f t="shared" si="337"/>
        <v>1</v>
      </c>
      <c r="AU1557" s="1194" t="str">
        <f t="shared" si="326"/>
        <v>.</v>
      </c>
      <c r="AV1557" s="1194" t="str">
        <f t="shared" si="329"/>
        <v>.</v>
      </c>
      <c r="AW1557" s="1194" t="str">
        <f t="shared" si="338"/>
        <v>.</v>
      </c>
      <c r="AX1557" s="1194">
        <f>IFERROR(VLOOKUP(B1557,'Share, Heavy Weapons to Ukraine'!B:Z,COLUMN('Share, Heavy Weapons to Ukraine'!C1569)-1,0),0)</f>
        <v>1</v>
      </c>
      <c r="AY1557" s="1194">
        <f>VLOOKUP('Bilateral Assistance, MAIN DATA'!B1557,'Country Summary (€)'!B:F,COLUMN('Country Summary (€)'!C1570)-1,FALSE)</f>
        <v>0</v>
      </c>
      <c r="AZ1557" s="1194" t="str">
        <f>IF(AND(AD1557=1,D1557="Military",H1557&lt;&gt;"Not given")=TRUE,IF(SUMIFS(P:P,A:A,A1557)&gt;0,ABS((SUMIFS(P:P,A:A,A1557)/VLOOKUP("USD",'Exchange Rates'!B:C,2,0)))/S1557,"."),".")</f>
        <v>.</v>
      </c>
      <c r="BA1557" s="1196" t="str">
        <f>IF(AND(AD1557=1,D1557="Military",H1557&lt;&gt;"Not given")=TRUE,IF(SUMIFS(P:P,A:A,A1557)&gt;0,IF((ABS((SUMIFS(P:P,A:A,A1557)/VLOOKUP("USD",'Exchange Rates'!B:C,2,0)))/S1557)&gt;1,(SUMIFS(P:P,A:A,A1557)-S1557)/S1557,(S1557-SUMIFS(P:P,A:A,A1557))/SUMIFS(P:P,A:A,A1557)),"."),".")</f>
        <v>.</v>
      </c>
    </row>
    <row r="1558" spans="1:53" ht="15.95" customHeight="1">
      <c r="A1558" s="1182" t="s">
        <v>3987</v>
      </c>
      <c r="B1558" s="1208" t="s">
        <v>3949</v>
      </c>
      <c r="C1558" s="1220">
        <v>44792</v>
      </c>
      <c r="D1558" s="1208" t="s">
        <v>389</v>
      </c>
      <c r="E1558" s="1182" t="s">
        <v>1676</v>
      </c>
      <c r="F1558" s="1183" t="s">
        <v>4151</v>
      </c>
      <c r="G1558" s="1184" t="s">
        <v>456</v>
      </c>
      <c r="H1558" s="1221">
        <v>775000000</v>
      </c>
      <c r="I1558" s="1208" t="s">
        <v>4159</v>
      </c>
      <c r="J1558" s="1186" t="str">
        <f>VLOOKUP($I1558,'Price List, Weapons &amp; Items'!B:C,2,0)</f>
        <v>Heavy Weapon</v>
      </c>
      <c r="K1558" s="1186" t="str">
        <f>IF(I1558=".",I1558,VLOOKUP($I1558,'Price List, Weapons &amp; Items'!B:D,3,0))</f>
        <v>Armored Utility Vehicle (AUV)</v>
      </c>
      <c r="L1558" s="1187">
        <f>VLOOKUP(I1558,'Price List, Weapons &amp; Items'!B:E,4,0)</f>
        <v>0</v>
      </c>
      <c r="M1558" s="1241">
        <v>40</v>
      </c>
      <c r="N1558" s="1188">
        <v>40</v>
      </c>
      <c r="O1558" s="1188">
        <f>VLOOKUP($I1558,'Price List, Weapons &amp; Items'!B:G,6,0)</f>
        <v>405530</v>
      </c>
      <c r="P1558" s="1185">
        <f t="shared" si="330"/>
        <v>16221200</v>
      </c>
      <c r="Q1558" s="1185">
        <f t="shared" si="331"/>
        <v>16221200</v>
      </c>
      <c r="R1558" s="1185" t="str">
        <f t="shared" si="327"/>
        <v/>
      </c>
      <c r="S1558" s="1185" t="str">
        <f>IF(AND(AD1558=1,R1558&lt;&gt;".")=TRUE,R1558/VLOOKUP(G1558,'Exchange Rates'!B:C,2,0),IF(R1558=".",".",""))</f>
        <v/>
      </c>
      <c r="T1558" s="1185" t="str">
        <f>IF(AD1558=1,IF(AF1558="Value is not given at all",".",IF(AF1558="Value is given by the source",S1558,IF(AF1558="Value is calculated with prices",(IF(SUMIFS(Q:Q,A:A,A1558)&gt;0,SUMIFS(Q:Q,A:A,A1558),"."))/VLOOKUP("USD",'Exchange Rates'!B:C,2,0),"Error with coding"))),"")</f>
        <v/>
      </c>
      <c r="U1558" s="1184" t="s">
        <v>365</v>
      </c>
      <c r="V1558" s="979" t="s">
        <v>4152</v>
      </c>
      <c r="W1558" s="973" t="s">
        <v>3955</v>
      </c>
      <c r="X1558" s="973" t="s">
        <v>3959</v>
      </c>
      <c r="Y1558" s="973" t="s">
        <v>4158</v>
      </c>
      <c r="Z1558" s="1191">
        <v>0</v>
      </c>
      <c r="AA1558" s="1194">
        <v>0</v>
      </c>
      <c r="AB1558" s="973" t="s">
        <v>4160</v>
      </c>
      <c r="AC1558" s="1192" t="str">
        <f>""</f>
        <v/>
      </c>
      <c r="AD1558" s="985">
        <v>0</v>
      </c>
      <c r="AE1558" s="1302" t="s">
        <v>368</v>
      </c>
      <c r="AF1558" s="1193" t="s">
        <v>368</v>
      </c>
      <c r="AG1558" s="985">
        <v>1</v>
      </c>
      <c r="AH1558" s="985">
        <v>8</v>
      </c>
      <c r="AI1558" s="985">
        <v>0</v>
      </c>
      <c r="AJ1558" s="1193">
        <f>VLOOKUP($I1558,'Price List, Weapons &amp; Items'!B:F,5,0)</f>
        <v>1</v>
      </c>
      <c r="AK1558" s="1193">
        <f t="shared" si="332"/>
        <v>0</v>
      </c>
      <c r="AL1558" s="1193">
        <f t="shared" si="333"/>
        <v>0</v>
      </c>
      <c r="AM1558" s="1193">
        <f t="shared" si="334"/>
        <v>0</v>
      </c>
      <c r="AN1558" s="1194" t="str">
        <f>VLOOKUP($I1558,'Price List, Weapons &amp; Items'!B:L,COLUMN('Price List, Weapons &amp; Items'!$J$11)-1,0)</f>
        <v>Contract</v>
      </c>
      <c r="AO1558" s="1194" t="str">
        <f>IF(I1558=".",".",VLOOKUP($I1558,'Price List, Weapons &amp; Items'!B:J,3,0))</f>
        <v>Armored Utility Vehicle (AUV)</v>
      </c>
      <c r="AP1558" s="1195" t="str">
        <f t="shared" ca="1" si="328"/>
        <v/>
      </c>
      <c r="AQ1558" s="1194">
        <f>VLOOKUP($I1558,'Price List, Weapons &amp; Items'!B:L,COLUMN('Price List, Weapons &amp; Items'!$L$11)-1,0)</f>
        <v>2</v>
      </c>
      <c r="AR1558" s="1194">
        <f t="shared" si="335"/>
        <v>1</v>
      </c>
      <c r="AS1558" s="1194">
        <f t="shared" si="336"/>
        <v>1</v>
      </c>
      <c r="AT1558" s="1194">
        <f t="shared" si="337"/>
        <v>1</v>
      </c>
      <c r="AU1558" s="1194" t="str">
        <f t="shared" si="326"/>
        <v>.</v>
      </c>
      <c r="AV1558" s="1194" t="str">
        <f t="shared" si="329"/>
        <v>.</v>
      </c>
      <c r="AW1558" s="1194" t="str">
        <f t="shared" si="338"/>
        <v>.</v>
      </c>
      <c r="AX1558" s="1194">
        <f>IFERROR(VLOOKUP(B1558,'Share, Heavy Weapons to Ukraine'!B:Z,COLUMN('Share, Heavy Weapons to Ukraine'!C1570)-1,0),0)</f>
        <v>1</v>
      </c>
      <c r="AY1558" s="1194">
        <f>VLOOKUP('Bilateral Assistance, MAIN DATA'!B1558,'Country Summary (€)'!B:F,COLUMN('Country Summary (€)'!C1571)-1,FALSE)</f>
        <v>0</v>
      </c>
      <c r="AZ1558" s="1194" t="str">
        <f>IF(AND(AD1558=1,D1558="Military",H1558&lt;&gt;"Not given")=TRUE,IF(SUMIFS(P:P,A:A,A1558)&gt;0,ABS((SUMIFS(P:P,A:A,A1558)/VLOOKUP("USD",'Exchange Rates'!B:C,2,0)))/S1558,"."),".")</f>
        <v>.</v>
      </c>
      <c r="BA1558" s="1196" t="str">
        <f>IF(AND(AD1558=1,D1558="Military",H1558&lt;&gt;"Not given")=TRUE,IF(SUMIFS(P:P,A:A,A1558)&gt;0,IF((ABS((SUMIFS(P:P,A:A,A1558)/VLOOKUP("USD",'Exchange Rates'!B:C,2,0)))/S1558)&gt;1,(SUMIFS(P:P,A:A,A1558)-S1558)/S1558,(S1558-SUMIFS(P:P,A:A,A1558))/SUMIFS(P:P,A:A,A1558)),"."),".")</f>
        <v>.</v>
      </c>
    </row>
    <row r="1559" spans="1:53" ht="15.95" customHeight="1">
      <c r="A1559" s="1182" t="s">
        <v>3987</v>
      </c>
      <c r="B1559" s="1208" t="s">
        <v>3949</v>
      </c>
      <c r="C1559" s="1220">
        <v>44792</v>
      </c>
      <c r="D1559" s="1208" t="s">
        <v>389</v>
      </c>
      <c r="E1559" s="1182" t="s">
        <v>1676</v>
      </c>
      <c r="F1559" s="1183" t="s">
        <v>4151</v>
      </c>
      <c r="G1559" s="1184" t="s">
        <v>456</v>
      </c>
      <c r="H1559" s="1221">
        <v>775000000</v>
      </c>
      <c r="I1559" s="1208" t="s">
        <v>4161</v>
      </c>
      <c r="J1559" s="1186" t="str">
        <f>VLOOKUP($I1559,'Price List, Weapons &amp; Items'!B:C,2,0)</f>
        <v>Ammunition for heavy weapon</v>
      </c>
      <c r="K1559" s="1186" t="str">
        <f>IF(I1559=".",I1559,VLOOKUP($I1559,'Price List, Weapons &amp; Items'!B:D,3,0))</f>
        <v>Missile</v>
      </c>
      <c r="L1559" s="1187">
        <f>VLOOKUP(I1559,'Price List, Weapons &amp; Items'!B:E,4,0)</f>
        <v>0</v>
      </c>
      <c r="M1559" s="1241" t="s">
        <v>374</v>
      </c>
      <c r="N1559" s="1188" t="s">
        <v>374</v>
      </c>
      <c r="O1559" s="1188">
        <f>VLOOKUP($I1559,'Price List, Weapons &amp; Items'!B:G,6,0)</f>
        <v>557000</v>
      </c>
      <c r="P1559" s="1185" t="str">
        <f t="shared" si="330"/>
        <v>.</v>
      </c>
      <c r="Q1559" s="1185" t="str">
        <f t="shared" si="331"/>
        <v>.</v>
      </c>
      <c r="R1559" s="1185" t="str">
        <f t="shared" si="327"/>
        <v/>
      </c>
      <c r="S1559" s="1185" t="str">
        <f>IF(AND(AD1559=1,R1559&lt;&gt;".")=TRUE,R1559/VLOOKUP(G1559,'Exchange Rates'!B:C,2,0),IF(R1559=".",".",""))</f>
        <v/>
      </c>
      <c r="T1559" s="1185" t="str">
        <f>IF(AD1559=1,IF(AF1559="Value is not given at all",".",IF(AF1559="Value is given by the source",S1559,IF(AF1559="Value is calculated with prices",(IF(SUMIFS(Q:Q,A:A,A1559)&gt;0,SUMIFS(Q:Q,A:A,A1559),"."))/VLOOKUP("USD",'Exchange Rates'!B:C,2,0),"Error with coding"))),"")</f>
        <v/>
      </c>
      <c r="U1559" s="1184" t="s">
        <v>365</v>
      </c>
      <c r="V1559" s="979" t="s">
        <v>4152</v>
      </c>
      <c r="W1559" s="973" t="s">
        <v>3955</v>
      </c>
      <c r="X1559" s="973" t="s">
        <v>3959</v>
      </c>
      <c r="Y1559" s="973" t="s">
        <v>4160</v>
      </c>
      <c r="Z1559" s="1191">
        <v>0</v>
      </c>
      <c r="AA1559" s="1194">
        <v>0</v>
      </c>
      <c r="AB1559" s="973" t="s">
        <v>4162</v>
      </c>
      <c r="AC1559" s="1192" t="str">
        <f>""</f>
        <v/>
      </c>
      <c r="AD1559" s="985">
        <v>0</v>
      </c>
      <c r="AE1559" s="1302" t="s">
        <v>368</v>
      </c>
      <c r="AF1559" s="1193" t="s">
        <v>368</v>
      </c>
      <c r="AG1559" s="985">
        <v>1</v>
      </c>
      <c r="AH1559" s="985">
        <v>8</v>
      </c>
      <c r="AI1559" s="985">
        <v>0</v>
      </c>
      <c r="AJ1559" s="1193">
        <f>VLOOKUP($I1559,'Price List, Weapons &amp; Items'!B:F,5,0)</f>
        <v>0</v>
      </c>
      <c r="AK1559" s="1193">
        <f t="shared" si="332"/>
        <v>0</v>
      </c>
      <c r="AL1559" s="1193">
        <f t="shared" si="333"/>
        <v>0</v>
      </c>
      <c r="AM1559" s="1193">
        <f t="shared" si="334"/>
        <v>0</v>
      </c>
      <c r="AN1559" s="1194" t="str">
        <f>VLOOKUP($I1559,'Price List, Weapons &amp; Items'!B:L,COLUMN('Price List, Weapons &amp; Items'!$J$11)-1,0)</f>
        <v>Miscellaneous</v>
      </c>
      <c r="AO1559" s="1194" t="str">
        <f>IF(I1559=".",".",VLOOKUP($I1559,'Price List, Weapons &amp; Items'!B:J,3,0))</f>
        <v>Missile</v>
      </c>
      <c r="AP1559" s="1195" t="str">
        <f t="shared" ca="1" si="328"/>
        <v/>
      </c>
      <c r="AQ1559" s="1194" t="str">
        <f>VLOOKUP($I1559,'Price List, Weapons &amp; Items'!B:L,COLUMN('Price List, Weapons &amp; Items'!$L$11)-1,0)</f>
        <v>no price, 0 count</v>
      </c>
      <c r="AR1559" s="1194">
        <f t="shared" si="335"/>
        <v>1</v>
      </c>
      <c r="AS1559" s="1194">
        <f t="shared" si="336"/>
        <v>1</v>
      </c>
      <c r="AT1559" s="1194">
        <f t="shared" si="337"/>
        <v>1</v>
      </c>
      <c r="AU1559" s="1194" t="str">
        <f t="shared" si="326"/>
        <v>.</v>
      </c>
      <c r="AV1559" s="1194" t="str">
        <f t="shared" si="329"/>
        <v>.</v>
      </c>
      <c r="AW1559" s="1194" t="str">
        <f t="shared" si="338"/>
        <v>.</v>
      </c>
      <c r="AX1559" s="1194">
        <f>IFERROR(VLOOKUP(B1559,'Share, Heavy Weapons to Ukraine'!B:Z,COLUMN('Share, Heavy Weapons to Ukraine'!C1571)-1,0),0)</f>
        <v>1</v>
      </c>
      <c r="AY1559" s="1194">
        <f>VLOOKUP('Bilateral Assistance, MAIN DATA'!B1559,'Country Summary (€)'!B:F,COLUMN('Country Summary (€)'!C1572)-1,FALSE)</f>
        <v>0</v>
      </c>
      <c r="AZ1559" s="1194" t="str">
        <f>IF(AND(AD1559=1,D1559="Military",H1559&lt;&gt;"Not given")=TRUE,IF(SUMIFS(P:P,A:A,A1559)&gt;0,ABS((SUMIFS(P:P,A:A,A1559)/VLOOKUP("USD",'Exchange Rates'!B:C,2,0)))/S1559,"."),".")</f>
        <v>.</v>
      </c>
      <c r="BA1559" s="1196" t="str">
        <f>IF(AND(AD1559=1,D1559="Military",H1559&lt;&gt;"Not given")=TRUE,IF(SUMIFS(P:P,A:A,A1559)&gt;0,IF((ABS((SUMIFS(P:P,A:A,A1559)/VLOOKUP("USD",'Exchange Rates'!B:C,2,0)))/S1559)&gt;1,(SUMIFS(P:P,A:A,A1559)-S1559)/S1559,(S1559-SUMIFS(P:P,A:A,A1559))/SUMIFS(P:P,A:A,A1559)),"."),".")</f>
        <v>.</v>
      </c>
    </row>
    <row r="1560" spans="1:53" ht="15.95" customHeight="1">
      <c r="A1560" s="1182" t="s">
        <v>3987</v>
      </c>
      <c r="B1560" s="1208" t="s">
        <v>3949</v>
      </c>
      <c r="C1560" s="1220">
        <v>44792</v>
      </c>
      <c r="D1560" s="1208" t="s">
        <v>389</v>
      </c>
      <c r="E1560" s="1182" t="s">
        <v>1676</v>
      </c>
      <c r="F1560" s="1183" t="s">
        <v>4151</v>
      </c>
      <c r="G1560" s="1184" t="s">
        <v>456</v>
      </c>
      <c r="H1560" s="1221">
        <v>775000000</v>
      </c>
      <c r="I1560" s="1208" t="s">
        <v>2637</v>
      </c>
      <c r="J1560" s="1186" t="str">
        <f>VLOOKUP($I1560,'Price List, Weapons &amp; Items'!B:C,2,0)</f>
        <v>Heavy weapon</v>
      </c>
      <c r="K1560" s="1186" t="str">
        <f>IF(I1560=".",I1560,VLOOKUP($I1560,'Price List, Weapons &amp; Items'!B:D,3,0))</f>
        <v>Armored Utility Vehicle (AUV)</v>
      </c>
      <c r="L1560" s="1187">
        <f>VLOOKUP(I1560,'Price List, Weapons &amp; Items'!B:E,4,0)</f>
        <v>0</v>
      </c>
      <c r="M1560" s="1241">
        <v>50</v>
      </c>
      <c r="N1560" s="1188">
        <v>50</v>
      </c>
      <c r="O1560" s="1188">
        <f>VLOOKUP($I1560,'Price List, Weapons &amp; Items'!B:G,6,0)</f>
        <v>254717</v>
      </c>
      <c r="P1560" s="1185">
        <f t="shared" si="330"/>
        <v>12735850</v>
      </c>
      <c r="Q1560" s="1185">
        <f t="shared" si="331"/>
        <v>12735850</v>
      </c>
      <c r="R1560" s="1185" t="str">
        <f t="shared" si="327"/>
        <v/>
      </c>
      <c r="S1560" s="1185" t="str">
        <f>IF(AND(AD1560=1,R1560&lt;&gt;".")=TRUE,R1560/VLOOKUP(G1560,'Exchange Rates'!B:C,2,0),IF(R1560=".",".",""))</f>
        <v/>
      </c>
      <c r="T1560" s="1185" t="str">
        <f>IF(AD1560=1,IF(AF1560="Value is not given at all",".",IF(AF1560="Value is given by the source",S1560,IF(AF1560="Value is calculated with prices",(IF(SUMIFS(Q:Q,A:A,A1560)&gt;0,SUMIFS(Q:Q,A:A,A1560),"."))/VLOOKUP("USD",'Exchange Rates'!B:C,2,0),"Error with coding"))),"")</f>
        <v/>
      </c>
      <c r="U1560" s="1184" t="s">
        <v>365</v>
      </c>
      <c r="V1560" s="979" t="s">
        <v>4152</v>
      </c>
      <c r="W1560" s="973" t="s">
        <v>3955</v>
      </c>
      <c r="X1560" s="973" t="s">
        <v>3959</v>
      </c>
      <c r="Y1560" s="973" t="s">
        <v>4162</v>
      </c>
      <c r="Z1560" s="1191">
        <v>0</v>
      </c>
      <c r="AA1560" s="1194">
        <v>0</v>
      </c>
      <c r="AB1560" s="973" t="s">
        <v>4163</v>
      </c>
      <c r="AC1560" s="1192" t="str">
        <f>""</f>
        <v/>
      </c>
      <c r="AD1560" s="985">
        <v>0</v>
      </c>
      <c r="AE1560" s="1302" t="s">
        <v>368</v>
      </c>
      <c r="AF1560" s="1193" t="s">
        <v>368</v>
      </c>
      <c r="AG1560" s="985">
        <v>1</v>
      </c>
      <c r="AH1560" s="985">
        <v>8</v>
      </c>
      <c r="AI1560" s="985">
        <v>0</v>
      </c>
      <c r="AJ1560" s="1193">
        <f>VLOOKUP($I1560,'Price List, Weapons &amp; Items'!B:F,5,0)</f>
        <v>1</v>
      </c>
      <c r="AK1560" s="1193">
        <f t="shared" si="332"/>
        <v>0</v>
      </c>
      <c r="AL1560" s="1193">
        <f t="shared" si="333"/>
        <v>0</v>
      </c>
      <c r="AM1560" s="1193">
        <f t="shared" si="334"/>
        <v>0</v>
      </c>
      <c r="AN1560" s="1194" t="str">
        <f>VLOOKUP($I1560,'Price List, Weapons &amp; Items'!B:L,COLUMN('Price List, Weapons &amp; Items'!$J$11)-1,0)</f>
        <v>Military media (incl. websites)</v>
      </c>
      <c r="AO1560" s="1194" t="str">
        <f>IF(I1560=".",".",VLOOKUP($I1560,'Price List, Weapons &amp; Items'!B:J,3,0))</f>
        <v>Armored Utility Vehicle (AUV)</v>
      </c>
      <c r="AP1560" s="1195" t="str">
        <f t="shared" ca="1" si="328"/>
        <v/>
      </c>
      <c r="AQ1560" s="1194">
        <f>VLOOKUP($I1560,'Price List, Weapons &amp; Items'!B:L,COLUMN('Price List, Weapons &amp; Items'!$L$11)-1,0)</f>
        <v>2</v>
      </c>
      <c r="AR1560" s="1194">
        <f t="shared" si="335"/>
        <v>1</v>
      </c>
      <c r="AS1560" s="1194">
        <f t="shared" si="336"/>
        <v>1</v>
      </c>
      <c r="AT1560" s="1194">
        <f t="shared" si="337"/>
        <v>1</v>
      </c>
      <c r="AU1560" s="1194" t="str">
        <f t="shared" si="326"/>
        <v>.</v>
      </c>
      <c r="AV1560" s="1194" t="str">
        <f t="shared" si="329"/>
        <v>.</v>
      </c>
      <c r="AW1560" s="1194" t="str">
        <f t="shared" si="338"/>
        <v>.</v>
      </c>
      <c r="AX1560" s="1194">
        <f>IFERROR(VLOOKUP(B1560,'Share, Heavy Weapons to Ukraine'!B:Z,COLUMN('Share, Heavy Weapons to Ukraine'!C1572)-1,0),0)</f>
        <v>1</v>
      </c>
      <c r="AY1560" s="1194">
        <f>VLOOKUP('Bilateral Assistance, MAIN DATA'!B1560,'Country Summary (€)'!B:F,COLUMN('Country Summary (€)'!C1573)-1,FALSE)</f>
        <v>0</v>
      </c>
      <c r="AZ1560" s="1194" t="str">
        <f>IF(AND(AD1560=1,D1560="Military",H1560&lt;&gt;"Not given")=TRUE,IF(SUMIFS(P:P,A:A,A1560)&gt;0,ABS((SUMIFS(P:P,A:A,A1560)/VLOOKUP("USD",'Exchange Rates'!B:C,2,0)))/S1560,"."),".")</f>
        <v>.</v>
      </c>
      <c r="BA1560" s="1196" t="str">
        <f>IF(AND(AD1560=1,D1560="Military",H1560&lt;&gt;"Not given")=TRUE,IF(SUMIFS(P:P,A:A,A1560)&gt;0,IF((ABS((SUMIFS(P:P,A:A,A1560)/VLOOKUP("USD",'Exchange Rates'!B:C,2,0)))/S1560)&gt;1,(SUMIFS(P:P,A:A,A1560)-S1560)/S1560,(S1560-SUMIFS(P:P,A:A,A1560))/SUMIFS(P:P,A:A,A1560)),"."),".")</f>
        <v>.</v>
      </c>
    </row>
    <row r="1561" spans="1:53" ht="15.95" customHeight="1">
      <c r="A1561" s="1182" t="s">
        <v>3987</v>
      </c>
      <c r="B1561" s="1208" t="s">
        <v>3949</v>
      </c>
      <c r="C1561" s="1220">
        <v>44792</v>
      </c>
      <c r="D1561" s="1208" t="s">
        <v>389</v>
      </c>
      <c r="E1561" s="1182" t="s">
        <v>1676</v>
      </c>
      <c r="F1561" s="1183" t="s">
        <v>4151</v>
      </c>
      <c r="G1561" s="1184" t="s">
        <v>456</v>
      </c>
      <c r="H1561" s="1221">
        <v>775000000</v>
      </c>
      <c r="I1561" s="1208" t="s">
        <v>4164</v>
      </c>
      <c r="J1561" s="1186" t="str">
        <f>VLOOKUP($I1561,'Price List, Weapons &amp; Items'!B:C,2,0)</f>
        <v>Ammunition for portable defence system</v>
      </c>
      <c r="K1561" s="1186" t="str">
        <f>IF(I1561=".",I1561,VLOOKUP($I1561,'Price List, Weapons &amp; Items'!B:D,3,0))</f>
        <v>Light Anti-armor Weapon (LAW) ammunition</v>
      </c>
      <c r="L1561" s="1187">
        <f>VLOOKUP(I1561,'Price List, Weapons &amp; Items'!B:E,4,0)</f>
        <v>0</v>
      </c>
      <c r="M1561" s="1241">
        <v>1500</v>
      </c>
      <c r="N1561" s="1188">
        <v>1500</v>
      </c>
      <c r="O1561" s="1188">
        <f>VLOOKUP($I1561,'Price List, Weapons &amp; Items'!B:G,6,0)</f>
        <v>93647</v>
      </c>
      <c r="P1561" s="1185">
        <f t="shared" si="330"/>
        <v>140470500</v>
      </c>
      <c r="Q1561" s="1185">
        <f t="shared" si="331"/>
        <v>140470500</v>
      </c>
      <c r="R1561" s="1185" t="str">
        <f t="shared" si="327"/>
        <v/>
      </c>
      <c r="S1561" s="1185" t="str">
        <f>IF(AND(AD1561=1,R1561&lt;&gt;".")=TRUE,R1561/VLOOKUP(G1561,'Exchange Rates'!B:C,2,0),IF(R1561=".",".",""))</f>
        <v/>
      </c>
      <c r="T1561" s="1185" t="str">
        <f>IF(AD1561=1,IF(AF1561="Value is not given at all",".",IF(AF1561="Value is given by the source",S1561,IF(AF1561="Value is calculated with prices",(IF(SUMIFS(Q:Q,A:A,A1561)&gt;0,SUMIFS(Q:Q,A:A,A1561),"."))/VLOOKUP("USD",'Exchange Rates'!B:C,2,0),"Error with coding"))),"")</f>
        <v/>
      </c>
      <c r="U1561" s="1184" t="s">
        <v>365</v>
      </c>
      <c r="V1561" s="979" t="s">
        <v>4152</v>
      </c>
      <c r="W1561" s="973" t="s">
        <v>3955</v>
      </c>
      <c r="X1561" s="973" t="s">
        <v>3959</v>
      </c>
      <c r="Y1561" s="973" t="s">
        <v>4163</v>
      </c>
      <c r="Z1561" s="1191">
        <v>0</v>
      </c>
      <c r="AA1561" s="1194">
        <v>0</v>
      </c>
      <c r="AB1561" s="973" t="s">
        <v>4165</v>
      </c>
      <c r="AC1561" s="1192" t="str">
        <f>""</f>
        <v/>
      </c>
      <c r="AD1561" s="985">
        <v>0</v>
      </c>
      <c r="AE1561" s="1302" t="s">
        <v>368</v>
      </c>
      <c r="AF1561" s="1193" t="s">
        <v>368</v>
      </c>
      <c r="AG1561" s="985">
        <v>1</v>
      </c>
      <c r="AH1561" s="985">
        <v>8</v>
      </c>
      <c r="AI1561" s="985">
        <v>0</v>
      </c>
      <c r="AJ1561" s="1193">
        <f>VLOOKUP($I1561,'Price List, Weapons &amp; Items'!B:F,5,0)</f>
        <v>0</v>
      </c>
      <c r="AK1561" s="1193">
        <f t="shared" si="332"/>
        <v>0</v>
      </c>
      <c r="AL1561" s="1193">
        <f t="shared" si="333"/>
        <v>0</v>
      </c>
      <c r="AM1561" s="1193">
        <f t="shared" si="334"/>
        <v>0</v>
      </c>
      <c r="AN1561" s="1194" t="str">
        <f>VLOOKUP($I1561,'Price List, Weapons &amp; Items'!B:L,COLUMN('Price List, Weapons &amp; Items'!$J$11)-1,0)</f>
        <v>Military media (incl. websites)</v>
      </c>
      <c r="AO1561" s="1194" t="str">
        <f>IF(I1561=".",".",VLOOKUP($I1561,'Price List, Weapons &amp; Items'!B:J,3,0))</f>
        <v>Light Anti-armor Weapon (LAW) ammunition</v>
      </c>
      <c r="AP1561" s="1195" t="str">
        <f t="shared" ca="1" si="328"/>
        <v/>
      </c>
      <c r="AQ1561" s="1194">
        <f>VLOOKUP($I1561,'Price List, Weapons &amp; Items'!B:L,COLUMN('Price List, Weapons &amp; Items'!$L$11)-1,0)</f>
        <v>2</v>
      </c>
      <c r="AR1561" s="1194">
        <f t="shared" si="335"/>
        <v>1</v>
      </c>
      <c r="AS1561" s="1194">
        <f t="shared" si="336"/>
        <v>1</v>
      </c>
      <c r="AT1561" s="1194">
        <f t="shared" si="337"/>
        <v>1</v>
      </c>
      <c r="AU1561" s="1194" t="str">
        <f t="shared" si="326"/>
        <v>.</v>
      </c>
      <c r="AV1561" s="1194" t="str">
        <f t="shared" si="329"/>
        <v>.</v>
      </c>
      <c r="AW1561" s="1194" t="str">
        <f t="shared" si="338"/>
        <v>.</v>
      </c>
      <c r="AX1561" s="1194">
        <f>IFERROR(VLOOKUP(B1561,'Share, Heavy Weapons to Ukraine'!B:Z,COLUMN('Share, Heavy Weapons to Ukraine'!C1573)-1,0),0)</f>
        <v>1</v>
      </c>
      <c r="AY1561" s="1194">
        <f>VLOOKUP('Bilateral Assistance, MAIN DATA'!B1561,'Country Summary (€)'!B:F,COLUMN('Country Summary (€)'!C1574)-1,FALSE)</f>
        <v>0</v>
      </c>
      <c r="AZ1561" s="1194" t="str">
        <f>IF(AND(AD1561=1,D1561="Military",H1561&lt;&gt;"Not given")=TRUE,IF(SUMIFS(P:P,A:A,A1561)&gt;0,ABS((SUMIFS(P:P,A:A,A1561)/VLOOKUP("USD",'Exchange Rates'!B:C,2,0)))/S1561,"."),".")</f>
        <v>.</v>
      </c>
      <c r="BA1561" s="1196" t="str">
        <f>IF(AND(AD1561=1,D1561="Military",H1561&lt;&gt;"Not given")=TRUE,IF(SUMIFS(P:P,A:A,A1561)&gt;0,IF((ABS((SUMIFS(P:P,A:A,A1561)/VLOOKUP("USD",'Exchange Rates'!B:C,2,0)))/S1561)&gt;1,(SUMIFS(P:P,A:A,A1561)-S1561)/S1561,(S1561-SUMIFS(P:P,A:A,A1561))/SUMIFS(P:P,A:A,A1561)),"."),".")</f>
        <v>.</v>
      </c>
    </row>
    <row r="1562" spans="1:53" ht="15.95" customHeight="1">
      <c r="A1562" s="1182" t="s">
        <v>3987</v>
      </c>
      <c r="B1562" s="1208" t="s">
        <v>3949</v>
      </c>
      <c r="C1562" s="1220">
        <v>44792</v>
      </c>
      <c r="D1562" s="1208" t="s">
        <v>389</v>
      </c>
      <c r="E1562" s="1182" t="s">
        <v>1676</v>
      </c>
      <c r="F1562" s="1183" t="s">
        <v>4151</v>
      </c>
      <c r="G1562" s="1184" t="s">
        <v>456</v>
      </c>
      <c r="H1562" s="1221">
        <v>775000000</v>
      </c>
      <c r="I1562" s="1208" t="s">
        <v>4166</v>
      </c>
      <c r="J1562" s="1186" t="str">
        <f>VLOOKUP($I1562,'Price List, Weapons &amp; Items'!B:C,2,0)</f>
        <v>Portable defence system</v>
      </c>
      <c r="K1562" s="1186" t="str">
        <f>IF(I1562=".",I1562,VLOOKUP($I1562,'Price List, Weapons &amp; Items'!B:D,3,0))</f>
        <v>Light Anti-armor Weapon (LAW)</v>
      </c>
      <c r="L1562" s="1187">
        <f>VLOOKUP(I1562,'Price List, Weapons &amp; Items'!B:E,4,0)</f>
        <v>0</v>
      </c>
      <c r="M1562" s="1241">
        <v>1000</v>
      </c>
      <c r="N1562" s="1188">
        <v>1000</v>
      </c>
      <c r="O1562" s="1188">
        <f>VLOOKUP($I1562,'Price List, Weapons &amp; Items'!B:G,6,0)</f>
        <v>246216</v>
      </c>
      <c r="P1562" s="1185">
        <f t="shared" si="330"/>
        <v>246216000</v>
      </c>
      <c r="Q1562" s="1185">
        <f t="shared" si="331"/>
        <v>246216000</v>
      </c>
      <c r="R1562" s="1185" t="str">
        <f t="shared" si="327"/>
        <v/>
      </c>
      <c r="S1562" s="1185" t="str">
        <f>IF(AND(AD1562=1,R1562&lt;&gt;".")=TRUE,R1562/VLOOKUP(G1562,'Exchange Rates'!B:C,2,0),IF(R1562=".",".",""))</f>
        <v/>
      </c>
      <c r="T1562" s="1185" t="str">
        <f>IF(AD1562=1,IF(AF1562="Value is not given at all",".",IF(AF1562="Value is given by the source",S1562,IF(AF1562="Value is calculated with prices",(IF(SUMIFS(Q:Q,A:A,A1562)&gt;0,SUMIFS(Q:Q,A:A,A1562),"."))/VLOOKUP("USD",'Exchange Rates'!B:C,2,0),"Error with coding"))),"")</f>
        <v/>
      </c>
      <c r="U1562" s="1184" t="s">
        <v>365</v>
      </c>
      <c r="V1562" s="979" t="s">
        <v>4152</v>
      </c>
      <c r="W1562" s="973" t="s">
        <v>3955</v>
      </c>
      <c r="X1562" s="973" t="s">
        <v>3959</v>
      </c>
      <c r="Y1562" s="973" t="s">
        <v>4165</v>
      </c>
      <c r="Z1562" s="1191">
        <v>0</v>
      </c>
      <c r="AA1562" s="1194">
        <v>0</v>
      </c>
      <c r="AB1562" s="973" t="s">
        <v>4167</v>
      </c>
      <c r="AC1562" s="1192" t="str">
        <f>""</f>
        <v/>
      </c>
      <c r="AD1562" s="985">
        <v>0</v>
      </c>
      <c r="AE1562" s="1302" t="s">
        <v>368</v>
      </c>
      <c r="AF1562" s="1193" t="s">
        <v>368</v>
      </c>
      <c r="AG1562" s="985">
        <v>1</v>
      </c>
      <c r="AH1562" s="985">
        <v>8</v>
      </c>
      <c r="AI1562" s="985">
        <v>0</v>
      </c>
      <c r="AJ1562" s="1193">
        <f>VLOOKUP($I1562,'Price List, Weapons &amp; Items'!B:F,5,0)</f>
        <v>0</v>
      </c>
      <c r="AK1562" s="1193">
        <f t="shared" si="332"/>
        <v>0</v>
      </c>
      <c r="AL1562" s="1193">
        <f t="shared" si="333"/>
        <v>0</v>
      </c>
      <c r="AM1562" s="1193">
        <f t="shared" si="334"/>
        <v>0</v>
      </c>
      <c r="AN1562" s="1194" t="str">
        <f>VLOOKUP($I1562,'Price List, Weapons &amp; Items'!B:L,COLUMN('Price List, Weapons &amp; Items'!$J$11)-1,0)</f>
        <v>Government information</v>
      </c>
      <c r="AO1562" s="1194" t="str">
        <f>IF(I1562=".",".",VLOOKUP($I1562,'Price List, Weapons &amp; Items'!B:J,3,0))</f>
        <v>Light Anti-armor Weapon (LAW)</v>
      </c>
      <c r="AP1562" s="1195" t="str">
        <f t="shared" ca="1" si="328"/>
        <v/>
      </c>
      <c r="AQ1562" s="1194">
        <f>VLOOKUP($I1562,'Price List, Weapons &amp; Items'!B:L,COLUMN('Price List, Weapons &amp; Items'!$L$11)-1,0)</f>
        <v>2</v>
      </c>
      <c r="AR1562" s="1194">
        <f t="shared" si="335"/>
        <v>1</v>
      </c>
      <c r="AS1562" s="1194">
        <f t="shared" si="336"/>
        <v>1</v>
      </c>
      <c r="AT1562" s="1194">
        <f t="shared" si="337"/>
        <v>1</v>
      </c>
      <c r="AU1562" s="1194" t="str">
        <f t="shared" si="326"/>
        <v>.</v>
      </c>
      <c r="AV1562" s="1194" t="str">
        <f t="shared" si="329"/>
        <v>.</v>
      </c>
      <c r="AW1562" s="1194" t="str">
        <f t="shared" si="338"/>
        <v>.</v>
      </c>
      <c r="AX1562" s="1194">
        <f>IFERROR(VLOOKUP(B1562,'Share, Heavy Weapons to Ukraine'!B:Z,COLUMN('Share, Heavy Weapons to Ukraine'!C1574)-1,0),0)</f>
        <v>1</v>
      </c>
      <c r="AY1562" s="1194">
        <f>VLOOKUP('Bilateral Assistance, MAIN DATA'!B1562,'Country Summary (€)'!B:F,COLUMN('Country Summary (€)'!C1575)-1,FALSE)</f>
        <v>0</v>
      </c>
      <c r="AZ1562" s="1194" t="str">
        <f>IF(AND(AD1562=1,D1562="Military",H1562&lt;&gt;"Not given")=TRUE,IF(SUMIFS(P:P,A:A,A1562)&gt;0,ABS((SUMIFS(P:P,A:A,A1562)/VLOOKUP("USD",'Exchange Rates'!B:C,2,0)))/S1562,"."),".")</f>
        <v>.</v>
      </c>
      <c r="BA1562" s="1196" t="str">
        <f>IF(AND(AD1562=1,D1562="Military",H1562&lt;&gt;"Not given")=TRUE,IF(SUMIFS(P:P,A:A,A1562)&gt;0,IF((ABS((SUMIFS(P:P,A:A,A1562)/VLOOKUP("USD",'Exchange Rates'!B:C,2,0)))/S1562)&gt;1,(SUMIFS(P:P,A:A,A1562)-S1562)/S1562,(S1562-SUMIFS(P:P,A:A,A1562))/SUMIFS(P:P,A:A,A1562)),"."),".")</f>
        <v>.</v>
      </c>
    </row>
    <row r="1563" spans="1:53" ht="15.95" customHeight="1">
      <c r="A1563" s="1182" t="s">
        <v>3987</v>
      </c>
      <c r="B1563" s="1208" t="s">
        <v>3949</v>
      </c>
      <c r="C1563" s="1220">
        <v>44792</v>
      </c>
      <c r="D1563" s="1208" t="s">
        <v>389</v>
      </c>
      <c r="E1563" s="1182" t="s">
        <v>1676</v>
      </c>
      <c r="F1563" s="1183" t="s">
        <v>4151</v>
      </c>
      <c r="G1563" s="1184" t="s">
        <v>456</v>
      </c>
      <c r="H1563" s="1221">
        <v>775000000</v>
      </c>
      <c r="I1563" s="1208" t="s">
        <v>4168</v>
      </c>
      <c r="J1563" s="1186" t="str">
        <f>VLOOKUP($I1563,'Price List, Weapons &amp; Items'!B:C,2,0)</f>
        <v>Ammunition for portable defence system</v>
      </c>
      <c r="K1563" s="1186" t="str">
        <f>IF(I1563=".",I1563,VLOOKUP($I1563,'Price List, Weapons &amp; Items'!B:D,3,0))</f>
        <v>Light Anti-armor Weapon (LAW) ammunition</v>
      </c>
      <c r="L1563" s="1187">
        <f>VLOOKUP(I1563,'Price List, Weapons &amp; Items'!B:E,4,0)</f>
        <v>0</v>
      </c>
      <c r="M1563" s="1241">
        <v>2000</v>
      </c>
      <c r="N1563" s="1188">
        <v>2000</v>
      </c>
      <c r="O1563" s="1188">
        <f>VLOOKUP($I1563,'Price List, Weapons &amp; Items'!B:G,6,0)</f>
        <v>78000</v>
      </c>
      <c r="P1563" s="1185">
        <f t="shared" si="330"/>
        <v>156000000</v>
      </c>
      <c r="Q1563" s="1185">
        <f t="shared" si="331"/>
        <v>156000000</v>
      </c>
      <c r="R1563" s="1185" t="str">
        <f t="shared" si="327"/>
        <v/>
      </c>
      <c r="S1563" s="1185" t="str">
        <f>IF(AND(AD1563=1,R1563&lt;&gt;".")=TRUE,R1563/VLOOKUP(G1563,'Exchange Rates'!B:C,2,0),IF(R1563=".",".",""))</f>
        <v/>
      </c>
      <c r="T1563" s="1185" t="str">
        <f>IF(AD1563=1,IF(AF1563="Value is not given at all",".",IF(AF1563="Value is given by the source",S1563,IF(AF1563="Value is calculated with prices",(IF(SUMIFS(Q:Q,A:A,A1563)&gt;0,SUMIFS(Q:Q,A:A,A1563),"."))/VLOOKUP("USD",'Exchange Rates'!B:C,2,0),"Error with coding"))),"")</f>
        <v/>
      </c>
      <c r="U1563" s="1184" t="s">
        <v>365</v>
      </c>
      <c r="V1563" s="979" t="s">
        <v>4152</v>
      </c>
      <c r="W1563" s="973" t="s">
        <v>3955</v>
      </c>
      <c r="X1563" s="973" t="s">
        <v>3959</v>
      </c>
      <c r="Y1563" s="973" t="s">
        <v>4167</v>
      </c>
      <c r="Z1563" s="1191">
        <v>0</v>
      </c>
      <c r="AA1563" s="1194">
        <v>0</v>
      </c>
      <c r="AB1563" s="973" t="s">
        <v>4169</v>
      </c>
      <c r="AC1563" s="1192" t="str">
        <f>""</f>
        <v/>
      </c>
      <c r="AD1563" s="985">
        <v>0</v>
      </c>
      <c r="AE1563" s="1302" t="s">
        <v>368</v>
      </c>
      <c r="AF1563" s="1193" t="s">
        <v>368</v>
      </c>
      <c r="AG1563" s="985">
        <v>1</v>
      </c>
      <c r="AH1563" s="985">
        <v>8</v>
      </c>
      <c r="AI1563" s="985">
        <v>0</v>
      </c>
      <c r="AJ1563" s="1193">
        <f>VLOOKUP($I1563,'Price List, Weapons &amp; Items'!B:F,5,0)</f>
        <v>0</v>
      </c>
      <c r="AK1563" s="1193">
        <f t="shared" si="332"/>
        <v>0</v>
      </c>
      <c r="AL1563" s="1193">
        <f t="shared" si="333"/>
        <v>0</v>
      </c>
      <c r="AM1563" s="1193">
        <f t="shared" si="334"/>
        <v>0</v>
      </c>
      <c r="AN1563" s="1194" t="str">
        <f>VLOOKUP($I1563,'Price List, Weapons &amp; Items'!B:L,COLUMN('Price List, Weapons &amp; Items'!$J$11)-1,0)</f>
        <v>Military media (incl. websites)</v>
      </c>
      <c r="AO1563" s="1194" t="str">
        <f>IF(I1563=".",".",VLOOKUP($I1563,'Price List, Weapons &amp; Items'!B:J,3,0))</f>
        <v>Light Anti-armor Weapon (LAW) ammunition</v>
      </c>
      <c r="AP1563" s="1195" t="str">
        <f t="shared" ca="1" si="328"/>
        <v/>
      </c>
      <c r="AQ1563" s="1194">
        <f>VLOOKUP($I1563,'Price List, Weapons &amp; Items'!B:L,COLUMN('Price List, Weapons &amp; Items'!$L$11)-1,0)</f>
        <v>2</v>
      </c>
      <c r="AR1563" s="1194">
        <f t="shared" si="335"/>
        <v>1</v>
      </c>
      <c r="AS1563" s="1194">
        <f t="shared" si="336"/>
        <v>1</v>
      </c>
      <c r="AT1563" s="1194">
        <f t="shared" si="337"/>
        <v>1</v>
      </c>
      <c r="AU1563" s="1194" t="str">
        <f t="shared" si="326"/>
        <v>.</v>
      </c>
      <c r="AV1563" s="1194" t="str">
        <f t="shared" si="329"/>
        <v>.</v>
      </c>
      <c r="AW1563" s="1194" t="str">
        <f t="shared" si="338"/>
        <v>.</v>
      </c>
      <c r="AX1563" s="1194">
        <f>IFERROR(VLOOKUP(B1563,'Share, Heavy Weapons to Ukraine'!B:Z,COLUMN('Share, Heavy Weapons to Ukraine'!C1575)-1,0),0)</f>
        <v>1</v>
      </c>
      <c r="AY1563" s="1194">
        <f>VLOOKUP('Bilateral Assistance, MAIN DATA'!B1563,'Country Summary (€)'!B:F,COLUMN('Country Summary (€)'!C1576)-1,FALSE)</f>
        <v>0</v>
      </c>
      <c r="AZ1563" s="1194" t="str">
        <f>IF(AND(AD1563=1,D1563="Military",H1563&lt;&gt;"Not given")=TRUE,IF(SUMIFS(P:P,A:A,A1563)&gt;0,ABS((SUMIFS(P:P,A:A,A1563)/VLOOKUP("USD",'Exchange Rates'!B:C,2,0)))/S1563,"."),".")</f>
        <v>.</v>
      </c>
      <c r="BA1563" s="1196" t="str">
        <f>IF(AND(AD1563=1,D1563="Military",H1563&lt;&gt;"Not given")=TRUE,IF(SUMIFS(P:P,A:A,A1563)&gt;0,IF((ABS((SUMIFS(P:P,A:A,A1563)/VLOOKUP("USD",'Exchange Rates'!B:C,2,0)))/S1563)&gt;1,(SUMIFS(P:P,A:A,A1563)-S1563)/S1563,(S1563-SUMIFS(P:P,A:A,A1563))/SUMIFS(P:P,A:A,A1563)),"."),".")</f>
        <v>.</v>
      </c>
    </row>
    <row r="1564" spans="1:53" ht="15.95" customHeight="1">
      <c r="A1564" s="1182" t="s">
        <v>3987</v>
      </c>
      <c r="B1564" s="1208" t="s">
        <v>3949</v>
      </c>
      <c r="C1564" s="1220">
        <v>44792</v>
      </c>
      <c r="D1564" s="1208" t="s">
        <v>389</v>
      </c>
      <c r="E1564" s="1182" t="s">
        <v>1676</v>
      </c>
      <c r="F1564" s="1183" t="s">
        <v>4151</v>
      </c>
      <c r="G1564" s="1184" t="s">
        <v>456</v>
      </c>
      <c r="H1564" s="1221">
        <v>775000000</v>
      </c>
      <c r="I1564" s="1208" t="s">
        <v>4170</v>
      </c>
      <c r="J1564" s="1186" t="str">
        <f>VLOOKUP($I1564,'Price List, Weapons &amp; Items'!B:C,2,0)</f>
        <v>Military equipment</v>
      </c>
      <c r="K1564" s="1186" t="str">
        <f>IF(I1564=".",I1564,VLOOKUP($I1564,'Price List, Weapons &amp; Items'!B:D,3,0))</f>
        <v>Military equipment</v>
      </c>
      <c r="L1564" s="1187">
        <f>VLOOKUP(I1564,'Price List, Weapons &amp; Items'!B:E,4,0)</f>
        <v>0</v>
      </c>
      <c r="M1564" s="1241" t="s">
        <v>374</v>
      </c>
      <c r="N1564" s="1188" t="s">
        <v>374</v>
      </c>
      <c r="O1564" s="1188" t="str">
        <f>VLOOKUP($I1564,'Price List, Weapons &amp; Items'!B:G,6,0)</f>
        <v>.</v>
      </c>
      <c r="P1564" s="1185" t="str">
        <f t="shared" si="330"/>
        <v>.</v>
      </c>
      <c r="Q1564" s="1185" t="str">
        <f t="shared" si="331"/>
        <v>.</v>
      </c>
      <c r="R1564" s="1185" t="str">
        <f t="shared" si="327"/>
        <v/>
      </c>
      <c r="S1564" s="1185" t="str">
        <f>IF(AND(AD1564=1,R1564&lt;&gt;".")=TRUE,R1564/VLOOKUP(G1564,'Exchange Rates'!B:C,2,0),IF(R1564=".",".",""))</f>
        <v/>
      </c>
      <c r="T1564" s="1185" t="str">
        <f>IF(AD1564=1,IF(AF1564="Value is not given at all",".",IF(AF1564="Value is given by the source",S1564,IF(AF1564="Value is calculated with prices",(IF(SUMIFS(Q:Q,A:A,A1564)&gt;0,SUMIFS(Q:Q,A:A,A1564),"."))/VLOOKUP("USD",'Exchange Rates'!B:C,2,0),"Error with coding"))),"")</f>
        <v/>
      </c>
      <c r="U1564" s="1184" t="s">
        <v>365</v>
      </c>
      <c r="V1564" s="979" t="s">
        <v>4152</v>
      </c>
      <c r="W1564" s="973" t="s">
        <v>3955</v>
      </c>
      <c r="X1564" s="973" t="s">
        <v>3959</v>
      </c>
      <c r="Y1564" s="973" t="s">
        <v>4169</v>
      </c>
      <c r="Z1564" s="1191">
        <v>0</v>
      </c>
      <c r="AA1564" s="1194">
        <v>0</v>
      </c>
      <c r="AB1564" s="973" t="s">
        <v>4171</v>
      </c>
      <c r="AC1564" s="1192" t="str">
        <f>""</f>
        <v/>
      </c>
      <c r="AD1564" s="985">
        <v>0</v>
      </c>
      <c r="AE1564" s="1302" t="s">
        <v>368</v>
      </c>
      <c r="AF1564" s="1193" t="s">
        <v>368</v>
      </c>
      <c r="AG1564" s="985">
        <v>1</v>
      </c>
      <c r="AH1564" s="985">
        <v>8</v>
      </c>
      <c r="AI1564" s="985">
        <v>0</v>
      </c>
      <c r="AJ1564" s="1193">
        <f>VLOOKUP($I1564,'Price List, Weapons &amp; Items'!B:F,5,0)</f>
        <v>0</v>
      </c>
      <c r="AK1564" s="1193">
        <f t="shared" si="332"/>
        <v>0</v>
      </c>
      <c r="AL1564" s="1193">
        <f t="shared" si="333"/>
        <v>0</v>
      </c>
      <c r="AM1564" s="1193">
        <f t="shared" si="334"/>
        <v>0</v>
      </c>
      <c r="AN1564" s="1194" t="str">
        <f>VLOOKUP($I1564,'Price List, Weapons &amp; Items'!B:L,COLUMN('Price List, Weapons &amp; Items'!$J$11)-1,0)</f>
        <v>.</v>
      </c>
      <c r="AO1564" s="1194" t="str">
        <f>IF(I1564=".",".",VLOOKUP($I1564,'Price List, Weapons &amp; Items'!B:J,3,0))</f>
        <v>Military equipment</v>
      </c>
      <c r="AP1564" s="1195" t="str">
        <f t="shared" ca="1" si="328"/>
        <v/>
      </c>
      <c r="AQ1564" s="1194" t="str">
        <f>VLOOKUP($I1564,'Price List, Weapons &amp; Items'!B:L,COLUMN('Price List, Weapons &amp; Items'!$L$11)-1,0)</f>
        <v>no price, 0 count</v>
      </c>
      <c r="AR1564" s="1194">
        <f t="shared" si="335"/>
        <v>1</v>
      </c>
      <c r="AS1564" s="1194">
        <f t="shared" si="336"/>
        <v>1</v>
      </c>
      <c r="AT1564" s="1194">
        <f t="shared" si="337"/>
        <v>1</v>
      </c>
      <c r="AU1564" s="1194" t="str">
        <f t="shared" si="326"/>
        <v>.</v>
      </c>
      <c r="AV1564" s="1194" t="str">
        <f t="shared" si="329"/>
        <v>.</v>
      </c>
      <c r="AW1564" s="1194" t="str">
        <f t="shared" si="338"/>
        <v>.</v>
      </c>
      <c r="AX1564" s="1194">
        <f>IFERROR(VLOOKUP(B1564,'Share, Heavy Weapons to Ukraine'!B:Z,COLUMN('Share, Heavy Weapons to Ukraine'!C1576)-1,0),0)</f>
        <v>1</v>
      </c>
      <c r="AY1564" s="1194">
        <f>VLOOKUP('Bilateral Assistance, MAIN DATA'!B1564,'Country Summary (€)'!B:F,COLUMN('Country Summary (€)'!C1577)-1,FALSE)</f>
        <v>0</v>
      </c>
      <c r="AZ1564" s="1194" t="str">
        <f>IF(AND(AD1564=1,D1564="Military",H1564&lt;&gt;"Not given")=TRUE,IF(SUMIFS(P:P,A:A,A1564)&gt;0,ABS((SUMIFS(P:P,A:A,A1564)/VLOOKUP("USD",'Exchange Rates'!B:C,2,0)))/S1564,"."),".")</f>
        <v>.</v>
      </c>
      <c r="BA1564" s="1196" t="str">
        <f>IF(AND(AD1564=1,D1564="Military",H1564&lt;&gt;"Not given")=TRUE,IF(SUMIFS(P:P,A:A,A1564)&gt;0,IF((ABS((SUMIFS(P:P,A:A,A1564)/VLOOKUP("USD",'Exchange Rates'!B:C,2,0)))/S1564)&gt;1,(SUMIFS(P:P,A:A,A1564)-S1564)/S1564,(S1564-SUMIFS(P:P,A:A,A1564))/SUMIFS(P:P,A:A,A1564)),"."),".")</f>
        <v>.</v>
      </c>
    </row>
    <row r="1565" spans="1:53" ht="15.95" customHeight="1">
      <c r="A1565" s="1182" t="s">
        <v>3987</v>
      </c>
      <c r="B1565" s="1208" t="s">
        <v>3949</v>
      </c>
      <c r="C1565" s="1220">
        <v>44792</v>
      </c>
      <c r="D1565" s="1208" t="s">
        <v>389</v>
      </c>
      <c r="E1565" s="1182" t="s">
        <v>1676</v>
      </c>
      <c r="F1565" s="1183" t="s">
        <v>4151</v>
      </c>
      <c r="G1565" s="1184" t="s">
        <v>456</v>
      </c>
      <c r="H1565" s="1221">
        <v>775000000</v>
      </c>
      <c r="I1565" s="1208" t="s">
        <v>4172</v>
      </c>
      <c r="J1565" s="1186" t="str">
        <f>VLOOKUP($I1565,'Price List, Weapons &amp; Items'!B:C,2,0)</f>
        <v>Military equipment</v>
      </c>
      <c r="K1565" s="1186" t="str">
        <f>IF(I1565=".",I1565,VLOOKUP($I1565,'Price List, Weapons &amp; Items'!B:D,3,0))</f>
        <v>Military equipment</v>
      </c>
      <c r="L1565" s="1187">
        <f>VLOOKUP(I1565,'Price List, Weapons &amp; Items'!B:E,4,0)</f>
        <v>0</v>
      </c>
      <c r="M1565" s="1241" t="s">
        <v>374</v>
      </c>
      <c r="N1565" s="1188" t="s">
        <v>374</v>
      </c>
      <c r="O1565" s="1188">
        <f>VLOOKUP($I1565,'Price List, Weapons &amp; Items'!B:G,6,0)</f>
        <v>90</v>
      </c>
      <c r="P1565" s="1185" t="str">
        <f t="shared" si="330"/>
        <v>.</v>
      </c>
      <c r="Q1565" s="1185" t="str">
        <f t="shared" si="331"/>
        <v>.</v>
      </c>
      <c r="R1565" s="1185" t="str">
        <f t="shared" si="327"/>
        <v/>
      </c>
      <c r="S1565" s="1185" t="str">
        <f>IF(AND(AD1565=1,R1565&lt;&gt;".")=TRUE,R1565/VLOOKUP(G1565,'Exchange Rates'!B:C,2,0),IF(R1565=".",".",""))</f>
        <v/>
      </c>
      <c r="T1565" s="1185" t="str">
        <f>IF(AD1565=1,IF(AF1565="Value is not given at all",".",IF(AF1565="Value is given by the source",S1565,IF(AF1565="Value is calculated with prices",(IF(SUMIFS(Q:Q,A:A,A1565)&gt;0,SUMIFS(Q:Q,A:A,A1565),"."))/VLOOKUP("USD",'Exchange Rates'!B:C,2,0),"Error with coding"))),"")</f>
        <v/>
      </c>
      <c r="U1565" s="1184" t="s">
        <v>365</v>
      </c>
      <c r="V1565" s="979" t="s">
        <v>4152</v>
      </c>
      <c r="W1565" s="973" t="s">
        <v>3955</v>
      </c>
      <c r="X1565" s="973" t="s">
        <v>3959</v>
      </c>
      <c r="Y1565" s="973" t="s">
        <v>4171</v>
      </c>
      <c r="Z1565" s="1191">
        <v>0</v>
      </c>
      <c r="AA1565" s="1194">
        <v>0</v>
      </c>
      <c r="AB1565" s="973" t="s">
        <v>4173</v>
      </c>
      <c r="AC1565" s="1192" t="str">
        <f>""</f>
        <v/>
      </c>
      <c r="AD1565" s="985">
        <v>0</v>
      </c>
      <c r="AE1565" s="1302" t="s">
        <v>368</v>
      </c>
      <c r="AF1565" s="1193" t="s">
        <v>368</v>
      </c>
      <c r="AG1565" s="985">
        <v>1</v>
      </c>
      <c r="AH1565" s="985">
        <v>8</v>
      </c>
      <c r="AI1565" s="985">
        <v>0</v>
      </c>
      <c r="AJ1565" s="1193">
        <f>VLOOKUP($I1565,'Price List, Weapons &amp; Items'!B:F,5,0)</f>
        <v>0</v>
      </c>
      <c r="AK1565" s="1193">
        <f t="shared" si="332"/>
        <v>0</v>
      </c>
      <c r="AL1565" s="1193">
        <f t="shared" si="333"/>
        <v>0</v>
      </c>
      <c r="AM1565" s="1193">
        <f t="shared" si="334"/>
        <v>0</v>
      </c>
      <c r="AN1565" s="1194" t="str">
        <f>VLOOKUP($I1565,'Price List, Weapons &amp; Items'!B:L,COLUMN('Price List, Weapons &amp; Items'!$J$11)-1,0)</f>
        <v>Media reports (incl. social media)</v>
      </c>
      <c r="AO1565" s="1194" t="str">
        <f>IF(I1565=".",".",VLOOKUP($I1565,'Price List, Weapons &amp; Items'!B:J,3,0))</f>
        <v>Military equipment</v>
      </c>
      <c r="AP1565" s="1195" t="str">
        <f t="shared" ca="1" si="328"/>
        <v/>
      </c>
      <c r="AQ1565" s="1194" t="str">
        <f>VLOOKUP($I1565,'Price List, Weapons &amp; Items'!B:L,COLUMN('Price List, Weapons &amp; Items'!$L$11)-1,0)</f>
        <v>no price, 0 count</v>
      </c>
      <c r="AR1565" s="1194">
        <f t="shared" si="335"/>
        <v>1</v>
      </c>
      <c r="AS1565" s="1194">
        <f t="shared" si="336"/>
        <v>1</v>
      </c>
      <c r="AT1565" s="1194">
        <f t="shared" si="337"/>
        <v>1</v>
      </c>
      <c r="AU1565" s="1194" t="str">
        <f t="shared" si="326"/>
        <v>.</v>
      </c>
      <c r="AV1565" s="1194" t="str">
        <f t="shared" si="329"/>
        <v>.</v>
      </c>
      <c r="AW1565" s="1194" t="str">
        <f t="shared" si="338"/>
        <v>.</v>
      </c>
      <c r="AX1565" s="1194">
        <f>IFERROR(VLOOKUP(B1565,'Share, Heavy Weapons to Ukraine'!B:Z,COLUMN('Share, Heavy Weapons to Ukraine'!C1577)-1,0),0)</f>
        <v>1</v>
      </c>
      <c r="AY1565" s="1194">
        <f>VLOOKUP('Bilateral Assistance, MAIN DATA'!B1565,'Country Summary (€)'!B:F,COLUMN('Country Summary (€)'!C1578)-1,FALSE)</f>
        <v>0</v>
      </c>
      <c r="AZ1565" s="1194" t="str">
        <f>IF(AND(AD1565=1,D1565="Military",H1565&lt;&gt;"Not given")=TRUE,IF(SUMIFS(P:P,A:A,A1565)&gt;0,ABS((SUMIFS(P:P,A:A,A1565)/VLOOKUP("USD",'Exchange Rates'!B:C,2,0)))/S1565,"."),".")</f>
        <v>.</v>
      </c>
      <c r="BA1565" s="1196" t="str">
        <f>IF(AND(AD1565=1,D1565="Military",H1565&lt;&gt;"Not given")=TRUE,IF(SUMIFS(P:P,A:A,A1565)&gt;0,IF((ABS((SUMIFS(P:P,A:A,A1565)/VLOOKUP("USD",'Exchange Rates'!B:C,2,0)))/S1565)&gt;1,(SUMIFS(P:P,A:A,A1565)-S1565)/S1565,(S1565-SUMIFS(P:P,A:A,A1565))/SUMIFS(P:P,A:A,A1565)),"."),".")</f>
        <v>.</v>
      </c>
    </row>
    <row r="1566" spans="1:53" ht="15.95" customHeight="1">
      <c r="A1566" s="1182" t="s">
        <v>3987</v>
      </c>
      <c r="B1566" s="1208" t="s">
        <v>3949</v>
      </c>
      <c r="C1566" s="1220">
        <v>44792</v>
      </c>
      <c r="D1566" s="1208" t="s">
        <v>389</v>
      </c>
      <c r="E1566" s="1182" t="s">
        <v>1676</v>
      </c>
      <c r="F1566" s="1183" t="s">
        <v>4151</v>
      </c>
      <c r="G1566" s="1184" t="s">
        <v>456</v>
      </c>
      <c r="H1566" s="1221">
        <v>775000000</v>
      </c>
      <c r="I1566" s="1208" t="s">
        <v>2635</v>
      </c>
      <c r="J1566" s="1186" t="str">
        <f>VLOOKUP($I1566,'Price List, Weapons &amp; Items'!B:C,2,0)</f>
        <v>Military equipment</v>
      </c>
      <c r="K1566" s="1186" t="str">
        <f>IF(I1566=".",I1566,VLOOKUP($I1566,'Price List, Weapons &amp; Items'!B:D,3,0))</f>
        <v>Military equipment</v>
      </c>
      <c r="L1566" s="1187">
        <f>VLOOKUP(I1566,'Price List, Weapons &amp; Items'!B:E,4,0)</f>
        <v>0</v>
      </c>
      <c r="M1566" s="1241" t="s">
        <v>374</v>
      </c>
      <c r="N1566" s="1188" t="s">
        <v>374</v>
      </c>
      <c r="O1566" s="1188" t="str">
        <f>VLOOKUP($I1566,'Price List, Weapons &amp; Items'!B:G,6,0)</f>
        <v>.</v>
      </c>
      <c r="P1566" s="1185" t="str">
        <f t="shared" si="330"/>
        <v>.</v>
      </c>
      <c r="Q1566" s="1185" t="str">
        <f t="shared" si="331"/>
        <v>.</v>
      </c>
      <c r="R1566" s="1185" t="str">
        <f t="shared" si="327"/>
        <v/>
      </c>
      <c r="S1566" s="1185" t="str">
        <f>IF(AND(AD1566=1,R1566&lt;&gt;".")=TRUE,R1566/VLOOKUP(G1566,'Exchange Rates'!B:C,2,0),IF(R1566=".",".",""))</f>
        <v/>
      </c>
      <c r="T1566" s="1185" t="str">
        <f>IF(AD1566=1,IF(AF1566="Value is not given at all",".",IF(AF1566="Value is given by the source",S1566,IF(AF1566="Value is calculated with prices",(IF(SUMIFS(Q:Q,A:A,A1566)&gt;0,SUMIFS(Q:Q,A:A,A1566),"."))/VLOOKUP("USD",'Exchange Rates'!B:C,2,0),"Error with coding"))),"")</f>
        <v/>
      </c>
      <c r="U1566" s="1184" t="s">
        <v>365</v>
      </c>
      <c r="V1566" s="979" t="s">
        <v>4152</v>
      </c>
      <c r="W1566" s="973" t="s">
        <v>3955</v>
      </c>
      <c r="X1566" s="973" t="s">
        <v>3959</v>
      </c>
      <c r="Y1566" s="973" t="s">
        <v>4173</v>
      </c>
      <c r="Z1566" s="1191">
        <v>0</v>
      </c>
      <c r="AA1566" s="1194">
        <v>0</v>
      </c>
      <c r="AB1566" s="973" t="s">
        <v>4174</v>
      </c>
      <c r="AC1566" s="1192" t="str">
        <f>""</f>
        <v/>
      </c>
      <c r="AD1566" s="985">
        <v>0</v>
      </c>
      <c r="AE1566" s="1302" t="s">
        <v>368</v>
      </c>
      <c r="AF1566" s="1193" t="s">
        <v>368</v>
      </c>
      <c r="AG1566" s="985">
        <v>1</v>
      </c>
      <c r="AH1566" s="985">
        <v>8</v>
      </c>
      <c r="AI1566" s="985">
        <v>0</v>
      </c>
      <c r="AJ1566" s="1193">
        <f>VLOOKUP($I1566,'Price List, Weapons &amp; Items'!B:F,5,0)</f>
        <v>0</v>
      </c>
      <c r="AK1566" s="1193">
        <f t="shared" si="332"/>
        <v>0</v>
      </c>
      <c r="AL1566" s="1193">
        <f t="shared" si="333"/>
        <v>0</v>
      </c>
      <c r="AM1566" s="1193">
        <f t="shared" si="334"/>
        <v>0</v>
      </c>
      <c r="AN1566" s="1194" t="str">
        <f>VLOOKUP($I1566,'Price List, Weapons &amp; Items'!B:L,COLUMN('Price List, Weapons &amp; Items'!$J$11)-1,0)</f>
        <v>.</v>
      </c>
      <c r="AO1566" s="1194" t="str">
        <f>IF(I1566=".",".",VLOOKUP($I1566,'Price List, Weapons &amp; Items'!B:J,3,0))</f>
        <v>Military equipment</v>
      </c>
      <c r="AP1566" s="1195" t="str">
        <f t="shared" ca="1" si="328"/>
        <v/>
      </c>
      <c r="AQ1566" s="1194">
        <f>VLOOKUP($I1566,'Price List, Weapons &amp; Items'!B:L,COLUMN('Price List, Weapons &amp; Items'!$L$11)-1,0)</f>
        <v>0</v>
      </c>
      <c r="AR1566" s="1194">
        <f t="shared" si="335"/>
        <v>1</v>
      </c>
      <c r="AS1566" s="1194">
        <f t="shared" si="336"/>
        <v>1</v>
      </c>
      <c r="AT1566" s="1194">
        <f t="shared" si="337"/>
        <v>1</v>
      </c>
      <c r="AU1566" s="1194" t="str">
        <f t="shared" si="326"/>
        <v>.</v>
      </c>
      <c r="AV1566" s="1194" t="str">
        <f t="shared" si="329"/>
        <v>.</v>
      </c>
      <c r="AW1566" s="1194" t="str">
        <f t="shared" si="338"/>
        <v>.</v>
      </c>
      <c r="AX1566" s="1194">
        <f>IFERROR(VLOOKUP(B1566,'Share, Heavy Weapons to Ukraine'!B:Z,COLUMN('Share, Heavy Weapons to Ukraine'!C1578)-1,0),0)</f>
        <v>1</v>
      </c>
      <c r="AY1566" s="1194">
        <f>VLOOKUP('Bilateral Assistance, MAIN DATA'!B1566,'Country Summary (€)'!B:F,COLUMN('Country Summary (€)'!C1579)-1,FALSE)</f>
        <v>0</v>
      </c>
      <c r="AZ1566" s="1194" t="str">
        <f>IF(AND(AD1566=1,D1566="Military",H1566&lt;&gt;"Not given")=TRUE,IF(SUMIFS(P:P,A:A,A1566)&gt;0,ABS((SUMIFS(P:P,A:A,A1566)/VLOOKUP("USD",'Exchange Rates'!B:C,2,0)))/S1566,"."),".")</f>
        <v>.</v>
      </c>
      <c r="BA1566" s="1196" t="str">
        <f>IF(AND(AD1566=1,D1566="Military",H1566&lt;&gt;"Not given")=TRUE,IF(SUMIFS(P:P,A:A,A1566)&gt;0,IF((ABS((SUMIFS(P:P,A:A,A1566)/VLOOKUP("USD",'Exchange Rates'!B:C,2,0)))/S1566)&gt;1,(SUMIFS(P:P,A:A,A1566)-S1566)/S1566,(S1566-SUMIFS(P:P,A:A,A1566))/SUMIFS(P:P,A:A,A1566)),"."),".")</f>
        <v>.</v>
      </c>
    </row>
    <row r="1567" spans="1:53" ht="15.95" customHeight="1">
      <c r="A1567" s="1182" t="s">
        <v>3987</v>
      </c>
      <c r="B1567" s="1208" t="s">
        <v>3949</v>
      </c>
      <c r="C1567" s="1220">
        <v>44792</v>
      </c>
      <c r="D1567" s="1208" t="s">
        <v>389</v>
      </c>
      <c r="E1567" s="1182" t="s">
        <v>1676</v>
      </c>
      <c r="F1567" s="1183" t="s">
        <v>4151</v>
      </c>
      <c r="G1567" s="1184" t="s">
        <v>456</v>
      </c>
      <c r="H1567" s="1221">
        <v>775000000</v>
      </c>
      <c r="I1567" s="1208" t="s">
        <v>1405</v>
      </c>
      <c r="J1567" s="1186" t="str">
        <f>VLOOKUP($I1567,'Price List, Weapons &amp; Items'!B:C,2,0)</f>
        <v>Military equipment</v>
      </c>
      <c r="K1567" s="1186" t="str">
        <f>IF(I1567=".",I1567,VLOOKUP($I1567,'Price List, Weapons &amp; Items'!B:D,3,0))</f>
        <v>Military equipment</v>
      </c>
      <c r="L1567" s="1187">
        <f>VLOOKUP(I1567,'Price List, Weapons &amp; Items'!B:E,4,0)</f>
        <v>0</v>
      </c>
      <c r="M1567" s="1241" t="s">
        <v>374</v>
      </c>
      <c r="N1567" s="1188" t="s">
        <v>374</v>
      </c>
      <c r="O1567" s="1188">
        <f>VLOOKUP($I1567,'Price List, Weapons &amp; Items'!B:G,6,0)</f>
        <v>2320</v>
      </c>
      <c r="P1567" s="1185" t="str">
        <f t="shared" si="330"/>
        <v>.</v>
      </c>
      <c r="Q1567" s="1185" t="str">
        <f t="shared" si="331"/>
        <v>.</v>
      </c>
      <c r="R1567" s="1185" t="str">
        <f t="shared" si="327"/>
        <v/>
      </c>
      <c r="S1567" s="1185" t="str">
        <f>IF(AND(AD1567=1,R1567&lt;&gt;".")=TRUE,R1567/VLOOKUP(G1567,'Exchange Rates'!B:C,2,0),IF(R1567=".",".",""))</f>
        <v/>
      </c>
      <c r="T1567" s="1185" t="str">
        <f>IF(AD1567=1,IF(AF1567="Value is not given at all",".",IF(AF1567="Value is given by the source",S1567,IF(AF1567="Value is calculated with prices",(IF(SUMIFS(Q:Q,A:A,A1567)&gt;0,SUMIFS(Q:Q,A:A,A1567),"."))/VLOOKUP("USD",'Exchange Rates'!B:C,2,0),"Error with coding"))),"")</f>
        <v/>
      </c>
      <c r="U1567" s="1184" t="s">
        <v>365</v>
      </c>
      <c r="V1567" s="979" t="s">
        <v>4152</v>
      </c>
      <c r="W1567" s="973" t="s">
        <v>3955</v>
      </c>
      <c r="X1567" s="973" t="s">
        <v>3959</v>
      </c>
      <c r="Y1567" s="973" t="s">
        <v>4174</v>
      </c>
      <c r="Z1567" s="1191">
        <v>0</v>
      </c>
      <c r="AA1567" s="1194">
        <v>0</v>
      </c>
      <c r="AB1567" s="973" t="s">
        <v>4175</v>
      </c>
      <c r="AC1567" s="1192" t="str">
        <f>""</f>
        <v/>
      </c>
      <c r="AD1567" s="985">
        <v>0</v>
      </c>
      <c r="AE1567" s="1302" t="s">
        <v>368</v>
      </c>
      <c r="AF1567" s="1193" t="s">
        <v>368</v>
      </c>
      <c r="AG1567" s="985">
        <v>1</v>
      </c>
      <c r="AH1567" s="985">
        <v>8</v>
      </c>
      <c r="AI1567" s="985">
        <v>0</v>
      </c>
      <c r="AJ1567" s="1193">
        <f>VLOOKUP($I1567,'Price List, Weapons &amp; Items'!B:F,5,0)</f>
        <v>0</v>
      </c>
      <c r="AK1567" s="1193">
        <f t="shared" si="332"/>
        <v>0</v>
      </c>
      <c r="AL1567" s="1193">
        <f t="shared" si="333"/>
        <v>0</v>
      </c>
      <c r="AM1567" s="1193">
        <f t="shared" si="334"/>
        <v>0</v>
      </c>
      <c r="AN1567" s="1194" t="str">
        <f>VLOOKUP($I1567,'Price List, Weapons &amp; Items'!B:L,COLUMN('Price List, Weapons &amp; Items'!$J$11)-1,0)</f>
        <v>Media reports (incl. social media)</v>
      </c>
      <c r="AO1567" s="1194" t="str">
        <f>IF(I1567=".",".",VLOOKUP($I1567,'Price List, Weapons &amp; Items'!B:J,3,0))</f>
        <v>Military equipment</v>
      </c>
      <c r="AP1567" s="1195" t="str">
        <f t="shared" ca="1" si="328"/>
        <v/>
      </c>
      <c r="AQ1567" s="1194">
        <f>VLOOKUP($I1567,'Price List, Weapons &amp; Items'!B:L,COLUMN('Price List, Weapons &amp; Items'!$L$11)-1,0)</f>
        <v>2</v>
      </c>
      <c r="AR1567" s="1194">
        <f t="shared" si="335"/>
        <v>1</v>
      </c>
      <c r="AS1567" s="1194">
        <f t="shared" si="336"/>
        <v>1</v>
      </c>
      <c r="AT1567" s="1194">
        <f t="shared" si="337"/>
        <v>1</v>
      </c>
      <c r="AU1567" s="1194" t="str">
        <f t="shared" ref="AU1567:AU1597" si="339">IF(AND(A1567=A1566,C1567=C1566)=TRUE,IF(F1567=F1566,".","1"),".")</f>
        <v>.</v>
      </c>
      <c r="AV1567" s="1194" t="str">
        <f t="shared" si="329"/>
        <v>.</v>
      </c>
      <c r="AW1567" s="1194" t="str">
        <f t="shared" si="338"/>
        <v>.</v>
      </c>
      <c r="AX1567" s="1194">
        <f>IFERROR(VLOOKUP(B1567,'Share, Heavy Weapons to Ukraine'!B:Z,COLUMN('Share, Heavy Weapons to Ukraine'!C1579)-1,0),0)</f>
        <v>1</v>
      </c>
      <c r="AY1567" s="1194">
        <f>VLOOKUP('Bilateral Assistance, MAIN DATA'!B1567,'Country Summary (€)'!B:F,COLUMN('Country Summary (€)'!C1580)-1,FALSE)</f>
        <v>0</v>
      </c>
      <c r="AZ1567" s="1194" t="str">
        <f>IF(AND(AD1567=1,D1567="Military",H1567&lt;&gt;"Not given")=TRUE,IF(SUMIFS(P:P,A:A,A1567)&gt;0,ABS((SUMIFS(P:P,A:A,A1567)/VLOOKUP("USD",'Exchange Rates'!B:C,2,0)))/S1567,"."),".")</f>
        <v>.</v>
      </c>
      <c r="BA1567" s="1196" t="str">
        <f>IF(AND(AD1567=1,D1567="Military",H1567&lt;&gt;"Not given")=TRUE,IF(SUMIFS(P:P,A:A,A1567)&gt;0,IF((ABS((SUMIFS(P:P,A:A,A1567)/VLOOKUP("USD",'Exchange Rates'!B:C,2,0)))/S1567)&gt;1,(SUMIFS(P:P,A:A,A1567)-S1567)/S1567,(S1567-SUMIFS(P:P,A:A,A1567))/SUMIFS(P:P,A:A,A1567)),"."),".")</f>
        <v>.</v>
      </c>
    </row>
    <row r="1568" spans="1:53" ht="15.95" customHeight="1">
      <c r="A1568" s="1182" t="s">
        <v>3987</v>
      </c>
      <c r="B1568" s="1208" t="s">
        <v>3949</v>
      </c>
      <c r="C1568" s="1220">
        <v>44792</v>
      </c>
      <c r="D1568" s="1208" t="s">
        <v>389</v>
      </c>
      <c r="E1568" s="1182" t="s">
        <v>1676</v>
      </c>
      <c r="F1568" s="1183" t="s">
        <v>4151</v>
      </c>
      <c r="G1568" s="1184" t="s">
        <v>456</v>
      </c>
      <c r="H1568" s="1221">
        <v>775000000</v>
      </c>
      <c r="I1568" s="1208" t="s">
        <v>2548</v>
      </c>
      <c r="J1568" s="1186" t="str">
        <f>VLOOKUP($I1568,'Price List, Weapons &amp; Items'!B:C,2,0)</f>
        <v>Military equipment</v>
      </c>
      <c r="K1568" s="1186" t="str">
        <f>IF(I1568=".",I1568,VLOOKUP($I1568,'Price List, Weapons &amp; Items'!B:D,3,0))</f>
        <v>Military equipment</v>
      </c>
      <c r="L1568" s="1187">
        <f>VLOOKUP(I1568,'Price List, Weapons &amp; Items'!B:E,4,0)</f>
        <v>0</v>
      </c>
      <c r="M1568" s="1241" t="s">
        <v>374</v>
      </c>
      <c r="N1568" s="1188" t="s">
        <v>374</v>
      </c>
      <c r="O1568" s="1188">
        <f>VLOOKUP($I1568,'Price List, Weapons &amp; Items'!B:G,6,0)</f>
        <v>5000</v>
      </c>
      <c r="P1568" s="1185" t="str">
        <f t="shared" si="330"/>
        <v>.</v>
      </c>
      <c r="Q1568" s="1185" t="str">
        <f t="shared" si="331"/>
        <v>.</v>
      </c>
      <c r="R1568" s="1185" t="str">
        <f t="shared" si="327"/>
        <v/>
      </c>
      <c r="S1568" s="1185" t="str">
        <f>IF(AND(AD1568=1,R1568&lt;&gt;".")=TRUE,R1568/VLOOKUP(G1568,'Exchange Rates'!B:C,2,0),IF(R1568=".",".",""))</f>
        <v/>
      </c>
      <c r="T1568" s="1185" t="str">
        <f>IF(AD1568=1,IF(AF1568="Value is not given at all",".",IF(AF1568="Value is given by the source",S1568,IF(AF1568="Value is calculated with prices",(IF(SUMIFS(Q:Q,A:A,A1568)&gt;0,SUMIFS(Q:Q,A:A,A1568),"."))/VLOOKUP("USD",'Exchange Rates'!B:C,2,0),"Error with coding"))),"")</f>
        <v/>
      </c>
      <c r="U1568" s="1184" t="s">
        <v>365</v>
      </c>
      <c r="V1568" s="979" t="s">
        <v>4152</v>
      </c>
      <c r="W1568" s="973" t="s">
        <v>3955</v>
      </c>
      <c r="X1568" s="973" t="s">
        <v>3959</v>
      </c>
      <c r="Y1568" s="973" t="s">
        <v>4175</v>
      </c>
      <c r="Z1568" s="1191">
        <v>0</v>
      </c>
      <c r="AA1568" s="1194">
        <v>0</v>
      </c>
      <c r="AB1568" s="973" t="s">
        <v>4176</v>
      </c>
      <c r="AC1568" s="1192" t="str">
        <f>""</f>
        <v/>
      </c>
      <c r="AD1568" s="985">
        <v>0</v>
      </c>
      <c r="AE1568" s="1302" t="s">
        <v>368</v>
      </c>
      <c r="AF1568" s="1193" t="s">
        <v>368</v>
      </c>
      <c r="AG1568" s="985">
        <v>1</v>
      </c>
      <c r="AH1568" s="985">
        <v>8</v>
      </c>
      <c r="AI1568" s="985">
        <v>0</v>
      </c>
      <c r="AJ1568" s="1193">
        <f>VLOOKUP($I1568,'Price List, Weapons &amp; Items'!B:F,5,0)</f>
        <v>0</v>
      </c>
      <c r="AK1568" s="1193">
        <f t="shared" si="332"/>
        <v>0</v>
      </c>
      <c r="AL1568" s="1193">
        <f t="shared" si="333"/>
        <v>0</v>
      </c>
      <c r="AM1568" s="1193">
        <f t="shared" si="334"/>
        <v>0</v>
      </c>
      <c r="AN1568" s="1194" t="str">
        <f>VLOOKUP($I1568,'Price List, Weapons &amp; Items'!B:L,COLUMN('Price List, Weapons &amp; Items'!$J$11)-1,0)</f>
        <v>Miscellaneous</v>
      </c>
      <c r="AO1568" s="1194" t="str">
        <f>IF(I1568=".",".",VLOOKUP($I1568,'Price List, Weapons &amp; Items'!B:J,3,0))</f>
        <v>Military equipment</v>
      </c>
      <c r="AP1568" s="1195" t="str">
        <f t="shared" ca="1" si="328"/>
        <v/>
      </c>
      <c r="AQ1568" s="1194" t="str">
        <f>VLOOKUP($I1568,'Price List, Weapons &amp; Items'!B:L,COLUMN('Price List, Weapons &amp; Items'!$L$11)-1,0)</f>
        <v>no price, 0 count</v>
      </c>
      <c r="AR1568" s="1194">
        <f t="shared" si="335"/>
        <v>1</v>
      </c>
      <c r="AS1568" s="1194">
        <f t="shared" si="336"/>
        <v>1</v>
      </c>
      <c r="AT1568" s="1194">
        <f t="shared" si="337"/>
        <v>1</v>
      </c>
      <c r="AU1568" s="1194" t="str">
        <f t="shared" si="339"/>
        <v>.</v>
      </c>
      <c r="AV1568" s="1194" t="str">
        <f t="shared" si="329"/>
        <v>.</v>
      </c>
      <c r="AW1568" s="1194" t="str">
        <f t="shared" si="338"/>
        <v>.</v>
      </c>
      <c r="AX1568" s="1194">
        <f>IFERROR(VLOOKUP(B1568,'Share, Heavy Weapons to Ukraine'!B:Z,COLUMN('Share, Heavy Weapons to Ukraine'!C1580)-1,0),0)</f>
        <v>1</v>
      </c>
      <c r="AY1568" s="1194">
        <f>VLOOKUP('Bilateral Assistance, MAIN DATA'!B1568,'Country Summary (€)'!B:F,COLUMN('Country Summary (€)'!C1581)-1,FALSE)</f>
        <v>0</v>
      </c>
      <c r="AZ1568" s="1194" t="str">
        <f>IF(AND(AD1568=1,D1568="Military",H1568&lt;&gt;"Not given")=TRUE,IF(SUMIFS(P:P,A:A,A1568)&gt;0,ABS((SUMIFS(P:P,A:A,A1568)/VLOOKUP("USD",'Exchange Rates'!B:C,2,0)))/S1568,"."),".")</f>
        <v>.</v>
      </c>
      <c r="BA1568" s="1196" t="str">
        <f>IF(AND(AD1568=1,D1568="Military",H1568&lt;&gt;"Not given")=TRUE,IF(SUMIFS(P:P,A:A,A1568)&gt;0,IF((ABS((SUMIFS(P:P,A:A,A1568)/VLOOKUP("USD",'Exchange Rates'!B:C,2,0)))/S1568)&gt;1,(SUMIFS(P:P,A:A,A1568)-S1568)/S1568,(S1568-SUMIFS(P:P,A:A,A1568))/SUMIFS(P:P,A:A,A1568)),"."),".")</f>
        <v>.</v>
      </c>
    </row>
    <row r="1569" spans="1:53" ht="15.95" customHeight="1">
      <c r="A1569" s="1182" t="s">
        <v>3987</v>
      </c>
      <c r="B1569" s="1208" t="s">
        <v>3949</v>
      </c>
      <c r="C1569" s="1220">
        <v>44792</v>
      </c>
      <c r="D1569" s="1208" t="s">
        <v>389</v>
      </c>
      <c r="E1569" s="1182" t="s">
        <v>1676</v>
      </c>
      <c r="F1569" s="1183" t="s">
        <v>4151</v>
      </c>
      <c r="G1569" s="1184" t="s">
        <v>456</v>
      </c>
      <c r="H1569" s="1221">
        <v>775000000</v>
      </c>
      <c r="I1569" s="1208" t="s">
        <v>4040</v>
      </c>
      <c r="J1569" s="1186" t="str">
        <f>VLOOKUP($I1569,'Price List, Weapons &amp; Items'!B:C,2,0)</f>
        <v>Military equipment</v>
      </c>
      <c r="K1569" s="1186" t="str">
        <f>IF(I1569=".",I1569,VLOOKUP($I1569,'Price List, Weapons &amp; Items'!B:D,3,0))</f>
        <v>Military equipment</v>
      </c>
      <c r="L1569" s="1187">
        <f>VLOOKUP(I1569,'Price List, Weapons &amp; Items'!B:E,4,0)</f>
        <v>0</v>
      </c>
      <c r="M1569" s="1241" t="s">
        <v>374</v>
      </c>
      <c r="N1569" s="1188" t="s">
        <v>374</v>
      </c>
      <c r="O1569" s="1188">
        <f>VLOOKUP($I1569,'Price List, Weapons &amp; Items'!B:G,6,0)</f>
        <v>45</v>
      </c>
      <c r="P1569" s="1185" t="str">
        <f t="shared" si="330"/>
        <v>.</v>
      </c>
      <c r="Q1569" s="1185" t="str">
        <f t="shared" si="331"/>
        <v>.</v>
      </c>
      <c r="R1569" s="1185" t="str">
        <f t="shared" si="327"/>
        <v/>
      </c>
      <c r="S1569" s="1185" t="str">
        <f>IF(AND(AD1569=1,R1569&lt;&gt;".")=TRUE,R1569/VLOOKUP(G1569,'Exchange Rates'!B:C,2,0),IF(R1569=".",".",""))</f>
        <v/>
      </c>
      <c r="T1569" s="1185" t="str">
        <f>IF(AD1569=1,IF(AF1569="Value is not given at all",".",IF(AF1569="Value is given by the source",S1569,IF(AF1569="Value is calculated with prices",(IF(SUMIFS(Q:Q,A:A,A1569)&gt;0,SUMIFS(Q:Q,A:A,A1569),"."))/VLOOKUP("USD",'Exchange Rates'!B:C,2,0),"Error with coding"))),"")</f>
        <v/>
      </c>
      <c r="U1569" s="1184" t="s">
        <v>365</v>
      </c>
      <c r="V1569" s="979" t="s">
        <v>4177</v>
      </c>
      <c r="W1569" s="973" t="s">
        <v>3955</v>
      </c>
      <c r="X1569" s="973" t="s">
        <v>3959</v>
      </c>
      <c r="Y1569" s="973" t="s">
        <v>4176</v>
      </c>
      <c r="Z1569" s="1191">
        <v>0</v>
      </c>
      <c r="AA1569" s="1194">
        <v>0</v>
      </c>
      <c r="AB1569" s="973" t="s">
        <v>4178</v>
      </c>
      <c r="AC1569" s="1192" t="str">
        <f>""</f>
        <v/>
      </c>
      <c r="AD1569" s="985">
        <v>0</v>
      </c>
      <c r="AE1569" s="1302" t="s">
        <v>368</v>
      </c>
      <c r="AF1569" s="1193" t="s">
        <v>368</v>
      </c>
      <c r="AG1569" s="985">
        <v>1</v>
      </c>
      <c r="AH1569" s="985">
        <v>8</v>
      </c>
      <c r="AI1569" s="985">
        <v>0</v>
      </c>
      <c r="AJ1569" s="1193">
        <f>VLOOKUP($I1569,'Price List, Weapons &amp; Items'!B:F,5,0)</f>
        <v>0</v>
      </c>
      <c r="AK1569" s="1193">
        <f t="shared" si="332"/>
        <v>0</v>
      </c>
      <c r="AL1569" s="1193">
        <f t="shared" si="333"/>
        <v>0</v>
      </c>
      <c r="AM1569" s="1193">
        <f t="shared" si="334"/>
        <v>0</v>
      </c>
      <c r="AN1569" s="1194" t="str">
        <f>VLOOKUP($I1569,'Price List, Weapons &amp; Items'!B:L,COLUMN('Price List, Weapons &amp; Items'!$J$11)-1,0)</f>
        <v>Online marketplaces and stores</v>
      </c>
      <c r="AO1569" s="1194" t="str">
        <f>IF(I1569=".",".",VLOOKUP($I1569,'Price List, Weapons &amp; Items'!B:J,3,0))</f>
        <v>Military equipment</v>
      </c>
      <c r="AP1569" s="1195" t="str">
        <f t="shared" ca="1" si="328"/>
        <v/>
      </c>
      <c r="AQ1569" s="1194">
        <f>VLOOKUP($I1569,'Price List, Weapons &amp; Items'!B:L,COLUMN('Price List, Weapons &amp; Items'!$L$11)-1,0)</f>
        <v>1</v>
      </c>
      <c r="AR1569" s="1194">
        <f t="shared" si="335"/>
        <v>1</v>
      </c>
      <c r="AS1569" s="1194">
        <f t="shared" si="336"/>
        <v>1</v>
      </c>
      <c r="AT1569" s="1194">
        <f t="shared" si="337"/>
        <v>1</v>
      </c>
      <c r="AU1569" s="1194" t="str">
        <f t="shared" si="339"/>
        <v>.</v>
      </c>
      <c r="AV1569" s="1194" t="str">
        <f t="shared" si="329"/>
        <v>.</v>
      </c>
      <c r="AW1569" s="1194" t="str">
        <f t="shared" si="338"/>
        <v>.</v>
      </c>
      <c r="AX1569" s="1194">
        <f>IFERROR(VLOOKUP(B1569,'Share, Heavy Weapons to Ukraine'!B:Z,COLUMN('Share, Heavy Weapons to Ukraine'!C1581)-1,0),0)</f>
        <v>1</v>
      </c>
      <c r="AY1569" s="1194">
        <f>VLOOKUP('Bilateral Assistance, MAIN DATA'!B1569,'Country Summary (€)'!B:F,COLUMN('Country Summary (€)'!C1582)-1,FALSE)</f>
        <v>0</v>
      </c>
      <c r="AZ1569" s="1194" t="str">
        <f>IF(AND(AD1569=1,D1569="Military",H1569&lt;&gt;"Not given")=TRUE,IF(SUMIFS(P:P,A:A,A1569)&gt;0,ABS((SUMIFS(P:P,A:A,A1569)/VLOOKUP("USD",'Exchange Rates'!B:C,2,0)))/S1569,"."),".")</f>
        <v>.</v>
      </c>
      <c r="BA1569" s="1196" t="str">
        <f>IF(AND(AD1569=1,D1569="Military",H1569&lt;&gt;"Not given")=TRUE,IF(SUMIFS(P:P,A:A,A1569)&gt;0,IF((ABS((SUMIFS(P:P,A:A,A1569)/VLOOKUP("USD",'Exchange Rates'!B:C,2,0)))/S1569)&gt;1,(SUMIFS(P:P,A:A,A1569)-S1569)/S1569,(S1569-SUMIFS(P:P,A:A,A1569))/SUMIFS(P:P,A:A,A1569)),"."),".")</f>
        <v>.</v>
      </c>
    </row>
    <row r="1570" spans="1:53" ht="15.95" customHeight="1">
      <c r="A1570" s="1182" t="s">
        <v>3987</v>
      </c>
      <c r="B1570" s="1208" t="s">
        <v>3949</v>
      </c>
      <c r="C1570" s="1220">
        <v>44792</v>
      </c>
      <c r="D1570" s="1208" t="s">
        <v>389</v>
      </c>
      <c r="E1570" s="1182" t="s">
        <v>1676</v>
      </c>
      <c r="F1570" s="1183" t="s">
        <v>4151</v>
      </c>
      <c r="G1570" s="1184" t="s">
        <v>456</v>
      </c>
      <c r="H1570" s="1221">
        <v>775000000</v>
      </c>
      <c r="I1570" s="1208" t="s">
        <v>4179</v>
      </c>
      <c r="J1570" s="1186" t="str">
        <f>VLOOKUP($I1570,'Price List, Weapons &amp; Items'!B:C,2,0)</f>
        <v>Military equipment</v>
      </c>
      <c r="K1570" s="1186" t="str">
        <f>IF(I1570=".",I1570,VLOOKUP($I1570,'Price List, Weapons &amp; Items'!B:D,3,0))</f>
        <v>Military equipment</v>
      </c>
      <c r="L1570" s="1187">
        <f>VLOOKUP(I1570,'Price List, Weapons &amp; Items'!B:E,4,0)</f>
        <v>0</v>
      </c>
      <c r="M1570" s="1241" t="s">
        <v>374</v>
      </c>
      <c r="N1570" s="1188" t="s">
        <v>374</v>
      </c>
      <c r="O1570" s="1188">
        <f>VLOOKUP($I1570,'Price List, Weapons &amp; Items'!B:G,6,0)</f>
        <v>51404</v>
      </c>
      <c r="P1570" s="1185" t="str">
        <f t="shared" si="330"/>
        <v>.</v>
      </c>
      <c r="Q1570" s="1185" t="str">
        <f t="shared" si="331"/>
        <v>.</v>
      </c>
      <c r="R1570" s="1185" t="str">
        <f t="shared" si="327"/>
        <v/>
      </c>
      <c r="S1570" s="1185" t="str">
        <f>IF(AND(AD1570=1,R1570&lt;&gt;".")=TRUE,R1570/VLOOKUP(G1570,'Exchange Rates'!B:C,2,0),IF(R1570=".",".",""))</f>
        <v/>
      </c>
      <c r="T1570" s="1185" t="str">
        <f>IF(AD1570=1,IF(AF1570="Value is not given at all",".",IF(AF1570="Value is given by the source",S1570,IF(AF1570="Value is calculated with prices",(IF(SUMIFS(Q:Q,A:A,A1570)&gt;0,SUMIFS(Q:Q,A:A,A1570),"."))/VLOOKUP("USD",'Exchange Rates'!B:C,2,0),"Error with coding"))),"")</f>
        <v/>
      </c>
      <c r="U1570" s="1184" t="s">
        <v>365</v>
      </c>
      <c r="V1570" s="979" t="s">
        <v>4152</v>
      </c>
      <c r="W1570" s="973" t="s">
        <v>3955</v>
      </c>
      <c r="X1570" s="973" t="s">
        <v>3959</v>
      </c>
      <c r="Y1570" s="973" t="s">
        <v>4178</v>
      </c>
      <c r="Z1570" s="1191">
        <v>0</v>
      </c>
      <c r="AA1570" s="1194">
        <v>0</v>
      </c>
      <c r="AB1570" s="973" t="s">
        <v>4180</v>
      </c>
      <c r="AC1570" s="1192" t="str">
        <f>""</f>
        <v/>
      </c>
      <c r="AD1570" s="985">
        <v>0</v>
      </c>
      <c r="AE1570" s="1302" t="s">
        <v>368</v>
      </c>
      <c r="AF1570" s="1193" t="s">
        <v>368</v>
      </c>
      <c r="AG1570" s="985">
        <v>1</v>
      </c>
      <c r="AH1570" s="985">
        <v>8</v>
      </c>
      <c r="AI1570" s="985">
        <v>0</v>
      </c>
      <c r="AJ1570" s="1193">
        <f>VLOOKUP($I1570,'Price List, Weapons &amp; Items'!B:F,5,0)</f>
        <v>0</v>
      </c>
      <c r="AK1570" s="1193">
        <f t="shared" si="332"/>
        <v>0</v>
      </c>
      <c r="AL1570" s="1193">
        <f t="shared" si="333"/>
        <v>0</v>
      </c>
      <c r="AM1570" s="1193">
        <f t="shared" si="334"/>
        <v>0</v>
      </c>
      <c r="AN1570" s="1194" t="str">
        <f>VLOOKUP($I1570,'Price List, Weapons &amp; Items'!B:L,COLUMN('Price List, Weapons &amp; Items'!$J$11)-1,0)</f>
        <v>Contracts</v>
      </c>
      <c r="AO1570" s="1194" t="str">
        <f>IF(I1570=".",".",VLOOKUP($I1570,'Price List, Weapons &amp; Items'!B:J,3,0))</f>
        <v>Military equipment</v>
      </c>
      <c r="AP1570" s="1195" t="str">
        <f t="shared" ca="1" si="328"/>
        <v/>
      </c>
      <c r="AQ1570" s="1194">
        <f>VLOOKUP($I1570,'Price List, Weapons &amp; Items'!B:L,COLUMN('Price List, Weapons &amp; Items'!$L$11)-1,0)</f>
        <v>2</v>
      </c>
      <c r="AR1570" s="1194">
        <f t="shared" si="335"/>
        <v>1</v>
      </c>
      <c r="AS1570" s="1194">
        <f t="shared" si="336"/>
        <v>1</v>
      </c>
      <c r="AT1570" s="1194">
        <f t="shared" si="337"/>
        <v>1</v>
      </c>
      <c r="AU1570" s="1194" t="str">
        <f t="shared" si="339"/>
        <v>.</v>
      </c>
      <c r="AV1570" s="1194" t="str">
        <f t="shared" si="329"/>
        <v>.</v>
      </c>
      <c r="AW1570" s="1194" t="str">
        <f t="shared" si="338"/>
        <v>.</v>
      </c>
      <c r="AX1570" s="1194">
        <f>IFERROR(VLOOKUP(B1570,'Share, Heavy Weapons to Ukraine'!B:Z,COLUMN('Share, Heavy Weapons to Ukraine'!C1582)-1,0),0)</f>
        <v>1</v>
      </c>
      <c r="AY1570" s="1194">
        <f>VLOOKUP('Bilateral Assistance, MAIN DATA'!B1570,'Country Summary (€)'!B:F,COLUMN('Country Summary (€)'!C1583)-1,FALSE)</f>
        <v>0</v>
      </c>
      <c r="AZ1570" s="1194" t="str">
        <f>IF(AND(AD1570=1,D1570="Military",H1570&lt;&gt;"Not given")=TRUE,IF(SUMIFS(P:P,A:A,A1570)&gt;0,ABS((SUMIFS(P:P,A:A,A1570)/VLOOKUP("USD",'Exchange Rates'!B:C,2,0)))/S1570,"."),".")</f>
        <v>.</v>
      </c>
      <c r="BA1570" s="1196" t="str">
        <f>IF(AND(AD1570=1,D1570="Military",H1570&lt;&gt;"Not given")=TRUE,IF(SUMIFS(P:P,A:A,A1570)&gt;0,IF((ABS((SUMIFS(P:P,A:A,A1570)/VLOOKUP("USD",'Exchange Rates'!B:C,2,0)))/S1570)&gt;1,(SUMIFS(P:P,A:A,A1570)-S1570)/S1570,(S1570-SUMIFS(P:P,A:A,A1570))/SUMIFS(P:P,A:A,A1570)),"."),".")</f>
        <v>.</v>
      </c>
    </row>
    <row r="1571" spans="1:53" ht="15.95" customHeight="1">
      <c r="A1571" s="1182" t="s">
        <v>3987</v>
      </c>
      <c r="B1571" s="1208" t="s">
        <v>3949</v>
      </c>
      <c r="C1571" s="1220">
        <v>44812</v>
      </c>
      <c r="D1571" s="1208" t="s">
        <v>389</v>
      </c>
      <c r="E1571" s="1182" t="s">
        <v>1676</v>
      </c>
      <c r="F1571" s="1183" t="s">
        <v>4181</v>
      </c>
      <c r="G1571" s="1184" t="s">
        <v>456</v>
      </c>
      <c r="H1571" s="1221">
        <v>675000000</v>
      </c>
      <c r="I1571" s="1208" t="s">
        <v>4093</v>
      </c>
      <c r="J1571" s="1186" t="str">
        <f>VLOOKUP($I1571,'Price List, Weapons &amp; Items'!B:C,2,0)</f>
        <v>Ammunition for heavy weapon</v>
      </c>
      <c r="K1571" s="1186" t="str">
        <f>IF(I1571=".",I1571,VLOOKUP($I1571,'Price List, Weapons &amp; Items'!B:D,3,0))</f>
        <v>227mm MLRS ammunition</v>
      </c>
      <c r="L1571" s="1187">
        <f>VLOOKUP(I1571,'Price List, Weapons &amp; Items'!B:E,4,0)</f>
        <v>0</v>
      </c>
      <c r="M1571" s="1241" t="s">
        <v>374</v>
      </c>
      <c r="N1571" s="1188" t="s">
        <v>374</v>
      </c>
      <c r="O1571" s="1188">
        <f>VLOOKUP($I1571,'Price List, Weapons &amp; Items'!B:G,6,0)</f>
        <v>150000</v>
      </c>
      <c r="P1571" s="1185" t="str">
        <f t="shared" si="330"/>
        <v>.</v>
      </c>
      <c r="Q1571" s="1185" t="str">
        <f t="shared" si="331"/>
        <v>.</v>
      </c>
      <c r="R1571" s="1185" t="str">
        <f t="shared" si="327"/>
        <v/>
      </c>
      <c r="S1571" s="1185" t="str">
        <f>IF(AND(AD1571=1,R1571&lt;&gt;".")=TRUE,R1571/VLOOKUP(G1571,'Exchange Rates'!B:C,2,0),IF(R1571=".",".",""))</f>
        <v/>
      </c>
      <c r="T1571" s="1185" t="str">
        <f>IF(AD1571=1,IF(AF1571="Value is not given at all",".",IF(AF1571="Value is given by the source",S1571,IF(AF1571="Value is calculated with prices",(IF(SUMIFS(Q:Q,A:A,A1571)&gt;0,SUMIFS(Q:Q,A:A,A1571),"."))/VLOOKUP("USD",'Exchange Rates'!B:C,2,0),"Error with coding"))),"")</f>
        <v/>
      </c>
      <c r="U1571" s="1184" t="s">
        <v>365</v>
      </c>
      <c r="V1571" s="979" t="s">
        <v>4182</v>
      </c>
      <c r="W1571" s="973" t="s">
        <v>3955</v>
      </c>
      <c r="X1571" s="973" t="s">
        <v>3959</v>
      </c>
      <c r="Y1571" s="973" t="s">
        <v>4180</v>
      </c>
      <c r="Z1571" s="1191">
        <v>0</v>
      </c>
      <c r="AA1571" s="1194">
        <v>0</v>
      </c>
      <c r="AB1571" s="973" t="s">
        <v>4183</v>
      </c>
      <c r="AC1571" s="1192" t="str">
        <f>""</f>
        <v/>
      </c>
      <c r="AD1571" s="985">
        <v>0</v>
      </c>
      <c r="AE1571" s="1302" t="s">
        <v>368</v>
      </c>
      <c r="AF1571" s="1193" t="s">
        <v>368</v>
      </c>
      <c r="AG1571" s="985">
        <v>1</v>
      </c>
      <c r="AH1571" s="985">
        <v>9</v>
      </c>
      <c r="AI1571" s="985">
        <v>0</v>
      </c>
      <c r="AJ1571" s="1193">
        <f>VLOOKUP($I1571,'Price List, Weapons &amp; Items'!B:F,5,0)</f>
        <v>1</v>
      </c>
      <c r="AK1571" s="1193">
        <f t="shared" si="332"/>
        <v>1</v>
      </c>
      <c r="AL1571" s="1193">
        <f t="shared" si="333"/>
        <v>1</v>
      </c>
      <c r="AM1571" s="1193">
        <f t="shared" si="334"/>
        <v>1</v>
      </c>
      <c r="AN1571" s="1194" t="str">
        <f>VLOOKUP($I1571,'Price List, Weapons &amp; Items'!B:L,COLUMN('Price List, Weapons &amp; Items'!$J$11)-1,0)</f>
        <v>Media reports (incl. social media)</v>
      </c>
      <c r="AO1571" s="1194" t="str">
        <f>IF(I1571=".",".",VLOOKUP($I1571,'Price List, Weapons &amp; Items'!B:J,3,0))</f>
        <v>227mm MLRS ammunition</v>
      </c>
      <c r="AP1571" s="1195" t="str">
        <f t="shared" ca="1" si="328"/>
        <v/>
      </c>
      <c r="AQ1571" s="1194" t="str">
        <f>VLOOKUP($I1571,'Price List, Weapons &amp; Items'!B:L,COLUMN('Price List, Weapons &amp; Items'!$L$11)-1,0)</f>
        <v>no price, 0 count</v>
      </c>
      <c r="AR1571" s="1194">
        <f t="shared" si="335"/>
        <v>1</v>
      </c>
      <c r="AS1571" s="1194">
        <f t="shared" si="336"/>
        <v>1</v>
      </c>
      <c r="AT1571" s="1194">
        <f t="shared" si="337"/>
        <v>1</v>
      </c>
      <c r="AU1571" s="1194" t="str">
        <f t="shared" si="339"/>
        <v>.</v>
      </c>
      <c r="AV1571" s="1194" t="str">
        <f t="shared" si="329"/>
        <v>.</v>
      </c>
      <c r="AW1571" s="1194" t="str">
        <f t="shared" si="338"/>
        <v>.</v>
      </c>
      <c r="AX1571" s="1194">
        <f>IFERROR(VLOOKUP(B1571,'Share, Heavy Weapons to Ukraine'!B:Z,COLUMN('Share, Heavy Weapons to Ukraine'!C1583)-1,0),0)</f>
        <v>1</v>
      </c>
      <c r="AY1571" s="1194">
        <f>VLOOKUP('Bilateral Assistance, MAIN DATA'!B1571,'Country Summary (€)'!B:F,COLUMN('Country Summary (€)'!C1584)-1,FALSE)</f>
        <v>0</v>
      </c>
      <c r="AZ1571" s="1194" t="str">
        <f>IF(AND(AD1571=1,D1571="Military",H1571&lt;&gt;"Not given")=TRUE,IF(SUMIFS(P:P,A:A,A1571)&gt;0,ABS((SUMIFS(P:P,A:A,A1571)/VLOOKUP("USD",'Exchange Rates'!B:C,2,0)))/S1571,"."),".")</f>
        <v>.</v>
      </c>
      <c r="BA1571" s="1196" t="str">
        <f>IF(AND(AD1571=1,D1571="Military",H1571&lt;&gt;"Not given")=TRUE,IF(SUMIFS(P:P,A:A,A1571)&gt;0,IF((ABS((SUMIFS(P:P,A:A,A1571)/VLOOKUP("USD",'Exchange Rates'!B:C,2,0)))/S1571)&gt;1,(SUMIFS(P:P,A:A,A1571)-S1571)/S1571,(S1571-SUMIFS(P:P,A:A,A1571))/SUMIFS(P:P,A:A,A1571)),"."),".")</f>
        <v>.</v>
      </c>
    </row>
    <row r="1572" spans="1:53" ht="15.95" customHeight="1">
      <c r="A1572" s="1182" t="s">
        <v>3987</v>
      </c>
      <c r="B1572" s="1208" t="s">
        <v>3949</v>
      </c>
      <c r="C1572" s="1220">
        <v>44812</v>
      </c>
      <c r="D1572" s="1208" t="s">
        <v>389</v>
      </c>
      <c r="E1572" s="1182" t="s">
        <v>1676</v>
      </c>
      <c r="F1572" s="1183" t="s">
        <v>4181</v>
      </c>
      <c r="G1572" s="1184" t="s">
        <v>456</v>
      </c>
      <c r="H1572" s="1221">
        <v>675000000</v>
      </c>
      <c r="I1572" s="1208" t="s">
        <v>4154</v>
      </c>
      <c r="J1572" s="1186" t="str">
        <f>VLOOKUP($I1572,'Price List, Weapons &amp; Items'!B:C,2,0)</f>
        <v>Heavy weapon</v>
      </c>
      <c r="K1572" s="1186" t="str">
        <f>IF(I1572=".",I1572,VLOOKUP($I1572,'Price List, Weapons &amp; Items'!B:D,3,0))</f>
        <v>105mm howitzer</v>
      </c>
      <c r="L1572" s="1187">
        <f>VLOOKUP(I1572,'Price List, Weapons &amp; Items'!B:E,4,0)</f>
        <v>0</v>
      </c>
      <c r="M1572" s="1241">
        <v>4</v>
      </c>
      <c r="N1572" s="1188">
        <v>4</v>
      </c>
      <c r="O1572" s="1188">
        <f>VLOOKUP($I1572,'Price List, Weapons &amp; Items'!B:G,6,0)</f>
        <v>1272482.2760025531</v>
      </c>
      <c r="P1572" s="1185">
        <f t="shared" si="330"/>
        <v>5089929.1040102122</v>
      </c>
      <c r="Q1572" s="1185">
        <f t="shared" si="331"/>
        <v>5089929.1040102122</v>
      </c>
      <c r="R1572" s="1185" t="str">
        <f t="shared" si="327"/>
        <v/>
      </c>
      <c r="S1572" s="1185" t="str">
        <f>IF(AND(AD1572=1,R1572&lt;&gt;".")=TRUE,R1572/VLOOKUP(G1572,'Exchange Rates'!B:C,2,0),IF(R1572=".",".",""))</f>
        <v/>
      </c>
      <c r="T1572" s="1185" t="str">
        <f>IF(AD1572=1,IF(AF1572="Value is not given at all",".",IF(AF1572="Value is given by the source",S1572,IF(AF1572="Value is calculated with prices",(IF(SUMIFS(Q:Q,A:A,A1572)&gt;0,SUMIFS(Q:Q,A:A,A1572),"."))/VLOOKUP("USD",'Exchange Rates'!B:C,2,0),"Error with coding"))),"")</f>
        <v/>
      </c>
      <c r="U1572" s="1184" t="s">
        <v>365</v>
      </c>
      <c r="V1572" s="979" t="s">
        <v>4182</v>
      </c>
      <c r="W1572" s="973" t="s">
        <v>3955</v>
      </c>
      <c r="X1572" s="973" t="s">
        <v>3959</v>
      </c>
      <c r="Y1572" s="973" t="s">
        <v>4183</v>
      </c>
      <c r="Z1572" s="1191">
        <v>0</v>
      </c>
      <c r="AA1572" s="1194">
        <v>0</v>
      </c>
      <c r="AB1572" s="973" t="s">
        <v>4184</v>
      </c>
      <c r="AC1572" s="1192" t="str">
        <f>""</f>
        <v/>
      </c>
      <c r="AD1572" s="985">
        <v>0</v>
      </c>
      <c r="AE1572" s="1302" t="s">
        <v>368</v>
      </c>
      <c r="AF1572" s="1193" t="s">
        <v>368</v>
      </c>
      <c r="AG1572" s="985">
        <v>1</v>
      </c>
      <c r="AH1572" s="985">
        <v>9</v>
      </c>
      <c r="AI1572" s="985">
        <v>0</v>
      </c>
      <c r="AJ1572" s="1193">
        <f>VLOOKUP($I1572,'Price List, Weapons &amp; Items'!B:F,5,0)</f>
        <v>0</v>
      </c>
      <c r="AK1572" s="1193">
        <f t="shared" si="332"/>
        <v>0</v>
      </c>
      <c r="AL1572" s="1193">
        <f t="shared" si="333"/>
        <v>0</v>
      </c>
      <c r="AM1572" s="1193">
        <f t="shared" si="334"/>
        <v>0</v>
      </c>
      <c r="AN1572" s="1194" t="str">
        <f>VLOOKUP($I1572,'Price List, Weapons &amp; Items'!B:L,COLUMN('Price List, Weapons &amp; Items'!$J$11)-1,0)</f>
        <v>Contracts</v>
      </c>
      <c r="AO1572" s="1194" t="str">
        <f>IF(I1572=".",".",VLOOKUP($I1572,'Price List, Weapons &amp; Items'!B:J,3,0))</f>
        <v>105mm howitzer</v>
      </c>
      <c r="AP1572" s="1195" t="str">
        <f t="shared" ca="1" si="328"/>
        <v/>
      </c>
      <c r="AQ1572" s="1194">
        <f>VLOOKUP($I1572,'Price List, Weapons &amp; Items'!B:L,COLUMN('Price List, Weapons &amp; Items'!$L$11)-1,0)</f>
        <v>2</v>
      </c>
      <c r="AR1572" s="1194">
        <f t="shared" si="335"/>
        <v>1</v>
      </c>
      <c r="AS1572" s="1194">
        <f t="shared" si="336"/>
        <v>1</v>
      </c>
      <c r="AT1572" s="1194">
        <f t="shared" si="337"/>
        <v>1</v>
      </c>
      <c r="AU1572" s="1194" t="str">
        <f t="shared" si="339"/>
        <v>.</v>
      </c>
      <c r="AV1572" s="1194" t="str">
        <f t="shared" si="329"/>
        <v>.</v>
      </c>
      <c r="AW1572" s="1194" t="str">
        <f t="shared" si="338"/>
        <v>.</v>
      </c>
      <c r="AX1572" s="1194">
        <f>IFERROR(VLOOKUP(B1572,'Share, Heavy Weapons to Ukraine'!B:Z,COLUMN('Share, Heavy Weapons to Ukraine'!C1584)-1,0),0)</f>
        <v>1</v>
      </c>
      <c r="AY1572" s="1194">
        <f>VLOOKUP('Bilateral Assistance, MAIN DATA'!B1572,'Country Summary (€)'!B:F,COLUMN('Country Summary (€)'!C1585)-1,FALSE)</f>
        <v>0</v>
      </c>
      <c r="AZ1572" s="1194" t="str">
        <f>IF(AND(AD1572=1,D1572="Military",H1572&lt;&gt;"Not given")=TRUE,IF(SUMIFS(P:P,A:A,A1572)&gt;0,ABS((SUMIFS(P:P,A:A,A1572)/VLOOKUP("USD",'Exchange Rates'!B:C,2,0)))/S1572,"."),".")</f>
        <v>.</v>
      </c>
      <c r="BA1572" s="1196" t="str">
        <f>IF(AND(AD1572=1,D1572="Military",H1572&lt;&gt;"Not given")=TRUE,IF(SUMIFS(P:P,A:A,A1572)&gt;0,IF((ABS((SUMIFS(P:P,A:A,A1572)/VLOOKUP("USD",'Exchange Rates'!B:C,2,0)))/S1572)&gt;1,(SUMIFS(P:P,A:A,A1572)-S1572)/S1572,(S1572-SUMIFS(P:P,A:A,A1572))/SUMIFS(P:P,A:A,A1572)),"."),".")</f>
        <v>.</v>
      </c>
    </row>
    <row r="1573" spans="1:53" ht="15.95" customHeight="1">
      <c r="A1573" s="1182" t="s">
        <v>3987</v>
      </c>
      <c r="B1573" s="1208" t="s">
        <v>3949</v>
      </c>
      <c r="C1573" s="1220">
        <v>44812</v>
      </c>
      <c r="D1573" s="1208" t="s">
        <v>389</v>
      </c>
      <c r="E1573" s="1182" t="s">
        <v>1676</v>
      </c>
      <c r="F1573" s="1183" t="s">
        <v>4181</v>
      </c>
      <c r="G1573" s="1184" t="s">
        <v>456</v>
      </c>
      <c r="H1573" s="1221">
        <v>675000000</v>
      </c>
      <c r="I1573" s="1208" t="s">
        <v>645</v>
      </c>
      <c r="J1573" s="1186" t="str">
        <f>VLOOKUP($I1573,'Price List, Weapons &amp; Items'!B:C,2,0)</f>
        <v>Ammunition for heavy weapon</v>
      </c>
      <c r="K1573" s="1186" t="str">
        <f>IF(I1573=".",I1573,VLOOKUP($I1573,'Price List, Weapons &amp; Items'!B:D,3,0))</f>
        <v>105mm</v>
      </c>
      <c r="L1573" s="1187">
        <f>VLOOKUP(I1573,'Price List, Weapons &amp; Items'!B:E,4,0)</f>
        <v>0</v>
      </c>
      <c r="M1573" s="1241">
        <v>36000</v>
      </c>
      <c r="N1573" s="1188">
        <v>36000</v>
      </c>
      <c r="O1573" s="1188">
        <f>VLOOKUP($I1573,'Price List, Weapons &amp; Items'!B:G,6,0)</f>
        <v>400</v>
      </c>
      <c r="P1573" s="1185">
        <f t="shared" si="330"/>
        <v>14400000</v>
      </c>
      <c r="Q1573" s="1185">
        <f t="shared" si="331"/>
        <v>14400000</v>
      </c>
      <c r="R1573" s="1185" t="str">
        <f t="shared" si="327"/>
        <v/>
      </c>
      <c r="S1573" s="1185" t="str">
        <f>IF(AND(AD1573=1,R1573&lt;&gt;".")=TRUE,R1573/VLOOKUP(G1573,'Exchange Rates'!B:C,2,0),IF(R1573=".",".",""))</f>
        <v/>
      </c>
      <c r="T1573" s="1185" t="str">
        <f>IF(AD1573=1,IF(AF1573="Value is not given at all",".",IF(AF1573="Value is given by the source",S1573,IF(AF1573="Value is calculated with prices",(IF(SUMIFS(Q:Q,A:A,A1573)&gt;0,SUMIFS(Q:Q,A:A,A1573),"."))/VLOOKUP("USD",'Exchange Rates'!B:C,2,0),"Error with coding"))),"")</f>
        <v/>
      </c>
      <c r="U1573" s="1184" t="s">
        <v>365</v>
      </c>
      <c r="V1573" s="979" t="s">
        <v>4182</v>
      </c>
      <c r="W1573" s="973" t="s">
        <v>3955</v>
      </c>
      <c r="X1573" s="973" t="s">
        <v>3959</v>
      </c>
      <c r="Y1573" s="973" t="s">
        <v>4184</v>
      </c>
      <c r="Z1573" s="1191">
        <v>0</v>
      </c>
      <c r="AA1573" s="1194">
        <v>0</v>
      </c>
      <c r="AB1573" s="973" t="s">
        <v>4185</v>
      </c>
      <c r="AC1573" s="1192" t="str">
        <f>""</f>
        <v/>
      </c>
      <c r="AD1573" s="985">
        <v>0</v>
      </c>
      <c r="AE1573" s="1302" t="s">
        <v>368</v>
      </c>
      <c r="AF1573" s="1193" t="s">
        <v>368</v>
      </c>
      <c r="AG1573" s="985">
        <v>1</v>
      </c>
      <c r="AH1573" s="985">
        <v>9</v>
      </c>
      <c r="AI1573" s="985">
        <v>0</v>
      </c>
      <c r="AJ1573" s="1193">
        <f>VLOOKUP($I1573,'Price List, Weapons &amp; Items'!B:F,5,0)</f>
        <v>0</v>
      </c>
      <c r="AK1573" s="1193">
        <f t="shared" si="332"/>
        <v>0</v>
      </c>
      <c r="AL1573" s="1193">
        <f t="shared" si="333"/>
        <v>0</v>
      </c>
      <c r="AM1573" s="1193">
        <f t="shared" si="334"/>
        <v>0</v>
      </c>
      <c r="AN1573" s="1194" t="str">
        <f>VLOOKUP($I1573,'Price List, Weapons &amp; Items'!B:L,COLUMN('Price List, Weapons &amp; Items'!$J$11)-1,0)</f>
        <v>Military media (incl. websites)</v>
      </c>
      <c r="AO1573" s="1194" t="str">
        <f>IF(I1573=".",".",VLOOKUP($I1573,'Price List, Weapons &amp; Items'!B:J,3,0))</f>
        <v>105mm</v>
      </c>
      <c r="AP1573" s="1195" t="str">
        <f t="shared" ca="1" si="328"/>
        <v/>
      </c>
      <c r="AQ1573" s="1194">
        <f>VLOOKUP($I1573,'Price List, Weapons &amp; Items'!B:L,COLUMN('Price List, Weapons &amp; Items'!$L$11)-1,0)</f>
        <v>2</v>
      </c>
      <c r="AR1573" s="1194">
        <f t="shared" si="335"/>
        <v>1</v>
      </c>
      <c r="AS1573" s="1194">
        <f t="shared" si="336"/>
        <v>1</v>
      </c>
      <c r="AT1573" s="1194">
        <f t="shared" si="337"/>
        <v>1</v>
      </c>
      <c r="AU1573" s="1194" t="str">
        <f t="shared" si="339"/>
        <v>.</v>
      </c>
      <c r="AV1573" s="1194" t="str">
        <f t="shared" si="329"/>
        <v>.</v>
      </c>
      <c r="AW1573" s="1194" t="str">
        <f t="shared" si="338"/>
        <v>.</v>
      </c>
      <c r="AX1573" s="1194">
        <f>IFERROR(VLOOKUP(B1573,'Share, Heavy Weapons to Ukraine'!B:Z,COLUMN('Share, Heavy Weapons to Ukraine'!C1585)-1,0),0)</f>
        <v>1</v>
      </c>
      <c r="AY1573" s="1194">
        <f>VLOOKUP('Bilateral Assistance, MAIN DATA'!B1573,'Country Summary (€)'!B:F,COLUMN('Country Summary (€)'!C1586)-1,FALSE)</f>
        <v>0</v>
      </c>
      <c r="AZ1573" s="1194" t="str">
        <f>IF(AND(AD1573=1,D1573="Military",H1573&lt;&gt;"Not given")=TRUE,IF(SUMIFS(P:P,A:A,A1573)&gt;0,ABS((SUMIFS(P:P,A:A,A1573)/VLOOKUP("USD",'Exchange Rates'!B:C,2,0)))/S1573,"."),".")</f>
        <v>.</v>
      </c>
      <c r="BA1573" s="1196" t="str">
        <f>IF(AND(AD1573=1,D1573="Military",H1573&lt;&gt;"Not given")=TRUE,IF(SUMIFS(P:P,A:A,A1573)&gt;0,IF((ABS((SUMIFS(P:P,A:A,A1573)/VLOOKUP("USD",'Exchange Rates'!B:C,2,0)))/S1573)&gt;1,(SUMIFS(P:P,A:A,A1573)-S1573)/S1573,(S1573-SUMIFS(P:P,A:A,A1573))/SUMIFS(P:P,A:A,A1573)),"."),".")</f>
        <v>.</v>
      </c>
    </row>
    <row r="1574" spans="1:53" ht="15.95" customHeight="1">
      <c r="A1574" s="1182" t="s">
        <v>3987</v>
      </c>
      <c r="B1574" s="1208" t="s">
        <v>3949</v>
      </c>
      <c r="C1574" s="1220">
        <v>44812</v>
      </c>
      <c r="D1574" s="1208" t="s">
        <v>389</v>
      </c>
      <c r="E1574" s="1182" t="s">
        <v>1676</v>
      </c>
      <c r="F1574" s="1183" t="s">
        <v>4181</v>
      </c>
      <c r="G1574" s="1184" t="s">
        <v>456</v>
      </c>
      <c r="H1574" s="1221">
        <v>675000000</v>
      </c>
      <c r="I1574" s="1208" t="s">
        <v>4161</v>
      </c>
      <c r="J1574" s="1186" t="str">
        <f>VLOOKUP($I1574,'Price List, Weapons &amp; Items'!B:C,2,0)</f>
        <v>Ammunition for heavy weapon</v>
      </c>
      <c r="K1574" s="1186" t="str">
        <f>IF(I1574=".",I1574,VLOOKUP($I1574,'Price List, Weapons &amp; Items'!B:D,3,0))</f>
        <v>Missile</v>
      </c>
      <c r="L1574" s="1187">
        <f>VLOOKUP(I1574,'Price List, Weapons &amp; Items'!B:E,4,0)</f>
        <v>0</v>
      </c>
      <c r="M1574" s="1241" t="s">
        <v>374</v>
      </c>
      <c r="N1574" s="1188" t="s">
        <v>374</v>
      </c>
      <c r="O1574" s="1188">
        <f>VLOOKUP($I1574,'Price List, Weapons &amp; Items'!B:G,6,0)</f>
        <v>557000</v>
      </c>
      <c r="P1574" s="1185" t="str">
        <f t="shared" si="330"/>
        <v>.</v>
      </c>
      <c r="Q1574" s="1185" t="str">
        <f t="shared" si="331"/>
        <v>.</v>
      </c>
      <c r="R1574" s="1185" t="str">
        <f t="shared" si="327"/>
        <v/>
      </c>
      <c r="S1574" s="1185" t="str">
        <f>IF(AND(AD1574=1,R1574&lt;&gt;".")=TRUE,R1574/VLOOKUP(G1574,'Exchange Rates'!B:C,2,0),IF(R1574=".",".",""))</f>
        <v/>
      </c>
      <c r="T1574" s="1185" t="str">
        <f>IF(AD1574=1,IF(AF1574="Value is not given at all",".",IF(AF1574="Value is given by the source",S1574,IF(AF1574="Value is calculated with prices",(IF(SUMIFS(Q:Q,A:A,A1574)&gt;0,SUMIFS(Q:Q,A:A,A1574),"."))/VLOOKUP("USD",'Exchange Rates'!B:C,2,0),"Error with coding"))),"")</f>
        <v/>
      </c>
      <c r="U1574" s="1184" t="s">
        <v>365</v>
      </c>
      <c r="V1574" s="979" t="s">
        <v>4182</v>
      </c>
      <c r="W1574" s="973" t="s">
        <v>3955</v>
      </c>
      <c r="X1574" s="973" t="s">
        <v>3959</v>
      </c>
      <c r="Y1574" s="973" t="s">
        <v>4185</v>
      </c>
      <c r="Z1574" s="1191">
        <v>0</v>
      </c>
      <c r="AA1574" s="1194">
        <v>0</v>
      </c>
      <c r="AB1574" s="973" t="s">
        <v>4186</v>
      </c>
      <c r="AC1574" s="1192" t="str">
        <f>""</f>
        <v/>
      </c>
      <c r="AD1574" s="985">
        <v>0</v>
      </c>
      <c r="AE1574" s="1302" t="s">
        <v>368</v>
      </c>
      <c r="AF1574" s="1193" t="s">
        <v>368</v>
      </c>
      <c r="AG1574" s="985">
        <v>1</v>
      </c>
      <c r="AH1574" s="985">
        <v>9</v>
      </c>
      <c r="AI1574" s="985">
        <v>0</v>
      </c>
      <c r="AJ1574" s="1193">
        <f>VLOOKUP($I1574,'Price List, Weapons &amp; Items'!B:F,5,0)</f>
        <v>0</v>
      </c>
      <c r="AK1574" s="1193">
        <f t="shared" si="332"/>
        <v>0</v>
      </c>
      <c r="AL1574" s="1193">
        <f t="shared" si="333"/>
        <v>0</v>
      </c>
      <c r="AM1574" s="1193">
        <f t="shared" si="334"/>
        <v>0</v>
      </c>
      <c r="AN1574" s="1194" t="str">
        <f>VLOOKUP($I1574,'Price List, Weapons &amp; Items'!B:L,COLUMN('Price List, Weapons &amp; Items'!$J$11)-1,0)</f>
        <v>Miscellaneous</v>
      </c>
      <c r="AO1574" s="1194" t="str">
        <f>IF(I1574=".",".",VLOOKUP($I1574,'Price List, Weapons &amp; Items'!B:J,3,0))</f>
        <v>Missile</v>
      </c>
      <c r="AP1574" s="1195" t="str">
        <f t="shared" ca="1" si="328"/>
        <v/>
      </c>
      <c r="AQ1574" s="1194" t="str">
        <f>VLOOKUP($I1574,'Price List, Weapons &amp; Items'!B:L,COLUMN('Price List, Weapons &amp; Items'!$L$11)-1,0)</f>
        <v>no price, 0 count</v>
      </c>
      <c r="AR1574" s="1194">
        <f t="shared" si="335"/>
        <v>1</v>
      </c>
      <c r="AS1574" s="1194">
        <f t="shared" si="336"/>
        <v>1</v>
      </c>
      <c r="AT1574" s="1194">
        <f t="shared" si="337"/>
        <v>1</v>
      </c>
      <c r="AU1574" s="1194" t="str">
        <f t="shared" si="339"/>
        <v>.</v>
      </c>
      <c r="AV1574" s="1194" t="str">
        <f t="shared" si="329"/>
        <v>.</v>
      </c>
      <c r="AW1574" s="1194" t="str">
        <f t="shared" si="338"/>
        <v>.</v>
      </c>
      <c r="AX1574" s="1194">
        <f>IFERROR(VLOOKUP(B1574,'Share, Heavy Weapons to Ukraine'!B:Z,COLUMN('Share, Heavy Weapons to Ukraine'!C1586)-1,0),0)</f>
        <v>1</v>
      </c>
      <c r="AY1574" s="1194">
        <f>VLOOKUP('Bilateral Assistance, MAIN DATA'!B1574,'Country Summary (€)'!B:F,COLUMN('Country Summary (€)'!C1587)-1,FALSE)</f>
        <v>0</v>
      </c>
      <c r="AZ1574" s="1194" t="str">
        <f>IF(AND(AD1574=1,D1574="Military",H1574&lt;&gt;"Not given")=TRUE,IF(SUMIFS(P:P,A:A,A1574)&gt;0,ABS((SUMIFS(P:P,A:A,A1574)/VLOOKUP("USD",'Exchange Rates'!B:C,2,0)))/S1574,"."),".")</f>
        <v>.</v>
      </c>
      <c r="BA1574" s="1196" t="str">
        <f>IF(AND(AD1574=1,D1574="Military",H1574&lt;&gt;"Not given")=TRUE,IF(SUMIFS(P:P,A:A,A1574)&gt;0,IF((ABS((SUMIFS(P:P,A:A,A1574)/VLOOKUP("USD",'Exchange Rates'!B:C,2,0)))/S1574)&gt;1,(SUMIFS(P:P,A:A,A1574)-S1574)/S1574,(S1574-SUMIFS(P:P,A:A,A1574))/SUMIFS(P:P,A:A,A1574)),"."),".")</f>
        <v>.</v>
      </c>
    </row>
    <row r="1575" spans="1:53" ht="15.95" customHeight="1">
      <c r="A1575" s="1182" t="s">
        <v>3987</v>
      </c>
      <c r="B1575" s="1208" t="s">
        <v>3949</v>
      </c>
      <c r="C1575" s="1220">
        <v>44812</v>
      </c>
      <c r="D1575" s="1208" t="s">
        <v>389</v>
      </c>
      <c r="E1575" s="1182" t="s">
        <v>1676</v>
      </c>
      <c r="F1575" s="1183" t="s">
        <v>4181</v>
      </c>
      <c r="G1575" s="1184" t="s">
        <v>456</v>
      </c>
      <c r="H1575" s="1221">
        <v>675000000</v>
      </c>
      <c r="I1575" s="1208" t="s">
        <v>4187</v>
      </c>
      <c r="J1575" s="1186" t="str">
        <f>VLOOKUP($I1575,'Price List, Weapons &amp; Items'!B:C,2,0)</f>
        <v>Heavy weapon</v>
      </c>
      <c r="K1575" s="1186" t="str">
        <f>IF(I1575=".",I1575,VLOOKUP($I1575,'Price List, Weapons &amp; Items'!B:D,3,0))</f>
        <v>Armored Utility Vehicle (AUV)</v>
      </c>
      <c r="L1575" s="1187">
        <f>VLOOKUP(I1575,'Price List, Weapons &amp; Items'!B:E,4,0)</f>
        <v>0</v>
      </c>
      <c r="M1575" s="1241">
        <v>100</v>
      </c>
      <c r="N1575" s="1188">
        <v>100</v>
      </c>
      <c r="O1575" s="1188">
        <f>VLOOKUP($I1575,'Price List, Weapons &amp; Items'!B:G,6,0)</f>
        <v>254717</v>
      </c>
      <c r="P1575" s="1185">
        <f t="shared" si="330"/>
        <v>25471700</v>
      </c>
      <c r="Q1575" s="1185">
        <f t="shared" si="331"/>
        <v>25471700</v>
      </c>
      <c r="R1575" s="1185" t="str">
        <f t="shared" si="327"/>
        <v/>
      </c>
      <c r="S1575" s="1185" t="str">
        <f>IF(AND(AD1575=1,R1575&lt;&gt;".")=TRUE,R1575/VLOOKUP(G1575,'Exchange Rates'!B:C,2,0),IF(R1575=".",".",""))</f>
        <v/>
      </c>
      <c r="T1575" s="1185" t="str">
        <f>IF(AD1575=1,IF(AF1575="Value is not given at all",".",IF(AF1575="Value is given by the source",S1575,IF(AF1575="Value is calculated with prices",(IF(SUMIFS(Q:Q,A:A,A1575)&gt;0,SUMIFS(Q:Q,A:A,A1575),"."))/VLOOKUP("USD",'Exchange Rates'!B:C,2,0),"Error with coding"))),"")</f>
        <v/>
      </c>
      <c r="U1575" s="1184" t="s">
        <v>365</v>
      </c>
      <c r="V1575" s="979" t="s">
        <v>4182</v>
      </c>
      <c r="W1575" s="973" t="s">
        <v>3955</v>
      </c>
      <c r="X1575" s="973" t="s">
        <v>3959</v>
      </c>
      <c r="Y1575" s="973" t="s">
        <v>4186</v>
      </c>
      <c r="Z1575" s="1191">
        <v>0</v>
      </c>
      <c r="AA1575" s="1194">
        <v>0</v>
      </c>
      <c r="AB1575" s="973" t="s">
        <v>4188</v>
      </c>
      <c r="AC1575" s="1192" t="str">
        <f>""</f>
        <v/>
      </c>
      <c r="AD1575" s="985">
        <v>0</v>
      </c>
      <c r="AE1575" s="1302" t="s">
        <v>368</v>
      </c>
      <c r="AF1575" s="1193" t="s">
        <v>368</v>
      </c>
      <c r="AG1575" s="985">
        <v>1</v>
      </c>
      <c r="AH1575" s="985">
        <v>9</v>
      </c>
      <c r="AI1575" s="985">
        <v>0</v>
      </c>
      <c r="AJ1575" s="1193">
        <f>VLOOKUP($I1575,'Price List, Weapons &amp; Items'!B:F,5,0)</f>
        <v>1</v>
      </c>
      <c r="AK1575" s="1193">
        <f t="shared" si="332"/>
        <v>0</v>
      </c>
      <c r="AL1575" s="1193">
        <f t="shared" si="333"/>
        <v>0</v>
      </c>
      <c r="AM1575" s="1193">
        <f t="shared" si="334"/>
        <v>0</v>
      </c>
      <c r="AN1575" s="1194" t="str">
        <f>VLOOKUP($I1575,'Price List, Weapons &amp; Items'!B:L,COLUMN('Price List, Weapons &amp; Items'!$J$11)-1,0)</f>
        <v>Military media (incl. websites)</v>
      </c>
      <c r="AO1575" s="1194" t="str">
        <f>IF(I1575=".",".",VLOOKUP($I1575,'Price List, Weapons &amp; Items'!B:J,3,0))</f>
        <v>Armored Utility Vehicle (AUV)</v>
      </c>
      <c r="AP1575" s="1195" t="str">
        <f t="shared" ca="1" si="328"/>
        <v/>
      </c>
      <c r="AQ1575" s="1194">
        <f>VLOOKUP($I1575,'Price List, Weapons &amp; Items'!B:L,COLUMN('Price List, Weapons &amp; Items'!$L$11)-1,0)</f>
        <v>2</v>
      </c>
      <c r="AR1575" s="1194">
        <f t="shared" si="335"/>
        <v>1</v>
      </c>
      <c r="AS1575" s="1194">
        <f t="shared" si="336"/>
        <v>1</v>
      </c>
      <c r="AT1575" s="1194">
        <f t="shared" si="337"/>
        <v>1</v>
      </c>
      <c r="AU1575" s="1194" t="str">
        <f t="shared" si="339"/>
        <v>.</v>
      </c>
      <c r="AV1575" s="1194" t="str">
        <f t="shared" si="329"/>
        <v>.</v>
      </c>
      <c r="AW1575" s="1194" t="str">
        <f t="shared" si="338"/>
        <v>.</v>
      </c>
      <c r="AX1575" s="1194">
        <f>IFERROR(VLOOKUP(B1575,'Share, Heavy Weapons to Ukraine'!B:Z,COLUMN('Share, Heavy Weapons to Ukraine'!C1587)-1,0),0)</f>
        <v>1</v>
      </c>
      <c r="AY1575" s="1194">
        <f>VLOOKUP('Bilateral Assistance, MAIN DATA'!B1575,'Country Summary (€)'!B:F,COLUMN('Country Summary (€)'!C1588)-1,FALSE)</f>
        <v>0</v>
      </c>
      <c r="AZ1575" s="1194" t="str">
        <f>IF(AND(AD1575=1,D1575="Military",H1575&lt;&gt;"Not given")=TRUE,IF(SUMIFS(P:P,A:A,A1575)&gt;0,ABS((SUMIFS(P:P,A:A,A1575)/VLOOKUP("USD",'Exchange Rates'!B:C,2,0)))/S1575,"."),".")</f>
        <v>.</v>
      </c>
      <c r="BA1575" s="1196" t="str">
        <f>IF(AND(AD1575=1,D1575="Military",H1575&lt;&gt;"Not given")=TRUE,IF(SUMIFS(P:P,A:A,A1575)&gt;0,IF((ABS((SUMIFS(P:P,A:A,A1575)/VLOOKUP("USD",'Exchange Rates'!B:C,2,0)))/S1575)&gt;1,(SUMIFS(P:P,A:A,A1575)-S1575)/S1575,(S1575-SUMIFS(P:P,A:A,A1575))/SUMIFS(P:P,A:A,A1575)),"."),".")</f>
        <v>.</v>
      </c>
    </row>
    <row r="1576" spans="1:53" ht="15.95" customHeight="1">
      <c r="A1576" s="1182" t="s">
        <v>3987</v>
      </c>
      <c r="B1576" s="1208" t="s">
        <v>3949</v>
      </c>
      <c r="C1576" s="1220">
        <v>44812</v>
      </c>
      <c r="D1576" s="1208" t="s">
        <v>389</v>
      </c>
      <c r="E1576" s="1182" t="s">
        <v>1676</v>
      </c>
      <c r="F1576" s="1183" t="s">
        <v>4181</v>
      </c>
      <c r="G1576" s="1184" t="s">
        <v>456</v>
      </c>
      <c r="H1576" s="1221">
        <v>675000000</v>
      </c>
      <c r="I1576" s="1208" t="s">
        <v>1288</v>
      </c>
      <c r="J1576" s="1186" t="str">
        <f>VLOOKUP($I1576,'Price List, Weapons &amp; Items'!B:C,2,0)</f>
        <v>Ammunition for light infantry</v>
      </c>
      <c r="K1576" s="1186" t="str">
        <f>IF(I1576=".",I1576,VLOOKUP($I1576,'Price List, Weapons &amp; Items'!B:D,3,0))</f>
        <v>Small Arms and Light Weapons (SALW) ammunition</v>
      </c>
      <c r="L1576" s="1187">
        <f>VLOOKUP(I1576,'Price List, Weapons &amp; Items'!B:E,4,0)</f>
        <v>0</v>
      </c>
      <c r="M1576" s="1241">
        <v>15000000</v>
      </c>
      <c r="N1576" s="1188">
        <v>15000000</v>
      </c>
      <c r="O1576" s="1188">
        <f>VLOOKUP($I1576,'Price List, Weapons &amp; Items'!B:G,6,0)</f>
        <v>0.47</v>
      </c>
      <c r="P1576" s="1185">
        <f t="shared" si="330"/>
        <v>7050000</v>
      </c>
      <c r="Q1576" s="1185">
        <f t="shared" si="331"/>
        <v>7050000</v>
      </c>
      <c r="R1576" s="1185" t="str">
        <f t="shared" si="327"/>
        <v/>
      </c>
      <c r="S1576" s="1185" t="str">
        <f>IF(AND(AD1576=1,R1576&lt;&gt;".")=TRUE,R1576/VLOOKUP(G1576,'Exchange Rates'!B:C,2,0),IF(R1576=".",".",""))</f>
        <v/>
      </c>
      <c r="T1576" s="1185" t="str">
        <f>IF(AD1576=1,IF(AF1576="Value is not given at all",".",IF(AF1576="Value is given by the source",S1576,IF(AF1576="Value is calculated with prices",(IF(SUMIFS(Q:Q,A:A,A1576)&gt;0,SUMIFS(Q:Q,A:A,A1576),"."))/VLOOKUP("USD",'Exchange Rates'!B:C,2,0),"Error with coding"))),"")</f>
        <v/>
      </c>
      <c r="U1576" s="1184" t="s">
        <v>365</v>
      </c>
      <c r="V1576" s="979" t="s">
        <v>4182</v>
      </c>
      <c r="W1576" s="973" t="s">
        <v>3955</v>
      </c>
      <c r="X1576" s="973" t="s">
        <v>3959</v>
      </c>
      <c r="Y1576" s="973" t="s">
        <v>4188</v>
      </c>
      <c r="Z1576" s="1191">
        <v>0</v>
      </c>
      <c r="AA1576" s="1194">
        <v>0</v>
      </c>
      <c r="AB1576" s="973" t="s">
        <v>4189</v>
      </c>
      <c r="AC1576" s="1192" t="str">
        <f>""</f>
        <v/>
      </c>
      <c r="AD1576" s="985">
        <v>0</v>
      </c>
      <c r="AE1576" s="1302" t="s">
        <v>368</v>
      </c>
      <c r="AF1576" s="1193" t="s">
        <v>368</v>
      </c>
      <c r="AG1576" s="985">
        <v>1</v>
      </c>
      <c r="AH1576" s="985">
        <v>9</v>
      </c>
      <c r="AI1576" s="985">
        <v>0</v>
      </c>
      <c r="AJ1576" s="1193">
        <f>VLOOKUP($I1576,'Price List, Weapons &amp; Items'!B:F,5,0)</f>
        <v>0</v>
      </c>
      <c r="AK1576" s="1193">
        <f t="shared" si="332"/>
        <v>0</v>
      </c>
      <c r="AL1576" s="1193">
        <f t="shared" si="333"/>
        <v>0</v>
      </c>
      <c r="AM1576" s="1193">
        <f t="shared" si="334"/>
        <v>1</v>
      </c>
      <c r="AN1576" s="1194" t="str">
        <f>VLOOKUP($I1576,'Price List, Weapons &amp; Items'!B:L,COLUMN('Price List, Weapons &amp; Items'!$J$11)-1,0)</f>
        <v>Miscellaneous</v>
      </c>
      <c r="AO1576" s="1194" t="str">
        <f>IF(I1576=".",".",VLOOKUP($I1576,'Price List, Weapons &amp; Items'!B:J,3,0))</f>
        <v>Small Arms and Light Weapons (SALW) ammunition</v>
      </c>
      <c r="AP1576" s="1195" t="str">
        <f t="shared" ca="1" si="328"/>
        <v/>
      </c>
      <c r="AQ1576" s="1194">
        <f>VLOOKUP($I1576,'Price List, Weapons &amp; Items'!B:L,COLUMN('Price List, Weapons &amp; Items'!$L$11)-1,0)</f>
        <v>2</v>
      </c>
      <c r="AR1576" s="1194">
        <f t="shared" si="335"/>
        <v>1</v>
      </c>
      <c r="AS1576" s="1194">
        <f t="shared" si="336"/>
        <v>1</v>
      </c>
      <c r="AT1576" s="1194">
        <f t="shared" si="337"/>
        <v>1</v>
      </c>
      <c r="AU1576" s="1194" t="str">
        <f t="shared" si="339"/>
        <v>.</v>
      </c>
      <c r="AV1576" s="1194" t="str">
        <f t="shared" si="329"/>
        <v>.</v>
      </c>
      <c r="AW1576" s="1194" t="str">
        <f t="shared" si="338"/>
        <v>.</v>
      </c>
      <c r="AX1576" s="1194">
        <f>IFERROR(VLOOKUP(B1576,'Share, Heavy Weapons to Ukraine'!B:Z,COLUMN('Share, Heavy Weapons to Ukraine'!C1588)-1,0),0)</f>
        <v>1</v>
      </c>
      <c r="AY1576" s="1194">
        <f>VLOOKUP('Bilateral Assistance, MAIN DATA'!B1576,'Country Summary (€)'!B:F,COLUMN('Country Summary (€)'!C1589)-1,FALSE)</f>
        <v>0</v>
      </c>
      <c r="AZ1576" s="1194" t="str">
        <f>IF(AND(AD1576=1,D1576="Military",H1576&lt;&gt;"Not given")=TRUE,IF(SUMIFS(P:P,A:A,A1576)&gt;0,ABS((SUMIFS(P:P,A:A,A1576)/VLOOKUP("USD",'Exchange Rates'!B:C,2,0)))/S1576,"."),".")</f>
        <v>.</v>
      </c>
      <c r="BA1576" s="1196" t="str">
        <f>IF(AND(AD1576=1,D1576="Military",H1576&lt;&gt;"Not given")=TRUE,IF(SUMIFS(P:P,A:A,A1576)&gt;0,IF((ABS((SUMIFS(P:P,A:A,A1576)/VLOOKUP("USD",'Exchange Rates'!B:C,2,0)))/S1576)&gt;1,(SUMIFS(P:P,A:A,A1576)-S1576)/S1576,(S1576-SUMIFS(P:P,A:A,A1576))/SUMIFS(P:P,A:A,A1576)),"."),".")</f>
        <v>.</v>
      </c>
    </row>
    <row r="1577" spans="1:53" ht="15.95" customHeight="1">
      <c r="A1577" s="1182" t="s">
        <v>3987</v>
      </c>
      <c r="B1577" s="1208" t="s">
        <v>3949</v>
      </c>
      <c r="C1577" s="1220">
        <v>44812</v>
      </c>
      <c r="D1577" s="1208" t="s">
        <v>389</v>
      </c>
      <c r="E1577" s="1182" t="s">
        <v>1676</v>
      </c>
      <c r="F1577" s="1183" t="s">
        <v>4181</v>
      </c>
      <c r="G1577" s="1184" t="s">
        <v>456</v>
      </c>
      <c r="H1577" s="1221">
        <v>675000000</v>
      </c>
      <c r="I1577" s="1208" t="s">
        <v>4028</v>
      </c>
      <c r="J1577" s="1186" t="str">
        <f>VLOOKUP($I1577,'Price List, Weapons &amp; Items'!B:C,2,0)</f>
        <v>Portable defence system</v>
      </c>
      <c r="K1577" s="1186" t="str">
        <f>IF(I1577=".",I1577,VLOOKUP($I1577,'Price List, Weapons &amp; Items'!B:D,3,0))</f>
        <v>Light Anti-armor Weapon (LAW)</v>
      </c>
      <c r="L1577" s="1187">
        <f>VLOOKUP(I1577,'Price List, Weapons &amp; Items'!B:E,4,0)</f>
        <v>0</v>
      </c>
      <c r="M1577" s="1241">
        <v>5000</v>
      </c>
      <c r="N1577" s="1188">
        <v>5000</v>
      </c>
      <c r="O1577" s="1188">
        <f>VLOOKUP($I1577,'Price List, Weapons &amp; Items'!B:G,6,0)</f>
        <v>78000</v>
      </c>
      <c r="P1577" s="1185">
        <f t="shared" si="330"/>
        <v>390000000</v>
      </c>
      <c r="Q1577" s="1185">
        <f t="shared" si="331"/>
        <v>390000000</v>
      </c>
      <c r="R1577" s="1185" t="str">
        <f t="shared" si="327"/>
        <v/>
      </c>
      <c r="S1577" s="1185" t="str">
        <f>IF(AND(AD1577=1,R1577&lt;&gt;".")=TRUE,R1577/VLOOKUP(G1577,'Exchange Rates'!B:C,2,0),IF(R1577=".",".",""))</f>
        <v/>
      </c>
      <c r="T1577" s="1185" t="str">
        <f>IF(AD1577=1,IF(AF1577="Value is not given at all",".",IF(AF1577="Value is given by the source",S1577,IF(AF1577="Value is calculated with prices",(IF(SUMIFS(Q:Q,A:A,A1577)&gt;0,SUMIFS(Q:Q,A:A,A1577),"."))/VLOOKUP("USD",'Exchange Rates'!B:C,2,0),"Error with coding"))),"")</f>
        <v/>
      </c>
      <c r="U1577" s="1184" t="s">
        <v>365</v>
      </c>
      <c r="V1577" s="979" t="s">
        <v>4182</v>
      </c>
      <c r="W1577" s="973" t="s">
        <v>3955</v>
      </c>
      <c r="X1577" s="973" t="s">
        <v>3959</v>
      </c>
      <c r="Y1577" s="973" t="s">
        <v>4189</v>
      </c>
      <c r="Z1577" s="1191">
        <v>0</v>
      </c>
      <c r="AA1577" s="1194">
        <v>0</v>
      </c>
      <c r="AB1577" s="973" t="s">
        <v>4190</v>
      </c>
      <c r="AC1577" s="1192" t="str">
        <f>""</f>
        <v/>
      </c>
      <c r="AD1577" s="985">
        <v>0</v>
      </c>
      <c r="AE1577" s="1302" t="s">
        <v>368</v>
      </c>
      <c r="AF1577" s="1193" t="s">
        <v>368</v>
      </c>
      <c r="AG1577" s="985">
        <v>1</v>
      </c>
      <c r="AH1577" s="985">
        <v>9</v>
      </c>
      <c r="AI1577" s="985">
        <v>0</v>
      </c>
      <c r="AJ1577" s="1193">
        <f>VLOOKUP($I1577,'Price List, Weapons &amp; Items'!B:F,5,0)</f>
        <v>0</v>
      </c>
      <c r="AK1577" s="1193">
        <f t="shared" si="332"/>
        <v>0</v>
      </c>
      <c r="AL1577" s="1193">
        <f t="shared" si="333"/>
        <v>0</v>
      </c>
      <c r="AM1577" s="1193">
        <f t="shared" si="334"/>
        <v>0</v>
      </c>
      <c r="AN1577" s="1194" t="str">
        <f>VLOOKUP($I1577,'Price List, Weapons &amp; Items'!B:L,COLUMN('Price List, Weapons &amp; Items'!$J$11)-1,0)</f>
        <v>Military media (incl. websites)</v>
      </c>
      <c r="AO1577" s="1194" t="str">
        <f>IF(I1577=".",".",VLOOKUP($I1577,'Price List, Weapons &amp; Items'!B:J,3,0))</f>
        <v>Light Anti-armor Weapon (LAW)</v>
      </c>
      <c r="AP1577" s="1195" t="str">
        <f t="shared" ca="1" si="328"/>
        <v/>
      </c>
      <c r="AQ1577" s="1194">
        <f>VLOOKUP($I1577,'Price List, Weapons &amp; Items'!B:L,COLUMN('Price List, Weapons &amp; Items'!$L$11)-1,0)</f>
        <v>2</v>
      </c>
      <c r="AR1577" s="1194">
        <f t="shared" si="335"/>
        <v>1</v>
      </c>
      <c r="AS1577" s="1194">
        <f t="shared" si="336"/>
        <v>1</v>
      </c>
      <c r="AT1577" s="1194">
        <f t="shared" si="337"/>
        <v>1</v>
      </c>
      <c r="AU1577" s="1194" t="str">
        <f t="shared" si="339"/>
        <v>.</v>
      </c>
      <c r="AV1577" s="1194" t="str">
        <f t="shared" si="329"/>
        <v>.</v>
      </c>
      <c r="AW1577" s="1194" t="str">
        <f t="shared" si="338"/>
        <v>.</v>
      </c>
      <c r="AX1577" s="1194">
        <f>IFERROR(VLOOKUP(B1577,'Share, Heavy Weapons to Ukraine'!B:Z,COLUMN('Share, Heavy Weapons to Ukraine'!C1589)-1,0),0)</f>
        <v>1</v>
      </c>
      <c r="AY1577" s="1194">
        <f>VLOOKUP('Bilateral Assistance, MAIN DATA'!B1577,'Country Summary (€)'!B:F,COLUMN('Country Summary (€)'!C1590)-1,FALSE)</f>
        <v>0</v>
      </c>
      <c r="AZ1577" s="1194" t="str">
        <f>IF(AND(AD1577=1,D1577="Military",H1577&lt;&gt;"Not given")=TRUE,IF(SUMIFS(P:P,A:A,A1577)&gt;0,ABS((SUMIFS(P:P,A:A,A1577)/VLOOKUP("USD",'Exchange Rates'!B:C,2,0)))/S1577,"."),".")</f>
        <v>.</v>
      </c>
      <c r="BA1577" s="1196" t="str">
        <f>IF(AND(AD1577=1,D1577="Military",H1577&lt;&gt;"Not given")=TRUE,IF(SUMIFS(P:P,A:A,A1577)&gt;0,IF((ABS((SUMIFS(P:P,A:A,A1577)/VLOOKUP("USD",'Exchange Rates'!B:C,2,0)))/S1577)&gt;1,(SUMIFS(P:P,A:A,A1577)-S1577)/S1577,(S1577-SUMIFS(P:P,A:A,A1577))/SUMIFS(P:P,A:A,A1577)),"."),".")</f>
        <v>.</v>
      </c>
    </row>
    <row r="1578" spans="1:53" ht="15.95" customHeight="1">
      <c r="A1578" s="1182" t="s">
        <v>3987</v>
      </c>
      <c r="B1578" s="1208" t="s">
        <v>3949</v>
      </c>
      <c r="C1578" s="1220">
        <v>44812</v>
      </c>
      <c r="D1578" s="1208" t="s">
        <v>389</v>
      </c>
      <c r="E1578" s="1182" t="s">
        <v>1676</v>
      </c>
      <c r="F1578" s="1183" t="s">
        <v>4181</v>
      </c>
      <c r="G1578" s="1184" t="s">
        <v>456</v>
      </c>
      <c r="H1578" s="1221">
        <v>675000000</v>
      </c>
      <c r="I1578" s="1208" t="s">
        <v>4191</v>
      </c>
      <c r="J1578" s="1186" t="str">
        <f>VLOOKUP($I1578,'Price List, Weapons &amp; Items'!B:C,2,0)</f>
        <v>Ammunition for heavy weapon</v>
      </c>
      <c r="K1578" s="1186" t="str">
        <f>IF(I1578=".",I1578,VLOOKUP($I1578,'Price List, Weapons &amp; Items'!B:D,3,0))</f>
        <v>155mm howitzer ammunition</v>
      </c>
      <c r="L1578" s="1187">
        <f>VLOOKUP(I1578,'Price List, Weapons &amp; Items'!B:E,4,0)</f>
        <v>0</v>
      </c>
      <c r="M1578" s="1241">
        <v>1000</v>
      </c>
      <c r="N1578" s="1188">
        <v>1000</v>
      </c>
      <c r="O1578" s="1188" t="str">
        <f>VLOOKUP($I1578,'Price List, Weapons &amp; Items'!B:G,6,0)</f>
        <v>.</v>
      </c>
      <c r="P1578" s="1185" t="str">
        <f t="shared" si="330"/>
        <v>No price</v>
      </c>
      <c r="Q1578" s="1185" t="str">
        <f t="shared" si="331"/>
        <v>No price</v>
      </c>
      <c r="R1578" s="1185" t="str">
        <f t="shared" si="327"/>
        <v/>
      </c>
      <c r="S1578" s="1185" t="str">
        <f>IF(AND(AD1578=1,R1578&lt;&gt;".")=TRUE,R1578/VLOOKUP(G1578,'Exchange Rates'!B:C,2,0),IF(R1578=".",".",""))</f>
        <v/>
      </c>
      <c r="T1578" s="1185" t="str">
        <f>IF(AD1578=1,IF(AF1578="Value is not given at all",".",IF(AF1578="Value is given by the source",S1578,IF(AF1578="Value is calculated with prices",(IF(SUMIFS(Q:Q,A:A,A1578)&gt;0,SUMIFS(Q:Q,A:A,A1578),"."))/VLOOKUP("USD",'Exchange Rates'!B:C,2,0),"Error with coding"))),"")</f>
        <v/>
      </c>
      <c r="U1578" s="1184" t="s">
        <v>365</v>
      </c>
      <c r="V1578" s="979" t="s">
        <v>4182</v>
      </c>
      <c r="W1578" s="973" t="s">
        <v>3955</v>
      </c>
      <c r="X1578" s="973" t="s">
        <v>3959</v>
      </c>
      <c r="Y1578" s="973" t="s">
        <v>4190</v>
      </c>
      <c r="Z1578" s="1191">
        <v>0</v>
      </c>
      <c r="AA1578" s="1194">
        <v>0</v>
      </c>
      <c r="AB1578" s="973" t="s">
        <v>4192</v>
      </c>
      <c r="AC1578" s="1192" t="str">
        <f>""</f>
        <v/>
      </c>
      <c r="AD1578" s="985">
        <v>0</v>
      </c>
      <c r="AE1578" s="1302" t="s">
        <v>368</v>
      </c>
      <c r="AF1578" s="1193" t="s">
        <v>368</v>
      </c>
      <c r="AG1578" s="985">
        <v>1</v>
      </c>
      <c r="AH1578" s="985">
        <v>9</v>
      </c>
      <c r="AI1578" s="985">
        <v>0</v>
      </c>
      <c r="AJ1578" s="1193">
        <f>VLOOKUP($I1578,'Price List, Weapons &amp; Items'!B:F,5,0)</f>
        <v>1</v>
      </c>
      <c r="AK1578" s="1193">
        <f t="shared" si="332"/>
        <v>0</v>
      </c>
      <c r="AL1578" s="1193">
        <f t="shared" si="333"/>
        <v>0</v>
      </c>
      <c r="AM1578" s="1193">
        <f t="shared" si="334"/>
        <v>0</v>
      </c>
      <c r="AN1578" s="1194" t="str">
        <f>VLOOKUP($I1578,'Price List, Weapons &amp; Items'!B:L,COLUMN('Price List, Weapons &amp; Items'!$J$11)-1,0)</f>
        <v>.</v>
      </c>
      <c r="AO1578" s="1194" t="str">
        <f>IF(I1578=".",".",VLOOKUP($I1578,'Price List, Weapons &amp; Items'!B:J,3,0))</f>
        <v>155mm howitzer ammunition</v>
      </c>
      <c r="AP1578" s="1195" t="str">
        <f t="shared" ca="1" si="328"/>
        <v/>
      </c>
      <c r="AQ1578" s="1194">
        <f>VLOOKUP($I1578,'Price List, Weapons &amp; Items'!B:L,COLUMN('Price List, Weapons &amp; Items'!$L$11)-1,0)</f>
        <v>0</v>
      </c>
      <c r="AR1578" s="1194">
        <f t="shared" si="335"/>
        <v>1</v>
      </c>
      <c r="AS1578" s="1194">
        <f t="shared" si="336"/>
        <v>1</v>
      </c>
      <c r="AT1578" s="1194">
        <f t="shared" si="337"/>
        <v>1</v>
      </c>
      <c r="AU1578" s="1194" t="str">
        <f t="shared" si="339"/>
        <v>.</v>
      </c>
      <c r="AV1578" s="1194" t="str">
        <f t="shared" si="329"/>
        <v>.</v>
      </c>
      <c r="AW1578" s="1194" t="str">
        <f t="shared" si="338"/>
        <v>.</v>
      </c>
      <c r="AX1578" s="1194">
        <f>IFERROR(VLOOKUP(B1578,'Share, Heavy Weapons to Ukraine'!B:Z,COLUMN('Share, Heavy Weapons to Ukraine'!C1590)-1,0),0)</f>
        <v>1</v>
      </c>
      <c r="AY1578" s="1194">
        <f>VLOOKUP('Bilateral Assistance, MAIN DATA'!B1578,'Country Summary (€)'!B:F,COLUMN('Country Summary (€)'!C1591)-1,FALSE)</f>
        <v>0</v>
      </c>
      <c r="AZ1578" s="1194" t="str">
        <f>IF(AND(AD1578=1,D1578="Military",H1578&lt;&gt;"Not given")=TRUE,IF(SUMIFS(P:P,A:A,A1578)&gt;0,ABS((SUMIFS(P:P,A:A,A1578)/VLOOKUP("USD",'Exchange Rates'!B:C,2,0)))/S1578,"."),".")</f>
        <v>.</v>
      </c>
      <c r="BA1578" s="1196" t="str">
        <f>IF(AND(AD1578=1,D1578="Military",H1578&lt;&gt;"Not given")=TRUE,IF(SUMIFS(P:P,A:A,A1578)&gt;0,IF((ABS((SUMIFS(P:P,A:A,A1578)/VLOOKUP("USD",'Exchange Rates'!B:C,2,0)))/S1578)&gt;1,(SUMIFS(P:P,A:A,A1578)-S1578)/S1578,(S1578-SUMIFS(P:P,A:A,A1578))/SUMIFS(P:P,A:A,A1578)),"."),".")</f>
        <v>.</v>
      </c>
    </row>
    <row r="1579" spans="1:53" ht="15.95" customHeight="1">
      <c r="A1579" s="1182" t="s">
        <v>3987</v>
      </c>
      <c r="B1579" s="1208" t="s">
        <v>3949</v>
      </c>
      <c r="C1579" s="1220">
        <v>44812</v>
      </c>
      <c r="D1579" s="1208" t="s">
        <v>389</v>
      </c>
      <c r="E1579" s="1182" t="s">
        <v>1676</v>
      </c>
      <c r="F1579" s="1183" t="s">
        <v>4181</v>
      </c>
      <c r="G1579" s="1184" t="s">
        <v>456</v>
      </c>
      <c r="H1579" s="1221">
        <v>675000000</v>
      </c>
      <c r="I1579" s="1208" t="s">
        <v>648</v>
      </c>
      <c r="J1579" s="1186" t="str">
        <f>VLOOKUP($I1579,'Price List, Weapons &amp; Items'!B:C,2,0)</f>
        <v>Light armaments &amp; infantry</v>
      </c>
      <c r="K1579" s="1186" t="str">
        <f>IF(I1579=".",I1579,VLOOKUP($I1579,'Price List, Weapons &amp; Items'!B:D,3,0))</f>
        <v>Light Anti-armor Weapon (LAW)</v>
      </c>
      <c r="L1579" s="1187">
        <f>VLOOKUP(I1579,'Price List, Weapons &amp; Items'!B:E,4,0)</f>
        <v>0</v>
      </c>
      <c r="M1579" s="1241">
        <v>4300</v>
      </c>
      <c r="N1579" s="1188" t="s">
        <v>374</v>
      </c>
      <c r="O1579" s="1188">
        <f>VLOOKUP($I1579,'Price List, Weapons &amp; Items'!B:G,6,0)</f>
        <v>2099</v>
      </c>
      <c r="P1579" s="1185">
        <f t="shared" si="330"/>
        <v>9025700</v>
      </c>
      <c r="Q1579" s="1185" t="str">
        <f t="shared" si="331"/>
        <v>.</v>
      </c>
      <c r="R1579" s="1185" t="str">
        <f t="shared" si="327"/>
        <v/>
      </c>
      <c r="S1579" s="1185" t="str">
        <f>IF(AND(AD1579=1,R1579&lt;&gt;".")=TRUE,R1579/VLOOKUP(G1579,'Exchange Rates'!B:C,2,0),IF(R1579=".",".",""))</f>
        <v/>
      </c>
      <c r="T1579" s="1185" t="str">
        <f>IF(AD1579=1,IF(AF1579="Value is not given at all",".",IF(AF1579="Value is given by the source",S1579,IF(AF1579="Value is calculated with prices",(IF(SUMIFS(Q:Q,A:A,A1579)&gt;0,SUMIFS(Q:Q,A:A,A1579),"."))/VLOOKUP("USD",'Exchange Rates'!B:C,2,0),"Error with coding"))),"")</f>
        <v/>
      </c>
      <c r="U1579" s="1184" t="s">
        <v>365</v>
      </c>
      <c r="V1579" s="979" t="s">
        <v>4182</v>
      </c>
      <c r="W1579" s="973" t="s">
        <v>3955</v>
      </c>
      <c r="X1579" s="973" t="s">
        <v>3959</v>
      </c>
      <c r="Y1579" s="973" t="s">
        <v>4192</v>
      </c>
      <c r="Z1579" s="1191">
        <v>0</v>
      </c>
      <c r="AA1579" s="1194">
        <v>0</v>
      </c>
      <c r="AB1579" s="973" t="s">
        <v>4193</v>
      </c>
      <c r="AC1579" s="1192" t="str">
        <f>""</f>
        <v/>
      </c>
      <c r="AD1579" s="985">
        <v>0</v>
      </c>
      <c r="AE1579" s="1302" t="s">
        <v>368</v>
      </c>
      <c r="AF1579" s="1193" t="s">
        <v>368</v>
      </c>
      <c r="AG1579" s="985">
        <v>1</v>
      </c>
      <c r="AH1579" s="985">
        <v>9</v>
      </c>
      <c r="AI1579" s="985">
        <v>0</v>
      </c>
      <c r="AJ1579" s="1193">
        <f>VLOOKUP($I1579,'Price List, Weapons &amp; Items'!B:F,5,0)</f>
        <v>0</v>
      </c>
      <c r="AK1579" s="1193">
        <f t="shared" si="332"/>
        <v>0</v>
      </c>
      <c r="AL1579" s="1193">
        <f t="shared" si="333"/>
        <v>0</v>
      </c>
      <c r="AM1579" s="1193">
        <f t="shared" si="334"/>
        <v>0</v>
      </c>
      <c r="AN1579" s="1194" t="str">
        <f>VLOOKUP($I1579,'Price List, Weapons &amp; Items'!B:L,COLUMN('Price List, Weapons &amp; Items'!$J$11)-1,0)</f>
        <v>Media reports (incl. social media)</v>
      </c>
      <c r="AO1579" s="1194" t="str">
        <f>IF(I1579=".",".",VLOOKUP($I1579,'Price List, Weapons &amp; Items'!B:J,3,0))</f>
        <v>Light Anti-armor Weapon (LAW)</v>
      </c>
      <c r="AP1579" s="1195" t="str">
        <f t="shared" ca="1" si="328"/>
        <v/>
      </c>
      <c r="AQ1579" s="1194">
        <f>VLOOKUP($I1579,'Price List, Weapons &amp; Items'!B:L,COLUMN('Price List, Weapons &amp; Items'!$L$11)-1,0)</f>
        <v>2</v>
      </c>
      <c r="AR1579" s="1194">
        <f t="shared" si="335"/>
        <v>1</v>
      </c>
      <c r="AS1579" s="1194">
        <f t="shared" si="336"/>
        <v>1</v>
      </c>
      <c r="AT1579" s="1194">
        <f t="shared" si="337"/>
        <v>1</v>
      </c>
      <c r="AU1579" s="1194" t="str">
        <f t="shared" si="339"/>
        <v>.</v>
      </c>
      <c r="AV1579" s="1194" t="str">
        <f t="shared" si="329"/>
        <v>.</v>
      </c>
      <c r="AW1579" s="1194" t="str">
        <f t="shared" si="338"/>
        <v>.</v>
      </c>
      <c r="AX1579" s="1194">
        <f>IFERROR(VLOOKUP(B1579,'Share, Heavy Weapons to Ukraine'!B:Z,COLUMN('Share, Heavy Weapons to Ukraine'!C1591)-1,0),0)</f>
        <v>1</v>
      </c>
      <c r="AY1579" s="1194">
        <f>VLOOKUP('Bilateral Assistance, MAIN DATA'!B1579,'Country Summary (€)'!B:F,COLUMN('Country Summary (€)'!C1592)-1,FALSE)</f>
        <v>0</v>
      </c>
      <c r="AZ1579" s="1194" t="str">
        <f>IF(AND(AD1579=1,D1579="Military",H1579&lt;&gt;"Not given")=TRUE,IF(SUMIFS(P:P,A:A,A1579)&gt;0,ABS((SUMIFS(P:P,A:A,A1579)/VLOOKUP("USD",'Exchange Rates'!B:C,2,0)))/S1579,"."),".")</f>
        <v>.</v>
      </c>
      <c r="BA1579" s="1196" t="str">
        <f>IF(AND(AD1579=1,D1579="Military",H1579&lt;&gt;"Not given")=TRUE,IF(SUMIFS(P:P,A:A,A1579)&gt;0,IF((ABS((SUMIFS(P:P,A:A,A1579)/VLOOKUP("USD",'Exchange Rates'!B:C,2,0)))/S1579)&gt;1,(SUMIFS(P:P,A:A,A1579)-S1579)/S1579,(S1579-SUMIFS(P:P,A:A,A1579))/SUMIFS(P:P,A:A,A1579)),"."),".")</f>
        <v>.</v>
      </c>
    </row>
    <row r="1580" spans="1:53" ht="15.95" customHeight="1">
      <c r="A1580" s="1182" t="s">
        <v>3987</v>
      </c>
      <c r="B1580" s="1208" t="s">
        <v>3949</v>
      </c>
      <c r="C1580" s="1220">
        <v>44812</v>
      </c>
      <c r="D1580" s="1208" t="s">
        <v>389</v>
      </c>
      <c r="E1580" s="1182" t="s">
        <v>1676</v>
      </c>
      <c r="F1580" s="1183" t="s">
        <v>4181</v>
      </c>
      <c r="G1580" s="1184" t="s">
        <v>456</v>
      </c>
      <c r="H1580" s="1221">
        <v>675000000</v>
      </c>
      <c r="I1580" s="1208" t="s">
        <v>4144</v>
      </c>
      <c r="J1580" s="1186" t="str">
        <f>VLOOKUP($I1580,'Price List, Weapons &amp; Items'!B:C,2,0)</f>
        <v>Heavy weapon</v>
      </c>
      <c r="K1580" s="1186" t="str">
        <f>IF(I1580=".",I1580,VLOOKUP($I1580,'Price List, Weapons &amp; Items'!B:D,3,0))</f>
        <v>Armored Utility Vehicle (AUV)</v>
      </c>
      <c r="L1580" s="1187">
        <f>VLOOKUP(I1580,'Price List, Weapons &amp; Items'!B:E,4,0)</f>
        <v>0</v>
      </c>
      <c r="M1580" s="1241">
        <v>50</v>
      </c>
      <c r="N1580" s="1188">
        <v>50</v>
      </c>
      <c r="O1580" s="1188">
        <f>VLOOKUP($I1580,'Price List, Weapons &amp; Items'!B:G,6,0)</f>
        <v>274051.65999999997</v>
      </c>
      <c r="P1580" s="1185">
        <f t="shared" si="330"/>
        <v>13702582.999999998</v>
      </c>
      <c r="Q1580" s="1185">
        <f t="shared" si="331"/>
        <v>13702582.999999998</v>
      </c>
      <c r="R1580" s="1185" t="str">
        <f t="shared" si="327"/>
        <v/>
      </c>
      <c r="S1580" s="1185" t="str">
        <f>IF(AND(AD1580=1,R1580&lt;&gt;".")=TRUE,R1580/VLOOKUP(G1580,'Exchange Rates'!B:C,2,0),IF(R1580=".",".",""))</f>
        <v/>
      </c>
      <c r="T1580" s="1185" t="str">
        <f>IF(AD1580=1,IF(AF1580="Value is not given at all",".",IF(AF1580="Value is given by the source",S1580,IF(AF1580="Value is calculated with prices",(IF(SUMIFS(Q:Q,A:A,A1580)&gt;0,SUMIFS(Q:Q,A:A,A1580),"."))/VLOOKUP("USD",'Exchange Rates'!B:C,2,0),"Error with coding"))),"")</f>
        <v/>
      </c>
      <c r="U1580" s="1184" t="s">
        <v>365</v>
      </c>
      <c r="V1580" s="979" t="s">
        <v>4182</v>
      </c>
      <c r="W1580" s="973" t="s">
        <v>3955</v>
      </c>
      <c r="X1580" s="973" t="s">
        <v>3959</v>
      </c>
      <c r="Y1580" s="973" t="s">
        <v>4193</v>
      </c>
      <c r="Z1580" s="1191">
        <v>0</v>
      </c>
      <c r="AA1580" s="1194">
        <v>0</v>
      </c>
      <c r="AB1580" s="973" t="s">
        <v>4194</v>
      </c>
      <c r="AC1580" s="1192" t="str">
        <f>""</f>
        <v/>
      </c>
      <c r="AD1580" s="985">
        <v>0</v>
      </c>
      <c r="AE1580" s="1302" t="s">
        <v>368</v>
      </c>
      <c r="AF1580" s="1193" t="s">
        <v>368</v>
      </c>
      <c r="AG1580" s="985">
        <v>1</v>
      </c>
      <c r="AH1580" s="985">
        <v>9</v>
      </c>
      <c r="AI1580" s="985">
        <v>0</v>
      </c>
      <c r="AJ1580" s="1193">
        <f>VLOOKUP($I1580,'Price List, Weapons &amp; Items'!B:F,5,0)</f>
        <v>1</v>
      </c>
      <c r="AK1580" s="1193">
        <f t="shared" si="332"/>
        <v>0</v>
      </c>
      <c r="AL1580" s="1193">
        <f t="shared" si="333"/>
        <v>0</v>
      </c>
      <c r="AM1580" s="1193">
        <f t="shared" si="334"/>
        <v>0</v>
      </c>
      <c r="AN1580" s="1194" t="str">
        <f>VLOOKUP($I1580,'Price List, Weapons &amp; Items'!B:L,COLUMN('Price List, Weapons &amp; Items'!$J$11)-1,0)</f>
        <v>Military media (incl. websites)</v>
      </c>
      <c r="AO1580" s="1194" t="str">
        <f>IF(I1580=".",".",VLOOKUP($I1580,'Price List, Weapons &amp; Items'!B:J,3,0))</f>
        <v>Armored Utility Vehicle (AUV)</v>
      </c>
      <c r="AP1580" s="1195" t="str">
        <f t="shared" ca="1" si="328"/>
        <v/>
      </c>
      <c r="AQ1580" s="1194">
        <f>VLOOKUP($I1580,'Price List, Weapons &amp; Items'!B:L,COLUMN('Price List, Weapons &amp; Items'!$L$11)-1,0)</f>
        <v>2</v>
      </c>
      <c r="AR1580" s="1194">
        <f t="shared" si="335"/>
        <v>1</v>
      </c>
      <c r="AS1580" s="1194">
        <f t="shared" si="336"/>
        <v>1</v>
      </c>
      <c r="AT1580" s="1194">
        <f t="shared" si="337"/>
        <v>1</v>
      </c>
      <c r="AU1580" s="1194" t="str">
        <f t="shared" si="339"/>
        <v>.</v>
      </c>
      <c r="AV1580" s="1194" t="str">
        <f t="shared" si="329"/>
        <v>.</v>
      </c>
      <c r="AW1580" s="1194" t="str">
        <f t="shared" si="338"/>
        <v>.</v>
      </c>
      <c r="AX1580" s="1194">
        <f>IFERROR(VLOOKUP(B1580,'Share, Heavy Weapons to Ukraine'!B:Z,COLUMN('Share, Heavy Weapons to Ukraine'!C1592)-1,0),0)</f>
        <v>1</v>
      </c>
      <c r="AY1580" s="1194">
        <f>VLOOKUP('Bilateral Assistance, MAIN DATA'!B1580,'Country Summary (€)'!B:F,COLUMN('Country Summary (€)'!C1593)-1,FALSE)</f>
        <v>0</v>
      </c>
      <c r="AZ1580" s="1194" t="str">
        <f>IF(AND(AD1580=1,D1580="Military",H1580&lt;&gt;"Not given")=TRUE,IF(SUMIFS(P:P,A:A,A1580)&gt;0,ABS((SUMIFS(P:P,A:A,A1580)/VLOOKUP("USD",'Exchange Rates'!B:C,2,0)))/S1580,"."),".")</f>
        <v>.</v>
      </c>
      <c r="BA1580" s="1196" t="str">
        <f>IF(AND(AD1580=1,D1580="Military",H1580&lt;&gt;"Not given")=TRUE,IF(SUMIFS(P:P,A:A,A1580)&gt;0,IF((ABS((SUMIFS(P:P,A:A,A1580)/VLOOKUP("USD",'Exchange Rates'!B:C,2,0)))/S1580)&gt;1,(SUMIFS(P:P,A:A,A1580)-S1580)/S1580,(S1580-SUMIFS(P:P,A:A,A1580))/SUMIFS(P:P,A:A,A1580)),"."),".")</f>
        <v>.</v>
      </c>
    </row>
    <row r="1581" spans="1:53" ht="15.95" customHeight="1">
      <c r="A1581" s="1182" t="s">
        <v>3987</v>
      </c>
      <c r="B1581" s="1208" t="s">
        <v>3949</v>
      </c>
      <c r="C1581" s="1220">
        <v>44812</v>
      </c>
      <c r="D1581" s="1208" t="s">
        <v>389</v>
      </c>
      <c r="E1581" s="1182" t="s">
        <v>1676</v>
      </c>
      <c r="F1581" s="1183" t="s">
        <v>4181</v>
      </c>
      <c r="G1581" s="1184" t="s">
        <v>456</v>
      </c>
      <c r="H1581" s="1221">
        <v>675000000</v>
      </c>
      <c r="I1581" s="1208" t="s">
        <v>1405</v>
      </c>
      <c r="J1581" s="1186" t="str">
        <f>VLOOKUP($I1581,'Price List, Weapons &amp; Items'!B:C,2,0)</f>
        <v>Military equipment</v>
      </c>
      <c r="K1581" s="1186" t="str">
        <f>IF(I1581=".",I1581,VLOOKUP($I1581,'Price List, Weapons &amp; Items'!B:D,3,0))</f>
        <v>Military equipment</v>
      </c>
      <c r="L1581" s="1187">
        <f>VLOOKUP(I1581,'Price List, Weapons &amp; Items'!B:E,4,0)</f>
        <v>0</v>
      </c>
      <c r="M1581" s="1241" t="s">
        <v>374</v>
      </c>
      <c r="N1581" s="1188" t="s">
        <v>374</v>
      </c>
      <c r="O1581" s="1188">
        <f>VLOOKUP($I1581,'Price List, Weapons &amp; Items'!B:G,6,0)</f>
        <v>2320</v>
      </c>
      <c r="P1581" s="1185" t="str">
        <f t="shared" si="330"/>
        <v>.</v>
      </c>
      <c r="Q1581" s="1185" t="str">
        <f t="shared" si="331"/>
        <v>.</v>
      </c>
      <c r="R1581" s="1185" t="str">
        <f t="shared" si="327"/>
        <v/>
      </c>
      <c r="S1581" s="1185" t="str">
        <f>IF(AND(AD1581=1,R1581&lt;&gt;".")=TRUE,R1581/VLOOKUP(G1581,'Exchange Rates'!B:C,2,0),IF(R1581=".",".",""))</f>
        <v/>
      </c>
      <c r="T1581" s="1185" t="str">
        <f>IF(AD1581=1,IF(AF1581="Value is not given at all",".",IF(AF1581="Value is given by the source",S1581,IF(AF1581="Value is calculated with prices",(IF(SUMIFS(Q:Q,A:A,A1581)&gt;0,SUMIFS(Q:Q,A:A,A1581),"."))/VLOOKUP("USD",'Exchange Rates'!B:C,2,0),"Error with coding"))),"")</f>
        <v/>
      </c>
      <c r="U1581" s="1184" t="s">
        <v>365</v>
      </c>
      <c r="V1581" s="979" t="s">
        <v>4182</v>
      </c>
      <c r="W1581" s="973" t="s">
        <v>3955</v>
      </c>
      <c r="X1581" s="973" t="s">
        <v>3959</v>
      </c>
      <c r="Y1581" s="973" t="s">
        <v>4194</v>
      </c>
      <c r="Z1581" s="1191">
        <v>0</v>
      </c>
      <c r="AA1581" s="1194">
        <v>0</v>
      </c>
      <c r="AB1581" s="973" t="s">
        <v>4195</v>
      </c>
      <c r="AC1581" s="1192" t="str">
        <f>""</f>
        <v/>
      </c>
      <c r="AD1581" s="985">
        <v>0</v>
      </c>
      <c r="AE1581" s="1302" t="s">
        <v>368</v>
      </c>
      <c r="AF1581" s="1193" t="s">
        <v>368</v>
      </c>
      <c r="AG1581" s="985">
        <v>1</v>
      </c>
      <c r="AH1581" s="985">
        <v>9</v>
      </c>
      <c r="AI1581" s="985">
        <v>0</v>
      </c>
      <c r="AJ1581" s="1193">
        <f>VLOOKUP($I1581,'Price List, Weapons &amp; Items'!B:F,5,0)</f>
        <v>0</v>
      </c>
      <c r="AK1581" s="1193">
        <f t="shared" si="332"/>
        <v>0</v>
      </c>
      <c r="AL1581" s="1193">
        <f t="shared" si="333"/>
        <v>0</v>
      </c>
      <c r="AM1581" s="1193">
        <f t="shared" si="334"/>
        <v>0</v>
      </c>
      <c r="AN1581" s="1194" t="str">
        <f>VLOOKUP($I1581,'Price List, Weapons &amp; Items'!B:L,COLUMN('Price List, Weapons &amp; Items'!$J$11)-1,0)</f>
        <v>Media reports (incl. social media)</v>
      </c>
      <c r="AO1581" s="1194" t="str">
        <f>IF(I1581=".",".",VLOOKUP($I1581,'Price List, Weapons &amp; Items'!B:J,3,0))</f>
        <v>Military equipment</v>
      </c>
      <c r="AP1581" s="1195" t="str">
        <f t="shared" ca="1" si="328"/>
        <v/>
      </c>
      <c r="AQ1581" s="1194">
        <f>VLOOKUP($I1581,'Price List, Weapons &amp; Items'!B:L,COLUMN('Price List, Weapons &amp; Items'!$L$11)-1,0)</f>
        <v>2</v>
      </c>
      <c r="AR1581" s="1194">
        <f t="shared" si="335"/>
        <v>1</v>
      </c>
      <c r="AS1581" s="1194">
        <f t="shared" si="336"/>
        <v>1</v>
      </c>
      <c r="AT1581" s="1194">
        <f t="shared" si="337"/>
        <v>1</v>
      </c>
      <c r="AU1581" s="1194" t="str">
        <f t="shared" si="339"/>
        <v>.</v>
      </c>
      <c r="AV1581" s="1194" t="str">
        <f t="shared" si="329"/>
        <v>.</v>
      </c>
      <c r="AW1581" s="1194" t="str">
        <f t="shared" si="338"/>
        <v>.</v>
      </c>
      <c r="AX1581" s="1194">
        <f>IFERROR(VLOOKUP(B1581,'Share, Heavy Weapons to Ukraine'!B:Z,COLUMN('Share, Heavy Weapons to Ukraine'!C1593)-1,0),0)</f>
        <v>1</v>
      </c>
      <c r="AY1581" s="1194">
        <f>VLOOKUP('Bilateral Assistance, MAIN DATA'!B1581,'Country Summary (€)'!B:F,COLUMN('Country Summary (€)'!C1594)-1,FALSE)</f>
        <v>0</v>
      </c>
      <c r="AZ1581" s="1194" t="str">
        <f>IF(AND(AD1581=1,D1581="Military",H1581&lt;&gt;"Not given")=TRUE,IF(SUMIFS(P:P,A:A,A1581)&gt;0,ABS((SUMIFS(P:P,A:A,A1581)/VLOOKUP("USD",'Exchange Rates'!B:C,2,0)))/S1581,"."),".")</f>
        <v>.</v>
      </c>
      <c r="BA1581" s="1196" t="str">
        <f>IF(AND(AD1581=1,D1581="Military",H1581&lt;&gt;"Not given")=TRUE,IF(SUMIFS(P:P,A:A,A1581)&gt;0,IF((ABS((SUMIFS(P:P,A:A,A1581)/VLOOKUP("USD",'Exchange Rates'!B:C,2,0)))/S1581)&gt;1,(SUMIFS(P:P,A:A,A1581)-S1581)/S1581,(S1581-SUMIFS(P:P,A:A,A1581))/SUMIFS(P:P,A:A,A1581)),"."),".")</f>
        <v>.</v>
      </c>
    </row>
    <row r="1582" spans="1:53" ht="15.95" customHeight="1">
      <c r="A1582" s="1182" t="s">
        <v>3987</v>
      </c>
      <c r="B1582" s="1208" t="s">
        <v>3949</v>
      </c>
      <c r="C1582" s="1220">
        <v>44812</v>
      </c>
      <c r="D1582" s="1208" t="s">
        <v>389</v>
      </c>
      <c r="E1582" s="1182" t="s">
        <v>1676</v>
      </c>
      <c r="F1582" s="1183" t="s">
        <v>4181</v>
      </c>
      <c r="G1582" s="1184" t="s">
        <v>456</v>
      </c>
      <c r="H1582" s="1221">
        <v>675000000</v>
      </c>
      <c r="I1582" s="1208" t="s">
        <v>4196</v>
      </c>
      <c r="J1582" s="1186" t="str">
        <f>VLOOKUP($I1582,'Price List, Weapons &amp; Items'!B:C,2,0)</f>
        <v>Military equipment</v>
      </c>
      <c r="K1582" s="1186" t="str">
        <f>IF(I1582=".",I1582,VLOOKUP($I1582,'Price List, Weapons &amp; Items'!B:D,3,0))</f>
        <v>Military equipment</v>
      </c>
      <c r="L1582" s="1187">
        <f>VLOOKUP(I1582,'Price List, Weapons &amp; Items'!B:E,4,0)</f>
        <v>0</v>
      </c>
      <c r="M1582" s="1241" t="s">
        <v>374</v>
      </c>
      <c r="N1582" s="1188" t="s">
        <v>374</v>
      </c>
      <c r="O1582" s="1188" t="str">
        <f>VLOOKUP($I1582,'Price List, Weapons &amp; Items'!B:G,6,0)</f>
        <v>.</v>
      </c>
      <c r="P1582" s="1185" t="str">
        <f t="shared" si="330"/>
        <v>.</v>
      </c>
      <c r="Q1582" s="1185" t="str">
        <f t="shared" si="331"/>
        <v>.</v>
      </c>
      <c r="R1582" s="1185" t="str">
        <f t="shared" si="327"/>
        <v/>
      </c>
      <c r="S1582" s="1185" t="str">
        <f>IF(AND(AD1582=1,R1582&lt;&gt;".")=TRUE,R1582/VLOOKUP(G1582,'Exchange Rates'!B:C,2,0),IF(R1582=".",".",""))</f>
        <v/>
      </c>
      <c r="T1582" s="1185" t="str">
        <f>IF(AD1582=1,IF(AF1582="Value is not given at all",".",IF(AF1582="Value is given by the source",S1582,IF(AF1582="Value is calculated with prices",(IF(SUMIFS(Q:Q,A:A,A1582)&gt;0,SUMIFS(Q:Q,A:A,A1582),"."))/VLOOKUP("USD",'Exchange Rates'!B:C,2,0),"Error with coding"))),"")</f>
        <v/>
      </c>
      <c r="U1582" s="1184" t="s">
        <v>365</v>
      </c>
      <c r="V1582" s="979" t="s">
        <v>4182</v>
      </c>
      <c r="W1582" s="973" t="s">
        <v>3955</v>
      </c>
      <c r="X1582" s="973" t="s">
        <v>3959</v>
      </c>
      <c r="Y1582" s="973" t="s">
        <v>4195</v>
      </c>
      <c r="Z1582" s="1191">
        <v>0</v>
      </c>
      <c r="AA1582" s="1194">
        <v>0</v>
      </c>
      <c r="AB1582" s="973" t="s">
        <v>4197</v>
      </c>
      <c r="AC1582" s="1192" t="str">
        <f>""</f>
        <v/>
      </c>
      <c r="AD1582" s="985">
        <v>0</v>
      </c>
      <c r="AE1582" s="1302" t="s">
        <v>368</v>
      </c>
      <c r="AF1582" s="1193" t="s">
        <v>368</v>
      </c>
      <c r="AG1582" s="985">
        <v>1</v>
      </c>
      <c r="AH1582" s="985">
        <v>9</v>
      </c>
      <c r="AI1582" s="985">
        <v>0</v>
      </c>
      <c r="AJ1582" s="1193">
        <f>VLOOKUP($I1582,'Price List, Weapons &amp; Items'!B:F,5,0)</f>
        <v>0</v>
      </c>
      <c r="AK1582" s="1193">
        <f t="shared" si="332"/>
        <v>0</v>
      </c>
      <c r="AL1582" s="1193">
        <f t="shared" si="333"/>
        <v>0</v>
      </c>
      <c r="AM1582" s="1193">
        <f t="shared" si="334"/>
        <v>0</v>
      </c>
      <c r="AN1582" s="1194" t="str">
        <f>VLOOKUP($I1582,'Price List, Weapons &amp; Items'!B:L,COLUMN('Price List, Weapons &amp; Items'!$J$11)-1,0)</f>
        <v>.</v>
      </c>
      <c r="AO1582" s="1194" t="str">
        <f>IF(I1582=".",".",VLOOKUP($I1582,'Price List, Weapons &amp; Items'!B:J,3,0))</f>
        <v>Military equipment</v>
      </c>
      <c r="AP1582" s="1195" t="str">
        <f t="shared" ca="1" si="328"/>
        <v/>
      </c>
      <c r="AQ1582" s="1194" t="str">
        <f>VLOOKUP($I1582,'Price List, Weapons &amp; Items'!B:L,COLUMN('Price List, Weapons &amp; Items'!$L$11)-1,0)</f>
        <v>no price, 0 count</v>
      </c>
      <c r="AR1582" s="1194">
        <f t="shared" si="335"/>
        <v>1</v>
      </c>
      <c r="AS1582" s="1194">
        <f t="shared" si="336"/>
        <v>1</v>
      </c>
      <c r="AT1582" s="1194">
        <f t="shared" si="337"/>
        <v>1</v>
      </c>
      <c r="AU1582" s="1194" t="str">
        <f t="shared" si="339"/>
        <v>.</v>
      </c>
      <c r="AV1582" s="1194" t="str">
        <f t="shared" si="329"/>
        <v>.</v>
      </c>
      <c r="AW1582" s="1194" t="str">
        <f t="shared" si="338"/>
        <v>.</v>
      </c>
      <c r="AX1582" s="1194">
        <f>IFERROR(VLOOKUP(B1582,'Share, Heavy Weapons to Ukraine'!B:Z,COLUMN('Share, Heavy Weapons to Ukraine'!C1594)-1,0),0)</f>
        <v>1</v>
      </c>
      <c r="AY1582" s="1194">
        <f>VLOOKUP('Bilateral Assistance, MAIN DATA'!B1582,'Country Summary (€)'!B:F,COLUMN('Country Summary (€)'!C1595)-1,FALSE)</f>
        <v>0</v>
      </c>
      <c r="AZ1582" s="1194" t="str">
        <f>IF(AND(AD1582=1,D1582="Military",H1582&lt;&gt;"Not given")=TRUE,IF(SUMIFS(P:P,A:A,A1582)&gt;0,ABS((SUMIFS(P:P,A:A,A1582)/VLOOKUP("USD",'Exchange Rates'!B:C,2,0)))/S1582,"."),".")</f>
        <v>.</v>
      </c>
      <c r="BA1582" s="1196" t="str">
        <f>IF(AND(AD1582=1,D1582="Military",H1582&lt;&gt;"Not given")=TRUE,IF(SUMIFS(P:P,A:A,A1582)&gt;0,IF((ABS((SUMIFS(P:P,A:A,A1582)/VLOOKUP("USD",'Exchange Rates'!B:C,2,0)))/S1582)&gt;1,(SUMIFS(P:P,A:A,A1582)-S1582)/S1582,(S1582-SUMIFS(P:P,A:A,A1582))/SUMIFS(P:P,A:A,A1582)),"."),".")</f>
        <v>.</v>
      </c>
    </row>
    <row r="1583" spans="1:53" ht="15.95" customHeight="1">
      <c r="A1583" s="1182" t="s">
        <v>3987</v>
      </c>
      <c r="B1583" s="1208" t="s">
        <v>3949</v>
      </c>
      <c r="C1583" s="1220">
        <v>44819</v>
      </c>
      <c r="D1583" s="1208" t="s">
        <v>389</v>
      </c>
      <c r="E1583" s="1182" t="s">
        <v>1676</v>
      </c>
      <c r="F1583" s="1183" t="s">
        <v>4198</v>
      </c>
      <c r="G1583" s="1184" t="s">
        <v>456</v>
      </c>
      <c r="H1583" s="1221">
        <v>600000000</v>
      </c>
      <c r="I1583" s="1208" t="s">
        <v>4093</v>
      </c>
      <c r="J1583" s="1186" t="str">
        <f>VLOOKUP($I1583,'Price List, Weapons &amp; Items'!B:C,2,0)</f>
        <v>Ammunition for heavy weapon</v>
      </c>
      <c r="K1583" s="1186" t="str">
        <f>IF(I1583=".",I1583,VLOOKUP($I1583,'Price List, Weapons &amp; Items'!B:D,3,0))</f>
        <v>227mm MLRS ammunition</v>
      </c>
      <c r="L1583" s="1187">
        <f>VLOOKUP(I1583,'Price List, Weapons &amp; Items'!B:E,4,0)</f>
        <v>0</v>
      </c>
      <c r="M1583" s="1241" t="s">
        <v>374</v>
      </c>
      <c r="N1583" s="1188" t="s">
        <v>374</v>
      </c>
      <c r="O1583" s="1188">
        <f>VLOOKUP($I1583,'Price List, Weapons &amp; Items'!B:G,6,0)</f>
        <v>150000</v>
      </c>
      <c r="P1583" s="1185" t="str">
        <f t="shared" si="330"/>
        <v>.</v>
      </c>
      <c r="Q1583" s="1185" t="str">
        <f t="shared" si="331"/>
        <v>.</v>
      </c>
      <c r="R1583" s="1185" t="str">
        <f t="shared" si="327"/>
        <v/>
      </c>
      <c r="S1583" s="1185" t="str">
        <f>IF(AND(AD1583=1,R1583&lt;&gt;".")=TRUE,R1583/VLOOKUP(G1583,'Exchange Rates'!B:C,2,0),IF(R1583=".",".",""))</f>
        <v/>
      </c>
      <c r="T1583" s="1185" t="str">
        <f>IF(AD1583=1,IF(AF1583="Value is not given at all",".",IF(AF1583="Value is given by the source",S1583,IF(AF1583="Value is calculated with prices",(IF(SUMIFS(Q:Q,A:A,A1583)&gt;0,SUMIFS(Q:Q,A:A,A1583),"."))/VLOOKUP("USD",'Exchange Rates'!B:C,2,0),"Error with coding"))),"")</f>
        <v/>
      </c>
      <c r="U1583" s="1184" t="s">
        <v>365</v>
      </c>
      <c r="V1583" s="979" t="s">
        <v>4199</v>
      </c>
      <c r="W1583" s="973" t="s">
        <v>3955</v>
      </c>
      <c r="X1583" s="973" t="s">
        <v>3959</v>
      </c>
      <c r="Y1583" s="973" t="s">
        <v>4197</v>
      </c>
      <c r="Z1583" s="1191">
        <v>0</v>
      </c>
      <c r="AA1583" s="1194">
        <v>0</v>
      </c>
      <c r="AB1583" s="973" t="s">
        <v>4200</v>
      </c>
      <c r="AC1583" s="1192" t="str">
        <f>""</f>
        <v/>
      </c>
      <c r="AD1583" s="985">
        <v>0</v>
      </c>
      <c r="AE1583" s="1302" t="s">
        <v>368</v>
      </c>
      <c r="AF1583" s="1193" t="s">
        <v>368</v>
      </c>
      <c r="AG1583" s="985">
        <v>1</v>
      </c>
      <c r="AH1583" s="985">
        <v>9</v>
      </c>
      <c r="AI1583" s="985">
        <v>0</v>
      </c>
      <c r="AJ1583" s="1193">
        <f>VLOOKUP($I1583,'Price List, Weapons &amp; Items'!B:F,5,0)</f>
        <v>1</v>
      </c>
      <c r="AK1583" s="1193">
        <f t="shared" si="332"/>
        <v>1</v>
      </c>
      <c r="AL1583" s="1193">
        <f t="shared" si="333"/>
        <v>1</v>
      </c>
      <c r="AM1583" s="1193">
        <f t="shared" si="334"/>
        <v>1</v>
      </c>
      <c r="AN1583" s="1194" t="str">
        <f>VLOOKUP($I1583,'Price List, Weapons &amp; Items'!B:L,COLUMN('Price List, Weapons &amp; Items'!$J$11)-1,0)</f>
        <v>Media reports (incl. social media)</v>
      </c>
      <c r="AO1583" s="1194" t="str">
        <f>IF(I1583=".",".",VLOOKUP($I1583,'Price List, Weapons &amp; Items'!B:J,3,0))</f>
        <v>227mm MLRS ammunition</v>
      </c>
      <c r="AP1583" s="1195" t="str">
        <f t="shared" ca="1" si="328"/>
        <v/>
      </c>
      <c r="AQ1583" s="1194" t="str">
        <f>VLOOKUP($I1583,'Price List, Weapons &amp; Items'!B:L,COLUMN('Price List, Weapons &amp; Items'!$L$11)-1,0)</f>
        <v>no price, 0 count</v>
      </c>
      <c r="AR1583" s="1194">
        <f t="shared" si="335"/>
        <v>1</v>
      </c>
      <c r="AS1583" s="1194">
        <f t="shared" si="336"/>
        <v>1</v>
      </c>
      <c r="AT1583" s="1194">
        <f t="shared" si="337"/>
        <v>1</v>
      </c>
      <c r="AU1583" s="1194" t="str">
        <f t="shared" si="339"/>
        <v>.</v>
      </c>
      <c r="AV1583" s="1194" t="str">
        <f t="shared" si="329"/>
        <v>.</v>
      </c>
      <c r="AW1583" s="1194" t="str">
        <f t="shared" si="338"/>
        <v>.</v>
      </c>
      <c r="AX1583" s="1194">
        <f>IFERROR(VLOOKUP(B1583,'Share, Heavy Weapons to Ukraine'!B:Z,COLUMN('Share, Heavy Weapons to Ukraine'!C1595)-1,0),0)</f>
        <v>1</v>
      </c>
      <c r="AY1583" s="1194">
        <f>VLOOKUP('Bilateral Assistance, MAIN DATA'!B1583,'Country Summary (€)'!B:F,COLUMN('Country Summary (€)'!C1596)-1,FALSE)</f>
        <v>0</v>
      </c>
      <c r="AZ1583" s="1194" t="str">
        <f>IF(AND(AD1583=1,D1583="Military",H1583&lt;&gt;"Not given")=TRUE,IF(SUMIFS(P:P,A:A,A1583)&gt;0,ABS((SUMIFS(P:P,A:A,A1583)/VLOOKUP("USD",'Exchange Rates'!B:C,2,0)))/S1583,"."),".")</f>
        <v>.</v>
      </c>
      <c r="BA1583" s="1196" t="str">
        <f>IF(AND(AD1583=1,D1583="Military",H1583&lt;&gt;"Not given")=TRUE,IF(SUMIFS(P:P,A:A,A1583)&gt;0,IF((ABS((SUMIFS(P:P,A:A,A1583)/VLOOKUP("USD",'Exchange Rates'!B:C,2,0)))/S1583)&gt;1,(SUMIFS(P:P,A:A,A1583)-S1583)/S1583,(S1583-SUMIFS(P:P,A:A,A1583))/SUMIFS(P:P,A:A,A1583)),"."),".")</f>
        <v>.</v>
      </c>
    </row>
    <row r="1584" spans="1:53" ht="15.95" customHeight="1">
      <c r="A1584" s="1182" t="s">
        <v>3987</v>
      </c>
      <c r="B1584" s="1208" t="s">
        <v>3949</v>
      </c>
      <c r="C1584" s="1220">
        <v>44819</v>
      </c>
      <c r="D1584" s="1208" t="s">
        <v>389</v>
      </c>
      <c r="E1584" s="1182" t="s">
        <v>1676</v>
      </c>
      <c r="F1584" s="1183" t="s">
        <v>4198</v>
      </c>
      <c r="G1584" s="1184" t="s">
        <v>456</v>
      </c>
      <c r="H1584" s="1221">
        <v>600000000</v>
      </c>
      <c r="I1584" s="1208" t="s">
        <v>645</v>
      </c>
      <c r="J1584" s="1186" t="str">
        <f>VLOOKUP($I1584,'Price List, Weapons &amp; Items'!B:C,2,0)</f>
        <v>Ammunition for heavy weapon</v>
      </c>
      <c r="K1584" s="1186" t="str">
        <f>IF(I1584=".",I1584,VLOOKUP($I1584,'Price List, Weapons &amp; Items'!B:D,3,0))</f>
        <v>105mm</v>
      </c>
      <c r="L1584" s="1187">
        <f>VLOOKUP(I1584,'Price List, Weapons &amp; Items'!B:E,4,0)</f>
        <v>0</v>
      </c>
      <c r="M1584" s="1241">
        <v>36000</v>
      </c>
      <c r="N1584" s="1188">
        <v>36000</v>
      </c>
      <c r="O1584" s="1188">
        <f>VLOOKUP($I1584,'Price List, Weapons &amp; Items'!B:G,6,0)</f>
        <v>400</v>
      </c>
      <c r="P1584" s="1185">
        <f t="shared" si="330"/>
        <v>14400000</v>
      </c>
      <c r="Q1584" s="1185">
        <f t="shared" si="331"/>
        <v>14400000</v>
      </c>
      <c r="R1584" s="1185" t="str">
        <f t="shared" si="327"/>
        <v/>
      </c>
      <c r="S1584" s="1185" t="str">
        <f>IF(AND(AD1584=1,R1584&lt;&gt;".")=TRUE,R1584/VLOOKUP(G1584,'Exchange Rates'!B:C,2,0),IF(R1584=".",".",""))</f>
        <v/>
      </c>
      <c r="T1584" s="1185" t="str">
        <f>IF(AD1584=1,IF(AF1584="Value is not given at all",".",IF(AF1584="Value is given by the source",S1584,IF(AF1584="Value is calculated with prices",(IF(SUMIFS(Q:Q,A:A,A1584)&gt;0,SUMIFS(Q:Q,A:A,A1584),"."))/VLOOKUP("USD",'Exchange Rates'!B:C,2,0),"Error with coding"))),"")</f>
        <v/>
      </c>
      <c r="U1584" s="1184" t="s">
        <v>365</v>
      </c>
      <c r="V1584" s="979" t="s">
        <v>4199</v>
      </c>
      <c r="W1584" s="973" t="s">
        <v>3955</v>
      </c>
      <c r="X1584" s="973" t="s">
        <v>3959</v>
      </c>
      <c r="Y1584" s="973" t="s">
        <v>4200</v>
      </c>
      <c r="Z1584" s="1191">
        <v>0</v>
      </c>
      <c r="AA1584" s="1194">
        <v>0</v>
      </c>
      <c r="AB1584" s="973" t="s">
        <v>4201</v>
      </c>
      <c r="AC1584" s="1192" t="str">
        <f>""</f>
        <v/>
      </c>
      <c r="AD1584" s="985">
        <v>0</v>
      </c>
      <c r="AE1584" s="1302" t="s">
        <v>368</v>
      </c>
      <c r="AF1584" s="1193" t="s">
        <v>368</v>
      </c>
      <c r="AG1584" s="985">
        <v>1</v>
      </c>
      <c r="AH1584" s="985">
        <v>9</v>
      </c>
      <c r="AI1584" s="985">
        <v>0</v>
      </c>
      <c r="AJ1584" s="1193">
        <f>VLOOKUP($I1584,'Price List, Weapons &amp; Items'!B:F,5,0)</f>
        <v>0</v>
      </c>
      <c r="AK1584" s="1193">
        <f t="shared" si="332"/>
        <v>0</v>
      </c>
      <c r="AL1584" s="1193">
        <f t="shared" si="333"/>
        <v>0</v>
      </c>
      <c r="AM1584" s="1193">
        <f t="shared" si="334"/>
        <v>0</v>
      </c>
      <c r="AN1584" s="1194" t="str">
        <f>VLOOKUP($I1584,'Price List, Weapons &amp; Items'!B:L,COLUMN('Price List, Weapons &amp; Items'!$J$11)-1,0)</f>
        <v>Military media (incl. websites)</v>
      </c>
      <c r="AO1584" s="1194" t="str">
        <f>IF(I1584=".",".",VLOOKUP($I1584,'Price List, Weapons &amp; Items'!B:J,3,0))</f>
        <v>105mm</v>
      </c>
      <c r="AP1584" s="1195" t="str">
        <f t="shared" ca="1" si="328"/>
        <v/>
      </c>
      <c r="AQ1584" s="1194">
        <f>VLOOKUP($I1584,'Price List, Weapons &amp; Items'!B:L,COLUMN('Price List, Weapons &amp; Items'!$L$11)-1,0)</f>
        <v>2</v>
      </c>
      <c r="AR1584" s="1194">
        <f t="shared" si="335"/>
        <v>1</v>
      </c>
      <c r="AS1584" s="1194">
        <f t="shared" si="336"/>
        <v>1</v>
      </c>
      <c r="AT1584" s="1194">
        <f t="shared" si="337"/>
        <v>1</v>
      </c>
      <c r="AU1584" s="1194" t="str">
        <f t="shared" si="339"/>
        <v>.</v>
      </c>
      <c r="AV1584" s="1194" t="str">
        <f t="shared" si="329"/>
        <v>.</v>
      </c>
      <c r="AW1584" s="1194" t="str">
        <f t="shared" si="338"/>
        <v>.</v>
      </c>
      <c r="AX1584" s="1194">
        <f>IFERROR(VLOOKUP(B1584,'Share, Heavy Weapons to Ukraine'!B:Z,COLUMN('Share, Heavy Weapons to Ukraine'!C1596)-1,0),0)</f>
        <v>1</v>
      </c>
      <c r="AY1584" s="1194">
        <f>VLOOKUP('Bilateral Assistance, MAIN DATA'!B1584,'Country Summary (€)'!B:F,COLUMN('Country Summary (€)'!C1597)-1,FALSE)</f>
        <v>0</v>
      </c>
      <c r="AZ1584" s="1194" t="str">
        <f>IF(AND(AD1584=1,D1584="Military",H1584&lt;&gt;"Not given")=TRUE,IF(SUMIFS(P:P,A:A,A1584)&gt;0,ABS((SUMIFS(P:P,A:A,A1584)/VLOOKUP("USD",'Exchange Rates'!B:C,2,0)))/S1584,"."),".")</f>
        <v>.</v>
      </c>
      <c r="BA1584" s="1196" t="str">
        <f>IF(AND(AD1584=1,D1584="Military",H1584&lt;&gt;"Not given")=TRUE,IF(SUMIFS(P:P,A:A,A1584)&gt;0,IF((ABS((SUMIFS(P:P,A:A,A1584)/VLOOKUP("USD",'Exchange Rates'!B:C,2,0)))/S1584)&gt;1,(SUMIFS(P:P,A:A,A1584)-S1584)/S1584,(S1584-SUMIFS(P:P,A:A,A1584))/SUMIFS(P:P,A:A,A1584)),"."),".")</f>
        <v>.</v>
      </c>
    </row>
    <row r="1585" spans="1:53" ht="15.95" customHeight="1">
      <c r="A1585" s="1182" t="s">
        <v>3987</v>
      </c>
      <c r="B1585" s="1208" t="s">
        <v>3949</v>
      </c>
      <c r="C1585" s="1220">
        <v>44819</v>
      </c>
      <c r="D1585" s="1208" t="s">
        <v>389</v>
      </c>
      <c r="E1585" s="1182" t="s">
        <v>1676</v>
      </c>
      <c r="F1585" s="1183" t="s">
        <v>4198</v>
      </c>
      <c r="G1585" s="1184" t="s">
        <v>456</v>
      </c>
      <c r="H1585" s="1221">
        <v>600000000</v>
      </c>
      <c r="I1585" s="1208" t="s">
        <v>856</v>
      </c>
      <c r="J1585" s="1186" t="str">
        <f>VLOOKUP($I1585,'Price List, Weapons &amp; Items'!B:C,2,0)</f>
        <v>Ammunition for heavy weapon</v>
      </c>
      <c r="K1585" s="1186" t="str">
        <f>IF(I1585=".",I1585,VLOOKUP($I1585,'Price List, Weapons &amp; Items'!B:D,3,0))</f>
        <v>155mm howitzer ammunition</v>
      </c>
      <c r="L1585" s="1187">
        <f>VLOOKUP(I1585,'Price List, Weapons &amp; Items'!B:E,4,0)</f>
        <v>0</v>
      </c>
      <c r="M1585" s="1241">
        <v>1000</v>
      </c>
      <c r="N1585" s="1188">
        <v>1000</v>
      </c>
      <c r="O1585" s="1188">
        <f>VLOOKUP($I1585,'Price List, Weapons &amp; Items'!B:G,6,0)</f>
        <v>3800</v>
      </c>
      <c r="P1585" s="1185">
        <f t="shared" si="330"/>
        <v>3800000</v>
      </c>
      <c r="Q1585" s="1185">
        <f t="shared" si="331"/>
        <v>3800000</v>
      </c>
      <c r="R1585" s="1185" t="str">
        <f t="shared" si="327"/>
        <v/>
      </c>
      <c r="S1585" s="1185" t="str">
        <f>IF(AND(AD1585=1,R1585&lt;&gt;".")=TRUE,R1585/VLOOKUP(G1585,'Exchange Rates'!B:C,2,0),IF(R1585=".",".",""))</f>
        <v/>
      </c>
      <c r="T1585" s="1185" t="str">
        <f>IF(AD1585=1,IF(AF1585="Value is not given at all",".",IF(AF1585="Value is given by the source",S1585,IF(AF1585="Value is calculated with prices",(IF(SUMIFS(Q:Q,A:A,A1585)&gt;0,SUMIFS(Q:Q,A:A,A1585),"."))/VLOOKUP("USD",'Exchange Rates'!B:C,2,0),"Error with coding"))),"")</f>
        <v/>
      </c>
      <c r="U1585" s="1184" t="s">
        <v>365</v>
      </c>
      <c r="V1585" s="979" t="s">
        <v>4199</v>
      </c>
      <c r="W1585" s="973" t="s">
        <v>3955</v>
      </c>
      <c r="X1585" s="973" t="s">
        <v>3959</v>
      </c>
      <c r="Y1585" s="973" t="s">
        <v>4201</v>
      </c>
      <c r="Z1585" s="1191">
        <v>0</v>
      </c>
      <c r="AA1585" s="1194">
        <v>0</v>
      </c>
      <c r="AB1585" s="973" t="s">
        <v>4202</v>
      </c>
      <c r="AC1585" s="1192" t="str">
        <f>""</f>
        <v/>
      </c>
      <c r="AD1585" s="985">
        <v>0</v>
      </c>
      <c r="AE1585" s="1302" t="s">
        <v>368</v>
      </c>
      <c r="AF1585" s="1193" t="s">
        <v>368</v>
      </c>
      <c r="AG1585" s="985">
        <v>1</v>
      </c>
      <c r="AH1585" s="985">
        <v>9</v>
      </c>
      <c r="AI1585" s="985">
        <v>0</v>
      </c>
      <c r="AJ1585" s="1193">
        <f>VLOOKUP($I1585,'Price List, Weapons &amp; Items'!B:F,5,0)</f>
        <v>1</v>
      </c>
      <c r="AK1585" s="1193">
        <f t="shared" si="332"/>
        <v>0</v>
      </c>
      <c r="AL1585" s="1193">
        <f t="shared" si="333"/>
        <v>0</v>
      </c>
      <c r="AM1585" s="1193">
        <f t="shared" si="334"/>
        <v>0</v>
      </c>
      <c r="AN1585" s="1194" t="str">
        <f>VLOOKUP($I1585,'Price List, Weapons &amp; Items'!B:L,COLUMN('Price List, Weapons &amp; Items'!$J$11)-1,0)</f>
        <v>Government information</v>
      </c>
      <c r="AO1585" s="1194" t="str">
        <f>IF(I1585=".",".",VLOOKUP($I1585,'Price List, Weapons &amp; Items'!B:J,3,0))</f>
        <v>155mm howitzer ammunition</v>
      </c>
      <c r="AP1585" s="1195" t="str">
        <f t="shared" ca="1" si="328"/>
        <v/>
      </c>
      <c r="AQ1585" s="1194">
        <f>VLOOKUP($I1585,'Price List, Weapons &amp; Items'!B:L,COLUMN('Price List, Weapons &amp; Items'!$L$11)-1,0)</f>
        <v>2</v>
      </c>
      <c r="AR1585" s="1194">
        <f t="shared" si="335"/>
        <v>1</v>
      </c>
      <c r="AS1585" s="1194">
        <f t="shared" si="336"/>
        <v>1</v>
      </c>
      <c r="AT1585" s="1194">
        <f t="shared" si="337"/>
        <v>1</v>
      </c>
      <c r="AU1585" s="1194" t="str">
        <f t="shared" si="339"/>
        <v>.</v>
      </c>
      <c r="AV1585" s="1194" t="str">
        <f t="shared" si="329"/>
        <v>.</v>
      </c>
      <c r="AW1585" s="1194" t="str">
        <f t="shared" si="338"/>
        <v>.</v>
      </c>
      <c r="AX1585" s="1194">
        <f>IFERROR(VLOOKUP(B1585,'Share, Heavy Weapons to Ukraine'!B:Z,COLUMN('Share, Heavy Weapons to Ukraine'!C1597)-1,0),0)</f>
        <v>1</v>
      </c>
      <c r="AY1585" s="1194">
        <f>VLOOKUP('Bilateral Assistance, MAIN DATA'!B1585,'Country Summary (€)'!B:F,COLUMN('Country Summary (€)'!C1598)-1,FALSE)</f>
        <v>0</v>
      </c>
      <c r="AZ1585" s="1194" t="str">
        <f>IF(AND(AD1585=1,D1585="Military",H1585&lt;&gt;"Not given")=TRUE,IF(SUMIFS(P:P,A:A,A1585)&gt;0,ABS((SUMIFS(P:P,A:A,A1585)/VLOOKUP("USD",'Exchange Rates'!B:C,2,0)))/S1585,"."),".")</f>
        <v>.</v>
      </c>
      <c r="BA1585" s="1196" t="str">
        <f>IF(AND(AD1585=1,D1585="Military",H1585&lt;&gt;"Not given")=TRUE,IF(SUMIFS(P:P,A:A,A1585)&gt;0,IF((ABS((SUMIFS(P:P,A:A,A1585)/VLOOKUP("USD",'Exchange Rates'!B:C,2,0)))/S1585)&gt;1,(SUMIFS(P:P,A:A,A1585)-S1585)/S1585,(S1585-SUMIFS(P:P,A:A,A1585))/SUMIFS(P:P,A:A,A1585)),"."),".")</f>
        <v>.</v>
      </c>
    </row>
    <row r="1586" spans="1:53" ht="15.95" customHeight="1">
      <c r="A1586" s="1182" t="s">
        <v>3987</v>
      </c>
      <c r="B1586" s="1208" t="s">
        <v>3949</v>
      </c>
      <c r="C1586" s="1220">
        <v>44819</v>
      </c>
      <c r="D1586" s="1208" t="s">
        <v>389</v>
      </c>
      <c r="E1586" s="1182" t="s">
        <v>1676</v>
      </c>
      <c r="F1586" s="1183" t="s">
        <v>4198</v>
      </c>
      <c r="G1586" s="1184" t="s">
        <v>456</v>
      </c>
      <c r="H1586" s="1221">
        <v>600000000</v>
      </c>
      <c r="I1586" s="1208" t="s">
        <v>4203</v>
      </c>
      <c r="J1586" s="1186" t="str">
        <f>VLOOKUP($I1586,'Price List, Weapons &amp; Items'!B:C,2,0)</f>
        <v>Heavy weapon</v>
      </c>
      <c r="K1586" s="1186" t="str">
        <f>IF(I1586=".",I1586,VLOOKUP($I1586,'Price List, Weapons &amp; Items'!B:D,3,0))</f>
        <v>Radar or imagery systems</v>
      </c>
      <c r="L1586" s="1187">
        <f>VLOOKUP(I1586,'Price List, Weapons &amp; Items'!B:E,4,0)</f>
        <v>0</v>
      </c>
      <c r="M1586" s="1241">
        <v>4</v>
      </c>
      <c r="N1586" s="1188">
        <v>4</v>
      </c>
      <c r="O1586" s="1188">
        <f>VLOOKUP($I1586,'Price List, Weapons &amp; Items'!B:G,6,0)</f>
        <v>54340000</v>
      </c>
      <c r="P1586" s="1185">
        <f t="shared" si="330"/>
        <v>217360000</v>
      </c>
      <c r="Q1586" s="1185">
        <f t="shared" si="331"/>
        <v>217360000</v>
      </c>
      <c r="R1586" s="1185" t="str">
        <f t="shared" si="327"/>
        <v/>
      </c>
      <c r="S1586" s="1185" t="str">
        <f>IF(AND(AD1586=1,R1586&lt;&gt;".")=TRUE,R1586/VLOOKUP(G1586,'Exchange Rates'!B:C,2,0),IF(R1586=".",".",""))</f>
        <v/>
      </c>
      <c r="T1586" s="1185" t="str">
        <f>IF(AD1586=1,IF(AF1586="Value is not given at all",".",IF(AF1586="Value is given by the source",S1586,IF(AF1586="Value is calculated with prices",(IF(SUMIFS(Q:Q,A:A,A1586)&gt;0,SUMIFS(Q:Q,A:A,A1586),"."))/VLOOKUP("USD",'Exchange Rates'!B:C,2,0),"Error with coding"))),"")</f>
        <v/>
      </c>
      <c r="U1586" s="1184" t="s">
        <v>365</v>
      </c>
      <c r="V1586" s="979" t="s">
        <v>4199</v>
      </c>
      <c r="W1586" s="973" t="s">
        <v>3955</v>
      </c>
      <c r="X1586" s="973" t="s">
        <v>3959</v>
      </c>
      <c r="Y1586" s="973" t="s">
        <v>4202</v>
      </c>
      <c r="Z1586" s="1191">
        <v>0</v>
      </c>
      <c r="AA1586" s="1194">
        <v>0</v>
      </c>
      <c r="AB1586" s="973" t="s">
        <v>4204</v>
      </c>
      <c r="AC1586" s="1192" t="str">
        <f>""</f>
        <v/>
      </c>
      <c r="AD1586" s="985">
        <v>0</v>
      </c>
      <c r="AE1586" s="1302" t="s">
        <v>368</v>
      </c>
      <c r="AF1586" s="1193" t="s">
        <v>368</v>
      </c>
      <c r="AG1586" s="985">
        <v>1</v>
      </c>
      <c r="AH1586" s="985">
        <v>9</v>
      </c>
      <c r="AI1586" s="985">
        <v>0</v>
      </c>
      <c r="AJ1586" s="1193">
        <f>VLOOKUP($I1586,'Price List, Weapons &amp; Items'!B:F,5,0)</f>
        <v>0</v>
      </c>
      <c r="AK1586" s="1193">
        <f t="shared" si="332"/>
        <v>0</v>
      </c>
      <c r="AL1586" s="1193">
        <f t="shared" si="333"/>
        <v>0</v>
      </c>
      <c r="AM1586" s="1193">
        <f t="shared" si="334"/>
        <v>0</v>
      </c>
      <c r="AN1586" s="1194" t="str">
        <f>VLOOKUP($I1586,'Price List, Weapons &amp; Items'!B:L,COLUMN('Price List, Weapons &amp; Items'!$J$11)-1,0)</f>
        <v>Military media (incl. websites)</v>
      </c>
      <c r="AO1586" s="1194" t="str">
        <f>IF(I1586=".",".",VLOOKUP($I1586,'Price List, Weapons &amp; Items'!B:J,3,0))</f>
        <v>Radar or imagery systems</v>
      </c>
      <c r="AP1586" s="1195" t="str">
        <f t="shared" ca="1" si="328"/>
        <v/>
      </c>
      <c r="AQ1586" s="1194">
        <f>VLOOKUP($I1586,'Price List, Weapons &amp; Items'!B:L,COLUMN('Price List, Weapons &amp; Items'!$L$11)-1,0)</f>
        <v>2</v>
      </c>
      <c r="AR1586" s="1194">
        <f t="shared" si="335"/>
        <v>1</v>
      </c>
      <c r="AS1586" s="1194">
        <f t="shared" si="336"/>
        <v>1</v>
      </c>
      <c r="AT1586" s="1194">
        <f t="shared" si="337"/>
        <v>1</v>
      </c>
      <c r="AU1586" s="1194" t="str">
        <f t="shared" si="339"/>
        <v>.</v>
      </c>
      <c r="AV1586" s="1194" t="str">
        <f t="shared" si="329"/>
        <v>.</v>
      </c>
      <c r="AW1586" s="1194" t="str">
        <f t="shared" si="338"/>
        <v>.</v>
      </c>
      <c r="AX1586" s="1194">
        <f>IFERROR(VLOOKUP(B1586,'Share, Heavy Weapons to Ukraine'!B:Z,COLUMN('Share, Heavy Weapons to Ukraine'!C1598)-1,0),0)</f>
        <v>1</v>
      </c>
      <c r="AY1586" s="1194">
        <f>VLOOKUP('Bilateral Assistance, MAIN DATA'!B1586,'Country Summary (€)'!B:F,COLUMN('Country Summary (€)'!C1599)-1,FALSE)</f>
        <v>0</v>
      </c>
      <c r="AZ1586" s="1194" t="str">
        <f>IF(AND(AD1586=1,D1586="Military",H1586&lt;&gt;"Not given")=TRUE,IF(SUMIFS(P:P,A:A,A1586)&gt;0,ABS((SUMIFS(P:P,A:A,A1586)/VLOOKUP("USD",'Exchange Rates'!B:C,2,0)))/S1586,"."),".")</f>
        <v>.</v>
      </c>
      <c r="BA1586" s="1196" t="str">
        <f>IF(AND(AD1586=1,D1586="Military",H1586&lt;&gt;"Not given")=TRUE,IF(SUMIFS(P:P,A:A,A1586)&gt;0,IF((ABS((SUMIFS(P:P,A:A,A1586)/VLOOKUP("USD",'Exchange Rates'!B:C,2,0)))/S1586)&gt;1,(SUMIFS(P:P,A:A,A1586)-S1586)/S1586,(S1586-SUMIFS(P:P,A:A,A1586))/SUMIFS(P:P,A:A,A1586)),"."),".")</f>
        <v>.</v>
      </c>
    </row>
    <row r="1587" spans="1:53" ht="15.95" customHeight="1">
      <c r="A1587" s="1182" t="s">
        <v>3987</v>
      </c>
      <c r="B1587" s="1208" t="s">
        <v>3949</v>
      </c>
      <c r="C1587" s="1220">
        <v>44819</v>
      </c>
      <c r="D1587" s="1208" t="s">
        <v>389</v>
      </c>
      <c r="E1587" s="1182" t="s">
        <v>1676</v>
      </c>
      <c r="F1587" s="1183" t="s">
        <v>4198</v>
      </c>
      <c r="G1587" s="1184" t="s">
        <v>456</v>
      </c>
      <c r="H1587" s="1221">
        <v>600000000</v>
      </c>
      <c r="I1587" s="1208" t="s">
        <v>1548</v>
      </c>
      <c r="J1587" s="1186" t="str">
        <f>VLOOKUP($I1587,'Price List, Weapons &amp; Items'!B:C,2,0)</f>
        <v>Military equipment</v>
      </c>
      <c r="K1587" s="1186" t="str">
        <f>IF(I1587=".",I1587,VLOOKUP($I1587,'Price List, Weapons &amp; Items'!B:D,3,0))</f>
        <v>non combat military vehicle</v>
      </c>
      <c r="L1587" s="1187">
        <f>VLOOKUP(I1587,'Price List, Weapons &amp; Items'!B:E,4,0)</f>
        <v>0</v>
      </c>
      <c r="M1587" s="1241">
        <v>4</v>
      </c>
      <c r="N1587" s="1188">
        <v>4</v>
      </c>
      <c r="O1587" s="1188">
        <f>VLOOKUP($I1587,'Price List, Weapons &amp; Items'!B:G,6,0)</f>
        <v>350000</v>
      </c>
      <c r="P1587" s="1185">
        <f t="shared" si="330"/>
        <v>1400000</v>
      </c>
      <c r="Q1587" s="1185">
        <f t="shared" si="331"/>
        <v>1400000</v>
      </c>
      <c r="R1587" s="1185" t="str">
        <f t="shared" si="327"/>
        <v/>
      </c>
      <c r="S1587" s="1185" t="str">
        <f>IF(AND(AD1587=1,R1587&lt;&gt;".")=TRUE,R1587/VLOOKUP(G1587,'Exchange Rates'!B:C,2,0),IF(R1587=".",".",""))</f>
        <v/>
      </c>
      <c r="T1587" s="1185" t="str">
        <f>IF(AD1587=1,IF(AF1587="Value is not given at all",".",IF(AF1587="Value is given by the source",S1587,IF(AF1587="Value is calculated with prices",(IF(SUMIFS(Q:Q,A:A,A1587)&gt;0,SUMIFS(Q:Q,A:A,A1587),"."))/VLOOKUP("USD",'Exchange Rates'!B:C,2,0),"Error with coding"))),"")</f>
        <v/>
      </c>
      <c r="U1587" s="1184" t="s">
        <v>365</v>
      </c>
      <c r="V1587" s="979" t="s">
        <v>4199</v>
      </c>
      <c r="W1587" s="973" t="s">
        <v>3955</v>
      </c>
      <c r="X1587" s="973" t="s">
        <v>3959</v>
      </c>
      <c r="Y1587" s="973" t="s">
        <v>4204</v>
      </c>
      <c r="Z1587" s="1191">
        <v>0</v>
      </c>
      <c r="AA1587" s="1194">
        <v>0</v>
      </c>
      <c r="AB1587" s="973" t="s">
        <v>4205</v>
      </c>
      <c r="AC1587" s="1192" t="str">
        <f>""</f>
        <v/>
      </c>
      <c r="AD1587" s="985">
        <v>0</v>
      </c>
      <c r="AE1587" s="1302" t="s">
        <v>368</v>
      </c>
      <c r="AF1587" s="1193" t="s">
        <v>368</v>
      </c>
      <c r="AG1587" s="985">
        <v>1</v>
      </c>
      <c r="AH1587" s="985">
        <v>9</v>
      </c>
      <c r="AI1587" s="985">
        <v>0</v>
      </c>
      <c r="AJ1587" s="1193">
        <f>VLOOKUP($I1587,'Price List, Weapons &amp; Items'!B:F,5,0)</f>
        <v>0</v>
      </c>
      <c r="AK1587" s="1193">
        <f t="shared" si="332"/>
        <v>0</v>
      </c>
      <c r="AL1587" s="1193">
        <f t="shared" si="333"/>
        <v>0</v>
      </c>
      <c r="AM1587" s="1193">
        <f t="shared" si="334"/>
        <v>0</v>
      </c>
      <c r="AN1587" s="1194" t="str">
        <f>VLOOKUP($I1587,'Price List, Weapons &amp; Items'!B:L,COLUMN('Price List, Weapons &amp; Items'!$J$11)-1,0)</f>
        <v>Media reports (incl. social media)</v>
      </c>
      <c r="AO1587" s="1194" t="str">
        <f>IF(I1587=".",".",VLOOKUP($I1587,'Price List, Weapons &amp; Items'!B:J,3,0))</f>
        <v>non combat military vehicle</v>
      </c>
      <c r="AP1587" s="1195" t="str">
        <f t="shared" ca="1" si="328"/>
        <v/>
      </c>
      <c r="AQ1587" s="1194">
        <f>VLOOKUP($I1587,'Price List, Weapons &amp; Items'!B:L,COLUMN('Price List, Weapons &amp; Items'!$L$11)-1,0)</f>
        <v>2</v>
      </c>
      <c r="AR1587" s="1194">
        <f t="shared" si="335"/>
        <v>1</v>
      </c>
      <c r="AS1587" s="1194">
        <f t="shared" si="336"/>
        <v>1</v>
      </c>
      <c r="AT1587" s="1194">
        <f t="shared" si="337"/>
        <v>1</v>
      </c>
      <c r="AU1587" s="1194" t="str">
        <f t="shared" si="339"/>
        <v>.</v>
      </c>
      <c r="AV1587" s="1194" t="str">
        <f t="shared" si="329"/>
        <v>.</v>
      </c>
      <c r="AW1587" s="1194" t="str">
        <f t="shared" si="338"/>
        <v>.</v>
      </c>
      <c r="AX1587" s="1194">
        <f>IFERROR(VLOOKUP(B1587,'Share, Heavy Weapons to Ukraine'!B:Z,COLUMN('Share, Heavy Weapons to Ukraine'!C1599)-1,0),0)</f>
        <v>1</v>
      </c>
      <c r="AY1587" s="1194">
        <f>VLOOKUP('Bilateral Assistance, MAIN DATA'!B1587,'Country Summary (€)'!B:F,COLUMN('Country Summary (€)'!C1600)-1,FALSE)</f>
        <v>0</v>
      </c>
      <c r="AZ1587" s="1194" t="str">
        <f>IF(AND(AD1587=1,D1587="Military",H1587&lt;&gt;"Not given")=TRUE,IF(SUMIFS(P:P,A:A,A1587)&gt;0,ABS((SUMIFS(P:P,A:A,A1587)/VLOOKUP("USD",'Exchange Rates'!B:C,2,0)))/S1587,"."),".")</f>
        <v>.</v>
      </c>
      <c r="BA1587" s="1196" t="str">
        <f>IF(AND(AD1587=1,D1587="Military",H1587&lt;&gt;"Not given")=TRUE,IF(SUMIFS(P:P,A:A,A1587)&gt;0,IF((ABS((SUMIFS(P:P,A:A,A1587)/VLOOKUP("USD",'Exchange Rates'!B:C,2,0)))/S1587)&gt;1,(SUMIFS(P:P,A:A,A1587)-S1587)/S1587,(S1587-SUMIFS(P:P,A:A,A1587))/SUMIFS(P:P,A:A,A1587)),"."),".")</f>
        <v>.</v>
      </c>
    </row>
    <row r="1588" spans="1:53" ht="15.95" customHeight="1">
      <c r="A1588" s="1182" t="s">
        <v>3987</v>
      </c>
      <c r="B1588" s="1208" t="s">
        <v>3949</v>
      </c>
      <c r="C1588" s="1220">
        <v>44819</v>
      </c>
      <c r="D1588" s="1208" t="s">
        <v>389</v>
      </c>
      <c r="E1588" s="1182" t="s">
        <v>1676</v>
      </c>
      <c r="F1588" s="1183" t="s">
        <v>4198</v>
      </c>
      <c r="G1588" s="1184" t="s">
        <v>456</v>
      </c>
      <c r="H1588" s="1221">
        <v>600000000</v>
      </c>
      <c r="I1588" s="1208" t="s">
        <v>1848</v>
      </c>
      <c r="J1588" s="1186" t="str">
        <f>VLOOKUP($I1588,'Price List, Weapons &amp; Items'!B:C,2,0)</f>
        <v>Military equipment</v>
      </c>
      <c r="K1588" s="1186" t="str">
        <f>IF(I1588=".",I1588,VLOOKUP($I1588,'Price List, Weapons &amp; Items'!B:D,3,0))</f>
        <v>non combat military vehicle</v>
      </c>
      <c r="L1588" s="1187">
        <f>VLOOKUP(I1588,'Price List, Weapons &amp; Items'!B:E,4,0)</f>
        <v>0</v>
      </c>
      <c r="M1588" s="1241">
        <v>8</v>
      </c>
      <c r="N1588" s="1188">
        <v>8</v>
      </c>
      <c r="O1588" s="1188">
        <f>VLOOKUP($I1588,'Price List, Weapons &amp; Items'!B:G,6,0)</f>
        <v>50000</v>
      </c>
      <c r="P1588" s="1185">
        <f t="shared" si="330"/>
        <v>400000</v>
      </c>
      <c r="Q1588" s="1185">
        <f t="shared" si="331"/>
        <v>400000</v>
      </c>
      <c r="R1588" s="1185" t="str">
        <f t="shared" si="327"/>
        <v/>
      </c>
      <c r="S1588" s="1185" t="str">
        <f>IF(AND(AD1588=1,R1588&lt;&gt;".")=TRUE,R1588/VLOOKUP(G1588,'Exchange Rates'!B:C,2,0),IF(R1588=".",".",""))</f>
        <v/>
      </c>
      <c r="T1588" s="1185" t="str">
        <f>IF(AD1588=1,IF(AF1588="Value is not given at all",".",IF(AF1588="Value is given by the source",S1588,IF(AF1588="Value is calculated with prices",(IF(SUMIFS(Q:Q,A:A,A1588)&gt;0,SUMIFS(Q:Q,A:A,A1588),"."))/VLOOKUP("USD",'Exchange Rates'!B:C,2,0),"Error with coding"))),"")</f>
        <v/>
      </c>
      <c r="U1588" s="1184" t="s">
        <v>365</v>
      </c>
      <c r="V1588" s="979" t="s">
        <v>4199</v>
      </c>
      <c r="W1588" s="973" t="s">
        <v>3955</v>
      </c>
      <c r="X1588" s="973" t="s">
        <v>3959</v>
      </c>
      <c r="Y1588" s="973" t="s">
        <v>4205</v>
      </c>
      <c r="Z1588" s="1191">
        <v>0</v>
      </c>
      <c r="AA1588" s="1194">
        <v>0</v>
      </c>
      <c r="AB1588" s="973" t="s">
        <v>4206</v>
      </c>
      <c r="AC1588" s="1192" t="str">
        <f>""</f>
        <v/>
      </c>
      <c r="AD1588" s="985">
        <v>0</v>
      </c>
      <c r="AE1588" s="1302" t="s">
        <v>368</v>
      </c>
      <c r="AF1588" s="1193" t="s">
        <v>368</v>
      </c>
      <c r="AG1588" s="985">
        <v>1</v>
      </c>
      <c r="AH1588" s="985">
        <v>9</v>
      </c>
      <c r="AI1588" s="985">
        <v>0</v>
      </c>
      <c r="AJ1588" s="1193">
        <f>VLOOKUP($I1588,'Price List, Weapons &amp; Items'!B:F,5,0)</f>
        <v>0</v>
      </c>
      <c r="AK1588" s="1193">
        <f t="shared" si="332"/>
        <v>0</v>
      </c>
      <c r="AL1588" s="1193">
        <f t="shared" si="333"/>
        <v>0</v>
      </c>
      <c r="AM1588" s="1193">
        <f t="shared" si="334"/>
        <v>0</v>
      </c>
      <c r="AN1588" s="1194" t="str">
        <f>VLOOKUP($I1588,'Price List, Weapons &amp; Items'!B:L,COLUMN('Price List, Weapons &amp; Items'!$J$11)-1,0)</f>
        <v>Miscellaneous</v>
      </c>
      <c r="AO1588" s="1194" t="str">
        <f>IF(I1588=".",".",VLOOKUP($I1588,'Price List, Weapons &amp; Items'!B:J,3,0))</f>
        <v>non combat military vehicle</v>
      </c>
      <c r="AP1588" s="1195" t="str">
        <f t="shared" ca="1" si="328"/>
        <v/>
      </c>
      <c r="AQ1588" s="1194">
        <f>VLOOKUP($I1588,'Price List, Weapons &amp; Items'!B:L,COLUMN('Price List, Weapons &amp; Items'!$L$11)-1,0)</f>
        <v>2</v>
      </c>
      <c r="AR1588" s="1194">
        <f t="shared" si="335"/>
        <v>1</v>
      </c>
      <c r="AS1588" s="1194">
        <f t="shared" si="336"/>
        <v>1</v>
      </c>
      <c r="AT1588" s="1194">
        <f t="shared" si="337"/>
        <v>1</v>
      </c>
      <c r="AU1588" s="1194" t="str">
        <f t="shared" si="339"/>
        <v>.</v>
      </c>
      <c r="AV1588" s="1194" t="str">
        <f t="shared" si="329"/>
        <v>.</v>
      </c>
      <c r="AW1588" s="1194" t="str">
        <f t="shared" si="338"/>
        <v>.</v>
      </c>
      <c r="AX1588" s="1194">
        <f>IFERROR(VLOOKUP(B1588,'Share, Heavy Weapons to Ukraine'!B:Z,COLUMN('Share, Heavy Weapons to Ukraine'!C1600)-1,0),0)</f>
        <v>1</v>
      </c>
      <c r="AY1588" s="1194">
        <f>VLOOKUP('Bilateral Assistance, MAIN DATA'!B1588,'Country Summary (€)'!B:F,COLUMN('Country Summary (€)'!C1601)-1,FALSE)</f>
        <v>0</v>
      </c>
      <c r="AZ1588" s="1194" t="str">
        <f>IF(AND(AD1588=1,D1588="Military",H1588&lt;&gt;"Not given")=TRUE,IF(SUMIFS(P:P,A:A,A1588)&gt;0,ABS((SUMIFS(P:P,A:A,A1588)/VLOOKUP("USD",'Exchange Rates'!B:C,2,0)))/S1588,"."),".")</f>
        <v>.</v>
      </c>
      <c r="BA1588" s="1196" t="str">
        <f>IF(AND(AD1588=1,D1588="Military",H1588&lt;&gt;"Not given")=TRUE,IF(SUMIFS(P:P,A:A,A1588)&gt;0,IF((ABS((SUMIFS(P:P,A:A,A1588)/VLOOKUP("USD",'Exchange Rates'!B:C,2,0)))/S1588)&gt;1,(SUMIFS(P:P,A:A,A1588)-S1588)/S1588,(S1588-SUMIFS(P:P,A:A,A1588))/SUMIFS(P:P,A:A,A1588)),"."),".")</f>
        <v>.</v>
      </c>
    </row>
    <row r="1589" spans="1:53" ht="15.95" customHeight="1">
      <c r="A1589" s="1182" t="s">
        <v>3987</v>
      </c>
      <c r="B1589" s="1208" t="s">
        <v>3949</v>
      </c>
      <c r="C1589" s="1220">
        <v>44819</v>
      </c>
      <c r="D1589" s="1208" t="s">
        <v>389</v>
      </c>
      <c r="E1589" s="1182" t="s">
        <v>1676</v>
      </c>
      <c r="F1589" s="1183" t="s">
        <v>4198</v>
      </c>
      <c r="G1589" s="1184" t="s">
        <v>456</v>
      </c>
      <c r="H1589" s="1221">
        <v>600000000</v>
      </c>
      <c r="I1589" s="1208" t="s">
        <v>4207</v>
      </c>
      <c r="J1589" s="1186" t="str">
        <f>VLOOKUP($I1589,'Price List, Weapons &amp; Items'!B:C,2,0)</f>
        <v>Aviation and drones</v>
      </c>
      <c r="K1589" s="1186" t="str">
        <f>IF(I1589=".",I1589,VLOOKUP($I1589,'Price List, Weapons &amp; Items'!B:D,3,0))</f>
        <v>Drone</v>
      </c>
      <c r="L1589" s="1187">
        <f>VLOOKUP(I1589,'Price List, Weapons &amp; Items'!B:E,4,0)</f>
        <v>0</v>
      </c>
      <c r="M1589" s="1241" t="s">
        <v>374</v>
      </c>
      <c r="N1589" s="1188" t="s">
        <v>374</v>
      </c>
      <c r="O1589" s="1188">
        <f>VLOOKUP($I1589,'Price List, Weapons &amp; Items'!B:G,6,0)</f>
        <v>15000000</v>
      </c>
      <c r="P1589" s="1185" t="str">
        <f t="shared" si="330"/>
        <v>.</v>
      </c>
      <c r="Q1589" s="1185" t="str">
        <f t="shared" si="331"/>
        <v>.</v>
      </c>
      <c r="R1589" s="1185" t="str">
        <f t="shared" si="327"/>
        <v/>
      </c>
      <c r="S1589" s="1185" t="str">
        <f>IF(AND(AD1589=1,R1589&lt;&gt;".")=TRUE,R1589/VLOOKUP(G1589,'Exchange Rates'!B:C,2,0),IF(R1589=".",".",""))</f>
        <v/>
      </c>
      <c r="T1589" s="1185" t="str">
        <f>IF(AD1589=1,IF(AF1589="Value is not given at all",".",IF(AF1589="Value is given by the source",S1589,IF(AF1589="Value is calculated with prices",(IF(SUMIFS(Q:Q,A:A,A1589)&gt;0,SUMIFS(Q:Q,A:A,A1589),"."))/VLOOKUP("USD",'Exchange Rates'!B:C,2,0),"Error with coding"))),"")</f>
        <v/>
      </c>
      <c r="U1589" s="1184" t="s">
        <v>365</v>
      </c>
      <c r="V1589" s="979" t="s">
        <v>4199</v>
      </c>
      <c r="W1589" s="973" t="s">
        <v>3955</v>
      </c>
      <c r="X1589" s="973" t="s">
        <v>3959</v>
      </c>
      <c r="Y1589" s="973" t="s">
        <v>4206</v>
      </c>
      <c r="Z1589" s="1191">
        <v>0</v>
      </c>
      <c r="AA1589" s="1194">
        <v>0</v>
      </c>
      <c r="AB1589" s="973" t="s">
        <v>4208</v>
      </c>
      <c r="AC1589" s="1192" t="str">
        <f>""</f>
        <v/>
      </c>
      <c r="AD1589" s="985">
        <v>0</v>
      </c>
      <c r="AE1589" s="1302" t="s">
        <v>368</v>
      </c>
      <c r="AF1589" s="1193" t="s">
        <v>368</v>
      </c>
      <c r="AG1589" s="985">
        <v>1</v>
      </c>
      <c r="AH1589" s="985">
        <v>9</v>
      </c>
      <c r="AI1589" s="985">
        <v>0</v>
      </c>
      <c r="AJ1589" s="1193">
        <f>VLOOKUP($I1589,'Price List, Weapons &amp; Items'!B:F,5,0)</f>
        <v>0</v>
      </c>
      <c r="AK1589" s="1193">
        <f t="shared" si="332"/>
        <v>0</v>
      </c>
      <c r="AL1589" s="1193">
        <f t="shared" si="333"/>
        <v>0</v>
      </c>
      <c r="AM1589" s="1193">
        <f t="shared" si="334"/>
        <v>0</v>
      </c>
      <c r="AN1589" s="1194" t="str">
        <f>VLOOKUP($I1589,'Price List, Weapons &amp; Items'!B:L,COLUMN('Price List, Weapons &amp; Items'!$J$11)-1,0)</f>
        <v>Miscellaneous</v>
      </c>
      <c r="AO1589" s="1194" t="str">
        <f>IF(I1589=".",".",VLOOKUP($I1589,'Price List, Weapons &amp; Items'!B:J,3,0))</f>
        <v>Drone</v>
      </c>
      <c r="AP1589" s="1195" t="str">
        <f t="shared" ca="1" si="328"/>
        <v/>
      </c>
      <c r="AQ1589" s="1194" t="str">
        <f>VLOOKUP($I1589,'Price List, Weapons &amp; Items'!B:L,COLUMN('Price List, Weapons &amp; Items'!$L$11)-1,0)</f>
        <v>no price, 0 count</v>
      </c>
      <c r="AR1589" s="1194">
        <f t="shared" si="335"/>
        <v>1</v>
      </c>
      <c r="AS1589" s="1194">
        <f t="shared" si="336"/>
        <v>1</v>
      </c>
      <c r="AT1589" s="1194">
        <f t="shared" si="337"/>
        <v>1</v>
      </c>
      <c r="AU1589" s="1194" t="str">
        <f t="shared" si="339"/>
        <v>.</v>
      </c>
      <c r="AV1589" s="1194" t="str">
        <f t="shared" si="329"/>
        <v>.</v>
      </c>
      <c r="AW1589" s="1194" t="str">
        <f t="shared" si="338"/>
        <v>.</v>
      </c>
      <c r="AX1589" s="1194">
        <f>IFERROR(VLOOKUP(B1589,'Share, Heavy Weapons to Ukraine'!B:Z,COLUMN('Share, Heavy Weapons to Ukraine'!C1601)-1,0),0)</f>
        <v>1</v>
      </c>
      <c r="AY1589" s="1194">
        <f>VLOOKUP('Bilateral Assistance, MAIN DATA'!B1589,'Country Summary (€)'!B:F,COLUMN('Country Summary (€)'!C1602)-1,FALSE)</f>
        <v>0</v>
      </c>
      <c r="AZ1589" s="1194" t="str">
        <f>IF(AND(AD1589=1,D1589="Military",H1589&lt;&gt;"Not given")=TRUE,IF(SUMIFS(P:P,A:A,A1589)&gt;0,ABS((SUMIFS(P:P,A:A,A1589)/VLOOKUP("USD",'Exchange Rates'!B:C,2,0)))/S1589,"."),".")</f>
        <v>.</v>
      </c>
      <c r="BA1589" s="1196" t="str">
        <f>IF(AND(AD1589=1,D1589="Military",H1589&lt;&gt;"Not given")=TRUE,IF(SUMIFS(P:P,A:A,A1589)&gt;0,IF((ABS((SUMIFS(P:P,A:A,A1589)/VLOOKUP("USD",'Exchange Rates'!B:C,2,0)))/S1589)&gt;1,(SUMIFS(P:P,A:A,A1589)-S1589)/S1589,(S1589-SUMIFS(P:P,A:A,A1589))/SUMIFS(P:P,A:A,A1589)),"."),".")</f>
        <v>.</v>
      </c>
    </row>
    <row r="1590" spans="1:53" ht="15.95" customHeight="1">
      <c r="A1590" s="1182" t="s">
        <v>3987</v>
      </c>
      <c r="B1590" s="1208" t="s">
        <v>3949</v>
      </c>
      <c r="C1590" s="1220">
        <v>44819</v>
      </c>
      <c r="D1590" s="1208" t="s">
        <v>389</v>
      </c>
      <c r="E1590" s="1182" t="s">
        <v>1676</v>
      </c>
      <c r="F1590" s="1183" t="s">
        <v>4198</v>
      </c>
      <c r="G1590" s="1184" t="s">
        <v>456</v>
      </c>
      <c r="H1590" s="1221">
        <v>600000000</v>
      </c>
      <c r="I1590" s="1208" t="s">
        <v>4170</v>
      </c>
      <c r="J1590" s="1186" t="str">
        <f>VLOOKUP($I1590,'Price List, Weapons &amp; Items'!B:C,2,0)</f>
        <v>Military equipment</v>
      </c>
      <c r="K1590" s="1186" t="str">
        <f>IF(I1590=".",I1590,VLOOKUP($I1590,'Price List, Weapons &amp; Items'!B:D,3,0))</f>
        <v>Military equipment</v>
      </c>
      <c r="L1590" s="1187">
        <f>VLOOKUP(I1590,'Price List, Weapons &amp; Items'!B:E,4,0)</f>
        <v>0</v>
      </c>
      <c r="M1590" s="1241" t="s">
        <v>374</v>
      </c>
      <c r="N1590" s="1188" t="s">
        <v>374</v>
      </c>
      <c r="O1590" s="1188" t="str">
        <f>VLOOKUP($I1590,'Price List, Weapons &amp; Items'!B:G,6,0)</f>
        <v>.</v>
      </c>
      <c r="P1590" s="1185" t="str">
        <f t="shared" si="330"/>
        <v>.</v>
      </c>
      <c r="Q1590" s="1185" t="str">
        <f t="shared" si="331"/>
        <v>.</v>
      </c>
      <c r="R1590" s="1185" t="str">
        <f t="shared" si="327"/>
        <v/>
      </c>
      <c r="S1590" s="1185" t="str">
        <f>IF(AND(AD1590=1,R1590&lt;&gt;".")=TRUE,R1590/VLOOKUP(G1590,'Exchange Rates'!B:C,2,0),IF(R1590=".",".",""))</f>
        <v/>
      </c>
      <c r="T1590" s="1185" t="str">
        <f>IF(AD1590=1,IF(AF1590="Value is not given at all",".",IF(AF1590="Value is given by the source",S1590,IF(AF1590="Value is calculated with prices",(IF(SUMIFS(Q:Q,A:A,A1590)&gt;0,SUMIFS(Q:Q,A:A,A1590),"."))/VLOOKUP("USD",'Exchange Rates'!B:C,2,0),"Error with coding"))),"")</f>
        <v/>
      </c>
      <c r="U1590" s="1184" t="s">
        <v>365</v>
      </c>
      <c r="V1590" s="979" t="s">
        <v>4199</v>
      </c>
      <c r="W1590" s="973" t="s">
        <v>3955</v>
      </c>
      <c r="X1590" s="973" t="s">
        <v>3959</v>
      </c>
      <c r="Y1590" s="973" t="s">
        <v>4208</v>
      </c>
      <c r="Z1590" s="1191">
        <v>0</v>
      </c>
      <c r="AA1590" s="1194">
        <v>0</v>
      </c>
      <c r="AB1590" s="973" t="s">
        <v>4209</v>
      </c>
      <c r="AC1590" s="1192" t="str">
        <f>""</f>
        <v/>
      </c>
      <c r="AD1590" s="985">
        <v>0</v>
      </c>
      <c r="AE1590" s="1302" t="s">
        <v>368</v>
      </c>
      <c r="AF1590" s="1193" t="s">
        <v>368</v>
      </c>
      <c r="AG1590" s="985">
        <v>1</v>
      </c>
      <c r="AH1590" s="985">
        <v>9</v>
      </c>
      <c r="AI1590" s="985">
        <v>0</v>
      </c>
      <c r="AJ1590" s="1193">
        <f>VLOOKUP($I1590,'Price List, Weapons &amp; Items'!B:F,5,0)</f>
        <v>0</v>
      </c>
      <c r="AK1590" s="1193">
        <f t="shared" si="332"/>
        <v>0</v>
      </c>
      <c r="AL1590" s="1193">
        <f t="shared" si="333"/>
        <v>0</v>
      </c>
      <c r="AM1590" s="1193">
        <f t="shared" si="334"/>
        <v>0</v>
      </c>
      <c r="AN1590" s="1194" t="str">
        <f>VLOOKUP($I1590,'Price List, Weapons &amp; Items'!B:L,COLUMN('Price List, Weapons &amp; Items'!$J$11)-1,0)</f>
        <v>.</v>
      </c>
      <c r="AO1590" s="1194" t="str">
        <f>IF(I1590=".",".",VLOOKUP($I1590,'Price List, Weapons &amp; Items'!B:J,3,0))</f>
        <v>Military equipment</v>
      </c>
      <c r="AP1590" s="1195" t="str">
        <f t="shared" ca="1" si="328"/>
        <v/>
      </c>
      <c r="AQ1590" s="1194" t="str">
        <f>VLOOKUP($I1590,'Price List, Weapons &amp; Items'!B:L,COLUMN('Price List, Weapons &amp; Items'!$L$11)-1,0)</f>
        <v>no price, 0 count</v>
      </c>
      <c r="AR1590" s="1194">
        <f t="shared" si="335"/>
        <v>1</v>
      </c>
      <c r="AS1590" s="1194">
        <f t="shared" si="336"/>
        <v>1</v>
      </c>
      <c r="AT1590" s="1194">
        <f t="shared" si="337"/>
        <v>1</v>
      </c>
      <c r="AU1590" s="1194" t="str">
        <f t="shared" si="339"/>
        <v>.</v>
      </c>
      <c r="AV1590" s="1194" t="str">
        <f t="shared" si="329"/>
        <v>.</v>
      </c>
      <c r="AW1590" s="1194" t="str">
        <f t="shared" si="338"/>
        <v>.</v>
      </c>
      <c r="AX1590" s="1194">
        <f>IFERROR(VLOOKUP(B1590,'Share, Heavy Weapons to Ukraine'!B:Z,COLUMN('Share, Heavy Weapons to Ukraine'!C1602)-1,0),0)</f>
        <v>1</v>
      </c>
      <c r="AY1590" s="1194">
        <f>VLOOKUP('Bilateral Assistance, MAIN DATA'!B1590,'Country Summary (€)'!B:F,COLUMN('Country Summary (€)'!C1603)-1,FALSE)</f>
        <v>0</v>
      </c>
      <c r="AZ1590" s="1194" t="str">
        <f>IF(AND(AD1590=1,D1590="Military",H1590&lt;&gt;"Not given")=TRUE,IF(SUMIFS(P:P,A:A,A1590)&gt;0,ABS((SUMIFS(P:P,A:A,A1590)/VLOOKUP("USD",'Exchange Rates'!B:C,2,0)))/S1590,"."),".")</f>
        <v>.</v>
      </c>
      <c r="BA1590" s="1196" t="str">
        <f>IF(AND(AD1590=1,D1590="Military",H1590&lt;&gt;"Not given")=TRUE,IF(SUMIFS(P:P,A:A,A1590)&gt;0,IF((ABS((SUMIFS(P:P,A:A,A1590)/VLOOKUP("USD",'Exchange Rates'!B:C,2,0)))/S1590)&gt;1,(SUMIFS(P:P,A:A,A1590)-S1590)/S1590,(S1590-SUMIFS(P:P,A:A,A1590))/SUMIFS(P:P,A:A,A1590)),"."),".")</f>
        <v>.</v>
      </c>
    </row>
    <row r="1591" spans="1:53" ht="15.95" customHeight="1">
      <c r="A1591" s="1182" t="s">
        <v>3987</v>
      </c>
      <c r="B1591" s="1208" t="s">
        <v>3949</v>
      </c>
      <c r="C1591" s="1220">
        <v>44819</v>
      </c>
      <c r="D1591" s="1208" t="s">
        <v>389</v>
      </c>
      <c r="E1591" s="1182" t="s">
        <v>1676</v>
      </c>
      <c r="F1591" s="1183" t="s">
        <v>4198</v>
      </c>
      <c r="G1591" s="1184" t="s">
        <v>456</v>
      </c>
      <c r="H1591" s="1221">
        <v>600000000</v>
      </c>
      <c r="I1591" s="1208" t="s">
        <v>4045</v>
      </c>
      <c r="J1591" s="1186" t="str">
        <f>VLOOKUP($I1591,'Price List, Weapons &amp; Items'!B:C,2,0)</f>
        <v>Light armaments &amp; infantry</v>
      </c>
      <c r="K1591" s="1186" t="str">
        <f>IF(I1591=".",I1591,VLOOKUP($I1591,'Price List, Weapons &amp; Items'!B:D,3,0))</f>
        <v>Explosive</v>
      </c>
      <c r="L1591" s="1187">
        <f>VLOOKUP(I1591,'Price List, Weapons &amp; Items'!B:E,4,0)</f>
        <v>0</v>
      </c>
      <c r="M1591" s="1241" t="s">
        <v>374</v>
      </c>
      <c r="N1591" s="1188" t="s">
        <v>374</v>
      </c>
      <c r="O1591" s="1188">
        <f>VLOOKUP($I1591,'Price List, Weapons &amp; Items'!B:G,6,0)</f>
        <v>223.15</v>
      </c>
      <c r="P1591" s="1185" t="str">
        <f t="shared" si="330"/>
        <v>.</v>
      </c>
      <c r="Q1591" s="1185" t="str">
        <f t="shared" si="331"/>
        <v>.</v>
      </c>
      <c r="R1591" s="1185" t="str">
        <f t="shared" si="327"/>
        <v/>
      </c>
      <c r="S1591" s="1185" t="str">
        <f>IF(AND(AD1591=1,R1591&lt;&gt;".")=TRUE,R1591/VLOOKUP(G1591,'Exchange Rates'!B:C,2,0),IF(R1591=".",".",""))</f>
        <v/>
      </c>
      <c r="T1591" s="1185" t="str">
        <f>IF(AD1591=1,IF(AF1591="Value is not given at all",".",IF(AF1591="Value is given by the source",S1591,IF(AF1591="Value is calculated with prices",(IF(SUMIFS(Q:Q,A:A,A1591)&gt;0,SUMIFS(Q:Q,A:A,A1591),"."))/VLOOKUP("USD",'Exchange Rates'!B:C,2,0),"Error with coding"))),"")</f>
        <v/>
      </c>
      <c r="U1591" s="1184" t="s">
        <v>365</v>
      </c>
      <c r="V1591" s="979" t="s">
        <v>4199</v>
      </c>
      <c r="W1591" s="973" t="s">
        <v>3955</v>
      </c>
      <c r="X1591" s="973" t="s">
        <v>3959</v>
      </c>
      <c r="Y1591" s="973" t="s">
        <v>4209</v>
      </c>
      <c r="Z1591" s="1191">
        <v>0</v>
      </c>
      <c r="AA1591" s="1194">
        <v>0</v>
      </c>
      <c r="AB1591" s="973" t="s">
        <v>4210</v>
      </c>
      <c r="AC1591" s="1192" t="str">
        <f>""</f>
        <v/>
      </c>
      <c r="AD1591" s="985">
        <v>0</v>
      </c>
      <c r="AE1591" s="1302" t="s">
        <v>368</v>
      </c>
      <c r="AF1591" s="1193" t="s">
        <v>368</v>
      </c>
      <c r="AG1591" s="985">
        <v>1</v>
      </c>
      <c r="AH1591" s="985">
        <v>9</v>
      </c>
      <c r="AI1591" s="985">
        <v>0</v>
      </c>
      <c r="AJ1591" s="1193">
        <f>VLOOKUP($I1591,'Price List, Weapons &amp; Items'!B:F,5,0)</f>
        <v>0</v>
      </c>
      <c r="AK1591" s="1193">
        <f t="shared" si="332"/>
        <v>0</v>
      </c>
      <c r="AL1591" s="1193">
        <f t="shared" si="333"/>
        <v>0</v>
      </c>
      <c r="AM1591" s="1193">
        <f t="shared" si="334"/>
        <v>0</v>
      </c>
      <c r="AN1591" s="1194" t="str">
        <f>VLOOKUP($I1591,'Price List, Weapons &amp; Items'!B:L,COLUMN('Price List, Weapons &amp; Items'!$J$11)-1,0)</f>
        <v>Miscellaneous</v>
      </c>
      <c r="AO1591" s="1194" t="str">
        <f>IF(I1591=".",".",VLOOKUP($I1591,'Price List, Weapons &amp; Items'!B:J,3,0))</f>
        <v>Explosive</v>
      </c>
      <c r="AP1591" s="1195" t="str">
        <f t="shared" ca="1" si="328"/>
        <v/>
      </c>
      <c r="AQ1591" s="1194" t="str">
        <f>VLOOKUP($I1591,'Price List, Weapons &amp; Items'!B:L,COLUMN('Price List, Weapons &amp; Items'!$L$11)-1,0)</f>
        <v>no price, 0 count</v>
      </c>
      <c r="AR1591" s="1194">
        <f t="shared" si="335"/>
        <v>1</v>
      </c>
      <c r="AS1591" s="1194">
        <f t="shared" si="336"/>
        <v>1</v>
      </c>
      <c r="AT1591" s="1194">
        <f t="shared" si="337"/>
        <v>1</v>
      </c>
      <c r="AU1591" s="1194" t="str">
        <f t="shared" si="339"/>
        <v>.</v>
      </c>
      <c r="AV1591" s="1194" t="str">
        <f t="shared" si="329"/>
        <v>.</v>
      </c>
      <c r="AW1591" s="1194" t="str">
        <f t="shared" si="338"/>
        <v>.</v>
      </c>
      <c r="AX1591" s="1194">
        <f>IFERROR(VLOOKUP(B1591,'Share, Heavy Weapons to Ukraine'!B:Z,COLUMN('Share, Heavy Weapons to Ukraine'!C1603)-1,0),0)</f>
        <v>1</v>
      </c>
      <c r="AY1591" s="1194">
        <f>VLOOKUP('Bilateral Assistance, MAIN DATA'!B1591,'Country Summary (€)'!B:F,COLUMN('Country Summary (€)'!C1604)-1,FALSE)</f>
        <v>0</v>
      </c>
      <c r="AZ1591" s="1194" t="str">
        <f>IF(AND(AD1591=1,D1591="Military",H1591&lt;&gt;"Not given")=TRUE,IF(SUMIFS(P:P,A:A,A1591)&gt;0,ABS((SUMIFS(P:P,A:A,A1591)/VLOOKUP("USD",'Exchange Rates'!B:C,2,0)))/S1591,"."),".")</f>
        <v>.</v>
      </c>
      <c r="BA1591" s="1196" t="str">
        <f>IF(AND(AD1591=1,D1591="Military",H1591&lt;&gt;"Not given")=TRUE,IF(SUMIFS(P:P,A:A,A1591)&gt;0,IF((ABS((SUMIFS(P:P,A:A,A1591)/VLOOKUP("USD",'Exchange Rates'!B:C,2,0)))/S1591)&gt;1,(SUMIFS(P:P,A:A,A1591)-S1591)/S1591,(S1591-SUMIFS(P:P,A:A,A1591))/SUMIFS(P:P,A:A,A1591)),"."),".")</f>
        <v>.</v>
      </c>
    </row>
    <row r="1592" spans="1:53" ht="15.95" customHeight="1">
      <c r="A1592" s="1182" t="s">
        <v>3987</v>
      </c>
      <c r="B1592" s="1208" t="s">
        <v>3949</v>
      </c>
      <c r="C1592" s="1220">
        <v>44819</v>
      </c>
      <c r="D1592" s="1208" t="s">
        <v>389</v>
      </c>
      <c r="E1592" s="1182" t="s">
        <v>1676</v>
      </c>
      <c r="F1592" s="1183" t="s">
        <v>4198</v>
      </c>
      <c r="G1592" s="1184" t="s">
        <v>456</v>
      </c>
      <c r="H1592" s="1221">
        <v>600000000</v>
      </c>
      <c r="I1592" s="1208" t="s">
        <v>4172</v>
      </c>
      <c r="J1592" s="1186" t="str">
        <f>VLOOKUP($I1592,'Price List, Weapons &amp; Items'!B:C,2,0)</f>
        <v>Military equipment</v>
      </c>
      <c r="K1592" s="1186" t="str">
        <f>IF(I1592=".",I1592,VLOOKUP($I1592,'Price List, Weapons &amp; Items'!B:D,3,0))</f>
        <v>Military equipment</v>
      </c>
      <c r="L1592" s="1187">
        <f>VLOOKUP(I1592,'Price List, Weapons &amp; Items'!B:E,4,0)</f>
        <v>0</v>
      </c>
      <c r="M1592" s="1241" t="s">
        <v>374</v>
      </c>
      <c r="N1592" s="1188" t="s">
        <v>374</v>
      </c>
      <c r="O1592" s="1188">
        <f>VLOOKUP($I1592,'Price List, Weapons &amp; Items'!B:G,6,0)</f>
        <v>90</v>
      </c>
      <c r="P1592" s="1185" t="str">
        <f t="shared" si="330"/>
        <v>.</v>
      </c>
      <c r="Q1592" s="1185" t="str">
        <f t="shared" si="331"/>
        <v>.</v>
      </c>
      <c r="R1592" s="1185" t="str">
        <f t="shared" si="327"/>
        <v/>
      </c>
      <c r="S1592" s="1185" t="str">
        <f>IF(AND(AD1592=1,R1592&lt;&gt;".")=TRUE,R1592/VLOOKUP(G1592,'Exchange Rates'!B:C,2,0),IF(R1592=".",".",""))</f>
        <v/>
      </c>
      <c r="T1592" s="1185" t="str">
        <f>IF(AD1592=1,IF(AF1592="Value is not given at all",".",IF(AF1592="Value is given by the source",S1592,IF(AF1592="Value is calculated with prices",(IF(SUMIFS(Q:Q,A:A,A1592)&gt;0,SUMIFS(Q:Q,A:A,A1592),"."))/VLOOKUP("USD",'Exchange Rates'!B:C,2,0),"Error with coding"))),"")</f>
        <v/>
      </c>
      <c r="U1592" s="1184" t="s">
        <v>365</v>
      </c>
      <c r="V1592" s="979" t="s">
        <v>4199</v>
      </c>
      <c r="W1592" s="973" t="s">
        <v>3955</v>
      </c>
      <c r="X1592" s="973" t="s">
        <v>3959</v>
      </c>
      <c r="Y1592" s="973" t="s">
        <v>4210</v>
      </c>
      <c r="Z1592" s="1191">
        <v>0</v>
      </c>
      <c r="AA1592" s="1194">
        <v>0</v>
      </c>
      <c r="AB1592" s="973" t="s">
        <v>4211</v>
      </c>
      <c r="AC1592" s="1192" t="str">
        <f>""</f>
        <v/>
      </c>
      <c r="AD1592" s="985">
        <v>0</v>
      </c>
      <c r="AE1592" s="1302" t="s">
        <v>368</v>
      </c>
      <c r="AF1592" s="1193" t="s">
        <v>368</v>
      </c>
      <c r="AG1592" s="985">
        <v>1</v>
      </c>
      <c r="AH1592" s="985">
        <v>9</v>
      </c>
      <c r="AI1592" s="985">
        <v>0</v>
      </c>
      <c r="AJ1592" s="1193">
        <f>VLOOKUP($I1592,'Price List, Weapons &amp; Items'!B:F,5,0)</f>
        <v>0</v>
      </c>
      <c r="AK1592" s="1193">
        <f t="shared" si="332"/>
        <v>0</v>
      </c>
      <c r="AL1592" s="1193">
        <f t="shared" si="333"/>
        <v>0</v>
      </c>
      <c r="AM1592" s="1193">
        <f t="shared" si="334"/>
        <v>0</v>
      </c>
      <c r="AN1592" s="1194" t="str">
        <f>VLOOKUP($I1592,'Price List, Weapons &amp; Items'!B:L,COLUMN('Price List, Weapons &amp; Items'!$J$11)-1,0)</f>
        <v>Media reports (incl. social media)</v>
      </c>
      <c r="AO1592" s="1194" t="str">
        <f>IF(I1592=".",".",VLOOKUP($I1592,'Price List, Weapons &amp; Items'!B:J,3,0))</f>
        <v>Military equipment</v>
      </c>
      <c r="AP1592" s="1195" t="str">
        <f t="shared" ca="1" si="328"/>
        <v/>
      </c>
      <c r="AQ1592" s="1194" t="str">
        <f>VLOOKUP($I1592,'Price List, Weapons &amp; Items'!B:L,COLUMN('Price List, Weapons &amp; Items'!$L$11)-1,0)</f>
        <v>no price, 0 count</v>
      </c>
      <c r="AR1592" s="1194">
        <f t="shared" si="335"/>
        <v>1</v>
      </c>
      <c r="AS1592" s="1194">
        <f t="shared" si="336"/>
        <v>1</v>
      </c>
      <c r="AT1592" s="1194">
        <f t="shared" si="337"/>
        <v>1</v>
      </c>
      <c r="AU1592" s="1194" t="str">
        <f t="shared" si="339"/>
        <v>.</v>
      </c>
      <c r="AV1592" s="1194" t="str">
        <f t="shared" si="329"/>
        <v>.</v>
      </c>
      <c r="AW1592" s="1194" t="str">
        <f t="shared" si="338"/>
        <v>.</v>
      </c>
      <c r="AX1592" s="1194">
        <f>IFERROR(VLOOKUP(B1592,'Share, Heavy Weapons to Ukraine'!B:Z,COLUMN('Share, Heavy Weapons to Ukraine'!C1604)-1,0),0)</f>
        <v>1</v>
      </c>
      <c r="AY1592" s="1194">
        <f>VLOOKUP('Bilateral Assistance, MAIN DATA'!B1592,'Country Summary (€)'!B:F,COLUMN('Country Summary (€)'!C1605)-1,FALSE)</f>
        <v>0</v>
      </c>
      <c r="AZ1592" s="1194" t="str">
        <f>IF(AND(AD1592=1,D1592="Military",H1592&lt;&gt;"Not given")=TRUE,IF(SUMIFS(P:P,A:A,A1592)&gt;0,ABS((SUMIFS(P:P,A:A,A1592)/VLOOKUP("USD",'Exchange Rates'!B:C,2,0)))/S1592,"."),".")</f>
        <v>.</v>
      </c>
      <c r="BA1592" s="1196" t="str">
        <f>IF(AND(AD1592=1,D1592="Military",H1592&lt;&gt;"Not given")=TRUE,IF(SUMIFS(P:P,A:A,A1592)&gt;0,IF((ABS((SUMIFS(P:P,A:A,A1592)/VLOOKUP("USD",'Exchange Rates'!B:C,2,0)))/S1592)&gt;1,(SUMIFS(P:P,A:A,A1592)-S1592)/S1592,(S1592-SUMIFS(P:P,A:A,A1592))/SUMIFS(P:P,A:A,A1592)),"."),".")</f>
        <v>.</v>
      </c>
    </row>
    <row r="1593" spans="1:53" ht="15.95" customHeight="1">
      <c r="A1593" s="1182" t="s">
        <v>3987</v>
      </c>
      <c r="B1593" s="1208" t="s">
        <v>3949</v>
      </c>
      <c r="C1593" s="1220">
        <v>44819</v>
      </c>
      <c r="D1593" s="1208" t="s">
        <v>389</v>
      </c>
      <c r="E1593" s="1182" t="s">
        <v>1676</v>
      </c>
      <c r="F1593" s="1183" t="s">
        <v>4198</v>
      </c>
      <c r="G1593" s="1184" t="s">
        <v>456</v>
      </c>
      <c r="H1593" s="1221">
        <v>600000000</v>
      </c>
      <c r="I1593" s="1208" t="s">
        <v>2025</v>
      </c>
      <c r="J1593" s="1186" t="str">
        <f>VLOOKUP($I1593,'Price List, Weapons &amp; Items'!B:C,2,0)</f>
        <v>Ammunition for light infantry</v>
      </c>
      <c r="K1593" s="1186" t="str">
        <f>IF(I1593=".",I1593,VLOOKUP($I1593,'Price List, Weapons &amp; Items'!B:D,3,0))</f>
        <v>Small Arms and Light Weapons (SALW) ammunition</v>
      </c>
      <c r="L1593" s="1187">
        <f>VLOOKUP(I1593,'Price List, Weapons &amp; Items'!B:E,4,0)</f>
        <v>0</v>
      </c>
      <c r="M1593" s="1241">
        <v>24000000</v>
      </c>
      <c r="N1593" s="1188">
        <v>24000000</v>
      </c>
      <c r="O1593" s="1188">
        <f>VLOOKUP($I1593,'Price List, Weapons &amp; Items'!B:G,6,0)</f>
        <v>0.47</v>
      </c>
      <c r="P1593" s="1185">
        <f t="shared" si="330"/>
        <v>11280000</v>
      </c>
      <c r="Q1593" s="1185">
        <f t="shared" si="331"/>
        <v>11280000</v>
      </c>
      <c r="R1593" s="1185" t="str">
        <f t="shared" si="327"/>
        <v/>
      </c>
      <c r="S1593" s="1185" t="str">
        <f>IF(AND(AD1593=1,R1593&lt;&gt;".")=TRUE,R1593/VLOOKUP(G1593,'Exchange Rates'!B:C,2,0),IF(R1593=".",".",""))</f>
        <v/>
      </c>
      <c r="T1593" s="1185" t="str">
        <f>IF(AD1593=1,IF(AF1593="Value is not given at all",".",IF(AF1593="Value is given by the source",S1593,IF(AF1593="Value is calculated with prices",(IF(SUMIFS(Q:Q,A:A,A1593)&gt;0,SUMIFS(Q:Q,A:A,A1593),"."))/VLOOKUP("USD",'Exchange Rates'!B:C,2,0),"Error with coding"))),"")</f>
        <v/>
      </c>
      <c r="U1593" s="1184" t="s">
        <v>365</v>
      </c>
      <c r="V1593" s="979" t="s">
        <v>4199</v>
      </c>
      <c r="W1593" s="973" t="s">
        <v>3955</v>
      </c>
      <c r="X1593" s="973" t="s">
        <v>3959</v>
      </c>
      <c r="Y1593" s="973" t="s">
        <v>4211</v>
      </c>
      <c r="Z1593" s="1191">
        <v>0</v>
      </c>
      <c r="AA1593" s="1194">
        <v>0</v>
      </c>
      <c r="AB1593" s="973" t="s">
        <v>4212</v>
      </c>
      <c r="AC1593" s="1192" t="str">
        <f>""</f>
        <v/>
      </c>
      <c r="AD1593" s="985">
        <v>0</v>
      </c>
      <c r="AE1593" s="1302" t="s">
        <v>368</v>
      </c>
      <c r="AF1593" s="1193" t="s">
        <v>368</v>
      </c>
      <c r="AG1593" s="985">
        <v>1</v>
      </c>
      <c r="AH1593" s="985">
        <v>9</v>
      </c>
      <c r="AI1593" s="985">
        <v>0</v>
      </c>
      <c r="AJ1593" s="1193">
        <f>VLOOKUP($I1593,'Price List, Weapons &amp; Items'!B:F,5,0)</f>
        <v>0</v>
      </c>
      <c r="AK1593" s="1193">
        <f t="shared" si="332"/>
        <v>0</v>
      </c>
      <c r="AL1593" s="1193">
        <f t="shared" si="333"/>
        <v>0</v>
      </c>
      <c r="AM1593" s="1193">
        <f t="shared" si="334"/>
        <v>1</v>
      </c>
      <c r="AN1593" s="1194" t="str">
        <f>VLOOKUP($I1593,'Price List, Weapons &amp; Items'!B:L,COLUMN('Price List, Weapons &amp; Items'!$J$11)-1,0)</f>
        <v>Miscellaneous</v>
      </c>
      <c r="AO1593" s="1194" t="str">
        <f>IF(I1593=".",".",VLOOKUP($I1593,'Price List, Weapons &amp; Items'!B:J,3,0))</f>
        <v>Small Arms and Light Weapons (SALW) ammunition</v>
      </c>
      <c r="AP1593" s="1195" t="str">
        <f t="shared" ca="1" si="328"/>
        <v/>
      </c>
      <c r="AQ1593" s="1194">
        <f>VLOOKUP($I1593,'Price List, Weapons &amp; Items'!B:L,COLUMN('Price List, Weapons &amp; Items'!$L$11)-1,0)</f>
        <v>2</v>
      </c>
      <c r="AR1593" s="1194">
        <f t="shared" si="335"/>
        <v>1</v>
      </c>
      <c r="AS1593" s="1194">
        <f t="shared" si="336"/>
        <v>1</v>
      </c>
      <c r="AT1593" s="1194">
        <f t="shared" si="337"/>
        <v>1</v>
      </c>
      <c r="AU1593" s="1194" t="str">
        <f t="shared" si="339"/>
        <v>.</v>
      </c>
      <c r="AV1593" s="1194" t="str">
        <f t="shared" si="329"/>
        <v>.</v>
      </c>
      <c r="AW1593" s="1194" t="str">
        <f t="shared" si="338"/>
        <v>.</v>
      </c>
      <c r="AX1593" s="1194">
        <f>IFERROR(VLOOKUP(B1593,'Share, Heavy Weapons to Ukraine'!B:Z,COLUMN('Share, Heavy Weapons to Ukraine'!C1605)-1,0),0)</f>
        <v>1</v>
      </c>
      <c r="AY1593" s="1194">
        <f>VLOOKUP('Bilateral Assistance, MAIN DATA'!B1593,'Country Summary (€)'!B:F,COLUMN('Country Summary (€)'!C1606)-1,FALSE)</f>
        <v>0</v>
      </c>
      <c r="AZ1593" s="1194" t="str">
        <f>IF(AND(AD1593=1,D1593="Military",H1593&lt;&gt;"Not given")=TRUE,IF(SUMIFS(P:P,A:A,A1593)&gt;0,ABS((SUMIFS(P:P,A:A,A1593)/VLOOKUP("USD",'Exchange Rates'!B:C,2,0)))/S1593,"."),".")</f>
        <v>.</v>
      </c>
      <c r="BA1593" s="1196" t="str">
        <f>IF(AND(AD1593=1,D1593="Military",H1593&lt;&gt;"Not given")=TRUE,IF(SUMIFS(P:P,A:A,A1593)&gt;0,IF((ABS((SUMIFS(P:P,A:A,A1593)/VLOOKUP("USD",'Exchange Rates'!B:C,2,0)))/S1593)&gt;1,(SUMIFS(P:P,A:A,A1593)-S1593)/S1593,(S1593-SUMIFS(P:P,A:A,A1593))/SUMIFS(P:P,A:A,A1593)),"."),".")</f>
        <v>.</v>
      </c>
    </row>
    <row r="1594" spans="1:53" ht="15.95" customHeight="1">
      <c r="A1594" s="1182" t="s">
        <v>3987</v>
      </c>
      <c r="B1594" s="1208" t="s">
        <v>3949</v>
      </c>
      <c r="C1594" s="1220">
        <v>44819</v>
      </c>
      <c r="D1594" s="1208" t="s">
        <v>389</v>
      </c>
      <c r="E1594" s="1182" t="s">
        <v>1676</v>
      </c>
      <c r="F1594" s="1183" t="s">
        <v>4198</v>
      </c>
      <c r="G1594" s="1184" t="s">
        <v>456</v>
      </c>
      <c r="H1594" s="1221">
        <v>600000000</v>
      </c>
      <c r="I1594" s="1208" t="s">
        <v>1405</v>
      </c>
      <c r="J1594" s="1186" t="str">
        <f>VLOOKUP($I1594,'Price List, Weapons &amp; Items'!B:C,2,0)</f>
        <v>Military equipment</v>
      </c>
      <c r="K1594" s="1186" t="str">
        <f>IF(I1594=".",I1594,VLOOKUP($I1594,'Price List, Weapons &amp; Items'!B:D,3,0))</f>
        <v>Military equipment</v>
      </c>
      <c r="L1594" s="1187">
        <f>VLOOKUP(I1594,'Price List, Weapons &amp; Items'!B:E,4,0)</f>
        <v>0</v>
      </c>
      <c r="M1594" s="1241" t="s">
        <v>374</v>
      </c>
      <c r="N1594" s="1188" t="s">
        <v>374</v>
      </c>
      <c r="O1594" s="1188">
        <f>VLOOKUP($I1594,'Price List, Weapons &amp; Items'!B:G,6,0)</f>
        <v>2320</v>
      </c>
      <c r="P1594" s="1185" t="str">
        <f t="shared" si="330"/>
        <v>.</v>
      </c>
      <c r="Q1594" s="1185" t="str">
        <f t="shared" si="331"/>
        <v>.</v>
      </c>
      <c r="R1594" s="1185" t="str">
        <f t="shared" si="327"/>
        <v/>
      </c>
      <c r="S1594" s="1185" t="str">
        <f>IF(AND(AD1594=1,R1594&lt;&gt;".")=TRUE,R1594/VLOOKUP(G1594,'Exchange Rates'!B:C,2,0),IF(R1594=".",".",""))</f>
        <v/>
      </c>
      <c r="T1594" s="1185" t="str">
        <f>IF(AD1594=1,IF(AF1594="Value is not given at all",".",IF(AF1594="Value is given by the source",S1594,IF(AF1594="Value is calculated with prices",(IF(SUMIFS(Q:Q,A:A,A1594)&gt;0,SUMIFS(Q:Q,A:A,A1594),"."))/VLOOKUP("USD",'Exchange Rates'!B:C,2,0),"Error with coding"))),"")</f>
        <v/>
      </c>
      <c r="U1594" s="1184" t="s">
        <v>365</v>
      </c>
      <c r="V1594" s="979" t="s">
        <v>4199</v>
      </c>
      <c r="W1594" s="973" t="s">
        <v>3955</v>
      </c>
      <c r="X1594" s="973" t="s">
        <v>3959</v>
      </c>
      <c r="Y1594" s="973" t="s">
        <v>4212</v>
      </c>
      <c r="Z1594" s="1191">
        <v>0</v>
      </c>
      <c r="AA1594" s="1194">
        <v>0</v>
      </c>
      <c r="AB1594" s="973" t="s">
        <v>4213</v>
      </c>
      <c r="AC1594" s="1192" t="str">
        <f>""</f>
        <v/>
      </c>
      <c r="AD1594" s="985">
        <v>0</v>
      </c>
      <c r="AE1594" s="1302" t="s">
        <v>368</v>
      </c>
      <c r="AF1594" s="1193" t="s">
        <v>368</v>
      </c>
      <c r="AG1594" s="985">
        <v>1</v>
      </c>
      <c r="AH1594" s="985">
        <v>9</v>
      </c>
      <c r="AI1594" s="985">
        <v>0</v>
      </c>
      <c r="AJ1594" s="1193">
        <f>VLOOKUP($I1594,'Price List, Weapons &amp; Items'!B:F,5,0)</f>
        <v>0</v>
      </c>
      <c r="AK1594" s="1193">
        <f t="shared" si="332"/>
        <v>0</v>
      </c>
      <c r="AL1594" s="1193">
        <f t="shared" si="333"/>
        <v>0</v>
      </c>
      <c r="AM1594" s="1193">
        <f t="shared" si="334"/>
        <v>0</v>
      </c>
      <c r="AN1594" s="1194" t="str">
        <f>VLOOKUP($I1594,'Price List, Weapons &amp; Items'!B:L,COLUMN('Price List, Weapons &amp; Items'!$J$11)-1,0)</f>
        <v>Media reports (incl. social media)</v>
      </c>
      <c r="AO1594" s="1194" t="str">
        <f>IF(I1594=".",".",VLOOKUP($I1594,'Price List, Weapons &amp; Items'!B:J,3,0))</f>
        <v>Military equipment</v>
      </c>
      <c r="AP1594" s="1195" t="str">
        <f t="shared" ca="1" si="328"/>
        <v/>
      </c>
      <c r="AQ1594" s="1194">
        <f>VLOOKUP($I1594,'Price List, Weapons &amp; Items'!B:L,COLUMN('Price List, Weapons &amp; Items'!$L$11)-1,0)</f>
        <v>2</v>
      </c>
      <c r="AR1594" s="1194">
        <f t="shared" si="335"/>
        <v>1</v>
      </c>
      <c r="AS1594" s="1194">
        <f t="shared" si="336"/>
        <v>1</v>
      </c>
      <c r="AT1594" s="1194">
        <f t="shared" si="337"/>
        <v>1</v>
      </c>
      <c r="AU1594" s="1194" t="str">
        <f t="shared" si="339"/>
        <v>.</v>
      </c>
      <c r="AV1594" s="1194" t="str">
        <f t="shared" si="329"/>
        <v>.</v>
      </c>
      <c r="AW1594" s="1194" t="str">
        <f t="shared" si="338"/>
        <v>.</v>
      </c>
      <c r="AX1594" s="1194">
        <f>IFERROR(VLOOKUP(B1594,'Share, Heavy Weapons to Ukraine'!B:Z,COLUMN('Share, Heavy Weapons to Ukraine'!C1606)-1,0),0)</f>
        <v>1</v>
      </c>
      <c r="AY1594" s="1194">
        <f>VLOOKUP('Bilateral Assistance, MAIN DATA'!B1594,'Country Summary (€)'!B:F,COLUMN('Country Summary (€)'!C1607)-1,FALSE)</f>
        <v>0</v>
      </c>
      <c r="AZ1594" s="1194" t="str">
        <f>IF(AND(AD1594=1,D1594="Military",H1594&lt;&gt;"Not given")=TRUE,IF(SUMIFS(P:P,A:A,A1594)&gt;0,ABS((SUMIFS(P:P,A:A,A1594)/VLOOKUP("USD",'Exchange Rates'!B:C,2,0)))/S1594,"."),".")</f>
        <v>.</v>
      </c>
      <c r="BA1594" s="1196" t="str">
        <f>IF(AND(AD1594=1,D1594="Military",H1594&lt;&gt;"Not given")=TRUE,IF(SUMIFS(P:P,A:A,A1594)&gt;0,IF((ABS((SUMIFS(P:P,A:A,A1594)/VLOOKUP("USD",'Exchange Rates'!B:C,2,0)))/S1594)&gt;1,(SUMIFS(P:P,A:A,A1594)-S1594)/S1594,(S1594-SUMIFS(P:P,A:A,A1594))/SUMIFS(P:P,A:A,A1594)),"."),".")</f>
        <v>.</v>
      </c>
    </row>
    <row r="1595" spans="1:53" ht="15.95" customHeight="1">
      <c r="A1595" s="1182" t="s">
        <v>3987</v>
      </c>
      <c r="B1595" s="1208" t="s">
        <v>3949</v>
      </c>
      <c r="C1595" s="1220">
        <v>44819</v>
      </c>
      <c r="D1595" s="1208" t="s">
        <v>389</v>
      </c>
      <c r="E1595" s="1182" t="s">
        <v>1676</v>
      </c>
      <c r="F1595" s="1183" t="s">
        <v>4198</v>
      </c>
      <c r="G1595" s="1184" t="s">
        <v>456</v>
      </c>
      <c r="H1595" s="1221">
        <v>600000000</v>
      </c>
      <c r="I1595" s="1208" t="s">
        <v>4214</v>
      </c>
      <c r="J1595" s="1186" t="str">
        <f>VLOOKUP($I1595,'Price List, Weapons &amp; Items'!B:C,2,0)</f>
        <v>Military equipment</v>
      </c>
      <c r="K1595" s="1186" t="str">
        <f>IF(I1595=".",I1595,VLOOKUP($I1595,'Price List, Weapons &amp; Items'!B:D,3,0))</f>
        <v>Military equipment</v>
      </c>
      <c r="L1595" s="1187">
        <f>VLOOKUP(I1595,'Price List, Weapons &amp; Items'!B:E,4,0)</f>
        <v>0</v>
      </c>
      <c r="M1595" s="1241" t="s">
        <v>374</v>
      </c>
      <c r="N1595" s="1188" t="s">
        <v>374</v>
      </c>
      <c r="O1595" s="1188" t="str">
        <f>VLOOKUP($I1595,'Price List, Weapons &amp; Items'!B:G,6,0)</f>
        <v>.</v>
      </c>
      <c r="P1595" s="1185" t="str">
        <f t="shared" si="330"/>
        <v>.</v>
      </c>
      <c r="Q1595" s="1185" t="str">
        <f t="shared" si="331"/>
        <v>.</v>
      </c>
      <c r="R1595" s="1185" t="str">
        <f t="shared" si="327"/>
        <v/>
      </c>
      <c r="S1595" s="1185" t="str">
        <f>IF(AND(AD1595=1,R1595&lt;&gt;".")=TRUE,R1595/VLOOKUP(G1595,'Exchange Rates'!B:C,2,0),IF(R1595=".",".",""))</f>
        <v/>
      </c>
      <c r="T1595" s="1185" t="str">
        <f>IF(AD1595=1,IF(AF1595="Value is not given at all",".",IF(AF1595="Value is given by the source",S1595,IF(AF1595="Value is calculated with prices",(IF(SUMIFS(Q:Q,A:A,A1595)&gt;0,SUMIFS(Q:Q,A:A,A1595),"."))/VLOOKUP("USD",'Exchange Rates'!B:C,2,0),"Error with coding"))),"")</f>
        <v/>
      </c>
      <c r="U1595" s="1184" t="s">
        <v>365</v>
      </c>
      <c r="V1595" s="979" t="s">
        <v>4199</v>
      </c>
      <c r="W1595" s="973" t="s">
        <v>3955</v>
      </c>
      <c r="X1595" s="973" t="s">
        <v>3959</v>
      </c>
      <c r="Y1595" s="973" t="s">
        <v>4213</v>
      </c>
      <c r="Z1595" s="1191">
        <v>0</v>
      </c>
      <c r="AA1595" s="1194">
        <v>0</v>
      </c>
      <c r="AB1595" s="973" t="s">
        <v>4215</v>
      </c>
      <c r="AC1595" s="1192" t="str">
        <f>""</f>
        <v/>
      </c>
      <c r="AD1595" s="985">
        <v>0</v>
      </c>
      <c r="AE1595" s="1302" t="s">
        <v>368</v>
      </c>
      <c r="AF1595" s="1193" t="s">
        <v>368</v>
      </c>
      <c r="AG1595" s="985">
        <v>1</v>
      </c>
      <c r="AH1595" s="985">
        <v>9</v>
      </c>
      <c r="AI1595" s="985">
        <v>0</v>
      </c>
      <c r="AJ1595" s="1193">
        <f>VLOOKUP($I1595,'Price List, Weapons &amp; Items'!B:F,5,0)</f>
        <v>0</v>
      </c>
      <c r="AK1595" s="1193">
        <f t="shared" si="332"/>
        <v>0</v>
      </c>
      <c r="AL1595" s="1193">
        <f t="shared" si="333"/>
        <v>0</v>
      </c>
      <c r="AM1595" s="1193">
        <f t="shared" si="334"/>
        <v>0</v>
      </c>
      <c r="AN1595" s="1194" t="str">
        <f>VLOOKUP($I1595,'Price List, Weapons &amp; Items'!B:L,COLUMN('Price List, Weapons &amp; Items'!$J$11)-1,0)</f>
        <v>.</v>
      </c>
      <c r="AO1595" s="1194" t="str">
        <f>IF(I1595=".",".",VLOOKUP($I1595,'Price List, Weapons &amp; Items'!B:J,3,0))</f>
        <v>Military equipment</v>
      </c>
      <c r="AP1595" s="1195" t="str">
        <f t="shared" ca="1" si="328"/>
        <v/>
      </c>
      <c r="AQ1595" s="1194" t="str">
        <f>VLOOKUP($I1595,'Price List, Weapons &amp; Items'!B:L,COLUMN('Price List, Weapons &amp; Items'!$L$11)-1,0)</f>
        <v>no price, 0 count</v>
      </c>
      <c r="AR1595" s="1194">
        <f t="shared" si="335"/>
        <v>1</v>
      </c>
      <c r="AS1595" s="1194">
        <f t="shared" si="336"/>
        <v>1</v>
      </c>
      <c r="AT1595" s="1194">
        <f t="shared" si="337"/>
        <v>1</v>
      </c>
      <c r="AU1595" s="1194" t="str">
        <f t="shared" si="339"/>
        <v>.</v>
      </c>
      <c r="AV1595" s="1194" t="str">
        <f t="shared" si="329"/>
        <v>.</v>
      </c>
      <c r="AW1595" s="1194" t="str">
        <f t="shared" si="338"/>
        <v>.</v>
      </c>
      <c r="AX1595" s="1194">
        <f>IFERROR(VLOOKUP(B1595,'Share, Heavy Weapons to Ukraine'!B:Z,COLUMN('Share, Heavy Weapons to Ukraine'!C1607)-1,0),0)</f>
        <v>1</v>
      </c>
      <c r="AY1595" s="1194">
        <f>VLOOKUP('Bilateral Assistance, MAIN DATA'!B1595,'Country Summary (€)'!B:F,COLUMN('Country Summary (€)'!C1608)-1,FALSE)</f>
        <v>0</v>
      </c>
      <c r="AZ1595" s="1194" t="str">
        <f>IF(AND(AD1595=1,D1595="Military",H1595&lt;&gt;"Not given")=TRUE,IF(SUMIFS(P:P,A:A,A1595)&gt;0,ABS((SUMIFS(P:P,A:A,A1595)/VLOOKUP("USD",'Exchange Rates'!B:C,2,0)))/S1595,"."),".")</f>
        <v>.</v>
      </c>
      <c r="BA1595" s="1196" t="str">
        <f>IF(AND(AD1595=1,D1595="Military",H1595&lt;&gt;"Not given")=TRUE,IF(SUMIFS(P:P,A:A,A1595)&gt;0,IF((ABS((SUMIFS(P:P,A:A,A1595)/VLOOKUP("USD",'Exchange Rates'!B:C,2,0)))/S1595)&gt;1,(SUMIFS(P:P,A:A,A1595)-S1595)/S1595,(S1595-SUMIFS(P:P,A:A,A1595))/SUMIFS(P:P,A:A,A1595)),"."),".")</f>
        <v>.</v>
      </c>
    </row>
    <row r="1596" spans="1:53" ht="15.95" customHeight="1">
      <c r="A1596" s="1182" t="s">
        <v>3987</v>
      </c>
      <c r="B1596" s="1208" t="s">
        <v>3949</v>
      </c>
      <c r="C1596" s="1220">
        <v>44819</v>
      </c>
      <c r="D1596" s="1208" t="s">
        <v>389</v>
      </c>
      <c r="E1596" s="1182" t="s">
        <v>1676</v>
      </c>
      <c r="F1596" s="1183" t="s">
        <v>4198</v>
      </c>
      <c r="G1596" s="1184" t="s">
        <v>456</v>
      </c>
      <c r="H1596" s="1221">
        <v>600000000</v>
      </c>
      <c r="I1596" s="1208" t="s">
        <v>4196</v>
      </c>
      <c r="J1596" s="1186" t="str">
        <f>VLOOKUP($I1596,'Price List, Weapons &amp; Items'!B:C,2,0)</f>
        <v>Military equipment</v>
      </c>
      <c r="K1596" s="1186" t="str">
        <f>IF(I1596=".",I1596,VLOOKUP($I1596,'Price List, Weapons &amp; Items'!B:D,3,0))</f>
        <v>Military equipment</v>
      </c>
      <c r="L1596" s="1187">
        <f>VLOOKUP(I1596,'Price List, Weapons &amp; Items'!B:E,4,0)</f>
        <v>0</v>
      </c>
      <c r="M1596" s="1241" t="s">
        <v>374</v>
      </c>
      <c r="N1596" s="1188" t="s">
        <v>374</v>
      </c>
      <c r="O1596" s="1188" t="str">
        <f>VLOOKUP($I1596,'Price List, Weapons &amp; Items'!B:G,6,0)</f>
        <v>.</v>
      </c>
      <c r="P1596" s="1185" t="str">
        <f t="shared" si="330"/>
        <v>.</v>
      </c>
      <c r="Q1596" s="1185" t="str">
        <f t="shared" si="331"/>
        <v>.</v>
      </c>
      <c r="R1596" s="1185" t="str">
        <f t="shared" si="327"/>
        <v/>
      </c>
      <c r="S1596" s="1185" t="str">
        <f>IF(AND(AD1596=1,R1596&lt;&gt;".")=TRUE,R1596/VLOOKUP(G1596,'Exchange Rates'!B:C,2,0),IF(R1596=".",".",""))</f>
        <v/>
      </c>
      <c r="T1596" s="1185" t="str">
        <f>IF(AD1596=1,IF(AF1596="Value is not given at all",".",IF(AF1596="Value is given by the source",S1596,IF(AF1596="Value is calculated with prices",(IF(SUMIFS(Q:Q,A:A,A1596)&gt;0,SUMIFS(Q:Q,A:A,A1596),"."))/VLOOKUP("USD",'Exchange Rates'!B:C,2,0),"Error with coding"))),"")</f>
        <v/>
      </c>
      <c r="U1596" s="1184" t="s">
        <v>365</v>
      </c>
      <c r="V1596" s="979" t="s">
        <v>4199</v>
      </c>
      <c r="W1596" s="973" t="s">
        <v>3955</v>
      </c>
      <c r="X1596" s="973" t="s">
        <v>3959</v>
      </c>
      <c r="Y1596" s="973" t="s">
        <v>4215</v>
      </c>
      <c r="Z1596" s="1191">
        <v>0</v>
      </c>
      <c r="AA1596" s="1194">
        <v>0</v>
      </c>
      <c r="AB1596" s="973" t="s">
        <v>4216</v>
      </c>
      <c r="AC1596" s="1192" t="str">
        <f>""</f>
        <v/>
      </c>
      <c r="AD1596" s="985">
        <v>0</v>
      </c>
      <c r="AE1596" s="1302" t="s">
        <v>368</v>
      </c>
      <c r="AF1596" s="1193" t="s">
        <v>368</v>
      </c>
      <c r="AG1596" s="985">
        <v>1</v>
      </c>
      <c r="AH1596" s="985">
        <v>9</v>
      </c>
      <c r="AI1596" s="985">
        <v>0</v>
      </c>
      <c r="AJ1596" s="1193">
        <f>VLOOKUP($I1596,'Price List, Weapons &amp; Items'!B:F,5,0)</f>
        <v>0</v>
      </c>
      <c r="AK1596" s="1193">
        <f t="shared" si="332"/>
        <v>0</v>
      </c>
      <c r="AL1596" s="1193">
        <f t="shared" si="333"/>
        <v>0</v>
      </c>
      <c r="AM1596" s="1193">
        <f t="shared" si="334"/>
        <v>0</v>
      </c>
      <c r="AN1596" s="1194" t="str">
        <f>VLOOKUP($I1596,'Price List, Weapons &amp; Items'!B:L,COLUMN('Price List, Weapons &amp; Items'!$J$11)-1,0)</f>
        <v>.</v>
      </c>
      <c r="AO1596" s="1194" t="str">
        <f>IF(I1596=".",".",VLOOKUP($I1596,'Price List, Weapons &amp; Items'!B:J,3,0))</f>
        <v>Military equipment</v>
      </c>
      <c r="AP1596" s="1195" t="str">
        <f t="shared" ca="1" si="328"/>
        <v/>
      </c>
      <c r="AQ1596" s="1194" t="str">
        <f>VLOOKUP($I1596,'Price List, Weapons &amp; Items'!B:L,COLUMN('Price List, Weapons &amp; Items'!$L$11)-1,0)</f>
        <v>no price, 0 count</v>
      </c>
      <c r="AR1596" s="1194">
        <f t="shared" si="335"/>
        <v>1</v>
      </c>
      <c r="AS1596" s="1194">
        <f t="shared" si="336"/>
        <v>1</v>
      </c>
      <c r="AT1596" s="1194">
        <f t="shared" si="337"/>
        <v>1</v>
      </c>
      <c r="AU1596" s="1194" t="str">
        <f t="shared" si="339"/>
        <v>.</v>
      </c>
      <c r="AV1596" s="1194" t="str">
        <f t="shared" si="329"/>
        <v>.</v>
      </c>
      <c r="AW1596" s="1194" t="str">
        <f t="shared" si="338"/>
        <v>.</v>
      </c>
      <c r="AX1596" s="1194">
        <f>IFERROR(VLOOKUP(B1596,'Share, Heavy Weapons to Ukraine'!B:Z,COLUMN('Share, Heavy Weapons to Ukraine'!C1608)-1,0),0)</f>
        <v>1</v>
      </c>
      <c r="AY1596" s="1194">
        <f>VLOOKUP('Bilateral Assistance, MAIN DATA'!B1596,'Country Summary (€)'!B:F,COLUMN('Country Summary (€)'!C1609)-1,FALSE)</f>
        <v>0</v>
      </c>
      <c r="AZ1596" s="1194" t="str">
        <f>IF(AND(AD1596=1,D1596="Military",H1596&lt;&gt;"Not given")=TRUE,IF(SUMIFS(P:P,A:A,A1596)&gt;0,ABS((SUMIFS(P:P,A:A,A1596)/VLOOKUP("USD",'Exchange Rates'!B:C,2,0)))/S1596,"."),".")</f>
        <v>.</v>
      </c>
      <c r="BA1596" s="1196" t="str">
        <f>IF(AND(AD1596=1,D1596="Military",H1596&lt;&gt;"Not given")=TRUE,IF(SUMIFS(P:P,A:A,A1596)&gt;0,IF((ABS((SUMIFS(P:P,A:A,A1596)/VLOOKUP("USD",'Exchange Rates'!B:C,2,0)))/S1596)&gt;1,(SUMIFS(P:P,A:A,A1596)-S1596)/S1596,(S1596-SUMIFS(P:P,A:A,A1596))/SUMIFS(P:P,A:A,A1596)),"."),".")</f>
        <v>.</v>
      </c>
    </row>
    <row r="1597" spans="1:53" ht="15.95" customHeight="1">
      <c r="A1597" s="1182" t="s">
        <v>3987</v>
      </c>
      <c r="B1597" s="1208" t="s">
        <v>3949</v>
      </c>
      <c r="C1597" s="1220">
        <v>44819</v>
      </c>
      <c r="D1597" s="1208" t="s">
        <v>389</v>
      </c>
      <c r="E1597" s="1182" t="s">
        <v>1676</v>
      </c>
      <c r="F1597" s="1183" t="s">
        <v>4198</v>
      </c>
      <c r="G1597" s="1184" t="s">
        <v>456</v>
      </c>
      <c r="H1597" s="1221">
        <v>600000000</v>
      </c>
      <c r="I1597" s="1208" t="s">
        <v>4217</v>
      </c>
      <c r="J1597" s="1186" t="str">
        <f>VLOOKUP($I1597,'Price List, Weapons &amp; Items'!B:C,2,0)</f>
        <v>Military equipment</v>
      </c>
      <c r="K1597" s="1186" t="str">
        <f>IF(I1597=".",I1597,VLOOKUP($I1597,'Price List, Weapons &amp; Items'!B:D,3,0))</f>
        <v>spare parts</v>
      </c>
      <c r="L1597" s="1187">
        <f>VLOOKUP(I1597,'Price List, Weapons &amp; Items'!B:E,4,0)</f>
        <v>0</v>
      </c>
      <c r="M1597" s="1241" t="s">
        <v>374</v>
      </c>
      <c r="N1597" s="1188" t="s">
        <v>374</v>
      </c>
      <c r="O1597" s="1188" t="str">
        <f>VLOOKUP($I1597,'Price List, Weapons &amp; Items'!B:G,6,0)</f>
        <v>.</v>
      </c>
      <c r="P1597" s="1185" t="str">
        <f t="shared" si="330"/>
        <v>.</v>
      </c>
      <c r="Q1597" s="1185" t="str">
        <f t="shared" si="331"/>
        <v>.</v>
      </c>
      <c r="R1597" s="1185" t="str">
        <f t="shared" si="327"/>
        <v/>
      </c>
      <c r="S1597" s="1185" t="str">
        <f>IF(AND(AD1597=1,R1597&lt;&gt;".")=TRUE,R1597/VLOOKUP(G1597,'Exchange Rates'!B:C,2,0),IF(R1597=".",".",""))</f>
        <v/>
      </c>
      <c r="T1597" s="1185" t="str">
        <f>IF(AD1597=1,IF(AF1597="Value is not given at all",".",IF(AF1597="Value is given by the source",S1597,IF(AF1597="Value is calculated with prices",(IF(SUMIFS(Q:Q,A:A,A1597)&gt;0,SUMIFS(Q:Q,A:A,A1597),"."))/VLOOKUP("USD",'Exchange Rates'!B:C,2,0),"Error with coding"))),"")</f>
        <v/>
      </c>
      <c r="U1597" s="1184" t="s">
        <v>365</v>
      </c>
      <c r="V1597" s="979" t="s">
        <v>4199</v>
      </c>
      <c r="W1597" s="973" t="s">
        <v>3955</v>
      </c>
      <c r="X1597" s="973" t="s">
        <v>3959</v>
      </c>
      <c r="Y1597" s="973" t="s">
        <v>4215</v>
      </c>
      <c r="Z1597" s="1191">
        <v>0</v>
      </c>
      <c r="AA1597" s="1194">
        <v>0</v>
      </c>
      <c r="AB1597" s="973" t="s">
        <v>4216</v>
      </c>
      <c r="AC1597" s="1192" t="str">
        <f>""</f>
        <v/>
      </c>
      <c r="AD1597" s="985">
        <v>0</v>
      </c>
      <c r="AE1597" s="1302" t="s">
        <v>368</v>
      </c>
      <c r="AF1597" s="1193" t="s">
        <v>368</v>
      </c>
      <c r="AG1597" s="985">
        <v>1</v>
      </c>
      <c r="AH1597" s="985">
        <v>9</v>
      </c>
      <c r="AI1597" s="985">
        <v>0</v>
      </c>
      <c r="AJ1597" s="1193">
        <f>VLOOKUP($I1597,'Price List, Weapons &amp; Items'!B:F,5,0)</f>
        <v>0</v>
      </c>
      <c r="AK1597" s="1193">
        <f t="shared" si="332"/>
        <v>0</v>
      </c>
      <c r="AL1597" s="1193">
        <f t="shared" si="333"/>
        <v>0</v>
      </c>
      <c r="AM1597" s="1193">
        <f t="shared" si="334"/>
        <v>0</v>
      </c>
      <c r="AN1597" s="1194" t="str">
        <f>VLOOKUP($I1597,'Price List, Weapons &amp; Items'!B:L,COLUMN('Price List, Weapons &amp; Items'!$J$11)-1,0)</f>
        <v>.</v>
      </c>
      <c r="AO1597" s="1194" t="str">
        <f>IF(I1597=".",".",VLOOKUP($I1597,'Price List, Weapons &amp; Items'!B:J,3,0))</f>
        <v>spare parts</v>
      </c>
      <c r="AP1597" s="1195" t="str">
        <f t="shared" ca="1" si="328"/>
        <v/>
      </c>
      <c r="AQ1597" s="1194" t="str">
        <f>VLOOKUP($I1597,'Price List, Weapons &amp; Items'!B:L,COLUMN('Price List, Weapons &amp; Items'!$L$11)-1,0)</f>
        <v>no price, 0 count</v>
      </c>
      <c r="AR1597" s="1194">
        <f t="shared" si="335"/>
        <v>1</v>
      </c>
      <c r="AS1597" s="1194">
        <f t="shared" si="336"/>
        <v>1</v>
      </c>
      <c r="AT1597" s="1194">
        <f t="shared" si="337"/>
        <v>1</v>
      </c>
      <c r="AU1597" s="1194" t="str">
        <f t="shared" si="339"/>
        <v>.</v>
      </c>
      <c r="AV1597" s="1194" t="str">
        <f t="shared" si="329"/>
        <v>.</v>
      </c>
      <c r="AW1597" s="1194" t="str">
        <f t="shared" si="338"/>
        <v>.</v>
      </c>
      <c r="AX1597" s="1194">
        <f>IFERROR(VLOOKUP(B1597,'Share, Heavy Weapons to Ukraine'!B:Z,COLUMN('Share, Heavy Weapons to Ukraine'!C1609)-1,0),0)</f>
        <v>1</v>
      </c>
      <c r="AY1597" s="1194">
        <f>VLOOKUP('Bilateral Assistance, MAIN DATA'!B1597,'Country Summary (€)'!B:F,COLUMN('Country Summary (€)'!C1610)-1,FALSE)</f>
        <v>0</v>
      </c>
      <c r="AZ1597" s="1194" t="str">
        <f>IF(AND(AD1597=1,D1597="Military",H1597&lt;&gt;"Not given")=TRUE,IF(SUMIFS(P:P,A:A,A1597)&gt;0,ABS((SUMIFS(P:P,A:A,A1597)/VLOOKUP("USD",'Exchange Rates'!B:C,2,0)))/S1597,"."),".")</f>
        <v>.</v>
      </c>
      <c r="BA1597" s="1196" t="str">
        <f>IF(AND(AD1597=1,D1597="Military",H1597&lt;&gt;"Not given")=TRUE,IF(SUMIFS(P:P,A:A,A1597)&gt;0,IF((ABS((SUMIFS(P:P,A:A,A1597)/VLOOKUP("USD",'Exchange Rates'!B:C,2,0)))/S1597)&gt;1,(SUMIFS(P:P,A:A,A1597)-S1597)/S1597,(S1597-SUMIFS(P:P,A:A,A1597))/SUMIFS(P:P,A:A,A1597)),"."),".")</f>
        <v>.</v>
      </c>
    </row>
    <row r="1598" spans="1:53" ht="15.95" customHeight="1">
      <c r="A1598" s="1182" t="s">
        <v>4218</v>
      </c>
      <c r="B1598" s="1182" t="s">
        <v>3949</v>
      </c>
      <c r="C1598" s="1181">
        <v>44676</v>
      </c>
      <c r="D1598" s="1182" t="s">
        <v>389</v>
      </c>
      <c r="E1598" s="1208" t="s">
        <v>390</v>
      </c>
      <c r="F1598" s="1183" t="s">
        <v>4219</v>
      </c>
      <c r="G1598" s="1184" t="s">
        <v>456</v>
      </c>
      <c r="H1598" s="1185">
        <v>1547000000</v>
      </c>
      <c r="I1598" s="1266" t="s">
        <v>364</v>
      </c>
      <c r="J1598" s="1186" t="str">
        <f>VLOOKUP($I1598,'Price List, Weapons &amp; Items'!B:C,2,0)</f>
        <v>.</v>
      </c>
      <c r="K1598" s="1186" t="str">
        <f>IF(I1598=".",I1598,VLOOKUP($I1598,'Price List, Weapons &amp; Items'!B:D,3,0))</f>
        <v>.</v>
      </c>
      <c r="L1598" s="1187">
        <f>VLOOKUP(I1598,'Price List, Weapons &amp; Items'!B:E,4,0)</f>
        <v>0</v>
      </c>
      <c r="M1598" s="1188" t="s">
        <v>364</v>
      </c>
      <c r="N1598" s="1188" t="s">
        <v>364</v>
      </c>
      <c r="O1598" s="1188" t="str">
        <f>VLOOKUP($I1598,'Price List, Weapons &amp; Items'!B:G,6,0)</f>
        <v>.</v>
      </c>
      <c r="P1598" s="1185" t="str">
        <f t="shared" si="330"/>
        <v>.</v>
      </c>
      <c r="Q1598" s="1185" t="str">
        <f t="shared" si="331"/>
        <v>.</v>
      </c>
      <c r="R1598" s="1185">
        <f t="shared" si="327"/>
        <v>1547000000</v>
      </c>
      <c r="S1598" s="1185">
        <f>IF(AND(AD1598=1,R1598&lt;&gt;".")=TRUE,R1598/VLOOKUP(G1598,'Exchange Rates'!B:C,2,0),IF(R1598=".",".",""))</f>
        <v>1423444976.076555</v>
      </c>
      <c r="T1598" s="1185" t="str">
        <f>IF(AD1598=1,IF(AF1598="Value is not given at all",".",IF(AF1598="Value is given by the source",S1598,IF(AF1598="Value is calculated with prices",(IF(SUMIFS(Q:Q,A:A,A1598)&gt;0,SUMIFS(Q:Q,A:A,A1598),"."))/VLOOKUP("USD",'Exchange Rates'!B:C,2,0),"Error with coding"))),"")</f>
        <v>.</v>
      </c>
      <c r="U1598" s="1184" t="s">
        <v>365</v>
      </c>
      <c r="V1598" s="973" t="s">
        <v>3955</v>
      </c>
      <c r="W1598" s="973" t="s">
        <v>3959</v>
      </c>
      <c r="X1598" s="973" t="s">
        <v>4215</v>
      </c>
      <c r="Y1598" s="1190" t="s">
        <v>364</v>
      </c>
      <c r="Z1598" s="1184">
        <v>0</v>
      </c>
      <c r="AA1598" s="1194">
        <v>0</v>
      </c>
      <c r="AB1598" s="1180" t="s">
        <v>364</v>
      </c>
      <c r="AC1598" s="1192" t="str">
        <f>""</f>
        <v/>
      </c>
      <c r="AD1598" s="985">
        <v>1</v>
      </c>
      <c r="AE1598" s="985" t="s">
        <v>368</v>
      </c>
      <c r="AF1598" s="985" t="s">
        <v>369</v>
      </c>
      <c r="AG1598" s="985">
        <v>1</v>
      </c>
      <c r="AH1598" s="985">
        <v>4</v>
      </c>
      <c r="AI1598" s="985">
        <v>0</v>
      </c>
      <c r="AJ1598" s="1193">
        <f>VLOOKUP($I1598,'Price List, Weapons &amp; Items'!B:F,5,0)</f>
        <v>0</v>
      </c>
      <c r="AK1598" s="1193">
        <f t="shared" si="332"/>
        <v>0</v>
      </c>
      <c r="AL1598" s="1193">
        <f t="shared" si="333"/>
        <v>0</v>
      </c>
      <c r="AM1598" s="1193">
        <f t="shared" si="334"/>
        <v>0</v>
      </c>
      <c r="AN1598" s="1194" t="str">
        <f>VLOOKUP($I1598,'Price List, Weapons &amp; Items'!B:L,COLUMN('Price List, Weapons &amp; Items'!$J$11)-1,0)</f>
        <v>.</v>
      </c>
      <c r="AO1598" s="1194" t="str">
        <f>IF(I1598=".",".",VLOOKUP($I1598,'Price List, Weapons &amp; Items'!B:J,3,0))</f>
        <v>.</v>
      </c>
      <c r="AP1598" s="1195" t="str">
        <f t="shared" ca="1" si="328"/>
        <v>.</v>
      </c>
      <c r="AQ1598" s="1194">
        <f>VLOOKUP($I1598,'Price List, Weapons &amp; Items'!B:L,COLUMN('Price List, Weapons &amp; Items'!$L$11)-1,0)</f>
        <v>0</v>
      </c>
      <c r="AR1598" s="1194">
        <f t="shared" si="335"/>
        <v>1</v>
      </c>
      <c r="AS1598" s="1194">
        <f t="shared" si="336"/>
        <v>1</v>
      </c>
      <c r="AT1598" s="1194">
        <f t="shared" si="337"/>
        <v>1</v>
      </c>
      <c r="AU1598" s="1194" t="str">
        <f>IF(AND(A1598=A1596,C1598=C1596)=TRUE,IF(F1598=F1596,".","1"),".")</f>
        <v>.</v>
      </c>
      <c r="AV1598" s="1194" t="str">
        <f t="shared" si="329"/>
        <v>.</v>
      </c>
      <c r="AW1598" s="1194" t="str">
        <f t="shared" si="338"/>
        <v>.</v>
      </c>
      <c r="AX1598" s="1194">
        <f>IFERROR(VLOOKUP(B1598,'Share, Heavy Weapons to Ukraine'!B:Z,COLUMN('Share, Heavy Weapons to Ukraine'!C1609)-1,0),0)</f>
        <v>1</v>
      </c>
      <c r="AY1598" s="1194">
        <f>VLOOKUP('Bilateral Assistance, MAIN DATA'!B1598,'Country Summary (€)'!B:F,COLUMN('Country Summary (€)'!C1610)-1,FALSE)</f>
        <v>0</v>
      </c>
      <c r="AZ1598" s="1194">
        <f>IF(AND(AD1598=1,D1598="Military",H1598&lt;&gt;"Not given")=TRUE,IF(SUMIFS(P:P,A:A,A1598)&gt;0,ABS((SUMIFS(P:P,A:A,A1598)/VLOOKUP("USD",'Exchange Rates'!B:C,2,0)))/S1598,"."),".")</f>
        <v>0.17429864253393665</v>
      </c>
      <c r="BA1598" s="1196">
        <f>IF(AND(AD1598=1,D1598="Military",H1598&lt;&gt;"Not given")=TRUE,IF(SUMIFS(P:P,A:A,A1598)&gt;0,IF((ABS((SUMIFS(P:P,A:A,A1598)/VLOOKUP("USD",'Exchange Rates'!B:C,2,0)))/S1598)&gt;1,(SUMIFS(P:P,A:A,A1598)-S1598)/S1598,(S1598-SUMIFS(P:P,A:A,A1598))/SUMIFS(P:P,A:A,A1598)),"."),".")</f>
        <v>4.2790571728102469</v>
      </c>
    </row>
    <row r="1599" spans="1:53" ht="15.95" customHeight="1">
      <c r="A1599" s="1182" t="s">
        <v>4218</v>
      </c>
      <c r="B1599" s="1182" t="s">
        <v>3949</v>
      </c>
      <c r="C1599" s="1181">
        <v>44676</v>
      </c>
      <c r="D1599" s="1182" t="s">
        <v>389</v>
      </c>
      <c r="E1599" s="1208" t="s">
        <v>390</v>
      </c>
      <c r="F1599" s="1183" t="s">
        <v>4220</v>
      </c>
      <c r="G1599" s="1184" t="s">
        <v>456</v>
      </c>
      <c r="H1599" s="1185">
        <v>1547000000</v>
      </c>
      <c r="I1599" s="1266" t="s">
        <v>4221</v>
      </c>
      <c r="J1599" s="1186" t="str">
        <f>VLOOKUP($I1599,'Price List, Weapons &amp; Items'!B:C,2,0)</f>
        <v>Ammunition for heavy weapon</v>
      </c>
      <c r="K1599" s="1186" t="str">
        <f>IF(I1599=".",I1599,VLOOKUP($I1599,'Price List, Weapons &amp; Items'!B:D,3,0))</f>
        <v>152mm howitzer ammunition</v>
      </c>
      <c r="L1599" s="1187">
        <f>VLOOKUP(I1599,'Price List, Weapons &amp; Items'!B:E,4,0)</f>
        <v>0</v>
      </c>
      <c r="M1599" s="1188" t="s">
        <v>374</v>
      </c>
      <c r="N1599" s="1188" t="s">
        <v>374</v>
      </c>
      <c r="O1599" s="1188">
        <f>VLOOKUP($I1599,'Price List, Weapons &amp; Items'!B:G,6,0)</f>
        <v>3800</v>
      </c>
      <c r="P1599" s="1185" t="str">
        <f t="shared" si="330"/>
        <v>.</v>
      </c>
      <c r="Q1599" s="1185" t="str">
        <f t="shared" si="331"/>
        <v>.</v>
      </c>
      <c r="R1599" s="1185" t="str">
        <f t="shared" si="327"/>
        <v/>
      </c>
      <c r="S1599" s="1185" t="str">
        <f>IF(AND(AD1599=1,R1599&lt;&gt;".")=TRUE,R1599/VLOOKUP(G1599,'Exchange Rates'!B:C,2,0),IF(R1599=".",".",""))</f>
        <v/>
      </c>
      <c r="T1599" s="1185" t="str">
        <f>IF(AD1599=1,IF(AF1599="Value is not given at all",".",IF(AF1599="Value is given by the source",S1599,IF(AF1599="Value is calculated with prices",(IF(SUMIFS(Q:Q,A:A,A1599)&gt;0,SUMIFS(Q:Q,A:A,A1599),"."))/VLOOKUP("USD",'Exchange Rates'!B:C,2,0),"Error with coding"))),"")</f>
        <v/>
      </c>
      <c r="U1599" s="1184" t="s">
        <v>365</v>
      </c>
      <c r="V1599" s="974" t="s">
        <v>3955</v>
      </c>
      <c r="W1599" s="973" t="s">
        <v>3955</v>
      </c>
      <c r="X1599" s="973" t="s">
        <v>3959</v>
      </c>
      <c r="Y1599" s="973" t="s">
        <v>4215</v>
      </c>
      <c r="Z1599" s="1184">
        <v>0</v>
      </c>
      <c r="AA1599" s="1194">
        <v>0</v>
      </c>
      <c r="AB1599" s="1180" t="s">
        <v>364</v>
      </c>
      <c r="AC1599" s="1192" t="str">
        <f>""</f>
        <v/>
      </c>
      <c r="AD1599" s="985">
        <v>0</v>
      </c>
      <c r="AE1599" s="985" t="s">
        <v>368</v>
      </c>
      <c r="AF1599" s="985" t="s">
        <v>369</v>
      </c>
      <c r="AG1599" s="985">
        <v>1</v>
      </c>
      <c r="AH1599" s="985">
        <v>4</v>
      </c>
      <c r="AI1599" s="985">
        <v>0</v>
      </c>
      <c r="AJ1599" s="1193">
        <f>VLOOKUP($I1599,'Price List, Weapons &amp; Items'!B:F,5,0)</f>
        <v>1</v>
      </c>
      <c r="AK1599" s="1193">
        <f t="shared" si="332"/>
        <v>1</v>
      </c>
      <c r="AL1599" s="1193">
        <f t="shared" si="333"/>
        <v>1</v>
      </c>
      <c r="AM1599" s="1193">
        <f t="shared" si="334"/>
        <v>0</v>
      </c>
      <c r="AN1599" s="1194" t="str">
        <f>VLOOKUP($I1599,'Price List, Weapons &amp; Items'!B:L,COLUMN('Price List, Weapons &amp; Items'!$J$11)-1,0)</f>
        <v>Contracts</v>
      </c>
      <c r="AO1599" s="1194" t="str">
        <f>IF(I1599=".",".",VLOOKUP($I1599,'Price List, Weapons &amp; Items'!B:J,3,0))</f>
        <v>152mm howitzer ammunition</v>
      </c>
      <c r="AP1599" s="1195" t="str">
        <f t="shared" ca="1" si="328"/>
        <v/>
      </c>
      <c r="AQ1599" s="1194" t="str">
        <f>VLOOKUP($I1599,'Price List, Weapons &amp; Items'!B:L,COLUMN('Price List, Weapons &amp; Items'!$L$11)-1,0)</f>
        <v>no price, 0 count</v>
      </c>
      <c r="AR1599" s="1194">
        <f t="shared" si="335"/>
        <v>1</v>
      </c>
      <c r="AS1599" s="1194">
        <f t="shared" si="336"/>
        <v>1</v>
      </c>
      <c r="AT1599" s="1194">
        <f t="shared" si="337"/>
        <v>1</v>
      </c>
      <c r="AU1599" s="1194" t="str">
        <f t="shared" ref="AU1599:AU1630" si="340">IF(AND(A1599=A1598,C1599=C1598)=TRUE,IF(F1599=F1598,".","1"),".")</f>
        <v>1</v>
      </c>
      <c r="AV1599" s="1194" t="str">
        <f t="shared" si="329"/>
        <v>.</v>
      </c>
      <c r="AW1599" s="1194" t="str">
        <f t="shared" si="338"/>
        <v>.</v>
      </c>
      <c r="AX1599" s="1194">
        <f>IFERROR(VLOOKUP(B1599,'Share, Heavy Weapons to Ukraine'!B:Z,COLUMN('Share, Heavy Weapons to Ukraine'!C1610)-1,0),0)</f>
        <v>1</v>
      </c>
      <c r="AY1599" s="1194">
        <f>VLOOKUP('Bilateral Assistance, MAIN DATA'!B1599,'Country Summary (€)'!B:F,COLUMN('Country Summary (€)'!C1611)-1,FALSE)</f>
        <v>0</v>
      </c>
      <c r="AZ1599" s="1194" t="str">
        <f>IF(AND(AD1599=1,D1599="Military",H1599&lt;&gt;"Not given")=TRUE,IF(SUMIFS(P:P,A:A,A1599)&gt;0,ABS((SUMIFS(P:P,A:A,A1599)/VLOOKUP("USD",'Exchange Rates'!B:C,2,0)))/S1599,"."),".")</f>
        <v>.</v>
      </c>
      <c r="BA1599" s="1196" t="str">
        <f>IF(AND(AD1599=1,D1599="Military",H1599&lt;&gt;"Not given")=TRUE,IF(SUMIFS(P:P,A:A,A1599)&gt;0,IF((ABS((SUMIFS(P:P,A:A,A1599)/VLOOKUP("USD",'Exchange Rates'!B:C,2,0)))/S1599)&gt;1,(SUMIFS(P:P,A:A,A1599)-S1599)/S1599,(S1599-SUMIFS(P:P,A:A,A1599))/SUMIFS(P:P,A:A,A1599)),"."),".")</f>
        <v>.</v>
      </c>
    </row>
    <row r="1600" spans="1:53" ht="15.95" customHeight="1">
      <c r="A1600" s="1182" t="s">
        <v>4218</v>
      </c>
      <c r="B1600" s="1182" t="s">
        <v>3949</v>
      </c>
      <c r="C1600" s="1181">
        <v>44676</v>
      </c>
      <c r="D1600" s="1182" t="s">
        <v>389</v>
      </c>
      <c r="E1600" s="1208" t="s">
        <v>390</v>
      </c>
      <c r="F1600" s="1183" t="s">
        <v>4220</v>
      </c>
      <c r="G1600" s="1184" t="s">
        <v>456</v>
      </c>
      <c r="H1600" s="1185">
        <v>322000000</v>
      </c>
      <c r="I1600" s="1266" t="s">
        <v>4222</v>
      </c>
      <c r="J1600" s="1186" t="str">
        <f>VLOOKUP($I1600,'Price List, Weapons &amp; Items'!B:C,2,0)</f>
        <v>Ammunition for heavy weapon</v>
      </c>
      <c r="K1600" s="1186" t="str">
        <f>IF(I1600=".",I1600,VLOOKUP($I1600,'Price List, Weapons &amp; Items'!B:D,3,0))</f>
        <v>152mm howitzer ammunition</v>
      </c>
      <c r="L1600" s="1187">
        <f>VLOOKUP(I1600,'Price List, Weapons &amp; Items'!B:E,4,0)</f>
        <v>1</v>
      </c>
      <c r="M1600" s="1188" t="s">
        <v>374</v>
      </c>
      <c r="N1600" s="1188" t="s">
        <v>374</v>
      </c>
      <c r="O1600" s="1188">
        <f>VLOOKUP($I1600,'Price List, Weapons &amp; Items'!B:G,6,0)</f>
        <v>3800</v>
      </c>
      <c r="P1600" s="1185" t="str">
        <f t="shared" si="330"/>
        <v>.</v>
      </c>
      <c r="Q1600" s="1185" t="str">
        <f t="shared" si="331"/>
        <v>.</v>
      </c>
      <c r="R1600" s="1185" t="str">
        <f t="shared" si="327"/>
        <v/>
      </c>
      <c r="S1600" s="1185" t="str">
        <f>IF(AND(AD1600=1,R1600&lt;&gt;".")=TRUE,R1600/VLOOKUP(G1600,'Exchange Rates'!B:C,2,0),IF(R1600=".",".",""))</f>
        <v/>
      </c>
      <c r="T1600" s="1185" t="str">
        <f>IF(AD1600=1,IF(AF1600="Value is not given at all",".",IF(AF1600="Value is given by the source",S1600,IF(AF1600="Value is calculated with prices",(IF(SUMIFS(Q:Q,A:A,A1600)&gt;0,SUMIFS(Q:Q,A:A,A1600),"."))/VLOOKUP("USD",'Exchange Rates'!B:C,2,0),"Error with coding"))),"")</f>
        <v/>
      </c>
      <c r="U1600" s="1184" t="s">
        <v>365</v>
      </c>
      <c r="V1600" s="974" t="s">
        <v>3955</v>
      </c>
      <c r="W1600" s="973" t="s">
        <v>3955</v>
      </c>
      <c r="X1600" s="973" t="s">
        <v>3959</v>
      </c>
      <c r="Y1600" s="973" t="s">
        <v>4216</v>
      </c>
      <c r="Z1600" s="1184">
        <v>0</v>
      </c>
      <c r="AA1600" s="1194">
        <v>0</v>
      </c>
      <c r="AB1600" s="1180" t="s">
        <v>364</v>
      </c>
      <c r="AC1600" s="1192" t="str">
        <f>""</f>
        <v/>
      </c>
      <c r="AD1600" s="985">
        <v>0</v>
      </c>
      <c r="AE1600" s="985" t="s">
        <v>368</v>
      </c>
      <c r="AF1600" s="985" t="s">
        <v>369</v>
      </c>
      <c r="AG1600" s="985">
        <v>1</v>
      </c>
      <c r="AH1600" s="985">
        <v>4</v>
      </c>
      <c r="AI1600" s="985">
        <v>0</v>
      </c>
      <c r="AJ1600" s="1193">
        <f>VLOOKUP($I1600,'Price List, Weapons &amp; Items'!B:F,5,0)</f>
        <v>1</v>
      </c>
      <c r="AK1600" s="1193">
        <f t="shared" si="332"/>
        <v>1</v>
      </c>
      <c r="AL1600" s="1193">
        <f t="shared" si="333"/>
        <v>1</v>
      </c>
      <c r="AM1600" s="1193">
        <f t="shared" si="334"/>
        <v>0</v>
      </c>
      <c r="AN1600" s="1194" t="str">
        <f>VLOOKUP($I1600,'Price List, Weapons &amp; Items'!B:L,COLUMN('Price List, Weapons &amp; Items'!$J$11)-1,0)</f>
        <v>Contracts</v>
      </c>
      <c r="AO1600" s="1194" t="str">
        <f>IF(I1600=".",".",VLOOKUP($I1600,'Price List, Weapons &amp; Items'!B:J,3,0))</f>
        <v>152mm howitzer ammunition</v>
      </c>
      <c r="AP1600" s="1195" t="str">
        <f t="shared" ca="1" si="328"/>
        <v/>
      </c>
      <c r="AQ1600" s="1194">
        <f>VLOOKUP($I1600,'Price List, Weapons &amp; Items'!B:L,COLUMN('Price List, Weapons &amp; Items'!$L$11)-1,0)</f>
        <v>2</v>
      </c>
      <c r="AR1600" s="1194">
        <f t="shared" si="335"/>
        <v>1</v>
      </c>
      <c r="AS1600" s="1194">
        <f t="shared" si="336"/>
        <v>1</v>
      </c>
      <c r="AT1600" s="1194">
        <f t="shared" si="337"/>
        <v>1</v>
      </c>
      <c r="AU1600" s="1194" t="str">
        <f t="shared" si="340"/>
        <v>.</v>
      </c>
      <c r="AV1600" s="1194" t="str">
        <f t="shared" si="329"/>
        <v>.</v>
      </c>
      <c r="AW1600" s="1194" t="str">
        <f t="shared" si="338"/>
        <v>.</v>
      </c>
      <c r="AX1600" s="1194">
        <f>IFERROR(VLOOKUP(B1600,'Share, Heavy Weapons to Ukraine'!B:Z,COLUMN('Share, Heavy Weapons to Ukraine'!C1611)-1,0),0)</f>
        <v>1</v>
      </c>
      <c r="AY1600" s="1194">
        <f>VLOOKUP('Bilateral Assistance, MAIN DATA'!B1600,'Country Summary (€)'!B:F,COLUMN('Country Summary (€)'!C1612)-1,FALSE)</f>
        <v>0</v>
      </c>
      <c r="AZ1600" s="1194" t="str">
        <f>IF(AND(AD1600=1,D1600="Military",H1600&lt;&gt;"Not given")=TRUE,IF(SUMIFS(P:P,A:A,A1600)&gt;0,ABS((SUMIFS(P:P,A:A,A1600)/VLOOKUP("USD",'Exchange Rates'!B:C,2,0)))/S1600,"."),".")</f>
        <v>.</v>
      </c>
      <c r="BA1600" s="1196" t="str">
        <f>IF(AND(AD1600=1,D1600="Military",H1600&lt;&gt;"Not given")=TRUE,IF(SUMIFS(P:P,A:A,A1600)&gt;0,IF((ABS((SUMIFS(P:P,A:A,A1600)/VLOOKUP("USD",'Exchange Rates'!B:C,2,0)))/S1600)&gt;1,(SUMIFS(P:P,A:A,A1600)-S1600)/S1600,(S1600-SUMIFS(P:P,A:A,A1600))/SUMIFS(P:P,A:A,A1600)),"."),".")</f>
        <v>.</v>
      </c>
    </row>
    <row r="1601" spans="1:53" ht="15.95" customHeight="1">
      <c r="A1601" s="1182" t="s">
        <v>4218</v>
      </c>
      <c r="B1601" s="1182" t="s">
        <v>3949</v>
      </c>
      <c r="C1601" s="1181">
        <v>44676</v>
      </c>
      <c r="D1601" s="1182" t="s">
        <v>389</v>
      </c>
      <c r="E1601" s="1208" t="s">
        <v>390</v>
      </c>
      <c r="F1601" s="1183" t="s">
        <v>4220</v>
      </c>
      <c r="G1601" s="1184" t="s">
        <v>456</v>
      </c>
      <c r="H1601" s="1185">
        <v>322000000</v>
      </c>
      <c r="I1601" s="1266" t="s">
        <v>4223</v>
      </c>
      <c r="J1601" s="1186" t="str">
        <f>VLOOKUP($I1601,'Price List, Weapons &amp; Items'!B:C,2,0)</f>
        <v>Portable defence system</v>
      </c>
      <c r="K1601" s="1186" t="str">
        <f>IF(I1601=".",I1601,VLOOKUP($I1601,'Price List, Weapons &amp; Items'!B:D,3,0))</f>
        <v>Light Anti-armor Weapon (LAW)</v>
      </c>
      <c r="L1601" s="1187">
        <f>VLOOKUP(I1601,'Price List, Weapons &amp; Items'!B:E,4,0)</f>
        <v>0</v>
      </c>
      <c r="M1601" s="1188" t="s">
        <v>374</v>
      </c>
      <c r="N1601" s="1188" t="s">
        <v>374</v>
      </c>
      <c r="O1601" s="1188">
        <f>VLOOKUP($I1601,'Price List, Weapons &amp; Items'!B:G,6,0)</f>
        <v>1100</v>
      </c>
      <c r="P1601" s="1185" t="str">
        <f t="shared" si="330"/>
        <v>.</v>
      </c>
      <c r="Q1601" s="1185" t="str">
        <f t="shared" si="331"/>
        <v>.</v>
      </c>
      <c r="R1601" s="1185" t="str">
        <f t="shared" si="327"/>
        <v/>
      </c>
      <c r="S1601" s="1185" t="str">
        <f>IF(AND(AD1601=1,R1601&lt;&gt;".")=TRUE,R1601/VLOOKUP(G1601,'Exchange Rates'!B:C,2,0),IF(R1601=".",".",""))</f>
        <v/>
      </c>
      <c r="T1601" s="1185" t="str">
        <f>IF(AD1601=1,IF(AF1601="Value is not given at all",".",IF(AF1601="Value is given by the source",S1601,IF(AF1601="Value is calculated with prices",(IF(SUMIFS(Q:Q,A:A,A1601)&gt;0,SUMIFS(Q:Q,A:A,A1601),"."))/VLOOKUP("USD",'Exchange Rates'!B:C,2,0),"Error with coding"))),"")</f>
        <v/>
      </c>
      <c r="U1601" s="1184" t="s">
        <v>365</v>
      </c>
      <c r="V1601" s="974" t="s">
        <v>3955</v>
      </c>
      <c r="W1601" s="973" t="s">
        <v>3955</v>
      </c>
      <c r="X1601" s="973" t="s">
        <v>3959</v>
      </c>
      <c r="Y1601" s="973" t="s">
        <v>4224</v>
      </c>
      <c r="Z1601" s="1184">
        <v>0</v>
      </c>
      <c r="AA1601" s="1194">
        <v>0</v>
      </c>
      <c r="AB1601" s="1180" t="s">
        <v>364</v>
      </c>
      <c r="AC1601" s="1192" t="str">
        <f>""</f>
        <v/>
      </c>
      <c r="AD1601" s="985">
        <v>0</v>
      </c>
      <c r="AE1601" s="985" t="s">
        <v>368</v>
      </c>
      <c r="AF1601" s="985" t="s">
        <v>369</v>
      </c>
      <c r="AG1601" s="985">
        <v>1</v>
      </c>
      <c r="AH1601" s="985">
        <v>4</v>
      </c>
      <c r="AI1601" s="985">
        <v>0</v>
      </c>
      <c r="AJ1601" s="1193">
        <f>VLOOKUP($I1601,'Price List, Weapons &amp; Items'!B:F,5,0)</f>
        <v>0</v>
      </c>
      <c r="AK1601" s="1193">
        <f t="shared" si="332"/>
        <v>0</v>
      </c>
      <c r="AL1601" s="1193">
        <f t="shared" si="333"/>
        <v>0</v>
      </c>
      <c r="AM1601" s="1193">
        <f t="shared" si="334"/>
        <v>0</v>
      </c>
      <c r="AN1601" s="1194" t="str">
        <f>VLOOKUP($I1601,'Price List, Weapons &amp; Items'!B:L,COLUMN('Price List, Weapons &amp; Items'!$J$11)-1,0)</f>
        <v>Media reports (incl. social media)</v>
      </c>
      <c r="AO1601" s="1194" t="str">
        <f>IF(I1601=".",".",VLOOKUP($I1601,'Price List, Weapons &amp; Items'!B:J,3,0))</f>
        <v>Light Anti-armor Weapon (LAW)</v>
      </c>
      <c r="AP1601" s="1195" t="str">
        <f t="shared" ca="1" si="328"/>
        <v/>
      </c>
      <c r="AQ1601" s="1194" t="str">
        <f>VLOOKUP($I1601,'Price List, Weapons &amp; Items'!B:L,COLUMN('Price List, Weapons &amp; Items'!$L$11)-1,0)</f>
        <v>no price, 0 count</v>
      </c>
      <c r="AR1601" s="1194">
        <f t="shared" si="335"/>
        <v>1</v>
      </c>
      <c r="AS1601" s="1194">
        <f t="shared" si="336"/>
        <v>1</v>
      </c>
      <c r="AT1601" s="1194">
        <f t="shared" si="337"/>
        <v>1</v>
      </c>
      <c r="AU1601" s="1194" t="str">
        <f t="shared" si="340"/>
        <v>.</v>
      </c>
      <c r="AV1601" s="1194" t="str">
        <f t="shared" si="329"/>
        <v>.</v>
      </c>
      <c r="AW1601" s="1194" t="str">
        <f t="shared" si="338"/>
        <v>.</v>
      </c>
      <c r="AX1601" s="1194">
        <f>IFERROR(VLOOKUP(B1601,'Share, Heavy Weapons to Ukraine'!B:Z,COLUMN('Share, Heavy Weapons to Ukraine'!C1612)-1,0),0)</f>
        <v>1</v>
      </c>
      <c r="AY1601" s="1194">
        <f>VLOOKUP('Bilateral Assistance, MAIN DATA'!B1601,'Country Summary (€)'!B:F,COLUMN('Country Summary (€)'!C1613)-1,FALSE)</f>
        <v>0</v>
      </c>
      <c r="AZ1601" s="1194" t="str">
        <f>IF(AND(AD1601=1,D1601="Military",H1601&lt;&gt;"Not given")=TRUE,IF(SUMIFS(P:P,A:A,A1601)&gt;0,ABS((SUMIFS(P:P,A:A,A1601)/VLOOKUP("USD",'Exchange Rates'!B:C,2,0)))/S1601,"."),".")</f>
        <v>.</v>
      </c>
      <c r="BA1601" s="1196" t="str">
        <f>IF(AND(AD1601=1,D1601="Military",H1601&lt;&gt;"Not given")=TRUE,IF(SUMIFS(P:P,A:A,A1601)&gt;0,IF((ABS((SUMIFS(P:P,A:A,A1601)/VLOOKUP("USD",'Exchange Rates'!B:C,2,0)))/S1601)&gt;1,(SUMIFS(P:P,A:A,A1601)-S1601)/S1601,(S1601-SUMIFS(P:P,A:A,A1601))/SUMIFS(P:P,A:A,A1601)),"."),".")</f>
        <v>.</v>
      </c>
    </row>
    <row r="1602" spans="1:53" ht="15.95" customHeight="1">
      <c r="A1602" s="1182" t="s">
        <v>4218</v>
      </c>
      <c r="B1602" s="1182" t="s">
        <v>3949</v>
      </c>
      <c r="C1602" s="1181">
        <v>44676</v>
      </c>
      <c r="D1602" s="1182" t="s">
        <v>389</v>
      </c>
      <c r="E1602" s="1208" t="s">
        <v>390</v>
      </c>
      <c r="F1602" s="1183" t="s">
        <v>4220</v>
      </c>
      <c r="G1602" s="1184" t="s">
        <v>456</v>
      </c>
      <c r="H1602" s="1185">
        <v>322000000</v>
      </c>
      <c r="I1602" s="1266" t="s">
        <v>4225</v>
      </c>
      <c r="J1602" s="1186" t="str">
        <f>VLOOKUP($I1602,'Price List, Weapons &amp; Items'!B:C,2,0)</f>
        <v>Ammunition for heavy weapon</v>
      </c>
      <c r="K1602" s="1186" t="str">
        <f>IF(I1602=".",I1602,VLOOKUP($I1602,'Price List, Weapons &amp; Items'!B:D,3,0))</f>
        <v>122mm howitzer ammunition</v>
      </c>
      <c r="L1602" s="1187">
        <f>VLOOKUP(I1602,'Price List, Weapons &amp; Items'!B:E,4,0)</f>
        <v>0</v>
      </c>
      <c r="M1602" s="1188" t="s">
        <v>374</v>
      </c>
      <c r="N1602" s="1188" t="s">
        <v>374</v>
      </c>
      <c r="O1602" s="1188">
        <f>VLOOKUP($I1602,'Price List, Weapons &amp; Items'!B:G,6,0)</f>
        <v>2000</v>
      </c>
      <c r="P1602" s="1185" t="str">
        <f t="shared" si="330"/>
        <v>.</v>
      </c>
      <c r="Q1602" s="1185" t="str">
        <f t="shared" si="331"/>
        <v>.</v>
      </c>
      <c r="R1602" s="1185" t="str">
        <f t="shared" ref="R1602:R1665" si="341">IF(AD1602=1,IF(H1602&lt;&gt;"Not given",H1602,IF(TYPE(H1602)=2,IF(SUMIFS(P:P,A:A,A1602)&gt;0,SUMIFS(P:P,A:A,A1602),"."),"Format error")),"")</f>
        <v/>
      </c>
      <c r="S1602" s="1185" t="str">
        <f>IF(AND(AD1602=1,R1602&lt;&gt;".")=TRUE,R1602/VLOOKUP(G1602,'Exchange Rates'!B:C,2,0),IF(R1602=".",".",""))</f>
        <v/>
      </c>
      <c r="T1602" s="1185" t="str">
        <f>IF(AD1602=1,IF(AF1602="Value is not given at all",".",IF(AF1602="Value is given by the source",S1602,IF(AF1602="Value is calculated with prices",(IF(SUMIFS(Q:Q,A:A,A1602)&gt;0,SUMIFS(Q:Q,A:A,A1602),"."))/VLOOKUP("USD",'Exchange Rates'!B:C,2,0),"Error with coding"))),"")</f>
        <v/>
      </c>
      <c r="U1602" s="1184" t="s">
        <v>365</v>
      </c>
      <c r="V1602" s="974" t="s">
        <v>3955</v>
      </c>
      <c r="W1602" s="973" t="s">
        <v>3955</v>
      </c>
      <c r="X1602" s="973" t="s">
        <v>3959</v>
      </c>
      <c r="Y1602" s="973" t="s">
        <v>4226</v>
      </c>
      <c r="Z1602" s="1184">
        <v>0</v>
      </c>
      <c r="AA1602" s="1194">
        <v>0</v>
      </c>
      <c r="AB1602" s="1180" t="s">
        <v>364</v>
      </c>
      <c r="AC1602" s="1192" t="str">
        <f>""</f>
        <v/>
      </c>
      <c r="AD1602" s="985">
        <v>0</v>
      </c>
      <c r="AE1602" s="985" t="s">
        <v>368</v>
      </c>
      <c r="AF1602" s="985" t="s">
        <v>369</v>
      </c>
      <c r="AG1602" s="985">
        <v>1</v>
      </c>
      <c r="AH1602" s="985">
        <v>4</v>
      </c>
      <c r="AI1602" s="985">
        <v>0</v>
      </c>
      <c r="AJ1602" s="1193">
        <f>VLOOKUP($I1602,'Price List, Weapons &amp; Items'!B:F,5,0)</f>
        <v>0</v>
      </c>
      <c r="AK1602" s="1193">
        <f t="shared" si="332"/>
        <v>0</v>
      </c>
      <c r="AL1602" s="1193">
        <f t="shared" si="333"/>
        <v>0</v>
      </c>
      <c r="AM1602" s="1193">
        <f t="shared" si="334"/>
        <v>0</v>
      </c>
      <c r="AN1602" s="1194" t="str">
        <f>VLOOKUP($I1602,'Price List, Weapons &amp; Items'!B:L,COLUMN('Price List, Weapons &amp; Items'!$J$11)-1,0)</f>
        <v>Media reports (incl. social media)</v>
      </c>
      <c r="AO1602" s="1194" t="str">
        <f>IF(I1602=".",".",VLOOKUP($I1602,'Price List, Weapons &amp; Items'!B:J,3,0))</f>
        <v>122mm howitzer ammunition</v>
      </c>
      <c r="AP1602" s="1195" t="str">
        <f t="shared" ref="AP1602:AP1665" ca="1" si="342">IF(AD1602=1,(OFFSET(I1602,0,0,COUNTIF(A:A,A1602),1)),"")</f>
        <v/>
      </c>
      <c r="AQ1602" s="1194" t="str">
        <f>VLOOKUP($I1602,'Price List, Weapons &amp; Items'!B:L,COLUMN('Price List, Weapons &amp; Items'!$L$11)-1,0)</f>
        <v>no price, 0 count</v>
      </c>
      <c r="AR1602" s="1194">
        <f t="shared" si="335"/>
        <v>1</v>
      </c>
      <c r="AS1602" s="1194">
        <f t="shared" si="336"/>
        <v>1</v>
      </c>
      <c r="AT1602" s="1194">
        <f t="shared" si="337"/>
        <v>1</v>
      </c>
      <c r="AU1602" s="1194" t="str">
        <f t="shared" si="340"/>
        <v>.</v>
      </c>
      <c r="AV1602" s="1194" t="str">
        <f t="shared" ref="AV1602:AV1665" si="343">IF(AND(_xlfn.ISFORMULA(R1602),_xlfn.ISFORMULA(S1602),_xlfn.ISFORMULA(T1602))=TRUE,".",1)</f>
        <v>.</v>
      </c>
      <c r="AW1602" s="1194" t="str">
        <f t="shared" si="338"/>
        <v>.</v>
      </c>
      <c r="AX1602" s="1194">
        <f>IFERROR(VLOOKUP(B1602,'Share, Heavy Weapons to Ukraine'!B:Z,COLUMN('Share, Heavy Weapons to Ukraine'!C1613)-1,0),0)</f>
        <v>1</v>
      </c>
      <c r="AY1602" s="1194">
        <f>VLOOKUP('Bilateral Assistance, MAIN DATA'!B1602,'Country Summary (€)'!B:F,COLUMN('Country Summary (€)'!C1614)-1,FALSE)</f>
        <v>0</v>
      </c>
      <c r="AZ1602" s="1194" t="str">
        <f>IF(AND(AD1602=1,D1602="Military",H1602&lt;&gt;"Not given")=TRUE,IF(SUMIFS(P:P,A:A,A1602)&gt;0,ABS((SUMIFS(P:P,A:A,A1602)/VLOOKUP("USD",'Exchange Rates'!B:C,2,0)))/S1602,"."),".")</f>
        <v>.</v>
      </c>
      <c r="BA1602" s="1196" t="str">
        <f>IF(AND(AD1602=1,D1602="Military",H1602&lt;&gt;"Not given")=TRUE,IF(SUMIFS(P:P,A:A,A1602)&gt;0,IF((ABS((SUMIFS(P:P,A:A,A1602)/VLOOKUP("USD",'Exchange Rates'!B:C,2,0)))/S1602)&gt;1,(SUMIFS(P:P,A:A,A1602)-S1602)/S1602,(S1602-SUMIFS(P:P,A:A,A1602))/SUMIFS(P:P,A:A,A1602)),"."),".")</f>
        <v>.</v>
      </c>
    </row>
    <row r="1603" spans="1:53" ht="15.95" customHeight="1">
      <c r="A1603" s="1182" t="s">
        <v>4218</v>
      </c>
      <c r="B1603" s="1182" t="s">
        <v>3949</v>
      </c>
      <c r="C1603" s="1181">
        <v>44676</v>
      </c>
      <c r="D1603" s="1182" t="s">
        <v>389</v>
      </c>
      <c r="E1603" s="1208" t="s">
        <v>390</v>
      </c>
      <c r="F1603" s="1183" t="s">
        <v>4220</v>
      </c>
      <c r="G1603" s="1184" t="s">
        <v>456</v>
      </c>
      <c r="H1603" s="1185">
        <v>322000000</v>
      </c>
      <c r="I1603" s="1266" t="s">
        <v>4227</v>
      </c>
      <c r="J1603" s="1186" t="str">
        <f>VLOOKUP($I1603,'Price List, Weapons &amp; Items'!B:C,2,0)</f>
        <v>Ammunition for heavy weapon</v>
      </c>
      <c r="K1603" s="1186" t="str">
        <f>IF(I1603=".",I1603,VLOOKUP($I1603,'Price List, Weapons &amp; Items'!B:D,3,0))</f>
        <v>122mm howitzer ammunition</v>
      </c>
      <c r="L1603" s="1187">
        <f>VLOOKUP(I1603,'Price List, Weapons &amp; Items'!B:E,4,0)</f>
        <v>1</v>
      </c>
      <c r="M1603" s="1188" t="s">
        <v>374</v>
      </c>
      <c r="N1603" s="1188" t="s">
        <v>374</v>
      </c>
      <c r="O1603" s="1188">
        <f>VLOOKUP($I1603,'Price List, Weapons &amp; Items'!B:G,6,0)</f>
        <v>2000</v>
      </c>
      <c r="P1603" s="1185" t="str">
        <f t="shared" ref="P1603:P1666" si="344">IF(TYPE(M1603)=1,IF(TYPE(O1603)=1,M1603*O1603,"No price"),".")</f>
        <v>.</v>
      </c>
      <c r="Q1603" s="1185" t="str">
        <f t="shared" ref="Q1603:Q1666" si="345">IF(TYPE(N1603)=1,IF(TYPE(O1603)=1,N1603*O1603,"No price"),".")</f>
        <v>.</v>
      </c>
      <c r="R1603" s="1185" t="str">
        <f t="shared" si="341"/>
        <v/>
      </c>
      <c r="S1603" s="1185" t="str">
        <f>IF(AND(AD1603=1,R1603&lt;&gt;".")=TRUE,R1603/VLOOKUP(G1603,'Exchange Rates'!B:C,2,0),IF(R1603=".",".",""))</f>
        <v/>
      </c>
      <c r="T1603" s="1185" t="str">
        <f>IF(AD1603=1,IF(AF1603="Value is not given at all",".",IF(AF1603="Value is given by the source",S1603,IF(AF1603="Value is calculated with prices",(IF(SUMIFS(Q:Q,A:A,A1603)&gt;0,SUMIFS(Q:Q,A:A,A1603),"."))/VLOOKUP("USD",'Exchange Rates'!B:C,2,0),"Error with coding"))),"")</f>
        <v/>
      </c>
      <c r="U1603" s="1184" t="s">
        <v>365</v>
      </c>
      <c r="V1603" s="974" t="s">
        <v>3955</v>
      </c>
      <c r="W1603" s="973" t="s">
        <v>3955</v>
      </c>
      <c r="X1603" s="973" t="s">
        <v>3959</v>
      </c>
      <c r="Y1603" s="973" t="s">
        <v>4228</v>
      </c>
      <c r="Z1603" s="1184">
        <v>0</v>
      </c>
      <c r="AA1603" s="1194">
        <v>0</v>
      </c>
      <c r="AB1603" s="1180" t="s">
        <v>364</v>
      </c>
      <c r="AC1603" s="1192" t="str">
        <f>""</f>
        <v/>
      </c>
      <c r="AD1603" s="985">
        <v>0</v>
      </c>
      <c r="AE1603" s="985" t="s">
        <v>368</v>
      </c>
      <c r="AF1603" s="985" t="s">
        <v>369</v>
      </c>
      <c r="AG1603" s="985">
        <v>1</v>
      </c>
      <c r="AH1603" s="985">
        <v>4</v>
      </c>
      <c r="AI1603" s="985">
        <v>0</v>
      </c>
      <c r="AJ1603" s="1193">
        <f>VLOOKUP($I1603,'Price List, Weapons &amp; Items'!B:F,5,0)</f>
        <v>0</v>
      </c>
      <c r="AK1603" s="1193">
        <f t="shared" ref="AK1603:AK1666" si="346">IF(AND(AJ1603=1,M1603="undisclosed")=TRUE,1,0)</f>
        <v>0</v>
      </c>
      <c r="AL1603" s="1193">
        <f t="shared" ref="AL1603:AL1666" si="347">IF(AND(AJ1603=1,N1603="undisclosed")=TRUE,1,0)</f>
        <v>0</v>
      </c>
      <c r="AM1603" s="1193">
        <f t="shared" ref="AM1603:AM1666" si="348">IFERROR(IF(SEARCH("ammuni",I1603,1)&gt;0,1,0),0)</f>
        <v>0</v>
      </c>
      <c r="AN1603" s="1194" t="str">
        <f>VLOOKUP($I1603,'Price List, Weapons &amp; Items'!B:L,COLUMN('Price List, Weapons &amp; Items'!$J$11)-1,0)</f>
        <v>Media reports (incl. social media)</v>
      </c>
      <c r="AO1603" s="1194" t="str">
        <f>IF(I1603=".",".",VLOOKUP($I1603,'Price List, Weapons &amp; Items'!B:J,3,0))</f>
        <v>122mm howitzer ammunition</v>
      </c>
      <c r="AP1603" s="1195" t="str">
        <f t="shared" ca="1" si="342"/>
        <v/>
      </c>
      <c r="AQ1603" s="1194" t="str">
        <f>VLOOKUP($I1603,'Price List, Weapons &amp; Items'!B:L,COLUMN('Price List, Weapons &amp; Items'!$L$11)-1,0)</f>
        <v>no price, 0 count</v>
      </c>
      <c r="AR1603" s="1194">
        <f t="shared" ref="AR1603:AR1666" si="349">IF(U1603="Yes",1,0)</f>
        <v>1</v>
      </c>
      <c r="AS1603" s="1194">
        <f t="shared" ref="AS1603:AS1666" si="350">IF(D1603="Military",IF(OR(IFERROR(SEARCH("equipment",E1603,1),0)&gt;0,IFERROR(SEARCH("weapons",E1603,1),0)&gt;0),1,0),0)</f>
        <v>1</v>
      </c>
      <c r="AT1603" s="1194">
        <f t="shared" ref="AT1603:AT1666" si="351">IFERROR(IF(VALUE(TEXT(C1603,"mm"))=IF(AH1603&gt;12,AH1603-12,AH1603),".",IF(TEXT(C1603,"mm")="01",".",1)),"Value is not in date format")</f>
        <v>1</v>
      </c>
      <c r="AU1603" s="1194" t="str">
        <f t="shared" si="340"/>
        <v>.</v>
      </c>
      <c r="AV1603" s="1194" t="str">
        <f t="shared" si="343"/>
        <v>.</v>
      </c>
      <c r="AW1603" s="1194" t="str">
        <f t="shared" ref="AW1603:AW1666" si="352">IF(T1603&lt;&gt;".",IF(T1603&gt;S1603,1,"."),".")</f>
        <v>.</v>
      </c>
      <c r="AX1603" s="1194">
        <f>IFERROR(VLOOKUP(B1603,'Share, Heavy Weapons to Ukraine'!B:Z,COLUMN('Share, Heavy Weapons to Ukraine'!C1614)-1,0),0)</f>
        <v>1</v>
      </c>
      <c r="AY1603" s="1194">
        <f>VLOOKUP('Bilateral Assistance, MAIN DATA'!B1603,'Country Summary (€)'!B:F,COLUMN('Country Summary (€)'!C1615)-1,FALSE)</f>
        <v>0</v>
      </c>
      <c r="AZ1603" s="1194" t="str">
        <f>IF(AND(AD1603=1,D1603="Military",H1603&lt;&gt;"Not given")=TRUE,IF(SUMIFS(P:P,A:A,A1603)&gt;0,ABS((SUMIFS(P:P,A:A,A1603)/VLOOKUP("USD",'Exchange Rates'!B:C,2,0)))/S1603,"."),".")</f>
        <v>.</v>
      </c>
      <c r="BA1603" s="1196" t="str">
        <f>IF(AND(AD1603=1,D1603="Military",H1603&lt;&gt;"Not given")=TRUE,IF(SUMIFS(P:P,A:A,A1603)&gt;0,IF((ABS((SUMIFS(P:P,A:A,A1603)/VLOOKUP("USD",'Exchange Rates'!B:C,2,0)))/S1603)&gt;1,(SUMIFS(P:P,A:A,A1603)-S1603)/S1603,(S1603-SUMIFS(P:P,A:A,A1603))/SUMIFS(P:P,A:A,A1603)),"."),".")</f>
        <v>.</v>
      </c>
    </row>
    <row r="1604" spans="1:53" ht="15.95" customHeight="1">
      <c r="A1604" s="1182" t="s">
        <v>4218</v>
      </c>
      <c r="B1604" s="1182" t="s">
        <v>3949</v>
      </c>
      <c r="C1604" s="1181">
        <v>44676</v>
      </c>
      <c r="D1604" s="1182" t="s">
        <v>389</v>
      </c>
      <c r="E1604" s="1208" t="s">
        <v>390</v>
      </c>
      <c r="F1604" s="1183" t="s">
        <v>4220</v>
      </c>
      <c r="G1604" s="1184" t="s">
        <v>456</v>
      </c>
      <c r="H1604" s="1185">
        <v>322000000</v>
      </c>
      <c r="I1604" s="1266" t="s">
        <v>4229</v>
      </c>
      <c r="J1604" s="1186" t="str">
        <f>VLOOKUP($I1604,'Price List, Weapons &amp; Items'!B:C,2,0)</f>
        <v>Ammunition for heavy weapon</v>
      </c>
      <c r="K1604" s="1186" t="str">
        <f>IF(I1604=".",I1604,VLOOKUP($I1604,'Price List, Weapons &amp; Items'!B:D,3,0))</f>
        <v>122mm MLRS ammunition</v>
      </c>
      <c r="L1604" s="1187">
        <f>VLOOKUP(I1604,'Price List, Weapons &amp; Items'!B:E,4,0)</f>
        <v>1</v>
      </c>
      <c r="M1604" s="1188" t="s">
        <v>374</v>
      </c>
      <c r="N1604" s="1188" t="s">
        <v>374</v>
      </c>
      <c r="O1604" s="1188">
        <f>VLOOKUP($I1604,'Price List, Weapons &amp; Items'!B:G,6,0)</f>
        <v>1000</v>
      </c>
      <c r="P1604" s="1185" t="str">
        <f t="shared" si="344"/>
        <v>.</v>
      </c>
      <c r="Q1604" s="1185" t="str">
        <f t="shared" si="345"/>
        <v>.</v>
      </c>
      <c r="R1604" s="1185" t="str">
        <f t="shared" si="341"/>
        <v/>
      </c>
      <c r="S1604" s="1185" t="str">
        <f>IF(AND(AD1604=1,R1604&lt;&gt;".")=TRUE,R1604/VLOOKUP(G1604,'Exchange Rates'!B:C,2,0),IF(R1604=".",".",""))</f>
        <v/>
      </c>
      <c r="T1604" s="1185" t="str">
        <f>IF(AD1604=1,IF(AF1604="Value is not given at all",".",IF(AF1604="Value is given by the source",S1604,IF(AF1604="Value is calculated with prices",(IF(SUMIFS(Q:Q,A:A,A1604)&gt;0,SUMIFS(Q:Q,A:A,A1604),"."))/VLOOKUP("USD",'Exchange Rates'!B:C,2,0),"Error with coding"))),"")</f>
        <v/>
      </c>
      <c r="U1604" s="1184" t="s">
        <v>365</v>
      </c>
      <c r="V1604" s="974" t="s">
        <v>3955</v>
      </c>
      <c r="W1604" s="973" t="s">
        <v>3955</v>
      </c>
      <c r="X1604" s="973" t="s">
        <v>3959</v>
      </c>
      <c r="Y1604" s="973" t="s">
        <v>4230</v>
      </c>
      <c r="Z1604" s="1184">
        <v>0</v>
      </c>
      <c r="AA1604" s="1194">
        <v>0</v>
      </c>
      <c r="AB1604" s="1180" t="s">
        <v>364</v>
      </c>
      <c r="AC1604" s="1192" t="str">
        <f>""</f>
        <v/>
      </c>
      <c r="AD1604" s="985">
        <v>0</v>
      </c>
      <c r="AE1604" s="985" t="s">
        <v>368</v>
      </c>
      <c r="AF1604" s="985" t="s">
        <v>369</v>
      </c>
      <c r="AG1604" s="985">
        <v>1</v>
      </c>
      <c r="AH1604" s="985">
        <v>4</v>
      </c>
      <c r="AI1604" s="985">
        <v>0</v>
      </c>
      <c r="AJ1604" s="1193">
        <f>VLOOKUP($I1604,'Price List, Weapons &amp; Items'!B:F,5,0)</f>
        <v>1</v>
      </c>
      <c r="AK1604" s="1193">
        <f t="shared" si="346"/>
        <v>1</v>
      </c>
      <c r="AL1604" s="1193">
        <f t="shared" si="347"/>
        <v>1</v>
      </c>
      <c r="AM1604" s="1193">
        <f t="shared" si="348"/>
        <v>0</v>
      </c>
      <c r="AN1604" s="1194" t="str">
        <f>VLOOKUP($I1604,'Price List, Weapons &amp; Items'!B:L,COLUMN('Price List, Weapons &amp; Items'!$J$11)-1,0)</f>
        <v>Media reports (incl. social media)</v>
      </c>
      <c r="AO1604" s="1194" t="str">
        <f>IF(I1604=".",".",VLOOKUP($I1604,'Price List, Weapons &amp; Items'!B:J,3,0))</f>
        <v>122mm MLRS ammunition</v>
      </c>
      <c r="AP1604" s="1195" t="str">
        <f t="shared" ca="1" si="342"/>
        <v/>
      </c>
      <c r="AQ1604" s="1194">
        <f>VLOOKUP($I1604,'Price List, Weapons &amp; Items'!B:L,COLUMN('Price List, Weapons &amp; Items'!$L$11)-1,0)</f>
        <v>2</v>
      </c>
      <c r="AR1604" s="1194">
        <f t="shared" si="349"/>
        <v>1</v>
      </c>
      <c r="AS1604" s="1194">
        <f t="shared" si="350"/>
        <v>1</v>
      </c>
      <c r="AT1604" s="1194">
        <f t="shared" si="351"/>
        <v>1</v>
      </c>
      <c r="AU1604" s="1194" t="str">
        <f t="shared" si="340"/>
        <v>.</v>
      </c>
      <c r="AV1604" s="1194" t="str">
        <f t="shared" si="343"/>
        <v>.</v>
      </c>
      <c r="AW1604" s="1194" t="str">
        <f t="shared" si="352"/>
        <v>.</v>
      </c>
      <c r="AX1604" s="1194">
        <f>IFERROR(VLOOKUP(B1604,'Share, Heavy Weapons to Ukraine'!B:Z,COLUMN('Share, Heavy Weapons to Ukraine'!C1615)-1,0),0)</f>
        <v>1</v>
      </c>
      <c r="AY1604" s="1194">
        <f>VLOOKUP('Bilateral Assistance, MAIN DATA'!B1604,'Country Summary (€)'!B:F,COLUMN('Country Summary (€)'!C1616)-1,FALSE)</f>
        <v>0</v>
      </c>
      <c r="AZ1604" s="1194" t="str">
        <f>IF(AND(AD1604=1,D1604="Military",H1604&lt;&gt;"Not given")=TRUE,IF(SUMIFS(P:P,A:A,A1604)&gt;0,ABS((SUMIFS(P:P,A:A,A1604)/VLOOKUP("USD",'Exchange Rates'!B:C,2,0)))/S1604,"."),".")</f>
        <v>.</v>
      </c>
      <c r="BA1604" s="1196" t="str">
        <f>IF(AND(AD1604=1,D1604="Military",H1604&lt;&gt;"Not given")=TRUE,IF(SUMIFS(P:P,A:A,A1604)&gt;0,IF((ABS((SUMIFS(P:P,A:A,A1604)/VLOOKUP("USD",'Exchange Rates'!B:C,2,0)))/S1604)&gt;1,(SUMIFS(P:P,A:A,A1604)-S1604)/S1604,(S1604-SUMIFS(P:P,A:A,A1604))/SUMIFS(P:P,A:A,A1604)),"."),".")</f>
        <v>.</v>
      </c>
    </row>
    <row r="1605" spans="1:53" ht="15.95" customHeight="1">
      <c r="A1605" s="1182" t="s">
        <v>4218</v>
      </c>
      <c r="B1605" s="1182" t="s">
        <v>3949</v>
      </c>
      <c r="C1605" s="1181">
        <v>44676</v>
      </c>
      <c r="D1605" s="1182" t="s">
        <v>389</v>
      </c>
      <c r="E1605" s="1208" t="s">
        <v>390</v>
      </c>
      <c r="F1605" s="1183" t="s">
        <v>4220</v>
      </c>
      <c r="G1605" s="1184" t="s">
        <v>456</v>
      </c>
      <c r="H1605" s="1185">
        <v>322000000</v>
      </c>
      <c r="I1605" s="1266" t="s">
        <v>4231</v>
      </c>
      <c r="J1605" s="1186" t="str">
        <f>VLOOKUP($I1605,'Price List, Weapons &amp; Items'!B:C,2,0)</f>
        <v>Ammunition for heavy weapon</v>
      </c>
      <c r="K1605" s="1186" t="str">
        <f>IF(I1605=".",I1605,VLOOKUP($I1605,'Price List, Weapons &amp; Items'!B:D,3,0))</f>
        <v>300mm MLRS ammunition</v>
      </c>
      <c r="L1605" s="1187">
        <f>VLOOKUP(I1605,'Price List, Weapons &amp; Items'!B:E,4,0)</f>
        <v>0</v>
      </c>
      <c r="M1605" s="1188" t="s">
        <v>374</v>
      </c>
      <c r="N1605" s="1188" t="s">
        <v>374</v>
      </c>
      <c r="O1605" s="1188">
        <f>VLOOKUP($I1605,'Price List, Weapons &amp; Items'!B:G,6,0)</f>
        <v>625000</v>
      </c>
      <c r="P1605" s="1185" t="str">
        <f t="shared" si="344"/>
        <v>.</v>
      </c>
      <c r="Q1605" s="1185" t="str">
        <f t="shared" si="345"/>
        <v>.</v>
      </c>
      <c r="R1605" s="1185" t="str">
        <f t="shared" si="341"/>
        <v/>
      </c>
      <c r="S1605" s="1185" t="str">
        <f>IF(AND(AD1605=1,R1605&lt;&gt;".")=TRUE,R1605/VLOOKUP(G1605,'Exchange Rates'!B:C,2,0),IF(R1605=".",".",""))</f>
        <v/>
      </c>
      <c r="T1605" s="1185" t="str">
        <f>IF(AD1605=1,IF(AF1605="Value is not given at all",".",IF(AF1605="Value is given by the source",S1605,IF(AF1605="Value is calculated with prices",(IF(SUMIFS(Q:Q,A:A,A1605)&gt;0,SUMIFS(Q:Q,A:A,A1605),"."))/VLOOKUP("USD",'Exchange Rates'!B:C,2,0),"Error with coding"))),"")</f>
        <v/>
      </c>
      <c r="U1605" s="1184" t="s">
        <v>365</v>
      </c>
      <c r="V1605" s="974" t="s">
        <v>3955</v>
      </c>
      <c r="W1605" s="973" t="s">
        <v>3955</v>
      </c>
      <c r="X1605" s="973" t="s">
        <v>3959</v>
      </c>
      <c r="Y1605" s="973" t="s">
        <v>4232</v>
      </c>
      <c r="Z1605" s="1184">
        <v>0</v>
      </c>
      <c r="AA1605" s="1194">
        <v>0</v>
      </c>
      <c r="AB1605" s="1180" t="s">
        <v>364</v>
      </c>
      <c r="AC1605" s="1192" t="str">
        <f>""</f>
        <v/>
      </c>
      <c r="AD1605" s="985">
        <v>0</v>
      </c>
      <c r="AE1605" s="985" t="s">
        <v>368</v>
      </c>
      <c r="AF1605" s="985" t="s">
        <v>369</v>
      </c>
      <c r="AG1605" s="985">
        <v>1</v>
      </c>
      <c r="AH1605" s="985">
        <v>4</v>
      </c>
      <c r="AI1605" s="985">
        <v>0</v>
      </c>
      <c r="AJ1605" s="1193">
        <f>VLOOKUP($I1605,'Price List, Weapons &amp; Items'!B:F,5,0)</f>
        <v>1</v>
      </c>
      <c r="AK1605" s="1193">
        <f t="shared" si="346"/>
        <v>1</v>
      </c>
      <c r="AL1605" s="1193">
        <f t="shared" si="347"/>
        <v>1</v>
      </c>
      <c r="AM1605" s="1193">
        <f t="shared" si="348"/>
        <v>0</v>
      </c>
      <c r="AN1605" s="1194" t="str">
        <f>VLOOKUP($I1605,'Price List, Weapons &amp; Items'!B:L,COLUMN('Price List, Weapons &amp; Items'!$J$11)-1,0)</f>
        <v>Government information</v>
      </c>
      <c r="AO1605" s="1194" t="str">
        <f>IF(I1605=".",".",VLOOKUP($I1605,'Price List, Weapons &amp; Items'!B:J,3,0))</f>
        <v>300mm MLRS ammunition</v>
      </c>
      <c r="AP1605" s="1195" t="str">
        <f t="shared" ca="1" si="342"/>
        <v/>
      </c>
      <c r="AQ1605" s="1194" t="str">
        <f>VLOOKUP($I1605,'Price List, Weapons &amp; Items'!B:L,COLUMN('Price List, Weapons &amp; Items'!$L$11)-1,0)</f>
        <v>no price, 0 count</v>
      </c>
      <c r="AR1605" s="1194">
        <f t="shared" si="349"/>
        <v>1</v>
      </c>
      <c r="AS1605" s="1194">
        <f t="shared" si="350"/>
        <v>1</v>
      </c>
      <c r="AT1605" s="1194">
        <f t="shared" si="351"/>
        <v>1</v>
      </c>
      <c r="AU1605" s="1194" t="str">
        <f t="shared" si="340"/>
        <v>.</v>
      </c>
      <c r="AV1605" s="1194" t="str">
        <f t="shared" si="343"/>
        <v>.</v>
      </c>
      <c r="AW1605" s="1194" t="str">
        <f t="shared" si="352"/>
        <v>.</v>
      </c>
      <c r="AX1605" s="1194">
        <f>IFERROR(VLOOKUP(B1605,'Share, Heavy Weapons to Ukraine'!B:Z,COLUMN('Share, Heavy Weapons to Ukraine'!C1616)-1,0),0)</f>
        <v>1</v>
      </c>
      <c r="AY1605" s="1194">
        <f>VLOOKUP('Bilateral Assistance, MAIN DATA'!B1605,'Country Summary (€)'!B:F,COLUMN('Country Summary (€)'!C1617)-1,FALSE)</f>
        <v>0</v>
      </c>
      <c r="AZ1605" s="1194" t="str">
        <f>IF(AND(AD1605=1,D1605="Military",H1605&lt;&gt;"Not given")=TRUE,IF(SUMIFS(P:P,A:A,A1605)&gt;0,ABS((SUMIFS(P:P,A:A,A1605)/VLOOKUP("USD",'Exchange Rates'!B:C,2,0)))/S1605,"."),".")</f>
        <v>.</v>
      </c>
      <c r="BA1605" s="1196" t="str">
        <f>IF(AND(AD1605=1,D1605="Military",H1605&lt;&gt;"Not given")=TRUE,IF(SUMIFS(P:P,A:A,A1605)&gt;0,IF((ABS((SUMIFS(P:P,A:A,A1605)/VLOOKUP("USD",'Exchange Rates'!B:C,2,0)))/S1605)&gt;1,(SUMIFS(P:P,A:A,A1605)-S1605)/S1605,(S1605-SUMIFS(P:P,A:A,A1605))/SUMIFS(P:P,A:A,A1605)),"."),".")</f>
        <v>.</v>
      </c>
    </row>
    <row r="1606" spans="1:53" ht="15.95" customHeight="1">
      <c r="A1606" s="1182" t="s">
        <v>4218</v>
      </c>
      <c r="B1606" s="1182" t="s">
        <v>3949</v>
      </c>
      <c r="C1606" s="1181">
        <v>44676</v>
      </c>
      <c r="D1606" s="1182" t="s">
        <v>389</v>
      </c>
      <c r="E1606" s="1208" t="s">
        <v>390</v>
      </c>
      <c r="F1606" s="1183" t="s">
        <v>4220</v>
      </c>
      <c r="G1606" s="1184" t="s">
        <v>456</v>
      </c>
      <c r="H1606" s="1185">
        <v>322000000</v>
      </c>
      <c r="I1606" s="1266" t="s">
        <v>4233</v>
      </c>
      <c r="J1606" s="1186" t="str">
        <f>VLOOKUP($I1606,'Price List, Weapons &amp; Items'!B:C,2,0)</f>
        <v>Ammunition for portable defence system</v>
      </c>
      <c r="K1606" s="1186" t="str">
        <f>IF(I1606=".",I1606,VLOOKUP($I1606,'Price List, Weapons &amp; Items'!B:D,3,0))</f>
        <v>Light Anti-armor Weapon (LAW) ammunition</v>
      </c>
      <c r="L1606" s="1187">
        <f>VLOOKUP(I1606,'Price List, Weapons &amp; Items'!B:E,4,0)</f>
        <v>0</v>
      </c>
      <c r="M1606" s="1188" t="s">
        <v>374</v>
      </c>
      <c r="N1606" s="1188" t="s">
        <v>374</v>
      </c>
      <c r="O1606" s="1188">
        <f>VLOOKUP($I1606,'Price List, Weapons &amp; Items'!B:G,6,0)</f>
        <v>1082</v>
      </c>
      <c r="P1606" s="1185" t="str">
        <f t="shared" si="344"/>
        <v>.</v>
      </c>
      <c r="Q1606" s="1185" t="str">
        <f t="shared" si="345"/>
        <v>.</v>
      </c>
      <c r="R1606" s="1185" t="str">
        <f t="shared" si="341"/>
        <v/>
      </c>
      <c r="S1606" s="1185" t="str">
        <f>IF(AND(AD1606=1,R1606&lt;&gt;".")=TRUE,R1606/VLOOKUP(G1606,'Exchange Rates'!B:C,2,0),IF(R1606=".",".",""))</f>
        <v/>
      </c>
      <c r="T1606" s="1185" t="str">
        <f>IF(AD1606=1,IF(AF1606="Value is not given at all",".",IF(AF1606="Value is given by the source",S1606,IF(AF1606="Value is calculated with prices",(IF(SUMIFS(Q:Q,A:A,A1606)&gt;0,SUMIFS(Q:Q,A:A,A1606),"."))/VLOOKUP("USD",'Exchange Rates'!B:C,2,0),"Error with coding"))),"")</f>
        <v/>
      </c>
      <c r="U1606" s="1184" t="s">
        <v>365</v>
      </c>
      <c r="V1606" s="974" t="s">
        <v>3955</v>
      </c>
      <c r="W1606" s="973" t="s">
        <v>3955</v>
      </c>
      <c r="X1606" s="973" t="s">
        <v>3959</v>
      </c>
      <c r="Y1606" s="973" t="s">
        <v>4234</v>
      </c>
      <c r="Z1606" s="1184">
        <v>0</v>
      </c>
      <c r="AA1606" s="1194">
        <v>0</v>
      </c>
      <c r="AB1606" s="1180" t="s">
        <v>364</v>
      </c>
      <c r="AC1606" s="1192" t="str">
        <f>""</f>
        <v/>
      </c>
      <c r="AD1606" s="985">
        <v>0</v>
      </c>
      <c r="AE1606" s="985" t="s">
        <v>368</v>
      </c>
      <c r="AF1606" s="985" t="s">
        <v>369</v>
      </c>
      <c r="AG1606" s="985">
        <v>1</v>
      </c>
      <c r="AH1606" s="985">
        <v>4</v>
      </c>
      <c r="AI1606" s="985">
        <v>0</v>
      </c>
      <c r="AJ1606" s="1193">
        <f>VLOOKUP($I1606,'Price List, Weapons &amp; Items'!B:F,5,0)</f>
        <v>0</v>
      </c>
      <c r="AK1606" s="1193">
        <f t="shared" si="346"/>
        <v>0</v>
      </c>
      <c r="AL1606" s="1193">
        <f t="shared" si="347"/>
        <v>0</v>
      </c>
      <c r="AM1606" s="1193">
        <f t="shared" si="348"/>
        <v>0</v>
      </c>
      <c r="AN1606" s="1194" t="str">
        <f>VLOOKUP($I1606,'Price List, Weapons &amp; Items'!B:L,COLUMN('Price List, Weapons &amp; Items'!$J$11)-1,0)</f>
        <v>Miscellaneous</v>
      </c>
      <c r="AO1606" s="1194" t="str">
        <f>IF(I1606=".",".",VLOOKUP($I1606,'Price List, Weapons &amp; Items'!B:J,3,0))</f>
        <v>Light Anti-armor Weapon (LAW) ammunition</v>
      </c>
      <c r="AP1606" s="1195" t="str">
        <f t="shared" ca="1" si="342"/>
        <v/>
      </c>
      <c r="AQ1606" s="1194" t="str">
        <f>VLOOKUP($I1606,'Price List, Weapons &amp; Items'!B:L,COLUMN('Price List, Weapons &amp; Items'!$L$11)-1,0)</f>
        <v>no price, 0 count</v>
      </c>
      <c r="AR1606" s="1194">
        <f t="shared" si="349"/>
        <v>1</v>
      </c>
      <c r="AS1606" s="1194">
        <f t="shared" si="350"/>
        <v>1</v>
      </c>
      <c r="AT1606" s="1194">
        <f t="shared" si="351"/>
        <v>1</v>
      </c>
      <c r="AU1606" s="1194" t="str">
        <f t="shared" si="340"/>
        <v>.</v>
      </c>
      <c r="AV1606" s="1194" t="str">
        <f t="shared" si="343"/>
        <v>.</v>
      </c>
      <c r="AW1606" s="1194" t="str">
        <f t="shared" si="352"/>
        <v>.</v>
      </c>
      <c r="AX1606" s="1194">
        <f>IFERROR(VLOOKUP(B1606,'Share, Heavy Weapons to Ukraine'!B:Z,COLUMN('Share, Heavy Weapons to Ukraine'!C1617)-1,0),0)</f>
        <v>1</v>
      </c>
      <c r="AY1606" s="1194">
        <f>VLOOKUP('Bilateral Assistance, MAIN DATA'!B1606,'Country Summary (€)'!B:F,COLUMN('Country Summary (€)'!C1618)-1,FALSE)</f>
        <v>0</v>
      </c>
      <c r="AZ1606" s="1194" t="str">
        <f>IF(AND(AD1606=1,D1606="Military",H1606&lt;&gt;"Not given")=TRUE,IF(SUMIFS(P:P,A:A,A1606)&gt;0,ABS((SUMIFS(P:P,A:A,A1606)/VLOOKUP("USD",'Exchange Rates'!B:C,2,0)))/S1606,"."),".")</f>
        <v>.</v>
      </c>
      <c r="BA1606" s="1196" t="str">
        <f>IF(AND(AD1606=1,D1606="Military",H1606&lt;&gt;"Not given")=TRUE,IF(SUMIFS(P:P,A:A,A1606)&gt;0,IF((ABS((SUMIFS(P:P,A:A,A1606)/VLOOKUP("USD",'Exchange Rates'!B:C,2,0)))/S1606)&gt;1,(SUMIFS(P:P,A:A,A1606)-S1606)/S1606,(S1606-SUMIFS(P:P,A:A,A1606))/SUMIFS(P:P,A:A,A1606)),"."),".")</f>
        <v>.</v>
      </c>
    </row>
    <row r="1607" spans="1:53" ht="15.95" customHeight="1">
      <c r="A1607" s="1182" t="s">
        <v>4218</v>
      </c>
      <c r="B1607" s="1182" t="s">
        <v>3949</v>
      </c>
      <c r="C1607" s="1181">
        <v>44676</v>
      </c>
      <c r="D1607" s="1182" t="s">
        <v>389</v>
      </c>
      <c r="E1607" s="1208" t="s">
        <v>390</v>
      </c>
      <c r="F1607" s="1183" t="s">
        <v>4220</v>
      </c>
      <c r="G1607" s="1184" t="s">
        <v>456</v>
      </c>
      <c r="H1607" s="1185">
        <v>322000000</v>
      </c>
      <c r="I1607" s="1266" t="s">
        <v>4235</v>
      </c>
      <c r="J1607" s="1186" t="str">
        <f>VLOOKUP($I1607,'Price List, Weapons &amp; Items'!B:C,2,0)</f>
        <v>Ammunition for light infantry</v>
      </c>
      <c r="K1607" s="1186" t="str">
        <f>IF(I1607=".",I1607,VLOOKUP($I1607,'Price List, Weapons &amp; Items'!B:D,3,0))</f>
        <v>Mortar ammunition</v>
      </c>
      <c r="L1607" s="1187">
        <f>VLOOKUP(I1607,'Price List, Weapons &amp; Items'!B:E,4,0)</f>
        <v>0</v>
      </c>
      <c r="M1607" s="1188" t="s">
        <v>374</v>
      </c>
      <c r="N1607" s="1188" t="s">
        <v>374</v>
      </c>
      <c r="O1607" s="1188" t="str">
        <f>VLOOKUP($I1607,'Price List, Weapons &amp; Items'!B:G,6,0)</f>
        <v>.</v>
      </c>
      <c r="P1607" s="1185" t="str">
        <f t="shared" si="344"/>
        <v>.</v>
      </c>
      <c r="Q1607" s="1185" t="str">
        <f t="shared" si="345"/>
        <v>.</v>
      </c>
      <c r="R1607" s="1185" t="str">
        <f t="shared" si="341"/>
        <v/>
      </c>
      <c r="S1607" s="1185" t="str">
        <f>IF(AND(AD1607=1,R1607&lt;&gt;".")=TRUE,R1607/VLOOKUP(G1607,'Exchange Rates'!B:C,2,0),IF(R1607=".",".",""))</f>
        <v/>
      </c>
      <c r="T1607" s="1185" t="str">
        <f>IF(AD1607=1,IF(AF1607="Value is not given at all",".",IF(AF1607="Value is given by the source",S1607,IF(AF1607="Value is calculated with prices",(IF(SUMIFS(Q:Q,A:A,A1607)&gt;0,SUMIFS(Q:Q,A:A,A1607),"."))/VLOOKUP("USD",'Exchange Rates'!B:C,2,0),"Error with coding"))),"")</f>
        <v/>
      </c>
      <c r="U1607" s="1184" t="s">
        <v>365</v>
      </c>
      <c r="V1607" s="974" t="s">
        <v>3955</v>
      </c>
      <c r="W1607" s="973" t="s">
        <v>3955</v>
      </c>
      <c r="X1607" s="973" t="s">
        <v>3959</v>
      </c>
      <c r="Y1607" s="973" t="s">
        <v>4236</v>
      </c>
      <c r="Z1607" s="1184">
        <v>0</v>
      </c>
      <c r="AA1607" s="1194">
        <v>0</v>
      </c>
      <c r="AB1607" s="1180" t="s">
        <v>364</v>
      </c>
      <c r="AC1607" s="1192" t="str">
        <f>""</f>
        <v/>
      </c>
      <c r="AD1607" s="985">
        <v>0</v>
      </c>
      <c r="AE1607" s="985" t="s">
        <v>368</v>
      </c>
      <c r="AF1607" s="985" t="s">
        <v>369</v>
      </c>
      <c r="AG1607" s="985">
        <v>1</v>
      </c>
      <c r="AH1607" s="985">
        <v>4</v>
      </c>
      <c r="AI1607" s="985">
        <v>0</v>
      </c>
      <c r="AJ1607" s="1193">
        <f>VLOOKUP($I1607,'Price List, Weapons &amp; Items'!B:F,5,0)</f>
        <v>0</v>
      </c>
      <c r="AK1607" s="1193">
        <f t="shared" si="346"/>
        <v>0</v>
      </c>
      <c r="AL1607" s="1193">
        <f t="shared" si="347"/>
        <v>0</v>
      </c>
      <c r="AM1607" s="1193">
        <f t="shared" si="348"/>
        <v>0</v>
      </c>
      <c r="AN1607" s="1194" t="str">
        <f>VLOOKUP($I1607,'Price List, Weapons &amp; Items'!B:L,COLUMN('Price List, Weapons &amp; Items'!$J$11)-1,0)</f>
        <v>.</v>
      </c>
      <c r="AO1607" s="1194" t="str">
        <f>IF(I1607=".",".",VLOOKUP($I1607,'Price List, Weapons &amp; Items'!B:J,3,0))</f>
        <v>Mortar ammunition</v>
      </c>
      <c r="AP1607" s="1195" t="str">
        <f t="shared" ca="1" si="342"/>
        <v/>
      </c>
      <c r="AQ1607" s="1194" t="str">
        <f>VLOOKUP($I1607,'Price List, Weapons &amp; Items'!B:L,COLUMN('Price List, Weapons &amp; Items'!$L$11)-1,0)</f>
        <v>no price, 0 count</v>
      </c>
      <c r="AR1607" s="1194">
        <f t="shared" si="349"/>
        <v>1</v>
      </c>
      <c r="AS1607" s="1194">
        <f t="shared" si="350"/>
        <v>1</v>
      </c>
      <c r="AT1607" s="1194">
        <f t="shared" si="351"/>
        <v>1</v>
      </c>
      <c r="AU1607" s="1194" t="str">
        <f t="shared" si="340"/>
        <v>.</v>
      </c>
      <c r="AV1607" s="1194" t="str">
        <f t="shared" si="343"/>
        <v>.</v>
      </c>
      <c r="AW1607" s="1194" t="str">
        <f t="shared" si="352"/>
        <v>.</v>
      </c>
      <c r="AX1607" s="1194">
        <f>IFERROR(VLOOKUP(B1607,'Share, Heavy Weapons to Ukraine'!B:Z,COLUMN('Share, Heavy Weapons to Ukraine'!C1618)-1,0),0)</f>
        <v>1</v>
      </c>
      <c r="AY1607" s="1194">
        <f>VLOOKUP('Bilateral Assistance, MAIN DATA'!B1607,'Country Summary (€)'!B:F,COLUMN('Country Summary (€)'!C1619)-1,FALSE)</f>
        <v>0</v>
      </c>
      <c r="AZ1607" s="1194" t="str">
        <f>IF(AND(AD1607=1,D1607="Military",H1607&lt;&gt;"Not given")=TRUE,IF(SUMIFS(P:P,A:A,A1607)&gt;0,ABS((SUMIFS(P:P,A:A,A1607)/VLOOKUP("USD",'Exchange Rates'!B:C,2,0)))/S1607,"."),".")</f>
        <v>.</v>
      </c>
      <c r="BA1607" s="1196" t="str">
        <f>IF(AND(AD1607=1,D1607="Military",H1607&lt;&gt;"Not given")=TRUE,IF(SUMIFS(P:P,A:A,A1607)&gt;0,IF((ABS((SUMIFS(P:P,A:A,A1607)/VLOOKUP("USD",'Exchange Rates'!B:C,2,0)))/S1607)&gt;1,(SUMIFS(P:P,A:A,A1607)-S1607)/S1607,(S1607-SUMIFS(P:P,A:A,A1607))/SUMIFS(P:P,A:A,A1607)),"."),".")</f>
        <v>.</v>
      </c>
    </row>
    <row r="1608" spans="1:53" ht="15.95" customHeight="1">
      <c r="A1608" s="1182" t="s">
        <v>4218</v>
      </c>
      <c r="B1608" s="1182" t="s">
        <v>3949</v>
      </c>
      <c r="C1608" s="1181">
        <v>44676</v>
      </c>
      <c r="D1608" s="1182" t="s">
        <v>389</v>
      </c>
      <c r="E1608" s="1208" t="s">
        <v>390</v>
      </c>
      <c r="F1608" s="1183" t="s">
        <v>4220</v>
      </c>
      <c r="G1608" s="1184" t="s">
        <v>456</v>
      </c>
      <c r="H1608" s="1185">
        <v>322000000</v>
      </c>
      <c r="I1608" s="1190" t="s">
        <v>4237</v>
      </c>
      <c r="J1608" s="1186" t="str">
        <f>VLOOKUP($I1608,'Price List, Weapons &amp; Items'!B:C,2,0)</f>
        <v>Ammunition for heavy weapon</v>
      </c>
      <c r="K1608" s="1186" t="str">
        <f>IF(I1608=".",I1608,VLOOKUP($I1608,'Price List, Weapons &amp; Items'!B:D,3,0))</f>
        <v>120mm tank ammunition</v>
      </c>
      <c r="L1608" s="1187">
        <f>VLOOKUP(I1608,'Price List, Weapons &amp; Items'!B:E,4,0)</f>
        <v>0</v>
      </c>
      <c r="M1608" s="1188" t="s">
        <v>374</v>
      </c>
      <c r="N1608" s="1188" t="s">
        <v>374</v>
      </c>
      <c r="O1608" s="1188">
        <f>VLOOKUP($I1608,'Price List, Weapons &amp; Items'!B:G,6,0)</f>
        <v>20001.25</v>
      </c>
      <c r="P1608" s="1185" t="str">
        <f t="shared" si="344"/>
        <v>.</v>
      </c>
      <c r="Q1608" s="1185" t="str">
        <f t="shared" si="345"/>
        <v>.</v>
      </c>
      <c r="R1608" s="1185" t="str">
        <f t="shared" si="341"/>
        <v/>
      </c>
      <c r="S1608" s="1185" t="str">
        <f>IF(AND(AD1608=1,R1608&lt;&gt;".")=TRUE,R1608/VLOOKUP(G1608,'Exchange Rates'!B:C,2,0),IF(R1608=".",".",""))</f>
        <v/>
      </c>
      <c r="T1608" s="1185" t="str">
        <f>IF(AD1608=1,IF(AF1608="Value is not given at all",".",IF(AF1608="Value is given by the source",S1608,IF(AF1608="Value is calculated with prices",(IF(SUMIFS(Q:Q,A:A,A1608)&gt;0,SUMIFS(Q:Q,A:A,A1608),"."))/VLOOKUP("USD",'Exchange Rates'!B:C,2,0),"Error with coding"))),"")</f>
        <v/>
      </c>
      <c r="U1608" s="1184" t="s">
        <v>365</v>
      </c>
      <c r="V1608" s="974" t="s">
        <v>3955</v>
      </c>
      <c r="W1608" s="973" t="s">
        <v>3955</v>
      </c>
      <c r="X1608" s="973" t="s">
        <v>3959</v>
      </c>
      <c r="Y1608" s="973" t="s">
        <v>4238</v>
      </c>
      <c r="Z1608" s="1184">
        <v>0</v>
      </c>
      <c r="AA1608" s="1194">
        <v>0</v>
      </c>
      <c r="AB1608" s="1180" t="s">
        <v>364</v>
      </c>
      <c r="AC1608" s="1192" t="str">
        <f>""</f>
        <v/>
      </c>
      <c r="AD1608" s="985">
        <v>0</v>
      </c>
      <c r="AE1608" s="985" t="s">
        <v>368</v>
      </c>
      <c r="AF1608" s="985" t="s">
        <v>369</v>
      </c>
      <c r="AG1608" s="985">
        <v>1</v>
      </c>
      <c r="AH1608" s="985">
        <v>4</v>
      </c>
      <c r="AI1608" s="985">
        <v>0</v>
      </c>
      <c r="AJ1608" s="1193">
        <f>VLOOKUP($I1608,'Price List, Weapons &amp; Items'!B:F,5,0)</f>
        <v>0</v>
      </c>
      <c r="AK1608" s="1193">
        <f t="shared" si="346"/>
        <v>0</v>
      </c>
      <c r="AL1608" s="1193">
        <f t="shared" si="347"/>
        <v>0</v>
      </c>
      <c r="AM1608" s="1193">
        <f t="shared" si="348"/>
        <v>1</v>
      </c>
      <c r="AN1608" s="1194" t="str">
        <f>VLOOKUP($I1608,'Price List, Weapons &amp; Items'!B:L,COLUMN('Price List, Weapons &amp; Items'!$J$11)-1,0)</f>
        <v>Government information</v>
      </c>
      <c r="AO1608" s="1194" t="str">
        <f>IF(I1608=".",".",VLOOKUP($I1608,'Price List, Weapons &amp; Items'!B:J,3,0))</f>
        <v>120mm tank ammunition</v>
      </c>
      <c r="AP1608" s="1195" t="str">
        <f t="shared" ca="1" si="342"/>
        <v/>
      </c>
      <c r="AQ1608" s="1194">
        <f>VLOOKUP($I1608,'Price List, Weapons &amp; Items'!B:L,COLUMN('Price List, Weapons &amp; Items'!$L$11)-1,0)</f>
        <v>2</v>
      </c>
      <c r="AR1608" s="1194">
        <f t="shared" si="349"/>
        <v>1</v>
      </c>
      <c r="AS1608" s="1194">
        <f t="shared" si="350"/>
        <v>1</v>
      </c>
      <c r="AT1608" s="1194">
        <f t="shared" si="351"/>
        <v>1</v>
      </c>
      <c r="AU1608" s="1194" t="str">
        <f t="shared" si="340"/>
        <v>.</v>
      </c>
      <c r="AV1608" s="1194" t="str">
        <f t="shared" si="343"/>
        <v>.</v>
      </c>
      <c r="AW1608" s="1194" t="str">
        <f t="shared" si="352"/>
        <v>.</v>
      </c>
      <c r="AX1608" s="1194">
        <f>IFERROR(VLOOKUP(B1608,'Share, Heavy Weapons to Ukraine'!B:Z,COLUMN('Share, Heavy Weapons to Ukraine'!C1619)-1,0),0)</f>
        <v>1</v>
      </c>
      <c r="AY1608" s="1194">
        <f>VLOOKUP('Bilateral Assistance, MAIN DATA'!B1608,'Country Summary (€)'!B:F,COLUMN('Country Summary (€)'!C1620)-1,FALSE)</f>
        <v>0</v>
      </c>
      <c r="AZ1608" s="1194" t="str">
        <f>IF(AND(AD1608=1,D1608="Military",H1608&lt;&gt;"Not given")=TRUE,IF(SUMIFS(P:P,A:A,A1608)&gt;0,ABS((SUMIFS(P:P,A:A,A1608)/VLOOKUP("USD",'Exchange Rates'!B:C,2,0)))/S1608,"."),".")</f>
        <v>.</v>
      </c>
      <c r="BA1608" s="1196" t="str">
        <f>IF(AND(AD1608=1,D1608="Military",H1608&lt;&gt;"Not given")=TRUE,IF(SUMIFS(P:P,A:A,A1608)&gt;0,IF((ABS((SUMIFS(P:P,A:A,A1608)/VLOOKUP("USD",'Exchange Rates'!B:C,2,0)))/S1608)&gt;1,(SUMIFS(P:P,A:A,A1608)-S1608)/S1608,(S1608-SUMIFS(P:P,A:A,A1608))/SUMIFS(P:P,A:A,A1608)),"."),".")</f>
        <v>.</v>
      </c>
    </row>
    <row r="1609" spans="1:53" ht="15.95" customHeight="1">
      <c r="A1609" s="1182" t="s">
        <v>4218</v>
      </c>
      <c r="B1609" s="1182" t="s">
        <v>3949</v>
      </c>
      <c r="C1609" s="1181">
        <v>44676</v>
      </c>
      <c r="D1609" s="1182" t="s">
        <v>389</v>
      </c>
      <c r="E1609" s="1208" t="s">
        <v>390</v>
      </c>
      <c r="F1609" s="1183" t="s">
        <v>4220</v>
      </c>
      <c r="G1609" s="1184" t="s">
        <v>456</v>
      </c>
      <c r="H1609" s="1185">
        <v>322000000</v>
      </c>
      <c r="I1609" s="1266" t="s">
        <v>4239</v>
      </c>
      <c r="J1609" s="1186" t="str">
        <f>VLOOKUP($I1609,'Price List, Weapons &amp; Items'!B:C,2,0)</f>
        <v>Ammunition for heavy weapon</v>
      </c>
      <c r="K1609" s="1186" t="str">
        <f>IF(I1609=".",I1609,VLOOKUP($I1609,'Price List, Weapons &amp; Items'!B:D,3,0))</f>
        <v>152mm howitzer ammunition</v>
      </c>
      <c r="L1609" s="1187">
        <f>VLOOKUP(I1609,'Price List, Weapons &amp; Items'!B:E,4,0)</f>
        <v>0</v>
      </c>
      <c r="M1609" s="1188" t="s">
        <v>374</v>
      </c>
      <c r="N1609" s="1188" t="s">
        <v>374</v>
      </c>
      <c r="O1609" s="1188">
        <f>VLOOKUP($I1609,'Price List, Weapons &amp; Items'!B:G,6,0)</f>
        <v>3800</v>
      </c>
      <c r="P1609" s="1185" t="str">
        <f t="shared" si="344"/>
        <v>.</v>
      </c>
      <c r="Q1609" s="1185" t="str">
        <f t="shared" si="345"/>
        <v>.</v>
      </c>
      <c r="R1609" s="1185" t="str">
        <f t="shared" si="341"/>
        <v/>
      </c>
      <c r="S1609" s="1185" t="str">
        <f>IF(AND(AD1609=1,R1609&lt;&gt;".")=TRUE,R1609/VLOOKUP(G1609,'Exchange Rates'!B:C,2,0),IF(R1609=".",".",""))</f>
        <v/>
      </c>
      <c r="T1609" s="1185" t="str">
        <f>IF(AD1609=1,IF(AF1609="Value is not given at all",".",IF(AF1609="Value is given by the source",S1609,IF(AF1609="Value is calculated with prices",(IF(SUMIFS(Q:Q,A:A,A1609)&gt;0,SUMIFS(Q:Q,A:A,A1609),"."))/VLOOKUP("USD",'Exchange Rates'!B:C,2,0),"Error with coding"))),"")</f>
        <v/>
      </c>
      <c r="U1609" s="1184" t="s">
        <v>365</v>
      </c>
      <c r="V1609" s="974" t="s">
        <v>3955</v>
      </c>
      <c r="W1609" s="973" t="s">
        <v>3955</v>
      </c>
      <c r="X1609" s="973" t="s">
        <v>3959</v>
      </c>
      <c r="Y1609" s="973" t="s">
        <v>4240</v>
      </c>
      <c r="Z1609" s="1184">
        <v>0</v>
      </c>
      <c r="AA1609" s="1194">
        <v>0</v>
      </c>
      <c r="AB1609" s="1180" t="s">
        <v>364</v>
      </c>
      <c r="AC1609" s="1192" t="str">
        <f>""</f>
        <v/>
      </c>
      <c r="AD1609" s="985">
        <v>0</v>
      </c>
      <c r="AE1609" s="985" t="s">
        <v>368</v>
      </c>
      <c r="AF1609" s="985" t="s">
        <v>369</v>
      </c>
      <c r="AG1609" s="985">
        <v>1</v>
      </c>
      <c r="AH1609" s="985">
        <v>4</v>
      </c>
      <c r="AI1609" s="985">
        <v>0</v>
      </c>
      <c r="AJ1609" s="1193">
        <f>VLOOKUP($I1609,'Price List, Weapons &amp; Items'!B:F,5,0)</f>
        <v>1</v>
      </c>
      <c r="AK1609" s="1193">
        <f t="shared" si="346"/>
        <v>1</v>
      </c>
      <c r="AL1609" s="1193">
        <f t="shared" si="347"/>
        <v>1</v>
      </c>
      <c r="AM1609" s="1193">
        <f t="shared" si="348"/>
        <v>0</v>
      </c>
      <c r="AN1609" s="1194" t="str">
        <f>VLOOKUP($I1609,'Price List, Weapons &amp; Items'!B:L,COLUMN('Price List, Weapons &amp; Items'!$J$11)-1,0)</f>
        <v>Contracts</v>
      </c>
      <c r="AO1609" s="1194" t="str">
        <f>IF(I1609=".",".",VLOOKUP($I1609,'Price List, Weapons &amp; Items'!B:J,3,0))</f>
        <v>152mm howitzer ammunition</v>
      </c>
      <c r="AP1609" s="1195" t="str">
        <f t="shared" ca="1" si="342"/>
        <v/>
      </c>
      <c r="AQ1609" s="1194" t="str">
        <f>VLOOKUP($I1609,'Price List, Weapons &amp; Items'!B:L,COLUMN('Price List, Weapons &amp; Items'!$L$11)-1,0)</f>
        <v>no price, 0 count</v>
      </c>
      <c r="AR1609" s="1194">
        <f t="shared" si="349"/>
        <v>1</v>
      </c>
      <c r="AS1609" s="1194">
        <f t="shared" si="350"/>
        <v>1</v>
      </c>
      <c r="AT1609" s="1194">
        <f t="shared" si="351"/>
        <v>1</v>
      </c>
      <c r="AU1609" s="1194" t="str">
        <f t="shared" si="340"/>
        <v>.</v>
      </c>
      <c r="AV1609" s="1194" t="str">
        <f t="shared" si="343"/>
        <v>.</v>
      </c>
      <c r="AW1609" s="1194" t="str">
        <f t="shared" si="352"/>
        <v>.</v>
      </c>
      <c r="AX1609" s="1194">
        <f>IFERROR(VLOOKUP(B1609,'Share, Heavy Weapons to Ukraine'!B:Z,COLUMN('Share, Heavy Weapons to Ukraine'!C1620)-1,0),0)</f>
        <v>1</v>
      </c>
      <c r="AY1609" s="1194">
        <f>VLOOKUP('Bilateral Assistance, MAIN DATA'!B1609,'Country Summary (€)'!B:F,COLUMN('Country Summary (€)'!C1621)-1,FALSE)</f>
        <v>0</v>
      </c>
      <c r="AZ1609" s="1194" t="str">
        <f>IF(AND(AD1609=1,D1609="Military",H1609&lt;&gt;"Not given")=TRUE,IF(SUMIFS(P:P,A:A,A1609)&gt;0,ABS((SUMIFS(P:P,A:A,A1609)/VLOOKUP("USD",'Exchange Rates'!B:C,2,0)))/S1609,"."),".")</f>
        <v>.</v>
      </c>
      <c r="BA1609" s="1196" t="str">
        <f>IF(AND(AD1609=1,D1609="Military",H1609&lt;&gt;"Not given")=TRUE,IF(SUMIFS(P:P,A:A,A1609)&gt;0,IF((ABS((SUMIFS(P:P,A:A,A1609)/VLOOKUP("USD",'Exchange Rates'!B:C,2,0)))/S1609)&gt;1,(SUMIFS(P:P,A:A,A1609)-S1609)/S1609,(S1609-SUMIFS(P:P,A:A,A1609))/SUMIFS(P:P,A:A,A1609)),"."),".")</f>
        <v>.</v>
      </c>
    </row>
    <row r="1610" spans="1:53" s="1180" customFormat="1" ht="15.95" customHeight="1">
      <c r="A1610" s="1182" t="s">
        <v>4218</v>
      </c>
      <c r="B1610" s="1182" t="s">
        <v>3949</v>
      </c>
      <c r="C1610" s="1181">
        <v>44691</v>
      </c>
      <c r="D1610" s="1182" t="s">
        <v>389</v>
      </c>
      <c r="E1610" s="1208" t="s">
        <v>1676</v>
      </c>
      <c r="F1610" s="1183" t="s">
        <v>4241</v>
      </c>
      <c r="G1610" s="1184" t="s">
        <v>456</v>
      </c>
      <c r="H1610" s="1185">
        <v>1225000000</v>
      </c>
      <c r="I1610" s="1266" t="s">
        <v>4242</v>
      </c>
      <c r="J1610" s="1186" t="str">
        <f>VLOOKUP($I1610,'Price List, Weapons &amp; Items'!B:C,2,0)</f>
        <v>Heavy weapon</v>
      </c>
      <c r="K1610" s="1186" t="str">
        <f>IF(I1610=".",I1610,VLOOKUP($I1610,'Price List, Weapons &amp; Items'!B:D,3,0))</f>
        <v>Patrol and coastal combatants</v>
      </c>
      <c r="L1610" s="1187">
        <f>VLOOKUP(I1610,'Price List, Weapons &amp; Items'!B:E,4,0)</f>
        <v>0</v>
      </c>
      <c r="M1610" s="1188">
        <v>16</v>
      </c>
      <c r="N1610" s="1188">
        <v>16</v>
      </c>
      <c r="O1610" s="1188">
        <f>VLOOKUP($I1610,'Price List, Weapons &amp; Items'!B:G,6,0)</f>
        <v>15000000</v>
      </c>
      <c r="P1610" s="1185">
        <f t="shared" si="344"/>
        <v>240000000</v>
      </c>
      <c r="Q1610" s="1185">
        <f t="shared" si="345"/>
        <v>240000000</v>
      </c>
      <c r="R1610" s="1185" t="str">
        <f t="shared" si="341"/>
        <v/>
      </c>
      <c r="S1610" s="1185" t="str">
        <f>IF(AND(AD1610=1,R1610&lt;&gt;".")=TRUE,R1610/VLOOKUP(G1610,'Exchange Rates'!B:C,2,0),IF(R1610=".",".",""))</f>
        <v/>
      </c>
      <c r="T1610" s="1185" t="str">
        <f>IF(AD1610=1,IF(AF1610="Value is not given at all",".",IF(AF1610="Value is given by the source",S1610,IF(AF1610="Value is calculated with prices",(IF(SUMIFS(Q:Q,A:A,A1610)&gt;0,SUMIFS(Q:Q,A:A,A1610),"."))/VLOOKUP("USD",'Exchange Rates'!B:C,2,0),"Error with coding"))),"")</f>
        <v/>
      </c>
      <c r="U1610" s="1184" t="s">
        <v>365</v>
      </c>
      <c r="V1610" s="974" t="s">
        <v>3959</v>
      </c>
      <c r="W1610" s="973" t="s">
        <v>3955</v>
      </c>
      <c r="X1610" s="973" t="s">
        <v>3959</v>
      </c>
      <c r="Y1610" s="973" t="s">
        <v>4243</v>
      </c>
      <c r="Z1610" s="1184">
        <v>0</v>
      </c>
      <c r="AA1610" s="1194">
        <v>0</v>
      </c>
      <c r="AB1610" s="1180" t="s">
        <v>364</v>
      </c>
      <c r="AC1610" s="1192" t="str">
        <f>""</f>
        <v/>
      </c>
      <c r="AD1610" s="985">
        <v>0</v>
      </c>
      <c r="AE1610" s="985" t="s">
        <v>368</v>
      </c>
      <c r="AF1610" s="985" t="s">
        <v>369</v>
      </c>
      <c r="AG1610" s="985">
        <v>1</v>
      </c>
      <c r="AH1610" s="985">
        <v>5</v>
      </c>
      <c r="AI1610" s="985">
        <v>0</v>
      </c>
      <c r="AJ1610" s="1193">
        <f>VLOOKUP($I1610,'Price List, Weapons &amp; Items'!B:F,5,0)</f>
        <v>0</v>
      </c>
      <c r="AK1610" s="1193">
        <f t="shared" si="346"/>
        <v>0</v>
      </c>
      <c r="AL1610" s="1193">
        <f t="shared" si="347"/>
        <v>0</v>
      </c>
      <c r="AM1610" s="1193">
        <f t="shared" si="348"/>
        <v>0</v>
      </c>
      <c r="AN1610" s="1194" t="str">
        <f>VLOOKUP($I1610,'Price List, Weapons &amp; Items'!B:L,COLUMN('Price List, Weapons &amp; Items'!$J$11)-1,0)</f>
        <v>Military media (incl. websites)</v>
      </c>
      <c r="AO1610" s="1194" t="str">
        <f>IF(I1610=".",".",VLOOKUP($I1610,'Price List, Weapons &amp; Items'!B:J,3,0))</f>
        <v>Patrol and coastal combatants</v>
      </c>
      <c r="AP1610" s="1195" t="str">
        <f t="shared" ca="1" si="342"/>
        <v/>
      </c>
      <c r="AQ1610" s="1194">
        <f>VLOOKUP($I1610,'Price List, Weapons &amp; Items'!B:L,COLUMN('Price List, Weapons &amp; Items'!$L$11)-1,0)</f>
        <v>2</v>
      </c>
      <c r="AR1610" s="1194">
        <f t="shared" si="349"/>
        <v>1</v>
      </c>
      <c r="AS1610" s="1194">
        <f t="shared" si="350"/>
        <v>1</v>
      </c>
      <c r="AT1610" s="1194">
        <f t="shared" si="351"/>
        <v>1</v>
      </c>
      <c r="AU1610" s="1194" t="str">
        <f t="shared" si="340"/>
        <v>.</v>
      </c>
      <c r="AV1610" s="1194" t="str">
        <f t="shared" si="343"/>
        <v>.</v>
      </c>
      <c r="AW1610" s="1194" t="str">
        <f t="shared" si="352"/>
        <v>.</v>
      </c>
      <c r="AX1610" s="1194">
        <f>IFERROR(VLOOKUP(B1610,'Share, Heavy Weapons to Ukraine'!B:Z,COLUMN('Share, Heavy Weapons to Ukraine'!C1621)-1,0),0)</f>
        <v>1</v>
      </c>
      <c r="AY1610" s="1194">
        <f>VLOOKUP('Bilateral Assistance, MAIN DATA'!B1610,'Country Summary (€)'!B:F,COLUMN('Country Summary (€)'!C1622)-1,FALSE)</f>
        <v>0</v>
      </c>
      <c r="AZ1610" s="1194" t="str">
        <f>IF(AND(AD1610=1,D1610="Military",H1610&lt;&gt;"Not given")=TRUE,IF(SUMIFS(P:P,A:A,A1610)&gt;0,ABS((SUMIFS(P:P,A:A,A1610)/VLOOKUP("USD",'Exchange Rates'!B:C,2,0)))/S1610,"."),".")</f>
        <v>.</v>
      </c>
      <c r="BA1610" s="1196" t="str">
        <f>IF(AND(AD1610=1,D1610="Military",H1610&lt;&gt;"Not given")=TRUE,IF(SUMIFS(P:P,A:A,A1610)&gt;0,IF((ABS((SUMIFS(P:P,A:A,A1610)/VLOOKUP("USD",'Exchange Rates'!B:C,2,0)))/S1610)&gt;1,(SUMIFS(P:P,A:A,A1610)-S1610)/S1610,(S1610-SUMIFS(P:P,A:A,A1610))/SUMIFS(P:P,A:A,A1610)),"."),".")</f>
        <v>.</v>
      </c>
    </row>
    <row r="1611" spans="1:53" s="1180" customFormat="1" ht="15.95" customHeight="1">
      <c r="A1611" s="1182" t="s">
        <v>4218</v>
      </c>
      <c r="B1611" s="1182" t="s">
        <v>3949</v>
      </c>
      <c r="C1611" s="1181">
        <v>44729</v>
      </c>
      <c r="D1611" s="1182" t="s">
        <v>389</v>
      </c>
      <c r="E1611" s="1208" t="s">
        <v>1676</v>
      </c>
      <c r="F1611" s="1183" t="s">
        <v>4241</v>
      </c>
      <c r="G1611" s="1184" t="s">
        <v>456</v>
      </c>
      <c r="H1611" s="1185">
        <v>1225000000</v>
      </c>
      <c r="I1611" s="1266" t="s">
        <v>4244</v>
      </c>
      <c r="J1611" s="1186" t="str">
        <f>VLOOKUP($I1611,'Price List, Weapons &amp; Items'!B:C,2,0)</f>
        <v>Military equipment</v>
      </c>
      <c r="K1611" s="1186" t="str">
        <f>IF(I1611=".",I1611,VLOOKUP($I1611,'Price List, Weapons &amp; Items'!B:D,3,0))</f>
        <v>Light Anti-armor Weapon (LAW)</v>
      </c>
      <c r="L1611" s="1187">
        <f>VLOOKUP(I1611,'Price List, Weapons &amp; Items'!B:E,4,0)</f>
        <v>0</v>
      </c>
      <c r="M1611" s="1188">
        <v>32</v>
      </c>
      <c r="N1611" s="1188">
        <v>32</v>
      </c>
      <c r="O1611" s="1188">
        <f>VLOOKUP($I1611,'Price List, Weapons &amp; Items'!B:G,6,0)</f>
        <v>390000</v>
      </c>
      <c r="P1611" s="1185">
        <f t="shared" si="344"/>
        <v>12480000</v>
      </c>
      <c r="Q1611" s="1185">
        <f t="shared" si="345"/>
        <v>12480000</v>
      </c>
      <c r="R1611" s="1185" t="str">
        <f t="shared" si="341"/>
        <v/>
      </c>
      <c r="S1611" s="1185" t="str">
        <f>IF(AND(AD1611=1,R1611&lt;&gt;".")=TRUE,R1611/VLOOKUP(G1611,'Exchange Rates'!B:C,2,0),IF(R1611=".",".",""))</f>
        <v/>
      </c>
      <c r="T1611" s="1185" t="str">
        <f>IF(AD1611=1,IF(AF1611="Value is not given at all",".",IF(AF1611="Value is given by the source",S1611,IF(AF1611="Value is calculated with prices",(IF(SUMIFS(Q:Q,A:A,A1611)&gt;0,SUMIFS(Q:Q,A:A,A1611),"."))/VLOOKUP("USD",'Exchange Rates'!B:C,2,0),"Error with coding"))),"")</f>
        <v/>
      </c>
      <c r="U1611" s="1184" t="s">
        <v>365</v>
      </c>
      <c r="V1611" s="974" t="s">
        <v>3959</v>
      </c>
      <c r="W1611" s="973" t="s">
        <v>3955</v>
      </c>
      <c r="X1611" s="973" t="s">
        <v>3959</v>
      </c>
      <c r="Y1611" s="973" t="s">
        <v>4245</v>
      </c>
      <c r="Z1611" s="1184">
        <v>0</v>
      </c>
      <c r="AA1611" s="1194">
        <v>0</v>
      </c>
      <c r="AB1611" s="1180" t="s">
        <v>364</v>
      </c>
      <c r="AC1611" s="1192" t="str">
        <f>""</f>
        <v/>
      </c>
      <c r="AD1611" s="985">
        <v>0</v>
      </c>
      <c r="AE1611" s="985" t="s">
        <v>368</v>
      </c>
      <c r="AF1611" s="985" t="s">
        <v>369</v>
      </c>
      <c r="AG1611" s="985">
        <v>1</v>
      </c>
      <c r="AH1611" s="985">
        <v>6</v>
      </c>
      <c r="AI1611" s="985">
        <v>0</v>
      </c>
      <c r="AJ1611" s="1193">
        <f>VLOOKUP($I1611,'Price List, Weapons &amp; Items'!B:F,5,0)</f>
        <v>0</v>
      </c>
      <c r="AK1611" s="1193">
        <f t="shared" si="346"/>
        <v>0</v>
      </c>
      <c r="AL1611" s="1193">
        <f t="shared" si="347"/>
        <v>0</v>
      </c>
      <c r="AM1611" s="1193">
        <f t="shared" si="348"/>
        <v>0</v>
      </c>
      <c r="AN1611" s="1194" t="str">
        <f>VLOOKUP($I1611,'Price List, Weapons &amp; Items'!B:L,COLUMN('Price List, Weapons &amp; Items'!$J$11)-1,0)</f>
        <v>Military media (incl. websites)</v>
      </c>
      <c r="AO1611" s="1194" t="str">
        <f>IF(I1611=".",".",VLOOKUP($I1611,'Price List, Weapons &amp; Items'!B:J,3,0))</f>
        <v>Light Anti-armor Weapon (LAW)</v>
      </c>
      <c r="AP1611" s="1195" t="str">
        <f t="shared" ca="1" si="342"/>
        <v/>
      </c>
      <c r="AQ1611" s="1194">
        <f>VLOOKUP($I1611,'Price List, Weapons &amp; Items'!B:L,COLUMN('Price List, Weapons &amp; Items'!$L$11)-1,0)</f>
        <v>2</v>
      </c>
      <c r="AR1611" s="1194">
        <f t="shared" si="349"/>
        <v>1</v>
      </c>
      <c r="AS1611" s="1194">
        <f t="shared" si="350"/>
        <v>1</v>
      </c>
      <c r="AT1611" s="1194">
        <f t="shared" si="351"/>
        <v>1</v>
      </c>
      <c r="AU1611" s="1194" t="str">
        <f t="shared" si="340"/>
        <v>.</v>
      </c>
      <c r="AV1611" s="1194" t="str">
        <f t="shared" si="343"/>
        <v>.</v>
      </c>
      <c r="AW1611" s="1194" t="str">
        <f t="shared" si="352"/>
        <v>.</v>
      </c>
      <c r="AX1611" s="1194">
        <f>IFERROR(VLOOKUP(B1611,'Share, Heavy Weapons to Ukraine'!B:Z,COLUMN('Share, Heavy Weapons to Ukraine'!C1622)-1,0),0)</f>
        <v>1</v>
      </c>
      <c r="AY1611" s="1194">
        <f>VLOOKUP('Bilateral Assistance, MAIN DATA'!B1611,'Country Summary (€)'!B:F,COLUMN('Country Summary (€)'!C1623)-1,FALSE)</f>
        <v>0</v>
      </c>
      <c r="AZ1611" s="1194" t="str">
        <f>IF(AND(AD1611=1,D1611="Military",H1611&lt;&gt;"Not given")=TRUE,IF(SUMIFS(P:P,A:A,A1611)&gt;0,ABS((SUMIFS(P:P,A:A,A1611)/VLOOKUP("USD",'Exchange Rates'!B:C,2,0)))/S1611,"."),".")</f>
        <v>.</v>
      </c>
      <c r="BA1611" s="1196" t="str">
        <f>IF(AND(AD1611=1,D1611="Military",H1611&lt;&gt;"Not given")=TRUE,IF(SUMIFS(P:P,A:A,A1611)&gt;0,IF((ABS((SUMIFS(P:P,A:A,A1611)/VLOOKUP("USD",'Exchange Rates'!B:C,2,0)))/S1611)&gt;1,(SUMIFS(P:P,A:A,A1611)-S1611)/S1611,(S1611-SUMIFS(P:P,A:A,A1611))/SUMIFS(P:P,A:A,A1611)),"."),".")</f>
        <v>.</v>
      </c>
    </row>
    <row r="1612" spans="1:53" s="1180" customFormat="1" ht="15.95" customHeight="1">
      <c r="A1612" s="1182" t="s">
        <v>4218</v>
      </c>
      <c r="B1612" s="1182" t="s">
        <v>3949</v>
      </c>
      <c r="C1612" s="1181">
        <v>44729</v>
      </c>
      <c r="D1612" s="1182" t="s">
        <v>389</v>
      </c>
      <c r="E1612" s="1208" t="s">
        <v>1676</v>
      </c>
      <c r="F1612" s="1183" t="s">
        <v>4241</v>
      </c>
      <c r="G1612" s="1184" t="s">
        <v>456</v>
      </c>
      <c r="H1612" s="1185">
        <v>1225000000</v>
      </c>
      <c r="I1612" s="1266" t="s">
        <v>4246</v>
      </c>
      <c r="J1612" s="1186" t="str">
        <f>VLOOKUP($I1612,'Price List, Weapons &amp; Items'!B:C,2,0)</f>
        <v>Military equipment</v>
      </c>
      <c r="K1612" s="1186" t="str">
        <f>IF(I1612=".",I1612,VLOOKUP($I1612,'Price List, Weapons &amp; Items'!B:D,3,0))</f>
        <v>Military equipment</v>
      </c>
      <c r="L1612" s="1187">
        <f>VLOOKUP(I1612,'Price List, Weapons &amp; Items'!B:E,4,0)</f>
        <v>0</v>
      </c>
      <c r="M1612" s="1188">
        <v>20</v>
      </c>
      <c r="N1612" s="1188">
        <v>20</v>
      </c>
      <c r="O1612" s="1188" t="str">
        <f>VLOOKUP($I1612,'Price List, Weapons &amp; Items'!B:G,6,0)</f>
        <v>.</v>
      </c>
      <c r="P1612" s="1185" t="str">
        <f t="shared" si="344"/>
        <v>No price</v>
      </c>
      <c r="Q1612" s="1185" t="str">
        <f t="shared" si="345"/>
        <v>No price</v>
      </c>
      <c r="R1612" s="1185" t="str">
        <f t="shared" si="341"/>
        <v/>
      </c>
      <c r="S1612" s="1185" t="str">
        <f>IF(AND(AD1612=1,R1612&lt;&gt;".")=TRUE,R1612/VLOOKUP(G1612,'Exchange Rates'!B:C,2,0),IF(R1612=".",".",""))</f>
        <v/>
      </c>
      <c r="T1612" s="1185" t="str">
        <f>IF(AD1612=1,IF(AF1612="Value is not given at all",".",IF(AF1612="Value is given by the source",S1612,IF(AF1612="Value is calculated with prices",(IF(SUMIFS(Q:Q,A:A,A1612)&gt;0,SUMIFS(Q:Q,A:A,A1612),"."))/VLOOKUP("USD",'Exchange Rates'!B:C,2,0),"Error with coding"))),"")</f>
        <v/>
      </c>
      <c r="U1612" s="1184" t="s">
        <v>365</v>
      </c>
      <c r="V1612" s="974" t="s">
        <v>3959</v>
      </c>
      <c r="W1612" s="973" t="s">
        <v>3955</v>
      </c>
      <c r="X1612" s="973" t="s">
        <v>3959</v>
      </c>
      <c r="Y1612" s="973" t="s">
        <v>4247</v>
      </c>
      <c r="Z1612" s="1184">
        <v>0</v>
      </c>
      <c r="AA1612" s="1194">
        <v>0</v>
      </c>
      <c r="AB1612" s="1180" t="s">
        <v>364</v>
      </c>
      <c r="AC1612" s="1192" t="str">
        <f>""</f>
        <v/>
      </c>
      <c r="AD1612" s="985">
        <v>0</v>
      </c>
      <c r="AE1612" s="985" t="s">
        <v>368</v>
      </c>
      <c r="AF1612" s="985" t="s">
        <v>369</v>
      </c>
      <c r="AG1612" s="985">
        <v>1</v>
      </c>
      <c r="AH1612" s="985">
        <v>6</v>
      </c>
      <c r="AI1612" s="985">
        <v>0</v>
      </c>
      <c r="AJ1612" s="1193">
        <f>VLOOKUP($I1612,'Price List, Weapons &amp; Items'!B:F,5,0)</f>
        <v>0</v>
      </c>
      <c r="AK1612" s="1193">
        <f t="shared" si="346"/>
        <v>0</v>
      </c>
      <c r="AL1612" s="1193">
        <f t="shared" si="347"/>
        <v>0</v>
      </c>
      <c r="AM1612" s="1193">
        <f t="shared" si="348"/>
        <v>0</v>
      </c>
      <c r="AN1612" s="1194" t="str">
        <f>VLOOKUP($I1612,'Price List, Weapons &amp; Items'!B:L,COLUMN('Price List, Weapons &amp; Items'!$J$11)-1,0)</f>
        <v>Contracts</v>
      </c>
      <c r="AO1612" s="1194" t="str">
        <f>IF(I1612=".",".",VLOOKUP($I1612,'Price List, Weapons &amp; Items'!B:J,3,0))</f>
        <v>Military equipment</v>
      </c>
      <c r="AP1612" s="1195" t="str">
        <f t="shared" ca="1" si="342"/>
        <v/>
      </c>
      <c r="AQ1612" s="1194">
        <f>VLOOKUP($I1612,'Price List, Weapons &amp; Items'!B:L,COLUMN('Price List, Weapons &amp; Items'!$L$11)-1,0)</f>
        <v>0</v>
      </c>
      <c r="AR1612" s="1194">
        <f t="shared" si="349"/>
        <v>1</v>
      </c>
      <c r="AS1612" s="1194">
        <f t="shared" si="350"/>
        <v>1</v>
      </c>
      <c r="AT1612" s="1194">
        <f t="shared" si="351"/>
        <v>1</v>
      </c>
      <c r="AU1612" s="1194" t="str">
        <f t="shared" si="340"/>
        <v>.</v>
      </c>
      <c r="AV1612" s="1194" t="str">
        <f t="shared" si="343"/>
        <v>.</v>
      </c>
      <c r="AW1612" s="1194" t="str">
        <f t="shared" si="352"/>
        <v>.</v>
      </c>
      <c r="AX1612" s="1194">
        <f>IFERROR(VLOOKUP(B1612,'Share, Heavy Weapons to Ukraine'!B:Z,COLUMN('Share, Heavy Weapons to Ukraine'!C1623)-1,0),0)</f>
        <v>1</v>
      </c>
      <c r="AY1612" s="1194">
        <f>VLOOKUP('Bilateral Assistance, MAIN DATA'!B1612,'Country Summary (€)'!B:F,COLUMN('Country Summary (€)'!C1624)-1,FALSE)</f>
        <v>0</v>
      </c>
      <c r="AZ1612" s="1194" t="str">
        <f>IF(AND(AD1612=1,D1612="Military",H1612&lt;&gt;"Not given")=TRUE,IF(SUMIFS(P:P,A:A,A1612)&gt;0,ABS((SUMIFS(P:P,A:A,A1612)/VLOOKUP("USD",'Exchange Rates'!B:C,2,0)))/S1612,"."),".")</f>
        <v>.</v>
      </c>
      <c r="BA1612" s="1196" t="str">
        <f>IF(AND(AD1612=1,D1612="Military",H1612&lt;&gt;"Not given")=TRUE,IF(SUMIFS(P:P,A:A,A1612)&gt;0,IF((ABS((SUMIFS(P:P,A:A,A1612)/VLOOKUP("USD",'Exchange Rates'!B:C,2,0)))/S1612)&gt;1,(SUMIFS(P:P,A:A,A1612)-S1612)/S1612,(S1612-SUMIFS(P:P,A:A,A1612))/SUMIFS(P:P,A:A,A1612)),"."),".")</f>
        <v>.</v>
      </c>
    </row>
    <row r="1613" spans="1:53" s="1180" customFormat="1" ht="15.95" customHeight="1">
      <c r="A1613" s="1182" t="s">
        <v>4218</v>
      </c>
      <c r="B1613" s="1182" t="s">
        <v>3949</v>
      </c>
      <c r="C1613" s="1181">
        <v>44729</v>
      </c>
      <c r="D1613" s="1182" t="s">
        <v>389</v>
      </c>
      <c r="E1613" s="1208" t="s">
        <v>1676</v>
      </c>
      <c r="F1613" s="1183" t="s">
        <v>4241</v>
      </c>
      <c r="G1613" s="1184" t="s">
        <v>456</v>
      </c>
      <c r="H1613" s="1185">
        <v>1225000000</v>
      </c>
      <c r="I1613" s="1266" t="s">
        <v>4248</v>
      </c>
      <c r="J1613" s="1186" t="str">
        <f>VLOOKUP($I1613,'Price List, Weapons &amp; Items'!B:C,2,0)</f>
        <v>Military equipment</v>
      </c>
      <c r="K1613" s="1186" t="str">
        <f>IF(I1613=".",I1613,VLOOKUP($I1613,'Price List, Weapons &amp; Items'!B:D,3,0))</f>
        <v>Military equipment</v>
      </c>
      <c r="L1613" s="1187">
        <f>VLOOKUP(I1613,'Price List, Weapons &amp; Items'!B:E,4,0)</f>
        <v>0</v>
      </c>
      <c r="M1613" s="1188">
        <v>16</v>
      </c>
      <c r="N1613" s="1188">
        <v>16</v>
      </c>
      <c r="O1613" s="1188">
        <f>VLOOKUP($I1613,'Price List, Weapons &amp; Items'!B:G,6,0)</f>
        <v>97500</v>
      </c>
      <c r="P1613" s="1185">
        <f t="shared" si="344"/>
        <v>1560000</v>
      </c>
      <c r="Q1613" s="1185">
        <f t="shared" si="345"/>
        <v>1560000</v>
      </c>
      <c r="R1613" s="1185" t="str">
        <f t="shared" si="341"/>
        <v/>
      </c>
      <c r="S1613" s="1185" t="str">
        <f>IF(AND(AD1613=1,R1613&lt;&gt;".")=TRUE,R1613/VLOOKUP(G1613,'Exchange Rates'!B:C,2,0),IF(R1613=".",".",""))</f>
        <v/>
      </c>
      <c r="T1613" s="1185" t="str">
        <f>IF(AD1613=1,IF(AF1613="Value is not given at all",".",IF(AF1613="Value is given by the source",S1613,IF(AF1613="Value is calculated with prices",(IF(SUMIFS(Q:Q,A:A,A1613)&gt;0,SUMIFS(Q:Q,A:A,A1613),"."))/VLOOKUP("USD",'Exchange Rates'!B:C,2,0),"Error with coding"))),"")</f>
        <v/>
      </c>
      <c r="U1613" s="1184" t="s">
        <v>365</v>
      </c>
      <c r="V1613" s="974" t="s">
        <v>3959</v>
      </c>
      <c r="W1613" s="973" t="s">
        <v>3955</v>
      </c>
      <c r="X1613" s="973" t="s">
        <v>3959</v>
      </c>
      <c r="Y1613" s="973" t="s">
        <v>4249</v>
      </c>
      <c r="Z1613" s="1184">
        <v>0</v>
      </c>
      <c r="AA1613" s="1194">
        <v>0</v>
      </c>
      <c r="AB1613" s="1180" t="s">
        <v>364</v>
      </c>
      <c r="AC1613" s="1192" t="str">
        <f>""</f>
        <v/>
      </c>
      <c r="AD1613" s="985">
        <v>0</v>
      </c>
      <c r="AE1613" s="985" t="s">
        <v>368</v>
      </c>
      <c r="AF1613" s="985" t="s">
        <v>369</v>
      </c>
      <c r="AG1613" s="985">
        <v>1</v>
      </c>
      <c r="AH1613" s="985">
        <v>6</v>
      </c>
      <c r="AI1613" s="985">
        <v>0</v>
      </c>
      <c r="AJ1613" s="1193">
        <f>VLOOKUP($I1613,'Price List, Weapons &amp; Items'!B:F,5,0)</f>
        <v>0</v>
      </c>
      <c r="AK1613" s="1193">
        <f t="shared" si="346"/>
        <v>0</v>
      </c>
      <c r="AL1613" s="1193">
        <f t="shared" si="347"/>
        <v>0</v>
      </c>
      <c r="AM1613" s="1193">
        <f t="shared" si="348"/>
        <v>0</v>
      </c>
      <c r="AN1613" s="1194" t="str">
        <f>VLOOKUP($I1613,'Price List, Weapons &amp; Items'!B:L,COLUMN('Price List, Weapons &amp; Items'!$J$11)-1,0)</f>
        <v>Media reports (incl. social media)</v>
      </c>
      <c r="AO1613" s="1194" t="str">
        <f>IF(I1613=".",".",VLOOKUP($I1613,'Price List, Weapons &amp; Items'!B:J,3,0))</f>
        <v>Military equipment</v>
      </c>
      <c r="AP1613" s="1195" t="str">
        <f t="shared" ca="1" si="342"/>
        <v/>
      </c>
      <c r="AQ1613" s="1194">
        <f>VLOOKUP($I1613,'Price List, Weapons &amp; Items'!B:L,COLUMN('Price List, Weapons &amp; Items'!$L$11)-1,0)</f>
        <v>1</v>
      </c>
      <c r="AR1613" s="1194">
        <f t="shared" si="349"/>
        <v>1</v>
      </c>
      <c r="AS1613" s="1194">
        <f t="shared" si="350"/>
        <v>1</v>
      </c>
      <c r="AT1613" s="1194">
        <f t="shared" si="351"/>
        <v>1</v>
      </c>
      <c r="AU1613" s="1194" t="str">
        <f t="shared" si="340"/>
        <v>.</v>
      </c>
      <c r="AV1613" s="1194" t="str">
        <f t="shared" si="343"/>
        <v>.</v>
      </c>
      <c r="AW1613" s="1194" t="str">
        <f t="shared" si="352"/>
        <v>.</v>
      </c>
      <c r="AX1613" s="1194">
        <f>IFERROR(VLOOKUP(B1613,'Share, Heavy Weapons to Ukraine'!B:Z,COLUMN('Share, Heavy Weapons to Ukraine'!C1624)-1,0),0)</f>
        <v>1</v>
      </c>
      <c r="AY1613" s="1194">
        <f>VLOOKUP('Bilateral Assistance, MAIN DATA'!B1613,'Country Summary (€)'!B:F,COLUMN('Country Summary (€)'!C1625)-1,FALSE)</f>
        <v>0</v>
      </c>
      <c r="AZ1613" s="1194" t="str">
        <f>IF(AND(AD1613=1,D1613="Military",H1613&lt;&gt;"Not given")=TRUE,IF(SUMIFS(P:P,A:A,A1613)&gt;0,ABS((SUMIFS(P:P,A:A,A1613)/VLOOKUP("USD",'Exchange Rates'!B:C,2,0)))/S1613,"."),".")</f>
        <v>.</v>
      </c>
      <c r="BA1613" s="1196" t="str">
        <f>IF(AND(AD1613=1,D1613="Military",H1613&lt;&gt;"Not given")=TRUE,IF(SUMIFS(P:P,A:A,A1613)&gt;0,IF((ABS((SUMIFS(P:P,A:A,A1613)/VLOOKUP("USD",'Exchange Rates'!B:C,2,0)))/S1613)&gt;1,(SUMIFS(P:P,A:A,A1613)-S1613)/S1613,(S1613-SUMIFS(P:P,A:A,A1613))/SUMIFS(P:P,A:A,A1613)),"."),".")</f>
        <v>.</v>
      </c>
    </row>
    <row r="1614" spans="1:53" s="1180" customFormat="1" ht="15.95" customHeight="1">
      <c r="A1614" s="1182" t="s">
        <v>4218</v>
      </c>
      <c r="B1614" s="1182" t="s">
        <v>3949</v>
      </c>
      <c r="C1614" s="1181">
        <v>44729</v>
      </c>
      <c r="D1614" s="1182" t="s">
        <v>389</v>
      </c>
      <c r="E1614" s="1208" t="s">
        <v>1676</v>
      </c>
      <c r="F1614" s="1183" t="s">
        <v>4241</v>
      </c>
      <c r="G1614" s="1184" t="s">
        <v>456</v>
      </c>
      <c r="H1614" s="1185">
        <v>1225000000</v>
      </c>
      <c r="I1614" s="1266" t="s">
        <v>4250</v>
      </c>
      <c r="J1614" s="1186" t="str">
        <f>VLOOKUP($I1614,'Price List, Weapons &amp; Items'!B:C,2,0)</f>
        <v>Military equipment</v>
      </c>
      <c r="K1614" s="1186" t="str">
        <f>IF(I1614=".",I1614,VLOOKUP($I1614,'Price List, Weapons &amp; Items'!B:D,3,0))</f>
        <v>Military equipment</v>
      </c>
      <c r="L1614" s="1187">
        <f>VLOOKUP(I1614,'Price List, Weapons &amp; Items'!B:E,4,0)</f>
        <v>0</v>
      </c>
      <c r="M1614" s="1188">
        <v>16</v>
      </c>
      <c r="N1614" s="1188">
        <v>16</v>
      </c>
      <c r="O1614" s="1188" t="str">
        <f>VLOOKUP($I1614,'Price List, Weapons &amp; Items'!B:G,6,0)</f>
        <v>.</v>
      </c>
      <c r="P1614" s="1185" t="str">
        <f t="shared" si="344"/>
        <v>No price</v>
      </c>
      <c r="Q1614" s="1185" t="str">
        <f t="shared" si="345"/>
        <v>No price</v>
      </c>
      <c r="R1614" s="1185" t="str">
        <f t="shared" si="341"/>
        <v/>
      </c>
      <c r="S1614" s="1185" t="str">
        <f>IF(AND(AD1614=1,R1614&lt;&gt;".")=TRUE,R1614/VLOOKUP(G1614,'Exchange Rates'!B:C,2,0),IF(R1614=".",".",""))</f>
        <v/>
      </c>
      <c r="T1614" s="1185" t="str">
        <f>IF(AD1614=1,IF(AF1614="Value is not given at all",".",IF(AF1614="Value is given by the source",S1614,IF(AF1614="Value is calculated with prices",(IF(SUMIFS(Q:Q,A:A,A1614)&gt;0,SUMIFS(Q:Q,A:A,A1614),"."))/VLOOKUP("USD",'Exchange Rates'!B:C,2,0),"Error with coding"))),"")</f>
        <v/>
      </c>
      <c r="U1614" s="1184" t="s">
        <v>365</v>
      </c>
      <c r="V1614" s="974" t="s">
        <v>3959</v>
      </c>
      <c r="W1614" s="973" t="s">
        <v>3955</v>
      </c>
      <c r="X1614" s="973" t="s">
        <v>3959</v>
      </c>
      <c r="Y1614" s="973" t="s">
        <v>4251</v>
      </c>
      <c r="Z1614" s="1184">
        <v>0</v>
      </c>
      <c r="AA1614" s="1194">
        <v>0</v>
      </c>
      <c r="AB1614" s="1180" t="s">
        <v>364</v>
      </c>
      <c r="AC1614" s="1192" t="str">
        <f>""</f>
        <v/>
      </c>
      <c r="AD1614" s="985">
        <v>0</v>
      </c>
      <c r="AE1614" s="985" t="s">
        <v>368</v>
      </c>
      <c r="AF1614" s="985" t="s">
        <v>369</v>
      </c>
      <c r="AG1614" s="985">
        <v>1</v>
      </c>
      <c r="AH1614" s="985">
        <v>6</v>
      </c>
      <c r="AI1614" s="985">
        <v>0</v>
      </c>
      <c r="AJ1614" s="1193">
        <f>VLOOKUP($I1614,'Price List, Weapons &amp; Items'!B:F,5,0)</f>
        <v>0</v>
      </c>
      <c r="AK1614" s="1193">
        <f t="shared" si="346"/>
        <v>0</v>
      </c>
      <c r="AL1614" s="1193">
        <f t="shared" si="347"/>
        <v>0</v>
      </c>
      <c r="AM1614" s="1193">
        <f t="shared" si="348"/>
        <v>0</v>
      </c>
      <c r="AN1614" s="1194" t="str">
        <f>VLOOKUP($I1614,'Price List, Weapons &amp; Items'!B:L,COLUMN('Price List, Weapons &amp; Items'!$J$11)-1,0)</f>
        <v>Contracts</v>
      </c>
      <c r="AO1614" s="1194" t="str">
        <f>IF(I1614=".",".",VLOOKUP($I1614,'Price List, Weapons &amp; Items'!B:J,3,0))</f>
        <v>Military equipment</v>
      </c>
      <c r="AP1614" s="1195" t="str">
        <f t="shared" ca="1" si="342"/>
        <v/>
      </c>
      <c r="AQ1614" s="1194">
        <f>VLOOKUP($I1614,'Price List, Weapons &amp; Items'!B:L,COLUMN('Price List, Weapons &amp; Items'!$L$11)-1,0)</f>
        <v>0</v>
      </c>
      <c r="AR1614" s="1194">
        <f t="shared" si="349"/>
        <v>1</v>
      </c>
      <c r="AS1614" s="1194">
        <f t="shared" si="350"/>
        <v>1</v>
      </c>
      <c r="AT1614" s="1194">
        <f t="shared" si="351"/>
        <v>1</v>
      </c>
      <c r="AU1614" s="1194" t="str">
        <f t="shared" si="340"/>
        <v>.</v>
      </c>
      <c r="AV1614" s="1194" t="str">
        <f t="shared" si="343"/>
        <v>.</v>
      </c>
      <c r="AW1614" s="1194" t="str">
        <f t="shared" si="352"/>
        <v>.</v>
      </c>
      <c r="AX1614" s="1194">
        <f>IFERROR(VLOOKUP(B1614,'Share, Heavy Weapons to Ukraine'!B:Z,COLUMN('Share, Heavy Weapons to Ukraine'!C1625)-1,0),0)</f>
        <v>1</v>
      </c>
      <c r="AY1614" s="1194">
        <f>VLOOKUP('Bilateral Assistance, MAIN DATA'!B1614,'Country Summary (€)'!B:F,COLUMN('Country Summary (€)'!C1626)-1,FALSE)</f>
        <v>0</v>
      </c>
      <c r="AZ1614" s="1194" t="str">
        <f>IF(AND(AD1614=1,D1614="Military",H1614&lt;&gt;"Not given")=TRUE,IF(SUMIFS(P:P,A:A,A1614)&gt;0,ABS((SUMIFS(P:P,A:A,A1614)/VLOOKUP("USD",'Exchange Rates'!B:C,2,0)))/S1614,"."),".")</f>
        <v>.</v>
      </c>
      <c r="BA1614" s="1196" t="str">
        <f>IF(AND(AD1614=1,D1614="Military",H1614&lt;&gt;"Not given")=TRUE,IF(SUMIFS(P:P,A:A,A1614)&gt;0,IF((ABS((SUMIFS(P:P,A:A,A1614)/VLOOKUP("USD",'Exchange Rates'!B:C,2,0)))/S1614)&gt;1,(SUMIFS(P:P,A:A,A1614)-S1614)/S1614,(S1614-SUMIFS(P:P,A:A,A1614))/SUMIFS(P:P,A:A,A1614)),"."),".")</f>
        <v>.</v>
      </c>
    </row>
    <row r="1615" spans="1:53" s="1180" customFormat="1" ht="15.95" customHeight="1">
      <c r="A1615" s="1182" t="s">
        <v>4218</v>
      </c>
      <c r="B1615" s="1182" t="s">
        <v>3949</v>
      </c>
      <c r="C1615" s="1181">
        <v>44729</v>
      </c>
      <c r="D1615" s="1182" t="s">
        <v>389</v>
      </c>
      <c r="E1615" s="1208" t="s">
        <v>1676</v>
      </c>
      <c r="F1615" s="1183" t="s">
        <v>4241</v>
      </c>
      <c r="G1615" s="1184" t="s">
        <v>456</v>
      </c>
      <c r="H1615" s="1185">
        <v>1225000000</v>
      </c>
      <c r="I1615" s="1266" t="s">
        <v>4252</v>
      </c>
      <c r="J1615" s="1186" t="str">
        <f>VLOOKUP($I1615,'Price List, Weapons &amp; Items'!B:C,2,0)</f>
        <v>Military equipment</v>
      </c>
      <c r="K1615" s="1186" t="str">
        <f>IF(I1615=".",I1615,VLOOKUP($I1615,'Price List, Weapons &amp; Items'!B:D,3,0))</f>
        <v>Light Anti-armor Weapon (LAW)</v>
      </c>
      <c r="L1615" s="1187">
        <f>VLOOKUP(I1615,'Price List, Weapons &amp; Items'!B:E,4,0)</f>
        <v>0</v>
      </c>
      <c r="M1615" s="1188">
        <v>40</v>
      </c>
      <c r="N1615" s="1188">
        <v>40</v>
      </c>
      <c r="O1615" s="1188">
        <f>VLOOKUP($I1615,'Price List, Weapons &amp; Items'!B:G,6,0)</f>
        <v>390000</v>
      </c>
      <c r="P1615" s="1185">
        <f t="shared" si="344"/>
        <v>15600000</v>
      </c>
      <c r="Q1615" s="1185">
        <f t="shared" si="345"/>
        <v>15600000</v>
      </c>
      <c r="R1615" s="1185" t="str">
        <f t="shared" si="341"/>
        <v/>
      </c>
      <c r="S1615" s="1185" t="str">
        <f>IF(AND(AD1615=1,R1615&lt;&gt;".")=TRUE,R1615/VLOOKUP(G1615,'Exchange Rates'!B:C,2,0),IF(R1615=".",".",""))</f>
        <v/>
      </c>
      <c r="T1615" s="1185" t="str">
        <f>IF(AD1615=1,IF(AF1615="Value is not given at all",".",IF(AF1615="Value is given by the source",S1615,IF(AF1615="Value is calculated with prices",(IF(SUMIFS(Q:Q,A:A,A1615)&gt;0,SUMIFS(Q:Q,A:A,A1615),"."))/VLOOKUP("USD",'Exchange Rates'!B:C,2,0),"Error with coding"))),"")</f>
        <v/>
      </c>
      <c r="U1615" s="1184" t="s">
        <v>365</v>
      </c>
      <c r="V1615" s="987" t="s">
        <v>3955</v>
      </c>
      <c r="W1615" s="973" t="s">
        <v>3959</v>
      </c>
      <c r="X1615" s="973" t="s">
        <v>3989</v>
      </c>
      <c r="Y1615" s="973" t="s">
        <v>4253</v>
      </c>
      <c r="Z1615" s="1184">
        <v>0</v>
      </c>
      <c r="AA1615" s="1194">
        <v>0</v>
      </c>
      <c r="AB1615" s="1180" t="s">
        <v>364</v>
      </c>
      <c r="AC1615" s="1192" t="str">
        <f>""</f>
        <v/>
      </c>
      <c r="AD1615" s="985">
        <v>0</v>
      </c>
      <c r="AE1615" s="985" t="s">
        <v>368</v>
      </c>
      <c r="AF1615" s="985" t="s">
        <v>369</v>
      </c>
      <c r="AG1615" s="985">
        <v>1</v>
      </c>
      <c r="AH1615" s="985">
        <v>6</v>
      </c>
      <c r="AI1615" s="985">
        <v>0</v>
      </c>
      <c r="AJ1615" s="1193">
        <f>VLOOKUP($I1615,'Price List, Weapons &amp; Items'!B:F,5,0)</f>
        <v>0</v>
      </c>
      <c r="AK1615" s="1193">
        <f t="shared" si="346"/>
        <v>0</v>
      </c>
      <c r="AL1615" s="1193">
        <f t="shared" si="347"/>
        <v>0</v>
      </c>
      <c r="AM1615" s="1193">
        <f t="shared" si="348"/>
        <v>0</v>
      </c>
      <c r="AN1615" s="1194" t="str">
        <f>VLOOKUP($I1615,'Price List, Weapons &amp; Items'!B:L,COLUMN('Price List, Weapons &amp; Items'!$J$11)-1,0)</f>
        <v>Military media (incl. websites)</v>
      </c>
      <c r="AO1615" s="1194" t="str">
        <f>IF(I1615=".",".",VLOOKUP($I1615,'Price List, Weapons &amp; Items'!B:J,3,0))</f>
        <v>Light Anti-armor Weapon (LAW)</v>
      </c>
      <c r="AP1615" s="1195" t="str">
        <f t="shared" ca="1" si="342"/>
        <v/>
      </c>
      <c r="AQ1615" s="1194">
        <f>VLOOKUP($I1615,'Price List, Weapons &amp; Items'!B:L,COLUMN('Price List, Weapons &amp; Items'!$L$11)-1,0)</f>
        <v>2</v>
      </c>
      <c r="AR1615" s="1194">
        <f t="shared" si="349"/>
        <v>1</v>
      </c>
      <c r="AS1615" s="1194">
        <f t="shared" si="350"/>
        <v>1</v>
      </c>
      <c r="AT1615" s="1194">
        <f t="shared" si="351"/>
        <v>1</v>
      </c>
      <c r="AU1615" s="1194" t="str">
        <f t="shared" si="340"/>
        <v>.</v>
      </c>
      <c r="AV1615" s="1194" t="str">
        <f t="shared" si="343"/>
        <v>.</v>
      </c>
      <c r="AW1615" s="1194" t="str">
        <f t="shared" si="352"/>
        <v>.</v>
      </c>
      <c r="AX1615" s="1194">
        <f>IFERROR(VLOOKUP(B1615,'Share, Heavy Weapons to Ukraine'!B:Z,COLUMN('Share, Heavy Weapons to Ukraine'!C1626)-1,0),0)</f>
        <v>1</v>
      </c>
      <c r="AY1615" s="1194">
        <f>VLOOKUP('Bilateral Assistance, MAIN DATA'!B1615,'Country Summary (€)'!B:F,COLUMN('Country Summary (€)'!C1627)-1,FALSE)</f>
        <v>0</v>
      </c>
      <c r="AZ1615" s="1194" t="str">
        <f>IF(AND(AD1615=1,D1615="Military",H1615&lt;&gt;"Not given")=TRUE,IF(SUMIFS(P:P,A:A,A1615)&gt;0,ABS((SUMIFS(P:P,A:A,A1615)/VLOOKUP("USD",'Exchange Rates'!B:C,2,0)))/S1615,"."),".")</f>
        <v>.</v>
      </c>
      <c r="BA1615" s="1196" t="str">
        <f>IF(AND(AD1615=1,D1615="Military",H1615&lt;&gt;"Not given")=TRUE,IF(SUMIFS(P:P,A:A,A1615)&gt;0,IF((ABS((SUMIFS(P:P,A:A,A1615)/VLOOKUP("USD",'Exchange Rates'!B:C,2,0)))/S1615)&gt;1,(SUMIFS(P:P,A:A,A1615)-S1615)/S1615,(S1615-SUMIFS(P:P,A:A,A1615))/SUMIFS(P:P,A:A,A1615)),"."),".")</f>
        <v>.</v>
      </c>
    </row>
    <row r="1616" spans="1:53" s="1314" customFormat="1" ht="15.95" customHeight="1">
      <c r="A1616" s="1304" t="s">
        <v>4254</v>
      </c>
      <c r="B1616" s="1304" t="s">
        <v>3949</v>
      </c>
      <c r="C1616" s="1305">
        <v>44652</v>
      </c>
      <c r="D1616" s="1304" t="s">
        <v>389</v>
      </c>
      <c r="E1616" s="1304" t="s">
        <v>390</v>
      </c>
      <c r="F1616" s="1306" t="s">
        <v>4255</v>
      </c>
      <c r="G1616" s="1307" t="s">
        <v>456</v>
      </c>
      <c r="H1616" s="1308">
        <v>6300000000</v>
      </c>
      <c r="I1616" s="1268" t="s">
        <v>4256</v>
      </c>
      <c r="J1616" s="1186" t="str">
        <f>VLOOKUP($I1616,'Price List, Weapons &amp; Items'!B:C,2,0)</f>
        <v>Portable defence system</v>
      </c>
      <c r="K1616" s="1186" t="str">
        <f>IF(I1616=".",I1616,VLOOKUP($I1616,'Price List, Weapons &amp; Items'!B:D,3,0))</f>
        <v>Light Anti-armor Weapon (LAW)</v>
      </c>
      <c r="L1616" s="1187">
        <f>VLOOKUP(I1616,'Price List, Weapons &amp; Items'!B:E,4,0)</f>
        <v>0</v>
      </c>
      <c r="M1616" s="1309" t="s">
        <v>374</v>
      </c>
      <c r="N1616" s="1188" t="s">
        <v>374</v>
      </c>
      <c r="O1616" s="1188">
        <f>VLOOKUP($I1616,'Price List, Weapons &amp; Items'!B:G,6,0)</f>
        <v>22000</v>
      </c>
      <c r="P1616" s="1185" t="str">
        <f t="shared" si="344"/>
        <v>.</v>
      </c>
      <c r="Q1616" s="1185" t="str">
        <f t="shared" si="345"/>
        <v>.</v>
      </c>
      <c r="R1616" s="1185">
        <f t="shared" si="341"/>
        <v>6300000000</v>
      </c>
      <c r="S1616" s="1185">
        <f>IF(AND(AD1616=1,R1616&lt;&gt;".")=TRUE,R1616/VLOOKUP(G1616,'Exchange Rates'!B:C,2,0),IF(R1616=".",".",""))</f>
        <v>5796834744.2031651</v>
      </c>
      <c r="T1616" s="1185" t="str">
        <f>IF(AD1616=1,IF(AF1616="Value is not given at all",".",IF(AF1616="Value is given by the source",S1616,IF(AF1616="Value is calculated with prices",(IF(SUMIFS(Q:Q,A:A,A1616)&gt;0,SUMIFS(Q:Q,A:A,A1616),"."))/VLOOKUP("USD",'Exchange Rates'!B:C,2,0),"Error with coding"))),"")</f>
        <v>.</v>
      </c>
      <c r="U1616" s="1307" t="s">
        <v>365</v>
      </c>
      <c r="V1616" s="1042" t="s">
        <v>3955</v>
      </c>
      <c r="W1616" s="1043" t="s">
        <v>3959</v>
      </c>
      <c r="X1616" s="1044" t="s">
        <v>3989</v>
      </c>
      <c r="Y1616" s="1310" t="s">
        <v>364</v>
      </c>
      <c r="Z1616" s="1307">
        <v>0</v>
      </c>
      <c r="AA1616" s="1194">
        <v>0</v>
      </c>
      <c r="AB1616" s="1311" t="s">
        <v>364</v>
      </c>
      <c r="AC1616" s="1192" t="str">
        <f>""</f>
        <v/>
      </c>
      <c r="AD1616" s="1312">
        <v>1</v>
      </c>
      <c r="AE1616" s="1313" t="s">
        <v>368</v>
      </c>
      <c r="AF1616" s="985" t="s">
        <v>369</v>
      </c>
      <c r="AG1616" s="1313">
        <v>1</v>
      </c>
      <c r="AH1616" s="1313">
        <v>4</v>
      </c>
      <c r="AI1616" s="1313">
        <v>0</v>
      </c>
      <c r="AJ1616" s="1193">
        <f>VLOOKUP($I1616,'Price List, Weapons &amp; Items'!B:F,5,0)</f>
        <v>0</v>
      </c>
      <c r="AK1616" s="1193">
        <f t="shared" si="346"/>
        <v>0</v>
      </c>
      <c r="AL1616" s="1193">
        <f t="shared" si="347"/>
        <v>0</v>
      </c>
      <c r="AM1616" s="1193">
        <f t="shared" si="348"/>
        <v>0</v>
      </c>
      <c r="AN1616" s="1194" t="str">
        <f>VLOOKUP($I1616,'Price List, Weapons &amp; Items'!B:L,COLUMN('Price List, Weapons &amp; Items'!$J$11)-1,0)</f>
        <v>Contracts</v>
      </c>
      <c r="AO1616" s="1194" t="str">
        <f>IF(I1616=".",".",VLOOKUP($I1616,'Price List, Weapons &amp; Items'!B:J,3,0))</f>
        <v>Light Anti-armor Weapon (LAW)</v>
      </c>
      <c r="AP1616" s="1195" t="str">
        <f t="shared" ca="1" si="342"/>
        <v>laser-guided rocket system</v>
      </c>
      <c r="AQ1616" s="1194" t="str">
        <f>VLOOKUP($I1616,'Price List, Weapons &amp; Items'!B:L,COLUMN('Price List, Weapons &amp; Items'!$L$11)-1,0)</f>
        <v>no price, 0 count</v>
      </c>
      <c r="AR1616" s="1194">
        <f t="shared" si="349"/>
        <v>1</v>
      </c>
      <c r="AS1616" s="1194">
        <f t="shared" si="350"/>
        <v>1</v>
      </c>
      <c r="AT1616" s="1194">
        <f t="shared" si="351"/>
        <v>1</v>
      </c>
      <c r="AU1616" s="1194" t="str">
        <f t="shared" si="340"/>
        <v>.</v>
      </c>
      <c r="AV1616" s="1194" t="str">
        <f t="shared" si="343"/>
        <v>.</v>
      </c>
      <c r="AW1616" s="1194" t="str">
        <f t="shared" si="352"/>
        <v>.</v>
      </c>
      <c r="AX1616" s="1194">
        <f>IFERROR(VLOOKUP(B1616,'Share, Heavy Weapons to Ukraine'!B:Z,COLUMN('Share, Heavy Weapons to Ukraine'!C1627)-1,0),0)</f>
        <v>1</v>
      </c>
      <c r="AY1616" s="1194">
        <f>VLOOKUP('Bilateral Assistance, MAIN DATA'!B1616,'Country Summary (€)'!B:F,COLUMN('Country Summary (€)'!C1628)-1,FALSE)</f>
        <v>0</v>
      </c>
      <c r="AZ1616" s="1194">
        <f>IF(AND(AD1616=1,D1616="Military",H1616&lt;&gt;"Not given")=TRUE,IF(SUMIFS(P:P,A:A,A1616)&gt;0,ABS((SUMIFS(P:P,A:A,A1616)/VLOOKUP("USD",'Exchange Rates'!B:C,2,0)))/S1616,"."),".")</f>
        <v>0.93678285187301591</v>
      </c>
      <c r="BA1616" s="1196">
        <f>IF(AND(AD1616=1,D1616="Military",H1616&lt;&gt;"Not given")=TRUE,IF(SUMIFS(P:P,A:A,A1616)&gt;0,IF((ABS((SUMIFS(P:P,A:A,A1616)/VLOOKUP("USD",'Exchange Rates'!B:C,2,0)))/S1616)&gt;1,(SUMIFS(P:P,A:A,A1616)-S1616)/S1616,(S1616-SUMIFS(P:P,A:A,A1616))/SUMIFS(P:P,A:A,A1616)),"."),".")</f>
        <v>-1.7773972655303734E-2</v>
      </c>
    </row>
    <row r="1617" spans="1:53" s="1314" customFormat="1" ht="15.95" customHeight="1">
      <c r="A1617" s="1304" t="s">
        <v>4254</v>
      </c>
      <c r="B1617" s="1304" t="s">
        <v>3949</v>
      </c>
      <c r="C1617" s="1315">
        <v>44652</v>
      </c>
      <c r="D1617" s="1304" t="s">
        <v>389</v>
      </c>
      <c r="E1617" s="1304" t="s">
        <v>390</v>
      </c>
      <c r="F1617" s="1183" t="s">
        <v>4257</v>
      </c>
      <c r="G1617" s="1307" t="s">
        <v>456</v>
      </c>
      <c r="H1617" s="1308">
        <v>300000000</v>
      </c>
      <c r="I1617" s="1268" t="s">
        <v>4256</v>
      </c>
      <c r="J1617" s="1186" t="str">
        <f>VLOOKUP($I1617,'Price List, Weapons &amp; Items'!B:C,2,0)</f>
        <v>Portable defence system</v>
      </c>
      <c r="K1617" s="1186" t="str">
        <f>IF(I1617=".",I1617,VLOOKUP($I1617,'Price List, Weapons &amp; Items'!B:D,3,0))</f>
        <v>Light Anti-armor Weapon (LAW)</v>
      </c>
      <c r="L1617" s="1187">
        <f>VLOOKUP(I1617,'Price List, Weapons &amp; Items'!B:E,4,0)</f>
        <v>0</v>
      </c>
      <c r="M1617" s="1309" t="s">
        <v>374</v>
      </c>
      <c r="N1617" s="1188" t="s">
        <v>374</v>
      </c>
      <c r="O1617" s="1188">
        <f>VLOOKUP($I1617,'Price List, Weapons &amp; Items'!B:G,6,0)</f>
        <v>22000</v>
      </c>
      <c r="P1617" s="1185" t="str">
        <f t="shared" si="344"/>
        <v>.</v>
      </c>
      <c r="Q1617" s="1185" t="str">
        <f t="shared" si="345"/>
        <v>.</v>
      </c>
      <c r="R1617" s="1185" t="str">
        <f t="shared" si="341"/>
        <v/>
      </c>
      <c r="S1617" s="1185" t="str">
        <f>IF(AND(AD1617=1,R1617&lt;&gt;".")=TRUE,R1617/VLOOKUP(G1617,'Exchange Rates'!B:C,2,0),IF(R1617=".",".",""))</f>
        <v/>
      </c>
      <c r="T1617" s="1185" t="str">
        <f>IF(AD1617=1,IF(AF1617="Value is not given at all",".",IF(AF1617="Value is given by the source",S1617,IF(AF1617="Value is calculated with prices",(IF(SUMIFS(Q:Q,A:A,A1617)&gt;0,SUMIFS(Q:Q,A:A,A1617),"."))/VLOOKUP("USD",'Exchange Rates'!B:C,2,0),"Error with coding"))),"")</f>
        <v/>
      </c>
      <c r="U1617" s="1307" t="s">
        <v>365</v>
      </c>
      <c r="V1617" s="1045" t="s">
        <v>4258</v>
      </c>
      <c r="W1617" s="1042" t="s">
        <v>3955</v>
      </c>
      <c r="X1617" s="1043" t="s">
        <v>3959</v>
      </c>
      <c r="Y1617" s="1044" t="s">
        <v>3989</v>
      </c>
      <c r="Z1617" s="1307">
        <v>0</v>
      </c>
      <c r="AA1617" s="1194">
        <v>0</v>
      </c>
      <c r="AB1617" s="1311" t="s">
        <v>364</v>
      </c>
      <c r="AC1617" s="1192" t="str">
        <f>""</f>
        <v/>
      </c>
      <c r="AD1617" s="1312">
        <v>0</v>
      </c>
      <c r="AE1617" s="1313" t="s">
        <v>368</v>
      </c>
      <c r="AF1617" s="985" t="s">
        <v>369</v>
      </c>
      <c r="AG1617" s="1313">
        <v>1</v>
      </c>
      <c r="AH1617" s="1313">
        <v>4</v>
      </c>
      <c r="AI1617" s="1313">
        <v>0</v>
      </c>
      <c r="AJ1617" s="1193">
        <f>VLOOKUP($I1617,'Price List, Weapons &amp; Items'!B:F,5,0)</f>
        <v>0</v>
      </c>
      <c r="AK1617" s="1193">
        <f t="shared" si="346"/>
        <v>0</v>
      </c>
      <c r="AL1617" s="1193">
        <f t="shared" si="347"/>
        <v>0</v>
      </c>
      <c r="AM1617" s="1193">
        <f t="shared" si="348"/>
        <v>0</v>
      </c>
      <c r="AN1617" s="1194" t="str">
        <f>VLOOKUP($I1617,'Price List, Weapons &amp; Items'!B:L,COLUMN('Price List, Weapons &amp; Items'!$J$11)-1,0)</f>
        <v>Contracts</v>
      </c>
      <c r="AO1617" s="1194" t="str">
        <f>IF(I1617=".",".",VLOOKUP($I1617,'Price List, Weapons &amp; Items'!B:J,3,0))</f>
        <v>Light Anti-armor Weapon (LAW)</v>
      </c>
      <c r="AP1617" s="1195" t="str">
        <f t="shared" ca="1" si="342"/>
        <v/>
      </c>
      <c r="AQ1617" s="1194" t="str">
        <f>VLOOKUP($I1617,'Price List, Weapons &amp; Items'!B:L,COLUMN('Price List, Weapons &amp; Items'!$L$11)-1,0)</f>
        <v>no price, 0 count</v>
      </c>
      <c r="AR1617" s="1194">
        <f t="shared" si="349"/>
        <v>1</v>
      </c>
      <c r="AS1617" s="1194">
        <f t="shared" si="350"/>
        <v>1</v>
      </c>
      <c r="AT1617" s="1194">
        <f t="shared" si="351"/>
        <v>1</v>
      </c>
      <c r="AU1617" s="1194" t="str">
        <f t="shared" si="340"/>
        <v>1</v>
      </c>
      <c r="AV1617" s="1194" t="str">
        <f t="shared" si="343"/>
        <v>.</v>
      </c>
      <c r="AW1617" s="1194" t="str">
        <f t="shared" si="352"/>
        <v>.</v>
      </c>
      <c r="AX1617" s="1194">
        <f>IFERROR(VLOOKUP(B1617,'Share, Heavy Weapons to Ukraine'!B:Z,COLUMN('Share, Heavy Weapons to Ukraine'!C1628)-1,0),0)</f>
        <v>1</v>
      </c>
      <c r="AY1617" s="1194">
        <f>VLOOKUP('Bilateral Assistance, MAIN DATA'!B1617,'Country Summary (€)'!B:F,COLUMN('Country Summary (€)'!C1629)-1,FALSE)</f>
        <v>0</v>
      </c>
      <c r="AZ1617" s="1194" t="str">
        <f>IF(AND(AD1617=1,D1617="Military",H1617&lt;&gt;"Not given")=TRUE,IF(SUMIFS(P:P,A:A,A1617)&gt;0,ABS((SUMIFS(P:P,A:A,A1617)/VLOOKUP("USD",'Exchange Rates'!B:C,2,0)))/S1617,"."),".")</f>
        <v>.</v>
      </c>
      <c r="BA1617" s="1196" t="str">
        <f>IF(AND(AD1617=1,D1617="Military",H1617&lt;&gt;"Not given")=TRUE,IF(SUMIFS(P:P,A:A,A1617)&gt;0,IF((ABS((SUMIFS(P:P,A:A,A1617)/VLOOKUP("USD",'Exchange Rates'!B:C,2,0)))/S1617)&gt;1,(SUMIFS(P:P,A:A,A1617)-S1617)/S1617,(S1617-SUMIFS(P:P,A:A,A1617))/SUMIFS(P:P,A:A,A1617)),"."),".")</f>
        <v>.</v>
      </c>
    </row>
    <row r="1618" spans="1:53" s="1314" customFormat="1" ht="15.95" customHeight="1">
      <c r="A1618" s="1304" t="s">
        <v>4254</v>
      </c>
      <c r="B1618" s="1316" t="s">
        <v>3949</v>
      </c>
      <c r="C1618" s="1315">
        <v>44652</v>
      </c>
      <c r="D1618" s="1316" t="s">
        <v>389</v>
      </c>
      <c r="E1618" s="1316" t="s">
        <v>390</v>
      </c>
      <c r="F1618" s="1183" t="s">
        <v>4257</v>
      </c>
      <c r="G1618" s="1317" t="s">
        <v>456</v>
      </c>
      <c r="H1618" s="1318">
        <v>300000000</v>
      </c>
      <c r="I1618" s="1268" t="s">
        <v>4025</v>
      </c>
      <c r="J1618" s="1186" t="str">
        <f>VLOOKUP($I1618,'Price List, Weapons &amp; Items'!B:C,2,0)</f>
        <v>Aviation and drones</v>
      </c>
      <c r="K1618" s="1186" t="str">
        <f>IF(I1618=".",I1618,VLOOKUP($I1618,'Price List, Weapons &amp; Items'!B:D,3,0))</f>
        <v>drone</v>
      </c>
      <c r="L1618" s="1187">
        <f>VLOOKUP(I1618,'Price List, Weapons &amp; Items'!B:E,4,0)</f>
        <v>0</v>
      </c>
      <c r="M1618" s="1309">
        <v>600</v>
      </c>
      <c r="N1618" s="1318">
        <v>600</v>
      </c>
      <c r="O1618" s="1188">
        <f>VLOOKUP($I1618,'Price List, Weapons &amp; Items'!B:G,6,0)</f>
        <v>6000</v>
      </c>
      <c r="P1618" s="1185">
        <f t="shared" si="344"/>
        <v>3600000</v>
      </c>
      <c r="Q1618" s="1185">
        <f t="shared" si="345"/>
        <v>3600000</v>
      </c>
      <c r="R1618" s="1185" t="str">
        <f t="shared" si="341"/>
        <v/>
      </c>
      <c r="S1618" s="1185" t="str">
        <f>IF(AND(AD1618=1,R1618&lt;&gt;".")=TRUE,R1618/VLOOKUP(G1618,'Exchange Rates'!B:C,2,0),IF(R1618=".",".",""))</f>
        <v/>
      </c>
      <c r="T1618" s="1185" t="str">
        <f>IF(AD1618=1,IF(AF1618="Value is not given at all",".",IF(AF1618="Value is given by the source",S1618,IF(AF1618="Value is calculated with prices",(IF(SUMIFS(Q:Q,A:A,A1618)&gt;0,SUMIFS(Q:Q,A:A,A1618),"."))/VLOOKUP("USD",'Exchange Rates'!B:C,2,0),"Error with coding"))),"")</f>
        <v/>
      </c>
      <c r="U1618" s="1317" t="s">
        <v>365</v>
      </c>
      <c r="V1618" s="1007" t="s">
        <v>4258</v>
      </c>
      <c r="W1618" s="1042" t="s">
        <v>3955</v>
      </c>
      <c r="X1618" s="1043" t="s">
        <v>3959</v>
      </c>
      <c r="Y1618" s="1044" t="s">
        <v>3992</v>
      </c>
      <c r="Z1618" s="1317">
        <v>0</v>
      </c>
      <c r="AA1618" s="1194">
        <v>0</v>
      </c>
      <c r="AB1618" s="1311" t="s">
        <v>364</v>
      </c>
      <c r="AC1618" s="1192" t="str">
        <f>""</f>
        <v/>
      </c>
      <c r="AD1618" s="1319">
        <v>0</v>
      </c>
      <c r="AE1618" s="1313" t="s">
        <v>368</v>
      </c>
      <c r="AF1618" s="985" t="s">
        <v>369</v>
      </c>
      <c r="AG1618" s="1320">
        <v>1</v>
      </c>
      <c r="AH1618" s="1320">
        <v>4</v>
      </c>
      <c r="AI1618" s="1320">
        <v>0</v>
      </c>
      <c r="AJ1618" s="1193">
        <f>VLOOKUP($I1618,'Price List, Weapons &amp; Items'!B:F,5,0)</f>
        <v>0</v>
      </c>
      <c r="AK1618" s="1193">
        <f t="shared" si="346"/>
        <v>0</v>
      </c>
      <c r="AL1618" s="1193">
        <f t="shared" si="347"/>
        <v>0</v>
      </c>
      <c r="AM1618" s="1193">
        <f t="shared" si="348"/>
        <v>0</v>
      </c>
      <c r="AN1618" s="1194" t="str">
        <f>VLOOKUP($I1618,'Price List, Weapons &amp; Items'!B:L,COLUMN('Price List, Weapons &amp; Items'!$J$11)-1,0)</f>
        <v>Miscellaneous</v>
      </c>
      <c r="AO1618" s="1194" t="str">
        <f>IF(I1618=".",".",VLOOKUP($I1618,'Price List, Weapons &amp; Items'!B:J,3,0))</f>
        <v>drone</v>
      </c>
      <c r="AP1618" s="1195" t="str">
        <f t="shared" ca="1" si="342"/>
        <v/>
      </c>
      <c r="AQ1618" s="1194">
        <f>VLOOKUP($I1618,'Price List, Weapons &amp; Items'!B:L,COLUMN('Price List, Weapons &amp; Items'!$L$11)-1,0)</f>
        <v>2</v>
      </c>
      <c r="AR1618" s="1194">
        <f t="shared" si="349"/>
        <v>1</v>
      </c>
      <c r="AS1618" s="1194">
        <f t="shared" si="350"/>
        <v>1</v>
      </c>
      <c r="AT1618" s="1194">
        <f t="shared" si="351"/>
        <v>1</v>
      </c>
      <c r="AU1618" s="1194" t="str">
        <f t="shared" si="340"/>
        <v>.</v>
      </c>
      <c r="AV1618" s="1194" t="str">
        <f t="shared" si="343"/>
        <v>.</v>
      </c>
      <c r="AW1618" s="1194" t="str">
        <f t="shared" si="352"/>
        <v>.</v>
      </c>
      <c r="AX1618" s="1194">
        <f>IFERROR(VLOOKUP(B1618,'Share, Heavy Weapons to Ukraine'!B:Z,COLUMN('Share, Heavy Weapons to Ukraine'!C1629)-1,0),0)</f>
        <v>1</v>
      </c>
      <c r="AY1618" s="1194">
        <f>VLOOKUP('Bilateral Assistance, MAIN DATA'!B1618,'Country Summary (€)'!B:F,COLUMN('Country Summary (€)'!C1630)-1,FALSE)</f>
        <v>0</v>
      </c>
      <c r="AZ1618" s="1194" t="str">
        <f>IF(AND(AD1618=1,D1618="Military",H1618&lt;&gt;"Not given")=TRUE,IF(SUMIFS(P:P,A:A,A1618)&gt;0,ABS((SUMIFS(P:P,A:A,A1618)/VLOOKUP("USD",'Exchange Rates'!B:C,2,0)))/S1618,"."),".")</f>
        <v>.</v>
      </c>
      <c r="BA1618" s="1196" t="str">
        <f>IF(AND(AD1618=1,D1618="Military",H1618&lt;&gt;"Not given")=TRUE,IF(SUMIFS(P:P,A:A,A1618)&gt;0,IF((ABS((SUMIFS(P:P,A:A,A1618)/VLOOKUP("USD",'Exchange Rates'!B:C,2,0)))/S1618)&gt;1,(SUMIFS(P:P,A:A,A1618)-S1618)/S1618,(S1618-SUMIFS(P:P,A:A,A1618))/SUMIFS(P:P,A:A,A1618)),"."),".")</f>
        <v>.</v>
      </c>
    </row>
    <row r="1619" spans="1:53" s="1314" customFormat="1" ht="15.95" customHeight="1">
      <c r="A1619" s="1304" t="s">
        <v>4254</v>
      </c>
      <c r="B1619" s="1316" t="s">
        <v>3949</v>
      </c>
      <c r="C1619" s="1315">
        <v>44652</v>
      </c>
      <c r="D1619" s="1316" t="s">
        <v>389</v>
      </c>
      <c r="E1619" s="1316" t="s">
        <v>390</v>
      </c>
      <c r="F1619" s="1183" t="s">
        <v>4257</v>
      </c>
      <c r="G1619" s="1317" t="s">
        <v>456</v>
      </c>
      <c r="H1619" s="1318">
        <v>300000000</v>
      </c>
      <c r="I1619" s="1268" t="s">
        <v>4259</v>
      </c>
      <c r="J1619" s="1186" t="str">
        <f>VLOOKUP($I1619,'Price List, Weapons &amp; Items'!B:C,2,0)</f>
        <v>Aviation and drones</v>
      </c>
      <c r="K1619" s="1186" t="str">
        <f>IF(I1619=".",I1619,VLOOKUP($I1619,'Price List, Weapons &amp; Items'!B:D,3,0))</f>
        <v>Drone</v>
      </c>
      <c r="L1619" s="1187">
        <f>VLOOKUP(I1619,'Price List, Weapons &amp; Items'!B:E,4,0)</f>
        <v>0</v>
      </c>
      <c r="M1619" s="1309" t="s">
        <v>374</v>
      </c>
      <c r="N1619" s="1318" t="s">
        <v>374</v>
      </c>
      <c r="O1619" s="1188">
        <f>VLOOKUP($I1619,'Price List, Weapons &amp; Items'!B:G,6,0)</f>
        <v>250000</v>
      </c>
      <c r="P1619" s="1185" t="str">
        <f t="shared" si="344"/>
        <v>.</v>
      </c>
      <c r="Q1619" s="1185" t="str">
        <f t="shared" si="345"/>
        <v>.</v>
      </c>
      <c r="R1619" s="1185" t="str">
        <f t="shared" si="341"/>
        <v/>
      </c>
      <c r="S1619" s="1185" t="str">
        <f>IF(AND(AD1619=1,R1619&lt;&gt;".")=TRUE,R1619/VLOOKUP(G1619,'Exchange Rates'!B:C,2,0),IF(R1619=".",".",""))</f>
        <v/>
      </c>
      <c r="T1619" s="1185" t="str">
        <f>IF(AD1619=1,IF(AF1619="Value is not given at all",".",IF(AF1619="Value is given by the source",S1619,IF(AF1619="Value is calculated with prices",(IF(SUMIFS(Q:Q,A:A,A1619)&gt;0,SUMIFS(Q:Q,A:A,A1619),"."))/VLOOKUP("USD",'Exchange Rates'!B:C,2,0),"Error with coding"))),"")</f>
        <v/>
      </c>
      <c r="U1619" s="1317" t="s">
        <v>365</v>
      </c>
      <c r="V1619" s="1007" t="s">
        <v>4258</v>
      </c>
      <c r="W1619" s="1042" t="s">
        <v>3955</v>
      </c>
      <c r="X1619" s="1043" t="s">
        <v>3959</v>
      </c>
      <c r="Y1619" s="1044" t="s">
        <v>3994</v>
      </c>
      <c r="Z1619" s="1317">
        <v>0</v>
      </c>
      <c r="AA1619" s="1194">
        <v>0</v>
      </c>
      <c r="AB1619" s="1311" t="s">
        <v>364</v>
      </c>
      <c r="AC1619" s="1192" t="str">
        <f>""</f>
        <v/>
      </c>
      <c r="AD1619" s="1319">
        <v>0</v>
      </c>
      <c r="AE1619" s="1313" t="s">
        <v>368</v>
      </c>
      <c r="AF1619" s="985" t="s">
        <v>369</v>
      </c>
      <c r="AG1619" s="1320">
        <v>1</v>
      </c>
      <c r="AH1619" s="1320">
        <v>4</v>
      </c>
      <c r="AI1619" s="1320">
        <v>0</v>
      </c>
      <c r="AJ1619" s="1193">
        <f>VLOOKUP($I1619,'Price List, Weapons &amp; Items'!B:F,5,0)</f>
        <v>0</v>
      </c>
      <c r="AK1619" s="1193">
        <f t="shared" si="346"/>
        <v>0</v>
      </c>
      <c r="AL1619" s="1193">
        <f t="shared" si="347"/>
        <v>0</v>
      </c>
      <c r="AM1619" s="1193">
        <f t="shared" si="348"/>
        <v>0</v>
      </c>
      <c r="AN1619" s="1194" t="str">
        <f>VLOOKUP($I1619,'Price List, Weapons &amp; Items'!B:L,COLUMN('Price List, Weapons &amp; Items'!$J$11)-1,0)</f>
        <v>Media reports (incl. social media)</v>
      </c>
      <c r="AO1619" s="1194" t="str">
        <f>IF(I1619=".",".",VLOOKUP($I1619,'Price List, Weapons &amp; Items'!B:J,3,0))</f>
        <v>Drone</v>
      </c>
      <c r="AP1619" s="1195" t="str">
        <f t="shared" ca="1" si="342"/>
        <v/>
      </c>
      <c r="AQ1619" s="1194" t="str">
        <f>VLOOKUP($I1619,'Price List, Weapons &amp; Items'!B:L,COLUMN('Price List, Weapons &amp; Items'!$L$11)-1,0)</f>
        <v>no price, 0 count</v>
      </c>
      <c r="AR1619" s="1194">
        <f t="shared" si="349"/>
        <v>1</v>
      </c>
      <c r="AS1619" s="1194">
        <f t="shared" si="350"/>
        <v>1</v>
      </c>
      <c r="AT1619" s="1194">
        <f t="shared" si="351"/>
        <v>1</v>
      </c>
      <c r="AU1619" s="1194" t="str">
        <f t="shared" si="340"/>
        <v>.</v>
      </c>
      <c r="AV1619" s="1194" t="str">
        <f t="shared" si="343"/>
        <v>.</v>
      </c>
      <c r="AW1619" s="1194" t="str">
        <f t="shared" si="352"/>
        <v>.</v>
      </c>
      <c r="AX1619" s="1194">
        <f>IFERROR(VLOOKUP(B1619,'Share, Heavy Weapons to Ukraine'!B:Z,COLUMN('Share, Heavy Weapons to Ukraine'!C1630)-1,0),0)</f>
        <v>1</v>
      </c>
      <c r="AY1619" s="1194">
        <f>VLOOKUP('Bilateral Assistance, MAIN DATA'!B1619,'Country Summary (€)'!B:F,COLUMN('Country Summary (€)'!C1631)-1,FALSE)</f>
        <v>0</v>
      </c>
      <c r="AZ1619" s="1194" t="str">
        <f>IF(AND(AD1619=1,D1619="Military",H1619&lt;&gt;"Not given")=TRUE,IF(SUMIFS(P:P,A:A,A1619)&gt;0,ABS((SUMIFS(P:P,A:A,A1619)/VLOOKUP("USD",'Exchange Rates'!B:C,2,0)))/S1619,"."),".")</f>
        <v>.</v>
      </c>
      <c r="BA1619" s="1196" t="str">
        <f>IF(AND(AD1619=1,D1619="Military",H1619&lt;&gt;"Not given")=TRUE,IF(SUMIFS(P:P,A:A,A1619)&gt;0,IF((ABS((SUMIFS(P:P,A:A,A1619)/VLOOKUP("USD",'Exchange Rates'!B:C,2,0)))/S1619)&gt;1,(SUMIFS(P:P,A:A,A1619)-S1619)/S1619,(S1619-SUMIFS(P:P,A:A,A1619))/SUMIFS(P:P,A:A,A1619)),"."),".")</f>
        <v>.</v>
      </c>
    </row>
    <row r="1620" spans="1:53" s="1314" customFormat="1" ht="15.95" customHeight="1">
      <c r="A1620" s="1304" t="s">
        <v>4254</v>
      </c>
      <c r="B1620" s="1316" t="s">
        <v>3949</v>
      </c>
      <c r="C1620" s="1315">
        <v>44652</v>
      </c>
      <c r="D1620" s="1316" t="s">
        <v>389</v>
      </c>
      <c r="E1620" s="1316" t="s">
        <v>390</v>
      </c>
      <c r="F1620" s="1183" t="s">
        <v>4257</v>
      </c>
      <c r="G1620" s="1317" t="s">
        <v>456</v>
      </c>
      <c r="H1620" s="1318">
        <v>300000000</v>
      </c>
      <c r="I1620" s="1268" t="s">
        <v>4260</v>
      </c>
      <c r="J1620" s="1186" t="str">
        <f>VLOOKUP($I1620,'Price List, Weapons &amp; Items'!B:C,2,0)</f>
        <v>Aviation and drones</v>
      </c>
      <c r="K1620" s="1186" t="str">
        <f>IF(I1620=".",I1620,VLOOKUP($I1620,'Price List, Weapons &amp; Items'!B:D,3,0))</f>
        <v>Drone</v>
      </c>
      <c r="L1620" s="1187">
        <f>VLOOKUP(I1620,'Price List, Weapons &amp; Items'!B:E,4,0)</f>
        <v>0</v>
      </c>
      <c r="M1620" s="1309" t="s">
        <v>374</v>
      </c>
      <c r="N1620" s="1318" t="s">
        <v>374</v>
      </c>
      <c r="O1620" s="1188">
        <f>VLOOKUP($I1620,'Price List, Weapons &amp; Items'!B:G,6,0)</f>
        <v>15000000</v>
      </c>
      <c r="P1620" s="1185" t="str">
        <f t="shared" si="344"/>
        <v>.</v>
      </c>
      <c r="Q1620" s="1185" t="str">
        <f t="shared" si="345"/>
        <v>.</v>
      </c>
      <c r="R1620" s="1185" t="str">
        <f t="shared" si="341"/>
        <v/>
      </c>
      <c r="S1620" s="1185" t="str">
        <f>IF(AND(AD1620=1,R1620&lt;&gt;".")=TRUE,R1620/VLOOKUP(G1620,'Exchange Rates'!B:C,2,0),IF(R1620=".",".",""))</f>
        <v/>
      </c>
      <c r="T1620" s="1185" t="str">
        <f>IF(AD1620=1,IF(AF1620="Value is not given at all",".",IF(AF1620="Value is given by the source",S1620,IF(AF1620="Value is calculated with prices",(IF(SUMIFS(Q:Q,A:A,A1620)&gt;0,SUMIFS(Q:Q,A:A,A1620),"."))/VLOOKUP("USD",'Exchange Rates'!B:C,2,0),"Error with coding"))),"")</f>
        <v/>
      </c>
      <c r="U1620" s="1317" t="s">
        <v>365</v>
      </c>
      <c r="V1620" s="1007" t="s">
        <v>4258</v>
      </c>
      <c r="W1620" s="1042" t="s">
        <v>3955</v>
      </c>
      <c r="X1620" s="1043" t="s">
        <v>3959</v>
      </c>
      <c r="Y1620" s="1044" t="s">
        <v>3996</v>
      </c>
      <c r="Z1620" s="1317">
        <v>0</v>
      </c>
      <c r="AA1620" s="1194">
        <v>0</v>
      </c>
      <c r="AB1620" s="1311" t="s">
        <v>364</v>
      </c>
      <c r="AC1620" s="1192" t="str">
        <f>""</f>
        <v/>
      </c>
      <c r="AD1620" s="1319">
        <v>0</v>
      </c>
      <c r="AE1620" s="1313" t="s">
        <v>368</v>
      </c>
      <c r="AF1620" s="985" t="s">
        <v>369</v>
      </c>
      <c r="AG1620" s="1320">
        <v>1</v>
      </c>
      <c r="AH1620" s="1320">
        <v>4</v>
      </c>
      <c r="AI1620" s="1320">
        <v>0</v>
      </c>
      <c r="AJ1620" s="1193">
        <f>VLOOKUP($I1620,'Price List, Weapons &amp; Items'!B:F,5,0)</f>
        <v>0</v>
      </c>
      <c r="AK1620" s="1193">
        <f t="shared" si="346"/>
        <v>0</v>
      </c>
      <c r="AL1620" s="1193">
        <f t="shared" si="347"/>
        <v>0</v>
      </c>
      <c r="AM1620" s="1193">
        <f t="shared" si="348"/>
        <v>0</v>
      </c>
      <c r="AN1620" s="1194" t="str">
        <f>VLOOKUP($I1620,'Price List, Weapons &amp; Items'!B:L,COLUMN('Price List, Weapons &amp; Items'!$J$11)-1,0)</f>
        <v>Miscellaneous</v>
      </c>
      <c r="AO1620" s="1194" t="str">
        <f>IF(I1620=".",".",VLOOKUP($I1620,'Price List, Weapons &amp; Items'!B:J,3,0))</f>
        <v>Drone</v>
      </c>
      <c r="AP1620" s="1195" t="str">
        <f t="shared" ca="1" si="342"/>
        <v/>
      </c>
      <c r="AQ1620" s="1194" t="str">
        <f>VLOOKUP($I1620,'Price List, Weapons &amp; Items'!B:L,COLUMN('Price List, Weapons &amp; Items'!$L$11)-1,0)</f>
        <v>no price, 0 count</v>
      </c>
      <c r="AR1620" s="1194">
        <f t="shared" si="349"/>
        <v>1</v>
      </c>
      <c r="AS1620" s="1194">
        <f t="shared" si="350"/>
        <v>1</v>
      </c>
      <c r="AT1620" s="1194">
        <f t="shared" si="351"/>
        <v>1</v>
      </c>
      <c r="AU1620" s="1194" t="str">
        <f t="shared" si="340"/>
        <v>.</v>
      </c>
      <c r="AV1620" s="1194" t="str">
        <f t="shared" si="343"/>
        <v>.</v>
      </c>
      <c r="AW1620" s="1194" t="str">
        <f t="shared" si="352"/>
        <v>.</v>
      </c>
      <c r="AX1620" s="1194">
        <f>IFERROR(VLOOKUP(B1620,'Share, Heavy Weapons to Ukraine'!B:Z,COLUMN('Share, Heavy Weapons to Ukraine'!C1631)-1,0),0)</f>
        <v>1</v>
      </c>
      <c r="AY1620" s="1194">
        <f>VLOOKUP('Bilateral Assistance, MAIN DATA'!B1620,'Country Summary (€)'!B:F,COLUMN('Country Summary (€)'!C1632)-1,FALSE)</f>
        <v>0</v>
      </c>
      <c r="AZ1620" s="1194" t="str">
        <f>IF(AND(AD1620=1,D1620="Military",H1620&lt;&gt;"Not given")=TRUE,IF(SUMIFS(P:P,A:A,A1620)&gt;0,ABS((SUMIFS(P:P,A:A,A1620)/VLOOKUP("USD",'Exchange Rates'!B:C,2,0)))/S1620,"."),".")</f>
        <v>.</v>
      </c>
      <c r="BA1620" s="1196" t="str">
        <f>IF(AND(AD1620=1,D1620="Military",H1620&lt;&gt;"Not given")=TRUE,IF(SUMIFS(P:P,A:A,A1620)&gt;0,IF((ABS((SUMIFS(P:P,A:A,A1620)/VLOOKUP("USD",'Exchange Rates'!B:C,2,0)))/S1620)&gt;1,(SUMIFS(P:P,A:A,A1620)-S1620)/S1620,(S1620-SUMIFS(P:P,A:A,A1620))/SUMIFS(P:P,A:A,A1620)),"."),".")</f>
        <v>.</v>
      </c>
    </row>
    <row r="1621" spans="1:53" s="1314" customFormat="1" ht="15.95" customHeight="1">
      <c r="A1621" s="1304" t="s">
        <v>4254</v>
      </c>
      <c r="B1621" s="1316" t="s">
        <v>3949</v>
      </c>
      <c r="C1621" s="1315">
        <v>44652</v>
      </c>
      <c r="D1621" s="1316" t="s">
        <v>389</v>
      </c>
      <c r="E1621" s="1316" t="s">
        <v>390</v>
      </c>
      <c r="F1621" s="1183" t="s">
        <v>4257</v>
      </c>
      <c r="G1621" s="1317" t="s">
        <v>456</v>
      </c>
      <c r="H1621" s="1318">
        <v>300000000</v>
      </c>
      <c r="I1621" s="1268" t="s">
        <v>4031</v>
      </c>
      <c r="J1621" s="1186" t="str">
        <f>VLOOKUP($I1621,'Price List, Weapons &amp; Items'!B:C,2,0)</f>
        <v>Heavy weapon</v>
      </c>
      <c r="K1621" s="1186" t="str">
        <f>IF(I1621=".",I1621,VLOOKUP($I1621,'Price List, Weapons &amp; Items'!B:D,3,0))</f>
        <v>Armored Utility Vehicle (AUV)</v>
      </c>
      <c r="L1621" s="1187">
        <f>VLOOKUP(I1621,'Price List, Weapons &amp; Items'!B:E,4,0)</f>
        <v>0</v>
      </c>
      <c r="M1621" s="1309">
        <v>59</v>
      </c>
      <c r="N1621" s="1318" t="s">
        <v>374</v>
      </c>
      <c r="O1621" s="1188">
        <f>VLOOKUP($I1621,'Price List, Weapons &amp; Items'!B:G,6,0)</f>
        <v>254717</v>
      </c>
      <c r="P1621" s="1185">
        <f t="shared" si="344"/>
        <v>15028303</v>
      </c>
      <c r="Q1621" s="1185" t="str">
        <f t="shared" si="345"/>
        <v>.</v>
      </c>
      <c r="R1621" s="1185" t="str">
        <f t="shared" si="341"/>
        <v/>
      </c>
      <c r="S1621" s="1185" t="str">
        <f>IF(AND(AD1621=1,R1621&lt;&gt;".")=TRUE,R1621/VLOOKUP(G1621,'Exchange Rates'!B:C,2,0),IF(R1621=".",".",""))</f>
        <v/>
      </c>
      <c r="T1621" s="1185" t="str">
        <f>IF(AD1621=1,IF(AF1621="Value is not given at all",".",IF(AF1621="Value is given by the source",S1621,IF(AF1621="Value is calculated with prices",(IF(SUMIFS(Q:Q,A:A,A1621)&gt;0,SUMIFS(Q:Q,A:A,A1621),"."))/VLOOKUP("USD",'Exchange Rates'!B:C,2,0),"Error with coding"))),"")</f>
        <v/>
      </c>
      <c r="U1621" s="1317" t="s">
        <v>365</v>
      </c>
      <c r="V1621" s="974" t="s">
        <v>4258</v>
      </c>
      <c r="W1621" s="1042" t="s">
        <v>3955</v>
      </c>
      <c r="X1621" s="1043" t="s">
        <v>3959</v>
      </c>
      <c r="Y1621" s="1044" t="s">
        <v>3999</v>
      </c>
      <c r="Z1621" s="1317">
        <v>0</v>
      </c>
      <c r="AA1621" s="1194">
        <v>0</v>
      </c>
      <c r="AB1621" s="1311" t="s">
        <v>364</v>
      </c>
      <c r="AC1621" s="1192" t="str">
        <f>""</f>
        <v/>
      </c>
      <c r="AD1621" s="1319">
        <v>0</v>
      </c>
      <c r="AE1621" s="1313" t="s">
        <v>368</v>
      </c>
      <c r="AF1621" s="985" t="s">
        <v>369</v>
      </c>
      <c r="AG1621" s="1320">
        <v>1</v>
      </c>
      <c r="AH1621" s="1320">
        <v>4</v>
      </c>
      <c r="AI1621" s="1320">
        <v>0</v>
      </c>
      <c r="AJ1621" s="1193">
        <f>VLOOKUP($I1621,'Price List, Weapons &amp; Items'!B:F,5,0)</f>
        <v>1</v>
      </c>
      <c r="AK1621" s="1193">
        <f t="shared" si="346"/>
        <v>0</v>
      </c>
      <c r="AL1621" s="1193">
        <f t="shared" si="347"/>
        <v>1</v>
      </c>
      <c r="AM1621" s="1193">
        <f t="shared" si="348"/>
        <v>0</v>
      </c>
      <c r="AN1621" s="1194" t="str">
        <f>VLOOKUP($I1621,'Price List, Weapons &amp; Items'!B:L,COLUMN('Price List, Weapons &amp; Items'!$J$11)-1,0)</f>
        <v>Military media (incl. websites)</v>
      </c>
      <c r="AO1621" s="1194" t="str">
        <f>IF(I1621=".",".",VLOOKUP($I1621,'Price List, Weapons &amp; Items'!B:J,3,0))</f>
        <v>Armored Utility Vehicle (AUV)</v>
      </c>
      <c r="AP1621" s="1195" t="str">
        <f t="shared" ca="1" si="342"/>
        <v/>
      </c>
      <c r="AQ1621" s="1194">
        <f>VLOOKUP($I1621,'Price List, Weapons &amp; Items'!B:L,COLUMN('Price List, Weapons &amp; Items'!$L$11)-1,0)</f>
        <v>2</v>
      </c>
      <c r="AR1621" s="1194">
        <f t="shared" si="349"/>
        <v>1</v>
      </c>
      <c r="AS1621" s="1194">
        <f t="shared" si="350"/>
        <v>1</v>
      </c>
      <c r="AT1621" s="1194">
        <f t="shared" si="351"/>
        <v>1</v>
      </c>
      <c r="AU1621" s="1194" t="str">
        <f t="shared" si="340"/>
        <v>.</v>
      </c>
      <c r="AV1621" s="1194" t="str">
        <f t="shared" si="343"/>
        <v>.</v>
      </c>
      <c r="AW1621" s="1194" t="str">
        <f t="shared" si="352"/>
        <v>.</v>
      </c>
      <c r="AX1621" s="1194">
        <f>IFERROR(VLOOKUP(B1621,'Share, Heavy Weapons to Ukraine'!B:Z,COLUMN('Share, Heavy Weapons to Ukraine'!C1632)-1,0),0)</f>
        <v>1</v>
      </c>
      <c r="AY1621" s="1194">
        <f>VLOOKUP('Bilateral Assistance, MAIN DATA'!B1621,'Country Summary (€)'!B:F,COLUMN('Country Summary (€)'!C1633)-1,FALSE)</f>
        <v>0</v>
      </c>
      <c r="AZ1621" s="1194" t="str">
        <f>IF(AND(AD1621=1,D1621="Military",H1621&lt;&gt;"Not given")=TRUE,IF(SUMIFS(P:P,A:A,A1621)&gt;0,ABS((SUMIFS(P:P,A:A,A1621)/VLOOKUP("USD",'Exchange Rates'!B:C,2,0)))/S1621,"."),".")</f>
        <v>.</v>
      </c>
      <c r="BA1621" s="1196" t="str">
        <f>IF(AND(AD1621=1,D1621="Military",H1621&lt;&gt;"Not given")=TRUE,IF(SUMIFS(P:P,A:A,A1621)&gt;0,IF((ABS((SUMIFS(P:P,A:A,A1621)/VLOOKUP("USD",'Exchange Rates'!B:C,2,0)))/S1621)&gt;1,(SUMIFS(P:P,A:A,A1621)-S1621)/S1621,(S1621-SUMIFS(P:P,A:A,A1621))/SUMIFS(P:P,A:A,A1621)),"."),".")</f>
        <v>.</v>
      </c>
    </row>
    <row r="1622" spans="1:53" s="1314" customFormat="1" ht="15.95" customHeight="1">
      <c r="A1622" s="1304" t="s">
        <v>4254</v>
      </c>
      <c r="B1622" s="1316" t="s">
        <v>3949</v>
      </c>
      <c r="C1622" s="1315">
        <v>44652</v>
      </c>
      <c r="D1622" s="1316" t="s">
        <v>389</v>
      </c>
      <c r="E1622" s="1316" t="s">
        <v>390</v>
      </c>
      <c r="F1622" s="1183" t="s">
        <v>4257</v>
      </c>
      <c r="G1622" s="1317" t="s">
        <v>456</v>
      </c>
      <c r="H1622" s="1318">
        <v>300000000</v>
      </c>
      <c r="I1622" s="1268" t="s">
        <v>4261</v>
      </c>
      <c r="J1622" s="1186" t="str">
        <f>VLOOKUP($I1622,'Price List, Weapons &amp; Items'!B:C,2,0)</f>
        <v>Ammunition for light infantry</v>
      </c>
      <c r="K1622" s="1186" t="str">
        <f>IF(I1622=".",I1622,VLOOKUP($I1622,'Price List, Weapons &amp; Items'!B:D,3,0))</f>
        <v>Small Arms and Light Weapons (SALW) ammunition</v>
      </c>
      <c r="L1622" s="1187">
        <f>VLOOKUP(I1622,'Price List, Weapons &amp; Items'!B:E,4,0)</f>
        <v>0</v>
      </c>
      <c r="M1622" s="1309" t="s">
        <v>374</v>
      </c>
      <c r="N1622" s="1318" t="s">
        <v>374</v>
      </c>
      <c r="O1622" s="1188" t="str">
        <f>VLOOKUP($I1622,'Price List, Weapons &amp; Items'!B:G,6,0)</f>
        <v>.</v>
      </c>
      <c r="P1622" s="1185" t="str">
        <f t="shared" si="344"/>
        <v>.</v>
      </c>
      <c r="Q1622" s="1185" t="str">
        <f t="shared" si="345"/>
        <v>.</v>
      </c>
      <c r="R1622" s="1185" t="str">
        <f t="shared" si="341"/>
        <v/>
      </c>
      <c r="S1622" s="1185" t="str">
        <f>IF(AND(AD1622=1,R1622&lt;&gt;".")=TRUE,R1622/VLOOKUP(G1622,'Exchange Rates'!B:C,2,0),IF(R1622=".",".",""))</f>
        <v/>
      </c>
      <c r="T1622" s="1185" t="str">
        <f>IF(AD1622=1,IF(AF1622="Value is not given at all",".",IF(AF1622="Value is given by the source",S1622,IF(AF1622="Value is calculated with prices",(IF(SUMIFS(Q:Q,A:A,A1622)&gt;0,SUMIFS(Q:Q,A:A,A1622),"."))/VLOOKUP("USD",'Exchange Rates'!B:C,2,0),"Error with coding"))),"")</f>
        <v/>
      </c>
      <c r="U1622" s="1317" t="s">
        <v>365</v>
      </c>
      <c r="V1622" s="1007" t="s">
        <v>4258</v>
      </c>
      <c r="W1622" s="1042" t="s">
        <v>3955</v>
      </c>
      <c r="X1622" s="1043" t="s">
        <v>3959</v>
      </c>
      <c r="Y1622" s="1044" t="s">
        <v>4000</v>
      </c>
      <c r="Z1622" s="1317">
        <v>0</v>
      </c>
      <c r="AA1622" s="1194">
        <v>0</v>
      </c>
      <c r="AB1622" s="1311" t="s">
        <v>364</v>
      </c>
      <c r="AC1622" s="1192" t="str">
        <f>""</f>
        <v/>
      </c>
      <c r="AD1622" s="1319">
        <v>0</v>
      </c>
      <c r="AE1622" s="1313" t="s">
        <v>368</v>
      </c>
      <c r="AF1622" s="985" t="s">
        <v>369</v>
      </c>
      <c r="AG1622" s="1320">
        <v>1</v>
      </c>
      <c r="AH1622" s="1320">
        <v>4</v>
      </c>
      <c r="AI1622" s="1320">
        <v>0</v>
      </c>
      <c r="AJ1622" s="1193">
        <f>VLOOKUP($I1622,'Price List, Weapons &amp; Items'!B:F,5,0)</f>
        <v>0</v>
      </c>
      <c r="AK1622" s="1193">
        <f t="shared" si="346"/>
        <v>0</v>
      </c>
      <c r="AL1622" s="1193">
        <f t="shared" si="347"/>
        <v>0</v>
      </c>
      <c r="AM1622" s="1193">
        <f t="shared" si="348"/>
        <v>1</v>
      </c>
      <c r="AN1622" s="1194" t="str">
        <f>VLOOKUP($I1622,'Price List, Weapons &amp; Items'!B:L,COLUMN('Price List, Weapons &amp; Items'!$J$11)-1,0)</f>
        <v>.</v>
      </c>
      <c r="AO1622" s="1194" t="str">
        <f>IF(I1622=".",".",VLOOKUP($I1622,'Price List, Weapons &amp; Items'!B:J,3,0))</f>
        <v>Small Arms and Light Weapons (SALW) ammunition</v>
      </c>
      <c r="AP1622" s="1195" t="str">
        <f t="shared" ca="1" si="342"/>
        <v/>
      </c>
      <c r="AQ1622" s="1194" t="str">
        <f>VLOOKUP($I1622,'Price List, Weapons &amp; Items'!B:L,COLUMN('Price List, Weapons &amp; Items'!$L$11)-1,0)</f>
        <v>no price, 0 count</v>
      </c>
      <c r="AR1622" s="1194">
        <f t="shared" si="349"/>
        <v>1</v>
      </c>
      <c r="AS1622" s="1194">
        <f t="shared" si="350"/>
        <v>1</v>
      </c>
      <c r="AT1622" s="1194">
        <f t="shared" si="351"/>
        <v>1</v>
      </c>
      <c r="AU1622" s="1194" t="str">
        <f t="shared" si="340"/>
        <v>.</v>
      </c>
      <c r="AV1622" s="1194" t="str">
        <f t="shared" si="343"/>
        <v>.</v>
      </c>
      <c r="AW1622" s="1194" t="str">
        <f t="shared" si="352"/>
        <v>.</v>
      </c>
      <c r="AX1622" s="1194">
        <f>IFERROR(VLOOKUP(B1622,'Share, Heavy Weapons to Ukraine'!B:Z,COLUMN('Share, Heavy Weapons to Ukraine'!C1633)-1,0),0)</f>
        <v>1</v>
      </c>
      <c r="AY1622" s="1194">
        <f>VLOOKUP('Bilateral Assistance, MAIN DATA'!B1622,'Country Summary (€)'!B:F,COLUMN('Country Summary (€)'!C1634)-1,FALSE)</f>
        <v>0</v>
      </c>
      <c r="AZ1622" s="1194" t="str">
        <f>IF(AND(AD1622=1,D1622="Military",H1622&lt;&gt;"Not given")=TRUE,IF(SUMIFS(P:P,A:A,A1622)&gt;0,ABS((SUMIFS(P:P,A:A,A1622)/VLOOKUP("USD",'Exchange Rates'!B:C,2,0)))/S1622,"."),".")</f>
        <v>.</v>
      </c>
      <c r="BA1622" s="1196" t="str">
        <f>IF(AND(AD1622=1,D1622="Military",H1622&lt;&gt;"Not given")=TRUE,IF(SUMIFS(P:P,A:A,A1622)&gt;0,IF((ABS((SUMIFS(P:P,A:A,A1622)/VLOOKUP("USD",'Exchange Rates'!B:C,2,0)))/S1622)&gt;1,(SUMIFS(P:P,A:A,A1622)-S1622)/S1622,(S1622-SUMIFS(P:P,A:A,A1622))/SUMIFS(P:P,A:A,A1622)),"."),".")</f>
        <v>.</v>
      </c>
    </row>
    <row r="1623" spans="1:53" s="1314" customFormat="1" ht="15.95" customHeight="1">
      <c r="A1623" s="1304" t="s">
        <v>4254</v>
      </c>
      <c r="B1623" s="1316" t="s">
        <v>3949</v>
      </c>
      <c r="C1623" s="1315">
        <v>44652</v>
      </c>
      <c r="D1623" s="1316" t="s">
        <v>389</v>
      </c>
      <c r="E1623" s="1316" t="s">
        <v>390</v>
      </c>
      <c r="F1623" s="1183" t="s">
        <v>4257</v>
      </c>
      <c r="G1623" s="1317" t="s">
        <v>456</v>
      </c>
      <c r="H1623" s="1318">
        <v>300000000</v>
      </c>
      <c r="I1623" s="1268" t="s">
        <v>605</v>
      </c>
      <c r="J1623" s="1186" t="str">
        <f>VLOOKUP($I1623,'Price List, Weapons &amp; Items'!B:C,2,0)</f>
        <v>Military equipment</v>
      </c>
      <c r="K1623" s="1186" t="str">
        <f>IF(I1623=".",I1623,VLOOKUP($I1623,'Price List, Weapons &amp; Items'!B:D,3,0))</f>
        <v>Military equipment</v>
      </c>
      <c r="L1623" s="1187">
        <f>VLOOKUP(I1623,'Price List, Weapons &amp; Items'!B:E,4,0)</f>
        <v>0</v>
      </c>
      <c r="M1623" s="1309" t="s">
        <v>374</v>
      </c>
      <c r="N1623" s="1318" t="s">
        <v>374</v>
      </c>
      <c r="O1623" s="1188">
        <f>VLOOKUP($I1623,'Price List, Weapons &amp; Items'!B:G,6,0)</f>
        <v>2320</v>
      </c>
      <c r="P1623" s="1185" t="str">
        <f t="shared" si="344"/>
        <v>.</v>
      </c>
      <c r="Q1623" s="1185" t="str">
        <f t="shared" si="345"/>
        <v>.</v>
      </c>
      <c r="R1623" s="1185" t="str">
        <f t="shared" si="341"/>
        <v/>
      </c>
      <c r="S1623" s="1185" t="str">
        <f>IF(AND(AD1623=1,R1623&lt;&gt;".")=TRUE,R1623/VLOOKUP(G1623,'Exchange Rates'!B:C,2,0),IF(R1623=".",".",""))</f>
        <v/>
      </c>
      <c r="T1623" s="1185" t="str">
        <f>IF(AD1623=1,IF(AF1623="Value is not given at all",".",IF(AF1623="Value is given by the source",S1623,IF(AF1623="Value is calculated with prices",(IF(SUMIFS(Q:Q,A:A,A1623)&gt;0,SUMIFS(Q:Q,A:A,A1623),"."))/VLOOKUP("USD",'Exchange Rates'!B:C,2,0),"Error with coding"))),"")</f>
        <v/>
      </c>
      <c r="U1623" s="1317" t="s">
        <v>365</v>
      </c>
      <c r="V1623" s="1007" t="s">
        <v>4258</v>
      </c>
      <c r="W1623" s="1042" t="s">
        <v>3955</v>
      </c>
      <c r="X1623" s="1043" t="s">
        <v>3959</v>
      </c>
      <c r="Y1623" s="1044" t="s">
        <v>4001</v>
      </c>
      <c r="Z1623" s="1317">
        <v>0</v>
      </c>
      <c r="AA1623" s="1194">
        <v>0</v>
      </c>
      <c r="AB1623" s="1311" t="s">
        <v>364</v>
      </c>
      <c r="AC1623" s="1192" t="str">
        <f>""</f>
        <v/>
      </c>
      <c r="AD1623" s="1319">
        <v>0</v>
      </c>
      <c r="AE1623" s="1313" t="s">
        <v>368</v>
      </c>
      <c r="AF1623" s="985" t="s">
        <v>369</v>
      </c>
      <c r="AG1623" s="1320">
        <v>1</v>
      </c>
      <c r="AH1623" s="1320">
        <v>4</v>
      </c>
      <c r="AI1623" s="1320">
        <v>0</v>
      </c>
      <c r="AJ1623" s="1193">
        <f>VLOOKUP($I1623,'Price List, Weapons &amp; Items'!B:F,5,0)</f>
        <v>0</v>
      </c>
      <c r="AK1623" s="1193">
        <f t="shared" si="346"/>
        <v>0</v>
      </c>
      <c r="AL1623" s="1193">
        <f t="shared" si="347"/>
        <v>0</v>
      </c>
      <c r="AM1623" s="1193">
        <f t="shared" si="348"/>
        <v>0</v>
      </c>
      <c r="AN1623" s="1194" t="str">
        <f>VLOOKUP($I1623,'Price List, Weapons &amp; Items'!B:L,COLUMN('Price List, Weapons &amp; Items'!$J$11)-1,0)</f>
        <v>Media reports (incl. social media)</v>
      </c>
      <c r="AO1623" s="1194" t="str">
        <f>IF(I1623=".",".",VLOOKUP($I1623,'Price List, Weapons &amp; Items'!B:J,3,0))</f>
        <v>Military equipment</v>
      </c>
      <c r="AP1623" s="1195" t="str">
        <f t="shared" ca="1" si="342"/>
        <v/>
      </c>
      <c r="AQ1623" s="1194">
        <f>VLOOKUP($I1623,'Price List, Weapons &amp; Items'!B:L,COLUMN('Price List, Weapons &amp; Items'!$L$11)-1,0)</f>
        <v>2</v>
      </c>
      <c r="AR1623" s="1194">
        <f t="shared" si="349"/>
        <v>1</v>
      </c>
      <c r="AS1623" s="1194">
        <f t="shared" si="350"/>
        <v>1</v>
      </c>
      <c r="AT1623" s="1194">
        <f t="shared" si="351"/>
        <v>1</v>
      </c>
      <c r="AU1623" s="1194" t="str">
        <f t="shared" si="340"/>
        <v>.</v>
      </c>
      <c r="AV1623" s="1194" t="str">
        <f t="shared" si="343"/>
        <v>.</v>
      </c>
      <c r="AW1623" s="1194" t="str">
        <f t="shared" si="352"/>
        <v>.</v>
      </c>
      <c r="AX1623" s="1194">
        <f>IFERROR(VLOOKUP(B1623,'Share, Heavy Weapons to Ukraine'!B:Z,COLUMN('Share, Heavy Weapons to Ukraine'!C1634)-1,0),0)</f>
        <v>1</v>
      </c>
      <c r="AY1623" s="1194">
        <f>VLOOKUP('Bilateral Assistance, MAIN DATA'!B1623,'Country Summary (€)'!B:F,COLUMN('Country Summary (€)'!C1635)-1,FALSE)</f>
        <v>0</v>
      </c>
      <c r="AZ1623" s="1194" t="str">
        <f>IF(AND(AD1623=1,D1623="Military",H1623&lt;&gt;"Not given")=TRUE,IF(SUMIFS(P:P,A:A,A1623)&gt;0,ABS((SUMIFS(P:P,A:A,A1623)/VLOOKUP("USD",'Exchange Rates'!B:C,2,0)))/S1623,"."),".")</f>
        <v>.</v>
      </c>
      <c r="BA1623" s="1196" t="str">
        <f>IF(AND(AD1623=1,D1623="Military",H1623&lt;&gt;"Not given")=TRUE,IF(SUMIFS(P:P,A:A,A1623)&gt;0,IF((ABS((SUMIFS(P:P,A:A,A1623)/VLOOKUP("USD",'Exchange Rates'!B:C,2,0)))/S1623)&gt;1,(SUMIFS(P:P,A:A,A1623)-S1623)/S1623,(S1623-SUMIFS(P:P,A:A,A1623))/SUMIFS(P:P,A:A,A1623)),"."),".")</f>
        <v>.</v>
      </c>
    </row>
    <row r="1624" spans="1:53" s="1314" customFormat="1" ht="15.95" customHeight="1">
      <c r="A1624" s="1304" t="s">
        <v>4254</v>
      </c>
      <c r="B1624" s="1316" t="s">
        <v>3949</v>
      </c>
      <c r="C1624" s="1315">
        <v>44652</v>
      </c>
      <c r="D1624" s="1316" t="s">
        <v>389</v>
      </c>
      <c r="E1624" s="1316" t="s">
        <v>390</v>
      </c>
      <c r="F1624" s="1183" t="s">
        <v>4257</v>
      </c>
      <c r="G1624" s="1317" t="s">
        <v>456</v>
      </c>
      <c r="H1624" s="1318">
        <v>300000000</v>
      </c>
      <c r="I1624" s="1268" t="s">
        <v>1325</v>
      </c>
      <c r="J1624" s="1186" t="str">
        <f>VLOOKUP($I1624,'Price List, Weapons &amp; Items'!B:C,2,0)</f>
        <v>Military equipment</v>
      </c>
      <c r="K1624" s="1186" t="str">
        <f>IF(I1624=".",I1624,VLOOKUP($I1624,'Price List, Weapons &amp; Items'!B:D,3,0))</f>
        <v>Military equipment</v>
      </c>
      <c r="L1624" s="1187">
        <f>VLOOKUP(I1624,'Price List, Weapons &amp; Items'!B:E,4,0)</f>
        <v>0</v>
      </c>
      <c r="M1624" s="1309" t="s">
        <v>374</v>
      </c>
      <c r="N1624" s="1318" t="s">
        <v>374</v>
      </c>
      <c r="O1624" s="1188">
        <f>VLOOKUP($I1624,'Price List, Weapons &amp; Items'!B:G,6,0)</f>
        <v>5000</v>
      </c>
      <c r="P1624" s="1185" t="str">
        <f t="shared" si="344"/>
        <v>.</v>
      </c>
      <c r="Q1624" s="1185" t="str">
        <f t="shared" si="345"/>
        <v>.</v>
      </c>
      <c r="R1624" s="1185" t="str">
        <f t="shared" si="341"/>
        <v/>
      </c>
      <c r="S1624" s="1185" t="str">
        <f>IF(AND(AD1624=1,R1624&lt;&gt;".")=TRUE,R1624/VLOOKUP(G1624,'Exchange Rates'!B:C,2,0),IF(R1624=".",".",""))</f>
        <v/>
      </c>
      <c r="T1624" s="1185" t="str">
        <f>IF(AD1624=1,IF(AF1624="Value is not given at all",".",IF(AF1624="Value is given by the source",S1624,IF(AF1624="Value is calculated with prices",(IF(SUMIFS(Q:Q,A:A,A1624)&gt;0,SUMIFS(Q:Q,A:A,A1624),"."))/VLOOKUP("USD",'Exchange Rates'!B:C,2,0),"Error with coding"))),"")</f>
        <v/>
      </c>
      <c r="U1624" s="1317" t="s">
        <v>365</v>
      </c>
      <c r="V1624" s="1007" t="s">
        <v>4258</v>
      </c>
      <c r="W1624" s="1042" t="s">
        <v>3955</v>
      </c>
      <c r="X1624" s="1043" t="s">
        <v>3959</v>
      </c>
      <c r="Y1624" s="1044" t="s">
        <v>4003</v>
      </c>
      <c r="Z1624" s="1317">
        <v>0</v>
      </c>
      <c r="AA1624" s="1194">
        <v>0</v>
      </c>
      <c r="AB1624" s="1311" t="s">
        <v>364</v>
      </c>
      <c r="AC1624" s="1192" t="str">
        <f>""</f>
        <v/>
      </c>
      <c r="AD1624" s="1319">
        <v>0</v>
      </c>
      <c r="AE1624" s="1313" t="s">
        <v>368</v>
      </c>
      <c r="AF1624" s="985" t="s">
        <v>369</v>
      </c>
      <c r="AG1624" s="1320">
        <v>1</v>
      </c>
      <c r="AH1624" s="1320">
        <v>4</v>
      </c>
      <c r="AI1624" s="1320">
        <v>0</v>
      </c>
      <c r="AJ1624" s="1193">
        <f>VLOOKUP($I1624,'Price List, Weapons &amp; Items'!B:F,5,0)</f>
        <v>0</v>
      </c>
      <c r="AK1624" s="1193">
        <f t="shared" si="346"/>
        <v>0</v>
      </c>
      <c r="AL1624" s="1193">
        <f t="shared" si="347"/>
        <v>0</v>
      </c>
      <c r="AM1624" s="1193">
        <f t="shared" si="348"/>
        <v>0</v>
      </c>
      <c r="AN1624" s="1194" t="str">
        <f>VLOOKUP($I1624,'Price List, Weapons &amp; Items'!B:L,COLUMN('Price List, Weapons &amp; Items'!$J$11)-1,0)</f>
        <v>Miscellaneous</v>
      </c>
      <c r="AO1624" s="1194" t="str">
        <f>IF(I1624=".",".",VLOOKUP($I1624,'Price List, Weapons &amp; Items'!B:J,3,0))</f>
        <v>Military equipment</v>
      </c>
      <c r="AP1624" s="1195" t="str">
        <f t="shared" ca="1" si="342"/>
        <v/>
      </c>
      <c r="AQ1624" s="1194" t="str">
        <f>VLOOKUP($I1624,'Price List, Weapons &amp; Items'!B:L,COLUMN('Price List, Weapons &amp; Items'!$L$11)-1,0)</f>
        <v>no price, 0 count</v>
      </c>
      <c r="AR1624" s="1194">
        <f t="shared" si="349"/>
        <v>1</v>
      </c>
      <c r="AS1624" s="1194">
        <f t="shared" si="350"/>
        <v>1</v>
      </c>
      <c r="AT1624" s="1194">
        <f t="shared" si="351"/>
        <v>1</v>
      </c>
      <c r="AU1624" s="1194" t="str">
        <f t="shared" si="340"/>
        <v>.</v>
      </c>
      <c r="AV1624" s="1194" t="str">
        <f t="shared" si="343"/>
        <v>.</v>
      </c>
      <c r="AW1624" s="1194" t="str">
        <f t="shared" si="352"/>
        <v>.</v>
      </c>
      <c r="AX1624" s="1194">
        <f>IFERROR(VLOOKUP(B1624,'Share, Heavy Weapons to Ukraine'!B:Z,COLUMN('Share, Heavy Weapons to Ukraine'!C1635)-1,0),0)</f>
        <v>1</v>
      </c>
      <c r="AY1624" s="1194">
        <f>VLOOKUP('Bilateral Assistance, MAIN DATA'!B1624,'Country Summary (€)'!B:F,COLUMN('Country Summary (€)'!C1636)-1,FALSE)</f>
        <v>0</v>
      </c>
      <c r="AZ1624" s="1194" t="str">
        <f>IF(AND(AD1624=1,D1624="Military",H1624&lt;&gt;"Not given")=TRUE,IF(SUMIFS(P:P,A:A,A1624)&gt;0,ABS((SUMIFS(P:P,A:A,A1624)/VLOOKUP("USD",'Exchange Rates'!B:C,2,0)))/S1624,"."),".")</f>
        <v>.</v>
      </c>
      <c r="BA1624" s="1196" t="str">
        <f>IF(AND(AD1624=1,D1624="Military",H1624&lt;&gt;"Not given")=TRUE,IF(SUMIFS(P:P,A:A,A1624)&gt;0,IF((ABS((SUMIFS(P:P,A:A,A1624)/VLOOKUP("USD",'Exchange Rates'!B:C,2,0)))/S1624)&gt;1,(SUMIFS(P:P,A:A,A1624)-S1624)/S1624,(S1624-SUMIFS(P:P,A:A,A1624))/SUMIFS(P:P,A:A,A1624)),"."),".")</f>
        <v>.</v>
      </c>
    </row>
    <row r="1625" spans="1:53" s="1314" customFormat="1" ht="15.95" customHeight="1">
      <c r="A1625" s="1304" t="s">
        <v>4254</v>
      </c>
      <c r="B1625" s="1316" t="s">
        <v>3949</v>
      </c>
      <c r="C1625" s="1315">
        <v>44652</v>
      </c>
      <c r="D1625" s="1316" t="s">
        <v>389</v>
      </c>
      <c r="E1625" s="1316" t="s">
        <v>390</v>
      </c>
      <c r="F1625" s="1183" t="s">
        <v>4257</v>
      </c>
      <c r="G1625" s="1317" t="s">
        <v>456</v>
      </c>
      <c r="H1625" s="1318">
        <v>300000000</v>
      </c>
      <c r="I1625" s="1268" t="s">
        <v>4040</v>
      </c>
      <c r="J1625" s="1186" t="str">
        <f>VLOOKUP($I1625,'Price List, Weapons &amp; Items'!B:C,2,0)</f>
        <v>Military equipment</v>
      </c>
      <c r="K1625" s="1186" t="str">
        <f>IF(I1625=".",I1625,VLOOKUP($I1625,'Price List, Weapons &amp; Items'!B:D,3,0))</f>
        <v>Military equipment</v>
      </c>
      <c r="L1625" s="1187">
        <f>VLOOKUP(I1625,'Price List, Weapons &amp; Items'!B:E,4,0)</f>
        <v>0</v>
      </c>
      <c r="M1625" s="1309" t="s">
        <v>374</v>
      </c>
      <c r="N1625" s="1318" t="s">
        <v>374</v>
      </c>
      <c r="O1625" s="1188">
        <f>VLOOKUP($I1625,'Price List, Weapons &amp; Items'!B:G,6,0)</f>
        <v>45</v>
      </c>
      <c r="P1625" s="1185" t="str">
        <f t="shared" si="344"/>
        <v>.</v>
      </c>
      <c r="Q1625" s="1185" t="str">
        <f t="shared" si="345"/>
        <v>.</v>
      </c>
      <c r="R1625" s="1185" t="str">
        <f t="shared" si="341"/>
        <v/>
      </c>
      <c r="S1625" s="1185" t="str">
        <f>IF(AND(AD1625=1,R1625&lt;&gt;".")=TRUE,R1625/VLOOKUP(G1625,'Exchange Rates'!B:C,2,0),IF(R1625=".",".",""))</f>
        <v/>
      </c>
      <c r="T1625" s="1185" t="str">
        <f>IF(AD1625=1,IF(AF1625="Value is not given at all",".",IF(AF1625="Value is given by the source",S1625,IF(AF1625="Value is calculated with prices",(IF(SUMIFS(Q:Q,A:A,A1625)&gt;0,SUMIFS(Q:Q,A:A,A1625),"."))/VLOOKUP("USD",'Exchange Rates'!B:C,2,0),"Error with coding"))),"")</f>
        <v/>
      </c>
      <c r="U1625" s="1317" t="s">
        <v>365</v>
      </c>
      <c r="V1625" s="1007" t="s">
        <v>4258</v>
      </c>
      <c r="W1625" s="1042" t="s">
        <v>3955</v>
      </c>
      <c r="X1625" s="1043" t="s">
        <v>3959</v>
      </c>
      <c r="Y1625" s="1044" t="s">
        <v>4005</v>
      </c>
      <c r="Z1625" s="1317">
        <v>0</v>
      </c>
      <c r="AA1625" s="1194">
        <v>0</v>
      </c>
      <c r="AB1625" s="1311" t="s">
        <v>364</v>
      </c>
      <c r="AC1625" s="1192" t="str">
        <f>""</f>
        <v/>
      </c>
      <c r="AD1625" s="1319">
        <v>0</v>
      </c>
      <c r="AE1625" s="1313" t="s">
        <v>368</v>
      </c>
      <c r="AF1625" s="985" t="s">
        <v>369</v>
      </c>
      <c r="AG1625" s="1320">
        <v>1</v>
      </c>
      <c r="AH1625" s="1320">
        <v>4</v>
      </c>
      <c r="AI1625" s="1320">
        <v>0</v>
      </c>
      <c r="AJ1625" s="1193">
        <f>VLOOKUP($I1625,'Price List, Weapons &amp; Items'!B:F,5,0)</f>
        <v>0</v>
      </c>
      <c r="AK1625" s="1193">
        <f t="shared" si="346"/>
        <v>0</v>
      </c>
      <c r="AL1625" s="1193">
        <f t="shared" si="347"/>
        <v>0</v>
      </c>
      <c r="AM1625" s="1193">
        <f t="shared" si="348"/>
        <v>0</v>
      </c>
      <c r="AN1625" s="1194" t="str">
        <f>VLOOKUP($I1625,'Price List, Weapons &amp; Items'!B:L,COLUMN('Price List, Weapons &amp; Items'!$J$11)-1,0)</f>
        <v>Online marketplaces and stores</v>
      </c>
      <c r="AO1625" s="1194" t="str">
        <f>IF(I1625=".",".",VLOOKUP($I1625,'Price List, Weapons &amp; Items'!B:J,3,0))</f>
        <v>Military equipment</v>
      </c>
      <c r="AP1625" s="1195" t="str">
        <f t="shared" ca="1" si="342"/>
        <v/>
      </c>
      <c r="AQ1625" s="1194">
        <f>VLOOKUP($I1625,'Price List, Weapons &amp; Items'!B:L,COLUMN('Price List, Weapons &amp; Items'!$L$11)-1,0)</f>
        <v>1</v>
      </c>
      <c r="AR1625" s="1194">
        <f t="shared" si="349"/>
        <v>1</v>
      </c>
      <c r="AS1625" s="1194">
        <f t="shared" si="350"/>
        <v>1</v>
      </c>
      <c r="AT1625" s="1194">
        <f t="shared" si="351"/>
        <v>1</v>
      </c>
      <c r="AU1625" s="1194" t="str">
        <f t="shared" si="340"/>
        <v>.</v>
      </c>
      <c r="AV1625" s="1194" t="str">
        <f t="shared" si="343"/>
        <v>.</v>
      </c>
      <c r="AW1625" s="1194" t="str">
        <f t="shared" si="352"/>
        <v>.</v>
      </c>
      <c r="AX1625" s="1194">
        <f>IFERROR(VLOOKUP(B1625,'Share, Heavy Weapons to Ukraine'!B:Z,COLUMN('Share, Heavy Weapons to Ukraine'!C1636)-1,0),0)</f>
        <v>1</v>
      </c>
      <c r="AY1625" s="1194">
        <f>VLOOKUP('Bilateral Assistance, MAIN DATA'!B1625,'Country Summary (€)'!B:F,COLUMN('Country Summary (€)'!C1637)-1,FALSE)</f>
        <v>0</v>
      </c>
      <c r="AZ1625" s="1194" t="str">
        <f>IF(AND(AD1625=1,D1625="Military",H1625&lt;&gt;"Not given")=TRUE,IF(SUMIFS(P:P,A:A,A1625)&gt;0,ABS((SUMIFS(P:P,A:A,A1625)/VLOOKUP("USD",'Exchange Rates'!B:C,2,0)))/S1625,"."),".")</f>
        <v>.</v>
      </c>
      <c r="BA1625" s="1196" t="str">
        <f>IF(AND(AD1625=1,D1625="Military",H1625&lt;&gt;"Not given")=TRUE,IF(SUMIFS(P:P,A:A,A1625)&gt;0,IF((ABS((SUMIFS(P:P,A:A,A1625)/VLOOKUP("USD",'Exchange Rates'!B:C,2,0)))/S1625)&gt;1,(SUMIFS(P:P,A:A,A1625)-S1625)/S1625,(S1625-SUMIFS(P:P,A:A,A1625))/SUMIFS(P:P,A:A,A1625)),"."),".")</f>
        <v>.</v>
      </c>
    </row>
    <row r="1626" spans="1:53" s="1314" customFormat="1" ht="15.95" customHeight="1">
      <c r="A1626" s="1304" t="s">
        <v>4254</v>
      </c>
      <c r="B1626" s="1316" t="s">
        <v>3949</v>
      </c>
      <c r="C1626" s="1315">
        <v>44652</v>
      </c>
      <c r="D1626" s="1316" t="s">
        <v>389</v>
      </c>
      <c r="E1626" s="1316" t="s">
        <v>390</v>
      </c>
      <c r="F1626" s="1183" t="s">
        <v>4257</v>
      </c>
      <c r="G1626" s="1317" t="s">
        <v>456</v>
      </c>
      <c r="H1626" s="1318">
        <v>300000000</v>
      </c>
      <c r="I1626" s="1268" t="s">
        <v>2635</v>
      </c>
      <c r="J1626" s="1186" t="str">
        <f>VLOOKUP($I1626,'Price List, Weapons &amp; Items'!B:C,2,0)</f>
        <v>Military equipment</v>
      </c>
      <c r="K1626" s="1186" t="str">
        <f>IF(I1626=".",I1626,VLOOKUP($I1626,'Price List, Weapons &amp; Items'!B:D,3,0))</f>
        <v>Military equipment</v>
      </c>
      <c r="L1626" s="1187">
        <f>VLOOKUP(I1626,'Price List, Weapons &amp; Items'!B:E,4,0)</f>
        <v>0</v>
      </c>
      <c r="M1626" s="1309" t="s">
        <v>374</v>
      </c>
      <c r="N1626" s="1318" t="s">
        <v>374</v>
      </c>
      <c r="O1626" s="1188" t="str">
        <f>VLOOKUP($I1626,'Price List, Weapons &amp; Items'!B:G,6,0)</f>
        <v>.</v>
      </c>
      <c r="P1626" s="1185" t="str">
        <f t="shared" si="344"/>
        <v>.</v>
      </c>
      <c r="Q1626" s="1185" t="str">
        <f t="shared" si="345"/>
        <v>.</v>
      </c>
      <c r="R1626" s="1185" t="str">
        <f t="shared" si="341"/>
        <v/>
      </c>
      <c r="S1626" s="1185" t="str">
        <f>IF(AND(AD1626=1,R1626&lt;&gt;".")=TRUE,R1626/VLOOKUP(G1626,'Exchange Rates'!B:C,2,0),IF(R1626=".",".",""))</f>
        <v/>
      </c>
      <c r="T1626" s="1185" t="str">
        <f>IF(AD1626=1,IF(AF1626="Value is not given at all",".",IF(AF1626="Value is given by the source",S1626,IF(AF1626="Value is calculated with prices",(IF(SUMIFS(Q:Q,A:A,A1626)&gt;0,SUMIFS(Q:Q,A:A,A1626),"."))/VLOOKUP("USD",'Exchange Rates'!B:C,2,0),"Error with coding"))),"")</f>
        <v/>
      </c>
      <c r="U1626" s="1317" t="s">
        <v>365</v>
      </c>
      <c r="V1626" s="1007" t="s">
        <v>4258</v>
      </c>
      <c r="W1626" s="1042" t="s">
        <v>3955</v>
      </c>
      <c r="X1626" s="1043" t="s">
        <v>3959</v>
      </c>
      <c r="Y1626" s="1044" t="s">
        <v>4007</v>
      </c>
      <c r="Z1626" s="1317">
        <v>0</v>
      </c>
      <c r="AA1626" s="1194">
        <v>0</v>
      </c>
      <c r="AB1626" s="1311" t="s">
        <v>364</v>
      </c>
      <c r="AC1626" s="1192" t="str">
        <f>""</f>
        <v/>
      </c>
      <c r="AD1626" s="1319">
        <v>0</v>
      </c>
      <c r="AE1626" s="1313" t="s">
        <v>368</v>
      </c>
      <c r="AF1626" s="985" t="s">
        <v>369</v>
      </c>
      <c r="AG1626" s="1320">
        <v>1</v>
      </c>
      <c r="AH1626" s="1320">
        <v>4</v>
      </c>
      <c r="AI1626" s="1320">
        <v>0</v>
      </c>
      <c r="AJ1626" s="1193">
        <f>VLOOKUP($I1626,'Price List, Weapons &amp; Items'!B:F,5,0)</f>
        <v>0</v>
      </c>
      <c r="AK1626" s="1193">
        <f t="shared" si="346"/>
        <v>0</v>
      </c>
      <c r="AL1626" s="1193">
        <f t="shared" si="347"/>
        <v>0</v>
      </c>
      <c r="AM1626" s="1193">
        <f t="shared" si="348"/>
        <v>0</v>
      </c>
      <c r="AN1626" s="1194" t="str">
        <f>VLOOKUP($I1626,'Price List, Weapons &amp; Items'!B:L,COLUMN('Price List, Weapons &amp; Items'!$J$11)-1,0)</f>
        <v>.</v>
      </c>
      <c r="AO1626" s="1194" t="str">
        <f>IF(I1626=".",".",VLOOKUP($I1626,'Price List, Weapons &amp; Items'!B:J,3,0))</f>
        <v>Military equipment</v>
      </c>
      <c r="AP1626" s="1195" t="str">
        <f t="shared" ca="1" si="342"/>
        <v/>
      </c>
      <c r="AQ1626" s="1194">
        <f>VLOOKUP($I1626,'Price List, Weapons &amp; Items'!B:L,COLUMN('Price List, Weapons &amp; Items'!$L$11)-1,0)</f>
        <v>0</v>
      </c>
      <c r="AR1626" s="1194">
        <f t="shared" si="349"/>
        <v>1</v>
      </c>
      <c r="AS1626" s="1194">
        <f t="shared" si="350"/>
        <v>1</v>
      </c>
      <c r="AT1626" s="1194">
        <f t="shared" si="351"/>
        <v>1</v>
      </c>
      <c r="AU1626" s="1194" t="str">
        <f t="shared" si="340"/>
        <v>.</v>
      </c>
      <c r="AV1626" s="1194" t="str">
        <f t="shared" si="343"/>
        <v>.</v>
      </c>
      <c r="AW1626" s="1194" t="str">
        <f t="shared" si="352"/>
        <v>.</v>
      </c>
      <c r="AX1626" s="1194">
        <f>IFERROR(VLOOKUP(B1626,'Share, Heavy Weapons to Ukraine'!B:Z,COLUMN('Share, Heavy Weapons to Ukraine'!C1637)-1,0),0)</f>
        <v>1</v>
      </c>
      <c r="AY1626" s="1194">
        <f>VLOOKUP('Bilateral Assistance, MAIN DATA'!B1626,'Country Summary (€)'!B:F,COLUMN('Country Summary (€)'!C1638)-1,FALSE)</f>
        <v>0</v>
      </c>
      <c r="AZ1626" s="1194" t="str">
        <f>IF(AND(AD1626=1,D1626="Military",H1626&lt;&gt;"Not given")=TRUE,IF(SUMIFS(P:P,A:A,A1626)&gt;0,ABS((SUMIFS(P:P,A:A,A1626)/VLOOKUP("USD",'Exchange Rates'!B:C,2,0)))/S1626,"."),".")</f>
        <v>.</v>
      </c>
      <c r="BA1626" s="1196" t="str">
        <f>IF(AND(AD1626=1,D1626="Military",H1626&lt;&gt;"Not given")=TRUE,IF(SUMIFS(P:P,A:A,A1626)&gt;0,IF((ABS((SUMIFS(P:P,A:A,A1626)/VLOOKUP("USD",'Exchange Rates'!B:C,2,0)))/S1626)&gt;1,(SUMIFS(P:P,A:A,A1626)-S1626)/S1626,(S1626-SUMIFS(P:P,A:A,A1626))/SUMIFS(P:P,A:A,A1626)),"."),".")</f>
        <v>.</v>
      </c>
    </row>
    <row r="1627" spans="1:53" s="1314" customFormat="1" ht="15.95" customHeight="1">
      <c r="A1627" s="1304" t="s">
        <v>4254</v>
      </c>
      <c r="B1627" s="1316" t="s">
        <v>3949</v>
      </c>
      <c r="C1627" s="1315">
        <v>44652</v>
      </c>
      <c r="D1627" s="1316" t="s">
        <v>389</v>
      </c>
      <c r="E1627" s="1316" t="s">
        <v>390</v>
      </c>
      <c r="F1627" s="1183" t="s">
        <v>4257</v>
      </c>
      <c r="G1627" s="1317" t="s">
        <v>456</v>
      </c>
      <c r="H1627" s="1318">
        <v>300000000</v>
      </c>
      <c r="I1627" s="1268" t="s">
        <v>4262</v>
      </c>
      <c r="J1627" s="1186" t="str">
        <f>VLOOKUP($I1627,'Price List, Weapons &amp; Items'!B:C,2,0)</f>
        <v>Light armaments &amp; infantry</v>
      </c>
      <c r="K1627" s="1186" t="str">
        <f>IF(I1627=".",I1627,VLOOKUP($I1627,'Price List, Weapons &amp; Items'!B:D,3,0))</f>
        <v>Small Arms and Light Weapons (SALW)</v>
      </c>
      <c r="L1627" s="1187">
        <f>VLOOKUP(I1627,'Price List, Weapons &amp; Items'!B:E,4,0)</f>
        <v>0</v>
      </c>
      <c r="M1627" s="1309" t="s">
        <v>374</v>
      </c>
      <c r="N1627" s="1318" t="s">
        <v>374</v>
      </c>
      <c r="O1627" s="1188">
        <f>VLOOKUP($I1627,'Price List, Weapons &amp; Items'!B:G,6,0)</f>
        <v>5300</v>
      </c>
      <c r="P1627" s="1185" t="str">
        <f t="shared" si="344"/>
        <v>.</v>
      </c>
      <c r="Q1627" s="1185" t="str">
        <f t="shared" si="345"/>
        <v>.</v>
      </c>
      <c r="R1627" s="1185" t="str">
        <f t="shared" si="341"/>
        <v/>
      </c>
      <c r="S1627" s="1185" t="str">
        <f>IF(AND(AD1627=1,R1627&lt;&gt;".")=TRUE,R1627/VLOOKUP(G1627,'Exchange Rates'!B:C,2,0),IF(R1627=".",".",""))</f>
        <v/>
      </c>
      <c r="T1627" s="1185" t="str">
        <f>IF(AD1627=1,IF(AF1627="Value is not given at all",".",IF(AF1627="Value is given by the source",S1627,IF(AF1627="Value is calculated with prices",(IF(SUMIFS(Q:Q,A:A,A1627)&gt;0,SUMIFS(Q:Q,A:A,A1627),"."))/VLOOKUP("USD",'Exchange Rates'!B:C,2,0),"Error with coding"))),"")</f>
        <v/>
      </c>
      <c r="U1627" s="1317" t="s">
        <v>365</v>
      </c>
      <c r="V1627" s="1007" t="s">
        <v>4258</v>
      </c>
      <c r="W1627" s="1042" t="s">
        <v>3955</v>
      </c>
      <c r="X1627" s="1043" t="s">
        <v>3959</v>
      </c>
      <c r="Y1627" s="1044" t="s">
        <v>4009</v>
      </c>
      <c r="Z1627" s="1317">
        <v>0</v>
      </c>
      <c r="AA1627" s="1194">
        <v>0</v>
      </c>
      <c r="AB1627" s="1311" t="s">
        <v>364</v>
      </c>
      <c r="AC1627" s="1192" t="str">
        <f>""</f>
        <v/>
      </c>
      <c r="AD1627" s="1319">
        <v>0</v>
      </c>
      <c r="AE1627" s="1313" t="s">
        <v>368</v>
      </c>
      <c r="AF1627" s="985" t="s">
        <v>369</v>
      </c>
      <c r="AG1627" s="1320">
        <v>1</v>
      </c>
      <c r="AH1627" s="1320">
        <v>4</v>
      </c>
      <c r="AI1627" s="1320">
        <v>0</v>
      </c>
      <c r="AJ1627" s="1193">
        <f>VLOOKUP($I1627,'Price List, Weapons &amp; Items'!B:F,5,0)</f>
        <v>0</v>
      </c>
      <c r="AK1627" s="1193">
        <f t="shared" si="346"/>
        <v>0</v>
      </c>
      <c r="AL1627" s="1193">
        <f t="shared" si="347"/>
        <v>0</v>
      </c>
      <c r="AM1627" s="1193">
        <f t="shared" si="348"/>
        <v>0</v>
      </c>
      <c r="AN1627" s="1194" t="str">
        <f>VLOOKUP($I1627,'Price List, Weapons &amp; Items'!B:L,COLUMN('Price List, Weapons &amp; Items'!$J$11)-1,0)</f>
        <v>Miscellaneous</v>
      </c>
      <c r="AO1627" s="1194" t="str">
        <f>IF(I1627=".",".",VLOOKUP($I1627,'Price List, Weapons &amp; Items'!B:J,3,0))</f>
        <v>Small Arms and Light Weapons (SALW)</v>
      </c>
      <c r="AP1627" s="1195" t="str">
        <f t="shared" ca="1" si="342"/>
        <v/>
      </c>
      <c r="AQ1627" s="1194" t="str">
        <f>VLOOKUP($I1627,'Price List, Weapons &amp; Items'!B:L,COLUMN('Price List, Weapons &amp; Items'!$L$11)-1,0)</f>
        <v>no price, 0 count</v>
      </c>
      <c r="AR1627" s="1194">
        <f t="shared" si="349"/>
        <v>1</v>
      </c>
      <c r="AS1627" s="1194">
        <f t="shared" si="350"/>
        <v>1</v>
      </c>
      <c r="AT1627" s="1194">
        <f t="shared" si="351"/>
        <v>1</v>
      </c>
      <c r="AU1627" s="1194" t="str">
        <f t="shared" si="340"/>
        <v>.</v>
      </c>
      <c r="AV1627" s="1194" t="str">
        <f t="shared" si="343"/>
        <v>.</v>
      </c>
      <c r="AW1627" s="1194" t="str">
        <f t="shared" si="352"/>
        <v>.</v>
      </c>
      <c r="AX1627" s="1194">
        <f>IFERROR(VLOOKUP(B1627,'Share, Heavy Weapons to Ukraine'!B:Z,COLUMN('Share, Heavy Weapons to Ukraine'!C1638)-1,0),0)</f>
        <v>1</v>
      </c>
      <c r="AY1627" s="1194">
        <f>VLOOKUP('Bilateral Assistance, MAIN DATA'!B1627,'Country Summary (€)'!B:F,COLUMN('Country Summary (€)'!C1639)-1,FALSE)</f>
        <v>0</v>
      </c>
      <c r="AZ1627" s="1194" t="str">
        <f>IF(AND(AD1627=1,D1627="Military",H1627&lt;&gt;"Not given")=TRUE,IF(SUMIFS(P:P,A:A,A1627)&gt;0,ABS((SUMIFS(P:P,A:A,A1627)/VLOOKUP("USD",'Exchange Rates'!B:C,2,0)))/S1627,"."),".")</f>
        <v>.</v>
      </c>
      <c r="BA1627" s="1196" t="str">
        <f>IF(AND(AD1627=1,D1627="Military",H1627&lt;&gt;"Not given")=TRUE,IF(SUMIFS(P:P,A:A,A1627)&gt;0,IF((ABS((SUMIFS(P:P,A:A,A1627)/VLOOKUP("USD",'Exchange Rates'!B:C,2,0)))/S1627)&gt;1,(SUMIFS(P:P,A:A,A1627)-S1627)/S1627,(S1627-SUMIFS(P:P,A:A,A1627))/SUMIFS(P:P,A:A,A1627)),"."),".")</f>
        <v>.</v>
      </c>
    </row>
    <row r="1628" spans="1:53" s="1314" customFormat="1" ht="15.95" customHeight="1">
      <c r="A1628" s="1304" t="s">
        <v>4254</v>
      </c>
      <c r="B1628" s="1316" t="s">
        <v>3949</v>
      </c>
      <c r="C1628" s="1315">
        <v>44652</v>
      </c>
      <c r="D1628" s="1316" t="s">
        <v>389</v>
      </c>
      <c r="E1628" s="1316" t="s">
        <v>390</v>
      </c>
      <c r="F1628" s="1183" t="s">
        <v>4257</v>
      </c>
      <c r="G1628" s="1317" t="s">
        <v>456</v>
      </c>
      <c r="H1628" s="1318">
        <v>300000000</v>
      </c>
      <c r="I1628" s="1268" t="s">
        <v>4263</v>
      </c>
      <c r="J1628" s="1186" t="str">
        <f>VLOOKUP($I1628,'Price List, Weapons &amp; Items'!B:C,2,0)</f>
        <v>Military equipment</v>
      </c>
      <c r="K1628" s="1186" t="str">
        <f>IF(I1628=".",I1628,VLOOKUP($I1628,'Price List, Weapons &amp; Items'!B:D,3,0))</f>
        <v>Military equipment</v>
      </c>
      <c r="L1628" s="1187">
        <f>VLOOKUP(I1628,'Price List, Weapons &amp; Items'!B:E,4,0)</f>
        <v>0</v>
      </c>
      <c r="M1628" s="1309" t="s">
        <v>374</v>
      </c>
      <c r="N1628" s="1318" t="s">
        <v>374</v>
      </c>
      <c r="O1628" s="1188" t="str">
        <f>VLOOKUP($I1628,'Price List, Weapons &amp; Items'!B:G,6,0)</f>
        <v>.</v>
      </c>
      <c r="P1628" s="1185" t="str">
        <f t="shared" si="344"/>
        <v>.</v>
      </c>
      <c r="Q1628" s="1185" t="str">
        <f t="shared" si="345"/>
        <v>.</v>
      </c>
      <c r="R1628" s="1185" t="str">
        <f t="shared" si="341"/>
        <v/>
      </c>
      <c r="S1628" s="1185" t="str">
        <f>IF(AND(AD1628=1,R1628&lt;&gt;".")=TRUE,R1628/VLOOKUP(G1628,'Exchange Rates'!B:C,2,0),IF(R1628=".",".",""))</f>
        <v/>
      </c>
      <c r="T1628" s="1185" t="str">
        <f>IF(AD1628=1,IF(AF1628="Value is not given at all",".",IF(AF1628="Value is given by the source",S1628,IF(AF1628="Value is calculated with prices",(IF(SUMIFS(Q:Q,A:A,A1628)&gt;0,SUMIFS(Q:Q,A:A,A1628),"."))/VLOOKUP("USD",'Exchange Rates'!B:C,2,0),"Error with coding"))),"")</f>
        <v/>
      </c>
      <c r="U1628" s="1317" t="s">
        <v>365</v>
      </c>
      <c r="V1628" s="1007" t="s">
        <v>4258</v>
      </c>
      <c r="W1628" s="1042" t="s">
        <v>3955</v>
      </c>
      <c r="X1628" s="1043" t="s">
        <v>3959</v>
      </c>
      <c r="Y1628" s="1044" t="s">
        <v>4010</v>
      </c>
      <c r="Z1628" s="1317">
        <v>0</v>
      </c>
      <c r="AA1628" s="1194">
        <v>0</v>
      </c>
      <c r="AB1628" s="1311" t="s">
        <v>364</v>
      </c>
      <c r="AC1628" s="1192" t="str">
        <f>""</f>
        <v/>
      </c>
      <c r="AD1628" s="1319">
        <v>0</v>
      </c>
      <c r="AE1628" s="1313" t="s">
        <v>368</v>
      </c>
      <c r="AF1628" s="985" t="s">
        <v>369</v>
      </c>
      <c r="AG1628" s="1320">
        <v>1</v>
      </c>
      <c r="AH1628" s="1320">
        <v>4</v>
      </c>
      <c r="AI1628" s="1320">
        <v>0</v>
      </c>
      <c r="AJ1628" s="1193">
        <f>VLOOKUP($I1628,'Price List, Weapons &amp; Items'!B:F,5,0)</f>
        <v>0</v>
      </c>
      <c r="AK1628" s="1193">
        <f t="shared" si="346"/>
        <v>0</v>
      </c>
      <c r="AL1628" s="1193">
        <f t="shared" si="347"/>
        <v>0</v>
      </c>
      <c r="AM1628" s="1193">
        <f t="shared" si="348"/>
        <v>0</v>
      </c>
      <c r="AN1628" s="1194" t="str">
        <f>VLOOKUP($I1628,'Price List, Weapons &amp; Items'!B:L,COLUMN('Price List, Weapons &amp; Items'!$J$11)-1,0)</f>
        <v>.</v>
      </c>
      <c r="AO1628" s="1194" t="str">
        <f>IF(I1628=".",".",VLOOKUP($I1628,'Price List, Weapons &amp; Items'!B:J,3,0))</f>
        <v>Military equipment</v>
      </c>
      <c r="AP1628" s="1195" t="str">
        <f t="shared" ca="1" si="342"/>
        <v/>
      </c>
      <c r="AQ1628" s="1194" t="str">
        <f>VLOOKUP($I1628,'Price List, Weapons &amp; Items'!B:L,COLUMN('Price List, Weapons &amp; Items'!$L$11)-1,0)</f>
        <v>no price, 0 count</v>
      </c>
      <c r="AR1628" s="1194">
        <f t="shared" si="349"/>
        <v>1</v>
      </c>
      <c r="AS1628" s="1194">
        <f t="shared" si="350"/>
        <v>1</v>
      </c>
      <c r="AT1628" s="1194">
        <f t="shared" si="351"/>
        <v>1</v>
      </c>
      <c r="AU1628" s="1194" t="str">
        <f t="shared" si="340"/>
        <v>.</v>
      </c>
      <c r="AV1628" s="1194" t="str">
        <f t="shared" si="343"/>
        <v>.</v>
      </c>
      <c r="AW1628" s="1194" t="str">
        <f t="shared" si="352"/>
        <v>.</v>
      </c>
      <c r="AX1628" s="1194">
        <f>IFERROR(VLOOKUP(B1628,'Share, Heavy Weapons to Ukraine'!B:Z,COLUMN('Share, Heavy Weapons to Ukraine'!C1639)-1,0),0)</f>
        <v>1</v>
      </c>
      <c r="AY1628" s="1194">
        <f>VLOOKUP('Bilateral Assistance, MAIN DATA'!B1628,'Country Summary (€)'!B:F,COLUMN('Country Summary (€)'!C1640)-1,FALSE)</f>
        <v>0</v>
      </c>
      <c r="AZ1628" s="1194" t="str">
        <f>IF(AND(AD1628=1,D1628="Military",H1628&lt;&gt;"Not given")=TRUE,IF(SUMIFS(P:P,A:A,A1628)&gt;0,ABS((SUMIFS(P:P,A:A,A1628)/VLOOKUP("USD",'Exchange Rates'!B:C,2,0)))/S1628,"."),".")</f>
        <v>.</v>
      </c>
      <c r="BA1628" s="1196" t="str">
        <f>IF(AND(AD1628=1,D1628="Military",H1628&lt;&gt;"Not given")=TRUE,IF(SUMIFS(P:P,A:A,A1628)&gt;0,IF((ABS((SUMIFS(P:P,A:A,A1628)/VLOOKUP("USD",'Exchange Rates'!B:C,2,0)))/S1628)&gt;1,(SUMIFS(P:P,A:A,A1628)-S1628)/S1628,(S1628-SUMIFS(P:P,A:A,A1628))/SUMIFS(P:P,A:A,A1628)),"."),".")</f>
        <v>.</v>
      </c>
    </row>
    <row r="1629" spans="1:53" s="1314" customFormat="1" ht="15.95" customHeight="1">
      <c r="A1629" s="1304" t="s">
        <v>4254</v>
      </c>
      <c r="B1629" s="1316" t="s">
        <v>3949</v>
      </c>
      <c r="C1629" s="1315">
        <v>44652</v>
      </c>
      <c r="D1629" s="1316" t="s">
        <v>389</v>
      </c>
      <c r="E1629" s="1316" t="s">
        <v>390</v>
      </c>
      <c r="F1629" s="1183" t="s">
        <v>4257</v>
      </c>
      <c r="G1629" s="1317" t="s">
        <v>456</v>
      </c>
      <c r="H1629" s="1318">
        <v>300000000</v>
      </c>
      <c r="I1629" s="1268" t="s">
        <v>3196</v>
      </c>
      <c r="J1629" s="1186" t="str">
        <f>VLOOKUP($I1629,'Price List, Weapons &amp; Items'!B:C,2,0)</f>
        <v>Military equipment</v>
      </c>
      <c r="K1629" s="1186" t="str">
        <f>IF(I1629=".",I1629,VLOOKUP($I1629,'Price List, Weapons &amp; Items'!B:D,3,0))</f>
        <v>Military equipment</v>
      </c>
      <c r="L1629" s="1187">
        <f>VLOOKUP(I1629,'Price List, Weapons &amp; Items'!B:E,4,0)</f>
        <v>0</v>
      </c>
      <c r="M1629" s="1309" t="s">
        <v>374</v>
      </c>
      <c r="N1629" s="1318" t="s">
        <v>374</v>
      </c>
      <c r="O1629" s="1188" t="str">
        <f>VLOOKUP($I1629,'Price List, Weapons &amp; Items'!B:G,6,0)</f>
        <v>.</v>
      </c>
      <c r="P1629" s="1185" t="str">
        <f t="shared" si="344"/>
        <v>.</v>
      </c>
      <c r="Q1629" s="1185" t="str">
        <f t="shared" si="345"/>
        <v>.</v>
      </c>
      <c r="R1629" s="1185" t="str">
        <f t="shared" si="341"/>
        <v/>
      </c>
      <c r="S1629" s="1185" t="str">
        <f>IF(AND(AD1629=1,R1629&lt;&gt;".")=TRUE,R1629/VLOOKUP(G1629,'Exchange Rates'!B:C,2,0),IF(R1629=".",".",""))</f>
        <v/>
      </c>
      <c r="T1629" s="1185" t="str">
        <f>IF(AD1629=1,IF(AF1629="Value is not given at all",".",IF(AF1629="Value is given by the source",S1629,IF(AF1629="Value is calculated with prices",(IF(SUMIFS(Q:Q,A:A,A1629)&gt;0,SUMIFS(Q:Q,A:A,A1629),"."))/VLOOKUP("USD",'Exchange Rates'!B:C,2,0),"Error with coding"))),"")</f>
        <v/>
      </c>
      <c r="U1629" s="1317" t="s">
        <v>365</v>
      </c>
      <c r="V1629" s="1007" t="s">
        <v>4258</v>
      </c>
      <c r="W1629" s="1042" t="s">
        <v>3955</v>
      </c>
      <c r="X1629" s="1043" t="s">
        <v>3959</v>
      </c>
      <c r="Y1629" s="1044" t="s">
        <v>4012</v>
      </c>
      <c r="Z1629" s="1317">
        <v>0</v>
      </c>
      <c r="AA1629" s="1194">
        <v>0</v>
      </c>
      <c r="AB1629" s="1311" t="s">
        <v>364</v>
      </c>
      <c r="AC1629" s="1192" t="str">
        <f>""</f>
        <v/>
      </c>
      <c r="AD1629" s="1319">
        <v>0</v>
      </c>
      <c r="AE1629" s="1313" t="s">
        <v>368</v>
      </c>
      <c r="AF1629" s="985" t="s">
        <v>369</v>
      </c>
      <c r="AG1629" s="1320">
        <v>1</v>
      </c>
      <c r="AH1629" s="1320">
        <v>4</v>
      </c>
      <c r="AI1629" s="1320">
        <v>0</v>
      </c>
      <c r="AJ1629" s="1193">
        <f>VLOOKUP($I1629,'Price List, Weapons &amp; Items'!B:F,5,0)</f>
        <v>0</v>
      </c>
      <c r="AK1629" s="1193">
        <f t="shared" si="346"/>
        <v>0</v>
      </c>
      <c r="AL1629" s="1193">
        <f t="shared" si="347"/>
        <v>0</v>
      </c>
      <c r="AM1629" s="1193">
        <f t="shared" si="348"/>
        <v>0</v>
      </c>
      <c r="AN1629" s="1194" t="str">
        <f>VLOOKUP($I1629,'Price List, Weapons &amp; Items'!B:L,COLUMN('Price List, Weapons &amp; Items'!$J$11)-1,0)</f>
        <v>.</v>
      </c>
      <c r="AO1629" s="1194" t="str">
        <f>IF(I1629=".",".",VLOOKUP($I1629,'Price List, Weapons &amp; Items'!B:J,3,0))</f>
        <v>Military equipment</v>
      </c>
      <c r="AP1629" s="1195" t="str">
        <f t="shared" ca="1" si="342"/>
        <v/>
      </c>
      <c r="AQ1629" s="1194" t="str">
        <f>VLOOKUP($I1629,'Price List, Weapons &amp; Items'!B:L,COLUMN('Price List, Weapons &amp; Items'!$L$11)-1,0)</f>
        <v>no price, 0 count</v>
      </c>
      <c r="AR1629" s="1194">
        <f t="shared" si="349"/>
        <v>1</v>
      </c>
      <c r="AS1629" s="1194">
        <f t="shared" si="350"/>
        <v>1</v>
      </c>
      <c r="AT1629" s="1194">
        <f t="shared" si="351"/>
        <v>1</v>
      </c>
      <c r="AU1629" s="1194" t="str">
        <f t="shared" si="340"/>
        <v>.</v>
      </c>
      <c r="AV1629" s="1194" t="str">
        <f t="shared" si="343"/>
        <v>.</v>
      </c>
      <c r="AW1629" s="1194" t="str">
        <f t="shared" si="352"/>
        <v>.</v>
      </c>
      <c r="AX1629" s="1194">
        <f>IFERROR(VLOOKUP(B1629,'Share, Heavy Weapons to Ukraine'!B:Z,COLUMN('Share, Heavy Weapons to Ukraine'!C1640)-1,0),0)</f>
        <v>1</v>
      </c>
      <c r="AY1629" s="1194">
        <f>VLOOKUP('Bilateral Assistance, MAIN DATA'!B1629,'Country Summary (€)'!B:F,COLUMN('Country Summary (€)'!C1641)-1,FALSE)</f>
        <v>0</v>
      </c>
      <c r="AZ1629" s="1194" t="str">
        <f>IF(AND(AD1629=1,D1629="Military",H1629&lt;&gt;"Not given")=TRUE,IF(SUMIFS(P:P,A:A,A1629)&gt;0,ABS((SUMIFS(P:P,A:A,A1629)/VLOOKUP("USD",'Exchange Rates'!B:C,2,0)))/S1629,"."),".")</f>
        <v>.</v>
      </c>
      <c r="BA1629" s="1196" t="str">
        <f>IF(AND(AD1629=1,D1629="Military",H1629&lt;&gt;"Not given")=TRUE,IF(SUMIFS(P:P,A:A,A1629)&gt;0,IF((ABS((SUMIFS(P:P,A:A,A1629)/VLOOKUP("USD",'Exchange Rates'!B:C,2,0)))/S1629)&gt;1,(SUMIFS(P:P,A:A,A1629)-S1629)/S1629,(S1629-SUMIFS(P:P,A:A,A1629))/SUMIFS(P:P,A:A,A1629)),"."),".")</f>
        <v>.</v>
      </c>
    </row>
    <row r="1630" spans="1:53" s="1314" customFormat="1" ht="15.95" customHeight="1">
      <c r="A1630" s="1304" t="s">
        <v>4254</v>
      </c>
      <c r="B1630" s="1316" t="s">
        <v>3949</v>
      </c>
      <c r="C1630" s="1315">
        <v>44652</v>
      </c>
      <c r="D1630" s="1316" t="s">
        <v>389</v>
      </c>
      <c r="E1630" s="1316" t="s">
        <v>390</v>
      </c>
      <c r="F1630" s="1183" t="s">
        <v>4257</v>
      </c>
      <c r="G1630" s="1317" t="s">
        <v>456</v>
      </c>
      <c r="H1630" s="1318">
        <v>300000000</v>
      </c>
      <c r="I1630" s="1268" t="s">
        <v>4052</v>
      </c>
      <c r="J1630" s="1186" t="str">
        <f>VLOOKUP($I1630,'Price List, Weapons &amp; Items'!B:C,2,0)</f>
        <v>Military equipment</v>
      </c>
      <c r="K1630" s="1186" t="str">
        <f>IF(I1630=".",I1630,VLOOKUP($I1630,'Price List, Weapons &amp; Items'!B:D,3,0))</f>
        <v>Military equipment</v>
      </c>
      <c r="L1630" s="1187">
        <f>VLOOKUP(I1630,'Price List, Weapons &amp; Items'!B:E,4,0)</f>
        <v>0</v>
      </c>
      <c r="M1630" s="1309" t="s">
        <v>374</v>
      </c>
      <c r="N1630" s="1318" t="s">
        <v>374</v>
      </c>
      <c r="O1630" s="1188" t="str">
        <f>VLOOKUP($I1630,'Price List, Weapons &amp; Items'!B:G,6,0)</f>
        <v>.</v>
      </c>
      <c r="P1630" s="1185" t="str">
        <f t="shared" si="344"/>
        <v>.</v>
      </c>
      <c r="Q1630" s="1185" t="str">
        <f t="shared" si="345"/>
        <v>.</v>
      </c>
      <c r="R1630" s="1185" t="str">
        <f t="shared" si="341"/>
        <v/>
      </c>
      <c r="S1630" s="1185" t="str">
        <f>IF(AND(AD1630=1,R1630&lt;&gt;".")=TRUE,R1630/VLOOKUP(G1630,'Exchange Rates'!B:C,2,0),IF(R1630=".",".",""))</f>
        <v/>
      </c>
      <c r="T1630" s="1185" t="str">
        <f>IF(AD1630=1,IF(AF1630="Value is not given at all",".",IF(AF1630="Value is given by the source",S1630,IF(AF1630="Value is calculated with prices",(IF(SUMIFS(Q:Q,A:A,A1630)&gt;0,SUMIFS(Q:Q,A:A,A1630),"."))/VLOOKUP("USD",'Exchange Rates'!B:C,2,0),"Error with coding"))),"")</f>
        <v/>
      </c>
      <c r="U1630" s="1317" t="s">
        <v>365</v>
      </c>
      <c r="V1630" s="1007" t="s">
        <v>4258</v>
      </c>
      <c r="W1630" s="1042" t="s">
        <v>3955</v>
      </c>
      <c r="X1630" s="1043" t="s">
        <v>3959</v>
      </c>
      <c r="Y1630" s="1044" t="s">
        <v>4014</v>
      </c>
      <c r="Z1630" s="1317">
        <v>0</v>
      </c>
      <c r="AA1630" s="1194">
        <v>0</v>
      </c>
      <c r="AB1630" s="1311" t="s">
        <v>364</v>
      </c>
      <c r="AC1630" s="1192" t="str">
        <f>""</f>
        <v/>
      </c>
      <c r="AD1630" s="1319">
        <v>0</v>
      </c>
      <c r="AE1630" s="1313" t="s">
        <v>368</v>
      </c>
      <c r="AF1630" s="985" t="s">
        <v>369</v>
      </c>
      <c r="AG1630" s="1320">
        <v>1</v>
      </c>
      <c r="AH1630" s="1320">
        <v>4</v>
      </c>
      <c r="AI1630" s="1320">
        <v>0</v>
      </c>
      <c r="AJ1630" s="1193">
        <f>VLOOKUP($I1630,'Price List, Weapons &amp; Items'!B:F,5,0)</f>
        <v>0</v>
      </c>
      <c r="AK1630" s="1193">
        <f t="shared" si="346"/>
        <v>0</v>
      </c>
      <c r="AL1630" s="1193">
        <f t="shared" si="347"/>
        <v>0</v>
      </c>
      <c r="AM1630" s="1193">
        <f t="shared" si="348"/>
        <v>0</v>
      </c>
      <c r="AN1630" s="1194" t="str">
        <f>VLOOKUP($I1630,'Price List, Weapons &amp; Items'!B:L,COLUMN('Price List, Weapons &amp; Items'!$J$11)-1,0)</f>
        <v>.</v>
      </c>
      <c r="AO1630" s="1194" t="str">
        <f>IF(I1630=".",".",VLOOKUP($I1630,'Price List, Weapons &amp; Items'!B:J,3,0))</f>
        <v>Military equipment</v>
      </c>
      <c r="AP1630" s="1195" t="str">
        <f t="shared" ca="1" si="342"/>
        <v/>
      </c>
      <c r="AQ1630" s="1194" t="str">
        <f>VLOOKUP($I1630,'Price List, Weapons &amp; Items'!B:L,COLUMN('Price List, Weapons &amp; Items'!$L$11)-1,0)</f>
        <v>no price, 0 count</v>
      </c>
      <c r="AR1630" s="1194">
        <f t="shared" si="349"/>
        <v>1</v>
      </c>
      <c r="AS1630" s="1194">
        <f t="shared" si="350"/>
        <v>1</v>
      </c>
      <c r="AT1630" s="1194">
        <f t="shared" si="351"/>
        <v>1</v>
      </c>
      <c r="AU1630" s="1194" t="str">
        <f t="shared" si="340"/>
        <v>.</v>
      </c>
      <c r="AV1630" s="1194" t="str">
        <f t="shared" si="343"/>
        <v>.</v>
      </c>
      <c r="AW1630" s="1194" t="str">
        <f t="shared" si="352"/>
        <v>.</v>
      </c>
      <c r="AX1630" s="1194">
        <f>IFERROR(VLOOKUP(B1630,'Share, Heavy Weapons to Ukraine'!B:Z,COLUMN('Share, Heavy Weapons to Ukraine'!C1641)-1,0),0)</f>
        <v>1</v>
      </c>
      <c r="AY1630" s="1194">
        <f>VLOOKUP('Bilateral Assistance, MAIN DATA'!B1630,'Country Summary (€)'!B:F,COLUMN('Country Summary (€)'!C1642)-1,FALSE)</f>
        <v>0</v>
      </c>
      <c r="AZ1630" s="1194" t="str">
        <f>IF(AND(AD1630=1,D1630="Military",H1630&lt;&gt;"Not given")=TRUE,IF(SUMIFS(P:P,A:A,A1630)&gt;0,ABS((SUMIFS(P:P,A:A,A1630)/VLOOKUP("USD",'Exchange Rates'!B:C,2,0)))/S1630,"."),".")</f>
        <v>.</v>
      </c>
      <c r="BA1630" s="1196" t="str">
        <f>IF(AND(AD1630=1,D1630="Military",H1630&lt;&gt;"Not given")=TRUE,IF(SUMIFS(P:P,A:A,A1630)&gt;0,IF((ABS((SUMIFS(P:P,A:A,A1630)/VLOOKUP("USD",'Exchange Rates'!B:C,2,0)))/S1630)&gt;1,(SUMIFS(P:P,A:A,A1630)-S1630)/S1630,(S1630-SUMIFS(P:P,A:A,A1630))/SUMIFS(P:P,A:A,A1630)),"."),".")</f>
        <v>.</v>
      </c>
    </row>
    <row r="1631" spans="1:53" s="1314" customFormat="1" ht="15.95" customHeight="1">
      <c r="A1631" s="1304" t="s">
        <v>4254</v>
      </c>
      <c r="B1631" s="1321" t="s">
        <v>3949</v>
      </c>
      <c r="C1631" s="1322">
        <v>44652</v>
      </c>
      <c r="D1631" s="1321" t="s">
        <v>389</v>
      </c>
      <c r="E1631" s="1321" t="s">
        <v>390</v>
      </c>
      <c r="F1631" s="1183" t="s">
        <v>4257</v>
      </c>
      <c r="G1631" s="1323" t="s">
        <v>456</v>
      </c>
      <c r="H1631" s="1324">
        <v>300000000</v>
      </c>
      <c r="I1631" s="1268" t="s">
        <v>2472</v>
      </c>
      <c r="J1631" s="1186" t="str">
        <f>VLOOKUP($I1631,'Price List, Weapons &amp; Items'!B:C,2,0)</f>
        <v>Military equipment</v>
      </c>
      <c r="K1631" s="1186" t="str">
        <f>IF(I1631=".",I1631,VLOOKUP($I1631,'Price List, Weapons &amp; Items'!B:D,3,0))</f>
        <v>spare parts</v>
      </c>
      <c r="L1631" s="1187">
        <f>VLOOKUP(I1631,'Price List, Weapons &amp; Items'!B:E,4,0)</f>
        <v>0</v>
      </c>
      <c r="M1631" s="1309" t="s">
        <v>374</v>
      </c>
      <c r="N1631" s="1318" t="s">
        <v>374</v>
      </c>
      <c r="O1631" s="1188" t="str">
        <f>VLOOKUP($I1631,'Price List, Weapons &amp; Items'!B:G,6,0)</f>
        <v>.</v>
      </c>
      <c r="P1631" s="1185" t="str">
        <f t="shared" si="344"/>
        <v>.</v>
      </c>
      <c r="Q1631" s="1185" t="str">
        <f t="shared" si="345"/>
        <v>.</v>
      </c>
      <c r="R1631" s="1185" t="str">
        <f t="shared" si="341"/>
        <v/>
      </c>
      <c r="S1631" s="1185" t="str">
        <f>IF(AND(AD1631=1,R1631&lt;&gt;".")=TRUE,R1631/VLOOKUP(G1631,'Exchange Rates'!B:C,2,0),IF(R1631=".",".",""))</f>
        <v/>
      </c>
      <c r="T1631" s="1185" t="str">
        <f>IF(AD1631=1,IF(AF1631="Value is not given at all",".",IF(AF1631="Value is given by the source",S1631,IF(AF1631="Value is calculated with prices",(IF(SUMIFS(Q:Q,A:A,A1631)&gt;0,SUMIFS(Q:Q,A:A,A1631),"."))/VLOOKUP("USD",'Exchange Rates'!B:C,2,0),"Error with coding"))),"")</f>
        <v/>
      </c>
      <c r="U1631" s="1325" t="s">
        <v>365</v>
      </c>
      <c r="V1631" s="1046" t="s">
        <v>4258</v>
      </c>
      <c r="W1631" s="1042" t="s">
        <v>3955</v>
      </c>
      <c r="X1631" s="1043" t="s">
        <v>3959</v>
      </c>
      <c r="Y1631" s="1044" t="s">
        <v>4015</v>
      </c>
      <c r="Z1631" s="1323">
        <v>0</v>
      </c>
      <c r="AA1631" s="1194">
        <v>0</v>
      </c>
      <c r="AB1631" s="1311" t="s">
        <v>364</v>
      </c>
      <c r="AC1631" s="1192" t="str">
        <f>""</f>
        <v/>
      </c>
      <c r="AD1631" s="1326">
        <v>0</v>
      </c>
      <c r="AE1631" s="1313" t="s">
        <v>368</v>
      </c>
      <c r="AF1631" s="985" t="s">
        <v>369</v>
      </c>
      <c r="AG1631" s="1327">
        <v>1</v>
      </c>
      <c r="AH1631" s="1327">
        <v>4</v>
      </c>
      <c r="AI1631" s="1327">
        <v>0</v>
      </c>
      <c r="AJ1631" s="1193">
        <f>VLOOKUP($I1631,'Price List, Weapons &amp; Items'!B:F,5,0)</f>
        <v>0</v>
      </c>
      <c r="AK1631" s="1193">
        <f t="shared" si="346"/>
        <v>0</v>
      </c>
      <c r="AL1631" s="1193">
        <f t="shared" si="347"/>
        <v>0</v>
      </c>
      <c r="AM1631" s="1193">
        <f t="shared" si="348"/>
        <v>0</v>
      </c>
      <c r="AN1631" s="1194" t="str">
        <f>VLOOKUP($I1631,'Price List, Weapons &amp; Items'!B:L,COLUMN('Price List, Weapons &amp; Items'!$J$11)-1,0)</f>
        <v>.</v>
      </c>
      <c r="AO1631" s="1194" t="str">
        <f>IF(I1631=".",".",VLOOKUP($I1631,'Price List, Weapons &amp; Items'!B:J,3,0))</f>
        <v>spare parts</v>
      </c>
      <c r="AP1631" s="1195" t="str">
        <f t="shared" ca="1" si="342"/>
        <v/>
      </c>
      <c r="AQ1631" s="1194" t="str">
        <f>VLOOKUP($I1631,'Price List, Weapons &amp; Items'!B:L,COLUMN('Price List, Weapons &amp; Items'!$L$11)-1,0)</f>
        <v>no price, 0 count</v>
      </c>
      <c r="AR1631" s="1194">
        <f t="shared" si="349"/>
        <v>1</v>
      </c>
      <c r="AS1631" s="1194">
        <f t="shared" si="350"/>
        <v>1</v>
      </c>
      <c r="AT1631" s="1194">
        <f t="shared" si="351"/>
        <v>1</v>
      </c>
      <c r="AU1631" s="1194" t="str">
        <f t="shared" ref="AU1631:AU1662" si="353">IF(AND(A1631=A1630,C1631=C1630)=TRUE,IF(F1631=F1630,".","1"),".")</f>
        <v>.</v>
      </c>
      <c r="AV1631" s="1194" t="str">
        <f t="shared" si="343"/>
        <v>.</v>
      </c>
      <c r="AW1631" s="1194" t="str">
        <f t="shared" si="352"/>
        <v>.</v>
      </c>
      <c r="AX1631" s="1194">
        <f>IFERROR(VLOOKUP(B1631,'Share, Heavy Weapons to Ukraine'!B:Z,COLUMN('Share, Heavy Weapons to Ukraine'!C1642)-1,0),0)</f>
        <v>1</v>
      </c>
      <c r="AY1631" s="1194">
        <f>VLOOKUP('Bilateral Assistance, MAIN DATA'!B1631,'Country Summary (€)'!B:F,COLUMN('Country Summary (€)'!C1643)-1,FALSE)</f>
        <v>0</v>
      </c>
      <c r="AZ1631" s="1194" t="str">
        <f>IF(AND(AD1631=1,D1631="Military",H1631&lt;&gt;"Not given")=TRUE,IF(SUMIFS(P:P,A:A,A1631)&gt;0,ABS((SUMIFS(P:P,A:A,A1631)/VLOOKUP("USD",'Exchange Rates'!B:C,2,0)))/S1631,"."),".")</f>
        <v>.</v>
      </c>
      <c r="BA1631" s="1196" t="str">
        <f>IF(AND(AD1631=1,D1631="Military",H1631&lt;&gt;"Not given")=TRUE,IF(SUMIFS(P:P,A:A,A1631)&gt;0,IF((ABS((SUMIFS(P:P,A:A,A1631)/VLOOKUP("USD",'Exchange Rates'!B:C,2,0)))/S1631)&gt;1,(SUMIFS(P:P,A:A,A1631)-S1631)/S1631,(S1631-SUMIFS(P:P,A:A,A1631))/SUMIFS(P:P,A:A,A1631)),"."),".")</f>
        <v>.</v>
      </c>
    </row>
    <row r="1632" spans="1:53" ht="15.95" customHeight="1">
      <c r="A1632" s="1304" t="s">
        <v>4254</v>
      </c>
      <c r="B1632" s="1182" t="s">
        <v>3949</v>
      </c>
      <c r="C1632" s="1181">
        <v>44691</v>
      </c>
      <c r="D1632" s="1182" t="s">
        <v>389</v>
      </c>
      <c r="E1632" s="1182" t="s">
        <v>1676</v>
      </c>
      <c r="F1632" s="1183" t="s">
        <v>4264</v>
      </c>
      <c r="G1632" s="1184" t="s">
        <v>456</v>
      </c>
      <c r="H1632" s="1185">
        <v>650000000</v>
      </c>
      <c r="I1632" s="1266" t="s">
        <v>1250</v>
      </c>
      <c r="J1632" s="1186" t="str">
        <f>VLOOKUP($I1632,'Price List, Weapons &amp; Items'!B:C,2,0)</f>
        <v>Heavy weapon</v>
      </c>
      <c r="K1632" s="1186" t="str">
        <f>IF(I1632=".",I1632,VLOOKUP($I1632,'Price List, Weapons &amp; Items'!B:D,3,0))</f>
        <v>Anti-ship missle system</v>
      </c>
      <c r="L1632" s="1187">
        <f>VLOOKUP(I1632,'Price List, Weapons &amp; Items'!B:E,4,0)</f>
        <v>0</v>
      </c>
      <c r="M1632" s="1188">
        <v>2</v>
      </c>
      <c r="N1632" s="1318">
        <v>2</v>
      </c>
      <c r="O1632" s="1188">
        <f>VLOOKUP($I1632,'Price List, Weapons &amp; Items'!B:G,6,0)</f>
        <v>35411360.630000003</v>
      </c>
      <c r="P1632" s="1185">
        <f t="shared" si="344"/>
        <v>70822721.260000005</v>
      </c>
      <c r="Q1632" s="1185">
        <f t="shared" si="345"/>
        <v>70822721.260000005</v>
      </c>
      <c r="R1632" s="1185" t="str">
        <f t="shared" si="341"/>
        <v/>
      </c>
      <c r="S1632" s="1185" t="str">
        <f>IF(AND(AD1632=1,R1632&lt;&gt;".")=TRUE,R1632/VLOOKUP(G1632,'Exchange Rates'!B:C,2,0),IF(R1632=".",".",""))</f>
        <v/>
      </c>
      <c r="T1632" s="1185" t="str">
        <f>IF(AD1632=1,IF(AF1632="Value is not given at all",".",IF(AF1632="Value is given by the source",S1632,IF(AF1632="Value is calculated with prices",(IF(SUMIFS(Q:Q,A:A,A1632)&gt;0,SUMIFS(Q:Q,A:A,A1632),"."))/VLOOKUP("USD",'Exchange Rates'!B:C,2,0),"Error with coding"))),"")</f>
        <v/>
      </c>
      <c r="U1632" s="1184" t="s">
        <v>365</v>
      </c>
      <c r="V1632" s="974" t="s">
        <v>3959</v>
      </c>
      <c r="W1632" s="1042" t="s">
        <v>3955</v>
      </c>
      <c r="X1632" s="1043" t="s">
        <v>3959</v>
      </c>
      <c r="Y1632" s="1044" t="s">
        <v>4016</v>
      </c>
      <c r="Z1632" s="1184">
        <v>0</v>
      </c>
      <c r="AA1632" s="1194">
        <v>0</v>
      </c>
      <c r="AB1632" s="964" t="s">
        <v>4265</v>
      </c>
      <c r="AC1632" s="1192" t="str">
        <f>""</f>
        <v/>
      </c>
      <c r="AD1632" s="985">
        <v>0</v>
      </c>
      <c r="AE1632" s="1313" t="s">
        <v>368</v>
      </c>
      <c r="AF1632" s="985" t="s">
        <v>369</v>
      </c>
      <c r="AG1632" s="985">
        <v>1</v>
      </c>
      <c r="AH1632" s="985">
        <v>5</v>
      </c>
      <c r="AI1632" s="985">
        <v>0</v>
      </c>
      <c r="AJ1632" s="1193">
        <f>VLOOKUP($I1632,'Price List, Weapons &amp; Items'!B:F,5,0)</f>
        <v>0</v>
      </c>
      <c r="AK1632" s="1193">
        <f t="shared" si="346"/>
        <v>0</v>
      </c>
      <c r="AL1632" s="1193">
        <f t="shared" si="347"/>
        <v>0</v>
      </c>
      <c r="AM1632" s="1193">
        <f t="shared" si="348"/>
        <v>0</v>
      </c>
      <c r="AN1632" s="1194" t="str">
        <f>VLOOKUP($I1632,'Price List, Weapons &amp; Items'!B:L,COLUMN('Price List, Weapons &amp; Items'!$J$11)-1,0)</f>
        <v>Government information</v>
      </c>
      <c r="AO1632" s="1194" t="str">
        <f>IF(I1632=".",".",VLOOKUP($I1632,'Price List, Weapons &amp; Items'!B:J,3,0))</f>
        <v>Anti-ship missle system</v>
      </c>
      <c r="AP1632" s="1195" t="str">
        <f t="shared" ca="1" si="342"/>
        <v/>
      </c>
      <c r="AQ1632" s="1194">
        <f>VLOOKUP($I1632,'Price List, Weapons &amp; Items'!B:L,COLUMN('Price List, Weapons &amp; Items'!$L$11)-1,0)</f>
        <v>2</v>
      </c>
      <c r="AR1632" s="1194">
        <f t="shared" si="349"/>
        <v>1</v>
      </c>
      <c r="AS1632" s="1194">
        <f t="shared" si="350"/>
        <v>1</v>
      </c>
      <c r="AT1632" s="1194">
        <f t="shared" si="351"/>
        <v>1</v>
      </c>
      <c r="AU1632" s="1194" t="str">
        <f t="shared" si="353"/>
        <v>.</v>
      </c>
      <c r="AV1632" s="1194" t="str">
        <f t="shared" si="343"/>
        <v>.</v>
      </c>
      <c r="AW1632" s="1194" t="str">
        <f t="shared" si="352"/>
        <v>.</v>
      </c>
      <c r="AX1632" s="1194">
        <f>IFERROR(VLOOKUP(B1632,'Share, Heavy Weapons to Ukraine'!B:Z,COLUMN('Share, Heavy Weapons to Ukraine'!C1643)-1,0),0)</f>
        <v>1</v>
      </c>
      <c r="AY1632" s="1194">
        <f>VLOOKUP('Bilateral Assistance, MAIN DATA'!B1632,'Country Summary (€)'!B:F,COLUMN('Country Summary (€)'!C1644)-1,FALSE)</f>
        <v>0</v>
      </c>
      <c r="AZ1632" s="1194" t="str">
        <f>IF(AND(AD1632=1,D1632="Military",H1632&lt;&gt;"Not given")=TRUE,IF(SUMIFS(P:P,A:A,A1632)&gt;0,ABS((SUMIFS(P:P,A:A,A1632)/VLOOKUP("USD",'Exchange Rates'!B:C,2,0)))/S1632,"."),".")</f>
        <v>.</v>
      </c>
      <c r="BA1632" s="1196" t="str">
        <f>IF(AND(AD1632=1,D1632="Military",H1632&lt;&gt;"Not given")=TRUE,IF(SUMIFS(P:P,A:A,A1632)&gt;0,IF((ABS((SUMIFS(P:P,A:A,A1632)/VLOOKUP("USD",'Exchange Rates'!B:C,2,0)))/S1632)&gt;1,(SUMIFS(P:P,A:A,A1632)-S1632)/S1632,(S1632-SUMIFS(P:P,A:A,A1632))/SUMIFS(P:P,A:A,A1632)),"."),".")</f>
        <v>.</v>
      </c>
    </row>
    <row r="1633" spans="1:53" ht="15.95" customHeight="1">
      <c r="A1633" s="1304" t="s">
        <v>4254</v>
      </c>
      <c r="B1633" s="1182" t="s">
        <v>3949</v>
      </c>
      <c r="C1633" s="1181">
        <v>44729</v>
      </c>
      <c r="D1633" s="1182" t="s">
        <v>389</v>
      </c>
      <c r="E1633" s="1182" t="s">
        <v>1676</v>
      </c>
      <c r="F1633" s="1183" t="s">
        <v>4264</v>
      </c>
      <c r="G1633" s="1184" t="s">
        <v>456</v>
      </c>
      <c r="H1633" s="1185">
        <v>650000000</v>
      </c>
      <c r="I1633" s="1266" t="s">
        <v>1323</v>
      </c>
      <c r="J1633" s="1186" t="str">
        <f>VLOOKUP($I1633,'Price List, Weapons &amp; Items'!B:C,2,0)</f>
        <v>Military equipment</v>
      </c>
      <c r="K1633" s="1186" t="str">
        <f>IF(I1633=".",I1633,VLOOKUP($I1633,'Price List, Weapons &amp; Items'!B:D,3,0))</f>
        <v>Military equipment</v>
      </c>
      <c r="L1633" s="1187">
        <f>VLOOKUP(I1633,'Price List, Weapons &amp; Items'!B:E,4,0)</f>
        <v>0</v>
      </c>
      <c r="M1633" s="1188">
        <v>2000</v>
      </c>
      <c r="N1633" s="1318" t="s">
        <v>374</v>
      </c>
      <c r="O1633" s="1188" t="str">
        <f>VLOOKUP($I1633,'Price List, Weapons &amp; Items'!B:G,6,0)</f>
        <v>.</v>
      </c>
      <c r="P1633" s="1185" t="str">
        <f t="shared" si="344"/>
        <v>No price</v>
      </c>
      <c r="Q1633" s="1185" t="str">
        <f t="shared" si="345"/>
        <v>.</v>
      </c>
      <c r="R1633" s="1185" t="str">
        <f t="shared" si="341"/>
        <v/>
      </c>
      <c r="S1633" s="1185" t="str">
        <f>IF(AND(AD1633=1,R1633&lt;&gt;".")=TRUE,R1633/VLOOKUP(G1633,'Exchange Rates'!B:C,2,0),IF(R1633=".",".",""))</f>
        <v/>
      </c>
      <c r="T1633" s="1185" t="str">
        <f>IF(AD1633=1,IF(AF1633="Value is not given at all",".",IF(AF1633="Value is given by the source",S1633,IF(AF1633="Value is calculated with prices",(IF(SUMIFS(Q:Q,A:A,A1633)&gt;0,SUMIFS(Q:Q,A:A,A1633),"."))/VLOOKUP("USD",'Exchange Rates'!B:C,2,0),"Error with coding"))),"")</f>
        <v/>
      </c>
      <c r="U1633" s="1184" t="s">
        <v>365</v>
      </c>
      <c r="V1633" s="974" t="s">
        <v>3959</v>
      </c>
      <c r="W1633" s="1042" t="s">
        <v>3955</v>
      </c>
      <c r="X1633" s="1043" t="s">
        <v>3959</v>
      </c>
      <c r="Y1633" s="1044" t="s">
        <v>4018</v>
      </c>
      <c r="Z1633" s="1184">
        <v>0</v>
      </c>
      <c r="AA1633" s="1194">
        <v>0</v>
      </c>
      <c r="AB1633" s="1180" t="s">
        <v>364</v>
      </c>
      <c r="AC1633" s="1192" t="str">
        <f>""</f>
        <v/>
      </c>
      <c r="AD1633" s="985">
        <v>0</v>
      </c>
      <c r="AE1633" s="1313" t="s">
        <v>368</v>
      </c>
      <c r="AF1633" s="985" t="s">
        <v>369</v>
      </c>
      <c r="AG1633" s="985">
        <v>1</v>
      </c>
      <c r="AH1633" s="985">
        <v>6</v>
      </c>
      <c r="AI1633" s="985">
        <v>0</v>
      </c>
      <c r="AJ1633" s="1193">
        <f>VLOOKUP($I1633,'Price List, Weapons &amp; Items'!B:F,5,0)</f>
        <v>0</v>
      </c>
      <c r="AK1633" s="1193">
        <f t="shared" si="346"/>
        <v>0</v>
      </c>
      <c r="AL1633" s="1193">
        <f t="shared" si="347"/>
        <v>0</v>
      </c>
      <c r="AM1633" s="1193">
        <f t="shared" si="348"/>
        <v>0</v>
      </c>
      <c r="AN1633" s="1194" t="str">
        <f>VLOOKUP($I1633,'Price List, Weapons &amp; Items'!B:L,COLUMN('Price List, Weapons &amp; Items'!$J$11)-1,0)</f>
        <v>Contracts</v>
      </c>
      <c r="AO1633" s="1194" t="str">
        <f>IF(I1633=".",".",VLOOKUP($I1633,'Price List, Weapons &amp; Items'!B:J,3,0))</f>
        <v>Military equipment</v>
      </c>
      <c r="AP1633" s="1195" t="str">
        <f t="shared" ca="1" si="342"/>
        <v/>
      </c>
      <c r="AQ1633" s="1194">
        <f>VLOOKUP($I1633,'Price List, Weapons &amp; Items'!B:L,COLUMN('Price List, Weapons &amp; Items'!$L$11)-1,0)</f>
        <v>0</v>
      </c>
      <c r="AR1633" s="1194">
        <f t="shared" si="349"/>
        <v>1</v>
      </c>
      <c r="AS1633" s="1194">
        <f t="shared" si="350"/>
        <v>1</v>
      </c>
      <c r="AT1633" s="1194">
        <f t="shared" si="351"/>
        <v>1</v>
      </c>
      <c r="AU1633" s="1194" t="str">
        <f t="shared" si="353"/>
        <v>.</v>
      </c>
      <c r="AV1633" s="1194" t="str">
        <f t="shared" si="343"/>
        <v>.</v>
      </c>
      <c r="AW1633" s="1194" t="str">
        <f t="shared" si="352"/>
        <v>.</v>
      </c>
      <c r="AX1633" s="1194">
        <f>IFERROR(VLOOKUP(B1633,'Share, Heavy Weapons to Ukraine'!B:Z,COLUMN('Share, Heavy Weapons to Ukraine'!C1644)-1,0),0)</f>
        <v>1</v>
      </c>
      <c r="AY1633" s="1194">
        <f>VLOOKUP('Bilateral Assistance, MAIN DATA'!B1633,'Country Summary (€)'!B:F,COLUMN('Country Summary (€)'!C1645)-1,FALSE)</f>
        <v>0</v>
      </c>
      <c r="AZ1633" s="1194" t="str">
        <f>IF(AND(AD1633=1,D1633="Military",H1633&lt;&gt;"Not given")=TRUE,IF(SUMIFS(P:P,A:A,A1633)&gt;0,ABS((SUMIFS(P:P,A:A,A1633)/VLOOKUP("USD",'Exchange Rates'!B:C,2,0)))/S1633,"."),".")</f>
        <v>.</v>
      </c>
      <c r="BA1633" s="1196" t="str">
        <f>IF(AND(AD1633=1,D1633="Military",H1633&lt;&gt;"Not given")=TRUE,IF(SUMIFS(P:P,A:A,A1633)&gt;0,IF((ABS((SUMIFS(P:P,A:A,A1633)/VLOOKUP("USD",'Exchange Rates'!B:C,2,0)))/S1633)&gt;1,(SUMIFS(P:P,A:A,A1633)-S1633)/S1633,(S1633-SUMIFS(P:P,A:A,A1633))/SUMIFS(P:P,A:A,A1633)),"."),".")</f>
        <v>.</v>
      </c>
    </row>
    <row r="1634" spans="1:53" ht="15.95" customHeight="1">
      <c r="A1634" s="1304" t="s">
        <v>4254</v>
      </c>
      <c r="B1634" s="1182" t="s">
        <v>3949</v>
      </c>
      <c r="C1634" s="1181">
        <v>44729</v>
      </c>
      <c r="D1634" s="1182" t="s">
        <v>389</v>
      </c>
      <c r="E1634" s="1182" t="s">
        <v>1676</v>
      </c>
      <c r="F1634" s="1183" t="s">
        <v>4264</v>
      </c>
      <c r="G1634" s="1184" t="s">
        <v>456</v>
      </c>
      <c r="H1634" s="1185">
        <v>650000000</v>
      </c>
      <c r="I1634" s="1266" t="s">
        <v>1325</v>
      </c>
      <c r="J1634" s="1186" t="str">
        <f>VLOOKUP($I1634,'Price List, Weapons &amp; Items'!B:C,2,0)</f>
        <v>Military equipment</v>
      </c>
      <c r="K1634" s="1186" t="str">
        <f>IF(I1634=".",I1634,VLOOKUP($I1634,'Price List, Weapons &amp; Items'!B:D,3,0))</f>
        <v>Military equipment</v>
      </c>
      <c r="L1634" s="1187">
        <f>VLOOKUP(I1634,'Price List, Weapons &amp; Items'!B:E,4,0)</f>
        <v>0</v>
      </c>
      <c r="M1634" s="1188" t="s">
        <v>374</v>
      </c>
      <c r="N1634" s="1318" t="s">
        <v>374</v>
      </c>
      <c r="O1634" s="1188">
        <f>VLOOKUP($I1634,'Price List, Weapons &amp; Items'!B:G,6,0)</f>
        <v>5000</v>
      </c>
      <c r="P1634" s="1185" t="str">
        <f t="shared" si="344"/>
        <v>.</v>
      </c>
      <c r="Q1634" s="1185" t="str">
        <f t="shared" si="345"/>
        <v>.</v>
      </c>
      <c r="R1634" s="1185" t="str">
        <f t="shared" si="341"/>
        <v/>
      </c>
      <c r="S1634" s="1185" t="str">
        <f>IF(AND(AD1634=1,R1634&lt;&gt;".")=TRUE,R1634/VLOOKUP(G1634,'Exchange Rates'!B:C,2,0),IF(R1634=".",".",""))</f>
        <v/>
      </c>
      <c r="T1634" s="1185" t="str">
        <f>IF(AD1634=1,IF(AF1634="Value is not given at all",".",IF(AF1634="Value is given by the source",S1634,IF(AF1634="Value is calculated with prices",(IF(SUMIFS(Q:Q,A:A,A1634)&gt;0,SUMIFS(Q:Q,A:A,A1634),"."))/VLOOKUP("USD",'Exchange Rates'!B:C,2,0),"Error with coding"))),"")</f>
        <v/>
      </c>
      <c r="U1634" s="1184" t="s">
        <v>365</v>
      </c>
      <c r="V1634" s="974" t="s">
        <v>3959</v>
      </c>
      <c r="W1634" s="1042" t="s">
        <v>3955</v>
      </c>
      <c r="X1634" s="1043" t="s">
        <v>3959</v>
      </c>
      <c r="Y1634" s="1044" t="s">
        <v>4020</v>
      </c>
      <c r="Z1634" s="1184">
        <v>0</v>
      </c>
      <c r="AA1634" s="1194">
        <v>0</v>
      </c>
      <c r="AB1634" s="1180" t="s">
        <v>364</v>
      </c>
      <c r="AC1634" s="1192" t="str">
        <f>""</f>
        <v/>
      </c>
      <c r="AD1634" s="985">
        <v>0</v>
      </c>
      <c r="AE1634" s="1313" t="s">
        <v>368</v>
      </c>
      <c r="AF1634" s="985" t="s">
        <v>369</v>
      </c>
      <c r="AG1634" s="985">
        <v>1</v>
      </c>
      <c r="AH1634" s="985">
        <v>6</v>
      </c>
      <c r="AI1634" s="985">
        <v>0</v>
      </c>
      <c r="AJ1634" s="1193">
        <f>VLOOKUP($I1634,'Price List, Weapons &amp; Items'!B:F,5,0)</f>
        <v>0</v>
      </c>
      <c r="AK1634" s="1193">
        <f t="shared" si="346"/>
        <v>0</v>
      </c>
      <c r="AL1634" s="1193">
        <f t="shared" si="347"/>
        <v>0</v>
      </c>
      <c r="AM1634" s="1193">
        <f t="shared" si="348"/>
        <v>0</v>
      </c>
      <c r="AN1634" s="1194" t="str">
        <f>VLOOKUP($I1634,'Price List, Weapons &amp; Items'!B:L,COLUMN('Price List, Weapons &amp; Items'!$J$11)-1,0)</f>
        <v>Miscellaneous</v>
      </c>
      <c r="AO1634" s="1194" t="str">
        <f>IF(I1634=".",".",VLOOKUP($I1634,'Price List, Weapons &amp; Items'!B:J,3,0))</f>
        <v>Military equipment</v>
      </c>
      <c r="AP1634" s="1195" t="str">
        <f t="shared" ca="1" si="342"/>
        <v/>
      </c>
      <c r="AQ1634" s="1194" t="str">
        <f>VLOOKUP($I1634,'Price List, Weapons &amp; Items'!B:L,COLUMN('Price List, Weapons &amp; Items'!$L$11)-1,0)</f>
        <v>no price, 0 count</v>
      </c>
      <c r="AR1634" s="1194">
        <f t="shared" si="349"/>
        <v>1</v>
      </c>
      <c r="AS1634" s="1194">
        <f t="shared" si="350"/>
        <v>1</v>
      </c>
      <c r="AT1634" s="1194">
        <f t="shared" si="351"/>
        <v>1</v>
      </c>
      <c r="AU1634" s="1194" t="str">
        <f t="shared" si="353"/>
        <v>.</v>
      </c>
      <c r="AV1634" s="1194" t="str">
        <f t="shared" si="343"/>
        <v>.</v>
      </c>
      <c r="AW1634" s="1194" t="str">
        <f t="shared" si="352"/>
        <v>.</v>
      </c>
      <c r="AX1634" s="1194">
        <f>IFERROR(VLOOKUP(B1634,'Share, Heavy Weapons to Ukraine'!B:Z,COLUMN('Share, Heavy Weapons to Ukraine'!C1645)-1,0),0)</f>
        <v>1</v>
      </c>
      <c r="AY1634" s="1194">
        <f>VLOOKUP('Bilateral Assistance, MAIN DATA'!B1634,'Country Summary (€)'!B:F,COLUMN('Country Summary (€)'!C1646)-1,FALSE)</f>
        <v>0</v>
      </c>
      <c r="AZ1634" s="1194" t="str">
        <f>IF(AND(AD1634=1,D1634="Military",H1634&lt;&gt;"Not given")=TRUE,IF(SUMIFS(P:P,A:A,A1634)&gt;0,ABS((SUMIFS(P:P,A:A,A1634)/VLOOKUP("USD",'Exchange Rates'!B:C,2,0)))/S1634,"."),".")</f>
        <v>.</v>
      </c>
      <c r="BA1634" s="1196" t="str">
        <f>IF(AND(AD1634=1,D1634="Military",H1634&lt;&gt;"Not given")=TRUE,IF(SUMIFS(P:P,A:A,A1634)&gt;0,IF((ABS((SUMIFS(P:P,A:A,A1634)/VLOOKUP("USD",'Exchange Rates'!B:C,2,0)))/S1634)&gt;1,(SUMIFS(P:P,A:A,A1634)-S1634)/S1634,(S1634-SUMIFS(P:P,A:A,A1634))/SUMIFS(P:P,A:A,A1634)),"."),".")</f>
        <v>.</v>
      </c>
    </row>
    <row r="1635" spans="1:53" ht="15.95" customHeight="1">
      <c r="A1635" s="1304" t="s">
        <v>4254</v>
      </c>
      <c r="B1635" s="1182" t="s">
        <v>3949</v>
      </c>
      <c r="C1635" s="1181">
        <v>44729</v>
      </c>
      <c r="D1635" s="1182" t="s">
        <v>389</v>
      </c>
      <c r="E1635" s="1182" t="s">
        <v>1676</v>
      </c>
      <c r="F1635" s="1183" t="s">
        <v>4264</v>
      </c>
      <c r="G1635" s="1184" t="s">
        <v>456</v>
      </c>
      <c r="H1635" s="1185">
        <v>650000000</v>
      </c>
      <c r="I1635" s="1266" t="s">
        <v>605</v>
      </c>
      <c r="J1635" s="1186" t="str">
        <f>VLOOKUP($I1635,'Price List, Weapons &amp; Items'!B:C,2,0)</f>
        <v>Military equipment</v>
      </c>
      <c r="K1635" s="1186" t="str">
        <f>IF(I1635=".",I1635,VLOOKUP($I1635,'Price List, Weapons &amp; Items'!B:D,3,0))</f>
        <v>Military equipment</v>
      </c>
      <c r="L1635" s="1187">
        <f>VLOOKUP(I1635,'Price List, Weapons &amp; Items'!B:E,4,0)</f>
        <v>0</v>
      </c>
      <c r="M1635" s="1188" t="s">
        <v>374</v>
      </c>
      <c r="N1635" s="1318" t="s">
        <v>374</v>
      </c>
      <c r="O1635" s="1188">
        <f>VLOOKUP($I1635,'Price List, Weapons &amp; Items'!B:G,6,0)</f>
        <v>2320</v>
      </c>
      <c r="P1635" s="1185" t="str">
        <f t="shared" si="344"/>
        <v>.</v>
      </c>
      <c r="Q1635" s="1185" t="str">
        <f t="shared" si="345"/>
        <v>.</v>
      </c>
      <c r="R1635" s="1185" t="str">
        <f t="shared" si="341"/>
        <v/>
      </c>
      <c r="S1635" s="1185" t="str">
        <f>IF(AND(AD1635=1,R1635&lt;&gt;".")=TRUE,R1635/VLOOKUP(G1635,'Exchange Rates'!B:C,2,0),IF(R1635=".",".",""))</f>
        <v/>
      </c>
      <c r="T1635" s="1185" t="str">
        <f>IF(AD1635=1,IF(AF1635="Value is not given at all",".",IF(AF1635="Value is given by the source",S1635,IF(AF1635="Value is calculated with prices",(IF(SUMIFS(Q:Q,A:A,A1635)&gt;0,SUMIFS(Q:Q,A:A,A1635),"."))/VLOOKUP("USD",'Exchange Rates'!B:C,2,0),"Error with coding"))),"")</f>
        <v/>
      </c>
      <c r="U1635" s="1184" t="s">
        <v>365</v>
      </c>
      <c r="V1635" s="974" t="s">
        <v>3959</v>
      </c>
      <c r="W1635" s="1042" t="s">
        <v>3955</v>
      </c>
      <c r="X1635" s="1043" t="s">
        <v>3959</v>
      </c>
      <c r="Y1635" s="1044" t="s">
        <v>4021</v>
      </c>
      <c r="Z1635" s="1184">
        <v>0</v>
      </c>
      <c r="AA1635" s="1194">
        <v>0</v>
      </c>
      <c r="AB1635" s="1180" t="s">
        <v>364</v>
      </c>
      <c r="AC1635" s="1192" t="str">
        <f>""</f>
        <v/>
      </c>
      <c r="AD1635" s="985">
        <v>0</v>
      </c>
      <c r="AE1635" s="1313" t="s">
        <v>368</v>
      </c>
      <c r="AF1635" s="985" t="s">
        <v>369</v>
      </c>
      <c r="AG1635" s="985">
        <v>1</v>
      </c>
      <c r="AH1635" s="985">
        <v>6</v>
      </c>
      <c r="AI1635" s="985">
        <v>0</v>
      </c>
      <c r="AJ1635" s="1193">
        <f>VLOOKUP($I1635,'Price List, Weapons &amp; Items'!B:F,5,0)</f>
        <v>0</v>
      </c>
      <c r="AK1635" s="1193">
        <f t="shared" si="346"/>
        <v>0</v>
      </c>
      <c r="AL1635" s="1193">
        <f t="shared" si="347"/>
        <v>0</v>
      </c>
      <c r="AM1635" s="1193">
        <f t="shared" si="348"/>
        <v>0</v>
      </c>
      <c r="AN1635" s="1194" t="str">
        <f>VLOOKUP($I1635,'Price List, Weapons &amp; Items'!B:L,COLUMN('Price List, Weapons &amp; Items'!$J$11)-1,0)</f>
        <v>Media reports (incl. social media)</v>
      </c>
      <c r="AO1635" s="1194" t="str">
        <f>IF(I1635=".",".",VLOOKUP($I1635,'Price List, Weapons &amp; Items'!B:J,3,0))</f>
        <v>Military equipment</v>
      </c>
      <c r="AP1635" s="1195" t="str">
        <f t="shared" ca="1" si="342"/>
        <v/>
      </c>
      <c r="AQ1635" s="1194">
        <f>VLOOKUP($I1635,'Price List, Weapons &amp; Items'!B:L,COLUMN('Price List, Weapons &amp; Items'!$L$11)-1,0)</f>
        <v>2</v>
      </c>
      <c r="AR1635" s="1194">
        <f t="shared" si="349"/>
        <v>1</v>
      </c>
      <c r="AS1635" s="1194">
        <f t="shared" si="350"/>
        <v>1</v>
      </c>
      <c r="AT1635" s="1194">
        <f t="shared" si="351"/>
        <v>1</v>
      </c>
      <c r="AU1635" s="1194" t="str">
        <f t="shared" si="353"/>
        <v>.</v>
      </c>
      <c r="AV1635" s="1194" t="str">
        <f t="shared" si="343"/>
        <v>.</v>
      </c>
      <c r="AW1635" s="1194" t="str">
        <f t="shared" si="352"/>
        <v>.</v>
      </c>
      <c r="AX1635" s="1194">
        <f>IFERROR(VLOOKUP(B1635,'Share, Heavy Weapons to Ukraine'!B:Z,COLUMN('Share, Heavy Weapons to Ukraine'!C1646)-1,0),0)</f>
        <v>1</v>
      </c>
      <c r="AY1635" s="1194">
        <f>VLOOKUP('Bilateral Assistance, MAIN DATA'!B1635,'Country Summary (€)'!B:F,COLUMN('Country Summary (€)'!C1647)-1,FALSE)</f>
        <v>0</v>
      </c>
      <c r="AZ1635" s="1194" t="str">
        <f>IF(AND(AD1635=1,D1635="Military",H1635&lt;&gt;"Not given")=TRUE,IF(SUMIFS(P:P,A:A,A1635)&gt;0,ABS((SUMIFS(P:P,A:A,A1635)/VLOOKUP("USD",'Exchange Rates'!B:C,2,0)))/S1635,"."),".")</f>
        <v>.</v>
      </c>
      <c r="BA1635" s="1196" t="str">
        <f>IF(AND(AD1635=1,D1635="Military",H1635&lt;&gt;"Not given")=TRUE,IF(SUMIFS(P:P,A:A,A1635)&gt;0,IF((ABS((SUMIFS(P:P,A:A,A1635)/VLOOKUP("USD",'Exchange Rates'!B:C,2,0)))/S1635)&gt;1,(SUMIFS(P:P,A:A,A1635)-S1635)/S1635,(S1635-SUMIFS(P:P,A:A,A1635))/SUMIFS(P:P,A:A,A1635)),"."),".")</f>
        <v>.</v>
      </c>
    </row>
    <row r="1636" spans="1:53" ht="15.95" customHeight="1">
      <c r="A1636" s="1304" t="s">
        <v>4254</v>
      </c>
      <c r="B1636" s="1182" t="s">
        <v>3949</v>
      </c>
      <c r="C1636" s="1181">
        <v>44743</v>
      </c>
      <c r="D1636" s="1182" t="s">
        <v>389</v>
      </c>
      <c r="E1636" s="1182" t="s">
        <v>1676</v>
      </c>
      <c r="F1636" s="1183" t="s">
        <v>4266</v>
      </c>
      <c r="G1636" s="1184" t="s">
        <v>456</v>
      </c>
      <c r="H1636" s="1185">
        <v>770000000</v>
      </c>
      <c r="I1636" s="1266" t="s">
        <v>862</v>
      </c>
      <c r="J1636" s="1186" t="str">
        <f>VLOOKUP($I1636,'Price List, Weapons &amp; Items'!B:C,2,0)</f>
        <v>Heavy weapon</v>
      </c>
      <c r="K1636" s="1186" t="str">
        <f>IF(I1636=".",I1636,VLOOKUP($I1636,'Price List, Weapons &amp; Items'!B:D,3,0))</f>
        <v>Anti-aircraft surface-to-air missile (SAM) system (short-range)</v>
      </c>
      <c r="L1636" s="1187">
        <f>VLOOKUP(I1636,'Price List, Weapons &amp; Items'!B:E,4,0)</f>
        <v>0</v>
      </c>
      <c r="M1636" s="1188">
        <v>2</v>
      </c>
      <c r="N1636" s="1188">
        <v>2</v>
      </c>
      <c r="O1636" s="1188">
        <f>VLOOKUP($I1636,'Price List, Weapons &amp; Items'!B:G,6,0)</f>
        <v>50000000</v>
      </c>
      <c r="P1636" s="1185">
        <f t="shared" si="344"/>
        <v>100000000</v>
      </c>
      <c r="Q1636" s="1185">
        <f t="shared" si="345"/>
        <v>100000000</v>
      </c>
      <c r="R1636" s="1185" t="str">
        <f t="shared" si="341"/>
        <v/>
      </c>
      <c r="S1636" s="1185" t="str">
        <f>IF(AND(AD1636=1,R1636&lt;&gt;".")=TRUE,R1636/VLOOKUP(G1636,'Exchange Rates'!B:C,2,0),IF(R1636=".",".",""))</f>
        <v/>
      </c>
      <c r="T1636" s="1185" t="str">
        <f>IF(AD1636=1,IF(AF1636="Value is not given at all",".",IF(AF1636="Value is given by the source",S1636,IF(AF1636="Value is calculated with prices",(IF(SUMIFS(Q:Q,A:A,A1636)&gt;0,SUMIFS(Q:Q,A:A,A1636),"."))/VLOOKUP("USD",'Exchange Rates'!B:C,2,0),"Error with coding"))),"")</f>
        <v/>
      </c>
      <c r="U1636" s="1184" t="s">
        <v>365</v>
      </c>
      <c r="V1636" s="974" t="s">
        <v>4109</v>
      </c>
      <c r="W1636" s="1042" t="s">
        <v>3955</v>
      </c>
      <c r="X1636" s="1043" t="s">
        <v>3959</v>
      </c>
      <c r="Y1636" s="1044" t="s">
        <v>4022</v>
      </c>
      <c r="Z1636" s="1184">
        <v>0</v>
      </c>
      <c r="AA1636" s="1194">
        <v>0</v>
      </c>
      <c r="AB1636" s="991" t="s">
        <v>4267</v>
      </c>
      <c r="AC1636" s="1192" t="str">
        <f>""</f>
        <v/>
      </c>
      <c r="AD1636" s="985">
        <v>0</v>
      </c>
      <c r="AE1636" s="1313" t="s">
        <v>368</v>
      </c>
      <c r="AF1636" s="985" t="s">
        <v>369</v>
      </c>
      <c r="AG1636" s="985">
        <v>1</v>
      </c>
      <c r="AH1636" s="985">
        <v>7</v>
      </c>
      <c r="AI1636" s="985">
        <v>0</v>
      </c>
      <c r="AJ1636" s="1193">
        <f>VLOOKUP($I1636,'Price List, Weapons &amp; Items'!B:F,5,0)</f>
        <v>0</v>
      </c>
      <c r="AK1636" s="1193">
        <f t="shared" si="346"/>
        <v>0</v>
      </c>
      <c r="AL1636" s="1193">
        <f t="shared" si="347"/>
        <v>0</v>
      </c>
      <c r="AM1636" s="1193">
        <f t="shared" si="348"/>
        <v>0</v>
      </c>
      <c r="AN1636" s="1194" t="str">
        <f>VLOOKUP($I1636,'Price List, Weapons &amp; Items'!B:L,COLUMN('Price List, Weapons &amp; Items'!$J$11)-1,0)</f>
        <v>Military media (incl. websites)</v>
      </c>
      <c r="AO1636" s="1194" t="str">
        <f>IF(I1636=".",".",VLOOKUP($I1636,'Price List, Weapons &amp; Items'!B:J,3,0))</f>
        <v>Anti-aircraft surface-to-air missile (SAM) system (short-range)</v>
      </c>
      <c r="AP1636" s="1195" t="str">
        <f t="shared" ca="1" si="342"/>
        <v/>
      </c>
      <c r="AQ1636" s="1194">
        <f>VLOOKUP($I1636,'Price List, Weapons &amp; Items'!B:L,COLUMN('Price List, Weapons &amp; Items'!$L$11)-1,0)</f>
        <v>2</v>
      </c>
      <c r="AR1636" s="1194">
        <f t="shared" si="349"/>
        <v>1</v>
      </c>
      <c r="AS1636" s="1194">
        <f t="shared" si="350"/>
        <v>1</v>
      </c>
      <c r="AT1636" s="1194">
        <f t="shared" si="351"/>
        <v>1</v>
      </c>
      <c r="AU1636" s="1194" t="str">
        <f t="shared" si="353"/>
        <v>.</v>
      </c>
      <c r="AV1636" s="1194" t="str">
        <f t="shared" si="343"/>
        <v>.</v>
      </c>
      <c r="AW1636" s="1194" t="str">
        <f t="shared" si="352"/>
        <v>.</v>
      </c>
      <c r="AX1636" s="1194">
        <f>IFERROR(VLOOKUP(B1636,'Share, Heavy Weapons to Ukraine'!B:Z,COLUMN('Share, Heavy Weapons to Ukraine'!C1647)-1,0),0)</f>
        <v>1</v>
      </c>
      <c r="AY1636" s="1194">
        <f>VLOOKUP('Bilateral Assistance, MAIN DATA'!B1636,'Country Summary (€)'!B:F,COLUMN('Country Summary (€)'!C1648)-1,FALSE)</f>
        <v>0</v>
      </c>
      <c r="AZ1636" s="1194" t="str">
        <f>IF(AND(AD1636=1,D1636="Military",H1636&lt;&gt;"Not given")=TRUE,IF(SUMIFS(P:P,A:A,A1636)&gt;0,ABS((SUMIFS(P:P,A:A,A1636)/VLOOKUP("USD",'Exchange Rates'!B:C,2,0)))/S1636,"."),".")</f>
        <v>.</v>
      </c>
      <c r="BA1636" s="1196" t="str">
        <f>IF(AND(AD1636=1,D1636="Military",H1636&lt;&gt;"Not given")=TRUE,IF(SUMIFS(P:P,A:A,A1636)&gt;0,IF((ABS((SUMIFS(P:P,A:A,A1636)/VLOOKUP("USD",'Exchange Rates'!B:C,2,0)))/S1636)&gt;1,(SUMIFS(P:P,A:A,A1636)-S1636)/S1636,(S1636-SUMIFS(P:P,A:A,A1636))/SUMIFS(P:P,A:A,A1636)),"."),".")</f>
        <v>.</v>
      </c>
    </row>
    <row r="1637" spans="1:53" ht="15.95" customHeight="1">
      <c r="A1637" s="1304" t="s">
        <v>4254</v>
      </c>
      <c r="B1637" s="1182" t="s">
        <v>3949</v>
      </c>
      <c r="C1637" s="1181">
        <v>44743</v>
      </c>
      <c r="D1637" s="1182" t="s">
        <v>389</v>
      </c>
      <c r="E1637" s="1182" t="s">
        <v>1676</v>
      </c>
      <c r="F1637" s="1183" t="s">
        <v>4266</v>
      </c>
      <c r="G1637" s="1184" t="s">
        <v>456</v>
      </c>
      <c r="H1637" s="1185">
        <v>770000000</v>
      </c>
      <c r="I1637" s="1266" t="s">
        <v>856</v>
      </c>
      <c r="J1637" s="1186" t="str">
        <f>VLOOKUP($I1637,'Price List, Weapons &amp; Items'!B:C,2,0)</f>
        <v>Ammunition for heavy weapon</v>
      </c>
      <c r="K1637" s="1186" t="str">
        <f>IF(I1637=".",I1637,VLOOKUP($I1637,'Price List, Weapons &amp; Items'!B:D,3,0))</f>
        <v>155mm howitzer ammunition</v>
      </c>
      <c r="L1637" s="1187">
        <f>VLOOKUP(I1637,'Price List, Weapons &amp; Items'!B:E,4,0)</f>
        <v>0</v>
      </c>
      <c r="M1637" s="1188">
        <v>150000</v>
      </c>
      <c r="N1637" s="1188" t="s">
        <v>374</v>
      </c>
      <c r="O1637" s="1188">
        <f>VLOOKUP($I1637,'Price List, Weapons &amp; Items'!B:G,6,0)</f>
        <v>3800</v>
      </c>
      <c r="P1637" s="1185">
        <f t="shared" si="344"/>
        <v>570000000</v>
      </c>
      <c r="Q1637" s="1185" t="str">
        <f t="shared" si="345"/>
        <v>.</v>
      </c>
      <c r="R1637" s="1185" t="str">
        <f t="shared" si="341"/>
        <v/>
      </c>
      <c r="S1637" s="1185" t="str">
        <f>IF(AND(AD1637=1,R1637&lt;&gt;".")=TRUE,R1637/VLOOKUP(G1637,'Exchange Rates'!B:C,2,0),IF(R1637=".",".",""))</f>
        <v/>
      </c>
      <c r="T1637" s="1185" t="str">
        <f>IF(AD1637=1,IF(AF1637="Value is not given at all",".",IF(AF1637="Value is given by the source",S1637,IF(AF1637="Value is calculated with prices",(IF(SUMIFS(Q:Q,A:A,A1637)&gt;0,SUMIFS(Q:Q,A:A,A1637),"."))/VLOOKUP("USD",'Exchange Rates'!B:C,2,0),"Error with coding"))),"")</f>
        <v/>
      </c>
      <c r="U1637" s="1184" t="s">
        <v>365</v>
      </c>
      <c r="V1637" s="974" t="s">
        <v>4109</v>
      </c>
      <c r="W1637" s="1042" t="s">
        <v>3955</v>
      </c>
      <c r="X1637" s="1043" t="s">
        <v>3959</v>
      </c>
      <c r="Y1637" s="1044" t="s">
        <v>4024</v>
      </c>
      <c r="Z1637" s="1184">
        <v>0</v>
      </c>
      <c r="AA1637" s="1194">
        <v>0</v>
      </c>
      <c r="AB1637" s="1180" t="s">
        <v>364</v>
      </c>
      <c r="AC1637" s="1192" t="str">
        <f>""</f>
        <v/>
      </c>
      <c r="AD1637" s="985">
        <v>0</v>
      </c>
      <c r="AE1637" s="1313" t="s">
        <v>368</v>
      </c>
      <c r="AF1637" s="985" t="s">
        <v>369</v>
      </c>
      <c r="AG1637" s="985">
        <v>1</v>
      </c>
      <c r="AH1637" s="985">
        <v>7</v>
      </c>
      <c r="AI1637" s="985">
        <v>0</v>
      </c>
      <c r="AJ1637" s="1193">
        <f>VLOOKUP($I1637,'Price List, Weapons &amp; Items'!B:F,5,0)</f>
        <v>1</v>
      </c>
      <c r="AK1637" s="1193">
        <f t="shared" si="346"/>
        <v>0</v>
      </c>
      <c r="AL1637" s="1193">
        <f t="shared" si="347"/>
        <v>1</v>
      </c>
      <c r="AM1637" s="1193">
        <f t="shared" si="348"/>
        <v>0</v>
      </c>
      <c r="AN1637" s="1194" t="str">
        <f>VLOOKUP($I1637,'Price List, Weapons &amp; Items'!B:L,COLUMN('Price List, Weapons &amp; Items'!$J$11)-1,0)</f>
        <v>Government information</v>
      </c>
      <c r="AO1637" s="1194" t="str">
        <f>IF(I1637=".",".",VLOOKUP($I1637,'Price List, Weapons &amp; Items'!B:J,3,0))</f>
        <v>155mm howitzer ammunition</v>
      </c>
      <c r="AP1637" s="1195" t="str">
        <f t="shared" ca="1" si="342"/>
        <v/>
      </c>
      <c r="AQ1637" s="1194">
        <f>VLOOKUP($I1637,'Price List, Weapons &amp; Items'!B:L,COLUMN('Price List, Weapons &amp; Items'!$L$11)-1,0)</f>
        <v>2</v>
      </c>
      <c r="AR1637" s="1194">
        <f t="shared" si="349"/>
        <v>1</v>
      </c>
      <c r="AS1637" s="1194">
        <f t="shared" si="350"/>
        <v>1</v>
      </c>
      <c r="AT1637" s="1194">
        <f t="shared" si="351"/>
        <v>1</v>
      </c>
      <c r="AU1637" s="1194" t="str">
        <f t="shared" si="353"/>
        <v>.</v>
      </c>
      <c r="AV1637" s="1194" t="str">
        <f t="shared" si="343"/>
        <v>.</v>
      </c>
      <c r="AW1637" s="1194" t="str">
        <f t="shared" si="352"/>
        <v>.</v>
      </c>
      <c r="AX1637" s="1194">
        <f>IFERROR(VLOOKUP(B1637,'Share, Heavy Weapons to Ukraine'!B:Z,COLUMN('Share, Heavy Weapons to Ukraine'!C1648)-1,0),0)</f>
        <v>1</v>
      </c>
      <c r="AY1637" s="1194">
        <f>VLOOKUP('Bilateral Assistance, MAIN DATA'!B1637,'Country Summary (€)'!B:F,COLUMN('Country Summary (€)'!C1649)-1,FALSE)</f>
        <v>0</v>
      </c>
      <c r="AZ1637" s="1194" t="str">
        <f>IF(AND(AD1637=1,D1637="Military",H1637&lt;&gt;"Not given")=TRUE,IF(SUMIFS(P:P,A:A,A1637)&gt;0,ABS((SUMIFS(P:P,A:A,A1637)/VLOOKUP("USD",'Exchange Rates'!B:C,2,0)))/S1637,"."),".")</f>
        <v>.</v>
      </c>
      <c r="BA1637" s="1196" t="str">
        <f>IF(AND(AD1637=1,D1637="Military",H1637&lt;&gt;"Not given")=TRUE,IF(SUMIFS(P:P,A:A,A1637)&gt;0,IF((ABS((SUMIFS(P:P,A:A,A1637)/VLOOKUP("USD",'Exchange Rates'!B:C,2,0)))/S1637)&gt;1,(SUMIFS(P:P,A:A,A1637)-S1637)/S1637,(S1637-SUMIFS(P:P,A:A,A1637))/SUMIFS(P:P,A:A,A1637)),"."),".")</f>
        <v>.</v>
      </c>
    </row>
    <row r="1638" spans="1:53" ht="15.95" customHeight="1">
      <c r="A1638" s="1304" t="s">
        <v>4254</v>
      </c>
      <c r="B1638" s="1182" t="s">
        <v>3949</v>
      </c>
      <c r="C1638" s="1181">
        <v>44743</v>
      </c>
      <c r="D1638" s="1182" t="s">
        <v>389</v>
      </c>
      <c r="E1638" s="1182" t="s">
        <v>1676</v>
      </c>
      <c r="F1638" s="1183" t="s">
        <v>4266</v>
      </c>
      <c r="G1638" s="1184" t="s">
        <v>456</v>
      </c>
      <c r="H1638" s="1185">
        <v>770000000</v>
      </c>
      <c r="I1638" s="1180" t="s">
        <v>2702</v>
      </c>
      <c r="J1638" s="1186" t="str">
        <f>VLOOKUP($I1638,'Price List, Weapons &amp; Items'!B:C,2,0)</f>
        <v>Military equipment</v>
      </c>
      <c r="K1638" s="1186" t="str">
        <f>IF(I1638=".",I1638,VLOOKUP($I1638,'Price List, Weapons &amp; Items'!B:D,3,0))</f>
        <v>Military equipment</v>
      </c>
      <c r="L1638" s="1187">
        <f>VLOOKUP(I1638,'Price List, Weapons &amp; Items'!B:E,4,0)</f>
        <v>0</v>
      </c>
      <c r="M1638" s="1188">
        <v>4</v>
      </c>
      <c r="N1638" s="1188" t="s">
        <v>374</v>
      </c>
      <c r="O1638" s="1188">
        <f>VLOOKUP($I1638,'Price List, Weapons &amp; Items'!B:G,6,0)</f>
        <v>8888888</v>
      </c>
      <c r="P1638" s="1185">
        <f t="shared" si="344"/>
        <v>35555552</v>
      </c>
      <c r="Q1638" s="1185" t="str">
        <f t="shared" si="345"/>
        <v>.</v>
      </c>
      <c r="R1638" s="1185" t="str">
        <f t="shared" si="341"/>
        <v/>
      </c>
      <c r="S1638" s="1185" t="str">
        <f>IF(AND(AD1638=1,R1638&lt;&gt;".")=TRUE,R1638/VLOOKUP(G1638,'Exchange Rates'!B:C,2,0),IF(R1638=".",".",""))</f>
        <v/>
      </c>
      <c r="T1638" s="1185" t="str">
        <f>IF(AD1638=1,IF(AF1638="Value is not given at all",".",IF(AF1638="Value is given by the source",S1638,IF(AF1638="Value is calculated with prices",(IF(SUMIFS(Q:Q,A:A,A1638)&gt;0,SUMIFS(Q:Q,A:A,A1638),"."))/VLOOKUP("USD",'Exchange Rates'!B:C,2,0),"Error with coding"))),"")</f>
        <v/>
      </c>
      <c r="U1638" s="1184" t="s">
        <v>365</v>
      </c>
      <c r="V1638" s="974" t="s">
        <v>4109</v>
      </c>
      <c r="W1638" s="1042" t="s">
        <v>3955</v>
      </c>
      <c r="X1638" s="1043" t="s">
        <v>3959</v>
      </c>
      <c r="Y1638" s="1044" t="s">
        <v>4026</v>
      </c>
      <c r="Z1638" s="1184">
        <v>0</v>
      </c>
      <c r="AA1638" s="1194">
        <v>0</v>
      </c>
      <c r="AB1638" s="1180" t="s">
        <v>364</v>
      </c>
      <c r="AC1638" s="1192" t="str">
        <f>""</f>
        <v/>
      </c>
      <c r="AD1638" s="985">
        <v>0</v>
      </c>
      <c r="AE1638" s="1313" t="s">
        <v>368</v>
      </c>
      <c r="AF1638" s="985" t="s">
        <v>369</v>
      </c>
      <c r="AG1638" s="985">
        <v>1</v>
      </c>
      <c r="AH1638" s="985">
        <v>7</v>
      </c>
      <c r="AI1638" s="985">
        <v>0</v>
      </c>
      <c r="AJ1638" s="1193">
        <f>VLOOKUP($I1638,'Price List, Weapons &amp; Items'!B:F,5,0)</f>
        <v>0</v>
      </c>
      <c r="AK1638" s="1193">
        <f t="shared" si="346"/>
        <v>0</v>
      </c>
      <c r="AL1638" s="1193">
        <f t="shared" si="347"/>
        <v>0</v>
      </c>
      <c r="AM1638" s="1193">
        <f t="shared" si="348"/>
        <v>0</v>
      </c>
      <c r="AN1638" s="1194" t="str">
        <f>VLOOKUP($I1638,'Price List, Weapons &amp; Items'!B:L,COLUMN('Price List, Weapons &amp; Items'!$J$11)-1,0)</f>
        <v>Military media (incl. websites)</v>
      </c>
      <c r="AO1638" s="1194" t="str">
        <f>IF(I1638=".",".",VLOOKUP($I1638,'Price List, Weapons &amp; Items'!B:J,3,0))</f>
        <v>Military equipment</v>
      </c>
      <c r="AP1638" s="1195" t="str">
        <f t="shared" ca="1" si="342"/>
        <v/>
      </c>
      <c r="AQ1638" s="1194">
        <f>VLOOKUP($I1638,'Price List, Weapons &amp; Items'!B:L,COLUMN('Price List, Weapons &amp; Items'!$L$11)-1,0)</f>
        <v>2</v>
      </c>
      <c r="AR1638" s="1194">
        <f t="shared" si="349"/>
        <v>1</v>
      </c>
      <c r="AS1638" s="1194">
        <f t="shared" si="350"/>
        <v>1</v>
      </c>
      <c r="AT1638" s="1194">
        <f t="shared" si="351"/>
        <v>1</v>
      </c>
      <c r="AU1638" s="1194" t="str">
        <f t="shared" si="353"/>
        <v>.</v>
      </c>
      <c r="AV1638" s="1194" t="str">
        <f t="shared" si="343"/>
        <v>.</v>
      </c>
      <c r="AW1638" s="1194" t="str">
        <f t="shared" si="352"/>
        <v>.</v>
      </c>
      <c r="AX1638" s="1194">
        <f>IFERROR(VLOOKUP(B1638,'Share, Heavy Weapons to Ukraine'!B:Z,COLUMN('Share, Heavy Weapons to Ukraine'!C1649)-1,0),0)</f>
        <v>1</v>
      </c>
      <c r="AY1638" s="1194">
        <f>VLOOKUP('Bilateral Assistance, MAIN DATA'!B1638,'Country Summary (€)'!B:F,COLUMN('Country Summary (€)'!C1650)-1,FALSE)</f>
        <v>0</v>
      </c>
      <c r="AZ1638" s="1194" t="str">
        <f>IF(AND(AD1638=1,D1638="Military",H1638&lt;&gt;"Not given")=TRUE,IF(SUMIFS(P:P,A:A,A1638)&gt;0,ABS((SUMIFS(P:P,A:A,A1638)/VLOOKUP("USD",'Exchange Rates'!B:C,2,0)))/S1638,"."),".")</f>
        <v>.</v>
      </c>
      <c r="BA1638" s="1196" t="str">
        <f>IF(AND(AD1638=1,D1638="Military",H1638&lt;&gt;"Not given")=TRUE,IF(SUMIFS(P:P,A:A,A1638)&gt;0,IF((ABS((SUMIFS(P:P,A:A,A1638)/VLOOKUP("USD",'Exchange Rates'!B:C,2,0)))/S1638)&gt;1,(SUMIFS(P:P,A:A,A1638)-S1638)/S1638,(S1638-SUMIFS(P:P,A:A,A1638))/SUMIFS(P:P,A:A,A1638)),"."),".")</f>
        <v>.</v>
      </c>
    </row>
    <row r="1639" spans="1:53" ht="15.95" customHeight="1">
      <c r="A1639" s="1304" t="s">
        <v>4254</v>
      </c>
      <c r="B1639" s="1182" t="s">
        <v>3949</v>
      </c>
      <c r="C1639" s="1181">
        <v>44764</v>
      </c>
      <c r="D1639" s="1182" t="s">
        <v>389</v>
      </c>
      <c r="E1639" s="1182" t="s">
        <v>1676</v>
      </c>
      <c r="F1639" s="1183" t="s">
        <v>4268</v>
      </c>
      <c r="G1639" s="1184" t="s">
        <v>456</v>
      </c>
      <c r="H1639" s="1185">
        <v>95000000</v>
      </c>
      <c r="I1639" s="1180" t="s">
        <v>4050</v>
      </c>
      <c r="J1639" s="1186" t="str">
        <f>VLOOKUP($I1639,'Price List, Weapons &amp; Items'!B:C,2,0)</f>
        <v>Aviation and drones</v>
      </c>
      <c r="K1639" s="1186" t="str">
        <f>IF(I1639=".",I1639,VLOOKUP($I1639,'Price List, Weapons &amp; Items'!B:D,3,0))</f>
        <v>drone</v>
      </c>
      <c r="L1639" s="1187">
        <f>VLOOKUP(I1639,'Price List, Weapons &amp; Items'!B:E,4,0)</f>
        <v>0</v>
      </c>
      <c r="M1639" s="1188">
        <v>580</v>
      </c>
      <c r="N1639" s="1188" t="s">
        <v>374</v>
      </c>
      <c r="O1639" s="1188">
        <f>VLOOKUP($I1639,'Price List, Weapons &amp; Items'!B:G,6,0)</f>
        <v>163793</v>
      </c>
      <c r="P1639" s="1185">
        <f t="shared" si="344"/>
        <v>94999940</v>
      </c>
      <c r="Q1639" s="1185" t="str">
        <f t="shared" si="345"/>
        <v>.</v>
      </c>
      <c r="R1639" s="1185" t="str">
        <f t="shared" si="341"/>
        <v/>
      </c>
      <c r="S1639" s="1185" t="str">
        <f>IF(AND(AD1639=1,R1639&lt;&gt;".")=TRUE,R1639/VLOOKUP(G1639,'Exchange Rates'!B:C,2,0),IF(R1639=".",".",""))</f>
        <v/>
      </c>
      <c r="T1639" s="1185" t="str">
        <f>IF(AD1639=1,IF(AF1639="Value is not given at all",".",IF(AF1639="Value is given by the source",S1639,IF(AF1639="Value is calculated with prices",(IF(SUMIFS(Q:Q,A:A,A1639)&gt;0,SUMIFS(Q:Q,A:A,A1639),"."))/VLOOKUP("USD",'Exchange Rates'!B:C,2,0),"Error with coding"))),"")</f>
        <v/>
      </c>
      <c r="U1639" s="1184" t="s">
        <v>365</v>
      </c>
      <c r="V1639" s="971" t="s">
        <v>4123</v>
      </c>
      <c r="W1639" s="1042" t="s">
        <v>3955</v>
      </c>
      <c r="X1639" s="1043" t="s">
        <v>3959</v>
      </c>
      <c r="Y1639" s="1044" t="s">
        <v>4027</v>
      </c>
      <c r="Z1639" s="1184">
        <v>0</v>
      </c>
      <c r="AA1639" s="1194">
        <v>0</v>
      </c>
      <c r="AB1639" s="1180" t="s">
        <v>364</v>
      </c>
      <c r="AC1639" s="1192" t="str">
        <f>""</f>
        <v/>
      </c>
      <c r="AD1639" s="985">
        <v>0</v>
      </c>
      <c r="AE1639" s="1313" t="s">
        <v>368</v>
      </c>
      <c r="AF1639" s="985" t="s">
        <v>369</v>
      </c>
      <c r="AG1639" s="985">
        <v>1</v>
      </c>
      <c r="AH1639" s="1193">
        <v>7</v>
      </c>
      <c r="AI1639" s="1193">
        <v>0</v>
      </c>
      <c r="AJ1639" s="1193">
        <f>VLOOKUP($I1639,'Price List, Weapons &amp; Items'!B:F,5,0)</f>
        <v>0</v>
      </c>
      <c r="AK1639" s="1193">
        <f t="shared" si="346"/>
        <v>0</v>
      </c>
      <c r="AL1639" s="1193">
        <f t="shared" si="347"/>
        <v>0</v>
      </c>
      <c r="AM1639" s="1193">
        <f t="shared" si="348"/>
        <v>0</v>
      </c>
      <c r="AN1639" s="1194" t="str">
        <f>VLOOKUP($I1639,'Price List, Weapons &amp; Items'!B:L,COLUMN('Price List, Weapons &amp; Items'!$J$11)-1,0)</f>
        <v>Government information</v>
      </c>
      <c r="AO1639" s="1194" t="str">
        <f>IF(I1639=".",".",VLOOKUP($I1639,'Price List, Weapons &amp; Items'!B:J,3,0))</f>
        <v>drone</v>
      </c>
      <c r="AP1639" s="1195" t="str">
        <f t="shared" ca="1" si="342"/>
        <v/>
      </c>
      <c r="AQ1639" s="1194">
        <f>VLOOKUP($I1639,'Price List, Weapons &amp; Items'!B:L,COLUMN('Price List, Weapons &amp; Items'!$L$11)-1,0)</f>
        <v>2</v>
      </c>
      <c r="AR1639" s="1194">
        <f t="shared" si="349"/>
        <v>1</v>
      </c>
      <c r="AS1639" s="1194">
        <f t="shared" si="350"/>
        <v>1</v>
      </c>
      <c r="AT1639" s="1194">
        <f t="shared" si="351"/>
        <v>1</v>
      </c>
      <c r="AU1639" s="1194" t="str">
        <f t="shared" si="353"/>
        <v>.</v>
      </c>
      <c r="AV1639" s="1194" t="str">
        <f t="shared" si="343"/>
        <v>.</v>
      </c>
      <c r="AW1639" s="1194" t="str">
        <f t="shared" si="352"/>
        <v>.</v>
      </c>
      <c r="AX1639" s="1194">
        <f>IFERROR(VLOOKUP(B1639,'Share, Heavy Weapons to Ukraine'!B:Z,COLUMN('Share, Heavy Weapons to Ukraine'!C1650)-1,0),0)</f>
        <v>1</v>
      </c>
      <c r="AY1639" s="1194">
        <f>VLOOKUP('Bilateral Assistance, MAIN DATA'!B1639,'Country Summary (€)'!B:F,COLUMN('Country Summary (€)'!C1651)-1,FALSE)</f>
        <v>0</v>
      </c>
      <c r="AZ1639" s="1194" t="str">
        <f>IF(AND(AD1639=1,D1639="Military",H1639&lt;&gt;"Not given")=TRUE,IF(SUMIFS(P:P,A:A,A1639)&gt;0,ABS((SUMIFS(P:P,A:A,A1639)/VLOOKUP("USD",'Exchange Rates'!B:C,2,0)))/S1639,"."),".")</f>
        <v>.</v>
      </c>
      <c r="BA1639" s="1196" t="str">
        <f>IF(AND(AD1639=1,D1639="Military",H1639&lt;&gt;"Not given")=TRUE,IF(SUMIFS(P:P,A:A,A1639)&gt;0,IF((ABS((SUMIFS(P:P,A:A,A1639)/VLOOKUP("USD",'Exchange Rates'!B:C,2,0)))/S1639)&gt;1,(SUMIFS(P:P,A:A,A1639)-S1639)/S1639,(S1639-SUMIFS(P:P,A:A,A1639))/SUMIFS(P:P,A:A,A1639)),"."),".")</f>
        <v>.</v>
      </c>
    </row>
    <row r="1640" spans="1:53" ht="15.95" customHeight="1">
      <c r="A1640" s="1304" t="s">
        <v>4254</v>
      </c>
      <c r="B1640" s="1208" t="s">
        <v>3949</v>
      </c>
      <c r="C1640" s="1220">
        <v>44797</v>
      </c>
      <c r="D1640" s="1208" t="s">
        <v>389</v>
      </c>
      <c r="E1640" s="1208" t="s">
        <v>1676</v>
      </c>
      <c r="F1640" s="1183" t="s">
        <v>4269</v>
      </c>
      <c r="G1640" s="1184" t="s">
        <v>456</v>
      </c>
      <c r="H1640" s="1221">
        <v>2980000000</v>
      </c>
      <c r="I1640" s="1208" t="s">
        <v>862</v>
      </c>
      <c r="J1640" s="1186" t="str">
        <f>VLOOKUP($I1640,'Price List, Weapons &amp; Items'!B:C,2,0)</f>
        <v>Heavy weapon</v>
      </c>
      <c r="K1640" s="1186" t="str">
        <f>IF(I1640=".",I1640,VLOOKUP($I1640,'Price List, Weapons &amp; Items'!B:D,3,0))</f>
        <v>Anti-aircraft surface-to-air missile (SAM) system (short-range)</v>
      </c>
      <c r="L1640" s="1187">
        <f>VLOOKUP(I1640,'Price List, Weapons &amp; Items'!B:E,4,0)</f>
        <v>0</v>
      </c>
      <c r="M1640" s="1241">
        <v>6</v>
      </c>
      <c r="N1640" s="1188">
        <v>6</v>
      </c>
      <c r="O1640" s="1188">
        <f>VLOOKUP($I1640,'Price List, Weapons &amp; Items'!B:G,6,0)</f>
        <v>50000000</v>
      </c>
      <c r="P1640" s="1185">
        <f t="shared" si="344"/>
        <v>300000000</v>
      </c>
      <c r="Q1640" s="1185">
        <f t="shared" si="345"/>
        <v>300000000</v>
      </c>
      <c r="R1640" s="1185" t="str">
        <f t="shared" si="341"/>
        <v/>
      </c>
      <c r="S1640" s="1185" t="str">
        <f>IF(AND(AD1640=1,R1640&lt;&gt;".")=TRUE,R1640/VLOOKUP(G1640,'Exchange Rates'!B:C,2,0),IF(R1640=".",".",""))</f>
        <v/>
      </c>
      <c r="T1640" s="1185" t="str">
        <f>IF(AD1640=1,IF(AF1640="Value is not given at all",".",IF(AF1640="Value is given by the source",S1640,IF(AF1640="Value is calculated with prices",(IF(SUMIFS(Q:Q,A:A,A1640)&gt;0,SUMIFS(Q:Q,A:A,A1640),"."))/VLOOKUP("USD",'Exchange Rates'!B:C,2,0),"Error with coding"))),"")</f>
        <v/>
      </c>
      <c r="U1640" s="1184" t="s">
        <v>365</v>
      </c>
      <c r="V1640" s="979" t="s">
        <v>4270</v>
      </c>
      <c r="W1640" s="1042" t="s">
        <v>3955</v>
      </c>
      <c r="X1640" s="1043" t="s">
        <v>3959</v>
      </c>
      <c r="Y1640" s="1044" t="s">
        <v>4029</v>
      </c>
      <c r="Z1640" s="1184">
        <v>0</v>
      </c>
      <c r="AA1640" s="1194">
        <v>0</v>
      </c>
      <c r="AB1640" s="991" t="s">
        <v>4267</v>
      </c>
      <c r="AC1640" s="1192" t="str">
        <f>""</f>
        <v/>
      </c>
      <c r="AD1640" s="985">
        <v>0</v>
      </c>
      <c r="AE1640" s="1313" t="s">
        <v>368</v>
      </c>
      <c r="AF1640" s="985" t="s">
        <v>369</v>
      </c>
      <c r="AG1640" s="985">
        <v>1</v>
      </c>
      <c r="AH1640" s="1193">
        <v>8</v>
      </c>
      <c r="AI1640" s="985">
        <v>0</v>
      </c>
      <c r="AJ1640" s="1193">
        <f>VLOOKUP($I1640,'Price List, Weapons &amp; Items'!B:F,5,0)</f>
        <v>0</v>
      </c>
      <c r="AK1640" s="1193">
        <f t="shared" si="346"/>
        <v>0</v>
      </c>
      <c r="AL1640" s="1193">
        <f t="shared" si="347"/>
        <v>0</v>
      </c>
      <c r="AM1640" s="1193">
        <f t="shared" si="348"/>
        <v>0</v>
      </c>
      <c r="AN1640" s="1194" t="str">
        <f>VLOOKUP($I1640,'Price List, Weapons &amp; Items'!B:L,COLUMN('Price List, Weapons &amp; Items'!$J$11)-1,0)</f>
        <v>Military media (incl. websites)</v>
      </c>
      <c r="AO1640" s="1194" t="str">
        <f>IF(I1640=".",".",VLOOKUP($I1640,'Price List, Weapons &amp; Items'!B:J,3,0))</f>
        <v>Anti-aircraft surface-to-air missile (SAM) system (short-range)</v>
      </c>
      <c r="AP1640" s="1195" t="str">
        <f t="shared" ca="1" si="342"/>
        <v/>
      </c>
      <c r="AQ1640" s="1194">
        <f>VLOOKUP($I1640,'Price List, Weapons &amp; Items'!B:L,COLUMN('Price List, Weapons &amp; Items'!$L$11)-1,0)</f>
        <v>2</v>
      </c>
      <c r="AR1640" s="1194">
        <f t="shared" si="349"/>
        <v>1</v>
      </c>
      <c r="AS1640" s="1194">
        <f t="shared" si="350"/>
        <v>1</v>
      </c>
      <c r="AT1640" s="1194">
        <f t="shared" si="351"/>
        <v>1</v>
      </c>
      <c r="AU1640" s="1194" t="str">
        <f t="shared" si="353"/>
        <v>.</v>
      </c>
      <c r="AV1640" s="1194" t="str">
        <f t="shared" si="343"/>
        <v>.</v>
      </c>
      <c r="AW1640" s="1194" t="str">
        <f t="shared" si="352"/>
        <v>.</v>
      </c>
      <c r="AX1640" s="1194">
        <f>IFERROR(VLOOKUP(B1640,'Share, Heavy Weapons to Ukraine'!B:Z,COLUMN('Share, Heavy Weapons to Ukraine'!C1651)-1,0),0)</f>
        <v>1</v>
      </c>
      <c r="AY1640" s="1194">
        <f>VLOOKUP('Bilateral Assistance, MAIN DATA'!B1640,'Country Summary (€)'!B:F,COLUMN('Country Summary (€)'!C1652)-1,FALSE)</f>
        <v>0</v>
      </c>
      <c r="AZ1640" s="1194" t="str">
        <f>IF(AND(AD1640=1,D1640="Military",H1640&lt;&gt;"Not given")=TRUE,IF(SUMIFS(P:P,A:A,A1640)&gt;0,ABS((SUMIFS(P:P,A:A,A1640)/VLOOKUP("USD",'Exchange Rates'!B:C,2,0)))/S1640,"."),".")</f>
        <v>.</v>
      </c>
      <c r="BA1640" s="1196" t="str">
        <f>IF(AND(AD1640=1,D1640="Military",H1640&lt;&gt;"Not given")=TRUE,IF(SUMIFS(P:P,A:A,A1640)&gt;0,IF((ABS((SUMIFS(P:P,A:A,A1640)/VLOOKUP("USD",'Exchange Rates'!B:C,2,0)))/S1640)&gt;1,(SUMIFS(P:P,A:A,A1640)-S1640)/S1640,(S1640-SUMIFS(P:P,A:A,A1640))/SUMIFS(P:P,A:A,A1640)),"."),".")</f>
        <v>.</v>
      </c>
    </row>
    <row r="1641" spans="1:53" ht="15.95" customHeight="1">
      <c r="A1641" s="1304" t="s">
        <v>4254</v>
      </c>
      <c r="B1641" s="1208" t="s">
        <v>3949</v>
      </c>
      <c r="C1641" s="1220">
        <v>44797</v>
      </c>
      <c r="D1641" s="1208" t="s">
        <v>389</v>
      </c>
      <c r="E1641" s="1208" t="s">
        <v>1676</v>
      </c>
      <c r="F1641" s="1183" t="s">
        <v>4269</v>
      </c>
      <c r="G1641" s="1184" t="s">
        <v>456</v>
      </c>
      <c r="H1641" s="1221">
        <v>2980000000</v>
      </c>
      <c r="I1641" s="1208" t="s">
        <v>865</v>
      </c>
      <c r="J1641" s="1186" t="str">
        <f>VLOOKUP($I1641,'Price List, Weapons &amp; Items'!B:C,2,0)</f>
        <v>Ammunition for Heavy Weapon</v>
      </c>
      <c r="K1641" s="1186" t="str">
        <f>IF(I1641=".",I1641,VLOOKUP($I1641,'Price List, Weapons &amp; Items'!B:D,3,0))</f>
        <v>Missile</v>
      </c>
      <c r="L1641" s="1187">
        <f>VLOOKUP(I1641,'Price List, Weapons &amp; Items'!B:E,4,0)</f>
        <v>0</v>
      </c>
      <c r="M1641" s="1241" t="s">
        <v>374</v>
      </c>
      <c r="N1641" s="1188" t="s">
        <v>374</v>
      </c>
      <c r="O1641" s="1188">
        <f>VLOOKUP($I1641,'Price List, Weapons &amp; Items'!B:G,6,0)</f>
        <v>1090000</v>
      </c>
      <c r="P1641" s="1185" t="str">
        <f t="shared" si="344"/>
        <v>.</v>
      </c>
      <c r="Q1641" s="1185" t="str">
        <f t="shared" si="345"/>
        <v>.</v>
      </c>
      <c r="R1641" s="1185" t="str">
        <f t="shared" si="341"/>
        <v/>
      </c>
      <c r="S1641" s="1185" t="str">
        <f>IF(AND(AD1641=1,R1641&lt;&gt;".")=TRUE,R1641/VLOOKUP(G1641,'Exchange Rates'!B:C,2,0),IF(R1641=".",".",""))</f>
        <v/>
      </c>
      <c r="T1641" s="1185" t="str">
        <f>IF(AD1641=1,IF(AF1641="Value is not given at all",".",IF(AF1641="Value is given by the source",S1641,IF(AF1641="Value is calculated with prices",(IF(SUMIFS(Q:Q,A:A,A1641)&gt;0,SUMIFS(Q:Q,A:A,A1641),"."))/VLOOKUP("USD",'Exchange Rates'!B:C,2,0),"Error with coding"))),"")</f>
        <v/>
      </c>
      <c r="U1641" s="1184" t="s">
        <v>365</v>
      </c>
      <c r="V1641" s="979" t="s">
        <v>4270</v>
      </c>
      <c r="W1641" s="1042" t="s">
        <v>3955</v>
      </c>
      <c r="X1641" s="1043" t="s">
        <v>3959</v>
      </c>
      <c r="Y1641" s="1044" t="s">
        <v>4030</v>
      </c>
      <c r="Z1641" s="1184">
        <v>0</v>
      </c>
      <c r="AA1641" s="1194">
        <v>0</v>
      </c>
      <c r="AB1641" s="1180" t="s">
        <v>364</v>
      </c>
      <c r="AC1641" s="1192" t="str">
        <f>""</f>
        <v/>
      </c>
      <c r="AD1641" s="985">
        <v>0</v>
      </c>
      <c r="AE1641" s="1313" t="s">
        <v>368</v>
      </c>
      <c r="AF1641" s="985" t="s">
        <v>369</v>
      </c>
      <c r="AG1641" s="985">
        <v>1</v>
      </c>
      <c r="AH1641" s="1193">
        <v>8</v>
      </c>
      <c r="AI1641" s="1193">
        <v>0</v>
      </c>
      <c r="AJ1641" s="1193">
        <f>VLOOKUP($I1641,'Price List, Weapons &amp; Items'!B:F,5,0)</f>
        <v>0</v>
      </c>
      <c r="AK1641" s="1193">
        <f t="shared" si="346"/>
        <v>0</v>
      </c>
      <c r="AL1641" s="1193">
        <f t="shared" si="347"/>
        <v>0</v>
      </c>
      <c r="AM1641" s="1193">
        <f t="shared" si="348"/>
        <v>0</v>
      </c>
      <c r="AN1641" s="1194" t="str">
        <f>VLOOKUP($I1641,'Price List, Weapons &amp; Items'!B:L,COLUMN('Price List, Weapons &amp; Items'!$J$11)-1,0)</f>
        <v>Miscellaneous</v>
      </c>
      <c r="AO1641" s="1194" t="str">
        <f>IF(I1641=".",".",VLOOKUP($I1641,'Price List, Weapons &amp; Items'!B:J,3,0))</f>
        <v>Missile</v>
      </c>
      <c r="AP1641" s="1195" t="str">
        <f t="shared" ca="1" si="342"/>
        <v/>
      </c>
      <c r="AQ1641" s="1194" t="str">
        <f>VLOOKUP($I1641,'Price List, Weapons &amp; Items'!B:L,COLUMN('Price List, Weapons &amp; Items'!$L$11)-1,0)</f>
        <v>no price, 0 count</v>
      </c>
      <c r="AR1641" s="1194">
        <f t="shared" si="349"/>
        <v>1</v>
      </c>
      <c r="AS1641" s="1194">
        <f t="shared" si="350"/>
        <v>1</v>
      </c>
      <c r="AT1641" s="1194">
        <f t="shared" si="351"/>
        <v>1</v>
      </c>
      <c r="AU1641" s="1194" t="str">
        <f t="shared" si="353"/>
        <v>.</v>
      </c>
      <c r="AV1641" s="1194" t="str">
        <f t="shared" si="343"/>
        <v>.</v>
      </c>
      <c r="AW1641" s="1194" t="str">
        <f t="shared" si="352"/>
        <v>.</v>
      </c>
      <c r="AX1641" s="1194">
        <f>IFERROR(VLOOKUP(B1641,'Share, Heavy Weapons to Ukraine'!B:Z,COLUMN('Share, Heavy Weapons to Ukraine'!C1652)-1,0),0)</f>
        <v>1</v>
      </c>
      <c r="AY1641" s="1194">
        <f>VLOOKUP('Bilateral Assistance, MAIN DATA'!B1641,'Country Summary (€)'!B:F,COLUMN('Country Summary (€)'!C1653)-1,FALSE)</f>
        <v>0</v>
      </c>
      <c r="AZ1641" s="1194" t="str">
        <f>IF(AND(AD1641=1,D1641="Military",H1641&lt;&gt;"Not given")=TRUE,IF(SUMIFS(P:P,A:A,A1641)&gt;0,ABS((SUMIFS(P:P,A:A,A1641)/VLOOKUP("USD",'Exchange Rates'!B:C,2,0)))/S1641,"."),".")</f>
        <v>.</v>
      </c>
      <c r="BA1641" s="1196" t="str">
        <f>IF(AND(AD1641=1,D1641="Military",H1641&lt;&gt;"Not given")=TRUE,IF(SUMIFS(P:P,A:A,A1641)&gt;0,IF((ABS((SUMIFS(P:P,A:A,A1641)/VLOOKUP("USD",'Exchange Rates'!B:C,2,0)))/S1641)&gt;1,(SUMIFS(P:P,A:A,A1641)-S1641)/S1641,(S1641-SUMIFS(P:P,A:A,A1641))/SUMIFS(P:P,A:A,A1641)),"."),".")</f>
        <v>.</v>
      </c>
    </row>
    <row r="1642" spans="1:53" ht="15.95" customHeight="1">
      <c r="A1642" s="1304" t="s">
        <v>4254</v>
      </c>
      <c r="B1642" s="1208" t="s">
        <v>3949</v>
      </c>
      <c r="C1642" s="1220">
        <v>44797</v>
      </c>
      <c r="D1642" s="1208" t="s">
        <v>389</v>
      </c>
      <c r="E1642" s="1208" t="s">
        <v>1676</v>
      </c>
      <c r="F1642" s="1183" t="s">
        <v>4269</v>
      </c>
      <c r="G1642" s="1184" t="s">
        <v>456</v>
      </c>
      <c r="H1642" s="1221">
        <v>2980000000</v>
      </c>
      <c r="I1642" s="1208" t="s">
        <v>856</v>
      </c>
      <c r="J1642" s="1186" t="str">
        <f>VLOOKUP($I1642,'Price List, Weapons &amp; Items'!B:C,2,0)</f>
        <v>Ammunition for heavy weapon</v>
      </c>
      <c r="K1642" s="1186" t="str">
        <f>IF(I1642=".",I1642,VLOOKUP($I1642,'Price List, Weapons &amp; Items'!B:D,3,0))</f>
        <v>155mm howitzer ammunition</v>
      </c>
      <c r="L1642" s="1187">
        <f>VLOOKUP(I1642,'Price List, Weapons &amp; Items'!B:E,4,0)</f>
        <v>0</v>
      </c>
      <c r="M1642" s="1241">
        <v>245000</v>
      </c>
      <c r="N1642" s="1188" t="s">
        <v>374</v>
      </c>
      <c r="O1642" s="1188">
        <f>VLOOKUP($I1642,'Price List, Weapons &amp; Items'!B:G,6,0)</f>
        <v>3800</v>
      </c>
      <c r="P1642" s="1185">
        <f t="shared" si="344"/>
        <v>931000000</v>
      </c>
      <c r="Q1642" s="1185" t="str">
        <f t="shared" si="345"/>
        <v>.</v>
      </c>
      <c r="R1642" s="1185" t="str">
        <f t="shared" si="341"/>
        <v/>
      </c>
      <c r="S1642" s="1185" t="str">
        <f>IF(AND(AD1642=1,R1642&lt;&gt;".")=TRUE,R1642/VLOOKUP(G1642,'Exchange Rates'!B:C,2,0),IF(R1642=".",".",""))</f>
        <v/>
      </c>
      <c r="T1642" s="1185" t="str">
        <f>IF(AD1642=1,IF(AF1642="Value is not given at all",".",IF(AF1642="Value is given by the source",S1642,IF(AF1642="Value is calculated with prices",(IF(SUMIFS(Q:Q,A:A,A1642)&gt;0,SUMIFS(Q:Q,A:A,A1642),"."))/VLOOKUP("USD",'Exchange Rates'!B:C,2,0),"Error with coding"))),"")</f>
        <v/>
      </c>
      <c r="U1642" s="1184" t="s">
        <v>365</v>
      </c>
      <c r="V1642" s="979" t="s">
        <v>4270</v>
      </c>
      <c r="W1642" s="1042" t="s">
        <v>3955</v>
      </c>
      <c r="X1642" s="1043" t="s">
        <v>3959</v>
      </c>
      <c r="Y1642" s="1044" t="s">
        <v>4032</v>
      </c>
      <c r="Z1642" s="1184">
        <v>0</v>
      </c>
      <c r="AA1642" s="1194">
        <v>0</v>
      </c>
      <c r="AB1642" s="1180" t="s">
        <v>364</v>
      </c>
      <c r="AC1642" s="1192" t="str">
        <f>""</f>
        <v/>
      </c>
      <c r="AD1642" s="985">
        <v>0</v>
      </c>
      <c r="AE1642" s="1313" t="s">
        <v>368</v>
      </c>
      <c r="AF1642" s="985" t="s">
        <v>369</v>
      </c>
      <c r="AG1642" s="985">
        <v>1</v>
      </c>
      <c r="AH1642" s="1193">
        <v>8</v>
      </c>
      <c r="AI1642" s="985">
        <v>0</v>
      </c>
      <c r="AJ1642" s="1193">
        <f>VLOOKUP($I1642,'Price List, Weapons &amp; Items'!B:F,5,0)</f>
        <v>1</v>
      </c>
      <c r="AK1642" s="1193">
        <f t="shared" si="346"/>
        <v>0</v>
      </c>
      <c r="AL1642" s="1193">
        <f t="shared" si="347"/>
        <v>1</v>
      </c>
      <c r="AM1642" s="1193">
        <f t="shared" si="348"/>
        <v>0</v>
      </c>
      <c r="AN1642" s="1194" t="str">
        <f>VLOOKUP($I1642,'Price List, Weapons &amp; Items'!B:L,COLUMN('Price List, Weapons &amp; Items'!$J$11)-1,0)</f>
        <v>Government information</v>
      </c>
      <c r="AO1642" s="1194" t="str">
        <f>IF(I1642=".",".",VLOOKUP($I1642,'Price List, Weapons &amp; Items'!B:J,3,0))</f>
        <v>155mm howitzer ammunition</v>
      </c>
      <c r="AP1642" s="1195" t="str">
        <f t="shared" ca="1" si="342"/>
        <v/>
      </c>
      <c r="AQ1642" s="1194">
        <f>VLOOKUP($I1642,'Price List, Weapons &amp; Items'!B:L,COLUMN('Price List, Weapons &amp; Items'!$L$11)-1,0)</f>
        <v>2</v>
      </c>
      <c r="AR1642" s="1194">
        <f t="shared" si="349"/>
        <v>1</v>
      </c>
      <c r="AS1642" s="1194">
        <f t="shared" si="350"/>
        <v>1</v>
      </c>
      <c r="AT1642" s="1194">
        <f t="shared" si="351"/>
        <v>1</v>
      </c>
      <c r="AU1642" s="1194" t="str">
        <f t="shared" si="353"/>
        <v>.</v>
      </c>
      <c r="AV1642" s="1194" t="str">
        <f t="shared" si="343"/>
        <v>.</v>
      </c>
      <c r="AW1642" s="1194" t="str">
        <f t="shared" si="352"/>
        <v>.</v>
      </c>
      <c r="AX1642" s="1194">
        <f>IFERROR(VLOOKUP(B1642,'Share, Heavy Weapons to Ukraine'!B:Z,COLUMN('Share, Heavy Weapons to Ukraine'!C1653)-1,0),0)</f>
        <v>1</v>
      </c>
      <c r="AY1642" s="1194">
        <f>VLOOKUP('Bilateral Assistance, MAIN DATA'!B1642,'Country Summary (€)'!B:F,COLUMN('Country Summary (€)'!C1654)-1,FALSE)</f>
        <v>0</v>
      </c>
      <c r="AZ1642" s="1194" t="str">
        <f>IF(AND(AD1642=1,D1642="Military",H1642&lt;&gt;"Not given")=TRUE,IF(SUMIFS(P:P,A:A,A1642)&gt;0,ABS((SUMIFS(P:P,A:A,A1642)/VLOOKUP("USD",'Exchange Rates'!B:C,2,0)))/S1642,"."),".")</f>
        <v>.</v>
      </c>
      <c r="BA1642" s="1196" t="str">
        <f>IF(AND(AD1642=1,D1642="Military",H1642&lt;&gt;"Not given")=TRUE,IF(SUMIFS(P:P,A:A,A1642)&gt;0,IF((ABS((SUMIFS(P:P,A:A,A1642)/VLOOKUP("USD",'Exchange Rates'!B:C,2,0)))/S1642)&gt;1,(SUMIFS(P:P,A:A,A1642)-S1642)/S1642,(S1642-SUMIFS(P:P,A:A,A1642))/SUMIFS(P:P,A:A,A1642)),"."),".")</f>
        <v>.</v>
      </c>
    </row>
    <row r="1643" spans="1:53" ht="15.95" customHeight="1">
      <c r="A1643" s="1304" t="s">
        <v>4254</v>
      </c>
      <c r="B1643" s="1208" t="s">
        <v>3949</v>
      </c>
      <c r="C1643" s="1220">
        <v>44797</v>
      </c>
      <c r="D1643" s="1208" t="s">
        <v>389</v>
      </c>
      <c r="E1643" s="1208" t="s">
        <v>1676</v>
      </c>
      <c r="F1643" s="1183" t="s">
        <v>4269</v>
      </c>
      <c r="G1643" s="1184" t="s">
        <v>456</v>
      </c>
      <c r="H1643" s="1221">
        <v>2980000000</v>
      </c>
      <c r="I1643" s="1208" t="s">
        <v>3137</v>
      </c>
      <c r="J1643" s="1186" t="str">
        <f>VLOOKUP($I1643,'Price List, Weapons &amp; Items'!B:C,2,0)</f>
        <v>Ammunition for heavy weapon</v>
      </c>
      <c r="K1643" s="1186" t="str">
        <f>IF(I1643=".",I1643,VLOOKUP($I1643,'Price List, Weapons &amp; Items'!B:D,3,0))</f>
        <v>Mortar ammunition</v>
      </c>
      <c r="L1643" s="1187">
        <f>VLOOKUP(I1643,'Price List, Weapons &amp; Items'!B:E,4,0)</f>
        <v>0</v>
      </c>
      <c r="M1643" s="1241">
        <v>65000</v>
      </c>
      <c r="N1643" s="1188" t="s">
        <v>374</v>
      </c>
      <c r="O1643" s="1188">
        <f>VLOOKUP($I1643,'Price List, Weapons &amp; Items'!B:G,6,0)</f>
        <v>109.89</v>
      </c>
      <c r="P1643" s="1185">
        <f t="shared" si="344"/>
        <v>7142850</v>
      </c>
      <c r="Q1643" s="1185" t="str">
        <f t="shared" si="345"/>
        <v>.</v>
      </c>
      <c r="R1643" s="1185" t="str">
        <f t="shared" si="341"/>
        <v/>
      </c>
      <c r="S1643" s="1185" t="str">
        <f>IF(AND(AD1643=1,R1643&lt;&gt;".")=TRUE,R1643/VLOOKUP(G1643,'Exchange Rates'!B:C,2,0),IF(R1643=".",".",""))</f>
        <v/>
      </c>
      <c r="T1643" s="1185" t="str">
        <f>IF(AD1643=1,IF(AF1643="Value is not given at all",".",IF(AF1643="Value is given by the source",S1643,IF(AF1643="Value is calculated with prices",(IF(SUMIFS(Q:Q,A:A,A1643)&gt;0,SUMIFS(Q:Q,A:A,A1643),"."))/VLOOKUP("USD",'Exchange Rates'!B:C,2,0),"Error with coding"))),"")</f>
        <v/>
      </c>
      <c r="U1643" s="1184" t="s">
        <v>365</v>
      </c>
      <c r="V1643" s="979" t="s">
        <v>4270</v>
      </c>
      <c r="W1643" s="1042" t="s">
        <v>3955</v>
      </c>
      <c r="X1643" s="1043" t="s">
        <v>3959</v>
      </c>
      <c r="Y1643" s="1044" t="s">
        <v>4033</v>
      </c>
      <c r="Z1643" s="1184">
        <v>0</v>
      </c>
      <c r="AA1643" s="1194">
        <v>0</v>
      </c>
      <c r="AB1643" s="1180" t="s">
        <v>364</v>
      </c>
      <c r="AC1643" s="1192" t="str">
        <f>""</f>
        <v/>
      </c>
      <c r="AD1643" s="985">
        <v>0</v>
      </c>
      <c r="AE1643" s="1313" t="s">
        <v>368</v>
      </c>
      <c r="AF1643" s="985" t="s">
        <v>369</v>
      </c>
      <c r="AG1643" s="985">
        <v>1</v>
      </c>
      <c r="AH1643" s="1193">
        <v>8</v>
      </c>
      <c r="AI1643" s="1193">
        <v>0</v>
      </c>
      <c r="AJ1643" s="1193">
        <f>VLOOKUP($I1643,'Price List, Weapons &amp; Items'!B:F,5,0)</f>
        <v>0</v>
      </c>
      <c r="AK1643" s="1193">
        <f t="shared" si="346"/>
        <v>0</v>
      </c>
      <c r="AL1643" s="1193">
        <f t="shared" si="347"/>
        <v>0</v>
      </c>
      <c r="AM1643" s="1193">
        <f t="shared" si="348"/>
        <v>0</v>
      </c>
      <c r="AN1643" s="1194" t="str">
        <f>VLOOKUP($I1643,'Price List, Weapons &amp; Items'!B:L,COLUMN('Price List, Weapons &amp; Items'!$J$11)-1,0)</f>
        <v>Government information</v>
      </c>
      <c r="AO1643" s="1194" t="str">
        <f>IF(I1643=".",".",VLOOKUP($I1643,'Price List, Weapons &amp; Items'!B:J,3,0))</f>
        <v>Mortar ammunition</v>
      </c>
      <c r="AP1643" s="1195" t="str">
        <f t="shared" ca="1" si="342"/>
        <v/>
      </c>
      <c r="AQ1643" s="1194">
        <f>VLOOKUP($I1643,'Price List, Weapons &amp; Items'!B:L,COLUMN('Price List, Weapons &amp; Items'!$L$11)-1,0)</f>
        <v>2</v>
      </c>
      <c r="AR1643" s="1194">
        <f t="shared" si="349"/>
        <v>1</v>
      </c>
      <c r="AS1643" s="1194">
        <f t="shared" si="350"/>
        <v>1</v>
      </c>
      <c r="AT1643" s="1194">
        <f t="shared" si="351"/>
        <v>1</v>
      </c>
      <c r="AU1643" s="1194" t="str">
        <f t="shared" si="353"/>
        <v>.</v>
      </c>
      <c r="AV1643" s="1194" t="str">
        <f t="shared" si="343"/>
        <v>.</v>
      </c>
      <c r="AW1643" s="1194" t="str">
        <f t="shared" si="352"/>
        <v>.</v>
      </c>
      <c r="AX1643" s="1194">
        <f>IFERROR(VLOOKUP(B1643,'Share, Heavy Weapons to Ukraine'!B:Z,COLUMN('Share, Heavy Weapons to Ukraine'!C1654)-1,0),0)</f>
        <v>1</v>
      </c>
      <c r="AY1643" s="1194">
        <f>VLOOKUP('Bilateral Assistance, MAIN DATA'!B1643,'Country Summary (€)'!B:F,COLUMN('Country Summary (€)'!C1655)-1,FALSE)</f>
        <v>0</v>
      </c>
      <c r="AZ1643" s="1194" t="str">
        <f>IF(AND(AD1643=1,D1643="Military",H1643&lt;&gt;"Not given")=TRUE,IF(SUMIFS(P:P,A:A,A1643)&gt;0,ABS((SUMIFS(P:P,A:A,A1643)/VLOOKUP("USD",'Exchange Rates'!B:C,2,0)))/S1643,"."),".")</f>
        <v>.</v>
      </c>
      <c r="BA1643" s="1196" t="str">
        <f>IF(AND(AD1643=1,D1643="Military",H1643&lt;&gt;"Not given")=TRUE,IF(SUMIFS(P:P,A:A,A1643)&gt;0,IF((ABS((SUMIFS(P:P,A:A,A1643)/VLOOKUP("USD",'Exchange Rates'!B:C,2,0)))/S1643)&gt;1,(SUMIFS(P:P,A:A,A1643)-S1643)/S1643,(S1643-SUMIFS(P:P,A:A,A1643))/SUMIFS(P:P,A:A,A1643)),"."),".")</f>
        <v>.</v>
      </c>
    </row>
    <row r="1644" spans="1:53" ht="15.95" customHeight="1">
      <c r="A1644" s="1304" t="s">
        <v>4254</v>
      </c>
      <c r="B1644" s="1208" t="s">
        <v>3949</v>
      </c>
      <c r="C1644" s="1220">
        <v>44797</v>
      </c>
      <c r="D1644" s="1208" t="s">
        <v>389</v>
      </c>
      <c r="E1644" s="1208" t="s">
        <v>1676</v>
      </c>
      <c r="F1644" s="1183" t="s">
        <v>4269</v>
      </c>
      <c r="G1644" s="1184" t="s">
        <v>456</v>
      </c>
      <c r="H1644" s="1221">
        <v>2980000000</v>
      </c>
      <c r="I1644" s="1208" t="s">
        <v>4203</v>
      </c>
      <c r="J1644" s="1186" t="str">
        <f>VLOOKUP($I1644,'Price List, Weapons &amp; Items'!B:C,2,0)</f>
        <v>Heavy weapon</v>
      </c>
      <c r="K1644" s="1186" t="str">
        <f>IF(I1644=".",I1644,VLOOKUP($I1644,'Price List, Weapons &amp; Items'!B:D,3,0))</f>
        <v>Radar or imagery systems</v>
      </c>
      <c r="L1644" s="1187">
        <f>VLOOKUP(I1644,'Price List, Weapons &amp; Items'!B:E,4,0)</f>
        <v>0</v>
      </c>
      <c r="M1644" s="1241">
        <v>24</v>
      </c>
      <c r="N1644" s="1188" t="s">
        <v>374</v>
      </c>
      <c r="O1644" s="1188">
        <f>VLOOKUP($I1644,'Price List, Weapons &amp; Items'!B:G,6,0)</f>
        <v>54340000</v>
      </c>
      <c r="P1644" s="1185">
        <f t="shared" si="344"/>
        <v>1304160000</v>
      </c>
      <c r="Q1644" s="1185" t="str">
        <f t="shared" si="345"/>
        <v>.</v>
      </c>
      <c r="R1644" s="1185" t="str">
        <f t="shared" si="341"/>
        <v/>
      </c>
      <c r="S1644" s="1185" t="str">
        <f>IF(AND(AD1644=1,R1644&lt;&gt;".")=TRUE,R1644/VLOOKUP(G1644,'Exchange Rates'!B:C,2,0),IF(R1644=".",".",""))</f>
        <v/>
      </c>
      <c r="T1644" s="1185" t="str">
        <f>IF(AD1644=1,IF(AF1644="Value is not given at all",".",IF(AF1644="Value is given by the source",S1644,IF(AF1644="Value is calculated with prices",(IF(SUMIFS(Q:Q,A:A,A1644)&gt;0,SUMIFS(Q:Q,A:A,A1644),"."))/VLOOKUP("USD",'Exchange Rates'!B:C,2,0),"Error with coding"))),"")</f>
        <v/>
      </c>
      <c r="U1644" s="1184" t="s">
        <v>365</v>
      </c>
      <c r="V1644" s="979" t="s">
        <v>4270</v>
      </c>
      <c r="W1644" s="1042" t="s">
        <v>3955</v>
      </c>
      <c r="X1644" s="1043" t="s">
        <v>3959</v>
      </c>
      <c r="Y1644" s="1044" t="s">
        <v>4035</v>
      </c>
      <c r="Z1644" s="1184">
        <v>0</v>
      </c>
      <c r="AA1644" s="1194">
        <v>0</v>
      </c>
      <c r="AB1644" s="1180" t="s">
        <v>364</v>
      </c>
      <c r="AC1644" s="1192" t="str">
        <f>""</f>
        <v/>
      </c>
      <c r="AD1644" s="985">
        <v>0</v>
      </c>
      <c r="AE1644" s="1313" t="s">
        <v>368</v>
      </c>
      <c r="AF1644" s="985" t="s">
        <v>369</v>
      </c>
      <c r="AG1644" s="985">
        <v>1</v>
      </c>
      <c r="AH1644" s="1193">
        <v>8</v>
      </c>
      <c r="AI1644" s="985">
        <v>0</v>
      </c>
      <c r="AJ1644" s="1193">
        <f>VLOOKUP($I1644,'Price List, Weapons &amp; Items'!B:F,5,0)</f>
        <v>0</v>
      </c>
      <c r="AK1644" s="1193">
        <f t="shared" si="346"/>
        <v>0</v>
      </c>
      <c r="AL1644" s="1193">
        <f t="shared" si="347"/>
        <v>0</v>
      </c>
      <c r="AM1644" s="1193">
        <f t="shared" si="348"/>
        <v>0</v>
      </c>
      <c r="AN1644" s="1194" t="str">
        <f>VLOOKUP($I1644,'Price List, Weapons &amp; Items'!B:L,COLUMN('Price List, Weapons &amp; Items'!$J$11)-1,0)</f>
        <v>Military media (incl. websites)</v>
      </c>
      <c r="AO1644" s="1194" t="str">
        <f>IF(I1644=".",".",VLOOKUP($I1644,'Price List, Weapons &amp; Items'!B:J,3,0))</f>
        <v>Radar or imagery systems</v>
      </c>
      <c r="AP1644" s="1195" t="str">
        <f t="shared" ca="1" si="342"/>
        <v/>
      </c>
      <c r="AQ1644" s="1194">
        <f>VLOOKUP($I1644,'Price List, Weapons &amp; Items'!B:L,COLUMN('Price List, Weapons &amp; Items'!$L$11)-1,0)</f>
        <v>2</v>
      </c>
      <c r="AR1644" s="1194">
        <f t="shared" si="349"/>
        <v>1</v>
      </c>
      <c r="AS1644" s="1194">
        <f t="shared" si="350"/>
        <v>1</v>
      </c>
      <c r="AT1644" s="1194">
        <f t="shared" si="351"/>
        <v>1</v>
      </c>
      <c r="AU1644" s="1194" t="str">
        <f t="shared" si="353"/>
        <v>.</v>
      </c>
      <c r="AV1644" s="1194" t="str">
        <f t="shared" si="343"/>
        <v>.</v>
      </c>
      <c r="AW1644" s="1194" t="str">
        <f t="shared" si="352"/>
        <v>.</v>
      </c>
      <c r="AX1644" s="1194">
        <f>IFERROR(VLOOKUP(B1644,'Share, Heavy Weapons to Ukraine'!B:Z,COLUMN('Share, Heavy Weapons to Ukraine'!C1655)-1,0),0)</f>
        <v>1</v>
      </c>
      <c r="AY1644" s="1194">
        <f>VLOOKUP('Bilateral Assistance, MAIN DATA'!B1644,'Country Summary (€)'!B:F,COLUMN('Country Summary (€)'!C1656)-1,FALSE)</f>
        <v>0</v>
      </c>
      <c r="AZ1644" s="1194" t="str">
        <f>IF(AND(AD1644=1,D1644="Military",H1644&lt;&gt;"Not given")=TRUE,IF(SUMIFS(P:P,A:A,A1644)&gt;0,ABS((SUMIFS(P:P,A:A,A1644)/VLOOKUP("USD",'Exchange Rates'!B:C,2,0)))/S1644,"."),".")</f>
        <v>.</v>
      </c>
      <c r="BA1644" s="1196" t="str">
        <f>IF(AND(AD1644=1,D1644="Military",H1644&lt;&gt;"Not given")=TRUE,IF(SUMIFS(P:P,A:A,A1644)&gt;0,IF((ABS((SUMIFS(P:P,A:A,A1644)/VLOOKUP("USD",'Exchange Rates'!B:C,2,0)))/S1644)&gt;1,(SUMIFS(P:P,A:A,A1644)-S1644)/S1644,(S1644-SUMIFS(P:P,A:A,A1644))/SUMIFS(P:P,A:A,A1644)),"."),".")</f>
        <v>.</v>
      </c>
    </row>
    <row r="1645" spans="1:53" ht="15.95" customHeight="1">
      <c r="A1645" s="1304" t="s">
        <v>4254</v>
      </c>
      <c r="B1645" s="1208" t="s">
        <v>3949</v>
      </c>
      <c r="C1645" s="1220">
        <v>44797</v>
      </c>
      <c r="D1645" s="1208" t="s">
        <v>389</v>
      </c>
      <c r="E1645" s="1208" t="s">
        <v>1676</v>
      </c>
      <c r="F1645" s="1183" t="s">
        <v>4269</v>
      </c>
      <c r="G1645" s="1184" t="s">
        <v>456</v>
      </c>
      <c r="H1645" s="1221">
        <v>2980000000</v>
      </c>
      <c r="I1645" s="1208" t="s">
        <v>4271</v>
      </c>
      <c r="J1645" s="1186" t="str">
        <f>VLOOKUP($I1645,'Price List, Weapons &amp; Items'!B:C,2,0)</f>
        <v>Aviation and drones</v>
      </c>
      <c r="K1645" s="1186" t="str">
        <f>IF(I1645=".",I1645,VLOOKUP($I1645,'Price List, Weapons &amp; Items'!B:D,3,0))</f>
        <v>Drone</v>
      </c>
      <c r="L1645" s="1187">
        <f>VLOOKUP(I1645,'Price List, Weapons &amp; Items'!B:E,4,0)</f>
        <v>0</v>
      </c>
      <c r="M1645" s="1241" t="s">
        <v>374</v>
      </c>
      <c r="N1645" s="1188" t="s">
        <v>374</v>
      </c>
      <c r="O1645" s="1188">
        <f>VLOOKUP($I1645,'Price List, Weapons &amp; Items'!B:G,6,0)</f>
        <v>250000</v>
      </c>
      <c r="P1645" s="1185" t="str">
        <f t="shared" si="344"/>
        <v>.</v>
      </c>
      <c r="Q1645" s="1185" t="str">
        <f t="shared" si="345"/>
        <v>.</v>
      </c>
      <c r="R1645" s="1185" t="str">
        <f t="shared" si="341"/>
        <v/>
      </c>
      <c r="S1645" s="1185" t="str">
        <f>IF(AND(AD1645=1,R1645&lt;&gt;".")=TRUE,R1645/VLOOKUP(G1645,'Exchange Rates'!B:C,2,0),IF(R1645=".",".",""))</f>
        <v/>
      </c>
      <c r="T1645" s="1185" t="str">
        <f>IF(AD1645=1,IF(AF1645="Value is not given at all",".",IF(AF1645="Value is given by the source",S1645,IF(AF1645="Value is calculated with prices",(IF(SUMIFS(Q:Q,A:A,A1645)&gt;0,SUMIFS(Q:Q,A:A,A1645),"."))/VLOOKUP("USD",'Exchange Rates'!B:C,2,0),"Error with coding"))),"")</f>
        <v/>
      </c>
      <c r="U1645" s="1184" t="s">
        <v>365</v>
      </c>
      <c r="V1645" s="979" t="s">
        <v>4270</v>
      </c>
      <c r="W1645" s="1042" t="s">
        <v>3955</v>
      </c>
      <c r="X1645" s="1043" t="s">
        <v>3959</v>
      </c>
      <c r="Y1645" s="1044" t="s">
        <v>4036</v>
      </c>
      <c r="Z1645" s="1184">
        <v>0</v>
      </c>
      <c r="AA1645" s="1194">
        <v>0</v>
      </c>
      <c r="AB1645" s="1180" t="s">
        <v>364</v>
      </c>
      <c r="AC1645" s="1192" t="str">
        <f>""</f>
        <v/>
      </c>
      <c r="AD1645" s="985">
        <v>0</v>
      </c>
      <c r="AE1645" s="1313" t="s">
        <v>368</v>
      </c>
      <c r="AF1645" s="985" t="s">
        <v>369</v>
      </c>
      <c r="AG1645" s="985">
        <v>1</v>
      </c>
      <c r="AH1645" s="1193">
        <v>8</v>
      </c>
      <c r="AI1645" s="1193">
        <v>0</v>
      </c>
      <c r="AJ1645" s="1193">
        <f>VLOOKUP($I1645,'Price List, Weapons &amp; Items'!B:F,5,0)</f>
        <v>0</v>
      </c>
      <c r="AK1645" s="1193">
        <f t="shared" si="346"/>
        <v>0</v>
      </c>
      <c r="AL1645" s="1193">
        <f t="shared" si="347"/>
        <v>0</v>
      </c>
      <c r="AM1645" s="1193">
        <f t="shared" si="348"/>
        <v>0</v>
      </c>
      <c r="AN1645" s="1194" t="str">
        <f>VLOOKUP($I1645,'Price List, Weapons &amp; Items'!B:L,COLUMN('Price List, Weapons &amp; Items'!$J$11)-1,0)</f>
        <v>Media reports (incl. social media)</v>
      </c>
      <c r="AO1645" s="1194" t="str">
        <f>IF(I1645=".",".",VLOOKUP($I1645,'Price List, Weapons &amp; Items'!B:J,3,0))</f>
        <v>Drone</v>
      </c>
      <c r="AP1645" s="1195" t="str">
        <f t="shared" ca="1" si="342"/>
        <v/>
      </c>
      <c r="AQ1645" s="1194" t="str">
        <f>VLOOKUP($I1645,'Price List, Weapons &amp; Items'!B:L,COLUMN('Price List, Weapons &amp; Items'!$L$11)-1,0)</f>
        <v>no price, 0 count</v>
      </c>
      <c r="AR1645" s="1194">
        <f t="shared" si="349"/>
        <v>1</v>
      </c>
      <c r="AS1645" s="1194">
        <f t="shared" si="350"/>
        <v>1</v>
      </c>
      <c r="AT1645" s="1194">
        <f t="shared" si="351"/>
        <v>1</v>
      </c>
      <c r="AU1645" s="1194" t="str">
        <f t="shared" si="353"/>
        <v>.</v>
      </c>
      <c r="AV1645" s="1194" t="str">
        <f t="shared" si="343"/>
        <v>.</v>
      </c>
      <c r="AW1645" s="1194" t="str">
        <f t="shared" si="352"/>
        <v>.</v>
      </c>
      <c r="AX1645" s="1194">
        <f>IFERROR(VLOOKUP(B1645,'Share, Heavy Weapons to Ukraine'!B:Z,COLUMN('Share, Heavy Weapons to Ukraine'!C1656)-1,0),0)</f>
        <v>1</v>
      </c>
      <c r="AY1645" s="1194">
        <f>VLOOKUP('Bilateral Assistance, MAIN DATA'!B1645,'Country Summary (€)'!B:F,COLUMN('Country Summary (€)'!C1657)-1,FALSE)</f>
        <v>0</v>
      </c>
      <c r="AZ1645" s="1194" t="str">
        <f>IF(AND(AD1645=1,D1645="Military",H1645&lt;&gt;"Not given")=TRUE,IF(SUMIFS(P:P,A:A,A1645)&gt;0,ABS((SUMIFS(P:P,A:A,A1645)/VLOOKUP("USD",'Exchange Rates'!B:C,2,0)))/S1645,"."),".")</f>
        <v>.</v>
      </c>
      <c r="BA1645" s="1196" t="str">
        <f>IF(AND(AD1645=1,D1645="Military",H1645&lt;&gt;"Not given")=TRUE,IF(SUMIFS(P:P,A:A,A1645)&gt;0,IF((ABS((SUMIFS(P:P,A:A,A1645)/VLOOKUP("USD",'Exchange Rates'!B:C,2,0)))/S1645)&gt;1,(SUMIFS(P:P,A:A,A1645)-S1645)/S1645,(S1645-SUMIFS(P:P,A:A,A1645))/SUMIFS(P:P,A:A,A1645)),"."),".")</f>
        <v>.</v>
      </c>
    </row>
    <row r="1646" spans="1:53" ht="15.95" customHeight="1">
      <c r="A1646" s="1304" t="s">
        <v>4254</v>
      </c>
      <c r="B1646" s="1208" t="s">
        <v>3949</v>
      </c>
      <c r="C1646" s="1220">
        <v>44797</v>
      </c>
      <c r="D1646" s="1208" t="s">
        <v>389</v>
      </c>
      <c r="E1646" s="1208" t="s">
        <v>1676</v>
      </c>
      <c r="F1646" s="1183" t="s">
        <v>4269</v>
      </c>
      <c r="G1646" s="1184" t="s">
        <v>456</v>
      </c>
      <c r="H1646" s="1221">
        <v>2980000000</v>
      </c>
      <c r="I1646" s="1208" t="s">
        <v>4272</v>
      </c>
      <c r="J1646" s="1186" t="str">
        <f>VLOOKUP($I1646,'Price List, Weapons &amp; Items'!B:C,2,0)</f>
        <v>Military equipment</v>
      </c>
      <c r="K1646" s="1186" t="str">
        <f>IF(I1646=".",I1646,VLOOKUP($I1646,'Price List, Weapons &amp; Items'!B:D,3,0))</f>
        <v>Military equipment</v>
      </c>
      <c r="L1646" s="1187">
        <f>VLOOKUP(I1646,'Price List, Weapons &amp; Items'!B:E,4,0)</f>
        <v>0</v>
      </c>
      <c r="M1646" s="1241" t="s">
        <v>374</v>
      </c>
      <c r="N1646" s="1188" t="s">
        <v>374</v>
      </c>
      <c r="O1646" s="1188" t="str">
        <f>VLOOKUP($I1646,'Price List, Weapons &amp; Items'!B:G,6,0)</f>
        <v>.</v>
      </c>
      <c r="P1646" s="1185" t="str">
        <f t="shared" si="344"/>
        <v>.</v>
      </c>
      <c r="Q1646" s="1185" t="str">
        <f t="shared" si="345"/>
        <v>.</v>
      </c>
      <c r="R1646" s="1185" t="str">
        <f t="shared" si="341"/>
        <v/>
      </c>
      <c r="S1646" s="1185" t="str">
        <f>IF(AND(AD1646=1,R1646&lt;&gt;".")=TRUE,R1646/VLOOKUP(G1646,'Exchange Rates'!B:C,2,0),IF(R1646=".",".",""))</f>
        <v/>
      </c>
      <c r="T1646" s="1185" t="str">
        <f>IF(AD1646=1,IF(AF1646="Value is not given at all",".",IF(AF1646="Value is given by the source",S1646,IF(AF1646="Value is calculated with prices",(IF(SUMIFS(Q:Q,A:A,A1646)&gt;0,SUMIFS(Q:Q,A:A,A1646),"."))/VLOOKUP("USD",'Exchange Rates'!B:C,2,0),"Error with coding"))),"")</f>
        <v/>
      </c>
      <c r="U1646" s="1184" t="s">
        <v>365</v>
      </c>
      <c r="V1646" s="979" t="s">
        <v>4270</v>
      </c>
      <c r="W1646" s="1042" t="s">
        <v>3955</v>
      </c>
      <c r="X1646" s="1043" t="s">
        <v>3959</v>
      </c>
      <c r="Y1646" s="1044" t="s">
        <v>4037</v>
      </c>
      <c r="Z1646" s="1184">
        <v>0</v>
      </c>
      <c r="AA1646" s="1194">
        <v>0</v>
      </c>
      <c r="AB1646" s="1180" t="s">
        <v>364</v>
      </c>
      <c r="AC1646" s="1192" t="str">
        <f>""</f>
        <v/>
      </c>
      <c r="AD1646" s="985">
        <v>0</v>
      </c>
      <c r="AE1646" s="1313" t="s">
        <v>368</v>
      </c>
      <c r="AF1646" s="985" t="s">
        <v>369</v>
      </c>
      <c r="AG1646" s="985">
        <v>1</v>
      </c>
      <c r="AH1646" s="1193">
        <v>8</v>
      </c>
      <c r="AI1646" s="985">
        <v>0</v>
      </c>
      <c r="AJ1646" s="1193">
        <f>VLOOKUP($I1646,'Price List, Weapons &amp; Items'!B:F,5,0)</f>
        <v>0</v>
      </c>
      <c r="AK1646" s="1193">
        <f t="shared" si="346"/>
        <v>0</v>
      </c>
      <c r="AL1646" s="1193">
        <f t="shared" si="347"/>
        <v>0</v>
      </c>
      <c r="AM1646" s="1193">
        <f t="shared" si="348"/>
        <v>0</v>
      </c>
      <c r="AN1646" s="1194" t="str">
        <f>VLOOKUP($I1646,'Price List, Weapons &amp; Items'!B:L,COLUMN('Price List, Weapons &amp; Items'!$J$11)-1,0)</f>
        <v>.</v>
      </c>
      <c r="AO1646" s="1194" t="str">
        <f>IF(I1646=".",".",VLOOKUP($I1646,'Price List, Weapons &amp; Items'!B:J,3,0))</f>
        <v>Military equipment</v>
      </c>
      <c r="AP1646" s="1195" t="str">
        <f t="shared" ca="1" si="342"/>
        <v/>
      </c>
      <c r="AQ1646" s="1194" t="str">
        <f>VLOOKUP($I1646,'Price List, Weapons &amp; Items'!B:L,COLUMN('Price List, Weapons &amp; Items'!$L$11)-1,0)</f>
        <v>no price, 0 count</v>
      </c>
      <c r="AR1646" s="1194">
        <f t="shared" si="349"/>
        <v>1</v>
      </c>
      <c r="AS1646" s="1194">
        <f t="shared" si="350"/>
        <v>1</v>
      </c>
      <c r="AT1646" s="1194">
        <f t="shared" si="351"/>
        <v>1</v>
      </c>
      <c r="AU1646" s="1194" t="str">
        <f t="shared" si="353"/>
        <v>.</v>
      </c>
      <c r="AV1646" s="1194" t="str">
        <f t="shared" si="343"/>
        <v>.</v>
      </c>
      <c r="AW1646" s="1194" t="str">
        <f t="shared" si="352"/>
        <v>.</v>
      </c>
      <c r="AX1646" s="1194">
        <f>IFERROR(VLOOKUP(B1646,'Share, Heavy Weapons to Ukraine'!B:Z,COLUMN('Share, Heavy Weapons to Ukraine'!C1657)-1,0),0)</f>
        <v>1</v>
      </c>
      <c r="AY1646" s="1194">
        <f>VLOOKUP('Bilateral Assistance, MAIN DATA'!B1646,'Country Summary (€)'!B:F,COLUMN('Country Summary (€)'!C1658)-1,FALSE)</f>
        <v>0</v>
      </c>
      <c r="AZ1646" s="1194" t="str">
        <f>IF(AND(AD1646=1,D1646="Military",H1646&lt;&gt;"Not given")=TRUE,IF(SUMIFS(P:P,A:A,A1646)&gt;0,ABS((SUMIFS(P:P,A:A,A1646)/VLOOKUP("USD",'Exchange Rates'!B:C,2,0)))/S1646,"."),".")</f>
        <v>.</v>
      </c>
      <c r="BA1646" s="1196" t="str">
        <f>IF(AND(AD1646=1,D1646="Military",H1646&lt;&gt;"Not given")=TRUE,IF(SUMIFS(P:P,A:A,A1646)&gt;0,IF((ABS((SUMIFS(P:P,A:A,A1646)/VLOOKUP("USD",'Exchange Rates'!B:C,2,0)))/S1646)&gt;1,(SUMIFS(P:P,A:A,A1646)-S1646)/S1646,(S1646-SUMIFS(P:P,A:A,A1646))/SUMIFS(P:P,A:A,A1646)),"."),".")</f>
        <v>.</v>
      </c>
    </row>
    <row r="1647" spans="1:53" ht="15.95" customHeight="1">
      <c r="A1647" s="1304" t="s">
        <v>4254</v>
      </c>
      <c r="B1647" s="1208" t="s">
        <v>3949</v>
      </c>
      <c r="C1647" s="1220">
        <v>44797</v>
      </c>
      <c r="D1647" s="1208" t="s">
        <v>389</v>
      </c>
      <c r="E1647" s="1208" t="s">
        <v>1676</v>
      </c>
      <c r="F1647" s="1183" t="s">
        <v>4269</v>
      </c>
      <c r="G1647" s="1184" t="s">
        <v>456</v>
      </c>
      <c r="H1647" s="1221">
        <v>2980000000</v>
      </c>
      <c r="I1647" s="1208" t="s">
        <v>4273</v>
      </c>
      <c r="J1647" s="1186" t="str">
        <f>VLOOKUP($I1647,'Price List, Weapons &amp; Items'!B:C,2,0)</f>
        <v>Aviation and drones</v>
      </c>
      <c r="K1647" s="1186" t="str">
        <f>IF(I1647=".",I1647,VLOOKUP($I1647,'Price List, Weapons &amp; Items'!B:D,3,0))</f>
        <v>Drone</v>
      </c>
      <c r="L1647" s="1187">
        <f>VLOOKUP(I1647,'Price List, Weapons &amp; Items'!B:E,4,0)</f>
        <v>0</v>
      </c>
      <c r="M1647" s="1241" t="s">
        <v>374</v>
      </c>
      <c r="N1647" s="1188" t="s">
        <v>374</v>
      </c>
      <c r="O1647" s="1188">
        <f>VLOOKUP($I1647,'Price List, Weapons &amp; Items'!B:G,6,0)</f>
        <v>15000000</v>
      </c>
      <c r="P1647" s="1185" t="str">
        <f t="shared" si="344"/>
        <v>.</v>
      </c>
      <c r="Q1647" s="1185" t="str">
        <f t="shared" si="345"/>
        <v>.</v>
      </c>
      <c r="R1647" s="1185" t="str">
        <f t="shared" si="341"/>
        <v/>
      </c>
      <c r="S1647" s="1185" t="str">
        <f>IF(AND(AD1647=1,R1647&lt;&gt;".")=TRUE,R1647/VLOOKUP(G1647,'Exchange Rates'!B:C,2,0),IF(R1647=".",".",""))</f>
        <v/>
      </c>
      <c r="T1647" s="1185" t="str">
        <f>IF(AD1647=1,IF(AF1647="Value is not given at all",".",IF(AF1647="Value is given by the source",S1647,IF(AF1647="Value is calculated with prices",(IF(SUMIFS(Q:Q,A:A,A1647)&gt;0,SUMIFS(Q:Q,A:A,A1647),"."))/VLOOKUP("USD",'Exchange Rates'!B:C,2,0),"Error with coding"))),"")</f>
        <v/>
      </c>
      <c r="U1647" s="1184" t="s">
        <v>365</v>
      </c>
      <c r="V1647" s="979" t="s">
        <v>4270</v>
      </c>
      <c r="W1647" s="1042" t="s">
        <v>3955</v>
      </c>
      <c r="X1647" s="1043" t="s">
        <v>3959</v>
      </c>
      <c r="Y1647" s="1044" t="s">
        <v>4038</v>
      </c>
      <c r="Z1647" s="1184">
        <v>0</v>
      </c>
      <c r="AA1647" s="1194">
        <v>0</v>
      </c>
      <c r="AB1647" s="1180" t="s">
        <v>364</v>
      </c>
      <c r="AC1647" s="1192" t="str">
        <f>""</f>
        <v/>
      </c>
      <c r="AD1647" s="985">
        <v>0</v>
      </c>
      <c r="AE1647" s="1313" t="s">
        <v>368</v>
      </c>
      <c r="AF1647" s="985" t="s">
        <v>369</v>
      </c>
      <c r="AG1647" s="985">
        <v>1</v>
      </c>
      <c r="AH1647" s="1193">
        <v>8</v>
      </c>
      <c r="AI1647" s="1193">
        <v>0</v>
      </c>
      <c r="AJ1647" s="1193">
        <f>VLOOKUP($I1647,'Price List, Weapons &amp; Items'!B:F,5,0)</f>
        <v>0</v>
      </c>
      <c r="AK1647" s="1193">
        <f t="shared" si="346"/>
        <v>0</v>
      </c>
      <c r="AL1647" s="1193">
        <f t="shared" si="347"/>
        <v>0</v>
      </c>
      <c r="AM1647" s="1193">
        <f t="shared" si="348"/>
        <v>0</v>
      </c>
      <c r="AN1647" s="1194" t="str">
        <f>VLOOKUP($I1647,'Price List, Weapons &amp; Items'!B:L,COLUMN('Price List, Weapons &amp; Items'!$J$11)-1,0)</f>
        <v>Miscellaneous</v>
      </c>
      <c r="AO1647" s="1194" t="str">
        <f>IF(I1647=".",".",VLOOKUP($I1647,'Price List, Weapons &amp; Items'!B:J,3,0))</f>
        <v>Drone</v>
      </c>
      <c r="AP1647" s="1195" t="str">
        <f t="shared" ca="1" si="342"/>
        <v/>
      </c>
      <c r="AQ1647" s="1194" t="str">
        <f>VLOOKUP($I1647,'Price List, Weapons &amp; Items'!B:L,COLUMN('Price List, Weapons &amp; Items'!$L$11)-1,0)</f>
        <v>no price, 0 count</v>
      </c>
      <c r="AR1647" s="1194">
        <f t="shared" si="349"/>
        <v>1</v>
      </c>
      <c r="AS1647" s="1194">
        <f t="shared" si="350"/>
        <v>1</v>
      </c>
      <c r="AT1647" s="1194">
        <f t="shared" si="351"/>
        <v>1</v>
      </c>
      <c r="AU1647" s="1194" t="str">
        <f t="shared" si="353"/>
        <v>.</v>
      </c>
      <c r="AV1647" s="1194" t="str">
        <f t="shared" si="343"/>
        <v>.</v>
      </c>
      <c r="AW1647" s="1194" t="str">
        <f t="shared" si="352"/>
        <v>.</v>
      </c>
      <c r="AX1647" s="1194">
        <f>IFERROR(VLOOKUP(B1647,'Share, Heavy Weapons to Ukraine'!B:Z,COLUMN('Share, Heavy Weapons to Ukraine'!C1658)-1,0),0)</f>
        <v>1</v>
      </c>
      <c r="AY1647" s="1194">
        <f>VLOOKUP('Bilateral Assistance, MAIN DATA'!B1647,'Country Summary (€)'!B:F,COLUMN('Country Summary (€)'!C1659)-1,FALSE)</f>
        <v>0</v>
      </c>
      <c r="AZ1647" s="1194" t="str">
        <f>IF(AND(AD1647=1,D1647="Military",H1647&lt;&gt;"Not given")=TRUE,IF(SUMIFS(P:P,A:A,A1647)&gt;0,ABS((SUMIFS(P:P,A:A,A1647)/VLOOKUP("USD",'Exchange Rates'!B:C,2,0)))/S1647,"."),".")</f>
        <v>.</v>
      </c>
      <c r="BA1647" s="1196" t="str">
        <f>IF(AND(AD1647=1,D1647="Military",H1647&lt;&gt;"Not given")=TRUE,IF(SUMIFS(P:P,A:A,A1647)&gt;0,IF((ABS((SUMIFS(P:P,A:A,A1647)/VLOOKUP("USD",'Exchange Rates'!B:C,2,0)))/S1647)&gt;1,(SUMIFS(P:P,A:A,A1647)-S1647)/S1647,(S1647-SUMIFS(P:P,A:A,A1647))/SUMIFS(P:P,A:A,A1647)),"."),".")</f>
        <v>.</v>
      </c>
    </row>
    <row r="1648" spans="1:53" ht="15.95" customHeight="1">
      <c r="A1648" s="1304" t="s">
        <v>4254</v>
      </c>
      <c r="B1648" s="1208" t="s">
        <v>3949</v>
      </c>
      <c r="C1648" s="1220">
        <v>44797</v>
      </c>
      <c r="D1648" s="1208" t="s">
        <v>389</v>
      </c>
      <c r="E1648" s="1208" t="s">
        <v>1676</v>
      </c>
      <c r="F1648" s="1183" t="s">
        <v>4269</v>
      </c>
      <c r="G1648" s="1184" t="s">
        <v>456</v>
      </c>
      <c r="H1648" s="1221">
        <v>2980000000</v>
      </c>
      <c r="I1648" s="1208" t="s">
        <v>4274</v>
      </c>
      <c r="J1648" s="1186" t="str">
        <f>VLOOKUP($I1648,'Price List, Weapons &amp; Items'!B:C,2,0)</f>
        <v>Portable defence system</v>
      </c>
      <c r="K1648" s="1186" t="str">
        <f>IF(I1648=".",I1648,VLOOKUP($I1648,'Price List, Weapons &amp; Items'!B:D,3,0))</f>
        <v>Light Anti-armor Weapon (LAW)</v>
      </c>
      <c r="L1648" s="1187">
        <f>VLOOKUP(I1648,'Price List, Weapons &amp; Items'!B:E,4,0)</f>
        <v>0</v>
      </c>
      <c r="M1648" s="1241" t="s">
        <v>374</v>
      </c>
      <c r="N1648" s="1188" t="s">
        <v>374</v>
      </c>
      <c r="O1648" s="1188">
        <f>VLOOKUP($I1648,'Price List, Weapons &amp; Items'!B:G,6,0)</f>
        <v>22000</v>
      </c>
      <c r="P1648" s="1185" t="str">
        <f t="shared" si="344"/>
        <v>.</v>
      </c>
      <c r="Q1648" s="1185" t="str">
        <f t="shared" si="345"/>
        <v>.</v>
      </c>
      <c r="R1648" s="1185" t="str">
        <f t="shared" si="341"/>
        <v/>
      </c>
      <c r="S1648" s="1185" t="str">
        <f>IF(AND(AD1648=1,R1648&lt;&gt;".")=TRUE,R1648/VLOOKUP(G1648,'Exchange Rates'!B:C,2,0),IF(R1648=".",".",""))</f>
        <v/>
      </c>
      <c r="T1648" s="1185" t="str">
        <f>IF(AD1648=1,IF(AF1648="Value is not given at all",".",IF(AF1648="Value is given by the source",S1648,IF(AF1648="Value is calculated with prices",(IF(SUMIFS(Q:Q,A:A,A1648)&gt;0,SUMIFS(Q:Q,A:A,A1648),"."))/VLOOKUP("USD",'Exchange Rates'!B:C,2,0),"Error with coding"))),"")</f>
        <v/>
      </c>
      <c r="U1648" s="1184" t="s">
        <v>365</v>
      </c>
      <c r="V1648" s="979" t="s">
        <v>4270</v>
      </c>
      <c r="W1648" s="1042" t="s">
        <v>3955</v>
      </c>
      <c r="X1648" s="1043" t="s">
        <v>3959</v>
      </c>
      <c r="Y1648" s="1044" t="s">
        <v>4039</v>
      </c>
      <c r="Z1648" s="1184">
        <v>0</v>
      </c>
      <c r="AA1648" s="1194">
        <v>0</v>
      </c>
      <c r="AB1648" s="1180" t="s">
        <v>364</v>
      </c>
      <c r="AC1648" s="1192" t="str">
        <f>""</f>
        <v/>
      </c>
      <c r="AD1648" s="985">
        <v>0</v>
      </c>
      <c r="AE1648" s="1313" t="s">
        <v>368</v>
      </c>
      <c r="AF1648" s="985" t="s">
        <v>369</v>
      </c>
      <c r="AG1648" s="985">
        <v>1</v>
      </c>
      <c r="AH1648" s="1193">
        <v>8</v>
      </c>
      <c r="AI1648" s="985">
        <v>0</v>
      </c>
      <c r="AJ1648" s="1193">
        <f>VLOOKUP($I1648,'Price List, Weapons &amp; Items'!B:F,5,0)</f>
        <v>0</v>
      </c>
      <c r="AK1648" s="1193">
        <f t="shared" si="346"/>
        <v>0</v>
      </c>
      <c r="AL1648" s="1193">
        <f t="shared" si="347"/>
        <v>0</v>
      </c>
      <c r="AM1648" s="1193">
        <f t="shared" si="348"/>
        <v>0</v>
      </c>
      <c r="AN1648" s="1194" t="str">
        <f>VLOOKUP($I1648,'Price List, Weapons &amp; Items'!B:L,COLUMN('Price List, Weapons &amp; Items'!$J$11)-1,0)</f>
        <v>Contracts</v>
      </c>
      <c r="AO1648" s="1194" t="str">
        <f>IF(I1648=".",".",VLOOKUP($I1648,'Price List, Weapons &amp; Items'!B:J,3,0))</f>
        <v>Light Anti-armor Weapon (LAW)</v>
      </c>
      <c r="AP1648" s="1195" t="str">
        <f t="shared" ca="1" si="342"/>
        <v/>
      </c>
      <c r="AQ1648" s="1194" t="str">
        <f>VLOOKUP($I1648,'Price List, Weapons &amp; Items'!B:L,COLUMN('Price List, Weapons &amp; Items'!$L$11)-1,0)</f>
        <v>no price, 0 count</v>
      </c>
      <c r="AR1648" s="1194">
        <f t="shared" si="349"/>
        <v>1</v>
      </c>
      <c r="AS1648" s="1194">
        <f t="shared" si="350"/>
        <v>1</v>
      </c>
      <c r="AT1648" s="1194">
        <f t="shared" si="351"/>
        <v>1</v>
      </c>
      <c r="AU1648" s="1194" t="str">
        <f t="shared" si="353"/>
        <v>.</v>
      </c>
      <c r="AV1648" s="1194" t="str">
        <f t="shared" si="343"/>
        <v>.</v>
      </c>
      <c r="AW1648" s="1194" t="str">
        <f t="shared" si="352"/>
        <v>.</v>
      </c>
      <c r="AX1648" s="1194">
        <f>IFERROR(VLOOKUP(B1648,'Share, Heavy Weapons to Ukraine'!B:Z,COLUMN('Share, Heavy Weapons to Ukraine'!C1659)-1,0),0)</f>
        <v>1</v>
      </c>
      <c r="AY1648" s="1194">
        <f>VLOOKUP('Bilateral Assistance, MAIN DATA'!B1648,'Country Summary (€)'!B:F,COLUMN('Country Summary (€)'!C1660)-1,FALSE)</f>
        <v>0</v>
      </c>
      <c r="AZ1648" s="1194" t="str">
        <f>IF(AND(AD1648=1,D1648="Military",H1648&lt;&gt;"Not given")=TRUE,IF(SUMIFS(P:P,A:A,A1648)&gt;0,ABS((SUMIFS(P:P,A:A,A1648)/VLOOKUP("USD",'Exchange Rates'!B:C,2,0)))/S1648,"."),".")</f>
        <v>.</v>
      </c>
      <c r="BA1648" s="1196" t="str">
        <f>IF(AND(AD1648=1,D1648="Military",H1648&lt;&gt;"Not given")=TRUE,IF(SUMIFS(P:P,A:A,A1648)&gt;0,IF((ABS((SUMIFS(P:P,A:A,A1648)/VLOOKUP("USD",'Exchange Rates'!B:C,2,0)))/S1648)&gt;1,(SUMIFS(P:P,A:A,A1648)-S1648)/S1648,(S1648-SUMIFS(P:P,A:A,A1648))/SUMIFS(P:P,A:A,A1648)),"."),".")</f>
        <v>.</v>
      </c>
    </row>
    <row r="1649" spans="1:53" ht="15.95" customHeight="1">
      <c r="A1649" s="1304" t="s">
        <v>4254</v>
      </c>
      <c r="B1649" s="1208" t="s">
        <v>3949</v>
      </c>
      <c r="C1649" s="1220">
        <v>44832</v>
      </c>
      <c r="D1649" s="1208" t="s">
        <v>389</v>
      </c>
      <c r="E1649" s="1208" t="s">
        <v>1676</v>
      </c>
      <c r="F1649" s="1183" t="s">
        <v>4275</v>
      </c>
      <c r="G1649" s="1184" t="s">
        <v>456</v>
      </c>
      <c r="H1649" s="1221">
        <v>1100000000</v>
      </c>
      <c r="I1649" s="1208" t="s">
        <v>4070</v>
      </c>
      <c r="J1649" s="1186" t="str">
        <f>VLOOKUP($I1649,'Price List, Weapons &amp; Items'!B:C,2,0)</f>
        <v>Heavy weapon</v>
      </c>
      <c r="K1649" s="1186" t="str">
        <f>IF(I1649=".",I1649,VLOOKUP($I1649,'Price List, Weapons &amp; Items'!B:D,3,0))</f>
        <v>227mm MLRS</v>
      </c>
      <c r="L1649" s="1187">
        <f>VLOOKUP(I1649,'Price List, Weapons &amp; Items'!B:E,4,0)</f>
        <v>0</v>
      </c>
      <c r="M1649" s="1241">
        <v>18</v>
      </c>
      <c r="N1649" s="1188" t="s">
        <v>374</v>
      </c>
      <c r="O1649" s="1188">
        <f>VLOOKUP($I1649,'Price List, Weapons &amp; Items'!B:G,6,0)</f>
        <v>15076313.029999999</v>
      </c>
      <c r="P1649" s="1185">
        <f t="shared" si="344"/>
        <v>271373634.53999996</v>
      </c>
      <c r="Q1649" s="1185" t="str">
        <f t="shared" si="345"/>
        <v>.</v>
      </c>
      <c r="R1649" s="1185" t="str">
        <f t="shared" si="341"/>
        <v/>
      </c>
      <c r="S1649" s="1185" t="str">
        <f>IF(AND(AD1649=1,R1649&lt;&gt;".")=TRUE,R1649/VLOOKUP(G1649,'Exchange Rates'!B:C,2,0),IF(R1649=".",".",""))</f>
        <v/>
      </c>
      <c r="T1649" s="1185" t="str">
        <f>IF(AD1649=1,IF(AF1649="Value is not given at all",".",IF(AF1649="Value is given by the source",S1649,IF(AF1649="Value is calculated with prices",(IF(SUMIFS(Q:Q,A:A,A1649)&gt;0,SUMIFS(Q:Q,A:A,A1649),"."))/VLOOKUP("USD",'Exchange Rates'!B:C,2,0),"Error with coding"))),"")</f>
        <v/>
      </c>
      <c r="U1649" s="1184" t="s">
        <v>365</v>
      </c>
      <c r="V1649" s="979" t="s">
        <v>4276</v>
      </c>
      <c r="W1649" s="1042" t="s">
        <v>3955</v>
      </c>
      <c r="X1649" s="1043" t="s">
        <v>3959</v>
      </c>
      <c r="Y1649" s="1044" t="s">
        <v>4041</v>
      </c>
      <c r="Z1649" s="1184">
        <v>0</v>
      </c>
      <c r="AA1649" s="1194">
        <v>0</v>
      </c>
      <c r="AB1649" s="1180" t="s">
        <v>364</v>
      </c>
      <c r="AC1649" s="1192" t="str">
        <f>""</f>
        <v/>
      </c>
      <c r="AD1649" s="985">
        <v>0</v>
      </c>
      <c r="AE1649" s="1313" t="s">
        <v>368</v>
      </c>
      <c r="AF1649" s="985" t="s">
        <v>369</v>
      </c>
      <c r="AG1649" s="985">
        <v>1</v>
      </c>
      <c r="AH1649" s="1193">
        <v>9</v>
      </c>
      <c r="AI1649" s="1193">
        <v>0</v>
      </c>
      <c r="AJ1649" s="1193">
        <f>VLOOKUP($I1649,'Price List, Weapons &amp; Items'!B:F,5,0)</f>
        <v>1</v>
      </c>
      <c r="AK1649" s="1193">
        <f t="shared" si="346"/>
        <v>0</v>
      </c>
      <c r="AL1649" s="1193">
        <f t="shared" si="347"/>
        <v>1</v>
      </c>
      <c r="AM1649" s="1193">
        <f t="shared" si="348"/>
        <v>0</v>
      </c>
      <c r="AN1649" s="1194" t="str">
        <f>VLOOKUP($I1649,'Price List, Weapons &amp; Items'!B:L,COLUMN('Price List, Weapons &amp; Items'!$J$11)-1,0)</f>
        <v>Contracts</v>
      </c>
      <c r="AO1649" s="1194" t="str">
        <f>IF(I1649=".",".",VLOOKUP($I1649,'Price List, Weapons &amp; Items'!B:J,3,0))</f>
        <v>227mm MLRS</v>
      </c>
      <c r="AP1649" s="1195" t="str">
        <f t="shared" ca="1" si="342"/>
        <v/>
      </c>
      <c r="AQ1649" s="1194">
        <f>VLOOKUP($I1649,'Price List, Weapons &amp; Items'!B:L,COLUMN('Price List, Weapons &amp; Items'!$L$11)-1,0)</f>
        <v>2</v>
      </c>
      <c r="AR1649" s="1194">
        <f t="shared" si="349"/>
        <v>1</v>
      </c>
      <c r="AS1649" s="1194">
        <f t="shared" si="350"/>
        <v>1</v>
      </c>
      <c r="AT1649" s="1194">
        <f t="shared" si="351"/>
        <v>1</v>
      </c>
      <c r="AU1649" s="1194" t="str">
        <f t="shared" si="353"/>
        <v>.</v>
      </c>
      <c r="AV1649" s="1194" t="str">
        <f t="shared" si="343"/>
        <v>.</v>
      </c>
      <c r="AW1649" s="1194" t="str">
        <f t="shared" si="352"/>
        <v>.</v>
      </c>
      <c r="AX1649" s="1194">
        <f>IFERROR(VLOOKUP(B1649,'Share, Heavy Weapons to Ukraine'!B:Z,COLUMN('Share, Heavy Weapons to Ukraine'!C1660)-1,0),0)</f>
        <v>1</v>
      </c>
      <c r="AY1649" s="1194">
        <f>VLOOKUP('Bilateral Assistance, MAIN DATA'!B1649,'Country Summary (€)'!B:F,COLUMN('Country Summary (€)'!C1661)-1,FALSE)</f>
        <v>0</v>
      </c>
      <c r="AZ1649" s="1194" t="str">
        <f>IF(AND(AD1649=1,D1649="Military",H1649&lt;&gt;"Not given")=TRUE,IF(SUMIFS(P:P,A:A,A1649)&gt;0,ABS((SUMIFS(P:P,A:A,A1649)/VLOOKUP("USD",'Exchange Rates'!B:C,2,0)))/S1649,"."),".")</f>
        <v>.</v>
      </c>
      <c r="BA1649" s="1196" t="str">
        <f>IF(AND(AD1649=1,D1649="Military",H1649&lt;&gt;"Not given")=TRUE,IF(SUMIFS(P:P,A:A,A1649)&gt;0,IF((ABS((SUMIFS(P:P,A:A,A1649)/VLOOKUP("USD",'Exchange Rates'!B:C,2,0)))/S1649)&gt;1,(SUMIFS(P:P,A:A,A1649)-S1649)/S1649,(S1649-SUMIFS(P:P,A:A,A1649))/SUMIFS(P:P,A:A,A1649)),"."),".")</f>
        <v>.</v>
      </c>
    </row>
    <row r="1650" spans="1:53" ht="15.95" customHeight="1">
      <c r="A1650" s="1304" t="s">
        <v>4254</v>
      </c>
      <c r="B1650" s="1208" t="s">
        <v>3949</v>
      </c>
      <c r="C1650" s="1220">
        <v>44832</v>
      </c>
      <c r="D1650" s="1208" t="s">
        <v>389</v>
      </c>
      <c r="E1650" s="1208" t="s">
        <v>1676</v>
      </c>
      <c r="F1650" s="1183" t="s">
        <v>4275</v>
      </c>
      <c r="G1650" s="1184" t="s">
        <v>456</v>
      </c>
      <c r="H1650" s="1221">
        <v>1100000000</v>
      </c>
      <c r="I1650" s="1208" t="s">
        <v>4093</v>
      </c>
      <c r="J1650" s="1186" t="str">
        <f>VLOOKUP($I1650,'Price List, Weapons &amp; Items'!B:C,2,0)</f>
        <v>Ammunition for heavy weapon</v>
      </c>
      <c r="K1650" s="1186" t="str">
        <f>IF(I1650=".",I1650,VLOOKUP($I1650,'Price List, Weapons &amp; Items'!B:D,3,0))</f>
        <v>227mm MLRS ammunition</v>
      </c>
      <c r="L1650" s="1187">
        <f>VLOOKUP(I1650,'Price List, Weapons &amp; Items'!B:E,4,0)</f>
        <v>0</v>
      </c>
      <c r="M1650" s="1241" t="s">
        <v>374</v>
      </c>
      <c r="N1650" s="1188" t="s">
        <v>374</v>
      </c>
      <c r="O1650" s="1188">
        <f>VLOOKUP($I1650,'Price List, Weapons &amp; Items'!B:G,6,0)</f>
        <v>150000</v>
      </c>
      <c r="P1650" s="1185" t="str">
        <f t="shared" si="344"/>
        <v>.</v>
      </c>
      <c r="Q1650" s="1185" t="str">
        <f t="shared" si="345"/>
        <v>.</v>
      </c>
      <c r="R1650" s="1185" t="str">
        <f t="shared" si="341"/>
        <v/>
      </c>
      <c r="S1650" s="1185" t="str">
        <f>IF(AND(AD1650=1,R1650&lt;&gt;".")=TRUE,R1650/VLOOKUP(G1650,'Exchange Rates'!B:C,2,0),IF(R1650=".",".",""))</f>
        <v/>
      </c>
      <c r="T1650" s="1185" t="str">
        <f>IF(AD1650=1,IF(AF1650="Value is not given at all",".",IF(AF1650="Value is given by the source",S1650,IF(AF1650="Value is calculated with prices",(IF(SUMIFS(Q:Q,A:A,A1650)&gt;0,SUMIFS(Q:Q,A:A,A1650),"."))/VLOOKUP("USD",'Exchange Rates'!B:C,2,0),"Error with coding"))),"")</f>
        <v/>
      </c>
      <c r="U1650" s="1184" t="s">
        <v>365</v>
      </c>
      <c r="V1650" s="979" t="s">
        <v>4276</v>
      </c>
      <c r="W1650" s="1042" t="s">
        <v>3955</v>
      </c>
      <c r="X1650" s="1043" t="s">
        <v>3959</v>
      </c>
      <c r="Y1650" s="1044" t="s">
        <v>4042</v>
      </c>
      <c r="Z1650" s="1184">
        <v>0</v>
      </c>
      <c r="AA1650" s="1194">
        <v>0</v>
      </c>
      <c r="AB1650" s="1180" t="s">
        <v>364</v>
      </c>
      <c r="AC1650" s="1192" t="str">
        <f>""</f>
        <v/>
      </c>
      <c r="AD1650" s="985">
        <v>0</v>
      </c>
      <c r="AE1650" s="1313" t="s">
        <v>368</v>
      </c>
      <c r="AF1650" s="985" t="s">
        <v>369</v>
      </c>
      <c r="AG1650" s="985">
        <v>1</v>
      </c>
      <c r="AH1650" s="1193">
        <v>9</v>
      </c>
      <c r="AI1650" s="985">
        <v>0</v>
      </c>
      <c r="AJ1650" s="1193">
        <f>VLOOKUP($I1650,'Price List, Weapons &amp; Items'!B:F,5,0)</f>
        <v>1</v>
      </c>
      <c r="AK1650" s="1193">
        <f t="shared" si="346"/>
        <v>1</v>
      </c>
      <c r="AL1650" s="1193">
        <f t="shared" si="347"/>
        <v>1</v>
      </c>
      <c r="AM1650" s="1193">
        <f t="shared" si="348"/>
        <v>1</v>
      </c>
      <c r="AN1650" s="1194" t="str">
        <f>VLOOKUP($I1650,'Price List, Weapons &amp; Items'!B:L,COLUMN('Price List, Weapons &amp; Items'!$J$11)-1,0)</f>
        <v>Media reports (incl. social media)</v>
      </c>
      <c r="AO1650" s="1194" t="str">
        <f>IF(I1650=".",".",VLOOKUP($I1650,'Price List, Weapons &amp; Items'!B:J,3,0))</f>
        <v>227mm MLRS ammunition</v>
      </c>
      <c r="AP1650" s="1195" t="str">
        <f t="shared" ca="1" si="342"/>
        <v/>
      </c>
      <c r="AQ1650" s="1194" t="str">
        <f>VLOOKUP($I1650,'Price List, Weapons &amp; Items'!B:L,COLUMN('Price List, Weapons &amp; Items'!$L$11)-1,0)</f>
        <v>no price, 0 count</v>
      </c>
      <c r="AR1650" s="1194">
        <f t="shared" si="349"/>
        <v>1</v>
      </c>
      <c r="AS1650" s="1194">
        <f t="shared" si="350"/>
        <v>1</v>
      </c>
      <c r="AT1650" s="1194">
        <f t="shared" si="351"/>
        <v>1</v>
      </c>
      <c r="AU1650" s="1194" t="str">
        <f t="shared" si="353"/>
        <v>.</v>
      </c>
      <c r="AV1650" s="1194" t="str">
        <f t="shared" si="343"/>
        <v>.</v>
      </c>
      <c r="AW1650" s="1194" t="str">
        <f t="shared" si="352"/>
        <v>.</v>
      </c>
      <c r="AX1650" s="1194">
        <f>IFERROR(VLOOKUP(B1650,'Share, Heavy Weapons to Ukraine'!B:Z,COLUMN('Share, Heavy Weapons to Ukraine'!C1661)-1,0),0)</f>
        <v>1</v>
      </c>
      <c r="AY1650" s="1194">
        <f>VLOOKUP('Bilateral Assistance, MAIN DATA'!B1650,'Country Summary (€)'!B:F,COLUMN('Country Summary (€)'!C1662)-1,FALSE)</f>
        <v>0</v>
      </c>
      <c r="AZ1650" s="1194" t="str">
        <f>IF(AND(AD1650=1,D1650="Military",H1650&lt;&gt;"Not given")=TRUE,IF(SUMIFS(P:P,A:A,A1650)&gt;0,ABS((SUMIFS(P:P,A:A,A1650)/VLOOKUP("USD",'Exchange Rates'!B:C,2,0)))/S1650,"."),".")</f>
        <v>.</v>
      </c>
      <c r="BA1650" s="1196" t="str">
        <f>IF(AND(AD1650=1,D1650="Military",H1650&lt;&gt;"Not given")=TRUE,IF(SUMIFS(P:P,A:A,A1650)&gt;0,IF((ABS((SUMIFS(P:P,A:A,A1650)/VLOOKUP("USD",'Exchange Rates'!B:C,2,0)))/S1650)&gt;1,(SUMIFS(P:P,A:A,A1650)-S1650)/S1650,(S1650-SUMIFS(P:P,A:A,A1650))/SUMIFS(P:P,A:A,A1650)),"."),".")</f>
        <v>.</v>
      </c>
    </row>
    <row r="1651" spans="1:53" ht="15.95" customHeight="1">
      <c r="A1651" s="1304" t="s">
        <v>4254</v>
      </c>
      <c r="B1651" s="1208" t="s">
        <v>3949</v>
      </c>
      <c r="C1651" s="1220">
        <v>44832</v>
      </c>
      <c r="D1651" s="1208" t="s">
        <v>389</v>
      </c>
      <c r="E1651" s="1208" t="s">
        <v>1676</v>
      </c>
      <c r="F1651" s="1183" t="s">
        <v>4275</v>
      </c>
      <c r="G1651" s="1184" t="s">
        <v>456</v>
      </c>
      <c r="H1651" s="1221">
        <v>1100000000</v>
      </c>
      <c r="I1651" s="1208" t="s">
        <v>4187</v>
      </c>
      <c r="J1651" s="1186" t="str">
        <f>VLOOKUP($I1651,'Price List, Weapons &amp; Items'!B:C,2,0)</f>
        <v>Heavy weapon</v>
      </c>
      <c r="K1651" s="1186" t="str">
        <f>IF(I1651=".",I1651,VLOOKUP($I1651,'Price List, Weapons &amp; Items'!B:D,3,0))</f>
        <v>Armored Utility Vehicle (AUV)</v>
      </c>
      <c r="L1651" s="1187">
        <f>VLOOKUP(I1651,'Price List, Weapons &amp; Items'!B:E,4,0)</f>
        <v>0</v>
      </c>
      <c r="M1651" s="1241">
        <v>150</v>
      </c>
      <c r="N1651" s="1188" t="s">
        <v>374</v>
      </c>
      <c r="O1651" s="1188">
        <f>VLOOKUP($I1651,'Price List, Weapons &amp; Items'!B:G,6,0)</f>
        <v>254717</v>
      </c>
      <c r="P1651" s="1185">
        <f t="shared" si="344"/>
        <v>38207550</v>
      </c>
      <c r="Q1651" s="1185" t="str">
        <f t="shared" si="345"/>
        <v>.</v>
      </c>
      <c r="R1651" s="1185" t="str">
        <f t="shared" si="341"/>
        <v/>
      </c>
      <c r="S1651" s="1185" t="str">
        <f>IF(AND(AD1651=1,R1651&lt;&gt;".")=TRUE,R1651/VLOOKUP(G1651,'Exchange Rates'!B:C,2,0),IF(R1651=".",".",""))</f>
        <v/>
      </c>
      <c r="T1651" s="1185" t="str">
        <f>IF(AD1651=1,IF(AF1651="Value is not given at all",".",IF(AF1651="Value is given by the source",S1651,IF(AF1651="Value is calculated with prices",(IF(SUMIFS(Q:Q,A:A,A1651)&gt;0,SUMIFS(Q:Q,A:A,A1651),"."))/VLOOKUP("USD",'Exchange Rates'!B:C,2,0),"Error with coding"))),"")</f>
        <v/>
      </c>
      <c r="U1651" s="1184" t="s">
        <v>365</v>
      </c>
      <c r="V1651" s="979" t="s">
        <v>4276</v>
      </c>
      <c r="W1651" s="1042" t="s">
        <v>3955</v>
      </c>
      <c r="X1651" s="1043" t="s">
        <v>3959</v>
      </c>
      <c r="Y1651" s="1044" t="s">
        <v>4044</v>
      </c>
      <c r="Z1651" s="1184">
        <v>0</v>
      </c>
      <c r="AA1651" s="1194">
        <v>0</v>
      </c>
      <c r="AB1651" s="1180" t="s">
        <v>364</v>
      </c>
      <c r="AC1651" s="1192" t="str">
        <f>""</f>
        <v/>
      </c>
      <c r="AD1651" s="985">
        <v>0</v>
      </c>
      <c r="AE1651" s="1313" t="s">
        <v>368</v>
      </c>
      <c r="AF1651" s="985" t="s">
        <v>369</v>
      </c>
      <c r="AG1651" s="985">
        <v>1</v>
      </c>
      <c r="AH1651" s="1193">
        <v>9</v>
      </c>
      <c r="AI1651" s="1193">
        <v>0</v>
      </c>
      <c r="AJ1651" s="1193">
        <f>VLOOKUP($I1651,'Price List, Weapons &amp; Items'!B:F,5,0)</f>
        <v>1</v>
      </c>
      <c r="AK1651" s="1193">
        <f t="shared" si="346"/>
        <v>0</v>
      </c>
      <c r="AL1651" s="1193">
        <f t="shared" si="347"/>
        <v>1</v>
      </c>
      <c r="AM1651" s="1193">
        <f t="shared" si="348"/>
        <v>0</v>
      </c>
      <c r="AN1651" s="1194" t="str">
        <f>VLOOKUP($I1651,'Price List, Weapons &amp; Items'!B:L,COLUMN('Price List, Weapons &amp; Items'!$J$11)-1,0)</f>
        <v>Military media (incl. websites)</v>
      </c>
      <c r="AO1651" s="1194" t="str">
        <f>IF(I1651=".",".",VLOOKUP($I1651,'Price List, Weapons &amp; Items'!B:J,3,0))</f>
        <v>Armored Utility Vehicle (AUV)</v>
      </c>
      <c r="AP1651" s="1195" t="str">
        <f t="shared" ca="1" si="342"/>
        <v/>
      </c>
      <c r="AQ1651" s="1194">
        <f>VLOOKUP($I1651,'Price List, Weapons &amp; Items'!B:L,COLUMN('Price List, Weapons &amp; Items'!$L$11)-1,0)</f>
        <v>2</v>
      </c>
      <c r="AR1651" s="1194">
        <f t="shared" si="349"/>
        <v>1</v>
      </c>
      <c r="AS1651" s="1194">
        <f t="shared" si="350"/>
        <v>1</v>
      </c>
      <c r="AT1651" s="1194">
        <f t="shared" si="351"/>
        <v>1</v>
      </c>
      <c r="AU1651" s="1194" t="str">
        <f t="shared" si="353"/>
        <v>.</v>
      </c>
      <c r="AV1651" s="1194" t="str">
        <f t="shared" si="343"/>
        <v>.</v>
      </c>
      <c r="AW1651" s="1194" t="str">
        <f t="shared" si="352"/>
        <v>.</v>
      </c>
      <c r="AX1651" s="1194">
        <f>IFERROR(VLOOKUP(B1651,'Share, Heavy Weapons to Ukraine'!B:Z,COLUMN('Share, Heavy Weapons to Ukraine'!C1662)-1,0),0)</f>
        <v>1</v>
      </c>
      <c r="AY1651" s="1194">
        <f>VLOOKUP('Bilateral Assistance, MAIN DATA'!B1651,'Country Summary (€)'!B:F,COLUMN('Country Summary (€)'!C1663)-1,FALSE)</f>
        <v>0</v>
      </c>
      <c r="AZ1651" s="1194" t="str">
        <f>IF(AND(AD1651=1,D1651="Military",H1651&lt;&gt;"Not given")=TRUE,IF(SUMIFS(P:P,A:A,A1651)&gt;0,ABS((SUMIFS(P:P,A:A,A1651)/VLOOKUP("USD",'Exchange Rates'!B:C,2,0)))/S1651,"."),".")</f>
        <v>.</v>
      </c>
      <c r="BA1651" s="1196" t="str">
        <f>IF(AND(AD1651=1,D1651="Military",H1651&lt;&gt;"Not given")=TRUE,IF(SUMIFS(P:P,A:A,A1651)&gt;0,IF((ABS((SUMIFS(P:P,A:A,A1651)/VLOOKUP("USD",'Exchange Rates'!B:C,2,0)))/S1651)&gt;1,(SUMIFS(P:P,A:A,A1651)-S1651)/S1651,(S1651-SUMIFS(P:P,A:A,A1651))/SUMIFS(P:P,A:A,A1651)),"."),".")</f>
        <v>.</v>
      </c>
    </row>
    <row r="1652" spans="1:53" ht="15.95" customHeight="1">
      <c r="A1652" s="1304" t="s">
        <v>4254</v>
      </c>
      <c r="B1652" s="1208" t="s">
        <v>3949</v>
      </c>
      <c r="C1652" s="1220">
        <v>44832</v>
      </c>
      <c r="D1652" s="1208" t="s">
        <v>389</v>
      </c>
      <c r="E1652" s="1208" t="s">
        <v>1676</v>
      </c>
      <c r="F1652" s="1183" t="s">
        <v>4275</v>
      </c>
      <c r="G1652" s="1184" t="s">
        <v>456</v>
      </c>
      <c r="H1652" s="1221">
        <v>1100000000</v>
      </c>
      <c r="I1652" s="1208" t="s">
        <v>4277</v>
      </c>
      <c r="J1652" s="1186" t="str">
        <f>VLOOKUP($I1652,'Price List, Weapons &amp; Items'!B:C,2,0)</f>
        <v>Military equipment</v>
      </c>
      <c r="K1652" s="1186" t="str">
        <f>IF(I1652=".",I1652,VLOOKUP($I1652,'Price List, Weapons &amp; Items'!B:D,3,0))</f>
        <v>Military equipment</v>
      </c>
      <c r="L1652" s="1187">
        <f>VLOOKUP(I1652,'Price List, Weapons &amp; Items'!B:E,4,0)</f>
        <v>0</v>
      </c>
      <c r="M1652" s="1241">
        <v>150</v>
      </c>
      <c r="N1652" s="1188" t="s">
        <v>374</v>
      </c>
      <c r="O1652" s="1188">
        <f>VLOOKUP($I1652,'Price List, Weapons &amp; Items'!B:G,6,0)</f>
        <v>350000</v>
      </c>
      <c r="P1652" s="1185">
        <f t="shared" si="344"/>
        <v>52500000</v>
      </c>
      <c r="Q1652" s="1185" t="str">
        <f t="shared" si="345"/>
        <v>.</v>
      </c>
      <c r="R1652" s="1185" t="str">
        <f t="shared" si="341"/>
        <v/>
      </c>
      <c r="S1652" s="1185" t="str">
        <f>IF(AND(AD1652=1,R1652&lt;&gt;".")=TRUE,R1652/VLOOKUP(G1652,'Exchange Rates'!B:C,2,0),IF(R1652=".",".",""))</f>
        <v/>
      </c>
      <c r="T1652" s="1185" t="str">
        <f>IF(AD1652=1,IF(AF1652="Value is not given at all",".",IF(AF1652="Value is given by the source",S1652,IF(AF1652="Value is calculated with prices",(IF(SUMIFS(Q:Q,A:A,A1652)&gt;0,SUMIFS(Q:Q,A:A,A1652),"."))/VLOOKUP("USD",'Exchange Rates'!B:C,2,0),"Error with coding"))),"")</f>
        <v/>
      </c>
      <c r="U1652" s="1184" t="s">
        <v>365</v>
      </c>
      <c r="V1652" s="979" t="s">
        <v>4276</v>
      </c>
      <c r="W1652" s="1042" t="s">
        <v>3955</v>
      </c>
      <c r="X1652" s="1043" t="s">
        <v>3959</v>
      </c>
      <c r="Y1652" s="1044" t="s">
        <v>4046</v>
      </c>
      <c r="Z1652" s="1184">
        <v>0</v>
      </c>
      <c r="AA1652" s="1194">
        <v>0</v>
      </c>
      <c r="AB1652" s="1180" t="s">
        <v>364</v>
      </c>
      <c r="AC1652" s="1192" t="str">
        <f>""</f>
        <v/>
      </c>
      <c r="AD1652" s="985">
        <v>0</v>
      </c>
      <c r="AE1652" s="1313" t="s">
        <v>368</v>
      </c>
      <c r="AF1652" s="985" t="s">
        <v>369</v>
      </c>
      <c r="AG1652" s="985">
        <v>1</v>
      </c>
      <c r="AH1652" s="1193">
        <v>9</v>
      </c>
      <c r="AI1652" s="985">
        <v>0</v>
      </c>
      <c r="AJ1652" s="1193">
        <f>VLOOKUP($I1652,'Price List, Weapons &amp; Items'!B:F,5,0)</f>
        <v>0</v>
      </c>
      <c r="AK1652" s="1193">
        <f t="shared" si="346"/>
        <v>0</v>
      </c>
      <c r="AL1652" s="1193">
        <f t="shared" si="347"/>
        <v>0</v>
      </c>
      <c r="AM1652" s="1193">
        <f t="shared" si="348"/>
        <v>0</v>
      </c>
      <c r="AN1652" s="1194" t="str">
        <f>VLOOKUP($I1652,'Price List, Weapons &amp; Items'!B:L,COLUMN('Price List, Weapons &amp; Items'!$J$11)-1,0)</f>
        <v>Media reports (incl. social media)</v>
      </c>
      <c r="AO1652" s="1194" t="str">
        <f>IF(I1652=".",".",VLOOKUP($I1652,'Price List, Weapons &amp; Items'!B:J,3,0))</f>
        <v>Military equipment</v>
      </c>
      <c r="AP1652" s="1195" t="str">
        <f t="shared" ca="1" si="342"/>
        <v/>
      </c>
      <c r="AQ1652" s="1194">
        <f>VLOOKUP($I1652,'Price List, Weapons &amp; Items'!B:L,COLUMN('Price List, Weapons &amp; Items'!$L$11)-1,0)</f>
        <v>2</v>
      </c>
      <c r="AR1652" s="1194">
        <f t="shared" si="349"/>
        <v>1</v>
      </c>
      <c r="AS1652" s="1194">
        <f t="shared" si="350"/>
        <v>1</v>
      </c>
      <c r="AT1652" s="1194">
        <f t="shared" si="351"/>
        <v>1</v>
      </c>
      <c r="AU1652" s="1194" t="str">
        <f t="shared" si="353"/>
        <v>.</v>
      </c>
      <c r="AV1652" s="1194" t="str">
        <f t="shared" si="343"/>
        <v>.</v>
      </c>
      <c r="AW1652" s="1194" t="str">
        <f t="shared" si="352"/>
        <v>.</v>
      </c>
      <c r="AX1652" s="1194">
        <f>IFERROR(VLOOKUP(B1652,'Share, Heavy Weapons to Ukraine'!B:Z,COLUMN('Share, Heavy Weapons to Ukraine'!C1663)-1,0),0)</f>
        <v>1</v>
      </c>
      <c r="AY1652" s="1194">
        <f>VLOOKUP('Bilateral Assistance, MAIN DATA'!B1652,'Country Summary (€)'!B:F,COLUMN('Country Summary (€)'!C1664)-1,FALSE)</f>
        <v>0</v>
      </c>
      <c r="AZ1652" s="1194" t="str">
        <f>IF(AND(AD1652=1,D1652="Military",H1652&lt;&gt;"Not given")=TRUE,IF(SUMIFS(P:P,A:A,A1652)&gt;0,ABS((SUMIFS(P:P,A:A,A1652)/VLOOKUP("USD",'Exchange Rates'!B:C,2,0)))/S1652,"."),".")</f>
        <v>.</v>
      </c>
      <c r="BA1652" s="1196" t="str">
        <f>IF(AND(AD1652=1,D1652="Military",H1652&lt;&gt;"Not given")=TRUE,IF(SUMIFS(P:P,A:A,A1652)&gt;0,IF((ABS((SUMIFS(P:P,A:A,A1652)/VLOOKUP("USD",'Exchange Rates'!B:C,2,0)))/S1652)&gt;1,(SUMIFS(P:P,A:A,A1652)-S1652)/S1652,(S1652-SUMIFS(P:P,A:A,A1652))/SUMIFS(P:P,A:A,A1652)),"."),".")</f>
        <v>.</v>
      </c>
    </row>
    <row r="1653" spans="1:53" ht="15.95" customHeight="1">
      <c r="A1653" s="1304" t="s">
        <v>4254</v>
      </c>
      <c r="B1653" s="1208" t="s">
        <v>3949</v>
      </c>
      <c r="C1653" s="1220">
        <v>44832</v>
      </c>
      <c r="D1653" s="1208" t="s">
        <v>389</v>
      </c>
      <c r="E1653" s="1208" t="s">
        <v>1676</v>
      </c>
      <c r="F1653" s="1183" t="s">
        <v>4275</v>
      </c>
      <c r="G1653" s="1184" t="s">
        <v>456</v>
      </c>
      <c r="H1653" s="1221">
        <v>1100000000</v>
      </c>
      <c r="I1653" s="1208" t="s">
        <v>1548</v>
      </c>
      <c r="J1653" s="1186" t="str">
        <f>VLOOKUP($I1653,'Price List, Weapons &amp; Items'!B:C,2,0)</f>
        <v>Military equipment</v>
      </c>
      <c r="K1653" s="1186" t="str">
        <f>IF(I1653=".",I1653,VLOOKUP($I1653,'Price List, Weapons &amp; Items'!B:D,3,0))</f>
        <v>non combat military vehicle</v>
      </c>
      <c r="L1653" s="1187">
        <f>VLOOKUP(I1653,'Price List, Weapons &amp; Items'!B:E,4,0)</f>
        <v>0</v>
      </c>
      <c r="M1653" s="1241">
        <v>40</v>
      </c>
      <c r="N1653" s="1188" t="s">
        <v>374</v>
      </c>
      <c r="O1653" s="1188">
        <f>VLOOKUP($I1653,'Price List, Weapons &amp; Items'!B:G,6,0)</f>
        <v>350000</v>
      </c>
      <c r="P1653" s="1185">
        <f t="shared" si="344"/>
        <v>14000000</v>
      </c>
      <c r="Q1653" s="1185" t="str">
        <f t="shared" si="345"/>
        <v>.</v>
      </c>
      <c r="R1653" s="1185" t="str">
        <f t="shared" si="341"/>
        <v/>
      </c>
      <c r="S1653" s="1185" t="str">
        <f>IF(AND(AD1653=1,R1653&lt;&gt;".")=TRUE,R1653/VLOOKUP(G1653,'Exchange Rates'!B:C,2,0),IF(R1653=".",".",""))</f>
        <v/>
      </c>
      <c r="T1653" s="1185" t="str">
        <f>IF(AD1653=1,IF(AF1653="Value is not given at all",".",IF(AF1653="Value is given by the source",S1653,IF(AF1653="Value is calculated with prices",(IF(SUMIFS(Q:Q,A:A,A1653)&gt;0,SUMIFS(Q:Q,A:A,A1653),"."))/VLOOKUP("USD",'Exchange Rates'!B:C,2,0),"Error with coding"))),"")</f>
        <v/>
      </c>
      <c r="U1653" s="1184" t="s">
        <v>365</v>
      </c>
      <c r="V1653" s="979" t="s">
        <v>4276</v>
      </c>
      <c r="W1653" s="1042" t="s">
        <v>3955</v>
      </c>
      <c r="X1653" s="1043" t="s">
        <v>3959</v>
      </c>
      <c r="Y1653" s="1044" t="s">
        <v>4047</v>
      </c>
      <c r="Z1653" s="1184">
        <v>0</v>
      </c>
      <c r="AA1653" s="1194">
        <v>0</v>
      </c>
      <c r="AB1653" s="1180" t="s">
        <v>364</v>
      </c>
      <c r="AC1653" s="1192" t="str">
        <f>""</f>
        <v/>
      </c>
      <c r="AD1653" s="985">
        <v>0</v>
      </c>
      <c r="AE1653" s="1313" t="s">
        <v>368</v>
      </c>
      <c r="AF1653" s="985" t="s">
        <v>369</v>
      </c>
      <c r="AG1653" s="985">
        <v>1</v>
      </c>
      <c r="AH1653" s="1193">
        <v>9</v>
      </c>
      <c r="AI1653" s="1193">
        <v>0</v>
      </c>
      <c r="AJ1653" s="1193">
        <f>VLOOKUP($I1653,'Price List, Weapons &amp; Items'!B:F,5,0)</f>
        <v>0</v>
      </c>
      <c r="AK1653" s="1193">
        <f t="shared" si="346"/>
        <v>0</v>
      </c>
      <c r="AL1653" s="1193">
        <f t="shared" si="347"/>
        <v>0</v>
      </c>
      <c r="AM1653" s="1193">
        <f t="shared" si="348"/>
        <v>0</v>
      </c>
      <c r="AN1653" s="1194" t="str">
        <f>VLOOKUP($I1653,'Price List, Weapons &amp; Items'!B:L,COLUMN('Price List, Weapons &amp; Items'!$J$11)-1,0)</f>
        <v>Media reports (incl. social media)</v>
      </c>
      <c r="AO1653" s="1194" t="str">
        <f>IF(I1653=".",".",VLOOKUP($I1653,'Price List, Weapons &amp; Items'!B:J,3,0))</f>
        <v>non combat military vehicle</v>
      </c>
      <c r="AP1653" s="1195" t="str">
        <f t="shared" ca="1" si="342"/>
        <v/>
      </c>
      <c r="AQ1653" s="1194">
        <f>VLOOKUP($I1653,'Price List, Weapons &amp; Items'!B:L,COLUMN('Price List, Weapons &amp; Items'!$L$11)-1,0)</f>
        <v>2</v>
      </c>
      <c r="AR1653" s="1194">
        <f t="shared" si="349"/>
        <v>1</v>
      </c>
      <c r="AS1653" s="1194">
        <f t="shared" si="350"/>
        <v>1</v>
      </c>
      <c r="AT1653" s="1194">
        <f t="shared" si="351"/>
        <v>1</v>
      </c>
      <c r="AU1653" s="1194" t="str">
        <f t="shared" si="353"/>
        <v>.</v>
      </c>
      <c r="AV1653" s="1194" t="str">
        <f t="shared" si="343"/>
        <v>.</v>
      </c>
      <c r="AW1653" s="1194" t="str">
        <f t="shared" si="352"/>
        <v>.</v>
      </c>
      <c r="AX1653" s="1194">
        <f>IFERROR(VLOOKUP(B1653,'Share, Heavy Weapons to Ukraine'!B:Z,COLUMN('Share, Heavy Weapons to Ukraine'!C1664)-1,0),0)</f>
        <v>1</v>
      </c>
      <c r="AY1653" s="1194">
        <f>VLOOKUP('Bilateral Assistance, MAIN DATA'!B1653,'Country Summary (€)'!B:F,COLUMN('Country Summary (€)'!C1665)-1,FALSE)</f>
        <v>0</v>
      </c>
      <c r="AZ1653" s="1194" t="str">
        <f>IF(AND(AD1653=1,D1653="Military",H1653&lt;&gt;"Not given")=TRUE,IF(SUMIFS(P:P,A:A,A1653)&gt;0,ABS((SUMIFS(P:P,A:A,A1653)/VLOOKUP("USD",'Exchange Rates'!B:C,2,0)))/S1653,"."),".")</f>
        <v>.</v>
      </c>
      <c r="BA1653" s="1196" t="str">
        <f>IF(AND(AD1653=1,D1653="Military",H1653&lt;&gt;"Not given")=TRUE,IF(SUMIFS(P:P,A:A,A1653)&gt;0,IF((ABS((SUMIFS(P:P,A:A,A1653)/VLOOKUP("USD",'Exchange Rates'!B:C,2,0)))/S1653)&gt;1,(SUMIFS(P:P,A:A,A1653)-S1653)/S1653,(S1653-SUMIFS(P:P,A:A,A1653))/SUMIFS(P:P,A:A,A1653)),"."),".")</f>
        <v>.</v>
      </c>
    </row>
    <row r="1654" spans="1:53" ht="15.95" customHeight="1">
      <c r="A1654" s="1304" t="s">
        <v>4254</v>
      </c>
      <c r="B1654" s="1208" t="s">
        <v>3949</v>
      </c>
      <c r="C1654" s="1220">
        <v>44832</v>
      </c>
      <c r="D1654" s="1208" t="s">
        <v>389</v>
      </c>
      <c r="E1654" s="1208" t="s">
        <v>1676</v>
      </c>
      <c r="F1654" s="1183" t="s">
        <v>4275</v>
      </c>
      <c r="G1654" s="1184" t="s">
        <v>456</v>
      </c>
      <c r="H1654" s="1221">
        <v>1100000000</v>
      </c>
      <c r="I1654" s="1208" t="s">
        <v>1848</v>
      </c>
      <c r="J1654" s="1186" t="str">
        <f>VLOOKUP($I1654,'Price List, Weapons &amp; Items'!B:C,2,0)</f>
        <v>Military equipment</v>
      </c>
      <c r="K1654" s="1186" t="str">
        <f>IF(I1654=".",I1654,VLOOKUP($I1654,'Price List, Weapons &amp; Items'!B:D,3,0))</f>
        <v>non combat military vehicle</v>
      </c>
      <c r="L1654" s="1187">
        <f>VLOOKUP(I1654,'Price List, Weapons &amp; Items'!B:E,4,0)</f>
        <v>0</v>
      </c>
      <c r="M1654" s="1241">
        <v>80</v>
      </c>
      <c r="N1654" s="1188" t="s">
        <v>374</v>
      </c>
      <c r="O1654" s="1188">
        <f>VLOOKUP($I1654,'Price List, Weapons &amp; Items'!B:G,6,0)</f>
        <v>50000</v>
      </c>
      <c r="P1654" s="1185">
        <f t="shared" si="344"/>
        <v>4000000</v>
      </c>
      <c r="Q1654" s="1185" t="str">
        <f t="shared" si="345"/>
        <v>.</v>
      </c>
      <c r="R1654" s="1185" t="str">
        <f t="shared" si="341"/>
        <v/>
      </c>
      <c r="S1654" s="1185" t="str">
        <f>IF(AND(AD1654=1,R1654&lt;&gt;".")=TRUE,R1654/VLOOKUP(G1654,'Exchange Rates'!B:C,2,0),IF(R1654=".",".",""))</f>
        <v/>
      </c>
      <c r="T1654" s="1185" t="str">
        <f>IF(AD1654=1,IF(AF1654="Value is not given at all",".",IF(AF1654="Value is given by the source",S1654,IF(AF1654="Value is calculated with prices",(IF(SUMIFS(Q:Q,A:A,A1654)&gt;0,SUMIFS(Q:Q,A:A,A1654),"."))/VLOOKUP("USD",'Exchange Rates'!B:C,2,0),"Error with coding"))),"")</f>
        <v/>
      </c>
      <c r="U1654" s="1184" t="s">
        <v>365</v>
      </c>
      <c r="V1654" s="979" t="s">
        <v>4276</v>
      </c>
      <c r="W1654" s="1042" t="s">
        <v>3955</v>
      </c>
      <c r="X1654" s="1043" t="s">
        <v>3959</v>
      </c>
      <c r="Y1654" s="1044" t="s">
        <v>4049</v>
      </c>
      <c r="Z1654" s="1184">
        <v>0</v>
      </c>
      <c r="AA1654" s="1194">
        <v>0</v>
      </c>
      <c r="AB1654" s="1180" t="s">
        <v>364</v>
      </c>
      <c r="AC1654" s="1192" t="str">
        <f>""</f>
        <v/>
      </c>
      <c r="AD1654" s="985">
        <v>0</v>
      </c>
      <c r="AE1654" s="1313" t="s">
        <v>368</v>
      </c>
      <c r="AF1654" s="985" t="s">
        <v>369</v>
      </c>
      <c r="AG1654" s="985">
        <v>1</v>
      </c>
      <c r="AH1654" s="1193">
        <v>9</v>
      </c>
      <c r="AI1654" s="985">
        <v>0</v>
      </c>
      <c r="AJ1654" s="1193">
        <f>VLOOKUP($I1654,'Price List, Weapons &amp; Items'!B:F,5,0)</f>
        <v>0</v>
      </c>
      <c r="AK1654" s="1193">
        <f t="shared" si="346"/>
        <v>0</v>
      </c>
      <c r="AL1654" s="1193">
        <f t="shared" si="347"/>
        <v>0</v>
      </c>
      <c r="AM1654" s="1193">
        <f t="shared" si="348"/>
        <v>0</v>
      </c>
      <c r="AN1654" s="1194" t="str">
        <f>VLOOKUP($I1654,'Price List, Weapons &amp; Items'!B:L,COLUMN('Price List, Weapons &amp; Items'!$J$11)-1,0)</f>
        <v>Miscellaneous</v>
      </c>
      <c r="AO1654" s="1194" t="str">
        <f>IF(I1654=".",".",VLOOKUP($I1654,'Price List, Weapons &amp; Items'!B:J,3,0))</f>
        <v>non combat military vehicle</v>
      </c>
      <c r="AP1654" s="1195" t="str">
        <f t="shared" ca="1" si="342"/>
        <v/>
      </c>
      <c r="AQ1654" s="1194">
        <f>VLOOKUP($I1654,'Price List, Weapons &amp; Items'!B:L,COLUMN('Price List, Weapons &amp; Items'!$L$11)-1,0)</f>
        <v>2</v>
      </c>
      <c r="AR1654" s="1194">
        <f t="shared" si="349"/>
        <v>1</v>
      </c>
      <c r="AS1654" s="1194">
        <f t="shared" si="350"/>
        <v>1</v>
      </c>
      <c r="AT1654" s="1194">
        <f t="shared" si="351"/>
        <v>1</v>
      </c>
      <c r="AU1654" s="1194" t="str">
        <f t="shared" si="353"/>
        <v>.</v>
      </c>
      <c r="AV1654" s="1194" t="str">
        <f t="shared" si="343"/>
        <v>.</v>
      </c>
      <c r="AW1654" s="1194" t="str">
        <f t="shared" si="352"/>
        <v>.</v>
      </c>
      <c r="AX1654" s="1194">
        <f>IFERROR(VLOOKUP(B1654,'Share, Heavy Weapons to Ukraine'!B:Z,COLUMN('Share, Heavy Weapons to Ukraine'!C1665)-1,0),0)</f>
        <v>1</v>
      </c>
      <c r="AY1654" s="1194">
        <f>VLOOKUP('Bilateral Assistance, MAIN DATA'!B1654,'Country Summary (€)'!B:F,COLUMN('Country Summary (€)'!C1666)-1,FALSE)</f>
        <v>0</v>
      </c>
      <c r="AZ1654" s="1194" t="str">
        <f>IF(AND(AD1654=1,D1654="Military",H1654&lt;&gt;"Not given")=TRUE,IF(SUMIFS(P:P,A:A,A1654)&gt;0,ABS((SUMIFS(P:P,A:A,A1654)/VLOOKUP("USD",'Exchange Rates'!B:C,2,0)))/S1654,"."),".")</f>
        <v>.</v>
      </c>
      <c r="BA1654" s="1196" t="str">
        <f>IF(AND(AD1654=1,D1654="Military",H1654&lt;&gt;"Not given")=TRUE,IF(SUMIFS(P:P,A:A,A1654)&gt;0,IF((ABS((SUMIFS(P:P,A:A,A1654)/VLOOKUP("USD",'Exchange Rates'!B:C,2,0)))/S1654)&gt;1,(SUMIFS(P:P,A:A,A1654)-S1654)/S1654,(S1654-SUMIFS(P:P,A:A,A1654))/SUMIFS(P:P,A:A,A1654)),"."),".")</f>
        <v>.</v>
      </c>
    </row>
    <row r="1655" spans="1:53" ht="15.95" customHeight="1">
      <c r="A1655" s="1304" t="s">
        <v>4254</v>
      </c>
      <c r="B1655" s="1208" t="s">
        <v>3949</v>
      </c>
      <c r="C1655" s="1220">
        <v>44832</v>
      </c>
      <c r="D1655" s="1208" t="s">
        <v>389</v>
      </c>
      <c r="E1655" s="1208" t="s">
        <v>1676</v>
      </c>
      <c r="F1655" s="1183" t="s">
        <v>4275</v>
      </c>
      <c r="G1655" s="1184" t="s">
        <v>456</v>
      </c>
      <c r="H1655" s="1221">
        <v>1100000000</v>
      </c>
      <c r="I1655" s="1208" t="s">
        <v>4278</v>
      </c>
      <c r="J1655" s="1186" t="str">
        <f>VLOOKUP($I1655,'Price List, Weapons &amp; Items'!B:C,2,0)</f>
        <v>Military equipment</v>
      </c>
      <c r="K1655" s="1186" t="str">
        <f>IF(I1655=".",I1655,VLOOKUP($I1655,'Price List, Weapons &amp; Items'!B:D,3,0))</f>
        <v>Military equipment</v>
      </c>
      <c r="L1655" s="1187">
        <f>VLOOKUP(I1655,'Price List, Weapons &amp; Items'!B:E,4,0)</f>
        <v>0</v>
      </c>
      <c r="M1655" s="1241">
        <v>2</v>
      </c>
      <c r="N1655" s="1188" t="s">
        <v>374</v>
      </c>
      <c r="O1655" s="1188" t="str">
        <f>VLOOKUP($I1655,'Price List, Weapons &amp; Items'!B:G,6,0)</f>
        <v>.</v>
      </c>
      <c r="P1655" s="1185" t="str">
        <f t="shared" si="344"/>
        <v>No price</v>
      </c>
      <c r="Q1655" s="1185" t="str">
        <f t="shared" si="345"/>
        <v>.</v>
      </c>
      <c r="R1655" s="1185" t="str">
        <f t="shared" si="341"/>
        <v/>
      </c>
      <c r="S1655" s="1185" t="str">
        <f>IF(AND(AD1655=1,R1655&lt;&gt;".")=TRUE,R1655/VLOOKUP(G1655,'Exchange Rates'!B:C,2,0),IF(R1655=".",".",""))</f>
        <v/>
      </c>
      <c r="T1655" s="1185" t="str">
        <f>IF(AD1655=1,IF(AF1655="Value is not given at all",".",IF(AF1655="Value is given by the source",S1655,IF(AF1655="Value is calculated with prices",(IF(SUMIFS(Q:Q,A:A,A1655)&gt;0,SUMIFS(Q:Q,A:A,A1655),"."))/VLOOKUP("USD",'Exchange Rates'!B:C,2,0),"Error with coding"))),"")</f>
        <v/>
      </c>
      <c r="U1655" s="1184" t="s">
        <v>365</v>
      </c>
      <c r="V1655" s="979" t="s">
        <v>4276</v>
      </c>
      <c r="W1655" s="1042" t="s">
        <v>3955</v>
      </c>
      <c r="X1655" s="1043" t="s">
        <v>3959</v>
      </c>
      <c r="Y1655" s="1044" t="s">
        <v>4051</v>
      </c>
      <c r="Z1655" s="1184">
        <v>0</v>
      </c>
      <c r="AA1655" s="1194">
        <v>0</v>
      </c>
      <c r="AB1655" s="1180" t="s">
        <v>364</v>
      </c>
      <c r="AC1655" s="1192" t="str">
        <f>""</f>
        <v/>
      </c>
      <c r="AD1655" s="985">
        <v>0</v>
      </c>
      <c r="AE1655" s="1313" t="s">
        <v>368</v>
      </c>
      <c r="AF1655" s="985" t="s">
        <v>369</v>
      </c>
      <c r="AG1655" s="985">
        <v>1</v>
      </c>
      <c r="AH1655" s="1193">
        <v>9</v>
      </c>
      <c r="AI1655" s="1193">
        <v>0</v>
      </c>
      <c r="AJ1655" s="1193">
        <f>VLOOKUP($I1655,'Price List, Weapons &amp; Items'!B:F,5,0)</f>
        <v>0</v>
      </c>
      <c r="AK1655" s="1193">
        <f t="shared" si="346"/>
        <v>0</v>
      </c>
      <c r="AL1655" s="1193">
        <f t="shared" si="347"/>
        <v>0</v>
      </c>
      <c r="AM1655" s="1193">
        <f t="shared" si="348"/>
        <v>0</v>
      </c>
      <c r="AN1655" s="1194" t="str">
        <f>VLOOKUP($I1655,'Price List, Weapons &amp; Items'!B:L,COLUMN('Price List, Weapons &amp; Items'!$J$11)-1,0)</f>
        <v>.</v>
      </c>
      <c r="AO1655" s="1194" t="str">
        <f>IF(I1655=".",".",VLOOKUP($I1655,'Price List, Weapons &amp; Items'!B:J,3,0))</f>
        <v>Military equipment</v>
      </c>
      <c r="AP1655" s="1195" t="str">
        <f t="shared" ca="1" si="342"/>
        <v/>
      </c>
      <c r="AQ1655" s="1194">
        <f>VLOOKUP($I1655,'Price List, Weapons &amp; Items'!B:L,COLUMN('Price List, Weapons &amp; Items'!$L$11)-1,0)</f>
        <v>0</v>
      </c>
      <c r="AR1655" s="1194">
        <f t="shared" si="349"/>
        <v>1</v>
      </c>
      <c r="AS1655" s="1194">
        <f t="shared" si="350"/>
        <v>1</v>
      </c>
      <c r="AT1655" s="1194">
        <f t="shared" si="351"/>
        <v>1</v>
      </c>
      <c r="AU1655" s="1194" t="str">
        <f t="shared" si="353"/>
        <v>.</v>
      </c>
      <c r="AV1655" s="1194" t="str">
        <f t="shared" si="343"/>
        <v>.</v>
      </c>
      <c r="AW1655" s="1194" t="str">
        <f t="shared" si="352"/>
        <v>.</v>
      </c>
      <c r="AX1655" s="1194">
        <f>IFERROR(VLOOKUP(B1655,'Share, Heavy Weapons to Ukraine'!B:Z,COLUMN('Share, Heavy Weapons to Ukraine'!C1666)-1,0),0)</f>
        <v>1</v>
      </c>
      <c r="AY1655" s="1194">
        <f>VLOOKUP('Bilateral Assistance, MAIN DATA'!B1655,'Country Summary (€)'!B:F,COLUMN('Country Summary (€)'!C1667)-1,FALSE)</f>
        <v>0</v>
      </c>
      <c r="AZ1655" s="1194" t="str">
        <f>IF(AND(AD1655=1,D1655="Military",H1655&lt;&gt;"Not given")=TRUE,IF(SUMIFS(P:P,A:A,A1655)&gt;0,ABS((SUMIFS(P:P,A:A,A1655)/VLOOKUP("USD",'Exchange Rates'!B:C,2,0)))/S1655,"."),".")</f>
        <v>.</v>
      </c>
      <c r="BA1655" s="1196" t="str">
        <f>IF(AND(AD1655=1,D1655="Military",H1655&lt;&gt;"Not given")=TRUE,IF(SUMIFS(P:P,A:A,A1655)&gt;0,IF((ABS((SUMIFS(P:P,A:A,A1655)/VLOOKUP("USD",'Exchange Rates'!B:C,2,0)))/S1655)&gt;1,(SUMIFS(P:P,A:A,A1655)-S1655)/S1655,(S1655-SUMIFS(P:P,A:A,A1655))/SUMIFS(P:P,A:A,A1655)),"."),".")</f>
        <v>.</v>
      </c>
    </row>
    <row r="1656" spans="1:53" ht="15.95" customHeight="1">
      <c r="A1656" s="1304" t="s">
        <v>4254</v>
      </c>
      <c r="B1656" s="1208" t="s">
        <v>3949</v>
      </c>
      <c r="C1656" s="1220">
        <v>44832</v>
      </c>
      <c r="D1656" s="1208" t="s">
        <v>389</v>
      </c>
      <c r="E1656" s="1208" t="s">
        <v>1676</v>
      </c>
      <c r="F1656" s="1183" t="s">
        <v>4275</v>
      </c>
      <c r="G1656" s="1184" t="s">
        <v>456</v>
      </c>
      <c r="H1656" s="1221">
        <v>1100000000</v>
      </c>
      <c r="I1656" s="1208" t="s">
        <v>4279</v>
      </c>
      <c r="J1656" s="1186" t="str">
        <f>VLOOKUP($I1656,'Price List, Weapons &amp; Items'!B:C,2,0)</f>
        <v>Heavy weapon</v>
      </c>
      <c r="K1656" s="1186" t="str">
        <f>IF(I1656=".",I1656,VLOOKUP($I1656,'Price List, Weapons &amp; Items'!B:D,3,0))</f>
        <v>Radar or imagery systems</v>
      </c>
      <c r="L1656" s="1187">
        <f>VLOOKUP(I1656,'Price List, Weapons &amp; Items'!B:E,4,0)</f>
        <v>0</v>
      </c>
      <c r="M1656" s="1241">
        <v>20</v>
      </c>
      <c r="N1656" s="1188" t="s">
        <v>374</v>
      </c>
      <c r="O1656" s="1188">
        <f>VLOOKUP($I1656,'Price List, Weapons &amp; Items'!B:G,6,0)</f>
        <v>15625000</v>
      </c>
      <c r="P1656" s="1185">
        <f t="shared" si="344"/>
        <v>312500000</v>
      </c>
      <c r="Q1656" s="1185" t="str">
        <f t="shared" si="345"/>
        <v>.</v>
      </c>
      <c r="R1656" s="1185" t="str">
        <f t="shared" si="341"/>
        <v/>
      </c>
      <c r="S1656" s="1185" t="str">
        <f>IF(AND(AD1656=1,R1656&lt;&gt;".")=TRUE,R1656/VLOOKUP(G1656,'Exchange Rates'!B:C,2,0),IF(R1656=".",".",""))</f>
        <v/>
      </c>
      <c r="T1656" s="1185" t="str">
        <f>IF(AD1656=1,IF(AF1656="Value is not given at all",".",IF(AF1656="Value is given by the source",S1656,IF(AF1656="Value is calculated with prices",(IF(SUMIFS(Q:Q,A:A,A1656)&gt;0,SUMIFS(Q:Q,A:A,A1656),"."))/VLOOKUP("USD",'Exchange Rates'!B:C,2,0),"Error with coding"))),"")</f>
        <v/>
      </c>
      <c r="U1656" s="1184" t="s">
        <v>365</v>
      </c>
      <c r="V1656" s="979" t="s">
        <v>4276</v>
      </c>
      <c r="W1656" s="1042" t="s">
        <v>3955</v>
      </c>
      <c r="X1656" s="1043" t="s">
        <v>3959</v>
      </c>
      <c r="Y1656" s="1044" t="s">
        <v>4053</v>
      </c>
      <c r="Z1656" s="1184">
        <v>0</v>
      </c>
      <c r="AA1656" s="1194">
        <v>0</v>
      </c>
      <c r="AB1656" s="1180" t="s">
        <v>364</v>
      </c>
      <c r="AC1656" s="1192" t="str">
        <f>""</f>
        <v/>
      </c>
      <c r="AD1656" s="985">
        <v>0</v>
      </c>
      <c r="AE1656" s="1313" t="s">
        <v>368</v>
      </c>
      <c r="AF1656" s="985" t="s">
        <v>369</v>
      </c>
      <c r="AG1656" s="985">
        <v>1</v>
      </c>
      <c r="AH1656" s="1193">
        <v>9</v>
      </c>
      <c r="AI1656" s="985">
        <v>0</v>
      </c>
      <c r="AJ1656" s="1193">
        <f>VLOOKUP($I1656,'Price List, Weapons &amp; Items'!B:F,5,0)</f>
        <v>0</v>
      </c>
      <c r="AK1656" s="1193">
        <f t="shared" si="346"/>
        <v>0</v>
      </c>
      <c r="AL1656" s="1193">
        <f t="shared" si="347"/>
        <v>0</v>
      </c>
      <c r="AM1656" s="1193">
        <f t="shared" si="348"/>
        <v>0</v>
      </c>
      <c r="AN1656" s="1194" t="str">
        <f>VLOOKUP($I1656,'Price List, Weapons &amp; Items'!B:L,COLUMN('Price List, Weapons &amp; Items'!$J$11)-1,0)</f>
        <v>Contract</v>
      </c>
      <c r="AO1656" s="1194" t="str">
        <f>IF(I1656=".",".",VLOOKUP($I1656,'Price List, Weapons &amp; Items'!B:J,3,0))</f>
        <v>Radar or imagery systems</v>
      </c>
      <c r="AP1656" s="1195" t="str">
        <f t="shared" ca="1" si="342"/>
        <v/>
      </c>
      <c r="AQ1656" s="1194">
        <f>VLOOKUP($I1656,'Price List, Weapons &amp; Items'!B:L,COLUMN('Price List, Weapons &amp; Items'!$L$11)-1,0)</f>
        <v>2</v>
      </c>
      <c r="AR1656" s="1194">
        <f t="shared" si="349"/>
        <v>1</v>
      </c>
      <c r="AS1656" s="1194">
        <f t="shared" si="350"/>
        <v>1</v>
      </c>
      <c r="AT1656" s="1194">
        <f t="shared" si="351"/>
        <v>1</v>
      </c>
      <c r="AU1656" s="1194" t="str">
        <f t="shared" si="353"/>
        <v>.</v>
      </c>
      <c r="AV1656" s="1194" t="str">
        <f t="shared" si="343"/>
        <v>.</v>
      </c>
      <c r="AW1656" s="1194" t="str">
        <f t="shared" si="352"/>
        <v>.</v>
      </c>
      <c r="AX1656" s="1194">
        <f>IFERROR(VLOOKUP(B1656,'Share, Heavy Weapons to Ukraine'!B:Z,COLUMN('Share, Heavy Weapons to Ukraine'!C1667)-1,0),0)</f>
        <v>1</v>
      </c>
      <c r="AY1656" s="1194">
        <f>VLOOKUP('Bilateral Assistance, MAIN DATA'!B1656,'Country Summary (€)'!B:F,COLUMN('Country Summary (€)'!C1668)-1,FALSE)</f>
        <v>0</v>
      </c>
      <c r="AZ1656" s="1194" t="str">
        <f>IF(AND(AD1656=1,D1656="Military",H1656&lt;&gt;"Not given")=TRUE,IF(SUMIFS(P:P,A:A,A1656)&gt;0,ABS((SUMIFS(P:P,A:A,A1656)/VLOOKUP("USD",'Exchange Rates'!B:C,2,0)))/S1656,"."),".")</f>
        <v>.</v>
      </c>
      <c r="BA1656" s="1196" t="str">
        <f>IF(AND(AD1656=1,D1656="Military",H1656&lt;&gt;"Not given")=TRUE,IF(SUMIFS(P:P,A:A,A1656)&gt;0,IF((ABS((SUMIFS(P:P,A:A,A1656)/VLOOKUP("USD",'Exchange Rates'!B:C,2,0)))/S1656)&gt;1,(SUMIFS(P:P,A:A,A1656)-S1656)/S1656,(S1656-SUMIFS(P:P,A:A,A1656))/SUMIFS(P:P,A:A,A1656)),"."),".")</f>
        <v>.</v>
      </c>
    </row>
    <row r="1657" spans="1:53" ht="15.95" customHeight="1">
      <c r="A1657" s="1304" t="s">
        <v>4254</v>
      </c>
      <c r="B1657" s="1208" t="s">
        <v>3949</v>
      </c>
      <c r="C1657" s="1220">
        <v>44832</v>
      </c>
      <c r="D1657" s="1208" t="s">
        <v>389</v>
      </c>
      <c r="E1657" s="1208" t="s">
        <v>1676</v>
      </c>
      <c r="F1657" s="1183" t="s">
        <v>4275</v>
      </c>
      <c r="G1657" s="1184" t="s">
        <v>456</v>
      </c>
      <c r="H1657" s="1221">
        <v>1100000000</v>
      </c>
      <c r="I1657" s="1208" t="s">
        <v>4207</v>
      </c>
      <c r="J1657" s="1186" t="str">
        <f>VLOOKUP($I1657,'Price List, Weapons &amp; Items'!B:C,2,0)</f>
        <v>Aviation and drones</v>
      </c>
      <c r="K1657" s="1186" t="str">
        <f>IF(I1657=".",I1657,VLOOKUP($I1657,'Price List, Weapons &amp; Items'!B:D,3,0))</f>
        <v>Drone</v>
      </c>
      <c r="L1657" s="1187">
        <f>VLOOKUP(I1657,'Price List, Weapons &amp; Items'!B:E,4,0)</f>
        <v>0</v>
      </c>
      <c r="M1657" s="1241" t="s">
        <v>374</v>
      </c>
      <c r="N1657" s="1188" t="s">
        <v>374</v>
      </c>
      <c r="O1657" s="1188">
        <f>VLOOKUP($I1657,'Price List, Weapons &amp; Items'!B:G,6,0)</f>
        <v>15000000</v>
      </c>
      <c r="P1657" s="1185" t="str">
        <f t="shared" si="344"/>
        <v>.</v>
      </c>
      <c r="Q1657" s="1185" t="str">
        <f t="shared" si="345"/>
        <v>.</v>
      </c>
      <c r="R1657" s="1185" t="str">
        <f t="shared" si="341"/>
        <v/>
      </c>
      <c r="S1657" s="1185" t="str">
        <f>IF(AND(AD1657=1,R1657&lt;&gt;".")=TRUE,R1657/VLOOKUP(G1657,'Exchange Rates'!B:C,2,0),IF(R1657=".",".",""))</f>
        <v/>
      </c>
      <c r="T1657" s="1185" t="str">
        <f>IF(AD1657=1,IF(AF1657="Value is not given at all",".",IF(AF1657="Value is given by the source",S1657,IF(AF1657="Value is calculated with prices",(IF(SUMIFS(Q:Q,A:A,A1657)&gt;0,SUMIFS(Q:Q,A:A,A1657),"."))/VLOOKUP("USD",'Exchange Rates'!B:C,2,0),"Error with coding"))),"")</f>
        <v/>
      </c>
      <c r="U1657" s="1184" t="s">
        <v>365</v>
      </c>
      <c r="V1657" s="979" t="s">
        <v>4276</v>
      </c>
      <c r="W1657" s="1042" t="s">
        <v>3955</v>
      </c>
      <c r="X1657" s="1043" t="s">
        <v>3959</v>
      </c>
      <c r="Y1657" s="1044" t="s">
        <v>4056</v>
      </c>
      <c r="Z1657" s="1184">
        <v>0</v>
      </c>
      <c r="AA1657" s="1194">
        <v>0</v>
      </c>
      <c r="AB1657" s="1180" t="s">
        <v>364</v>
      </c>
      <c r="AC1657" s="1192" t="str">
        <f>""</f>
        <v/>
      </c>
      <c r="AD1657" s="985">
        <v>0</v>
      </c>
      <c r="AE1657" s="1313" t="s">
        <v>368</v>
      </c>
      <c r="AF1657" s="985" t="s">
        <v>369</v>
      </c>
      <c r="AG1657" s="985">
        <v>1</v>
      </c>
      <c r="AH1657" s="1193">
        <v>9</v>
      </c>
      <c r="AI1657" s="1193">
        <v>0</v>
      </c>
      <c r="AJ1657" s="1193">
        <f>VLOOKUP($I1657,'Price List, Weapons &amp; Items'!B:F,5,0)</f>
        <v>0</v>
      </c>
      <c r="AK1657" s="1193">
        <f t="shared" si="346"/>
        <v>0</v>
      </c>
      <c r="AL1657" s="1193">
        <f t="shared" si="347"/>
        <v>0</v>
      </c>
      <c r="AM1657" s="1193">
        <f t="shared" si="348"/>
        <v>0</v>
      </c>
      <c r="AN1657" s="1194" t="str">
        <f>VLOOKUP($I1657,'Price List, Weapons &amp; Items'!B:L,COLUMN('Price List, Weapons &amp; Items'!$J$11)-1,0)</f>
        <v>Miscellaneous</v>
      </c>
      <c r="AO1657" s="1194" t="str">
        <f>IF(I1657=".",".",VLOOKUP($I1657,'Price List, Weapons &amp; Items'!B:J,3,0))</f>
        <v>Drone</v>
      </c>
      <c r="AP1657" s="1195" t="str">
        <f t="shared" ca="1" si="342"/>
        <v/>
      </c>
      <c r="AQ1657" s="1194" t="str">
        <f>VLOOKUP($I1657,'Price List, Weapons &amp; Items'!B:L,COLUMN('Price List, Weapons &amp; Items'!$L$11)-1,0)</f>
        <v>no price, 0 count</v>
      </c>
      <c r="AR1657" s="1194">
        <f t="shared" si="349"/>
        <v>1</v>
      </c>
      <c r="AS1657" s="1194">
        <f t="shared" si="350"/>
        <v>1</v>
      </c>
      <c r="AT1657" s="1194">
        <f t="shared" si="351"/>
        <v>1</v>
      </c>
      <c r="AU1657" s="1194" t="str">
        <f t="shared" si="353"/>
        <v>.</v>
      </c>
      <c r="AV1657" s="1194" t="str">
        <f t="shared" si="343"/>
        <v>.</v>
      </c>
      <c r="AW1657" s="1194" t="str">
        <f t="shared" si="352"/>
        <v>.</v>
      </c>
      <c r="AX1657" s="1194">
        <f>IFERROR(VLOOKUP(B1657,'Share, Heavy Weapons to Ukraine'!B:Z,COLUMN('Share, Heavy Weapons to Ukraine'!C1668)-1,0),0)</f>
        <v>1</v>
      </c>
      <c r="AY1657" s="1194">
        <f>VLOOKUP('Bilateral Assistance, MAIN DATA'!B1657,'Country Summary (€)'!B:F,COLUMN('Country Summary (€)'!C1669)-1,FALSE)</f>
        <v>0</v>
      </c>
      <c r="AZ1657" s="1194" t="str">
        <f>IF(AND(AD1657=1,D1657="Military",H1657&lt;&gt;"Not given")=TRUE,IF(SUMIFS(P:P,A:A,A1657)&gt;0,ABS((SUMIFS(P:P,A:A,A1657)/VLOOKUP("USD",'Exchange Rates'!B:C,2,0)))/S1657,"."),".")</f>
        <v>.</v>
      </c>
      <c r="BA1657" s="1196" t="str">
        <f>IF(AND(AD1657=1,D1657="Military",H1657&lt;&gt;"Not given")=TRUE,IF(SUMIFS(P:P,A:A,A1657)&gt;0,IF((ABS((SUMIFS(P:P,A:A,A1657)/VLOOKUP("USD",'Exchange Rates'!B:C,2,0)))/S1657)&gt;1,(SUMIFS(P:P,A:A,A1657)-S1657)/S1657,(S1657-SUMIFS(P:P,A:A,A1657))/SUMIFS(P:P,A:A,A1657)),"."),".")</f>
        <v>.</v>
      </c>
    </row>
    <row r="1658" spans="1:53" ht="15.95" customHeight="1">
      <c r="A1658" s="1304" t="s">
        <v>4254</v>
      </c>
      <c r="B1658" s="1208" t="s">
        <v>3949</v>
      </c>
      <c r="C1658" s="1220">
        <v>44832</v>
      </c>
      <c r="D1658" s="1208" t="s">
        <v>389</v>
      </c>
      <c r="E1658" s="1208" t="s">
        <v>1676</v>
      </c>
      <c r="F1658" s="1183" t="s">
        <v>4275</v>
      </c>
      <c r="G1658" s="1184" t="s">
        <v>456</v>
      </c>
      <c r="H1658" s="1221">
        <v>1100000000</v>
      </c>
      <c r="I1658" s="1208" t="s">
        <v>4280</v>
      </c>
      <c r="J1658" s="1186" t="str">
        <f>VLOOKUP($I1658,'Price List, Weapons &amp; Items'!B:C,2,0)</f>
        <v>Military equipment</v>
      </c>
      <c r="K1658" s="1186" t="str">
        <f>IF(I1658=".",I1658,VLOOKUP($I1658,'Price List, Weapons &amp; Items'!B:D,3,0))</f>
        <v>Military equipment</v>
      </c>
      <c r="L1658" s="1187">
        <f>VLOOKUP(I1658,'Price List, Weapons &amp; Items'!B:E,4,0)</f>
        <v>0</v>
      </c>
      <c r="M1658" s="1241" t="s">
        <v>374</v>
      </c>
      <c r="N1658" s="1188" t="s">
        <v>374</v>
      </c>
      <c r="O1658" s="1188" t="str">
        <f>VLOOKUP($I1658,'Price List, Weapons &amp; Items'!B:G,6,0)</f>
        <v>.</v>
      </c>
      <c r="P1658" s="1185" t="str">
        <f t="shared" si="344"/>
        <v>.</v>
      </c>
      <c r="Q1658" s="1185" t="str">
        <f t="shared" si="345"/>
        <v>.</v>
      </c>
      <c r="R1658" s="1185" t="str">
        <f t="shared" si="341"/>
        <v/>
      </c>
      <c r="S1658" s="1185" t="str">
        <f>IF(AND(AD1658=1,R1658&lt;&gt;".")=TRUE,R1658/VLOOKUP(G1658,'Exchange Rates'!B:C,2,0),IF(R1658=".",".",""))</f>
        <v/>
      </c>
      <c r="T1658" s="1185" t="str">
        <f>IF(AD1658=1,IF(AF1658="Value is not given at all",".",IF(AF1658="Value is given by the source",S1658,IF(AF1658="Value is calculated with prices",(IF(SUMIFS(Q:Q,A:A,A1658)&gt;0,SUMIFS(Q:Q,A:A,A1658),"."))/VLOOKUP("USD",'Exchange Rates'!B:C,2,0),"Error with coding"))),"")</f>
        <v/>
      </c>
      <c r="U1658" s="1184" t="s">
        <v>365</v>
      </c>
      <c r="V1658" s="979" t="s">
        <v>4276</v>
      </c>
      <c r="W1658" s="1042" t="s">
        <v>3955</v>
      </c>
      <c r="X1658" s="1043" t="s">
        <v>3959</v>
      </c>
      <c r="Y1658" s="1044" t="s">
        <v>4057</v>
      </c>
      <c r="Z1658" s="1184">
        <v>0</v>
      </c>
      <c r="AA1658" s="1194">
        <v>0</v>
      </c>
      <c r="AB1658" s="1180" t="s">
        <v>364</v>
      </c>
      <c r="AC1658" s="1192" t="str">
        <f>""</f>
        <v/>
      </c>
      <c r="AD1658" s="985">
        <v>0</v>
      </c>
      <c r="AE1658" s="1313" t="s">
        <v>368</v>
      </c>
      <c r="AF1658" s="985" t="s">
        <v>369</v>
      </c>
      <c r="AG1658" s="985">
        <v>1</v>
      </c>
      <c r="AH1658" s="1193">
        <v>9</v>
      </c>
      <c r="AI1658" s="985">
        <v>0</v>
      </c>
      <c r="AJ1658" s="1193">
        <f>VLOOKUP($I1658,'Price List, Weapons &amp; Items'!B:F,5,0)</f>
        <v>0</v>
      </c>
      <c r="AK1658" s="1193">
        <f t="shared" si="346"/>
        <v>0</v>
      </c>
      <c r="AL1658" s="1193">
        <f t="shared" si="347"/>
        <v>0</v>
      </c>
      <c r="AM1658" s="1193">
        <f t="shared" si="348"/>
        <v>0</v>
      </c>
      <c r="AN1658" s="1194" t="str">
        <f>VLOOKUP($I1658,'Price List, Weapons &amp; Items'!B:L,COLUMN('Price List, Weapons &amp; Items'!$J$11)-1,0)</f>
        <v>.</v>
      </c>
      <c r="AO1658" s="1194" t="str">
        <f>IF(I1658=".",".",VLOOKUP($I1658,'Price List, Weapons &amp; Items'!B:J,3,0))</f>
        <v>Military equipment</v>
      </c>
      <c r="AP1658" s="1195" t="str">
        <f t="shared" ca="1" si="342"/>
        <v/>
      </c>
      <c r="AQ1658" s="1194" t="str">
        <f>VLOOKUP($I1658,'Price List, Weapons &amp; Items'!B:L,COLUMN('Price List, Weapons &amp; Items'!$L$11)-1,0)</f>
        <v>no price, 0 count</v>
      </c>
      <c r="AR1658" s="1194">
        <f t="shared" si="349"/>
        <v>1</v>
      </c>
      <c r="AS1658" s="1194">
        <f t="shared" si="350"/>
        <v>1</v>
      </c>
      <c r="AT1658" s="1194">
        <f t="shared" si="351"/>
        <v>1</v>
      </c>
      <c r="AU1658" s="1194" t="str">
        <f t="shared" si="353"/>
        <v>.</v>
      </c>
      <c r="AV1658" s="1194" t="str">
        <f t="shared" si="343"/>
        <v>.</v>
      </c>
      <c r="AW1658" s="1194" t="str">
        <f t="shared" si="352"/>
        <v>.</v>
      </c>
      <c r="AX1658" s="1194">
        <f>IFERROR(VLOOKUP(B1658,'Share, Heavy Weapons to Ukraine'!B:Z,COLUMN('Share, Heavy Weapons to Ukraine'!C1669)-1,0),0)</f>
        <v>1</v>
      </c>
      <c r="AY1658" s="1194">
        <f>VLOOKUP('Bilateral Assistance, MAIN DATA'!B1658,'Country Summary (€)'!B:F,COLUMN('Country Summary (€)'!C1670)-1,FALSE)</f>
        <v>0</v>
      </c>
      <c r="AZ1658" s="1194" t="str">
        <f>IF(AND(AD1658=1,D1658="Military",H1658&lt;&gt;"Not given")=TRUE,IF(SUMIFS(P:P,A:A,A1658)&gt;0,ABS((SUMIFS(P:P,A:A,A1658)/VLOOKUP("USD",'Exchange Rates'!B:C,2,0)))/S1658,"."),".")</f>
        <v>.</v>
      </c>
      <c r="BA1658" s="1196" t="str">
        <f>IF(AND(AD1658=1,D1658="Military",H1658&lt;&gt;"Not given")=TRUE,IF(SUMIFS(P:P,A:A,A1658)&gt;0,IF((ABS((SUMIFS(P:P,A:A,A1658)/VLOOKUP("USD",'Exchange Rates'!B:C,2,0)))/S1658)&gt;1,(SUMIFS(P:P,A:A,A1658)-S1658)/S1658,(S1658-SUMIFS(P:P,A:A,A1658))/SUMIFS(P:P,A:A,A1658)),"."),".")</f>
        <v>.</v>
      </c>
    </row>
    <row r="1659" spans="1:53" ht="15.95" customHeight="1">
      <c r="A1659" s="1304" t="s">
        <v>4254</v>
      </c>
      <c r="B1659" s="1208" t="s">
        <v>3949</v>
      </c>
      <c r="C1659" s="1220">
        <v>44832</v>
      </c>
      <c r="D1659" s="1208" t="s">
        <v>389</v>
      </c>
      <c r="E1659" s="1208" t="s">
        <v>1676</v>
      </c>
      <c r="F1659" s="1183" t="s">
        <v>4275</v>
      </c>
      <c r="G1659" s="1184" t="s">
        <v>456</v>
      </c>
      <c r="H1659" s="1221">
        <v>1100000000</v>
      </c>
      <c r="I1659" s="1208" t="s">
        <v>637</v>
      </c>
      <c r="J1659" s="1186" t="str">
        <f>VLOOKUP($I1659,'Price List, Weapons &amp; Items'!B:C,2,0)</f>
        <v>Military equipment</v>
      </c>
      <c r="K1659" s="1186" t="str">
        <f>IF(I1659=".",I1659,VLOOKUP($I1659,'Price List, Weapons &amp; Items'!B:D,3,0))</f>
        <v>Military equipment</v>
      </c>
      <c r="L1659" s="1187">
        <f>VLOOKUP(I1659,'Price List, Weapons &amp; Items'!B:E,4,0)</f>
        <v>0</v>
      </c>
      <c r="M1659" s="1241" t="s">
        <v>374</v>
      </c>
      <c r="N1659" s="1188" t="s">
        <v>374</v>
      </c>
      <c r="O1659" s="1188" t="str">
        <f>VLOOKUP($I1659,'Price List, Weapons &amp; Items'!B:G,6,0)</f>
        <v>.</v>
      </c>
      <c r="P1659" s="1185" t="str">
        <f t="shared" si="344"/>
        <v>.</v>
      </c>
      <c r="Q1659" s="1185" t="str">
        <f t="shared" si="345"/>
        <v>.</v>
      </c>
      <c r="R1659" s="1185" t="str">
        <f t="shared" si="341"/>
        <v/>
      </c>
      <c r="S1659" s="1185" t="str">
        <f>IF(AND(AD1659=1,R1659&lt;&gt;".")=TRUE,R1659/VLOOKUP(G1659,'Exchange Rates'!B:C,2,0),IF(R1659=".",".",""))</f>
        <v/>
      </c>
      <c r="T1659" s="1185" t="str">
        <f>IF(AD1659=1,IF(AF1659="Value is not given at all",".",IF(AF1659="Value is given by the source",S1659,IF(AF1659="Value is calculated with prices",(IF(SUMIFS(Q:Q,A:A,A1659)&gt;0,SUMIFS(Q:Q,A:A,A1659),"."))/VLOOKUP("USD",'Exchange Rates'!B:C,2,0),"Error with coding"))),"")</f>
        <v/>
      </c>
      <c r="U1659" s="1184" t="s">
        <v>365</v>
      </c>
      <c r="V1659" s="979" t="s">
        <v>4276</v>
      </c>
      <c r="W1659" s="1042" t="s">
        <v>3955</v>
      </c>
      <c r="X1659" s="1043" t="s">
        <v>3959</v>
      </c>
      <c r="Y1659" s="1044" t="s">
        <v>4059</v>
      </c>
      <c r="Z1659" s="1184">
        <v>0</v>
      </c>
      <c r="AA1659" s="1194">
        <v>0</v>
      </c>
      <c r="AB1659" s="1180" t="s">
        <v>364</v>
      </c>
      <c r="AC1659" s="1192" t="str">
        <f>""</f>
        <v/>
      </c>
      <c r="AD1659" s="985">
        <v>0</v>
      </c>
      <c r="AE1659" s="1313" t="s">
        <v>368</v>
      </c>
      <c r="AF1659" s="985" t="s">
        <v>369</v>
      </c>
      <c r="AG1659" s="985">
        <v>1</v>
      </c>
      <c r="AH1659" s="1193">
        <v>9</v>
      </c>
      <c r="AI1659" s="1193">
        <v>0</v>
      </c>
      <c r="AJ1659" s="1193">
        <f>VLOOKUP($I1659,'Price List, Weapons &amp; Items'!B:F,5,0)</f>
        <v>0</v>
      </c>
      <c r="AK1659" s="1193">
        <f t="shared" si="346"/>
        <v>0</v>
      </c>
      <c r="AL1659" s="1193">
        <f t="shared" si="347"/>
        <v>0</v>
      </c>
      <c r="AM1659" s="1193">
        <f t="shared" si="348"/>
        <v>0</v>
      </c>
      <c r="AN1659" s="1194" t="str">
        <f>VLOOKUP($I1659,'Price List, Weapons &amp; Items'!B:L,COLUMN('Price List, Weapons &amp; Items'!$J$11)-1,0)</f>
        <v>.</v>
      </c>
      <c r="AO1659" s="1194" t="str">
        <f>IF(I1659=".",".",VLOOKUP($I1659,'Price List, Weapons &amp; Items'!B:J,3,0))</f>
        <v>Military equipment</v>
      </c>
      <c r="AP1659" s="1195" t="str">
        <f t="shared" ca="1" si="342"/>
        <v/>
      </c>
      <c r="AQ1659" s="1194" t="str">
        <f>VLOOKUP($I1659,'Price List, Weapons &amp; Items'!B:L,COLUMN('Price List, Weapons &amp; Items'!$L$11)-1,0)</f>
        <v>no price, 0 count</v>
      </c>
      <c r="AR1659" s="1194">
        <f t="shared" si="349"/>
        <v>1</v>
      </c>
      <c r="AS1659" s="1194">
        <f t="shared" si="350"/>
        <v>1</v>
      </c>
      <c r="AT1659" s="1194">
        <f t="shared" si="351"/>
        <v>1</v>
      </c>
      <c r="AU1659" s="1194" t="str">
        <f t="shared" si="353"/>
        <v>.</v>
      </c>
      <c r="AV1659" s="1194" t="str">
        <f t="shared" si="343"/>
        <v>.</v>
      </c>
      <c r="AW1659" s="1194" t="str">
        <f t="shared" si="352"/>
        <v>.</v>
      </c>
      <c r="AX1659" s="1194">
        <f>IFERROR(VLOOKUP(B1659,'Share, Heavy Weapons to Ukraine'!B:Z,COLUMN('Share, Heavy Weapons to Ukraine'!C1670)-1,0),0)</f>
        <v>1</v>
      </c>
      <c r="AY1659" s="1194">
        <f>VLOOKUP('Bilateral Assistance, MAIN DATA'!B1659,'Country Summary (€)'!B:F,COLUMN('Country Summary (€)'!C1671)-1,FALSE)</f>
        <v>0</v>
      </c>
      <c r="AZ1659" s="1194" t="str">
        <f>IF(AND(AD1659=1,D1659="Military",H1659&lt;&gt;"Not given")=TRUE,IF(SUMIFS(P:P,A:A,A1659)&gt;0,ABS((SUMIFS(P:P,A:A,A1659)/VLOOKUP("USD",'Exchange Rates'!B:C,2,0)))/S1659,"."),".")</f>
        <v>.</v>
      </c>
      <c r="BA1659" s="1196" t="str">
        <f>IF(AND(AD1659=1,D1659="Military",H1659&lt;&gt;"Not given")=TRUE,IF(SUMIFS(P:P,A:A,A1659)&gt;0,IF((ABS((SUMIFS(P:P,A:A,A1659)/VLOOKUP("USD",'Exchange Rates'!B:C,2,0)))/S1659)&gt;1,(SUMIFS(P:P,A:A,A1659)-S1659)/S1659,(S1659-SUMIFS(P:P,A:A,A1659))/SUMIFS(P:P,A:A,A1659)),"."),".")</f>
        <v>.</v>
      </c>
    </row>
    <row r="1660" spans="1:53" ht="15.95" customHeight="1">
      <c r="A1660" s="1304" t="s">
        <v>4254</v>
      </c>
      <c r="B1660" s="1208" t="s">
        <v>3949</v>
      </c>
      <c r="C1660" s="1220">
        <v>44832</v>
      </c>
      <c r="D1660" s="1208" t="s">
        <v>389</v>
      </c>
      <c r="E1660" s="1208" t="s">
        <v>1676</v>
      </c>
      <c r="F1660" s="1183" t="s">
        <v>4275</v>
      </c>
      <c r="G1660" s="1184" t="s">
        <v>456</v>
      </c>
      <c r="H1660" s="1221">
        <v>1100000000</v>
      </c>
      <c r="I1660" s="1208" t="s">
        <v>4281</v>
      </c>
      <c r="J1660" s="1186" t="str">
        <f>VLOOKUP($I1660,'Price List, Weapons &amp; Items'!B:C,2,0)</f>
        <v>Military equipment</v>
      </c>
      <c r="K1660" s="1186" t="str">
        <f>IF(I1660=".",I1660,VLOOKUP($I1660,'Price List, Weapons &amp; Items'!B:D,3,0))</f>
        <v>Military equipment</v>
      </c>
      <c r="L1660" s="1187">
        <f>VLOOKUP(I1660,'Price List, Weapons &amp; Items'!B:E,4,0)</f>
        <v>0</v>
      </c>
      <c r="M1660" s="1241">
        <v>20000</v>
      </c>
      <c r="N1660" s="1188" t="s">
        <v>374</v>
      </c>
      <c r="O1660" s="1188" t="str">
        <f>VLOOKUP($I1660,'Price List, Weapons &amp; Items'!B:G,6,0)</f>
        <v>.</v>
      </c>
      <c r="P1660" s="1185" t="str">
        <f t="shared" si="344"/>
        <v>No price</v>
      </c>
      <c r="Q1660" s="1185" t="str">
        <f t="shared" si="345"/>
        <v>.</v>
      </c>
      <c r="R1660" s="1185" t="str">
        <f t="shared" si="341"/>
        <v/>
      </c>
      <c r="S1660" s="1185" t="str">
        <f>IF(AND(AD1660=1,R1660&lt;&gt;".")=TRUE,R1660/VLOOKUP(G1660,'Exchange Rates'!B:C,2,0),IF(R1660=".",".",""))</f>
        <v/>
      </c>
      <c r="T1660" s="1185" t="str">
        <f>IF(AD1660=1,IF(AF1660="Value is not given at all",".",IF(AF1660="Value is given by the source",S1660,IF(AF1660="Value is calculated with prices",(IF(SUMIFS(Q:Q,A:A,A1660)&gt;0,SUMIFS(Q:Q,A:A,A1660),"."))/VLOOKUP("USD",'Exchange Rates'!B:C,2,0),"Error with coding"))),"")</f>
        <v/>
      </c>
      <c r="U1660" s="1184" t="s">
        <v>365</v>
      </c>
      <c r="V1660" s="979" t="s">
        <v>4276</v>
      </c>
      <c r="W1660" s="1042" t="s">
        <v>3955</v>
      </c>
      <c r="X1660" s="1043" t="s">
        <v>3959</v>
      </c>
      <c r="Y1660" s="1044" t="s">
        <v>4060</v>
      </c>
      <c r="Z1660" s="1184">
        <v>0</v>
      </c>
      <c r="AA1660" s="1194">
        <v>0</v>
      </c>
      <c r="AB1660" s="1180" t="s">
        <v>364</v>
      </c>
      <c r="AC1660" s="1192" t="str">
        <f>""</f>
        <v/>
      </c>
      <c r="AD1660" s="985">
        <v>0</v>
      </c>
      <c r="AE1660" s="1313" t="s">
        <v>368</v>
      </c>
      <c r="AF1660" s="985" t="s">
        <v>369</v>
      </c>
      <c r="AG1660" s="985">
        <v>1</v>
      </c>
      <c r="AH1660" s="1193">
        <v>9</v>
      </c>
      <c r="AI1660" s="985">
        <v>0</v>
      </c>
      <c r="AJ1660" s="1193">
        <f>VLOOKUP($I1660,'Price List, Weapons &amp; Items'!B:F,5,0)</f>
        <v>0</v>
      </c>
      <c r="AK1660" s="1193">
        <f t="shared" si="346"/>
        <v>0</v>
      </c>
      <c r="AL1660" s="1193">
        <f t="shared" si="347"/>
        <v>0</v>
      </c>
      <c r="AM1660" s="1193">
        <f t="shared" si="348"/>
        <v>0</v>
      </c>
      <c r="AN1660" s="1194" t="str">
        <f>VLOOKUP($I1660,'Price List, Weapons &amp; Items'!B:L,COLUMN('Price List, Weapons &amp; Items'!$J$11)-1,0)</f>
        <v>.</v>
      </c>
      <c r="AO1660" s="1194" t="str">
        <f>IF(I1660=".",".",VLOOKUP($I1660,'Price List, Weapons &amp; Items'!B:J,3,0))</f>
        <v>Military equipment</v>
      </c>
      <c r="AP1660" s="1195" t="str">
        <f t="shared" ca="1" si="342"/>
        <v/>
      </c>
      <c r="AQ1660" s="1194">
        <f>VLOOKUP($I1660,'Price List, Weapons &amp; Items'!B:L,COLUMN('Price List, Weapons &amp; Items'!$L$11)-1,0)</f>
        <v>0</v>
      </c>
      <c r="AR1660" s="1194">
        <f t="shared" si="349"/>
        <v>1</v>
      </c>
      <c r="AS1660" s="1194">
        <f t="shared" si="350"/>
        <v>1</v>
      </c>
      <c r="AT1660" s="1194">
        <f t="shared" si="351"/>
        <v>1</v>
      </c>
      <c r="AU1660" s="1194" t="str">
        <f t="shared" si="353"/>
        <v>.</v>
      </c>
      <c r="AV1660" s="1194" t="str">
        <f t="shared" si="343"/>
        <v>.</v>
      </c>
      <c r="AW1660" s="1194" t="str">
        <f t="shared" si="352"/>
        <v>.</v>
      </c>
      <c r="AX1660" s="1194">
        <f>IFERROR(VLOOKUP(B1660,'Share, Heavy Weapons to Ukraine'!B:Z,COLUMN('Share, Heavy Weapons to Ukraine'!C1671)-1,0),0)</f>
        <v>1</v>
      </c>
      <c r="AY1660" s="1194">
        <f>VLOOKUP('Bilateral Assistance, MAIN DATA'!B1660,'Country Summary (€)'!B:F,COLUMN('Country Summary (€)'!C1672)-1,FALSE)</f>
        <v>0</v>
      </c>
      <c r="AZ1660" s="1194" t="str">
        <f>IF(AND(AD1660=1,D1660="Military",H1660&lt;&gt;"Not given")=TRUE,IF(SUMIFS(P:P,A:A,A1660)&gt;0,ABS((SUMIFS(P:P,A:A,A1660)/VLOOKUP("USD",'Exchange Rates'!B:C,2,0)))/S1660,"."),".")</f>
        <v>.</v>
      </c>
      <c r="BA1660" s="1196" t="str">
        <f>IF(AND(AD1660=1,D1660="Military",H1660&lt;&gt;"Not given")=TRUE,IF(SUMIFS(P:P,A:A,A1660)&gt;0,IF((ABS((SUMIFS(P:P,A:A,A1660)/VLOOKUP("USD",'Exchange Rates'!B:C,2,0)))/S1660)&gt;1,(SUMIFS(P:P,A:A,A1660)-S1660)/S1660,(S1660-SUMIFS(P:P,A:A,A1660))/SUMIFS(P:P,A:A,A1660)),"."),".")</f>
        <v>.</v>
      </c>
    </row>
    <row r="1661" spans="1:53" ht="15.95" customHeight="1">
      <c r="A1661" s="1304" t="s">
        <v>4254</v>
      </c>
      <c r="B1661" s="1208" t="s">
        <v>3949</v>
      </c>
      <c r="C1661" s="1220">
        <v>44832</v>
      </c>
      <c r="D1661" s="1208" t="s">
        <v>389</v>
      </c>
      <c r="E1661" s="1208" t="s">
        <v>1676</v>
      </c>
      <c r="F1661" s="1183" t="s">
        <v>4275</v>
      </c>
      <c r="G1661" s="1184" t="s">
        <v>456</v>
      </c>
      <c r="H1661" s="1221">
        <v>1100000000</v>
      </c>
      <c r="I1661" s="1208" t="s">
        <v>4196</v>
      </c>
      <c r="J1661" s="1186" t="str">
        <f>VLOOKUP($I1661,'Price List, Weapons &amp; Items'!B:C,2,0)</f>
        <v>Military equipment</v>
      </c>
      <c r="K1661" s="1186" t="str">
        <f>IF(I1661=".",I1661,VLOOKUP($I1661,'Price List, Weapons &amp; Items'!B:D,3,0))</f>
        <v>Military equipment</v>
      </c>
      <c r="L1661" s="1187">
        <f>VLOOKUP(I1661,'Price List, Weapons &amp; Items'!B:E,4,0)</f>
        <v>0</v>
      </c>
      <c r="M1661" s="1241" t="s">
        <v>374</v>
      </c>
      <c r="N1661" s="1188" t="s">
        <v>374</v>
      </c>
      <c r="O1661" s="1188" t="str">
        <f>VLOOKUP($I1661,'Price List, Weapons &amp; Items'!B:G,6,0)</f>
        <v>.</v>
      </c>
      <c r="P1661" s="1185" t="str">
        <f t="shared" si="344"/>
        <v>.</v>
      </c>
      <c r="Q1661" s="1185" t="str">
        <f t="shared" si="345"/>
        <v>.</v>
      </c>
      <c r="R1661" s="1185" t="str">
        <f t="shared" si="341"/>
        <v/>
      </c>
      <c r="S1661" s="1185" t="str">
        <f>IF(AND(AD1661=1,R1661&lt;&gt;".")=TRUE,R1661/VLOOKUP(G1661,'Exchange Rates'!B:C,2,0),IF(R1661=".",".",""))</f>
        <v/>
      </c>
      <c r="T1661" s="1185" t="str">
        <f>IF(AD1661=1,IF(AF1661="Value is not given at all",".",IF(AF1661="Value is given by the source",S1661,IF(AF1661="Value is calculated with prices",(IF(SUMIFS(Q:Q,A:A,A1661)&gt;0,SUMIFS(Q:Q,A:A,A1661),"."))/VLOOKUP("USD",'Exchange Rates'!B:C,2,0),"Error with coding"))),"")</f>
        <v/>
      </c>
      <c r="U1661" s="1184" t="s">
        <v>365</v>
      </c>
      <c r="V1661" s="979" t="s">
        <v>4276</v>
      </c>
      <c r="W1661" s="1042" t="s">
        <v>3955</v>
      </c>
      <c r="X1661" s="1043" t="s">
        <v>3959</v>
      </c>
      <c r="Y1661" s="1044" t="s">
        <v>4061</v>
      </c>
      <c r="Z1661" s="1184">
        <v>0</v>
      </c>
      <c r="AA1661" s="1194">
        <v>0</v>
      </c>
      <c r="AB1661" s="1180" t="s">
        <v>364</v>
      </c>
      <c r="AC1661" s="1192" t="str">
        <f>""</f>
        <v/>
      </c>
      <c r="AD1661" s="985">
        <v>0</v>
      </c>
      <c r="AE1661" s="1313" t="s">
        <v>368</v>
      </c>
      <c r="AF1661" s="985" t="s">
        <v>369</v>
      </c>
      <c r="AG1661" s="985">
        <v>1</v>
      </c>
      <c r="AH1661" s="1193">
        <v>9</v>
      </c>
      <c r="AI1661" s="1193">
        <v>0</v>
      </c>
      <c r="AJ1661" s="1193">
        <f>VLOOKUP($I1661,'Price List, Weapons &amp; Items'!B:F,5,0)</f>
        <v>0</v>
      </c>
      <c r="AK1661" s="1193">
        <f t="shared" si="346"/>
        <v>0</v>
      </c>
      <c r="AL1661" s="1193">
        <f t="shared" si="347"/>
        <v>0</v>
      </c>
      <c r="AM1661" s="1193">
        <f t="shared" si="348"/>
        <v>0</v>
      </c>
      <c r="AN1661" s="1194" t="str">
        <f>VLOOKUP($I1661,'Price List, Weapons &amp; Items'!B:L,COLUMN('Price List, Weapons &amp; Items'!$J$11)-1,0)</f>
        <v>.</v>
      </c>
      <c r="AO1661" s="1194" t="str">
        <f>IF(I1661=".",".",VLOOKUP($I1661,'Price List, Weapons &amp; Items'!B:J,3,0))</f>
        <v>Military equipment</v>
      </c>
      <c r="AP1661" s="1195" t="str">
        <f t="shared" ca="1" si="342"/>
        <v/>
      </c>
      <c r="AQ1661" s="1194" t="str">
        <f>VLOOKUP($I1661,'Price List, Weapons &amp; Items'!B:L,COLUMN('Price List, Weapons &amp; Items'!$L$11)-1,0)</f>
        <v>no price, 0 count</v>
      </c>
      <c r="AR1661" s="1194">
        <f t="shared" si="349"/>
        <v>1</v>
      </c>
      <c r="AS1661" s="1194">
        <f t="shared" si="350"/>
        <v>1</v>
      </c>
      <c r="AT1661" s="1194">
        <f t="shared" si="351"/>
        <v>1</v>
      </c>
      <c r="AU1661" s="1194" t="str">
        <f t="shared" si="353"/>
        <v>.</v>
      </c>
      <c r="AV1661" s="1194" t="str">
        <f t="shared" si="343"/>
        <v>.</v>
      </c>
      <c r="AW1661" s="1194" t="str">
        <f t="shared" si="352"/>
        <v>.</v>
      </c>
      <c r="AX1661" s="1194">
        <f>IFERROR(VLOOKUP(B1661,'Share, Heavy Weapons to Ukraine'!B:Z,COLUMN('Share, Heavy Weapons to Ukraine'!C1672)-1,0),0)</f>
        <v>1</v>
      </c>
      <c r="AY1661" s="1194">
        <f>VLOOKUP('Bilateral Assistance, MAIN DATA'!B1661,'Country Summary (€)'!B:F,COLUMN('Country Summary (€)'!C1673)-1,FALSE)</f>
        <v>0</v>
      </c>
      <c r="AZ1661" s="1194" t="str">
        <f>IF(AND(AD1661=1,D1661="Military",H1661&lt;&gt;"Not given")=TRUE,IF(SUMIFS(P:P,A:A,A1661)&gt;0,ABS((SUMIFS(P:P,A:A,A1661)/VLOOKUP("USD",'Exchange Rates'!B:C,2,0)))/S1661,"."),".")</f>
        <v>.</v>
      </c>
      <c r="BA1661" s="1196" t="str">
        <f>IF(AND(AD1661=1,D1661="Military",H1661&lt;&gt;"Not given")=TRUE,IF(SUMIFS(P:P,A:A,A1661)&gt;0,IF((ABS((SUMIFS(P:P,A:A,A1661)/VLOOKUP("USD",'Exchange Rates'!B:C,2,0)))/S1661)&gt;1,(SUMIFS(P:P,A:A,A1661)-S1661)/S1661,(S1661-SUMIFS(P:P,A:A,A1661))/SUMIFS(P:P,A:A,A1661)),"."),".")</f>
        <v>.</v>
      </c>
    </row>
    <row r="1662" spans="1:53" ht="15.95" customHeight="1">
      <c r="A1662" s="1304" t="s">
        <v>4254</v>
      </c>
      <c r="B1662" s="1208" t="s">
        <v>3949</v>
      </c>
      <c r="C1662" s="1220">
        <v>44869</v>
      </c>
      <c r="D1662" s="1208" t="s">
        <v>389</v>
      </c>
      <c r="E1662" s="1208" t="s">
        <v>390</v>
      </c>
      <c r="F1662" s="1183" t="s">
        <v>4282</v>
      </c>
      <c r="G1662" s="1184" t="s">
        <v>456</v>
      </c>
      <c r="H1662" s="1221">
        <v>400000000</v>
      </c>
      <c r="I1662" s="1278" t="s">
        <v>4050</v>
      </c>
      <c r="J1662" s="1186" t="str">
        <f>VLOOKUP($I1662,'Price List, Weapons &amp; Items'!B:C,2,0)</f>
        <v>Aviation and drones</v>
      </c>
      <c r="K1662" s="1186" t="str">
        <f>IF(I1662=".",I1662,VLOOKUP($I1662,'Price List, Weapons &amp; Items'!B:D,3,0))</f>
        <v>drone</v>
      </c>
      <c r="L1662" s="1187">
        <f>VLOOKUP(I1662,'Price List, Weapons &amp; Items'!B:E,4,0)</f>
        <v>0</v>
      </c>
      <c r="M1662" s="1188">
        <v>1100</v>
      </c>
      <c r="N1662" s="1188" t="s">
        <v>374</v>
      </c>
      <c r="O1662" s="1188">
        <f>VLOOKUP($I1662,'Price List, Weapons &amp; Items'!B:G,6,0)</f>
        <v>163793</v>
      </c>
      <c r="P1662" s="1185">
        <f t="shared" si="344"/>
        <v>180172300</v>
      </c>
      <c r="Q1662" s="1185" t="str">
        <f t="shared" si="345"/>
        <v>.</v>
      </c>
      <c r="R1662" s="1185" t="str">
        <f t="shared" si="341"/>
        <v/>
      </c>
      <c r="S1662" s="1185" t="str">
        <f>IF(AND(AD1662=1,R1662&lt;&gt;".")=TRUE,R1662/VLOOKUP(G1662,'Exchange Rates'!B:C,2,0),IF(R1662=".",".",""))</f>
        <v/>
      </c>
      <c r="T1662" s="1185" t="str">
        <f>IF(AD1662=1,IF(AF1662="Value is not given at all",".",IF(AF1662="Value is given by the source",S1662,IF(AF1662="Value is calculated with prices",(IF(SUMIFS(Q:Q,A:A,A1662)&gt;0,SUMIFS(Q:Q,A:A,A1662),"."))/VLOOKUP("USD",'Exchange Rates'!B:C,2,0),"Error with coding"))),"")</f>
        <v/>
      </c>
      <c r="U1662" s="1184" t="s">
        <v>365</v>
      </c>
      <c r="V1662" s="1017" t="s">
        <v>4283</v>
      </c>
      <c r="W1662" s="1042" t="s">
        <v>3955</v>
      </c>
      <c r="X1662" s="1043" t="s">
        <v>3959</v>
      </c>
      <c r="Y1662" s="1044" t="s">
        <v>4064</v>
      </c>
      <c r="Z1662" s="1184">
        <v>0</v>
      </c>
      <c r="AA1662" s="1194">
        <v>0</v>
      </c>
      <c r="AB1662" s="1180" t="s">
        <v>364</v>
      </c>
      <c r="AC1662" s="1192" t="str">
        <f>""</f>
        <v/>
      </c>
      <c r="AD1662" s="1193">
        <v>0</v>
      </c>
      <c r="AE1662" s="1313" t="s">
        <v>368</v>
      </c>
      <c r="AF1662" s="1193" t="s">
        <v>369</v>
      </c>
      <c r="AG1662" s="1193">
        <v>1</v>
      </c>
      <c r="AH1662" s="1193">
        <v>11</v>
      </c>
      <c r="AI1662" s="1193">
        <v>0</v>
      </c>
      <c r="AJ1662" s="1193">
        <f>VLOOKUP($I1662,'Price List, Weapons &amp; Items'!B:F,5,0)</f>
        <v>0</v>
      </c>
      <c r="AK1662" s="1193">
        <f t="shared" si="346"/>
        <v>0</v>
      </c>
      <c r="AL1662" s="1193">
        <f t="shared" si="347"/>
        <v>0</v>
      </c>
      <c r="AM1662" s="1193">
        <f t="shared" si="348"/>
        <v>0</v>
      </c>
      <c r="AN1662" s="1194" t="str">
        <f>VLOOKUP($I1662,'Price List, Weapons &amp; Items'!B:L,COLUMN('Price List, Weapons &amp; Items'!$J$11)-1,0)</f>
        <v>Government information</v>
      </c>
      <c r="AO1662" s="1194" t="str">
        <f>IF(I1662=".",".",VLOOKUP($I1662,'Price List, Weapons &amp; Items'!B:J,3,0))</f>
        <v>drone</v>
      </c>
      <c r="AP1662" s="1195" t="str">
        <f t="shared" ca="1" si="342"/>
        <v/>
      </c>
      <c r="AQ1662" s="1194">
        <f>VLOOKUP($I1662,'Price List, Weapons &amp; Items'!B:L,COLUMN('Price List, Weapons &amp; Items'!$L$11)-1,0)</f>
        <v>2</v>
      </c>
      <c r="AR1662" s="1194">
        <f t="shared" si="349"/>
        <v>1</v>
      </c>
      <c r="AS1662" s="1194">
        <f t="shared" si="350"/>
        <v>1</v>
      </c>
      <c r="AT1662" s="1194">
        <f t="shared" si="351"/>
        <v>1</v>
      </c>
      <c r="AU1662" s="1194" t="str">
        <f t="shared" si="353"/>
        <v>.</v>
      </c>
      <c r="AV1662" s="1194" t="str">
        <f t="shared" si="343"/>
        <v>.</v>
      </c>
      <c r="AW1662" s="1194" t="str">
        <f t="shared" si="352"/>
        <v>.</v>
      </c>
      <c r="AX1662" s="1194">
        <f>IFERROR(VLOOKUP(B1662,'Share, Heavy Weapons to Ukraine'!B:Z,COLUMN('Share, Heavy Weapons to Ukraine'!C1673)-1,0),0)</f>
        <v>1</v>
      </c>
      <c r="AY1662" s="1194">
        <f>VLOOKUP('Bilateral Assistance, MAIN DATA'!B1662,'Country Summary (€)'!B:F,COLUMN('Country Summary (€)'!C1674)-1,FALSE)</f>
        <v>0</v>
      </c>
      <c r="AZ1662" s="1194" t="str">
        <f>IF(AND(AD1662=1,D1662="Military",H1662&lt;&gt;"Not given")=TRUE,IF(SUMIFS(P:P,A:A,A1662)&gt;0,ABS((SUMIFS(P:P,A:A,A1662)/VLOOKUP("USD",'Exchange Rates'!B:C,2,0)))/S1662,"."),".")</f>
        <v>.</v>
      </c>
      <c r="BA1662" s="1196" t="str">
        <f>IF(AND(AD1662=1,D1662="Military",H1662&lt;&gt;"Not given")=TRUE,IF(SUMIFS(P:P,A:A,A1662)&gt;0,IF((ABS((SUMIFS(P:P,A:A,A1662)/VLOOKUP("USD",'Exchange Rates'!B:C,2,0)))/S1662)&gt;1,(SUMIFS(P:P,A:A,A1662)-S1662)/S1662,(S1662-SUMIFS(P:P,A:A,A1662))/SUMIFS(P:P,A:A,A1662)),"."),".")</f>
        <v>.</v>
      </c>
    </row>
    <row r="1663" spans="1:53" ht="15.95" customHeight="1">
      <c r="A1663" s="1304" t="s">
        <v>4254</v>
      </c>
      <c r="B1663" s="1208" t="s">
        <v>3949</v>
      </c>
      <c r="C1663" s="1220">
        <v>44869</v>
      </c>
      <c r="D1663" s="1208" t="s">
        <v>389</v>
      </c>
      <c r="E1663" s="1208" t="s">
        <v>390</v>
      </c>
      <c r="F1663" s="1183" t="s">
        <v>4282</v>
      </c>
      <c r="G1663" s="1184" t="s">
        <v>456</v>
      </c>
      <c r="H1663" s="1221">
        <v>400000000</v>
      </c>
      <c r="I1663" s="1278" t="s">
        <v>1398</v>
      </c>
      <c r="J1663" s="1186" t="str">
        <f>VLOOKUP($I1663,'Price List, Weapons &amp; Items'!B:C,2,0)</f>
        <v>Heavy weapon</v>
      </c>
      <c r="K1663" s="1186" t="str">
        <f>IF(I1663=".",I1663,VLOOKUP($I1663,'Price List, Weapons &amp; Items'!B:D,3,0))</f>
        <v>Patrol and coastal combatants</v>
      </c>
      <c r="L1663" s="1187">
        <f>VLOOKUP(I1663,'Price List, Weapons &amp; Items'!B:E,4,0)</f>
        <v>0</v>
      </c>
      <c r="M1663" s="1188">
        <v>40</v>
      </c>
      <c r="N1663" s="1188" t="s">
        <v>374</v>
      </c>
      <c r="O1663" s="1188">
        <f>VLOOKUP($I1663,'Price List, Weapons &amp; Items'!B:G,6,0)</f>
        <v>39916727.899999999</v>
      </c>
      <c r="P1663" s="1185">
        <f t="shared" si="344"/>
        <v>1596669116</v>
      </c>
      <c r="Q1663" s="1185" t="str">
        <f t="shared" si="345"/>
        <v>.</v>
      </c>
      <c r="R1663" s="1185" t="str">
        <f t="shared" si="341"/>
        <v/>
      </c>
      <c r="S1663" s="1185" t="str">
        <f>IF(AND(AD1663=1,R1663&lt;&gt;".")=TRUE,R1663/VLOOKUP(G1663,'Exchange Rates'!B:C,2,0),IF(R1663=".",".",""))</f>
        <v/>
      </c>
      <c r="T1663" s="1185" t="str">
        <f>IF(AD1663=1,IF(AF1663="Value is not given at all",".",IF(AF1663="Value is given by the source",S1663,IF(AF1663="Value is calculated with prices",(IF(SUMIFS(Q:Q,A:A,A1663)&gt;0,SUMIFS(Q:Q,A:A,A1663),"."))/VLOOKUP("USD",'Exchange Rates'!B:C,2,0),"Error with coding"))),"")</f>
        <v/>
      </c>
      <c r="U1663" s="1184" t="s">
        <v>365</v>
      </c>
      <c r="V1663" s="1017" t="s">
        <v>4283</v>
      </c>
      <c r="W1663" s="1042" t="s">
        <v>3955</v>
      </c>
      <c r="X1663" s="1043" t="s">
        <v>3959</v>
      </c>
      <c r="Y1663" s="1044" t="s">
        <v>4065</v>
      </c>
      <c r="Z1663" s="1184">
        <v>0</v>
      </c>
      <c r="AA1663" s="1194">
        <v>0</v>
      </c>
      <c r="AB1663" s="1180" t="s">
        <v>364</v>
      </c>
      <c r="AC1663" s="1192" t="str">
        <f>""</f>
        <v/>
      </c>
      <c r="AD1663" s="1193">
        <v>0</v>
      </c>
      <c r="AE1663" s="1313" t="s">
        <v>368</v>
      </c>
      <c r="AF1663" s="1193" t="s">
        <v>369</v>
      </c>
      <c r="AG1663" s="1193">
        <v>1</v>
      </c>
      <c r="AH1663" s="1193">
        <v>11</v>
      </c>
      <c r="AI1663" s="1193">
        <v>0</v>
      </c>
      <c r="AJ1663" s="1193">
        <f>VLOOKUP($I1663,'Price List, Weapons &amp; Items'!B:F,5,0)</f>
        <v>0</v>
      </c>
      <c r="AK1663" s="1193">
        <f t="shared" si="346"/>
        <v>0</v>
      </c>
      <c r="AL1663" s="1193">
        <f t="shared" si="347"/>
        <v>0</v>
      </c>
      <c r="AM1663" s="1193">
        <f t="shared" si="348"/>
        <v>0</v>
      </c>
      <c r="AN1663" s="1194" t="str">
        <f>VLOOKUP($I1663,'Price List, Weapons &amp; Items'!B:L,COLUMN('Price List, Weapons &amp; Items'!$J$11)-1,0)</f>
        <v>Military media (incl. websites)</v>
      </c>
      <c r="AO1663" s="1194" t="str">
        <f>IF(I1663=".",".",VLOOKUP($I1663,'Price List, Weapons &amp; Items'!B:J,3,0))</f>
        <v>Patrol and coastal combatants</v>
      </c>
      <c r="AP1663" s="1195" t="str">
        <f t="shared" ca="1" si="342"/>
        <v/>
      </c>
      <c r="AQ1663" s="1194">
        <f>VLOOKUP($I1663,'Price List, Weapons &amp; Items'!B:L,COLUMN('Price List, Weapons &amp; Items'!$L$11)-1,0)</f>
        <v>2</v>
      </c>
      <c r="AR1663" s="1194">
        <f t="shared" si="349"/>
        <v>1</v>
      </c>
      <c r="AS1663" s="1194">
        <f t="shared" si="350"/>
        <v>1</v>
      </c>
      <c r="AT1663" s="1194">
        <f t="shared" si="351"/>
        <v>1</v>
      </c>
      <c r="AU1663" s="1194" t="str">
        <f t="shared" ref="AU1663:AU1694" si="354">IF(AND(A1663=A1662,C1663=C1662)=TRUE,IF(F1663=F1662,".","1"),".")</f>
        <v>.</v>
      </c>
      <c r="AV1663" s="1194" t="str">
        <f t="shared" si="343"/>
        <v>.</v>
      </c>
      <c r="AW1663" s="1194" t="str">
        <f t="shared" si="352"/>
        <v>.</v>
      </c>
      <c r="AX1663" s="1194">
        <f>IFERROR(VLOOKUP(B1663,'Share, Heavy Weapons to Ukraine'!B:Z,COLUMN('Share, Heavy Weapons to Ukraine'!C1674)-1,0),0)</f>
        <v>1</v>
      </c>
      <c r="AY1663" s="1194">
        <f>VLOOKUP('Bilateral Assistance, MAIN DATA'!B1663,'Country Summary (€)'!B:F,COLUMN('Country Summary (€)'!C1675)-1,FALSE)</f>
        <v>0</v>
      </c>
      <c r="AZ1663" s="1194" t="str">
        <f>IF(AND(AD1663=1,D1663="Military",H1663&lt;&gt;"Not given")=TRUE,IF(SUMIFS(P:P,A:A,A1663)&gt;0,ABS((SUMIFS(P:P,A:A,A1663)/VLOOKUP("USD",'Exchange Rates'!B:C,2,0)))/S1663,"."),".")</f>
        <v>.</v>
      </c>
      <c r="BA1663" s="1196" t="str">
        <f>IF(AND(AD1663=1,D1663="Military",H1663&lt;&gt;"Not given")=TRUE,IF(SUMIFS(P:P,A:A,A1663)&gt;0,IF((ABS((SUMIFS(P:P,A:A,A1663)/VLOOKUP("USD",'Exchange Rates'!B:C,2,0)))/S1663)&gt;1,(SUMIFS(P:P,A:A,A1663)-S1663)/S1663,(S1663-SUMIFS(P:P,A:A,A1663))/SUMIFS(P:P,A:A,A1663)),"."),".")</f>
        <v>.</v>
      </c>
    </row>
    <row r="1664" spans="1:53" ht="15.95" customHeight="1">
      <c r="A1664" s="1304" t="s">
        <v>4254</v>
      </c>
      <c r="B1664" s="1208" t="s">
        <v>3949</v>
      </c>
      <c r="C1664" s="1220">
        <v>44869</v>
      </c>
      <c r="D1664" s="1208" t="s">
        <v>389</v>
      </c>
      <c r="E1664" s="1208" t="s">
        <v>390</v>
      </c>
      <c r="F1664" s="1183" t="s">
        <v>4282</v>
      </c>
      <c r="G1664" s="1184" t="s">
        <v>456</v>
      </c>
      <c r="H1664" s="1221">
        <v>400000000</v>
      </c>
      <c r="I1664" s="1328" t="s">
        <v>4280</v>
      </c>
      <c r="J1664" s="1186" t="str">
        <f>VLOOKUP($I1664,'Price List, Weapons &amp; Items'!B:C,2,0)</f>
        <v>Military equipment</v>
      </c>
      <c r="K1664" s="1186" t="str">
        <f>IF(I1664=".",I1664,VLOOKUP($I1664,'Price List, Weapons &amp; Items'!B:D,3,0))</f>
        <v>Military equipment</v>
      </c>
      <c r="L1664" s="1187">
        <f>VLOOKUP(I1664,'Price List, Weapons &amp; Items'!B:E,4,0)</f>
        <v>0</v>
      </c>
      <c r="M1664" s="1188" t="s">
        <v>374</v>
      </c>
      <c r="N1664" s="1188" t="s">
        <v>374</v>
      </c>
      <c r="O1664" s="1188" t="str">
        <f>VLOOKUP($I1664,'Price List, Weapons &amp; Items'!B:G,6,0)</f>
        <v>.</v>
      </c>
      <c r="P1664" s="1185" t="str">
        <f t="shared" si="344"/>
        <v>.</v>
      </c>
      <c r="Q1664" s="1185" t="str">
        <f t="shared" si="345"/>
        <v>.</v>
      </c>
      <c r="R1664" s="1185" t="str">
        <f t="shared" si="341"/>
        <v/>
      </c>
      <c r="S1664" s="1185" t="str">
        <f>IF(AND(AD1664=1,R1664&lt;&gt;".")=TRUE,R1664/VLOOKUP(G1664,'Exchange Rates'!B:C,2,0),IF(R1664=".",".",""))</f>
        <v/>
      </c>
      <c r="T1664" s="1185" t="str">
        <f>IF(AD1664=1,IF(AF1664="Value is not given at all",".",IF(AF1664="Value is given by the source",S1664,IF(AF1664="Value is calculated with prices",(IF(SUMIFS(Q:Q,A:A,A1664)&gt;0,SUMIFS(Q:Q,A:A,A1664),"."))/VLOOKUP("USD",'Exchange Rates'!B:C,2,0),"Error with coding"))),"")</f>
        <v/>
      </c>
      <c r="U1664" s="1184" t="s">
        <v>365</v>
      </c>
      <c r="V1664" s="1017" t="s">
        <v>4283</v>
      </c>
      <c r="W1664" s="1042" t="s">
        <v>3955</v>
      </c>
      <c r="X1664" s="1043" t="s">
        <v>3959</v>
      </c>
      <c r="Y1664" s="1044" t="s">
        <v>4066</v>
      </c>
      <c r="Z1664" s="1184">
        <v>0</v>
      </c>
      <c r="AA1664" s="1194">
        <v>0</v>
      </c>
      <c r="AB1664" s="1180" t="s">
        <v>364</v>
      </c>
      <c r="AC1664" s="1192" t="str">
        <f>""</f>
        <v/>
      </c>
      <c r="AD1664" s="1193">
        <v>0</v>
      </c>
      <c r="AE1664" s="1313" t="s">
        <v>368</v>
      </c>
      <c r="AF1664" s="1193" t="s">
        <v>369</v>
      </c>
      <c r="AG1664" s="1193">
        <v>1</v>
      </c>
      <c r="AH1664" s="1193">
        <v>11</v>
      </c>
      <c r="AI1664" s="1193">
        <v>0</v>
      </c>
      <c r="AJ1664" s="1193">
        <f>VLOOKUP($I1664,'Price List, Weapons &amp; Items'!B:F,5,0)</f>
        <v>0</v>
      </c>
      <c r="AK1664" s="1193">
        <f t="shared" si="346"/>
        <v>0</v>
      </c>
      <c r="AL1664" s="1193">
        <f t="shared" si="347"/>
        <v>0</v>
      </c>
      <c r="AM1664" s="1193">
        <f t="shared" si="348"/>
        <v>0</v>
      </c>
      <c r="AN1664" s="1194" t="str">
        <f>VLOOKUP($I1664,'Price List, Weapons &amp; Items'!B:L,COLUMN('Price List, Weapons &amp; Items'!$J$11)-1,0)</f>
        <v>.</v>
      </c>
      <c r="AO1664" s="1194" t="str">
        <f>IF(I1664=".",".",VLOOKUP($I1664,'Price List, Weapons &amp; Items'!B:J,3,0))</f>
        <v>Military equipment</v>
      </c>
      <c r="AP1664" s="1195" t="str">
        <f t="shared" ca="1" si="342"/>
        <v/>
      </c>
      <c r="AQ1664" s="1194" t="str">
        <f>VLOOKUP($I1664,'Price List, Weapons &amp; Items'!B:L,COLUMN('Price List, Weapons &amp; Items'!$L$11)-1,0)</f>
        <v>no price, 0 count</v>
      </c>
      <c r="AR1664" s="1194">
        <f t="shared" si="349"/>
        <v>1</v>
      </c>
      <c r="AS1664" s="1194">
        <f t="shared" si="350"/>
        <v>1</v>
      </c>
      <c r="AT1664" s="1194">
        <f t="shared" si="351"/>
        <v>1</v>
      </c>
      <c r="AU1664" s="1194" t="str">
        <f t="shared" si="354"/>
        <v>.</v>
      </c>
      <c r="AV1664" s="1194" t="str">
        <f t="shared" si="343"/>
        <v>.</v>
      </c>
      <c r="AW1664" s="1194" t="str">
        <f t="shared" si="352"/>
        <v>.</v>
      </c>
      <c r="AX1664" s="1194">
        <f>IFERROR(VLOOKUP(B1664,'Share, Heavy Weapons to Ukraine'!B:Z,COLUMN('Share, Heavy Weapons to Ukraine'!C1675)-1,0),0)</f>
        <v>1</v>
      </c>
      <c r="AY1664" s="1194">
        <f>VLOOKUP('Bilateral Assistance, MAIN DATA'!B1664,'Country Summary (€)'!B:F,COLUMN('Country Summary (€)'!C1676)-1,FALSE)</f>
        <v>0</v>
      </c>
      <c r="AZ1664" s="1194" t="str">
        <f>IF(AND(AD1664=1,D1664="Military",H1664&lt;&gt;"Not given")=TRUE,IF(SUMIFS(P:P,A:A,A1664)&gt;0,ABS((SUMIFS(P:P,A:A,A1664)/VLOOKUP("USD",'Exchange Rates'!B:C,2,0)))/S1664,"."),".")</f>
        <v>.</v>
      </c>
      <c r="BA1664" s="1196" t="str">
        <f>IF(AND(AD1664=1,D1664="Military",H1664&lt;&gt;"Not given")=TRUE,IF(SUMIFS(P:P,A:A,A1664)&gt;0,IF((ABS((SUMIFS(P:P,A:A,A1664)/VLOOKUP("USD",'Exchange Rates'!B:C,2,0)))/S1664)&gt;1,(SUMIFS(P:P,A:A,A1664)-S1664)/S1664,(S1664-SUMIFS(P:P,A:A,A1664))/SUMIFS(P:P,A:A,A1664)),"."),".")</f>
        <v>.</v>
      </c>
    </row>
    <row r="1665" spans="1:53" ht="15.95" customHeight="1">
      <c r="A1665" s="1208" t="s">
        <v>4284</v>
      </c>
      <c r="B1665" s="1208" t="s">
        <v>3949</v>
      </c>
      <c r="C1665" s="1220">
        <v>44834</v>
      </c>
      <c r="D1665" s="1208" t="s">
        <v>389</v>
      </c>
      <c r="E1665" s="1208" t="s">
        <v>390</v>
      </c>
      <c r="F1665" s="1263" t="s">
        <v>4285</v>
      </c>
      <c r="G1665" s="1184" t="s">
        <v>456</v>
      </c>
      <c r="H1665" s="1221">
        <v>3700000000</v>
      </c>
      <c r="I1665" s="1180" t="s">
        <v>364</v>
      </c>
      <c r="J1665" s="1186" t="str">
        <f>VLOOKUP($I1665,'Price List, Weapons &amp; Items'!B:C,2,0)</f>
        <v>.</v>
      </c>
      <c r="K1665" s="1186" t="str">
        <f>IF(I1665=".",I1665,VLOOKUP($I1665,'Price List, Weapons &amp; Items'!B:D,3,0))</f>
        <v>.</v>
      </c>
      <c r="L1665" s="1187">
        <f>VLOOKUP(I1665,'Price List, Weapons &amp; Items'!B:E,4,0)</f>
        <v>0</v>
      </c>
      <c r="M1665" s="1188" t="s">
        <v>364</v>
      </c>
      <c r="N1665" s="1188" t="s">
        <v>364</v>
      </c>
      <c r="O1665" s="1188" t="str">
        <f>VLOOKUP($I1665,'Price List, Weapons &amp; Items'!B:G,6,0)</f>
        <v>.</v>
      </c>
      <c r="P1665" s="1185" t="str">
        <f t="shared" si="344"/>
        <v>.</v>
      </c>
      <c r="Q1665" s="1185" t="str">
        <f t="shared" si="345"/>
        <v>.</v>
      </c>
      <c r="R1665" s="1185">
        <f t="shared" si="341"/>
        <v>3700000000</v>
      </c>
      <c r="S1665" s="1185">
        <f>IF(AND(AD1665=1,R1665&lt;&gt;".")=TRUE,R1665/VLOOKUP(G1665,'Exchange Rates'!B:C,2,0),IF(R1665=".",".",""))</f>
        <v>3404490246.59551</v>
      </c>
      <c r="T1665" s="1185" t="str">
        <f>IF(AD1665=1,IF(AF1665="Value is not given at all",".",IF(AF1665="Value is given by the source",S1665,IF(AF1665="Value is calculated with prices",(IF(SUMIFS(Q:Q,A:A,A1665)&gt;0,SUMIFS(Q:Q,A:A,A1665),"."))/VLOOKUP("USD",'Exchange Rates'!B:C,2,0),"Error with coding"))),"")</f>
        <v>.</v>
      </c>
      <c r="U1665" s="1184" t="s">
        <v>365</v>
      </c>
      <c r="V1665" s="983" t="s">
        <v>3978</v>
      </c>
      <c r="W1665" s="980" t="s">
        <v>3982</v>
      </c>
      <c r="X1665" s="966" t="s">
        <v>3989</v>
      </c>
      <c r="Y1665" s="1190" t="s">
        <v>364</v>
      </c>
      <c r="Z1665" s="1184">
        <v>0</v>
      </c>
      <c r="AA1665" s="1194">
        <v>0</v>
      </c>
      <c r="AB1665" s="1180" t="s">
        <v>364</v>
      </c>
      <c r="AC1665" s="1192" t="str">
        <f>""</f>
        <v/>
      </c>
      <c r="AD1665" s="1193">
        <v>1</v>
      </c>
      <c r="AE1665" s="1193" t="s">
        <v>368</v>
      </c>
      <c r="AF1665" s="1193" t="s">
        <v>369</v>
      </c>
      <c r="AG1665" s="1193">
        <v>1</v>
      </c>
      <c r="AH1665" s="1193">
        <v>9</v>
      </c>
      <c r="AI1665" s="1193">
        <v>0</v>
      </c>
      <c r="AJ1665" s="1193">
        <f>VLOOKUP($I1665,'Price List, Weapons &amp; Items'!B:F,5,0)</f>
        <v>0</v>
      </c>
      <c r="AK1665" s="1193">
        <f t="shared" si="346"/>
        <v>0</v>
      </c>
      <c r="AL1665" s="1193">
        <f t="shared" si="347"/>
        <v>0</v>
      </c>
      <c r="AM1665" s="1193">
        <f t="shared" si="348"/>
        <v>0</v>
      </c>
      <c r="AN1665" s="1194" t="str">
        <f>VLOOKUP($I1665,'Price List, Weapons &amp; Items'!B:L,COLUMN('Price List, Weapons &amp; Items'!$J$11)-1,0)</f>
        <v>.</v>
      </c>
      <c r="AO1665" s="1194" t="str">
        <f>IF(I1665=".",".",VLOOKUP($I1665,'Price List, Weapons &amp; Items'!B:J,3,0))</f>
        <v>.</v>
      </c>
      <c r="AP1665" s="1195" t="str">
        <f t="shared" ca="1" si="342"/>
        <v>.</v>
      </c>
      <c r="AQ1665" s="1194">
        <f>VLOOKUP($I1665,'Price List, Weapons &amp; Items'!B:L,COLUMN('Price List, Weapons &amp; Items'!$L$11)-1,0)</f>
        <v>0</v>
      </c>
      <c r="AR1665" s="1194">
        <f t="shared" si="349"/>
        <v>1</v>
      </c>
      <c r="AS1665" s="1194">
        <f t="shared" si="350"/>
        <v>1</v>
      </c>
      <c r="AT1665" s="1194">
        <f t="shared" si="351"/>
        <v>1</v>
      </c>
      <c r="AU1665" s="1194" t="str">
        <f t="shared" si="354"/>
        <v>.</v>
      </c>
      <c r="AV1665" s="1194" t="str">
        <f t="shared" si="343"/>
        <v>.</v>
      </c>
      <c r="AW1665" s="1194" t="str">
        <f t="shared" si="352"/>
        <v>.</v>
      </c>
      <c r="AX1665" s="1194">
        <f>IFERROR(VLOOKUP(B1665,'Share, Heavy Weapons to Ukraine'!B:Z,COLUMN('Share, Heavy Weapons to Ukraine'!C1676)-1,0),0)</f>
        <v>1</v>
      </c>
      <c r="AY1665" s="1194">
        <f>VLOOKUP('Bilateral Assistance, MAIN DATA'!B1665,'Country Summary (€)'!B:F,COLUMN('Country Summary (€)'!C1677)-1,FALSE)</f>
        <v>0</v>
      </c>
      <c r="AZ1665" s="1194">
        <f>IF(AND(AD1665=1,D1665="Military",H1665&lt;&gt;"Not given")=TRUE,IF(SUMIFS(P:P,A:A,A1665)&gt;0,ABS((SUMIFS(P:P,A:A,A1665)/VLOOKUP("USD",'Exchange Rates'!B:C,2,0)))/S1665,"."),".")</f>
        <v>0.9111323657900573</v>
      </c>
      <c r="BA1665" s="1196">
        <f>IF(AND(AD1665=1,D1665="Military",H1665&lt;&gt;"Not given")=TRUE,IF(SUMIFS(P:P,A:A,A1665)&gt;0,IF((ABS((SUMIFS(P:P,A:A,A1665)/VLOOKUP("USD",'Exchange Rates'!B:C,2,0)))/S1665)&gt;1,(SUMIFS(P:P,A:A,A1665)-S1665)/S1665,(S1665-SUMIFS(P:P,A:A,A1665))/SUMIFS(P:P,A:A,A1665)),"."),".")</f>
        <v>9.8779646379986725E-3</v>
      </c>
    </row>
    <row r="1666" spans="1:53" ht="15.95" customHeight="1">
      <c r="A1666" s="1208" t="s">
        <v>4284</v>
      </c>
      <c r="B1666" s="1208" t="s">
        <v>3949</v>
      </c>
      <c r="C1666" s="1220">
        <v>44838</v>
      </c>
      <c r="D1666" s="1208" t="s">
        <v>389</v>
      </c>
      <c r="E1666" s="1208" t="s">
        <v>390</v>
      </c>
      <c r="F1666" s="1263" t="s">
        <v>4286</v>
      </c>
      <c r="G1666" s="1184" t="s">
        <v>456</v>
      </c>
      <c r="H1666" s="1221">
        <v>625000000</v>
      </c>
      <c r="I1666" s="1180" t="s">
        <v>4070</v>
      </c>
      <c r="J1666" s="1186" t="str">
        <f>VLOOKUP($I1666,'Price List, Weapons &amp; Items'!B:C,2,0)</f>
        <v>Heavy weapon</v>
      </c>
      <c r="K1666" s="1186" t="str">
        <f>IF(I1666=".",I1666,VLOOKUP($I1666,'Price List, Weapons &amp; Items'!B:D,3,0))</f>
        <v>227mm MLRS</v>
      </c>
      <c r="L1666" s="1187">
        <f>VLOOKUP(I1666,'Price List, Weapons &amp; Items'!B:E,4,0)</f>
        <v>0</v>
      </c>
      <c r="M1666" s="1188">
        <v>4</v>
      </c>
      <c r="N1666" s="1188">
        <v>4</v>
      </c>
      <c r="O1666" s="1188">
        <f>VLOOKUP($I1666,'Price List, Weapons &amp; Items'!B:G,6,0)</f>
        <v>15076313.029999999</v>
      </c>
      <c r="P1666" s="1185">
        <f t="shared" si="344"/>
        <v>60305252.119999997</v>
      </c>
      <c r="Q1666" s="1185">
        <f t="shared" si="345"/>
        <v>60305252.119999997</v>
      </c>
      <c r="R1666" s="1185" t="str">
        <f t="shared" ref="R1666:R1729" si="355">IF(AD1666=1,IF(H1666&lt;&gt;"Not given",H1666,IF(TYPE(H1666)=2,IF(SUMIFS(P:P,A:A,A1666)&gt;0,SUMIFS(P:P,A:A,A1666),"."),"Format error")),"")</f>
        <v/>
      </c>
      <c r="S1666" s="1185" t="str">
        <f>IF(AND(AD1666=1,R1666&lt;&gt;".")=TRUE,R1666/VLOOKUP(G1666,'Exchange Rates'!B:C,2,0),IF(R1666=".",".",""))</f>
        <v/>
      </c>
      <c r="T1666" s="1185" t="str">
        <f>IF(AD1666=1,IF(AF1666="Value is not given at all",".",IF(AF1666="Value is given by the source",S1666,IF(AF1666="Value is calculated with prices",(IF(SUMIFS(Q:Q,A:A,A1666)&gt;0,SUMIFS(Q:Q,A:A,A1666),"."))/VLOOKUP("USD",'Exchange Rates'!B:C,2,0),"Error with coding"))),"")</f>
        <v/>
      </c>
      <c r="U1666" s="1184" t="s">
        <v>365</v>
      </c>
      <c r="V1666" s="1017" t="s">
        <v>4287</v>
      </c>
      <c r="W1666" s="983" t="s">
        <v>3978</v>
      </c>
      <c r="X1666" s="980" t="s">
        <v>3982</v>
      </c>
      <c r="Y1666" s="966" t="s">
        <v>3989</v>
      </c>
      <c r="Z1666" s="1184">
        <v>0</v>
      </c>
      <c r="AA1666" s="1194">
        <v>0</v>
      </c>
      <c r="AB1666" s="982" t="s">
        <v>4071</v>
      </c>
      <c r="AC1666" s="1192" t="str">
        <f>""</f>
        <v/>
      </c>
      <c r="AD1666" s="1193">
        <v>0</v>
      </c>
      <c r="AE1666" s="1193" t="s">
        <v>368</v>
      </c>
      <c r="AF1666" s="1193" t="s">
        <v>369</v>
      </c>
      <c r="AG1666" s="1193">
        <v>1</v>
      </c>
      <c r="AH1666" s="1193">
        <v>10</v>
      </c>
      <c r="AI1666" s="1193">
        <v>0</v>
      </c>
      <c r="AJ1666" s="1193">
        <f>VLOOKUP($I1666,'Price List, Weapons &amp; Items'!B:F,5,0)</f>
        <v>1</v>
      </c>
      <c r="AK1666" s="1193">
        <f t="shared" si="346"/>
        <v>0</v>
      </c>
      <c r="AL1666" s="1193">
        <f t="shared" si="347"/>
        <v>0</v>
      </c>
      <c r="AM1666" s="1193">
        <f t="shared" si="348"/>
        <v>0</v>
      </c>
      <c r="AN1666" s="1194" t="str">
        <f>VLOOKUP($I1666,'Price List, Weapons &amp; Items'!B:L,COLUMN('Price List, Weapons &amp; Items'!$J$11)-1,0)</f>
        <v>Contracts</v>
      </c>
      <c r="AO1666" s="1194" t="str">
        <f>IF(I1666=".",".",VLOOKUP($I1666,'Price List, Weapons &amp; Items'!B:J,3,0))</f>
        <v>227mm MLRS</v>
      </c>
      <c r="AP1666" s="1195" t="str">
        <f t="shared" ref="AP1666:AP1729" ca="1" si="356">IF(AD1666=1,(OFFSET(I1666,0,0,COUNTIF(A:A,A1666),1)),"")</f>
        <v/>
      </c>
      <c r="AQ1666" s="1194">
        <f>VLOOKUP($I1666,'Price List, Weapons &amp; Items'!B:L,COLUMN('Price List, Weapons &amp; Items'!$L$11)-1,0)</f>
        <v>2</v>
      </c>
      <c r="AR1666" s="1194">
        <f t="shared" si="349"/>
        <v>1</v>
      </c>
      <c r="AS1666" s="1194">
        <f t="shared" si="350"/>
        <v>1</v>
      </c>
      <c r="AT1666" s="1194">
        <f t="shared" si="351"/>
        <v>1</v>
      </c>
      <c r="AU1666" s="1194" t="str">
        <f t="shared" si="354"/>
        <v>.</v>
      </c>
      <c r="AV1666" s="1194" t="str">
        <f t="shared" ref="AV1666:AV1729" si="357">IF(AND(_xlfn.ISFORMULA(R1666),_xlfn.ISFORMULA(S1666),_xlfn.ISFORMULA(T1666))=TRUE,".",1)</f>
        <v>.</v>
      </c>
      <c r="AW1666" s="1194" t="str">
        <f t="shared" si="352"/>
        <v>.</v>
      </c>
      <c r="AX1666" s="1194">
        <f>IFERROR(VLOOKUP(B1666,'Share, Heavy Weapons to Ukraine'!B:Z,COLUMN('Share, Heavy Weapons to Ukraine'!C1677)-1,0),0)</f>
        <v>1</v>
      </c>
      <c r="AY1666" s="1194">
        <f>VLOOKUP('Bilateral Assistance, MAIN DATA'!B1666,'Country Summary (€)'!B:F,COLUMN('Country Summary (€)'!C1678)-1,FALSE)</f>
        <v>0</v>
      </c>
      <c r="AZ1666" s="1194" t="str">
        <f>IF(AND(AD1666=1,D1666="Military",H1666&lt;&gt;"Not given")=TRUE,IF(SUMIFS(P:P,A:A,A1666)&gt;0,ABS((SUMIFS(P:P,A:A,A1666)/VLOOKUP("USD",'Exchange Rates'!B:C,2,0)))/S1666,"."),".")</f>
        <v>.</v>
      </c>
      <c r="BA1666" s="1196" t="str">
        <f>IF(AND(AD1666=1,D1666="Military",H1666&lt;&gt;"Not given")=TRUE,IF(SUMIFS(P:P,A:A,A1666)&gt;0,IF((ABS((SUMIFS(P:P,A:A,A1666)/VLOOKUP("USD",'Exchange Rates'!B:C,2,0)))/S1666)&gt;1,(SUMIFS(P:P,A:A,A1666)-S1666)/S1666,(S1666-SUMIFS(P:P,A:A,A1666))/SUMIFS(P:P,A:A,A1666)),"."),".")</f>
        <v>.</v>
      </c>
    </row>
    <row r="1667" spans="1:53" ht="15.95" customHeight="1">
      <c r="A1667" s="1208" t="s">
        <v>4284</v>
      </c>
      <c r="B1667" s="1208" t="s">
        <v>3949</v>
      </c>
      <c r="C1667" s="1220">
        <v>44838</v>
      </c>
      <c r="D1667" s="1208" t="s">
        <v>389</v>
      </c>
      <c r="E1667" s="1208" t="s">
        <v>390</v>
      </c>
      <c r="F1667" s="1263" t="s">
        <v>4286</v>
      </c>
      <c r="G1667" s="1184" t="s">
        <v>456</v>
      </c>
      <c r="H1667" s="1221">
        <v>625000000</v>
      </c>
      <c r="I1667" s="1180" t="s">
        <v>4154</v>
      </c>
      <c r="J1667" s="1186" t="str">
        <f>VLOOKUP($I1667,'Price List, Weapons &amp; Items'!B:C,2,0)</f>
        <v>Heavy weapon</v>
      </c>
      <c r="K1667" s="1186" t="str">
        <f>IF(I1667=".",I1667,VLOOKUP($I1667,'Price List, Weapons &amp; Items'!B:D,3,0))</f>
        <v>105mm howitzer</v>
      </c>
      <c r="L1667" s="1187">
        <f>VLOOKUP(I1667,'Price List, Weapons &amp; Items'!B:E,4,0)</f>
        <v>0</v>
      </c>
      <c r="M1667" s="1188">
        <v>16</v>
      </c>
      <c r="N1667" s="1188" t="s">
        <v>374</v>
      </c>
      <c r="O1667" s="1188">
        <f>VLOOKUP($I1667,'Price List, Weapons &amp; Items'!B:G,6,0)</f>
        <v>1272482.2760025531</v>
      </c>
      <c r="P1667" s="1185">
        <f t="shared" ref="P1667:P1730" si="358">IF(TYPE(M1667)=1,IF(TYPE(O1667)=1,M1667*O1667,"No price"),".")</f>
        <v>20359716.416040849</v>
      </c>
      <c r="Q1667" s="1185" t="str">
        <f t="shared" ref="Q1667:Q1730" si="359">IF(TYPE(N1667)=1,IF(TYPE(O1667)=1,N1667*O1667,"No price"),".")</f>
        <v>.</v>
      </c>
      <c r="R1667" s="1185" t="str">
        <f t="shared" si="355"/>
        <v/>
      </c>
      <c r="S1667" s="1185" t="str">
        <f>IF(AND(AD1667=1,R1667&lt;&gt;".")=TRUE,R1667/VLOOKUP(G1667,'Exchange Rates'!B:C,2,0),IF(R1667=".",".",""))</f>
        <v/>
      </c>
      <c r="T1667" s="1185" t="str">
        <f>IF(AD1667=1,IF(AF1667="Value is not given at all",".",IF(AF1667="Value is given by the source",S1667,IF(AF1667="Value is calculated with prices",(IF(SUMIFS(Q:Q,A:A,A1667)&gt;0,SUMIFS(Q:Q,A:A,A1667),"."))/VLOOKUP("USD",'Exchange Rates'!B:C,2,0),"Error with coding"))),"")</f>
        <v/>
      </c>
      <c r="U1667" s="1184" t="s">
        <v>365</v>
      </c>
      <c r="V1667" s="1017" t="s">
        <v>4287</v>
      </c>
      <c r="W1667" s="983" t="s">
        <v>3978</v>
      </c>
      <c r="X1667" s="980" t="s">
        <v>3982</v>
      </c>
      <c r="Y1667" s="966" t="s">
        <v>3992</v>
      </c>
      <c r="Z1667" s="1184">
        <v>0</v>
      </c>
      <c r="AA1667" s="1194">
        <v>0</v>
      </c>
      <c r="AB1667" s="1000" t="s">
        <v>364</v>
      </c>
      <c r="AC1667" s="1192" t="str">
        <f>""</f>
        <v/>
      </c>
      <c r="AD1667" s="1193">
        <v>0</v>
      </c>
      <c r="AE1667" s="1193" t="s">
        <v>368</v>
      </c>
      <c r="AF1667" s="1193" t="s">
        <v>369</v>
      </c>
      <c r="AG1667" s="1193">
        <v>1</v>
      </c>
      <c r="AH1667" s="1193">
        <v>10</v>
      </c>
      <c r="AI1667" s="1193">
        <v>0</v>
      </c>
      <c r="AJ1667" s="1193">
        <f>VLOOKUP($I1667,'Price List, Weapons &amp; Items'!B:F,5,0)</f>
        <v>0</v>
      </c>
      <c r="AK1667" s="1193">
        <f t="shared" ref="AK1667:AK1730" si="360">IF(AND(AJ1667=1,M1667="undisclosed")=TRUE,1,0)</f>
        <v>0</v>
      </c>
      <c r="AL1667" s="1193">
        <f t="shared" ref="AL1667:AL1730" si="361">IF(AND(AJ1667=1,N1667="undisclosed")=TRUE,1,0)</f>
        <v>0</v>
      </c>
      <c r="AM1667" s="1193">
        <f t="shared" ref="AM1667:AM1730" si="362">IFERROR(IF(SEARCH("ammuni",I1667,1)&gt;0,1,0),0)</f>
        <v>0</v>
      </c>
      <c r="AN1667" s="1194" t="str">
        <f>VLOOKUP($I1667,'Price List, Weapons &amp; Items'!B:L,COLUMN('Price List, Weapons &amp; Items'!$J$11)-1,0)</f>
        <v>Contracts</v>
      </c>
      <c r="AO1667" s="1194" t="str">
        <f>IF(I1667=".",".",VLOOKUP($I1667,'Price List, Weapons &amp; Items'!B:J,3,0))</f>
        <v>105mm howitzer</v>
      </c>
      <c r="AP1667" s="1195" t="str">
        <f t="shared" ca="1" si="356"/>
        <v/>
      </c>
      <c r="AQ1667" s="1194">
        <f>VLOOKUP($I1667,'Price List, Weapons &amp; Items'!B:L,COLUMN('Price List, Weapons &amp; Items'!$L$11)-1,0)</f>
        <v>2</v>
      </c>
      <c r="AR1667" s="1194">
        <f t="shared" ref="AR1667:AR1730" si="363">IF(U1667="Yes",1,0)</f>
        <v>1</v>
      </c>
      <c r="AS1667" s="1194">
        <f t="shared" ref="AS1667:AS1730" si="364">IF(D1667="Military",IF(OR(IFERROR(SEARCH("equipment",E1667,1),0)&gt;0,IFERROR(SEARCH("weapons",E1667,1),0)&gt;0),1,0),0)</f>
        <v>1</v>
      </c>
      <c r="AT1667" s="1194">
        <f t="shared" ref="AT1667:AT1730" si="365">IFERROR(IF(VALUE(TEXT(C1667,"mm"))=IF(AH1667&gt;12,AH1667-12,AH1667),".",IF(TEXT(C1667,"mm")="01",".",1)),"Value is not in date format")</f>
        <v>1</v>
      </c>
      <c r="AU1667" s="1194" t="str">
        <f t="shared" si="354"/>
        <v>.</v>
      </c>
      <c r="AV1667" s="1194" t="str">
        <f t="shared" si="357"/>
        <v>.</v>
      </c>
      <c r="AW1667" s="1194" t="str">
        <f t="shared" ref="AW1667:AW1730" si="366">IF(T1667&lt;&gt;".",IF(T1667&gt;S1667,1,"."),".")</f>
        <v>.</v>
      </c>
      <c r="AX1667" s="1194">
        <f>IFERROR(VLOOKUP(B1667,'Share, Heavy Weapons to Ukraine'!B:Z,COLUMN('Share, Heavy Weapons to Ukraine'!C1678)-1,0),0)</f>
        <v>1</v>
      </c>
      <c r="AY1667" s="1194">
        <f>VLOOKUP('Bilateral Assistance, MAIN DATA'!B1667,'Country Summary (€)'!B:F,COLUMN('Country Summary (€)'!C1679)-1,FALSE)</f>
        <v>0</v>
      </c>
      <c r="AZ1667" s="1194" t="str">
        <f>IF(AND(AD1667=1,D1667="Military",H1667&lt;&gt;"Not given")=TRUE,IF(SUMIFS(P:P,A:A,A1667)&gt;0,ABS((SUMIFS(P:P,A:A,A1667)/VLOOKUP("USD",'Exchange Rates'!B:C,2,0)))/S1667,"."),".")</f>
        <v>.</v>
      </c>
      <c r="BA1667" s="1196" t="str">
        <f>IF(AND(AD1667=1,D1667="Military",H1667&lt;&gt;"Not given")=TRUE,IF(SUMIFS(P:P,A:A,A1667)&gt;0,IF((ABS((SUMIFS(P:P,A:A,A1667)/VLOOKUP("USD",'Exchange Rates'!B:C,2,0)))/S1667)&gt;1,(SUMIFS(P:P,A:A,A1667)-S1667)/S1667,(S1667-SUMIFS(P:P,A:A,A1667))/SUMIFS(P:P,A:A,A1667)),"."),".")</f>
        <v>.</v>
      </c>
    </row>
    <row r="1668" spans="1:53" ht="15.95" customHeight="1">
      <c r="A1668" s="1208" t="s">
        <v>4284</v>
      </c>
      <c r="B1668" s="1208" t="s">
        <v>3949</v>
      </c>
      <c r="C1668" s="1220">
        <v>44838</v>
      </c>
      <c r="D1668" s="1208" t="s">
        <v>389</v>
      </c>
      <c r="E1668" s="1208" t="s">
        <v>390</v>
      </c>
      <c r="F1668" s="1263" t="s">
        <v>4286</v>
      </c>
      <c r="G1668" s="1184" t="s">
        <v>456</v>
      </c>
      <c r="H1668" s="1221">
        <v>625000000</v>
      </c>
      <c r="I1668" s="1180" t="s">
        <v>4288</v>
      </c>
      <c r="J1668" s="1186" t="str">
        <f>VLOOKUP($I1668,'Price List, Weapons &amp; Items'!B:C,2,0)</f>
        <v>Heavy weapon</v>
      </c>
      <c r="K1668" s="1186" t="str">
        <f>IF(I1668=".",I1668,VLOOKUP($I1668,'Price List, Weapons &amp; Items'!B:D,3,0))</f>
        <v>155mm howitzer</v>
      </c>
      <c r="L1668" s="1187">
        <f>VLOOKUP(I1668,'Price List, Weapons &amp; Items'!B:E,4,0)</f>
        <v>0</v>
      </c>
      <c r="M1668" s="1188">
        <v>16</v>
      </c>
      <c r="N1668" s="1188" t="s">
        <v>374</v>
      </c>
      <c r="O1668" s="1188">
        <f>VLOOKUP($I1668,'Price List, Weapons &amp; Items'!B:G,6,0)</f>
        <v>5170000</v>
      </c>
      <c r="P1668" s="1185">
        <f t="shared" si="358"/>
        <v>82720000</v>
      </c>
      <c r="Q1668" s="1185" t="str">
        <f t="shared" si="359"/>
        <v>.</v>
      </c>
      <c r="R1668" s="1185" t="str">
        <f t="shared" si="355"/>
        <v/>
      </c>
      <c r="S1668" s="1185" t="str">
        <f>IF(AND(AD1668=1,R1668&lt;&gt;".")=TRUE,R1668/VLOOKUP(G1668,'Exchange Rates'!B:C,2,0),IF(R1668=".",".",""))</f>
        <v/>
      </c>
      <c r="T1668" s="1185" t="str">
        <f>IF(AD1668=1,IF(AF1668="Value is not given at all",".",IF(AF1668="Value is given by the source",S1668,IF(AF1668="Value is calculated with prices",(IF(SUMIFS(Q:Q,A:A,A1668)&gt;0,SUMIFS(Q:Q,A:A,A1668),"."))/VLOOKUP("USD",'Exchange Rates'!B:C,2,0),"Error with coding"))),"")</f>
        <v/>
      </c>
      <c r="U1668" s="1184" t="s">
        <v>365</v>
      </c>
      <c r="V1668" s="1017" t="s">
        <v>4287</v>
      </c>
      <c r="W1668" s="983" t="s">
        <v>3978</v>
      </c>
      <c r="X1668" s="980" t="s">
        <v>3982</v>
      </c>
      <c r="Y1668" s="966" t="s">
        <v>3992</v>
      </c>
      <c r="Z1668" s="1184">
        <v>0</v>
      </c>
      <c r="AA1668" s="1194">
        <v>0</v>
      </c>
      <c r="AB1668" s="1000" t="s">
        <v>364</v>
      </c>
      <c r="AC1668" s="1192" t="str">
        <f>""</f>
        <v/>
      </c>
      <c r="AD1668" s="1193">
        <v>0</v>
      </c>
      <c r="AE1668" s="1193" t="s">
        <v>368</v>
      </c>
      <c r="AF1668" s="1193" t="s">
        <v>369</v>
      </c>
      <c r="AG1668" s="1193">
        <v>1</v>
      </c>
      <c r="AH1668" s="1193">
        <v>10</v>
      </c>
      <c r="AI1668" s="1193">
        <v>0</v>
      </c>
      <c r="AJ1668" s="1193">
        <f>VLOOKUP($I1668,'Price List, Weapons &amp; Items'!B:F,5,0)</f>
        <v>1</v>
      </c>
      <c r="AK1668" s="1193">
        <f t="shared" si="360"/>
        <v>0</v>
      </c>
      <c r="AL1668" s="1193">
        <f t="shared" si="361"/>
        <v>1</v>
      </c>
      <c r="AM1668" s="1193">
        <f t="shared" si="362"/>
        <v>0</v>
      </c>
      <c r="AN1668" s="1194" t="str">
        <f>VLOOKUP($I1668,'Price List, Weapons &amp; Items'!B:L,COLUMN('Price List, Weapons &amp; Items'!$J$11)-1,0)</f>
        <v>Military media (incl. websites)</v>
      </c>
      <c r="AO1668" s="1194" t="str">
        <f>IF(I1668=".",".",VLOOKUP($I1668,'Price List, Weapons &amp; Items'!B:J,3,0))</f>
        <v>155mm howitzer</v>
      </c>
      <c r="AP1668" s="1195" t="str">
        <f t="shared" ca="1" si="356"/>
        <v/>
      </c>
      <c r="AQ1668" s="1194">
        <f>VLOOKUP($I1668,'Price List, Weapons &amp; Items'!B:L,COLUMN('Price List, Weapons &amp; Items'!$L$11)-1,0)</f>
        <v>2</v>
      </c>
      <c r="AR1668" s="1194">
        <f t="shared" si="363"/>
        <v>1</v>
      </c>
      <c r="AS1668" s="1194">
        <f t="shared" si="364"/>
        <v>1</v>
      </c>
      <c r="AT1668" s="1194">
        <f t="shared" si="365"/>
        <v>1</v>
      </c>
      <c r="AU1668" s="1194" t="str">
        <f t="shared" si="354"/>
        <v>.</v>
      </c>
      <c r="AV1668" s="1194" t="str">
        <f t="shared" si="357"/>
        <v>.</v>
      </c>
      <c r="AW1668" s="1194" t="str">
        <f t="shared" si="366"/>
        <v>.</v>
      </c>
      <c r="AX1668" s="1194">
        <f>IFERROR(VLOOKUP(B1668,'Share, Heavy Weapons to Ukraine'!B:Z,COLUMN('Share, Heavy Weapons to Ukraine'!C1679)-1,0),0)</f>
        <v>1</v>
      </c>
      <c r="AY1668" s="1194">
        <f>VLOOKUP('Bilateral Assistance, MAIN DATA'!B1668,'Country Summary (€)'!B:F,COLUMN('Country Summary (€)'!C1680)-1,FALSE)</f>
        <v>0</v>
      </c>
      <c r="AZ1668" s="1194" t="str">
        <f>IF(AND(AD1668=1,D1668="Military",H1668&lt;&gt;"Not given")=TRUE,IF(SUMIFS(P:P,A:A,A1668)&gt;0,ABS((SUMIFS(P:P,A:A,A1668)/VLOOKUP("USD",'Exchange Rates'!B:C,2,0)))/S1668,"."),".")</f>
        <v>.</v>
      </c>
      <c r="BA1668" s="1196" t="str">
        <f>IF(AND(AD1668=1,D1668="Military",H1668&lt;&gt;"Not given")=TRUE,IF(SUMIFS(P:P,A:A,A1668)&gt;0,IF((ABS((SUMIFS(P:P,A:A,A1668)/VLOOKUP("USD",'Exchange Rates'!B:C,2,0)))/S1668)&gt;1,(SUMIFS(P:P,A:A,A1668)-S1668)/S1668,(S1668-SUMIFS(P:P,A:A,A1668))/SUMIFS(P:P,A:A,A1668)),"."),".")</f>
        <v>.</v>
      </c>
    </row>
    <row r="1669" spans="1:53" ht="15.95" customHeight="1">
      <c r="A1669" s="1208" t="s">
        <v>4284</v>
      </c>
      <c r="B1669" s="1208" t="s">
        <v>3949</v>
      </c>
      <c r="C1669" s="1220">
        <v>44838</v>
      </c>
      <c r="D1669" s="1208" t="s">
        <v>389</v>
      </c>
      <c r="E1669" s="1208" t="s">
        <v>390</v>
      </c>
      <c r="F1669" s="1263" t="s">
        <v>4286</v>
      </c>
      <c r="G1669" s="1184" t="s">
        <v>456</v>
      </c>
      <c r="H1669" s="1221">
        <v>625000000</v>
      </c>
      <c r="I1669" s="1208" t="s">
        <v>4159</v>
      </c>
      <c r="J1669" s="1186" t="str">
        <f>VLOOKUP($I1669,'Price List, Weapons &amp; Items'!B:C,2,0)</f>
        <v>Heavy Weapon</v>
      </c>
      <c r="K1669" s="1186" t="str">
        <f>IF(I1669=".",I1669,VLOOKUP($I1669,'Price List, Weapons &amp; Items'!B:D,3,0))</f>
        <v>Armored Utility Vehicle (AUV)</v>
      </c>
      <c r="L1669" s="1187">
        <f>VLOOKUP(I1669,'Price List, Weapons &amp; Items'!B:E,4,0)</f>
        <v>0</v>
      </c>
      <c r="M1669" s="1188">
        <v>200</v>
      </c>
      <c r="N1669" s="1188" t="s">
        <v>374</v>
      </c>
      <c r="O1669" s="1188">
        <f>VLOOKUP($I1669,'Price List, Weapons &amp; Items'!B:G,6,0)</f>
        <v>405530</v>
      </c>
      <c r="P1669" s="1185">
        <f t="shared" si="358"/>
        <v>81106000</v>
      </c>
      <c r="Q1669" s="1185" t="str">
        <f t="shared" si="359"/>
        <v>.</v>
      </c>
      <c r="R1669" s="1185" t="str">
        <f t="shared" si="355"/>
        <v/>
      </c>
      <c r="S1669" s="1185" t="str">
        <f>IF(AND(AD1669=1,R1669&lt;&gt;".")=TRUE,R1669/VLOOKUP(G1669,'Exchange Rates'!B:C,2,0),IF(R1669=".",".",""))</f>
        <v/>
      </c>
      <c r="T1669" s="1185" t="str">
        <f>IF(AD1669=1,IF(AF1669="Value is not given at all",".",IF(AF1669="Value is given by the source",S1669,IF(AF1669="Value is calculated with prices",(IF(SUMIFS(Q:Q,A:A,A1669)&gt;0,SUMIFS(Q:Q,A:A,A1669),"."))/VLOOKUP("USD",'Exchange Rates'!B:C,2,0),"Error with coding"))),"")</f>
        <v/>
      </c>
      <c r="U1669" s="1184" t="s">
        <v>365</v>
      </c>
      <c r="V1669" s="1017" t="s">
        <v>4287</v>
      </c>
      <c r="W1669" s="983" t="s">
        <v>3978</v>
      </c>
      <c r="X1669" s="980" t="s">
        <v>3982</v>
      </c>
      <c r="Y1669" s="966" t="s">
        <v>3994</v>
      </c>
      <c r="Z1669" s="1184">
        <v>0</v>
      </c>
      <c r="AA1669" s="1194">
        <v>0</v>
      </c>
      <c r="AB1669" s="1000" t="s">
        <v>364</v>
      </c>
      <c r="AC1669" s="1192" t="str">
        <f>""</f>
        <v/>
      </c>
      <c r="AD1669" s="1193">
        <v>0</v>
      </c>
      <c r="AE1669" s="1193" t="s">
        <v>368</v>
      </c>
      <c r="AF1669" s="1193" t="s">
        <v>369</v>
      </c>
      <c r="AG1669" s="1193">
        <v>1</v>
      </c>
      <c r="AH1669" s="1193">
        <v>10</v>
      </c>
      <c r="AI1669" s="1193">
        <v>0</v>
      </c>
      <c r="AJ1669" s="1193">
        <f>VLOOKUP($I1669,'Price List, Weapons &amp; Items'!B:F,5,0)</f>
        <v>1</v>
      </c>
      <c r="AK1669" s="1193">
        <f t="shared" si="360"/>
        <v>0</v>
      </c>
      <c r="AL1669" s="1193">
        <f t="shared" si="361"/>
        <v>1</v>
      </c>
      <c r="AM1669" s="1193">
        <f t="shared" si="362"/>
        <v>0</v>
      </c>
      <c r="AN1669" s="1194" t="str">
        <f>VLOOKUP($I1669,'Price List, Weapons &amp; Items'!B:L,COLUMN('Price List, Weapons &amp; Items'!$J$11)-1,0)</f>
        <v>Contract</v>
      </c>
      <c r="AO1669" s="1194" t="str">
        <f>IF(I1669=".",".",VLOOKUP($I1669,'Price List, Weapons &amp; Items'!B:J,3,0))</f>
        <v>Armored Utility Vehicle (AUV)</v>
      </c>
      <c r="AP1669" s="1195" t="str">
        <f t="shared" ca="1" si="356"/>
        <v/>
      </c>
      <c r="AQ1669" s="1194">
        <f>VLOOKUP($I1669,'Price List, Weapons &amp; Items'!B:L,COLUMN('Price List, Weapons &amp; Items'!$L$11)-1,0)</f>
        <v>2</v>
      </c>
      <c r="AR1669" s="1194">
        <f t="shared" si="363"/>
        <v>1</v>
      </c>
      <c r="AS1669" s="1194">
        <f t="shared" si="364"/>
        <v>1</v>
      </c>
      <c r="AT1669" s="1194">
        <f t="shared" si="365"/>
        <v>1</v>
      </c>
      <c r="AU1669" s="1194" t="str">
        <f t="shared" si="354"/>
        <v>.</v>
      </c>
      <c r="AV1669" s="1194" t="str">
        <f t="shared" si="357"/>
        <v>.</v>
      </c>
      <c r="AW1669" s="1194" t="str">
        <f t="shared" si="366"/>
        <v>.</v>
      </c>
      <c r="AX1669" s="1194">
        <f>IFERROR(VLOOKUP(B1669,'Share, Heavy Weapons to Ukraine'!B:Z,COLUMN('Share, Heavy Weapons to Ukraine'!C1680)-1,0),0)</f>
        <v>1</v>
      </c>
      <c r="AY1669" s="1194">
        <f>VLOOKUP('Bilateral Assistance, MAIN DATA'!B1669,'Country Summary (€)'!B:F,COLUMN('Country Summary (€)'!C1681)-1,FALSE)</f>
        <v>0</v>
      </c>
      <c r="AZ1669" s="1194" t="str">
        <f>IF(AND(AD1669=1,D1669="Military",H1669&lt;&gt;"Not given")=TRUE,IF(SUMIFS(P:P,A:A,A1669)&gt;0,ABS((SUMIFS(P:P,A:A,A1669)/VLOOKUP("USD",'Exchange Rates'!B:C,2,0)))/S1669,"."),".")</f>
        <v>.</v>
      </c>
      <c r="BA1669" s="1196" t="str">
        <f>IF(AND(AD1669=1,D1669="Military",H1669&lt;&gt;"Not given")=TRUE,IF(SUMIFS(P:P,A:A,A1669)&gt;0,IF((ABS((SUMIFS(P:P,A:A,A1669)/VLOOKUP("USD",'Exchange Rates'!B:C,2,0)))/S1669)&gt;1,(SUMIFS(P:P,A:A,A1669)-S1669)/S1669,(S1669-SUMIFS(P:P,A:A,A1669))/SUMIFS(P:P,A:A,A1669)),"."),".")</f>
        <v>.</v>
      </c>
    </row>
    <row r="1670" spans="1:53" ht="15.95" customHeight="1">
      <c r="A1670" s="1208" t="s">
        <v>4284</v>
      </c>
      <c r="B1670" s="1208" t="s">
        <v>3949</v>
      </c>
      <c r="C1670" s="1220">
        <v>44838</v>
      </c>
      <c r="D1670" s="1208" t="s">
        <v>389</v>
      </c>
      <c r="E1670" s="1208" t="s">
        <v>390</v>
      </c>
      <c r="F1670" s="1263" t="s">
        <v>4286</v>
      </c>
      <c r="G1670" s="1184" t="s">
        <v>456</v>
      </c>
      <c r="H1670" s="1221">
        <v>625000000</v>
      </c>
      <c r="I1670" s="1180" t="s">
        <v>3841</v>
      </c>
      <c r="J1670" s="1186" t="str">
        <f>VLOOKUP($I1670,'Price List, Weapons &amp; Items'!B:C,2,0)</f>
        <v>Ammunition for heavy weapon</v>
      </c>
      <c r="K1670" s="1186" t="str">
        <f>IF(I1670=".",I1670,VLOOKUP($I1670,'Price List, Weapons &amp; Items'!B:D,3,0))</f>
        <v>Howitzer ammunition</v>
      </c>
      <c r="L1670" s="1187">
        <f>VLOOKUP(I1670,'Price List, Weapons &amp; Items'!B:E,4,0)</f>
        <v>0</v>
      </c>
      <c r="M1670" s="1188" t="s">
        <v>374</v>
      </c>
      <c r="N1670" s="1188" t="s">
        <v>374</v>
      </c>
      <c r="O1670" s="1188">
        <f>VLOOKUP($I1670,'Price List, Weapons &amp; Items'!B:G,6,0)</f>
        <v>2000</v>
      </c>
      <c r="P1670" s="1185" t="str">
        <f t="shared" si="358"/>
        <v>.</v>
      </c>
      <c r="Q1670" s="1185" t="str">
        <f t="shared" si="359"/>
        <v>.</v>
      </c>
      <c r="R1670" s="1185" t="str">
        <f t="shared" si="355"/>
        <v/>
      </c>
      <c r="S1670" s="1185" t="str">
        <f>IF(AND(AD1670=1,R1670&lt;&gt;".")=TRUE,R1670/VLOOKUP(G1670,'Exchange Rates'!B:C,2,0),IF(R1670=".",".",""))</f>
        <v/>
      </c>
      <c r="T1670" s="1185" t="str">
        <f>IF(AD1670=1,IF(AF1670="Value is not given at all",".",IF(AF1670="Value is given by the source",S1670,IF(AF1670="Value is calculated with prices",(IF(SUMIFS(Q:Q,A:A,A1670)&gt;0,SUMIFS(Q:Q,A:A,A1670),"."))/VLOOKUP("USD",'Exchange Rates'!B:C,2,0),"Error with coding"))),"")</f>
        <v/>
      </c>
      <c r="U1670" s="1184" t="s">
        <v>365</v>
      </c>
      <c r="V1670" s="1017" t="s">
        <v>4287</v>
      </c>
      <c r="W1670" s="983" t="s">
        <v>3978</v>
      </c>
      <c r="X1670" s="980" t="s">
        <v>3982</v>
      </c>
      <c r="Y1670" s="966" t="s">
        <v>3996</v>
      </c>
      <c r="Z1670" s="1184">
        <v>0</v>
      </c>
      <c r="AA1670" s="1194">
        <v>0</v>
      </c>
      <c r="AB1670" s="1000" t="s">
        <v>364</v>
      </c>
      <c r="AC1670" s="1192" t="str">
        <f>""</f>
        <v/>
      </c>
      <c r="AD1670" s="1193">
        <v>0</v>
      </c>
      <c r="AE1670" s="1193" t="s">
        <v>368</v>
      </c>
      <c r="AF1670" s="1193" t="s">
        <v>369</v>
      </c>
      <c r="AG1670" s="1193">
        <v>1</v>
      </c>
      <c r="AH1670" s="1193">
        <v>10</v>
      </c>
      <c r="AI1670" s="1193">
        <v>0</v>
      </c>
      <c r="AJ1670" s="1193">
        <f>VLOOKUP($I1670,'Price List, Weapons &amp; Items'!B:F,5,0)</f>
        <v>0</v>
      </c>
      <c r="AK1670" s="1193">
        <f t="shared" si="360"/>
        <v>0</v>
      </c>
      <c r="AL1670" s="1193">
        <f t="shared" si="361"/>
        <v>0</v>
      </c>
      <c r="AM1670" s="1193">
        <f t="shared" si="362"/>
        <v>0</v>
      </c>
      <c r="AN1670" s="1194" t="str">
        <f>VLOOKUP($I1670,'Price List, Weapons &amp; Items'!B:L,COLUMN('Price List, Weapons &amp; Items'!$J$11)-1,0)</f>
        <v>Media reports (incl. social media)</v>
      </c>
      <c r="AO1670" s="1194" t="str">
        <f>IF(I1670=".",".",VLOOKUP($I1670,'Price List, Weapons &amp; Items'!B:J,3,0))</f>
        <v>Howitzer ammunition</v>
      </c>
      <c r="AP1670" s="1195" t="str">
        <f t="shared" ca="1" si="356"/>
        <v/>
      </c>
      <c r="AQ1670" s="1194">
        <f>VLOOKUP($I1670,'Price List, Weapons &amp; Items'!B:L,COLUMN('Price List, Weapons &amp; Items'!$L$11)-1,0)</f>
        <v>2</v>
      </c>
      <c r="AR1670" s="1194">
        <f t="shared" si="363"/>
        <v>1</v>
      </c>
      <c r="AS1670" s="1194">
        <f t="shared" si="364"/>
        <v>1</v>
      </c>
      <c r="AT1670" s="1194">
        <f t="shared" si="365"/>
        <v>1</v>
      </c>
      <c r="AU1670" s="1194" t="str">
        <f t="shared" si="354"/>
        <v>.</v>
      </c>
      <c r="AV1670" s="1194" t="str">
        <f t="shared" si="357"/>
        <v>.</v>
      </c>
      <c r="AW1670" s="1194" t="str">
        <f t="shared" si="366"/>
        <v>.</v>
      </c>
      <c r="AX1670" s="1194">
        <f>IFERROR(VLOOKUP(B1670,'Share, Heavy Weapons to Ukraine'!B:Z,COLUMN('Share, Heavy Weapons to Ukraine'!C1681)-1,0),0)</f>
        <v>1</v>
      </c>
      <c r="AY1670" s="1194">
        <f>VLOOKUP('Bilateral Assistance, MAIN DATA'!B1670,'Country Summary (€)'!B:F,COLUMN('Country Summary (€)'!C1682)-1,FALSE)</f>
        <v>0</v>
      </c>
      <c r="AZ1670" s="1194" t="str">
        <f>IF(AND(AD1670=1,D1670="Military",H1670&lt;&gt;"Not given")=TRUE,IF(SUMIFS(P:P,A:A,A1670)&gt;0,ABS((SUMIFS(P:P,A:A,A1670)/VLOOKUP("USD",'Exchange Rates'!B:C,2,0)))/S1670,"."),".")</f>
        <v>.</v>
      </c>
      <c r="BA1670" s="1196" t="str">
        <f>IF(AND(AD1670=1,D1670="Military",H1670&lt;&gt;"Not given")=TRUE,IF(SUMIFS(P:P,A:A,A1670)&gt;0,IF((ABS((SUMIFS(P:P,A:A,A1670)/VLOOKUP("USD",'Exchange Rates'!B:C,2,0)))/S1670)&gt;1,(SUMIFS(P:P,A:A,A1670)-S1670)/S1670,(S1670-SUMIFS(P:P,A:A,A1670))/SUMIFS(P:P,A:A,A1670)),"."),".")</f>
        <v>.</v>
      </c>
    </row>
    <row r="1671" spans="1:53" ht="15.95" customHeight="1">
      <c r="A1671" s="1208" t="s">
        <v>4284</v>
      </c>
      <c r="B1671" s="1208" t="s">
        <v>3949</v>
      </c>
      <c r="C1671" s="1220">
        <v>44838</v>
      </c>
      <c r="D1671" s="1208" t="s">
        <v>389</v>
      </c>
      <c r="E1671" s="1208" t="s">
        <v>390</v>
      </c>
      <c r="F1671" s="1263" t="s">
        <v>4286</v>
      </c>
      <c r="G1671" s="1184" t="s">
        <v>456</v>
      </c>
      <c r="H1671" s="1221">
        <v>625000000</v>
      </c>
      <c r="I1671" s="1180" t="s">
        <v>3137</v>
      </c>
      <c r="J1671" s="1186" t="str">
        <f>VLOOKUP($I1671,'Price List, Weapons &amp; Items'!B:C,2,0)</f>
        <v>Ammunition for heavy weapon</v>
      </c>
      <c r="K1671" s="1186" t="str">
        <f>IF(I1671=".",I1671,VLOOKUP($I1671,'Price List, Weapons &amp; Items'!B:D,3,0))</f>
        <v>Mortar ammunition</v>
      </c>
      <c r="L1671" s="1187">
        <f>VLOOKUP(I1671,'Price List, Weapons &amp; Items'!B:E,4,0)</f>
        <v>0</v>
      </c>
      <c r="M1671" s="1188" t="s">
        <v>374</v>
      </c>
      <c r="N1671" s="1188" t="s">
        <v>374</v>
      </c>
      <c r="O1671" s="1188">
        <f>VLOOKUP($I1671,'Price List, Weapons &amp; Items'!B:G,6,0)</f>
        <v>109.89</v>
      </c>
      <c r="P1671" s="1185" t="str">
        <f t="shared" si="358"/>
        <v>.</v>
      </c>
      <c r="Q1671" s="1185" t="str">
        <f t="shared" si="359"/>
        <v>.</v>
      </c>
      <c r="R1671" s="1185" t="str">
        <f t="shared" si="355"/>
        <v/>
      </c>
      <c r="S1671" s="1185" t="str">
        <f>IF(AND(AD1671=1,R1671&lt;&gt;".")=TRUE,R1671/VLOOKUP(G1671,'Exchange Rates'!B:C,2,0),IF(R1671=".",".",""))</f>
        <v/>
      </c>
      <c r="T1671" s="1185" t="str">
        <f>IF(AD1671=1,IF(AF1671="Value is not given at all",".",IF(AF1671="Value is given by the source",S1671,IF(AF1671="Value is calculated with prices",(IF(SUMIFS(Q:Q,A:A,A1671)&gt;0,SUMIFS(Q:Q,A:A,A1671),"."))/VLOOKUP("USD",'Exchange Rates'!B:C,2,0),"Error with coding"))),"")</f>
        <v/>
      </c>
      <c r="U1671" s="1184" t="s">
        <v>365</v>
      </c>
      <c r="V1671" s="1017" t="s">
        <v>4287</v>
      </c>
      <c r="W1671" s="983" t="s">
        <v>3978</v>
      </c>
      <c r="X1671" s="980" t="s">
        <v>3982</v>
      </c>
      <c r="Y1671" s="966" t="s">
        <v>3999</v>
      </c>
      <c r="Z1671" s="1184">
        <v>0</v>
      </c>
      <c r="AA1671" s="1194">
        <v>0</v>
      </c>
      <c r="AB1671" s="1000" t="s">
        <v>364</v>
      </c>
      <c r="AC1671" s="1192" t="str">
        <f>""</f>
        <v/>
      </c>
      <c r="AD1671" s="1193">
        <v>0</v>
      </c>
      <c r="AE1671" s="1193" t="s">
        <v>368</v>
      </c>
      <c r="AF1671" s="1193" t="s">
        <v>369</v>
      </c>
      <c r="AG1671" s="1193">
        <v>1</v>
      </c>
      <c r="AH1671" s="1193">
        <v>10</v>
      </c>
      <c r="AI1671" s="1193">
        <v>0</v>
      </c>
      <c r="AJ1671" s="1193">
        <f>VLOOKUP($I1671,'Price List, Weapons &amp; Items'!B:F,5,0)</f>
        <v>0</v>
      </c>
      <c r="AK1671" s="1193">
        <f t="shared" si="360"/>
        <v>0</v>
      </c>
      <c r="AL1671" s="1193">
        <f t="shared" si="361"/>
        <v>0</v>
      </c>
      <c r="AM1671" s="1193">
        <f t="shared" si="362"/>
        <v>0</v>
      </c>
      <c r="AN1671" s="1194" t="str">
        <f>VLOOKUP($I1671,'Price List, Weapons &amp; Items'!B:L,COLUMN('Price List, Weapons &amp; Items'!$J$11)-1,0)</f>
        <v>Government information</v>
      </c>
      <c r="AO1671" s="1194" t="str">
        <f>IF(I1671=".",".",VLOOKUP($I1671,'Price List, Weapons &amp; Items'!B:J,3,0))</f>
        <v>Mortar ammunition</v>
      </c>
      <c r="AP1671" s="1195" t="str">
        <f t="shared" ca="1" si="356"/>
        <v/>
      </c>
      <c r="AQ1671" s="1194">
        <f>VLOOKUP($I1671,'Price List, Weapons &amp; Items'!B:L,COLUMN('Price List, Weapons &amp; Items'!$L$11)-1,0)</f>
        <v>2</v>
      </c>
      <c r="AR1671" s="1194">
        <f t="shared" si="363"/>
        <v>1</v>
      </c>
      <c r="AS1671" s="1194">
        <f t="shared" si="364"/>
        <v>1</v>
      </c>
      <c r="AT1671" s="1194">
        <f t="shared" si="365"/>
        <v>1</v>
      </c>
      <c r="AU1671" s="1194" t="str">
        <f t="shared" si="354"/>
        <v>.</v>
      </c>
      <c r="AV1671" s="1194" t="str">
        <f t="shared" si="357"/>
        <v>.</v>
      </c>
      <c r="AW1671" s="1194" t="str">
        <f t="shared" si="366"/>
        <v>.</v>
      </c>
      <c r="AX1671" s="1194">
        <f>IFERROR(VLOOKUP(B1671,'Share, Heavy Weapons to Ukraine'!B:Z,COLUMN('Share, Heavy Weapons to Ukraine'!C1682)-1,0),0)</f>
        <v>1</v>
      </c>
      <c r="AY1671" s="1194">
        <f>VLOOKUP('Bilateral Assistance, MAIN DATA'!B1671,'Country Summary (€)'!B:F,COLUMN('Country Summary (€)'!C1683)-1,FALSE)</f>
        <v>0</v>
      </c>
      <c r="AZ1671" s="1194" t="str">
        <f>IF(AND(AD1671=1,D1671="Military",H1671&lt;&gt;"Not given")=TRUE,IF(SUMIFS(P:P,A:A,A1671)&gt;0,ABS((SUMIFS(P:P,A:A,A1671)/VLOOKUP("USD",'Exchange Rates'!B:C,2,0)))/S1671,"."),".")</f>
        <v>.</v>
      </c>
      <c r="BA1671" s="1196" t="str">
        <f>IF(AND(AD1671=1,D1671="Military",H1671&lt;&gt;"Not given")=TRUE,IF(SUMIFS(P:P,A:A,A1671)&gt;0,IF((ABS((SUMIFS(P:P,A:A,A1671)/VLOOKUP("USD",'Exchange Rates'!B:C,2,0)))/S1671)&gt;1,(SUMIFS(P:P,A:A,A1671)-S1671)/S1671,(S1671-SUMIFS(P:P,A:A,A1671))/SUMIFS(P:P,A:A,A1671)),"."),".")</f>
        <v>.</v>
      </c>
    </row>
    <row r="1672" spans="1:53" ht="15.95" customHeight="1">
      <c r="A1672" s="1208" t="s">
        <v>4284</v>
      </c>
      <c r="B1672" s="1208" t="s">
        <v>3949</v>
      </c>
      <c r="C1672" s="1220">
        <v>44848</v>
      </c>
      <c r="D1672" s="1208" t="s">
        <v>389</v>
      </c>
      <c r="E1672" s="1208" t="s">
        <v>390</v>
      </c>
      <c r="F1672" s="1263" t="s">
        <v>4289</v>
      </c>
      <c r="G1672" s="1184" t="s">
        <v>456</v>
      </c>
      <c r="H1672" s="1221">
        <v>725000000</v>
      </c>
      <c r="I1672" s="1180" t="s">
        <v>4093</v>
      </c>
      <c r="J1672" s="1186" t="str">
        <f>VLOOKUP($I1672,'Price List, Weapons &amp; Items'!B:C,2,0)</f>
        <v>Ammunition for heavy weapon</v>
      </c>
      <c r="K1672" s="1186" t="str">
        <f>IF(I1672=".",I1672,VLOOKUP($I1672,'Price List, Weapons &amp; Items'!B:D,3,0))</f>
        <v>227mm MLRS ammunition</v>
      </c>
      <c r="L1672" s="1187">
        <f>VLOOKUP(I1672,'Price List, Weapons &amp; Items'!B:E,4,0)</f>
        <v>0</v>
      </c>
      <c r="M1672" s="1188" t="s">
        <v>374</v>
      </c>
      <c r="N1672" s="1188" t="s">
        <v>374</v>
      </c>
      <c r="O1672" s="1188">
        <f>VLOOKUP($I1672,'Price List, Weapons &amp; Items'!B:G,6,0)</f>
        <v>150000</v>
      </c>
      <c r="P1672" s="1185" t="str">
        <f t="shared" si="358"/>
        <v>.</v>
      </c>
      <c r="Q1672" s="1185" t="str">
        <f t="shared" si="359"/>
        <v>.</v>
      </c>
      <c r="R1672" s="1185" t="str">
        <f t="shared" si="355"/>
        <v/>
      </c>
      <c r="S1672" s="1185" t="str">
        <f>IF(AND(AD1672=1,R1672&lt;&gt;".")=TRUE,R1672/VLOOKUP(G1672,'Exchange Rates'!B:C,2,0),IF(R1672=".",".",""))</f>
        <v/>
      </c>
      <c r="T1672" s="1185" t="str">
        <f>IF(AD1672=1,IF(AF1672="Value is not given at all",".",IF(AF1672="Value is given by the source",S1672,IF(AF1672="Value is calculated with prices",(IF(SUMIFS(Q:Q,A:A,A1672)&gt;0,SUMIFS(Q:Q,A:A,A1672),"."))/VLOOKUP("USD",'Exchange Rates'!B:C,2,0),"Error with coding"))),"")</f>
        <v/>
      </c>
      <c r="U1672" s="1184" t="s">
        <v>365</v>
      </c>
      <c r="V1672" s="979" t="s">
        <v>4290</v>
      </c>
      <c r="W1672" s="983" t="s">
        <v>3978</v>
      </c>
      <c r="X1672" s="980" t="s">
        <v>3982</v>
      </c>
      <c r="Y1672" s="966" t="s">
        <v>4000</v>
      </c>
      <c r="Z1672" s="1184">
        <v>0</v>
      </c>
      <c r="AA1672" s="1194">
        <v>0</v>
      </c>
      <c r="AB1672" s="1000" t="s">
        <v>364</v>
      </c>
      <c r="AC1672" s="1192" t="str">
        <f>""</f>
        <v/>
      </c>
      <c r="AD1672" s="1193">
        <v>0</v>
      </c>
      <c r="AE1672" s="1193" t="s">
        <v>368</v>
      </c>
      <c r="AF1672" s="1193" t="s">
        <v>369</v>
      </c>
      <c r="AG1672" s="1193">
        <v>1</v>
      </c>
      <c r="AH1672" s="1193">
        <v>10</v>
      </c>
      <c r="AI1672" s="1193">
        <v>0</v>
      </c>
      <c r="AJ1672" s="1193">
        <f>VLOOKUP($I1672,'Price List, Weapons &amp; Items'!B:F,5,0)</f>
        <v>1</v>
      </c>
      <c r="AK1672" s="1193">
        <f t="shared" si="360"/>
        <v>1</v>
      </c>
      <c r="AL1672" s="1193">
        <f t="shared" si="361"/>
        <v>1</v>
      </c>
      <c r="AM1672" s="1193">
        <f t="shared" si="362"/>
        <v>1</v>
      </c>
      <c r="AN1672" s="1194" t="str">
        <f>VLOOKUP($I1672,'Price List, Weapons &amp; Items'!B:L,COLUMN('Price List, Weapons &amp; Items'!$J$11)-1,0)</f>
        <v>Media reports (incl. social media)</v>
      </c>
      <c r="AO1672" s="1194" t="str">
        <f>IF(I1672=".",".",VLOOKUP($I1672,'Price List, Weapons &amp; Items'!B:J,3,0))</f>
        <v>227mm MLRS ammunition</v>
      </c>
      <c r="AP1672" s="1195" t="str">
        <f t="shared" ca="1" si="356"/>
        <v/>
      </c>
      <c r="AQ1672" s="1194" t="str">
        <f>VLOOKUP($I1672,'Price List, Weapons &amp; Items'!B:L,COLUMN('Price List, Weapons &amp; Items'!$L$11)-1,0)</f>
        <v>no price, 0 count</v>
      </c>
      <c r="AR1672" s="1194">
        <f t="shared" si="363"/>
        <v>1</v>
      </c>
      <c r="AS1672" s="1194">
        <f t="shared" si="364"/>
        <v>1</v>
      </c>
      <c r="AT1672" s="1194">
        <f t="shared" si="365"/>
        <v>1</v>
      </c>
      <c r="AU1672" s="1194" t="str">
        <f t="shared" si="354"/>
        <v>.</v>
      </c>
      <c r="AV1672" s="1194" t="str">
        <f t="shared" si="357"/>
        <v>.</v>
      </c>
      <c r="AW1672" s="1194" t="str">
        <f t="shared" si="366"/>
        <v>.</v>
      </c>
      <c r="AX1672" s="1194">
        <f>IFERROR(VLOOKUP(B1672,'Share, Heavy Weapons to Ukraine'!B:Z,COLUMN('Share, Heavy Weapons to Ukraine'!C1683)-1,0),0)</f>
        <v>1</v>
      </c>
      <c r="AY1672" s="1194">
        <f>VLOOKUP('Bilateral Assistance, MAIN DATA'!B1672,'Country Summary (€)'!B:F,COLUMN('Country Summary (€)'!C1684)-1,FALSE)</f>
        <v>0</v>
      </c>
      <c r="AZ1672" s="1194" t="str">
        <f>IF(AND(AD1672=1,D1672="Military",H1672&lt;&gt;"Not given")=TRUE,IF(SUMIFS(P:P,A:A,A1672)&gt;0,ABS((SUMIFS(P:P,A:A,A1672)/VLOOKUP("USD",'Exchange Rates'!B:C,2,0)))/S1672,"."),".")</f>
        <v>.</v>
      </c>
      <c r="BA1672" s="1196" t="str">
        <f>IF(AND(AD1672=1,D1672="Military",H1672&lt;&gt;"Not given")=TRUE,IF(SUMIFS(P:P,A:A,A1672)&gt;0,IF((ABS((SUMIFS(P:P,A:A,A1672)/VLOOKUP("USD",'Exchange Rates'!B:C,2,0)))/S1672)&gt;1,(SUMIFS(P:P,A:A,A1672)-S1672)/S1672,(S1672-SUMIFS(P:P,A:A,A1672))/SUMIFS(P:P,A:A,A1672)),"."),".")</f>
        <v>.</v>
      </c>
    </row>
    <row r="1673" spans="1:53" ht="15.95" customHeight="1">
      <c r="A1673" s="1208" t="s">
        <v>4284</v>
      </c>
      <c r="B1673" s="1208" t="s">
        <v>3949</v>
      </c>
      <c r="C1673" s="1220">
        <v>44848</v>
      </c>
      <c r="D1673" s="1208" t="s">
        <v>389</v>
      </c>
      <c r="E1673" s="1208" t="s">
        <v>390</v>
      </c>
      <c r="F1673" s="1263" t="s">
        <v>4289</v>
      </c>
      <c r="G1673" s="1184" t="s">
        <v>456</v>
      </c>
      <c r="H1673" s="1221">
        <v>725000000</v>
      </c>
      <c r="I1673" s="1180" t="s">
        <v>856</v>
      </c>
      <c r="J1673" s="1186" t="str">
        <f>VLOOKUP($I1673,'Price List, Weapons &amp; Items'!B:C,2,0)</f>
        <v>Ammunition for heavy weapon</v>
      </c>
      <c r="K1673" s="1186" t="str">
        <f>IF(I1673=".",I1673,VLOOKUP($I1673,'Price List, Weapons &amp; Items'!B:D,3,0))</f>
        <v>155mm howitzer ammunition</v>
      </c>
      <c r="L1673" s="1187">
        <f>VLOOKUP(I1673,'Price List, Weapons &amp; Items'!B:E,4,0)</f>
        <v>0</v>
      </c>
      <c r="M1673" s="1188">
        <v>23000</v>
      </c>
      <c r="N1673" s="1188" t="s">
        <v>374</v>
      </c>
      <c r="O1673" s="1188">
        <f>VLOOKUP($I1673,'Price List, Weapons &amp; Items'!B:G,6,0)</f>
        <v>3800</v>
      </c>
      <c r="P1673" s="1185">
        <f t="shared" si="358"/>
        <v>87400000</v>
      </c>
      <c r="Q1673" s="1185" t="str">
        <f t="shared" si="359"/>
        <v>.</v>
      </c>
      <c r="R1673" s="1185" t="str">
        <f t="shared" si="355"/>
        <v/>
      </c>
      <c r="S1673" s="1185" t="str">
        <f>IF(AND(AD1673=1,R1673&lt;&gt;".")=TRUE,R1673/VLOOKUP(G1673,'Exchange Rates'!B:C,2,0),IF(R1673=".",".",""))</f>
        <v/>
      </c>
      <c r="T1673" s="1185" t="str">
        <f>IF(AD1673=1,IF(AF1673="Value is not given at all",".",IF(AF1673="Value is given by the source",S1673,IF(AF1673="Value is calculated with prices",(IF(SUMIFS(Q:Q,A:A,A1673)&gt;0,SUMIFS(Q:Q,A:A,A1673),"."))/VLOOKUP("USD",'Exchange Rates'!B:C,2,0),"Error with coding"))),"")</f>
        <v/>
      </c>
      <c r="U1673" s="1184" t="s">
        <v>365</v>
      </c>
      <c r="V1673" s="979" t="s">
        <v>4290</v>
      </c>
      <c r="W1673" s="983" t="s">
        <v>3978</v>
      </c>
      <c r="X1673" s="980" t="s">
        <v>3982</v>
      </c>
      <c r="Y1673" s="966" t="s">
        <v>4001</v>
      </c>
      <c r="Z1673" s="1184">
        <v>0</v>
      </c>
      <c r="AA1673" s="1194">
        <v>0</v>
      </c>
      <c r="AB1673" s="1000" t="s">
        <v>364</v>
      </c>
      <c r="AC1673" s="1192" t="str">
        <f>""</f>
        <v/>
      </c>
      <c r="AD1673" s="1193">
        <v>0</v>
      </c>
      <c r="AE1673" s="1193" t="s">
        <v>368</v>
      </c>
      <c r="AF1673" s="1193" t="s">
        <v>369</v>
      </c>
      <c r="AG1673" s="1193">
        <v>1</v>
      </c>
      <c r="AH1673" s="1193">
        <v>10</v>
      </c>
      <c r="AI1673" s="1193">
        <v>0</v>
      </c>
      <c r="AJ1673" s="1193">
        <f>VLOOKUP($I1673,'Price List, Weapons &amp; Items'!B:F,5,0)</f>
        <v>1</v>
      </c>
      <c r="AK1673" s="1193">
        <f t="shared" si="360"/>
        <v>0</v>
      </c>
      <c r="AL1673" s="1193">
        <f t="shared" si="361"/>
        <v>1</v>
      </c>
      <c r="AM1673" s="1193">
        <f t="shared" si="362"/>
        <v>0</v>
      </c>
      <c r="AN1673" s="1194" t="str">
        <f>VLOOKUP($I1673,'Price List, Weapons &amp; Items'!B:L,COLUMN('Price List, Weapons &amp; Items'!$J$11)-1,0)</f>
        <v>Government information</v>
      </c>
      <c r="AO1673" s="1194" t="str">
        <f>IF(I1673=".",".",VLOOKUP($I1673,'Price List, Weapons &amp; Items'!B:J,3,0))</f>
        <v>155mm howitzer ammunition</v>
      </c>
      <c r="AP1673" s="1195" t="str">
        <f t="shared" ca="1" si="356"/>
        <v/>
      </c>
      <c r="AQ1673" s="1194">
        <f>VLOOKUP($I1673,'Price List, Weapons &amp; Items'!B:L,COLUMN('Price List, Weapons &amp; Items'!$L$11)-1,0)</f>
        <v>2</v>
      </c>
      <c r="AR1673" s="1194">
        <f t="shared" si="363"/>
        <v>1</v>
      </c>
      <c r="AS1673" s="1194">
        <f t="shared" si="364"/>
        <v>1</v>
      </c>
      <c r="AT1673" s="1194">
        <f t="shared" si="365"/>
        <v>1</v>
      </c>
      <c r="AU1673" s="1194" t="str">
        <f t="shared" si="354"/>
        <v>.</v>
      </c>
      <c r="AV1673" s="1194" t="str">
        <f t="shared" si="357"/>
        <v>.</v>
      </c>
      <c r="AW1673" s="1194" t="str">
        <f t="shared" si="366"/>
        <v>.</v>
      </c>
      <c r="AX1673" s="1194">
        <f>IFERROR(VLOOKUP(B1673,'Share, Heavy Weapons to Ukraine'!B:Z,COLUMN('Share, Heavy Weapons to Ukraine'!C1684)-1,0),0)</f>
        <v>1</v>
      </c>
      <c r="AY1673" s="1194">
        <f>VLOOKUP('Bilateral Assistance, MAIN DATA'!B1673,'Country Summary (€)'!B:F,COLUMN('Country Summary (€)'!C1685)-1,FALSE)</f>
        <v>0</v>
      </c>
      <c r="AZ1673" s="1194" t="str">
        <f>IF(AND(AD1673=1,D1673="Military",H1673&lt;&gt;"Not given")=TRUE,IF(SUMIFS(P:P,A:A,A1673)&gt;0,ABS((SUMIFS(P:P,A:A,A1673)/VLOOKUP("USD",'Exchange Rates'!B:C,2,0)))/S1673,"."),".")</f>
        <v>.</v>
      </c>
      <c r="BA1673" s="1196" t="str">
        <f>IF(AND(AD1673=1,D1673="Military",H1673&lt;&gt;"Not given")=TRUE,IF(SUMIFS(P:P,A:A,A1673)&gt;0,IF((ABS((SUMIFS(P:P,A:A,A1673)/VLOOKUP("USD",'Exchange Rates'!B:C,2,0)))/S1673)&gt;1,(SUMIFS(P:P,A:A,A1673)-S1673)/S1673,(S1673-SUMIFS(P:P,A:A,A1673))/SUMIFS(P:P,A:A,A1673)),"."),".")</f>
        <v>.</v>
      </c>
    </row>
    <row r="1674" spans="1:53" ht="15.95" customHeight="1">
      <c r="A1674" s="1208" t="s">
        <v>4284</v>
      </c>
      <c r="B1674" s="1208" t="s">
        <v>3949</v>
      </c>
      <c r="C1674" s="1220">
        <v>44848</v>
      </c>
      <c r="D1674" s="1208" t="s">
        <v>389</v>
      </c>
      <c r="E1674" s="1208" t="s">
        <v>390</v>
      </c>
      <c r="F1674" s="1263" t="s">
        <v>4289</v>
      </c>
      <c r="G1674" s="1184" t="s">
        <v>456</v>
      </c>
      <c r="H1674" s="1221">
        <v>725000000</v>
      </c>
      <c r="I1674" s="1180" t="s">
        <v>4291</v>
      </c>
      <c r="J1674" s="1186" t="str">
        <f>VLOOKUP($I1674,'Price List, Weapons &amp; Items'!B:C,2,0)</f>
        <v>Ammunition for heavy weapon</v>
      </c>
      <c r="K1674" s="1186" t="str">
        <f>IF(I1674=".",I1674,VLOOKUP($I1674,'Price List, Weapons &amp; Items'!B:D,3,0))</f>
        <v>artillery round</v>
      </c>
      <c r="L1674" s="1187">
        <f>VLOOKUP(I1674,'Price List, Weapons &amp; Items'!B:E,4,0)</f>
        <v>0</v>
      </c>
      <c r="M1674" s="1188">
        <v>500</v>
      </c>
      <c r="N1674" s="1188" t="s">
        <v>374</v>
      </c>
      <c r="O1674" s="1188">
        <f>VLOOKUP($I1674,'Price List, Weapons &amp; Items'!B:G,6,0)</f>
        <v>112800</v>
      </c>
      <c r="P1674" s="1185">
        <f t="shared" si="358"/>
        <v>56400000</v>
      </c>
      <c r="Q1674" s="1185" t="str">
        <f t="shared" si="359"/>
        <v>.</v>
      </c>
      <c r="R1674" s="1185" t="str">
        <f t="shared" si="355"/>
        <v/>
      </c>
      <c r="S1674" s="1185" t="str">
        <f>IF(AND(AD1674=1,R1674&lt;&gt;".")=TRUE,R1674/VLOOKUP(G1674,'Exchange Rates'!B:C,2,0),IF(R1674=".",".",""))</f>
        <v/>
      </c>
      <c r="T1674" s="1185" t="str">
        <f>IF(AD1674=1,IF(AF1674="Value is not given at all",".",IF(AF1674="Value is given by the source",S1674,IF(AF1674="Value is calculated with prices",(IF(SUMIFS(Q:Q,A:A,A1674)&gt;0,SUMIFS(Q:Q,A:A,A1674),"."))/VLOOKUP("USD",'Exchange Rates'!B:C,2,0),"Error with coding"))),"")</f>
        <v/>
      </c>
      <c r="U1674" s="1184" t="s">
        <v>365</v>
      </c>
      <c r="V1674" s="979" t="s">
        <v>4290</v>
      </c>
      <c r="W1674" s="983" t="s">
        <v>3978</v>
      </c>
      <c r="X1674" s="980" t="s">
        <v>3982</v>
      </c>
      <c r="Y1674" s="966" t="s">
        <v>4003</v>
      </c>
      <c r="Z1674" s="1184">
        <v>0</v>
      </c>
      <c r="AA1674" s="1194">
        <v>0</v>
      </c>
      <c r="AB1674" s="1000" t="s">
        <v>364</v>
      </c>
      <c r="AC1674" s="1192" t="str">
        <f>""</f>
        <v/>
      </c>
      <c r="AD1674" s="1193">
        <v>0</v>
      </c>
      <c r="AE1674" s="1193" t="s">
        <v>368</v>
      </c>
      <c r="AF1674" s="1193" t="s">
        <v>369</v>
      </c>
      <c r="AG1674" s="1193">
        <v>1</v>
      </c>
      <c r="AH1674" s="1193">
        <v>10</v>
      </c>
      <c r="AI1674" s="1193">
        <v>0</v>
      </c>
      <c r="AJ1674" s="1193">
        <f>VLOOKUP($I1674,'Price List, Weapons &amp; Items'!B:F,5,0)</f>
        <v>0</v>
      </c>
      <c r="AK1674" s="1193">
        <f t="shared" si="360"/>
        <v>0</v>
      </c>
      <c r="AL1674" s="1193">
        <f t="shared" si="361"/>
        <v>0</v>
      </c>
      <c r="AM1674" s="1193">
        <f t="shared" si="362"/>
        <v>0</v>
      </c>
      <c r="AN1674" s="1194" t="str">
        <f>VLOOKUP($I1674,'Price List, Weapons &amp; Items'!B:L,COLUMN('Price List, Weapons &amp; Items'!$J$11)-1,0)</f>
        <v>Miscellaneous</v>
      </c>
      <c r="AO1674" s="1194" t="str">
        <f>IF(I1674=".",".",VLOOKUP($I1674,'Price List, Weapons &amp; Items'!B:J,3,0))</f>
        <v>artillery round</v>
      </c>
      <c r="AP1674" s="1195" t="str">
        <f t="shared" ca="1" si="356"/>
        <v/>
      </c>
      <c r="AQ1674" s="1194">
        <f>VLOOKUP($I1674,'Price List, Weapons &amp; Items'!B:L,COLUMN('Price List, Weapons &amp; Items'!$L$11)-1,0)</f>
        <v>2</v>
      </c>
      <c r="AR1674" s="1194">
        <f t="shared" si="363"/>
        <v>1</v>
      </c>
      <c r="AS1674" s="1194">
        <f t="shared" si="364"/>
        <v>1</v>
      </c>
      <c r="AT1674" s="1194">
        <f t="shared" si="365"/>
        <v>1</v>
      </c>
      <c r="AU1674" s="1194" t="str">
        <f t="shared" si="354"/>
        <v>.</v>
      </c>
      <c r="AV1674" s="1194" t="str">
        <f t="shared" si="357"/>
        <v>.</v>
      </c>
      <c r="AW1674" s="1194" t="str">
        <f t="shared" si="366"/>
        <v>.</v>
      </c>
      <c r="AX1674" s="1194">
        <f>IFERROR(VLOOKUP(B1674,'Share, Heavy Weapons to Ukraine'!B:Z,COLUMN('Share, Heavy Weapons to Ukraine'!C1685)-1,0),0)</f>
        <v>1</v>
      </c>
      <c r="AY1674" s="1194">
        <f>VLOOKUP('Bilateral Assistance, MAIN DATA'!B1674,'Country Summary (€)'!B:F,COLUMN('Country Summary (€)'!C1686)-1,FALSE)</f>
        <v>0</v>
      </c>
      <c r="AZ1674" s="1194" t="str">
        <f>IF(AND(AD1674=1,D1674="Military",H1674&lt;&gt;"Not given")=TRUE,IF(SUMIFS(P:P,A:A,A1674)&gt;0,ABS((SUMIFS(P:P,A:A,A1674)/VLOOKUP("USD",'Exchange Rates'!B:C,2,0)))/S1674,"."),".")</f>
        <v>.</v>
      </c>
      <c r="BA1674" s="1196" t="str">
        <f>IF(AND(AD1674=1,D1674="Military",H1674&lt;&gt;"Not given")=TRUE,IF(SUMIFS(P:P,A:A,A1674)&gt;0,IF((ABS((SUMIFS(P:P,A:A,A1674)/VLOOKUP("USD",'Exchange Rates'!B:C,2,0)))/S1674)&gt;1,(SUMIFS(P:P,A:A,A1674)-S1674)/S1674,(S1674-SUMIFS(P:P,A:A,A1674))/SUMIFS(P:P,A:A,A1674)),"."),".")</f>
        <v>.</v>
      </c>
    </row>
    <row r="1675" spans="1:53" ht="15.95" customHeight="1">
      <c r="A1675" s="1208" t="s">
        <v>4284</v>
      </c>
      <c r="B1675" s="1208" t="s">
        <v>3949</v>
      </c>
      <c r="C1675" s="1220">
        <v>44848</v>
      </c>
      <c r="D1675" s="1208" t="s">
        <v>389</v>
      </c>
      <c r="E1675" s="1208" t="s">
        <v>390</v>
      </c>
      <c r="F1675" s="1263" t="s">
        <v>4289</v>
      </c>
      <c r="G1675" s="1184" t="s">
        <v>456</v>
      </c>
      <c r="H1675" s="1221">
        <v>725000000</v>
      </c>
      <c r="I1675" s="1180" t="s">
        <v>4292</v>
      </c>
      <c r="J1675" s="1186" t="str">
        <f>VLOOKUP($I1675,'Price List, Weapons &amp; Items'!B:C,2,0)</f>
        <v>Ammunition for heavy weapon</v>
      </c>
      <c r="K1675" s="1186" t="str">
        <f>IF(I1675=".",I1675,VLOOKUP($I1675,'Price List, Weapons &amp; Items'!B:D,3,0))</f>
        <v>155mm howitzer ammunition</v>
      </c>
      <c r="L1675" s="1187">
        <f>VLOOKUP(I1675,'Price List, Weapons &amp; Items'!B:E,4,0)</f>
        <v>0</v>
      </c>
      <c r="M1675" s="1188">
        <v>5000</v>
      </c>
      <c r="N1675" s="1188" t="s">
        <v>374</v>
      </c>
      <c r="O1675" s="1188">
        <f>VLOOKUP($I1675,'Price List, Weapons &amp; Items'!B:G,6,0)</f>
        <v>98000</v>
      </c>
      <c r="P1675" s="1185">
        <f t="shared" si="358"/>
        <v>490000000</v>
      </c>
      <c r="Q1675" s="1185" t="str">
        <f t="shared" si="359"/>
        <v>.</v>
      </c>
      <c r="R1675" s="1185" t="str">
        <f t="shared" si="355"/>
        <v/>
      </c>
      <c r="S1675" s="1185" t="str">
        <f>IF(AND(AD1675=1,R1675&lt;&gt;".")=TRUE,R1675/VLOOKUP(G1675,'Exchange Rates'!B:C,2,0),IF(R1675=".",".",""))</f>
        <v/>
      </c>
      <c r="T1675" s="1185" t="str">
        <f>IF(AD1675=1,IF(AF1675="Value is not given at all",".",IF(AF1675="Value is given by the source",S1675,IF(AF1675="Value is calculated with prices",(IF(SUMIFS(Q:Q,A:A,A1675)&gt;0,SUMIFS(Q:Q,A:A,A1675),"."))/VLOOKUP("USD",'Exchange Rates'!B:C,2,0),"Error with coding"))),"")</f>
        <v/>
      </c>
      <c r="U1675" s="1184" t="s">
        <v>365</v>
      </c>
      <c r="V1675" s="979" t="s">
        <v>4290</v>
      </c>
      <c r="W1675" s="983" t="s">
        <v>3978</v>
      </c>
      <c r="X1675" s="980" t="s">
        <v>3982</v>
      </c>
      <c r="Y1675" s="966" t="s">
        <v>4005</v>
      </c>
      <c r="Z1675" s="1184">
        <v>0</v>
      </c>
      <c r="AA1675" s="1194">
        <v>0</v>
      </c>
      <c r="AB1675" s="1000" t="s">
        <v>364</v>
      </c>
      <c r="AC1675" s="1192" t="str">
        <f>""</f>
        <v/>
      </c>
      <c r="AD1675" s="1193">
        <v>0</v>
      </c>
      <c r="AE1675" s="1193" t="s">
        <v>368</v>
      </c>
      <c r="AF1675" s="1193" t="s">
        <v>369</v>
      </c>
      <c r="AG1675" s="1193">
        <v>1</v>
      </c>
      <c r="AH1675" s="1193">
        <v>10</v>
      </c>
      <c r="AI1675" s="1193">
        <v>0</v>
      </c>
      <c r="AJ1675" s="1193">
        <f>VLOOKUP($I1675,'Price List, Weapons &amp; Items'!B:F,5,0)</f>
        <v>1</v>
      </c>
      <c r="AK1675" s="1193">
        <f t="shared" si="360"/>
        <v>0</v>
      </c>
      <c r="AL1675" s="1193">
        <f t="shared" si="361"/>
        <v>1</v>
      </c>
      <c r="AM1675" s="1193">
        <f t="shared" si="362"/>
        <v>0</v>
      </c>
      <c r="AN1675" s="1194" t="str">
        <f>VLOOKUP($I1675,'Price List, Weapons &amp; Items'!B:L,COLUMN('Price List, Weapons &amp; Items'!$J$11)-1,0)</f>
        <v>Government information</v>
      </c>
      <c r="AO1675" s="1194" t="str">
        <f>IF(I1675=".",".",VLOOKUP($I1675,'Price List, Weapons &amp; Items'!B:J,3,0))</f>
        <v>155mm howitzer ammunition</v>
      </c>
      <c r="AP1675" s="1195" t="str">
        <f t="shared" ca="1" si="356"/>
        <v/>
      </c>
      <c r="AQ1675" s="1194">
        <f>VLOOKUP($I1675,'Price List, Weapons &amp; Items'!B:L,COLUMN('Price List, Weapons &amp; Items'!$L$11)-1,0)</f>
        <v>2</v>
      </c>
      <c r="AR1675" s="1194">
        <f t="shared" si="363"/>
        <v>1</v>
      </c>
      <c r="AS1675" s="1194">
        <f t="shared" si="364"/>
        <v>1</v>
      </c>
      <c r="AT1675" s="1194">
        <f t="shared" si="365"/>
        <v>1</v>
      </c>
      <c r="AU1675" s="1194" t="str">
        <f t="shared" si="354"/>
        <v>.</v>
      </c>
      <c r="AV1675" s="1194" t="str">
        <f t="shared" si="357"/>
        <v>.</v>
      </c>
      <c r="AW1675" s="1194" t="str">
        <f t="shared" si="366"/>
        <v>.</v>
      </c>
      <c r="AX1675" s="1194">
        <f>IFERROR(VLOOKUP(B1675,'Share, Heavy Weapons to Ukraine'!B:Z,COLUMN('Share, Heavy Weapons to Ukraine'!C1686)-1,0),0)</f>
        <v>1</v>
      </c>
      <c r="AY1675" s="1194">
        <f>VLOOKUP('Bilateral Assistance, MAIN DATA'!B1675,'Country Summary (€)'!B:F,COLUMN('Country Summary (€)'!C1687)-1,FALSE)</f>
        <v>0</v>
      </c>
      <c r="AZ1675" s="1194" t="str">
        <f>IF(AND(AD1675=1,D1675="Military",H1675&lt;&gt;"Not given")=TRUE,IF(SUMIFS(P:P,A:A,A1675)&gt;0,ABS((SUMIFS(P:P,A:A,A1675)/VLOOKUP("USD",'Exchange Rates'!B:C,2,0)))/S1675,"."),".")</f>
        <v>.</v>
      </c>
      <c r="BA1675" s="1196" t="str">
        <f>IF(AND(AD1675=1,D1675="Military",H1675&lt;&gt;"Not given")=TRUE,IF(SUMIFS(P:P,A:A,A1675)&gt;0,IF((ABS((SUMIFS(P:P,A:A,A1675)/VLOOKUP("USD",'Exchange Rates'!B:C,2,0)))/S1675)&gt;1,(SUMIFS(P:P,A:A,A1675)-S1675)/S1675,(S1675-SUMIFS(P:P,A:A,A1675))/SUMIFS(P:P,A:A,A1675)),"."),".")</f>
        <v>.</v>
      </c>
    </row>
    <row r="1676" spans="1:53" ht="15.95" customHeight="1">
      <c r="A1676" s="1208" t="s">
        <v>4284</v>
      </c>
      <c r="B1676" s="1208" t="s">
        <v>3949</v>
      </c>
      <c r="C1676" s="1220">
        <v>44848</v>
      </c>
      <c r="D1676" s="1208" t="s">
        <v>389</v>
      </c>
      <c r="E1676" s="1208" t="s">
        <v>390</v>
      </c>
      <c r="F1676" s="1263" t="s">
        <v>4289</v>
      </c>
      <c r="G1676" s="1184" t="s">
        <v>456</v>
      </c>
      <c r="H1676" s="1221">
        <v>725000000</v>
      </c>
      <c r="I1676" s="1180" t="s">
        <v>1351</v>
      </c>
      <c r="J1676" s="1186" t="str">
        <f>VLOOKUP($I1676,'Price List, Weapons &amp; Items'!B:C,2,0)</f>
        <v>Portable defence system</v>
      </c>
      <c r="K1676" s="1186" t="str">
        <f>IF(I1676=".",I1676,VLOOKUP($I1676,'Price List, Weapons &amp; Items'!B:D,3,0))</f>
        <v>Light Anti-armor Weapon (LAW)</v>
      </c>
      <c r="L1676" s="1187">
        <f>VLOOKUP(I1676,'Price List, Weapons &amp; Items'!B:E,4,0)</f>
        <v>0</v>
      </c>
      <c r="M1676" s="1188">
        <v>5000</v>
      </c>
      <c r="N1676" s="1188" t="s">
        <v>374</v>
      </c>
      <c r="O1676" s="1188">
        <f>VLOOKUP($I1676,'Price List, Weapons &amp; Items'!B:G,6,0)</f>
        <v>40000</v>
      </c>
      <c r="P1676" s="1185">
        <f t="shared" si="358"/>
        <v>200000000</v>
      </c>
      <c r="Q1676" s="1185" t="str">
        <f t="shared" si="359"/>
        <v>.</v>
      </c>
      <c r="R1676" s="1185" t="str">
        <f t="shared" si="355"/>
        <v/>
      </c>
      <c r="S1676" s="1185" t="str">
        <f>IF(AND(AD1676=1,R1676&lt;&gt;".")=TRUE,R1676/VLOOKUP(G1676,'Exchange Rates'!B:C,2,0),IF(R1676=".",".",""))</f>
        <v/>
      </c>
      <c r="T1676" s="1185" t="str">
        <f>IF(AD1676=1,IF(AF1676="Value is not given at all",".",IF(AF1676="Value is given by the source",S1676,IF(AF1676="Value is calculated with prices",(IF(SUMIFS(Q:Q,A:A,A1676)&gt;0,SUMIFS(Q:Q,A:A,A1676),"."))/VLOOKUP("USD",'Exchange Rates'!B:C,2,0),"Error with coding"))),"")</f>
        <v/>
      </c>
      <c r="U1676" s="1184" t="s">
        <v>365</v>
      </c>
      <c r="V1676" s="979" t="s">
        <v>4290</v>
      </c>
      <c r="W1676" s="983" t="s">
        <v>3978</v>
      </c>
      <c r="X1676" s="980" t="s">
        <v>3982</v>
      </c>
      <c r="Y1676" s="966" t="s">
        <v>4007</v>
      </c>
      <c r="Z1676" s="1184">
        <v>0</v>
      </c>
      <c r="AA1676" s="1194">
        <v>0</v>
      </c>
      <c r="AB1676" s="1000" t="s">
        <v>364</v>
      </c>
      <c r="AC1676" s="1192" t="str">
        <f>""</f>
        <v/>
      </c>
      <c r="AD1676" s="1193">
        <v>0</v>
      </c>
      <c r="AE1676" s="1193" t="s">
        <v>368</v>
      </c>
      <c r="AF1676" s="1193" t="s">
        <v>369</v>
      </c>
      <c r="AG1676" s="1193">
        <v>1</v>
      </c>
      <c r="AH1676" s="1193">
        <v>10</v>
      </c>
      <c r="AI1676" s="1193">
        <v>0</v>
      </c>
      <c r="AJ1676" s="1193">
        <f>VLOOKUP($I1676,'Price List, Weapons &amp; Items'!B:F,5,0)</f>
        <v>0</v>
      </c>
      <c r="AK1676" s="1193">
        <f t="shared" si="360"/>
        <v>0</v>
      </c>
      <c r="AL1676" s="1193">
        <f t="shared" si="361"/>
        <v>0</v>
      </c>
      <c r="AM1676" s="1193">
        <f t="shared" si="362"/>
        <v>0</v>
      </c>
      <c r="AN1676" s="1194" t="str">
        <f>VLOOKUP($I1676,'Price List, Weapons &amp; Items'!B:L,COLUMN('Price List, Weapons &amp; Items'!$J$11)-1,0)</f>
        <v>Media reports (incl. social media)</v>
      </c>
      <c r="AO1676" s="1194" t="str">
        <f>IF(I1676=".",".",VLOOKUP($I1676,'Price List, Weapons &amp; Items'!B:J,3,0))</f>
        <v>Light Anti-armor Weapon (LAW)</v>
      </c>
      <c r="AP1676" s="1195" t="str">
        <f t="shared" ca="1" si="356"/>
        <v/>
      </c>
      <c r="AQ1676" s="1194">
        <f>VLOOKUP($I1676,'Price List, Weapons &amp; Items'!B:L,COLUMN('Price List, Weapons &amp; Items'!$L$11)-1,0)</f>
        <v>2</v>
      </c>
      <c r="AR1676" s="1194">
        <f t="shared" si="363"/>
        <v>1</v>
      </c>
      <c r="AS1676" s="1194">
        <f t="shared" si="364"/>
        <v>1</v>
      </c>
      <c r="AT1676" s="1194">
        <f t="shared" si="365"/>
        <v>1</v>
      </c>
      <c r="AU1676" s="1194" t="str">
        <f t="shared" si="354"/>
        <v>.</v>
      </c>
      <c r="AV1676" s="1194" t="str">
        <f t="shared" si="357"/>
        <v>.</v>
      </c>
      <c r="AW1676" s="1194" t="str">
        <f t="shared" si="366"/>
        <v>.</v>
      </c>
      <c r="AX1676" s="1194">
        <f>IFERROR(VLOOKUP(B1676,'Share, Heavy Weapons to Ukraine'!B:Z,COLUMN('Share, Heavy Weapons to Ukraine'!C1687)-1,0),0)</f>
        <v>1</v>
      </c>
      <c r="AY1676" s="1194">
        <f>VLOOKUP('Bilateral Assistance, MAIN DATA'!B1676,'Country Summary (€)'!B:F,COLUMN('Country Summary (€)'!C1688)-1,FALSE)</f>
        <v>0</v>
      </c>
      <c r="AZ1676" s="1194" t="str">
        <f>IF(AND(AD1676=1,D1676="Military",H1676&lt;&gt;"Not given")=TRUE,IF(SUMIFS(P:P,A:A,A1676)&gt;0,ABS((SUMIFS(P:P,A:A,A1676)/VLOOKUP("USD",'Exchange Rates'!B:C,2,0)))/S1676,"."),".")</f>
        <v>.</v>
      </c>
      <c r="BA1676" s="1196" t="str">
        <f>IF(AND(AD1676=1,D1676="Military",H1676&lt;&gt;"Not given")=TRUE,IF(SUMIFS(P:P,A:A,A1676)&gt;0,IF((ABS((SUMIFS(P:P,A:A,A1676)/VLOOKUP("USD",'Exchange Rates'!B:C,2,0)))/S1676)&gt;1,(SUMIFS(P:P,A:A,A1676)-S1676)/S1676,(S1676-SUMIFS(P:P,A:A,A1676))/SUMIFS(P:P,A:A,A1676)),"."),".")</f>
        <v>.</v>
      </c>
    </row>
    <row r="1677" spans="1:53" ht="15.95" customHeight="1">
      <c r="A1677" s="1208" t="s">
        <v>4284</v>
      </c>
      <c r="B1677" s="1208" t="s">
        <v>3949</v>
      </c>
      <c r="C1677" s="1220">
        <v>44848</v>
      </c>
      <c r="D1677" s="1208" t="s">
        <v>389</v>
      </c>
      <c r="E1677" s="1208" t="s">
        <v>390</v>
      </c>
      <c r="F1677" s="1263" t="s">
        <v>4289</v>
      </c>
      <c r="G1677" s="1184" t="s">
        <v>456</v>
      </c>
      <c r="H1677" s="1221">
        <v>725000000</v>
      </c>
      <c r="I1677" s="1180" t="s">
        <v>4161</v>
      </c>
      <c r="J1677" s="1186" t="str">
        <f>VLOOKUP($I1677,'Price List, Weapons &amp; Items'!B:C,2,0)</f>
        <v>Ammunition for heavy weapon</v>
      </c>
      <c r="K1677" s="1186" t="str">
        <f>IF(I1677=".",I1677,VLOOKUP($I1677,'Price List, Weapons &amp; Items'!B:D,3,0))</f>
        <v>Missile</v>
      </c>
      <c r="L1677" s="1187">
        <f>VLOOKUP(I1677,'Price List, Weapons &amp; Items'!B:E,4,0)</f>
        <v>0</v>
      </c>
      <c r="M1677" s="1188" t="s">
        <v>374</v>
      </c>
      <c r="N1677" s="1188" t="s">
        <v>374</v>
      </c>
      <c r="O1677" s="1188">
        <f>VLOOKUP($I1677,'Price List, Weapons &amp; Items'!B:G,6,0)</f>
        <v>557000</v>
      </c>
      <c r="P1677" s="1185" t="str">
        <f t="shared" si="358"/>
        <v>.</v>
      </c>
      <c r="Q1677" s="1185" t="str">
        <f t="shared" si="359"/>
        <v>.</v>
      </c>
      <c r="R1677" s="1185" t="str">
        <f t="shared" si="355"/>
        <v/>
      </c>
      <c r="S1677" s="1185" t="str">
        <f>IF(AND(AD1677=1,R1677&lt;&gt;".")=TRUE,R1677/VLOOKUP(G1677,'Exchange Rates'!B:C,2,0),IF(R1677=".",".",""))</f>
        <v/>
      </c>
      <c r="T1677" s="1185" t="str">
        <f>IF(AD1677=1,IF(AF1677="Value is not given at all",".",IF(AF1677="Value is given by the source",S1677,IF(AF1677="Value is calculated with prices",(IF(SUMIFS(Q:Q,A:A,A1677)&gt;0,SUMIFS(Q:Q,A:A,A1677),"."))/VLOOKUP("USD",'Exchange Rates'!B:C,2,0),"Error with coding"))),"")</f>
        <v/>
      </c>
      <c r="U1677" s="1184" t="s">
        <v>365</v>
      </c>
      <c r="V1677" s="979" t="s">
        <v>4290</v>
      </c>
      <c r="W1677" s="983" t="s">
        <v>3978</v>
      </c>
      <c r="X1677" s="980" t="s">
        <v>3982</v>
      </c>
      <c r="Y1677" s="966" t="s">
        <v>4009</v>
      </c>
      <c r="Z1677" s="1184">
        <v>0</v>
      </c>
      <c r="AA1677" s="1194">
        <v>0</v>
      </c>
      <c r="AB1677" s="1000" t="s">
        <v>364</v>
      </c>
      <c r="AC1677" s="1192" t="str">
        <f>""</f>
        <v/>
      </c>
      <c r="AD1677" s="1193">
        <v>0</v>
      </c>
      <c r="AE1677" s="1193" t="s">
        <v>368</v>
      </c>
      <c r="AF1677" s="1193" t="s">
        <v>369</v>
      </c>
      <c r="AG1677" s="1193">
        <v>1</v>
      </c>
      <c r="AH1677" s="1193">
        <v>10</v>
      </c>
      <c r="AI1677" s="1193">
        <v>0</v>
      </c>
      <c r="AJ1677" s="1193">
        <f>VLOOKUP($I1677,'Price List, Weapons &amp; Items'!B:F,5,0)</f>
        <v>0</v>
      </c>
      <c r="AK1677" s="1193">
        <f t="shared" si="360"/>
        <v>0</v>
      </c>
      <c r="AL1677" s="1193">
        <f t="shared" si="361"/>
        <v>0</v>
      </c>
      <c r="AM1677" s="1193">
        <f t="shared" si="362"/>
        <v>0</v>
      </c>
      <c r="AN1677" s="1194" t="str">
        <f>VLOOKUP($I1677,'Price List, Weapons &amp; Items'!B:L,COLUMN('Price List, Weapons &amp; Items'!$J$11)-1,0)</f>
        <v>Miscellaneous</v>
      </c>
      <c r="AO1677" s="1194" t="str">
        <f>IF(I1677=".",".",VLOOKUP($I1677,'Price List, Weapons &amp; Items'!B:J,3,0))</f>
        <v>Missile</v>
      </c>
      <c r="AP1677" s="1195" t="str">
        <f t="shared" ca="1" si="356"/>
        <v/>
      </c>
      <c r="AQ1677" s="1194" t="str">
        <f>VLOOKUP($I1677,'Price List, Weapons &amp; Items'!B:L,COLUMN('Price List, Weapons &amp; Items'!$L$11)-1,0)</f>
        <v>no price, 0 count</v>
      </c>
      <c r="AR1677" s="1194">
        <f t="shared" si="363"/>
        <v>1</v>
      </c>
      <c r="AS1677" s="1194">
        <f t="shared" si="364"/>
        <v>1</v>
      </c>
      <c r="AT1677" s="1194">
        <f t="shared" si="365"/>
        <v>1</v>
      </c>
      <c r="AU1677" s="1194" t="str">
        <f t="shared" si="354"/>
        <v>.</v>
      </c>
      <c r="AV1677" s="1194" t="str">
        <f t="shared" si="357"/>
        <v>.</v>
      </c>
      <c r="AW1677" s="1194" t="str">
        <f t="shared" si="366"/>
        <v>.</v>
      </c>
      <c r="AX1677" s="1194">
        <f>IFERROR(VLOOKUP(B1677,'Share, Heavy Weapons to Ukraine'!B:Z,COLUMN('Share, Heavy Weapons to Ukraine'!C1688)-1,0),0)</f>
        <v>1</v>
      </c>
      <c r="AY1677" s="1194">
        <f>VLOOKUP('Bilateral Assistance, MAIN DATA'!B1677,'Country Summary (€)'!B:F,COLUMN('Country Summary (€)'!C1689)-1,FALSE)</f>
        <v>0</v>
      </c>
      <c r="AZ1677" s="1194" t="str">
        <f>IF(AND(AD1677=1,D1677="Military",H1677&lt;&gt;"Not given")=TRUE,IF(SUMIFS(P:P,A:A,A1677)&gt;0,ABS((SUMIFS(P:P,A:A,A1677)/VLOOKUP("USD",'Exchange Rates'!B:C,2,0)))/S1677,"."),".")</f>
        <v>.</v>
      </c>
      <c r="BA1677" s="1196" t="str">
        <f>IF(AND(AD1677=1,D1677="Military",H1677&lt;&gt;"Not given")=TRUE,IF(SUMIFS(P:P,A:A,A1677)&gt;0,IF((ABS((SUMIFS(P:P,A:A,A1677)/VLOOKUP("USD",'Exchange Rates'!B:C,2,0)))/S1677)&gt;1,(SUMIFS(P:P,A:A,A1677)-S1677)/S1677,(S1677-SUMIFS(P:P,A:A,A1677))/SUMIFS(P:P,A:A,A1677)),"."),".")</f>
        <v>.</v>
      </c>
    </row>
    <row r="1678" spans="1:53" ht="15.95" customHeight="1">
      <c r="A1678" s="1208" t="s">
        <v>4284</v>
      </c>
      <c r="B1678" s="1208" t="s">
        <v>3949</v>
      </c>
      <c r="C1678" s="1220">
        <v>44848</v>
      </c>
      <c r="D1678" s="1208" t="s">
        <v>389</v>
      </c>
      <c r="E1678" s="1208" t="s">
        <v>390</v>
      </c>
      <c r="F1678" s="1263" t="s">
        <v>4289</v>
      </c>
      <c r="G1678" s="1184" t="s">
        <v>456</v>
      </c>
      <c r="H1678" s="1221">
        <v>725000000</v>
      </c>
      <c r="I1678" s="1208" t="s">
        <v>4187</v>
      </c>
      <c r="J1678" s="1186" t="str">
        <f>VLOOKUP($I1678,'Price List, Weapons &amp; Items'!B:C,2,0)</f>
        <v>Heavy weapon</v>
      </c>
      <c r="K1678" s="1186" t="str">
        <f>IF(I1678=".",I1678,VLOOKUP($I1678,'Price List, Weapons &amp; Items'!B:D,3,0))</f>
        <v>Armored Utility Vehicle (AUV)</v>
      </c>
      <c r="L1678" s="1187">
        <f>VLOOKUP(I1678,'Price List, Weapons &amp; Items'!B:E,4,0)</f>
        <v>0</v>
      </c>
      <c r="M1678" s="1188">
        <v>200</v>
      </c>
      <c r="N1678" s="1188" t="s">
        <v>374</v>
      </c>
      <c r="O1678" s="1188">
        <f>VLOOKUP($I1678,'Price List, Weapons &amp; Items'!B:G,6,0)</f>
        <v>254717</v>
      </c>
      <c r="P1678" s="1185">
        <f t="shared" si="358"/>
        <v>50943400</v>
      </c>
      <c r="Q1678" s="1185" t="str">
        <f t="shared" si="359"/>
        <v>.</v>
      </c>
      <c r="R1678" s="1185" t="str">
        <f t="shared" si="355"/>
        <v/>
      </c>
      <c r="S1678" s="1185" t="str">
        <f>IF(AND(AD1678=1,R1678&lt;&gt;".")=TRUE,R1678/VLOOKUP(G1678,'Exchange Rates'!B:C,2,0),IF(R1678=".",".",""))</f>
        <v/>
      </c>
      <c r="T1678" s="1185" t="str">
        <f>IF(AD1678=1,IF(AF1678="Value is not given at all",".",IF(AF1678="Value is given by the source",S1678,IF(AF1678="Value is calculated with prices",(IF(SUMIFS(Q:Q,A:A,A1678)&gt;0,SUMIFS(Q:Q,A:A,A1678),"."))/VLOOKUP("USD",'Exchange Rates'!B:C,2,0),"Error with coding"))),"")</f>
        <v/>
      </c>
      <c r="U1678" s="1184" t="s">
        <v>365</v>
      </c>
      <c r="V1678" s="979" t="s">
        <v>4290</v>
      </c>
      <c r="W1678" s="983" t="s">
        <v>3978</v>
      </c>
      <c r="X1678" s="980" t="s">
        <v>3982</v>
      </c>
      <c r="Y1678" s="966" t="s">
        <v>4010</v>
      </c>
      <c r="Z1678" s="1184">
        <v>0</v>
      </c>
      <c r="AA1678" s="1194">
        <v>0</v>
      </c>
      <c r="AB1678" s="1000" t="s">
        <v>364</v>
      </c>
      <c r="AC1678" s="1192" t="str">
        <f>""</f>
        <v/>
      </c>
      <c r="AD1678" s="1193">
        <v>0</v>
      </c>
      <c r="AE1678" s="1193" t="s">
        <v>368</v>
      </c>
      <c r="AF1678" s="1193" t="s">
        <v>369</v>
      </c>
      <c r="AG1678" s="1193">
        <v>1</v>
      </c>
      <c r="AH1678" s="1193">
        <v>10</v>
      </c>
      <c r="AI1678" s="1193">
        <v>0</v>
      </c>
      <c r="AJ1678" s="1193">
        <f>VLOOKUP($I1678,'Price List, Weapons &amp; Items'!B:F,5,0)</f>
        <v>1</v>
      </c>
      <c r="AK1678" s="1193">
        <f t="shared" si="360"/>
        <v>0</v>
      </c>
      <c r="AL1678" s="1193">
        <f t="shared" si="361"/>
        <v>1</v>
      </c>
      <c r="AM1678" s="1193">
        <f t="shared" si="362"/>
        <v>0</v>
      </c>
      <c r="AN1678" s="1194" t="str">
        <f>VLOOKUP($I1678,'Price List, Weapons &amp; Items'!B:L,COLUMN('Price List, Weapons &amp; Items'!$J$11)-1,0)</f>
        <v>Military media (incl. websites)</v>
      </c>
      <c r="AO1678" s="1194" t="str">
        <f>IF(I1678=".",".",VLOOKUP($I1678,'Price List, Weapons &amp; Items'!B:J,3,0))</f>
        <v>Armored Utility Vehicle (AUV)</v>
      </c>
      <c r="AP1678" s="1195" t="str">
        <f t="shared" ca="1" si="356"/>
        <v/>
      </c>
      <c r="AQ1678" s="1194">
        <f>VLOOKUP($I1678,'Price List, Weapons &amp; Items'!B:L,COLUMN('Price List, Weapons &amp; Items'!$L$11)-1,0)</f>
        <v>2</v>
      </c>
      <c r="AR1678" s="1194">
        <f t="shared" si="363"/>
        <v>1</v>
      </c>
      <c r="AS1678" s="1194">
        <f t="shared" si="364"/>
        <v>1</v>
      </c>
      <c r="AT1678" s="1194">
        <f t="shared" si="365"/>
        <v>1</v>
      </c>
      <c r="AU1678" s="1194" t="str">
        <f t="shared" si="354"/>
        <v>.</v>
      </c>
      <c r="AV1678" s="1194" t="str">
        <f t="shared" si="357"/>
        <v>.</v>
      </c>
      <c r="AW1678" s="1194" t="str">
        <f t="shared" si="366"/>
        <v>.</v>
      </c>
      <c r="AX1678" s="1194">
        <f>IFERROR(VLOOKUP(B1678,'Share, Heavy Weapons to Ukraine'!B:Z,COLUMN('Share, Heavy Weapons to Ukraine'!C1689)-1,0),0)</f>
        <v>1</v>
      </c>
      <c r="AY1678" s="1194">
        <f>VLOOKUP('Bilateral Assistance, MAIN DATA'!B1678,'Country Summary (€)'!B:F,COLUMN('Country Summary (€)'!C1690)-1,FALSE)</f>
        <v>0</v>
      </c>
      <c r="AZ1678" s="1194" t="str">
        <f>IF(AND(AD1678=1,D1678="Military",H1678&lt;&gt;"Not given")=TRUE,IF(SUMIFS(P:P,A:A,A1678)&gt;0,ABS((SUMIFS(P:P,A:A,A1678)/VLOOKUP("USD",'Exchange Rates'!B:C,2,0)))/S1678,"."),".")</f>
        <v>.</v>
      </c>
      <c r="BA1678" s="1196" t="str">
        <f>IF(AND(AD1678=1,D1678="Military",H1678&lt;&gt;"Not given")=TRUE,IF(SUMIFS(P:P,A:A,A1678)&gt;0,IF((ABS((SUMIFS(P:P,A:A,A1678)/VLOOKUP("USD",'Exchange Rates'!B:C,2,0)))/S1678)&gt;1,(SUMIFS(P:P,A:A,A1678)-S1678)/S1678,(S1678-SUMIFS(P:P,A:A,A1678))/SUMIFS(P:P,A:A,A1678)),"."),".")</f>
        <v>.</v>
      </c>
    </row>
    <row r="1679" spans="1:53" ht="15.95" customHeight="1">
      <c r="A1679" s="1208" t="s">
        <v>4284</v>
      </c>
      <c r="B1679" s="1208" t="s">
        <v>3949</v>
      </c>
      <c r="C1679" s="1220">
        <v>44848</v>
      </c>
      <c r="D1679" s="1208" t="s">
        <v>389</v>
      </c>
      <c r="E1679" s="1208" t="s">
        <v>390</v>
      </c>
      <c r="F1679" s="1263" t="s">
        <v>4289</v>
      </c>
      <c r="G1679" s="1184" t="s">
        <v>456</v>
      </c>
      <c r="H1679" s="1221">
        <v>725000000</v>
      </c>
      <c r="I1679" s="1180" t="s">
        <v>2025</v>
      </c>
      <c r="J1679" s="1186" t="str">
        <f>VLOOKUP($I1679,'Price List, Weapons &amp; Items'!B:C,2,0)</f>
        <v>Ammunition for light infantry</v>
      </c>
      <c r="K1679" s="1186" t="str">
        <f>IF(I1679=".",I1679,VLOOKUP($I1679,'Price List, Weapons &amp; Items'!B:D,3,0))</f>
        <v>Small Arms and Light Weapons (SALW) ammunition</v>
      </c>
      <c r="L1679" s="1187">
        <f>VLOOKUP(I1679,'Price List, Weapons &amp; Items'!B:E,4,0)</f>
        <v>0</v>
      </c>
      <c r="M1679" s="1188">
        <v>2000000</v>
      </c>
      <c r="N1679" s="1188" t="s">
        <v>374</v>
      </c>
      <c r="O1679" s="1188">
        <f>VLOOKUP($I1679,'Price List, Weapons &amp; Items'!B:G,6,0)</f>
        <v>0.47</v>
      </c>
      <c r="P1679" s="1185">
        <f t="shared" si="358"/>
        <v>940000</v>
      </c>
      <c r="Q1679" s="1185" t="str">
        <f t="shared" si="359"/>
        <v>.</v>
      </c>
      <c r="R1679" s="1185" t="str">
        <f t="shared" si="355"/>
        <v/>
      </c>
      <c r="S1679" s="1185" t="str">
        <f>IF(AND(AD1679=1,R1679&lt;&gt;".")=TRUE,R1679/VLOOKUP(G1679,'Exchange Rates'!B:C,2,0),IF(R1679=".",".",""))</f>
        <v/>
      </c>
      <c r="T1679" s="1185" t="str">
        <f>IF(AD1679=1,IF(AF1679="Value is not given at all",".",IF(AF1679="Value is given by the source",S1679,IF(AF1679="Value is calculated with prices",(IF(SUMIFS(Q:Q,A:A,A1679)&gt;0,SUMIFS(Q:Q,A:A,A1679),"."))/VLOOKUP("USD",'Exchange Rates'!B:C,2,0),"Error with coding"))),"")</f>
        <v/>
      </c>
      <c r="U1679" s="1184" t="s">
        <v>365</v>
      </c>
      <c r="V1679" s="979" t="s">
        <v>4290</v>
      </c>
      <c r="W1679" s="983" t="s">
        <v>3978</v>
      </c>
      <c r="X1679" s="980" t="s">
        <v>3982</v>
      </c>
      <c r="Y1679" s="966" t="s">
        <v>4012</v>
      </c>
      <c r="Z1679" s="1184">
        <v>0</v>
      </c>
      <c r="AA1679" s="1194">
        <v>0</v>
      </c>
      <c r="AB1679" s="1000" t="s">
        <v>364</v>
      </c>
      <c r="AC1679" s="1192" t="str">
        <f>""</f>
        <v/>
      </c>
      <c r="AD1679" s="1193">
        <v>0</v>
      </c>
      <c r="AE1679" s="1193" t="s">
        <v>368</v>
      </c>
      <c r="AF1679" s="1193" t="s">
        <v>369</v>
      </c>
      <c r="AG1679" s="1193">
        <v>1</v>
      </c>
      <c r="AH1679" s="1193">
        <v>10</v>
      </c>
      <c r="AI1679" s="1193">
        <v>0</v>
      </c>
      <c r="AJ1679" s="1193">
        <f>VLOOKUP($I1679,'Price List, Weapons &amp; Items'!B:F,5,0)</f>
        <v>0</v>
      </c>
      <c r="AK1679" s="1193">
        <f t="shared" si="360"/>
        <v>0</v>
      </c>
      <c r="AL1679" s="1193">
        <f t="shared" si="361"/>
        <v>0</v>
      </c>
      <c r="AM1679" s="1193">
        <f t="shared" si="362"/>
        <v>1</v>
      </c>
      <c r="AN1679" s="1194" t="str">
        <f>VLOOKUP($I1679,'Price List, Weapons &amp; Items'!B:L,COLUMN('Price List, Weapons &amp; Items'!$J$11)-1,0)</f>
        <v>Miscellaneous</v>
      </c>
      <c r="AO1679" s="1194" t="str">
        <f>IF(I1679=".",".",VLOOKUP($I1679,'Price List, Weapons &amp; Items'!B:J,3,0))</f>
        <v>Small Arms and Light Weapons (SALW) ammunition</v>
      </c>
      <c r="AP1679" s="1195" t="str">
        <f t="shared" ca="1" si="356"/>
        <v/>
      </c>
      <c r="AQ1679" s="1194">
        <f>VLOOKUP($I1679,'Price List, Weapons &amp; Items'!B:L,COLUMN('Price List, Weapons &amp; Items'!$L$11)-1,0)</f>
        <v>2</v>
      </c>
      <c r="AR1679" s="1194">
        <f t="shared" si="363"/>
        <v>1</v>
      </c>
      <c r="AS1679" s="1194">
        <f t="shared" si="364"/>
        <v>1</v>
      </c>
      <c r="AT1679" s="1194">
        <f t="shared" si="365"/>
        <v>1</v>
      </c>
      <c r="AU1679" s="1194" t="str">
        <f t="shared" si="354"/>
        <v>.</v>
      </c>
      <c r="AV1679" s="1194" t="str">
        <f t="shared" si="357"/>
        <v>.</v>
      </c>
      <c r="AW1679" s="1194" t="str">
        <f t="shared" si="366"/>
        <v>.</v>
      </c>
      <c r="AX1679" s="1194">
        <f>IFERROR(VLOOKUP(B1679,'Share, Heavy Weapons to Ukraine'!B:Z,COLUMN('Share, Heavy Weapons to Ukraine'!C1690)-1,0),0)</f>
        <v>1</v>
      </c>
      <c r="AY1679" s="1194">
        <f>VLOOKUP('Bilateral Assistance, MAIN DATA'!B1679,'Country Summary (€)'!B:F,COLUMN('Country Summary (€)'!C1691)-1,FALSE)</f>
        <v>0</v>
      </c>
      <c r="AZ1679" s="1194" t="str">
        <f>IF(AND(AD1679=1,D1679="Military",H1679&lt;&gt;"Not given")=TRUE,IF(SUMIFS(P:P,A:A,A1679)&gt;0,ABS((SUMIFS(P:P,A:A,A1679)/VLOOKUP("USD",'Exchange Rates'!B:C,2,0)))/S1679,"."),".")</f>
        <v>.</v>
      </c>
      <c r="BA1679" s="1196" t="str">
        <f>IF(AND(AD1679=1,D1679="Military",H1679&lt;&gt;"Not given")=TRUE,IF(SUMIFS(P:P,A:A,A1679)&gt;0,IF((ABS((SUMIFS(P:P,A:A,A1679)/VLOOKUP("USD",'Exchange Rates'!B:C,2,0)))/S1679)&gt;1,(SUMIFS(P:P,A:A,A1679)-S1679)/S1679,(S1679-SUMIFS(P:P,A:A,A1679))/SUMIFS(P:P,A:A,A1679)),"."),".")</f>
        <v>.</v>
      </c>
    </row>
    <row r="1680" spans="1:53" ht="15.95" customHeight="1">
      <c r="A1680" s="1208" t="s">
        <v>4284</v>
      </c>
      <c r="B1680" s="1208" t="s">
        <v>3949</v>
      </c>
      <c r="C1680" s="1220">
        <v>44848</v>
      </c>
      <c r="D1680" s="1208" t="s">
        <v>389</v>
      </c>
      <c r="E1680" s="1208" t="s">
        <v>390</v>
      </c>
      <c r="F1680" s="1263" t="s">
        <v>4289</v>
      </c>
      <c r="G1680" s="1184" t="s">
        <v>456</v>
      </c>
      <c r="H1680" s="1221">
        <v>725000000</v>
      </c>
      <c r="I1680" s="1180" t="s">
        <v>4149</v>
      </c>
      <c r="J1680" s="1186" t="str">
        <f>VLOOKUP($I1680,'Price List, Weapons &amp; Items'!B:C,2,0)</f>
        <v>Military equipment</v>
      </c>
      <c r="K1680" s="1186" t="str">
        <f>IF(I1680=".",I1680,VLOOKUP($I1680,'Price List, Weapons &amp; Items'!B:D,3,0))</f>
        <v>Military equipment</v>
      </c>
      <c r="L1680" s="1187">
        <f>VLOOKUP(I1680,'Price List, Weapons &amp; Items'!B:E,4,0)</f>
        <v>0</v>
      </c>
      <c r="M1680" s="1188" t="s">
        <v>374</v>
      </c>
      <c r="N1680" s="1188" t="s">
        <v>374</v>
      </c>
      <c r="O1680" s="1188" t="str">
        <f>VLOOKUP($I1680,'Price List, Weapons &amp; Items'!B:G,6,0)</f>
        <v>.</v>
      </c>
      <c r="P1680" s="1185" t="str">
        <f t="shared" si="358"/>
        <v>.</v>
      </c>
      <c r="Q1680" s="1185" t="str">
        <f t="shared" si="359"/>
        <v>.</v>
      </c>
      <c r="R1680" s="1185" t="str">
        <f t="shared" si="355"/>
        <v/>
      </c>
      <c r="S1680" s="1185" t="str">
        <f>IF(AND(AD1680=1,R1680&lt;&gt;".")=TRUE,R1680/VLOOKUP(G1680,'Exchange Rates'!B:C,2,0),IF(R1680=".",".",""))</f>
        <v/>
      </c>
      <c r="T1680" s="1185" t="str">
        <f>IF(AD1680=1,IF(AF1680="Value is not given at all",".",IF(AF1680="Value is given by the source",S1680,IF(AF1680="Value is calculated with prices",(IF(SUMIFS(Q:Q,A:A,A1680)&gt;0,SUMIFS(Q:Q,A:A,A1680),"."))/VLOOKUP("USD",'Exchange Rates'!B:C,2,0),"Error with coding"))),"")</f>
        <v/>
      </c>
      <c r="U1680" s="1184" t="s">
        <v>365</v>
      </c>
      <c r="V1680" s="979" t="s">
        <v>4290</v>
      </c>
      <c r="W1680" s="983" t="s">
        <v>3978</v>
      </c>
      <c r="X1680" s="980" t="s">
        <v>3982</v>
      </c>
      <c r="Y1680" s="966" t="s">
        <v>4014</v>
      </c>
      <c r="Z1680" s="1184">
        <v>0</v>
      </c>
      <c r="AA1680" s="1194">
        <v>0</v>
      </c>
      <c r="AB1680" s="1000" t="s">
        <v>364</v>
      </c>
      <c r="AC1680" s="1192" t="str">
        <f>""</f>
        <v/>
      </c>
      <c r="AD1680" s="1193">
        <v>0</v>
      </c>
      <c r="AE1680" s="1193" t="s">
        <v>368</v>
      </c>
      <c r="AF1680" s="1193" t="s">
        <v>369</v>
      </c>
      <c r="AG1680" s="1193">
        <v>1</v>
      </c>
      <c r="AH1680" s="1193">
        <v>10</v>
      </c>
      <c r="AI1680" s="1193">
        <v>0</v>
      </c>
      <c r="AJ1680" s="1193">
        <f>VLOOKUP($I1680,'Price List, Weapons &amp; Items'!B:F,5,0)</f>
        <v>0</v>
      </c>
      <c r="AK1680" s="1193">
        <f t="shared" si="360"/>
        <v>0</v>
      </c>
      <c r="AL1680" s="1193">
        <f t="shared" si="361"/>
        <v>0</v>
      </c>
      <c r="AM1680" s="1193">
        <f t="shared" si="362"/>
        <v>0</v>
      </c>
      <c r="AN1680" s="1194" t="str">
        <f>VLOOKUP($I1680,'Price List, Weapons &amp; Items'!B:L,COLUMN('Price List, Weapons &amp; Items'!$J$11)-1,0)</f>
        <v>.</v>
      </c>
      <c r="AO1680" s="1194" t="str">
        <f>IF(I1680=".",".",VLOOKUP($I1680,'Price List, Weapons &amp; Items'!B:J,3,0))</f>
        <v>Military equipment</v>
      </c>
      <c r="AP1680" s="1195" t="str">
        <f t="shared" ca="1" si="356"/>
        <v/>
      </c>
      <c r="AQ1680" s="1194" t="str">
        <f>VLOOKUP($I1680,'Price List, Weapons &amp; Items'!B:L,COLUMN('Price List, Weapons &amp; Items'!$L$11)-1,0)</f>
        <v>no price, 0 count</v>
      </c>
      <c r="AR1680" s="1194">
        <f t="shared" si="363"/>
        <v>1</v>
      </c>
      <c r="AS1680" s="1194">
        <f t="shared" si="364"/>
        <v>1</v>
      </c>
      <c r="AT1680" s="1194">
        <f t="shared" si="365"/>
        <v>1</v>
      </c>
      <c r="AU1680" s="1194" t="str">
        <f t="shared" si="354"/>
        <v>.</v>
      </c>
      <c r="AV1680" s="1194" t="str">
        <f t="shared" si="357"/>
        <v>.</v>
      </c>
      <c r="AW1680" s="1194" t="str">
        <f t="shared" si="366"/>
        <v>.</v>
      </c>
      <c r="AX1680" s="1194">
        <f>IFERROR(VLOOKUP(B1680,'Share, Heavy Weapons to Ukraine'!B:Z,COLUMN('Share, Heavy Weapons to Ukraine'!C1691)-1,0),0)</f>
        <v>1</v>
      </c>
      <c r="AY1680" s="1194">
        <f>VLOOKUP('Bilateral Assistance, MAIN DATA'!B1680,'Country Summary (€)'!B:F,COLUMN('Country Summary (€)'!C1692)-1,FALSE)</f>
        <v>0</v>
      </c>
      <c r="AZ1680" s="1194" t="str">
        <f>IF(AND(AD1680=1,D1680="Military",H1680&lt;&gt;"Not given")=TRUE,IF(SUMIFS(P:P,A:A,A1680)&gt;0,ABS((SUMIFS(P:P,A:A,A1680)/VLOOKUP("USD",'Exchange Rates'!B:C,2,0)))/S1680,"."),".")</f>
        <v>.</v>
      </c>
      <c r="BA1680" s="1196" t="str">
        <f>IF(AND(AD1680=1,D1680="Military",H1680&lt;&gt;"Not given")=TRUE,IF(SUMIFS(P:P,A:A,A1680)&gt;0,IF((ABS((SUMIFS(P:P,A:A,A1680)/VLOOKUP("USD",'Exchange Rates'!B:C,2,0)))/S1680)&gt;1,(SUMIFS(P:P,A:A,A1680)-S1680)/S1680,(S1680-SUMIFS(P:P,A:A,A1680))/SUMIFS(P:P,A:A,A1680)),"."),".")</f>
        <v>.</v>
      </c>
    </row>
    <row r="1681" spans="1:53" ht="15.95" customHeight="1">
      <c r="A1681" s="1208" t="s">
        <v>4284</v>
      </c>
      <c r="B1681" s="1208" t="s">
        <v>3949</v>
      </c>
      <c r="C1681" s="1220">
        <v>44862</v>
      </c>
      <c r="D1681" s="1208" t="s">
        <v>389</v>
      </c>
      <c r="E1681" s="1208" t="s">
        <v>390</v>
      </c>
      <c r="F1681" s="1263" t="s">
        <v>4293</v>
      </c>
      <c r="G1681" s="1184" t="s">
        <v>456</v>
      </c>
      <c r="H1681" s="1221">
        <v>275000000</v>
      </c>
      <c r="I1681" s="1180" t="s">
        <v>4093</v>
      </c>
      <c r="J1681" s="1186" t="str">
        <f>VLOOKUP($I1681,'Price List, Weapons &amp; Items'!B:C,2,0)</f>
        <v>Ammunition for heavy weapon</v>
      </c>
      <c r="K1681" s="1186" t="str">
        <f>IF(I1681=".",I1681,VLOOKUP($I1681,'Price List, Weapons &amp; Items'!B:D,3,0))</f>
        <v>227mm MLRS ammunition</v>
      </c>
      <c r="L1681" s="1187">
        <f>VLOOKUP(I1681,'Price List, Weapons &amp; Items'!B:E,4,0)</f>
        <v>0</v>
      </c>
      <c r="M1681" s="1188" t="s">
        <v>374</v>
      </c>
      <c r="N1681" s="1188" t="s">
        <v>374</v>
      </c>
      <c r="O1681" s="1188">
        <f>VLOOKUP($I1681,'Price List, Weapons &amp; Items'!B:G,6,0)</f>
        <v>150000</v>
      </c>
      <c r="P1681" s="1185" t="str">
        <f t="shared" si="358"/>
        <v>.</v>
      </c>
      <c r="Q1681" s="1185" t="str">
        <f t="shared" si="359"/>
        <v>.</v>
      </c>
      <c r="R1681" s="1185" t="str">
        <f t="shared" si="355"/>
        <v/>
      </c>
      <c r="S1681" s="1185" t="str">
        <f>IF(AND(AD1681=1,R1681&lt;&gt;".")=TRUE,R1681/VLOOKUP(G1681,'Exchange Rates'!B:C,2,0),IF(R1681=".",".",""))</f>
        <v/>
      </c>
      <c r="T1681" s="1185" t="str">
        <f>IF(AD1681=1,IF(AF1681="Value is not given at all",".",IF(AF1681="Value is given by the source",S1681,IF(AF1681="Value is calculated with prices",(IF(SUMIFS(Q:Q,A:A,A1681)&gt;0,SUMIFS(Q:Q,A:A,A1681),"."))/VLOOKUP("USD",'Exchange Rates'!B:C,2,0),"Error with coding"))),"")</f>
        <v/>
      </c>
      <c r="U1681" s="1184" t="s">
        <v>365</v>
      </c>
      <c r="V1681" s="979" t="s">
        <v>4294</v>
      </c>
      <c r="W1681" s="983" t="s">
        <v>3978</v>
      </c>
      <c r="X1681" s="980" t="s">
        <v>3982</v>
      </c>
      <c r="Y1681" s="966" t="s">
        <v>4015</v>
      </c>
      <c r="Z1681" s="1184">
        <v>0</v>
      </c>
      <c r="AA1681" s="1194">
        <v>0</v>
      </c>
      <c r="AB1681" s="1000" t="s">
        <v>364</v>
      </c>
      <c r="AC1681" s="1192" t="str">
        <f>""</f>
        <v/>
      </c>
      <c r="AD1681" s="1193">
        <v>0</v>
      </c>
      <c r="AE1681" s="1193" t="s">
        <v>368</v>
      </c>
      <c r="AF1681" s="1193" t="s">
        <v>369</v>
      </c>
      <c r="AG1681" s="1193">
        <v>1</v>
      </c>
      <c r="AH1681" s="1193">
        <v>10</v>
      </c>
      <c r="AI1681" s="1193">
        <v>0</v>
      </c>
      <c r="AJ1681" s="1193">
        <f>VLOOKUP($I1681,'Price List, Weapons &amp; Items'!B:F,5,0)</f>
        <v>1</v>
      </c>
      <c r="AK1681" s="1193">
        <f t="shared" si="360"/>
        <v>1</v>
      </c>
      <c r="AL1681" s="1193">
        <f t="shared" si="361"/>
        <v>1</v>
      </c>
      <c r="AM1681" s="1193">
        <f t="shared" si="362"/>
        <v>1</v>
      </c>
      <c r="AN1681" s="1194" t="str">
        <f>VLOOKUP($I1681,'Price List, Weapons &amp; Items'!B:L,COLUMN('Price List, Weapons &amp; Items'!$J$11)-1,0)</f>
        <v>Media reports (incl. social media)</v>
      </c>
      <c r="AO1681" s="1194" t="str">
        <f>IF(I1681=".",".",VLOOKUP($I1681,'Price List, Weapons &amp; Items'!B:J,3,0))</f>
        <v>227mm MLRS ammunition</v>
      </c>
      <c r="AP1681" s="1195" t="str">
        <f t="shared" ca="1" si="356"/>
        <v/>
      </c>
      <c r="AQ1681" s="1194" t="str">
        <f>VLOOKUP($I1681,'Price List, Weapons &amp; Items'!B:L,COLUMN('Price List, Weapons &amp; Items'!$L$11)-1,0)</f>
        <v>no price, 0 count</v>
      </c>
      <c r="AR1681" s="1194">
        <f t="shared" si="363"/>
        <v>1</v>
      </c>
      <c r="AS1681" s="1194">
        <f t="shared" si="364"/>
        <v>1</v>
      </c>
      <c r="AT1681" s="1194">
        <f t="shared" si="365"/>
        <v>1</v>
      </c>
      <c r="AU1681" s="1194" t="str">
        <f t="shared" si="354"/>
        <v>.</v>
      </c>
      <c r="AV1681" s="1194" t="str">
        <f t="shared" si="357"/>
        <v>.</v>
      </c>
      <c r="AW1681" s="1194" t="str">
        <f t="shared" si="366"/>
        <v>.</v>
      </c>
      <c r="AX1681" s="1194">
        <f>IFERROR(VLOOKUP(B1681,'Share, Heavy Weapons to Ukraine'!B:Z,COLUMN('Share, Heavy Weapons to Ukraine'!C1692)-1,0),0)</f>
        <v>1</v>
      </c>
      <c r="AY1681" s="1194">
        <f>VLOOKUP('Bilateral Assistance, MAIN DATA'!B1681,'Country Summary (€)'!B:F,COLUMN('Country Summary (€)'!C1693)-1,FALSE)</f>
        <v>0</v>
      </c>
      <c r="AZ1681" s="1194" t="str">
        <f>IF(AND(AD1681=1,D1681="Military",H1681&lt;&gt;"Not given")=TRUE,IF(SUMIFS(P:P,A:A,A1681)&gt;0,ABS((SUMIFS(P:P,A:A,A1681)/VLOOKUP("USD",'Exchange Rates'!B:C,2,0)))/S1681,"."),".")</f>
        <v>.</v>
      </c>
      <c r="BA1681" s="1196" t="str">
        <f>IF(AND(AD1681=1,D1681="Military",H1681&lt;&gt;"Not given")=TRUE,IF(SUMIFS(P:P,A:A,A1681)&gt;0,IF((ABS((SUMIFS(P:P,A:A,A1681)/VLOOKUP("USD",'Exchange Rates'!B:C,2,0)))/S1681)&gt;1,(SUMIFS(P:P,A:A,A1681)-S1681)/S1681,(S1681-SUMIFS(P:P,A:A,A1681))/SUMIFS(P:P,A:A,A1681)),"."),".")</f>
        <v>.</v>
      </c>
    </row>
    <row r="1682" spans="1:53" ht="15.95" customHeight="1">
      <c r="A1682" s="1208" t="s">
        <v>4284</v>
      </c>
      <c r="B1682" s="1208" t="s">
        <v>3949</v>
      </c>
      <c r="C1682" s="1220">
        <v>44862</v>
      </c>
      <c r="D1682" s="1208" t="s">
        <v>389</v>
      </c>
      <c r="E1682" s="1208" t="s">
        <v>390</v>
      </c>
      <c r="F1682" s="1263" t="s">
        <v>4293</v>
      </c>
      <c r="G1682" s="1184" t="s">
        <v>456</v>
      </c>
      <c r="H1682" s="1221">
        <v>275000000</v>
      </c>
      <c r="I1682" s="1180" t="s">
        <v>4291</v>
      </c>
      <c r="J1682" s="1186" t="str">
        <f>VLOOKUP($I1682,'Price List, Weapons &amp; Items'!B:C,2,0)</f>
        <v>Ammunition for heavy weapon</v>
      </c>
      <c r="K1682" s="1186" t="str">
        <f>IF(I1682=".",I1682,VLOOKUP($I1682,'Price List, Weapons &amp; Items'!B:D,3,0))</f>
        <v>artillery round</v>
      </c>
      <c r="L1682" s="1187">
        <f>VLOOKUP(I1682,'Price List, Weapons &amp; Items'!B:E,4,0)</f>
        <v>0</v>
      </c>
      <c r="M1682" s="1188">
        <v>500</v>
      </c>
      <c r="N1682" s="1188" t="s">
        <v>374</v>
      </c>
      <c r="O1682" s="1188">
        <f>VLOOKUP($I1682,'Price List, Weapons &amp; Items'!B:G,6,0)</f>
        <v>112800</v>
      </c>
      <c r="P1682" s="1185">
        <f t="shared" si="358"/>
        <v>56400000</v>
      </c>
      <c r="Q1682" s="1185" t="str">
        <f t="shared" si="359"/>
        <v>.</v>
      </c>
      <c r="R1682" s="1185" t="str">
        <f t="shared" si="355"/>
        <v/>
      </c>
      <c r="S1682" s="1185" t="str">
        <f>IF(AND(AD1682=1,R1682&lt;&gt;".")=TRUE,R1682/VLOOKUP(G1682,'Exchange Rates'!B:C,2,0),IF(R1682=".",".",""))</f>
        <v/>
      </c>
      <c r="T1682" s="1185" t="str">
        <f>IF(AD1682=1,IF(AF1682="Value is not given at all",".",IF(AF1682="Value is given by the source",S1682,IF(AF1682="Value is calculated with prices",(IF(SUMIFS(Q:Q,A:A,A1682)&gt;0,SUMIFS(Q:Q,A:A,A1682),"."))/VLOOKUP("USD",'Exchange Rates'!B:C,2,0),"Error with coding"))),"")</f>
        <v/>
      </c>
      <c r="U1682" s="1184" t="s">
        <v>365</v>
      </c>
      <c r="V1682" s="979" t="s">
        <v>4294</v>
      </c>
      <c r="W1682" s="983" t="s">
        <v>3978</v>
      </c>
      <c r="X1682" s="980" t="s">
        <v>3982</v>
      </c>
      <c r="Y1682" s="966" t="s">
        <v>4016</v>
      </c>
      <c r="Z1682" s="1184">
        <v>0</v>
      </c>
      <c r="AA1682" s="1194">
        <v>0</v>
      </c>
      <c r="AB1682" s="1000" t="s">
        <v>364</v>
      </c>
      <c r="AC1682" s="1192" t="str">
        <f>""</f>
        <v/>
      </c>
      <c r="AD1682" s="1193">
        <v>0</v>
      </c>
      <c r="AE1682" s="1193" t="s">
        <v>368</v>
      </c>
      <c r="AF1682" s="1193" t="s">
        <v>369</v>
      </c>
      <c r="AG1682" s="1193">
        <v>1</v>
      </c>
      <c r="AH1682" s="1193">
        <v>10</v>
      </c>
      <c r="AI1682" s="1193">
        <v>0</v>
      </c>
      <c r="AJ1682" s="1193">
        <f>VLOOKUP($I1682,'Price List, Weapons &amp; Items'!B:F,5,0)</f>
        <v>0</v>
      </c>
      <c r="AK1682" s="1193">
        <f t="shared" si="360"/>
        <v>0</v>
      </c>
      <c r="AL1682" s="1193">
        <f t="shared" si="361"/>
        <v>0</v>
      </c>
      <c r="AM1682" s="1193">
        <f t="shared" si="362"/>
        <v>0</v>
      </c>
      <c r="AN1682" s="1194" t="str">
        <f>VLOOKUP($I1682,'Price List, Weapons &amp; Items'!B:L,COLUMN('Price List, Weapons &amp; Items'!$J$11)-1,0)</f>
        <v>Miscellaneous</v>
      </c>
      <c r="AO1682" s="1194" t="str">
        <f>IF(I1682=".",".",VLOOKUP($I1682,'Price List, Weapons &amp; Items'!B:J,3,0))</f>
        <v>artillery round</v>
      </c>
      <c r="AP1682" s="1195" t="str">
        <f t="shared" ca="1" si="356"/>
        <v/>
      </c>
      <c r="AQ1682" s="1194">
        <f>VLOOKUP($I1682,'Price List, Weapons &amp; Items'!B:L,COLUMN('Price List, Weapons &amp; Items'!$L$11)-1,0)</f>
        <v>2</v>
      </c>
      <c r="AR1682" s="1194">
        <f t="shared" si="363"/>
        <v>1</v>
      </c>
      <c r="AS1682" s="1194">
        <f t="shared" si="364"/>
        <v>1</v>
      </c>
      <c r="AT1682" s="1194">
        <f t="shared" si="365"/>
        <v>1</v>
      </c>
      <c r="AU1682" s="1194" t="str">
        <f t="shared" si="354"/>
        <v>.</v>
      </c>
      <c r="AV1682" s="1194" t="str">
        <f t="shared" si="357"/>
        <v>.</v>
      </c>
      <c r="AW1682" s="1194" t="str">
        <f t="shared" si="366"/>
        <v>.</v>
      </c>
      <c r="AX1682" s="1194">
        <f>IFERROR(VLOOKUP(B1682,'Share, Heavy Weapons to Ukraine'!B:Z,COLUMN('Share, Heavy Weapons to Ukraine'!C1693)-1,0),0)</f>
        <v>1</v>
      </c>
      <c r="AY1682" s="1194">
        <f>VLOOKUP('Bilateral Assistance, MAIN DATA'!B1682,'Country Summary (€)'!B:F,COLUMN('Country Summary (€)'!C1694)-1,FALSE)</f>
        <v>0</v>
      </c>
      <c r="AZ1682" s="1194" t="str">
        <f>IF(AND(AD1682=1,D1682="Military",H1682&lt;&gt;"Not given")=TRUE,IF(SUMIFS(P:P,A:A,A1682)&gt;0,ABS((SUMIFS(P:P,A:A,A1682)/VLOOKUP("USD",'Exchange Rates'!B:C,2,0)))/S1682,"."),".")</f>
        <v>.</v>
      </c>
      <c r="BA1682" s="1196" t="str">
        <f>IF(AND(AD1682=1,D1682="Military",H1682&lt;&gt;"Not given")=TRUE,IF(SUMIFS(P:P,A:A,A1682)&gt;0,IF((ABS((SUMIFS(P:P,A:A,A1682)/VLOOKUP("USD",'Exchange Rates'!B:C,2,0)))/S1682)&gt;1,(SUMIFS(P:P,A:A,A1682)-S1682)/S1682,(S1682-SUMIFS(P:P,A:A,A1682))/SUMIFS(P:P,A:A,A1682)),"."),".")</f>
        <v>.</v>
      </c>
    </row>
    <row r="1683" spans="1:53" ht="15.95" customHeight="1">
      <c r="A1683" s="1208" t="s">
        <v>4284</v>
      </c>
      <c r="B1683" s="1208" t="s">
        <v>3949</v>
      </c>
      <c r="C1683" s="1220">
        <v>44862</v>
      </c>
      <c r="D1683" s="1208" t="s">
        <v>389</v>
      </c>
      <c r="E1683" s="1208" t="s">
        <v>390</v>
      </c>
      <c r="F1683" s="1263" t="s">
        <v>4293</v>
      </c>
      <c r="G1683" s="1184" t="s">
        <v>456</v>
      </c>
      <c r="H1683" s="1221">
        <v>275000000</v>
      </c>
      <c r="I1683" s="1180" t="s">
        <v>4292</v>
      </c>
      <c r="J1683" s="1186" t="str">
        <f>VLOOKUP($I1683,'Price List, Weapons &amp; Items'!B:C,2,0)</f>
        <v>Ammunition for heavy weapon</v>
      </c>
      <c r="K1683" s="1186" t="str">
        <f>IF(I1683=".",I1683,VLOOKUP($I1683,'Price List, Weapons &amp; Items'!B:D,3,0))</f>
        <v>155mm howitzer ammunition</v>
      </c>
      <c r="L1683" s="1187">
        <f>VLOOKUP(I1683,'Price List, Weapons &amp; Items'!B:E,4,0)</f>
        <v>0</v>
      </c>
      <c r="M1683" s="1188">
        <v>2000</v>
      </c>
      <c r="N1683" s="1188" t="s">
        <v>374</v>
      </c>
      <c r="O1683" s="1188">
        <f>VLOOKUP($I1683,'Price List, Weapons &amp; Items'!B:G,6,0)</f>
        <v>98000</v>
      </c>
      <c r="P1683" s="1185">
        <f t="shared" si="358"/>
        <v>196000000</v>
      </c>
      <c r="Q1683" s="1185" t="str">
        <f t="shared" si="359"/>
        <v>.</v>
      </c>
      <c r="R1683" s="1185" t="str">
        <f t="shared" si="355"/>
        <v/>
      </c>
      <c r="S1683" s="1185" t="str">
        <f>IF(AND(AD1683=1,R1683&lt;&gt;".")=TRUE,R1683/VLOOKUP(G1683,'Exchange Rates'!B:C,2,0),IF(R1683=".",".",""))</f>
        <v/>
      </c>
      <c r="T1683" s="1185" t="str">
        <f>IF(AD1683=1,IF(AF1683="Value is not given at all",".",IF(AF1683="Value is given by the source",S1683,IF(AF1683="Value is calculated with prices",(IF(SUMIFS(Q:Q,A:A,A1683)&gt;0,SUMIFS(Q:Q,A:A,A1683),"."))/VLOOKUP("USD",'Exchange Rates'!B:C,2,0),"Error with coding"))),"")</f>
        <v/>
      </c>
      <c r="U1683" s="1184" t="s">
        <v>365</v>
      </c>
      <c r="V1683" s="979" t="s">
        <v>4294</v>
      </c>
      <c r="W1683" s="983" t="s">
        <v>3978</v>
      </c>
      <c r="X1683" s="980" t="s">
        <v>3982</v>
      </c>
      <c r="Y1683" s="966" t="s">
        <v>4018</v>
      </c>
      <c r="Z1683" s="1184">
        <v>0</v>
      </c>
      <c r="AA1683" s="1194">
        <v>0</v>
      </c>
      <c r="AB1683" s="1000" t="s">
        <v>364</v>
      </c>
      <c r="AC1683" s="1192" t="str">
        <f>""</f>
        <v/>
      </c>
      <c r="AD1683" s="1193">
        <v>0</v>
      </c>
      <c r="AE1683" s="1193" t="s">
        <v>368</v>
      </c>
      <c r="AF1683" s="1193" t="s">
        <v>369</v>
      </c>
      <c r="AG1683" s="1193">
        <v>1</v>
      </c>
      <c r="AH1683" s="1193">
        <v>10</v>
      </c>
      <c r="AI1683" s="1193">
        <v>0</v>
      </c>
      <c r="AJ1683" s="1193">
        <f>VLOOKUP($I1683,'Price List, Weapons &amp; Items'!B:F,5,0)</f>
        <v>1</v>
      </c>
      <c r="AK1683" s="1193">
        <f t="shared" si="360"/>
        <v>0</v>
      </c>
      <c r="AL1683" s="1193">
        <f t="shared" si="361"/>
        <v>1</v>
      </c>
      <c r="AM1683" s="1193">
        <f t="shared" si="362"/>
        <v>0</v>
      </c>
      <c r="AN1683" s="1194" t="str">
        <f>VLOOKUP($I1683,'Price List, Weapons &amp; Items'!B:L,COLUMN('Price List, Weapons &amp; Items'!$J$11)-1,0)</f>
        <v>Government information</v>
      </c>
      <c r="AO1683" s="1194" t="str">
        <f>IF(I1683=".",".",VLOOKUP($I1683,'Price List, Weapons &amp; Items'!B:J,3,0))</f>
        <v>155mm howitzer ammunition</v>
      </c>
      <c r="AP1683" s="1195" t="str">
        <f t="shared" ca="1" si="356"/>
        <v/>
      </c>
      <c r="AQ1683" s="1194">
        <f>VLOOKUP($I1683,'Price List, Weapons &amp; Items'!B:L,COLUMN('Price List, Weapons &amp; Items'!$L$11)-1,0)</f>
        <v>2</v>
      </c>
      <c r="AR1683" s="1194">
        <f t="shared" si="363"/>
        <v>1</v>
      </c>
      <c r="AS1683" s="1194">
        <f t="shared" si="364"/>
        <v>1</v>
      </c>
      <c r="AT1683" s="1194">
        <f t="shared" si="365"/>
        <v>1</v>
      </c>
      <c r="AU1683" s="1194" t="str">
        <f t="shared" si="354"/>
        <v>.</v>
      </c>
      <c r="AV1683" s="1194" t="str">
        <f t="shared" si="357"/>
        <v>.</v>
      </c>
      <c r="AW1683" s="1194" t="str">
        <f t="shared" si="366"/>
        <v>.</v>
      </c>
      <c r="AX1683" s="1194">
        <f>IFERROR(VLOOKUP(B1683,'Share, Heavy Weapons to Ukraine'!B:Z,COLUMN('Share, Heavy Weapons to Ukraine'!C1694)-1,0),0)</f>
        <v>1</v>
      </c>
      <c r="AY1683" s="1194">
        <f>VLOOKUP('Bilateral Assistance, MAIN DATA'!B1683,'Country Summary (€)'!B:F,COLUMN('Country Summary (€)'!C1695)-1,FALSE)</f>
        <v>0</v>
      </c>
      <c r="AZ1683" s="1194" t="str">
        <f>IF(AND(AD1683=1,D1683="Military",H1683&lt;&gt;"Not given")=TRUE,IF(SUMIFS(P:P,A:A,A1683)&gt;0,ABS((SUMIFS(P:P,A:A,A1683)/VLOOKUP("USD",'Exchange Rates'!B:C,2,0)))/S1683,"."),".")</f>
        <v>.</v>
      </c>
      <c r="BA1683" s="1196" t="str">
        <f>IF(AND(AD1683=1,D1683="Military",H1683&lt;&gt;"Not given")=TRUE,IF(SUMIFS(P:P,A:A,A1683)&gt;0,IF((ABS((SUMIFS(P:P,A:A,A1683)/VLOOKUP("USD",'Exchange Rates'!B:C,2,0)))/S1683)&gt;1,(SUMIFS(P:P,A:A,A1683)-S1683)/S1683,(S1683-SUMIFS(P:P,A:A,A1683))/SUMIFS(P:P,A:A,A1683)),"."),".")</f>
        <v>.</v>
      </c>
    </row>
    <row r="1684" spans="1:53" ht="15.95" customHeight="1">
      <c r="A1684" s="1208" t="s">
        <v>4284</v>
      </c>
      <c r="B1684" s="1208" t="s">
        <v>3949</v>
      </c>
      <c r="C1684" s="1220">
        <v>44862</v>
      </c>
      <c r="D1684" s="1208" t="s">
        <v>389</v>
      </c>
      <c r="E1684" s="1208" t="s">
        <v>390</v>
      </c>
      <c r="F1684" s="1263" t="s">
        <v>4293</v>
      </c>
      <c r="G1684" s="1184" t="s">
        <v>456</v>
      </c>
      <c r="H1684" s="1221">
        <v>275000000</v>
      </c>
      <c r="I1684" s="1180" t="s">
        <v>4028</v>
      </c>
      <c r="J1684" s="1186" t="str">
        <f>VLOOKUP($I1684,'Price List, Weapons &amp; Items'!B:C,2,0)</f>
        <v>Portable defence system</v>
      </c>
      <c r="K1684" s="1186" t="str">
        <f>IF(I1684=".",I1684,VLOOKUP($I1684,'Price List, Weapons &amp; Items'!B:D,3,0))</f>
        <v>Light Anti-armor Weapon (LAW)</v>
      </c>
      <c r="L1684" s="1187">
        <f>VLOOKUP(I1684,'Price List, Weapons &amp; Items'!B:E,4,0)</f>
        <v>0</v>
      </c>
      <c r="M1684" s="1188">
        <v>1300</v>
      </c>
      <c r="N1684" s="1188" t="s">
        <v>374</v>
      </c>
      <c r="O1684" s="1188">
        <f>VLOOKUP($I1684,'Price List, Weapons &amp; Items'!B:G,6,0)</f>
        <v>78000</v>
      </c>
      <c r="P1684" s="1185">
        <f t="shared" si="358"/>
        <v>101400000</v>
      </c>
      <c r="Q1684" s="1185" t="str">
        <f t="shared" si="359"/>
        <v>.</v>
      </c>
      <c r="R1684" s="1185" t="str">
        <f t="shared" si="355"/>
        <v/>
      </c>
      <c r="S1684" s="1185" t="str">
        <f>IF(AND(AD1684=1,R1684&lt;&gt;".")=TRUE,R1684/VLOOKUP(G1684,'Exchange Rates'!B:C,2,0),IF(R1684=".",".",""))</f>
        <v/>
      </c>
      <c r="T1684" s="1185" t="str">
        <f>IF(AD1684=1,IF(AF1684="Value is not given at all",".",IF(AF1684="Value is given by the source",S1684,IF(AF1684="Value is calculated with prices",(IF(SUMIFS(Q:Q,A:A,A1684)&gt;0,SUMIFS(Q:Q,A:A,A1684),"."))/VLOOKUP("USD",'Exchange Rates'!B:C,2,0),"Error with coding"))),"")</f>
        <v/>
      </c>
      <c r="U1684" s="1184" t="s">
        <v>365</v>
      </c>
      <c r="V1684" s="979" t="s">
        <v>4294</v>
      </c>
      <c r="W1684" s="983" t="s">
        <v>3978</v>
      </c>
      <c r="X1684" s="980" t="s">
        <v>3982</v>
      </c>
      <c r="Y1684" s="966" t="s">
        <v>4020</v>
      </c>
      <c r="Z1684" s="1184">
        <v>0</v>
      </c>
      <c r="AA1684" s="1194">
        <v>0</v>
      </c>
      <c r="AB1684" s="1000" t="s">
        <v>364</v>
      </c>
      <c r="AC1684" s="1192" t="str">
        <f>""</f>
        <v/>
      </c>
      <c r="AD1684" s="1193">
        <v>0</v>
      </c>
      <c r="AE1684" s="1193" t="s">
        <v>368</v>
      </c>
      <c r="AF1684" s="1193" t="s">
        <v>369</v>
      </c>
      <c r="AG1684" s="1193">
        <v>1</v>
      </c>
      <c r="AH1684" s="1193">
        <v>10</v>
      </c>
      <c r="AI1684" s="1193">
        <v>0</v>
      </c>
      <c r="AJ1684" s="1193">
        <f>VLOOKUP($I1684,'Price List, Weapons &amp; Items'!B:F,5,0)</f>
        <v>0</v>
      </c>
      <c r="AK1684" s="1193">
        <f t="shared" si="360"/>
        <v>0</v>
      </c>
      <c r="AL1684" s="1193">
        <f t="shared" si="361"/>
        <v>0</v>
      </c>
      <c r="AM1684" s="1193">
        <f t="shared" si="362"/>
        <v>0</v>
      </c>
      <c r="AN1684" s="1194" t="str">
        <f>VLOOKUP($I1684,'Price List, Weapons &amp; Items'!B:L,COLUMN('Price List, Weapons &amp; Items'!$J$11)-1,0)</f>
        <v>Military media (incl. websites)</v>
      </c>
      <c r="AO1684" s="1194" t="str">
        <f>IF(I1684=".",".",VLOOKUP($I1684,'Price List, Weapons &amp; Items'!B:J,3,0))</f>
        <v>Light Anti-armor Weapon (LAW)</v>
      </c>
      <c r="AP1684" s="1195" t="str">
        <f t="shared" ca="1" si="356"/>
        <v/>
      </c>
      <c r="AQ1684" s="1194">
        <f>VLOOKUP($I1684,'Price List, Weapons &amp; Items'!B:L,COLUMN('Price List, Weapons &amp; Items'!$L$11)-1,0)</f>
        <v>2</v>
      </c>
      <c r="AR1684" s="1194">
        <f t="shared" si="363"/>
        <v>1</v>
      </c>
      <c r="AS1684" s="1194">
        <f t="shared" si="364"/>
        <v>1</v>
      </c>
      <c r="AT1684" s="1194">
        <f t="shared" si="365"/>
        <v>1</v>
      </c>
      <c r="AU1684" s="1194" t="str">
        <f t="shared" si="354"/>
        <v>.</v>
      </c>
      <c r="AV1684" s="1194" t="str">
        <f t="shared" si="357"/>
        <v>.</v>
      </c>
      <c r="AW1684" s="1194" t="str">
        <f t="shared" si="366"/>
        <v>.</v>
      </c>
      <c r="AX1684" s="1194">
        <f>IFERROR(VLOOKUP(B1684,'Share, Heavy Weapons to Ukraine'!B:Z,COLUMN('Share, Heavy Weapons to Ukraine'!C1695)-1,0),0)</f>
        <v>1</v>
      </c>
      <c r="AY1684" s="1194">
        <f>VLOOKUP('Bilateral Assistance, MAIN DATA'!B1684,'Country Summary (€)'!B:F,COLUMN('Country Summary (€)'!C1696)-1,FALSE)</f>
        <v>0</v>
      </c>
      <c r="AZ1684" s="1194" t="str">
        <f>IF(AND(AD1684=1,D1684="Military",H1684&lt;&gt;"Not given")=TRUE,IF(SUMIFS(P:P,A:A,A1684)&gt;0,ABS((SUMIFS(P:P,A:A,A1684)/VLOOKUP("USD",'Exchange Rates'!B:C,2,0)))/S1684,"."),".")</f>
        <v>.</v>
      </c>
      <c r="BA1684" s="1196" t="str">
        <f>IF(AND(AD1684=1,D1684="Military",H1684&lt;&gt;"Not given")=TRUE,IF(SUMIFS(P:P,A:A,A1684)&gt;0,IF((ABS((SUMIFS(P:P,A:A,A1684)/VLOOKUP("USD",'Exchange Rates'!B:C,2,0)))/S1684)&gt;1,(SUMIFS(P:P,A:A,A1684)-S1684)/S1684,(S1684-SUMIFS(P:P,A:A,A1684))/SUMIFS(P:P,A:A,A1684)),"."),".")</f>
        <v>.</v>
      </c>
    </row>
    <row r="1685" spans="1:53" ht="15.95" customHeight="1">
      <c r="A1685" s="1208" t="s">
        <v>4284</v>
      </c>
      <c r="B1685" s="1208" t="s">
        <v>3949</v>
      </c>
      <c r="C1685" s="1220">
        <v>44862</v>
      </c>
      <c r="D1685" s="1208" t="s">
        <v>389</v>
      </c>
      <c r="E1685" s="1208" t="s">
        <v>390</v>
      </c>
      <c r="F1685" s="1263" t="s">
        <v>4293</v>
      </c>
      <c r="G1685" s="1184" t="s">
        <v>456</v>
      </c>
      <c r="H1685" s="1221">
        <v>275000000</v>
      </c>
      <c r="I1685" s="1180" t="s">
        <v>4031</v>
      </c>
      <c r="J1685" s="1186" t="str">
        <f>VLOOKUP($I1685,'Price List, Weapons &amp; Items'!B:C,2,0)</f>
        <v>Heavy weapon</v>
      </c>
      <c r="K1685" s="1186" t="str">
        <f>IF(I1685=".",I1685,VLOOKUP($I1685,'Price List, Weapons &amp; Items'!B:D,3,0))</f>
        <v>Armored Utility Vehicle (AUV)</v>
      </c>
      <c r="L1685" s="1187">
        <f>VLOOKUP(I1685,'Price List, Weapons &amp; Items'!B:E,4,0)</f>
        <v>0</v>
      </c>
      <c r="M1685" s="1188">
        <v>125</v>
      </c>
      <c r="N1685" s="1188" t="s">
        <v>374</v>
      </c>
      <c r="O1685" s="1188">
        <f>VLOOKUP($I1685,'Price List, Weapons &amp; Items'!B:G,6,0)</f>
        <v>254717</v>
      </c>
      <c r="P1685" s="1185">
        <f t="shared" si="358"/>
        <v>31839625</v>
      </c>
      <c r="Q1685" s="1185" t="str">
        <f t="shared" si="359"/>
        <v>.</v>
      </c>
      <c r="R1685" s="1185" t="str">
        <f t="shared" si="355"/>
        <v/>
      </c>
      <c r="S1685" s="1185" t="str">
        <f>IF(AND(AD1685=1,R1685&lt;&gt;".")=TRUE,R1685/VLOOKUP(G1685,'Exchange Rates'!B:C,2,0),IF(R1685=".",".",""))</f>
        <v/>
      </c>
      <c r="T1685" s="1185" t="str">
        <f>IF(AD1685=1,IF(AF1685="Value is not given at all",".",IF(AF1685="Value is given by the source",S1685,IF(AF1685="Value is calculated with prices",(IF(SUMIFS(Q:Q,A:A,A1685)&gt;0,SUMIFS(Q:Q,A:A,A1685),"."))/VLOOKUP("USD",'Exchange Rates'!B:C,2,0),"Error with coding"))),"")</f>
        <v/>
      </c>
      <c r="U1685" s="1184" t="s">
        <v>365</v>
      </c>
      <c r="V1685" s="979" t="s">
        <v>4294</v>
      </c>
      <c r="W1685" s="983" t="s">
        <v>3978</v>
      </c>
      <c r="X1685" s="980" t="s">
        <v>3982</v>
      </c>
      <c r="Y1685" s="966" t="s">
        <v>4021</v>
      </c>
      <c r="Z1685" s="1184">
        <v>0</v>
      </c>
      <c r="AA1685" s="1194">
        <v>0</v>
      </c>
      <c r="AB1685" s="1000" t="s">
        <v>364</v>
      </c>
      <c r="AC1685" s="1192" t="str">
        <f>""</f>
        <v/>
      </c>
      <c r="AD1685" s="1193">
        <v>0</v>
      </c>
      <c r="AE1685" s="1193" t="s">
        <v>368</v>
      </c>
      <c r="AF1685" s="1193" t="s">
        <v>369</v>
      </c>
      <c r="AG1685" s="1193">
        <v>1</v>
      </c>
      <c r="AH1685" s="1193">
        <v>10</v>
      </c>
      <c r="AI1685" s="1193">
        <v>0</v>
      </c>
      <c r="AJ1685" s="1193">
        <f>VLOOKUP($I1685,'Price List, Weapons &amp; Items'!B:F,5,0)</f>
        <v>1</v>
      </c>
      <c r="AK1685" s="1193">
        <f t="shared" si="360"/>
        <v>0</v>
      </c>
      <c r="AL1685" s="1193">
        <f t="shared" si="361"/>
        <v>1</v>
      </c>
      <c r="AM1685" s="1193">
        <f t="shared" si="362"/>
        <v>0</v>
      </c>
      <c r="AN1685" s="1194" t="str">
        <f>VLOOKUP($I1685,'Price List, Weapons &amp; Items'!B:L,COLUMN('Price List, Weapons &amp; Items'!$J$11)-1,0)</f>
        <v>Military media (incl. websites)</v>
      </c>
      <c r="AO1685" s="1194" t="str">
        <f>IF(I1685=".",".",VLOOKUP($I1685,'Price List, Weapons &amp; Items'!B:J,3,0))</f>
        <v>Armored Utility Vehicle (AUV)</v>
      </c>
      <c r="AP1685" s="1195" t="str">
        <f t="shared" ca="1" si="356"/>
        <v/>
      </c>
      <c r="AQ1685" s="1194">
        <f>VLOOKUP($I1685,'Price List, Weapons &amp; Items'!B:L,COLUMN('Price List, Weapons &amp; Items'!$L$11)-1,0)</f>
        <v>2</v>
      </c>
      <c r="AR1685" s="1194">
        <f t="shared" si="363"/>
        <v>1</v>
      </c>
      <c r="AS1685" s="1194">
        <f t="shared" si="364"/>
        <v>1</v>
      </c>
      <c r="AT1685" s="1194">
        <f t="shared" si="365"/>
        <v>1</v>
      </c>
      <c r="AU1685" s="1194" t="str">
        <f t="shared" si="354"/>
        <v>.</v>
      </c>
      <c r="AV1685" s="1194" t="str">
        <f t="shared" si="357"/>
        <v>.</v>
      </c>
      <c r="AW1685" s="1194" t="str">
        <f t="shared" si="366"/>
        <v>.</v>
      </c>
      <c r="AX1685" s="1194">
        <f>IFERROR(VLOOKUP(B1685,'Share, Heavy Weapons to Ukraine'!B:Z,COLUMN('Share, Heavy Weapons to Ukraine'!C1696)-1,0),0)</f>
        <v>1</v>
      </c>
      <c r="AY1685" s="1194">
        <f>VLOOKUP('Bilateral Assistance, MAIN DATA'!B1685,'Country Summary (€)'!B:F,COLUMN('Country Summary (€)'!C1697)-1,FALSE)</f>
        <v>0</v>
      </c>
      <c r="AZ1685" s="1194" t="str">
        <f>IF(AND(AD1685=1,D1685="Military",H1685&lt;&gt;"Not given")=TRUE,IF(SUMIFS(P:P,A:A,A1685)&gt;0,ABS((SUMIFS(P:P,A:A,A1685)/VLOOKUP("USD",'Exchange Rates'!B:C,2,0)))/S1685,"."),".")</f>
        <v>.</v>
      </c>
      <c r="BA1685" s="1196" t="str">
        <f>IF(AND(AD1685=1,D1685="Military",H1685&lt;&gt;"Not given")=TRUE,IF(SUMIFS(P:P,A:A,A1685)&gt;0,IF((ABS((SUMIFS(P:P,A:A,A1685)/VLOOKUP("USD",'Exchange Rates'!B:C,2,0)))/S1685)&gt;1,(SUMIFS(P:P,A:A,A1685)-S1685)/S1685,(S1685-SUMIFS(P:P,A:A,A1685))/SUMIFS(P:P,A:A,A1685)),"."),".")</f>
        <v>.</v>
      </c>
    </row>
    <row r="1686" spans="1:53" ht="15.95" customHeight="1">
      <c r="A1686" s="1208" t="s">
        <v>4284</v>
      </c>
      <c r="B1686" s="1208" t="s">
        <v>3949</v>
      </c>
      <c r="C1686" s="1220">
        <v>44862</v>
      </c>
      <c r="D1686" s="1208" t="s">
        <v>389</v>
      </c>
      <c r="E1686" s="1208" t="s">
        <v>390</v>
      </c>
      <c r="F1686" s="1263" t="s">
        <v>4293</v>
      </c>
      <c r="G1686" s="1184" t="s">
        <v>456</v>
      </c>
      <c r="H1686" s="1221">
        <v>275000000</v>
      </c>
      <c r="I1686" s="1180" t="s">
        <v>2025</v>
      </c>
      <c r="J1686" s="1186" t="str">
        <f>VLOOKUP($I1686,'Price List, Weapons &amp; Items'!B:C,2,0)</f>
        <v>Ammunition for light infantry</v>
      </c>
      <c r="K1686" s="1186" t="str">
        <f>IF(I1686=".",I1686,VLOOKUP($I1686,'Price List, Weapons &amp; Items'!B:D,3,0))</f>
        <v>Small Arms and Light Weapons (SALW) ammunition</v>
      </c>
      <c r="L1686" s="1187">
        <f>VLOOKUP(I1686,'Price List, Weapons &amp; Items'!B:E,4,0)</f>
        <v>0</v>
      </c>
      <c r="M1686" s="1188">
        <v>2750000</v>
      </c>
      <c r="N1686" s="1188" t="s">
        <v>374</v>
      </c>
      <c r="O1686" s="1188">
        <f>VLOOKUP($I1686,'Price List, Weapons &amp; Items'!B:G,6,0)</f>
        <v>0.47</v>
      </c>
      <c r="P1686" s="1185">
        <f t="shared" si="358"/>
        <v>1292500</v>
      </c>
      <c r="Q1686" s="1185" t="str">
        <f t="shared" si="359"/>
        <v>.</v>
      </c>
      <c r="R1686" s="1185" t="str">
        <f t="shared" si="355"/>
        <v/>
      </c>
      <c r="S1686" s="1185" t="str">
        <f>IF(AND(AD1686=1,R1686&lt;&gt;".")=TRUE,R1686/VLOOKUP(G1686,'Exchange Rates'!B:C,2,0),IF(R1686=".",".",""))</f>
        <v/>
      </c>
      <c r="T1686" s="1185" t="str">
        <f>IF(AD1686=1,IF(AF1686="Value is not given at all",".",IF(AF1686="Value is given by the source",S1686,IF(AF1686="Value is calculated with prices",(IF(SUMIFS(Q:Q,A:A,A1686)&gt;0,SUMIFS(Q:Q,A:A,A1686),"."))/VLOOKUP("USD",'Exchange Rates'!B:C,2,0),"Error with coding"))),"")</f>
        <v/>
      </c>
      <c r="U1686" s="1184" t="s">
        <v>365</v>
      </c>
      <c r="V1686" s="979" t="s">
        <v>4294</v>
      </c>
      <c r="W1686" s="983" t="s">
        <v>3978</v>
      </c>
      <c r="X1686" s="980" t="s">
        <v>3982</v>
      </c>
      <c r="Y1686" s="966" t="s">
        <v>4022</v>
      </c>
      <c r="Z1686" s="1184">
        <v>0</v>
      </c>
      <c r="AA1686" s="1194">
        <v>0</v>
      </c>
      <c r="AB1686" s="1000" t="s">
        <v>364</v>
      </c>
      <c r="AC1686" s="1192" t="str">
        <f>""</f>
        <v/>
      </c>
      <c r="AD1686" s="1193">
        <v>0</v>
      </c>
      <c r="AE1686" s="1193" t="s">
        <v>368</v>
      </c>
      <c r="AF1686" s="1193" t="s">
        <v>369</v>
      </c>
      <c r="AG1686" s="1193">
        <v>1</v>
      </c>
      <c r="AH1686" s="1193">
        <v>10</v>
      </c>
      <c r="AI1686" s="1193">
        <v>0</v>
      </c>
      <c r="AJ1686" s="1193">
        <f>VLOOKUP($I1686,'Price List, Weapons &amp; Items'!B:F,5,0)</f>
        <v>0</v>
      </c>
      <c r="AK1686" s="1193">
        <f t="shared" si="360"/>
        <v>0</v>
      </c>
      <c r="AL1686" s="1193">
        <f t="shared" si="361"/>
        <v>0</v>
      </c>
      <c r="AM1686" s="1193">
        <f t="shared" si="362"/>
        <v>1</v>
      </c>
      <c r="AN1686" s="1194" t="str">
        <f>VLOOKUP($I1686,'Price List, Weapons &amp; Items'!B:L,COLUMN('Price List, Weapons &amp; Items'!$J$11)-1,0)</f>
        <v>Miscellaneous</v>
      </c>
      <c r="AO1686" s="1194" t="str">
        <f>IF(I1686=".",".",VLOOKUP($I1686,'Price List, Weapons &amp; Items'!B:J,3,0))</f>
        <v>Small Arms and Light Weapons (SALW) ammunition</v>
      </c>
      <c r="AP1686" s="1195" t="str">
        <f t="shared" ca="1" si="356"/>
        <v/>
      </c>
      <c r="AQ1686" s="1194">
        <f>VLOOKUP($I1686,'Price List, Weapons &amp; Items'!B:L,COLUMN('Price List, Weapons &amp; Items'!$L$11)-1,0)</f>
        <v>2</v>
      </c>
      <c r="AR1686" s="1194">
        <f t="shared" si="363"/>
        <v>1</v>
      </c>
      <c r="AS1686" s="1194">
        <f t="shared" si="364"/>
        <v>1</v>
      </c>
      <c r="AT1686" s="1194">
        <f t="shared" si="365"/>
        <v>1</v>
      </c>
      <c r="AU1686" s="1194" t="str">
        <f t="shared" si="354"/>
        <v>.</v>
      </c>
      <c r="AV1686" s="1194" t="str">
        <f t="shared" si="357"/>
        <v>.</v>
      </c>
      <c r="AW1686" s="1194" t="str">
        <f t="shared" si="366"/>
        <v>.</v>
      </c>
      <c r="AX1686" s="1194">
        <f>IFERROR(VLOOKUP(B1686,'Share, Heavy Weapons to Ukraine'!B:Z,COLUMN('Share, Heavy Weapons to Ukraine'!C1697)-1,0),0)</f>
        <v>1</v>
      </c>
      <c r="AY1686" s="1194">
        <f>VLOOKUP('Bilateral Assistance, MAIN DATA'!B1686,'Country Summary (€)'!B:F,COLUMN('Country Summary (€)'!C1698)-1,FALSE)</f>
        <v>0</v>
      </c>
      <c r="AZ1686" s="1194" t="str">
        <f>IF(AND(AD1686=1,D1686="Military",H1686&lt;&gt;"Not given")=TRUE,IF(SUMIFS(P:P,A:A,A1686)&gt;0,ABS((SUMIFS(P:P,A:A,A1686)/VLOOKUP("USD",'Exchange Rates'!B:C,2,0)))/S1686,"."),".")</f>
        <v>.</v>
      </c>
      <c r="BA1686" s="1196" t="str">
        <f>IF(AND(AD1686=1,D1686="Military",H1686&lt;&gt;"Not given")=TRUE,IF(SUMIFS(P:P,A:A,A1686)&gt;0,IF((ABS((SUMIFS(P:P,A:A,A1686)/VLOOKUP("USD",'Exchange Rates'!B:C,2,0)))/S1686)&gt;1,(SUMIFS(P:P,A:A,A1686)-S1686)/S1686,(S1686-SUMIFS(P:P,A:A,A1686))/SUMIFS(P:P,A:A,A1686)),"."),".")</f>
        <v>.</v>
      </c>
    </row>
    <row r="1687" spans="1:53" ht="15.95" customHeight="1">
      <c r="A1687" s="1208" t="s">
        <v>4284</v>
      </c>
      <c r="B1687" s="1208" t="s">
        <v>3949</v>
      </c>
      <c r="C1687" s="1220">
        <v>44862</v>
      </c>
      <c r="D1687" s="1208" t="s">
        <v>389</v>
      </c>
      <c r="E1687" s="1208" t="s">
        <v>390</v>
      </c>
      <c r="F1687" s="1263" t="s">
        <v>4293</v>
      </c>
      <c r="G1687" s="1184" t="s">
        <v>456</v>
      </c>
      <c r="H1687" s="1221">
        <v>275000000</v>
      </c>
      <c r="I1687" s="1180" t="s">
        <v>4295</v>
      </c>
      <c r="J1687" s="1186" t="str">
        <f>VLOOKUP($I1687,'Price List, Weapons &amp; Items'!B:C,2,0)</f>
        <v>Military equipment</v>
      </c>
      <c r="K1687" s="1186" t="str">
        <f>IF(I1687=".",I1687,VLOOKUP($I1687,'Price List, Weapons &amp; Items'!B:D,3,0))</f>
        <v>Military equipment</v>
      </c>
      <c r="L1687" s="1187">
        <f>VLOOKUP(I1687,'Price List, Weapons &amp; Items'!B:E,4,0)</f>
        <v>0</v>
      </c>
      <c r="M1687" s="1188">
        <v>4</v>
      </c>
      <c r="N1687" s="1188" t="s">
        <v>374</v>
      </c>
      <c r="O1687" s="1188" t="str">
        <f>VLOOKUP($I1687,'Price List, Weapons &amp; Items'!B:G,6,0)</f>
        <v>.</v>
      </c>
      <c r="P1687" s="1185" t="str">
        <f t="shared" si="358"/>
        <v>No price</v>
      </c>
      <c r="Q1687" s="1185" t="str">
        <f t="shared" si="359"/>
        <v>.</v>
      </c>
      <c r="R1687" s="1185" t="str">
        <f t="shared" si="355"/>
        <v/>
      </c>
      <c r="S1687" s="1185" t="str">
        <f>IF(AND(AD1687=1,R1687&lt;&gt;".")=TRUE,R1687/VLOOKUP(G1687,'Exchange Rates'!B:C,2,0),IF(R1687=".",".",""))</f>
        <v/>
      </c>
      <c r="T1687" s="1185" t="str">
        <f>IF(AD1687=1,IF(AF1687="Value is not given at all",".",IF(AF1687="Value is given by the source",S1687,IF(AF1687="Value is calculated with prices",(IF(SUMIFS(Q:Q,A:A,A1687)&gt;0,SUMIFS(Q:Q,A:A,A1687),"."))/VLOOKUP("USD",'Exchange Rates'!B:C,2,0),"Error with coding"))),"")</f>
        <v/>
      </c>
      <c r="U1687" s="1184" t="s">
        <v>365</v>
      </c>
      <c r="V1687" s="979" t="s">
        <v>4294</v>
      </c>
      <c r="W1687" s="983" t="s">
        <v>3978</v>
      </c>
      <c r="X1687" s="980" t="s">
        <v>3982</v>
      </c>
      <c r="Y1687" s="966" t="s">
        <v>4024</v>
      </c>
      <c r="Z1687" s="1184">
        <v>0</v>
      </c>
      <c r="AA1687" s="1194">
        <v>0</v>
      </c>
      <c r="AB1687" s="1000" t="s">
        <v>364</v>
      </c>
      <c r="AC1687" s="1192" t="str">
        <f>""</f>
        <v/>
      </c>
      <c r="AD1687" s="1193">
        <v>0</v>
      </c>
      <c r="AE1687" s="1193" t="s">
        <v>368</v>
      </c>
      <c r="AF1687" s="1193" t="s">
        <v>369</v>
      </c>
      <c r="AG1687" s="1193">
        <v>1</v>
      </c>
      <c r="AH1687" s="1193">
        <v>10</v>
      </c>
      <c r="AI1687" s="1193">
        <v>0</v>
      </c>
      <c r="AJ1687" s="1193">
        <f>VLOOKUP($I1687,'Price List, Weapons &amp; Items'!B:F,5,0)</f>
        <v>0</v>
      </c>
      <c r="AK1687" s="1193">
        <f t="shared" si="360"/>
        <v>0</v>
      </c>
      <c r="AL1687" s="1193">
        <f t="shared" si="361"/>
        <v>0</v>
      </c>
      <c r="AM1687" s="1193">
        <f t="shared" si="362"/>
        <v>0</v>
      </c>
      <c r="AN1687" s="1194" t="str">
        <f>VLOOKUP($I1687,'Price List, Weapons &amp; Items'!B:L,COLUMN('Price List, Weapons &amp; Items'!$J$11)-1,0)</f>
        <v>.</v>
      </c>
      <c r="AO1687" s="1194" t="str">
        <f>IF(I1687=".",".",VLOOKUP($I1687,'Price List, Weapons &amp; Items'!B:J,3,0))</f>
        <v>Military equipment</v>
      </c>
      <c r="AP1687" s="1195" t="str">
        <f t="shared" ca="1" si="356"/>
        <v/>
      </c>
      <c r="AQ1687" s="1194">
        <f>VLOOKUP($I1687,'Price List, Weapons &amp; Items'!B:L,COLUMN('Price List, Weapons &amp; Items'!$L$11)-1,0)</f>
        <v>0</v>
      </c>
      <c r="AR1687" s="1194">
        <f t="shared" si="363"/>
        <v>1</v>
      </c>
      <c r="AS1687" s="1194">
        <f t="shared" si="364"/>
        <v>1</v>
      </c>
      <c r="AT1687" s="1194">
        <f t="shared" si="365"/>
        <v>1</v>
      </c>
      <c r="AU1687" s="1194" t="str">
        <f t="shared" si="354"/>
        <v>.</v>
      </c>
      <c r="AV1687" s="1194" t="str">
        <f t="shared" si="357"/>
        <v>.</v>
      </c>
      <c r="AW1687" s="1194" t="str">
        <f t="shared" si="366"/>
        <v>.</v>
      </c>
      <c r="AX1687" s="1194">
        <f>IFERROR(VLOOKUP(B1687,'Share, Heavy Weapons to Ukraine'!B:Z,COLUMN('Share, Heavy Weapons to Ukraine'!C1698)-1,0),0)</f>
        <v>1</v>
      </c>
      <c r="AY1687" s="1194">
        <f>VLOOKUP('Bilateral Assistance, MAIN DATA'!B1687,'Country Summary (€)'!B:F,COLUMN('Country Summary (€)'!C1699)-1,FALSE)</f>
        <v>0</v>
      </c>
      <c r="AZ1687" s="1194" t="str">
        <f>IF(AND(AD1687=1,D1687="Military",H1687&lt;&gt;"Not given")=TRUE,IF(SUMIFS(P:P,A:A,A1687)&gt;0,ABS((SUMIFS(P:P,A:A,A1687)/VLOOKUP("USD",'Exchange Rates'!B:C,2,0)))/S1687,"."),".")</f>
        <v>.</v>
      </c>
      <c r="BA1687" s="1196" t="str">
        <f>IF(AND(AD1687=1,D1687="Military",H1687&lt;&gt;"Not given")=TRUE,IF(SUMIFS(P:P,A:A,A1687)&gt;0,IF((ABS((SUMIFS(P:P,A:A,A1687)/VLOOKUP("USD",'Exchange Rates'!B:C,2,0)))/S1687)&gt;1,(SUMIFS(P:P,A:A,A1687)-S1687)/S1687,(S1687-SUMIFS(P:P,A:A,A1687))/SUMIFS(P:P,A:A,A1687)),"."),".")</f>
        <v>.</v>
      </c>
    </row>
    <row r="1688" spans="1:53" ht="15.95" customHeight="1">
      <c r="A1688" s="1208" t="s">
        <v>4284</v>
      </c>
      <c r="B1688" s="1208" t="s">
        <v>3949</v>
      </c>
      <c r="C1688" s="1220">
        <v>44875</v>
      </c>
      <c r="D1688" s="1208" t="s">
        <v>389</v>
      </c>
      <c r="E1688" s="1208" t="s">
        <v>390</v>
      </c>
      <c r="F1688" s="1263" t="s">
        <v>4296</v>
      </c>
      <c r="G1688" s="1184" t="s">
        <v>456</v>
      </c>
      <c r="H1688" s="1221">
        <v>400000000</v>
      </c>
      <c r="I1688" s="1180" t="s">
        <v>3629</v>
      </c>
      <c r="J1688" s="1186" t="str">
        <f>VLOOKUP($I1688,'Price List, Weapons &amp; Items'!B:C,2,0)</f>
        <v>Ammunition for heavy weapon</v>
      </c>
      <c r="K1688" s="1186" t="str">
        <f>IF(I1688=".",I1688,VLOOKUP($I1688,'Price List, Weapons &amp; Items'!B:D,3,0))</f>
        <v>Surface-to-air missile (SAM)</v>
      </c>
      <c r="L1688" s="1187">
        <f>VLOOKUP(I1688,'Price List, Weapons &amp; Items'!B:E,4,0)</f>
        <v>0</v>
      </c>
      <c r="M1688" s="1188" t="s">
        <v>374</v>
      </c>
      <c r="N1688" s="1188" t="s">
        <v>374</v>
      </c>
      <c r="O1688" s="1188">
        <f>VLOOKUP($I1688,'Price List, Weapons &amp; Items'!B:G,6,0)</f>
        <v>97800</v>
      </c>
      <c r="P1688" s="1185" t="str">
        <f t="shared" si="358"/>
        <v>.</v>
      </c>
      <c r="Q1688" s="1185" t="str">
        <f t="shared" si="359"/>
        <v>.</v>
      </c>
      <c r="R1688" s="1185" t="str">
        <f t="shared" si="355"/>
        <v/>
      </c>
      <c r="S1688" s="1185" t="str">
        <f>IF(AND(AD1688=1,R1688&lt;&gt;".")=TRUE,R1688/VLOOKUP(G1688,'Exchange Rates'!B:C,2,0),IF(R1688=".",".",""))</f>
        <v/>
      </c>
      <c r="T1688" s="1185" t="str">
        <f>IF(AD1688=1,IF(AF1688="Value is not given at all",".",IF(AF1688="Value is given by the source",S1688,IF(AF1688="Value is calculated with prices",(IF(SUMIFS(Q:Q,A:A,A1688)&gt;0,SUMIFS(Q:Q,A:A,A1688),"."))/VLOOKUP("USD",'Exchange Rates'!B:C,2,0),"Error with coding"))),"")</f>
        <v/>
      </c>
      <c r="U1688" s="1184" t="s">
        <v>365</v>
      </c>
      <c r="V1688" s="979" t="s">
        <v>4297</v>
      </c>
      <c r="W1688" s="983" t="s">
        <v>3978</v>
      </c>
      <c r="X1688" s="980" t="s">
        <v>3982</v>
      </c>
      <c r="Y1688" s="966" t="s">
        <v>4026</v>
      </c>
      <c r="Z1688" s="1184">
        <v>0</v>
      </c>
      <c r="AA1688" s="1194">
        <v>0</v>
      </c>
      <c r="AB1688" s="1000" t="s">
        <v>364</v>
      </c>
      <c r="AC1688" s="1192" t="str">
        <f>""</f>
        <v/>
      </c>
      <c r="AD1688" s="1193">
        <v>0</v>
      </c>
      <c r="AE1688" s="1193" t="s">
        <v>368</v>
      </c>
      <c r="AF1688" s="1193" t="s">
        <v>369</v>
      </c>
      <c r="AG1688" s="1193">
        <v>1</v>
      </c>
      <c r="AH1688" s="1193">
        <v>11</v>
      </c>
      <c r="AI1688" s="1193">
        <v>0</v>
      </c>
      <c r="AJ1688" s="1193">
        <f>VLOOKUP($I1688,'Price List, Weapons &amp; Items'!B:F,5,0)</f>
        <v>0</v>
      </c>
      <c r="AK1688" s="1193">
        <f t="shared" si="360"/>
        <v>0</v>
      </c>
      <c r="AL1688" s="1193">
        <f t="shared" si="361"/>
        <v>0</v>
      </c>
      <c r="AM1688" s="1193">
        <f t="shared" si="362"/>
        <v>0</v>
      </c>
      <c r="AN1688" s="1194" t="str">
        <f>VLOOKUP($I1688,'Price List, Weapons &amp; Items'!B:L,COLUMN('Price List, Weapons &amp; Items'!$J$11)-1,0)</f>
        <v>Government information</v>
      </c>
      <c r="AO1688" s="1194" t="str">
        <f>IF(I1688=".",".",VLOOKUP($I1688,'Price List, Weapons &amp; Items'!B:J,3,0))</f>
        <v>Surface-to-air missile (SAM)</v>
      </c>
      <c r="AP1688" s="1195" t="str">
        <f t="shared" ca="1" si="356"/>
        <v/>
      </c>
      <c r="AQ1688" s="1194" t="str">
        <f>VLOOKUP($I1688,'Price List, Weapons &amp; Items'!B:L,COLUMN('Price List, Weapons &amp; Items'!$L$11)-1,0)</f>
        <v>no price, 0 count</v>
      </c>
      <c r="AR1688" s="1194">
        <f t="shared" si="363"/>
        <v>1</v>
      </c>
      <c r="AS1688" s="1194">
        <f t="shared" si="364"/>
        <v>1</v>
      </c>
      <c r="AT1688" s="1194">
        <f t="shared" si="365"/>
        <v>1</v>
      </c>
      <c r="AU1688" s="1194" t="str">
        <f t="shared" si="354"/>
        <v>.</v>
      </c>
      <c r="AV1688" s="1194" t="str">
        <f t="shared" si="357"/>
        <v>.</v>
      </c>
      <c r="AW1688" s="1194" t="str">
        <f t="shared" si="366"/>
        <v>.</v>
      </c>
      <c r="AX1688" s="1194">
        <f>IFERROR(VLOOKUP(B1688,'Share, Heavy Weapons to Ukraine'!B:Z,COLUMN('Share, Heavy Weapons to Ukraine'!C1699)-1,0),0)</f>
        <v>1</v>
      </c>
      <c r="AY1688" s="1194">
        <f>VLOOKUP('Bilateral Assistance, MAIN DATA'!B1688,'Country Summary (€)'!B:F,COLUMN('Country Summary (€)'!C1700)-1,FALSE)</f>
        <v>0</v>
      </c>
      <c r="AZ1688" s="1194" t="str">
        <f>IF(AND(AD1688=1,D1688="Military",H1688&lt;&gt;"Not given")=TRUE,IF(SUMIFS(P:P,A:A,A1688)&gt;0,ABS((SUMIFS(P:P,A:A,A1688)/VLOOKUP("USD",'Exchange Rates'!B:C,2,0)))/S1688,"."),".")</f>
        <v>.</v>
      </c>
      <c r="BA1688" s="1196" t="str">
        <f>IF(AND(AD1688=1,D1688="Military",H1688&lt;&gt;"Not given")=TRUE,IF(SUMIFS(P:P,A:A,A1688)&gt;0,IF((ABS((SUMIFS(P:P,A:A,A1688)/VLOOKUP("USD",'Exchange Rates'!B:C,2,0)))/S1688)&gt;1,(SUMIFS(P:P,A:A,A1688)-S1688)/S1688,(S1688-SUMIFS(P:P,A:A,A1688))/SUMIFS(P:P,A:A,A1688)),"."),".")</f>
        <v>.</v>
      </c>
    </row>
    <row r="1689" spans="1:53" ht="15.95" customHeight="1">
      <c r="A1689" s="1208" t="s">
        <v>4284</v>
      </c>
      <c r="B1689" s="1208" t="s">
        <v>3949</v>
      </c>
      <c r="C1689" s="1220">
        <v>44875</v>
      </c>
      <c r="D1689" s="1208" t="s">
        <v>389</v>
      </c>
      <c r="E1689" s="1208" t="s">
        <v>390</v>
      </c>
      <c r="F1689" s="1263" t="s">
        <v>4296</v>
      </c>
      <c r="G1689" s="1184" t="s">
        <v>456</v>
      </c>
      <c r="H1689" s="1221">
        <v>400000000</v>
      </c>
      <c r="I1689" s="1180" t="s">
        <v>4298</v>
      </c>
      <c r="J1689" s="1186" t="str">
        <f>VLOOKUP($I1689,'Price List, Weapons &amp; Items'!B:C,2,0)</f>
        <v>Heavy weapon</v>
      </c>
      <c r="K1689" s="1186" t="str">
        <f>IF(I1689=".",I1689,VLOOKUP($I1689,'Price List, Weapons &amp; Items'!B:D,3,0))</f>
        <v>Anti-aircraft surface-to-air missile (SAM) system (point-defense)</v>
      </c>
      <c r="L1689" s="1187">
        <f>VLOOKUP(I1689,'Price List, Weapons &amp; Items'!B:E,4,0)</f>
        <v>0</v>
      </c>
      <c r="M1689" s="1188">
        <v>4</v>
      </c>
      <c r="N1689" s="1188" t="s">
        <v>374</v>
      </c>
      <c r="O1689" s="1188">
        <f>VLOOKUP($I1689,'Price List, Weapons &amp; Items'!B:G,6,0)</f>
        <v>1866185.221792896</v>
      </c>
      <c r="P1689" s="1185">
        <f t="shared" si="358"/>
        <v>7464740.8871715842</v>
      </c>
      <c r="Q1689" s="1185" t="str">
        <f t="shared" si="359"/>
        <v>.</v>
      </c>
      <c r="R1689" s="1185" t="str">
        <f t="shared" si="355"/>
        <v/>
      </c>
      <c r="S1689" s="1185" t="str">
        <f>IF(AND(AD1689=1,R1689&lt;&gt;".")=TRUE,R1689/VLOOKUP(G1689,'Exchange Rates'!B:C,2,0),IF(R1689=".",".",""))</f>
        <v/>
      </c>
      <c r="T1689" s="1185" t="str">
        <f>IF(AD1689=1,IF(AF1689="Value is not given at all",".",IF(AF1689="Value is given by the source",S1689,IF(AF1689="Value is calculated with prices",(IF(SUMIFS(Q:Q,A:A,A1689)&gt;0,SUMIFS(Q:Q,A:A,A1689),"."))/VLOOKUP("USD",'Exchange Rates'!B:C,2,0),"Error with coding"))),"")</f>
        <v/>
      </c>
      <c r="U1689" s="1184" t="s">
        <v>365</v>
      </c>
      <c r="V1689" s="979" t="s">
        <v>4297</v>
      </c>
      <c r="W1689" s="983" t="s">
        <v>3978</v>
      </c>
      <c r="X1689" s="980" t="s">
        <v>3982</v>
      </c>
      <c r="Y1689" s="966" t="s">
        <v>4027</v>
      </c>
      <c r="Z1689" s="1184">
        <v>0</v>
      </c>
      <c r="AA1689" s="1194">
        <v>0</v>
      </c>
      <c r="AB1689" s="982" t="s">
        <v>4299</v>
      </c>
      <c r="AC1689" s="1192" t="str">
        <f>""</f>
        <v/>
      </c>
      <c r="AD1689" s="1193">
        <v>0</v>
      </c>
      <c r="AE1689" s="1193" t="s">
        <v>368</v>
      </c>
      <c r="AF1689" s="1193" t="s">
        <v>369</v>
      </c>
      <c r="AG1689" s="1193">
        <v>1</v>
      </c>
      <c r="AH1689" s="1193">
        <v>11</v>
      </c>
      <c r="AI1689" s="1193">
        <v>0</v>
      </c>
      <c r="AJ1689" s="1193">
        <f>VLOOKUP($I1689,'Price List, Weapons &amp; Items'!B:F,5,0)</f>
        <v>0</v>
      </c>
      <c r="AK1689" s="1193">
        <f t="shared" si="360"/>
        <v>0</v>
      </c>
      <c r="AL1689" s="1193">
        <f t="shared" si="361"/>
        <v>0</v>
      </c>
      <c r="AM1689" s="1193">
        <f t="shared" si="362"/>
        <v>0</v>
      </c>
      <c r="AN1689" s="1194" t="str">
        <f>VLOOKUP($I1689,'Price List, Weapons &amp; Items'!B:L,COLUMN('Price List, Weapons &amp; Items'!$J$11)-1,0)</f>
        <v>Contracts</v>
      </c>
      <c r="AO1689" s="1194" t="str">
        <f>IF(I1689=".",".",VLOOKUP($I1689,'Price List, Weapons &amp; Items'!B:J,3,0))</f>
        <v>Anti-aircraft surface-to-air missile (SAM) system (point-defense)</v>
      </c>
      <c r="AP1689" s="1195" t="str">
        <f t="shared" ca="1" si="356"/>
        <v/>
      </c>
      <c r="AQ1689" s="1194">
        <f>VLOOKUP($I1689,'Price List, Weapons &amp; Items'!B:L,COLUMN('Price List, Weapons &amp; Items'!$L$11)-1,0)</f>
        <v>2</v>
      </c>
      <c r="AR1689" s="1194">
        <f t="shared" si="363"/>
        <v>1</v>
      </c>
      <c r="AS1689" s="1194">
        <f t="shared" si="364"/>
        <v>1</v>
      </c>
      <c r="AT1689" s="1194">
        <f t="shared" si="365"/>
        <v>1</v>
      </c>
      <c r="AU1689" s="1194" t="str">
        <f t="shared" si="354"/>
        <v>.</v>
      </c>
      <c r="AV1689" s="1194" t="str">
        <f t="shared" si="357"/>
        <v>.</v>
      </c>
      <c r="AW1689" s="1194" t="str">
        <f t="shared" si="366"/>
        <v>.</v>
      </c>
      <c r="AX1689" s="1194">
        <f>IFERROR(VLOOKUP(B1689,'Share, Heavy Weapons to Ukraine'!B:Z,COLUMN('Share, Heavy Weapons to Ukraine'!C1700)-1,0),0)</f>
        <v>1</v>
      </c>
      <c r="AY1689" s="1194">
        <f>VLOOKUP('Bilateral Assistance, MAIN DATA'!B1689,'Country Summary (€)'!B:F,COLUMN('Country Summary (€)'!C1701)-1,FALSE)</f>
        <v>0</v>
      </c>
      <c r="AZ1689" s="1194" t="str">
        <f>IF(AND(AD1689=1,D1689="Military",H1689&lt;&gt;"Not given")=TRUE,IF(SUMIFS(P:P,A:A,A1689)&gt;0,ABS((SUMIFS(P:P,A:A,A1689)/VLOOKUP("USD",'Exchange Rates'!B:C,2,0)))/S1689,"."),".")</f>
        <v>.</v>
      </c>
      <c r="BA1689" s="1196" t="str">
        <f>IF(AND(AD1689=1,D1689="Military",H1689&lt;&gt;"Not given")=TRUE,IF(SUMIFS(P:P,A:A,A1689)&gt;0,IF((ABS((SUMIFS(P:P,A:A,A1689)/VLOOKUP("USD",'Exchange Rates'!B:C,2,0)))/S1689)&gt;1,(SUMIFS(P:P,A:A,A1689)-S1689)/S1689,(S1689-SUMIFS(P:P,A:A,A1689))/SUMIFS(P:P,A:A,A1689)),"."),".")</f>
        <v>.</v>
      </c>
    </row>
    <row r="1690" spans="1:53" ht="15.95" customHeight="1">
      <c r="A1690" s="1208" t="s">
        <v>4284</v>
      </c>
      <c r="B1690" s="1208" t="s">
        <v>3949</v>
      </c>
      <c r="C1690" s="1220">
        <v>44875</v>
      </c>
      <c r="D1690" s="1208" t="s">
        <v>389</v>
      </c>
      <c r="E1690" s="1208" t="s">
        <v>390</v>
      </c>
      <c r="F1690" s="1263" t="s">
        <v>4296</v>
      </c>
      <c r="G1690" s="1184" t="s">
        <v>456</v>
      </c>
      <c r="H1690" s="1221">
        <v>400000000</v>
      </c>
      <c r="I1690" s="1180" t="s">
        <v>2006</v>
      </c>
      <c r="J1690" s="1186" t="str">
        <f>VLOOKUP($I1690,'Price List, Weapons &amp; Items'!B:C,2,0)</f>
        <v>Ammunition for portable defence system</v>
      </c>
      <c r="K1690" s="1186" t="str">
        <f>IF(I1690=".",I1690,VLOOKUP($I1690,'Price List, Weapons &amp; Items'!B:D,3,0))</f>
        <v>MANPADS ammunition</v>
      </c>
      <c r="L1690" s="1187">
        <f>VLOOKUP(I1690,'Price List, Weapons &amp; Items'!B:E,4,0)</f>
        <v>0</v>
      </c>
      <c r="M1690" s="1188">
        <v>800</v>
      </c>
      <c r="N1690" s="1188" t="s">
        <v>374</v>
      </c>
      <c r="O1690" s="1188">
        <f>VLOOKUP($I1690,'Price List, Weapons &amp; Items'!B:G,6,0)</f>
        <v>480000</v>
      </c>
      <c r="P1690" s="1185">
        <f t="shared" si="358"/>
        <v>384000000</v>
      </c>
      <c r="Q1690" s="1185" t="str">
        <f t="shared" si="359"/>
        <v>.</v>
      </c>
      <c r="R1690" s="1185" t="str">
        <f t="shared" si="355"/>
        <v/>
      </c>
      <c r="S1690" s="1185" t="str">
        <f>IF(AND(AD1690=1,R1690&lt;&gt;".")=TRUE,R1690/VLOOKUP(G1690,'Exchange Rates'!B:C,2,0),IF(R1690=".",".",""))</f>
        <v/>
      </c>
      <c r="T1690" s="1185" t="str">
        <f>IF(AD1690=1,IF(AF1690="Value is not given at all",".",IF(AF1690="Value is given by the source",S1690,IF(AF1690="Value is calculated with prices",(IF(SUMIFS(Q:Q,A:A,A1690)&gt;0,SUMIFS(Q:Q,A:A,A1690),"."))/VLOOKUP("USD",'Exchange Rates'!B:C,2,0),"Error with coding"))),"")</f>
        <v/>
      </c>
      <c r="U1690" s="1184" t="s">
        <v>365</v>
      </c>
      <c r="V1690" s="979" t="s">
        <v>4297</v>
      </c>
      <c r="W1690" s="983" t="s">
        <v>3978</v>
      </c>
      <c r="X1690" s="980" t="s">
        <v>3982</v>
      </c>
      <c r="Y1690" s="966" t="s">
        <v>4029</v>
      </c>
      <c r="Z1690" s="1184">
        <v>0</v>
      </c>
      <c r="AA1690" s="1194">
        <v>0</v>
      </c>
      <c r="AB1690" s="1000" t="s">
        <v>364</v>
      </c>
      <c r="AC1690" s="1192" t="str">
        <f>""</f>
        <v/>
      </c>
      <c r="AD1690" s="1193">
        <v>0</v>
      </c>
      <c r="AE1690" s="1193" t="s">
        <v>368</v>
      </c>
      <c r="AF1690" s="1193" t="s">
        <v>369</v>
      </c>
      <c r="AG1690" s="1193">
        <v>1</v>
      </c>
      <c r="AH1690" s="1193">
        <v>11</v>
      </c>
      <c r="AI1690" s="1193">
        <v>0</v>
      </c>
      <c r="AJ1690" s="1193">
        <f>VLOOKUP($I1690,'Price List, Weapons &amp; Items'!B:F,5,0)</f>
        <v>0</v>
      </c>
      <c r="AK1690" s="1193">
        <f t="shared" si="360"/>
        <v>0</v>
      </c>
      <c r="AL1690" s="1193">
        <f t="shared" si="361"/>
        <v>0</v>
      </c>
      <c r="AM1690" s="1193">
        <f t="shared" si="362"/>
        <v>0</v>
      </c>
      <c r="AN1690" s="1194" t="str">
        <f>VLOOKUP($I1690,'Price List, Weapons &amp; Items'!B:L,COLUMN('Price List, Weapons &amp; Items'!$J$11)-1,0)</f>
        <v>Media reports (incl. social media)</v>
      </c>
      <c r="AO1690" s="1194" t="str">
        <f>IF(I1690=".",".",VLOOKUP($I1690,'Price List, Weapons &amp; Items'!B:J,3,0))</f>
        <v>MANPADS ammunition</v>
      </c>
      <c r="AP1690" s="1195" t="str">
        <f t="shared" ca="1" si="356"/>
        <v/>
      </c>
      <c r="AQ1690" s="1194">
        <f>VLOOKUP($I1690,'Price List, Weapons &amp; Items'!B:L,COLUMN('Price List, Weapons &amp; Items'!$L$11)-1,0)</f>
        <v>2</v>
      </c>
      <c r="AR1690" s="1194">
        <f t="shared" si="363"/>
        <v>1</v>
      </c>
      <c r="AS1690" s="1194">
        <f t="shared" si="364"/>
        <v>1</v>
      </c>
      <c r="AT1690" s="1194">
        <f t="shared" si="365"/>
        <v>1</v>
      </c>
      <c r="AU1690" s="1194" t="str">
        <f t="shared" si="354"/>
        <v>.</v>
      </c>
      <c r="AV1690" s="1194" t="str">
        <f t="shared" si="357"/>
        <v>.</v>
      </c>
      <c r="AW1690" s="1194" t="str">
        <f t="shared" si="366"/>
        <v>.</v>
      </c>
      <c r="AX1690" s="1194">
        <f>IFERROR(VLOOKUP(B1690,'Share, Heavy Weapons to Ukraine'!B:Z,COLUMN('Share, Heavy Weapons to Ukraine'!C1701)-1,0),0)</f>
        <v>1</v>
      </c>
      <c r="AY1690" s="1194">
        <f>VLOOKUP('Bilateral Assistance, MAIN DATA'!B1690,'Country Summary (€)'!B:F,COLUMN('Country Summary (€)'!C1702)-1,FALSE)</f>
        <v>0</v>
      </c>
      <c r="AZ1690" s="1194" t="str">
        <f>IF(AND(AD1690=1,D1690="Military",H1690&lt;&gt;"Not given")=TRUE,IF(SUMIFS(P:P,A:A,A1690)&gt;0,ABS((SUMIFS(P:P,A:A,A1690)/VLOOKUP("USD",'Exchange Rates'!B:C,2,0)))/S1690,"."),".")</f>
        <v>.</v>
      </c>
      <c r="BA1690" s="1196" t="str">
        <f>IF(AND(AD1690=1,D1690="Military",H1690&lt;&gt;"Not given")=TRUE,IF(SUMIFS(P:P,A:A,A1690)&gt;0,IF((ABS((SUMIFS(P:P,A:A,A1690)/VLOOKUP("USD",'Exchange Rates'!B:C,2,0)))/S1690)&gt;1,(SUMIFS(P:P,A:A,A1690)-S1690)/S1690,(S1690-SUMIFS(P:P,A:A,A1690))/SUMIFS(P:P,A:A,A1690)),"."),".")</f>
        <v>.</v>
      </c>
    </row>
    <row r="1691" spans="1:53" ht="15.95" customHeight="1">
      <c r="A1691" s="1208" t="s">
        <v>4284</v>
      </c>
      <c r="B1691" s="1208" t="s">
        <v>3949</v>
      </c>
      <c r="C1691" s="1220">
        <v>44875</v>
      </c>
      <c r="D1691" s="1208" t="s">
        <v>389</v>
      </c>
      <c r="E1691" s="1208" t="s">
        <v>390</v>
      </c>
      <c r="F1691" s="1263" t="s">
        <v>4296</v>
      </c>
      <c r="G1691" s="1184" t="s">
        <v>456</v>
      </c>
      <c r="H1691" s="1221">
        <v>400000000</v>
      </c>
      <c r="I1691" s="1180" t="s">
        <v>4093</v>
      </c>
      <c r="J1691" s="1186" t="str">
        <f>VLOOKUP($I1691,'Price List, Weapons &amp; Items'!B:C,2,0)</f>
        <v>Ammunition for heavy weapon</v>
      </c>
      <c r="K1691" s="1186" t="str">
        <f>IF(I1691=".",I1691,VLOOKUP($I1691,'Price List, Weapons &amp; Items'!B:D,3,0))</f>
        <v>227mm MLRS ammunition</v>
      </c>
      <c r="L1691" s="1187">
        <f>VLOOKUP(I1691,'Price List, Weapons &amp; Items'!B:E,4,0)</f>
        <v>0</v>
      </c>
      <c r="M1691" s="1188" t="s">
        <v>374</v>
      </c>
      <c r="N1691" s="1188" t="s">
        <v>374</v>
      </c>
      <c r="O1691" s="1188">
        <f>VLOOKUP($I1691,'Price List, Weapons &amp; Items'!B:G,6,0)</f>
        <v>150000</v>
      </c>
      <c r="P1691" s="1185" t="str">
        <f t="shared" si="358"/>
        <v>.</v>
      </c>
      <c r="Q1691" s="1185" t="str">
        <f t="shared" si="359"/>
        <v>.</v>
      </c>
      <c r="R1691" s="1185" t="str">
        <f t="shared" si="355"/>
        <v/>
      </c>
      <c r="S1691" s="1185" t="str">
        <f>IF(AND(AD1691=1,R1691&lt;&gt;".")=TRUE,R1691/VLOOKUP(G1691,'Exchange Rates'!B:C,2,0),IF(R1691=".",".",""))</f>
        <v/>
      </c>
      <c r="T1691" s="1185" t="str">
        <f>IF(AD1691=1,IF(AF1691="Value is not given at all",".",IF(AF1691="Value is given by the source",S1691,IF(AF1691="Value is calculated with prices",(IF(SUMIFS(Q:Q,A:A,A1691)&gt;0,SUMIFS(Q:Q,A:A,A1691),"."))/VLOOKUP("USD",'Exchange Rates'!B:C,2,0),"Error with coding"))),"")</f>
        <v/>
      </c>
      <c r="U1691" s="1184" t="s">
        <v>365</v>
      </c>
      <c r="V1691" s="979" t="s">
        <v>4297</v>
      </c>
      <c r="W1691" s="983" t="s">
        <v>3978</v>
      </c>
      <c r="X1691" s="980" t="s">
        <v>3982</v>
      </c>
      <c r="Y1691" s="966" t="s">
        <v>4030</v>
      </c>
      <c r="Z1691" s="1184">
        <v>0</v>
      </c>
      <c r="AA1691" s="1194">
        <v>0</v>
      </c>
      <c r="AB1691" s="1000" t="s">
        <v>364</v>
      </c>
      <c r="AC1691" s="1192" t="str">
        <f>""</f>
        <v/>
      </c>
      <c r="AD1691" s="1193">
        <v>0</v>
      </c>
      <c r="AE1691" s="1193" t="s">
        <v>368</v>
      </c>
      <c r="AF1691" s="1193" t="s">
        <v>369</v>
      </c>
      <c r="AG1691" s="1193">
        <v>1</v>
      </c>
      <c r="AH1691" s="1193">
        <v>11</v>
      </c>
      <c r="AI1691" s="1193">
        <v>0</v>
      </c>
      <c r="AJ1691" s="1193">
        <f>VLOOKUP($I1691,'Price List, Weapons &amp; Items'!B:F,5,0)</f>
        <v>1</v>
      </c>
      <c r="AK1691" s="1193">
        <f t="shared" si="360"/>
        <v>1</v>
      </c>
      <c r="AL1691" s="1193">
        <f t="shared" si="361"/>
        <v>1</v>
      </c>
      <c r="AM1691" s="1193">
        <f t="shared" si="362"/>
        <v>1</v>
      </c>
      <c r="AN1691" s="1194" t="str">
        <f>VLOOKUP($I1691,'Price List, Weapons &amp; Items'!B:L,COLUMN('Price List, Weapons &amp; Items'!$J$11)-1,0)</f>
        <v>Media reports (incl. social media)</v>
      </c>
      <c r="AO1691" s="1194" t="str">
        <f>IF(I1691=".",".",VLOOKUP($I1691,'Price List, Weapons &amp; Items'!B:J,3,0))</f>
        <v>227mm MLRS ammunition</v>
      </c>
      <c r="AP1691" s="1195" t="str">
        <f t="shared" ca="1" si="356"/>
        <v/>
      </c>
      <c r="AQ1691" s="1194" t="str">
        <f>VLOOKUP($I1691,'Price List, Weapons &amp; Items'!B:L,COLUMN('Price List, Weapons &amp; Items'!$L$11)-1,0)</f>
        <v>no price, 0 count</v>
      </c>
      <c r="AR1691" s="1194">
        <f t="shared" si="363"/>
        <v>1</v>
      </c>
      <c r="AS1691" s="1194">
        <f t="shared" si="364"/>
        <v>1</v>
      </c>
      <c r="AT1691" s="1194">
        <f t="shared" si="365"/>
        <v>1</v>
      </c>
      <c r="AU1691" s="1194" t="str">
        <f t="shared" si="354"/>
        <v>.</v>
      </c>
      <c r="AV1691" s="1194" t="str">
        <f t="shared" si="357"/>
        <v>.</v>
      </c>
      <c r="AW1691" s="1194" t="str">
        <f t="shared" si="366"/>
        <v>.</v>
      </c>
      <c r="AX1691" s="1194">
        <f>IFERROR(VLOOKUP(B1691,'Share, Heavy Weapons to Ukraine'!B:Z,COLUMN('Share, Heavy Weapons to Ukraine'!C1702)-1,0),0)</f>
        <v>1</v>
      </c>
      <c r="AY1691" s="1194">
        <f>VLOOKUP('Bilateral Assistance, MAIN DATA'!B1691,'Country Summary (€)'!B:F,COLUMN('Country Summary (€)'!C1703)-1,FALSE)</f>
        <v>0</v>
      </c>
      <c r="AZ1691" s="1194" t="str">
        <f>IF(AND(AD1691=1,D1691="Military",H1691&lt;&gt;"Not given")=TRUE,IF(SUMIFS(P:P,A:A,A1691)&gt;0,ABS((SUMIFS(P:P,A:A,A1691)/VLOOKUP("USD",'Exchange Rates'!B:C,2,0)))/S1691,"."),".")</f>
        <v>.</v>
      </c>
      <c r="BA1691" s="1196" t="str">
        <f>IF(AND(AD1691=1,D1691="Military",H1691&lt;&gt;"Not given")=TRUE,IF(SUMIFS(P:P,A:A,A1691)&gt;0,IF((ABS((SUMIFS(P:P,A:A,A1691)/VLOOKUP("USD",'Exchange Rates'!B:C,2,0)))/S1691)&gt;1,(SUMIFS(P:P,A:A,A1691)-S1691)/S1691,(S1691-SUMIFS(P:P,A:A,A1691))/SUMIFS(P:P,A:A,A1691)),"."),".")</f>
        <v>.</v>
      </c>
    </row>
    <row r="1692" spans="1:53" ht="15.95" customHeight="1">
      <c r="A1692" s="1208" t="s">
        <v>4284</v>
      </c>
      <c r="B1692" s="1208" t="s">
        <v>3949</v>
      </c>
      <c r="C1692" s="1220">
        <v>44875</v>
      </c>
      <c r="D1692" s="1208" t="s">
        <v>389</v>
      </c>
      <c r="E1692" s="1208" t="s">
        <v>390</v>
      </c>
      <c r="F1692" s="1263" t="s">
        <v>4296</v>
      </c>
      <c r="G1692" s="1184" t="s">
        <v>456</v>
      </c>
      <c r="H1692" s="1221">
        <v>400000000</v>
      </c>
      <c r="I1692" s="1180" t="s">
        <v>856</v>
      </c>
      <c r="J1692" s="1186" t="str">
        <f>VLOOKUP($I1692,'Price List, Weapons &amp; Items'!B:C,2,0)</f>
        <v>Ammunition for heavy weapon</v>
      </c>
      <c r="K1692" s="1186" t="str">
        <f>IF(I1692=".",I1692,VLOOKUP($I1692,'Price List, Weapons &amp; Items'!B:D,3,0))</f>
        <v>155mm howitzer ammunition</v>
      </c>
      <c r="L1692" s="1187">
        <f>VLOOKUP(I1692,'Price List, Weapons &amp; Items'!B:E,4,0)</f>
        <v>0</v>
      </c>
      <c r="M1692" s="1188">
        <v>21000</v>
      </c>
      <c r="N1692" s="1188" t="s">
        <v>374</v>
      </c>
      <c r="O1692" s="1188">
        <f>VLOOKUP($I1692,'Price List, Weapons &amp; Items'!B:G,6,0)</f>
        <v>3800</v>
      </c>
      <c r="P1692" s="1185">
        <f t="shared" si="358"/>
        <v>79800000</v>
      </c>
      <c r="Q1692" s="1185" t="str">
        <f t="shared" si="359"/>
        <v>.</v>
      </c>
      <c r="R1692" s="1185" t="str">
        <f t="shared" si="355"/>
        <v/>
      </c>
      <c r="S1692" s="1185" t="str">
        <f>IF(AND(AD1692=1,R1692&lt;&gt;".")=TRUE,R1692/VLOOKUP(G1692,'Exchange Rates'!B:C,2,0),IF(R1692=".",".",""))</f>
        <v/>
      </c>
      <c r="T1692" s="1185" t="str">
        <f>IF(AD1692=1,IF(AF1692="Value is not given at all",".",IF(AF1692="Value is given by the source",S1692,IF(AF1692="Value is calculated with prices",(IF(SUMIFS(Q:Q,A:A,A1692)&gt;0,SUMIFS(Q:Q,A:A,A1692),"."))/VLOOKUP("USD",'Exchange Rates'!B:C,2,0),"Error with coding"))),"")</f>
        <v/>
      </c>
      <c r="U1692" s="1184" t="s">
        <v>365</v>
      </c>
      <c r="V1692" s="979" t="s">
        <v>4297</v>
      </c>
      <c r="W1692" s="983" t="s">
        <v>3978</v>
      </c>
      <c r="X1692" s="980" t="s">
        <v>3982</v>
      </c>
      <c r="Y1692" s="966" t="s">
        <v>4032</v>
      </c>
      <c r="Z1692" s="1184">
        <v>0</v>
      </c>
      <c r="AA1692" s="1194">
        <v>0</v>
      </c>
      <c r="AB1692" s="1000" t="s">
        <v>364</v>
      </c>
      <c r="AC1692" s="1192" t="str">
        <f>""</f>
        <v/>
      </c>
      <c r="AD1692" s="1193">
        <v>0</v>
      </c>
      <c r="AE1692" s="1193" t="s">
        <v>368</v>
      </c>
      <c r="AF1692" s="1193" t="s">
        <v>369</v>
      </c>
      <c r="AG1692" s="1193">
        <v>1</v>
      </c>
      <c r="AH1692" s="1193">
        <v>11</v>
      </c>
      <c r="AI1692" s="1193">
        <v>0</v>
      </c>
      <c r="AJ1692" s="1193">
        <f>VLOOKUP($I1692,'Price List, Weapons &amp; Items'!B:F,5,0)</f>
        <v>1</v>
      </c>
      <c r="AK1692" s="1193">
        <f t="shared" si="360"/>
        <v>0</v>
      </c>
      <c r="AL1692" s="1193">
        <f t="shared" si="361"/>
        <v>1</v>
      </c>
      <c r="AM1692" s="1193">
        <f t="shared" si="362"/>
        <v>0</v>
      </c>
      <c r="AN1692" s="1194" t="str">
        <f>VLOOKUP($I1692,'Price List, Weapons &amp; Items'!B:L,COLUMN('Price List, Weapons &amp; Items'!$J$11)-1,0)</f>
        <v>Government information</v>
      </c>
      <c r="AO1692" s="1194" t="str">
        <f>IF(I1692=".",".",VLOOKUP($I1692,'Price List, Weapons &amp; Items'!B:J,3,0))</f>
        <v>155mm howitzer ammunition</v>
      </c>
      <c r="AP1692" s="1195" t="str">
        <f t="shared" ca="1" si="356"/>
        <v/>
      </c>
      <c r="AQ1692" s="1194">
        <f>VLOOKUP($I1692,'Price List, Weapons &amp; Items'!B:L,COLUMN('Price List, Weapons &amp; Items'!$L$11)-1,0)</f>
        <v>2</v>
      </c>
      <c r="AR1692" s="1194">
        <f t="shared" si="363"/>
        <v>1</v>
      </c>
      <c r="AS1692" s="1194">
        <f t="shared" si="364"/>
        <v>1</v>
      </c>
      <c r="AT1692" s="1194">
        <f t="shared" si="365"/>
        <v>1</v>
      </c>
      <c r="AU1692" s="1194" t="str">
        <f t="shared" si="354"/>
        <v>.</v>
      </c>
      <c r="AV1692" s="1194" t="str">
        <f t="shared" si="357"/>
        <v>.</v>
      </c>
      <c r="AW1692" s="1194" t="str">
        <f t="shared" si="366"/>
        <v>.</v>
      </c>
      <c r="AX1692" s="1194">
        <f>IFERROR(VLOOKUP(B1692,'Share, Heavy Weapons to Ukraine'!B:Z,COLUMN('Share, Heavy Weapons to Ukraine'!C1703)-1,0),0)</f>
        <v>1</v>
      </c>
      <c r="AY1692" s="1194">
        <f>VLOOKUP('Bilateral Assistance, MAIN DATA'!B1692,'Country Summary (€)'!B:F,COLUMN('Country Summary (€)'!C1704)-1,FALSE)</f>
        <v>0</v>
      </c>
      <c r="AZ1692" s="1194" t="str">
        <f>IF(AND(AD1692=1,D1692="Military",H1692&lt;&gt;"Not given")=TRUE,IF(SUMIFS(P:P,A:A,A1692)&gt;0,ABS((SUMIFS(P:P,A:A,A1692)/VLOOKUP("USD",'Exchange Rates'!B:C,2,0)))/S1692,"."),".")</f>
        <v>.</v>
      </c>
      <c r="BA1692" s="1196" t="str">
        <f>IF(AND(AD1692=1,D1692="Military",H1692&lt;&gt;"Not given")=TRUE,IF(SUMIFS(P:P,A:A,A1692)&gt;0,IF((ABS((SUMIFS(P:P,A:A,A1692)/VLOOKUP("USD",'Exchange Rates'!B:C,2,0)))/S1692)&gt;1,(SUMIFS(P:P,A:A,A1692)-S1692)/S1692,(S1692-SUMIFS(P:P,A:A,A1692))/SUMIFS(P:P,A:A,A1692)),"."),".")</f>
        <v>.</v>
      </c>
    </row>
    <row r="1693" spans="1:53" ht="15.95" customHeight="1">
      <c r="A1693" s="1208" t="s">
        <v>4284</v>
      </c>
      <c r="B1693" s="1208" t="s">
        <v>3949</v>
      </c>
      <c r="C1693" s="1220">
        <v>44875</v>
      </c>
      <c r="D1693" s="1208" t="s">
        <v>389</v>
      </c>
      <c r="E1693" s="1208" t="s">
        <v>390</v>
      </c>
      <c r="F1693" s="1263" t="s">
        <v>4296</v>
      </c>
      <c r="G1693" s="1184" t="s">
        <v>456</v>
      </c>
      <c r="H1693" s="1221">
        <v>400000000</v>
      </c>
      <c r="I1693" s="1180" t="s">
        <v>4291</v>
      </c>
      <c r="J1693" s="1186" t="str">
        <f>VLOOKUP($I1693,'Price List, Weapons &amp; Items'!B:C,2,0)</f>
        <v>Ammunition for heavy weapon</v>
      </c>
      <c r="K1693" s="1186" t="str">
        <f>IF(I1693=".",I1693,VLOOKUP($I1693,'Price List, Weapons &amp; Items'!B:D,3,0))</f>
        <v>artillery round</v>
      </c>
      <c r="L1693" s="1187">
        <f>VLOOKUP(I1693,'Price List, Weapons &amp; Items'!B:E,4,0)</f>
        <v>0</v>
      </c>
      <c r="M1693" s="1188">
        <v>500</v>
      </c>
      <c r="N1693" s="1188" t="s">
        <v>374</v>
      </c>
      <c r="O1693" s="1188">
        <f>VLOOKUP($I1693,'Price List, Weapons &amp; Items'!B:G,6,0)</f>
        <v>112800</v>
      </c>
      <c r="P1693" s="1185">
        <f t="shared" si="358"/>
        <v>56400000</v>
      </c>
      <c r="Q1693" s="1185" t="str">
        <f t="shared" si="359"/>
        <v>.</v>
      </c>
      <c r="R1693" s="1185" t="str">
        <f t="shared" si="355"/>
        <v/>
      </c>
      <c r="S1693" s="1185" t="str">
        <f>IF(AND(AD1693=1,R1693&lt;&gt;".")=TRUE,R1693/VLOOKUP(G1693,'Exchange Rates'!B:C,2,0),IF(R1693=".",".",""))</f>
        <v/>
      </c>
      <c r="T1693" s="1185" t="str">
        <f>IF(AD1693=1,IF(AF1693="Value is not given at all",".",IF(AF1693="Value is given by the source",S1693,IF(AF1693="Value is calculated with prices",(IF(SUMIFS(Q:Q,A:A,A1693)&gt;0,SUMIFS(Q:Q,A:A,A1693),"."))/VLOOKUP("USD",'Exchange Rates'!B:C,2,0),"Error with coding"))),"")</f>
        <v/>
      </c>
      <c r="U1693" s="1184" t="s">
        <v>365</v>
      </c>
      <c r="V1693" s="979" t="s">
        <v>4297</v>
      </c>
      <c r="W1693" s="983" t="s">
        <v>3978</v>
      </c>
      <c r="X1693" s="980" t="s">
        <v>3982</v>
      </c>
      <c r="Y1693" s="966" t="s">
        <v>4033</v>
      </c>
      <c r="Z1693" s="1184">
        <v>0</v>
      </c>
      <c r="AA1693" s="1194">
        <v>0</v>
      </c>
      <c r="AB1693" s="1000" t="s">
        <v>364</v>
      </c>
      <c r="AC1693" s="1192" t="str">
        <f>""</f>
        <v/>
      </c>
      <c r="AD1693" s="1193">
        <v>0</v>
      </c>
      <c r="AE1693" s="1193" t="s">
        <v>368</v>
      </c>
      <c r="AF1693" s="1193" t="s">
        <v>369</v>
      </c>
      <c r="AG1693" s="1193">
        <v>1</v>
      </c>
      <c r="AH1693" s="1193">
        <v>11</v>
      </c>
      <c r="AI1693" s="1193">
        <v>0</v>
      </c>
      <c r="AJ1693" s="1193">
        <f>VLOOKUP($I1693,'Price List, Weapons &amp; Items'!B:F,5,0)</f>
        <v>0</v>
      </c>
      <c r="AK1693" s="1193">
        <f t="shared" si="360"/>
        <v>0</v>
      </c>
      <c r="AL1693" s="1193">
        <f t="shared" si="361"/>
        <v>0</v>
      </c>
      <c r="AM1693" s="1193">
        <f t="shared" si="362"/>
        <v>0</v>
      </c>
      <c r="AN1693" s="1194" t="str">
        <f>VLOOKUP($I1693,'Price List, Weapons &amp; Items'!B:L,COLUMN('Price List, Weapons &amp; Items'!$J$11)-1,0)</f>
        <v>Miscellaneous</v>
      </c>
      <c r="AO1693" s="1194" t="str">
        <f>IF(I1693=".",".",VLOOKUP($I1693,'Price List, Weapons &amp; Items'!B:J,3,0))</f>
        <v>artillery round</v>
      </c>
      <c r="AP1693" s="1195" t="str">
        <f t="shared" ca="1" si="356"/>
        <v/>
      </c>
      <c r="AQ1693" s="1194">
        <f>VLOOKUP($I1693,'Price List, Weapons &amp; Items'!B:L,COLUMN('Price List, Weapons &amp; Items'!$L$11)-1,0)</f>
        <v>2</v>
      </c>
      <c r="AR1693" s="1194">
        <f t="shared" si="363"/>
        <v>1</v>
      </c>
      <c r="AS1693" s="1194">
        <f t="shared" si="364"/>
        <v>1</v>
      </c>
      <c r="AT1693" s="1194">
        <f t="shared" si="365"/>
        <v>1</v>
      </c>
      <c r="AU1693" s="1194" t="str">
        <f t="shared" si="354"/>
        <v>.</v>
      </c>
      <c r="AV1693" s="1194" t="str">
        <f t="shared" si="357"/>
        <v>.</v>
      </c>
      <c r="AW1693" s="1194" t="str">
        <f t="shared" si="366"/>
        <v>.</v>
      </c>
      <c r="AX1693" s="1194">
        <f>IFERROR(VLOOKUP(B1693,'Share, Heavy Weapons to Ukraine'!B:Z,COLUMN('Share, Heavy Weapons to Ukraine'!C1704)-1,0),0)</f>
        <v>1</v>
      </c>
      <c r="AY1693" s="1194">
        <f>VLOOKUP('Bilateral Assistance, MAIN DATA'!B1693,'Country Summary (€)'!B:F,COLUMN('Country Summary (€)'!C1705)-1,FALSE)</f>
        <v>0</v>
      </c>
      <c r="AZ1693" s="1194" t="str">
        <f>IF(AND(AD1693=1,D1693="Military",H1693&lt;&gt;"Not given")=TRUE,IF(SUMIFS(P:P,A:A,A1693)&gt;0,ABS((SUMIFS(P:P,A:A,A1693)/VLOOKUP("USD",'Exchange Rates'!B:C,2,0)))/S1693,"."),".")</f>
        <v>.</v>
      </c>
      <c r="BA1693" s="1196" t="str">
        <f>IF(AND(AD1693=1,D1693="Military",H1693&lt;&gt;"Not given")=TRUE,IF(SUMIFS(P:P,A:A,A1693)&gt;0,IF((ABS((SUMIFS(P:P,A:A,A1693)/VLOOKUP("USD",'Exchange Rates'!B:C,2,0)))/S1693)&gt;1,(SUMIFS(P:P,A:A,A1693)-S1693)/S1693,(S1693-SUMIFS(P:P,A:A,A1693))/SUMIFS(P:P,A:A,A1693)),"."),".")</f>
        <v>.</v>
      </c>
    </row>
    <row r="1694" spans="1:53" ht="15.95" customHeight="1">
      <c r="A1694" s="1208" t="s">
        <v>4284</v>
      </c>
      <c r="B1694" s="1208" t="s">
        <v>3949</v>
      </c>
      <c r="C1694" s="1220">
        <v>44875</v>
      </c>
      <c r="D1694" s="1208" t="s">
        <v>389</v>
      </c>
      <c r="E1694" s="1208" t="s">
        <v>390</v>
      </c>
      <c r="F1694" s="1263" t="s">
        <v>4296</v>
      </c>
      <c r="G1694" s="1184" t="s">
        <v>456</v>
      </c>
      <c r="H1694" s="1221">
        <v>400000000</v>
      </c>
      <c r="I1694" s="1180" t="s">
        <v>3137</v>
      </c>
      <c r="J1694" s="1186" t="str">
        <f>VLOOKUP($I1694,'Price List, Weapons &amp; Items'!B:C,2,0)</f>
        <v>Ammunition for heavy weapon</v>
      </c>
      <c r="K1694" s="1186" t="str">
        <f>IF(I1694=".",I1694,VLOOKUP($I1694,'Price List, Weapons &amp; Items'!B:D,3,0))</f>
        <v>Mortar ammunition</v>
      </c>
      <c r="L1694" s="1187">
        <f>VLOOKUP(I1694,'Price List, Weapons &amp; Items'!B:E,4,0)</f>
        <v>0</v>
      </c>
      <c r="M1694" s="1188">
        <v>10000</v>
      </c>
      <c r="N1694" s="1188" t="s">
        <v>374</v>
      </c>
      <c r="O1694" s="1188">
        <f>VLOOKUP($I1694,'Price List, Weapons &amp; Items'!B:G,6,0)</f>
        <v>109.89</v>
      </c>
      <c r="P1694" s="1185">
        <f t="shared" si="358"/>
        <v>1098900</v>
      </c>
      <c r="Q1694" s="1185" t="str">
        <f t="shared" si="359"/>
        <v>.</v>
      </c>
      <c r="R1694" s="1185" t="str">
        <f t="shared" si="355"/>
        <v/>
      </c>
      <c r="S1694" s="1185" t="str">
        <f>IF(AND(AD1694=1,R1694&lt;&gt;".")=TRUE,R1694/VLOOKUP(G1694,'Exchange Rates'!B:C,2,0),IF(R1694=".",".",""))</f>
        <v/>
      </c>
      <c r="T1694" s="1185" t="str">
        <f>IF(AD1694=1,IF(AF1694="Value is not given at all",".",IF(AF1694="Value is given by the source",S1694,IF(AF1694="Value is calculated with prices",(IF(SUMIFS(Q:Q,A:A,A1694)&gt;0,SUMIFS(Q:Q,A:A,A1694),"."))/VLOOKUP("USD",'Exchange Rates'!B:C,2,0),"Error with coding"))),"")</f>
        <v/>
      </c>
      <c r="U1694" s="1184" t="s">
        <v>365</v>
      </c>
      <c r="V1694" s="979" t="s">
        <v>4297</v>
      </c>
      <c r="W1694" s="983" t="s">
        <v>3978</v>
      </c>
      <c r="X1694" s="980" t="s">
        <v>3982</v>
      </c>
      <c r="Y1694" s="966" t="s">
        <v>4035</v>
      </c>
      <c r="Z1694" s="1184">
        <v>0</v>
      </c>
      <c r="AA1694" s="1194">
        <v>0</v>
      </c>
      <c r="AB1694" s="1000" t="s">
        <v>364</v>
      </c>
      <c r="AC1694" s="1192" t="str">
        <f>""</f>
        <v/>
      </c>
      <c r="AD1694" s="1193">
        <v>0</v>
      </c>
      <c r="AE1694" s="1193" t="s">
        <v>368</v>
      </c>
      <c r="AF1694" s="1193" t="s">
        <v>369</v>
      </c>
      <c r="AG1694" s="1193">
        <v>1</v>
      </c>
      <c r="AH1694" s="1193">
        <v>11</v>
      </c>
      <c r="AI1694" s="1193">
        <v>0</v>
      </c>
      <c r="AJ1694" s="1193">
        <f>VLOOKUP($I1694,'Price List, Weapons &amp; Items'!B:F,5,0)</f>
        <v>0</v>
      </c>
      <c r="AK1694" s="1193">
        <f t="shared" si="360"/>
        <v>0</v>
      </c>
      <c r="AL1694" s="1193">
        <f t="shared" si="361"/>
        <v>0</v>
      </c>
      <c r="AM1694" s="1193">
        <f t="shared" si="362"/>
        <v>0</v>
      </c>
      <c r="AN1694" s="1194" t="str">
        <f>VLOOKUP($I1694,'Price List, Weapons &amp; Items'!B:L,COLUMN('Price List, Weapons &amp; Items'!$J$11)-1,0)</f>
        <v>Government information</v>
      </c>
      <c r="AO1694" s="1194" t="str">
        <f>IF(I1694=".",".",VLOOKUP($I1694,'Price List, Weapons &amp; Items'!B:J,3,0))</f>
        <v>Mortar ammunition</v>
      </c>
      <c r="AP1694" s="1195" t="str">
        <f t="shared" ca="1" si="356"/>
        <v/>
      </c>
      <c r="AQ1694" s="1194">
        <f>VLOOKUP($I1694,'Price List, Weapons &amp; Items'!B:L,COLUMN('Price List, Weapons &amp; Items'!$L$11)-1,0)</f>
        <v>2</v>
      </c>
      <c r="AR1694" s="1194">
        <f t="shared" si="363"/>
        <v>1</v>
      </c>
      <c r="AS1694" s="1194">
        <f t="shared" si="364"/>
        <v>1</v>
      </c>
      <c r="AT1694" s="1194">
        <f t="shared" si="365"/>
        <v>1</v>
      </c>
      <c r="AU1694" s="1194" t="str">
        <f t="shared" si="354"/>
        <v>.</v>
      </c>
      <c r="AV1694" s="1194" t="str">
        <f t="shared" si="357"/>
        <v>.</v>
      </c>
      <c r="AW1694" s="1194" t="str">
        <f t="shared" si="366"/>
        <v>.</v>
      </c>
      <c r="AX1694" s="1194">
        <f>IFERROR(VLOOKUP(B1694,'Share, Heavy Weapons to Ukraine'!B:Z,COLUMN('Share, Heavy Weapons to Ukraine'!C1705)-1,0),0)</f>
        <v>1</v>
      </c>
      <c r="AY1694" s="1194">
        <f>VLOOKUP('Bilateral Assistance, MAIN DATA'!B1694,'Country Summary (€)'!B:F,COLUMN('Country Summary (€)'!C1706)-1,FALSE)</f>
        <v>0</v>
      </c>
      <c r="AZ1694" s="1194" t="str">
        <f>IF(AND(AD1694=1,D1694="Military",H1694&lt;&gt;"Not given")=TRUE,IF(SUMIFS(P:P,A:A,A1694)&gt;0,ABS((SUMIFS(P:P,A:A,A1694)/VLOOKUP("USD",'Exchange Rates'!B:C,2,0)))/S1694,"."),".")</f>
        <v>.</v>
      </c>
      <c r="BA1694" s="1196" t="str">
        <f>IF(AND(AD1694=1,D1694="Military",H1694&lt;&gt;"Not given")=TRUE,IF(SUMIFS(P:P,A:A,A1694)&gt;0,IF((ABS((SUMIFS(P:P,A:A,A1694)/VLOOKUP("USD",'Exchange Rates'!B:C,2,0)))/S1694)&gt;1,(SUMIFS(P:P,A:A,A1694)-S1694)/S1694,(S1694-SUMIFS(P:P,A:A,A1694))/SUMIFS(P:P,A:A,A1694)),"."),".")</f>
        <v>.</v>
      </c>
    </row>
    <row r="1695" spans="1:53" ht="15.95" customHeight="1">
      <c r="A1695" s="1208" t="s">
        <v>4284</v>
      </c>
      <c r="B1695" s="1208" t="s">
        <v>3949</v>
      </c>
      <c r="C1695" s="1220">
        <v>44875</v>
      </c>
      <c r="D1695" s="1208" t="s">
        <v>389</v>
      </c>
      <c r="E1695" s="1208" t="s">
        <v>390</v>
      </c>
      <c r="F1695" s="1263" t="s">
        <v>4296</v>
      </c>
      <c r="G1695" s="1184" t="s">
        <v>456</v>
      </c>
      <c r="H1695" s="1221">
        <v>400000000</v>
      </c>
      <c r="I1695" s="1180" t="s">
        <v>4187</v>
      </c>
      <c r="J1695" s="1186" t="str">
        <f>VLOOKUP($I1695,'Price List, Weapons &amp; Items'!B:C,2,0)</f>
        <v>Heavy weapon</v>
      </c>
      <c r="K1695" s="1186" t="str">
        <f>IF(I1695=".",I1695,VLOOKUP($I1695,'Price List, Weapons &amp; Items'!B:D,3,0))</f>
        <v>Armored Utility Vehicle (AUV)</v>
      </c>
      <c r="L1695" s="1187">
        <f>VLOOKUP(I1695,'Price List, Weapons &amp; Items'!B:E,4,0)</f>
        <v>0</v>
      </c>
      <c r="M1695" s="1188">
        <v>100</v>
      </c>
      <c r="N1695" s="1188" t="s">
        <v>374</v>
      </c>
      <c r="O1695" s="1188">
        <f>VLOOKUP($I1695,'Price List, Weapons &amp; Items'!B:G,6,0)</f>
        <v>254717</v>
      </c>
      <c r="P1695" s="1185">
        <f t="shared" si="358"/>
        <v>25471700</v>
      </c>
      <c r="Q1695" s="1185" t="str">
        <f t="shared" si="359"/>
        <v>.</v>
      </c>
      <c r="R1695" s="1185" t="str">
        <f t="shared" si="355"/>
        <v/>
      </c>
      <c r="S1695" s="1185" t="str">
        <f>IF(AND(AD1695=1,R1695&lt;&gt;".")=TRUE,R1695/VLOOKUP(G1695,'Exchange Rates'!B:C,2,0),IF(R1695=".",".",""))</f>
        <v/>
      </c>
      <c r="T1695" s="1185" t="str">
        <f>IF(AD1695=1,IF(AF1695="Value is not given at all",".",IF(AF1695="Value is given by the source",S1695,IF(AF1695="Value is calculated with prices",(IF(SUMIFS(Q:Q,A:A,A1695)&gt;0,SUMIFS(Q:Q,A:A,A1695),"."))/VLOOKUP("USD",'Exchange Rates'!B:C,2,0),"Error with coding"))),"")</f>
        <v/>
      </c>
      <c r="U1695" s="1184" t="s">
        <v>365</v>
      </c>
      <c r="V1695" s="979" t="s">
        <v>4297</v>
      </c>
      <c r="W1695" s="983" t="s">
        <v>3978</v>
      </c>
      <c r="X1695" s="980" t="s">
        <v>3982</v>
      </c>
      <c r="Y1695" s="966" t="s">
        <v>4036</v>
      </c>
      <c r="Z1695" s="1184">
        <v>0</v>
      </c>
      <c r="AA1695" s="1194">
        <v>0</v>
      </c>
      <c r="AB1695" s="1000" t="s">
        <v>364</v>
      </c>
      <c r="AC1695" s="1192" t="str">
        <f>""</f>
        <v/>
      </c>
      <c r="AD1695" s="1193">
        <v>0</v>
      </c>
      <c r="AE1695" s="1193" t="s">
        <v>368</v>
      </c>
      <c r="AF1695" s="1193" t="s">
        <v>369</v>
      </c>
      <c r="AG1695" s="1193">
        <v>1</v>
      </c>
      <c r="AH1695" s="1193">
        <v>11</v>
      </c>
      <c r="AI1695" s="1193">
        <v>0</v>
      </c>
      <c r="AJ1695" s="1193">
        <f>VLOOKUP($I1695,'Price List, Weapons &amp; Items'!B:F,5,0)</f>
        <v>1</v>
      </c>
      <c r="AK1695" s="1193">
        <f t="shared" si="360"/>
        <v>0</v>
      </c>
      <c r="AL1695" s="1193">
        <f t="shared" si="361"/>
        <v>1</v>
      </c>
      <c r="AM1695" s="1193">
        <f t="shared" si="362"/>
        <v>0</v>
      </c>
      <c r="AN1695" s="1194" t="str">
        <f>VLOOKUP($I1695,'Price List, Weapons &amp; Items'!B:L,COLUMN('Price List, Weapons &amp; Items'!$J$11)-1,0)</f>
        <v>Military media (incl. websites)</v>
      </c>
      <c r="AO1695" s="1194" t="str">
        <f>IF(I1695=".",".",VLOOKUP($I1695,'Price List, Weapons &amp; Items'!B:J,3,0))</f>
        <v>Armored Utility Vehicle (AUV)</v>
      </c>
      <c r="AP1695" s="1195" t="str">
        <f t="shared" ca="1" si="356"/>
        <v/>
      </c>
      <c r="AQ1695" s="1194">
        <f>VLOOKUP($I1695,'Price List, Weapons &amp; Items'!B:L,COLUMN('Price List, Weapons &amp; Items'!$L$11)-1,0)</f>
        <v>2</v>
      </c>
      <c r="AR1695" s="1194">
        <f t="shared" si="363"/>
        <v>1</v>
      </c>
      <c r="AS1695" s="1194">
        <f t="shared" si="364"/>
        <v>1</v>
      </c>
      <c r="AT1695" s="1194">
        <f t="shared" si="365"/>
        <v>1</v>
      </c>
      <c r="AU1695" s="1194" t="str">
        <f t="shared" ref="AU1695:AU1726" si="367">IF(AND(A1695=A1694,C1695=C1694)=TRUE,IF(F1695=F1694,".","1"),".")</f>
        <v>.</v>
      </c>
      <c r="AV1695" s="1194" t="str">
        <f t="shared" si="357"/>
        <v>.</v>
      </c>
      <c r="AW1695" s="1194" t="str">
        <f t="shared" si="366"/>
        <v>.</v>
      </c>
      <c r="AX1695" s="1194">
        <f>IFERROR(VLOOKUP(B1695,'Share, Heavy Weapons to Ukraine'!B:Z,COLUMN('Share, Heavy Weapons to Ukraine'!C1706)-1,0),0)</f>
        <v>1</v>
      </c>
      <c r="AY1695" s="1194">
        <f>VLOOKUP('Bilateral Assistance, MAIN DATA'!B1695,'Country Summary (€)'!B:F,COLUMN('Country Summary (€)'!C1707)-1,FALSE)</f>
        <v>0</v>
      </c>
      <c r="AZ1695" s="1194" t="str">
        <f>IF(AND(AD1695=1,D1695="Military",H1695&lt;&gt;"Not given")=TRUE,IF(SUMIFS(P:P,A:A,A1695)&gt;0,ABS((SUMIFS(P:P,A:A,A1695)/VLOOKUP("USD",'Exchange Rates'!B:C,2,0)))/S1695,"."),".")</f>
        <v>.</v>
      </c>
      <c r="BA1695" s="1196" t="str">
        <f>IF(AND(AD1695=1,D1695="Military",H1695&lt;&gt;"Not given")=TRUE,IF(SUMIFS(P:P,A:A,A1695)&gt;0,IF((ABS((SUMIFS(P:P,A:A,A1695)/VLOOKUP("USD",'Exchange Rates'!B:C,2,0)))/S1695)&gt;1,(SUMIFS(P:P,A:A,A1695)-S1695)/S1695,(S1695-SUMIFS(P:P,A:A,A1695))/SUMIFS(P:P,A:A,A1695)),"."),".")</f>
        <v>.</v>
      </c>
    </row>
    <row r="1696" spans="1:53" ht="15.95" customHeight="1">
      <c r="A1696" s="1208" t="s">
        <v>4284</v>
      </c>
      <c r="B1696" s="1208" t="s">
        <v>3949</v>
      </c>
      <c r="C1696" s="1220">
        <v>44875</v>
      </c>
      <c r="D1696" s="1208" t="s">
        <v>389</v>
      </c>
      <c r="E1696" s="1208" t="s">
        <v>390</v>
      </c>
      <c r="F1696" s="1263" t="s">
        <v>4296</v>
      </c>
      <c r="G1696" s="1184" t="s">
        <v>456</v>
      </c>
      <c r="H1696" s="1221">
        <v>400000000</v>
      </c>
      <c r="I1696" s="1180" t="s">
        <v>4004</v>
      </c>
      <c r="J1696" s="1186" t="str">
        <f>VLOOKUP($I1696,'Price List, Weapons &amp; Items'!B:C,2,0)</f>
        <v>Portable defence system</v>
      </c>
      <c r="K1696" s="1186" t="str">
        <f>IF(I1696=".",I1696,VLOOKUP($I1696,'Price List, Weapons &amp; Items'!B:D,3,0))</f>
        <v>Under-barrel grenade launcher</v>
      </c>
      <c r="L1696" s="1187">
        <f>VLOOKUP(I1696,'Price List, Weapons &amp; Items'!B:E,4,0)</f>
        <v>0</v>
      </c>
      <c r="M1696" s="1188">
        <v>400</v>
      </c>
      <c r="N1696" s="1188" t="s">
        <v>374</v>
      </c>
      <c r="O1696" s="1188">
        <f>VLOOKUP($I1696,'Price List, Weapons &amp; Items'!B:G,6,0)</f>
        <v>2291</v>
      </c>
      <c r="P1696" s="1185">
        <f t="shared" si="358"/>
        <v>916400</v>
      </c>
      <c r="Q1696" s="1185" t="str">
        <f t="shared" si="359"/>
        <v>.</v>
      </c>
      <c r="R1696" s="1185" t="str">
        <f t="shared" si="355"/>
        <v/>
      </c>
      <c r="S1696" s="1185" t="str">
        <f>IF(AND(AD1696=1,R1696&lt;&gt;".")=TRUE,R1696/VLOOKUP(G1696,'Exchange Rates'!B:C,2,0),IF(R1696=".",".",""))</f>
        <v/>
      </c>
      <c r="T1696" s="1185" t="str">
        <f>IF(AD1696=1,IF(AF1696="Value is not given at all",".",IF(AF1696="Value is given by the source",S1696,IF(AF1696="Value is calculated with prices",(IF(SUMIFS(Q:Q,A:A,A1696)&gt;0,SUMIFS(Q:Q,A:A,A1696),"."))/VLOOKUP("USD",'Exchange Rates'!B:C,2,0),"Error with coding"))),"")</f>
        <v/>
      </c>
      <c r="U1696" s="1184" t="s">
        <v>365</v>
      </c>
      <c r="V1696" s="979" t="s">
        <v>4297</v>
      </c>
      <c r="W1696" s="983" t="s">
        <v>3978</v>
      </c>
      <c r="X1696" s="980" t="s">
        <v>3982</v>
      </c>
      <c r="Y1696" s="966" t="s">
        <v>4037</v>
      </c>
      <c r="Z1696" s="1184">
        <v>0</v>
      </c>
      <c r="AA1696" s="1194">
        <v>0</v>
      </c>
      <c r="AB1696" s="1000" t="s">
        <v>364</v>
      </c>
      <c r="AC1696" s="1192" t="str">
        <f>""</f>
        <v/>
      </c>
      <c r="AD1696" s="1193">
        <v>0</v>
      </c>
      <c r="AE1696" s="1193" t="s">
        <v>368</v>
      </c>
      <c r="AF1696" s="1193" t="s">
        <v>369</v>
      </c>
      <c r="AG1696" s="1193">
        <v>1</v>
      </c>
      <c r="AH1696" s="1193">
        <v>11</v>
      </c>
      <c r="AI1696" s="1193">
        <v>0</v>
      </c>
      <c r="AJ1696" s="1193">
        <f>VLOOKUP($I1696,'Price List, Weapons &amp; Items'!B:F,5,0)</f>
        <v>0</v>
      </c>
      <c r="AK1696" s="1193">
        <f t="shared" si="360"/>
        <v>0</v>
      </c>
      <c r="AL1696" s="1193">
        <f t="shared" si="361"/>
        <v>0</v>
      </c>
      <c r="AM1696" s="1193">
        <f t="shared" si="362"/>
        <v>0</v>
      </c>
      <c r="AN1696" s="1194" t="str">
        <f>VLOOKUP($I1696,'Price List, Weapons &amp; Items'!B:L,COLUMN('Price List, Weapons &amp; Items'!$J$11)-1,0)</f>
        <v>Miscellaneous</v>
      </c>
      <c r="AO1696" s="1194" t="str">
        <f>IF(I1696=".",".",VLOOKUP($I1696,'Price List, Weapons &amp; Items'!B:J,3,0))</f>
        <v>Under-barrel grenade launcher</v>
      </c>
      <c r="AP1696" s="1195" t="str">
        <f t="shared" ca="1" si="356"/>
        <v/>
      </c>
      <c r="AQ1696" s="1194">
        <f>VLOOKUP($I1696,'Price List, Weapons &amp; Items'!B:L,COLUMN('Price List, Weapons &amp; Items'!$L$11)-1,0)</f>
        <v>2</v>
      </c>
      <c r="AR1696" s="1194">
        <f t="shared" si="363"/>
        <v>1</v>
      </c>
      <c r="AS1696" s="1194">
        <f t="shared" si="364"/>
        <v>1</v>
      </c>
      <c r="AT1696" s="1194">
        <f t="shared" si="365"/>
        <v>1</v>
      </c>
      <c r="AU1696" s="1194" t="str">
        <f t="shared" si="367"/>
        <v>.</v>
      </c>
      <c r="AV1696" s="1194" t="str">
        <f t="shared" si="357"/>
        <v>.</v>
      </c>
      <c r="AW1696" s="1194" t="str">
        <f t="shared" si="366"/>
        <v>.</v>
      </c>
      <c r="AX1696" s="1194">
        <f>IFERROR(VLOOKUP(B1696,'Share, Heavy Weapons to Ukraine'!B:Z,COLUMN('Share, Heavy Weapons to Ukraine'!C1707)-1,0),0)</f>
        <v>1</v>
      </c>
      <c r="AY1696" s="1194">
        <f>VLOOKUP('Bilateral Assistance, MAIN DATA'!B1696,'Country Summary (€)'!B:F,COLUMN('Country Summary (€)'!C1708)-1,FALSE)</f>
        <v>0</v>
      </c>
      <c r="AZ1696" s="1194" t="str">
        <f>IF(AND(AD1696=1,D1696="Military",H1696&lt;&gt;"Not given")=TRUE,IF(SUMIFS(P:P,A:A,A1696)&gt;0,ABS((SUMIFS(P:P,A:A,A1696)/VLOOKUP("USD",'Exchange Rates'!B:C,2,0)))/S1696,"."),".")</f>
        <v>.</v>
      </c>
      <c r="BA1696" s="1196" t="str">
        <f>IF(AND(AD1696=1,D1696="Military",H1696&lt;&gt;"Not given")=TRUE,IF(SUMIFS(P:P,A:A,A1696)&gt;0,IF((ABS((SUMIFS(P:P,A:A,A1696)/VLOOKUP("USD",'Exchange Rates'!B:C,2,0)))/S1696)&gt;1,(SUMIFS(P:P,A:A,A1696)-S1696)/S1696,(S1696-SUMIFS(P:P,A:A,A1696))/SUMIFS(P:P,A:A,A1696)),"."),".")</f>
        <v>.</v>
      </c>
    </row>
    <row r="1697" spans="1:53" ht="15.95" customHeight="1">
      <c r="A1697" s="1208" t="s">
        <v>4284</v>
      </c>
      <c r="B1697" s="1208" t="s">
        <v>3949</v>
      </c>
      <c r="C1697" s="1220">
        <v>44875</v>
      </c>
      <c r="D1697" s="1208" t="s">
        <v>389</v>
      </c>
      <c r="E1697" s="1208" t="s">
        <v>390</v>
      </c>
      <c r="F1697" s="1263" t="s">
        <v>4296</v>
      </c>
      <c r="G1697" s="1184" t="s">
        <v>456</v>
      </c>
      <c r="H1697" s="1221">
        <v>400000000</v>
      </c>
      <c r="I1697" s="1180" t="s">
        <v>2025</v>
      </c>
      <c r="J1697" s="1186" t="str">
        <f>VLOOKUP($I1697,'Price List, Weapons &amp; Items'!B:C,2,0)</f>
        <v>Ammunition for light infantry</v>
      </c>
      <c r="K1697" s="1186" t="str">
        <f>IF(I1697=".",I1697,VLOOKUP($I1697,'Price List, Weapons &amp; Items'!B:D,3,0))</f>
        <v>Small Arms and Light Weapons (SALW) ammunition</v>
      </c>
      <c r="L1697" s="1187">
        <f>VLOOKUP(I1697,'Price List, Weapons &amp; Items'!B:E,4,0)</f>
        <v>0</v>
      </c>
      <c r="M1697" s="1188">
        <v>2000000</v>
      </c>
      <c r="N1697" s="1188" t="s">
        <v>374</v>
      </c>
      <c r="O1697" s="1188">
        <f>VLOOKUP($I1697,'Price List, Weapons &amp; Items'!B:G,6,0)</f>
        <v>0.47</v>
      </c>
      <c r="P1697" s="1185">
        <f t="shared" si="358"/>
        <v>940000</v>
      </c>
      <c r="Q1697" s="1185" t="str">
        <f t="shared" si="359"/>
        <v>.</v>
      </c>
      <c r="R1697" s="1185" t="str">
        <f t="shared" si="355"/>
        <v/>
      </c>
      <c r="S1697" s="1185" t="str">
        <f>IF(AND(AD1697=1,R1697&lt;&gt;".")=TRUE,R1697/VLOOKUP(G1697,'Exchange Rates'!B:C,2,0),IF(R1697=".",".",""))</f>
        <v/>
      </c>
      <c r="T1697" s="1185" t="str">
        <f>IF(AD1697=1,IF(AF1697="Value is not given at all",".",IF(AF1697="Value is given by the source",S1697,IF(AF1697="Value is calculated with prices",(IF(SUMIFS(Q:Q,A:A,A1697)&gt;0,SUMIFS(Q:Q,A:A,A1697),"."))/VLOOKUP("USD",'Exchange Rates'!B:C,2,0),"Error with coding"))),"")</f>
        <v/>
      </c>
      <c r="U1697" s="1184" t="s">
        <v>365</v>
      </c>
      <c r="V1697" s="979" t="s">
        <v>4297</v>
      </c>
      <c r="W1697" s="983" t="s">
        <v>3978</v>
      </c>
      <c r="X1697" s="980" t="s">
        <v>3982</v>
      </c>
      <c r="Y1697" s="966" t="s">
        <v>4038</v>
      </c>
      <c r="Z1697" s="1184">
        <v>0</v>
      </c>
      <c r="AA1697" s="1194">
        <v>0</v>
      </c>
      <c r="AB1697" s="1000" t="s">
        <v>364</v>
      </c>
      <c r="AC1697" s="1192" t="str">
        <f>""</f>
        <v/>
      </c>
      <c r="AD1697" s="1193">
        <v>0</v>
      </c>
      <c r="AE1697" s="1193" t="s">
        <v>368</v>
      </c>
      <c r="AF1697" s="1193" t="s">
        <v>369</v>
      </c>
      <c r="AG1697" s="1193">
        <v>1</v>
      </c>
      <c r="AH1697" s="1193">
        <v>11</v>
      </c>
      <c r="AI1697" s="1193">
        <v>0</v>
      </c>
      <c r="AJ1697" s="1193">
        <f>VLOOKUP($I1697,'Price List, Weapons &amp; Items'!B:F,5,0)</f>
        <v>0</v>
      </c>
      <c r="AK1697" s="1193">
        <f t="shared" si="360"/>
        <v>0</v>
      </c>
      <c r="AL1697" s="1193">
        <f t="shared" si="361"/>
        <v>0</v>
      </c>
      <c r="AM1697" s="1193">
        <f t="shared" si="362"/>
        <v>1</v>
      </c>
      <c r="AN1697" s="1194" t="str">
        <f>VLOOKUP($I1697,'Price List, Weapons &amp; Items'!B:L,COLUMN('Price List, Weapons &amp; Items'!$J$11)-1,0)</f>
        <v>Miscellaneous</v>
      </c>
      <c r="AO1697" s="1194" t="str">
        <f>IF(I1697=".",".",VLOOKUP($I1697,'Price List, Weapons &amp; Items'!B:J,3,0))</f>
        <v>Small Arms and Light Weapons (SALW) ammunition</v>
      </c>
      <c r="AP1697" s="1195" t="str">
        <f t="shared" ca="1" si="356"/>
        <v/>
      </c>
      <c r="AQ1697" s="1194">
        <f>VLOOKUP($I1697,'Price List, Weapons &amp; Items'!B:L,COLUMN('Price List, Weapons &amp; Items'!$L$11)-1,0)</f>
        <v>2</v>
      </c>
      <c r="AR1697" s="1194">
        <f t="shared" si="363"/>
        <v>1</v>
      </c>
      <c r="AS1697" s="1194">
        <f t="shared" si="364"/>
        <v>1</v>
      </c>
      <c r="AT1697" s="1194">
        <f t="shared" si="365"/>
        <v>1</v>
      </c>
      <c r="AU1697" s="1194" t="str">
        <f t="shared" si="367"/>
        <v>.</v>
      </c>
      <c r="AV1697" s="1194" t="str">
        <f t="shared" si="357"/>
        <v>.</v>
      </c>
      <c r="AW1697" s="1194" t="str">
        <f t="shared" si="366"/>
        <v>.</v>
      </c>
      <c r="AX1697" s="1194">
        <f>IFERROR(VLOOKUP(B1697,'Share, Heavy Weapons to Ukraine'!B:Z,COLUMN('Share, Heavy Weapons to Ukraine'!C1708)-1,0),0)</f>
        <v>1</v>
      </c>
      <c r="AY1697" s="1194">
        <f>VLOOKUP('Bilateral Assistance, MAIN DATA'!B1697,'Country Summary (€)'!B:F,COLUMN('Country Summary (€)'!C1709)-1,FALSE)</f>
        <v>0</v>
      </c>
      <c r="AZ1697" s="1194" t="str">
        <f>IF(AND(AD1697=1,D1697="Military",H1697&lt;&gt;"Not given")=TRUE,IF(SUMIFS(P:P,A:A,A1697)&gt;0,ABS((SUMIFS(P:P,A:A,A1697)/VLOOKUP("USD",'Exchange Rates'!B:C,2,0)))/S1697,"."),".")</f>
        <v>.</v>
      </c>
      <c r="BA1697" s="1196" t="str">
        <f>IF(AND(AD1697=1,D1697="Military",H1697&lt;&gt;"Not given")=TRUE,IF(SUMIFS(P:P,A:A,A1697)&gt;0,IF((ABS((SUMIFS(P:P,A:A,A1697)/VLOOKUP("USD",'Exchange Rates'!B:C,2,0)))/S1697)&gt;1,(SUMIFS(P:P,A:A,A1697)-S1697)/S1697,(S1697-SUMIFS(P:P,A:A,A1697))/SUMIFS(P:P,A:A,A1697)),"."),".")</f>
        <v>.</v>
      </c>
    </row>
    <row r="1698" spans="1:53" ht="15.95" customHeight="1">
      <c r="A1698" s="1208" t="s">
        <v>4284</v>
      </c>
      <c r="B1698" s="1208" t="s">
        <v>3949</v>
      </c>
      <c r="C1698" s="1220">
        <v>44875</v>
      </c>
      <c r="D1698" s="1208" t="s">
        <v>389</v>
      </c>
      <c r="E1698" s="1208" t="s">
        <v>390</v>
      </c>
      <c r="F1698" s="1263" t="s">
        <v>4296</v>
      </c>
      <c r="G1698" s="1184" t="s">
        <v>456</v>
      </c>
      <c r="H1698" s="1221">
        <v>400000000</v>
      </c>
      <c r="I1698" s="1180" t="s">
        <v>4040</v>
      </c>
      <c r="J1698" s="1186" t="str">
        <f>VLOOKUP($I1698,'Price List, Weapons &amp; Items'!B:C,2,0)</f>
        <v>Military equipment</v>
      </c>
      <c r="K1698" s="1186" t="str">
        <f>IF(I1698=".",I1698,VLOOKUP($I1698,'Price List, Weapons &amp; Items'!B:D,3,0))</f>
        <v>Military equipment</v>
      </c>
      <c r="L1698" s="1187">
        <f>VLOOKUP(I1698,'Price List, Weapons &amp; Items'!B:E,4,0)</f>
        <v>0</v>
      </c>
      <c r="M1698" s="1188" t="s">
        <v>374</v>
      </c>
      <c r="N1698" s="1188" t="s">
        <v>374</v>
      </c>
      <c r="O1698" s="1188">
        <f>VLOOKUP($I1698,'Price List, Weapons &amp; Items'!B:G,6,0)</f>
        <v>45</v>
      </c>
      <c r="P1698" s="1185" t="str">
        <f t="shared" si="358"/>
        <v>.</v>
      </c>
      <c r="Q1698" s="1185" t="str">
        <f t="shared" si="359"/>
        <v>.</v>
      </c>
      <c r="R1698" s="1185" t="str">
        <f t="shared" si="355"/>
        <v/>
      </c>
      <c r="S1698" s="1185" t="str">
        <f>IF(AND(AD1698=1,R1698&lt;&gt;".")=TRUE,R1698/VLOOKUP(G1698,'Exchange Rates'!B:C,2,0),IF(R1698=".",".",""))</f>
        <v/>
      </c>
      <c r="T1698" s="1185" t="str">
        <f>IF(AD1698=1,IF(AF1698="Value is not given at all",".",IF(AF1698="Value is given by the source",S1698,IF(AF1698="Value is calculated with prices",(IF(SUMIFS(Q:Q,A:A,A1698)&gt;0,SUMIFS(Q:Q,A:A,A1698),"."))/VLOOKUP("USD",'Exchange Rates'!B:C,2,0),"Error with coding"))),"")</f>
        <v/>
      </c>
      <c r="U1698" s="1184" t="s">
        <v>365</v>
      </c>
      <c r="V1698" s="979" t="s">
        <v>4297</v>
      </c>
      <c r="W1698" s="983" t="s">
        <v>3978</v>
      </c>
      <c r="X1698" s="980" t="s">
        <v>3982</v>
      </c>
      <c r="Y1698" s="966" t="s">
        <v>4039</v>
      </c>
      <c r="Z1698" s="1184">
        <v>0</v>
      </c>
      <c r="AA1698" s="1194">
        <v>0</v>
      </c>
      <c r="AB1698" s="1000" t="s">
        <v>364</v>
      </c>
      <c r="AC1698" s="1192" t="str">
        <f>""</f>
        <v/>
      </c>
      <c r="AD1698" s="1193">
        <v>0</v>
      </c>
      <c r="AE1698" s="1193" t="s">
        <v>368</v>
      </c>
      <c r="AF1698" s="1193" t="s">
        <v>369</v>
      </c>
      <c r="AG1698" s="1193">
        <v>1</v>
      </c>
      <c r="AH1698" s="1193">
        <v>11</v>
      </c>
      <c r="AI1698" s="1193">
        <v>0</v>
      </c>
      <c r="AJ1698" s="1193">
        <f>VLOOKUP($I1698,'Price List, Weapons &amp; Items'!B:F,5,0)</f>
        <v>0</v>
      </c>
      <c r="AK1698" s="1193">
        <f t="shared" si="360"/>
        <v>0</v>
      </c>
      <c r="AL1698" s="1193">
        <f t="shared" si="361"/>
        <v>0</v>
      </c>
      <c r="AM1698" s="1193">
        <f t="shared" si="362"/>
        <v>0</v>
      </c>
      <c r="AN1698" s="1194" t="str">
        <f>VLOOKUP($I1698,'Price List, Weapons &amp; Items'!B:L,COLUMN('Price List, Weapons &amp; Items'!$J$11)-1,0)</f>
        <v>Online marketplaces and stores</v>
      </c>
      <c r="AO1698" s="1194" t="str">
        <f>IF(I1698=".",".",VLOOKUP($I1698,'Price List, Weapons &amp; Items'!B:J,3,0))</f>
        <v>Military equipment</v>
      </c>
      <c r="AP1698" s="1195" t="str">
        <f t="shared" ca="1" si="356"/>
        <v/>
      </c>
      <c r="AQ1698" s="1194">
        <f>VLOOKUP($I1698,'Price List, Weapons &amp; Items'!B:L,COLUMN('Price List, Weapons &amp; Items'!$L$11)-1,0)</f>
        <v>1</v>
      </c>
      <c r="AR1698" s="1194">
        <f t="shared" si="363"/>
        <v>1</v>
      </c>
      <c r="AS1698" s="1194">
        <f t="shared" si="364"/>
        <v>1</v>
      </c>
      <c r="AT1698" s="1194">
        <f t="shared" si="365"/>
        <v>1</v>
      </c>
      <c r="AU1698" s="1194" t="str">
        <f t="shared" si="367"/>
        <v>.</v>
      </c>
      <c r="AV1698" s="1194" t="str">
        <f t="shared" si="357"/>
        <v>.</v>
      </c>
      <c r="AW1698" s="1194" t="str">
        <f t="shared" si="366"/>
        <v>.</v>
      </c>
      <c r="AX1698" s="1194">
        <f>IFERROR(VLOOKUP(B1698,'Share, Heavy Weapons to Ukraine'!B:Z,COLUMN('Share, Heavy Weapons to Ukraine'!C1709)-1,0),0)</f>
        <v>1</v>
      </c>
      <c r="AY1698" s="1194">
        <f>VLOOKUP('Bilateral Assistance, MAIN DATA'!B1698,'Country Summary (€)'!B:F,COLUMN('Country Summary (€)'!C1710)-1,FALSE)</f>
        <v>0</v>
      </c>
      <c r="AZ1698" s="1194" t="str">
        <f>IF(AND(AD1698=1,D1698="Military",H1698&lt;&gt;"Not given")=TRUE,IF(SUMIFS(P:P,A:A,A1698)&gt;0,ABS((SUMIFS(P:P,A:A,A1698)/VLOOKUP("USD",'Exchange Rates'!B:C,2,0)))/S1698,"."),".")</f>
        <v>.</v>
      </c>
      <c r="BA1698" s="1196" t="str">
        <f>IF(AND(AD1698=1,D1698="Military",H1698&lt;&gt;"Not given")=TRUE,IF(SUMIFS(P:P,A:A,A1698)&gt;0,IF((ABS((SUMIFS(P:P,A:A,A1698)/VLOOKUP("USD",'Exchange Rates'!B:C,2,0)))/S1698)&gt;1,(SUMIFS(P:P,A:A,A1698)-S1698)/S1698,(S1698-SUMIFS(P:P,A:A,A1698))/SUMIFS(P:P,A:A,A1698)),"."),".")</f>
        <v>.</v>
      </c>
    </row>
    <row r="1699" spans="1:53" ht="15.95" customHeight="1">
      <c r="A1699" s="1208" t="s">
        <v>4284</v>
      </c>
      <c r="B1699" s="1208" t="s">
        <v>3949</v>
      </c>
      <c r="C1699" s="1220">
        <v>44875</v>
      </c>
      <c r="D1699" s="1208" t="s">
        <v>389</v>
      </c>
      <c r="E1699" s="1208" t="s">
        <v>390</v>
      </c>
      <c r="F1699" s="1263" t="s">
        <v>4296</v>
      </c>
      <c r="G1699" s="1184" t="s">
        <v>456</v>
      </c>
      <c r="H1699" s="1221">
        <v>400000000</v>
      </c>
      <c r="I1699" s="1180" t="s">
        <v>4043</v>
      </c>
      <c r="J1699" s="1186" t="str">
        <f>VLOOKUP($I1699,'Price List, Weapons &amp; Items'!B:C,2,0)</f>
        <v>Military equipment</v>
      </c>
      <c r="K1699" s="1186" t="str">
        <f>IF(I1699=".",I1699,VLOOKUP($I1699,'Price List, Weapons &amp; Items'!B:D,3,0))</f>
        <v>Military equipment</v>
      </c>
      <c r="L1699" s="1187">
        <f>VLOOKUP(I1699,'Price List, Weapons &amp; Items'!B:E,4,0)</f>
        <v>0</v>
      </c>
      <c r="M1699" s="1188" t="s">
        <v>374</v>
      </c>
      <c r="N1699" s="1188" t="s">
        <v>374</v>
      </c>
      <c r="O1699" s="1188">
        <f>VLOOKUP($I1699,'Price List, Weapons &amp; Items'!B:G,6,0)</f>
        <v>90</v>
      </c>
      <c r="P1699" s="1185" t="str">
        <f t="shared" si="358"/>
        <v>.</v>
      </c>
      <c r="Q1699" s="1185" t="str">
        <f t="shared" si="359"/>
        <v>.</v>
      </c>
      <c r="R1699" s="1185" t="str">
        <f t="shared" si="355"/>
        <v/>
      </c>
      <c r="S1699" s="1185" t="str">
        <f>IF(AND(AD1699=1,R1699&lt;&gt;".")=TRUE,R1699/VLOOKUP(G1699,'Exchange Rates'!B:C,2,0),IF(R1699=".",".",""))</f>
        <v/>
      </c>
      <c r="T1699" s="1185" t="str">
        <f>IF(AD1699=1,IF(AF1699="Value is not given at all",".",IF(AF1699="Value is given by the source",S1699,IF(AF1699="Value is calculated with prices",(IF(SUMIFS(Q:Q,A:A,A1699)&gt;0,SUMIFS(Q:Q,A:A,A1699),"."))/VLOOKUP("USD",'Exchange Rates'!B:C,2,0),"Error with coding"))),"")</f>
        <v/>
      </c>
      <c r="U1699" s="1184" t="s">
        <v>365</v>
      </c>
      <c r="V1699" s="979" t="s">
        <v>4297</v>
      </c>
      <c r="W1699" s="983" t="s">
        <v>3978</v>
      </c>
      <c r="X1699" s="980" t="s">
        <v>3982</v>
      </c>
      <c r="Y1699" s="966" t="s">
        <v>4041</v>
      </c>
      <c r="Z1699" s="1184">
        <v>0</v>
      </c>
      <c r="AA1699" s="1194">
        <v>0</v>
      </c>
      <c r="AB1699" s="1000" t="s">
        <v>364</v>
      </c>
      <c r="AC1699" s="1192" t="str">
        <f>""</f>
        <v/>
      </c>
      <c r="AD1699" s="1193">
        <v>0</v>
      </c>
      <c r="AE1699" s="1193" t="s">
        <v>368</v>
      </c>
      <c r="AF1699" s="1193" t="s">
        <v>369</v>
      </c>
      <c r="AG1699" s="1193">
        <v>1</v>
      </c>
      <c r="AH1699" s="1193">
        <v>11</v>
      </c>
      <c r="AI1699" s="1193">
        <v>0</v>
      </c>
      <c r="AJ1699" s="1193">
        <f>VLOOKUP($I1699,'Price List, Weapons &amp; Items'!B:F,5,0)</f>
        <v>0</v>
      </c>
      <c r="AK1699" s="1193">
        <f t="shared" si="360"/>
        <v>0</v>
      </c>
      <c r="AL1699" s="1193">
        <f t="shared" si="361"/>
        <v>0</v>
      </c>
      <c r="AM1699" s="1193">
        <f t="shared" si="362"/>
        <v>0</v>
      </c>
      <c r="AN1699" s="1194" t="str">
        <f>VLOOKUP($I1699,'Price List, Weapons &amp; Items'!B:L,COLUMN('Price List, Weapons &amp; Items'!$J$11)-1,0)</f>
        <v>Media reports (incl. social media)</v>
      </c>
      <c r="AO1699" s="1194" t="str">
        <f>IF(I1699=".",".",VLOOKUP($I1699,'Price List, Weapons &amp; Items'!B:J,3,0))</f>
        <v>Military equipment</v>
      </c>
      <c r="AP1699" s="1195" t="str">
        <f t="shared" ca="1" si="356"/>
        <v/>
      </c>
      <c r="AQ1699" s="1194" t="str">
        <f>VLOOKUP($I1699,'Price List, Weapons &amp; Items'!B:L,COLUMN('Price List, Weapons &amp; Items'!$L$11)-1,0)</f>
        <v>no price, 0 count</v>
      </c>
      <c r="AR1699" s="1194">
        <f t="shared" si="363"/>
        <v>1</v>
      </c>
      <c r="AS1699" s="1194">
        <f t="shared" si="364"/>
        <v>1</v>
      </c>
      <c r="AT1699" s="1194">
        <f t="shared" si="365"/>
        <v>1</v>
      </c>
      <c r="AU1699" s="1194" t="str">
        <f t="shared" si="367"/>
        <v>.</v>
      </c>
      <c r="AV1699" s="1194" t="str">
        <f t="shared" si="357"/>
        <v>.</v>
      </c>
      <c r="AW1699" s="1194" t="str">
        <f t="shared" si="366"/>
        <v>.</v>
      </c>
      <c r="AX1699" s="1194">
        <f>IFERROR(VLOOKUP(B1699,'Share, Heavy Weapons to Ukraine'!B:Z,COLUMN('Share, Heavy Weapons to Ukraine'!C1710)-1,0),0)</f>
        <v>1</v>
      </c>
      <c r="AY1699" s="1194">
        <f>VLOOKUP('Bilateral Assistance, MAIN DATA'!B1699,'Country Summary (€)'!B:F,COLUMN('Country Summary (€)'!C1711)-1,FALSE)</f>
        <v>0</v>
      </c>
      <c r="AZ1699" s="1194" t="str">
        <f>IF(AND(AD1699=1,D1699="Military",H1699&lt;&gt;"Not given")=TRUE,IF(SUMIFS(P:P,A:A,A1699)&gt;0,ABS((SUMIFS(P:P,A:A,A1699)/VLOOKUP("USD",'Exchange Rates'!B:C,2,0)))/S1699,"."),".")</f>
        <v>.</v>
      </c>
      <c r="BA1699" s="1196" t="str">
        <f>IF(AND(AD1699=1,D1699="Military",H1699&lt;&gt;"Not given")=TRUE,IF(SUMIFS(P:P,A:A,A1699)&gt;0,IF((ABS((SUMIFS(P:P,A:A,A1699)/VLOOKUP("USD",'Exchange Rates'!B:C,2,0)))/S1699)&gt;1,(SUMIFS(P:P,A:A,A1699)-S1699)/S1699,(S1699-SUMIFS(P:P,A:A,A1699))/SUMIFS(P:P,A:A,A1699)),"."),".")</f>
        <v>.</v>
      </c>
    </row>
    <row r="1700" spans="1:53" ht="15.95" customHeight="1">
      <c r="A1700" s="1208" t="s">
        <v>4284</v>
      </c>
      <c r="B1700" s="1208" t="s">
        <v>3949</v>
      </c>
      <c r="C1700" s="1220">
        <v>44875</v>
      </c>
      <c r="D1700" s="1208" t="s">
        <v>389</v>
      </c>
      <c r="E1700" s="1208" t="s">
        <v>390</v>
      </c>
      <c r="F1700" s="1263" t="s">
        <v>4300</v>
      </c>
      <c r="G1700" s="1184" t="s">
        <v>456</v>
      </c>
      <c r="H1700" s="1221">
        <v>400000000</v>
      </c>
      <c r="I1700" s="1180" t="s">
        <v>2747</v>
      </c>
      <c r="J1700" s="1186" t="str">
        <f>VLOOKUP($I1700,'Price List, Weapons &amp; Items'!B:C,2,0)</f>
        <v>Heavy weapon</v>
      </c>
      <c r="K1700" s="1186" t="str">
        <f>IF(I1700=".",I1700,VLOOKUP($I1700,'Price List, Weapons &amp; Items'!B:D,3,0))</f>
        <v>Main battle tank (MBT)</v>
      </c>
      <c r="L1700" s="1187">
        <f>VLOOKUP(I1700,'Price List, Weapons &amp; Items'!B:E,4,0)</f>
        <v>0</v>
      </c>
      <c r="M1700" s="1188">
        <v>45</v>
      </c>
      <c r="N1700" s="1188">
        <v>18.5</v>
      </c>
      <c r="O1700" s="1188">
        <f>VLOOKUP($I1700,'Price List, Weapons &amp; Items'!B:G,6,0)</f>
        <v>1000000</v>
      </c>
      <c r="P1700" s="1185">
        <f t="shared" si="358"/>
        <v>45000000</v>
      </c>
      <c r="Q1700" s="1185">
        <f t="shared" si="359"/>
        <v>18500000</v>
      </c>
      <c r="R1700" s="1185" t="str">
        <f t="shared" si="355"/>
        <v/>
      </c>
      <c r="S1700" s="1185" t="str">
        <f>IF(AND(AD1700=1,R1700&lt;&gt;".")=TRUE,R1700/VLOOKUP(G1700,'Exchange Rates'!B:C,2,0),IF(R1700=".",".",""))</f>
        <v/>
      </c>
      <c r="T1700" s="1185" t="str">
        <f>IF(AD1700=1,IF(AF1700="Value is not given at all",".",IF(AF1700="Value is given by the source",S1700,IF(AF1700="Value is calculated with prices",(IF(SUMIFS(Q:Q,A:A,A1700)&gt;0,SUMIFS(Q:Q,A:A,A1700),"."))/VLOOKUP("USD",'Exchange Rates'!B:C,2,0),"Error with coding"))),"")</f>
        <v/>
      </c>
      <c r="U1700" s="1184" t="s">
        <v>365</v>
      </c>
      <c r="V1700" s="979" t="s">
        <v>4297</v>
      </c>
      <c r="W1700" s="983" t="s">
        <v>3978</v>
      </c>
      <c r="X1700" s="980" t="s">
        <v>3982</v>
      </c>
      <c r="Y1700" s="966" t="s">
        <v>1114</v>
      </c>
      <c r="Z1700" s="1184">
        <v>0</v>
      </c>
      <c r="AA1700" s="1194">
        <v>0</v>
      </c>
      <c r="AB1700" s="1000" t="s">
        <v>364</v>
      </c>
      <c r="AC1700" s="1192" t="str">
        <f>""</f>
        <v/>
      </c>
      <c r="AD1700" s="1193">
        <v>0</v>
      </c>
      <c r="AE1700" s="1193" t="s">
        <v>368</v>
      </c>
      <c r="AF1700" s="1193" t="s">
        <v>369</v>
      </c>
      <c r="AG1700" s="1193">
        <v>1</v>
      </c>
      <c r="AH1700" s="1193">
        <v>11</v>
      </c>
      <c r="AI1700" s="1193">
        <v>0</v>
      </c>
      <c r="AJ1700" s="1193">
        <f>VLOOKUP($I1700,'Price List, Weapons &amp; Items'!B:F,5,0)</f>
        <v>1</v>
      </c>
      <c r="AK1700" s="1193">
        <f t="shared" si="360"/>
        <v>0</v>
      </c>
      <c r="AL1700" s="1193">
        <f t="shared" si="361"/>
        <v>0</v>
      </c>
      <c r="AM1700" s="1193">
        <f t="shared" si="362"/>
        <v>0</v>
      </c>
      <c r="AN1700" s="1194" t="str">
        <f>VLOOKUP($I1700,'Price List, Weapons &amp; Items'!B:L,COLUMN('Price List, Weapons &amp; Items'!$J$11)-1,0)</f>
        <v>Government information</v>
      </c>
      <c r="AO1700" s="1194" t="str">
        <f>IF(I1700=".",".",VLOOKUP($I1700,'Price List, Weapons &amp; Items'!B:J,3,0))</f>
        <v>Main battle tank (MBT)</v>
      </c>
      <c r="AP1700" s="1195" t="str">
        <f t="shared" ca="1" si="356"/>
        <v/>
      </c>
      <c r="AQ1700" s="1194">
        <f>VLOOKUP($I1700,'Price List, Weapons &amp; Items'!B:L,COLUMN('Price List, Weapons &amp; Items'!$L$11)-1,0)</f>
        <v>2</v>
      </c>
      <c r="AR1700" s="1194">
        <f t="shared" si="363"/>
        <v>1</v>
      </c>
      <c r="AS1700" s="1194">
        <f t="shared" si="364"/>
        <v>1</v>
      </c>
      <c r="AT1700" s="1194">
        <f t="shared" si="365"/>
        <v>1</v>
      </c>
      <c r="AU1700" s="1194" t="str">
        <f t="shared" si="367"/>
        <v>1</v>
      </c>
      <c r="AV1700" s="1194" t="str">
        <f t="shared" si="357"/>
        <v>.</v>
      </c>
      <c r="AW1700" s="1194" t="str">
        <f t="shared" si="366"/>
        <v>.</v>
      </c>
      <c r="AX1700" s="1194">
        <f>IFERROR(VLOOKUP(B1700,'Share, Heavy Weapons to Ukraine'!B:Z,COLUMN('Share, Heavy Weapons to Ukraine'!C1711)-1,0),0)</f>
        <v>1</v>
      </c>
      <c r="AY1700" s="1194">
        <f>VLOOKUP('Bilateral Assistance, MAIN DATA'!B1700,'Country Summary (€)'!B:F,COLUMN('Country Summary (€)'!C1712)-1,FALSE)</f>
        <v>0</v>
      </c>
      <c r="AZ1700" s="1194" t="str">
        <f>IF(AND(AD1700=1,D1700="Military",H1700&lt;&gt;"Not given")=TRUE,IF(SUMIFS(P:P,A:A,A1700)&gt;0,ABS((SUMIFS(P:P,A:A,A1700)/VLOOKUP("USD",'Exchange Rates'!B:C,2,0)))/S1700,"."),".")</f>
        <v>.</v>
      </c>
      <c r="BA1700" s="1196" t="str">
        <f>IF(AND(AD1700=1,D1700="Military",H1700&lt;&gt;"Not given")=TRUE,IF(SUMIFS(P:P,A:A,A1700)&gt;0,IF((ABS((SUMIFS(P:P,A:A,A1700)/VLOOKUP("USD",'Exchange Rates'!B:C,2,0)))/S1700)&gt;1,(SUMIFS(P:P,A:A,A1700)-S1700)/S1700,(S1700-SUMIFS(P:P,A:A,A1700))/SUMIFS(P:P,A:A,A1700)),"."),".")</f>
        <v>.</v>
      </c>
    </row>
    <row r="1701" spans="1:53" ht="15.95" customHeight="1">
      <c r="A1701" s="1208" t="s">
        <v>4284</v>
      </c>
      <c r="B1701" s="1208" t="s">
        <v>3949</v>
      </c>
      <c r="C1701" s="1220">
        <v>44875</v>
      </c>
      <c r="D1701" s="1208" t="s">
        <v>389</v>
      </c>
      <c r="E1701" s="1208" t="s">
        <v>390</v>
      </c>
      <c r="F1701" s="1263" t="s">
        <v>4296</v>
      </c>
      <c r="G1701" s="1184" t="s">
        <v>456</v>
      </c>
      <c r="H1701" s="1221">
        <v>400000000</v>
      </c>
      <c r="I1701" s="1180" t="s">
        <v>4214</v>
      </c>
      <c r="J1701" s="1186" t="str">
        <f>VLOOKUP($I1701,'Price List, Weapons &amp; Items'!B:C,2,0)</f>
        <v>Military equipment</v>
      </c>
      <c r="K1701" s="1186" t="str">
        <f>IF(I1701=".",I1701,VLOOKUP($I1701,'Price List, Weapons &amp; Items'!B:D,3,0))</f>
        <v>Military equipment</v>
      </c>
      <c r="L1701" s="1187">
        <f>VLOOKUP(I1701,'Price List, Weapons &amp; Items'!B:E,4,0)</f>
        <v>0</v>
      </c>
      <c r="M1701" s="1188" t="s">
        <v>374</v>
      </c>
      <c r="N1701" s="1188" t="s">
        <v>374</v>
      </c>
      <c r="O1701" s="1188" t="str">
        <f>VLOOKUP($I1701,'Price List, Weapons &amp; Items'!B:G,6,0)</f>
        <v>.</v>
      </c>
      <c r="P1701" s="1185" t="str">
        <f t="shared" si="358"/>
        <v>.</v>
      </c>
      <c r="Q1701" s="1185" t="str">
        <f t="shared" si="359"/>
        <v>.</v>
      </c>
      <c r="R1701" s="1185" t="str">
        <f t="shared" si="355"/>
        <v/>
      </c>
      <c r="S1701" s="1185" t="str">
        <f>IF(AND(AD1701=1,R1701&lt;&gt;".")=TRUE,R1701/VLOOKUP(G1701,'Exchange Rates'!B:C,2,0),IF(R1701=".",".",""))</f>
        <v/>
      </c>
      <c r="T1701" s="1185" t="str">
        <f>IF(AD1701=1,IF(AF1701="Value is not given at all",".",IF(AF1701="Value is given by the source",S1701,IF(AF1701="Value is calculated with prices",(IF(SUMIFS(Q:Q,A:A,A1701)&gt;0,SUMIFS(Q:Q,A:A,A1701),"."))/VLOOKUP("USD",'Exchange Rates'!B:C,2,0),"Error with coding"))),"")</f>
        <v/>
      </c>
      <c r="U1701" s="1184" t="s">
        <v>365</v>
      </c>
      <c r="V1701" s="979" t="s">
        <v>4297</v>
      </c>
      <c r="W1701" s="983" t="s">
        <v>3978</v>
      </c>
      <c r="X1701" s="980" t="s">
        <v>3982</v>
      </c>
      <c r="Y1701" s="966" t="s">
        <v>4042</v>
      </c>
      <c r="Z1701" s="1184">
        <v>0</v>
      </c>
      <c r="AA1701" s="1194">
        <v>0</v>
      </c>
      <c r="AB1701" s="1000" t="s">
        <v>364</v>
      </c>
      <c r="AC1701" s="1192" t="str">
        <f>""</f>
        <v/>
      </c>
      <c r="AD1701" s="1193">
        <v>0</v>
      </c>
      <c r="AE1701" s="1193" t="s">
        <v>368</v>
      </c>
      <c r="AF1701" s="1193" t="s">
        <v>369</v>
      </c>
      <c r="AG1701" s="1193">
        <v>1</v>
      </c>
      <c r="AH1701" s="1193">
        <v>11</v>
      </c>
      <c r="AI1701" s="1193">
        <v>0</v>
      </c>
      <c r="AJ1701" s="1193">
        <f>VLOOKUP($I1701,'Price List, Weapons &amp; Items'!B:F,5,0)</f>
        <v>0</v>
      </c>
      <c r="AK1701" s="1193">
        <f t="shared" si="360"/>
        <v>0</v>
      </c>
      <c r="AL1701" s="1193">
        <f t="shared" si="361"/>
        <v>0</v>
      </c>
      <c r="AM1701" s="1193">
        <f t="shared" si="362"/>
        <v>0</v>
      </c>
      <c r="AN1701" s="1194" t="str">
        <f>VLOOKUP($I1701,'Price List, Weapons &amp; Items'!B:L,COLUMN('Price List, Weapons &amp; Items'!$J$11)-1,0)</f>
        <v>.</v>
      </c>
      <c r="AO1701" s="1194" t="str">
        <f>IF(I1701=".",".",VLOOKUP($I1701,'Price List, Weapons &amp; Items'!B:J,3,0))</f>
        <v>Military equipment</v>
      </c>
      <c r="AP1701" s="1195" t="str">
        <f t="shared" ca="1" si="356"/>
        <v/>
      </c>
      <c r="AQ1701" s="1194" t="str">
        <f>VLOOKUP($I1701,'Price List, Weapons &amp; Items'!B:L,COLUMN('Price List, Weapons &amp; Items'!$L$11)-1,0)</f>
        <v>no price, 0 count</v>
      </c>
      <c r="AR1701" s="1194">
        <f t="shared" si="363"/>
        <v>1</v>
      </c>
      <c r="AS1701" s="1194">
        <f t="shared" si="364"/>
        <v>1</v>
      </c>
      <c r="AT1701" s="1194">
        <f t="shared" si="365"/>
        <v>1</v>
      </c>
      <c r="AU1701" s="1194" t="str">
        <f t="shared" si="367"/>
        <v>1</v>
      </c>
      <c r="AV1701" s="1194" t="str">
        <f t="shared" si="357"/>
        <v>.</v>
      </c>
      <c r="AW1701" s="1194" t="str">
        <f t="shared" si="366"/>
        <v>.</v>
      </c>
      <c r="AX1701" s="1194">
        <f>IFERROR(VLOOKUP(B1701,'Share, Heavy Weapons to Ukraine'!B:Z,COLUMN('Share, Heavy Weapons to Ukraine'!C1712)-1,0),0)</f>
        <v>1</v>
      </c>
      <c r="AY1701" s="1194">
        <f>VLOOKUP('Bilateral Assistance, MAIN DATA'!B1701,'Country Summary (€)'!B:F,COLUMN('Country Summary (€)'!C1713)-1,FALSE)</f>
        <v>0</v>
      </c>
      <c r="AZ1701" s="1194" t="str">
        <f>IF(AND(AD1701=1,D1701="Military",H1701&lt;&gt;"Not given")=TRUE,IF(SUMIFS(P:P,A:A,A1701)&gt;0,ABS((SUMIFS(P:P,A:A,A1701)/VLOOKUP("USD",'Exchange Rates'!B:C,2,0)))/S1701,"."),".")</f>
        <v>.</v>
      </c>
      <c r="BA1701" s="1196" t="str">
        <f>IF(AND(AD1701=1,D1701="Military",H1701&lt;&gt;"Not given")=TRUE,IF(SUMIFS(P:P,A:A,A1701)&gt;0,IF((ABS((SUMIFS(P:P,A:A,A1701)/VLOOKUP("USD",'Exchange Rates'!B:C,2,0)))/S1701)&gt;1,(SUMIFS(P:P,A:A,A1701)-S1701)/S1701,(S1701-SUMIFS(P:P,A:A,A1701))/SUMIFS(P:P,A:A,A1701)),"."),".")</f>
        <v>.</v>
      </c>
    </row>
    <row r="1702" spans="1:53" ht="15.95" customHeight="1">
      <c r="A1702" s="1208" t="s">
        <v>4284</v>
      </c>
      <c r="B1702" s="1208" t="s">
        <v>3949</v>
      </c>
      <c r="C1702" s="1220">
        <v>44888</v>
      </c>
      <c r="D1702" s="1208" t="s">
        <v>389</v>
      </c>
      <c r="E1702" s="1208" t="s">
        <v>390</v>
      </c>
      <c r="F1702" s="1263" t="s">
        <v>4301</v>
      </c>
      <c r="G1702" s="1184" t="s">
        <v>456</v>
      </c>
      <c r="H1702" s="1221">
        <v>400000000</v>
      </c>
      <c r="I1702" s="1208" t="s">
        <v>865</v>
      </c>
      <c r="J1702" s="1186" t="str">
        <f>VLOOKUP($I1702,'Price List, Weapons &amp; Items'!B:C,2,0)</f>
        <v>Ammunition for Heavy Weapon</v>
      </c>
      <c r="K1702" s="1186" t="str">
        <f>IF(I1702=".",I1702,VLOOKUP($I1702,'Price List, Weapons &amp; Items'!B:D,3,0))</f>
        <v>Missile</v>
      </c>
      <c r="L1702" s="1187">
        <f>VLOOKUP(I1702,'Price List, Weapons &amp; Items'!B:E,4,0)</f>
        <v>0</v>
      </c>
      <c r="M1702" s="1188" t="s">
        <v>374</v>
      </c>
      <c r="N1702" s="1188" t="s">
        <v>374</v>
      </c>
      <c r="O1702" s="1188">
        <f>VLOOKUP($I1702,'Price List, Weapons &amp; Items'!B:G,6,0)</f>
        <v>1090000</v>
      </c>
      <c r="P1702" s="1185" t="str">
        <f t="shared" si="358"/>
        <v>.</v>
      </c>
      <c r="Q1702" s="1185" t="str">
        <f t="shared" si="359"/>
        <v>.</v>
      </c>
      <c r="R1702" s="1185" t="str">
        <f t="shared" si="355"/>
        <v/>
      </c>
      <c r="S1702" s="1185" t="str">
        <f>IF(AND(AD1702=1,R1702&lt;&gt;".")=TRUE,R1702/VLOOKUP(G1702,'Exchange Rates'!B:C,2,0),IF(R1702=".",".",""))</f>
        <v/>
      </c>
      <c r="T1702" s="1185" t="str">
        <f>IF(AD1702=1,IF(AF1702="Value is not given at all",".",IF(AF1702="Value is given by the source",S1702,IF(AF1702="Value is calculated with prices",(IF(SUMIFS(Q:Q,A:A,A1702)&gt;0,SUMIFS(Q:Q,A:A,A1702),"."))/VLOOKUP("USD",'Exchange Rates'!B:C,2,0),"Error with coding"))),"")</f>
        <v/>
      </c>
      <c r="U1702" s="1184" t="s">
        <v>365</v>
      </c>
      <c r="V1702" s="1017" t="s">
        <v>4302</v>
      </c>
      <c r="W1702" s="983" t="s">
        <v>3978</v>
      </c>
      <c r="X1702" s="980" t="s">
        <v>3982</v>
      </c>
      <c r="Y1702" s="966" t="s">
        <v>4044</v>
      </c>
      <c r="Z1702" s="1184">
        <v>0</v>
      </c>
      <c r="AA1702" s="1194">
        <v>0</v>
      </c>
      <c r="AB1702" s="1000" t="s">
        <v>364</v>
      </c>
      <c r="AC1702" s="1192" t="str">
        <f>""</f>
        <v/>
      </c>
      <c r="AD1702" s="1193">
        <v>0</v>
      </c>
      <c r="AE1702" s="1193" t="s">
        <v>368</v>
      </c>
      <c r="AF1702" s="1193" t="s">
        <v>369</v>
      </c>
      <c r="AG1702" s="1193">
        <v>1</v>
      </c>
      <c r="AH1702" s="1193">
        <v>11</v>
      </c>
      <c r="AI1702" s="1193">
        <v>0</v>
      </c>
      <c r="AJ1702" s="1193">
        <f>VLOOKUP($I1702,'Price List, Weapons &amp; Items'!B:F,5,0)</f>
        <v>0</v>
      </c>
      <c r="AK1702" s="1193">
        <f t="shared" si="360"/>
        <v>0</v>
      </c>
      <c r="AL1702" s="1193">
        <f t="shared" si="361"/>
        <v>0</v>
      </c>
      <c r="AM1702" s="1193">
        <f t="shared" si="362"/>
        <v>0</v>
      </c>
      <c r="AN1702" s="1194" t="str">
        <f>VLOOKUP($I1702,'Price List, Weapons &amp; Items'!B:L,COLUMN('Price List, Weapons &amp; Items'!$J$11)-1,0)</f>
        <v>Miscellaneous</v>
      </c>
      <c r="AO1702" s="1194" t="str">
        <f>IF(I1702=".",".",VLOOKUP($I1702,'Price List, Weapons &amp; Items'!B:J,3,0))</f>
        <v>Missile</v>
      </c>
      <c r="AP1702" s="1195" t="str">
        <f t="shared" ca="1" si="356"/>
        <v/>
      </c>
      <c r="AQ1702" s="1194" t="str">
        <f>VLOOKUP($I1702,'Price List, Weapons &amp; Items'!B:L,COLUMN('Price List, Weapons &amp; Items'!$L$11)-1,0)</f>
        <v>no price, 0 count</v>
      </c>
      <c r="AR1702" s="1194">
        <f t="shared" si="363"/>
        <v>1</v>
      </c>
      <c r="AS1702" s="1194">
        <f t="shared" si="364"/>
        <v>1</v>
      </c>
      <c r="AT1702" s="1194">
        <f t="shared" si="365"/>
        <v>1</v>
      </c>
      <c r="AU1702" s="1194" t="str">
        <f t="shared" si="367"/>
        <v>.</v>
      </c>
      <c r="AV1702" s="1194" t="str">
        <f t="shared" si="357"/>
        <v>.</v>
      </c>
      <c r="AW1702" s="1194" t="str">
        <f t="shared" si="366"/>
        <v>.</v>
      </c>
      <c r="AX1702" s="1194">
        <f>IFERROR(VLOOKUP(B1702,'Share, Heavy Weapons to Ukraine'!B:Z,COLUMN('Share, Heavy Weapons to Ukraine'!C1713)-1,0),0)</f>
        <v>1</v>
      </c>
      <c r="AY1702" s="1194">
        <f>VLOOKUP('Bilateral Assistance, MAIN DATA'!B1702,'Country Summary (€)'!B:F,COLUMN('Country Summary (€)'!C1714)-1,FALSE)</f>
        <v>0</v>
      </c>
      <c r="AZ1702" s="1194" t="str">
        <f>IF(AND(AD1702=1,D1702="Military",H1702&lt;&gt;"Not given")=TRUE,IF(SUMIFS(P:P,A:A,A1702)&gt;0,ABS((SUMIFS(P:P,A:A,A1702)/VLOOKUP("USD",'Exchange Rates'!B:C,2,0)))/S1702,"."),".")</f>
        <v>.</v>
      </c>
      <c r="BA1702" s="1196" t="str">
        <f>IF(AND(AD1702=1,D1702="Military",H1702&lt;&gt;"Not given")=TRUE,IF(SUMIFS(P:P,A:A,A1702)&gt;0,IF((ABS((SUMIFS(P:P,A:A,A1702)/VLOOKUP("USD",'Exchange Rates'!B:C,2,0)))/S1702)&gt;1,(SUMIFS(P:P,A:A,A1702)-S1702)/S1702,(S1702-SUMIFS(P:P,A:A,A1702))/SUMIFS(P:P,A:A,A1702)),"."),".")</f>
        <v>.</v>
      </c>
    </row>
    <row r="1703" spans="1:53" ht="15.95" customHeight="1">
      <c r="A1703" s="1208" t="s">
        <v>4284</v>
      </c>
      <c r="B1703" s="1208" t="s">
        <v>3949</v>
      </c>
      <c r="C1703" s="1220">
        <v>44888</v>
      </c>
      <c r="D1703" s="1208" t="s">
        <v>389</v>
      </c>
      <c r="E1703" s="1208" t="s">
        <v>390</v>
      </c>
      <c r="F1703" s="1263" t="s">
        <v>4301</v>
      </c>
      <c r="G1703" s="1184" t="s">
        <v>456</v>
      </c>
      <c r="H1703" s="1221">
        <v>400000000</v>
      </c>
      <c r="I1703" s="1180" t="s">
        <v>630</v>
      </c>
      <c r="J1703" s="1186" t="str">
        <f>VLOOKUP($I1703,'Price List, Weapons &amp; Items'!B:C,2,0)</f>
        <v>Light armaments &amp; infantry</v>
      </c>
      <c r="K1703" s="1186" t="str">
        <f>IF(I1703=".",I1703,VLOOKUP($I1703,'Price List, Weapons &amp; Items'!B:D,3,0))</f>
        <v>Small Arms and Light Weapons (SALW)</v>
      </c>
      <c r="L1703" s="1187">
        <f>VLOOKUP(I1703,'Price List, Weapons &amp; Items'!B:E,4,0)</f>
        <v>0</v>
      </c>
      <c r="M1703" s="1188">
        <v>150</v>
      </c>
      <c r="N1703" s="1188" t="s">
        <v>374</v>
      </c>
      <c r="O1703" s="1188">
        <f>VLOOKUP($I1703,'Price List, Weapons &amp; Items'!B:G,6,0)</f>
        <v>5300</v>
      </c>
      <c r="P1703" s="1185">
        <f t="shared" si="358"/>
        <v>795000</v>
      </c>
      <c r="Q1703" s="1185" t="str">
        <f t="shared" si="359"/>
        <v>.</v>
      </c>
      <c r="R1703" s="1185" t="str">
        <f t="shared" si="355"/>
        <v/>
      </c>
      <c r="S1703" s="1185" t="str">
        <f>IF(AND(AD1703=1,R1703&lt;&gt;".")=TRUE,R1703/VLOOKUP(G1703,'Exchange Rates'!B:C,2,0),IF(R1703=".",".",""))</f>
        <v/>
      </c>
      <c r="T1703" s="1185" t="str">
        <f>IF(AD1703=1,IF(AF1703="Value is not given at all",".",IF(AF1703="Value is given by the source",S1703,IF(AF1703="Value is calculated with prices",(IF(SUMIFS(Q:Q,A:A,A1703)&gt;0,SUMIFS(Q:Q,A:A,A1703),"."))/VLOOKUP("USD",'Exchange Rates'!B:C,2,0),"Error with coding"))),"")</f>
        <v/>
      </c>
      <c r="U1703" s="1184" t="s">
        <v>365</v>
      </c>
      <c r="V1703" s="1017" t="s">
        <v>4302</v>
      </c>
      <c r="W1703" s="983" t="s">
        <v>3978</v>
      </c>
      <c r="X1703" s="980" t="s">
        <v>3982</v>
      </c>
      <c r="Y1703" s="966" t="s">
        <v>4046</v>
      </c>
      <c r="Z1703" s="1184">
        <v>0</v>
      </c>
      <c r="AA1703" s="1194">
        <v>0</v>
      </c>
      <c r="AB1703" s="1000" t="s">
        <v>364</v>
      </c>
      <c r="AC1703" s="1192" t="str">
        <f>""</f>
        <v/>
      </c>
      <c r="AD1703" s="1193">
        <v>0</v>
      </c>
      <c r="AE1703" s="1193" t="s">
        <v>368</v>
      </c>
      <c r="AF1703" s="1193" t="s">
        <v>369</v>
      </c>
      <c r="AG1703" s="1193">
        <v>1</v>
      </c>
      <c r="AH1703" s="1193">
        <v>11</v>
      </c>
      <c r="AI1703" s="1193">
        <v>0</v>
      </c>
      <c r="AJ1703" s="1193">
        <f>VLOOKUP($I1703,'Price List, Weapons &amp; Items'!B:F,5,0)</f>
        <v>0</v>
      </c>
      <c r="AK1703" s="1193">
        <f t="shared" si="360"/>
        <v>0</v>
      </c>
      <c r="AL1703" s="1193">
        <f t="shared" si="361"/>
        <v>0</v>
      </c>
      <c r="AM1703" s="1193">
        <f t="shared" si="362"/>
        <v>0</v>
      </c>
      <c r="AN1703" s="1194" t="str">
        <f>VLOOKUP($I1703,'Price List, Weapons &amp; Items'!B:L,COLUMN('Price List, Weapons &amp; Items'!$J$11)-1,0)</f>
        <v>Miscellaneous</v>
      </c>
      <c r="AO1703" s="1194" t="str">
        <f>IF(I1703=".",".",VLOOKUP($I1703,'Price List, Weapons &amp; Items'!B:J,3,0))</f>
        <v>Small Arms and Light Weapons (SALW)</v>
      </c>
      <c r="AP1703" s="1195" t="str">
        <f t="shared" ca="1" si="356"/>
        <v/>
      </c>
      <c r="AQ1703" s="1194">
        <f>VLOOKUP($I1703,'Price List, Weapons &amp; Items'!B:L,COLUMN('Price List, Weapons &amp; Items'!$L$11)-1,0)</f>
        <v>1</v>
      </c>
      <c r="AR1703" s="1194">
        <f t="shared" si="363"/>
        <v>1</v>
      </c>
      <c r="AS1703" s="1194">
        <f t="shared" si="364"/>
        <v>1</v>
      </c>
      <c r="AT1703" s="1194">
        <f t="shared" si="365"/>
        <v>1</v>
      </c>
      <c r="AU1703" s="1194" t="str">
        <f t="shared" si="367"/>
        <v>.</v>
      </c>
      <c r="AV1703" s="1194" t="str">
        <f t="shared" si="357"/>
        <v>.</v>
      </c>
      <c r="AW1703" s="1194" t="str">
        <f t="shared" si="366"/>
        <v>.</v>
      </c>
      <c r="AX1703" s="1194">
        <f>IFERROR(VLOOKUP(B1703,'Share, Heavy Weapons to Ukraine'!B:Z,COLUMN('Share, Heavy Weapons to Ukraine'!C1714)-1,0),0)</f>
        <v>1</v>
      </c>
      <c r="AY1703" s="1194">
        <f>VLOOKUP('Bilateral Assistance, MAIN DATA'!B1703,'Country Summary (€)'!B:F,COLUMN('Country Summary (€)'!C1715)-1,FALSE)</f>
        <v>0</v>
      </c>
      <c r="AZ1703" s="1194" t="str">
        <f>IF(AND(AD1703=1,D1703="Military",H1703&lt;&gt;"Not given")=TRUE,IF(SUMIFS(P:P,A:A,A1703)&gt;0,ABS((SUMIFS(P:P,A:A,A1703)/VLOOKUP("USD",'Exchange Rates'!B:C,2,0)))/S1703,"."),".")</f>
        <v>.</v>
      </c>
      <c r="BA1703" s="1196" t="str">
        <f>IF(AND(AD1703=1,D1703="Military",H1703&lt;&gt;"Not given")=TRUE,IF(SUMIFS(P:P,A:A,A1703)&gt;0,IF((ABS((SUMIFS(P:P,A:A,A1703)/VLOOKUP("USD",'Exchange Rates'!B:C,2,0)))/S1703)&gt;1,(SUMIFS(P:P,A:A,A1703)-S1703)/S1703,(S1703-SUMIFS(P:P,A:A,A1703))/SUMIFS(P:P,A:A,A1703)),"."),".")</f>
        <v>.</v>
      </c>
    </row>
    <row r="1704" spans="1:53" ht="15.95" customHeight="1">
      <c r="A1704" s="1208" t="s">
        <v>4284</v>
      </c>
      <c r="B1704" s="1208" t="s">
        <v>3949</v>
      </c>
      <c r="C1704" s="1220">
        <v>44888</v>
      </c>
      <c r="D1704" s="1208" t="s">
        <v>389</v>
      </c>
      <c r="E1704" s="1208" t="s">
        <v>390</v>
      </c>
      <c r="F1704" s="1263" t="s">
        <v>4301</v>
      </c>
      <c r="G1704" s="1184" t="s">
        <v>456</v>
      </c>
      <c r="H1704" s="1221">
        <v>400000000</v>
      </c>
      <c r="I1704" s="1180" t="s">
        <v>4093</v>
      </c>
      <c r="J1704" s="1186" t="str">
        <f>VLOOKUP($I1704,'Price List, Weapons &amp; Items'!B:C,2,0)</f>
        <v>Ammunition for heavy weapon</v>
      </c>
      <c r="K1704" s="1186" t="str">
        <f>IF(I1704=".",I1704,VLOOKUP($I1704,'Price List, Weapons &amp; Items'!B:D,3,0))</f>
        <v>227mm MLRS ammunition</v>
      </c>
      <c r="L1704" s="1187">
        <f>VLOOKUP(I1704,'Price List, Weapons &amp; Items'!B:E,4,0)</f>
        <v>0</v>
      </c>
      <c r="M1704" s="1188" t="s">
        <v>374</v>
      </c>
      <c r="N1704" s="1188" t="s">
        <v>374</v>
      </c>
      <c r="O1704" s="1188">
        <f>VLOOKUP($I1704,'Price List, Weapons &amp; Items'!B:G,6,0)</f>
        <v>150000</v>
      </c>
      <c r="P1704" s="1185" t="str">
        <f t="shared" si="358"/>
        <v>.</v>
      </c>
      <c r="Q1704" s="1185" t="str">
        <f t="shared" si="359"/>
        <v>.</v>
      </c>
      <c r="R1704" s="1185" t="str">
        <f t="shared" si="355"/>
        <v/>
      </c>
      <c r="S1704" s="1185" t="str">
        <f>IF(AND(AD1704=1,R1704&lt;&gt;".")=TRUE,R1704/VLOOKUP(G1704,'Exchange Rates'!B:C,2,0),IF(R1704=".",".",""))</f>
        <v/>
      </c>
      <c r="T1704" s="1185" t="str">
        <f>IF(AD1704=1,IF(AF1704="Value is not given at all",".",IF(AF1704="Value is given by the source",S1704,IF(AF1704="Value is calculated with prices",(IF(SUMIFS(Q:Q,A:A,A1704)&gt;0,SUMIFS(Q:Q,A:A,A1704),"."))/VLOOKUP("USD",'Exchange Rates'!B:C,2,0),"Error with coding"))),"")</f>
        <v/>
      </c>
      <c r="U1704" s="1184" t="s">
        <v>365</v>
      </c>
      <c r="V1704" s="1017" t="s">
        <v>4302</v>
      </c>
      <c r="W1704" s="983" t="s">
        <v>3978</v>
      </c>
      <c r="X1704" s="980" t="s">
        <v>3982</v>
      </c>
      <c r="Y1704" s="966" t="s">
        <v>4047</v>
      </c>
      <c r="Z1704" s="1184">
        <v>0</v>
      </c>
      <c r="AA1704" s="1194">
        <v>0</v>
      </c>
      <c r="AB1704" s="1000" t="s">
        <v>364</v>
      </c>
      <c r="AC1704" s="1192" t="str">
        <f>""</f>
        <v/>
      </c>
      <c r="AD1704" s="1193">
        <v>0</v>
      </c>
      <c r="AE1704" s="1193" t="s">
        <v>368</v>
      </c>
      <c r="AF1704" s="1193" t="s">
        <v>369</v>
      </c>
      <c r="AG1704" s="1193">
        <v>1</v>
      </c>
      <c r="AH1704" s="1193">
        <v>11</v>
      </c>
      <c r="AI1704" s="1193">
        <v>0</v>
      </c>
      <c r="AJ1704" s="1193">
        <f>VLOOKUP($I1704,'Price List, Weapons &amp; Items'!B:F,5,0)</f>
        <v>1</v>
      </c>
      <c r="AK1704" s="1193">
        <f t="shared" si="360"/>
        <v>1</v>
      </c>
      <c r="AL1704" s="1193">
        <f t="shared" si="361"/>
        <v>1</v>
      </c>
      <c r="AM1704" s="1193">
        <f t="shared" si="362"/>
        <v>1</v>
      </c>
      <c r="AN1704" s="1194" t="str">
        <f>VLOOKUP($I1704,'Price List, Weapons &amp; Items'!B:L,COLUMN('Price List, Weapons &amp; Items'!$J$11)-1,0)</f>
        <v>Media reports (incl. social media)</v>
      </c>
      <c r="AO1704" s="1194" t="str">
        <f>IF(I1704=".",".",VLOOKUP($I1704,'Price List, Weapons &amp; Items'!B:J,3,0))</f>
        <v>227mm MLRS ammunition</v>
      </c>
      <c r="AP1704" s="1195" t="str">
        <f t="shared" ca="1" si="356"/>
        <v/>
      </c>
      <c r="AQ1704" s="1194" t="str">
        <f>VLOOKUP($I1704,'Price List, Weapons &amp; Items'!B:L,COLUMN('Price List, Weapons &amp; Items'!$L$11)-1,0)</f>
        <v>no price, 0 count</v>
      </c>
      <c r="AR1704" s="1194">
        <f t="shared" si="363"/>
        <v>1</v>
      </c>
      <c r="AS1704" s="1194">
        <f t="shared" si="364"/>
        <v>1</v>
      </c>
      <c r="AT1704" s="1194">
        <f t="shared" si="365"/>
        <v>1</v>
      </c>
      <c r="AU1704" s="1194" t="str">
        <f t="shared" si="367"/>
        <v>.</v>
      </c>
      <c r="AV1704" s="1194" t="str">
        <f t="shared" si="357"/>
        <v>.</v>
      </c>
      <c r="AW1704" s="1194" t="str">
        <f t="shared" si="366"/>
        <v>.</v>
      </c>
      <c r="AX1704" s="1194">
        <f>IFERROR(VLOOKUP(B1704,'Share, Heavy Weapons to Ukraine'!B:Z,COLUMN('Share, Heavy Weapons to Ukraine'!C1715)-1,0),0)</f>
        <v>1</v>
      </c>
      <c r="AY1704" s="1194">
        <f>VLOOKUP('Bilateral Assistance, MAIN DATA'!B1704,'Country Summary (€)'!B:F,COLUMN('Country Summary (€)'!C1716)-1,FALSE)</f>
        <v>0</v>
      </c>
      <c r="AZ1704" s="1194" t="str">
        <f>IF(AND(AD1704=1,D1704="Military",H1704&lt;&gt;"Not given")=TRUE,IF(SUMIFS(P:P,A:A,A1704)&gt;0,ABS((SUMIFS(P:P,A:A,A1704)/VLOOKUP("USD",'Exchange Rates'!B:C,2,0)))/S1704,"."),".")</f>
        <v>.</v>
      </c>
      <c r="BA1704" s="1196" t="str">
        <f>IF(AND(AD1704=1,D1704="Military",H1704&lt;&gt;"Not given")=TRUE,IF(SUMIFS(P:P,A:A,A1704)&gt;0,IF((ABS((SUMIFS(P:P,A:A,A1704)/VLOOKUP("USD",'Exchange Rates'!B:C,2,0)))/S1704)&gt;1,(SUMIFS(P:P,A:A,A1704)-S1704)/S1704,(S1704-SUMIFS(P:P,A:A,A1704))/SUMIFS(P:P,A:A,A1704)),"."),".")</f>
        <v>.</v>
      </c>
    </row>
    <row r="1705" spans="1:53" ht="15.95" customHeight="1">
      <c r="A1705" s="1208" t="s">
        <v>4284</v>
      </c>
      <c r="B1705" s="1208" t="s">
        <v>3949</v>
      </c>
      <c r="C1705" s="1220">
        <v>44888</v>
      </c>
      <c r="D1705" s="1208" t="s">
        <v>389</v>
      </c>
      <c r="E1705" s="1208" t="s">
        <v>390</v>
      </c>
      <c r="F1705" s="1263" t="s">
        <v>4301</v>
      </c>
      <c r="G1705" s="1184" t="s">
        <v>456</v>
      </c>
      <c r="H1705" s="1221">
        <v>400000000</v>
      </c>
      <c r="I1705" s="1180" t="s">
        <v>4291</v>
      </c>
      <c r="J1705" s="1186" t="str">
        <f>VLOOKUP($I1705,'Price List, Weapons &amp; Items'!B:C,2,0)</f>
        <v>Ammunition for heavy weapon</v>
      </c>
      <c r="K1705" s="1186" t="str">
        <f>IF(I1705=".",I1705,VLOOKUP($I1705,'Price List, Weapons &amp; Items'!B:D,3,0))</f>
        <v>artillery round</v>
      </c>
      <c r="L1705" s="1187">
        <f>VLOOKUP(I1705,'Price List, Weapons &amp; Items'!B:E,4,0)</f>
        <v>0</v>
      </c>
      <c r="M1705" s="1188">
        <v>200</v>
      </c>
      <c r="N1705" s="1188" t="s">
        <v>374</v>
      </c>
      <c r="O1705" s="1188">
        <f>VLOOKUP($I1705,'Price List, Weapons &amp; Items'!B:G,6,0)</f>
        <v>112800</v>
      </c>
      <c r="P1705" s="1185">
        <f t="shared" si="358"/>
        <v>22560000</v>
      </c>
      <c r="Q1705" s="1185" t="str">
        <f t="shared" si="359"/>
        <v>.</v>
      </c>
      <c r="R1705" s="1185" t="str">
        <f t="shared" si="355"/>
        <v/>
      </c>
      <c r="S1705" s="1185" t="str">
        <f>IF(AND(AD1705=1,R1705&lt;&gt;".")=TRUE,R1705/VLOOKUP(G1705,'Exchange Rates'!B:C,2,0),IF(R1705=".",".",""))</f>
        <v/>
      </c>
      <c r="T1705" s="1185" t="str">
        <f>IF(AD1705=1,IF(AF1705="Value is not given at all",".",IF(AF1705="Value is given by the source",S1705,IF(AF1705="Value is calculated with prices",(IF(SUMIFS(Q:Q,A:A,A1705)&gt;0,SUMIFS(Q:Q,A:A,A1705),"."))/VLOOKUP("USD",'Exchange Rates'!B:C,2,0),"Error with coding"))),"")</f>
        <v/>
      </c>
      <c r="U1705" s="1184" t="s">
        <v>365</v>
      </c>
      <c r="V1705" s="1017" t="s">
        <v>4302</v>
      </c>
      <c r="W1705" s="983" t="s">
        <v>3978</v>
      </c>
      <c r="X1705" s="980" t="s">
        <v>3982</v>
      </c>
      <c r="Y1705" s="966" t="s">
        <v>4049</v>
      </c>
      <c r="Z1705" s="1184">
        <v>0</v>
      </c>
      <c r="AA1705" s="1194">
        <v>0</v>
      </c>
      <c r="AB1705" s="1000" t="s">
        <v>364</v>
      </c>
      <c r="AC1705" s="1192" t="str">
        <f>""</f>
        <v/>
      </c>
      <c r="AD1705" s="1193">
        <v>0</v>
      </c>
      <c r="AE1705" s="1193" t="s">
        <v>368</v>
      </c>
      <c r="AF1705" s="1193" t="s">
        <v>369</v>
      </c>
      <c r="AG1705" s="1193">
        <v>1</v>
      </c>
      <c r="AH1705" s="1193">
        <v>11</v>
      </c>
      <c r="AI1705" s="1193">
        <v>0</v>
      </c>
      <c r="AJ1705" s="1193">
        <f>VLOOKUP($I1705,'Price List, Weapons &amp; Items'!B:F,5,0)</f>
        <v>0</v>
      </c>
      <c r="AK1705" s="1193">
        <f t="shared" si="360"/>
        <v>0</v>
      </c>
      <c r="AL1705" s="1193">
        <f t="shared" si="361"/>
        <v>0</v>
      </c>
      <c r="AM1705" s="1193">
        <f t="shared" si="362"/>
        <v>0</v>
      </c>
      <c r="AN1705" s="1194" t="str">
        <f>VLOOKUP($I1705,'Price List, Weapons &amp; Items'!B:L,COLUMN('Price List, Weapons &amp; Items'!$J$11)-1,0)</f>
        <v>Miscellaneous</v>
      </c>
      <c r="AO1705" s="1194" t="str">
        <f>IF(I1705=".",".",VLOOKUP($I1705,'Price List, Weapons &amp; Items'!B:J,3,0))</f>
        <v>artillery round</v>
      </c>
      <c r="AP1705" s="1195" t="str">
        <f t="shared" ca="1" si="356"/>
        <v/>
      </c>
      <c r="AQ1705" s="1194">
        <f>VLOOKUP($I1705,'Price List, Weapons &amp; Items'!B:L,COLUMN('Price List, Weapons &amp; Items'!$L$11)-1,0)</f>
        <v>2</v>
      </c>
      <c r="AR1705" s="1194">
        <f t="shared" si="363"/>
        <v>1</v>
      </c>
      <c r="AS1705" s="1194">
        <f t="shared" si="364"/>
        <v>1</v>
      </c>
      <c r="AT1705" s="1194">
        <f t="shared" si="365"/>
        <v>1</v>
      </c>
      <c r="AU1705" s="1194" t="str">
        <f t="shared" si="367"/>
        <v>.</v>
      </c>
      <c r="AV1705" s="1194" t="str">
        <f t="shared" si="357"/>
        <v>.</v>
      </c>
      <c r="AW1705" s="1194" t="str">
        <f t="shared" si="366"/>
        <v>.</v>
      </c>
      <c r="AX1705" s="1194">
        <f>IFERROR(VLOOKUP(B1705,'Share, Heavy Weapons to Ukraine'!B:Z,COLUMN('Share, Heavy Weapons to Ukraine'!C1716)-1,0),0)</f>
        <v>1</v>
      </c>
      <c r="AY1705" s="1194">
        <f>VLOOKUP('Bilateral Assistance, MAIN DATA'!B1705,'Country Summary (€)'!B:F,COLUMN('Country Summary (€)'!C1717)-1,FALSE)</f>
        <v>0</v>
      </c>
      <c r="AZ1705" s="1194" t="str">
        <f>IF(AND(AD1705=1,D1705="Military",H1705&lt;&gt;"Not given")=TRUE,IF(SUMIFS(P:P,A:A,A1705)&gt;0,ABS((SUMIFS(P:P,A:A,A1705)/VLOOKUP("USD",'Exchange Rates'!B:C,2,0)))/S1705,"."),".")</f>
        <v>.</v>
      </c>
      <c r="BA1705" s="1196" t="str">
        <f>IF(AND(AD1705=1,D1705="Military",H1705&lt;&gt;"Not given")=TRUE,IF(SUMIFS(P:P,A:A,A1705)&gt;0,IF((ABS((SUMIFS(P:P,A:A,A1705)/VLOOKUP("USD",'Exchange Rates'!B:C,2,0)))/S1705)&gt;1,(SUMIFS(P:P,A:A,A1705)-S1705)/S1705,(S1705-SUMIFS(P:P,A:A,A1705))/SUMIFS(P:P,A:A,A1705)),"."),".")</f>
        <v>.</v>
      </c>
    </row>
    <row r="1706" spans="1:53" ht="15.95" customHeight="1">
      <c r="A1706" s="1208" t="s">
        <v>4284</v>
      </c>
      <c r="B1706" s="1208" t="s">
        <v>3949</v>
      </c>
      <c r="C1706" s="1220">
        <v>44888</v>
      </c>
      <c r="D1706" s="1208" t="s">
        <v>389</v>
      </c>
      <c r="E1706" s="1208" t="s">
        <v>390</v>
      </c>
      <c r="F1706" s="1263" t="s">
        <v>4301</v>
      </c>
      <c r="G1706" s="1184" t="s">
        <v>456</v>
      </c>
      <c r="H1706" s="1221">
        <v>400000000</v>
      </c>
      <c r="I1706" s="1180" t="s">
        <v>3137</v>
      </c>
      <c r="J1706" s="1186" t="str">
        <f>VLOOKUP($I1706,'Price List, Weapons &amp; Items'!B:C,2,0)</f>
        <v>Ammunition for heavy weapon</v>
      </c>
      <c r="K1706" s="1186" t="str">
        <f>IF(I1706=".",I1706,VLOOKUP($I1706,'Price List, Weapons &amp; Items'!B:D,3,0))</f>
        <v>Mortar ammunition</v>
      </c>
      <c r="L1706" s="1187">
        <f>VLOOKUP(I1706,'Price List, Weapons &amp; Items'!B:E,4,0)</f>
        <v>0</v>
      </c>
      <c r="M1706" s="1188">
        <v>10000</v>
      </c>
      <c r="N1706" s="1188" t="s">
        <v>374</v>
      </c>
      <c r="O1706" s="1188">
        <f>VLOOKUP($I1706,'Price List, Weapons &amp; Items'!B:G,6,0)</f>
        <v>109.89</v>
      </c>
      <c r="P1706" s="1185">
        <f t="shared" si="358"/>
        <v>1098900</v>
      </c>
      <c r="Q1706" s="1185" t="str">
        <f t="shared" si="359"/>
        <v>.</v>
      </c>
      <c r="R1706" s="1185" t="str">
        <f t="shared" si="355"/>
        <v/>
      </c>
      <c r="S1706" s="1185" t="str">
        <f>IF(AND(AD1706=1,R1706&lt;&gt;".")=TRUE,R1706/VLOOKUP(G1706,'Exchange Rates'!B:C,2,0),IF(R1706=".",".",""))</f>
        <v/>
      </c>
      <c r="T1706" s="1185" t="str">
        <f>IF(AD1706=1,IF(AF1706="Value is not given at all",".",IF(AF1706="Value is given by the source",S1706,IF(AF1706="Value is calculated with prices",(IF(SUMIFS(Q:Q,A:A,A1706)&gt;0,SUMIFS(Q:Q,A:A,A1706),"."))/VLOOKUP("USD",'Exchange Rates'!B:C,2,0),"Error with coding"))),"")</f>
        <v/>
      </c>
      <c r="U1706" s="1184" t="s">
        <v>365</v>
      </c>
      <c r="V1706" s="1017" t="s">
        <v>4302</v>
      </c>
      <c r="W1706" s="983" t="s">
        <v>3978</v>
      </c>
      <c r="X1706" s="980" t="s">
        <v>3982</v>
      </c>
      <c r="Y1706" s="966" t="s">
        <v>4051</v>
      </c>
      <c r="Z1706" s="1184">
        <v>0</v>
      </c>
      <c r="AA1706" s="1194">
        <v>0</v>
      </c>
      <c r="AB1706" s="1000" t="s">
        <v>364</v>
      </c>
      <c r="AC1706" s="1192" t="str">
        <f>""</f>
        <v/>
      </c>
      <c r="AD1706" s="1193">
        <v>0</v>
      </c>
      <c r="AE1706" s="1193" t="s">
        <v>368</v>
      </c>
      <c r="AF1706" s="1193" t="s">
        <v>369</v>
      </c>
      <c r="AG1706" s="1193">
        <v>1</v>
      </c>
      <c r="AH1706" s="1193">
        <v>11</v>
      </c>
      <c r="AI1706" s="1193">
        <v>0</v>
      </c>
      <c r="AJ1706" s="1193">
        <f>VLOOKUP($I1706,'Price List, Weapons &amp; Items'!B:F,5,0)</f>
        <v>0</v>
      </c>
      <c r="AK1706" s="1193">
        <f t="shared" si="360"/>
        <v>0</v>
      </c>
      <c r="AL1706" s="1193">
        <f t="shared" si="361"/>
        <v>0</v>
      </c>
      <c r="AM1706" s="1193">
        <f t="shared" si="362"/>
        <v>0</v>
      </c>
      <c r="AN1706" s="1194" t="str">
        <f>VLOOKUP($I1706,'Price List, Weapons &amp; Items'!B:L,COLUMN('Price List, Weapons &amp; Items'!$J$11)-1,0)</f>
        <v>Government information</v>
      </c>
      <c r="AO1706" s="1194" t="str">
        <f>IF(I1706=".",".",VLOOKUP($I1706,'Price List, Weapons &amp; Items'!B:J,3,0))</f>
        <v>Mortar ammunition</v>
      </c>
      <c r="AP1706" s="1195" t="str">
        <f t="shared" ca="1" si="356"/>
        <v/>
      </c>
      <c r="AQ1706" s="1194">
        <f>VLOOKUP($I1706,'Price List, Weapons &amp; Items'!B:L,COLUMN('Price List, Weapons &amp; Items'!$L$11)-1,0)</f>
        <v>2</v>
      </c>
      <c r="AR1706" s="1194">
        <f t="shared" si="363"/>
        <v>1</v>
      </c>
      <c r="AS1706" s="1194">
        <f t="shared" si="364"/>
        <v>1</v>
      </c>
      <c r="AT1706" s="1194">
        <f t="shared" si="365"/>
        <v>1</v>
      </c>
      <c r="AU1706" s="1194" t="str">
        <f t="shared" si="367"/>
        <v>.</v>
      </c>
      <c r="AV1706" s="1194" t="str">
        <f t="shared" si="357"/>
        <v>.</v>
      </c>
      <c r="AW1706" s="1194" t="str">
        <f t="shared" si="366"/>
        <v>.</v>
      </c>
      <c r="AX1706" s="1194">
        <f>IFERROR(VLOOKUP(B1706,'Share, Heavy Weapons to Ukraine'!B:Z,COLUMN('Share, Heavy Weapons to Ukraine'!C1717)-1,0),0)</f>
        <v>1</v>
      </c>
      <c r="AY1706" s="1194">
        <f>VLOOKUP('Bilateral Assistance, MAIN DATA'!B1706,'Country Summary (€)'!B:F,COLUMN('Country Summary (€)'!C1718)-1,FALSE)</f>
        <v>0</v>
      </c>
      <c r="AZ1706" s="1194" t="str">
        <f>IF(AND(AD1706=1,D1706="Military",H1706&lt;&gt;"Not given")=TRUE,IF(SUMIFS(P:P,A:A,A1706)&gt;0,ABS((SUMIFS(P:P,A:A,A1706)/VLOOKUP("USD",'Exchange Rates'!B:C,2,0)))/S1706,"."),".")</f>
        <v>.</v>
      </c>
      <c r="BA1706" s="1196" t="str">
        <f>IF(AND(AD1706=1,D1706="Military",H1706&lt;&gt;"Not given")=TRUE,IF(SUMIFS(P:P,A:A,A1706)&gt;0,IF((ABS((SUMIFS(P:P,A:A,A1706)/VLOOKUP("USD",'Exchange Rates'!B:C,2,0)))/S1706)&gt;1,(SUMIFS(P:P,A:A,A1706)-S1706)/S1706,(S1706-SUMIFS(P:P,A:A,A1706))/SUMIFS(P:P,A:A,A1706)),"."),".")</f>
        <v>.</v>
      </c>
    </row>
    <row r="1707" spans="1:53" ht="15.95" customHeight="1">
      <c r="A1707" s="1208" t="s">
        <v>4284</v>
      </c>
      <c r="B1707" s="1208" t="s">
        <v>3949</v>
      </c>
      <c r="C1707" s="1220">
        <v>44888</v>
      </c>
      <c r="D1707" s="1208" t="s">
        <v>389</v>
      </c>
      <c r="E1707" s="1208" t="s">
        <v>390</v>
      </c>
      <c r="F1707" s="1263" t="s">
        <v>4301</v>
      </c>
      <c r="G1707" s="1184" t="s">
        <v>456</v>
      </c>
      <c r="H1707" s="1221">
        <v>400000000</v>
      </c>
      <c r="I1707" s="1180" t="s">
        <v>4161</v>
      </c>
      <c r="J1707" s="1186" t="str">
        <f>VLOOKUP($I1707,'Price List, Weapons &amp; Items'!B:C,2,0)</f>
        <v>Ammunition for heavy weapon</v>
      </c>
      <c r="K1707" s="1186" t="str">
        <f>IF(I1707=".",I1707,VLOOKUP($I1707,'Price List, Weapons &amp; Items'!B:D,3,0))</f>
        <v>Missile</v>
      </c>
      <c r="L1707" s="1187">
        <f>VLOOKUP(I1707,'Price List, Weapons &amp; Items'!B:E,4,0)</f>
        <v>0</v>
      </c>
      <c r="M1707" s="1188" t="s">
        <v>374</v>
      </c>
      <c r="N1707" s="1188" t="s">
        <v>374</v>
      </c>
      <c r="O1707" s="1188">
        <f>VLOOKUP($I1707,'Price List, Weapons &amp; Items'!B:G,6,0)</f>
        <v>557000</v>
      </c>
      <c r="P1707" s="1185" t="str">
        <f t="shared" si="358"/>
        <v>.</v>
      </c>
      <c r="Q1707" s="1185" t="str">
        <f t="shared" si="359"/>
        <v>.</v>
      </c>
      <c r="R1707" s="1185" t="str">
        <f t="shared" si="355"/>
        <v/>
      </c>
      <c r="S1707" s="1185" t="str">
        <f>IF(AND(AD1707=1,R1707&lt;&gt;".")=TRUE,R1707/VLOOKUP(G1707,'Exchange Rates'!B:C,2,0),IF(R1707=".",".",""))</f>
        <v/>
      </c>
      <c r="T1707" s="1185" t="str">
        <f>IF(AD1707=1,IF(AF1707="Value is not given at all",".",IF(AF1707="Value is given by the source",S1707,IF(AF1707="Value is calculated with prices",(IF(SUMIFS(Q:Q,A:A,A1707)&gt;0,SUMIFS(Q:Q,A:A,A1707),"."))/VLOOKUP("USD",'Exchange Rates'!B:C,2,0),"Error with coding"))),"")</f>
        <v/>
      </c>
      <c r="U1707" s="1184" t="s">
        <v>365</v>
      </c>
      <c r="V1707" s="1017" t="s">
        <v>4302</v>
      </c>
      <c r="W1707" s="983" t="s">
        <v>3978</v>
      </c>
      <c r="X1707" s="980" t="s">
        <v>3982</v>
      </c>
      <c r="Y1707" s="966" t="s">
        <v>4053</v>
      </c>
      <c r="Z1707" s="1184">
        <v>0</v>
      </c>
      <c r="AA1707" s="1194">
        <v>0</v>
      </c>
      <c r="AB1707" s="1000" t="s">
        <v>364</v>
      </c>
      <c r="AC1707" s="1192" t="str">
        <f>""</f>
        <v/>
      </c>
      <c r="AD1707" s="1193">
        <v>0</v>
      </c>
      <c r="AE1707" s="1193" t="s">
        <v>368</v>
      </c>
      <c r="AF1707" s="1193" t="s">
        <v>369</v>
      </c>
      <c r="AG1707" s="1193">
        <v>1</v>
      </c>
      <c r="AH1707" s="1193">
        <v>11</v>
      </c>
      <c r="AI1707" s="1193">
        <v>0</v>
      </c>
      <c r="AJ1707" s="1193">
        <f>VLOOKUP($I1707,'Price List, Weapons &amp; Items'!B:F,5,0)</f>
        <v>0</v>
      </c>
      <c r="AK1707" s="1193">
        <f t="shared" si="360"/>
        <v>0</v>
      </c>
      <c r="AL1707" s="1193">
        <f t="shared" si="361"/>
        <v>0</v>
      </c>
      <c r="AM1707" s="1193">
        <f t="shared" si="362"/>
        <v>0</v>
      </c>
      <c r="AN1707" s="1194" t="str">
        <f>VLOOKUP($I1707,'Price List, Weapons &amp; Items'!B:L,COLUMN('Price List, Weapons &amp; Items'!$J$11)-1,0)</f>
        <v>Miscellaneous</v>
      </c>
      <c r="AO1707" s="1194" t="str">
        <f>IF(I1707=".",".",VLOOKUP($I1707,'Price List, Weapons &amp; Items'!B:J,3,0))</f>
        <v>Missile</v>
      </c>
      <c r="AP1707" s="1195" t="str">
        <f t="shared" ca="1" si="356"/>
        <v/>
      </c>
      <c r="AQ1707" s="1194" t="str">
        <f>VLOOKUP($I1707,'Price List, Weapons &amp; Items'!B:L,COLUMN('Price List, Weapons &amp; Items'!$L$11)-1,0)</f>
        <v>no price, 0 count</v>
      </c>
      <c r="AR1707" s="1194">
        <f t="shared" si="363"/>
        <v>1</v>
      </c>
      <c r="AS1707" s="1194">
        <f t="shared" si="364"/>
        <v>1</v>
      </c>
      <c r="AT1707" s="1194">
        <f t="shared" si="365"/>
        <v>1</v>
      </c>
      <c r="AU1707" s="1194" t="str">
        <f t="shared" si="367"/>
        <v>.</v>
      </c>
      <c r="AV1707" s="1194" t="str">
        <f t="shared" si="357"/>
        <v>.</v>
      </c>
      <c r="AW1707" s="1194" t="str">
        <f t="shared" si="366"/>
        <v>.</v>
      </c>
      <c r="AX1707" s="1194">
        <f>IFERROR(VLOOKUP(B1707,'Share, Heavy Weapons to Ukraine'!B:Z,COLUMN('Share, Heavy Weapons to Ukraine'!C1718)-1,0),0)</f>
        <v>1</v>
      </c>
      <c r="AY1707" s="1194">
        <f>VLOOKUP('Bilateral Assistance, MAIN DATA'!B1707,'Country Summary (€)'!B:F,COLUMN('Country Summary (€)'!C1719)-1,FALSE)</f>
        <v>0</v>
      </c>
      <c r="AZ1707" s="1194" t="str">
        <f>IF(AND(AD1707=1,D1707="Military",H1707&lt;&gt;"Not given")=TRUE,IF(SUMIFS(P:P,A:A,A1707)&gt;0,ABS((SUMIFS(P:P,A:A,A1707)/VLOOKUP("USD",'Exchange Rates'!B:C,2,0)))/S1707,"."),".")</f>
        <v>.</v>
      </c>
      <c r="BA1707" s="1196" t="str">
        <f>IF(AND(AD1707=1,D1707="Military",H1707&lt;&gt;"Not given")=TRUE,IF(SUMIFS(P:P,A:A,A1707)&gt;0,IF((ABS((SUMIFS(P:P,A:A,A1707)/VLOOKUP("USD",'Exchange Rates'!B:C,2,0)))/S1707)&gt;1,(SUMIFS(P:P,A:A,A1707)-S1707)/S1707,(S1707-SUMIFS(P:P,A:A,A1707))/SUMIFS(P:P,A:A,A1707)),"."),".")</f>
        <v>.</v>
      </c>
    </row>
    <row r="1708" spans="1:53" ht="15.95" customHeight="1">
      <c r="A1708" s="1208" t="s">
        <v>4284</v>
      </c>
      <c r="B1708" s="1208" t="s">
        <v>3949</v>
      </c>
      <c r="C1708" s="1220">
        <v>44888</v>
      </c>
      <c r="D1708" s="1208" t="s">
        <v>389</v>
      </c>
      <c r="E1708" s="1208" t="s">
        <v>390</v>
      </c>
      <c r="F1708" s="1263" t="s">
        <v>4301</v>
      </c>
      <c r="G1708" s="1184" t="s">
        <v>456</v>
      </c>
      <c r="H1708" s="1221">
        <v>400000000</v>
      </c>
      <c r="I1708" s="1180" t="s">
        <v>4187</v>
      </c>
      <c r="J1708" s="1186" t="str">
        <f>VLOOKUP($I1708,'Price List, Weapons &amp; Items'!B:C,2,0)</f>
        <v>Heavy weapon</v>
      </c>
      <c r="K1708" s="1186" t="str">
        <f>IF(I1708=".",I1708,VLOOKUP($I1708,'Price List, Weapons &amp; Items'!B:D,3,0))</f>
        <v>Armored Utility Vehicle (AUV)</v>
      </c>
      <c r="L1708" s="1187">
        <f>VLOOKUP(I1708,'Price List, Weapons &amp; Items'!B:E,4,0)</f>
        <v>0</v>
      </c>
      <c r="M1708" s="1188">
        <v>150</v>
      </c>
      <c r="N1708" s="1188" t="s">
        <v>374</v>
      </c>
      <c r="O1708" s="1188">
        <f>VLOOKUP($I1708,'Price List, Weapons &amp; Items'!B:G,6,0)</f>
        <v>254717</v>
      </c>
      <c r="P1708" s="1185">
        <f t="shared" si="358"/>
        <v>38207550</v>
      </c>
      <c r="Q1708" s="1185" t="str">
        <f t="shared" si="359"/>
        <v>.</v>
      </c>
      <c r="R1708" s="1185" t="str">
        <f t="shared" si="355"/>
        <v/>
      </c>
      <c r="S1708" s="1185" t="str">
        <f>IF(AND(AD1708=1,R1708&lt;&gt;".")=TRUE,R1708/VLOOKUP(G1708,'Exchange Rates'!B:C,2,0),IF(R1708=".",".",""))</f>
        <v/>
      </c>
      <c r="T1708" s="1185" t="str">
        <f>IF(AD1708=1,IF(AF1708="Value is not given at all",".",IF(AF1708="Value is given by the source",S1708,IF(AF1708="Value is calculated with prices",(IF(SUMIFS(Q:Q,A:A,A1708)&gt;0,SUMIFS(Q:Q,A:A,A1708),"."))/VLOOKUP("USD",'Exchange Rates'!B:C,2,0),"Error with coding"))),"")</f>
        <v/>
      </c>
      <c r="U1708" s="1184" t="s">
        <v>365</v>
      </c>
      <c r="V1708" s="1017" t="s">
        <v>4302</v>
      </c>
      <c r="W1708" s="983" t="s">
        <v>3978</v>
      </c>
      <c r="X1708" s="980" t="s">
        <v>3982</v>
      </c>
      <c r="Y1708" s="966" t="s">
        <v>4056</v>
      </c>
      <c r="Z1708" s="1184">
        <v>0</v>
      </c>
      <c r="AA1708" s="1194">
        <v>0</v>
      </c>
      <c r="AB1708" s="1000" t="s">
        <v>364</v>
      </c>
      <c r="AC1708" s="1192" t="str">
        <f>""</f>
        <v/>
      </c>
      <c r="AD1708" s="1193">
        <v>0</v>
      </c>
      <c r="AE1708" s="1193" t="s">
        <v>368</v>
      </c>
      <c r="AF1708" s="1193" t="s">
        <v>369</v>
      </c>
      <c r="AG1708" s="1193">
        <v>1</v>
      </c>
      <c r="AH1708" s="1193">
        <v>11</v>
      </c>
      <c r="AI1708" s="1193">
        <v>0</v>
      </c>
      <c r="AJ1708" s="1193">
        <f>VLOOKUP($I1708,'Price List, Weapons &amp; Items'!B:F,5,0)</f>
        <v>1</v>
      </c>
      <c r="AK1708" s="1193">
        <f t="shared" si="360"/>
        <v>0</v>
      </c>
      <c r="AL1708" s="1193">
        <f t="shared" si="361"/>
        <v>1</v>
      </c>
      <c r="AM1708" s="1193">
        <f t="shared" si="362"/>
        <v>0</v>
      </c>
      <c r="AN1708" s="1194" t="str">
        <f>VLOOKUP($I1708,'Price List, Weapons &amp; Items'!B:L,COLUMN('Price List, Weapons &amp; Items'!$J$11)-1,0)</f>
        <v>Military media (incl. websites)</v>
      </c>
      <c r="AO1708" s="1194" t="str">
        <f>IF(I1708=".",".",VLOOKUP($I1708,'Price List, Weapons &amp; Items'!B:J,3,0))</f>
        <v>Armored Utility Vehicle (AUV)</v>
      </c>
      <c r="AP1708" s="1195" t="str">
        <f t="shared" ca="1" si="356"/>
        <v/>
      </c>
      <c r="AQ1708" s="1194">
        <f>VLOOKUP($I1708,'Price List, Weapons &amp; Items'!B:L,COLUMN('Price List, Weapons &amp; Items'!$L$11)-1,0)</f>
        <v>2</v>
      </c>
      <c r="AR1708" s="1194">
        <f t="shared" si="363"/>
        <v>1</v>
      </c>
      <c r="AS1708" s="1194">
        <f t="shared" si="364"/>
        <v>1</v>
      </c>
      <c r="AT1708" s="1194">
        <f t="shared" si="365"/>
        <v>1</v>
      </c>
      <c r="AU1708" s="1194" t="str">
        <f t="shared" si="367"/>
        <v>.</v>
      </c>
      <c r="AV1708" s="1194" t="str">
        <f t="shared" si="357"/>
        <v>.</v>
      </c>
      <c r="AW1708" s="1194" t="str">
        <f t="shared" si="366"/>
        <v>.</v>
      </c>
      <c r="AX1708" s="1194">
        <f>IFERROR(VLOOKUP(B1708,'Share, Heavy Weapons to Ukraine'!B:Z,COLUMN('Share, Heavy Weapons to Ukraine'!C1719)-1,0),0)</f>
        <v>1</v>
      </c>
      <c r="AY1708" s="1194">
        <f>VLOOKUP('Bilateral Assistance, MAIN DATA'!B1708,'Country Summary (€)'!B:F,COLUMN('Country Summary (€)'!C1720)-1,FALSE)</f>
        <v>0</v>
      </c>
      <c r="AZ1708" s="1194" t="str">
        <f>IF(AND(AD1708=1,D1708="Military",H1708&lt;&gt;"Not given")=TRUE,IF(SUMIFS(P:P,A:A,A1708)&gt;0,ABS((SUMIFS(P:P,A:A,A1708)/VLOOKUP("USD",'Exchange Rates'!B:C,2,0)))/S1708,"."),".")</f>
        <v>.</v>
      </c>
      <c r="BA1708" s="1196" t="str">
        <f>IF(AND(AD1708=1,D1708="Military",H1708&lt;&gt;"Not given")=TRUE,IF(SUMIFS(P:P,A:A,A1708)&gt;0,IF((ABS((SUMIFS(P:P,A:A,A1708)/VLOOKUP("USD",'Exchange Rates'!B:C,2,0)))/S1708)&gt;1,(SUMIFS(P:P,A:A,A1708)-S1708)/S1708,(S1708-SUMIFS(P:P,A:A,A1708))/SUMIFS(P:P,A:A,A1708)),"."),".")</f>
        <v>.</v>
      </c>
    </row>
    <row r="1709" spans="1:53" ht="15.95" customHeight="1">
      <c r="A1709" s="1208" t="s">
        <v>4284</v>
      </c>
      <c r="B1709" s="1208" t="s">
        <v>3949</v>
      </c>
      <c r="C1709" s="1220">
        <v>44888</v>
      </c>
      <c r="D1709" s="1208" t="s">
        <v>389</v>
      </c>
      <c r="E1709" s="1208" t="s">
        <v>390</v>
      </c>
      <c r="F1709" s="1263" t="s">
        <v>4301</v>
      </c>
      <c r="G1709" s="1184" t="s">
        <v>456</v>
      </c>
      <c r="H1709" s="1221">
        <v>400000000</v>
      </c>
      <c r="I1709" s="1196" t="s">
        <v>4085</v>
      </c>
      <c r="J1709" s="1186" t="str">
        <f>VLOOKUP($I1709,'Price List, Weapons &amp; Items'!B:C,2,0)</f>
        <v>Military equipment</v>
      </c>
      <c r="K1709" s="1186" t="str">
        <f>IF(I1709=".",I1709,VLOOKUP($I1709,'Price List, Weapons &amp; Items'!B:D,3,0))</f>
        <v>Military equipment</v>
      </c>
      <c r="L1709" s="1187">
        <f>VLOOKUP(I1709,'Price List, Weapons &amp; Items'!B:E,4,0)</f>
        <v>0</v>
      </c>
      <c r="M1709" s="1188">
        <v>100</v>
      </c>
      <c r="N1709" s="1188" t="s">
        <v>374</v>
      </c>
      <c r="O1709" s="1188">
        <f>VLOOKUP($I1709,'Price List, Weapons &amp; Items'!B:G,6,0)</f>
        <v>350000</v>
      </c>
      <c r="P1709" s="1185">
        <f t="shared" si="358"/>
        <v>35000000</v>
      </c>
      <c r="Q1709" s="1185" t="str">
        <f t="shared" si="359"/>
        <v>.</v>
      </c>
      <c r="R1709" s="1185" t="str">
        <f t="shared" si="355"/>
        <v/>
      </c>
      <c r="S1709" s="1185" t="str">
        <f>IF(AND(AD1709=1,R1709&lt;&gt;".")=TRUE,R1709/VLOOKUP(G1709,'Exchange Rates'!B:C,2,0),IF(R1709=".",".",""))</f>
        <v/>
      </c>
      <c r="T1709" s="1185" t="str">
        <f>IF(AD1709=1,IF(AF1709="Value is not given at all",".",IF(AF1709="Value is given by the source",S1709,IF(AF1709="Value is calculated with prices",(IF(SUMIFS(Q:Q,A:A,A1709)&gt;0,SUMIFS(Q:Q,A:A,A1709),"."))/VLOOKUP("USD",'Exchange Rates'!B:C,2,0),"Error with coding"))),"")</f>
        <v/>
      </c>
      <c r="U1709" s="1184" t="s">
        <v>365</v>
      </c>
      <c r="V1709" s="1017" t="s">
        <v>4302</v>
      </c>
      <c r="W1709" s="983" t="s">
        <v>3978</v>
      </c>
      <c r="X1709" s="980" t="s">
        <v>3982</v>
      </c>
      <c r="Y1709" s="966" t="s">
        <v>4057</v>
      </c>
      <c r="Z1709" s="1184">
        <v>0</v>
      </c>
      <c r="AA1709" s="1194">
        <v>0</v>
      </c>
      <c r="AB1709" s="1000" t="s">
        <v>364</v>
      </c>
      <c r="AC1709" s="1192" t="str">
        <f>""</f>
        <v/>
      </c>
      <c r="AD1709" s="1193">
        <v>0</v>
      </c>
      <c r="AE1709" s="1193" t="s">
        <v>368</v>
      </c>
      <c r="AF1709" s="1193" t="s">
        <v>369</v>
      </c>
      <c r="AG1709" s="1193">
        <v>1</v>
      </c>
      <c r="AH1709" s="1193">
        <v>11</v>
      </c>
      <c r="AI1709" s="1193">
        <v>0</v>
      </c>
      <c r="AJ1709" s="1193">
        <f>VLOOKUP($I1709,'Price List, Weapons &amp; Items'!B:F,5,0)</f>
        <v>0</v>
      </c>
      <c r="AK1709" s="1193">
        <f t="shared" si="360"/>
        <v>0</v>
      </c>
      <c r="AL1709" s="1193">
        <f t="shared" si="361"/>
        <v>0</v>
      </c>
      <c r="AM1709" s="1193">
        <f t="shared" si="362"/>
        <v>0</v>
      </c>
      <c r="AN1709" s="1194" t="str">
        <f>VLOOKUP($I1709,'Price List, Weapons &amp; Items'!B:L,COLUMN('Price List, Weapons &amp; Items'!$J$11)-1,0)</f>
        <v>Media reports (incl. social media)</v>
      </c>
      <c r="AO1709" s="1194" t="str">
        <f>IF(I1709=".",".",VLOOKUP($I1709,'Price List, Weapons &amp; Items'!B:J,3,0))</f>
        <v>Military equipment</v>
      </c>
      <c r="AP1709" s="1195" t="str">
        <f t="shared" ca="1" si="356"/>
        <v/>
      </c>
      <c r="AQ1709" s="1194">
        <f>VLOOKUP($I1709,'Price List, Weapons &amp; Items'!B:L,COLUMN('Price List, Weapons &amp; Items'!$L$11)-1,0)</f>
        <v>2</v>
      </c>
      <c r="AR1709" s="1194">
        <f t="shared" si="363"/>
        <v>1</v>
      </c>
      <c r="AS1709" s="1194">
        <f t="shared" si="364"/>
        <v>1</v>
      </c>
      <c r="AT1709" s="1194">
        <f t="shared" si="365"/>
        <v>1</v>
      </c>
      <c r="AU1709" s="1194" t="str">
        <f t="shared" si="367"/>
        <v>.</v>
      </c>
      <c r="AV1709" s="1194" t="str">
        <f t="shared" si="357"/>
        <v>.</v>
      </c>
      <c r="AW1709" s="1194" t="str">
        <f t="shared" si="366"/>
        <v>.</v>
      </c>
      <c r="AX1709" s="1194">
        <f>IFERROR(VLOOKUP(B1709,'Share, Heavy Weapons to Ukraine'!B:Z,COLUMN('Share, Heavy Weapons to Ukraine'!C1720)-1,0),0)</f>
        <v>1</v>
      </c>
      <c r="AY1709" s="1194">
        <f>VLOOKUP('Bilateral Assistance, MAIN DATA'!B1709,'Country Summary (€)'!B:F,COLUMN('Country Summary (€)'!C1721)-1,FALSE)</f>
        <v>0</v>
      </c>
      <c r="AZ1709" s="1194" t="str">
        <f>IF(AND(AD1709=1,D1709="Military",H1709&lt;&gt;"Not given")=TRUE,IF(SUMIFS(P:P,A:A,A1709)&gt;0,ABS((SUMIFS(P:P,A:A,A1709)/VLOOKUP("USD",'Exchange Rates'!B:C,2,0)))/S1709,"."),".")</f>
        <v>.</v>
      </c>
      <c r="BA1709" s="1196" t="str">
        <f>IF(AND(AD1709=1,D1709="Military",H1709&lt;&gt;"Not given")=TRUE,IF(SUMIFS(P:P,A:A,A1709)&gt;0,IF((ABS((SUMIFS(P:P,A:A,A1709)/VLOOKUP("USD",'Exchange Rates'!B:C,2,0)))/S1709)&gt;1,(SUMIFS(P:P,A:A,A1709)-S1709)/S1709,(S1709-SUMIFS(P:P,A:A,A1709))/SUMIFS(P:P,A:A,A1709)),"."),".")</f>
        <v>.</v>
      </c>
    </row>
    <row r="1710" spans="1:53" ht="15.95" customHeight="1">
      <c r="A1710" s="1208" t="s">
        <v>4284</v>
      </c>
      <c r="B1710" s="1208" t="s">
        <v>3949</v>
      </c>
      <c r="C1710" s="1220">
        <v>44888</v>
      </c>
      <c r="D1710" s="1208" t="s">
        <v>389</v>
      </c>
      <c r="E1710" s="1208" t="s">
        <v>390</v>
      </c>
      <c r="F1710" s="1263" t="s">
        <v>4301</v>
      </c>
      <c r="G1710" s="1184" t="s">
        <v>456</v>
      </c>
      <c r="H1710" s="1221">
        <v>400000000</v>
      </c>
      <c r="I1710" s="1180" t="s">
        <v>2025</v>
      </c>
      <c r="J1710" s="1186" t="str">
        <f>VLOOKUP($I1710,'Price List, Weapons &amp; Items'!B:C,2,0)</f>
        <v>Ammunition for light infantry</v>
      </c>
      <c r="K1710" s="1186" t="str">
        <f>IF(I1710=".",I1710,VLOOKUP($I1710,'Price List, Weapons &amp; Items'!B:D,3,0))</f>
        <v>Small Arms and Light Weapons (SALW) ammunition</v>
      </c>
      <c r="L1710" s="1187">
        <f>VLOOKUP(I1710,'Price List, Weapons &amp; Items'!B:E,4,0)</f>
        <v>0</v>
      </c>
      <c r="M1710" s="1188">
        <v>20000000</v>
      </c>
      <c r="N1710" s="1188" t="s">
        <v>374</v>
      </c>
      <c r="O1710" s="1188">
        <f>VLOOKUP($I1710,'Price List, Weapons &amp; Items'!B:G,6,0)</f>
        <v>0.47</v>
      </c>
      <c r="P1710" s="1185">
        <f t="shared" si="358"/>
        <v>9400000</v>
      </c>
      <c r="Q1710" s="1185" t="str">
        <f t="shared" si="359"/>
        <v>.</v>
      </c>
      <c r="R1710" s="1185" t="str">
        <f t="shared" si="355"/>
        <v/>
      </c>
      <c r="S1710" s="1185" t="str">
        <f>IF(AND(AD1710=1,R1710&lt;&gt;".")=TRUE,R1710/VLOOKUP(G1710,'Exchange Rates'!B:C,2,0),IF(R1710=".",".",""))</f>
        <v/>
      </c>
      <c r="T1710" s="1185" t="str">
        <f>IF(AD1710=1,IF(AF1710="Value is not given at all",".",IF(AF1710="Value is given by the source",S1710,IF(AF1710="Value is calculated with prices",(IF(SUMIFS(Q:Q,A:A,A1710)&gt;0,SUMIFS(Q:Q,A:A,A1710),"."))/VLOOKUP("USD",'Exchange Rates'!B:C,2,0),"Error with coding"))),"")</f>
        <v/>
      </c>
      <c r="U1710" s="1184" t="s">
        <v>365</v>
      </c>
      <c r="V1710" s="1017" t="s">
        <v>4302</v>
      </c>
      <c r="W1710" s="983" t="s">
        <v>3978</v>
      </c>
      <c r="X1710" s="980" t="s">
        <v>3982</v>
      </c>
      <c r="Y1710" s="966" t="s">
        <v>4059</v>
      </c>
      <c r="Z1710" s="1184">
        <v>0</v>
      </c>
      <c r="AA1710" s="1194">
        <v>0</v>
      </c>
      <c r="AB1710" s="1000" t="s">
        <v>364</v>
      </c>
      <c r="AC1710" s="1192" t="str">
        <f>""</f>
        <v/>
      </c>
      <c r="AD1710" s="1193">
        <v>0</v>
      </c>
      <c r="AE1710" s="1193" t="s">
        <v>368</v>
      </c>
      <c r="AF1710" s="1193" t="s">
        <v>369</v>
      </c>
      <c r="AG1710" s="1193">
        <v>1</v>
      </c>
      <c r="AH1710" s="1193">
        <v>11</v>
      </c>
      <c r="AI1710" s="1193">
        <v>0</v>
      </c>
      <c r="AJ1710" s="1193">
        <f>VLOOKUP($I1710,'Price List, Weapons &amp; Items'!B:F,5,0)</f>
        <v>0</v>
      </c>
      <c r="AK1710" s="1193">
        <f t="shared" si="360"/>
        <v>0</v>
      </c>
      <c r="AL1710" s="1193">
        <f t="shared" si="361"/>
        <v>0</v>
      </c>
      <c r="AM1710" s="1193">
        <f t="shared" si="362"/>
        <v>1</v>
      </c>
      <c r="AN1710" s="1194" t="str">
        <f>VLOOKUP($I1710,'Price List, Weapons &amp; Items'!B:L,COLUMN('Price List, Weapons &amp; Items'!$J$11)-1,0)</f>
        <v>Miscellaneous</v>
      </c>
      <c r="AO1710" s="1194" t="str">
        <f>IF(I1710=".",".",VLOOKUP($I1710,'Price List, Weapons &amp; Items'!B:J,3,0))</f>
        <v>Small Arms and Light Weapons (SALW) ammunition</v>
      </c>
      <c r="AP1710" s="1195" t="str">
        <f t="shared" ca="1" si="356"/>
        <v/>
      </c>
      <c r="AQ1710" s="1194">
        <f>VLOOKUP($I1710,'Price List, Weapons &amp; Items'!B:L,COLUMN('Price List, Weapons &amp; Items'!$L$11)-1,0)</f>
        <v>2</v>
      </c>
      <c r="AR1710" s="1194">
        <f t="shared" si="363"/>
        <v>1</v>
      </c>
      <c r="AS1710" s="1194">
        <f t="shared" si="364"/>
        <v>1</v>
      </c>
      <c r="AT1710" s="1194">
        <f t="shared" si="365"/>
        <v>1</v>
      </c>
      <c r="AU1710" s="1194" t="str">
        <f t="shared" si="367"/>
        <v>.</v>
      </c>
      <c r="AV1710" s="1194" t="str">
        <f t="shared" si="357"/>
        <v>.</v>
      </c>
      <c r="AW1710" s="1194" t="str">
        <f t="shared" si="366"/>
        <v>.</v>
      </c>
      <c r="AX1710" s="1194">
        <f>IFERROR(VLOOKUP(B1710,'Share, Heavy Weapons to Ukraine'!B:Z,COLUMN('Share, Heavy Weapons to Ukraine'!C1721)-1,0),0)</f>
        <v>1</v>
      </c>
      <c r="AY1710" s="1194">
        <f>VLOOKUP('Bilateral Assistance, MAIN DATA'!B1710,'Country Summary (€)'!B:F,COLUMN('Country Summary (€)'!C1722)-1,FALSE)</f>
        <v>0</v>
      </c>
      <c r="AZ1710" s="1194" t="str">
        <f>IF(AND(AD1710=1,D1710="Military",H1710&lt;&gt;"Not given")=TRUE,IF(SUMIFS(P:P,A:A,A1710)&gt;0,ABS((SUMIFS(P:P,A:A,A1710)/VLOOKUP("USD",'Exchange Rates'!B:C,2,0)))/S1710,"."),".")</f>
        <v>.</v>
      </c>
      <c r="BA1710" s="1196" t="str">
        <f>IF(AND(AD1710=1,D1710="Military",H1710&lt;&gt;"Not given")=TRUE,IF(SUMIFS(P:P,A:A,A1710)&gt;0,IF((ABS((SUMIFS(P:P,A:A,A1710)/VLOOKUP("USD",'Exchange Rates'!B:C,2,0)))/S1710)&gt;1,(SUMIFS(P:P,A:A,A1710)-S1710)/S1710,(S1710-SUMIFS(P:P,A:A,A1710))/SUMIFS(P:P,A:A,A1710)),"."),".")</f>
        <v>.</v>
      </c>
    </row>
    <row r="1711" spans="1:53" ht="15.95" customHeight="1">
      <c r="A1711" s="1208" t="s">
        <v>4284</v>
      </c>
      <c r="B1711" s="1208" t="s">
        <v>3949</v>
      </c>
      <c r="C1711" s="1220">
        <v>44888</v>
      </c>
      <c r="D1711" s="1208" t="s">
        <v>389</v>
      </c>
      <c r="E1711" s="1208" t="s">
        <v>390</v>
      </c>
      <c r="F1711" s="1263" t="s">
        <v>4301</v>
      </c>
      <c r="G1711" s="1184" t="s">
        <v>456</v>
      </c>
      <c r="H1711" s="1221">
        <v>400000000</v>
      </c>
      <c r="I1711" s="1180" t="s">
        <v>2472</v>
      </c>
      <c r="J1711" s="1186" t="str">
        <f>VLOOKUP($I1711,'Price List, Weapons &amp; Items'!B:C,2,0)</f>
        <v>Military equipment</v>
      </c>
      <c r="K1711" s="1186" t="str">
        <f>IF(I1711=".",I1711,VLOOKUP($I1711,'Price List, Weapons &amp; Items'!B:D,3,0))</f>
        <v>spare parts</v>
      </c>
      <c r="L1711" s="1187">
        <f>VLOOKUP(I1711,'Price List, Weapons &amp; Items'!B:E,4,0)</f>
        <v>0</v>
      </c>
      <c r="M1711" s="1188" t="s">
        <v>374</v>
      </c>
      <c r="N1711" s="1188" t="s">
        <v>374</v>
      </c>
      <c r="O1711" s="1188" t="str">
        <f>VLOOKUP($I1711,'Price List, Weapons &amp; Items'!B:G,6,0)</f>
        <v>.</v>
      </c>
      <c r="P1711" s="1185" t="str">
        <f t="shared" si="358"/>
        <v>.</v>
      </c>
      <c r="Q1711" s="1185" t="str">
        <f t="shared" si="359"/>
        <v>.</v>
      </c>
      <c r="R1711" s="1185" t="str">
        <f t="shared" si="355"/>
        <v/>
      </c>
      <c r="S1711" s="1185" t="str">
        <f>IF(AND(AD1711=1,R1711&lt;&gt;".")=TRUE,R1711/VLOOKUP(G1711,'Exchange Rates'!B:C,2,0),IF(R1711=".",".",""))</f>
        <v/>
      </c>
      <c r="T1711" s="1185" t="str">
        <f>IF(AD1711=1,IF(AF1711="Value is not given at all",".",IF(AF1711="Value is given by the source",S1711,IF(AF1711="Value is calculated with prices",(IF(SUMIFS(Q:Q,A:A,A1711)&gt;0,SUMIFS(Q:Q,A:A,A1711),"."))/VLOOKUP("USD",'Exchange Rates'!B:C,2,0),"Error with coding"))),"")</f>
        <v/>
      </c>
      <c r="U1711" s="1184" t="s">
        <v>365</v>
      </c>
      <c r="V1711" s="1017" t="s">
        <v>4302</v>
      </c>
      <c r="W1711" s="983" t="s">
        <v>3978</v>
      </c>
      <c r="X1711" s="980" t="s">
        <v>3982</v>
      </c>
      <c r="Y1711" s="966" t="s">
        <v>4060</v>
      </c>
      <c r="Z1711" s="1184">
        <v>0</v>
      </c>
      <c r="AA1711" s="1194">
        <v>0</v>
      </c>
      <c r="AB1711" s="1000" t="s">
        <v>364</v>
      </c>
      <c r="AC1711" s="1192" t="str">
        <f>""</f>
        <v/>
      </c>
      <c r="AD1711" s="1193">
        <v>0</v>
      </c>
      <c r="AE1711" s="1193" t="s">
        <v>368</v>
      </c>
      <c r="AF1711" s="1193" t="s">
        <v>369</v>
      </c>
      <c r="AG1711" s="1193">
        <v>1</v>
      </c>
      <c r="AH1711" s="1193">
        <v>11</v>
      </c>
      <c r="AI1711" s="1193">
        <v>0</v>
      </c>
      <c r="AJ1711" s="1193">
        <f>VLOOKUP($I1711,'Price List, Weapons &amp; Items'!B:F,5,0)</f>
        <v>0</v>
      </c>
      <c r="AK1711" s="1193">
        <f t="shared" si="360"/>
        <v>0</v>
      </c>
      <c r="AL1711" s="1193">
        <f t="shared" si="361"/>
        <v>0</v>
      </c>
      <c r="AM1711" s="1193">
        <f t="shared" si="362"/>
        <v>0</v>
      </c>
      <c r="AN1711" s="1194" t="str">
        <f>VLOOKUP($I1711,'Price List, Weapons &amp; Items'!B:L,COLUMN('Price List, Weapons &amp; Items'!$J$11)-1,0)</f>
        <v>.</v>
      </c>
      <c r="AO1711" s="1194" t="str">
        <f>IF(I1711=".",".",VLOOKUP($I1711,'Price List, Weapons &amp; Items'!B:J,3,0))</f>
        <v>spare parts</v>
      </c>
      <c r="AP1711" s="1195" t="str">
        <f t="shared" ca="1" si="356"/>
        <v/>
      </c>
      <c r="AQ1711" s="1194" t="str">
        <f>VLOOKUP($I1711,'Price List, Weapons &amp; Items'!B:L,COLUMN('Price List, Weapons &amp; Items'!$L$11)-1,0)</f>
        <v>no price, 0 count</v>
      </c>
      <c r="AR1711" s="1194">
        <f t="shared" si="363"/>
        <v>1</v>
      </c>
      <c r="AS1711" s="1194">
        <f t="shared" si="364"/>
        <v>1</v>
      </c>
      <c r="AT1711" s="1194">
        <f t="shared" si="365"/>
        <v>1</v>
      </c>
      <c r="AU1711" s="1194" t="str">
        <f t="shared" si="367"/>
        <v>.</v>
      </c>
      <c r="AV1711" s="1194" t="str">
        <f t="shared" si="357"/>
        <v>.</v>
      </c>
      <c r="AW1711" s="1194" t="str">
        <f t="shared" si="366"/>
        <v>.</v>
      </c>
      <c r="AX1711" s="1194">
        <f>IFERROR(VLOOKUP(B1711,'Share, Heavy Weapons to Ukraine'!B:Z,COLUMN('Share, Heavy Weapons to Ukraine'!C1722)-1,0),0)</f>
        <v>1</v>
      </c>
      <c r="AY1711" s="1194">
        <f>VLOOKUP('Bilateral Assistance, MAIN DATA'!B1711,'Country Summary (€)'!B:F,COLUMN('Country Summary (€)'!C1723)-1,FALSE)</f>
        <v>0</v>
      </c>
      <c r="AZ1711" s="1194" t="str">
        <f>IF(AND(AD1711=1,D1711="Military",H1711&lt;&gt;"Not given")=TRUE,IF(SUMIFS(P:P,A:A,A1711)&gt;0,ABS((SUMIFS(P:P,A:A,A1711)/VLOOKUP("USD",'Exchange Rates'!B:C,2,0)))/S1711,"."),".")</f>
        <v>.</v>
      </c>
      <c r="BA1711" s="1196" t="str">
        <f>IF(AND(AD1711=1,D1711="Military",H1711&lt;&gt;"Not given")=TRUE,IF(SUMIFS(P:P,A:A,A1711)&gt;0,IF((ABS((SUMIFS(P:P,A:A,A1711)/VLOOKUP("USD",'Exchange Rates'!B:C,2,0)))/S1711)&gt;1,(SUMIFS(P:P,A:A,A1711)-S1711)/S1711,(S1711-SUMIFS(P:P,A:A,A1711))/SUMIFS(P:P,A:A,A1711)),"."),".")</f>
        <v>.</v>
      </c>
    </row>
    <row r="1712" spans="1:53" ht="15.95" customHeight="1">
      <c r="A1712" s="1208" t="s">
        <v>4284</v>
      </c>
      <c r="B1712" s="1208" t="s">
        <v>3949</v>
      </c>
      <c r="C1712" s="1220">
        <v>44888</v>
      </c>
      <c r="D1712" s="1208" t="s">
        <v>389</v>
      </c>
      <c r="E1712" s="1208" t="s">
        <v>390</v>
      </c>
      <c r="F1712" s="1263" t="s">
        <v>4301</v>
      </c>
      <c r="G1712" s="1184" t="s">
        <v>456</v>
      </c>
      <c r="H1712" s="1221">
        <v>400000000</v>
      </c>
      <c r="I1712" s="1180" t="s">
        <v>596</v>
      </c>
      <c r="J1712" s="1186" t="str">
        <f>VLOOKUP($I1712,'Price List, Weapons &amp; Items'!B:C,2,0)</f>
        <v>Military equipment</v>
      </c>
      <c r="K1712" s="1186" t="str">
        <f>IF(I1712=".",I1712,VLOOKUP($I1712,'Price List, Weapons &amp; Items'!B:D,3,0))</f>
        <v>Military equipment</v>
      </c>
      <c r="L1712" s="1187">
        <f>VLOOKUP(I1712,'Price List, Weapons &amp; Items'!B:E,4,0)</f>
        <v>0</v>
      </c>
      <c r="M1712" s="1188">
        <v>200</v>
      </c>
      <c r="N1712" s="1188" t="s">
        <v>374</v>
      </c>
      <c r="O1712" s="1188">
        <f>VLOOKUP($I1712,'Price List, Weapons &amp; Items'!B:G,6,0)</f>
        <v>22216</v>
      </c>
      <c r="P1712" s="1185">
        <f t="shared" si="358"/>
        <v>4443200</v>
      </c>
      <c r="Q1712" s="1185" t="str">
        <f t="shared" si="359"/>
        <v>.</v>
      </c>
      <c r="R1712" s="1185" t="str">
        <f t="shared" si="355"/>
        <v/>
      </c>
      <c r="S1712" s="1185" t="str">
        <f>IF(AND(AD1712=1,R1712&lt;&gt;".")=TRUE,R1712/VLOOKUP(G1712,'Exchange Rates'!B:C,2,0),IF(R1712=".",".",""))</f>
        <v/>
      </c>
      <c r="T1712" s="1185" t="str">
        <f>IF(AD1712=1,IF(AF1712="Value is not given at all",".",IF(AF1712="Value is given by the source",S1712,IF(AF1712="Value is calculated with prices",(IF(SUMIFS(Q:Q,A:A,A1712)&gt;0,SUMIFS(Q:Q,A:A,A1712),"."))/VLOOKUP("USD",'Exchange Rates'!B:C,2,0),"Error with coding"))),"")</f>
        <v/>
      </c>
      <c r="U1712" s="1184" t="s">
        <v>365</v>
      </c>
      <c r="V1712" s="1017" t="s">
        <v>4302</v>
      </c>
      <c r="W1712" s="983" t="s">
        <v>3978</v>
      </c>
      <c r="X1712" s="980" t="s">
        <v>3982</v>
      </c>
      <c r="Y1712" s="966" t="s">
        <v>4061</v>
      </c>
      <c r="Z1712" s="1184">
        <v>0</v>
      </c>
      <c r="AA1712" s="1194">
        <v>0</v>
      </c>
      <c r="AB1712" s="1000" t="s">
        <v>364</v>
      </c>
      <c r="AC1712" s="1192" t="str">
        <f>""</f>
        <v/>
      </c>
      <c r="AD1712" s="1193">
        <v>0</v>
      </c>
      <c r="AE1712" s="1193" t="s">
        <v>368</v>
      </c>
      <c r="AF1712" s="1193" t="s">
        <v>369</v>
      </c>
      <c r="AG1712" s="1193">
        <v>1</v>
      </c>
      <c r="AH1712" s="1193">
        <v>11</v>
      </c>
      <c r="AI1712" s="1193">
        <v>0</v>
      </c>
      <c r="AJ1712" s="1193">
        <f>VLOOKUP($I1712,'Price List, Weapons &amp; Items'!B:F,5,0)</f>
        <v>0</v>
      </c>
      <c r="AK1712" s="1193">
        <f t="shared" si="360"/>
        <v>0</v>
      </c>
      <c r="AL1712" s="1193">
        <f t="shared" si="361"/>
        <v>0</v>
      </c>
      <c r="AM1712" s="1193">
        <f t="shared" si="362"/>
        <v>0</v>
      </c>
      <c r="AN1712" s="1194" t="str">
        <f>VLOOKUP($I1712,'Price List, Weapons &amp; Items'!B:L,COLUMN('Price List, Weapons &amp; Items'!$J$11)-1,0)</f>
        <v>Government information</v>
      </c>
      <c r="AO1712" s="1194" t="str">
        <f>IF(I1712=".",".",VLOOKUP($I1712,'Price List, Weapons &amp; Items'!B:J,3,0))</f>
        <v>Military equipment</v>
      </c>
      <c r="AP1712" s="1195" t="str">
        <f t="shared" ca="1" si="356"/>
        <v/>
      </c>
      <c r="AQ1712" s="1194">
        <f>VLOOKUP($I1712,'Price List, Weapons &amp; Items'!B:L,COLUMN('Price List, Weapons &amp; Items'!$L$11)-1,0)</f>
        <v>2</v>
      </c>
      <c r="AR1712" s="1194">
        <f t="shared" si="363"/>
        <v>1</v>
      </c>
      <c r="AS1712" s="1194">
        <f t="shared" si="364"/>
        <v>1</v>
      </c>
      <c r="AT1712" s="1194">
        <f t="shared" si="365"/>
        <v>1</v>
      </c>
      <c r="AU1712" s="1194" t="str">
        <f t="shared" si="367"/>
        <v>.</v>
      </c>
      <c r="AV1712" s="1194" t="str">
        <f t="shared" si="357"/>
        <v>.</v>
      </c>
      <c r="AW1712" s="1194" t="str">
        <f t="shared" si="366"/>
        <v>.</v>
      </c>
      <c r="AX1712" s="1194">
        <f>IFERROR(VLOOKUP(B1712,'Share, Heavy Weapons to Ukraine'!B:Z,COLUMN('Share, Heavy Weapons to Ukraine'!C1723)-1,0),0)</f>
        <v>1</v>
      </c>
      <c r="AY1712" s="1194">
        <f>VLOOKUP('Bilateral Assistance, MAIN DATA'!B1712,'Country Summary (€)'!B:F,COLUMN('Country Summary (€)'!C1724)-1,FALSE)</f>
        <v>0</v>
      </c>
      <c r="AZ1712" s="1194" t="str">
        <f>IF(AND(AD1712=1,D1712="Military",H1712&lt;&gt;"Not given")=TRUE,IF(SUMIFS(P:P,A:A,A1712)&gt;0,ABS((SUMIFS(P:P,A:A,A1712)/VLOOKUP("USD",'Exchange Rates'!B:C,2,0)))/S1712,"."),".")</f>
        <v>.</v>
      </c>
      <c r="BA1712" s="1196" t="str">
        <f>IF(AND(AD1712=1,D1712="Military",H1712&lt;&gt;"Not given")=TRUE,IF(SUMIFS(P:P,A:A,A1712)&gt;0,IF((ABS((SUMIFS(P:P,A:A,A1712)/VLOOKUP("USD",'Exchange Rates'!B:C,2,0)))/S1712)&gt;1,(SUMIFS(P:P,A:A,A1712)-S1712)/S1712,(S1712-SUMIFS(P:P,A:A,A1712))/SUMIFS(P:P,A:A,A1712)),"."),".")</f>
        <v>.</v>
      </c>
    </row>
    <row r="1713" spans="1:53" ht="15.95" customHeight="1">
      <c r="A1713" s="1208" t="s">
        <v>4284</v>
      </c>
      <c r="B1713" s="1208" t="s">
        <v>3949</v>
      </c>
      <c r="C1713" s="1220">
        <v>44904</v>
      </c>
      <c r="D1713" s="1208" t="s">
        <v>389</v>
      </c>
      <c r="E1713" s="1208" t="s">
        <v>390</v>
      </c>
      <c r="F1713" s="1263" t="s">
        <v>4303</v>
      </c>
      <c r="G1713" s="1184" t="s">
        <v>456</v>
      </c>
      <c r="H1713" s="1221">
        <v>275000000</v>
      </c>
      <c r="I1713" s="1180" t="s">
        <v>4093</v>
      </c>
      <c r="J1713" s="1186" t="str">
        <f>VLOOKUP($I1713,'Price List, Weapons &amp; Items'!B:C,2,0)</f>
        <v>Ammunition for heavy weapon</v>
      </c>
      <c r="K1713" s="1186" t="str">
        <f>IF(I1713=".",I1713,VLOOKUP($I1713,'Price List, Weapons &amp; Items'!B:D,3,0))</f>
        <v>227mm MLRS ammunition</v>
      </c>
      <c r="L1713" s="1187">
        <f>VLOOKUP(I1713,'Price List, Weapons &amp; Items'!B:E,4,0)</f>
        <v>0</v>
      </c>
      <c r="M1713" s="1188" t="s">
        <v>374</v>
      </c>
      <c r="N1713" s="1188" t="s">
        <v>374</v>
      </c>
      <c r="O1713" s="1188">
        <f>VLOOKUP($I1713,'Price List, Weapons &amp; Items'!B:G,6,0)</f>
        <v>150000</v>
      </c>
      <c r="P1713" s="1185" t="str">
        <f t="shared" si="358"/>
        <v>.</v>
      </c>
      <c r="Q1713" s="1185" t="str">
        <f t="shared" si="359"/>
        <v>.</v>
      </c>
      <c r="R1713" s="1185" t="str">
        <f t="shared" si="355"/>
        <v/>
      </c>
      <c r="S1713" s="1185" t="str">
        <f>IF(AND(AD1713=1,R1713&lt;&gt;".")=TRUE,R1713/VLOOKUP(G1713,'Exchange Rates'!B:C,2,0),IF(R1713=".",".",""))</f>
        <v/>
      </c>
      <c r="T1713" s="1185" t="str">
        <f>IF(AD1713=1,IF(AF1713="Value is not given at all",".",IF(AF1713="Value is given by the source",S1713,IF(AF1713="Value is calculated with prices",(IF(SUMIFS(Q:Q,A:A,A1713)&gt;0,SUMIFS(Q:Q,A:A,A1713),"."))/VLOOKUP("USD",'Exchange Rates'!B:C,2,0),"Error with coding"))),"")</f>
        <v/>
      </c>
      <c r="U1713" s="1184" t="s">
        <v>365</v>
      </c>
      <c r="V1713" s="979" t="s">
        <v>4304</v>
      </c>
      <c r="W1713" s="983" t="s">
        <v>3978</v>
      </c>
      <c r="X1713" s="980" t="s">
        <v>3982</v>
      </c>
      <c r="Y1713" s="966" t="s">
        <v>4064</v>
      </c>
      <c r="Z1713" s="1184">
        <v>0</v>
      </c>
      <c r="AA1713" s="1194">
        <v>0</v>
      </c>
      <c r="AB1713" s="1000" t="s">
        <v>364</v>
      </c>
      <c r="AC1713" s="1192" t="str">
        <f>""</f>
        <v/>
      </c>
      <c r="AD1713" s="1193">
        <v>0</v>
      </c>
      <c r="AE1713" s="1193" t="s">
        <v>368</v>
      </c>
      <c r="AF1713" s="1193" t="s">
        <v>369</v>
      </c>
      <c r="AG1713" s="1193">
        <v>1</v>
      </c>
      <c r="AH1713" s="1193">
        <v>12</v>
      </c>
      <c r="AI1713" s="1193">
        <v>0</v>
      </c>
      <c r="AJ1713" s="1193">
        <f>VLOOKUP($I1713,'Price List, Weapons &amp; Items'!B:F,5,0)</f>
        <v>1</v>
      </c>
      <c r="AK1713" s="1193">
        <f t="shared" si="360"/>
        <v>1</v>
      </c>
      <c r="AL1713" s="1193">
        <f t="shared" si="361"/>
        <v>1</v>
      </c>
      <c r="AM1713" s="1193">
        <f t="shared" si="362"/>
        <v>1</v>
      </c>
      <c r="AN1713" s="1194" t="str">
        <f>VLOOKUP($I1713,'Price List, Weapons &amp; Items'!B:L,COLUMN('Price List, Weapons &amp; Items'!$J$11)-1,0)</f>
        <v>Media reports (incl. social media)</v>
      </c>
      <c r="AO1713" s="1194" t="str">
        <f>IF(I1713=".",".",VLOOKUP($I1713,'Price List, Weapons &amp; Items'!B:J,3,0))</f>
        <v>227mm MLRS ammunition</v>
      </c>
      <c r="AP1713" s="1195" t="str">
        <f t="shared" ca="1" si="356"/>
        <v/>
      </c>
      <c r="AQ1713" s="1194" t="str">
        <f>VLOOKUP($I1713,'Price List, Weapons &amp; Items'!B:L,COLUMN('Price List, Weapons &amp; Items'!$L$11)-1,0)</f>
        <v>no price, 0 count</v>
      </c>
      <c r="AR1713" s="1194">
        <f t="shared" si="363"/>
        <v>1</v>
      </c>
      <c r="AS1713" s="1194">
        <f t="shared" si="364"/>
        <v>1</v>
      </c>
      <c r="AT1713" s="1194">
        <f t="shared" si="365"/>
        <v>1</v>
      </c>
      <c r="AU1713" s="1194" t="str">
        <f t="shared" si="367"/>
        <v>.</v>
      </c>
      <c r="AV1713" s="1194" t="str">
        <f t="shared" si="357"/>
        <v>.</v>
      </c>
      <c r="AW1713" s="1194" t="str">
        <f t="shared" si="366"/>
        <v>.</v>
      </c>
      <c r="AX1713" s="1194">
        <f>IFERROR(VLOOKUP(B1713,'Share, Heavy Weapons to Ukraine'!B:Z,COLUMN('Share, Heavy Weapons to Ukraine'!C1724)-1,0),0)</f>
        <v>1</v>
      </c>
      <c r="AY1713" s="1194">
        <f>VLOOKUP('Bilateral Assistance, MAIN DATA'!B1713,'Country Summary (€)'!B:F,COLUMN('Country Summary (€)'!C1725)-1,FALSE)</f>
        <v>0</v>
      </c>
      <c r="AZ1713" s="1194" t="str">
        <f>IF(AND(AD1713=1,D1713="Military",H1713&lt;&gt;"Not given")=TRUE,IF(SUMIFS(P:P,A:A,A1713)&gt;0,ABS((SUMIFS(P:P,A:A,A1713)/VLOOKUP("USD",'Exchange Rates'!B:C,2,0)))/S1713,"."),".")</f>
        <v>.</v>
      </c>
      <c r="BA1713" s="1196" t="str">
        <f>IF(AND(AD1713=1,D1713="Military",H1713&lt;&gt;"Not given")=TRUE,IF(SUMIFS(P:P,A:A,A1713)&gt;0,IF((ABS((SUMIFS(P:P,A:A,A1713)/VLOOKUP("USD",'Exchange Rates'!B:C,2,0)))/S1713)&gt;1,(SUMIFS(P:P,A:A,A1713)-S1713)/S1713,(S1713-SUMIFS(P:P,A:A,A1713))/SUMIFS(P:P,A:A,A1713)),"."),".")</f>
        <v>.</v>
      </c>
    </row>
    <row r="1714" spans="1:53" ht="15.95" customHeight="1">
      <c r="A1714" s="1208" t="s">
        <v>4284</v>
      </c>
      <c r="B1714" s="1208" t="s">
        <v>3949</v>
      </c>
      <c r="C1714" s="1220">
        <v>44904</v>
      </c>
      <c r="D1714" s="1208" t="s">
        <v>389</v>
      </c>
      <c r="E1714" s="1208" t="s">
        <v>390</v>
      </c>
      <c r="F1714" s="1263" t="s">
        <v>4303</v>
      </c>
      <c r="G1714" s="1184" t="s">
        <v>456</v>
      </c>
      <c r="H1714" s="1221">
        <v>275000000</v>
      </c>
      <c r="I1714" s="1180" t="s">
        <v>856</v>
      </c>
      <c r="J1714" s="1186" t="str">
        <f>VLOOKUP($I1714,'Price List, Weapons &amp; Items'!B:C,2,0)</f>
        <v>Ammunition for heavy weapon</v>
      </c>
      <c r="K1714" s="1186" t="str">
        <f>IF(I1714=".",I1714,VLOOKUP($I1714,'Price List, Weapons &amp; Items'!B:D,3,0))</f>
        <v>155mm howitzer ammunition</v>
      </c>
      <c r="L1714" s="1187">
        <f>VLOOKUP(I1714,'Price List, Weapons &amp; Items'!B:E,4,0)</f>
        <v>0</v>
      </c>
      <c r="M1714" s="1188">
        <v>80000</v>
      </c>
      <c r="N1714" s="1188" t="s">
        <v>374</v>
      </c>
      <c r="O1714" s="1188">
        <f>VLOOKUP($I1714,'Price List, Weapons &amp; Items'!B:G,6,0)</f>
        <v>3800</v>
      </c>
      <c r="P1714" s="1185">
        <f t="shared" si="358"/>
        <v>304000000</v>
      </c>
      <c r="Q1714" s="1185" t="str">
        <f t="shared" si="359"/>
        <v>.</v>
      </c>
      <c r="R1714" s="1185" t="str">
        <f t="shared" si="355"/>
        <v/>
      </c>
      <c r="S1714" s="1185" t="str">
        <f>IF(AND(AD1714=1,R1714&lt;&gt;".")=TRUE,R1714/VLOOKUP(G1714,'Exchange Rates'!B:C,2,0),IF(R1714=".",".",""))</f>
        <v/>
      </c>
      <c r="T1714" s="1185" t="str">
        <f>IF(AD1714=1,IF(AF1714="Value is not given at all",".",IF(AF1714="Value is given by the source",S1714,IF(AF1714="Value is calculated with prices",(IF(SUMIFS(Q:Q,A:A,A1714)&gt;0,SUMIFS(Q:Q,A:A,A1714),"."))/VLOOKUP("USD",'Exchange Rates'!B:C,2,0),"Error with coding"))),"")</f>
        <v/>
      </c>
      <c r="U1714" s="1184" t="s">
        <v>365</v>
      </c>
      <c r="V1714" s="979" t="s">
        <v>4304</v>
      </c>
      <c r="W1714" s="983" t="s">
        <v>3978</v>
      </c>
      <c r="X1714" s="980" t="s">
        <v>3982</v>
      </c>
      <c r="Y1714" s="966" t="s">
        <v>4065</v>
      </c>
      <c r="Z1714" s="1184">
        <v>0</v>
      </c>
      <c r="AA1714" s="1194">
        <v>0</v>
      </c>
      <c r="AB1714" s="1000" t="s">
        <v>364</v>
      </c>
      <c r="AC1714" s="1192" t="str">
        <f>""</f>
        <v/>
      </c>
      <c r="AD1714" s="1193">
        <v>0</v>
      </c>
      <c r="AE1714" s="1193" t="s">
        <v>368</v>
      </c>
      <c r="AF1714" s="1193" t="s">
        <v>369</v>
      </c>
      <c r="AG1714" s="1193">
        <v>1</v>
      </c>
      <c r="AH1714" s="1193">
        <v>12</v>
      </c>
      <c r="AI1714" s="1193">
        <v>0</v>
      </c>
      <c r="AJ1714" s="1193">
        <f>VLOOKUP($I1714,'Price List, Weapons &amp; Items'!B:F,5,0)</f>
        <v>1</v>
      </c>
      <c r="AK1714" s="1193">
        <f t="shared" si="360"/>
        <v>0</v>
      </c>
      <c r="AL1714" s="1193">
        <f t="shared" si="361"/>
        <v>1</v>
      </c>
      <c r="AM1714" s="1193">
        <f t="shared" si="362"/>
        <v>0</v>
      </c>
      <c r="AN1714" s="1194" t="str">
        <f>VLOOKUP($I1714,'Price List, Weapons &amp; Items'!B:L,COLUMN('Price List, Weapons &amp; Items'!$J$11)-1,0)</f>
        <v>Government information</v>
      </c>
      <c r="AO1714" s="1194" t="str">
        <f>IF(I1714=".",".",VLOOKUP($I1714,'Price List, Weapons &amp; Items'!B:J,3,0))</f>
        <v>155mm howitzer ammunition</v>
      </c>
      <c r="AP1714" s="1195" t="str">
        <f t="shared" ca="1" si="356"/>
        <v/>
      </c>
      <c r="AQ1714" s="1194">
        <f>VLOOKUP($I1714,'Price List, Weapons &amp; Items'!B:L,COLUMN('Price List, Weapons &amp; Items'!$L$11)-1,0)</f>
        <v>2</v>
      </c>
      <c r="AR1714" s="1194">
        <f t="shared" si="363"/>
        <v>1</v>
      </c>
      <c r="AS1714" s="1194">
        <f t="shared" si="364"/>
        <v>1</v>
      </c>
      <c r="AT1714" s="1194">
        <f t="shared" si="365"/>
        <v>1</v>
      </c>
      <c r="AU1714" s="1194" t="str">
        <f t="shared" si="367"/>
        <v>.</v>
      </c>
      <c r="AV1714" s="1194" t="str">
        <f t="shared" si="357"/>
        <v>.</v>
      </c>
      <c r="AW1714" s="1194" t="str">
        <f t="shared" si="366"/>
        <v>.</v>
      </c>
      <c r="AX1714" s="1194">
        <f>IFERROR(VLOOKUP(B1714,'Share, Heavy Weapons to Ukraine'!B:Z,COLUMN('Share, Heavy Weapons to Ukraine'!C1725)-1,0),0)</f>
        <v>1</v>
      </c>
      <c r="AY1714" s="1194">
        <f>VLOOKUP('Bilateral Assistance, MAIN DATA'!B1714,'Country Summary (€)'!B:F,COLUMN('Country Summary (€)'!C1726)-1,FALSE)</f>
        <v>0</v>
      </c>
      <c r="AZ1714" s="1194" t="str">
        <f>IF(AND(AD1714=1,D1714="Military",H1714&lt;&gt;"Not given")=TRUE,IF(SUMIFS(P:P,A:A,A1714)&gt;0,ABS((SUMIFS(P:P,A:A,A1714)/VLOOKUP("USD",'Exchange Rates'!B:C,2,0)))/S1714,"."),".")</f>
        <v>.</v>
      </c>
      <c r="BA1714" s="1196" t="str">
        <f>IF(AND(AD1714=1,D1714="Military",H1714&lt;&gt;"Not given")=TRUE,IF(SUMIFS(P:P,A:A,A1714)&gt;0,IF((ABS((SUMIFS(P:P,A:A,A1714)/VLOOKUP("USD",'Exchange Rates'!B:C,2,0)))/S1714)&gt;1,(SUMIFS(P:P,A:A,A1714)-S1714)/S1714,(S1714-SUMIFS(P:P,A:A,A1714))/SUMIFS(P:P,A:A,A1714)),"."),".")</f>
        <v>.</v>
      </c>
    </row>
    <row r="1715" spans="1:53" ht="15.95" customHeight="1">
      <c r="A1715" s="1208" t="s">
        <v>4284</v>
      </c>
      <c r="B1715" s="1208" t="s">
        <v>3949</v>
      </c>
      <c r="C1715" s="1220">
        <v>44904</v>
      </c>
      <c r="D1715" s="1208" t="s">
        <v>389</v>
      </c>
      <c r="E1715" s="1208" t="s">
        <v>390</v>
      </c>
      <c r="F1715" s="1263" t="s">
        <v>4303</v>
      </c>
      <c r="G1715" s="1184" t="s">
        <v>456</v>
      </c>
      <c r="H1715" s="1221">
        <v>275000000</v>
      </c>
      <c r="I1715" s="1180" t="s">
        <v>4187</v>
      </c>
      <c r="J1715" s="1186" t="str">
        <f>VLOOKUP($I1715,'Price List, Weapons &amp; Items'!B:C,2,0)</f>
        <v>Heavy weapon</v>
      </c>
      <c r="K1715" s="1186" t="str">
        <f>IF(I1715=".",I1715,VLOOKUP($I1715,'Price List, Weapons &amp; Items'!B:D,3,0))</f>
        <v>Armored Utility Vehicle (AUV)</v>
      </c>
      <c r="L1715" s="1187">
        <f>VLOOKUP(I1715,'Price List, Weapons &amp; Items'!B:E,4,0)</f>
        <v>0</v>
      </c>
      <c r="M1715" s="1188">
        <v>57</v>
      </c>
      <c r="N1715" s="1188" t="s">
        <v>374</v>
      </c>
      <c r="O1715" s="1188">
        <f>VLOOKUP($I1715,'Price List, Weapons &amp; Items'!B:G,6,0)</f>
        <v>254717</v>
      </c>
      <c r="P1715" s="1185">
        <f t="shared" si="358"/>
        <v>14518869</v>
      </c>
      <c r="Q1715" s="1185" t="str">
        <f t="shared" si="359"/>
        <v>.</v>
      </c>
      <c r="R1715" s="1185" t="str">
        <f t="shared" si="355"/>
        <v/>
      </c>
      <c r="S1715" s="1185" t="str">
        <f>IF(AND(AD1715=1,R1715&lt;&gt;".")=TRUE,R1715/VLOOKUP(G1715,'Exchange Rates'!B:C,2,0),IF(R1715=".",".",""))</f>
        <v/>
      </c>
      <c r="T1715" s="1185" t="str">
        <f>IF(AD1715=1,IF(AF1715="Value is not given at all",".",IF(AF1715="Value is given by the source",S1715,IF(AF1715="Value is calculated with prices",(IF(SUMIFS(Q:Q,A:A,A1715)&gt;0,SUMIFS(Q:Q,A:A,A1715),"."))/VLOOKUP("USD",'Exchange Rates'!B:C,2,0),"Error with coding"))),"")</f>
        <v/>
      </c>
      <c r="U1715" s="1184" t="s">
        <v>365</v>
      </c>
      <c r="V1715" s="979" t="s">
        <v>4304</v>
      </c>
      <c r="W1715" s="983" t="s">
        <v>3978</v>
      </c>
      <c r="X1715" s="980" t="s">
        <v>3982</v>
      </c>
      <c r="Y1715" s="966" t="s">
        <v>4066</v>
      </c>
      <c r="Z1715" s="1184">
        <v>0</v>
      </c>
      <c r="AA1715" s="1194">
        <v>0</v>
      </c>
      <c r="AB1715" s="1000" t="s">
        <v>364</v>
      </c>
      <c r="AC1715" s="1192" t="str">
        <f>""</f>
        <v/>
      </c>
      <c r="AD1715" s="1193">
        <v>0</v>
      </c>
      <c r="AE1715" s="1193" t="s">
        <v>368</v>
      </c>
      <c r="AF1715" s="1193" t="s">
        <v>369</v>
      </c>
      <c r="AG1715" s="1193">
        <v>1</v>
      </c>
      <c r="AH1715" s="1193">
        <v>12</v>
      </c>
      <c r="AI1715" s="1193">
        <v>0</v>
      </c>
      <c r="AJ1715" s="1193">
        <f>VLOOKUP($I1715,'Price List, Weapons &amp; Items'!B:F,5,0)</f>
        <v>1</v>
      </c>
      <c r="AK1715" s="1193">
        <f t="shared" si="360"/>
        <v>0</v>
      </c>
      <c r="AL1715" s="1193">
        <f t="shared" si="361"/>
        <v>1</v>
      </c>
      <c r="AM1715" s="1193">
        <f t="shared" si="362"/>
        <v>0</v>
      </c>
      <c r="AN1715" s="1194" t="str">
        <f>VLOOKUP($I1715,'Price List, Weapons &amp; Items'!B:L,COLUMN('Price List, Weapons &amp; Items'!$J$11)-1,0)</f>
        <v>Military media (incl. websites)</v>
      </c>
      <c r="AO1715" s="1194" t="str">
        <f>IF(I1715=".",".",VLOOKUP($I1715,'Price List, Weapons &amp; Items'!B:J,3,0))</f>
        <v>Armored Utility Vehicle (AUV)</v>
      </c>
      <c r="AP1715" s="1195" t="str">
        <f t="shared" ca="1" si="356"/>
        <v/>
      </c>
      <c r="AQ1715" s="1194">
        <f>VLOOKUP($I1715,'Price List, Weapons &amp; Items'!B:L,COLUMN('Price List, Weapons &amp; Items'!$L$11)-1,0)</f>
        <v>2</v>
      </c>
      <c r="AR1715" s="1194">
        <f t="shared" si="363"/>
        <v>1</v>
      </c>
      <c r="AS1715" s="1194">
        <f t="shared" si="364"/>
        <v>1</v>
      </c>
      <c r="AT1715" s="1194">
        <f t="shared" si="365"/>
        <v>1</v>
      </c>
      <c r="AU1715" s="1194" t="str">
        <f t="shared" si="367"/>
        <v>.</v>
      </c>
      <c r="AV1715" s="1194" t="str">
        <f t="shared" si="357"/>
        <v>.</v>
      </c>
      <c r="AW1715" s="1194" t="str">
        <f t="shared" si="366"/>
        <v>.</v>
      </c>
      <c r="AX1715" s="1194">
        <f>IFERROR(VLOOKUP(B1715,'Share, Heavy Weapons to Ukraine'!B:Z,COLUMN('Share, Heavy Weapons to Ukraine'!C1726)-1,0),0)</f>
        <v>1</v>
      </c>
      <c r="AY1715" s="1194">
        <f>VLOOKUP('Bilateral Assistance, MAIN DATA'!B1715,'Country Summary (€)'!B:F,COLUMN('Country Summary (€)'!C1727)-1,FALSE)</f>
        <v>0</v>
      </c>
      <c r="AZ1715" s="1194" t="str">
        <f>IF(AND(AD1715=1,D1715="Military",H1715&lt;&gt;"Not given")=TRUE,IF(SUMIFS(P:P,A:A,A1715)&gt;0,ABS((SUMIFS(P:P,A:A,A1715)/VLOOKUP("USD",'Exchange Rates'!B:C,2,0)))/S1715,"."),".")</f>
        <v>.</v>
      </c>
      <c r="BA1715" s="1196" t="str">
        <f>IF(AND(AD1715=1,D1715="Military",H1715&lt;&gt;"Not given")=TRUE,IF(SUMIFS(P:P,A:A,A1715)&gt;0,IF((ABS((SUMIFS(P:P,A:A,A1715)/VLOOKUP("USD",'Exchange Rates'!B:C,2,0)))/S1715)&gt;1,(SUMIFS(P:P,A:A,A1715)-S1715)/S1715,(S1715-SUMIFS(P:P,A:A,A1715))/SUMIFS(P:P,A:A,A1715)),"."),".")</f>
        <v>.</v>
      </c>
    </row>
    <row r="1716" spans="1:53" ht="15.95" customHeight="1">
      <c r="A1716" s="1208" t="s">
        <v>4284</v>
      </c>
      <c r="B1716" s="1208" t="s">
        <v>3949</v>
      </c>
      <c r="C1716" s="1220">
        <v>44904</v>
      </c>
      <c r="D1716" s="1208" t="s">
        <v>389</v>
      </c>
      <c r="E1716" s="1208" t="s">
        <v>390</v>
      </c>
      <c r="F1716" s="1263" t="s">
        <v>4303</v>
      </c>
      <c r="G1716" s="1184" t="s">
        <v>456</v>
      </c>
      <c r="H1716" s="1221">
        <v>275000000</v>
      </c>
      <c r="I1716" s="1180" t="s">
        <v>596</v>
      </c>
      <c r="J1716" s="1186" t="str">
        <f>VLOOKUP($I1716,'Price List, Weapons &amp; Items'!B:C,2,0)</f>
        <v>Military equipment</v>
      </c>
      <c r="K1716" s="1186" t="str">
        <f>IF(I1716=".",I1716,VLOOKUP($I1716,'Price List, Weapons &amp; Items'!B:D,3,0))</f>
        <v>Military equipment</v>
      </c>
      <c r="L1716" s="1187">
        <f>VLOOKUP(I1716,'Price List, Weapons &amp; Items'!B:E,4,0)</f>
        <v>0</v>
      </c>
      <c r="M1716" s="1188">
        <v>150</v>
      </c>
      <c r="N1716" s="1188" t="s">
        <v>374</v>
      </c>
      <c r="O1716" s="1188">
        <f>VLOOKUP($I1716,'Price List, Weapons &amp; Items'!B:G,6,0)</f>
        <v>22216</v>
      </c>
      <c r="P1716" s="1185">
        <f t="shared" si="358"/>
        <v>3332400</v>
      </c>
      <c r="Q1716" s="1185" t="str">
        <f t="shared" si="359"/>
        <v>.</v>
      </c>
      <c r="R1716" s="1185" t="str">
        <f t="shared" si="355"/>
        <v/>
      </c>
      <c r="S1716" s="1185" t="str">
        <f>IF(AND(AD1716=1,R1716&lt;&gt;".")=TRUE,R1716/VLOOKUP(G1716,'Exchange Rates'!B:C,2,0),IF(R1716=".",".",""))</f>
        <v/>
      </c>
      <c r="T1716" s="1185" t="str">
        <f>IF(AD1716=1,IF(AF1716="Value is not given at all",".",IF(AF1716="Value is given by the source",S1716,IF(AF1716="Value is calculated with prices",(IF(SUMIFS(Q:Q,A:A,A1716)&gt;0,SUMIFS(Q:Q,A:A,A1716),"."))/VLOOKUP("USD",'Exchange Rates'!B:C,2,0),"Error with coding"))),"")</f>
        <v/>
      </c>
      <c r="U1716" s="1184" t="s">
        <v>365</v>
      </c>
      <c r="V1716" s="979" t="s">
        <v>4304</v>
      </c>
      <c r="W1716" s="983" t="s">
        <v>3978</v>
      </c>
      <c r="X1716" s="980" t="s">
        <v>3982</v>
      </c>
      <c r="Y1716" s="966" t="s">
        <v>4067</v>
      </c>
      <c r="Z1716" s="1184">
        <v>0</v>
      </c>
      <c r="AA1716" s="1194">
        <v>0</v>
      </c>
      <c r="AB1716" s="1000" t="s">
        <v>364</v>
      </c>
      <c r="AC1716" s="1192" t="str">
        <f>""</f>
        <v/>
      </c>
      <c r="AD1716" s="1193">
        <v>0</v>
      </c>
      <c r="AE1716" s="1193" t="s">
        <v>368</v>
      </c>
      <c r="AF1716" s="1193" t="s">
        <v>369</v>
      </c>
      <c r="AG1716" s="1193">
        <v>1</v>
      </c>
      <c r="AH1716" s="1193">
        <v>12</v>
      </c>
      <c r="AI1716" s="1193">
        <v>0</v>
      </c>
      <c r="AJ1716" s="1193">
        <f>VLOOKUP($I1716,'Price List, Weapons &amp; Items'!B:F,5,0)</f>
        <v>0</v>
      </c>
      <c r="AK1716" s="1193">
        <f t="shared" si="360"/>
        <v>0</v>
      </c>
      <c r="AL1716" s="1193">
        <f t="shared" si="361"/>
        <v>0</v>
      </c>
      <c r="AM1716" s="1193">
        <f t="shared" si="362"/>
        <v>0</v>
      </c>
      <c r="AN1716" s="1194" t="str">
        <f>VLOOKUP($I1716,'Price List, Weapons &amp; Items'!B:L,COLUMN('Price List, Weapons &amp; Items'!$J$11)-1,0)</f>
        <v>Government information</v>
      </c>
      <c r="AO1716" s="1194" t="str">
        <f>IF(I1716=".",".",VLOOKUP($I1716,'Price List, Weapons &amp; Items'!B:J,3,0))</f>
        <v>Military equipment</v>
      </c>
      <c r="AP1716" s="1195" t="str">
        <f t="shared" ca="1" si="356"/>
        <v/>
      </c>
      <c r="AQ1716" s="1194">
        <f>VLOOKUP($I1716,'Price List, Weapons &amp; Items'!B:L,COLUMN('Price List, Weapons &amp; Items'!$L$11)-1,0)</f>
        <v>2</v>
      </c>
      <c r="AR1716" s="1194">
        <f t="shared" si="363"/>
        <v>1</v>
      </c>
      <c r="AS1716" s="1194">
        <f t="shared" si="364"/>
        <v>1</v>
      </c>
      <c r="AT1716" s="1194">
        <f t="shared" si="365"/>
        <v>1</v>
      </c>
      <c r="AU1716" s="1194" t="str">
        <f t="shared" si="367"/>
        <v>.</v>
      </c>
      <c r="AV1716" s="1194" t="str">
        <f t="shared" si="357"/>
        <v>.</v>
      </c>
      <c r="AW1716" s="1194" t="str">
        <f t="shared" si="366"/>
        <v>.</v>
      </c>
      <c r="AX1716" s="1194">
        <f>IFERROR(VLOOKUP(B1716,'Share, Heavy Weapons to Ukraine'!B:Z,COLUMN('Share, Heavy Weapons to Ukraine'!C1727)-1,0),0)</f>
        <v>1</v>
      </c>
      <c r="AY1716" s="1194">
        <f>VLOOKUP('Bilateral Assistance, MAIN DATA'!B1716,'Country Summary (€)'!B:F,COLUMN('Country Summary (€)'!C1728)-1,FALSE)</f>
        <v>0</v>
      </c>
      <c r="AZ1716" s="1194" t="str">
        <f>IF(AND(AD1716=1,D1716="Military",H1716&lt;&gt;"Not given")=TRUE,IF(SUMIFS(P:P,A:A,A1716)&gt;0,ABS((SUMIFS(P:P,A:A,A1716)/VLOOKUP("USD",'Exchange Rates'!B:C,2,0)))/S1716,"."),".")</f>
        <v>.</v>
      </c>
      <c r="BA1716" s="1196" t="str">
        <f>IF(AND(AD1716=1,D1716="Military",H1716&lt;&gt;"Not given")=TRUE,IF(SUMIFS(P:P,A:A,A1716)&gt;0,IF((ABS((SUMIFS(P:P,A:A,A1716)/VLOOKUP("USD",'Exchange Rates'!B:C,2,0)))/S1716)&gt;1,(SUMIFS(P:P,A:A,A1716)-S1716)/S1716,(S1716-SUMIFS(P:P,A:A,A1716))/SUMIFS(P:P,A:A,A1716)),"."),".")</f>
        <v>.</v>
      </c>
    </row>
    <row r="1717" spans="1:53" ht="15.95" customHeight="1">
      <c r="A1717" s="1208" t="s">
        <v>4284</v>
      </c>
      <c r="B1717" s="1208" t="s">
        <v>3949</v>
      </c>
      <c r="C1717" s="1220">
        <v>44916</v>
      </c>
      <c r="D1717" s="1208" t="s">
        <v>389</v>
      </c>
      <c r="E1717" s="1208" t="s">
        <v>390</v>
      </c>
      <c r="F1717" s="1263" t="s">
        <v>4305</v>
      </c>
      <c r="G1717" s="1184" t="s">
        <v>456</v>
      </c>
      <c r="H1717" s="1221">
        <v>1000000000</v>
      </c>
      <c r="I1717" s="1180" t="s">
        <v>1931</v>
      </c>
      <c r="J1717" s="1186" t="str">
        <f>VLOOKUP($I1717,'Price List, Weapons &amp; Items'!B:C,2,0)</f>
        <v>Heavy weapon</v>
      </c>
      <c r="K1717" s="1186" t="str">
        <f>IF(I1717=".",I1717,VLOOKUP($I1717,'Price List, Weapons &amp; Items'!B:D,3,0))</f>
        <v>Anti-aircraft surface-to-air missile (SAM) system (long-range)</v>
      </c>
      <c r="L1717" s="1187">
        <f>VLOOKUP(I1717,'Price List, Weapons &amp; Items'!B:E,4,0)</f>
        <v>0</v>
      </c>
      <c r="M1717" s="1188">
        <v>1</v>
      </c>
      <c r="N1717" s="1188" t="s">
        <v>374</v>
      </c>
      <c r="O1717" s="1188">
        <f>VLOOKUP($I1717,'Price List, Weapons &amp; Items'!B:G,6,0)</f>
        <v>400000000</v>
      </c>
      <c r="P1717" s="1185">
        <f t="shared" si="358"/>
        <v>400000000</v>
      </c>
      <c r="Q1717" s="1185" t="str">
        <f t="shared" si="359"/>
        <v>.</v>
      </c>
      <c r="R1717" s="1185" t="str">
        <f t="shared" si="355"/>
        <v/>
      </c>
      <c r="S1717" s="1185" t="str">
        <f>IF(AND(AD1717=1,R1717&lt;&gt;".")=TRUE,R1717/VLOOKUP(G1717,'Exchange Rates'!B:C,2,0),IF(R1717=".",".",""))</f>
        <v/>
      </c>
      <c r="T1717" s="1185" t="str">
        <f>IF(AD1717=1,IF(AF1717="Value is not given at all",".",IF(AF1717="Value is given by the source",S1717,IF(AF1717="Value is calculated with prices",(IF(SUMIFS(Q:Q,A:A,A1717)&gt;0,SUMIFS(Q:Q,A:A,A1717),"."))/VLOOKUP("USD",'Exchange Rates'!B:C,2,0),"Error with coding"))),"")</f>
        <v/>
      </c>
      <c r="U1717" s="1184" t="s">
        <v>365</v>
      </c>
      <c r="V1717" s="1017" t="s">
        <v>4306</v>
      </c>
      <c r="W1717" s="983" t="s">
        <v>3978</v>
      </c>
      <c r="X1717" s="980" t="s">
        <v>3982</v>
      </c>
      <c r="Y1717" s="966" t="s">
        <v>4068</v>
      </c>
      <c r="Z1717" s="1184">
        <v>0</v>
      </c>
      <c r="AA1717" s="1194">
        <v>0</v>
      </c>
      <c r="AB1717" s="982" t="s">
        <v>4307</v>
      </c>
      <c r="AC1717" s="1192" t="str">
        <f>""</f>
        <v/>
      </c>
      <c r="AD1717" s="1193">
        <v>0</v>
      </c>
      <c r="AE1717" s="1193" t="s">
        <v>368</v>
      </c>
      <c r="AF1717" s="1193" t="s">
        <v>369</v>
      </c>
      <c r="AG1717" s="1193">
        <v>1</v>
      </c>
      <c r="AH1717" s="1193">
        <v>12</v>
      </c>
      <c r="AI1717" s="1193">
        <v>0</v>
      </c>
      <c r="AJ1717" s="1193">
        <f>VLOOKUP($I1717,'Price List, Weapons &amp; Items'!B:F,5,0)</f>
        <v>0</v>
      </c>
      <c r="AK1717" s="1193">
        <f t="shared" si="360"/>
        <v>0</v>
      </c>
      <c r="AL1717" s="1193">
        <f t="shared" si="361"/>
        <v>0</v>
      </c>
      <c r="AM1717" s="1193">
        <f t="shared" si="362"/>
        <v>0</v>
      </c>
      <c r="AN1717" s="1194" t="str">
        <f>VLOOKUP($I1717,'Price List, Weapons &amp; Items'!B:L,COLUMN('Price List, Weapons &amp; Items'!$J$11)-1,0)</f>
        <v>Military media (incl. websites)</v>
      </c>
      <c r="AO1717" s="1194" t="str">
        <f>IF(I1717=".",".",VLOOKUP($I1717,'Price List, Weapons &amp; Items'!B:J,3,0))</f>
        <v>Anti-aircraft surface-to-air missile (SAM) system (long-range)</v>
      </c>
      <c r="AP1717" s="1195" t="str">
        <f t="shared" ca="1" si="356"/>
        <v/>
      </c>
      <c r="AQ1717" s="1194">
        <f>VLOOKUP($I1717,'Price List, Weapons &amp; Items'!B:L,COLUMN('Price List, Weapons &amp; Items'!$L$11)-1,0)</f>
        <v>2</v>
      </c>
      <c r="AR1717" s="1194">
        <f t="shared" si="363"/>
        <v>1</v>
      </c>
      <c r="AS1717" s="1194">
        <f t="shared" si="364"/>
        <v>1</v>
      </c>
      <c r="AT1717" s="1194">
        <f t="shared" si="365"/>
        <v>1</v>
      </c>
      <c r="AU1717" s="1194" t="str">
        <f t="shared" si="367"/>
        <v>.</v>
      </c>
      <c r="AV1717" s="1194" t="str">
        <f t="shared" si="357"/>
        <v>.</v>
      </c>
      <c r="AW1717" s="1194" t="str">
        <f t="shared" si="366"/>
        <v>.</v>
      </c>
      <c r="AX1717" s="1194">
        <f>IFERROR(VLOOKUP(B1717,'Share, Heavy Weapons to Ukraine'!B:Z,COLUMN('Share, Heavy Weapons to Ukraine'!C1728)-1,0),0)</f>
        <v>1</v>
      </c>
      <c r="AY1717" s="1194">
        <f>VLOOKUP('Bilateral Assistance, MAIN DATA'!B1717,'Country Summary (€)'!B:F,COLUMN('Country Summary (€)'!C1729)-1,FALSE)</f>
        <v>0</v>
      </c>
      <c r="AZ1717" s="1194" t="str">
        <f>IF(AND(AD1717=1,D1717="Military",H1717&lt;&gt;"Not given")=TRUE,IF(SUMIFS(P:P,A:A,A1717)&gt;0,ABS((SUMIFS(P:P,A:A,A1717)/VLOOKUP("USD",'Exchange Rates'!B:C,2,0)))/S1717,"."),".")</f>
        <v>.</v>
      </c>
      <c r="BA1717" s="1196" t="str">
        <f>IF(AND(AD1717=1,D1717="Military",H1717&lt;&gt;"Not given")=TRUE,IF(SUMIFS(P:P,A:A,A1717)&gt;0,IF((ABS((SUMIFS(P:P,A:A,A1717)/VLOOKUP("USD",'Exchange Rates'!B:C,2,0)))/S1717)&gt;1,(SUMIFS(P:P,A:A,A1717)-S1717)/S1717,(S1717-SUMIFS(P:P,A:A,A1717))/SUMIFS(P:P,A:A,A1717)),"."),".")</f>
        <v>.</v>
      </c>
    </row>
    <row r="1718" spans="1:53" ht="15.95" customHeight="1">
      <c r="A1718" s="1208" t="s">
        <v>4284</v>
      </c>
      <c r="B1718" s="1208" t="s">
        <v>3949</v>
      </c>
      <c r="C1718" s="1220">
        <v>44916</v>
      </c>
      <c r="D1718" s="1208" t="s">
        <v>389</v>
      </c>
      <c r="E1718" s="1208" t="s">
        <v>390</v>
      </c>
      <c r="F1718" s="1263" t="s">
        <v>4305</v>
      </c>
      <c r="G1718" s="1184" t="s">
        <v>456</v>
      </c>
      <c r="H1718" s="1221">
        <v>1000000000</v>
      </c>
      <c r="I1718" s="1180" t="s">
        <v>1932</v>
      </c>
      <c r="J1718" s="1186" t="str">
        <f>VLOOKUP($I1718,'Price List, Weapons &amp; Items'!B:C,2,0)</f>
        <v>Heavy weapon</v>
      </c>
      <c r="K1718" s="1186" t="str">
        <f>IF(I1718=".",I1718,VLOOKUP($I1718,'Price List, Weapons &amp; Items'!B:D,3,0))</f>
        <v>Surface-to-air missile (SAM)</v>
      </c>
      <c r="L1718" s="1187">
        <f>VLOOKUP(I1718,'Price List, Weapons &amp; Items'!B:E,4,0)</f>
        <v>0</v>
      </c>
      <c r="M1718" s="1188" t="s">
        <v>374</v>
      </c>
      <c r="N1718" s="1188" t="s">
        <v>374</v>
      </c>
      <c r="O1718" s="1188">
        <f>VLOOKUP($I1718,'Price List, Weapons &amp; Items'!B:G,6,0)</f>
        <v>3000000</v>
      </c>
      <c r="P1718" s="1185" t="str">
        <f t="shared" si="358"/>
        <v>.</v>
      </c>
      <c r="Q1718" s="1185" t="str">
        <f t="shared" si="359"/>
        <v>.</v>
      </c>
      <c r="R1718" s="1185" t="str">
        <f t="shared" si="355"/>
        <v/>
      </c>
      <c r="S1718" s="1185" t="str">
        <f>IF(AND(AD1718=1,R1718&lt;&gt;".")=TRUE,R1718/VLOOKUP(G1718,'Exchange Rates'!B:C,2,0),IF(R1718=".",".",""))</f>
        <v/>
      </c>
      <c r="T1718" s="1185" t="str">
        <f>IF(AD1718=1,IF(AF1718="Value is not given at all",".",IF(AF1718="Value is given by the source",S1718,IF(AF1718="Value is calculated with prices",(IF(SUMIFS(Q:Q,A:A,A1718)&gt;0,SUMIFS(Q:Q,A:A,A1718),"."))/VLOOKUP("USD",'Exchange Rates'!B:C,2,0),"Error with coding"))),"")</f>
        <v/>
      </c>
      <c r="U1718" s="1184" t="s">
        <v>365</v>
      </c>
      <c r="V1718" s="1017" t="s">
        <v>4306</v>
      </c>
      <c r="W1718" s="983" t="s">
        <v>3978</v>
      </c>
      <c r="X1718" s="980" t="s">
        <v>3982</v>
      </c>
      <c r="Y1718" s="966" t="s">
        <v>4072</v>
      </c>
      <c r="Z1718" s="1184">
        <v>0</v>
      </c>
      <c r="AA1718" s="1194">
        <v>0</v>
      </c>
      <c r="AB1718" s="1000" t="s">
        <v>364</v>
      </c>
      <c r="AC1718" s="1192" t="str">
        <f>""</f>
        <v/>
      </c>
      <c r="AD1718" s="1193">
        <v>0</v>
      </c>
      <c r="AE1718" s="1193" t="s">
        <v>368</v>
      </c>
      <c r="AF1718" s="1193" t="s">
        <v>369</v>
      </c>
      <c r="AG1718" s="1193">
        <v>1</v>
      </c>
      <c r="AH1718" s="1193">
        <v>12</v>
      </c>
      <c r="AI1718" s="1193">
        <v>0</v>
      </c>
      <c r="AJ1718" s="1193">
        <f>VLOOKUP($I1718,'Price List, Weapons &amp; Items'!B:F,5,0)</f>
        <v>0</v>
      </c>
      <c r="AK1718" s="1193">
        <f t="shared" si="360"/>
        <v>0</v>
      </c>
      <c r="AL1718" s="1193">
        <f t="shared" si="361"/>
        <v>0</v>
      </c>
      <c r="AM1718" s="1193">
        <f t="shared" si="362"/>
        <v>0</v>
      </c>
      <c r="AN1718" s="1194" t="str">
        <f>VLOOKUP($I1718,'Price List, Weapons &amp; Items'!B:L,COLUMN('Price List, Weapons &amp; Items'!$J$11)-1,0)</f>
        <v>Media reports (incl. social media)</v>
      </c>
      <c r="AO1718" s="1194" t="str">
        <f>IF(I1718=".",".",VLOOKUP($I1718,'Price List, Weapons &amp; Items'!B:J,3,0))</f>
        <v>Surface-to-air missile (SAM)</v>
      </c>
      <c r="AP1718" s="1195" t="str">
        <f t="shared" ca="1" si="356"/>
        <v/>
      </c>
      <c r="AQ1718" s="1194" t="str">
        <f>VLOOKUP($I1718,'Price List, Weapons &amp; Items'!B:L,COLUMN('Price List, Weapons &amp; Items'!$L$11)-1,0)</f>
        <v>no price, 0 count</v>
      </c>
      <c r="AR1718" s="1194">
        <f t="shared" si="363"/>
        <v>1</v>
      </c>
      <c r="AS1718" s="1194">
        <f t="shared" si="364"/>
        <v>1</v>
      </c>
      <c r="AT1718" s="1194">
        <f t="shared" si="365"/>
        <v>1</v>
      </c>
      <c r="AU1718" s="1194" t="str">
        <f t="shared" si="367"/>
        <v>.</v>
      </c>
      <c r="AV1718" s="1194" t="str">
        <f t="shared" si="357"/>
        <v>.</v>
      </c>
      <c r="AW1718" s="1194" t="str">
        <f t="shared" si="366"/>
        <v>.</v>
      </c>
      <c r="AX1718" s="1194">
        <f>IFERROR(VLOOKUP(B1718,'Share, Heavy Weapons to Ukraine'!B:Z,COLUMN('Share, Heavy Weapons to Ukraine'!C1729)-1,0),0)</f>
        <v>1</v>
      </c>
      <c r="AY1718" s="1194">
        <f>VLOOKUP('Bilateral Assistance, MAIN DATA'!B1718,'Country Summary (€)'!B:F,COLUMN('Country Summary (€)'!C1730)-1,FALSE)</f>
        <v>0</v>
      </c>
      <c r="AZ1718" s="1194" t="str">
        <f>IF(AND(AD1718=1,D1718="Military",H1718&lt;&gt;"Not given")=TRUE,IF(SUMIFS(P:P,A:A,A1718)&gt;0,ABS((SUMIFS(P:P,A:A,A1718)/VLOOKUP("USD",'Exchange Rates'!B:C,2,0)))/S1718,"."),".")</f>
        <v>.</v>
      </c>
      <c r="BA1718" s="1196" t="str">
        <f>IF(AND(AD1718=1,D1718="Military",H1718&lt;&gt;"Not given")=TRUE,IF(SUMIFS(P:P,A:A,A1718)&gt;0,IF((ABS((SUMIFS(P:P,A:A,A1718)/VLOOKUP("USD",'Exchange Rates'!B:C,2,0)))/S1718)&gt;1,(SUMIFS(P:P,A:A,A1718)-S1718)/S1718,(S1718-SUMIFS(P:P,A:A,A1718))/SUMIFS(P:P,A:A,A1718)),"."),".")</f>
        <v>.</v>
      </c>
    </row>
    <row r="1719" spans="1:53" ht="15.95" customHeight="1">
      <c r="A1719" s="1208" t="s">
        <v>4284</v>
      </c>
      <c r="B1719" s="1208" t="s">
        <v>3949</v>
      </c>
      <c r="C1719" s="1220">
        <v>44916</v>
      </c>
      <c r="D1719" s="1208" t="s">
        <v>389</v>
      </c>
      <c r="E1719" s="1208" t="s">
        <v>390</v>
      </c>
      <c r="F1719" s="1263" t="s">
        <v>4305</v>
      </c>
      <c r="G1719" s="1184" t="s">
        <v>456</v>
      </c>
      <c r="H1719" s="1221">
        <v>1000000000</v>
      </c>
      <c r="I1719" s="1180" t="s">
        <v>4291</v>
      </c>
      <c r="J1719" s="1186" t="str">
        <f>VLOOKUP($I1719,'Price List, Weapons &amp; Items'!B:C,2,0)</f>
        <v>Ammunition for heavy weapon</v>
      </c>
      <c r="K1719" s="1186" t="str">
        <f>IF(I1719=".",I1719,VLOOKUP($I1719,'Price List, Weapons &amp; Items'!B:D,3,0))</f>
        <v>artillery round</v>
      </c>
      <c r="L1719" s="1187">
        <f>VLOOKUP(I1719,'Price List, Weapons &amp; Items'!B:E,4,0)</f>
        <v>0</v>
      </c>
      <c r="M1719" s="1188">
        <v>500</v>
      </c>
      <c r="N1719" s="1188" t="s">
        <v>374</v>
      </c>
      <c r="O1719" s="1188">
        <f>VLOOKUP($I1719,'Price List, Weapons &amp; Items'!B:G,6,0)</f>
        <v>112800</v>
      </c>
      <c r="P1719" s="1185">
        <f t="shared" si="358"/>
        <v>56400000</v>
      </c>
      <c r="Q1719" s="1185" t="str">
        <f t="shared" si="359"/>
        <v>.</v>
      </c>
      <c r="R1719" s="1185" t="str">
        <f t="shared" si="355"/>
        <v/>
      </c>
      <c r="S1719" s="1185" t="str">
        <f>IF(AND(AD1719=1,R1719&lt;&gt;".")=TRUE,R1719/VLOOKUP(G1719,'Exchange Rates'!B:C,2,0),IF(R1719=".",".",""))</f>
        <v/>
      </c>
      <c r="T1719" s="1185" t="str">
        <f>IF(AD1719=1,IF(AF1719="Value is not given at all",".",IF(AF1719="Value is given by the source",S1719,IF(AF1719="Value is calculated with prices",(IF(SUMIFS(Q:Q,A:A,A1719)&gt;0,SUMIFS(Q:Q,A:A,A1719),"."))/VLOOKUP("USD",'Exchange Rates'!B:C,2,0),"Error with coding"))),"")</f>
        <v/>
      </c>
      <c r="U1719" s="1184" t="s">
        <v>365</v>
      </c>
      <c r="V1719" s="1017" t="s">
        <v>4306</v>
      </c>
      <c r="W1719" s="983" t="s">
        <v>3978</v>
      </c>
      <c r="X1719" s="980" t="s">
        <v>3982</v>
      </c>
      <c r="Y1719" s="966" t="s">
        <v>4073</v>
      </c>
      <c r="Z1719" s="1184">
        <v>0</v>
      </c>
      <c r="AA1719" s="1194">
        <v>0</v>
      </c>
      <c r="AB1719" s="1000" t="s">
        <v>364</v>
      </c>
      <c r="AC1719" s="1192" t="str">
        <f>""</f>
        <v/>
      </c>
      <c r="AD1719" s="1193">
        <v>0</v>
      </c>
      <c r="AE1719" s="1193" t="s">
        <v>368</v>
      </c>
      <c r="AF1719" s="1193" t="s">
        <v>369</v>
      </c>
      <c r="AG1719" s="1193">
        <v>1</v>
      </c>
      <c r="AH1719" s="1193">
        <v>12</v>
      </c>
      <c r="AI1719" s="1193">
        <v>0</v>
      </c>
      <c r="AJ1719" s="1193">
        <f>VLOOKUP($I1719,'Price List, Weapons &amp; Items'!B:F,5,0)</f>
        <v>0</v>
      </c>
      <c r="AK1719" s="1193">
        <f t="shared" si="360"/>
        <v>0</v>
      </c>
      <c r="AL1719" s="1193">
        <f t="shared" si="361"/>
        <v>0</v>
      </c>
      <c r="AM1719" s="1193">
        <f t="shared" si="362"/>
        <v>0</v>
      </c>
      <c r="AN1719" s="1194" t="str">
        <f>VLOOKUP($I1719,'Price List, Weapons &amp; Items'!B:L,COLUMN('Price List, Weapons &amp; Items'!$J$11)-1,0)</f>
        <v>Miscellaneous</v>
      </c>
      <c r="AO1719" s="1194" t="str">
        <f>IF(I1719=".",".",VLOOKUP($I1719,'Price List, Weapons &amp; Items'!B:J,3,0))</f>
        <v>artillery round</v>
      </c>
      <c r="AP1719" s="1195" t="str">
        <f t="shared" ca="1" si="356"/>
        <v/>
      </c>
      <c r="AQ1719" s="1194">
        <f>VLOOKUP($I1719,'Price List, Weapons &amp; Items'!B:L,COLUMN('Price List, Weapons &amp; Items'!$L$11)-1,0)</f>
        <v>2</v>
      </c>
      <c r="AR1719" s="1194">
        <f t="shared" si="363"/>
        <v>1</v>
      </c>
      <c r="AS1719" s="1194">
        <f t="shared" si="364"/>
        <v>1</v>
      </c>
      <c r="AT1719" s="1194">
        <f t="shared" si="365"/>
        <v>1</v>
      </c>
      <c r="AU1719" s="1194" t="str">
        <f t="shared" si="367"/>
        <v>.</v>
      </c>
      <c r="AV1719" s="1194" t="str">
        <f t="shared" si="357"/>
        <v>.</v>
      </c>
      <c r="AW1719" s="1194" t="str">
        <f t="shared" si="366"/>
        <v>.</v>
      </c>
      <c r="AX1719" s="1194">
        <f>IFERROR(VLOOKUP(B1719,'Share, Heavy Weapons to Ukraine'!B:Z,COLUMN('Share, Heavy Weapons to Ukraine'!C1730)-1,0),0)</f>
        <v>1</v>
      </c>
      <c r="AY1719" s="1194">
        <f>VLOOKUP('Bilateral Assistance, MAIN DATA'!B1719,'Country Summary (€)'!B:F,COLUMN('Country Summary (€)'!C1731)-1,FALSE)</f>
        <v>0</v>
      </c>
      <c r="AZ1719" s="1194" t="str">
        <f>IF(AND(AD1719=1,D1719="Military",H1719&lt;&gt;"Not given")=TRUE,IF(SUMIFS(P:P,A:A,A1719)&gt;0,ABS((SUMIFS(P:P,A:A,A1719)/VLOOKUP("USD",'Exchange Rates'!B:C,2,0)))/S1719,"."),".")</f>
        <v>.</v>
      </c>
      <c r="BA1719" s="1196" t="str">
        <f>IF(AND(AD1719=1,D1719="Military",H1719&lt;&gt;"Not given")=TRUE,IF(SUMIFS(P:P,A:A,A1719)&gt;0,IF((ABS((SUMIFS(P:P,A:A,A1719)/VLOOKUP("USD",'Exchange Rates'!B:C,2,0)))/S1719)&gt;1,(SUMIFS(P:P,A:A,A1719)-S1719)/S1719,(S1719-SUMIFS(P:P,A:A,A1719))/SUMIFS(P:P,A:A,A1719)),"."),".")</f>
        <v>.</v>
      </c>
    </row>
    <row r="1720" spans="1:53" ht="15.95" customHeight="1">
      <c r="A1720" s="1208" t="s">
        <v>4284</v>
      </c>
      <c r="B1720" s="1208" t="s">
        <v>3949</v>
      </c>
      <c r="C1720" s="1220">
        <v>44916</v>
      </c>
      <c r="D1720" s="1208" t="s">
        <v>389</v>
      </c>
      <c r="E1720" s="1208" t="s">
        <v>390</v>
      </c>
      <c r="F1720" s="1263" t="s">
        <v>4305</v>
      </c>
      <c r="G1720" s="1184" t="s">
        <v>456</v>
      </c>
      <c r="H1720" s="1221">
        <v>1000000000</v>
      </c>
      <c r="I1720" s="1180" t="s">
        <v>626</v>
      </c>
      <c r="J1720" s="1186" t="str">
        <f>VLOOKUP($I1720,'Price List, Weapons &amp; Items'!B:C,2,0)</f>
        <v>Heavy weapon</v>
      </c>
      <c r="K1720" s="1186" t="str">
        <f>IF(I1720=".",I1720,VLOOKUP($I1720,'Price List, Weapons &amp; Items'!B:D,3,0))</f>
        <v>Mortar</v>
      </c>
      <c r="L1720" s="1187">
        <f>VLOOKUP(I1720,'Price List, Weapons &amp; Items'!B:E,4,0)</f>
        <v>0</v>
      </c>
      <c r="M1720" s="1188">
        <v>10</v>
      </c>
      <c r="N1720" s="1188" t="s">
        <v>374</v>
      </c>
      <c r="O1720" s="1188">
        <f>VLOOKUP($I1720,'Price List, Weapons &amp; Items'!B:G,6,0)</f>
        <v>388500</v>
      </c>
      <c r="P1720" s="1185">
        <f t="shared" si="358"/>
        <v>3885000</v>
      </c>
      <c r="Q1720" s="1185" t="str">
        <f t="shared" si="359"/>
        <v>.</v>
      </c>
      <c r="R1720" s="1185" t="str">
        <f t="shared" si="355"/>
        <v/>
      </c>
      <c r="S1720" s="1185" t="str">
        <f>IF(AND(AD1720=1,R1720&lt;&gt;".")=TRUE,R1720/VLOOKUP(G1720,'Exchange Rates'!B:C,2,0),IF(R1720=".",".",""))</f>
        <v/>
      </c>
      <c r="T1720" s="1185" t="str">
        <f>IF(AD1720=1,IF(AF1720="Value is not given at all",".",IF(AF1720="Value is given by the source",S1720,IF(AF1720="Value is calculated with prices",(IF(SUMIFS(Q:Q,A:A,A1720)&gt;0,SUMIFS(Q:Q,A:A,A1720),"."))/VLOOKUP("USD",'Exchange Rates'!B:C,2,0),"Error with coding"))),"")</f>
        <v/>
      </c>
      <c r="U1720" s="1184" t="s">
        <v>365</v>
      </c>
      <c r="V1720" s="1017" t="s">
        <v>4306</v>
      </c>
      <c r="W1720" s="983" t="s">
        <v>3978</v>
      </c>
      <c r="X1720" s="980" t="s">
        <v>3982</v>
      </c>
      <c r="Y1720" s="966" t="s">
        <v>4075</v>
      </c>
      <c r="Z1720" s="1184">
        <v>0</v>
      </c>
      <c r="AA1720" s="1194">
        <v>0</v>
      </c>
      <c r="AB1720" s="1000" t="s">
        <v>364</v>
      </c>
      <c r="AC1720" s="1192" t="str">
        <f>""</f>
        <v/>
      </c>
      <c r="AD1720" s="1193">
        <v>0</v>
      </c>
      <c r="AE1720" s="1193" t="s">
        <v>368</v>
      </c>
      <c r="AF1720" s="1193" t="s">
        <v>369</v>
      </c>
      <c r="AG1720" s="1193">
        <v>1</v>
      </c>
      <c r="AH1720" s="1193">
        <v>12</v>
      </c>
      <c r="AI1720" s="1193">
        <v>0</v>
      </c>
      <c r="AJ1720" s="1193">
        <f>VLOOKUP($I1720,'Price List, Weapons &amp; Items'!B:F,5,0)</f>
        <v>0</v>
      </c>
      <c r="AK1720" s="1193">
        <f t="shared" si="360"/>
        <v>0</v>
      </c>
      <c r="AL1720" s="1193">
        <f t="shared" si="361"/>
        <v>0</v>
      </c>
      <c r="AM1720" s="1193">
        <f t="shared" si="362"/>
        <v>0</v>
      </c>
      <c r="AN1720" s="1194" t="str">
        <f>VLOOKUP($I1720,'Price List, Weapons &amp; Items'!B:L,COLUMN('Price List, Weapons &amp; Items'!$J$11)-1,0)</f>
        <v>Military media (incl. websites)</v>
      </c>
      <c r="AO1720" s="1194" t="str">
        <f>IF(I1720=".",".",VLOOKUP($I1720,'Price List, Weapons &amp; Items'!B:J,3,0))</f>
        <v>Mortar</v>
      </c>
      <c r="AP1720" s="1195" t="str">
        <f t="shared" ca="1" si="356"/>
        <v/>
      </c>
      <c r="AQ1720" s="1194">
        <f>VLOOKUP($I1720,'Price List, Weapons &amp; Items'!B:L,COLUMN('Price List, Weapons &amp; Items'!$L$11)-1,0)</f>
        <v>2</v>
      </c>
      <c r="AR1720" s="1194">
        <f t="shared" si="363"/>
        <v>1</v>
      </c>
      <c r="AS1720" s="1194">
        <f t="shared" si="364"/>
        <v>1</v>
      </c>
      <c r="AT1720" s="1194">
        <f t="shared" si="365"/>
        <v>1</v>
      </c>
      <c r="AU1720" s="1194" t="str">
        <f t="shared" si="367"/>
        <v>.</v>
      </c>
      <c r="AV1720" s="1194" t="str">
        <f t="shared" si="357"/>
        <v>.</v>
      </c>
      <c r="AW1720" s="1194" t="str">
        <f t="shared" si="366"/>
        <v>.</v>
      </c>
      <c r="AX1720" s="1194">
        <f>IFERROR(VLOOKUP(B1720,'Share, Heavy Weapons to Ukraine'!B:Z,COLUMN('Share, Heavy Weapons to Ukraine'!C1731)-1,0),0)</f>
        <v>1</v>
      </c>
      <c r="AY1720" s="1194">
        <f>VLOOKUP('Bilateral Assistance, MAIN DATA'!B1720,'Country Summary (€)'!B:F,COLUMN('Country Summary (€)'!C1732)-1,FALSE)</f>
        <v>0</v>
      </c>
      <c r="AZ1720" s="1194" t="str">
        <f>IF(AND(AD1720=1,D1720="Military",H1720&lt;&gt;"Not given")=TRUE,IF(SUMIFS(P:P,A:A,A1720)&gt;0,ABS((SUMIFS(P:P,A:A,A1720)/VLOOKUP("USD",'Exchange Rates'!B:C,2,0)))/S1720,"."),".")</f>
        <v>.</v>
      </c>
      <c r="BA1720" s="1196" t="str">
        <f>IF(AND(AD1720=1,D1720="Military",H1720&lt;&gt;"Not given")=TRUE,IF(SUMIFS(P:P,A:A,A1720)&gt;0,IF((ABS((SUMIFS(P:P,A:A,A1720)/VLOOKUP("USD",'Exchange Rates'!B:C,2,0)))/S1720)&gt;1,(SUMIFS(P:P,A:A,A1720)-S1720)/S1720,(S1720-SUMIFS(P:P,A:A,A1720))/SUMIFS(P:P,A:A,A1720)),"."),".")</f>
        <v>.</v>
      </c>
    </row>
    <row r="1721" spans="1:53" ht="15.95" customHeight="1">
      <c r="A1721" s="1208" t="s">
        <v>4284</v>
      </c>
      <c r="B1721" s="1208" t="s">
        <v>3949</v>
      </c>
      <c r="C1721" s="1220">
        <v>44916</v>
      </c>
      <c r="D1721" s="1208" t="s">
        <v>389</v>
      </c>
      <c r="E1721" s="1208" t="s">
        <v>390</v>
      </c>
      <c r="F1721" s="1263" t="s">
        <v>4305</v>
      </c>
      <c r="G1721" s="1184" t="s">
        <v>456</v>
      </c>
      <c r="H1721" s="1221">
        <v>1000000000</v>
      </c>
      <c r="I1721" s="1180" t="s">
        <v>3137</v>
      </c>
      <c r="J1721" s="1186" t="str">
        <f>VLOOKUP($I1721,'Price List, Weapons &amp; Items'!B:C,2,0)</f>
        <v>Ammunition for heavy weapon</v>
      </c>
      <c r="K1721" s="1186" t="str">
        <f>IF(I1721=".",I1721,VLOOKUP($I1721,'Price List, Weapons &amp; Items'!B:D,3,0))</f>
        <v>Mortar ammunition</v>
      </c>
      <c r="L1721" s="1187">
        <f>VLOOKUP(I1721,'Price List, Weapons &amp; Items'!B:E,4,0)</f>
        <v>0</v>
      </c>
      <c r="M1721" s="1188">
        <v>10000</v>
      </c>
      <c r="N1721" s="1188" t="s">
        <v>374</v>
      </c>
      <c r="O1721" s="1188">
        <f>VLOOKUP($I1721,'Price List, Weapons &amp; Items'!B:G,6,0)</f>
        <v>109.89</v>
      </c>
      <c r="P1721" s="1185">
        <f t="shared" si="358"/>
        <v>1098900</v>
      </c>
      <c r="Q1721" s="1185" t="str">
        <f t="shared" si="359"/>
        <v>.</v>
      </c>
      <c r="R1721" s="1185" t="str">
        <f t="shared" si="355"/>
        <v/>
      </c>
      <c r="S1721" s="1185" t="str">
        <f>IF(AND(AD1721=1,R1721&lt;&gt;".")=TRUE,R1721/VLOOKUP(G1721,'Exchange Rates'!B:C,2,0),IF(R1721=".",".",""))</f>
        <v/>
      </c>
      <c r="T1721" s="1185" t="str">
        <f>IF(AD1721=1,IF(AF1721="Value is not given at all",".",IF(AF1721="Value is given by the source",S1721,IF(AF1721="Value is calculated with prices",(IF(SUMIFS(Q:Q,A:A,A1721)&gt;0,SUMIFS(Q:Q,A:A,A1721),"."))/VLOOKUP("USD",'Exchange Rates'!B:C,2,0),"Error with coding"))),"")</f>
        <v/>
      </c>
      <c r="U1721" s="1184" t="s">
        <v>365</v>
      </c>
      <c r="V1721" s="1017" t="s">
        <v>4306</v>
      </c>
      <c r="W1721" s="983" t="s">
        <v>3978</v>
      </c>
      <c r="X1721" s="980" t="s">
        <v>3982</v>
      </c>
      <c r="Y1721" s="966" t="s">
        <v>4077</v>
      </c>
      <c r="Z1721" s="1184">
        <v>0</v>
      </c>
      <c r="AA1721" s="1194">
        <v>0</v>
      </c>
      <c r="AB1721" s="1000" t="s">
        <v>364</v>
      </c>
      <c r="AC1721" s="1192" t="str">
        <f>""</f>
        <v/>
      </c>
      <c r="AD1721" s="1193">
        <v>0</v>
      </c>
      <c r="AE1721" s="1193" t="s">
        <v>368</v>
      </c>
      <c r="AF1721" s="1193" t="s">
        <v>369</v>
      </c>
      <c r="AG1721" s="1193">
        <v>1</v>
      </c>
      <c r="AH1721" s="1193">
        <v>12</v>
      </c>
      <c r="AI1721" s="1193">
        <v>0</v>
      </c>
      <c r="AJ1721" s="1193">
        <f>VLOOKUP($I1721,'Price List, Weapons &amp; Items'!B:F,5,0)</f>
        <v>0</v>
      </c>
      <c r="AK1721" s="1193">
        <f t="shared" si="360"/>
        <v>0</v>
      </c>
      <c r="AL1721" s="1193">
        <f t="shared" si="361"/>
        <v>0</v>
      </c>
      <c r="AM1721" s="1193">
        <f t="shared" si="362"/>
        <v>0</v>
      </c>
      <c r="AN1721" s="1194" t="str">
        <f>VLOOKUP($I1721,'Price List, Weapons &amp; Items'!B:L,COLUMN('Price List, Weapons &amp; Items'!$J$11)-1,0)</f>
        <v>Government information</v>
      </c>
      <c r="AO1721" s="1194" t="str">
        <f>IF(I1721=".",".",VLOOKUP($I1721,'Price List, Weapons &amp; Items'!B:J,3,0))</f>
        <v>Mortar ammunition</v>
      </c>
      <c r="AP1721" s="1195" t="str">
        <f t="shared" ca="1" si="356"/>
        <v/>
      </c>
      <c r="AQ1721" s="1194">
        <f>VLOOKUP($I1721,'Price List, Weapons &amp; Items'!B:L,COLUMN('Price List, Weapons &amp; Items'!$L$11)-1,0)</f>
        <v>2</v>
      </c>
      <c r="AR1721" s="1194">
        <f t="shared" si="363"/>
        <v>1</v>
      </c>
      <c r="AS1721" s="1194">
        <f t="shared" si="364"/>
        <v>1</v>
      </c>
      <c r="AT1721" s="1194">
        <f t="shared" si="365"/>
        <v>1</v>
      </c>
      <c r="AU1721" s="1194" t="str">
        <f t="shared" si="367"/>
        <v>.</v>
      </c>
      <c r="AV1721" s="1194" t="str">
        <f t="shared" si="357"/>
        <v>.</v>
      </c>
      <c r="AW1721" s="1194" t="str">
        <f t="shared" si="366"/>
        <v>.</v>
      </c>
      <c r="AX1721" s="1194">
        <f>IFERROR(VLOOKUP(B1721,'Share, Heavy Weapons to Ukraine'!B:Z,COLUMN('Share, Heavy Weapons to Ukraine'!C1732)-1,0),0)</f>
        <v>1</v>
      </c>
      <c r="AY1721" s="1194">
        <f>VLOOKUP('Bilateral Assistance, MAIN DATA'!B1721,'Country Summary (€)'!B:F,COLUMN('Country Summary (€)'!C1733)-1,FALSE)</f>
        <v>0</v>
      </c>
      <c r="AZ1721" s="1194" t="str">
        <f>IF(AND(AD1721=1,D1721="Military",H1721&lt;&gt;"Not given")=TRUE,IF(SUMIFS(P:P,A:A,A1721)&gt;0,ABS((SUMIFS(P:P,A:A,A1721)/VLOOKUP("USD",'Exchange Rates'!B:C,2,0)))/S1721,"."),".")</f>
        <v>.</v>
      </c>
      <c r="BA1721" s="1196" t="str">
        <f>IF(AND(AD1721=1,D1721="Military",H1721&lt;&gt;"Not given")=TRUE,IF(SUMIFS(P:P,A:A,A1721)&gt;0,IF((ABS((SUMIFS(P:P,A:A,A1721)/VLOOKUP("USD",'Exchange Rates'!B:C,2,0)))/S1721)&gt;1,(SUMIFS(P:P,A:A,A1721)-S1721)/S1721,(S1721-SUMIFS(P:P,A:A,A1721))/SUMIFS(P:P,A:A,A1721)),"."),".")</f>
        <v>.</v>
      </c>
    </row>
    <row r="1722" spans="1:53" ht="15.95" customHeight="1">
      <c r="A1722" s="1208" t="s">
        <v>4284</v>
      </c>
      <c r="B1722" s="1208" t="s">
        <v>3949</v>
      </c>
      <c r="C1722" s="1220">
        <v>44916</v>
      </c>
      <c r="D1722" s="1208" t="s">
        <v>389</v>
      </c>
      <c r="E1722" s="1208" t="s">
        <v>390</v>
      </c>
      <c r="F1722" s="1263" t="s">
        <v>4305</v>
      </c>
      <c r="G1722" s="1184" t="s">
        <v>456</v>
      </c>
      <c r="H1722" s="1221">
        <v>1000000000</v>
      </c>
      <c r="I1722" s="1180" t="s">
        <v>4308</v>
      </c>
      <c r="J1722" s="1186" t="str">
        <f>VLOOKUP($I1722,'Price List, Weapons &amp; Items'!B:C,2,0)</f>
        <v>Light armaments &amp; infantry</v>
      </c>
      <c r="K1722" s="1186" t="str">
        <f>IF(I1722=".",I1722,VLOOKUP($I1722,'Price List, Weapons &amp; Items'!B:D,3,0))</f>
        <v>Mortar</v>
      </c>
      <c r="L1722" s="1187">
        <f>VLOOKUP(I1722,'Price List, Weapons &amp; Items'!B:E,4,0)</f>
        <v>0</v>
      </c>
      <c r="M1722" s="1188">
        <v>10</v>
      </c>
      <c r="N1722" s="1188" t="s">
        <v>374</v>
      </c>
      <c r="O1722" s="1188">
        <f>VLOOKUP($I1722,'Price List, Weapons &amp; Items'!B:G,6,0)</f>
        <v>24717</v>
      </c>
      <c r="P1722" s="1185">
        <f t="shared" si="358"/>
        <v>247170</v>
      </c>
      <c r="Q1722" s="1185" t="str">
        <f t="shared" si="359"/>
        <v>.</v>
      </c>
      <c r="R1722" s="1185" t="str">
        <f t="shared" si="355"/>
        <v/>
      </c>
      <c r="S1722" s="1185" t="str">
        <f>IF(AND(AD1722=1,R1722&lt;&gt;".")=TRUE,R1722/VLOOKUP(G1722,'Exchange Rates'!B:C,2,0),IF(R1722=".",".",""))</f>
        <v/>
      </c>
      <c r="T1722" s="1185" t="str">
        <f>IF(AD1722=1,IF(AF1722="Value is not given at all",".",IF(AF1722="Value is given by the source",S1722,IF(AF1722="Value is calculated with prices",(IF(SUMIFS(Q:Q,A:A,A1722)&gt;0,SUMIFS(Q:Q,A:A,A1722),"."))/VLOOKUP("USD",'Exchange Rates'!B:C,2,0),"Error with coding"))),"")</f>
        <v/>
      </c>
      <c r="U1722" s="1184" t="s">
        <v>365</v>
      </c>
      <c r="V1722" s="1017" t="s">
        <v>4306</v>
      </c>
      <c r="W1722" s="983" t="s">
        <v>3978</v>
      </c>
      <c r="X1722" s="980" t="s">
        <v>3982</v>
      </c>
      <c r="Y1722" s="966" t="s">
        <v>4078</v>
      </c>
      <c r="Z1722" s="1184">
        <v>0</v>
      </c>
      <c r="AA1722" s="1194">
        <v>0</v>
      </c>
      <c r="AB1722" s="1000" t="s">
        <v>364</v>
      </c>
      <c r="AC1722" s="1192" t="str">
        <f>""</f>
        <v/>
      </c>
      <c r="AD1722" s="1193">
        <v>0</v>
      </c>
      <c r="AE1722" s="1193" t="s">
        <v>368</v>
      </c>
      <c r="AF1722" s="1193" t="s">
        <v>369</v>
      </c>
      <c r="AG1722" s="1193">
        <v>1</v>
      </c>
      <c r="AH1722" s="1193">
        <v>12</v>
      </c>
      <c r="AI1722" s="1193">
        <v>0</v>
      </c>
      <c r="AJ1722" s="1193">
        <f>VLOOKUP($I1722,'Price List, Weapons &amp; Items'!B:F,5,0)</f>
        <v>0</v>
      </c>
      <c r="AK1722" s="1193">
        <f t="shared" si="360"/>
        <v>0</v>
      </c>
      <c r="AL1722" s="1193">
        <f t="shared" si="361"/>
        <v>0</v>
      </c>
      <c r="AM1722" s="1193">
        <f t="shared" si="362"/>
        <v>0</v>
      </c>
      <c r="AN1722" s="1194" t="str">
        <f>VLOOKUP($I1722,'Price List, Weapons &amp; Items'!B:L,COLUMN('Price List, Weapons &amp; Items'!$J$11)-1,0)</f>
        <v>Military media (incl. websites)</v>
      </c>
      <c r="AO1722" s="1194" t="str">
        <f>IF(I1722=".",".",VLOOKUP($I1722,'Price List, Weapons &amp; Items'!B:J,3,0))</f>
        <v>Mortar</v>
      </c>
      <c r="AP1722" s="1195" t="str">
        <f t="shared" ca="1" si="356"/>
        <v/>
      </c>
      <c r="AQ1722" s="1194">
        <f>VLOOKUP($I1722,'Price List, Weapons &amp; Items'!B:L,COLUMN('Price List, Weapons &amp; Items'!$L$11)-1,0)</f>
        <v>1</v>
      </c>
      <c r="AR1722" s="1194">
        <f t="shared" si="363"/>
        <v>1</v>
      </c>
      <c r="AS1722" s="1194">
        <f t="shared" si="364"/>
        <v>1</v>
      </c>
      <c r="AT1722" s="1194">
        <f t="shared" si="365"/>
        <v>1</v>
      </c>
      <c r="AU1722" s="1194" t="str">
        <f t="shared" si="367"/>
        <v>.</v>
      </c>
      <c r="AV1722" s="1194" t="str">
        <f t="shared" si="357"/>
        <v>.</v>
      </c>
      <c r="AW1722" s="1194" t="str">
        <f t="shared" si="366"/>
        <v>.</v>
      </c>
      <c r="AX1722" s="1194">
        <f>IFERROR(VLOOKUP(B1722,'Share, Heavy Weapons to Ukraine'!B:Z,COLUMN('Share, Heavy Weapons to Ukraine'!C1733)-1,0),0)</f>
        <v>1</v>
      </c>
      <c r="AY1722" s="1194">
        <f>VLOOKUP('Bilateral Assistance, MAIN DATA'!B1722,'Country Summary (€)'!B:F,COLUMN('Country Summary (€)'!C1734)-1,FALSE)</f>
        <v>0</v>
      </c>
      <c r="AZ1722" s="1194" t="str">
        <f>IF(AND(AD1722=1,D1722="Military",H1722&lt;&gt;"Not given")=TRUE,IF(SUMIFS(P:P,A:A,A1722)&gt;0,ABS((SUMIFS(P:P,A:A,A1722)/VLOOKUP("USD",'Exchange Rates'!B:C,2,0)))/S1722,"."),".")</f>
        <v>.</v>
      </c>
      <c r="BA1722" s="1196" t="str">
        <f>IF(AND(AD1722=1,D1722="Military",H1722&lt;&gt;"Not given")=TRUE,IF(SUMIFS(P:P,A:A,A1722)&gt;0,IF((ABS((SUMIFS(P:P,A:A,A1722)/VLOOKUP("USD",'Exchange Rates'!B:C,2,0)))/S1722)&gt;1,(SUMIFS(P:P,A:A,A1722)-S1722)/S1722,(S1722-SUMIFS(P:P,A:A,A1722))/SUMIFS(P:P,A:A,A1722)),"."),".")</f>
        <v>.</v>
      </c>
    </row>
    <row r="1723" spans="1:53" ht="15.95" customHeight="1">
      <c r="A1723" s="1208" t="s">
        <v>4284</v>
      </c>
      <c r="B1723" s="1208" t="s">
        <v>3949</v>
      </c>
      <c r="C1723" s="1220">
        <v>44916</v>
      </c>
      <c r="D1723" s="1208" t="s">
        <v>389</v>
      </c>
      <c r="E1723" s="1208" t="s">
        <v>390</v>
      </c>
      <c r="F1723" s="1263" t="s">
        <v>4305</v>
      </c>
      <c r="G1723" s="1184" t="s">
        <v>456</v>
      </c>
      <c r="H1723" s="1221">
        <v>1000000000</v>
      </c>
      <c r="I1723" s="1180" t="s">
        <v>4309</v>
      </c>
      <c r="J1723" s="1186" t="str">
        <f>VLOOKUP($I1723,'Price List, Weapons &amp; Items'!B:C,2,0)</f>
        <v>Light armaments &amp; infantry</v>
      </c>
      <c r="K1723" s="1186" t="str">
        <f>IF(I1723=".",I1723,VLOOKUP($I1723,'Price List, Weapons &amp; Items'!B:D,3,0))</f>
        <v>Mortar</v>
      </c>
      <c r="L1723" s="1187">
        <f>VLOOKUP(I1723,'Price List, Weapons &amp; Items'!B:E,4,0)</f>
        <v>0</v>
      </c>
      <c r="M1723" s="1188">
        <v>10</v>
      </c>
      <c r="N1723" s="1188" t="s">
        <v>374</v>
      </c>
      <c r="O1723" s="1188">
        <f>VLOOKUP($I1723,'Price List, Weapons &amp; Items'!B:G,6,0)</f>
        <v>10658</v>
      </c>
      <c r="P1723" s="1185">
        <f t="shared" si="358"/>
        <v>106580</v>
      </c>
      <c r="Q1723" s="1185" t="str">
        <f t="shared" si="359"/>
        <v>.</v>
      </c>
      <c r="R1723" s="1185" t="str">
        <f t="shared" si="355"/>
        <v/>
      </c>
      <c r="S1723" s="1185" t="str">
        <f>IF(AND(AD1723=1,R1723&lt;&gt;".")=TRUE,R1723/VLOOKUP(G1723,'Exchange Rates'!B:C,2,0),IF(R1723=".",".",""))</f>
        <v/>
      </c>
      <c r="T1723" s="1185" t="str">
        <f>IF(AD1723=1,IF(AF1723="Value is not given at all",".",IF(AF1723="Value is given by the source",S1723,IF(AF1723="Value is calculated with prices",(IF(SUMIFS(Q:Q,A:A,A1723)&gt;0,SUMIFS(Q:Q,A:A,A1723),"."))/VLOOKUP("USD",'Exchange Rates'!B:C,2,0),"Error with coding"))),"")</f>
        <v/>
      </c>
      <c r="U1723" s="1184" t="s">
        <v>365</v>
      </c>
      <c r="V1723" s="1017" t="s">
        <v>4306</v>
      </c>
      <c r="W1723" s="983" t="s">
        <v>3978</v>
      </c>
      <c r="X1723" s="980" t="s">
        <v>3982</v>
      </c>
      <c r="Y1723" s="966" t="s">
        <v>4080</v>
      </c>
      <c r="Z1723" s="1184">
        <v>0</v>
      </c>
      <c r="AA1723" s="1194">
        <v>0</v>
      </c>
      <c r="AB1723" s="1000" t="s">
        <v>364</v>
      </c>
      <c r="AC1723" s="1192" t="str">
        <f>""</f>
        <v/>
      </c>
      <c r="AD1723" s="1193">
        <v>0</v>
      </c>
      <c r="AE1723" s="1193" t="s">
        <v>368</v>
      </c>
      <c r="AF1723" s="1193" t="s">
        <v>369</v>
      </c>
      <c r="AG1723" s="1193">
        <v>1</v>
      </c>
      <c r="AH1723" s="1193">
        <v>12</v>
      </c>
      <c r="AI1723" s="1193">
        <v>0</v>
      </c>
      <c r="AJ1723" s="1193">
        <f>VLOOKUP($I1723,'Price List, Weapons &amp; Items'!B:F,5,0)</f>
        <v>0</v>
      </c>
      <c r="AK1723" s="1193">
        <f t="shared" si="360"/>
        <v>0</v>
      </c>
      <c r="AL1723" s="1193">
        <f t="shared" si="361"/>
        <v>0</v>
      </c>
      <c r="AM1723" s="1193">
        <f t="shared" si="362"/>
        <v>0</v>
      </c>
      <c r="AN1723" s="1194" t="str">
        <f>VLOOKUP($I1723,'Price List, Weapons &amp; Items'!B:L,COLUMN('Price List, Weapons &amp; Items'!$J$11)-1,0)</f>
        <v>Military media (incl. websites)</v>
      </c>
      <c r="AO1723" s="1194" t="str">
        <f>IF(I1723=".",".",VLOOKUP($I1723,'Price List, Weapons &amp; Items'!B:J,3,0))</f>
        <v>Mortar</v>
      </c>
      <c r="AP1723" s="1195" t="str">
        <f t="shared" ca="1" si="356"/>
        <v/>
      </c>
      <c r="AQ1723" s="1194">
        <f>VLOOKUP($I1723,'Price List, Weapons &amp; Items'!B:L,COLUMN('Price List, Weapons &amp; Items'!$L$11)-1,0)</f>
        <v>1</v>
      </c>
      <c r="AR1723" s="1194">
        <f t="shared" si="363"/>
        <v>1</v>
      </c>
      <c r="AS1723" s="1194">
        <f t="shared" si="364"/>
        <v>1</v>
      </c>
      <c r="AT1723" s="1194">
        <f t="shared" si="365"/>
        <v>1</v>
      </c>
      <c r="AU1723" s="1194" t="str">
        <f t="shared" si="367"/>
        <v>.</v>
      </c>
      <c r="AV1723" s="1194" t="str">
        <f t="shared" si="357"/>
        <v>.</v>
      </c>
      <c r="AW1723" s="1194" t="str">
        <f t="shared" si="366"/>
        <v>.</v>
      </c>
      <c r="AX1723" s="1194">
        <f>IFERROR(VLOOKUP(B1723,'Share, Heavy Weapons to Ukraine'!B:Z,COLUMN('Share, Heavy Weapons to Ukraine'!C1734)-1,0),0)</f>
        <v>1</v>
      </c>
      <c r="AY1723" s="1194">
        <f>VLOOKUP('Bilateral Assistance, MAIN DATA'!B1723,'Country Summary (€)'!B:F,COLUMN('Country Summary (€)'!C1735)-1,FALSE)</f>
        <v>0</v>
      </c>
      <c r="AZ1723" s="1194" t="str">
        <f>IF(AND(AD1723=1,D1723="Military",H1723&lt;&gt;"Not given")=TRUE,IF(SUMIFS(P:P,A:A,A1723)&gt;0,ABS((SUMIFS(P:P,A:A,A1723)/VLOOKUP("USD",'Exchange Rates'!B:C,2,0)))/S1723,"."),".")</f>
        <v>.</v>
      </c>
      <c r="BA1723" s="1196" t="str">
        <f>IF(AND(AD1723=1,D1723="Military",H1723&lt;&gt;"Not given")=TRUE,IF(SUMIFS(P:P,A:A,A1723)&gt;0,IF((ABS((SUMIFS(P:P,A:A,A1723)/VLOOKUP("USD",'Exchange Rates'!B:C,2,0)))/S1723)&gt;1,(SUMIFS(P:P,A:A,A1723)-S1723)/S1723,(S1723-SUMIFS(P:P,A:A,A1723))/SUMIFS(P:P,A:A,A1723)),"."),".")</f>
        <v>.</v>
      </c>
    </row>
    <row r="1724" spans="1:53" ht="15.95" customHeight="1">
      <c r="A1724" s="1208" t="s">
        <v>4284</v>
      </c>
      <c r="B1724" s="1208" t="s">
        <v>3949</v>
      </c>
      <c r="C1724" s="1220">
        <v>44916</v>
      </c>
      <c r="D1724" s="1208" t="s">
        <v>389</v>
      </c>
      <c r="E1724" s="1208" t="s">
        <v>390</v>
      </c>
      <c r="F1724" s="1263" t="s">
        <v>4305</v>
      </c>
      <c r="G1724" s="1184" t="s">
        <v>456</v>
      </c>
      <c r="H1724" s="1221">
        <v>1000000000</v>
      </c>
      <c r="I1724" s="1208" t="s">
        <v>4159</v>
      </c>
      <c r="J1724" s="1186" t="str">
        <f>VLOOKUP($I1724,'Price List, Weapons &amp; Items'!B:C,2,0)</f>
        <v>Heavy Weapon</v>
      </c>
      <c r="K1724" s="1186" t="str">
        <f>IF(I1724=".",I1724,VLOOKUP($I1724,'Price List, Weapons &amp; Items'!B:D,3,0))</f>
        <v>Armored Utility Vehicle (AUV)</v>
      </c>
      <c r="L1724" s="1187">
        <f>VLOOKUP(I1724,'Price List, Weapons &amp; Items'!B:E,4,0)</f>
        <v>0</v>
      </c>
      <c r="M1724" s="1188">
        <v>37</v>
      </c>
      <c r="N1724" s="1188" t="s">
        <v>374</v>
      </c>
      <c r="O1724" s="1188">
        <f>VLOOKUP($I1724,'Price List, Weapons &amp; Items'!B:G,6,0)</f>
        <v>405530</v>
      </c>
      <c r="P1724" s="1185">
        <f t="shared" si="358"/>
        <v>15004610</v>
      </c>
      <c r="Q1724" s="1185" t="str">
        <f t="shared" si="359"/>
        <v>.</v>
      </c>
      <c r="R1724" s="1185" t="str">
        <f t="shared" si="355"/>
        <v/>
      </c>
      <c r="S1724" s="1185" t="str">
        <f>IF(AND(AD1724=1,R1724&lt;&gt;".")=TRUE,R1724/VLOOKUP(G1724,'Exchange Rates'!B:C,2,0),IF(R1724=".",".",""))</f>
        <v/>
      </c>
      <c r="T1724" s="1185" t="str">
        <f>IF(AD1724=1,IF(AF1724="Value is not given at all",".",IF(AF1724="Value is given by the source",S1724,IF(AF1724="Value is calculated with prices",(IF(SUMIFS(Q:Q,A:A,A1724)&gt;0,SUMIFS(Q:Q,A:A,A1724),"."))/VLOOKUP("USD",'Exchange Rates'!B:C,2,0),"Error with coding"))),"")</f>
        <v/>
      </c>
      <c r="U1724" s="1184" t="s">
        <v>365</v>
      </c>
      <c r="V1724" s="1017" t="s">
        <v>4306</v>
      </c>
      <c r="W1724" s="983" t="s">
        <v>3978</v>
      </c>
      <c r="X1724" s="980" t="s">
        <v>3982</v>
      </c>
      <c r="Y1724" s="966" t="s">
        <v>4082</v>
      </c>
      <c r="Z1724" s="1184">
        <v>0</v>
      </c>
      <c r="AA1724" s="1194">
        <v>0</v>
      </c>
      <c r="AB1724" s="1000" t="s">
        <v>364</v>
      </c>
      <c r="AC1724" s="1192" t="str">
        <f>""</f>
        <v/>
      </c>
      <c r="AD1724" s="1193">
        <v>0</v>
      </c>
      <c r="AE1724" s="1193" t="s">
        <v>368</v>
      </c>
      <c r="AF1724" s="1193" t="s">
        <v>369</v>
      </c>
      <c r="AG1724" s="1193">
        <v>1</v>
      </c>
      <c r="AH1724" s="1193">
        <v>12</v>
      </c>
      <c r="AI1724" s="1193">
        <v>0</v>
      </c>
      <c r="AJ1724" s="1193">
        <f>VLOOKUP($I1724,'Price List, Weapons &amp; Items'!B:F,5,0)</f>
        <v>1</v>
      </c>
      <c r="AK1724" s="1193">
        <f t="shared" si="360"/>
        <v>0</v>
      </c>
      <c r="AL1724" s="1193">
        <f t="shared" si="361"/>
        <v>1</v>
      </c>
      <c r="AM1724" s="1193">
        <f t="shared" si="362"/>
        <v>0</v>
      </c>
      <c r="AN1724" s="1194" t="str">
        <f>VLOOKUP($I1724,'Price List, Weapons &amp; Items'!B:L,COLUMN('Price List, Weapons &amp; Items'!$J$11)-1,0)</f>
        <v>Contract</v>
      </c>
      <c r="AO1724" s="1194" t="str">
        <f>IF(I1724=".",".",VLOOKUP($I1724,'Price List, Weapons &amp; Items'!B:J,3,0))</f>
        <v>Armored Utility Vehicle (AUV)</v>
      </c>
      <c r="AP1724" s="1195" t="str">
        <f t="shared" ca="1" si="356"/>
        <v/>
      </c>
      <c r="AQ1724" s="1194">
        <f>VLOOKUP($I1724,'Price List, Weapons &amp; Items'!B:L,COLUMN('Price List, Weapons &amp; Items'!$L$11)-1,0)</f>
        <v>2</v>
      </c>
      <c r="AR1724" s="1194">
        <f t="shared" si="363"/>
        <v>1</v>
      </c>
      <c r="AS1724" s="1194">
        <f t="shared" si="364"/>
        <v>1</v>
      </c>
      <c r="AT1724" s="1194">
        <f t="shared" si="365"/>
        <v>1</v>
      </c>
      <c r="AU1724" s="1194" t="str">
        <f t="shared" si="367"/>
        <v>.</v>
      </c>
      <c r="AV1724" s="1194" t="str">
        <f t="shared" si="357"/>
        <v>.</v>
      </c>
      <c r="AW1724" s="1194" t="str">
        <f t="shared" si="366"/>
        <v>.</v>
      </c>
      <c r="AX1724" s="1194">
        <f>IFERROR(VLOOKUP(B1724,'Share, Heavy Weapons to Ukraine'!B:Z,COLUMN('Share, Heavy Weapons to Ukraine'!C1735)-1,0),0)</f>
        <v>1</v>
      </c>
      <c r="AY1724" s="1194">
        <f>VLOOKUP('Bilateral Assistance, MAIN DATA'!B1724,'Country Summary (€)'!B:F,COLUMN('Country Summary (€)'!C1736)-1,FALSE)</f>
        <v>0</v>
      </c>
      <c r="AZ1724" s="1194" t="str">
        <f>IF(AND(AD1724=1,D1724="Military",H1724&lt;&gt;"Not given")=TRUE,IF(SUMIFS(P:P,A:A,A1724)&gt;0,ABS((SUMIFS(P:P,A:A,A1724)/VLOOKUP("USD",'Exchange Rates'!B:C,2,0)))/S1724,"."),".")</f>
        <v>.</v>
      </c>
      <c r="BA1724" s="1196" t="str">
        <f>IF(AND(AD1724=1,D1724="Military",H1724&lt;&gt;"Not given")=TRUE,IF(SUMIFS(P:P,A:A,A1724)&gt;0,IF((ABS((SUMIFS(P:P,A:A,A1724)/VLOOKUP("USD",'Exchange Rates'!B:C,2,0)))/S1724)&gt;1,(SUMIFS(P:P,A:A,A1724)-S1724)/S1724,(S1724-SUMIFS(P:P,A:A,A1724))/SUMIFS(P:P,A:A,A1724)),"."),".")</f>
        <v>.</v>
      </c>
    </row>
    <row r="1725" spans="1:53" ht="15.95" customHeight="1">
      <c r="A1725" s="1208" t="s">
        <v>4284</v>
      </c>
      <c r="B1725" s="1208" t="s">
        <v>3949</v>
      </c>
      <c r="C1725" s="1220">
        <v>44916</v>
      </c>
      <c r="D1725" s="1208" t="s">
        <v>389</v>
      </c>
      <c r="E1725" s="1208" t="s">
        <v>390</v>
      </c>
      <c r="F1725" s="1263" t="s">
        <v>4305</v>
      </c>
      <c r="G1725" s="1184" t="s">
        <v>456</v>
      </c>
      <c r="H1725" s="1221">
        <v>1000000000</v>
      </c>
      <c r="I1725" s="1180" t="s">
        <v>4187</v>
      </c>
      <c r="J1725" s="1186" t="str">
        <f>VLOOKUP($I1725,'Price List, Weapons &amp; Items'!B:C,2,0)</f>
        <v>Heavy weapon</v>
      </c>
      <c r="K1725" s="1186" t="str">
        <f>IF(I1725=".",I1725,VLOOKUP($I1725,'Price List, Weapons &amp; Items'!B:D,3,0))</f>
        <v>Armored Utility Vehicle (AUV)</v>
      </c>
      <c r="L1725" s="1187">
        <f>VLOOKUP(I1725,'Price List, Weapons &amp; Items'!B:E,4,0)</f>
        <v>0</v>
      </c>
      <c r="M1725" s="1188">
        <v>120</v>
      </c>
      <c r="N1725" s="1188" t="s">
        <v>374</v>
      </c>
      <c r="O1725" s="1188">
        <f>VLOOKUP($I1725,'Price List, Weapons &amp; Items'!B:G,6,0)</f>
        <v>254717</v>
      </c>
      <c r="P1725" s="1185">
        <f t="shared" si="358"/>
        <v>30566040</v>
      </c>
      <c r="Q1725" s="1185" t="str">
        <f t="shared" si="359"/>
        <v>.</v>
      </c>
      <c r="R1725" s="1185" t="str">
        <f t="shared" si="355"/>
        <v/>
      </c>
      <c r="S1725" s="1185" t="str">
        <f>IF(AND(AD1725=1,R1725&lt;&gt;".")=TRUE,R1725/VLOOKUP(G1725,'Exchange Rates'!B:C,2,0),IF(R1725=".",".",""))</f>
        <v/>
      </c>
      <c r="T1725" s="1185" t="str">
        <f>IF(AD1725=1,IF(AF1725="Value is not given at all",".",IF(AF1725="Value is given by the source",S1725,IF(AF1725="Value is calculated with prices",(IF(SUMIFS(Q:Q,A:A,A1725)&gt;0,SUMIFS(Q:Q,A:A,A1725),"."))/VLOOKUP("USD",'Exchange Rates'!B:C,2,0),"Error with coding"))),"")</f>
        <v/>
      </c>
      <c r="U1725" s="1184" t="s">
        <v>365</v>
      </c>
      <c r="V1725" s="1017" t="s">
        <v>4306</v>
      </c>
      <c r="W1725" s="983" t="s">
        <v>3978</v>
      </c>
      <c r="X1725" s="980" t="s">
        <v>3982</v>
      </c>
      <c r="Y1725" s="966" t="s">
        <v>4083</v>
      </c>
      <c r="Z1725" s="1184">
        <v>0</v>
      </c>
      <c r="AA1725" s="1194">
        <v>0</v>
      </c>
      <c r="AB1725" s="1000" t="s">
        <v>364</v>
      </c>
      <c r="AC1725" s="1192" t="str">
        <f>""</f>
        <v/>
      </c>
      <c r="AD1725" s="1193">
        <v>0</v>
      </c>
      <c r="AE1725" s="1193" t="s">
        <v>368</v>
      </c>
      <c r="AF1725" s="1193" t="s">
        <v>369</v>
      </c>
      <c r="AG1725" s="1193">
        <v>1</v>
      </c>
      <c r="AH1725" s="1193">
        <v>12</v>
      </c>
      <c r="AI1725" s="1193">
        <v>0</v>
      </c>
      <c r="AJ1725" s="1193">
        <f>VLOOKUP($I1725,'Price List, Weapons &amp; Items'!B:F,5,0)</f>
        <v>1</v>
      </c>
      <c r="AK1725" s="1193">
        <f t="shared" si="360"/>
        <v>0</v>
      </c>
      <c r="AL1725" s="1193">
        <f t="shared" si="361"/>
        <v>1</v>
      </c>
      <c r="AM1725" s="1193">
        <f t="shared" si="362"/>
        <v>0</v>
      </c>
      <c r="AN1725" s="1194" t="str">
        <f>VLOOKUP($I1725,'Price List, Weapons &amp; Items'!B:L,COLUMN('Price List, Weapons &amp; Items'!$J$11)-1,0)</f>
        <v>Military media (incl. websites)</v>
      </c>
      <c r="AO1725" s="1194" t="str">
        <f>IF(I1725=".",".",VLOOKUP($I1725,'Price List, Weapons &amp; Items'!B:J,3,0))</f>
        <v>Armored Utility Vehicle (AUV)</v>
      </c>
      <c r="AP1725" s="1195" t="str">
        <f t="shared" ca="1" si="356"/>
        <v/>
      </c>
      <c r="AQ1725" s="1194">
        <f>VLOOKUP($I1725,'Price List, Weapons &amp; Items'!B:L,COLUMN('Price List, Weapons &amp; Items'!$L$11)-1,0)</f>
        <v>2</v>
      </c>
      <c r="AR1725" s="1194">
        <f t="shared" si="363"/>
        <v>1</v>
      </c>
      <c r="AS1725" s="1194">
        <f t="shared" si="364"/>
        <v>1</v>
      </c>
      <c r="AT1725" s="1194">
        <f t="shared" si="365"/>
        <v>1</v>
      </c>
      <c r="AU1725" s="1194" t="str">
        <f t="shared" si="367"/>
        <v>.</v>
      </c>
      <c r="AV1725" s="1194" t="str">
        <f t="shared" si="357"/>
        <v>.</v>
      </c>
      <c r="AW1725" s="1194" t="str">
        <f t="shared" si="366"/>
        <v>.</v>
      </c>
      <c r="AX1725" s="1194">
        <f>IFERROR(VLOOKUP(B1725,'Share, Heavy Weapons to Ukraine'!B:Z,COLUMN('Share, Heavy Weapons to Ukraine'!C1736)-1,0),0)</f>
        <v>1</v>
      </c>
      <c r="AY1725" s="1194">
        <f>VLOOKUP('Bilateral Assistance, MAIN DATA'!B1725,'Country Summary (€)'!B:F,COLUMN('Country Summary (€)'!C1737)-1,FALSE)</f>
        <v>0</v>
      </c>
      <c r="AZ1725" s="1194" t="str">
        <f>IF(AND(AD1725=1,D1725="Military",H1725&lt;&gt;"Not given")=TRUE,IF(SUMIFS(P:P,A:A,A1725)&gt;0,ABS((SUMIFS(P:P,A:A,A1725)/VLOOKUP("USD",'Exchange Rates'!B:C,2,0)))/S1725,"."),".")</f>
        <v>.</v>
      </c>
      <c r="BA1725" s="1196" t="str">
        <f>IF(AND(AD1725=1,D1725="Military",H1725&lt;&gt;"Not given")=TRUE,IF(SUMIFS(P:P,A:A,A1725)&gt;0,IF((ABS((SUMIFS(P:P,A:A,A1725)/VLOOKUP("USD",'Exchange Rates'!B:C,2,0)))/S1725)&gt;1,(SUMIFS(P:P,A:A,A1725)-S1725)/S1725,(S1725-SUMIFS(P:P,A:A,A1725))/SUMIFS(P:P,A:A,A1725)),"."),".")</f>
        <v>.</v>
      </c>
    </row>
    <row r="1726" spans="1:53" ht="15.95" customHeight="1">
      <c r="A1726" s="1208" t="s">
        <v>4284</v>
      </c>
      <c r="B1726" s="1208" t="s">
        <v>3949</v>
      </c>
      <c r="C1726" s="1220">
        <v>44916</v>
      </c>
      <c r="D1726" s="1208" t="s">
        <v>389</v>
      </c>
      <c r="E1726" s="1208" t="s">
        <v>390</v>
      </c>
      <c r="F1726" s="1263" t="s">
        <v>4305</v>
      </c>
      <c r="G1726" s="1184" t="s">
        <v>456</v>
      </c>
      <c r="H1726" s="1221">
        <v>1000000000</v>
      </c>
      <c r="I1726" s="1180" t="s">
        <v>1548</v>
      </c>
      <c r="J1726" s="1186" t="str">
        <f>VLOOKUP($I1726,'Price List, Weapons &amp; Items'!B:C,2,0)</f>
        <v>Military equipment</v>
      </c>
      <c r="K1726" s="1186" t="str">
        <f>IF(I1726=".",I1726,VLOOKUP($I1726,'Price List, Weapons &amp; Items'!B:D,3,0))</f>
        <v>non combat military vehicle</v>
      </c>
      <c r="L1726" s="1187">
        <f>VLOOKUP(I1726,'Price List, Weapons &amp; Items'!B:E,4,0)</f>
        <v>0</v>
      </c>
      <c r="M1726" s="1188">
        <v>6</v>
      </c>
      <c r="N1726" s="1188" t="s">
        <v>374</v>
      </c>
      <c r="O1726" s="1188">
        <f>VLOOKUP($I1726,'Price List, Weapons &amp; Items'!B:G,6,0)</f>
        <v>350000</v>
      </c>
      <c r="P1726" s="1185">
        <f t="shared" si="358"/>
        <v>2100000</v>
      </c>
      <c r="Q1726" s="1185" t="str">
        <f t="shared" si="359"/>
        <v>.</v>
      </c>
      <c r="R1726" s="1185" t="str">
        <f t="shared" si="355"/>
        <v/>
      </c>
      <c r="S1726" s="1185" t="str">
        <f>IF(AND(AD1726=1,R1726&lt;&gt;".")=TRUE,R1726/VLOOKUP(G1726,'Exchange Rates'!B:C,2,0),IF(R1726=".",".",""))</f>
        <v/>
      </c>
      <c r="T1726" s="1185" t="str">
        <f>IF(AD1726=1,IF(AF1726="Value is not given at all",".",IF(AF1726="Value is given by the source",S1726,IF(AF1726="Value is calculated with prices",(IF(SUMIFS(Q:Q,A:A,A1726)&gt;0,SUMIFS(Q:Q,A:A,A1726),"."))/VLOOKUP("USD",'Exchange Rates'!B:C,2,0),"Error with coding"))),"")</f>
        <v/>
      </c>
      <c r="U1726" s="1184" t="s">
        <v>365</v>
      </c>
      <c r="V1726" s="1017" t="s">
        <v>4306</v>
      </c>
      <c r="W1726" s="983" t="s">
        <v>3978</v>
      </c>
      <c r="X1726" s="980" t="s">
        <v>3982</v>
      </c>
      <c r="Y1726" s="966" t="s">
        <v>4084</v>
      </c>
      <c r="Z1726" s="1184">
        <v>0</v>
      </c>
      <c r="AA1726" s="1194">
        <v>0</v>
      </c>
      <c r="AB1726" s="1000" t="s">
        <v>364</v>
      </c>
      <c r="AC1726" s="1192" t="str">
        <f>""</f>
        <v/>
      </c>
      <c r="AD1726" s="1193">
        <v>0</v>
      </c>
      <c r="AE1726" s="1193" t="s">
        <v>368</v>
      </c>
      <c r="AF1726" s="1193" t="s">
        <v>369</v>
      </c>
      <c r="AG1726" s="1193">
        <v>1</v>
      </c>
      <c r="AH1726" s="1193">
        <v>12</v>
      </c>
      <c r="AI1726" s="1193">
        <v>0</v>
      </c>
      <c r="AJ1726" s="1193">
        <f>VLOOKUP($I1726,'Price List, Weapons &amp; Items'!B:F,5,0)</f>
        <v>0</v>
      </c>
      <c r="AK1726" s="1193">
        <f t="shared" si="360"/>
        <v>0</v>
      </c>
      <c r="AL1726" s="1193">
        <f t="shared" si="361"/>
        <v>0</v>
      </c>
      <c r="AM1726" s="1193">
        <f t="shared" si="362"/>
        <v>0</v>
      </c>
      <c r="AN1726" s="1194" t="str">
        <f>VLOOKUP($I1726,'Price List, Weapons &amp; Items'!B:L,COLUMN('Price List, Weapons &amp; Items'!$J$11)-1,0)</f>
        <v>Media reports (incl. social media)</v>
      </c>
      <c r="AO1726" s="1194" t="str">
        <f>IF(I1726=".",".",VLOOKUP($I1726,'Price List, Weapons &amp; Items'!B:J,3,0))</f>
        <v>non combat military vehicle</v>
      </c>
      <c r="AP1726" s="1195" t="str">
        <f t="shared" ca="1" si="356"/>
        <v/>
      </c>
      <c r="AQ1726" s="1194">
        <f>VLOOKUP($I1726,'Price List, Weapons &amp; Items'!B:L,COLUMN('Price List, Weapons &amp; Items'!$L$11)-1,0)</f>
        <v>2</v>
      </c>
      <c r="AR1726" s="1194">
        <f t="shared" si="363"/>
        <v>1</v>
      </c>
      <c r="AS1726" s="1194">
        <f t="shared" si="364"/>
        <v>1</v>
      </c>
      <c r="AT1726" s="1194">
        <f t="shared" si="365"/>
        <v>1</v>
      </c>
      <c r="AU1726" s="1194" t="str">
        <f t="shared" si="367"/>
        <v>.</v>
      </c>
      <c r="AV1726" s="1194" t="str">
        <f t="shared" si="357"/>
        <v>.</v>
      </c>
      <c r="AW1726" s="1194" t="str">
        <f t="shared" si="366"/>
        <v>.</v>
      </c>
      <c r="AX1726" s="1194">
        <f>IFERROR(VLOOKUP(B1726,'Share, Heavy Weapons to Ukraine'!B:Z,COLUMN('Share, Heavy Weapons to Ukraine'!C1737)-1,0),0)</f>
        <v>1</v>
      </c>
      <c r="AY1726" s="1194">
        <f>VLOOKUP('Bilateral Assistance, MAIN DATA'!B1726,'Country Summary (€)'!B:F,COLUMN('Country Summary (€)'!C1738)-1,FALSE)</f>
        <v>0</v>
      </c>
      <c r="AZ1726" s="1194" t="str">
        <f>IF(AND(AD1726=1,D1726="Military",H1726&lt;&gt;"Not given")=TRUE,IF(SUMIFS(P:P,A:A,A1726)&gt;0,ABS((SUMIFS(P:P,A:A,A1726)/VLOOKUP("USD",'Exchange Rates'!B:C,2,0)))/S1726,"."),".")</f>
        <v>.</v>
      </c>
      <c r="BA1726" s="1196" t="str">
        <f>IF(AND(AD1726=1,D1726="Military",H1726&lt;&gt;"Not given")=TRUE,IF(SUMIFS(P:P,A:A,A1726)&gt;0,IF((ABS((SUMIFS(P:P,A:A,A1726)/VLOOKUP("USD",'Exchange Rates'!B:C,2,0)))/S1726)&gt;1,(SUMIFS(P:P,A:A,A1726)-S1726)/S1726,(S1726-SUMIFS(P:P,A:A,A1726))/SUMIFS(P:P,A:A,A1726)),"."),".")</f>
        <v>.</v>
      </c>
    </row>
    <row r="1727" spans="1:53" ht="15.95" customHeight="1">
      <c r="A1727" s="1208" t="s">
        <v>4284</v>
      </c>
      <c r="B1727" s="1208" t="s">
        <v>3949</v>
      </c>
      <c r="C1727" s="1220">
        <v>44916</v>
      </c>
      <c r="D1727" s="1208" t="s">
        <v>389</v>
      </c>
      <c r="E1727" s="1208" t="s">
        <v>390</v>
      </c>
      <c r="F1727" s="1263" t="s">
        <v>4305</v>
      </c>
      <c r="G1727" s="1184" t="s">
        <v>456</v>
      </c>
      <c r="H1727" s="1221">
        <v>1000000000</v>
      </c>
      <c r="I1727" s="1180" t="s">
        <v>4161</v>
      </c>
      <c r="J1727" s="1186" t="str">
        <f>VLOOKUP($I1727,'Price List, Weapons &amp; Items'!B:C,2,0)</f>
        <v>Ammunition for heavy weapon</v>
      </c>
      <c r="K1727" s="1186" t="str">
        <f>IF(I1727=".",I1727,VLOOKUP($I1727,'Price List, Weapons &amp; Items'!B:D,3,0))</f>
        <v>Missile</v>
      </c>
      <c r="L1727" s="1187">
        <f>VLOOKUP(I1727,'Price List, Weapons &amp; Items'!B:E,4,0)</f>
        <v>0</v>
      </c>
      <c r="M1727" s="1188" t="s">
        <v>374</v>
      </c>
      <c r="N1727" s="1188" t="s">
        <v>374</v>
      </c>
      <c r="O1727" s="1188">
        <f>VLOOKUP($I1727,'Price List, Weapons &amp; Items'!B:G,6,0)</f>
        <v>557000</v>
      </c>
      <c r="P1727" s="1185" t="str">
        <f t="shared" si="358"/>
        <v>.</v>
      </c>
      <c r="Q1727" s="1185" t="str">
        <f t="shared" si="359"/>
        <v>.</v>
      </c>
      <c r="R1727" s="1185" t="str">
        <f t="shared" si="355"/>
        <v/>
      </c>
      <c r="S1727" s="1185" t="str">
        <f>IF(AND(AD1727=1,R1727&lt;&gt;".")=TRUE,R1727/VLOOKUP(G1727,'Exchange Rates'!B:C,2,0),IF(R1727=".",".",""))</f>
        <v/>
      </c>
      <c r="T1727" s="1185" t="str">
        <f>IF(AD1727=1,IF(AF1727="Value is not given at all",".",IF(AF1727="Value is given by the source",S1727,IF(AF1727="Value is calculated with prices",(IF(SUMIFS(Q:Q,A:A,A1727)&gt;0,SUMIFS(Q:Q,A:A,A1727),"."))/VLOOKUP("USD",'Exchange Rates'!B:C,2,0),"Error with coding"))),"")</f>
        <v/>
      </c>
      <c r="U1727" s="1184" t="s">
        <v>365</v>
      </c>
      <c r="V1727" s="1017" t="s">
        <v>4306</v>
      </c>
      <c r="W1727" s="983" t="s">
        <v>3978</v>
      </c>
      <c r="X1727" s="980" t="s">
        <v>3982</v>
      </c>
      <c r="Y1727" s="966" t="s">
        <v>4086</v>
      </c>
      <c r="Z1727" s="1184">
        <v>0</v>
      </c>
      <c r="AA1727" s="1194">
        <v>0</v>
      </c>
      <c r="AB1727" s="1000" t="s">
        <v>364</v>
      </c>
      <c r="AC1727" s="1192" t="str">
        <f>""</f>
        <v/>
      </c>
      <c r="AD1727" s="1193">
        <v>0</v>
      </c>
      <c r="AE1727" s="1193" t="s">
        <v>368</v>
      </c>
      <c r="AF1727" s="1193" t="s">
        <v>369</v>
      </c>
      <c r="AG1727" s="1193">
        <v>1</v>
      </c>
      <c r="AH1727" s="1193">
        <v>12</v>
      </c>
      <c r="AI1727" s="1193">
        <v>0</v>
      </c>
      <c r="AJ1727" s="1193">
        <f>VLOOKUP($I1727,'Price List, Weapons &amp; Items'!B:F,5,0)</f>
        <v>0</v>
      </c>
      <c r="AK1727" s="1193">
        <f t="shared" si="360"/>
        <v>0</v>
      </c>
      <c r="AL1727" s="1193">
        <f t="shared" si="361"/>
        <v>0</v>
      </c>
      <c r="AM1727" s="1193">
        <f t="shared" si="362"/>
        <v>0</v>
      </c>
      <c r="AN1727" s="1194" t="str">
        <f>VLOOKUP($I1727,'Price List, Weapons &amp; Items'!B:L,COLUMN('Price List, Weapons &amp; Items'!$J$11)-1,0)</f>
        <v>Miscellaneous</v>
      </c>
      <c r="AO1727" s="1194" t="str">
        <f>IF(I1727=".",".",VLOOKUP($I1727,'Price List, Weapons &amp; Items'!B:J,3,0))</f>
        <v>Missile</v>
      </c>
      <c r="AP1727" s="1195" t="str">
        <f t="shared" ca="1" si="356"/>
        <v/>
      </c>
      <c r="AQ1727" s="1194" t="str">
        <f>VLOOKUP($I1727,'Price List, Weapons &amp; Items'!B:L,COLUMN('Price List, Weapons &amp; Items'!$L$11)-1,0)</f>
        <v>no price, 0 count</v>
      </c>
      <c r="AR1727" s="1194">
        <f t="shared" si="363"/>
        <v>1</v>
      </c>
      <c r="AS1727" s="1194">
        <f t="shared" si="364"/>
        <v>1</v>
      </c>
      <c r="AT1727" s="1194">
        <f t="shared" si="365"/>
        <v>1</v>
      </c>
      <c r="AU1727" s="1194" t="str">
        <f t="shared" ref="AU1727:AU1759" si="368">IF(AND(A1727=A1726,C1727=C1726)=TRUE,IF(F1727=F1726,".","1"),".")</f>
        <v>.</v>
      </c>
      <c r="AV1727" s="1194" t="str">
        <f t="shared" si="357"/>
        <v>.</v>
      </c>
      <c r="AW1727" s="1194" t="str">
        <f t="shared" si="366"/>
        <v>.</v>
      </c>
      <c r="AX1727" s="1194">
        <f>IFERROR(VLOOKUP(B1727,'Share, Heavy Weapons to Ukraine'!B:Z,COLUMN('Share, Heavy Weapons to Ukraine'!C1738)-1,0),0)</f>
        <v>1</v>
      </c>
      <c r="AY1727" s="1194">
        <f>VLOOKUP('Bilateral Assistance, MAIN DATA'!B1727,'Country Summary (€)'!B:F,COLUMN('Country Summary (€)'!C1739)-1,FALSE)</f>
        <v>0</v>
      </c>
      <c r="AZ1727" s="1194" t="str">
        <f>IF(AND(AD1727=1,D1727="Military",H1727&lt;&gt;"Not given")=TRUE,IF(SUMIFS(P:P,A:A,A1727)&gt;0,ABS((SUMIFS(P:P,A:A,A1727)/VLOOKUP("USD",'Exchange Rates'!B:C,2,0)))/S1727,"."),".")</f>
        <v>.</v>
      </c>
      <c r="BA1727" s="1196" t="str">
        <f>IF(AND(AD1727=1,D1727="Military",H1727&lt;&gt;"Not given")=TRUE,IF(SUMIFS(P:P,A:A,A1727)&gt;0,IF((ABS((SUMIFS(P:P,A:A,A1727)/VLOOKUP("USD",'Exchange Rates'!B:C,2,0)))/S1727)&gt;1,(SUMIFS(P:P,A:A,A1727)-S1727)/S1727,(S1727-SUMIFS(P:P,A:A,A1727))/SUMIFS(P:P,A:A,A1727)),"."),".")</f>
        <v>.</v>
      </c>
    </row>
    <row r="1728" spans="1:53" ht="15.95" customHeight="1">
      <c r="A1728" s="1208" t="s">
        <v>4284</v>
      </c>
      <c r="B1728" s="1208" t="s">
        <v>3949</v>
      </c>
      <c r="C1728" s="1220">
        <v>44916</v>
      </c>
      <c r="D1728" s="1208" t="s">
        <v>389</v>
      </c>
      <c r="E1728" s="1208" t="s">
        <v>390</v>
      </c>
      <c r="F1728" s="1263" t="s">
        <v>4305</v>
      </c>
      <c r="G1728" s="1184" t="s">
        <v>456</v>
      </c>
      <c r="H1728" s="1221">
        <v>1000000000</v>
      </c>
      <c r="I1728" s="1180" t="s">
        <v>4291</v>
      </c>
      <c r="J1728" s="1186" t="str">
        <f>VLOOKUP($I1728,'Price List, Weapons &amp; Items'!B:C,2,0)</f>
        <v>Ammunition for heavy weapon</v>
      </c>
      <c r="K1728" s="1186" t="str">
        <f>IF(I1728=".",I1728,VLOOKUP($I1728,'Price List, Weapons &amp; Items'!B:D,3,0))</f>
        <v>artillery round</v>
      </c>
      <c r="L1728" s="1187">
        <f>VLOOKUP(I1728,'Price List, Weapons &amp; Items'!B:E,4,0)</f>
        <v>0</v>
      </c>
      <c r="M1728" s="1188">
        <v>2700</v>
      </c>
      <c r="N1728" s="1188" t="s">
        <v>374</v>
      </c>
      <c r="O1728" s="1188">
        <f>VLOOKUP($I1728,'Price List, Weapons &amp; Items'!B:G,6,0)</f>
        <v>112800</v>
      </c>
      <c r="P1728" s="1185">
        <f t="shared" si="358"/>
        <v>304560000</v>
      </c>
      <c r="Q1728" s="1185" t="str">
        <f t="shared" si="359"/>
        <v>.</v>
      </c>
      <c r="R1728" s="1185" t="str">
        <f t="shared" si="355"/>
        <v/>
      </c>
      <c r="S1728" s="1185" t="str">
        <f>IF(AND(AD1728=1,R1728&lt;&gt;".")=TRUE,R1728/VLOOKUP(G1728,'Exchange Rates'!B:C,2,0),IF(R1728=".",".",""))</f>
        <v/>
      </c>
      <c r="T1728" s="1185" t="str">
        <f>IF(AD1728=1,IF(AF1728="Value is not given at all",".",IF(AF1728="Value is given by the source",S1728,IF(AF1728="Value is calculated with prices",(IF(SUMIFS(Q:Q,A:A,A1728)&gt;0,SUMIFS(Q:Q,A:A,A1728),"."))/VLOOKUP("USD",'Exchange Rates'!B:C,2,0),"Error with coding"))),"")</f>
        <v/>
      </c>
      <c r="U1728" s="1184" t="s">
        <v>365</v>
      </c>
      <c r="V1728" s="1017" t="s">
        <v>4306</v>
      </c>
      <c r="W1728" s="983" t="s">
        <v>3978</v>
      </c>
      <c r="X1728" s="980" t="s">
        <v>3982</v>
      </c>
      <c r="Y1728" s="966" t="s">
        <v>4087</v>
      </c>
      <c r="Z1728" s="1184">
        <v>0</v>
      </c>
      <c r="AA1728" s="1194">
        <v>0</v>
      </c>
      <c r="AB1728" s="1000" t="s">
        <v>364</v>
      </c>
      <c r="AC1728" s="1192" t="str">
        <f>""</f>
        <v/>
      </c>
      <c r="AD1728" s="1193">
        <v>0</v>
      </c>
      <c r="AE1728" s="1193" t="s">
        <v>368</v>
      </c>
      <c r="AF1728" s="1193" t="s">
        <v>369</v>
      </c>
      <c r="AG1728" s="1193">
        <v>1</v>
      </c>
      <c r="AH1728" s="1193">
        <v>12</v>
      </c>
      <c r="AI1728" s="1193">
        <v>0</v>
      </c>
      <c r="AJ1728" s="1193">
        <f>VLOOKUP($I1728,'Price List, Weapons &amp; Items'!B:F,5,0)</f>
        <v>0</v>
      </c>
      <c r="AK1728" s="1193">
        <f t="shared" si="360"/>
        <v>0</v>
      </c>
      <c r="AL1728" s="1193">
        <f t="shared" si="361"/>
        <v>0</v>
      </c>
      <c r="AM1728" s="1193">
        <f t="shared" si="362"/>
        <v>0</v>
      </c>
      <c r="AN1728" s="1194" t="str">
        <f>VLOOKUP($I1728,'Price List, Weapons &amp; Items'!B:L,COLUMN('Price List, Weapons &amp; Items'!$J$11)-1,0)</f>
        <v>Miscellaneous</v>
      </c>
      <c r="AO1728" s="1194" t="str">
        <f>IF(I1728=".",".",VLOOKUP($I1728,'Price List, Weapons &amp; Items'!B:J,3,0))</f>
        <v>artillery round</v>
      </c>
      <c r="AP1728" s="1195" t="str">
        <f t="shared" ca="1" si="356"/>
        <v/>
      </c>
      <c r="AQ1728" s="1194">
        <f>VLOOKUP($I1728,'Price List, Weapons &amp; Items'!B:L,COLUMN('Price List, Weapons &amp; Items'!$L$11)-1,0)</f>
        <v>2</v>
      </c>
      <c r="AR1728" s="1194">
        <f t="shared" si="363"/>
        <v>1</v>
      </c>
      <c r="AS1728" s="1194">
        <f t="shared" si="364"/>
        <v>1</v>
      </c>
      <c r="AT1728" s="1194">
        <f t="shared" si="365"/>
        <v>1</v>
      </c>
      <c r="AU1728" s="1194" t="str">
        <f t="shared" si="368"/>
        <v>.</v>
      </c>
      <c r="AV1728" s="1194" t="str">
        <f t="shared" si="357"/>
        <v>.</v>
      </c>
      <c r="AW1728" s="1194" t="str">
        <f t="shared" si="366"/>
        <v>.</v>
      </c>
      <c r="AX1728" s="1194">
        <f>IFERROR(VLOOKUP(B1728,'Share, Heavy Weapons to Ukraine'!B:Z,COLUMN('Share, Heavy Weapons to Ukraine'!C1739)-1,0),0)</f>
        <v>1</v>
      </c>
      <c r="AY1728" s="1194">
        <f>VLOOKUP('Bilateral Assistance, MAIN DATA'!B1728,'Country Summary (€)'!B:F,COLUMN('Country Summary (€)'!C1740)-1,FALSE)</f>
        <v>0</v>
      </c>
      <c r="AZ1728" s="1194" t="str">
        <f>IF(AND(AD1728=1,D1728="Military",H1728&lt;&gt;"Not given")=TRUE,IF(SUMIFS(P:P,A:A,A1728)&gt;0,ABS((SUMIFS(P:P,A:A,A1728)/VLOOKUP("USD",'Exchange Rates'!B:C,2,0)))/S1728,"."),".")</f>
        <v>.</v>
      </c>
      <c r="BA1728" s="1196" t="str">
        <f>IF(AND(AD1728=1,D1728="Military",H1728&lt;&gt;"Not given")=TRUE,IF(SUMIFS(P:P,A:A,A1728)&gt;0,IF((ABS((SUMIFS(P:P,A:A,A1728)/VLOOKUP("USD",'Exchange Rates'!B:C,2,0)))/S1728)&gt;1,(SUMIFS(P:P,A:A,A1728)-S1728)/S1728,(S1728-SUMIFS(P:P,A:A,A1728))/SUMIFS(P:P,A:A,A1728)),"."),".")</f>
        <v>.</v>
      </c>
    </row>
    <row r="1729" spans="1:53" ht="15.95" customHeight="1">
      <c r="A1729" s="1208" t="s">
        <v>4284</v>
      </c>
      <c r="B1729" s="1208" t="s">
        <v>3949</v>
      </c>
      <c r="C1729" s="1220">
        <v>44916</v>
      </c>
      <c r="D1729" s="1208" t="s">
        <v>389</v>
      </c>
      <c r="E1729" s="1208" t="s">
        <v>390</v>
      </c>
      <c r="F1729" s="1263" t="s">
        <v>4305</v>
      </c>
      <c r="G1729" s="1184" t="s">
        <v>456</v>
      </c>
      <c r="H1729" s="1221">
        <v>1000000000</v>
      </c>
      <c r="I1729" s="1180" t="s">
        <v>648</v>
      </c>
      <c r="J1729" s="1186" t="str">
        <f>VLOOKUP($I1729,'Price List, Weapons &amp; Items'!B:C,2,0)</f>
        <v>Light armaments &amp; infantry</v>
      </c>
      <c r="K1729" s="1186" t="str">
        <f>IF(I1729=".",I1729,VLOOKUP($I1729,'Price List, Weapons &amp; Items'!B:D,3,0))</f>
        <v>Light Anti-armor Weapon (LAW)</v>
      </c>
      <c r="L1729" s="1187">
        <f>VLOOKUP(I1729,'Price List, Weapons &amp; Items'!B:E,4,0)</f>
        <v>0</v>
      </c>
      <c r="M1729" s="1188">
        <v>2700</v>
      </c>
      <c r="N1729" s="1188" t="s">
        <v>374</v>
      </c>
      <c r="O1729" s="1188">
        <f>VLOOKUP($I1729,'Price List, Weapons &amp; Items'!B:G,6,0)</f>
        <v>2099</v>
      </c>
      <c r="P1729" s="1185">
        <f t="shared" si="358"/>
        <v>5667300</v>
      </c>
      <c r="Q1729" s="1185" t="str">
        <f t="shared" si="359"/>
        <v>.</v>
      </c>
      <c r="R1729" s="1185" t="str">
        <f t="shared" si="355"/>
        <v/>
      </c>
      <c r="S1729" s="1185" t="str">
        <f>IF(AND(AD1729=1,R1729&lt;&gt;".")=TRUE,R1729/VLOOKUP(G1729,'Exchange Rates'!B:C,2,0),IF(R1729=".",".",""))</f>
        <v/>
      </c>
      <c r="T1729" s="1185" t="str">
        <f>IF(AD1729=1,IF(AF1729="Value is not given at all",".",IF(AF1729="Value is given by the source",S1729,IF(AF1729="Value is calculated with prices",(IF(SUMIFS(Q:Q,A:A,A1729)&gt;0,SUMIFS(Q:Q,A:A,A1729),"."))/VLOOKUP("USD",'Exchange Rates'!B:C,2,0),"Error with coding"))),"")</f>
        <v/>
      </c>
      <c r="U1729" s="1184" t="s">
        <v>365</v>
      </c>
      <c r="V1729" s="1017" t="s">
        <v>4306</v>
      </c>
      <c r="W1729" s="983" t="s">
        <v>3978</v>
      </c>
      <c r="X1729" s="980" t="s">
        <v>3982</v>
      </c>
      <c r="Y1729" s="966" t="s">
        <v>4090</v>
      </c>
      <c r="Z1729" s="1184">
        <v>0</v>
      </c>
      <c r="AA1729" s="1194">
        <v>0</v>
      </c>
      <c r="AB1729" s="1000" t="s">
        <v>364</v>
      </c>
      <c r="AC1729" s="1192" t="str">
        <f>""</f>
        <v/>
      </c>
      <c r="AD1729" s="1193">
        <v>0</v>
      </c>
      <c r="AE1729" s="1193" t="s">
        <v>368</v>
      </c>
      <c r="AF1729" s="1193" t="s">
        <v>369</v>
      </c>
      <c r="AG1729" s="1193">
        <v>1</v>
      </c>
      <c r="AH1729" s="1193">
        <v>12</v>
      </c>
      <c r="AI1729" s="1193">
        <v>0</v>
      </c>
      <c r="AJ1729" s="1193">
        <f>VLOOKUP($I1729,'Price List, Weapons &amp; Items'!B:F,5,0)</f>
        <v>0</v>
      </c>
      <c r="AK1729" s="1193">
        <f t="shared" si="360"/>
        <v>0</v>
      </c>
      <c r="AL1729" s="1193">
        <f t="shared" si="361"/>
        <v>0</v>
      </c>
      <c r="AM1729" s="1193">
        <f t="shared" si="362"/>
        <v>0</v>
      </c>
      <c r="AN1729" s="1194" t="str">
        <f>VLOOKUP($I1729,'Price List, Weapons &amp; Items'!B:L,COLUMN('Price List, Weapons &amp; Items'!$J$11)-1,0)</f>
        <v>Media reports (incl. social media)</v>
      </c>
      <c r="AO1729" s="1194" t="str">
        <f>IF(I1729=".",".",VLOOKUP($I1729,'Price List, Weapons &amp; Items'!B:J,3,0))</f>
        <v>Light Anti-armor Weapon (LAW)</v>
      </c>
      <c r="AP1729" s="1195" t="str">
        <f t="shared" ca="1" si="356"/>
        <v/>
      </c>
      <c r="AQ1729" s="1194">
        <f>VLOOKUP($I1729,'Price List, Weapons &amp; Items'!B:L,COLUMN('Price List, Weapons &amp; Items'!$L$11)-1,0)</f>
        <v>2</v>
      </c>
      <c r="AR1729" s="1194">
        <f t="shared" si="363"/>
        <v>1</v>
      </c>
      <c r="AS1729" s="1194">
        <f t="shared" si="364"/>
        <v>1</v>
      </c>
      <c r="AT1729" s="1194">
        <f t="shared" si="365"/>
        <v>1</v>
      </c>
      <c r="AU1729" s="1194" t="str">
        <f t="shared" si="368"/>
        <v>.</v>
      </c>
      <c r="AV1729" s="1194" t="str">
        <f t="shared" si="357"/>
        <v>.</v>
      </c>
      <c r="AW1729" s="1194" t="str">
        <f t="shared" si="366"/>
        <v>.</v>
      </c>
      <c r="AX1729" s="1194">
        <f>IFERROR(VLOOKUP(B1729,'Share, Heavy Weapons to Ukraine'!B:Z,COLUMN('Share, Heavy Weapons to Ukraine'!C1740)-1,0),0)</f>
        <v>1</v>
      </c>
      <c r="AY1729" s="1194">
        <f>VLOOKUP('Bilateral Assistance, MAIN DATA'!B1729,'Country Summary (€)'!B:F,COLUMN('Country Summary (€)'!C1741)-1,FALSE)</f>
        <v>0</v>
      </c>
      <c r="AZ1729" s="1194" t="str">
        <f>IF(AND(AD1729=1,D1729="Military",H1729&lt;&gt;"Not given")=TRUE,IF(SUMIFS(P:P,A:A,A1729)&gt;0,ABS((SUMIFS(P:P,A:A,A1729)/VLOOKUP("USD",'Exchange Rates'!B:C,2,0)))/S1729,"."),".")</f>
        <v>.</v>
      </c>
      <c r="BA1729" s="1196" t="str">
        <f>IF(AND(AD1729=1,D1729="Military",H1729&lt;&gt;"Not given")=TRUE,IF(SUMIFS(P:P,A:A,A1729)&gt;0,IF((ABS((SUMIFS(P:P,A:A,A1729)/VLOOKUP("USD",'Exchange Rates'!B:C,2,0)))/S1729)&gt;1,(SUMIFS(P:P,A:A,A1729)-S1729)/S1729,(S1729-SUMIFS(P:P,A:A,A1729))/SUMIFS(P:P,A:A,A1729)),"."),".")</f>
        <v>.</v>
      </c>
    </row>
    <row r="1730" spans="1:53" ht="15.95" customHeight="1">
      <c r="A1730" s="1208" t="s">
        <v>4284</v>
      </c>
      <c r="B1730" s="1208" t="s">
        <v>3949</v>
      </c>
      <c r="C1730" s="1220">
        <v>44916</v>
      </c>
      <c r="D1730" s="1208" t="s">
        <v>389</v>
      </c>
      <c r="E1730" s="1208" t="s">
        <v>390</v>
      </c>
      <c r="F1730" s="1263" t="s">
        <v>4305</v>
      </c>
      <c r="G1730" s="1184" t="s">
        <v>456</v>
      </c>
      <c r="H1730" s="1221">
        <v>1000000000</v>
      </c>
      <c r="I1730" s="1208" t="s">
        <v>4045</v>
      </c>
      <c r="J1730" s="1186" t="str">
        <f>VLOOKUP($I1730,'Price List, Weapons &amp; Items'!B:C,2,0)</f>
        <v>Light armaments &amp; infantry</v>
      </c>
      <c r="K1730" s="1186" t="str">
        <f>IF(I1730=".",I1730,VLOOKUP($I1730,'Price List, Weapons &amp; Items'!B:D,3,0))</f>
        <v>Explosive</v>
      </c>
      <c r="L1730" s="1187">
        <f>VLOOKUP(I1730,'Price List, Weapons &amp; Items'!B:E,4,0)</f>
        <v>0</v>
      </c>
      <c r="M1730" s="1188" t="s">
        <v>374</v>
      </c>
      <c r="N1730" s="1188" t="s">
        <v>374</v>
      </c>
      <c r="O1730" s="1188">
        <f>VLOOKUP($I1730,'Price List, Weapons &amp; Items'!B:G,6,0)</f>
        <v>223.15</v>
      </c>
      <c r="P1730" s="1185" t="str">
        <f t="shared" si="358"/>
        <v>.</v>
      </c>
      <c r="Q1730" s="1185" t="str">
        <f t="shared" si="359"/>
        <v>.</v>
      </c>
      <c r="R1730" s="1185" t="str">
        <f t="shared" ref="R1730:R1793" si="369">IF(AD1730=1,IF(H1730&lt;&gt;"Not given",H1730,IF(TYPE(H1730)=2,IF(SUMIFS(P:P,A:A,A1730)&gt;0,SUMIFS(P:P,A:A,A1730),"."),"Format error")),"")</f>
        <v/>
      </c>
      <c r="S1730" s="1185" t="str">
        <f>IF(AND(AD1730=1,R1730&lt;&gt;".")=TRUE,R1730/VLOOKUP(G1730,'Exchange Rates'!B:C,2,0),IF(R1730=".",".",""))</f>
        <v/>
      </c>
      <c r="T1730" s="1185" t="str">
        <f>IF(AD1730=1,IF(AF1730="Value is not given at all",".",IF(AF1730="Value is given by the source",S1730,IF(AF1730="Value is calculated with prices",(IF(SUMIFS(Q:Q,A:A,A1730)&gt;0,SUMIFS(Q:Q,A:A,A1730),"."))/VLOOKUP("USD",'Exchange Rates'!B:C,2,0),"Error with coding"))),"")</f>
        <v/>
      </c>
      <c r="U1730" s="1184" t="s">
        <v>365</v>
      </c>
      <c r="V1730" s="1017" t="s">
        <v>4306</v>
      </c>
      <c r="W1730" s="983" t="s">
        <v>3978</v>
      </c>
      <c r="X1730" s="980" t="s">
        <v>3982</v>
      </c>
      <c r="Y1730" s="966" t="s">
        <v>4091</v>
      </c>
      <c r="Z1730" s="1184">
        <v>0</v>
      </c>
      <c r="AA1730" s="1194">
        <v>0</v>
      </c>
      <c r="AB1730" s="1000" t="s">
        <v>364</v>
      </c>
      <c r="AC1730" s="1192" t="str">
        <f>""</f>
        <v/>
      </c>
      <c r="AD1730" s="1193">
        <v>0</v>
      </c>
      <c r="AE1730" s="1193" t="s">
        <v>368</v>
      </c>
      <c r="AF1730" s="1193" t="s">
        <v>369</v>
      </c>
      <c r="AG1730" s="1193">
        <v>1</v>
      </c>
      <c r="AH1730" s="1193">
        <v>12</v>
      </c>
      <c r="AI1730" s="1193">
        <v>0</v>
      </c>
      <c r="AJ1730" s="1193">
        <f>VLOOKUP($I1730,'Price List, Weapons &amp; Items'!B:F,5,0)</f>
        <v>0</v>
      </c>
      <c r="AK1730" s="1193">
        <f t="shared" si="360"/>
        <v>0</v>
      </c>
      <c r="AL1730" s="1193">
        <f t="shared" si="361"/>
        <v>0</v>
      </c>
      <c r="AM1730" s="1193">
        <f t="shared" si="362"/>
        <v>0</v>
      </c>
      <c r="AN1730" s="1194" t="str">
        <f>VLOOKUP($I1730,'Price List, Weapons &amp; Items'!B:L,COLUMN('Price List, Weapons &amp; Items'!$J$11)-1,0)</f>
        <v>Miscellaneous</v>
      </c>
      <c r="AO1730" s="1194" t="str">
        <f>IF(I1730=".",".",VLOOKUP($I1730,'Price List, Weapons &amp; Items'!B:J,3,0))</f>
        <v>Explosive</v>
      </c>
      <c r="AP1730" s="1195" t="str">
        <f t="shared" ref="AP1730:AP1793" ca="1" si="370">IF(AD1730=1,(OFFSET(I1730,0,0,COUNTIF(A:A,A1730),1)),"")</f>
        <v/>
      </c>
      <c r="AQ1730" s="1194" t="str">
        <f>VLOOKUP($I1730,'Price List, Weapons &amp; Items'!B:L,COLUMN('Price List, Weapons &amp; Items'!$L$11)-1,0)</f>
        <v>no price, 0 count</v>
      </c>
      <c r="AR1730" s="1194">
        <f t="shared" si="363"/>
        <v>1</v>
      </c>
      <c r="AS1730" s="1194">
        <f t="shared" si="364"/>
        <v>1</v>
      </c>
      <c r="AT1730" s="1194">
        <f t="shared" si="365"/>
        <v>1</v>
      </c>
      <c r="AU1730" s="1194" t="str">
        <f t="shared" si="368"/>
        <v>.</v>
      </c>
      <c r="AV1730" s="1194" t="str">
        <f t="shared" ref="AV1730:AV1793" si="371">IF(AND(_xlfn.ISFORMULA(R1730),_xlfn.ISFORMULA(S1730),_xlfn.ISFORMULA(T1730))=TRUE,".",1)</f>
        <v>.</v>
      </c>
      <c r="AW1730" s="1194" t="str">
        <f t="shared" si="366"/>
        <v>.</v>
      </c>
      <c r="AX1730" s="1194">
        <f>IFERROR(VLOOKUP(B1730,'Share, Heavy Weapons to Ukraine'!B:Z,COLUMN('Share, Heavy Weapons to Ukraine'!C1741)-1,0),0)</f>
        <v>1</v>
      </c>
      <c r="AY1730" s="1194">
        <f>VLOOKUP('Bilateral Assistance, MAIN DATA'!B1730,'Country Summary (€)'!B:F,COLUMN('Country Summary (€)'!C1742)-1,FALSE)</f>
        <v>0</v>
      </c>
      <c r="AZ1730" s="1194" t="str">
        <f>IF(AND(AD1730=1,D1730="Military",H1730&lt;&gt;"Not given")=TRUE,IF(SUMIFS(P:P,A:A,A1730)&gt;0,ABS((SUMIFS(P:P,A:A,A1730)/VLOOKUP("USD",'Exchange Rates'!B:C,2,0)))/S1730,"."),".")</f>
        <v>.</v>
      </c>
      <c r="BA1730" s="1196" t="str">
        <f>IF(AND(AD1730=1,D1730="Military",H1730&lt;&gt;"Not given")=TRUE,IF(SUMIFS(P:P,A:A,A1730)&gt;0,IF((ABS((SUMIFS(P:P,A:A,A1730)/VLOOKUP("USD",'Exchange Rates'!B:C,2,0)))/S1730)&gt;1,(SUMIFS(P:P,A:A,A1730)-S1730)/S1730,(S1730-SUMIFS(P:P,A:A,A1730))/SUMIFS(P:P,A:A,A1730)),"."),".")</f>
        <v>.</v>
      </c>
    </row>
    <row r="1731" spans="1:53" ht="15.95" customHeight="1">
      <c r="A1731" s="1208" t="s">
        <v>4284</v>
      </c>
      <c r="B1731" s="1208" t="s">
        <v>3949</v>
      </c>
      <c r="C1731" s="1220">
        <v>44916</v>
      </c>
      <c r="D1731" s="1208" t="s">
        <v>389</v>
      </c>
      <c r="E1731" s="1208" t="s">
        <v>390</v>
      </c>
      <c r="F1731" s="1263" t="s">
        <v>4305</v>
      </c>
      <c r="G1731" s="1184" t="s">
        <v>456</v>
      </c>
      <c r="H1731" s="1221">
        <v>1000000000</v>
      </c>
      <c r="I1731" s="1208" t="s">
        <v>4172</v>
      </c>
      <c r="J1731" s="1186" t="str">
        <f>VLOOKUP($I1731,'Price List, Weapons &amp; Items'!B:C,2,0)</f>
        <v>Military equipment</v>
      </c>
      <c r="K1731" s="1186" t="str">
        <f>IF(I1731=".",I1731,VLOOKUP($I1731,'Price List, Weapons &amp; Items'!B:D,3,0))</f>
        <v>Military equipment</v>
      </c>
      <c r="L1731" s="1187">
        <f>VLOOKUP(I1731,'Price List, Weapons &amp; Items'!B:E,4,0)</f>
        <v>0</v>
      </c>
      <c r="M1731" s="1188" t="s">
        <v>374</v>
      </c>
      <c r="N1731" s="1188" t="s">
        <v>374</v>
      </c>
      <c r="O1731" s="1188">
        <f>VLOOKUP($I1731,'Price List, Weapons &amp; Items'!B:G,6,0)</f>
        <v>90</v>
      </c>
      <c r="P1731" s="1185" t="str">
        <f t="shared" ref="P1731:P1794" si="372">IF(TYPE(M1731)=1,IF(TYPE(O1731)=1,M1731*O1731,"No price"),".")</f>
        <v>.</v>
      </c>
      <c r="Q1731" s="1185" t="str">
        <f t="shared" ref="Q1731:Q1794" si="373">IF(TYPE(N1731)=1,IF(TYPE(O1731)=1,N1731*O1731,"No price"),".")</f>
        <v>.</v>
      </c>
      <c r="R1731" s="1185" t="str">
        <f t="shared" si="369"/>
        <v/>
      </c>
      <c r="S1731" s="1185" t="str">
        <f>IF(AND(AD1731=1,R1731&lt;&gt;".")=TRUE,R1731/VLOOKUP(G1731,'Exchange Rates'!B:C,2,0),IF(R1731=".",".",""))</f>
        <v/>
      </c>
      <c r="T1731" s="1185" t="str">
        <f>IF(AD1731=1,IF(AF1731="Value is not given at all",".",IF(AF1731="Value is given by the source",S1731,IF(AF1731="Value is calculated with prices",(IF(SUMIFS(Q:Q,A:A,A1731)&gt;0,SUMIFS(Q:Q,A:A,A1731),"."))/VLOOKUP("USD",'Exchange Rates'!B:C,2,0),"Error with coding"))),"")</f>
        <v/>
      </c>
      <c r="U1731" s="1184" t="s">
        <v>365</v>
      </c>
      <c r="V1731" s="1017" t="s">
        <v>4306</v>
      </c>
      <c r="W1731" s="983" t="s">
        <v>3978</v>
      </c>
      <c r="X1731" s="980" t="s">
        <v>3982</v>
      </c>
      <c r="Y1731" s="966" t="s">
        <v>4092</v>
      </c>
      <c r="Z1731" s="1184">
        <v>0</v>
      </c>
      <c r="AA1731" s="1194">
        <v>0</v>
      </c>
      <c r="AB1731" s="1000" t="s">
        <v>364</v>
      </c>
      <c r="AC1731" s="1192" t="str">
        <f>""</f>
        <v/>
      </c>
      <c r="AD1731" s="1193">
        <v>0</v>
      </c>
      <c r="AE1731" s="1193" t="s">
        <v>368</v>
      </c>
      <c r="AF1731" s="1193" t="s">
        <v>369</v>
      </c>
      <c r="AG1731" s="1193">
        <v>1</v>
      </c>
      <c r="AH1731" s="1193">
        <v>12</v>
      </c>
      <c r="AI1731" s="1193">
        <v>0</v>
      </c>
      <c r="AJ1731" s="1193">
        <f>VLOOKUP($I1731,'Price List, Weapons &amp; Items'!B:F,5,0)</f>
        <v>0</v>
      </c>
      <c r="AK1731" s="1193">
        <f t="shared" ref="AK1731:AK1794" si="374">IF(AND(AJ1731=1,M1731="undisclosed")=TRUE,1,0)</f>
        <v>0</v>
      </c>
      <c r="AL1731" s="1193">
        <f t="shared" ref="AL1731:AL1794" si="375">IF(AND(AJ1731=1,N1731="undisclosed")=TRUE,1,0)</f>
        <v>0</v>
      </c>
      <c r="AM1731" s="1193">
        <f t="shared" ref="AM1731:AM1794" si="376">IFERROR(IF(SEARCH("ammuni",I1731,1)&gt;0,1,0),0)</f>
        <v>0</v>
      </c>
      <c r="AN1731" s="1194" t="str">
        <f>VLOOKUP($I1731,'Price List, Weapons &amp; Items'!B:L,COLUMN('Price List, Weapons &amp; Items'!$J$11)-1,0)</f>
        <v>Media reports (incl. social media)</v>
      </c>
      <c r="AO1731" s="1194" t="str">
        <f>IF(I1731=".",".",VLOOKUP($I1731,'Price List, Weapons &amp; Items'!B:J,3,0))</f>
        <v>Military equipment</v>
      </c>
      <c r="AP1731" s="1195" t="str">
        <f t="shared" ca="1" si="370"/>
        <v/>
      </c>
      <c r="AQ1731" s="1194" t="str">
        <f>VLOOKUP($I1731,'Price List, Weapons &amp; Items'!B:L,COLUMN('Price List, Weapons &amp; Items'!$L$11)-1,0)</f>
        <v>no price, 0 count</v>
      </c>
      <c r="AR1731" s="1194">
        <f t="shared" ref="AR1731:AR1794" si="377">IF(U1731="Yes",1,0)</f>
        <v>1</v>
      </c>
      <c r="AS1731" s="1194">
        <f t="shared" ref="AS1731:AS1794" si="378">IF(D1731="Military",IF(OR(IFERROR(SEARCH("equipment",E1731,1),0)&gt;0,IFERROR(SEARCH("weapons",E1731,1),0)&gt;0),1,0),0)</f>
        <v>1</v>
      </c>
      <c r="AT1731" s="1194">
        <f t="shared" ref="AT1731:AT1794" si="379">IFERROR(IF(VALUE(TEXT(C1731,"mm"))=IF(AH1731&gt;12,AH1731-12,AH1731),".",IF(TEXT(C1731,"mm")="01",".",1)),"Value is not in date format")</f>
        <v>1</v>
      </c>
      <c r="AU1731" s="1194" t="str">
        <f t="shared" si="368"/>
        <v>.</v>
      </c>
      <c r="AV1731" s="1194" t="str">
        <f t="shared" si="371"/>
        <v>.</v>
      </c>
      <c r="AW1731" s="1194" t="str">
        <f t="shared" ref="AW1731:AW1794" si="380">IF(T1731&lt;&gt;".",IF(T1731&gt;S1731,1,"."),".")</f>
        <v>.</v>
      </c>
      <c r="AX1731" s="1194">
        <f>IFERROR(VLOOKUP(B1731,'Share, Heavy Weapons to Ukraine'!B:Z,COLUMN('Share, Heavy Weapons to Ukraine'!C1742)-1,0),0)</f>
        <v>1</v>
      </c>
      <c r="AY1731" s="1194">
        <f>VLOOKUP('Bilateral Assistance, MAIN DATA'!B1731,'Country Summary (€)'!B:F,COLUMN('Country Summary (€)'!C1743)-1,FALSE)</f>
        <v>0</v>
      </c>
      <c r="AZ1731" s="1194" t="str">
        <f>IF(AND(AD1731=1,D1731="Military",H1731&lt;&gt;"Not given")=TRUE,IF(SUMIFS(P:P,A:A,A1731)&gt;0,ABS((SUMIFS(P:P,A:A,A1731)/VLOOKUP("USD",'Exchange Rates'!B:C,2,0)))/S1731,"."),".")</f>
        <v>.</v>
      </c>
      <c r="BA1731" s="1196" t="str">
        <f>IF(AND(AD1731=1,D1731="Military",H1731&lt;&gt;"Not given")=TRUE,IF(SUMIFS(P:P,A:A,A1731)&gt;0,IF((ABS((SUMIFS(P:P,A:A,A1731)/VLOOKUP("USD",'Exchange Rates'!B:C,2,0)))/S1731)&gt;1,(SUMIFS(P:P,A:A,A1731)-S1731)/S1731,(S1731-SUMIFS(P:P,A:A,A1731))/SUMIFS(P:P,A:A,A1731)),"."),".")</f>
        <v>.</v>
      </c>
    </row>
    <row r="1732" spans="1:53" ht="15.95" customHeight="1">
      <c r="A1732" s="1208" t="s">
        <v>4284</v>
      </c>
      <c r="B1732" s="1208" t="s">
        <v>3949</v>
      </c>
      <c r="C1732" s="1220">
        <v>44916</v>
      </c>
      <c r="D1732" s="1208" t="s">
        <v>389</v>
      </c>
      <c r="E1732" s="1208" t="s">
        <v>390</v>
      </c>
      <c r="F1732" s="1263" t="s">
        <v>4305</v>
      </c>
      <c r="G1732" s="1184" t="s">
        <v>456</v>
      </c>
      <c r="H1732" s="1221">
        <v>1000000000</v>
      </c>
      <c r="I1732" s="1180" t="s">
        <v>605</v>
      </c>
      <c r="J1732" s="1186" t="str">
        <f>VLOOKUP($I1732,'Price List, Weapons &amp; Items'!B:C,2,0)</f>
        <v>Military equipment</v>
      </c>
      <c r="K1732" s="1186" t="str">
        <f>IF(I1732=".",I1732,VLOOKUP($I1732,'Price List, Weapons &amp; Items'!B:D,3,0))</f>
        <v>Military equipment</v>
      </c>
      <c r="L1732" s="1187">
        <f>VLOOKUP(I1732,'Price List, Weapons &amp; Items'!B:E,4,0)</f>
        <v>0</v>
      </c>
      <c r="M1732" s="1188" t="s">
        <v>374</v>
      </c>
      <c r="N1732" s="1188" t="s">
        <v>374</v>
      </c>
      <c r="O1732" s="1188">
        <f>VLOOKUP($I1732,'Price List, Weapons &amp; Items'!B:G,6,0)</f>
        <v>2320</v>
      </c>
      <c r="P1732" s="1185" t="str">
        <f t="shared" si="372"/>
        <v>.</v>
      </c>
      <c r="Q1732" s="1185" t="str">
        <f t="shared" si="373"/>
        <v>.</v>
      </c>
      <c r="R1732" s="1185" t="str">
        <f t="shared" si="369"/>
        <v/>
      </c>
      <c r="S1732" s="1185" t="str">
        <f>IF(AND(AD1732=1,R1732&lt;&gt;".")=TRUE,R1732/VLOOKUP(G1732,'Exchange Rates'!B:C,2,0),IF(R1732=".",".",""))</f>
        <v/>
      </c>
      <c r="T1732" s="1185" t="str">
        <f>IF(AD1732=1,IF(AF1732="Value is not given at all",".",IF(AF1732="Value is given by the source",S1732,IF(AF1732="Value is calculated with prices",(IF(SUMIFS(Q:Q,A:A,A1732)&gt;0,SUMIFS(Q:Q,A:A,A1732),"."))/VLOOKUP("USD",'Exchange Rates'!B:C,2,0),"Error with coding"))),"")</f>
        <v/>
      </c>
      <c r="U1732" s="1184" t="s">
        <v>365</v>
      </c>
      <c r="V1732" s="1017" t="s">
        <v>4306</v>
      </c>
      <c r="W1732" s="983" t="s">
        <v>3978</v>
      </c>
      <c r="X1732" s="980" t="s">
        <v>3982</v>
      </c>
      <c r="Y1732" s="966" t="s">
        <v>4094</v>
      </c>
      <c r="Z1732" s="1184">
        <v>0</v>
      </c>
      <c r="AA1732" s="1194">
        <v>0</v>
      </c>
      <c r="AB1732" s="1000" t="s">
        <v>364</v>
      </c>
      <c r="AC1732" s="1192" t="str">
        <f>""</f>
        <v/>
      </c>
      <c r="AD1732" s="1193">
        <v>0</v>
      </c>
      <c r="AE1732" s="1193" t="s">
        <v>368</v>
      </c>
      <c r="AF1732" s="1193" t="s">
        <v>369</v>
      </c>
      <c r="AG1732" s="1193">
        <v>1</v>
      </c>
      <c r="AH1732" s="1193">
        <v>12</v>
      </c>
      <c r="AI1732" s="1193">
        <v>0</v>
      </c>
      <c r="AJ1732" s="1193">
        <f>VLOOKUP($I1732,'Price List, Weapons &amp; Items'!B:F,5,0)</f>
        <v>0</v>
      </c>
      <c r="AK1732" s="1193">
        <f t="shared" si="374"/>
        <v>0</v>
      </c>
      <c r="AL1732" s="1193">
        <f t="shared" si="375"/>
        <v>0</v>
      </c>
      <c r="AM1732" s="1193">
        <f t="shared" si="376"/>
        <v>0</v>
      </c>
      <c r="AN1732" s="1194" t="str">
        <f>VLOOKUP($I1732,'Price List, Weapons &amp; Items'!B:L,COLUMN('Price List, Weapons &amp; Items'!$J$11)-1,0)</f>
        <v>Media reports (incl. social media)</v>
      </c>
      <c r="AO1732" s="1194" t="str">
        <f>IF(I1732=".",".",VLOOKUP($I1732,'Price List, Weapons &amp; Items'!B:J,3,0))</f>
        <v>Military equipment</v>
      </c>
      <c r="AP1732" s="1195" t="str">
        <f t="shared" ca="1" si="370"/>
        <v/>
      </c>
      <c r="AQ1732" s="1194">
        <f>VLOOKUP($I1732,'Price List, Weapons &amp; Items'!B:L,COLUMN('Price List, Weapons &amp; Items'!$L$11)-1,0)</f>
        <v>2</v>
      </c>
      <c r="AR1732" s="1194">
        <f t="shared" si="377"/>
        <v>1</v>
      </c>
      <c r="AS1732" s="1194">
        <f t="shared" si="378"/>
        <v>1</v>
      </c>
      <c r="AT1732" s="1194">
        <f t="shared" si="379"/>
        <v>1</v>
      </c>
      <c r="AU1732" s="1194" t="str">
        <f t="shared" si="368"/>
        <v>.</v>
      </c>
      <c r="AV1732" s="1194" t="str">
        <f t="shared" si="371"/>
        <v>.</v>
      </c>
      <c r="AW1732" s="1194" t="str">
        <f t="shared" si="380"/>
        <v>.</v>
      </c>
      <c r="AX1732" s="1194">
        <f>IFERROR(VLOOKUP(B1732,'Share, Heavy Weapons to Ukraine'!B:Z,COLUMN('Share, Heavy Weapons to Ukraine'!C1743)-1,0),0)</f>
        <v>1</v>
      </c>
      <c r="AY1732" s="1194">
        <f>VLOOKUP('Bilateral Assistance, MAIN DATA'!B1732,'Country Summary (€)'!B:F,COLUMN('Country Summary (€)'!C1744)-1,FALSE)</f>
        <v>0</v>
      </c>
      <c r="AZ1732" s="1194" t="str">
        <f>IF(AND(AD1732=1,D1732="Military",H1732&lt;&gt;"Not given")=TRUE,IF(SUMIFS(P:P,A:A,A1732)&gt;0,ABS((SUMIFS(P:P,A:A,A1732)/VLOOKUP("USD",'Exchange Rates'!B:C,2,0)))/S1732,"."),".")</f>
        <v>.</v>
      </c>
      <c r="BA1732" s="1196" t="str">
        <f>IF(AND(AD1732=1,D1732="Military",H1732&lt;&gt;"Not given")=TRUE,IF(SUMIFS(P:P,A:A,A1732)&gt;0,IF((ABS((SUMIFS(P:P,A:A,A1732)/VLOOKUP("USD",'Exchange Rates'!B:C,2,0)))/S1732)&gt;1,(SUMIFS(P:P,A:A,A1732)-S1732)/S1732,(S1732-SUMIFS(P:P,A:A,A1732))/SUMIFS(P:P,A:A,A1732)),"."),".")</f>
        <v>.</v>
      </c>
    </row>
    <row r="1733" spans="1:53" ht="15.95" customHeight="1">
      <c r="A1733" s="1208" t="s">
        <v>4284</v>
      </c>
      <c r="B1733" s="1208" t="s">
        <v>3949</v>
      </c>
      <c r="C1733" s="1220">
        <v>44916</v>
      </c>
      <c r="D1733" s="1208" t="s">
        <v>389</v>
      </c>
      <c r="E1733" s="1208" t="s">
        <v>390</v>
      </c>
      <c r="F1733" s="1263" t="s">
        <v>4305</v>
      </c>
      <c r="G1733" s="1184" t="s">
        <v>456</v>
      </c>
      <c r="H1733" s="1221">
        <v>1000000000</v>
      </c>
      <c r="I1733" s="1180" t="s">
        <v>4280</v>
      </c>
      <c r="J1733" s="1186" t="str">
        <f>VLOOKUP($I1733,'Price List, Weapons &amp; Items'!B:C,2,0)</f>
        <v>Military equipment</v>
      </c>
      <c r="K1733" s="1186" t="str">
        <f>IF(I1733=".",I1733,VLOOKUP($I1733,'Price List, Weapons &amp; Items'!B:D,3,0))</f>
        <v>Military equipment</v>
      </c>
      <c r="L1733" s="1187">
        <f>VLOOKUP(I1733,'Price List, Weapons &amp; Items'!B:E,4,0)</f>
        <v>0</v>
      </c>
      <c r="M1733" s="1188" t="s">
        <v>374</v>
      </c>
      <c r="N1733" s="1188" t="s">
        <v>374</v>
      </c>
      <c r="O1733" s="1188" t="str">
        <f>VLOOKUP($I1733,'Price List, Weapons &amp; Items'!B:G,6,0)</f>
        <v>.</v>
      </c>
      <c r="P1733" s="1185" t="str">
        <f t="shared" si="372"/>
        <v>.</v>
      </c>
      <c r="Q1733" s="1185" t="str">
        <f t="shared" si="373"/>
        <v>.</v>
      </c>
      <c r="R1733" s="1185" t="str">
        <f t="shared" si="369"/>
        <v/>
      </c>
      <c r="S1733" s="1185" t="str">
        <f>IF(AND(AD1733=1,R1733&lt;&gt;".")=TRUE,R1733/VLOOKUP(G1733,'Exchange Rates'!B:C,2,0),IF(R1733=".",".",""))</f>
        <v/>
      </c>
      <c r="T1733" s="1185" t="str">
        <f>IF(AD1733=1,IF(AF1733="Value is not given at all",".",IF(AF1733="Value is given by the source",S1733,IF(AF1733="Value is calculated with prices",(IF(SUMIFS(Q:Q,A:A,A1733)&gt;0,SUMIFS(Q:Q,A:A,A1733),"."))/VLOOKUP("USD",'Exchange Rates'!B:C,2,0),"Error with coding"))),"")</f>
        <v/>
      </c>
      <c r="U1733" s="1184" t="s">
        <v>365</v>
      </c>
      <c r="V1733" s="1017" t="s">
        <v>4306</v>
      </c>
      <c r="W1733" s="983" t="s">
        <v>3978</v>
      </c>
      <c r="X1733" s="980" t="s">
        <v>3982</v>
      </c>
      <c r="Y1733" s="966" t="s">
        <v>4096</v>
      </c>
      <c r="Z1733" s="1184">
        <v>0</v>
      </c>
      <c r="AA1733" s="1194">
        <v>0</v>
      </c>
      <c r="AB1733" s="1000" t="s">
        <v>364</v>
      </c>
      <c r="AC1733" s="1192" t="str">
        <f>""</f>
        <v/>
      </c>
      <c r="AD1733" s="1193">
        <v>0</v>
      </c>
      <c r="AE1733" s="1193" t="s">
        <v>368</v>
      </c>
      <c r="AF1733" s="1193" t="s">
        <v>369</v>
      </c>
      <c r="AG1733" s="1193">
        <v>1</v>
      </c>
      <c r="AH1733" s="1193">
        <v>12</v>
      </c>
      <c r="AI1733" s="1193">
        <v>0</v>
      </c>
      <c r="AJ1733" s="1193">
        <f>VLOOKUP($I1733,'Price List, Weapons &amp; Items'!B:F,5,0)</f>
        <v>0</v>
      </c>
      <c r="AK1733" s="1193">
        <f t="shared" si="374"/>
        <v>0</v>
      </c>
      <c r="AL1733" s="1193">
        <f t="shared" si="375"/>
        <v>0</v>
      </c>
      <c r="AM1733" s="1193">
        <f t="shared" si="376"/>
        <v>0</v>
      </c>
      <c r="AN1733" s="1194" t="str">
        <f>VLOOKUP($I1733,'Price List, Weapons &amp; Items'!B:L,COLUMN('Price List, Weapons &amp; Items'!$J$11)-1,0)</f>
        <v>.</v>
      </c>
      <c r="AO1733" s="1194" t="str">
        <f>IF(I1733=".",".",VLOOKUP($I1733,'Price List, Weapons &amp; Items'!B:J,3,0))</f>
        <v>Military equipment</v>
      </c>
      <c r="AP1733" s="1195" t="str">
        <f t="shared" ca="1" si="370"/>
        <v/>
      </c>
      <c r="AQ1733" s="1194" t="str">
        <f>VLOOKUP($I1733,'Price List, Weapons &amp; Items'!B:L,COLUMN('Price List, Weapons &amp; Items'!$L$11)-1,0)</f>
        <v>no price, 0 count</v>
      </c>
      <c r="AR1733" s="1194">
        <f t="shared" si="377"/>
        <v>1</v>
      </c>
      <c r="AS1733" s="1194">
        <f t="shared" si="378"/>
        <v>1</v>
      </c>
      <c r="AT1733" s="1194">
        <f t="shared" si="379"/>
        <v>1</v>
      </c>
      <c r="AU1733" s="1194" t="str">
        <f t="shared" si="368"/>
        <v>.</v>
      </c>
      <c r="AV1733" s="1194" t="str">
        <f t="shared" si="371"/>
        <v>.</v>
      </c>
      <c r="AW1733" s="1194" t="str">
        <f t="shared" si="380"/>
        <v>.</v>
      </c>
      <c r="AX1733" s="1194">
        <f>IFERROR(VLOOKUP(B1733,'Share, Heavy Weapons to Ukraine'!B:Z,COLUMN('Share, Heavy Weapons to Ukraine'!C1744)-1,0),0)</f>
        <v>1</v>
      </c>
      <c r="AY1733" s="1194">
        <f>VLOOKUP('Bilateral Assistance, MAIN DATA'!B1733,'Country Summary (€)'!B:F,COLUMN('Country Summary (€)'!C1745)-1,FALSE)</f>
        <v>0</v>
      </c>
      <c r="AZ1733" s="1194" t="str">
        <f>IF(AND(AD1733=1,D1733="Military",H1733&lt;&gt;"Not given")=TRUE,IF(SUMIFS(P:P,A:A,A1733)&gt;0,ABS((SUMIFS(P:P,A:A,A1733)/VLOOKUP("USD",'Exchange Rates'!B:C,2,0)))/S1733,"."),".")</f>
        <v>.</v>
      </c>
      <c r="BA1733" s="1196" t="str">
        <f>IF(AND(AD1733=1,D1733="Military",H1733&lt;&gt;"Not given")=TRUE,IF(SUMIFS(P:P,A:A,A1733)&gt;0,IF((ABS((SUMIFS(P:P,A:A,A1733)/VLOOKUP("USD",'Exchange Rates'!B:C,2,0)))/S1733)&gt;1,(SUMIFS(P:P,A:A,A1733)-S1733)/S1733,(S1733-SUMIFS(P:P,A:A,A1733))/SUMIFS(P:P,A:A,A1733)),"."),".")</f>
        <v>.</v>
      </c>
    </row>
    <row r="1734" spans="1:53" ht="15.95" customHeight="1">
      <c r="A1734" s="1208" t="s">
        <v>4284</v>
      </c>
      <c r="B1734" s="1208" t="s">
        <v>3949</v>
      </c>
      <c r="C1734" s="1220">
        <v>44916</v>
      </c>
      <c r="D1734" s="1208" t="s">
        <v>389</v>
      </c>
      <c r="E1734" s="1208" t="s">
        <v>390</v>
      </c>
      <c r="F1734" s="1263" t="s">
        <v>4305</v>
      </c>
      <c r="G1734" s="1184" t="s">
        <v>456</v>
      </c>
      <c r="H1734" s="1221">
        <v>1000000000</v>
      </c>
      <c r="I1734" s="1180" t="s">
        <v>4052</v>
      </c>
      <c r="J1734" s="1186" t="str">
        <f>VLOOKUP($I1734,'Price List, Weapons &amp; Items'!B:C,2,0)</f>
        <v>Military equipment</v>
      </c>
      <c r="K1734" s="1186" t="str">
        <f>IF(I1734=".",I1734,VLOOKUP($I1734,'Price List, Weapons &amp; Items'!B:D,3,0))</f>
        <v>Military equipment</v>
      </c>
      <c r="L1734" s="1187">
        <f>VLOOKUP(I1734,'Price List, Weapons &amp; Items'!B:E,4,0)</f>
        <v>0</v>
      </c>
      <c r="M1734" s="1188" t="s">
        <v>374</v>
      </c>
      <c r="N1734" s="1188" t="s">
        <v>374</v>
      </c>
      <c r="O1734" s="1188" t="str">
        <f>VLOOKUP($I1734,'Price List, Weapons &amp; Items'!B:G,6,0)</f>
        <v>.</v>
      </c>
      <c r="P1734" s="1185" t="str">
        <f t="shared" si="372"/>
        <v>.</v>
      </c>
      <c r="Q1734" s="1185" t="str">
        <f t="shared" si="373"/>
        <v>.</v>
      </c>
      <c r="R1734" s="1185" t="str">
        <f t="shared" si="369"/>
        <v/>
      </c>
      <c r="S1734" s="1185" t="str">
        <f>IF(AND(AD1734=1,R1734&lt;&gt;".")=TRUE,R1734/VLOOKUP(G1734,'Exchange Rates'!B:C,2,0),IF(R1734=".",".",""))</f>
        <v/>
      </c>
      <c r="T1734" s="1185" t="str">
        <f>IF(AD1734=1,IF(AF1734="Value is not given at all",".",IF(AF1734="Value is given by the source",S1734,IF(AF1734="Value is calculated with prices",(IF(SUMIFS(Q:Q,A:A,A1734)&gt;0,SUMIFS(Q:Q,A:A,A1734),"."))/VLOOKUP("USD",'Exchange Rates'!B:C,2,0),"Error with coding"))),"")</f>
        <v/>
      </c>
      <c r="U1734" s="1184" t="s">
        <v>365</v>
      </c>
      <c r="V1734" s="1017" t="s">
        <v>4306</v>
      </c>
      <c r="W1734" s="983" t="s">
        <v>3978</v>
      </c>
      <c r="X1734" s="980" t="s">
        <v>3982</v>
      </c>
      <c r="Y1734" s="966" t="s">
        <v>4097</v>
      </c>
      <c r="Z1734" s="1184">
        <v>0</v>
      </c>
      <c r="AA1734" s="1194">
        <v>0</v>
      </c>
      <c r="AB1734" s="1000" t="s">
        <v>364</v>
      </c>
      <c r="AC1734" s="1192" t="str">
        <f>""</f>
        <v/>
      </c>
      <c r="AD1734" s="1193">
        <v>0</v>
      </c>
      <c r="AE1734" s="1193" t="s">
        <v>368</v>
      </c>
      <c r="AF1734" s="1193" t="s">
        <v>369</v>
      </c>
      <c r="AG1734" s="1193">
        <v>1</v>
      </c>
      <c r="AH1734" s="1193">
        <v>12</v>
      </c>
      <c r="AI1734" s="1193">
        <v>0</v>
      </c>
      <c r="AJ1734" s="1193">
        <f>VLOOKUP($I1734,'Price List, Weapons &amp; Items'!B:F,5,0)</f>
        <v>0</v>
      </c>
      <c r="AK1734" s="1193">
        <f t="shared" si="374"/>
        <v>0</v>
      </c>
      <c r="AL1734" s="1193">
        <f t="shared" si="375"/>
        <v>0</v>
      </c>
      <c r="AM1734" s="1193">
        <f t="shared" si="376"/>
        <v>0</v>
      </c>
      <c r="AN1734" s="1194" t="str">
        <f>VLOOKUP($I1734,'Price List, Weapons &amp; Items'!B:L,COLUMN('Price List, Weapons &amp; Items'!$J$11)-1,0)</f>
        <v>.</v>
      </c>
      <c r="AO1734" s="1194" t="str">
        <f>IF(I1734=".",".",VLOOKUP($I1734,'Price List, Weapons &amp; Items'!B:J,3,0))</f>
        <v>Military equipment</v>
      </c>
      <c r="AP1734" s="1195" t="str">
        <f t="shared" ca="1" si="370"/>
        <v/>
      </c>
      <c r="AQ1734" s="1194" t="str">
        <f>VLOOKUP($I1734,'Price List, Weapons &amp; Items'!B:L,COLUMN('Price List, Weapons &amp; Items'!$L$11)-1,0)</f>
        <v>no price, 0 count</v>
      </c>
      <c r="AR1734" s="1194">
        <f t="shared" si="377"/>
        <v>1</v>
      </c>
      <c r="AS1734" s="1194">
        <f t="shared" si="378"/>
        <v>1</v>
      </c>
      <c r="AT1734" s="1194">
        <f t="shared" si="379"/>
        <v>1</v>
      </c>
      <c r="AU1734" s="1194" t="str">
        <f t="shared" si="368"/>
        <v>.</v>
      </c>
      <c r="AV1734" s="1194" t="str">
        <f t="shared" si="371"/>
        <v>.</v>
      </c>
      <c r="AW1734" s="1194" t="str">
        <f t="shared" si="380"/>
        <v>.</v>
      </c>
      <c r="AX1734" s="1194">
        <f>IFERROR(VLOOKUP(B1734,'Share, Heavy Weapons to Ukraine'!B:Z,COLUMN('Share, Heavy Weapons to Ukraine'!C1745)-1,0),0)</f>
        <v>1</v>
      </c>
      <c r="AY1734" s="1194">
        <f>VLOOKUP('Bilateral Assistance, MAIN DATA'!B1734,'Country Summary (€)'!B:F,COLUMN('Country Summary (€)'!C1746)-1,FALSE)</f>
        <v>0</v>
      </c>
      <c r="AZ1734" s="1194" t="str">
        <f>IF(AND(AD1734=1,D1734="Military",H1734&lt;&gt;"Not given")=TRUE,IF(SUMIFS(P:P,A:A,A1734)&gt;0,ABS((SUMIFS(P:P,A:A,A1734)/VLOOKUP("USD",'Exchange Rates'!B:C,2,0)))/S1734,"."),".")</f>
        <v>.</v>
      </c>
      <c r="BA1734" s="1196" t="str">
        <f>IF(AND(AD1734=1,D1734="Military",H1734&lt;&gt;"Not given")=TRUE,IF(SUMIFS(P:P,A:A,A1734)&gt;0,IF((ABS((SUMIFS(P:P,A:A,A1734)/VLOOKUP("USD",'Exchange Rates'!B:C,2,0)))/S1734)&gt;1,(SUMIFS(P:P,A:A,A1734)-S1734)/S1734,(S1734-SUMIFS(P:P,A:A,A1734))/SUMIFS(P:P,A:A,A1734)),"."),".")</f>
        <v>.</v>
      </c>
    </row>
    <row r="1735" spans="1:53" ht="15.95" customHeight="1">
      <c r="A1735" s="1208" t="s">
        <v>4310</v>
      </c>
      <c r="B1735" s="1208" t="s">
        <v>3949</v>
      </c>
      <c r="C1735" s="1220">
        <v>44901</v>
      </c>
      <c r="D1735" s="1208" t="s">
        <v>389</v>
      </c>
      <c r="E1735" s="1208" t="s">
        <v>390</v>
      </c>
      <c r="F1735" s="1263" t="s">
        <v>4311</v>
      </c>
      <c r="G1735" s="1184" t="s">
        <v>456</v>
      </c>
      <c r="H1735" s="1221">
        <v>10800000000</v>
      </c>
      <c r="I1735" s="1180" t="s">
        <v>364</v>
      </c>
      <c r="J1735" s="1186" t="str">
        <f>VLOOKUP($I1735,'Price List, Weapons &amp; Items'!B:C,2,0)</f>
        <v>.</v>
      </c>
      <c r="K1735" s="1186" t="str">
        <f>IF(I1735=".",I1735,VLOOKUP($I1735,'Price List, Weapons &amp; Items'!B:D,3,0))</f>
        <v>.</v>
      </c>
      <c r="L1735" s="1187">
        <f>VLOOKUP(I1735,'Price List, Weapons &amp; Items'!B:E,4,0)</f>
        <v>0</v>
      </c>
      <c r="M1735" s="1188" t="s">
        <v>364</v>
      </c>
      <c r="N1735" s="1188" t="s">
        <v>364</v>
      </c>
      <c r="O1735" s="1188" t="str">
        <f>VLOOKUP($I1735,'Price List, Weapons &amp; Items'!B:G,6,0)</f>
        <v>.</v>
      </c>
      <c r="P1735" s="1185" t="str">
        <f t="shared" si="372"/>
        <v>.</v>
      </c>
      <c r="Q1735" s="1185" t="str">
        <f t="shared" si="373"/>
        <v>.</v>
      </c>
      <c r="R1735" s="1185">
        <f t="shared" si="369"/>
        <v>10800000000</v>
      </c>
      <c r="S1735" s="1185">
        <f>IF(AND(AD1735=1,R1735&lt;&gt;".")=TRUE,R1735/VLOOKUP(G1735,'Exchange Rates'!B:C,2,0),IF(R1735=".",".",""))</f>
        <v>9937430990.0625687</v>
      </c>
      <c r="T1735" s="1185" t="str">
        <f>IF(AD1735=1,IF(AF1735="Value is not given at all",".",IF(AF1735="Value is given by the source",S1735,IF(AF1735="Value is calculated with prices",(IF(SUMIFS(Q:Q,A:A,A1735)&gt;0,SUMIFS(Q:Q,A:A,A1735),"."))/VLOOKUP("USD",'Exchange Rates'!B:C,2,0),"Error with coding"))),"")</f>
        <v>.</v>
      </c>
      <c r="U1735" s="1184" t="s">
        <v>365</v>
      </c>
      <c r="V1735" s="983" t="s">
        <v>3978</v>
      </c>
      <c r="W1735" s="980" t="s">
        <v>3982</v>
      </c>
      <c r="X1735" s="980" t="s">
        <v>3989</v>
      </c>
      <c r="Y1735" s="1190" t="s">
        <v>364</v>
      </c>
      <c r="Z1735" s="1184">
        <v>0</v>
      </c>
      <c r="AA1735" s="1194">
        <v>0</v>
      </c>
      <c r="AB1735" s="1180" t="s">
        <v>364</v>
      </c>
      <c r="AC1735" s="1192" t="str">
        <f>""</f>
        <v/>
      </c>
      <c r="AD1735" s="1193">
        <v>1</v>
      </c>
      <c r="AE1735" s="1193" t="s">
        <v>368</v>
      </c>
      <c r="AF1735" s="1193" t="s">
        <v>369</v>
      </c>
      <c r="AG1735" s="1193">
        <v>1</v>
      </c>
      <c r="AH1735" s="1193">
        <v>12</v>
      </c>
      <c r="AI1735" s="1193">
        <v>0</v>
      </c>
      <c r="AJ1735" s="1193">
        <f>VLOOKUP($I1735,'Price List, Weapons &amp; Items'!B:F,5,0)</f>
        <v>0</v>
      </c>
      <c r="AK1735" s="1193">
        <f t="shared" si="374"/>
        <v>0</v>
      </c>
      <c r="AL1735" s="1193">
        <f t="shared" si="375"/>
        <v>0</v>
      </c>
      <c r="AM1735" s="1193">
        <f t="shared" si="376"/>
        <v>0</v>
      </c>
      <c r="AN1735" s="1194" t="str">
        <f>VLOOKUP($I1735,'Price List, Weapons &amp; Items'!B:L,COLUMN('Price List, Weapons &amp; Items'!$J$11)-1,0)</f>
        <v>.</v>
      </c>
      <c r="AO1735" s="1194" t="str">
        <f>IF(I1735=".",".",VLOOKUP($I1735,'Price List, Weapons &amp; Items'!B:J,3,0))</f>
        <v>.</v>
      </c>
      <c r="AP1735" s="1195" t="str">
        <f t="shared" ca="1" si="370"/>
        <v>.</v>
      </c>
      <c r="AQ1735" s="1194">
        <f>VLOOKUP($I1735,'Price List, Weapons &amp; Items'!B:L,COLUMN('Price List, Weapons &amp; Items'!$L$11)-1,0)</f>
        <v>0</v>
      </c>
      <c r="AR1735" s="1194">
        <f t="shared" si="377"/>
        <v>1</v>
      </c>
      <c r="AS1735" s="1194">
        <f t="shared" si="378"/>
        <v>1</v>
      </c>
      <c r="AT1735" s="1194">
        <f t="shared" si="379"/>
        <v>1</v>
      </c>
      <c r="AU1735" s="1194" t="str">
        <f t="shared" si="368"/>
        <v>.</v>
      </c>
      <c r="AV1735" s="1194" t="str">
        <f t="shared" si="371"/>
        <v>.</v>
      </c>
      <c r="AW1735" s="1194" t="str">
        <f t="shared" si="380"/>
        <v>.</v>
      </c>
      <c r="AX1735" s="1194">
        <f>IFERROR(VLOOKUP(B1735,'Share, Heavy Weapons to Ukraine'!B:Z,COLUMN('Share, Heavy Weapons to Ukraine'!C1746)-1,0),0)</f>
        <v>1</v>
      </c>
      <c r="AY1735" s="1194">
        <f>VLOOKUP('Bilateral Assistance, MAIN DATA'!B1735,'Country Summary (€)'!B:F,COLUMN('Country Summary (€)'!C1747)-1,FALSE)</f>
        <v>0</v>
      </c>
      <c r="AZ1735" s="1194">
        <f>IF(AND(AD1735=1,D1735="Military",H1735&lt;&gt;"Not given")=TRUE,IF(SUMIFS(P:P,A:A,A1735)&gt;0,ABS((SUMIFS(P:P,A:A,A1735)/VLOOKUP("USD",'Exchange Rates'!B:C,2,0)))/S1735,"."),".")</f>
        <v>0.28750870247412352</v>
      </c>
      <c r="BA1735" s="1196">
        <f>IF(AND(AD1735=1,D1735="Military",H1735&lt;&gt;"Not given")=TRUE,IF(SUMIFS(P:P,A:A,A1735)&gt;0,IF((ABS((SUMIFS(P:P,A:A,A1735)/VLOOKUP("USD",'Exchange Rates'!B:C,2,0)))/S1735)&gt;1,(SUMIFS(P:P,A:A,A1735)-S1735)/S1735,(S1735-SUMIFS(P:P,A:A,A1735))/SUMIFS(P:P,A:A,A1735)),"."),".")</f>
        <v>2.2003639930261998</v>
      </c>
    </row>
    <row r="1736" spans="1:53" ht="15.95" customHeight="1">
      <c r="A1736" s="1208" t="s">
        <v>4310</v>
      </c>
      <c r="B1736" s="1208" t="s">
        <v>3949</v>
      </c>
      <c r="C1736" s="1220">
        <v>44932</v>
      </c>
      <c r="D1736" s="1208" t="s">
        <v>389</v>
      </c>
      <c r="E1736" s="1208" t="s">
        <v>390</v>
      </c>
      <c r="F1736" s="1263" t="s">
        <v>4312</v>
      </c>
      <c r="G1736" s="1184" t="s">
        <v>456</v>
      </c>
      <c r="H1736" s="1221">
        <v>2850000000</v>
      </c>
      <c r="I1736" s="1180" t="s">
        <v>364</v>
      </c>
      <c r="J1736" s="1186" t="str">
        <f>VLOOKUP($I1736,'Price List, Weapons &amp; Items'!B:C,2,0)</f>
        <v>.</v>
      </c>
      <c r="K1736" s="1186" t="str">
        <f>IF(I1736=".",I1736,VLOOKUP($I1736,'Price List, Weapons &amp; Items'!B:D,3,0))</f>
        <v>.</v>
      </c>
      <c r="L1736" s="1187">
        <f>VLOOKUP(I1736,'Price List, Weapons &amp; Items'!B:E,4,0)</f>
        <v>0</v>
      </c>
      <c r="M1736" s="1188" t="s">
        <v>364</v>
      </c>
      <c r="N1736" s="1188" t="s">
        <v>364</v>
      </c>
      <c r="O1736" s="1188" t="str">
        <f>VLOOKUP($I1736,'Price List, Weapons &amp; Items'!B:G,6,0)</f>
        <v>.</v>
      </c>
      <c r="P1736" s="1185" t="str">
        <f t="shared" si="372"/>
        <v>.</v>
      </c>
      <c r="Q1736" s="1185" t="str">
        <f t="shared" si="373"/>
        <v>.</v>
      </c>
      <c r="R1736" s="1185" t="str">
        <f t="shared" si="369"/>
        <v/>
      </c>
      <c r="S1736" s="1185" t="str">
        <f>IF(AND(AD1736=1,R1736&lt;&gt;".")=TRUE,R1736/VLOOKUP(G1736,'Exchange Rates'!B:C,2,0),IF(R1736=".",".",""))</f>
        <v/>
      </c>
      <c r="T1736" s="1185" t="str">
        <f>IF(AD1736=1,IF(AF1736="Value is not given at all",".",IF(AF1736="Value is given by the source",S1736,IF(AF1736="Value is calculated with prices",(IF(SUMIFS(Q:Q,A:A,A1736)&gt;0,SUMIFS(Q:Q,A:A,A1736),"."))/VLOOKUP("USD",'Exchange Rates'!B:C,2,0),"Error with coding"))),"")</f>
        <v/>
      </c>
      <c r="U1736" s="1184" t="s">
        <v>365</v>
      </c>
      <c r="V1736" s="966" t="s">
        <v>4313</v>
      </c>
      <c r="W1736" s="983" t="s">
        <v>3978</v>
      </c>
      <c r="X1736" s="980" t="s">
        <v>3982</v>
      </c>
      <c r="Y1736" s="980" t="s">
        <v>3989</v>
      </c>
      <c r="Z1736" s="1184">
        <v>0</v>
      </c>
      <c r="AA1736" s="1194">
        <v>0</v>
      </c>
      <c r="AB1736" s="1180" t="s">
        <v>364</v>
      </c>
      <c r="AC1736" s="1192" t="str">
        <f>""</f>
        <v/>
      </c>
      <c r="AD1736" s="1193">
        <v>0</v>
      </c>
      <c r="AE1736" s="1193" t="s">
        <v>368</v>
      </c>
      <c r="AF1736" s="1193" t="s">
        <v>369</v>
      </c>
      <c r="AG1736" s="1193">
        <v>1</v>
      </c>
      <c r="AH1736" s="1193">
        <v>13</v>
      </c>
      <c r="AI1736" s="1193">
        <v>0</v>
      </c>
      <c r="AJ1736" s="1193">
        <f>VLOOKUP($I1736,'Price List, Weapons &amp; Items'!B:F,5,0)</f>
        <v>0</v>
      </c>
      <c r="AK1736" s="1193">
        <f t="shared" si="374"/>
        <v>0</v>
      </c>
      <c r="AL1736" s="1193">
        <f t="shared" si="375"/>
        <v>0</v>
      </c>
      <c r="AM1736" s="1193">
        <f t="shared" si="376"/>
        <v>0</v>
      </c>
      <c r="AN1736" s="1194" t="str">
        <f>VLOOKUP($I1736,'Price List, Weapons &amp; Items'!B:L,COLUMN('Price List, Weapons &amp; Items'!$J$11)-1,0)</f>
        <v>.</v>
      </c>
      <c r="AO1736" s="1194" t="str">
        <f>IF(I1736=".",".",VLOOKUP($I1736,'Price List, Weapons &amp; Items'!B:J,3,0))</f>
        <v>.</v>
      </c>
      <c r="AP1736" s="1195" t="str">
        <f t="shared" ca="1" si="370"/>
        <v/>
      </c>
      <c r="AQ1736" s="1194">
        <f>VLOOKUP($I1736,'Price List, Weapons &amp; Items'!B:L,COLUMN('Price List, Weapons &amp; Items'!$L$11)-1,0)</f>
        <v>0</v>
      </c>
      <c r="AR1736" s="1194">
        <f t="shared" si="377"/>
        <v>1</v>
      </c>
      <c r="AS1736" s="1194">
        <f t="shared" si="378"/>
        <v>1</v>
      </c>
      <c r="AT1736" s="1194">
        <f t="shared" si="379"/>
        <v>1</v>
      </c>
      <c r="AU1736" s="1194" t="str">
        <f t="shared" si="368"/>
        <v>.</v>
      </c>
      <c r="AV1736" s="1194" t="str">
        <f t="shared" si="371"/>
        <v>.</v>
      </c>
      <c r="AW1736" s="1194" t="str">
        <f t="shared" si="380"/>
        <v>.</v>
      </c>
      <c r="AX1736" s="1194">
        <f>IFERROR(VLOOKUP(B1736,'Share, Heavy Weapons to Ukraine'!B:Z,COLUMN('Share, Heavy Weapons to Ukraine'!C1747)-1,0),0)</f>
        <v>1</v>
      </c>
      <c r="AY1736" s="1194">
        <f>VLOOKUP('Bilateral Assistance, MAIN DATA'!B1736,'Country Summary (€)'!B:F,COLUMN('Country Summary (€)'!C1748)-1,FALSE)</f>
        <v>0</v>
      </c>
      <c r="AZ1736" s="1194" t="str">
        <f>IF(AND(AD1736=1,D1736="Military",H1736&lt;&gt;"Not given")=TRUE,IF(SUMIFS(P:P,A:A,A1736)&gt;0,ABS((SUMIFS(P:P,A:A,A1736)/VLOOKUP("USD",'Exchange Rates'!B:C,2,0)))/S1736,"."),".")</f>
        <v>.</v>
      </c>
      <c r="BA1736" s="1196" t="str">
        <f>IF(AND(AD1736=1,D1736="Military",H1736&lt;&gt;"Not given")=TRUE,IF(SUMIFS(P:P,A:A,A1736)&gt;0,IF((ABS((SUMIFS(P:P,A:A,A1736)/VLOOKUP("USD",'Exchange Rates'!B:C,2,0)))/S1736)&gt;1,(SUMIFS(P:P,A:A,A1736)-S1736)/S1736,(S1736-SUMIFS(P:P,A:A,A1736))/SUMIFS(P:P,A:A,A1736)),"."),".")</f>
        <v>.</v>
      </c>
    </row>
    <row r="1737" spans="1:53" ht="15.95" customHeight="1">
      <c r="A1737" s="1208" t="s">
        <v>4310</v>
      </c>
      <c r="B1737" s="1208" t="s">
        <v>3949</v>
      </c>
      <c r="C1737" s="1220">
        <v>44932</v>
      </c>
      <c r="D1737" s="1208" t="s">
        <v>389</v>
      </c>
      <c r="E1737" s="1208" t="s">
        <v>390</v>
      </c>
      <c r="F1737" s="1263" t="s">
        <v>4312</v>
      </c>
      <c r="G1737" s="1184" t="s">
        <v>456</v>
      </c>
      <c r="H1737" s="1221">
        <v>2850000000</v>
      </c>
      <c r="I1737" s="1180" t="s">
        <v>4314</v>
      </c>
      <c r="J1737" s="1186" t="str">
        <f>VLOOKUP($I1737,'Price List, Weapons &amp; Items'!B:C,2,0)</f>
        <v>Heavy weapon</v>
      </c>
      <c r="K1737" s="1186" t="str">
        <f>IF(I1737=".",I1737,VLOOKUP($I1737,'Price List, Weapons &amp; Items'!B:D,3,0))</f>
        <v>Infantry fighting vehicle (IFV)</v>
      </c>
      <c r="L1737" s="1187">
        <f>VLOOKUP(I1737,'Price List, Weapons &amp; Items'!B:E,4,0)</f>
        <v>0</v>
      </c>
      <c r="M1737" s="1188">
        <v>50</v>
      </c>
      <c r="N1737" s="1188" t="s">
        <v>374</v>
      </c>
      <c r="O1737" s="1188">
        <f>VLOOKUP($I1737,'Price List, Weapons &amp; Items'!B:G,6,0)</f>
        <v>1900000</v>
      </c>
      <c r="P1737" s="1185">
        <f t="shared" si="372"/>
        <v>95000000</v>
      </c>
      <c r="Q1737" s="1185" t="str">
        <f t="shared" si="373"/>
        <v>.</v>
      </c>
      <c r="R1737" s="1185" t="str">
        <f t="shared" si="369"/>
        <v/>
      </c>
      <c r="S1737" s="1185" t="str">
        <f>IF(AND(AD1737=1,R1737&lt;&gt;".")=TRUE,R1737/VLOOKUP(G1737,'Exchange Rates'!B:C,2,0),IF(R1737=".",".",""))</f>
        <v/>
      </c>
      <c r="T1737" s="1185" t="str">
        <f>IF(AD1737=1,IF(AF1737="Value is not given at all",".",IF(AF1737="Value is given by the source",S1737,IF(AF1737="Value is calculated with prices",(IF(SUMIFS(Q:Q,A:A,A1737)&gt;0,SUMIFS(Q:Q,A:A,A1737),"."))/VLOOKUP("USD",'Exchange Rates'!B:C,2,0),"Error with coding"))),"")</f>
        <v/>
      </c>
      <c r="U1737" s="1184" t="s">
        <v>365</v>
      </c>
      <c r="V1737" s="966" t="s">
        <v>4313</v>
      </c>
      <c r="W1737" s="983" t="s">
        <v>3978</v>
      </c>
      <c r="X1737" s="980" t="s">
        <v>3982</v>
      </c>
      <c r="Y1737" s="980" t="s">
        <v>3992</v>
      </c>
      <c r="Z1737" s="1184">
        <v>0</v>
      </c>
      <c r="AA1737" s="1194">
        <v>0</v>
      </c>
      <c r="AB1737" s="1180" t="s">
        <v>364</v>
      </c>
      <c r="AC1737" s="1192" t="str">
        <f>""</f>
        <v/>
      </c>
      <c r="AD1737" s="1193">
        <v>0</v>
      </c>
      <c r="AE1737" s="1193" t="s">
        <v>368</v>
      </c>
      <c r="AF1737" s="1193" t="s">
        <v>369</v>
      </c>
      <c r="AG1737" s="1193">
        <v>1</v>
      </c>
      <c r="AH1737" s="1193">
        <v>13</v>
      </c>
      <c r="AI1737" s="1193">
        <v>0</v>
      </c>
      <c r="AJ1737" s="1193">
        <f>VLOOKUP($I1737,'Price List, Weapons &amp; Items'!B:F,5,0)</f>
        <v>1</v>
      </c>
      <c r="AK1737" s="1193">
        <f t="shared" si="374"/>
        <v>0</v>
      </c>
      <c r="AL1737" s="1193">
        <f t="shared" si="375"/>
        <v>1</v>
      </c>
      <c r="AM1737" s="1193">
        <f t="shared" si="376"/>
        <v>0</v>
      </c>
      <c r="AN1737" s="1194" t="str">
        <f>VLOOKUP($I1737,'Price List, Weapons &amp; Items'!B:L,COLUMN('Price List, Weapons &amp; Items'!$J$11)-1,0)</f>
        <v>Contracts</v>
      </c>
      <c r="AO1737" s="1194" t="str">
        <f>IF(I1737=".",".",VLOOKUP($I1737,'Price List, Weapons &amp; Items'!B:J,3,0))</f>
        <v>Infantry fighting vehicle (IFV)</v>
      </c>
      <c r="AP1737" s="1195" t="str">
        <f t="shared" ca="1" si="370"/>
        <v/>
      </c>
      <c r="AQ1737" s="1194">
        <f>VLOOKUP($I1737,'Price List, Weapons &amp; Items'!B:L,COLUMN('Price List, Weapons &amp; Items'!$L$11)-1,0)</f>
        <v>2</v>
      </c>
      <c r="AR1737" s="1194">
        <f t="shared" si="377"/>
        <v>1</v>
      </c>
      <c r="AS1737" s="1194">
        <f t="shared" si="378"/>
        <v>1</v>
      </c>
      <c r="AT1737" s="1194">
        <f t="shared" si="379"/>
        <v>1</v>
      </c>
      <c r="AU1737" s="1194" t="str">
        <f t="shared" si="368"/>
        <v>.</v>
      </c>
      <c r="AV1737" s="1194" t="str">
        <f t="shared" si="371"/>
        <v>.</v>
      </c>
      <c r="AW1737" s="1194" t="str">
        <f t="shared" si="380"/>
        <v>.</v>
      </c>
      <c r="AX1737" s="1194">
        <f>IFERROR(VLOOKUP(B1737,'Share, Heavy Weapons to Ukraine'!B:Z,COLUMN('Share, Heavy Weapons to Ukraine'!C1748)-1,0),0)</f>
        <v>1</v>
      </c>
      <c r="AY1737" s="1194">
        <f>VLOOKUP('Bilateral Assistance, MAIN DATA'!B1737,'Country Summary (€)'!B:F,COLUMN('Country Summary (€)'!C1749)-1,FALSE)</f>
        <v>0</v>
      </c>
      <c r="AZ1737" s="1194" t="str">
        <f>IF(AND(AD1737=1,D1737="Military",H1737&lt;&gt;"Not given")=TRUE,IF(SUMIFS(P:P,A:A,A1737)&gt;0,ABS((SUMIFS(P:P,A:A,A1737)/VLOOKUP("USD",'Exchange Rates'!B:C,2,0)))/S1737,"."),".")</f>
        <v>.</v>
      </c>
      <c r="BA1737" s="1196" t="str">
        <f>IF(AND(AD1737=1,D1737="Military",H1737&lt;&gt;"Not given")=TRUE,IF(SUMIFS(P:P,A:A,A1737)&gt;0,IF((ABS((SUMIFS(P:P,A:A,A1737)/VLOOKUP("USD",'Exchange Rates'!B:C,2,0)))/S1737)&gt;1,(SUMIFS(P:P,A:A,A1737)-S1737)/S1737,(S1737-SUMIFS(P:P,A:A,A1737))/SUMIFS(P:P,A:A,A1737)),"."),".")</f>
        <v>.</v>
      </c>
    </row>
    <row r="1738" spans="1:53" ht="15.95" customHeight="1">
      <c r="A1738" s="1208" t="s">
        <v>4310</v>
      </c>
      <c r="B1738" s="1208" t="s">
        <v>3949</v>
      </c>
      <c r="C1738" s="1220">
        <v>44932</v>
      </c>
      <c r="D1738" s="1208" t="s">
        <v>389</v>
      </c>
      <c r="E1738" s="1208" t="s">
        <v>390</v>
      </c>
      <c r="F1738" s="1263" t="s">
        <v>4312</v>
      </c>
      <c r="G1738" s="1184" t="s">
        <v>456</v>
      </c>
      <c r="H1738" s="1221">
        <v>2850000000</v>
      </c>
      <c r="I1738" s="1180" t="s">
        <v>4315</v>
      </c>
      <c r="J1738" s="1186" t="str">
        <f>VLOOKUP($I1738,'Price List, Weapons &amp; Items'!B:C,2,0)</f>
        <v>Ammunition for heavy weapon</v>
      </c>
      <c r="K1738" s="1186" t="str">
        <f>IF(I1738=".",I1738,VLOOKUP($I1738,'Price List, Weapons &amp; Items'!B:D,3,0))</f>
        <v>missile</v>
      </c>
      <c r="L1738" s="1187">
        <f>VLOOKUP(I1738,'Price List, Weapons &amp; Items'!B:E,4,0)</f>
        <v>0</v>
      </c>
      <c r="M1738" s="1188">
        <v>500</v>
      </c>
      <c r="N1738" s="1188" t="s">
        <v>374</v>
      </c>
      <c r="O1738" s="1188">
        <f>VLOOKUP($I1738,'Price List, Weapons &amp; Items'!B:G,6,0)</f>
        <v>9000</v>
      </c>
      <c r="P1738" s="1185">
        <f t="shared" si="372"/>
        <v>4500000</v>
      </c>
      <c r="Q1738" s="1185" t="str">
        <f t="shared" si="373"/>
        <v>.</v>
      </c>
      <c r="R1738" s="1185" t="str">
        <f t="shared" si="369"/>
        <v/>
      </c>
      <c r="S1738" s="1185" t="str">
        <f>IF(AND(AD1738=1,R1738&lt;&gt;".")=TRUE,R1738/VLOOKUP(G1738,'Exchange Rates'!B:C,2,0),IF(R1738=".",".",""))</f>
        <v/>
      </c>
      <c r="T1738" s="1185" t="str">
        <f>IF(AD1738=1,IF(AF1738="Value is not given at all",".",IF(AF1738="Value is given by the source",S1738,IF(AF1738="Value is calculated with prices",(IF(SUMIFS(Q:Q,A:A,A1738)&gt;0,SUMIFS(Q:Q,A:A,A1738),"."))/VLOOKUP("USD",'Exchange Rates'!B:C,2,0),"Error with coding"))),"")</f>
        <v/>
      </c>
      <c r="U1738" s="1184" t="s">
        <v>365</v>
      </c>
      <c r="V1738" s="966" t="s">
        <v>4313</v>
      </c>
      <c r="W1738" s="983" t="s">
        <v>3978</v>
      </c>
      <c r="X1738" s="980" t="s">
        <v>3982</v>
      </c>
      <c r="Y1738" s="980" t="s">
        <v>3994</v>
      </c>
      <c r="Z1738" s="1184">
        <v>0</v>
      </c>
      <c r="AA1738" s="1194">
        <v>0</v>
      </c>
      <c r="AB1738" s="1180" t="s">
        <v>364</v>
      </c>
      <c r="AC1738" s="1192" t="str">
        <f>""</f>
        <v/>
      </c>
      <c r="AD1738" s="1193">
        <v>0</v>
      </c>
      <c r="AE1738" s="1193" t="s">
        <v>368</v>
      </c>
      <c r="AF1738" s="1193" t="s">
        <v>369</v>
      </c>
      <c r="AG1738" s="1193">
        <v>1</v>
      </c>
      <c r="AH1738" s="1193">
        <v>13</v>
      </c>
      <c r="AI1738" s="1193">
        <v>0</v>
      </c>
      <c r="AJ1738" s="1193">
        <f>VLOOKUP($I1738,'Price List, Weapons &amp; Items'!B:F,5,0)</f>
        <v>0</v>
      </c>
      <c r="AK1738" s="1193">
        <f t="shared" si="374"/>
        <v>0</v>
      </c>
      <c r="AL1738" s="1193">
        <f t="shared" si="375"/>
        <v>0</v>
      </c>
      <c r="AM1738" s="1193">
        <f t="shared" si="376"/>
        <v>0</v>
      </c>
      <c r="AN1738" s="1194" t="str">
        <f>VLOOKUP($I1738,'Price List, Weapons &amp; Items'!B:L,COLUMN('Price List, Weapons &amp; Items'!$J$11)-1,0)</f>
        <v>Media reports (incl. social media)</v>
      </c>
      <c r="AO1738" s="1194" t="str">
        <f>IF(I1738=".",".",VLOOKUP($I1738,'Price List, Weapons &amp; Items'!B:J,3,0))</f>
        <v>missile</v>
      </c>
      <c r="AP1738" s="1195" t="str">
        <f t="shared" ca="1" si="370"/>
        <v/>
      </c>
      <c r="AQ1738" s="1194">
        <f>VLOOKUP($I1738,'Price List, Weapons &amp; Items'!B:L,COLUMN('Price List, Weapons &amp; Items'!$L$11)-1,0)</f>
        <v>2</v>
      </c>
      <c r="AR1738" s="1194">
        <f t="shared" si="377"/>
        <v>1</v>
      </c>
      <c r="AS1738" s="1194">
        <f t="shared" si="378"/>
        <v>1</v>
      </c>
      <c r="AT1738" s="1194">
        <f t="shared" si="379"/>
        <v>1</v>
      </c>
      <c r="AU1738" s="1194" t="str">
        <f t="shared" si="368"/>
        <v>.</v>
      </c>
      <c r="AV1738" s="1194" t="str">
        <f t="shared" si="371"/>
        <v>.</v>
      </c>
      <c r="AW1738" s="1194" t="str">
        <f t="shared" si="380"/>
        <v>.</v>
      </c>
      <c r="AX1738" s="1194">
        <f>IFERROR(VLOOKUP(B1738,'Share, Heavy Weapons to Ukraine'!B:Z,COLUMN('Share, Heavy Weapons to Ukraine'!C1749)-1,0),0)</f>
        <v>1</v>
      </c>
      <c r="AY1738" s="1194">
        <f>VLOOKUP('Bilateral Assistance, MAIN DATA'!B1738,'Country Summary (€)'!B:F,COLUMN('Country Summary (€)'!C1750)-1,FALSE)</f>
        <v>0</v>
      </c>
      <c r="AZ1738" s="1194" t="str">
        <f>IF(AND(AD1738=1,D1738="Military",H1738&lt;&gt;"Not given")=TRUE,IF(SUMIFS(P:P,A:A,A1738)&gt;0,ABS((SUMIFS(P:P,A:A,A1738)/VLOOKUP("USD",'Exchange Rates'!B:C,2,0)))/S1738,"."),".")</f>
        <v>.</v>
      </c>
      <c r="BA1738" s="1196" t="str">
        <f>IF(AND(AD1738=1,D1738="Military",H1738&lt;&gt;"Not given")=TRUE,IF(SUMIFS(P:P,A:A,A1738)&gt;0,IF((ABS((SUMIFS(P:P,A:A,A1738)/VLOOKUP("USD",'Exchange Rates'!B:C,2,0)))/S1738)&gt;1,(SUMIFS(P:P,A:A,A1738)-S1738)/S1738,(S1738-SUMIFS(P:P,A:A,A1738))/SUMIFS(P:P,A:A,A1738)),"."),".")</f>
        <v>.</v>
      </c>
    </row>
    <row r="1739" spans="1:53" ht="15.95" customHeight="1">
      <c r="A1739" s="1208" t="s">
        <v>4310</v>
      </c>
      <c r="B1739" s="1208" t="s">
        <v>3949</v>
      </c>
      <c r="C1739" s="1220">
        <v>44932</v>
      </c>
      <c r="D1739" s="1208" t="s">
        <v>389</v>
      </c>
      <c r="E1739" s="1208" t="s">
        <v>390</v>
      </c>
      <c r="F1739" s="1263" t="s">
        <v>4312</v>
      </c>
      <c r="G1739" s="1184" t="s">
        <v>456</v>
      </c>
      <c r="H1739" s="1221">
        <v>2850000000</v>
      </c>
      <c r="I1739" s="1180" t="s">
        <v>4316</v>
      </c>
      <c r="J1739" s="1186" t="str">
        <f>VLOOKUP($I1739,'Price List, Weapons &amp; Items'!B:C,2,0)</f>
        <v>Ammunition</v>
      </c>
      <c r="K1739" s="1186" t="str">
        <f>IF(I1739=".",I1739,VLOOKUP($I1739,'Price List, Weapons &amp; Items'!B:D,3,0))</f>
        <v>ammunition</v>
      </c>
      <c r="L1739" s="1187">
        <f>VLOOKUP(I1739,'Price List, Weapons &amp; Items'!B:E,4,0)</f>
        <v>0</v>
      </c>
      <c r="M1739" s="1188">
        <v>250000</v>
      </c>
      <c r="N1739" s="1188" t="s">
        <v>374</v>
      </c>
      <c r="O1739" s="1188">
        <f>VLOOKUP($I1739,'Price List, Weapons &amp; Items'!B:G,6,0)</f>
        <v>140.58000000000001</v>
      </c>
      <c r="P1739" s="1185">
        <f t="shared" si="372"/>
        <v>35145000</v>
      </c>
      <c r="Q1739" s="1185" t="str">
        <f t="shared" si="373"/>
        <v>.</v>
      </c>
      <c r="R1739" s="1185" t="str">
        <f t="shared" si="369"/>
        <v/>
      </c>
      <c r="S1739" s="1185" t="str">
        <f>IF(AND(AD1739=1,R1739&lt;&gt;".")=TRUE,R1739/VLOOKUP(G1739,'Exchange Rates'!B:C,2,0),IF(R1739=".",".",""))</f>
        <v/>
      </c>
      <c r="T1739" s="1185" t="str">
        <f>IF(AD1739=1,IF(AF1739="Value is not given at all",".",IF(AF1739="Value is given by the source",S1739,IF(AF1739="Value is calculated with prices",(IF(SUMIFS(Q:Q,A:A,A1739)&gt;0,SUMIFS(Q:Q,A:A,A1739),"."))/VLOOKUP("USD",'Exchange Rates'!B:C,2,0),"Error with coding"))),"")</f>
        <v/>
      </c>
      <c r="U1739" s="1184" t="s">
        <v>365</v>
      </c>
      <c r="V1739" s="966" t="s">
        <v>4313</v>
      </c>
      <c r="W1739" s="983" t="s">
        <v>3978</v>
      </c>
      <c r="X1739" s="980" t="s">
        <v>3982</v>
      </c>
      <c r="Y1739" s="980" t="s">
        <v>3996</v>
      </c>
      <c r="Z1739" s="1184">
        <v>0</v>
      </c>
      <c r="AA1739" s="1194">
        <v>0</v>
      </c>
      <c r="AB1739" s="1180" t="s">
        <v>364</v>
      </c>
      <c r="AC1739" s="1192" t="str">
        <f>""</f>
        <v/>
      </c>
      <c r="AD1739" s="1193">
        <v>0</v>
      </c>
      <c r="AE1739" s="1193" t="s">
        <v>368</v>
      </c>
      <c r="AF1739" s="1193" t="s">
        <v>369</v>
      </c>
      <c r="AG1739" s="1193">
        <v>1</v>
      </c>
      <c r="AH1739" s="1193">
        <v>13</v>
      </c>
      <c r="AI1739" s="1193">
        <v>0</v>
      </c>
      <c r="AJ1739" s="1193">
        <f>VLOOKUP($I1739,'Price List, Weapons &amp; Items'!B:F,5,0)</f>
        <v>0</v>
      </c>
      <c r="AK1739" s="1193">
        <f t="shared" si="374"/>
        <v>0</v>
      </c>
      <c r="AL1739" s="1193">
        <f t="shared" si="375"/>
        <v>0</v>
      </c>
      <c r="AM1739" s="1193">
        <f t="shared" si="376"/>
        <v>1</v>
      </c>
      <c r="AN1739" s="1194" t="str">
        <f>VLOOKUP($I1739,'Price List, Weapons &amp; Items'!B:L,COLUMN('Price List, Weapons &amp; Items'!$J$11)-1,0)</f>
        <v>Military media (incl. websites)</v>
      </c>
      <c r="AO1739" s="1194" t="str">
        <f>IF(I1739=".",".",VLOOKUP($I1739,'Price List, Weapons &amp; Items'!B:J,3,0))</f>
        <v>ammunition</v>
      </c>
      <c r="AP1739" s="1195" t="str">
        <f t="shared" ca="1" si="370"/>
        <v/>
      </c>
      <c r="AQ1739" s="1194">
        <f>VLOOKUP($I1739,'Price List, Weapons &amp; Items'!B:L,COLUMN('Price List, Weapons &amp; Items'!$L$11)-1,0)</f>
        <v>2</v>
      </c>
      <c r="AR1739" s="1194">
        <f t="shared" si="377"/>
        <v>1</v>
      </c>
      <c r="AS1739" s="1194">
        <f t="shared" si="378"/>
        <v>1</v>
      </c>
      <c r="AT1739" s="1194">
        <f t="shared" si="379"/>
        <v>1</v>
      </c>
      <c r="AU1739" s="1194" t="str">
        <f t="shared" si="368"/>
        <v>.</v>
      </c>
      <c r="AV1739" s="1194" t="str">
        <f t="shared" si="371"/>
        <v>.</v>
      </c>
      <c r="AW1739" s="1194" t="str">
        <f t="shared" si="380"/>
        <v>.</v>
      </c>
      <c r="AX1739" s="1194">
        <f>IFERROR(VLOOKUP(B1739,'Share, Heavy Weapons to Ukraine'!B:Z,COLUMN('Share, Heavy Weapons to Ukraine'!C1750)-1,0),0)</f>
        <v>1</v>
      </c>
      <c r="AY1739" s="1194">
        <f>VLOOKUP('Bilateral Assistance, MAIN DATA'!B1739,'Country Summary (€)'!B:F,COLUMN('Country Summary (€)'!C1751)-1,FALSE)</f>
        <v>0</v>
      </c>
      <c r="AZ1739" s="1194" t="str">
        <f>IF(AND(AD1739=1,D1739="Military",H1739&lt;&gt;"Not given")=TRUE,IF(SUMIFS(P:P,A:A,A1739)&gt;0,ABS((SUMIFS(P:P,A:A,A1739)/VLOOKUP("USD",'Exchange Rates'!B:C,2,0)))/S1739,"."),".")</f>
        <v>.</v>
      </c>
      <c r="BA1739" s="1196" t="str">
        <f>IF(AND(AD1739=1,D1739="Military",H1739&lt;&gt;"Not given")=TRUE,IF(SUMIFS(P:P,A:A,A1739)&gt;0,IF((ABS((SUMIFS(P:P,A:A,A1739)/VLOOKUP("USD",'Exchange Rates'!B:C,2,0)))/S1739)&gt;1,(SUMIFS(P:P,A:A,A1739)-S1739)/S1739,(S1739-SUMIFS(P:P,A:A,A1739))/SUMIFS(P:P,A:A,A1739)),"."),".")</f>
        <v>.</v>
      </c>
    </row>
    <row r="1740" spans="1:53" ht="15.95" customHeight="1">
      <c r="A1740" s="1208" t="s">
        <v>4310</v>
      </c>
      <c r="B1740" s="1208" t="s">
        <v>3949</v>
      </c>
      <c r="C1740" s="1220">
        <v>44932</v>
      </c>
      <c r="D1740" s="1208" t="s">
        <v>389</v>
      </c>
      <c r="E1740" s="1208" t="s">
        <v>390</v>
      </c>
      <c r="F1740" s="1263" t="s">
        <v>4312</v>
      </c>
      <c r="G1740" s="1184" t="s">
        <v>456</v>
      </c>
      <c r="H1740" s="1221">
        <v>2850000000</v>
      </c>
      <c r="I1740" s="1180" t="s">
        <v>4317</v>
      </c>
      <c r="J1740" s="1186" t="str">
        <f>VLOOKUP($I1740,'Price List, Weapons &amp; Items'!B:C,2,0)</f>
        <v>Heavy weapon</v>
      </c>
      <c r="K1740" s="1186" t="str">
        <f>IF(I1740=".",I1740,VLOOKUP($I1740,'Price List, Weapons &amp; Items'!B:D,3,0))</f>
        <v>Armored Personnel Carrier (APC)</v>
      </c>
      <c r="L1740" s="1187">
        <f>VLOOKUP(I1740,'Price List, Weapons &amp; Items'!B:E,4,0)</f>
        <v>0</v>
      </c>
      <c r="M1740" s="1188">
        <v>100</v>
      </c>
      <c r="N1740" s="1188" t="s">
        <v>374</v>
      </c>
      <c r="O1740" s="1188">
        <f>VLOOKUP($I1740,'Price List, Weapons &amp; Items'!B:G,6,0)</f>
        <v>300000</v>
      </c>
      <c r="P1740" s="1185">
        <f t="shared" si="372"/>
        <v>30000000</v>
      </c>
      <c r="Q1740" s="1185" t="str">
        <f t="shared" si="373"/>
        <v>.</v>
      </c>
      <c r="R1740" s="1185" t="str">
        <f t="shared" si="369"/>
        <v/>
      </c>
      <c r="S1740" s="1185" t="str">
        <f>IF(AND(AD1740=1,R1740&lt;&gt;".")=TRUE,R1740/VLOOKUP(G1740,'Exchange Rates'!B:C,2,0),IF(R1740=".",".",""))</f>
        <v/>
      </c>
      <c r="T1740" s="1185" t="str">
        <f>IF(AD1740=1,IF(AF1740="Value is not given at all",".",IF(AF1740="Value is given by the source",S1740,IF(AF1740="Value is calculated with prices",(IF(SUMIFS(Q:Q,A:A,A1740)&gt;0,SUMIFS(Q:Q,A:A,A1740),"."))/VLOOKUP("USD",'Exchange Rates'!B:C,2,0),"Error with coding"))),"")</f>
        <v/>
      </c>
      <c r="U1740" s="1184" t="s">
        <v>365</v>
      </c>
      <c r="V1740" s="966" t="s">
        <v>4313</v>
      </c>
      <c r="W1740" s="983" t="s">
        <v>3978</v>
      </c>
      <c r="X1740" s="980" t="s">
        <v>3982</v>
      </c>
      <c r="Y1740" s="980" t="s">
        <v>3999</v>
      </c>
      <c r="Z1740" s="1184">
        <v>0</v>
      </c>
      <c r="AA1740" s="1194">
        <v>0</v>
      </c>
      <c r="AB1740" s="1180" t="s">
        <v>364</v>
      </c>
      <c r="AC1740" s="1192" t="str">
        <f>""</f>
        <v/>
      </c>
      <c r="AD1740" s="1193">
        <v>0</v>
      </c>
      <c r="AE1740" s="1193" t="s">
        <v>368</v>
      </c>
      <c r="AF1740" s="1193" t="s">
        <v>369</v>
      </c>
      <c r="AG1740" s="1193">
        <v>1</v>
      </c>
      <c r="AH1740" s="1193">
        <v>13</v>
      </c>
      <c r="AI1740" s="1193">
        <v>0</v>
      </c>
      <c r="AJ1740" s="1193">
        <f>VLOOKUP($I1740,'Price List, Weapons &amp; Items'!B:F,5,0)</f>
        <v>1</v>
      </c>
      <c r="AK1740" s="1193">
        <f t="shared" si="374"/>
        <v>0</v>
      </c>
      <c r="AL1740" s="1193">
        <f t="shared" si="375"/>
        <v>1</v>
      </c>
      <c r="AM1740" s="1193">
        <f t="shared" si="376"/>
        <v>0</v>
      </c>
      <c r="AN1740" s="1194" t="str">
        <f>VLOOKUP($I1740,'Price List, Weapons &amp; Items'!B:L,COLUMN('Price List, Weapons &amp; Items'!$J$11)-1,0)</f>
        <v>Military media (incl. websites)</v>
      </c>
      <c r="AO1740" s="1194" t="str">
        <f>IF(I1740=".",".",VLOOKUP($I1740,'Price List, Weapons &amp; Items'!B:J,3,0))</f>
        <v>Armored Personnel Carrier (APC)</v>
      </c>
      <c r="AP1740" s="1195" t="str">
        <f t="shared" ca="1" si="370"/>
        <v/>
      </c>
      <c r="AQ1740" s="1194">
        <f>VLOOKUP($I1740,'Price List, Weapons &amp; Items'!B:L,COLUMN('Price List, Weapons &amp; Items'!$L$11)-1,0)</f>
        <v>2</v>
      </c>
      <c r="AR1740" s="1194">
        <f t="shared" si="377"/>
        <v>1</v>
      </c>
      <c r="AS1740" s="1194">
        <f t="shared" si="378"/>
        <v>1</v>
      </c>
      <c r="AT1740" s="1194">
        <f t="shared" si="379"/>
        <v>1</v>
      </c>
      <c r="AU1740" s="1194" t="str">
        <f t="shared" si="368"/>
        <v>.</v>
      </c>
      <c r="AV1740" s="1194" t="str">
        <f t="shared" si="371"/>
        <v>.</v>
      </c>
      <c r="AW1740" s="1194" t="str">
        <f t="shared" si="380"/>
        <v>.</v>
      </c>
      <c r="AX1740" s="1194">
        <f>IFERROR(VLOOKUP(B1740,'Share, Heavy Weapons to Ukraine'!B:Z,COLUMN('Share, Heavy Weapons to Ukraine'!C1751)-1,0),0)</f>
        <v>1</v>
      </c>
      <c r="AY1740" s="1194">
        <f>VLOOKUP('Bilateral Assistance, MAIN DATA'!B1740,'Country Summary (€)'!B:F,COLUMN('Country Summary (€)'!C1752)-1,FALSE)</f>
        <v>0</v>
      </c>
      <c r="AZ1740" s="1194" t="str">
        <f>IF(AND(AD1740=1,D1740="Military",H1740&lt;&gt;"Not given")=TRUE,IF(SUMIFS(P:P,A:A,A1740)&gt;0,ABS((SUMIFS(P:P,A:A,A1740)/VLOOKUP("USD",'Exchange Rates'!B:C,2,0)))/S1740,"."),".")</f>
        <v>.</v>
      </c>
      <c r="BA1740" s="1196" t="str">
        <f>IF(AND(AD1740=1,D1740="Military",H1740&lt;&gt;"Not given")=TRUE,IF(SUMIFS(P:P,A:A,A1740)&gt;0,IF((ABS((SUMIFS(P:P,A:A,A1740)/VLOOKUP("USD",'Exchange Rates'!B:C,2,0)))/S1740)&gt;1,(SUMIFS(P:P,A:A,A1740)-S1740)/S1740,(S1740-SUMIFS(P:P,A:A,A1740))/SUMIFS(P:P,A:A,A1740)),"."),".")</f>
        <v>.</v>
      </c>
    </row>
    <row r="1741" spans="1:53" ht="15.95" customHeight="1">
      <c r="A1741" s="1208" t="s">
        <v>4310</v>
      </c>
      <c r="B1741" s="1208" t="s">
        <v>3949</v>
      </c>
      <c r="C1741" s="1220">
        <v>44932</v>
      </c>
      <c r="D1741" s="1208" t="s">
        <v>389</v>
      </c>
      <c r="E1741" s="1208" t="s">
        <v>390</v>
      </c>
      <c r="F1741" s="1263" t="s">
        <v>4312</v>
      </c>
      <c r="G1741" s="1184" t="s">
        <v>456</v>
      </c>
      <c r="H1741" s="1221">
        <v>2850000000</v>
      </c>
      <c r="I1741" s="1208" t="s">
        <v>4159</v>
      </c>
      <c r="J1741" s="1186" t="str">
        <f>VLOOKUP($I1741,'Price List, Weapons &amp; Items'!B:C,2,0)</f>
        <v>Heavy Weapon</v>
      </c>
      <c r="K1741" s="1186" t="str">
        <f>IF(I1741=".",I1741,VLOOKUP($I1741,'Price List, Weapons &amp; Items'!B:D,3,0))</f>
        <v>Armored Utility Vehicle (AUV)</v>
      </c>
      <c r="L1741" s="1187">
        <f>VLOOKUP(I1741,'Price List, Weapons &amp; Items'!B:E,4,0)</f>
        <v>0</v>
      </c>
      <c r="M1741" s="1188">
        <v>55</v>
      </c>
      <c r="N1741" s="1188" t="s">
        <v>374</v>
      </c>
      <c r="O1741" s="1188">
        <f>VLOOKUP($I1741,'Price List, Weapons &amp; Items'!B:G,6,0)</f>
        <v>405530</v>
      </c>
      <c r="P1741" s="1185">
        <f t="shared" si="372"/>
        <v>22304150</v>
      </c>
      <c r="Q1741" s="1185" t="str">
        <f t="shared" si="373"/>
        <v>.</v>
      </c>
      <c r="R1741" s="1185" t="str">
        <f t="shared" si="369"/>
        <v/>
      </c>
      <c r="S1741" s="1185" t="str">
        <f>IF(AND(AD1741=1,R1741&lt;&gt;".")=TRUE,R1741/VLOOKUP(G1741,'Exchange Rates'!B:C,2,0),IF(R1741=".",".",""))</f>
        <v/>
      </c>
      <c r="T1741" s="1185" t="str">
        <f>IF(AD1741=1,IF(AF1741="Value is not given at all",".",IF(AF1741="Value is given by the source",S1741,IF(AF1741="Value is calculated with prices",(IF(SUMIFS(Q:Q,A:A,A1741)&gt;0,SUMIFS(Q:Q,A:A,A1741),"."))/VLOOKUP("USD",'Exchange Rates'!B:C,2,0),"Error with coding"))),"")</f>
        <v/>
      </c>
      <c r="U1741" s="1184" t="s">
        <v>365</v>
      </c>
      <c r="V1741" s="966" t="s">
        <v>4313</v>
      </c>
      <c r="W1741" s="983" t="s">
        <v>3978</v>
      </c>
      <c r="X1741" s="980" t="s">
        <v>3982</v>
      </c>
      <c r="Y1741" s="980" t="s">
        <v>4000</v>
      </c>
      <c r="Z1741" s="1184">
        <v>0</v>
      </c>
      <c r="AA1741" s="1194">
        <v>0</v>
      </c>
      <c r="AB1741" s="1180" t="s">
        <v>364</v>
      </c>
      <c r="AC1741" s="1192" t="str">
        <f>""</f>
        <v/>
      </c>
      <c r="AD1741" s="1193">
        <v>0</v>
      </c>
      <c r="AE1741" s="1193" t="s">
        <v>368</v>
      </c>
      <c r="AF1741" s="1193" t="s">
        <v>369</v>
      </c>
      <c r="AG1741" s="1193">
        <v>1</v>
      </c>
      <c r="AH1741" s="1193">
        <v>13</v>
      </c>
      <c r="AI1741" s="1193">
        <v>0</v>
      </c>
      <c r="AJ1741" s="1193">
        <f>VLOOKUP($I1741,'Price List, Weapons &amp; Items'!B:F,5,0)</f>
        <v>1</v>
      </c>
      <c r="AK1741" s="1193">
        <f t="shared" si="374"/>
        <v>0</v>
      </c>
      <c r="AL1741" s="1193">
        <f t="shared" si="375"/>
        <v>1</v>
      </c>
      <c r="AM1741" s="1193">
        <f t="shared" si="376"/>
        <v>0</v>
      </c>
      <c r="AN1741" s="1194" t="str">
        <f>VLOOKUP($I1741,'Price List, Weapons &amp; Items'!B:L,COLUMN('Price List, Weapons &amp; Items'!$J$11)-1,0)</f>
        <v>Contract</v>
      </c>
      <c r="AO1741" s="1194" t="str">
        <f>IF(I1741=".",".",VLOOKUP($I1741,'Price List, Weapons &amp; Items'!B:J,3,0))</f>
        <v>Armored Utility Vehicle (AUV)</v>
      </c>
      <c r="AP1741" s="1195" t="str">
        <f t="shared" ca="1" si="370"/>
        <v/>
      </c>
      <c r="AQ1741" s="1194">
        <f>VLOOKUP($I1741,'Price List, Weapons &amp; Items'!B:L,COLUMN('Price List, Weapons &amp; Items'!$L$11)-1,0)</f>
        <v>2</v>
      </c>
      <c r="AR1741" s="1194">
        <f t="shared" si="377"/>
        <v>1</v>
      </c>
      <c r="AS1741" s="1194">
        <f t="shared" si="378"/>
        <v>1</v>
      </c>
      <c r="AT1741" s="1194">
        <f t="shared" si="379"/>
        <v>1</v>
      </c>
      <c r="AU1741" s="1194" t="str">
        <f t="shared" si="368"/>
        <v>.</v>
      </c>
      <c r="AV1741" s="1194" t="str">
        <f t="shared" si="371"/>
        <v>.</v>
      </c>
      <c r="AW1741" s="1194" t="str">
        <f t="shared" si="380"/>
        <v>.</v>
      </c>
      <c r="AX1741" s="1194">
        <f>IFERROR(VLOOKUP(B1741,'Share, Heavy Weapons to Ukraine'!B:Z,COLUMN('Share, Heavy Weapons to Ukraine'!C1752)-1,0),0)</f>
        <v>1</v>
      </c>
      <c r="AY1741" s="1194">
        <f>VLOOKUP('Bilateral Assistance, MAIN DATA'!B1741,'Country Summary (€)'!B:F,COLUMN('Country Summary (€)'!C1753)-1,FALSE)</f>
        <v>0</v>
      </c>
      <c r="AZ1741" s="1194" t="str">
        <f>IF(AND(AD1741=1,D1741="Military",H1741&lt;&gt;"Not given")=TRUE,IF(SUMIFS(P:P,A:A,A1741)&gt;0,ABS((SUMIFS(P:P,A:A,A1741)/VLOOKUP("USD",'Exchange Rates'!B:C,2,0)))/S1741,"."),".")</f>
        <v>.</v>
      </c>
      <c r="BA1741" s="1196" t="str">
        <f>IF(AND(AD1741=1,D1741="Military",H1741&lt;&gt;"Not given")=TRUE,IF(SUMIFS(P:P,A:A,A1741)&gt;0,IF((ABS((SUMIFS(P:P,A:A,A1741)/VLOOKUP("USD",'Exchange Rates'!B:C,2,0)))/S1741)&gt;1,(SUMIFS(P:P,A:A,A1741)-S1741)/S1741,(S1741-SUMIFS(P:P,A:A,A1741))/SUMIFS(P:P,A:A,A1741)),"."),".")</f>
        <v>.</v>
      </c>
    </row>
    <row r="1742" spans="1:53" ht="15.95" customHeight="1">
      <c r="A1742" s="1208" t="s">
        <v>4310</v>
      </c>
      <c r="B1742" s="1208" t="s">
        <v>3949</v>
      </c>
      <c r="C1742" s="1220">
        <v>44932</v>
      </c>
      <c r="D1742" s="1208" t="s">
        <v>389</v>
      </c>
      <c r="E1742" s="1208" t="s">
        <v>390</v>
      </c>
      <c r="F1742" s="1263" t="s">
        <v>4312</v>
      </c>
      <c r="G1742" s="1184" t="s">
        <v>456</v>
      </c>
      <c r="H1742" s="1221">
        <v>2850000000</v>
      </c>
      <c r="I1742" s="1180" t="s">
        <v>4187</v>
      </c>
      <c r="J1742" s="1186" t="str">
        <f>VLOOKUP($I1742,'Price List, Weapons &amp; Items'!B:C,2,0)</f>
        <v>Heavy weapon</v>
      </c>
      <c r="K1742" s="1186" t="str">
        <f>IF(I1742=".",I1742,VLOOKUP($I1742,'Price List, Weapons &amp; Items'!B:D,3,0))</f>
        <v>Armored Utility Vehicle (AUV)</v>
      </c>
      <c r="L1742" s="1187">
        <f>VLOOKUP(I1742,'Price List, Weapons &amp; Items'!B:E,4,0)</f>
        <v>0</v>
      </c>
      <c r="M1742" s="1188">
        <v>138</v>
      </c>
      <c r="N1742" s="1188" t="s">
        <v>374</v>
      </c>
      <c r="O1742" s="1188">
        <f>VLOOKUP($I1742,'Price List, Weapons &amp; Items'!B:G,6,0)</f>
        <v>254717</v>
      </c>
      <c r="P1742" s="1185">
        <f t="shared" si="372"/>
        <v>35150946</v>
      </c>
      <c r="Q1742" s="1185" t="str">
        <f t="shared" si="373"/>
        <v>.</v>
      </c>
      <c r="R1742" s="1185" t="str">
        <f t="shared" si="369"/>
        <v/>
      </c>
      <c r="S1742" s="1185" t="str">
        <f>IF(AND(AD1742=1,R1742&lt;&gt;".")=TRUE,R1742/VLOOKUP(G1742,'Exchange Rates'!B:C,2,0),IF(R1742=".",".",""))</f>
        <v/>
      </c>
      <c r="T1742" s="1185" t="str">
        <f>IF(AD1742=1,IF(AF1742="Value is not given at all",".",IF(AF1742="Value is given by the source",S1742,IF(AF1742="Value is calculated with prices",(IF(SUMIFS(Q:Q,A:A,A1742)&gt;0,SUMIFS(Q:Q,A:A,A1742),"."))/VLOOKUP("USD",'Exchange Rates'!B:C,2,0),"Error with coding"))),"")</f>
        <v/>
      </c>
      <c r="U1742" s="1184" t="s">
        <v>365</v>
      </c>
      <c r="V1742" s="966" t="s">
        <v>4313</v>
      </c>
      <c r="W1742" s="983" t="s">
        <v>3978</v>
      </c>
      <c r="X1742" s="980" t="s">
        <v>3982</v>
      </c>
      <c r="Y1742" s="980" t="s">
        <v>4001</v>
      </c>
      <c r="Z1742" s="1184">
        <v>0</v>
      </c>
      <c r="AA1742" s="1194">
        <v>0</v>
      </c>
      <c r="AB1742" s="1180" t="s">
        <v>364</v>
      </c>
      <c r="AC1742" s="1192" t="str">
        <f>""</f>
        <v/>
      </c>
      <c r="AD1742" s="1193">
        <v>0</v>
      </c>
      <c r="AE1742" s="1193" t="s">
        <v>368</v>
      </c>
      <c r="AF1742" s="1193" t="s">
        <v>369</v>
      </c>
      <c r="AG1742" s="1193">
        <v>1</v>
      </c>
      <c r="AH1742" s="1193">
        <v>13</v>
      </c>
      <c r="AI1742" s="1193">
        <v>0</v>
      </c>
      <c r="AJ1742" s="1193">
        <f>VLOOKUP($I1742,'Price List, Weapons &amp; Items'!B:F,5,0)</f>
        <v>1</v>
      </c>
      <c r="AK1742" s="1193">
        <f t="shared" si="374"/>
        <v>0</v>
      </c>
      <c r="AL1742" s="1193">
        <f t="shared" si="375"/>
        <v>1</v>
      </c>
      <c r="AM1742" s="1193">
        <f t="shared" si="376"/>
        <v>0</v>
      </c>
      <c r="AN1742" s="1194" t="str">
        <f>VLOOKUP($I1742,'Price List, Weapons &amp; Items'!B:L,COLUMN('Price List, Weapons &amp; Items'!$J$11)-1,0)</f>
        <v>Military media (incl. websites)</v>
      </c>
      <c r="AO1742" s="1194" t="str">
        <f>IF(I1742=".",".",VLOOKUP($I1742,'Price List, Weapons &amp; Items'!B:J,3,0))</f>
        <v>Armored Utility Vehicle (AUV)</v>
      </c>
      <c r="AP1742" s="1195" t="str">
        <f t="shared" ca="1" si="370"/>
        <v/>
      </c>
      <c r="AQ1742" s="1194">
        <f>VLOOKUP($I1742,'Price List, Weapons &amp; Items'!B:L,COLUMN('Price List, Weapons &amp; Items'!$L$11)-1,0)</f>
        <v>2</v>
      </c>
      <c r="AR1742" s="1194">
        <f t="shared" si="377"/>
        <v>1</v>
      </c>
      <c r="AS1742" s="1194">
        <f t="shared" si="378"/>
        <v>1</v>
      </c>
      <c r="AT1742" s="1194">
        <f t="shared" si="379"/>
        <v>1</v>
      </c>
      <c r="AU1742" s="1194" t="str">
        <f t="shared" si="368"/>
        <v>.</v>
      </c>
      <c r="AV1742" s="1194" t="str">
        <f t="shared" si="371"/>
        <v>.</v>
      </c>
      <c r="AW1742" s="1194" t="str">
        <f t="shared" si="380"/>
        <v>.</v>
      </c>
      <c r="AX1742" s="1194">
        <f>IFERROR(VLOOKUP(B1742,'Share, Heavy Weapons to Ukraine'!B:Z,COLUMN('Share, Heavy Weapons to Ukraine'!C1753)-1,0),0)</f>
        <v>1</v>
      </c>
      <c r="AY1742" s="1194">
        <f>VLOOKUP('Bilateral Assistance, MAIN DATA'!B1742,'Country Summary (€)'!B:F,COLUMN('Country Summary (€)'!C1754)-1,FALSE)</f>
        <v>0</v>
      </c>
      <c r="AZ1742" s="1194" t="str">
        <f>IF(AND(AD1742=1,D1742="Military",H1742&lt;&gt;"Not given")=TRUE,IF(SUMIFS(P:P,A:A,A1742)&gt;0,ABS((SUMIFS(P:P,A:A,A1742)/VLOOKUP("USD",'Exchange Rates'!B:C,2,0)))/S1742,"."),".")</f>
        <v>.</v>
      </c>
      <c r="BA1742" s="1196" t="str">
        <f>IF(AND(AD1742=1,D1742="Military",H1742&lt;&gt;"Not given")=TRUE,IF(SUMIFS(P:P,A:A,A1742)&gt;0,IF((ABS((SUMIFS(P:P,A:A,A1742)/VLOOKUP("USD",'Exchange Rates'!B:C,2,0)))/S1742)&gt;1,(SUMIFS(P:P,A:A,A1742)-S1742)/S1742,(S1742-SUMIFS(P:P,A:A,A1742))/SUMIFS(P:P,A:A,A1742)),"."),".")</f>
        <v>.</v>
      </c>
    </row>
    <row r="1743" spans="1:53" ht="15.95" customHeight="1">
      <c r="A1743" s="1208" t="s">
        <v>4310</v>
      </c>
      <c r="B1743" s="1208" t="s">
        <v>3949</v>
      </c>
      <c r="C1743" s="1220">
        <v>44932</v>
      </c>
      <c r="D1743" s="1208" t="s">
        <v>389</v>
      </c>
      <c r="E1743" s="1208" t="s">
        <v>390</v>
      </c>
      <c r="F1743" s="1263" t="s">
        <v>4312</v>
      </c>
      <c r="G1743" s="1184" t="s">
        <v>456</v>
      </c>
      <c r="H1743" s="1221">
        <v>2850000000</v>
      </c>
      <c r="I1743" s="1180" t="s">
        <v>4288</v>
      </c>
      <c r="J1743" s="1186" t="str">
        <f>VLOOKUP($I1743,'Price List, Weapons &amp; Items'!B:C,2,0)</f>
        <v>Heavy weapon</v>
      </c>
      <c r="K1743" s="1186" t="str">
        <f>IF(I1743=".",I1743,VLOOKUP($I1743,'Price List, Weapons &amp; Items'!B:D,3,0))</f>
        <v>155mm howitzer</v>
      </c>
      <c r="L1743" s="1187">
        <f>VLOOKUP(I1743,'Price List, Weapons &amp; Items'!B:E,4,0)</f>
        <v>0</v>
      </c>
      <c r="M1743" s="1188">
        <v>18</v>
      </c>
      <c r="N1743" s="1188" t="s">
        <v>374</v>
      </c>
      <c r="O1743" s="1188">
        <f>VLOOKUP($I1743,'Price List, Weapons &amp; Items'!B:G,6,0)</f>
        <v>5170000</v>
      </c>
      <c r="P1743" s="1185">
        <f t="shared" si="372"/>
        <v>93060000</v>
      </c>
      <c r="Q1743" s="1185" t="str">
        <f t="shared" si="373"/>
        <v>.</v>
      </c>
      <c r="R1743" s="1185" t="str">
        <f t="shared" si="369"/>
        <v/>
      </c>
      <c r="S1743" s="1185" t="str">
        <f>IF(AND(AD1743=1,R1743&lt;&gt;".")=TRUE,R1743/VLOOKUP(G1743,'Exchange Rates'!B:C,2,0),IF(R1743=".",".",""))</f>
        <v/>
      </c>
      <c r="T1743" s="1185" t="str">
        <f>IF(AD1743=1,IF(AF1743="Value is not given at all",".",IF(AF1743="Value is given by the source",S1743,IF(AF1743="Value is calculated with prices",(IF(SUMIFS(Q:Q,A:A,A1743)&gt;0,SUMIFS(Q:Q,A:A,A1743),"."))/VLOOKUP("USD",'Exchange Rates'!B:C,2,0),"Error with coding"))),"")</f>
        <v/>
      </c>
      <c r="U1743" s="1184" t="s">
        <v>365</v>
      </c>
      <c r="V1743" s="966" t="s">
        <v>4313</v>
      </c>
      <c r="W1743" s="983" t="s">
        <v>3978</v>
      </c>
      <c r="X1743" s="980" t="s">
        <v>3982</v>
      </c>
      <c r="Y1743" s="980" t="s">
        <v>4003</v>
      </c>
      <c r="Z1743" s="1184">
        <v>0</v>
      </c>
      <c r="AA1743" s="1194">
        <v>0</v>
      </c>
      <c r="AB1743" s="964" t="s">
        <v>4318</v>
      </c>
      <c r="AC1743" s="1192" t="str">
        <f>""</f>
        <v/>
      </c>
      <c r="AD1743" s="1193">
        <v>0</v>
      </c>
      <c r="AE1743" s="1193" t="s">
        <v>368</v>
      </c>
      <c r="AF1743" s="1193" t="s">
        <v>369</v>
      </c>
      <c r="AG1743" s="1193">
        <v>1</v>
      </c>
      <c r="AH1743" s="1193">
        <v>13</v>
      </c>
      <c r="AI1743" s="1193">
        <v>0</v>
      </c>
      <c r="AJ1743" s="1193">
        <f>VLOOKUP($I1743,'Price List, Weapons &amp; Items'!B:F,5,0)</f>
        <v>1</v>
      </c>
      <c r="AK1743" s="1193">
        <f t="shared" si="374"/>
        <v>0</v>
      </c>
      <c r="AL1743" s="1193">
        <f t="shared" si="375"/>
        <v>1</v>
      </c>
      <c r="AM1743" s="1193">
        <f t="shared" si="376"/>
        <v>0</v>
      </c>
      <c r="AN1743" s="1194" t="str">
        <f>VLOOKUP($I1743,'Price List, Weapons &amp; Items'!B:L,COLUMN('Price List, Weapons &amp; Items'!$J$11)-1,0)</f>
        <v>Military media (incl. websites)</v>
      </c>
      <c r="AO1743" s="1194" t="str">
        <f>IF(I1743=".",".",VLOOKUP($I1743,'Price List, Weapons &amp; Items'!B:J,3,0))</f>
        <v>155mm howitzer</v>
      </c>
      <c r="AP1743" s="1195" t="str">
        <f t="shared" ca="1" si="370"/>
        <v/>
      </c>
      <c r="AQ1743" s="1194">
        <f>VLOOKUP($I1743,'Price List, Weapons &amp; Items'!B:L,COLUMN('Price List, Weapons &amp; Items'!$L$11)-1,0)</f>
        <v>2</v>
      </c>
      <c r="AR1743" s="1194">
        <f t="shared" si="377"/>
        <v>1</v>
      </c>
      <c r="AS1743" s="1194">
        <f t="shared" si="378"/>
        <v>1</v>
      </c>
      <c r="AT1743" s="1194">
        <f t="shared" si="379"/>
        <v>1</v>
      </c>
      <c r="AU1743" s="1194" t="str">
        <f t="shared" si="368"/>
        <v>.</v>
      </c>
      <c r="AV1743" s="1194" t="str">
        <f t="shared" si="371"/>
        <v>.</v>
      </c>
      <c r="AW1743" s="1194" t="str">
        <f t="shared" si="380"/>
        <v>.</v>
      </c>
      <c r="AX1743" s="1194">
        <f>IFERROR(VLOOKUP(B1743,'Share, Heavy Weapons to Ukraine'!B:Z,COLUMN('Share, Heavy Weapons to Ukraine'!C1754)-1,0),0)</f>
        <v>1</v>
      </c>
      <c r="AY1743" s="1194">
        <f>VLOOKUP('Bilateral Assistance, MAIN DATA'!B1743,'Country Summary (€)'!B:F,COLUMN('Country Summary (€)'!C1755)-1,FALSE)</f>
        <v>0</v>
      </c>
      <c r="AZ1743" s="1194" t="str">
        <f>IF(AND(AD1743=1,D1743="Military",H1743&lt;&gt;"Not given")=TRUE,IF(SUMIFS(P:P,A:A,A1743)&gt;0,ABS((SUMIFS(P:P,A:A,A1743)/VLOOKUP("USD",'Exchange Rates'!B:C,2,0)))/S1743,"."),".")</f>
        <v>.</v>
      </c>
      <c r="BA1743" s="1196" t="str">
        <f>IF(AND(AD1743=1,D1743="Military",H1743&lt;&gt;"Not given")=TRUE,IF(SUMIFS(P:P,A:A,A1743)&gt;0,IF((ABS((SUMIFS(P:P,A:A,A1743)/VLOOKUP("USD",'Exchange Rates'!B:C,2,0)))/S1743)&gt;1,(SUMIFS(P:P,A:A,A1743)-S1743)/S1743,(S1743-SUMIFS(P:P,A:A,A1743))/SUMIFS(P:P,A:A,A1743)),"."),".")</f>
        <v>.</v>
      </c>
    </row>
    <row r="1744" spans="1:53" ht="15.95" customHeight="1">
      <c r="A1744" s="1208" t="s">
        <v>4310</v>
      </c>
      <c r="B1744" s="1208" t="s">
        <v>3949</v>
      </c>
      <c r="C1744" s="1220">
        <v>44932</v>
      </c>
      <c r="D1744" s="1208" t="s">
        <v>389</v>
      </c>
      <c r="E1744" s="1208" t="s">
        <v>390</v>
      </c>
      <c r="F1744" s="1263" t="s">
        <v>4312</v>
      </c>
      <c r="G1744" s="1184" t="s">
        <v>456</v>
      </c>
      <c r="H1744" s="1221">
        <v>2850000000</v>
      </c>
      <c r="I1744" s="1196" t="s">
        <v>4085</v>
      </c>
      <c r="J1744" s="1186" t="str">
        <f>VLOOKUP($I1744,'Price List, Weapons &amp; Items'!B:C,2,0)</f>
        <v>Military equipment</v>
      </c>
      <c r="K1744" s="1186" t="str">
        <f>IF(I1744=".",I1744,VLOOKUP($I1744,'Price List, Weapons &amp; Items'!B:D,3,0))</f>
        <v>Military equipment</v>
      </c>
      <c r="L1744" s="1187">
        <f>VLOOKUP(I1744,'Price List, Weapons &amp; Items'!B:E,4,0)</f>
        <v>0</v>
      </c>
      <c r="M1744" s="1188">
        <v>18</v>
      </c>
      <c r="N1744" s="1188" t="s">
        <v>374</v>
      </c>
      <c r="O1744" s="1188">
        <f>VLOOKUP($I1744,'Price List, Weapons &amp; Items'!B:G,6,0)</f>
        <v>350000</v>
      </c>
      <c r="P1744" s="1185">
        <f t="shared" si="372"/>
        <v>6300000</v>
      </c>
      <c r="Q1744" s="1185" t="str">
        <f t="shared" si="373"/>
        <v>.</v>
      </c>
      <c r="R1744" s="1185" t="str">
        <f t="shared" si="369"/>
        <v/>
      </c>
      <c r="S1744" s="1185" t="str">
        <f>IF(AND(AD1744=1,R1744&lt;&gt;".")=TRUE,R1744/VLOOKUP(G1744,'Exchange Rates'!B:C,2,0),IF(R1744=".",".",""))</f>
        <v/>
      </c>
      <c r="T1744" s="1185" t="str">
        <f>IF(AD1744=1,IF(AF1744="Value is not given at all",".",IF(AF1744="Value is given by the source",S1744,IF(AF1744="Value is calculated with prices",(IF(SUMIFS(Q:Q,A:A,A1744)&gt;0,SUMIFS(Q:Q,A:A,A1744),"."))/VLOOKUP("USD",'Exchange Rates'!B:C,2,0),"Error with coding"))),"")</f>
        <v/>
      </c>
      <c r="U1744" s="1184" t="s">
        <v>365</v>
      </c>
      <c r="V1744" s="966" t="s">
        <v>4313</v>
      </c>
      <c r="W1744" s="983" t="s">
        <v>3978</v>
      </c>
      <c r="X1744" s="980" t="s">
        <v>3982</v>
      </c>
      <c r="Y1744" s="980" t="s">
        <v>4005</v>
      </c>
      <c r="Z1744" s="1184">
        <v>0</v>
      </c>
      <c r="AA1744" s="1194">
        <v>0</v>
      </c>
      <c r="AB1744" s="1180" t="s">
        <v>364</v>
      </c>
      <c r="AC1744" s="1192" t="str">
        <f>""</f>
        <v/>
      </c>
      <c r="AD1744" s="1193">
        <v>0</v>
      </c>
      <c r="AE1744" s="1193" t="s">
        <v>368</v>
      </c>
      <c r="AF1744" s="1193" t="s">
        <v>369</v>
      </c>
      <c r="AG1744" s="1193">
        <v>1</v>
      </c>
      <c r="AH1744" s="1193">
        <v>13</v>
      </c>
      <c r="AI1744" s="1193">
        <v>0</v>
      </c>
      <c r="AJ1744" s="1193">
        <f>VLOOKUP($I1744,'Price List, Weapons &amp; Items'!B:F,5,0)</f>
        <v>0</v>
      </c>
      <c r="AK1744" s="1193">
        <f t="shared" si="374"/>
        <v>0</v>
      </c>
      <c r="AL1744" s="1193">
        <f t="shared" si="375"/>
        <v>0</v>
      </c>
      <c r="AM1744" s="1193">
        <f t="shared" si="376"/>
        <v>0</v>
      </c>
      <c r="AN1744" s="1194" t="str">
        <f>VLOOKUP($I1744,'Price List, Weapons &amp; Items'!B:L,COLUMN('Price List, Weapons &amp; Items'!$J$11)-1,0)</f>
        <v>Media reports (incl. social media)</v>
      </c>
      <c r="AO1744" s="1194" t="str">
        <f>IF(I1744=".",".",VLOOKUP($I1744,'Price List, Weapons &amp; Items'!B:J,3,0))</f>
        <v>Military equipment</v>
      </c>
      <c r="AP1744" s="1195" t="str">
        <f t="shared" ca="1" si="370"/>
        <v/>
      </c>
      <c r="AQ1744" s="1194">
        <f>VLOOKUP($I1744,'Price List, Weapons &amp; Items'!B:L,COLUMN('Price List, Weapons &amp; Items'!$L$11)-1,0)</f>
        <v>2</v>
      </c>
      <c r="AR1744" s="1194">
        <f t="shared" si="377"/>
        <v>1</v>
      </c>
      <c r="AS1744" s="1194">
        <f t="shared" si="378"/>
        <v>1</v>
      </c>
      <c r="AT1744" s="1194">
        <f t="shared" si="379"/>
        <v>1</v>
      </c>
      <c r="AU1744" s="1194" t="str">
        <f t="shared" si="368"/>
        <v>.</v>
      </c>
      <c r="AV1744" s="1194" t="str">
        <f t="shared" si="371"/>
        <v>.</v>
      </c>
      <c r="AW1744" s="1194" t="str">
        <f t="shared" si="380"/>
        <v>.</v>
      </c>
      <c r="AX1744" s="1194">
        <f>IFERROR(VLOOKUP(B1744,'Share, Heavy Weapons to Ukraine'!B:Z,COLUMN('Share, Heavy Weapons to Ukraine'!C1755)-1,0),0)</f>
        <v>1</v>
      </c>
      <c r="AY1744" s="1194">
        <f>VLOOKUP('Bilateral Assistance, MAIN DATA'!B1744,'Country Summary (€)'!B:F,COLUMN('Country Summary (€)'!C1756)-1,FALSE)</f>
        <v>0</v>
      </c>
      <c r="AZ1744" s="1194" t="str">
        <f>IF(AND(AD1744=1,D1744="Military",H1744&lt;&gt;"Not given")=TRUE,IF(SUMIFS(P:P,A:A,A1744)&gt;0,ABS((SUMIFS(P:P,A:A,A1744)/VLOOKUP("USD",'Exchange Rates'!B:C,2,0)))/S1744,"."),".")</f>
        <v>.</v>
      </c>
      <c r="BA1744" s="1196" t="str">
        <f>IF(AND(AD1744=1,D1744="Military",H1744&lt;&gt;"Not given")=TRUE,IF(SUMIFS(P:P,A:A,A1744)&gt;0,IF((ABS((SUMIFS(P:P,A:A,A1744)/VLOOKUP("USD",'Exchange Rates'!B:C,2,0)))/S1744)&gt;1,(SUMIFS(P:P,A:A,A1744)-S1744)/S1744,(S1744-SUMIFS(P:P,A:A,A1744))/SUMIFS(P:P,A:A,A1744)),"."),".")</f>
        <v>.</v>
      </c>
    </row>
    <row r="1745" spans="1:71" ht="15.95" customHeight="1">
      <c r="A1745" s="1208" t="s">
        <v>4310</v>
      </c>
      <c r="B1745" s="1208" t="s">
        <v>3949</v>
      </c>
      <c r="C1745" s="1220">
        <v>44932</v>
      </c>
      <c r="D1745" s="1208" t="s">
        <v>389</v>
      </c>
      <c r="E1745" s="1208" t="s">
        <v>390</v>
      </c>
      <c r="F1745" s="1263" t="s">
        <v>4312</v>
      </c>
      <c r="G1745" s="1184" t="s">
        <v>456</v>
      </c>
      <c r="H1745" s="1221">
        <v>2850000000</v>
      </c>
      <c r="I1745" s="1180" t="s">
        <v>856</v>
      </c>
      <c r="J1745" s="1186" t="str">
        <f>VLOOKUP($I1745,'Price List, Weapons &amp; Items'!B:C,2,0)</f>
        <v>Ammunition for heavy weapon</v>
      </c>
      <c r="K1745" s="1186" t="str">
        <f>IF(I1745=".",I1745,VLOOKUP($I1745,'Price List, Weapons &amp; Items'!B:D,3,0))</f>
        <v>155mm howitzer ammunition</v>
      </c>
      <c r="L1745" s="1187">
        <f>VLOOKUP(I1745,'Price List, Weapons &amp; Items'!B:E,4,0)</f>
        <v>0</v>
      </c>
      <c r="M1745" s="1188">
        <v>70000</v>
      </c>
      <c r="N1745" s="1188" t="s">
        <v>374</v>
      </c>
      <c r="O1745" s="1188">
        <f>VLOOKUP($I1745,'Price List, Weapons &amp; Items'!B:G,6,0)</f>
        <v>3800</v>
      </c>
      <c r="P1745" s="1185">
        <f t="shared" si="372"/>
        <v>266000000</v>
      </c>
      <c r="Q1745" s="1185" t="str">
        <f t="shared" si="373"/>
        <v>.</v>
      </c>
      <c r="R1745" s="1185" t="str">
        <f t="shared" si="369"/>
        <v/>
      </c>
      <c r="S1745" s="1185" t="str">
        <f>IF(AND(AD1745=1,R1745&lt;&gt;".")=TRUE,R1745/VLOOKUP(G1745,'Exchange Rates'!B:C,2,0),IF(R1745=".",".",""))</f>
        <v/>
      </c>
      <c r="T1745" s="1185" t="str">
        <f>IF(AD1745=1,IF(AF1745="Value is not given at all",".",IF(AF1745="Value is given by the source",S1745,IF(AF1745="Value is calculated with prices",(IF(SUMIFS(Q:Q,A:A,A1745)&gt;0,SUMIFS(Q:Q,A:A,A1745),"."))/VLOOKUP("USD",'Exchange Rates'!B:C,2,0),"Error with coding"))),"")</f>
        <v/>
      </c>
      <c r="U1745" s="1184" t="s">
        <v>365</v>
      </c>
      <c r="V1745" s="966" t="s">
        <v>4313</v>
      </c>
      <c r="W1745" s="983" t="s">
        <v>3978</v>
      </c>
      <c r="X1745" s="980" t="s">
        <v>3982</v>
      </c>
      <c r="Y1745" s="980" t="s">
        <v>4007</v>
      </c>
      <c r="Z1745" s="1184">
        <v>0</v>
      </c>
      <c r="AA1745" s="1194">
        <v>0</v>
      </c>
      <c r="AB1745" s="1180" t="s">
        <v>364</v>
      </c>
      <c r="AC1745" s="1192" t="str">
        <f>""</f>
        <v/>
      </c>
      <c r="AD1745" s="1193">
        <v>0</v>
      </c>
      <c r="AE1745" s="1193" t="s">
        <v>368</v>
      </c>
      <c r="AF1745" s="1193" t="s">
        <v>369</v>
      </c>
      <c r="AG1745" s="1193">
        <v>1</v>
      </c>
      <c r="AH1745" s="1193">
        <v>13</v>
      </c>
      <c r="AI1745" s="1193">
        <v>0</v>
      </c>
      <c r="AJ1745" s="1193">
        <f>VLOOKUP($I1745,'Price List, Weapons &amp; Items'!B:F,5,0)</f>
        <v>1</v>
      </c>
      <c r="AK1745" s="1193">
        <f t="shared" si="374"/>
        <v>0</v>
      </c>
      <c r="AL1745" s="1193">
        <f t="shared" si="375"/>
        <v>1</v>
      </c>
      <c r="AM1745" s="1193">
        <f t="shared" si="376"/>
        <v>0</v>
      </c>
      <c r="AN1745" s="1194" t="str">
        <f>VLOOKUP($I1745,'Price List, Weapons &amp; Items'!B:L,COLUMN('Price List, Weapons &amp; Items'!$J$11)-1,0)</f>
        <v>Government information</v>
      </c>
      <c r="AO1745" s="1194" t="str">
        <f>IF(I1745=".",".",VLOOKUP($I1745,'Price List, Weapons &amp; Items'!B:J,3,0))</f>
        <v>155mm howitzer ammunition</v>
      </c>
      <c r="AP1745" s="1195" t="str">
        <f t="shared" ca="1" si="370"/>
        <v/>
      </c>
      <c r="AQ1745" s="1194">
        <f>VLOOKUP($I1745,'Price List, Weapons &amp; Items'!B:L,COLUMN('Price List, Weapons &amp; Items'!$L$11)-1,0)</f>
        <v>2</v>
      </c>
      <c r="AR1745" s="1194">
        <f t="shared" si="377"/>
        <v>1</v>
      </c>
      <c r="AS1745" s="1194">
        <f t="shared" si="378"/>
        <v>1</v>
      </c>
      <c r="AT1745" s="1194">
        <f t="shared" si="379"/>
        <v>1</v>
      </c>
      <c r="AU1745" s="1194" t="str">
        <f t="shared" si="368"/>
        <v>.</v>
      </c>
      <c r="AV1745" s="1194" t="str">
        <f t="shared" si="371"/>
        <v>.</v>
      </c>
      <c r="AW1745" s="1194" t="str">
        <f t="shared" si="380"/>
        <v>.</v>
      </c>
      <c r="AX1745" s="1194">
        <f>IFERROR(VLOOKUP(B1745,'Share, Heavy Weapons to Ukraine'!B:Z,COLUMN('Share, Heavy Weapons to Ukraine'!C1756)-1,0),0)</f>
        <v>1</v>
      </c>
      <c r="AY1745" s="1194">
        <f>VLOOKUP('Bilateral Assistance, MAIN DATA'!B1745,'Country Summary (€)'!B:F,COLUMN('Country Summary (€)'!C1757)-1,FALSE)</f>
        <v>0</v>
      </c>
      <c r="AZ1745" s="1194" t="str">
        <f>IF(AND(AD1745=1,D1745="Military",H1745&lt;&gt;"Not given")=TRUE,IF(SUMIFS(P:P,A:A,A1745)&gt;0,ABS((SUMIFS(P:P,A:A,A1745)/VLOOKUP("USD",'Exchange Rates'!B:C,2,0)))/S1745,"."),".")</f>
        <v>.</v>
      </c>
      <c r="BA1745" s="1196" t="str">
        <f>IF(AND(AD1745=1,D1745="Military",H1745&lt;&gt;"Not given")=TRUE,IF(SUMIFS(P:P,A:A,A1745)&gt;0,IF((ABS((SUMIFS(P:P,A:A,A1745)/VLOOKUP("USD",'Exchange Rates'!B:C,2,0)))/S1745)&gt;1,(SUMIFS(P:P,A:A,A1745)-S1745)/S1745,(S1745-SUMIFS(P:P,A:A,A1745))/SUMIFS(P:P,A:A,A1745)),"."),".")</f>
        <v>.</v>
      </c>
    </row>
    <row r="1746" spans="1:71" ht="15.95" customHeight="1">
      <c r="A1746" s="1208" t="s">
        <v>4310</v>
      </c>
      <c r="B1746" s="1208" t="s">
        <v>3949</v>
      </c>
      <c r="C1746" s="1220">
        <v>44932</v>
      </c>
      <c r="D1746" s="1208" t="s">
        <v>389</v>
      </c>
      <c r="E1746" s="1208" t="s">
        <v>390</v>
      </c>
      <c r="F1746" s="1263" t="s">
        <v>4312</v>
      </c>
      <c r="G1746" s="1184" t="s">
        <v>456</v>
      </c>
      <c r="H1746" s="1221">
        <v>2850000000</v>
      </c>
      <c r="I1746" s="1180" t="s">
        <v>4291</v>
      </c>
      <c r="J1746" s="1186" t="str">
        <f>VLOOKUP($I1746,'Price List, Weapons &amp; Items'!B:C,2,0)</f>
        <v>Ammunition for heavy weapon</v>
      </c>
      <c r="K1746" s="1186" t="str">
        <f>IF(I1746=".",I1746,VLOOKUP($I1746,'Price List, Weapons &amp; Items'!B:D,3,0))</f>
        <v>artillery round</v>
      </c>
      <c r="L1746" s="1187">
        <f>VLOOKUP(I1746,'Price List, Weapons &amp; Items'!B:E,4,0)</f>
        <v>0</v>
      </c>
      <c r="M1746" s="1188">
        <v>500</v>
      </c>
      <c r="N1746" s="1188" t="s">
        <v>374</v>
      </c>
      <c r="O1746" s="1188">
        <f>VLOOKUP($I1746,'Price List, Weapons &amp; Items'!B:G,6,0)</f>
        <v>112800</v>
      </c>
      <c r="P1746" s="1185">
        <f t="shared" si="372"/>
        <v>56400000</v>
      </c>
      <c r="Q1746" s="1185" t="str">
        <f t="shared" si="373"/>
        <v>.</v>
      </c>
      <c r="R1746" s="1185" t="str">
        <f t="shared" si="369"/>
        <v/>
      </c>
      <c r="S1746" s="1185" t="str">
        <f>IF(AND(AD1746=1,R1746&lt;&gt;".")=TRUE,R1746/VLOOKUP(G1746,'Exchange Rates'!B:C,2,0),IF(R1746=".",".",""))</f>
        <v/>
      </c>
      <c r="T1746" s="1185" t="str">
        <f>IF(AD1746=1,IF(AF1746="Value is not given at all",".",IF(AF1746="Value is given by the source",S1746,IF(AF1746="Value is calculated with prices",(IF(SUMIFS(Q:Q,A:A,A1746)&gt;0,SUMIFS(Q:Q,A:A,A1746),"."))/VLOOKUP("USD",'Exchange Rates'!B:C,2,0),"Error with coding"))),"")</f>
        <v/>
      </c>
      <c r="U1746" s="1184" t="s">
        <v>365</v>
      </c>
      <c r="V1746" s="966" t="s">
        <v>4313</v>
      </c>
      <c r="W1746" s="983" t="s">
        <v>3978</v>
      </c>
      <c r="X1746" s="980" t="s">
        <v>3982</v>
      </c>
      <c r="Y1746" s="980" t="s">
        <v>4009</v>
      </c>
      <c r="Z1746" s="1184">
        <v>0</v>
      </c>
      <c r="AA1746" s="1194">
        <v>0</v>
      </c>
      <c r="AB1746" s="1180" t="s">
        <v>364</v>
      </c>
      <c r="AC1746" s="1192" t="str">
        <f>""</f>
        <v/>
      </c>
      <c r="AD1746" s="1193">
        <v>0</v>
      </c>
      <c r="AE1746" s="1193" t="s">
        <v>368</v>
      </c>
      <c r="AF1746" s="1193" t="s">
        <v>369</v>
      </c>
      <c r="AG1746" s="1193">
        <v>1</v>
      </c>
      <c r="AH1746" s="1193">
        <v>13</v>
      </c>
      <c r="AI1746" s="1193">
        <v>0</v>
      </c>
      <c r="AJ1746" s="1193">
        <f>VLOOKUP($I1746,'Price List, Weapons &amp; Items'!B:F,5,0)</f>
        <v>0</v>
      </c>
      <c r="AK1746" s="1193">
        <f t="shared" si="374"/>
        <v>0</v>
      </c>
      <c r="AL1746" s="1193">
        <f t="shared" si="375"/>
        <v>0</v>
      </c>
      <c r="AM1746" s="1193">
        <f t="shared" si="376"/>
        <v>0</v>
      </c>
      <c r="AN1746" s="1194" t="str">
        <f>VLOOKUP($I1746,'Price List, Weapons &amp; Items'!B:L,COLUMN('Price List, Weapons &amp; Items'!$J$11)-1,0)</f>
        <v>Miscellaneous</v>
      </c>
      <c r="AO1746" s="1194" t="str">
        <f>IF(I1746=".",".",VLOOKUP($I1746,'Price List, Weapons &amp; Items'!B:J,3,0))</f>
        <v>artillery round</v>
      </c>
      <c r="AP1746" s="1195" t="str">
        <f t="shared" ca="1" si="370"/>
        <v/>
      </c>
      <c r="AQ1746" s="1194">
        <f>VLOOKUP($I1746,'Price List, Weapons &amp; Items'!B:L,COLUMN('Price List, Weapons &amp; Items'!$L$11)-1,0)</f>
        <v>2</v>
      </c>
      <c r="AR1746" s="1194">
        <f t="shared" si="377"/>
        <v>1</v>
      </c>
      <c r="AS1746" s="1194">
        <f t="shared" si="378"/>
        <v>1</v>
      </c>
      <c r="AT1746" s="1194">
        <f t="shared" si="379"/>
        <v>1</v>
      </c>
      <c r="AU1746" s="1194" t="str">
        <f t="shared" si="368"/>
        <v>.</v>
      </c>
      <c r="AV1746" s="1194" t="str">
        <f t="shared" si="371"/>
        <v>.</v>
      </c>
      <c r="AW1746" s="1194" t="str">
        <f t="shared" si="380"/>
        <v>.</v>
      </c>
      <c r="AX1746" s="1194">
        <f>IFERROR(VLOOKUP(B1746,'Share, Heavy Weapons to Ukraine'!B:Z,COLUMN('Share, Heavy Weapons to Ukraine'!C1757)-1,0),0)</f>
        <v>1</v>
      </c>
      <c r="AY1746" s="1194">
        <f>VLOOKUP('Bilateral Assistance, MAIN DATA'!B1746,'Country Summary (€)'!B:F,COLUMN('Country Summary (€)'!C1758)-1,FALSE)</f>
        <v>0</v>
      </c>
      <c r="AZ1746" s="1194" t="str">
        <f>IF(AND(AD1746=1,D1746="Military",H1746&lt;&gt;"Not given")=TRUE,IF(SUMIFS(P:P,A:A,A1746)&gt;0,ABS((SUMIFS(P:P,A:A,A1746)/VLOOKUP("USD",'Exchange Rates'!B:C,2,0)))/S1746,"."),".")</f>
        <v>.</v>
      </c>
      <c r="BA1746" s="1196" t="str">
        <f>IF(AND(AD1746=1,D1746="Military",H1746&lt;&gt;"Not given")=TRUE,IF(SUMIFS(P:P,A:A,A1746)&gt;0,IF((ABS((SUMIFS(P:P,A:A,A1746)/VLOOKUP("USD",'Exchange Rates'!B:C,2,0)))/S1746)&gt;1,(SUMIFS(P:P,A:A,A1746)-S1746)/S1746,(S1746-SUMIFS(P:P,A:A,A1746))/SUMIFS(P:P,A:A,A1746)),"."),".")</f>
        <v>.</v>
      </c>
    </row>
    <row r="1747" spans="1:71" ht="15.95" customHeight="1">
      <c r="A1747" s="1208" t="s">
        <v>4310</v>
      </c>
      <c r="B1747" s="1208" t="s">
        <v>3949</v>
      </c>
      <c r="C1747" s="1220">
        <v>44932</v>
      </c>
      <c r="D1747" s="1208" t="s">
        <v>389</v>
      </c>
      <c r="E1747" s="1208" t="s">
        <v>390</v>
      </c>
      <c r="F1747" s="1263" t="s">
        <v>4312</v>
      </c>
      <c r="G1747" s="1184" t="s">
        <v>456</v>
      </c>
      <c r="H1747" s="1221">
        <v>2850000000</v>
      </c>
      <c r="I1747" s="1180" t="s">
        <v>4292</v>
      </c>
      <c r="J1747" s="1186" t="str">
        <f>VLOOKUP($I1747,'Price List, Weapons &amp; Items'!B:C,2,0)</f>
        <v>Ammunition for heavy weapon</v>
      </c>
      <c r="K1747" s="1186" t="str">
        <f>IF(I1747=".",I1747,VLOOKUP($I1747,'Price List, Weapons &amp; Items'!B:D,3,0))</f>
        <v>155mm howitzer ammunition</v>
      </c>
      <c r="L1747" s="1187">
        <f>VLOOKUP(I1747,'Price List, Weapons &amp; Items'!B:E,4,0)</f>
        <v>0</v>
      </c>
      <c r="M1747" s="1188">
        <v>1200</v>
      </c>
      <c r="N1747" s="1188" t="s">
        <v>374</v>
      </c>
      <c r="O1747" s="1188">
        <f>VLOOKUP($I1747,'Price List, Weapons &amp; Items'!B:G,6,0)</f>
        <v>98000</v>
      </c>
      <c r="P1747" s="1185">
        <f t="shared" si="372"/>
        <v>117600000</v>
      </c>
      <c r="Q1747" s="1185" t="str">
        <f t="shared" si="373"/>
        <v>.</v>
      </c>
      <c r="R1747" s="1185" t="str">
        <f t="shared" si="369"/>
        <v/>
      </c>
      <c r="S1747" s="1185" t="str">
        <f>IF(AND(AD1747=1,R1747&lt;&gt;".")=TRUE,R1747/VLOOKUP(G1747,'Exchange Rates'!B:C,2,0),IF(R1747=".",".",""))</f>
        <v/>
      </c>
      <c r="T1747" s="1185" t="str">
        <f>IF(AD1747=1,IF(AF1747="Value is not given at all",".",IF(AF1747="Value is given by the source",S1747,IF(AF1747="Value is calculated with prices",(IF(SUMIFS(Q:Q,A:A,A1747)&gt;0,SUMIFS(Q:Q,A:A,A1747),"."))/VLOOKUP("USD",'Exchange Rates'!B:C,2,0),"Error with coding"))),"")</f>
        <v/>
      </c>
      <c r="U1747" s="1184" t="s">
        <v>365</v>
      </c>
      <c r="V1747" s="966" t="s">
        <v>4313</v>
      </c>
      <c r="W1747" s="983" t="s">
        <v>3978</v>
      </c>
      <c r="X1747" s="980" t="s">
        <v>3982</v>
      </c>
      <c r="Y1747" s="980" t="s">
        <v>4010</v>
      </c>
      <c r="Z1747" s="1184">
        <v>0</v>
      </c>
      <c r="AA1747" s="1194">
        <v>0</v>
      </c>
      <c r="AB1747" s="1180" t="s">
        <v>364</v>
      </c>
      <c r="AC1747" s="1192" t="str">
        <f>""</f>
        <v/>
      </c>
      <c r="AD1747" s="1193">
        <v>0</v>
      </c>
      <c r="AE1747" s="1193" t="s">
        <v>368</v>
      </c>
      <c r="AF1747" s="1193" t="s">
        <v>369</v>
      </c>
      <c r="AG1747" s="1193">
        <v>1</v>
      </c>
      <c r="AH1747" s="1193">
        <v>13</v>
      </c>
      <c r="AI1747" s="1193">
        <v>0</v>
      </c>
      <c r="AJ1747" s="1193">
        <f>VLOOKUP($I1747,'Price List, Weapons &amp; Items'!B:F,5,0)</f>
        <v>1</v>
      </c>
      <c r="AK1747" s="1193">
        <f t="shared" si="374"/>
        <v>0</v>
      </c>
      <c r="AL1747" s="1193">
        <f t="shared" si="375"/>
        <v>1</v>
      </c>
      <c r="AM1747" s="1193">
        <f t="shared" si="376"/>
        <v>0</v>
      </c>
      <c r="AN1747" s="1194" t="str">
        <f>VLOOKUP($I1747,'Price List, Weapons &amp; Items'!B:L,COLUMN('Price List, Weapons &amp; Items'!$J$11)-1,0)</f>
        <v>Government information</v>
      </c>
      <c r="AO1747" s="1194" t="str">
        <f>IF(I1747=".",".",VLOOKUP($I1747,'Price List, Weapons &amp; Items'!B:J,3,0))</f>
        <v>155mm howitzer ammunition</v>
      </c>
      <c r="AP1747" s="1195" t="str">
        <f t="shared" ca="1" si="370"/>
        <v/>
      </c>
      <c r="AQ1747" s="1194">
        <f>VLOOKUP($I1747,'Price List, Weapons &amp; Items'!B:L,COLUMN('Price List, Weapons &amp; Items'!$L$11)-1,0)</f>
        <v>2</v>
      </c>
      <c r="AR1747" s="1194">
        <f t="shared" si="377"/>
        <v>1</v>
      </c>
      <c r="AS1747" s="1194">
        <f t="shared" si="378"/>
        <v>1</v>
      </c>
      <c r="AT1747" s="1194">
        <f t="shared" si="379"/>
        <v>1</v>
      </c>
      <c r="AU1747" s="1194" t="str">
        <f t="shared" si="368"/>
        <v>.</v>
      </c>
      <c r="AV1747" s="1194" t="str">
        <f t="shared" si="371"/>
        <v>.</v>
      </c>
      <c r="AW1747" s="1194" t="str">
        <f t="shared" si="380"/>
        <v>.</v>
      </c>
      <c r="AX1747" s="1194">
        <f>IFERROR(VLOOKUP(B1747,'Share, Heavy Weapons to Ukraine'!B:Z,COLUMN('Share, Heavy Weapons to Ukraine'!C1758)-1,0),0)</f>
        <v>1</v>
      </c>
      <c r="AY1747" s="1194">
        <f>VLOOKUP('Bilateral Assistance, MAIN DATA'!B1747,'Country Summary (€)'!B:F,COLUMN('Country Summary (€)'!C1759)-1,FALSE)</f>
        <v>0</v>
      </c>
      <c r="AZ1747" s="1194" t="str">
        <f>IF(AND(AD1747=1,D1747="Military",H1747&lt;&gt;"Not given")=TRUE,IF(SUMIFS(P:P,A:A,A1747)&gt;0,ABS((SUMIFS(P:P,A:A,A1747)/VLOOKUP("USD",'Exchange Rates'!B:C,2,0)))/S1747,"."),".")</f>
        <v>.</v>
      </c>
      <c r="BA1747" s="1196" t="str">
        <f>IF(AND(AD1747=1,D1747="Military",H1747&lt;&gt;"Not given")=TRUE,IF(SUMIFS(P:P,A:A,A1747)&gt;0,IF((ABS((SUMIFS(P:P,A:A,A1747)/VLOOKUP("USD",'Exchange Rates'!B:C,2,0)))/S1747)&gt;1,(SUMIFS(P:P,A:A,A1747)-S1747)/S1747,(S1747-SUMIFS(P:P,A:A,A1747))/SUMIFS(P:P,A:A,A1747)),"."),".")</f>
        <v>.</v>
      </c>
    </row>
    <row r="1748" spans="1:71" ht="15.95" customHeight="1">
      <c r="A1748" s="1208" t="s">
        <v>4310</v>
      </c>
      <c r="B1748" s="1208" t="s">
        <v>3949</v>
      </c>
      <c r="C1748" s="1220">
        <v>44932</v>
      </c>
      <c r="D1748" s="1208" t="s">
        <v>389</v>
      </c>
      <c r="E1748" s="1208" t="s">
        <v>390</v>
      </c>
      <c r="F1748" s="1263" t="s">
        <v>4312</v>
      </c>
      <c r="G1748" s="1184" t="s">
        <v>456</v>
      </c>
      <c r="H1748" s="1221">
        <v>2850000000</v>
      </c>
      <c r="I1748" s="1208" t="s">
        <v>4154</v>
      </c>
      <c r="J1748" s="1186" t="str">
        <f>VLOOKUP($I1748,'Price List, Weapons &amp; Items'!B:C,2,0)</f>
        <v>Heavy weapon</v>
      </c>
      <c r="K1748" s="1186" t="str">
        <f>IF(I1748=".",I1748,VLOOKUP($I1748,'Price List, Weapons &amp; Items'!B:D,3,0))</f>
        <v>105mm howitzer</v>
      </c>
      <c r="L1748" s="1187">
        <f>VLOOKUP(I1748,'Price List, Weapons &amp; Items'!B:E,4,0)</f>
        <v>0</v>
      </c>
      <c r="M1748" s="1188">
        <v>36</v>
      </c>
      <c r="N1748" s="1188" t="s">
        <v>374</v>
      </c>
      <c r="O1748" s="1188">
        <f>VLOOKUP($I1748,'Price List, Weapons &amp; Items'!B:G,6,0)</f>
        <v>1272482.2760025531</v>
      </c>
      <c r="P1748" s="1185">
        <f t="shared" si="372"/>
        <v>45809361.936091907</v>
      </c>
      <c r="Q1748" s="1185" t="str">
        <f t="shared" si="373"/>
        <v>.</v>
      </c>
      <c r="R1748" s="1185" t="str">
        <f t="shared" si="369"/>
        <v/>
      </c>
      <c r="S1748" s="1185" t="str">
        <f>IF(AND(AD1748=1,R1748&lt;&gt;".")=TRUE,R1748/VLOOKUP(G1748,'Exchange Rates'!B:C,2,0),IF(R1748=".",".",""))</f>
        <v/>
      </c>
      <c r="T1748" s="1185" t="str">
        <f>IF(AD1748=1,IF(AF1748="Value is not given at all",".",IF(AF1748="Value is given by the source",S1748,IF(AF1748="Value is calculated with prices",(IF(SUMIFS(Q:Q,A:A,A1748)&gt;0,SUMIFS(Q:Q,A:A,A1748),"."))/VLOOKUP("USD",'Exchange Rates'!B:C,2,0),"Error with coding"))),"")</f>
        <v/>
      </c>
      <c r="U1748" s="1184" t="s">
        <v>365</v>
      </c>
      <c r="V1748" s="966" t="s">
        <v>4313</v>
      </c>
      <c r="W1748" s="983" t="s">
        <v>3978</v>
      </c>
      <c r="X1748" s="980" t="s">
        <v>3982</v>
      </c>
      <c r="Y1748" s="980" t="s">
        <v>4012</v>
      </c>
      <c r="Z1748" s="1184">
        <v>0</v>
      </c>
      <c r="AA1748" s="1194">
        <v>0</v>
      </c>
      <c r="AB1748" s="1180" t="s">
        <v>364</v>
      </c>
      <c r="AC1748" s="1192" t="str">
        <f>""</f>
        <v/>
      </c>
      <c r="AD1748" s="1193">
        <v>0</v>
      </c>
      <c r="AE1748" s="1193" t="s">
        <v>368</v>
      </c>
      <c r="AF1748" s="1193" t="s">
        <v>369</v>
      </c>
      <c r="AG1748" s="1193">
        <v>1</v>
      </c>
      <c r="AH1748" s="1193">
        <v>13</v>
      </c>
      <c r="AI1748" s="1193">
        <v>0</v>
      </c>
      <c r="AJ1748" s="1193">
        <f>VLOOKUP($I1748,'Price List, Weapons &amp; Items'!B:F,5,0)</f>
        <v>0</v>
      </c>
      <c r="AK1748" s="1193">
        <f t="shared" si="374"/>
        <v>0</v>
      </c>
      <c r="AL1748" s="1193">
        <f t="shared" si="375"/>
        <v>0</v>
      </c>
      <c r="AM1748" s="1193">
        <f t="shared" si="376"/>
        <v>0</v>
      </c>
      <c r="AN1748" s="1194" t="str">
        <f>VLOOKUP($I1748,'Price List, Weapons &amp; Items'!B:L,COLUMN('Price List, Weapons &amp; Items'!$J$11)-1,0)</f>
        <v>Contracts</v>
      </c>
      <c r="AO1748" s="1194" t="str">
        <f>IF(I1748=".",".",VLOOKUP($I1748,'Price List, Weapons &amp; Items'!B:J,3,0))</f>
        <v>105mm howitzer</v>
      </c>
      <c r="AP1748" s="1195" t="str">
        <f t="shared" ca="1" si="370"/>
        <v/>
      </c>
      <c r="AQ1748" s="1194">
        <f>VLOOKUP($I1748,'Price List, Weapons &amp; Items'!B:L,COLUMN('Price List, Weapons &amp; Items'!$L$11)-1,0)</f>
        <v>2</v>
      </c>
      <c r="AR1748" s="1194">
        <f t="shared" si="377"/>
        <v>1</v>
      </c>
      <c r="AS1748" s="1194">
        <f t="shared" si="378"/>
        <v>1</v>
      </c>
      <c r="AT1748" s="1194">
        <f t="shared" si="379"/>
        <v>1</v>
      </c>
      <c r="AU1748" s="1194" t="str">
        <f t="shared" si="368"/>
        <v>.</v>
      </c>
      <c r="AV1748" s="1194" t="str">
        <f t="shared" si="371"/>
        <v>.</v>
      </c>
      <c r="AW1748" s="1194" t="str">
        <f t="shared" si="380"/>
        <v>.</v>
      </c>
      <c r="AX1748" s="1194">
        <f>IFERROR(VLOOKUP(B1748,'Share, Heavy Weapons to Ukraine'!B:Z,COLUMN('Share, Heavy Weapons to Ukraine'!C1759)-1,0),0)</f>
        <v>1</v>
      </c>
      <c r="AY1748" s="1194">
        <f>VLOOKUP('Bilateral Assistance, MAIN DATA'!B1748,'Country Summary (€)'!B:F,COLUMN('Country Summary (€)'!C1760)-1,FALSE)</f>
        <v>0</v>
      </c>
      <c r="AZ1748" s="1194" t="str">
        <f>IF(AND(AD1748=1,D1748="Military",H1748&lt;&gt;"Not given")=TRUE,IF(SUMIFS(P:P,A:A,A1748)&gt;0,ABS((SUMIFS(P:P,A:A,A1748)/VLOOKUP("USD",'Exchange Rates'!B:C,2,0)))/S1748,"."),".")</f>
        <v>.</v>
      </c>
      <c r="BA1748" s="1196" t="str">
        <f>IF(AND(AD1748=1,D1748="Military",H1748&lt;&gt;"Not given")=TRUE,IF(SUMIFS(P:P,A:A,A1748)&gt;0,IF((ABS((SUMIFS(P:P,A:A,A1748)/VLOOKUP("USD",'Exchange Rates'!B:C,2,0)))/S1748)&gt;1,(SUMIFS(P:P,A:A,A1748)-S1748)/S1748,(S1748-SUMIFS(P:P,A:A,A1748))/SUMIFS(P:P,A:A,A1748)),"."),".")</f>
        <v>.</v>
      </c>
    </row>
    <row r="1749" spans="1:71" ht="15.95" customHeight="1">
      <c r="A1749" s="1208" t="s">
        <v>4310</v>
      </c>
      <c r="B1749" s="1208" t="s">
        <v>3949</v>
      </c>
      <c r="C1749" s="1220">
        <v>44932</v>
      </c>
      <c r="D1749" s="1208" t="s">
        <v>389</v>
      </c>
      <c r="E1749" s="1208" t="s">
        <v>390</v>
      </c>
      <c r="F1749" s="1263" t="s">
        <v>4312</v>
      </c>
      <c r="G1749" s="1184" t="s">
        <v>456</v>
      </c>
      <c r="H1749" s="1221">
        <v>2850000000</v>
      </c>
      <c r="I1749" s="1180" t="s">
        <v>645</v>
      </c>
      <c r="J1749" s="1186" t="str">
        <f>VLOOKUP($I1749,'Price List, Weapons &amp; Items'!B:C,2,0)</f>
        <v>Ammunition for heavy weapon</v>
      </c>
      <c r="K1749" s="1186" t="str">
        <f>IF(I1749=".",I1749,VLOOKUP($I1749,'Price List, Weapons &amp; Items'!B:D,3,0))</f>
        <v>105mm</v>
      </c>
      <c r="L1749" s="1187">
        <f>VLOOKUP(I1749,'Price List, Weapons &amp; Items'!B:E,4,0)</f>
        <v>0</v>
      </c>
      <c r="M1749" s="1188">
        <v>95000</v>
      </c>
      <c r="N1749" s="1188" t="s">
        <v>374</v>
      </c>
      <c r="O1749" s="1188">
        <f>VLOOKUP($I1749,'Price List, Weapons &amp; Items'!B:G,6,0)</f>
        <v>400</v>
      </c>
      <c r="P1749" s="1185">
        <f t="shared" si="372"/>
        <v>38000000</v>
      </c>
      <c r="Q1749" s="1185" t="str">
        <f t="shared" si="373"/>
        <v>.</v>
      </c>
      <c r="R1749" s="1185" t="str">
        <f t="shared" si="369"/>
        <v/>
      </c>
      <c r="S1749" s="1185" t="str">
        <f>IF(AND(AD1749=1,R1749&lt;&gt;".")=TRUE,R1749/VLOOKUP(G1749,'Exchange Rates'!B:C,2,0),IF(R1749=".",".",""))</f>
        <v/>
      </c>
      <c r="T1749" s="1185" t="str">
        <f>IF(AD1749=1,IF(AF1749="Value is not given at all",".",IF(AF1749="Value is given by the source",S1749,IF(AF1749="Value is calculated with prices",(IF(SUMIFS(Q:Q,A:A,A1749)&gt;0,SUMIFS(Q:Q,A:A,A1749),"."))/VLOOKUP("USD",'Exchange Rates'!B:C,2,0),"Error with coding"))),"")</f>
        <v/>
      </c>
      <c r="U1749" s="1184" t="s">
        <v>365</v>
      </c>
      <c r="V1749" s="966" t="s">
        <v>4313</v>
      </c>
      <c r="W1749" s="983" t="s">
        <v>3978</v>
      </c>
      <c r="X1749" s="980" t="s">
        <v>3982</v>
      </c>
      <c r="Y1749" s="980" t="s">
        <v>4014</v>
      </c>
      <c r="Z1749" s="1184">
        <v>0</v>
      </c>
      <c r="AA1749" s="1194">
        <v>0</v>
      </c>
      <c r="AB1749" s="1180" t="s">
        <v>364</v>
      </c>
      <c r="AC1749" s="1192" t="str">
        <f>""</f>
        <v/>
      </c>
      <c r="AD1749" s="1193">
        <v>0</v>
      </c>
      <c r="AE1749" s="1193" t="s">
        <v>368</v>
      </c>
      <c r="AF1749" s="1193" t="s">
        <v>369</v>
      </c>
      <c r="AG1749" s="1193">
        <v>1</v>
      </c>
      <c r="AH1749" s="1193">
        <v>13</v>
      </c>
      <c r="AI1749" s="1193">
        <v>0</v>
      </c>
      <c r="AJ1749" s="1193">
        <f>VLOOKUP($I1749,'Price List, Weapons &amp; Items'!B:F,5,0)</f>
        <v>0</v>
      </c>
      <c r="AK1749" s="1193">
        <f t="shared" si="374"/>
        <v>0</v>
      </c>
      <c r="AL1749" s="1193">
        <f t="shared" si="375"/>
        <v>0</v>
      </c>
      <c r="AM1749" s="1193">
        <f t="shared" si="376"/>
        <v>0</v>
      </c>
      <c r="AN1749" s="1194" t="str">
        <f>VLOOKUP($I1749,'Price List, Weapons &amp; Items'!B:L,COLUMN('Price List, Weapons &amp; Items'!$J$11)-1,0)</f>
        <v>Military media (incl. websites)</v>
      </c>
      <c r="AO1749" s="1194" t="str">
        <f>IF(I1749=".",".",VLOOKUP($I1749,'Price List, Weapons &amp; Items'!B:J,3,0))</f>
        <v>105mm</v>
      </c>
      <c r="AP1749" s="1195" t="str">
        <f t="shared" ca="1" si="370"/>
        <v/>
      </c>
      <c r="AQ1749" s="1194">
        <f>VLOOKUP($I1749,'Price List, Weapons &amp; Items'!B:L,COLUMN('Price List, Weapons &amp; Items'!$L$11)-1,0)</f>
        <v>2</v>
      </c>
      <c r="AR1749" s="1194">
        <f t="shared" si="377"/>
        <v>1</v>
      </c>
      <c r="AS1749" s="1194">
        <f t="shared" si="378"/>
        <v>1</v>
      </c>
      <c r="AT1749" s="1194">
        <f t="shared" si="379"/>
        <v>1</v>
      </c>
      <c r="AU1749" s="1194" t="str">
        <f t="shared" si="368"/>
        <v>.</v>
      </c>
      <c r="AV1749" s="1194" t="str">
        <f t="shared" si="371"/>
        <v>.</v>
      </c>
      <c r="AW1749" s="1194" t="str">
        <f t="shared" si="380"/>
        <v>.</v>
      </c>
      <c r="AX1749" s="1194">
        <f>IFERROR(VLOOKUP(B1749,'Share, Heavy Weapons to Ukraine'!B:Z,COLUMN('Share, Heavy Weapons to Ukraine'!C1760)-1,0),0)</f>
        <v>1</v>
      </c>
      <c r="AY1749" s="1194">
        <f>VLOOKUP('Bilateral Assistance, MAIN DATA'!B1749,'Country Summary (€)'!B:F,COLUMN('Country Summary (€)'!C1761)-1,FALSE)</f>
        <v>0</v>
      </c>
      <c r="AZ1749" s="1194" t="str">
        <f>IF(AND(AD1749=1,D1749="Military",H1749&lt;&gt;"Not given")=TRUE,IF(SUMIFS(P:P,A:A,A1749)&gt;0,ABS((SUMIFS(P:P,A:A,A1749)/VLOOKUP("USD",'Exchange Rates'!B:C,2,0)))/S1749,"."),".")</f>
        <v>.</v>
      </c>
      <c r="BA1749" s="1196" t="str">
        <f>IF(AND(AD1749=1,D1749="Military",H1749&lt;&gt;"Not given")=TRUE,IF(SUMIFS(P:P,A:A,A1749)&gt;0,IF((ABS((SUMIFS(P:P,A:A,A1749)/VLOOKUP("USD",'Exchange Rates'!B:C,2,0)))/S1749)&gt;1,(SUMIFS(P:P,A:A,A1749)-S1749)/S1749,(S1749-SUMIFS(P:P,A:A,A1749))/SUMIFS(P:P,A:A,A1749)),"."),".")</f>
        <v>.</v>
      </c>
    </row>
    <row r="1750" spans="1:71" ht="15.95" customHeight="1">
      <c r="A1750" s="1208" t="s">
        <v>4310</v>
      </c>
      <c r="B1750" s="1208" t="s">
        <v>3949</v>
      </c>
      <c r="C1750" s="1220">
        <v>44932</v>
      </c>
      <c r="D1750" s="1208" t="s">
        <v>389</v>
      </c>
      <c r="E1750" s="1208" t="s">
        <v>390</v>
      </c>
      <c r="F1750" s="1263" t="s">
        <v>4312</v>
      </c>
      <c r="G1750" s="1184" t="s">
        <v>456</v>
      </c>
      <c r="H1750" s="1221">
        <v>2850000000</v>
      </c>
      <c r="I1750" s="1180" t="s">
        <v>3137</v>
      </c>
      <c r="J1750" s="1186" t="str">
        <f>VLOOKUP($I1750,'Price List, Weapons &amp; Items'!B:C,2,0)</f>
        <v>Ammunition for heavy weapon</v>
      </c>
      <c r="K1750" s="1186" t="str">
        <f>IF(I1750=".",I1750,VLOOKUP($I1750,'Price List, Weapons &amp; Items'!B:D,3,0))</f>
        <v>Mortar ammunition</v>
      </c>
      <c r="L1750" s="1187">
        <f>VLOOKUP(I1750,'Price List, Weapons &amp; Items'!B:E,4,0)</f>
        <v>0</v>
      </c>
      <c r="M1750" s="1188">
        <v>10000</v>
      </c>
      <c r="N1750" s="1188" t="s">
        <v>374</v>
      </c>
      <c r="O1750" s="1188">
        <f>VLOOKUP($I1750,'Price List, Weapons &amp; Items'!B:G,6,0)</f>
        <v>109.89</v>
      </c>
      <c r="P1750" s="1185">
        <f t="shared" si="372"/>
        <v>1098900</v>
      </c>
      <c r="Q1750" s="1185" t="str">
        <f t="shared" si="373"/>
        <v>.</v>
      </c>
      <c r="R1750" s="1185" t="str">
        <f t="shared" si="369"/>
        <v/>
      </c>
      <c r="S1750" s="1185" t="str">
        <f>IF(AND(AD1750=1,R1750&lt;&gt;".")=TRUE,R1750/VLOOKUP(G1750,'Exchange Rates'!B:C,2,0),IF(R1750=".",".",""))</f>
        <v/>
      </c>
      <c r="T1750" s="1185" t="str">
        <f>IF(AD1750=1,IF(AF1750="Value is not given at all",".",IF(AF1750="Value is given by the source",S1750,IF(AF1750="Value is calculated with prices",(IF(SUMIFS(Q:Q,A:A,A1750)&gt;0,SUMIFS(Q:Q,A:A,A1750),"."))/VLOOKUP("USD",'Exchange Rates'!B:C,2,0),"Error with coding"))),"")</f>
        <v/>
      </c>
      <c r="U1750" s="1184" t="s">
        <v>365</v>
      </c>
      <c r="V1750" s="966" t="s">
        <v>4313</v>
      </c>
      <c r="W1750" s="983" t="s">
        <v>3978</v>
      </c>
      <c r="X1750" s="980" t="s">
        <v>3982</v>
      </c>
      <c r="Y1750" s="980" t="s">
        <v>4015</v>
      </c>
      <c r="Z1750" s="1184">
        <v>0</v>
      </c>
      <c r="AA1750" s="1194">
        <v>0</v>
      </c>
      <c r="AB1750" s="1180" t="s">
        <v>364</v>
      </c>
      <c r="AC1750" s="1192" t="str">
        <f>""</f>
        <v/>
      </c>
      <c r="AD1750" s="1193">
        <v>0</v>
      </c>
      <c r="AE1750" s="1193" t="s">
        <v>368</v>
      </c>
      <c r="AF1750" s="1193" t="s">
        <v>369</v>
      </c>
      <c r="AG1750" s="1193">
        <v>1</v>
      </c>
      <c r="AH1750" s="1193">
        <v>13</v>
      </c>
      <c r="AI1750" s="1193">
        <v>0</v>
      </c>
      <c r="AJ1750" s="1193">
        <f>VLOOKUP($I1750,'Price List, Weapons &amp; Items'!B:F,5,0)</f>
        <v>0</v>
      </c>
      <c r="AK1750" s="1193">
        <f t="shared" si="374"/>
        <v>0</v>
      </c>
      <c r="AL1750" s="1193">
        <f t="shared" si="375"/>
        <v>0</v>
      </c>
      <c r="AM1750" s="1193">
        <f t="shared" si="376"/>
        <v>0</v>
      </c>
      <c r="AN1750" s="1194" t="str">
        <f>VLOOKUP($I1750,'Price List, Weapons &amp; Items'!B:L,COLUMN('Price List, Weapons &amp; Items'!$J$11)-1,0)</f>
        <v>Government information</v>
      </c>
      <c r="AO1750" s="1194" t="str">
        <f>IF(I1750=".",".",VLOOKUP($I1750,'Price List, Weapons &amp; Items'!B:J,3,0))</f>
        <v>Mortar ammunition</v>
      </c>
      <c r="AP1750" s="1195" t="str">
        <f t="shared" ca="1" si="370"/>
        <v/>
      </c>
      <c r="AQ1750" s="1194">
        <f>VLOOKUP($I1750,'Price List, Weapons &amp; Items'!B:L,COLUMN('Price List, Weapons &amp; Items'!$L$11)-1,0)</f>
        <v>2</v>
      </c>
      <c r="AR1750" s="1194">
        <f t="shared" si="377"/>
        <v>1</v>
      </c>
      <c r="AS1750" s="1194">
        <f t="shared" si="378"/>
        <v>1</v>
      </c>
      <c r="AT1750" s="1194">
        <f t="shared" si="379"/>
        <v>1</v>
      </c>
      <c r="AU1750" s="1194" t="str">
        <f t="shared" si="368"/>
        <v>.</v>
      </c>
      <c r="AV1750" s="1194" t="str">
        <f t="shared" si="371"/>
        <v>.</v>
      </c>
      <c r="AW1750" s="1194" t="str">
        <f t="shared" si="380"/>
        <v>.</v>
      </c>
      <c r="AX1750" s="1194">
        <f>IFERROR(VLOOKUP(B1750,'Share, Heavy Weapons to Ukraine'!B:Z,COLUMN('Share, Heavy Weapons to Ukraine'!C1761)-1,0),0)</f>
        <v>1</v>
      </c>
      <c r="AY1750" s="1194">
        <f>VLOOKUP('Bilateral Assistance, MAIN DATA'!B1750,'Country Summary (€)'!B:F,COLUMN('Country Summary (€)'!C1762)-1,FALSE)</f>
        <v>0</v>
      </c>
      <c r="AZ1750" s="1194" t="str">
        <f>IF(AND(AD1750=1,D1750="Military",H1750&lt;&gt;"Not given")=TRUE,IF(SUMIFS(P:P,A:A,A1750)&gt;0,ABS((SUMIFS(P:P,A:A,A1750)/VLOOKUP("USD",'Exchange Rates'!B:C,2,0)))/S1750,"."),".")</f>
        <v>.</v>
      </c>
      <c r="BA1750" s="1196" t="str">
        <f>IF(AND(AD1750=1,D1750="Military",H1750&lt;&gt;"Not given")=TRUE,IF(SUMIFS(P:P,A:A,A1750)&gt;0,IF((ABS((SUMIFS(P:P,A:A,A1750)/VLOOKUP("USD",'Exchange Rates'!B:C,2,0)))/S1750)&gt;1,(SUMIFS(P:P,A:A,A1750)-S1750)/S1750,(S1750-SUMIFS(P:P,A:A,A1750))/SUMIFS(P:P,A:A,A1750)),"."),".")</f>
        <v>.</v>
      </c>
    </row>
    <row r="1751" spans="1:71" ht="15.95" customHeight="1">
      <c r="A1751" s="1208" t="s">
        <v>4310</v>
      </c>
      <c r="B1751" s="1208" t="s">
        <v>3949</v>
      </c>
      <c r="C1751" s="1220">
        <v>44932</v>
      </c>
      <c r="D1751" s="1208" t="s">
        <v>389</v>
      </c>
      <c r="E1751" s="1208" t="s">
        <v>390</v>
      </c>
      <c r="F1751" s="1263" t="s">
        <v>4312</v>
      </c>
      <c r="G1751" s="1184" t="s">
        <v>456</v>
      </c>
      <c r="H1751" s="1221">
        <v>2850000000</v>
      </c>
      <c r="I1751" s="1180" t="s">
        <v>4093</v>
      </c>
      <c r="J1751" s="1186" t="str">
        <f>VLOOKUP($I1751,'Price List, Weapons &amp; Items'!B:C,2,0)</f>
        <v>Ammunition for heavy weapon</v>
      </c>
      <c r="K1751" s="1186" t="str">
        <f>IF(I1751=".",I1751,VLOOKUP($I1751,'Price List, Weapons &amp; Items'!B:D,3,0))</f>
        <v>227mm MLRS ammunition</v>
      </c>
      <c r="L1751" s="1187">
        <f>VLOOKUP(I1751,'Price List, Weapons &amp; Items'!B:E,4,0)</f>
        <v>0</v>
      </c>
      <c r="M1751" s="1188" t="s">
        <v>374</v>
      </c>
      <c r="N1751" s="1188" t="s">
        <v>374</v>
      </c>
      <c r="O1751" s="1188">
        <f>VLOOKUP($I1751,'Price List, Weapons &amp; Items'!B:G,6,0)</f>
        <v>150000</v>
      </c>
      <c r="P1751" s="1185" t="str">
        <f t="shared" si="372"/>
        <v>.</v>
      </c>
      <c r="Q1751" s="1185" t="str">
        <f t="shared" si="373"/>
        <v>.</v>
      </c>
      <c r="R1751" s="1185" t="str">
        <f t="shared" si="369"/>
        <v/>
      </c>
      <c r="S1751" s="1185" t="str">
        <f>IF(AND(AD1751=1,R1751&lt;&gt;".")=TRUE,R1751/VLOOKUP(G1751,'Exchange Rates'!B:C,2,0),IF(R1751=".",".",""))</f>
        <v/>
      </c>
      <c r="T1751" s="1185" t="str">
        <f>IF(AD1751=1,IF(AF1751="Value is not given at all",".",IF(AF1751="Value is given by the source",S1751,IF(AF1751="Value is calculated with prices",(IF(SUMIFS(Q:Q,A:A,A1751)&gt;0,SUMIFS(Q:Q,A:A,A1751),"."))/VLOOKUP("USD",'Exchange Rates'!B:C,2,0),"Error with coding"))),"")</f>
        <v/>
      </c>
      <c r="U1751" s="1184" t="s">
        <v>365</v>
      </c>
      <c r="V1751" s="966" t="s">
        <v>4313</v>
      </c>
      <c r="W1751" s="983" t="s">
        <v>3978</v>
      </c>
      <c r="X1751" s="980" t="s">
        <v>3982</v>
      </c>
      <c r="Y1751" s="980" t="s">
        <v>4016</v>
      </c>
      <c r="Z1751" s="1184">
        <v>0</v>
      </c>
      <c r="AA1751" s="1194">
        <v>0</v>
      </c>
      <c r="AB1751" s="1180" t="s">
        <v>364</v>
      </c>
      <c r="AC1751" s="1192" t="str">
        <f>""</f>
        <v/>
      </c>
      <c r="AD1751" s="1193">
        <v>0</v>
      </c>
      <c r="AE1751" s="1193" t="s">
        <v>368</v>
      </c>
      <c r="AF1751" s="1193" t="s">
        <v>369</v>
      </c>
      <c r="AG1751" s="1193">
        <v>1</v>
      </c>
      <c r="AH1751" s="1193">
        <v>13</v>
      </c>
      <c r="AI1751" s="1193">
        <v>0</v>
      </c>
      <c r="AJ1751" s="1193">
        <f>VLOOKUP($I1751,'Price List, Weapons &amp; Items'!B:F,5,0)</f>
        <v>1</v>
      </c>
      <c r="AK1751" s="1193">
        <f t="shared" si="374"/>
        <v>1</v>
      </c>
      <c r="AL1751" s="1193">
        <f t="shared" si="375"/>
        <v>1</v>
      </c>
      <c r="AM1751" s="1193">
        <f t="shared" si="376"/>
        <v>1</v>
      </c>
      <c r="AN1751" s="1194" t="str">
        <f>VLOOKUP($I1751,'Price List, Weapons &amp; Items'!B:L,COLUMN('Price List, Weapons &amp; Items'!$J$11)-1,0)</f>
        <v>Media reports (incl. social media)</v>
      </c>
      <c r="AO1751" s="1194" t="str">
        <f>IF(I1751=".",".",VLOOKUP($I1751,'Price List, Weapons &amp; Items'!B:J,3,0))</f>
        <v>227mm MLRS ammunition</v>
      </c>
      <c r="AP1751" s="1195" t="str">
        <f t="shared" ca="1" si="370"/>
        <v/>
      </c>
      <c r="AQ1751" s="1194" t="str">
        <f>VLOOKUP($I1751,'Price List, Weapons &amp; Items'!B:L,COLUMN('Price List, Weapons &amp; Items'!$L$11)-1,0)</f>
        <v>no price, 0 count</v>
      </c>
      <c r="AR1751" s="1194">
        <f t="shared" si="377"/>
        <v>1</v>
      </c>
      <c r="AS1751" s="1194">
        <f t="shared" si="378"/>
        <v>1</v>
      </c>
      <c r="AT1751" s="1194">
        <f t="shared" si="379"/>
        <v>1</v>
      </c>
      <c r="AU1751" s="1194" t="str">
        <f t="shared" si="368"/>
        <v>.</v>
      </c>
      <c r="AV1751" s="1194" t="str">
        <f t="shared" si="371"/>
        <v>.</v>
      </c>
      <c r="AW1751" s="1194" t="str">
        <f t="shared" si="380"/>
        <v>.</v>
      </c>
      <c r="AX1751" s="1194">
        <f>IFERROR(VLOOKUP(B1751,'Share, Heavy Weapons to Ukraine'!B:Z,COLUMN('Share, Heavy Weapons to Ukraine'!C1762)-1,0),0)</f>
        <v>1</v>
      </c>
      <c r="AY1751" s="1194">
        <f>VLOOKUP('Bilateral Assistance, MAIN DATA'!B1751,'Country Summary (€)'!B:F,COLUMN('Country Summary (€)'!C1763)-1,FALSE)</f>
        <v>0</v>
      </c>
      <c r="AZ1751" s="1194" t="str">
        <f>IF(AND(AD1751=1,D1751="Military",H1751&lt;&gt;"Not given")=TRUE,IF(SUMIFS(P:P,A:A,A1751)&gt;0,ABS((SUMIFS(P:P,A:A,A1751)/VLOOKUP("USD",'Exchange Rates'!B:C,2,0)))/S1751,"."),".")</f>
        <v>.</v>
      </c>
      <c r="BA1751" s="1196" t="str">
        <f>IF(AND(AD1751=1,D1751="Military",H1751&lt;&gt;"Not given")=TRUE,IF(SUMIFS(P:P,A:A,A1751)&gt;0,IF((ABS((SUMIFS(P:P,A:A,A1751)/VLOOKUP("USD",'Exchange Rates'!B:C,2,0)))/S1751)&gt;1,(SUMIFS(P:P,A:A,A1751)-S1751)/S1751,(S1751-SUMIFS(P:P,A:A,A1751))/SUMIFS(P:P,A:A,A1751)),"."),".")</f>
        <v>.</v>
      </c>
    </row>
    <row r="1752" spans="1:71" ht="15.95" customHeight="1">
      <c r="A1752" s="1208" t="s">
        <v>4310</v>
      </c>
      <c r="B1752" s="1208" t="s">
        <v>3949</v>
      </c>
      <c r="C1752" s="1220">
        <v>44932</v>
      </c>
      <c r="D1752" s="1208" t="s">
        <v>389</v>
      </c>
      <c r="E1752" s="1208" t="s">
        <v>390</v>
      </c>
      <c r="F1752" s="1263" t="s">
        <v>4312</v>
      </c>
      <c r="G1752" s="1184" t="s">
        <v>456</v>
      </c>
      <c r="H1752" s="1221">
        <v>2850000000</v>
      </c>
      <c r="I1752" s="1180" t="s">
        <v>4319</v>
      </c>
      <c r="J1752" s="1186" t="str">
        <f>VLOOKUP($I1752,'Price List, Weapons &amp; Items'!B:C,2,0)</f>
        <v>Ammunition for heavy weapon</v>
      </c>
      <c r="K1752" s="1186" t="str">
        <f>IF(I1752=".",I1752,VLOOKUP($I1752,'Price List, Weapons &amp; Items'!B:D,3,0))</f>
        <v>missile</v>
      </c>
      <c r="L1752" s="1187">
        <f>VLOOKUP(I1752,'Price List, Weapons &amp; Items'!B:E,4,0)</f>
        <v>0</v>
      </c>
      <c r="M1752" s="1188" t="s">
        <v>374</v>
      </c>
      <c r="N1752" s="1188" t="s">
        <v>374</v>
      </c>
      <c r="O1752" s="1188">
        <f>VLOOKUP($I1752,'Price List, Weapons &amp; Items'!B:G,6,0)</f>
        <v>165900</v>
      </c>
      <c r="P1752" s="1185" t="str">
        <f t="shared" si="372"/>
        <v>.</v>
      </c>
      <c r="Q1752" s="1185" t="str">
        <f t="shared" si="373"/>
        <v>.</v>
      </c>
      <c r="R1752" s="1185" t="str">
        <f t="shared" si="369"/>
        <v/>
      </c>
      <c r="S1752" s="1185" t="str">
        <f>IF(AND(AD1752=1,R1752&lt;&gt;".")=TRUE,R1752/VLOOKUP(G1752,'Exchange Rates'!B:C,2,0),IF(R1752=".",".",""))</f>
        <v/>
      </c>
      <c r="T1752" s="1185" t="str">
        <f>IF(AD1752=1,IF(AF1752="Value is not given at all",".",IF(AF1752="Value is given by the source",S1752,IF(AF1752="Value is calculated with prices",(IF(SUMIFS(Q:Q,A:A,A1752)&gt;0,SUMIFS(Q:Q,A:A,A1752),"."))/VLOOKUP("USD",'Exchange Rates'!B:C,2,0),"Error with coding"))),"")</f>
        <v/>
      </c>
      <c r="U1752" s="1184" t="s">
        <v>365</v>
      </c>
      <c r="V1752" s="966" t="s">
        <v>4313</v>
      </c>
      <c r="W1752" s="983" t="s">
        <v>3978</v>
      </c>
      <c r="X1752" s="980" t="s">
        <v>3982</v>
      </c>
      <c r="Y1752" s="980" t="s">
        <v>4018</v>
      </c>
      <c r="Z1752" s="1184">
        <v>0</v>
      </c>
      <c r="AA1752" s="1194">
        <v>0</v>
      </c>
      <c r="AB1752" s="1180" t="s">
        <v>364</v>
      </c>
      <c r="AC1752" s="1192" t="str">
        <f>""</f>
        <v/>
      </c>
      <c r="AD1752" s="1193">
        <v>0</v>
      </c>
      <c r="AE1752" s="1193" t="s">
        <v>368</v>
      </c>
      <c r="AF1752" s="1193" t="s">
        <v>369</v>
      </c>
      <c r="AG1752" s="1193">
        <v>1</v>
      </c>
      <c r="AH1752" s="1193">
        <v>13</v>
      </c>
      <c r="AI1752" s="1193">
        <v>0</v>
      </c>
      <c r="AJ1752" s="1193">
        <f>VLOOKUP($I1752,'Price List, Weapons &amp; Items'!B:F,5,0)</f>
        <v>0</v>
      </c>
      <c r="AK1752" s="1193">
        <f t="shared" si="374"/>
        <v>0</v>
      </c>
      <c r="AL1752" s="1193">
        <f t="shared" si="375"/>
        <v>0</v>
      </c>
      <c r="AM1752" s="1193">
        <f t="shared" si="376"/>
        <v>0</v>
      </c>
      <c r="AN1752" s="1194" t="str">
        <f>VLOOKUP($I1752,'Price List, Weapons &amp; Items'!B:L,COLUMN('Price List, Weapons &amp; Items'!$J$11)-1,0)</f>
        <v>Media reports (incl. social media)</v>
      </c>
      <c r="AO1752" s="1194" t="str">
        <f>IF(I1752=".",".",VLOOKUP($I1752,'Price List, Weapons &amp; Items'!B:J,3,0))</f>
        <v>missile</v>
      </c>
      <c r="AP1752" s="1195" t="str">
        <f t="shared" ca="1" si="370"/>
        <v/>
      </c>
      <c r="AQ1752" s="1194" t="str">
        <f>VLOOKUP($I1752,'Price List, Weapons &amp; Items'!B:L,COLUMN('Price List, Weapons &amp; Items'!$L$11)-1,0)</f>
        <v>no price, 0 count</v>
      </c>
      <c r="AR1752" s="1194">
        <f t="shared" si="377"/>
        <v>1</v>
      </c>
      <c r="AS1752" s="1194">
        <f t="shared" si="378"/>
        <v>1</v>
      </c>
      <c r="AT1752" s="1194">
        <f t="shared" si="379"/>
        <v>1</v>
      </c>
      <c r="AU1752" s="1194" t="str">
        <f t="shared" si="368"/>
        <v>.</v>
      </c>
      <c r="AV1752" s="1194" t="str">
        <f t="shared" si="371"/>
        <v>.</v>
      </c>
      <c r="AW1752" s="1194" t="str">
        <f t="shared" si="380"/>
        <v>.</v>
      </c>
      <c r="AX1752" s="1194">
        <f>IFERROR(VLOOKUP(B1752,'Share, Heavy Weapons to Ukraine'!B:Z,COLUMN('Share, Heavy Weapons to Ukraine'!C1763)-1,0),0)</f>
        <v>1</v>
      </c>
      <c r="AY1752" s="1194">
        <f>VLOOKUP('Bilateral Assistance, MAIN DATA'!B1752,'Country Summary (€)'!B:F,COLUMN('Country Summary (€)'!C1764)-1,FALSE)</f>
        <v>0</v>
      </c>
      <c r="AZ1752" s="1194" t="str">
        <f>IF(AND(AD1752=1,D1752="Military",H1752&lt;&gt;"Not given")=TRUE,IF(SUMIFS(P:P,A:A,A1752)&gt;0,ABS((SUMIFS(P:P,A:A,A1752)/VLOOKUP("USD",'Exchange Rates'!B:C,2,0)))/S1752,"."),".")</f>
        <v>.</v>
      </c>
      <c r="BA1752" s="1196" t="str">
        <f>IF(AND(AD1752=1,D1752="Military",H1752&lt;&gt;"Not given")=TRUE,IF(SUMIFS(P:P,A:A,A1752)&gt;0,IF((ABS((SUMIFS(P:P,A:A,A1752)/VLOOKUP("USD",'Exchange Rates'!B:C,2,0)))/S1752)&gt;1,(SUMIFS(P:P,A:A,A1752)-S1752)/S1752,(S1752-SUMIFS(P:P,A:A,A1752))/SUMIFS(P:P,A:A,A1752)),"."),".")</f>
        <v>.</v>
      </c>
    </row>
    <row r="1753" spans="1:71" ht="15.95" customHeight="1">
      <c r="A1753" s="1208" t="s">
        <v>4310</v>
      </c>
      <c r="B1753" s="1208" t="s">
        <v>3949</v>
      </c>
      <c r="C1753" s="1220">
        <v>44932</v>
      </c>
      <c r="D1753" s="1208" t="s">
        <v>389</v>
      </c>
      <c r="E1753" s="1208" t="s">
        <v>390</v>
      </c>
      <c r="F1753" s="1263" t="s">
        <v>4312</v>
      </c>
      <c r="G1753" s="1184" t="s">
        <v>456</v>
      </c>
      <c r="H1753" s="1221">
        <v>2850000000</v>
      </c>
      <c r="I1753" s="1180" t="s">
        <v>4320</v>
      </c>
      <c r="J1753" s="1186" t="str">
        <f>VLOOKUP($I1753,'Price List, Weapons &amp; Items'!B:C,2,0)</f>
        <v>Ammunition for heavy weapon</v>
      </c>
      <c r="K1753" s="1186" t="str">
        <f>IF(I1753=".",I1753,VLOOKUP($I1753,'Price List, Weapons &amp; Items'!B:D,3,0))</f>
        <v>missile</v>
      </c>
      <c r="L1753" s="1187">
        <f>VLOOKUP(I1753,'Price List, Weapons &amp; Items'!B:E,4,0)</f>
        <v>0</v>
      </c>
      <c r="M1753" s="1188">
        <v>4000</v>
      </c>
      <c r="N1753" s="1188" t="s">
        <v>374</v>
      </c>
      <c r="O1753" s="1188">
        <f>VLOOKUP($I1753,'Price List, Weapons &amp; Items'!B:G,6,0)</f>
        <v>400</v>
      </c>
      <c r="P1753" s="1185">
        <f t="shared" si="372"/>
        <v>1600000</v>
      </c>
      <c r="Q1753" s="1185" t="str">
        <f t="shared" si="373"/>
        <v>.</v>
      </c>
      <c r="R1753" s="1185" t="str">
        <f t="shared" si="369"/>
        <v/>
      </c>
      <c r="S1753" s="1185" t="str">
        <f>IF(AND(AD1753=1,R1753&lt;&gt;".")=TRUE,R1753/VLOOKUP(G1753,'Exchange Rates'!B:C,2,0),IF(R1753=".",".",""))</f>
        <v/>
      </c>
      <c r="T1753" s="1185" t="str">
        <f>IF(AD1753=1,IF(AF1753="Value is not given at all",".",IF(AF1753="Value is given by the source",S1753,IF(AF1753="Value is calculated with prices",(IF(SUMIFS(Q:Q,A:A,A1753)&gt;0,SUMIFS(Q:Q,A:A,A1753),"."))/VLOOKUP("USD",'Exchange Rates'!B:C,2,0),"Error with coding"))),"")</f>
        <v/>
      </c>
      <c r="U1753" s="1184" t="s">
        <v>365</v>
      </c>
      <c r="V1753" s="966" t="s">
        <v>4313</v>
      </c>
      <c r="W1753" s="983" t="s">
        <v>3978</v>
      </c>
      <c r="X1753" s="980" t="s">
        <v>3982</v>
      </c>
      <c r="Y1753" s="980" t="s">
        <v>4020</v>
      </c>
      <c r="Z1753" s="1184">
        <v>0</v>
      </c>
      <c r="AA1753" s="1194">
        <v>0</v>
      </c>
      <c r="AB1753" s="1180" t="s">
        <v>364</v>
      </c>
      <c r="AC1753" s="1192" t="str">
        <f>""</f>
        <v/>
      </c>
      <c r="AD1753" s="1193">
        <v>0</v>
      </c>
      <c r="AE1753" s="1193" t="s">
        <v>368</v>
      </c>
      <c r="AF1753" s="1193" t="s">
        <v>369</v>
      </c>
      <c r="AG1753" s="1193">
        <v>1</v>
      </c>
      <c r="AH1753" s="1193">
        <v>13</v>
      </c>
      <c r="AI1753" s="1193">
        <v>0</v>
      </c>
      <c r="AJ1753" s="1193">
        <f>VLOOKUP($I1753,'Price List, Weapons &amp; Items'!B:F,5,0)</f>
        <v>0</v>
      </c>
      <c r="AK1753" s="1193">
        <f t="shared" si="374"/>
        <v>0</v>
      </c>
      <c r="AL1753" s="1193">
        <f t="shared" si="375"/>
        <v>0</v>
      </c>
      <c r="AM1753" s="1193">
        <f t="shared" si="376"/>
        <v>0</v>
      </c>
      <c r="AN1753" s="1194" t="str">
        <f>VLOOKUP($I1753,'Price List, Weapons &amp; Items'!B:L,COLUMN('Price List, Weapons &amp; Items'!$J$11)-1,0)</f>
        <v>Media reports (incl. social media)</v>
      </c>
      <c r="AO1753" s="1194" t="str">
        <f>IF(I1753=".",".",VLOOKUP($I1753,'Price List, Weapons &amp; Items'!B:J,3,0))</f>
        <v>missile</v>
      </c>
      <c r="AP1753" s="1195" t="str">
        <f t="shared" ca="1" si="370"/>
        <v/>
      </c>
      <c r="AQ1753" s="1194">
        <f>VLOOKUP($I1753,'Price List, Weapons &amp; Items'!B:L,COLUMN('Price List, Weapons &amp; Items'!$L$11)-1,0)</f>
        <v>1</v>
      </c>
      <c r="AR1753" s="1194">
        <f t="shared" si="377"/>
        <v>1</v>
      </c>
      <c r="AS1753" s="1194">
        <f t="shared" si="378"/>
        <v>1</v>
      </c>
      <c r="AT1753" s="1194">
        <f t="shared" si="379"/>
        <v>1</v>
      </c>
      <c r="AU1753" s="1194" t="str">
        <f t="shared" si="368"/>
        <v>.</v>
      </c>
      <c r="AV1753" s="1194" t="str">
        <f t="shared" si="371"/>
        <v>.</v>
      </c>
      <c r="AW1753" s="1194" t="str">
        <f t="shared" si="380"/>
        <v>.</v>
      </c>
      <c r="AX1753" s="1194">
        <f>IFERROR(VLOOKUP(B1753,'Share, Heavy Weapons to Ukraine'!B:Z,COLUMN('Share, Heavy Weapons to Ukraine'!C1764)-1,0),0)</f>
        <v>1</v>
      </c>
      <c r="AY1753" s="1194">
        <f>VLOOKUP('Bilateral Assistance, MAIN DATA'!B1753,'Country Summary (€)'!B:F,COLUMN('Country Summary (€)'!C1765)-1,FALSE)</f>
        <v>0</v>
      </c>
      <c r="AZ1753" s="1194" t="str">
        <f>IF(AND(AD1753=1,D1753="Military",H1753&lt;&gt;"Not given")=TRUE,IF(SUMIFS(P:P,A:A,A1753)&gt;0,ABS((SUMIFS(P:P,A:A,A1753)/VLOOKUP("USD",'Exchange Rates'!B:C,2,0)))/S1753,"."),".")</f>
        <v>.</v>
      </c>
      <c r="BA1753" s="1196" t="str">
        <f>IF(AND(AD1753=1,D1753="Military",H1753&lt;&gt;"Not given")=TRUE,IF(SUMIFS(P:P,A:A,A1753)&gt;0,IF((ABS((SUMIFS(P:P,A:A,A1753)/VLOOKUP("USD",'Exchange Rates'!B:C,2,0)))/S1753)&gt;1,(SUMIFS(P:P,A:A,A1753)-S1753)/S1753,(S1753-SUMIFS(P:P,A:A,A1753))/SUMIFS(P:P,A:A,A1753)),"."),".")</f>
        <v>.</v>
      </c>
    </row>
    <row r="1754" spans="1:71" ht="15.95" customHeight="1">
      <c r="A1754" s="1208" t="s">
        <v>4310</v>
      </c>
      <c r="B1754" s="1208" t="s">
        <v>3949</v>
      </c>
      <c r="C1754" s="1220">
        <v>44932</v>
      </c>
      <c r="D1754" s="1208" t="s">
        <v>389</v>
      </c>
      <c r="E1754" s="1208" t="s">
        <v>390</v>
      </c>
      <c r="F1754" s="1263" t="s">
        <v>4312</v>
      </c>
      <c r="G1754" s="1184" t="s">
        <v>456</v>
      </c>
      <c r="H1754" s="1221">
        <v>2850000000</v>
      </c>
      <c r="I1754" s="1266" t="s">
        <v>4229</v>
      </c>
      <c r="J1754" s="1186" t="str">
        <f>VLOOKUP($I1754,'Price List, Weapons &amp; Items'!B:C,2,0)</f>
        <v>Ammunition for heavy weapon</v>
      </c>
      <c r="K1754" s="1186" t="str">
        <f>IF(I1754=".",I1754,VLOOKUP($I1754,'Price List, Weapons &amp; Items'!B:D,3,0))</f>
        <v>122mm MLRS ammunition</v>
      </c>
      <c r="L1754" s="1187">
        <f>VLOOKUP(I1754,'Price List, Weapons &amp; Items'!B:E,4,0)</f>
        <v>1</v>
      </c>
      <c r="M1754" s="1188">
        <v>2000</v>
      </c>
      <c r="N1754" s="1188" t="s">
        <v>374</v>
      </c>
      <c r="O1754" s="1188">
        <f>VLOOKUP($I1754,'Price List, Weapons &amp; Items'!B:G,6,0)</f>
        <v>1000</v>
      </c>
      <c r="P1754" s="1185">
        <f t="shared" si="372"/>
        <v>2000000</v>
      </c>
      <c r="Q1754" s="1185" t="str">
        <f t="shared" si="373"/>
        <v>.</v>
      </c>
      <c r="R1754" s="1185" t="str">
        <f t="shared" si="369"/>
        <v/>
      </c>
      <c r="S1754" s="1185" t="str">
        <f>IF(AND(AD1754=1,R1754&lt;&gt;".")=TRUE,R1754/VLOOKUP(G1754,'Exchange Rates'!B:C,2,0),IF(R1754=".",".",""))</f>
        <v/>
      </c>
      <c r="T1754" s="1185" t="str">
        <f>IF(AD1754=1,IF(AF1754="Value is not given at all",".",IF(AF1754="Value is given by the source",S1754,IF(AF1754="Value is calculated with prices",(IF(SUMIFS(Q:Q,A:A,A1754)&gt;0,SUMIFS(Q:Q,A:A,A1754),"."))/VLOOKUP("USD",'Exchange Rates'!B:C,2,0),"Error with coding"))),"")</f>
        <v/>
      </c>
      <c r="U1754" s="1184" t="s">
        <v>365</v>
      </c>
      <c r="V1754" s="966" t="s">
        <v>4313</v>
      </c>
      <c r="W1754" s="983" t="s">
        <v>3978</v>
      </c>
      <c r="X1754" s="980" t="s">
        <v>3982</v>
      </c>
      <c r="Y1754" s="980" t="s">
        <v>4021</v>
      </c>
      <c r="Z1754" s="1184">
        <v>0</v>
      </c>
      <c r="AA1754" s="1194">
        <v>0</v>
      </c>
      <c r="AB1754" s="1180" t="s">
        <v>364</v>
      </c>
      <c r="AC1754" s="1192" t="str">
        <f>""</f>
        <v/>
      </c>
      <c r="AD1754" s="1193">
        <v>0</v>
      </c>
      <c r="AE1754" s="1193" t="s">
        <v>368</v>
      </c>
      <c r="AF1754" s="1193" t="s">
        <v>369</v>
      </c>
      <c r="AG1754" s="1193">
        <v>1</v>
      </c>
      <c r="AH1754" s="1193">
        <v>13</v>
      </c>
      <c r="AI1754" s="1193">
        <v>0</v>
      </c>
      <c r="AJ1754" s="1193">
        <f>VLOOKUP($I1754,'Price List, Weapons &amp; Items'!B:F,5,0)</f>
        <v>1</v>
      </c>
      <c r="AK1754" s="1193">
        <f t="shared" si="374"/>
        <v>0</v>
      </c>
      <c r="AL1754" s="1193">
        <f t="shared" si="375"/>
        <v>1</v>
      </c>
      <c r="AM1754" s="1193">
        <f t="shared" si="376"/>
        <v>0</v>
      </c>
      <c r="AN1754" s="1194" t="str">
        <f>VLOOKUP($I1754,'Price List, Weapons &amp; Items'!B:L,COLUMN('Price List, Weapons &amp; Items'!$J$11)-1,0)</f>
        <v>Media reports (incl. social media)</v>
      </c>
      <c r="AO1754" s="1194" t="str">
        <f>IF(I1754=".",".",VLOOKUP($I1754,'Price List, Weapons &amp; Items'!B:J,3,0))</f>
        <v>122mm MLRS ammunition</v>
      </c>
      <c r="AP1754" s="1195" t="str">
        <f t="shared" ca="1" si="370"/>
        <v/>
      </c>
      <c r="AQ1754" s="1194">
        <f>VLOOKUP($I1754,'Price List, Weapons &amp; Items'!B:L,COLUMN('Price List, Weapons &amp; Items'!$L$11)-1,0)</f>
        <v>2</v>
      </c>
      <c r="AR1754" s="1194">
        <f t="shared" si="377"/>
        <v>1</v>
      </c>
      <c r="AS1754" s="1194">
        <f t="shared" si="378"/>
        <v>1</v>
      </c>
      <c r="AT1754" s="1194">
        <f t="shared" si="379"/>
        <v>1</v>
      </c>
      <c r="AU1754" s="1194" t="str">
        <f t="shared" si="368"/>
        <v>.</v>
      </c>
      <c r="AV1754" s="1194" t="str">
        <f t="shared" si="371"/>
        <v>.</v>
      </c>
      <c r="AW1754" s="1194" t="str">
        <f t="shared" si="380"/>
        <v>.</v>
      </c>
      <c r="AX1754" s="1194">
        <f>IFERROR(VLOOKUP(B1754,'Share, Heavy Weapons to Ukraine'!B:Z,COLUMN('Share, Heavy Weapons to Ukraine'!C1765)-1,0),0)</f>
        <v>1</v>
      </c>
      <c r="AY1754" s="1194">
        <f>VLOOKUP('Bilateral Assistance, MAIN DATA'!B1754,'Country Summary (€)'!B:F,COLUMN('Country Summary (€)'!C1766)-1,FALSE)</f>
        <v>0</v>
      </c>
      <c r="AZ1754" s="1194" t="str">
        <f>IF(AND(AD1754=1,D1754="Military",H1754&lt;&gt;"Not given")=TRUE,IF(SUMIFS(P:P,A:A,A1754)&gt;0,ABS((SUMIFS(P:P,A:A,A1754)/VLOOKUP("USD",'Exchange Rates'!B:C,2,0)))/S1754,"."),".")</f>
        <v>.</v>
      </c>
      <c r="BA1754" s="1196" t="str">
        <f>IF(AND(AD1754=1,D1754="Military",H1754&lt;&gt;"Not given")=TRUE,IF(SUMIFS(P:P,A:A,A1754)&gt;0,IF((ABS((SUMIFS(P:P,A:A,A1754)/VLOOKUP("USD",'Exchange Rates'!B:C,2,0)))/S1754)&gt;1,(SUMIFS(P:P,A:A,A1754)-S1754)/S1754,(S1754-SUMIFS(P:P,A:A,A1754))/SUMIFS(P:P,A:A,A1754)),"."),".")</f>
        <v>.</v>
      </c>
    </row>
    <row r="1755" spans="1:71" ht="15.95" customHeight="1">
      <c r="A1755" s="1208" t="s">
        <v>4310</v>
      </c>
      <c r="B1755" s="1208" t="s">
        <v>3949</v>
      </c>
      <c r="C1755" s="1220">
        <v>44932</v>
      </c>
      <c r="D1755" s="1208" t="s">
        <v>389</v>
      </c>
      <c r="E1755" s="1208" t="s">
        <v>390</v>
      </c>
      <c r="F1755" s="1263" t="s">
        <v>4312</v>
      </c>
      <c r="G1755" s="1184" t="s">
        <v>456</v>
      </c>
      <c r="H1755" s="1221">
        <v>2850000000</v>
      </c>
      <c r="I1755" s="1180" t="s">
        <v>648</v>
      </c>
      <c r="J1755" s="1186" t="str">
        <f>VLOOKUP($I1755,'Price List, Weapons &amp; Items'!B:C,2,0)</f>
        <v>Light armaments &amp; infantry</v>
      </c>
      <c r="K1755" s="1186" t="str">
        <f>IF(I1755=".",I1755,VLOOKUP($I1755,'Price List, Weapons &amp; Items'!B:D,3,0))</f>
        <v>Light Anti-armor Weapon (LAW)</v>
      </c>
      <c r="L1755" s="1187">
        <f>VLOOKUP(I1755,'Price List, Weapons &amp; Items'!B:E,4,0)</f>
        <v>0</v>
      </c>
      <c r="M1755" s="1188">
        <v>4300</v>
      </c>
      <c r="N1755" s="1188" t="s">
        <v>374</v>
      </c>
      <c r="O1755" s="1188">
        <f>VLOOKUP($I1755,'Price List, Weapons &amp; Items'!B:G,6,0)</f>
        <v>2099</v>
      </c>
      <c r="P1755" s="1185">
        <f t="shared" si="372"/>
        <v>9025700</v>
      </c>
      <c r="Q1755" s="1185" t="str">
        <f t="shared" si="373"/>
        <v>.</v>
      </c>
      <c r="R1755" s="1185" t="str">
        <f t="shared" si="369"/>
        <v/>
      </c>
      <c r="S1755" s="1185" t="str">
        <f>IF(AND(AD1755=1,R1755&lt;&gt;".")=TRUE,R1755/VLOOKUP(G1755,'Exchange Rates'!B:C,2,0),IF(R1755=".",".",""))</f>
        <v/>
      </c>
      <c r="T1755" s="1185" t="str">
        <f>IF(AD1755=1,IF(AF1755="Value is not given at all",".",IF(AF1755="Value is given by the source",S1755,IF(AF1755="Value is calculated with prices",(IF(SUMIFS(Q:Q,A:A,A1755)&gt;0,SUMIFS(Q:Q,A:A,A1755),"."))/VLOOKUP("USD",'Exchange Rates'!B:C,2,0),"Error with coding"))),"")</f>
        <v/>
      </c>
      <c r="U1755" s="1184" t="s">
        <v>365</v>
      </c>
      <c r="V1755" s="966" t="s">
        <v>4313</v>
      </c>
      <c r="W1755" s="983" t="s">
        <v>3978</v>
      </c>
      <c r="X1755" s="980" t="s">
        <v>3982</v>
      </c>
      <c r="Y1755" s="980" t="s">
        <v>4022</v>
      </c>
      <c r="Z1755" s="1184">
        <v>0</v>
      </c>
      <c r="AA1755" s="1194">
        <v>0</v>
      </c>
      <c r="AB1755" s="1180" t="s">
        <v>364</v>
      </c>
      <c r="AC1755" s="1192" t="str">
        <f>""</f>
        <v/>
      </c>
      <c r="AD1755" s="1193">
        <v>0</v>
      </c>
      <c r="AE1755" s="1193" t="s">
        <v>368</v>
      </c>
      <c r="AF1755" s="1193" t="s">
        <v>369</v>
      </c>
      <c r="AG1755" s="1193">
        <v>1</v>
      </c>
      <c r="AH1755" s="1193">
        <v>13</v>
      </c>
      <c r="AI1755" s="1193">
        <v>0</v>
      </c>
      <c r="AJ1755" s="1193">
        <f>VLOOKUP($I1755,'Price List, Weapons &amp; Items'!B:F,5,0)</f>
        <v>0</v>
      </c>
      <c r="AK1755" s="1193">
        <f t="shared" si="374"/>
        <v>0</v>
      </c>
      <c r="AL1755" s="1193">
        <f t="shared" si="375"/>
        <v>0</v>
      </c>
      <c r="AM1755" s="1193">
        <f t="shared" si="376"/>
        <v>0</v>
      </c>
      <c r="AN1755" s="1194" t="str">
        <f>VLOOKUP($I1755,'Price List, Weapons &amp; Items'!B:L,COLUMN('Price List, Weapons &amp; Items'!$J$11)-1,0)</f>
        <v>Media reports (incl. social media)</v>
      </c>
      <c r="AO1755" s="1194" t="str">
        <f>IF(I1755=".",".",VLOOKUP($I1755,'Price List, Weapons &amp; Items'!B:J,3,0))</f>
        <v>Light Anti-armor Weapon (LAW)</v>
      </c>
      <c r="AP1755" s="1195" t="str">
        <f t="shared" ca="1" si="370"/>
        <v/>
      </c>
      <c r="AQ1755" s="1194">
        <f>VLOOKUP($I1755,'Price List, Weapons &amp; Items'!B:L,COLUMN('Price List, Weapons &amp; Items'!$L$11)-1,0)</f>
        <v>2</v>
      </c>
      <c r="AR1755" s="1194">
        <f t="shared" si="377"/>
        <v>1</v>
      </c>
      <c r="AS1755" s="1194">
        <f t="shared" si="378"/>
        <v>1</v>
      </c>
      <c r="AT1755" s="1194">
        <f t="shared" si="379"/>
        <v>1</v>
      </c>
      <c r="AU1755" s="1194" t="str">
        <f t="shared" si="368"/>
        <v>.</v>
      </c>
      <c r="AV1755" s="1194" t="str">
        <f t="shared" si="371"/>
        <v>.</v>
      </c>
      <c r="AW1755" s="1194" t="str">
        <f t="shared" si="380"/>
        <v>.</v>
      </c>
      <c r="AX1755" s="1194">
        <f>IFERROR(VLOOKUP(B1755,'Share, Heavy Weapons to Ukraine'!B:Z,COLUMN('Share, Heavy Weapons to Ukraine'!C1766)-1,0),0)</f>
        <v>1</v>
      </c>
      <c r="AY1755" s="1194">
        <f>VLOOKUP('Bilateral Assistance, MAIN DATA'!B1755,'Country Summary (€)'!B:F,COLUMN('Country Summary (€)'!C1767)-1,FALSE)</f>
        <v>0</v>
      </c>
      <c r="AZ1755" s="1194" t="str">
        <f>IF(AND(AD1755=1,D1755="Military",H1755&lt;&gt;"Not given")=TRUE,IF(SUMIFS(P:P,A:A,A1755)&gt;0,ABS((SUMIFS(P:P,A:A,A1755)/VLOOKUP("USD",'Exchange Rates'!B:C,2,0)))/S1755,"."),".")</f>
        <v>.</v>
      </c>
      <c r="BA1755" s="1196" t="str">
        <f>IF(AND(AD1755=1,D1755="Military",H1755&lt;&gt;"Not given")=TRUE,IF(SUMIFS(P:P,A:A,A1755)&gt;0,IF((ABS((SUMIFS(P:P,A:A,A1755)/VLOOKUP("USD",'Exchange Rates'!B:C,2,0)))/S1755)&gt;1,(SUMIFS(P:P,A:A,A1755)-S1755)/S1755,(S1755-SUMIFS(P:P,A:A,A1755))/SUMIFS(P:P,A:A,A1755)),"."),".")</f>
        <v>.</v>
      </c>
    </row>
    <row r="1756" spans="1:71" ht="15.95" customHeight="1">
      <c r="A1756" s="1208" t="s">
        <v>4310</v>
      </c>
      <c r="B1756" s="1208" t="s">
        <v>3949</v>
      </c>
      <c r="C1756" s="1220">
        <v>44932</v>
      </c>
      <c r="D1756" s="1208" t="s">
        <v>389</v>
      </c>
      <c r="E1756" s="1208" t="s">
        <v>390</v>
      </c>
      <c r="F1756" s="1263" t="s">
        <v>4312</v>
      </c>
      <c r="G1756" s="1184" t="s">
        <v>456</v>
      </c>
      <c r="H1756" s="1221">
        <v>2850000000</v>
      </c>
      <c r="I1756" s="1208" t="s">
        <v>4045</v>
      </c>
      <c r="J1756" s="1186" t="str">
        <f>VLOOKUP($I1756,'Price List, Weapons &amp; Items'!B:C,2,0)</f>
        <v>Light armaments &amp; infantry</v>
      </c>
      <c r="K1756" s="1186" t="str">
        <f>IF(I1756=".",I1756,VLOOKUP($I1756,'Price List, Weapons &amp; Items'!B:D,3,0))</f>
        <v>Explosive</v>
      </c>
      <c r="L1756" s="1187">
        <f>VLOOKUP(I1756,'Price List, Weapons &amp; Items'!B:E,4,0)</f>
        <v>0</v>
      </c>
      <c r="M1756" s="1188" t="s">
        <v>374</v>
      </c>
      <c r="N1756" s="1188" t="s">
        <v>374</v>
      </c>
      <c r="O1756" s="1188">
        <f>VLOOKUP($I1756,'Price List, Weapons &amp; Items'!B:G,6,0)</f>
        <v>223.15</v>
      </c>
      <c r="P1756" s="1185" t="str">
        <f t="shared" si="372"/>
        <v>.</v>
      </c>
      <c r="Q1756" s="1185" t="str">
        <f t="shared" si="373"/>
        <v>.</v>
      </c>
      <c r="R1756" s="1185" t="str">
        <f t="shared" si="369"/>
        <v/>
      </c>
      <c r="S1756" s="1185" t="str">
        <f>IF(AND(AD1756=1,R1756&lt;&gt;".")=TRUE,R1756/VLOOKUP(G1756,'Exchange Rates'!B:C,2,0),IF(R1756=".",".",""))</f>
        <v/>
      </c>
      <c r="T1756" s="1185" t="str">
        <f>IF(AD1756=1,IF(AF1756="Value is not given at all",".",IF(AF1756="Value is given by the source",S1756,IF(AF1756="Value is calculated with prices",(IF(SUMIFS(Q:Q,A:A,A1756)&gt;0,SUMIFS(Q:Q,A:A,A1756),"."))/VLOOKUP("USD",'Exchange Rates'!B:C,2,0),"Error with coding"))),"")</f>
        <v/>
      </c>
      <c r="U1756" s="1184" t="s">
        <v>365</v>
      </c>
      <c r="V1756" s="966" t="s">
        <v>4313</v>
      </c>
      <c r="W1756" s="983" t="s">
        <v>3978</v>
      </c>
      <c r="X1756" s="980" t="s">
        <v>3982</v>
      </c>
      <c r="Y1756" s="980" t="s">
        <v>4024</v>
      </c>
      <c r="Z1756" s="1184">
        <v>0</v>
      </c>
      <c r="AA1756" s="1194">
        <v>0</v>
      </c>
      <c r="AB1756" s="1180" t="s">
        <v>364</v>
      </c>
      <c r="AC1756" s="1192" t="str">
        <f>""</f>
        <v/>
      </c>
      <c r="AD1756" s="1193">
        <v>0</v>
      </c>
      <c r="AE1756" s="1193" t="s">
        <v>368</v>
      </c>
      <c r="AF1756" s="1193" t="s">
        <v>369</v>
      </c>
      <c r="AG1756" s="1193">
        <v>1</v>
      </c>
      <c r="AH1756" s="1193">
        <v>13</v>
      </c>
      <c r="AI1756" s="1193">
        <v>0</v>
      </c>
      <c r="AJ1756" s="1193">
        <f>VLOOKUP($I1756,'Price List, Weapons &amp; Items'!B:F,5,0)</f>
        <v>0</v>
      </c>
      <c r="AK1756" s="1193">
        <f t="shared" si="374"/>
        <v>0</v>
      </c>
      <c r="AL1756" s="1193">
        <f t="shared" si="375"/>
        <v>0</v>
      </c>
      <c r="AM1756" s="1193">
        <f t="shared" si="376"/>
        <v>0</v>
      </c>
      <c r="AN1756" s="1194" t="str">
        <f>VLOOKUP($I1756,'Price List, Weapons &amp; Items'!B:L,COLUMN('Price List, Weapons &amp; Items'!$J$11)-1,0)</f>
        <v>Miscellaneous</v>
      </c>
      <c r="AO1756" s="1194" t="str">
        <f>IF(I1756=".",".",VLOOKUP($I1756,'Price List, Weapons &amp; Items'!B:J,3,0))</f>
        <v>Explosive</v>
      </c>
      <c r="AP1756" s="1195" t="str">
        <f t="shared" ca="1" si="370"/>
        <v/>
      </c>
      <c r="AQ1756" s="1194" t="str">
        <f>VLOOKUP($I1756,'Price List, Weapons &amp; Items'!B:L,COLUMN('Price List, Weapons &amp; Items'!$L$11)-1,0)</f>
        <v>no price, 0 count</v>
      </c>
      <c r="AR1756" s="1194">
        <f t="shared" si="377"/>
        <v>1</v>
      </c>
      <c r="AS1756" s="1194">
        <f t="shared" si="378"/>
        <v>1</v>
      </c>
      <c r="AT1756" s="1194">
        <f t="shared" si="379"/>
        <v>1</v>
      </c>
      <c r="AU1756" s="1194" t="str">
        <f t="shared" si="368"/>
        <v>.</v>
      </c>
      <c r="AV1756" s="1194" t="str">
        <f t="shared" si="371"/>
        <v>.</v>
      </c>
      <c r="AW1756" s="1194" t="str">
        <f t="shared" si="380"/>
        <v>.</v>
      </c>
      <c r="AX1756" s="1194">
        <f>IFERROR(VLOOKUP(B1756,'Share, Heavy Weapons to Ukraine'!B:Z,COLUMN('Share, Heavy Weapons to Ukraine'!C1767)-1,0),0)</f>
        <v>1</v>
      </c>
      <c r="AY1756" s="1194">
        <f>VLOOKUP('Bilateral Assistance, MAIN DATA'!B1756,'Country Summary (€)'!B:F,COLUMN('Country Summary (€)'!C1768)-1,FALSE)</f>
        <v>0</v>
      </c>
      <c r="AZ1756" s="1194" t="str">
        <f>IF(AND(AD1756=1,D1756="Military",H1756&lt;&gt;"Not given")=TRUE,IF(SUMIFS(P:P,A:A,A1756)&gt;0,ABS((SUMIFS(P:P,A:A,A1756)/VLOOKUP("USD",'Exchange Rates'!B:C,2,0)))/S1756,"."),".")</f>
        <v>.</v>
      </c>
      <c r="BA1756" s="1196" t="str">
        <f>IF(AND(AD1756=1,D1756="Military",H1756&lt;&gt;"Not given")=TRUE,IF(SUMIFS(P:P,A:A,A1756)&gt;0,IF((ABS((SUMIFS(P:P,A:A,A1756)/VLOOKUP("USD",'Exchange Rates'!B:C,2,0)))/S1756)&gt;1,(SUMIFS(P:P,A:A,A1756)-S1756)/S1756,(S1756-SUMIFS(P:P,A:A,A1756))/SUMIFS(P:P,A:A,A1756)),"."),".")</f>
        <v>.</v>
      </c>
    </row>
    <row r="1757" spans="1:71" ht="15.95" customHeight="1">
      <c r="A1757" s="1208" t="s">
        <v>4310</v>
      </c>
      <c r="B1757" s="1208" t="s">
        <v>3949</v>
      </c>
      <c r="C1757" s="1220">
        <v>44932</v>
      </c>
      <c r="D1757" s="1208" t="s">
        <v>389</v>
      </c>
      <c r="E1757" s="1208" t="s">
        <v>390</v>
      </c>
      <c r="F1757" s="1263" t="s">
        <v>4312</v>
      </c>
      <c r="G1757" s="1184" t="s">
        <v>456</v>
      </c>
      <c r="H1757" s="1221">
        <v>2850000000</v>
      </c>
      <c r="I1757" s="1180" t="s">
        <v>605</v>
      </c>
      <c r="J1757" s="1186" t="str">
        <f>VLOOKUP($I1757,'Price List, Weapons &amp; Items'!B:C,2,0)</f>
        <v>Military equipment</v>
      </c>
      <c r="K1757" s="1186" t="str">
        <f>IF(I1757=".",I1757,VLOOKUP($I1757,'Price List, Weapons &amp; Items'!B:D,3,0))</f>
        <v>Military equipment</v>
      </c>
      <c r="L1757" s="1187">
        <f>VLOOKUP(I1757,'Price List, Weapons &amp; Items'!B:E,4,0)</f>
        <v>0</v>
      </c>
      <c r="M1757" s="1188" t="s">
        <v>374</v>
      </c>
      <c r="N1757" s="1188" t="s">
        <v>374</v>
      </c>
      <c r="O1757" s="1188">
        <f>VLOOKUP($I1757,'Price List, Weapons &amp; Items'!B:G,6,0)</f>
        <v>2320</v>
      </c>
      <c r="P1757" s="1185" t="str">
        <f t="shared" si="372"/>
        <v>.</v>
      </c>
      <c r="Q1757" s="1185" t="str">
        <f t="shared" si="373"/>
        <v>.</v>
      </c>
      <c r="R1757" s="1185" t="str">
        <f t="shared" si="369"/>
        <v/>
      </c>
      <c r="S1757" s="1185" t="str">
        <f>IF(AND(AD1757=1,R1757&lt;&gt;".")=TRUE,R1757/VLOOKUP(G1757,'Exchange Rates'!B:C,2,0),IF(R1757=".",".",""))</f>
        <v/>
      </c>
      <c r="T1757" s="1185" t="str">
        <f>IF(AD1757=1,IF(AF1757="Value is not given at all",".",IF(AF1757="Value is given by the source",S1757,IF(AF1757="Value is calculated with prices",(IF(SUMIFS(Q:Q,A:A,A1757)&gt;0,SUMIFS(Q:Q,A:A,A1757),"."))/VLOOKUP("USD",'Exchange Rates'!B:C,2,0),"Error with coding"))),"")</f>
        <v/>
      </c>
      <c r="U1757" s="1184" t="s">
        <v>365</v>
      </c>
      <c r="V1757" s="966" t="s">
        <v>4313</v>
      </c>
      <c r="W1757" s="983" t="s">
        <v>3978</v>
      </c>
      <c r="X1757" s="980" t="s">
        <v>3982</v>
      </c>
      <c r="Y1757" s="980" t="s">
        <v>4026</v>
      </c>
      <c r="Z1757" s="1184">
        <v>0</v>
      </c>
      <c r="AA1757" s="1194">
        <v>0</v>
      </c>
      <c r="AB1757" s="1180" t="s">
        <v>364</v>
      </c>
      <c r="AC1757" s="1192" t="str">
        <f>""</f>
        <v/>
      </c>
      <c r="AD1757" s="1193">
        <v>0</v>
      </c>
      <c r="AE1757" s="1193" t="s">
        <v>368</v>
      </c>
      <c r="AF1757" s="1193" t="s">
        <v>369</v>
      </c>
      <c r="AG1757" s="1193">
        <v>1</v>
      </c>
      <c r="AH1757" s="1193">
        <v>13</v>
      </c>
      <c r="AI1757" s="1193">
        <v>0</v>
      </c>
      <c r="AJ1757" s="1193">
        <f>VLOOKUP($I1757,'Price List, Weapons &amp; Items'!B:F,5,0)</f>
        <v>0</v>
      </c>
      <c r="AK1757" s="1193">
        <f t="shared" si="374"/>
        <v>0</v>
      </c>
      <c r="AL1757" s="1193">
        <f t="shared" si="375"/>
        <v>0</v>
      </c>
      <c r="AM1757" s="1193">
        <f t="shared" si="376"/>
        <v>0</v>
      </c>
      <c r="AN1757" s="1194" t="str">
        <f>VLOOKUP($I1757,'Price List, Weapons &amp; Items'!B:L,COLUMN('Price List, Weapons &amp; Items'!$J$11)-1,0)</f>
        <v>Media reports (incl. social media)</v>
      </c>
      <c r="AO1757" s="1194" t="str">
        <f>IF(I1757=".",".",VLOOKUP($I1757,'Price List, Weapons &amp; Items'!B:J,3,0))</f>
        <v>Military equipment</v>
      </c>
      <c r="AP1757" s="1195" t="str">
        <f t="shared" ca="1" si="370"/>
        <v/>
      </c>
      <c r="AQ1757" s="1194">
        <f>VLOOKUP($I1757,'Price List, Weapons &amp; Items'!B:L,COLUMN('Price List, Weapons &amp; Items'!$L$11)-1,0)</f>
        <v>2</v>
      </c>
      <c r="AR1757" s="1194">
        <f t="shared" si="377"/>
        <v>1</v>
      </c>
      <c r="AS1757" s="1194">
        <f t="shared" si="378"/>
        <v>1</v>
      </c>
      <c r="AT1757" s="1194">
        <f t="shared" si="379"/>
        <v>1</v>
      </c>
      <c r="AU1757" s="1194" t="str">
        <f t="shared" si="368"/>
        <v>.</v>
      </c>
      <c r="AV1757" s="1194" t="str">
        <f t="shared" si="371"/>
        <v>.</v>
      </c>
      <c r="AW1757" s="1194" t="str">
        <f t="shared" si="380"/>
        <v>.</v>
      </c>
      <c r="AX1757" s="1194">
        <f>IFERROR(VLOOKUP(B1757,'Share, Heavy Weapons to Ukraine'!B:Z,COLUMN('Share, Heavy Weapons to Ukraine'!C1768)-1,0),0)</f>
        <v>1</v>
      </c>
      <c r="AY1757" s="1194">
        <f>VLOOKUP('Bilateral Assistance, MAIN DATA'!B1757,'Country Summary (€)'!B:F,COLUMN('Country Summary (€)'!C1769)-1,FALSE)</f>
        <v>0</v>
      </c>
      <c r="AZ1757" s="1194" t="str">
        <f>IF(AND(AD1757=1,D1757="Military",H1757&lt;&gt;"Not given")=TRUE,IF(SUMIFS(P:P,A:A,A1757)&gt;0,ABS((SUMIFS(P:P,A:A,A1757)/VLOOKUP("USD",'Exchange Rates'!B:C,2,0)))/S1757,"."),".")</f>
        <v>.</v>
      </c>
      <c r="BA1757" s="1196" t="str">
        <f>IF(AND(AD1757=1,D1757="Military",H1757&lt;&gt;"Not given")=TRUE,IF(SUMIFS(P:P,A:A,A1757)&gt;0,IF((ABS((SUMIFS(P:P,A:A,A1757)/VLOOKUP("USD",'Exchange Rates'!B:C,2,0)))/S1757)&gt;1,(SUMIFS(P:P,A:A,A1757)-S1757)/S1757,(S1757-SUMIFS(P:P,A:A,A1757))/SUMIFS(P:P,A:A,A1757)),"."),".")</f>
        <v>.</v>
      </c>
    </row>
    <row r="1758" spans="1:71" ht="15.95" customHeight="1">
      <c r="A1758" s="1208" t="s">
        <v>4310</v>
      </c>
      <c r="B1758" s="1208" t="s">
        <v>3949</v>
      </c>
      <c r="C1758" s="1220">
        <v>44932</v>
      </c>
      <c r="D1758" s="1208" t="s">
        <v>389</v>
      </c>
      <c r="E1758" s="1208" t="s">
        <v>390</v>
      </c>
      <c r="F1758" s="1263" t="s">
        <v>4312</v>
      </c>
      <c r="G1758" s="1184" t="s">
        <v>456</v>
      </c>
      <c r="H1758" s="1221">
        <v>2850000000</v>
      </c>
      <c r="I1758" s="1180" t="s">
        <v>4052</v>
      </c>
      <c r="J1758" s="1186" t="str">
        <f>VLOOKUP($I1758,'Price List, Weapons &amp; Items'!B:C,2,0)</f>
        <v>Military equipment</v>
      </c>
      <c r="K1758" s="1186" t="str">
        <f>IF(I1758=".",I1758,VLOOKUP($I1758,'Price List, Weapons &amp; Items'!B:D,3,0))</f>
        <v>Military equipment</v>
      </c>
      <c r="L1758" s="1187">
        <f>VLOOKUP(I1758,'Price List, Weapons &amp; Items'!B:E,4,0)</f>
        <v>0</v>
      </c>
      <c r="M1758" s="1188" t="s">
        <v>374</v>
      </c>
      <c r="N1758" s="1188" t="s">
        <v>374</v>
      </c>
      <c r="O1758" s="1188" t="str">
        <f>VLOOKUP($I1758,'Price List, Weapons &amp; Items'!B:G,6,0)</f>
        <v>.</v>
      </c>
      <c r="P1758" s="1185" t="str">
        <f t="shared" si="372"/>
        <v>.</v>
      </c>
      <c r="Q1758" s="1185" t="str">
        <f t="shared" si="373"/>
        <v>.</v>
      </c>
      <c r="R1758" s="1185" t="str">
        <f t="shared" si="369"/>
        <v/>
      </c>
      <c r="S1758" s="1185" t="str">
        <f>IF(AND(AD1758=1,R1758&lt;&gt;".")=TRUE,R1758/VLOOKUP(G1758,'Exchange Rates'!B:C,2,0),IF(R1758=".",".",""))</f>
        <v/>
      </c>
      <c r="T1758" s="1185" t="str">
        <f>IF(AD1758=1,IF(AF1758="Value is not given at all",".",IF(AF1758="Value is given by the source",S1758,IF(AF1758="Value is calculated with prices",(IF(SUMIFS(Q:Q,A:A,A1758)&gt;0,SUMIFS(Q:Q,A:A,A1758),"."))/VLOOKUP("USD",'Exchange Rates'!B:C,2,0),"Error with coding"))),"")</f>
        <v/>
      </c>
      <c r="U1758" s="1184" t="s">
        <v>365</v>
      </c>
      <c r="V1758" s="966" t="s">
        <v>4313</v>
      </c>
      <c r="W1758" s="983" t="s">
        <v>3978</v>
      </c>
      <c r="X1758" s="980" t="s">
        <v>3982</v>
      </c>
      <c r="Y1758" s="980" t="s">
        <v>4027</v>
      </c>
      <c r="Z1758" s="1184">
        <v>0</v>
      </c>
      <c r="AA1758" s="1194">
        <v>0</v>
      </c>
      <c r="AB1758" s="1180" t="s">
        <v>364</v>
      </c>
      <c r="AC1758" s="1192" t="str">
        <f>""</f>
        <v/>
      </c>
      <c r="AD1758" s="1193">
        <v>0</v>
      </c>
      <c r="AE1758" s="1193" t="s">
        <v>368</v>
      </c>
      <c r="AF1758" s="1193" t="s">
        <v>369</v>
      </c>
      <c r="AG1758" s="1193">
        <v>1</v>
      </c>
      <c r="AH1758" s="1193">
        <v>13</v>
      </c>
      <c r="AI1758" s="1193">
        <v>0</v>
      </c>
      <c r="AJ1758" s="1193">
        <f>VLOOKUP($I1758,'Price List, Weapons &amp; Items'!B:F,5,0)</f>
        <v>0</v>
      </c>
      <c r="AK1758" s="1193">
        <f t="shared" si="374"/>
        <v>0</v>
      </c>
      <c r="AL1758" s="1193">
        <f t="shared" si="375"/>
        <v>0</v>
      </c>
      <c r="AM1758" s="1193">
        <f t="shared" si="376"/>
        <v>0</v>
      </c>
      <c r="AN1758" s="1194" t="str">
        <f>VLOOKUP($I1758,'Price List, Weapons &amp; Items'!B:L,COLUMN('Price List, Weapons &amp; Items'!$J$11)-1,0)</f>
        <v>.</v>
      </c>
      <c r="AO1758" s="1194" t="str">
        <f>IF(I1758=".",".",VLOOKUP($I1758,'Price List, Weapons &amp; Items'!B:J,3,0))</f>
        <v>Military equipment</v>
      </c>
      <c r="AP1758" s="1195" t="str">
        <f t="shared" ca="1" si="370"/>
        <v/>
      </c>
      <c r="AQ1758" s="1194" t="str">
        <f>VLOOKUP($I1758,'Price List, Weapons &amp; Items'!B:L,COLUMN('Price List, Weapons &amp; Items'!$L$11)-1,0)</f>
        <v>no price, 0 count</v>
      </c>
      <c r="AR1758" s="1194">
        <f t="shared" si="377"/>
        <v>1</v>
      </c>
      <c r="AS1758" s="1194">
        <f t="shared" si="378"/>
        <v>1</v>
      </c>
      <c r="AT1758" s="1194">
        <f t="shared" si="379"/>
        <v>1</v>
      </c>
      <c r="AU1758" s="1194" t="str">
        <f t="shared" si="368"/>
        <v>.</v>
      </c>
      <c r="AV1758" s="1194" t="str">
        <f t="shared" si="371"/>
        <v>.</v>
      </c>
      <c r="AW1758" s="1194" t="str">
        <f t="shared" si="380"/>
        <v>.</v>
      </c>
      <c r="AX1758" s="1194">
        <f>IFERROR(VLOOKUP(B1758,'Share, Heavy Weapons to Ukraine'!B:Z,COLUMN('Share, Heavy Weapons to Ukraine'!C1769)-1,0),0)</f>
        <v>1</v>
      </c>
      <c r="AY1758" s="1194">
        <f>VLOOKUP('Bilateral Assistance, MAIN DATA'!B1758,'Country Summary (€)'!B:F,COLUMN('Country Summary (€)'!C1770)-1,FALSE)</f>
        <v>0</v>
      </c>
      <c r="AZ1758" s="1194" t="str">
        <f>IF(AND(AD1758=1,D1758="Military",H1758&lt;&gt;"Not given")=TRUE,IF(SUMIFS(P:P,A:A,A1758)&gt;0,ABS((SUMIFS(P:P,A:A,A1758)/VLOOKUP("USD",'Exchange Rates'!B:C,2,0)))/S1758,"."),".")</f>
        <v>.</v>
      </c>
      <c r="BA1758" s="1196" t="str">
        <f>IF(AND(AD1758=1,D1758="Military",H1758&lt;&gt;"Not given")=TRUE,IF(SUMIFS(P:P,A:A,A1758)&gt;0,IF((ABS((SUMIFS(P:P,A:A,A1758)/VLOOKUP("USD",'Exchange Rates'!B:C,2,0)))/S1758)&gt;1,(SUMIFS(P:P,A:A,A1758)-S1758)/S1758,(S1758-SUMIFS(P:P,A:A,A1758))/SUMIFS(P:P,A:A,A1758)),"."),".")</f>
        <v>.</v>
      </c>
    </row>
    <row r="1759" spans="1:71" ht="15.95" customHeight="1">
      <c r="A1759" s="1208" t="s">
        <v>4310</v>
      </c>
      <c r="B1759" s="1208" t="s">
        <v>3949</v>
      </c>
      <c r="C1759" s="1220">
        <v>44932</v>
      </c>
      <c r="D1759" s="1208" t="s">
        <v>389</v>
      </c>
      <c r="E1759" s="1208" t="s">
        <v>390</v>
      </c>
      <c r="F1759" s="1263" t="s">
        <v>4312</v>
      </c>
      <c r="G1759" s="1184" t="s">
        <v>456</v>
      </c>
      <c r="H1759" s="1221">
        <v>2850000000</v>
      </c>
      <c r="I1759" s="1180" t="s">
        <v>4217</v>
      </c>
      <c r="J1759" s="1186" t="str">
        <f>VLOOKUP($I1759,'Price List, Weapons &amp; Items'!B:C,2,0)</f>
        <v>Military equipment</v>
      </c>
      <c r="K1759" s="1186" t="str">
        <f>IF(I1759=".",I1759,VLOOKUP($I1759,'Price List, Weapons &amp; Items'!B:D,3,0))</f>
        <v>spare parts</v>
      </c>
      <c r="L1759" s="1187">
        <f>VLOOKUP(I1759,'Price List, Weapons &amp; Items'!B:E,4,0)</f>
        <v>0</v>
      </c>
      <c r="M1759" s="1188" t="s">
        <v>374</v>
      </c>
      <c r="N1759" s="1188" t="s">
        <v>374</v>
      </c>
      <c r="O1759" s="1188" t="str">
        <f>VLOOKUP($I1759,'Price List, Weapons &amp; Items'!B:G,6,0)</f>
        <v>.</v>
      </c>
      <c r="P1759" s="1185" t="str">
        <f t="shared" si="372"/>
        <v>.</v>
      </c>
      <c r="Q1759" s="1185" t="str">
        <f t="shared" si="373"/>
        <v>.</v>
      </c>
      <c r="R1759" s="1185" t="str">
        <f t="shared" si="369"/>
        <v/>
      </c>
      <c r="S1759" s="1185" t="str">
        <f>IF(AND(AD1759=1,R1759&lt;&gt;".")=TRUE,R1759/VLOOKUP(G1759,'Exchange Rates'!B:C,2,0),IF(R1759=".",".",""))</f>
        <v/>
      </c>
      <c r="T1759" s="1185" t="str">
        <f>IF(AD1759=1,IF(AF1759="Value is not given at all",".",IF(AF1759="Value is given by the source",S1759,IF(AF1759="Value is calculated with prices",(IF(SUMIFS(Q:Q,A:A,A1759)&gt;0,SUMIFS(Q:Q,A:A,A1759),"."))/VLOOKUP("USD",'Exchange Rates'!B:C,2,0),"Error with coding"))),"")</f>
        <v/>
      </c>
      <c r="U1759" s="1184" t="s">
        <v>365</v>
      </c>
      <c r="V1759" s="966" t="s">
        <v>4313</v>
      </c>
      <c r="W1759" s="983" t="s">
        <v>3978</v>
      </c>
      <c r="X1759" s="980" t="s">
        <v>3982</v>
      </c>
      <c r="Y1759" s="980" t="s">
        <v>4027</v>
      </c>
      <c r="Z1759" s="1184">
        <v>0</v>
      </c>
      <c r="AA1759" s="1194">
        <v>0</v>
      </c>
      <c r="AB1759" s="1180" t="s">
        <v>364</v>
      </c>
      <c r="AC1759" s="1192" t="str">
        <f>""</f>
        <v/>
      </c>
      <c r="AD1759" s="1193">
        <v>0</v>
      </c>
      <c r="AE1759" s="1193" t="s">
        <v>368</v>
      </c>
      <c r="AF1759" s="1193" t="s">
        <v>369</v>
      </c>
      <c r="AG1759" s="1193">
        <v>1</v>
      </c>
      <c r="AH1759" s="1193">
        <v>13</v>
      </c>
      <c r="AI1759" s="1193">
        <v>0</v>
      </c>
      <c r="AJ1759" s="1193">
        <f>VLOOKUP($I1759,'Price List, Weapons &amp; Items'!B:F,5,0)</f>
        <v>0</v>
      </c>
      <c r="AK1759" s="1193">
        <f t="shared" si="374"/>
        <v>0</v>
      </c>
      <c r="AL1759" s="1193">
        <f t="shared" si="375"/>
        <v>0</v>
      </c>
      <c r="AM1759" s="1193">
        <f t="shared" si="376"/>
        <v>0</v>
      </c>
      <c r="AN1759" s="1194" t="str">
        <f>VLOOKUP($I1759,'Price List, Weapons &amp; Items'!B:L,COLUMN('Price List, Weapons &amp; Items'!$J$11)-1,0)</f>
        <v>.</v>
      </c>
      <c r="AO1759" s="1194" t="str">
        <f>IF(I1759=".",".",VLOOKUP($I1759,'Price List, Weapons &amp; Items'!B:J,3,0))</f>
        <v>spare parts</v>
      </c>
      <c r="AP1759" s="1195" t="str">
        <f t="shared" ca="1" si="370"/>
        <v/>
      </c>
      <c r="AQ1759" s="1194" t="str">
        <f>VLOOKUP($I1759,'Price List, Weapons &amp; Items'!B:L,COLUMN('Price List, Weapons &amp; Items'!$L$11)-1,0)</f>
        <v>no price, 0 count</v>
      </c>
      <c r="AR1759" s="1194">
        <f t="shared" si="377"/>
        <v>1</v>
      </c>
      <c r="AS1759" s="1194">
        <f t="shared" si="378"/>
        <v>1</v>
      </c>
      <c r="AT1759" s="1194">
        <f t="shared" si="379"/>
        <v>1</v>
      </c>
      <c r="AU1759" s="1194" t="str">
        <f t="shared" si="368"/>
        <v>.</v>
      </c>
      <c r="AV1759" s="1194" t="str">
        <f t="shared" si="371"/>
        <v>.</v>
      </c>
      <c r="AW1759" s="1194" t="str">
        <f t="shared" si="380"/>
        <v>.</v>
      </c>
      <c r="AX1759" s="1194">
        <f>IFERROR(VLOOKUP(B1759,'Share, Heavy Weapons to Ukraine'!B:Z,COLUMN('Share, Heavy Weapons to Ukraine'!C1770)-1,0),0)</f>
        <v>1</v>
      </c>
      <c r="AY1759" s="1194">
        <f>VLOOKUP('Bilateral Assistance, MAIN DATA'!B1759,'Country Summary (€)'!B:F,COLUMN('Country Summary (€)'!C1771)-1,FALSE)</f>
        <v>0</v>
      </c>
      <c r="AZ1759" s="1194" t="str">
        <f>IF(AND(AD1759=1,D1759="Military",H1759&lt;&gt;"Not given")=TRUE,IF(SUMIFS(P:P,A:A,A1759)&gt;0,ABS((SUMIFS(P:P,A:A,A1759)/VLOOKUP("USD",'Exchange Rates'!B:C,2,0)))/S1759,"."),".")</f>
        <v>.</v>
      </c>
      <c r="BA1759" s="1196" t="str">
        <f>IF(AND(AD1759=1,D1759="Military",H1759&lt;&gt;"Not given")=TRUE,IF(SUMIFS(P:P,A:A,A1759)&gt;0,IF((ABS((SUMIFS(P:P,A:A,A1759)/VLOOKUP("USD",'Exchange Rates'!B:C,2,0)))/S1759)&gt;1,(SUMIFS(P:P,A:A,A1759)-S1759)/S1759,(S1759-SUMIFS(P:P,A:A,A1759))/SUMIFS(P:P,A:A,A1759)),"."),".")</f>
        <v>.</v>
      </c>
    </row>
    <row r="1760" spans="1:71" ht="15.95" customHeight="1">
      <c r="A1760" s="1208" t="s">
        <v>4310</v>
      </c>
      <c r="B1760" s="1208" t="s">
        <v>3949</v>
      </c>
      <c r="C1760" s="1209">
        <v>44945</v>
      </c>
      <c r="D1760" s="1208" t="s">
        <v>389</v>
      </c>
      <c r="E1760" s="1208" t="s">
        <v>390</v>
      </c>
      <c r="F1760" s="1208" t="s">
        <v>4321</v>
      </c>
      <c r="G1760" s="1184" t="s">
        <v>456</v>
      </c>
      <c r="H1760" s="1210">
        <v>2500000000</v>
      </c>
      <c r="I1760" s="1208" t="s">
        <v>865</v>
      </c>
      <c r="J1760" s="1186" t="str">
        <f>VLOOKUP($I1760,'Price List, Weapons &amp; Items'!B:C,2,0)</f>
        <v>Ammunition for Heavy Weapon</v>
      </c>
      <c r="K1760" s="1186" t="str">
        <f>IF(I1760=".",I1760,VLOOKUP($I1760,'Price List, Weapons &amp; Items'!B:D,3,0))</f>
        <v>Missile</v>
      </c>
      <c r="L1760" s="1187">
        <f>VLOOKUP(I1760,'Price List, Weapons &amp; Items'!B:E,4,0)</f>
        <v>0</v>
      </c>
      <c r="M1760" s="1188" t="s">
        <v>374</v>
      </c>
      <c r="N1760" s="1188" t="s">
        <v>374</v>
      </c>
      <c r="O1760" s="1188">
        <f>VLOOKUP($I1760,'Price List, Weapons &amp; Items'!B:G,6,0)</f>
        <v>1090000</v>
      </c>
      <c r="P1760" s="1185" t="str">
        <f t="shared" si="372"/>
        <v>.</v>
      </c>
      <c r="Q1760" s="1185" t="str">
        <f t="shared" si="373"/>
        <v>.</v>
      </c>
      <c r="R1760" s="1185" t="str">
        <f t="shared" si="369"/>
        <v/>
      </c>
      <c r="S1760" s="1185" t="str">
        <f>IF(AND(AD1760=1,R1760&lt;&gt;".")=TRUE,R1760/VLOOKUP(G1760,'Exchange Rates'!B:C,2,0),IF(R1760=".",".",""))</f>
        <v/>
      </c>
      <c r="T1760" s="1185" t="str">
        <f>IF(AD1760=1,IF(AF1760="Value is not given at all",".",IF(AF1760="Value is given by the source",S1760,IF(AF1760="Value is calculated with prices",(IF(SUMIFS(Q:Q,A:A,A1760)&gt;0,SUMIFS(Q:Q,A:A,A1760),"."))/VLOOKUP("USD",'Exchange Rates'!B:C,2,0),"Error with coding"))),"")</f>
        <v/>
      </c>
      <c r="U1760" s="1191" t="s">
        <v>365</v>
      </c>
      <c r="V1760" s="983" t="s">
        <v>4322</v>
      </c>
      <c r="W1760" s="983" t="s">
        <v>3989</v>
      </c>
      <c r="X1760" s="1208" t="s">
        <v>364</v>
      </c>
      <c r="Y1760" s="1208" t="s">
        <v>364</v>
      </c>
      <c r="Z1760" s="1191">
        <v>0</v>
      </c>
      <c r="AA1760" s="1191">
        <v>0</v>
      </c>
      <c r="AB1760" s="1208" t="s">
        <v>364</v>
      </c>
      <c r="AC1760" s="1192" t="str">
        <f>""</f>
        <v/>
      </c>
      <c r="AD1760" s="1193">
        <v>0</v>
      </c>
      <c r="AE1760" s="1191" t="s">
        <v>368</v>
      </c>
      <c r="AF1760" s="1191" t="s">
        <v>369</v>
      </c>
      <c r="AG1760" s="1193">
        <v>1</v>
      </c>
      <c r="AH1760" s="1193">
        <v>13</v>
      </c>
      <c r="AI1760" s="1193">
        <v>0</v>
      </c>
      <c r="AJ1760" s="1193">
        <f>VLOOKUP($I1760,'Price List, Weapons &amp; Items'!B:F,5,0)</f>
        <v>0</v>
      </c>
      <c r="AK1760" s="1193">
        <f t="shared" si="374"/>
        <v>0</v>
      </c>
      <c r="AL1760" s="1193">
        <f t="shared" si="375"/>
        <v>0</v>
      </c>
      <c r="AM1760" s="1193">
        <f t="shared" si="376"/>
        <v>0</v>
      </c>
      <c r="AN1760" s="1194" t="str">
        <f>VLOOKUP($I1760,'Price List, Weapons &amp; Items'!B:L,COLUMN('Price List, Weapons &amp; Items'!$J$11)-1,0)</f>
        <v>Miscellaneous</v>
      </c>
      <c r="AO1760" s="1194" t="str">
        <f>IF(I1760=".",".",VLOOKUP($I1760,'Price List, Weapons &amp; Items'!B:J,3,0))</f>
        <v>Missile</v>
      </c>
      <c r="AP1760" s="1195" t="str">
        <f t="shared" ca="1" si="370"/>
        <v/>
      </c>
      <c r="AQ1760" s="1194" t="str">
        <f>VLOOKUP($I1760,'Price List, Weapons &amp; Items'!B:L,COLUMN('Price List, Weapons &amp; Items'!$L$11)-1,0)</f>
        <v>no price, 0 count</v>
      </c>
      <c r="AR1760" s="1194">
        <f t="shared" si="377"/>
        <v>1</v>
      </c>
      <c r="AS1760" s="1194">
        <f t="shared" si="378"/>
        <v>1</v>
      </c>
      <c r="AT1760" s="1194">
        <f t="shared" si="379"/>
        <v>1</v>
      </c>
      <c r="AU1760" s="1194" t="str">
        <f>IF(AND(A1760=A1758,C1760=C1758)=TRUE,IF(F1760=F1758,".","1"),".")</f>
        <v>.</v>
      </c>
      <c r="AV1760" s="1194" t="str">
        <f t="shared" si="371"/>
        <v>.</v>
      </c>
      <c r="AW1760" s="1194" t="str">
        <f t="shared" si="380"/>
        <v>.</v>
      </c>
      <c r="AX1760" s="1194">
        <f>IFERROR(VLOOKUP(B1760,'Share, Heavy Weapons to Ukraine'!B:Z,COLUMN('Share, Heavy Weapons to Ukraine'!C1770)-1,0),0)</f>
        <v>1</v>
      </c>
      <c r="AY1760" s="1194">
        <f>VLOOKUP('Bilateral Assistance, MAIN DATA'!B1760,'Country Summary (€)'!B:F,COLUMN('Country Summary (€)'!C1771)-1,FALSE)</f>
        <v>0</v>
      </c>
      <c r="AZ1760" s="1194" t="str">
        <f>IF(AND(AD1760=1,D1760="Military",H1760&lt;&gt;"Not given")=TRUE,IF(SUMIFS(P:P,A:A,A1760)&gt;0,ABS((SUMIFS(P:P,A:A,A1760)/VLOOKUP("USD",'Exchange Rates'!B:C,2,0)))/S1760,"."),".")</f>
        <v>.</v>
      </c>
      <c r="BA1760" s="1196" t="str">
        <f>IF(AND(AD1760=1,D1760="Military",H1760&lt;&gt;"Not given")=TRUE,IF(SUMIFS(P:P,A:A,A1760)&gt;0,IF((ABS((SUMIFS(P:P,A:A,A1760)/VLOOKUP("USD",'Exchange Rates'!B:C,2,0)))/S1760)&gt;1,(SUMIFS(P:P,A:A,A1760)-S1760)/S1760,(S1760-SUMIFS(P:P,A:A,A1760))/SUMIFS(P:P,A:A,A1760)),"."),".")</f>
        <v>.</v>
      </c>
      <c r="BB1760" s="1208" t="s">
        <v>38</v>
      </c>
      <c r="BC1760" s="1208" t="s">
        <v>38</v>
      </c>
      <c r="BD1760" s="1208" t="s">
        <v>38</v>
      </c>
      <c r="BE1760" s="1208" t="s">
        <v>38</v>
      </c>
      <c r="BF1760" s="1208" t="s">
        <v>38</v>
      </c>
      <c r="BG1760" s="1208" t="s">
        <v>38</v>
      </c>
      <c r="BH1760" s="1208" t="s">
        <v>38</v>
      </c>
      <c r="BI1760" s="1208" t="s">
        <v>38</v>
      </c>
      <c r="BJ1760" s="1208" t="s">
        <v>38</v>
      </c>
      <c r="BK1760" s="1208" t="s">
        <v>38</v>
      </c>
      <c r="BL1760" s="1208" t="s">
        <v>38</v>
      </c>
      <c r="BM1760" s="1208" t="s">
        <v>38</v>
      </c>
      <c r="BN1760" s="1208" t="s">
        <v>38</v>
      </c>
      <c r="BO1760" s="1208" t="s">
        <v>38</v>
      </c>
      <c r="BP1760" s="1208" t="s">
        <v>38</v>
      </c>
      <c r="BQ1760" s="1208" t="s">
        <v>38</v>
      </c>
      <c r="BR1760" s="1208" t="s">
        <v>38</v>
      </c>
      <c r="BS1760" s="1208" t="s">
        <v>38</v>
      </c>
    </row>
    <row r="1761" spans="1:71" ht="15.95" customHeight="1">
      <c r="A1761" s="1208" t="s">
        <v>4310</v>
      </c>
      <c r="B1761" s="1208" t="s">
        <v>3949</v>
      </c>
      <c r="C1761" s="1209">
        <v>44945</v>
      </c>
      <c r="D1761" s="1208" t="s">
        <v>389</v>
      </c>
      <c r="E1761" s="1208" t="s">
        <v>390</v>
      </c>
      <c r="F1761" s="1208" t="s">
        <v>4321</v>
      </c>
      <c r="G1761" s="1184" t="s">
        <v>456</v>
      </c>
      <c r="H1761" s="1210">
        <v>2500000000</v>
      </c>
      <c r="I1761" s="1208" t="s">
        <v>4298</v>
      </c>
      <c r="J1761" s="1186" t="str">
        <f>VLOOKUP($I1761,'Price List, Weapons &amp; Items'!B:C,2,0)</f>
        <v>Heavy weapon</v>
      </c>
      <c r="K1761" s="1186" t="str">
        <f>IF(I1761=".",I1761,VLOOKUP($I1761,'Price List, Weapons &amp; Items'!B:D,3,0))</f>
        <v>Anti-aircraft surface-to-air missile (SAM) system (point-defense)</v>
      </c>
      <c r="L1761" s="1187">
        <f>VLOOKUP(I1761,'Price List, Weapons &amp; Items'!B:E,4,0)</f>
        <v>0</v>
      </c>
      <c r="M1761" s="1241">
        <v>8</v>
      </c>
      <c r="N1761" s="1188">
        <v>8</v>
      </c>
      <c r="O1761" s="1188">
        <f>VLOOKUP($I1761,'Price List, Weapons &amp; Items'!B:G,6,0)</f>
        <v>1866185.221792896</v>
      </c>
      <c r="P1761" s="1185">
        <f t="shared" si="372"/>
        <v>14929481.774343168</v>
      </c>
      <c r="Q1761" s="1185">
        <f t="shared" si="373"/>
        <v>14929481.774343168</v>
      </c>
      <c r="R1761" s="1185" t="str">
        <f t="shared" si="369"/>
        <v/>
      </c>
      <c r="S1761" s="1185" t="str">
        <f>IF(AND(AD1761=1,R1761&lt;&gt;".")=TRUE,R1761/VLOOKUP(G1761,'Exchange Rates'!B:C,2,0),IF(R1761=".",".",""))</f>
        <v/>
      </c>
      <c r="T1761" s="1185" t="str">
        <f>IF(AD1761=1,IF(AF1761="Value is not given at all",".",IF(AF1761="Value is given by the source",S1761,IF(AF1761="Value is calculated with prices",(IF(SUMIFS(Q:Q,A:A,A1761)&gt;0,SUMIFS(Q:Q,A:A,A1761),"."))/VLOOKUP("USD",'Exchange Rates'!B:C,2,0),"Error with coding"))),"")</f>
        <v/>
      </c>
      <c r="U1761" s="1191" t="s">
        <v>365</v>
      </c>
      <c r="V1761" s="983" t="s">
        <v>4322</v>
      </c>
      <c r="W1761" s="983" t="s">
        <v>3989</v>
      </c>
      <c r="X1761" s="1208" t="s">
        <v>364</v>
      </c>
      <c r="Y1761" s="1208" t="s">
        <v>364</v>
      </c>
      <c r="Z1761" s="1191">
        <v>0</v>
      </c>
      <c r="AA1761" s="1191">
        <v>0</v>
      </c>
      <c r="AB1761" s="966" t="s">
        <v>4299</v>
      </c>
      <c r="AC1761" s="1192" t="str">
        <f>""</f>
        <v/>
      </c>
      <c r="AD1761" s="1193">
        <v>0</v>
      </c>
      <c r="AE1761" s="1191" t="s">
        <v>368</v>
      </c>
      <c r="AF1761" s="1191" t="s">
        <v>369</v>
      </c>
      <c r="AG1761" s="1193">
        <v>1</v>
      </c>
      <c r="AH1761" s="1193">
        <v>13</v>
      </c>
      <c r="AI1761" s="1193">
        <v>0</v>
      </c>
      <c r="AJ1761" s="1193">
        <f>VLOOKUP($I1761,'Price List, Weapons &amp; Items'!B:F,5,0)</f>
        <v>0</v>
      </c>
      <c r="AK1761" s="1193">
        <f t="shared" si="374"/>
        <v>0</v>
      </c>
      <c r="AL1761" s="1193">
        <f t="shared" si="375"/>
        <v>0</v>
      </c>
      <c r="AM1761" s="1193">
        <f t="shared" si="376"/>
        <v>0</v>
      </c>
      <c r="AN1761" s="1194" t="str">
        <f>VLOOKUP($I1761,'Price List, Weapons &amp; Items'!B:L,COLUMN('Price List, Weapons &amp; Items'!$J$11)-1,0)</f>
        <v>Contracts</v>
      </c>
      <c r="AO1761" s="1194" t="str">
        <f>IF(I1761=".",".",VLOOKUP($I1761,'Price List, Weapons &amp; Items'!B:J,3,0))</f>
        <v>Anti-aircraft surface-to-air missile (SAM) system (point-defense)</v>
      </c>
      <c r="AP1761" s="1195" t="str">
        <f t="shared" ca="1" si="370"/>
        <v/>
      </c>
      <c r="AQ1761" s="1194">
        <f>VLOOKUP($I1761,'Price List, Weapons &amp; Items'!B:L,COLUMN('Price List, Weapons &amp; Items'!$L$11)-1,0)</f>
        <v>2</v>
      </c>
      <c r="AR1761" s="1194">
        <f t="shared" si="377"/>
        <v>1</v>
      </c>
      <c r="AS1761" s="1194">
        <f t="shared" si="378"/>
        <v>1</v>
      </c>
      <c r="AT1761" s="1194">
        <f t="shared" si="379"/>
        <v>1</v>
      </c>
      <c r="AU1761" s="1194" t="str">
        <f t="shared" ref="AU1761:AU1792" si="381">IF(AND(A1761=A1760,C1761=C1760)=TRUE,IF(F1761=F1760,".","1"),".")</f>
        <v>.</v>
      </c>
      <c r="AV1761" s="1194" t="str">
        <f t="shared" si="371"/>
        <v>.</v>
      </c>
      <c r="AW1761" s="1194" t="str">
        <f t="shared" si="380"/>
        <v>.</v>
      </c>
      <c r="AX1761" s="1194">
        <f>IFERROR(VLOOKUP(B1761,'Share, Heavy Weapons to Ukraine'!B:Z,COLUMN('Share, Heavy Weapons to Ukraine'!C1771)-1,0),0)</f>
        <v>1</v>
      </c>
      <c r="AY1761" s="1194">
        <f>VLOOKUP('Bilateral Assistance, MAIN DATA'!B1761,'Country Summary (€)'!B:F,COLUMN('Country Summary (€)'!C1772)-1,FALSE)</f>
        <v>0</v>
      </c>
      <c r="AZ1761" s="1194" t="str">
        <f>IF(AND(AD1761=1,D1761="Military",H1761&lt;&gt;"Not given")=TRUE,IF(SUMIFS(P:P,A:A,A1761)&gt;0,ABS((SUMIFS(P:P,A:A,A1761)/VLOOKUP("USD",'Exchange Rates'!B:C,2,0)))/S1761,"."),".")</f>
        <v>.</v>
      </c>
      <c r="BA1761" s="1196" t="str">
        <f>IF(AND(AD1761=1,D1761="Military",H1761&lt;&gt;"Not given")=TRUE,IF(SUMIFS(P:P,A:A,A1761)&gt;0,IF((ABS((SUMIFS(P:P,A:A,A1761)/VLOOKUP("USD",'Exchange Rates'!B:C,2,0)))/S1761)&gt;1,(SUMIFS(P:P,A:A,A1761)-S1761)/S1761,(S1761-SUMIFS(P:P,A:A,A1761))/SUMIFS(P:P,A:A,A1761)),"."),".")</f>
        <v>.</v>
      </c>
      <c r="BB1761" s="1208" t="s">
        <v>38</v>
      </c>
      <c r="BC1761" s="1208" t="s">
        <v>38</v>
      </c>
      <c r="BD1761" s="1208" t="s">
        <v>38</v>
      </c>
      <c r="BE1761" s="1208" t="s">
        <v>38</v>
      </c>
      <c r="BF1761" s="1208" t="s">
        <v>38</v>
      </c>
      <c r="BG1761" s="1208" t="s">
        <v>38</v>
      </c>
      <c r="BH1761" s="1208" t="s">
        <v>38</v>
      </c>
      <c r="BI1761" s="1208" t="s">
        <v>38</v>
      </c>
      <c r="BJ1761" s="1208" t="s">
        <v>38</v>
      </c>
      <c r="BK1761" s="1208" t="s">
        <v>38</v>
      </c>
      <c r="BL1761" s="1208" t="s">
        <v>38</v>
      </c>
      <c r="BM1761" s="1208" t="s">
        <v>38</v>
      </c>
      <c r="BN1761" s="1208" t="s">
        <v>38</v>
      </c>
      <c r="BO1761" s="1208" t="s">
        <v>38</v>
      </c>
      <c r="BP1761" s="1208" t="s">
        <v>38</v>
      </c>
      <c r="BQ1761" s="1208" t="s">
        <v>38</v>
      </c>
      <c r="BR1761" s="1208" t="s">
        <v>38</v>
      </c>
      <c r="BS1761" s="1208" t="s">
        <v>38</v>
      </c>
    </row>
    <row r="1762" spans="1:71" ht="15.95" customHeight="1">
      <c r="A1762" s="1208" t="s">
        <v>4310</v>
      </c>
      <c r="B1762" s="1208" t="s">
        <v>3949</v>
      </c>
      <c r="C1762" s="1209">
        <v>44945</v>
      </c>
      <c r="D1762" s="1208" t="s">
        <v>389</v>
      </c>
      <c r="E1762" s="1208" t="s">
        <v>390</v>
      </c>
      <c r="F1762" s="1208" t="s">
        <v>4321</v>
      </c>
      <c r="G1762" s="1184" t="s">
        <v>456</v>
      </c>
      <c r="H1762" s="1210">
        <v>2500000000</v>
      </c>
      <c r="I1762" s="1208" t="s">
        <v>4314</v>
      </c>
      <c r="J1762" s="1186" t="str">
        <f>VLOOKUP($I1762,'Price List, Weapons &amp; Items'!B:C,2,0)</f>
        <v>Heavy weapon</v>
      </c>
      <c r="K1762" s="1186" t="str">
        <f>IF(I1762=".",I1762,VLOOKUP($I1762,'Price List, Weapons &amp; Items'!B:D,3,0))</f>
        <v>Infantry fighting vehicle (IFV)</v>
      </c>
      <c r="L1762" s="1187">
        <f>VLOOKUP(I1762,'Price List, Weapons &amp; Items'!B:E,4,0)</f>
        <v>0</v>
      </c>
      <c r="M1762" s="1241">
        <v>59</v>
      </c>
      <c r="N1762" s="1188" t="s">
        <v>374</v>
      </c>
      <c r="O1762" s="1188">
        <f>VLOOKUP($I1762,'Price List, Weapons &amp; Items'!B:G,6,0)</f>
        <v>1900000</v>
      </c>
      <c r="P1762" s="1185">
        <f t="shared" si="372"/>
        <v>112100000</v>
      </c>
      <c r="Q1762" s="1185" t="str">
        <f t="shared" si="373"/>
        <v>.</v>
      </c>
      <c r="R1762" s="1185" t="str">
        <f t="shared" si="369"/>
        <v/>
      </c>
      <c r="S1762" s="1185" t="str">
        <f>IF(AND(AD1762=1,R1762&lt;&gt;".")=TRUE,R1762/VLOOKUP(G1762,'Exchange Rates'!B:C,2,0),IF(R1762=".",".",""))</f>
        <v/>
      </c>
      <c r="T1762" s="1185" t="str">
        <f>IF(AD1762=1,IF(AF1762="Value is not given at all",".",IF(AF1762="Value is given by the source",S1762,IF(AF1762="Value is calculated with prices",(IF(SUMIFS(Q:Q,A:A,A1762)&gt;0,SUMIFS(Q:Q,A:A,A1762),"."))/VLOOKUP("USD",'Exchange Rates'!B:C,2,0),"Error with coding"))),"")</f>
        <v/>
      </c>
      <c r="U1762" s="1191" t="s">
        <v>365</v>
      </c>
      <c r="V1762" s="983" t="s">
        <v>4322</v>
      </c>
      <c r="W1762" s="983" t="s">
        <v>3989</v>
      </c>
      <c r="X1762" s="1208" t="s">
        <v>364</v>
      </c>
      <c r="Y1762" s="1208" t="s">
        <v>364</v>
      </c>
      <c r="Z1762" s="1191">
        <v>0</v>
      </c>
      <c r="AA1762" s="1191">
        <v>0</v>
      </c>
      <c r="AB1762" s="1208" t="s">
        <v>364</v>
      </c>
      <c r="AC1762" s="1192" t="str">
        <f>""</f>
        <v/>
      </c>
      <c r="AD1762" s="1193">
        <v>0</v>
      </c>
      <c r="AE1762" s="1191" t="s">
        <v>368</v>
      </c>
      <c r="AF1762" s="1191" t="s">
        <v>369</v>
      </c>
      <c r="AG1762" s="1193">
        <v>1</v>
      </c>
      <c r="AH1762" s="1193">
        <v>13</v>
      </c>
      <c r="AI1762" s="1193">
        <v>0</v>
      </c>
      <c r="AJ1762" s="1193">
        <f>VLOOKUP($I1762,'Price List, Weapons &amp; Items'!B:F,5,0)</f>
        <v>1</v>
      </c>
      <c r="AK1762" s="1193">
        <f t="shared" si="374"/>
        <v>0</v>
      </c>
      <c r="AL1762" s="1193">
        <f t="shared" si="375"/>
        <v>1</v>
      </c>
      <c r="AM1762" s="1193">
        <f t="shared" si="376"/>
        <v>0</v>
      </c>
      <c r="AN1762" s="1194" t="str">
        <f>VLOOKUP($I1762,'Price List, Weapons &amp; Items'!B:L,COLUMN('Price List, Weapons &amp; Items'!$J$11)-1,0)</f>
        <v>Contracts</v>
      </c>
      <c r="AO1762" s="1194" t="str">
        <f>IF(I1762=".",".",VLOOKUP($I1762,'Price List, Weapons &amp; Items'!B:J,3,0))</f>
        <v>Infantry fighting vehicle (IFV)</v>
      </c>
      <c r="AP1762" s="1195" t="str">
        <f t="shared" ca="1" si="370"/>
        <v/>
      </c>
      <c r="AQ1762" s="1194">
        <f>VLOOKUP($I1762,'Price List, Weapons &amp; Items'!B:L,COLUMN('Price List, Weapons &amp; Items'!$L$11)-1,0)</f>
        <v>2</v>
      </c>
      <c r="AR1762" s="1194">
        <f t="shared" si="377"/>
        <v>1</v>
      </c>
      <c r="AS1762" s="1194">
        <f t="shared" si="378"/>
        <v>1</v>
      </c>
      <c r="AT1762" s="1194">
        <f t="shared" si="379"/>
        <v>1</v>
      </c>
      <c r="AU1762" s="1194" t="str">
        <f t="shared" si="381"/>
        <v>.</v>
      </c>
      <c r="AV1762" s="1194" t="str">
        <f t="shared" si="371"/>
        <v>.</v>
      </c>
      <c r="AW1762" s="1194" t="str">
        <f t="shared" si="380"/>
        <v>.</v>
      </c>
      <c r="AX1762" s="1194">
        <f>IFERROR(VLOOKUP(B1762,'Share, Heavy Weapons to Ukraine'!B:Z,COLUMN('Share, Heavy Weapons to Ukraine'!C1772)-1,0),0)</f>
        <v>1</v>
      </c>
      <c r="AY1762" s="1194">
        <f>VLOOKUP('Bilateral Assistance, MAIN DATA'!B1762,'Country Summary (€)'!B:F,COLUMN('Country Summary (€)'!C1773)-1,FALSE)</f>
        <v>0</v>
      </c>
      <c r="AZ1762" s="1194" t="str">
        <f>IF(AND(AD1762=1,D1762="Military",H1762&lt;&gt;"Not given")=TRUE,IF(SUMIFS(P:P,A:A,A1762)&gt;0,ABS((SUMIFS(P:P,A:A,A1762)/VLOOKUP("USD",'Exchange Rates'!B:C,2,0)))/S1762,"."),".")</f>
        <v>.</v>
      </c>
      <c r="BA1762" s="1196" t="str">
        <f>IF(AND(AD1762=1,D1762="Military",H1762&lt;&gt;"Not given")=TRUE,IF(SUMIFS(P:P,A:A,A1762)&gt;0,IF((ABS((SUMIFS(P:P,A:A,A1762)/VLOOKUP("USD",'Exchange Rates'!B:C,2,0)))/S1762)&gt;1,(SUMIFS(P:P,A:A,A1762)-S1762)/S1762,(S1762-SUMIFS(P:P,A:A,A1762))/SUMIFS(P:P,A:A,A1762)),"."),".")</f>
        <v>.</v>
      </c>
      <c r="BB1762" s="1208" t="s">
        <v>38</v>
      </c>
      <c r="BC1762" s="1208" t="s">
        <v>38</v>
      </c>
      <c r="BD1762" s="1208" t="s">
        <v>38</v>
      </c>
      <c r="BE1762" s="1208" t="s">
        <v>38</v>
      </c>
      <c r="BF1762" s="1208" t="s">
        <v>38</v>
      </c>
      <c r="BG1762" s="1208" t="s">
        <v>38</v>
      </c>
      <c r="BH1762" s="1208" t="s">
        <v>38</v>
      </c>
      <c r="BI1762" s="1208" t="s">
        <v>38</v>
      </c>
      <c r="BJ1762" s="1208" t="s">
        <v>38</v>
      </c>
      <c r="BK1762" s="1208" t="s">
        <v>38</v>
      </c>
      <c r="BL1762" s="1208" t="s">
        <v>38</v>
      </c>
      <c r="BM1762" s="1208" t="s">
        <v>38</v>
      </c>
      <c r="BN1762" s="1208" t="s">
        <v>38</v>
      </c>
      <c r="BO1762" s="1208" t="s">
        <v>38</v>
      </c>
      <c r="BP1762" s="1208" t="s">
        <v>38</v>
      </c>
      <c r="BQ1762" s="1208" t="s">
        <v>38</v>
      </c>
      <c r="BR1762" s="1208" t="s">
        <v>38</v>
      </c>
      <c r="BS1762" s="1208" t="s">
        <v>38</v>
      </c>
    </row>
    <row r="1763" spans="1:71" ht="15.95" customHeight="1">
      <c r="A1763" s="1208" t="s">
        <v>4310</v>
      </c>
      <c r="B1763" s="1208" t="s">
        <v>3949</v>
      </c>
      <c r="C1763" s="1209">
        <v>44945</v>
      </c>
      <c r="D1763" s="1208" t="s">
        <v>389</v>
      </c>
      <c r="E1763" s="1208" t="s">
        <v>390</v>
      </c>
      <c r="F1763" s="1208" t="s">
        <v>4321</v>
      </c>
      <c r="G1763" s="1184" t="s">
        <v>456</v>
      </c>
      <c r="H1763" s="1210">
        <v>2500000000</v>
      </c>
      <c r="I1763" s="1208" t="s">
        <v>4315</v>
      </c>
      <c r="J1763" s="1186" t="str">
        <f>VLOOKUP($I1763,'Price List, Weapons &amp; Items'!B:C,2,0)</f>
        <v>Ammunition for heavy weapon</v>
      </c>
      <c r="K1763" s="1186" t="str">
        <f>IF(I1763=".",I1763,VLOOKUP($I1763,'Price List, Weapons &amp; Items'!B:D,3,0))</f>
        <v>missile</v>
      </c>
      <c r="L1763" s="1187">
        <f>VLOOKUP(I1763,'Price List, Weapons &amp; Items'!B:E,4,0)</f>
        <v>0</v>
      </c>
      <c r="M1763" s="1241">
        <v>590</v>
      </c>
      <c r="N1763" s="1188" t="s">
        <v>374</v>
      </c>
      <c r="O1763" s="1188">
        <f>VLOOKUP($I1763,'Price List, Weapons &amp; Items'!B:G,6,0)</f>
        <v>9000</v>
      </c>
      <c r="P1763" s="1185">
        <f t="shared" si="372"/>
        <v>5310000</v>
      </c>
      <c r="Q1763" s="1185" t="str">
        <f t="shared" si="373"/>
        <v>.</v>
      </c>
      <c r="R1763" s="1185" t="str">
        <f t="shared" si="369"/>
        <v/>
      </c>
      <c r="S1763" s="1185" t="str">
        <f>IF(AND(AD1763=1,R1763&lt;&gt;".")=TRUE,R1763/VLOOKUP(G1763,'Exchange Rates'!B:C,2,0),IF(R1763=".",".",""))</f>
        <v/>
      </c>
      <c r="T1763" s="1185" t="str">
        <f>IF(AD1763=1,IF(AF1763="Value is not given at all",".",IF(AF1763="Value is given by the source",S1763,IF(AF1763="Value is calculated with prices",(IF(SUMIFS(Q:Q,A:A,A1763)&gt;0,SUMIFS(Q:Q,A:A,A1763),"."))/VLOOKUP("USD",'Exchange Rates'!B:C,2,0),"Error with coding"))),"")</f>
        <v/>
      </c>
      <c r="U1763" s="1191" t="s">
        <v>365</v>
      </c>
      <c r="V1763" s="983" t="s">
        <v>4322</v>
      </c>
      <c r="W1763" s="983" t="s">
        <v>3989</v>
      </c>
      <c r="X1763" s="1208" t="s">
        <v>364</v>
      </c>
      <c r="Y1763" s="1208" t="s">
        <v>364</v>
      </c>
      <c r="Z1763" s="1191">
        <v>0</v>
      </c>
      <c r="AA1763" s="1191">
        <v>0</v>
      </c>
      <c r="AB1763" s="1208" t="s">
        <v>364</v>
      </c>
      <c r="AC1763" s="1192" t="str">
        <f>""</f>
        <v/>
      </c>
      <c r="AD1763" s="1193">
        <v>0</v>
      </c>
      <c r="AE1763" s="1191" t="s">
        <v>368</v>
      </c>
      <c r="AF1763" s="1191" t="s">
        <v>369</v>
      </c>
      <c r="AG1763" s="1193">
        <v>1</v>
      </c>
      <c r="AH1763" s="1193">
        <v>13</v>
      </c>
      <c r="AI1763" s="1193">
        <v>0</v>
      </c>
      <c r="AJ1763" s="1193">
        <f>VLOOKUP($I1763,'Price List, Weapons &amp; Items'!B:F,5,0)</f>
        <v>0</v>
      </c>
      <c r="AK1763" s="1193">
        <f t="shared" si="374"/>
        <v>0</v>
      </c>
      <c r="AL1763" s="1193">
        <f t="shared" si="375"/>
        <v>0</v>
      </c>
      <c r="AM1763" s="1193">
        <f t="shared" si="376"/>
        <v>0</v>
      </c>
      <c r="AN1763" s="1194" t="str">
        <f>VLOOKUP($I1763,'Price List, Weapons &amp; Items'!B:L,COLUMN('Price List, Weapons &amp; Items'!$J$11)-1,0)</f>
        <v>Media reports (incl. social media)</v>
      </c>
      <c r="AO1763" s="1194" t="str">
        <f>IF(I1763=".",".",VLOOKUP($I1763,'Price List, Weapons &amp; Items'!B:J,3,0))</f>
        <v>missile</v>
      </c>
      <c r="AP1763" s="1195" t="str">
        <f t="shared" ca="1" si="370"/>
        <v/>
      </c>
      <c r="AQ1763" s="1194">
        <f>VLOOKUP($I1763,'Price List, Weapons &amp; Items'!B:L,COLUMN('Price List, Weapons &amp; Items'!$L$11)-1,0)</f>
        <v>2</v>
      </c>
      <c r="AR1763" s="1194">
        <f t="shared" si="377"/>
        <v>1</v>
      </c>
      <c r="AS1763" s="1194">
        <f t="shared" si="378"/>
        <v>1</v>
      </c>
      <c r="AT1763" s="1194">
        <f t="shared" si="379"/>
        <v>1</v>
      </c>
      <c r="AU1763" s="1194" t="str">
        <f t="shared" si="381"/>
        <v>.</v>
      </c>
      <c r="AV1763" s="1194" t="str">
        <f t="shared" si="371"/>
        <v>.</v>
      </c>
      <c r="AW1763" s="1194" t="str">
        <f t="shared" si="380"/>
        <v>.</v>
      </c>
      <c r="AX1763" s="1194">
        <f>IFERROR(VLOOKUP(B1763,'Share, Heavy Weapons to Ukraine'!B:Z,COLUMN('Share, Heavy Weapons to Ukraine'!C1773)-1,0),0)</f>
        <v>1</v>
      </c>
      <c r="AY1763" s="1194">
        <f>VLOOKUP('Bilateral Assistance, MAIN DATA'!B1763,'Country Summary (€)'!B:F,COLUMN('Country Summary (€)'!C1774)-1,FALSE)</f>
        <v>0</v>
      </c>
      <c r="AZ1763" s="1194" t="str">
        <f>IF(AND(AD1763=1,D1763="Military",H1763&lt;&gt;"Not given")=TRUE,IF(SUMIFS(P:P,A:A,A1763)&gt;0,ABS((SUMIFS(P:P,A:A,A1763)/VLOOKUP("USD",'Exchange Rates'!B:C,2,0)))/S1763,"."),".")</f>
        <v>.</v>
      </c>
      <c r="BA1763" s="1196" t="str">
        <f>IF(AND(AD1763=1,D1763="Military",H1763&lt;&gt;"Not given")=TRUE,IF(SUMIFS(P:P,A:A,A1763)&gt;0,IF((ABS((SUMIFS(P:P,A:A,A1763)/VLOOKUP("USD",'Exchange Rates'!B:C,2,0)))/S1763)&gt;1,(SUMIFS(P:P,A:A,A1763)-S1763)/S1763,(S1763-SUMIFS(P:P,A:A,A1763))/SUMIFS(P:P,A:A,A1763)),"."),".")</f>
        <v>.</v>
      </c>
      <c r="BB1763" s="1208" t="s">
        <v>38</v>
      </c>
      <c r="BC1763" s="1208" t="s">
        <v>38</v>
      </c>
      <c r="BD1763" s="1208" t="s">
        <v>38</v>
      </c>
      <c r="BE1763" s="1208" t="s">
        <v>38</v>
      </c>
      <c r="BF1763" s="1208" t="s">
        <v>38</v>
      </c>
      <c r="BG1763" s="1208" t="s">
        <v>38</v>
      </c>
      <c r="BH1763" s="1208" t="s">
        <v>38</v>
      </c>
      <c r="BI1763" s="1208" t="s">
        <v>38</v>
      </c>
      <c r="BJ1763" s="1208" t="s">
        <v>38</v>
      </c>
      <c r="BK1763" s="1208" t="s">
        <v>38</v>
      </c>
      <c r="BL1763" s="1208" t="s">
        <v>38</v>
      </c>
      <c r="BM1763" s="1208" t="s">
        <v>38</v>
      </c>
      <c r="BN1763" s="1208" t="s">
        <v>38</v>
      </c>
      <c r="BO1763" s="1208" t="s">
        <v>38</v>
      </c>
      <c r="BP1763" s="1208" t="s">
        <v>38</v>
      </c>
      <c r="BQ1763" s="1208" t="s">
        <v>38</v>
      </c>
      <c r="BR1763" s="1208" t="s">
        <v>38</v>
      </c>
      <c r="BS1763" s="1208" t="s">
        <v>38</v>
      </c>
    </row>
    <row r="1764" spans="1:71" ht="15.95" customHeight="1">
      <c r="A1764" s="1208" t="s">
        <v>4310</v>
      </c>
      <c r="B1764" s="1208" t="s">
        <v>3949</v>
      </c>
      <c r="C1764" s="1209">
        <v>44945</v>
      </c>
      <c r="D1764" s="1208" t="s">
        <v>389</v>
      </c>
      <c r="E1764" s="1208" t="s">
        <v>390</v>
      </c>
      <c r="F1764" s="1208" t="s">
        <v>4321</v>
      </c>
      <c r="G1764" s="1184" t="s">
        <v>456</v>
      </c>
      <c r="H1764" s="1210">
        <v>2500000000</v>
      </c>
      <c r="I1764" s="1208" t="s">
        <v>4316</v>
      </c>
      <c r="J1764" s="1186" t="str">
        <f>VLOOKUP($I1764,'Price List, Weapons &amp; Items'!B:C,2,0)</f>
        <v>Ammunition</v>
      </c>
      <c r="K1764" s="1186" t="str">
        <f>IF(I1764=".",I1764,VLOOKUP($I1764,'Price List, Weapons &amp; Items'!B:D,3,0))</f>
        <v>ammunition</v>
      </c>
      <c r="L1764" s="1187">
        <f>VLOOKUP(I1764,'Price List, Weapons &amp; Items'!B:E,4,0)</f>
        <v>0</v>
      </c>
      <c r="M1764" s="1241">
        <v>295000</v>
      </c>
      <c r="N1764" s="1188" t="s">
        <v>374</v>
      </c>
      <c r="O1764" s="1188">
        <f>VLOOKUP($I1764,'Price List, Weapons &amp; Items'!B:G,6,0)</f>
        <v>140.58000000000001</v>
      </c>
      <c r="P1764" s="1185">
        <f t="shared" si="372"/>
        <v>41471100</v>
      </c>
      <c r="Q1764" s="1185" t="str">
        <f t="shared" si="373"/>
        <v>.</v>
      </c>
      <c r="R1764" s="1185" t="str">
        <f t="shared" si="369"/>
        <v/>
      </c>
      <c r="S1764" s="1185" t="str">
        <f>IF(AND(AD1764=1,R1764&lt;&gt;".")=TRUE,R1764/VLOOKUP(G1764,'Exchange Rates'!B:C,2,0),IF(R1764=".",".",""))</f>
        <v/>
      </c>
      <c r="T1764" s="1185" t="str">
        <f>IF(AD1764=1,IF(AF1764="Value is not given at all",".",IF(AF1764="Value is given by the source",S1764,IF(AF1764="Value is calculated with prices",(IF(SUMIFS(Q:Q,A:A,A1764)&gt;0,SUMIFS(Q:Q,A:A,A1764),"."))/VLOOKUP("USD",'Exchange Rates'!B:C,2,0),"Error with coding"))),"")</f>
        <v/>
      </c>
      <c r="U1764" s="1191" t="s">
        <v>365</v>
      </c>
      <c r="V1764" s="983" t="s">
        <v>4322</v>
      </c>
      <c r="W1764" s="983" t="s">
        <v>3989</v>
      </c>
      <c r="X1764" s="1208" t="s">
        <v>364</v>
      </c>
      <c r="Y1764" s="1208" t="s">
        <v>364</v>
      </c>
      <c r="Z1764" s="1191">
        <v>0</v>
      </c>
      <c r="AA1764" s="1191">
        <v>0</v>
      </c>
      <c r="AB1764" s="1208" t="s">
        <v>364</v>
      </c>
      <c r="AC1764" s="1192" t="str">
        <f>""</f>
        <v/>
      </c>
      <c r="AD1764" s="1193">
        <v>0</v>
      </c>
      <c r="AE1764" s="1191" t="s">
        <v>368</v>
      </c>
      <c r="AF1764" s="1191" t="s">
        <v>369</v>
      </c>
      <c r="AG1764" s="1193">
        <v>1</v>
      </c>
      <c r="AH1764" s="1193">
        <v>13</v>
      </c>
      <c r="AI1764" s="1193">
        <v>0</v>
      </c>
      <c r="AJ1764" s="1193">
        <f>VLOOKUP($I1764,'Price List, Weapons &amp; Items'!B:F,5,0)</f>
        <v>0</v>
      </c>
      <c r="AK1764" s="1193">
        <f t="shared" si="374"/>
        <v>0</v>
      </c>
      <c r="AL1764" s="1193">
        <f t="shared" si="375"/>
        <v>0</v>
      </c>
      <c r="AM1764" s="1193">
        <f t="shared" si="376"/>
        <v>1</v>
      </c>
      <c r="AN1764" s="1194" t="str">
        <f>VLOOKUP($I1764,'Price List, Weapons &amp; Items'!B:L,COLUMN('Price List, Weapons &amp; Items'!$J$11)-1,0)</f>
        <v>Military media (incl. websites)</v>
      </c>
      <c r="AO1764" s="1194" t="str">
        <f>IF(I1764=".",".",VLOOKUP($I1764,'Price List, Weapons &amp; Items'!B:J,3,0))</f>
        <v>ammunition</v>
      </c>
      <c r="AP1764" s="1195" t="str">
        <f t="shared" ca="1" si="370"/>
        <v/>
      </c>
      <c r="AQ1764" s="1194">
        <f>VLOOKUP($I1764,'Price List, Weapons &amp; Items'!B:L,COLUMN('Price List, Weapons &amp; Items'!$L$11)-1,0)</f>
        <v>2</v>
      </c>
      <c r="AR1764" s="1194">
        <f t="shared" si="377"/>
        <v>1</v>
      </c>
      <c r="AS1764" s="1194">
        <f t="shared" si="378"/>
        <v>1</v>
      </c>
      <c r="AT1764" s="1194">
        <f t="shared" si="379"/>
        <v>1</v>
      </c>
      <c r="AU1764" s="1194" t="str">
        <f t="shared" si="381"/>
        <v>.</v>
      </c>
      <c r="AV1764" s="1194" t="str">
        <f t="shared" si="371"/>
        <v>.</v>
      </c>
      <c r="AW1764" s="1194" t="str">
        <f t="shared" si="380"/>
        <v>.</v>
      </c>
      <c r="AX1764" s="1194">
        <f>IFERROR(VLOOKUP(B1764,'Share, Heavy Weapons to Ukraine'!B:Z,COLUMN('Share, Heavy Weapons to Ukraine'!C1774)-1,0),0)</f>
        <v>1</v>
      </c>
      <c r="AY1764" s="1194">
        <f>VLOOKUP('Bilateral Assistance, MAIN DATA'!B1764,'Country Summary (€)'!B:F,COLUMN('Country Summary (€)'!C1775)-1,FALSE)</f>
        <v>0</v>
      </c>
      <c r="AZ1764" s="1194" t="str">
        <f>IF(AND(AD1764=1,D1764="Military",H1764&lt;&gt;"Not given")=TRUE,IF(SUMIFS(P:P,A:A,A1764)&gt;0,ABS((SUMIFS(P:P,A:A,A1764)/VLOOKUP("USD",'Exchange Rates'!B:C,2,0)))/S1764,"."),".")</f>
        <v>.</v>
      </c>
      <c r="BA1764" s="1196" t="str">
        <f>IF(AND(AD1764=1,D1764="Military",H1764&lt;&gt;"Not given")=TRUE,IF(SUMIFS(P:P,A:A,A1764)&gt;0,IF((ABS((SUMIFS(P:P,A:A,A1764)/VLOOKUP("USD",'Exchange Rates'!B:C,2,0)))/S1764)&gt;1,(SUMIFS(P:P,A:A,A1764)-S1764)/S1764,(S1764-SUMIFS(P:P,A:A,A1764))/SUMIFS(P:P,A:A,A1764)),"."),".")</f>
        <v>.</v>
      </c>
      <c r="BB1764" s="1208" t="s">
        <v>38</v>
      </c>
      <c r="BC1764" s="1208" t="s">
        <v>38</v>
      </c>
      <c r="BD1764" s="1208" t="s">
        <v>38</v>
      </c>
      <c r="BE1764" s="1208" t="s">
        <v>38</v>
      </c>
      <c r="BF1764" s="1208" t="s">
        <v>38</v>
      </c>
      <c r="BG1764" s="1208" t="s">
        <v>38</v>
      </c>
      <c r="BH1764" s="1208" t="s">
        <v>38</v>
      </c>
      <c r="BI1764" s="1208" t="s">
        <v>38</v>
      </c>
      <c r="BJ1764" s="1208" t="s">
        <v>38</v>
      </c>
      <c r="BK1764" s="1208" t="s">
        <v>38</v>
      </c>
      <c r="BL1764" s="1208" t="s">
        <v>38</v>
      </c>
      <c r="BM1764" s="1208" t="s">
        <v>38</v>
      </c>
      <c r="BN1764" s="1208" t="s">
        <v>38</v>
      </c>
      <c r="BO1764" s="1208" t="s">
        <v>38</v>
      </c>
      <c r="BP1764" s="1208" t="s">
        <v>38</v>
      </c>
      <c r="BQ1764" s="1208" t="s">
        <v>38</v>
      </c>
      <c r="BR1764" s="1208" t="s">
        <v>38</v>
      </c>
      <c r="BS1764" s="1208" t="s">
        <v>38</v>
      </c>
    </row>
    <row r="1765" spans="1:71" ht="15.95" customHeight="1">
      <c r="A1765" s="1208" t="s">
        <v>4310</v>
      </c>
      <c r="B1765" s="1208" t="s">
        <v>3949</v>
      </c>
      <c r="C1765" s="1209">
        <v>44945</v>
      </c>
      <c r="D1765" s="1208" t="s">
        <v>389</v>
      </c>
      <c r="E1765" s="1208" t="s">
        <v>390</v>
      </c>
      <c r="F1765" s="1208" t="s">
        <v>4321</v>
      </c>
      <c r="G1765" s="1184" t="s">
        <v>456</v>
      </c>
      <c r="H1765" s="1210">
        <v>2500000000</v>
      </c>
      <c r="I1765" s="1208" t="s">
        <v>4323</v>
      </c>
      <c r="J1765" s="1186" t="str">
        <f>VLOOKUP($I1765,'Price List, Weapons &amp; Items'!B:C,2,0)</f>
        <v>Heavy weapon</v>
      </c>
      <c r="K1765" s="1186" t="str">
        <f>IF(I1765=".",I1765,VLOOKUP($I1765,'Price List, Weapons &amp; Items'!B:D,3,0))</f>
        <v>Armored Personnel Carrier (APC)</v>
      </c>
      <c r="L1765" s="1187">
        <f>VLOOKUP(I1765,'Price List, Weapons &amp; Items'!B:E,4,0)</f>
        <v>2</v>
      </c>
      <c r="M1765" s="1241">
        <v>90</v>
      </c>
      <c r="N1765" s="1188">
        <v>90</v>
      </c>
      <c r="O1765" s="1188">
        <f>VLOOKUP($I1765,'Price List, Weapons &amp; Items'!B:G,6,0)</f>
        <v>2445376.7599999998</v>
      </c>
      <c r="P1765" s="1185">
        <f t="shared" si="372"/>
        <v>220083908.39999998</v>
      </c>
      <c r="Q1765" s="1185">
        <f t="shared" si="373"/>
        <v>220083908.39999998</v>
      </c>
      <c r="R1765" s="1185" t="str">
        <f t="shared" si="369"/>
        <v/>
      </c>
      <c r="S1765" s="1185" t="str">
        <f>IF(AND(AD1765=1,R1765&lt;&gt;".")=TRUE,R1765/VLOOKUP(G1765,'Exchange Rates'!B:C,2,0),IF(R1765=".",".",""))</f>
        <v/>
      </c>
      <c r="T1765" s="1185" t="str">
        <f>IF(AD1765=1,IF(AF1765="Value is not given at all",".",IF(AF1765="Value is given by the source",S1765,IF(AF1765="Value is calculated with prices",(IF(SUMIFS(Q:Q,A:A,A1765)&gt;0,SUMIFS(Q:Q,A:A,A1765),"."))/VLOOKUP("USD",'Exchange Rates'!B:C,2,0),"Error with coding"))),"")</f>
        <v/>
      </c>
      <c r="U1765" s="1191" t="s">
        <v>365</v>
      </c>
      <c r="V1765" s="983" t="s">
        <v>4322</v>
      </c>
      <c r="W1765" s="983" t="s">
        <v>3989</v>
      </c>
      <c r="X1765" s="1208" t="s">
        <v>364</v>
      </c>
      <c r="Y1765" s="1208" t="s">
        <v>364</v>
      </c>
      <c r="Z1765" s="1191">
        <v>0</v>
      </c>
      <c r="AA1765" s="1191">
        <v>0</v>
      </c>
      <c r="AB1765" s="966" t="s">
        <v>4324</v>
      </c>
      <c r="AC1765" s="1192" t="str">
        <f>""</f>
        <v/>
      </c>
      <c r="AD1765" s="1193">
        <v>0</v>
      </c>
      <c r="AE1765" s="1191" t="s">
        <v>368</v>
      </c>
      <c r="AF1765" s="1191" t="s">
        <v>369</v>
      </c>
      <c r="AG1765" s="1193">
        <v>1</v>
      </c>
      <c r="AH1765" s="1193">
        <v>13</v>
      </c>
      <c r="AI1765" s="1193">
        <v>0</v>
      </c>
      <c r="AJ1765" s="1193">
        <f>VLOOKUP($I1765,'Price List, Weapons &amp; Items'!B:F,5,0)</f>
        <v>1</v>
      </c>
      <c r="AK1765" s="1193">
        <f t="shared" si="374"/>
        <v>0</v>
      </c>
      <c r="AL1765" s="1193">
        <f t="shared" si="375"/>
        <v>0</v>
      </c>
      <c r="AM1765" s="1193">
        <f t="shared" si="376"/>
        <v>0</v>
      </c>
      <c r="AN1765" s="1194" t="str">
        <f>VLOOKUP($I1765,'Price List, Weapons &amp; Items'!B:L,COLUMN('Price List, Weapons &amp; Items'!$J$11)-1,0)</f>
        <v>Contracts</v>
      </c>
      <c r="AO1765" s="1194" t="str">
        <f>IF(I1765=".",".",VLOOKUP($I1765,'Price List, Weapons &amp; Items'!B:J,3,0))</f>
        <v>Armored Personnel Carrier (APC)</v>
      </c>
      <c r="AP1765" s="1195" t="str">
        <f t="shared" ca="1" si="370"/>
        <v/>
      </c>
      <c r="AQ1765" s="1194">
        <f>VLOOKUP($I1765,'Price List, Weapons &amp; Items'!B:L,COLUMN('Price List, Weapons &amp; Items'!$L$11)-1,0)</f>
        <v>2</v>
      </c>
      <c r="AR1765" s="1194">
        <f t="shared" si="377"/>
        <v>1</v>
      </c>
      <c r="AS1765" s="1194">
        <f t="shared" si="378"/>
        <v>1</v>
      </c>
      <c r="AT1765" s="1194">
        <f t="shared" si="379"/>
        <v>1</v>
      </c>
      <c r="AU1765" s="1194" t="str">
        <f t="shared" si="381"/>
        <v>.</v>
      </c>
      <c r="AV1765" s="1194" t="str">
        <f t="shared" si="371"/>
        <v>.</v>
      </c>
      <c r="AW1765" s="1194" t="str">
        <f t="shared" si="380"/>
        <v>.</v>
      </c>
      <c r="AX1765" s="1194">
        <f>IFERROR(VLOOKUP(B1765,'Share, Heavy Weapons to Ukraine'!B:Z,COLUMN('Share, Heavy Weapons to Ukraine'!C1775)-1,0),0)</f>
        <v>1</v>
      </c>
      <c r="AY1765" s="1194">
        <f>VLOOKUP('Bilateral Assistance, MAIN DATA'!B1765,'Country Summary (€)'!B:F,COLUMN('Country Summary (€)'!C1776)-1,FALSE)</f>
        <v>0</v>
      </c>
      <c r="AZ1765" s="1194" t="str">
        <f>IF(AND(AD1765=1,D1765="Military",H1765&lt;&gt;"Not given")=TRUE,IF(SUMIFS(P:P,A:A,A1765)&gt;0,ABS((SUMIFS(P:P,A:A,A1765)/VLOOKUP("USD",'Exchange Rates'!B:C,2,0)))/S1765,"."),".")</f>
        <v>.</v>
      </c>
      <c r="BA1765" s="1196" t="str">
        <f>IF(AND(AD1765=1,D1765="Military",H1765&lt;&gt;"Not given")=TRUE,IF(SUMIFS(P:P,A:A,A1765)&gt;0,IF((ABS((SUMIFS(P:P,A:A,A1765)/VLOOKUP("USD",'Exchange Rates'!B:C,2,0)))/S1765)&gt;1,(SUMIFS(P:P,A:A,A1765)-S1765)/S1765,(S1765-SUMIFS(P:P,A:A,A1765))/SUMIFS(P:P,A:A,A1765)),"."),".")</f>
        <v>.</v>
      </c>
      <c r="BB1765" s="1208" t="s">
        <v>38</v>
      </c>
      <c r="BC1765" s="1208" t="s">
        <v>38</v>
      </c>
      <c r="BD1765" s="1208" t="s">
        <v>38</v>
      </c>
      <c r="BE1765" s="1208" t="s">
        <v>38</v>
      </c>
      <c r="BF1765" s="1208" t="s">
        <v>38</v>
      </c>
      <c r="BG1765" s="1208" t="s">
        <v>38</v>
      </c>
      <c r="BH1765" s="1208" t="s">
        <v>38</v>
      </c>
      <c r="BI1765" s="1208" t="s">
        <v>38</v>
      </c>
      <c r="BJ1765" s="1208" t="s">
        <v>38</v>
      </c>
      <c r="BK1765" s="1208" t="s">
        <v>38</v>
      </c>
      <c r="BL1765" s="1208" t="s">
        <v>38</v>
      </c>
      <c r="BM1765" s="1208" t="s">
        <v>38</v>
      </c>
      <c r="BN1765" s="1208" t="s">
        <v>38</v>
      </c>
      <c r="BO1765" s="1208" t="s">
        <v>38</v>
      </c>
      <c r="BP1765" s="1208" t="s">
        <v>38</v>
      </c>
      <c r="BQ1765" s="1208" t="s">
        <v>38</v>
      </c>
      <c r="BR1765" s="1208" t="s">
        <v>38</v>
      </c>
      <c r="BS1765" s="1208" t="s">
        <v>38</v>
      </c>
    </row>
    <row r="1766" spans="1:71" ht="15.95" customHeight="1">
      <c r="A1766" s="1208" t="s">
        <v>4310</v>
      </c>
      <c r="B1766" s="1208" t="s">
        <v>3949</v>
      </c>
      <c r="C1766" s="1209">
        <v>44945</v>
      </c>
      <c r="D1766" s="1208" t="s">
        <v>389</v>
      </c>
      <c r="E1766" s="1208" t="s">
        <v>390</v>
      </c>
      <c r="F1766" s="1208" t="s">
        <v>4321</v>
      </c>
      <c r="G1766" s="1184" t="s">
        <v>456</v>
      </c>
      <c r="H1766" s="1210">
        <v>2500000000</v>
      </c>
      <c r="I1766" s="1208" t="s">
        <v>4159</v>
      </c>
      <c r="J1766" s="1186" t="str">
        <f>VLOOKUP($I1766,'Price List, Weapons &amp; Items'!B:C,2,0)</f>
        <v>Heavy Weapon</v>
      </c>
      <c r="K1766" s="1186" t="str">
        <f>IF(I1766=".",I1766,VLOOKUP($I1766,'Price List, Weapons &amp; Items'!B:D,3,0))</f>
        <v>Armored Utility Vehicle (AUV)</v>
      </c>
      <c r="L1766" s="1187">
        <f>VLOOKUP(I1766,'Price List, Weapons &amp; Items'!B:E,4,0)</f>
        <v>0</v>
      </c>
      <c r="M1766" s="1241">
        <v>53</v>
      </c>
      <c r="N1766" s="1188" t="s">
        <v>374</v>
      </c>
      <c r="O1766" s="1188">
        <f>VLOOKUP($I1766,'Price List, Weapons &amp; Items'!B:G,6,0)</f>
        <v>405530</v>
      </c>
      <c r="P1766" s="1185">
        <f t="shared" si="372"/>
        <v>21493090</v>
      </c>
      <c r="Q1766" s="1185" t="str">
        <f t="shared" si="373"/>
        <v>.</v>
      </c>
      <c r="R1766" s="1185" t="str">
        <f t="shared" si="369"/>
        <v/>
      </c>
      <c r="S1766" s="1185" t="str">
        <f>IF(AND(AD1766=1,R1766&lt;&gt;".")=TRUE,R1766/VLOOKUP(G1766,'Exchange Rates'!B:C,2,0),IF(R1766=".",".",""))</f>
        <v/>
      </c>
      <c r="T1766" s="1185" t="str">
        <f>IF(AD1766=1,IF(AF1766="Value is not given at all",".",IF(AF1766="Value is given by the source",S1766,IF(AF1766="Value is calculated with prices",(IF(SUMIFS(Q:Q,A:A,A1766)&gt;0,SUMIFS(Q:Q,A:A,A1766),"."))/VLOOKUP("USD",'Exchange Rates'!B:C,2,0),"Error with coding"))),"")</f>
        <v/>
      </c>
      <c r="U1766" s="1191" t="s">
        <v>365</v>
      </c>
      <c r="V1766" s="983" t="s">
        <v>4322</v>
      </c>
      <c r="W1766" s="983" t="s">
        <v>3989</v>
      </c>
      <c r="X1766" s="1208" t="s">
        <v>364</v>
      </c>
      <c r="Y1766" s="1208" t="s">
        <v>364</v>
      </c>
      <c r="Z1766" s="1191">
        <v>0</v>
      </c>
      <c r="AA1766" s="1191">
        <v>0</v>
      </c>
      <c r="AB1766" s="1208" t="s">
        <v>364</v>
      </c>
      <c r="AC1766" s="1192" t="str">
        <f>""</f>
        <v/>
      </c>
      <c r="AD1766" s="1193">
        <v>0</v>
      </c>
      <c r="AE1766" s="1191" t="s">
        <v>368</v>
      </c>
      <c r="AF1766" s="1191" t="s">
        <v>369</v>
      </c>
      <c r="AG1766" s="1193">
        <v>1</v>
      </c>
      <c r="AH1766" s="1193">
        <v>13</v>
      </c>
      <c r="AI1766" s="1193">
        <v>0</v>
      </c>
      <c r="AJ1766" s="1193">
        <f>VLOOKUP($I1766,'Price List, Weapons &amp; Items'!B:F,5,0)</f>
        <v>1</v>
      </c>
      <c r="AK1766" s="1193">
        <f t="shared" si="374"/>
        <v>0</v>
      </c>
      <c r="AL1766" s="1193">
        <f t="shared" si="375"/>
        <v>1</v>
      </c>
      <c r="AM1766" s="1193">
        <f t="shared" si="376"/>
        <v>0</v>
      </c>
      <c r="AN1766" s="1194" t="str">
        <f>VLOOKUP($I1766,'Price List, Weapons &amp; Items'!B:L,COLUMN('Price List, Weapons &amp; Items'!$J$11)-1,0)</f>
        <v>Contract</v>
      </c>
      <c r="AO1766" s="1194" t="str">
        <f>IF(I1766=".",".",VLOOKUP($I1766,'Price List, Weapons &amp; Items'!B:J,3,0))</f>
        <v>Armored Utility Vehicle (AUV)</v>
      </c>
      <c r="AP1766" s="1195" t="str">
        <f t="shared" ca="1" si="370"/>
        <v/>
      </c>
      <c r="AQ1766" s="1194">
        <f>VLOOKUP($I1766,'Price List, Weapons &amp; Items'!B:L,COLUMN('Price List, Weapons &amp; Items'!$L$11)-1,0)</f>
        <v>2</v>
      </c>
      <c r="AR1766" s="1194">
        <f t="shared" si="377"/>
        <v>1</v>
      </c>
      <c r="AS1766" s="1194">
        <f t="shared" si="378"/>
        <v>1</v>
      </c>
      <c r="AT1766" s="1194">
        <f t="shared" si="379"/>
        <v>1</v>
      </c>
      <c r="AU1766" s="1194" t="str">
        <f t="shared" si="381"/>
        <v>.</v>
      </c>
      <c r="AV1766" s="1194" t="str">
        <f t="shared" si="371"/>
        <v>.</v>
      </c>
      <c r="AW1766" s="1194" t="str">
        <f t="shared" si="380"/>
        <v>.</v>
      </c>
      <c r="AX1766" s="1194">
        <f>IFERROR(VLOOKUP(B1766,'Share, Heavy Weapons to Ukraine'!B:Z,COLUMN('Share, Heavy Weapons to Ukraine'!C1776)-1,0),0)</f>
        <v>1</v>
      </c>
      <c r="AY1766" s="1194">
        <f>VLOOKUP('Bilateral Assistance, MAIN DATA'!B1766,'Country Summary (€)'!B:F,COLUMN('Country Summary (€)'!C1777)-1,FALSE)</f>
        <v>0</v>
      </c>
      <c r="AZ1766" s="1194" t="str">
        <f>IF(AND(AD1766=1,D1766="Military",H1766&lt;&gt;"Not given")=TRUE,IF(SUMIFS(P:P,A:A,A1766)&gt;0,ABS((SUMIFS(P:P,A:A,A1766)/VLOOKUP("USD",'Exchange Rates'!B:C,2,0)))/S1766,"."),".")</f>
        <v>.</v>
      </c>
      <c r="BA1766" s="1196" t="str">
        <f>IF(AND(AD1766=1,D1766="Military",H1766&lt;&gt;"Not given")=TRUE,IF(SUMIFS(P:P,A:A,A1766)&gt;0,IF((ABS((SUMIFS(P:P,A:A,A1766)/VLOOKUP("USD",'Exchange Rates'!B:C,2,0)))/S1766)&gt;1,(SUMIFS(P:P,A:A,A1766)-S1766)/S1766,(S1766-SUMIFS(P:P,A:A,A1766))/SUMIFS(P:P,A:A,A1766)),"."),".")</f>
        <v>.</v>
      </c>
      <c r="BB1766" s="1208" t="s">
        <v>38</v>
      </c>
      <c r="BC1766" s="1208" t="s">
        <v>38</v>
      </c>
      <c r="BD1766" s="1208" t="s">
        <v>38</v>
      </c>
      <c r="BE1766" s="1208" t="s">
        <v>38</v>
      </c>
      <c r="BF1766" s="1208" t="s">
        <v>38</v>
      </c>
      <c r="BG1766" s="1208" t="s">
        <v>38</v>
      </c>
      <c r="BH1766" s="1208" t="s">
        <v>38</v>
      </c>
      <c r="BI1766" s="1208" t="s">
        <v>38</v>
      </c>
      <c r="BJ1766" s="1208" t="s">
        <v>38</v>
      </c>
      <c r="BK1766" s="1208" t="s">
        <v>38</v>
      </c>
      <c r="BL1766" s="1208" t="s">
        <v>38</v>
      </c>
      <c r="BM1766" s="1208" t="s">
        <v>38</v>
      </c>
      <c r="BN1766" s="1208" t="s">
        <v>38</v>
      </c>
      <c r="BO1766" s="1208" t="s">
        <v>38</v>
      </c>
      <c r="BP1766" s="1208" t="s">
        <v>38</v>
      </c>
      <c r="BQ1766" s="1208" t="s">
        <v>38</v>
      </c>
      <c r="BR1766" s="1208" t="s">
        <v>38</v>
      </c>
      <c r="BS1766" s="1208" t="s">
        <v>38</v>
      </c>
    </row>
    <row r="1767" spans="1:71" ht="15.95" customHeight="1">
      <c r="A1767" s="1208" t="s">
        <v>4310</v>
      </c>
      <c r="B1767" s="1208" t="s">
        <v>3949</v>
      </c>
      <c r="C1767" s="1209">
        <v>44945</v>
      </c>
      <c r="D1767" s="1208" t="s">
        <v>389</v>
      </c>
      <c r="E1767" s="1208" t="s">
        <v>390</v>
      </c>
      <c r="F1767" s="1208" t="s">
        <v>4321</v>
      </c>
      <c r="G1767" s="1184" t="s">
        <v>456</v>
      </c>
      <c r="H1767" s="1210">
        <v>2500000000</v>
      </c>
      <c r="I1767" s="1208" t="s">
        <v>2637</v>
      </c>
      <c r="J1767" s="1186" t="str">
        <f>VLOOKUP($I1767,'Price List, Weapons &amp; Items'!B:C,2,0)</f>
        <v>Heavy weapon</v>
      </c>
      <c r="K1767" s="1186" t="str">
        <f>IF(I1767=".",I1767,VLOOKUP($I1767,'Price List, Weapons &amp; Items'!B:D,3,0))</f>
        <v>Armored Utility Vehicle (AUV)</v>
      </c>
      <c r="L1767" s="1187">
        <f>VLOOKUP(I1767,'Price List, Weapons &amp; Items'!B:E,4,0)</f>
        <v>0</v>
      </c>
      <c r="M1767" s="1241">
        <v>350</v>
      </c>
      <c r="N1767" s="1188" t="s">
        <v>374</v>
      </c>
      <c r="O1767" s="1188">
        <f>VLOOKUP($I1767,'Price List, Weapons &amp; Items'!B:G,6,0)</f>
        <v>254717</v>
      </c>
      <c r="P1767" s="1185">
        <f t="shared" si="372"/>
        <v>89150950</v>
      </c>
      <c r="Q1767" s="1185" t="str">
        <f t="shared" si="373"/>
        <v>.</v>
      </c>
      <c r="R1767" s="1185" t="str">
        <f t="shared" si="369"/>
        <v/>
      </c>
      <c r="S1767" s="1185" t="str">
        <f>IF(AND(AD1767=1,R1767&lt;&gt;".")=TRUE,R1767/VLOOKUP(G1767,'Exchange Rates'!B:C,2,0),IF(R1767=".",".",""))</f>
        <v/>
      </c>
      <c r="T1767" s="1185" t="str">
        <f>IF(AD1767=1,IF(AF1767="Value is not given at all",".",IF(AF1767="Value is given by the source",S1767,IF(AF1767="Value is calculated with prices",(IF(SUMIFS(Q:Q,A:A,A1767)&gt;0,SUMIFS(Q:Q,A:A,A1767),"."))/VLOOKUP("USD",'Exchange Rates'!B:C,2,0),"Error with coding"))),"")</f>
        <v/>
      </c>
      <c r="U1767" s="1191" t="s">
        <v>365</v>
      </c>
      <c r="V1767" s="983" t="s">
        <v>4322</v>
      </c>
      <c r="W1767" s="983" t="s">
        <v>3989</v>
      </c>
      <c r="X1767" s="1208" t="s">
        <v>364</v>
      </c>
      <c r="Y1767" s="1208" t="s">
        <v>364</v>
      </c>
      <c r="Z1767" s="1191">
        <v>0</v>
      </c>
      <c r="AA1767" s="1191">
        <v>0</v>
      </c>
      <c r="AB1767" s="1208" t="s">
        <v>364</v>
      </c>
      <c r="AC1767" s="1192" t="str">
        <f>""</f>
        <v/>
      </c>
      <c r="AD1767" s="1193">
        <v>0</v>
      </c>
      <c r="AE1767" s="1191" t="s">
        <v>368</v>
      </c>
      <c r="AF1767" s="1191" t="s">
        <v>369</v>
      </c>
      <c r="AG1767" s="1193">
        <v>1</v>
      </c>
      <c r="AH1767" s="1193">
        <v>13</v>
      </c>
      <c r="AI1767" s="1193">
        <v>0</v>
      </c>
      <c r="AJ1767" s="1193">
        <f>VLOOKUP($I1767,'Price List, Weapons &amp; Items'!B:F,5,0)</f>
        <v>1</v>
      </c>
      <c r="AK1767" s="1193">
        <f t="shared" si="374"/>
        <v>0</v>
      </c>
      <c r="AL1767" s="1193">
        <f t="shared" si="375"/>
        <v>1</v>
      </c>
      <c r="AM1767" s="1193">
        <f t="shared" si="376"/>
        <v>0</v>
      </c>
      <c r="AN1767" s="1194" t="str">
        <f>VLOOKUP($I1767,'Price List, Weapons &amp; Items'!B:L,COLUMN('Price List, Weapons &amp; Items'!$J$11)-1,0)</f>
        <v>Military media (incl. websites)</v>
      </c>
      <c r="AO1767" s="1194" t="str">
        <f>IF(I1767=".",".",VLOOKUP($I1767,'Price List, Weapons &amp; Items'!B:J,3,0))</f>
        <v>Armored Utility Vehicle (AUV)</v>
      </c>
      <c r="AP1767" s="1195" t="str">
        <f t="shared" ca="1" si="370"/>
        <v/>
      </c>
      <c r="AQ1767" s="1194">
        <f>VLOOKUP($I1767,'Price List, Weapons &amp; Items'!B:L,COLUMN('Price List, Weapons &amp; Items'!$L$11)-1,0)</f>
        <v>2</v>
      </c>
      <c r="AR1767" s="1194">
        <f t="shared" si="377"/>
        <v>1</v>
      </c>
      <c r="AS1767" s="1194">
        <f t="shared" si="378"/>
        <v>1</v>
      </c>
      <c r="AT1767" s="1194">
        <f t="shared" si="379"/>
        <v>1</v>
      </c>
      <c r="AU1767" s="1194" t="str">
        <f t="shared" si="381"/>
        <v>.</v>
      </c>
      <c r="AV1767" s="1194" t="str">
        <f t="shared" si="371"/>
        <v>.</v>
      </c>
      <c r="AW1767" s="1194" t="str">
        <f t="shared" si="380"/>
        <v>.</v>
      </c>
      <c r="AX1767" s="1194">
        <f>IFERROR(VLOOKUP(B1767,'Share, Heavy Weapons to Ukraine'!B:Z,COLUMN('Share, Heavy Weapons to Ukraine'!C1777)-1,0),0)</f>
        <v>1</v>
      </c>
      <c r="AY1767" s="1194">
        <f>VLOOKUP('Bilateral Assistance, MAIN DATA'!B1767,'Country Summary (€)'!B:F,COLUMN('Country Summary (€)'!C1778)-1,FALSE)</f>
        <v>0</v>
      </c>
      <c r="AZ1767" s="1194" t="str">
        <f>IF(AND(AD1767=1,D1767="Military",H1767&lt;&gt;"Not given")=TRUE,IF(SUMIFS(P:P,A:A,A1767)&gt;0,ABS((SUMIFS(P:P,A:A,A1767)/VLOOKUP("USD",'Exchange Rates'!B:C,2,0)))/S1767,"."),".")</f>
        <v>.</v>
      </c>
      <c r="BA1767" s="1196" t="str">
        <f>IF(AND(AD1767=1,D1767="Military",H1767&lt;&gt;"Not given")=TRUE,IF(SUMIFS(P:P,A:A,A1767)&gt;0,IF((ABS((SUMIFS(P:P,A:A,A1767)/VLOOKUP("USD",'Exchange Rates'!B:C,2,0)))/S1767)&gt;1,(SUMIFS(P:P,A:A,A1767)-S1767)/S1767,(S1767-SUMIFS(P:P,A:A,A1767))/SUMIFS(P:P,A:A,A1767)),"."),".")</f>
        <v>.</v>
      </c>
      <c r="BB1767" s="1208" t="s">
        <v>38</v>
      </c>
      <c r="BC1767" s="1208" t="s">
        <v>38</v>
      </c>
      <c r="BD1767" s="1208" t="s">
        <v>38</v>
      </c>
      <c r="BE1767" s="1208" t="s">
        <v>38</v>
      </c>
      <c r="BF1767" s="1208" t="s">
        <v>38</v>
      </c>
      <c r="BG1767" s="1208" t="s">
        <v>38</v>
      </c>
      <c r="BH1767" s="1208" t="s">
        <v>38</v>
      </c>
      <c r="BI1767" s="1208" t="s">
        <v>38</v>
      </c>
      <c r="BJ1767" s="1208" t="s">
        <v>38</v>
      </c>
      <c r="BK1767" s="1208" t="s">
        <v>38</v>
      </c>
      <c r="BL1767" s="1208" t="s">
        <v>38</v>
      </c>
      <c r="BM1767" s="1208" t="s">
        <v>38</v>
      </c>
      <c r="BN1767" s="1208" t="s">
        <v>38</v>
      </c>
      <c r="BO1767" s="1208" t="s">
        <v>38</v>
      </c>
      <c r="BP1767" s="1208" t="s">
        <v>38</v>
      </c>
      <c r="BQ1767" s="1208" t="s">
        <v>38</v>
      </c>
      <c r="BR1767" s="1208" t="s">
        <v>38</v>
      </c>
      <c r="BS1767" s="1208" t="s">
        <v>38</v>
      </c>
    </row>
    <row r="1768" spans="1:71" ht="15.95" customHeight="1">
      <c r="A1768" s="1208" t="s">
        <v>4310</v>
      </c>
      <c r="B1768" s="1208" t="s">
        <v>3949</v>
      </c>
      <c r="C1768" s="1209">
        <v>44945</v>
      </c>
      <c r="D1768" s="1208" t="s">
        <v>389</v>
      </c>
      <c r="E1768" s="1208" t="s">
        <v>390</v>
      </c>
      <c r="F1768" s="1208" t="s">
        <v>4321</v>
      </c>
      <c r="G1768" s="1184" t="s">
        <v>456</v>
      </c>
      <c r="H1768" s="1210">
        <v>2500000000</v>
      </c>
      <c r="I1768" s="1208" t="s">
        <v>856</v>
      </c>
      <c r="J1768" s="1186" t="str">
        <f>VLOOKUP($I1768,'Price List, Weapons &amp; Items'!B:C,2,0)</f>
        <v>Ammunition for heavy weapon</v>
      </c>
      <c r="K1768" s="1186" t="str">
        <f>IF(I1768=".",I1768,VLOOKUP($I1768,'Price List, Weapons &amp; Items'!B:D,3,0))</f>
        <v>155mm howitzer ammunition</v>
      </c>
      <c r="L1768" s="1187">
        <f>VLOOKUP(I1768,'Price List, Weapons &amp; Items'!B:E,4,0)</f>
        <v>0</v>
      </c>
      <c r="M1768" s="1241">
        <v>20000</v>
      </c>
      <c r="N1768" s="1188" t="s">
        <v>374</v>
      </c>
      <c r="O1768" s="1188">
        <f>VLOOKUP($I1768,'Price List, Weapons &amp; Items'!B:G,6,0)</f>
        <v>3800</v>
      </c>
      <c r="P1768" s="1185">
        <f t="shared" si="372"/>
        <v>76000000</v>
      </c>
      <c r="Q1768" s="1185" t="str">
        <f t="shared" si="373"/>
        <v>.</v>
      </c>
      <c r="R1768" s="1185" t="str">
        <f t="shared" si="369"/>
        <v/>
      </c>
      <c r="S1768" s="1185" t="str">
        <f>IF(AND(AD1768=1,R1768&lt;&gt;".")=TRUE,R1768/VLOOKUP(G1768,'Exchange Rates'!B:C,2,0),IF(R1768=".",".",""))</f>
        <v/>
      </c>
      <c r="T1768" s="1185" t="str">
        <f>IF(AD1768=1,IF(AF1768="Value is not given at all",".",IF(AF1768="Value is given by the source",S1768,IF(AF1768="Value is calculated with prices",(IF(SUMIFS(Q:Q,A:A,A1768)&gt;0,SUMIFS(Q:Q,A:A,A1768),"."))/VLOOKUP("USD",'Exchange Rates'!B:C,2,0),"Error with coding"))),"")</f>
        <v/>
      </c>
      <c r="U1768" s="1191" t="s">
        <v>365</v>
      </c>
      <c r="V1768" s="983" t="s">
        <v>4322</v>
      </c>
      <c r="W1768" s="983" t="s">
        <v>3989</v>
      </c>
      <c r="X1768" s="1208" t="s">
        <v>364</v>
      </c>
      <c r="Y1768" s="1208" t="s">
        <v>364</v>
      </c>
      <c r="Z1768" s="1191">
        <v>0</v>
      </c>
      <c r="AA1768" s="1191">
        <v>0</v>
      </c>
      <c r="AB1768" s="1208" t="s">
        <v>364</v>
      </c>
      <c r="AC1768" s="1192" t="str">
        <f>""</f>
        <v/>
      </c>
      <c r="AD1768" s="1193">
        <v>0</v>
      </c>
      <c r="AE1768" s="1191" t="s">
        <v>368</v>
      </c>
      <c r="AF1768" s="1191" t="s">
        <v>369</v>
      </c>
      <c r="AG1768" s="1193">
        <v>1</v>
      </c>
      <c r="AH1768" s="1193">
        <v>13</v>
      </c>
      <c r="AI1768" s="1193">
        <v>0</v>
      </c>
      <c r="AJ1768" s="1193">
        <f>VLOOKUP($I1768,'Price List, Weapons &amp; Items'!B:F,5,0)</f>
        <v>1</v>
      </c>
      <c r="AK1768" s="1193">
        <f t="shared" si="374"/>
        <v>0</v>
      </c>
      <c r="AL1768" s="1193">
        <f t="shared" si="375"/>
        <v>1</v>
      </c>
      <c r="AM1768" s="1193">
        <f t="shared" si="376"/>
        <v>0</v>
      </c>
      <c r="AN1768" s="1194" t="str">
        <f>VLOOKUP($I1768,'Price List, Weapons &amp; Items'!B:L,COLUMN('Price List, Weapons &amp; Items'!$J$11)-1,0)</f>
        <v>Government information</v>
      </c>
      <c r="AO1768" s="1194" t="str">
        <f>IF(I1768=".",".",VLOOKUP($I1768,'Price List, Weapons &amp; Items'!B:J,3,0))</f>
        <v>155mm howitzer ammunition</v>
      </c>
      <c r="AP1768" s="1195" t="str">
        <f t="shared" ca="1" si="370"/>
        <v/>
      </c>
      <c r="AQ1768" s="1194">
        <f>VLOOKUP($I1768,'Price List, Weapons &amp; Items'!B:L,COLUMN('Price List, Weapons &amp; Items'!$L$11)-1,0)</f>
        <v>2</v>
      </c>
      <c r="AR1768" s="1194">
        <f t="shared" si="377"/>
        <v>1</v>
      </c>
      <c r="AS1768" s="1194">
        <f t="shared" si="378"/>
        <v>1</v>
      </c>
      <c r="AT1768" s="1194">
        <f t="shared" si="379"/>
        <v>1</v>
      </c>
      <c r="AU1768" s="1194" t="str">
        <f t="shared" si="381"/>
        <v>.</v>
      </c>
      <c r="AV1768" s="1194" t="str">
        <f t="shared" si="371"/>
        <v>.</v>
      </c>
      <c r="AW1768" s="1194" t="str">
        <f t="shared" si="380"/>
        <v>.</v>
      </c>
      <c r="AX1768" s="1194">
        <f>IFERROR(VLOOKUP(B1768,'Share, Heavy Weapons to Ukraine'!B:Z,COLUMN('Share, Heavy Weapons to Ukraine'!C1778)-1,0),0)</f>
        <v>1</v>
      </c>
      <c r="AY1768" s="1194">
        <f>VLOOKUP('Bilateral Assistance, MAIN DATA'!B1768,'Country Summary (€)'!B:F,COLUMN('Country Summary (€)'!C1779)-1,FALSE)</f>
        <v>0</v>
      </c>
      <c r="AZ1768" s="1194" t="str">
        <f>IF(AND(AD1768=1,D1768="Military",H1768&lt;&gt;"Not given")=TRUE,IF(SUMIFS(P:P,A:A,A1768)&gt;0,ABS((SUMIFS(P:P,A:A,A1768)/VLOOKUP("USD",'Exchange Rates'!B:C,2,0)))/S1768,"."),".")</f>
        <v>.</v>
      </c>
      <c r="BA1768" s="1196" t="str">
        <f>IF(AND(AD1768=1,D1768="Military",H1768&lt;&gt;"Not given")=TRUE,IF(SUMIFS(P:P,A:A,A1768)&gt;0,IF((ABS((SUMIFS(P:P,A:A,A1768)/VLOOKUP("USD",'Exchange Rates'!B:C,2,0)))/S1768)&gt;1,(SUMIFS(P:P,A:A,A1768)-S1768)/S1768,(S1768-SUMIFS(P:P,A:A,A1768))/SUMIFS(P:P,A:A,A1768)),"."),".")</f>
        <v>.</v>
      </c>
      <c r="BB1768" s="1208" t="s">
        <v>38</v>
      </c>
      <c r="BC1768" s="1208" t="s">
        <v>38</v>
      </c>
      <c r="BD1768" s="1208" t="s">
        <v>38</v>
      </c>
      <c r="BE1768" s="1208" t="s">
        <v>38</v>
      </c>
      <c r="BF1768" s="1208" t="s">
        <v>38</v>
      </c>
      <c r="BG1768" s="1208" t="s">
        <v>38</v>
      </c>
      <c r="BH1768" s="1208" t="s">
        <v>38</v>
      </c>
      <c r="BI1768" s="1208" t="s">
        <v>38</v>
      </c>
      <c r="BJ1768" s="1208" t="s">
        <v>38</v>
      </c>
      <c r="BK1768" s="1208" t="s">
        <v>38</v>
      </c>
      <c r="BL1768" s="1208" t="s">
        <v>38</v>
      </c>
      <c r="BM1768" s="1208" t="s">
        <v>38</v>
      </c>
      <c r="BN1768" s="1208" t="s">
        <v>38</v>
      </c>
      <c r="BO1768" s="1208" t="s">
        <v>38</v>
      </c>
      <c r="BP1768" s="1208" t="s">
        <v>38</v>
      </c>
      <c r="BQ1768" s="1208" t="s">
        <v>38</v>
      </c>
      <c r="BR1768" s="1208" t="s">
        <v>38</v>
      </c>
      <c r="BS1768" s="1208" t="s">
        <v>38</v>
      </c>
    </row>
    <row r="1769" spans="1:71" ht="15.95" customHeight="1">
      <c r="A1769" s="1208" t="s">
        <v>4310</v>
      </c>
      <c r="B1769" s="1208" t="s">
        <v>3949</v>
      </c>
      <c r="C1769" s="1209">
        <v>44945</v>
      </c>
      <c r="D1769" s="1208" t="s">
        <v>389</v>
      </c>
      <c r="E1769" s="1208" t="s">
        <v>390</v>
      </c>
      <c r="F1769" s="1208" t="s">
        <v>4321</v>
      </c>
      <c r="G1769" s="1184" t="s">
        <v>456</v>
      </c>
      <c r="H1769" s="1210">
        <v>2500000000</v>
      </c>
      <c r="I1769" s="1208" t="s">
        <v>4291</v>
      </c>
      <c r="J1769" s="1186" t="str">
        <f>VLOOKUP($I1769,'Price List, Weapons &amp; Items'!B:C,2,0)</f>
        <v>Ammunition for heavy weapon</v>
      </c>
      <c r="K1769" s="1186" t="str">
        <f>IF(I1769=".",I1769,VLOOKUP($I1769,'Price List, Weapons &amp; Items'!B:D,3,0))</f>
        <v>artillery round</v>
      </c>
      <c r="L1769" s="1187">
        <f>VLOOKUP(I1769,'Price List, Weapons &amp; Items'!B:E,4,0)</f>
        <v>0</v>
      </c>
      <c r="M1769" s="1241">
        <v>600</v>
      </c>
      <c r="N1769" s="1188" t="s">
        <v>374</v>
      </c>
      <c r="O1769" s="1188">
        <f>VLOOKUP($I1769,'Price List, Weapons &amp; Items'!B:G,6,0)</f>
        <v>112800</v>
      </c>
      <c r="P1769" s="1185">
        <f t="shared" si="372"/>
        <v>67680000</v>
      </c>
      <c r="Q1769" s="1185" t="str">
        <f t="shared" si="373"/>
        <v>.</v>
      </c>
      <c r="R1769" s="1185" t="str">
        <f t="shared" si="369"/>
        <v/>
      </c>
      <c r="S1769" s="1185" t="str">
        <f>IF(AND(AD1769=1,R1769&lt;&gt;".")=TRUE,R1769/VLOOKUP(G1769,'Exchange Rates'!B:C,2,0),IF(R1769=".",".",""))</f>
        <v/>
      </c>
      <c r="T1769" s="1185" t="str">
        <f>IF(AD1769=1,IF(AF1769="Value is not given at all",".",IF(AF1769="Value is given by the source",S1769,IF(AF1769="Value is calculated with prices",(IF(SUMIFS(Q:Q,A:A,A1769)&gt;0,SUMIFS(Q:Q,A:A,A1769),"."))/VLOOKUP("USD",'Exchange Rates'!B:C,2,0),"Error with coding"))),"")</f>
        <v/>
      </c>
      <c r="U1769" s="1191" t="s">
        <v>365</v>
      </c>
      <c r="V1769" s="983" t="s">
        <v>4322</v>
      </c>
      <c r="W1769" s="983" t="s">
        <v>3989</v>
      </c>
      <c r="X1769" s="1208" t="s">
        <v>364</v>
      </c>
      <c r="Y1769" s="1208" t="s">
        <v>364</v>
      </c>
      <c r="Z1769" s="1191">
        <v>0</v>
      </c>
      <c r="AA1769" s="1191">
        <v>0</v>
      </c>
      <c r="AB1769" s="1208" t="s">
        <v>364</v>
      </c>
      <c r="AC1769" s="1192" t="str">
        <f>""</f>
        <v/>
      </c>
      <c r="AD1769" s="1193">
        <v>0</v>
      </c>
      <c r="AE1769" s="1191" t="s">
        <v>368</v>
      </c>
      <c r="AF1769" s="1191" t="s">
        <v>369</v>
      </c>
      <c r="AG1769" s="1193">
        <v>1</v>
      </c>
      <c r="AH1769" s="1193">
        <v>13</v>
      </c>
      <c r="AI1769" s="1193">
        <v>0</v>
      </c>
      <c r="AJ1769" s="1193">
        <f>VLOOKUP($I1769,'Price List, Weapons &amp; Items'!B:F,5,0)</f>
        <v>0</v>
      </c>
      <c r="AK1769" s="1193">
        <f t="shared" si="374"/>
        <v>0</v>
      </c>
      <c r="AL1769" s="1193">
        <f t="shared" si="375"/>
        <v>0</v>
      </c>
      <c r="AM1769" s="1193">
        <f t="shared" si="376"/>
        <v>0</v>
      </c>
      <c r="AN1769" s="1194" t="str">
        <f>VLOOKUP($I1769,'Price List, Weapons &amp; Items'!B:L,COLUMN('Price List, Weapons &amp; Items'!$J$11)-1,0)</f>
        <v>Miscellaneous</v>
      </c>
      <c r="AO1769" s="1194" t="str">
        <f>IF(I1769=".",".",VLOOKUP($I1769,'Price List, Weapons &amp; Items'!B:J,3,0))</f>
        <v>artillery round</v>
      </c>
      <c r="AP1769" s="1195" t="str">
        <f t="shared" ca="1" si="370"/>
        <v/>
      </c>
      <c r="AQ1769" s="1194">
        <f>VLOOKUP($I1769,'Price List, Weapons &amp; Items'!B:L,COLUMN('Price List, Weapons &amp; Items'!$L$11)-1,0)</f>
        <v>2</v>
      </c>
      <c r="AR1769" s="1194">
        <f t="shared" si="377"/>
        <v>1</v>
      </c>
      <c r="AS1769" s="1194">
        <f t="shared" si="378"/>
        <v>1</v>
      </c>
      <c r="AT1769" s="1194">
        <f t="shared" si="379"/>
        <v>1</v>
      </c>
      <c r="AU1769" s="1194" t="str">
        <f t="shared" si="381"/>
        <v>.</v>
      </c>
      <c r="AV1769" s="1194" t="str">
        <f t="shared" si="371"/>
        <v>.</v>
      </c>
      <c r="AW1769" s="1194" t="str">
        <f t="shared" si="380"/>
        <v>.</v>
      </c>
      <c r="AX1769" s="1194">
        <f>IFERROR(VLOOKUP(B1769,'Share, Heavy Weapons to Ukraine'!B:Z,COLUMN('Share, Heavy Weapons to Ukraine'!C1779)-1,0),0)</f>
        <v>1</v>
      </c>
      <c r="AY1769" s="1194">
        <f>VLOOKUP('Bilateral Assistance, MAIN DATA'!B1769,'Country Summary (€)'!B:F,COLUMN('Country Summary (€)'!C1780)-1,FALSE)</f>
        <v>0</v>
      </c>
      <c r="AZ1769" s="1194" t="str">
        <f>IF(AND(AD1769=1,D1769="Military",H1769&lt;&gt;"Not given")=TRUE,IF(SUMIFS(P:P,A:A,A1769)&gt;0,ABS((SUMIFS(P:P,A:A,A1769)/VLOOKUP("USD",'Exchange Rates'!B:C,2,0)))/S1769,"."),".")</f>
        <v>.</v>
      </c>
      <c r="BA1769" s="1196" t="str">
        <f>IF(AND(AD1769=1,D1769="Military",H1769&lt;&gt;"Not given")=TRUE,IF(SUMIFS(P:P,A:A,A1769)&gt;0,IF((ABS((SUMIFS(P:P,A:A,A1769)/VLOOKUP("USD",'Exchange Rates'!B:C,2,0)))/S1769)&gt;1,(SUMIFS(P:P,A:A,A1769)-S1769)/S1769,(S1769-SUMIFS(P:P,A:A,A1769))/SUMIFS(P:P,A:A,A1769)),"."),".")</f>
        <v>.</v>
      </c>
      <c r="BB1769" s="1208" t="s">
        <v>38</v>
      </c>
      <c r="BC1769" s="1208" t="s">
        <v>38</v>
      </c>
      <c r="BD1769" s="1208" t="s">
        <v>38</v>
      </c>
      <c r="BE1769" s="1208" t="s">
        <v>38</v>
      </c>
      <c r="BF1769" s="1208" t="s">
        <v>38</v>
      </c>
      <c r="BG1769" s="1208" t="s">
        <v>38</v>
      </c>
      <c r="BH1769" s="1208" t="s">
        <v>38</v>
      </c>
      <c r="BI1769" s="1208" t="s">
        <v>38</v>
      </c>
      <c r="BJ1769" s="1208" t="s">
        <v>38</v>
      </c>
      <c r="BK1769" s="1208" t="s">
        <v>38</v>
      </c>
      <c r="BL1769" s="1208" t="s">
        <v>38</v>
      </c>
      <c r="BM1769" s="1208" t="s">
        <v>38</v>
      </c>
      <c r="BN1769" s="1208" t="s">
        <v>38</v>
      </c>
      <c r="BO1769" s="1208" t="s">
        <v>38</v>
      </c>
      <c r="BP1769" s="1208" t="s">
        <v>38</v>
      </c>
      <c r="BQ1769" s="1208" t="s">
        <v>38</v>
      </c>
      <c r="BR1769" s="1208" t="s">
        <v>38</v>
      </c>
      <c r="BS1769" s="1208" t="s">
        <v>38</v>
      </c>
    </row>
    <row r="1770" spans="1:71" ht="15.95" customHeight="1">
      <c r="A1770" s="1208" t="s">
        <v>4310</v>
      </c>
      <c r="B1770" s="1208" t="s">
        <v>3949</v>
      </c>
      <c r="C1770" s="1209">
        <v>44945</v>
      </c>
      <c r="D1770" s="1208" t="s">
        <v>389</v>
      </c>
      <c r="E1770" s="1208" t="s">
        <v>390</v>
      </c>
      <c r="F1770" s="1208" t="s">
        <v>4321</v>
      </c>
      <c r="G1770" s="1184" t="s">
        <v>456</v>
      </c>
      <c r="H1770" s="1210">
        <v>2500000000</v>
      </c>
      <c r="I1770" s="1208" t="s">
        <v>2253</v>
      </c>
      <c r="J1770" s="1186" t="str">
        <f>VLOOKUP($I1770,'Price List, Weapons &amp; Items'!B:C,2,0)</f>
        <v>Ammunition for heavy weapon</v>
      </c>
      <c r="K1770" s="1186" t="str">
        <f>IF(I1770=".",I1770,VLOOKUP($I1770,'Price List, Weapons &amp; Items'!B:D,3,0))</f>
        <v>105mm field gun ammunition</v>
      </c>
      <c r="L1770" s="1187">
        <f>VLOOKUP(I1770,'Price List, Weapons &amp; Items'!B:E,4,0)</f>
        <v>0</v>
      </c>
      <c r="M1770" s="1241">
        <v>95000</v>
      </c>
      <c r="N1770" s="1188" t="s">
        <v>374</v>
      </c>
      <c r="O1770" s="1188">
        <f>VLOOKUP($I1770,'Price List, Weapons &amp; Items'!B:G,6,0)</f>
        <v>400</v>
      </c>
      <c r="P1770" s="1185">
        <f t="shared" si="372"/>
        <v>38000000</v>
      </c>
      <c r="Q1770" s="1185" t="str">
        <f t="shared" si="373"/>
        <v>.</v>
      </c>
      <c r="R1770" s="1185" t="str">
        <f t="shared" si="369"/>
        <v/>
      </c>
      <c r="S1770" s="1185" t="str">
        <f>IF(AND(AD1770=1,R1770&lt;&gt;".")=TRUE,R1770/VLOOKUP(G1770,'Exchange Rates'!B:C,2,0),IF(R1770=".",".",""))</f>
        <v/>
      </c>
      <c r="T1770" s="1185" t="str">
        <f>IF(AD1770=1,IF(AF1770="Value is not given at all",".",IF(AF1770="Value is given by the source",S1770,IF(AF1770="Value is calculated with prices",(IF(SUMIFS(Q:Q,A:A,A1770)&gt;0,SUMIFS(Q:Q,A:A,A1770),"."))/VLOOKUP("USD",'Exchange Rates'!B:C,2,0),"Error with coding"))),"")</f>
        <v/>
      </c>
      <c r="U1770" s="1191" t="s">
        <v>365</v>
      </c>
      <c r="V1770" s="983" t="s">
        <v>4322</v>
      </c>
      <c r="W1770" s="983" t="s">
        <v>3989</v>
      </c>
      <c r="X1770" s="1208" t="s">
        <v>364</v>
      </c>
      <c r="Y1770" s="1208" t="s">
        <v>364</v>
      </c>
      <c r="Z1770" s="1191">
        <v>0</v>
      </c>
      <c r="AA1770" s="1191">
        <v>0</v>
      </c>
      <c r="AB1770" s="1208" t="s">
        <v>364</v>
      </c>
      <c r="AC1770" s="1192" t="str">
        <f>""</f>
        <v/>
      </c>
      <c r="AD1770" s="1193">
        <v>0</v>
      </c>
      <c r="AE1770" s="1191" t="s">
        <v>368</v>
      </c>
      <c r="AF1770" s="1191" t="s">
        <v>369</v>
      </c>
      <c r="AG1770" s="1193">
        <v>1</v>
      </c>
      <c r="AH1770" s="1193">
        <v>13</v>
      </c>
      <c r="AI1770" s="1193">
        <v>0</v>
      </c>
      <c r="AJ1770" s="1193">
        <f>VLOOKUP($I1770,'Price List, Weapons &amp; Items'!B:F,5,0)</f>
        <v>0</v>
      </c>
      <c r="AK1770" s="1193">
        <f t="shared" si="374"/>
        <v>0</v>
      </c>
      <c r="AL1770" s="1193">
        <f t="shared" si="375"/>
        <v>0</v>
      </c>
      <c r="AM1770" s="1193">
        <f t="shared" si="376"/>
        <v>1</v>
      </c>
      <c r="AN1770" s="1194" t="str">
        <f>VLOOKUP($I1770,'Price List, Weapons &amp; Items'!B:L,COLUMN('Price List, Weapons &amp; Items'!$J$11)-1,0)</f>
        <v>Military media (incl. websites)</v>
      </c>
      <c r="AO1770" s="1194" t="str">
        <f>IF(I1770=".",".",VLOOKUP($I1770,'Price List, Weapons &amp; Items'!B:J,3,0))</f>
        <v>105mm field gun ammunition</v>
      </c>
      <c r="AP1770" s="1195" t="str">
        <f t="shared" ca="1" si="370"/>
        <v/>
      </c>
      <c r="AQ1770" s="1194">
        <f>VLOOKUP($I1770,'Price List, Weapons &amp; Items'!B:L,COLUMN('Price List, Weapons &amp; Items'!$L$11)-1,0)</f>
        <v>2</v>
      </c>
      <c r="AR1770" s="1194">
        <f t="shared" si="377"/>
        <v>1</v>
      </c>
      <c r="AS1770" s="1194">
        <f t="shared" si="378"/>
        <v>1</v>
      </c>
      <c r="AT1770" s="1194">
        <f t="shared" si="379"/>
        <v>1</v>
      </c>
      <c r="AU1770" s="1194" t="str">
        <f t="shared" si="381"/>
        <v>.</v>
      </c>
      <c r="AV1770" s="1194" t="str">
        <f t="shared" si="371"/>
        <v>.</v>
      </c>
      <c r="AW1770" s="1194" t="str">
        <f t="shared" si="380"/>
        <v>.</v>
      </c>
      <c r="AX1770" s="1194">
        <f>IFERROR(VLOOKUP(B1770,'Share, Heavy Weapons to Ukraine'!B:Z,COLUMN('Share, Heavy Weapons to Ukraine'!C1780)-1,0),0)</f>
        <v>1</v>
      </c>
      <c r="AY1770" s="1194">
        <f>VLOOKUP('Bilateral Assistance, MAIN DATA'!B1770,'Country Summary (€)'!B:F,COLUMN('Country Summary (€)'!C1781)-1,FALSE)</f>
        <v>0</v>
      </c>
      <c r="AZ1770" s="1194" t="str">
        <f>IF(AND(AD1770=1,D1770="Military",H1770&lt;&gt;"Not given")=TRUE,IF(SUMIFS(P:P,A:A,A1770)&gt;0,ABS((SUMIFS(P:P,A:A,A1770)/VLOOKUP("USD",'Exchange Rates'!B:C,2,0)))/S1770,"."),".")</f>
        <v>.</v>
      </c>
      <c r="BA1770" s="1196" t="str">
        <f>IF(AND(AD1770=1,D1770="Military",H1770&lt;&gt;"Not given")=TRUE,IF(SUMIFS(P:P,A:A,A1770)&gt;0,IF((ABS((SUMIFS(P:P,A:A,A1770)/VLOOKUP("USD",'Exchange Rates'!B:C,2,0)))/S1770)&gt;1,(SUMIFS(P:P,A:A,A1770)-S1770)/S1770,(S1770-SUMIFS(P:P,A:A,A1770))/SUMIFS(P:P,A:A,A1770)),"."),".")</f>
        <v>.</v>
      </c>
      <c r="BB1770" s="1208" t="s">
        <v>38</v>
      </c>
      <c r="BC1770" s="1208" t="s">
        <v>38</v>
      </c>
      <c r="BD1770" s="1208" t="s">
        <v>38</v>
      </c>
      <c r="BE1770" s="1208" t="s">
        <v>38</v>
      </c>
      <c r="BF1770" s="1208" t="s">
        <v>38</v>
      </c>
      <c r="BG1770" s="1208" t="s">
        <v>38</v>
      </c>
      <c r="BH1770" s="1208" t="s">
        <v>38</v>
      </c>
      <c r="BI1770" s="1208" t="s">
        <v>38</v>
      </c>
      <c r="BJ1770" s="1208" t="s">
        <v>38</v>
      </c>
      <c r="BK1770" s="1208" t="s">
        <v>38</v>
      </c>
      <c r="BL1770" s="1208" t="s">
        <v>38</v>
      </c>
      <c r="BM1770" s="1208" t="s">
        <v>38</v>
      </c>
      <c r="BN1770" s="1208" t="s">
        <v>38</v>
      </c>
      <c r="BO1770" s="1208" t="s">
        <v>38</v>
      </c>
      <c r="BP1770" s="1208" t="s">
        <v>38</v>
      </c>
      <c r="BQ1770" s="1208" t="s">
        <v>38</v>
      </c>
      <c r="BR1770" s="1208" t="s">
        <v>38</v>
      </c>
      <c r="BS1770" s="1208" t="s">
        <v>38</v>
      </c>
    </row>
    <row r="1771" spans="1:71" ht="15.95" customHeight="1">
      <c r="A1771" s="1208" t="s">
        <v>4310</v>
      </c>
      <c r="B1771" s="1208" t="s">
        <v>3949</v>
      </c>
      <c r="C1771" s="1209">
        <v>44945</v>
      </c>
      <c r="D1771" s="1208" t="s">
        <v>389</v>
      </c>
      <c r="E1771" s="1208" t="s">
        <v>390</v>
      </c>
      <c r="F1771" s="1208" t="s">
        <v>4321</v>
      </c>
      <c r="G1771" s="1184" t="s">
        <v>456</v>
      </c>
      <c r="H1771" s="1210">
        <v>2500000000</v>
      </c>
      <c r="I1771" s="1208" t="s">
        <v>3137</v>
      </c>
      <c r="J1771" s="1186" t="str">
        <f>VLOOKUP($I1771,'Price List, Weapons &amp; Items'!B:C,2,0)</f>
        <v>Ammunition for heavy weapon</v>
      </c>
      <c r="K1771" s="1186" t="str">
        <f>IF(I1771=".",I1771,VLOOKUP($I1771,'Price List, Weapons &amp; Items'!B:D,3,0))</f>
        <v>Mortar ammunition</v>
      </c>
      <c r="L1771" s="1187">
        <f>VLOOKUP(I1771,'Price List, Weapons &amp; Items'!B:E,4,0)</f>
        <v>0</v>
      </c>
      <c r="M1771" s="1241">
        <v>11800</v>
      </c>
      <c r="N1771" s="1188" t="s">
        <v>374</v>
      </c>
      <c r="O1771" s="1188">
        <f>VLOOKUP($I1771,'Price List, Weapons &amp; Items'!B:G,6,0)</f>
        <v>109.89</v>
      </c>
      <c r="P1771" s="1185">
        <f t="shared" si="372"/>
        <v>1296702</v>
      </c>
      <c r="Q1771" s="1185" t="str">
        <f t="shared" si="373"/>
        <v>.</v>
      </c>
      <c r="R1771" s="1185" t="str">
        <f t="shared" si="369"/>
        <v/>
      </c>
      <c r="S1771" s="1185" t="str">
        <f>IF(AND(AD1771=1,R1771&lt;&gt;".")=TRUE,R1771/VLOOKUP(G1771,'Exchange Rates'!B:C,2,0),IF(R1771=".",".",""))</f>
        <v/>
      </c>
      <c r="T1771" s="1185" t="str">
        <f>IF(AD1771=1,IF(AF1771="Value is not given at all",".",IF(AF1771="Value is given by the source",S1771,IF(AF1771="Value is calculated with prices",(IF(SUMIFS(Q:Q,A:A,A1771)&gt;0,SUMIFS(Q:Q,A:A,A1771),"."))/VLOOKUP("USD",'Exchange Rates'!B:C,2,0),"Error with coding"))),"")</f>
        <v/>
      </c>
      <c r="U1771" s="1191" t="s">
        <v>365</v>
      </c>
      <c r="V1771" s="983" t="s">
        <v>4322</v>
      </c>
      <c r="W1771" s="983" t="s">
        <v>3989</v>
      </c>
      <c r="X1771" s="1208" t="s">
        <v>364</v>
      </c>
      <c r="Y1771" s="1208" t="s">
        <v>364</v>
      </c>
      <c r="Z1771" s="1191">
        <v>0</v>
      </c>
      <c r="AA1771" s="1191">
        <v>0</v>
      </c>
      <c r="AB1771" s="1208" t="s">
        <v>364</v>
      </c>
      <c r="AC1771" s="1192" t="str">
        <f>""</f>
        <v/>
      </c>
      <c r="AD1771" s="1193">
        <v>0</v>
      </c>
      <c r="AE1771" s="1191" t="s">
        <v>368</v>
      </c>
      <c r="AF1771" s="1191" t="s">
        <v>369</v>
      </c>
      <c r="AG1771" s="1193">
        <v>1</v>
      </c>
      <c r="AH1771" s="1193">
        <v>13</v>
      </c>
      <c r="AI1771" s="1193">
        <v>0</v>
      </c>
      <c r="AJ1771" s="1193">
        <f>VLOOKUP($I1771,'Price List, Weapons &amp; Items'!B:F,5,0)</f>
        <v>0</v>
      </c>
      <c r="AK1771" s="1193">
        <f t="shared" si="374"/>
        <v>0</v>
      </c>
      <c r="AL1771" s="1193">
        <f t="shared" si="375"/>
        <v>0</v>
      </c>
      <c r="AM1771" s="1193">
        <f t="shared" si="376"/>
        <v>0</v>
      </c>
      <c r="AN1771" s="1194" t="str">
        <f>VLOOKUP($I1771,'Price List, Weapons &amp; Items'!B:L,COLUMN('Price List, Weapons &amp; Items'!$J$11)-1,0)</f>
        <v>Government information</v>
      </c>
      <c r="AO1771" s="1194" t="str">
        <f>IF(I1771=".",".",VLOOKUP($I1771,'Price List, Weapons &amp; Items'!B:J,3,0))</f>
        <v>Mortar ammunition</v>
      </c>
      <c r="AP1771" s="1195" t="str">
        <f t="shared" ca="1" si="370"/>
        <v/>
      </c>
      <c r="AQ1771" s="1194">
        <f>VLOOKUP($I1771,'Price List, Weapons &amp; Items'!B:L,COLUMN('Price List, Weapons &amp; Items'!$L$11)-1,0)</f>
        <v>2</v>
      </c>
      <c r="AR1771" s="1194">
        <f t="shared" si="377"/>
        <v>1</v>
      </c>
      <c r="AS1771" s="1194">
        <f t="shared" si="378"/>
        <v>1</v>
      </c>
      <c r="AT1771" s="1194">
        <f t="shared" si="379"/>
        <v>1</v>
      </c>
      <c r="AU1771" s="1194" t="str">
        <f t="shared" si="381"/>
        <v>.</v>
      </c>
      <c r="AV1771" s="1194" t="str">
        <f t="shared" si="371"/>
        <v>.</v>
      </c>
      <c r="AW1771" s="1194" t="str">
        <f t="shared" si="380"/>
        <v>.</v>
      </c>
      <c r="AX1771" s="1194">
        <f>IFERROR(VLOOKUP(B1771,'Share, Heavy Weapons to Ukraine'!B:Z,COLUMN('Share, Heavy Weapons to Ukraine'!C1781)-1,0),0)</f>
        <v>1</v>
      </c>
      <c r="AY1771" s="1194">
        <f>VLOOKUP('Bilateral Assistance, MAIN DATA'!B1771,'Country Summary (€)'!B:F,COLUMN('Country Summary (€)'!C1782)-1,FALSE)</f>
        <v>0</v>
      </c>
      <c r="AZ1771" s="1194" t="str">
        <f>IF(AND(AD1771=1,D1771="Military",H1771&lt;&gt;"Not given")=TRUE,IF(SUMIFS(P:P,A:A,A1771)&gt;0,ABS((SUMIFS(P:P,A:A,A1771)/VLOOKUP("USD",'Exchange Rates'!B:C,2,0)))/S1771,"."),".")</f>
        <v>.</v>
      </c>
      <c r="BA1771" s="1196" t="str">
        <f>IF(AND(AD1771=1,D1771="Military",H1771&lt;&gt;"Not given")=TRUE,IF(SUMIFS(P:P,A:A,A1771)&gt;0,IF((ABS((SUMIFS(P:P,A:A,A1771)/VLOOKUP("USD",'Exchange Rates'!B:C,2,0)))/S1771)&gt;1,(SUMIFS(P:P,A:A,A1771)-S1771)/S1771,(S1771-SUMIFS(P:P,A:A,A1771))/SUMIFS(P:P,A:A,A1771)),"."),".")</f>
        <v>.</v>
      </c>
      <c r="BB1771" s="1208" t="s">
        <v>38</v>
      </c>
      <c r="BC1771" s="1208" t="s">
        <v>38</v>
      </c>
      <c r="BD1771" s="1208" t="s">
        <v>38</v>
      </c>
      <c r="BE1771" s="1208" t="s">
        <v>38</v>
      </c>
      <c r="BF1771" s="1208" t="s">
        <v>38</v>
      </c>
      <c r="BG1771" s="1208" t="s">
        <v>38</v>
      </c>
      <c r="BH1771" s="1208" t="s">
        <v>38</v>
      </c>
      <c r="BI1771" s="1208" t="s">
        <v>38</v>
      </c>
      <c r="BJ1771" s="1208" t="s">
        <v>38</v>
      </c>
      <c r="BK1771" s="1208" t="s">
        <v>38</v>
      </c>
      <c r="BL1771" s="1208" t="s">
        <v>38</v>
      </c>
      <c r="BM1771" s="1208" t="s">
        <v>38</v>
      </c>
      <c r="BN1771" s="1208" t="s">
        <v>38</v>
      </c>
      <c r="BO1771" s="1208" t="s">
        <v>38</v>
      </c>
      <c r="BP1771" s="1208" t="s">
        <v>38</v>
      </c>
      <c r="BQ1771" s="1208" t="s">
        <v>38</v>
      </c>
      <c r="BR1771" s="1208" t="s">
        <v>38</v>
      </c>
      <c r="BS1771" s="1208" t="s">
        <v>38</v>
      </c>
    </row>
    <row r="1772" spans="1:71" ht="15.95" customHeight="1">
      <c r="A1772" s="1208" t="s">
        <v>4310</v>
      </c>
      <c r="B1772" s="1208" t="s">
        <v>3949</v>
      </c>
      <c r="C1772" s="1209">
        <v>44945</v>
      </c>
      <c r="D1772" s="1208" t="s">
        <v>389</v>
      </c>
      <c r="E1772" s="1208" t="s">
        <v>390</v>
      </c>
      <c r="F1772" s="1208" t="s">
        <v>4321</v>
      </c>
      <c r="G1772" s="1184" t="s">
        <v>456</v>
      </c>
      <c r="H1772" s="1210">
        <v>2500000000</v>
      </c>
      <c r="I1772" s="1208" t="s">
        <v>4325</v>
      </c>
      <c r="J1772" s="1186" t="str">
        <f>VLOOKUP($I1772,'Price List, Weapons &amp; Items'!B:C,2,0)</f>
        <v>Ammunition for heavy weapon</v>
      </c>
      <c r="K1772" s="1186" t="str">
        <f>IF(I1772=".",I1772,VLOOKUP($I1772,'Price List, Weapons &amp; Items'!B:D,3,0))</f>
        <v>227mm MLRS ammunition</v>
      </c>
      <c r="L1772" s="1187">
        <f>VLOOKUP(I1772,'Price List, Weapons &amp; Items'!B:E,4,0)</f>
        <v>0</v>
      </c>
      <c r="M1772" s="1188" t="s">
        <v>374</v>
      </c>
      <c r="N1772" s="1188" t="s">
        <v>374</v>
      </c>
      <c r="O1772" s="1188">
        <f>VLOOKUP($I1772,'Price List, Weapons &amp; Items'!B:G,6,0)</f>
        <v>150000</v>
      </c>
      <c r="P1772" s="1185" t="str">
        <f t="shared" si="372"/>
        <v>.</v>
      </c>
      <c r="Q1772" s="1185" t="str">
        <f t="shared" si="373"/>
        <v>.</v>
      </c>
      <c r="R1772" s="1185" t="str">
        <f t="shared" si="369"/>
        <v/>
      </c>
      <c r="S1772" s="1185" t="str">
        <f>IF(AND(AD1772=1,R1772&lt;&gt;".")=TRUE,R1772/VLOOKUP(G1772,'Exchange Rates'!B:C,2,0),IF(R1772=".",".",""))</f>
        <v/>
      </c>
      <c r="T1772" s="1185" t="str">
        <f>IF(AD1772=1,IF(AF1772="Value is not given at all",".",IF(AF1772="Value is given by the source",S1772,IF(AF1772="Value is calculated with prices",(IF(SUMIFS(Q:Q,A:A,A1772)&gt;0,SUMIFS(Q:Q,A:A,A1772),"."))/VLOOKUP("USD",'Exchange Rates'!B:C,2,0),"Error with coding"))),"")</f>
        <v/>
      </c>
      <c r="U1772" s="1191" t="s">
        <v>365</v>
      </c>
      <c r="V1772" s="983" t="s">
        <v>4322</v>
      </c>
      <c r="W1772" s="983" t="s">
        <v>3989</v>
      </c>
      <c r="X1772" s="1208" t="s">
        <v>364</v>
      </c>
      <c r="Y1772" s="1208" t="s">
        <v>364</v>
      </c>
      <c r="Z1772" s="1191">
        <v>0</v>
      </c>
      <c r="AA1772" s="1191">
        <v>0</v>
      </c>
      <c r="AB1772" s="1208" t="s">
        <v>364</v>
      </c>
      <c r="AC1772" s="1192" t="str">
        <f>""</f>
        <v/>
      </c>
      <c r="AD1772" s="1193">
        <v>0</v>
      </c>
      <c r="AE1772" s="1191" t="s">
        <v>368</v>
      </c>
      <c r="AF1772" s="1191" t="s">
        <v>369</v>
      </c>
      <c r="AG1772" s="1193">
        <v>1</v>
      </c>
      <c r="AH1772" s="1193">
        <v>13</v>
      </c>
      <c r="AI1772" s="1193">
        <v>0</v>
      </c>
      <c r="AJ1772" s="1193">
        <f>VLOOKUP($I1772,'Price List, Weapons &amp; Items'!B:F,5,0)</f>
        <v>1</v>
      </c>
      <c r="AK1772" s="1193">
        <f t="shared" si="374"/>
        <v>1</v>
      </c>
      <c r="AL1772" s="1193">
        <f t="shared" si="375"/>
        <v>1</v>
      </c>
      <c r="AM1772" s="1193">
        <f t="shared" si="376"/>
        <v>1</v>
      </c>
      <c r="AN1772" s="1194" t="str">
        <f>VLOOKUP($I1772,'Price List, Weapons &amp; Items'!B:L,COLUMN('Price List, Weapons &amp; Items'!$J$11)-1,0)</f>
        <v>Media reports (incl. social media)</v>
      </c>
      <c r="AO1772" s="1194" t="str">
        <f>IF(I1772=".",".",VLOOKUP($I1772,'Price List, Weapons &amp; Items'!B:J,3,0))</f>
        <v>227mm MLRS ammunition</v>
      </c>
      <c r="AP1772" s="1195" t="str">
        <f t="shared" ca="1" si="370"/>
        <v/>
      </c>
      <c r="AQ1772" s="1194" t="str">
        <f>VLOOKUP($I1772,'Price List, Weapons &amp; Items'!B:L,COLUMN('Price List, Weapons &amp; Items'!$L$11)-1,0)</f>
        <v>no price, 0 count</v>
      </c>
      <c r="AR1772" s="1194">
        <f t="shared" si="377"/>
        <v>1</v>
      </c>
      <c r="AS1772" s="1194">
        <f t="shared" si="378"/>
        <v>1</v>
      </c>
      <c r="AT1772" s="1194">
        <f t="shared" si="379"/>
        <v>1</v>
      </c>
      <c r="AU1772" s="1194" t="str">
        <f t="shared" si="381"/>
        <v>.</v>
      </c>
      <c r="AV1772" s="1194" t="str">
        <f t="shared" si="371"/>
        <v>.</v>
      </c>
      <c r="AW1772" s="1194" t="str">
        <f t="shared" si="380"/>
        <v>.</v>
      </c>
      <c r="AX1772" s="1194">
        <f>IFERROR(VLOOKUP(B1772,'Share, Heavy Weapons to Ukraine'!B:Z,COLUMN('Share, Heavy Weapons to Ukraine'!C1782)-1,0),0)</f>
        <v>1</v>
      </c>
      <c r="AY1772" s="1194">
        <f>VLOOKUP('Bilateral Assistance, MAIN DATA'!B1772,'Country Summary (€)'!B:F,COLUMN('Country Summary (€)'!C1783)-1,FALSE)</f>
        <v>0</v>
      </c>
      <c r="AZ1772" s="1194" t="str">
        <f>IF(AND(AD1772=1,D1772="Military",H1772&lt;&gt;"Not given")=TRUE,IF(SUMIFS(P:P,A:A,A1772)&gt;0,ABS((SUMIFS(P:P,A:A,A1772)/VLOOKUP("USD",'Exchange Rates'!B:C,2,0)))/S1772,"."),".")</f>
        <v>.</v>
      </c>
      <c r="BA1772" s="1196" t="str">
        <f>IF(AND(AD1772=1,D1772="Military",H1772&lt;&gt;"Not given")=TRUE,IF(SUMIFS(P:P,A:A,A1772)&gt;0,IF((ABS((SUMIFS(P:P,A:A,A1772)/VLOOKUP("USD",'Exchange Rates'!B:C,2,0)))/S1772)&gt;1,(SUMIFS(P:P,A:A,A1772)-S1772)/S1772,(S1772-SUMIFS(P:P,A:A,A1772))/SUMIFS(P:P,A:A,A1772)),"."),".")</f>
        <v>.</v>
      </c>
      <c r="BB1772" s="1208" t="s">
        <v>38</v>
      </c>
      <c r="BC1772" s="1208" t="s">
        <v>38</v>
      </c>
      <c r="BD1772" s="1208" t="s">
        <v>38</v>
      </c>
      <c r="BE1772" s="1208" t="s">
        <v>38</v>
      </c>
      <c r="BF1772" s="1208" t="s">
        <v>38</v>
      </c>
      <c r="BG1772" s="1208" t="s">
        <v>38</v>
      </c>
      <c r="BH1772" s="1208" t="s">
        <v>38</v>
      </c>
      <c r="BI1772" s="1208" t="s">
        <v>38</v>
      </c>
      <c r="BJ1772" s="1208" t="s">
        <v>38</v>
      </c>
      <c r="BK1772" s="1208" t="s">
        <v>38</v>
      </c>
      <c r="BL1772" s="1208" t="s">
        <v>38</v>
      </c>
      <c r="BM1772" s="1208" t="s">
        <v>38</v>
      </c>
      <c r="BN1772" s="1208" t="s">
        <v>38</v>
      </c>
      <c r="BO1772" s="1208" t="s">
        <v>38</v>
      </c>
      <c r="BP1772" s="1208" t="s">
        <v>38</v>
      </c>
      <c r="BQ1772" s="1208" t="s">
        <v>38</v>
      </c>
      <c r="BR1772" s="1208" t="s">
        <v>38</v>
      </c>
      <c r="BS1772" s="1208" t="s">
        <v>38</v>
      </c>
    </row>
    <row r="1773" spans="1:71" ht="15.95" customHeight="1">
      <c r="A1773" s="1208" t="s">
        <v>4310</v>
      </c>
      <c r="B1773" s="1208" t="s">
        <v>3949</v>
      </c>
      <c r="C1773" s="1209">
        <v>44945</v>
      </c>
      <c r="D1773" s="1208" t="s">
        <v>389</v>
      </c>
      <c r="E1773" s="1208" t="s">
        <v>390</v>
      </c>
      <c r="F1773" s="1208" t="s">
        <v>4321</v>
      </c>
      <c r="G1773" s="1184" t="s">
        <v>456</v>
      </c>
      <c r="H1773" s="1210">
        <v>2500000000</v>
      </c>
      <c r="I1773" s="1208" t="s">
        <v>4326</v>
      </c>
      <c r="J1773" s="1186" t="str">
        <f>VLOOKUP($I1773,'Price List, Weapons &amp; Items'!B:C,2,0)</f>
        <v>Heavy weapon</v>
      </c>
      <c r="K1773" s="1186" t="str">
        <f>IF(I1773=".",I1773,VLOOKUP($I1773,'Price List, Weapons &amp; Items'!B:D,3,0))</f>
        <v>Armored Utility Vehicle (AUV)</v>
      </c>
      <c r="L1773" s="1187">
        <f>VLOOKUP(I1773,'Price List, Weapons &amp; Items'!B:E,4,0)</f>
        <v>1</v>
      </c>
      <c r="M1773" s="1241">
        <v>12</v>
      </c>
      <c r="N1773" s="1188" t="s">
        <v>374</v>
      </c>
      <c r="O1773" s="1188">
        <f>VLOOKUP($I1773,'Price List, Weapons &amp; Items'!B:G,6,0)</f>
        <v>2289116.94</v>
      </c>
      <c r="P1773" s="1185">
        <f t="shared" si="372"/>
        <v>27469403.280000001</v>
      </c>
      <c r="Q1773" s="1185" t="str">
        <f t="shared" si="373"/>
        <v>.</v>
      </c>
      <c r="R1773" s="1185" t="str">
        <f t="shared" si="369"/>
        <v/>
      </c>
      <c r="S1773" s="1185" t="str">
        <f>IF(AND(AD1773=1,R1773&lt;&gt;".")=TRUE,R1773/VLOOKUP(G1773,'Exchange Rates'!B:C,2,0),IF(R1773=".",".",""))</f>
        <v/>
      </c>
      <c r="T1773" s="1185" t="str">
        <f>IF(AD1773=1,IF(AF1773="Value is not given at all",".",IF(AF1773="Value is given by the source",S1773,IF(AF1773="Value is calculated with prices",(IF(SUMIFS(Q:Q,A:A,A1773)&gt;0,SUMIFS(Q:Q,A:A,A1773),"."))/VLOOKUP("USD",'Exchange Rates'!B:C,2,0),"Error with coding"))),"")</f>
        <v/>
      </c>
      <c r="U1773" s="1191" t="s">
        <v>365</v>
      </c>
      <c r="V1773" s="983" t="s">
        <v>4322</v>
      </c>
      <c r="W1773" s="983" t="s">
        <v>3989</v>
      </c>
      <c r="X1773" s="1208" t="s">
        <v>364</v>
      </c>
      <c r="Y1773" s="1208" t="s">
        <v>364</v>
      </c>
      <c r="Z1773" s="1191">
        <v>0</v>
      </c>
      <c r="AA1773" s="1191">
        <v>0</v>
      </c>
      <c r="AB1773" s="1208" t="s">
        <v>364</v>
      </c>
      <c r="AC1773" s="1192" t="str">
        <f>""</f>
        <v/>
      </c>
      <c r="AD1773" s="1193">
        <v>0</v>
      </c>
      <c r="AE1773" s="1191" t="s">
        <v>368</v>
      </c>
      <c r="AF1773" s="1191" t="s">
        <v>369</v>
      </c>
      <c r="AG1773" s="1193">
        <v>1</v>
      </c>
      <c r="AH1773" s="1193">
        <v>13</v>
      </c>
      <c r="AI1773" s="1193">
        <v>0</v>
      </c>
      <c r="AJ1773" s="1193">
        <f>VLOOKUP($I1773,'Price List, Weapons &amp; Items'!B:F,5,0)</f>
        <v>1</v>
      </c>
      <c r="AK1773" s="1193">
        <f t="shared" si="374"/>
        <v>0</v>
      </c>
      <c r="AL1773" s="1193">
        <f t="shared" si="375"/>
        <v>1</v>
      </c>
      <c r="AM1773" s="1193">
        <f t="shared" si="376"/>
        <v>1</v>
      </c>
      <c r="AN1773" s="1194" t="str">
        <f>VLOOKUP($I1773,'Price List, Weapons &amp; Items'!B:L,COLUMN('Price List, Weapons &amp; Items'!$J$11)-1,0)</f>
        <v>Contracts</v>
      </c>
      <c r="AO1773" s="1194" t="str">
        <f>IF(I1773=".",".",VLOOKUP($I1773,'Price List, Weapons &amp; Items'!B:J,3,0))</f>
        <v>Armored Utility Vehicle (AUV)</v>
      </c>
      <c r="AP1773" s="1195" t="str">
        <f t="shared" ca="1" si="370"/>
        <v/>
      </c>
      <c r="AQ1773" s="1194">
        <f>VLOOKUP($I1773,'Price List, Weapons &amp; Items'!B:L,COLUMN('Price List, Weapons &amp; Items'!$L$11)-1,0)</f>
        <v>2</v>
      </c>
      <c r="AR1773" s="1194">
        <f t="shared" si="377"/>
        <v>1</v>
      </c>
      <c r="AS1773" s="1194">
        <f t="shared" si="378"/>
        <v>1</v>
      </c>
      <c r="AT1773" s="1194">
        <f t="shared" si="379"/>
        <v>1</v>
      </c>
      <c r="AU1773" s="1194" t="str">
        <f t="shared" si="381"/>
        <v>.</v>
      </c>
      <c r="AV1773" s="1194" t="str">
        <f t="shared" si="371"/>
        <v>.</v>
      </c>
      <c r="AW1773" s="1194" t="str">
        <f t="shared" si="380"/>
        <v>.</v>
      </c>
      <c r="AX1773" s="1194">
        <f>IFERROR(VLOOKUP(B1773,'Share, Heavy Weapons to Ukraine'!B:Z,COLUMN('Share, Heavy Weapons to Ukraine'!C1783)-1,0),0)</f>
        <v>1</v>
      </c>
      <c r="AY1773" s="1194">
        <f>VLOOKUP('Bilateral Assistance, MAIN DATA'!B1773,'Country Summary (€)'!B:F,COLUMN('Country Summary (€)'!C1784)-1,FALSE)</f>
        <v>0</v>
      </c>
      <c r="AZ1773" s="1194" t="str">
        <f>IF(AND(AD1773=1,D1773="Military",H1773&lt;&gt;"Not given")=TRUE,IF(SUMIFS(P:P,A:A,A1773)&gt;0,ABS((SUMIFS(P:P,A:A,A1773)/VLOOKUP("USD",'Exchange Rates'!B:C,2,0)))/S1773,"."),".")</f>
        <v>.</v>
      </c>
      <c r="BA1773" s="1196" t="str">
        <f>IF(AND(AD1773=1,D1773="Military",H1773&lt;&gt;"Not given")=TRUE,IF(SUMIFS(P:P,A:A,A1773)&gt;0,IF((ABS((SUMIFS(P:P,A:A,A1773)/VLOOKUP("USD",'Exchange Rates'!B:C,2,0)))/S1773)&gt;1,(SUMIFS(P:P,A:A,A1773)-S1773)/S1773,(S1773-SUMIFS(P:P,A:A,A1773))/SUMIFS(P:P,A:A,A1773)),"."),".")</f>
        <v>.</v>
      </c>
      <c r="BB1773" s="1208" t="s">
        <v>38</v>
      </c>
      <c r="BC1773" s="1208" t="s">
        <v>38</v>
      </c>
      <c r="BD1773" s="1208" t="s">
        <v>38</v>
      </c>
      <c r="BE1773" s="1208" t="s">
        <v>38</v>
      </c>
      <c r="BF1773" s="1208" t="s">
        <v>38</v>
      </c>
      <c r="BG1773" s="1208" t="s">
        <v>38</v>
      </c>
      <c r="BH1773" s="1208" t="s">
        <v>38</v>
      </c>
      <c r="BI1773" s="1208" t="s">
        <v>38</v>
      </c>
      <c r="BJ1773" s="1208" t="s">
        <v>38</v>
      </c>
      <c r="BK1773" s="1208" t="s">
        <v>38</v>
      </c>
      <c r="BL1773" s="1208" t="s">
        <v>38</v>
      </c>
      <c r="BM1773" s="1208" t="s">
        <v>38</v>
      </c>
      <c r="BN1773" s="1208" t="s">
        <v>38</v>
      </c>
      <c r="BO1773" s="1208" t="s">
        <v>38</v>
      </c>
      <c r="BP1773" s="1208" t="s">
        <v>38</v>
      </c>
      <c r="BQ1773" s="1208" t="s">
        <v>38</v>
      </c>
      <c r="BR1773" s="1208" t="s">
        <v>38</v>
      </c>
      <c r="BS1773" s="1208" t="s">
        <v>38</v>
      </c>
    </row>
    <row r="1774" spans="1:71" ht="15.95" customHeight="1">
      <c r="A1774" s="1208" t="s">
        <v>4310</v>
      </c>
      <c r="B1774" s="1208" t="s">
        <v>3949</v>
      </c>
      <c r="C1774" s="1209">
        <v>44945</v>
      </c>
      <c r="D1774" s="1208" t="s">
        <v>389</v>
      </c>
      <c r="E1774" s="1208" t="s">
        <v>390</v>
      </c>
      <c r="F1774" s="1208" t="s">
        <v>4321</v>
      </c>
      <c r="G1774" s="1184" t="s">
        <v>456</v>
      </c>
      <c r="H1774" s="1210">
        <v>2500000000</v>
      </c>
      <c r="I1774" s="1208" t="s">
        <v>4126</v>
      </c>
      <c r="J1774" s="1186" t="str">
        <f>VLOOKUP($I1774,'Price List, Weapons &amp; Items'!B:C,2,0)</f>
        <v>Heavy weapon</v>
      </c>
      <c r="K1774" s="1186" t="str">
        <f>IF(I1774=".",I1774,VLOOKUP($I1774,'Price List, Weapons &amp; Items'!B:D,3,0))</f>
        <v>Armored Personnel Carrier (APC)</v>
      </c>
      <c r="L1774" s="1187">
        <f>VLOOKUP(I1774,'Price List, Weapons &amp; Items'!B:E,4,0)</f>
        <v>0</v>
      </c>
      <c r="M1774" s="1241">
        <v>6</v>
      </c>
      <c r="N1774" s="1188" t="s">
        <v>374</v>
      </c>
      <c r="O1774" s="1188">
        <f>VLOOKUP($I1774,'Price List, Weapons &amp; Items'!B:G,6,0)</f>
        <v>326778</v>
      </c>
      <c r="P1774" s="1185">
        <f t="shared" si="372"/>
        <v>1960668</v>
      </c>
      <c r="Q1774" s="1185" t="str">
        <f t="shared" si="373"/>
        <v>.</v>
      </c>
      <c r="R1774" s="1185" t="str">
        <f t="shared" si="369"/>
        <v/>
      </c>
      <c r="S1774" s="1185" t="str">
        <f>IF(AND(AD1774=1,R1774&lt;&gt;".")=TRUE,R1774/VLOOKUP(G1774,'Exchange Rates'!B:C,2,0),IF(R1774=".",".",""))</f>
        <v/>
      </c>
      <c r="T1774" s="1185" t="str">
        <f>IF(AD1774=1,IF(AF1774="Value is not given at all",".",IF(AF1774="Value is given by the source",S1774,IF(AF1774="Value is calculated with prices",(IF(SUMIFS(Q:Q,A:A,A1774)&gt;0,SUMIFS(Q:Q,A:A,A1774),"."))/VLOOKUP("USD",'Exchange Rates'!B:C,2,0),"Error with coding"))),"")</f>
        <v/>
      </c>
      <c r="U1774" s="1191" t="s">
        <v>365</v>
      </c>
      <c r="V1774" s="983" t="s">
        <v>4322</v>
      </c>
      <c r="W1774" s="983" t="s">
        <v>3989</v>
      </c>
      <c r="X1774" s="1208" t="s">
        <v>364</v>
      </c>
      <c r="Y1774" s="1208" t="s">
        <v>364</v>
      </c>
      <c r="Z1774" s="1191">
        <v>0</v>
      </c>
      <c r="AA1774" s="1191">
        <v>0</v>
      </c>
      <c r="AB1774" s="1208" t="s">
        <v>364</v>
      </c>
      <c r="AC1774" s="1192" t="str">
        <f>""</f>
        <v/>
      </c>
      <c r="AD1774" s="1193">
        <v>0</v>
      </c>
      <c r="AE1774" s="1191" t="s">
        <v>368</v>
      </c>
      <c r="AF1774" s="1191" t="s">
        <v>369</v>
      </c>
      <c r="AG1774" s="1193">
        <v>1</v>
      </c>
      <c r="AH1774" s="1193">
        <v>13</v>
      </c>
      <c r="AI1774" s="1193">
        <v>0</v>
      </c>
      <c r="AJ1774" s="1193">
        <f>VLOOKUP($I1774,'Price List, Weapons &amp; Items'!B:F,5,0)</f>
        <v>1</v>
      </c>
      <c r="AK1774" s="1193">
        <f t="shared" si="374"/>
        <v>0</v>
      </c>
      <c r="AL1774" s="1193">
        <f t="shared" si="375"/>
        <v>1</v>
      </c>
      <c r="AM1774" s="1193">
        <f t="shared" si="376"/>
        <v>0</v>
      </c>
      <c r="AN1774" s="1194" t="str">
        <f>VLOOKUP($I1774,'Price List, Weapons &amp; Items'!B:L,COLUMN('Price List, Weapons &amp; Items'!$J$11)-1,0)</f>
        <v>Contracts</v>
      </c>
      <c r="AO1774" s="1194" t="str">
        <f>IF(I1774=".",".",VLOOKUP($I1774,'Price List, Weapons &amp; Items'!B:J,3,0))</f>
        <v>Armored Personnel Carrier (APC)</v>
      </c>
      <c r="AP1774" s="1195" t="str">
        <f t="shared" ca="1" si="370"/>
        <v/>
      </c>
      <c r="AQ1774" s="1194">
        <f>VLOOKUP($I1774,'Price List, Weapons &amp; Items'!B:L,COLUMN('Price List, Weapons &amp; Items'!$L$11)-1,0)</f>
        <v>2</v>
      </c>
      <c r="AR1774" s="1194">
        <f t="shared" si="377"/>
        <v>1</v>
      </c>
      <c r="AS1774" s="1194">
        <f t="shared" si="378"/>
        <v>1</v>
      </c>
      <c r="AT1774" s="1194">
        <f t="shared" si="379"/>
        <v>1</v>
      </c>
      <c r="AU1774" s="1194" t="str">
        <f t="shared" si="381"/>
        <v>.</v>
      </c>
      <c r="AV1774" s="1194" t="str">
        <f t="shared" si="371"/>
        <v>.</v>
      </c>
      <c r="AW1774" s="1194" t="str">
        <f t="shared" si="380"/>
        <v>.</v>
      </c>
      <c r="AX1774" s="1194">
        <f>IFERROR(VLOOKUP(B1774,'Share, Heavy Weapons to Ukraine'!B:Z,COLUMN('Share, Heavy Weapons to Ukraine'!C1784)-1,0),0)</f>
        <v>1</v>
      </c>
      <c r="AY1774" s="1194">
        <f>VLOOKUP('Bilateral Assistance, MAIN DATA'!B1774,'Country Summary (€)'!B:F,COLUMN('Country Summary (€)'!C1785)-1,FALSE)</f>
        <v>0</v>
      </c>
      <c r="AZ1774" s="1194" t="str">
        <f>IF(AND(AD1774=1,D1774="Military",H1774&lt;&gt;"Not given")=TRUE,IF(SUMIFS(P:P,A:A,A1774)&gt;0,ABS((SUMIFS(P:P,A:A,A1774)/VLOOKUP("USD",'Exchange Rates'!B:C,2,0)))/S1774,"."),".")</f>
        <v>.</v>
      </c>
      <c r="BA1774" s="1196" t="str">
        <f>IF(AND(AD1774=1,D1774="Military",H1774&lt;&gt;"Not given")=TRUE,IF(SUMIFS(P:P,A:A,A1774)&gt;0,IF((ABS((SUMIFS(P:P,A:A,A1774)/VLOOKUP("USD",'Exchange Rates'!B:C,2,0)))/S1774)&gt;1,(SUMIFS(P:P,A:A,A1774)-S1774)/S1774,(S1774-SUMIFS(P:P,A:A,A1774))/SUMIFS(P:P,A:A,A1774)),"."),".")</f>
        <v>.</v>
      </c>
      <c r="BB1774" s="1208" t="s">
        <v>38</v>
      </c>
      <c r="BC1774" s="1208" t="s">
        <v>38</v>
      </c>
      <c r="BD1774" s="1208" t="s">
        <v>38</v>
      </c>
      <c r="BE1774" s="1208" t="s">
        <v>38</v>
      </c>
      <c r="BF1774" s="1208" t="s">
        <v>38</v>
      </c>
      <c r="BG1774" s="1208" t="s">
        <v>38</v>
      </c>
      <c r="BH1774" s="1208" t="s">
        <v>38</v>
      </c>
      <c r="BI1774" s="1208" t="s">
        <v>38</v>
      </c>
      <c r="BJ1774" s="1208" t="s">
        <v>38</v>
      </c>
      <c r="BK1774" s="1208" t="s">
        <v>38</v>
      </c>
      <c r="BL1774" s="1208" t="s">
        <v>38</v>
      </c>
      <c r="BM1774" s="1208" t="s">
        <v>38</v>
      </c>
      <c r="BN1774" s="1208" t="s">
        <v>38</v>
      </c>
      <c r="BO1774" s="1208" t="s">
        <v>38</v>
      </c>
      <c r="BP1774" s="1208" t="s">
        <v>38</v>
      </c>
      <c r="BQ1774" s="1208" t="s">
        <v>38</v>
      </c>
      <c r="BR1774" s="1208" t="s">
        <v>38</v>
      </c>
      <c r="BS1774" s="1208" t="s">
        <v>38</v>
      </c>
    </row>
    <row r="1775" spans="1:71" ht="15.95" customHeight="1">
      <c r="A1775" s="1208" t="s">
        <v>4310</v>
      </c>
      <c r="B1775" s="1208" t="s">
        <v>3949</v>
      </c>
      <c r="C1775" s="1209">
        <v>44945</v>
      </c>
      <c r="D1775" s="1208" t="s">
        <v>389</v>
      </c>
      <c r="E1775" s="1208" t="s">
        <v>390</v>
      </c>
      <c r="F1775" s="1208" t="s">
        <v>4321</v>
      </c>
      <c r="G1775" s="1184" t="s">
        <v>456</v>
      </c>
      <c r="H1775" s="1210">
        <v>2500000000</v>
      </c>
      <c r="I1775" s="1208" t="s">
        <v>4048</v>
      </c>
      <c r="J1775" s="1186" t="str">
        <f>VLOOKUP($I1775,'Price List, Weapons &amp; Items'!B:C,2,0)</f>
        <v>Military equipment</v>
      </c>
      <c r="K1775" s="1186" t="str">
        <f>IF(I1775=".",I1775,VLOOKUP($I1775,'Price List, Weapons &amp; Items'!B:D,3,0))</f>
        <v>Military equipment</v>
      </c>
      <c r="L1775" s="1187">
        <f>VLOOKUP(I1775,'Price List, Weapons &amp; Items'!B:E,4,0)</f>
        <v>0</v>
      </c>
      <c r="M1775" s="1241">
        <v>22</v>
      </c>
      <c r="N1775" s="1188" t="s">
        <v>374</v>
      </c>
      <c r="O1775" s="1188">
        <f>VLOOKUP($I1775,'Price List, Weapons &amp; Items'!B:G,6,0)</f>
        <v>350000</v>
      </c>
      <c r="P1775" s="1185">
        <f t="shared" si="372"/>
        <v>7700000</v>
      </c>
      <c r="Q1775" s="1185" t="str">
        <f t="shared" si="373"/>
        <v>.</v>
      </c>
      <c r="R1775" s="1185" t="str">
        <f t="shared" si="369"/>
        <v/>
      </c>
      <c r="S1775" s="1185" t="str">
        <f>IF(AND(AD1775=1,R1775&lt;&gt;".")=TRUE,R1775/VLOOKUP(G1775,'Exchange Rates'!B:C,2,0),IF(R1775=".",".",""))</f>
        <v/>
      </c>
      <c r="T1775" s="1185" t="str">
        <f>IF(AD1775=1,IF(AF1775="Value is not given at all",".",IF(AF1775="Value is given by the source",S1775,IF(AF1775="Value is calculated with prices",(IF(SUMIFS(Q:Q,A:A,A1775)&gt;0,SUMIFS(Q:Q,A:A,A1775),"."))/VLOOKUP("USD",'Exchange Rates'!B:C,2,0),"Error with coding"))),"")</f>
        <v/>
      </c>
      <c r="U1775" s="1191" t="s">
        <v>365</v>
      </c>
      <c r="V1775" s="983" t="s">
        <v>4322</v>
      </c>
      <c r="W1775" s="983" t="s">
        <v>3989</v>
      </c>
      <c r="X1775" s="1208" t="s">
        <v>364</v>
      </c>
      <c r="Y1775" s="1208" t="s">
        <v>364</v>
      </c>
      <c r="Z1775" s="1191">
        <v>0</v>
      </c>
      <c r="AA1775" s="1191">
        <v>0</v>
      </c>
      <c r="AB1775" s="1208" t="s">
        <v>364</v>
      </c>
      <c r="AC1775" s="1192" t="str">
        <f>""</f>
        <v/>
      </c>
      <c r="AD1775" s="1193">
        <v>0</v>
      </c>
      <c r="AE1775" s="1191" t="s">
        <v>368</v>
      </c>
      <c r="AF1775" s="1191" t="s">
        <v>369</v>
      </c>
      <c r="AG1775" s="1193">
        <v>1</v>
      </c>
      <c r="AH1775" s="1193">
        <v>13</v>
      </c>
      <c r="AI1775" s="1193">
        <v>0</v>
      </c>
      <c r="AJ1775" s="1193">
        <f>VLOOKUP($I1775,'Price List, Weapons &amp; Items'!B:F,5,0)</f>
        <v>0</v>
      </c>
      <c r="AK1775" s="1193">
        <f t="shared" si="374"/>
        <v>0</v>
      </c>
      <c r="AL1775" s="1193">
        <f t="shared" si="375"/>
        <v>0</v>
      </c>
      <c r="AM1775" s="1193">
        <f t="shared" si="376"/>
        <v>0</v>
      </c>
      <c r="AN1775" s="1194" t="str">
        <f>VLOOKUP($I1775,'Price List, Weapons &amp; Items'!B:L,COLUMN('Price List, Weapons &amp; Items'!$J$11)-1,0)</f>
        <v>Media reports (incl. social media)</v>
      </c>
      <c r="AO1775" s="1194" t="str">
        <f>IF(I1775=".",".",VLOOKUP($I1775,'Price List, Weapons &amp; Items'!B:J,3,0))</f>
        <v>Military equipment</v>
      </c>
      <c r="AP1775" s="1195" t="str">
        <f t="shared" ca="1" si="370"/>
        <v/>
      </c>
      <c r="AQ1775" s="1194">
        <f>VLOOKUP($I1775,'Price List, Weapons &amp; Items'!B:L,COLUMN('Price List, Weapons &amp; Items'!$L$11)-1,0)</f>
        <v>2</v>
      </c>
      <c r="AR1775" s="1194">
        <f t="shared" si="377"/>
        <v>1</v>
      </c>
      <c r="AS1775" s="1194">
        <f t="shared" si="378"/>
        <v>1</v>
      </c>
      <c r="AT1775" s="1194">
        <f t="shared" si="379"/>
        <v>1</v>
      </c>
      <c r="AU1775" s="1194" t="str">
        <f t="shared" si="381"/>
        <v>.</v>
      </c>
      <c r="AV1775" s="1194" t="str">
        <f t="shared" si="371"/>
        <v>.</v>
      </c>
      <c r="AW1775" s="1194" t="str">
        <f t="shared" si="380"/>
        <v>.</v>
      </c>
      <c r="AX1775" s="1194">
        <f>IFERROR(VLOOKUP(B1775,'Share, Heavy Weapons to Ukraine'!B:Z,COLUMN('Share, Heavy Weapons to Ukraine'!C1785)-1,0),0)</f>
        <v>1</v>
      </c>
      <c r="AY1775" s="1194">
        <f>VLOOKUP('Bilateral Assistance, MAIN DATA'!B1775,'Country Summary (€)'!B:F,COLUMN('Country Summary (€)'!C1786)-1,FALSE)</f>
        <v>0</v>
      </c>
      <c r="AZ1775" s="1194" t="str">
        <f>IF(AND(AD1775=1,D1775="Military",H1775&lt;&gt;"Not given")=TRUE,IF(SUMIFS(P:P,A:A,A1775)&gt;0,ABS((SUMIFS(P:P,A:A,A1775)/VLOOKUP("USD",'Exchange Rates'!B:C,2,0)))/S1775,"."),".")</f>
        <v>.</v>
      </c>
      <c r="BA1775" s="1196" t="str">
        <f>IF(AND(AD1775=1,D1775="Military",H1775&lt;&gt;"Not given")=TRUE,IF(SUMIFS(P:P,A:A,A1775)&gt;0,IF((ABS((SUMIFS(P:P,A:A,A1775)/VLOOKUP("USD",'Exchange Rates'!B:C,2,0)))/S1775)&gt;1,(SUMIFS(P:P,A:A,A1775)-S1775)/S1775,(S1775-SUMIFS(P:P,A:A,A1775))/SUMIFS(P:P,A:A,A1775)),"."),".")</f>
        <v>.</v>
      </c>
      <c r="BB1775" s="1208" t="s">
        <v>38</v>
      </c>
      <c r="BC1775" s="1208" t="s">
        <v>38</v>
      </c>
      <c r="BD1775" s="1208" t="s">
        <v>38</v>
      </c>
      <c r="BE1775" s="1208" t="s">
        <v>38</v>
      </c>
      <c r="BF1775" s="1208" t="s">
        <v>38</v>
      </c>
      <c r="BG1775" s="1208" t="s">
        <v>38</v>
      </c>
      <c r="BH1775" s="1208" t="s">
        <v>38</v>
      </c>
      <c r="BI1775" s="1208" t="s">
        <v>38</v>
      </c>
      <c r="BJ1775" s="1208" t="s">
        <v>38</v>
      </c>
      <c r="BK1775" s="1208" t="s">
        <v>38</v>
      </c>
      <c r="BL1775" s="1208" t="s">
        <v>38</v>
      </c>
      <c r="BM1775" s="1208" t="s">
        <v>38</v>
      </c>
      <c r="BN1775" s="1208" t="s">
        <v>38</v>
      </c>
      <c r="BO1775" s="1208" t="s">
        <v>38</v>
      </c>
      <c r="BP1775" s="1208" t="s">
        <v>38</v>
      </c>
      <c r="BQ1775" s="1208" t="s">
        <v>38</v>
      </c>
      <c r="BR1775" s="1208" t="s">
        <v>38</v>
      </c>
      <c r="BS1775" s="1208" t="s">
        <v>38</v>
      </c>
    </row>
    <row r="1776" spans="1:71" ht="15.95" customHeight="1">
      <c r="A1776" s="1208" t="s">
        <v>4310</v>
      </c>
      <c r="B1776" s="1208" t="s">
        <v>3949</v>
      </c>
      <c r="C1776" s="1209">
        <v>44945</v>
      </c>
      <c r="D1776" s="1208" t="s">
        <v>389</v>
      </c>
      <c r="E1776" s="1208" t="s">
        <v>390</v>
      </c>
      <c r="F1776" s="1208" t="s">
        <v>4321</v>
      </c>
      <c r="G1776" s="1184" t="s">
        <v>456</v>
      </c>
      <c r="H1776" s="1210">
        <v>2500000000</v>
      </c>
      <c r="I1776" s="1208" t="s">
        <v>4161</v>
      </c>
      <c r="J1776" s="1186" t="str">
        <f>VLOOKUP($I1776,'Price List, Weapons &amp; Items'!B:C,2,0)</f>
        <v>Ammunition for heavy weapon</v>
      </c>
      <c r="K1776" s="1186" t="str">
        <f>IF(I1776=".",I1776,VLOOKUP($I1776,'Price List, Weapons &amp; Items'!B:D,3,0))</f>
        <v>Missile</v>
      </c>
      <c r="L1776" s="1187">
        <f>VLOOKUP(I1776,'Price List, Weapons &amp; Items'!B:E,4,0)</f>
        <v>0</v>
      </c>
      <c r="M1776" s="1188" t="s">
        <v>374</v>
      </c>
      <c r="N1776" s="1188" t="s">
        <v>374</v>
      </c>
      <c r="O1776" s="1188">
        <f>VLOOKUP($I1776,'Price List, Weapons &amp; Items'!B:G,6,0)</f>
        <v>557000</v>
      </c>
      <c r="P1776" s="1185" t="str">
        <f t="shared" si="372"/>
        <v>.</v>
      </c>
      <c r="Q1776" s="1185" t="str">
        <f t="shared" si="373"/>
        <v>.</v>
      </c>
      <c r="R1776" s="1185" t="str">
        <f t="shared" si="369"/>
        <v/>
      </c>
      <c r="S1776" s="1185" t="str">
        <f>IF(AND(AD1776=1,R1776&lt;&gt;".")=TRUE,R1776/VLOOKUP(G1776,'Exchange Rates'!B:C,2,0),IF(R1776=".",".",""))</f>
        <v/>
      </c>
      <c r="T1776" s="1185" t="str">
        <f>IF(AD1776=1,IF(AF1776="Value is not given at all",".",IF(AF1776="Value is given by the source",S1776,IF(AF1776="Value is calculated with prices",(IF(SUMIFS(Q:Q,A:A,A1776)&gt;0,SUMIFS(Q:Q,A:A,A1776),"."))/VLOOKUP("USD",'Exchange Rates'!B:C,2,0),"Error with coding"))),"")</f>
        <v/>
      </c>
      <c r="U1776" s="1191" t="s">
        <v>365</v>
      </c>
      <c r="V1776" s="983" t="s">
        <v>4322</v>
      </c>
      <c r="W1776" s="983" t="s">
        <v>3989</v>
      </c>
      <c r="X1776" s="1208" t="s">
        <v>364</v>
      </c>
      <c r="Y1776" s="1208" t="s">
        <v>364</v>
      </c>
      <c r="Z1776" s="1191">
        <v>0</v>
      </c>
      <c r="AA1776" s="1191">
        <v>0</v>
      </c>
      <c r="AB1776" s="1208" t="s">
        <v>364</v>
      </c>
      <c r="AC1776" s="1192" t="str">
        <f>""</f>
        <v/>
      </c>
      <c r="AD1776" s="1193">
        <v>0</v>
      </c>
      <c r="AE1776" s="1191" t="s">
        <v>368</v>
      </c>
      <c r="AF1776" s="1191" t="s">
        <v>369</v>
      </c>
      <c r="AG1776" s="1193">
        <v>1</v>
      </c>
      <c r="AH1776" s="1193">
        <v>13</v>
      </c>
      <c r="AI1776" s="1193">
        <v>0</v>
      </c>
      <c r="AJ1776" s="1193">
        <f>VLOOKUP($I1776,'Price List, Weapons &amp; Items'!B:F,5,0)</f>
        <v>0</v>
      </c>
      <c r="AK1776" s="1193">
        <f t="shared" si="374"/>
        <v>0</v>
      </c>
      <c r="AL1776" s="1193">
        <f t="shared" si="375"/>
        <v>0</v>
      </c>
      <c r="AM1776" s="1193">
        <f t="shared" si="376"/>
        <v>0</v>
      </c>
      <c r="AN1776" s="1194" t="str">
        <f>VLOOKUP($I1776,'Price List, Weapons &amp; Items'!B:L,COLUMN('Price List, Weapons &amp; Items'!$J$11)-1,0)</f>
        <v>Miscellaneous</v>
      </c>
      <c r="AO1776" s="1194" t="str">
        <f>IF(I1776=".",".",VLOOKUP($I1776,'Price List, Weapons &amp; Items'!B:J,3,0))</f>
        <v>Missile</v>
      </c>
      <c r="AP1776" s="1195" t="str">
        <f t="shared" ca="1" si="370"/>
        <v/>
      </c>
      <c r="AQ1776" s="1194" t="str">
        <f>VLOOKUP($I1776,'Price List, Weapons &amp; Items'!B:L,COLUMN('Price List, Weapons &amp; Items'!$L$11)-1,0)</f>
        <v>no price, 0 count</v>
      </c>
      <c r="AR1776" s="1194">
        <f t="shared" si="377"/>
        <v>1</v>
      </c>
      <c r="AS1776" s="1194">
        <f t="shared" si="378"/>
        <v>1</v>
      </c>
      <c r="AT1776" s="1194">
        <f t="shared" si="379"/>
        <v>1</v>
      </c>
      <c r="AU1776" s="1194" t="str">
        <f t="shared" si="381"/>
        <v>.</v>
      </c>
      <c r="AV1776" s="1194" t="str">
        <f t="shared" si="371"/>
        <v>.</v>
      </c>
      <c r="AW1776" s="1194" t="str">
        <f t="shared" si="380"/>
        <v>.</v>
      </c>
      <c r="AX1776" s="1194">
        <f>IFERROR(VLOOKUP(B1776,'Share, Heavy Weapons to Ukraine'!B:Z,COLUMN('Share, Heavy Weapons to Ukraine'!C1786)-1,0),0)</f>
        <v>1</v>
      </c>
      <c r="AY1776" s="1194">
        <f>VLOOKUP('Bilateral Assistance, MAIN DATA'!B1776,'Country Summary (€)'!B:F,COLUMN('Country Summary (€)'!C1787)-1,FALSE)</f>
        <v>0</v>
      </c>
      <c r="AZ1776" s="1194" t="str">
        <f>IF(AND(AD1776=1,D1776="Military",H1776&lt;&gt;"Not given")=TRUE,IF(SUMIFS(P:P,A:A,A1776)&gt;0,ABS((SUMIFS(P:P,A:A,A1776)/VLOOKUP("USD",'Exchange Rates'!B:C,2,0)))/S1776,"."),".")</f>
        <v>.</v>
      </c>
      <c r="BA1776" s="1196" t="str">
        <f>IF(AND(AD1776=1,D1776="Military",H1776&lt;&gt;"Not given")=TRUE,IF(SUMIFS(P:P,A:A,A1776)&gt;0,IF((ABS((SUMIFS(P:P,A:A,A1776)/VLOOKUP("USD",'Exchange Rates'!B:C,2,0)))/S1776)&gt;1,(SUMIFS(P:P,A:A,A1776)-S1776)/S1776,(S1776-SUMIFS(P:P,A:A,A1776))/SUMIFS(P:P,A:A,A1776)),"."),".")</f>
        <v>.</v>
      </c>
      <c r="BB1776" s="1208" t="s">
        <v>38</v>
      </c>
      <c r="BC1776" s="1208" t="s">
        <v>38</v>
      </c>
      <c r="BD1776" s="1208" t="s">
        <v>38</v>
      </c>
      <c r="BE1776" s="1208" t="s">
        <v>38</v>
      </c>
      <c r="BF1776" s="1208" t="s">
        <v>38</v>
      </c>
      <c r="BG1776" s="1208" t="s">
        <v>38</v>
      </c>
      <c r="BH1776" s="1208" t="s">
        <v>38</v>
      </c>
      <c r="BI1776" s="1208" t="s">
        <v>38</v>
      </c>
      <c r="BJ1776" s="1208" t="s">
        <v>38</v>
      </c>
      <c r="BK1776" s="1208" t="s">
        <v>38</v>
      </c>
      <c r="BL1776" s="1208" t="s">
        <v>38</v>
      </c>
      <c r="BM1776" s="1208" t="s">
        <v>38</v>
      </c>
      <c r="BN1776" s="1208" t="s">
        <v>38</v>
      </c>
      <c r="BO1776" s="1208" t="s">
        <v>38</v>
      </c>
      <c r="BP1776" s="1208" t="s">
        <v>38</v>
      </c>
      <c r="BQ1776" s="1208" t="s">
        <v>38</v>
      </c>
      <c r="BR1776" s="1208" t="s">
        <v>38</v>
      </c>
      <c r="BS1776" s="1208" t="s">
        <v>38</v>
      </c>
    </row>
    <row r="1777" spans="1:71" ht="15.95" customHeight="1">
      <c r="A1777" s="1208" t="s">
        <v>4310</v>
      </c>
      <c r="B1777" s="1208" t="s">
        <v>3949</v>
      </c>
      <c r="C1777" s="1209">
        <v>44945</v>
      </c>
      <c r="D1777" s="1208" t="s">
        <v>389</v>
      </c>
      <c r="E1777" s="1208" t="s">
        <v>390</v>
      </c>
      <c r="F1777" s="1208" t="s">
        <v>4321</v>
      </c>
      <c r="G1777" s="1184" t="s">
        <v>456</v>
      </c>
      <c r="H1777" s="1210">
        <v>2500000000</v>
      </c>
      <c r="I1777" s="1208" t="s">
        <v>651</v>
      </c>
      <c r="J1777" s="1186" t="str">
        <f>VLOOKUP($I1777,'Price List, Weapons &amp; Items'!B:C,2,0)</f>
        <v>Portable defence system</v>
      </c>
      <c r="K1777" s="1186" t="str">
        <f>IF(I1777=".",I1777,VLOOKUP($I1777,'Price List, Weapons &amp; Items'!B:D,3,0))</f>
        <v>Light Anti-armor Weapon (LAW)</v>
      </c>
      <c r="L1777" s="1187">
        <f>VLOOKUP(I1777,'Price List, Weapons &amp; Items'!B:E,4,0)</f>
        <v>0</v>
      </c>
      <c r="M1777" s="1241">
        <v>2000</v>
      </c>
      <c r="N1777" s="1188" t="s">
        <v>374</v>
      </c>
      <c r="O1777" s="1188">
        <f>VLOOKUP($I1777,'Price List, Weapons &amp; Items'!B:G,6,0)</f>
        <v>78000</v>
      </c>
      <c r="P1777" s="1185">
        <f t="shared" si="372"/>
        <v>156000000</v>
      </c>
      <c r="Q1777" s="1185" t="str">
        <f t="shared" si="373"/>
        <v>.</v>
      </c>
      <c r="R1777" s="1185" t="str">
        <f t="shared" si="369"/>
        <v/>
      </c>
      <c r="S1777" s="1185" t="str">
        <f>IF(AND(AD1777=1,R1777&lt;&gt;".")=TRUE,R1777/VLOOKUP(G1777,'Exchange Rates'!B:C,2,0),IF(R1777=".",".",""))</f>
        <v/>
      </c>
      <c r="T1777" s="1185" t="str">
        <f>IF(AD1777=1,IF(AF1777="Value is not given at all",".",IF(AF1777="Value is given by the source",S1777,IF(AF1777="Value is calculated with prices",(IF(SUMIFS(Q:Q,A:A,A1777)&gt;0,SUMIFS(Q:Q,A:A,A1777),"."))/VLOOKUP("USD",'Exchange Rates'!B:C,2,0),"Error with coding"))),"")</f>
        <v/>
      </c>
      <c r="U1777" s="1191" t="s">
        <v>365</v>
      </c>
      <c r="V1777" s="983" t="s">
        <v>4322</v>
      </c>
      <c r="W1777" s="983" t="s">
        <v>3989</v>
      </c>
      <c r="X1777" s="1208" t="s">
        <v>364</v>
      </c>
      <c r="Y1777" s="1208" t="s">
        <v>364</v>
      </c>
      <c r="Z1777" s="1191">
        <v>0</v>
      </c>
      <c r="AA1777" s="1191">
        <v>0</v>
      </c>
      <c r="AB1777" s="1208" t="s">
        <v>364</v>
      </c>
      <c r="AC1777" s="1192" t="str">
        <f>""</f>
        <v/>
      </c>
      <c r="AD1777" s="1193">
        <v>0</v>
      </c>
      <c r="AE1777" s="1191" t="s">
        <v>368</v>
      </c>
      <c r="AF1777" s="1191" t="s">
        <v>369</v>
      </c>
      <c r="AG1777" s="1193">
        <v>1</v>
      </c>
      <c r="AH1777" s="1193">
        <v>13</v>
      </c>
      <c r="AI1777" s="1193">
        <v>0</v>
      </c>
      <c r="AJ1777" s="1193">
        <f>VLOOKUP($I1777,'Price List, Weapons &amp; Items'!B:F,5,0)</f>
        <v>0</v>
      </c>
      <c r="AK1777" s="1193">
        <f t="shared" si="374"/>
        <v>0</v>
      </c>
      <c r="AL1777" s="1193">
        <f t="shared" si="375"/>
        <v>0</v>
      </c>
      <c r="AM1777" s="1193">
        <f t="shared" si="376"/>
        <v>0</v>
      </c>
      <c r="AN1777" s="1194" t="str">
        <f>VLOOKUP($I1777,'Price List, Weapons &amp; Items'!B:L,COLUMN('Price List, Weapons &amp; Items'!$J$11)-1,0)</f>
        <v>Military media (incl. websites)</v>
      </c>
      <c r="AO1777" s="1194" t="str">
        <f>IF(I1777=".",".",VLOOKUP($I1777,'Price List, Weapons &amp; Items'!B:J,3,0))</f>
        <v>Light Anti-armor Weapon (LAW)</v>
      </c>
      <c r="AP1777" s="1195" t="str">
        <f t="shared" ca="1" si="370"/>
        <v/>
      </c>
      <c r="AQ1777" s="1194">
        <f>VLOOKUP($I1777,'Price List, Weapons &amp; Items'!B:L,COLUMN('Price List, Weapons &amp; Items'!$L$11)-1,0)</f>
        <v>2</v>
      </c>
      <c r="AR1777" s="1194">
        <f t="shared" si="377"/>
        <v>1</v>
      </c>
      <c r="AS1777" s="1194">
        <f t="shared" si="378"/>
        <v>1</v>
      </c>
      <c r="AT1777" s="1194">
        <f t="shared" si="379"/>
        <v>1</v>
      </c>
      <c r="AU1777" s="1194" t="str">
        <f t="shared" si="381"/>
        <v>.</v>
      </c>
      <c r="AV1777" s="1194" t="str">
        <f t="shared" si="371"/>
        <v>.</v>
      </c>
      <c r="AW1777" s="1194" t="str">
        <f t="shared" si="380"/>
        <v>.</v>
      </c>
      <c r="AX1777" s="1194">
        <f>IFERROR(VLOOKUP(B1777,'Share, Heavy Weapons to Ukraine'!B:Z,COLUMN('Share, Heavy Weapons to Ukraine'!C1787)-1,0),0)</f>
        <v>1</v>
      </c>
      <c r="AY1777" s="1194">
        <f>VLOOKUP('Bilateral Assistance, MAIN DATA'!B1777,'Country Summary (€)'!B:F,COLUMN('Country Summary (€)'!C1788)-1,FALSE)</f>
        <v>0</v>
      </c>
      <c r="AZ1777" s="1194" t="str">
        <f>IF(AND(AD1777=1,D1777="Military",H1777&lt;&gt;"Not given")=TRUE,IF(SUMIFS(P:P,A:A,A1777)&gt;0,ABS((SUMIFS(P:P,A:A,A1777)/VLOOKUP("USD",'Exchange Rates'!B:C,2,0)))/S1777,"."),".")</f>
        <v>.</v>
      </c>
      <c r="BA1777" s="1196" t="str">
        <f>IF(AND(AD1777=1,D1777="Military",H1777&lt;&gt;"Not given")=TRUE,IF(SUMIFS(P:P,A:A,A1777)&gt;0,IF((ABS((SUMIFS(P:P,A:A,A1777)/VLOOKUP("USD",'Exchange Rates'!B:C,2,0)))/S1777)&gt;1,(SUMIFS(P:P,A:A,A1777)-S1777)/S1777,(S1777-SUMIFS(P:P,A:A,A1777))/SUMIFS(P:P,A:A,A1777)),"."),".")</f>
        <v>.</v>
      </c>
      <c r="BB1777" s="1208" t="s">
        <v>38</v>
      </c>
      <c r="BC1777" s="1208" t="s">
        <v>38</v>
      </c>
      <c r="BD1777" s="1208" t="s">
        <v>38</v>
      </c>
      <c r="BE1777" s="1208" t="s">
        <v>38</v>
      </c>
      <c r="BF1777" s="1208" t="s">
        <v>38</v>
      </c>
      <c r="BG1777" s="1208" t="s">
        <v>38</v>
      </c>
      <c r="BH1777" s="1208" t="s">
        <v>38</v>
      </c>
      <c r="BI1777" s="1208" t="s">
        <v>38</v>
      </c>
      <c r="BJ1777" s="1208" t="s">
        <v>38</v>
      </c>
      <c r="BK1777" s="1208" t="s">
        <v>38</v>
      </c>
      <c r="BL1777" s="1208" t="s">
        <v>38</v>
      </c>
      <c r="BM1777" s="1208" t="s">
        <v>38</v>
      </c>
      <c r="BN1777" s="1208" t="s">
        <v>38</v>
      </c>
      <c r="BO1777" s="1208" t="s">
        <v>38</v>
      </c>
      <c r="BP1777" s="1208" t="s">
        <v>38</v>
      </c>
      <c r="BQ1777" s="1208" t="s">
        <v>38</v>
      </c>
      <c r="BR1777" s="1208" t="s">
        <v>38</v>
      </c>
      <c r="BS1777" s="1208" t="s">
        <v>38</v>
      </c>
    </row>
    <row r="1778" spans="1:71" ht="15.95" customHeight="1">
      <c r="A1778" s="1208" t="s">
        <v>4310</v>
      </c>
      <c r="B1778" s="1208" t="s">
        <v>3949</v>
      </c>
      <c r="C1778" s="1209">
        <v>44945</v>
      </c>
      <c r="D1778" s="1208" t="s">
        <v>389</v>
      </c>
      <c r="E1778" s="1208" t="s">
        <v>390</v>
      </c>
      <c r="F1778" s="1208" t="s">
        <v>4321</v>
      </c>
      <c r="G1778" s="1184" t="s">
        <v>456</v>
      </c>
      <c r="H1778" s="1210">
        <v>2500000000</v>
      </c>
      <c r="I1778" s="1208" t="s">
        <v>1288</v>
      </c>
      <c r="J1778" s="1186" t="str">
        <f>VLOOKUP($I1778,'Price List, Weapons &amp; Items'!B:C,2,0)</f>
        <v>Ammunition for light infantry</v>
      </c>
      <c r="K1778" s="1186" t="str">
        <f>IF(I1778=".",I1778,VLOOKUP($I1778,'Price List, Weapons &amp; Items'!B:D,3,0))</f>
        <v>Small Arms and Light Weapons (SALW) ammunition</v>
      </c>
      <c r="L1778" s="1187">
        <f>VLOOKUP(I1778,'Price List, Weapons &amp; Items'!B:E,4,0)</f>
        <v>0</v>
      </c>
      <c r="M1778" s="1241">
        <v>3000000</v>
      </c>
      <c r="N1778" s="1188" t="s">
        <v>374</v>
      </c>
      <c r="O1778" s="1188">
        <f>VLOOKUP($I1778,'Price List, Weapons &amp; Items'!B:G,6,0)</f>
        <v>0.47</v>
      </c>
      <c r="P1778" s="1185">
        <f t="shared" si="372"/>
        <v>1410000</v>
      </c>
      <c r="Q1778" s="1185" t="str">
        <f t="shared" si="373"/>
        <v>.</v>
      </c>
      <c r="R1778" s="1185" t="str">
        <f t="shared" si="369"/>
        <v/>
      </c>
      <c r="S1778" s="1185" t="str">
        <f>IF(AND(AD1778=1,R1778&lt;&gt;".")=TRUE,R1778/VLOOKUP(G1778,'Exchange Rates'!B:C,2,0),IF(R1778=".",".",""))</f>
        <v/>
      </c>
      <c r="T1778" s="1185" t="str">
        <f>IF(AD1778=1,IF(AF1778="Value is not given at all",".",IF(AF1778="Value is given by the source",S1778,IF(AF1778="Value is calculated with prices",(IF(SUMIFS(Q:Q,A:A,A1778)&gt;0,SUMIFS(Q:Q,A:A,A1778),"."))/VLOOKUP("USD",'Exchange Rates'!B:C,2,0),"Error with coding"))),"")</f>
        <v/>
      </c>
      <c r="U1778" s="1191" t="s">
        <v>365</v>
      </c>
      <c r="V1778" s="983" t="s">
        <v>4322</v>
      </c>
      <c r="W1778" s="983" t="s">
        <v>3989</v>
      </c>
      <c r="X1778" s="1208" t="s">
        <v>364</v>
      </c>
      <c r="Y1778" s="1208" t="s">
        <v>364</v>
      </c>
      <c r="Z1778" s="1191">
        <v>0</v>
      </c>
      <c r="AA1778" s="1191">
        <v>0</v>
      </c>
      <c r="AB1778" s="1208" t="s">
        <v>364</v>
      </c>
      <c r="AC1778" s="1192" t="str">
        <f>""</f>
        <v/>
      </c>
      <c r="AD1778" s="1193">
        <v>0</v>
      </c>
      <c r="AE1778" s="1191" t="s">
        <v>368</v>
      </c>
      <c r="AF1778" s="1191" t="s">
        <v>369</v>
      </c>
      <c r="AG1778" s="1193">
        <v>1</v>
      </c>
      <c r="AH1778" s="1193">
        <v>13</v>
      </c>
      <c r="AI1778" s="1193">
        <v>0</v>
      </c>
      <c r="AJ1778" s="1193">
        <f>VLOOKUP($I1778,'Price List, Weapons &amp; Items'!B:F,5,0)</f>
        <v>0</v>
      </c>
      <c r="AK1778" s="1193">
        <f t="shared" si="374"/>
        <v>0</v>
      </c>
      <c r="AL1778" s="1193">
        <f t="shared" si="375"/>
        <v>0</v>
      </c>
      <c r="AM1778" s="1193">
        <f t="shared" si="376"/>
        <v>1</v>
      </c>
      <c r="AN1778" s="1194" t="str">
        <f>VLOOKUP($I1778,'Price List, Weapons &amp; Items'!B:L,COLUMN('Price List, Weapons &amp; Items'!$J$11)-1,0)</f>
        <v>Miscellaneous</v>
      </c>
      <c r="AO1778" s="1194" t="str">
        <f>IF(I1778=".",".",VLOOKUP($I1778,'Price List, Weapons &amp; Items'!B:J,3,0))</f>
        <v>Small Arms and Light Weapons (SALW) ammunition</v>
      </c>
      <c r="AP1778" s="1195" t="str">
        <f t="shared" ca="1" si="370"/>
        <v/>
      </c>
      <c r="AQ1778" s="1194">
        <f>VLOOKUP($I1778,'Price List, Weapons &amp; Items'!B:L,COLUMN('Price List, Weapons &amp; Items'!$L$11)-1,0)</f>
        <v>2</v>
      </c>
      <c r="AR1778" s="1194">
        <f t="shared" si="377"/>
        <v>1</v>
      </c>
      <c r="AS1778" s="1194">
        <f t="shared" si="378"/>
        <v>1</v>
      </c>
      <c r="AT1778" s="1194">
        <f t="shared" si="379"/>
        <v>1</v>
      </c>
      <c r="AU1778" s="1194" t="str">
        <f t="shared" si="381"/>
        <v>.</v>
      </c>
      <c r="AV1778" s="1194" t="str">
        <f t="shared" si="371"/>
        <v>.</v>
      </c>
      <c r="AW1778" s="1194" t="str">
        <f t="shared" si="380"/>
        <v>.</v>
      </c>
      <c r="AX1778" s="1194">
        <f>IFERROR(VLOOKUP(B1778,'Share, Heavy Weapons to Ukraine'!B:Z,COLUMN('Share, Heavy Weapons to Ukraine'!C1788)-1,0),0)</f>
        <v>1</v>
      </c>
      <c r="AY1778" s="1194">
        <f>VLOOKUP('Bilateral Assistance, MAIN DATA'!B1778,'Country Summary (€)'!B:F,COLUMN('Country Summary (€)'!C1789)-1,FALSE)</f>
        <v>0</v>
      </c>
      <c r="AZ1778" s="1194" t="str">
        <f>IF(AND(AD1778=1,D1778="Military",H1778&lt;&gt;"Not given")=TRUE,IF(SUMIFS(P:P,A:A,A1778)&gt;0,ABS((SUMIFS(P:P,A:A,A1778)/VLOOKUP("USD",'Exchange Rates'!B:C,2,0)))/S1778,"."),".")</f>
        <v>.</v>
      </c>
      <c r="BA1778" s="1196" t="str">
        <f>IF(AND(AD1778=1,D1778="Military",H1778&lt;&gt;"Not given")=TRUE,IF(SUMIFS(P:P,A:A,A1778)&gt;0,IF((ABS((SUMIFS(P:P,A:A,A1778)/VLOOKUP("USD",'Exchange Rates'!B:C,2,0)))/S1778)&gt;1,(SUMIFS(P:P,A:A,A1778)-S1778)/S1778,(S1778-SUMIFS(P:P,A:A,A1778))/SUMIFS(P:P,A:A,A1778)),"."),".")</f>
        <v>.</v>
      </c>
      <c r="BB1778" s="1208" t="s">
        <v>38</v>
      </c>
      <c r="BC1778" s="1208" t="s">
        <v>38</v>
      </c>
      <c r="BD1778" s="1208" t="s">
        <v>38</v>
      </c>
      <c r="BE1778" s="1208" t="s">
        <v>38</v>
      </c>
      <c r="BF1778" s="1208" t="s">
        <v>38</v>
      </c>
      <c r="BG1778" s="1208" t="s">
        <v>38</v>
      </c>
      <c r="BH1778" s="1208" t="s">
        <v>38</v>
      </c>
      <c r="BI1778" s="1208" t="s">
        <v>38</v>
      </c>
      <c r="BJ1778" s="1208" t="s">
        <v>38</v>
      </c>
      <c r="BK1778" s="1208" t="s">
        <v>38</v>
      </c>
      <c r="BL1778" s="1208" t="s">
        <v>38</v>
      </c>
      <c r="BM1778" s="1208" t="s">
        <v>38</v>
      </c>
      <c r="BN1778" s="1208" t="s">
        <v>38</v>
      </c>
      <c r="BO1778" s="1208" t="s">
        <v>38</v>
      </c>
      <c r="BP1778" s="1208" t="s">
        <v>38</v>
      </c>
      <c r="BQ1778" s="1208" t="s">
        <v>38</v>
      </c>
      <c r="BR1778" s="1208" t="s">
        <v>38</v>
      </c>
      <c r="BS1778" s="1208" t="s">
        <v>38</v>
      </c>
    </row>
    <row r="1779" spans="1:71" ht="15.95" customHeight="1">
      <c r="A1779" s="1208" t="s">
        <v>4310</v>
      </c>
      <c r="B1779" s="1208" t="s">
        <v>3949</v>
      </c>
      <c r="C1779" s="1209">
        <v>44945</v>
      </c>
      <c r="D1779" s="1208" t="s">
        <v>389</v>
      </c>
      <c r="E1779" s="1208" t="s">
        <v>390</v>
      </c>
      <c r="F1779" s="1208" t="s">
        <v>4321</v>
      </c>
      <c r="G1779" s="1184" t="s">
        <v>456</v>
      </c>
      <c r="H1779" s="1210">
        <v>2500000000</v>
      </c>
      <c r="I1779" s="1208" t="s">
        <v>4043</v>
      </c>
      <c r="J1779" s="1186" t="str">
        <f>VLOOKUP($I1779,'Price List, Weapons &amp; Items'!B:C,2,0)</f>
        <v>Military equipment</v>
      </c>
      <c r="K1779" s="1186" t="str">
        <f>IF(I1779=".",I1779,VLOOKUP($I1779,'Price List, Weapons &amp; Items'!B:D,3,0))</f>
        <v>Military equipment</v>
      </c>
      <c r="L1779" s="1187">
        <f>VLOOKUP(I1779,'Price List, Weapons &amp; Items'!B:E,4,0)</f>
        <v>0</v>
      </c>
      <c r="M1779" s="1188" t="s">
        <v>374</v>
      </c>
      <c r="N1779" s="1188" t="s">
        <v>374</v>
      </c>
      <c r="O1779" s="1188">
        <f>VLOOKUP($I1779,'Price List, Weapons &amp; Items'!B:G,6,0)</f>
        <v>90</v>
      </c>
      <c r="P1779" s="1185" t="str">
        <f t="shared" si="372"/>
        <v>.</v>
      </c>
      <c r="Q1779" s="1185" t="str">
        <f t="shared" si="373"/>
        <v>.</v>
      </c>
      <c r="R1779" s="1185" t="str">
        <f t="shared" si="369"/>
        <v/>
      </c>
      <c r="S1779" s="1185" t="str">
        <f>IF(AND(AD1779=1,R1779&lt;&gt;".")=TRUE,R1779/VLOOKUP(G1779,'Exchange Rates'!B:C,2,0),IF(R1779=".",".",""))</f>
        <v/>
      </c>
      <c r="T1779" s="1185" t="str">
        <f>IF(AD1779=1,IF(AF1779="Value is not given at all",".",IF(AF1779="Value is given by the source",S1779,IF(AF1779="Value is calculated with prices",(IF(SUMIFS(Q:Q,A:A,A1779)&gt;0,SUMIFS(Q:Q,A:A,A1779),"."))/VLOOKUP("USD",'Exchange Rates'!B:C,2,0),"Error with coding"))),"")</f>
        <v/>
      </c>
      <c r="U1779" s="1191" t="s">
        <v>365</v>
      </c>
      <c r="V1779" s="983" t="s">
        <v>4322</v>
      </c>
      <c r="W1779" s="983" t="s">
        <v>3989</v>
      </c>
      <c r="X1779" s="1208" t="s">
        <v>364</v>
      </c>
      <c r="Y1779" s="1208" t="s">
        <v>364</v>
      </c>
      <c r="Z1779" s="1191">
        <v>0</v>
      </c>
      <c r="AA1779" s="1191">
        <v>0</v>
      </c>
      <c r="AB1779" s="1208" t="s">
        <v>364</v>
      </c>
      <c r="AC1779" s="1192" t="str">
        <f>""</f>
        <v/>
      </c>
      <c r="AD1779" s="1193">
        <v>0</v>
      </c>
      <c r="AE1779" s="1191" t="s">
        <v>368</v>
      </c>
      <c r="AF1779" s="1191" t="s">
        <v>369</v>
      </c>
      <c r="AG1779" s="1193">
        <v>1</v>
      </c>
      <c r="AH1779" s="1193">
        <v>13</v>
      </c>
      <c r="AI1779" s="1193">
        <v>0</v>
      </c>
      <c r="AJ1779" s="1193">
        <f>VLOOKUP($I1779,'Price List, Weapons &amp; Items'!B:F,5,0)</f>
        <v>0</v>
      </c>
      <c r="AK1779" s="1193">
        <f t="shared" si="374"/>
        <v>0</v>
      </c>
      <c r="AL1779" s="1193">
        <f t="shared" si="375"/>
        <v>0</v>
      </c>
      <c r="AM1779" s="1193">
        <f t="shared" si="376"/>
        <v>0</v>
      </c>
      <c r="AN1779" s="1194" t="str">
        <f>VLOOKUP($I1779,'Price List, Weapons &amp; Items'!B:L,COLUMN('Price List, Weapons &amp; Items'!$J$11)-1,0)</f>
        <v>Media reports (incl. social media)</v>
      </c>
      <c r="AO1779" s="1194" t="str">
        <f>IF(I1779=".",".",VLOOKUP($I1779,'Price List, Weapons &amp; Items'!B:J,3,0))</f>
        <v>Military equipment</v>
      </c>
      <c r="AP1779" s="1195" t="str">
        <f t="shared" ca="1" si="370"/>
        <v/>
      </c>
      <c r="AQ1779" s="1194" t="str">
        <f>VLOOKUP($I1779,'Price List, Weapons &amp; Items'!B:L,COLUMN('Price List, Weapons &amp; Items'!$L$11)-1,0)</f>
        <v>no price, 0 count</v>
      </c>
      <c r="AR1779" s="1194">
        <f t="shared" si="377"/>
        <v>1</v>
      </c>
      <c r="AS1779" s="1194">
        <f t="shared" si="378"/>
        <v>1</v>
      </c>
      <c r="AT1779" s="1194">
        <f t="shared" si="379"/>
        <v>1</v>
      </c>
      <c r="AU1779" s="1194" t="str">
        <f t="shared" si="381"/>
        <v>.</v>
      </c>
      <c r="AV1779" s="1194" t="str">
        <f t="shared" si="371"/>
        <v>.</v>
      </c>
      <c r="AW1779" s="1194" t="str">
        <f t="shared" si="380"/>
        <v>.</v>
      </c>
      <c r="AX1779" s="1194">
        <f>IFERROR(VLOOKUP(B1779,'Share, Heavy Weapons to Ukraine'!B:Z,COLUMN('Share, Heavy Weapons to Ukraine'!C1789)-1,0),0)</f>
        <v>1</v>
      </c>
      <c r="AY1779" s="1194">
        <f>VLOOKUP('Bilateral Assistance, MAIN DATA'!B1779,'Country Summary (€)'!B:F,COLUMN('Country Summary (€)'!C1790)-1,FALSE)</f>
        <v>0</v>
      </c>
      <c r="AZ1779" s="1194" t="str">
        <f>IF(AND(AD1779=1,D1779="Military",H1779&lt;&gt;"Not given")=TRUE,IF(SUMIFS(P:P,A:A,A1779)&gt;0,ABS((SUMIFS(P:P,A:A,A1779)/VLOOKUP("USD",'Exchange Rates'!B:C,2,0)))/S1779,"."),".")</f>
        <v>.</v>
      </c>
      <c r="BA1779" s="1196" t="str">
        <f>IF(AND(AD1779=1,D1779="Military",H1779&lt;&gt;"Not given")=TRUE,IF(SUMIFS(P:P,A:A,A1779)&gt;0,IF((ABS((SUMIFS(P:P,A:A,A1779)/VLOOKUP("USD",'Exchange Rates'!B:C,2,0)))/S1779)&gt;1,(SUMIFS(P:P,A:A,A1779)-S1779)/S1779,(S1779-SUMIFS(P:P,A:A,A1779))/SUMIFS(P:P,A:A,A1779)),"."),".")</f>
        <v>.</v>
      </c>
      <c r="BB1779" s="1208" t="s">
        <v>38</v>
      </c>
      <c r="BC1779" s="1208" t="s">
        <v>38</v>
      </c>
      <c r="BD1779" s="1208" t="s">
        <v>38</v>
      </c>
      <c r="BE1779" s="1208" t="s">
        <v>38</v>
      </c>
      <c r="BF1779" s="1208" t="s">
        <v>38</v>
      </c>
      <c r="BG1779" s="1208" t="s">
        <v>38</v>
      </c>
      <c r="BH1779" s="1208" t="s">
        <v>38</v>
      </c>
      <c r="BI1779" s="1208" t="s">
        <v>38</v>
      </c>
      <c r="BJ1779" s="1208" t="s">
        <v>38</v>
      </c>
      <c r="BK1779" s="1208" t="s">
        <v>38</v>
      </c>
      <c r="BL1779" s="1208" t="s">
        <v>38</v>
      </c>
      <c r="BM1779" s="1208" t="s">
        <v>38</v>
      </c>
      <c r="BN1779" s="1208" t="s">
        <v>38</v>
      </c>
      <c r="BO1779" s="1208" t="s">
        <v>38</v>
      </c>
      <c r="BP1779" s="1208" t="s">
        <v>38</v>
      </c>
      <c r="BQ1779" s="1208" t="s">
        <v>38</v>
      </c>
      <c r="BR1779" s="1208" t="s">
        <v>38</v>
      </c>
      <c r="BS1779" s="1208" t="s">
        <v>38</v>
      </c>
    </row>
    <row r="1780" spans="1:71" ht="15.95" customHeight="1">
      <c r="A1780" s="1208" t="s">
        <v>4310</v>
      </c>
      <c r="B1780" s="1208" t="s">
        <v>3949</v>
      </c>
      <c r="C1780" s="1209">
        <v>44945</v>
      </c>
      <c r="D1780" s="1208" t="s">
        <v>389</v>
      </c>
      <c r="E1780" s="1208" t="s">
        <v>390</v>
      </c>
      <c r="F1780" s="1208" t="s">
        <v>4321</v>
      </c>
      <c r="G1780" s="1184" t="s">
        <v>456</v>
      </c>
      <c r="H1780" s="1210">
        <v>2500000000</v>
      </c>
      <c r="I1780" s="1208" t="s">
        <v>4327</v>
      </c>
      <c r="J1780" s="1186" t="str">
        <f>VLOOKUP($I1780,'Price List, Weapons &amp; Items'!B:C,2,0)</f>
        <v>Light armaments &amp; infantry</v>
      </c>
      <c r="K1780" s="1186" t="str">
        <f>IF(I1780=".",I1780,VLOOKUP($I1780,'Price List, Weapons &amp; Items'!B:D,3,0))</f>
        <v>Explosive</v>
      </c>
      <c r="L1780" s="1187">
        <f>VLOOKUP(I1780,'Price List, Weapons &amp; Items'!B:E,4,0)</f>
        <v>0</v>
      </c>
      <c r="M1780" s="1188" t="s">
        <v>374</v>
      </c>
      <c r="N1780" s="1188" t="s">
        <v>374</v>
      </c>
      <c r="O1780" s="1188">
        <f>VLOOKUP($I1780,'Price List, Weapons &amp; Items'!B:G,6,0)</f>
        <v>223.15</v>
      </c>
      <c r="P1780" s="1185" t="str">
        <f t="shared" si="372"/>
        <v>.</v>
      </c>
      <c r="Q1780" s="1185" t="str">
        <f t="shared" si="373"/>
        <v>.</v>
      </c>
      <c r="R1780" s="1185" t="str">
        <f t="shared" si="369"/>
        <v/>
      </c>
      <c r="S1780" s="1185" t="str">
        <f>IF(AND(AD1780=1,R1780&lt;&gt;".")=TRUE,R1780/VLOOKUP(G1780,'Exchange Rates'!B:C,2,0),IF(R1780=".",".",""))</f>
        <v/>
      </c>
      <c r="T1780" s="1185" t="str">
        <f>IF(AD1780=1,IF(AF1780="Value is not given at all",".",IF(AF1780="Value is given by the source",S1780,IF(AF1780="Value is calculated with prices",(IF(SUMIFS(Q:Q,A:A,A1780)&gt;0,SUMIFS(Q:Q,A:A,A1780),"."))/VLOOKUP("USD",'Exchange Rates'!B:C,2,0),"Error with coding"))),"")</f>
        <v/>
      </c>
      <c r="U1780" s="1191" t="s">
        <v>365</v>
      </c>
      <c r="V1780" s="983" t="s">
        <v>4322</v>
      </c>
      <c r="W1780" s="983" t="s">
        <v>3989</v>
      </c>
      <c r="X1780" s="1208" t="s">
        <v>364</v>
      </c>
      <c r="Y1780" s="1208" t="s">
        <v>364</v>
      </c>
      <c r="Z1780" s="1191">
        <v>0</v>
      </c>
      <c r="AA1780" s="1191">
        <v>0</v>
      </c>
      <c r="AB1780" s="1208" t="s">
        <v>364</v>
      </c>
      <c r="AC1780" s="1192" t="str">
        <f>""</f>
        <v/>
      </c>
      <c r="AD1780" s="1193">
        <v>0</v>
      </c>
      <c r="AE1780" s="1191" t="s">
        <v>368</v>
      </c>
      <c r="AF1780" s="1191" t="s">
        <v>369</v>
      </c>
      <c r="AG1780" s="1193">
        <v>1</v>
      </c>
      <c r="AH1780" s="1193">
        <v>13</v>
      </c>
      <c r="AI1780" s="1193">
        <v>0</v>
      </c>
      <c r="AJ1780" s="1193">
        <f>VLOOKUP($I1780,'Price List, Weapons &amp; Items'!B:F,5,0)</f>
        <v>0</v>
      </c>
      <c r="AK1780" s="1193">
        <f t="shared" si="374"/>
        <v>0</v>
      </c>
      <c r="AL1780" s="1193">
        <f t="shared" si="375"/>
        <v>0</v>
      </c>
      <c r="AM1780" s="1193">
        <f t="shared" si="376"/>
        <v>0</v>
      </c>
      <c r="AN1780" s="1194" t="str">
        <f>VLOOKUP($I1780,'Price List, Weapons &amp; Items'!B:L,COLUMN('Price List, Weapons &amp; Items'!$J$11)-1,0)</f>
        <v>Miscellaneous</v>
      </c>
      <c r="AO1780" s="1194" t="str">
        <f>IF(I1780=".",".",VLOOKUP($I1780,'Price List, Weapons &amp; Items'!B:J,3,0))</f>
        <v>Explosive</v>
      </c>
      <c r="AP1780" s="1195" t="str">
        <f t="shared" ca="1" si="370"/>
        <v/>
      </c>
      <c r="AQ1780" s="1194" t="str">
        <f>VLOOKUP($I1780,'Price List, Weapons &amp; Items'!B:L,COLUMN('Price List, Weapons &amp; Items'!$L$11)-1,0)</f>
        <v>no price, 0 count</v>
      </c>
      <c r="AR1780" s="1194">
        <f t="shared" si="377"/>
        <v>1</v>
      </c>
      <c r="AS1780" s="1194">
        <f t="shared" si="378"/>
        <v>1</v>
      </c>
      <c r="AT1780" s="1194">
        <f t="shared" si="379"/>
        <v>1</v>
      </c>
      <c r="AU1780" s="1194" t="str">
        <f t="shared" si="381"/>
        <v>.</v>
      </c>
      <c r="AV1780" s="1194" t="str">
        <f t="shared" si="371"/>
        <v>.</v>
      </c>
      <c r="AW1780" s="1194" t="str">
        <f t="shared" si="380"/>
        <v>.</v>
      </c>
      <c r="AX1780" s="1194">
        <f>IFERROR(VLOOKUP(B1780,'Share, Heavy Weapons to Ukraine'!B:Z,COLUMN('Share, Heavy Weapons to Ukraine'!C1790)-1,0),0)</f>
        <v>1</v>
      </c>
      <c r="AY1780" s="1194">
        <f>VLOOKUP('Bilateral Assistance, MAIN DATA'!B1780,'Country Summary (€)'!B:F,COLUMN('Country Summary (€)'!C1791)-1,FALSE)</f>
        <v>0</v>
      </c>
      <c r="AZ1780" s="1194" t="str">
        <f>IF(AND(AD1780=1,D1780="Military",H1780&lt;&gt;"Not given")=TRUE,IF(SUMIFS(P:P,A:A,A1780)&gt;0,ABS((SUMIFS(P:P,A:A,A1780)/VLOOKUP("USD",'Exchange Rates'!B:C,2,0)))/S1780,"."),".")</f>
        <v>.</v>
      </c>
      <c r="BA1780" s="1196" t="str">
        <f>IF(AND(AD1780=1,D1780="Military",H1780&lt;&gt;"Not given")=TRUE,IF(SUMIFS(P:P,A:A,A1780)&gt;0,IF((ABS((SUMIFS(P:P,A:A,A1780)/VLOOKUP("USD",'Exchange Rates'!B:C,2,0)))/S1780)&gt;1,(SUMIFS(P:P,A:A,A1780)-S1780)/S1780,(S1780-SUMIFS(P:P,A:A,A1780))/SUMIFS(P:P,A:A,A1780)),"."),".")</f>
        <v>.</v>
      </c>
      <c r="BB1780" s="1208" t="s">
        <v>38</v>
      </c>
      <c r="BC1780" s="1208" t="s">
        <v>38</v>
      </c>
      <c r="BD1780" s="1208" t="s">
        <v>38</v>
      </c>
      <c r="BE1780" s="1208" t="s">
        <v>38</v>
      </c>
      <c r="BF1780" s="1208" t="s">
        <v>38</v>
      </c>
      <c r="BG1780" s="1208" t="s">
        <v>38</v>
      </c>
      <c r="BH1780" s="1208" t="s">
        <v>38</v>
      </c>
      <c r="BI1780" s="1208" t="s">
        <v>38</v>
      </c>
      <c r="BJ1780" s="1208" t="s">
        <v>38</v>
      </c>
      <c r="BK1780" s="1208" t="s">
        <v>38</v>
      </c>
      <c r="BL1780" s="1208" t="s">
        <v>38</v>
      </c>
      <c r="BM1780" s="1208" t="s">
        <v>38</v>
      </c>
      <c r="BN1780" s="1208" t="s">
        <v>38</v>
      </c>
      <c r="BO1780" s="1208" t="s">
        <v>38</v>
      </c>
      <c r="BP1780" s="1208" t="s">
        <v>38</v>
      </c>
      <c r="BQ1780" s="1208" t="s">
        <v>38</v>
      </c>
      <c r="BR1780" s="1208" t="s">
        <v>38</v>
      </c>
      <c r="BS1780" s="1208" t="s">
        <v>38</v>
      </c>
    </row>
    <row r="1781" spans="1:71" ht="15.95" customHeight="1">
      <c r="A1781" s="1208" t="s">
        <v>4310</v>
      </c>
      <c r="B1781" s="1208" t="s">
        <v>3949</v>
      </c>
      <c r="C1781" s="1209">
        <v>44945</v>
      </c>
      <c r="D1781" s="1208" t="s">
        <v>389</v>
      </c>
      <c r="E1781" s="1208" t="s">
        <v>390</v>
      </c>
      <c r="F1781" s="1208" t="s">
        <v>4321</v>
      </c>
      <c r="G1781" s="1184" t="s">
        <v>456</v>
      </c>
      <c r="H1781" s="1210">
        <v>2500000000</v>
      </c>
      <c r="I1781" s="1208" t="s">
        <v>1405</v>
      </c>
      <c r="J1781" s="1186" t="str">
        <f>VLOOKUP($I1781,'Price List, Weapons &amp; Items'!B:C,2,0)</f>
        <v>Military equipment</v>
      </c>
      <c r="K1781" s="1186" t="str">
        <f>IF(I1781=".",I1781,VLOOKUP($I1781,'Price List, Weapons &amp; Items'!B:D,3,0))</f>
        <v>Military equipment</v>
      </c>
      <c r="L1781" s="1187">
        <f>VLOOKUP(I1781,'Price List, Weapons &amp; Items'!B:E,4,0)</f>
        <v>0</v>
      </c>
      <c r="M1781" s="1188" t="s">
        <v>374</v>
      </c>
      <c r="N1781" s="1188" t="s">
        <v>374</v>
      </c>
      <c r="O1781" s="1188">
        <f>VLOOKUP($I1781,'Price List, Weapons &amp; Items'!B:G,6,0)</f>
        <v>2320</v>
      </c>
      <c r="P1781" s="1185" t="str">
        <f t="shared" si="372"/>
        <v>.</v>
      </c>
      <c r="Q1781" s="1185" t="str">
        <f t="shared" si="373"/>
        <v>.</v>
      </c>
      <c r="R1781" s="1185" t="str">
        <f t="shared" si="369"/>
        <v/>
      </c>
      <c r="S1781" s="1185" t="str">
        <f>IF(AND(AD1781=1,R1781&lt;&gt;".")=TRUE,R1781/VLOOKUP(G1781,'Exchange Rates'!B:C,2,0),IF(R1781=".",".",""))</f>
        <v/>
      </c>
      <c r="T1781" s="1185" t="str">
        <f>IF(AD1781=1,IF(AF1781="Value is not given at all",".",IF(AF1781="Value is given by the source",S1781,IF(AF1781="Value is calculated with prices",(IF(SUMIFS(Q:Q,A:A,A1781)&gt;0,SUMIFS(Q:Q,A:A,A1781),"."))/VLOOKUP("USD",'Exchange Rates'!B:C,2,0),"Error with coding"))),"")</f>
        <v/>
      </c>
      <c r="U1781" s="1191" t="s">
        <v>365</v>
      </c>
      <c r="V1781" s="983" t="s">
        <v>4322</v>
      </c>
      <c r="W1781" s="983" t="s">
        <v>3989</v>
      </c>
      <c r="X1781" s="1208" t="s">
        <v>364</v>
      </c>
      <c r="Y1781" s="1208" t="s">
        <v>364</v>
      </c>
      <c r="Z1781" s="1191">
        <v>0</v>
      </c>
      <c r="AA1781" s="1191">
        <v>0</v>
      </c>
      <c r="AB1781" s="1208" t="s">
        <v>364</v>
      </c>
      <c r="AC1781" s="1192" t="str">
        <f>""</f>
        <v/>
      </c>
      <c r="AD1781" s="1193">
        <v>0</v>
      </c>
      <c r="AE1781" s="1191" t="s">
        <v>368</v>
      </c>
      <c r="AF1781" s="1191" t="s">
        <v>369</v>
      </c>
      <c r="AG1781" s="1193">
        <v>1</v>
      </c>
      <c r="AH1781" s="1193">
        <v>13</v>
      </c>
      <c r="AI1781" s="1193">
        <v>0</v>
      </c>
      <c r="AJ1781" s="1193">
        <f>VLOOKUP($I1781,'Price List, Weapons &amp; Items'!B:F,5,0)</f>
        <v>0</v>
      </c>
      <c r="AK1781" s="1193">
        <f t="shared" si="374"/>
        <v>0</v>
      </c>
      <c r="AL1781" s="1193">
        <f t="shared" si="375"/>
        <v>0</v>
      </c>
      <c r="AM1781" s="1193">
        <f t="shared" si="376"/>
        <v>0</v>
      </c>
      <c r="AN1781" s="1194" t="str">
        <f>VLOOKUP($I1781,'Price List, Weapons &amp; Items'!B:L,COLUMN('Price List, Weapons &amp; Items'!$J$11)-1,0)</f>
        <v>Media reports (incl. social media)</v>
      </c>
      <c r="AO1781" s="1194" t="str">
        <f>IF(I1781=".",".",VLOOKUP($I1781,'Price List, Weapons &amp; Items'!B:J,3,0))</f>
        <v>Military equipment</v>
      </c>
      <c r="AP1781" s="1195" t="str">
        <f t="shared" ca="1" si="370"/>
        <v/>
      </c>
      <c r="AQ1781" s="1194">
        <f>VLOOKUP($I1781,'Price List, Weapons &amp; Items'!B:L,COLUMN('Price List, Weapons &amp; Items'!$L$11)-1,0)</f>
        <v>2</v>
      </c>
      <c r="AR1781" s="1194">
        <f t="shared" si="377"/>
        <v>1</v>
      </c>
      <c r="AS1781" s="1194">
        <f t="shared" si="378"/>
        <v>1</v>
      </c>
      <c r="AT1781" s="1194">
        <f t="shared" si="379"/>
        <v>1</v>
      </c>
      <c r="AU1781" s="1194" t="str">
        <f t="shared" si="381"/>
        <v>.</v>
      </c>
      <c r="AV1781" s="1194" t="str">
        <f t="shared" si="371"/>
        <v>.</v>
      </c>
      <c r="AW1781" s="1194" t="str">
        <f t="shared" si="380"/>
        <v>.</v>
      </c>
      <c r="AX1781" s="1194">
        <f>IFERROR(VLOOKUP(B1781,'Share, Heavy Weapons to Ukraine'!B:Z,COLUMN('Share, Heavy Weapons to Ukraine'!C1791)-1,0),0)</f>
        <v>1</v>
      </c>
      <c r="AY1781" s="1194">
        <f>VLOOKUP('Bilateral Assistance, MAIN DATA'!B1781,'Country Summary (€)'!B:F,COLUMN('Country Summary (€)'!C1792)-1,FALSE)</f>
        <v>0</v>
      </c>
      <c r="AZ1781" s="1194" t="str">
        <f>IF(AND(AD1781=1,D1781="Military",H1781&lt;&gt;"Not given")=TRUE,IF(SUMIFS(P:P,A:A,A1781)&gt;0,ABS((SUMIFS(P:P,A:A,A1781)/VLOOKUP("USD",'Exchange Rates'!B:C,2,0)))/S1781,"."),".")</f>
        <v>.</v>
      </c>
      <c r="BA1781" s="1196" t="str">
        <f>IF(AND(AD1781=1,D1781="Military",H1781&lt;&gt;"Not given")=TRUE,IF(SUMIFS(P:P,A:A,A1781)&gt;0,IF((ABS((SUMIFS(P:P,A:A,A1781)/VLOOKUP("USD",'Exchange Rates'!B:C,2,0)))/S1781)&gt;1,(SUMIFS(P:P,A:A,A1781)-S1781)/S1781,(S1781-SUMIFS(P:P,A:A,A1781))/SUMIFS(P:P,A:A,A1781)),"."),".")</f>
        <v>.</v>
      </c>
      <c r="BB1781" s="1208" t="s">
        <v>38</v>
      </c>
      <c r="BC1781" s="1208" t="s">
        <v>38</v>
      </c>
      <c r="BD1781" s="1208" t="s">
        <v>38</v>
      </c>
      <c r="BE1781" s="1208" t="s">
        <v>38</v>
      </c>
      <c r="BF1781" s="1208" t="s">
        <v>38</v>
      </c>
      <c r="BG1781" s="1208" t="s">
        <v>38</v>
      </c>
      <c r="BH1781" s="1208" t="s">
        <v>38</v>
      </c>
      <c r="BI1781" s="1208" t="s">
        <v>38</v>
      </c>
      <c r="BJ1781" s="1208" t="s">
        <v>38</v>
      </c>
      <c r="BK1781" s="1208" t="s">
        <v>38</v>
      </c>
      <c r="BL1781" s="1208" t="s">
        <v>38</v>
      </c>
      <c r="BM1781" s="1208" t="s">
        <v>38</v>
      </c>
      <c r="BN1781" s="1208" t="s">
        <v>38</v>
      </c>
      <c r="BO1781" s="1208" t="s">
        <v>38</v>
      </c>
      <c r="BP1781" s="1208" t="s">
        <v>38</v>
      </c>
      <c r="BQ1781" s="1208" t="s">
        <v>38</v>
      </c>
      <c r="BR1781" s="1208" t="s">
        <v>38</v>
      </c>
      <c r="BS1781" s="1208" t="s">
        <v>38</v>
      </c>
    </row>
    <row r="1782" spans="1:71" ht="15.95" customHeight="1">
      <c r="A1782" s="1208" t="s">
        <v>4310</v>
      </c>
      <c r="B1782" s="1208" t="s">
        <v>3949</v>
      </c>
      <c r="C1782" s="1209">
        <v>44945</v>
      </c>
      <c r="D1782" s="1208" t="s">
        <v>389</v>
      </c>
      <c r="E1782" s="1208" t="s">
        <v>390</v>
      </c>
      <c r="F1782" s="1208" t="s">
        <v>4321</v>
      </c>
      <c r="G1782" s="1184" t="s">
        <v>456</v>
      </c>
      <c r="H1782" s="1210">
        <v>2500000000</v>
      </c>
      <c r="I1782" s="1208" t="s">
        <v>4217</v>
      </c>
      <c r="J1782" s="1186" t="str">
        <f>VLOOKUP($I1782,'Price List, Weapons &amp; Items'!B:C,2,0)</f>
        <v>Military equipment</v>
      </c>
      <c r="K1782" s="1186" t="str">
        <f>IF(I1782=".",I1782,VLOOKUP($I1782,'Price List, Weapons &amp; Items'!B:D,3,0))</f>
        <v>spare parts</v>
      </c>
      <c r="L1782" s="1187">
        <f>VLOOKUP(I1782,'Price List, Weapons &amp; Items'!B:E,4,0)</f>
        <v>0</v>
      </c>
      <c r="M1782" s="1188" t="s">
        <v>374</v>
      </c>
      <c r="N1782" s="1188" t="s">
        <v>374</v>
      </c>
      <c r="O1782" s="1188" t="str">
        <f>VLOOKUP($I1782,'Price List, Weapons &amp; Items'!B:G,6,0)</f>
        <v>.</v>
      </c>
      <c r="P1782" s="1185" t="str">
        <f t="shared" si="372"/>
        <v>.</v>
      </c>
      <c r="Q1782" s="1185" t="str">
        <f t="shared" si="373"/>
        <v>.</v>
      </c>
      <c r="R1782" s="1185" t="str">
        <f t="shared" si="369"/>
        <v/>
      </c>
      <c r="S1782" s="1185" t="str">
        <f>IF(AND(AD1782=1,R1782&lt;&gt;".")=TRUE,R1782/VLOOKUP(G1782,'Exchange Rates'!B:C,2,0),IF(R1782=".",".",""))</f>
        <v/>
      </c>
      <c r="T1782" s="1185" t="str">
        <f>IF(AD1782=1,IF(AF1782="Value is not given at all",".",IF(AF1782="Value is given by the source",S1782,IF(AF1782="Value is calculated with prices",(IF(SUMIFS(Q:Q,A:A,A1782)&gt;0,SUMIFS(Q:Q,A:A,A1782),"."))/VLOOKUP("USD",'Exchange Rates'!B:C,2,0),"Error with coding"))),"")</f>
        <v/>
      </c>
      <c r="U1782" s="1191" t="s">
        <v>365</v>
      </c>
      <c r="V1782" s="983" t="s">
        <v>4322</v>
      </c>
      <c r="W1782" s="983" t="s">
        <v>3989</v>
      </c>
      <c r="X1782" s="1208" t="s">
        <v>364</v>
      </c>
      <c r="Y1782" s="1208" t="s">
        <v>364</v>
      </c>
      <c r="Z1782" s="1191">
        <v>0</v>
      </c>
      <c r="AA1782" s="1191">
        <v>0</v>
      </c>
      <c r="AB1782" s="1208" t="s">
        <v>364</v>
      </c>
      <c r="AC1782" s="1192" t="str">
        <f>""</f>
        <v/>
      </c>
      <c r="AD1782" s="1193">
        <v>0</v>
      </c>
      <c r="AE1782" s="1191" t="s">
        <v>368</v>
      </c>
      <c r="AF1782" s="1191" t="s">
        <v>369</v>
      </c>
      <c r="AG1782" s="1193">
        <v>1</v>
      </c>
      <c r="AH1782" s="1193">
        <v>13</v>
      </c>
      <c r="AI1782" s="1193">
        <v>0</v>
      </c>
      <c r="AJ1782" s="1193">
        <f>VLOOKUP($I1782,'Price List, Weapons &amp; Items'!B:F,5,0)</f>
        <v>0</v>
      </c>
      <c r="AK1782" s="1193">
        <f t="shared" si="374"/>
        <v>0</v>
      </c>
      <c r="AL1782" s="1193">
        <f t="shared" si="375"/>
        <v>0</v>
      </c>
      <c r="AM1782" s="1193">
        <f t="shared" si="376"/>
        <v>0</v>
      </c>
      <c r="AN1782" s="1194" t="str">
        <f>VLOOKUP($I1782,'Price List, Weapons &amp; Items'!B:L,COLUMN('Price List, Weapons &amp; Items'!$J$11)-1,0)</f>
        <v>.</v>
      </c>
      <c r="AO1782" s="1194" t="str">
        <f>IF(I1782=".",".",VLOOKUP($I1782,'Price List, Weapons &amp; Items'!B:J,3,0))</f>
        <v>spare parts</v>
      </c>
      <c r="AP1782" s="1195" t="str">
        <f t="shared" ca="1" si="370"/>
        <v/>
      </c>
      <c r="AQ1782" s="1194" t="str">
        <f>VLOOKUP($I1782,'Price List, Weapons &amp; Items'!B:L,COLUMN('Price List, Weapons &amp; Items'!$L$11)-1,0)</f>
        <v>no price, 0 count</v>
      </c>
      <c r="AR1782" s="1194">
        <f t="shared" si="377"/>
        <v>1</v>
      </c>
      <c r="AS1782" s="1194">
        <f t="shared" si="378"/>
        <v>1</v>
      </c>
      <c r="AT1782" s="1194">
        <f t="shared" si="379"/>
        <v>1</v>
      </c>
      <c r="AU1782" s="1194" t="str">
        <f t="shared" si="381"/>
        <v>.</v>
      </c>
      <c r="AV1782" s="1194" t="str">
        <f t="shared" si="371"/>
        <v>.</v>
      </c>
      <c r="AW1782" s="1194" t="str">
        <f t="shared" si="380"/>
        <v>.</v>
      </c>
      <c r="AX1782" s="1194">
        <f>IFERROR(VLOOKUP(B1782,'Share, Heavy Weapons to Ukraine'!B:Z,COLUMN('Share, Heavy Weapons to Ukraine'!C1792)-1,0),0)</f>
        <v>1</v>
      </c>
      <c r="AY1782" s="1194">
        <f>VLOOKUP('Bilateral Assistance, MAIN DATA'!B1782,'Country Summary (€)'!B:F,COLUMN('Country Summary (€)'!C1793)-1,FALSE)</f>
        <v>0</v>
      </c>
      <c r="AZ1782" s="1194" t="str">
        <f>IF(AND(AD1782=1,D1782="Military",H1782&lt;&gt;"Not given")=TRUE,IF(SUMIFS(P:P,A:A,A1782)&gt;0,ABS((SUMIFS(P:P,A:A,A1782)/VLOOKUP("USD",'Exchange Rates'!B:C,2,0)))/S1782,"."),".")</f>
        <v>.</v>
      </c>
      <c r="BA1782" s="1196" t="str">
        <f>IF(AND(AD1782=1,D1782="Military",H1782&lt;&gt;"Not given")=TRUE,IF(SUMIFS(P:P,A:A,A1782)&gt;0,IF((ABS((SUMIFS(P:P,A:A,A1782)/VLOOKUP("USD",'Exchange Rates'!B:C,2,0)))/S1782)&gt;1,(SUMIFS(P:P,A:A,A1782)-S1782)/S1782,(S1782-SUMIFS(P:P,A:A,A1782))/SUMIFS(P:P,A:A,A1782)),"."),".")</f>
        <v>.</v>
      </c>
      <c r="BB1782" s="1208" t="s">
        <v>38</v>
      </c>
      <c r="BC1782" s="1208" t="s">
        <v>38</v>
      </c>
      <c r="BD1782" s="1208" t="s">
        <v>38</v>
      </c>
      <c r="BE1782" s="1208" t="s">
        <v>38</v>
      </c>
      <c r="BF1782" s="1208" t="s">
        <v>38</v>
      </c>
      <c r="BG1782" s="1208" t="s">
        <v>38</v>
      </c>
      <c r="BH1782" s="1208" t="s">
        <v>38</v>
      </c>
      <c r="BI1782" s="1208" t="s">
        <v>38</v>
      </c>
      <c r="BJ1782" s="1208" t="s">
        <v>38</v>
      </c>
      <c r="BK1782" s="1208" t="s">
        <v>38</v>
      </c>
      <c r="BL1782" s="1208" t="s">
        <v>38</v>
      </c>
      <c r="BM1782" s="1208" t="s">
        <v>38</v>
      </c>
      <c r="BN1782" s="1208" t="s">
        <v>38</v>
      </c>
      <c r="BO1782" s="1208" t="s">
        <v>38</v>
      </c>
      <c r="BP1782" s="1208" t="s">
        <v>38</v>
      </c>
      <c r="BQ1782" s="1208" t="s">
        <v>38</v>
      </c>
      <c r="BR1782" s="1208" t="s">
        <v>38</v>
      </c>
      <c r="BS1782" s="1208" t="s">
        <v>38</v>
      </c>
    </row>
    <row r="1783" spans="1:71" ht="15.95" customHeight="1">
      <c r="A1783" s="1208" t="s">
        <v>4310</v>
      </c>
      <c r="B1783" s="1208" t="s">
        <v>3949</v>
      </c>
      <c r="C1783" s="1209">
        <v>44945</v>
      </c>
      <c r="D1783" s="1208" t="s">
        <v>389</v>
      </c>
      <c r="E1783" s="1208" t="s">
        <v>390</v>
      </c>
      <c r="F1783" s="1208" t="s">
        <v>4321</v>
      </c>
      <c r="G1783" s="1184" t="s">
        <v>456</v>
      </c>
      <c r="H1783" s="1210">
        <v>2500000000</v>
      </c>
      <c r="I1783" s="1208" t="s">
        <v>4328</v>
      </c>
      <c r="J1783" s="1186" t="str">
        <f>VLOOKUP($I1783,'Price List, Weapons &amp; Items'!B:C,2,0)</f>
        <v>Military equipment</v>
      </c>
      <c r="K1783" s="1186" t="str">
        <f>IF(I1783=".",I1783,VLOOKUP($I1783,'Price List, Weapons &amp; Items'!B:D,3,0))</f>
        <v>Military equipment</v>
      </c>
      <c r="L1783" s="1187">
        <f>VLOOKUP(I1783,'Price List, Weapons &amp; Items'!B:E,4,0)</f>
        <v>0</v>
      </c>
      <c r="M1783" s="1188" t="s">
        <v>374</v>
      </c>
      <c r="N1783" s="1188" t="s">
        <v>374</v>
      </c>
      <c r="O1783" s="1188" t="str">
        <f>VLOOKUP($I1783,'Price List, Weapons &amp; Items'!B:G,6,0)</f>
        <v>.</v>
      </c>
      <c r="P1783" s="1185" t="str">
        <f t="shared" si="372"/>
        <v>.</v>
      </c>
      <c r="Q1783" s="1185" t="str">
        <f t="shared" si="373"/>
        <v>.</v>
      </c>
      <c r="R1783" s="1185" t="str">
        <f t="shared" si="369"/>
        <v/>
      </c>
      <c r="S1783" s="1185" t="str">
        <f>IF(AND(AD1783=1,R1783&lt;&gt;".")=TRUE,R1783/VLOOKUP(G1783,'Exchange Rates'!B:C,2,0),IF(R1783=".",".",""))</f>
        <v/>
      </c>
      <c r="T1783" s="1185" t="str">
        <f>IF(AD1783=1,IF(AF1783="Value is not given at all",".",IF(AF1783="Value is given by the source",S1783,IF(AF1783="Value is calculated with prices",(IF(SUMIFS(Q:Q,A:A,A1783)&gt;0,SUMIFS(Q:Q,A:A,A1783),"."))/VLOOKUP("USD",'Exchange Rates'!B:C,2,0),"Error with coding"))),"")</f>
        <v/>
      </c>
      <c r="U1783" s="1191" t="s">
        <v>365</v>
      </c>
      <c r="V1783" s="983" t="s">
        <v>4322</v>
      </c>
      <c r="W1783" s="983" t="s">
        <v>3989</v>
      </c>
      <c r="X1783" s="1208" t="s">
        <v>364</v>
      </c>
      <c r="Y1783" s="1208" t="s">
        <v>364</v>
      </c>
      <c r="Z1783" s="1191">
        <v>0</v>
      </c>
      <c r="AA1783" s="1191">
        <v>0</v>
      </c>
      <c r="AB1783" s="1208" t="s">
        <v>364</v>
      </c>
      <c r="AC1783" s="1192" t="str">
        <f>""</f>
        <v/>
      </c>
      <c r="AD1783" s="1193">
        <v>0</v>
      </c>
      <c r="AE1783" s="1191" t="s">
        <v>368</v>
      </c>
      <c r="AF1783" s="1191" t="s">
        <v>369</v>
      </c>
      <c r="AG1783" s="1193">
        <v>1</v>
      </c>
      <c r="AH1783" s="1193">
        <v>13</v>
      </c>
      <c r="AI1783" s="1193">
        <v>0</v>
      </c>
      <c r="AJ1783" s="1193">
        <f>VLOOKUP($I1783,'Price List, Weapons &amp; Items'!B:F,5,0)</f>
        <v>0</v>
      </c>
      <c r="AK1783" s="1193">
        <f t="shared" si="374"/>
        <v>0</v>
      </c>
      <c r="AL1783" s="1193">
        <f t="shared" si="375"/>
        <v>0</v>
      </c>
      <c r="AM1783" s="1193">
        <f t="shared" si="376"/>
        <v>0</v>
      </c>
      <c r="AN1783" s="1194" t="str">
        <f>VLOOKUP($I1783,'Price List, Weapons &amp; Items'!B:L,COLUMN('Price List, Weapons &amp; Items'!$J$11)-1,0)</f>
        <v>.</v>
      </c>
      <c r="AO1783" s="1194" t="str">
        <f>IF(I1783=".",".",VLOOKUP($I1783,'Price List, Weapons &amp; Items'!B:J,3,0))</f>
        <v>Military equipment</v>
      </c>
      <c r="AP1783" s="1195" t="str">
        <f t="shared" ca="1" si="370"/>
        <v/>
      </c>
      <c r="AQ1783" s="1194" t="str">
        <f>VLOOKUP($I1783,'Price List, Weapons &amp; Items'!B:L,COLUMN('Price List, Weapons &amp; Items'!$L$11)-1,0)</f>
        <v>no price, 0 count</v>
      </c>
      <c r="AR1783" s="1194">
        <f t="shared" si="377"/>
        <v>1</v>
      </c>
      <c r="AS1783" s="1194">
        <f t="shared" si="378"/>
        <v>1</v>
      </c>
      <c r="AT1783" s="1194">
        <f t="shared" si="379"/>
        <v>1</v>
      </c>
      <c r="AU1783" s="1194" t="str">
        <f t="shared" si="381"/>
        <v>.</v>
      </c>
      <c r="AV1783" s="1194" t="str">
        <f t="shared" si="371"/>
        <v>.</v>
      </c>
      <c r="AW1783" s="1194" t="str">
        <f t="shared" si="380"/>
        <v>.</v>
      </c>
      <c r="AX1783" s="1194">
        <f>IFERROR(VLOOKUP(B1783,'Share, Heavy Weapons to Ukraine'!B:Z,COLUMN('Share, Heavy Weapons to Ukraine'!C1793)-1,0),0)</f>
        <v>1</v>
      </c>
      <c r="AY1783" s="1194">
        <f>VLOOKUP('Bilateral Assistance, MAIN DATA'!B1783,'Country Summary (€)'!B:F,COLUMN('Country Summary (€)'!C1794)-1,FALSE)</f>
        <v>0</v>
      </c>
      <c r="AZ1783" s="1194" t="str">
        <f>IF(AND(AD1783=1,D1783="Military",H1783&lt;&gt;"Not given")=TRUE,IF(SUMIFS(P:P,A:A,A1783)&gt;0,ABS((SUMIFS(P:P,A:A,A1783)/VLOOKUP("USD",'Exchange Rates'!B:C,2,0)))/S1783,"."),".")</f>
        <v>.</v>
      </c>
      <c r="BA1783" s="1196" t="str">
        <f>IF(AND(AD1783=1,D1783="Military",H1783&lt;&gt;"Not given")=TRUE,IF(SUMIFS(P:P,A:A,A1783)&gt;0,IF((ABS((SUMIFS(P:P,A:A,A1783)/VLOOKUP("USD",'Exchange Rates'!B:C,2,0)))/S1783)&gt;1,(SUMIFS(P:P,A:A,A1783)-S1783)/S1783,(S1783-SUMIFS(P:P,A:A,A1783))/SUMIFS(P:P,A:A,A1783)),"."),".")</f>
        <v>.</v>
      </c>
      <c r="BB1783" s="1208" t="s">
        <v>38</v>
      </c>
      <c r="BC1783" s="1208" t="s">
        <v>38</v>
      </c>
      <c r="BD1783" s="1208" t="s">
        <v>38</v>
      </c>
      <c r="BE1783" s="1208" t="s">
        <v>38</v>
      </c>
      <c r="BF1783" s="1208" t="s">
        <v>38</v>
      </c>
      <c r="BG1783" s="1208" t="s">
        <v>38</v>
      </c>
      <c r="BH1783" s="1208" t="s">
        <v>38</v>
      </c>
      <c r="BI1783" s="1208" t="s">
        <v>38</v>
      </c>
      <c r="BJ1783" s="1208" t="s">
        <v>38</v>
      </c>
      <c r="BK1783" s="1208" t="s">
        <v>38</v>
      </c>
      <c r="BL1783" s="1208" t="s">
        <v>38</v>
      </c>
      <c r="BM1783" s="1208" t="s">
        <v>38</v>
      </c>
      <c r="BN1783" s="1208" t="s">
        <v>38</v>
      </c>
      <c r="BO1783" s="1208" t="s">
        <v>38</v>
      </c>
      <c r="BP1783" s="1208" t="s">
        <v>38</v>
      </c>
      <c r="BQ1783" s="1208" t="s">
        <v>38</v>
      </c>
      <c r="BR1783" s="1208" t="s">
        <v>38</v>
      </c>
      <c r="BS1783" s="1208" t="s">
        <v>38</v>
      </c>
    </row>
    <row r="1784" spans="1:71" ht="15.95" customHeight="1">
      <c r="A1784" s="1208" t="s">
        <v>4310</v>
      </c>
      <c r="B1784" s="1208" t="s">
        <v>3949</v>
      </c>
      <c r="C1784" s="1209">
        <v>44960</v>
      </c>
      <c r="D1784" s="1208" t="s">
        <v>389</v>
      </c>
      <c r="E1784" s="1208" t="s">
        <v>390</v>
      </c>
      <c r="F1784" s="1208" t="s">
        <v>4329</v>
      </c>
      <c r="G1784" s="1184" t="s">
        <v>456</v>
      </c>
      <c r="H1784" s="1210">
        <v>425000000</v>
      </c>
      <c r="I1784" s="1208" t="s">
        <v>865</v>
      </c>
      <c r="J1784" s="1186" t="str">
        <f>VLOOKUP($I1784,'Price List, Weapons &amp; Items'!B:C,2,0)</f>
        <v>Ammunition for Heavy Weapon</v>
      </c>
      <c r="K1784" s="1186" t="str">
        <f>IF(I1784=".",I1784,VLOOKUP($I1784,'Price List, Weapons &amp; Items'!B:D,3,0))</f>
        <v>Missile</v>
      </c>
      <c r="L1784" s="1187">
        <f>VLOOKUP(I1784,'Price List, Weapons &amp; Items'!B:E,4,0)</f>
        <v>0</v>
      </c>
      <c r="M1784" s="1188" t="s">
        <v>374</v>
      </c>
      <c r="N1784" s="1188" t="s">
        <v>374</v>
      </c>
      <c r="O1784" s="1188">
        <f>VLOOKUP($I1784,'Price List, Weapons &amp; Items'!B:G,6,0)</f>
        <v>1090000</v>
      </c>
      <c r="P1784" s="1185" t="str">
        <f t="shared" si="372"/>
        <v>.</v>
      </c>
      <c r="Q1784" s="1185" t="str">
        <f t="shared" si="373"/>
        <v>.</v>
      </c>
      <c r="R1784" s="1185" t="str">
        <f t="shared" si="369"/>
        <v/>
      </c>
      <c r="S1784" s="1185" t="str">
        <f>IF(AND(AD1784=1,R1784&lt;&gt;".")=TRUE,R1784/VLOOKUP(G1784,'Exchange Rates'!B:C,2,0),IF(R1784=".",".",""))</f>
        <v/>
      </c>
      <c r="T1784" s="1185" t="str">
        <f>IF(AD1784=1,IF(AF1784="Value is not given at all",".",IF(AF1784="Value is given by the source",S1784,IF(AF1784="Value is calculated with prices",(IF(SUMIFS(Q:Q,A:A,A1784)&gt;0,SUMIFS(Q:Q,A:A,A1784),"."))/VLOOKUP("USD",'Exchange Rates'!B:C,2,0),"Error with coding"))),"")</f>
        <v/>
      </c>
      <c r="U1784" s="1191" t="s">
        <v>365</v>
      </c>
      <c r="V1784" s="983" t="s">
        <v>4330</v>
      </c>
      <c r="W1784" s="983" t="s">
        <v>3989</v>
      </c>
      <c r="X1784" s="1208" t="s">
        <v>364</v>
      </c>
      <c r="Y1784" s="1208" t="s">
        <v>364</v>
      </c>
      <c r="Z1784" s="1191">
        <v>0</v>
      </c>
      <c r="AA1784" s="1191">
        <v>0</v>
      </c>
      <c r="AB1784" s="1208" t="s">
        <v>364</v>
      </c>
      <c r="AC1784" s="1192" t="str">
        <f>""</f>
        <v/>
      </c>
      <c r="AD1784" s="1193">
        <v>0</v>
      </c>
      <c r="AE1784" s="1191" t="s">
        <v>368</v>
      </c>
      <c r="AF1784" s="1191" t="s">
        <v>369</v>
      </c>
      <c r="AG1784" s="1193">
        <v>1</v>
      </c>
      <c r="AH1784" s="1193">
        <v>14</v>
      </c>
      <c r="AI1784" s="1193">
        <v>0</v>
      </c>
      <c r="AJ1784" s="1193">
        <f>VLOOKUP($I1784,'Price List, Weapons &amp; Items'!B:F,5,0)</f>
        <v>0</v>
      </c>
      <c r="AK1784" s="1193">
        <f t="shared" si="374"/>
        <v>0</v>
      </c>
      <c r="AL1784" s="1193">
        <f t="shared" si="375"/>
        <v>0</v>
      </c>
      <c r="AM1784" s="1193">
        <f t="shared" si="376"/>
        <v>0</v>
      </c>
      <c r="AN1784" s="1194" t="str">
        <f>VLOOKUP($I1784,'Price List, Weapons &amp; Items'!B:L,COLUMN('Price List, Weapons &amp; Items'!$J$11)-1,0)</f>
        <v>Miscellaneous</v>
      </c>
      <c r="AO1784" s="1194" t="str">
        <f>IF(I1784=".",".",VLOOKUP($I1784,'Price List, Weapons &amp; Items'!B:J,3,0))</f>
        <v>Missile</v>
      </c>
      <c r="AP1784" s="1195" t="str">
        <f t="shared" ca="1" si="370"/>
        <v/>
      </c>
      <c r="AQ1784" s="1194" t="str">
        <f>VLOOKUP($I1784,'Price List, Weapons &amp; Items'!B:L,COLUMN('Price List, Weapons &amp; Items'!$L$11)-1,0)</f>
        <v>no price, 0 count</v>
      </c>
      <c r="AR1784" s="1194">
        <f t="shared" si="377"/>
        <v>1</v>
      </c>
      <c r="AS1784" s="1194">
        <f t="shared" si="378"/>
        <v>1</v>
      </c>
      <c r="AT1784" s="1194">
        <f t="shared" si="379"/>
        <v>1</v>
      </c>
      <c r="AU1784" s="1194" t="str">
        <f t="shared" si="381"/>
        <v>.</v>
      </c>
      <c r="AV1784" s="1194" t="str">
        <f t="shared" si="371"/>
        <v>.</v>
      </c>
      <c r="AW1784" s="1194" t="str">
        <f t="shared" si="380"/>
        <v>.</v>
      </c>
      <c r="AX1784" s="1194">
        <f>IFERROR(VLOOKUP(B1784,'Share, Heavy Weapons to Ukraine'!B:Z,COLUMN('Share, Heavy Weapons to Ukraine'!C1794)-1,0),0)</f>
        <v>1</v>
      </c>
      <c r="AY1784" s="1194">
        <f>VLOOKUP('Bilateral Assistance, MAIN DATA'!B1784,'Country Summary (€)'!B:F,COLUMN('Country Summary (€)'!C1795)-1,FALSE)</f>
        <v>0</v>
      </c>
      <c r="AZ1784" s="1194" t="str">
        <f>IF(AND(AD1784=1,D1784="Military",H1784&lt;&gt;"Not given")=TRUE,IF(SUMIFS(P:P,A:A,A1784)&gt;0,ABS((SUMIFS(P:P,A:A,A1784)/VLOOKUP("USD",'Exchange Rates'!B:C,2,0)))/S1784,"."),".")</f>
        <v>.</v>
      </c>
      <c r="BA1784" s="1196" t="str">
        <f>IF(AND(AD1784=1,D1784="Military",H1784&lt;&gt;"Not given")=TRUE,IF(SUMIFS(P:P,A:A,A1784)&gt;0,IF((ABS((SUMIFS(P:P,A:A,A1784)/VLOOKUP("USD",'Exchange Rates'!B:C,2,0)))/S1784)&gt;1,(SUMIFS(P:P,A:A,A1784)-S1784)/S1784,(S1784-SUMIFS(P:P,A:A,A1784))/SUMIFS(P:P,A:A,A1784)),"."),".")</f>
        <v>.</v>
      </c>
      <c r="BB1784" s="1208" t="s">
        <v>38</v>
      </c>
      <c r="BC1784" s="1208" t="s">
        <v>38</v>
      </c>
      <c r="BD1784" s="1208" t="s">
        <v>38</v>
      </c>
      <c r="BE1784" s="1208" t="s">
        <v>38</v>
      </c>
      <c r="BF1784" s="1208" t="s">
        <v>38</v>
      </c>
      <c r="BG1784" s="1208" t="s">
        <v>38</v>
      </c>
      <c r="BH1784" s="1208" t="s">
        <v>38</v>
      </c>
      <c r="BI1784" s="1208" t="s">
        <v>38</v>
      </c>
      <c r="BJ1784" s="1208" t="s">
        <v>38</v>
      </c>
      <c r="BK1784" s="1208" t="s">
        <v>38</v>
      </c>
      <c r="BL1784" s="1208" t="s">
        <v>38</v>
      </c>
      <c r="BM1784" s="1208" t="s">
        <v>38</v>
      </c>
      <c r="BN1784" s="1208" t="s">
        <v>38</v>
      </c>
      <c r="BO1784" s="1208" t="s">
        <v>38</v>
      </c>
      <c r="BP1784" s="1208" t="s">
        <v>38</v>
      </c>
      <c r="BQ1784" s="1208" t="s">
        <v>38</v>
      </c>
      <c r="BR1784" s="1208" t="s">
        <v>38</v>
      </c>
      <c r="BS1784" s="1208" t="s">
        <v>38</v>
      </c>
    </row>
    <row r="1785" spans="1:71" ht="15.95" customHeight="1">
      <c r="A1785" s="1208" t="s">
        <v>4310</v>
      </c>
      <c r="B1785" s="1208" t="s">
        <v>3949</v>
      </c>
      <c r="C1785" s="1209">
        <v>44960</v>
      </c>
      <c r="D1785" s="1208" t="s">
        <v>389</v>
      </c>
      <c r="E1785" s="1208" t="s">
        <v>390</v>
      </c>
      <c r="F1785" s="1208" t="s">
        <v>4329</v>
      </c>
      <c r="G1785" s="1184" t="s">
        <v>456</v>
      </c>
      <c r="H1785" s="1210">
        <v>425000000</v>
      </c>
      <c r="I1785" s="1208" t="s">
        <v>856</v>
      </c>
      <c r="J1785" s="1186" t="str">
        <f>VLOOKUP($I1785,'Price List, Weapons &amp; Items'!B:C,2,0)</f>
        <v>Ammunition for heavy weapon</v>
      </c>
      <c r="K1785" s="1186" t="str">
        <f>IF(I1785=".",I1785,VLOOKUP($I1785,'Price List, Weapons &amp; Items'!B:D,3,0))</f>
        <v>155mm howitzer ammunition</v>
      </c>
      <c r="L1785" s="1187">
        <f>VLOOKUP(I1785,'Price List, Weapons &amp; Items'!B:E,4,0)</f>
        <v>0</v>
      </c>
      <c r="M1785" s="1188">
        <v>61500</v>
      </c>
      <c r="N1785" s="1188" t="s">
        <v>374</v>
      </c>
      <c r="O1785" s="1188">
        <f>VLOOKUP($I1785,'Price List, Weapons &amp; Items'!B:G,6,0)</f>
        <v>3800</v>
      </c>
      <c r="P1785" s="1185">
        <f t="shared" si="372"/>
        <v>233700000</v>
      </c>
      <c r="Q1785" s="1185" t="str">
        <f t="shared" si="373"/>
        <v>.</v>
      </c>
      <c r="R1785" s="1185" t="str">
        <f t="shared" si="369"/>
        <v/>
      </c>
      <c r="S1785" s="1185" t="str">
        <f>IF(AND(AD1785=1,R1785&lt;&gt;".")=TRUE,R1785/VLOOKUP(G1785,'Exchange Rates'!B:C,2,0),IF(R1785=".",".",""))</f>
        <v/>
      </c>
      <c r="T1785" s="1185" t="str">
        <f>IF(AD1785=1,IF(AF1785="Value is not given at all",".",IF(AF1785="Value is given by the source",S1785,IF(AF1785="Value is calculated with prices",(IF(SUMIFS(Q:Q,A:A,A1785)&gt;0,SUMIFS(Q:Q,A:A,A1785),"."))/VLOOKUP("USD",'Exchange Rates'!B:C,2,0),"Error with coding"))),"")</f>
        <v/>
      </c>
      <c r="U1785" s="1191" t="s">
        <v>365</v>
      </c>
      <c r="V1785" s="983" t="s">
        <v>4330</v>
      </c>
      <c r="W1785" s="983" t="s">
        <v>3989</v>
      </c>
      <c r="X1785" s="1208" t="s">
        <v>364</v>
      </c>
      <c r="Y1785" s="1208" t="s">
        <v>364</v>
      </c>
      <c r="Z1785" s="1191">
        <v>0</v>
      </c>
      <c r="AA1785" s="1191">
        <v>0</v>
      </c>
      <c r="AB1785" s="1208" t="s">
        <v>364</v>
      </c>
      <c r="AC1785" s="1192" t="str">
        <f>""</f>
        <v/>
      </c>
      <c r="AD1785" s="1193">
        <v>0</v>
      </c>
      <c r="AE1785" s="1191" t="s">
        <v>368</v>
      </c>
      <c r="AF1785" s="1191" t="s">
        <v>369</v>
      </c>
      <c r="AG1785" s="1193">
        <v>1</v>
      </c>
      <c r="AH1785" s="1193">
        <v>14</v>
      </c>
      <c r="AI1785" s="1193">
        <v>0</v>
      </c>
      <c r="AJ1785" s="1193">
        <f>VLOOKUP($I1785,'Price List, Weapons &amp; Items'!B:F,5,0)</f>
        <v>1</v>
      </c>
      <c r="AK1785" s="1193">
        <f t="shared" si="374"/>
        <v>0</v>
      </c>
      <c r="AL1785" s="1193">
        <f t="shared" si="375"/>
        <v>1</v>
      </c>
      <c r="AM1785" s="1193">
        <f t="shared" si="376"/>
        <v>0</v>
      </c>
      <c r="AN1785" s="1194" t="str">
        <f>VLOOKUP($I1785,'Price List, Weapons &amp; Items'!B:L,COLUMN('Price List, Weapons &amp; Items'!$J$11)-1,0)</f>
        <v>Government information</v>
      </c>
      <c r="AO1785" s="1194" t="str">
        <f>IF(I1785=".",".",VLOOKUP($I1785,'Price List, Weapons &amp; Items'!B:J,3,0))</f>
        <v>155mm howitzer ammunition</v>
      </c>
      <c r="AP1785" s="1195" t="str">
        <f t="shared" ca="1" si="370"/>
        <v/>
      </c>
      <c r="AQ1785" s="1194">
        <f>VLOOKUP($I1785,'Price List, Weapons &amp; Items'!B:L,COLUMN('Price List, Weapons &amp; Items'!$L$11)-1,0)</f>
        <v>2</v>
      </c>
      <c r="AR1785" s="1194">
        <f t="shared" si="377"/>
        <v>1</v>
      </c>
      <c r="AS1785" s="1194">
        <f t="shared" si="378"/>
        <v>1</v>
      </c>
      <c r="AT1785" s="1194">
        <f t="shared" si="379"/>
        <v>1</v>
      </c>
      <c r="AU1785" s="1194" t="str">
        <f t="shared" si="381"/>
        <v>.</v>
      </c>
      <c r="AV1785" s="1194" t="str">
        <f t="shared" si="371"/>
        <v>.</v>
      </c>
      <c r="AW1785" s="1194" t="str">
        <f t="shared" si="380"/>
        <v>.</v>
      </c>
      <c r="AX1785" s="1194">
        <f>IFERROR(VLOOKUP(B1785,'Share, Heavy Weapons to Ukraine'!B:Z,COLUMN('Share, Heavy Weapons to Ukraine'!C1795)-1,0),0)</f>
        <v>1</v>
      </c>
      <c r="AY1785" s="1194">
        <f>VLOOKUP('Bilateral Assistance, MAIN DATA'!B1785,'Country Summary (€)'!B:F,COLUMN('Country Summary (€)'!C1796)-1,FALSE)</f>
        <v>0</v>
      </c>
      <c r="AZ1785" s="1194" t="str">
        <f>IF(AND(AD1785=1,D1785="Military",H1785&lt;&gt;"Not given")=TRUE,IF(SUMIFS(P:P,A:A,A1785)&gt;0,ABS((SUMIFS(P:P,A:A,A1785)/VLOOKUP("USD",'Exchange Rates'!B:C,2,0)))/S1785,"."),".")</f>
        <v>.</v>
      </c>
      <c r="BA1785" s="1196" t="str">
        <f>IF(AND(AD1785=1,D1785="Military",H1785&lt;&gt;"Not given")=TRUE,IF(SUMIFS(P:P,A:A,A1785)&gt;0,IF((ABS((SUMIFS(P:P,A:A,A1785)/VLOOKUP("USD",'Exchange Rates'!B:C,2,0)))/S1785)&gt;1,(SUMIFS(P:P,A:A,A1785)-S1785)/S1785,(S1785-SUMIFS(P:P,A:A,A1785))/SUMIFS(P:P,A:A,A1785)),"."),".")</f>
        <v>.</v>
      </c>
      <c r="BB1785" s="1208" t="s">
        <v>38</v>
      </c>
      <c r="BC1785" s="1208" t="s">
        <v>38</v>
      </c>
      <c r="BD1785" s="1208" t="s">
        <v>38</v>
      </c>
      <c r="BE1785" s="1208" t="s">
        <v>38</v>
      </c>
      <c r="BF1785" s="1208" t="s">
        <v>38</v>
      </c>
      <c r="BG1785" s="1208" t="s">
        <v>38</v>
      </c>
      <c r="BH1785" s="1208" t="s">
        <v>38</v>
      </c>
      <c r="BI1785" s="1208" t="s">
        <v>38</v>
      </c>
      <c r="BJ1785" s="1208" t="s">
        <v>38</v>
      </c>
      <c r="BK1785" s="1208" t="s">
        <v>38</v>
      </c>
      <c r="BL1785" s="1208" t="s">
        <v>38</v>
      </c>
      <c r="BM1785" s="1208" t="s">
        <v>38</v>
      </c>
      <c r="BN1785" s="1208" t="s">
        <v>38</v>
      </c>
      <c r="BO1785" s="1208" t="s">
        <v>38</v>
      </c>
      <c r="BP1785" s="1208" t="s">
        <v>38</v>
      </c>
      <c r="BQ1785" s="1208" t="s">
        <v>38</v>
      </c>
      <c r="BR1785" s="1208" t="s">
        <v>38</v>
      </c>
      <c r="BS1785" s="1208" t="s">
        <v>38</v>
      </c>
    </row>
    <row r="1786" spans="1:71" ht="15.95" customHeight="1">
      <c r="A1786" s="1208" t="s">
        <v>4310</v>
      </c>
      <c r="B1786" s="1208" t="s">
        <v>3949</v>
      </c>
      <c r="C1786" s="1209">
        <v>44960</v>
      </c>
      <c r="D1786" s="1208" t="s">
        <v>389</v>
      </c>
      <c r="E1786" s="1208" t="s">
        <v>390</v>
      </c>
      <c r="F1786" s="1208" t="s">
        <v>4329</v>
      </c>
      <c r="G1786" s="1184" t="s">
        <v>456</v>
      </c>
      <c r="H1786" s="1210">
        <v>425000000</v>
      </c>
      <c r="I1786" s="1208" t="s">
        <v>3137</v>
      </c>
      <c r="J1786" s="1186" t="str">
        <f>VLOOKUP($I1786,'Price List, Weapons &amp; Items'!B:C,2,0)</f>
        <v>Ammunition for heavy weapon</v>
      </c>
      <c r="K1786" s="1186" t="str">
        <f>IF(I1786=".",I1786,VLOOKUP($I1786,'Price List, Weapons &amp; Items'!B:D,3,0))</f>
        <v>Mortar ammunition</v>
      </c>
      <c r="L1786" s="1187">
        <f>VLOOKUP(I1786,'Price List, Weapons &amp; Items'!B:E,4,0)</f>
        <v>0</v>
      </c>
      <c r="M1786" s="1188" t="s">
        <v>374</v>
      </c>
      <c r="N1786" s="1188" t="s">
        <v>374</v>
      </c>
      <c r="O1786" s="1188">
        <f>VLOOKUP($I1786,'Price List, Weapons &amp; Items'!B:G,6,0)</f>
        <v>109.89</v>
      </c>
      <c r="P1786" s="1185" t="str">
        <f t="shared" si="372"/>
        <v>.</v>
      </c>
      <c r="Q1786" s="1185" t="str">
        <f t="shared" si="373"/>
        <v>.</v>
      </c>
      <c r="R1786" s="1185" t="str">
        <f t="shared" si="369"/>
        <v/>
      </c>
      <c r="S1786" s="1185" t="str">
        <f>IF(AND(AD1786=1,R1786&lt;&gt;".")=TRUE,R1786/VLOOKUP(G1786,'Exchange Rates'!B:C,2,0),IF(R1786=".",".",""))</f>
        <v/>
      </c>
      <c r="T1786" s="1185" t="str">
        <f>IF(AD1786=1,IF(AF1786="Value is not given at all",".",IF(AF1786="Value is given by the source",S1786,IF(AF1786="Value is calculated with prices",(IF(SUMIFS(Q:Q,A:A,A1786)&gt;0,SUMIFS(Q:Q,A:A,A1786),"."))/VLOOKUP("USD",'Exchange Rates'!B:C,2,0),"Error with coding"))),"")</f>
        <v/>
      </c>
      <c r="U1786" s="1191" t="s">
        <v>365</v>
      </c>
      <c r="V1786" s="983" t="s">
        <v>4330</v>
      </c>
      <c r="W1786" s="983" t="s">
        <v>3989</v>
      </c>
      <c r="X1786" s="1208" t="s">
        <v>364</v>
      </c>
      <c r="Y1786" s="1208" t="s">
        <v>364</v>
      </c>
      <c r="Z1786" s="1191">
        <v>0</v>
      </c>
      <c r="AA1786" s="1191">
        <v>0</v>
      </c>
      <c r="AB1786" s="1208" t="s">
        <v>364</v>
      </c>
      <c r="AC1786" s="1192" t="str">
        <f>""</f>
        <v/>
      </c>
      <c r="AD1786" s="1193">
        <v>0</v>
      </c>
      <c r="AE1786" s="1191" t="s">
        <v>368</v>
      </c>
      <c r="AF1786" s="1191" t="s">
        <v>369</v>
      </c>
      <c r="AG1786" s="1193">
        <v>1</v>
      </c>
      <c r="AH1786" s="1193">
        <v>14</v>
      </c>
      <c r="AI1786" s="1193">
        <v>0</v>
      </c>
      <c r="AJ1786" s="1193">
        <f>VLOOKUP($I1786,'Price List, Weapons &amp; Items'!B:F,5,0)</f>
        <v>0</v>
      </c>
      <c r="AK1786" s="1193">
        <f t="shared" si="374"/>
        <v>0</v>
      </c>
      <c r="AL1786" s="1193">
        <f t="shared" si="375"/>
        <v>0</v>
      </c>
      <c r="AM1786" s="1193">
        <f t="shared" si="376"/>
        <v>0</v>
      </c>
      <c r="AN1786" s="1194" t="str">
        <f>VLOOKUP($I1786,'Price List, Weapons &amp; Items'!B:L,COLUMN('Price List, Weapons &amp; Items'!$J$11)-1,0)</f>
        <v>Government information</v>
      </c>
      <c r="AO1786" s="1194" t="str">
        <f>IF(I1786=".",".",VLOOKUP($I1786,'Price List, Weapons &amp; Items'!B:J,3,0))</f>
        <v>Mortar ammunition</v>
      </c>
      <c r="AP1786" s="1195" t="str">
        <f t="shared" ca="1" si="370"/>
        <v/>
      </c>
      <c r="AQ1786" s="1194">
        <f>VLOOKUP($I1786,'Price List, Weapons &amp; Items'!B:L,COLUMN('Price List, Weapons &amp; Items'!$L$11)-1,0)</f>
        <v>2</v>
      </c>
      <c r="AR1786" s="1194">
        <f t="shared" si="377"/>
        <v>1</v>
      </c>
      <c r="AS1786" s="1194">
        <f t="shared" si="378"/>
        <v>1</v>
      </c>
      <c r="AT1786" s="1194">
        <f t="shared" si="379"/>
        <v>1</v>
      </c>
      <c r="AU1786" s="1194" t="str">
        <f t="shared" si="381"/>
        <v>.</v>
      </c>
      <c r="AV1786" s="1194" t="str">
        <f t="shared" si="371"/>
        <v>.</v>
      </c>
      <c r="AW1786" s="1194" t="str">
        <f t="shared" si="380"/>
        <v>.</v>
      </c>
      <c r="AX1786" s="1194">
        <f>IFERROR(VLOOKUP(B1786,'Share, Heavy Weapons to Ukraine'!B:Z,COLUMN('Share, Heavy Weapons to Ukraine'!C1796)-1,0),0)</f>
        <v>1</v>
      </c>
      <c r="AY1786" s="1194">
        <f>VLOOKUP('Bilateral Assistance, MAIN DATA'!B1786,'Country Summary (€)'!B:F,COLUMN('Country Summary (€)'!C1797)-1,FALSE)</f>
        <v>0</v>
      </c>
      <c r="AZ1786" s="1194" t="str">
        <f>IF(AND(AD1786=1,D1786="Military",H1786&lt;&gt;"Not given")=TRUE,IF(SUMIFS(P:P,A:A,A1786)&gt;0,ABS((SUMIFS(P:P,A:A,A1786)/VLOOKUP("USD",'Exchange Rates'!B:C,2,0)))/S1786,"."),".")</f>
        <v>.</v>
      </c>
      <c r="BA1786" s="1196" t="str">
        <f>IF(AND(AD1786=1,D1786="Military",H1786&lt;&gt;"Not given")=TRUE,IF(SUMIFS(P:P,A:A,A1786)&gt;0,IF((ABS((SUMIFS(P:P,A:A,A1786)/VLOOKUP("USD",'Exchange Rates'!B:C,2,0)))/S1786)&gt;1,(SUMIFS(P:P,A:A,A1786)-S1786)/S1786,(S1786-SUMIFS(P:P,A:A,A1786))/SUMIFS(P:P,A:A,A1786)),"."),".")</f>
        <v>.</v>
      </c>
      <c r="BB1786" s="1208" t="s">
        <v>38</v>
      </c>
      <c r="BC1786" s="1208" t="s">
        <v>38</v>
      </c>
      <c r="BD1786" s="1208" t="s">
        <v>38</v>
      </c>
      <c r="BE1786" s="1208" t="s">
        <v>38</v>
      </c>
      <c r="BF1786" s="1208" t="s">
        <v>38</v>
      </c>
      <c r="BG1786" s="1208" t="s">
        <v>38</v>
      </c>
      <c r="BH1786" s="1208" t="s">
        <v>38</v>
      </c>
      <c r="BI1786" s="1208" t="s">
        <v>38</v>
      </c>
      <c r="BJ1786" s="1208" t="s">
        <v>38</v>
      </c>
      <c r="BK1786" s="1208" t="s">
        <v>38</v>
      </c>
      <c r="BL1786" s="1208" t="s">
        <v>38</v>
      </c>
      <c r="BM1786" s="1208" t="s">
        <v>38</v>
      </c>
      <c r="BN1786" s="1208" t="s">
        <v>38</v>
      </c>
      <c r="BO1786" s="1208" t="s">
        <v>38</v>
      </c>
      <c r="BP1786" s="1208" t="s">
        <v>38</v>
      </c>
      <c r="BQ1786" s="1208" t="s">
        <v>38</v>
      </c>
      <c r="BR1786" s="1208" t="s">
        <v>38</v>
      </c>
      <c r="BS1786" s="1208" t="s">
        <v>38</v>
      </c>
    </row>
    <row r="1787" spans="1:71" ht="15.95" customHeight="1">
      <c r="A1787" s="1208" t="s">
        <v>4310</v>
      </c>
      <c r="B1787" s="1208" t="s">
        <v>3949</v>
      </c>
      <c r="C1787" s="1209">
        <v>44960</v>
      </c>
      <c r="D1787" s="1208" t="s">
        <v>389</v>
      </c>
      <c r="E1787" s="1208" t="s">
        <v>390</v>
      </c>
      <c r="F1787" s="1208" t="s">
        <v>4329</v>
      </c>
      <c r="G1787" s="1184" t="s">
        <v>456</v>
      </c>
      <c r="H1787" s="1210">
        <v>425000000</v>
      </c>
      <c r="I1787" s="1208" t="s">
        <v>1289</v>
      </c>
      <c r="J1787" s="1186" t="str">
        <f>VLOOKUP($I1787,'Price List, Weapons &amp; Items'!B:C,2,0)</f>
        <v>Light armaments &amp; infantry</v>
      </c>
      <c r="K1787" s="1186" t="str">
        <f>IF(I1787=".",I1787,VLOOKUP($I1787,'Price List, Weapons &amp; Items'!B:D,3,0))</f>
        <v>Small Arms and Light Weapons (SALW)</v>
      </c>
      <c r="L1787" s="1187">
        <f>VLOOKUP(I1787,'Price List, Weapons &amp; Items'!B:E,4,0)</f>
        <v>0</v>
      </c>
      <c r="M1787" s="1188">
        <v>190</v>
      </c>
      <c r="N1787" s="1188" t="s">
        <v>374</v>
      </c>
      <c r="O1787" s="1188">
        <f>VLOOKUP($I1787,'Price List, Weapons &amp; Items'!B:G,6,0)</f>
        <v>5300</v>
      </c>
      <c r="P1787" s="1185">
        <f t="shared" si="372"/>
        <v>1007000</v>
      </c>
      <c r="Q1787" s="1185" t="str">
        <f t="shared" si="373"/>
        <v>.</v>
      </c>
      <c r="R1787" s="1185" t="str">
        <f t="shared" si="369"/>
        <v/>
      </c>
      <c r="S1787" s="1185" t="str">
        <f>IF(AND(AD1787=1,R1787&lt;&gt;".")=TRUE,R1787/VLOOKUP(G1787,'Exchange Rates'!B:C,2,0),IF(R1787=".",".",""))</f>
        <v/>
      </c>
      <c r="T1787" s="1185" t="str">
        <f>IF(AD1787=1,IF(AF1787="Value is not given at all",".",IF(AF1787="Value is given by the source",S1787,IF(AF1787="Value is calculated with prices",(IF(SUMIFS(Q:Q,A:A,A1787)&gt;0,SUMIFS(Q:Q,A:A,A1787),"."))/VLOOKUP("USD",'Exchange Rates'!B:C,2,0),"Error with coding"))),"")</f>
        <v/>
      </c>
      <c r="U1787" s="1191" t="s">
        <v>365</v>
      </c>
      <c r="V1787" s="983" t="s">
        <v>4330</v>
      </c>
      <c r="W1787" s="983" t="s">
        <v>3989</v>
      </c>
      <c r="X1787" s="1208" t="s">
        <v>364</v>
      </c>
      <c r="Y1787" s="1208" t="s">
        <v>364</v>
      </c>
      <c r="Z1787" s="1191">
        <v>0</v>
      </c>
      <c r="AA1787" s="1191">
        <v>0</v>
      </c>
      <c r="AB1787" s="1208" t="s">
        <v>364</v>
      </c>
      <c r="AC1787" s="1192" t="str">
        <f>""</f>
        <v/>
      </c>
      <c r="AD1787" s="1193">
        <v>0</v>
      </c>
      <c r="AE1787" s="1191" t="s">
        <v>368</v>
      </c>
      <c r="AF1787" s="1191" t="s">
        <v>369</v>
      </c>
      <c r="AG1787" s="1193">
        <v>1</v>
      </c>
      <c r="AH1787" s="1193">
        <v>14</v>
      </c>
      <c r="AI1787" s="1193">
        <v>0</v>
      </c>
      <c r="AJ1787" s="1193">
        <f>VLOOKUP($I1787,'Price List, Weapons &amp; Items'!B:F,5,0)</f>
        <v>0</v>
      </c>
      <c r="AK1787" s="1193">
        <f t="shared" si="374"/>
        <v>0</v>
      </c>
      <c r="AL1787" s="1193">
        <f t="shared" si="375"/>
        <v>0</v>
      </c>
      <c r="AM1787" s="1193">
        <f t="shared" si="376"/>
        <v>0</v>
      </c>
      <c r="AN1787" s="1194" t="str">
        <f>VLOOKUP($I1787,'Price List, Weapons &amp; Items'!B:L,COLUMN('Price List, Weapons &amp; Items'!$J$11)-1,0)</f>
        <v>Miscellaneous</v>
      </c>
      <c r="AO1787" s="1194" t="str">
        <f>IF(I1787=".",".",VLOOKUP($I1787,'Price List, Weapons &amp; Items'!B:J,3,0))</f>
        <v>Small Arms and Light Weapons (SALW)</v>
      </c>
      <c r="AP1787" s="1195" t="str">
        <f t="shared" ca="1" si="370"/>
        <v/>
      </c>
      <c r="AQ1787" s="1194">
        <f>VLOOKUP($I1787,'Price List, Weapons &amp; Items'!B:L,COLUMN('Price List, Weapons &amp; Items'!$L$11)-1,0)</f>
        <v>2</v>
      </c>
      <c r="AR1787" s="1194">
        <f t="shared" si="377"/>
        <v>1</v>
      </c>
      <c r="AS1787" s="1194">
        <f t="shared" si="378"/>
        <v>1</v>
      </c>
      <c r="AT1787" s="1194">
        <f t="shared" si="379"/>
        <v>1</v>
      </c>
      <c r="AU1787" s="1194" t="str">
        <f t="shared" si="381"/>
        <v>.</v>
      </c>
      <c r="AV1787" s="1194" t="str">
        <f t="shared" si="371"/>
        <v>.</v>
      </c>
      <c r="AW1787" s="1194" t="str">
        <f t="shared" si="380"/>
        <v>.</v>
      </c>
      <c r="AX1787" s="1194">
        <f>IFERROR(VLOOKUP(B1787,'Share, Heavy Weapons to Ukraine'!B:Z,COLUMN('Share, Heavy Weapons to Ukraine'!C1797)-1,0),0)</f>
        <v>1</v>
      </c>
      <c r="AY1787" s="1194">
        <f>VLOOKUP('Bilateral Assistance, MAIN DATA'!B1787,'Country Summary (€)'!B:F,COLUMN('Country Summary (€)'!C1798)-1,FALSE)</f>
        <v>0</v>
      </c>
      <c r="AZ1787" s="1194" t="str">
        <f>IF(AND(AD1787=1,D1787="Military",H1787&lt;&gt;"Not given")=TRUE,IF(SUMIFS(P:P,A:A,A1787)&gt;0,ABS((SUMIFS(P:P,A:A,A1787)/VLOOKUP("USD",'Exchange Rates'!B:C,2,0)))/S1787,"."),".")</f>
        <v>.</v>
      </c>
      <c r="BA1787" s="1196" t="str">
        <f>IF(AND(AD1787=1,D1787="Military",H1787&lt;&gt;"Not given")=TRUE,IF(SUMIFS(P:P,A:A,A1787)&gt;0,IF((ABS((SUMIFS(P:P,A:A,A1787)/VLOOKUP("USD",'Exchange Rates'!B:C,2,0)))/S1787)&gt;1,(SUMIFS(P:P,A:A,A1787)-S1787)/S1787,(S1787-SUMIFS(P:P,A:A,A1787))/SUMIFS(P:P,A:A,A1787)),"."),".")</f>
        <v>.</v>
      </c>
      <c r="BB1787" s="1208" t="s">
        <v>38</v>
      </c>
      <c r="BC1787" s="1208" t="s">
        <v>38</v>
      </c>
      <c r="BD1787" s="1208" t="s">
        <v>38</v>
      </c>
      <c r="BE1787" s="1208" t="s">
        <v>38</v>
      </c>
      <c r="BF1787" s="1208" t="s">
        <v>38</v>
      </c>
      <c r="BG1787" s="1208" t="s">
        <v>38</v>
      </c>
      <c r="BH1787" s="1208" t="s">
        <v>38</v>
      </c>
      <c r="BI1787" s="1208" t="s">
        <v>38</v>
      </c>
      <c r="BJ1787" s="1208" t="s">
        <v>38</v>
      </c>
      <c r="BK1787" s="1208" t="s">
        <v>38</v>
      </c>
      <c r="BL1787" s="1208" t="s">
        <v>38</v>
      </c>
      <c r="BM1787" s="1208" t="s">
        <v>38</v>
      </c>
      <c r="BN1787" s="1208" t="s">
        <v>38</v>
      </c>
      <c r="BO1787" s="1208" t="s">
        <v>38</v>
      </c>
      <c r="BP1787" s="1208" t="s">
        <v>38</v>
      </c>
      <c r="BQ1787" s="1208" t="s">
        <v>38</v>
      </c>
      <c r="BR1787" s="1208" t="s">
        <v>38</v>
      </c>
      <c r="BS1787" s="1208" t="s">
        <v>38</v>
      </c>
    </row>
    <row r="1788" spans="1:71" ht="15.95" customHeight="1">
      <c r="A1788" s="1208" t="s">
        <v>4310</v>
      </c>
      <c r="B1788" s="1208" t="s">
        <v>3949</v>
      </c>
      <c r="C1788" s="1209">
        <v>44960</v>
      </c>
      <c r="D1788" s="1208" t="s">
        <v>389</v>
      </c>
      <c r="E1788" s="1208" t="s">
        <v>390</v>
      </c>
      <c r="F1788" s="1208" t="s">
        <v>4329</v>
      </c>
      <c r="G1788" s="1184" t="s">
        <v>456</v>
      </c>
      <c r="H1788" s="1210">
        <v>425000000</v>
      </c>
      <c r="I1788" s="1208" t="s">
        <v>602</v>
      </c>
      <c r="J1788" s="1186" t="str">
        <f>VLOOKUP($I1788,'Price List, Weapons &amp; Items'!B:C,2,0)</f>
        <v>Ammunition</v>
      </c>
      <c r="K1788" s="1186" t="str">
        <f>IF(I1788=".",I1788,VLOOKUP($I1788,'Price List, Weapons &amp; Items'!B:D,3,0))</f>
        <v>Military equipment</v>
      </c>
      <c r="L1788" s="1187">
        <f>VLOOKUP(I1788,'Price List, Weapons &amp; Items'!B:E,4,0)</f>
        <v>0</v>
      </c>
      <c r="M1788" s="1188" t="s">
        <v>374</v>
      </c>
      <c r="N1788" s="1188" t="s">
        <v>374</v>
      </c>
      <c r="O1788" s="1188" t="str">
        <f>VLOOKUP($I1788,'Price List, Weapons &amp; Items'!B:G,6,0)</f>
        <v>.</v>
      </c>
      <c r="P1788" s="1185" t="str">
        <f t="shared" si="372"/>
        <v>.</v>
      </c>
      <c r="Q1788" s="1185" t="str">
        <f t="shared" si="373"/>
        <v>.</v>
      </c>
      <c r="R1788" s="1185" t="str">
        <f t="shared" si="369"/>
        <v/>
      </c>
      <c r="S1788" s="1185" t="str">
        <f>IF(AND(AD1788=1,R1788&lt;&gt;".")=TRUE,R1788/VLOOKUP(G1788,'Exchange Rates'!B:C,2,0),IF(R1788=".",".",""))</f>
        <v/>
      </c>
      <c r="T1788" s="1185" t="str">
        <f>IF(AD1788=1,IF(AF1788="Value is not given at all",".",IF(AF1788="Value is given by the source",S1788,IF(AF1788="Value is calculated with prices",(IF(SUMIFS(Q:Q,A:A,A1788)&gt;0,SUMIFS(Q:Q,A:A,A1788),"."))/VLOOKUP("USD",'Exchange Rates'!B:C,2,0),"Error with coding"))),"")</f>
        <v/>
      </c>
      <c r="U1788" s="1191" t="s">
        <v>365</v>
      </c>
      <c r="V1788" s="983" t="s">
        <v>4330</v>
      </c>
      <c r="W1788" s="983" t="s">
        <v>3989</v>
      </c>
      <c r="X1788" s="1208" t="s">
        <v>364</v>
      </c>
      <c r="Y1788" s="1208" t="s">
        <v>364</v>
      </c>
      <c r="Z1788" s="1191">
        <v>0</v>
      </c>
      <c r="AA1788" s="1191">
        <v>0</v>
      </c>
      <c r="AB1788" s="1208" t="s">
        <v>364</v>
      </c>
      <c r="AC1788" s="1192" t="str">
        <f>""</f>
        <v/>
      </c>
      <c r="AD1788" s="1193">
        <v>0</v>
      </c>
      <c r="AE1788" s="1191" t="s">
        <v>368</v>
      </c>
      <c r="AF1788" s="1191" t="s">
        <v>369</v>
      </c>
      <c r="AG1788" s="1193">
        <v>1</v>
      </c>
      <c r="AH1788" s="1193">
        <v>14</v>
      </c>
      <c r="AI1788" s="1193">
        <v>0</v>
      </c>
      <c r="AJ1788" s="1193">
        <f>VLOOKUP($I1788,'Price List, Weapons &amp; Items'!B:F,5,0)</f>
        <v>0</v>
      </c>
      <c r="AK1788" s="1193">
        <f t="shared" si="374"/>
        <v>0</v>
      </c>
      <c r="AL1788" s="1193">
        <f t="shared" si="375"/>
        <v>0</v>
      </c>
      <c r="AM1788" s="1193">
        <f t="shared" si="376"/>
        <v>1</v>
      </c>
      <c r="AN1788" s="1194" t="str">
        <f>VLOOKUP($I1788,'Price List, Weapons &amp; Items'!B:L,COLUMN('Price List, Weapons &amp; Items'!$J$11)-1,0)</f>
        <v>.</v>
      </c>
      <c r="AO1788" s="1194" t="str">
        <f>IF(I1788=".",".",VLOOKUP($I1788,'Price List, Weapons &amp; Items'!B:J,3,0))</f>
        <v>Military equipment</v>
      </c>
      <c r="AP1788" s="1195" t="str">
        <f t="shared" ca="1" si="370"/>
        <v/>
      </c>
      <c r="AQ1788" s="1194">
        <f>VLOOKUP($I1788,'Price List, Weapons &amp; Items'!B:L,COLUMN('Price List, Weapons &amp; Items'!$L$11)-1,0)</f>
        <v>0</v>
      </c>
      <c r="AR1788" s="1194">
        <f t="shared" si="377"/>
        <v>1</v>
      </c>
      <c r="AS1788" s="1194">
        <f t="shared" si="378"/>
        <v>1</v>
      </c>
      <c r="AT1788" s="1194">
        <f t="shared" si="379"/>
        <v>1</v>
      </c>
      <c r="AU1788" s="1194" t="str">
        <f t="shared" si="381"/>
        <v>.</v>
      </c>
      <c r="AV1788" s="1194" t="str">
        <f t="shared" si="371"/>
        <v>.</v>
      </c>
      <c r="AW1788" s="1194" t="str">
        <f t="shared" si="380"/>
        <v>.</v>
      </c>
      <c r="AX1788" s="1194">
        <f>IFERROR(VLOOKUP(B1788,'Share, Heavy Weapons to Ukraine'!B:Z,COLUMN('Share, Heavy Weapons to Ukraine'!C1798)-1,0),0)</f>
        <v>1</v>
      </c>
      <c r="AY1788" s="1194">
        <f>VLOOKUP('Bilateral Assistance, MAIN DATA'!B1788,'Country Summary (€)'!B:F,COLUMN('Country Summary (€)'!C1799)-1,FALSE)</f>
        <v>0</v>
      </c>
      <c r="AZ1788" s="1194" t="str">
        <f>IF(AND(AD1788=1,D1788="Military",H1788&lt;&gt;"Not given")=TRUE,IF(SUMIFS(P:P,A:A,A1788)&gt;0,ABS((SUMIFS(P:P,A:A,A1788)/VLOOKUP("USD",'Exchange Rates'!B:C,2,0)))/S1788,"."),".")</f>
        <v>.</v>
      </c>
      <c r="BA1788" s="1196" t="str">
        <f>IF(AND(AD1788=1,D1788="Military",H1788&lt;&gt;"Not given")=TRUE,IF(SUMIFS(P:P,A:A,A1788)&gt;0,IF((ABS((SUMIFS(P:P,A:A,A1788)/VLOOKUP("USD",'Exchange Rates'!B:C,2,0)))/S1788)&gt;1,(SUMIFS(P:P,A:A,A1788)-S1788)/S1788,(S1788-SUMIFS(P:P,A:A,A1788))/SUMIFS(P:P,A:A,A1788)),"."),".")</f>
        <v>.</v>
      </c>
      <c r="BB1788" s="1208" t="s">
        <v>38</v>
      </c>
      <c r="BC1788" s="1208" t="s">
        <v>38</v>
      </c>
      <c r="BD1788" s="1208" t="s">
        <v>38</v>
      </c>
      <c r="BE1788" s="1208" t="s">
        <v>38</v>
      </c>
      <c r="BF1788" s="1208" t="s">
        <v>38</v>
      </c>
      <c r="BG1788" s="1208" t="s">
        <v>38</v>
      </c>
      <c r="BH1788" s="1208" t="s">
        <v>38</v>
      </c>
      <c r="BI1788" s="1208" t="s">
        <v>38</v>
      </c>
      <c r="BJ1788" s="1208" t="s">
        <v>38</v>
      </c>
      <c r="BK1788" s="1208" t="s">
        <v>38</v>
      </c>
      <c r="BL1788" s="1208" t="s">
        <v>38</v>
      </c>
      <c r="BM1788" s="1208" t="s">
        <v>38</v>
      </c>
      <c r="BN1788" s="1208" t="s">
        <v>38</v>
      </c>
      <c r="BO1788" s="1208" t="s">
        <v>38</v>
      </c>
      <c r="BP1788" s="1208" t="s">
        <v>38</v>
      </c>
      <c r="BQ1788" s="1208" t="s">
        <v>38</v>
      </c>
      <c r="BR1788" s="1208" t="s">
        <v>38</v>
      </c>
      <c r="BS1788" s="1208" t="s">
        <v>38</v>
      </c>
    </row>
    <row r="1789" spans="1:71" ht="15.95" customHeight="1">
      <c r="A1789" s="1208" t="s">
        <v>4310</v>
      </c>
      <c r="B1789" s="1208" t="s">
        <v>3949</v>
      </c>
      <c r="C1789" s="1209">
        <v>44960</v>
      </c>
      <c r="D1789" s="1208" t="s">
        <v>389</v>
      </c>
      <c r="E1789" s="1208" t="s">
        <v>390</v>
      </c>
      <c r="F1789" s="1208" t="s">
        <v>4329</v>
      </c>
      <c r="G1789" s="1184" t="s">
        <v>456</v>
      </c>
      <c r="H1789" s="1210">
        <v>425000000</v>
      </c>
      <c r="I1789" s="1208" t="s">
        <v>4159</v>
      </c>
      <c r="J1789" s="1186" t="str">
        <f>VLOOKUP($I1789,'Price List, Weapons &amp; Items'!B:C,2,0)</f>
        <v>Heavy Weapon</v>
      </c>
      <c r="K1789" s="1186" t="str">
        <f>IF(I1789=".",I1789,VLOOKUP($I1789,'Price List, Weapons &amp; Items'!B:D,3,0))</f>
        <v>Armored Utility Vehicle (AUV)</v>
      </c>
      <c r="L1789" s="1187">
        <f>VLOOKUP(I1789,'Price List, Weapons &amp; Items'!B:E,4,0)</f>
        <v>0</v>
      </c>
      <c r="M1789" s="1241">
        <v>181</v>
      </c>
      <c r="N1789" s="1188" t="s">
        <v>374</v>
      </c>
      <c r="O1789" s="1188">
        <f>VLOOKUP($I1789,'Price List, Weapons &amp; Items'!B:G,6,0)</f>
        <v>405530</v>
      </c>
      <c r="P1789" s="1185">
        <f t="shared" si="372"/>
        <v>73400930</v>
      </c>
      <c r="Q1789" s="1185" t="str">
        <f t="shared" si="373"/>
        <v>.</v>
      </c>
      <c r="R1789" s="1185" t="str">
        <f t="shared" si="369"/>
        <v/>
      </c>
      <c r="S1789" s="1185" t="str">
        <f>IF(AND(AD1789=1,R1789&lt;&gt;".")=TRUE,R1789/VLOOKUP(G1789,'Exchange Rates'!B:C,2,0),IF(R1789=".",".",""))</f>
        <v/>
      </c>
      <c r="T1789" s="1185" t="str">
        <f>IF(AD1789=1,IF(AF1789="Value is not given at all",".",IF(AF1789="Value is given by the source",S1789,IF(AF1789="Value is calculated with prices",(IF(SUMIFS(Q:Q,A:A,A1789)&gt;0,SUMIFS(Q:Q,A:A,A1789),"."))/VLOOKUP("USD",'Exchange Rates'!B:C,2,0),"Error with coding"))),"")</f>
        <v/>
      </c>
      <c r="U1789" s="1191" t="s">
        <v>365</v>
      </c>
      <c r="V1789" s="983" t="s">
        <v>4330</v>
      </c>
      <c r="W1789" s="983" t="s">
        <v>3989</v>
      </c>
      <c r="X1789" s="1208" t="s">
        <v>364</v>
      </c>
      <c r="Y1789" s="1208" t="s">
        <v>364</v>
      </c>
      <c r="Z1789" s="1191">
        <v>0</v>
      </c>
      <c r="AA1789" s="1191">
        <v>0</v>
      </c>
      <c r="AB1789" s="1208" t="s">
        <v>364</v>
      </c>
      <c r="AC1789" s="1192" t="str">
        <f>""</f>
        <v/>
      </c>
      <c r="AD1789" s="1193">
        <v>0</v>
      </c>
      <c r="AE1789" s="1191" t="s">
        <v>368</v>
      </c>
      <c r="AF1789" s="1191" t="s">
        <v>369</v>
      </c>
      <c r="AG1789" s="1193">
        <v>1</v>
      </c>
      <c r="AH1789" s="1193">
        <v>14</v>
      </c>
      <c r="AI1789" s="1193">
        <v>0</v>
      </c>
      <c r="AJ1789" s="1193">
        <f>VLOOKUP($I1789,'Price List, Weapons &amp; Items'!B:F,5,0)</f>
        <v>1</v>
      </c>
      <c r="AK1789" s="1193">
        <f t="shared" si="374"/>
        <v>0</v>
      </c>
      <c r="AL1789" s="1193">
        <f t="shared" si="375"/>
        <v>1</v>
      </c>
      <c r="AM1789" s="1193">
        <f t="shared" si="376"/>
        <v>0</v>
      </c>
      <c r="AN1789" s="1194" t="str">
        <f>VLOOKUP($I1789,'Price List, Weapons &amp; Items'!B:L,COLUMN('Price List, Weapons &amp; Items'!$J$11)-1,0)</f>
        <v>Contract</v>
      </c>
      <c r="AO1789" s="1194" t="str">
        <f>IF(I1789=".",".",VLOOKUP($I1789,'Price List, Weapons &amp; Items'!B:J,3,0))</f>
        <v>Armored Utility Vehicle (AUV)</v>
      </c>
      <c r="AP1789" s="1195" t="str">
        <f t="shared" ca="1" si="370"/>
        <v/>
      </c>
      <c r="AQ1789" s="1194">
        <f>VLOOKUP($I1789,'Price List, Weapons &amp; Items'!B:L,COLUMN('Price List, Weapons &amp; Items'!$L$11)-1,0)</f>
        <v>2</v>
      </c>
      <c r="AR1789" s="1194">
        <f t="shared" si="377"/>
        <v>1</v>
      </c>
      <c r="AS1789" s="1194">
        <f t="shared" si="378"/>
        <v>1</v>
      </c>
      <c r="AT1789" s="1194">
        <f t="shared" si="379"/>
        <v>1</v>
      </c>
      <c r="AU1789" s="1194" t="str">
        <f t="shared" si="381"/>
        <v>.</v>
      </c>
      <c r="AV1789" s="1194" t="str">
        <f t="shared" si="371"/>
        <v>.</v>
      </c>
      <c r="AW1789" s="1194" t="str">
        <f t="shared" si="380"/>
        <v>.</v>
      </c>
      <c r="AX1789" s="1194">
        <f>IFERROR(VLOOKUP(B1789,'Share, Heavy Weapons to Ukraine'!B:Z,COLUMN('Share, Heavy Weapons to Ukraine'!C1799)-1,0),0)</f>
        <v>1</v>
      </c>
      <c r="AY1789" s="1194">
        <f>VLOOKUP('Bilateral Assistance, MAIN DATA'!B1789,'Country Summary (€)'!B:F,COLUMN('Country Summary (€)'!C1800)-1,FALSE)</f>
        <v>0</v>
      </c>
      <c r="AZ1789" s="1194" t="str">
        <f>IF(AND(AD1789=1,D1789="Military",H1789&lt;&gt;"Not given")=TRUE,IF(SUMIFS(P:P,A:A,A1789)&gt;0,ABS((SUMIFS(P:P,A:A,A1789)/VLOOKUP("USD",'Exchange Rates'!B:C,2,0)))/S1789,"."),".")</f>
        <v>.</v>
      </c>
      <c r="BA1789" s="1196" t="str">
        <f>IF(AND(AD1789=1,D1789="Military",H1789&lt;&gt;"Not given")=TRUE,IF(SUMIFS(P:P,A:A,A1789)&gt;0,IF((ABS((SUMIFS(P:P,A:A,A1789)/VLOOKUP("USD",'Exchange Rates'!B:C,2,0)))/S1789)&gt;1,(SUMIFS(P:P,A:A,A1789)-S1789)/S1789,(S1789-SUMIFS(P:P,A:A,A1789))/SUMIFS(P:P,A:A,A1789)),"."),".")</f>
        <v>.</v>
      </c>
      <c r="BB1789" s="1208" t="s">
        <v>38</v>
      </c>
      <c r="BC1789" s="1208" t="s">
        <v>38</v>
      </c>
      <c r="BD1789" s="1208" t="s">
        <v>38</v>
      </c>
      <c r="BE1789" s="1208" t="s">
        <v>38</v>
      </c>
      <c r="BF1789" s="1208" t="s">
        <v>38</v>
      </c>
      <c r="BG1789" s="1208" t="s">
        <v>38</v>
      </c>
      <c r="BH1789" s="1208" t="s">
        <v>38</v>
      </c>
      <c r="BI1789" s="1208" t="s">
        <v>38</v>
      </c>
      <c r="BJ1789" s="1208" t="s">
        <v>38</v>
      </c>
      <c r="BK1789" s="1208" t="s">
        <v>38</v>
      </c>
      <c r="BL1789" s="1208" t="s">
        <v>38</v>
      </c>
      <c r="BM1789" s="1208" t="s">
        <v>38</v>
      </c>
      <c r="BN1789" s="1208" t="s">
        <v>38</v>
      </c>
      <c r="BO1789" s="1208" t="s">
        <v>38</v>
      </c>
      <c r="BP1789" s="1208" t="s">
        <v>38</v>
      </c>
      <c r="BQ1789" s="1208" t="s">
        <v>38</v>
      </c>
      <c r="BR1789" s="1208" t="s">
        <v>38</v>
      </c>
      <c r="BS1789" s="1208" t="s">
        <v>38</v>
      </c>
    </row>
    <row r="1790" spans="1:71" ht="15.95" customHeight="1">
      <c r="A1790" s="1208" t="s">
        <v>4310</v>
      </c>
      <c r="B1790" s="1208" t="s">
        <v>3949</v>
      </c>
      <c r="C1790" s="1209">
        <v>44960</v>
      </c>
      <c r="D1790" s="1208" t="s">
        <v>389</v>
      </c>
      <c r="E1790" s="1208" t="s">
        <v>390</v>
      </c>
      <c r="F1790" s="1208" t="s">
        <v>4329</v>
      </c>
      <c r="G1790" s="1184" t="s">
        <v>456</v>
      </c>
      <c r="H1790" s="1210">
        <v>425000000</v>
      </c>
      <c r="I1790" s="1208" t="s">
        <v>4166</v>
      </c>
      <c r="J1790" s="1186" t="str">
        <f>VLOOKUP($I1790,'Price List, Weapons &amp; Items'!B:C,2,0)</f>
        <v>Portable defence system</v>
      </c>
      <c r="K1790" s="1186" t="str">
        <f>IF(I1790=".",I1790,VLOOKUP($I1790,'Price List, Weapons &amp; Items'!B:D,3,0))</f>
        <v>Light Anti-armor Weapon (LAW)</v>
      </c>
      <c r="L1790" s="1187">
        <f>VLOOKUP(I1790,'Price List, Weapons &amp; Items'!B:E,4,0)</f>
        <v>0</v>
      </c>
      <c r="M1790" s="1241">
        <v>250</v>
      </c>
      <c r="N1790" s="1188" t="s">
        <v>374</v>
      </c>
      <c r="O1790" s="1188">
        <f>VLOOKUP($I1790,'Price List, Weapons &amp; Items'!B:G,6,0)</f>
        <v>246216</v>
      </c>
      <c r="P1790" s="1185">
        <f t="shared" si="372"/>
        <v>61554000</v>
      </c>
      <c r="Q1790" s="1185" t="str">
        <f t="shared" si="373"/>
        <v>.</v>
      </c>
      <c r="R1790" s="1185" t="str">
        <f t="shared" si="369"/>
        <v/>
      </c>
      <c r="S1790" s="1185" t="str">
        <f>IF(AND(AD1790=1,R1790&lt;&gt;".")=TRUE,R1790/VLOOKUP(G1790,'Exchange Rates'!B:C,2,0),IF(R1790=".",".",""))</f>
        <v/>
      </c>
      <c r="T1790" s="1185" t="str">
        <f>IF(AD1790=1,IF(AF1790="Value is not given at all",".",IF(AF1790="Value is given by the source",S1790,IF(AF1790="Value is calculated with prices",(IF(SUMIFS(Q:Q,A:A,A1790)&gt;0,SUMIFS(Q:Q,A:A,A1790),"."))/VLOOKUP("USD",'Exchange Rates'!B:C,2,0),"Error with coding"))),"")</f>
        <v/>
      </c>
      <c r="U1790" s="1191" t="s">
        <v>365</v>
      </c>
      <c r="V1790" s="983" t="s">
        <v>4330</v>
      </c>
      <c r="W1790" s="983" t="s">
        <v>3989</v>
      </c>
      <c r="X1790" s="1208" t="s">
        <v>364</v>
      </c>
      <c r="Y1790" s="1208" t="s">
        <v>364</v>
      </c>
      <c r="Z1790" s="1191">
        <v>0</v>
      </c>
      <c r="AA1790" s="1191">
        <v>0</v>
      </c>
      <c r="AB1790" s="1208" t="s">
        <v>364</v>
      </c>
      <c r="AC1790" s="1192" t="str">
        <f>""</f>
        <v/>
      </c>
      <c r="AD1790" s="1193">
        <v>0</v>
      </c>
      <c r="AE1790" s="1191" t="s">
        <v>368</v>
      </c>
      <c r="AF1790" s="1191" t="s">
        <v>369</v>
      </c>
      <c r="AG1790" s="1193">
        <v>1</v>
      </c>
      <c r="AH1790" s="1193">
        <v>14</v>
      </c>
      <c r="AI1790" s="1193">
        <v>0</v>
      </c>
      <c r="AJ1790" s="1193">
        <f>VLOOKUP($I1790,'Price List, Weapons &amp; Items'!B:F,5,0)</f>
        <v>0</v>
      </c>
      <c r="AK1790" s="1193">
        <f t="shared" si="374"/>
        <v>0</v>
      </c>
      <c r="AL1790" s="1193">
        <f t="shared" si="375"/>
        <v>0</v>
      </c>
      <c r="AM1790" s="1193">
        <f t="shared" si="376"/>
        <v>0</v>
      </c>
      <c r="AN1790" s="1194" t="str">
        <f>VLOOKUP($I1790,'Price List, Weapons &amp; Items'!B:L,COLUMN('Price List, Weapons &amp; Items'!$J$11)-1,0)</f>
        <v>Government information</v>
      </c>
      <c r="AO1790" s="1194" t="str">
        <f>IF(I1790=".",".",VLOOKUP($I1790,'Price List, Weapons &amp; Items'!B:J,3,0))</f>
        <v>Light Anti-armor Weapon (LAW)</v>
      </c>
      <c r="AP1790" s="1195" t="str">
        <f t="shared" ca="1" si="370"/>
        <v/>
      </c>
      <c r="AQ1790" s="1194">
        <f>VLOOKUP($I1790,'Price List, Weapons &amp; Items'!B:L,COLUMN('Price List, Weapons &amp; Items'!$L$11)-1,0)</f>
        <v>2</v>
      </c>
      <c r="AR1790" s="1194">
        <f t="shared" si="377"/>
        <v>1</v>
      </c>
      <c r="AS1790" s="1194">
        <f t="shared" si="378"/>
        <v>1</v>
      </c>
      <c r="AT1790" s="1194">
        <f t="shared" si="379"/>
        <v>1</v>
      </c>
      <c r="AU1790" s="1194" t="str">
        <f t="shared" si="381"/>
        <v>.</v>
      </c>
      <c r="AV1790" s="1194" t="str">
        <f t="shared" si="371"/>
        <v>.</v>
      </c>
      <c r="AW1790" s="1194" t="str">
        <f t="shared" si="380"/>
        <v>.</v>
      </c>
      <c r="AX1790" s="1194">
        <f>IFERROR(VLOOKUP(B1790,'Share, Heavy Weapons to Ukraine'!B:Z,COLUMN('Share, Heavy Weapons to Ukraine'!C1800)-1,0),0)</f>
        <v>1</v>
      </c>
      <c r="AY1790" s="1194">
        <f>VLOOKUP('Bilateral Assistance, MAIN DATA'!B1790,'Country Summary (€)'!B:F,COLUMN('Country Summary (€)'!C1801)-1,FALSE)</f>
        <v>0</v>
      </c>
      <c r="AZ1790" s="1194" t="str">
        <f>IF(AND(AD1790=1,D1790="Military",H1790&lt;&gt;"Not given")=TRUE,IF(SUMIFS(P:P,A:A,A1790)&gt;0,ABS((SUMIFS(P:P,A:A,A1790)/VLOOKUP("USD",'Exchange Rates'!B:C,2,0)))/S1790,"."),".")</f>
        <v>.</v>
      </c>
      <c r="BA1790" s="1196" t="str">
        <f>IF(AND(AD1790=1,D1790="Military",H1790&lt;&gt;"Not given")=TRUE,IF(SUMIFS(P:P,A:A,A1790)&gt;0,IF((ABS((SUMIFS(P:P,A:A,A1790)/VLOOKUP("USD",'Exchange Rates'!B:C,2,0)))/S1790)&gt;1,(SUMIFS(P:P,A:A,A1790)-S1790)/S1790,(S1790-SUMIFS(P:P,A:A,A1790))/SUMIFS(P:P,A:A,A1790)),"."),".")</f>
        <v>.</v>
      </c>
      <c r="BB1790" s="1208" t="s">
        <v>38</v>
      </c>
      <c r="BC1790" s="1208" t="s">
        <v>38</v>
      </c>
      <c r="BD1790" s="1208" t="s">
        <v>38</v>
      </c>
      <c r="BE1790" s="1208" t="s">
        <v>38</v>
      </c>
      <c r="BF1790" s="1208" t="s">
        <v>38</v>
      </c>
      <c r="BG1790" s="1208" t="s">
        <v>38</v>
      </c>
      <c r="BH1790" s="1208" t="s">
        <v>38</v>
      </c>
      <c r="BI1790" s="1208" t="s">
        <v>38</v>
      </c>
      <c r="BJ1790" s="1208" t="s">
        <v>38</v>
      </c>
      <c r="BK1790" s="1208" t="s">
        <v>38</v>
      </c>
      <c r="BL1790" s="1208" t="s">
        <v>38</v>
      </c>
      <c r="BM1790" s="1208" t="s">
        <v>38</v>
      </c>
      <c r="BN1790" s="1208" t="s">
        <v>38</v>
      </c>
      <c r="BO1790" s="1208" t="s">
        <v>38</v>
      </c>
      <c r="BP1790" s="1208" t="s">
        <v>38</v>
      </c>
      <c r="BQ1790" s="1208" t="s">
        <v>38</v>
      </c>
      <c r="BR1790" s="1208" t="s">
        <v>38</v>
      </c>
      <c r="BS1790" s="1208" t="s">
        <v>38</v>
      </c>
    </row>
    <row r="1791" spans="1:71" ht="15.95" customHeight="1">
      <c r="A1791" s="1208" t="s">
        <v>4310</v>
      </c>
      <c r="B1791" s="1208" t="s">
        <v>3949</v>
      </c>
      <c r="C1791" s="1209">
        <v>44960</v>
      </c>
      <c r="D1791" s="1208" t="s">
        <v>389</v>
      </c>
      <c r="E1791" s="1208" t="s">
        <v>390</v>
      </c>
      <c r="F1791" s="1208" t="s">
        <v>4329</v>
      </c>
      <c r="G1791" s="1184" t="s">
        <v>456</v>
      </c>
      <c r="H1791" s="1210">
        <v>425000000</v>
      </c>
      <c r="I1791" s="1208" t="s">
        <v>651</v>
      </c>
      <c r="J1791" s="1186" t="str">
        <f>VLOOKUP($I1791,'Price List, Weapons &amp; Items'!B:C,2,0)</f>
        <v>Portable defence system</v>
      </c>
      <c r="K1791" s="1186" t="str">
        <f>IF(I1791=".",I1791,VLOOKUP($I1791,'Price List, Weapons &amp; Items'!B:D,3,0))</f>
        <v>Light Anti-armor Weapon (LAW)</v>
      </c>
      <c r="L1791" s="1187">
        <f>VLOOKUP(I1791,'Price List, Weapons &amp; Items'!B:E,4,0)</f>
        <v>0</v>
      </c>
      <c r="M1791" s="1241">
        <v>2000</v>
      </c>
      <c r="N1791" s="1188" t="s">
        <v>374</v>
      </c>
      <c r="O1791" s="1188">
        <f>VLOOKUP($I1791,'Price List, Weapons &amp; Items'!B:G,6,0)</f>
        <v>78000</v>
      </c>
      <c r="P1791" s="1185">
        <f t="shared" si="372"/>
        <v>156000000</v>
      </c>
      <c r="Q1791" s="1185" t="str">
        <f t="shared" si="373"/>
        <v>.</v>
      </c>
      <c r="R1791" s="1185" t="str">
        <f t="shared" si="369"/>
        <v/>
      </c>
      <c r="S1791" s="1185" t="str">
        <f>IF(AND(AD1791=1,R1791&lt;&gt;".")=TRUE,R1791/VLOOKUP(G1791,'Exchange Rates'!B:C,2,0),IF(R1791=".",".",""))</f>
        <v/>
      </c>
      <c r="T1791" s="1185" t="str">
        <f>IF(AD1791=1,IF(AF1791="Value is not given at all",".",IF(AF1791="Value is given by the source",S1791,IF(AF1791="Value is calculated with prices",(IF(SUMIFS(Q:Q,A:A,A1791)&gt;0,SUMIFS(Q:Q,A:A,A1791),"."))/VLOOKUP("USD",'Exchange Rates'!B:C,2,0),"Error with coding"))),"")</f>
        <v/>
      </c>
      <c r="U1791" s="1191" t="s">
        <v>365</v>
      </c>
      <c r="V1791" s="983" t="s">
        <v>4330</v>
      </c>
      <c r="W1791" s="983" t="s">
        <v>3989</v>
      </c>
      <c r="X1791" s="1208" t="s">
        <v>364</v>
      </c>
      <c r="Y1791" s="1208" t="s">
        <v>364</v>
      </c>
      <c r="Z1791" s="1191">
        <v>0</v>
      </c>
      <c r="AA1791" s="1191">
        <v>0</v>
      </c>
      <c r="AB1791" s="1208" t="s">
        <v>364</v>
      </c>
      <c r="AC1791" s="1192" t="str">
        <f>""</f>
        <v/>
      </c>
      <c r="AD1791" s="1193">
        <v>0</v>
      </c>
      <c r="AE1791" s="1191" t="s">
        <v>368</v>
      </c>
      <c r="AF1791" s="1191" t="s">
        <v>369</v>
      </c>
      <c r="AG1791" s="1193">
        <v>1</v>
      </c>
      <c r="AH1791" s="1193">
        <v>14</v>
      </c>
      <c r="AI1791" s="1193">
        <v>0</v>
      </c>
      <c r="AJ1791" s="1193">
        <f>VLOOKUP($I1791,'Price List, Weapons &amp; Items'!B:F,5,0)</f>
        <v>0</v>
      </c>
      <c r="AK1791" s="1193">
        <f t="shared" si="374"/>
        <v>0</v>
      </c>
      <c r="AL1791" s="1193">
        <f t="shared" si="375"/>
        <v>0</v>
      </c>
      <c r="AM1791" s="1193">
        <f t="shared" si="376"/>
        <v>0</v>
      </c>
      <c r="AN1791" s="1194" t="str">
        <f>VLOOKUP($I1791,'Price List, Weapons &amp; Items'!B:L,COLUMN('Price List, Weapons &amp; Items'!$J$11)-1,0)</f>
        <v>Military media (incl. websites)</v>
      </c>
      <c r="AO1791" s="1194" t="str">
        <f>IF(I1791=".",".",VLOOKUP($I1791,'Price List, Weapons &amp; Items'!B:J,3,0))</f>
        <v>Light Anti-armor Weapon (LAW)</v>
      </c>
      <c r="AP1791" s="1195" t="str">
        <f t="shared" ca="1" si="370"/>
        <v/>
      </c>
      <c r="AQ1791" s="1194">
        <f>VLOOKUP($I1791,'Price List, Weapons &amp; Items'!B:L,COLUMN('Price List, Weapons &amp; Items'!$L$11)-1,0)</f>
        <v>2</v>
      </c>
      <c r="AR1791" s="1194">
        <f t="shared" si="377"/>
        <v>1</v>
      </c>
      <c r="AS1791" s="1194">
        <f t="shared" si="378"/>
        <v>1</v>
      </c>
      <c r="AT1791" s="1194">
        <f t="shared" si="379"/>
        <v>1</v>
      </c>
      <c r="AU1791" s="1194" t="str">
        <f t="shared" si="381"/>
        <v>.</v>
      </c>
      <c r="AV1791" s="1194" t="str">
        <f t="shared" si="371"/>
        <v>.</v>
      </c>
      <c r="AW1791" s="1194" t="str">
        <f t="shared" si="380"/>
        <v>.</v>
      </c>
      <c r="AX1791" s="1194">
        <f>IFERROR(VLOOKUP(B1791,'Share, Heavy Weapons to Ukraine'!B:Z,COLUMN('Share, Heavy Weapons to Ukraine'!C1801)-1,0),0)</f>
        <v>1</v>
      </c>
      <c r="AY1791" s="1194">
        <f>VLOOKUP('Bilateral Assistance, MAIN DATA'!B1791,'Country Summary (€)'!B:F,COLUMN('Country Summary (€)'!C1802)-1,FALSE)</f>
        <v>0</v>
      </c>
      <c r="AZ1791" s="1194" t="str">
        <f>IF(AND(AD1791=1,D1791="Military",H1791&lt;&gt;"Not given")=TRUE,IF(SUMIFS(P:P,A:A,A1791)&gt;0,ABS((SUMIFS(P:P,A:A,A1791)/VLOOKUP("USD",'Exchange Rates'!B:C,2,0)))/S1791,"."),".")</f>
        <v>.</v>
      </c>
      <c r="BA1791" s="1196" t="str">
        <f>IF(AND(AD1791=1,D1791="Military",H1791&lt;&gt;"Not given")=TRUE,IF(SUMIFS(P:P,A:A,A1791)&gt;0,IF((ABS((SUMIFS(P:P,A:A,A1791)/VLOOKUP("USD",'Exchange Rates'!B:C,2,0)))/S1791)&gt;1,(SUMIFS(P:P,A:A,A1791)-S1791)/S1791,(S1791-SUMIFS(P:P,A:A,A1791))/SUMIFS(P:P,A:A,A1791)),"."),".")</f>
        <v>.</v>
      </c>
      <c r="BB1791" s="1208" t="s">
        <v>38</v>
      </c>
      <c r="BC1791" s="1208" t="s">
        <v>38</v>
      </c>
      <c r="BD1791" s="1208" t="s">
        <v>38</v>
      </c>
      <c r="BE1791" s="1208" t="s">
        <v>38</v>
      </c>
      <c r="BF1791" s="1208" t="s">
        <v>38</v>
      </c>
      <c r="BG1791" s="1208" t="s">
        <v>38</v>
      </c>
      <c r="BH1791" s="1208" t="s">
        <v>38</v>
      </c>
      <c r="BI1791" s="1208" t="s">
        <v>38</v>
      </c>
      <c r="BJ1791" s="1208" t="s">
        <v>38</v>
      </c>
      <c r="BK1791" s="1208" t="s">
        <v>38</v>
      </c>
      <c r="BL1791" s="1208" t="s">
        <v>38</v>
      </c>
      <c r="BM1791" s="1208" t="s">
        <v>38</v>
      </c>
      <c r="BN1791" s="1208" t="s">
        <v>38</v>
      </c>
      <c r="BO1791" s="1208" t="s">
        <v>38</v>
      </c>
      <c r="BP1791" s="1208" t="s">
        <v>38</v>
      </c>
      <c r="BQ1791" s="1208" t="s">
        <v>38</v>
      </c>
      <c r="BR1791" s="1208" t="s">
        <v>38</v>
      </c>
      <c r="BS1791" s="1208" t="s">
        <v>38</v>
      </c>
    </row>
    <row r="1792" spans="1:71" ht="15.95" customHeight="1">
      <c r="A1792" s="1208" t="s">
        <v>4310</v>
      </c>
      <c r="B1792" s="1208" t="s">
        <v>3949</v>
      </c>
      <c r="C1792" s="1209">
        <v>44960</v>
      </c>
      <c r="D1792" s="1208" t="s">
        <v>389</v>
      </c>
      <c r="E1792" s="1208" t="s">
        <v>390</v>
      </c>
      <c r="F1792" s="1208" t="s">
        <v>4329</v>
      </c>
      <c r="G1792" s="1184" t="s">
        <v>456</v>
      </c>
      <c r="H1792" s="1210">
        <v>425000000</v>
      </c>
      <c r="I1792" s="1208" t="s">
        <v>4327</v>
      </c>
      <c r="J1792" s="1186" t="str">
        <f>VLOOKUP($I1792,'Price List, Weapons &amp; Items'!B:C,2,0)</f>
        <v>Light armaments &amp; infantry</v>
      </c>
      <c r="K1792" s="1186" t="str">
        <f>IF(I1792=".",I1792,VLOOKUP($I1792,'Price List, Weapons &amp; Items'!B:D,3,0))</f>
        <v>Explosive</v>
      </c>
      <c r="L1792" s="1187">
        <f>VLOOKUP(I1792,'Price List, Weapons &amp; Items'!B:E,4,0)</f>
        <v>0</v>
      </c>
      <c r="M1792" s="1188" t="s">
        <v>374</v>
      </c>
      <c r="N1792" s="1188" t="s">
        <v>374</v>
      </c>
      <c r="O1792" s="1188">
        <f>VLOOKUP($I1792,'Price List, Weapons &amp; Items'!B:G,6,0)</f>
        <v>223.15</v>
      </c>
      <c r="P1792" s="1185" t="str">
        <f t="shared" si="372"/>
        <v>.</v>
      </c>
      <c r="Q1792" s="1185" t="str">
        <f t="shared" si="373"/>
        <v>.</v>
      </c>
      <c r="R1792" s="1185" t="str">
        <f t="shared" si="369"/>
        <v/>
      </c>
      <c r="S1792" s="1185" t="str">
        <f>IF(AND(AD1792=1,R1792&lt;&gt;".")=TRUE,R1792/VLOOKUP(G1792,'Exchange Rates'!B:C,2,0),IF(R1792=".",".",""))</f>
        <v/>
      </c>
      <c r="T1792" s="1185" t="str">
        <f>IF(AD1792=1,IF(AF1792="Value is not given at all",".",IF(AF1792="Value is given by the source",S1792,IF(AF1792="Value is calculated with prices",(IF(SUMIFS(Q:Q,A:A,A1792)&gt;0,SUMIFS(Q:Q,A:A,A1792),"."))/VLOOKUP("USD",'Exchange Rates'!B:C,2,0),"Error with coding"))),"")</f>
        <v/>
      </c>
      <c r="U1792" s="1191" t="s">
        <v>365</v>
      </c>
      <c r="V1792" s="983" t="s">
        <v>4330</v>
      </c>
      <c r="W1792" s="983" t="s">
        <v>3989</v>
      </c>
      <c r="X1792" s="1208" t="s">
        <v>364</v>
      </c>
      <c r="Y1792" s="1208" t="s">
        <v>364</v>
      </c>
      <c r="Z1792" s="1191">
        <v>0</v>
      </c>
      <c r="AA1792" s="1191">
        <v>0</v>
      </c>
      <c r="AB1792" s="1208" t="s">
        <v>364</v>
      </c>
      <c r="AC1792" s="1192" t="str">
        <f>""</f>
        <v/>
      </c>
      <c r="AD1792" s="1193">
        <v>0</v>
      </c>
      <c r="AE1792" s="1191" t="s">
        <v>368</v>
      </c>
      <c r="AF1792" s="1191" t="s">
        <v>369</v>
      </c>
      <c r="AG1792" s="1193">
        <v>1</v>
      </c>
      <c r="AH1792" s="1193">
        <v>14</v>
      </c>
      <c r="AI1792" s="1193">
        <v>0</v>
      </c>
      <c r="AJ1792" s="1193">
        <f>VLOOKUP($I1792,'Price List, Weapons &amp; Items'!B:F,5,0)</f>
        <v>0</v>
      </c>
      <c r="AK1792" s="1193">
        <f t="shared" si="374"/>
        <v>0</v>
      </c>
      <c r="AL1792" s="1193">
        <f t="shared" si="375"/>
        <v>0</v>
      </c>
      <c r="AM1792" s="1193">
        <f t="shared" si="376"/>
        <v>0</v>
      </c>
      <c r="AN1792" s="1194" t="str">
        <f>VLOOKUP($I1792,'Price List, Weapons &amp; Items'!B:L,COLUMN('Price List, Weapons &amp; Items'!$J$11)-1,0)</f>
        <v>Miscellaneous</v>
      </c>
      <c r="AO1792" s="1194" t="str">
        <f>IF(I1792=".",".",VLOOKUP($I1792,'Price List, Weapons &amp; Items'!B:J,3,0))</f>
        <v>Explosive</v>
      </c>
      <c r="AP1792" s="1195" t="str">
        <f t="shared" ca="1" si="370"/>
        <v/>
      </c>
      <c r="AQ1792" s="1194" t="str">
        <f>VLOOKUP($I1792,'Price List, Weapons &amp; Items'!B:L,COLUMN('Price List, Weapons &amp; Items'!$L$11)-1,0)</f>
        <v>no price, 0 count</v>
      </c>
      <c r="AR1792" s="1194">
        <f t="shared" si="377"/>
        <v>1</v>
      </c>
      <c r="AS1792" s="1194">
        <f t="shared" si="378"/>
        <v>1</v>
      </c>
      <c r="AT1792" s="1194">
        <f t="shared" si="379"/>
        <v>1</v>
      </c>
      <c r="AU1792" s="1194" t="str">
        <f t="shared" si="381"/>
        <v>.</v>
      </c>
      <c r="AV1792" s="1194" t="str">
        <f t="shared" si="371"/>
        <v>.</v>
      </c>
      <c r="AW1792" s="1194" t="str">
        <f t="shared" si="380"/>
        <v>.</v>
      </c>
      <c r="AX1792" s="1194">
        <f>IFERROR(VLOOKUP(B1792,'Share, Heavy Weapons to Ukraine'!B:Z,COLUMN('Share, Heavy Weapons to Ukraine'!C1802)-1,0),0)</f>
        <v>1</v>
      </c>
      <c r="AY1792" s="1194">
        <f>VLOOKUP('Bilateral Assistance, MAIN DATA'!B1792,'Country Summary (€)'!B:F,COLUMN('Country Summary (€)'!C1803)-1,FALSE)</f>
        <v>0</v>
      </c>
      <c r="AZ1792" s="1194" t="str">
        <f>IF(AND(AD1792=1,D1792="Military",H1792&lt;&gt;"Not given")=TRUE,IF(SUMIFS(P:P,A:A,A1792)&gt;0,ABS((SUMIFS(P:P,A:A,A1792)/VLOOKUP("USD",'Exchange Rates'!B:C,2,0)))/S1792,"."),".")</f>
        <v>.</v>
      </c>
      <c r="BA1792" s="1196" t="str">
        <f>IF(AND(AD1792=1,D1792="Military",H1792&lt;&gt;"Not given")=TRUE,IF(SUMIFS(P:P,A:A,A1792)&gt;0,IF((ABS((SUMIFS(P:P,A:A,A1792)/VLOOKUP("USD",'Exchange Rates'!B:C,2,0)))/S1792)&gt;1,(SUMIFS(P:P,A:A,A1792)-S1792)/S1792,(S1792-SUMIFS(P:P,A:A,A1792))/SUMIFS(P:P,A:A,A1792)),"."),".")</f>
        <v>.</v>
      </c>
      <c r="BB1792" s="1208" t="s">
        <v>38</v>
      </c>
      <c r="BC1792" s="1208" t="s">
        <v>38</v>
      </c>
      <c r="BD1792" s="1208" t="s">
        <v>38</v>
      </c>
      <c r="BE1792" s="1208" t="s">
        <v>38</v>
      </c>
      <c r="BF1792" s="1208" t="s">
        <v>38</v>
      </c>
      <c r="BG1792" s="1208" t="s">
        <v>38</v>
      </c>
      <c r="BH1792" s="1208" t="s">
        <v>38</v>
      </c>
      <c r="BI1792" s="1208" t="s">
        <v>38</v>
      </c>
      <c r="BJ1792" s="1208" t="s">
        <v>38</v>
      </c>
      <c r="BK1792" s="1208" t="s">
        <v>38</v>
      </c>
      <c r="BL1792" s="1208" t="s">
        <v>38</v>
      </c>
      <c r="BM1792" s="1208" t="s">
        <v>38</v>
      </c>
      <c r="BN1792" s="1208" t="s">
        <v>38</v>
      </c>
      <c r="BO1792" s="1208" t="s">
        <v>38</v>
      </c>
      <c r="BP1792" s="1208" t="s">
        <v>38</v>
      </c>
      <c r="BQ1792" s="1208" t="s">
        <v>38</v>
      </c>
      <c r="BR1792" s="1208" t="s">
        <v>38</v>
      </c>
      <c r="BS1792" s="1208" t="s">
        <v>38</v>
      </c>
    </row>
    <row r="1793" spans="1:71" ht="15.95" customHeight="1">
      <c r="A1793" s="1208" t="s">
        <v>4310</v>
      </c>
      <c r="B1793" s="1208" t="s">
        <v>3949</v>
      </c>
      <c r="C1793" s="1209">
        <v>44960</v>
      </c>
      <c r="D1793" s="1208" t="s">
        <v>389</v>
      </c>
      <c r="E1793" s="1208" t="s">
        <v>390</v>
      </c>
      <c r="F1793" s="1208" t="s">
        <v>4329</v>
      </c>
      <c r="G1793" s="1184" t="s">
        <v>456</v>
      </c>
      <c r="H1793" s="1210">
        <v>425000000</v>
      </c>
      <c r="I1793" s="1208" t="s">
        <v>4172</v>
      </c>
      <c r="J1793" s="1186" t="str">
        <f>VLOOKUP($I1793,'Price List, Weapons &amp; Items'!B:C,2,0)</f>
        <v>Military equipment</v>
      </c>
      <c r="K1793" s="1186" t="str">
        <f>IF(I1793=".",I1793,VLOOKUP($I1793,'Price List, Weapons &amp; Items'!B:D,3,0))</f>
        <v>Military equipment</v>
      </c>
      <c r="L1793" s="1187">
        <f>VLOOKUP(I1793,'Price List, Weapons &amp; Items'!B:E,4,0)</f>
        <v>0</v>
      </c>
      <c r="M1793" s="1188" t="s">
        <v>374</v>
      </c>
      <c r="N1793" s="1188" t="s">
        <v>374</v>
      </c>
      <c r="O1793" s="1188">
        <f>VLOOKUP($I1793,'Price List, Weapons &amp; Items'!B:G,6,0)</f>
        <v>90</v>
      </c>
      <c r="P1793" s="1185" t="str">
        <f t="shared" si="372"/>
        <v>.</v>
      </c>
      <c r="Q1793" s="1185" t="str">
        <f t="shared" si="373"/>
        <v>.</v>
      </c>
      <c r="R1793" s="1185" t="str">
        <f t="shared" si="369"/>
        <v/>
      </c>
      <c r="S1793" s="1185" t="str">
        <f>IF(AND(AD1793=1,R1793&lt;&gt;".")=TRUE,R1793/VLOOKUP(G1793,'Exchange Rates'!B:C,2,0),IF(R1793=".",".",""))</f>
        <v/>
      </c>
      <c r="T1793" s="1185" t="str">
        <f>IF(AD1793=1,IF(AF1793="Value is not given at all",".",IF(AF1793="Value is given by the source",S1793,IF(AF1793="Value is calculated with prices",(IF(SUMIFS(Q:Q,A:A,A1793)&gt;0,SUMIFS(Q:Q,A:A,A1793),"."))/VLOOKUP("USD",'Exchange Rates'!B:C,2,0),"Error with coding"))),"")</f>
        <v/>
      </c>
      <c r="U1793" s="1191" t="s">
        <v>365</v>
      </c>
      <c r="V1793" s="983" t="s">
        <v>4330</v>
      </c>
      <c r="W1793" s="983" t="s">
        <v>3989</v>
      </c>
      <c r="X1793" s="1208" t="s">
        <v>364</v>
      </c>
      <c r="Y1793" s="1208" t="s">
        <v>364</v>
      </c>
      <c r="Z1793" s="1191">
        <v>0</v>
      </c>
      <c r="AA1793" s="1191">
        <v>0</v>
      </c>
      <c r="AB1793" s="1208" t="s">
        <v>364</v>
      </c>
      <c r="AC1793" s="1192" t="str">
        <f>""</f>
        <v/>
      </c>
      <c r="AD1793" s="1193">
        <v>0</v>
      </c>
      <c r="AE1793" s="1191" t="s">
        <v>368</v>
      </c>
      <c r="AF1793" s="1191" t="s">
        <v>369</v>
      </c>
      <c r="AG1793" s="1193">
        <v>1</v>
      </c>
      <c r="AH1793" s="1193">
        <v>14</v>
      </c>
      <c r="AI1793" s="1193">
        <v>0</v>
      </c>
      <c r="AJ1793" s="1193">
        <f>VLOOKUP($I1793,'Price List, Weapons &amp; Items'!B:F,5,0)</f>
        <v>0</v>
      </c>
      <c r="AK1793" s="1193">
        <f t="shared" si="374"/>
        <v>0</v>
      </c>
      <c r="AL1793" s="1193">
        <f t="shared" si="375"/>
        <v>0</v>
      </c>
      <c r="AM1793" s="1193">
        <f t="shared" si="376"/>
        <v>0</v>
      </c>
      <c r="AN1793" s="1194" t="str">
        <f>VLOOKUP($I1793,'Price List, Weapons &amp; Items'!B:L,COLUMN('Price List, Weapons &amp; Items'!$J$11)-1,0)</f>
        <v>Media reports (incl. social media)</v>
      </c>
      <c r="AO1793" s="1194" t="str">
        <f>IF(I1793=".",".",VLOOKUP($I1793,'Price List, Weapons &amp; Items'!B:J,3,0))</f>
        <v>Military equipment</v>
      </c>
      <c r="AP1793" s="1195" t="str">
        <f t="shared" ca="1" si="370"/>
        <v/>
      </c>
      <c r="AQ1793" s="1194" t="str">
        <f>VLOOKUP($I1793,'Price List, Weapons &amp; Items'!B:L,COLUMN('Price List, Weapons &amp; Items'!$L$11)-1,0)</f>
        <v>no price, 0 count</v>
      </c>
      <c r="AR1793" s="1194">
        <f t="shared" si="377"/>
        <v>1</v>
      </c>
      <c r="AS1793" s="1194">
        <f t="shared" si="378"/>
        <v>1</v>
      </c>
      <c r="AT1793" s="1194">
        <f t="shared" si="379"/>
        <v>1</v>
      </c>
      <c r="AU1793" s="1194" t="str">
        <f t="shared" ref="AU1793:AU1824" si="382">IF(AND(A1793=A1792,C1793=C1792)=TRUE,IF(F1793=F1792,".","1"),".")</f>
        <v>.</v>
      </c>
      <c r="AV1793" s="1194" t="str">
        <f t="shared" si="371"/>
        <v>.</v>
      </c>
      <c r="AW1793" s="1194" t="str">
        <f t="shared" si="380"/>
        <v>.</v>
      </c>
      <c r="AX1793" s="1194">
        <f>IFERROR(VLOOKUP(B1793,'Share, Heavy Weapons to Ukraine'!B:Z,COLUMN('Share, Heavy Weapons to Ukraine'!C1803)-1,0),0)</f>
        <v>1</v>
      </c>
      <c r="AY1793" s="1194">
        <f>VLOOKUP('Bilateral Assistance, MAIN DATA'!B1793,'Country Summary (€)'!B:F,COLUMN('Country Summary (€)'!C1804)-1,FALSE)</f>
        <v>0</v>
      </c>
      <c r="AZ1793" s="1194" t="str">
        <f>IF(AND(AD1793=1,D1793="Military",H1793&lt;&gt;"Not given")=TRUE,IF(SUMIFS(P:P,A:A,A1793)&gt;0,ABS((SUMIFS(P:P,A:A,A1793)/VLOOKUP("USD",'Exchange Rates'!B:C,2,0)))/S1793,"."),".")</f>
        <v>.</v>
      </c>
      <c r="BA1793" s="1196" t="str">
        <f>IF(AND(AD1793=1,D1793="Military",H1793&lt;&gt;"Not given")=TRUE,IF(SUMIFS(P:P,A:A,A1793)&gt;0,IF((ABS((SUMIFS(P:P,A:A,A1793)/VLOOKUP("USD",'Exchange Rates'!B:C,2,0)))/S1793)&gt;1,(SUMIFS(P:P,A:A,A1793)-S1793)/S1793,(S1793-SUMIFS(P:P,A:A,A1793))/SUMIFS(P:P,A:A,A1793)),"."),".")</f>
        <v>.</v>
      </c>
      <c r="BB1793" s="1208" t="s">
        <v>38</v>
      </c>
      <c r="BC1793" s="1208" t="s">
        <v>38</v>
      </c>
      <c r="BD1793" s="1208" t="s">
        <v>38</v>
      </c>
      <c r="BE1793" s="1208" t="s">
        <v>38</v>
      </c>
      <c r="BF1793" s="1208" t="s">
        <v>38</v>
      </c>
      <c r="BG1793" s="1208" t="s">
        <v>38</v>
      </c>
      <c r="BH1793" s="1208" t="s">
        <v>38</v>
      </c>
      <c r="BI1793" s="1208" t="s">
        <v>38</v>
      </c>
      <c r="BJ1793" s="1208" t="s">
        <v>38</v>
      </c>
      <c r="BK1793" s="1208" t="s">
        <v>38</v>
      </c>
      <c r="BL1793" s="1208" t="s">
        <v>38</v>
      </c>
      <c r="BM1793" s="1208" t="s">
        <v>38</v>
      </c>
      <c r="BN1793" s="1208" t="s">
        <v>38</v>
      </c>
      <c r="BO1793" s="1208" t="s">
        <v>38</v>
      </c>
      <c r="BP1793" s="1208" t="s">
        <v>38</v>
      </c>
      <c r="BQ1793" s="1208" t="s">
        <v>38</v>
      </c>
      <c r="BR1793" s="1208" t="s">
        <v>38</v>
      </c>
      <c r="BS1793" s="1208" t="s">
        <v>38</v>
      </c>
    </row>
    <row r="1794" spans="1:71" ht="15.95" customHeight="1">
      <c r="A1794" s="1208" t="s">
        <v>4310</v>
      </c>
      <c r="B1794" s="1208" t="s">
        <v>3949</v>
      </c>
      <c r="C1794" s="1209">
        <v>44960</v>
      </c>
      <c r="D1794" s="1208" t="s">
        <v>389</v>
      </c>
      <c r="E1794" s="1208" t="s">
        <v>390</v>
      </c>
      <c r="F1794" s="1208" t="s">
        <v>4329</v>
      </c>
      <c r="G1794" s="1184" t="s">
        <v>456</v>
      </c>
      <c r="H1794" s="1210">
        <v>425000000</v>
      </c>
      <c r="I1794" s="1208" t="s">
        <v>4331</v>
      </c>
      <c r="J1794" s="1186" t="str">
        <f>VLOOKUP($I1794,'Price List, Weapons &amp; Items'!B:C,2,0)</f>
        <v>Military equipment</v>
      </c>
      <c r="K1794" s="1186" t="str">
        <f>IF(I1794=".",I1794,VLOOKUP($I1794,'Price List, Weapons &amp; Items'!B:D,3,0))</f>
        <v>Military equipment</v>
      </c>
      <c r="L1794" s="1187">
        <f>VLOOKUP(I1794,'Price List, Weapons &amp; Items'!B:E,4,0)</f>
        <v>0</v>
      </c>
      <c r="M1794" s="1188" t="s">
        <v>374</v>
      </c>
      <c r="N1794" s="1188" t="s">
        <v>374</v>
      </c>
      <c r="O1794" s="1188" t="str">
        <f>VLOOKUP($I1794,'Price List, Weapons &amp; Items'!B:G,6,0)</f>
        <v>.</v>
      </c>
      <c r="P1794" s="1185" t="str">
        <f t="shared" si="372"/>
        <v>.</v>
      </c>
      <c r="Q1794" s="1185" t="str">
        <f t="shared" si="373"/>
        <v>.</v>
      </c>
      <c r="R1794" s="1185" t="str">
        <f t="shared" ref="R1794:R1857" si="383">IF(AD1794=1,IF(H1794&lt;&gt;"Not given",H1794,IF(TYPE(H1794)=2,IF(SUMIFS(P:P,A:A,A1794)&gt;0,SUMIFS(P:P,A:A,A1794),"."),"Format error")),"")</f>
        <v/>
      </c>
      <c r="S1794" s="1185" t="str">
        <f>IF(AND(AD1794=1,R1794&lt;&gt;".")=TRUE,R1794/VLOOKUP(G1794,'Exchange Rates'!B:C,2,0),IF(R1794=".",".",""))</f>
        <v/>
      </c>
      <c r="T1794" s="1185" t="str">
        <f>IF(AD1794=1,IF(AF1794="Value is not given at all",".",IF(AF1794="Value is given by the source",S1794,IF(AF1794="Value is calculated with prices",(IF(SUMIFS(Q:Q,A:A,A1794)&gt;0,SUMIFS(Q:Q,A:A,A1794),"."))/VLOOKUP("USD",'Exchange Rates'!B:C,2,0),"Error with coding"))),"")</f>
        <v/>
      </c>
      <c r="U1794" s="1191" t="s">
        <v>365</v>
      </c>
      <c r="V1794" s="983" t="s">
        <v>4330</v>
      </c>
      <c r="W1794" s="983" t="s">
        <v>3989</v>
      </c>
      <c r="X1794" s="1208" t="s">
        <v>364</v>
      </c>
      <c r="Y1794" s="1208" t="s">
        <v>364</v>
      </c>
      <c r="Z1794" s="1191">
        <v>0</v>
      </c>
      <c r="AA1794" s="1191">
        <v>0</v>
      </c>
      <c r="AB1794" s="1208" t="s">
        <v>364</v>
      </c>
      <c r="AC1794" s="1192" t="str">
        <f>""</f>
        <v/>
      </c>
      <c r="AD1794" s="1193">
        <v>0</v>
      </c>
      <c r="AE1794" s="1191" t="s">
        <v>368</v>
      </c>
      <c r="AF1794" s="1191" t="s">
        <v>369</v>
      </c>
      <c r="AG1794" s="1193">
        <v>1</v>
      </c>
      <c r="AH1794" s="1193">
        <v>14</v>
      </c>
      <c r="AI1794" s="1193">
        <v>0</v>
      </c>
      <c r="AJ1794" s="1193">
        <f>VLOOKUP($I1794,'Price List, Weapons &amp; Items'!B:F,5,0)</f>
        <v>0</v>
      </c>
      <c r="AK1794" s="1193">
        <f t="shared" si="374"/>
        <v>0</v>
      </c>
      <c r="AL1794" s="1193">
        <f t="shared" si="375"/>
        <v>0</v>
      </c>
      <c r="AM1794" s="1193">
        <f t="shared" si="376"/>
        <v>0</v>
      </c>
      <c r="AN1794" s="1194" t="str">
        <f>VLOOKUP($I1794,'Price List, Weapons &amp; Items'!B:L,COLUMN('Price List, Weapons &amp; Items'!$J$11)-1,0)</f>
        <v>.</v>
      </c>
      <c r="AO1794" s="1194" t="str">
        <f>IF(I1794=".",".",VLOOKUP($I1794,'Price List, Weapons &amp; Items'!B:J,3,0))</f>
        <v>Military equipment</v>
      </c>
      <c r="AP1794" s="1195" t="str">
        <f t="shared" ref="AP1794:AP1857" ca="1" si="384">IF(AD1794=1,(OFFSET(I1794,0,0,COUNTIF(A:A,A1794),1)),"")</f>
        <v/>
      </c>
      <c r="AQ1794" s="1194" t="str">
        <f>VLOOKUP($I1794,'Price List, Weapons &amp; Items'!B:L,COLUMN('Price List, Weapons &amp; Items'!$L$11)-1,0)</f>
        <v>no price, 0 count</v>
      </c>
      <c r="AR1794" s="1194">
        <f t="shared" si="377"/>
        <v>1</v>
      </c>
      <c r="AS1794" s="1194">
        <f t="shared" si="378"/>
        <v>1</v>
      </c>
      <c r="AT1794" s="1194">
        <f t="shared" si="379"/>
        <v>1</v>
      </c>
      <c r="AU1794" s="1194" t="str">
        <f t="shared" si="382"/>
        <v>.</v>
      </c>
      <c r="AV1794" s="1194" t="str">
        <f t="shared" ref="AV1794:AV1857" si="385">IF(AND(_xlfn.ISFORMULA(R1794),_xlfn.ISFORMULA(S1794),_xlfn.ISFORMULA(T1794))=TRUE,".",1)</f>
        <v>.</v>
      </c>
      <c r="AW1794" s="1194" t="str">
        <f t="shared" si="380"/>
        <v>.</v>
      </c>
      <c r="AX1794" s="1194">
        <f>IFERROR(VLOOKUP(B1794,'Share, Heavy Weapons to Ukraine'!B:Z,COLUMN('Share, Heavy Weapons to Ukraine'!C1804)-1,0),0)</f>
        <v>1</v>
      </c>
      <c r="AY1794" s="1194">
        <f>VLOOKUP('Bilateral Assistance, MAIN DATA'!B1794,'Country Summary (€)'!B:F,COLUMN('Country Summary (€)'!C1805)-1,FALSE)</f>
        <v>0</v>
      </c>
      <c r="AZ1794" s="1194" t="str">
        <f>IF(AND(AD1794=1,D1794="Military",H1794&lt;&gt;"Not given")=TRUE,IF(SUMIFS(P:P,A:A,A1794)&gt;0,ABS((SUMIFS(P:P,A:A,A1794)/VLOOKUP("USD",'Exchange Rates'!B:C,2,0)))/S1794,"."),".")</f>
        <v>.</v>
      </c>
      <c r="BA1794" s="1196" t="str">
        <f>IF(AND(AD1794=1,D1794="Military",H1794&lt;&gt;"Not given")=TRUE,IF(SUMIFS(P:P,A:A,A1794)&gt;0,IF((ABS((SUMIFS(P:P,A:A,A1794)/VLOOKUP("USD",'Exchange Rates'!B:C,2,0)))/S1794)&gt;1,(SUMIFS(P:P,A:A,A1794)-S1794)/S1794,(S1794-SUMIFS(P:P,A:A,A1794))/SUMIFS(P:P,A:A,A1794)),"."),".")</f>
        <v>.</v>
      </c>
      <c r="BB1794" s="1208" t="s">
        <v>38</v>
      </c>
      <c r="BC1794" s="1208" t="s">
        <v>38</v>
      </c>
      <c r="BD1794" s="1208" t="s">
        <v>38</v>
      </c>
      <c r="BE1794" s="1208" t="s">
        <v>38</v>
      </c>
      <c r="BF1794" s="1208" t="s">
        <v>38</v>
      </c>
      <c r="BG1794" s="1208" t="s">
        <v>38</v>
      </c>
      <c r="BH1794" s="1208" t="s">
        <v>38</v>
      </c>
      <c r="BI1794" s="1208" t="s">
        <v>38</v>
      </c>
      <c r="BJ1794" s="1208" t="s">
        <v>38</v>
      </c>
      <c r="BK1794" s="1208" t="s">
        <v>38</v>
      </c>
      <c r="BL1794" s="1208" t="s">
        <v>38</v>
      </c>
      <c r="BM1794" s="1208" t="s">
        <v>38</v>
      </c>
      <c r="BN1794" s="1208" t="s">
        <v>38</v>
      </c>
      <c r="BO1794" s="1208" t="s">
        <v>38</v>
      </c>
      <c r="BP1794" s="1208" t="s">
        <v>38</v>
      </c>
      <c r="BQ1794" s="1208" t="s">
        <v>38</v>
      </c>
      <c r="BR1794" s="1208" t="s">
        <v>38</v>
      </c>
      <c r="BS1794" s="1208" t="s">
        <v>38</v>
      </c>
    </row>
    <row r="1795" spans="1:71" ht="15.95" customHeight="1">
      <c r="A1795" s="1208" t="s">
        <v>4310</v>
      </c>
      <c r="B1795" s="1208" t="s">
        <v>3949</v>
      </c>
      <c r="C1795" s="1209">
        <v>44960</v>
      </c>
      <c r="D1795" s="1208" t="s">
        <v>389</v>
      </c>
      <c r="E1795" s="1208" t="s">
        <v>390</v>
      </c>
      <c r="F1795" s="1208" t="s">
        <v>4329</v>
      </c>
      <c r="G1795" s="1184" t="s">
        <v>456</v>
      </c>
      <c r="H1795" s="1210">
        <v>425000000</v>
      </c>
      <c r="I1795" s="1208" t="s">
        <v>4332</v>
      </c>
      <c r="J1795" s="1186" t="str">
        <f>VLOOKUP($I1795,'Price List, Weapons &amp; Items'!B:C,2,0)</f>
        <v>Military equipment</v>
      </c>
      <c r="K1795" s="1186" t="str">
        <f>IF(I1795=".",I1795,VLOOKUP($I1795,'Price List, Weapons &amp; Items'!B:D,3,0))</f>
        <v>Military equipment</v>
      </c>
      <c r="L1795" s="1187">
        <f>VLOOKUP(I1795,'Price List, Weapons &amp; Items'!B:E,4,0)</f>
        <v>0</v>
      </c>
      <c r="M1795" s="1188" t="s">
        <v>374</v>
      </c>
      <c r="N1795" s="1188" t="s">
        <v>374</v>
      </c>
      <c r="O1795" s="1188">
        <f>VLOOKUP($I1795,'Price List, Weapons &amp; Items'!B:G,6,0)</f>
        <v>1400</v>
      </c>
      <c r="P1795" s="1185" t="str">
        <f t="shared" ref="P1795:P1858" si="386">IF(TYPE(M1795)=1,IF(TYPE(O1795)=1,M1795*O1795,"No price"),".")</f>
        <v>.</v>
      </c>
      <c r="Q1795" s="1185" t="str">
        <f t="shared" ref="Q1795:Q1858" si="387">IF(TYPE(N1795)=1,IF(TYPE(O1795)=1,N1795*O1795,"No price"),".")</f>
        <v>.</v>
      </c>
      <c r="R1795" s="1185" t="str">
        <f t="shared" si="383"/>
        <v/>
      </c>
      <c r="S1795" s="1185" t="str">
        <f>IF(AND(AD1795=1,R1795&lt;&gt;".")=TRUE,R1795/VLOOKUP(G1795,'Exchange Rates'!B:C,2,0),IF(R1795=".",".",""))</f>
        <v/>
      </c>
      <c r="T1795" s="1185" t="str">
        <f>IF(AD1795=1,IF(AF1795="Value is not given at all",".",IF(AF1795="Value is given by the source",S1795,IF(AF1795="Value is calculated with prices",(IF(SUMIFS(Q:Q,A:A,A1795)&gt;0,SUMIFS(Q:Q,A:A,A1795),"."))/VLOOKUP("USD",'Exchange Rates'!B:C,2,0),"Error with coding"))),"")</f>
        <v/>
      </c>
      <c r="U1795" s="1191" t="s">
        <v>365</v>
      </c>
      <c r="V1795" s="983" t="s">
        <v>4330</v>
      </c>
      <c r="W1795" s="983" t="s">
        <v>3989</v>
      </c>
      <c r="X1795" s="1208" t="s">
        <v>364</v>
      </c>
      <c r="Y1795" s="1208" t="s">
        <v>364</v>
      </c>
      <c r="Z1795" s="1191">
        <v>0</v>
      </c>
      <c r="AA1795" s="1191">
        <v>0</v>
      </c>
      <c r="AB1795" s="1208" t="s">
        <v>364</v>
      </c>
      <c r="AC1795" s="1192" t="str">
        <f>""</f>
        <v/>
      </c>
      <c r="AD1795" s="1193">
        <v>0</v>
      </c>
      <c r="AE1795" s="1191" t="s">
        <v>368</v>
      </c>
      <c r="AF1795" s="1191" t="s">
        <v>369</v>
      </c>
      <c r="AG1795" s="1193">
        <v>1</v>
      </c>
      <c r="AH1795" s="1193">
        <v>14</v>
      </c>
      <c r="AI1795" s="1193">
        <v>0</v>
      </c>
      <c r="AJ1795" s="1193">
        <f>VLOOKUP($I1795,'Price List, Weapons &amp; Items'!B:F,5,0)</f>
        <v>0</v>
      </c>
      <c r="AK1795" s="1193">
        <f t="shared" ref="AK1795:AK1858" si="388">IF(AND(AJ1795=1,M1795="undisclosed")=TRUE,1,0)</f>
        <v>0</v>
      </c>
      <c r="AL1795" s="1193">
        <f t="shared" ref="AL1795:AL1858" si="389">IF(AND(AJ1795=1,N1795="undisclosed")=TRUE,1,0)</f>
        <v>0</v>
      </c>
      <c r="AM1795" s="1193">
        <f t="shared" ref="AM1795:AM1858" si="390">IFERROR(IF(SEARCH("ammuni",I1795,1)&gt;0,1,0),0)</f>
        <v>0</v>
      </c>
      <c r="AN1795" s="1194" t="str">
        <f>VLOOKUP($I1795,'Price List, Weapons &amp; Items'!B:L,COLUMN('Price List, Weapons &amp; Items'!$J$11)-1,0)</f>
        <v>Military media (incl. websites)</v>
      </c>
      <c r="AO1795" s="1194" t="str">
        <f>IF(I1795=".",".",VLOOKUP($I1795,'Price List, Weapons &amp; Items'!B:J,3,0))</f>
        <v>Military equipment</v>
      </c>
      <c r="AP1795" s="1195" t="str">
        <f t="shared" ca="1" si="384"/>
        <v/>
      </c>
      <c r="AQ1795" s="1194">
        <f>VLOOKUP($I1795,'Price List, Weapons &amp; Items'!B:L,COLUMN('Price List, Weapons &amp; Items'!$L$11)-1,0)</f>
        <v>2</v>
      </c>
      <c r="AR1795" s="1194">
        <f t="shared" ref="AR1795:AR1858" si="391">IF(U1795="Yes",1,0)</f>
        <v>1</v>
      </c>
      <c r="AS1795" s="1194">
        <f t="shared" ref="AS1795:AS1858" si="392">IF(D1795="Military",IF(OR(IFERROR(SEARCH("equipment",E1795,1),0)&gt;0,IFERROR(SEARCH("weapons",E1795,1),0)&gt;0),1,0),0)</f>
        <v>1</v>
      </c>
      <c r="AT1795" s="1194">
        <f t="shared" ref="AT1795:AT1858" si="393">IFERROR(IF(VALUE(TEXT(C1795,"mm"))=IF(AH1795&gt;12,AH1795-12,AH1795),".",IF(TEXT(C1795,"mm")="01",".",1)),"Value is not in date format")</f>
        <v>1</v>
      </c>
      <c r="AU1795" s="1194" t="str">
        <f t="shared" si="382"/>
        <v>.</v>
      </c>
      <c r="AV1795" s="1194" t="str">
        <f t="shared" si="385"/>
        <v>.</v>
      </c>
      <c r="AW1795" s="1194" t="str">
        <f t="shared" ref="AW1795:AW1858" si="394">IF(T1795&lt;&gt;".",IF(T1795&gt;S1795,1,"."),".")</f>
        <v>.</v>
      </c>
      <c r="AX1795" s="1194">
        <f>IFERROR(VLOOKUP(B1795,'Share, Heavy Weapons to Ukraine'!B:Z,COLUMN('Share, Heavy Weapons to Ukraine'!C1805)-1,0),0)</f>
        <v>1</v>
      </c>
      <c r="AY1795" s="1194">
        <f>VLOOKUP('Bilateral Assistance, MAIN DATA'!B1795,'Country Summary (€)'!B:F,COLUMN('Country Summary (€)'!C1806)-1,FALSE)</f>
        <v>0</v>
      </c>
      <c r="AZ1795" s="1194" t="str">
        <f>IF(AND(AD1795=1,D1795="Military",H1795&lt;&gt;"Not given")=TRUE,IF(SUMIFS(P:P,A:A,A1795)&gt;0,ABS((SUMIFS(P:P,A:A,A1795)/VLOOKUP("USD",'Exchange Rates'!B:C,2,0)))/S1795,"."),".")</f>
        <v>.</v>
      </c>
      <c r="BA1795" s="1196" t="str">
        <f>IF(AND(AD1795=1,D1795="Military",H1795&lt;&gt;"Not given")=TRUE,IF(SUMIFS(P:P,A:A,A1795)&gt;0,IF((ABS((SUMIFS(P:P,A:A,A1795)/VLOOKUP("USD",'Exchange Rates'!B:C,2,0)))/S1795)&gt;1,(SUMIFS(P:P,A:A,A1795)-S1795)/S1795,(S1795-SUMIFS(P:P,A:A,A1795))/SUMIFS(P:P,A:A,A1795)),"."),".")</f>
        <v>.</v>
      </c>
      <c r="BB1795" s="1208" t="s">
        <v>38</v>
      </c>
      <c r="BC1795" s="1208" t="s">
        <v>38</v>
      </c>
      <c r="BD1795" s="1208" t="s">
        <v>38</v>
      </c>
      <c r="BE1795" s="1208" t="s">
        <v>38</v>
      </c>
      <c r="BF1795" s="1208" t="s">
        <v>38</v>
      </c>
      <c r="BG1795" s="1208" t="s">
        <v>38</v>
      </c>
      <c r="BH1795" s="1208" t="s">
        <v>38</v>
      </c>
      <c r="BI1795" s="1208" t="s">
        <v>38</v>
      </c>
      <c r="BJ1795" s="1208" t="s">
        <v>38</v>
      </c>
      <c r="BK1795" s="1208" t="s">
        <v>38</v>
      </c>
      <c r="BL1795" s="1208" t="s">
        <v>38</v>
      </c>
      <c r="BM1795" s="1208" t="s">
        <v>38</v>
      </c>
      <c r="BN1795" s="1208" t="s">
        <v>38</v>
      </c>
      <c r="BO1795" s="1208" t="s">
        <v>38</v>
      </c>
      <c r="BP1795" s="1208" t="s">
        <v>38</v>
      </c>
      <c r="BQ1795" s="1208" t="s">
        <v>38</v>
      </c>
      <c r="BR1795" s="1208" t="s">
        <v>38</v>
      </c>
      <c r="BS1795" s="1208" t="s">
        <v>38</v>
      </c>
    </row>
    <row r="1796" spans="1:71" ht="15.95" customHeight="1">
      <c r="A1796" s="1208" t="s">
        <v>4310</v>
      </c>
      <c r="B1796" s="1208" t="s">
        <v>3949</v>
      </c>
      <c r="C1796" s="1209">
        <v>44960</v>
      </c>
      <c r="D1796" s="1208" t="s">
        <v>389</v>
      </c>
      <c r="E1796" s="1208" t="s">
        <v>390</v>
      </c>
      <c r="F1796" s="1208" t="s">
        <v>4329</v>
      </c>
      <c r="G1796" s="1184" t="s">
        <v>456</v>
      </c>
      <c r="H1796" s="1210">
        <v>425000000</v>
      </c>
      <c r="I1796" s="1208" t="s">
        <v>4328</v>
      </c>
      <c r="J1796" s="1186" t="str">
        <f>VLOOKUP($I1796,'Price List, Weapons &amp; Items'!B:C,2,0)</f>
        <v>Military equipment</v>
      </c>
      <c r="K1796" s="1186" t="str">
        <f>IF(I1796=".",I1796,VLOOKUP($I1796,'Price List, Weapons &amp; Items'!B:D,3,0))</f>
        <v>Military equipment</v>
      </c>
      <c r="L1796" s="1187">
        <f>VLOOKUP(I1796,'Price List, Weapons &amp; Items'!B:E,4,0)</f>
        <v>0</v>
      </c>
      <c r="M1796" s="1188" t="s">
        <v>374</v>
      </c>
      <c r="N1796" s="1188" t="s">
        <v>374</v>
      </c>
      <c r="O1796" s="1188" t="str">
        <f>VLOOKUP($I1796,'Price List, Weapons &amp; Items'!B:G,6,0)</f>
        <v>.</v>
      </c>
      <c r="P1796" s="1185" t="str">
        <f t="shared" si="386"/>
        <v>.</v>
      </c>
      <c r="Q1796" s="1185" t="str">
        <f t="shared" si="387"/>
        <v>.</v>
      </c>
      <c r="R1796" s="1185" t="str">
        <f t="shared" si="383"/>
        <v/>
      </c>
      <c r="S1796" s="1185" t="str">
        <f>IF(AND(AD1796=1,R1796&lt;&gt;".")=TRUE,R1796/VLOOKUP(G1796,'Exchange Rates'!B:C,2,0),IF(R1796=".",".",""))</f>
        <v/>
      </c>
      <c r="T1796" s="1185" t="str">
        <f>IF(AD1796=1,IF(AF1796="Value is not given at all",".",IF(AF1796="Value is given by the source",S1796,IF(AF1796="Value is calculated with prices",(IF(SUMIFS(Q:Q,A:A,A1796)&gt;0,SUMIFS(Q:Q,A:A,A1796),"."))/VLOOKUP("USD",'Exchange Rates'!B:C,2,0),"Error with coding"))),"")</f>
        <v/>
      </c>
      <c r="U1796" s="1191" t="s">
        <v>365</v>
      </c>
      <c r="V1796" s="983" t="s">
        <v>4330</v>
      </c>
      <c r="W1796" s="983" t="s">
        <v>3989</v>
      </c>
      <c r="X1796" s="1208" t="s">
        <v>364</v>
      </c>
      <c r="Y1796" s="1208" t="s">
        <v>364</v>
      </c>
      <c r="Z1796" s="1191">
        <v>0</v>
      </c>
      <c r="AA1796" s="1191">
        <v>0</v>
      </c>
      <c r="AB1796" s="1208" t="s">
        <v>364</v>
      </c>
      <c r="AC1796" s="1192" t="str">
        <f>""</f>
        <v/>
      </c>
      <c r="AD1796" s="1193">
        <v>0</v>
      </c>
      <c r="AE1796" s="1191" t="s">
        <v>368</v>
      </c>
      <c r="AF1796" s="1191" t="s">
        <v>369</v>
      </c>
      <c r="AG1796" s="1193">
        <v>1</v>
      </c>
      <c r="AH1796" s="1193">
        <v>14</v>
      </c>
      <c r="AI1796" s="1193">
        <v>0</v>
      </c>
      <c r="AJ1796" s="1193">
        <f>VLOOKUP($I1796,'Price List, Weapons &amp; Items'!B:F,5,0)</f>
        <v>0</v>
      </c>
      <c r="AK1796" s="1193">
        <f t="shared" si="388"/>
        <v>0</v>
      </c>
      <c r="AL1796" s="1193">
        <f t="shared" si="389"/>
        <v>0</v>
      </c>
      <c r="AM1796" s="1193">
        <f t="shared" si="390"/>
        <v>0</v>
      </c>
      <c r="AN1796" s="1194" t="str">
        <f>VLOOKUP($I1796,'Price List, Weapons &amp; Items'!B:L,COLUMN('Price List, Weapons &amp; Items'!$J$11)-1,0)</f>
        <v>.</v>
      </c>
      <c r="AO1796" s="1194" t="str">
        <f>IF(I1796=".",".",VLOOKUP($I1796,'Price List, Weapons &amp; Items'!B:J,3,0))</f>
        <v>Military equipment</v>
      </c>
      <c r="AP1796" s="1195" t="str">
        <f t="shared" ca="1" si="384"/>
        <v/>
      </c>
      <c r="AQ1796" s="1194" t="str">
        <f>VLOOKUP($I1796,'Price List, Weapons &amp; Items'!B:L,COLUMN('Price List, Weapons &amp; Items'!$L$11)-1,0)</f>
        <v>no price, 0 count</v>
      </c>
      <c r="AR1796" s="1194">
        <f t="shared" si="391"/>
        <v>1</v>
      </c>
      <c r="AS1796" s="1194">
        <f t="shared" si="392"/>
        <v>1</v>
      </c>
      <c r="AT1796" s="1194">
        <f t="shared" si="393"/>
        <v>1</v>
      </c>
      <c r="AU1796" s="1194" t="str">
        <f t="shared" si="382"/>
        <v>.</v>
      </c>
      <c r="AV1796" s="1194" t="str">
        <f t="shared" si="385"/>
        <v>.</v>
      </c>
      <c r="AW1796" s="1194" t="str">
        <f t="shared" si="394"/>
        <v>.</v>
      </c>
      <c r="AX1796" s="1194">
        <f>IFERROR(VLOOKUP(B1796,'Share, Heavy Weapons to Ukraine'!B:Z,COLUMN('Share, Heavy Weapons to Ukraine'!C1806)-1,0),0)</f>
        <v>1</v>
      </c>
      <c r="AY1796" s="1194">
        <f>VLOOKUP('Bilateral Assistance, MAIN DATA'!B1796,'Country Summary (€)'!B:F,COLUMN('Country Summary (€)'!C1807)-1,FALSE)</f>
        <v>0</v>
      </c>
      <c r="AZ1796" s="1194" t="str">
        <f>IF(AND(AD1796=1,D1796="Military",H1796&lt;&gt;"Not given")=TRUE,IF(SUMIFS(P:P,A:A,A1796)&gt;0,ABS((SUMIFS(P:P,A:A,A1796)/VLOOKUP("USD",'Exchange Rates'!B:C,2,0)))/S1796,"."),".")</f>
        <v>.</v>
      </c>
      <c r="BA1796" s="1196" t="str">
        <f>IF(AND(AD1796=1,D1796="Military",H1796&lt;&gt;"Not given")=TRUE,IF(SUMIFS(P:P,A:A,A1796)&gt;0,IF((ABS((SUMIFS(P:P,A:A,A1796)/VLOOKUP("USD",'Exchange Rates'!B:C,2,0)))/S1796)&gt;1,(SUMIFS(P:P,A:A,A1796)-S1796)/S1796,(S1796-SUMIFS(P:P,A:A,A1796))/SUMIFS(P:P,A:A,A1796)),"."),".")</f>
        <v>.</v>
      </c>
      <c r="BB1796" s="1208" t="s">
        <v>38</v>
      </c>
      <c r="BC1796" s="1208" t="s">
        <v>38</v>
      </c>
      <c r="BD1796" s="1208" t="s">
        <v>38</v>
      </c>
      <c r="BE1796" s="1208" t="s">
        <v>38</v>
      </c>
      <c r="BF1796" s="1208" t="s">
        <v>38</v>
      </c>
      <c r="BG1796" s="1208" t="s">
        <v>38</v>
      </c>
      <c r="BH1796" s="1208" t="s">
        <v>38</v>
      </c>
      <c r="BI1796" s="1208" t="s">
        <v>38</v>
      </c>
      <c r="BJ1796" s="1208" t="s">
        <v>38</v>
      </c>
      <c r="BK1796" s="1208" t="s">
        <v>38</v>
      </c>
      <c r="BL1796" s="1208" t="s">
        <v>38</v>
      </c>
      <c r="BM1796" s="1208" t="s">
        <v>38</v>
      </c>
      <c r="BN1796" s="1208" t="s">
        <v>38</v>
      </c>
      <c r="BO1796" s="1208" t="s">
        <v>38</v>
      </c>
      <c r="BP1796" s="1208" t="s">
        <v>38</v>
      </c>
      <c r="BQ1796" s="1208" t="s">
        <v>38</v>
      </c>
      <c r="BR1796" s="1208" t="s">
        <v>38</v>
      </c>
      <c r="BS1796" s="1208" t="s">
        <v>38</v>
      </c>
    </row>
    <row r="1797" spans="1:71" ht="15.95" customHeight="1">
      <c r="A1797" s="1208" t="s">
        <v>4310</v>
      </c>
      <c r="B1797" s="1208" t="s">
        <v>3949</v>
      </c>
      <c r="C1797" s="1209">
        <v>44977</v>
      </c>
      <c r="D1797" s="1208" t="s">
        <v>389</v>
      </c>
      <c r="E1797" s="1208" t="s">
        <v>390</v>
      </c>
      <c r="F1797" s="1208" t="s">
        <v>4333</v>
      </c>
      <c r="G1797" s="1184" t="s">
        <v>456</v>
      </c>
      <c r="H1797" s="1210">
        <v>460000000</v>
      </c>
      <c r="I1797" s="1208" t="s">
        <v>865</v>
      </c>
      <c r="J1797" s="1186" t="str">
        <f>VLOOKUP($I1797,'Price List, Weapons &amp; Items'!B:C,2,0)</f>
        <v>Ammunition for Heavy Weapon</v>
      </c>
      <c r="K1797" s="1186" t="str">
        <f>IF(I1797=".",I1797,VLOOKUP($I1797,'Price List, Weapons &amp; Items'!B:D,3,0))</f>
        <v>Missile</v>
      </c>
      <c r="L1797" s="1187">
        <f>VLOOKUP(I1797,'Price List, Weapons &amp; Items'!B:E,4,0)</f>
        <v>0</v>
      </c>
      <c r="M1797" s="1188" t="s">
        <v>374</v>
      </c>
      <c r="N1797" s="1188" t="s">
        <v>374</v>
      </c>
      <c r="O1797" s="1188">
        <f>VLOOKUP($I1797,'Price List, Weapons &amp; Items'!B:G,6,0)</f>
        <v>1090000</v>
      </c>
      <c r="P1797" s="1185" t="str">
        <f t="shared" si="386"/>
        <v>.</v>
      </c>
      <c r="Q1797" s="1185" t="str">
        <f t="shared" si="387"/>
        <v>.</v>
      </c>
      <c r="R1797" s="1185" t="str">
        <f t="shared" si="383"/>
        <v/>
      </c>
      <c r="S1797" s="1185" t="str">
        <f>IF(AND(AD1797=1,R1797&lt;&gt;".")=TRUE,R1797/VLOOKUP(G1797,'Exchange Rates'!B:C,2,0),IF(R1797=".",".",""))</f>
        <v/>
      </c>
      <c r="T1797" s="1185" t="str">
        <f>IF(AD1797=1,IF(AF1797="Value is not given at all",".",IF(AF1797="Value is given by the source",S1797,IF(AF1797="Value is calculated with prices",(IF(SUMIFS(Q:Q,A:A,A1797)&gt;0,SUMIFS(Q:Q,A:A,A1797),"."))/VLOOKUP("USD",'Exchange Rates'!B:C,2,0),"Error with coding"))),"")</f>
        <v/>
      </c>
      <c r="U1797" s="1191" t="s">
        <v>365</v>
      </c>
      <c r="V1797" s="983" t="s">
        <v>4334</v>
      </c>
      <c r="W1797" s="983" t="s">
        <v>3989</v>
      </c>
      <c r="X1797" s="1208" t="s">
        <v>364</v>
      </c>
      <c r="Y1797" s="1208" t="s">
        <v>364</v>
      </c>
      <c r="Z1797" s="1191">
        <v>0</v>
      </c>
      <c r="AA1797" s="1191">
        <v>0</v>
      </c>
      <c r="AB1797" s="1208" t="s">
        <v>364</v>
      </c>
      <c r="AC1797" s="1192" t="str">
        <f>""</f>
        <v/>
      </c>
      <c r="AD1797" s="1193">
        <v>0</v>
      </c>
      <c r="AE1797" s="1191" t="s">
        <v>368</v>
      </c>
      <c r="AF1797" s="1191" t="s">
        <v>369</v>
      </c>
      <c r="AG1797" s="1193">
        <v>1</v>
      </c>
      <c r="AH1797" s="1193">
        <v>14</v>
      </c>
      <c r="AI1797" s="1193">
        <v>0</v>
      </c>
      <c r="AJ1797" s="1193">
        <f>VLOOKUP($I1797,'Price List, Weapons &amp; Items'!B:F,5,0)</f>
        <v>0</v>
      </c>
      <c r="AK1797" s="1193">
        <f t="shared" si="388"/>
        <v>0</v>
      </c>
      <c r="AL1797" s="1193">
        <f t="shared" si="389"/>
        <v>0</v>
      </c>
      <c r="AM1797" s="1193">
        <f t="shared" si="390"/>
        <v>0</v>
      </c>
      <c r="AN1797" s="1194" t="str">
        <f>VLOOKUP($I1797,'Price List, Weapons &amp; Items'!B:L,COLUMN('Price List, Weapons &amp; Items'!$J$11)-1,0)</f>
        <v>Miscellaneous</v>
      </c>
      <c r="AO1797" s="1194" t="str">
        <f>IF(I1797=".",".",VLOOKUP($I1797,'Price List, Weapons &amp; Items'!B:J,3,0))</f>
        <v>Missile</v>
      </c>
      <c r="AP1797" s="1195" t="str">
        <f t="shared" ca="1" si="384"/>
        <v/>
      </c>
      <c r="AQ1797" s="1194" t="str">
        <f>VLOOKUP($I1797,'Price List, Weapons &amp; Items'!B:L,COLUMN('Price List, Weapons &amp; Items'!$L$11)-1,0)</f>
        <v>no price, 0 count</v>
      </c>
      <c r="AR1797" s="1194">
        <f t="shared" si="391"/>
        <v>1</v>
      </c>
      <c r="AS1797" s="1194">
        <f t="shared" si="392"/>
        <v>1</v>
      </c>
      <c r="AT1797" s="1194">
        <f t="shared" si="393"/>
        <v>1</v>
      </c>
      <c r="AU1797" s="1194" t="str">
        <f t="shared" si="382"/>
        <v>.</v>
      </c>
      <c r="AV1797" s="1194" t="str">
        <f t="shared" si="385"/>
        <v>.</v>
      </c>
      <c r="AW1797" s="1194" t="str">
        <f t="shared" si="394"/>
        <v>.</v>
      </c>
      <c r="AX1797" s="1194">
        <f>IFERROR(VLOOKUP(B1797,'Share, Heavy Weapons to Ukraine'!B:Z,COLUMN('Share, Heavy Weapons to Ukraine'!C1807)-1,0),0)</f>
        <v>1</v>
      </c>
      <c r="AY1797" s="1194">
        <f>VLOOKUP('Bilateral Assistance, MAIN DATA'!B1797,'Country Summary (€)'!B:F,COLUMN('Country Summary (€)'!C1808)-1,FALSE)</f>
        <v>0</v>
      </c>
      <c r="AZ1797" s="1194" t="str">
        <f>IF(AND(AD1797=1,D1797="Military",H1797&lt;&gt;"Not given")=TRUE,IF(SUMIFS(P:P,A:A,A1797)&gt;0,ABS((SUMIFS(P:P,A:A,A1797)/VLOOKUP("USD",'Exchange Rates'!B:C,2,0)))/S1797,"."),".")</f>
        <v>.</v>
      </c>
      <c r="BA1797" s="1196" t="str">
        <f>IF(AND(AD1797=1,D1797="Military",H1797&lt;&gt;"Not given")=TRUE,IF(SUMIFS(P:P,A:A,A1797)&gt;0,IF((ABS((SUMIFS(P:P,A:A,A1797)/VLOOKUP("USD",'Exchange Rates'!B:C,2,0)))/S1797)&gt;1,(SUMIFS(P:P,A:A,A1797)-S1797)/S1797,(S1797-SUMIFS(P:P,A:A,A1797))/SUMIFS(P:P,A:A,A1797)),"."),".")</f>
        <v>.</v>
      </c>
      <c r="BB1797" s="1208" t="s">
        <v>38</v>
      </c>
      <c r="BC1797" s="1208" t="s">
        <v>38</v>
      </c>
      <c r="BD1797" s="1208" t="s">
        <v>38</v>
      </c>
      <c r="BE1797" s="1208" t="s">
        <v>38</v>
      </c>
      <c r="BF1797" s="1208" t="s">
        <v>38</v>
      </c>
      <c r="BG1797" s="1208" t="s">
        <v>38</v>
      </c>
      <c r="BH1797" s="1208" t="s">
        <v>38</v>
      </c>
      <c r="BI1797" s="1208" t="s">
        <v>38</v>
      </c>
      <c r="BJ1797" s="1208" t="s">
        <v>38</v>
      </c>
      <c r="BK1797" s="1208" t="s">
        <v>38</v>
      </c>
      <c r="BL1797" s="1208" t="s">
        <v>38</v>
      </c>
      <c r="BM1797" s="1208" t="s">
        <v>38</v>
      </c>
      <c r="BN1797" s="1208" t="s">
        <v>38</v>
      </c>
      <c r="BO1797" s="1208" t="s">
        <v>38</v>
      </c>
      <c r="BP1797" s="1208" t="s">
        <v>38</v>
      </c>
      <c r="BQ1797" s="1208" t="s">
        <v>38</v>
      </c>
      <c r="BR1797" s="1208" t="s">
        <v>38</v>
      </c>
      <c r="BS1797" s="1208" t="s">
        <v>38</v>
      </c>
    </row>
    <row r="1798" spans="1:71" ht="15.95" customHeight="1">
      <c r="A1798" s="1208" t="s">
        <v>4310</v>
      </c>
      <c r="B1798" s="1208" t="s">
        <v>3949</v>
      </c>
      <c r="C1798" s="1209">
        <v>44977</v>
      </c>
      <c r="D1798" s="1208" t="s">
        <v>389</v>
      </c>
      <c r="E1798" s="1208" t="s">
        <v>390</v>
      </c>
      <c r="F1798" s="1208" t="s">
        <v>4333</v>
      </c>
      <c r="G1798" s="1184" t="s">
        <v>456</v>
      </c>
      <c r="H1798" s="1210">
        <v>460000000</v>
      </c>
      <c r="I1798" s="1208" t="s">
        <v>856</v>
      </c>
      <c r="J1798" s="1186" t="str">
        <f>VLOOKUP($I1798,'Price List, Weapons &amp; Items'!B:C,2,0)</f>
        <v>Ammunition for heavy weapon</v>
      </c>
      <c r="K1798" s="1186" t="str">
        <f>IF(I1798=".",I1798,VLOOKUP($I1798,'Price List, Weapons &amp; Items'!B:D,3,0))</f>
        <v>155mm howitzer ammunition</v>
      </c>
      <c r="L1798" s="1187">
        <f>VLOOKUP(I1798,'Price List, Weapons &amp; Items'!B:E,4,0)</f>
        <v>0</v>
      </c>
      <c r="M1798" s="1188">
        <v>61500</v>
      </c>
      <c r="N1798" s="1188" t="s">
        <v>374</v>
      </c>
      <c r="O1798" s="1188">
        <f>VLOOKUP($I1798,'Price List, Weapons &amp; Items'!B:G,6,0)</f>
        <v>3800</v>
      </c>
      <c r="P1798" s="1185">
        <f t="shared" si="386"/>
        <v>233700000</v>
      </c>
      <c r="Q1798" s="1185" t="str">
        <f t="shared" si="387"/>
        <v>.</v>
      </c>
      <c r="R1798" s="1185" t="str">
        <f t="shared" si="383"/>
        <v/>
      </c>
      <c r="S1798" s="1185" t="str">
        <f>IF(AND(AD1798=1,R1798&lt;&gt;".")=TRUE,R1798/VLOOKUP(G1798,'Exchange Rates'!B:C,2,0),IF(R1798=".",".",""))</f>
        <v/>
      </c>
      <c r="T1798" s="1185" t="str">
        <f>IF(AD1798=1,IF(AF1798="Value is not given at all",".",IF(AF1798="Value is given by the source",S1798,IF(AF1798="Value is calculated with prices",(IF(SUMIFS(Q:Q,A:A,A1798)&gt;0,SUMIFS(Q:Q,A:A,A1798),"."))/VLOOKUP("USD",'Exchange Rates'!B:C,2,0),"Error with coding"))),"")</f>
        <v/>
      </c>
      <c r="U1798" s="1191" t="s">
        <v>365</v>
      </c>
      <c r="V1798" s="983" t="s">
        <v>4334</v>
      </c>
      <c r="W1798" s="983" t="s">
        <v>3989</v>
      </c>
      <c r="X1798" s="1208" t="s">
        <v>364</v>
      </c>
      <c r="Y1798" s="1208" t="s">
        <v>364</v>
      </c>
      <c r="Z1798" s="1191">
        <v>0</v>
      </c>
      <c r="AA1798" s="1191">
        <v>0</v>
      </c>
      <c r="AB1798" s="1208" t="s">
        <v>364</v>
      </c>
      <c r="AC1798" s="1192" t="str">
        <f>""</f>
        <v/>
      </c>
      <c r="AD1798" s="1193">
        <v>0</v>
      </c>
      <c r="AE1798" s="1191" t="s">
        <v>368</v>
      </c>
      <c r="AF1798" s="1191" t="s">
        <v>369</v>
      </c>
      <c r="AG1798" s="1193">
        <v>1</v>
      </c>
      <c r="AH1798" s="1193">
        <v>14</v>
      </c>
      <c r="AI1798" s="1193">
        <v>0</v>
      </c>
      <c r="AJ1798" s="1193">
        <f>VLOOKUP($I1798,'Price List, Weapons &amp; Items'!B:F,5,0)</f>
        <v>1</v>
      </c>
      <c r="AK1798" s="1193">
        <f t="shared" si="388"/>
        <v>0</v>
      </c>
      <c r="AL1798" s="1193">
        <f t="shared" si="389"/>
        <v>1</v>
      </c>
      <c r="AM1798" s="1193">
        <f t="shared" si="390"/>
        <v>0</v>
      </c>
      <c r="AN1798" s="1194" t="str">
        <f>VLOOKUP($I1798,'Price List, Weapons &amp; Items'!B:L,COLUMN('Price List, Weapons &amp; Items'!$J$11)-1,0)</f>
        <v>Government information</v>
      </c>
      <c r="AO1798" s="1194" t="str">
        <f>IF(I1798=".",".",VLOOKUP($I1798,'Price List, Weapons &amp; Items'!B:J,3,0))</f>
        <v>155mm howitzer ammunition</v>
      </c>
      <c r="AP1798" s="1195" t="str">
        <f t="shared" ca="1" si="384"/>
        <v/>
      </c>
      <c r="AQ1798" s="1194">
        <f>VLOOKUP($I1798,'Price List, Weapons &amp; Items'!B:L,COLUMN('Price List, Weapons &amp; Items'!$L$11)-1,0)</f>
        <v>2</v>
      </c>
      <c r="AR1798" s="1194">
        <f t="shared" si="391"/>
        <v>1</v>
      </c>
      <c r="AS1798" s="1194">
        <f t="shared" si="392"/>
        <v>1</v>
      </c>
      <c r="AT1798" s="1194">
        <f t="shared" si="393"/>
        <v>1</v>
      </c>
      <c r="AU1798" s="1194" t="str">
        <f t="shared" si="382"/>
        <v>.</v>
      </c>
      <c r="AV1798" s="1194" t="str">
        <f t="shared" si="385"/>
        <v>.</v>
      </c>
      <c r="AW1798" s="1194" t="str">
        <f t="shared" si="394"/>
        <v>.</v>
      </c>
      <c r="AX1798" s="1194">
        <f>IFERROR(VLOOKUP(B1798,'Share, Heavy Weapons to Ukraine'!B:Z,COLUMN('Share, Heavy Weapons to Ukraine'!C1808)-1,0),0)</f>
        <v>1</v>
      </c>
      <c r="AY1798" s="1194">
        <f>VLOOKUP('Bilateral Assistance, MAIN DATA'!B1798,'Country Summary (€)'!B:F,COLUMN('Country Summary (€)'!C1809)-1,FALSE)</f>
        <v>0</v>
      </c>
      <c r="AZ1798" s="1194" t="str">
        <f>IF(AND(AD1798=1,D1798="Military",H1798&lt;&gt;"Not given")=TRUE,IF(SUMIFS(P:P,A:A,A1798)&gt;0,ABS((SUMIFS(P:P,A:A,A1798)/VLOOKUP("USD",'Exchange Rates'!B:C,2,0)))/S1798,"."),".")</f>
        <v>.</v>
      </c>
      <c r="BA1798" s="1196" t="str">
        <f>IF(AND(AD1798=1,D1798="Military",H1798&lt;&gt;"Not given")=TRUE,IF(SUMIFS(P:P,A:A,A1798)&gt;0,IF((ABS((SUMIFS(P:P,A:A,A1798)/VLOOKUP("USD",'Exchange Rates'!B:C,2,0)))/S1798)&gt;1,(SUMIFS(P:P,A:A,A1798)-S1798)/S1798,(S1798-SUMIFS(P:P,A:A,A1798))/SUMIFS(P:P,A:A,A1798)),"."),".")</f>
        <v>.</v>
      </c>
      <c r="BB1798" s="1208" t="s">
        <v>38</v>
      </c>
      <c r="BC1798" s="1208" t="s">
        <v>38</v>
      </c>
      <c r="BD1798" s="1208" t="s">
        <v>38</v>
      </c>
      <c r="BE1798" s="1208" t="s">
        <v>38</v>
      </c>
      <c r="BF1798" s="1208" t="s">
        <v>38</v>
      </c>
      <c r="BG1798" s="1208" t="s">
        <v>38</v>
      </c>
      <c r="BH1798" s="1208" t="s">
        <v>38</v>
      </c>
      <c r="BI1798" s="1208" t="s">
        <v>38</v>
      </c>
      <c r="BJ1798" s="1208" t="s">
        <v>38</v>
      </c>
      <c r="BK1798" s="1208" t="s">
        <v>38</v>
      </c>
      <c r="BL1798" s="1208" t="s">
        <v>38</v>
      </c>
      <c r="BM1798" s="1208" t="s">
        <v>38</v>
      </c>
      <c r="BN1798" s="1208" t="s">
        <v>38</v>
      </c>
      <c r="BO1798" s="1208" t="s">
        <v>38</v>
      </c>
      <c r="BP1798" s="1208" t="s">
        <v>38</v>
      </c>
      <c r="BQ1798" s="1208" t="s">
        <v>38</v>
      </c>
      <c r="BR1798" s="1208" t="s">
        <v>38</v>
      </c>
      <c r="BS1798" s="1208" t="s">
        <v>38</v>
      </c>
    </row>
    <row r="1799" spans="1:71" ht="15.95" customHeight="1">
      <c r="A1799" s="1208" t="s">
        <v>4310</v>
      </c>
      <c r="B1799" s="1208" t="s">
        <v>3949</v>
      </c>
      <c r="C1799" s="1209">
        <v>44977</v>
      </c>
      <c r="D1799" s="1208" t="s">
        <v>389</v>
      </c>
      <c r="E1799" s="1208" t="s">
        <v>390</v>
      </c>
      <c r="F1799" s="1208" t="s">
        <v>4333</v>
      </c>
      <c r="G1799" s="1184" t="s">
        <v>456</v>
      </c>
      <c r="H1799" s="1210">
        <v>460000000</v>
      </c>
      <c r="I1799" s="1208" t="s">
        <v>3137</v>
      </c>
      <c r="J1799" s="1186" t="str">
        <f>VLOOKUP($I1799,'Price List, Weapons &amp; Items'!B:C,2,0)</f>
        <v>Ammunition for heavy weapon</v>
      </c>
      <c r="K1799" s="1186" t="str">
        <f>IF(I1799=".",I1799,VLOOKUP($I1799,'Price List, Weapons &amp; Items'!B:D,3,0))</f>
        <v>Mortar ammunition</v>
      </c>
      <c r="L1799" s="1187">
        <f>VLOOKUP(I1799,'Price List, Weapons &amp; Items'!B:E,4,0)</f>
        <v>0</v>
      </c>
      <c r="M1799" s="1188" t="s">
        <v>374</v>
      </c>
      <c r="N1799" s="1188" t="s">
        <v>374</v>
      </c>
      <c r="O1799" s="1188">
        <f>VLOOKUP($I1799,'Price List, Weapons &amp; Items'!B:G,6,0)</f>
        <v>109.89</v>
      </c>
      <c r="P1799" s="1185" t="str">
        <f t="shared" si="386"/>
        <v>.</v>
      </c>
      <c r="Q1799" s="1185" t="str">
        <f t="shared" si="387"/>
        <v>.</v>
      </c>
      <c r="R1799" s="1185" t="str">
        <f t="shared" si="383"/>
        <v/>
      </c>
      <c r="S1799" s="1185" t="str">
        <f>IF(AND(AD1799=1,R1799&lt;&gt;".")=TRUE,R1799/VLOOKUP(G1799,'Exchange Rates'!B:C,2,0),IF(R1799=".",".",""))</f>
        <v/>
      </c>
      <c r="T1799" s="1185" t="str">
        <f>IF(AD1799=1,IF(AF1799="Value is not given at all",".",IF(AF1799="Value is given by the source",S1799,IF(AF1799="Value is calculated with prices",(IF(SUMIFS(Q:Q,A:A,A1799)&gt;0,SUMIFS(Q:Q,A:A,A1799),"."))/VLOOKUP("USD",'Exchange Rates'!B:C,2,0),"Error with coding"))),"")</f>
        <v/>
      </c>
      <c r="U1799" s="1191" t="s">
        <v>365</v>
      </c>
      <c r="V1799" s="983" t="s">
        <v>4334</v>
      </c>
      <c r="W1799" s="983" t="s">
        <v>3989</v>
      </c>
      <c r="X1799" s="1208" t="s">
        <v>364</v>
      </c>
      <c r="Y1799" s="1208" t="s">
        <v>364</v>
      </c>
      <c r="Z1799" s="1191">
        <v>0</v>
      </c>
      <c r="AA1799" s="1191">
        <v>0</v>
      </c>
      <c r="AB1799" s="1208" t="s">
        <v>364</v>
      </c>
      <c r="AC1799" s="1192" t="str">
        <f>""</f>
        <v/>
      </c>
      <c r="AD1799" s="1193">
        <v>0</v>
      </c>
      <c r="AE1799" s="1191" t="s">
        <v>368</v>
      </c>
      <c r="AF1799" s="1191" t="s">
        <v>369</v>
      </c>
      <c r="AG1799" s="1193">
        <v>1</v>
      </c>
      <c r="AH1799" s="1193">
        <v>14</v>
      </c>
      <c r="AI1799" s="1193">
        <v>0</v>
      </c>
      <c r="AJ1799" s="1193">
        <f>VLOOKUP($I1799,'Price List, Weapons &amp; Items'!B:F,5,0)</f>
        <v>0</v>
      </c>
      <c r="AK1799" s="1193">
        <f t="shared" si="388"/>
        <v>0</v>
      </c>
      <c r="AL1799" s="1193">
        <f t="shared" si="389"/>
        <v>0</v>
      </c>
      <c r="AM1799" s="1193">
        <f t="shared" si="390"/>
        <v>0</v>
      </c>
      <c r="AN1799" s="1194" t="str">
        <f>VLOOKUP($I1799,'Price List, Weapons &amp; Items'!B:L,COLUMN('Price List, Weapons &amp; Items'!$J$11)-1,0)</f>
        <v>Government information</v>
      </c>
      <c r="AO1799" s="1194" t="str">
        <f>IF(I1799=".",".",VLOOKUP($I1799,'Price List, Weapons &amp; Items'!B:J,3,0))</f>
        <v>Mortar ammunition</v>
      </c>
      <c r="AP1799" s="1195" t="str">
        <f t="shared" ca="1" si="384"/>
        <v/>
      </c>
      <c r="AQ1799" s="1194">
        <f>VLOOKUP($I1799,'Price List, Weapons &amp; Items'!B:L,COLUMN('Price List, Weapons &amp; Items'!$L$11)-1,0)</f>
        <v>2</v>
      </c>
      <c r="AR1799" s="1194">
        <f t="shared" si="391"/>
        <v>1</v>
      </c>
      <c r="AS1799" s="1194">
        <f t="shared" si="392"/>
        <v>1</v>
      </c>
      <c r="AT1799" s="1194">
        <f t="shared" si="393"/>
        <v>1</v>
      </c>
      <c r="AU1799" s="1194" t="str">
        <f t="shared" si="382"/>
        <v>.</v>
      </c>
      <c r="AV1799" s="1194" t="str">
        <f t="shared" si="385"/>
        <v>.</v>
      </c>
      <c r="AW1799" s="1194" t="str">
        <f t="shared" si="394"/>
        <v>.</v>
      </c>
      <c r="AX1799" s="1194">
        <f>IFERROR(VLOOKUP(B1799,'Share, Heavy Weapons to Ukraine'!B:Z,COLUMN('Share, Heavy Weapons to Ukraine'!C1809)-1,0),0)</f>
        <v>1</v>
      </c>
      <c r="AY1799" s="1194">
        <f>VLOOKUP('Bilateral Assistance, MAIN DATA'!B1799,'Country Summary (€)'!B:F,COLUMN('Country Summary (€)'!C1810)-1,FALSE)</f>
        <v>0</v>
      </c>
      <c r="AZ1799" s="1194" t="str">
        <f>IF(AND(AD1799=1,D1799="Military",H1799&lt;&gt;"Not given")=TRUE,IF(SUMIFS(P:P,A:A,A1799)&gt;0,ABS((SUMIFS(P:P,A:A,A1799)/VLOOKUP("USD",'Exchange Rates'!B:C,2,0)))/S1799,"."),".")</f>
        <v>.</v>
      </c>
      <c r="BA1799" s="1196" t="str">
        <f>IF(AND(AD1799=1,D1799="Military",H1799&lt;&gt;"Not given")=TRUE,IF(SUMIFS(P:P,A:A,A1799)&gt;0,IF((ABS((SUMIFS(P:P,A:A,A1799)/VLOOKUP("USD",'Exchange Rates'!B:C,2,0)))/S1799)&gt;1,(SUMIFS(P:P,A:A,A1799)-S1799)/S1799,(S1799-SUMIFS(P:P,A:A,A1799))/SUMIFS(P:P,A:A,A1799)),"."),".")</f>
        <v>.</v>
      </c>
      <c r="BB1799" s="1208" t="s">
        <v>38</v>
      </c>
      <c r="BC1799" s="1208" t="s">
        <v>38</v>
      </c>
      <c r="BD1799" s="1208" t="s">
        <v>38</v>
      </c>
      <c r="BE1799" s="1208" t="s">
        <v>38</v>
      </c>
      <c r="BF1799" s="1208" t="s">
        <v>38</v>
      </c>
      <c r="BG1799" s="1208" t="s">
        <v>38</v>
      </c>
      <c r="BH1799" s="1208" t="s">
        <v>38</v>
      </c>
      <c r="BI1799" s="1208" t="s">
        <v>38</v>
      </c>
      <c r="BJ1799" s="1208" t="s">
        <v>38</v>
      </c>
      <c r="BK1799" s="1208" t="s">
        <v>38</v>
      </c>
      <c r="BL1799" s="1208" t="s">
        <v>38</v>
      </c>
      <c r="BM1799" s="1208" t="s">
        <v>38</v>
      </c>
      <c r="BN1799" s="1208" t="s">
        <v>38</v>
      </c>
      <c r="BO1799" s="1208" t="s">
        <v>38</v>
      </c>
      <c r="BP1799" s="1208" t="s">
        <v>38</v>
      </c>
      <c r="BQ1799" s="1208" t="s">
        <v>38</v>
      </c>
      <c r="BR1799" s="1208" t="s">
        <v>38</v>
      </c>
      <c r="BS1799" s="1208" t="s">
        <v>38</v>
      </c>
    </row>
    <row r="1800" spans="1:71" ht="15.95" customHeight="1">
      <c r="A1800" s="1208" t="s">
        <v>4310</v>
      </c>
      <c r="B1800" s="1208" t="s">
        <v>3949</v>
      </c>
      <c r="C1800" s="1209">
        <v>44977</v>
      </c>
      <c r="D1800" s="1208" t="s">
        <v>389</v>
      </c>
      <c r="E1800" s="1208" t="s">
        <v>390</v>
      </c>
      <c r="F1800" s="1208" t="s">
        <v>4333</v>
      </c>
      <c r="G1800" s="1184" t="s">
        <v>456</v>
      </c>
      <c r="H1800" s="1210">
        <v>460000000</v>
      </c>
      <c r="I1800" s="1208" t="s">
        <v>4335</v>
      </c>
      <c r="J1800" s="1186" t="str">
        <f>VLOOKUP($I1800,'Price List, Weapons &amp; Items'!B:C,2,0)</f>
        <v>Heavy weapon</v>
      </c>
      <c r="K1800" s="1186" t="str">
        <f>IF(I1800=".",I1800,VLOOKUP($I1800,'Price List, Weapons &amp; Items'!B:D,3,0))</f>
        <v>Radar or imagery systems</v>
      </c>
      <c r="L1800" s="1187">
        <f>VLOOKUP(I1800,'Price List, Weapons &amp; Items'!B:E,4,0)</f>
        <v>0</v>
      </c>
      <c r="M1800" s="1241">
        <v>4</v>
      </c>
      <c r="N1800" s="1188" t="s">
        <v>374</v>
      </c>
      <c r="O1800" s="1188">
        <f>VLOOKUP($I1800,'Price List, Weapons &amp; Items'!B:G,6,0)</f>
        <v>70000000</v>
      </c>
      <c r="P1800" s="1185">
        <f t="shared" si="386"/>
        <v>280000000</v>
      </c>
      <c r="Q1800" s="1185" t="str">
        <f t="shared" si="387"/>
        <v>.</v>
      </c>
      <c r="R1800" s="1185" t="str">
        <f t="shared" si="383"/>
        <v/>
      </c>
      <c r="S1800" s="1185" t="str">
        <f>IF(AND(AD1800=1,R1800&lt;&gt;".")=TRUE,R1800/VLOOKUP(G1800,'Exchange Rates'!B:C,2,0),IF(R1800=".",".",""))</f>
        <v/>
      </c>
      <c r="T1800" s="1185" t="str">
        <f>IF(AD1800=1,IF(AF1800="Value is not given at all",".",IF(AF1800="Value is given by the source",S1800,IF(AF1800="Value is calculated with prices",(IF(SUMIFS(Q:Q,A:A,A1800)&gt;0,SUMIFS(Q:Q,A:A,A1800),"."))/VLOOKUP("USD",'Exchange Rates'!B:C,2,0),"Error with coding"))),"")</f>
        <v/>
      </c>
      <c r="U1800" s="1191" t="s">
        <v>365</v>
      </c>
      <c r="V1800" s="983" t="s">
        <v>4334</v>
      </c>
      <c r="W1800" s="983" t="s">
        <v>3989</v>
      </c>
      <c r="X1800" s="1208" t="s">
        <v>364</v>
      </c>
      <c r="Y1800" s="1208" t="s">
        <v>364</v>
      </c>
      <c r="Z1800" s="1191">
        <v>0</v>
      </c>
      <c r="AA1800" s="1191">
        <v>0</v>
      </c>
      <c r="AB1800" s="1208" t="s">
        <v>364</v>
      </c>
      <c r="AC1800" s="1192" t="str">
        <f>""</f>
        <v/>
      </c>
      <c r="AD1800" s="1193">
        <v>0</v>
      </c>
      <c r="AE1800" s="1191" t="s">
        <v>368</v>
      </c>
      <c r="AF1800" s="1191" t="s">
        <v>369</v>
      </c>
      <c r="AG1800" s="1193">
        <v>1</v>
      </c>
      <c r="AH1800" s="1193">
        <v>14</v>
      </c>
      <c r="AI1800" s="1193">
        <v>0</v>
      </c>
      <c r="AJ1800" s="1193">
        <f>VLOOKUP($I1800,'Price List, Weapons &amp; Items'!B:F,5,0)</f>
        <v>0</v>
      </c>
      <c r="AK1800" s="1193">
        <f t="shared" si="388"/>
        <v>0</v>
      </c>
      <c r="AL1800" s="1193">
        <f t="shared" si="389"/>
        <v>0</v>
      </c>
      <c r="AM1800" s="1193">
        <f t="shared" si="390"/>
        <v>0</v>
      </c>
      <c r="AN1800" s="1194" t="str">
        <f>VLOOKUP($I1800,'Price List, Weapons &amp; Items'!B:L,COLUMN('Price List, Weapons &amp; Items'!$J$11)-1,0)</f>
        <v>Military media (incl. websites)</v>
      </c>
      <c r="AO1800" s="1194" t="str">
        <f>IF(I1800=".",".",VLOOKUP($I1800,'Price List, Weapons &amp; Items'!B:J,3,0))</f>
        <v>Radar or imagery systems</v>
      </c>
      <c r="AP1800" s="1195" t="str">
        <f t="shared" ca="1" si="384"/>
        <v/>
      </c>
      <c r="AQ1800" s="1194">
        <f>VLOOKUP($I1800,'Price List, Weapons &amp; Items'!B:L,COLUMN('Price List, Weapons &amp; Items'!$L$11)-1,0)</f>
        <v>2</v>
      </c>
      <c r="AR1800" s="1194">
        <f t="shared" si="391"/>
        <v>1</v>
      </c>
      <c r="AS1800" s="1194">
        <f t="shared" si="392"/>
        <v>1</v>
      </c>
      <c r="AT1800" s="1194">
        <f t="shared" si="393"/>
        <v>1</v>
      </c>
      <c r="AU1800" s="1194" t="str">
        <f t="shared" si="382"/>
        <v>.</v>
      </c>
      <c r="AV1800" s="1194" t="str">
        <f t="shared" si="385"/>
        <v>.</v>
      </c>
      <c r="AW1800" s="1194" t="str">
        <f t="shared" si="394"/>
        <v>.</v>
      </c>
      <c r="AX1800" s="1194">
        <f>IFERROR(VLOOKUP(B1800,'Share, Heavy Weapons to Ukraine'!B:Z,COLUMN('Share, Heavy Weapons to Ukraine'!C1810)-1,0),0)</f>
        <v>1</v>
      </c>
      <c r="AY1800" s="1194">
        <f>VLOOKUP('Bilateral Assistance, MAIN DATA'!B1800,'Country Summary (€)'!B:F,COLUMN('Country Summary (€)'!C1811)-1,FALSE)</f>
        <v>0</v>
      </c>
      <c r="AZ1800" s="1194" t="str">
        <f>IF(AND(AD1800=1,D1800="Military",H1800&lt;&gt;"Not given")=TRUE,IF(SUMIFS(P:P,A:A,A1800)&gt;0,ABS((SUMIFS(P:P,A:A,A1800)/VLOOKUP("USD",'Exchange Rates'!B:C,2,0)))/S1800,"."),".")</f>
        <v>.</v>
      </c>
      <c r="BA1800" s="1196" t="str">
        <f>IF(AND(AD1800=1,D1800="Military",H1800&lt;&gt;"Not given")=TRUE,IF(SUMIFS(P:P,A:A,A1800)&gt;0,IF((ABS((SUMIFS(P:P,A:A,A1800)/VLOOKUP("USD",'Exchange Rates'!B:C,2,0)))/S1800)&gt;1,(SUMIFS(P:P,A:A,A1800)-S1800)/S1800,(S1800-SUMIFS(P:P,A:A,A1800))/SUMIFS(P:P,A:A,A1800)),"."),".")</f>
        <v>.</v>
      </c>
      <c r="BB1800" s="1208" t="s">
        <v>38</v>
      </c>
      <c r="BC1800" s="1208" t="s">
        <v>38</v>
      </c>
      <c r="BD1800" s="1208" t="s">
        <v>38</v>
      </c>
      <c r="BE1800" s="1208" t="s">
        <v>38</v>
      </c>
      <c r="BF1800" s="1208" t="s">
        <v>38</v>
      </c>
      <c r="BG1800" s="1208" t="s">
        <v>38</v>
      </c>
      <c r="BH1800" s="1208" t="s">
        <v>38</v>
      </c>
      <c r="BI1800" s="1208" t="s">
        <v>38</v>
      </c>
      <c r="BJ1800" s="1208" t="s">
        <v>38</v>
      </c>
      <c r="BK1800" s="1208" t="s">
        <v>38</v>
      </c>
      <c r="BL1800" s="1208" t="s">
        <v>38</v>
      </c>
      <c r="BM1800" s="1208" t="s">
        <v>38</v>
      </c>
      <c r="BN1800" s="1208" t="s">
        <v>38</v>
      </c>
      <c r="BO1800" s="1208" t="s">
        <v>38</v>
      </c>
      <c r="BP1800" s="1208" t="s">
        <v>38</v>
      </c>
      <c r="BQ1800" s="1208" t="s">
        <v>38</v>
      </c>
      <c r="BR1800" s="1208" t="s">
        <v>38</v>
      </c>
      <c r="BS1800" s="1208" t="s">
        <v>38</v>
      </c>
    </row>
    <row r="1801" spans="1:71" ht="15.95" customHeight="1">
      <c r="A1801" s="1208" t="s">
        <v>4310</v>
      </c>
      <c r="B1801" s="1208" t="s">
        <v>3949</v>
      </c>
      <c r="C1801" s="1209">
        <v>44977</v>
      </c>
      <c r="D1801" s="1208" t="s">
        <v>389</v>
      </c>
      <c r="E1801" s="1208" t="s">
        <v>390</v>
      </c>
      <c r="F1801" s="1208" t="s">
        <v>4333</v>
      </c>
      <c r="G1801" s="1184" t="s">
        <v>456</v>
      </c>
      <c r="H1801" s="1210">
        <v>460000000</v>
      </c>
      <c r="I1801" s="1208" t="s">
        <v>4166</v>
      </c>
      <c r="J1801" s="1186" t="str">
        <f>VLOOKUP($I1801,'Price List, Weapons &amp; Items'!B:C,2,0)</f>
        <v>Portable defence system</v>
      </c>
      <c r="K1801" s="1186" t="str">
        <f>IF(I1801=".",I1801,VLOOKUP($I1801,'Price List, Weapons &amp; Items'!B:D,3,0))</f>
        <v>Light Anti-armor Weapon (LAW)</v>
      </c>
      <c r="L1801" s="1187">
        <f>VLOOKUP(I1801,'Price List, Weapons &amp; Items'!B:E,4,0)</f>
        <v>0</v>
      </c>
      <c r="M1801" s="1188" t="s">
        <v>374</v>
      </c>
      <c r="N1801" s="1188" t="s">
        <v>374</v>
      </c>
      <c r="O1801" s="1188">
        <f>VLOOKUP($I1801,'Price List, Weapons &amp; Items'!B:G,6,0)</f>
        <v>246216</v>
      </c>
      <c r="P1801" s="1185" t="str">
        <f t="shared" si="386"/>
        <v>.</v>
      </c>
      <c r="Q1801" s="1185" t="str">
        <f t="shared" si="387"/>
        <v>.</v>
      </c>
      <c r="R1801" s="1185" t="str">
        <f t="shared" si="383"/>
        <v/>
      </c>
      <c r="S1801" s="1185" t="str">
        <f>IF(AND(AD1801=1,R1801&lt;&gt;".")=TRUE,R1801/VLOOKUP(G1801,'Exchange Rates'!B:C,2,0),IF(R1801=".",".",""))</f>
        <v/>
      </c>
      <c r="T1801" s="1185" t="str">
        <f>IF(AD1801=1,IF(AF1801="Value is not given at all",".",IF(AF1801="Value is given by the source",S1801,IF(AF1801="Value is calculated with prices",(IF(SUMIFS(Q:Q,A:A,A1801)&gt;0,SUMIFS(Q:Q,A:A,A1801),"."))/VLOOKUP("USD",'Exchange Rates'!B:C,2,0),"Error with coding"))),"")</f>
        <v/>
      </c>
      <c r="U1801" s="1191" t="s">
        <v>365</v>
      </c>
      <c r="V1801" s="983" t="s">
        <v>4334</v>
      </c>
      <c r="W1801" s="983" t="s">
        <v>3989</v>
      </c>
      <c r="X1801" s="1208" t="s">
        <v>364</v>
      </c>
      <c r="Y1801" s="1208" t="s">
        <v>364</v>
      </c>
      <c r="Z1801" s="1191">
        <v>0</v>
      </c>
      <c r="AA1801" s="1191">
        <v>0</v>
      </c>
      <c r="AB1801" s="1208" t="s">
        <v>364</v>
      </c>
      <c r="AC1801" s="1192" t="str">
        <f>""</f>
        <v/>
      </c>
      <c r="AD1801" s="1193">
        <v>0</v>
      </c>
      <c r="AE1801" s="1191" t="s">
        <v>368</v>
      </c>
      <c r="AF1801" s="1191" t="s">
        <v>369</v>
      </c>
      <c r="AG1801" s="1193">
        <v>1</v>
      </c>
      <c r="AH1801" s="1193">
        <v>14</v>
      </c>
      <c r="AI1801" s="1193">
        <v>0</v>
      </c>
      <c r="AJ1801" s="1193">
        <f>VLOOKUP($I1801,'Price List, Weapons &amp; Items'!B:F,5,0)</f>
        <v>0</v>
      </c>
      <c r="AK1801" s="1193">
        <f t="shared" si="388"/>
        <v>0</v>
      </c>
      <c r="AL1801" s="1193">
        <f t="shared" si="389"/>
        <v>0</v>
      </c>
      <c r="AM1801" s="1193">
        <f t="shared" si="390"/>
        <v>0</v>
      </c>
      <c r="AN1801" s="1194" t="str">
        <f>VLOOKUP($I1801,'Price List, Weapons &amp; Items'!B:L,COLUMN('Price List, Weapons &amp; Items'!$J$11)-1,0)</f>
        <v>Government information</v>
      </c>
      <c r="AO1801" s="1194" t="str">
        <f>IF(I1801=".",".",VLOOKUP($I1801,'Price List, Weapons &amp; Items'!B:J,3,0))</f>
        <v>Light Anti-armor Weapon (LAW)</v>
      </c>
      <c r="AP1801" s="1195" t="str">
        <f t="shared" ca="1" si="384"/>
        <v/>
      </c>
      <c r="AQ1801" s="1194">
        <f>VLOOKUP($I1801,'Price List, Weapons &amp; Items'!B:L,COLUMN('Price List, Weapons &amp; Items'!$L$11)-1,0)</f>
        <v>2</v>
      </c>
      <c r="AR1801" s="1194">
        <f t="shared" si="391"/>
        <v>1</v>
      </c>
      <c r="AS1801" s="1194">
        <f t="shared" si="392"/>
        <v>1</v>
      </c>
      <c r="AT1801" s="1194">
        <f t="shared" si="393"/>
        <v>1</v>
      </c>
      <c r="AU1801" s="1194" t="str">
        <f t="shared" si="382"/>
        <v>.</v>
      </c>
      <c r="AV1801" s="1194" t="str">
        <f t="shared" si="385"/>
        <v>.</v>
      </c>
      <c r="AW1801" s="1194" t="str">
        <f t="shared" si="394"/>
        <v>.</v>
      </c>
      <c r="AX1801" s="1194">
        <f>IFERROR(VLOOKUP(B1801,'Share, Heavy Weapons to Ukraine'!B:Z,COLUMN('Share, Heavy Weapons to Ukraine'!C1811)-1,0),0)</f>
        <v>1</v>
      </c>
      <c r="AY1801" s="1194">
        <f>VLOOKUP('Bilateral Assistance, MAIN DATA'!B1801,'Country Summary (€)'!B:F,COLUMN('Country Summary (€)'!C1812)-1,FALSE)</f>
        <v>0</v>
      </c>
      <c r="AZ1801" s="1194" t="str">
        <f>IF(AND(AD1801=1,D1801="Military",H1801&lt;&gt;"Not given")=TRUE,IF(SUMIFS(P:P,A:A,A1801)&gt;0,ABS((SUMIFS(P:P,A:A,A1801)/VLOOKUP("USD",'Exchange Rates'!B:C,2,0)))/S1801,"."),".")</f>
        <v>.</v>
      </c>
      <c r="BA1801" s="1196" t="str">
        <f>IF(AND(AD1801=1,D1801="Military",H1801&lt;&gt;"Not given")=TRUE,IF(SUMIFS(P:P,A:A,A1801)&gt;0,IF((ABS((SUMIFS(P:P,A:A,A1801)/VLOOKUP("USD",'Exchange Rates'!B:C,2,0)))/S1801)&gt;1,(SUMIFS(P:P,A:A,A1801)-S1801)/S1801,(S1801-SUMIFS(P:P,A:A,A1801))/SUMIFS(P:P,A:A,A1801)),"."),".")</f>
        <v>.</v>
      </c>
      <c r="BB1801" s="1208" t="s">
        <v>38</v>
      </c>
      <c r="BC1801" s="1208" t="s">
        <v>38</v>
      </c>
      <c r="BD1801" s="1208" t="s">
        <v>38</v>
      </c>
      <c r="BE1801" s="1208" t="s">
        <v>38</v>
      </c>
      <c r="BF1801" s="1208" t="s">
        <v>38</v>
      </c>
      <c r="BG1801" s="1208" t="s">
        <v>38</v>
      </c>
      <c r="BH1801" s="1208" t="s">
        <v>38</v>
      </c>
      <c r="BI1801" s="1208" t="s">
        <v>38</v>
      </c>
      <c r="BJ1801" s="1208" t="s">
        <v>38</v>
      </c>
      <c r="BK1801" s="1208" t="s">
        <v>38</v>
      </c>
      <c r="BL1801" s="1208" t="s">
        <v>38</v>
      </c>
      <c r="BM1801" s="1208" t="s">
        <v>38</v>
      </c>
      <c r="BN1801" s="1208" t="s">
        <v>38</v>
      </c>
      <c r="BO1801" s="1208" t="s">
        <v>38</v>
      </c>
      <c r="BP1801" s="1208" t="s">
        <v>38</v>
      </c>
      <c r="BQ1801" s="1208" t="s">
        <v>38</v>
      </c>
      <c r="BR1801" s="1208" t="s">
        <v>38</v>
      </c>
      <c r="BS1801" s="1208" t="s">
        <v>38</v>
      </c>
    </row>
    <row r="1802" spans="1:71" ht="15.95" customHeight="1">
      <c r="A1802" s="1208" t="s">
        <v>4310</v>
      </c>
      <c r="B1802" s="1208" t="s">
        <v>3949</v>
      </c>
      <c r="C1802" s="1209">
        <v>44977</v>
      </c>
      <c r="D1802" s="1208" t="s">
        <v>389</v>
      </c>
      <c r="E1802" s="1208" t="s">
        <v>390</v>
      </c>
      <c r="F1802" s="1208" t="s">
        <v>4333</v>
      </c>
      <c r="G1802" s="1184" t="s">
        <v>456</v>
      </c>
      <c r="H1802" s="1210">
        <v>460000000</v>
      </c>
      <c r="I1802" s="1208" t="s">
        <v>651</v>
      </c>
      <c r="J1802" s="1186" t="str">
        <f>VLOOKUP($I1802,'Price List, Weapons &amp; Items'!B:C,2,0)</f>
        <v>Portable defence system</v>
      </c>
      <c r="K1802" s="1186" t="str">
        <f>IF(I1802=".",I1802,VLOOKUP($I1802,'Price List, Weapons &amp; Items'!B:D,3,0))</f>
        <v>Light Anti-armor Weapon (LAW)</v>
      </c>
      <c r="L1802" s="1187">
        <f>VLOOKUP(I1802,'Price List, Weapons &amp; Items'!B:E,4,0)</f>
        <v>0</v>
      </c>
      <c r="M1802" s="1241">
        <v>2000</v>
      </c>
      <c r="N1802" s="1188" t="s">
        <v>374</v>
      </c>
      <c r="O1802" s="1188">
        <f>VLOOKUP($I1802,'Price List, Weapons &amp; Items'!B:G,6,0)</f>
        <v>78000</v>
      </c>
      <c r="P1802" s="1185">
        <f t="shared" si="386"/>
        <v>156000000</v>
      </c>
      <c r="Q1802" s="1185" t="str">
        <f t="shared" si="387"/>
        <v>.</v>
      </c>
      <c r="R1802" s="1185" t="str">
        <f t="shared" si="383"/>
        <v/>
      </c>
      <c r="S1802" s="1185" t="str">
        <f>IF(AND(AD1802=1,R1802&lt;&gt;".")=TRUE,R1802/VLOOKUP(G1802,'Exchange Rates'!B:C,2,0),IF(R1802=".",".",""))</f>
        <v/>
      </c>
      <c r="T1802" s="1185" t="str">
        <f>IF(AD1802=1,IF(AF1802="Value is not given at all",".",IF(AF1802="Value is given by the source",S1802,IF(AF1802="Value is calculated with prices",(IF(SUMIFS(Q:Q,A:A,A1802)&gt;0,SUMIFS(Q:Q,A:A,A1802),"."))/VLOOKUP("USD",'Exchange Rates'!B:C,2,0),"Error with coding"))),"")</f>
        <v/>
      </c>
      <c r="U1802" s="1191" t="s">
        <v>365</v>
      </c>
      <c r="V1802" s="983" t="s">
        <v>4334</v>
      </c>
      <c r="W1802" s="983" t="s">
        <v>3989</v>
      </c>
      <c r="X1802" s="1208" t="s">
        <v>364</v>
      </c>
      <c r="Y1802" s="1208" t="s">
        <v>364</v>
      </c>
      <c r="Z1802" s="1191">
        <v>0</v>
      </c>
      <c r="AA1802" s="1191">
        <v>0</v>
      </c>
      <c r="AB1802" s="1208" t="s">
        <v>364</v>
      </c>
      <c r="AC1802" s="1192" t="str">
        <f>""</f>
        <v/>
      </c>
      <c r="AD1802" s="1193">
        <v>0</v>
      </c>
      <c r="AE1802" s="1191" t="s">
        <v>368</v>
      </c>
      <c r="AF1802" s="1191" t="s">
        <v>369</v>
      </c>
      <c r="AG1802" s="1193">
        <v>1</v>
      </c>
      <c r="AH1802" s="1193">
        <v>14</v>
      </c>
      <c r="AI1802" s="1193">
        <v>0</v>
      </c>
      <c r="AJ1802" s="1193">
        <f>VLOOKUP($I1802,'Price List, Weapons &amp; Items'!B:F,5,0)</f>
        <v>0</v>
      </c>
      <c r="AK1802" s="1193">
        <f t="shared" si="388"/>
        <v>0</v>
      </c>
      <c r="AL1802" s="1193">
        <f t="shared" si="389"/>
        <v>0</v>
      </c>
      <c r="AM1802" s="1193">
        <f t="shared" si="390"/>
        <v>0</v>
      </c>
      <c r="AN1802" s="1194" t="str">
        <f>VLOOKUP($I1802,'Price List, Weapons &amp; Items'!B:L,COLUMN('Price List, Weapons &amp; Items'!$J$11)-1,0)</f>
        <v>Military media (incl. websites)</v>
      </c>
      <c r="AO1802" s="1194" t="str">
        <f>IF(I1802=".",".",VLOOKUP($I1802,'Price List, Weapons &amp; Items'!B:J,3,0))</f>
        <v>Light Anti-armor Weapon (LAW)</v>
      </c>
      <c r="AP1802" s="1195" t="str">
        <f t="shared" ca="1" si="384"/>
        <v/>
      </c>
      <c r="AQ1802" s="1194">
        <f>VLOOKUP($I1802,'Price List, Weapons &amp; Items'!B:L,COLUMN('Price List, Weapons &amp; Items'!$L$11)-1,0)</f>
        <v>2</v>
      </c>
      <c r="AR1802" s="1194">
        <f t="shared" si="391"/>
        <v>1</v>
      </c>
      <c r="AS1802" s="1194">
        <f t="shared" si="392"/>
        <v>1</v>
      </c>
      <c r="AT1802" s="1194">
        <f t="shared" si="393"/>
        <v>1</v>
      </c>
      <c r="AU1802" s="1194" t="str">
        <f t="shared" si="382"/>
        <v>.</v>
      </c>
      <c r="AV1802" s="1194" t="str">
        <f t="shared" si="385"/>
        <v>.</v>
      </c>
      <c r="AW1802" s="1194" t="str">
        <f t="shared" si="394"/>
        <v>.</v>
      </c>
      <c r="AX1802" s="1194">
        <f>IFERROR(VLOOKUP(B1802,'Share, Heavy Weapons to Ukraine'!B:Z,COLUMN('Share, Heavy Weapons to Ukraine'!C1812)-1,0),0)</f>
        <v>1</v>
      </c>
      <c r="AY1802" s="1194">
        <f>VLOOKUP('Bilateral Assistance, MAIN DATA'!B1802,'Country Summary (€)'!B:F,COLUMN('Country Summary (€)'!C1813)-1,FALSE)</f>
        <v>0</v>
      </c>
      <c r="AZ1802" s="1194" t="str">
        <f>IF(AND(AD1802=1,D1802="Military",H1802&lt;&gt;"Not given")=TRUE,IF(SUMIFS(P:P,A:A,A1802)&gt;0,ABS((SUMIFS(P:P,A:A,A1802)/VLOOKUP("USD",'Exchange Rates'!B:C,2,0)))/S1802,"."),".")</f>
        <v>.</v>
      </c>
      <c r="BA1802" s="1196" t="str">
        <f>IF(AND(AD1802=1,D1802="Military",H1802&lt;&gt;"Not given")=TRUE,IF(SUMIFS(P:P,A:A,A1802)&gt;0,IF((ABS((SUMIFS(P:P,A:A,A1802)/VLOOKUP("USD",'Exchange Rates'!B:C,2,0)))/S1802)&gt;1,(SUMIFS(P:P,A:A,A1802)-S1802)/S1802,(S1802-SUMIFS(P:P,A:A,A1802))/SUMIFS(P:P,A:A,A1802)),"."),".")</f>
        <v>.</v>
      </c>
      <c r="BB1802" s="1208" t="s">
        <v>38</v>
      </c>
      <c r="BC1802" s="1208" t="s">
        <v>38</v>
      </c>
      <c r="BD1802" s="1208" t="s">
        <v>38</v>
      </c>
      <c r="BE1802" s="1208" t="s">
        <v>38</v>
      </c>
      <c r="BF1802" s="1208" t="s">
        <v>38</v>
      </c>
      <c r="BG1802" s="1208" t="s">
        <v>38</v>
      </c>
      <c r="BH1802" s="1208" t="s">
        <v>38</v>
      </c>
      <c r="BI1802" s="1208" t="s">
        <v>38</v>
      </c>
      <c r="BJ1802" s="1208" t="s">
        <v>38</v>
      </c>
      <c r="BK1802" s="1208" t="s">
        <v>38</v>
      </c>
      <c r="BL1802" s="1208" t="s">
        <v>38</v>
      </c>
      <c r="BM1802" s="1208" t="s">
        <v>38</v>
      </c>
      <c r="BN1802" s="1208" t="s">
        <v>38</v>
      </c>
      <c r="BO1802" s="1208" t="s">
        <v>38</v>
      </c>
      <c r="BP1802" s="1208" t="s">
        <v>38</v>
      </c>
      <c r="BQ1802" s="1208" t="s">
        <v>38</v>
      </c>
      <c r="BR1802" s="1208" t="s">
        <v>38</v>
      </c>
      <c r="BS1802" s="1208" t="s">
        <v>38</v>
      </c>
    </row>
    <row r="1803" spans="1:71" ht="15.95" customHeight="1">
      <c r="A1803" s="1208" t="s">
        <v>4310</v>
      </c>
      <c r="B1803" s="1208" t="s">
        <v>3949</v>
      </c>
      <c r="C1803" s="1209">
        <v>44977</v>
      </c>
      <c r="D1803" s="1208" t="s">
        <v>389</v>
      </c>
      <c r="E1803" s="1208" t="s">
        <v>390</v>
      </c>
      <c r="F1803" s="1208" t="s">
        <v>4333</v>
      </c>
      <c r="G1803" s="1184" t="s">
        <v>456</v>
      </c>
      <c r="H1803" s="1210">
        <v>460000000</v>
      </c>
      <c r="I1803" s="1208" t="s">
        <v>4314</v>
      </c>
      <c r="J1803" s="1186" t="str">
        <f>VLOOKUP($I1803,'Price List, Weapons &amp; Items'!B:C,2,0)</f>
        <v>Heavy weapon</v>
      </c>
      <c r="K1803" s="1186" t="str">
        <f>IF(I1803=".",I1803,VLOOKUP($I1803,'Price List, Weapons &amp; Items'!B:D,3,0))</f>
        <v>Infantry fighting vehicle (IFV)</v>
      </c>
      <c r="L1803" s="1187">
        <f>VLOOKUP(I1803,'Price List, Weapons &amp; Items'!B:E,4,0)</f>
        <v>0</v>
      </c>
      <c r="M1803" s="1241">
        <v>4</v>
      </c>
      <c r="N1803" s="1188" t="s">
        <v>374</v>
      </c>
      <c r="O1803" s="1188">
        <f>VLOOKUP($I1803,'Price List, Weapons &amp; Items'!B:G,6,0)</f>
        <v>1900000</v>
      </c>
      <c r="P1803" s="1185">
        <f t="shared" si="386"/>
        <v>7600000</v>
      </c>
      <c r="Q1803" s="1185" t="str">
        <f t="shared" si="387"/>
        <v>.</v>
      </c>
      <c r="R1803" s="1185" t="str">
        <f t="shared" si="383"/>
        <v/>
      </c>
      <c r="S1803" s="1185" t="str">
        <f>IF(AND(AD1803=1,R1803&lt;&gt;".")=TRUE,R1803/VLOOKUP(G1803,'Exchange Rates'!B:C,2,0),IF(R1803=".",".",""))</f>
        <v/>
      </c>
      <c r="T1803" s="1185" t="str">
        <f>IF(AD1803=1,IF(AF1803="Value is not given at all",".",IF(AF1803="Value is given by the source",S1803,IF(AF1803="Value is calculated with prices",(IF(SUMIFS(Q:Q,A:A,A1803)&gt;0,SUMIFS(Q:Q,A:A,A1803),"."))/VLOOKUP("USD",'Exchange Rates'!B:C,2,0),"Error with coding"))),"")</f>
        <v/>
      </c>
      <c r="U1803" s="1191" t="s">
        <v>365</v>
      </c>
      <c r="V1803" s="983" t="s">
        <v>4334</v>
      </c>
      <c r="W1803" s="983" t="s">
        <v>3989</v>
      </c>
      <c r="X1803" s="1208" t="s">
        <v>364</v>
      </c>
      <c r="Y1803" s="1208" t="s">
        <v>364</v>
      </c>
      <c r="Z1803" s="1191">
        <v>0</v>
      </c>
      <c r="AA1803" s="1191">
        <v>0</v>
      </c>
      <c r="AB1803" s="1208" t="s">
        <v>364</v>
      </c>
      <c r="AC1803" s="1192" t="str">
        <f>""</f>
        <v/>
      </c>
      <c r="AD1803" s="1193">
        <v>0</v>
      </c>
      <c r="AE1803" s="1191" t="s">
        <v>368</v>
      </c>
      <c r="AF1803" s="1191" t="s">
        <v>369</v>
      </c>
      <c r="AG1803" s="1193">
        <v>1</v>
      </c>
      <c r="AH1803" s="1193">
        <v>14</v>
      </c>
      <c r="AI1803" s="1193">
        <v>0</v>
      </c>
      <c r="AJ1803" s="1193">
        <f>VLOOKUP($I1803,'Price List, Weapons &amp; Items'!B:F,5,0)</f>
        <v>1</v>
      </c>
      <c r="AK1803" s="1193">
        <f t="shared" si="388"/>
        <v>0</v>
      </c>
      <c r="AL1803" s="1193">
        <f t="shared" si="389"/>
        <v>1</v>
      </c>
      <c r="AM1803" s="1193">
        <f t="shared" si="390"/>
        <v>0</v>
      </c>
      <c r="AN1803" s="1194" t="str">
        <f>VLOOKUP($I1803,'Price List, Weapons &amp; Items'!B:L,COLUMN('Price List, Weapons &amp; Items'!$J$11)-1,0)</f>
        <v>Contracts</v>
      </c>
      <c r="AO1803" s="1194" t="str">
        <f>IF(I1803=".",".",VLOOKUP($I1803,'Price List, Weapons &amp; Items'!B:J,3,0))</f>
        <v>Infantry fighting vehicle (IFV)</v>
      </c>
      <c r="AP1803" s="1195" t="str">
        <f t="shared" ca="1" si="384"/>
        <v/>
      </c>
      <c r="AQ1803" s="1194">
        <f>VLOOKUP($I1803,'Price List, Weapons &amp; Items'!B:L,COLUMN('Price List, Weapons &amp; Items'!$L$11)-1,0)</f>
        <v>2</v>
      </c>
      <c r="AR1803" s="1194">
        <f t="shared" si="391"/>
        <v>1</v>
      </c>
      <c r="AS1803" s="1194">
        <f t="shared" si="392"/>
        <v>1</v>
      </c>
      <c r="AT1803" s="1194">
        <f t="shared" si="393"/>
        <v>1</v>
      </c>
      <c r="AU1803" s="1194" t="str">
        <f t="shared" si="382"/>
        <v>.</v>
      </c>
      <c r="AV1803" s="1194" t="str">
        <f t="shared" si="385"/>
        <v>.</v>
      </c>
      <c r="AW1803" s="1194" t="str">
        <f t="shared" si="394"/>
        <v>.</v>
      </c>
      <c r="AX1803" s="1194">
        <f>IFERROR(VLOOKUP(B1803,'Share, Heavy Weapons to Ukraine'!B:Z,COLUMN('Share, Heavy Weapons to Ukraine'!C1813)-1,0),0)</f>
        <v>1</v>
      </c>
      <c r="AY1803" s="1194">
        <f>VLOOKUP('Bilateral Assistance, MAIN DATA'!B1803,'Country Summary (€)'!B:F,COLUMN('Country Summary (€)'!C1814)-1,FALSE)</f>
        <v>0</v>
      </c>
      <c r="AZ1803" s="1194" t="str">
        <f>IF(AND(AD1803=1,D1803="Military",H1803&lt;&gt;"Not given")=TRUE,IF(SUMIFS(P:P,A:A,A1803)&gt;0,ABS((SUMIFS(P:P,A:A,A1803)/VLOOKUP("USD",'Exchange Rates'!B:C,2,0)))/S1803,"."),".")</f>
        <v>.</v>
      </c>
      <c r="BA1803" s="1196" t="str">
        <f>IF(AND(AD1803=1,D1803="Military",H1803&lt;&gt;"Not given")=TRUE,IF(SUMIFS(P:P,A:A,A1803)&gt;0,IF((ABS((SUMIFS(P:P,A:A,A1803)/VLOOKUP("USD",'Exchange Rates'!B:C,2,0)))/S1803)&gt;1,(SUMIFS(P:P,A:A,A1803)-S1803)/S1803,(S1803-SUMIFS(P:P,A:A,A1803))/SUMIFS(P:P,A:A,A1803)),"."),".")</f>
        <v>.</v>
      </c>
      <c r="BB1803" s="1208" t="s">
        <v>38</v>
      </c>
      <c r="BC1803" s="1208" t="s">
        <v>38</v>
      </c>
      <c r="BD1803" s="1208" t="s">
        <v>38</v>
      </c>
      <c r="BE1803" s="1208" t="s">
        <v>38</v>
      </c>
      <c r="BF1803" s="1208" t="s">
        <v>38</v>
      </c>
      <c r="BG1803" s="1208" t="s">
        <v>38</v>
      </c>
      <c r="BH1803" s="1208" t="s">
        <v>38</v>
      </c>
      <c r="BI1803" s="1208" t="s">
        <v>38</v>
      </c>
      <c r="BJ1803" s="1208" t="s">
        <v>38</v>
      </c>
      <c r="BK1803" s="1208" t="s">
        <v>38</v>
      </c>
      <c r="BL1803" s="1208" t="s">
        <v>38</v>
      </c>
      <c r="BM1803" s="1208" t="s">
        <v>38</v>
      </c>
      <c r="BN1803" s="1208" t="s">
        <v>38</v>
      </c>
      <c r="BO1803" s="1208" t="s">
        <v>38</v>
      </c>
      <c r="BP1803" s="1208" t="s">
        <v>38</v>
      </c>
      <c r="BQ1803" s="1208" t="s">
        <v>38</v>
      </c>
      <c r="BR1803" s="1208" t="s">
        <v>38</v>
      </c>
      <c r="BS1803" s="1208" t="s">
        <v>38</v>
      </c>
    </row>
    <row r="1804" spans="1:71" ht="15.95" customHeight="1">
      <c r="A1804" s="1208" t="s">
        <v>4310</v>
      </c>
      <c r="B1804" s="1208" t="s">
        <v>3949</v>
      </c>
      <c r="C1804" s="1209">
        <v>44977</v>
      </c>
      <c r="D1804" s="1208" t="s">
        <v>389</v>
      </c>
      <c r="E1804" s="1208" t="s">
        <v>390</v>
      </c>
      <c r="F1804" s="1208" t="s">
        <v>4333</v>
      </c>
      <c r="G1804" s="1184" t="s">
        <v>456</v>
      </c>
      <c r="H1804" s="1210">
        <v>460000000</v>
      </c>
      <c r="I1804" s="1208" t="s">
        <v>4336</v>
      </c>
      <c r="J1804" s="1186" t="str">
        <f>VLOOKUP($I1804,'Price List, Weapons &amp; Items'!B:C,2,0)</f>
        <v>Heavy weapon</v>
      </c>
      <c r="K1804" s="1186" t="str">
        <f>IF(I1804=".",I1804,VLOOKUP($I1804,'Price List, Weapons &amp; Items'!B:D,3,0))</f>
        <v>Armored Recovery Vehicle (ARV)</v>
      </c>
      <c r="L1804" s="1187">
        <f>VLOOKUP(I1804,'Price List, Weapons &amp; Items'!B:E,4,0)</f>
        <v>0</v>
      </c>
      <c r="M1804" s="1241">
        <v>2</v>
      </c>
      <c r="N1804" s="1188" t="s">
        <v>374</v>
      </c>
      <c r="O1804" s="1188">
        <f>VLOOKUP($I1804,'Price List, Weapons &amp; Items'!B:G,6,0)</f>
        <v>6654468.8715460701</v>
      </c>
      <c r="P1804" s="1185">
        <f t="shared" si="386"/>
        <v>13308937.74309214</v>
      </c>
      <c r="Q1804" s="1185" t="str">
        <f t="shared" si="387"/>
        <v>.</v>
      </c>
      <c r="R1804" s="1185" t="str">
        <f t="shared" si="383"/>
        <v/>
      </c>
      <c r="S1804" s="1185" t="str">
        <f>IF(AND(AD1804=1,R1804&lt;&gt;".")=TRUE,R1804/VLOOKUP(G1804,'Exchange Rates'!B:C,2,0),IF(R1804=".",".",""))</f>
        <v/>
      </c>
      <c r="T1804" s="1185" t="str">
        <f>IF(AD1804=1,IF(AF1804="Value is not given at all",".",IF(AF1804="Value is given by the source",S1804,IF(AF1804="Value is calculated with prices",(IF(SUMIFS(Q:Q,A:A,A1804)&gt;0,SUMIFS(Q:Q,A:A,A1804),"."))/VLOOKUP("USD",'Exchange Rates'!B:C,2,0),"Error with coding"))),"")</f>
        <v/>
      </c>
      <c r="U1804" s="1191" t="s">
        <v>365</v>
      </c>
      <c r="V1804" s="983" t="s">
        <v>4334</v>
      </c>
      <c r="W1804" s="983" t="s">
        <v>3989</v>
      </c>
      <c r="X1804" s="1208" t="s">
        <v>364</v>
      </c>
      <c r="Y1804" s="1208" t="s">
        <v>364</v>
      </c>
      <c r="Z1804" s="1191">
        <v>0</v>
      </c>
      <c r="AA1804" s="1191">
        <v>0</v>
      </c>
      <c r="AB1804" s="1208" t="s">
        <v>364</v>
      </c>
      <c r="AC1804" s="1192" t="str">
        <f>""</f>
        <v/>
      </c>
      <c r="AD1804" s="1193">
        <v>0</v>
      </c>
      <c r="AE1804" s="1191" t="s">
        <v>368</v>
      </c>
      <c r="AF1804" s="1191" t="s">
        <v>369</v>
      </c>
      <c r="AG1804" s="1193">
        <v>1</v>
      </c>
      <c r="AH1804" s="1193">
        <v>14</v>
      </c>
      <c r="AI1804" s="1193">
        <v>0</v>
      </c>
      <c r="AJ1804" s="1193">
        <f>VLOOKUP($I1804,'Price List, Weapons &amp; Items'!B:F,5,0)</f>
        <v>1</v>
      </c>
      <c r="AK1804" s="1193">
        <f t="shared" si="388"/>
        <v>0</v>
      </c>
      <c r="AL1804" s="1193">
        <f t="shared" si="389"/>
        <v>1</v>
      </c>
      <c r="AM1804" s="1193">
        <f t="shared" si="390"/>
        <v>0</v>
      </c>
      <c r="AN1804" s="1194" t="str">
        <f>VLOOKUP($I1804,'Price List, Weapons &amp; Items'!B:L,COLUMN('Price List, Weapons &amp; Items'!$J$11)-1,0)</f>
        <v>Contracts</v>
      </c>
      <c r="AO1804" s="1194" t="str">
        <f>IF(I1804=".",".",VLOOKUP($I1804,'Price List, Weapons &amp; Items'!B:J,3,0))</f>
        <v>Armored Recovery Vehicle (ARV)</v>
      </c>
      <c r="AP1804" s="1195" t="str">
        <f t="shared" ca="1" si="384"/>
        <v/>
      </c>
      <c r="AQ1804" s="1194">
        <f>VLOOKUP($I1804,'Price List, Weapons &amp; Items'!B:L,COLUMN('Price List, Weapons &amp; Items'!$L$11)-1,0)</f>
        <v>2</v>
      </c>
      <c r="AR1804" s="1194">
        <f t="shared" si="391"/>
        <v>1</v>
      </c>
      <c r="AS1804" s="1194">
        <f t="shared" si="392"/>
        <v>1</v>
      </c>
      <c r="AT1804" s="1194">
        <f t="shared" si="393"/>
        <v>1</v>
      </c>
      <c r="AU1804" s="1194" t="str">
        <f t="shared" si="382"/>
        <v>.</v>
      </c>
      <c r="AV1804" s="1194" t="str">
        <f t="shared" si="385"/>
        <v>.</v>
      </c>
      <c r="AW1804" s="1194" t="str">
        <f t="shared" si="394"/>
        <v>.</v>
      </c>
      <c r="AX1804" s="1194">
        <f>IFERROR(VLOOKUP(B1804,'Share, Heavy Weapons to Ukraine'!B:Z,COLUMN('Share, Heavy Weapons to Ukraine'!C1814)-1,0),0)</f>
        <v>1</v>
      </c>
      <c r="AY1804" s="1194">
        <f>VLOOKUP('Bilateral Assistance, MAIN DATA'!B1804,'Country Summary (€)'!B:F,COLUMN('Country Summary (€)'!C1815)-1,FALSE)</f>
        <v>0</v>
      </c>
      <c r="AZ1804" s="1194" t="str">
        <f>IF(AND(AD1804=1,D1804="Military",H1804&lt;&gt;"Not given")=TRUE,IF(SUMIFS(P:P,A:A,A1804)&gt;0,ABS((SUMIFS(P:P,A:A,A1804)/VLOOKUP("USD",'Exchange Rates'!B:C,2,0)))/S1804,"."),".")</f>
        <v>.</v>
      </c>
      <c r="BA1804" s="1196" t="str">
        <f>IF(AND(AD1804=1,D1804="Military",H1804&lt;&gt;"Not given")=TRUE,IF(SUMIFS(P:P,A:A,A1804)&gt;0,IF((ABS((SUMIFS(P:P,A:A,A1804)/VLOOKUP("USD",'Exchange Rates'!B:C,2,0)))/S1804)&gt;1,(SUMIFS(P:P,A:A,A1804)-S1804)/S1804,(S1804-SUMIFS(P:P,A:A,A1804))/SUMIFS(P:P,A:A,A1804)),"."),".")</f>
        <v>.</v>
      </c>
      <c r="BB1804" s="1208" t="s">
        <v>38</v>
      </c>
      <c r="BC1804" s="1208" t="s">
        <v>38</v>
      </c>
      <c r="BD1804" s="1208" t="s">
        <v>38</v>
      </c>
      <c r="BE1804" s="1208" t="s">
        <v>38</v>
      </c>
      <c r="BF1804" s="1208" t="s">
        <v>38</v>
      </c>
      <c r="BG1804" s="1208" t="s">
        <v>38</v>
      </c>
      <c r="BH1804" s="1208" t="s">
        <v>38</v>
      </c>
      <c r="BI1804" s="1208" t="s">
        <v>38</v>
      </c>
      <c r="BJ1804" s="1208" t="s">
        <v>38</v>
      </c>
      <c r="BK1804" s="1208" t="s">
        <v>38</v>
      </c>
      <c r="BL1804" s="1208" t="s">
        <v>38</v>
      </c>
      <c r="BM1804" s="1208" t="s">
        <v>38</v>
      </c>
      <c r="BN1804" s="1208" t="s">
        <v>38</v>
      </c>
      <c r="BO1804" s="1208" t="s">
        <v>38</v>
      </c>
      <c r="BP1804" s="1208" t="s">
        <v>38</v>
      </c>
      <c r="BQ1804" s="1208" t="s">
        <v>38</v>
      </c>
      <c r="BR1804" s="1208" t="s">
        <v>38</v>
      </c>
      <c r="BS1804" s="1208" t="s">
        <v>38</v>
      </c>
    </row>
    <row r="1805" spans="1:71" ht="15.95" customHeight="1">
      <c r="A1805" s="1208" t="s">
        <v>4310</v>
      </c>
      <c r="B1805" s="1208" t="s">
        <v>3949</v>
      </c>
      <c r="C1805" s="1209">
        <v>44977</v>
      </c>
      <c r="D1805" s="1208" t="s">
        <v>389</v>
      </c>
      <c r="E1805" s="1208" t="s">
        <v>390</v>
      </c>
      <c r="F1805" s="1208" t="s">
        <v>4333</v>
      </c>
      <c r="G1805" s="1184" t="s">
        <v>456</v>
      </c>
      <c r="H1805" s="1210">
        <v>460000000</v>
      </c>
      <c r="I1805" s="1208" t="s">
        <v>4327</v>
      </c>
      <c r="J1805" s="1186" t="str">
        <f>VLOOKUP($I1805,'Price List, Weapons &amp; Items'!B:C,2,0)</f>
        <v>Light armaments &amp; infantry</v>
      </c>
      <c r="K1805" s="1186" t="str">
        <f>IF(I1805=".",I1805,VLOOKUP($I1805,'Price List, Weapons &amp; Items'!B:D,3,0))</f>
        <v>Explosive</v>
      </c>
      <c r="L1805" s="1187">
        <f>VLOOKUP(I1805,'Price List, Weapons &amp; Items'!B:E,4,0)</f>
        <v>0</v>
      </c>
      <c r="M1805" s="1188" t="s">
        <v>374</v>
      </c>
      <c r="N1805" s="1188" t="s">
        <v>374</v>
      </c>
      <c r="O1805" s="1188">
        <f>VLOOKUP($I1805,'Price List, Weapons &amp; Items'!B:G,6,0)</f>
        <v>223.15</v>
      </c>
      <c r="P1805" s="1185" t="str">
        <f t="shared" si="386"/>
        <v>.</v>
      </c>
      <c r="Q1805" s="1185" t="str">
        <f t="shared" si="387"/>
        <v>.</v>
      </c>
      <c r="R1805" s="1185" t="str">
        <f t="shared" si="383"/>
        <v/>
      </c>
      <c r="S1805" s="1185" t="str">
        <f>IF(AND(AD1805=1,R1805&lt;&gt;".")=TRUE,R1805/VLOOKUP(G1805,'Exchange Rates'!B:C,2,0),IF(R1805=".",".",""))</f>
        <v/>
      </c>
      <c r="T1805" s="1185" t="str">
        <f>IF(AD1805=1,IF(AF1805="Value is not given at all",".",IF(AF1805="Value is given by the source",S1805,IF(AF1805="Value is calculated with prices",(IF(SUMIFS(Q:Q,A:A,A1805)&gt;0,SUMIFS(Q:Q,A:A,A1805),"."))/VLOOKUP("USD",'Exchange Rates'!B:C,2,0),"Error with coding"))),"")</f>
        <v/>
      </c>
      <c r="U1805" s="1191" t="s">
        <v>365</v>
      </c>
      <c r="V1805" s="983" t="s">
        <v>4334</v>
      </c>
      <c r="W1805" s="983" t="s">
        <v>3989</v>
      </c>
      <c r="X1805" s="1208" t="s">
        <v>364</v>
      </c>
      <c r="Y1805" s="1208" t="s">
        <v>364</v>
      </c>
      <c r="Z1805" s="1191">
        <v>0</v>
      </c>
      <c r="AA1805" s="1191">
        <v>0</v>
      </c>
      <c r="AB1805" s="1208" t="s">
        <v>364</v>
      </c>
      <c r="AC1805" s="1192" t="str">
        <f>""</f>
        <v/>
      </c>
      <c r="AD1805" s="1193">
        <v>0</v>
      </c>
      <c r="AE1805" s="1191" t="s">
        <v>368</v>
      </c>
      <c r="AF1805" s="1191" t="s">
        <v>369</v>
      </c>
      <c r="AG1805" s="1193">
        <v>1</v>
      </c>
      <c r="AH1805" s="1193">
        <v>14</v>
      </c>
      <c r="AI1805" s="1193">
        <v>0</v>
      </c>
      <c r="AJ1805" s="1193">
        <f>VLOOKUP($I1805,'Price List, Weapons &amp; Items'!B:F,5,0)</f>
        <v>0</v>
      </c>
      <c r="AK1805" s="1193">
        <f t="shared" si="388"/>
        <v>0</v>
      </c>
      <c r="AL1805" s="1193">
        <f t="shared" si="389"/>
        <v>0</v>
      </c>
      <c r="AM1805" s="1193">
        <f t="shared" si="390"/>
        <v>0</v>
      </c>
      <c r="AN1805" s="1194" t="str">
        <f>VLOOKUP($I1805,'Price List, Weapons &amp; Items'!B:L,COLUMN('Price List, Weapons &amp; Items'!$J$11)-1,0)</f>
        <v>Miscellaneous</v>
      </c>
      <c r="AO1805" s="1194" t="str">
        <f>IF(I1805=".",".",VLOOKUP($I1805,'Price List, Weapons &amp; Items'!B:J,3,0))</f>
        <v>Explosive</v>
      </c>
      <c r="AP1805" s="1195" t="str">
        <f t="shared" ca="1" si="384"/>
        <v/>
      </c>
      <c r="AQ1805" s="1194" t="str">
        <f>VLOOKUP($I1805,'Price List, Weapons &amp; Items'!B:L,COLUMN('Price List, Weapons &amp; Items'!$L$11)-1,0)</f>
        <v>no price, 0 count</v>
      </c>
      <c r="AR1805" s="1194">
        <f t="shared" si="391"/>
        <v>1</v>
      </c>
      <c r="AS1805" s="1194">
        <f t="shared" si="392"/>
        <v>1</v>
      </c>
      <c r="AT1805" s="1194">
        <f t="shared" si="393"/>
        <v>1</v>
      </c>
      <c r="AU1805" s="1194" t="str">
        <f t="shared" si="382"/>
        <v>.</v>
      </c>
      <c r="AV1805" s="1194" t="str">
        <f t="shared" si="385"/>
        <v>.</v>
      </c>
      <c r="AW1805" s="1194" t="str">
        <f t="shared" si="394"/>
        <v>.</v>
      </c>
      <c r="AX1805" s="1194">
        <f>IFERROR(VLOOKUP(B1805,'Share, Heavy Weapons to Ukraine'!B:Z,COLUMN('Share, Heavy Weapons to Ukraine'!C1815)-1,0),0)</f>
        <v>1</v>
      </c>
      <c r="AY1805" s="1194">
        <f>VLOOKUP('Bilateral Assistance, MAIN DATA'!B1805,'Country Summary (€)'!B:F,COLUMN('Country Summary (€)'!C1816)-1,FALSE)</f>
        <v>0</v>
      </c>
      <c r="AZ1805" s="1194" t="str">
        <f>IF(AND(AD1805=1,D1805="Military",H1805&lt;&gt;"Not given")=TRUE,IF(SUMIFS(P:P,A:A,A1805)&gt;0,ABS((SUMIFS(P:P,A:A,A1805)/VLOOKUP("USD",'Exchange Rates'!B:C,2,0)))/S1805,"."),".")</f>
        <v>.</v>
      </c>
      <c r="BA1805" s="1196" t="str">
        <f>IF(AND(AD1805=1,D1805="Military",H1805&lt;&gt;"Not given")=TRUE,IF(SUMIFS(P:P,A:A,A1805)&gt;0,IF((ABS((SUMIFS(P:P,A:A,A1805)/VLOOKUP("USD",'Exchange Rates'!B:C,2,0)))/S1805)&gt;1,(SUMIFS(P:P,A:A,A1805)-S1805)/S1805,(S1805-SUMIFS(P:P,A:A,A1805))/SUMIFS(P:P,A:A,A1805)),"."),".")</f>
        <v>.</v>
      </c>
      <c r="BB1805" s="1208" t="s">
        <v>38</v>
      </c>
      <c r="BC1805" s="1208" t="s">
        <v>38</v>
      </c>
      <c r="BD1805" s="1208" t="s">
        <v>38</v>
      </c>
      <c r="BE1805" s="1208" t="s">
        <v>38</v>
      </c>
      <c r="BF1805" s="1208" t="s">
        <v>38</v>
      </c>
      <c r="BG1805" s="1208" t="s">
        <v>38</v>
      </c>
      <c r="BH1805" s="1208" t="s">
        <v>38</v>
      </c>
      <c r="BI1805" s="1208" t="s">
        <v>38</v>
      </c>
      <c r="BJ1805" s="1208" t="s">
        <v>38</v>
      </c>
      <c r="BK1805" s="1208" t="s">
        <v>38</v>
      </c>
      <c r="BL1805" s="1208" t="s">
        <v>38</v>
      </c>
      <c r="BM1805" s="1208" t="s">
        <v>38</v>
      </c>
      <c r="BN1805" s="1208" t="s">
        <v>38</v>
      </c>
      <c r="BO1805" s="1208" t="s">
        <v>38</v>
      </c>
      <c r="BP1805" s="1208" t="s">
        <v>38</v>
      </c>
      <c r="BQ1805" s="1208" t="s">
        <v>38</v>
      </c>
      <c r="BR1805" s="1208" t="s">
        <v>38</v>
      </c>
      <c r="BS1805" s="1208" t="s">
        <v>38</v>
      </c>
    </row>
    <row r="1806" spans="1:71" ht="15.95" customHeight="1">
      <c r="A1806" s="1208" t="s">
        <v>4310</v>
      </c>
      <c r="B1806" s="1208" t="s">
        <v>3949</v>
      </c>
      <c r="C1806" s="1209">
        <v>44977</v>
      </c>
      <c r="D1806" s="1208" t="s">
        <v>389</v>
      </c>
      <c r="E1806" s="1208" t="s">
        <v>390</v>
      </c>
      <c r="F1806" s="1208" t="s">
        <v>4333</v>
      </c>
      <c r="G1806" s="1184" t="s">
        <v>456</v>
      </c>
      <c r="H1806" s="1210">
        <v>460000000</v>
      </c>
      <c r="I1806" s="1208" t="s">
        <v>4172</v>
      </c>
      <c r="J1806" s="1186" t="str">
        <f>VLOOKUP($I1806,'Price List, Weapons &amp; Items'!B:C,2,0)</f>
        <v>Military equipment</v>
      </c>
      <c r="K1806" s="1186" t="str">
        <f>IF(I1806=".",I1806,VLOOKUP($I1806,'Price List, Weapons &amp; Items'!B:D,3,0))</f>
        <v>Military equipment</v>
      </c>
      <c r="L1806" s="1187">
        <f>VLOOKUP(I1806,'Price List, Weapons &amp; Items'!B:E,4,0)</f>
        <v>0</v>
      </c>
      <c r="M1806" s="1188" t="s">
        <v>374</v>
      </c>
      <c r="N1806" s="1188" t="s">
        <v>374</v>
      </c>
      <c r="O1806" s="1188">
        <f>VLOOKUP($I1806,'Price List, Weapons &amp; Items'!B:G,6,0)</f>
        <v>90</v>
      </c>
      <c r="P1806" s="1185" t="str">
        <f t="shared" si="386"/>
        <v>.</v>
      </c>
      <c r="Q1806" s="1185" t="str">
        <f t="shared" si="387"/>
        <v>.</v>
      </c>
      <c r="R1806" s="1185" t="str">
        <f t="shared" si="383"/>
        <v/>
      </c>
      <c r="S1806" s="1185" t="str">
        <f>IF(AND(AD1806=1,R1806&lt;&gt;".")=TRUE,R1806/VLOOKUP(G1806,'Exchange Rates'!B:C,2,0),IF(R1806=".",".",""))</f>
        <v/>
      </c>
      <c r="T1806" s="1185" t="str">
        <f>IF(AD1806=1,IF(AF1806="Value is not given at all",".",IF(AF1806="Value is given by the source",S1806,IF(AF1806="Value is calculated with prices",(IF(SUMIFS(Q:Q,A:A,A1806)&gt;0,SUMIFS(Q:Q,A:A,A1806),"."))/VLOOKUP("USD",'Exchange Rates'!B:C,2,0),"Error with coding"))),"")</f>
        <v/>
      </c>
      <c r="U1806" s="1191" t="s">
        <v>365</v>
      </c>
      <c r="V1806" s="983" t="s">
        <v>4334</v>
      </c>
      <c r="W1806" s="983" t="s">
        <v>3989</v>
      </c>
      <c r="X1806" s="1208" t="s">
        <v>364</v>
      </c>
      <c r="Y1806" s="1208" t="s">
        <v>364</v>
      </c>
      <c r="Z1806" s="1191">
        <v>0</v>
      </c>
      <c r="AA1806" s="1191">
        <v>0</v>
      </c>
      <c r="AB1806" s="1208" t="s">
        <v>364</v>
      </c>
      <c r="AC1806" s="1192" t="str">
        <f>""</f>
        <v/>
      </c>
      <c r="AD1806" s="1193">
        <v>0</v>
      </c>
      <c r="AE1806" s="1191" t="s">
        <v>368</v>
      </c>
      <c r="AF1806" s="1191" t="s">
        <v>369</v>
      </c>
      <c r="AG1806" s="1193">
        <v>1</v>
      </c>
      <c r="AH1806" s="1193">
        <v>14</v>
      </c>
      <c r="AI1806" s="1193">
        <v>0</v>
      </c>
      <c r="AJ1806" s="1193">
        <f>VLOOKUP($I1806,'Price List, Weapons &amp; Items'!B:F,5,0)</f>
        <v>0</v>
      </c>
      <c r="AK1806" s="1193">
        <f t="shared" si="388"/>
        <v>0</v>
      </c>
      <c r="AL1806" s="1193">
        <f t="shared" si="389"/>
        <v>0</v>
      </c>
      <c r="AM1806" s="1193">
        <f t="shared" si="390"/>
        <v>0</v>
      </c>
      <c r="AN1806" s="1194" t="str">
        <f>VLOOKUP($I1806,'Price List, Weapons &amp; Items'!B:L,COLUMN('Price List, Weapons &amp; Items'!$J$11)-1,0)</f>
        <v>Media reports (incl. social media)</v>
      </c>
      <c r="AO1806" s="1194" t="str">
        <f>IF(I1806=".",".",VLOOKUP($I1806,'Price List, Weapons &amp; Items'!B:J,3,0))</f>
        <v>Military equipment</v>
      </c>
      <c r="AP1806" s="1195" t="str">
        <f t="shared" ca="1" si="384"/>
        <v/>
      </c>
      <c r="AQ1806" s="1194" t="str">
        <f>VLOOKUP($I1806,'Price List, Weapons &amp; Items'!B:L,COLUMN('Price List, Weapons &amp; Items'!$L$11)-1,0)</f>
        <v>no price, 0 count</v>
      </c>
      <c r="AR1806" s="1194">
        <f t="shared" si="391"/>
        <v>1</v>
      </c>
      <c r="AS1806" s="1194">
        <f t="shared" si="392"/>
        <v>1</v>
      </c>
      <c r="AT1806" s="1194">
        <f t="shared" si="393"/>
        <v>1</v>
      </c>
      <c r="AU1806" s="1194" t="str">
        <f t="shared" si="382"/>
        <v>.</v>
      </c>
      <c r="AV1806" s="1194" t="str">
        <f t="shared" si="385"/>
        <v>.</v>
      </c>
      <c r="AW1806" s="1194" t="str">
        <f t="shared" si="394"/>
        <v>.</v>
      </c>
      <c r="AX1806" s="1194">
        <f>IFERROR(VLOOKUP(B1806,'Share, Heavy Weapons to Ukraine'!B:Z,COLUMN('Share, Heavy Weapons to Ukraine'!C1816)-1,0),0)</f>
        <v>1</v>
      </c>
      <c r="AY1806" s="1194">
        <f>VLOOKUP('Bilateral Assistance, MAIN DATA'!B1806,'Country Summary (€)'!B:F,COLUMN('Country Summary (€)'!C1817)-1,FALSE)</f>
        <v>0</v>
      </c>
      <c r="AZ1806" s="1194" t="str">
        <f>IF(AND(AD1806=1,D1806="Military",H1806&lt;&gt;"Not given")=TRUE,IF(SUMIFS(P:P,A:A,A1806)&gt;0,ABS((SUMIFS(P:P,A:A,A1806)/VLOOKUP("USD",'Exchange Rates'!B:C,2,0)))/S1806,"."),".")</f>
        <v>.</v>
      </c>
      <c r="BA1806" s="1196" t="str">
        <f>IF(AND(AD1806=1,D1806="Military",H1806&lt;&gt;"Not given")=TRUE,IF(SUMIFS(P:P,A:A,A1806)&gt;0,IF((ABS((SUMIFS(P:P,A:A,A1806)/VLOOKUP("USD",'Exchange Rates'!B:C,2,0)))/S1806)&gt;1,(SUMIFS(P:P,A:A,A1806)-S1806)/S1806,(S1806-SUMIFS(P:P,A:A,A1806))/SUMIFS(P:P,A:A,A1806)),"."),".")</f>
        <v>.</v>
      </c>
      <c r="BB1806" s="1208" t="s">
        <v>38</v>
      </c>
      <c r="BC1806" s="1208" t="s">
        <v>38</v>
      </c>
      <c r="BD1806" s="1208" t="s">
        <v>38</v>
      </c>
      <c r="BE1806" s="1208" t="s">
        <v>38</v>
      </c>
      <c r="BF1806" s="1208" t="s">
        <v>38</v>
      </c>
      <c r="BG1806" s="1208" t="s">
        <v>38</v>
      </c>
      <c r="BH1806" s="1208" t="s">
        <v>38</v>
      </c>
      <c r="BI1806" s="1208" t="s">
        <v>38</v>
      </c>
      <c r="BJ1806" s="1208" t="s">
        <v>38</v>
      </c>
      <c r="BK1806" s="1208" t="s">
        <v>38</v>
      </c>
      <c r="BL1806" s="1208" t="s">
        <v>38</v>
      </c>
      <c r="BM1806" s="1208" t="s">
        <v>38</v>
      </c>
      <c r="BN1806" s="1208" t="s">
        <v>38</v>
      </c>
      <c r="BO1806" s="1208" t="s">
        <v>38</v>
      </c>
      <c r="BP1806" s="1208" t="s">
        <v>38</v>
      </c>
      <c r="BQ1806" s="1208" t="s">
        <v>38</v>
      </c>
      <c r="BR1806" s="1208" t="s">
        <v>38</v>
      </c>
      <c r="BS1806" s="1208" t="s">
        <v>38</v>
      </c>
    </row>
    <row r="1807" spans="1:71" ht="15.95" customHeight="1">
      <c r="A1807" s="1208" t="s">
        <v>4310</v>
      </c>
      <c r="B1807" s="1208" t="s">
        <v>3949</v>
      </c>
      <c r="C1807" s="1209">
        <v>44977</v>
      </c>
      <c r="D1807" s="1208" t="s">
        <v>389</v>
      </c>
      <c r="E1807" s="1208" t="s">
        <v>390</v>
      </c>
      <c r="F1807" s="1208" t="s">
        <v>4333</v>
      </c>
      <c r="G1807" s="1184" t="s">
        <v>456</v>
      </c>
      <c r="H1807" s="1210">
        <v>460000000</v>
      </c>
      <c r="I1807" s="1208" t="s">
        <v>1405</v>
      </c>
      <c r="J1807" s="1186" t="str">
        <f>VLOOKUP($I1807,'Price List, Weapons &amp; Items'!B:C,2,0)</f>
        <v>Military equipment</v>
      </c>
      <c r="K1807" s="1186" t="str">
        <f>IF(I1807=".",I1807,VLOOKUP($I1807,'Price List, Weapons &amp; Items'!B:D,3,0))</f>
        <v>Military equipment</v>
      </c>
      <c r="L1807" s="1187">
        <f>VLOOKUP(I1807,'Price List, Weapons &amp; Items'!B:E,4,0)</f>
        <v>0</v>
      </c>
      <c r="M1807" s="1188" t="s">
        <v>374</v>
      </c>
      <c r="N1807" s="1188" t="s">
        <v>374</v>
      </c>
      <c r="O1807" s="1188">
        <f>VLOOKUP($I1807,'Price List, Weapons &amp; Items'!B:G,6,0)</f>
        <v>2320</v>
      </c>
      <c r="P1807" s="1185" t="str">
        <f t="shared" si="386"/>
        <v>.</v>
      </c>
      <c r="Q1807" s="1185" t="str">
        <f t="shared" si="387"/>
        <v>.</v>
      </c>
      <c r="R1807" s="1185" t="str">
        <f t="shared" si="383"/>
        <v/>
      </c>
      <c r="S1807" s="1185" t="str">
        <f>IF(AND(AD1807=1,R1807&lt;&gt;".")=TRUE,R1807/VLOOKUP(G1807,'Exchange Rates'!B:C,2,0),IF(R1807=".",".",""))</f>
        <v/>
      </c>
      <c r="T1807" s="1185" t="str">
        <f>IF(AD1807=1,IF(AF1807="Value is not given at all",".",IF(AF1807="Value is given by the source",S1807,IF(AF1807="Value is calculated with prices",(IF(SUMIFS(Q:Q,A:A,A1807)&gt;0,SUMIFS(Q:Q,A:A,A1807),"."))/VLOOKUP("USD",'Exchange Rates'!B:C,2,0),"Error with coding"))),"")</f>
        <v/>
      </c>
      <c r="U1807" s="1191" t="s">
        <v>365</v>
      </c>
      <c r="V1807" s="983" t="s">
        <v>4334</v>
      </c>
      <c r="W1807" s="983" t="s">
        <v>3989</v>
      </c>
      <c r="X1807" s="1208" t="s">
        <v>364</v>
      </c>
      <c r="Y1807" s="1208" t="s">
        <v>364</v>
      </c>
      <c r="Z1807" s="1191">
        <v>0</v>
      </c>
      <c r="AA1807" s="1191">
        <v>0</v>
      </c>
      <c r="AB1807" s="1208" t="s">
        <v>364</v>
      </c>
      <c r="AC1807" s="1192" t="str">
        <f>""</f>
        <v/>
      </c>
      <c r="AD1807" s="1193">
        <v>0</v>
      </c>
      <c r="AE1807" s="1191" t="s">
        <v>368</v>
      </c>
      <c r="AF1807" s="1191" t="s">
        <v>369</v>
      </c>
      <c r="AG1807" s="1193">
        <v>1</v>
      </c>
      <c r="AH1807" s="1193">
        <v>14</v>
      </c>
      <c r="AI1807" s="1193">
        <v>0</v>
      </c>
      <c r="AJ1807" s="1193">
        <f>VLOOKUP($I1807,'Price List, Weapons &amp; Items'!B:F,5,0)</f>
        <v>0</v>
      </c>
      <c r="AK1807" s="1193">
        <f t="shared" si="388"/>
        <v>0</v>
      </c>
      <c r="AL1807" s="1193">
        <f t="shared" si="389"/>
        <v>0</v>
      </c>
      <c r="AM1807" s="1193">
        <f t="shared" si="390"/>
        <v>0</v>
      </c>
      <c r="AN1807" s="1194" t="str">
        <f>VLOOKUP($I1807,'Price List, Weapons &amp; Items'!B:L,COLUMN('Price List, Weapons &amp; Items'!$J$11)-1,0)</f>
        <v>Media reports (incl. social media)</v>
      </c>
      <c r="AO1807" s="1194" t="str">
        <f>IF(I1807=".",".",VLOOKUP($I1807,'Price List, Weapons &amp; Items'!B:J,3,0))</f>
        <v>Military equipment</v>
      </c>
      <c r="AP1807" s="1195" t="str">
        <f t="shared" ca="1" si="384"/>
        <v/>
      </c>
      <c r="AQ1807" s="1194">
        <f>VLOOKUP($I1807,'Price List, Weapons &amp; Items'!B:L,COLUMN('Price List, Weapons &amp; Items'!$L$11)-1,0)</f>
        <v>2</v>
      </c>
      <c r="AR1807" s="1194">
        <f t="shared" si="391"/>
        <v>1</v>
      </c>
      <c r="AS1807" s="1194">
        <f t="shared" si="392"/>
        <v>1</v>
      </c>
      <c r="AT1807" s="1194">
        <f t="shared" si="393"/>
        <v>1</v>
      </c>
      <c r="AU1807" s="1194" t="str">
        <f t="shared" si="382"/>
        <v>.</v>
      </c>
      <c r="AV1807" s="1194" t="str">
        <f t="shared" si="385"/>
        <v>.</v>
      </c>
      <c r="AW1807" s="1194" t="str">
        <f t="shared" si="394"/>
        <v>.</v>
      </c>
      <c r="AX1807" s="1194">
        <f>IFERROR(VLOOKUP(B1807,'Share, Heavy Weapons to Ukraine'!B:Z,COLUMN('Share, Heavy Weapons to Ukraine'!C1817)-1,0),0)</f>
        <v>1</v>
      </c>
      <c r="AY1807" s="1194">
        <f>VLOOKUP('Bilateral Assistance, MAIN DATA'!B1807,'Country Summary (€)'!B:F,COLUMN('Country Summary (€)'!C1818)-1,FALSE)</f>
        <v>0</v>
      </c>
      <c r="AZ1807" s="1194" t="str">
        <f>IF(AND(AD1807=1,D1807="Military",H1807&lt;&gt;"Not given")=TRUE,IF(SUMIFS(P:P,A:A,A1807)&gt;0,ABS((SUMIFS(P:P,A:A,A1807)/VLOOKUP("USD",'Exchange Rates'!B:C,2,0)))/S1807,"."),".")</f>
        <v>.</v>
      </c>
      <c r="BA1807" s="1196" t="str">
        <f>IF(AND(AD1807=1,D1807="Military",H1807&lt;&gt;"Not given")=TRUE,IF(SUMIFS(P:P,A:A,A1807)&gt;0,IF((ABS((SUMIFS(P:P,A:A,A1807)/VLOOKUP("USD",'Exchange Rates'!B:C,2,0)))/S1807)&gt;1,(SUMIFS(P:P,A:A,A1807)-S1807)/S1807,(S1807-SUMIFS(P:P,A:A,A1807))/SUMIFS(P:P,A:A,A1807)),"."),".")</f>
        <v>.</v>
      </c>
      <c r="BB1807" s="1208" t="s">
        <v>38</v>
      </c>
      <c r="BC1807" s="1208" t="s">
        <v>38</v>
      </c>
      <c r="BD1807" s="1208" t="s">
        <v>38</v>
      </c>
      <c r="BE1807" s="1208" t="s">
        <v>38</v>
      </c>
      <c r="BF1807" s="1208" t="s">
        <v>38</v>
      </c>
      <c r="BG1807" s="1208" t="s">
        <v>38</v>
      </c>
      <c r="BH1807" s="1208" t="s">
        <v>38</v>
      </c>
      <c r="BI1807" s="1208" t="s">
        <v>38</v>
      </c>
      <c r="BJ1807" s="1208" t="s">
        <v>38</v>
      </c>
      <c r="BK1807" s="1208" t="s">
        <v>38</v>
      </c>
      <c r="BL1807" s="1208" t="s">
        <v>38</v>
      </c>
      <c r="BM1807" s="1208" t="s">
        <v>38</v>
      </c>
      <c r="BN1807" s="1208" t="s">
        <v>38</v>
      </c>
      <c r="BO1807" s="1208" t="s">
        <v>38</v>
      </c>
      <c r="BP1807" s="1208" t="s">
        <v>38</v>
      </c>
      <c r="BQ1807" s="1208" t="s">
        <v>38</v>
      </c>
      <c r="BR1807" s="1208" t="s">
        <v>38</v>
      </c>
      <c r="BS1807" s="1208" t="s">
        <v>38</v>
      </c>
    </row>
    <row r="1808" spans="1:71" ht="15.95" customHeight="1">
      <c r="A1808" s="1208" t="s">
        <v>4310</v>
      </c>
      <c r="B1808" s="1208" t="s">
        <v>3949</v>
      </c>
      <c r="C1808" s="1209">
        <v>44977</v>
      </c>
      <c r="D1808" s="1208" t="s">
        <v>389</v>
      </c>
      <c r="E1808" s="1208" t="s">
        <v>390</v>
      </c>
      <c r="F1808" s="1208" t="s">
        <v>4333</v>
      </c>
      <c r="G1808" s="1184" t="s">
        <v>456</v>
      </c>
      <c r="H1808" s="1210">
        <v>460000000</v>
      </c>
      <c r="I1808" s="1208" t="s">
        <v>2635</v>
      </c>
      <c r="J1808" s="1186" t="str">
        <f>VLOOKUP($I1808,'Price List, Weapons &amp; Items'!B:C,2,0)</f>
        <v>Military equipment</v>
      </c>
      <c r="K1808" s="1186" t="str">
        <f>IF(I1808=".",I1808,VLOOKUP($I1808,'Price List, Weapons &amp; Items'!B:D,3,0))</f>
        <v>Military equipment</v>
      </c>
      <c r="L1808" s="1187">
        <f>VLOOKUP(I1808,'Price List, Weapons &amp; Items'!B:E,4,0)</f>
        <v>0</v>
      </c>
      <c r="M1808" s="1188" t="s">
        <v>374</v>
      </c>
      <c r="N1808" s="1188" t="s">
        <v>374</v>
      </c>
      <c r="O1808" s="1188" t="str">
        <f>VLOOKUP($I1808,'Price List, Weapons &amp; Items'!B:G,6,0)</f>
        <v>.</v>
      </c>
      <c r="P1808" s="1185" t="str">
        <f t="shared" si="386"/>
        <v>.</v>
      </c>
      <c r="Q1808" s="1185" t="str">
        <f t="shared" si="387"/>
        <v>.</v>
      </c>
      <c r="R1808" s="1185" t="str">
        <f t="shared" si="383"/>
        <v/>
      </c>
      <c r="S1808" s="1185" t="str">
        <f>IF(AND(AD1808=1,R1808&lt;&gt;".")=TRUE,R1808/VLOOKUP(G1808,'Exchange Rates'!B:C,2,0),IF(R1808=".",".",""))</f>
        <v/>
      </c>
      <c r="T1808" s="1185" t="str">
        <f>IF(AD1808=1,IF(AF1808="Value is not given at all",".",IF(AF1808="Value is given by the source",S1808,IF(AF1808="Value is calculated with prices",(IF(SUMIFS(Q:Q,A:A,A1808)&gt;0,SUMIFS(Q:Q,A:A,A1808),"."))/VLOOKUP("USD",'Exchange Rates'!B:C,2,0),"Error with coding"))),"")</f>
        <v/>
      </c>
      <c r="U1808" s="1191" t="s">
        <v>365</v>
      </c>
      <c r="V1808" s="983" t="s">
        <v>4334</v>
      </c>
      <c r="W1808" s="983" t="s">
        <v>3989</v>
      </c>
      <c r="X1808" s="1208" t="s">
        <v>364</v>
      </c>
      <c r="Y1808" s="1208" t="s">
        <v>364</v>
      </c>
      <c r="Z1808" s="1191">
        <v>0</v>
      </c>
      <c r="AA1808" s="1191">
        <v>0</v>
      </c>
      <c r="AB1808" s="1208" t="s">
        <v>364</v>
      </c>
      <c r="AC1808" s="1192" t="str">
        <f>""</f>
        <v/>
      </c>
      <c r="AD1808" s="1193">
        <v>0</v>
      </c>
      <c r="AE1808" s="1191" t="s">
        <v>368</v>
      </c>
      <c r="AF1808" s="1191" t="s">
        <v>369</v>
      </c>
      <c r="AG1808" s="1193">
        <v>1</v>
      </c>
      <c r="AH1808" s="1193">
        <v>14</v>
      </c>
      <c r="AI1808" s="1193">
        <v>0</v>
      </c>
      <c r="AJ1808" s="1193">
        <f>VLOOKUP($I1808,'Price List, Weapons &amp; Items'!B:F,5,0)</f>
        <v>0</v>
      </c>
      <c r="AK1808" s="1193">
        <f t="shared" si="388"/>
        <v>0</v>
      </c>
      <c r="AL1808" s="1193">
        <f t="shared" si="389"/>
        <v>0</v>
      </c>
      <c r="AM1808" s="1193">
        <f t="shared" si="390"/>
        <v>0</v>
      </c>
      <c r="AN1808" s="1194" t="str">
        <f>VLOOKUP($I1808,'Price List, Weapons &amp; Items'!B:L,COLUMN('Price List, Weapons &amp; Items'!$J$11)-1,0)</f>
        <v>.</v>
      </c>
      <c r="AO1808" s="1194" t="str">
        <f>IF(I1808=".",".",VLOOKUP($I1808,'Price List, Weapons &amp; Items'!B:J,3,0))</f>
        <v>Military equipment</v>
      </c>
      <c r="AP1808" s="1195" t="str">
        <f t="shared" ca="1" si="384"/>
        <v/>
      </c>
      <c r="AQ1808" s="1194">
        <f>VLOOKUP($I1808,'Price List, Weapons &amp; Items'!B:L,COLUMN('Price List, Weapons &amp; Items'!$L$11)-1,0)</f>
        <v>0</v>
      </c>
      <c r="AR1808" s="1194">
        <f t="shared" si="391"/>
        <v>1</v>
      </c>
      <c r="AS1808" s="1194">
        <f t="shared" si="392"/>
        <v>1</v>
      </c>
      <c r="AT1808" s="1194">
        <f t="shared" si="393"/>
        <v>1</v>
      </c>
      <c r="AU1808" s="1194" t="str">
        <f t="shared" si="382"/>
        <v>.</v>
      </c>
      <c r="AV1808" s="1194" t="str">
        <f t="shared" si="385"/>
        <v>.</v>
      </c>
      <c r="AW1808" s="1194" t="str">
        <f t="shared" si="394"/>
        <v>.</v>
      </c>
      <c r="AX1808" s="1194">
        <f>IFERROR(VLOOKUP(B1808,'Share, Heavy Weapons to Ukraine'!B:Z,COLUMN('Share, Heavy Weapons to Ukraine'!C1818)-1,0),0)</f>
        <v>1</v>
      </c>
      <c r="AY1808" s="1194">
        <f>VLOOKUP('Bilateral Assistance, MAIN DATA'!B1808,'Country Summary (€)'!B:F,COLUMN('Country Summary (€)'!C1819)-1,FALSE)</f>
        <v>0</v>
      </c>
      <c r="AZ1808" s="1194" t="str">
        <f>IF(AND(AD1808=1,D1808="Military",H1808&lt;&gt;"Not given")=TRUE,IF(SUMIFS(P:P,A:A,A1808)&gt;0,ABS((SUMIFS(P:P,A:A,A1808)/VLOOKUP("USD",'Exchange Rates'!B:C,2,0)))/S1808,"."),".")</f>
        <v>.</v>
      </c>
      <c r="BA1808" s="1196" t="str">
        <f>IF(AND(AD1808=1,D1808="Military",H1808&lt;&gt;"Not given")=TRUE,IF(SUMIFS(P:P,A:A,A1808)&gt;0,IF((ABS((SUMIFS(P:P,A:A,A1808)/VLOOKUP("USD",'Exchange Rates'!B:C,2,0)))/S1808)&gt;1,(SUMIFS(P:P,A:A,A1808)-S1808)/S1808,(S1808-SUMIFS(P:P,A:A,A1808))/SUMIFS(P:P,A:A,A1808)),"."),".")</f>
        <v>.</v>
      </c>
      <c r="BB1808" s="1208" t="s">
        <v>38</v>
      </c>
      <c r="BC1808" s="1208" t="s">
        <v>38</v>
      </c>
      <c r="BD1808" s="1208" t="s">
        <v>38</v>
      </c>
      <c r="BE1808" s="1208" t="s">
        <v>38</v>
      </c>
      <c r="BF1808" s="1208" t="s">
        <v>38</v>
      </c>
      <c r="BG1808" s="1208" t="s">
        <v>38</v>
      </c>
      <c r="BH1808" s="1208" t="s">
        <v>38</v>
      </c>
      <c r="BI1808" s="1208" t="s">
        <v>38</v>
      </c>
      <c r="BJ1808" s="1208" t="s">
        <v>38</v>
      </c>
      <c r="BK1808" s="1208" t="s">
        <v>38</v>
      </c>
      <c r="BL1808" s="1208" t="s">
        <v>38</v>
      </c>
      <c r="BM1808" s="1208" t="s">
        <v>38</v>
      </c>
      <c r="BN1808" s="1208" t="s">
        <v>38</v>
      </c>
      <c r="BO1808" s="1208" t="s">
        <v>38</v>
      </c>
      <c r="BP1808" s="1208" t="s">
        <v>38</v>
      </c>
      <c r="BQ1808" s="1208" t="s">
        <v>38</v>
      </c>
      <c r="BR1808" s="1208" t="s">
        <v>38</v>
      </c>
      <c r="BS1808" s="1208" t="s">
        <v>38</v>
      </c>
    </row>
    <row r="1809" spans="1:71" ht="15.95" customHeight="1">
      <c r="A1809" s="1208" t="s">
        <v>4310</v>
      </c>
      <c r="B1809" s="1208" t="s">
        <v>3949</v>
      </c>
      <c r="C1809" s="1209">
        <v>44977</v>
      </c>
      <c r="D1809" s="1208" t="s">
        <v>389</v>
      </c>
      <c r="E1809" s="1208" t="s">
        <v>390</v>
      </c>
      <c r="F1809" s="1208" t="s">
        <v>4333</v>
      </c>
      <c r="G1809" s="1184" t="s">
        <v>456</v>
      </c>
      <c r="H1809" s="1210">
        <v>460000000</v>
      </c>
      <c r="I1809" s="1208" t="s">
        <v>3238</v>
      </c>
      <c r="J1809" s="1186" t="str">
        <f>VLOOKUP($I1809,'Price List, Weapons &amp; Items'!B:C,2,0)</f>
        <v>Humanitarian</v>
      </c>
      <c r="K1809" s="1186" t="str">
        <f>IF(I1809=".",I1809,VLOOKUP($I1809,'Price List, Weapons &amp; Items'!B:D,3,0))</f>
        <v>Humanitarian</v>
      </c>
      <c r="L1809" s="1187">
        <f>VLOOKUP(I1809,'Price List, Weapons &amp; Items'!B:E,4,0)</f>
        <v>0</v>
      </c>
      <c r="M1809" s="1188" t="s">
        <v>374</v>
      </c>
      <c r="N1809" s="1188" t="s">
        <v>374</v>
      </c>
      <c r="O1809" s="1188" t="str">
        <f>VLOOKUP($I1809,'Price List, Weapons &amp; Items'!B:G,6,0)</f>
        <v>.</v>
      </c>
      <c r="P1809" s="1185" t="str">
        <f t="shared" si="386"/>
        <v>.</v>
      </c>
      <c r="Q1809" s="1185" t="str">
        <f t="shared" si="387"/>
        <v>.</v>
      </c>
      <c r="R1809" s="1185" t="str">
        <f t="shared" si="383"/>
        <v/>
      </c>
      <c r="S1809" s="1185" t="str">
        <f>IF(AND(AD1809=1,R1809&lt;&gt;".")=TRUE,R1809/VLOOKUP(G1809,'Exchange Rates'!B:C,2,0),IF(R1809=".",".",""))</f>
        <v/>
      </c>
      <c r="T1809" s="1185" t="str">
        <f>IF(AD1809=1,IF(AF1809="Value is not given at all",".",IF(AF1809="Value is given by the source",S1809,IF(AF1809="Value is calculated with prices",(IF(SUMIFS(Q:Q,A:A,A1809)&gt;0,SUMIFS(Q:Q,A:A,A1809),"."))/VLOOKUP("USD",'Exchange Rates'!B:C,2,0),"Error with coding"))),"")</f>
        <v/>
      </c>
      <c r="U1809" s="1191" t="s">
        <v>365</v>
      </c>
      <c r="V1809" s="983" t="s">
        <v>4334</v>
      </c>
      <c r="W1809" s="983" t="s">
        <v>3989</v>
      </c>
      <c r="X1809" s="1208" t="s">
        <v>364</v>
      </c>
      <c r="Y1809" s="1208" t="s">
        <v>364</v>
      </c>
      <c r="Z1809" s="1191">
        <v>0</v>
      </c>
      <c r="AA1809" s="1191">
        <v>0</v>
      </c>
      <c r="AB1809" s="1208" t="s">
        <v>364</v>
      </c>
      <c r="AC1809" s="1192" t="str">
        <f>""</f>
        <v/>
      </c>
      <c r="AD1809" s="1193">
        <v>0</v>
      </c>
      <c r="AE1809" s="1191" t="s">
        <v>368</v>
      </c>
      <c r="AF1809" s="1191" t="s">
        <v>369</v>
      </c>
      <c r="AG1809" s="1193">
        <v>1</v>
      </c>
      <c r="AH1809" s="1193">
        <v>14</v>
      </c>
      <c r="AI1809" s="1193">
        <v>0</v>
      </c>
      <c r="AJ1809" s="1193">
        <f>VLOOKUP($I1809,'Price List, Weapons &amp; Items'!B:F,5,0)</f>
        <v>0</v>
      </c>
      <c r="AK1809" s="1193">
        <f t="shared" si="388"/>
        <v>0</v>
      </c>
      <c r="AL1809" s="1193">
        <f t="shared" si="389"/>
        <v>0</v>
      </c>
      <c r="AM1809" s="1193">
        <f t="shared" si="390"/>
        <v>0</v>
      </c>
      <c r="AN1809" s="1194" t="str">
        <f>VLOOKUP($I1809,'Price List, Weapons &amp; Items'!B:L,COLUMN('Price List, Weapons &amp; Items'!$J$11)-1,0)</f>
        <v>.</v>
      </c>
      <c r="AO1809" s="1194" t="str">
        <f>IF(I1809=".",".",VLOOKUP($I1809,'Price List, Weapons &amp; Items'!B:J,3,0))</f>
        <v>Humanitarian</v>
      </c>
      <c r="AP1809" s="1195" t="str">
        <f t="shared" ca="1" si="384"/>
        <v/>
      </c>
      <c r="AQ1809" s="1194">
        <f>VLOOKUP($I1809,'Price List, Weapons &amp; Items'!B:L,COLUMN('Price List, Weapons &amp; Items'!$L$11)-1,0)</f>
        <v>0</v>
      </c>
      <c r="AR1809" s="1194">
        <f t="shared" si="391"/>
        <v>1</v>
      </c>
      <c r="AS1809" s="1194">
        <f t="shared" si="392"/>
        <v>1</v>
      </c>
      <c r="AT1809" s="1194">
        <f t="shared" si="393"/>
        <v>1</v>
      </c>
      <c r="AU1809" s="1194" t="str">
        <f t="shared" si="382"/>
        <v>.</v>
      </c>
      <c r="AV1809" s="1194" t="str">
        <f t="shared" si="385"/>
        <v>.</v>
      </c>
      <c r="AW1809" s="1194" t="str">
        <f t="shared" si="394"/>
        <v>.</v>
      </c>
      <c r="AX1809" s="1194">
        <f>IFERROR(VLOOKUP(B1809,'Share, Heavy Weapons to Ukraine'!B:Z,COLUMN('Share, Heavy Weapons to Ukraine'!C1819)-1,0),0)</f>
        <v>1</v>
      </c>
      <c r="AY1809" s="1194">
        <f>VLOOKUP('Bilateral Assistance, MAIN DATA'!B1809,'Country Summary (€)'!B:F,COLUMN('Country Summary (€)'!C1820)-1,FALSE)</f>
        <v>0</v>
      </c>
      <c r="AZ1809" s="1194" t="str">
        <f>IF(AND(AD1809=1,D1809="Military",H1809&lt;&gt;"Not given")=TRUE,IF(SUMIFS(P:P,A:A,A1809)&gt;0,ABS((SUMIFS(P:P,A:A,A1809)/VLOOKUP("USD",'Exchange Rates'!B:C,2,0)))/S1809,"."),".")</f>
        <v>.</v>
      </c>
      <c r="BA1809" s="1196" t="str">
        <f>IF(AND(AD1809=1,D1809="Military",H1809&lt;&gt;"Not given")=TRUE,IF(SUMIFS(P:P,A:A,A1809)&gt;0,IF((ABS((SUMIFS(P:P,A:A,A1809)/VLOOKUP("USD",'Exchange Rates'!B:C,2,0)))/S1809)&gt;1,(SUMIFS(P:P,A:A,A1809)-S1809)/S1809,(S1809-SUMIFS(P:P,A:A,A1809))/SUMIFS(P:P,A:A,A1809)),"."),".")</f>
        <v>.</v>
      </c>
      <c r="BB1809" s="1208" t="s">
        <v>38</v>
      </c>
      <c r="BC1809" s="1208" t="s">
        <v>38</v>
      </c>
      <c r="BD1809" s="1208" t="s">
        <v>38</v>
      </c>
      <c r="BE1809" s="1208" t="s">
        <v>38</v>
      </c>
      <c r="BF1809" s="1208" t="s">
        <v>38</v>
      </c>
      <c r="BG1809" s="1208" t="s">
        <v>38</v>
      </c>
      <c r="BH1809" s="1208" t="s">
        <v>38</v>
      </c>
      <c r="BI1809" s="1208" t="s">
        <v>38</v>
      </c>
      <c r="BJ1809" s="1208" t="s">
        <v>38</v>
      </c>
      <c r="BK1809" s="1208" t="s">
        <v>38</v>
      </c>
      <c r="BL1809" s="1208" t="s">
        <v>38</v>
      </c>
      <c r="BM1809" s="1208" t="s">
        <v>38</v>
      </c>
      <c r="BN1809" s="1208" t="s">
        <v>38</v>
      </c>
      <c r="BO1809" s="1208" t="s">
        <v>38</v>
      </c>
      <c r="BP1809" s="1208" t="s">
        <v>38</v>
      </c>
      <c r="BQ1809" s="1208" t="s">
        <v>38</v>
      </c>
      <c r="BR1809" s="1208" t="s">
        <v>38</v>
      </c>
      <c r="BS1809" s="1208" t="s">
        <v>38</v>
      </c>
    </row>
    <row r="1810" spans="1:71" ht="15.95" customHeight="1">
      <c r="A1810" s="1208" t="s">
        <v>4310</v>
      </c>
      <c r="B1810" s="1208" t="s">
        <v>3949</v>
      </c>
      <c r="C1810" s="1209">
        <v>44977</v>
      </c>
      <c r="D1810" s="1208" t="s">
        <v>389</v>
      </c>
      <c r="E1810" s="1208" t="s">
        <v>390</v>
      </c>
      <c r="F1810" s="1208" t="s">
        <v>4333</v>
      </c>
      <c r="G1810" s="1184" t="s">
        <v>456</v>
      </c>
      <c r="H1810" s="1210">
        <v>460000000</v>
      </c>
      <c r="I1810" s="1208" t="s">
        <v>4217</v>
      </c>
      <c r="J1810" s="1186" t="str">
        <f>VLOOKUP($I1810,'Price List, Weapons &amp; Items'!B:C,2,0)</f>
        <v>Military equipment</v>
      </c>
      <c r="K1810" s="1186" t="str">
        <f>IF(I1810=".",I1810,VLOOKUP($I1810,'Price List, Weapons &amp; Items'!B:D,3,0))</f>
        <v>spare parts</v>
      </c>
      <c r="L1810" s="1187">
        <f>VLOOKUP(I1810,'Price List, Weapons &amp; Items'!B:E,4,0)</f>
        <v>0</v>
      </c>
      <c r="M1810" s="1188" t="s">
        <v>374</v>
      </c>
      <c r="N1810" s="1188" t="s">
        <v>374</v>
      </c>
      <c r="O1810" s="1188" t="str">
        <f>VLOOKUP($I1810,'Price List, Weapons &amp; Items'!B:G,6,0)</f>
        <v>.</v>
      </c>
      <c r="P1810" s="1185" t="str">
        <f t="shared" si="386"/>
        <v>.</v>
      </c>
      <c r="Q1810" s="1185" t="str">
        <f t="shared" si="387"/>
        <v>.</v>
      </c>
      <c r="R1810" s="1185" t="str">
        <f t="shared" si="383"/>
        <v/>
      </c>
      <c r="S1810" s="1185" t="str">
        <f>IF(AND(AD1810=1,R1810&lt;&gt;".")=TRUE,R1810/VLOOKUP(G1810,'Exchange Rates'!B:C,2,0),IF(R1810=".",".",""))</f>
        <v/>
      </c>
      <c r="T1810" s="1185" t="str">
        <f>IF(AD1810=1,IF(AF1810="Value is not given at all",".",IF(AF1810="Value is given by the source",S1810,IF(AF1810="Value is calculated with prices",(IF(SUMIFS(Q:Q,A:A,A1810)&gt;0,SUMIFS(Q:Q,A:A,A1810),"."))/VLOOKUP("USD",'Exchange Rates'!B:C,2,0),"Error with coding"))),"")</f>
        <v/>
      </c>
      <c r="U1810" s="1191" t="s">
        <v>365</v>
      </c>
      <c r="V1810" s="983" t="s">
        <v>4334</v>
      </c>
      <c r="W1810" s="983" t="s">
        <v>3989</v>
      </c>
      <c r="X1810" s="1208" t="s">
        <v>364</v>
      </c>
      <c r="Y1810" s="1208" t="s">
        <v>364</v>
      </c>
      <c r="Z1810" s="1191">
        <v>0</v>
      </c>
      <c r="AA1810" s="1191">
        <v>0</v>
      </c>
      <c r="AB1810" s="1208" t="s">
        <v>364</v>
      </c>
      <c r="AC1810" s="1192" t="str">
        <f>""</f>
        <v/>
      </c>
      <c r="AD1810" s="1193">
        <v>0</v>
      </c>
      <c r="AE1810" s="1191" t="s">
        <v>368</v>
      </c>
      <c r="AF1810" s="1191" t="s">
        <v>369</v>
      </c>
      <c r="AG1810" s="1193">
        <v>1</v>
      </c>
      <c r="AH1810" s="1193">
        <v>14</v>
      </c>
      <c r="AI1810" s="1193">
        <v>0</v>
      </c>
      <c r="AJ1810" s="1193">
        <f>VLOOKUP($I1810,'Price List, Weapons &amp; Items'!B:F,5,0)</f>
        <v>0</v>
      </c>
      <c r="AK1810" s="1193">
        <f t="shared" si="388"/>
        <v>0</v>
      </c>
      <c r="AL1810" s="1193">
        <f t="shared" si="389"/>
        <v>0</v>
      </c>
      <c r="AM1810" s="1193">
        <f t="shared" si="390"/>
        <v>0</v>
      </c>
      <c r="AN1810" s="1194" t="str">
        <f>VLOOKUP($I1810,'Price List, Weapons &amp; Items'!B:L,COLUMN('Price List, Weapons &amp; Items'!$J$11)-1,0)</f>
        <v>.</v>
      </c>
      <c r="AO1810" s="1194" t="str">
        <f>IF(I1810=".",".",VLOOKUP($I1810,'Price List, Weapons &amp; Items'!B:J,3,0))</f>
        <v>spare parts</v>
      </c>
      <c r="AP1810" s="1195" t="str">
        <f t="shared" ca="1" si="384"/>
        <v/>
      </c>
      <c r="AQ1810" s="1194" t="str">
        <f>VLOOKUP($I1810,'Price List, Weapons &amp; Items'!B:L,COLUMN('Price List, Weapons &amp; Items'!$L$11)-1,0)</f>
        <v>no price, 0 count</v>
      </c>
      <c r="AR1810" s="1194">
        <f t="shared" si="391"/>
        <v>1</v>
      </c>
      <c r="AS1810" s="1194">
        <f t="shared" si="392"/>
        <v>1</v>
      </c>
      <c r="AT1810" s="1194">
        <f t="shared" si="393"/>
        <v>1</v>
      </c>
      <c r="AU1810" s="1194" t="str">
        <f t="shared" si="382"/>
        <v>.</v>
      </c>
      <c r="AV1810" s="1194" t="str">
        <f t="shared" si="385"/>
        <v>.</v>
      </c>
      <c r="AW1810" s="1194" t="str">
        <f t="shared" si="394"/>
        <v>.</v>
      </c>
      <c r="AX1810" s="1194">
        <f>IFERROR(VLOOKUP(B1810,'Share, Heavy Weapons to Ukraine'!B:Z,COLUMN('Share, Heavy Weapons to Ukraine'!C1820)-1,0),0)</f>
        <v>1</v>
      </c>
      <c r="AY1810" s="1194">
        <f>VLOOKUP('Bilateral Assistance, MAIN DATA'!B1810,'Country Summary (€)'!B:F,COLUMN('Country Summary (€)'!C1821)-1,FALSE)</f>
        <v>0</v>
      </c>
      <c r="AZ1810" s="1194" t="str">
        <f>IF(AND(AD1810=1,D1810="Military",H1810&lt;&gt;"Not given")=TRUE,IF(SUMIFS(P:P,A:A,A1810)&gt;0,ABS((SUMIFS(P:P,A:A,A1810)/VLOOKUP("USD",'Exchange Rates'!B:C,2,0)))/S1810,"."),".")</f>
        <v>.</v>
      </c>
      <c r="BA1810" s="1196" t="str">
        <f>IF(AND(AD1810=1,D1810="Military",H1810&lt;&gt;"Not given")=TRUE,IF(SUMIFS(P:P,A:A,A1810)&gt;0,IF((ABS((SUMIFS(P:P,A:A,A1810)/VLOOKUP("USD",'Exchange Rates'!B:C,2,0)))/S1810)&gt;1,(SUMIFS(P:P,A:A,A1810)-S1810)/S1810,(S1810-SUMIFS(P:P,A:A,A1810))/SUMIFS(P:P,A:A,A1810)),"."),".")</f>
        <v>.</v>
      </c>
      <c r="BB1810" s="1208" t="s">
        <v>38</v>
      </c>
      <c r="BC1810" s="1208" t="s">
        <v>38</v>
      </c>
      <c r="BD1810" s="1208" t="s">
        <v>38</v>
      </c>
      <c r="BE1810" s="1208" t="s">
        <v>38</v>
      </c>
      <c r="BF1810" s="1208" t="s">
        <v>38</v>
      </c>
      <c r="BG1810" s="1208" t="s">
        <v>38</v>
      </c>
      <c r="BH1810" s="1208" t="s">
        <v>38</v>
      </c>
      <c r="BI1810" s="1208" t="s">
        <v>38</v>
      </c>
      <c r="BJ1810" s="1208" t="s">
        <v>38</v>
      </c>
      <c r="BK1810" s="1208" t="s">
        <v>38</v>
      </c>
      <c r="BL1810" s="1208" t="s">
        <v>38</v>
      </c>
      <c r="BM1810" s="1208" t="s">
        <v>38</v>
      </c>
      <c r="BN1810" s="1208" t="s">
        <v>38</v>
      </c>
      <c r="BO1810" s="1208" t="s">
        <v>38</v>
      </c>
      <c r="BP1810" s="1208" t="s">
        <v>38</v>
      </c>
      <c r="BQ1810" s="1208" t="s">
        <v>38</v>
      </c>
      <c r="BR1810" s="1208" t="s">
        <v>38</v>
      </c>
      <c r="BS1810" s="1208" t="s">
        <v>38</v>
      </c>
    </row>
    <row r="1811" spans="1:71" ht="15.95" customHeight="1">
      <c r="A1811" s="1208" t="s">
        <v>4310</v>
      </c>
      <c r="B1811" s="1208" t="s">
        <v>3949</v>
      </c>
      <c r="C1811" s="1209">
        <v>44977</v>
      </c>
      <c r="D1811" s="1208" t="s">
        <v>389</v>
      </c>
      <c r="E1811" s="1208" t="s">
        <v>390</v>
      </c>
      <c r="F1811" s="1208" t="s">
        <v>4333</v>
      </c>
      <c r="G1811" s="1184" t="s">
        <v>456</v>
      </c>
      <c r="H1811" s="1210">
        <v>460000000</v>
      </c>
      <c r="I1811" s="1208" t="s">
        <v>4328</v>
      </c>
      <c r="J1811" s="1186" t="str">
        <f>VLOOKUP($I1811,'Price List, Weapons &amp; Items'!B:C,2,0)</f>
        <v>Military equipment</v>
      </c>
      <c r="K1811" s="1186" t="str">
        <f>IF(I1811=".",I1811,VLOOKUP($I1811,'Price List, Weapons &amp; Items'!B:D,3,0))</f>
        <v>Military equipment</v>
      </c>
      <c r="L1811" s="1187">
        <f>VLOOKUP(I1811,'Price List, Weapons &amp; Items'!B:E,4,0)</f>
        <v>0</v>
      </c>
      <c r="M1811" s="1188" t="s">
        <v>374</v>
      </c>
      <c r="N1811" s="1188" t="s">
        <v>374</v>
      </c>
      <c r="O1811" s="1188" t="str">
        <f>VLOOKUP($I1811,'Price List, Weapons &amp; Items'!B:G,6,0)</f>
        <v>.</v>
      </c>
      <c r="P1811" s="1185" t="str">
        <f t="shared" si="386"/>
        <v>.</v>
      </c>
      <c r="Q1811" s="1185" t="str">
        <f t="shared" si="387"/>
        <v>.</v>
      </c>
      <c r="R1811" s="1185" t="str">
        <f t="shared" si="383"/>
        <v/>
      </c>
      <c r="S1811" s="1185" t="str">
        <f>IF(AND(AD1811=1,R1811&lt;&gt;".")=TRUE,R1811/VLOOKUP(G1811,'Exchange Rates'!B:C,2,0),IF(R1811=".",".",""))</f>
        <v/>
      </c>
      <c r="T1811" s="1185" t="str">
        <f>IF(AD1811=1,IF(AF1811="Value is not given at all",".",IF(AF1811="Value is given by the source",S1811,IF(AF1811="Value is calculated with prices",(IF(SUMIFS(Q:Q,A:A,A1811)&gt;0,SUMIFS(Q:Q,A:A,A1811),"."))/VLOOKUP("USD",'Exchange Rates'!B:C,2,0),"Error with coding"))),"")</f>
        <v/>
      </c>
      <c r="U1811" s="1191" t="s">
        <v>365</v>
      </c>
      <c r="V1811" s="983" t="s">
        <v>4334</v>
      </c>
      <c r="W1811" s="983" t="s">
        <v>3989</v>
      </c>
      <c r="X1811" s="1208" t="s">
        <v>364</v>
      </c>
      <c r="Y1811" s="1208" t="s">
        <v>364</v>
      </c>
      <c r="Z1811" s="1191">
        <v>0</v>
      </c>
      <c r="AA1811" s="1191">
        <v>0</v>
      </c>
      <c r="AB1811" s="1208" t="s">
        <v>364</v>
      </c>
      <c r="AC1811" s="1192" t="str">
        <f>""</f>
        <v/>
      </c>
      <c r="AD1811" s="1193">
        <v>0</v>
      </c>
      <c r="AE1811" s="1191" t="s">
        <v>368</v>
      </c>
      <c r="AF1811" s="1191" t="s">
        <v>369</v>
      </c>
      <c r="AG1811" s="1193">
        <v>1</v>
      </c>
      <c r="AH1811" s="1193">
        <v>14</v>
      </c>
      <c r="AI1811" s="1193">
        <v>0</v>
      </c>
      <c r="AJ1811" s="1193">
        <f>VLOOKUP($I1811,'Price List, Weapons &amp; Items'!B:F,5,0)</f>
        <v>0</v>
      </c>
      <c r="AK1811" s="1193">
        <f t="shared" si="388"/>
        <v>0</v>
      </c>
      <c r="AL1811" s="1193">
        <f t="shared" si="389"/>
        <v>0</v>
      </c>
      <c r="AM1811" s="1193">
        <f t="shared" si="390"/>
        <v>0</v>
      </c>
      <c r="AN1811" s="1194" t="str">
        <f>VLOOKUP($I1811,'Price List, Weapons &amp; Items'!B:L,COLUMN('Price List, Weapons &amp; Items'!$J$11)-1,0)</f>
        <v>.</v>
      </c>
      <c r="AO1811" s="1194" t="str">
        <f>IF(I1811=".",".",VLOOKUP($I1811,'Price List, Weapons &amp; Items'!B:J,3,0))</f>
        <v>Military equipment</v>
      </c>
      <c r="AP1811" s="1195" t="str">
        <f t="shared" ca="1" si="384"/>
        <v/>
      </c>
      <c r="AQ1811" s="1194" t="str">
        <f>VLOOKUP($I1811,'Price List, Weapons &amp; Items'!B:L,COLUMN('Price List, Weapons &amp; Items'!$L$11)-1,0)</f>
        <v>no price, 0 count</v>
      </c>
      <c r="AR1811" s="1194">
        <f t="shared" si="391"/>
        <v>1</v>
      </c>
      <c r="AS1811" s="1194">
        <f t="shared" si="392"/>
        <v>1</v>
      </c>
      <c r="AT1811" s="1194">
        <f t="shared" si="393"/>
        <v>1</v>
      </c>
      <c r="AU1811" s="1194" t="str">
        <f t="shared" si="382"/>
        <v>.</v>
      </c>
      <c r="AV1811" s="1194" t="str">
        <f t="shared" si="385"/>
        <v>.</v>
      </c>
      <c r="AW1811" s="1194" t="str">
        <f t="shared" si="394"/>
        <v>.</v>
      </c>
      <c r="AX1811" s="1194">
        <f>IFERROR(VLOOKUP(B1811,'Share, Heavy Weapons to Ukraine'!B:Z,COLUMN('Share, Heavy Weapons to Ukraine'!C1821)-1,0),0)</f>
        <v>1</v>
      </c>
      <c r="AY1811" s="1194">
        <f>VLOOKUP('Bilateral Assistance, MAIN DATA'!B1811,'Country Summary (€)'!B:F,COLUMN('Country Summary (€)'!C1822)-1,FALSE)</f>
        <v>0</v>
      </c>
      <c r="AZ1811" s="1194" t="str">
        <f>IF(AND(AD1811=1,D1811="Military",H1811&lt;&gt;"Not given")=TRUE,IF(SUMIFS(P:P,A:A,A1811)&gt;0,ABS((SUMIFS(P:P,A:A,A1811)/VLOOKUP("USD",'Exchange Rates'!B:C,2,0)))/S1811,"."),".")</f>
        <v>.</v>
      </c>
      <c r="BA1811" s="1196" t="str">
        <f>IF(AND(AD1811=1,D1811="Military",H1811&lt;&gt;"Not given")=TRUE,IF(SUMIFS(P:P,A:A,A1811)&gt;0,IF((ABS((SUMIFS(P:P,A:A,A1811)/VLOOKUP("USD",'Exchange Rates'!B:C,2,0)))/S1811)&gt;1,(SUMIFS(P:P,A:A,A1811)-S1811)/S1811,(S1811-SUMIFS(P:P,A:A,A1811))/SUMIFS(P:P,A:A,A1811)),"."),".")</f>
        <v>.</v>
      </c>
      <c r="BB1811" s="1208" t="s">
        <v>38</v>
      </c>
      <c r="BC1811" s="1208" t="s">
        <v>38</v>
      </c>
      <c r="BD1811" s="1208" t="s">
        <v>38</v>
      </c>
      <c r="BE1811" s="1208" t="s">
        <v>38</v>
      </c>
      <c r="BF1811" s="1208" t="s">
        <v>38</v>
      </c>
      <c r="BG1811" s="1208" t="s">
        <v>38</v>
      </c>
      <c r="BH1811" s="1208" t="s">
        <v>38</v>
      </c>
      <c r="BI1811" s="1208" t="s">
        <v>38</v>
      </c>
      <c r="BJ1811" s="1208" t="s">
        <v>38</v>
      </c>
      <c r="BK1811" s="1208" t="s">
        <v>38</v>
      </c>
      <c r="BL1811" s="1208" t="s">
        <v>38</v>
      </c>
      <c r="BM1811" s="1208" t="s">
        <v>38</v>
      </c>
      <c r="BN1811" s="1208" t="s">
        <v>38</v>
      </c>
      <c r="BO1811" s="1208" t="s">
        <v>38</v>
      </c>
      <c r="BP1811" s="1208" t="s">
        <v>38</v>
      </c>
      <c r="BQ1811" s="1208" t="s">
        <v>38</v>
      </c>
      <c r="BR1811" s="1208" t="s">
        <v>38</v>
      </c>
      <c r="BS1811" s="1208" t="s">
        <v>38</v>
      </c>
    </row>
    <row r="1812" spans="1:71" ht="15.95" customHeight="1">
      <c r="A1812" s="1208" t="s">
        <v>4310</v>
      </c>
      <c r="B1812" s="1208" t="s">
        <v>3949</v>
      </c>
      <c r="C1812" s="1209">
        <v>44988</v>
      </c>
      <c r="D1812" s="1208" t="s">
        <v>389</v>
      </c>
      <c r="E1812" s="1208" t="s">
        <v>390</v>
      </c>
      <c r="F1812" s="1208" t="s">
        <v>4337</v>
      </c>
      <c r="G1812" s="1184" t="s">
        <v>456</v>
      </c>
      <c r="H1812" s="1210">
        <v>400000000</v>
      </c>
      <c r="I1812" s="1208" t="s">
        <v>865</v>
      </c>
      <c r="J1812" s="1186" t="str">
        <f>VLOOKUP($I1812,'Price List, Weapons &amp; Items'!B:C,2,0)</f>
        <v>Ammunition for Heavy Weapon</v>
      </c>
      <c r="K1812" s="1186" t="str">
        <f>IF(I1812=".",I1812,VLOOKUP($I1812,'Price List, Weapons &amp; Items'!B:D,3,0))</f>
        <v>Missile</v>
      </c>
      <c r="L1812" s="1187">
        <f>VLOOKUP(I1812,'Price List, Weapons &amp; Items'!B:E,4,0)</f>
        <v>0</v>
      </c>
      <c r="M1812" s="1188" t="s">
        <v>374</v>
      </c>
      <c r="N1812" s="1188" t="s">
        <v>374</v>
      </c>
      <c r="O1812" s="1188">
        <f>VLOOKUP($I1812,'Price List, Weapons &amp; Items'!B:G,6,0)</f>
        <v>1090000</v>
      </c>
      <c r="P1812" s="1185" t="str">
        <f t="shared" si="386"/>
        <v>.</v>
      </c>
      <c r="Q1812" s="1185" t="str">
        <f t="shared" si="387"/>
        <v>.</v>
      </c>
      <c r="R1812" s="1185" t="str">
        <f t="shared" si="383"/>
        <v/>
      </c>
      <c r="S1812" s="1185" t="str">
        <f>IF(AND(AD1812=1,R1812&lt;&gt;".")=TRUE,R1812/VLOOKUP(G1812,'Exchange Rates'!B:C,2,0),IF(R1812=".",".",""))</f>
        <v/>
      </c>
      <c r="T1812" s="1185" t="str">
        <f>IF(AD1812=1,IF(AF1812="Value is not given at all",".",IF(AF1812="Value is given by the source",S1812,IF(AF1812="Value is calculated with prices",(IF(SUMIFS(Q:Q,A:A,A1812)&gt;0,SUMIFS(Q:Q,A:A,A1812),"."))/VLOOKUP("USD",'Exchange Rates'!B:C,2,0),"Error with coding"))),"")</f>
        <v/>
      </c>
      <c r="U1812" s="1191" t="s">
        <v>365</v>
      </c>
      <c r="V1812" s="983" t="s">
        <v>4338</v>
      </c>
      <c r="W1812" s="966" t="s">
        <v>4339</v>
      </c>
      <c r="X1812" s="1208" t="s">
        <v>364</v>
      </c>
      <c r="Y1812" s="1208" t="s">
        <v>364</v>
      </c>
      <c r="Z1812" s="1191">
        <v>0</v>
      </c>
      <c r="AA1812" s="1191">
        <v>1</v>
      </c>
      <c r="AB1812" s="1208" t="s">
        <v>364</v>
      </c>
      <c r="AC1812" s="1192" t="str">
        <f>""</f>
        <v/>
      </c>
      <c r="AD1812" s="1193">
        <v>0</v>
      </c>
      <c r="AE1812" s="1191" t="s">
        <v>368</v>
      </c>
      <c r="AF1812" s="1191" t="s">
        <v>369</v>
      </c>
      <c r="AG1812" s="1193">
        <v>1</v>
      </c>
      <c r="AH1812" s="1193">
        <v>15</v>
      </c>
      <c r="AI1812" s="1193">
        <v>0</v>
      </c>
      <c r="AJ1812" s="1193">
        <f>VLOOKUP($I1812,'Price List, Weapons &amp; Items'!B:F,5,0)</f>
        <v>0</v>
      </c>
      <c r="AK1812" s="1193">
        <f t="shared" si="388"/>
        <v>0</v>
      </c>
      <c r="AL1812" s="1193">
        <f t="shared" si="389"/>
        <v>0</v>
      </c>
      <c r="AM1812" s="1193">
        <f t="shared" si="390"/>
        <v>0</v>
      </c>
      <c r="AN1812" s="1194" t="str">
        <f>VLOOKUP($I1812,'Price List, Weapons &amp; Items'!B:L,COLUMN('Price List, Weapons &amp; Items'!$J$11)-1,0)</f>
        <v>Miscellaneous</v>
      </c>
      <c r="AO1812" s="1194" t="str">
        <f>IF(I1812=".",".",VLOOKUP($I1812,'Price List, Weapons &amp; Items'!B:J,3,0))</f>
        <v>Missile</v>
      </c>
      <c r="AP1812" s="1195" t="str">
        <f t="shared" ca="1" si="384"/>
        <v/>
      </c>
      <c r="AQ1812" s="1194" t="str">
        <f>VLOOKUP($I1812,'Price List, Weapons &amp; Items'!B:L,COLUMN('Price List, Weapons &amp; Items'!$L$11)-1,0)</f>
        <v>no price, 0 count</v>
      </c>
      <c r="AR1812" s="1194">
        <f t="shared" si="391"/>
        <v>1</v>
      </c>
      <c r="AS1812" s="1194">
        <f t="shared" si="392"/>
        <v>1</v>
      </c>
      <c r="AT1812" s="1194">
        <f t="shared" si="393"/>
        <v>1</v>
      </c>
      <c r="AU1812" s="1194" t="str">
        <f t="shared" si="382"/>
        <v>.</v>
      </c>
      <c r="AV1812" s="1194" t="str">
        <f t="shared" si="385"/>
        <v>.</v>
      </c>
      <c r="AW1812" s="1194" t="str">
        <f t="shared" si="394"/>
        <v>.</v>
      </c>
      <c r="AX1812" s="1194">
        <f>IFERROR(VLOOKUP(B1812,'Share, Heavy Weapons to Ukraine'!B:Z,COLUMN('Share, Heavy Weapons to Ukraine'!C1822)-1,0),0)</f>
        <v>1</v>
      </c>
      <c r="AY1812" s="1194">
        <f>VLOOKUP('Bilateral Assistance, MAIN DATA'!B1812,'Country Summary (€)'!B:F,COLUMN('Country Summary (€)'!C1823)-1,FALSE)</f>
        <v>0</v>
      </c>
      <c r="AZ1812" s="1194" t="str">
        <f>IF(AND(AD1812=1,D1812="Military",H1812&lt;&gt;"Not given")=TRUE,IF(SUMIFS(P:P,A:A,A1812)&gt;0,ABS((SUMIFS(P:P,A:A,A1812)/VLOOKUP("USD",'Exchange Rates'!B:C,2,0)))/S1812,"."),".")</f>
        <v>.</v>
      </c>
      <c r="BA1812" s="1196" t="str">
        <f>IF(AND(AD1812=1,D1812="Military",H1812&lt;&gt;"Not given")=TRUE,IF(SUMIFS(P:P,A:A,A1812)&gt;0,IF((ABS((SUMIFS(P:P,A:A,A1812)/VLOOKUP("USD",'Exchange Rates'!B:C,2,0)))/S1812)&gt;1,(SUMIFS(P:P,A:A,A1812)-S1812)/S1812,(S1812-SUMIFS(P:P,A:A,A1812))/SUMIFS(P:P,A:A,A1812)),"."),".")</f>
        <v>.</v>
      </c>
      <c r="BB1812" s="1208"/>
      <c r="BC1812" s="1208"/>
      <c r="BD1812" s="1208"/>
      <c r="BE1812" s="1208"/>
      <c r="BF1812" s="1208"/>
      <c r="BG1812" s="1208"/>
      <c r="BH1812" s="1208"/>
      <c r="BI1812" s="1208"/>
      <c r="BJ1812" s="1208"/>
      <c r="BK1812" s="1208"/>
      <c r="BL1812" s="1208"/>
      <c r="BM1812" s="1208"/>
      <c r="BN1812" s="1208"/>
      <c r="BO1812" s="1208"/>
      <c r="BP1812" s="1208"/>
      <c r="BQ1812" s="1208"/>
      <c r="BR1812" s="1208"/>
      <c r="BS1812" s="1208"/>
    </row>
    <row r="1813" spans="1:71" ht="15.95" customHeight="1">
      <c r="A1813" s="1208" t="s">
        <v>4310</v>
      </c>
      <c r="B1813" s="1208" t="s">
        <v>3949</v>
      </c>
      <c r="C1813" s="1209">
        <v>44988</v>
      </c>
      <c r="D1813" s="1208" t="s">
        <v>389</v>
      </c>
      <c r="E1813" s="1208" t="s">
        <v>390</v>
      </c>
      <c r="F1813" s="1208" t="s">
        <v>4337</v>
      </c>
      <c r="G1813" s="1184" t="s">
        <v>456</v>
      </c>
      <c r="H1813" s="1210">
        <v>400000000</v>
      </c>
      <c r="I1813" s="1208" t="s">
        <v>645</v>
      </c>
      <c r="J1813" s="1186" t="str">
        <f>VLOOKUP($I1813,'Price List, Weapons &amp; Items'!B:C,2,0)</f>
        <v>Ammunition for heavy weapon</v>
      </c>
      <c r="K1813" s="1186" t="str">
        <f>IF(I1813=".",I1813,VLOOKUP($I1813,'Price List, Weapons &amp; Items'!B:D,3,0))</f>
        <v>105mm</v>
      </c>
      <c r="L1813" s="1187">
        <f>VLOOKUP(I1813,'Price List, Weapons &amp; Items'!B:E,4,0)</f>
        <v>0</v>
      </c>
      <c r="M1813" s="1188" t="s">
        <v>374</v>
      </c>
      <c r="N1813" s="1188" t="s">
        <v>374</v>
      </c>
      <c r="O1813" s="1188">
        <f>VLOOKUP($I1813,'Price List, Weapons &amp; Items'!B:G,6,0)</f>
        <v>400</v>
      </c>
      <c r="P1813" s="1185" t="str">
        <f t="shared" si="386"/>
        <v>.</v>
      </c>
      <c r="Q1813" s="1185" t="str">
        <f t="shared" si="387"/>
        <v>.</v>
      </c>
      <c r="R1813" s="1185" t="str">
        <f t="shared" si="383"/>
        <v/>
      </c>
      <c r="S1813" s="1185" t="str">
        <f>IF(AND(AD1813=1,R1813&lt;&gt;".")=TRUE,R1813/VLOOKUP(G1813,'Exchange Rates'!B:C,2,0),IF(R1813=".",".",""))</f>
        <v/>
      </c>
      <c r="T1813" s="1185" t="str">
        <f>IF(AD1813=1,IF(AF1813="Value is not given at all",".",IF(AF1813="Value is given by the source",S1813,IF(AF1813="Value is calculated with prices",(IF(SUMIFS(Q:Q,A:A,A1813)&gt;0,SUMIFS(Q:Q,A:A,A1813),"."))/VLOOKUP("USD",'Exchange Rates'!B:C,2,0),"Error with coding"))),"")</f>
        <v/>
      </c>
      <c r="U1813" s="1191" t="s">
        <v>365</v>
      </c>
      <c r="V1813" s="983" t="s">
        <v>4338</v>
      </c>
      <c r="W1813" s="966" t="s">
        <v>4339</v>
      </c>
      <c r="X1813" s="1208" t="s">
        <v>364</v>
      </c>
      <c r="Y1813" s="1208" t="s">
        <v>364</v>
      </c>
      <c r="Z1813" s="1191">
        <v>0</v>
      </c>
      <c r="AA1813" s="1191">
        <v>1</v>
      </c>
      <c r="AB1813" s="1208" t="s">
        <v>364</v>
      </c>
      <c r="AC1813" s="1192" t="str">
        <f>""</f>
        <v/>
      </c>
      <c r="AD1813" s="1193">
        <v>0</v>
      </c>
      <c r="AE1813" s="1191" t="s">
        <v>368</v>
      </c>
      <c r="AF1813" s="1191" t="s">
        <v>369</v>
      </c>
      <c r="AG1813" s="1193">
        <v>1</v>
      </c>
      <c r="AH1813" s="1193">
        <v>15</v>
      </c>
      <c r="AI1813" s="1193">
        <v>0</v>
      </c>
      <c r="AJ1813" s="1193">
        <f>VLOOKUP($I1813,'Price List, Weapons &amp; Items'!B:F,5,0)</f>
        <v>0</v>
      </c>
      <c r="AK1813" s="1193">
        <f t="shared" si="388"/>
        <v>0</v>
      </c>
      <c r="AL1813" s="1193">
        <f t="shared" si="389"/>
        <v>0</v>
      </c>
      <c r="AM1813" s="1193">
        <f t="shared" si="390"/>
        <v>0</v>
      </c>
      <c r="AN1813" s="1194" t="str">
        <f>VLOOKUP($I1813,'Price List, Weapons &amp; Items'!B:L,COLUMN('Price List, Weapons &amp; Items'!$J$11)-1,0)</f>
        <v>Military media (incl. websites)</v>
      </c>
      <c r="AO1813" s="1194" t="str">
        <f>IF(I1813=".",".",VLOOKUP($I1813,'Price List, Weapons &amp; Items'!B:J,3,0))</f>
        <v>105mm</v>
      </c>
      <c r="AP1813" s="1195" t="str">
        <f t="shared" ca="1" si="384"/>
        <v/>
      </c>
      <c r="AQ1813" s="1194">
        <f>VLOOKUP($I1813,'Price List, Weapons &amp; Items'!B:L,COLUMN('Price List, Weapons &amp; Items'!$L$11)-1,0)</f>
        <v>2</v>
      </c>
      <c r="AR1813" s="1194">
        <f t="shared" si="391"/>
        <v>1</v>
      </c>
      <c r="AS1813" s="1194">
        <f t="shared" si="392"/>
        <v>1</v>
      </c>
      <c r="AT1813" s="1194">
        <f t="shared" si="393"/>
        <v>1</v>
      </c>
      <c r="AU1813" s="1194" t="str">
        <f t="shared" si="382"/>
        <v>.</v>
      </c>
      <c r="AV1813" s="1194" t="str">
        <f t="shared" si="385"/>
        <v>.</v>
      </c>
      <c r="AW1813" s="1194" t="str">
        <f t="shared" si="394"/>
        <v>.</v>
      </c>
      <c r="AX1813" s="1194">
        <f>IFERROR(VLOOKUP(B1813,'Share, Heavy Weapons to Ukraine'!B:Z,COLUMN('Share, Heavy Weapons to Ukraine'!C1823)-1,0),0)</f>
        <v>1</v>
      </c>
      <c r="AY1813" s="1194">
        <f>VLOOKUP('Bilateral Assistance, MAIN DATA'!B1813,'Country Summary (€)'!B:F,COLUMN('Country Summary (€)'!C1824)-1,FALSE)</f>
        <v>0</v>
      </c>
      <c r="AZ1813" s="1194" t="str">
        <f>IF(AND(AD1813=1,D1813="Military",H1813&lt;&gt;"Not given")=TRUE,IF(SUMIFS(P:P,A:A,A1813)&gt;0,ABS((SUMIFS(P:P,A:A,A1813)/VLOOKUP("USD",'Exchange Rates'!B:C,2,0)))/S1813,"."),".")</f>
        <v>.</v>
      </c>
      <c r="BA1813" s="1196" t="str">
        <f>IF(AND(AD1813=1,D1813="Military",H1813&lt;&gt;"Not given")=TRUE,IF(SUMIFS(P:P,A:A,A1813)&gt;0,IF((ABS((SUMIFS(P:P,A:A,A1813)/VLOOKUP("USD",'Exchange Rates'!B:C,2,0)))/S1813)&gt;1,(SUMIFS(P:P,A:A,A1813)-S1813)/S1813,(S1813-SUMIFS(P:P,A:A,A1813))/SUMIFS(P:P,A:A,A1813)),"."),".")</f>
        <v>.</v>
      </c>
      <c r="BB1813" s="1208"/>
      <c r="BC1813" s="1208"/>
      <c r="BD1813" s="1208"/>
      <c r="BE1813" s="1208"/>
      <c r="BF1813" s="1208"/>
      <c r="BG1813" s="1208"/>
      <c r="BH1813" s="1208"/>
      <c r="BI1813" s="1208"/>
      <c r="BJ1813" s="1208"/>
      <c r="BK1813" s="1208"/>
      <c r="BL1813" s="1208"/>
      <c r="BM1813" s="1208"/>
      <c r="BN1813" s="1208"/>
      <c r="BO1813" s="1208"/>
      <c r="BP1813" s="1208"/>
      <c r="BQ1813" s="1208"/>
      <c r="BR1813" s="1208"/>
      <c r="BS1813" s="1208"/>
    </row>
    <row r="1814" spans="1:71" ht="15.95" customHeight="1">
      <c r="A1814" s="1208" t="s">
        <v>4310</v>
      </c>
      <c r="B1814" s="1208" t="s">
        <v>3949</v>
      </c>
      <c r="C1814" s="1209">
        <v>44988</v>
      </c>
      <c r="D1814" s="1208" t="s">
        <v>389</v>
      </c>
      <c r="E1814" s="1208" t="s">
        <v>390</v>
      </c>
      <c r="F1814" s="1208" t="s">
        <v>4337</v>
      </c>
      <c r="G1814" s="1184" t="s">
        <v>456</v>
      </c>
      <c r="H1814" s="1210">
        <v>400000000</v>
      </c>
      <c r="I1814" s="1208" t="s">
        <v>856</v>
      </c>
      <c r="J1814" s="1186" t="str">
        <f>VLOOKUP($I1814,'Price List, Weapons &amp; Items'!B:C,2,0)</f>
        <v>Ammunition for heavy weapon</v>
      </c>
      <c r="K1814" s="1186" t="str">
        <f>IF(I1814=".",I1814,VLOOKUP($I1814,'Price List, Weapons &amp; Items'!B:D,3,0))</f>
        <v>155mm howitzer ammunition</v>
      </c>
      <c r="L1814" s="1187">
        <f>VLOOKUP(I1814,'Price List, Weapons &amp; Items'!B:E,4,0)</f>
        <v>0</v>
      </c>
      <c r="M1814" s="1188" t="s">
        <v>374</v>
      </c>
      <c r="N1814" s="1188" t="s">
        <v>374</v>
      </c>
      <c r="O1814" s="1188">
        <f>VLOOKUP($I1814,'Price List, Weapons &amp; Items'!B:G,6,0)</f>
        <v>3800</v>
      </c>
      <c r="P1814" s="1185" t="str">
        <f t="shared" si="386"/>
        <v>.</v>
      </c>
      <c r="Q1814" s="1185" t="str">
        <f t="shared" si="387"/>
        <v>.</v>
      </c>
      <c r="R1814" s="1185" t="str">
        <f t="shared" si="383"/>
        <v/>
      </c>
      <c r="S1814" s="1185" t="str">
        <f>IF(AND(AD1814=1,R1814&lt;&gt;".")=TRUE,R1814/VLOOKUP(G1814,'Exchange Rates'!B:C,2,0),IF(R1814=".",".",""))</f>
        <v/>
      </c>
      <c r="T1814" s="1185" t="str">
        <f>IF(AD1814=1,IF(AF1814="Value is not given at all",".",IF(AF1814="Value is given by the source",S1814,IF(AF1814="Value is calculated with prices",(IF(SUMIFS(Q:Q,A:A,A1814)&gt;0,SUMIFS(Q:Q,A:A,A1814),"."))/VLOOKUP("USD",'Exchange Rates'!B:C,2,0),"Error with coding"))),"")</f>
        <v/>
      </c>
      <c r="U1814" s="1191" t="s">
        <v>365</v>
      </c>
      <c r="V1814" s="983" t="s">
        <v>4338</v>
      </c>
      <c r="W1814" s="966" t="s">
        <v>4339</v>
      </c>
      <c r="X1814" s="1208" t="s">
        <v>364</v>
      </c>
      <c r="Y1814" s="1208" t="s">
        <v>364</v>
      </c>
      <c r="Z1814" s="1191">
        <v>0</v>
      </c>
      <c r="AA1814" s="1191">
        <v>1</v>
      </c>
      <c r="AB1814" s="1208" t="s">
        <v>364</v>
      </c>
      <c r="AC1814" s="1192" t="str">
        <f>""</f>
        <v/>
      </c>
      <c r="AD1814" s="1193">
        <v>0</v>
      </c>
      <c r="AE1814" s="1191" t="s">
        <v>368</v>
      </c>
      <c r="AF1814" s="1191" t="s">
        <v>369</v>
      </c>
      <c r="AG1814" s="1193">
        <v>1</v>
      </c>
      <c r="AH1814" s="1193">
        <v>15</v>
      </c>
      <c r="AI1814" s="1193">
        <v>0</v>
      </c>
      <c r="AJ1814" s="1193">
        <f>VLOOKUP($I1814,'Price List, Weapons &amp; Items'!B:F,5,0)</f>
        <v>1</v>
      </c>
      <c r="AK1814" s="1193">
        <f t="shared" si="388"/>
        <v>1</v>
      </c>
      <c r="AL1814" s="1193">
        <f t="shared" si="389"/>
        <v>1</v>
      </c>
      <c r="AM1814" s="1193">
        <f t="shared" si="390"/>
        <v>0</v>
      </c>
      <c r="AN1814" s="1194" t="str">
        <f>VLOOKUP($I1814,'Price List, Weapons &amp; Items'!B:L,COLUMN('Price List, Weapons &amp; Items'!$J$11)-1,0)</f>
        <v>Government information</v>
      </c>
      <c r="AO1814" s="1194" t="str">
        <f>IF(I1814=".",".",VLOOKUP($I1814,'Price List, Weapons &amp; Items'!B:J,3,0))</f>
        <v>155mm howitzer ammunition</v>
      </c>
      <c r="AP1814" s="1195" t="str">
        <f t="shared" ca="1" si="384"/>
        <v/>
      </c>
      <c r="AQ1814" s="1194">
        <f>VLOOKUP($I1814,'Price List, Weapons &amp; Items'!B:L,COLUMN('Price List, Weapons &amp; Items'!$L$11)-1,0)</f>
        <v>2</v>
      </c>
      <c r="AR1814" s="1194">
        <f t="shared" si="391"/>
        <v>1</v>
      </c>
      <c r="AS1814" s="1194">
        <f t="shared" si="392"/>
        <v>1</v>
      </c>
      <c r="AT1814" s="1194">
        <f t="shared" si="393"/>
        <v>1</v>
      </c>
      <c r="AU1814" s="1194" t="str">
        <f t="shared" si="382"/>
        <v>.</v>
      </c>
      <c r="AV1814" s="1194" t="str">
        <f t="shared" si="385"/>
        <v>.</v>
      </c>
      <c r="AW1814" s="1194" t="str">
        <f t="shared" si="394"/>
        <v>.</v>
      </c>
      <c r="AX1814" s="1194">
        <f>IFERROR(VLOOKUP(B1814,'Share, Heavy Weapons to Ukraine'!B:Z,COLUMN('Share, Heavy Weapons to Ukraine'!C1824)-1,0),0)</f>
        <v>1</v>
      </c>
      <c r="AY1814" s="1194">
        <f>VLOOKUP('Bilateral Assistance, MAIN DATA'!B1814,'Country Summary (€)'!B:F,COLUMN('Country Summary (€)'!C1825)-1,FALSE)</f>
        <v>0</v>
      </c>
      <c r="AZ1814" s="1194" t="str">
        <f>IF(AND(AD1814=1,D1814="Military",H1814&lt;&gt;"Not given")=TRUE,IF(SUMIFS(P:P,A:A,A1814)&gt;0,ABS((SUMIFS(P:P,A:A,A1814)/VLOOKUP("USD",'Exchange Rates'!B:C,2,0)))/S1814,"."),".")</f>
        <v>.</v>
      </c>
      <c r="BA1814" s="1196" t="str">
        <f>IF(AND(AD1814=1,D1814="Military",H1814&lt;&gt;"Not given")=TRUE,IF(SUMIFS(P:P,A:A,A1814)&gt;0,IF((ABS((SUMIFS(P:P,A:A,A1814)/VLOOKUP("USD",'Exchange Rates'!B:C,2,0)))/S1814)&gt;1,(SUMIFS(P:P,A:A,A1814)-S1814)/S1814,(S1814-SUMIFS(P:P,A:A,A1814))/SUMIFS(P:P,A:A,A1814)),"."),".")</f>
        <v>.</v>
      </c>
      <c r="BB1814" s="1208"/>
      <c r="BC1814" s="1208"/>
      <c r="BD1814" s="1208"/>
      <c r="BE1814" s="1208"/>
      <c r="BF1814" s="1208"/>
      <c r="BG1814" s="1208"/>
      <c r="BH1814" s="1208"/>
      <c r="BI1814" s="1208"/>
      <c r="BJ1814" s="1208"/>
      <c r="BK1814" s="1208"/>
      <c r="BL1814" s="1208"/>
      <c r="BM1814" s="1208"/>
      <c r="BN1814" s="1208"/>
      <c r="BO1814" s="1208"/>
      <c r="BP1814" s="1208"/>
      <c r="BQ1814" s="1208"/>
      <c r="BR1814" s="1208"/>
      <c r="BS1814" s="1208"/>
    </row>
    <row r="1815" spans="1:71" ht="15.95" customHeight="1">
      <c r="A1815" s="1208" t="s">
        <v>4310</v>
      </c>
      <c r="B1815" s="1208" t="s">
        <v>3949</v>
      </c>
      <c r="C1815" s="1209">
        <v>44988</v>
      </c>
      <c r="D1815" s="1208" t="s">
        <v>389</v>
      </c>
      <c r="E1815" s="1208" t="s">
        <v>390</v>
      </c>
      <c r="F1815" s="1208" t="s">
        <v>4337</v>
      </c>
      <c r="G1815" s="1184" t="s">
        <v>456</v>
      </c>
      <c r="H1815" s="1210">
        <v>400000000</v>
      </c>
      <c r="I1815" s="1208" t="s">
        <v>4316</v>
      </c>
      <c r="J1815" s="1186" t="str">
        <f>VLOOKUP($I1815,'Price List, Weapons &amp; Items'!B:C,2,0)</f>
        <v>Ammunition</v>
      </c>
      <c r="K1815" s="1186" t="str">
        <f>IF(I1815=".",I1815,VLOOKUP($I1815,'Price List, Weapons &amp; Items'!B:D,3,0))</f>
        <v>ammunition</v>
      </c>
      <c r="L1815" s="1187">
        <f>VLOOKUP(I1815,'Price List, Weapons &amp; Items'!B:E,4,0)</f>
        <v>0</v>
      </c>
      <c r="M1815" s="1188" t="s">
        <v>374</v>
      </c>
      <c r="N1815" s="1188" t="s">
        <v>374</v>
      </c>
      <c r="O1815" s="1188">
        <f>VLOOKUP($I1815,'Price List, Weapons &amp; Items'!B:G,6,0)</f>
        <v>140.58000000000001</v>
      </c>
      <c r="P1815" s="1185" t="str">
        <f t="shared" si="386"/>
        <v>.</v>
      </c>
      <c r="Q1815" s="1185" t="str">
        <f t="shared" si="387"/>
        <v>.</v>
      </c>
      <c r="R1815" s="1185" t="str">
        <f t="shared" si="383"/>
        <v/>
      </c>
      <c r="S1815" s="1185" t="str">
        <f>IF(AND(AD1815=1,R1815&lt;&gt;".")=TRUE,R1815/VLOOKUP(G1815,'Exchange Rates'!B:C,2,0),IF(R1815=".",".",""))</f>
        <v/>
      </c>
      <c r="T1815" s="1185" t="str">
        <f>IF(AD1815=1,IF(AF1815="Value is not given at all",".",IF(AF1815="Value is given by the source",S1815,IF(AF1815="Value is calculated with prices",(IF(SUMIFS(Q:Q,A:A,A1815)&gt;0,SUMIFS(Q:Q,A:A,A1815),"."))/VLOOKUP("USD",'Exchange Rates'!B:C,2,0),"Error with coding"))),"")</f>
        <v/>
      </c>
      <c r="U1815" s="1191" t="s">
        <v>365</v>
      </c>
      <c r="V1815" s="983" t="s">
        <v>4338</v>
      </c>
      <c r="W1815" s="966" t="s">
        <v>4339</v>
      </c>
      <c r="X1815" s="1208" t="s">
        <v>364</v>
      </c>
      <c r="Y1815" s="1208" t="s">
        <v>364</v>
      </c>
      <c r="Z1815" s="1191">
        <v>0</v>
      </c>
      <c r="AA1815" s="1191">
        <v>1</v>
      </c>
      <c r="AB1815" s="1208" t="s">
        <v>364</v>
      </c>
      <c r="AC1815" s="1192" t="str">
        <f>""</f>
        <v/>
      </c>
      <c r="AD1815" s="1193">
        <v>0</v>
      </c>
      <c r="AE1815" s="1191" t="s">
        <v>368</v>
      </c>
      <c r="AF1815" s="1191" t="s">
        <v>369</v>
      </c>
      <c r="AG1815" s="1193">
        <v>1</v>
      </c>
      <c r="AH1815" s="1193">
        <v>15</v>
      </c>
      <c r="AI1815" s="1193">
        <v>0</v>
      </c>
      <c r="AJ1815" s="1193">
        <f>VLOOKUP($I1815,'Price List, Weapons &amp; Items'!B:F,5,0)</f>
        <v>0</v>
      </c>
      <c r="AK1815" s="1193">
        <f t="shared" si="388"/>
        <v>0</v>
      </c>
      <c r="AL1815" s="1193">
        <f t="shared" si="389"/>
        <v>0</v>
      </c>
      <c r="AM1815" s="1193">
        <f t="shared" si="390"/>
        <v>1</v>
      </c>
      <c r="AN1815" s="1194" t="str">
        <f>VLOOKUP($I1815,'Price List, Weapons &amp; Items'!B:L,COLUMN('Price List, Weapons &amp; Items'!$J$11)-1,0)</f>
        <v>Military media (incl. websites)</v>
      </c>
      <c r="AO1815" s="1194" t="str">
        <f>IF(I1815=".",".",VLOOKUP($I1815,'Price List, Weapons &amp; Items'!B:J,3,0))</f>
        <v>ammunition</v>
      </c>
      <c r="AP1815" s="1195" t="str">
        <f t="shared" ca="1" si="384"/>
        <v/>
      </c>
      <c r="AQ1815" s="1194">
        <f>VLOOKUP($I1815,'Price List, Weapons &amp; Items'!B:L,COLUMN('Price List, Weapons &amp; Items'!$L$11)-1,0)</f>
        <v>2</v>
      </c>
      <c r="AR1815" s="1194">
        <f t="shared" si="391"/>
        <v>1</v>
      </c>
      <c r="AS1815" s="1194">
        <f t="shared" si="392"/>
        <v>1</v>
      </c>
      <c r="AT1815" s="1194">
        <f t="shared" si="393"/>
        <v>1</v>
      </c>
      <c r="AU1815" s="1194" t="str">
        <f t="shared" si="382"/>
        <v>.</v>
      </c>
      <c r="AV1815" s="1194" t="str">
        <f t="shared" si="385"/>
        <v>.</v>
      </c>
      <c r="AW1815" s="1194" t="str">
        <f t="shared" si="394"/>
        <v>.</v>
      </c>
      <c r="AX1815" s="1194">
        <f>IFERROR(VLOOKUP(B1815,'Share, Heavy Weapons to Ukraine'!B:Z,COLUMN('Share, Heavy Weapons to Ukraine'!C1825)-1,0),0)</f>
        <v>1</v>
      </c>
      <c r="AY1815" s="1194">
        <f>VLOOKUP('Bilateral Assistance, MAIN DATA'!B1815,'Country Summary (€)'!B:F,COLUMN('Country Summary (€)'!C1826)-1,FALSE)</f>
        <v>0</v>
      </c>
      <c r="AZ1815" s="1194" t="str">
        <f>IF(AND(AD1815=1,D1815="Military",H1815&lt;&gt;"Not given")=TRUE,IF(SUMIFS(P:P,A:A,A1815)&gt;0,ABS((SUMIFS(P:P,A:A,A1815)/VLOOKUP("USD",'Exchange Rates'!B:C,2,0)))/S1815,"."),".")</f>
        <v>.</v>
      </c>
      <c r="BA1815" s="1196" t="str">
        <f>IF(AND(AD1815=1,D1815="Military",H1815&lt;&gt;"Not given")=TRUE,IF(SUMIFS(P:P,A:A,A1815)&gt;0,IF((ABS((SUMIFS(P:P,A:A,A1815)/VLOOKUP("USD",'Exchange Rates'!B:C,2,0)))/S1815)&gt;1,(SUMIFS(P:P,A:A,A1815)-S1815)/S1815,(S1815-SUMIFS(P:P,A:A,A1815))/SUMIFS(P:P,A:A,A1815)),"."),".")</f>
        <v>.</v>
      </c>
      <c r="BB1815" s="1208"/>
      <c r="BC1815" s="1208"/>
      <c r="BD1815" s="1208"/>
      <c r="BE1815" s="1208"/>
      <c r="BF1815" s="1208"/>
      <c r="BG1815" s="1208"/>
      <c r="BH1815" s="1208"/>
      <c r="BI1815" s="1208"/>
      <c r="BJ1815" s="1208"/>
      <c r="BK1815" s="1208"/>
      <c r="BL1815" s="1208"/>
      <c r="BM1815" s="1208"/>
      <c r="BN1815" s="1208"/>
      <c r="BO1815" s="1208"/>
      <c r="BP1815" s="1208"/>
      <c r="BQ1815" s="1208"/>
      <c r="BR1815" s="1208"/>
      <c r="BS1815" s="1208"/>
    </row>
    <row r="1816" spans="1:71" ht="15.95" customHeight="1">
      <c r="A1816" s="1208" t="s">
        <v>4310</v>
      </c>
      <c r="B1816" s="1208" t="s">
        <v>3949</v>
      </c>
      <c r="C1816" s="1209">
        <v>44988</v>
      </c>
      <c r="D1816" s="1208" t="s">
        <v>389</v>
      </c>
      <c r="E1816" s="1208" t="s">
        <v>390</v>
      </c>
      <c r="F1816" s="1208" t="s">
        <v>4337</v>
      </c>
      <c r="G1816" s="1184" t="s">
        <v>456</v>
      </c>
      <c r="H1816" s="1210">
        <v>400000000</v>
      </c>
      <c r="I1816" s="1208" t="s">
        <v>1821</v>
      </c>
      <c r="J1816" s="1186" t="str">
        <f>VLOOKUP($I1816,'Price List, Weapons &amp; Items'!B:C,2,0)</f>
        <v>Military equipment</v>
      </c>
      <c r="K1816" s="1186" t="str">
        <f>IF(I1816=".",I1816,VLOOKUP($I1816,'Price List, Weapons &amp; Items'!B:D,3,0))</f>
        <v>Military equipment</v>
      </c>
      <c r="L1816" s="1187">
        <f>VLOOKUP(I1816,'Price List, Weapons &amp; Items'!B:E,4,0)</f>
        <v>0</v>
      </c>
      <c r="M1816" s="1188" t="s">
        <v>374</v>
      </c>
      <c r="N1816" s="1188" t="s">
        <v>374</v>
      </c>
      <c r="O1816" s="1188">
        <f>VLOOKUP($I1816,'Price List, Weapons &amp; Items'!B:G,6,0)</f>
        <v>2268127</v>
      </c>
      <c r="P1816" s="1185" t="str">
        <f t="shared" si="386"/>
        <v>.</v>
      </c>
      <c r="Q1816" s="1185" t="str">
        <f t="shared" si="387"/>
        <v>.</v>
      </c>
      <c r="R1816" s="1185" t="str">
        <f t="shared" si="383"/>
        <v/>
      </c>
      <c r="S1816" s="1185" t="str">
        <f>IF(AND(AD1816=1,R1816&lt;&gt;".")=TRUE,R1816/VLOOKUP(G1816,'Exchange Rates'!B:C,2,0),IF(R1816=".",".",""))</f>
        <v/>
      </c>
      <c r="T1816" s="1185" t="str">
        <f>IF(AD1816=1,IF(AF1816="Value is not given at all",".",IF(AF1816="Value is given by the source",S1816,IF(AF1816="Value is calculated with prices",(IF(SUMIFS(Q:Q,A:A,A1816)&gt;0,SUMIFS(Q:Q,A:A,A1816),"."))/VLOOKUP("USD",'Exchange Rates'!B:C,2,0),"Error with coding"))),"")</f>
        <v/>
      </c>
      <c r="U1816" s="1191" t="s">
        <v>365</v>
      </c>
      <c r="V1816" s="983" t="s">
        <v>4338</v>
      </c>
      <c r="W1816" s="966" t="s">
        <v>4339</v>
      </c>
      <c r="X1816" s="1208" t="s">
        <v>364</v>
      </c>
      <c r="Y1816" s="1208" t="s">
        <v>364</v>
      </c>
      <c r="Z1816" s="1191">
        <v>0</v>
      </c>
      <c r="AA1816" s="1191">
        <v>1</v>
      </c>
      <c r="AB1816" s="1208" t="s">
        <v>364</v>
      </c>
      <c r="AC1816" s="1192" t="str">
        <f>""</f>
        <v/>
      </c>
      <c r="AD1816" s="1193">
        <v>0</v>
      </c>
      <c r="AE1816" s="1191" t="s">
        <v>368</v>
      </c>
      <c r="AF1816" s="1191" t="s">
        <v>369</v>
      </c>
      <c r="AG1816" s="1193">
        <v>1</v>
      </c>
      <c r="AH1816" s="1193">
        <v>15</v>
      </c>
      <c r="AI1816" s="1193">
        <v>0</v>
      </c>
      <c r="AJ1816" s="1193">
        <f>VLOOKUP($I1816,'Price List, Weapons &amp; Items'!B:F,5,0)</f>
        <v>0</v>
      </c>
      <c r="AK1816" s="1193">
        <f t="shared" si="388"/>
        <v>0</v>
      </c>
      <c r="AL1816" s="1193">
        <f t="shared" si="389"/>
        <v>0</v>
      </c>
      <c r="AM1816" s="1193">
        <f t="shared" si="390"/>
        <v>0</v>
      </c>
      <c r="AN1816" s="1194" t="str">
        <f>VLOOKUP($I1816,'Price List, Weapons &amp; Items'!B:L,COLUMN('Price List, Weapons &amp; Items'!$J$11)-1,0)</f>
        <v>Media reports (incl. social media)</v>
      </c>
      <c r="AO1816" s="1194" t="str">
        <f>IF(I1816=".",".",VLOOKUP($I1816,'Price List, Weapons &amp; Items'!B:J,3,0))</f>
        <v>Military equipment</v>
      </c>
      <c r="AP1816" s="1195" t="str">
        <f t="shared" ca="1" si="384"/>
        <v/>
      </c>
      <c r="AQ1816" s="1194">
        <f>VLOOKUP($I1816,'Price List, Weapons &amp; Items'!B:L,COLUMN('Price List, Weapons &amp; Items'!$L$11)-1,0)</f>
        <v>2</v>
      </c>
      <c r="AR1816" s="1194">
        <f t="shared" si="391"/>
        <v>1</v>
      </c>
      <c r="AS1816" s="1194">
        <f t="shared" si="392"/>
        <v>1</v>
      </c>
      <c r="AT1816" s="1194">
        <f t="shared" si="393"/>
        <v>1</v>
      </c>
      <c r="AU1816" s="1194" t="str">
        <f t="shared" si="382"/>
        <v>.</v>
      </c>
      <c r="AV1816" s="1194" t="str">
        <f t="shared" si="385"/>
        <v>.</v>
      </c>
      <c r="AW1816" s="1194" t="str">
        <f t="shared" si="394"/>
        <v>.</v>
      </c>
      <c r="AX1816" s="1194">
        <f>IFERROR(VLOOKUP(B1816,'Share, Heavy Weapons to Ukraine'!B:Z,COLUMN('Share, Heavy Weapons to Ukraine'!C1826)-1,0),0)</f>
        <v>1</v>
      </c>
      <c r="AY1816" s="1194">
        <f>VLOOKUP('Bilateral Assistance, MAIN DATA'!B1816,'Country Summary (€)'!B:F,COLUMN('Country Summary (€)'!C1827)-1,FALSE)</f>
        <v>0</v>
      </c>
      <c r="AZ1816" s="1194" t="str">
        <f>IF(AND(AD1816=1,D1816="Military",H1816&lt;&gt;"Not given")=TRUE,IF(SUMIFS(P:P,A:A,A1816)&gt;0,ABS((SUMIFS(P:P,A:A,A1816)/VLOOKUP("USD",'Exchange Rates'!B:C,2,0)))/S1816,"."),".")</f>
        <v>.</v>
      </c>
      <c r="BA1816" s="1196" t="str">
        <f>IF(AND(AD1816=1,D1816="Military",H1816&lt;&gt;"Not given")=TRUE,IF(SUMIFS(P:P,A:A,A1816)&gt;0,IF((ABS((SUMIFS(P:P,A:A,A1816)/VLOOKUP("USD",'Exchange Rates'!B:C,2,0)))/S1816)&gt;1,(SUMIFS(P:P,A:A,A1816)-S1816)/S1816,(S1816-SUMIFS(P:P,A:A,A1816))/SUMIFS(P:P,A:A,A1816)),"."),".")</f>
        <v>.</v>
      </c>
      <c r="BB1816" s="1208"/>
      <c r="BC1816" s="1208"/>
      <c r="BD1816" s="1208"/>
      <c r="BE1816" s="1208"/>
      <c r="BF1816" s="1208"/>
      <c r="BG1816" s="1208"/>
      <c r="BH1816" s="1208"/>
      <c r="BI1816" s="1208"/>
      <c r="BJ1816" s="1208"/>
      <c r="BK1816" s="1208"/>
      <c r="BL1816" s="1208"/>
      <c r="BM1816" s="1208"/>
      <c r="BN1816" s="1208"/>
      <c r="BO1816" s="1208"/>
      <c r="BP1816" s="1208"/>
      <c r="BQ1816" s="1208"/>
      <c r="BR1816" s="1208"/>
      <c r="BS1816" s="1208"/>
    </row>
    <row r="1817" spans="1:71" ht="15.95" customHeight="1">
      <c r="A1817" s="1208" t="s">
        <v>4310</v>
      </c>
      <c r="B1817" s="1208" t="s">
        <v>3949</v>
      </c>
      <c r="C1817" s="1209">
        <v>44988</v>
      </c>
      <c r="D1817" s="1208" t="s">
        <v>389</v>
      </c>
      <c r="E1817" s="1208" t="s">
        <v>390</v>
      </c>
      <c r="F1817" s="1208" t="s">
        <v>4337</v>
      </c>
      <c r="G1817" s="1184" t="s">
        <v>456</v>
      </c>
      <c r="H1817" s="1210">
        <v>400000000</v>
      </c>
      <c r="I1817" s="1208" t="s">
        <v>4172</v>
      </c>
      <c r="J1817" s="1186" t="str">
        <f>VLOOKUP($I1817,'Price List, Weapons &amp; Items'!B:C,2,0)</f>
        <v>Military equipment</v>
      </c>
      <c r="K1817" s="1186" t="str">
        <f>IF(I1817=".",I1817,VLOOKUP($I1817,'Price List, Weapons &amp; Items'!B:D,3,0))</f>
        <v>Military equipment</v>
      </c>
      <c r="L1817" s="1187">
        <f>VLOOKUP(I1817,'Price List, Weapons &amp; Items'!B:E,4,0)</f>
        <v>0</v>
      </c>
      <c r="M1817" s="1188" t="s">
        <v>374</v>
      </c>
      <c r="N1817" s="1188" t="s">
        <v>374</v>
      </c>
      <c r="O1817" s="1188">
        <f>VLOOKUP($I1817,'Price List, Weapons &amp; Items'!B:G,6,0)</f>
        <v>90</v>
      </c>
      <c r="P1817" s="1185" t="str">
        <f t="shared" si="386"/>
        <v>.</v>
      </c>
      <c r="Q1817" s="1185" t="str">
        <f t="shared" si="387"/>
        <v>.</v>
      </c>
      <c r="R1817" s="1185" t="str">
        <f t="shared" si="383"/>
        <v/>
      </c>
      <c r="S1817" s="1185" t="str">
        <f>IF(AND(AD1817=1,R1817&lt;&gt;".")=TRUE,R1817/VLOOKUP(G1817,'Exchange Rates'!B:C,2,0),IF(R1817=".",".",""))</f>
        <v/>
      </c>
      <c r="T1817" s="1185" t="str">
        <f>IF(AD1817=1,IF(AF1817="Value is not given at all",".",IF(AF1817="Value is given by the source",S1817,IF(AF1817="Value is calculated with prices",(IF(SUMIFS(Q:Q,A:A,A1817)&gt;0,SUMIFS(Q:Q,A:A,A1817),"."))/VLOOKUP("USD",'Exchange Rates'!B:C,2,0),"Error with coding"))),"")</f>
        <v/>
      </c>
      <c r="U1817" s="1191" t="s">
        <v>365</v>
      </c>
      <c r="V1817" s="983" t="s">
        <v>4338</v>
      </c>
      <c r="W1817" s="966" t="s">
        <v>4339</v>
      </c>
      <c r="X1817" s="1208" t="s">
        <v>364</v>
      </c>
      <c r="Y1817" s="1208" t="s">
        <v>364</v>
      </c>
      <c r="Z1817" s="1191">
        <v>0</v>
      </c>
      <c r="AA1817" s="1191">
        <v>1</v>
      </c>
      <c r="AB1817" s="1208" t="s">
        <v>364</v>
      </c>
      <c r="AC1817" s="1192" t="str">
        <f>""</f>
        <v/>
      </c>
      <c r="AD1817" s="1193">
        <v>0</v>
      </c>
      <c r="AE1817" s="1191" t="s">
        <v>368</v>
      </c>
      <c r="AF1817" s="1191" t="s">
        <v>369</v>
      </c>
      <c r="AG1817" s="1193">
        <v>1</v>
      </c>
      <c r="AH1817" s="1193">
        <v>15</v>
      </c>
      <c r="AI1817" s="1193">
        <v>0</v>
      </c>
      <c r="AJ1817" s="1193">
        <f>VLOOKUP($I1817,'Price List, Weapons &amp; Items'!B:F,5,0)</f>
        <v>0</v>
      </c>
      <c r="AK1817" s="1193">
        <f t="shared" si="388"/>
        <v>0</v>
      </c>
      <c r="AL1817" s="1193">
        <f t="shared" si="389"/>
        <v>0</v>
      </c>
      <c r="AM1817" s="1193">
        <f t="shared" si="390"/>
        <v>0</v>
      </c>
      <c r="AN1817" s="1194" t="str">
        <f>VLOOKUP($I1817,'Price List, Weapons &amp; Items'!B:L,COLUMN('Price List, Weapons &amp; Items'!$J$11)-1,0)</f>
        <v>Media reports (incl. social media)</v>
      </c>
      <c r="AO1817" s="1194" t="str">
        <f>IF(I1817=".",".",VLOOKUP($I1817,'Price List, Weapons &amp; Items'!B:J,3,0))</f>
        <v>Military equipment</v>
      </c>
      <c r="AP1817" s="1195" t="str">
        <f t="shared" ca="1" si="384"/>
        <v/>
      </c>
      <c r="AQ1817" s="1194" t="str">
        <f>VLOOKUP($I1817,'Price List, Weapons &amp; Items'!B:L,COLUMN('Price List, Weapons &amp; Items'!$L$11)-1,0)</f>
        <v>no price, 0 count</v>
      </c>
      <c r="AR1817" s="1194">
        <f t="shared" si="391"/>
        <v>1</v>
      </c>
      <c r="AS1817" s="1194">
        <f t="shared" si="392"/>
        <v>1</v>
      </c>
      <c r="AT1817" s="1194">
        <f t="shared" si="393"/>
        <v>1</v>
      </c>
      <c r="AU1817" s="1194" t="str">
        <f t="shared" si="382"/>
        <v>.</v>
      </c>
      <c r="AV1817" s="1194" t="str">
        <f t="shared" si="385"/>
        <v>.</v>
      </c>
      <c r="AW1817" s="1194" t="str">
        <f t="shared" si="394"/>
        <v>.</v>
      </c>
      <c r="AX1817" s="1194">
        <f>IFERROR(VLOOKUP(B1817,'Share, Heavy Weapons to Ukraine'!B:Z,COLUMN('Share, Heavy Weapons to Ukraine'!C1827)-1,0),0)</f>
        <v>1</v>
      </c>
      <c r="AY1817" s="1194">
        <f>VLOOKUP('Bilateral Assistance, MAIN DATA'!B1817,'Country Summary (€)'!B:F,COLUMN('Country Summary (€)'!C1828)-1,FALSE)</f>
        <v>0</v>
      </c>
      <c r="AZ1817" s="1194" t="str">
        <f>IF(AND(AD1817=1,D1817="Military",H1817&lt;&gt;"Not given")=TRUE,IF(SUMIFS(P:P,A:A,A1817)&gt;0,ABS((SUMIFS(P:P,A:A,A1817)/VLOOKUP("USD",'Exchange Rates'!B:C,2,0)))/S1817,"."),".")</f>
        <v>.</v>
      </c>
      <c r="BA1817" s="1196" t="str">
        <f>IF(AND(AD1817=1,D1817="Military",H1817&lt;&gt;"Not given")=TRUE,IF(SUMIFS(P:P,A:A,A1817)&gt;0,IF((ABS((SUMIFS(P:P,A:A,A1817)/VLOOKUP("USD",'Exchange Rates'!B:C,2,0)))/S1817)&gt;1,(SUMIFS(P:P,A:A,A1817)-S1817)/S1817,(S1817-SUMIFS(P:P,A:A,A1817))/SUMIFS(P:P,A:A,A1817)),"."),".")</f>
        <v>.</v>
      </c>
      <c r="BB1817" s="1208"/>
      <c r="BC1817" s="1208"/>
      <c r="BD1817" s="1208"/>
      <c r="BE1817" s="1208"/>
      <c r="BF1817" s="1208"/>
      <c r="BG1817" s="1208"/>
      <c r="BH1817" s="1208"/>
      <c r="BI1817" s="1208"/>
      <c r="BJ1817" s="1208"/>
      <c r="BK1817" s="1208"/>
      <c r="BL1817" s="1208"/>
      <c r="BM1817" s="1208"/>
      <c r="BN1817" s="1208"/>
      <c r="BO1817" s="1208"/>
      <c r="BP1817" s="1208"/>
      <c r="BQ1817" s="1208"/>
      <c r="BR1817" s="1208"/>
      <c r="BS1817" s="1208"/>
    </row>
    <row r="1818" spans="1:71" ht="15.95" customHeight="1">
      <c r="A1818" s="1208" t="s">
        <v>4310</v>
      </c>
      <c r="B1818" s="1208" t="s">
        <v>3949</v>
      </c>
      <c r="C1818" s="1209">
        <v>44988</v>
      </c>
      <c r="D1818" s="1208" t="s">
        <v>389</v>
      </c>
      <c r="E1818" s="1208" t="s">
        <v>390</v>
      </c>
      <c r="F1818" s="1208" t="s">
        <v>4337</v>
      </c>
      <c r="G1818" s="1184" t="s">
        <v>456</v>
      </c>
      <c r="H1818" s="1210">
        <v>400000000</v>
      </c>
      <c r="I1818" s="1208" t="s">
        <v>4217</v>
      </c>
      <c r="J1818" s="1186" t="str">
        <f>VLOOKUP($I1818,'Price List, Weapons &amp; Items'!B:C,2,0)</f>
        <v>Military equipment</v>
      </c>
      <c r="K1818" s="1186" t="str">
        <f>IF(I1818=".",I1818,VLOOKUP($I1818,'Price List, Weapons &amp; Items'!B:D,3,0))</f>
        <v>spare parts</v>
      </c>
      <c r="L1818" s="1187">
        <f>VLOOKUP(I1818,'Price List, Weapons &amp; Items'!B:E,4,0)</f>
        <v>0</v>
      </c>
      <c r="M1818" s="1188" t="s">
        <v>374</v>
      </c>
      <c r="N1818" s="1188" t="s">
        <v>374</v>
      </c>
      <c r="O1818" s="1188" t="str">
        <f>VLOOKUP($I1818,'Price List, Weapons &amp; Items'!B:G,6,0)</f>
        <v>.</v>
      </c>
      <c r="P1818" s="1185" t="str">
        <f t="shared" si="386"/>
        <v>.</v>
      </c>
      <c r="Q1818" s="1185" t="str">
        <f t="shared" si="387"/>
        <v>.</v>
      </c>
      <c r="R1818" s="1185" t="str">
        <f t="shared" si="383"/>
        <v/>
      </c>
      <c r="S1818" s="1185" t="str">
        <f>IF(AND(AD1818=1,R1818&lt;&gt;".")=TRUE,R1818/VLOOKUP(G1818,'Exchange Rates'!B:C,2,0),IF(R1818=".",".",""))</f>
        <v/>
      </c>
      <c r="T1818" s="1185" t="str">
        <f>IF(AD1818=1,IF(AF1818="Value is not given at all",".",IF(AF1818="Value is given by the source",S1818,IF(AF1818="Value is calculated with prices",(IF(SUMIFS(Q:Q,A:A,A1818)&gt;0,SUMIFS(Q:Q,A:A,A1818),"."))/VLOOKUP("USD",'Exchange Rates'!B:C,2,0),"Error with coding"))),"")</f>
        <v/>
      </c>
      <c r="U1818" s="1191" t="s">
        <v>365</v>
      </c>
      <c r="V1818" s="983" t="s">
        <v>4338</v>
      </c>
      <c r="W1818" s="966" t="s">
        <v>4339</v>
      </c>
      <c r="X1818" s="1208" t="s">
        <v>364</v>
      </c>
      <c r="Y1818" s="1208" t="s">
        <v>364</v>
      </c>
      <c r="Z1818" s="1191">
        <v>0</v>
      </c>
      <c r="AA1818" s="1191">
        <v>1</v>
      </c>
      <c r="AB1818" s="1208" t="s">
        <v>364</v>
      </c>
      <c r="AC1818" s="1192" t="str">
        <f>""</f>
        <v/>
      </c>
      <c r="AD1818" s="1193">
        <v>0</v>
      </c>
      <c r="AE1818" s="1191" t="s">
        <v>368</v>
      </c>
      <c r="AF1818" s="1191" t="s">
        <v>369</v>
      </c>
      <c r="AG1818" s="1193">
        <v>1</v>
      </c>
      <c r="AH1818" s="1193">
        <v>15</v>
      </c>
      <c r="AI1818" s="1193">
        <v>0</v>
      </c>
      <c r="AJ1818" s="1193">
        <f>VLOOKUP($I1818,'Price List, Weapons &amp; Items'!B:F,5,0)</f>
        <v>0</v>
      </c>
      <c r="AK1818" s="1193">
        <f t="shared" si="388"/>
        <v>0</v>
      </c>
      <c r="AL1818" s="1193">
        <f t="shared" si="389"/>
        <v>0</v>
      </c>
      <c r="AM1818" s="1193">
        <f t="shared" si="390"/>
        <v>0</v>
      </c>
      <c r="AN1818" s="1194" t="str">
        <f>VLOOKUP($I1818,'Price List, Weapons &amp; Items'!B:L,COLUMN('Price List, Weapons &amp; Items'!$J$11)-1,0)</f>
        <v>.</v>
      </c>
      <c r="AO1818" s="1194" t="str">
        <f>IF(I1818=".",".",VLOOKUP($I1818,'Price List, Weapons &amp; Items'!B:J,3,0))</f>
        <v>spare parts</v>
      </c>
      <c r="AP1818" s="1195" t="str">
        <f t="shared" ca="1" si="384"/>
        <v/>
      </c>
      <c r="AQ1818" s="1194" t="str">
        <f>VLOOKUP($I1818,'Price List, Weapons &amp; Items'!B:L,COLUMN('Price List, Weapons &amp; Items'!$L$11)-1,0)</f>
        <v>no price, 0 count</v>
      </c>
      <c r="AR1818" s="1194">
        <f t="shared" si="391"/>
        <v>1</v>
      </c>
      <c r="AS1818" s="1194">
        <f t="shared" si="392"/>
        <v>1</v>
      </c>
      <c r="AT1818" s="1194">
        <f t="shared" si="393"/>
        <v>1</v>
      </c>
      <c r="AU1818" s="1194" t="str">
        <f t="shared" si="382"/>
        <v>.</v>
      </c>
      <c r="AV1818" s="1194" t="str">
        <f t="shared" si="385"/>
        <v>.</v>
      </c>
      <c r="AW1818" s="1194" t="str">
        <f t="shared" si="394"/>
        <v>.</v>
      </c>
      <c r="AX1818" s="1194">
        <f>IFERROR(VLOOKUP(B1818,'Share, Heavy Weapons to Ukraine'!B:Z,COLUMN('Share, Heavy Weapons to Ukraine'!C1828)-1,0),0)</f>
        <v>1</v>
      </c>
      <c r="AY1818" s="1194">
        <f>VLOOKUP('Bilateral Assistance, MAIN DATA'!B1818,'Country Summary (€)'!B:F,COLUMN('Country Summary (€)'!C1829)-1,FALSE)</f>
        <v>0</v>
      </c>
      <c r="AZ1818" s="1194" t="str">
        <f>IF(AND(AD1818=1,D1818="Military",H1818&lt;&gt;"Not given")=TRUE,IF(SUMIFS(P:P,A:A,A1818)&gt;0,ABS((SUMIFS(P:P,A:A,A1818)/VLOOKUP("USD",'Exchange Rates'!B:C,2,0)))/S1818,"."),".")</f>
        <v>.</v>
      </c>
      <c r="BA1818" s="1196" t="str">
        <f>IF(AND(AD1818=1,D1818="Military",H1818&lt;&gt;"Not given")=TRUE,IF(SUMIFS(P:P,A:A,A1818)&gt;0,IF((ABS((SUMIFS(P:P,A:A,A1818)/VLOOKUP("USD",'Exchange Rates'!B:C,2,0)))/S1818)&gt;1,(SUMIFS(P:P,A:A,A1818)-S1818)/S1818,(S1818-SUMIFS(P:P,A:A,A1818))/SUMIFS(P:P,A:A,A1818)),"."),".")</f>
        <v>.</v>
      </c>
      <c r="BB1818" s="1208"/>
      <c r="BC1818" s="1208"/>
      <c r="BD1818" s="1208"/>
      <c r="BE1818" s="1208"/>
      <c r="BF1818" s="1208"/>
      <c r="BG1818" s="1208"/>
      <c r="BH1818" s="1208"/>
      <c r="BI1818" s="1208"/>
      <c r="BJ1818" s="1208"/>
      <c r="BK1818" s="1208"/>
      <c r="BL1818" s="1208"/>
      <c r="BM1818" s="1208"/>
      <c r="BN1818" s="1208"/>
      <c r="BO1818" s="1208"/>
      <c r="BP1818" s="1208"/>
      <c r="BQ1818" s="1208"/>
      <c r="BR1818" s="1208"/>
      <c r="BS1818" s="1208"/>
    </row>
    <row r="1819" spans="1:71" ht="15.95" customHeight="1">
      <c r="A1819" s="1208" t="s">
        <v>4310</v>
      </c>
      <c r="B1819" s="1208" t="s">
        <v>3949</v>
      </c>
      <c r="C1819" s="1209">
        <v>45005</v>
      </c>
      <c r="D1819" s="1208" t="s">
        <v>389</v>
      </c>
      <c r="E1819" s="1208" t="s">
        <v>390</v>
      </c>
      <c r="F1819" s="1208" t="s">
        <v>4340</v>
      </c>
      <c r="G1819" s="1184" t="s">
        <v>456</v>
      </c>
      <c r="H1819" s="1210">
        <v>350000000</v>
      </c>
      <c r="I1819" s="1208" t="s">
        <v>4093</v>
      </c>
      <c r="J1819" s="1186" t="str">
        <f>VLOOKUP($I1819,'Price List, Weapons &amp; Items'!B:C,2,0)</f>
        <v>Ammunition for heavy weapon</v>
      </c>
      <c r="K1819" s="1186" t="str">
        <f>IF(I1819=".",I1819,VLOOKUP($I1819,'Price List, Weapons &amp; Items'!B:D,3,0))</f>
        <v>227mm MLRS ammunition</v>
      </c>
      <c r="L1819" s="1187">
        <f>VLOOKUP(I1819,'Price List, Weapons &amp; Items'!B:E,4,0)</f>
        <v>0</v>
      </c>
      <c r="M1819" s="1188" t="s">
        <v>374</v>
      </c>
      <c r="N1819" s="1188" t="s">
        <v>374</v>
      </c>
      <c r="O1819" s="1188">
        <f>VLOOKUP($I1819,'Price List, Weapons &amp; Items'!B:G,6,0)</f>
        <v>150000</v>
      </c>
      <c r="P1819" s="1185" t="str">
        <f t="shared" si="386"/>
        <v>.</v>
      </c>
      <c r="Q1819" s="1185" t="str">
        <f t="shared" si="387"/>
        <v>.</v>
      </c>
      <c r="R1819" s="1185" t="str">
        <f t="shared" si="383"/>
        <v/>
      </c>
      <c r="S1819" s="1185" t="str">
        <f>IF(AND(AD1819=1,R1819&lt;&gt;".")=TRUE,R1819/VLOOKUP(G1819,'Exchange Rates'!B:C,2,0),IF(R1819=".",".",""))</f>
        <v/>
      </c>
      <c r="T1819" s="1185" t="str">
        <f>IF(AD1819=1,IF(AF1819="Value is not given at all",".",IF(AF1819="Value is given by the source",S1819,IF(AF1819="Value is calculated with prices",(IF(SUMIFS(Q:Q,A:A,A1819)&gt;0,SUMIFS(Q:Q,A:A,A1819),"."))/VLOOKUP("USD",'Exchange Rates'!B:C,2,0),"Error with coding"))),"")</f>
        <v/>
      </c>
      <c r="U1819" s="1191" t="s">
        <v>365</v>
      </c>
      <c r="V1819" s="983" t="s">
        <v>4341</v>
      </c>
      <c r="W1819" s="966" t="s">
        <v>4339</v>
      </c>
      <c r="X1819" s="1208" t="s">
        <v>364</v>
      </c>
      <c r="Y1819" s="1208" t="s">
        <v>364</v>
      </c>
      <c r="Z1819" s="1191">
        <v>0</v>
      </c>
      <c r="AA1819" s="1191">
        <v>1</v>
      </c>
      <c r="AB1819" s="1208" t="s">
        <v>364</v>
      </c>
      <c r="AC1819" s="1192" t="str">
        <f>""</f>
        <v/>
      </c>
      <c r="AD1819" s="1193">
        <v>0</v>
      </c>
      <c r="AE1819" s="1191" t="s">
        <v>368</v>
      </c>
      <c r="AF1819" s="1191" t="s">
        <v>369</v>
      </c>
      <c r="AG1819" s="1193">
        <v>1</v>
      </c>
      <c r="AH1819" s="1193">
        <v>15</v>
      </c>
      <c r="AI1819" s="1193">
        <v>0</v>
      </c>
      <c r="AJ1819" s="1193">
        <f>VLOOKUP($I1819,'Price List, Weapons &amp; Items'!B:F,5,0)</f>
        <v>1</v>
      </c>
      <c r="AK1819" s="1193">
        <f t="shared" si="388"/>
        <v>1</v>
      </c>
      <c r="AL1819" s="1193">
        <f t="shared" si="389"/>
        <v>1</v>
      </c>
      <c r="AM1819" s="1193">
        <f t="shared" si="390"/>
        <v>1</v>
      </c>
      <c r="AN1819" s="1194" t="str">
        <f>VLOOKUP($I1819,'Price List, Weapons &amp; Items'!B:L,COLUMN('Price List, Weapons &amp; Items'!$J$11)-1,0)</f>
        <v>Media reports (incl. social media)</v>
      </c>
      <c r="AO1819" s="1194" t="str">
        <f>IF(I1819=".",".",VLOOKUP($I1819,'Price List, Weapons &amp; Items'!B:J,3,0))</f>
        <v>227mm MLRS ammunition</v>
      </c>
      <c r="AP1819" s="1195" t="str">
        <f t="shared" ca="1" si="384"/>
        <v/>
      </c>
      <c r="AQ1819" s="1194" t="str">
        <f>VLOOKUP($I1819,'Price List, Weapons &amp; Items'!B:L,COLUMN('Price List, Weapons &amp; Items'!$L$11)-1,0)</f>
        <v>no price, 0 count</v>
      </c>
      <c r="AR1819" s="1194">
        <f t="shared" si="391"/>
        <v>1</v>
      </c>
      <c r="AS1819" s="1194">
        <f t="shared" si="392"/>
        <v>1</v>
      </c>
      <c r="AT1819" s="1194">
        <f t="shared" si="393"/>
        <v>1</v>
      </c>
      <c r="AU1819" s="1194" t="str">
        <f t="shared" si="382"/>
        <v>.</v>
      </c>
      <c r="AV1819" s="1194" t="str">
        <f t="shared" si="385"/>
        <v>.</v>
      </c>
      <c r="AW1819" s="1194" t="str">
        <f t="shared" si="394"/>
        <v>.</v>
      </c>
      <c r="AX1819" s="1194">
        <f>IFERROR(VLOOKUP(B1819,'Share, Heavy Weapons to Ukraine'!B:Z,COLUMN('Share, Heavy Weapons to Ukraine'!C1829)-1,0),0)</f>
        <v>1</v>
      </c>
      <c r="AY1819" s="1194">
        <f>VLOOKUP('Bilateral Assistance, MAIN DATA'!B1819,'Country Summary (€)'!B:F,COLUMN('Country Summary (€)'!C1830)-1,FALSE)</f>
        <v>0</v>
      </c>
      <c r="AZ1819" s="1194" t="str">
        <f>IF(AND(AD1819=1,D1819="Military",H1819&lt;&gt;"Not given")=TRUE,IF(SUMIFS(P:P,A:A,A1819)&gt;0,ABS((SUMIFS(P:P,A:A,A1819)/VLOOKUP("USD",'Exchange Rates'!B:C,2,0)))/S1819,"."),".")</f>
        <v>.</v>
      </c>
      <c r="BA1819" s="1196" t="str">
        <f>IF(AND(AD1819=1,D1819="Military",H1819&lt;&gt;"Not given")=TRUE,IF(SUMIFS(P:P,A:A,A1819)&gt;0,IF((ABS((SUMIFS(P:P,A:A,A1819)/VLOOKUP("USD",'Exchange Rates'!B:C,2,0)))/S1819)&gt;1,(SUMIFS(P:P,A:A,A1819)-S1819)/S1819,(S1819-SUMIFS(P:P,A:A,A1819))/SUMIFS(P:P,A:A,A1819)),"."),".")</f>
        <v>.</v>
      </c>
      <c r="BB1819" s="1208"/>
      <c r="BC1819" s="1208"/>
      <c r="BD1819" s="1208"/>
      <c r="BE1819" s="1208"/>
      <c r="BF1819" s="1208"/>
      <c r="BG1819" s="1208"/>
      <c r="BH1819" s="1208"/>
      <c r="BI1819" s="1208"/>
      <c r="BJ1819" s="1208"/>
      <c r="BK1819" s="1208"/>
      <c r="BL1819" s="1208"/>
      <c r="BM1819" s="1208"/>
      <c r="BN1819" s="1208"/>
      <c r="BO1819" s="1208"/>
      <c r="BP1819" s="1208"/>
      <c r="BQ1819" s="1208"/>
      <c r="BR1819" s="1208"/>
      <c r="BS1819" s="1208"/>
    </row>
    <row r="1820" spans="1:71" ht="15.95" customHeight="1">
      <c r="A1820" s="1208" t="s">
        <v>4310</v>
      </c>
      <c r="B1820" s="1208" t="s">
        <v>3949</v>
      </c>
      <c r="C1820" s="1209">
        <v>45005</v>
      </c>
      <c r="D1820" s="1208" t="s">
        <v>389</v>
      </c>
      <c r="E1820" s="1208" t="s">
        <v>390</v>
      </c>
      <c r="F1820" s="1208" t="s">
        <v>4340</v>
      </c>
      <c r="G1820" s="1184" t="s">
        <v>456</v>
      </c>
      <c r="H1820" s="1210">
        <v>350000000</v>
      </c>
      <c r="I1820" s="1208" t="s">
        <v>856</v>
      </c>
      <c r="J1820" s="1186" t="str">
        <f>VLOOKUP($I1820,'Price List, Weapons &amp; Items'!B:C,2,0)</f>
        <v>Ammunition for heavy weapon</v>
      </c>
      <c r="K1820" s="1186" t="str">
        <f>IF(I1820=".",I1820,VLOOKUP($I1820,'Price List, Weapons &amp; Items'!B:D,3,0))</f>
        <v>155mm howitzer ammunition</v>
      </c>
      <c r="L1820" s="1187">
        <f>VLOOKUP(I1820,'Price List, Weapons &amp; Items'!B:E,4,0)</f>
        <v>0</v>
      </c>
      <c r="M1820" s="1188" t="s">
        <v>374</v>
      </c>
      <c r="N1820" s="1188" t="s">
        <v>374</v>
      </c>
      <c r="O1820" s="1188">
        <f>VLOOKUP($I1820,'Price List, Weapons &amp; Items'!B:G,6,0)</f>
        <v>3800</v>
      </c>
      <c r="P1820" s="1185" t="str">
        <f t="shared" si="386"/>
        <v>.</v>
      </c>
      <c r="Q1820" s="1185" t="str">
        <f t="shared" si="387"/>
        <v>.</v>
      </c>
      <c r="R1820" s="1185" t="str">
        <f t="shared" si="383"/>
        <v/>
      </c>
      <c r="S1820" s="1185" t="str">
        <f>IF(AND(AD1820=1,R1820&lt;&gt;".")=TRUE,R1820/VLOOKUP(G1820,'Exchange Rates'!B:C,2,0),IF(R1820=".",".",""))</f>
        <v/>
      </c>
      <c r="T1820" s="1185" t="str">
        <f>IF(AD1820=1,IF(AF1820="Value is not given at all",".",IF(AF1820="Value is given by the source",S1820,IF(AF1820="Value is calculated with prices",(IF(SUMIFS(Q:Q,A:A,A1820)&gt;0,SUMIFS(Q:Q,A:A,A1820),"."))/VLOOKUP("USD",'Exchange Rates'!B:C,2,0),"Error with coding"))),"")</f>
        <v/>
      </c>
      <c r="U1820" s="1191" t="s">
        <v>365</v>
      </c>
      <c r="V1820" s="983" t="s">
        <v>4341</v>
      </c>
      <c r="W1820" s="966" t="s">
        <v>4339</v>
      </c>
      <c r="X1820" s="1208" t="s">
        <v>364</v>
      </c>
      <c r="Y1820" s="1208" t="s">
        <v>364</v>
      </c>
      <c r="Z1820" s="1191">
        <v>0</v>
      </c>
      <c r="AA1820" s="1191">
        <v>1</v>
      </c>
      <c r="AB1820" s="1208" t="s">
        <v>364</v>
      </c>
      <c r="AC1820" s="1192" t="str">
        <f>""</f>
        <v/>
      </c>
      <c r="AD1820" s="1193">
        <v>0</v>
      </c>
      <c r="AE1820" s="1191" t="s">
        <v>368</v>
      </c>
      <c r="AF1820" s="1191" t="s">
        <v>369</v>
      </c>
      <c r="AG1820" s="1193">
        <v>1</v>
      </c>
      <c r="AH1820" s="1193">
        <v>15</v>
      </c>
      <c r="AI1820" s="1193">
        <v>0</v>
      </c>
      <c r="AJ1820" s="1193">
        <f>VLOOKUP($I1820,'Price List, Weapons &amp; Items'!B:F,5,0)</f>
        <v>1</v>
      </c>
      <c r="AK1820" s="1193">
        <f t="shared" si="388"/>
        <v>1</v>
      </c>
      <c r="AL1820" s="1193">
        <f t="shared" si="389"/>
        <v>1</v>
      </c>
      <c r="AM1820" s="1193">
        <f t="shared" si="390"/>
        <v>0</v>
      </c>
      <c r="AN1820" s="1194" t="str">
        <f>VLOOKUP($I1820,'Price List, Weapons &amp; Items'!B:L,COLUMN('Price List, Weapons &amp; Items'!$J$11)-1,0)</f>
        <v>Government information</v>
      </c>
      <c r="AO1820" s="1194" t="str">
        <f>IF(I1820=".",".",VLOOKUP($I1820,'Price List, Weapons &amp; Items'!B:J,3,0))</f>
        <v>155mm howitzer ammunition</v>
      </c>
      <c r="AP1820" s="1195" t="str">
        <f t="shared" ca="1" si="384"/>
        <v/>
      </c>
      <c r="AQ1820" s="1194">
        <f>VLOOKUP($I1820,'Price List, Weapons &amp; Items'!B:L,COLUMN('Price List, Weapons &amp; Items'!$L$11)-1,0)</f>
        <v>2</v>
      </c>
      <c r="AR1820" s="1194">
        <f t="shared" si="391"/>
        <v>1</v>
      </c>
      <c r="AS1820" s="1194">
        <f t="shared" si="392"/>
        <v>1</v>
      </c>
      <c r="AT1820" s="1194">
        <f t="shared" si="393"/>
        <v>1</v>
      </c>
      <c r="AU1820" s="1194" t="str">
        <f t="shared" si="382"/>
        <v>.</v>
      </c>
      <c r="AV1820" s="1194" t="str">
        <f t="shared" si="385"/>
        <v>.</v>
      </c>
      <c r="AW1820" s="1194" t="str">
        <f t="shared" si="394"/>
        <v>.</v>
      </c>
      <c r="AX1820" s="1194">
        <f>IFERROR(VLOOKUP(B1820,'Share, Heavy Weapons to Ukraine'!B:Z,COLUMN('Share, Heavy Weapons to Ukraine'!C1830)-1,0),0)</f>
        <v>1</v>
      </c>
      <c r="AY1820" s="1194">
        <f>VLOOKUP('Bilateral Assistance, MAIN DATA'!B1820,'Country Summary (€)'!B:F,COLUMN('Country Summary (€)'!C1831)-1,FALSE)</f>
        <v>0</v>
      </c>
      <c r="AZ1820" s="1194" t="str">
        <f>IF(AND(AD1820=1,D1820="Military",H1820&lt;&gt;"Not given")=TRUE,IF(SUMIFS(P:P,A:A,A1820)&gt;0,ABS((SUMIFS(P:P,A:A,A1820)/VLOOKUP("USD",'Exchange Rates'!B:C,2,0)))/S1820,"."),".")</f>
        <v>.</v>
      </c>
      <c r="BA1820" s="1196" t="str">
        <f>IF(AND(AD1820=1,D1820="Military",H1820&lt;&gt;"Not given")=TRUE,IF(SUMIFS(P:P,A:A,A1820)&gt;0,IF((ABS((SUMIFS(P:P,A:A,A1820)/VLOOKUP("USD",'Exchange Rates'!B:C,2,0)))/S1820)&gt;1,(SUMIFS(P:P,A:A,A1820)-S1820)/S1820,(S1820-SUMIFS(P:P,A:A,A1820))/SUMIFS(P:P,A:A,A1820)),"."),".")</f>
        <v>.</v>
      </c>
      <c r="BB1820" s="1208"/>
      <c r="BC1820" s="1208"/>
      <c r="BD1820" s="1208"/>
      <c r="BE1820" s="1208"/>
      <c r="BF1820" s="1208"/>
      <c r="BG1820" s="1208"/>
      <c r="BH1820" s="1208"/>
      <c r="BI1820" s="1208"/>
      <c r="BJ1820" s="1208"/>
      <c r="BK1820" s="1208"/>
      <c r="BL1820" s="1208"/>
      <c r="BM1820" s="1208"/>
      <c r="BN1820" s="1208"/>
      <c r="BO1820" s="1208"/>
      <c r="BP1820" s="1208"/>
      <c r="BQ1820" s="1208"/>
      <c r="BR1820" s="1208"/>
      <c r="BS1820" s="1208"/>
    </row>
    <row r="1821" spans="1:71" ht="15.95" customHeight="1">
      <c r="A1821" s="1208" t="s">
        <v>4310</v>
      </c>
      <c r="B1821" s="1208" t="s">
        <v>3949</v>
      </c>
      <c r="C1821" s="1209">
        <v>45005</v>
      </c>
      <c r="D1821" s="1208" t="s">
        <v>389</v>
      </c>
      <c r="E1821" s="1208" t="s">
        <v>390</v>
      </c>
      <c r="F1821" s="1208" t="s">
        <v>4340</v>
      </c>
      <c r="G1821" s="1184" t="s">
        <v>456</v>
      </c>
      <c r="H1821" s="1210">
        <v>350000000</v>
      </c>
      <c r="I1821" s="1208" t="s">
        <v>4316</v>
      </c>
      <c r="J1821" s="1186" t="str">
        <f>VLOOKUP($I1821,'Price List, Weapons &amp; Items'!B:C,2,0)</f>
        <v>Ammunition</v>
      </c>
      <c r="K1821" s="1186" t="str">
        <f>IF(I1821=".",I1821,VLOOKUP($I1821,'Price List, Weapons &amp; Items'!B:D,3,0))</f>
        <v>ammunition</v>
      </c>
      <c r="L1821" s="1187">
        <f>VLOOKUP(I1821,'Price List, Weapons &amp; Items'!B:E,4,0)</f>
        <v>0</v>
      </c>
      <c r="M1821" s="1188" t="s">
        <v>374</v>
      </c>
      <c r="N1821" s="1188" t="s">
        <v>374</v>
      </c>
      <c r="O1821" s="1188">
        <f>VLOOKUP($I1821,'Price List, Weapons &amp; Items'!B:G,6,0)</f>
        <v>140.58000000000001</v>
      </c>
      <c r="P1821" s="1185" t="str">
        <f t="shared" si="386"/>
        <v>.</v>
      </c>
      <c r="Q1821" s="1185" t="str">
        <f t="shared" si="387"/>
        <v>.</v>
      </c>
      <c r="R1821" s="1185" t="str">
        <f t="shared" si="383"/>
        <v/>
      </c>
      <c r="S1821" s="1185" t="str">
        <f>IF(AND(AD1821=1,R1821&lt;&gt;".")=TRUE,R1821/VLOOKUP(G1821,'Exchange Rates'!B:C,2,0),IF(R1821=".",".",""))</f>
        <v/>
      </c>
      <c r="T1821" s="1185" t="str">
        <f>IF(AD1821=1,IF(AF1821="Value is not given at all",".",IF(AF1821="Value is given by the source",S1821,IF(AF1821="Value is calculated with prices",(IF(SUMIFS(Q:Q,A:A,A1821)&gt;0,SUMIFS(Q:Q,A:A,A1821),"."))/VLOOKUP("USD",'Exchange Rates'!B:C,2,0),"Error with coding"))),"")</f>
        <v/>
      </c>
      <c r="U1821" s="1191" t="s">
        <v>365</v>
      </c>
      <c r="V1821" s="983" t="s">
        <v>4341</v>
      </c>
      <c r="W1821" s="966" t="s">
        <v>4339</v>
      </c>
      <c r="X1821" s="1208" t="s">
        <v>364</v>
      </c>
      <c r="Y1821" s="1208" t="s">
        <v>364</v>
      </c>
      <c r="Z1821" s="1191">
        <v>0</v>
      </c>
      <c r="AA1821" s="1191">
        <v>1</v>
      </c>
      <c r="AB1821" s="1208" t="s">
        <v>364</v>
      </c>
      <c r="AC1821" s="1192" t="str">
        <f>""</f>
        <v/>
      </c>
      <c r="AD1821" s="1193">
        <v>0</v>
      </c>
      <c r="AE1821" s="1191" t="s">
        <v>368</v>
      </c>
      <c r="AF1821" s="1191" t="s">
        <v>369</v>
      </c>
      <c r="AG1821" s="1193">
        <v>1</v>
      </c>
      <c r="AH1821" s="1193">
        <v>15</v>
      </c>
      <c r="AI1821" s="1193">
        <v>0</v>
      </c>
      <c r="AJ1821" s="1193">
        <f>VLOOKUP($I1821,'Price List, Weapons &amp; Items'!B:F,5,0)</f>
        <v>0</v>
      </c>
      <c r="AK1821" s="1193">
        <f t="shared" si="388"/>
        <v>0</v>
      </c>
      <c r="AL1821" s="1193">
        <f t="shared" si="389"/>
        <v>0</v>
      </c>
      <c r="AM1821" s="1193">
        <f t="shared" si="390"/>
        <v>1</v>
      </c>
      <c r="AN1821" s="1194" t="str">
        <f>VLOOKUP($I1821,'Price List, Weapons &amp; Items'!B:L,COLUMN('Price List, Weapons &amp; Items'!$J$11)-1,0)</f>
        <v>Military media (incl. websites)</v>
      </c>
      <c r="AO1821" s="1194" t="str">
        <f>IF(I1821=".",".",VLOOKUP($I1821,'Price List, Weapons &amp; Items'!B:J,3,0))</f>
        <v>ammunition</v>
      </c>
      <c r="AP1821" s="1195" t="str">
        <f t="shared" ca="1" si="384"/>
        <v/>
      </c>
      <c r="AQ1821" s="1194">
        <f>VLOOKUP($I1821,'Price List, Weapons &amp; Items'!B:L,COLUMN('Price List, Weapons &amp; Items'!$L$11)-1,0)</f>
        <v>2</v>
      </c>
      <c r="AR1821" s="1194">
        <f t="shared" si="391"/>
        <v>1</v>
      </c>
      <c r="AS1821" s="1194">
        <f t="shared" si="392"/>
        <v>1</v>
      </c>
      <c r="AT1821" s="1194">
        <f t="shared" si="393"/>
        <v>1</v>
      </c>
      <c r="AU1821" s="1194" t="str">
        <f t="shared" si="382"/>
        <v>.</v>
      </c>
      <c r="AV1821" s="1194" t="str">
        <f t="shared" si="385"/>
        <v>.</v>
      </c>
      <c r="AW1821" s="1194" t="str">
        <f t="shared" si="394"/>
        <v>.</v>
      </c>
      <c r="AX1821" s="1194">
        <f>IFERROR(VLOOKUP(B1821,'Share, Heavy Weapons to Ukraine'!B:Z,COLUMN('Share, Heavy Weapons to Ukraine'!C1831)-1,0),0)</f>
        <v>1</v>
      </c>
      <c r="AY1821" s="1194">
        <f>VLOOKUP('Bilateral Assistance, MAIN DATA'!B1821,'Country Summary (€)'!B:F,COLUMN('Country Summary (€)'!C1832)-1,FALSE)</f>
        <v>0</v>
      </c>
      <c r="AZ1821" s="1194" t="str">
        <f>IF(AND(AD1821=1,D1821="Military",H1821&lt;&gt;"Not given")=TRUE,IF(SUMIFS(P:P,A:A,A1821)&gt;0,ABS((SUMIFS(P:P,A:A,A1821)/VLOOKUP("USD",'Exchange Rates'!B:C,2,0)))/S1821,"."),".")</f>
        <v>.</v>
      </c>
      <c r="BA1821" s="1196" t="str">
        <f>IF(AND(AD1821=1,D1821="Military",H1821&lt;&gt;"Not given")=TRUE,IF(SUMIFS(P:P,A:A,A1821)&gt;0,IF((ABS((SUMIFS(P:P,A:A,A1821)/VLOOKUP("USD",'Exchange Rates'!B:C,2,0)))/S1821)&gt;1,(SUMIFS(P:P,A:A,A1821)-S1821)/S1821,(S1821-SUMIFS(P:P,A:A,A1821))/SUMIFS(P:P,A:A,A1821)),"."),".")</f>
        <v>.</v>
      </c>
      <c r="BB1821" s="1208"/>
      <c r="BC1821" s="1208"/>
      <c r="BD1821" s="1208"/>
      <c r="BE1821" s="1208"/>
      <c r="BF1821" s="1208"/>
      <c r="BG1821" s="1208"/>
      <c r="BH1821" s="1208"/>
      <c r="BI1821" s="1208"/>
      <c r="BJ1821" s="1208"/>
      <c r="BK1821" s="1208"/>
      <c r="BL1821" s="1208"/>
      <c r="BM1821" s="1208"/>
      <c r="BN1821" s="1208"/>
      <c r="BO1821" s="1208"/>
      <c r="BP1821" s="1208"/>
      <c r="BQ1821" s="1208"/>
      <c r="BR1821" s="1208"/>
      <c r="BS1821" s="1208"/>
    </row>
    <row r="1822" spans="1:71" ht="15.95" customHeight="1">
      <c r="A1822" s="1208" t="s">
        <v>4310</v>
      </c>
      <c r="B1822" s="1208" t="s">
        <v>3949</v>
      </c>
      <c r="C1822" s="1209">
        <v>45005</v>
      </c>
      <c r="D1822" s="1208" t="s">
        <v>389</v>
      </c>
      <c r="E1822" s="1208" t="s">
        <v>390</v>
      </c>
      <c r="F1822" s="1208" t="s">
        <v>4340</v>
      </c>
      <c r="G1822" s="1184" t="s">
        <v>456</v>
      </c>
      <c r="H1822" s="1210">
        <v>350000000</v>
      </c>
      <c r="I1822" s="1208" t="s">
        <v>4161</v>
      </c>
      <c r="J1822" s="1186" t="str">
        <f>VLOOKUP($I1822,'Price List, Weapons &amp; Items'!B:C,2,0)</f>
        <v>Ammunition for heavy weapon</v>
      </c>
      <c r="K1822" s="1186" t="str">
        <f>IF(I1822=".",I1822,VLOOKUP($I1822,'Price List, Weapons &amp; Items'!B:D,3,0))</f>
        <v>Missile</v>
      </c>
      <c r="L1822" s="1187">
        <f>VLOOKUP(I1822,'Price List, Weapons &amp; Items'!B:E,4,0)</f>
        <v>0</v>
      </c>
      <c r="M1822" s="1188" t="s">
        <v>374</v>
      </c>
      <c r="N1822" s="1188" t="s">
        <v>374</v>
      </c>
      <c r="O1822" s="1188">
        <f>VLOOKUP($I1822,'Price List, Weapons &amp; Items'!B:G,6,0)</f>
        <v>557000</v>
      </c>
      <c r="P1822" s="1185" t="str">
        <f t="shared" si="386"/>
        <v>.</v>
      </c>
      <c r="Q1822" s="1185" t="str">
        <f t="shared" si="387"/>
        <v>.</v>
      </c>
      <c r="R1822" s="1185" t="str">
        <f t="shared" si="383"/>
        <v/>
      </c>
      <c r="S1822" s="1185" t="str">
        <f>IF(AND(AD1822=1,R1822&lt;&gt;".")=TRUE,R1822/VLOOKUP(G1822,'Exchange Rates'!B:C,2,0),IF(R1822=".",".",""))</f>
        <v/>
      </c>
      <c r="T1822" s="1185" t="str">
        <f>IF(AD1822=1,IF(AF1822="Value is not given at all",".",IF(AF1822="Value is given by the source",S1822,IF(AF1822="Value is calculated with prices",(IF(SUMIFS(Q:Q,A:A,A1822)&gt;0,SUMIFS(Q:Q,A:A,A1822),"."))/VLOOKUP("USD",'Exchange Rates'!B:C,2,0),"Error with coding"))),"")</f>
        <v/>
      </c>
      <c r="U1822" s="1191" t="s">
        <v>365</v>
      </c>
      <c r="V1822" s="983" t="s">
        <v>4341</v>
      </c>
      <c r="W1822" s="966" t="s">
        <v>4339</v>
      </c>
      <c r="X1822" s="1208" t="s">
        <v>364</v>
      </c>
      <c r="Y1822" s="1208" t="s">
        <v>364</v>
      </c>
      <c r="Z1822" s="1191">
        <v>0</v>
      </c>
      <c r="AA1822" s="1191">
        <v>1</v>
      </c>
      <c r="AB1822" s="1208" t="s">
        <v>364</v>
      </c>
      <c r="AC1822" s="1192" t="str">
        <f>""</f>
        <v/>
      </c>
      <c r="AD1822" s="1193">
        <v>0</v>
      </c>
      <c r="AE1822" s="1191" t="s">
        <v>368</v>
      </c>
      <c r="AF1822" s="1191" t="s">
        <v>369</v>
      </c>
      <c r="AG1822" s="1193">
        <v>1</v>
      </c>
      <c r="AH1822" s="1193">
        <v>15</v>
      </c>
      <c r="AI1822" s="1193">
        <v>0</v>
      </c>
      <c r="AJ1822" s="1193">
        <f>VLOOKUP($I1822,'Price List, Weapons &amp; Items'!B:F,5,0)</f>
        <v>0</v>
      </c>
      <c r="AK1822" s="1193">
        <f t="shared" si="388"/>
        <v>0</v>
      </c>
      <c r="AL1822" s="1193">
        <f t="shared" si="389"/>
        <v>0</v>
      </c>
      <c r="AM1822" s="1193">
        <f t="shared" si="390"/>
        <v>0</v>
      </c>
      <c r="AN1822" s="1194" t="str">
        <f>VLOOKUP($I1822,'Price List, Weapons &amp; Items'!B:L,COLUMN('Price List, Weapons &amp; Items'!$J$11)-1,0)</f>
        <v>Miscellaneous</v>
      </c>
      <c r="AO1822" s="1194" t="str">
        <f>IF(I1822=".",".",VLOOKUP($I1822,'Price List, Weapons &amp; Items'!B:J,3,0))</f>
        <v>Missile</v>
      </c>
      <c r="AP1822" s="1195" t="str">
        <f t="shared" ca="1" si="384"/>
        <v/>
      </c>
      <c r="AQ1822" s="1194" t="str">
        <f>VLOOKUP($I1822,'Price List, Weapons &amp; Items'!B:L,COLUMN('Price List, Weapons &amp; Items'!$L$11)-1,0)</f>
        <v>no price, 0 count</v>
      </c>
      <c r="AR1822" s="1194">
        <f t="shared" si="391"/>
        <v>1</v>
      </c>
      <c r="AS1822" s="1194">
        <f t="shared" si="392"/>
        <v>1</v>
      </c>
      <c r="AT1822" s="1194">
        <f t="shared" si="393"/>
        <v>1</v>
      </c>
      <c r="AU1822" s="1194" t="str">
        <f t="shared" si="382"/>
        <v>.</v>
      </c>
      <c r="AV1822" s="1194" t="str">
        <f t="shared" si="385"/>
        <v>.</v>
      </c>
      <c r="AW1822" s="1194" t="str">
        <f t="shared" si="394"/>
        <v>.</v>
      </c>
      <c r="AX1822" s="1194">
        <f>IFERROR(VLOOKUP(B1822,'Share, Heavy Weapons to Ukraine'!B:Z,COLUMN('Share, Heavy Weapons to Ukraine'!C1832)-1,0),0)</f>
        <v>1</v>
      </c>
      <c r="AY1822" s="1194">
        <f>VLOOKUP('Bilateral Assistance, MAIN DATA'!B1822,'Country Summary (€)'!B:F,COLUMN('Country Summary (€)'!C1833)-1,FALSE)</f>
        <v>0</v>
      </c>
      <c r="AZ1822" s="1194" t="str">
        <f>IF(AND(AD1822=1,D1822="Military",H1822&lt;&gt;"Not given")=TRUE,IF(SUMIFS(P:P,A:A,A1822)&gt;0,ABS((SUMIFS(P:P,A:A,A1822)/VLOOKUP("USD",'Exchange Rates'!B:C,2,0)))/S1822,"."),".")</f>
        <v>.</v>
      </c>
      <c r="BA1822" s="1196" t="str">
        <f>IF(AND(AD1822=1,D1822="Military",H1822&lt;&gt;"Not given")=TRUE,IF(SUMIFS(P:P,A:A,A1822)&gt;0,IF((ABS((SUMIFS(P:P,A:A,A1822)/VLOOKUP("USD",'Exchange Rates'!B:C,2,0)))/S1822)&gt;1,(SUMIFS(P:P,A:A,A1822)-S1822)/S1822,(S1822-SUMIFS(P:P,A:A,A1822))/SUMIFS(P:P,A:A,A1822)),"."),".")</f>
        <v>.</v>
      </c>
      <c r="BB1822" s="1208"/>
      <c r="BC1822" s="1208"/>
      <c r="BD1822" s="1208"/>
      <c r="BE1822" s="1208"/>
      <c r="BF1822" s="1208"/>
      <c r="BG1822" s="1208"/>
      <c r="BH1822" s="1208"/>
      <c r="BI1822" s="1208"/>
      <c r="BJ1822" s="1208"/>
      <c r="BK1822" s="1208"/>
      <c r="BL1822" s="1208"/>
      <c r="BM1822" s="1208"/>
      <c r="BN1822" s="1208"/>
      <c r="BO1822" s="1208"/>
      <c r="BP1822" s="1208"/>
      <c r="BQ1822" s="1208"/>
      <c r="BR1822" s="1208"/>
      <c r="BS1822" s="1208"/>
    </row>
    <row r="1823" spans="1:71" ht="15.95" customHeight="1">
      <c r="A1823" s="1208" t="s">
        <v>4310</v>
      </c>
      <c r="B1823" s="1208" t="s">
        <v>3949</v>
      </c>
      <c r="C1823" s="1209">
        <v>45005</v>
      </c>
      <c r="D1823" s="1208" t="s">
        <v>389</v>
      </c>
      <c r="E1823" s="1208" t="s">
        <v>390</v>
      </c>
      <c r="F1823" s="1208" t="s">
        <v>4340</v>
      </c>
      <c r="G1823" s="1184" t="s">
        <v>456</v>
      </c>
      <c r="H1823" s="1210">
        <v>350000000</v>
      </c>
      <c r="I1823" s="1208" t="s">
        <v>4308</v>
      </c>
      <c r="J1823" s="1186" t="str">
        <f>VLOOKUP($I1823,'Price List, Weapons &amp; Items'!B:C,2,0)</f>
        <v>Light armaments &amp; infantry</v>
      </c>
      <c r="K1823" s="1186" t="str">
        <f>IF(I1823=".",I1823,VLOOKUP($I1823,'Price List, Weapons &amp; Items'!B:D,3,0))</f>
        <v>Mortar</v>
      </c>
      <c r="L1823" s="1187">
        <f>VLOOKUP(I1823,'Price List, Weapons &amp; Items'!B:E,4,0)</f>
        <v>0</v>
      </c>
      <c r="M1823" s="1188" t="s">
        <v>374</v>
      </c>
      <c r="N1823" s="1188" t="s">
        <v>374</v>
      </c>
      <c r="O1823" s="1188">
        <f>VLOOKUP($I1823,'Price List, Weapons &amp; Items'!B:G,6,0)</f>
        <v>24717</v>
      </c>
      <c r="P1823" s="1185" t="str">
        <f t="shared" si="386"/>
        <v>.</v>
      </c>
      <c r="Q1823" s="1185" t="str">
        <f t="shared" si="387"/>
        <v>.</v>
      </c>
      <c r="R1823" s="1185" t="str">
        <f t="shared" si="383"/>
        <v/>
      </c>
      <c r="S1823" s="1185" t="str">
        <f>IF(AND(AD1823=1,R1823&lt;&gt;".")=TRUE,R1823/VLOOKUP(G1823,'Exchange Rates'!B:C,2,0),IF(R1823=".",".",""))</f>
        <v/>
      </c>
      <c r="T1823" s="1185" t="str">
        <f>IF(AD1823=1,IF(AF1823="Value is not given at all",".",IF(AF1823="Value is given by the source",S1823,IF(AF1823="Value is calculated with prices",(IF(SUMIFS(Q:Q,A:A,A1823)&gt;0,SUMIFS(Q:Q,A:A,A1823),"."))/VLOOKUP("USD",'Exchange Rates'!B:C,2,0),"Error with coding"))),"")</f>
        <v/>
      </c>
      <c r="U1823" s="1191" t="s">
        <v>365</v>
      </c>
      <c r="V1823" s="983" t="s">
        <v>4341</v>
      </c>
      <c r="W1823" s="966" t="s">
        <v>4339</v>
      </c>
      <c r="X1823" s="1208" t="s">
        <v>364</v>
      </c>
      <c r="Y1823" s="1208" t="s">
        <v>364</v>
      </c>
      <c r="Z1823" s="1191">
        <v>0</v>
      </c>
      <c r="AA1823" s="1191">
        <v>1</v>
      </c>
      <c r="AB1823" s="1208" t="s">
        <v>364</v>
      </c>
      <c r="AC1823" s="1192" t="str">
        <f>""</f>
        <v/>
      </c>
      <c r="AD1823" s="1193">
        <v>0</v>
      </c>
      <c r="AE1823" s="1191" t="s">
        <v>368</v>
      </c>
      <c r="AF1823" s="1191" t="s">
        <v>369</v>
      </c>
      <c r="AG1823" s="1193">
        <v>1</v>
      </c>
      <c r="AH1823" s="1193">
        <v>15</v>
      </c>
      <c r="AI1823" s="1193">
        <v>0</v>
      </c>
      <c r="AJ1823" s="1193">
        <f>VLOOKUP($I1823,'Price List, Weapons &amp; Items'!B:F,5,0)</f>
        <v>0</v>
      </c>
      <c r="AK1823" s="1193">
        <f t="shared" si="388"/>
        <v>0</v>
      </c>
      <c r="AL1823" s="1193">
        <f t="shared" si="389"/>
        <v>0</v>
      </c>
      <c r="AM1823" s="1193">
        <f t="shared" si="390"/>
        <v>0</v>
      </c>
      <c r="AN1823" s="1194" t="str">
        <f>VLOOKUP($I1823,'Price List, Weapons &amp; Items'!B:L,COLUMN('Price List, Weapons &amp; Items'!$J$11)-1,0)</f>
        <v>Military media (incl. websites)</v>
      </c>
      <c r="AO1823" s="1194" t="str">
        <f>IF(I1823=".",".",VLOOKUP($I1823,'Price List, Weapons &amp; Items'!B:J,3,0))</f>
        <v>Mortar</v>
      </c>
      <c r="AP1823" s="1195" t="str">
        <f t="shared" ca="1" si="384"/>
        <v/>
      </c>
      <c r="AQ1823" s="1194">
        <f>VLOOKUP($I1823,'Price List, Weapons &amp; Items'!B:L,COLUMN('Price List, Weapons &amp; Items'!$L$11)-1,0)</f>
        <v>1</v>
      </c>
      <c r="AR1823" s="1194">
        <f t="shared" si="391"/>
        <v>1</v>
      </c>
      <c r="AS1823" s="1194">
        <f t="shared" si="392"/>
        <v>1</v>
      </c>
      <c r="AT1823" s="1194">
        <f t="shared" si="393"/>
        <v>1</v>
      </c>
      <c r="AU1823" s="1194" t="str">
        <f t="shared" si="382"/>
        <v>.</v>
      </c>
      <c r="AV1823" s="1194" t="str">
        <f t="shared" si="385"/>
        <v>.</v>
      </c>
      <c r="AW1823" s="1194" t="str">
        <f t="shared" si="394"/>
        <v>.</v>
      </c>
      <c r="AX1823" s="1194">
        <f>IFERROR(VLOOKUP(B1823,'Share, Heavy Weapons to Ukraine'!B:Z,COLUMN('Share, Heavy Weapons to Ukraine'!C1833)-1,0),0)</f>
        <v>1</v>
      </c>
      <c r="AY1823" s="1194">
        <f>VLOOKUP('Bilateral Assistance, MAIN DATA'!B1823,'Country Summary (€)'!B:F,COLUMN('Country Summary (€)'!C1834)-1,FALSE)</f>
        <v>0</v>
      </c>
      <c r="AZ1823" s="1194" t="str">
        <f>IF(AND(AD1823=1,D1823="Military",H1823&lt;&gt;"Not given")=TRUE,IF(SUMIFS(P:P,A:A,A1823)&gt;0,ABS((SUMIFS(P:P,A:A,A1823)/VLOOKUP("USD",'Exchange Rates'!B:C,2,0)))/S1823,"."),".")</f>
        <v>.</v>
      </c>
      <c r="BA1823" s="1196" t="str">
        <f>IF(AND(AD1823=1,D1823="Military",H1823&lt;&gt;"Not given")=TRUE,IF(SUMIFS(P:P,A:A,A1823)&gt;0,IF((ABS((SUMIFS(P:P,A:A,A1823)/VLOOKUP("USD",'Exchange Rates'!B:C,2,0)))/S1823)&gt;1,(SUMIFS(P:P,A:A,A1823)-S1823)/S1823,(S1823-SUMIFS(P:P,A:A,A1823))/SUMIFS(P:P,A:A,A1823)),"."),".")</f>
        <v>.</v>
      </c>
      <c r="BB1823" s="1208"/>
      <c r="BC1823" s="1208"/>
      <c r="BD1823" s="1208"/>
      <c r="BE1823" s="1208"/>
      <c r="BF1823" s="1208"/>
      <c r="BG1823" s="1208"/>
      <c r="BH1823" s="1208"/>
      <c r="BI1823" s="1208"/>
      <c r="BJ1823" s="1208"/>
      <c r="BK1823" s="1208"/>
      <c r="BL1823" s="1208"/>
      <c r="BM1823" s="1208"/>
      <c r="BN1823" s="1208"/>
      <c r="BO1823" s="1208"/>
      <c r="BP1823" s="1208"/>
      <c r="BQ1823" s="1208"/>
      <c r="BR1823" s="1208"/>
      <c r="BS1823" s="1208"/>
    </row>
    <row r="1824" spans="1:71" ht="15.95" customHeight="1">
      <c r="A1824" s="1208" t="s">
        <v>4310</v>
      </c>
      <c r="B1824" s="1208" t="s">
        <v>3949</v>
      </c>
      <c r="C1824" s="1209">
        <v>45005</v>
      </c>
      <c r="D1824" s="1208" t="s">
        <v>389</v>
      </c>
      <c r="E1824" s="1208" t="s">
        <v>390</v>
      </c>
      <c r="F1824" s="1208" t="s">
        <v>4340</v>
      </c>
      <c r="G1824" s="1184" t="s">
        <v>456</v>
      </c>
      <c r="H1824" s="1210">
        <v>350000000</v>
      </c>
      <c r="I1824" s="1208" t="s">
        <v>4309</v>
      </c>
      <c r="J1824" s="1186" t="str">
        <f>VLOOKUP($I1824,'Price List, Weapons &amp; Items'!B:C,2,0)</f>
        <v>Light armaments &amp; infantry</v>
      </c>
      <c r="K1824" s="1186" t="str">
        <f>IF(I1824=".",I1824,VLOOKUP($I1824,'Price List, Weapons &amp; Items'!B:D,3,0))</f>
        <v>Mortar</v>
      </c>
      <c r="L1824" s="1187">
        <f>VLOOKUP(I1824,'Price List, Weapons &amp; Items'!B:E,4,0)</f>
        <v>0</v>
      </c>
      <c r="M1824" s="1188" t="s">
        <v>374</v>
      </c>
      <c r="N1824" s="1188" t="s">
        <v>374</v>
      </c>
      <c r="O1824" s="1188">
        <f>VLOOKUP($I1824,'Price List, Weapons &amp; Items'!B:G,6,0)</f>
        <v>10658</v>
      </c>
      <c r="P1824" s="1185" t="str">
        <f t="shared" si="386"/>
        <v>.</v>
      </c>
      <c r="Q1824" s="1185" t="str">
        <f t="shared" si="387"/>
        <v>.</v>
      </c>
      <c r="R1824" s="1185" t="str">
        <f t="shared" si="383"/>
        <v/>
      </c>
      <c r="S1824" s="1185" t="str">
        <f>IF(AND(AD1824=1,R1824&lt;&gt;".")=TRUE,R1824/VLOOKUP(G1824,'Exchange Rates'!B:C,2,0),IF(R1824=".",".",""))</f>
        <v/>
      </c>
      <c r="T1824" s="1185" t="str">
        <f>IF(AD1824=1,IF(AF1824="Value is not given at all",".",IF(AF1824="Value is given by the source",S1824,IF(AF1824="Value is calculated with prices",(IF(SUMIFS(Q:Q,A:A,A1824)&gt;0,SUMIFS(Q:Q,A:A,A1824),"."))/VLOOKUP("USD",'Exchange Rates'!B:C,2,0),"Error with coding"))),"")</f>
        <v/>
      </c>
      <c r="U1824" s="1191" t="s">
        <v>365</v>
      </c>
      <c r="V1824" s="983" t="s">
        <v>4341</v>
      </c>
      <c r="W1824" s="966" t="s">
        <v>4339</v>
      </c>
      <c r="X1824" s="1208" t="s">
        <v>364</v>
      </c>
      <c r="Y1824" s="1208" t="s">
        <v>364</v>
      </c>
      <c r="Z1824" s="1191">
        <v>0</v>
      </c>
      <c r="AA1824" s="1191">
        <v>1</v>
      </c>
      <c r="AB1824" s="1208" t="s">
        <v>364</v>
      </c>
      <c r="AC1824" s="1192" t="str">
        <f>""</f>
        <v/>
      </c>
      <c r="AD1824" s="1193">
        <v>0</v>
      </c>
      <c r="AE1824" s="1191" t="s">
        <v>368</v>
      </c>
      <c r="AF1824" s="1191" t="s">
        <v>369</v>
      </c>
      <c r="AG1824" s="1193">
        <v>1</v>
      </c>
      <c r="AH1824" s="1193">
        <v>15</v>
      </c>
      <c r="AI1824" s="1193">
        <v>0</v>
      </c>
      <c r="AJ1824" s="1193">
        <f>VLOOKUP($I1824,'Price List, Weapons &amp; Items'!B:F,5,0)</f>
        <v>0</v>
      </c>
      <c r="AK1824" s="1193">
        <f t="shared" si="388"/>
        <v>0</v>
      </c>
      <c r="AL1824" s="1193">
        <f t="shared" si="389"/>
        <v>0</v>
      </c>
      <c r="AM1824" s="1193">
        <f t="shared" si="390"/>
        <v>0</v>
      </c>
      <c r="AN1824" s="1194" t="str">
        <f>VLOOKUP($I1824,'Price List, Weapons &amp; Items'!B:L,COLUMN('Price List, Weapons &amp; Items'!$J$11)-1,0)</f>
        <v>Military media (incl. websites)</v>
      </c>
      <c r="AO1824" s="1194" t="str">
        <f>IF(I1824=".",".",VLOOKUP($I1824,'Price List, Weapons &amp; Items'!B:J,3,0))</f>
        <v>Mortar</v>
      </c>
      <c r="AP1824" s="1195" t="str">
        <f t="shared" ca="1" si="384"/>
        <v/>
      </c>
      <c r="AQ1824" s="1194">
        <f>VLOOKUP($I1824,'Price List, Weapons &amp; Items'!B:L,COLUMN('Price List, Weapons &amp; Items'!$L$11)-1,0)</f>
        <v>1</v>
      </c>
      <c r="AR1824" s="1194">
        <f t="shared" si="391"/>
        <v>1</v>
      </c>
      <c r="AS1824" s="1194">
        <f t="shared" si="392"/>
        <v>1</v>
      </c>
      <c r="AT1824" s="1194">
        <f t="shared" si="393"/>
        <v>1</v>
      </c>
      <c r="AU1824" s="1194" t="str">
        <f t="shared" si="382"/>
        <v>.</v>
      </c>
      <c r="AV1824" s="1194" t="str">
        <f t="shared" si="385"/>
        <v>.</v>
      </c>
      <c r="AW1824" s="1194" t="str">
        <f t="shared" si="394"/>
        <v>.</v>
      </c>
      <c r="AX1824" s="1194">
        <f>IFERROR(VLOOKUP(B1824,'Share, Heavy Weapons to Ukraine'!B:Z,COLUMN('Share, Heavy Weapons to Ukraine'!C1834)-1,0),0)</f>
        <v>1</v>
      </c>
      <c r="AY1824" s="1194">
        <f>VLOOKUP('Bilateral Assistance, MAIN DATA'!B1824,'Country Summary (€)'!B:F,COLUMN('Country Summary (€)'!C1835)-1,FALSE)</f>
        <v>0</v>
      </c>
      <c r="AZ1824" s="1194" t="str">
        <f>IF(AND(AD1824=1,D1824="Military",H1824&lt;&gt;"Not given")=TRUE,IF(SUMIFS(P:P,A:A,A1824)&gt;0,ABS((SUMIFS(P:P,A:A,A1824)/VLOOKUP("USD",'Exchange Rates'!B:C,2,0)))/S1824,"."),".")</f>
        <v>.</v>
      </c>
      <c r="BA1824" s="1196" t="str">
        <f>IF(AND(AD1824=1,D1824="Military",H1824&lt;&gt;"Not given")=TRUE,IF(SUMIFS(P:P,A:A,A1824)&gt;0,IF((ABS((SUMIFS(P:P,A:A,A1824)/VLOOKUP("USD",'Exchange Rates'!B:C,2,0)))/S1824)&gt;1,(SUMIFS(P:P,A:A,A1824)-S1824)/S1824,(S1824-SUMIFS(P:P,A:A,A1824))/SUMIFS(P:P,A:A,A1824)),"."),".")</f>
        <v>.</v>
      </c>
      <c r="BB1824" s="1208"/>
      <c r="BC1824" s="1208"/>
      <c r="BD1824" s="1208"/>
      <c r="BE1824" s="1208"/>
      <c r="BF1824" s="1208"/>
      <c r="BG1824" s="1208"/>
      <c r="BH1824" s="1208"/>
      <c r="BI1824" s="1208"/>
      <c r="BJ1824" s="1208"/>
      <c r="BK1824" s="1208"/>
      <c r="BL1824" s="1208"/>
      <c r="BM1824" s="1208"/>
      <c r="BN1824" s="1208"/>
      <c r="BO1824" s="1208"/>
      <c r="BP1824" s="1208"/>
      <c r="BQ1824" s="1208"/>
      <c r="BR1824" s="1208"/>
      <c r="BS1824" s="1208"/>
    </row>
    <row r="1825" spans="1:71" ht="15.95" customHeight="1">
      <c r="A1825" s="1208" t="s">
        <v>4310</v>
      </c>
      <c r="B1825" s="1208" t="s">
        <v>3949</v>
      </c>
      <c r="C1825" s="1209">
        <v>45005</v>
      </c>
      <c r="D1825" s="1208" t="s">
        <v>389</v>
      </c>
      <c r="E1825" s="1208" t="s">
        <v>390</v>
      </c>
      <c r="F1825" s="1208" t="s">
        <v>4340</v>
      </c>
      <c r="G1825" s="1184" t="s">
        <v>456</v>
      </c>
      <c r="H1825" s="1210">
        <v>350000000</v>
      </c>
      <c r="I1825" s="1208" t="s">
        <v>3584</v>
      </c>
      <c r="J1825" s="1186" t="str">
        <f>VLOOKUP($I1825,'Price List, Weapons &amp; Items'!B:C,2,0)</f>
        <v>Portable defence system</v>
      </c>
      <c r="K1825" s="1186" t="str">
        <f>IF(I1825=".",I1825,VLOOKUP($I1825,'Price List, Weapons &amp; Items'!B:D,3,0))</f>
        <v>MANPADS</v>
      </c>
      <c r="L1825" s="1187">
        <f>VLOOKUP(I1825,'Price List, Weapons &amp; Items'!B:E,4,0)</f>
        <v>0</v>
      </c>
      <c r="M1825" s="1188" t="s">
        <v>374</v>
      </c>
      <c r="N1825" s="1188" t="s">
        <v>374</v>
      </c>
      <c r="O1825" s="1188">
        <f>VLOOKUP($I1825,'Price List, Weapons &amp; Items'!B:G,6,0)</f>
        <v>1480.64</v>
      </c>
      <c r="P1825" s="1185" t="str">
        <f t="shared" si="386"/>
        <v>.</v>
      </c>
      <c r="Q1825" s="1185" t="str">
        <f t="shared" si="387"/>
        <v>.</v>
      </c>
      <c r="R1825" s="1185" t="str">
        <f t="shared" si="383"/>
        <v/>
      </c>
      <c r="S1825" s="1185" t="str">
        <f>IF(AND(AD1825=1,R1825&lt;&gt;".")=TRUE,R1825/VLOOKUP(G1825,'Exchange Rates'!B:C,2,0),IF(R1825=".",".",""))</f>
        <v/>
      </c>
      <c r="T1825" s="1185" t="str">
        <f>IF(AD1825=1,IF(AF1825="Value is not given at all",".",IF(AF1825="Value is given by the source",S1825,IF(AF1825="Value is calculated with prices",(IF(SUMIFS(Q:Q,A:A,A1825)&gt;0,SUMIFS(Q:Q,A:A,A1825),"."))/VLOOKUP("USD",'Exchange Rates'!B:C,2,0),"Error with coding"))),"")</f>
        <v/>
      </c>
      <c r="U1825" s="1191" t="s">
        <v>365</v>
      </c>
      <c r="V1825" s="983" t="s">
        <v>4341</v>
      </c>
      <c r="W1825" s="966" t="s">
        <v>4339</v>
      </c>
      <c r="X1825" s="1208" t="s">
        <v>364</v>
      </c>
      <c r="Y1825" s="1208" t="s">
        <v>364</v>
      </c>
      <c r="Z1825" s="1191">
        <v>0</v>
      </c>
      <c r="AA1825" s="1191">
        <v>1</v>
      </c>
      <c r="AB1825" s="1208" t="s">
        <v>364</v>
      </c>
      <c r="AC1825" s="1192" t="str">
        <f>""</f>
        <v/>
      </c>
      <c r="AD1825" s="1193">
        <v>0</v>
      </c>
      <c r="AE1825" s="1191" t="s">
        <v>368</v>
      </c>
      <c r="AF1825" s="1191" t="s">
        <v>369</v>
      </c>
      <c r="AG1825" s="1193">
        <v>1</v>
      </c>
      <c r="AH1825" s="1193">
        <v>15</v>
      </c>
      <c r="AI1825" s="1193">
        <v>0</v>
      </c>
      <c r="AJ1825" s="1193">
        <f>VLOOKUP($I1825,'Price List, Weapons &amp; Items'!B:F,5,0)</f>
        <v>0</v>
      </c>
      <c r="AK1825" s="1193">
        <f t="shared" si="388"/>
        <v>0</v>
      </c>
      <c r="AL1825" s="1193">
        <f t="shared" si="389"/>
        <v>0</v>
      </c>
      <c r="AM1825" s="1193">
        <f t="shared" si="390"/>
        <v>0</v>
      </c>
      <c r="AN1825" s="1194" t="str">
        <f>VLOOKUP($I1825,'Price List, Weapons &amp; Items'!B:L,COLUMN('Price List, Weapons &amp; Items'!$J$11)-1,0)</f>
        <v>Military media (incl. websites)</v>
      </c>
      <c r="AO1825" s="1194" t="str">
        <f>IF(I1825=".",".",VLOOKUP($I1825,'Price List, Weapons &amp; Items'!B:J,3,0))</f>
        <v>MANPADS</v>
      </c>
      <c r="AP1825" s="1195" t="str">
        <f t="shared" ca="1" si="384"/>
        <v/>
      </c>
      <c r="AQ1825" s="1194">
        <f>VLOOKUP($I1825,'Price List, Weapons &amp; Items'!B:L,COLUMN('Price List, Weapons &amp; Items'!$L$11)-1,0)</f>
        <v>2</v>
      </c>
      <c r="AR1825" s="1194">
        <f t="shared" si="391"/>
        <v>1</v>
      </c>
      <c r="AS1825" s="1194">
        <f t="shared" si="392"/>
        <v>1</v>
      </c>
      <c r="AT1825" s="1194">
        <f t="shared" si="393"/>
        <v>1</v>
      </c>
      <c r="AU1825" s="1194" t="str">
        <f t="shared" ref="AU1825:AU1856" si="395">IF(AND(A1825=A1824,C1825=C1824)=TRUE,IF(F1825=F1824,".","1"),".")</f>
        <v>.</v>
      </c>
      <c r="AV1825" s="1194" t="str">
        <f t="shared" si="385"/>
        <v>.</v>
      </c>
      <c r="AW1825" s="1194" t="str">
        <f t="shared" si="394"/>
        <v>.</v>
      </c>
      <c r="AX1825" s="1194">
        <f>IFERROR(VLOOKUP(B1825,'Share, Heavy Weapons to Ukraine'!B:Z,COLUMN('Share, Heavy Weapons to Ukraine'!C1835)-1,0),0)</f>
        <v>1</v>
      </c>
      <c r="AY1825" s="1194">
        <f>VLOOKUP('Bilateral Assistance, MAIN DATA'!B1825,'Country Summary (€)'!B:F,COLUMN('Country Summary (€)'!C1836)-1,FALSE)</f>
        <v>0</v>
      </c>
      <c r="AZ1825" s="1194" t="str">
        <f>IF(AND(AD1825=1,D1825="Military",H1825&lt;&gt;"Not given")=TRUE,IF(SUMIFS(P:P,A:A,A1825)&gt;0,ABS((SUMIFS(P:P,A:A,A1825)/VLOOKUP("USD",'Exchange Rates'!B:C,2,0)))/S1825,"."),".")</f>
        <v>.</v>
      </c>
      <c r="BA1825" s="1196" t="str">
        <f>IF(AND(AD1825=1,D1825="Military",H1825&lt;&gt;"Not given")=TRUE,IF(SUMIFS(P:P,A:A,A1825)&gt;0,IF((ABS((SUMIFS(P:P,A:A,A1825)/VLOOKUP("USD",'Exchange Rates'!B:C,2,0)))/S1825)&gt;1,(SUMIFS(P:P,A:A,A1825)-S1825)/S1825,(S1825-SUMIFS(P:P,A:A,A1825))/SUMIFS(P:P,A:A,A1825)),"."),".")</f>
        <v>.</v>
      </c>
      <c r="BB1825" s="1208"/>
      <c r="BC1825" s="1208"/>
      <c r="BD1825" s="1208"/>
      <c r="BE1825" s="1208"/>
      <c r="BF1825" s="1208"/>
      <c r="BG1825" s="1208"/>
      <c r="BH1825" s="1208"/>
      <c r="BI1825" s="1208"/>
      <c r="BJ1825" s="1208"/>
      <c r="BK1825" s="1208"/>
      <c r="BL1825" s="1208"/>
      <c r="BM1825" s="1208"/>
      <c r="BN1825" s="1208"/>
      <c r="BO1825" s="1208"/>
      <c r="BP1825" s="1208"/>
      <c r="BQ1825" s="1208"/>
      <c r="BR1825" s="1208"/>
      <c r="BS1825" s="1208"/>
    </row>
    <row r="1826" spans="1:71" ht="15.95" customHeight="1">
      <c r="A1826" s="1208" t="s">
        <v>4310</v>
      </c>
      <c r="B1826" s="1208" t="s">
        <v>3949</v>
      </c>
      <c r="C1826" s="1209">
        <v>45005</v>
      </c>
      <c r="D1826" s="1208" t="s">
        <v>389</v>
      </c>
      <c r="E1826" s="1208" t="s">
        <v>390</v>
      </c>
      <c r="F1826" s="1208" t="s">
        <v>4340</v>
      </c>
      <c r="G1826" s="1184" t="s">
        <v>456</v>
      </c>
      <c r="H1826" s="1210">
        <v>350000000</v>
      </c>
      <c r="I1826" s="1208" t="s">
        <v>648</v>
      </c>
      <c r="J1826" s="1186" t="str">
        <f>VLOOKUP($I1826,'Price List, Weapons &amp; Items'!B:C,2,0)</f>
        <v>Light armaments &amp; infantry</v>
      </c>
      <c r="K1826" s="1186" t="str">
        <f>IF(I1826=".",I1826,VLOOKUP($I1826,'Price List, Weapons &amp; Items'!B:D,3,0))</f>
        <v>Light Anti-armor Weapon (LAW)</v>
      </c>
      <c r="L1826" s="1187">
        <f>VLOOKUP(I1826,'Price List, Weapons &amp; Items'!B:E,4,0)</f>
        <v>0</v>
      </c>
      <c r="M1826" s="1188" t="s">
        <v>374</v>
      </c>
      <c r="N1826" s="1188" t="s">
        <v>374</v>
      </c>
      <c r="O1826" s="1188">
        <f>VLOOKUP($I1826,'Price List, Weapons &amp; Items'!B:G,6,0)</f>
        <v>2099</v>
      </c>
      <c r="P1826" s="1185" t="str">
        <f t="shared" si="386"/>
        <v>.</v>
      </c>
      <c r="Q1826" s="1185" t="str">
        <f t="shared" si="387"/>
        <v>.</v>
      </c>
      <c r="R1826" s="1185" t="str">
        <f t="shared" si="383"/>
        <v/>
      </c>
      <c r="S1826" s="1185" t="str">
        <f>IF(AND(AD1826=1,R1826&lt;&gt;".")=TRUE,R1826/VLOOKUP(G1826,'Exchange Rates'!B:C,2,0),IF(R1826=".",".",""))</f>
        <v/>
      </c>
      <c r="T1826" s="1185" t="str">
        <f>IF(AD1826=1,IF(AF1826="Value is not given at all",".",IF(AF1826="Value is given by the source",S1826,IF(AF1826="Value is calculated with prices",(IF(SUMIFS(Q:Q,A:A,A1826)&gt;0,SUMIFS(Q:Q,A:A,A1826),"."))/VLOOKUP("USD",'Exchange Rates'!B:C,2,0),"Error with coding"))),"")</f>
        <v/>
      </c>
      <c r="U1826" s="1191" t="s">
        <v>365</v>
      </c>
      <c r="V1826" s="983" t="s">
        <v>4341</v>
      </c>
      <c r="W1826" s="966" t="s">
        <v>4339</v>
      </c>
      <c r="X1826" s="1208" t="s">
        <v>364</v>
      </c>
      <c r="Y1826" s="1208" t="s">
        <v>364</v>
      </c>
      <c r="Z1826" s="1191">
        <v>0</v>
      </c>
      <c r="AA1826" s="1191">
        <v>1</v>
      </c>
      <c r="AB1826" s="1208" t="s">
        <v>364</v>
      </c>
      <c r="AC1826" s="1192" t="str">
        <f>""</f>
        <v/>
      </c>
      <c r="AD1826" s="1193">
        <v>0</v>
      </c>
      <c r="AE1826" s="1191" t="s">
        <v>368</v>
      </c>
      <c r="AF1826" s="1191" t="s">
        <v>369</v>
      </c>
      <c r="AG1826" s="1193">
        <v>1</v>
      </c>
      <c r="AH1826" s="1193">
        <v>15</v>
      </c>
      <c r="AI1826" s="1193">
        <v>0</v>
      </c>
      <c r="AJ1826" s="1193">
        <f>VLOOKUP($I1826,'Price List, Weapons &amp; Items'!B:F,5,0)</f>
        <v>0</v>
      </c>
      <c r="AK1826" s="1193">
        <f t="shared" si="388"/>
        <v>0</v>
      </c>
      <c r="AL1826" s="1193">
        <f t="shared" si="389"/>
        <v>0</v>
      </c>
      <c r="AM1826" s="1193">
        <f t="shared" si="390"/>
        <v>0</v>
      </c>
      <c r="AN1826" s="1194" t="str">
        <f>VLOOKUP($I1826,'Price List, Weapons &amp; Items'!B:L,COLUMN('Price List, Weapons &amp; Items'!$J$11)-1,0)</f>
        <v>Media reports (incl. social media)</v>
      </c>
      <c r="AO1826" s="1194" t="str">
        <f>IF(I1826=".",".",VLOOKUP($I1826,'Price List, Weapons &amp; Items'!B:J,3,0))</f>
        <v>Light Anti-armor Weapon (LAW)</v>
      </c>
      <c r="AP1826" s="1195" t="str">
        <f t="shared" ca="1" si="384"/>
        <v/>
      </c>
      <c r="AQ1826" s="1194">
        <f>VLOOKUP($I1826,'Price List, Weapons &amp; Items'!B:L,COLUMN('Price List, Weapons &amp; Items'!$L$11)-1,0)</f>
        <v>2</v>
      </c>
      <c r="AR1826" s="1194">
        <f t="shared" si="391"/>
        <v>1</v>
      </c>
      <c r="AS1826" s="1194">
        <f t="shared" si="392"/>
        <v>1</v>
      </c>
      <c r="AT1826" s="1194">
        <f t="shared" si="393"/>
        <v>1</v>
      </c>
      <c r="AU1826" s="1194" t="str">
        <f t="shared" si="395"/>
        <v>.</v>
      </c>
      <c r="AV1826" s="1194" t="str">
        <f t="shared" si="385"/>
        <v>.</v>
      </c>
      <c r="AW1826" s="1194" t="str">
        <f t="shared" si="394"/>
        <v>.</v>
      </c>
      <c r="AX1826" s="1194">
        <f>IFERROR(VLOOKUP(B1826,'Share, Heavy Weapons to Ukraine'!B:Z,COLUMN('Share, Heavy Weapons to Ukraine'!C1836)-1,0),0)</f>
        <v>1</v>
      </c>
      <c r="AY1826" s="1194">
        <f>VLOOKUP('Bilateral Assistance, MAIN DATA'!B1826,'Country Summary (€)'!B:F,COLUMN('Country Summary (€)'!C1837)-1,FALSE)</f>
        <v>0</v>
      </c>
      <c r="AZ1826" s="1194" t="str">
        <f>IF(AND(AD1826=1,D1826="Military",H1826&lt;&gt;"Not given")=TRUE,IF(SUMIFS(P:P,A:A,A1826)&gt;0,ABS((SUMIFS(P:P,A:A,A1826)/VLOOKUP("USD",'Exchange Rates'!B:C,2,0)))/S1826,"."),".")</f>
        <v>.</v>
      </c>
      <c r="BA1826" s="1196" t="str">
        <f>IF(AND(AD1826=1,D1826="Military",H1826&lt;&gt;"Not given")=TRUE,IF(SUMIFS(P:P,A:A,A1826)&gt;0,IF((ABS((SUMIFS(P:P,A:A,A1826)/VLOOKUP("USD",'Exchange Rates'!B:C,2,0)))/S1826)&gt;1,(SUMIFS(P:P,A:A,A1826)-S1826)/S1826,(S1826-SUMIFS(P:P,A:A,A1826))/SUMIFS(P:P,A:A,A1826)),"."),".")</f>
        <v>.</v>
      </c>
      <c r="BB1826" s="1208"/>
      <c r="BC1826" s="1208"/>
      <c r="BD1826" s="1208"/>
      <c r="BE1826" s="1208"/>
      <c r="BF1826" s="1208"/>
      <c r="BG1826" s="1208"/>
      <c r="BH1826" s="1208"/>
      <c r="BI1826" s="1208"/>
      <c r="BJ1826" s="1208"/>
      <c r="BK1826" s="1208"/>
      <c r="BL1826" s="1208"/>
      <c r="BM1826" s="1208"/>
      <c r="BN1826" s="1208"/>
      <c r="BO1826" s="1208"/>
      <c r="BP1826" s="1208"/>
      <c r="BQ1826" s="1208"/>
      <c r="BR1826" s="1208"/>
      <c r="BS1826" s="1208"/>
    </row>
    <row r="1827" spans="1:71" ht="15.95" customHeight="1">
      <c r="A1827" s="1208" t="s">
        <v>4310</v>
      </c>
      <c r="B1827" s="1208" t="s">
        <v>3949</v>
      </c>
      <c r="C1827" s="1209">
        <v>45005</v>
      </c>
      <c r="D1827" s="1208" t="s">
        <v>389</v>
      </c>
      <c r="E1827" s="1208" t="s">
        <v>390</v>
      </c>
      <c r="F1827" s="1208" t="s">
        <v>4340</v>
      </c>
      <c r="G1827" s="1184" t="s">
        <v>456</v>
      </c>
      <c r="H1827" s="1210">
        <v>350000000</v>
      </c>
      <c r="I1827" s="1208" t="s">
        <v>4172</v>
      </c>
      <c r="J1827" s="1186" t="str">
        <f>VLOOKUP($I1827,'Price List, Weapons &amp; Items'!B:C,2,0)</f>
        <v>Military equipment</v>
      </c>
      <c r="K1827" s="1186" t="str">
        <f>IF(I1827=".",I1827,VLOOKUP($I1827,'Price List, Weapons &amp; Items'!B:D,3,0))</f>
        <v>Military equipment</v>
      </c>
      <c r="L1827" s="1187">
        <f>VLOOKUP(I1827,'Price List, Weapons &amp; Items'!B:E,4,0)</f>
        <v>0</v>
      </c>
      <c r="M1827" s="1188" t="s">
        <v>374</v>
      </c>
      <c r="N1827" s="1188" t="s">
        <v>374</v>
      </c>
      <c r="O1827" s="1188">
        <f>VLOOKUP($I1827,'Price List, Weapons &amp; Items'!B:G,6,0)</f>
        <v>90</v>
      </c>
      <c r="P1827" s="1185" t="str">
        <f t="shared" si="386"/>
        <v>.</v>
      </c>
      <c r="Q1827" s="1185" t="str">
        <f t="shared" si="387"/>
        <v>.</v>
      </c>
      <c r="R1827" s="1185" t="str">
        <f t="shared" si="383"/>
        <v/>
      </c>
      <c r="S1827" s="1185" t="str">
        <f>IF(AND(AD1827=1,R1827&lt;&gt;".")=TRUE,R1827/VLOOKUP(G1827,'Exchange Rates'!B:C,2,0),IF(R1827=".",".",""))</f>
        <v/>
      </c>
      <c r="T1827" s="1185" t="str">
        <f>IF(AD1827=1,IF(AF1827="Value is not given at all",".",IF(AF1827="Value is given by the source",S1827,IF(AF1827="Value is calculated with prices",(IF(SUMIFS(Q:Q,A:A,A1827)&gt;0,SUMIFS(Q:Q,A:A,A1827),"."))/VLOOKUP("USD",'Exchange Rates'!B:C,2,0),"Error with coding"))),"")</f>
        <v/>
      </c>
      <c r="U1827" s="1191" t="s">
        <v>365</v>
      </c>
      <c r="V1827" s="983" t="s">
        <v>4341</v>
      </c>
      <c r="W1827" s="966" t="s">
        <v>4339</v>
      </c>
      <c r="X1827" s="1208" t="s">
        <v>364</v>
      </c>
      <c r="Y1827" s="1208" t="s">
        <v>364</v>
      </c>
      <c r="Z1827" s="1191">
        <v>0</v>
      </c>
      <c r="AA1827" s="1191">
        <v>1</v>
      </c>
      <c r="AB1827" s="1208" t="s">
        <v>364</v>
      </c>
      <c r="AC1827" s="1192" t="str">
        <f>""</f>
        <v/>
      </c>
      <c r="AD1827" s="1193">
        <v>0</v>
      </c>
      <c r="AE1827" s="1191" t="s">
        <v>368</v>
      </c>
      <c r="AF1827" s="1191" t="s">
        <v>369</v>
      </c>
      <c r="AG1827" s="1193">
        <v>1</v>
      </c>
      <c r="AH1827" s="1193">
        <v>15</v>
      </c>
      <c r="AI1827" s="1193">
        <v>0</v>
      </c>
      <c r="AJ1827" s="1193">
        <f>VLOOKUP($I1827,'Price List, Weapons &amp; Items'!B:F,5,0)</f>
        <v>0</v>
      </c>
      <c r="AK1827" s="1193">
        <f t="shared" si="388"/>
        <v>0</v>
      </c>
      <c r="AL1827" s="1193">
        <f t="shared" si="389"/>
        <v>0</v>
      </c>
      <c r="AM1827" s="1193">
        <f t="shared" si="390"/>
        <v>0</v>
      </c>
      <c r="AN1827" s="1194" t="str">
        <f>VLOOKUP($I1827,'Price List, Weapons &amp; Items'!B:L,COLUMN('Price List, Weapons &amp; Items'!$J$11)-1,0)</f>
        <v>Media reports (incl. social media)</v>
      </c>
      <c r="AO1827" s="1194" t="str">
        <f>IF(I1827=".",".",VLOOKUP($I1827,'Price List, Weapons &amp; Items'!B:J,3,0))</f>
        <v>Military equipment</v>
      </c>
      <c r="AP1827" s="1195" t="str">
        <f t="shared" ca="1" si="384"/>
        <v/>
      </c>
      <c r="AQ1827" s="1194" t="str">
        <f>VLOOKUP($I1827,'Price List, Weapons &amp; Items'!B:L,COLUMN('Price List, Weapons &amp; Items'!$L$11)-1,0)</f>
        <v>no price, 0 count</v>
      </c>
      <c r="AR1827" s="1194">
        <f t="shared" si="391"/>
        <v>1</v>
      </c>
      <c r="AS1827" s="1194">
        <f t="shared" si="392"/>
        <v>1</v>
      </c>
      <c r="AT1827" s="1194">
        <f t="shared" si="393"/>
        <v>1</v>
      </c>
      <c r="AU1827" s="1194" t="str">
        <f t="shared" si="395"/>
        <v>.</v>
      </c>
      <c r="AV1827" s="1194" t="str">
        <f t="shared" si="385"/>
        <v>.</v>
      </c>
      <c r="AW1827" s="1194" t="str">
        <f t="shared" si="394"/>
        <v>.</v>
      </c>
      <c r="AX1827" s="1194">
        <f>IFERROR(VLOOKUP(B1827,'Share, Heavy Weapons to Ukraine'!B:Z,COLUMN('Share, Heavy Weapons to Ukraine'!C1837)-1,0),0)</f>
        <v>1</v>
      </c>
      <c r="AY1827" s="1194">
        <f>VLOOKUP('Bilateral Assistance, MAIN DATA'!B1827,'Country Summary (€)'!B:F,COLUMN('Country Summary (€)'!C1838)-1,FALSE)</f>
        <v>0</v>
      </c>
      <c r="AZ1827" s="1194" t="str">
        <f>IF(AND(AD1827=1,D1827="Military",H1827&lt;&gt;"Not given")=TRUE,IF(SUMIFS(P:P,A:A,A1827)&gt;0,ABS((SUMIFS(P:P,A:A,A1827)/VLOOKUP("USD",'Exchange Rates'!B:C,2,0)))/S1827,"."),".")</f>
        <v>.</v>
      </c>
      <c r="BA1827" s="1196" t="str">
        <f>IF(AND(AD1827=1,D1827="Military",H1827&lt;&gt;"Not given")=TRUE,IF(SUMIFS(P:P,A:A,A1827)&gt;0,IF((ABS((SUMIFS(P:P,A:A,A1827)/VLOOKUP("USD",'Exchange Rates'!B:C,2,0)))/S1827)&gt;1,(SUMIFS(P:P,A:A,A1827)-S1827)/S1827,(S1827-SUMIFS(P:P,A:A,A1827))/SUMIFS(P:P,A:A,A1827)),"."),".")</f>
        <v>.</v>
      </c>
      <c r="BB1827" s="1208"/>
      <c r="BC1827" s="1208"/>
      <c r="BD1827" s="1208"/>
      <c r="BE1827" s="1208"/>
      <c r="BF1827" s="1208"/>
      <c r="BG1827" s="1208"/>
      <c r="BH1827" s="1208"/>
      <c r="BI1827" s="1208"/>
      <c r="BJ1827" s="1208"/>
      <c r="BK1827" s="1208"/>
      <c r="BL1827" s="1208"/>
      <c r="BM1827" s="1208"/>
      <c r="BN1827" s="1208"/>
      <c r="BO1827" s="1208"/>
      <c r="BP1827" s="1208"/>
      <c r="BQ1827" s="1208"/>
      <c r="BR1827" s="1208"/>
      <c r="BS1827" s="1208"/>
    </row>
    <row r="1828" spans="1:71" ht="15.95" customHeight="1">
      <c r="A1828" s="1208" t="s">
        <v>4310</v>
      </c>
      <c r="B1828" s="1208" t="s">
        <v>3949</v>
      </c>
      <c r="C1828" s="1209">
        <v>45005</v>
      </c>
      <c r="D1828" s="1208" t="s">
        <v>389</v>
      </c>
      <c r="E1828" s="1208" t="s">
        <v>390</v>
      </c>
      <c r="F1828" s="1208" t="s">
        <v>4340</v>
      </c>
      <c r="G1828" s="1184" t="s">
        <v>456</v>
      </c>
      <c r="H1828" s="1210">
        <v>350000000</v>
      </c>
      <c r="I1828" s="1208" t="s">
        <v>4170</v>
      </c>
      <c r="J1828" s="1186" t="str">
        <f>VLOOKUP($I1828,'Price List, Weapons &amp; Items'!B:C,2,0)</f>
        <v>Military equipment</v>
      </c>
      <c r="K1828" s="1186" t="str">
        <f>IF(I1828=".",I1828,VLOOKUP($I1828,'Price List, Weapons &amp; Items'!B:D,3,0))</f>
        <v>Military equipment</v>
      </c>
      <c r="L1828" s="1187">
        <f>VLOOKUP(I1828,'Price List, Weapons &amp; Items'!B:E,4,0)</f>
        <v>0</v>
      </c>
      <c r="M1828" s="1188" t="s">
        <v>374</v>
      </c>
      <c r="N1828" s="1188" t="s">
        <v>374</v>
      </c>
      <c r="O1828" s="1188" t="str">
        <f>VLOOKUP($I1828,'Price List, Weapons &amp; Items'!B:G,6,0)</f>
        <v>.</v>
      </c>
      <c r="P1828" s="1185" t="str">
        <f t="shared" si="386"/>
        <v>.</v>
      </c>
      <c r="Q1828" s="1185" t="str">
        <f t="shared" si="387"/>
        <v>.</v>
      </c>
      <c r="R1828" s="1185" t="str">
        <f t="shared" si="383"/>
        <v/>
      </c>
      <c r="S1828" s="1185" t="str">
        <f>IF(AND(AD1828=1,R1828&lt;&gt;".")=TRUE,R1828/VLOOKUP(G1828,'Exchange Rates'!B:C,2,0),IF(R1828=".",".",""))</f>
        <v/>
      </c>
      <c r="T1828" s="1185" t="str">
        <f>IF(AD1828=1,IF(AF1828="Value is not given at all",".",IF(AF1828="Value is given by the source",S1828,IF(AF1828="Value is calculated with prices",(IF(SUMIFS(Q:Q,A:A,A1828)&gt;0,SUMIFS(Q:Q,A:A,A1828),"."))/VLOOKUP("USD",'Exchange Rates'!B:C,2,0),"Error with coding"))),"")</f>
        <v/>
      </c>
      <c r="U1828" s="1191" t="s">
        <v>365</v>
      </c>
      <c r="V1828" s="983" t="s">
        <v>4341</v>
      </c>
      <c r="W1828" s="966" t="s">
        <v>4339</v>
      </c>
      <c r="X1828" s="1208" t="s">
        <v>364</v>
      </c>
      <c r="Y1828" s="1208" t="s">
        <v>364</v>
      </c>
      <c r="Z1828" s="1191">
        <v>0</v>
      </c>
      <c r="AA1828" s="1191">
        <v>1</v>
      </c>
      <c r="AB1828" s="1208" t="s">
        <v>364</v>
      </c>
      <c r="AC1828" s="1192" t="str">
        <f>""</f>
        <v/>
      </c>
      <c r="AD1828" s="1193">
        <v>0</v>
      </c>
      <c r="AE1828" s="1191" t="s">
        <v>368</v>
      </c>
      <c r="AF1828" s="1191" t="s">
        <v>369</v>
      </c>
      <c r="AG1828" s="1193">
        <v>1</v>
      </c>
      <c r="AH1828" s="1193">
        <v>15</v>
      </c>
      <c r="AI1828" s="1193">
        <v>0</v>
      </c>
      <c r="AJ1828" s="1193">
        <f>VLOOKUP($I1828,'Price List, Weapons &amp; Items'!B:F,5,0)</f>
        <v>0</v>
      </c>
      <c r="AK1828" s="1193">
        <f t="shared" si="388"/>
        <v>0</v>
      </c>
      <c r="AL1828" s="1193">
        <f t="shared" si="389"/>
        <v>0</v>
      </c>
      <c r="AM1828" s="1193">
        <f t="shared" si="390"/>
        <v>0</v>
      </c>
      <c r="AN1828" s="1194" t="str">
        <f>VLOOKUP($I1828,'Price List, Weapons &amp; Items'!B:L,COLUMN('Price List, Weapons &amp; Items'!$J$11)-1,0)</f>
        <v>.</v>
      </c>
      <c r="AO1828" s="1194" t="str">
        <f>IF(I1828=".",".",VLOOKUP($I1828,'Price List, Weapons &amp; Items'!B:J,3,0))</f>
        <v>Military equipment</v>
      </c>
      <c r="AP1828" s="1195" t="str">
        <f t="shared" ca="1" si="384"/>
        <v/>
      </c>
      <c r="AQ1828" s="1194" t="str">
        <f>VLOOKUP($I1828,'Price List, Weapons &amp; Items'!B:L,COLUMN('Price List, Weapons &amp; Items'!$L$11)-1,0)</f>
        <v>no price, 0 count</v>
      </c>
      <c r="AR1828" s="1194">
        <f t="shared" si="391"/>
        <v>1</v>
      </c>
      <c r="AS1828" s="1194">
        <f t="shared" si="392"/>
        <v>1</v>
      </c>
      <c r="AT1828" s="1194">
        <f t="shared" si="393"/>
        <v>1</v>
      </c>
      <c r="AU1828" s="1194" t="str">
        <f t="shared" si="395"/>
        <v>.</v>
      </c>
      <c r="AV1828" s="1194" t="str">
        <f t="shared" si="385"/>
        <v>.</v>
      </c>
      <c r="AW1828" s="1194" t="str">
        <f t="shared" si="394"/>
        <v>.</v>
      </c>
      <c r="AX1828" s="1194">
        <f>IFERROR(VLOOKUP(B1828,'Share, Heavy Weapons to Ukraine'!B:Z,COLUMN('Share, Heavy Weapons to Ukraine'!C1838)-1,0),0)</f>
        <v>1</v>
      </c>
      <c r="AY1828" s="1194">
        <f>VLOOKUP('Bilateral Assistance, MAIN DATA'!B1828,'Country Summary (€)'!B:F,COLUMN('Country Summary (€)'!C1839)-1,FALSE)</f>
        <v>0</v>
      </c>
      <c r="AZ1828" s="1194" t="str">
        <f>IF(AND(AD1828=1,D1828="Military",H1828&lt;&gt;"Not given")=TRUE,IF(SUMIFS(P:P,A:A,A1828)&gt;0,ABS((SUMIFS(P:P,A:A,A1828)/VLOOKUP("USD",'Exchange Rates'!B:C,2,0)))/S1828,"."),".")</f>
        <v>.</v>
      </c>
      <c r="BA1828" s="1196" t="str">
        <f>IF(AND(AD1828=1,D1828="Military",H1828&lt;&gt;"Not given")=TRUE,IF(SUMIFS(P:P,A:A,A1828)&gt;0,IF((ABS((SUMIFS(P:P,A:A,A1828)/VLOOKUP("USD",'Exchange Rates'!B:C,2,0)))/S1828)&gt;1,(SUMIFS(P:P,A:A,A1828)-S1828)/S1828,(S1828-SUMIFS(P:P,A:A,A1828))/SUMIFS(P:P,A:A,A1828)),"."),".")</f>
        <v>.</v>
      </c>
      <c r="BB1828" s="1208"/>
      <c r="BC1828" s="1208"/>
      <c r="BD1828" s="1208"/>
      <c r="BE1828" s="1208"/>
      <c r="BF1828" s="1208"/>
      <c r="BG1828" s="1208"/>
      <c r="BH1828" s="1208"/>
      <c r="BI1828" s="1208"/>
      <c r="BJ1828" s="1208"/>
      <c r="BK1828" s="1208"/>
      <c r="BL1828" s="1208"/>
      <c r="BM1828" s="1208"/>
      <c r="BN1828" s="1208"/>
      <c r="BO1828" s="1208"/>
      <c r="BP1828" s="1208"/>
      <c r="BQ1828" s="1208"/>
      <c r="BR1828" s="1208"/>
      <c r="BS1828" s="1208"/>
    </row>
    <row r="1829" spans="1:71" ht="15.95" customHeight="1">
      <c r="A1829" s="1208" t="s">
        <v>4310</v>
      </c>
      <c r="B1829" s="1208" t="s">
        <v>3949</v>
      </c>
      <c r="C1829" s="1209">
        <v>45005</v>
      </c>
      <c r="D1829" s="1208" t="s">
        <v>389</v>
      </c>
      <c r="E1829" s="1208" t="s">
        <v>390</v>
      </c>
      <c r="F1829" s="1208" t="s">
        <v>4340</v>
      </c>
      <c r="G1829" s="1184" t="s">
        <v>456</v>
      </c>
      <c r="H1829" s="1210">
        <v>350000000</v>
      </c>
      <c r="I1829" s="1208" t="s">
        <v>1398</v>
      </c>
      <c r="J1829" s="1186" t="str">
        <f>VLOOKUP($I1829,'Price List, Weapons &amp; Items'!B:C,2,0)</f>
        <v>Heavy weapon</v>
      </c>
      <c r="K1829" s="1186" t="str">
        <f>IF(I1829=".",I1829,VLOOKUP($I1829,'Price List, Weapons &amp; Items'!B:D,3,0))</f>
        <v>Patrol and coastal combatants</v>
      </c>
      <c r="L1829" s="1187">
        <f>VLOOKUP(I1829,'Price List, Weapons &amp; Items'!B:E,4,0)</f>
        <v>0</v>
      </c>
      <c r="M1829" s="1188" t="s">
        <v>374</v>
      </c>
      <c r="N1829" s="1188" t="s">
        <v>374</v>
      </c>
      <c r="O1829" s="1188">
        <f>VLOOKUP($I1829,'Price List, Weapons &amp; Items'!B:G,6,0)</f>
        <v>39916727.899999999</v>
      </c>
      <c r="P1829" s="1185" t="str">
        <f t="shared" si="386"/>
        <v>.</v>
      </c>
      <c r="Q1829" s="1185" t="str">
        <f t="shared" si="387"/>
        <v>.</v>
      </c>
      <c r="R1829" s="1185" t="str">
        <f t="shared" si="383"/>
        <v/>
      </c>
      <c r="S1829" s="1185" t="str">
        <f>IF(AND(AD1829=1,R1829&lt;&gt;".")=TRUE,R1829/VLOOKUP(G1829,'Exchange Rates'!B:C,2,0),IF(R1829=".",".",""))</f>
        <v/>
      </c>
      <c r="T1829" s="1185" t="str">
        <f>IF(AD1829=1,IF(AF1829="Value is not given at all",".",IF(AF1829="Value is given by the source",S1829,IF(AF1829="Value is calculated with prices",(IF(SUMIFS(Q:Q,A:A,A1829)&gt;0,SUMIFS(Q:Q,A:A,A1829),"."))/VLOOKUP("USD",'Exchange Rates'!B:C,2,0),"Error with coding"))),"")</f>
        <v/>
      </c>
      <c r="U1829" s="1191" t="s">
        <v>365</v>
      </c>
      <c r="V1829" s="983" t="s">
        <v>4341</v>
      </c>
      <c r="W1829" s="966" t="s">
        <v>4339</v>
      </c>
      <c r="X1829" s="1208" t="s">
        <v>364</v>
      </c>
      <c r="Y1829" s="1208" t="s">
        <v>364</v>
      </c>
      <c r="Z1829" s="1191">
        <v>0</v>
      </c>
      <c r="AA1829" s="1191">
        <v>1</v>
      </c>
      <c r="AB1829" s="1208" t="s">
        <v>364</v>
      </c>
      <c r="AC1829" s="1192" t="str">
        <f>""</f>
        <v/>
      </c>
      <c r="AD1829" s="1193">
        <v>0</v>
      </c>
      <c r="AE1829" s="1191" t="s">
        <v>368</v>
      </c>
      <c r="AF1829" s="1191" t="s">
        <v>369</v>
      </c>
      <c r="AG1829" s="1193">
        <v>1</v>
      </c>
      <c r="AH1829" s="1193">
        <v>15</v>
      </c>
      <c r="AI1829" s="1193">
        <v>0</v>
      </c>
      <c r="AJ1829" s="1193">
        <f>VLOOKUP($I1829,'Price List, Weapons &amp; Items'!B:F,5,0)</f>
        <v>0</v>
      </c>
      <c r="AK1829" s="1193">
        <f t="shared" si="388"/>
        <v>0</v>
      </c>
      <c r="AL1829" s="1193">
        <f t="shared" si="389"/>
        <v>0</v>
      </c>
      <c r="AM1829" s="1193">
        <f t="shared" si="390"/>
        <v>0</v>
      </c>
      <c r="AN1829" s="1194" t="str">
        <f>VLOOKUP($I1829,'Price List, Weapons &amp; Items'!B:L,COLUMN('Price List, Weapons &amp; Items'!$J$11)-1,0)</f>
        <v>Military media (incl. websites)</v>
      </c>
      <c r="AO1829" s="1194" t="str">
        <f>IF(I1829=".",".",VLOOKUP($I1829,'Price List, Weapons &amp; Items'!B:J,3,0))</f>
        <v>Patrol and coastal combatants</v>
      </c>
      <c r="AP1829" s="1195" t="str">
        <f t="shared" ca="1" si="384"/>
        <v/>
      </c>
      <c r="AQ1829" s="1194">
        <f>VLOOKUP($I1829,'Price List, Weapons &amp; Items'!B:L,COLUMN('Price List, Weapons &amp; Items'!$L$11)-1,0)</f>
        <v>2</v>
      </c>
      <c r="AR1829" s="1194">
        <f t="shared" si="391"/>
        <v>1</v>
      </c>
      <c r="AS1829" s="1194">
        <f t="shared" si="392"/>
        <v>1</v>
      </c>
      <c r="AT1829" s="1194">
        <f t="shared" si="393"/>
        <v>1</v>
      </c>
      <c r="AU1829" s="1194" t="str">
        <f t="shared" si="395"/>
        <v>.</v>
      </c>
      <c r="AV1829" s="1194" t="str">
        <f t="shared" si="385"/>
        <v>.</v>
      </c>
      <c r="AW1829" s="1194" t="str">
        <f t="shared" si="394"/>
        <v>.</v>
      </c>
      <c r="AX1829" s="1194">
        <f>IFERROR(VLOOKUP(B1829,'Share, Heavy Weapons to Ukraine'!B:Z,COLUMN('Share, Heavy Weapons to Ukraine'!C1839)-1,0),0)</f>
        <v>1</v>
      </c>
      <c r="AY1829" s="1194">
        <f>VLOOKUP('Bilateral Assistance, MAIN DATA'!B1829,'Country Summary (€)'!B:F,COLUMN('Country Summary (€)'!C1840)-1,FALSE)</f>
        <v>0</v>
      </c>
      <c r="AZ1829" s="1194" t="str">
        <f>IF(AND(AD1829=1,D1829="Military",H1829&lt;&gt;"Not given")=TRUE,IF(SUMIFS(P:P,A:A,A1829)&gt;0,ABS((SUMIFS(P:P,A:A,A1829)/VLOOKUP("USD",'Exchange Rates'!B:C,2,0)))/S1829,"."),".")</f>
        <v>.</v>
      </c>
      <c r="BA1829" s="1196" t="str">
        <f>IF(AND(AD1829=1,D1829="Military",H1829&lt;&gt;"Not given")=TRUE,IF(SUMIFS(P:P,A:A,A1829)&gt;0,IF((ABS((SUMIFS(P:P,A:A,A1829)/VLOOKUP("USD",'Exchange Rates'!B:C,2,0)))/S1829)&gt;1,(SUMIFS(P:P,A:A,A1829)-S1829)/S1829,(S1829-SUMIFS(P:P,A:A,A1829))/SUMIFS(P:P,A:A,A1829)),"."),".")</f>
        <v>.</v>
      </c>
      <c r="BB1829" s="1208"/>
      <c r="BC1829" s="1208"/>
      <c r="BD1829" s="1208"/>
      <c r="BE1829" s="1208"/>
      <c r="BF1829" s="1208"/>
      <c r="BG1829" s="1208"/>
      <c r="BH1829" s="1208"/>
      <c r="BI1829" s="1208"/>
      <c r="BJ1829" s="1208"/>
      <c r="BK1829" s="1208"/>
      <c r="BL1829" s="1208"/>
      <c r="BM1829" s="1208"/>
      <c r="BN1829" s="1208"/>
      <c r="BO1829" s="1208"/>
      <c r="BP1829" s="1208"/>
      <c r="BQ1829" s="1208"/>
      <c r="BR1829" s="1208"/>
      <c r="BS1829" s="1208"/>
    </row>
    <row r="1830" spans="1:71" ht="15.95" customHeight="1">
      <c r="A1830" s="1208" t="s">
        <v>4310</v>
      </c>
      <c r="B1830" s="1208" t="s">
        <v>3949</v>
      </c>
      <c r="C1830" s="1209">
        <v>45005</v>
      </c>
      <c r="D1830" s="1208" t="s">
        <v>389</v>
      </c>
      <c r="E1830" s="1208" t="s">
        <v>390</v>
      </c>
      <c r="F1830" s="1208" t="s">
        <v>4340</v>
      </c>
      <c r="G1830" s="1184" t="s">
        <v>456</v>
      </c>
      <c r="H1830" s="1210">
        <v>350000000</v>
      </c>
      <c r="I1830" s="1208" t="s">
        <v>4217</v>
      </c>
      <c r="J1830" s="1186" t="str">
        <f>VLOOKUP($I1830,'Price List, Weapons &amp; Items'!B:C,2,0)</f>
        <v>Military equipment</v>
      </c>
      <c r="K1830" s="1186" t="str">
        <f>IF(I1830=".",I1830,VLOOKUP($I1830,'Price List, Weapons &amp; Items'!B:D,3,0))</f>
        <v>spare parts</v>
      </c>
      <c r="L1830" s="1187">
        <f>VLOOKUP(I1830,'Price List, Weapons &amp; Items'!B:E,4,0)</f>
        <v>0</v>
      </c>
      <c r="M1830" s="1188" t="s">
        <v>374</v>
      </c>
      <c r="N1830" s="1188" t="s">
        <v>374</v>
      </c>
      <c r="O1830" s="1188" t="str">
        <f>VLOOKUP($I1830,'Price List, Weapons &amp; Items'!B:G,6,0)</f>
        <v>.</v>
      </c>
      <c r="P1830" s="1185" t="str">
        <f t="shared" si="386"/>
        <v>.</v>
      </c>
      <c r="Q1830" s="1185" t="str">
        <f t="shared" si="387"/>
        <v>.</v>
      </c>
      <c r="R1830" s="1185" t="str">
        <f t="shared" si="383"/>
        <v/>
      </c>
      <c r="S1830" s="1185" t="str">
        <f>IF(AND(AD1830=1,R1830&lt;&gt;".")=TRUE,R1830/VLOOKUP(G1830,'Exchange Rates'!B:C,2,0),IF(R1830=".",".",""))</f>
        <v/>
      </c>
      <c r="T1830" s="1185" t="str">
        <f>IF(AD1830=1,IF(AF1830="Value is not given at all",".",IF(AF1830="Value is given by the source",S1830,IF(AF1830="Value is calculated with prices",(IF(SUMIFS(Q:Q,A:A,A1830)&gt;0,SUMIFS(Q:Q,A:A,A1830),"."))/VLOOKUP("USD",'Exchange Rates'!B:C,2,0),"Error with coding"))),"")</f>
        <v/>
      </c>
      <c r="U1830" s="1191" t="s">
        <v>365</v>
      </c>
      <c r="V1830" s="983" t="s">
        <v>4341</v>
      </c>
      <c r="W1830" s="966" t="s">
        <v>4339</v>
      </c>
      <c r="X1830" s="1208" t="s">
        <v>364</v>
      </c>
      <c r="Y1830" s="1208" t="s">
        <v>364</v>
      </c>
      <c r="Z1830" s="1191">
        <v>0</v>
      </c>
      <c r="AA1830" s="1191">
        <v>1</v>
      </c>
      <c r="AB1830" s="1208" t="s">
        <v>364</v>
      </c>
      <c r="AC1830" s="1192" t="str">
        <f>""</f>
        <v/>
      </c>
      <c r="AD1830" s="1193">
        <v>0</v>
      </c>
      <c r="AE1830" s="1191" t="s">
        <v>368</v>
      </c>
      <c r="AF1830" s="1191" t="s">
        <v>369</v>
      </c>
      <c r="AG1830" s="1193">
        <v>1</v>
      </c>
      <c r="AH1830" s="1193">
        <v>15</v>
      </c>
      <c r="AI1830" s="1193">
        <v>0</v>
      </c>
      <c r="AJ1830" s="1193">
        <f>VLOOKUP($I1830,'Price List, Weapons &amp; Items'!B:F,5,0)</f>
        <v>0</v>
      </c>
      <c r="AK1830" s="1193">
        <f t="shared" si="388"/>
        <v>0</v>
      </c>
      <c r="AL1830" s="1193">
        <f t="shared" si="389"/>
        <v>0</v>
      </c>
      <c r="AM1830" s="1193">
        <f t="shared" si="390"/>
        <v>0</v>
      </c>
      <c r="AN1830" s="1194" t="str">
        <f>VLOOKUP($I1830,'Price List, Weapons &amp; Items'!B:L,COLUMN('Price List, Weapons &amp; Items'!$J$11)-1,0)</f>
        <v>.</v>
      </c>
      <c r="AO1830" s="1194" t="str">
        <f>IF(I1830=".",".",VLOOKUP($I1830,'Price List, Weapons &amp; Items'!B:J,3,0))</f>
        <v>spare parts</v>
      </c>
      <c r="AP1830" s="1195" t="str">
        <f t="shared" ca="1" si="384"/>
        <v/>
      </c>
      <c r="AQ1830" s="1194" t="str">
        <f>VLOOKUP($I1830,'Price List, Weapons &amp; Items'!B:L,COLUMN('Price List, Weapons &amp; Items'!$L$11)-1,0)</f>
        <v>no price, 0 count</v>
      </c>
      <c r="AR1830" s="1194">
        <f t="shared" si="391"/>
        <v>1</v>
      </c>
      <c r="AS1830" s="1194">
        <f t="shared" si="392"/>
        <v>1</v>
      </c>
      <c r="AT1830" s="1194">
        <f t="shared" si="393"/>
        <v>1</v>
      </c>
      <c r="AU1830" s="1194" t="str">
        <f t="shared" si="395"/>
        <v>.</v>
      </c>
      <c r="AV1830" s="1194" t="str">
        <f t="shared" si="385"/>
        <v>.</v>
      </c>
      <c r="AW1830" s="1194" t="str">
        <f t="shared" si="394"/>
        <v>.</v>
      </c>
      <c r="AX1830" s="1194">
        <f>IFERROR(VLOOKUP(B1830,'Share, Heavy Weapons to Ukraine'!B:Z,COLUMN('Share, Heavy Weapons to Ukraine'!C1840)-1,0),0)</f>
        <v>1</v>
      </c>
      <c r="AY1830" s="1194">
        <f>VLOOKUP('Bilateral Assistance, MAIN DATA'!B1830,'Country Summary (€)'!B:F,COLUMN('Country Summary (€)'!C1841)-1,FALSE)</f>
        <v>0</v>
      </c>
      <c r="AZ1830" s="1194" t="str">
        <f>IF(AND(AD1830=1,D1830="Military",H1830&lt;&gt;"Not given")=TRUE,IF(SUMIFS(P:P,A:A,A1830)&gt;0,ABS((SUMIFS(P:P,A:A,A1830)/VLOOKUP("USD",'Exchange Rates'!B:C,2,0)))/S1830,"."),".")</f>
        <v>.</v>
      </c>
      <c r="BA1830" s="1196" t="str">
        <f>IF(AND(AD1830=1,D1830="Military",H1830&lt;&gt;"Not given")=TRUE,IF(SUMIFS(P:P,A:A,A1830)&gt;0,IF((ABS((SUMIFS(P:P,A:A,A1830)/VLOOKUP("USD",'Exchange Rates'!B:C,2,0)))/S1830)&gt;1,(SUMIFS(P:P,A:A,A1830)-S1830)/S1830,(S1830-SUMIFS(P:P,A:A,A1830))/SUMIFS(P:P,A:A,A1830)),"."),".")</f>
        <v>.</v>
      </c>
      <c r="BB1830" s="1208"/>
      <c r="BC1830" s="1208"/>
      <c r="BD1830" s="1208"/>
      <c r="BE1830" s="1208"/>
      <c r="BF1830" s="1208"/>
      <c r="BG1830" s="1208"/>
      <c r="BH1830" s="1208"/>
      <c r="BI1830" s="1208"/>
      <c r="BJ1830" s="1208"/>
      <c r="BK1830" s="1208"/>
      <c r="BL1830" s="1208"/>
      <c r="BM1830" s="1208"/>
      <c r="BN1830" s="1208"/>
      <c r="BO1830" s="1208"/>
      <c r="BP1830" s="1208"/>
      <c r="BQ1830" s="1208"/>
      <c r="BR1830" s="1208"/>
      <c r="BS1830" s="1208"/>
    </row>
    <row r="1831" spans="1:71" ht="15.95" customHeight="1">
      <c r="A1831" s="1208" t="s">
        <v>4310</v>
      </c>
      <c r="B1831" s="1208" t="s">
        <v>3949</v>
      </c>
      <c r="C1831" s="1209">
        <v>45005</v>
      </c>
      <c r="D1831" s="1208" t="s">
        <v>389</v>
      </c>
      <c r="E1831" s="1208" t="s">
        <v>390</v>
      </c>
      <c r="F1831" s="1208" t="s">
        <v>4340</v>
      </c>
      <c r="G1831" s="1184" t="s">
        <v>456</v>
      </c>
      <c r="H1831" s="1210">
        <v>350000000</v>
      </c>
      <c r="I1831" s="1208" t="s">
        <v>4052</v>
      </c>
      <c r="J1831" s="1186" t="str">
        <f>VLOOKUP($I1831,'Price List, Weapons &amp; Items'!B:C,2,0)</f>
        <v>Military equipment</v>
      </c>
      <c r="K1831" s="1186" t="str">
        <f>IF(I1831=".",I1831,VLOOKUP($I1831,'Price List, Weapons &amp; Items'!B:D,3,0))</f>
        <v>Military equipment</v>
      </c>
      <c r="L1831" s="1187">
        <f>VLOOKUP(I1831,'Price List, Weapons &amp; Items'!B:E,4,0)</f>
        <v>0</v>
      </c>
      <c r="M1831" s="1188" t="s">
        <v>374</v>
      </c>
      <c r="N1831" s="1188" t="s">
        <v>374</v>
      </c>
      <c r="O1831" s="1188" t="str">
        <f>VLOOKUP($I1831,'Price List, Weapons &amp; Items'!B:G,6,0)</f>
        <v>.</v>
      </c>
      <c r="P1831" s="1185" t="str">
        <f t="shared" si="386"/>
        <v>.</v>
      </c>
      <c r="Q1831" s="1185" t="str">
        <f t="shared" si="387"/>
        <v>.</v>
      </c>
      <c r="R1831" s="1185" t="str">
        <f t="shared" si="383"/>
        <v/>
      </c>
      <c r="S1831" s="1185" t="str">
        <f>IF(AND(AD1831=1,R1831&lt;&gt;".")=TRUE,R1831/VLOOKUP(G1831,'Exchange Rates'!B:C,2,0),IF(R1831=".",".",""))</f>
        <v/>
      </c>
      <c r="T1831" s="1185" t="str">
        <f>IF(AD1831=1,IF(AF1831="Value is not given at all",".",IF(AF1831="Value is given by the source",S1831,IF(AF1831="Value is calculated with prices",(IF(SUMIFS(Q:Q,A:A,A1831)&gt;0,SUMIFS(Q:Q,A:A,A1831),"."))/VLOOKUP("USD",'Exchange Rates'!B:C,2,0),"Error with coding"))),"")</f>
        <v/>
      </c>
      <c r="U1831" s="1191" t="s">
        <v>365</v>
      </c>
      <c r="V1831" s="983" t="s">
        <v>4341</v>
      </c>
      <c r="W1831" s="966" t="s">
        <v>4339</v>
      </c>
      <c r="X1831" s="1208" t="s">
        <v>364</v>
      </c>
      <c r="Y1831" s="1208" t="s">
        <v>364</v>
      </c>
      <c r="Z1831" s="1191">
        <v>0</v>
      </c>
      <c r="AA1831" s="1191">
        <v>1</v>
      </c>
      <c r="AB1831" s="1208" t="s">
        <v>364</v>
      </c>
      <c r="AC1831" s="1192" t="str">
        <f>""</f>
        <v/>
      </c>
      <c r="AD1831" s="1193">
        <v>0</v>
      </c>
      <c r="AE1831" s="1191" t="s">
        <v>368</v>
      </c>
      <c r="AF1831" s="1191" t="s">
        <v>369</v>
      </c>
      <c r="AG1831" s="1193">
        <v>1</v>
      </c>
      <c r="AH1831" s="1193">
        <v>15</v>
      </c>
      <c r="AI1831" s="1193">
        <v>0</v>
      </c>
      <c r="AJ1831" s="1193">
        <f>VLOOKUP($I1831,'Price List, Weapons &amp; Items'!B:F,5,0)</f>
        <v>0</v>
      </c>
      <c r="AK1831" s="1193">
        <f t="shared" si="388"/>
        <v>0</v>
      </c>
      <c r="AL1831" s="1193">
        <f t="shared" si="389"/>
        <v>0</v>
      </c>
      <c r="AM1831" s="1193">
        <f t="shared" si="390"/>
        <v>0</v>
      </c>
      <c r="AN1831" s="1194" t="str">
        <f>VLOOKUP($I1831,'Price List, Weapons &amp; Items'!B:L,COLUMN('Price List, Weapons &amp; Items'!$J$11)-1,0)</f>
        <v>.</v>
      </c>
      <c r="AO1831" s="1194" t="str">
        <f>IF(I1831=".",".",VLOOKUP($I1831,'Price List, Weapons &amp; Items'!B:J,3,0))</f>
        <v>Military equipment</v>
      </c>
      <c r="AP1831" s="1195" t="str">
        <f t="shared" ca="1" si="384"/>
        <v/>
      </c>
      <c r="AQ1831" s="1194" t="str">
        <f>VLOOKUP($I1831,'Price List, Weapons &amp; Items'!B:L,COLUMN('Price List, Weapons &amp; Items'!$L$11)-1,0)</f>
        <v>no price, 0 count</v>
      </c>
      <c r="AR1831" s="1194">
        <f t="shared" si="391"/>
        <v>1</v>
      </c>
      <c r="AS1831" s="1194">
        <f t="shared" si="392"/>
        <v>1</v>
      </c>
      <c r="AT1831" s="1194">
        <f t="shared" si="393"/>
        <v>1</v>
      </c>
      <c r="AU1831" s="1194" t="str">
        <f t="shared" si="395"/>
        <v>.</v>
      </c>
      <c r="AV1831" s="1194" t="str">
        <f t="shared" si="385"/>
        <v>.</v>
      </c>
      <c r="AW1831" s="1194" t="str">
        <f t="shared" si="394"/>
        <v>.</v>
      </c>
      <c r="AX1831" s="1194">
        <f>IFERROR(VLOOKUP(B1831,'Share, Heavy Weapons to Ukraine'!B:Z,COLUMN('Share, Heavy Weapons to Ukraine'!C1841)-1,0),0)</f>
        <v>1</v>
      </c>
      <c r="AY1831" s="1194">
        <f>VLOOKUP('Bilateral Assistance, MAIN DATA'!B1831,'Country Summary (€)'!B:F,COLUMN('Country Summary (€)'!C1842)-1,FALSE)</f>
        <v>0</v>
      </c>
      <c r="AZ1831" s="1194" t="str">
        <f>IF(AND(AD1831=1,D1831="Military",H1831&lt;&gt;"Not given")=TRUE,IF(SUMIFS(P:P,A:A,A1831)&gt;0,ABS((SUMIFS(P:P,A:A,A1831)/VLOOKUP("USD",'Exchange Rates'!B:C,2,0)))/S1831,"."),".")</f>
        <v>.</v>
      </c>
      <c r="BA1831" s="1196" t="str">
        <f>IF(AND(AD1831=1,D1831="Military",H1831&lt;&gt;"Not given")=TRUE,IF(SUMIFS(P:P,A:A,A1831)&gt;0,IF((ABS((SUMIFS(P:P,A:A,A1831)/VLOOKUP("USD",'Exchange Rates'!B:C,2,0)))/S1831)&gt;1,(SUMIFS(P:P,A:A,A1831)-S1831)/S1831,(S1831-SUMIFS(P:P,A:A,A1831))/SUMIFS(P:P,A:A,A1831)),"."),".")</f>
        <v>.</v>
      </c>
      <c r="BB1831" s="1208"/>
      <c r="BC1831" s="1208"/>
      <c r="BD1831" s="1208"/>
      <c r="BE1831" s="1208"/>
      <c r="BF1831" s="1208"/>
      <c r="BG1831" s="1208"/>
      <c r="BH1831" s="1208"/>
      <c r="BI1831" s="1208"/>
      <c r="BJ1831" s="1208"/>
      <c r="BK1831" s="1208"/>
      <c r="BL1831" s="1208"/>
      <c r="BM1831" s="1208"/>
      <c r="BN1831" s="1208"/>
      <c r="BO1831" s="1208"/>
      <c r="BP1831" s="1208"/>
      <c r="BQ1831" s="1208"/>
      <c r="BR1831" s="1208"/>
      <c r="BS1831" s="1208"/>
    </row>
    <row r="1832" spans="1:71" ht="15.95" customHeight="1">
      <c r="A1832" s="1208" t="s">
        <v>4310</v>
      </c>
      <c r="B1832" s="1208" t="s">
        <v>3949</v>
      </c>
      <c r="C1832" s="1209">
        <v>45005</v>
      </c>
      <c r="D1832" s="1208" t="s">
        <v>389</v>
      </c>
      <c r="E1832" s="1208" t="s">
        <v>390</v>
      </c>
      <c r="F1832" s="1208" t="s">
        <v>4340</v>
      </c>
      <c r="G1832" s="1184" t="s">
        <v>456</v>
      </c>
      <c r="H1832" s="1210">
        <v>350000000</v>
      </c>
      <c r="I1832" s="1208" t="s">
        <v>4342</v>
      </c>
      <c r="J1832" s="1186" t="str">
        <f>VLOOKUP($I1832,'Price List, Weapons &amp; Items'!B:C,2,0)</f>
        <v>Military equipment</v>
      </c>
      <c r="K1832" s="1186" t="str">
        <f>IF(I1832=".",I1832,VLOOKUP($I1832,'Price List, Weapons &amp; Items'!B:D,3,0))</f>
        <v>Armored Utility Vehicle (AUV)</v>
      </c>
      <c r="L1832" s="1187">
        <f>VLOOKUP(I1832,'Price List, Weapons &amp; Items'!B:E,4,0)</f>
        <v>0</v>
      </c>
      <c r="M1832" s="1188" t="s">
        <v>374</v>
      </c>
      <c r="N1832" s="1188" t="s">
        <v>374</v>
      </c>
      <c r="O1832" s="1188">
        <f>VLOOKUP($I1832,'Price List, Weapons &amp; Items'!B:G,6,0)</f>
        <v>135000</v>
      </c>
      <c r="P1832" s="1185" t="str">
        <f t="shared" si="386"/>
        <v>.</v>
      </c>
      <c r="Q1832" s="1185" t="str">
        <f t="shared" si="387"/>
        <v>.</v>
      </c>
      <c r="R1832" s="1185" t="str">
        <f t="shared" si="383"/>
        <v/>
      </c>
      <c r="S1832" s="1185" t="str">
        <f>IF(AND(AD1832=1,R1832&lt;&gt;".")=TRUE,R1832/VLOOKUP(G1832,'Exchange Rates'!B:C,2,0),IF(R1832=".",".",""))</f>
        <v/>
      </c>
      <c r="T1832" s="1185" t="str">
        <f>IF(AD1832=1,IF(AF1832="Value is not given at all",".",IF(AF1832="Value is given by the source",S1832,IF(AF1832="Value is calculated with prices",(IF(SUMIFS(Q:Q,A:A,A1832)&gt;0,SUMIFS(Q:Q,A:A,A1832),"."))/VLOOKUP("USD",'Exchange Rates'!B:C,2,0),"Error with coding"))),"")</f>
        <v/>
      </c>
      <c r="U1832" s="1191" t="s">
        <v>365</v>
      </c>
      <c r="V1832" s="983" t="s">
        <v>4341</v>
      </c>
      <c r="W1832" s="966" t="s">
        <v>4339</v>
      </c>
      <c r="X1832" s="1208" t="s">
        <v>364</v>
      </c>
      <c r="Y1832" s="1208" t="s">
        <v>364</v>
      </c>
      <c r="Z1832" s="1191">
        <v>0</v>
      </c>
      <c r="AA1832" s="1191">
        <v>1</v>
      </c>
      <c r="AB1832" s="1208" t="s">
        <v>364</v>
      </c>
      <c r="AC1832" s="1192" t="str">
        <f>""</f>
        <v/>
      </c>
      <c r="AD1832" s="1193">
        <v>0</v>
      </c>
      <c r="AE1832" s="1191" t="s">
        <v>368</v>
      </c>
      <c r="AF1832" s="1191" t="s">
        <v>369</v>
      </c>
      <c r="AG1832" s="1193">
        <v>1</v>
      </c>
      <c r="AH1832" s="1193">
        <v>15</v>
      </c>
      <c r="AI1832" s="1193">
        <v>0</v>
      </c>
      <c r="AJ1832" s="1193">
        <f>VLOOKUP($I1832,'Price List, Weapons &amp; Items'!B:F,5,0)</f>
        <v>0</v>
      </c>
      <c r="AK1832" s="1193">
        <f t="shared" si="388"/>
        <v>0</v>
      </c>
      <c r="AL1832" s="1193">
        <f t="shared" si="389"/>
        <v>0</v>
      </c>
      <c r="AM1832" s="1193">
        <f t="shared" si="390"/>
        <v>0</v>
      </c>
      <c r="AN1832" s="1194" t="str">
        <f>VLOOKUP($I1832,'Price List, Weapons &amp; Items'!B:L,COLUMN('Price List, Weapons &amp; Items'!$J$11)-1,0)</f>
        <v>Military media (incl. websites)</v>
      </c>
      <c r="AO1832" s="1194" t="str">
        <f>IF(I1832=".",".",VLOOKUP($I1832,'Price List, Weapons &amp; Items'!B:J,3,0))</f>
        <v>Armored Utility Vehicle (AUV)</v>
      </c>
      <c r="AP1832" s="1195" t="str">
        <f t="shared" ca="1" si="384"/>
        <v/>
      </c>
      <c r="AQ1832" s="1194">
        <f>VLOOKUP($I1832,'Price List, Weapons &amp; Items'!B:L,COLUMN('Price List, Weapons &amp; Items'!$L$11)-1,0)</f>
        <v>2</v>
      </c>
      <c r="AR1832" s="1194">
        <f t="shared" si="391"/>
        <v>1</v>
      </c>
      <c r="AS1832" s="1194">
        <f t="shared" si="392"/>
        <v>1</v>
      </c>
      <c r="AT1832" s="1194">
        <f t="shared" si="393"/>
        <v>1</v>
      </c>
      <c r="AU1832" s="1194" t="str">
        <f t="shared" si="395"/>
        <v>.</v>
      </c>
      <c r="AV1832" s="1194" t="str">
        <f t="shared" si="385"/>
        <v>.</v>
      </c>
      <c r="AW1832" s="1194" t="str">
        <f t="shared" si="394"/>
        <v>.</v>
      </c>
      <c r="AX1832" s="1194">
        <f>IFERROR(VLOOKUP(B1832,'Share, Heavy Weapons to Ukraine'!B:Z,COLUMN('Share, Heavy Weapons to Ukraine'!C1842)-1,0),0)</f>
        <v>1</v>
      </c>
      <c r="AY1832" s="1194">
        <f>VLOOKUP('Bilateral Assistance, MAIN DATA'!B1832,'Country Summary (€)'!B:F,COLUMN('Country Summary (€)'!C1843)-1,FALSE)</f>
        <v>0</v>
      </c>
      <c r="AZ1832" s="1194" t="str">
        <f>IF(AND(AD1832=1,D1832="Military",H1832&lt;&gt;"Not given")=TRUE,IF(SUMIFS(P:P,A:A,A1832)&gt;0,ABS((SUMIFS(P:P,A:A,A1832)/VLOOKUP("USD",'Exchange Rates'!B:C,2,0)))/S1832,"."),".")</f>
        <v>.</v>
      </c>
      <c r="BA1832" s="1196" t="str">
        <f>IF(AND(AD1832=1,D1832="Military",H1832&lt;&gt;"Not given")=TRUE,IF(SUMIFS(P:P,A:A,A1832)&gt;0,IF((ABS((SUMIFS(P:P,A:A,A1832)/VLOOKUP("USD",'Exchange Rates'!B:C,2,0)))/S1832)&gt;1,(SUMIFS(P:P,A:A,A1832)-S1832)/S1832,(S1832-SUMIFS(P:P,A:A,A1832))/SUMIFS(P:P,A:A,A1832)),"."),".")</f>
        <v>.</v>
      </c>
      <c r="BB1832" s="1208"/>
      <c r="BC1832" s="1208"/>
      <c r="BD1832" s="1208"/>
      <c r="BE1832" s="1208"/>
      <c r="BF1832" s="1208"/>
      <c r="BG1832" s="1208"/>
      <c r="BH1832" s="1208"/>
      <c r="BI1832" s="1208"/>
      <c r="BJ1832" s="1208"/>
      <c r="BK1832" s="1208"/>
      <c r="BL1832" s="1208"/>
      <c r="BM1832" s="1208"/>
      <c r="BN1832" s="1208"/>
      <c r="BO1832" s="1208"/>
      <c r="BP1832" s="1208"/>
      <c r="BQ1832" s="1208"/>
      <c r="BR1832" s="1208"/>
      <c r="BS1832" s="1208"/>
    </row>
    <row r="1833" spans="1:71" ht="15.95" customHeight="1">
      <c r="A1833" s="1208" t="s">
        <v>4310</v>
      </c>
      <c r="B1833" s="1208" t="s">
        <v>3949</v>
      </c>
      <c r="C1833" s="1209">
        <v>45020</v>
      </c>
      <c r="D1833" s="1208" t="s">
        <v>389</v>
      </c>
      <c r="E1833" s="1208" t="s">
        <v>390</v>
      </c>
      <c r="F1833" s="1208" t="s">
        <v>4343</v>
      </c>
      <c r="G1833" s="1184" t="s">
        <v>456</v>
      </c>
      <c r="H1833" s="1210">
        <v>500000000</v>
      </c>
      <c r="I1833" s="1208" t="s">
        <v>1932</v>
      </c>
      <c r="J1833" s="1186" t="str">
        <f>VLOOKUP($I1833,'Price List, Weapons &amp; Items'!B:C,2,0)</f>
        <v>Heavy weapon</v>
      </c>
      <c r="K1833" s="1186" t="str">
        <f>IF(I1833=".",I1833,VLOOKUP($I1833,'Price List, Weapons &amp; Items'!B:D,3,0))</f>
        <v>Surface-to-air missile (SAM)</v>
      </c>
      <c r="L1833" s="1187">
        <f>VLOOKUP(I1833,'Price List, Weapons &amp; Items'!B:E,4,0)</f>
        <v>0</v>
      </c>
      <c r="M1833" s="1188" t="s">
        <v>374</v>
      </c>
      <c r="N1833" s="1188" t="s">
        <v>374</v>
      </c>
      <c r="O1833" s="1188">
        <f>VLOOKUP($I1833,'Price List, Weapons &amp; Items'!B:G,6,0)</f>
        <v>3000000</v>
      </c>
      <c r="P1833" s="1185" t="str">
        <f t="shared" si="386"/>
        <v>.</v>
      </c>
      <c r="Q1833" s="1185" t="str">
        <f t="shared" si="387"/>
        <v>.</v>
      </c>
      <c r="R1833" s="1185" t="str">
        <f t="shared" si="383"/>
        <v/>
      </c>
      <c r="S1833" s="1185" t="str">
        <f>IF(AND(AD1833=1,R1833&lt;&gt;".")=TRUE,R1833/VLOOKUP(G1833,'Exchange Rates'!B:C,2,0),IF(R1833=".",".",""))</f>
        <v/>
      </c>
      <c r="T1833" s="1185" t="str">
        <f>IF(AD1833=1,IF(AF1833="Value is not given at all",".",IF(AF1833="Value is given by the source",S1833,IF(AF1833="Value is calculated with prices",(IF(SUMIFS(Q:Q,A:A,A1833)&gt;0,SUMIFS(Q:Q,A:A,A1833),"."))/VLOOKUP("USD",'Exchange Rates'!B:C,2,0),"Error with coding"))),"")</f>
        <v/>
      </c>
      <c r="U1833" s="1191" t="s">
        <v>365</v>
      </c>
      <c r="V1833" s="983" t="s">
        <v>4344</v>
      </c>
      <c r="W1833" s="966" t="s">
        <v>4339</v>
      </c>
      <c r="X1833" s="1208" t="s">
        <v>364</v>
      </c>
      <c r="Y1833" s="1208" t="s">
        <v>364</v>
      </c>
      <c r="Z1833" s="1191">
        <v>0</v>
      </c>
      <c r="AA1833" s="1191">
        <v>1</v>
      </c>
      <c r="AB1833" s="1208" t="s">
        <v>364</v>
      </c>
      <c r="AC1833" s="1192" t="str">
        <f>""</f>
        <v/>
      </c>
      <c r="AD1833" s="1193">
        <v>0</v>
      </c>
      <c r="AE1833" s="1191" t="s">
        <v>368</v>
      </c>
      <c r="AF1833" s="1191" t="s">
        <v>369</v>
      </c>
      <c r="AG1833" s="1193">
        <v>1</v>
      </c>
      <c r="AH1833" s="1193">
        <v>16</v>
      </c>
      <c r="AI1833" s="1193">
        <v>0</v>
      </c>
      <c r="AJ1833" s="1193">
        <f>VLOOKUP($I1833,'Price List, Weapons &amp; Items'!B:F,5,0)</f>
        <v>0</v>
      </c>
      <c r="AK1833" s="1193">
        <f t="shared" si="388"/>
        <v>0</v>
      </c>
      <c r="AL1833" s="1193">
        <f t="shared" si="389"/>
        <v>0</v>
      </c>
      <c r="AM1833" s="1193">
        <f t="shared" si="390"/>
        <v>0</v>
      </c>
      <c r="AN1833" s="1194" t="str">
        <f>VLOOKUP($I1833,'Price List, Weapons &amp; Items'!B:L,COLUMN('Price List, Weapons &amp; Items'!$J$11)-1,0)</f>
        <v>Media reports (incl. social media)</v>
      </c>
      <c r="AO1833" s="1194" t="str">
        <f>IF(I1833=".",".",VLOOKUP($I1833,'Price List, Weapons &amp; Items'!B:J,3,0))</f>
        <v>Surface-to-air missile (SAM)</v>
      </c>
      <c r="AP1833" s="1195" t="str">
        <f t="shared" ca="1" si="384"/>
        <v/>
      </c>
      <c r="AQ1833" s="1194" t="str">
        <f>VLOOKUP($I1833,'Price List, Weapons &amp; Items'!B:L,COLUMN('Price List, Weapons &amp; Items'!$L$11)-1,0)</f>
        <v>no price, 0 count</v>
      </c>
      <c r="AR1833" s="1194">
        <f t="shared" si="391"/>
        <v>1</v>
      </c>
      <c r="AS1833" s="1194">
        <f t="shared" si="392"/>
        <v>1</v>
      </c>
      <c r="AT1833" s="1194">
        <f t="shared" si="393"/>
        <v>1</v>
      </c>
      <c r="AU1833" s="1194" t="str">
        <f t="shared" si="395"/>
        <v>.</v>
      </c>
      <c r="AV1833" s="1194" t="str">
        <f t="shared" si="385"/>
        <v>.</v>
      </c>
      <c r="AW1833" s="1194" t="str">
        <f t="shared" si="394"/>
        <v>.</v>
      </c>
      <c r="AX1833" s="1194">
        <f>IFERROR(VLOOKUP(B1833,'Share, Heavy Weapons to Ukraine'!B:Z,COLUMN('Share, Heavy Weapons to Ukraine'!C1843)-1,0),0)</f>
        <v>1</v>
      </c>
      <c r="AY1833" s="1194">
        <f>VLOOKUP('Bilateral Assistance, MAIN DATA'!B1833,'Country Summary (€)'!B:F,COLUMN('Country Summary (€)'!C1844)-1,FALSE)</f>
        <v>0</v>
      </c>
      <c r="AZ1833" s="1194" t="str">
        <f>IF(AND(AD1833=1,D1833="Military",H1833&lt;&gt;"Not given")=TRUE,IF(SUMIFS(P:P,A:A,A1833)&gt;0,ABS((SUMIFS(P:P,A:A,A1833)/VLOOKUP("USD",'Exchange Rates'!B:C,2,0)))/S1833,"."),".")</f>
        <v>.</v>
      </c>
      <c r="BA1833" s="1196" t="str">
        <f>IF(AND(AD1833=1,D1833="Military",H1833&lt;&gt;"Not given")=TRUE,IF(SUMIFS(P:P,A:A,A1833)&gt;0,IF((ABS((SUMIFS(P:P,A:A,A1833)/VLOOKUP("USD",'Exchange Rates'!B:C,2,0)))/S1833)&gt;1,(SUMIFS(P:P,A:A,A1833)-S1833)/S1833,(S1833-SUMIFS(P:P,A:A,A1833))/SUMIFS(P:P,A:A,A1833)),"."),".")</f>
        <v>.</v>
      </c>
      <c r="BB1833" s="1208"/>
      <c r="BC1833" s="1208"/>
      <c r="BD1833" s="1208"/>
      <c r="BE1833" s="1208"/>
      <c r="BF1833" s="1208"/>
      <c r="BG1833" s="1208"/>
      <c r="BH1833" s="1208"/>
      <c r="BI1833" s="1208"/>
      <c r="BJ1833" s="1208"/>
      <c r="BK1833" s="1208"/>
      <c r="BL1833" s="1208"/>
      <c r="BM1833" s="1208"/>
      <c r="BN1833" s="1208"/>
      <c r="BO1833" s="1208"/>
      <c r="BP1833" s="1208"/>
      <c r="BQ1833" s="1208"/>
      <c r="BR1833" s="1208"/>
      <c r="BS1833" s="1208"/>
    </row>
    <row r="1834" spans="1:71" ht="15.95" customHeight="1">
      <c r="A1834" s="1208" t="s">
        <v>4310</v>
      </c>
      <c r="B1834" s="1208" t="s">
        <v>3949</v>
      </c>
      <c r="C1834" s="1209">
        <v>45020</v>
      </c>
      <c r="D1834" s="1208" t="s">
        <v>389</v>
      </c>
      <c r="E1834" s="1208" t="s">
        <v>390</v>
      </c>
      <c r="F1834" s="1208" t="s">
        <v>4343</v>
      </c>
      <c r="G1834" s="1184" t="s">
        <v>456</v>
      </c>
      <c r="H1834" s="1210">
        <v>500000000</v>
      </c>
      <c r="I1834" s="1208" t="s">
        <v>4093</v>
      </c>
      <c r="J1834" s="1186" t="str">
        <f>VLOOKUP($I1834,'Price List, Weapons &amp; Items'!B:C,2,0)</f>
        <v>Ammunition for heavy weapon</v>
      </c>
      <c r="K1834" s="1186" t="str">
        <f>IF(I1834=".",I1834,VLOOKUP($I1834,'Price List, Weapons &amp; Items'!B:D,3,0))</f>
        <v>227mm MLRS ammunition</v>
      </c>
      <c r="L1834" s="1187">
        <f>VLOOKUP(I1834,'Price List, Weapons &amp; Items'!B:E,4,0)</f>
        <v>0</v>
      </c>
      <c r="M1834" s="1188" t="s">
        <v>374</v>
      </c>
      <c r="N1834" s="1188" t="s">
        <v>374</v>
      </c>
      <c r="O1834" s="1188">
        <f>VLOOKUP($I1834,'Price List, Weapons &amp; Items'!B:G,6,0)</f>
        <v>150000</v>
      </c>
      <c r="P1834" s="1185" t="str">
        <f t="shared" si="386"/>
        <v>.</v>
      </c>
      <c r="Q1834" s="1185" t="str">
        <f t="shared" si="387"/>
        <v>.</v>
      </c>
      <c r="R1834" s="1185" t="str">
        <f t="shared" si="383"/>
        <v/>
      </c>
      <c r="S1834" s="1185" t="str">
        <f>IF(AND(AD1834=1,R1834&lt;&gt;".")=TRUE,R1834/VLOOKUP(G1834,'Exchange Rates'!B:C,2,0),IF(R1834=".",".",""))</f>
        <v/>
      </c>
      <c r="T1834" s="1185" t="str">
        <f>IF(AD1834=1,IF(AF1834="Value is not given at all",".",IF(AF1834="Value is given by the source",S1834,IF(AF1834="Value is calculated with prices",(IF(SUMIFS(Q:Q,A:A,A1834)&gt;0,SUMIFS(Q:Q,A:A,A1834),"."))/VLOOKUP("USD",'Exchange Rates'!B:C,2,0),"Error with coding"))),"")</f>
        <v/>
      </c>
      <c r="U1834" s="1191" t="s">
        <v>365</v>
      </c>
      <c r="V1834" s="983" t="s">
        <v>4344</v>
      </c>
      <c r="W1834" s="966" t="s">
        <v>4339</v>
      </c>
      <c r="X1834" s="1208" t="s">
        <v>364</v>
      </c>
      <c r="Y1834" s="1208" t="s">
        <v>364</v>
      </c>
      <c r="Z1834" s="1191">
        <v>0</v>
      </c>
      <c r="AA1834" s="1191">
        <v>1</v>
      </c>
      <c r="AB1834" s="1208" t="s">
        <v>364</v>
      </c>
      <c r="AC1834" s="1192" t="str">
        <f>""</f>
        <v/>
      </c>
      <c r="AD1834" s="1193">
        <v>0</v>
      </c>
      <c r="AE1834" s="1191" t="s">
        <v>368</v>
      </c>
      <c r="AF1834" s="1191" t="s">
        <v>369</v>
      </c>
      <c r="AG1834" s="1193">
        <v>1</v>
      </c>
      <c r="AH1834" s="1193">
        <v>16</v>
      </c>
      <c r="AI1834" s="1193">
        <v>0</v>
      </c>
      <c r="AJ1834" s="1193">
        <f>VLOOKUP($I1834,'Price List, Weapons &amp; Items'!B:F,5,0)</f>
        <v>1</v>
      </c>
      <c r="AK1834" s="1193">
        <f t="shared" si="388"/>
        <v>1</v>
      </c>
      <c r="AL1834" s="1193">
        <f t="shared" si="389"/>
        <v>1</v>
      </c>
      <c r="AM1834" s="1193">
        <f t="shared" si="390"/>
        <v>1</v>
      </c>
      <c r="AN1834" s="1194" t="str">
        <f>VLOOKUP($I1834,'Price List, Weapons &amp; Items'!B:L,COLUMN('Price List, Weapons &amp; Items'!$J$11)-1,0)</f>
        <v>Media reports (incl. social media)</v>
      </c>
      <c r="AO1834" s="1194" t="str">
        <f>IF(I1834=".",".",VLOOKUP($I1834,'Price List, Weapons &amp; Items'!B:J,3,0))</f>
        <v>227mm MLRS ammunition</v>
      </c>
      <c r="AP1834" s="1195" t="str">
        <f t="shared" ca="1" si="384"/>
        <v/>
      </c>
      <c r="AQ1834" s="1194" t="str">
        <f>VLOOKUP($I1834,'Price List, Weapons &amp; Items'!B:L,COLUMN('Price List, Weapons &amp; Items'!$L$11)-1,0)</f>
        <v>no price, 0 count</v>
      </c>
      <c r="AR1834" s="1194">
        <f t="shared" si="391"/>
        <v>1</v>
      </c>
      <c r="AS1834" s="1194">
        <f t="shared" si="392"/>
        <v>1</v>
      </c>
      <c r="AT1834" s="1194">
        <f t="shared" si="393"/>
        <v>1</v>
      </c>
      <c r="AU1834" s="1194" t="str">
        <f t="shared" si="395"/>
        <v>.</v>
      </c>
      <c r="AV1834" s="1194" t="str">
        <f t="shared" si="385"/>
        <v>.</v>
      </c>
      <c r="AW1834" s="1194" t="str">
        <f t="shared" si="394"/>
        <v>.</v>
      </c>
      <c r="AX1834" s="1194">
        <f>IFERROR(VLOOKUP(B1834,'Share, Heavy Weapons to Ukraine'!B:Z,COLUMN('Share, Heavy Weapons to Ukraine'!C1844)-1,0),0)</f>
        <v>1</v>
      </c>
      <c r="AY1834" s="1194">
        <f>VLOOKUP('Bilateral Assistance, MAIN DATA'!B1834,'Country Summary (€)'!B:F,COLUMN('Country Summary (€)'!C1845)-1,FALSE)</f>
        <v>0</v>
      </c>
      <c r="AZ1834" s="1194" t="str">
        <f>IF(AND(AD1834=1,D1834="Military",H1834&lt;&gt;"Not given")=TRUE,IF(SUMIFS(P:P,A:A,A1834)&gt;0,ABS((SUMIFS(P:P,A:A,A1834)/VLOOKUP("USD",'Exchange Rates'!B:C,2,0)))/S1834,"."),".")</f>
        <v>.</v>
      </c>
      <c r="BA1834" s="1196" t="str">
        <f>IF(AND(AD1834=1,D1834="Military",H1834&lt;&gt;"Not given")=TRUE,IF(SUMIFS(P:P,A:A,A1834)&gt;0,IF((ABS((SUMIFS(P:P,A:A,A1834)/VLOOKUP("USD",'Exchange Rates'!B:C,2,0)))/S1834)&gt;1,(SUMIFS(P:P,A:A,A1834)-S1834)/S1834,(S1834-SUMIFS(P:P,A:A,A1834))/SUMIFS(P:P,A:A,A1834)),"."),".")</f>
        <v>.</v>
      </c>
      <c r="BB1834" s="1208"/>
      <c r="BC1834" s="1208"/>
      <c r="BD1834" s="1208"/>
      <c r="BE1834" s="1208"/>
      <c r="BF1834" s="1208"/>
      <c r="BG1834" s="1208"/>
      <c r="BH1834" s="1208"/>
      <c r="BI1834" s="1208"/>
      <c r="BJ1834" s="1208"/>
      <c r="BK1834" s="1208"/>
      <c r="BL1834" s="1208"/>
      <c r="BM1834" s="1208"/>
      <c r="BN1834" s="1208"/>
      <c r="BO1834" s="1208"/>
      <c r="BP1834" s="1208"/>
      <c r="BQ1834" s="1208"/>
      <c r="BR1834" s="1208"/>
      <c r="BS1834" s="1208"/>
    </row>
    <row r="1835" spans="1:71" ht="15.95" customHeight="1">
      <c r="A1835" s="1208" t="s">
        <v>4310</v>
      </c>
      <c r="B1835" s="1208" t="s">
        <v>3949</v>
      </c>
      <c r="C1835" s="1209">
        <v>45020</v>
      </c>
      <c r="D1835" s="1208" t="s">
        <v>389</v>
      </c>
      <c r="E1835" s="1208" t="s">
        <v>390</v>
      </c>
      <c r="F1835" s="1208" t="s">
        <v>4343</v>
      </c>
      <c r="G1835" s="1184" t="s">
        <v>456</v>
      </c>
      <c r="H1835" s="1210">
        <v>500000000</v>
      </c>
      <c r="I1835" s="1208" t="s">
        <v>856</v>
      </c>
      <c r="J1835" s="1186" t="str">
        <f>VLOOKUP($I1835,'Price List, Weapons &amp; Items'!B:C,2,0)</f>
        <v>Ammunition for heavy weapon</v>
      </c>
      <c r="K1835" s="1186" t="str">
        <f>IF(I1835=".",I1835,VLOOKUP($I1835,'Price List, Weapons &amp; Items'!B:D,3,0))</f>
        <v>155mm howitzer ammunition</v>
      </c>
      <c r="L1835" s="1187">
        <f>VLOOKUP(I1835,'Price List, Weapons &amp; Items'!B:E,4,0)</f>
        <v>0</v>
      </c>
      <c r="M1835" s="1188" t="s">
        <v>374</v>
      </c>
      <c r="N1835" s="1188" t="s">
        <v>374</v>
      </c>
      <c r="O1835" s="1188">
        <f>VLOOKUP($I1835,'Price List, Weapons &amp; Items'!B:G,6,0)</f>
        <v>3800</v>
      </c>
      <c r="P1835" s="1185" t="str">
        <f t="shared" si="386"/>
        <v>.</v>
      </c>
      <c r="Q1835" s="1185" t="str">
        <f t="shared" si="387"/>
        <v>.</v>
      </c>
      <c r="R1835" s="1185" t="str">
        <f t="shared" si="383"/>
        <v/>
      </c>
      <c r="S1835" s="1185" t="str">
        <f>IF(AND(AD1835=1,R1835&lt;&gt;".")=TRUE,R1835/VLOOKUP(G1835,'Exchange Rates'!B:C,2,0),IF(R1835=".",".",""))</f>
        <v/>
      </c>
      <c r="T1835" s="1185" t="str">
        <f>IF(AD1835=1,IF(AF1835="Value is not given at all",".",IF(AF1835="Value is given by the source",S1835,IF(AF1835="Value is calculated with prices",(IF(SUMIFS(Q:Q,A:A,A1835)&gt;0,SUMIFS(Q:Q,A:A,A1835),"."))/VLOOKUP("USD",'Exchange Rates'!B:C,2,0),"Error with coding"))),"")</f>
        <v/>
      </c>
      <c r="U1835" s="1191" t="s">
        <v>365</v>
      </c>
      <c r="V1835" s="983" t="s">
        <v>4344</v>
      </c>
      <c r="W1835" s="966" t="s">
        <v>4339</v>
      </c>
      <c r="X1835" s="1208" t="s">
        <v>364</v>
      </c>
      <c r="Y1835" s="1208" t="s">
        <v>364</v>
      </c>
      <c r="Z1835" s="1191">
        <v>0</v>
      </c>
      <c r="AA1835" s="1191">
        <v>1</v>
      </c>
      <c r="AB1835" s="1208" t="s">
        <v>364</v>
      </c>
      <c r="AC1835" s="1192" t="str">
        <f>""</f>
        <v/>
      </c>
      <c r="AD1835" s="1193">
        <v>0</v>
      </c>
      <c r="AE1835" s="1191" t="s">
        <v>368</v>
      </c>
      <c r="AF1835" s="1191" t="s">
        <v>369</v>
      </c>
      <c r="AG1835" s="1193">
        <v>1</v>
      </c>
      <c r="AH1835" s="1193">
        <v>16</v>
      </c>
      <c r="AI1835" s="1193">
        <v>0</v>
      </c>
      <c r="AJ1835" s="1193">
        <f>VLOOKUP($I1835,'Price List, Weapons &amp; Items'!B:F,5,0)</f>
        <v>1</v>
      </c>
      <c r="AK1835" s="1193">
        <f t="shared" si="388"/>
        <v>1</v>
      </c>
      <c r="AL1835" s="1193">
        <f t="shared" si="389"/>
        <v>1</v>
      </c>
      <c r="AM1835" s="1193">
        <f t="shared" si="390"/>
        <v>0</v>
      </c>
      <c r="AN1835" s="1194" t="str">
        <f>VLOOKUP($I1835,'Price List, Weapons &amp; Items'!B:L,COLUMN('Price List, Weapons &amp; Items'!$J$11)-1,0)</f>
        <v>Government information</v>
      </c>
      <c r="AO1835" s="1194" t="str">
        <f>IF(I1835=".",".",VLOOKUP($I1835,'Price List, Weapons &amp; Items'!B:J,3,0))</f>
        <v>155mm howitzer ammunition</v>
      </c>
      <c r="AP1835" s="1195" t="str">
        <f t="shared" ca="1" si="384"/>
        <v/>
      </c>
      <c r="AQ1835" s="1194">
        <f>VLOOKUP($I1835,'Price List, Weapons &amp; Items'!B:L,COLUMN('Price List, Weapons &amp; Items'!$L$11)-1,0)</f>
        <v>2</v>
      </c>
      <c r="AR1835" s="1194">
        <f t="shared" si="391"/>
        <v>1</v>
      </c>
      <c r="AS1835" s="1194">
        <f t="shared" si="392"/>
        <v>1</v>
      </c>
      <c r="AT1835" s="1194">
        <f t="shared" si="393"/>
        <v>1</v>
      </c>
      <c r="AU1835" s="1194" t="str">
        <f t="shared" si="395"/>
        <v>.</v>
      </c>
      <c r="AV1835" s="1194" t="str">
        <f t="shared" si="385"/>
        <v>.</v>
      </c>
      <c r="AW1835" s="1194" t="str">
        <f t="shared" si="394"/>
        <v>.</v>
      </c>
      <c r="AX1835" s="1194">
        <f>IFERROR(VLOOKUP(B1835,'Share, Heavy Weapons to Ukraine'!B:Z,COLUMN('Share, Heavy Weapons to Ukraine'!C1845)-1,0),0)</f>
        <v>1</v>
      </c>
      <c r="AY1835" s="1194">
        <f>VLOOKUP('Bilateral Assistance, MAIN DATA'!B1835,'Country Summary (€)'!B:F,COLUMN('Country Summary (€)'!C1846)-1,FALSE)</f>
        <v>0</v>
      </c>
      <c r="AZ1835" s="1194" t="str">
        <f>IF(AND(AD1835=1,D1835="Military",H1835&lt;&gt;"Not given")=TRUE,IF(SUMIFS(P:P,A:A,A1835)&gt;0,ABS((SUMIFS(P:P,A:A,A1835)/VLOOKUP("USD",'Exchange Rates'!B:C,2,0)))/S1835,"."),".")</f>
        <v>.</v>
      </c>
      <c r="BA1835" s="1196" t="str">
        <f>IF(AND(AD1835=1,D1835="Military",H1835&lt;&gt;"Not given")=TRUE,IF(SUMIFS(P:P,A:A,A1835)&gt;0,IF((ABS((SUMIFS(P:P,A:A,A1835)/VLOOKUP("USD",'Exchange Rates'!B:C,2,0)))/S1835)&gt;1,(SUMIFS(P:P,A:A,A1835)-S1835)/S1835,(S1835-SUMIFS(P:P,A:A,A1835))/SUMIFS(P:P,A:A,A1835)),"."),".")</f>
        <v>.</v>
      </c>
      <c r="BB1835" s="1208"/>
      <c r="BC1835" s="1208"/>
      <c r="BD1835" s="1208"/>
      <c r="BE1835" s="1208"/>
      <c r="BF1835" s="1208"/>
      <c r="BG1835" s="1208"/>
      <c r="BH1835" s="1208"/>
      <c r="BI1835" s="1208"/>
      <c r="BJ1835" s="1208"/>
      <c r="BK1835" s="1208"/>
      <c r="BL1835" s="1208"/>
      <c r="BM1835" s="1208"/>
      <c r="BN1835" s="1208"/>
      <c r="BO1835" s="1208"/>
      <c r="BP1835" s="1208"/>
      <c r="BQ1835" s="1208"/>
      <c r="BR1835" s="1208"/>
      <c r="BS1835" s="1208"/>
    </row>
    <row r="1836" spans="1:71" ht="15.95" customHeight="1">
      <c r="A1836" s="1208" t="s">
        <v>4310</v>
      </c>
      <c r="B1836" s="1208" t="s">
        <v>3949</v>
      </c>
      <c r="C1836" s="1209">
        <v>45020</v>
      </c>
      <c r="D1836" s="1208" t="s">
        <v>389</v>
      </c>
      <c r="E1836" s="1208" t="s">
        <v>390</v>
      </c>
      <c r="F1836" s="1208" t="s">
        <v>4343</v>
      </c>
      <c r="G1836" s="1184" t="s">
        <v>456</v>
      </c>
      <c r="H1836" s="1210">
        <v>500000000</v>
      </c>
      <c r="I1836" s="1208" t="s">
        <v>645</v>
      </c>
      <c r="J1836" s="1186" t="str">
        <f>VLOOKUP($I1836,'Price List, Weapons &amp; Items'!B:C,2,0)</f>
        <v>Ammunition for heavy weapon</v>
      </c>
      <c r="K1836" s="1186" t="str">
        <f>IF(I1836=".",I1836,VLOOKUP($I1836,'Price List, Weapons &amp; Items'!B:D,3,0))</f>
        <v>105mm</v>
      </c>
      <c r="L1836" s="1187">
        <f>VLOOKUP(I1836,'Price List, Weapons &amp; Items'!B:E,4,0)</f>
        <v>0</v>
      </c>
      <c r="M1836" s="1188" t="s">
        <v>374</v>
      </c>
      <c r="N1836" s="1188" t="s">
        <v>374</v>
      </c>
      <c r="O1836" s="1188">
        <f>VLOOKUP($I1836,'Price List, Weapons &amp; Items'!B:G,6,0)</f>
        <v>400</v>
      </c>
      <c r="P1836" s="1185" t="str">
        <f t="shared" si="386"/>
        <v>.</v>
      </c>
      <c r="Q1836" s="1185" t="str">
        <f t="shared" si="387"/>
        <v>.</v>
      </c>
      <c r="R1836" s="1185" t="str">
        <f t="shared" si="383"/>
        <v/>
      </c>
      <c r="S1836" s="1185" t="str">
        <f>IF(AND(AD1836=1,R1836&lt;&gt;".")=TRUE,R1836/VLOOKUP(G1836,'Exchange Rates'!B:C,2,0),IF(R1836=".",".",""))</f>
        <v/>
      </c>
      <c r="T1836" s="1185" t="str">
        <f>IF(AD1836=1,IF(AF1836="Value is not given at all",".",IF(AF1836="Value is given by the source",S1836,IF(AF1836="Value is calculated with prices",(IF(SUMIFS(Q:Q,A:A,A1836)&gt;0,SUMIFS(Q:Q,A:A,A1836),"."))/VLOOKUP("USD",'Exchange Rates'!B:C,2,0),"Error with coding"))),"")</f>
        <v/>
      </c>
      <c r="U1836" s="1191" t="s">
        <v>365</v>
      </c>
      <c r="V1836" s="983" t="s">
        <v>4344</v>
      </c>
      <c r="W1836" s="966" t="s">
        <v>4339</v>
      </c>
      <c r="X1836" s="1208" t="s">
        <v>364</v>
      </c>
      <c r="Y1836" s="1208" t="s">
        <v>364</v>
      </c>
      <c r="Z1836" s="1191">
        <v>0</v>
      </c>
      <c r="AA1836" s="1191">
        <v>1</v>
      </c>
      <c r="AB1836" s="1208" t="s">
        <v>364</v>
      </c>
      <c r="AC1836" s="1192" t="str">
        <f>""</f>
        <v/>
      </c>
      <c r="AD1836" s="1193">
        <v>0</v>
      </c>
      <c r="AE1836" s="1191" t="s">
        <v>368</v>
      </c>
      <c r="AF1836" s="1191" t="s">
        <v>369</v>
      </c>
      <c r="AG1836" s="1193">
        <v>1</v>
      </c>
      <c r="AH1836" s="1193">
        <v>16</v>
      </c>
      <c r="AI1836" s="1193">
        <v>0</v>
      </c>
      <c r="AJ1836" s="1193">
        <f>VLOOKUP($I1836,'Price List, Weapons &amp; Items'!B:F,5,0)</f>
        <v>0</v>
      </c>
      <c r="AK1836" s="1193">
        <f t="shared" si="388"/>
        <v>0</v>
      </c>
      <c r="AL1836" s="1193">
        <f t="shared" si="389"/>
        <v>0</v>
      </c>
      <c r="AM1836" s="1193">
        <f t="shared" si="390"/>
        <v>0</v>
      </c>
      <c r="AN1836" s="1194" t="str">
        <f>VLOOKUP($I1836,'Price List, Weapons &amp; Items'!B:L,COLUMN('Price List, Weapons &amp; Items'!$J$11)-1,0)</f>
        <v>Military media (incl. websites)</v>
      </c>
      <c r="AO1836" s="1194" t="str">
        <f>IF(I1836=".",".",VLOOKUP($I1836,'Price List, Weapons &amp; Items'!B:J,3,0))</f>
        <v>105mm</v>
      </c>
      <c r="AP1836" s="1195" t="str">
        <f t="shared" ca="1" si="384"/>
        <v/>
      </c>
      <c r="AQ1836" s="1194">
        <f>VLOOKUP($I1836,'Price List, Weapons &amp; Items'!B:L,COLUMN('Price List, Weapons &amp; Items'!$L$11)-1,0)</f>
        <v>2</v>
      </c>
      <c r="AR1836" s="1194">
        <f t="shared" si="391"/>
        <v>1</v>
      </c>
      <c r="AS1836" s="1194">
        <f t="shared" si="392"/>
        <v>1</v>
      </c>
      <c r="AT1836" s="1194">
        <f t="shared" si="393"/>
        <v>1</v>
      </c>
      <c r="AU1836" s="1194" t="str">
        <f t="shared" si="395"/>
        <v>.</v>
      </c>
      <c r="AV1836" s="1194" t="str">
        <f t="shared" si="385"/>
        <v>.</v>
      </c>
      <c r="AW1836" s="1194" t="str">
        <f t="shared" si="394"/>
        <v>.</v>
      </c>
      <c r="AX1836" s="1194">
        <f>IFERROR(VLOOKUP(B1836,'Share, Heavy Weapons to Ukraine'!B:Z,COLUMN('Share, Heavy Weapons to Ukraine'!C1846)-1,0),0)</f>
        <v>1</v>
      </c>
      <c r="AY1836" s="1194">
        <f>VLOOKUP('Bilateral Assistance, MAIN DATA'!B1836,'Country Summary (€)'!B:F,COLUMN('Country Summary (€)'!C1847)-1,FALSE)</f>
        <v>0</v>
      </c>
      <c r="AZ1836" s="1194" t="str">
        <f>IF(AND(AD1836=1,D1836="Military",H1836&lt;&gt;"Not given")=TRUE,IF(SUMIFS(P:P,A:A,A1836)&gt;0,ABS((SUMIFS(P:P,A:A,A1836)/VLOOKUP("USD",'Exchange Rates'!B:C,2,0)))/S1836,"."),".")</f>
        <v>.</v>
      </c>
      <c r="BA1836" s="1196" t="str">
        <f>IF(AND(AD1836=1,D1836="Military",H1836&lt;&gt;"Not given")=TRUE,IF(SUMIFS(P:P,A:A,A1836)&gt;0,IF((ABS((SUMIFS(P:P,A:A,A1836)/VLOOKUP("USD",'Exchange Rates'!B:C,2,0)))/S1836)&gt;1,(SUMIFS(P:P,A:A,A1836)-S1836)/S1836,(S1836-SUMIFS(P:P,A:A,A1836))/SUMIFS(P:P,A:A,A1836)),"."),".")</f>
        <v>.</v>
      </c>
      <c r="BB1836" s="1208"/>
      <c r="BC1836" s="1208"/>
      <c r="BD1836" s="1208"/>
      <c r="BE1836" s="1208"/>
      <c r="BF1836" s="1208"/>
      <c r="BG1836" s="1208"/>
      <c r="BH1836" s="1208"/>
      <c r="BI1836" s="1208"/>
      <c r="BJ1836" s="1208"/>
      <c r="BK1836" s="1208"/>
      <c r="BL1836" s="1208"/>
      <c r="BM1836" s="1208"/>
      <c r="BN1836" s="1208"/>
      <c r="BO1836" s="1208"/>
      <c r="BP1836" s="1208"/>
      <c r="BQ1836" s="1208"/>
      <c r="BR1836" s="1208"/>
      <c r="BS1836" s="1208"/>
    </row>
    <row r="1837" spans="1:71" ht="15.95" customHeight="1">
      <c r="A1837" s="1208" t="s">
        <v>4310</v>
      </c>
      <c r="B1837" s="1208" t="s">
        <v>3949</v>
      </c>
      <c r="C1837" s="1209">
        <v>45020</v>
      </c>
      <c r="D1837" s="1208" t="s">
        <v>389</v>
      </c>
      <c r="E1837" s="1208" t="s">
        <v>390</v>
      </c>
      <c r="F1837" s="1208" t="s">
        <v>4343</v>
      </c>
      <c r="G1837" s="1184" t="s">
        <v>456</v>
      </c>
      <c r="H1837" s="1210">
        <v>500000000</v>
      </c>
      <c r="I1837" s="1208" t="s">
        <v>3137</v>
      </c>
      <c r="J1837" s="1186" t="str">
        <f>VLOOKUP($I1837,'Price List, Weapons &amp; Items'!B:C,2,0)</f>
        <v>Ammunition for heavy weapon</v>
      </c>
      <c r="K1837" s="1186" t="str">
        <f>IF(I1837=".",I1837,VLOOKUP($I1837,'Price List, Weapons &amp; Items'!B:D,3,0))</f>
        <v>Mortar ammunition</v>
      </c>
      <c r="L1837" s="1187">
        <f>VLOOKUP(I1837,'Price List, Weapons &amp; Items'!B:E,4,0)</f>
        <v>0</v>
      </c>
      <c r="M1837" s="1188" t="s">
        <v>374</v>
      </c>
      <c r="N1837" s="1188" t="s">
        <v>374</v>
      </c>
      <c r="O1837" s="1188">
        <f>VLOOKUP($I1837,'Price List, Weapons &amp; Items'!B:G,6,0)</f>
        <v>109.89</v>
      </c>
      <c r="P1837" s="1185" t="str">
        <f t="shared" si="386"/>
        <v>.</v>
      </c>
      <c r="Q1837" s="1185" t="str">
        <f t="shared" si="387"/>
        <v>.</v>
      </c>
      <c r="R1837" s="1185" t="str">
        <f t="shared" si="383"/>
        <v/>
      </c>
      <c r="S1837" s="1185" t="str">
        <f>IF(AND(AD1837=1,R1837&lt;&gt;".")=TRUE,R1837/VLOOKUP(G1837,'Exchange Rates'!B:C,2,0),IF(R1837=".",".",""))</f>
        <v/>
      </c>
      <c r="T1837" s="1185" t="str">
        <f>IF(AD1837=1,IF(AF1837="Value is not given at all",".",IF(AF1837="Value is given by the source",S1837,IF(AF1837="Value is calculated with prices",(IF(SUMIFS(Q:Q,A:A,A1837)&gt;0,SUMIFS(Q:Q,A:A,A1837),"."))/VLOOKUP("USD",'Exchange Rates'!B:C,2,0),"Error with coding"))),"")</f>
        <v/>
      </c>
      <c r="U1837" s="1191" t="s">
        <v>365</v>
      </c>
      <c r="V1837" s="983" t="s">
        <v>4344</v>
      </c>
      <c r="W1837" s="966" t="s">
        <v>4339</v>
      </c>
      <c r="X1837" s="1208" t="s">
        <v>364</v>
      </c>
      <c r="Y1837" s="1208" t="s">
        <v>364</v>
      </c>
      <c r="Z1837" s="1191">
        <v>0</v>
      </c>
      <c r="AA1837" s="1191">
        <v>1</v>
      </c>
      <c r="AB1837" s="1208" t="s">
        <v>364</v>
      </c>
      <c r="AC1837" s="1192" t="str">
        <f>""</f>
        <v/>
      </c>
      <c r="AD1837" s="1193">
        <v>0</v>
      </c>
      <c r="AE1837" s="1191" t="s">
        <v>368</v>
      </c>
      <c r="AF1837" s="1191" t="s">
        <v>369</v>
      </c>
      <c r="AG1837" s="1193">
        <v>1</v>
      </c>
      <c r="AH1837" s="1193">
        <v>16</v>
      </c>
      <c r="AI1837" s="1193">
        <v>0</v>
      </c>
      <c r="AJ1837" s="1193">
        <f>VLOOKUP($I1837,'Price List, Weapons &amp; Items'!B:F,5,0)</f>
        <v>0</v>
      </c>
      <c r="AK1837" s="1193">
        <f t="shared" si="388"/>
        <v>0</v>
      </c>
      <c r="AL1837" s="1193">
        <f t="shared" si="389"/>
        <v>0</v>
      </c>
      <c r="AM1837" s="1193">
        <f t="shared" si="390"/>
        <v>0</v>
      </c>
      <c r="AN1837" s="1194" t="str">
        <f>VLOOKUP($I1837,'Price List, Weapons &amp; Items'!B:L,COLUMN('Price List, Weapons &amp; Items'!$J$11)-1,0)</f>
        <v>Government information</v>
      </c>
      <c r="AO1837" s="1194" t="str">
        <f>IF(I1837=".",".",VLOOKUP($I1837,'Price List, Weapons &amp; Items'!B:J,3,0))</f>
        <v>Mortar ammunition</v>
      </c>
      <c r="AP1837" s="1195" t="str">
        <f t="shared" ca="1" si="384"/>
        <v/>
      </c>
      <c r="AQ1837" s="1194">
        <f>VLOOKUP($I1837,'Price List, Weapons &amp; Items'!B:L,COLUMN('Price List, Weapons &amp; Items'!$L$11)-1,0)</f>
        <v>2</v>
      </c>
      <c r="AR1837" s="1194">
        <f t="shared" si="391"/>
        <v>1</v>
      </c>
      <c r="AS1837" s="1194">
        <f t="shared" si="392"/>
        <v>1</v>
      </c>
      <c r="AT1837" s="1194">
        <f t="shared" si="393"/>
        <v>1</v>
      </c>
      <c r="AU1837" s="1194" t="str">
        <f t="shared" si="395"/>
        <v>.</v>
      </c>
      <c r="AV1837" s="1194" t="str">
        <f t="shared" si="385"/>
        <v>.</v>
      </c>
      <c r="AW1837" s="1194" t="str">
        <f t="shared" si="394"/>
        <v>.</v>
      </c>
      <c r="AX1837" s="1194">
        <f>IFERROR(VLOOKUP(B1837,'Share, Heavy Weapons to Ukraine'!B:Z,COLUMN('Share, Heavy Weapons to Ukraine'!C1847)-1,0),0)</f>
        <v>1</v>
      </c>
      <c r="AY1837" s="1194">
        <f>VLOOKUP('Bilateral Assistance, MAIN DATA'!B1837,'Country Summary (€)'!B:F,COLUMN('Country Summary (€)'!C1848)-1,FALSE)</f>
        <v>0</v>
      </c>
      <c r="AZ1837" s="1194" t="str">
        <f>IF(AND(AD1837=1,D1837="Military",H1837&lt;&gt;"Not given")=TRUE,IF(SUMIFS(P:P,A:A,A1837)&gt;0,ABS((SUMIFS(P:P,A:A,A1837)/VLOOKUP("USD",'Exchange Rates'!B:C,2,0)))/S1837,"."),".")</f>
        <v>.</v>
      </c>
      <c r="BA1837" s="1196" t="str">
        <f>IF(AND(AD1837=1,D1837="Military",H1837&lt;&gt;"Not given")=TRUE,IF(SUMIFS(P:P,A:A,A1837)&gt;0,IF((ABS((SUMIFS(P:P,A:A,A1837)/VLOOKUP("USD",'Exchange Rates'!B:C,2,0)))/S1837)&gt;1,(SUMIFS(P:P,A:A,A1837)-S1837)/S1837,(S1837-SUMIFS(P:P,A:A,A1837))/SUMIFS(P:P,A:A,A1837)),"."),".")</f>
        <v>.</v>
      </c>
      <c r="BB1837" s="1208"/>
      <c r="BC1837" s="1208"/>
      <c r="BD1837" s="1208"/>
      <c r="BE1837" s="1208"/>
      <c r="BF1837" s="1208"/>
      <c r="BG1837" s="1208"/>
      <c r="BH1837" s="1208"/>
      <c r="BI1837" s="1208"/>
      <c r="BJ1837" s="1208"/>
      <c r="BK1837" s="1208"/>
      <c r="BL1837" s="1208"/>
      <c r="BM1837" s="1208"/>
      <c r="BN1837" s="1208"/>
      <c r="BO1837" s="1208"/>
      <c r="BP1837" s="1208"/>
      <c r="BQ1837" s="1208"/>
      <c r="BR1837" s="1208"/>
      <c r="BS1837" s="1208"/>
    </row>
    <row r="1838" spans="1:71" ht="15.95" customHeight="1">
      <c r="A1838" s="1208" t="s">
        <v>4310</v>
      </c>
      <c r="B1838" s="1208" t="s">
        <v>3949</v>
      </c>
      <c r="C1838" s="1209">
        <v>45020</v>
      </c>
      <c r="D1838" s="1208" t="s">
        <v>389</v>
      </c>
      <c r="E1838" s="1208" t="s">
        <v>390</v>
      </c>
      <c r="F1838" s="1208" t="s">
        <v>4343</v>
      </c>
      <c r="G1838" s="1184" t="s">
        <v>456</v>
      </c>
      <c r="H1838" s="1210">
        <v>500000000</v>
      </c>
      <c r="I1838" s="1190" t="s">
        <v>4237</v>
      </c>
      <c r="J1838" s="1186" t="str">
        <f>VLOOKUP($I1838,'Price List, Weapons &amp; Items'!B:C,2,0)</f>
        <v>Ammunition for heavy weapon</v>
      </c>
      <c r="K1838" s="1186" t="str">
        <f>IF(I1838=".",I1838,VLOOKUP($I1838,'Price List, Weapons &amp; Items'!B:D,3,0))</f>
        <v>120mm tank ammunition</v>
      </c>
      <c r="L1838" s="1187">
        <f>VLOOKUP(I1838,'Price List, Weapons &amp; Items'!B:E,4,0)</f>
        <v>0</v>
      </c>
      <c r="M1838" s="1188" t="s">
        <v>374</v>
      </c>
      <c r="N1838" s="1188" t="s">
        <v>374</v>
      </c>
      <c r="O1838" s="1188">
        <f>VLOOKUP($I1838,'Price List, Weapons &amp; Items'!B:G,6,0)</f>
        <v>20001.25</v>
      </c>
      <c r="P1838" s="1185" t="str">
        <f t="shared" si="386"/>
        <v>.</v>
      </c>
      <c r="Q1838" s="1185" t="str">
        <f t="shared" si="387"/>
        <v>.</v>
      </c>
      <c r="R1838" s="1185" t="str">
        <f t="shared" si="383"/>
        <v/>
      </c>
      <c r="S1838" s="1185" t="str">
        <f>IF(AND(AD1838=1,R1838&lt;&gt;".")=TRUE,R1838/VLOOKUP(G1838,'Exchange Rates'!B:C,2,0),IF(R1838=".",".",""))</f>
        <v/>
      </c>
      <c r="T1838" s="1185" t="str">
        <f>IF(AD1838=1,IF(AF1838="Value is not given at all",".",IF(AF1838="Value is given by the source",S1838,IF(AF1838="Value is calculated with prices",(IF(SUMIFS(Q:Q,A:A,A1838)&gt;0,SUMIFS(Q:Q,A:A,A1838),"."))/VLOOKUP("USD",'Exchange Rates'!B:C,2,0),"Error with coding"))),"")</f>
        <v/>
      </c>
      <c r="U1838" s="1191" t="s">
        <v>365</v>
      </c>
      <c r="V1838" s="983" t="s">
        <v>4344</v>
      </c>
      <c r="W1838" s="966" t="s">
        <v>4339</v>
      </c>
      <c r="X1838" s="1208" t="s">
        <v>364</v>
      </c>
      <c r="Y1838" s="1208" t="s">
        <v>364</v>
      </c>
      <c r="Z1838" s="1191">
        <v>0</v>
      </c>
      <c r="AA1838" s="1191">
        <v>1</v>
      </c>
      <c r="AB1838" s="1208" t="s">
        <v>364</v>
      </c>
      <c r="AC1838" s="1192" t="str">
        <f>""</f>
        <v/>
      </c>
      <c r="AD1838" s="1193">
        <v>0</v>
      </c>
      <c r="AE1838" s="1191" t="s">
        <v>368</v>
      </c>
      <c r="AF1838" s="1191" t="s">
        <v>369</v>
      </c>
      <c r="AG1838" s="1193">
        <v>1</v>
      </c>
      <c r="AH1838" s="1193">
        <v>16</v>
      </c>
      <c r="AI1838" s="1193">
        <v>0</v>
      </c>
      <c r="AJ1838" s="1193">
        <f>VLOOKUP($I1838,'Price List, Weapons &amp; Items'!B:F,5,0)</f>
        <v>0</v>
      </c>
      <c r="AK1838" s="1193">
        <f t="shared" si="388"/>
        <v>0</v>
      </c>
      <c r="AL1838" s="1193">
        <f t="shared" si="389"/>
        <v>0</v>
      </c>
      <c r="AM1838" s="1193">
        <f t="shared" si="390"/>
        <v>1</v>
      </c>
      <c r="AN1838" s="1194" t="str">
        <f>VLOOKUP($I1838,'Price List, Weapons &amp; Items'!B:L,COLUMN('Price List, Weapons &amp; Items'!$J$11)-1,0)</f>
        <v>Government information</v>
      </c>
      <c r="AO1838" s="1194" t="str">
        <f>IF(I1838=".",".",VLOOKUP($I1838,'Price List, Weapons &amp; Items'!B:J,3,0))</f>
        <v>120mm tank ammunition</v>
      </c>
      <c r="AP1838" s="1195" t="str">
        <f t="shared" ca="1" si="384"/>
        <v/>
      </c>
      <c r="AQ1838" s="1194">
        <f>VLOOKUP($I1838,'Price List, Weapons &amp; Items'!B:L,COLUMN('Price List, Weapons &amp; Items'!$L$11)-1,0)</f>
        <v>2</v>
      </c>
      <c r="AR1838" s="1194">
        <f t="shared" si="391"/>
        <v>1</v>
      </c>
      <c r="AS1838" s="1194">
        <f t="shared" si="392"/>
        <v>1</v>
      </c>
      <c r="AT1838" s="1194">
        <f t="shared" si="393"/>
        <v>1</v>
      </c>
      <c r="AU1838" s="1194" t="str">
        <f t="shared" si="395"/>
        <v>.</v>
      </c>
      <c r="AV1838" s="1194" t="str">
        <f t="shared" si="385"/>
        <v>.</v>
      </c>
      <c r="AW1838" s="1194" t="str">
        <f t="shared" si="394"/>
        <v>.</v>
      </c>
      <c r="AX1838" s="1194">
        <f>IFERROR(VLOOKUP(B1838,'Share, Heavy Weapons to Ukraine'!B:Z,COLUMN('Share, Heavy Weapons to Ukraine'!C1848)-1,0),0)</f>
        <v>1</v>
      </c>
      <c r="AY1838" s="1194">
        <f>VLOOKUP('Bilateral Assistance, MAIN DATA'!B1838,'Country Summary (€)'!B:F,COLUMN('Country Summary (€)'!C1849)-1,FALSE)</f>
        <v>0</v>
      </c>
      <c r="AZ1838" s="1194" t="str">
        <f>IF(AND(AD1838=1,D1838="Military",H1838&lt;&gt;"Not given")=TRUE,IF(SUMIFS(P:P,A:A,A1838)&gt;0,ABS((SUMIFS(P:P,A:A,A1838)/VLOOKUP("USD",'Exchange Rates'!B:C,2,0)))/S1838,"."),".")</f>
        <v>.</v>
      </c>
      <c r="BA1838" s="1196" t="str">
        <f>IF(AND(AD1838=1,D1838="Military",H1838&lt;&gt;"Not given")=TRUE,IF(SUMIFS(P:P,A:A,A1838)&gt;0,IF((ABS((SUMIFS(P:P,A:A,A1838)/VLOOKUP("USD",'Exchange Rates'!B:C,2,0)))/S1838)&gt;1,(SUMIFS(P:P,A:A,A1838)-S1838)/S1838,(S1838-SUMIFS(P:P,A:A,A1838))/SUMIFS(P:P,A:A,A1838)),"."),".")</f>
        <v>.</v>
      </c>
      <c r="BB1838" s="1208"/>
      <c r="BC1838" s="1208"/>
      <c r="BD1838" s="1208"/>
      <c r="BE1838" s="1208"/>
      <c r="BF1838" s="1208"/>
      <c r="BG1838" s="1208"/>
      <c r="BH1838" s="1208"/>
      <c r="BI1838" s="1208"/>
      <c r="BJ1838" s="1208"/>
      <c r="BK1838" s="1208"/>
      <c r="BL1838" s="1208"/>
      <c r="BM1838" s="1208"/>
      <c r="BN1838" s="1208"/>
      <c r="BO1838" s="1208"/>
      <c r="BP1838" s="1208"/>
      <c r="BQ1838" s="1208"/>
      <c r="BR1838" s="1208"/>
      <c r="BS1838" s="1208"/>
    </row>
    <row r="1839" spans="1:71" ht="15.95" customHeight="1">
      <c r="A1839" s="1208" t="s">
        <v>4310</v>
      </c>
      <c r="B1839" s="1208" t="s">
        <v>3949</v>
      </c>
      <c r="C1839" s="1209">
        <v>45020</v>
      </c>
      <c r="D1839" s="1208" t="s">
        <v>389</v>
      </c>
      <c r="E1839" s="1208" t="s">
        <v>390</v>
      </c>
      <c r="F1839" s="1208" t="s">
        <v>4343</v>
      </c>
      <c r="G1839" s="1184" t="s">
        <v>456</v>
      </c>
      <c r="H1839" s="1210">
        <v>500000000</v>
      </c>
      <c r="I1839" s="1208" t="s">
        <v>4345</v>
      </c>
      <c r="J1839" s="1186" t="str">
        <f>VLOOKUP($I1839,'Price List, Weapons &amp; Items'!B:C,2,0)</f>
        <v>Ammunition for heavy weapon</v>
      </c>
      <c r="K1839" s="1186" t="str">
        <f>IF(I1839=".",I1839,VLOOKUP($I1839,'Price List, Weapons &amp; Items'!B:D,3,0))</f>
        <v>105mm tank ammunition</v>
      </c>
      <c r="L1839" s="1187">
        <f>VLOOKUP(I1839,'Price List, Weapons &amp; Items'!B:E,4,0)</f>
        <v>0</v>
      </c>
      <c r="M1839" s="1188" t="s">
        <v>374</v>
      </c>
      <c r="N1839" s="1188" t="s">
        <v>374</v>
      </c>
      <c r="O1839" s="1188">
        <f>VLOOKUP($I1839,'Price List, Weapons &amp; Items'!B:G,6,0)</f>
        <v>2344.1999999999998</v>
      </c>
      <c r="P1839" s="1185" t="str">
        <f t="shared" si="386"/>
        <v>.</v>
      </c>
      <c r="Q1839" s="1185" t="str">
        <f t="shared" si="387"/>
        <v>.</v>
      </c>
      <c r="R1839" s="1185" t="str">
        <f t="shared" si="383"/>
        <v/>
      </c>
      <c r="S1839" s="1185" t="str">
        <f>IF(AND(AD1839=1,R1839&lt;&gt;".")=TRUE,R1839/VLOOKUP(G1839,'Exchange Rates'!B:C,2,0),IF(R1839=".",".",""))</f>
        <v/>
      </c>
      <c r="T1839" s="1185" t="str">
        <f>IF(AD1839=1,IF(AF1839="Value is not given at all",".",IF(AF1839="Value is given by the source",S1839,IF(AF1839="Value is calculated with prices",(IF(SUMIFS(Q:Q,A:A,A1839)&gt;0,SUMIFS(Q:Q,A:A,A1839),"."))/VLOOKUP("USD",'Exchange Rates'!B:C,2,0),"Error with coding"))),"")</f>
        <v/>
      </c>
      <c r="U1839" s="1191" t="s">
        <v>365</v>
      </c>
      <c r="V1839" s="983" t="s">
        <v>4344</v>
      </c>
      <c r="W1839" s="966" t="s">
        <v>4339</v>
      </c>
      <c r="X1839" s="1208" t="s">
        <v>364</v>
      </c>
      <c r="Y1839" s="1208" t="s">
        <v>364</v>
      </c>
      <c r="Z1839" s="1191">
        <v>0</v>
      </c>
      <c r="AA1839" s="1191">
        <v>1</v>
      </c>
      <c r="AB1839" s="1208" t="s">
        <v>364</v>
      </c>
      <c r="AC1839" s="1192" t="str">
        <f>""</f>
        <v/>
      </c>
      <c r="AD1839" s="1193">
        <v>0</v>
      </c>
      <c r="AE1839" s="1191" t="s">
        <v>368</v>
      </c>
      <c r="AF1839" s="1191" t="s">
        <v>369</v>
      </c>
      <c r="AG1839" s="1193">
        <v>1</v>
      </c>
      <c r="AH1839" s="1193">
        <v>16</v>
      </c>
      <c r="AI1839" s="1193">
        <v>0</v>
      </c>
      <c r="AJ1839" s="1193">
        <f>VLOOKUP($I1839,'Price List, Weapons &amp; Items'!B:F,5,0)</f>
        <v>0</v>
      </c>
      <c r="AK1839" s="1193">
        <f t="shared" si="388"/>
        <v>0</v>
      </c>
      <c r="AL1839" s="1193">
        <f t="shared" si="389"/>
        <v>0</v>
      </c>
      <c r="AM1839" s="1193">
        <f t="shared" si="390"/>
        <v>1</v>
      </c>
      <c r="AN1839" s="1194" t="str">
        <f>VLOOKUP($I1839,'Price List, Weapons &amp; Items'!B:L,COLUMN('Price List, Weapons &amp; Items'!$J$11)-1,0)</f>
        <v>Government information</v>
      </c>
      <c r="AO1839" s="1194" t="str">
        <f>IF(I1839=".",".",VLOOKUP($I1839,'Price List, Weapons &amp; Items'!B:J,3,0))</f>
        <v>105mm tank ammunition</v>
      </c>
      <c r="AP1839" s="1195" t="str">
        <f t="shared" ca="1" si="384"/>
        <v/>
      </c>
      <c r="AQ1839" s="1194" t="str">
        <f>VLOOKUP($I1839,'Price List, Weapons &amp; Items'!B:L,COLUMN('Price List, Weapons &amp; Items'!$L$11)-1,0)</f>
        <v>no price, 0 count</v>
      </c>
      <c r="AR1839" s="1194">
        <f t="shared" si="391"/>
        <v>1</v>
      </c>
      <c r="AS1839" s="1194">
        <f t="shared" si="392"/>
        <v>1</v>
      </c>
      <c r="AT1839" s="1194">
        <f t="shared" si="393"/>
        <v>1</v>
      </c>
      <c r="AU1839" s="1194" t="str">
        <f t="shared" si="395"/>
        <v>.</v>
      </c>
      <c r="AV1839" s="1194" t="str">
        <f t="shared" si="385"/>
        <v>.</v>
      </c>
      <c r="AW1839" s="1194" t="str">
        <f t="shared" si="394"/>
        <v>.</v>
      </c>
      <c r="AX1839" s="1194">
        <f>IFERROR(VLOOKUP(B1839,'Share, Heavy Weapons to Ukraine'!B:Z,COLUMN('Share, Heavy Weapons to Ukraine'!C1849)-1,0),0)</f>
        <v>1</v>
      </c>
      <c r="AY1839" s="1194">
        <f>VLOOKUP('Bilateral Assistance, MAIN DATA'!B1839,'Country Summary (€)'!B:F,COLUMN('Country Summary (€)'!C1850)-1,FALSE)</f>
        <v>0</v>
      </c>
      <c r="AZ1839" s="1194" t="str">
        <f>IF(AND(AD1839=1,D1839="Military",H1839&lt;&gt;"Not given")=TRUE,IF(SUMIFS(P:P,A:A,A1839)&gt;0,ABS((SUMIFS(P:P,A:A,A1839)/VLOOKUP("USD",'Exchange Rates'!B:C,2,0)))/S1839,"."),".")</f>
        <v>.</v>
      </c>
      <c r="BA1839" s="1196" t="str">
        <f>IF(AND(AD1839=1,D1839="Military",H1839&lt;&gt;"Not given")=TRUE,IF(SUMIFS(P:P,A:A,A1839)&gt;0,IF((ABS((SUMIFS(P:P,A:A,A1839)/VLOOKUP("USD",'Exchange Rates'!B:C,2,0)))/S1839)&gt;1,(SUMIFS(P:P,A:A,A1839)-S1839)/S1839,(S1839-SUMIFS(P:P,A:A,A1839))/SUMIFS(P:P,A:A,A1839)),"."),".")</f>
        <v>.</v>
      </c>
      <c r="BB1839" s="1208"/>
      <c r="BC1839" s="1208"/>
      <c r="BD1839" s="1208"/>
      <c r="BE1839" s="1208"/>
      <c r="BF1839" s="1208"/>
      <c r="BG1839" s="1208"/>
      <c r="BH1839" s="1208"/>
      <c r="BI1839" s="1208"/>
      <c r="BJ1839" s="1208"/>
      <c r="BK1839" s="1208"/>
      <c r="BL1839" s="1208"/>
      <c r="BM1839" s="1208"/>
      <c r="BN1839" s="1208"/>
      <c r="BO1839" s="1208"/>
      <c r="BP1839" s="1208"/>
      <c r="BQ1839" s="1208"/>
      <c r="BR1839" s="1208"/>
      <c r="BS1839" s="1208"/>
    </row>
    <row r="1840" spans="1:71" ht="15.95" customHeight="1">
      <c r="A1840" s="1208" t="s">
        <v>4310</v>
      </c>
      <c r="B1840" s="1208" t="s">
        <v>3949</v>
      </c>
      <c r="C1840" s="1209">
        <v>45020</v>
      </c>
      <c r="D1840" s="1208" t="s">
        <v>389</v>
      </c>
      <c r="E1840" s="1208" t="s">
        <v>390</v>
      </c>
      <c r="F1840" s="1208" t="s">
        <v>4343</v>
      </c>
      <c r="G1840" s="1184" t="s">
        <v>456</v>
      </c>
      <c r="H1840" s="1210">
        <v>500000000</v>
      </c>
      <c r="I1840" s="1208" t="s">
        <v>4316</v>
      </c>
      <c r="J1840" s="1186" t="str">
        <f>VLOOKUP($I1840,'Price List, Weapons &amp; Items'!B:C,2,0)</f>
        <v>Ammunition</v>
      </c>
      <c r="K1840" s="1186" t="str">
        <f>IF(I1840=".",I1840,VLOOKUP($I1840,'Price List, Weapons &amp; Items'!B:D,3,0))</f>
        <v>ammunition</v>
      </c>
      <c r="L1840" s="1187">
        <f>VLOOKUP(I1840,'Price List, Weapons &amp; Items'!B:E,4,0)</f>
        <v>0</v>
      </c>
      <c r="M1840" s="1188" t="s">
        <v>374</v>
      </c>
      <c r="N1840" s="1188" t="s">
        <v>374</v>
      </c>
      <c r="O1840" s="1188">
        <f>VLOOKUP($I1840,'Price List, Weapons &amp; Items'!B:G,6,0)</f>
        <v>140.58000000000001</v>
      </c>
      <c r="P1840" s="1185" t="str">
        <f t="shared" si="386"/>
        <v>.</v>
      </c>
      <c r="Q1840" s="1185" t="str">
        <f t="shared" si="387"/>
        <v>.</v>
      </c>
      <c r="R1840" s="1185" t="str">
        <f t="shared" si="383"/>
        <v/>
      </c>
      <c r="S1840" s="1185" t="str">
        <f>IF(AND(AD1840=1,R1840&lt;&gt;".")=TRUE,R1840/VLOOKUP(G1840,'Exchange Rates'!B:C,2,0),IF(R1840=".",".",""))</f>
        <v/>
      </c>
      <c r="T1840" s="1185" t="str">
        <f>IF(AD1840=1,IF(AF1840="Value is not given at all",".",IF(AF1840="Value is given by the source",S1840,IF(AF1840="Value is calculated with prices",(IF(SUMIFS(Q:Q,A:A,A1840)&gt;0,SUMIFS(Q:Q,A:A,A1840),"."))/VLOOKUP("USD",'Exchange Rates'!B:C,2,0),"Error with coding"))),"")</f>
        <v/>
      </c>
      <c r="U1840" s="1191" t="s">
        <v>365</v>
      </c>
      <c r="V1840" s="983" t="s">
        <v>4344</v>
      </c>
      <c r="W1840" s="966" t="s">
        <v>4339</v>
      </c>
      <c r="X1840" s="1208" t="s">
        <v>364</v>
      </c>
      <c r="Y1840" s="1208" t="s">
        <v>364</v>
      </c>
      <c r="Z1840" s="1191">
        <v>0</v>
      </c>
      <c r="AA1840" s="1191">
        <v>1</v>
      </c>
      <c r="AB1840" s="1208" t="s">
        <v>364</v>
      </c>
      <c r="AC1840" s="1192" t="str">
        <f>""</f>
        <v/>
      </c>
      <c r="AD1840" s="1193">
        <v>0</v>
      </c>
      <c r="AE1840" s="1191" t="s">
        <v>368</v>
      </c>
      <c r="AF1840" s="1191" t="s">
        <v>369</v>
      </c>
      <c r="AG1840" s="1193">
        <v>1</v>
      </c>
      <c r="AH1840" s="1193">
        <v>16</v>
      </c>
      <c r="AI1840" s="1193">
        <v>0</v>
      </c>
      <c r="AJ1840" s="1193">
        <f>VLOOKUP($I1840,'Price List, Weapons &amp; Items'!B:F,5,0)</f>
        <v>0</v>
      </c>
      <c r="AK1840" s="1193">
        <f t="shared" si="388"/>
        <v>0</v>
      </c>
      <c r="AL1840" s="1193">
        <f t="shared" si="389"/>
        <v>0</v>
      </c>
      <c r="AM1840" s="1193">
        <f t="shared" si="390"/>
        <v>1</v>
      </c>
      <c r="AN1840" s="1194" t="str">
        <f>VLOOKUP($I1840,'Price List, Weapons &amp; Items'!B:L,COLUMN('Price List, Weapons &amp; Items'!$J$11)-1,0)</f>
        <v>Military media (incl. websites)</v>
      </c>
      <c r="AO1840" s="1194" t="str">
        <f>IF(I1840=".",".",VLOOKUP($I1840,'Price List, Weapons &amp; Items'!B:J,3,0))</f>
        <v>ammunition</v>
      </c>
      <c r="AP1840" s="1195" t="str">
        <f t="shared" ca="1" si="384"/>
        <v/>
      </c>
      <c r="AQ1840" s="1194">
        <f>VLOOKUP($I1840,'Price List, Weapons &amp; Items'!B:L,COLUMN('Price List, Weapons &amp; Items'!$L$11)-1,0)</f>
        <v>2</v>
      </c>
      <c r="AR1840" s="1194">
        <f t="shared" si="391"/>
        <v>1</v>
      </c>
      <c r="AS1840" s="1194">
        <f t="shared" si="392"/>
        <v>1</v>
      </c>
      <c r="AT1840" s="1194">
        <f t="shared" si="393"/>
        <v>1</v>
      </c>
      <c r="AU1840" s="1194" t="str">
        <f t="shared" si="395"/>
        <v>.</v>
      </c>
      <c r="AV1840" s="1194" t="str">
        <f t="shared" si="385"/>
        <v>.</v>
      </c>
      <c r="AW1840" s="1194" t="str">
        <f t="shared" si="394"/>
        <v>.</v>
      </c>
      <c r="AX1840" s="1194">
        <f>IFERROR(VLOOKUP(B1840,'Share, Heavy Weapons to Ukraine'!B:Z,COLUMN('Share, Heavy Weapons to Ukraine'!C1850)-1,0),0)</f>
        <v>1</v>
      </c>
      <c r="AY1840" s="1194">
        <f>VLOOKUP('Bilateral Assistance, MAIN DATA'!B1840,'Country Summary (€)'!B:F,COLUMN('Country Summary (€)'!C1851)-1,FALSE)</f>
        <v>0</v>
      </c>
      <c r="AZ1840" s="1194" t="str">
        <f>IF(AND(AD1840=1,D1840="Military",H1840&lt;&gt;"Not given")=TRUE,IF(SUMIFS(P:P,A:A,A1840)&gt;0,ABS((SUMIFS(P:P,A:A,A1840)/VLOOKUP("USD",'Exchange Rates'!B:C,2,0)))/S1840,"."),".")</f>
        <v>.</v>
      </c>
      <c r="BA1840" s="1196" t="str">
        <f>IF(AND(AD1840=1,D1840="Military",H1840&lt;&gt;"Not given")=TRUE,IF(SUMIFS(P:P,A:A,A1840)&gt;0,IF((ABS((SUMIFS(P:P,A:A,A1840)/VLOOKUP("USD",'Exchange Rates'!B:C,2,0)))/S1840)&gt;1,(SUMIFS(P:P,A:A,A1840)-S1840)/S1840,(S1840-SUMIFS(P:P,A:A,A1840))/SUMIFS(P:P,A:A,A1840)),"."),".")</f>
        <v>.</v>
      </c>
      <c r="BB1840" s="1208"/>
      <c r="BC1840" s="1208"/>
      <c r="BD1840" s="1208"/>
      <c r="BE1840" s="1208"/>
      <c r="BF1840" s="1208"/>
      <c r="BG1840" s="1208"/>
      <c r="BH1840" s="1208"/>
      <c r="BI1840" s="1208"/>
      <c r="BJ1840" s="1208"/>
      <c r="BK1840" s="1208"/>
      <c r="BL1840" s="1208"/>
      <c r="BM1840" s="1208"/>
      <c r="BN1840" s="1208"/>
      <c r="BO1840" s="1208"/>
      <c r="BP1840" s="1208"/>
      <c r="BQ1840" s="1208"/>
      <c r="BR1840" s="1208"/>
      <c r="BS1840" s="1208"/>
    </row>
    <row r="1841" spans="1:71" ht="15.95" customHeight="1">
      <c r="A1841" s="1208" t="s">
        <v>4310</v>
      </c>
      <c r="B1841" s="1208" t="s">
        <v>3949</v>
      </c>
      <c r="C1841" s="1209">
        <v>45020</v>
      </c>
      <c r="D1841" s="1208" t="s">
        <v>389</v>
      </c>
      <c r="E1841" s="1208" t="s">
        <v>390</v>
      </c>
      <c r="F1841" s="1208" t="s">
        <v>4343</v>
      </c>
      <c r="G1841" s="1184" t="s">
        <v>456</v>
      </c>
      <c r="H1841" s="1210">
        <v>500000000</v>
      </c>
      <c r="I1841" s="1208" t="s">
        <v>4164</v>
      </c>
      <c r="J1841" s="1186" t="str">
        <f>VLOOKUP($I1841,'Price List, Weapons &amp; Items'!B:C,2,0)</f>
        <v>Ammunition for portable defence system</v>
      </c>
      <c r="K1841" s="1186" t="str">
        <f>IF(I1841=".",I1841,VLOOKUP($I1841,'Price List, Weapons &amp; Items'!B:D,3,0))</f>
        <v>Light Anti-armor Weapon (LAW) ammunition</v>
      </c>
      <c r="L1841" s="1187">
        <f>VLOOKUP(I1841,'Price List, Weapons &amp; Items'!B:E,4,0)</f>
        <v>0</v>
      </c>
      <c r="M1841" s="1188" t="s">
        <v>374</v>
      </c>
      <c r="N1841" s="1188" t="s">
        <v>374</v>
      </c>
      <c r="O1841" s="1188">
        <f>VLOOKUP($I1841,'Price List, Weapons &amp; Items'!B:G,6,0)</f>
        <v>93647</v>
      </c>
      <c r="P1841" s="1185" t="str">
        <f t="shared" si="386"/>
        <v>.</v>
      </c>
      <c r="Q1841" s="1185" t="str">
        <f t="shared" si="387"/>
        <v>.</v>
      </c>
      <c r="R1841" s="1185" t="str">
        <f t="shared" si="383"/>
        <v/>
      </c>
      <c r="S1841" s="1185" t="str">
        <f>IF(AND(AD1841=1,R1841&lt;&gt;".")=TRUE,R1841/VLOOKUP(G1841,'Exchange Rates'!B:C,2,0),IF(R1841=".",".",""))</f>
        <v/>
      </c>
      <c r="T1841" s="1185" t="str">
        <f>IF(AD1841=1,IF(AF1841="Value is not given at all",".",IF(AF1841="Value is given by the source",S1841,IF(AF1841="Value is calculated with prices",(IF(SUMIFS(Q:Q,A:A,A1841)&gt;0,SUMIFS(Q:Q,A:A,A1841),"."))/VLOOKUP("USD",'Exchange Rates'!B:C,2,0),"Error with coding"))),"")</f>
        <v/>
      </c>
      <c r="U1841" s="1191" t="s">
        <v>365</v>
      </c>
      <c r="V1841" s="983" t="s">
        <v>4344</v>
      </c>
      <c r="W1841" s="966" t="s">
        <v>4339</v>
      </c>
      <c r="X1841" s="1208" t="s">
        <v>364</v>
      </c>
      <c r="Y1841" s="1208" t="s">
        <v>364</v>
      </c>
      <c r="Z1841" s="1191">
        <v>0</v>
      </c>
      <c r="AA1841" s="1191">
        <v>1</v>
      </c>
      <c r="AB1841" s="1208" t="s">
        <v>364</v>
      </c>
      <c r="AC1841" s="1192" t="str">
        <f>""</f>
        <v/>
      </c>
      <c r="AD1841" s="1193">
        <v>0</v>
      </c>
      <c r="AE1841" s="1191" t="s">
        <v>368</v>
      </c>
      <c r="AF1841" s="1191" t="s">
        <v>369</v>
      </c>
      <c r="AG1841" s="1193">
        <v>1</v>
      </c>
      <c r="AH1841" s="1193">
        <v>16</v>
      </c>
      <c r="AI1841" s="1193">
        <v>0</v>
      </c>
      <c r="AJ1841" s="1193">
        <f>VLOOKUP($I1841,'Price List, Weapons &amp; Items'!B:F,5,0)</f>
        <v>0</v>
      </c>
      <c r="AK1841" s="1193">
        <f t="shared" si="388"/>
        <v>0</v>
      </c>
      <c r="AL1841" s="1193">
        <f t="shared" si="389"/>
        <v>0</v>
      </c>
      <c r="AM1841" s="1193">
        <f t="shared" si="390"/>
        <v>0</v>
      </c>
      <c r="AN1841" s="1194" t="str">
        <f>VLOOKUP($I1841,'Price List, Weapons &amp; Items'!B:L,COLUMN('Price List, Weapons &amp; Items'!$J$11)-1,0)</f>
        <v>Military media (incl. websites)</v>
      </c>
      <c r="AO1841" s="1194" t="str">
        <f>IF(I1841=".",".",VLOOKUP($I1841,'Price List, Weapons &amp; Items'!B:J,3,0))</f>
        <v>Light Anti-armor Weapon (LAW) ammunition</v>
      </c>
      <c r="AP1841" s="1195" t="str">
        <f t="shared" ca="1" si="384"/>
        <v/>
      </c>
      <c r="AQ1841" s="1194">
        <f>VLOOKUP($I1841,'Price List, Weapons &amp; Items'!B:L,COLUMN('Price List, Weapons &amp; Items'!$L$11)-1,0)</f>
        <v>2</v>
      </c>
      <c r="AR1841" s="1194">
        <f t="shared" si="391"/>
        <v>1</v>
      </c>
      <c r="AS1841" s="1194">
        <f t="shared" si="392"/>
        <v>1</v>
      </c>
      <c r="AT1841" s="1194">
        <f t="shared" si="393"/>
        <v>1</v>
      </c>
      <c r="AU1841" s="1194" t="str">
        <f t="shared" si="395"/>
        <v>.</v>
      </c>
      <c r="AV1841" s="1194" t="str">
        <f t="shared" si="385"/>
        <v>.</v>
      </c>
      <c r="AW1841" s="1194" t="str">
        <f t="shared" si="394"/>
        <v>.</v>
      </c>
      <c r="AX1841" s="1194">
        <f>IFERROR(VLOOKUP(B1841,'Share, Heavy Weapons to Ukraine'!B:Z,COLUMN('Share, Heavy Weapons to Ukraine'!C1851)-1,0),0)</f>
        <v>1</v>
      </c>
      <c r="AY1841" s="1194">
        <f>VLOOKUP('Bilateral Assistance, MAIN DATA'!B1841,'Country Summary (€)'!B:F,COLUMN('Country Summary (€)'!C1852)-1,FALSE)</f>
        <v>0</v>
      </c>
      <c r="AZ1841" s="1194" t="str">
        <f>IF(AND(AD1841=1,D1841="Military",H1841&lt;&gt;"Not given")=TRUE,IF(SUMIFS(P:P,A:A,A1841)&gt;0,ABS((SUMIFS(P:P,A:A,A1841)/VLOOKUP("USD",'Exchange Rates'!B:C,2,0)))/S1841,"."),".")</f>
        <v>.</v>
      </c>
      <c r="BA1841" s="1196" t="str">
        <f>IF(AND(AD1841=1,D1841="Military",H1841&lt;&gt;"Not given")=TRUE,IF(SUMIFS(P:P,A:A,A1841)&gt;0,IF((ABS((SUMIFS(P:P,A:A,A1841)/VLOOKUP("USD",'Exchange Rates'!B:C,2,0)))/S1841)&gt;1,(SUMIFS(P:P,A:A,A1841)-S1841)/S1841,(S1841-SUMIFS(P:P,A:A,A1841))/SUMIFS(P:P,A:A,A1841)),"."),".")</f>
        <v>.</v>
      </c>
      <c r="BB1841" s="1208"/>
      <c r="BC1841" s="1208"/>
      <c r="BD1841" s="1208"/>
      <c r="BE1841" s="1208"/>
      <c r="BF1841" s="1208"/>
      <c r="BG1841" s="1208"/>
      <c r="BH1841" s="1208"/>
      <c r="BI1841" s="1208"/>
      <c r="BJ1841" s="1208"/>
      <c r="BK1841" s="1208"/>
      <c r="BL1841" s="1208"/>
      <c r="BM1841" s="1208"/>
      <c r="BN1841" s="1208"/>
      <c r="BO1841" s="1208"/>
      <c r="BP1841" s="1208"/>
      <c r="BQ1841" s="1208"/>
      <c r="BR1841" s="1208"/>
      <c r="BS1841" s="1208"/>
    </row>
    <row r="1842" spans="1:71" ht="15.95" customHeight="1">
      <c r="A1842" s="1208" t="s">
        <v>4310</v>
      </c>
      <c r="B1842" s="1208" t="s">
        <v>3949</v>
      </c>
      <c r="C1842" s="1209">
        <v>45020</v>
      </c>
      <c r="D1842" s="1208" t="s">
        <v>389</v>
      </c>
      <c r="E1842" s="1208" t="s">
        <v>390</v>
      </c>
      <c r="F1842" s="1208" t="s">
        <v>4343</v>
      </c>
      <c r="G1842" s="1184" t="s">
        <v>456</v>
      </c>
      <c r="H1842" s="1210">
        <v>500000000</v>
      </c>
      <c r="I1842" s="1208" t="s">
        <v>648</v>
      </c>
      <c r="J1842" s="1186" t="str">
        <f>VLOOKUP($I1842,'Price List, Weapons &amp; Items'!B:C,2,0)</f>
        <v>Light armaments &amp; infantry</v>
      </c>
      <c r="K1842" s="1186" t="str">
        <f>IF(I1842=".",I1842,VLOOKUP($I1842,'Price List, Weapons &amp; Items'!B:D,3,0))</f>
        <v>Light Anti-armor Weapon (LAW)</v>
      </c>
      <c r="L1842" s="1187">
        <f>VLOOKUP(I1842,'Price List, Weapons &amp; Items'!B:E,4,0)</f>
        <v>0</v>
      </c>
      <c r="M1842" s="1188">
        <v>400</v>
      </c>
      <c r="N1842" s="1188" t="s">
        <v>374</v>
      </c>
      <c r="O1842" s="1188">
        <f>VLOOKUP($I1842,'Price List, Weapons &amp; Items'!B:G,6,0)</f>
        <v>2099</v>
      </c>
      <c r="P1842" s="1185">
        <f t="shared" si="386"/>
        <v>839600</v>
      </c>
      <c r="Q1842" s="1185" t="str">
        <f t="shared" si="387"/>
        <v>.</v>
      </c>
      <c r="R1842" s="1185" t="str">
        <f t="shared" si="383"/>
        <v/>
      </c>
      <c r="S1842" s="1185" t="str">
        <f>IF(AND(AD1842=1,R1842&lt;&gt;".")=TRUE,R1842/VLOOKUP(G1842,'Exchange Rates'!B:C,2,0),IF(R1842=".",".",""))</f>
        <v/>
      </c>
      <c r="T1842" s="1185" t="str">
        <f>IF(AD1842=1,IF(AF1842="Value is not given at all",".",IF(AF1842="Value is given by the source",S1842,IF(AF1842="Value is calculated with prices",(IF(SUMIFS(Q:Q,A:A,A1842)&gt;0,SUMIFS(Q:Q,A:A,A1842),"."))/VLOOKUP("USD",'Exchange Rates'!B:C,2,0),"Error with coding"))),"")</f>
        <v/>
      </c>
      <c r="U1842" s="1191" t="s">
        <v>365</v>
      </c>
      <c r="V1842" s="983" t="s">
        <v>4344</v>
      </c>
      <c r="W1842" s="966" t="s">
        <v>4339</v>
      </c>
      <c r="X1842" s="1208" t="s">
        <v>364</v>
      </c>
      <c r="Y1842" s="1208" t="s">
        <v>364</v>
      </c>
      <c r="Z1842" s="1191">
        <v>0</v>
      </c>
      <c r="AA1842" s="1191">
        <v>1</v>
      </c>
      <c r="AB1842" s="1208" t="s">
        <v>364</v>
      </c>
      <c r="AC1842" s="1192" t="str">
        <f>""</f>
        <v/>
      </c>
      <c r="AD1842" s="1193">
        <v>0</v>
      </c>
      <c r="AE1842" s="1191" t="s">
        <v>368</v>
      </c>
      <c r="AF1842" s="1191" t="s">
        <v>369</v>
      </c>
      <c r="AG1842" s="1193">
        <v>1</v>
      </c>
      <c r="AH1842" s="1193">
        <v>16</v>
      </c>
      <c r="AI1842" s="1193">
        <v>0</v>
      </c>
      <c r="AJ1842" s="1193">
        <f>VLOOKUP($I1842,'Price List, Weapons &amp; Items'!B:F,5,0)</f>
        <v>0</v>
      </c>
      <c r="AK1842" s="1193">
        <f t="shared" si="388"/>
        <v>0</v>
      </c>
      <c r="AL1842" s="1193">
        <f t="shared" si="389"/>
        <v>0</v>
      </c>
      <c r="AM1842" s="1193">
        <f t="shared" si="390"/>
        <v>0</v>
      </c>
      <c r="AN1842" s="1194" t="str">
        <f>VLOOKUP($I1842,'Price List, Weapons &amp; Items'!B:L,COLUMN('Price List, Weapons &amp; Items'!$J$11)-1,0)</f>
        <v>Media reports (incl. social media)</v>
      </c>
      <c r="AO1842" s="1194" t="str">
        <f>IF(I1842=".",".",VLOOKUP($I1842,'Price List, Weapons &amp; Items'!B:J,3,0))</f>
        <v>Light Anti-armor Weapon (LAW)</v>
      </c>
      <c r="AP1842" s="1195" t="str">
        <f t="shared" ca="1" si="384"/>
        <v/>
      </c>
      <c r="AQ1842" s="1194">
        <f>VLOOKUP($I1842,'Price List, Weapons &amp; Items'!B:L,COLUMN('Price List, Weapons &amp; Items'!$L$11)-1,0)</f>
        <v>2</v>
      </c>
      <c r="AR1842" s="1194">
        <f t="shared" si="391"/>
        <v>1</v>
      </c>
      <c r="AS1842" s="1194">
        <f t="shared" si="392"/>
        <v>1</v>
      </c>
      <c r="AT1842" s="1194">
        <f t="shared" si="393"/>
        <v>1</v>
      </c>
      <c r="AU1842" s="1194" t="str">
        <f t="shared" si="395"/>
        <v>.</v>
      </c>
      <c r="AV1842" s="1194" t="str">
        <f t="shared" si="385"/>
        <v>.</v>
      </c>
      <c r="AW1842" s="1194" t="str">
        <f t="shared" si="394"/>
        <v>.</v>
      </c>
      <c r="AX1842" s="1194">
        <f>IFERROR(VLOOKUP(B1842,'Share, Heavy Weapons to Ukraine'!B:Z,COLUMN('Share, Heavy Weapons to Ukraine'!C1852)-1,0),0)</f>
        <v>1</v>
      </c>
      <c r="AY1842" s="1194">
        <f>VLOOKUP('Bilateral Assistance, MAIN DATA'!B1842,'Country Summary (€)'!B:F,COLUMN('Country Summary (€)'!C1853)-1,FALSE)</f>
        <v>0</v>
      </c>
      <c r="AZ1842" s="1194" t="str">
        <f>IF(AND(AD1842=1,D1842="Military",H1842&lt;&gt;"Not given")=TRUE,IF(SUMIFS(P:P,A:A,A1842)&gt;0,ABS((SUMIFS(P:P,A:A,A1842)/VLOOKUP("USD",'Exchange Rates'!B:C,2,0)))/S1842,"."),".")</f>
        <v>.</v>
      </c>
      <c r="BA1842" s="1196" t="str">
        <f>IF(AND(AD1842=1,D1842="Military",H1842&lt;&gt;"Not given")=TRUE,IF(SUMIFS(P:P,A:A,A1842)&gt;0,IF((ABS((SUMIFS(P:P,A:A,A1842)/VLOOKUP("USD",'Exchange Rates'!B:C,2,0)))/S1842)&gt;1,(SUMIFS(P:P,A:A,A1842)-S1842)/S1842,(S1842-SUMIFS(P:P,A:A,A1842))/SUMIFS(P:P,A:A,A1842)),"."),".")</f>
        <v>.</v>
      </c>
      <c r="BB1842" s="1208"/>
      <c r="BC1842" s="1208"/>
      <c r="BD1842" s="1208"/>
      <c r="BE1842" s="1208"/>
      <c r="BF1842" s="1208"/>
      <c r="BG1842" s="1208"/>
      <c r="BH1842" s="1208"/>
      <c r="BI1842" s="1208"/>
      <c r="BJ1842" s="1208"/>
      <c r="BK1842" s="1208"/>
      <c r="BL1842" s="1208"/>
      <c r="BM1842" s="1208"/>
      <c r="BN1842" s="1208"/>
      <c r="BO1842" s="1208"/>
      <c r="BP1842" s="1208"/>
      <c r="BQ1842" s="1208"/>
      <c r="BR1842" s="1208"/>
      <c r="BS1842" s="1208"/>
    </row>
    <row r="1843" spans="1:71" ht="15.95" customHeight="1">
      <c r="A1843" s="1208" t="s">
        <v>4310</v>
      </c>
      <c r="B1843" s="1208" t="s">
        <v>3949</v>
      </c>
      <c r="C1843" s="1209">
        <v>45020</v>
      </c>
      <c r="D1843" s="1208" t="s">
        <v>389</v>
      </c>
      <c r="E1843" s="1208" t="s">
        <v>390</v>
      </c>
      <c r="F1843" s="1208" t="s">
        <v>4343</v>
      </c>
      <c r="G1843" s="1184" t="s">
        <v>456</v>
      </c>
      <c r="H1843" s="1210">
        <v>500000000</v>
      </c>
      <c r="I1843" s="1208" t="s">
        <v>4013</v>
      </c>
      <c r="J1843" s="1186" t="str">
        <f>VLOOKUP($I1843,'Price List, Weapons &amp; Items'!B:C,2,0)</f>
        <v>Ammunition for light infantry</v>
      </c>
      <c r="K1843" s="1186" t="str">
        <f>IF(I1843=".",I1843,VLOOKUP($I1843,'Price List, Weapons &amp; Items'!B:D,3,0))</f>
        <v>Small Arms and Light Weapons (SALW) ammunition</v>
      </c>
      <c r="L1843" s="1187">
        <f>VLOOKUP(I1843,'Price List, Weapons &amp; Items'!B:E,4,0)</f>
        <v>0</v>
      </c>
      <c r="M1843" s="1188">
        <v>200000</v>
      </c>
      <c r="N1843" s="1188" t="s">
        <v>374</v>
      </c>
      <c r="O1843" s="1188">
        <f>VLOOKUP($I1843,'Price List, Weapons &amp; Items'!B:G,6,0)</f>
        <v>5</v>
      </c>
      <c r="P1843" s="1185">
        <f t="shared" si="386"/>
        <v>1000000</v>
      </c>
      <c r="Q1843" s="1185" t="str">
        <f t="shared" si="387"/>
        <v>.</v>
      </c>
      <c r="R1843" s="1185" t="str">
        <f t="shared" si="383"/>
        <v/>
      </c>
      <c r="S1843" s="1185" t="str">
        <f>IF(AND(AD1843=1,R1843&lt;&gt;".")=TRUE,R1843/VLOOKUP(G1843,'Exchange Rates'!B:C,2,0),IF(R1843=".",".",""))</f>
        <v/>
      </c>
      <c r="T1843" s="1185" t="str">
        <f>IF(AD1843=1,IF(AF1843="Value is not given at all",".",IF(AF1843="Value is given by the source",S1843,IF(AF1843="Value is calculated with prices",(IF(SUMIFS(Q:Q,A:A,A1843)&gt;0,SUMIFS(Q:Q,A:A,A1843),"."))/VLOOKUP("USD",'Exchange Rates'!B:C,2,0),"Error with coding"))),"")</f>
        <v/>
      </c>
      <c r="U1843" s="1191" t="s">
        <v>365</v>
      </c>
      <c r="V1843" s="983" t="s">
        <v>4344</v>
      </c>
      <c r="W1843" s="966" t="s">
        <v>4339</v>
      </c>
      <c r="X1843" s="1208" t="s">
        <v>364</v>
      </c>
      <c r="Y1843" s="1208" t="s">
        <v>364</v>
      </c>
      <c r="Z1843" s="1191">
        <v>0</v>
      </c>
      <c r="AA1843" s="1191">
        <v>1</v>
      </c>
      <c r="AB1843" s="1208" t="s">
        <v>364</v>
      </c>
      <c r="AC1843" s="1192" t="str">
        <f>""</f>
        <v/>
      </c>
      <c r="AD1843" s="1193">
        <v>0</v>
      </c>
      <c r="AE1843" s="1191" t="s">
        <v>368</v>
      </c>
      <c r="AF1843" s="1191" t="s">
        <v>369</v>
      </c>
      <c r="AG1843" s="1193">
        <v>1</v>
      </c>
      <c r="AH1843" s="1193">
        <v>16</v>
      </c>
      <c r="AI1843" s="1193">
        <v>0</v>
      </c>
      <c r="AJ1843" s="1193">
        <f>VLOOKUP($I1843,'Price List, Weapons &amp; Items'!B:F,5,0)</f>
        <v>0</v>
      </c>
      <c r="AK1843" s="1193">
        <f t="shared" si="388"/>
        <v>0</v>
      </c>
      <c r="AL1843" s="1193">
        <f t="shared" si="389"/>
        <v>0</v>
      </c>
      <c r="AM1843" s="1193">
        <f t="shared" si="390"/>
        <v>1</v>
      </c>
      <c r="AN1843" s="1194" t="str">
        <f>VLOOKUP($I1843,'Price List, Weapons &amp; Items'!B:L,COLUMN('Price List, Weapons &amp; Items'!$J$11)-1,0)</f>
        <v>Miscellaneous</v>
      </c>
      <c r="AO1843" s="1194" t="str">
        <f>IF(I1843=".",".",VLOOKUP($I1843,'Price List, Weapons &amp; Items'!B:J,3,0))</f>
        <v>Small Arms and Light Weapons (SALW) ammunition</v>
      </c>
      <c r="AP1843" s="1195" t="str">
        <f t="shared" ca="1" si="384"/>
        <v/>
      </c>
      <c r="AQ1843" s="1194">
        <f>VLOOKUP($I1843,'Price List, Weapons &amp; Items'!B:L,COLUMN('Price List, Weapons &amp; Items'!$L$11)-1,0)</f>
        <v>2</v>
      </c>
      <c r="AR1843" s="1194">
        <f t="shared" si="391"/>
        <v>1</v>
      </c>
      <c r="AS1843" s="1194">
        <f t="shared" si="392"/>
        <v>1</v>
      </c>
      <c r="AT1843" s="1194">
        <f t="shared" si="393"/>
        <v>1</v>
      </c>
      <c r="AU1843" s="1194" t="str">
        <f t="shared" si="395"/>
        <v>.</v>
      </c>
      <c r="AV1843" s="1194" t="str">
        <f t="shared" si="385"/>
        <v>.</v>
      </c>
      <c r="AW1843" s="1194" t="str">
        <f t="shared" si="394"/>
        <v>.</v>
      </c>
      <c r="AX1843" s="1194">
        <f>IFERROR(VLOOKUP(B1843,'Share, Heavy Weapons to Ukraine'!B:Z,COLUMN('Share, Heavy Weapons to Ukraine'!C1853)-1,0),0)</f>
        <v>1</v>
      </c>
      <c r="AY1843" s="1194">
        <f>VLOOKUP('Bilateral Assistance, MAIN DATA'!B1843,'Country Summary (€)'!B:F,COLUMN('Country Summary (€)'!C1854)-1,FALSE)</f>
        <v>0</v>
      </c>
      <c r="AZ1843" s="1194" t="str">
        <f>IF(AND(AD1843=1,D1843="Military",H1843&lt;&gt;"Not given")=TRUE,IF(SUMIFS(P:P,A:A,A1843)&gt;0,ABS((SUMIFS(P:P,A:A,A1843)/VLOOKUP("USD",'Exchange Rates'!B:C,2,0)))/S1843,"."),".")</f>
        <v>.</v>
      </c>
      <c r="BA1843" s="1196" t="str">
        <f>IF(AND(AD1843=1,D1843="Military",H1843&lt;&gt;"Not given")=TRUE,IF(SUMIFS(P:P,A:A,A1843)&gt;0,IF((ABS((SUMIFS(P:P,A:A,A1843)/VLOOKUP("USD",'Exchange Rates'!B:C,2,0)))/S1843)&gt;1,(SUMIFS(P:P,A:A,A1843)-S1843)/S1843,(S1843-SUMIFS(P:P,A:A,A1843))/SUMIFS(P:P,A:A,A1843)),"."),".")</f>
        <v>.</v>
      </c>
      <c r="BB1843" s="1208"/>
      <c r="BC1843" s="1208"/>
      <c r="BD1843" s="1208"/>
      <c r="BE1843" s="1208"/>
      <c r="BF1843" s="1208"/>
      <c r="BG1843" s="1208"/>
      <c r="BH1843" s="1208"/>
      <c r="BI1843" s="1208"/>
      <c r="BJ1843" s="1208"/>
      <c r="BK1843" s="1208"/>
      <c r="BL1843" s="1208"/>
      <c r="BM1843" s="1208"/>
      <c r="BN1843" s="1208"/>
      <c r="BO1843" s="1208"/>
      <c r="BP1843" s="1208"/>
      <c r="BQ1843" s="1208"/>
      <c r="BR1843" s="1208"/>
      <c r="BS1843" s="1208"/>
    </row>
    <row r="1844" spans="1:71" ht="15.95" customHeight="1">
      <c r="A1844" s="1208" t="s">
        <v>4310</v>
      </c>
      <c r="B1844" s="1208" t="s">
        <v>3949</v>
      </c>
      <c r="C1844" s="1209">
        <v>45020</v>
      </c>
      <c r="D1844" s="1208" t="s">
        <v>389</v>
      </c>
      <c r="E1844" s="1208" t="s">
        <v>390</v>
      </c>
      <c r="F1844" s="1208" t="s">
        <v>4343</v>
      </c>
      <c r="G1844" s="1184" t="s">
        <v>456</v>
      </c>
      <c r="H1844" s="1210">
        <v>500000000</v>
      </c>
      <c r="I1844" s="1208" t="s">
        <v>4336</v>
      </c>
      <c r="J1844" s="1186" t="str">
        <f>VLOOKUP($I1844,'Price List, Weapons &amp; Items'!B:C,2,0)</f>
        <v>Heavy weapon</v>
      </c>
      <c r="K1844" s="1186" t="str">
        <f>IF(I1844=".",I1844,VLOOKUP($I1844,'Price List, Weapons &amp; Items'!B:D,3,0))</f>
        <v>Armored Recovery Vehicle (ARV)</v>
      </c>
      <c r="L1844" s="1187">
        <f>VLOOKUP(I1844,'Price List, Weapons &amp; Items'!B:E,4,0)</f>
        <v>0</v>
      </c>
      <c r="M1844" s="1188">
        <v>11</v>
      </c>
      <c r="N1844" s="1188" t="s">
        <v>374</v>
      </c>
      <c r="O1844" s="1188">
        <f>VLOOKUP($I1844,'Price List, Weapons &amp; Items'!B:G,6,0)</f>
        <v>6654468.8715460701</v>
      </c>
      <c r="P1844" s="1185">
        <f t="shared" si="386"/>
        <v>73199157.587006778</v>
      </c>
      <c r="Q1844" s="1185" t="str">
        <f t="shared" si="387"/>
        <v>.</v>
      </c>
      <c r="R1844" s="1185" t="str">
        <f t="shared" si="383"/>
        <v/>
      </c>
      <c r="S1844" s="1185" t="str">
        <f>IF(AND(AD1844=1,R1844&lt;&gt;".")=TRUE,R1844/VLOOKUP(G1844,'Exchange Rates'!B:C,2,0),IF(R1844=".",".",""))</f>
        <v/>
      </c>
      <c r="T1844" s="1185" t="str">
        <f>IF(AD1844=1,IF(AF1844="Value is not given at all",".",IF(AF1844="Value is given by the source",S1844,IF(AF1844="Value is calculated with prices",(IF(SUMIFS(Q:Q,A:A,A1844)&gt;0,SUMIFS(Q:Q,A:A,A1844),"."))/VLOOKUP("USD",'Exchange Rates'!B:C,2,0),"Error with coding"))),"")</f>
        <v/>
      </c>
      <c r="U1844" s="1191" t="s">
        <v>365</v>
      </c>
      <c r="V1844" s="983" t="s">
        <v>4344</v>
      </c>
      <c r="W1844" s="966" t="s">
        <v>4339</v>
      </c>
      <c r="X1844" s="1208" t="s">
        <v>364</v>
      </c>
      <c r="Y1844" s="1208" t="s">
        <v>364</v>
      </c>
      <c r="Z1844" s="1191">
        <v>0</v>
      </c>
      <c r="AA1844" s="1191">
        <v>1</v>
      </c>
      <c r="AB1844" s="1208" t="s">
        <v>364</v>
      </c>
      <c r="AC1844" s="1192" t="str">
        <f>""</f>
        <v/>
      </c>
      <c r="AD1844" s="1193">
        <v>0</v>
      </c>
      <c r="AE1844" s="1191" t="s">
        <v>368</v>
      </c>
      <c r="AF1844" s="1191" t="s">
        <v>369</v>
      </c>
      <c r="AG1844" s="1193">
        <v>1</v>
      </c>
      <c r="AH1844" s="1193">
        <v>16</v>
      </c>
      <c r="AI1844" s="1193">
        <v>0</v>
      </c>
      <c r="AJ1844" s="1193">
        <f>VLOOKUP($I1844,'Price List, Weapons &amp; Items'!B:F,5,0)</f>
        <v>1</v>
      </c>
      <c r="AK1844" s="1193">
        <f t="shared" si="388"/>
        <v>0</v>
      </c>
      <c r="AL1844" s="1193">
        <f t="shared" si="389"/>
        <v>1</v>
      </c>
      <c r="AM1844" s="1193">
        <f t="shared" si="390"/>
        <v>0</v>
      </c>
      <c r="AN1844" s="1194" t="str">
        <f>VLOOKUP($I1844,'Price List, Weapons &amp; Items'!B:L,COLUMN('Price List, Weapons &amp; Items'!$J$11)-1,0)</f>
        <v>Contracts</v>
      </c>
      <c r="AO1844" s="1194" t="str">
        <f>IF(I1844=".",".",VLOOKUP($I1844,'Price List, Weapons &amp; Items'!B:J,3,0))</f>
        <v>Armored Recovery Vehicle (ARV)</v>
      </c>
      <c r="AP1844" s="1195" t="str">
        <f t="shared" ca="1" si="384"/>
        <v/>
      </c>
      <c r="AQ1844" s="1194">
        <f>VLOOKUP($I1844,'Price List, Weapons &amp; Items'!B:L,COLUMN('Price List, Weapons &amp; Items'!$L$11)-1,0)</f>
        <v>2</v>
      </c>
      <c r="AR1844" s="1194">
        <f t="shared" si="391"/>
        <v>1</v>
      </c>
      <c r="AS1844" s="1194">
        <f t="shared" si="392"/>
        <v>1</v>
      </c>
      <c r="AT1844" s="1194">
        <f t="shared" si="393"/>
        <v>1</v>
      </c>
      <c r="AU1844" s="1194" t="str">
        <f t="shared" si="395"/>
        <v>.</v>
      </c>
      <c r="AV1844" s="1194" t="str">
        <f t="shared" si="385"/>
        <v>.</v>
      </c>
      <c r="AW1844" s="1194" t="str">
        <f t="shared" si="394"/>
        <v>.</v>
      </c>
      <c r="AX1844" s="1194">
        <f>IFERROR(VLOOKUP(B1844,'Share, Heavy Weapons to Ukraine'!B:Z,COLUMN('Share, Heavy Weapons to Ukraine'!C1854)-1,0),0)</f>
        <v>1</v>
      </c>
      <c r="AY1844" s="1194">
        <f>VLOOKUP('Bilateral Assistance, MAIN DATA'!B1844,'Country Summary (€)'!B:F,COLUMN('Country Summary (€)'!C1855)-1,FALSE)</f>
        <v>0</v>
      </c>
      <c r="AZ1844" s="1194" t="str">
        <f>IF(AND(AD1844=1,D1844="Military",H1844&lt;&gt;"Not given")=TRUE,IF(SUMIFS(P:P,A:A,A1844)&gt;0,ABS((SUMIFS(P:P,A:A,A1844)/VLOOKUP("USD",'Exchange Rates'!B:C,2,0)))/S1844,"."),".")</f>
        <v>.</v>
      </c>
      <c r="BA1844" s="1196" t="str">
        <f>IF(AND(AD1844=1,D1844="Military",H1844&lt;&gt;"Not given")=TRUE,IF(SUMIFS(P:P,A:A,A1844)&gt;0,IF((ABS((SUMIFS(P:P,A:A,A1844)/VLOOKUP("USD",'Exchange Rates'!B:C,2,0)))/S1844)&gt;1,(SUMIFS(P:P,A:A,A1844)-S1844)/S1844,(S1844-SUMIFS(P:P,A:A,A1844))/SUMIFS(P:P,A:A,A1844)),"."),".")</f>
        <v>.</v>
      </c>
      <c r="BB1844" s="1208"/>
      <c r="BC1844" s="1208"/>
      <c r="BD1844" s="1208"/>
      <c r="BE1844" s="1208"/>
      <c r="BF1844" s="1208"/>
      <c r="BG1844" s="1208"/>
      <c r="BH1844" s="1208"/>
      <c r="BI1844" s="1208"/>
      <c r="BJ1844" s="1208"/>
      <c r="BK1844" s="1208"/>
      <c r="BL1844" s="1208"/>
      <c r="BM1844" s="1208"/>
      <c r="BN1844" s="1208"/>
      <c r="BO1844" s="1208"/>
      <c r="BP1844" s="1208"/>
      <c r="BQ1844" s="1208"/>
      <c r="BR1844" s="1208"/>
      <c r="BS1844" s="1208"/>
    </row>
    <row r="1845" spans="1:71" ht="15.95" customHeight="1">
      <c r="A1845" s="1208" t="s">
        <v>4310</v>
      </c>
      <c r="B1845" s="1208" t="s">
        <v>3949</v>
      </c>
      <c r="C1845" s="1209">
        <v>45020</v>
      </c>
      <c r="D1845" s="1208" t="s">
        <v>389</v>
      </c>
      <c r="E1845" s="1208" t="s">
        <v>390</v>
      </c>
      <c r="F1845" s="1208" t="s">
        <v>4343</v>
      </c>
      <c r="G1845" s="1184" t="s">
        <v>456</v>
      </c>
      <c r="H1845" s="1210">
        <v>500000000</v>
      </c>
      <c r="I1845" s="1208" t="s">
        <v>4342</v>
      </c>
      <c r="J1845" s="1186" t="str">
        <f>VLOOKUP($I1845,'Price List, Weapons &amp; Items'!B:C,2,0)</f>
        <v>Military equipment</v>
      </c>
      <c r="K1845" s="1186" t="str">
        <f>IF(I1845=".",I1845,VLOOKUP($I1845,'Price List, Weapons &amp; Items'!B:D,3,0))</f>
        <v>Armored Utility Vehicle (AUV)</v>
      </c>
      <c r="L1845" s="1187">
        <f>VLOOKUP(I1845,'Price List, Weapons &amp; Items'!B:E,4,0)</f>
        <v>0</v>
      </c>
      <c r="M1845" s="1188">
        <v>61</v>
      </c>
      <c r="N1845" s="1188" t="s">
        <v>374</v>
      </c>
      <c r="O1845" s="1188">
        <f>VLOOKUP($I1845,'Price List, Weapons &amp; Items'!B:G,6,0)</f>
        <v>135000</v>
      </c>
      <c r="P1845" s="1185">
        <f t="shared" si="386"/>
        <v>8235000</v>
      </c>
      <c r="Q1845" s="1185" t="str">
        <f t="shared" si="387"/>
        <v>.</v>
      </c>
      <c r="R1845" s="1185" t="str">
        <f t="shared" si="383"/>
        <v/>
      </c>
      <c r="S1845" s="1185" t="str">
        <f>IF(AND(AD1845=1,R1845&lt;&gt;".")=TRUE,R1845/VLOOKUP(G1845,'Exchange Rates'!B:C,2,0),IF(R1845=".",".",""))</f>
        <v/>
      </c>
      <c r="T1845" s="1185" t="str">
        <f>IF(AD1845=1,IF(AF1845="Value is not given at all",".",IF(AF1845="Value is given by the source",S1845,IF(AF1845="Value is calculated with prices",(IF(SUMIFS(Q:Q,A:A,A1845)&gt;0,SUMIFS(Q:Q,A:A,A1845),"."))/VLOOKUP("USD",'Exchange Rates'!B:C,2,0),"Error with coding"))),"")</f>
        <v/>
      </c>
      <c r="U1845" s="1191" t="s">
        <v>365</v>
      </c>
      <c r="V1845" s="983" t="s">
        <v>4344</v>
      </c>
      <c r="W1845" s="966" t="s">
        <v>4339</v>
      </c>
      <c r="X1845" s="1208" t="s">
        <v>364</v>
      </c>
      <c r="Y1845" s="1208" t="s">
        <v>364</v>
      </c>
      <c r="Z1845" s="1191">
        <v>0</v>
      </c>
      <c r="AA1845" s="1191">
        <v>1</v>
      </c>
      <c r="AB1845" s="1208" t="s">
        <v>364</v>
      </c>
      <c r="AC1845" s="1192" t="str">
        <f>""</f>
        <v/>
      </c>
      <c r="AD1845" s="1193">
        <v>0</v>
      </c>
      <c r="AE1845" s="1191" t="s">
        <v>368</v>
      </c>
      <c r="AF1845" s="1191" t="s">
        <v>369</v>
      </c>
      <c r="AG1845" s="1193">
        <v>1</v>
      </c>
      <c r="AH1845" s="1193">
        <v>16</v>
      </c>
      <c r="AI1845" s="1193">
        <v>0</v>
      </c>
      <c r="AJ1845" s="1193">
        <f>VLOOKUP($I1845,'Price List, Weapons &amp; Items'!B:F,5,0)</f>
        <v>0</v>
      </c>
      <c r="AK1845" s="1193">
        <f t="shared" si="388"/>
        <v>0</v>
      </c>
      <c r="AL1845" s="1193">
        <f t="shared" si="389"/>
        <v>0</v>
      </c>
      <c r="AM1845" s="1193">
        <f t="shared" si="390"/>
        <v>0</v>
      </c>
      <c r="AN1845" s="1194" t="str">
        <f>VLOOKUP($I1845,'Price List, Weapons &amp; Items'!B:L,COLUMN('Price List, Weapons &amp; Items'!$J$11)-1,0)</f>
        <v>Military media (incl. websites)</v>
      </c>
      <c r="AO1845" s="1194" t="str">
        <f>IF(I1845=".",".",VLOOKUP($I1845,'Price List, Weapons &amp; Items'!B:J,3,0))</f>
        <v>Armored Utility Vehicle (AUV)</v>
      </c>
      <c r="AP1845" s="1195" t="str">
        <f t="shared" ca="1" si="384"/>
        <v/>
      </c>
      <c r="AQ1845" s="1194">
        <f>VLOOKUP($I1845,'Price List, Weapons &amp; Items'!B:L,COLUMN('Price List, Weapons &amp; Items'!$L$11)-1,0)</f>
        <v>2</v>
      </c>
      <c r="AR1845" s="1194">
        <f t="shared" si="391"/>
        <v>1</v>
      </c>
      <c r="AS1845" s="1194">
        <f t="shared" si="392"/>
        <v>1</v>
      </c>
      <c r="AT1845" s="1194">
        <f t="shared" si="393"/>
        <v>1</v>
      </c>
      <c r="AU1845" s="1194" t="str">
        <f t="shared" si="395"/>
        <v>.</v>
      </c>
      <c r="AV1845" s="1194" t="str">
        <f t="shared" si="385"/>
        <v>.</v>
      </c>
      <c r="AW1845" s="1194" t="str">
        <f t="shared" si="394"/>
        <v>.</v>
      </c>
      <c r="AX1845" s="1194">
        <f>IFERROR(VLOOKUP(B1845,'Share, Heavy Weapons to Ukraine'!B:Z,COLUMN('Share, Heavy Weapons to Ukraine'!C1855)-1,0),0)</f>
        <v>1</v>
      </c>
      <c r="AY1845" s="1194">
        <f>VLOOKUP('Bilateral Assistance, MAIN DATA'!B1845,'Country Summary (€)'!B:F,COLUMN('Country Summary (€)'!C1856)-1,FALSE)</f>
        <v>0</v>
      </c>
      <c r="AZ1845" s="1194" t="str">
        <f>IF(AND(AD1845=1,D1845="Military",H1845&lt;&gt;"Not given")=TRUE,IF(SUMIFS(P:P,A:A,A1845)&gt;0,ABS((SUMIFS(P:P,A:A,A1845)/VLOOKUP("USD",'Exchange Rates'!B:C,2,0)))/S1845,"."),".")</f>
        <v>.</v>
      </c>
      <c r="BA1845" s="1196" t="str">
        <f>IF(AND(AD1845=1,D1845="Military",H1845&lt;&gt;"Not given")=TRUE,IF(SUMIFS(P:P,A:A,A1845)&gt;0,IF((ABS((SUMIFS(P:P,A:A,A1845)/VLOOKUP("USD",'Exchange Rates'!B:C,2,0)))/S1845)&gt;1,(SUMIFS(P:P,A:A,A1845)-S1845)/S1845,(S1845-SUMIFS(P:P,A:A,A1845))/SUMIFS(P:P,A:A,A1845)),"."),".")</f>
        <v>.</v>
      </c>
      <c r="BB1845" s="1208"/>
      <c r="BC1845" s="1208"/>
      <c r="BD1845" s="1208"/>
      <c r="BE1845" s="1208"/>
      <c r="BF1845" s="1208"/>
      <c r="BG1845" s="1208"/>
      <c r="BH1845" s="1208"/>
      <c r="BI1845" s="1208"/>
      <c r="BJ1845" s="1208"/>
      <c r="BK1845" s="1208"/>
      <c r="BL1845" s="1208"/>
      <c r="BM1845" s="1208"/>
      <c r="BN1845" s="1208"/>
      <c r="BO1845" s="1208"/>
      <c r="BP1845" s="1208"/>
      <c r="BQ1845" s="1208"/>
      <c r="BR1845" s="1208"/>
      <c r="BS1845" s="1208"/>
    </row>
    <row r="1846" spans="1:71" ht="15.95" customHeight="1">
      <c r="A1846" s="1208" t="s">
        <v>4310</v>
      </c>
      <c r="B1846" s="1208" t="s">
        <v>3949</v>
      </c>
      <c r="C1846" s="1209">
        <v>45020</v>
      </c>
      <c r="D1846" s="1208" t="s">
        <v>389</v>
      </c>
      <c r="E1846" s="1208" t="s">
        <v>390</v>
      </c>
      <c r="F1846" s="1208" t="s">
        <v>4343</v>
      </c>
      <c r="G1846" s="1184" t="s">
        <v>456</v>
      </c>
      <c r="H1846" s="1210">
        <v>500000000</v>
      </c>
      <c r="I1846" s="1208" t="s">
        <v>1548</v>
      </c>
      <c r="J1846" s="1186" t="str">
        <f>VLOOKUP($I1846,'Price List, Weapons &amp; Items'!B:C,2,0)</f>
        <v>Military equipment</v>
      </c>
      <c r="K1846" s="1186" t="str">
        <f>IF(I1846=".",I1846,VLOOKUP($I1846,'Price List, Weapons &amp; Items'!B:D,3,0))</f>
        <v>non combat military vehicle</v>
      </c>
      <c r="L1846" s="1187">
        <f>VLOOKUP(I1846,'Price List, Weapons &amp; Items'!B:E,4,0)</f>
        <v>0</v>
      </c>
      <c r="M1846" s="1188">
        <v>10</v>
      </c>
      <c r="N1846" s="1188" t="s">
        <v>374</v>
      </c>
      <c r="O1846" s="1188">
        <f>VLOOKUP($I1846,'Price List, Weapons &amp; Items'!B:G,6,0)</f>
        <v>350000</v>
      </c>
      <c r="P1846" s="1185">
        <f t="shared" si="386"/>
        <v>3500000</v>
      </c>
      <c r="Q1846" s="1185" t="str">
        <f t="shared" si="387"/>
        <v>.</v>
      </c>
      <c r="R1846" s="1185" t="str">
        <f t="shared" si="383"/>
        <v/>
      </c>
      <c r="S1846" s="1185" t="str">
        <f>IF(AND(AD1846=1,R1846&lt;&gt;".")=TRUE,R1846/VLOOKUP(G1846,'Exchange Rates'!B:C,2,0),IF(R1846=".",".",""))</f>
        <v/>
      </c>
      <c r="T1846" s="1185" t="str">
        <f>IF(AD1846=1,IF(AF1846="Value is not given at all",".",IF(AF1846="Value is given by the source",S1846,IF(AF1846="Value is calculated with prices",(IF(SUMIFS(Q:Q,A:A,A1846)&gt;0,SUMIFS(Q:Q,A:A,A1846),"."))/VLOOKUP("USD",'Exchange Rates'!B:C,2,0),"Error with coding"))),"")</f>
        <v/>
      </c>
      <c r="U1846" s="1191" t="s">
        <v>365</v>
      </c>
      <c r="V1846" s="983" t="s">
        <v>4344</v>
      </c>
      <c r="W1846" s="966" t="s">
        <v>4339</v>
      </c>
      <c r="X1846" s="1208" t="s">
        <v>364</v>
      </c>
      <c r="Y1846" s="1208" t="s">
        <v>364</v>
      </c>
      <c r="Z1846" s="1191">
        <v>0</v>
      </c>
      <c r="AA1846" s="1191">
        <v>1</v>
      </c>
      <c r="AB1846" s="1208" t="s">
        <v>364</v>
      </c>
      <c r="AC1846" s="1192" t="str">
        <f>""</f>
        <v/>
      </c>
      <c r="AD1846" s="1193">
        <v>0</v>
      </c>
      <c r="AE1846" s="1191" t="s">
        <v>368</v>
      </c>
      <c r="AF1846" s="1191" t="s">
        <v>369</v>
      </c>
      <c r="AG1846" s="1193">
        <v>1</v>
      </c>
      <c r="AH1846" s="1193">
        <v>16</v>
      </c>
      <c r="AI1846" s="1193">
        <v>0</v>
      </c>
      <c r="AJ1846" s="1193">
        <f>VLOOKUP($I1846,'Price List, Weapons &amp; Items'!B:F,5,0)</f>
        <v>0</v>
      </c>
      <c r="AK1846" s="1193">
        <f t="shared" si="388"/>
        <v>0</v>
      </c>
      <c r="AL1846" s="1193">
        <f t="shared" si="389"/>
        <v>0</v>
      </c>
      <c r="AM1846" s="1193">
        <f t="shared" si="390"/>
        <v>0</v>
      </c>
      <c r="AN1846" s="1194" t="str">
        <f>VLOOKUP($I1846,'Price List, Weapons &amp; Items'!B:L,COLUMN('Price List, Weapons &amp; Items'!$J$11)-1,0)</f>
        <v>Media reports (incl. social media)</v>
      </c>
      <c r="AO1846" s="1194" t="str">
        <f>IF(I1846=".",".",VLOOKUP($I1846,'Price List, Weapons &amp; Items'!B:J,3,0))</f>
        <v>non combat military vehicle</v>
      </c>
      <c r="AP1846" s="1195" t="str">
        <f t="shared" ca="1" si="384"/>
        <v/>
      </c>
      <c r="AQ1846" s="1194">
        <f>VLOOKUP($I1846,'Price List, Weapons &amp; Items'!B:L,COLUMN('Price List, Weapons &amp; Items'!$L$11)-1,0)</f>
        <v>2</v>
      </c>
      <c r="AR1846" s="1194">
        <f t="shared" si="391"/>
        <v>1</v>
      </c>
      <c r="AS1846" s="1194">
        <f t="shared" si="392"/>
        <v>1</v>
      </c>
      <c r="AT1846" s="1194">
        <f t="shared" si="393"/>
        <v>1</v>
      </c>
      <c r="AU1846" s="1194" t="str">
        <f t="shared" si="395"/>
        <v>.</v>
      </c>
      <c r="AV1846" s="1194" t="str">
        <f t="shared" si="385"/>
        <v>.</v>
      </c>
      <c r="AW1846" s="1194" t="str">
        <f t="shared" si="394"/>
        <v>.</v>
      </c>
      <c r="AX1846" s="1194">
        <f>IFERROR(VLOOKUP(B1846,'Share, Heavy Weapons to Ukraine'!B:Z,COLUMN('Share, Heavy Weapons to Ukraine'!C1856)-1,0),0)</f>
        <v>1</v>
      </c>
      <c r="AY1846" s="1194">
        <f>VLOOKUP('Bilateral Assistance, MAIN DATA'!B1846,'Country Summary (€)'!B:F,COLUMN('Country Summary (€)'!C1857)-1,FALSE)</f>
        <v>0</v>
      </c>
      <c r="AZ1846" s="1194" t="str">
        <f>IF(AND(AD1846=1,D1846="Military",H1846&lt;&gt;"Not given")=TRUE,IF(SUMIFS(P:P,A:A,A1846)&gt;0,ABS((SUMIFS(P:P,A:A,A1846)/VLOOKUP("USD",'Exchange Rates'!B:C,2,0)))/S1846,"."),".")</f>
        <v>.</v>
      </c>
      <c r="BA1846" s="1196" t="str">
        <f>IF(AND(AD1846=1,D1846="Military",H1846&lt;&gt;"Not given")=TRUE,IF(SUMIFS(P:P,A:A,A1846)&gt;0,IF((ABS((SUMIFS(P:P,A:A,A1846)/VLOOKUP("USD",'Exchange Rates'!B:C,2,0)))/S1846)&gt;1,(SUMIFS(P:P,A:A,A1846)-S1846)/S1846,(S1846-SUMIFS(P:P,A:A,A1846))/SUMIFS(P:P,A:A,A1846)),"."),".")</f>
        <v>.</v>
      </c>
      <c r="BB1846" s="1208"/>
      <c r="BC1846" s="1208"/>
      <c r="BD1846" s="1208"/>
      <c r="BE1846" s="1208"/>
      <c r="BF1846" s="1208"/>
      <c r="BG1846" s="1208"/>
      <c r="BH1846" s="1208"/>
      <c r="BI1846" s="1208"/>
      <c r="BJ1846" s="1208"/>
      <c r="BK1846" s="1208"/>
      <c r="BL1846" s="1208"/>
      <c r="BM1846" s="1208"/>
      <c r="BN1846" s="1208"/>
      <c r="BO1846" s="1208"/>
      <c r="BP1846" s="1208"/>
      <c r="BQ1846" s="1208"/>
      <c r="BR1846" s="1208"/>
      <c r="BS1846" s="1208"/>
    </row>
    <row r="1847" spans="1:71" ht="15.95" customHeight="1">
      <c r="A1847" s="1208" t="s">
        <v>4310</v>
      </c>
      <c r="B1847" s="1208" t="s">
        <v>3949</v>
      </c>
      <c r="C1847" s="1209">
        <v>45020</v>
      </c>
      <c r="D1847" s="1208" t="s">
        <v>389</v>
      </c>
      <c r="E1847" s="1208" t="s">
        <v>390</v>
      </c>
      <c r="F1847" s="1208" t="s">
        <v>4343</v>
      </c>
      <c r="G1847" s="1184" t="s">
        <v>456</v>
      </c>
      <c r="H1847" s="1210">
        <v>500000000</v>
      </c>
      <c r="I1847" s="1208" t="s">
        <v>1848</v>
      </c>
      <c r="J1847" s="1186" t="str">
        <f>VLOOKUP($I1847,'Price List, Weapons &amp; Items'!B:C,2,0)</f>
        <v>Military equipment</v>
      </c>
      <c r="K1847" s="1186" t="str">
        <f>IF(I1847=".",I1847,VLOOKUP($I1847,'Price List, Weapons &amp; Items'!B:D,3,0))</f>
        <v>non combat military vehicle</v>
      </c>
      <c r="L1847" s="1187">
        <f>VLOOKUP(I1847,'Price List, Weapons &amp; Items'!B:E,4,0)</f>
        <v>0</v>
      </c>
      <c r="M1847" s="1188">
        <v>10</v>
      </c>
      <c r="N1847" s="1188" t="s">
        <v>374</v>
      </c>
      <c r="O1847" s="1188">
        <f>VLOOKUP($I1847,'Price List, Weapons &amp; Items'!B:G,6,0)</f>
        <v>50000</v>
      </c>
      <c r="P1847" s="1185">
        <f t="shared" si="386"/>
        <v>500000</v>
      </c>
      <c r="Q1847" s="1185" t="str">
        <f t="shared" si="387"/>
        <v>.</v>
      </c>
      <c r="R1847" s="1185" t="str">
        <f t="shared" si="383"/>
        <v/>
      </c>
      <c r="S1847" s="1185" t="str">
        <f>IF(AND(AD1847=1,R1847&lt;&gt;".")=TRUE,R1847/VLOOKUP(G1847,'Exchange Rates'!B:C,2,0),IF(R1847=".",".",""))</f>
        <v/>
      </c>
      <c r="T1847" s="1185" t="str">
        <f>IF(AD1847=1,IF(AF1847="Value is not given at all",".",IF(AF1847="Value is given by the source",S1847,IF(AF1847="Value is calculated with prices",(IF(SUMIFS(Q:Q,A:A,A1847)&gt;0,SUMIFS(Q:Q,A:A,A1847),"."))/VLOOKUP("USD",'Exchange Rates'!B:C,2,0),"Error with coding"))),"")</f>
        <v/>
      </c>
      <c r="U1847" s="1191" t="s">
        <v>365</v>
      </c>
      <c r="V1847" s="983" t="s">
        <v>4344</v>
      </c>
      <c r="W1847" s="966" t="s">
        <v>4339</v>
      </c>
      <c r="X1847" s="1208" t="s">
        <v>364</v>
      </c>
      <c r="Y1847" s="1208" t="s">
        <v>364</v>
      </c>
      <c r="Z1847" s="1191">
        <v>0</v>
      </c>
      <c r="AA1847" s="1191">
        <v>1</v>
      </c>
      <c r="AB1847" s="1208" t="s">
        <v>364</v>
      </c>
      <c r="AC1847" s="1192" t="str">
        <f>""</f>
        <v/>
      </c>
      <c r="AD1847" s="1193">
        <v>0</v>
      </c>
      <c r="AE1847" s="1191" t="s">
        <v>368</v>
      </c>
      <c r="AF1847" s="1191" t="s">
        <v>369</v>
      </c>
      <c r="AG1847" s="1193">
        <v>1</v>
      </c>
      <c r="AH1847" s="1193">
        <v>16</v>
      </c>
      <c r="AI1847" s="1193">
        <v>0</v>
      </c>
      <c r="AJ1847" s="1193">
        <f>VLOOKUP($I1847,'Price List, Weapons &amp; Items'!B:F,5,0)</f>
        <v>0</v>
      </c>
      <c r="AK1847" s="1193">
        <f t="shared" si="388"/>
        <v>0</v>
      </c>
      <c r="AL1847" s="1193">
        <f t="shared" si="389"/>
        <v>0</v>
      </c>
      <c r="AM1847" s="1193">
        <f t="shared" si="390"/>
        <v>0</v>
      </c>
      <c r="AN1847" s="1194" t="str">
        <f>VLOOKUP($I1847,'Price List, Weapons &amp; Items'!B:L,COLUMN('Price List, Weapons &amp; Items'!$J$11)-1,0)</f>
        <v>Miscellaneous</v>
      </c>
      <c r="AO1847" s="1194" t="str">
        <f>IF(I1847=".",".",VLOOKUP($I1847,'Price List, Weapons &amp; Items'!B:J,3,0))</f>
        <v>non combat military vehicle</v>
      </c>
      <c r="AP1847" s="1195" t="str">
        <f t="shared" ca="1" si="384"/>
        <v/>
      </c>
      <c r="AQ1847" s="1194">
        <f>VLOOKUP($I1847,'Price List, Weapons &amp; Items'!B:L,COLUMN('Price List, Weapons &amp; Items'!$L$11)-1,0)</f>
        <v>2</v>
      </c>
      <c r="AR1847" s="1194">
        <f t="shared" si="391"/>
        <v>1</v>
      </c>
      <c r="AS1847" s="1194">
        <f t="shared" si="392"/>
        <v>1</v>
      </c>
      <c r="AT1847" s="1194">
        <f t="shared" si="393"/>
        <v>1</v>
      </c>
      <c r="AU1847" s="1194" t="str">
        <f t="shared" si="395"/>
        <v>.</v>
      </c>
      <c r="AV1847" s="1194" t="str">
        <f t="shared" si="385"/>
        <v>.</v>
      </c>
      <c r="AW1847" s="1194" t="str">
        <f t="shared" si="394"/>
        <v>.</v>
      </c>
      <c r="AX1847" s="1194">
        <f>IFERROR(VLOOKUP(B1847,'Share, Heavy Weapons to Ukraine'!B:Z,COLUMN('Share, Heavy Weapons to Ukraine'!C1857)-1,0),0)</f>
        <v>1</v>
      </c>
      <c r="AY1847" s="1194">
        <f>VLOOKUP('Bilateral Assistance, MAIN DATA'!B1847,'Country Summary (€)'!B:F,COLUMN('Country Summary (€)'!C1858)-1,FALSE)</f>
        <v>0</v>
      </c>
      <c r="AZ1847" s="1194" t="str">
        <f>IF(AND(AD1847=1,D1847="Military",H1847&lt;&gt;"Not given")=TRUE,IF(SUMIFS(P:P,A:A,A1847)&gt;0,ABS((SUMIFS(P:P,A:A,A1847)/VLOOKUP("USD",'Exchange Rates'!B:C,2,0)))/S1847,"."),".")</f>
        <v>.</v>
      </c>
      <c r="BA1847" s="1196" t="str">
        <f>IF(AND(AD1847=1,D1847="Military",H1847&lt;&gt;"Not given")=TRUE,IF(SUMIFS(P:P,A:A,A1847)&gt;0,IF((ABS((SUMIFS(P:P,A:A,A1847)/VLOOKUP("USD",'Exchange Rates'!B:C,2,0)))/S1847)&gt;1,(SUMIFS(P:P,A:A,A1847)-S1847)/S1847,(S1847-SUMIFS(P:P,A:A,A1847))/SUMIFS(P:P,A:A,A1847)),"."),".")</f>
        <v>.</v>
      </c>
      <c r="BB1847" s="1208"/>
      <c r="BC1847" s="1208"/>
      <c r="BD1847" s="1208"/>
      <c r="BE1847" s="1208"/>
      <c r="BF1847" s="1208"/>
      <c r="BG1847" s="1208"/>
      <c r="BH1847" s="1208"/>
      <c r="BI1847" s="1208"/>
      <c r="BJ1847" s="1208"/>
      <c r="BK1847" s="1208"/>
      <c r="BL1847" s="1208"/>
      <c r="BM1847" s="1208"/>
      <c r="BN1847" s="1208"/>
      <c r="BO1847" s="1208"/>
      <c r="BP1847" s="1208"/>
      <c r="BQ1847" s="1208"/>
      <c r="BR1847" s="1208"/>
      <c r="BS1847" s="1208"/>
    </row>
    <row r="1848" spans="1:71" ht="15.95" customHeight="1">
      <c r="A1848" s="1208" t="s">
        <v>4310</v>
      </c>
      <c r="B1848" s="1208" t="s">
        <v>3949</v>
      </c>
      <c r="C1848" s="1209">
        <v>45035</v>
      </c>
      <c r="D1848" s="1208" t="s">
        <v>389</v>
      </c>
      <c r="E1848" s="1208" t="s">
        <v>390</v>
      </c>
      <c r="F1848" s="1208" t="s">
        <v>4346</v>
      </c>
      <c r="G1848" s="1184" t="s">
        <v>456</v>
      </c>
      <c r="H1848" s="1210">
        <v>325000000</v>
      </c>
      <c r="I1848" s="1208" t="s">
        <v>4325</v>
      </c>
      <c r="J1848" s="1186" t="str">
        <f>VLOOKUP($I1848,'Price List, Weapons &amp; Items'!B:C,2,0)</f>
        <v>Ammunition for heavy weapon</v>
      </c>
      <c r="K1848" s="1186" t="str">
        <f>IF(I1848=".",I1848,VLOOKUP($I1848,'Price List, Weapons &amp; Items'!B:D,3,0))</f>
        <v>227mm MLRS ammunition</v>
      </c>
      <c r="L1848" s="1187">
        <f>VLOOKUP(I1848,'Price List, Weapons &amp; Items'!B:E,4,0)</f>
        <v>0</v>
      </c>
      <c r="M1848" s="1188" t="s">
        <v>374</v>
      </c>
      <c r="N1848" s="1188" t="s">
        <v>374</v>
      </c>
      <c r="O1848" s="1188">
        <f>VLOOKUP($I1848,'Price List, Weapons &amp; Items'!B:G,6,0)</f>
        <v>150000</v>
      </c>
      <c r="P1848" s="1185" t="str">
        <f t="shared" si="386"/>
        <v>.</v>
      </c>
      <c r="Q1848" s="1185" t="str">
        <f t="shared" si="387"/>
        <v>.</v>
      </c>
      <c r="R1848" s="1185" t="str">
        <f t="shared" si="383"/>
        <v/>
      </c>
      <c r="S1848" s="1185" t="str">
        <f>IF(AND(AD1848=1,R1848&lt;&gt;".")=TRUE,R1848/VLOOKUP(G1848,'Exchange Rates'!B:C,2,0),IF(R1848=".",".",""))</f>
        <v/>
      </c>
      <c r="T1848" s="1185" t="str">
        <f>IF(AD1848=1,IF(AF1848="Value is not given at all",".",IF(AF1848="Value is given by the source",S1848,IF(AF1848="Value is calculated with prices",(IF(SUMIFS(Q:Q,A:A,A1848)&gt;0,SUMIFS(Q:Q,A:A,A1848),"."))/VLOOKUP("USD",'Exchange Rates'!B:C,2,0),"Error with coding"))),"")</f>
        <v/>
      </c>
      <c r="U1848" s="1191" t="s">
        <v>365</v>
      </c>
      <c r="V1848" s="983" t="s">
        <v>4347</v>
      </c>
      <c r="W1848" s="966" t="s">
        <v>4339</v>
      </c>
      <c r="X1848" s="1208" t="s">
        <v>364</v>
      </c>
      <c r="Y1848" s="1208" t="s">
        <v>364</v>
      </c>
      <c r="Z1848" s="1191">
        <v>0</v>
      </c>
      <c r="AA1848" s="1191">
        <v>1</v>
      </c>
      <c r="AB1848" s="1208" t="s">
        <v>364</v>
      </c>
      <c r="AC1848" s="1192" t="str">
        <f>""</f>
        <v/>
      </c>
      <c r="AD1848" s="1193">
        <v>0</v>
      </c>
      <c r="AE1848" s="1191" t="s">
        <v>368</v>
      </c>
      <c r="AF1848" s="1191" t="s">
        <v>369</v>
      </c>
      <c r="AG1848" s="1193">
        <v>1</v>
      </c>
      <c r="AH1848" s="1193">
        <v>16</v>
      </c>
      <c r="AI1848" s="1193">
        <v>0</v>
      </c>
      <c r="AJ1848" s="1193">
        <f>VLOOKUP($I1848,'Price List, Weapons &amp; Items'!B:F,5,0)</f>
        <v>1</v>
      </c>
      <c r="AK1848" s="1193">
        <f t="shared" si="388"/>
        <v>1</v>
      </c>
      <c r="AL1848" s="1193">
        <f t="shared" si="389"/>
        <v>1</v>
      </c>
      <c r="AM1848" s="1193">
        <f t="shared" si="390"/>
        <v>1</v>
      </c>
      <c r="AN1848" s="1194" t="str">
        <f>VLOOKUP($I1848,'Price List, Weapons &amp; Items'!B:L,COLUMN('Price List, Weapons &amp; Items'!$J$11)-1,0)</f>
        <v>Media reports (incl. social media)</v>
      </c>
      <c r="AO1848" s="1194" t="str">
        <f>IF(I1848=".",".",VLOOKUP($I1848,'Price List, Weapons &amp; Items'!B:J,3,0))</f>
        <v>227mm MLRS ammunition</v>
      </c>
      <c r="AP1848" s="1195" t="str">
        <f t="shared" ca="1" si="384"/>
        <v/>
      </c>
      <c r="AQ1848" s="1194" t="str">
        <f>VLOOKUP($I1848,'Price List, Weapons &amp; Items'!B:L,COLUMN('Price List, Weapons &amp; Items'!$L$11)-1,0)</f>
        <v>no price, 0 count</v>
      </c>
      <c r="AR1848" s="1194">
        <f t="shared" si="391"/>
        <v>1</v>
      </c>
      <c r="AS1848" s="1194">
        <f t="shared" si="392"/>
        <v>1</v>
      </c>
      <c r="AT1848" s="1194">
        <f t="shared" si="393"/>
        <v>1</v>
      </c>
      <c r="AU1848" s="1194" t="str">
        <f t="shared" si="395"/>
        <v>.</v>
      </c>
      <c r="AV1848" s="1194" t="str">
        <f t="shared" si="385"/>
        <v>.</v>
      </c>
      <c r="AW1848" s="1194" t="str">
        <f t="shared" si="394"/>
        <v>.</v>
      </c>
      <c r="AX1848" s="1194">
        <f>IFERROR(VLOOKUP(B1848,'Share, Heavy Weapons to Ukraine'!B:Z,COLUMN('Share, Heavy Weapons to Ukraine'!C1858)-1,0),0)</f>
        <v>1</v>
      </c>
      <c r="AY1848" s="1194">
        <f>VLOOKUP('Bilateral Assistance, MAIN DATA'!B1848,'Country Summary (€)'!B:F,COLUMN('Country Summary (€)'!C1859)-1,FALSE)</f>
        <v>0</v>
      </c>
      <c r="AZ1848" s="1194" t="str">
        <f>IF(AND(AD1848=1,D1848="Military",H1848&lt;&gt;"Not given")=TRUE,IF(SUMIFS(P:P,A:A,A1848)&gt;0,ABS((SUMIFS(P:P,A:A,A1848)/VLOOKUP("USD",'Exchange Rates'!B:C,2,0)))/S1848,"."),".")</f>
        <v>.</v>
      </c>
      <c r="BA1848" s="1196" t="str">
        <f>IF(AND(AD1848=1,D1848="Military",H1848&lt;&gt;"Not given")=TRUE,IF(SUMIFS(P:P,A:A,A1848)&gt;0,IF((ABS((SUMIFS(P:P,A:A,A1848)/VLOOKUP("USD",'Exchange Rates'!B:C,2,0)))/S1848)&gt;1,(SUMIFS(P:P,A:A,A1848)-S1848)/S1848,(S1848-SUMIFS(P:P,A:A,A1848))/SUMIFS(P:P,A:A,A1848)),"."),".")</f>
        <v>.</v>
      </c>
      <c r="BB1848" s="1208"/>
      <c r="BC1848" s="1208"/>
      <c r="BD1848" s="1208"/>
      <c r="BE1848" s="1208"/>
      <c r="BF1848" s="1208"/>
      <c r="BG1848" s="1208"/>
      <c r="BH1848" s="1208"/>
      <c r="BI1848" s="1208"/>
      <c r="BJ1848" s="1208"/>
      <c r="BK1848" s="1208"/>
      <c r="BL1848" s="1208"/>
      <c r="BM1848" s="1208"/>
      <c r="BN1848" s="1208"/>
      <c r="BO1848" s="1208"/>
      <c r="BP1848" s="1208"/>
      <c r="BQ1848" s="1208"/>
      <c r="BR1848" s="1208"/>
      <c r="BS1848" s="1208"/>
    </row>
    <row r="1849" spans="1:71" ht="15.6" customHeight="1">
      <c r="A1849" s="1208" t="s">
        <v>4310</v>
      </c>
      <c r="B1849" s="1208" t="s">
        <v>3949</v>
      </c>
      <c r="C1849" s="1209">
        <v>45035</v>
      </c>
      <c r="D1849" s="1208" t="s">
        <v>389</v>
      </c>
      <c r="E1849" s="1208" t="s">
        <v>390</v>
      </c>
      <c r="F1849" s="1208" t="s">
        <v>4346</v>
      </c>
      <c r="G1849" s="1184" t="s">
        <v>456</v>
      </c>
      <c r="H1849" s="1210">
        <v>325000000</v>
      </c>
      <c r="I1849" s="1208" t="s">
        <v>856</v>
      </c>
      <c r="J1849" s="1186" t="str">
        <f>VLOOKUP($I1849,'Price List, Weapons &amp; Items'!B:C,2,0)</f>
        <v>Ammunition for heavy weapon</v>
      </c>
      <c r="K1849" s="1186" t="str">
        <f>IF(I1849=".",I1849,VLOOKUP($I1849,'Price List, Weapons &amp; Items'!B:D,3,0))</f>
        <v>155mm howitzer ammunition</v>
      </c>
      <c r="L1849" s="1187">
        <f>VLOOKUP(I1849,'Price List, Weapons &amp; Items'!B:E,4,0)</f>
        <v>0</v>
      </c>
      <c r="M1849" s="1188" t="s">
        <v>374</v>
      </c>
      <c r="N1849" s="1188" t="s">
        <v>374</v>
      </c>
      <c r="O1849" s="1188">
        <f>VLOOKUP($I1849,'Price List, Weapons &amp; Items'!B:G,6,0)</f>
        <v>3800</v>
      </c>
      <c r="P1849" s="1185" t="str">
        <f t="shared" si="386"/>
        <v>.</v>
      </c>
      <c r="Q1849" s="1185" t="str">
        <f t="shared" si="387"/>
        <v>.</v>
      </c>
      <c r="R1849" s="1185" t="str">
        <f t="shared" si="383"/>
        <v/>
      </c>
      <c r="S1849" s="1185" t="str">
        <f>IF(AND(AD1849=1,R1849&lt;&gt;".")=TRUE,R1849/VLOOKUP(G1849,'Exchange Rates'!B:C,2,0),IF(R1849=".",".",""))</f>
        <v/>
      </c>
      <c r="T1849" s="1185" t="str">
        <f>IF(AD1849=1,IF(AF1849="Value is not given at all",".",IF(AF1849="Value is given by the source",S1849,IF(AF1849="Value is calculated with prices",(IF(SUMIFS(Q:Q,A:A,A1849)&gt;0,SUMIFS(Q:Q,A:A,A1849),"."))/VLOOKUP("USD",'Exchange Rates'!B:C,2,0),"Error with coding"))),"")</f>
        <v/>
      </c>
      <c r="U1849" s="1191" t="s">
        <v>365</v>
      </c>
      <c r="V1849" s="983" t="s">
        <v>4347</v>
      </c>
      <c r="W1849" s="966" t="s">
        <v>4339</v>
      </c>
      <c r="X1849" s="1208" t="s">
        <v>364</v>
      </c>
      <c r="Y1849" s="1208" t="s">
        <v>364</v>
      </c>
      <c r="Z1849" s="1191">
        <v>0</v>
      </c>
      <c r="AA1849" s="1191">
        <v>1</v>
      </c>
      <c r="AB1849" s="1208" t="s">
        <v>364</v>
      </c>
      <c r="AC1849" s="1192" t="str">
        <f>""</f>
        <v/>
      </c>
      <c r="AD1849" s="1193">
        <v>0</v>
      </c>
      <c r="AE1849" s="1191" t="s">
        <v>368</v>
      </c>
      <c r="AF1849" s="1191" t="s">
        <v>369</v>
      </c>
      <c r="AG1849" s="1193">
        <v>1</v>
      </c>
      <c r="AH1849" s="1193">
        <v>16</v>
      </c>
      <c r="AI1849" s="1193">
        <v>0</v>
      </c>
      <c r="AJ1849" s="1193">
        <f>VLOOKUP($I1849,'Price List, Weapons &amp; Items'!B:F,5,0)</f>
        <v>1</v>
      </c>
      <c r="AK1849" s="1193">
        <f t="shared" si="388"/>
        <v>1</v>
      </c>
      <c r="AL1849" s="1193">
        <f t="shared" si="389"/>
        <v>1</v>
      </c>
      <c r="AM1849" s="1193">
        <f t="shared" si="390"/>
        <v>0</v>
      </c>
      <c r="AN1849" s="1194" t="str">
        <f>VLOOKUP($I1849,'Price List, Weapons &amp; Items'!B:L,COLUMN('Price List, Weapons &amp; Items'!$J$11)-1,0)</f>
        <v>Government information</v>
      </c>
      <c r="AO1849" s="1194" t="str">
        <f>IF(I1849=".",".",VLOOKUP($I1849,'Price List, Weapons &amp; Items'!B:J,3,0))</f>
        <v>155mm howitzer ammunition</v>
      </c>
      <c r="AP1849" s="1195" t="str">
        <f t="shared" ca="1" si="384"/>
        <v/>
      </c>
      <c r="AQ1849" s="1194">
        <f>VLOOKUP($I1849,'Price List, Weapons &amp; Items'!B:L,COLUMN('Price List, Weapons &amp; Items'!$L$11)-1,0)</f>
        <v>2</v>
      </c>
      <c r="AR1849" s="1194">
        <f t="shared" si="391"/>
        <v>1</v>
      </c>
      <c r="AS1849" s="1194">
        <f t="shared" si="392"/>
        <v>1</v>
      </c>
      <c r="AT1849" s="1194">
        <f t="shared" si="393"/>
        <v>1</v>
      </c>
      <c r="AU1849" s="1194" t="str">
        <f t="shared" si="395"/>
        <v>.</v>
      </c>
      <c r="AV1849" s="1194" t="str">
        <f t="shared" si="385"/>
        <v>.</v>
      </c>
      <c r="AW1849" s="1194" t="str">
        <f t="shared" si="394"/>
        <v>.</v>
      </c>
      <c r="AX1849" s="1194">
        <f>IFERROR(VLOOKUP(B1849,'Share, Heavy Weapons to Ukraine'!B:Z,COLUMN('Share, Heavy Weapons to Ukraine'!C1859)-1,0),0)</f>
        <v>1</v>
      </c>
      <c r="AY1849" s="1194">
        <f>VLOOKUP('Bilateral Assistance, MAIN DATA'!B1849,'Country Summary (€)'!B:F,COLUMN('Country Summary (€)'!C1860)-1,FALSE)</f>
        <v>0</v>
      </c>
      <c r="AZ1849" s="1194" t="str">
        <f>IF(AND(AD1849=1,D1849="Military",H1849&lt;&gt;"Not given")=TRUE,IF(SUMIFS(P:P,A:A,A1849)&gt;0,ABS((SUMIFS(P:P,A:A,A1849)/VLOOKUP("USD",'Exchange Rates'!B:C,2,0)))/S1849,"."),".")</f>
        <v>.</v>
      </c>
      <c r="BA1849" s="1196" t="str">
        <f>IF(AND(AD1849=1,D1849="Military",H1849&lt;&gt;"Not given")=TRUE,IF(SUMIFS(P:P,A:A,A1849)&gt;0,IF((ABS((SUMIFS(P:P,A:A,A1849)/VLOOKUP("USD",'Exchange Rates'!B:C,2,0)))/S1849)&gt;1,(SUMIFS(P:P,A:A,A1849)-S1849)/S1849,(S1849-SUMIFS(P:P,A:A,A1849))/SUMIFS(P:P,A:A,A1849)),"."),".")</f>
        <v>.</v>
      </c>
      <c r="BB1849" s="1208"/>
      <c r="BC1849" s="1208"/>
      <c r="BD1849" s="1208"/>
      <c r="BE1849" s="1208"/>
      <c r="BF1849" s="1208"/>
      <c r="BG1849" s="1208"/>
      <c r="BH1849" s="1208"/>
      <c r="BI1849" s="1208"/>
      <c r="BJ1849" s="1208"/>
      <c r="BK1849" s="1208"/>
      <c r="BL1849" s="1208"/>
      <c r="BM1849" s="1208"/>
      <c r="BN1849" s="1208"/>
      <c r="BO1849" s="1208"/>
      <c r="BP1849" s="1208"/>
      <c r="BQ1849" s="1208"/>
      <c r="BR1849" s="1208"/>
      <c r="BS1849" s="1208"/>
    </row>
    <row r="1850" spans="1:71" ht="15.95" customHeight="1">
      <c r="A1850" s="1208" t="s">
        <v>4310</v>
      </c>
      <c r="B1850" s="1208" t="s">
        <v>3949</v>
      </c>
      <c r="C1850" s="1209">
        <v>45035</v>
      </c>
      <c r="D1850" s="1208" t="s">
        <v>389</v>
      </c>
      <c r="E1850" s="1208" t="s">
        <v>390</v>
      </c>
      <c r="F1850" s="1208" t="s">
        <v>4346</v>
      </c>
      <c r="G1850" s="1184" t="s">
        <v>456</v>
      </c>
      <c r="H1850" s="1210">
        <v>325000000</v>
      </c>
      <c r="I1850" s="1208" t="s">
        <v>645</v>
      </c>
      <c r="J1850" s="1186" t="str">
        <f>VLOOKUP($I1850,'Price List, Weapons &amp; Items'!B:C,2,0)</f>
        <v>Ammunition for heavy weapon</v>
      </c>
      <c r="K1850" s="1186" t="str">
        <f>IF(I1850=".",I1850,VLOOKUP($I1850,'Price List, Weapons &amp; Items'!B:D,3,0))</f>
        <v>105mm</v>
      </c>
      <c r="L1850" s="1187">
        <f>VLOOKUP(I1850,'Price List, Weapons &amp; Items'!B:E,4,0)</f>
        <v>0</v>
      </c>
      <c r="M1850" s="1188" t="s">
        <v>374</v>
      </c>
      <c r="N1850" s="1188" t="s">
        <v>374</v>
      </c>
      <c r="O1850" s="1188">
        <f>VLOOKUP($I1850,'Price List, Weapons &amp; Items'!B:G,6,0)</f>
        <v>400</v>
      </c>
      <c r="P1850" s="1185" t="str">
        <f t="shared" si="386"/>
        <v>.</v>
      </c>
      <c r="Q1850" s="1185" t="str">
        <f t="shared" si="387"/>
        <v>.</v>
      </c>
      <c r="R1850" s="1185" t="str">
        <f t="shared" si="383"/>
        <v/>
      </c>
      <c r="S1850" s="1185" t="str">
        <f>IF(AND(AD1850=1,R1850&lt;&gt;".")=TRUE,R1850/VLOOKUP(G1850,'Exchange Rates'!B:C,2,0),IF(R1850=".",".",""))</f>
        <v/>
      </c>
      <c r="T1850" s="1185" t="str">
        <f>IF(AD1850=1,IF(AF1850="Value is not given at all",".",IF(AF1850="Value is given by the source",S1850,IF(AF1850="Value is calculated with prices",(IF(SUMIFS(Q:Q,A:A,A1850)&gt;0,SUMIFS(Q:Q,A:A,A1850),"."))/VLOOKUP("USD",'Exchange Rates'!B:C,2,0),"Error with coding"))),"")</f>
        <v/>
      </c>
      <c r="U1850" s="1191" t="s">
        <v>365</v>
      </c>
      <c r="V1850" s="983" t="s">
        <v>4347</v>
      </c>
      <c r="W1850" s="966" t="s">
        <v>4339</v>
      </c>
      <c r="X1850" s="1208" t="s">
        <v>364</v>
      </c>
      <c r="Y1850" s="1208" t="s">
        <v>364</v>
      </c>
      <c r="Z1850" s="1191">
        <v>0</v>
      </c>
      <c r="AA1850" s="1191">
        <v>1</v>
      </c>
      <c r="AB1850" s="1208" t="s">
        <v>364</v>
      </c>
      <c r="AC1850" s="1192" t="str">
        <f>""</f>
        <v/>
      </c>
      <c r="AD1850" s="1193">
        <v>0</v>
      </c>
      <c r="AE1850" s="1191" t="s">
        <v>368</v>
      </c>
      <c r="AF1850" s="1191" t="s">
        <v>369</v>
      </c>
      <c r="AG1850" s="1193">
        <v>1</v>
      </c>
      <c r="AH1850" s="1193">
        <v>16</v>
      </c>
      <c r="AI1850" s="1193">
        <v>0</v>
      </c>
      <c r="AJ1850" s="1193">
        <f>VLOOKUP($I1850,'Price List, Weapons &amp; Items'!B:F,5,0)</f>
        <v>0</v>
      </c>
      <c r="AK1850" s="1193">
        <f t="shared" si="388"/>
        <v>0</v>
      </c>
      <c r="AL1850" s="1193">
        <f t="shared" si="389"/>
        <v>0</v>
      </c>
      <c r="AM1850" s="1193">
        <f t="shared" si="390"/>
        <v>0</v>
      </c>
      <c r="AN1850" s="1194" t="str">
        <f>VLOOKUP($I1850,'Price List, Weapons &amp; Items'!B:L,COLUMN('Price List, Weapons &amp; Items'!$J$11)-1,0)</f>
        <v>Military media (incl. websites)</v>
      </c>
      <c r="AO1850" s="1194" t="str">
        <f>IF(I1850=".",".",VLOOKUP($I1850,'Price List, Weapons &amp; Items'!B:J,3,0))</f>
        <v>105mm</v>
      </c>
      <c r="AP1850" s="1195" t="str">
        <f t="shared" ca="1" si="384"/>
        <v/>
      </c>
      <c r="AQ1850" s="1194">
        <f>VLOOKUP($I1850,'Price List, Weapons &amp; Items'!B:L,COLUMN('Price List, Weapons &amp; Items'!$L$11)-1,0)</f>
        <v>2</v>
      </c>
      <c r="AR1850" s="1194">
        <f t="shared" si="391"/>
        <v>1</v>
      </c>
      <c r="AS1850" s="1194">
        <f t="shared" si="392"/>
        <v>1</v>
      </c>
      <c r="AT1850" s="1194">
        <f t="shared" si="393"/>
        <v>1</v>
      </c>
      <c r="AU1850" s="1194" t="str">
        <f t="shared" si="395"/>
        <v>.</v>
      </c>
      <c r="AV1850" s="1194" t="str">
        <f t="shared" si="385"/>
        <v>.</v>
      </c>
      <c r="AW1850" s="1194" t="str">
        <f t="shared" si="394"/>
        <v>.</v>
      </c>
      <c r="AX1850" s="1194">
        <f>IFERROR(VLOOKUP(B1850,'Share, Heavy Weapons to Ukraine'!B:Z,COLUMN('Share, Heavy Weapons to Ukraine'!C1860)-1,0),0)</f>
        <v>1</v>
      </c>
      <c r="AY1850" s="1194">
        <f>VLOOKUP('Bilateral Assistance, MAIN DATA'!B1850,'Country Summary (€)'!B:F,COLUMN('Country Summary (€)'!C1861)-1,FALSE)</f>
        <v>0</v>
      </c>
      <c r="AZ1850" s="1194" t="str">
        <f>IF(AND(AD1850=1,D1850="Military",H1850&lt;&gt;"Not given")=TRUE,IF(SUMIFS(P:P,A:A,A1850)&gt;0,ABS((SUMIFS(P:P,A:A,A1850)/VLOOKUP("USD",'Exchange Rates'!B:C,2,0)))/S1850,"."),".")</f>
        <v>.</v>
      </c>
      <c r="BA1850" s="1196" t="str">
        <f>IF(AND(AD1850=1,D1850="Military",H1850&lt;&gt;"Not given")=TRUE,IF(SUMIFS(P:P,A:A,A1850)&gt;0,IF((ABS((SUMIFS(P:P,A:A,A1850)/VLOOKUP("USD",'Exchange Rates'!B:C,2,0)))/S1850)&gt;1,(SUMIFS(P:P,A:A,A1850)-S1850)/S1850,(S1850-SUMIFS(P:P,A:A,A1850))/SUMIFS(P:P,A:A,A1850)),"."),".")</f>
        <v>.</v>
      </c>
      <c r="BB1850" s="1208"/>
      <c r="BC1850" s="1208"/>
      <c r="BD1850" s="1208"/>
      <c r="BE1850" s="1208"/>
      <c r="BF1850" s="1208"/>
      <c r="BG1850" s="1208"/>
      <c r="BH1850" s="1208"/>
      <c r="BI1850" s="1208"/>
      <c r="BJ1850" s="1208"/>
      <c r="BK1850" s="1208"/>
      <c r="BL1850" s="1208"/>
      <c r="BM1850" s="1208"/>
      <c r="BN1850" s="1208"/>
      <c r="BO1850" s="1208"/>
      <c r="BP1850" s="1208"/>
      <c r="BQ1850" s="1208"/>
      <c r="BR1850" s="1208"/>
      <c r="BS1850" s="1208"/>
    </row>
    <row r="1851" spans="1:71" ht="15.6" customHeight="1">
      <c r="A1851" s="1208" t="s">
        <v>4310</v>
      </c>
      <c r="B1851" s="1208" t="s">
        <v>3949</v>
      </c>
      <c r="C1851" s="1209">
        <v>45035</v>
      </c>
      <c r="D1851" s="1208" t="s">
        <v>389</v>
      </c>
      <c r="E1851" s="1208" t="s">
        <v>390</v>
      </c>
      <c r="F1851" s="1208" t="s">
        <v>4346</v>
      </c>
      <c r="G1851" s="1184" t="s">
        <v>456</v>
      </c>
      <c r="H1851" s="1210">
        <v>325000000</v>
      </c>
      <c r="I1851" s="1208" t="s">
        <v>4164</v>
      </c>
      <c r="J1851" s="1186" t="str">
        <f>VLOOKUP($I1851,'Price List, Weapons &amp; Items'!B:C,2,0)</f>
        <v>Ammunition for portable defence system</v>
      </c>
      <c r="K1851" s="1186" t="str">
        <f>IF(I1851=".",I1851,VLOOKUP($I1851,'Price List, Weapons &amp; Items'!B:D,3,0))</f>
        <v>Light Anti-armor Weapon (LAW) ammunition</v>
      </c>
      <c r="L1851" s="1187">
        <f>VLOOKUP(I1851,'Price List, Weapons &amp; Items'!B:E,4,0)</f>
        <v>0</v>
      </c>
      <c r="M1851" s="1188" t="s">
        <v>374</v>
      </c>
      <c r="N1851" s="1188" t="s">
        <v>374</v>
      </c>
      <c r="O1851" s="1188">
        <f>VLOOKUP($I1851,'Price List, Weapons &amp; Items'!B:G,6,0)</f>
        <v>93647</v>
      </c>
      <c r="P1851" s="1185" t="str">
        <f t="shared" si="386"/>
        <v>.</v>
      </c>
      <c r="Q1851" s="1185" t="str">
        <f t="shared" si="387"/>
        <v>.</v>
      </c>
      <c r="R1851" s="1185" t="str">
        <f t="shared" si="383"/>
        <v/>
      </c>
      <c r="S1851" s="1185" t="str">
        <f>IF(AND(AD1851=1,R1851&lt;&gt;".")=TRUE,R1851/VLOOKUP(G1851,'Exchange Rates'!B:C,2,0),IF(R1851=".",".",""))</f>
        <v/>
      </c>
      <c r="T1851" s="1185" t="str">
        <f>IF(AD1851=1,IF(AF1851="Value is not given at all",".",IF(AF1851="Value is given by the source",S1851,IF(AF1851="Value is calculated with prices",(IF(SUMIFS(Q:Q,A:A,A1851)&gt;0,SUMIFS(Q:Q,A:A,A1851),"."))/VLOOKUP("USD",'Exchange Rates'!B:C,2,0),"Error with coding"))),"")</f>
        <v/>
      </c>
      <c r="U1851" s="1191" t="s">
        <v>365</v>
      </c>
      <c r="V1851" s="983" t="s">
        <v>4347</v>
      </c>
      <c r="W1851" s="966" t="s">
        <v>4339</v>
      </c>
      <c r="X1851" s="1208" t="s">
        <v>364</v>
      </c>
      <c r="Y1851" s="1208" t="s">
        <v>364</v>
      </c>
      <c r="Z1851" s="1191">
        <v>0</v>
      </c>
      <c r="AA1851" s="1191">
        <v>1</v>
      </c>
      <c r="AB1851" s="1208" t="s">
        <v>364</v>
      </c>
      <c r="AC1851" s="1192" t="str">
        <f>""</f>
        <v/>
      </c>
      <c r="AD1851" s="1193">
        <v>0</v>
      </c>
      <c r="AE1851" s="1191" t="s">
        <v>368</v>
      </c>
      <c r="AF1851" s="1191" t="s">
        <v>369</v>
      </c>
      <c r="AG1851" s="1193">
        <v>1</v>
      </c>
      <c r="AH1851" s="1193">
        <v>16</v>
      </c>
      <c r="AI1851" s="1193">
        <v>0</v>
      </c>
      <c r="AJ1851" s="1193">
        <f>VLOOKUP($I1851,'Price List, Weapons &amp; Items'!B:F,5,0)</f>
        <v>0</v>
      </c>
      <c r="AK1851" s="1193">
        <f t="shared" si="388"/>
        <v>0</v>
      </c>
      <c r="AL1851" s="1193">
        <f t="shared" si="389"/>
        <v>0</v>
      </c>
      <c r="AM1851" s="1193">
        <f t="shared" si="390"/>
        <v>0</v>
      </c>
      <c r="AN1851" s="1194" t="str">
        <f>VLOOKUP($I1851,'Price List, Weapons &amp; Items'!B:L,COLUMN('Price List, Weapons &amp; Items'!$J$11)-1,0)</f>
        <v>Military media (incl. websites)</v>
      </c>
      <c r="AO1851" s="1194" t="str">
        <f>IF(I1851=".",".",VLOOKUP($I1851,'Price List, Weapons &amp; Items'!B:J,3,0))</f>
        <v>Light Anti-armor Weapon (LAW) ammunition</v>
      </c>
      <c r="AP1851" s="1195" t="str">
        <f t="shared" ca="1" si="384"/>
        <v/>
      </c>
      <c r="AQ1851" s="1194">
        <f>VLOOKUP($I1851,'Price List, Weapons &amp; Items'!B:L,COLUMN('Price List, Weapons &amp; Items'!$L$11)-1,0)</f>
        <v>2</v>
      </c>
      <c r="AR1851" s="1194">
        <f t="shared" si="391"/>
        <v>1</v>
      </c>
      <c r="AS1851" s="1194">
        <f t="shared" si="392"/>
        <v>1</v>
      </c>
      <c r="AT1851" s="1194">
        <f t="shared" si="393"/>
        <v>1</v>
      </c>
      <c r="AU1851" s="1194" t="str">
        <f t="shared" si="395"/>
        <v>.</v>
      </c>
      <c r="AV1851" s="1194" t="str">
        <f t="shared" si="385"/>
        <v>.</v>
      </c>
      <c r="AW1851" s="1194" t="str">
        <f t="shared" si="394"/>
        <v>.</v>
      </c>
      <c r="AX1851" s="1194">
        <f>IFERROR(VLOOKUP(B1851,'Share, Heavy Weapons to Ukraine'!B:Z,COLUMN('Share, Heavy Weapons to Ukraine'!C1861)-1,0),0)</f>
        <v>1</v>
      </c>
      <c r="AY1851" s="1194">
        <f>VLOOKUP('Bilateral Assistance, MAIN DATA'!B1851,'Country Summary (€)'!B:F,COLUMN('Country Summary (€)'!C1862)-1,FALSE)</f>
        <v>0</v>
      </c>
      <c r="AZ1851" s="1194" t="str">
        <f>IF(AND(AD1851=1,D1851="Military",H1851&lt;&gt;"Not given")=TRUE,IF(SUMIFS(P:P,A:A,A1851)&gt;0,ABS((SUMIFS(P:P,A:A,A1851)/VLOOKUP("USD",'Exchange Rates'!B:C,2,0)))/S1851,"."),".")</f>
        <v>.</v>
      </c>
      <c r="BA1851" s="1196" t="str">
        <f>IF(AND(AD1851=1,D1851="Military",H1851&lt;&gt;"Not given")=TRUE,IF(SUMIFS(P:P,A:A,A1851)&gt;0,IF((ABS((SUMIFS(P:P,A:A,A1851)/VLOOKUP("USD",'Exchange Rates'!B:C,2,0)))/S1851)&gt;1,(SUMIFS(P:P,A:A,A1851)-S1851)/S1851,(S1851-SUMIFS(P:P,A:A,A1851))/SUMIFS(P:P,A:A,A1851)),"."),".")</f>
        <v>.</v>
      </c>
      <c r="BB1851" s="1208"/>
      <c r="BC1851" s="1208"/>
      <c r="BD1851" s="1208"/>
      <c r="BE1851" s="1208"/>
      <c r="BF1851" s="1208"/>
      <c r="BG1851" s="1208"/>
      <c r="BH1851" s="1208"/>
      <c r="BI1851" s="1208"/>
      <c r="BJ1851" s="1208"/>
      <c r="BK1851" s="1208"/>
      <c r="BL1851" s="1208"/>
      <c r="BM1851" s="1208"/>
      <c r="BN1851" s="1208"/>
      <c r="BO1851" s="1208"/>
      <c r="BP1851" s="1208"/>
      <c r="BQ1851" s="1208"/>
      <c r="BR1851" s="1208"/>
      <c r="BS1851" s="1208"/>
    </row>
    <row r="1852" spans="1:71" ht="15.95" customHeight="1">
      <c r="A1852" s="1208" t="s">
        <v>4310</v>
      </c>
      <c r="B1852" s="1208" t="s">
        <v>3949</v>
      </c>
      <c r="C1852" s="1209">
        <v>45035</v>
      </c>
      <c r="D1852" s="1208" t="s">
        <v>389</v>
      </c>
      <c r="E1852" s="1208" t="s">
        <v>390</v>
      </c>
      <c r="F1852" s="1208" t="s">
        <v>4346</v>
      </c>
      <c r="G1852" s="1184" t="s">
        <v>456</v>
      </c>
      <c r="H1852" s="1210">
        <v>325000000</v>
      </c>
      <c r="I1852" s="1208" t="s">
        <v>3584</v>
      </c>
      <c r="J1852" s="1186" t="str">
        <f>VLOOKUP($I1852,'Price List, Weapons &amp; Items'!B:C,2,0)</f>
        <v>Portable defence system</v>
      </c>
      <c r="K1852" s="1186" t="str">
        <f>IF(I1852=".",I1852,VLOOKUP($I1852,'Price List, Weapons &amp; Items'!B:D,3,0))</f>
        <v>MANPADS</v>
      </c>
      <c r="L1852" s="1187">
        <f>VLOOKUP(I1852,'Price List, Weapons &amp; Items'!B:E,4,0)</f>
        <v>0</v>
      </c>
      <c r="M1852" s="1188" t="s">
        <v>374</v>
      </c>
      <c r="N1852" s="1188" t="s">
        <v>374</v>
      </c>
      <c r="O1852" s="1188">
        <f>VLOOKUP($I1852,'Price List, Weapons &amp; Items'!B:G,6,0)</f>
        <v>1480.64</v>
      </c>
      <c r="P1852" s="1185" t="str">
        <f t="shared" si="386"/>
        <v>.</v>
      </c>
      <c r="Q1852" s="1185" t="str">
        <f t="shared" si="387"/>
        <v>.</v>
      </c>
      <c r="R1852" s="1185" t="str">
        <f t="shared" si="383"/>
        <v/>
      </c>
      <c r="S1852" s="1185" t="str">
        <f>IF(AND(AD1852=1,R1852&lt;&gt;".")=TRUE,R1852/VLOOKUP(G1852,'Exchange Rates'!B:C,2,0),IF(R1852=".",".",""))</f>
        <v/>
      </c>
      <c r="T1852" s="1185" t="str">
        <f>IF(AD1852=1,IF(AF1852="Value is not given at all",".",IF(AF1852="Value is given by the source",S1852,IF(AF1852="Value is calculated with prices",(IF(SUMIFS(Q:Q,A:A,A1852)&gt;0,SUMIFS(Q:Q,A:A,A1852),"."))/VLOOKUP("USD",'Exchange Rates'!B:C,2,0),"Error with coding"))),"")</f>
        <v/>
      </c>
      <c r="U1852" s="1191" t="s">
        <v>365</v>
      </c>
      <c r="V1852" s="983" t="s">
        <v>4347</v>
      </c>
      <c r="W1852" s="966" t="s">
        <v>4339</v>
      </c>
      <c r="X1852" s="1208" t="s">
        <v>364</v>
      </c>
      <c r="Y1852" s="1208" t="s">
        <v>364</v>
      </c>
      <c r="Z1852" s="1191">
        <v>0</v>
      </c>
      <c r="AA1852" s="1191">
        <v>1</v>
      </c>
      <c r="AB1852" s="1208" t="s">
        <v>364</v>
      </c>
      <c r="AC1852" s="1192" t="str">
        <f>""</f>
        <v/>
      </c>
      <c r="AD1852" s="1193">
        <v>0</v>
      </c>
      <c r="AE1852" s="1191" t="s">
        <v>368</v>
      </c>
      <c r="AF1852" s="1191" t="s">
        <v>369</v>
      </c>
      <c r="AG1852" s="1193">
        <v>1</v>
      </c>
      <c r="AH1852" s="1193">
        <v>16</v>
      </c>
      <c r="AI1852" s="1193">
        <v>0</v>
      </c>
      <c r="AJ1852" s="1193">
        <f>VLOOKUP($I1852,'Price List, Weapons &amp; Items'!B:F,5,0)</f>
        <v>0</v>
      </c>
      <c r="AK1852" s="1193">
        <f t="shared" si="388"/>
        <v>0</v>
      </c>
      <c r="AL1852" s="1193">
        <f t="shared" si="389"/>
        <v>0</v>
      </c>
      <c r="AM1852" s="1193">
        <f t="shared" si="390"/>
        <v>0</v>
      </c>
      <c r="AN1852" s="1194" t="str">
        <f>VLOOKUP($I1852,'Price List, Weapons &amp; Items'!B:L,COLUMN('Price List, Weapons &amp; Items'!$J$11)-1,0)</f>
        <v>Military media (incl. websites)</v>
      </c>
      <c r="AO1852" s="1194" t="str">
        <f>IF(I1852=".",".",VLOOKUP($I1852,'Price List, Weapons &amp; Items'!B:J,3,0))</f>
        <v>MANPADS</v>
      </c>
      <c r="AP1852" s="1195" t="str">
        <f t="shared" ca="1" si="384"/>
        <v/>
      </c>
      <c r="AQ1852" s="1194">
        <f>VLOOKUP($I1852,'Price List, Weapons &amp; Items'!B:L,COLUMN('Price List, Weapons &amp; Items'!$L$11)-1,0)</f>
        <v>2</v>
      </c>
      <c r="AR1852" s="1194">
        <f t="shared" si="391"/>
        <v>1</v>
      </c>
      <c r="AS1852" s="1194">
        <f t="shared" si="392"/>
        <v>1</v>
      </c>
      <c r="AT1852" s="1194">
        <f t="shared" si="393"/>
        <v>1</v>
      </c>
      <c r="AU1852" s="1194" t="str">
        <f t="shared" si="395"/>
        <v>.</v>
      </c>
      <c r="AV1852" s="1194" t="str">
        <f t="shared" si="385"/>
        <v>.</v>
      </c>
      <c r="AW1852" s="1194" t="str">
        <f t="shared" si="394"/>
        <v>.</v>
      </c>
      <c r="AX1852" s="1194">
        <f>IFERROR(VLOOKUP(B1852,'Share, Heavy Weapons to Ukraine'!B:Z,COLUMN('Share, Heavy Weapons to Ukraine'!C1862)-1,0),0)</f>
        <v>1</v>
      </c>
      <c r="AY1852" s="1194">
        <f>VLOOKUP('Bilateral Assistance, MAIN DATA'!B1852,'Country Summary (€)'!B:F,COLUMN('Country Summary (€)'!C1863)-1,FALSE)</f>
        <v>0</v>
      </c>
      <c r="AZ1852" s="1194" t="str">
        <f>IF(AND(AD1852=1,D1852="Military",H1852&lt;&gt;"Not given")=TRUE,IF(SUMIFS(P:P,A:A,A1852)&gt;0,ABS((SUMIFS(P:P,A:A,A1852)/VLOOKUP("USD",'Exchange Rates'!B:C,2,0)))/S1852,"."),".")</f>
        <v>.</v>
      </c>
      <c r="BA1852" s="1196" t="str">
        <f>IF(AND(AD1852=1,D1852="Military",H1852&lt;&gt;"Not given")=TRUE,IF(SUMIFS(P:P,A:A,A1852)&gt;0,IF((ABS((SUMIFS(P:P,A:A,A1852)/VLOOKUP("USD",'Exchange Rates'!B:C,2,0)))/S1852)&gt;1,(SUMIFS(P:P,A:A,A1852)-S1852)/S1852,(S1852-SUMIFS(P:P,A:A,A1852))/SUMIFS(P:P,A:A,A1852)),"."),".")</f>
        <v>.</v>
      </c>
      <c r="BB1852" s="1208"/>
      <c r="BC1852" s="1208"/>
      <c r="BD1852" s="1208"/>
      <c r="BE1852" s="1208"/>
      <c r="BF1852" s="1208"/>
      <c r="BG1852" s="1208"/>
      <c r="BH1852" s="1208"/>
      <c r="BI1852" s="1208"/>
      <c r="BJ1852" s="1208"/>
      <c r="BK1852" s="1208"/>
      <c r="BL1852" s="1208"/>
      <c r="BM1852" s="1208"/>
      <c r="BN1852" s="1208"/>
      <c r="BO1852" s="1208"/>
      <c r="BP1852" s="1208"/>
      <c r="BQ1852" s="1208"/>
      <c r="BR1852" s="1208"/>
      <c r="BS1852" s="1208"/>
    </row>
    <row r="1853" spans="1:71" ht="15.6" customHeight="1">
      <c r="A1853" s="1208" t="s">
        <v>4310</v>
      </c>
      <c r="B1853" s="1208" t="s">
        <v>3949</v>
      </c>
      <c r="C1853" s="1209">
        <v>45035</v>
      </c>
      <c r="D1853" s="1208" t="s">
        <v>389</v>
      </c>
      <c r="E1853" s="1208" t="s">
        <v>390</v>
      </c>
      <c r="F1853" s="1208" t="s">
        <v>4346</v>
      </c>
      <c r="G1853" s="1184" t="s">
        <v>456</v>
      </c>
      <c r="H1853" s="1210">
        <v>325000000</v>
      </c>
      <c r="I1853" s="1208" t="s">
        <v>644</v>
      </c>
      <c r="J1853" s="1186" t="str">
        <f>VLOOKUP($I1853,'Price List, Weapons &amp; Items'!B:C,2,0)</f>
        <v>Military equipment</v>
      </c>
      <c r="K1853" s="1186" t="str">
        <f>IF(I1853=".",I1853,VLOOKUP($I1853,'Price List, Weapons &amp; Items'!B:D,3,0))</f>
        <v>Mine</v>
      </c>
      <c r="L1853" s="1187">
        <f>VLOOKUP(I1853,'Price List, Weapons &amp; Items'!B:E,4,0)</f>
        <v>0</v>
      </c>
      <c r="M1853" s="1188" t="s">
        <v>374</v>
      </c>
      <c r="N1853" s="1188" t="s">
        <v>374</v>
      </c>
      <c r="O1853" s="1188">
        <f>VLOOKUP($I1853,'Price List, Weapons &amp; Items'!B:G,6,0)</f>
        <v>1300</v>
      </c>
      <c r="P1853" s="1185" t="str">
        <f t="shared" si="386"/>
        <v>.</v>
      </c>
      <c r="Q1853" s="1185" t="str">
        <f t="shared" si="387"/>
        <v>.</v>
      </c>
      <c r="R1853" s="1185" t="str">
        <f t="shared" si="383"/>
        <v/>
      </c>
      <c r="S1853" s="1185" t="str">
        <f>IF(AND(AD1853=1,R1853&lt;&gt;".")=TRUE,R1853/VLOOKUP(G1853,'Exchange Rates'!B:C,2,0),IF(R1853=".",".",""))</f>
        <v/>
      </c>
      <c r="T1853" s="1185" t="str">
        <f>IF(AD1853=1,IF(AF1853="Value is not given at all",".",IF(AF1853="Value is given by the source",S1853,IF(AF1853="Value is calculated with prices",(IF(SUMIFS(Q:Q,A:A,A1853)&gt;0,SUMIFS(Q:Q,A:A,A1853),"."))/VLOOKUP("USD",'Exchange Rates'!B:C,2,0),"Error with coding"))),"")</f>
        <v/>
      </c>
      <c r="U1853" s="1191" t="s">
        <v>365</v>
      </c>
      <c r="V1853" s="983" t="s">
        <v>4347</v>
      </c>
      <c r="W1853" s="966" t="s">
        <v>4339</v>
      </c>
      <c r="X1853" s="1208" t="s">
        <v>364</v>
      </c>
      <c r="Y1853" s="1208" t="s">
        <v>364</v>
      </c>
      <c r="Z1853" s="1191">
        <v>0</v>
      </c>
      <c r="AA1853" s="1191">
        <v>1</v>
      </c>
      <c r="AB1853" s="1208" t="s">
        <v>364</v>
      </c>
      <c r="AC1853" s="1192" t="str">
        <f>""</f>
        <v/>
      </c>
      <c r="AD1853" s="1193">
        <v>0</v>
      </c>
      <c r="AE1853" s="1191" t="s">
        <v>368</v>
      </c>
      <c r="AF1853" s="1191" t="s">
        <v>369</v>
      </c>
      <c r="AG1853" s="1193">
        <v>1</v>
      </c>
      <c r="AH1853" s="1193">
        <v>16</v>
      </c>
      <c r="AI1853" s="1193">
        <v>0</v>
      </c>
      <c r="AJ1853" s="1193">
        <f>VLOOKUP($I1853,'Price List, Weapons &amp; Items'!B:F,5,0)</f>
        <v>0</v>
      </c>
      <c r="AK1853" s="1193">
        <f t="shared" si="388"/>
        <v>0</v>
      </c>
      <c r="AL1853" s="1193">
        <f t="shared" si="389"/>
        <v>0</v>
      </c>
      <c r="AM1853" s="1193">
        <f t="shared" si="390"/>
        <v>0</v>
      </c>
      <c r="AN1853" s="1194" t="str">
        <f>VLOOKUP($I1853,'Price List, Weapons &amp; Items'!B:L,COLUMN('Price List, Weapons &amp; Items'!$J$11)-1,0)</f>
        <v>Source mentions price between 1200 and 1400 USD per piece, we average at 1300.</v>
      </c>
      <c r="AO1853" s="1194" t="str">
        <f>IF(I1853=".",".",VLOOKUP($I1853,'Price List, Weapons &amp; Items'!B:J,3,0))</f>
        <v>Mine</v>
      </c>
      <c r="AP1853" s="1195" t="str">
        <f t="shared" ca="1" si="384"/>
        <v/>
      </c>
      <c r="AQ1853" s="1194">
        <f>VLOOKUP($I1853,'Price List, Weapons &amp; Items'!B:L,COLUMN('Price List, Weapons &amp; Items'!$L$11)-1,0)</f>
        <v>2</v>
      </c>
      <c r="AR1853" s="1194">
        <f t="shared" si="391"/>
        <v>1</v>
      </c>
      <c r="AS1853" s="1194">
        <f t="shared" si="392"/>
        <v>1</v>
      </c>
      <c r="AT1853" s="1194">
        <f t="shared" si="393"/>
        <v>1</v>
      </c>
      <c r="AU1853" s="1194" t="str">
        <f t="shared" si="395"/>
        <v>.</v>
      </c>
      <c r="AV1853" s="1194" t="str">
        <f t="shared" si="385"/>
        <v>.</v>
      </c>
      <c r="AW1853" s="1194" t="str">
        <f t="shared" si="394"/>
        <v>.</v>
      </c>
      <c r="AX1853" s="1194">
        <f>IFERROR(VLOOKUP(B1853,'Share, Heavy Weapons to Ukraine'!B:Z,COLUMN('Share, Heavy Weapons to Ukraine'!C1863)-1,0),0)</f>
        <v>1</v>
      </c>
      <c r="AY1853" s="1194">
        <f>VLOOKUP('Bilateral Assistance, MAIN DATA'!B1853,'Country Summary (€)'!B:F,COLUMN('Country Summary (€)'!C1864)-1,FALSE)</f>
        <v>0</v>
      </c>
      <c r="AZ1853" s="1194" t="str">
        <f>IF(AND(AD1853=1,D1853="Military",H1853&lt;&gt;"Not given")=TRUE,IF(SUMIFS(P:P,A:A,A1853)&gt;0,ABS((SUMIFS(P:P,A:A,A1853)/VLOOKUP("USD",'Exchange Rates'!B:C,2,0)))/S1853,"."),".")</f>
        <v>.</v>
      </c>
      <c r="BA1853" s="1196" t="str">
        <f>IF(AND(AD1853=1,D1853="Military",H1853&lt;&gt;"Not given")=TRUE,IF(SUMIFS(P:P,A:A,A1853)&gt;0,IF((ABS((SUMIFS(P:P,A:A,A1853)/VLOOKUP("USD",'Exchange Rates'!B:C,2,0)))/S1853)&gt;1,(SUMIFS(P:P,A:A,A1853)-S1853)/S1853,(S1853-SUMIFS(P:P,A:A,A1853))/SUMIFS(P:P,A:A,A1853)),"."),".")</f>
        <v>.</v>
      </c>
      <c r="BB1853" s="1208"/>
      <c r="BC1853" s="1208"/>
      <c r="BD1853" s="1208"/>
      <c r="BE1853" s="1208"/>
      <c r="BF1853" s="1208"/>
      <c r="BG1853" s="1208"/>
      <c r="BH1853" s="1208"/>
      <c r="BI1853" s="1208"/>
      <c r="BJ1853" s="1208"/>
      <c r="BK1853" s="1208"/>
      <c r="BL1853" s="1208"/>
      <c r="BM1853" s="1208"/>
      <c r="BN1853" s="1208"/>
      <c r="BO1853" s="1208"/>
      <c r="BP1853" s="1208"/>
      <c r="BQ1853" s="1208"/>
      <c r="BR1853" s="1208"/>
      <c r="BS1853" s="1208"/>
    </row>
    <row r="1854" spans="1:71" ht="15.95" customHeight="1">
      <c r="A1854" s="1208" t="s">
        <v>4310</v>
      </c>
      <c r="B1854" s="1208" t="s">
        <v>3949</v>
      </c>
      <c r="C1854" s="1209">
        <v>45035</v>
      </c>
      <c r="D1854" s="1208" t="s">
        <v>389</v>
      </c>
      <c r="E1854" s="1208" t="s">
        <v>390</v>
      </c>
      <c r="F1854" s="1208" t="s">
        <v>4346</v>
      </c>
      <c r="G1854" s="1184" t="s">
        <v>456</v>
      </c>
      <c r="H1854" s="1210">
        <v>325000000</v>
      </c>
      <c r="I1854" s="1208" t="s">
        <v>4172</v>
      </c>
      <c r="J1854" s="1186" t="str">
        <f>VLOOKUP($I1854,'Price List, Weapons &amp; Items'!B:C,2,0)</f>
        <v>Military equipment</v>
      </c>
      <c r="K1854" s="1186" t="str">
        <f>IF(I1854=".",I1854,VLOOKUP($I1854,'Price List, Weapons &amp; Items'!B:D,3,0))</f>
        <v>Military equipment</v>
      </c>
      <c r="L1854" s="1187">
        <f>VLOOKUP(I1854,'Price List, Weapons &amp; Items'!B:E,4,0)</f>
        <v>0</v>
      </c>
      <c r="M1854" s="1188" t="s">
        <v>374</v>
      </c>
      <c r="N1854" s="1188" t="s">
        <v>374</v>
      </c>
      <c r="O1854" s="1188">
        <f>VLOOKUP($I1854,'Price List, Weapons &amp; Items'!B:G,6,0)</f>
        <v>90</v>
      </c>
      <c r="P1854" s="1185" t="str">
        <f t="shared" si="386"/>
        <v>.</v>
      </c>
      <c r="Q1854" s="1185" t="str">
        <f t="shared" si="387"/>
        <v>.</v>
      </c>
      <c r="R1854" s="1185" t="str">
        <f t="shared" si="383"/>
        <v/>
      </c>
      <c r="S1854" s="1185" t="str">
        <f>IF(AND(AD1854=1,R1854&lt;&gt;".")=TRUE,R1854/VLOOKUP(G1854,'Exchange Rates'!B:C,2,0),IF(R1854=".",".",""))</f>
        <v/>
      </c>
      <c r="T1854" s="1185" t="str">
        <f>IF(AD1854=1,IF(AF1854="Value is not given at all",".",IF(AF1854="Value is given by the source",S1854,IF(AF1854="Value is calculated with prices",(IF(SUMIFS(Q:Q,A:A,A1854)&gt;0,SUMIFS(Q:Q,A:A,A1854),"."))/VLOOKUP("USD",'Exchange Rates'!B:C,2,0),"Error with coding"))),"")</f>
        <v/>
      </c>
      <c r="U1854" s="1191" t="s">
        <v>365</v>
      </c>
      <c r="V1854" s="983" t="s">
        <v>4347</v>
      </c>
      <c r="W1854" s="966" t="s">
        <v>4339</v>
      </c>
      <c r="X1854" s="1208" t="s">
        <v>364</v>
      </c>
      <c r="Y1854" s="1208" t="s">
        <v>364</v>
      </c>
      <c r="Z1854" s="1191">
        <v>0</v>
      </c>
      <c r="AA1854" s="1191">
        <v>1</v>
      </c>
      <c r="AB1854" s="1208" t="s">
        <v>364</v>
      </c>
      <c r="AC1854" s="1192" t="str">
        <f>""</f>
        <v/>
      </c>
      <c r="AD1854" s="1193">
        <v>0</v>
      </c>
      <c r="AE1854" s="1191" t="s">
        <v>368</v>
      </c>
      <c r="AF1854" s="1191" t="s">
        <v>369</v>
      </c>
      <c r="AG1854" s="1193">
        <v>1</v>
      </c>
      <c r="AH1854" s="1193">
        <v>16</v>
      </c>
      <c r="AI1854" s="1193">
        <v>0</v>
      </c>
      <c r="AJ1854" s="1193">
        <f>VLOOKUP($I1854,'Price List, Weapons &amp; Items'!B:F,5,0)</f>
        <v>0</v>
      </c>
      <c r="AK1854" s="1193">
        <f t="shared" si="388"/>
        <v>0</v>
      </c>
      <c r="AL1854" s="1193">
        <f t="shared" si="389"/>
        <v>0</v>
      </c>
      <c r="AM1854" s="1193">
        <f t="shared" si="390"/>
        <v>0</v>
      </c>
      <c r="AN1854" s="1194" t="str">
        <f>VLOOKUP($I1854,'Price List, Weapons &amp; Items'!B:L,COLUMN('Price List, Weapons &amp; Items'!$J$11)-1,0)</f>
        <v>Media reports (incl. social media)</v>
      </c>
      <c r="AO1854" s="1194" t="str">
        <f>IF(I1854=".",".",VLOOKUP($I1854,'Price List, Weapons &amp; Items'!B:J,3,0))</f>
        <v>Military equipment</v>
      </c>
      <c r="AP1854" s="1195" t="str">
        <f t="shared" ca="1" si="384"/>
        <v/>
      </c>
      <c r="AQ1854" s="1194" t="str">
        <f>VLOOKUP($I1854,'Price List, Weapons &amp; Items'!B:L,COLUMN('Price List, Weapons &amp; Items'!$L$11)-1,0)</f>
        <v>no price, 0 count</v>
      </c>
      <c r="AR1854" s="1194">
        <f t="shared" si="391"/>
        <v>1</v>
      </c>
      <c r="AS1854" s="1194">
        <f t="shared" si="392"/>
        <v>1</v>
      </c>
      <c r="AT1854" s="1194">
        <f t="shared" si="393"/>
        <v>1</v>
      </c>
      <c r="AU1854" s="1194" t="str">
        <f t="shared" si="395"/>
        <v>.</v>
      </c>
      <c r="AV1854" s="1194" t="str">
        <f t="shared" si="385"/>
        <v>.</v>
      </c>
      <c r="AW1854" s="1194" t="str">
        <f t="shared" si="394"/>
        <v>.</v>
      </c>
      <c r="AX1854" s="1194">
        <f>IFERROR(VLOOKUP(B1854,'Share, Heavy Weapons to Ukraine'!B:Z,COLUMN('Share, Heavy Weapons to Ukraine'!C1864)-1,0),0)</f>
        <v>1</v>
      </c>
      <c r="AY1854" s="1194">
        <f>VLOOKUP('Bilateral Assistance, MAIN DATA'!B1854,'Country Summary (€)'!B:F,COLUMN('Country Summary (€)'!C1865)-1,FALSE)</f>
        <v>0</v>
      </c>
      <c r="AZ1854" s="1194" t="str">
        <f>IF(AND(AD1854=1,D1854="Military",H1854&lt;&gt;"Not given")=TRUE,IF(SUMIFS(P:P,A:A,A1854)&gt;0,ABS((SUMIFS(P:P,A:A,A1854)/VLOOKUP("USD",'Exchange Rates'!B:C,2,0)))/S1854,"."),".")</f>
        <v>.</v>
      </c>
      <c r="BA1854" s="1196" t="str">
        <f>IF(AND(AD1854=1,D1854="Military",H1854&lt;&gt;"Not given")=TRUE,IF(SUMIFS(P:P,A:A,A1854)&gt;0,IF((ABS((SUMIFS(P:P,A:A,A1854)/VLOOKUP("USD",'Exchange Rates'!B:C,2,0)))/S1854)&gt;1,(SUMIFS(P:P,A:A,A1854)-S1854)/S1854,(S1854-SUMIFS(P:P,A:A,A1854))/SUMIFS(P:P,A:A,A1854)),"."),".")</f>
        <v>.</v>
      </c>
      <c r="BB1854" s="1208"/>
      <c r="BC1854" s="1208"/>
      <c r="BD1854" s="1208"/>
      <c r="BE1854" s="1208"/>
      <c r="BF1854" s="1208"/>
      <c r="BG1854" s="1208"/>
      <c r="BH1854" s="1208"/>
      <c r="BI1854" s="1208"/>
      <c r="BJ1854" s="1208"/>
      <c r="BK1854" s="1208"/>
      <c r="BL1854" s="1208"/>
      <c r="BM1854" s="1208"/>
      <c r="BN1854" s="1208"/>
      <c r="BO1854" s="1208"/>
      <c r="BP1854" s="1208"/>
      <c r="BQ1854" s="1208"/>
      <c r="BR1854" s="1208"/>
      <c r="BS1854" s="1208"/>
    </row>
    <row r="1855" spans="1:71" ht="15.6" customHeight="1">
      <c r="A1855" s="1208" t="s">
        <v>4310</v>
      </c>
      <c r="B1855" s="1208" t="s">
        <v>3949</v>
      </c>
      <c r="C1855" s="1209">
        <v>45035</v>
      </c>
      <c r="D1855" s="1208" t="s">
        <v>389</v>
      </c>
      <c r="E1855" s="1208" t="s">
        <v>390</v>
      </c>
      <c r="F1855" s="1208" t="s">
        <v>4346</v>
      </c>
      <c r="G1855" s="1184" t="s">
        <v>456</v>
      </c>
      <c r="H1855" s="1210">
        <v>325000000</v>
      </c>
      <c r="I1855" s="1208" t="s">
        <v>4013</v>
      </c>
      <c r="J1855" s="1186" t="str">
        <f>VLOOKUP($I1855,'Price List, Weapons &amp; Items'!B:C,2,0)</f>
        <v>Ammunition for light infantry</v>
      </c>
      <c r="K1855" s="1186" t="str">
        <f>IF(I1855=".",I1855,VLOOKUP($I1855,'Price List, Weapons &amp; Items'!B:D,3,0))</f>
        <v>Small Arms and Light Weapons (SALW) ammunition</v>
      </c>
      <c r="L1855" s="1187">
        <f>VLOOKUP(I1855,'Price List, Weapons &amp; Items'!B:E,4,0)</f>
        <v>0</v>
      </c>
      <c r="M1855" s="1188">
        <v>9000000</v>
      </c>
      <c r="N1855" s="1188" t="s">
        <v>374</v>
      </c>
      <c r="O1855" s="1188">
        <f>VLOOKUP($I1855,'Price List, Weapons &amp; Items'!B:G,6,0)</f>
        <v>5</v>
      </c>
      <c r="P1855" s="1185">
        <f t="shared" si="386"/>
        <v>45000000</v>
      </c>
      <c r="Q1855" s="1185" t="str">
        <f t="shared" si="387"/>
        <v>.</v>
      </c>
      <c r="R1855" s="1185" t="str">
        <f t="shared" si="383"/>
        <v/>
      </c>
      <c r="S1855" s="1185" t="str">
        <f>IF(AND(AD1855=1,R1855&lt;&gt;".")=TRUE,R1855/VLOOKUP(G1855,'Exchange Rates'!B:C,2,0),IF(R1855=".",".",""))</f>
        <v/>
      </c>
      <c r="T1855" s="1185" t="str">
        <f>IF(AD1855=1,IF(AF1855="Value is not given at all",".",IF(AF1855="Value is given by the source",S1855,IF(AF1855="Value is calculated with prices",(IF(SUMIFS(Q:Q,A:A,A1855)&gt;0,SUMIFS(Q:Q,A:A,A1855),"."))/VLOOKUP("USD",'Exchange Rates'!B:C,2,0),"Error with coding"))),"")</f>
        <v/>
      </c>
      <c r="U1855" s="1191" t="s">
        <v>365</v>
      </c>
      <c r="V1855" s="983" t="s">
        <v>4347</v>
      </c>
      <c r="W1855" s="966" t="s">
        <v>4339</v>
      </c>
      <c r="X1855" s="1208" t="s">
        <v>364</v>
      </c>
      <c r="Y1855" s="1208" t="s">
        <v>364</v>
      </c>
      <c r="Z1855" s="1191">
        <v>0</v>
      </c>
      <c r="AA1855" s="1191">
        <v>1</v>
      </c>
      <c r="AB1855" s="1208" t="s">
        <v>364</v>
      </c>
      <c r="AC1855" s="1192" t="str">
        <f>""</f>
        <v/>
      </c>
      <c r="AD1855" s="1193">
        <v>0</v>
      </c>
      <c r="AE1855" s="1191" t="s">
        <v>368</v>
      </c>
      <c r="AF1855" s="1191" t="s">
        <v>369</v>
      </c>
      <c r="AG1855" s="1193">
        <v>1</v>
      </c>
      <c r="AH1855" s="1193">
        <v>16</v>
      </c>
      <c r="AI1855" s="1193">
        <v>0</v>
      </c>
      <c r="AJ1855" s="1193">
        <f>VLOOKUP($I1855,'Price List, Weapons &amp; Items'!B:F,5,0)</f>
        <v>0</v>
      </c>
      <c r="AK1855" s="1193">
        <f t="shared" si="388"/>
        <v>0</v>
      </c>
      <c r="AL1855" s="1193">
        <f t="shared" si="389"/>
        <v>0</v>
      </c>
      <c r="AM1855" s="1193">
        <f t="shared" si="390"/>
        <v>1</v>
      </c>
      <c r="AN1855" s="1194" t="str">
        <f>VLOOKUP($I1855,'Price List, Weapons &amp; Items'!B:L,COLUMN('Price List, Weapons &amp; Items'!$J$11)-1,0)</f>
        <v>Miscellaneous</v>
      </c>
      <c r="AO1855" s="1194" t="str">
        <f>IF(I1855=".",".",VLOOKUP($I1855,'Price List, Weapons &amp; Items'!B:J,3,0))</f>
        <v>Small Arms and Light Weapons (SALW) ammunition</v>
      </c>
      <c r="AP1855" s="1195" t="str">
        <f t="shared" ca="1" si="384"/>
        <v/>
      </c>
      <c r="AQ1855" s="1194">
        <f>VLOOKUP($I1855,'Price List, Weapons &amp; Items'!B:L,COLUMN('Price List, Weapons &amp; Items'!$L$11)-1,0)</f>
        <v>2</v>
      </c>
      <c r="AR1855" s="1194">
        <f t="shared" si="391"/>
        <v>1</v>
      </c>
      <c r="AS1855" s="1194">
        <f t="shared" si="392"/>
        <v>1</v>
      </c>
      <c r="AT1855" s="1194">
        <f t="shared" si="393"/>
        <v>1</v>
      </c>
      <c r="AU1855" s="1194" t="str">
        <f t="shared" si="395"/>
        <v>.</v>
      </c>
      <c r="AV1855" s="1194" t="str">
        <f t="shared" si="385"/>
        <v>.</v>
      </c>
      <c r="AW1855" s="1194" t="str">
        <f t="shared" si="394"/>
        <v>.</v>
      </c>
      <c r="AX1855" s="1194">
        <f>IFERROR(VLOOKUP(B1855,'Share, Heavy Weapons to Ukraine'!B:Z,COLUMN('Share, Heavy Weapons to Ukraine'!C1865)-1,0),0)</f>
        <v>1</v>
      </c>
      <c r="AY1855" s="1194">
        <f>VLOOKUP('Bilateral Assistance, MAIN DATA'!B1855,'Country Summary (€)'!B:F,COLUMN('Country Summary (€)'!C1866)-1,FALSE)</f>
        <v>0</v>
      </c>
      <c r="AZ1855" s="1194" t="str">
        <f>IF(AND(AD1855=1,D1855="Military",H1855&lt;&gt;"Not given")=TRUE,IF(SUMIFS(P:P,A:A,A1855)&gt;0,ABS((SUMIFS(P:P,A:A,A1855)/VLOOKUP("USD",'Exchange Rates'!B:C,2,0)))/S1855,"."),".")</f>
        <v>.</v>
      </c>
      <c r="BA1855" s="1196" t="str">
        <f>IF(AND(AD1855=1,D1855="Military",H1855&lt;&gt;"Not given")=TRUE,IF(SUMIFS(P:P,A:A,A1855)&gt;0,IF((ABS((SUMIFS(P:P,A:A,A1855)/VLOOKUP("USD",'Exchange Rates'!B:C,2,0)))/S1855)&gt;1,(SUMIFS(P:P,A:A,A1855)-S1855)/S1855,(S1855-SUMIFS(P:P,A:A,A1855))/SUMIFS(P:P,A:A,A1855)),"."),".")</f>
        <v>.</v>
      </c>
      <c r="BB1855" s="1208"/>
      <c r="BC1855" s="1208"/>
      <c r="BD1855" s="1208"/>
      <c r="BE1855" s="1208"/>
      <c r="BF1855" s="1208"/>
      <c r="BG1855" s="1208"/>
      <c r="BH1855" s="1208"/>
      <c r="BI1855" s="1208"/>
      <c r="BJ1855" s="1208"/>
      <c r="BK1855" s="1208"/>
      <c r="BL1855" s="1208"/>
      <c r="BM1855" s="1208"/>
      <c r="BN1855" s="1208"/>
      <c r="BO1855" s="1208"/>
      <c r="BP1855" s="1208"/>
      <c r="BQ1855" s="1208"/>
      <c r="BR1855" s="1208"/>
      <c r="BS1855" s="1208"/>
    </row>
    <row r="1856" spans="1:71" ht="15.95" customHeight="1">
      <c r="A1856" s="1208" t="s">
        <v>4310</v>
      </c>
      <c r="B1856" s="1208" t="s">
        <v>3949</v>
      </c>
      <c r="C1856" s="1209">
        <v>45035</v>
      </c>
      <c r="D1856" s="1208" t="s">
        <v>389</v>
      </c>
      <c r="E1856" s="1208" t="s">
        <v>390</v>
      </c>
      <c r="F1856" s="1208" t="s">
        <v>4346</v>
      </c>
      <c r="G1856" s="1184" t="s">
        <v>456</v>
      </c>
      <c r="H1856" s="1210">
        <v>325000000</v>
      </c>
      <c r="I1856" s="1208" t="s">
        <v>4085</v>
      </c>
      <c r="J1856" s="1186" t="str">
        <f>VLOOKUP($I1856,'Price List, Weapons &amp; Items'!B:C,2,0)</f>
        <v>Military equipment</v>
      </c>
      <c r="K1856" s="1186" t="str">
        <f>IF(I1856=".",I1856,VLOOKUP($I1856,'Price List, Weapons &amp; Items'!B:D,3,0))</f>
        <v>Military equipment</v>
      </c>
      <c r="L1856" s="1187">
        <f>VLOOKUP(I1856,'Price List, Weapons &amp; Items'!B:E,4,0)</f>
        <v>0</v>
      </c>
      <c r="M1856" s="1188">
        <v>4</v>
      </c>
      <c r="N1856" s="1188" t="s">
        <v>374</v>
      </c>
      <c r="O1856" s="1188">
        <f>VLOOKUP($I1856,'Price List, Weapons &amp; Items'!B:G,6,0)</f>
        <v>350000</v>
      </c>
      <c r="P1856" s="1185">
        <f t="shared" si="386"/>
        <v>1400000</v>
      </c>
      <c r="Q1856" s="1185" t="str">
        <f t="shared" si="387"/>
        <v>.</v>
      </c>
      <c r="R1856" s="1185" t="str">
        <f t="shared" si="383"/>
        <v/>
      </c>
      <c r="S1856" s="1185" t="str">
        <f>IF(AND(AD1856=1,R1856&lt;&gt;".")=TRUE,R1856/VLOOKUP(G1856,'Exchange Rates'!B:C,2,0),IF(R1856=".",".",""))</f>
        <v/>
      </c>
      <c r="T1856" s="1185" t="str">
        <f>IF(AD1856=1,IF(AF1856="Value is not given at all",".",IF(AF1856="Value is given by the source",S1856,IF(AF1856="Value is calculated with prices",(IF(SUMIFS(Q:Q,A:A,A1856)&gt;0,SUMIFS(Q:Q,A:A,A1856),"."))/VLOOKUP("USD",'Exchange Rates'!B:C,2,0),"Error with coding"))),"")</f>
        <v/>
      </c>
      <c r="U1856" s="1191" t="s">
        <v>365</v>
      </c>
      <c r="V1856" s="983" t="s">
        <v>4347</v>
      </c>
      <c r="W1856" s="966" t="s">
        <v>4339</v>
      </c>
      <c r="X1856" s="1208" t="s">
        <v>364</v>
      </c>
      <c r="Y1856" s="1208" t="s">
        <v>364</v>
      </c>
      <c r="Z1856" s="1191">
        <v>0</v>
      </c>
      <c r="AA1856" s="1191">
        <v>1</v>
      </c>
      <c r="AB1856" s="1208" t="s">
        <v>364</v>
      </c>
      <c r="AC1856" s="1192" t="str">
        <f>""</f>
        <v/>
      </c>
      <c r="AD1856" s="1193">
        <v>0</v>
      </c>
      <c r="AE1856" s="1191" t="s">
        <v>368</v>
      </c>
      <c r="AF1856" s="1191" t="s">
        <v>369</v>
      </c>
      <c r="AG1856" s="1193">
        <v>1</v>
      </c>
      <c r="AH1856" s="1193">
        <v>16</v>
      </c>
      <c r="AI1856" s="1193">
        <v>0</v>
      </c>
      <c r="AJ1856" s="1193">
        <f>VLOOKUP($I1856,'Price List, Weapons &amp; Items'!B:F,5,0)</f>
        <v>0</v>
      </c>
      <c r="AK1856" s="1193">
        <f t="shared" si="388"/>
        <v>0</v>
      </c>
      <c r="AL1856" s="1193">
        <f t="shared" si="389"/>
        <v>0</v>
      </c>
      <c r="AM1856" s="1193">
        <f t="shared" si="390"/>
        <v>0</v>
      </c>
      <c r="AN1856" s="1194" t="str">
        <f>VLOOKUP($I1856,'Price List, Weapons &amp; Items'!B:L,COLUMN('Price List, Weapons &amp; Items'!$J$11)-1,0)</f>
        <v>Media reports (incl. social media)</v>
      </c>
      <c r="AO1856" s="1194" t="str">
        <f>IF(I1856=".",".",VLOOKUP($I1856,'Price List, Weapons &amp; Items'!B:J,3,0))</f>
        <v>Military equipment</v>
      </c>
      <c r="AP1856" s="1195" t="str">
        <f t="shared" ca="1" si="384"/>
        <v/>
      </c>
      <c r="AQ1856" s="1194">
        <f>VLOOKUP($I1856,'Price List, Weapons &amp; Items'!B:L,COLUMN('Price List, Weapons &amp; Items'!$L$11)-1,0)</f>
        <v>2</v>
      </c>
      <c r="AR1856" s="1194">
        <f t="shared" si="391"/>
        <v>1</v>
      </c>
      <c r="AS1856" s="1194">
        <f t="shared" si="392"/>
        <v>1</v>
      </c>
      <c r="AT1856" s="1194">
        <f t="shared" si="393"/>
        <v>1</v>
      </c>
      <c r="AU1856" s="1194" t="str">
        <f t="shared" si="395"/>
        <v>.</v>
      </c>
      <c r="AV1856" s="1194" t="str">
        <f t="shared" si="385"/>
        <v>.</v>
      </c>
      <c r="AW1856" s="1194" t="str">
        <f t="shared" si="394"/>
        <v>.</v>
      </c>
      <c r="AX1856" s="1194">
        <f>IFERROR(VLOOKUP(B1856,'Share, Heavy Weapons to Ukraine'!B:Z,COLUMN('Share, Heavy Weapons to Ukraine'!C1866)-1,0),0)</f>
        <v>1</v>
      </c>
      <c r="AY1856" s="1194">
        <f>VLOOKUP('Bilateral Assistance, MAIN DATA'!B1856,'Country Summary (€)'!B:F,COLUMN('Country Summary (€)'!C1867)-1,FALSE)</f>
        <v>0</v>
      </c>
      <c r="AZ1856" s="1194" t="str">
        <f>IF(AND(AD1856=1,D1856="Military",H1856&lt;&gt;"Not given")=TRUE,IF(SUMIFS(P:P,A:A,A1856)&gt;0,ABS((SUMIFS(P:P,A:A,A1856)/VLOOKUP("USD",'Exchange Rates'!B:C,2,0)))/S1856,"."),".")</f>
        <v>.</v>
      </c>
      <c r="BA1856" s="1196" t="str">
        <f>IF(AND(AD1856=1,D1856="Military",H1856&lt;&gt;"Not given")=TRUE,IF(SUMIFS(P:P,A:A,A1856)&gt;0,IF((ABS((SUMIFS(P:P,A:A,A1856)/VLOOKUP("USD",'Exchange Rates'!B:C,2,0)))/S1856)&gt;1,(SUMIFS(P:P,A:A,A1856)-S1856)/S1856,(S1856-SUMIFS(P:P,A:A,A1856))/SUMIFS(P:P,A:A,A1856)),"."),".")</f>
        <v>.</v>
      </c>
      <c r="BB1856" s="1208"/>
      <c r="BC1856" s="1208"/>
      <c r="BD1856" s="1208"/>
      <c r="BE1856" s="1208"/>
      <c r="BF1856" s="1208"/>
      <c r="BG1856" s="1208"/>
      <c r="BH1856" s="1208"/>
      <c r="BI1856" s="1208"/>
      <c r="BJ1856" s="1208"/>
      <c r="BK1856" s="1208"/>
      <c r="BL1856" s="1208"/>
      <c r="BM1856" s="1208"/>
      <c r="BN1856" s="1208"/>
      <c r="BO1856" s="1208"/>
      <c r="BP1856" s="1208"/>
      <c r="BQ1856" s="1208"/>
      <c r="BR1856" s="1208"/>
      <c r="BS1856" s="1208"/>
    </row>
    <row r="1857" spans="1:71" ht="15.95" customHeight="1">
      <c r="A1857" s="1208" t="s">
        <v>4310</v>
      </c>
      <c r="B1857" s="1208" t="s">
        <v>3949</v>
      </c>
      <c r="C1857" s="1209">
        <v>45035</v>
      </c>
      <c r="D1857" s="1208" t="s">
        <v>389</v>
      </c>
      <c r="E1857" s="1208" t="s">
        <v>390</v>
      </c>
      <c r="F1857" s="1208" t="s">
        <v>4346</v>
      </c>
      <c r="G1857" s="1184" t="s">
        <v>456</v>
      </c>
      <c r="H1857" s="1210">
        <v>325000000</v>
      </c>
      <c r="I1857" s="1208" t="s">
        <v>4291</v>
      </c>
      <c r="J1857" s="1186" t="str">
        <f>VLOOKUP($I1857,'Price List, Weapons &amp; Items'!B:C,2,0)</f>
        <v>Ammunition for heavy weapon</v>
      </c>
      <c r="K1857" s="1186" t="str">
        <f>IF(I1857=".",I1857,VLOOKUP($I1857,'Price List, Weapons &amp; Items'!B:D,3,0))</f>
        <v>artillery round</v>
      </c>
      <c r="L1857" s="1187">
        <f>VLOOKUP(I1857,'Price List, Weapons &amp; Items'!B:E,4,0)</f>
        <v>0</v>
      </c>
      <c r="M1857" s="1188" t="s">
        <v>374</v>
      </c>
      <c r="N1857" s="1188" t="s">
        <v>374</v>
      </c>
      <c r="O1857" s="1188">
        <f>VLOOKUP($I1857,'Price List, Weapons &amp; Items'!B:G,6,0)</f>
        <v>112800</v>
      </c>
      <c r="P1857" s="1185" t="str">
        <f t="shared" si="386"/>
        <v>.</v>
      </c>
      <c r="Q1857" s="1185" t="str">
        <f t="shared" si="387"/>
        <v>.</v>
      </c>
      <c r="R1857" s="1185" t="str">
        <f t="shared" si="383"/>
        <v/>
      </c>
      <c r="S1857" s="1185" t="str">
        <f>IF(AND(AD1857=1,R1857&lt;&gt;".")=TRUE,R1857/VLOOKUP(G1857,'Exchange Rates'!B:C,2,0),IF(R1857=".",".",""))</f>
        <v/>
      </c>
      <c r="T1857" s="1185" t="str">
        <f>IF(AD1857=1,IF(AF1857="Value is not given at all",".",IF(AF1857="Value is given by the source",S1857,IF(AF1857="Value is calculated with prices",(IF(SUMIFS(Q:Q,A:A,A1857)&gt;0,SUMIFS(Q:Q,A:A,A1857),"."))/VLOOKUP("USD",'Exchange Rates'!B:C,2,0),"Error with coding"))),"")</f>
        <v/>
      </c>
      <c r="U1857" s="1191" t="s">
        <v>365</v>
      </c>
      <c r="V1857" s="983" t="s">
        <v>4347</v>
      </c>
      <c r="W1857" s="966" t="s">
        <v>4339</v>
      </c>
      <c r="X1857" s="1208" t="s">
        <v>364</v>
      </c>
      <c r="Y1857" s="1208" t="s">
        <v>364</v>
      </c>
      <c r="Z1857" s="1191">
        <v>0</v>
      </c>
      <c r="AA1857" s="1191">
        <v>1</v>
      </c>
      <c r="AB1857" s="1208" t="s">
        <v>364</v>
      </c>
      <c r="AC1857" s="1192" t="str">
        <f>""</f>
        <v/>
      </c>
      <c r="AD1857" s="1193">
        <v>0</v>
      </c>
      <c r="AE1857" s="1191" t="s">
        <v>368</v>
      </c>
      <c r="AF1857" s="1191" t="s">
        <v>369</v>
      </c>
      <c r="AG1857" s="1193">
        <v>1</v>
      </c>
      <c r="AH1857" s="1193">
        <v>16</v>
      </c>
      <c r="AI1857" s="1193">
        <v>0</v>
      </c>
      <c r="AJ1857" s="1193">
        <f>VLOOKUP($I1857,'Price List, Weapons &amp; Items'!B:F,5,0)</f>
        <v>0</v>
      </c>
      <c r="AK1857" s="1193">
        <f t="shared" si="388"/>
        <v>0</v>
      </c>
      <c r="AL1857" s="1193">
        <f t="shared" si="389"/>
        <v>0</v>
      </c>
      <c r="AM1857" s="1193">
        <f t="shared" si="390"/>
        <v>0</v>
      </c>
      <c r="AN1857" s="1194" t="str">
        <f>VLOOKUP($I1857,'Price List, Weapons &amp; Items'!B:L,COLUMN('Price List, Weapons &amp; Items'!$J$11)-1,0)</f>
        <v>Miscellaneous</v>
      </c>
      <c r="AO1857" s="1194" t="str">
        <f>IF(I1857=".",".",VLOOKUP($I1857,'Price List, Weapons &amp; Items'!B:J,3,0))</f>
        <v>artillery round</v>
      </c>
      <c r="AP1857" s="1195" t="str">
        <f t="shared" ca="1" si="384"/>
        <v/>
      </c>
      <c r="AQ1857" s="1194">
        <f>VLOOKUP($I1857,'Price List, Weapons &amp; Items'!B:L,COLUMN('Price List, Weapons &amp; Items'!$L$11)-1,0)</f>
        <v>2</v>
      </c>
      <c r="AR1857" s="1194">
        <f t="shared" si="391"/>
        <v>1</v>
      </c>
      <c r="AS1857" s="1194">
        <f t="shared" si="392"/>
        <v>1</v>
      </c>
      <c r="AT1857" s="1194">
        <f t="shared" si="393"/>
        <v>1</v>
      </c>
      <c r="AU1857" s="1194" t="str">
        <f t="shared" ref="AU1857:AU1872" si="396">IF(AND(A1857=A1856,C1857=C1856)=TRUE,IF(F1857=F1856,".","1"),".")</f>
        <v>.</v>
      </c>
      <c r="AV1857" s="1194" t="str">
        <f t="shared" si="385"/>
        <v>.</v>
      </c>
      <c r="AW1857" s="1194" t="str">
        <f t="shared" si="394"/>
        <v>.</v>
      </c>
      <c r="AX1857" s="1194">
        <f>IFERROR(VLOOKUP(B1857,'Share, Heavy Weapons to Ukraine'!B:Z,COLUMN('Share, Heavy Weapons to Ukraine'!C1867)-1,0),0)</f>
        <v>1</v>
      </c>
      <c r="AY1857" s="1194">
        <f>VLOOKUP('Bilateral Assistance, MAIN DATA'!B1857,'Country Summary (€)'!B:F,COLUMN('Country Summary (€)'!C1868)-1,FALSE)</f>
        <v>0</v>
      </c>
      <c r="AZ1857" s="1194" t="str">
        <f>IF(AND(AD1857=1,D1857="Military",H1857&lt;&gt;"Not given")=TRUE,IF(SUMIFS(P:P,A:A,A1857)&gt;0,ABS((SUMIFS(P:P,A:A,A1857)/VLOOKUP("USD",'Exchange Rates'!B:C,2,0)))/S1857,"."),".")</f>
        <v>.</v>
      </c>
      <c r="BA1857" s="1196" t="str">
        <f>IF(AND(AD1857=1,D1857="Military",H1857&lt;&gt;"Not given")=TRUE,IF(SUMIFS(P:P,A:A,A1857)&gt;0,IF((ABS((SUMIFS(P:P,A:A,A1857)/VLOOKUP("USD",'Exchange Rates'!B:C,2,0)))/S1857)&gt;1,(SUMIFS(P:P,A:A,A1857)-S1857)/S1857,(S1857-SUMIFS(P:P,A:A,A1857))/SUMIFS(P:P,A:A,A1857)),"."),".")</f>
        <v>.</v>
      </c>
      <c r="BB1857" s="1208"/>
      <c r="BC1857" s="1208"/>
      <c r="BD1857" s="1208"/>
      <c r="BE1857" s="1208"/>
      <c r="BF1857" s="1208"/>
      <c r="BG1857" s="1208"/>
      <c r="BH1857" s="1208"/>
      <c r="BI1857" s="1208"/>
      <c r="BJ1857" s="1208"/>
      <c r="BK1857" s="1208"/>
      <c r="BL1857" s="1208"/>
      <c r="BM1857" s="1208"/>
      <c r="BN1857" s="1208"/>
      <c r="BO1857" s="1208"/>
      <c r="BP1857" s="1208"/>
      <c r="BQ1857" s="1208"/>
      <c r="BR1857" s="1208"/>
      <c r="BS1857" s="1208"/>
    </row>
    <row r="1858" spans="1:71" ht="15.95" customHeight="1">
      <c r="A1858" s="1208" t="s">
        <v>4310</v>
      </c>
      <c r="B1858" s="1208" t="s">
        <v>3949</v>
      </c>
      <c r="C1858" s="1209">
        <v>45049</v>
      </c>
      <c r="D1858" s="1208" t="s">
        <v>389</v>
      </c>
      <c r="E1858" s="1208" t="s">
        <v>390</v>
      </c>
      <c r="F1858" s="1208" t="s">
        <v>4348</v>
      </c>
      <c r="G1858" s="1184" t="s">
        <v>456</v>
      </c>
      <c r="H1858" s="1210">
        <v>300000000</v>
      </c>
      <c r="I1858" s="1208" t="s">
        <v>4093</v>
      </c>
      <c r="J1858" s="1186" t="str">
        <f>VLOOKUP($I1858,'Price List, Weapons &amp; Items'!B:C,2,0)</f>
        <v>Ammunition for heavy weapon</v>
      </c>
      <c r="K1858" s="1186" t="str">
        <f>IF(I1858=".",I1858,VLOOKUP($I1858,'Price List, Weapons &amp; Items'!B:D,3,0))</f>
        <v>227mm MLRS ammunition</v>
      </c>
      <c r="L1858" s="1187">
        <f>VLOOKUP(I1858,'Price List, Weapons &amp; Items'!B:E,4,0)</f>
        <v>0</v>
      </c>
      <c r="M1858" s="1188" t="s">
        <v>374</v>
      </c>
      <c r="N1858" s="1188" t="s">
        <v>374</v>
      </c>
      <c r="O1858" s="1188">
        <f>VLOOKUP($I1858,'Price List, Weapons &amp; Items'!B:G,6,0)</f>
        <v>150000</v>
      </c>
      <c r="P1858" s="1185" t="str">
        <f t="shared" si="386"/>
        <v>.</v>
      </c>
      <c r="Q1858" s="1185" t="str">
        <f t="shared" si="387"/>
        <v>.</v>
      </c>
      <c r="R1858" s="1185" t="str">
        <f t="shared" ref="R1858:R1921" si="397">IF(AD1858=1,IF(H1858&lt;&gt;"Not given",H1858,IF(TYPE(H1858)=2,IF(SUMIFS(P:P,A:A,A1858)&gt;0,SUMIFS(P:P,A:A,A1858),"."),"Format error")),"")</f>
        <v/>
      </c>
      <c r="S1858" s="1185" t="str">
        <f>IF(AND(AD1858=1,R1858&lt;&gt;".")=TRUE,R1858/VLOOKUP(G1858,'Exchange Rates'!B:C,2,0),IF(R1858=".",".",""))</f>
        <v/>
      </c>
      <c r="T1858" s="1185" t="str">
        <f>IF(AD1858=1,IF(AF1858="Value is not given at all",".",IF(AF1858="Value is given by the source",S1858,IF(AF1858="Value is calculated with prices",(IF(SUMIFS(Q:Q,A:A,A1858)&gt;0,SUMIFS(Q:Q,A:A,A1858),"."))/VLOOKUP("USD",'Exchange Rates'!B:C,2,0),"Error with coding"))),"")</f>
        <v/>
      </c>
      <c r="U1858" s="1191" t="s">
        <v>365</v>
      </c>
      <c r="V1858" s="983" t="s">
        <v>4349</v>
      </c>
      <c r="W1858" s="966" t="s">
        <v>4339</v>
      </c>
      <c r="X1858" s="1208" t="s">
        <v>364</v>
      </c>
      <c r="Y1858" s="1208" t="s">
        <v>364</v>
      </c>
      <c r="Z1858" s="1191">
        <v>0</v>
      </c>
      <c r="AA1858" s="1191">
        <v>1</v>
      </c>
      <c r="AB1858" s="1208" t="s">
        <v>364</v>
      </c>
      <c r="AC1858" s="1192" t="str">
        <f>""</f>
        <v/>
      </c>
      <c r="AD1858" s="1193">
        <v>0</v>
      </c>
      <c r="AE1858" s="1191" t="s">
        <v>368</v>
      </c>
      <c r="AF1858" s="1191" t="s">
        <v>369</v>
      </c>
      <c r="AG1858" s="1193">
        <v>1</v>
      </c>
      <c r="AH1858" s="1193">
        <v>17</v>
      </c>
      <c r="AI1858" s="1193">
        <v>0</v>
      </c>
      <c r="AJ1858" s="1193">
        <f>VLOOKUP($I1858,'Price List, Weapons &amp; Items'!B:F,5,0)</f>
        <v>1</v>
      </c>
      <c r="AK1858" s="1193">
        <f t="shared" si="388"/>
        <v>1</v>
      </c>
      <c r="AL1858" s="1193">
        <f t="shared" si="389"/>
        <v>1</v>
      </c>
      <c r="AM1858" s="1193">
        <f t="shared" si="390"/>
        <v>1</v>
      </c>
      <c r="AN1858" s="1194" t="str">
        <f>VLOOKUP($I1858,'Price List, Weapons &amp; Items'!B:L,COLUMN('Price List, Weapons &amp; Items'!$J$11)-1,0)</f>
        <v>Media reports (incl. social media)</v>
      </c>
      <c r="AO1858" s="1194" t="str">
        <f>IF(I1858=".",".",VLOOKUP($I1858,'Price List, Weapons &amp; Items'!B:J,3,0))</f>
        <v>227mm MLRS ammunition</v>
      </c>
      <c r="AP1858" s="1195" t="str">
        <f t="shared" ref="AP1858:AP1921" ca="1" si="398">IF(AD1858=1,(OFFSET(I1858,0,0,COUNTIF(A:A,A1858),1)),"")</f>
        <v/>
      </c>
      <c r="AQ1858" s="1194" t="str">
        <f>VLOOKUP($I1858,'Price List, Weapons &amp; Items'!B:L,COLUMN('Price List, Weapons &amp; Items'!$L$11)-1,0)</f>
        <v>no price, 0 count</v>
      </c>
      <c r="AR1858" s="1194">
        <f t="shared" si="391"/>
        <v>1</v>
      </c>
      <c r="AS1858" s="1194">
        <f t="shared" si="392"/>
        <v>1</v>
      </c>
      <c r="AT1858" s="1194">
        <f t="shared" si="393"/>
        <v>1</v>
      </c>
      <c r="AU1858" s="1194" t="str">
        <f t="shared" si="396"/>
        <v>.</v>
      </c>
      <c r="AV1858" s="1194" t="str">
        <f t="shared" ref="AV1858:AV1921" si="399">IF(AND(_xlfn.ISFORMULA(R1858),_xlfn.ISFORMULA(S1858),_xlfn.ISFORMULA(T1858))=TRUE,".",1)</f>
        <v>.</v>
      </c>
      <c r="AW1858" s="1194" t="str">
        <f t="shared" si="394"/>
        <v>.</v>
      </c>
      <c r="AX1858" s="1194">
        <f>IFERROR(VLOOKUP(B1858,'Share, Heavy Weapons to Ukraine'!B:Z,COLUMN('Share, Heavy Weapons to Ukraine'!C1868)-1,0),0)</f>
        <v>1</v>
      </c>
      <c r="AY1858" s="1194">
        <f>VLOOKUP('Bilateral Assistance, MAIN DATA'!B1858,'Country Summary (€)'!B:F,COLUMN('Country Summary (€)'!C1869)-1,FALSE)</f>
        <v>0</v>
      </c>
      <c r="AZ1858" s="1194" t="str">
        <f>IF(AND(AD1858=1,D1858="Military",H1858&lt;&gt;"Not given")=TRUE,IF(SUMIFS(P:P,A:A,A1858)&gt;0,ABS((SUMIFS(P:P,A:A,A1858)/VLOOKUP("USD",'Exchange Rates'!B:C,2,0)))/S1858,"."),".")</f>
        <v>.</v>
      </c>
      <c r="BA1858" s="1196" t="str">
        <f>IF(AND(AD1858=1,D1858="Military",H1858&lt;&gt;"Not given")=TRUE,IF(SUMIFS(P:P,A:A,A1858)&gt;0,IF((ABS((SUMIFS(P:P,A:A,A1858)/VLOOKUP("USD",'Exchange Rates'!B:C,2,0)))/S1858)&gt;1,(SUMIFS(P:P,A:A,A1858)-S1858)/S1858,(S1858-SUMIFS(P:P,A:A,A1858))/SUMIFS(P:P,A:A,A1858)),"."),".")</f>
        <v>.</v>
      </c>
      <c r="BB1858" s="1208"/>
      <c r="BC1858" s="1208"/>
      <c r="BD1858" s="1208"/>
      <c r="BE1858" s="1208"/>
      <c r="BF1858" s="1208"/>
      <c r="BG1858" s="1208"/>
      <c r="BH1858" s="1208"/>
      <c r="BI1858" s="1208"/>
      <c r="BJ1858" s="1208"/>
      <c r="BK1858" s="1208"/>
      <c r="BL1858" s="1208"/>
      <c r="BM1858" s="1208"/>
      <c r="BN1858" s="1208"/>
      <c r="BO1858" s="1208"/>
      <c r="BP1858" s="1208"/>
      <c r="BQ1858" s="1208"/>
      <c r="BR1858" s="1208"/>
      <c r="BS1858" s="1208"/>
    </row>
    <row r="1859" spans="1:71" ht="15.95" customHeight="1">
      <c r="A1859" s="1208" t="s">
        <v>4310</v>
      </c>
      <c r="B1859" s="1208" t="s">
        <v>3949</v>
      </c>
      <c r="C1859" s="1209">
        <v>45049</v>
      </c>
      <c r="D1859" s="1208" t="s">
        <v>389</v>
      </c>
      <c r="E1859" s="1208" t="s">
        <v>390</v>
      </c>
      <c r="F1859" s="1208" t="s">
        <v>4348</v>
      </c>
      <c r="G1859" s="1184" t="s">
        <v>456</v>
      </c>
      <c r="H1859" s="1210">
        <v>300000000</v>
      </c>
      <c r="I1859" s="1208" t="s">
        <v>4288</v>
      </c>
      <c r="J1859" s="1186" t="str">
        <f>VLOOKUP($I1859,'Price List, Weapons &amp; Items'!B:C,2,0)</f>
        <v>Heavy weapon</v>
      </c>
      <c r="K1859" s="1186" t="str">
        <f>IF(I1859=".",I1859,VLOOKUP($I1859,'Price List, Weapons &amp; Items'!B:D,3,0))</f>
        <v>155mm howitzer</v>
      </c>
      <c r="L1859" s="1187">
        <f>VLOOKUP(I1859,'Price List, Weapons &amp; Items'!B:E,4,0)</f>
        <v>0</v>
      </c>
      <c r="M1859" s="1188" t="s">
        <v>374</v>
      </c>
      <c r="N1859" s="1188" t="s">
        <v>374</v>
      </c>
      <c r="O1859" s="1188">
        <f>VLOOKUP($I1859,'Price List, Weapons &amp; Items'!B:G,6,0)</f>
        <v>5170000</v>
      </c>
      <c r="P1859" s="1185" t="str">
        <f t="shared" ref="P1859:P1922" si="400">IF(TYPE(M1859)=1,IF(TYPE(O1859)=1,M1859*O1859,"No price"),".")</f>
        <v>.</v>
      </c>
      <c r="Q1859" s="1185" t="str">
        <f t="shared" ref="Q1859:Q1922" si="401">IF(TYPE(N1859)=1,IF(TYPE(O1859)=1,N1859*O1859,"No price"),".")</f>
        <v>.</v>
      </c>
      <c r="R1859" s="1185" t="str">
        <f t="shared" si="397"/>
        <v/>
      </c>
      <c r="S1859" s="1185" t="str">
        <f>IF(AND(AD1859=1,R1859&lt;&gt;".")=TRUE,R1859/VLOOKUP(G1859,'Exchange Rates'!B:C,2,0),IF(R1859=".",".",""))</f>
        <v/>
      </c>
      <c r="T1859" s="1185" t="str">
        <f>IF(AD1859=1,IF(AF1859="Value is not given at all",".",IF(AF1859="Value is given by the source",S1859,IF(AF1859="Value is calculated with prices",(IF(SUMIFS(Q:Q,A:A,A1859)&gt;0,SUMIFS(Q:Q,A:A,A1859),"."))/VLOOKUP("USD",'Exchange Rates'!B:C,2,0),"Error with coding"))),"")</f>
        <v/>
      </c>
      <c r="U1859" s="1191" t="s">
        <v>365</v>
      </c>
      <c r="V1859" s="966" t="s">
        <v>4349</v>
      </c>
      <c r="W1859" s="966" t="s">
        <v>4339</v>
      </c>
      <c r="X1859" s="1208" t="s">
        <v>364</v>
      </c>
      <c r="Y1859" s="1208" t="s">
        <v>364</v>
      </c>
      <c r="Z1859" s="1191">
        <v>0</v>
      </c>
      <c r="AA1859" s="1191">
        <v>1</v>
      </c>
      <c r="AB1859" s="1208" t="s">
        <v>364</v>
      </c>
      <c r="AC1859" s="1192" t="str">
        <f>""</f>
        <v/>
      </c>
      <c r="AD1859" s="1193">
        <v>0</v>
      </c>
      <c r="AE1859" s="1191" t="s">
        <v>368</v>
      </c>
      <c r="AF1859" s="1191" t="s">
        <v>369</v>
      </c>
      <c r="AG1859" s="1193">
        <v>1</v>
      </c>
      <c r="AH1859" s="1193">
        <v>17</v>
      </c>
      <c r="AI1859" s="1193">
        <v>0</v>
      </c>
      <c r="AJ1859" s="1193">
        <f>VLOOKUP($I1859,'Price List, Weapons &amp; Items'!B:F,5,0)</f>
        <v>1</v>
      </c>
      <c r="AK1859" s="1193">
        <f t="shared" ref="AK1859:AK1922" si="402">IF(AND(AJ1859=1,M1859="undisclosed")=TRUE,1,0)</f>
        <v>1</v>
      </c>
      <c r="AL1859" s="1193">
        <f t="shared" ref="AL1859:AL1922" si="403">IF(AND(AJ1859=1,N1859="undisclosed")=TRUE,1,0)</f>
        <v>1</v>
      </c>
      <c r="AM1859" s="1193">
        <f t="shared" ref="AM1859:AM1922" si="404">IFERROR(IF(SEARCH("ammuni",I1859,1)&gt;0,1,0),0)</f>
        <v>0</v>
      </c>
      <c r="AN1859" s="1194" t="str">
        <f>VLOOKUP($I1859,'Price List, Weapons &amp; Items'!B:L,COLUMN('Price List, Weapons &amp; Items'!$J$11)-1,0)</f>
        <v>Military media (incl. websites)</v>
      </c>
      <c r="AO1859" s="1194" t="str">
        <f>IF(I1859=".",".",VLOOKUP($I1859,'Price List, Weapons &amp; Items'!B:J,3,0))</f>
        <v>155mm howitzer</v>
      </c>
      <c r="AP1859" s="1195" t="str">
        <f t="shared" ca="1" si="398"/>
        <v/>
      </c>
      <c r="AQ1859" s="1194">
        <f>VLOOKUP($I1859,'Price List, Weapons &amp; Items'!B:L,COLUMN('Price List, Weapons &amp; Items'!$L$11)-1,0)</f>
        <v>2</v>
      </c>
      <c r="AR1859" s="1194">
        <f t="shared" ref="AR1859:AR1922" si="405">IF(U1859="Yes",1,0)</f>
        <v>1</v>
      </c>
      <c r="AS1859" s="1194">
        <f t="shared" ref="AS1859:AS1922" si="406">IF(D1859="Military",IF(OR(IFERROR(SEARCH("equipment",E1859,1),0)&gt;0,IFERROR(SEARCH("weapons",E1859,1),0)&gt;0),1,0),0)</f>
        <v>1</v>
      </c>
      <c r="AT1859" s="1194">
        <f t="shared" ref="AT1859:AT1922" si="407">IFERROR(IF(VALUE(TEXT(C1859,"mm"))=IF(AH1859&gt;12,AH1859-12,AH1859),".",IF(TEXT(C1859,"mm")="01",".",1)),"Value is not in date format")</f>
        <v>1</v>
      </c>
      <c r="AU1859" s="1194" t="str">
        <f t="shared" si="396"/>
        <v>.</v>
      </c>
      <c r="AV1859" s="1194" t="str">
        <f t="shared" si="399"/>
        <v>.</v>
      </c>
      <c r="AW1859" s="1194" t="str">
        <f t="shared" ref="AW1859:AW1922" si="408">IF(T1859&lt;&gt;".",IF(T1859&gt;S1859,1,"."),".")</f>
        <v>.</v>
      </c>
      <c r="AX1859" s="1194">
        <f>IFERROR(VLOOKUP(B1859,'Share, Heavy Weapons to Ukraine'!B:Z,COLUMN('Share, Heavy Weapons to Ukraine'!C1869)-1,0),0)</f>
        <v>1</v>
      </c>
      <c r="AY1859" s="1194">
        <f>VLOOKUP('Bilateral Assistance, MAIN DATA'!B1859,'Country Summary (€)'!B:F,COLUMN('Country Summary (€)'!C1870)-1,FALSE)</f>
        <v>0</v>
      </c>
      <c r="AZ1859" s="1194" t="str">
        <f>IF(AND(AD1859=1,D1859="Military",H1859&lt;&gt;"Not given")=TRUE,IF(SUMIFS(P:P,A:A,A1859)&gt;0,ABS((SUMIFS(P:P,A:A,A1859)/VLOOKUP("USD",'Exchange Rates'!B:C,2,0)))/S1859,"."),".")</f>
        <v>.</v>
      </c>
      <c r="BA1859" s="1196" t="str">
        <f>IF(AND(AD1859=1,D1859="Military",H1859&lt;&gt;"Not given")=TRUE,IF(SUMIFS(P:P,A:A,A1859)&gt;0,IF((ABS((SUMIFS(P:P,A:A,A1859)/VLOOKUP("USD",'Exchange Rates'!B:C,2,0)))/S1859)&gt;1,(SUMIFS(P:P,A:A,A1859)-S1859)/S1859,(S1859-SUMIFS(P:P,A:A,A1859))/SUMIFS(P:P,A:A,A1859)),"."),".")</f>
        <v>.</v>
      </c>
      <c r="BB1859" s="1208"/>
      <c r="BC1859" s="1208"/>
      <c r="BD1859" s="1208"/>
      <c r="BE1859" s="1208"/>
      <c r="BF1859" s="1208"/>
      <c r="BG1859" s="1208"/>
      <c r="BH1859" s="1208"/>
      <c r="BI1859" s="1208"/>
      <c r="BJ1859" s="1208"/>
      <c r="BK1859" s="1208"/>
      <c r="BL1859" s="1208"/>
      <c r="BM1859" s="1208"/>
      <c r="BN1859" s="1208"/>
      <c r="BO1859" s="1208"/>
      <c r="BP1859" s="1208"/>
      <c r="BQ1859" s="1208"/>
      <c r="BR1859" s="1208"/>
      <c r="BS1859" s="1208"/>
    </row>
    <row r="1860" spans="1:71" ht="15.95" customHeight="1">
      <c r="A1860" s="1208" t="s">
        <v>4310</v>
      </c>
      <c r="B1860" s="1208" t="s">
        <v>3949</v>
      </c>
      <c r="C1860" s="1209">
        <v>45049</v>
      </c>
      <c r="D1860" s="1208" t="s">
        <v>389</v>
      </c>
      <c r="E1860" s="1208" t="s">
        <v>390</v>
      </c>
      <c r="F1860" s="1208" t="s">
        <v>4348</v>
      </c>
      <c r="G1860" s="1184" t="s">
        <v>456</v>
      </c>
      <c r="H1860" s="1210">
        <v>300000000</v>
      </c>
      <c r="I1860" s="1208" t="s">
        <v>856</v>
      </c>
      <c r="J1860" s="1186" t="str">
        <f>VLOOKUP($I1860,'Price List, Weapons &amp; Items'!B:C,2,0)</f>
        <v>Ammunition for heavy weapon</v>
      </c>
      <c r="K1860" s="1186" t="str">
        <f>IF(I1860=".",I1860,VLOOKUP($I1860,'Price List, Weapons &amp; Items'!B:D,3,0))</f>
        <v>155mm howitzer ammunition</v>
      </c>
      <c r="L1860" s="1187">
        <f>VLOOKUP(I1860,'Price List, Weapons &amp; Items'!B:E,4,0)</f>
        <v>0</v>
      </c>
      <c r="M1860" s="1188" t="s">
        <v>374</v>
      </c>
      <c r="N1860" s="1188" t="s">
        <v>374</v>
      </c>
      <c r="O1860" s="1188">
        <f>VLOOKUP($I1860,'Price List, Weapons &amp; Items'!B:G,6,0)</f>
        <v>3800</v>
      </c>
      <c r="P1860" s="1185" t="str">
        <f t="shared" si="400"/>
        <v>.</v>
      </c>
      <c r="Q1860" s="1185" t="str">
        <f t="shared" si="401"/>
        <v>.</v>
      </c>
      <c r="R1860" s="1185" t="str">
        <f t="shared" si="397"/>
        <v/>
      </c>
      <c r="S1860" s="1185" t="str">
        <f>IF(AND(AD1860=1,R1860&lt;&gt;".")=TRUE,R1860/VLOOKUP(G1860,'Exchange Rates'!B:C,2,0),IF(R1860=".",".",""))</f>
        <v/>
      </c>
      <c r="T1860" s="1185" t="str">
        <f>IF(AD1860=1,IF(AF1860="Value is not given at all",".",IF(AF1860="Value is given by the source",S1860,IF(AF1860="Value is calculated with prices",(IF(SUMIFS(Q:Q,A:A,A1860)&gt;0,SUMIFS(Q:Q,A:A,A1860),"."))/VLOOKUP("USD",'Exchange Rates'!B:C,2,0),"Error with coding"))),"")</f>
        <v/>
      </c>
      <c r="U1860" s="1191" t="s">
        <v>365</v>
      </c>
      <c r="V1860" s="966" t="s">
        <v>4349</v>
      </c>
      <c r="W1860" s="966" t="s">
        <v>4339</v>
      </c>
      <c r="X1860" s="1208" t="s">
        <v>364</v>
      </c>
      <c r="Y1860" s="1208" t="s">
        <v>364</v>
      </c>
      <c r="Z1860" s="1191">
        <v>0</v>
      </c>
      <c r="AA1860" s="1191">
        <v>1</v>
      </c>
      <c r="AB1860" s="1208" t="s">
        <v>364</v>
      </c>
      <c r="AC1860" s="1192" t="str">
        <f>""</f>
        <v/>
      </c>
      <c r="AD1860" s="1193">
        <v>0</v>
      </c>
      <c r="AE1860" s="1191" t="s">
        <v>368</v>
      </c>
      <c r="AF1860" s="1191" t="s">
        <v>369</v>
      </c>
      <c r="AG1860" s="1193">
        <v>1</v>
      </c>
      <c r="AH1860" s="1193">
        <v>17</v>
      </c>
      <c r="AI1860" s="1193">
        <v>0</v>
      </c>
      <c r="AJ1860" s="1193">
        <f>VLOOKUP($I1860,'Price List, Weapons &amp; Items'!B:F,5,0)</f>
        <v>1</v>
      </c>
      <c r="AK1860" s="1193">
        <f t="shared" si="402"/>
        <v>1</v>
      </c>
      <c r="AL1860" s="1193">
        <f t="shared" si="403"/>
        <v>1</v>
      </c>
      <c r="AM1860" s="1193">
        <f t="shared" si="404"/>
        <v>0</v>
      </c>
      <c r="AN1860" s="1194" t="str">
        <f>VLOOKUP($I1860,'Price List, Weapons &amp; Items'!B:L,COLUMN('Price List, Weapons &amp; Items'!$J$11)-1,0)</f>
        <v>Government information</v>
      </c>
      <c r="AO1860" s="1194" t="str">
        <f>IF(I1860=".",".",VLOOKUP($I1860,'Price List, Weapons &amp; Items'!B:J,3,0))</f>
        <v>155mm howitzer ammunition</v>
      </c>
      <c r="AP1860" s="1195" t="str">
        <f t="shared" ca="1" si="398"/>
        <v/>
      </c>
      <c r="AQ1860" s="1194">
        <f>VLOOKUP($I1860,'Price List, Weapons &amp; Items'!B:L,COLUMN('Price List, Weapons &amp; Items'!$L$11)-1,0)</f>
        <v>2</v>
      </c>
      <c r="AR1860" s="1194">
        <f t="shared" si="405"/>
        <v>1</v>
      </c>
      <c r="AS1860" s="1194">
        <f t="shared" si="406"/>
        <v>1</v>
      </c>
      <c r="AT1860" s="1194">
        <f t="shared" si="407"/>
        <v>1</v>
      </c>
      <c r="AU1860" s="1194" t="str">
        <f t="shared" si="396"/>
        <v>.</v>
      </c>
      <c r="AV1860" s="1194" t="str">
        <f t="shared" si="399"/>
        <v>.</v>
      </c>
      <c r="AW1860" s="1194" t="str">
        <f t="shared" si="408"/>
        <v>.</v>
      </c>
      <c r="AX1860" s="1194">
        <f>IFERROR(VLOOKUP(B1860,'Share, Heavy Weapons to Ukraine'!B:Z,COLUMN('Share, Heavy Weapons to Ukraine'!C1870)-1,0),0)</f>
        <v>1</v>
      </c>
      <c r="AY1860" s="1194">
        <f>VLOOKUP('Bilateral Assistance, MAIN DATA'!B1860,'Country Summary (€)'!B:F,COLUMN('Country Summary (€)'!C1871)-1,FALSE)</f>
        <v>0</v>
      </c>
      <c r="AZ1860" s="1194" t="str">
        <f>IF(AND(AD1860=1,D1860="Military",H1860&lt;&gt;"Not given")=TRUE,IF(SUMIFS(P:P,A:A,A1860)&gt;0,ABS((SUMIFS(P:P,A:A,A1860)/VLOOKUP("USD",'Exchange Rates'!B:C,2,0)))/S1860,"."),".")</f>
        <v>.</v>
      </c>
      <c r="BA1860" s="1196" t="str">
        <f>IF(AND(AD1860=1,D1860="Military",H1860&lt;&gt;"Not given")=TRUE,IF(SUMIFS(P:P,A:A,A1860)&gt;0,IF((ABS((SUMIFS(P:P,A:A,A1860)/VLOOKUP("USD",'Exchange Rates'!B:C,2,0)))/S1860)&gt;1,(SUMIFS(P:P,A:A,A1860)-S1860)/S1860,(S1860-SUMIFS(P:P,A:A,A1860))/SUMIFS(P:P,A:A,A1860)),"."),".")</f>
        <v>.</v>
      </c>
      <c r="BB1860" s="1208"/>
      <c r="BC1860" s="1208"/>
      <c r="BD1860" s="1208"/>
      <c r="BE1860" s="1208"/>
      <c r="BF1860" s="1208"/>
      <c r="BG1860" s="1208"/>
      <c r="BH1860" s="1208"/>
      <c r="BI1860" s="1208"/>
      <c r="BJ1860" s="1208"/>
      <c r="BK1860" s="1208"/>
      <c r="BL1860" s="1208"/>
      <c r="BM1860" s="1208"/>
      <c r="BN1860" s="1208"/>
      <c r="BO1860" s="1208"/>
      <c r="BP1860" s="1208"/>
      <c r="BQ1860" s="1208"/>
      <c r="BR1860" s="1208"/>
      <c r="BS1860" s="1208"/>
    </row>
    <row r="1861" spans="1:71" ht="15.95" customHeight="1">
      <c r="A1861" s="1208" t="s">
        <v>4310</v>
      </c>
      <c r="B1861" s="1208" t="s">
        <v>3949</v>
      </c>
      <c r="C1861" s="1209">
        <v>45049</v>
      </c>
      <c r="D1861" s="1208" t="s">
        <v>389</v>
      </c>
      <c r="E1861" s="1208" t="s">
        <v>390</v>
      </c>
      <c r="F1861" s="1208" t="s">
        <v>4348</v>
      </c>
      <c r="G1861" s="1184" t="s">
        <v>456</v>
      </c>
      <c r="H1861" s="1210">
        <v>300000000</v>
      </c>
      <c r="I1861" s="1208" t="s">
        <v>3137</v>
      </c>
      <c r="J1861" s="1186" t="str">
        <f>VLOOKUP($I1861,'Price List, Weapons &amp; Items'!B:C,2,0)</f>
        <v>Ammunition for heavy weapon</v>
      </c>
      <c r="K1861" s="1186" t="str">
        <f>IF(I1861=".",I1861,VLOOKUP($I1861,'Price List, Weapons &amp; Items'!B:D,3,0))</f>
        <v>Mortar ammunition</v>
      </c>
      <c r="L1861" s="1187">
        <f>VLOOKUP(I1861,'Price List, Weapons &amp; Items'!B:E,4,0)</f>
        <v>0</v>
      </c>
      <c r="M1861" s="1188" t="s">
        <v>374</v>
      </c>
      <c r="N1861" s="1188" t="s">
        <v>374</v>
      </c>
      <c r="O1861" s="1188">
        <f>VLOOKUP($I1861,'Price List, Weapons &amp; Items'!B:G,6,0)</f>
        <v>109.89</v>
      </c>
      <c r="P1861" s="1185" t="str">
        <f t="shared" si="400"/>
        <v>.</v>
      </c>
      <c r="Q1861" s="1185" t="str">
        <f t="shared" si="401"/>
        <v>.</v>
      </c>
      <c r="R1861" s="1185" t="str">
        <f t="shared" si="397"/>
        <v/>
      </c>
      <c r="S1861" s="1185" t="str">
        <f>IF(AND(AD1861=1,R1861&lt;&gt;".")=TRUE,R1861/VLOOKUP(G1861,'Exchange Rates'!B:C,2,0),IF(R1861=".",".",""))</f>
        <v/>
      </c>
      <c r="T1861" s="1185" t="str">
        <f>IF(AD1861=1,IF(AF1861="Value is not given at all",".",IF(AF1861="Value is given by the source",S1861,IF(AF1861="Value is calculated with prices",(IF(SUMIFS(Q:Q,A:A,A1861)&gt;0,SUMIFS(Q:Q,A:A,A1861),"."))/VLOOKUP("USD",'Exchange Rates'!B:C,2,0),"Error with coding"))),"")</f>
        <v/>
      </c>
      <c r="U1861" s="1191" t="s">
        <v>365</v>
      </c>
      <c r="V1861" s="966" t="s">
        <v>4349</v>
      </c>
      <c r="W1861" s="966" t="s">
        <v>4339</v>
      </c>
      <c r="X1861" s="1208" t="s">
        <v>364</v>
      </c>
      <c r="Y1861" s="1208" t="s">
        <v>364</v>
      </c>
      <c r="Z1861" s="1191">
        <v>0</v>
      </c>
      <c r="AA1861" s="1191">
        <v>1</v>
      </c>
      <c r="AB1861" s="1208" t="s">
        <v>364</v>
      </c>
      <c r="AC1861" s="1192" t="str">
        <f>""</f>
        <v/>
      </c>
      <c r="AD1861" s="1193">
        <v>0</v>
      </c>
      <c r="AE1861" s="1191" t="s">
        <v>368</v>
      </c>
      <c r="AF1861" s="1191" t="s">
        <v>369</v>
      </c>
      <c r="AG1861" s="1193">
        <v>1</v>
      </c>
      <c r="AH1861" s="1193">
        <v>17</v>
      </c>
      <c r="AI1861" s="1193">
        <v>0</v>
      </c>
      <c r="AJ1861" s="1193">
        <f>VLOOKUP($I1861,'Price List, Weapons &amp; Items'!B:F,5,0)</f>
        <v>0</v>
      </c>
      <c r="AK1861" s="1193">
        <f t="shared" si="402"/>
        <v>0</v>
      </c>
      <c r="AL1861" s="1193">
        <f t="shared" si="403"/>
        <v>0</v>
      </c>
      <c r="AM1861" s="1193">
        <f t="shared" si="404"/>
        <v>0</v>
      </c>
      <c r="AN1861" s="1194" t="str">
        <f>VLOOKUP($I1861,'Price List, Weapons &amp; Items'!B:L,COLUMN('Price List, Weapons &amp; Items'!$J$11)-1,0)</f>
        <v>Government information</v>
      </c>
      <c r="AO1861" s="1194" t="str">
        <f>IF(I1861=".",".",VLOOKUP($I1861,'Price List, Weapons &amp; Items'!B:J,3,0))</f>
        <v>Mortar ammunition</v>
      </c>
      <c r="AP1861" s="1195" t="str">
        <f t="shared" ca="1" si="398"/>
        <v/>
      </c>
      <c r="AQ1861" s="1194">
        <f>VLOOKUP($I1861,'Price List, Weapons &amp; Items'!B:L,COLUMN('Price List, Weapons &amp; Items'!$L$11)-1,0)</f>
        <v>2</v>
      </c>
      <c r="AR1861" s="1194">
        <f t="shared" si="405"/>
        <v>1</v>
      </c>
      <c r="AS1861" s="1194">
        <f t="shared" si="406"/>
        <v>1</v>
      </c>
      <c r="AT1861" s="1194">
        <f t="shared" si="407"/>
        <v>1</v>
      </c>
      <c r="AU1861" s="1194" t="str">
        <f t="shared" si="396"/>
        <v>.</v>
      </c>
      <c r="AV1861" s="1194" t="str">
        <f t="shared" si="399"/>
        <v>.</v>
      </c>
      <c r="AW1861" s="1194" t="str">
        <f t="shared" si="408"/>
        <v>.</v>
      </c>
      <c r="AX1861" s="1194">
        <f>IFERROR(VLOOKUP(B1861,'Share, Heavy Weapons to Ukraine'!B:Z,COLUMN('Share, Heavy Weapons to Ukraine'!C1871)-1,0),0)</f>
        <v>1</v>
      </c>
      <c r="AY1861" s="1194">
        <f>VLOOKUP('Bilateral Assistance, MAIN DATA'!B1861,'Country Summary (€)'!B:F,COLUMN('Country Summary (€)'!C1872)-1,FALSE)</f>
        <v>0</v>
      </c>
      <c r="AZ1861" s="1194" t="str">
        <f>IF(AND(AD1861=1,D1861="Military",H1861&lt;&gt;"Not given")=TRUE,IF(SUMIFS(P:P,A:A,A1861)&gt;0,ABS((SUMIFS(P:P,A:A,A1861)/VLOOKUP("USD",'Exchange Rates'!B:C,2,0)))/S1861,"."),".")</f>
        <v>.</v>
      </c>
      <c r="BA1861" s="1196" t="str">
        <f>IF(AND(AD1861=1,D1861="Military",H1861&lt;&gt;"Not given")=TRUE,IF(SUMIFS(P:P,A:A,A1861)&gt;0,IF((ABS((SUMIFS(P:P,A:A,A1861)/VLOOKUP("USD",'Exchange Rates'!B:C,2,0)))/S1861)&gt;1,(SUMIFS(P:P,A:A,A1861)-S1861)/S1861,(S1861-SUMIFS(P:P,A:A,A1861))/SUMIFS(P:P,A:A,A1861)),"."),".")</f>
        <v>.</v>
      </c>
      <c r="BB1861" s="1208"/>
      <c r="BC1861" s="1208"/>
      <c r="BD1861" s="1208"/>
      <c r="BE1861" s="1208"/>
      <c r="BF1861" s="1208"/>
      <c r="BG1861" s="1208"/>
      <c r="BH1861" s="1208"/>
      <c r="BI1861" s="1208"/>
      <c r="BJ1861" s="1208"/>
      <c r="BK1861" s="1208"/>
      <c r="BL1861" s="1208"/>
      <c r="BM1861" s="1208"/>
      <c r="BN1861" s="1208"/>
      <c r="BO1861" s="1208"/>
      <c r="BP1861" s="1208"/>
      <c r="BQ1861" s="1208"/>
      <c r="BR1861" s="1208"/>
      <c r="BS1861" s="1208"/>
    </row>
    <row r="1862" spans="1:71" ht="15.95" customHeight="1">
      <c r="A1862" s="1208" t="s">
        <v>4310</v>
      </c>
      <c r="B1862" s="1208" t="s">
        <v>3949</v>
      </c>
      <c r="C1862" s="1209">
        <v>45049</v>
      </c>
      <c r="D1862" s="1208" t="s">
        <v>389</v>
      </c>
      <c r="E1862" s="1208" t="s">
        <v>390</v>
      </c>
      <c r="F1862" s="1208" t="s">
        <v>4348</v>
      </c>
      <c r="G1862" s="1184" t="s">
        <v>456</v>
      </c>
      <c r="H1862" s="1210">
        <v>300000000</v>
      </c>
      <c r="I1862" s="1208" t="s">
        <v>4235</v>
      </c>
      <c r="J1862" s="1186" t="str">
        <f>VLOOKUP($I1862,'Price List, Weapons &amp; Items'!B:C,2,0)</f>
        <v>Ammunition for light infantry</v>
      </c>
      <c r="K1862" s="1186" t="str">
        <f>IF(I1862=".",I1862,VLOOKUP($I1862,'Price List, Weapons &amp; Items'!B:D,3,0))</f>
        <v>Mortar ammunition</v>
      </c>
      <c r="L1862" s="1187">
        <f>VLOOKUP(I1862,'Price List, Weapons &amp; Items'!B:E,4,0)</f>
        <v>0</v>
      </c>
      <c r="M1862" s="1188" t="s">
        <v>374</v>
      </c>
      <c r="N1862" s="1188" t="s">
        <v>374</v>
      </c>
      <c r="O1862" s="1188" t="str">
        <f>VLOOKUP($I1862,'Price List, Weapons &amp; Items'!B:G,6,0)</f>
        <v>.</v>
      </c>
      <c r="P1862" s="1185" t="str">
        <f t="shared" si="400"/>
        <v>.</v>
      </c>
      <c r="Q1862" s="1185" t="str">
        <f t="shared" si="401"/>
        <v>.</v>
      </c>
      <c r="R1862" s="1185" t="str">
        <f t="shared" si="397"/>
        <v/>
      </c>
      <c r="S1862" s="1185" t="str">
        <f>IF(AND(AD1862=1,R1862&lt;&gt;".")=TRUE,R1862/VLOOKUP(G1862,'Exchange Rates'!B:C,2,0),IF(R1862=".",".",""))</f>
        <v/>
      </c>
      <c r="T1862" s="1185" t="str">
        <f>IF(AD1862=1,IF(AF1862="Value is not given at all",".",IF(AF1862="Value is given by the source",S1862,IF(AF1862="Value is calculated with prices",(IF(SUMIFS(Q:Q,A:A,A1862)&gt;0,SUMIFS(Q:Q,A:A,A1862),"."))/VLOOKUP("USD",'Exchange Rates'!B:C,2,0),"Error with coding"))),"")</f>
        <v/>
      </c>
      <c r="U1862" s="1191" t="s">
        <v>365</v>
      </c>
      <c r="V1862" s="966" t="s">
        <v>4349</v>
      </c>
      <c r="W1862" s="966" t="s">
        <v>4339</v>
      </c>
      <c r="X1862" s="1208" t="s">
        <v>364</v>
      </c>
      <c r="Y1862" s="1208" t="s">
        <v>364</v>
      </c>
      <c r="Z1862" s="1191">
        <v>0</v>
      </c>
      <c r="AA1862" s="1191">
        <v>1</v>
      </c>
      <c r="AB1862" s="1208" t="s">
        <v>364</v>
      </c>
      <c r="AC1862" s="1192" t="str">
        <f>""</f>
        <v/>
      </c>
      <c r="AD1862" s="1193">
        <v>0</v>
      </c>
      <c r="AE1862" s="1191" t="s">
        <v>368</v>
      </c>
      <c r="AF1862" s="1191" t="s">
        <v>369</v>
      </c>
      <c r="AG1862" s="1193">
        <v>1</v>
      </c>
      <c r="AH1862" s="1193">
        <v>17</v>
      </c>
      <c r="AI1862" s="1193">
        <v>0</v>
      </c>
      <c r="AJ1862" s="1193">
        <f>VLOOKUP($I1862,'Price List, Weapons &amp; Items'!B:F,5,0)</f>
        <v>0</v>
      </c>
      <c r="AK1862" s="1193">
        <f t="shared" si="402"/>
        <v>0</v>
      </c>
      <c r="AL1862" s="1193">
        <f t="shared" si="403"/>
        <v>0</v>
      </c>
      <c r="AM1862" s="1193">
        <f t="shared" si="404"/>
        <v>0</v>
      </c>
      <c r="AN1862" s="1194" t="str">
        <f>VLOOKUP($I1862,'Price List, Weapons &amp; Items'!B:L,COLUMN('Price List, Weapons &amp; Items'!$J$11)-1,0)</f>
        <v>.</v>
      </c>
      <c r="AO1862" s="1194" t="str">
        <f>IF(I1862=".",".",VLOOKUP($I1862,'Price List, Weapons &amp; Items'!B:J,3,0))</f>
        <v>Mortar ammunition</v>
      </c>
      <c r="AP1862" s="1195" t="str">
        <f t="shared" ca="1" si="398"/>
        <v/>
      </c>
      <c r="AQ1862" s="1194" t="str">
        <f>VLOOKUP($I1862,'Price List, Weapons &amp; Items'!B:L,COLUMN('Price List, Weapons &amp; Items'!$L$11)-1,0)</f>
        <v>no price, 0 count</v>
      </c>
      <c r="AR1862" s="1194">
        <f t="shared" si="405"/>
        <v>1</v>
      </c>
      <c r="AS1862" s="1194">
        <f t="shared" si="406"/>
        <v>1</v>
      </c>
      <c r="AT1862" s="1194">
        <f t="shared" si="407"/>
        <v>1</v>
      </c>
      <c r="AU1862" s="1194" t="str">
        <f t="shared" si="396"/>
        <v>.</v>
      </c>
      <c r="AV1862" s="1194" t="str">
        <f t="shared" si="399"/>
        <v>.</v>
      </c>
      <c r="AW1862" s="1194" t="str">
        <f t="shared" si="408"/>
        <v>.</v>
      </c>
      <c r="AX1862" s="1194">
        <f>IFERROR(VLOOKUP(B1862,'Share, Heavy Weapons to Ukraine'!B:Z,COLUMN('Share, Heavy Weapons to Ukraine'!C1872)-1,0),0)</f>
        <v>1</v>
      </c>
      <c r="AY1862" s="1194">
        <f>VLOOKUP('Bilateral Assistance, MAIN DATA'!B1862,'Country Summary (€)'!B:F,COLUMN('Country Summary (€)'!C1873)-1,FALSE)</f>
        <v>0</v>
      </c>
      <c r="AZ1862" s="1194" t="str">
        <f>IF(AND(AD1862=1,D1862="Military",H1862&lt;&gt;"Not given")=TRUE,IF(SUMIFS(P:P,A:A,A1862)&gt;0,ABS((SUMIFS(P:P,A:A,A1862)/VLOOKUP("USD",'Exchange Rates'!B:C,2,0)))/S1862,"."),".")</f>
        <v>.</v>
      </c>
      <c r="BA1862" s="1196" t="str">
        <f>IF(AND(AD1862=1,D1862="Military",H1862&lt;&gt;"Not given")=TRUE,IF(SUMIFS(P:P,A:A,A1862)&gt;0,IF((ABS((SUMIFS(P:P,A:A,A1862)/VLOOKUP("USD",'Exchange Rates'!B:C,2,0)))/S1862)&gt;1,(SUMIFS(P:P,A:A,A1862)-S1862)/S1862,(S1862-SUMIFS(P:P,A:A,A1862))/SUMIFS(P:P,A:A,A1862)),"."),".")</f>
        <v>.</v>
      </c>
      <c r="BB1862" s="1208"/>
      <c r="BC1862" s="1208"/>
      <c r="BD1862" s="1208"/>
      <c r="BE1862" s="1208"/>
      <c r="BF1862" s="1208"/>
      <c r="BG1862" s="1208"/>
      <c r="BH1862" s="1208"/>
      <c r="BI1862" s="1208"/>
      <c r="BJ1862" s="1208"/>
      <c r="BK1862" s="1208"/>
      <c r="BL1862" s="1208"/>
      <c r="BM1862" s="1208"/>
      <c r="BN1862" s="1208"/>
      <c r="BO1862" s="1208"/>
      <c r="BP1862" s="1208"/>
      <c r="BQ1862" s="1208"/>
      <c r="BR1862" s="1208"/>
      <c r="BS1862" s="1208"/>
    </row>
    <row r="1863" spans="1:71" ht="15.95" customHeight="1">
      <c r="A1863" s="1208" t="s">
        <v>4310</v>
      </c>
      <c r="B1863" s="1208" t="s">
        <v>3949</v>
      </c>
      <c r="C1863" s="1209">
        <v>45049</v>
      </c>
      <c r="D1863" s="1208" t="s">
        <v>389</v>
      </c>
      <c r="E1863" s="1208" t="s">
        <v>390</v>
      </c>
      <c r="F1863" s="1208" t="s">
        <v>4348</v>
      </c>
      <c r="G1863" s="1184" t="s">
        <v>456</v>
      </c>
      <c r="H1863" s="1210">
        <v>300000000</v>
      </c>
      <c r="I1863" s="1208" t="s">
        <v>4350</v>
      </c>
      <c r="J1863" s="1186" t="str">
        <f>VLOOKUP($I1863,'Price List, Weapons &amp; Items'!B:C,2,0)</f>
        <v>Ammunition for light infantry</v>
      </c>
      <c r="K1863" s="1186" t="str">
        <f>IF(I1863=".",I1863,VLOOKUP($I1863,'Price List, Weapons &amp; Items'!B:D,3,0))</f>
        <v>Mortar ammunition</v>
      </c>
      <c r="L1863" s="1187">
        <f>VLOOKUP(I1863,'Price List, Weapons &amp; Items'!B:E,4,0)</f>
        <v>0</v>
      </c>
      <c r="M1863" s="1188" t="s">
        <v>374</v>
      </c>
      <c r="N1863" s="1188" t="s">
        <v>374</v>
      </c>
      <c r="O1863" s="1188">
        <f>VLOOKUP($I1863,'Price List, Weapons &amp; Items'!B:G,6,0)</f>
        <v>329</v>
      </c>
      <c r="P1863" s="1185" t="str">
        <f t="shared" si="400"/>
        <v>.</v>
      </c>
      <c r="Q1863" s="1185" t="str">
        <f t="shared" si="401"/>
        <v>.</v>
      </c>
      <c r="R1863" s="1185" t="str">
        <f t="shared" si="397"/>
        <v/>
      </c>
      <c r="S1863" s="1185" t="str">
        <f>IF(AND(AD1863=1,R1863&lt;&gt;".")=TRUE,R1863/VLOOKUP(G1863,'Exchange Rates'!B:C,2,0),IF(R1863=".",".",""))</f>
        <v/>
      </c>
      <c r="T1863" s="1185" t="str">
        <f>IF(AD1863=1,IF(AF1863="Value is not given at all",".",IF(AF1863="Value is given by the source",S1863,IF(AF1863="Value is calculated with prices",(IF(SUMIFS(Q:Q,A:A,A1863)&gt;0,SUMIFS(Q:Q,A:A,A1863),"."))/VLOOKUP("USD",'Exchange Rates'!B:C,2,0),"Error with coding"))),"")</f>
        <v/>
      </c>
      <c r="U1863" s="1191" t="s">
        <v>365</v>
      </c>
      <c r="V1863" s="966" t="s">
        <v>4349</v>
      </c>
      <c r="W1863" s="966" t="s">
        <v>4339</v>
      </c>
      <c r="X1863" s="1208" t="s">
        <v>364</v>
      </c>
      <c r="Y1863" s="1208" t="s">
        <v>364</v>
      </c>
      <c r="Z1863" s="1191">
        <v>0</v>
      </c>
      <c r="AA1863" s="1191">
        <v>1</v>
      </c>
      <c r="AB1863" s="1208" t="s">
        <v>364</v>
      </c>
      <c r="AC1863" s="1192" t="str">
        <f>""</f>
        <v/>
      </c>
      <c r="AD1863" s="1193">
        <v>0</v>
      </c>
      <c r="AE1863" s="1191" t="s">
        <v>368</v>
      </c>
      <c r="AF1863" s="1191" t="s">
        <v>369</v>
      </c>
      <c r="AG1863" s="1193">
        <v>1</v>
      </c>
      <c r="AH1863" s="1193">
        <v>17</v>
      </c>
      <c r="AI1863" s="1193">
        <v>0</v>
      </c>
      <c r="AJ1863" s="1193">
        <f>VLOOKUP($I1863,'Price List, Weapons &amp; Items'!B:F,5,0)</f>
        <v>0</v>
      </c>
      <c r="AK1863" s="1193">
        <f t="shared" si="402"/>
        <v>0</v>
      </c>
      <c r="AL1863" s="1193">
        <f t="shared" si="403"/>
        <v>0</v>
      </c>
      <c r="AM1863" s="1193">
        <f t="shared" si="404"/>
        <v>0</v>
      </c>
      <c r="AN1863" s="1194" t="str">
        <f>VLOOKUP($I1863,'Price List, Weapons &amp; Items'!B:L,COLUMN('Price List, Weapons &amp; Items'!$J$11)-1,0)</f>
        <v>Military media (incl. websites)</v>
      </c>
      <c r="AO1863" s="1194" t="str">
        <f>IF(I1863=".",".",VLOOKUP($I1863,'Price List, Weapons &amp; Items'!B:J,3,0))</f>
        <v>Mortar ammunition</v>
      </c>
      <c r="AP1863" s="1195" t="str">
        <f t="shared" ca="1" si="398"/>
        <v/>
      </c>
      <c r="AQ1863" s="1194" t="str">
        <f>VLOOKUP($I1863,'Price List, Weapons &amp; Items'!B:L,COLUMN('Price List, Weapons &amp; Items'!$L$11)-1,0)</f>
        <v>no price, 0 count</v>
      </c>
      <c r="AR1863" s="1194">
        <f t="shared" si="405"/>
        <v>1</v>
      </c>
      <c r="AS1863" s="1194">
        <f t="shared" si="406"/>
        <v>1</v>
      </c>
      <c r="AT1863" s="1194">
        <f t="shared" si="407"/>
        <v>1</v>
      </c>
      <c r="AU1863" s="1194" t="str">
        <f t="shared" si="396"/>
        <v>.</v>
      </c>
      <c r="AV1863" s="1194" t="str">
        <f t="shared" si="399"/>
        <v>.</v>
      </c>
      <c r="AW1863" s="1194" t="str">
        <f t="shared" si="408"/>
        <v>.</v>
      </c>
      <c r="AX1863" s="1194">
        <f>IFERROR(VLOOKUP(B1863,'Share, Heavy Weapons to Ukraine'!B:Z,COLUMN('Share, Heavy Weapons to Ukraine'!C1873)-1,0),0)</f>
        <v>1</v>
      </c>
      <c r="AY1863" s="1194">
        <f>VLOOKUP('Bilateral Assistance, MAIN DATA'!B1863,'Country Summary (€)'!B:F,COLUMN('Country Summary (€)'!C1874)-1,FALSE)</f>
        <v>0</v>
      </c>
      <c r="AZ1863" s="1194" t="str">
        <f>IF(AND(AD1863=1,D1863="Military",H1863&lt;&gt;"Not given")=TRUE,IF(SUMIFS(P:P,A:A,A1863)&gt;0,ABS((SUMIFS(P:P,A:A,A1863)/VLOOKUP("USD",'Exchange Rates'!B:C,2,0)))/S1863,"."),".")</f>
        <v>.</v>
      </c>
      <c r="BA1863" s="1196" t="str">
        <f>IF(AND(AD1863=1,D1863="Military",H1863&lt;&gt;"Not given")=TRUE,IF(SUMIFS(P:P,A:A,A1863)&gt;0,IF((ABS((SUMIFS(P:P,A:A,A1863)/VLOOKUP("USD",'Exchange Rates'!B:C,2,0)))/S1863)&gt;1,(SUMIFS(P:P,A:A,A1863)-S1863)/S1863,(S1863-SUMIFS(P:P,A:A,A1863))/SUMIFS(P:P,A:A,A1863)),"."),".")</f>
        <v>.</v>
      </c>
      <c r="BB1863" s="1208"/>
      <c r="BC1863" s="1208"/>
      <c r="BD1863" s="1208"/>
      <c r="BE1863" s="1208"/>
      <c r="BF1863" s="1208"/>
      <c r="BG1863" s="1208"/>
      <c r="BH1863" s="1208"/>
      <c r="BI1863" s="1208"/>
      <c r="BJ1863" s="1208"/>
      <c r="BK1863" s="1208"/>
      <c r="BL1863" s="1208"/>
      <c r="BM1863" s="1208"/>
      <c r="BN1863" s="1208"/>
      <c r="BO1863" s="1208"/>
      <c r="BP1863" s="1208"/>
      <c r="BQ1863" s="1208"/>
      <c r="BR1863" s="1208"/>
      <c r="BS1863" s="1208"/>
    </row>
    <row r="1864" spans="1:71" ht="15.95" customHeight="1">
      <c r="A1864" s="1208" t="s">
        <v>4310</v>
      </c>
      <c r="B1864" s="1208" t="s">
        <v>3949</v>
      </c>
      <c r="C1864" s="1209">
        <v>45049</v>
      </c>
      <c r="D1864" s="1208" t="s">
        <v>389</v>
      </c>
      <c r="E1864" s="1208" t="s">
        <v>390</v>
      </c>
      <c r="F1864" s="1208" t="s">
        <v>4348</v>
      </c>
      <c r="G1864" s="1184" t="s">
        <v>456</v>
      </c>
      <c r="H1864" s="1210">
        <v>300000000</v>
      </c>
      <c r="I1864" s="1208" t="s">
        <v>4164</v>
      </c>
      <c r="J1864" s="1186" t="str">
        <f>VLOOKUP($I1864,'Price List, Weapons &amp; Items'!B:C,2,0)</f>
        <v>Ammunition for portable defence system</v>
      </c>
      <c r="K1864" s="1186" t="str">
        <f>IF(I1864=".",I1864,VLOOKUP($I1864,'Price List, Weapons &amp; Items'!B:D,3,0))</f>
        <v>Light Anti-armor Weapon (LAW) ammunition</v>
      </c>
      <c r="L1864" s="1187">
        <f>VLOOKUP(I1864,'Price List, Weapons &amp; Items'!B:E,4,0)</f>
        <v>0</v>
      </c>
      <c r="M1864" s="1188" t="s">
        <v>374</v>
      </c>
      <c r="N1864" s="1188" t="s">
        <v>374</v>
      </c>
      <c r="O1864" s="1188">
        <f>VLOOKUP($I1864,'Price List, Weapons &amp; Items'!B:G,6,0)</f>
        <v>93647</v>
      </c>
      <c r="P1864" s="1185" t="str">
        <f t="shared" si="400"/>
        <v>.</v>
      </c>
      <c r="Q1864" s="1185" t="str">
        <f t="shared" si="401"/>
        <v>.</v>
      </c>
      <c r="R1864" s="1185" t="str">
        <f t="shared" si="397"/>
        <v/>
      </c>
      <c r="S1864" s="1185" t="str">
        <f>IF(AND(AD1864=1,R1864&lt;&gt;".")=TRUE,R1864/VLOOKUP(G1864,'Exchange Rates'!B:C,2,0),IF(R1864=".",".",""))</f>
        <v/>
      </c>
      <c r="T1864" s="1185" t="str">
        <f>IF(AD1864=1,IF(AF1864="Value is not given at all",".",IF(AF1864="Value is given by the source",S1864,IF(AF1864="Value is calculated with prices",(IF(SUMIFS(Q:Q,A:A,A1864)&gt;0,SUMIFS(Q:Q,A:A,A1864),"."))/VLOOKUP("USD",'Exchange Rates'!B:C,2,0),"Error with coding"))),"")</f>
        <v/>
      </c>
      <c r="U1864" s="1191" t="s">
        <v>365</v>
      </c>
      <c r="V1864" s="966" t="s">
        <v>4349</v>
      </c>
      <c r="W1864" s="966" t="s">
        <v>4339</v>
      </c>
      <c r="X1864" s="1208" t="s">
        <v>364</v>
      </c>
      <c r="Y1864" s="1208" t="s">
        <v>364</v>
      </c>
      <c r="Z1864" s="1191">
        <v>0</v>
      </c>
      <c r="AA1864" s="1191">
        <v>1</v>
      </c>
      <c r="AB1864" s="1208" t="s">
        <v>364</v>
      </c>
      <c r="AC1864" s="1192" t="str">
        <f>""</f>
        <v/>
      </c>
      <c r="AD1864" s="1193">
        <v>0</v>
      </c>
      <c r="AE1864" s="1191" t="s">
        <v>368</v>
      </c>
      <c r="AF1864" s="1191" t="s">
        <v>369</v>
      </c>
      <c r="AG1864" s="1193">
        <v>1</v>
      </c>
      <c r="AH1864" s="1193">
        <v>17</v>
      </c>
      <c r="AI1864" s="1193">
        <v>0</v>
      </c>
      <c r="AJ1864" s="1193">
        <f>VLOOKUP($I1864,'Price List, Weapons &amp; Items'!B:F,5,0)</f>
        <v>0</v>
      </c>
      <c r="AK1864" s="1193">
        <f t="shared" si="402"/>
        <v>0</v>
      </c>
      <c r="AL1864" s="1193">
        <f t="shared" si="403"/>
        <v>0</v>
      </c>
      <c r="AM1864" s="1193">
        <f t="shared" si="404"/>
        <v>0</v>
      </c>
      <c r="AN1864" s="1194" t="str">
        <f>VLOOKUP($I1864,'Price List, Weapons &amp; Items'!B:L,COLUMN('Price List, Weapons &amp; Items'!$J$11)-1,0)</f>
        <v>Military media (incl. websites)</v>
      </c>
      <c r="AO1864" s="1194" t="str">
        <f>IF(I1864=".",".",VLOOKUP($I1864,'Price List, Weapons &amp; Items'!B:J,3,0))</f>
        <v>Light Anti-armor Weapon (LAW) ammunition</v>
      </c>
      <c r="AP1864" s="1195" t="str">
        <f t="shared" ca="1" si="398"/>
        <v/>
      </c>
      <c r="AQ1864" s="1194">
        <f>VLOOKUP($I1864,'Price List, Weapons &amp; Items'!B:L,COLUMN('Price List, Weapons &amp; Items'!$L$11)-1,0)</f>
        <v>2</v>
      </c>
      <c r="AR1864" s="1194">
        <f t="shared" si="405"/>
        <v>1</v>
      </c>
      <c r="AS1864" s="1194">
        <f t="shared" si="406"/>
        <v>1</v>
      </c>
      <c r="AT1864" s="1194">
        <f t="shared" si="407"/>
        <v>1</v>
      </c>
      <c r="AU1864" s="1194" t="str">
        <f t="shared" si="396"/>
        <v>.</v>
      </c>
      <c r="AV1864" s="1194" t="str">
        <f t="shared" si="399"/>
        <v>.</v>
      </c>
      <c r="AW1864" s="1194" t="str">
        <f t="shared" si="408"/>
        <v>.</v>
      </c>
      <c r="AX1864" s="1194">
        <f>IFERROR(VLOOKUP(B1864,'Share, Heavy Weapons to Ukraine'!B:Z,COLUMN('Share, Heavy Weapons to Ukraine'!C1874)-1,0),0)</f>
        <v>1</v>
      </c>
      <c r="AY1864" s="1194">
        <f>VLOOKUP('Bilateral Assistance, MAIN DATA'!B1864,'Country Summary (€)'!B:F,COLUMN('Country Summary (€)'!C1875)-1,FALSE)</f>
        <v>0</v>
      </c>
      <c r="AZ1864" s="1194" t="str">
        <f>IF(AND(AD1864=1,D1864="Military",H1864&lt;&gt;"Not given")=TRUE,IF(SUMIFS(P:P,A:A,A1864)&gt;0,ABS((SUMIFS(P:P,A:A,A1864)/VLOOKUP("USD",'Exchange Rates'!B:C,2,0)))/S1864,"."),".")</f>
        <v>.</v>
      </c>
      <c r="BA1864" s="1196" t="str">
        <f>IF(AND(AD1864=1,D1864="Military",H1864&lt;&gt;"Not given")=TRUE,IF(SUMIFS(P:P,A:A,A1864)&gt;0,IF((ABS((SUMIFS(P:P,A:A,A1864)/VLOOKUP("USD",'Exchange Rates'!B:C,2,0)))/S1864)&gt;1,(SUMIFS(P:P,A:A,A1864)-S1864)/S1864,(S1864-SUMIFS(P:P,A:A,A1864))/SUMIFS(P:P,A:A,A1864)),"."),".")</f>
        <v>.</v>
      </c>
      <c r="BB1864" s="1208"/>
      <c r="BC1864" s="1208"/>
      <c r="BD1864" s="1208"/>
      <c r="BE1864" s="1208"/>
      <c r="BF1864" s="1208"/>
      <c r="BG1864" s="1208"/>
      <c r="BH1864" s="1208"/>
      <c r="BI1864" s="1208"/>
      <c r="BJ1864" s="1208"/>
      <c r="BK1864" s="1208"/>
      <c r="BL1864" s="1208"/>
      <c r="BM1864" s="1208"/>
      <c r="BN1864" s="1208"/>
      <c r="BO1864" s="1208"/>
      <c r="BP1864" s="1208"/>
      <c r="BQ1864" s="1208"/>
      <c r="BR1864" s="1208"/>
      <c r="BS1864" s="1208"/>
    </row>
    <row r="1865" spans="1:71" ht="15.95" customHeight="1">
      <c r="A1865" s="1208" t="s">
        <v>4310</v>
      </c>
      <c r="B1865" s="1208" t="s">
        <v>3949</v>
      </c>
      <c r="C1865" s="1209">
        <v>45049</v>
      </c>
      <c r="D1865" s="1208" t="s">
        <v>389</v>
      </c>
      <c r="E1865" s="1208" t="s">
        <v>390</v>
      </c>
      <c r="F1865" s="1208" t="s">
        <v>4348</v>
      </c>
      <c r="G1865" s="1184" t="s">
        <v>456</v>
      </c>
      <c r="H1865" s="1210">
        <v>300000000</v>
      </c>
      <c r="I1865" s="1208" t="s">
        <v>3584</v>
      </c>
      <c r="J1865" s="1186" t="str">
        <f>VLOOKUP($I1865,'Price List, Weapons &amp; Items'!B:C,2,0)</f>
        <v>Portable defence system</v>
      </c>
      <c r="K1865" s="1186" t="str">
        <f>IF(I1865=".",I1865,VLOOKUP($I1865,'Price List, Weapons &amp; Items'!B:D,3,0))</f>
        <v>MANPADS</v>
      </c>
      <c r="L1865" s="1187">
        <f>VLOOKUP(I1865,'Price List, Weapons &amp; Items'!B:E,4,0)</f>
        <v>0</v>
      </c>
      <c r="M1865" s="1188" t="s">
        <v>374</v>
      </c>
      <c r="N1865" s="1188" t="s">
        <v>374</v>
      </c>
      <c r="O1865" s="1188">
        <f>VLOOKUP($I1865,'Price List, Weapons &amp; Items'!B:G,6,0)</f>
        <v>1480.64</v>
      </c>
      <c r="P1865" s="1185" t="str">
        <f t="shared" si="400"/>
        <v>.</v>
      </c>
      <c r="Q1865" s="1185" t="str">
        <f t="shared" si="401"/>
        <v>.</v>
      </c>
      <c r="R1865" s="1185" t="str">
        <f t="shared" si="397"/>
        <v/>
      </c>
      <c r="S1865" s="1185" t="str">
        <f>IF(AND(AD1865=1,R1865&lt;&gt;".")=TRUE,R1865/VLOOKUP(G1865,'Exchange Rates'!B:C,2,0),IF(R1865=".",".",""))</f>
        <v/>
      </c>
      <c r="T1865" s="1185" t="str">
        <f>IF(AD1865=1,IF(AF1865="Value is not given at all",".",IF(AF1865="Value is given by the source",S1865,IF(AF1865="Value is calculated with prices",(IF(SUMIFS(Q:Q,A:A,A1865)&gt;0,SUMIFS(Q:Q,A:A,A1865),"."))/VLOOKUP("USD",'Exchange Rates'!B:C,2,0),"Error with coding"))),"")</f>
        <v/>
      </c>
      <c r="U1865" s="1191" t="s">
        <v>365</v>
      </c>
      <c r="V1865" s="966" t="s">
        <v>4349</v>
      </c>
      <c r="W1865" s="966" t="s">
        <v>4339</v>
      </c>
      <c r="X1865" s="1208" t="s">
        <v>364</v>
      </c>
      <c r="Y1865" s="1208" t="s">
        <v>364</v>
      </c>
      <c r="Z1865" s="1191">
        <v>0</v>
      </c>
      <c r="AA1865" s="1191">
        <v>1</v>
      </c>
      <c r="AB1865" s="1208" t="s">
        <v>364</v>
      </c>
      <c r="AC1865" s="1192" t="str">
        <f>""</f>
        <v/>
      </c>
      <c r="AD1865" s="1193">
        <v>0</v>
      </c>
      <c r="AE1865" s="1191" t="s">
        <v>368</v>
      </c>
      <c r="AF1865" s="1191" t="s">
        <v>369</v>
      </c>
      <c r="AG1865" s="1193">
        <v>1</v>
      </c>
      <c r="AH1865" s="1193">
        <v>17</v>
      </c>
      <c r="AI1865" s="1193">
        <v>0</v>
      </c>
      <c r="AJ1865" s="1193">
        <f>VLOOKUP($I1865,'Price List, Weapons &amp; Items'!B:F,5,0)</f>
        <v>0</v>
      </c>
      <c r="AK1865" s="1193">
        <f t="shared" si="402"/>
        <v>0</v>
      </c>
      <c r="AL1865" s="1193">
        <f t="shared" si="403"/>
        <v>0</v>
      </c>
      <c r="AM1865" s="1193">
        <f t="shared" si="404"/>
        <v>0</v>
      </c>
      <c r="AN1865" s="1194" t="str">
        <f>VLOOKUP($I1865,'Price List, Weapons &amp; Items'!B:L,COLUMN('Price List, Weapons &amp; Items'!$J$11)-1,0)</f>
        <v>Military media (incl. websites)</v>
      </c>
      <c r="AO1865" s="1194" t="str">
        <f>IF(I1865=".",".",VLOOKUP($I1865,'Price List, Weapons &amp; Items'!B:J,3,0))</f>
        <v>MANPADS</v>
      </c>
      <c r="AP1865" s="1195" t="str">
        <f t="shared" ca="1" si="398"/>
        <v/>
      </c>
      <c r="AQ1865" s="1194">
        <f>VLOOKUP($I1865,'Price List, Weapons &amp; Items'!B:L,COLUMN('Price List, Weapons &amp; Items'!$L$11)-1,0)</f>
        <v>2</v>
      </c>
      <c r="AR1865" s="1194">
        <f t="shared" si="405"/>
        <v>1</v>
      </c>
      <c r="AS1865" s="1194">
        <f t="shared" si="406"/>
        <v>1</v>
      </c>
      <c r="AT1865" s="1194">
        <f t="shared" si="407"/>
        <v>1</v>
      </c>
      <c r="AU1865" s="1194" t="str">
        <f t="shared" si="396"/>
        <v>.</v>
      </c>
      <c r="AV1865" s="1194" t="str">
        <f t="shared" si="399"/>
        <v>.</v>
      </c>
      <c r="AW1865" s="1194" t="str">
        <f t="shared" si="408"/>
        <v>.</v>
      </c>
      <c r="AX1865" s="1194">
        <f>IFERROR(VLOOKUP(B1865,'Share, Heavy Weapons to Ukraine'!B:Z,COLUMN('Share, Heavy Weapons to Ukraine'!C1875)-1,0),0)</f>
        <v>1</v>
      </c>
      <c r="AY1865" s="1194">
        <f>VLOOKUP('Bilateral Assistance, MAIN DATA'!B1865,'Country Summary (€)'!B:F,COLUMN('Country Summary (€)'!C1876)-1,FALSE)</f>
        <v>0</v>
      </c>
      <c r="AZ1865" s="1194" t="str">
        <f>IF(AND(AD1865=1,D1865="Military",H1865&lt;&gt;"Not given")=TRUE,IF(SUMIFS(P:P,A:A,A1865)&gt;0,ABS((SUMIFS(P:P,A:A,A1865)/VLOOKUP("USD",'Exchange Rates'!B:C,2,0)))/S1865,"."),".")</f>
        <v>.</v>
      </c>
      <c r="BA1865" s="1196" t="str">
        <f>IF(AND(AD1865=1,D1865="Military",H1865&lt;&gt;"Not given")=TRUE,IF(SUMIFS(P:P,A:A,A1865)&gt;0,IF((ABS((SUMIFS(P:P,A:A,A1865)/VLOOKUP("USD",'Exchange Rates'!B:C,2,0)))/S1865)&gt;1,(SUMIFS(P:P,A:A,A1865)-S1865)/S1865,(S1865-SUMIFS(P:P,A:A,A1865))/SUMIFS(P:P,A:A,A1865)),"."),".")</f>
        <v>.</v>
      </c>
      <c r="BB1865" s="1208"/>
      <c r="BC1865" s="1208"/>
      <c r="BD1865" s="1208"/>
      <c r="BE1865" s="1208"/>
      <c r="BF1865" s="1208"/>
      <c r="BG1865" s="1208"/>
      <c r="BH1865" s="1208"/>
      <c r="BI1865" s="1208"/>
      <c r="BJ1865" s="1208"/>
      <c r="BK1865" s="1208"/>
      <c r="BL1865" s="1208"/>
      <c r="BM1865" s="1208"/>
      <c r="BN1865" s="1208"/>
      <c r="BO1865" s="1208"/>
      <c r="BP1865" s="1208"/>
      <c r="BQ1865" s="1208"/>
      <c r="BR1865" s="1208"/>
      <c r="BS1865" s="1208"/>
    </row>
    <row r="1866" spans="1:71" ht="15.95" customHeight="1">
      <c r="A1866" s="1208" t="s">
        <v>4310</v>
      </c>
      <c r="B1866" s="1208" t="s">
        <v>3949</v>
      </c>
      <c r="C1866" s="1209">
        <v>45049</v>
      </c>
      <c r="D1866" s="1208" t="s">
        <v>389</v>
      </c>
      <c r="E1866" s="1208" t="s">
        <v>390</v>
      </c>
      <c r="F1866" s="1208" t="s">
        <v>4348</v>
      </c>
      <c r="G1866" s="1184" t="s">
        <v>456</v>
      </c>
      <c r="H1866" s="1210">
        <v>300000000</v>
      </c>
      <c r="I1866" s="1208" t="s">
        <v>804</v>
      </c>
      <c r="J1866" s="1186" t="str">
        <f>VLOOKUP($I1866,'Price List, Weapons &amp; Items'!B:C,2,0)</f>
        <v>Light armaments &amp; infantry</v>
      </c>
      <c r="K1866" s="1186" t="str">
        <f>IF(I1866=".",I1866,VLOOKUP($I1866,'Price List, Weapons &amp; Items'!B:D,3,0))</f>
        <v>Recoilless rifle (RR/RCL)</v>
      </c>
      <c r="L1866" s="1187">
        <f>VLOOKUP(I1866,'Price List, Weapons &amp; Items'!B:E,4,0)</f>
        <v>0</v>
      </c>
      <c r="M1866" s="1188" t="s">
        <v>374</v>
      </c>
      <c r="N1866" s="1188" t="s">
        <v>374</v>
      </c>
      <c r="O1866" s="1188">
        <f>VLOOKUP($I1866,'Price List, Weapons &amp; Items'!B:G,6,0)</f>
        <v>38334.53182718272</v>
      </c>
      <c r="P1866" s="1185" t="str">
        <f t="shared" si="400"/>
        <v>.</v>
      </c>
      <c r="Q1866" s="1185" t="str">
        <f t="shared" si="401"/>
        <v>.</v>
      </c>
      <c r="R1866" s="1185" t="str">
        <f t="shared" si="397"/>
        <v/>
      </c>
      <c r="S1866" s="1185" t="str">
        <f>IF(AND(AD1866=1,R1866&lt;&gt;".")=TRUE,R1866/VLOOKUP(G1866,'Exchange Rates'!B:C,2,0),IF(R1866=".",".",""))</f>
        <v/>
      </c>
      <c r="T1866" s="1185" t="str">
        <f>IF(AD1866=1,IF(AF1866="Value is not given at all",".",IF(AF1866="Value is given by the source",S1866,IF(AF1866="Value is calculated with prices",(IF(SUMIFS(Q:Q,A:A,A1866)&gt;0,SUMIFS(Q:Q,A:A,A1866),"."))/VLOOKUP("USD",'Exchange Rates'!B:C,2,0),"Error with coding"))),"")</f>
        <v/>
      </c>
      <c r="U1866" s="1191" t="s">
        <v>365</v>
      </c>
      <c r="V1866" s="966" t="s">
        <v>4349</v>
      </c>
      <c r="W1866" s="966" t="s">
        <v>4339</v>
      </c>
      <c r="X1866" s="1208" t="s">
        <v>364</v>
      </c>
      <c r="Y1866" s="1208" t="s">
        <v>364</v>
      </c>
      <c r="Z1866" s="1191">
        <v>0</v>
      </c>
      <c r="AA1866" s="1191">
        <v>1</v>
      </c>
      <c r="AB1866" s="1208" t="s">
        <v>364</v>
      </c>
      <c r="AC1866" s="1192" t="str">
        <f>""</f>
        <v/>
      </c>
      <c r="AD1866" s="1193">
        <v>0</v>
      </c>
      <c r="AE1866" s="1191" t="s">
        <v>368</v>
      </c>
      <c r="AF1866" s="1191" t="s">
        <v>369</v>
      </c>
      <c r="AG1866" s="1193">
        <v>1</v>
      </c>
      <c r="AH1866" s="1193">
        <v>17</v>
      </c>
      <c r="AI1866" s="1193">
        <v>0</v>
      </c>
      <c r="AJ1866" s="1193">
        <f>VLOOKUP($I1866,'Price List, Weapons &amp; Items'!B:F,5,0)</f>
        <v>0</v>
      </c>
      <c r="AK1866" s="1193">
        <f t="shared" si="402"/>
        <v>0</v>
      </c>
      <c r="AL1866" s="1193">
        <f t="shared" si="403"/>
        <v>0</v>
      </c>
      <c r="AM1866" s="1193">
        <f t="shared" si="404"/>
        <v>0</v>
      </c>
      <c r="AN1866" s="1194" t="str">
        <f>VLOOKUP($I1866,'Price List, Weapons &amp; Items'!B:L,COLUMN('Price List, Weapons &amp; Items'!$J$11)-1,0)</f>
        <v>Military media (incl. websites)</v>
      </c>
      <c r="AO1866" s="1194" t="str">
        <f>IF(I1866=".",".",VLOOKUP($I1866,'Price List, Weapons &amp; Items'!B:J,3,0))</f>
        <v>Recoilless rifle (RR/RCL)</v>
      </c>
      <c r="AP1866" s="1195" t="str">
        <f t="shared" ca="1" si="398"/>
        <v/>
      </c>
      <c r="AQ1866" s="1194">
        <f>VLOOKUP($I1866,'Price List, Weapons &amp; Items'!B:L,COLUMN('Price List, Weapons &amp; Items'!$L$11)-1,0)</f>
        <v>2</v>
      </c>
      <c r="AR1866" s="1194">
        <f t="shared" si="405"/>
        <v>1</v>
      </c>
      <c r="AS1866" s="1194">
        <f t="shared" si="406"/>
        <v>1</v>
      </c>
      <c r="AT1866" s="1194">
        <f t="shared" si="407"/>
        <v>1</v>
      </c>
      <c r="AU1866" s="1194" t="str">
        <f t="shared" si="396"/>
        <v>.</v>
      </c>
      <c r="AV1866" s="1194" t="str">
        <f t="shared" si="399"/>
        <v>.</v>
      </c>
      <c r="AW1866" s="1194" t="str">
        <f t="shared" si="408"/>
        <v>.</v>
      </c>
      <c r="AX1866" s="1194">
        <f>IFERROR(VLOOKUP(B1866,'Share, Heavy Weapons to Ukraine'!B:Z,COLUMN('Share, Heavy Weapons to Ukraine'!C1876)-1,0),0)</f>
        <v>1</v>
      </c>
      <c r="AY1866" s="1194">
        <f>VLOOKUP('Bilateral Assistance, MAIN DATA'!B1866,'Country Summary (€)'!B:F,COLUMN('Country Summary (€)'!C1877)-1,FALSE)</f>
        <v>0</v>
      </c>
      <c r="AZ1866" s="1194" t="str">
        <f>IF(AND(AD1866=1,D1866="Military",H1866&lt;&gt;"Not given")=TRUE,IF(SUMIFS(P:P,A:A,A1866)&gt;0,ABS((SUMIFS(P:P,A:A,A1866)/VLOOKUP("USD",'Exchange Rates'!B:C,2,0)))/S1866,"."),".")</f>
        <v>.</v>
      </c>
      <c r="BA1866" s="1196" t="str">
        <f>IF(AND(AD1866=1,D1866="Military",H1866&lt;&gt;"Not given")=TRUE,IF(SUMIFS(P:P,A:A,A1866)&gt;0,IF((ABS((SUMIFS(P:P,A:A,A1866)/VLOOKUP("USD",'Exchange Rates'!B:C,2,0)))/S1866)&gt;1,(SUMIFS(P:P,A:A,A1866)-S1866)/S1866,(S1866-SUMIFS(P:P,A:A,A1866))/SUMIFS(P:P,A:A,A1866)),"."),".")</f>
        <v>.</v>
      </c>
      <c r="BB1866" s="1208"/>
      <c r="BC1866" s="1208"/>
      <c r="BD1866" s="1208"/>
      <c r="BE1866" s="1208"/>
      <c r="BF1866" s="1208"/>
      <c r="BG1866" s="1208"/>
      <c r="BH1866" s="1208"/>
      <c r="BI1866" s="1208"/>
      <c r="BJ1866" s="1208"/>
      <c r="BK1866" s="1208"/>
      <c r="BL1866" s="1208"/>
      <c r="BM1866" s="1208"/>
      <c r="BN1866" s="1208"/>
      <c r="BO1866" s="1208"/>
      <c r="BP1866" s="1208"/>
      <c r="BQ1866" s="1208"/>
      <c r="BR1866" s="1208"/>
      <c r="BS1866" s="1208"/>
    </row>
    <row r="1867" spans="1:71" ht="15.95" customHeight="1">
      <c r="A1867" s="1208" t="s">
        <v>4310</v>
      </c>
      <c r="B1867" s="1208" t="s">
        <v>3949</v>
      </c>
      <c r="C1867" s="1209">
        <v>45049</v>
      </c>
      <c r="D1867" s="1208" t="s">
        <v>389</v>
      </c>
      <c r="E1867" s="1208" t="s">
        <v>390</v>
      </c>
      <c r="F1867" s="1208" t="s">
        <v>4348</v>
      </c>
      <c r="G1867" s="1184" t="s">
        <v>456</v>
      </c>
      <c r="H1867" s="1210">
        <v>300000000</v>
      </c>
      <c r="I1867" s="1208" t="s">
        <v>4351</v>
      </c>
      <c r="J1867" s="1186" t="str">
        <f>VLOOKUP($I1867,'Price List, Weapons &amp; Items'!B:C,2,0)</f>
        <v>Ammunition for heavy weapon</v>
      </c>
      <c r="K1867" s="1186" t="str">
        <f>IF(I1867=".",I1867,VLOOKUP($I1867,'Price List, Weapons &amp; Items'!B:D,3,0))</f>
        <v>Aircraft missile ammunition</v>
      </c>
      <c r="L1867" s="1187">
        <f>VLOOKUP(I1867,'Price List, Weapons &amp; Items'!B:E,4,0)</f>
        <v>0</v>
      </c>
      <c r="M1867" s="1188" t="s">
        <v>374</v>
      </c>
      <c r="N1867" s="1188" t="s">
        <v>374</v>
      </c>
      <c r="O1867" s="1188">
        <f>VLOOKUP($I1867,'Price List, Weapons &amp; Items'!B:G,6,0)</f>
        <v>1000</v>
      </c>
      <c r="P1867" s="1185" t="str">
        <f t="shared" si="400"/>
        <v>.</v>
      </c>
      <c r="Q1867" s="1185" t="str">
        <f t="shared" si="401"/>
        <v>.</v>
      </c>
      <c r="R1867" s="1185" t="str">
        <f t="shared" si="397"/>
        <v/>
      </c>
      <c r="S1867" s="1185" t="str">
        <f>IF(AND(AD1867=1,R1867&lt;&gt;".")=TRUE,R1867/VLOOKUP(G1867,'Exchange Rates'!B:C,2,0),IF(R1867=".",".",""))</f>
        <v/>
      </c>
      <c r="T1867" s="1185" t="str">
        <f>IF(AD1867=1,IF(AF1867="Value is not given at all",".",IF(AF1867="Value is given by the source",S1867,IF(AF1867="Value is calculated with prices",(IF(SUMIFS(Q:Q,A:A,A1867)&gt;0,SUMIFS(Q:Q,A:A,A1867),"."))/VLOOKUP("USD",'Exchange Rates'!B:C,2,0),"Error with coding"))),"")</f>
        <v/>
      </c>
      <c r="U1867" s="1191" t="s">
        <v>365</v>
      </c>
      <c r="V1867" s="966" t="s">
        <v>4349</v>
      </c>
      <c r="W1867" s="966" t="s">
        <v>4339</v>
      </c>
      <c r="X1867" s="1208" t="s">
        <v>364</v>
      </c>
      <c r="Y1867" s="1208" t="s">
        <v>364</v>
      </c>
      <c r="Z1867" s="1191">
        <v>0</v>
      </c>
      <c r="AA1867" s="1191">
        <v>1</v>
      </c>
      <c r="AB1867" s="1208" t="s">
        <v>364</v>
      </c>
      <c r="AC1867" s="1192" t="str">
        <f>""</f>
        <v/>
      </c>
      <c r="AD1867" s="1193">
        <v>0</v>
      </c>
      <c r="AE1867" s="1191" t="s">
        <v>368</v>
      </c>
      <c r="AF1867" s="1191" t="s">
        <v>369</v>
      </c>
      <c r="AG1867" s="1193">
        <v>1</v>
      </c>
      <c r="AH1867" s="1193">
        <v>17</v>
      </c>
      <c r="AI1867" s="1193">
        <v>0</v>
      </c>
      <c r="AJ1867" s="1193">
        <f>VLOOKUP($I1867,'Price List, Weapons &amp; Items'!B:F,5,0)</f>
        <v>0</v>
      </c>
      <c r="AK1867" s="1193">
        <f t="shared" si="402"/>
        <v>0</v>
      </c>
      <c r="AL1867" s="1193">
        <f t="shared" si="403"/>
        <v>0</v>
      </c>
      <c r="AM1867" s="1193">
        <f t="shared" si="404"/>
        <v>0</v>
      </c>
      <c r="AN1867" s="1194" t="str">
        <f>VLOOKUP($I1867,'Price List, Weapons &amp; Items'!B:L,COLUMN('Price List, Weapons &amp; Items'!$J$11)-1,0)</f>
        <v>Government information</v>
      </c>
      <c r="AO1867" s="1194" t="str">
        <f>IF(I1867=".",".",VLOOKUP($I1867,'Price List, Weapons &amp; Items'!B:J,3,0))</f>
        <v>Aircraft missile ammunition</v>
      </c>
      <c r="AP1867" s="1195" t="str">
        <f t="shared" ca="1" si="398"/>
        <v/>
      </c>
      <c r="AQ1867" s="1194" t="str">
        <f>VLOOKUP($I1867,'Price List, Weapons &amp; Items'!B:L,COLUMN('Price List, Weapons &amp; Items'!$L$11)-1,0)</f>
        <v>no price, 0 count</v>
      </c>
      <c r="AR1867" s="1194">
        <f t="shared" si="405"/>
        <v>1</v>
      </c>
      <c r="AS1867" s="1194">
        <f t="shared" si="406"/>
        <v>1</v>
      </c>
      <c r="AT1867" s="1194">
        <f t="shared" si="407"/>
        <v>1</v>
      </c>
      <c r="AU1867" s="1194" t="str">
        <f t="shared" si="396"/>
        <v>.</v>
      </c>
      <c r="AV1867" s="1194" t="str">
        <f t="shared" si="399"/>
        <v>.</v>
      </c>
      <c r="AW1867" s="1194" t="str">
        <f t="shared" si="408"/>
        <v>.</v>
      </c>
      <c r="AX1867" s="1194">
        <f>IFERROR(VLOOKUP(B1867,'Share, Heavy Weapons to Ukraine'!B:Z,COLUMN('Share, Heavy Weapons to Ukraine'!C1877)-1,0),0)</f>
        <v>1</v>
      </c>
      <c r="AY1867" s="1194">
        <f>VLOOKUP('Bilateral Assistance, MAIN DATA'!B1867,'Country Summary (€)'!B:F,COLUMN('Country Summary (€)'!C1878)-1,FALSE)</f>
        <v>0</v>
      </c>
      <c r="AZ1867" s="1194" t="str">
        <f>IF(AND(AD1867=1,D1867="Military",H1867&lt;&gt;"Not given")=TRUE,IF(SUMIFS(P:P,A:A,A1867)&gt;0,ABS((SUMIFS(P:P,A:A,A1867)/VLOOKUP("USD",'Exchange Rates'!B:C,2,0)))/S1867,"."),".")</f>
        <v>.</v>
      </c>
      <c r="BA1867" s="1196" t="str">
        <f>IF(AND(AD1867=1,D1867="Military",H1867&lt;&gt;"Not given")=TRUE,IF(SUMIFS(P:P,A:A,A1867)&gt;0,IF((ABS((SUMIFS(P:P,A:A,A1867)/VLOOKUP("USD",'Exchange Rates'!B:C,2,0)))/S1867)&gt;1,(SUMIFS(P:P,A:A,A1867)-S1867)/S1867,(S1867-SUMIFS(P:P,A:A,A1867))/SUMIFS(P:P,A:A,A1867)),"."),".")</f>
        <v>.</v>
      </c>
      <c r="BB1867" s="1208"/>
      <c r="BC1867" s="1208"/>
      <c r="BD1867" s="1208"/>
      <c r="BE1867" s="1208"/>
      <c r="BF1867" s="1208"/>
      <c r="BG1867" s="1208"/>
      <c r="BH1867" s="1208"/>
      <c r="BI1867" s="1208"/>
      <c r="BJ1867" s="1208"/>
      <c r="BK1867" s="1208"/>
      <c r="BL1867" s="1208"/>
      <c r="BM1867" s="1208"/>
      <c r="BN1867" s="1208"/>
      <c r="BO1867" s="1208"/>
      <c r="BP1867" s="1208"/>
      <c r="BQ1867" s="1208"/>
      <c r="BR1867" s="1208"/>
      <c r="BS1867" s="1208"/>
    </row>
    <row r="1868" spans="1:71" ht="15.95" customHeight="1">
      <c r="A1868" s="1208" t="s">
        <v>4310</v>
      </c>
      <c r="B1868" s="1208" t="s">
        <v>3949</v>
      </c>
      <c r="C1868" s="1209">
        <v>45049</v>
      </c>
      <c r="D1868" s="1208" t="s">
        <v>389</v>
      </c>
      <c r="E1868" s="1208" t="s">
        <v>390</v>
      </c>
      <c r="F1868" s="1208" t="s">
        <v>4348</v>
      </c>
      <c r="G1868" s="1184" t="s">
        <v>456</v>
      </c>
      <c r="H1868" s="1210">
        <v>300000000</v>
      </c>
      <c r="I1868" s="1208" t="s">
        <v>2025</v>
      </c>
      <c r="J1868" s="1186" t="str">
        <f>VLOOKUP($I1868,'Price List, Weapons &amp; Items'!B:C,2,0)</f>
        <v>Ammunition for light infantry</v>
      </c>
      <c r="K1868" s="1186" t="str">
        <f>IF(I1868=".",I1868,VLOOKUP($I1868,'Price List, Weapons &amp; Items'!B:D,3,0))</f>
        <v>Small Arms and Light Weapons (SALW) ammunition</v>
      </c>
      <c r="L1868" s="1187">
        <f>VLOOKUP(I1868,'Price List, Weapons &amp; Items'!B:E,4,0)</f>
        <v>0</v>
      </c>
      <c r="M1868" s="1188" t="s">
        <v>374</v>
      </c>
      <c r="N1868" s="1188" t="s">
        <v>374</v>
      </c>
      <c r="O1868" s="1188">
        <f>VLOOKUP($I1868,'Price List, Weapons &amp; Items'!B:G,6,0)</f>
        <v>0.47</v>
      </c>
      <c r="P1868" s="1185" t="str">
        <f t="shared" si="400"/>
        <v>.</v>
      </c>
      <c r="Q1868" s="1185" t="str">
        <f t="shared" si="401"/>
        <v>.</v>
      </c>
      <c r="R1868" s="1185" t="str">
        <f t="shared" si="397"/>
        <v/>
      </c>
      <c r="S1868" s="1185" t="str">
        <f>IF(AND(AD1868=1,R1868&lt;&gt;".")=TRUE,R1868/VLOOKUP(G1868,'Exchange Rates'!B:C,2,0),IF(R1868=".",".",""))</f>
        <v/>
      </c>
      <c r="T1868" s="1185" t="str">
        <f>IF(AD1868=1,IF(AF1868="Value is not given at all",".",IF(AF1868="Value is given by the source",S1868,IF(AF1868="Value is calculated with prices",(IF(SUMIFS(Q:Q,A:A,A1868)&gt;0,SUMIFS(Q:Q,A:A,A1868),"."))/VLOOKUP("USD",'Exchange Rates'!B:C,2,0),"Error with coding"))),"")</f>
        <v/>
      </c>
      <c r="U1868" s="1191" t="s">
        <v>365</v>
      </c>
      <c r="V1868" s="966" t="s">
        <v>4349</v>
      </c>
      <c r="W1868" s="966" t="s">
        <v>4339</v>
      </c>
      <c r="X1868" s="1208" t="s">
        <v>364</v>
      </c>
      <c r="Y1868" s="1208" t="s">
        <v>364</v>
      </c>
      <c r="Z1868" s="1191">
        <v>0</v>
      </c>
      <c r="AA1868" s="1191">
        <v>1</v>
      </c>
      <c r="AB1868" s="1208" t="s">
        <v>364</v>
      </c>
      <c r="AC1868" s="1192" t="str">
        <f>""</f>
        <v/>
      </c>
      <c r="AD1868" s="1193">
        <v>0</v>
      </c>
      <c r="AE1868" s="1191" t="s">
        <v>368</v>
      </c>
      <c r="AF1868" s="1191" t="s">
        <v>369</v>
      </c>
      <c r="AG1868" s="1193">
        <v>1</v>
      </c>
      <c r="AH1868" s="1193">
        <v>17</v>
      </c>
      <c r="AI1868" s="1193">
        <v>0</v>
      </c>
      <c r="AJ1868" s="1193">
        <f>VLOOKUP($I1868,'Price List, Weapons &amp; Items'!B:F,5,0)</f>
        <v>0</v>
      </c>
      <c r="AK1868" s="1193">
        <f t="shared" si="402"/>
        <v>0</v>
      </c>
      <c r="AL1868" s="1193">
        <f t="shared" si="403"/>
        <v>0</v>
      </c>
      <c r="AM1868" s="1193">
        <f t="shared" si="404"/>
        <v>1</v>
      </c>
      <c r="AN1868" s="1194" t="str">
        <f>VLOOKUP($I1868,'Price List, Weapons &amp; Items'!B:L,COLUMN('Price List, Weapons &amp; Items'!$J$11)-1,0)</f>
        <v>Miscellaneous</v>
      </c>
      <c r="AO1868" s="1194" t="str">
        <f>IF(I1868=".",".",VLOOKUP($I1868,'Price List, Weapons &amp; Items'!B:J,3,0))</f>
        <v>Small Arms and Light Weapons (SALW) ammunition</v>
      </c>
      <c r="AP1868" s="1195" t="str">
        <f t="shared" ca="1" si="398"/>
        <v/>
      </c>
      <c r="AQ1868" s="1194">
        <f>VLOOKUP($I1868,'Price List, Weapons &amp; Items'!B:L,COLUMN('Price List, Weapons &amp; Items'!$L$11)-1,0)</f>
        <v>2</v>
      </c>
      <c r="AR1868" s="1194">
        <f t="shared" si="405"/>
        <v>1</v>
      </c>
      <c r="AS1868" s="1194">
        <f t="shared" si="406"/>
        <v>1</v>
      </c>
      <c r="AT1868" s="1194">
        <f t="shared" si="407"/>
        <v>1</v>
      </c>
      <c r="AU1868" s="1194" t="str">
        <f t="shared" si="396"/>
        <v>.</v>
      </c>
      <c r="AV1868" s="1194" t="str">
        <f t="shared" si="399"/>
        <v>.</v>
      </c>
      <c r="AW1868" s="1194" t="str">
        <f t="shared" si="408"/>
        <v>.</v>
      </c>
      <c r="AX1868" s="1194">
        <f>IFERROR(VLOOKUP(B1868,'Share, Heavy Weapons to Ukraine'!B:Z,COLUMN('Share, Heavy Weapons to Ukraine'!C1878)-1,0),0)</f>
        <v>1</v>
      </c>
      <c r="AY1868" s="1194">
        <f>VLOOKUP('Bilateral Assistance, MAIN DATA'!B1868,'Country Summary (€)'!B:F,COLUMN('Country Summary (€)'!C1879)-1,FALSE)</f>
        <v>0</v>
      </c>
      <c r="AZ1868" s="1194" t="str">
        <f>IF(AND(AD1868=1,D1868="Military",H1868&lt;&gt;"Not given")=TRUE,IF(SUMIFS(P:P,A:A,A1868)&gt;0,ABS((SUMIFS(P:P,A:A,A1868)/VLOOKUP("USD",'Exchange Rates'!B:C,2,0)))/S1868,"."),".")</f>
        <v>.</v>
      </c>
      <c r="BA1868" s="1196" t="str">
        <f>IF(AND(AD1868=1,D1868="Military",H1868&lt;&gt;"Not given")=TRUE,IF(SUMIFS(P:P,A:A,A1868)&gt;0,IF((ABS((SUMIFS(P:P,A:A,A1868)/VLOOKUP("USD",'Exchange Rates'!B:C,2,0)))/S1868)&gt;1,(SUMIFS(P:P,A:A,A1868)-S1868)/S1868,(S1868-SUMIFS(P:P,A:A,A1868))/SUMIFS(P:P,A:A,A1868)),"."),".")</f>
        <v>.</v>
      </c>
      <c r="BB1868" s="1208"/>
      <c r="BC1868" s="1208"/>
      <c r="BD1868" s="1208"/>
      <c r="BE1868" s="1208"/>
      <c r="BF1868" s="1208"/>
      <c r="BG1868" s="1208"/>
      <c r="BH1868" s="1208"/>
      <c r="BI1868" s="1208"/>
      <c r="BJ1868" s="1208"/>
      <c r="BK1868" s="1208"/>
      <c r="BL1868" s="1208"/>
      <c r="BM1868" s="1208"/>
      <c r="BN1868" s="1208"/>
      <c r="BO1868" s="1208"/>
      <c r="BP1868" s="1208"/>
      <c r="BQ1868" s="1208"/>
      <c r="BR1868" s="1208"/>
      <c r="BS1868" s="1208"/>
    </row>
    <row r="1869" spans="1:71" ht="15.95" customHeight="1">
      <c r="A1869" s="1208" t="s">
        <v>4310</v>
      </c>
      <c r="B1869" s="1208" t="s">
        <v>3949</v>
      </c>
      <c r="C1869" s="1209">
        <v>45049</v>
      </c>
      <c r="D1869" s="1208" t="s">
        <v>389</v>
      </c>
      <c r="E1869" s="1208" t="s">
        <v>390</v>
      </c>
      <c r="F1869" s="1208" t="s">
        <v>4348</v>
      </c>
      <c r="G1869" s="1184" t="s">
        <v>456</v>
      </c>
      <c r="H1869" s="1210">
        <v>300000000</v>
      </c>
      <c r="I1869" s="1208" t="s">
        <v>4172</v>
      </c>
      <c r="J1869" s="1186" t="str">
        <f>VLOOKUP($I1869,'Price List, Weapons &amp; Items'!B:C,2,0)</f>
        <v>Military equipment</v>
      </c>
      <c r="K1869" s="1186" t="str">
        <f>IF(I1869=".",I1869,VLOOKUP($I1869,'Price List, Weapons &amp; Items'!B:D,3,0))</f>
        <v>Military equipment</v>
      </c>
      <c r="L1869" s="1187">
        <f>VLOOKUP(I1869,'Price List, Weapons &amp; Items'!B:E,4,0)</f>
        <v>0</v>
      </c>
      <c r="M1869" s="1188" t="s">
        <v>374</v>
      </c>
      <c r="N1869" s="1188" t="s">
        <v>374</v>
      </c>
      <c r="O1869" s="1188">
        <f>VLOOKUP($I1869,'Price List, Weapons &amp; Items'!B:G,6,0)</f>
        <v>90</v>
      </c>
      <c r="P1869" s="1185" t="str">
        <f t="shared" si="400"/>
        <v>.</v>
      </c>
      <c r="Q1869" s="1185" t="str">
        <f t="shared" si="401"/>
        <v>.</v>
      </c>
      <c r="R1869" s="1185" t="str">
        <f t="shared" si="397"/>
        <v/>
      </c>
      <c r="S1869" s="1185" t="str">
        <f>IF(AND(AD1869=1,R1869&lt;&gt;".")=TRUE,R1869/VLOOKUP(G1869,'Exchange Rates'!B:C,2,0),IF(R1869=".",".",""))</f>
        <v/>
      </c>
      <c r="T1869" s="1185" t="str">
        <f>IF(AD1869=1,IF(AF1869="Value is not given at all",".",IF(AF1869="Value is given by the source",S1869,IF(AF1869="Value is calculated with prices",(IF(SUMIFS(Q:Q,A:A,A1869)&gt;0,SUMIFS(Q:Q,A:A,A1869),"."))/VLOOKUP("USD",'Exchange Rates'!B:C,2,0),"Error with coding"))),"")</f>
        <v/>
      </c>
      <c r="U1869" s="1191" t="s">
        <v>365</v>
      </c>
      <c r="V1869" s="966" t="s">
        <v>4349</v>
      </c>
      <c r="W1869" s="966" t="s">
        <v>4339</v>
      </c>
      <c r="X1869" s="1208" t="s">
        <v>364</v>
      </c>
      <c r="Y1869" s="1208" t="s">
        <v>364</v>
      </c>
      <c r="Z1869" s="1191">
        <v>0</v>
      </c>
      <c r="AA1869" s="1191">
        <v>1</v>
      </c>
      <c r="AB1869" s="1208" t="s">
        <v>364</v>
      </c>
      <c r="AC1869" s="1192" t="str">
        <f>""</f>
        <v/>
      </c>
      <c r="AD1869" s="1193">
        <v>0</v>
      </c>
      <c r="AE1869" s="1191" t="s">
        <v>368</v>
      </c>
      <c r="AF1869" s="1191" t="s">
        <v>369</v>
      </c>
      <c r="AG1869" s="1193">
        <v>1</v>
      </c>
      <c r="AH1869" s="1193">
        <v>17</v>
      </c>
      <c r="AI1869" s="1193">
        <v>0</v>
      </c>
      <c r="AJ1869" s="1193">
        <f>VLOOKUP($I1869,'Price List, Weapons &amp; Items'!B:F,5,0)</f>
        <v>0</v>
      </c>
      <c r="AK1869" s="1193">
        <f t="shared" si="402"/>
        <v>0</v>
      </c>
      <c r="AL1869" s="1193">
        <f t="shared" si="403"/>
        <v>0</v>
      </c>
      <c r="AM1869" s="1193">
        <f t="shared" si="404"/>
        <v>0</v>
      </c>
      <c r="AN1869" s="1194" t="str">
        <f>VLOOKUP($I1869,'Price List, Weapons &amp; Items'!B:L,COLUMN('Price List, Weapons &amp; Items'!$J$11)-1,0)</f>
        <v>Media reports (incl. social media)</v>
      </c>
      <c r="AO1869" s="1194" t="str">
        <f>IF(I1869=".",".",VLOOKUP($I1869,'Price List, Weapons &amp; Items'!B:J,3,0))</f>
        <v>Military equipment</v>
      </c>
      <c r="AP1869" s="1195" t="str">
        <f t="shared" ca="1" si="398"/>
        <v/>
      </c>
      <c r="AQ1869" s="1194" t="str">
        <f>VLOOKUP($I1869,'Price List, Weapons &amp; Items'!B:L,COLUMN('Price List, Weapons &amp; Items'!$L$11)-1,0)</f>
        <v>no price, 0 count</v>
      </c>
      <c r="AR1869" s="1194">
        <f t="shared" si="405"/>
        <v>1</v>
      </c>
      <c r="AS1869" s="1194">
        <f t="shared" si="406"/>
        <v>1</v>
      </c>
      <c r="AT1869" s="1194">
        <f t="shared" si="407"/>
        <v>1</v>
      </c>
      <c r="AU1869" s="1194" t="str">
        <f t="shared" si="396"/>
        <v>.</v>
      </c>
      <c r="AV1869" s="1194" t="str">
        <f t="shared" si="399"/>
        <v>.</v>
      </c>
      <c r="AW1869" s="1194" t="str">
        <f t="shared" si="408"/>
        <v>.</v>
      </c>
      <c r="AX1869" s="1194">
        <f>IFERROR(VLOOKUP(B1869,'Share, Heavy Weapons to Ukraine'!B:Z,COLUMN('Share, Heavy Weapons to Ukraine'!C1879)-1,0),0)</f>
        <v>1</v>
      </c>
      <c r="AY1869" s="1194">
        <f>VLOOKUP('Bilateral Assistance, MAIN DATA'!B1869,'Country Summary (€)'!B:F,COLUMN('Country Summary (€)'!C1880)-1,FALSE)</f>
        <v>0</v>
      </c>
      <c r="AZ1869" s="1194" t="str">
        <f>IF(AND(AD1869=1,D1869="Military",H1869&lt;&gt;"Not given")=TRUE,IF(SUMIFS(P:P,A:A,A1869)&gt;0,ABS((SUMIFS(P:P,A:A,A1869)/VLOOKUP("USD",'Exchange Rates'!B:C,2,0)))/S1869,"."),".")</f>
        <v>.</v>
      </c>
      <c r="BA1869" s="1196" t="str">
        <f>IF(AND(AD1869=1,D1869="Military",H1869&lt;&gt;"Not given")=TRUE,IF(SUMIFS(P:P,A:A,A1869)&gt;0,IF((ABS((SUMIFS(P:P,A:A,A1869)/VLOOKUP("USD",'Exchange Rates'!B:C,2,0)))/S1869)&gt;1,(SUMIFS(P:P,A:A,A1869)-S1869)/S1869,(S1869-SUMIFS(P:P,A:A,A1869))/SUMIFS(P:P,A:A,A1869)),"."),".")</f>
        <v>.</v>
      </c>
      <c r="BB1869" s="1208"/>
      <c r="BC1869" s="1208"/>
      <c r="BD1869" s="1208"/>
      <c r="BE1869" s="1208"/>
      <c r="BF1869" s="1208"/>
      <c r="BG1869" s="1208"/>
      <c r="BH1869" s="1208"/>
      <c r="BI1869" s="1208"/>
      <c r="BJ1869" s="1208"/>
      <c r="BK1869" s="1208"/>
      <c r="BL1869" s="1208"/>
      <c r="BM1869" s="1208"/>
      <c r="BN1869" s="1208"/>
      <c r="BO1869" s="1208"/>
      <c r="BP1869" s="1208"/>
      <c r="BQ1869" s="1208"/>
      <c r="BR1869" s="1208"/>
      <c r="BS1869" s="1208"/>
    </row>
    <row r="1870" spans="1:71" ht="15.95" customHeight="1">
      <c r="A1870" s="1208" t="s">
        <v>4310</v>
      </c>
      <c r="B1870" s="1208" t="s">
        <v>3949</v>
      </c>
      <c r="C1870" s="1209">
        <v>45049</v>
      </c>
      <c r="D1870" s="1208" t="s">
        <v>389</v>
      </c>
      <c r="E1870" s="1208" t="s">
        <v>390</v>
      </c>
      <c r="F1870" s="1208" t="s">
        <v>4348</v>
      </c>
      <c r="G1870" s="1184" t="s">
        <v>456</v>
      </c>
      <c r="H1870" s="1210">
        <v>300000000</v>
      </c>
      <c r="I1870" s="1208" t="s">
        <v>1548</v>
      </c>
      <c r="J1870" s="1186" t="str">
        <f>VLOOKUP($I1870,'Price List, Weapons &amp; Items'!B:C,2,0)</f>
        <v>Military equipment</v>
      </c>
      <c r="K1870" s="1186" t="str">
        <f>IF(I1870=".",I1870,VLOOKUP($I1870,'Price List, Weapons &amp; Items'!B:D,3,0))</f>
        <v>non combat military vehicle</v>
      </c>
      <c r="L1870" s="1187">
        <f>VLOOKUP(I1870,'Price List, Weapons &amp; Items'!B:E,4,0)</f>
        <v>0</v>
      </c>
      <c r="M1870" s="1188" t="s">
        <v>374</v>
      </c>
      <c r="N1870" s="1188" t="s">
        <v>374</v>
      </c>
      <c r="O1870" s="1188">
        <f>VLOOKUP($I1870,'Price List, Weapons &amp; Items'!B:G,6,0)</f>
        <v>350000</v>
      </c>
      <c r="P1870" s="1185" t="str">
        <f t="shared" si="400"/>
        <v>.</v>
      </c>
      <c r="Q1870" s="1185" t="str">
        <f t="shared" si="401"/>
        <v>.</v>
      </c>
      <c r="R1870" s="1185" t="str">
        <f t="shared" si="397"/>
        <v/>
      </c>
      <c r="S1870" s="1185" t="str">
        <f>IF(AND(AD1870=1,R1870&lt;&gt;".")=TRUE,R1870/VLOOKUP(G1870,'Exchange Rates'!B:C,2,0),IF(R1870=".",".",""))</f>
        <v/>
      </c>
      <c r="T1870" s="1185" t="str">
        <f>IF(AD1870=1,IF(AF1870="Value is not given at all",".",IF(AF1870="Value is given by the source",S1870,IF(AF1870="Value is calculated with prices",(IF(SUMIFS(Q:Q,A:A,A1870)&gt;0,SUMIFS(Q:Q,A:A,A1870),"."))/VLOOKUP("USD",'Exchange Rates'!B:C,2,0),"Error with coding"))),"")</f>
        <v/>
      </c>
      <c r="U1870" s="1191" t="s">
        <v>365</v>
      </c>
      <c r="V1870" s="966" t="s">
        <v>4349</v>
      </c>
      <c r="W1870" s="966" t="s">
        <v>4339</v>
      </c>
      <c r="X1870" s="1208" t="s">
        <v>364</v>
      </c>
      <c r="Y1870" s="1208" t="s">
        <v>364</v>
      </c>
      <c r="Z1870" s="1191">
        <v>0</v>
      </c>
      <c r="AA1870" s="1191">
        <v>1</v>
      </c>
      <c r="AB1870" s="1208" t="s">
        <v>364</v>
      </c>
      <c r="AC1870" s="1192" t="str">
        <f>""</f>
        <v/>
      </c>
      <c r="AD1870" s="1193">
        <v>0</v>
      </c>
      <c r="AE1870" s="1191" t="s">
        <v>368</v>
      </c>
      <c r="AF1870" s="1191" t="s">
        <v>369</v>
      </c>
      <c r="AG1870" s="1193">
        <v>1</v>
      </c>
      <c r="AH1870" s="1193">
        <v>17</v>
      </c>
      <c r="AI1870" s="1193">
        <v>0</v>
      </c>
      <c r="AJ1870" s="1193">
        <f>VLOOKUP($I1870,'Price List, Weapons &amp; Items'!B:F,5,0)</f>
        <v>0</v>
      </c>
      <c r="AK1870" s="1193">
        <f t="shared" si="402"/>
        <v>0</v>
      </c>
      <c r="AL1870" s="1193">
        <f t="shared" si="403"/>
        <v>0</v>
      </c>
      <c r="AM1870" s="1193">
        <f t="shared" si="404"/>
        <v>0</v>
      </c>
      <c r="AN1870" s="1194" t="str">
        <f>VLOOKUP($I1870,'Price List, Weapons &amp; Items'!B:L,COLUMN('Price List, Weapons &amp; Items'!$J$11)-1,0)</f>
        <v>Media reports (incl. social media)</v>
      </c>
      <c r="AO1870" s="1194" t="str">
        <f>IF(I1870=".",".",VLOOKUP($I1870,'Price List, Weapons &amp; Items'!B:J,3,0))</f>
        <v>non combat military vehicle</v>
      </c>
      <c r="AP1870" s="1195" t="str">
        <f t="shared" ca="1" si="398"/>
        <v/>
      </c>
      <c r="AQ1870" s="1194">
        <f>VLOOKUP($I1870,'Price List, Weapons &amp; Items'!B:L,COLUMN('Price List, Weapons &amp; Items'!$L$11)-1,0)</f>
        <v>2</v>
      </c>
      <c r="AR1870" s="1194">
        <f t="shared" si="405"/>
        <v>1</v>
      </c>
      <c r="AS1870" s="1194">
        <f t="shared" si="406"/>
        <v>1</v>
      </c>
      <c r="AT1870" s="1194">
        <f t="shared" si="407"/>
        <v>1</v>
      </c>
      <c r="AU1870" s="1194" t="str">
        <f t="shared" si="396"/>
        <v>.</v>
      </c>
      <c r="AV1870" s="1194" t="str">
        <f t="shared" si="399"/>
        <v>.</v>
      </c>
      <c r="AW1870" s="1194" t="str">
        <f t="shared" si="408"/>
        <v>.</v>
      </c>
      <c r="AX1870" s="1194">
        <f>IFERROR(VLOOKUP(B1870,'Share, Heavy Weapons to Ukraine'!B:Z,COLUMN('Share, Heavy Weapons to Ukraine'!C1880)-1,0),0)</f>
        <v>1</v>
      </c>
      <c r="AY1870" s="1194">
        <f>VLOOKUP('Bilateral Assistance, MAIN DATA'!B1870,'Country Summary (€)'!B:F,COLUMN('Country Summary (€)'!C1881)-1,FALSE)</f>
        <v>0</v>
      </c>
      <c r="AZ1870" s="1194" t="str">
        <f>IF(AND(AD1870=1,D1870="Military",H1870&lt;&gt;"Not given")=TRUE,IF(SUMIFS(P:P,A:A,A1870)&gt;0,ABS((SUMIFS(P:P,A:A,A1870)/VLOOKUP("USD",'Exchange Rates'!B:C,2,0)))/S1870,"."),".")</f>
        <v>.</v>
      </c>
      <c r="BA1870" s="1196" t="str">
        <f>IF(AND(AD1870=1,D1870="Military",H1870&lt;&gt;"Not given")=TRUE,IF(SUMIFS(P:P,A:A,A1870)&gt;0,IF((ABS((SUMIFS(P:P,A:A,A1870)/VLOOKUP("USD",'Exchange Rates'!B:C,2,0)))/S1870)&gt;1,(SUMIFS(P:P,A:A,A1870)-S1870)/S1870,(S1870-SUMIFS(P:P,A:A,A1870))/SUMIFS(P:P,A:A,A1870)),"."),".")</f>
        <v>.</v>
      </c>
      <c r="BB1870" s="1208"/>
      <c r="BC1870" s="1208"/>
      <c r="BD1870" s="1208"/>
      <c r="BE1870" s="1208"/>
      <c r="BF1870" s="1208"/>
      <c r="BG1870" s="1208"/>
      <c r="BH1870" s="1208"/>
      <c r="BI1870" s="1208"/>
      <c r="BJ1870" s="1208"/>
      <c r="BK1870" s="1208"/>
      <c r="BL1870" s="1208"/>
      <c r="BM1870" s="1208"/>
      <c r="BN1870" s="1208"/>
      <c r="BO1870" s="1208"/>
      <c r="BP1870" s="1208"/>
      <c r="BQ1870" s="1208"/>
      <c r="BR1870" s="1208"/>
      <c r="BS1870" s="1208"/>
    </row>
    <row r="1871" spans="1:71" ht="15.95" customHeight="1">
      <c r="A1871" s="1208" t="s">
        <v>4310</v>
      </c>
      <c r="B1871" s="1208" t="s">
        <v>3949</v>
      </c>
      <c r="C1871" s="1209">
        <v>45049</v>
      </c>
      <c r="D1871" s="1208" t="s">
        <v>389</v>
      </c>
      <c r="E1871" s="1208" t="s">
        <v>390</v>
      </c>
      <c r="F1871" s="1208" t="s">
        <v>4348</v>
      </c>
      <c r="G1871" s="1184" t="s">
        <v>456</v>
      </c>
      <c r="H1871" s="1210">
        <v>300000000</v>
      </c>
      <c r="I1871" s="1208" t="s">
        <v>1848</v>
      </c>
      <c r="J1871" s="1186" t="str">
        <f>VLOOKUP($I1871,'Price List, Weapons &amp; Items'!B:C,2,0)</f>
        <v>Military equipment</v>
      </c>
      <c r="K1871" s="1186" t="str">
        <f>IF(I1871=".",I1871,VLOOKUP($I1871,'Price List, Weapons &amp; Items'!B:D,3,0))</f>
        <v>non combat military vehicle</v>
      </c>
      <c r="L1871" s="1187">
        <f>VLOOKUP(I1871,'Price List, Weapons &amp; Items'!B:E,4,0)</f>
        <v>0</v>
      </c>
      <c r="M1871" s="1188" t="s">
        <v>374</v>
      </c>
      <c r="N1871" s="1188" t="s">
        <v>374</v>
      </c>
      <c r="O1871" s="1188">
        <f>VLOOKUP($I1871,'Price List, Weapons &amp; Items'!B:G,6,0)</f>
        <v>50000</v>
      </c>
      <c r="P1871" s="1185" t="str">
        <f t="shared" si="400"/>
        <v>.</v>
      </c>
      <c r="Q1871" s="1185" t="str">
        <f t="shared" si="401"/>
        <v>.</v>
      </c>
      <c r="R1871" s="1185" t="str">
        <f t="shared" si="397"/>
        <v/>
      </c>
      <c r="S1871" s="1185" t="str">
        <f>IF(AND(AD1871=1,R1871&lt;&gt;".")=TRUE,R1871/VLOOKUP(G1871,'Exchange Rates'!B:C,2,0),IF(R1871=".",".",""))</f>
        <v/>
      </c>
      <c r="T1871" s="1185" t="str">
        <f>IF(AD1871=1,IF(AF1871="Value is not given at all",".",IF(AF1871="Value is given by the source",S1871,IF(AF1871="Value is calculated with prices",(IF(SUMIFS(Q:Q,A:A,A1871)&gt;0,SUMIFS(Q:Q,A:A,A1871),"."))/VLOOKUP("USD",'Exchange Rates'!B:C,2,0),"Error with coding"))),"")</f>
        <v/>
      </c>
      <c r="U1871" s="1191" t="s">
        <v>365</v>
      </c>
      <c r="V1871" s="966" t="s">
        <v>4349</v>
      </c>
      <c r="W1871" s="966" t="s">
        <v>4339</v>
      </c>
      <c r="X1871" s="1208" t="s">
        <v>364</v>
      </c>
      <c r="Y1871" s="1208" t="s">
        <v>364</v>
      </c>
      <c r="Z1871" s="1191">
        <v>0</v>
      </c>
      <c r="AA1871" s="1191">
        <v>1</v>
      </c>
      <c r="AB1871" s="1208" t="s">
        <v>364</v>
      </c>
      <c r="AC1871" s="1192" t="str">
        <f>""</f>
        <v/>
      </c>
      <c r="AD1871" s="1193">
        <v>0</v>
      </c>
      <c r="AE1871" s="1191" t="s">
        <v>368</v>
      </c>
      <c r="AF1871" s="1191" t="s">
        <v>369</v>
      </c>
      <c r="AG1871" s="1193">
        <v>1</v>
      </c>
      <c r="AH1871" s="1193">
        <v>17</v>
      </c>
      <c r="AI1871" s="1193">
        <v>0</v>
      </c>
      <c r="AJ1871" s="1193">
        <f>VLOOKUP($I1871,'Price List, Weapons &amp; Items'!B:F,5,0)</f>
        <v>0</v>
      </c>
      <c r="AK1871" s="1193">
        <f t="shared" si="402"/>
        <v>0</v>
      </c>
      <c r="AL1871" s="1193">
        <f t="shared" si="403"/>
        <v>0</v>
      </c>
      <c r="AM1871" s="1193">
        <f t="shared" si="404"/>
        <v>0</v>
      </c>
      <c r="AN1871" s="1194" t="str">
        <f>VLOOKUP($I1871,'Price List, Weapons &amp; Items'!B:L,COLUMN('Price List, Weapons &amp; Items'!$J$11)-1,0)</f>
        <v>Miscellaneous</v>
      </c>
      <c r="AO1871" s="1194" t="str">
        <f>IF(I1871=".",".",VLOOKUP($I1871,'Price List, Weapons &amp; Items'!B:J,3,0))</f>
        <v>non combat military vehicle</v>
      </c>
      <c r="AP1871" s="1195" t="str">
        <f t="shared" ca="1" si="398"/>
        <v/>
      </c>
      <c r="AQ1871" s="1194">
        <f>VLOOKUP($I1871,'Price List, Weapons &amp; Items'!B:L,COLUMN('Price List, Weapons &amp; Items'!$L$11)-1,0)</f>
        <v>2</v>
      </c>
      <c r="AR1871" s="1194">
        <f t="shared" si="405"/>
        <v>1</v>
      </c>
      <c r="AS1871" s="1194">
        <f t="shared" si="406"/>
        <v>1</v>
      </c>
      <c r="AT1871" s="1194">
        <f t="shared" si="407"/>
        <v>1</v>
      </c>
      <c r="AU1871" s="1194" t="str">
        <f t="shared" si="396"/>
        <v>.</v>
      </c>
      <c r="AV1871" s="1194" t="str">
        <f t="shared" si="399"/>
        <v>.</v>
      </c>
      <c r="AW1871" s="1194" t="str">
        <f t="shared" si="408"/>
        <v>.</v>
      </c>
      <c r="AX1871" s="1194">
        <f>IFERROR(VLOOKUP(B1871,'Share, Heavy Weapons to Ukraine'!B:Z,COLUMN('Share, Heavy Weapons to Ukraine'!C1881)-1,0),0)</f>
        <v>1</v>
      </c>
      <c r="AY1871" s="1194">
        <f>VLOOKUP('Bilateral Assistance, MAIN DATA'!B1871,'Country Summary (€)'!B:F,COLUMN('Country Summary (€)'!C1882)-1,FALSE)</f>
        <v>0</v>
      </c>
      <c r="AZ1871" s="1194" t="str">
        <f>IF(AND(AD1871=1,D1871="Military",H1871&lt;&gt;"Not given")=TRUE,IF(SUMIFS(P:P,A:A,A1871)&gt;0,ABS((SUMIFS(P:P,A:A,A1871)/VLOOKUP("USD",'Exchange Rates'!B:C,2,0)))/S1871,"."),".")</f>
        <v>.</v>
      </c>
      <c r="BA1871" s="1196" t="str">
        <f>IF(AND(AD1871=1,D1871="Military",H1871&lt;&gt;"Not given")=TRUE,IF(SUMIFS(P:P,A:A,A1871)&gt;0,IF((ABS((SUMIFS(P:P,A:A,A1871)/VLOOKUP("USD",'Exchange Rates'!B:C,2,0)))/S1871)&gt;1,(SUMIFS(P:P,A:A,A1871)-S1871)/S1871,(S1871-SUMIFS(P:P,A:A,A1871))/SUMIFS(P:P,A:A,A1871)),"."),".")</f>
        <v>.</v>
      </c>
      <c r="BB1871" s="1208"/>
      <c r="BC1871" s="1208"/>
      <c r="BD1871" s="1208"/>
      <c r="BE1871" s="1208"/>
      <c r="BF1871" s="1208"/>
      <c r="BG1871" s="1208"/>
      <c r="BH1871" s="1208"/>
      <c r="BI1871" s="1208"/>
      <c r="BJ1871" s="1208"/>
      <c r="BK1871" s="1208"/>
      <c r="BL1871" s="1208"/>
      <c r="BM1871" s="1208"/>
      <c r="BN1871" s="1208"/>
      <c r="BO1871" s="1208"/>
      <c r="BP1871" s="1208"/>
      <c r="BQ1871" s="1208"/>
      <c r="BR1871" s="1208"/>
      <c r="BS1871" s="1208"/>
    </row>
    <row r="1872" spans="1:71" ht="15.95" customHeight="1">
      <c r="A1872" s="1208" t="s">
        <v>4310</v>
      </c>
      <c r="B1872" s="1208" t="s">
        <v>3949</v>
      </c>
      <c r="C1872" s="1209">
        <v>45049</v>
      </c>
      <c r="D1872" s="1208" t="s">
        <v>389</v>
      </c>
      <c r="E1872" s="1208" t="s">
        <v>390</v>
      </c>
      <c r="F1872" s="1208" t="s">
        <v>4348</v>
      </c>
      <c r="G1872" s="1184" t="s">
        <v>456</v>
      </c>
      <c r="H1872" s="1210">
        <v>300000000</v>
      </c>
      <c r="I1872" s="1208" t="s">
        <v>2472</v>
      </c>
      <c r="J1872" s="1186" t="str">
        <f>VLOOKUP($I1872,'Price List, Weapons &amp; Items'!B:C,2,0)</f>
        <v>Military equipment</v>
      </c>
      <c r="K1872" s="1186" t="str">
        <f>IF(I1872=".",I1872,VLOOKUP($I1872,'Price List, Weapons &amp; Items'!B:D,3,0))</f>
        <v>spare parts</v>
      </c>
      <c r="L1872" s="1187">
        <f>VLOOKUP(I1872,'Price List, Weapons &amp; Items'!B:E,4,0)</f>
        <v>0</v>
      </c>
      <c r="M1872" s="1188" t="s">
        <v>374</v>
      </c>
      <c r="N1872" s="1188" t="s">
        <v>374</v>
      </c>
      <c r="O1872" s="1188" t="str">
        <f>VLOOKUP($I1872,'Price List, Weapons &amp; Items'!B:G,6,0)</f>
        <v>.</v>
      </c>
      <c r="P1872" s="1185" t="str">
        <f t="shared" si="400"/>
        <v>.</v>
      </c>
      <c r="Q1872" s="1185" t="str">
        <f t="shared" si="401"/>
        <v>.</v>
      </c>
      <c r="R1872" s="1185" t="str">
        <f t="shared" si="397"/>
        <v/>
      </c>
      <c r="S1872" s="1185" t="str">
        <f>IF(AND(AD1872=1,R1872&lt;&gt;".")=TRUE,R1872/VLOOKUP(G1872,'Exchange Rates'!B:C,2,0),IF(R1872=".",".",""))</f>
        <v/>
      </c>
      <c r="T1872" s="1185" t="str">
        <f>IF(AD1872=1,IF(AF1872="Value is not given at all",".",IF(AF1872="Value is given by the source",S1872,IF(AF1872="Value is calculated with prices",(IF(SUMIFS(Q:Q,A:A,A1872)&gt;0,SUMIFS(Q:Q,A:A,A1872),"."))/VLOOKUP("USD",'Exchange Rates'!B:C,2,0),"Error with coding"))),"")</f>
        <v/>
      </c>
      <c r="U1872" s="1191" t="s">
        <v>365</v>
      </c>
      <c r="V1872" s="1335" t="s">
        <v>4349</v>
      </c>
      <c r="W1872" s="1335" t="s">
        <v>4339</v>
      </c>
      <c r="X1872" s="1208" t="s">
        <v>364</v>
      </c>
      <c r="Y1872" s="1208" t="s">
        <v>364</v>
      </c>
      <c r="Z1872" s="1191">
        <v>0</v>
      </c>
      <c r="AA1872" s="1191">
        <v>1</v>
      </c>
      <c r="AB1872" s="1208" t="s">
        <v>364</v>
      </c>
      <c r="AC1872" s="1192" t="str">
        <f>""</f>
        <v/>
      </c>
      <c r="AD1872" s="1193">
        <v>0</v>
      </c>
      <c r="AE1872" s="1191" t="s">
        <v>368</v>
      </c>
      <c r="AF1872" s="1191" t="s">
        <v>369</v>
      </c>
      <c r="AG1872" s="1193">
        <v>1</v>
      </c>
      <c r="AH1872" s="1193">
        <v>17</v>
      </c>
      <c r="AI1872" s="1193">
        <v>0</v>
      </c>
      <c r="AJ1872" s="1193">
        <f>VLOOKUP($I1872,'Price List, Weapons &amp; Items'!B:F,5,0)</f>
        <v>0</v>
      </c>
      <c r="AK1872" s="1193">
        <f t="shared" si="402"/>
        <v>0</v>
      </c>
      <c r="AL1872" s="1193">
        <f t="shared" si="403"/>
        <v>0</v>
      </c>
      <c r="AM1872" s="1193">
        <f t="shared" si="404"/>
        <v>0</v>
      </c>
      <c r="AN1872" s="1194" t="str">
        <f>VLOOKUP($I1872,'Price List, Weapons &amp; Items'!B:L,COLUMN('Price List, Weapons &amp; Items'!$J$11)-1,0)</f>
        <v>.</v>
      </c>
      <c r="AO1872" s="1194" t="str">
        <f>IF(I1872=".",".",VLOOKUP($I1872,'Price List, Weapons &amp; Items'!B:J,3,0))</f>
        <v>spare parts</v>
      </c>
      <c r="AP1872" s="1195" t="str">
        <f t="shared" ca="1" si="398"/>
        <v/>
      </c>
      <c r="AQ1872" s="1194" t="str">
        <f>VLOOKUP($I1872,'Price List, Weapons &amp; Items'!B:L,COLUMN('Price List, Weapons &amp; Items'!$L$11)-1,0)</f>
        <v>no price, 0 count</v>
      </c>
      <c r="AR1872" s="1194">
        <f t="shared" si="405"/>
        <v>1</v>
      </c>
      <c r="AS1872" s="1194">
        <f t="shared" si="406"/>
        <v>1</v>
      </c>
      <c r="AT1872" s="1194">
        <f t="shared" si="407"/>
        <v>1</v>
      </c>
      <c r="AU1872" s="1194" t="str">
        <f t="shared" si="396"/>
        <v>.</v>
      </c>
      <c r="AV1872" s="1194" t="str">
        <f t="shared" si="399"/>
        <v>.</v>
      </c>
      <c r="AW1872" s="1194" t="str">
        <f t="shared" si="408"/>
        <v>.</v>
      </c>
      <c r="AX1872" s="1194">
        <f>IFERROR(VLOOKUP(B1872,'Share, Heavy Weapons to Ukraine'!B:Z,COLUMN('Share, Heavy Weapons to Ukraine'!C1882)-1,0),0)</f>
        <v>1</v>
      </c>
      <c r="AY1872" s="1194">
        <f>VLOOKUP('Bilateral Assistance, MAIN DATA'!B1872,'Country Summary (€)'!B:F,COLUMN('Country Summary (€)'!C1883)-1,FALSE)</f>
        <v>0</v>
      </c>
      <c r="AZ1872" s="1194" t="str">
        <f>IF(AND(AD1872=1,D1872="Military",H1872&lt;&gt;"Not given")=TRUE,IF(SUMIFS(P:P,A:A,A1872)&gt;0,ABS((SUMIFS(P:P,A:A,A1872)/VLOOKUP("USD",'Exchange Rates'!B:C,2,0)))/S1872,"."),".")</f>
        <v>.</v>
      </c>
      <c r="BA1872" s="1196" t="str">
        <f>IF(AND(AD1872=1,D1872="Military",H1872&lt;&gt;"Not given")=TRUE,IF(SUMIFS(P:P,A:A,A1872)&gt;0,IF((ABS((SUMIFS(P:P,A:A,A1872)/VLOOKUP("USD",'Exchange Rates'!B:C,2,0)))/S1872)&gt;1,(SUMIFS(P:P,A:A,A1872)-S1872)/S1872,(S1872-SUMIFS(P:P,A:A,A1872))/SUMIFS(P:P,A:A,A1872)),"."),".")</f>
        <v>.</v>
      </c>
      <c r="BB1872" s="1208"/>
      <c r="BC1872" s="1208"/>
      <c r="BD1872" s="1208"/>
      <c r="BE1872" s="1208"/>
      <c r="BF1872" s="1208"/>
      <c r="BG1872" s="1208"/>
      <c r="BH1872" s="1208"/>
      <c r="BI1872" s="1208"/>
      <c r="BJ1872" s="1208"/>
      <c r="BK1872" s="1208"/>
      <c r="BL1872" s="1208"/>
      <c r="BM1872" s="1208"/>
      <c r="BN1872" s="1208"/>
      <c r="BO1872" s="1208"/>
      <c r="BP1872" s="1208"/>
      <c r="BQ1872" s="1208"/>
      <c r="BR1872" s="1208"/>
      <c r="BS1872" s="1208"/>
    </row>
    <row r="1873" spans="1:71" ht="15.95" customHeight="1">
      <c r="A1873" s="1208" t="s">
        <v>4310</v>
      </c>
      <c r="B1873" s="1208" t="s">
        <v>3949</v>
      </c>
      <c r="C1873" s="1209">
        <v>45067</v>
      </c>
      <c r="D1873" s="1208" t="s">
        <v>389</v>
      </c>
      <c r="E1873" s="1208" t="s">
        <v>390</v>
      </c>
      <c r="F1873" s="1208" t="s">
        <v>4352</v>
      </c>
      <c r="G1873" s="1184" t="s">
        <v>456</v>
      </c>
      <c r="H1873" s="1210">
        <v>375000000</v>
      </c>
      <c r="I1873" s="1208" t="s">
        <v>4093</v>
      </c>
      <c r="J1873" s="1186" t="str">
        <f>VLOOKUP($I1873,'Price List, Weapons &amp; Items'!B:C,2,0)</f>
        <v>Ammunition for heavy weapon</v>
      </c>
      <c r="K1873" s="1186" t="str">
        <f>IF(I1873=".",I1873,VLOOKUP($I1873,'Price List, Weapons &amp; Items'!B:D,3,0))</f>
        <v>227mm MLRS ammunition</v>
      </c>
      <c r="L1873" s="1187">
        <f>VLOOKUP(I1873,'Price List, Weapons &amp; Items'!B:E,4,0)</f>
        <v>0</v>
      </c>
      <c r="M1873" s="1188" t="s">
        <v>374</v>
      </c>
      <c r="N1873" s="1188" t="s">
        <v>374</v>
      </c>
      <c r="O1873" s="1188">
        <f>VLOOKUP($I1873,'Price List, Weapons &amp; Items'!B:G,6,0)</f>
        <v>150000</v>
      </c>
      <c r="P1873" s="1185" t="str">
        <f t="shared" si="400"/>
        <v>.</v>
      </c>
      <c r="Q1873" s="1185" t="str">
        <f t="shared" si="401"/>
        <v>.</v>
      </c>
      <c r="R1873" s="1185" t="str">
        <f t="shared" si="397"/>
        <v/>
      </c>
      <c r="S1873" s="1185" t="str">
        <f>IF(AND(AD1873=1,R1873&lt;&gt;".")=TRUE,R1873/VLOOKUP(G1873,'Exchange Rates'!B:C,2,0),IF(R1873=".",".",""))</f>
        <v/>
      </c>
      <c r="T1873" s="1185" t="str">
        <f>IF(AD1873=1,IF(AF1873="Value is not given at all",".",IF(AF1873="Value is given by the source",S1873,IF(AF1873="Value is calculated with prices",(IF(SUMIFS(Q:Q,A:A,A1873)&gt;0,SUMIFS(Q:Q,A:A,A1873),"."))/VLOOKUP("USD",'Exchange Rates'!B:C,2,0),"Error with coding"))),"")</f>
        <v/>
      </c>
      <c r="U1873" s="1191" t="s">
        <v>365</v>
      </c>
      <c r="V1873" s="983" t="s">
        <v>4353</v>
      </c>
      <c r="W1873" s="966" t="s">
        <v>4339</v>
      </c>
      <c r="X1873" s="1208" t="s">
        <v>364</v>
      </c>
      <c r="Y1873" s="1208" t="s">
        <v>364</v>
      </c>
      <c r="Z1873" s="1191">
        <v>0</v>
      </c>
      <c r="AA1873" s="1191">
        <v>1</v>
      </c>
      <c r="AB1873" s="1208" t="s">
        <v>364</v>
      </c>
      <c r="AC1873" s="1192" t="str">
        <f>""</f>
        <v/>
      </c>
      <c r="AD1873" s="1193">
        <v>0</v>
      </c>
      <c r="AE1873" s="1191" t="s">
        <v>368</v>
      </c>
      <c r="AF1873" s="1191" t="s">
        <v>369</v>
      </c>
      <c r="AG1873" s="1193">
        <v>1</v>
      </c>
      <c r="AH1873" s="1193">
        <v>17</v>
      </c>
      <c r="AI1873" s="1193">
        <v>0</v>
      </c>
      <c r="AJ1873" s="1193">
        <f>VLOOKUP($I1873,'Price List, Weapons &amp; Items'!B:F,5,0)</f>
        <v>1</v>
      </c>
      <c r="AK1873" s="1193">
        <f t="shared" si="402"/>
        <v>1</v>
      </c>
      <c r="AL1873" s="1193">
        <f t="shared" si="403"/>
        <v>1</v>
      </c>
      <c r="AM1873" s="1193">
        <f t="shared" si="404"/>
        <v>1</v>
      </c>
      <c r="AN1873" s="1194" t="str">
        <f>VLOOKUP($I1873,'Price List, Weapons &amp; Items'!B:L,COLUMN('Price List, Weapons &amp; Items'!$J$11)-1,0)</f>
        <v>Media reports (incl. social media)</v>
      </c>
      <c r="AO1873" s="1194" t="str">
        <f>IF(I1873=".",".",VLOOKUP($I1873,'Price List, Weapons &amp; Items'!B:J,3,0))</f>
        <v>227mm MLRS ammunition</v>
      </c>
      <c r="AP1873" s="1195" t="str">
        <f t="shared" ca="1" si="398"/>
        <v/>
      </c>
      <c r="AQ1873" s="1194" t="str">
        <f>VLOOKUP($I1873,'Price List, Weapons &amp; Items'!B:L,COLUMN('Price List, Weapons &amp; Items'!$L$11)-1,0)</f>
        <v>no price, 0 count</v>
      </c>
      <c r="AR1873" s="1194">
        <f t="shared" si="405"/>
        <v>1</v>
      </c>
      <c r="AS1873" s="1194">
        <f t="shared" si="406"/>
        <v>1</v>
      </c>
      <c r="AT1873" s="1194">
        <f t="shared" si="407"/>
        <v>1</v>
      </c>
      <c r="AU1873" s="1194" t="str">
        <f>IF(AND(A1873=A1871,C1873=C1871)=TRUE,IF(F1873=F1871,".","1"),".")</f>
        <v>.</v>
      </c>
      <c r="AV1873" s="1194" t="str">
        <f t="shared" si="399"/>
        <v>.</v>
      </c>
      <c r="AW1873" s="1194" t="str">
        <f t="shared" si="408"/>
        <v>.</v>
      </c>
      <c r="AX1873" s="1194">
        <f>IFERROR(VLOOKUP(B1873,'Share, Heavy Weapons to Ukraine'!B:Z,COLUMN('Share, Heavy Weapons to Ukraine'!C1882)-1,0),0)</f>
        <v>1</v>
      </c>
      <c r="AY1873" s="1194">
        <f>VLOOKUP('Bilateral Assistance, MAIN DATA'!B1873,'Country Summary (€)'!B:F,COLUMN('Country Summary (€)'!C1883)-1,FALSE)</f>
        <v>0</v>
      </c>
      <c r="AZ1873" s="1194" t="str">
        <f>IF(AND(AD1873=1,D1873="Military",H1873&lt;&gt;"Not given")=TRUE,IF(SUMIFS(P:P,A:A,A1873)&gt;0,ABS((SUMIFS(P:P,A:A,A1873)/VLOOKUP("USD",'Exchange Rates'!B:C,2,0)))/S1873,"."),".")</f>
        <v>.</v>
      </c>
      <c r="BA1873" s="1196" t="str">
        <f>IF(AND(AD1873=1,D1873="Military",H1873&lt;&gt;"Not given")=TRUE,IF(SUMIFS(P:P,A:A,A1873)&gt;0,IF((ABS((SUMIFS(P:P,A:A,A1873)/VLOOKUP("USD",'Exchange Rates'!B:C,2,0)))/S1873)&gt;1,(SUMIFS(P:P,A:A,A1873)-S1873)/S1873,(S1873-SUMIFS(P:P,A:A,A1873))/SUMIFS(P:P,A:A,A1873)),"."),".")</f>
        <v>.</v>
      </c>
      <c r="BB1873" s="1208"/>
      <c r="BC1873" s="1208"/>
      <c r="BD1873" s="1208"/>
      <c r="BE1873" s="1208"/>
      <c r="BF1873" s="1208"/>
      <c r="BG1873" s="1208"/>
      <c r="BH1873" s="1208"/>
      <c r="BI1873" s="1208"/>
      <c r="BJ1873" s="1208"/>
      <c r="BK1873" s="1208"/>
      <c r="BL1873" s="1208"/>
      <c r="BM1873" s="1208"/>
      <c r="BN1873" s="1208"/>
      <c r="BO1873" s="1208"/>
      <c r="BP1873" s="1208"/>
      <c r="BQ1873" s="1208"/>
      <c r="BR1873" s="1208"/>
      <c r="BS1873" s="1208"/>
    </row>
    <row r="1874" spans="1:71" ht="15.95" customHeight="1">
      <c r="A1874" s="1208" t="s">
        <v>4310</v>
      </c>
      <c r="B1874" s="1208" t="s">
        <v>3949</v>
      </c>
      <c r="C1874" s="1209">
        <v>45067</v>
      </c>
      <c r="D1874" s="1208" t="s">
        <v>389</v>
      </c>
      <c r="E1874" s="1208" t="s">
        <v>390</v>
      </c>
      <c r="F1874" s="1208" t="s">
        <v>4352</v>
      </c>
      <c r="G1874" s="1184" t="s">
        <v>456</v>
      </c>
      <c r="H1874" s="1210">
        <v>375000000</v>
      </c>
      <c r="I1874" s="1208" t="s">
        <v>856</v>
      </c>
      <c r="J1874" s="1186" t="str">
        <f>VLOOKUP($I1874,'Price List, Weapons &amp; Items'!B:C,2,0)</f>
        <v>Ammunition for heavy weapon</v>
      </c>
      <c r="K1874" s="1186" t="str">
        <f>IF(I1874=".",I1874,VLOOKUP($I1874,'Price List, Weapons &amp; Items'!B:D,3,0))</f>
        <v>155mm howitzer ammunition</v>
      </c>
      <c r="L1874" s="1187">
        <f>VLOOKUP(I1874,'Price List, Weapons &amp; Items'!B:E,4,0)</f>
        <v>0</v>
      </c>
      <c r="M1874" s="1188" t="s">
        <v>374</v>
      </c>
      <c r="N1874" s="1188" t="s">
        <v>374</v>
      </c>
      <c r="O1874" s="1188">
        <f>VLOOKUP($I1874,'Price List, Weapons &amp; Items'!B:G,6,0)</f>
        <v>3800</v>
      </c>
      <c r="P1874" s="1185" t="str">
        <f t="shared" si="400"/>
        <v>.</v>
      </c>
      <c r="Q1874" s="1185" t="str">
        <f t="shared" si="401"/>
        <v>.</v>
      </c>
      <c r="R1874" s="1185" t="str">
        <f t="shared" si="397"/>
        <v/>
      </c>
      <c r="S1874" s="1185" t="str">
        <f>IF(AND(AD1874=1,R1874&lt;&gt;".")=TRUE,R1874/VLOOKUP(G1874,'Exchange Rates'!B:C,2,0),IF(R1874=".",".",""))</f>
        <v/>
      </c>
      <c r="T1874" s="1185" t="str">
        <f>IF(AD1874=1,IF(AF1874="Value is not given at all",".",IF(AF1874="Value is given by the source",S1874,IF(AF1874="Value is calculated with prices",(IF(SUMIFS(Q:Q,A:A,A1874)&gt;0,SUMIFS(Q:Q,A:A,A1874),"."))/VLOOKUP("USD",'Exchange Rates'!B:C,2,0),"Error with coding"))),"")</f>
        <v/>
      </c>
      <c r="U1874" s="1191" t="s">
        <v>365</v>
      </c>
      <c r="V1874" s="983" t="s">
        <v>4353</v>
      </c>
      <c r="W1874" s="966" t="s">
        <v>4339</v>
      </c>
      <c r="X1874" s="1208" t="s">
        <v>364</v>
      </c>
      <c r="Y1874" s="1208" t="s">
        <v>364</v>
      </c>
      <c r="Z1874" s="1191">
        <v>0</v>
      </c>
      <c r="AA1874" s="1191">
        <v>1</v>
      </c>
      <c r="AB1874" s="1208" t="s">
        <v>364</v>
      </c>
      <c r="AC1874" s="1192" t="str">
        <f>""</f>
        <v/>
      </c>
      <c r="AD1874" s="1193">
        <v>0</v>
      </c>
      <c r="AE1874" s="1191" t="s">
        <v>368</v>
      </c>
      <c r="AF1874" s="1191" t="s">
        <v>369</v>
      </c>
      <c r="AG1874" s="1193">
        <v>1</v>
      </c>
      <c r="AH1874" s="1193">
        <v>17</v>
      </c>
      <c r="AI1874" s="1193">
        <v>0</v>
      </c>
      <c r="AJ1874" s="1193">
        <f>VLOOKUP($I1874,'Price List, Weapons &amp; Items'!B:F,5,0)</f>
        <v>1</v>
      </c>
      <c r="AK1874" s="1193">
        <f t="shared" si="402"/>
        <v>1</v>
      </c>
      <c r="AL1874" s="1193">
        <f t="shared" si="403"/>
        <v>1</v>
      </c>
      <c r="AM1874" s="1193">
        <f t="shared" si="404"/>
        <v>0</v>
      </c>
      <c r="AN1874" s="1194" t="str">
        <f>VLOOKUP($I1874,'Price List, Weapons &amp; Items'!B:L,COLUMN('Price List, Weapons &amp; Items'!$J$11)-1,0)</f>
        <v>Government information</v>
      </c>
      <c r="AO1874" s="1194" t="str">
        <f>IF(I1874=".",".",VLOOKUP($I1874,'Price List, Weapons &amp; Items'!B:J,3,0))</f>
        <v>155mm howitzer ammunition</v>
      </c>
      <c r="AP1874" s="1195" t="str">
        <f t="shared" ca="1" si="398"/>
        <v/>
      </c>
      <c r="AQ1874" s="1194">
        <f>VLOOKUP($I1874,'Price List, Weapons &amp; Items'!B:L,COLUMN('Price List, Weapons &amp; Items'!$L$11)-1,0)</f>
        <v>2</v>
      </c>
      <c r="AR1874" s="1194">
        <f t="shared" si="405"/>
        <v>1</v>
      </c>
      <c r="AS1874" s="1194">
        <f t="shared" si="406"/>
        <v>1</v>
      </c>
      <c r="AT1874" s="1194">
        <f t="shared" si="407"/>
        <v>1</v>
      </c>
      <c r="AU1874" s="1194" t="str">
        <f t="shared" ref="AU1874:AU1885" si="409">IF(AND(A1874=A1873,C1874=C1873)=TRUE,IF(F1874=F1873,".","1"),".")</f>
        <v>.</v>
      </c>
      <c r="AV1874" s="1194" t="str">
        <f t="shared" si="399"/>
        <v>.</v>
      </c>
      <c r="AW1874" s="1194" t="str">
        <f t="shared" si="408"/>
        <v>.</v>
      </c>
      <c r="AX1874" s="1194">
        <f>IFERROR(VLOOKUP(B1874,'Share, Heavy Weapons to Ukraine'!B:Z,COLUMN('Share, Heavy Weapons to Ukraine'!C1883)-1,0),0)</f>
        <v>1</v>
      </c>
      <c r="AY1874" s="1194">
        <f>VLOOKUP('Bilateral Assistance, MAIN DATA'!B1874,'Country Summary (€)'!B:F,COLUMN('Country Summary (€)'!C1884)-1,FALSE)</f>
        <v>0</v>
      </c>
      <c r="AZ1874" s="1194" t="str">
        <f>IF(AND(AD1874=1,D1874="Military",H1874&lt;&gt;"Not given")=TRUE,IF(SUMIFS(P:P,A:A,A1874)&gt;0,ABS((SUMIFS(P:P,A:A,A1874)/VLOOKUP("USD",'Exchange Rates'!B:C,2,0)))/S1874,"."),".")</f>
        <v>.</v>
      </c>
      <c r="BA1874" s="1196" t="str">
        <f>IF(AND(AD1874=1,D1874="Military",H1874&lt;&gt;"Not given")=TRUE,IF(SUMIFS(P:P,A:A,A1874)&gt;0,IF((ABS((SUMIFS(P:P,A:A,A1874)/VLOOKUP("USD",'Exchange Rates'!B:C,2,0)))/S1874)&gt;1,(SUMIFS(P:P,A:A,A1874)-S1874)/S1874,(S1874-SUMIFS(P:P,A:A,A1874))/SUMIFS(P:P,A:A,A1874)),"."),".")</f>
        <v>.</v>
      </c>
      <c r="BB1874" s="1208"/>
      <c r="BC1874" s="1208"/>
      <c r="BD1874" s="1208"/>
      <c r="BE1874" s="1208"/>
      <c r="BF1874" s="1208"/>
      <c r="BG1874" s="1208"/>
      <c r="BH1874" s="1208"/>
      <c r="BI1874" s="1208"/>
      <c r="BJ1874" s="1208"/>
      <c r="BK1874" s="1208"/>
      <c r="BL1874" s="1208"/>
      <c r="BM1874" s="1208"/>
      <c r="BN1874" s="1208"/>
      <c r="BO1874" s="1208"/>
      <c r="BP1874" s="1208"/>
      <c r="BQ1874" s="1208"/>
      <c r="BR1874" s="1208"/>
      <c r="BS1874" s="1208"/>
    </row>
    <row r="1875" spans="1:71" ht="15.95" customHeight="1">
      <c r="A1875" s="1208" t="s">
        <v>4310</v>
      </c>
      <c r="B1875" s="1208" t="s">
        <v>3949</v>
      </c>
      <c r="C1875" s="1209">
        <v>45067</v>
      </c>
      <c r="D1875" s="1208" t="s">
        <v>389</v>
      </c>
      <c r="E1875" s="1208" t="s">
        <v>390</v>
      </c>
      <c r="F1875" s="1208" t="s">
        <v>4352</v>
      </c>
      <c r="G1875" s="1184" t="s">
        <v>456</v>
      </c>
      <c r="H1875" s="1210">
        <v>375000000</v>
      </c>
      <c r="I1875" s="1208" t="s">
        <v>645</v>
      </c>
      <c r="J1875" s="1186" t="str">
        <f>VLOOKUP($I1875,'Price List, Weapons &amp; Items'!B:C,2,0)</f>
        <v>Ammunition for heavy weapon</v>
      </c>
      <c r="K1875" s="1186" t="str">
        <f>IF(I1875=".",I1875,VLOOKUP($I1875,'Price List, Weapons &amp; Items'!B:D,3,0))</f>
        <v>105mm</v>
      </c>
      <c r="L1875" s="1187">
        <f>VLOOKUP(I1875,'Price List, Weapons &amp; Items'!B:E,4,0)</f>
        <v>0</v>
      </c>
      <c r="M1875" s="1188" t="s">
        <v>374</v>
      </c>
      <c r="N1875" s="1188" t="s">
        <v>374</v>
      </c>
      <c r="O1875" s="1188">
        <f>VLOOKUP($I1875,'Price List, Weapons &amp; Items'!B:G,6,0)</f>
        <v>400</v>
      </c>
      <c r="P1875" s="1185" t="str">
        <f t="shared" si="400"/>
        <v>.</v>
      </c>
      <c r="Q1875" s="1185" t="str">
        <f t="shared" si="401"/>
        <v>.</v>
      </c>
      <c r="R1875" s="1185" t="str">
        <f t="shared" si="397"/>
        <v/>
      </c>
      <c r="S1875" s="1185" t="str">
        <f>IF(AND(AD1875=1,R1875&lt;&gt;".")=TRUE,R1875/VLOOKUP(G1875,'Exchange Rates'!B:C,2,0),IF(R1875=".",".",""))</f>
        <v/>
      </c>
      <c r="T1875" s="1185" t="str">
        <f>IF(AD1875=1,IF(AF1875="Value is not given at all",".",IF(AF1875="Value is given by the source",S1875,IF(AF1875="Value is calculated with prices",(IF(SUMIFS(Q:Q,A:A,A1875)&gt;0,SUMIFS(Q:Q,A:A,A1875),"."))/VLOOKUP("USD",'Exchange Rates'!B:C,2,0),"Error with coding"))),"")</f>
        <v/>
      </c>
      <c r="U1875" s="1191" t="s">
        <v>365</v>
      </c>
      <c r="V1875" s="983" t="s">
        <v>4353</v>
      </c>
      <c r="W1875" s="966" t="s">
        <v>4339</v>
      </c>
      <c r="X1875" s="1208" t="s">
        <v>364</v>
      </c>
      <c r="Y1875" s="1208" t="s">
        <v>364</v>
      </c>
      <c r="Z1875" s="1191">
        <v>0</v>
      </c>
      <c r="AA1875" s="1191">
        <v>1</v>
      </c>
      <c r="AB1875" s="1208" t="s">
        <v>364</v>
      </c>
      <c r="AC1875" s="1192" t="str">
        <f>""</f>
        <v/>
      </c>
      <c r="AD1875" s="1193">
        <v>0</v>
      </c>
      <c r="AE1875" s="1191" t="s">
        <v>368</v>
      </c>
      <c r="AF1875" s="1191" t="s">
        <v>369</v>
      </c>
      <c r="AG1875" s="1193">
        <v>1</v>
      </c>
      <c r="AH1875" s="1193">
        <v>17</v>
      </c>
      <c r="AI1875" s="1193">
        <v>0</v>
      </c>
      <c r="AJ1875" s="1193">
        <f>VLOOKUP($I1875,'Price List, Weapons &amp; Items'!B:F,5,0)</f>
        <v>0</v>
      </c>
      <c r="AK1875" s="1193">
        <f t="shared" si="402"/>
        <v>0</v>
      </c>
      <c r="AL1875" s="1193">
        <f t="shared" si="403"/>
        <v>0</v>
      </c>
      <c r="AM1875" s="1193">
        <f t="shared" si="404"/>
        <v>0</v>
      </c>
      <c r="AN1875" s="1194" t="str">
        <f>VLOOKUP($I1875,'Price List, Weapons &amp; Items'!B:L,COLUMN('Price List, Weapons &amp; Items'!$J$11)-1,0)</f>
        <v>Military media (incl. websites)</v>
      </c>
      <c r="AO1875" s="1194" t="str">
        <f>IF(I1875=".",".",VLOOKUP($I1875,'Price List, Weapons &amp; Items'!B:J,3,0))</f>
        <v>105mm</v>
      </c>
      <c r="AP1875" s="1195" t="str">
        <f t="shared" ca="1" si="398"/>
        <v/>
      </c>
      <c r="AQ1875" s="1194">
        <f>VLOOKUP($I1875,'Price List, Weapons &amp; Items'!B:L,COLUMN('Price List, Weapons &amp; Items'!$L$11)-1,0)</f>
        <v>2</v>
      </c>
      <c r="AR1875" s="1194">
        <f t="shared" si="405"/>
        <v>1</v>
      </c>
      <c r="AS1875" s="1194">
        <f t="shared" si="406"/>
        <v>1</v>
      </c>
      <c r="AT1875" s="1194">
        <f t="shared" si="407"/>
        <v>1</v>
      </c>
      <c r="AU1875" s="1194" t="str">
        <f t="shared" si="409"/>
        <v>.</v>
      </c>
      <c r="AV1875" s="1194" t="str">
        <f t="shared" si="399"/>
        <v>.</v>
      </c>
      <c r="AW1875" s="1194" t="str">
        <f t="shared" si="408"/>
        <v>.</v>
      </c>
      <c r="AX1875" s="1194">
        <f>IFERROR(VLOOKUP(B1875,'Share, Heavy Weapons to Ukraine'!B:Z,COLUMN('Share, Heavy Weapons to Ukraine'!C1884)-1,0),0)</f>
        <v>1</v>
      </c>
      <c r="AY1875" s="1194">
        <f>VLOOKUP('Bilateral Assistance, MAIN DATA'!B1875,'Country Summary (€)'!B:F,COLUMN('Country Summary (€)'!C1885)-1,FALSE)</f>
        <v>0</v>
      </c>
      <c r="AZ1875" s="1194" t="str">
        <f>IF(AND(AD1875=1,D1875="Military",H1875&lt;&gt;"Not given")=TRUE,IF(SUMIFS(P:P,A:A,A1875)&gt;0,ABS((SUMIFS(P:P,A:A,A1875)/VLOOKUP("USD",'Exchange Rates'!B:C,2,0)))/S1875,"."),".")</f>
        <v>.</v>
      </c>
      <c r="BA1875" s="1196" t="str">
        <f>IF(AND(AD1875=1,D1875="Military",H1875&lt;&gt;"Not given")=TRUE,IF(SUMIFS(P:P,A:A,A1875)&gt;0,IF((ABS((SUMIFS(P:P,A:A,A1875)/VLOOKUP("USD",'Exchange Rates'!B:C,2,0)))/S1875)&gt;1,(SUMIFS(P:P,A:A,A1875)-S1875)/S1875,(S1875-SUMIFS(P:P,A:A,A1875))/SUMIFS(P:P,A:A,A1875)),"."),".")</f>
        <v>.</v>
      </c>
      <c r="BB1875" s="1208"/>
      <c r="BC1875" s="1208"/>
      <c r="BD1875" s="1208"/>
      <c r="BE1875" s="1208"/>
      <c r="BF1875" s="1208"/>
      <c r="BG1875" s="1208"/>
      <c r="BH1875" s="1208"/>
      <c r="BI1875" s="1208"/>
      <c r="BJ1875" s="1208"/>
      <c r="BK1875" s="1208"/>
      <c r="BL1875" s="1208"/>
      <c r="BM1875" s="1208"/>
      <c r="BN1875" s="1208"/>
      <c r="BO1875" s="1208"/>
      <c r="BP1875" s="1208"/>
      <c r="BQ1875" s="1208"/>
      <c r="BR1875" s="1208"/>
      <c r="BS1875" s="1208"/>
    </row>
    <row r="1876" spans="1:71" ht="15.95" customHeight="1">
      <c r="A1876" s="1208" t="s">
        <v>4310</v>
      </c>
      <c r="B1876" s="1208" t="s">
        <v>3949</v>
      </c>
      <c r="C1876" s="1209">
        <v>45067</v>
      </c>
      <c r="D1876" s="1208" t="s">
        <v>389</v>
      </c>
      <c r="E1876" s="1208" t="s">
        <v>390</v>
      </c>
      <c r="F1876" s="1208" t="s">
        <v>4352</v>
      </c>
      <c r="G1876" s="1184" t="s">
        <v>456</v>
      </c>
      <c r="H1876" s="1210">
        <v>375000000</v>
      </c>
      <c r="I1876" s="1208" t="s">
        <v>4164</v>
      </c>
      <c r="J1876" s="1186" t="str">
        <f>VLOOKUP($I1876,'Price List, Weapons &amp; Items'!B:C,2,0)</f>
        <v>Ammunition for portable defence system</v>
      </c>
      <c r="K1876" s="1186" t="str">
        <f>IF(I1876=".",I1876,VLOOKUP($I1876,'Price List, Weapons &amp; Items'!B:D,3,0))</f>
        <v>Light Anti-armor Weapon (LAW) ammunition</v>
      </c>
      <c r="L1876" s="1187">
        <f>VLOOKUP(I1876,'Price List, Weapons &amp; Items'!B:E,4,0)</f>
        <v>0</v>
      </c>
      <c r="M1876" s="1188" t="s">
        <v>374</v>
      </c>
      <c r="N1876" s="1188" t="s">
        <v>374</v>
      </c>
      <c r="O1876" s="1188">
        <f>VLOOKUP($I1876,'Price List, Weapons &amp; Items'!B:G,6,0)</f>
        <v>93647</v>
      </c>
      <c r="P1876" s="1185" t="str">
        <f t="shared" si="400"/>
        <v>.</v>
      </c>
      <c r="Q1876" s="1185" t="str">
        <f t="shared" si="401"/>
        <v>.</v>
      </c>
      <c r="R1876" s="1185" t="str">
        <f t="shared" si="397"/>
        <v/>
      </c>
      <c r="S1876" s="1185" t="str">
        <f>IF(AND(AD1876=1,R1876&lt;&gt;".")=TRUE,R1876/VLOOKUP(G1876,'Exchange Rates'!B:C,2,0),IF(R1876=".",".",""))</f>
        <v/>
      </c>
      <c r="T1876" s="1185" t="str">
        <f>IF(AD1876=1,IF(AF1876="Value is not given at all",".",IF(AF1876="Value is given by the source",S1876,IF(AF1876="Value is calculated with prices",(IF(SUMIFS(Q:Q,A:A,A1876)&gt;0,SUMIFS(Q:Q,A:A,A1876),"."))/VLOOKUP("USD",'Exchange Rates'!B:C,2,0),"Error with coding"))),"")</f>
        <v/>
      </c>
      <c r="U1876" s="1191" t="s">
        <v>365</v>
      </c>
      <c r="V1876" s="983" t="s">
        <v>4353</v>
      </c>
      <c r="W1876" s="966" t="s">
        <v>4339</v>
      </c>
      <c r="X1876" s="1208" t="s">
        <v>364</v>
      </c>
      <c r="Y1876" s="1208" t="s">
        <v>364</v>
      </c>
      <c r="Z1876" s="1191">
        <v>0</v>
      </c>
      <c r="AA1876" s="1191">
        <v>1</v>
      </c>
      <c r="AB1876" s="1208" t="s">
        <v>364</v>
      </c>
      <c r="AC1876" s="1192" t="str">
        <f>""</f>
        <v/>
      </c>
      <c r="AD1876" s="1193">
        <v>0</v>
      </c>
      <c r="AE1876" s="1191" t="s">
        <v>368</v>
      </c>
      <c r="AF1876" s="1191" t="s">
        <v>369</v>
      </c>
      <c r="AG1876" s="1193">
        <v>1</v>
      </c>
      <c r="AH1876" s="1193">
        <v>17</v>
      </c>
      <c r="AI1876" s="1193">
        <v>0</v>
      </c>
      <c r="AJ1876" s="1193">
        <f>VLOOKUP($I1876,'Price List, Weapons &amp; Items'!B:F,5,0)</f>
        <v>0</v>
      </c>
      <c r="AK1876" s="1193">
        <f t="shared" si="402"/>
        <v>0</v>
      </c>
      <c r="AL1876" s="1193">
        <f t="shared" si="403"/>
        <v>0</v>
      </c>
      <c r="AM1876" s="1193">
        <f t="shared" si="404"/>
        <v>0</v>
      </c>
      <c r="AN1876" s="1194" t="str">
        <f>VLOOKUP($I1876,'Price List, Weapons &amp; Items'!B:L,COLUMN('Price List, Weapons &amp; Items'!$J$11)-1,0)</f>
        <v>Military media (incl. websites)</v>
      </c>
      <c r="AO1876" s="1194" t="str">
        <f>IF(I1876=".",".",VLOOKUP($I1876,'Price List, Weapons &amp; Items'!B:J,3,0))</f>
        <v>Light Anti-armor Weapon (LAW) ammunition</v>
      </c>
      <c r="AP1876" s="1195" t="str">
        <f t="shared" ca="1" si="398"/>
        <v/>
      </c>
      <c r="AQ1876" s="1194">
        <f>VLOOKUP($I1876,'Price List, Weapons &amp; Items'!B:L,COLUMN('Price List, Weapons &amp; Items'!$L$11)-1,0)</f>
        <v>2</v>
      </c>
      <c r="AR1876" s="1194">
        <f t="shared" si="405"/>
        <v>1</v>
      </c>
      <c r="AS1876" s="1194">
        <f t="shared" si="406"/>
        <v>1</v>
      </c>
      <c r="AT1876" s="1194">
        <f t="shared" si="407"/>
        <v>1</v>
      </c>
      <c r="AU1876" s="1194" t="str">
        <f t="shared" si="409"/>
        <v>.</v>
      </c>
      <c r="AV1876" s="1194" t="str">
        <f t="shared" si="399"/>
        <v>.</v>
      </c>
      <c r="AW1876" s="1194" t="str">
        <f t="shared" si="408"/>
        <v>.</v>
      </c>
      <c r="AX1876" s="1194">
        <f>IFERROR(VLOOKUP(B1876,'Share, Heavy Weapons to Ukraine'!B:Z,COLUMN('Share, Heavy Weapons to Ukraine'!C1885)-1,0),0)</f>
        <v>1</v>
      </c>
      <c r="AY1876" s="1194">
        <f>VLOOKUP('Bilateral Assistance, MAIN DATA'!B1876,'Country Summary (€)'!B:F,COLUMN('Country Summary (€)'!C1886)-1,FALSE)</f>
        <v>0</v>
      </c>
      <c r="AZ1876" s="1194" t="str">
        <f>IF(AND(AD1876=1,D1876="Military",H1876&lt;&gt;"Not given")=TRUE,IF(SUMIFS(P:P,A:A,A1876)&gt;0,ABS((SUMIFS(P:P,A:A,A1876)/VLOOKUP("USD",'Exchange Rates'!B:C,2,0)))/S1876,"."),".")</f>
        <v>.</v>
      </c>
      <c r="BA1876" s="1196" t="str">
        <f>IF(AND(AD1876=1,D1876="Military",H1876&lt;&gt;"Not given")=TRUE,IF(SUMIFS(P:P,A:A,A1876)&gt;0,IF((ABS((SUMIFS(P:P,A:A,A1876)/VLOOKUP("USD",'Exchange Rates'!B:C,2,0)))/S1876)&gt;1,(SUMIFS(P:P,A:A,A1876)-S1876)/S1876,(S1876-SUMIFS(P:P,A:A,A1876))/SUMIFS(P:P,A:A,A1876)),"."),".")</f>
        <v>.</v>
      </c>
      <c r="BB1876" s="1208"/>
      <c r="BC1876" s="1208"/>
      <c r="BD1876" s="1208"/>
      <c r="BE1876" s="1208"/>
      <c r="BF1876" s="1208"/>
      <c r="BG1876" s="1208"/>
      <c r="BH1876" s="1208"/>
      <c r="BI1876" s="1208"/>
      <c r="BJ1876" s="1208"/>
      <c r="BK1876" s="1208"/>
      <c r="BL1876" s="1208"/>
      <c r="BM1876" s="1208"/>
      <c r="BN1876" s="1208"/>
      <c r="BO1876" s="1208"/>
      <c r="BP1876" s="1208"/>
      <c r="BQ1876" s="1208"/>
      <c r="BR1876" s="1208"/>
      <c r="BS1876" s="1208"/>
    </row>
    <row r="1877" spans="1:71" ht="15.95" customHeight="1">
      <c r="A1877" s="1208" t="s">
        <v>4310</v>
      </c>
      <c r="B1877" s="1208" t="s">
        <v>3949</v>
      </c>
      <c r="C1877" s="1209">
        <v>45067</v>
      </c>
      <c r="D1877" s="1208" t="s">
        <v>389</v>
      </c>
      <c r="E1877" s="1208" t="s">
        <v>390</v>
      </c>
      <c r="F1877" s="1208" t="s">
        <v>4352</v>
      </c>
      <c r="G1877" s="1184" t="s">
        <v>456</v>
      </c>
      <c r="H1877" s="1210">
        <v>375000000</v>
      </c>
      <c r="I1877" s="1208" t="s">
        <v>4166</v>
      </c>
      <c r="J1877" s="1186" t="str">
        <f>VLOOKUP($I1877,'Price List, Weapons &amp; Items'!B:C,2,0)</f>
        <v>Portable defence system</v>
      </c>
      <c r="K1877" s="1186" t="str">
        <f>IF(I1877=".",I1877,VLOOKUP($I1877,'Price List, Weapons &amp; Items'!B:D,3,0))</f>
        <v>Light Anti-armor Weapon (LAW)</v>
      </c>
      <c r="L1877" s="1187">
        <f>VLOOKUP(I1877,'Price List, Weapons &amp; Items'!B:E,4,0)</f>
        <v>0</v>
      </c>
      <c r="M1877" s="1188" t="s">
        <v>374</v>
      </c>
      <c r="N1877" s="1188" t="s">
        <v>374</v>
      </c>
      <c r="O1877" s="1188">
        <f>VLOOKUP($I1877,'Price List, Weapons &amp; Items'!B:G,6,0)</f>
        <v>246216</v>
      </c>
      <c r="P1877" s="1185" t="str">
        <f t="shared" si="400"/>
        <v>.</v>
      </c>
      <c r="Q1877" s="1185" t="str">
        <f t="shared" si="401"/>
        <v>.</v>
      </c>
      <c r="R1877" s="1185" t="str">
        <f t="shared" si="397"/>
        <v/>
      </c>
      <c r="S1877" s="1185" t="str">
        <f>IF(AND(AD1877=1,R1877&lt;&gt;".")=TRUE,R1877/VLOOKUP(G1877,'Exchange Rates'!B:C,2,0),IF(R1877=".",".",""))</f>
        <v/>
      </c>
      <c r="T1877" s="1185" t="str">
        <f>IF(AD1877=1,IF(AF1877="Value is not given at all",".",IF(AF1877="Value is given by the source",S1877,IF(AF1877="Value is calculated with prices",(IF(SUMIFS(Q:Q,A:A,A1877)&gt;0,SUMIFS(Q:Q,A:A,A1877),"."))/VLOOKUP("USD",'Exchange Rates'!B:C,2,0),"Error with coding"))),"")</f>
        <v/>
      </c>
      <c r="U1877" s="1191" t="s">
        <v>365</v>
      </c>
      <c r="V1877" s="983" t="s">
        <v>4353</v>
      </c>
      <c r="W1877" s="966" t="s">
        <v>4339</v>
      </c>
      <c r="X1877" s="1208" t="s">
        <v>364</v>
      </c>
      <c r="Y1877" s="1208" t="s">
        <v>364</v>
      </c>
      <c r="Z1877" s="1191">
        <v>0</v>
      </c>
      <c r="AA1877" s="1191">
        <v>1</v>
      </c>
      <c r="AB1877" s="1208" t="s">
        <v>364</v>
      </c>
      <c r="AC1877" s="1192" t="str">
        <f>""</f>
        <v/>
      </c>
      <c r="AD1877" s="1193">
        <v>0</v>
      </c>
      <c r="AE1877" s="1191" t="s">
        <v>368</v>
      </c>
      <c r="AF1877" s="1191" t="s">
        <v>369</v>
      </c>
      <c r="AG1877" s="1193">
        <v>1</v>
      </c>
      <c r="AH1877" s="1193">
        <v>17</v>
      </c>
      <c r="AI1877" s="1193">
        <v>0</v>
      </c>
      <c r="AJ1877" s="1193">
        <f>VLOOKUP($I1877,'Price List, Weapons &amp; Items'!B:F,5,0)</f>
        <v>0</v>
      </c>
      <c r="AK1877" s="1193">
        <f t="shared" si="402"/>
        <v>0</v>
      </c>
      <c r="AL1877" s="1193">
        <f t="shared" si="403"/>
        <v>0</v>
      </c>
      <c r="AM1877" s="1193">
        <f t="shared" si="404"/>
        <v>0</v>
      </c>
      <c r="AN1877" s="1194" t="str">
        <f>VLOOKUP($I1877,'Price List, Weapons &amp; Items'!B:L,COLUMN('Price List, Weapons &amp; Items'!$J$11)-1,0)</f>
        <v>Government information</v>
      </c>
      <c r="AO1877" s="1194" t="str">
        <f>IF(I1877=".",".",VLOOKUP($I1877,'Price List, Weapons &amp; Items'!B:J,3,0))</f>
        <v>Light Anti-armor Weapon (LAW)</v>
      </c>
      <c r="AP1877" s="1195" t="str">
        <f t="shared" ca="1" si="398"/>
        <v/>
      </c>
      <c r="AQ1877" s="1194">
        <f>VLOOKUP($I1877,'Price List, Weapons &amp; Items'!B:L,COLUMN('Price List, Weapons &amp; Items'!$L$11)-1,0)</f>
        <v>2</v>
      </c>
      <c r="AR1877" s="1194">
        <f t="shared" si="405"/>
        <v>1</v>
      </c>
      <c r="AS1877" s="1194">
        <f t="shared" si="406"/>
        <v>1</v>
      </c>
      <c r="AT1877" s="1194">
        <f t="shared" si="407"/>
        <v>1</v>
      </c>
      <c r="AU1877" s="1194" t="str">
        <f t="shared" si="409"/>
        <v>.</v>
      </c>
      <c r="AV1877" s="1194" t="str">
        <f t="shared" si="399"/>
        <v>.</v>
      </c>
      <c r="AW1877" s="1194" t="str">
        <f t="shared" si="408"/>
        <v>.</v>
      </c>
      <c r="AX1877" s="1194">
        <f>IFERROR(VLOOKUP(B1877,'Share, Heavy Weapons to Ukraine'!B:Z,COLUMN('Share, Heavy Weapons to Ukraine'!C1886)-1,0),0)</f>
        <v>1</v>
      </c>
      <c r="AY1877" s="1194">
        <f>VLOOKUP('Bilateral Assistance, MAIN DATA'!B1877,'Country Summary (€)'!B:F,COLUMN('Country Summary (€)'!C1887)-1,FALSE)</f>
        <v>0</v>
      </c>
      <c r="AZ1877" s="1194" t="str">
        <f>IF(AND(AD1877=1,D1877="Military",H1877&lt;&gt;"Not given")=TRUE,IF(SUMIFS(P:P,A:A,A1877)&gt;0,ABS((SUMIFS(P:P,A:A,A1877)/VLOOKUP("USD",'Exchange Rates'!B:C,2,0)))/S1877,"."),".")</f>
        <v>.</v>
      </c>
      <c r="BA1877" s="1196" t="str">
        <f>IF(AND(AD1877=1,D1877="Military",H1877&lt;&gt;"Not given")=TRUE,IF(SUMIFS(P:P,A:A,A1877)&gt;0,IF((ABS((SUMIFS(P:P,A:A,A1877)/VLOOKUP("USD",'Exchange Rates'!B:C,2,0)))/S1877)&gt;1,(SUMIFS(P:P,A:A,A1877)-S1877)/S1877,(S1877-SUMIFS(P:P,A:A,A1877))/SUMIFS(P:P,A:A,A1877)),"."),".")</f>
        <v>.</v>
      </c>
      <c r="BB1877" s="1208"/>
      <c r="BC1877" s="1208"/>
      <c r="BD1877" s="1208"/>
      <c r="BE1877" s="1208"/>
      <c r="BF1877" s="1208"/>
      <c r="BG1877" s="1208"/>
      <c r="BH1877" s="1208"/>
      <c r="BI1877" s="1208"/>
      <c r="BJ1877" s="1208"/>
      <c r="BK1877" s="1208"/>
      <c r="BL1877" s="1208"/>
      <c r="BM1877" s="1208"/>
      <c r="BN1877" s="1208"/>
      <c r="BO1877" s="1208"/>
      <c r="BP1877" s="1208"/>
      <c r="BQ1877" s="1208"/>
      <c r="BR1877" s="1208"/>
      <c r="BS1877" s="1208"/>
    </row>
    <row r="1878" spans="1:71" ht="15.95" customHeight="1">
      <c r="A1878" s="1208" t="s">
        <v>4310</v>
      </c>
      <c r="B1878" s="1208" t="s">
        <v>3949</v>
      </c>
      <c r="C1878" s="1209">
        <v>45067</v>
      </c>
      <c r="D1878" s="1208" t="s">
        <v>389</v>
      </c>
      <c r="E1878" s="1208" t="s">
        <v>390</v>
      </c>
      <c r="F1878" s="1208" t="s">
        <v>4352</v>
      </c>
      <c r="G1878" s="1184" t="s">
        <v>456</v>
      </c>
      <c r="H1878" s="1210">
        <v>375000000</v>
      </c>
      <c r="I1878" s="1208" t="s">
        <v>3584</v>
      </c>
      <c r="J1878" s="1186" t="str">
        <f>VLOOKUP($I1878,'Price List, Weapons &amp; Items'!B:C,2,0)</f>
        <v>Portable defence system</v>
      </c>
      <c r="K1878" s="1186" t="str">
        <f>IF(I1878=".",I1878,VLOOKUP($I1878,'Price List, Weapons &amp; Items'!B:D,3,0))</f>
        <v>MANPADS</v>
      </c>
      <c r="L1878" s="1187">
        <f>VLOOKUP(I1878,'Price List, Weapons &amp; Items'!B:E,4,0)</f>
        <v>0</v>
      </c>
      <c r="M1878" s="1188" t="s">
        <v>374</v>
      </c>
      <c r="N1878" s="1188" t="s">
        <v>374</v>
      </c>
      <c r="O1878" s="1188">
        <f>VLOOKUP($I1878,'Price List, Weapons &amp; Items'!B:G,6,0)</f>
        <v>1480.64</v>
      </c>
      <c r="P1878" s="1185" t="str">
        <f t="shared" si="400"/>
        <v>.</v>
      </c>
      <c r="Q1878" s="1185" t="str">
        <f t="shared" si="401"/>
        <v>.</v>
      </c>
      <c r="R1878" s="1185" t="str">
        <f t="shared" si="397"/>
        <v/>
      </c>
      <c r="S1878" s="1185" t="str">
        <f>IF(AND(AD1878=1,R1878&lt;&gt;".")=TRUE,R1878/VLOOKUP(G1878,'Exchange Rates'!B:C,2,0),IF(R1878=".",".",""))</f>
        <v/>
      </c>
      <c r="T1878" s="1185" t="str">
        <f>IF(AD1878=1,IF(AF1878="Value is not given at all",".",IF(AF1878="Value is given by the source",S1878,IF(AF1878="Value is calculated with prices",(IF(SUMIFS(Q:Q,A:A,A1878)&gt;0,SUMIFS(Q:Q,A:A,A1878),"."))/VLOOKUP("USD",'Exchange Rates'!B:C,2,0),"Error with coding"))),"")</f>
        <v/>
      </c>
      <c r="U1878" s="1191" t="s">
        <v>365</v>
      </c>
      <c r="V1878" s="983" t="s">
        <v>4353</v>
      </c>
      <c r="W1878" s="966" t="s">
        <v>4339</v>
      </c>
      <c r="X1878" s="1208" t="s">
        <v>364</v>
      </c>
      <c r="Y1878" s="1208" t="s">
        <v>364</v>
      </c>
      <c r="Z1878" s="1191">
        <v>0</v>
      </c>
      <c r="AA1878" s="1191">
        <v>1</v>
      </c>
      <c r="AB1878" s="1208" t="s">
        <v>364</v>
      </c>
      <c r="AC1878" s="1192" t="str">
        <f>""</f>
        <v/>
      </c>
      <c r="AD1878" s="1193">
        <v>0</v>
      </c>
      <c r="AE1878" s="1191" t="s">
        <v>368</v>
      </c>
      <c r="AF1878" s="1191" t="s">
        <v>369</v>
      </c>
      <c r="AG1878" s="1193">
        <v>1</v>
      </c>
      <c r="AH1878" s="1193">
        <v>17</v>
      </c>
      <c r="AI1878" s="1193">
        <v>0</v>
      </c>
      <c r="AJ1878" s="1193">
        <f>VLOOKUP($I1878,'Price List, Weapons &amp; Items'!B:F,5,0)</f>
        <v>0</v>
      </c>
      <c r="AK1878" s="1193">
        <f t="shared" si="402"/>
        <v>0</v>
      </c>
      <c r="AL1878" s="1193">
        <f t="shared" si="403"/>
        <v>0</v>
      </c>
      <c r="AM1878" s="1193">
        <f t="shared" si="404"/>
        <v>0</v>
      </c>
      <c r="AN1878" s="1194" t="str">
        <f>VLOOKUP($I1878,'Price List, Weapons &amp; Items'!B:L,COLUMN('Price List, Weapons &amp; Items'!$J$11)-1,0)</f>
        <v>Military media (incl. websites)</v>
      </c>
      <c r="AO1878" s="1194" t="str">
        <f>IF(I1878=".",".",VLOOKUP($I1878,'Price List, Weapons &amp; Items'!B:J,3,0))</f>
        <v>MANPADS</v>
      </c>
      <c r="AP1878" s="1195" t="str">
        <f t="shared" ca="1" si="398"/>
        <v/>
      </c>
      <c r="AQ1878" s="1194">
        <f>VLOOKUP($I1878,'Price List, Weapons &amp; Items'!B:L,COLUMN('Price List, Weapons &amp; Items'!$L$11)-1,0)</f>
        <v>2</v>
      </c>
      <c r="AR1878" s="1194">
        <f t="shared" si="405"/>
        <v>1</v>
      </c>
      <c r="AS1878" s="1194">
        <f t="shared" si="406"/>
        <v>1</v>
      </c>
      <c r="AT1878" s="1194">
        <f t="shared" si="407"/>
        <v>1</v>
      </c>
      <c r="AU1878" s="1194" t="str">
        <f t="shared" si="409"/>
        <v>.</v>
      </c>
      <c r="AV1878" s="1194" t="str">
        <f t="shared" si="399"/>
        <v>.</v>
      </c>
      <c r="AW1878" s="1194" t="str">
        <f t="shared" si="408"/>
        <v>.</v>
      </c>
      <c r="AX1878" s="1194">
        <f>IFERROR(VLOOKUP(B1878,'Share, Heavy Weapons to Ukraine'!B:Z,COLUMN('Share, Heavy Weapons to Ukraine'!C1887)-1,0),0)</f>
        <v>1</v>
      </c>
      <c r="AY1878" s="1194">
        <f>VLOOKUP('Bilateral Assistance, MAIN DATA'!B1878,'Country Summary (€)'!B:F,COLUMN('Country Summary (€)'!C1888)-1,FALSE)</f>
        <v>0</v>
      </c>
      <c r="AZ1878" s="1194" t="str">
        <f>IF(AND(AD1878=1,D1878="Military",H1878&lt;&gt;"Not given")=TRUE,IF(SUMIFS(P:P,A:A,A1878)&gt;0,ABS((SUMIFS(P:P,A:A,A1878)/VLOOKUP("USD",'Exchange Rates'!B:C,2,0)))/S1878,"."),".")</f>
        <v>.</v>
      </c>
      <c r="BA1878" s="1196" t="str">
        <f>IF(AND(AD1878=1,D1878="Military",H1878&lt;&gt;"Not given")=TRUE,IF(SUMIFS(P:P,A:A,A1878)&gt;0,IF((ABS((SUMIFS(P:P,A:A,A1878)/VLOOKUP("USD",'Exchange Rates'!B:C,2,0)))/S1878)&gt;1,(SUMIFS(P:P,A:A,A1878)-S1878)/S1878,(S1878-SUMIFS(P:P,A:A,A1878))/SUMIFS(P:P,A:A,A1878)),"."),".")</f>
        <v>.</v>
      </c>
      <c r="BB1878" s="1208"/>
      <c r="BC1878" s="1208"/>
      <c r="BD1878" s="1208"/>
      <c r="BE1878" s="1208"/>
      <c r="BF1878" s="1208"/>
      <c r="BG1878" s="1208"/>
      <c r="BH1878" s="1208"/>
      <c r="BI1878" s="1208"/>
      <c r="BJ1878" s="1208"/>
      <c r="BK1878" s="1208"/>
      <c r="BL1878" s="1208"/>
      <c r="BM1878" s="1208"/>
      <c r="BN1878" s="1208"/>
      <c r="BO1878" s="1208"/>
      <c r="BP1878" s="1208"/>
      <c r="BQ1878" s="1208"/>
      <c r="BR1878" s="1208"/>
      <c r="BS1878" s="1208"/>
    </row>
    <row r="1879" spans="1:71" ht="15.95" customHeight="1">
      <c r="A1879" s="1208" t="s">
        <v>4310</v>
      </c>
      <c r="B1879" s="1208" t="s">
        <v>3949</v>
      </c>
      <c r="C1879" s="1209">
        <v>45067</v>
      </c>
      <c r="D1879" s="1208" t="s">
        <v>389</v>
      </c>
      <c r="E1879" s="1208" t="s">
        <v>390</v>
      </c>
      <c r="F1879" s="1208" t="s">
        <v>4352</v>
      </c>
      <c r="G1879" s="1184" t="s">
        <v>456</v>
      </c>
      <c r="H1879" s="1210">
        <v>375000000</v>
      </c>
      <c r="I1879" s="1208" t="s">
        <v>4354</v>
      </c>
      <c r="J1879" s="1186" t="str">
        <f>VLOOKUP($I1879,'Price List, Weapons &amp; Items'!B:C,2,0)</f>
        <v>Heavy weapon</v>
      </c>
      <c r="K1879" s="1186" t="str">
        <f>IF(I1879=".",I1879,VLOOKUP($I1879,'Price List, Weapons &amp; Items'!B:D,3,0))</f>
        <v>ammunition</v>
      </c>
      <c r="L1879" s="1187">
        <f>VLOOKUP(I1879,'Price List, Weapons &amp; Items'!B:E,4,0)</f>
        <v>0</v>
      </c>
      <c r="M1879" s="1188" t="s">
        <v>374</v>
      </c>
      <c r="N1879" s="1188" t="s">
        <v>374</v>
      </c>
      <c r="O1879" s="1188">
        <f>VLOOKUP($I1879,'Price List, Weapons &amp; Items'!B:G,6,0)</f>
        <v>1664700</v>
      </c>
      <c r="P1879" s="1185" t="str">
        <f t="shared" si="400"/>
        <v>.</v>
      </c>
      <c r="Q1879" s="1185" t="str">
        <f t="shared" si="401"/>
        <v>.</v>
      </c>
      <c r="R1879" s="1185" t="str">
        <f t="shared" si="397"/>
        <v/>
      </c>
      <c r="S1879" s="1185" t="str">
        <f>IF(AND(AD1879=1,R1879&lt;&gt;".")=TRUE,R1879/VLOOKUP(G1879,'Exchange Rates'!B:C,2,0),IF(R1879=".",".",""))</f>
        <v/>
      </c>
      <c r="T1879" s="1185" t="str">
        <f>IF(AD1879=1,IF(AF1879="Value is not given at all",".",IF(AF1879="Value is given by the source",S1879,IF(AF1879="Value is calculated with prices",(IF(SUMIFS(Q:Q,A:A,A1879)&gt;0,SUMIFS(Q:Q,A:A,A1879),"."))/VLOOKUP("USD",'Exchange Rates'!B:C,2,0),"Error with coding"))),"")</f>
        <v/>
      </c>
      <c r="U1879" s="1191" t="s">
        <v>365</v>
      </c>
      <c r="V1879" s="983" t="s">
        <v>4353</v>
      </c>
      <c r="W1879" s="966" t="s">
        <v>4339</v>
      </c>
      <c r="X1879" s="1208" t="s">
        <v>364</v>
      </c>
      <c r="Y1879" s="1208" t="s">
        <v>364</v>
      </c>
      <c r="Z1879" s="1191">
        <v>0</v>
      </c>
      <c r="AA1879" s="1191">
        <v>1</v>
      </c>
      <c r="AB1879" s="1208" t="s">
        <v>364</v>
      </c>
      <c r="AC1879" s="1192" t="str">
        <f>""</f>
        <v/>
      </c>
      <c r="AD1879" s="1193">
        <v>0</v>
      </c>
      <c r="AE1879" s="1191" t="s">
        <v>368</v>
      </c>
      <c r="AF1879" s="1191" t="s">
        <v>369</v>
      </c>
      <c r="AG1879" s="1193">
        <v>1</v>
      </c>
      <c r="AH1879" s="1193">
        <v>17</v>
      </c>
      <c r="AI1879" s="1193">
        <v>0</v>
      </c>
      <c r="AJ1879" s="1193">
        <f>VLOOKUP($I1879,'Price List, Weapons &amp; Items'!B:F,5,0)</f>
        <v>0</v>
      </c>
      <c r="AK1879" s="1193">
        <f t="shared" si="402"/>
        <v>0</v>
      </c>
      <c r="AL1879" s="1193">
        <f t="shared" si="403"/>
        <v>0</v>
      </c>
      <c r="AM1879" s="1193">
        <f t="shared" si="404"/>
        <v>0</v>
      </c>
      <c r="AN1879" s="1194" t="str">
        <f>VLOOKUP($I1879,'Price List, Weapons &amp; Items'!B:L,COLUMN('Price List, Weapons &amp; Items'!$J$11)-1,0)</f>
        <v>Government information</v>
      </c>
      <c r="AO1879" s="1194" t="str">
        <f>IF(I1879=".",".",VLOOKUP($I1879,'Price List, Weapons &amp; Items'!B:J,3,0))</f>
        <v>ammunition</v>
      </c>
      <c r="AP1879" s="1195" t="str">
        <f t="shared" ca="1" si="398"/>
        <v/>
      </c>
      <c r="AQ1879" s="1194" t="str">
        <f>VLOOKUP($I1879,'Price List, Weapons &amp; Items'!B:L,COLUMN('Price List, Weapons &amp; Items'!$L$11)-1,0)</f>
        <v>no price, 0 count</v>
      </c>
      <c r="AR1879" s="1194">
        <f t="shared" si="405"/>
        <v>1</v>
      </c>
      <c r="AS1879" s="1194">
        <f t="shared" si="406"/>
        <v>1</v>
      </c>
      <c r="AT1879" s="1194">
        <f t="shared" si="407"/>
        <v>1</v>
      </c>
      <c r="AU1879" s="1194" t="str">
        <f t="shared" si="409"/>
        <v>.</v>
      </c>
      <c r="AV1879" s="1194" t="str">
        <f t="shared" si="399"/>
        <v>.</v>
      </c>
      <c r="AW1879" s="1194" t="str">
        <f t="shared" si="408"/>
        <v>.</v>
      </c>
      <c r="AX1879" s="1194">
        <f>IFERROR(VLOOKUP(B1879,'Share, Heavy Weapons to Ukraine'!B:Z,COLUMN('Share, Heavy Weapons to Ukraine'!C1888)-1,0),0)</f>
        <v>1</v>
      </c>
      <c r="AY1879" s="1194">
        <f>VLOOKUP('Bilateral Assistance, MAIN DATA'!B1879,'Country Summary (€)'!B:F,COLUMN('Country Summary (€)'!C1889)-1,FALSE)</f>
        <v>0</v>
      </c>
      <c r="AZ1879" s="1194" t="str">
        <f>IF(AND(AD1879=1,D1879="Military",H1879&lt;&gt;"Not given")=TRUE,IF(SUMIFS(P:P,A:A,A1879)&gt;0,ABS((SUMIFS(P:P,A:A,A1879)/VLOOKUP("USD",'Exchange Rates'!B:C,2,0)))/S1879,"."),".")</f>
        <v>.</v>
      </c>
      <c r="BA1879" s="1196" t="str">
        <f>IF(AND(AD1879=1,D1879="Military",H1879&lt;&gt;"Not given")=TRUE,IF(SUMIFS(P:P,A:A,A1879)&gt;0,IF((ABS((SUMIFS(P:P,A:A,A1879)/VLOOKUP("USD",'Exchange Rates'!B:C,2,0)))/S1879)&gt;1,(SUMIFS(P:P,A:A,A1879)-S1879)/S1879,(S1879-SUMIFS(P:P,A:A,A1879))/SUMIFS(P:P,A:A,A1879)),"."),".")</f>
        <v>.</v>
      </c>
      <c r="BB1879" s="1208"/>
      <c r="BC1879" s="1208"/>
      <c r="BD1879" s="1208"/>
      <c r="BE1879" s="1208"/>
      <c r="BF1879" s="1208"/>
      <c r="BG1879" s="1208"/>
      <c r="BH1879" s="1208"/>
      <c r="BI1879" s="1208"/>
      <c r="BJ1879" s="1208"/>
      <c r="BK1879" s="1208"/>
      <c r="BL1879" s="1208"/>
      <c r="BM1879" s="1208"/>
      <c r="BN1879" s="1208"/>
      <c r="BO1879" s="1208"/>
      <c r="BP1879" s="1208"/>
      <c r="BQ1879" s="1208"/>
      <c r="BR1879" s="1208"/>
      <c r="BS1879" s="1208"/>
    </row>
    <row r="1880" spans="1:71" ht="15.95" customHeight="1">
      <c r="A1880" s="1208" t="s">
        <v>4310</v>
      </c>
      <c r="B1880" s="1208" t="s">
        <v>3949</v>
      </c>
      <c r="C1880" s="1209">
        <v>45067</v>
      </c>
      <c r="D1880" s="1208" t="s">
        <v>389</v>
      </c>
      <c r="E1880" s="1208" t="s">
        <v>390</v>
      </c>
      <c r="F1880" s="1208" t="s">
        <v>4352</v>
      </c>
      <c r="G1880" s="1184" t="s">
        <v>456</v>
      </c>
      <c r="H1880" s="1210">
        <v>375000000</v>
      </c>
      <c r="I1880" s="1208" t="s">
        <v>4172</v>
      </c>
      <c r="J1880" s="1186" t="str">
        <f>VLOOKUP($I1880,'Price List, Weapons &amp; Items'!B:C,2,0)</f>
        <v>Military equipment</v>
      </c>
      <c r="K1880" s="1186" t="str">
        <f>IF(I1880=".",I1880,VLOOKUP($I1880,'Price List, Weapons &amp; Items'!B:D,3,0))</f>
        <v>Military equipment</v>
      </c>
      <c r="L1880" s="1187">
        <f>VLOOKUP(I1880,'Price List, Weapons &amp; Items'!B:E,4,0)</f>
        <v>0</v>
      </c>
      <c r="M1880" s="1188" t="s">
        <v>374</v>
      </c>
      <c r="N1880" s="1188" t="s">
        <v>374</v>
      </c>
      <c r="O1880" s="1188">
        <f>VLOOKUP($I1880,'Price List, Weapons &amp; Items'!B:G,6,0)</f>
        <v>90</v>
      </c>
      <c r="P1880" s="1185" t="str">
        <f t="shared" si="400"/>
        <v>.</v>
      </c>
      <c r="Q1880" s="1185" t="str">
        <f t="shared" si="401"/>
        <v>.</v>
      </c>
      <c r="R1880" s="1185" t="str">
        <f t="shared" si="397"/>
        <v/>
      </c>
      <c r="S1880" s="1185" t="str">
        <f>IF(AND(AD1880=1,R1880&lt;&gt;".")=TRUE,R1880/VLOOKUP(G1880,'Exchange Rates'!B:C,2,0),IF(R1880=".",".",""))</f>
        <v/>
      </c>
      <c r="T1880" s="1185" t="str">
        <f>IF(AD1880=1,IF(AF1880="Value is not given at all",".",IF(AF1880="Value is given by the source",S1880,IF(AF1880="Value is calculated with prices",(IF(SUMIFS(Q:Q,A:A,A1880)&gt;0,SUMIFS(Q:Q,A:A,A1880),"."))/VLOOKUP("USD",'Exchange Rates'!B:C,2,0),"Error with coding"))),"")</f>
        <v/>
      </c>
      <c r="U1880" s="1191" t="s">
        <v>365</v>
      </c>
      <c r="V1880" s="983" t="s">
        <v>4353</v>
      </c>
      <c r="W1880" s="966" t="s">
        <v>4339</v>
      </c>
      <c r="X1880" s="1208" t="s">
        <v>364</v>
      </c>
      <c r="Y1880" s="1208" t="s">
        <v>364</v>
      </c>
      <c r="Z1880" s="1191">
        <v>0</v>
      </c>
      <c r="AA1880" s="1191">
        <v>1</v>
      </c>
      <c r="AB1880" s="1208" t="s">
        <v>364</v>
      </c>
      <c r="AC1880" s="1192" t="str">
        <f>""</f>
        <v/>
      </c>
      <c r="AD1880" s="1193">
        <v>0</v>
      </c>
      <c r="AE1880" s="1191" t="s">
        <v>368</v>
      </c>
      <c r="AF1880" s="1191" t="s">
        <v>369</v>
      </c>
      <c r="AG1880" s="1193">
        <v>1</v>
      </c>
      <c r="AH1880" s="1193">
        <v>17</v>
      </c>
      <c r="AI1880" s="1193">
        <v>0</v>
      </c>
      <c r="AJ1880" s="1193">
        <f>VLOOKUP($I1880,'Price List, Weapons &amp; Items'!B:F,5,0)</f>
        <v>0</v>
      </c>
      <c r="AK1880" s="1193">
        <f t="shared" si="402"/>
        <v>0</v>
      </c>
      <c r="AL1880" s="1193">
        <f t="shared" si="403"/>
        <v>0</v>
      </c>
      <c r="AM1880" s="1193">
        <f t="shared" si="404"/>
        <v>0</v>
      </c>
      <c r="AN1880" s="1194" t="str">
        <f>VLOOKUP($I1880,'Price List, Weapons &amp; Items'!B:L,COLUMN('Price List, Weapons &amp; Items'!$J$11)-1,0)</f>
        <v>Media reports (incl. social media)</v>
      </c>
      <c r="AO1880" s="1194" t="str">
        <f>IF(I1880=".",".",VLOOKUP($I1880,'Price List, Weapons &amp; Items'!B:J,3,0))</f>
        <v>Military equipment</v>
      </c>
      <c r="AP1880" s="1195" t="str">
        <f t="shared" ca="1" si="398"/>
        <v/>
      </c>
      <c r="AQ1880" s="1194" t="str">
        <f>VLOOKUP($I1880,'Price List, Weapons &amp; Items'!B:L,COLUMN('Price List, Weapons &amp; Items'!$L$11)-1,0)</f>
        <v>no price, 0 count</v>
      </c>
      <c r="AR1880" s="1194">
        <f t="shared" si="405"/>
        <v>1</v>
      </c>
      <c r="AS1880" s="1194">
        <f t="shared" si="406"/>
        <v>1</v>
      </c>
      <c r="AT1880" s="1194">
        <f t="shared" si="407"/>
        <v>1</v>
      </c>
      <c r="AU1880" s="1194" t="str">
        <f t="shared" si="409"/>
        <v>.</v>
      </c>
      <c r="AV1880" s="1194" t="str">
        <f t="shared" si="399"/>
        <v>.</v>
      </c>
      <c r="AW1880" s="1194" t="str">
        <f t="shared" si="408"/>
        <v>.</v>
      </c>
      <c r="AX1880" s="1194">
        <f>IFERROR(VLOOKUP(B1880,'Share, Heavy Weapons to Ukraine'!B:Z,COLUMN('Share, Heavy Weapons to Ukraine'!C1889)-1,0),0)</f>
        <v>1</v>
      </c>
      <c r="AY1880" s="1194">
        <f>VLOOKUP('Bilateral Assistance, MAIN DATA'!B1880,'Country Summary (€)'!B:F,COLUMN('Country Summary (€)'!C1890)-1,FALSE)</f>
        <v>0</v>
      </c>
      <c r="AZ1880" s="1194" t="str">
        <f>IF(AND(AD1880=1,D1880="Military",H1880&lt;&gt;"Not given")=TRUE,IF(SUMIFS(P:P,A:A,A1880)&gt;0,ABS((SUMIFS(P:P,A:A,A1880)/VLOOKUP("USD",'Exchange Rates'!B:C,2,0)))/S1880,"."),".")</f>
        <v>.</v>
      </c>
      <c r="BA1880" s="1196" t="str">
        <f>IF(AND(AD1880=1,D1880="Military",H1880&lt;&gt;"Not given")=TRUE,IF(SUMIFS(P:P,A:A,A1880)&gt;0,IF((ABS((SUMIFS(P:P,A:A,A1880)/VLOOKUP("USD",'Exchange Rates'!B:C,2,0)))/S1880)&gt;1,(SUMIFS(P:P,A:A,A1880)-S1880)/S1880,(S1880-SUMIFS(P:P,A:A,A1880))/SUMIFS(P:P,A:A,A1880)),"."),".")</f>
        <v>.</v>
      </c>
      <c r="BB1880" s="1208"/>
      <c r="BC1880" s="1208"/>
      <c r="BD1880" s="1208"/>
      <c r="BE1880" s="1208"/>
      <c r="BF1880" s="1208"/>
      <c r="BG1880" s="1208"/>
      <c r="BH1880" s="1208"/>
      <c r="BI1880" s="1208"/>
      <c r="BJ1880" s="1208"/>
      <c r="BK1880" s="1208"/>
      <c r="BL1880" s="1208"/>
      <c r="BM1880" s="1208"/>
      <c r="BN1880" s="1208"/>
      <c r="BO1880" s="1208"/>
      <c r="BP1880" s="1208"/>
      <c r="BQ1880" s="1208"/>
      <c r="BR1880" s="1208"/>
      <c r="BS1880" s="1208"/>
    </row>
    <row r="1881" spans="1:71" ht="15.95" customHeight="1">
      <c r="A1881" s="1208" t="s">
        <v>4310</v>
      </c>
      <c r="B1881" s="1208" t="s">
        <v>3949</v>
      </c>
      <c r="C1881" s="1209">
        <v>45067</v>
      </c>
      <c r="D1881" s="1208" t="s">
        <v>389</v>
      </c>
      <c r="E1881" s="1208" t="s">
        <v>390</v>
      </c>
      <c r="F1881" s="1208" t="s">
        <v>4352</v>
      </c>
      <c r="G1881" s="1184" t="s">
        <v>456</v>
      </c>
      <c r="H1881" s="1210">
        <v>375000000</v>
      </c>
      <c r="I1881" s="1208" t="s">
        <v>1821</v>
      </c>
      <c r="J1881" s="1186" t="str">
        <f>VLOOKUP($I1881,'Price List, Weapons &amp; Items'!B:C,2,0)</f>
        <v>Military equipment</v>
      </c>
      <c r="K1881" s="1186" t="str">
        <f>IF(I1881=".",I1881,VLOOKUP($I1881,'Price List, Weapons &amp; Items'!B:D,3,0))</f>
        <v>Military equipment</v>
      </c>
      <c r="L1881" s="1187">
        <f>VLOOKUP(I1881,'Price List, Weapons &amp; Items'!B:E,4,0)</f>
        <v>0</v>
      </c>
      <c r="M1881" s="1188" t="s">
        <v>374</v>
      </c>
      <c r="N1881" s="1188" t="s">
        <v>374</v>
      </c>
      <c r="O1881" s="1188">
        <f>VLOOKUP($I1881,'Price List, Weapons &amp; Items'!B:G,6,0)</f>
        <v>2268127</v>
      </c>
      <c r="P1881" s="1185" t="str">
        <f t="shared" si="400"/>
        <v>.</v>
      </c>
      <c r="Q1881" s="1185" t="str">
        <f t="shared" si="401"/>
        <v>.</v>
      </c>
      <c r="R1881" s="1185" t="str">
        <f t="shared" si="397"/>
        <v/>
      </c>
      <c r="S1881" s="1185" t="str">
        <f>IF(AND(AD1881=1,R1881&lt;&gt;".")=TRUE,R1881/VLOOKUP(G1881,'Exchange Rates'!B:C,2,0),IF(R1881=".",".",""))</f>
        <v/>
      </c>
      <c r="T1881" s="1185" t="str">
        <f>IF(AD1881=1,IF(AF1881="Value is not given at all",".",IF(AF1881="Value is given by the source",S1881,IF(AF1881="Value is calculated with prices",(IF(SUMIFS(Q:Q,A:A,A1881)&gt;0,SUMIFS(Q:Q,A:A,A1881),"."))/VLOOKUP("USD",'Exchange Rates'!B:C,2,0),"Error with coding"))),"")</f>
        <v/>
      </c>
      <c r="U1881" s="1191" t="s">
        <v>365</v>
      </c>
      <c r="V1881" s="983" t="s">
        <v>4353</v>
      </c>
      <c r="W1881" s="966" t="s">
        <v>4339</v>
      </c>
      <c r="X1881" s="1208" t="s">
        <v>364</v>
      </c>
      <c r="Y1881" s="1208" t="s">
        <v>364</v>
      </c>
      <c r="Z1881" s="1191">
        <v>0</v>
      </c>
      <c r="AA1881" s="1191">
        <v>1</v>
      </c>
      <c r="AB1881" s="1208" t="s">
        <v>364</v>
      </c>
      <c r="AC1881" s="1192" t="str">
        <f>""</f>
        <v/>
      </c>
      <c r="AD1881" s="1193">
        <v>0</v>
      </c>
      <c r="AE1881" s="1191" t="s">
        <v>368</v>
      </c>
      <c r="AF1881" s="1191" t="s">
        <v>369</v>
      </c>
      <c r="AG1881" s="1193">
        <v>1</v>
      </c>
      <c r="AH1881" s="1193">
        <v>17</v>
      </c>
      <c r="AI1881" s="1193">
        <v>0</v>
      </c>
      <c r="AJ1881" s="1193">
        <f>VLOOKUP($I1881,'Price List, Weapons &amp; Items'!B:F,5,0)</f>
        <v>0</v>
      </c>
      <c r="AK1881" s="1193">
        <f t="shared" si="402"/>
        <v>0</v>
      </c>
      <c r="AL1881" s="1193">
        <f t="shared" si="403"/>
        <v>0</v>
      </c>
      <c r="AM1881" s="1193">
        <f t="shared" si="404"/>
        <v>0</v>
      </c>
      <c r="AN1881" s="1194" t="str">
        <f>VLOOKUP($I1881,'Price List, Weapons &amp; Items'!B:L,COLUMN('Price List, Weapons &amp; Items'!$J$11)-1,0)</f>
        <v>Media reports (incl. social media)</v>
      </c>
      <c r="AO1881" s="1194" t="str">
        <f>IF(I1881=".",".",VLOOKUP($I1881,'Price List, Weapons &amp; Items'!B:J,3,0))</f>
        <v>Military equipment</v>
      </c>
      <c r="AP1881" s="1195" t="str">
        <f t="shared" ca="1" si="398"/>
        <v/>
      </c>
      <c r="AQ1881" s="1194">
        <f>VLOOKUP($I1881,'Price List, Weapons &amp; Items'!B:L,COLUMN('Price List, Weapons &amp; Items'!$L$11)-1,0)</f>
        <v>2</v>
      </c>
      <c r="AR1881" s="1194">
        <f t="shared" si="405"/>
        <v>1</v>
      </c>
      <c r="AS1881" s="1194">
        <f t="shared" si="406"/>
        <v>1</v>
      </c>
      <c r="AT1881" s="1194">
        <f t="shared" si="407"/>
        <v>1</v>
      </c>
      <c r="AU1881" s="1194" t="str">
        <f t="shared" si="409"/>
        <v>.</v>
      </c>
      <c r="AV1881" s="1194" t="str">
        <f t="shared" si="399"/>
        <v>.</v>
      </c>
      <c r="AW1881" s="1194" t="str">
        <f t="shared" si="408"/>
        <v>.</v>
      </c>
      <c r="AX1881" s="1194">
        <f>IFERROR(VLOOKUP(B1881,'Share, Heavy Weapons to Ukraine'!B:Z,COLUMN('Share, Heavy Weapons to Ukraine'!C1890)-1,0),0)</f>
        <v>1</v>
      </c>
      <c r="AY1881" s="1194">
        <f>VLOOKUP('Bilateral Assistance, MAIN DATA'!B1881,'Country Summary (€)'!B:F,COLUMN('Country Summary (€)'!C1891)-1,FALSE)</f>
        <v>0</v>
      </c>
      <c r="AZ1881" s="1194" t="str">
        <f>IF(AND(AD1881=1,D1881="Military",H1881&lt;&gt;"Not given")=TRUE,IF(SUMIFS(P:P,A:A,A1881)&gt;0,ABS((SUMIFS(P:P,A:A,A1881)/VLOOKUP("USD",'Exchange Rates'!B:C,2,0)))/S1881,"."),".")</f>
        <v>.</v>
      </c>
      <c r="BA1881" s="1196" t="str">
        <f>IF(AND(AD1881=1,D1881="Military",H1881&lt;&gt;"Not given")=TRUE,IF(SUMIFS(P:P,A:A,A1881)&gt;0,IF((ABS((SUMIFS(P:P,A:A,A1881)/VLOOKUP("USD",'Exchange Rates'!B:C,2,0)))/S1881)&gt;1,(SUMIFS(P:P,A:A,A1881)-S1881)/S1881,(S1881-SUMIFS(P:P,A:A,A1881))/SUMIFS(P:P,A:A,A1881)),"."),".")</f>
        <v>.</v>
      </c>
      <c r="BB1881" s="1208"/>
      <c r="BC1881" s="1208"/>
      <c r="BD1881" s="1208"/>
      <c r="BE1881" s="1208"/>
      <c r="BF1881" s="1208"/>
      <c r="BG1881" s="1208"/>
      <c r="BH1881" s="1208"/>
      <c r="BI1881" s="1208"/>
      <c r="BJ1881" s="1208"/>
      <c r="BK1881" s="1208"/>
      <c r="BL1881" s="1208"/>
      <c r="BM1881" s="1208"/>
      <c r="BN1881" s="1208"/>
      <c r="BO1881" s="1208"/>
      <c r="BP1881" s="1208"/>
      <c r="BQ1881" s="1208"/>
      <c r="BR1881" s="1208"/>
      <c r="BS1881" s="1208"/>
    </row>
    <row r="1882" spans="1:71" ht="15.95" customHeight="1">
      <c r="A1882" s="1208" t="s">
        <v>4310</v>
      </c>
      <c r="B1882" s="1208" t="s">
        <v>3949</v>
      </c>
      <c r="C1882" s="1209">
        <v>45067</v>
      </c>
      <c r="D1882" s="1208" t="s">
        <v>389</v>
      </c>
      <c r="E1882" s="1208" t="s">
        <v>390</v>
      </c>
      <c r="F1882" s="1208" t="s">
        <v>4352</v>
      </c>
      <c r="G1882" s="1184" t="s">
        <v>456</v>
      </c>
      <c r="H1882" s="1210">
        <v>375000000</v>
      </c>
      <c r="I1882" s="1208" t="s">
        <v>4144</v>
      </c>
      <c r="J1882" s="1186" t="str">
        <f>VLOOKUP($I1882,'Price List, Weapons &amp; Items'!B:C,2,0)</f>
        <v>Heavy weapon</v>
      </c>
      <c r="K1882" s="1186" t="str">
        <f>IF(I1882=".",I1882,VLOOKUP($I1882,'Price List, Weapons &amp; Items'!B:D,3,0))</f>
        <v>Armored Utility Vehicle (AUV)</v>
      </c>
      <c r="L1882" s="1187">
        <f>VLOOKUP(I1882,'Price List, Weapons &amp; Items'!B:E,4,0)</f>
        <v>0</v>
      </c>
      <c r="M1882" s="1188" t="s">
        <v>374</v>
      </c>
      <c r="N1882" s="1188" t="s">
        <v>374</v>
      </c>
      <c r="O1882" s="1188">
        <f>VLOOKUP($I1882,'Price List, Weapons &amp; Items'!B:G,6,0)</f>
        <v>274051.65999999997</v>
      </c>
      <c r="P1882" s="1185" t="str">
        <f t="shared" si="400"/>
        <v>.</v>
      </c>
      <c r="Q1882" s="1185" t="str">
        <f t="shared" si="401"/>
        <v>.</v>
      </c>
      <c r="R1882" s="1185" t="str">
        <f t="shared" si="397"/>
        <v/>
      </c>
      <c r="S1882" s="1185" t="str">
        <f>IF(AND(AD1882=1,R1882&lt;&gt;".")=TRUE,R1882/VLOOKUP(G1882,'Exchange Rates'!B:C,2,0),IF(R1882=".",".",""))</f>
        <v/>
      </c>
      <c r="T1882" s="1185" t="str">
        <f>IF(AD1882=1,IF(AF1882="Value is not given at all",".",IF(AF1882="Value is given by the source",S1882,IF(AF1882="Value is calculated with prices",(IF(SUMIFS(Q:Q,A:A,A1882)&gt;0,SUMIFS(Q:Q,A:A,A1882),"."))/VLOOKUP("USD",'Exchange Rates'!B:C,2,0),"Error with coding"))),"")</f>
        <v/>
      </c>
      <c r="U1882" s="1191" t="s">
        <v>365</v>
      </c>
      <c r="V1882" s="983" t="s">
        <v>4353</v>
      </c>
      <c r="W1882" s="966" t="s">
        <v>4339</v>
      </c>
      <c r="X1882" s="1208" t="s">
        <v>364</v>
      </c>
      <c r="Y1882" s="1208" t="s">
        <v>364</v>
      </c>
      <c r="Z1882" s="1191">
        <v>0</v>
      </c>
      <c r="AA1882" s="1191">
        <v>1</v>
      </c>
      <c r="AB1882" s="1208" t="s">
        <v>364</v>
      </c>
      <c r="AC1882" s="1192" t="str">
        <f>""</f>
        <v/>
      </c>
      <c r="AD1882" s="1193">
        <v>0</v>
      </c>
      <c r="AE1882" s="1191" t="s">
        <v>368</v>
      </c>
      <c r="AF1882" s="1191" t="s">
        <v>369</v>
      </c>
      <c r="AG1882" s="1193">
        <v>1</v>
      </c>
      <c r="AH1882" s="1193">
        <v>17</v>
      </c>
      <c r="AI1882" s="1193">
        <v>0</v>
      </c>
      <c r="AJ1882" s="1193">
        <f>VLOOKUP($I1882,'Price List, Weapons &amp; Items'!B:F,5,0)</f>
        <v>1</v>
      </c>
      <c r="AK1882" s="1193">
        <f t="shared" si="402"/>
        <v>1</v>
      </c>
      <c r="AL1882" s="1193">
        <f t="shared" si="403"/>
        <v>1</v>
      </c>
      <c r="AM1882" s="1193">
        <f t="shared" si="404"/>
        <v>0</v>
      </c>
      <c r="AN1882" s="1194" t="str">
        <f>VLOOKUP($I1882,'Price List, Weapons &amp; Items'!B:L,COLUMN('Price List, Weapons &amp; Items'!$J$11)-1,0)</f>
        <v>Military media (incl. websites)</v>
      </c>
      <c r="AO1882" s="1194" t="str">
        <f>IF(I1882=".",".",VLOOKUP($I1882,'Price List, Weapons &amp; Items'!B:J,3,0))</f>
        <v>Armored Utility Vehicle (AUV)</v>
      </c>
      <c r="AP1882" s="1195" t="str">
        <f t="shared" ca="1" si="398"/>
        <v/>
      </c>
      <c r="AQ1882" s="1194">
        <f>VLOOKUP($I1882,'Price List, Weapons &amp; Items'!B:L,COLUMN('Price List, Weapons &amp; Items'!$L$11)-1,0)</f>
        <v>2</v>
      </c>
      <c r="AR1882" s="1194">
        <f t="shared" si="405"/>
        <v>1</v>
      </c>
      <c r="AS1882" s="1194">
        <f t="shared" si="406"/>
        <v>1</v>
      </c>
      <c r="AT1882" s="1194">
        <f t="shared" si="407"/>
        <v>1</v>
      </c>
      <c r="AU1882" s="1194" t="str">
        <f t="shared" si="409"/>
        <v>.</v>
      </c>
      <c r="AV1882" s="1194" t="str">
        <f t="shared" si="399"/>
        <v>.</v>
      </c>
      <c r="AW1882" s="1194" t="str">
        <f t="shared" si="408"/>
        <v>.</v>
      </c>
      <c r="AX1882" s="1194">
        <f>IFERROR(VLOOKUP(B1882,'Share, Heavy Weapons to Ukraine'!B:Z,COLUMN('Share, Heavy Weapons to Ukraine'!C1891)-1,0),0)</f>
        <v>1</v>
      </c>
      <c r="AY1882" s="1194">
        <f>VLOOKUP('Bilateral Assistance, MAIN DATA'!B1882,'Country Summary (€)'!B:F,COLUMN('Country Summary (€)'!C1892)-1,FALSE)</f>
        <v>0</v>
      </c>
      <c r="AZ1882" s="1194" t="str">
        <f>IF(AND(AD1882=1,D1882="Military",H1882&lt;&gt;"Not given")=TRUE,IF(SUMIFS(P:P,A:A,A1882)&gt;0,ABS((SUMIFS(P:P,A:A,A1882)/VLOOKUP("USD",'Exchange Rates'!B:C,2,0)))/S1882,"."),".")</f>
        <v>.</v>
      </c>
      <c r="BA1882" s="1196" t="str">
        <f>IF(AND(AD1882=1,D1882="Military",H1882&lt;&gt;"Not given")=TRUE,IF(SUMIFS(P:P,A:A,A1882)&gt;0,IF((ABS((SUMIFS(P:P,A:A,A1882)/VLOOKUP("USD",'Exchange Rates'!B:C,2,0)))/S1882)&gt;1,(SUMIFS(P:P,A:A,A1882)-S1882)/S1882,(S1882-SUMIFS(P:P,A:A,A1882))/SUMIFS(P:P,A:A,A1882)),"."),".")</f>
        <v>.</v>
      </c>
      <c r="BB1882" s="1208"/>
      <c r="BC1882" s="1208"/>
      <c r="BD1882" s="1208"/>
      <c r="BE1882" s="1208"/>
      <c r="BF1882" s="1208"/>
      <c r="BG1882" s="1208"/>
      <c r="BH1882" s="1208"/>
      <c r="BI1882" s="1208"/>
      <c r="BJ1882" s="1208"/>
      <c r="BK1882" s="1208"/>
      <c r="BL1882" s="1208"/>
      <c r="BM1882" s="1208"/>
      <c r="BN1882" s="1208"/>
      <c r="BO1882" s="1208"/>
      <c r="BP1882" s="1208"/>
      <c r="BQ1882" s="1208"/>
      <c r="BR1882" s="1208"/>
      <c r="BS1882" s="1208"/>
    </row>
    <row r="1883" spans="1:71" ht="15.95" customHeight="1">
      <c r="A1883" s="1208" t="s">
        <v>4310</v>
      </c>
      <c r="B1883" s="1208" t="s">
        <v>3949</v>
      </c>
      <c r="C1883" s="1209">
        <v>45067</v>
      </c>
      <c r="D1883" s="1208" t="s">
        <v>389</v>
      </c>
      <c r="E1883" s="1208" t="s">
        <v>390</v>
      </c>
      <c r="F1883" s="1208" t="s">
        <v>4352</v>
      </c>
      <c r="G1883" s="1184" t="s">
        <v>456</v>
      </c>
      <c r="H1883" s="1210">
        <v>375000000</v>
      </c>
      <c r="I1883" s="1208" t="s">
        <v>1548</v>
      </c>
      <c r="J1883" s="1186" t="str">
        <f>VLOOKUP($I1883,'Price List, Weapons &amp; Items'!B:C,2,0)</f>
        <v>Military equipment</v>
      </c>
      <c r="K1883" s="1186" t="str">
        <f>IF(I1883=".",I1883,VLOOKUP($I1883,'Price List, Weapons &amp; Items'!B:D,3,0))</f>
        <v>non combat military vehicle</v>
      </c>
      <c r="L1883" s="1187">
        <f>VLOOKUP(I1883,'Price List, Weapons &amp; Items'!B:E,4,0)</f>
        <v>0</v>
      </c>
      <c r="M1883" s="1188" t="s">
        <v>374</v>
      </c>
      <c r="N1883" s="1188" t="s">
        <v>374</v>
      </c>
      <c r="O1883" s="1188">
        <f>VLOOKUP($I1883,'Price List, Weapons &amp; Items'!B:G,6,0)</f>
        <v>350000</v>
      </c>
      <c r="P1883" s="1185" t="str">
        <f t="shared" si="400"/>
        <v>.</v>
      </c>
      <c r="Q1883" s="1185" t="str">
        <f t="shared" si="401"/>
        <v>.</v>
      </c>
      <c r="R1883" s="1185" t="str">
        <f t="shared" si="397"/>
        <v/>
      </c>
      <c r="S1883" s="1185" t="str">
        <f>IF(AND(AD1883=1,R1883&lt;&gt;".")=TRUE,R1883/VLOOKUP(G1883,'Exchange Rates'!B:C,2,0),IF(R1883=".",".",""))</f>
        <v/>
      </c>
      <c r="T1883" s="1185" t="str">
        <f>IF(AD1883=1,IF(AF1883="Value is not given at all",".",IF(AF1883="Value is given by the source",S1883,IF(AF1883="Value is calculated with prices",(IF(SUMIFS(Q:Q,A:A,A1883)&gt;0,SUMIFS(Q:Q,A:A,A1883),"."))/VLOOKUP("USD",'Exchange Rates'!B:C,2,0),"Error with coding"))),"")</f>
        <v/>
      </c>
      <c r="U1883" s="1191" t="s">
        <v>365</v>
      </c>
      <c r="V1883" s="983" t="s">
        <v>4353</v>
      </c>
      <c r="W1883" s="966" t="s">
        <v>4339</v>
      </c>
      <c r="X1883" s="1208" t="s">
        <v>364</v>
      </c>
      <c r="Y1883" s="1208" t="s">
        <v>364</v>
      </c>
      <c r="Z1883" s="1191">
        <v>0</v>
      </c>
      <c r="AA1883" s="1191">
        <v>1</v>
      </c>
      <c r="AB1883" s="1208" t="s">
        <v>364</v>
      </c>
      <c r="AC1883" s="1192" t="str">
        <f>""</f>
        <v/>
      </c>
      <c r="AD1883" s="1193">
        <v>0</v>
      </c>
      <c r="AE1883" s="1191" t="s">
        <v>368</v>
      </c>
      <c r="AF1883" s="1191" t="s">
        <v>369</v>
      </c>
      <c r="AG1883" s="1193">
        <v>1</v>
      </c>
      <c r="AH1883" s="1193">
        <v>17</v>
      </c>
      <c r="AI1883" s="1193">
        <v>0</v>
      </c>
      <c r="AJ1883" s="1193">
        <f>VLOOKUP($I1883,'Price List, Weapons &amp; Items'!B:F,5,0)</f>
        <v>0</v>
      </c>
      <c r="AK1883" s="1193">
        <f t="shared" si="402"/>
        <v>0</v>
      </c>
      <c r="AL1883" s="1193">
        <f t="shared" si="403"/>
        <v>0</v>
      </c>
      <c r="AM1883" s="1193">
        <f t="shared" si="404"/>
        <v>0</v>
      </c>
      <c r="AN1883" s="1194" t="str">
        <f>VLOOKUP($I1883,'Price List, Weapons &amp; Items'!B:L,COLUMN('Price List, Weapons &amp; Items'!$J$11)-1,0)</f>
        <v>Media reports (incl. social media)</v>
      </c>
      <c r="AO1883" s="1194" t="str">
        <f>IF(I1883=".",".",VLOOKUP($I1883,'Price List, Weapons &amp; Items'!B:J,3,0))</f>
        <v>non combat military vehicle</v>
      </c>
      <c r="AP1883" s="1195" t="str">
        <f t="shared" ca="1" si="398"/>
        <v/>
      </c>
      <c r="AQ1883" s="1194">
        <f>VLOOKUP($I1883,'Price List, Weapons &amp; Items'!B:L,COLUMN('Price List, Weapons &amp; Items'!$L$11)-1,0)</f>
        <v>2</v>
      </c>
      <c r="AR1883" s="1194">
        <f t="shared" si="405"/>
        <v>1</v>
      </c>
      <c r="AS1883" s="1194">
        <f t="shared" si="406"/>
        <v>1</v>
      </c>
      <c r="AT1883" s="1194">
        <f t="shared" si="407"/>
        <v>1</v>
      </c>
      <c r="AU1883" s="1194" t="str">
        <f t="shared" si="409"/>
        <v>.</v>
      </c>
      <c r="AV1883" s="1194" t="str">
        <f t="shared" si="399"/>
        <v>.</v>
      </c>
      <c r="AW1883" s="1194" t="str">
        <f t="shared" si="408"/>
        <v>.</v>
      </c>
      <c r="AX1883" s="1194">
        <f>IFERROR(VLOOKUP(B1883,'Share, Heavy Weapons to Ukraine'!B:Z,COLUMN('Share, Heavy Weapons to Ukraine'!C1892)-1,0),0)</f>
        <v>1</v>
      </c>
      <c r="AY1883" s="1194">
        <f>VLOOKUP('Bilateral Assistance, MAIN DATA'!B1883,'Country Summary (€)'!B:F,COLUMN('Country Summary (€)'!C1893)-1,FALSE)</f>
        <v>0</v>
      </c>
      <c r="AZ1883" s="1194" t="str">
        <f>IF(AND(AD1883=1,D1883="Military",H1883&lt;&gt;"Not given")=TRUE,IF(SUMIFS(P:P,A:A,A1883)&gt;0,ABS((SUMIFS(P:P,A:A,A1883)/VLOOKUP("USD",'Exchange Rates'!B:C,2,0)))/S1883,"."),".")</f>
        <v>.</v>
      </c>
      <c r="BA1883" s="1196" t="str">
        <f>IF(AND(AD1883=1,D1883="Military",H1883&lt;&gt;"Not given")=TRUE,IF(SUMIFS(P:P,A:A,A1883)&gt;0,IF((ABS((SUMIFS(P:P,A:A,A1883)/VLOOKUP("USD",'Exchange Rates'!B:C,2,0)))/S1883)&gt;1,(SUMIFS(P:P,A:A,A1883)-S1883)/S1883,(S1883-SUMIFS(P:P,A:A,A1883))/SUMIFS(P:P,A:A,A1883)),"."),".")</f>
        <v>.</v>
      </c>
      <c r="BB1883" s="1208"/>
      <c r="BC1883" s="1208"/>
      <c r="BD1883" s="1208"/>
      <c r="BE1883" s="1208"/>
      <c r="BF1883" s="1208"/>
      <c r="BG1883" s="1208"/>
      <c r="BH1883" s="1208"/>
      <c r="BI1883" s="1208"/>
      <c r="BJ1883" s="1208"/>
      <c r="BK1883" s="1208"/>
      <c r="BL1883" s="1208"/>
      <c r="BM1883" s="1208"/>
      <c r="BN1883" s="1208"/>
      <c r="BO1883" s="1208"/>
      <c r="BP1883" s="1208"/>
      <c r="BQ1883" s="1208"/>
      <c r="BR1883" s="1208"/>
      <c r="BS1883" s="1208"/>
    </row>
    <row r="1884" spans="1:71" ht="15.95" customHeight="1">
      <c r="A1884" s="1208" t="s">
        <v>4310</v>
      </c>
      <c r="B1884" s="1208" t="s">
        <v>3949</v>
      </c>
      <c r="C1884" s="1209">
        <v>45067</v>
      </c>
      <c r="D1884" s="1208" t="s">
        <v>389</v>
      </c>
      <c r="E1884" s="1208" t="s">
        <v>390</v>
      </c>
      <c r="F1884" s="1208" t="s">
        <v>4352</v>
      </c>
      <c r="G1884" s="1184" t="s">
        <v>456</v>
      </c>
      <c r="H1884" s="1210">
        <v>375000000</v>
      </c>
      <c r="I1884" s="1208" t="s">
        <v>1848</v>
      </c>
      <c r="J1884" s="1186" t="str">
        <f>VLOOKUP($I1884,'Price List, Weapons &amp; Items'!B:C,2,0)</f>
        <v>Military equipment</v>
      </c>
      <c r="K1884" s="1186" t="str">
        <f>IF(I1884=".",I1884,VLOOKUP($I1884,'Price List, Weapons &amp; Items'!B:D,3,0))</f>
        <v>non combat military vehicle</v>
      </c>
      <c r="L1884" s="1187">
        <f>VLOOKUP(I1884,'Price List, Weapons &amp; Items'!B:E,4,0)</f>
        <v>0</v>
      </c>
      <c r="M1884" s="1188" t="s">
        <v>374</v>
      </c>
      <c r="N1884" s="1188" t="s">
        <v>374</v>
      </c>
      <c r="O1884" s="1188">
        <f>VLOOKUP($I1884,'Price List, Weapons &amp; Items'!B:G,6,0)</f>
        <v>50000</v>
      </c>
      <c r="P1884" s="1185" t="str">
        <f t="shared" si="400"/>
        <v>.</v>
      </c>
      <c r="Q1884" s="1185" t="str">
        <f t="shared" si="401"/>
        <v>.</v>
      </c>
      <c r="R1884" s="1185" t="str">
        <f t="shared" si="397"/>
        <v/>
      </c>
      <c r="S1884" s="1185" t="str">
        <f>IF(AND(AD1884=1,R1884&lt;&gt;".")=TRUE,R1884/VLOOKUP(G1884,'Exchange Rates'!B:C,2,0),IF(R1884=".",".",""))</f>
        <v/>
      </c>
      <c r="T1884" s="1185" t="str">
        <f>IF(AD1884=1,IF(AF1884="Value is not given at all",".",IF(AF1884="Value is given by the source",S1884,IF(AF1884="Value is calculated with prices",(IF(SUMIFS(Q:Q,A:A,A1884)&gt;0,SUMIFS(Q:Q,A:A,A1884),"."))/VLOOKUP("USD",'Exchange Rates'!B:C,2,0),"Error with coding"))),"")</f>
        <v/>
      </c>
      <c r="U1884" s="1191" t="s">
        <v>365</v>
      </c>
      <c r="V1884" s="983" t="s">
        <v>4353</v>
      </c>
      <c r="W1884" s="966" t="s">
        <v>4339</v>
      </c>
      <c r="X1884" s="1208" t="s">
        <v>364</v>
      </c>
      <c r="Y1884" s="1208" t="s">
        <v>364</v>
      </c>
      <c r="Z1884" s="1191">
        <v>0</v>
      </c>
      <c r="AA1884" s="1191">
        <v>1</v>
      </c>
      <c r="AB1884" s="1208" t="s">
        <v>364</v>
      </c>
      <c r="AC1884" s="1192" t="str">
        <f>""</f>
        <v/>
      </c>
      <c r="AD1884" s="1193">
        <v>0</v>
      </c>
      <c r="AE1884" s="1191" t="s">
        <v>368</v>
      </c>
      <c r="AF1884" s="1191" t="s">
        <v>369</v>
      </c>
      <c r="AG1884" s="1193">
        <v>1</v>
      </c>
      <c r="AH1884" s="1193">
        <v>17</v>
      </c>
      <c r="AI1884" s="1193">
        <v>0</v>
      </c>
      <c r="AJ1884" s="1193">
        <f>VLOOKUP($I1884,'Price List, Weapons &amp; Items'!B:F,5,0)</f>
        <v>0</v>
      </c>
      <c r="AK1884" s="1193">
        <f t="shared" si="402"/>
        <v>0</v>
      </c>
      <c r="AL1884" s="1193">
        <f t="shared" si="403"/>
        <v>0</v>
      </c>
      <c r="AM1884" s="1193">
        <f t="shared" si="404"/>
        <v>0</v>
      </c>
      <c r="AN1884" s="1194" t="str">
        <f>VLOOKUP($I1884,'Price List, Weapons &amp; Items'!B:L,COLUMN('Price List, Weapons &amp; Items'!$J$11)-1,0)</f>
        <v>Miscellaneous</v>
      </c>
      <c r="AO1884" s="1194" t="str">
        <f>IF(I1884=".",".",VLOOKUP($I1884,'Price List, Weapons &amp; Items'!B:J,3,0))</f>
        <v>non combat military vehicle</v>
      </c>
      <c r="AP1884" s="1195" t="str">
        <f t="shared" ca="1" si="398"/>
        <v/>
      </c>
      <c r="AQ1884" s="1194">
        <f>VLOOKUP($I1884,'Price List, Weapons &amp; Items'!B:L,COLUMN('Price List, Weapons &amp; Items'!$L$11)-1,0)</f>
        <v>2</v>
      </c>
      <c r="AR1884" s="1194">
        <f t="shared" si="405"/>
        <v>1</v>
      </c>
      <c r="AS1884" s="1194">
        <f t="shared" si="406"/>
        <v>1</v>
      </c>
      <c r="AT1884" s="1194">
        <f t="shared" si="407"/>
        <v>1</v>
      </c>
      <c r="AU1884" s="1194" t="str">
        <f t="shared" si="409"/>
        <v>.</v>
      </c>
      <c r="AV1884" s="1194" t="str">
        <f t="shared" si="399"/>
        <v>.</v>
      </c>
      <c r="AW1884" s="1194" t="str">
        <f t="shared" si="408"/>
        <v>.</v>
      </c>
      <c r="AX1884" s="1194">
        <f>IFERROR(VLOOKUP(B1884,'Share, Heavy Weapons to Ukraine'!B:Z,COLUMN('Share, Heavy Weapons to Ukraine'!C1893)-1,0),0)</f>
        <v>1</v>
      </c>
      <c r="AY1884" s="1194">
        <f>VLOOKUP('Bilateral Assistance, MAIN DATA'!B1884,'Country Summary (€)'!B:F,COLUMN('Country Summary (€)'!C1894)-1,FALSE)</f>
        <v>0</v>
      </c>
      <c r="AZ1884" s="1194" t="str">
        <f>IF(AND(AD1884=1,D1884="Military",H1884&lt;&gt;"Not given")=TRUE,IF(SUMIFS(P:P,A:A,A1884)&gt;0,ABS((SUMIFS(P:P,A:A,A1884)/VLOOKUP("USD",'Exchange Rates'!B:C,2,0)))/S1884,"."),".")</f>
        <v>.</v>
      </c>
      <c r="BA1884" s="1196" t="str">
        <f>IF(AND(AD1884=1,D1884="Military",H1884&lt;&gt;"Not given")=TRUE,IF(SUMIFS(P:P,A:A,A1884)&gt;0,IF((ABS((SUMIFS(P:P,A:A,A1884)/VLOOKUP("USD",'Exchange Rates'!B:C,2,0)))/S1884)&gt;1,(SUMIFS(P:P,A:A,A1884)-S1884)/S1884,(S1884-SUMIFS(P:P,A:A,A1884))/SUMIFS(P:P,A:A,A1884)),"."),".")</f>
        <v>.</v>
      </c>
      <c r="BB1884" s="1208"/>
      <c r="BC1884" s="1208"/>
      <c r="BD1884" s="1208"/>
      <c r="BE1884" s="1208"/>
      <c r="BF1884" s="1208"/>
      <c r="BG1884" s="1208"/>
      <c r="BH1884" s="1208"/>
      <c r="BI1884" s="1208"/>
      <c r="BJ1884" s="1208"/>
      <c r="BK1884" s="1208"/>
      <c r="BL1884" s="1208"/>
      <c r="BM1884" s="1208"/>
      <c r="BN1884" s="1208"/>
      <c r="BO1884" s="1208"/>
      <c r="BP1884" s="1208"/>
      <c r="BQ1884" s="1208"/>
      <c r="BR1884" s="1208"/>
      <c r="BS1884" s="1208"/>
    </row>
    <row r="1885" spans="1:71" ht="15.95" customHeight="1">
      <c r="A1885" s="1208" t="s">
        <v>4310</v>
      </c>
      <c r="B1885" s="1208" t="s">
        <v>3949</v>
      </c>
      <c r="C1885" s="1209">
        <v>45067</v>
      </c>
      <c r="D1885" s="1208" t="s">
        <v>389</v>
      </c>
      <c r="E1885" s="1208" t="s">
        <v>390</v>
      </c>
      <c r="F1885" s="1208" t="s">
        <v>4352</v>
      </c>
      <c r="G1885" s="1184" t="s">
        <v>456</v>
      </c>
      <c r="H1885" s="1210">
        <v>375000000</v>
      </c>
      <c r="I1885" s="1208" t="s">
        <v>2472</v>
      </c>
      <c r="J1885" s="1186" t="str">
        <f>VLOOKUP($I1885,'Price List, Weapons &amp; Items'!B:C,2,0)</f>
        <v>Military equipment</v>
      </c>
      <c r="K1885" s="1186" t="str">
        <f>IF(I1885=".",I1885,VLOOKUP($I1885,'Price List, Weapons &amp; Items'!B:D,3,0))</f>
        <v>spare parts</v>
      </c>
      <c r="L1885" s="1187">
        <f>VLOOKUP(I1885,'Price List, Weapons &amp; Items'!B:E,4,0)</f>
        <v>0</v>
      </c>
      <c r="M1885" s="1188" t="s">
        <v>374</v>
      </c>
      <c r="N1885" s="1188" t="s">
        <v>374</v>
      </c>
      <c r="O1885" s="1188" t="str">
        <f>VLOOKUP($I1885,'Price List, Weapons &amp; Items'!B:G,6,0)</f>
        <v>.</v>
      </c>
      <c r="P1885" s="1185" t="str">
        <f t="shared" si="400"/>
        <v>.</v>
      </c>
      <c r="Q1885" s="1185" t="str">
        <f t="shared" si="401"/>
        <v>.</v>
      </c>
      <c r="R1885" s="1185" t="str">
        <f t="shared" si="397"/>
        <v/>
      </c>
      <c r="S1885" s="1185" t="str">
        <f>IF(AND(AD1885=1,R1885&lt;&gt;".")=TRUE,R1885/VLOOKUP(G1885,'Exchange Rates'!B:C,2,0),IF(R1885=".",".",""))</f>
        <v/>
      </c>
      <c r="T1885" s="1185" t="str">
        <f>IF(AD1885=1,IF(AF1885="Value is not given at all",".",IF(AF1885="Value is given by the source",S1885,IF(AF1885="Value is calculated with prices",(IF(SUMIFS(Q:Q,A:A,A1885)&gt;0,SUMIFS(Q:Q,A:A,A1885),"."))/VLOOKUP("USD",'Exchange Rates'!B:C,2,0),"Error with coding"))),"")</f>
        <v/>
      </c>
      <c r="U1885" s="1191" t="s">
        <v>365</v>
      </c>
      <c r="V1885" s="1335" t="s">
        <v>4353</v>
      </c>
      <c r="W1885" s="1335" t="s">
        <v>4339</v>
      </c>
      <c r="X1885" s="1208" t="s">
        <v>364</v>
      </c>
      <c r="Y1885" s="1208" t="s">
        <v>364</v>
      </c>
      <c r="Z1885" s="1191">
        <v>0</v>
      </c>
      <c r="AA1885" s="1191">
        <v>1</v>
      </c>
      <c r="AB1885" s="1208" t="s">
        <v>364</v>
      </c>
      <c r="AC1885" s="1192" t="str">
        <f>""</f>
        <v/>
      </c>
      <c r="AD1885" s="1193">
        <v>0</v>
      </c>
      <c r="AE1885" s="1191" t="s">
        <v>368</v>
      </c>
      <c r="AF1885" s="1191" t="s">
        <v>369</v>
      </c>
      <c r="AG1885" s="1193">
        <v>1</v>
      </c>
      <c r="AH1885" s="1193">
        <v>17</v>
      </c>
      <c r="AI1885" s="1193">
        <v>0</v>
      </c>
      <c r="AJ1885" s="1193">
        <f>VLOOKUP($I1885,'Price List, Weapons &amp; Items'!B:F,5,0)</f>
        <v>0</v>
      </c>
      <c r="AK1885" s="1193">
        <f t="shared" si="402"/>
        <v>0</v>
      </c>
      <c r="AL1885" s="1193">
        <f t="shared" si="403"/>
        <v>0</v>
      </c>
      <c r="AM1885" s="1193">
        <f t="shared" si="404"/>
        <v>0</v>
      </c>
      <c r="AN1885" s="1194" t="str">
        <f>VLOOKUP($I1885,'Price List, Weapons &amp; Items'!B:L,COLUMN('Price List, Weapons &amp; Items'!$J$11)-1,0)</f>
        <v>.</v>
      </c>
      <c r="AO1885" s="1194" t="str">
        <f>IF(I1885=".",".",VLOOKUP($I1885,'Price List, Weapons &amp; Items'!B:J,3,0))</f>
        <v>spare parts</v>
      </c>
      <c r="AP1885" s="1195" t="str">
        <f t="shared" ca="1" si="398"/>
        <v/>
      </c>
      <c r="AQ1885" s="1194" t="str">
        <f>VLOOKUP($I1885,'Price List, Weapons &amp; Items'!B:L,COLUMN('Price List, Weapons &amp; Items'!$L$11)-1,0)</f>
        <v>no price, 0 count</v>
      </c>
      <c r="AR1885" s="1194">
        <f t="shared" si="405"/>
        <v>1</v>
      </c>
      <c r="AS1885" s="1194">
        <f t="shared" si="406"/>
        <v>1</v>
      </c>
      <c r="AT1885" s="1194">
        <f t="shared" si="407"/>
        <v>1</v>
      </c>
      <c r="AU1885" s="1194" t="str">
        <f t="shared" si="409"/>
        <v>.</v>
      </c>
      <c r="AV1885" s="1194" t="str">
        <f t="shared" si="399"/>
        <v>.</v>
      </c>
      <c r="AW1885" s="1194" t="str">
        <f t="shared" si="408"/>
        <v>.</v>
      </c>
      <c r="AX1885" s="1194">
        <f>IFERROR(VLOOKUP(B1885,'Share, Heavy Weapons to Ukraine'!B:Z,COLUMN('Share, Heavy Weapons to Ukraine'!C1894)-1,0),0)</f>
        <v>1</v>
      </c>
      <c r="AY1885" s="1194">
        <f>VLOOKUP('Bilateral Assistance, MAIN DATA'!B1885,'Country Summary (€)'!B:F,COLUMN('Country Summary (€)'!C1895)-1,FALSE)</f>
        <v>0</v>
      </c>
      <c r="AZ1885" s="1194" t="str">
        <f>IF(AND(AD1885=1,D1885="Military",H1885&lt;&gt;"Not given")=TRUE,IF(SUMIFS(P:P,A:A,A1885)&gt;0,ABS((SUMIFS(P:P,A:A,A1885)/VLOOKUP("USD",'Exchange Rates'!B:C,2,0)))/S1885,"."),".")</f>
        <v>.</v>
      </c>
      <c r="BA1885" s="1196" t="str">
        <f>IF(AND(AD1885=1,D1885="Military",H1885&lt;&gt;"Not given")=TRUE,IF(SUMIFS(P:P,A:A,A1885)&gt;0,IF((ABS((SUMIFS(P:P,A:A,A1885)/VLOOKUP("USD",'Exchange Rates'!B:C,2,0)))/S1885)&gt;1,(SUMIFS(P:P,A:A,A1885)-S1885)/S1885,(S1885-SUMIFS(P:P,A:A,A1885))/SUMIFS(P:P,A:A,A1885)),"."),".")</f>
        <v>.</v>
      </c>
      <c r="BB1885" s="1208"/>
      <c r="BC1885" s="1208"/>
      <c r="BD1885" s="1208"/>
      <c r="BE1885" s="1208"/>
      <c r="BF1885" s="1208"/>
      <c r="BG1885" s="1208"/>
      <c r="BH1885" s="1208"/>
      <c r="BI1885" s="1208"/>
      <c r="BJ1885" s="1208"/>
      <c r="BK1885" s="1208"/>
      <c r="BL1885" s="1208"/>
      <c r="BM1885" s="1208"/>
      <c r="BN1885" s="1208"/>
      <c r="BO1885" s="1208"/>
      <c r="BP1885" s="1208"/>
      <c r="BQ1885" s="1208"/>
      <c r="BR1885" s="1208"/>
      <c r="BS1885" s="1208"/>
    </row>
    <row r="1886" spans="1:71" ht="15.95" customHeight="1">
      <c r="A1886" s="1208" t="s">
        <v>4310</v>
      </c>
      <c r="B1886" s="1208" t="s">
        <v>3949</v>
      </c>
      <c r="C1886" s="1209">
        <v>45077</v>
      </c>
      <c r="D1886" s="1208" t="s">
        <v>389</v>
      </c>
      <c r="E1886" s="1208" t="s">
        <v>390</v>
      </c>
      <c r="F1886" s="1208" t="s">
        <v>4355</v>
      </c>
      <c r="G1886" s="1184" t="s">
        <v>456</v>
      </c>
      <c r="H1886" s="1210">
        <v>300000000</v>
      </c>
      <c r="I1886" s="1208" t="s">
        <v>1932</v>
      </c>
      <c r="J1886" s="1186" t="str">
        <f>VLOOKUP($I1886,'Price List, Weapons &amp; Items'!B:C,2,0)</f>
        <v>Heavy weapon</v>
      </c>
      <c r="K1886" s="1186" t="str">
        <f>IF(I1886=".",I1886,VLOOKUP($I1886,'Price List, Weapons &amp; Items'!B:D,3,0))</f>
        <v>Surface-to-air missile (SAM)</v>
      </c>
      <c r="L1886" s="1187">
        <f>VLOOKUP(I1886,'Price List, Weapons &amp; Items'!B:E,4,0)</f>
        <v>0</v>
      </c>
      <c r="M1886" s="1188" t="s">
        <v>374</v>
      </c>
      <c r="N1886" s="1188" t="s">
        <v>374</v>
      </c>
      <c r="O1886" s="1188">
        <f>VLOOKUP($I1886,'Price List, Weapons &amp; Items'!B:G,6,0)</f>
        <v>3000000</v>
      </c>
      <c r="P1886" s="1185" t="str">
        <f t="shared" si="400"/>
        <v>.</v>
      </c>
      <c r="Q1886" s="1185" t="str">
        <f t="shared" si="401"/>
        <v>.</v>
      </c>
      <c r="R1886" s="1185" t="str">
        <f t="shared" si="397"/>
        <v/>
      </c>
      <c r="S1886" s="1185" t="str">
        <f>IF(AND(AD1886=1,R1886&lt;&gt;".")=TRUE,R1886/VLOOKUP(G1886,'Exchange Rates'!B:C,2,0),IF(R1886=".",".",""))</f>
        <v/>
      </c>
      <c r="T1886" s="1185" t="str">
        <f>IF(AD1886=1,IF(AF1886="Value is not given at all",".",IF(AF1886="Value is given by the source",S1886,IF(AF1886="Value is calculated with prices",(IF(SUMIFS(Q:Q,A:A,A1886)&gt;0,SUMIFS(Q:Q,A:A,A1886),"."))/VLOOKUP("USD",'Exchange Rates'!B:C,2,0),"Error with coding"))),"")</f>
        <v/>
      </c>
      <c r="U1886" s="1191" t="s">
        <v>365</v>
      </c>
      <c r="V1886" s="983" t="s">
        <v>4356</v>
      </c>
      <c r="W1886" s="966" t="s">
        <v>4339</v>
      </c>
      <c r="X1886" s="1208" t="s">
        <v>364</v>
      </c>
      <c r="Y1886" s="1208" t="s">
        <v>364</v>
      </c>
      <c r="Z1886" s="1191">
        <v>0</v>
      </c>
      <c r="AA1886" s="1191">
        <v>1</v>
      </c>
      <c r="AB1886" s="1208" t="s">
        <v>364</v>
      </c>
      <c r="AC1886" s="1192" t="str">
        <f>""</f>
        <v/>
      </c>
      <c r="AD1886" s="1193">
        <v>0</v>
      </c>
      <c r="AE1886" s="1191" t="s">
        <v>368</v>
      </c>
      <c r="AF1886" s="1191" t="s">
        <v>369</v>
      </c>
      <c r="AG1886" s="1193">
        <v>1</v>
      </c>
      <c r="AH1886" s="1193">
        <v>17</v>
      </c>
      <c r="AI1886" s="1193">
        <v>0</v>
      </c>
      <c r="AJ1886" s="1193">
        <f>VLOOKUP($I1886,'Price List, Weapons &amp; Items'!B:F,5,0)</f>
        <v>0</v>
      </c>
      <c r="AK1886" s="1193">
        <f t="shared" si="402"/>
        <v>0</v>
      </c>
      <c r="AL1886" s="1193">
        <f t="shared" si="403"/>
        <v>0</v>
      </c>
      <c r="AM1886" s="1193">
        <f t="shared" si="404"/>
        <v>0</v>
      </c>
      <c r="AN1886" s="1194" t="str">
        <f>VLOOKUP($I1886,'Price List, Weapons &amp; Items'!B:L,COLUMN('Price List, Weapons &amp; Items'!$J$11)-1,0)</f>
        <v>Media reports (incl. social media)</v>
      </c>
      <c r="AO1886" s="1194" t="str">
        <f>IF(I1886=".",".",VLOOKUP($I1886,'Price List, Weapons &amp; Items'!B:J,3,0))</f>
        <v>Surface-to-air missile (SAM)</v>
      </c>
      <c r="AP1886" s="1195" t="str">
        <f t="shared" ca="1" si="398"/>
        <v/>
      </c>
      <c r="AQ1886" s="1194" t="str">
        <f>VLOOKUP($I1886,'Price List, Weapons &amp; Items'!B:L,COLUMN('Price List, Weapons &amp; Items'!$L$11)-1,0)</f>
        <v>no price, 0 count</v>
      </c>
      <c r="AR1886" s="1194">
        <f t="shared" si="405"/>
        <v>1</v>
      </c>
      <c r="AS1886" s="1194">
        <f t="shared" si="406"/>
        <v>1</v>
      </c>
      <c r="AT1886" s="1194">
        <f t="shared" si="407"/>
        <v>1</v>
      </c>
      <c r="AU1886" s="1194" t="str">
        <f>IF(AND(A1886=A1884,C1886=C1884)=TRUE,IF(F1886=F1884,".","1"),".")</f>
        <v>.</v>
      </c>
      <c r="AV1886" s="1194" t="str">
        <f t="shared" si="399"/>
        <v>.</v>
      </c>
      <c r="AW1886" s="1194" t="str">
        <f t="shared" si="408"/>
        <v>.</v>
      </c>
      <c r="AX1886" s="1194">
        <f>IFERROR(VLOOKUP(B1886,'Share, Heavy Weapons to Ukraine'!B:Z,COLUMN('Share, Heavy Weapons to Ukraine'!C1894)-1,0),0)</f>
        <v>1</v>
      </c>
      <c r="AY1886" s="1194">
        <f>VLOOKUP('Bilateral Assistance, MAIN DATA'!B1886,'Country Summary (€)'!B:F,COLUMN('Country Summary (€)'!C1895)-1,FALSE)</f>
        <v>0</v>
      </c>
      <c r="AZ1886" s="1194" t="str">
        <f>IF(AND(AD1886=1,D1886="Military",H1886&lt;&gt;"Not given")=TRUE,IF(SUMIFS(P:P,A:A,A1886)&gt;0,ABS((SUMIFS(P:P,A:A,A1886)/VLOOKUP("USD",'Exchange Rates'!B:C,2,0)))/S1886,"."),".")</f>
        <v>.</v>
      </c>
      <c r="BA1886" s="1196" t="str">
        <f>IF(AND(AD1886=1,D1886="Military",H1886&lt;&gt;"Not given")=TRUE,IF(SUMIFS(P:P,A:A,A1886)&gt;0,IF((ABS((SUMIFS(P:P,A:A,A1886)/VLOOKUP("USD",'Exchange Rates'!B:C,2,0)))/S1886)&gt;1,(SUMIFS(P:P,A:A,A1886)-S1886)/S1886,(S1886-SUMIFS(P:P,A:A,A1886))/SUMIFS(P:P,A:A,A1886)),"."),".")</f>
        <v>.</v>
      </c>
      <c r="BB1886" s="1208"/>
      <c r="BC1886" s="1208"/>
      <c r="BD1886" s="1208"/>
      <c r="BE1886" s="1208"/>
      <c r="BF1886" s="1208"/>
      <c r="BG1886" s="1208"/>
      <c r="BH1886" s="1208"/>
      <c r="BI1886" s="1208"/>
      <c r="BJ1886" s="1208"/>
      <c r="BK1886" s="1208"/>
      <c r="BL1886" s="1208"/>
      <c r="BM1886" s="1208"/>
      <c r="BN1886" s="1208"/>
      <c r="BO1886" s="1208"/>
      <c r="BP1886" s="1208"/>
      <c r="BQ1886" s="1208"/>
      <c r="BR1886" s="1208"/>
      <c r="BS1886" s="1208"/>
    </row>
    <row r="1887" spans="1:71" ht="15.95" customHeight="1">
      <c r="A1887" s="1208" t="s">
        <v>4310</v>
      </c>
      <c r="B1887" s="1208" t="s">
        <v>3949</v>
      </c>
      <c r="C1887" s="1209">
        <v>45077</v>
      </c>
      <c r="D1887" s="1208" t="s">
        <v>389</v>
      </c>
      <c r="E1887" s="1208" t="s">
        <v>390</v>
      </c>
      <c r="F1887" s="1208" t="s">
        <v>4355</v>
      </c>
      <c r="G1887" s="1184" t="s">
        <v>456</v>
      </c>
      <c r="H1887" s="1210">
        <v>300000000</v>
      </c>
      <c r="I1887" s="1208" t="s">
        <v>4357</v>
      </c>
      <c r="J1887" s="1186" t="str">
        <f>VLOOKUP($I1887,'Price List, Weapons &amp; Items'!B:C,2,0)</f>
        <v>Ammunition for heavy weapon</v>
      </c>
      <c r="K1887" s="1186" t="str">
        <f>IF(I1887=".",I1887,VLOOKUP($I1887,'Price List, Weapons &amp; Items'!B:D,3,0))</f>
        <v>Aircraft missile ammunition</v>
      </c>
      <c r="L1887" s="1187">
        <f>VLOOKUP(I1887,'Price List, Weapons &amp; Items'!B:E,4,0)</f>
        <v>0</v>
      </c>
      <c r="M1887" s="1188" t="s">
        <v>374</v>
      </c>
      <c r="N1887" s="1188" t="s">
        <v>374</v>
      </c>
      <c r="O1887" s="1188">
        <f>VLOOKUP($I1887,'Price List, Weapons &amp; Items'!B:G,6,0)</f>
        <v>125000</v>
      </c>
      <c r="P1887" s="1185" t="str">
        <f t="shared" si="400"/>
        <v>.</v>
      </c>
      <c r="Q1887" s="1185" t="str">
        <f t="shared" si="401"/>
        <v>.</v>
      </c>
      <c r="R1887" s="1185" t="str">
        <f t="shared" si="397"/>
        <v/>
      </c>
      <c r="S1887" s="1185" t="str">
        <f>IF(AND(AD1887=1,R1887&lt;&gt;".")=TRUE,R1887/VLOOKUP(G1887,'Exchange Rates'!B:C,2,0),IF(R1887=".",".",""))</f>
        <v/>
      </c>
      <c r="T1887" s="1185" t="str">
        <f>IF(AD1887=1,IF(AF1887="Value is not given at all",".",IF(AF1887="Value is given by the source",S1887,IF(AF1887="Value is calculated with prices",(IF(SUMIFS(Q:Q,A:A,A1887)&gt;0,SUMIFS(Q:Q,A:A,A1887),"."))/VLOOKUP("USD",'Exchange Rates'!B:C,2,0),"Error with coding"))),"")</f>
        <v/>
      </c>
      <c r="U1887" s="1191" t="s">
        <v>365</v>
      </c>
      <c r="V1887" s="983" t="s">
        <v>4356</v>
      </c>
      <c r="W1887" s="966" t="s">
        <v>4339</v>
      </c>
      <c r="X1887" s="1208" t="s">
        <v>364</v>
      </c>
      <c r="Y1887" s="1208" t="s">
        <v>364</v>
      </c>
      <c r="Z1887" s="1191">
        <v>0</v>
      </c>
      <c r="AA1887" s="1191">
        <v>1</v>
      </c>
      <c r="AB1887" s="1208" t="s">
        <v>364</v>
      </c>
      <c r="AC1887" s="1192" t="str">
        <f>""</f>
        <v/>
      </c>
      <c r="AD1887" s="1193">
        <v>0</v>
      </c>
      <c r="AE1887" s="1191" t="s">
        <v>368</v>
      </c>
      <c r="AF1887" s="1191" t="s">
        <v>369</v>
      </c>
      <c r="AG1887" s="1193">
        <v>1</v>
      </c>
      <c r="AH1887" s="1193">
        <v>17</v>
      </c>
      <c r="AI1887" s="1193">
        <v>0</v>
      </c>
      <c r="AJ1887" s="1193">
        <f>VLOOKUP($I1887,'Price List, Weapons &amp; Items'!B:F,5,0)</f>
        <v>0</v>
      </c>
      <c r="AK1887" s="1193">
        <f t="shared" si="402"/>
        <v>0</v>
      </c>
      <c r="AL1887" s="1193">
        <f t="shared" si="403"/>
        <v>0</v>
      </c>
      <c r="AM1887" s="1193">
        <f t="shared" si="404"/>
        <v>0</v>
      </c>
      <c r="AN1887" s="1194" t="str">
        <f>VLOOKUP($I1887,'Price List, Weapons &amp; Items'!B:L,COLUMN('Price List, Weapons &amp; Items'!$J$11)-1,0)</f>
        <v>Military media (incl. websites)</v>
      </c>
      <c r="AO1887" s="1194" t="str">
        <f>IF(I1887=".",".",VLOOKUP($I1887,'Price List, Weapons &amp; Items'!B:J,3,0))</f>
        <v>Aircraft missile ammunition</v>
      </c>
      <c r="AP1887" s="1195" t="str">
        <f t="shared" ca="1" si="398"/>
        <v/>
      </c>
      <c r="AQ1887" s="1194" t="str">
        <f>VLOOKUP($I1887,'Price List, Weapons &amp; Items'!B:L,COLUMN('Price List, Weapons &amp; Items'!$L$11)-1,0)</f>
        <v>no price, 0 count</v>
      </c>
      <c r="AR1887" s="1194">
        <f t="shared" si="405"/>
        <v>1</v>
      </c>
      <c r="AS1887" s="1194">
        <f t="shared" si="406"/>
        <v>1</v>
      </c>
      <c r="AT1887" s="1194">
        <f t="shared" si="407"/>
        <v>1</v>
      </c>
      <c r="AU1887" s="1194" t="str">
        <f t="shared" ref="AU1887:AU1918" si="410">IF(AND(A1887=A1886,C1887=C1886)=TRUE,IF(F1887=F1886,".","1"),".")</f>
        <v>.</v>
      </c>
      <c r="AV1887" s="1194" t="str">
        <f t="shared" si="399"/>
        <v>.</v>
      </c>
      <c r="AW1887" s="1194" t="str">
        <f t="shared" si="408"/>
        <v>.</v>
      </c>
      <c r="AX1887" s="1194">
        <f>IFERROR(VLOOKUP(B1887,'Share, Heavy Weapons to Ukraine'!B:Z,COLUMN('Share, Heavy Weapons to Ukraine'!C1895)-1,0),0)</f>
        <v>1</v>
      </c>
      <c r="AY1887" s="1194">
        <f>VLOOKUP('Bilateral Assistance, MAIN DATA'!B1887,'Country Summary (€)'!B:F,COLUMN('Country Summary (€)'!C1896)-1,FALSE)</f>
        <v>0</v>
      </c>
      <c r="AZ1887" s="1194" t="str">
        <f>IF(AND(AD1887=1,D1887="Military",H1887&lt;&gt;"Not given")=TRUE,IF(SUMIFS(P:P,A:A,A1887)&gt;0,ABS((SUMIFS(P:P,A:A,A1887)/VLOOKUP("USD",'Exchange Rates'!B:C,2,0)))/S1887,"."),".")</f>
        <v>.</v>
      </c>
      <c r="BA1887" s="1196" t="str">
        <f>IF(AND(AD1887=1,D1887="Military",H1887&lt;&gt;"Not given")=TRUE,IF(SUMIFS(P:P,A:A,A1887)&gt;0,IF((ABS((SUMIFS(P:P,A:A,A1887)/VLOOKUP("USD",'Exchange Rates'!B:C,2,0)))/S1887)&gt;1,(SUMIFS(P:P,A:A,A1887)-S1887)/S1887,(S1887-SUMIFS(P:P,A:A,A1887))/SUMIFS(P:P,A:A,A1887)),"."),".")</f>
        <v>.</v>
      </c>
      <c r="BB1887" s="1208"/>
      <c r="BC1887" s="1208"/>
      <c r="BD1887" s="1208"/>
      <c r="BE1887" s="1208"/>
      <c r="BF1887" s="1208"/>
      <c r="BG1887" s="1208"/>
      <c r="BH1887" s="1208"/>
      <c r="BI1887" s="1208"/>
      <c r="BJ1887" s="1208"/>
      <c r="BK1887" s="1208"/>
      <c r="BL1887" s="1208"/>
      <c r="BM1887" s="1208"/>
      <c r="BN1887" s="1208"/>
      <c r="BO1887" s="1208"/>
      <c r="BP1887" s="1208"/>
      <c r="BQ1887" s="1208"/>
      <c r="BR1887" s="1208"/>
      <c r="BS1887" s="1208"/>
    </row>
    <row r="1888" spans="1:71" ht="15.95" customHeight="1">
      <c r="A1888" s="1208" t="s">
        <v>4310</v>
      </c>
      <c r="B1888" s="1208" t="s">
        <v>3949</v>
      </c>
      <c r="C1888" s="1209">
        <v>45077</v>
      </c>
      <c r="D1888" s="1208" t="s">
        <v>389</v>
      </c>
      <c r="E1888" s="1208" t="s">
        <v>390</v>
      </c>
      <c r="F1888" s="1208" t="s">
        <v>4355</v>
      </c>
      <c r="G1888" s="1184" t="s">
        <v>456</v>
      </c>
      <c r="H1888" s="1210">
        <v>300000000</v>
      </c>
      <c r="I1888" s="1208" t="s">
        <v>4298</v>
      </c>
      <c r="J1888" s="1186" t="str">
        <f>VLOOKUP($I1888,'Price List, Weapons &amp; Items'!B:C,2,0)</f>
        <v>Heavy weapon</v>
      </c>
      <c r="K1888" s="1186" t="str">
        <f>IF(I1888=".",I1888,VLOOKUP($I1888,'Price List, Weapons &amp; Items'!B:D,3,0))</f>
        <v>Anti-aircraft surface-to-air missile (SAM) system (point-defense)</v>
      </c>
      <c r="L1888" s="1187">
        <f>VLOOKUP(I1888,'Price List, Weapons &amp; Items'!B:E,4,0)</f>
        <v>0</v>
      </c>
      <c r="M1888" s="1188" t="s">
        <v>374</v>
      </c>
      <c r="N1888" s="1188" t="s">
        <v>374</v>
      </c>
      <c r="O1888" s="1188">
        <f>VLOOKUP($I1888,'Price List, Weapons &amp; Items'!B:G,6,0)</f>
        <v>1866185.221792896</v>
      </c>
      <c r="P1888" s="1185" t="str">
        <f t="shared" si="400"/>
        <v>.</v>
      </c>
      <c r="Q1888" s="1185" t="str">
        <f t="shared" si="401"/>
        <v>.</v>
      </c>
      <c r="R1888" s="1185" t="str">
        <f t="shared" si="397"/>
        <v/>
      </c>
      <c r="S1888" s="1185" t="str">
        <f>IF(AND(AD1888=1,R1888&lt;&gt;".")=TRUE,R1888/VLOOKUP(G1888,'Exchange Rates'!B:C,2,0),IF(R1888=".",".",""))</f>
        <v/>
      </c>
      <c r="T1888" s="1185" t="str">
        <f>IF(AD1888=1,IF(AF1888="Value is not given at all",".",IF(AF1888="Value is given by the source",S1888,IF(AF1888="Value is calculated with prices",(IF(SUMIFS(Q:Q,A:A,A1888)&gt;0,SUMIFS(Q:Q,A:A,A1888),"."))/VLOOKUP("USD",'Exchange Rates'!B:C,2,0),"Error with coding"))),"")</f>
        <v/>
      </c>
      <c r="U1888" s="1191" t="s">
        <v>365</v>
      </c>
      <c r="V1888" s="983" t="s">
        <v>4356</v>
      </c>
      <c r="W1888" s="966" t="s">
        <v>4339</v>
      </c>
      <c r="X1888" s="1208" t="s">
        <v>364</v>
      </c>
      <c r="Y1888" s="1208" t="s">
        <v>364</v>
      </c>
      <c r="Z1888" s="1191">
        <v>0</v>
      </c>
      <c r="AA1888" s="1191">
        <v>1</v>
      </c>
      <c r="AB1888" s="1208" t="s">
        <v>364</v>
      </c>
      <c r="AC1888" s="1192" t="str">
        <f>""</f>
        <v/>
      </c>
      <c r="AD1888" s="1193">
        <v>0</v>
      </c>
      <c r="AE1888" s="1191" t="s">
        <v>368</v>
      </c>
      <c r="AF1888" s="1191" t="s">
        <v>369</v>
      </c>
      <c r="AG1888" s="1193">
        <v>1</v>
      </c>
      <c r="AH1888" s="1193">
        <v>17</v>
      </c>
      <c r="AI1888" s="1193">
        <v>0</v>
      </c>
      <c r="AJ1888" s="1193">
        <f>VLOOKUP($I1888,'Price List, Weapons &amp; Items'!B:F,5,0)</f>
        <v>0</v>
      </c>
      <c r="AK1888" s="1193">
        <f t="shared" si="402"/>
        <v>0</v>
      </c>
      <c r="AL1888" s="1193">
        <f t="shared" si="403"/>
        <v>0</v>
      </c>
      <c r="AM1888" s="1193">
        <f t="shared" si="404"/>
        <v>0</v>
      </c>
      <c r="AN1888" s="1194" t="str">
        <f>VLOOKUP($I1888,'Price List, Weapons &amp; Items'!B:L,COLUMN('Price List, Weapons &amp; Items'!$J$11)-1,0)</f>
        <v>Contracts</v>
      </c>
      <c r="AO1888" s="1194" t="str">
        <f>IF(I1888=".",".",VLOOKUP($I1888,'Price List, Weapons &amp; Items'!B:J,3,0))</f>
        <v>Anti-aircraft surface-to-air missile (SAM) system (point-defense)</v>
      </c>
      <c r="AP1888" s="1195" t="str">
        <f t="shared" ca="1" si="398"/>
        <v/>
      </c>
      <c r="AQ1888" s="1194">
        <f>VLOOKUP($I1888,'Price List, Weapons &amp; Items'!B:L,COLUMN('Price List, Weapons &amp; Items'!$L$11)-1,0)</f>
        <v>2</v>
      </c>
      <c r="AR1888" s="1194">
        <f t="shared" si="405"/>
        <v>1</v>
      </c>
      <c r="AS1888" s="1194">
        <f t="shared" si="406"/>
        <v>1</v>
      </c>
      <c r="AT1888" s="1194">
        <f t="shared" si="407"/>
        <v>1</v>
      </c>
      <c r="AU1888" s="1194" t="str">
        <f t="shared" si="410"/>
        <v>.</v>
      </c>
      <c r="AV1888" s="1194" t="str">
        <f t="shared" si="399"/>
        <v>.</v>
      </c>
      <c r="AW1888" s="1194" t="str">
        <f t="shared" si="408"/>
        <v>.</v>
      </c>
      <c r="AX1888" s="1194">
        <f>IFERROR(VLOOKUP(B1888,'Share, Heavy Weapons to Ukraine'!B:Z,COLUMN('Share, Heavy Weapons to Ukraine'!C1896)-1,0),0)</f>
        <v>1</v>
      </c>
      <c r="AY1888" s="1194">
        <f>VLOOKUP('Bilateral Assistance, MAIN DATA'!B1888,'Country Summary (€)'!B:F,COLUMN('Country Summary (€)'!C1897)-1,FALSE)</f>
        <v>0</v>
      </c>
      <c r="AZ1888" s="1194" t="str">
        <f>IF(AND(AD1888=1,D1888="Military",H1888&lt;&gt;"Not given")=TRUE,IF(SUMIFS(P:P,A:A,A1888)&gt;0,ABS((SUMIFS(P:P,A:A,A1888)/VLOOKUP("USD",'Exchange Rates'!B:C,2,0)))/S1888,"."),".")</f>
        <v>.</v>
      </c>
      <c r="BA1888" s="1196" t="str">
        <f>IF(AND(AD1888=1,D1888="Military",H1888&lt;&gt;"Not given")=TRUE,IF(SUMIFS(P:P,A:A,A1888)&gt;0,IF((ABS((SUMIFS(P:P,A:A,A1888)/VLOOKUP("USD",'Exchange Rates'!B:C,2,0)))/S1888)&gt;1,(SUMIFS(P:P,A:A,A1888)-S1888)/S1888,(S1888-SUMIFS(P:P,A:A,A1888))/SUMIFS(P:P,A:A,A1888)),"."),".")</f>
        <v>.</v>
      </c>
      <c r="BB1888" s="1208"/>
      <c r="BC1888" s="1208"/>
      <c r="BD1888" s="1208"/>
      <c r="BE1888" s="1208"/>
      <c r="BF1888" s="1208"/>
      <c r="BG1888" s="1208"/>
      <c r="BH1888" s="1208"/>
      <c r="BI1888" s="1208"/>
      <c r="BJ1888" s="1208"/>
      <c r="BK1888" s="1208"/>
      <c r="BL1888" s="1208"/>
      <c r="BM1888" s="1208"/>
      <c r="BN1888" s="1208"/>
      <c r="BO1888" s="1208"/>
      <c r="BP1888" s="1208"/>
      <c r="BQ1888" s="1208"/>
      <c r="BR1888" s="1208"/>
      <c r="BS1888" s="1208"/>
    </row>
    <row r="1889" spans="1:71" ht="15.95" customHeight="1">
      <c r="A1889" s="1208" t="s">
        <v>4310</v>
      </c>
      <c r="B1889" s="1208" t="s">
        <v>3949</v>
      </c>
      <c r="C1889" s="1209">
        <v>45077</v>
      </c>
      <c r="D1889" s="1208" t="s">
        <v>389</v>
      </c>
      <c r="E1889" s="1208" t="s">
        <v>390</v>
      </c>
      <c r="F1889" s="1208" t="s">
        <v>4355</v>
      </c>
      <c r="G1889" s="1184" t="s">
        <v>456</v>
      </c>
      <c r="H1889" s="1210">
        <v>300000000</v>
      </c>
      <c r="I1889" s="1208" t="s">
        <v>1239</v>
      </c>
      <c r="J1889" s="1186" t="str">
        <f>VLOOKUP($I1889,'Price List, Weapons &amp; Items'!B:C,2,0)</f>
        <v>Portable defence system</v>
      </c>
      <c r="K1889" s="1186" t="str">
        <f>IF(I1889=".",I1889,VLOOKUP($I1889,'Price List, Weapons &amp; Items'!B:D,3,0))</f>
        <v>MANPADS</v>
      </c>
      <c r="L1889" s="1187">
        <f>VLOOKUP(I1889,'Price List, Weapons &amp; Items'!B:E,4,0)</f>
        <v>0</v>
      </c>
      <c r="M1889" s="1188" t="s">
        <v>374</v>
      </c>
      <c r="N1889" s="1188" t="s">
        <v>374</v>
      </c>
      <c r="O1889" s="1188">
        <f>VLOOKUP($I1889,'Price List, Weapons &amp; Items'!B:G,6,0)</f>
        <v>119000</v>
      </c>
      <c r="P1889" s="1185" t="str">
        <f t="shared" si="400"/>
        <v>.</v>
      </c>
      <c r="Q1889" s="1185" t="str">
        <f t="shared" si="401"/>
        <v>.</v>
      </c>
      <c r="R1889" s="1185" t="str">
        <f t="shared" si="397"/>
        <v/>
      </c>
      <c r="S1889" s="1185" t="str">
        <f>IF(AND(AD1889=1,R1889&lt;&gt;".")=TRUE,R1889/VLOOKUP(G1889,'Exchange Rates'!B:C,2,0),IF(R1889=".",".",""))</f>
        <v/>
      </c>
      <c r="T1889" s="1185" t="str">
        <f>IF(AD1889=1,IF(AF1889="Value is not given at all",".",IF(AF1889="Value is given by the source",S1889,IF(AF1889="Value is calculated with prices",(IF(SUMIFS(Q:Q,A:A,A1889)&gt;0,SUMIFS(Q:Q,A:A,A1889),"."))/VLOOKUP("USD",'Exchange Rates'!B:C,2,0),"Error with coding"))),"")</f>
        <v/>
      </c>
      <c r="U1889" s="1191" t="s">
        <v>365</v>
      </c>
      <c r="V1889" s="983" t="s">
        <v>4356</v>
      </c>
      <c r="W1889" s="966" t="s">
        <v>4339</v>
      </c>
      <c r="X1889" s="1208" t="s">
        <v>364</v>
      </c>
      <c r="Y1889" s="1208" t="s">
        <v>364</v>
      </c>
      <c r="Z1889" s="1191">
        <v>0</v>
      </c>
      <c r="AA1889" s="1191">
        <v>1</v>
      </c>
      <c r="AB1889" s="1208" t="s">
        <v>364</v>
      </c>
      <c r="AC1889" s="1192" t="str">
        <f>""</f>
        <v/>
      </c>
      <c r="AD1889" s="1193">
        <v>0</v>
      </c>
      <c r="AE1889" s="1191" t="s">
        <v>368</v>
      </c>
      <c r="AF1889" s="1191" t="s">
        <v>369</v>
      </c>
      <c r="AG1889" s="1193">
        <v>1</v>
      </c>
      <c r="AH1889" s="1193">
        <v>17</v>
      </c>
      <c r="AI1889" s="1193">
        <v>0</v>
      </c>
      <c r="AJ1889" s="1193">
        <f>VLOOKUP($I1889,'Price List, Weapons &amp; Items'!B:F,5,0)</f>
        <v>0</v>
      </c>
      <c r="AK1889" s="1193">
        <f t="shared" si="402"/>
        <v>0</v>
      </c>
      <c r="AL1889" s="1193">
        <f t="shared" si="403"/>
        <v>0</v>
      </c>
      <c r="AM1889" s="1193">
        <f t="shared" si="404"/>
        <v>0</v>
      </c>
      <c r="AN1889" s="1194" t="str">
        <f>VLOOKUP($I1889,'Price List, Weapons &amp; Items'!B:L,COLUMN('Price List, Weapons &amp; Items'!$J$11)-1,0)</f>
        <v>Miscellaneous</v>
      </c>
      <c r="AO1889" s="1194" t="str">
        <f>IF(I1889=".",".",VLOOKUP($I1889,'Price List, Weapons &amp; Items'!B:J,3,0))</f>
        <v>MANPADS</v>
      </c>
      <c r="AP1889" s="1195" t="str">
        <f t="shared" ca="1" si="398"/>
        <v/>
      </c>
      <c r="AQ1889" s="1194">
        <f>VLOOKUP($I1889,'Price List, Weapons &amp; Items'!B:L,COLUMN('Price List, Weapons &amp; Items'!$L$11)-1,0)</f>
        <v>2</v>
      </c>
      <c r="AR1889" s="1194">
        <f t="shared" si="405"/>
        <v>1</v>
      </c>
      <c r="AS1889" s="1194">
        <f t="shared" si="406"/>
        <v>1</v>
      </c>
      <c r="AT1889" s="1194">
        <f t="shared" si="407"/>
        <v>1</v>
      </c>
      <c r="AU1889" s="1194" t="str">
        <f t="shared" si="410"/>
        <v>.</v>
      </c>
      <c r="AV1889" s="1194" t="str">
        <f t="shared" si="399"/>
        <v>.</v>
      </c>
      <c r="AW1889" s="1194" t="str">
        <f t="shared" si="408"/>
        <v>.</v>
      </c>
      <c r="AX1889" s="1194">
        <f>IFERROR(VLOOKUP(B1889,'Share, Heavy Weapons to Ukraine'!B:Z,COLUMN('Share, Heavy Weapons to Ukraine'!C1897)-1,0),0)</f>
        <v>1</v>
      </c>
      <c r="AY1889" s="1194">
        <f>VLOOKUP('Bilateral Assistance, MAIN DATA'!B1889,'Country Summary (€)'!B:F,COLUMN('Country Summary (€)'!C1898)-1,FALSE)</f>
        <v>0</v>
      </c>
      <c r="AZ1889" s="1194" t="str">
        <f>IF(AND(AD1889=1,D1889="Military",H1889&lt;&gt;"Not given")=TRUE,IF(SUMIFS(P:P,A:A,A1889)&gt;0,ABS((SUMIFS(P:P,A:A,A1889)/VLOOKUP("USD",'Exchange Rates'!B:C,2,0)))/S1889,"."),".")</f>
        <v>.</v>
      </c>
      <c r="BA1889" s="1196" t="str">
        <f>IF(AND(AD1889=1,D1889="Military",H1889&lt;&gt;"Not given")=TRUE,IF(SUMIFS(P:P,A:A,A1889)&gt;0,IF((ABS((SUMIFS(P:P,A:A,A1889)/VLOOKUP("USD",'Exchange Rates'!B:C,2,0)))/S1889)&gt;1,(SUMIFS(P:P,A:A,A1889)-S1889)/S1889,(S1889-SUMIFS(P:P,A:A,A1889))/SUMIFS(P:P,A:A,A1889)),"."),".")</f>
        <v>.</v>
      </c>
      <c r="BB1889" s="1208"/>
      <c r="BC1889" s="1208"/>
      <c r="BD1889" s="1208"/>
      <c r="BE1889" s="1208"/>
      <c r="BF1889" s="1208"/>
      <c r="BG1889" s="1208"/>
      <c r="BH1889" s="1208"/>
      <c r="BI1889" s="1208"/>
      <c r="BJ1889" s="1208"/>
      <c r="BK1889" s="1208"/>
      <c r="BL1889" s="1208"/>
      <c r="BM1889" s="1208"/>
      <c r="BN1889" s="1208"/>
      <c r="BO1889" s="1208"/>
      <c r="BP1889" s="1208"/>
      <c r="BQ1889" s="1208"/>
      <c r="BR1889" s="1208"/>
      <c r="BS1889" s="1208"/>
    </row>
    <row r="1890" spans="1:71" ht="15.95" customHeight="1">
      <c r="A1890" s="1208" t="s">
        <v>4310</v>
      </c>
      <c r="B1890" s="1208" t="s">
        <v>3949</v>
      </c>
      <c r="C1890" s="1209">
        <v>45077</v>
      </c>
      <c r="D1890" s="1208" t="s">
        <v>389</v>
      </c>
      <c r="E1890" s="1208" t="s">
        <v>390</v>
      </c>
      <c r="F1890" s="1208" t="s">
        <v>4355</v>
      </c>
      <c r="G1890" s="1184" t="s">
        <v>456</v>
      </c>
      <c r="H1890" s="1210">
        <v>300000000</v>
      </c>
      <c r="I1890" s="1208" t="s">
        <v>4325</v>
      </c>
      <c r="J1890" s="1186" t="str">
        <f>VLOOKUP($I1890,'Price List, Weapons &amp; Items'!B:C,2,0)</f>
        <v>Ammunition for heavy weapon</v>
      </c>
      <c r="K1890" s="1186" t="str">
        <f>IF(I1890=".",I1890,VLOOKUP($I1890,'Price List, Weapons &amp; Items'!B:D,3,0))</f>
        <v>227mm MLRS ammunition</v>
      </c>
      <c r="L1890" s="1187">
        <f>VLOOKUP(I1890,'Price List, Weapons &amp; Items'!B:E,4,0)</f>
        <v>0</v>
      </c>
      <c r="M1890" s="1188" t="s">
        <v>374</v>
      </c>
      <c r="N1890" s="1188" t="s">
        <v>374</v>
      </c>
      <c r="O1890" s="1188">
        <f>VLOOKUP($I1890,'Price List, Weapons &amp; Items'!B:G,6,0)</f>
        <v>150000</v>
      </c>
      <c r="P1890" s="1185" t="str">
        <f t="shared" si="400"/>
        <v>.</v>
      </c>
      <c r="Q1890" s="1185" t="str">
        <f t="shared" si="401"/>
        <v>.</v>
      </c>
      <c r="R1890" s="1185" t="str">
        <f t="shared" si="397"/>
        <v/>
      </c>
      <c r="S1890" s="1185" t="str">
        <f>IF(AND(AD1890=1,R1890&lt;&gt;".")=TRUE,R1890/VLOOKUP(G1890,'Exchange Rates'!B:C,2,0),IF(R1890=".",".",""))</f>
        <v/>
      </c>
      <c r="T1890" s="1185" t="str">
        <f>IF(AD1890=1,IF(AF1890="Value is not given at all",".",IF(AF1890="Value is given by the source",S1890,IF(AF1890="Value is calculated with prices",(IF(SUMIFS(Q:Q,A:A,A1890)&gt;0,SUMIFS(Q:Q,A:A,A1890),"."))/VLOOKUP("USD",'Exchange Rates'!B:C,2,0),"Error with coding"))),"")</f>
        <v/>
      </c>
      <c r="U1890" s="1191" t="s">
        <v>365</v>
      </c>
      <c r="V1890" s="983" t="s">
        <v>4356</v>
      </c>
      <c r="W1890" s="966" t="s">
        <v>4339</v>
      </c>
      <c r="X1890" s="1208" t="s">
        <v>364</v>
      </c>
      <c r="Y1890" s="1208" t="s">
        <v>364</v>
      </c>
      <c r="Z1890" s="1191">
        <v>0</v>
      </c>
      <c r="AA1890" s="1191">
        <v>1</v>
      </c>
      <c r="AB1890" s="1208" t="s">
        <v>364</v>
      </c>
      <c r="AC1890" s="1192" t="str">
        <f>""</f>
        <v/>
      </c>
      <c r="AD1890" s="1193">
        <v>0</v>
      </c>
      <c r="AE1890" s="1191" t="s">
        <v>368</v>
      </c>
      <c r="AF1890" s="1191" t="s">
        <v>369</v>
      </c>
      <c r="AG1890" s="1193">
        <v>1</v>
      </c>
      <c r="AH1890" s="1193">
        <v>17</v>
      </c>
      <c r="AI1890" s="1193">
        <v>0</v>
      </c>
      <c r="AJ1890" s="1193">
        <f>VLOOKUP($I1890,'Price List, Weapons &amp; Items'!B:F,5,0)</f>
        <v>1</v>
      </c>
      <c r="AK1890" s="1193">
        <f t="shared" si="402"/>
        <v>1</v>
      </c>
      <c r="AL1890" s="1193">
        <f t="shared" si="403"/>
        <v>1</v>
      </c>
      <c r="AM1890" s="1193">
        <f t="shared" si="404"/>
        <v>1</v>
      </c>
      <c r="AN1890" s="1194" t="str">
        <f>VLOOKUP($I1890,'Price List, Weapons &amp; Items'!B:L,COLUMN('Price List, Weapons &amp; Items'!$J$11)-1,0)</f>
        <v>Media reports (incl. social media)</v>
      </c>
      <c r="AO1890" s="1194" t="str">
        <f>IF(I1890=".",".",VLOOKUP($I1890,'Price List, Weapons &amp; Items'!B:J,3,0))</f>
        <v>227mm MLRS ammunition</v>
      </c>
      <c r="AP1890" s="1195" t="str">
        <f t="shared" ca="1" si="398"/>
        <v/>
      </c>
      <c r="AQ1890" s="1194" t="str">
        <f>VLOOKUP($I1890,'Price List, Weapons &amp; Items'!B:L,COLUMN('Price List, Weapons &amp; Items'!$L$11)-1,0)</f>
        <v>no price, 0 count</v>
      </c>
      <c r="AR1890" s="1194">
        <f t="shared" si="405"/>
        <v>1</v>
      </c>
      <c r="AS1890" s="1194">
        <f t="shared" si="406"/>
        <v>1</v>
      </c>
      <c r="AT1890" s="1194">
        <f t="shared" si="407"/>
        <v>1</v>
      </c>
      <c r="AU1890" s="1194" t="str">
        <f t="shared" si="410"/>
        <v>.</v>
      </c>
      <c r="AV1890" s="1194" t="str">
        <f t="shared" si="399"/>
        <v>.</v>
      </c>
      <c r="AW1890" s="1194" t="str">
        <f t="shared" si="408"/>
        <v>.</v>
      </c>
      <c r="AX1890" s="1194">
        <f>IFERROR(VLOOKUP(B1890,'Share, Heavy Weapons to Ukraine'!B:Z,COLUMN('Share, Heavy Weapons to Ukraine'!C1898)-1,0),0)</f>
        <v>1</v>
      </c>
      <c r="AY1890" s="1194">
        <f>VLOOKUP('Bilateral Assistance, MAIN DATA'!B1890,'Country Summary (€)'!B:F,COLUMN('Country Summary (€)'!C1899)-1,FALSE)</f>
        <v>0</v>
      </c>
      <c r="AZ1890" s="1194" t="str">
        <f>IF(AND(AD1890=1,D1890="Military",H1890&lt;&gt;"Not given")=TRUE,IF(SUMIFS(P:P,A:A,A1890)&gt;0,ABS((SUMIFS(P:P,A:A,A1890)/VLOOKUP("USD",'Exchange Rates'!B:C,2,0)))/S1890,"."),".")</f>
        <v>.</v>
      </c>
      <c r="BA1890" s="1196" t="str">
        <f>IF(AND(AD1890=1,D1890="Military",H1890&lt;&gt;"Not given")=TRUE,IF(SUMIFS(P:P,A:A,A1890)&gt;0,IF((ABS((SUMIFS(P:P,A:A,A1890)/VLOOKUP("USD",'Exchange Rates'!B:C,2,0)))/S1890)&gt;1,(SUMIFS(P:P,A:A,A1890)-S1890)/S1890,(S1890-SUMIFS(P:P,A:A,A1890))/SUMIFS(P:P,A:A,A1890)),"."),".")</f>
        <v>.</v>
      </c>
      <c r="BB1890" s="1208"/>
      <c r="BC1890" s="1208"/>
      <c r="BD1890" s="1208"/>
      <c r="BE1890" s="1208"/>
      <c r="BF1890" s="1208"/>
      <c r="BG1890" s="1208"/>
      <c r="BH1890" s="1208"/>
      <c r="BI1890" s="1208"/>
      <c r="BJ1890" s="1208"/>
      <c r="BK1890" s="1208"/>
      <c r="BL1890" s="1208"/>
      <c r="BM1890" s="1208"/>
      <c r="BN1890" s="1208"/>
      <c r="BO1890" s="1208"/>
      <c r="BP1890" s="1208"/>
      <c r="BQ1890" s="1208"/>
      <c r="BR1890" s="1208"/>
      <c r="BS1890" s="1208"/>
    </row>
    <row r="1891" spans="1:71" ht="15.95" customHeight="1">
      <c r="A1891" s="1208" t="s">
        <v>4310</v>
      </c>
      <c r="B1891" s="1208" t="s">
        <v>3949</v>
      </c>
      <c r="C1891" s="1209">
        <v>45077</v>
      </c>
      <c r="D1891" s="1208" t="s">
        <v>389</v>
      </c>
      <c r="E1891" s="1208" t="s">
        <v>390</v>
      </c>
      <c r="F1891" s="1208" t="s">
        <v>4355</v>
      </c>
      <c r="G1891" s="1184" t="s">
        <v>456</v>
      </c>
      <c r="H1891" s="1210">
        <v>300000000</v>
      </c>
      <c r="I1891" s="1208" t="s">
        <v>856</v>
      </c>
      <c r="J1891" s="1186" t="str">
        <f>VLOOKUP($I1891,'Price List, Weapons &amp; Items'!B:C,2,0)</f>
        <v>Ammunition for heavy weapon</v>
      </c>
      <c r="K1891" s="1186" t="str">
        <f>IF(I1891=".",I1891,VLOOKUP($I1891,'Price List, Weapons &amp; Items'!B:D,3,0))</f>
        <v>155mm howitzer ammunition</v>
      </c>
      <c r="L1891" s="1187">
        <f>VLOOKUP(I1891,'Price List, Weapons &amp; Items'!B:E,4,0)</f>
        <v>0</v>
      </c>
      <c r="M1891" s="1188" t="s">
        <v>374</v>
      </c>
      <c r="N1891" s="1188" t="s">
        <v>374</v>
      </c>
      <c r="O1891" s="1188">
        <f>VLOOKUP($I1891,'Price List, Weapons &amp; Items'!B:G,6,0)</f>
        <v>3800</v>
      </c>
      <c r="P1891" s="1185" t="str">
        <f t="shared" si="400"/>
        <v>.</v>
      </c>
      <c r="Q1891" s="1185" t="str">
        <f t="shared" si="401"/>
        <v>.</v>
      </c>
      <c r="R1891" s="1185" t="str">
        <f t="shared" si="397"/>
        <v/>
      </c>
      <c r="S1891" s="1185" t="str">
        <f>IF(AND(AD1891=1,R1891&lt;&gt;".")=TRUE,R1891/VLOOKUP(G1891,'Exchange Rates'!B:C,2,0),IF(R1891=".",".",""))</f>
        <v/>
      </c>
      <c r="T1891" s="1185" t="str">
        <f>IF(AD1891=1,IF(AF1891="Value is not given at all",".",IF(AF1891="Value is given by the source",S1891,IF(AF1891="Value is calculated with prices",(IF(SUMIFS(Q:Q,A:A,A1891)&gt;0,SUMIFS(Q:Q,A:A,A1891),"."))/VLOOKUP("USD",'Exchange Rates'!B:C,2,0),"Error with coding"))),"")</f>
        <v/>
      </c>
      <c r="U1891" s="1191" t="s">
        <v>365</v>
      </c>
      <c r="V1891" s="983" t="s">
        <v>4356</v>
      </c>
      <c r="W1891" s="966" t="s">
        <v>4339</v>
      </c>
      <c r="X1891" s="1208" t="s">
        <v>364</v>
      </c>
      <c r="Y1891" s="1208" t="s">
        <v>364</v>
      </c>
      <c r="Z1891" s="1191">
        <v>0</v>
      </c>
      <c r="AA1891" s="1191">
        <v>1</v>
      </c>
      <c r="AB1891" s="1208" t="s">
        <v>364</v>
      </c>
      <c r="AC1891" s="1192" t="str">
        <f>""</f>
        <v/>
      </c>
      <c r="AD1891" s="1193">
        <v>0</v>
      </c>
      <c r="AE1891" s="1191" t="s">
        <v>368</v>
      </c>
      <c r="AF1891" s="1191" t="s">
        <v>369</v>
      </c>
      <c r="AG1891" s="1193">
        <v>1</v>
      </c>
      <c r="AH1891" s="1193">
        <v>17</v>
      </c>
      <c r="AI1891" s="1193">
        <v>0</v>
      </c>
      <c r="AJ1891" s="1193">
        <f>VLOOKUP($I1891,'Price List, Weapons &amp; Items'!B:F,5,0)</f>
        <v>1</v>
      </c>
      <c r="AK1891" s="1193">
        <f t="shared" si="402"/>
        <v>1</v>
      </c>
      <c r="AL1891" s="1193">
        <f t="shared" si="403"/>
        <v>1</v>
      </c>
      <c r="AM1891" s="1193">
        <f t="shared" si="404"/>
        <v>0</v>
      </c>
      <c r="AN1891" s="1194" t="str">
        <f>VLOOKUP($I1891,'Price List, Weapons &amp; Items'!B:L,COLUMN('Price List, Weapons &amp; Items'!$J$11)-1,0)</f>
        <v>Government information</v>
      </c>
      <c r="AO1891" s="1194" t="str">
        <f>IF(I1891=".",".",VLOOKUP($I1891,'Price List, Weapons &amp; Items'!B:J,3,0))</f>
        <v>155mm howitzer ammunition</v>
      </c>
      <c r="AP1891" s="1195" t="str">
        <f t="shared" ca="1" si="398"/>
        <v/>
      </c>
      <c r="AQ1891" s="1194">
        <f>VLOOKUP($I1891,'Price List, Weapons &amp; Items'!B:L,COLUMN('Price List, Weapons &amp; Items'!$L$11)-1,0)</f>
        <v>2</v>
      </c>
      <c r="AR1891" s="1194">
        <f t="shared" si="405"/>
        <v>1</v>
      </c>
      <c r="AS1891" s="1194">
        <f t="shared" si="406"/>
        <v>1</v>
      </c>
      <c r="AT1891" s="1194">
        <f t="shared" si="407"/>
        <v>1</v>
      </c>
      <c r="AU1891" s="1194" t="str">
        <f t="shared" si="410"/>
        <v>.</v>
      </c>
      <c r="AV1891" s="1194" t="str">
        <f t="shared" si="399"/>
        <v>.</v>
      </c>
      <c r="AW1891" s="1194" t="str">
        <f t="shared" si="408"/>
        <v>.</v>
      </c>
      <c r="AX1891" s="1194">
        <f>IFERROR(VLOOKUP(B1891,'Share, Heavy Weapons to Ukraine'!B:Z,COLUMN('Share, Heavy Weapons to Ukraine'!C1899)-1,0),0)</f>
        <v>1</v>
      </c>
      <c r="AY1891" s="1194">
        <f>VLOOKUP('Bilateral Assistance, MAIN DATA'!B1891,'Country Summary (€)'!B:F,COLUMN('Country Summary (€)'!C1900)-1,FALSE)</f>
        <v>0</v>
      </c>
      <c r="AZ1891" s="1194" t="str">
        <f>IF(AND(AD1891=1,D1891="Military",H1891&lt;&gt;"Not given")=TRUE,IF(SUMIFS(P:P,A:A,A1891)&gt;0,ABS((SUMIFS(P:P,A:A,A1891)/VLOOKUP("USD",'Exchange Rates'!B:C,2,0)))/S1891,"."),".")</f>
        <v>.</v>
      </c>
      <c r="BA1891" s="1196" t="str">
        <f>IF(AND(AD1891=1,D1891="Military",H1891&lt;&gt;"Not given")=TRUE,IF(SUMIFS(P:P,A:A,A1891)&gt;0,IF((ABS((SUMIFS(P:P,A:A,A1891)/VLOOKUP("USD",'Exchange Rates'!B:C,2,0)))/S1891)&gt;1,(SUMIFS(P:P,A:A,A1891)-S1891)/S1891,(S1891-SUMIFS(P:P,A:A,A1891))/SUMIFS(P:P,A:A,A1891)),"."),".")</f>
        <v>.</v>
      </c>
      <c r="BB1891" s="1208"/>
      <c r="BC1891" s="1208"/>
      <c r="BD1891" s="1208"/>
      <c r="BE1891" s="1208"/>
      <c r="BF1891" s="1208"/>
      <c r="BG1891" s="1208"/>
      <c r="BH1891" s="1208"/>
      <c r="BI1891" s="1208"/>
      <c r="BJ1891" s="1208"/>
      <c r="BK1891" s="1208"/>
      <c r="BL1891" s="1208"/>
      <c r="BM1891" s="1208"/>
      <c r="BN1891" s="1208"/>
      <c r="BO1891" s="1208"/>
      <c r="BP1891" s="1208"/>
      <c r="BQ1891" s="1208"/>
      <c r="BR1891" s="1208"/>
      <c r="BS1891" s="1208"/>
    </row>
    <row r="1892" spans="1:71" ht="15.95" customHeight="1">
      <c r="A1892" s="1208" t="s">
        <v>4310</v>
      </c>
      <c r="B1892" s="1208" t="s">
        <v>3949</v>
      </c>
      <c r="C1892" s="1209">
        <v>45077</v>
      </c>
      <c r="D1892" s="1208" t="s">
        <v>389</v>
      </c>
      <c r="E1892" s="1208" t="s">
        <v>390</v>
      </c>
      <c r="F1892" s="1208" t="s">
        <v>4355</v>
      </c>
      <c r="G1892" s="1184" t="s">
        <v>456</v>
      </c>
      <c r="H1892" s="1210">
        <v>300000000</v>
      </c>
      <c r="I1892" s="1208" t="s">
        <v>645</v>
      </c>
      <c r="J1892" s="1186" t="str">
        <f>VLOOKUP($I1892,'Price List, Weapons &amp; Items'!B:C,2,0)</f>
        <v>Ammunition for heavy weapon</v>
      </c>
      <c r="K1892" s="1186" t="str">
        <f>IF(I1892=".",I1892,VLOOKUP($I1892,'Price List, Weapons &amp; Items'!B:D,3,0))</f>
        <v>105mm</v>
      </c>
      <c r="L1892" s="1187">
        <f>VLOOKUP(I1892,'Price List, Weapons &amp; Items'!B:E,4,0)</f>
        <v>0</v>
      </c>
      <c r="M1892" s="1188" t="s">
        <v>374</v>
      </c>
      <c r="N1892" s="1188" t="s">
        <v>374</v>
      </c>
      <c r="O1892" s="1188">
        <f>VLOOKUP($I1892,'Price List, Weapons &amp; Items'!B:G,6,0)</f>
        <v>400</v>
      </c>
      <c r="P1892" s="1185" t="str">
        <f t="shared" si="400"/>
        <v>.</v>
      </c>
      <c r="Q1892" s="1185" t="str">
        <f t="shared" si="401"/>
        <v>.</v>
      </c>
      <c r="R1892" s="1185" t="str">
        <f t="shared" si="397"/>
        <v/>
      </c>
      <c r="S1892" s="1185" t="str">
        <f>IF(AND(AD1892=1,R1892&lt;&gt;".")=TRUE,R1892/VLOOKUP(G1892,'Exchange Rates'!B:C,2,0),IF(R1892=".",".",""))</f>
        <v/>
      </c>
      <c r="T1892" s="1185" t="str">
        <f>IF(AD1892=1,IF(AF1892="Value is not given at all",".",IF(AF1892="Value is given by the source",S1892,IF(AF1892="Value is calculated with prices",(IF(SUMIFS(Q:Q,A:A,A1892)&gt;0,SUMIFS(Q:Q,A:A,A1892),"."))/VLOOKUP("USD",'Exchange Rates'!B:C,2,0),"Error with coding"))),"")</f>
        <v/>
      </c>
      <c r="U1892" s="1191" t="s">
        <v>365</v>
      </c>
      <c r="V1892" s="983" t="s">
        <v>4356</v>
      </c>
      <c r="W1892" s="966" t="s">
        <v>4339</v>
      </c>
      <c r="X1892" s="1208" t="s">
        <v>364</v>
      </c>
      <c r="Y1892" s="1208" t="s">
        <v>364</v>
      </c>
      <c r="Z1892" s="1191">
        <v>0</v>
      </c>
      <c r="AA1892" s="1191">
        <v>1</v>
      </c>
      <c r="AB1892" s="1208" t="s">
        <v>364</v>
      </c>
      <c r="AC1892" s="1192" t="str">
        <f>""</f>
        <v/>
      </c>
      <c r="AD1892" s="1193">
        <v>0</v>
      </c>
      <c r="AE1892" s="1191" t="s">
        <v>368</v>
      </c>
      <c r="AF1892" s="1191" t="s">
        <v>369</v>
      </c>
      <c r="AG1892" s="1193">
        <v>1</v>
      </c>
      <c r="AH1892" s="1193">
        <v>17</v>
      </c>
      <c r="AI1892" s="1193">
        <v>0</v>
      </c>
      <c r="AJ1892" s="1193">
        <f>VLOOKUP($I1892,'Price List, Weapons &amp; Items'!B:F,5,0)</f>
        <v>0</v>
      </c>
      <c r="AK1892" s="1193">
        <f t="shared" si="402"/>
        <v>0</v>
      </c>
      <c r="AL1892" s="1193">
        <f t="shared" si="403"/>
        <v>0</v>
      </c>
      <c r="AM1892" s="1193">
        <f t="shared" si="404"/>
        <v>0</v>
      </c>
      <c r="AN1892" s="1194" t="str">
        <f>VLOOKUP($I1892,'Price List, Weapons &amp; Items'!B:L,COLUMN('Price List, Weapons &amp; Items'!$J$11)-1,0)</f>
        <v>Military media (incl. websites)</v>
      </c>
      <c r="AO1892" s="1194" t="str">
        <f>IF(I1892=".",".",VLOOKUP($I1892,'Price List, Weapons &amp; Items'!B:J,3,0))</f>
        <v>105mm</v>
      </c>
      <c r="AP1892" s="1195" t="str">
        <f t="shared" ca="1" si="398"/>
        <v/>
      </c>
      <c r="AQ1892" s="1194">
        <f>VLOOKUP($I1892,'Price List, Weapons &amp; Items'!B:L,COLUMN('Price List, Weapons &amp; Items'!$L$11)-1,0)</f>
        <v>2</v>
      </c>
      <c r="AR1892" s="1194">
        <f t="shared" si="405"/>
        <v>1</v>
      </c>
      <c r="AS1892" s="1194">
        <f t="shared" si="406"/>
        <v>1</v>
      </c>
      <c r="AT1892" s="1194">
        <f t="shared" si="407"/>
        <v>1</v>
      </c>
      <c r="AU1892" s="1194" t="str">
        <f t="shared" si="410"/>
        <v>.</v>
      </c>
      <c r="AV1892" s="1194" t="str">
        <f t="shared" si="399"/>
        <v>.</v>
      </c>
      <c r="AW1892" s="1194" t="str">
        <f t="shared" si="408"/>
        <v>.</v>
      </c>
      <c r="AX1892" s="1194">
        <f>IFERROR(VLOOKUP(B1892,'Share, Heavy Weapons to Ukraine'!B:Z,COLUMN('Share, Heavy Weapons to Ukraine'!C1900)-1,0),0)</f>
        <v>1</v>
      </c>
      <c r="AY1892" s="1194">
        <f>VLOOKUP('Bilateral Assistance, MAIN DATA'!B1892,'Country Summary (€)'!B:F,COLUMN('Country Summary (€)'!C1901)-1,FALSE)</f>
        <v>0</v>
      </c>
      <c r="AZ1892" s="1194" t="str">
        <f>IF(AND(AD1892=1,D1892="Military",H1892&lt;&gt;"Not given")=TRUE,IF(SUMIFS(P:P,A:A,A1892)&gt;0,ABS((SUMIFS(P:P,A:A,A1892)/VLOOKUP("USD",'Exchange Rates'!B:C,2,0)))/S1892,"."),".")</f>
        <v>.</v>
      </c>
      <c r="BA1892" s="1196" t="str">
        <f>IF(AND(AD1892=1,D1892="Military",H1892&lt;&gt;"Not given")=TRUE,IF(SUMIFS(P:P,A:A,A1892)&gt;0,IF((ABS((SUMIFS(P:P,A:A,A1892)/VLOOKUP("USD",'Exchange Rates'!B:C,2,0)))/S1892)&gt;1,(SUMIFS(P:P,A:A,A1892)-S1892)/S1892,(S1892-SUMIFS(P:P,A:A,A1892))/SUMIFS(P:P,A:A,A1892)),"."),".")</f>
        <v>.</v>
      </c>
      <c r="BB1892" s="1208"/>
      <c r="BC1892" s="1208"/>
      <c r="BD1892" s="1208"/>
      <c r="BE1892" s="1208"/>
      <c r="BF1892" s="1208"/>
      <c r="BG1892" s="1208"/>
      <c r="BH1892" s="1208"/>
      <c r="BI1892" s="1208"/>
      <c r="BJ1892" s="1208"/>
      <c r="BK1892" s="1208"/>
      <c r="BL1892" s="1208"/>
      <c r="BM1892" s="1208"/>
      <c r="BN1892" s="1208"/>
      <c r="BO1892" s="1208"/>
      <c r="BP1892" s="1208"/>
      <c r="BQ1892" s="1208"/>
      <c r="BR1892" s="1208"/>
      <c r="BS1892" s="1208"/>
    </row>
    <row r="1893" spans="1:71" ht="15.95" customHeight="1">
      <c r="A1893" s="1208" t="s">
        <v>4310</v>
      </c>
      <c r="B1893" s="1208" t="s">
        <v>3949</v>
      </c>
      <c r="C1893" s="1209">
        <v>45077</v>
      </c>
      <c r="D1893" s="1208" t="s">
        <v>389</v>
      </c>
      <c r="E1893" s="1208" t="s">
        <v>390</v>
      </c>
      <c r="F1893" s="1208" t="s">
        <v>4355</v>
      </c>
      <c r="G1893" s="1184" t="s">
        <v>456</v>
      </c>
      <c r="H1893" s="1210">
        <v>300000000</v>
      </c>
      <c r="I1893" s="1208" t="s">
        <v>4345</v>
      </c>
      <c r="J1893" s="1186" t="str">
        <f>VLOOKUP($I1893,'Price List, Weapons &amp; Items'!B:C,2,0)</f>
        <v>Ammunition for heavy weapon</v>
      </c>
      <c r="K1893" s="1186" t="str">
        <f>IF(I1893=".",I1893,VLOOKUP($I1893,'Price List, Weapons &amp; Items'!B:D,3,0))</f>
        <v>105mm tank ammunition</v>
      </c>
      <c r="L1893" s="1187">
        <f>VLOOKUP(I1893,'Price List, Weapons &amp; Items'!B:E,4,0)</f>
        <v>0</v>
      </c>
      <c r="M1893" s="1188" t="s">
        <v>374</v>
      </c>
      <c r="N1893" s="1188" t="s">
        <v>374</v>
      </c>
      <c r="O1893" s="1188">
        <f>VLOOKUP($I1893,'Price List, Weapons &amp; Items'!B:G,6,0)</f>
        <v>2344.1999999999998</v>
      </c>
      <c r="P1893" s="1185" t="str">
        <f t="shared" si="400"/>
        <v>.</v>
      </c>
      <c r="Q1893" s="1185" t="str">
        <f t="shared" si="401"/>
        <v>.</v>
      </c>
      <c r="R1893" s="1185" t="str">
        <f t="shared" si="397"/>
        <v/>
      </c>
      <c r="S1893" s="1185" t="str">
        <f>IF(AND(AD1893=1,R1893&lt;&gt;".")=TRUE,R1893/VLOOKUP(G1893,'Exchange Rates'!B:C,2,0),IF(R1893=".",".",""))</f>
        <v/>
      </c>
      <c r="T1893" s="1185" t="str">
        <f>IF(AD1893=1,IF(AF1893="Value is not given at all",".",IF(AF1893="Value is given by the source",S1893,IF(AF1893="Value is calculated with prices",(IF(SUMIFS(Q:Q,A:A,A1893)&gt;0,SUMIFS(Q:Q,A:A,A1893),"."))/VLOOKUP("USD",'Exchange Rates'!B:C,2,0),"Error with coding"))),"")</f>
        <v/>
      </c>
      <c r="U1893" s="1191" t="s">
        <v>365</v>
      </c>
      <c r="V1893" s="983" t="s">
        <v>4356</v>
      </c>
      <c r="W1893" s="966" t="s">
        <v>4339</v>
      </c>
      <c r="X1893" s="1208" t="s">
        <v>364</v>
      </c>
      <c r="Y1893" s="1208" t="s">
        <v>364</v>
      </c>
      <c r="Z1893" s="1191">
        <v>0</v>
      </c>
      <c r="AA1893" s="1191">
        <v>1</v>
      </c>
      <c r="AB1893" s="1208" t="s">
        <v>364</v>
      </c>
      <c r="AC1893" s="1192" t="str">
        <f>""</f>
        <v/>
      </c>
      <c r="AD1893" s="1193">
        <v>0</v>
      </c>
      <c r="AE1893" s="1191" t="s">
        <v>368</v>
      </c>
      <c r="AF1893" s="1191" t="s">
        <v>369</v>
      </c>
      <c r="AG1893" s="1193">
        <v>1</v>
      </c>
      <c r="AH1893" s="1193">
        <v>17</v>
      </c>
      <c r="AI1893" s="1193">
        <v>0</v>
      </c>
      <c r="AJ1893" s="1193">
        <f>VLOOKUP($I1893,'Price List, Weapons &amp; Items'!B:F,5,0)</f>
        <v>0</v>
      </c>
      <c r="AK1893" s="1193">
        <f t="shared" si="402"/>
        <v>0</v>
      </c>
      <c r="AL1893" s="1193">
        <f t="shared" si="403"/>
        <v>0</v>
      </c>
      <c r="AM1893" s="1193">
        <f t="shared" si="404"/>
        <v>1</v>
      </c>
      <c r="AN1893" s="1194" t="str">
        <f>VLOOKUP($I1893,'Price List, Weapons &amp; Items'!B:L,COLUMN('Price List, Weapons &amp; Items'!$J$11)-1,0)</f>
        <v>Government information</v>
      </c>
      <c r="AO1893" s="1194" t="str">
        <f>IF(I1893=".",".",VLOOKUP($I1893,'Price List, Weapons &amp; Items'!B:J,3,0))</f>
        <v>105mm tank ammunition</v>
      </c>
      <c r="AP1893" s="1195" t="str">
        <f t="shared" ca="1" si="398"/>
        <v/>
      </c>
      <c r="AQ1893" s="1194" t="str">
        <f>VLOOKUP($I1893,'Price List, Weapons &amp; Items'!B:L,COLUMN('Price List, Weapons &amp; Items'!$L$11)-1,0)</f>
        <v>no price, 0 count</v>
      </c>
      <c r="AR1893" s="1194">
        <f t="shared" si="405"/>
        <v>1</v>
      </c>
      <c r="AS1893" s="1194">
        <f t="shared" si="406"/>
        <v>1</v>
      </c>
      <c r="AT1893" s="1194">
        <f t="shared" si="407"/>
        <v>1</v>
      </c>
      <c r="AU1893" s="1194" t="str">
        <f t="shared" si="410"/>
        <v>.</v>
      </c>
      <c r="AV1893" s="1194" t="str">
        <f t="shared" si="399"/>
        <v>.</v>
      </c>
      <c r="AW1893" s="1194" t="str">
        <f t="shared" si="408"/>
        <v>.</v>
      </c>
      <c r="AX1893" s="1194">
        <f>IFERROR(VLOOKUP(B1893,'Share, Heavy Weapons to Ukraine'!B:Z,COLUMN('Share, Heavy Weapons to Ukraine'!C1901)-1,0),0)</f>
        <v>1</v>
      </c>
      <c r="AY1893" s="1194">
        <f>VLOOKUP('Bilateral Assistance, MAIN DATA'!B1893,'Country Summary (€)'!B:F,COLUMN('Country Summary (€)'!C1902)-1,FALSE)</f>
        <v>0</v>
      </c>
      <c r="AZ1893" s="1194" t="str">
        <f>IF(AND(AD1893=1,D1893="Military",H1893&lt;&gt;"Not given")=TRUE,IF(SUMIFS(P:P,A:A,A1893)&gt;0,ABS((SUMIFS(P:P,A:A,A1893)/VLOOKUP("USD",'Exchange Rates'!B:C,2,0)))/S1893,"."),".")</f>
        <v>.</v>
      </c>
      <c r="BA1893" s="1196" t="str">
        <f>IF(AND(AD1893=1,D1893="Military",H1893&lt;&gt;"Not given")=TRUE,IF(SUMIFS(P:P,A:A,A1893)&gt;0,IF((ABS((SUMIFS(P:P,A:A,A1893)/VLOOKUP("USD",'Exchange Rates'!B:C,2,0)))/S1893)&gt;1,(SUMIFS(P:P,A:A,A1893)-S1893)/S1893,(S1893-SUMIFS(P:P,A:A,A1893))/SUMIFS(P:P,A:A,A1893)),"."),".")</f>
        <v>.</v>
      </c>
      <c r="BB1893" s="1208"/>
      <c r="BC1893" s="1208"/>
      <c r="BD1893" s="1208"/>
      <c r="BE1893" s="1208"/>
      <c r="BF1893" s="1208"/>
      <c r="BG1893" s="1208"/>
      <c r="BH1893" s="1208"/>
      <c r="BI1893" s="1208"/>
      <c r="BJ1893" s="1208"/>
      <c r="BK1893" s="1208"/>
      <c r="BL1893" s="1208"/>
      <c r="BM1893" s="1208"/>
      <c r="BN1893" s="1208"/>
      <c r="BO1893" s="1208"/>
      <c r="BP1893" s="1208"/>
      <c r="BQ1893" s="1208"/>
      <c r="BR1893" s="1208"/>
      <c r="BS1893" s="1208"/>
    </row>
    <row r="1894" spans="1:71" ht="15.95" customHeight="1">
      <c r="A1894" s="1208" t="s">
        <v>4310</v>
      </c>
      <c r="B1894" s="1208" t="s">
        <v>3949</v>
      </c>
      <c r="C1894" s="1209">
        <v>45077</v>
      </c>
      <c r="D1894" s="1208" t="s">
        <v>389</v>
      </c>
      <c r="E1894" s="1208" t="s">
        <v>390</v>
      </c>
      <c r="F1894" s="1208" t="s">
        <v>4355</v>
      </c>
      <c r="G1894" s="1184" t="s">
        <v>456</v>
      </c>
      <c r="H1894" s="1210">
        <v>300000000</v>
      </c>
      <c r="I1894" s="1208" t="s">
        <v>4354</v>
      </c>
      <c r="J1894" s="1186" t="str">
        <f>VLOOKUP($I1894,'Price List, Weapons &amp; Items'!B:C,2,0)</f>
        <v>Heavy weapon</v>
      </c>
      <c r="K1894" s="1186" t="str">
        <f>IF(I1894=".",I1894,VLOOKUP($I1894,'Price List, Weapons &amp; Items'!B:D,3,0))</f>
        <v>ammunition</v>
      </c>
      <c r="L1894" s="1187">
        <f>VLOOKUP(I1894,'Price List, Weapons &amp; Items'!B:E,4,0)</f>
        <v>0</v>
      </c>
      <c r="M1894" s="1188" t="s">
        <v>374</v>
      </c>
      <c r="N1894" s="1188" t="s">
        <v>374</v>
      </c>
      <c r="O1894" s="1188">
        <f>VLOOKUP($I1894,'Price List, Weapons &amp; Items'!B:G,6,0)</f>
        <v>1664700</v>
      </c>
      <c r="P1894" s="1185" t="str">
        <f t="shared" si="400"/>
        <v>.</v>
      </c>
      <c r="Q1894" s="1185" t="str">
        <f t="shared" si="401"/>
        <v>.</v>
      </c>
      <c r="R1894" s="1185" t="str">
        <f t="shared" si="397"/>
        <v/>
      </c>
      <c r="S1894" s="1185" t="str">
        <f>IF(AND(AD1894=1,R1894&lt;&gt;".")=TRUE,R1894/VLOOKUP(G1894,'Exchange Rates'!B:C,2,0),IF(R1894=".",".",""))</f>
        <v/>
      </c>
      <c r="T1894" s="1185" t="str">
        <f>IF(AD1894=1,IF(AF1894="Value is not given at all",".",IF(AF1894="Value is given by the source",S1894,IF(AF1894="Value is calculated with prices",(IF(SUMIFS(Q:Q,A:A,A1894)&gt;0,SUMIFS(Q:Q,A:A,A1894),"."))/VLOOKUP("USD",'Exchange Rates'!B:C,2,0),"Error with coding"))),"")</f>
        <v/>
      </c>
      <c r="U1894" s="1191" t="s">
        <v>365</v>
      </c>
      <c r="V1894" s="983" t="s">
        <v>4356</v>
      </c>
      <c r="W1894" s="966" t="s">
        <v>4339</v>
      </c>
      <c r="X1894" s="1208" t="s">
        <v>364</v>
      </c>
      <c r="Y1894" s="1208" t="s">
        <v>364</v>
      </c>
      <c r="Z1894" s="1191">
        <v>0</v>
      </c>
      <c r="AA1894" s="1191">
        <v>1</v>
      </c>
      <c r="AB1894" s="1208" t="s">
        <v>364</v>
      </c>
      <c r="AC1894" s="1192" t="str">
        <f>""</f>
        <v/>
      </c>
      <c r="AD1894" s="1193">
        <v>0</v>
      </c>
      <c r="AE1894" s="1191" t="s">
        <v>368</v>
      </c>
      <c r="AF1894" s="1191" t="s">
        <v>369</v>
      </c>
      <c r="AG1894" s="1193">
        <v>1</v>
      </c>
      <c r="AH1894" s="1193">
        <v>17</v>
      </c>
      <c r="AI1894" s="1193">
        <v>0</v>
      </c>
      <c r="AJ1894" s="1193">
        <f>VLOOKUP($I1894,'Price List, Weapons &amp; Items'!B:F,5,0)</f>
        <v>0</v>
      </c>
      <c r="AK1894" s="1193">
        <f t="shared" si="402"/>
        <v>0</v>
      </c>
      <c r="AL1894" s="1193">
        <f t="shared" si="403"/>
        <v>0</v>
      </c>
      <c r="AM1894" s="1193">
        <f t="shared" si="404"/>
        <v>0</v>
      </c>
      <c r="AN1894" s="1194" t="str">
        <f>VLOOKUP($I1894,'Price List, Weapons &amp; Items'!B:L,COLUMN('Price List, Weapons &amp; Items'!$J$11)-1,0)</f>
        <v>Government information</v>
      </c>
      <c r="AO1894" s="1194" t="str">
        <f>IF(I1894=".",".",VLOOKUP($I1894,'Price List, Weapons &amp; Items'!B:J,3,0))</f>
        <v>ammunition</v>
      </c>
      <c r="AP1894" s="1195" t="str">
        <f t="shared" ca="1" si="398"/>
        <v/>
      </c>
      <c r="AQ1894" s="1194" t="str">
        <f>VLOOKUP($I1894,'Price List, Weapons &amp; Items'!B:L,COLUMN('Price List, Weapons &amp; Items'!$L$11)-1,0)</f>
        <v>no price, 0 count</v>
      </c>
      <c r="AR1894" s="1194">
        <f t="shared" si="405"/>
        <v>1</v>
      </c>
      <c r="AS1894" s="1194">
        <f t="shared" si="406"/>
        <v>1</v>
      </c>
      <c r="AT1894" s="1194">
        <f t="shared" si="407"/>
        <v>1</v>
      </c>
      <c r="AU1894" s="1194" t="str">
        <f t="shared" si="410"/>
        <v>.</v>
      </c>
      <c r="AV1894" s="1194" t="str">
        <f t="shared" si="399"/>
        <v>.</v>
      </c>
      <c r="AW1894" s="1194" t="str">
        <f t="shared" si="408"/>
        <v>.</v>
      </c>
      <c r="AX1894" s="1194">
        <f>IFERROR(VLOOKUP(B1894,'Share, Heavy Weapons to Ukraine'!B:Z,COLUMN('Share, Heavy Weapons to Ukraine'!C1902)-1,0),0)</f>
        <v>1</v>
      </c>
      <c r="AY1894" s="1194">
        <f>VLOOKUP('Bilateral Assistance, MAIN DATA'!B1894,'Country Summary (€)'!B:F,COLUMN('Country Summary (€)'!C1903)-1,FALSE)</f>
        <v>0</v>
      </c>
      <c r="AZ1894" s="1194" t="str">
        <f>IF(AND(AD1894=1,D1894="Military",H1894&lt;&gt;"Not given")=TRUE,IF(SUMIFS(P:P,A:A,A1894)&gt;0,ABS((SUMIFS(P:P,A:A,A1894)/VLOOKUP("USD",'Exchange Rates'!B:C,2,0)))/S1894,"."),".")</f>
        <v>.</v>
      </c>
      <c r="BA1894" s="1196" t="str">
        <f>IF(AND(AD1894=1,D1894="Military",H1894&lt;&gt;"Not given")=TRUE,IF(SUMIFS(P:P,A:A,A1894)&gt;0,IF((ABS((SUMIFS(P:P,A:A,A1894)/VLOOKUP("USD",'Exchange Rates'!B:C,2,0)))/S1894)&gt;1,(SUMIFS(P:P,A:A,A1894)-S1894)/S1894,(S1894-SUMIFS(P:P,A:A,A1894))/SUMIFS(P:P,A:A,A1894)),"."),".")</f>
        <v>.</v>
      </c>
      <c r="BB1894" s="1208"/>
      <c r="BC1894" s="1208"/>
      <c r="BD1894" s="1208"/>
      <c r="BE1894" s="1208"/>
      <c r="BF1894" s="1208"/>
      <c r="BG1894" s="1208"/>
      <c r="BH1894" s="1208"/>
      <c r="BI1894" s="1208"/>
      <c r="BJ1894" s="1208"/>
      <c r="BK1894" s="1208"/>
      <c r="BL1894" s="1208"/>
      <c r="BM1894" s="1208"/>
      <c r="BN1894" s="1208"/>
      <c r="BO1894" s="1208"/>
      <c r="BP1894" s="1208"/>
      <c r="BQ1894" s="1208"/>
      <c r="BR1894" s="1208"/>
      <c r="BS1894" s="1208"/>
    </row>
    <row r="1895" spans="1:71" ht="15.95" customHeight="1">
      <c r="A1895" s="1208" t="s">
        <v>4310</v>
      </c>
      <c r="B1895" s="1208" t="s">
        <v>3949</v>
      </c>
      <c r="C1895" s="1209">
        <v>45077</v>
      </c>
      <c r="D1895" s="1208" t="s">
        <v>389</v>
      </c>
      <c r="E1895" s="1208" t="s">
        <v>390</v>
      </c>
      <c r="F1895" s="1208" t="s">
        <v>4355</v>
      </c>
      <c r="G1895" s="1184" t="s">
        <v>456</v>
      </c>
      <c r="H1895" s="1210">
        <v>300000000</v>
      </c>
      <c r="I1895" s="1208" t="s">
        <v>4320</v>
      </c>
      <c r="J1895" s="1186" t="str">
        <f>VLOOKUP($I1895,'Price List, Weapons &amp; Items'!B:C,2,0)</f>
        <v>Ammunition for heavy weapon</v>
      </c>
      <c r="K1895" s="1186" t="str">
        <f>IF(I1895=".",I1895,VLOOKUP($I1895,'Price List, Weapons &amp; Items'!B:D,3,0))</f>
        <v>missile</v>
      </c>
      <c r="L1895" s="1187">
        <f>VLOOKUP(I1895,'Price List, Weapons &amp; Items'!B:E,4,0)</f>
        <v>0</v>
      </c>
      <c r="M1895" s="1188" t="s">
        <v>374</v>
      </c>
      <c r="N1895" s="1188" t="s">
        <v>374</v>
      </c>
      <c r="O1895" s="1188">
        <f>VLOOKUP($I1895,'Price List, Weapons &amp; Items'!B:G,6,0)</f>
        <v>400</v>
      </c>
      <c r="P1895" s="1185" t="str">
        <f t="shared" si="400"/>
        <v>.</v>
      </c>
      <c r="Q1895" s="1185" t="str">
        <f t="shared" si="401"/>
        <v>.</v>
      </c>
      <c r="R1895" s="1185" t="str">
        <f t="shared" si="397"/>
        <v/>
      </c>
      <c r="S1895" s="1185" t="str">
        <f>IF(AND(AD1895=1,R1895&lt;&gt;".")=TRUE,R1895/VLOOKUP(G1895,'Exchange Rates'!B:C,2,0),IF(R1895=".",".",""))</f>
        <v/>
      </c>
      <c r="T1895" s="1185" t="str">
        <f>IF(AD1895=1,IF(AF1895="Value is not given at all",".",IF(AF1895="Value is given by the source",S1895,IF(AF1895="Value is calculated with prices",(IF(SUMIFS(Q:Q,A:A,A1895)&gt;0,SUMIFS(Q:Q,A:A,A1895),"."))/VLOOKUP("USD",'Exchange Rates'!B:C,2,0),"Error with coding"))),"")</f>
        <v/>
      </c>
      <c r="U1895" s="1191" t="s">
        <v>365</v>
      </c>
      <c r="V1895" s="983" t="s">
        <v>4356</v>
      </c>
      <c r="W1895" s="966" t="s">
        <v>4339</v>
      </c>
      <c r="X1895" s="1208" t="s">
        <v>364</v>
      </c>
      <c r="Y1895" s="1208" t="s">
        <v>364</v>
      </c>
      <c r="Z1895" s="1191">
        <v>0</v>
      </c>
      <c r="AA1895" s="1191">
        <v>1</v>
      </c>
      <c r="AB1895" s="1208" t="s">
        <v>364</v>
      </c>
      <c r="AC1895" s="1192" t="str">
        <f>""</f>
        <v/>
      </c>
      <c r="AD1895" s="1193">
        <v>0</v>
      </c>
      <c r="AE1895" s="1191" t="s">
        <v>368</v>
      </c>
      <c r="AF1895" s="1191" t="s">
        <v>369</v>
      </c>
      <c r="AG1895" s="1193">
        <v>1</v>
      </c>
      <c r="AH1895" s="1193">
        <v>17</v>
      </c>
      <c r="AI1895" s="1193">
        <v>0</v>
      </c>
      <c r="AJ1895" s="1193">
        <f>VLOOKUP($I1895,'Price List, Weapons &amp; Items'!B:F,5,0)</f>
        <v>0</v>
      </c>
      <c r="AK1895" s="1193">
        <f t="shared" si="402"/>
        <v>0</v>
      </c>
      <c r="AL1895" s="1193">
        <f t="shared" si="403"/>
        <v>0</v>
      </c>
      <c r="AM1895" s="1193">
        <f t="shared" si="404"/>
        <v>0</v>
      </c>
      <c r="AN1895" s="1194" t="str">
        <f>VLOOKUP($I1895,'Price List, Weapons &amp; Items'!B:L,COLUMN('Price List, Weapons &amp; Items'!$J$11)-1,0)</f>
        <v>Media reports (incl. social media)</v>
      </c>
      <c r="AO1895" s="1194" t="str">
        <f>IF(I1895=".",".",VLOOKUP($I1895,'Price List, Weapons &amp; Items'!B:J,3,0))</f>
        <v>missile</v>
      </c>
      <c r="AP1895" s="1195" t="str">
        <f t="shared" ca="1" si="398"/>
        <v/>
      </c>
      <c r="AQ1895" s="1194">
        <f>VLOOKUP($I1895,'Price List, Weapons &amp; Items'!B:L,COLUMN('Price List, Weapons &amp; Items'!$L$11)-1,0)</f>
        <v>1</v>
      </c>
      <c r="AR1895" s="1194">
        <f t="shared" si="405"/>
        <v>1</v>
      </c>
      <c r="AS1895" s="1194">
        <f t="shared" si="406"/>
        <v>1</v>
      </c>
      <c r="AT1895" s="1194">
        <f t="shared" si="407"/>
        <v>1</v>
      </c>
      <c r="AU1895" s="1194" t="str">
        <f t="shared" si="410"/>
        <v>.</v>
      </c>
      <c r="AV1895" s="1194" t="str">
        <f t="shared" si="399"/>
        <v>.</v>
      </c>
      <c r="AW1895" s="1194" t="str">
        <f t="shared" si="408"/>
        <v>.</v>
      </c>
      <c r="AX1895" s="1194">
        <f>IFERROR(VLOOKUP(B1895,'Share, Heavy Weapons to Ukraine'!B:Z,COLUMN('Share, Heavy Weapons to Ukraine'!C1903)-1,0),0)</f>
        <v>1</v>
      </c>
      <c r="AY1895" s="1194">
        <f>VLOOKUP('Bilateral Assistance, MAIN DATA'!B1895,'Country Summary (€)'!B:F,COLUMN('Country Summary (€)'!C1904)-1,FALSE)</f>
        <v>0</v>
      </c>
      <c r="AZ1895" s="1194" t="str">
        <f>IF(AND(AD1895=1,D1895="Military",H1895&lt;&gt;"Not given")=TRUE,IF(SUMIFS(P:P,A:A,A1895)&gt;0,ABS((SUMIFS(P:P,A:A,A1895)/VLOOKUP("USD",'Exchange Rates'!B:C,2,0)))/S1895,"."),".")</f>
        <v>.</v>
      </c>
      <c r="BA1895" s="1196" t="str">
        <f>IF(AND(AD1895=1,D1895="Military",H1895&lt;&gt;"Not given")=TRUE,IF(SUMIFS(P:P,A:A,A1895)&gt;0,IF((ABS((SUMIFS(P:P,A:A,A1895)/VLOOKUP("USD",'Exchange Rates'!B:C,2,0)))/S1895)&gt;1,(SUMIFS(P:P,A:A,A1895)-S1895)/S1895,(S1895-SUMIFS(P:P,A:A,A1895))/SUMIFS(P:P,A:A,A1895)),"."),".")</f>
        <v>.</v>
      </c>
      <c r="BB1895" s="1208"/>
      <c r="BC1895" s="1208"/>
      <c r="BD1895" s="1208"/>
      <c r="BE1895" s="1208"/>
      <c r="BF1895" s="1208"/>
      <c r="BG1895" s="1208"/>
      <c r="BH1895" s="1208"/>
      <c r="BI1895" s="1208"/>
      <c r="BJ1895" s="1208"/>
      <c r="BK1895" s="1208"/>
      <c r="BL1895" s="1208"/>
      <c r="BM1895" s="1208"/>
      <c r="BN1895" s="1208"/>
      <c r="BO1895" s="1208"/>
      <c r="BP1895" s="1208"/>
      <c r="BQ1895" s="1208"/>
      <c r="BR1895" s="1208"/>
      <c r="BS1895" s="1208"/>
    </row>
    <row r="1896" spans="1:71" ht="15.95" customHeight="1">
      <c r="A1896" s="1208" t="s">
        <v>4310</v>
      </c>
      <c r="B1896" s="1208" t="s">
        <v>3949</v>
      </c>
      <c r="C1896" s="1209">
        <v>45077</v>
      </c>
      <c r="D1896" s="1208" t="s">
        <v>389</v>
      </c>
      <c r="E1896" s="1208" t="s">
        <v>390</v>
      </c>
      <c r="F1896" s="1208" t="s">
        <v>4355</v>
      </c>
      <c r="G1896" s="1184" t="s">
        <v>456</v>
      </c>
      <c r="H1896" s="1210">
        <v>300000000</v>
      </c>
      <c r="I1896" s="1208" t="s">
        <v>4358</v>
      </c>
      <c r="J1896" s="1186" t="str">
        <f>VLOOKUP($I1896,'Price List, Weapons &amp; Items'!B:C,2,0)</f>
        <v>Aviation and drones</v>
      </c>
      <c r="K1896" s="1186" t="str">
        <f>IF(I1896=".",I1896,VLOOKUP($I1896,'Price List, Weapons &amp; Items'!B:D,3,0))</f>
        <v>Drone Ammunition</v>
      </c>
      <c r="L1896" s="1187">
        <f>VLOOKUP(I1896,'Price List, Weapons &amp; Items'!B:E,4,0)</f>
        <v>0</v>
      </c>
      <c r="M1896" s="1188" t="s">
        <v>374</v>
      </c>
      <c r="N1896" s="1188" t="s">
        <v>374</v>
      </c>
      <c r="O1896" s="1188" t="str">
        <f>VLOOKUP($I1896,'Price List, Weapons &amp; Items'!B:G,6,0)</f>
        <v>.</v>
      </c>
      <c r="P1896" s="1185" t="str">
        <f t="shared" si="400"/>
        <v>.</v>
      </c>
      <c r="Q1896" s="1185" t="str">
        <f t="shared" si="401"/>
        <v>.</v>
      </c>
      <c r="R1896" s="1185" t="str">
        <f t="shared" si="397"/>
        <v/>
      </c>
      <c r="S1896" s="1185" t="str">
        <f>IF(AND(AD1896=1,R1896&lt;&gt;".")=TRUE,R1896/VLOOKUP(G1896,'Exchange Rates'!B:C,2,0),IF(R1896=".",".",""))</f>
        <v/>
      </c>
      <c r="T1896" s="1185" t="str">
        <f>IF(AD1896=1,IF(AF1896="Value is not given at all",".",IF(AF1896="Value is given by the source",S1896,IF(AF1896="Value is calculated with prices",(IF(SUMIFS(Q:Q,A:A,A1896)&gt;0,SUMIFS(Q:Q,A:A,A1896),"."))/VLOOKUP("USD",'Exchange Rates'!B:C,2,0),"Error with coding"))),"")</f>
        <v/>
      </c>
      <c r="U1896" s="1191" t="s">
        <v>365</v>
      </c>
      <c r="V1896" s="983" t="s">
        <v>4356</v>
      </c>
      <c r="W1896" s="966" t="s">
        <v>4339</v>
      </c>
      <c r="X1896" s="1208" t="s">
        <v>364</v>
      </c>
      <c r="Y1896" s="1208" t="s">
        <v>364</v>
      </c>
      <c r="Z1896" s="1191">
        <v>0</v>
      </c>
      <c r="AA1896" s="1191">
        <v>1</v>
      </c>
      <c r="AB1896" s="1208" t="s">
        <v>364</v>
      </c>
      <c r="AC1896" s="1192" t="str">
        <f>""</f>
        <v/>
      </c>
      <c r="AD1896" s="1193">
        <v>0</v>
      </c>
      <c r="AE1896" s="1191" t="s">
        <v>368</v>
      </c>
      <c r="AF1896" s="1191" t="s">
        <v>369</v>
      </c>
      <c r="AG1896" s="1193">
        <v>1</v>
      </c>
      <c r="AH1896" s="1193">
        <v>17</v>
      </c>
      <c r="AI1896" s="1193">
        <v>0</v>
      </c>
      <c r="AJ1896" s="1193">
        <f>VLOOKUP($I1896,'Price List, Weapons &amp; Items'!B:F,5,0)</f>
        <v>0</v>
      </c>
      <c r="AK1896" s="1193">
        <f t="shared" si="402"/>
        <v>0</v>
      </c>
      <c r="AL1896" s="1193">
        <f t="shared" si="403"/>
        <v>0</v>
      </c>
      <c r="AM1896" s="1193">
        <f t="shared" si="404"/>
        <v>0</v>
      </c>
      <c r="AN1896" s="1194" t="str">
        <f>VLOOKUP($I1896,'Price List, Weapons &amp; Items'!B:L,COLUMN('Price List, Weapons &amp; Items'!$J$11)-1,0)</f>
        <v>.</v>
      </c>
      <c r="AO1896" s="1194" t="str">
        <f>IF(I1896=".",".",VLOOKUP($I1896,'Price List, Weapons &amp; Items'!B:J,3,0))</f>
        <v>Drone Ammunition</v>
      </c>
      <c r="AP1896" s="1195" t="str">
        <f t="shared" ca="1" si="398"/>
        <v/>
      </c>
      <c r="AQ1896" s="1194" t="str">
        <f>VLOOKUP($I1896,'Price List, Weapons &amp; Items'!B:L,COLUMN('Price List, Weapons &amp; Items'!$L$11)-1,0)</f>
        <v>no price, 0 count</v>
      </c>
      <c r="AR1896" s="1194">
        <f t="shared" si="405"/>
        <v>1</v>
      </c>
      <c r="AS1896" s="1194">
        <f t="shared" si="406"/>
        <v>1</v>
      </c>
      <c r="AT1896" s="1194">
        <f t="shared" si="407"/>
        <v>1</v>
      </c>
      <c r="AU1896" s="1194" t="str">
        <f t="shared" si="410"/>
        <v>.</v>
      </c>
      <c r="AV1896" s="1194" t="str">
        <f t="shared" si="399"/>
        <v>.</v>
      </c>
      <c r="AW1896" s="1194" t="str">
        <f t="shared" si="408"/>
        <v>.</v>
      </c>
      <c r="AX1896" s="1194">
        <f>IFERROR(VLOOKUP(B1896,'Share, Heavy Weapons to Ukraine'!B:Z,COLUMN('Share, Heavy Weapons to Ukraine'!C1904)-1,0),0)</f>
        <v>1</v>
      </c>
      <c r="AY1896" s="1194">
        <f>VLOOKUP('Bilateral Assistance, MAIN DATA'!B1896,'Country Summary (€)'!B:F,COLUMN('Country Summary (€)'!C1905)-1,FALSE)</f>
        <v>0</v>
      </c>
      <c r="AZ1896" s="1194" t="str">
        <f>IF(AND(AD1896=1,D1896="Military",H1896&lt;&gt;"Not given")=TRUE,IF(SUMIFS(P:P,A:A,A1896)&gt;0,ABS((SUMIFS(P:P,A:A,A1896)/VLOOKUP("USD",'Exchange Rates'!B:C,2,0)))/S1896,"."),".")</f>
        <v>.</v>
      </c>
      <c r="BA1896" s="1196" t="str">
        <f>IF(AND(AD1896=1,D1896="Military",H1896&lt;&gt;"Not given")=TRUE,IF(SUMIFS(P:P,A:A,A1896)&gt;0,IF((ABS((SUMIFS(P:P,A:A,A1896)/VLOOKUP("USD",'Exchange Rates'!B:C,2,0)))/S1896)&gt;1,(SUMIFS(P:P,A:A,A1896)-S1896)/S1896,(S1896-SUMIFS(P:P,A:A,A1896))/SUMIFS(P:P,A:A,A1896)),"."),".")</f>
        <v>.</v>
      </c>
      <c r="BB1896" s="1208"/>
      <c r="BC1896" s="1208"/>
      <c r="BD1896" s="1208"/>
      <c r="BE1896" s="1208"/>
      <c r="BF1896" s="1208"/>
      <c r="BG1896" s="1208"/>
      <c r="BH1896" s="1208"/>
      <c r="BI1896" s="1208"/>
      <c r="BJ1896" s="1208"/>
      <c r="BK1896" s="1208"/>
      <c r="BL1896" s="1208"/>
      <c r="BM1896" s="1208"/>
      <c r="BN1896" s="1208"/>
      <c r="BO1896" s="1208"/>
      <c r="BP1896" s="1208"/>
      <c r="BQ1896" s="1208"/>
      <c r="BR1896" s="1208"/>
      <c r="BS1896" s="1208"/>
    </row>
    <row r="1897" spans="1:71" ht="15.95" customHeight="1">
      <c r="A1897" s="1208" t="s">
        <v>4310</v>
      </c>
      <c r="B1897" s="1208" t="s">
        <v>3949</v>
      </c>
      <c r="C1897" s="1209">
        <v>45077</v>
      </c>
      <c r="D1897" s="1208" t="s">
        <v>389</v>
      </c>
      <c r="E1897" s="1208" t="s">
        <v>390</v>
      </c>
      <c r="F1897" s="1208" t="s">
        <v>4355</v>
      </c>
      <c r="G1897" s="1184" t="s">
        <v>456</v>
      </c>
      <c r="H1897" s="1210">
        <v>300000000</v>
      </c>
      <c r="I1897" s="1208" t="s">
        <v>3584</v>
      </c>
      <c r="J1897" s="1186" t="str">
        <f>VLOOKUP($I1897,'Price List, Weapons &amp; Items'!B:C,2,0)</f>
        <v>Portable defence system</v>
      </c>
      <c r="K1897" s="1186" t="str">
        <f>IF(I1897=".",I1897,VLOOKUP($I1897,'Price List, Weapons &amp; Items'!B:D,3,0))</f>
        <v>MANPADS</v>
      </c>
      <c r="L1897" s="1187">
        <f>VLOOKUP(I1897,'Price List, Weapons &amp; Items'!B:E,4,0)</f>
        <v>0</v>
      </c>
      <c r="M1897" s="1188" t="s">
        <v>374</v>
      </c>
      <c r="N1897" s="1188" t="s">
        <v>374</v>
      </c>
      <c r="O1897" s="1188">
        <f>VLOOKUP($I1897,'Price List, Weapons &amp; Items'!B:G,6,0)</f>
        <v>1480.64</v>
      </c>
      <c r="P1897" s="1185" t="str">
        <f t="shared" si="400"/>
        <v>.</v>
      </c>
      <c r="Q1897" s="1185" t="str">
        <f t="shared" si="401"/>
        <v>.</v>
      </c>
      <c r="R1897" s="1185" t="str">
        <f t="shared" si="397"/>
        <v/>
      </c>
      <c r="S1897" s="1185" t="str">
        <f>IF(AND(AD1897=1,R1897&lt;&gt;".")=TRUE,R1897/VLOOKUP(G1897,'Exchange Rates'!B:C,2,0),IF(R1897=".",".",""))</f>
        <v/>
      </c>
      <c r="T1897" s="1185" t="str">
        <f>IF(AD1897=1,IF(AF1897="Value is not given at all",".",IF(AF1897="Value is given by the source",S1897,IF(AF1897="Value is calculated with prices",(IF(SUMIFS(Q:Q,A:A,A1897)&gt;0,SUMIFS(Q:Q,A:A,A1897),"."))/VLOOKUP("USD",'Exchange Rates'!B:C,2,0),"Error with coding"))),"")</f>
        <v/>
      </c>
      <c r="U1897" s="1191" t="s">
        <v>365</v>
      </c>
      <c r="V1897" s="983" t="s">
        <v>4356</v>
      </c>
      <c r="W1897" s="966" t="s">
        <v>4339</v>
      </c>
      <c r="X1897" s="1208" t="s">
        <v>364</v>
      </c>
      <c r="Y1897" s="1208" t="s">
        <v>364</v>
      </c>
      <c r="Z1897" s="1191">
        <v>0</v>
      </c>
      <c r="AA1897" s="1191">
        <v>1</v>
      </c>
      <c r="AB1897" s="1208" t="s">
        <v>364</v>
      </c>
      <c r="AC1897" s="1192" t="str">
        <f>""</f>
        <v/>
      </c>
      <c r="AD1897" s="1193">
        <v>0</v>
      </c>
      <c r="AE1897" s="1191" t="s">
        <v>368</v>
      </c>
      <c r="AF1897" s="1191" t="s">
        <v>369</v>
      </c>
      <c r="AG1897" s="1193">
        <v>1</v>
      </c>
      <c r="AH1897" s="1193">
        <v>17</v>
      </c>
      <c r="AI1897" s="1193">
        <v>0</v>
      </c>
      <c r="AJ1897" s="1193">
        <f>VLOOKUP($I1897,'Price List, Weapons &amp; Items'!B:F,5,0)</f>
        <v>0</v>
      </c>
      <c r="AK1897" s="1193">
        <f t="shared" si="402"/>
        <v>0</v>
      </c>
      <c r="AL1897" s="1193">
        <f t="shared" si="403"/>
        <v>0</v>
      </c>
      <c r="AM1897" s="1193">
        <f t="shared" si="404"/>
        <v>0</v>
      </c>
      <c r="AN1897" s="1194" t="str">
        <f>VLOOKUP($I1897,'Price List, Weapons &amp; Items'!B:L,COLUMN('Price List, Weapons &amp; Items'!$J$11)-1,0)</f>
        <v>Military media (incl. websites)</v>
      </c>
      <c r="AO1897" s="1194" t="str">
        <f>IF(I1897=".",".",VLOOKUP($I1897,'Price List, Weapons &amp; Items'!B:J,3,0))</f>
        <v>MANPADS</v>
      </c>
      <c r="AP1897" s="1195" t="str">
        <f t="shared" ca="1" si="398"/>
        <v/>
      </c>
      <c r="AQ1897" s="1194">
        <f>VLOOKUP($I1897,'Price List, Weapons &amp; Items'!B:L,COLUMN('Price List, Weapons &amp; Items'!$L$11)-1,0)</f>
        <v>2</v>
      </c>
      <c r="AR1897" s="1194">
        <f t="shared" si="405"/>
        <v>1</v>
      </c>
      <c r="AS1897" s="1194">
        <f t="shared" si="406"/>
        <v>1</v>
      </c>
      <c r="AT1897" s="1194">
        <f t="shared" si="407"/>
        <v>1</v>
      </c>
      <c r="AU1897" s="1194" t="str">
        <f t="shared" si="410"/>
        <v>.</v>
      </c>
      <c r="AV1897" s="1194" t="str">
        <f t="shared" si="399"/>
        <v>.</v>
      </c>
      <c r="AW1897" s="1194" t="str">
        <f t="shared" si="408"/>
        <v>.</v>
      </c>
      <c r="AX1897" s="1194">
        <f>IFERROR(VLOOKUP(B1897,'Share, Heavy Weapons to Ukraine'!B:Z,COLUMN('Share, Heavy Weapons to Ukraine'!C1905)-1,0),0)</f>
        <v>1</v>
      </c>
      <c r="AY1897" s="1194">
        <f>VLOOKUP('Bilateral Assistance, MAIN DATA'!B1897,'Country Summary (€)'!B:F,COLUMN('Country Summary (€)'!C1906)-1,FALSE)</f>
        <v>0</v>
      </c>
      <c r="AZ1897" s="1194" t="str">
        <f>IF(AND(AD1897=1,D1897="Military",H1897&lt;&gt;"Not given")=TRUE,IF(SUMIFS(P:P,A:A,A1897)&gt;0,ABS((SUMIFS(P:P,A:A,A1897)/VLOOKUP("USD",'Exchange Rates'!B:C,2,0)))/S1897,"."),".")</f>
        <v>.</v>
      </c>
      <c r="BA1897" s="1196" t="str">
        <f>IF(AND(AD1897=1,D1897="Military",H1897&lt;&gt;"Not given")=TRUE,IF(SUMIFS(P:P,A:A,A1897)&gt;0,IF((ABS((SUMIFS(P:P,A:A,A1897)/VLOOKUP("USD",'Exchange Rates'!B:C,2,0)))/S1897)&gt;1,(SUMIFS(P:P,A:A,A1897)-S1897)/S1897,(S1897-SUMIFS(P:P,A:A,A1897))/SUMIFS(P:P,A:A,A1897)),"."),".")</f>
        <v>.</v>
      </c>
      <c r="BB1897" s="1208"/>
      <c r="BC1897" s="1208"/>
      <c r="BD1897" s="1208"/>
      <c r="BE1897" s="1208"/>
      <c r="BF1897" s="1208"/>
      <c r="BG1897" s="1208"/>
      <c r="BH1897" s="1208"/>
      <c r="BI1897" s="1208"/>
      <c r="BJ1897" s="1208"/>
      <c r="BK1897" s="1208"/>
      <c r="BL1897" s="1208"/>
      <c r="BM1897" s="1208"/>
      <c r="BN1897" s="1208"/>
      <c r="BO1897" s="1208"/>
      <c r="BP1897" s="1208"/>
      <c r="BQ1897" s="1208"/>
      <c r="BR1897" s="1208"/>
      <c r="BS1897" s="1208"/>
    </row>
    <row r="1898" spans="1:71" ht="15.95" customHeight="1">
      <c r="A1898" s="1208" t="s">
        <v>4310</v>
      </c>
      <c r="B1898" s="1208" t="s">
        <v>3949</v>
      </c>
      <c r="C1898" s="1209">
        <v>45077</v>
      </c>
      <c r="D1898" s="1208" t="s">
        <v>389</v>
      </c>
      <c r="E1898" s="1208" t="s">
        <v>390</v>
      </c>
      <c r="F1898" s="1208" t="s">
        <v>4355</v>
      </c>
      <c r="G1898" s="1184" t="s">
        <v>456</v>
      </c>
      <c r="H1898" s="1210">
        <v>300000000</v>
      </c>
      <c r="I1898" s="1208" t="s">
        <v>1288</v>
      </c>
      <c r="J1898" s="1186" t="str">
        <f>VLOOKUP($I1898,'Price List, Weapons &amp; Items'!B:C,2,0)</f>
        <v>Ammunition for light infantry</v>
      </c>
      <c r="K1898" s="1186" t="str">
        <f>IF(I1898=".",I1898,VLOOKUP($I1898,'Price List, Weapons &amp; Items'!B:D,3,0))</f>
        <v>Small Arms and Light Weapons (SALW) ammunition</v>
      </c>
      <c r="L1898" s="1187">
        <f>VLOOKUP(I1898,'Price List, Weapons &amp; Items'!B:E,4,0)</f>
        <v>0</v>
      </c>
      <c r="M1898" s="1188">
        <v>30000000</v>
      </c>
      <c r="N1898" s="1188" t="s">
        <v>374</v>
      </c>
      <c r="O1898" s="1188">
        <f>VLOOKUP($I1898,'Price List, Weapons &amp; Items'!B:G,6,0)</f>
        <v>0.47</v>
      </c>
      <c r="P1898" s="1185">
        <f t="shared" si="400"/>
        <v>14100000</v>
      </c>
      <c r="Q1898" s="1185" t="str">
        <f t="shared" si="401"/>
        <v>.</v>
      </c>
      <c r="R1898" s="1185" t="str">
        <f t="shared" si="397"/>
        <v/>
      </c>
      <c r="S1898" s="1185" t="str">
        <f>IF(AND(AD1898=1,R1898&lt;&gt;".")=TRUE,R1898/VLOOKUP(G1898,'Exchange Rates'!B:C,2,0),IF(R1898=".",".",""))</f>
        <v/>
      </c>
      <c r="T1898" s="1185" t="str">
        <f>IF(AD1898=1,IF(AF1898="Value is not given at all",".",IF(AF1898="Value is given by the source",S1898,IF(AF1898="Value is calculated with prices",(IF(SUMIFS(Q:Q,A:A,A1898)&gt;0,SUMIFS(Q:Q,A:A,A1898),"."))/VLOOKUP("USD",'Exchange Rates'!B:C,2,0),"Error with coding"))),"")</f>
        <v/>
      </c>
      <c r="U1898" s="1191" t="s">
        <v>365</v>
      </c>
      <c r="V1898" s="983" t="s">
        <v>4356</v>
      </c>
      <c r="W1898" s="966" t="s">
        <v>4339</v>
      </c>
      <c r="X1898" s="1208" t="s">
        <v>364</v>
      </c>
      <c r="Y1898" s="1208" t="s">
        <v>364</v>
      </c>
      <c r="Z1898" s="1191">
        <v>0</v>
      </c>
      <c r="AA1898" s="1191">
        <v>1</v>
      </c>
      <c r="AB1898" s="1208" t="s">
        <v>364</v>
      </c>
      <c r="AC1898" s="1192" t="str">
        <f>""</f>
        <v/>
      </c>
      <c r="AD1898" s="1193">
        <v>0</v>
      </c>
      <c r="AE1898" s="1191" t="s">
        <v>368</v>
      </c>
      <c r="AF1898" s="1191" t="s">
        <v>369</v>
      </c>
      <c r="AG1898" s="1193">
        <v>1</v>
      </c>
      <c r="AH1898" s="1193">
        <v>17</v>
      </c>
      <c r="AI1898" s="1193">
        <v>0</v>
      </c>
      <c r="AJ1898" s="1193">
        <f>VLOOKUP($I1898,'Price List, Weapons &amp; Items'!B:F,5,0)</f>
        <v>0</v>
      </c>
      <c r="AK1898" s="1193">
        <f t="shared" si="402"/>
        <v>0</v>
      </c>
      <c r="AL1898" s="1193">
        <f t="shared" si="403"/>
        <v>0</v>
      </c>
      <c r="AM1898" s="1193">
        <f t="shared" si="404"/>
        <v>1</v>
      </c>
      <c r="AN1898" s="1194" t="str">
        <f>VLOOKUP($I1898,'Price List, Weapons &amp; Items'!B:L,COLUMN('Price List, Weapons &amp; Items'!$J$11)-1,0)</f>
        <v>Miscellaneous</v>
      </c>
      <c r="AO1898" s="1194" t="str">
        <f>IF(I1898=".",".",VLOOKUP($I1898,'Price List, Weapons &amp; Items'!B:J,3,0))</f>
        <v>Small Arms and Light Weapons (SALW) ammunition</v>
      </c>
      <c r="AP1898" s="1195" t="str">
        <f t="shared" ca="1" si="398"/>
        <v/>
      </c>
      <c r="AQ1898" s="1194">
        <f>VLOOKUP($I1898,'Price List, Weapons &amp; Items'!B:L,COLUMN('Price List, Weapons &amp; Items'!$L$11)-1,0)</f>
        <v>2</v>
      </c>
      <c r="AR1898" s="1194">
        <f t="shared" si="405"/>
        <v>1</v>
      </c>
      <c r="AS1898" s="1194">
        <f t="shared" si="406"/>
        <v>1</v>
      </c>
      <c r="AT1898" s="1194">
        <f t="shared" si="407"/>
        <v>1</v>
      </c>
      <c r="AU1898" s="1194" t="str">
        <f t="shared" si="410"/>
        <v>.</v>
      </c>
      <c r="AV1898" s="1194" t="str">
        <f t="shared" si="399"/>
        <v>.</v>
      </c>
      <c r="AW1898" s="1194" t="str">
        <f t="shared" si="408"/>
        <v>.</v>
      </c>
      <c r="AX1898" s="1194">
        <f>IFERROR(VLOOKUP(B1898,'Share, Heavy Weapons to Ukraine'!B:Z,COLUMN('Share, Heavy Weapons to Ukraine'!C1906)-1,0),0)</f>
        <v>1</v>
      </c>
      <c r="AY1898" s="1194">
        <f>VLOOKUP('Bilateral Assistance, MAIN DATA'!B1898,'Country Summary (€)'!B:F,COLUMN('Country Summary (€)'!C1907)-1,FALSE)</f>
        <v>0</v>
      </c>
      <c r="AZ1898" s="1194" t="str">
        <f>IF(AND(AD1898=1,D1898="Military",H1898&lt;&gt;"Not given")=TRUE,IF(SUMIFS(P:P,A:A,A1898)&gt;0,ABS((SUMIFS(P:P,A:A,A1898)/VLOOKUP("USD",'Exchange Rates'!B:C,2,0)))/S1898,"."),".")</f>
        <v>.</v>
      </c>
      <c r="BA1898" s="1196" t="str">
        <f>IF(AND(AD1898=1,D1898="Military",H1898&lt;&gt;"Not given")=TRUE,IF(SUMIFS(P:P,A:A,A1898)&gt;0,IF((ABS((SUMIFS(P:P,A:A,A1898)/VLOOKUP("USD",'Exchange Rates'!B:C,2,0)))/S1898)&gt;1,(SUMIFS(P:P,A:A,A1898)-S1898)/S1898,(S1898-SUMIFS(P:P,A:A,A1898))/SUMIFS(P:P,A:A,A1898)),"."),".")</f>
        <v>.</v>
      </c>
      <c r="BB1898" s="1208"/>
      <c r="BC1898" s="1208"/>
      <c r="BD1898" s="1208"/>
      <c r="BE1898" s="1208"/>
      <c r="BF1898" s="1208"/>
      <c r="BG1898" s="1208"/>
      <c r="BH1898" s="1208"/>
      <c r="BI1898" s="1208"/>
      <c r="BJ1898" s="1208"/>
      <c r="BK1898" s="1208"/>
      <c r="BL1898" s="1208"/>
      <c r="BM1898" s="1208"/>
      <c r="BN1898" s="1208"/>
      <c r="BO1898" s="1208"/>
      <c r="BP1898" s="1208"/>
      <c r="BQ1898" s="1208"/>
      <c r="BR1898" s="1208"/>
      <c r="BS1898" s="1208"/>
    </row>
    <row r="1899" spans="1:71" ht="15.95" customHeight="1">
      <c r="A1899" s="1208" t="s">
        <v>4310</v>
      </c>
      <c r="B1899" s="1208" t="s">
        <v>3949</v>
      </c>
      <c r="C1899" s="1209">
        <v>45077</v>
      </c>
      <c r="D1899" s="1208" t="s">
        <v>389</v>
      </c>
      <c r="E1899" s="1208" t="s">
        <v>390</v>
      </c>
      <c r="F1899" s="1208" t="s">
        <v>4355</v>
      </c>
      <c r="G1899" s="1184" t="s">
        <v>456</v>
      </c>
      <c r="H1899" s="1210">
        <v>300000000</v>
      </c>
      <c r="I1899" s="1208" t="s">
        <v>4217</v>
      </c>
      <c r="J1899" s="1186" t="str">
        <f>VLOOKUP($I1899,'Price List, Weapons &amp; Items'!B:C,2,0)</f>
        <v>Military equipment</v>
      </c>
      <c r="K1899" s="1186" t="str">
        <f>IF(I1899=".",I1899,VLOOKUP($I1899,'Price List, Weapons &amp; Items'!B:D,3,0))</f>
        <v>spare parts</v>
      </c>
      <c r="L1899" s="1187">
        <f>VLOOKUP(I1899,'Price List, Weapons &amp; Items'!B:E,4,0)</f>
        <v>0</v>
      </c>
      <c r="M1899" s="1188" t="s">
        <v>374</v>
      </c>
      <c r="N1899" s="1188" t="s">
        <v>374</v>
      </c>
      <c r="O1899" s="1188" t="str">
        <f>VLOOKUP($I1899,'Price List, Weapons &amp; Items'!B:G,6,0)</f>
        <v>.</v>
      </c>
      <c r="P1899" s="1185" t="str">
        <f t="shared" si="400"/>
        <v>.</v>
      </c>
      <c r="Q1899" s="1185" t="str">
        <f t="shared" si="401"/>
        <v>.</v>
      </c>
      <c r="R1899" s="1185" t="str">
        <f t="shared" si="397"/>
        <v/>
      </c>
      <c r="S1899" s="1185" t="str">
        <f>IF(AND(AD1899=1,R1899&lt;&gt;".")=TRUE,R1899/VLOOKUP(G1899,'Exchange Rates'!B:C,2,0),IF(R1899=".",".",""))</f>
        <v/>
      </c>
      <c r="T1899" s="1185" t="str">
        <f>IF(AD1899=1,IF(AF1899="Value is not given at all",".",IF(AF1899="Value is given by the source",S1899,IF(AF1899="Value is calculated with prices",(IF(SUMIFS(Q:Q,A:A,A1899)&gt;0,SUMIFS(Q:Q,A:A,A1899),"."))/VLOOKUP("USD",'Exchange Rates'!B:C,2,0),"Error with coding"))),"")</f>
        <v/>
      </c>
      <c r="U1899" s="1191" t="s">
        <v>365</v>
      </c>
      <c r="V1899" s="983" t="s">
        <v>4356</v>
      </c>
      <c r="W1899" s="966" t="s">
        <v>4339</v>
      </c>
      <c r="X1899" s="1208" t="s">
        <v>364</v>
      </c>
      <c r="Y1899" s="1208" t="s">
        <v>364</v>
      </c>
      <c r="Z1899" s="1191">
        <v>0</v>
      </c>
      <c r="AA1899" s="1191">
        <v>1</v>
      </c>
      <c r="AB1899" s="1208" t="s">
        <v>364</v>
      </c>
      <c r="AC1899" s="1192" t="str">
        <f>""</f>
        <v/>
      </c>
      <c r="AD1899" s="1193">
        <v>0</v>
      </c>
      <c r="AE1899" s="1191" t="s">
        <v>368</v>
      </c>
      <c r="AF1899" s="1191" t="s">
        <v>369</v>
      </c>
      <c r="AG1899" s="1193">
        <v>1</v>
      </c>
      <c r="AH1899" s="1193">
        <v>17</v>
      </c>
      <c r="AI1899" s="1193">
        <v>0</v>
      </c>
      <c r="AJ1899" s="1193">
        <f>VLOOKUP($I1899,'Price List, Weapons &amp; Items'!B:F,5,0)</f>
        <v>0</v>
      </c>
      <c r="AK1899" s="1193">
        <f t="shared" si="402"/>
        <v>0</v>
      </c>
      <c r="AL1899" s="1193">
        <f t="shared" si="403"/>
        <v>0</v>
      </c>
      <c r="AM1899" s="1193">
        <f t="shared" si="404"/>
        <v>0</v>
      </c>
      <c r="AN1899" s="1194" t="str">
        <f>VLOOKUP($I1899,'Price List, Weapons &amp; Items'!B:L,COLUMN('Price List, Weapons &amp; Items'!$J$11)-1,0)</f>
        <v>.</v>
      </c>
      <c r="AO1899" s="1194" t="str">
        <f>IF(I1899=".",".",VLOOKUP($I1899,'Price List, Weapons &amp; Items'!B:J,3,0))</f>
        <v>spare parts</v>
      </c>
      <c r="AP1899" s="1195" t="str">
        <f t="shared" ca="1" si="398"/>
        <v/>
      </c>
      <c r="AQ1899" s="1194" t="str">
        <f>VLOOKUP($I1899,'Price List, Weapons &amp; Items'!B:L,COLUMN('Price List, Weapons &amp; Items'!$L$11)-1,0)</f>
        <v>no price, 0 count</v>
      </c>
      <c r="AR1899" s="1194">
        <f t="shared" si="405"/>
        <v>1</v>
      </c>
      <c r="AS1899" s="1194">
        <f t="shared" si="406"/>
        <v>1</v>
      </c>
      <c r="AT1899" s="1194">
        <f t="shared" si="407"/>
        <v>1</v>
      </c>
      <c r="AU1899" s="1194" t="str">
        <f t="shared" si="410"/>
        <v>.</v>
      </c>
      <c r="AV1899" s="1194" t="str">
        <f t="shared" si="399"/>
        <v>.</v>
      </c>
      <c r="AW1899" s="1194" t="str">
        <f t="shared" si="408"/>
        <v>.</v>
      </c>
      <c r="AX1899" s="1194">
        <f>IFERROR(VLOOKUP(B1899,'Share, Heavy Weapons to Ukraine'!B:Z,COLUMN('Share, Heavy Weapons to Ukraine'!C1907)-1,0),0)</f>
        <v>1</v>
      </c>
      <c r="AY1899" s="1194">
        <f>VLOOKUP('Bilateral Assistance, MAIN DATA'!B1899,'Country Summary (€)'!B:F,COLUMN('Country Summary (€)'!C1908)-1,FALSE)</f>
        <v>0</v>
      </c>
      <c r="AZ1899" s="1194" t="str">
        <f>IF(AND(AD1899=1,D1899="Military",H1899&lt;&gt;"Not given")=TRUE,IF(SUMIFS(P:P,A:A,A1899)&gt;0,ABS((SUMIFS(P:P,A:A,A1899)/VLOOKUP("USD",'Exchange Rates'!B:C,2,0)))/S1899,"."),".")</f>
        <v>.</v>
      </c>
      <c r="BA1899" s="1196" t="str">
        <f>IF(AND(AD1899=1,D1899="Military",H1899&lt;&gt;"Not given")=TRUE,IF(SUMIFS(P:P,A:A,A1899)&gt;0,IF((ABS((SUMIFS(P:P,A:A,A1899)/VLOOKUP("USD",'Exchange Rates'!B:C,2,0)))/S1899)&gt;1,(SUMIFS(P:P,A:A,A1899)-S1899)/S1899,(S1899-SUMIFS(P:P,A:A,A1899))/SUMIFS(P:P,A:A,A1899)),"."),".")</f>
        <v>.</v>
      </c>
      <c r="BB1899" s="1208"/>
      <c r="BC1899" s="1208"/>
      <c r="BD1899" s="1208"/>
      <c r="BE1899" s="1208"/>
      <c r="BF1899" s="1208"/>
      <c r="BG1899" s="1208"/>
      <c r="BH1899" s="1208"/>
      <c r="BI1899" s="1208"/>
      <c r="BJ1899" s="1208"/>
      <c r="BK1899" s="1208"/>
      <c r="BL1899" s="1208"/>
      <c r="BM1899" s="1208"/>
      <c r="BN1899" s="1208"/>
      <c r="BO1899" s="1208"/>
      <c r="BP1899" s="1208"/>
      <c r="BQ1899" s="1208"/>
      <c r="BR1899" s="1208"/>
      <c r="BS1899" s="1208"/>
    </row>
    <row r="1900" spans="1:71" ht="15.95" customHeight="1">
      <c r="A1900" s="1208" t="s">
        <v>4359</v>
      </c>
      <c r="B1900" s="1208" t="s">
        <v>3949</v>
      </c>
      <c r="C1900" s="1220">
        <v>44834</v>
      </c>
      <c r="D1900" s="1208" t="s">
        <v>389</v>
      </c>
      <c r="E1900" s="1208" t="s">
        <v>390</v>
      </c>
      <c r="F1900" s="1208" t="s">
        <v>4360</v>
      </c>
      <c r="G1900" s="1184" t="s">
        <v>456</v>
      </c>
      <c r="H1900" s="1221">
        <v>3000000000</v>
      </c>
      <c r="I1900" s="1180" t="s">
        <v>364</v>
      </c>
      <c r="J1900" s="1186" t="str">
        <f>VLOOKUP($I1900,'Price List, Weapons &amp; Items'!B:C,2,0)</f>
        <v>.</v>
      </c>
      <c r="K1900" s="1186" t="str">
        <f>IF(I1900=".",I1900,VLOOKUP($I1900,'Price List, Weapons &amp; Items'!B:D,3,0))</f>
        <v>.</v>
      </c>
      <c r="L1900" s="1187">
        <f>VLOOKUP(I1900,'Price List, Weapons &amp; Items'!B:E,4,0)</f>
        <v>0</v>
      </c>
      <c r="M1900" s="1188" t="s">
        <v>364</v>
      </c>
      <c r="N1900" s="1188" t="s">
        <v>364</v>
      </c>
      <c r="O1900" s="1188" t="str">
        <f>VLOOKUP($I1900,'Price List, Weapons &amp; Items'!B:G,6,0)</f>
        <v>.</v>
      </c>
      <c r="P1900" s="1185" t="str">
        <f t="shared" si="400"/>
        <v>.</v>
      </c>
      <c r="Q1900" s="1185" t="str">
        <f t="shared" si="401"/>
        <v>.</v>
      </c>
      <c r="R1900" s="1185">
        <f t="shared" si="397"/>
        <v>3000000000</v>
      </c>
      <c r="S1900" s="1185">
        <f>IF(AND(AD1900=1,R1900&lt;&gt;".")=TRUE,R1900/VLOOKUP(G1900,'Exchange Rates'!B:C,2,0),IF(R1900=".",".",""))</f>
        <v>2760397497.2396026</v>
      </c>
      <c r="T1900" s="1185" t="str">
        <f>IF(AD1900=1,IF(AF1900="Value is not given at all",".",IF(AF1900="Value is given by the source",S1900,IF(AF1900="Value is calculated with prices",(IF(SUMIFS(Q:Q,A:A,A1900)&gt;0,SUMIFS(Q:Q,A:A,A1900),"."))/VLOOKUP("USD",'Exchange Rates'!B:C,2,0),"Error with coding"))),"")</f>
        <v>.</v>
      </c>
      <c r="U1900" s="1184" t="s">
        <v>365</v>
      </c>
      <c r="V1900" s="983" t="s">
        <v>3978</v>
      </c>
      <c r="W1900" s="980" t="s">
        <v>3982</v>
      </c>
      <c r="X1900" s="966" t="s">
        <v>3989</v>
      </c>
      <c r="Y1900" s="1190" t="s">
        <v>364</v>
      </c>
      <c r="Z1900" s="1184">
        <v>0</v>
      </c>
      <c r="AA1900" s="1194">
        <v>0</v>
      </c>
      <c r="AB1900" s="1180" t="s">
        <v>364</v>
      </c>
      <c r="AC1900" s="1192" t="str">
        <f>""</f>
        <v/>
      </c>
      <c r="AD1900" s="1193">
        <v>1</v>
      </c>
      <c r="AE1900" s="1193" t="s">
        <v>368</v>
      </c>
      <c r="AF1900" s="1193" t="s">
        <v>369</v>
      </c>
      <c r="AG1900" s="1193">
        <v>1</v>
      </c>
      <c r="AH1900" s="1193">
        <v>9</v>
      </c>
      <c r="AI1900" s="1193">
        <v>0</v>
      </c>
      <c r="AJ1900" s="1193">
        <f>VLOOKUP($I1900,'Price List, Weapons &amp; Items'!B:F,5,0)</f>
        <v>0</v>
      </c>
      <c r="AK1900" s="1193">
        <f t="shared" si="402"/>
        <v>0</v>
      </c>
      <c r="AL1900" s="1193">
        <f t="shared" si="403"/>
        <v>0</v>
      </c>
      <c r="AM1900" s="1193">
        <f t="shared" si="404"/>
        <v>0</v>
      </c>
      <c r="AN1900" s="1194" t="str">
        <f>VLOOKUP($I1900,'Price List, Weapons &amp; Items'!B:L,COLUMN('Price List, Weapons &amp; Items'!$J$11)-1,0)</f>
        <v>.</v>
      </c>
      <c r="AO1900" s="1194" t="str">
        <f>IF(I1900=".",".",VLOOKUP($I1900,'Price List, Weapons &amp; Items'!B:J,3,0))</f>
        <v>.</v>
      </c>
      <c r="AP1900" s="1195" t="str">
        <f t="shared" ca="1" si="398"/>
        <v>.</v>
      </c>
      <c r="AQ1900" s="1194">
        <f>VLOOKUP($I1900,'Price List, Weapons &amp; Items'!B:L,COLUMN('Price List, Weapons &amp; Items'!$L$11)-1,0)</f>
        <v>0</v>
      </c>
      <c r="AR1900" s="1194">
        <f t="shared" si="405"/>
        <v>1</v>
      </c>
      <c r="AS1900" s="1194">
        <f t="shared" si="406"/>
        <v>1</v>
      </c>
      <c r="AT1900" s="1194">
        <f t="shared" si="407"/>
        <v>1</v>
      </c>
      <c r="AU1900" s="1194" t="str">
        <f t="shared" si="410"/>
        <v>.</v>
      </c>
      <c r="AV1900" s="1194" t="str">
        <f t="shared" si="399"/>
        <v>.</v>
      </c>
      <c r="AW1900" s="1194" t="str">
        <f t="shared" si="408"/>
        <v>.</v>
      </c>
      <c r="AX1900" s="1194">
        <f>IFERROR(VLOOKUP(B1900,'Share, Heavy Weapons to Ukraine'!B:Z,COLUMN('Share, Heavy Weapons to Ukraine'!C1908)-1,0),0)</f>
        <v>1</v>
      </c>
      <c r="AY1900" s="1194">
        <f>VLOOKUP('Bilateral Assistance, MAIN DATA'!B1900,'Country Summary (€)'!B:F,COLUMN('Country Summary (€)'!C1909)-1,FALSE)</f>
        <v>0</v>
      </c>
      <c r="AZ1900" s="1194" t="str">
        <f>IF(AND(AD1900=1,D1900="Military",H1900&lt;&gt;"Not given")=TRUE,IF(SUMIFS(P:P,A:A,A1900)&gt;0,ABS((SUMIFS(P:P,A:A,A1900)/VLOOKUP("USD",'Exchange Rates'!B:C,2,0)))/S1900,"."),".")</f>
        <v>.</v>
      </c>
      <c r="BA1900" s="1196" t="str">
        <f>IF(AND(AD1900=1,D1900="Military",H1900&lt;&gt;"Not given")=TRUE,IF(SUMIFS(P:P,A:A,A1900)&gt;0,IF((ABS((SUMIFS(P:P,A:A,A1900)/VLOOKUP("USD",'Exchange Rates'!B:C,2,0)))/S1900)&gt;1,(SUMIFS(P:P,A:A,A1900)-S1900)/S1900,(S1900-SUMIFS(P:P,A:A,A1900))/SUMIFS(P:P,A:A,A1900)),"."),".")</f>
        <v>.</v>
      </c>
    </row>
    <row r="1901" spans="1:71" ht="15.95" customHeight="1">
      <c r="A1901" s="1208" t="s">
        <v>4361</v>
      </c>
      <c r="B1901" s="1208" t="s">
        <v>3949</v>
      </c>
      <c r="C1901" s="1220">
        <v>44901</v>
      </c>
      <c r="D1901" s="1208" t="s">
        <v>389</v>
      </c>
      <c r="E1901" s="1208" t="s">
        <v>390</v>
      </c>
      <c r="F1901" s="1208" t="s">
        <v>4362</v>
      </c>
      <c r="G1901" s="1184" t="s">
        <v>456</v>
      </c>
      <c r="H1901" s="1221">
        <v>9000000000</v>
      </c>
      <c r="I1901" s="1180" t="s">
        <v>364</v>
      </c>
      <c r="J1901" s="1186" t="str">
        <f>VLOOKUP($I1901,'Price List, Weapons &amp; Items'!B:C,2,0)</f>
        <v>.</v>
      </c>
      <c r="K1901" s="1186" t="str">
        <f>IF(I1901=".",I1901,VLOOKUP($I1901,'Price List, Weapons &amp; Items'!B:D,3,0))</f>
        <v>.</v>
      </c>
      <c r="L1901" s="1187">
        <f>VLOOKUP(I1901,'Price List, Weapons &amp; Items'!B:E,4,0)</f>
        <v>0</v>
      </c>
      <c r="M1901" s="1188" t="s">
        <v>364</v>
      </c>
      <c r="N1901" s="1188" t="s">
        <v>364</v>
      </c>
      <c r="O1901" s="1188" t="str">
        <f>VLOOKUP($I1901,'Price List, Weapons &amp; Items'!B:G,6,0)</f>
        <v>.</v>
      </c>
      <c r="P1901" s="1185" t="str">
        <f t="shared" si="400"/>
        <v>.</v>
      </c>
      <c r="Q1901" s="1185" t="str">
        <f t="shared" si="401"/>
        <v>.</v>
      </c>
      <c r="R1901" s="1185">
        <f t="shared" si="397"/>
        <v>9000000000</v>
      </c>
      <c r="S1901" s="1185">
        <f>IF(AND(AD1901=1,R1901&lt;&gt;".")=TRUE,R1901/VLOOKUP(G1901,'Exchange Rates'!B:C,2,0),IF(R1901=".",".",""))</f>
        <v>8281192491.7188072</v>
      </c>
      <c r="T1901" s="1185" t="str">
        <f>IF(AD1901=1,IF(AF1901="Value is not given at all",".",IF(AF1901="Value is given by the source",S1901,IF(AF1901="Value is calculated with prices",(IF(SUMIFS(Q:Q,A:A,A1901)&gt;0,SUMIFS(Q:Q,A:A,A1901),"."))/VLOOKUP("USD",'Exchange Rates'!B:C,2,0),"Error with coding"))),"")</f>
        <v>.</v>
      </c>
      <c r="U1901" s="1184" t="s">
        <v>365</v>
      </c>
      <c r="V1901" s="983" t="s">
        <v>3978</v>
      </c>
      <c r="W1901" s="980" t="s">
        <v>3982</v>
      </c>
      <c r="X1901" s="966" t="s">
        <v>3992</v>
      </c>
      <c r="Y1901" s="1190" t="s">
        <v>364</v>
      </c>
      <c r="Z1901" s="1184">
        <v>0</v>
      </c>
      <c r="AA1901" s="1194">
        <v>0</v>
      </c>
      <c r="AB1901" s="1180" t="s">
        <v>364</v>
      </c>
      <c r="AC1901" s="1192" t="str">
        <f>""</f>
        <v/>
      </c>
      <c r="AD1901" s="1193">
        <v>1</v>
      </c>
      <c r="AE1901" s="1193" t="s">
        <v>368</v>
      </c>
      <c r="AF1901" s="1193" t="s">
        <v>369</v>
      </c>
      <c r="AG1901" s="1193">
        <v>1</v>
      </c>
      <c r="AH1901" s="1193">
        <v>12</v>
      </c>
      <c r="AI1901" s="1193">
        <v>0</v>
      </c>
      <c r="AJ1901" s="1193">
        <f>VLOOKUP($I1901,'Price List, Weapons &amp; Items'!B:F,5,0)</f>
        <v>0</v>
      </c>
      <c r="AK1901" s="1193">
        <f t="shared" si="402"/>
        <v>0</v>
      </c>
      <c r="AL1901" s="1193">
        <f t="shared" si="403"/>
        <v>0</v>
      </c>
      <c r="AM1901" s="1193">
        <f t="shared" si="404"/>
        <v>0</v>
      </c>
      <c r="AN1901" s="1194" t="str">
        <f>VLOOKUP($I1901,'Price List, Weapons &amp; Items'!B:L,COLUMN('Price List, Weapons &amp; Items'!$J$11)-1,0)</f>
        <v>.</v>
      </c>
      <c r="AO1901" s="1194" t="str">
        <f>IF(I1901=".",".",VLOOKUP($I1901,'Price List, Weapons &amp; Items'!B:J,3,0))</f>
        <v>.</v>
      </c>
      <c r="AP1901" s="1195" t="str">
        <f t="shared" ca="1" si="398"/>
        <v>.</v>
      </c>
      <c r="AQ1901" s="1194">
        <f>VLOOKUP($I1901,'Price List, Weapons &amp; Items'!B:L,COLUMN('Price List, Weapons &amp; Items'!$L$11)-1,0)</f>
        <v>0</v>
      </c>
      <c r="AR1901" s="1194">
        <f t="shared" si="405"/>
        <v>1</v>
      </c>
      <c r="AS1901" s="1194">
        <f t="shared" si="406"/>
        <v>1</v>
      </c>
      <c r="AT1901" s="1194">
        <f t="shared" si="407"/>
        <v>1</v>
      </c>
      <c r="AU1901" s="1194" t="str">
        <f t="shared" si="410"/>
        <v>.</v>
      </c>
      <c r="AV1901" s="1194" t="str">
        <f t="shared" si="399"/>
        <v>.</v>
      </c>
      <c r="AW1901" s="1194" t="str">
        <f t="shared" si="408"/>
        <v>.</v>
      </c>
      <c r="AX1901" s="1194">
        <f>IFERROR(VLOOKUP(B1901,'Share, Heavy Weapons to Ukraine'!B:Z,COLUMN('Share, Heavy Weapons to Ukraine'!C1909)-1,0),0)</f>
        <v>1</v>
      </c>
      <c r="AY1901" s="1194">
        <f>VLOOKUP('Bilateral Assistance, MAIN DATA'!B1901,'Country Summary (€)'!B:F,COLUMN('Country Summary (€)'!C1910)-1,FALSE)</f>
        <v>0</v>
      </c>
      <c r="AZ1901" s="1194">
        <f>IF(AND(AD1901=1,D1901="Military",H1901&lt;&gt;"Not given")=TRUE,IF(SUMIFS(P:P,A:A,A1901)&gt;0,ABS((SUMIFS(P:P,A:A,A1901)/VLOOKUP("USD",'Exchange Rates'!B:C,2,0)))/S1901,"."),".")</f>
        <v>0.39098748848411763</v>
      </c>
      <c r="BA1901" s="1196">
        <f>IF(AND(AD1901=1,D1901="Military",H1901&lt;&gt;"Not given")=TRUE,IF(SUMIFS(P:P,A:A,A1901)&gt;0,IF((ABS((SUMIFS(P:P,A:A,A1901)/VLOOKUP("USD",'Exchange Rates'!B:C,2,0)))/S1901)&gt;1,(SUMIFS(P:P,A:A,A1901)-S1901)/S1901,(S1901-SUMIFS(P:P,A:A,A1901))/SUMIFS(P:P,A:A,A1901)),"."),".")</f>
        <v>1.3533553532551064</v>
      </c>
    </row>
    <row r="1902" spans="1:71" ht="15.95" customHeight="1">
      <c r="A1902" s="1208" t="s">
        <v>4361</v>
      </c>
      <c r="B1902" s="1208" t="s">
        <v>3949</v>
      </c>
      <c r="C1902" s="1220">
        <v>44916</v>
      </c>
      <c r="D1902" s="1208" t="s">
        <v>389</v>
      </c>
      <c r="E1902" s="1208" t="s">
        <v>390</v>
      </c>
      <c r="F1902" s="1208" t="s">
        <v>4363</v>
      </c>
      <c r="G1902" s="1184" t="s">
        <v>456</v>
      </c>
      <c r="H1902" s="1221">
        <v>850000000</v>
      </c>
      <c r="I1902" s="1266" t="s">
        <v>4222</v>
      </c>
      <c r="J1902" s="1186" t="str">
        <f>VLOOKUP($I1902,'Price List, Weapons &amp; Items'!B:C,2,0)</f>
        <v>Ammunition for heavy weapon</v>
      </c>
      <c r="K1902" s="1186" t="str">
        <f>IF(I1902=".",I1902,VLOOKUP($I1902,'Price List, Weapons &amp; Items'!B:D,3,0))</f>
        <v>152mm howitzer ammunition</v>
      </c>
      <c r="L1902" s="1187">
        <f>VLOOKUP(I1902,'Price List, Weapons &amp; Items'!B:E,4,0)</f>
        <v>1</v>
      </c>
      <c r="M1902" s="1188">
        <v>45000</v>
      </c>
      <c r="N1902" s="1188" t="s">
        <v>374</v>
      </c>
      <c r="O1902" s="1188">
        <f>VLOOKUP($I1902,'Price List, Weapons &amp; Items'!B:G,6,0)</f>
        <v>3800</v>
      </c>
      <c r="P1902" s="1185">
        <f t="shared" si="400"/>
        <v>171000000</v>
      </c>
      <c r="Q1902" s="1185" t="str">
        <f t="shared" si="401"/>
        <v>.</v>
      </c>
      <c r="R1902" s="1185" t="str">
        <f t="shared" si="397"/>
        <v/>
      </c>
      <c r="S1902" s="1185" t="str">
        <f>IF(AND(AD1902=1,R1902&lt;&gt;".")=TRUE,R1902/VLOOKUP(G1902,'Exchange Rates'!B:C,2,0),IF(R1902=".",".",""))</f>
        <v/>
      </c>
      <c r="T1902" s="1185" t="str">
        <f>IF(AD1902=1,IF(AF1902="Value is not given at all",".",IF(AF1902="Value is given by the source",S1902,IF(AF1902="Value is calculated with prices",(IF(SUMIFS(Q:Q,A:A,A1902)&gt;0,SUMIFS(Q:Q,A:A,A1902),"."))/VLOOKUP("USD",'Exchange Rates'!B:C,2,0),"Error with coding"))),"")</f>
        <v/>
      </c>
      <c r="U1902" s="1184" t="s">
        <v>365</v>
      </c>
      <c r="V1902" s="1017" t="s">
        <v>4306</v>
      </c>
      <c r="W1902" s="983" t="s">
        <v>3978</v>
      </c>
      <c r="X1902" s="980" t="s">
        <v>3982</v>
      </c>
      <c r="Y1902" s="966" t="s">
        <v>3992</v>
      </c>
      <c r="Z1902" s="1184">
        <v>0</v>
      </c>
      <c r="AA1902" s="1194">
        <v>0</v>
      </c>
      <c r="AB1902" s="1180" t="s">
        <v>364</v>
      </c>
      <c r="AC1902" s="1192" t="str">
        <f>""</f>
        <v/>
      </c>
      <c r="AD1902" s="1193">
        <v>0</v>
      </c>
      <c r="AE1902" s="1193" t="s">
        <v>368</v>
      </c>
      <c r="AF1902" s="1193" t="s">
        <v>369</v>
      </c>
      <c r="AG1902" s="1193">
        <v>1</v>
      </c>
      <c r="AH1902" s="1193">
        <v>12</v>
      </c>
      <c r="AI1902" s="1193">
        <v>0</v>
      </c>
      <c r="AJ1902" s="1193">
        <f>VLOOKUP($I1902,'Price List, Weapons &amp; Items'!B:F,5,0)</f>
        <v>1</v>
      </c>
      <c r="AK1902" s="1193">
        <f t="shared" si="402"/>
        <v>0</v>
      </c>
      <c r="AL1902" s="1193">
        <f t="shared" si="403"/>
        <v>1</v>
      </c>
      <c r="AM1902" s="1193">
        <f t="shared" si="404"/>
        <v>0</v>
      </c>
      <c r="AN1902" s="1194" t="str">
        <f>VLOOKUP($I1902,'Price List, Weapons &amp; Items'!B:L,COLUMN('Price List, Weapons &amp; Items'!$J$11)-1,0)</f>
        <v>Contracts</v>
      </c>
      <c r="AO1902" s="1194" t="str">
        <f>IF(I1902=".",".",VLOOKUP($I1902,'Price List, Weapons &amp; Items'!B:J,3,0))</f>
        <v>152mm howitzer ammunition</v>
      </c>
      <c r="AP1902" s="1195" t="str">
        <f t="shared" ca="1" si="398"/>
        <v/>
      </c>
      <c r="AQ1902" s="1194">
        <f>VLOOKUP($I1902,'Price List, Weapons &amp; Items'!B:L,COLUMN('Price List, Weapons &amp; Items'!$L$11)-1,0)</f>
        <v>2</v>
      </c>
      <c r="AR1902" s="1194">
        <f t="shared" si="405"/>
        <v>1</v>
      </c>
      <c r="AS1902" s="1194">
        <f t="shared" si="406"/>
        <v>1</v>
      </c>
      <c r="AT1902" s="1194">
        <f t="shared" si="407"/>
        <v>1</v>
      </c>
      <c r="AU1902" s="1194" t="str">
        <f t="shared" si="410"/>
        <v>.</v>
      </c>
      <c r="AV1902" s="1194" t="str">
        <f t="shared" si="399"/>
        <v>.</v>
      </c>
      <c r="AW1902" s="1194" t="str">
        <f t="shared" si="408"/>
        <v>.</v>
      </c>
      <c r="AX1902" s="1194">
        <f>IFERROR(VLOOKUP(B1902,'Share, Heavy Weapons to Ukraine'!B:Z,COLUMN('Share, Heavy Weapons to Ukraine'!C1910)-1,0),0)</f>
        <v>1</v>
      </c>
      <c r="AY1902" s="1194">
        <f>VLOOKUP('Bilateral Assistance, MAIN DATA'!B1902,'Country Summary (€)'!B:F,COLUMN('Country Summary (€)'!C1911)-1,FALSE)</f>
        <v>0</v>
      </c>
      <c r="AZ1902" s="1194" t="str">
        <f>IF(AND(AD1902=1,D1902="Military",H1902&lt;&gt;"Not given")=TRUE,IF(SUMIFS(P:P,A:A,A1902)&gt;0,ABS((SUMIFS(P:P,A:A,A1902)/VLOOKUP("USD",'Exchange Rates'!B:C,2,0)))/S1902,"."),".")</f>
        <v>.</v>
      </c>
      <c r="BA1902" s="1196" t="str">
        <f>IF(AND(AD1902=1,D1902="Military",H1902&lt;&gt;"Not given")=TRUE,IF(SUMIFS(P:P,A:A,A1902)&gt;0,IF((ABS((SUMIFS(P:P,A:A,A1902)/VLOOKUP("USD",'Exchange Rates'!B:C,2,0)))/S1902)&gt;1,(SUMIFS(P:P,A:A,A1902)-S1902)/S1902,(S1902-SUMIFS(P:P,A:A,A1902))/SUMIFS(P:P,A:A,A1902)),"."),".")</f>
        <v>.</v>
      </c>
    </row>
    <row r="1903" spans="1:71" ht="15.95" customHeight="1">
      <c r="A1903" s="1208" t="s">
        <v>4361</v>
      </c>
      <c r="B1903" s="1208" t="s">
        <v>3949</v>
      </c>
      <c r="C1903" s="1220">
        <v>44916</v>
      </c>
      <c r="D1903" s="1208" t="s">
        <v>389</v>
      </c>
      <c r="E1903" s="1208" t="s">
        <v>390</v>
      </c>
      <c r="F1903" s="1208" t="s">
        <v>4363</v>
      </c>
      <c r="G1903" s="1184" t="s">
        <v>456</v>
      </c>
      <c r="H1903" s="1221">
        <v>850000000</v>
      </c>
      <c r="I1903" s="1266" t="s">
        <v>3028</v>
      </c>
      <c r="J1903" s="1186" t="str">
        <f>VLOOKUP($I1903,'Price List, Weapons &amp; Items'!B:C,2,0)</f>
        <v>Ammunition for heavy weapon</v>
      </c>
      <c r="K1903" s="1186" t="str">
        <f>IF(I1903=".",I1903,VLOOKUP($I1903,'Price List, Weapons &amp; Items'!B:D,3,0))</f>
        <v>152mm howitzer ammunition</v>
      </c>
      <c r="L1903" s="1187">
        <f>VLOOKUP(I1903,'Price List, Weapons &amp; Items'!B:E,4,0)</f>
        <v>0</v>
      </c>
      <c r="M1903" s="1188">
        <v>20000</v>
      </c>
      <c r="N1903" s="1188" t="s">
        <v>374</v>
      </c>
      <c r="O1903" s="1188">
        <f>VLOOKUP($I1903,'Price List, Weapons &amp; Items'!B:G,6,0)</f>
        <v>2000</v>
      </c>
      <c r="P1903" s="1185">
        <f t="shared" si="400"/>
        <v>40000000</v>
      </c>
      <c r="Q1903" s="1185" t="str">
        <f t="shared" si="401"/>
        <v>.</v>
      </c>
      <c r="R1903" s="1185" t="str">
        <f t="shared" si="397"/>
        <v/>
      </c>
      <c r="S1903" s="1185" t="str">
        <f>IF(AND(AD1903=1,R1903&lt;&gt;".")=TRUE,R1903/VLOOKUP(G1903,'Exchange Rates'!B:C,2,0),IF(R1903=".",".",""))</f>
        <v/>
      </c>
      <c r="T1903" s="1185" t="str">
        <f>IF(AD1903=1,IF(AF1903="Value is not given at all",".",IF(AF1903="Value is given by the source",S1903,IF(AF1903="Value is calculated with prices",(IF(SUMIFS(Q:Q,A:A,A1903)&gt;0,SUMIFS(Q:Q,A:A,A1903),"."))/VLOOKUP("USD",'Exchange Rates'!B:C,2,0),"Error with coding"))),"")</f>
        <v/>
      </c>
      <c r="U1903" s="1184" t="s">
        <v>365</v>
      </c>
      <c r="V1903" s="1017" t="s">
        <v>4306</v>
      </c>
      <c r="W1903" s="983" t="s">
        <v>3978</v>
      </c>
      <c r="X1903" s="980" t="s">
        <v>3982</v>
      </c>
      <c r="Y1903" s="966" t="s">
        <v>3994</v>
      </c>
      <c r="Z1903" s="1184">
        <v>0</v>
      </c>
      <c r="AA1903" s="1194">
        <v>0</v>
      </c>
      <c r="AB1903" s="1180" t="s">
        <v>364</v>
      </c>
      <c r="AC1903" s="1192" t="str">
        <f>""</f>
        <v/>
      </c>
      <c r="AD1903" s="1193">
        <v>0</v>
      </c>
      <c r="AE1903" s="1193" t="s">
        <v>368</v>
      </c>
      <c r="AF1903" s="1193" t="s">
        <v>369</v>
      </c>
      <c r="AG1903" s="1193">
        <v>1</v>
      </c>
      <c r="AH1903" s="1193">
        <v>12</v>
      </c>
      <c r="AI1903" s="1193">
        <v>0</v>
      </c>
      <c r="AJ1903" s="1193">
        <f>VLOOKUP($I1903,'Price List, Weapons &amp; Items'!B:F,5,0)</f>
        <v>1</v>
      </c>
      <c r="AK1903" s="1193">
        <f t="shared" si="402"/>
        <v>0</v>
      </c>
      <c r="AL1903" s="1193">
        <f t="shared" si="403"/>
        <v>1</v>
      </c>
      <c r="AM1903" s="1193">
        <f t="shared" si="404"/>
        <v>1</v>
      </c>
      <c r="AN1903" s="1194" t="str">
        <f>VLOOKUP($I1903,'Price List, Weapons &amp; Items'!B:L,COLUMN('Price List, Weapons &amp; Items'!$J$11)-1,0)</f>
        <v>Media reports (incl. social media)</v>
      </c>
      <c r="AO1903" s="1194" t="str">
        <f>IF(I1903=".",".",VLOOKUP($I1903,'Price List, Weapons &amp; Items'!B:J,3,0))</f>
        <v>152mm howitzer ammunition</v>
      </c>
      <c r="AP1903" s="1195" t="str">
        <f t="shared" ca="1" si="398"/>
        <v/>
      </c>
      <c r="AQ1903" s="1194">
        <f>VLOOKUP($I1903,'Price List, Weapons &amp; Items'!B:L,COLUMN('Price List, Weapons &amp; Items'!$L$11)-1,0)</f>
        <v>2</v>
      </c>
      <c r="AR1903" s="1194">
        <f t="shared" si="405"/>
        <v>1</v>
      </c>
      <c r="AS1903" s="1194">
        <f t="shared" si="406"/>
        <v>1</v>
      </c>
      <c r="AT1903" s="1194">
        <f t="shared" si="407"/>
        <v>1</v>
      </c>
      <c r="AU1903" s="1194" t="str">
        <f t="shared" si="410"/>
        <v>.</v>
      </c>
      <c r="AV1903" s="1194" t="str">
        <f t="shared" si="399"/>
        <v>.</v>
      </c>
      <c r="AW1903" s="1194" t="str">
        <f t="shared" si="408"/>
        <v>.</v>
      </c>
      <c r="AX1903" s="1194">
        <f>IFERROR(VLOOKUP(B1903,'Share, Heavy Weapons to Ukraine'!B:Z,COLUMN('Share, Heavy Weapons to Ukraine'!C1911)-1,0),0)</f>
        <v>1</v>
      </c>
      <c r="AY1903" s="1194">
        <f>VLOOKUP('Bilateral Assistance, MAIN DATA'!B1903,'Country Summary (€)'!B:F,COLUMN('Country Summary (€)'!C1912)-1,FALSE)</f>
        <v>0</v>
      </c>
      <c r="AZ1903" s="1194" t="str">
        <f>IF(AND(AD1903=1,D1903="Military",H1903&lt;&gt;"Not given")=TRUE,IF(SUMIFS(P:P,A:A,A1903)&gt;0,ABS((SUMIFS(P:P,A:A,A1903)/VLOOKUP("USD",'Exchange Rates'!B:C,2,0)))/S1903,"."),".")</f>
        <v>.</v>
      </c>
      <c r="BA1903" s="1196" t="str">
        <f>IF(AND(AD1903=1,D1903="Military",H1903&lt;&gt;"Not given")=TRUE,IF(SUMIFS(P:P,A:A,A1903)&gt;0,IF((ABS((SUMIFS(P:P,A:A,A1903)/VLOOKUP("USD",'Exchange Rates'!B:C,2,0)))/S1903)&gt;1,(SUMIFS(P:P,A:A,A1903)-S1903)/S1903,(S1903-SUMIFS(P:P,A:A,A1903))/SUMIFS(P:P,A:A,A1903)),"."),".")</f>
        <v>.</v>
      </c>
    </row>
    <row r="1904" spans="1:71" ht="15.95" customHeight="1">
      <c r="A1904" s="1208" t="s">
        <v>4361</v>
      </c>
      <c r="B1904" s="1208" t="s">
        <v>3949</v>
      </c>
      <c r="C1904" s="1220">
        <v>44916</v>
      </c>
      <c r="D1904" s="1208" t="s">
        <v>389</v>
      </c>
      <c r="E1904" s="1208" t="s">
        <v>390</v>
      </c>
      <c r="F1904" s="1208" t="s">
        <v>4363</v>
      </c>
      <c r="G1904" s="1184" t="s">
        <v>456</v>
      </c>
      <c r="H1904" s="1221">
        <v>850000000</v>
      </c>
      <c r="I1904" s="1328" t="s">
        <v>4364</v>
      </c>
      <c r="J1904" s="1186" t="str">
        <f>VLOOKUP($I1904,'Price List, Weapons &amp; Items'!B:C,2,0)</f>
        <v>Ammunition for heavy weapon</v>
      </c>
      <c r="K1904" s="1186" t="str">
        <f>IF(I1904=".",I1904,VLOOKUP($I1904,'Price List, Weapons &amp; Items'!B:D,3,0))</f>
        <v>122mm MLRS ammunition</v>
      </c>
      <c r="L1904" s="1187">
        <f>VLOOKUP(I1904,'Price List, Weapons &amp; Items'!B:E,4,0)</f>
        <v>1</v>
      </c>
      <c r="M1904" s="1188">
        <v>50000</v>
      </c>
      <c r="N1904" s="1188" t="s">
        <v>374</v>
      </c>
      <c r="O1904" s="1188">
        <f>VLOOKUP($I1904,'Price List, Weapons &amp; Items'!B:G,6,0)</f>
        <v>1000</v>
      </c>
      <c r="P1904" s="1185">
        <f t="shared" si="400"/>
        <v>50000000</v>
      </c>
      <c r="Q1904" s="1185" t="str">
        <f t="shared" si="401"/>
        <v>.</v>
      </c>
      <c r="R1904" s="1185" t="str">
        <f t="shared" si="397"/>
        <v/>
      </c>
      <c r="S1904" s="1185" t="str">
        <f>IF(AND(AD1904=1,R1904&lt;&gt;".")=TRUE,R1904/VLOOKUP(G1904,'Exchange Rates'!B:C,2,0),IF(R1904=".",".",""))</f>
        <v/>
      </c>
      <c r="T1904" s="1185" t="str">
        <f>IF(AD1904=1,IF(AF1904="Value is not given at all",".",IF(AF1904="Value is given by the source",S1904,IF(AF1904="Value is calculated with prices",(IF(SUMIFS(Q:Q,A:A,A1904)&gt;0,SUMIFS(Q:Q,A:A,A1904),"."))/VLOOKUP("USD",'Exchange Rates'!B:C,2,0),"Error with coding"))),"")</f>
        <v/>
      </c>
      <c r="U1904" s="1184" t="s">
        <v>365</v>
      </c>
      <c r="V1904" s="1017" t="s">
        <v>4306</v>
      </c>
      <c r="W1904" s="983" t="s">
        <v>3978</v>
      </c>
      <c r="X1904" s="980" t="s">
        <v>3982</v>
      </c>
      <c r="Y1904" s="966" t="s">
        <v>3996</v>
      </c>
      <c r="Z1904" s="1184">
        <v>0</v>
      </c>
      <c r="AA1904" s="1194">
        <v>0</v>
      </c>
      <c r="AB1904" s="1180" t="s">
        <v>364</v>
      </c>
      <c r="AC1904" s="1192" t="str">
        <f>""</f>
        <v/>
      </c>
      <c r="AD1904" s="1193">
        <v>0</v>
      </c>
      <c r="AE1904" s="1193" t="s">
        <v>368</v>
      </c>
      <c r="AF1904" s="1193" t="s">
        <v>369</v>
      </c>
      <c r="AG1904" s="1193">
        <v>1</v>
      </c>
      <c r="AH1904" s="1193">
        <v>12</v>
      </c>
      <c r="AI1904" s="1193">
        <v>0</v>
      </c>
      <c r="AJ1904" s="1193">
        <f>VLOOKUP($I1904,'Price List, Weapons &amp; Items'!B:F,5,0)</f>
        <v>1</v>
      </c>
      <c r="AK1904" s="1193">
        <f t="shared" si="402"/>
        <v>0</v>
      </c>
      <c r="AL1904" s="1193">
        <f t="shared" si="403"/>
        <v>1</v>
      </c>
      <c r="AM1904" s="1193">
        <f t="shared" si="404"/>
        <v>0</v>
      </c>
      <c r="AN1904" s="1194" t="str">
        <f>VLOOKUP($I1904,'Price List, Weapons &amp; Items'!B:L,COLUMN('Price List, Weapons &amp; Items'!$J$11)-1,0)</f>
        <v>Media reports (incl. social media)</v>
      </c>
      <c r="AO1904" s="1194" t="str">
        <f>IF(I1904=".",".",VLOOKUP($I1904,'Price List, Weapons &amp; Items'!B:J,3,0))</f>
        <v>122mm MLRS ammunition</v>
      </c>
      <c r="AP1904" s="1195" t="str">
        <f t="shared" ca="1" si="398"/>
        <v/>
      </c>
      <c r="AQ1904" s="1194">
        <f>VLOOKUP($I1904,'Price List, Weapons &amp; Items'!B:L,COLUMN('Price List, Weapons &amp; Items'!$L$11)-1,0)</f>
        <v>2</v>
      </c>
      <c r="AR1904" s="1194">
        <f t="shared" si="405"/>
        <v>1</v>
      </c>
      <c r="AS1904" s="1194">
        <f t="shared" si="406"/>
        <v>1</v>
      </c>
      <c r="AT1904" s="1194">
        <f t="shared" si="407"/>
        <v>1</v>
      </c>
      <c r="AU1904" s="1194" t="str">
        <f t="shared" si="410"/>
        <v>.</v>
      </c>
      <c r="AV1904" s="1194" t="str">
        <f t="shared" si="399"/>
        <v>.</v>
      </c>
      <c r="AW1904" s="1194" t="str">
        <f t="shared" si="408"/>
        <v>.</v>
      </c>
      <c r="AX1904" s="1194">
        <f>IFERROR(VLOOKUP(B1904,'Share, Heavy Weapons to Ukraine'!B:Z,COLUMN('Share, Heavy Weapons to Ukraine'!C1912)-1,0),0)</f>
        <v>1</v>
      </c>
      <c r="AY1904" s="1194">
        <f>VLOOKUP('Bilateral Assistance, MAIN DATA'!B1904,'Country Summary (€)'!B:F,COLUMN('Country Summary (€)'!C1913)-1,FALSE)</f>
        <v>0</v>
      </c>
      <c r="AZ1904" s="1194" t="str">
        <f>IF(AND(AD1904=1,D1904="Military",H1904&lt;&gt;"Not given")=TRUE,IF(SUMIFS(P:P,A:A,A1904)&gt;0,ABS((SUMIFS(P:P,A:A,A1904)/VLOOKUP("USD",'Exchange Rates'!B:C,2,0)))/S1904,"."),".")</f>
        <v>.</v>
      </c>
      <c r="BA1904" s="1196" t="str">
        <f>IF(AND(AD1904=1,D1904="Military",H1904&lt;&gt;"Not given")=TRUE,IF(SUMIFS(P:P,A:A,A1904)&gt;0,IF((ABS((SUMIFS(P:P,A:A,A1904)/VLOOKUP("USD",'Exchange Rates'!B:C,2,0)))/S1904)&gt;1,(SUMIFS(P:P,A:A,A1904)-S1904)/S1904,(S1904-SUMIFS(P:P,A:A,A1904))/SUMIFS(P:P,A:A,A1904)),"."),".")</f>
        <v>.</v>
      </c>
    </row>
    <row r="1905" spans="1:71" ht="15.95" customHeight="1">
      <c r="A1905" s="1208" t="s">
        <v>4361</v>
      </c>
      <c r="B1905" s="1208" t="s">
        <v>3949</v>
      </c>
      <c r="C1905" s="1220">
        <v>44916</v>
      </c>
      <c r="D1905" s="1208" t="s">
        <v>389</v>
      </c>
      <c r="E1905" s="1208" t="s">
        <v>390</v>
      </c>
      <c r="F1905" s="1208" t="s">
        <v>4363</v>
      </c>
      <c r="G1905" s="1184" t="s">
        <v>456</v>
      </c>
      <c r="H1905" s="1221">
        <v>850000000</v>
      </c>
      <c r="I1905" s="1190" t="s">
        <v>4237</v>
      </c>
      <c r="J1905" s="1186" t="str">
        <f>VLOOKUP($I1905,'Price List, Weapons &amp; Items'!B:C,2,0)</f>
        <v>Ammunition for heavy weapon</v>
      </c>
      <c r="K1905" s="1186" t="str">
        <f>IF(I1905=".",I1905,VLOOKUP($I1905,'Price List, Weapons &amp; Items'!B:D,3,0))</f>
        <v>120mm tank ammunition</v>
      </c>
      <c r="L1905" s="1187">
        <f>VLOOKUP(I1905,'Price List, Weapons &amp; Items'!B:E,4,0)</f>
        <v>0</v>
      </c>
      <c r="M1905" s="1188">
        <v>100000</v>
      </c>
      <c r="N1905" s="1188" t="s">
        <v>374</v>
      </c>
      <c r="O1905" s="1188">
        <f>VLOOKUP($I1905,'Price List, Weapons &amp; Items'!B:G,6,0)</f>
        <v>20001.25</v>
      </c>
      <c r="P1905" s="1185">
        <f t="shared" si="400"/>
        <v>2000125000</v>
      </c>
      <c r="Q1905" s="1185" t="str">
        <f t="shared" si="401"/>
        <v>.</v>
      </c>
      <c r="R1905" s="1185" t="str">
        <f t="shared" si="397"/>
        <v/>
      </c>
      <c r="S1905" s="1185" t="str">
        <f>IF(AND(AD1905=1,R1905&lt;&gt;".")=TRUE,R1905/VLOOKUP(G1905,'Exchange Rates'!B:C,2,0),IF(R1905=".",".",""))</f>
        <v/>
      </c>
      <c r="T1905" s="1185" t="str">
        <f>IF(AD1905=1,IF(AF1905="Value is not given at all",".",IF(AF1905="Value is given by the source",S1905,IF(AF1905="Value is calculated with prices",(IF(SUMIFS(Q:Q,A:A,A1905)&gt;0,SUMIFS(Q:Q,A:A,A1905),"."))/VLOOKUP("USD",'Exchange Rates'!B:C,2,0),"Error with coding"))),"")</f>
        <v/>
      </c>
      <c r="U1905" s="1184" t="s">
        <v>365</v>
      </c>
      <c r="V1905" s="1017" t="s">
        <v>4306</v>
      </c>
      <c r="W1905" s="983" t="s">
        <v>3978</v>
      </c>
      <c r="X1905" s="980" t="s">
        <v>3982</v>
      </c>
      <c r="Y1905" s="966" t="s">
        <v>3999</v>
      </c>
      <c r="Z1905" s="1184">
        <v>0</v>
      </c>
      <c r="AA1905" s="1194">
        <v>0</v>
      </c>
      <c r="AB1905" s="1180" t="s">
        <v>364</v>
      </c>
      <c r="AC1905" s="1192" t="str">
        <f>""</f>
        <v/>
      </c>
      <c r="AD1905" s="1193">
        <v>0</v>
      </c>
      <c r="AE1905" s="1193" t="s">
        <v>368</v>
      </c>
      <c r="AF1905" s="1193" t="s">
        <v>369</v>
      </c>
      <c r="AG1905" s="1193">
        <v>1</v>
      </c>
      <c r="AH1905" s="1193">
        <v>12</v>
      </c>
      <c r="AI1905" s="1193">
        <v>0</v>
      </c>
      <c r="AJ1905" s="1193">
        <f>VLOOKUP($I1905,'Price List, Weapons &amp; Items'!B:F,5,0)</f>
        <v>0</v>
      </c>
      <c r="AK1905" s="1193">
        <f t="shared" si="402"/>
        <v>0</v>
      </c>
      <c r="AL1905" s="1193">
        <f t="shared" si="403"/>
        <v>0</v>
      </c>
      <c r="AM1905" s="1193">
        <f t="shared" si="404"/>
        <v>1</v>
      </c>
      <c r="AN1905" s="1194" t="str">
        <f>VLOOKUP($I1905,'Price List, Weapons &amp; Items'!B:L,COLUMN('Price List, Weapons &amp; Items'!$J$11)-1,0)</f>
        <v>Government information</v>
      </c>
      <c r="AO1905" s="1194" t="str">
        <f>IF(I1905=".",".",VLOOKUP($I1905,'Price List, Weapons &amp; Items'!B:J,3,0))</f>
        <v>120mm tank ammunition</v>
      </c>
      <c r="AP1905" s="1195" t="str">
        <f t="shared" ca="1" si="398"/>
        <v/>
      </c>
      <c r="AQ1905" s="1194">
        <f>VLOOKUP($I1905,'Price List, Weapons &amp; Items'!B:L,COLUMN('Price List, Weapons &amp; Items'!$L$11)-1,0)</f>
        <v>2</v>
      </c>
      <c r="AR1905" s="1194">
        <f t="shared" si="405"/>
        <v>1</v>
      </c>
      <c r="AS1905" s="1194">
        <f t="shared" si="406"/>
        <v>1</v>
      </c>
      <c r="AT1905" s="1194">
        <f t="shared" si="407"/>
        <v>1</v>
      </c>
      <c r="AU1905" s="1194" t="str">
        <f t="shared" si="410"/>
        <v>.</v>
      </c>
      <c r="AV1905" s="1194" t="str">
        <f t="shared" si="399"/>
        <v>.</v>
      </c>
      <c r="AW1905" s="1194" t="str">
        <f t="shared" si="408"/>
        <v>.</v>
      </c>
      <c r="AX1905" s="1194">
        <f>IFERROR(VLOOKUP(B1905,'Share, Heavy Weapons to Ukraine'!B:Z,COLUMN('Share, Heavy Weapons to Ukraine'!C1913)-1,0),0)</f>
        <v>1</v>
      </c>
      <c r="AY1905" s="1194">
        <f>VLOOKUP('Bilateral Assistance, MAIN DATA'!B1905,'Country Summary (€)'!B:F,COLUMN('Country Summary (€)'!C1914)-1,FALSE)</f>
        <v>0</v>
      </c>
      <c r="AZ1905" s="1194" t="str">
        <f>IF(AND(AD1905=1,D1905="Military",H1905&lt;&gt;"Not given")=TRUE,IF(SUMIFS(P:P,A:A,A1905)&gt;0,ABS((SUMIFS(P:P,A:A,A1905)/VLOOKUP("USD",'Exchange Rates'!B:C,2,0)))/S1905,"."),".")</f>
        <v>.</v>
      </c>
      <c r="BA1905" s="1196" t="str">
        <f>IF(AND(AD1905=1,D1905="Military",H1905&lt;&gt;"Not given")=TRUE,IF(SUMIFS(P:P,A:A,A1905)&gt;0,IF((ABS((SUMIFS(P:P,A:A,A1905)/VLOOKUP("USD",'Exchange Rates'!B:C,2,0)))/S1905)&gt;1,(SUMIFS(P:P,A:A,A1905)-S1905)/S1905,(S1905-SUMIFS(P:P,A:A,A1905))/SUMIFS(P:P,A:A,A1905)),"."),".")</f>
        <v>.</v>
      </c>
    </row>
    <row r="1906" spans="1:71" ht="15.95" customHeight="1">
      <c r="A1906" s="1208" t="s">
        <v>4361</v>
      </c>
      <c r="B1906" s="1208" t="s">
        <v>3949</v>
      </c>
      <c r="C1906" s="1220">
        <v>44916</v>
      </c>
      <c r="D1906" s="1208" t="s">
        <v>389</v>
      </c>
      <c r="E1906" s="1208" t="s">
        <v>390</v>
      </c>
      <c r="F1906" s="1208" t="s">
        <v>4363</v>
      </c>
      <c r="G1906" s="1184" t="s">
        <v>456</v>
      </c>
      <c r="H1906" s="1221">
        <v>850000000</v>
      </c>
      <c r="I1906" s="1268" t="s">
        <v>4263</v>
      </c>
      <c r="J1906" s="1186" t="str">
        <f>VLOOKUP($I1906,'Price List, Weapons &amp; Items'!B:C,2,0)</f>
        <v>Military equipment</v>
      </c>
      <c r="K1906" s="1186" t="str">
        <f>IF(I1906=".",I1906,VLOOKUP($I1906,'Price List, Weapons &amp; Items'!B:D,3,0))</f>
        <v>Military equipment</v>
      </c>
      <c r="L1906" s="1187">
        <f>VLOOKUP(I1906,'Price List, Weapons &amp; Items'!B:E,4,0)</f>
        <v>0</v>
      </c>
      <c r="M1906" s="1188" t="s">
        <v>374</v>
      </c>
      <c r="N1906" s="1188" t="s">
        <v>374</v>
      </c>
      <c r="O1906" s="1188" t="str">
        <f>VLOOKUP($I1906,'Price List, Weapons &amp; Items'!B:G,6,0)</f>
        <v>.</v>
      </c>
      <c r="P1906" s="1185" t="str">
        <f t="shared" si="400"/>
        <v>.</v>
      </c>
      <c r="Q1906" s="1185" t="str">
        <f t="shared" si="401"/>
        <v>.</v>
      </c>
      <c r="R1906" s="1185" t="str">
        <f t="shared" si="397"/>
        <v/>
      </c>
      <c r="S1906" s="1185" t="str">
        <f>IF(AND(AD1906=1,R1906&lt;&gt;".")=TRUE,R1906/VLOOKUP(G1906,'Exchange Rates'!B:C,2,0),IF(R1906=".",".",""))</f>
        <v/>
      </c>
      <c r="T1906" s="1185" t="str">
        <f>IF(AD1906=1,IF(AF1906="Value is not given at all",".",IF(AF1906="Value is given by the source",S1906,IF(AF1906="Value is calculated with prices",(IF(SUMIFS(Q:Q,A:A,A1906)&gt;0,SUMIFS(Q:Q,A:A,A1906),"."))/VLOOKUP("USD",'Exchange Rates'!B:C,2,0),"Error with coding"))),"")</f>
        <v/>
      </c>
      <c r="U1906" s="1184" t="s">
        <v>365</v>
      </c>
      <c r="V1906" s="1017" t="s">
        <v>4306</v>
      </c>
      <c r="W1906" s="983" t="s">
        <v>3978</v>
      </c>
      <c r="X1906" s="980" t="s">
        <v>3982</v>
      </c>
      <c r="Y1906" s="966" t="s">
        <v>4000</v>
      </c>
      <c r="Z1906" s="1184">
        <v>0</v>
      </c>
      <c r="AA1906" s="1194">
        <v>0</v>
      </c>
      <c r="AB1906" s="1180" t="s">
        <v>364</v>
      </c>
      <c r="AC1906" s="1192" t="str">
        <f>""</f>
        <v/>
      </c>
      <c r="AD1906" s="1193">
        <v>0</v>
      </c>
      <c r="AE1906" s="1193" t="s">
        <v>368</v>
      </c>
      <c r="AF1906" s="1193" t="s">
        <v>369</v>
      </c>
      <c r="AG1906" s="1193">
        <v>1</v>
      </c>
      <c r="AH1906" s="1193">
        <v>12</v>
      </c>
      <c r="AI1906" s="1193">
        <v>0</v>
      </c>
      <c r="AJ1906" s="1193">
        <f>VLOOKUP($I1906,'Price List, Weapons &amp; Items'!B:F,5,0)</f>
        <v>0</v>
      </c>
      <c r="AK1906" s="1193">
        <f t="shared" si="402"/>
        <v>0</v>
      </c>
      <c r="AL1906" s="1193">
        <f t="shared" si="403"/>
        <v>0</v>
      </c>
      <c r="AM1906" s="1193">
        <f t="shared" si="404"/>
        <v>0</v>
      </c>
      <c r="AN1906" s="1194" t="str">
        <f>VLOOKUP($I1906,'Price List, Weapons &amp; Items'!B:L,COLUMN('Price List, Weapons &amp; Items'!$J$11)-1,0)</f>
        <v>.</v>
      </c>
      <c r="AO1906" s="1194" t="str">
        <f>IF(I1906=".",".",VLOOKUP($I1906,'Price List, Weapons &amp; Items'!B:J,3,0))</f>
        <v>Military equipment</v>
      </c>
      <c r="AP1906" s="1195" t="str">
        <f t="shared" ca="1" si="398"/>
        <v/>
      </c>
      <c r="AQ1906" s="1194" t="str">
        <f>VLOOKUP($I1906,'Price List, Weapons &amp; Items'!B:L,COLUMN('Price List, Weapons &amp; Items'!$L$11)-1,0)</f>
        <v>no price, 0 count</v>
      </c>
      <c r="AR1906" s="1194">
        <f t="shared" si="405"/>
        <v>1</v>
      </c>
      <c r="AS1906" s="1194">
        <f t="shared" si="406"/>
        <v>1</v>
      </c>
      <c r="AT1906" s="1194">
        <f t="shared" si="407"/>
        <v>1</v>
      </c>
      <c r="AU1906" s="1194" t="str">
        <f t="shared" si="410"/>
        <v>.</v>
      </c>
      <c r="AV1906" s="1194" t="str">
        <f t="shared" si="399"/>
        <v>.</v>
      </c>
      <c r="AW1906" s="1194" t="str">
        <f t="shared" si="408"/>
        <v>.</v>
      </c>
      <c r="AX1906" s="1194">
        <f>IFERROR(VLOOKUP(B1906,'Share, Heavy Weapons to Ukraine'!B:Z,COLUMN('Share, Heavy Weapons to Ukraine'!C1914)-1,0),0)</f>
        <v>1</v>
      </c>
      <c r="AY1906" s="1194">
        <f>VLOOKUP('Bilateral Assistance, MAIN DATA'!B1906,'Country Summary (€)'!B:F,COLUMN('Country Summary (€)'!C1915)-1,FALSE)</f>
        <v>0</v>
      </c>
      <c r="AZ1906" s="1194" t="str">
        <f>IF(AND(AD1906=1,D1906="Military",H1906&lt;&gt;"Not given")=TRUE,IF(SUMIFS(P:P,A:A,A1906)&gt;0,ABS((SUMIFS(P:P,A:A,A1906)/VLOOKUP("USD",'Exchange Rates'!B:C,2,0)))/S1906,"."),".")</f>
        <v>.</v>
      </c>
      <c r="BA1906" s="1196" t="str">
        <f>IF(AND(AD1906=1,D1906="Military",H1906&lt;&gt;"Not given")=TRUE,IF(SUMIFS(P:P,A:A,A1906)&gt;0,IF((ABS((SUMIFS(P:P,A:A,A1906)/VLOOKUP("USD",'Exchange Rates'!B:C,2,0)))/S1906)&gt;1,(SUMIFS(P:P,A:A,A1906)-S1906)/S1906,(S1906-SUMIFS(P:P,A:A,A1906))/SUMIFS(P:P,A:A,A1906)),"."),".")</f>
        <v>.</v>
      </c>
    </row>
    <row r="1907" spans="1:71" ht="15.95" customHeight="1">
      <c r="A1907" s="1208" t="s">
        <v>4361</v>
      </c>
      <c r="B1907" s="1208" t="s">
        <v>3949</v>
      </c>
      <c r="C1907" s="1220">
        <v>44951</v>
      </c>
      <c r="D1907" s="1208" t="s">
        <v>389</v>
      </c>
      <c r="E1907" s="1208" t="s">
        <v>390</v>
      </c>
      <c r="F1907" s="1208" t="s">
        <v>4365</v>
      </c>
      <c r="G1907" s="1184" t="s">
        <v>456</v>
      </c>
      <c r="H1907" s="1221">
        <v>400000000</v>
      </c>
      <c r="I1907" s="1180" t="s">
        <v>364</v>
      </c>
      <c r="J1907" s="1186" t="str">
        <f>VLOOKUP($I1907,'Price List, Weapons &amp; Items'!B:C,2,0)</f>
        <v>.</v>
      </c>
      <c r="K1907" s="1186" t="str">
        <f>IF(I1907=".",I1907,VLOOKUP($I1907,'Price List, Weapons &amp; Items'!B:D,3,0))</f>
        <v>.</v>
      </c>
      <c r="L1907" s="1187">
        <f>VLOOKUP(I1907,'Price List, Weapons &amp; Items'!B:E,4,0)</f>
        <v>0</v>
      </c>
      <c r="M1907" s="1188" t="s">
        <v>364</v>
      </c>
      <c r="N1907" s="1188" t="s">
        <v>364</v>
      </c>
      <c r="O1907" s="1188" t="str">
        <f>VLOOKUP($I1907,'Price List, Weapons &amp; Items'!B:G,6,0)</f>
        <v>.</v>
      </c>
      <c r="P1907" s="1185" t="str">
        <f t="shared" si="400"/>
        <v>.</v>
      </c>
      <c r="Q1907" s="1185" t="str">
        <f t="shared" si="401"/>
        <v>.</v>
      </c>
      <c r="R1907" s="1185" t="str">
        <f t="shared" si="397"/>
        <v/>
      </c>
      <c r="S1907" s="1185" t="str">
        <f>IF(AND(AD1907=1,R1907&lt;&gt;".")=TRUE,R1907/VLOOKUP(G1907,'Exchange Rates'!B:C,2,0),IF(R1907=".",".",""))</f>
        <v/>
      </c>
      <c r="T1907" s="1185" t="str">
        <f>IF(AD1907=1,IF(AF1907="Value is not given at all",".",IF(AF1907="Value is given by the source",S1907,IF(AF1907="Value is calculated with prices",(IF(SUMIFS(Q:Q,A:A,A1907)&gt;0,SUMIFS(Q:Q,A:A,A1907),"."))/VLOOKUP("USD",'Exchange Rates'!B:C,2,0),"Error with coding"))),"")</f>
        <v/>
      </c>
      <c r="U1907" s="1184" t="s">
        <v>365</v>
      </c>
      <c r="V1907" s="966" t="s">
        <v>4366</v>
      </c>
      <c r="W1907" s="983" t="s">
        <v>3978</v>
      </c>
      <c r="X1907" s="980" t="s">
        <v>3982</v>
      </c>
      <c r="Y1907" s="966" t="s">
        <v>4000</v>
      </c>
      <c r="Z1907" s="1184">
        <v>0</v>
      </c>
      <c r="AA1907" s="1194">
        <v>0</v>
      </c>
      <c r="AB1907" s="1180" t="s">
        <v>364</v>
      </c>
      <c r="AC1907" s="1192" t="str">
        <f>""</f>
        <v/>
      </c>
      <c r="AD1907" s="1193">
        <v>0</v>
      </c>
      <c r="AE1907" s="1193" t="s">
        <v>368</v>
      </c>
      <c r="AF1907" s="1193" t="s">
        <v>369</v>
      </c>
      <c r="AG1907" s="1193">
        <v>1</v>
      </c>
      <c r="AH1907" s="1193">
        <v>13</v>
      </c>
      <c r="AI1907" s="1193">
        <v>0</v>
      </c>
      <c r="AJ1907" s="1193">
        <f>VLOOKUP($I1907,'Price List, Weapons &amp; Items'!B:F,5,0)</f>
        <v>0</v>
      </c>
      <c r="AK1907" s="1193">
        <f t="shared" si="402"/>
        <v>0</v>
      </c>
      <c r="AL1907" s="1193">
        <f t="shared" si="403"/>
        <v>0</v>
      </c>
      <c r="AM1907" s="1193">
        <f t="shared" si="404"/>
        <v>0</v>
      </c>
      <c r="AN1907" s="1194" t="str">
        <f>VLOOKUP($I1907,'Price List, Weapons &amp; Items'!B:L,COLUMN('Price List, Weapons &amp; Items'!$J$11)-1,0)</f>
        <v>.</v>
      </c>
      <c r="AO1907" s="1194" t="str">
        <f>IF(I1907=".",".",VLOOKUP($I1907,'Price List, Weapons &amp; Items'!B:J,3,0))</f>
        <v>.</v>
      </c>
      <c r="AP1907" s="1195" t="str">
        <f t="shared" ca="1" si="398"/>
        <v/>
      </c>
      <c r="AQ1907" s="1194">
        <f>VLOOKUP($I1907,'Price List, Weapons &amp; Items'!B:L,COLUMN('Price List, Weapons &amp; Items'!$L$11)-1,0)</f>
        <v>0</v>
      </c>
      <c r="AR1907" s="1194">
        <f t="shared" si="405"/>
        <v>1</v>
      </c>
      <c r="AS1907" s="1194">
        <f t="shared" si="406"/>
        <v>1</v>
      </c>
      <c r="AT1907" s="1194">
        <f t="shared" si="407"/>
        <v>1</v>
      </c>
      <c r="AU1907" s="1194" t="str">
        <f t="shared" si="410"/>
        <v>.</v>
      </c>
      <c r="AV1907" s="1194" t="str">
        <f t="shared" si="399"/>
        <v>.</v>
      </c>
      <c r="AW1907" s="1194" t="str">
        <f t="shared" si="408"/>
        <v>.</v>
      </c>
      <c r="AX1907" s="1194">
        <f>IFERROR(VLOOKUP(B1907,'Share, Heavy Weapons to Ukraine'!B:Z,COLUMN('Share, Heavy Weapons to Ukraine'!C1915)-1,0),0)</f>
        <v>1</v>
      </c>
      <c r="AY1907" s="1194">
        <f>VLOOKUP('Bilateral Assistance, MAIN DATA'!B1907,'Country Summary (€)'!B:F,COLUMN('Country Summary (€)'!C1916)-1,FALSE)</f>
        <v>0</v>
      </c>
      <c r="AZ1907" s="1194" t="str">
        <f>IF(AND(AD1907=1,D1907="Military",H1907&lt;&gt;"Not given")=TRUE,IF(SUMIFS(P:P,A:A,A1907)&gt;0,ABS((SUMIFS(P:P,A:A,A1907)/VLOOKUP("USD",'Exchange Rates'!B:C,2,0)))/S1907,"."),".")</f>
        <v>.</v>
      </c>
      <c r="BA1907" s="1196" t="str">
        <f>IF(AND(AD1907=1,D1907="Military",H1907&lt;&gt;"Not given")=TRUE,IF(SUMIFS(P:P,A:A,A1907)&gt;0,IF((ABS((SUMIFS(P:P,A:A,A1907)/VLOOKUP("USD",'Exchange Rates'!B:C,2,0)))/S1907)&gt;1,(SUMIFS(P:P,A:A,A1907)-S1907)/S1907,(S1907-SUMIFS(P:P,A:A,A1907))/SUMIFS(P:P,A:A,A1907)),"."),".")</f>
        <v>.</v>
      </c>
    </row>
    <row r="1908" spans="1:71" ht="15.95" customHeight="1">
      <c r="A1908" s="1208" t="s">
        <v>4361</v>
      </c>
      <c r="B1908" s="1208" t="s">
        <v>3949</v>
      </c>
      <c r="C1908" s="1220">
        <v>44951</v>
      </c>
      <c r="D1908" s="1208" t="s">
        <v>389</v>
      </c>
      <c r="E1908" s="1208" t="s">
        <v>390</v>
      </c>
      <c r="F1908" s="1208" t="s">
        <v>4365</v>
      </c>
      <c r="G1908" s="1184" t="s">
        <v>456</v>
      </c>
      <c r="H1908" s="1221">
        <v>400000000</v>
      </c>
      <c r="I1908" s="1180" t="s">
        <v>4367</v>
      </c>
      <c r="J1908" s="1186" t="str">
        <f>VLOOKUP($I1908,'Price List, Weapons &amp; Items'!B:C,2,0)</f>
        <v>Heavy weapon</v>
      </c>
      <c r="K1908" s="1186" t="str">
        <f>IF(I1908=".",I1908,VLOOKUP($I1908,'Price List, Weapons &amp; Items'!B:D,3,0))</f>
        <v>Main Battle Tank (MBT)</v>
      </c>
      <c r="L1908" s="1187">
        <f>VLOOKUP(I1908,'Price List, Weapons &amp; Items'!B:E,4,0)</f>
        <v>0</v>
      </c>
      <c r="M1908" s="1188">
        <v>31</v>
      </c>
      <c r="N1908" s="1188" t="s">
        <v>374</v>
      </c>
      <c r="O1908" s="1188">
        <f>VLOOKUP($I1908,'Price List, Weapons &amp; Items'!B:G,6,0)</f>
        <v>19000000</v>
      </c>
      <c r="P1908" s="1185">
        <f t="shared" si="400"/>
        <v>589000000</v>
      </c>
      <c r="Q1908" s="1185" t="str">
        <f t="shared" si="401"/>
        <v>.</v>
      </c>
      <c r="R1908" s="1185" t="str">
        <f t="shared" si="397"/>
        <v/>
      </c>
      <c r="S1908" s="1185" t="str">
        <f>IF(AND(AD1908=1,R1908&lt;&gt;".")=TRUE,R1908/VLOOKUP(G1908,'Exchange Rates'!B:C,2,0),IF(R1908=".",".",""))</f>
        <v/>
      </c>
      <c r="T1908" s="1185" t="str">
        <f>IF(AD1908=1,IF(AF1908="Value is not given at all",".",IF(AF1908="Value is given by the source",S1908,IF(AF1908="Value is calculated with prices",(IF(SUMIFS(Q:Q,A:A,A1908)&gt;0,SUMIFS(Q:Q,A:A,A1908),"."))/VLOOKUP("USD",'Exchange Rates'!B:C,2,0),"Error with coding"))),"")</f>
        <v/>
      </c>
      <c r="U1908" s="1184" t="s">
        <v>365</v>
      </c>
      <c r="V1908" s="966" t="s">
        <v>4366</v>
      </c>
      <c r="W1908" s="983" t="s">
        <v>3978</v>
      </c>
      <c r="X1908" s="980" t="s">
        <v>3982</v>
      </c>
      <c r="Y1908" s="966" t="s">
        <v>4000</v>
      </c>
      <c r="Z1908" s="1184">
        <v>0</v>
      </c>
      <c r="AA1908" s="1194">
        <v>0</v>
      </c>
      <c r="AB1908" s="1180" t="s">
        <v>364</v>
      </c>
      <c r="AC1908" s="1192" t="str">
        <f>""</f>
        <v/>
      </c>
      <c r="AD1908" s="1193">
        <v>0</v>
      </c>
      <c r="AE1908" s="1193" t="s">
        <v>368</v>
      </c>
      <c r="AF1908" s="1193" t="s">
        <v>369</v>
      </c>
      <c r="AG1908" s="1193">
        <v>1</v>
      </c>
      <c r="AH1908" s="1193">
        <v>13</v>
      </c>
      <c r="AI1908" s="1193">
        <v>0</v>
      </c>
      <c r="AJ1908" s="1193">
        <f>VLOOKUP($I1908,'Price List, Weapons &amp; Items'!B:F,5,0)</f>
        <v>1</v>
      </c>
      <c r="AK1908" s="1193">
        <f t="shared" si="402"/>
        <v>0</v>
      </c>
      <c r="AL1908" s="1193">
        <f t="shared" si="403"/>
        <v>1</v>
      </c>
      <c r="AM1908" s="1193">
        <f t="shared" si="404"/>
        <v>0</v>
      </c>
      <c r="AN1908" s="1194" t="str">
        <f>VLOOKUP($I1908,'Price List, Weapons &amp; Items'!B:L,COLUMN('Price List, Weapons &amp; Items'!$J$11)-1,0)</f>
        <v>Media reports (incl. social media)</v>
      </c>
      <c r="AO1908" s="1194" t="str">
        <f>IF(I1908=".",".",VLOOKUP($I1908,'Price List, Weapons &amp; Items'!B:J,3,0))</f>
        <v>Main Battle Tank (MBT)</v>
      </c>
      <c r="AP1908" s="1195" t="str">
        <f t="shared" ca="1" si="398"/>
        <v/>
      </c>
      <c r="AQ1908" s="1194">
        <f>VLOOKUP($I1908,'Price List, Weapons &amp; Items'!B:L,COLUMN('Price List, Weapons &amp; Items'!$L$11)-1,0)</f>
        <v>2</v>
      </c>
      <c r="AR1908" s="1194">
        <f t="shared" si="405"/>
        <v>1</v>
      </c>
      <c r="AS1908" s="1194">
        <f t="shared" si="406"/>
        <v>1</v>
      </c>
      <c r="AT1908" s="1194">
        <f t="shared" si="407"/>
        <v>1</v>
      </c>
      <c r="AU1908" s="1194" t="str">
        <f t="shared" si="410"/>
        <v>.</v>
      </c>
      <c r="AV1908" s="1194" t="str">
        <f t="shared" si="399"/>
        <v>.</v>
      </c>
      <c r="AW1908" s="1194" t="str">
        <f t="shared" si="408"/>
        <v>.</v>
      </c>
      <c r="AX1908" s="1194">
        <f>IFERROR(VLOOKUP(B1908,'Share, Heavy Weapons to Ukraine'!B:Z,COLUMN('Share, Heavy Weapons to Ukraine'!C1916)-1,0),0)</f>
        <v>1</v>
      </c>
      <c r="AY1908" s="1194">
        <f>VLOOKUP('Bilateral Assistance, MAIN DATA'!B1908,'Country Summary (€)'!B:F,COLUMN('Country Summary (€)'!C1917)-1,FALSE)</f>
        <v>0</v>
      </c>
      <c r="AZ1908" s="1194" t="str">
        <f>IF(AND(AD1908=1,D1908="Military",H1908&lt;&gt;"Not given")=TRUE,IF(SUMIFS(P:P,A:A,A1908)&gt;0,ABS((SUMIFS(P:P,A:A,A1908)/VLOOKUP("USD",'Exchange Rates'!B:C,2,0)))/S1908,"."),".")</f>
        <v>.</v>
      </c>
      <c r="BA1908" s="1196" t="str">
        <f>IF(AND(AD1908=1,D1908="Military",H1908&lt;&gt;"Not given")=TRUE,IF(SUMIFS(P:P,A:A,A1908)&gt;0,IF((ABS((SUMIFS(P:P,A:A,A1908)/VLOOKUP("USD",'Exchange Rates'!B:C,2,0)))/S1908)&gt;1,(SUMIFS(P:P,A:A,A1908)-S1908)/S1908,(S1908-SUMIFS(P:P,A:A,A1908))/SUMIFS(P:P,A:A,A1908)),"."),".")</f>
        <v>.</v>
      </c>
    </row>
    <row r="1909" spans="1:71" ht="15.95" customHeight="1">
      <c r="A1909" s="1208" t="s">
        <v>4361</v>
      </c>
      <c r="B1909" s="1208" t="s">
        <v>3949</v>
      </c>
      <c r="C1909" s="1220">
        <v>44951</v>
      </c>
      <c r="D1909" s="1208" t="s">
        <v>389</v>
      </c>
      <c r="E1909" s="1208" t="s">
        <v>390</v>
      </c>
      <c r="F1909" s="1208" t="s">
        <v>4365</v>
      </c>
      <c r="G1909" s="1184" t="s">
        <v>456</v>
      </c>
      <c r="H1909" s="1221">
        <v>400000000</v>
      </c>
      <c r="I1909" s="1190" t="s">
        <v>4237</v>
      </c>
      <c r="J1909" s="1186" t="str">
        <f>VLOOKUP($I1909,'Price List, Weapons &amp; Items'!B:C,2,0)</f>
        <v>Ammunition for heavy weapon</v>
      </c>
      <c r="K1909" s="1186" t="str">
        <f>IF(I1909=".",I1909,VLOOKUP($I1909,'Price List, Weapons &amp; Items'!B:D,3,0))</f>
        <v>120mm tank ammunition</v>
      </c>
      <c r="L1909" s="1187">
        <f>VLOOKUP(I1909,'Price List, Weapons &amp; Items'!B:E,4,0)</f>
        <v>0</v>
      </c>
      <c r="M1909" s="1188" t="s">
        <v>374</v>
      </c>
      <c r="N1909" s="1188" t="s">
        <v>374</v>
      </c>
      <c r="O1909" s="1188">
        <f>VLOOKUP($I1909,'Price List, Weapons &amp; Items'!B:G,6,0)</f>
        <v>20001.25</v>
      </c>
      <c r="P1909" s="1185" t="str">
        <f t="shared" si="400"/>
        <v>.</v>
      </c>
      <c r="Q1909" s="1185" t="str">
        <f t="shared" si="401"/>
        <v>.</v>
      </c>
      <c r="R1909" s="1185" t="str">
        <f t="shared" si="397"/>
        <v/>
      </c>
      <c r="S1909" s="1185" t="str">
        <f>IF(AND(AD1909=1,R1909&lt;&gt;".")=TRUE,R1909/VLOOKUP(G1909,'Exchange Rates'!B:C,2,0),IF(R1909=".",".",""))</f>
        <v/>
      </c>
      <c r="T1909" s="1185" t="str">
        <f>IF(AD1909=1,IF(AF1909="Value is not given at all",".",IF(AF1909="Value is given by the source",S1909,IF(AF1909="Value is calculated with prices",(IF(SUMIFS(Q:Q,A:A,A1909)&gt;0,SUMIFS(Q:Q,A:A,A1909),"."))/VLOOKUP("USD",'Exchange Rates'!B:C,2,0),"Error with coding"))),"")</f>
        <v/>
      </c>
      <c r="U1909" s="1184" t="s">
        <v>365</v>
      </c>
      <c r="V1909" s="966" t="s">
        <v>4366</v>
      </c>
      <c r="W1909" s="983" t="s">
        <v>3978</v>
      </c>
      <c r="X1909" s="980" t="s">
        <v>3982</v>
      </c>
      <c r="Y1909" s="966" t="s">
        <v>4000</v>
      </c>
      <c r="Z1909" s="1184">
        <v>0</v>
      </c>
      <c r="AA1909" s="1194">
        <v>0</v>
      </c>
      <c r="AB1909" s="1180" t="s">
        <v>364</v>
      </c>
      <c r="AC1909" s="1192" t="str">
        <f>""</f>
        <v/>
      </c>
      <c r="AD1909" s="1193">
        <v>0</v>
      </c>
      <c r="AE1909" s="1193" t="s">
        <v>368</v>
      </c>
      <c r="AF1909" s="1193" t="s">
        <v>369</v>
      </c>
      <c r="AG1909" s="1193">
        <v>1</v>
      </c>
      <c r="AH1909" s="1193">
        <v>13</v>
      </c>
      <c r="AI1909" s="1193">
        <v>0</v>
      </c>
      <c r="AJ1909" s="1193">
        <f>VLOOKUP($I1909,'Price List, Weapons &amp; Items'!B:F,5,0)</f>
        <v>0</v>
      </c>
      <c r="AK1909" s="1193">
        <f t="shared" si="402"/>
        <v>0</v>
      </c>
      <c r="AL1909" s="1193">
        <f t="shared" si="403"/>
        <v>0</v>
      </c>
      <c r="AM1909" s="1193">
        <f t="shared" si="404"/>
        <v>1</v>
      </c>
      <c r="AN1909" s="1194" t="str">
        <f>VLOOKUP($I1909,'Price List, Weapons &amp; Items'!B:L,COLUMN('Price List, Weapons &amp; Items'!$J$11)-1,0)</f>
        <v>Government information</v>
      </c>
      <c r="AO1909" s="1194" t="str">
        <f>IF(I1909=".",".",VLOOKUP($I1909,'Price List, Weapons &amp; Items'!B:J,3,0))</f>
        <v>120mm tank ammunition</v>
      </c>
      <c r="AP1909" s="1195" t="str">
        <f t="shared" ca="1" si="398"/>
        <v/>
      </c>
      <c r="AQ1909" s="1194">
        <f>VLOOKUP($I1909,'Price List, Weapons &amp; Items'!B:L,COLUMN('Price List, Weapons &amp; Items'!$L$11)-1,0)</f>
        <v>2</v>
      </c>
      <c r="AR1909" s="1194">
        <f t="shared" si="405"/>
        <v>1</v>
      </c>
      <c r="AS1909" s="1194">
        <f t="shared" si="406"/>
        <v>1</v>
      </c>
      <c r="AT1909" s="1194">
        <f t="shared" si="407"/>
        <v>1</v>
      </c>
      <c r="AU1909" s="1194" t="str">
        <f t="shared" si="410"/>
        <v>.</v>
      </c>
      <c r="AV1909" s="1194" t="str">
        <f t="shared" si="399"/>
        <v>.</v>
      </c>
      <c r="AW1909" s="1194" t="str">
        <f t="shared" si="408"/>
        <v>.</v>
      </c>
      <c r="AX1909" s="1194">
        <f>IFERROR(VLOOKUP(B1909,'Share, Heavy Weapons to Ukraine'!B:Z,COLUMN('Share, Heavy Weapons to Ukraine'!C1917)-1,0),0)</f>
        <v>1</v>
      </c>
      <c r="AY1909" s="1194">
        <f>VLOOKUP('Bilateral Assistance, MAIN DATA'!B1909,'Country Summary (€)'!B:F,COLUMN('Country Summary (€)'!C1918)-1,FALSE)</f>
        <v>0</v>
      </c>
      <c r="AZ1909" s="1194" t="str">
        <f>IF(AND(AD1909=1,D1909="Military",H1909&lt;&gt;"Not given")=TRUE,IF(SUMIFS(P:P,A:A,A1909)&gt;0,ABS((SUMIFS(P:P,A:A,A1909)/VLOOKUP("USD",'Exchange Rates'!B:C,2,0)))/S1909,"."),".")</f>
        <v>.</v>
      </c>
      <c r="BA1909" s="1196" t="str">
        <f>IF(AND(AD1909=1,D1909="Military",H1909&lt;&gt;"Not given")=TRUE,IF(SUMIFS(P:P,A:A,A1909)&gt;0,IF((ABS((SUMIFS(P:P,A:A,A1909)/VLOOKUP("USD",'Exchange Rates'!B:C,2,0)))/S1909)&gt;1,(SUMIFS(P:P,A:A,A1909)-S1909)/S1909,(S1909-SUMIFS(P:P,A:A,A1909))/SUMIFS(P:P,A:A,A1909)),"."),".")</f>
        <v>.</v>
      </c>
    </row>
    <row r="1910" spans="1:71" ht="15.95" customHeight="1">
      <c r="A1910" s="1208" t="s">
        <v>4361</v>
      </c>
      <c r="B1910" s="1208" t="s">
        <v>3949</v>
      </c>
      <c r="C1910" s="1220">
        <v>44951</v>
      </c>
      <c r="D1910" s="1208" t="s">
        <v>389</v>
      </c>
      <c r="E1910" s="1208" t="s">
        <v>390</v>
      </c>
      <c r="F1910" s="1208" t="s">
        <v>4365</v>
      </c>
      <c r="G1910" s="1184" t="s">
        <v>456</v>
      </c>
      <c r="H1910" s="1221">
        <v>400000000</v>
      </c>
      <c r="I1910" s="1180" t="s">
        <v>4336</v>
      </c>
      <c r="J1910" s="1186" t="str">
        <f>VLOOKUP($I1910,'Price List, Weapons &amp; Items'!B:C,2,0)</f>
        <v>Heavy weapon</v>
      </c>
      <c r="K1910" s="1186" t="str">
        <f>IF(I1910=".",I1910,VLOOKUP($I1910,'Price List, Weapons &amp; Items'!B:D,3,0))</f>
        <v>Armored Recovery Vehicle (ARV)</v>
      </c>
      <c r="L1910" s="1187">
        <f>VLOOKUP(I1910,'Price List, Weapons &amp; Items'!B:E,4,0)</f>
        <v>0</v>
      </c>
      <c r="M1910" s="1188">
        <v>8</v>
      </c>
      <c r="N1910" s="1188" t="s">
        <v>374</v>
      </c>
      <c r="O1910" s="1188">
        <f>VLOOKUP($I1910,'Price List, Weapons &amp; Items'!B:G,6,0)</f>
        <v>6654468.8715460701</v>
      </c>
      <c r="P1910" s="1185">
        <f t="shared" si="400"/>
        <v>53235750.972368561</v>
      </c>
      <c r="Q1910" s="1185" t="str">
        <f t="shared" si="401"/>
        <v>.</v>
      </c>
      <c r="R1910" s="1185" t="str">
        <f t="shared" si="397"/>
        <v/>
      </c>
      <c r="S1910" s="1185" t="str">
        <f>IF(AND(AD1910=1,R1910&lt;&gt;".")=TRUE,R1910/VLOOKUP(G1910,'Exchange Rates'!B:C,2,0),IF(R1910=".",".",""))</f>
        <v/>
      </c>
      <c r="T1910" s="1185" t="str">
        <f>IF(AD1910=1,IF(AF1910="Value is not given at all",".",IF(AF1910="Value is given by the source",S1910,IF(AF1910="Value is calculated with prices",(IF(SUMIFS(Q:Q,A:A,A1910)&gt;0,SUMIFS(Q:Q,A:A,A1910),"."))/VLOOKUP("USD",'Exchange Rates'!B:C,2,0),"Error with coding"))),"")</f>
        <v/>
      </c>
      <c r="U1910" s="1184" t="s">
        <v>365</v>
      </c>
      <c r="V1910" s="966" t="s">
        <v>4366</v>
      </c>
      <c r="W1910" s="983" t="s">
        <v>3978</v>
      </c>
      <c r="X1910" s="980" t="s">
        <v>3982</v>
      </c>
      <c r="Y1910" s="966" t="s">
        <v>4000</v>
      </c>
      <c r="Z1910" s="1184">
        <v>0</v>
      </c>
      <c r="AA1910" s="1194">
        <v>0</v>
      </c>
      <c r="AB1910" s="1180" t="s">
        <v>364</v>
      </c>
      <c r="AC1910" s="1192" t="str">
        <f>""</f>
        <v/>
      </c>
      <c r="AD1910" s="1193">
        <v>0</v>
      </c>
      <c r="AE1910" s="1193" t="s">
        <v>368</v>
      </c>
      <c r="AF1910" s="1193" t="s">
        <v>369</v>
      </c>
      <c r="AG1910" s="1193">
        <v>1</v>
      </c>
      <c r="AH1910" s="1193">
        <v>13</v>
      </c>
      <c r="AI1910" s="1193">
        <v>0</v>
      </c>
      <c r="AJ1910" s="1193">
        <f>VLOOKUP($I1910,'Price List, Weapons &amp; Items'!B:F,5,0)</f>
        <v>1</v>
      </c>
      <c r="AK1910" s="1193">
        <f t="shared" si="402"/>
        <v>0</v>
      </c>
      <c r="AL1910" s="1193">
        <f t="shared" si="403"/>
        <v>1</v>
      </c>
      <c r="AM1910" s="1193">
        <f t="shared" si="404"/>
        <v>0</v>
      </c>
      <c r="AN1910" s="1194" t="str">
        <f>VLOOKUP($I1910,'Price List, Weapons &amp; Items'!B:L,COLUMN('Price List, Weapons &amp; Items'!$J$11)-1,0)</f>
        <v>Contracts</v>
      </c>
      <c r="AO1910" s="1194" t="str">
        <f>IF(I1910=".",".",VLOOKUP($I1910,'Price List, Weapons &amp; Items'!B:J,3,0))</f>
        <v>Armored Recovery Vehicle (ARV)</v>
      </c>
      <c r="AP1910" s="1195" t="str">
        <f t="shared" ca="1" si="398"/>
        <v/>
      </c>
      <c r="AQ1910" s="1194">
        <f>VLOOKUP($I1910,'Price List, Weapons &amp; Items'!B:L,COLUMN('Price List, Weapons &amp; Items'!$L$11)-1,0)</f>
        <v>2</v>
      </c>
      <c r="AR1910" s="1194">
        <f t="shared" si="405"/>
        <v>1</v>
      </c>
      <c r="AS1910" s="1194">
        <f t="shared" si="406"/>
        <v>1</v>
      </c>
      <c r="AT1910" s="1194">
        <f t="shared" si="407"/>
        <v>1</v>
      </c>
      <c r="AU1910" s="1194" t="str">
        <f t="shared" si="410"/>
        <v>.</v>
      </c>
      <c r="AV1910" s="1194" t="str">
        <f t="shared" si="399"/>
        <v>.</v>
      </c>
      <c r="AW1910" s="1194" t="str">
        <f t="shared" si="408"/>
        <v>.</v>
      </c>
      <c r="AX1910" s="1194">
        <f>IFERROR(VLOOKUP(B1910,'Share, Heavy Weapons to Ukraine'!B:Z,COLUMN('Share, Heavy Weapons to Ukraine'!C1918)-1,0),0)</f>
        <v>1</v>
      </c>
      <c r="AY1910" s="1194">
        <f>VLOOKUP('Bilateral Assistance, MAIN DATA'!B1910,'Country Summary (€)'!B:F,COLUMN('Country Summary (€)'!C1919)-1,FALSE)</f>
        <v>0</v>
      </c>
      <c r="AZ1910" s="1194" t="str">
        <f>IF(AND(AD1910=1,D1910="Military",H1910&lt;&gt;"Not given")=TRUE,IF(SUMIFS(P:P,A:A,A1910)&gt;0,ABS((SUMIFS(P:P,A:A,A1910)/VLOOKUP("USD",'Exchange Rates'!B:C,2,0)))/S1910,"."),".")</f>
        <v>.</v>
      </c>
      <c r="BA1910" s="1196" t="str">
        <f>IF(AND(AD1910=1,D1910="Military",H1910&lt;&gt;"Not given")=TRUE,IF(SUMIFS(P:P,A:A,A1910)&gt;0,IF((ABS((SUMIFS(P:P,A:A,A1910)/VLOOKUP("USD",'Exchange Rates'!B:C,2,0)))/S1910)&gt;1,(SUMIFS(P:P,A:A,A1910)-S1910)/S1910,(S1910-SUMIFS(P:P,A:A,A1910))/SUMIFS(P:P,A:A,A1910)),"."),".")</f>
        <v>.</v>
      </c>
    </row>
    <row r="1911" spans="1:71" ht="15.95" customHeight="1">
      <c r="A1911" s="1208" t="s">
        <v>4361</v>
      </c>
      <c r="B1911" s="1208" t="s">
        <v>3949</v>
      </c>
      <c r="C1911" s="1220">
        <v>44951</v>
      </c>
      <c r="D1911" s="1208" t="s">
        <v>389</v>
      </c>
      <c r="E1911" s="1208" t="s">
        <v>390</v>
      </c>
      <c r="F1911" s="1208" t="s">
        <v>4365</v>
      </c>
      <c r="G1911" s="1184" t="s">
        <v>456</v>
      </c>
      <c r="H1911" s="1221">
        <v>400000000</v>
      </c>
      <c r="I1911" s="1208" t="s">
        <v>4328</v>
      </c>
      <c r="J1911" s="1186" t="str">
        <f>VLOOKUP($I1911,'Price List, Weapons &amp; Items'!B:C,2,0)</f>
        <v>Military equipment</v>
      </c>
      <c r="K1911" s="1186" t="str">
        <f>IF(I1911=".",I1911,VLOOKUP($I1911,'Price List, Weapons &amp; Items'!B:D,3,0))</f>
        <v>Military equipment</v>
      </c>
      <c r="L1911" s="1187">
        <f>VLOOKUP(I1911,'Price List, Weapons &amp; Items'!B:E,4,0)</f>
        <v>0</v>
      </c>
      <c r="M1911" s="1188" t="s">
        <v>374</v>
      </c>
      <c r="N1911" s="1188" t="s">
        <v>374</v>
      </c>
      <c r="O1911" s="1188" t="str">
        <f>VLOOKUP($I1911,'Price List, Weapons &amp; Items'!B:G,6,0)</f>
        <v>.</v>
      </c>
      <c r="P1911" s="1185" t="str">
        <f t="shared" si="400"/>
        <v>.</v>
      </c>
      <c r="Q1911" s="1185" t="str">
        <f t="shared" si="401"/>
        <v>.</v>
      </c>
      <c r="R1911" s="1185" t="str">
        <f t="shared" si="397"/>
        <v/>
      </c>
      <c r="S1911" s="1185" t="str">
        <f>IF(AND(AD1911=1,R1911&lt;&gt;".")=TRUE,R1911/VLOOKUP(G1911,'Exchange Rates'!B:C,2,0),IF(R1911=".",".",""))</f>
        <v/>
      </c>
      <c r="T1911" s="1185" t="str">
        <f>IF(AD1911=1,IF(AF1911="Value is not given at all",".",IF(AF1911="Value is given by the source",S1911,IF(AF1911="Value is calculated with prices",(IF(SUMIFS(Q:Q,A:A,A1911)&gt;0,SUMIFS(Q:Q,A:A,A1911),"."))/VLOOKUP("USD",'Exchange Rates'!B:C,2,0),"Error with coding"))),"")</f>
        <v/>
      </c>
      <c r="U1911" s="1184" t="s">
        <v>365</v>
      </c>
      <c r="V1911" s="966" t="s">
        <v>4366</v>
      </c>
      <c r="W1911" s="983" t="s">
        <v>3978</v>
      </c>
      <c r="X1911" s="980" t="s">
        <v>3982</v>
      </c>
      <c r="Y1911" s="966" t="s">
        <v>4000</v>
      </c>
      <c r="Z1911" s="1184">
        <v>0</v>
      </c>
      <c r="AA1911" s="1194">
        <v>0</v>
      </c>
      <c r="AB1911" s="1180" t="s">
        <v>364</v>
      </c>
      <c r="AC1911" s="1192" t="str">
        <f>""</f>
        <v/>
      </c>
      <c r="AD1911" s="1193">
        <v>0</v>
      </c>
      <c r="AE1911" s="1193" t="s">
        <v>368</v>
      </c>
      <c r="AF1911" s="1193" t="s">
        <v>369</v>
      </c>
      <c r="AG1911" s="1193">
        <v>1</v>
      </c>
      <c r="AH1911" s="1193">
        <v>13</v>
      </c>
      <c r="AI1911" s="1193">
        <v>0</v>
      </c>
      <c r="AJ1911" s="1193">
        <f>VLOOKUP($I1911,'Price List, Weapons &amp; Items'!B:F,5,0)</f>
        <v>0</v>
      </c>
      <c r="AK1911" s="1193">
        <f t="shared" si="402"/>
        <v>0</v>
      </c>
      <c r="AL1911" s="1193">
        <f t="shared" si="403"/>
        <v>0</v>
      </c>
      <c r="AM1911" s="1193">
        <f t="shared" si="404"/>
        <v>0</v>
      </c>
      <c r="AN1911" s="1194" t="str">
        <f>VLOOKUP($I1911,'Price List, Weapons &amp; Items'!B:L,COLUMN('Price List, Weapons &amp; Items'!$J$11)-1,0)</f>
        <v>.</v>
      </c>
      <c r="AO1911" s="1194" t="str">
        <f>IF(I1911=".",".",VLOOKUP($I1911,'Price List, Weapons &amp; Items'!B:J,3,0))</f>
        <v>Military equipment</v>
      </c>
      <c r="AP1911" s="1195" t="str">
        <f t="shared" ca="1" si="398"/>
        <v/>
      </c>
      <c r="AQ1911" s="1194" t="str">
        <f>VLOOKUP($I1911,'Price List, Weapons &amp; Items'!B:L,COLUMN('Price List, Weapons &amp; Items'!$L$11)-1,0)</f>
        <v>no price, 0 count</v>
      </c>
      <c r="AR1911" s="1194">
        <f t="shared" si="405"/>
        <v>1</v>
      </c>
      <c r="AS1911" s="1194">
        <f t="shared" si="406"/>
        <v>1</v>
      </c>
      <c r="AT1911" s="1194">
        <f t="shared" si="407"/>
        <v>1</v>
      </c>
      <c r="AU1911" s="1194" t="str">
        <f t="shared" si="410"/>
        <v>.</v>
      </c>
      <c r="AV1911" s="1194" t="str">
        <f t="shared" si="399"/>
        <v>.</v>
      </c>
      <c r="AW1911" s="1194" t="str">
        <f t="shared" si="408"/>
        <v>.</v>
      </c>
      <c r="AX1911" s="1194">
        <f>IFERROR(VLOOKUP(B1911,'Share, Heavy Weapons to Ukraine'!B:Z,COLUMN('Share, Heavy Weapons to Ukraine'!C1919)-1,0),0)</f>
        <v>1</v>
      </c>
      <c r="AY1911" s="1194">
        <f>VLOOKUP('Bilateral Assistance, MAIN DATA'!B1911,'Country Summary (€)'!B:F,COLUMN('Country Summary (€)'!C1920)-1,FALSE)</f>
        <v>0</v>
      </c>
      <c r="AZ1911" s="1194" t="str">
        <f>IF(AND(AD1911=1,D1911="Military",H1911&lt;&gt;"Not given")=TRUE,IF(SUMIFS(P:P,A:A,A1911)&gt;0,ABS((SUMIFS(P:P,A:A,A1911)/VLOOKUP("USD",'Exchange Rates'!B:C,2,0)))/S1911,"."),".")</f>
        <v>.</v>
      </c>
      <c r="BA1911" s="1196" t="str">
        <f>IF(AND(AD1911=1,D1911="Military",H1911&lt;&gt;"Not given")=TRUE,IF(SUMIFS(P:P,A:A,A1911)&gt;0,IF((ABS((SUMIFS(P:P,A:A,A1911)/VLOOKUP("USD",'Exchange Rates'!B:C,2,0)))/S1911)&gt;1,(SUMIFS(P:P,A:A,A1911)-S1911)/S1911,(S1911-SUMIFS(P:P,A:A,A1911))/SUMIFS(P:P,A:A,A1911)),"."),".")</f>
        <v>.</v>
      </c>
    </row>
    <row r="1912" spans="1:71" ht="15.95" customHeight="1">
      <c r="A1912" s="1208" t="s">
        <v>4361</v>
      </c>
      <c r="B1912" s="1208" t="s">
        <v>3949</v>
      </c>
      <c r="C1912" s="1209">
        <v>44960</v>
      </c>
      <c r="D1912" s="1208" t="s">
        <v>389</v>
      </c>
      <c r="E1912" s="1208" t="s">
        <v>390</v>
      </c>
      <c r="F1912" s="1208" t="s">
        <v>4368</v>
      </c>
      <c r="G1912" s="1184" t="s">
        <v>456</v>
      </c>
      <c r="H1912" s="1210">
        <v>1750000000</v>
      </c>
      <c r="I1912" s="1208" t="s">
        <v>3497</v>
      </c>
      <c r="J1912" s="1186" t="str">
        <f>VLOOKUP($I1912,'Price List, Weapons &amp; Items'!B:C,2,0)</f>
        <v>Heavy weapon</v>
      </c>
      <c r="K1912" s="1186" t="str">
        <f>IF(I1912=".",I1912,VLOOKUP($I1912,'Price List, Weapons &amp; Items'!B:D,3,0))</f>
        <v>Anti-aircraft surface-to-air missile (SAM) system (medium-range)</v>
      </c>
      <c r="L1912" s="1187">
        <f>VLOOKUP(I1912,'Price List, Weapons &amp; Items'!B:E,4,0)</f>
        <v>0</v>
      </c>
      <c r="M1912" s="1241">
        <v>2</v>
      </c>
      <c r="N1912" s="1188" t="s">
        <v>374</v>
      </c>
      <c r="O1912" s="1188">
        <f>VLOOKUP($I1912,'Price List, Weapons &amp; Items'!B:G,6,0)</f>
        <v>325604.28293370258</v>
      </c>
      <c r="P1912" s="1185">
        <f t="shared" si="400"/>
        <v>651208.56586740515</v>
      </c>
      <c r="Q1912" s="1185" t="str">
        <f t="shared" si="401"/>
        <v>.</v>
      </c>
      <c r="R1912" s="1185" t="str">
        <f t="shared" si="397"/>
        <v/>
      </c>
      <c r="S1912" s="1185" t="str">
        <f>IF(AND(AD1912=1,R1912&lt;&gt;".")=TRUE,R1912/VLOOKUP(G1912,'Exchange Rates'!B:C,2,0),IF(R1912=".",".",""))</f>
        <v/>
      </c>
      <c r="T1912" s="1185" t="str">
        <f>IF(AD1912=1,IF(AF1912="Value is not given at all",".",IF(AF1912="Value is given by the source",S1912,IF(AF1912="Value is calculated with prices",(IF(SUMIFS(Q:Q,A:A,A1912)&gt;0,SUMIFS(Q:Q,A:A,A1912),"."))/VLOOKUP("USD",'Exchange Rates'!B:C,2,0),"Error with coding"))),"")</f>
        <v/>
      </c>
      <c r="U1912" s="1191" t="s">
        <v>365</v>
      </c>
      <c r="V1912" s="983" t="s">
        <v>4330</v>
      </c>
      <c r="W1912" s="983" t="s">
        <v>3989</v>
      </c>
      <c r="X1912" s="1208" t="s">
        <v>364</v>
      </c>
      <c r="Y1912" s="1208" t="s">
        <v>364</v>
      </c>
      <c r="Z1912" s="1191">
        <v>0</v>
      </c>
      <c r="AA1912" s="1191">
        <v>0</v>
      </c>
      <c r="AB1912" s="1208" t="s">
        <v>364</v>
      </c>
      <c r="AC1912" s="1192" t="str">
        <f>""</f>
        <v/>
      </c>
      <c r="AD1912" s="1193">
        <v>0</v>
      </c>
      <c r="AE1912" s="1191" t="s">
        <v>368</v>
      </c>
      <c r="AF1912" s="1191" t="s">
        <v>369</v>
      </c>
      <c r="AG1912" s="1193">
        <v>1</v>
      </c>
      <c r="AH1912" s="1191">
        <v>14</v>
      </c>
      <c r="AI1912" s="1193">
        <v>0</v>
      </c>
      <c r="AJ1912" s="1193">
        <f>VLOOKUP($I1912,'Price List, Weapons &amp; Items'!B:F,5,0)</f>
        <v>0</v>
      </c>
      <c r="AK1912" s="1193">
        <f t="shared" si="402"/>
        <v>0</v>
      </c>
      <c r="AL1912" s="1193">
        <f t="shared" si="403"/>
        <v>0</v>
      </c>
      <c r="AM1912" s="1193">
        <f t="shared" si="404"/>
        <v>0</v>
      </c>
      <c r="AN1912" s="1194" t="str">
        <f>VLOOKUP($I1912,'Price List, Weapons &amp; Items'!B:L,COLUMN('Price List, Weapons &amp; Items'!$J$11)-1,0)</f>
        <v>Contracts</v>
      </c>
      <c r="AO1912" s="1194" t="str">
        <f>IF(I1912=".",".",VLOOKUP($I1912,'Price List, Weapons &amp; Items'!B:J,3,0))</f>
        <v>Anti-aircraft surface-to-air missile (SAM) system (medium-range)</v>
      </c>
      <c r="AP1912" s="1195" t="str">
        <f t="shared" ca="1" si="398"/>
        <v/>
      </c>
      <c r="AQ1912" s="1194">
        <f>VLOOKUP($I1912,'Price List, Weapons &amp; Items'!B:L,COLUMN('Price List, Weapons &amp; Items'!$L$11)-1,0)</f>
        <v>2</v>
      </c>
      <c r="AR1912" s="1194">
        <f t="shared" si="405"/>
        <v>1</v>
      </c>
      <c r="AS1912" s="1194">
        <f t="shared" si="406"/>
        <v>1</v>
      </c>
      <c r="AT1912" s="1194">
        <f t="shared" si="407"/>
        <v>1</v>
      </c>
      <c r="AU1912" s="1194" t="str">
        <f t="shared" si="410"/>
        <v>.</v>
      </c>
      <c r="AV1912" s="1194" t="str">
        <f t="shared" si="399"/>
        <v>.</v>
      </c>
      <c r="AW1912" s="1194" t="str">
        <f t="shared" si="408"/>
        <v>.</v>
      </c>
      <c r="AX1912" s="1194">
        <f>IFERROR(VLOOKUP(B1912,'Share, Heavy Weapons to Ukraine'!B:Z,COLUMN('Share, Heavy Weapons to Ukraine'!C1920)-1,0),0)</f>
        <v>1</v>
      </c>
      <c r="AY1912" s="1194">
        <f>VLOOKUP('Bilateral Assistance, MAIN DATA'!B1912,'Country Summary (€)'!B:F,COLUMN('Country Summary (€)'!C1921)-1,FALSE)</f>
        <v>0</v>
      </c>
      <c r="AZ1912" s="1194" t="str">
        <f>IF(AND(AD1912=1,D1912="Military",H1912&lt;&gt;"Not given")=TRUE,IF(SUMIFS(P:P,A:A,A1912)&gt;0,ABS((SUMIFS(P:P,A:A,A1912)/VLOOKUP("USD",'Exchange Rates'!B:C,2,0)))/S1912,"."),".")</f>
        <v>.</v>
      </c>
      <c r="BA1912" s="1196" t="str">
        <f>IF(AND(AD1912=1,D1912="Military",H1912&lt;&gt;"Not given")=TRUE,IF(SUMIFS(P:P,A:A,A1912)&gt;0,IF((ABS((SUMIFS(P:P,A:A,A1912)/VLOOKUP("USD",'Exchange Rates'!B:C,2,0)))/S1912)&gt;1,(SUMIFS(P:P,A:A,A1912)-S1912)/S1912,(S1912-SUMIFS(P:P,A:A,A1912))/SUMIFS(P:P,A:A,A1912)),"."),".")</f>
        <v>.</v>
      </c>
      <c r="BB1912" s="1208" t="s">
        <v>38</v>
      </c>
      <c r="BC1912" s="1208" t="s">
        <v>38</v>
      </c>
      <c r="BD1912" s="1208" t="s">
        <v>38</v>
      </c>
      <c r="BE1912" s="1208" t="s">
        <v>38</v>
      </c>
      <c r="BF1912" s="1208" t="s">
        <v>38</v>
      </c>
      <c r="BG1912" s="1208" t="s">
        <v>38</v>
      </c>
      <c r="BH1912" s="1208" t="s">
        <v>38</v>
      </c>
      <c r="BI1912" s="1208" t="s">
        <v>38</v>
      </c>
      <c r="BJ1912" s="1208" t="s">
        <v>38</v>
      </c>
      <c r="BK1912" s="1208" t="s">
        <v>38</v>
      </c>
      <c r="BL1912" s="1208" t="s">
        <v>38</v>
      </c>
      <c r="BM1912" s="1208" t="s">
        <v>38</v>
      </c>
      <c r="BN1912" s="1208" t="s">
        <v>38</v>
      </c>
      <c r="BO1912" s="1208" t="s">
        <v>38</v>
      </c>
      <c r="BP1912" s="1208" t="s">
        <v>38</v>
      </c>
      <c r="BQ1912" s="1208" t="s">
        <v>38</v>
      </c>
      <c r="BR1912" s="1208" t="s">
        <v>38</v>
      </c>
      <c r="BS1912" s="1208" t="s">
        <v>38</v>
      </c>
    </row>
    <row r="1913" spans="1:71" ht="15.95" customHeight="1">
      <c r="A1913" s="1208" t="s">
        <v>4361</v>
      </c>
      <c r="B1913" s="1208" t="s">
        <v>3949</v>
      </c>
      <c r="C1913" s="1209">
        <v>44960</v>
      </c>
      <c r="D1913" s="1208" t="s">
        <v>389</v>
      </c>
      <c r="E1913" s="1208" t="s">
        <v>390</v>
      </c>
      <c r="F1913" s="1208" t="s">
        <v>4368</v>
      </c>
      <c r="G1913" s="1184" t="s">
        <v>456</v>
      </c>
      <c r="H1913" s="1210">
        <v>1750000000</v>
      </c>
      <c r="I1913" s="1208" t="s">
        <v>3886</v>
      </c>
      <c r="J1913" s="1186" t="str">
        <f>VLOOKUP($I1913,'Price List, Weapons &amp; Items'!B:C,2,0)</f>
        <v>Heavy weapon</v>
      </c>
      <c r="K1913" s="1186" t="str">
        <f>IF(I1913=".",I1913,VLOOKUP($I1913,'Price List, Weapons &amp; Items'!B:D,3,0))</f>
        <v>Self-propelled anti-aircraft weapon</v>
      </c>
      <c r="L1913" s="1187">
        <f>VLOOKUP(I1913,'Price List, Weapons &amp; Items'!B:E,4,0)</f>
        <v>0</v>
      </c>
      <c r="M1913" s="1188" t="s">
        <v>374</v>
      </c>
      <c r="N1913" s="1188" t="s">
        <v>374</v>
      </c>
      <c r="O1913" s="1188" t="str">
        <f>VLOOKUP($I1913,'Price List, Weapons &amp; Items'!B:G,6,0)</f>
        <v>.</v>
      </c>
      <c r="P1913" s="1185" t="str">
        <f t="shared" si="400"/>
        <v>.</v>
      </c>
      <c r="Q1913" s="1185" t="str">
        <f t="shared" si="401"/>
        <v>.</v>
      </c>
      <c r="R1913" s="1185" t="str">
        <f t="shared" si="397"/>
        <v/>
      </c>
      <c r="S1913" s="1185" t="str">
        <f>IF(AND(AD1913=1,R1913&lt;&gt;".")=TRUE,R1913/VLOOKUP(G1913,'Exchange Rates'!B:C,2,0),IF(R1913=".",".",""))</f>
        <v/>
      </c>
      <c r="T1913" s="1185" t="str">
        <f>IF(AD1913=1,IF(AF1913="Value is not given at all",".",IF(AF1913="Value is given by the source",S1913,IF(AF1913="Value is calculated with prices",(IF(SUMIFS(Q:Q,A:A,A1913)&gt;0,SUMIFS(Q:Q,A:A,A1913),"."))/VLOOKUP("USD",'Exchange Rates'!B:C,2,0),"Error with coding"))),"")</f>
        <v/>
      </c>
      <c r="U1913" s="1191" t="s">
        <v>365</v>
      </c>
      <c r="V1913" s="983" t="s">
        <v>4330</v>
      </c>
      <c r="W1913" s="983" t="s">
        <v>3989</v>
      </c>
      <c r="X1913" s="1208" t="s">
        <v>364</v>
      </c>
      <c r="Y1913" s="1208" t="s">
        <v>364</v>
      </c>
      <c r="Z1913" s="1191">
        <v>0</v>
      </c>
      <c r="AA1913" s="1191">
        <v>0</v>
      </c>
      <c r="AB1913" s="1208" t="s">
        <v>364</v>
      </c>
      <c r="AC1913" s="1192" t="str">
        <f>""</f>
        <v/>
      </c>
      <c r="AD1913" s="1193">
        <v>0</v>
      </c>
      <c r="AE1913" s="1191" t="s">
        <v>368</v>
      </c>
      <c r="AF1913" s="1191" t="s">
        <v>369</v>
      </c>
      <c r="AG1913" s="1193">
        <v>1</v>
      </c>
      <c r="AH1913" s="1191">
        <v>14</v>
      </c>
      <c r="AI1913" s="1193">
        <v>0</v>
      </c>
      <c r="AJ1913" s="1193">
        <f>VLOOKUP($I1913,'Price List, Weapons &amp; Items'!B:F,5,0)</f>
        <v>0</v>
      </c>
      <c r="AK1913" s="1193">
        <f t="shared" si="402"/>
        <v>0</v>
      </c>
      <c r="AL1913" s="1193">
        <f t="shared" si="403"/>
        <v>0</v>
      </c>
      <c r="AM1913" s="1193">
        <f t="shared" si="404"/>
        <v>0</v>
      </c>
      <c r="AN1913" s="1194" t="str">
        <f>VLOOKUP($I1913,'Price List, Weapons &amp; Items'!B:L,COLUMN('Price List, Weapons &amp; Items'!$J$11)-1,0)</f>
        <v>.</v>
      </c>
      <c r="AO1913" s="1194" t="str">
        <f>IF(I1913=".",".",VLOOKUP($I1913,'Price List, Weapons &amp; Items'!B:J,3,0))</f>
        <v>Self-propelled anti-aircraft weapon</v>
      </c>
      <c r="AP1913" s="1195" t="str">
        <f t="shared" ca="1" si="398"/>
        <v/>
      </c>
      <c r="AQ1913" s="1194">
        <f>VLOOKUP($I1913,'Price List, Weapons &amp; Items'!B:L,COLUMN('Price List, Weapons &amp; Items'!$L$11)-1,0)</f>
        <v>0</v>
      </c>
      <c r="AR1913" s="1194">
        <f t="shared" si="405"/>
        <v>1</v>
      </c>
      <c r="AS1913" s="1194">
        <f t="shared" si="406"/>
        <v>1</v>
      </c>
      <c r="AT1913" s="1194">
        <f t="shared" si="407"/>
        <v>1</v>
      </c>
      <c r="AU1913" s="1194" t="str">
        <f t="shared" si="410"/>
        <v>.</v>
      </c>
      <c r="AV1913" s="1194" t="str">
        <f t="shared" si="399"/>
        <v>.</v>
      </c>
      <c r="AW1913" s="1194" t="str">
        <f t="shared" si="408"/>
        <v>.</v>
      </c>
      <c r="AX1913" s="1194">
        <f>IFERROR(VLOOKUP(B1913,'Share, Heavy Weapons to Ukraine'!B:Z,COLUMN('Share, Heavy Weapons to Ukraine'!C1921)-1,0),0)</f>
        <v>1</v>
      </c>
      <c r="AY1913" s="1194">
        <f>VLOOKUP('Bilateral Assistance, MAIN DATA'!B1913,'Country Summary (€)'!B:F,COLUMN('Country Summary (€)'!C1922)-1,FALSE)</f>
        <v>0</v>
      </c>
      <c r="AZ1913" s="1194" t="str">
        <f>IF(AND(AD1913=1,D1913="Military",H1913&lt;&gt;"Not given")=TRUE,IF(SUMIFS(P:P,A:A,A1913)&gt;0,ABS((SUMIFS(P:P,A:A,A1913)/VLOOKUP("USD",'Exchange Rates'!B:C,2,0)))/S1913,"."),".")</f>
        <v>.</v>
      </c>
      <c r="BA1913" s="1196" t="str">
        <f>IF(AND(AD1913=1,D1913="Military",H1913&lt;&gt;"Not given")=TRUE,IF(SUMIFS(P:P,A:A,A1913)&gt;0,IF((ABS((SUMIFS(P:P,A:A,A1913)/VLOOKUP("USD",'Exchange Rates'!B:C,2,0)))/S1913)&gt;1,(SUMIFS(P:P,A:A,A1913)-S1913)/S1913,(S1913-SUMIFS(P:P,A:A,A1913))/SUMIFS(P:P,A:A,A1913)),"."),".")</f>
        <v>.</v>
      </c>
      <c r="BB1913" s="1208" t="s">
        <v>38</v>
      </c>
      <c r="BC1913" s="1208" t="s">
        <v>38</v>
      </c>
      <c r="BD1913" s="1208" t="s">
        <v>38</v>
      </c>
      <c r="BE1913" s="1208" t="s">
        <v>38</v>
      </c>
      <c r="BF1913" s="1208" t="s">
        <v>38</v>
      </c>
      <c r="BG1913" s="1208" t="s">
        <v>38</v>
      </c>
      <c r="BH1913" s="1208" t="s">
        <v>38</v>
      </c>
      <c r="BI1913" s="1208" t="s">
        <v>38</v>
      </c>
      <c r="BJ1913" s="1208" t="s">
        <v>38</v>
      </c>
      <c r="BK1913" s="1208" t="s">
        <v>38</v>
      </c>
      <c r="BL1913" s="1208" t="s">
        <v>38</v>
      </c>
      <c r="BM1913" s="1208" t="s">
        <v>38</v>
      </c>
      <c r="BN1913" s="1208" t="s">
        <v>38</v>
      </c>
      <c r="BO1913" s="1208" t="s">
        <v>38</v>
      </c>
      <c r="BP1913" s="1208" t="s">
        <v>38</v>
      </c>
      <c r="BQ1913" s="1208" t="s">
        <v>38</v>
      </c>
      <c r="BR1913" s="1208" t="s">
        <v>38</v>
      </c>
      <c r="BS1913" s="1208" t="s">
        <v>38</v>
      </c>
    </row>
    <row r="1914" spans="1:71" ht="15.95" customHeight="1">
      <c r="A1914" s="1208" t="s">
        <v>4361</v>
      </c>
      <c r="B1914" s="1208" t="s">
        <v>3949</v>
      </c>
      <c r="C1914" s="1209">
        <v>44960</v>
      </c>
      <c r="D1914" s="1208" t="s">
        <v>389</v>
      </c>
      <c r="E1914" s="1208" t="s">
        <v>390</v>
      </c>
      <c r="F1914" s="1208" t="s">
        <v>4368</v>
      </c>
      <c r="G1914" s="1184" t="s">
        <v>456</v>
      </c>
      <c r="H1914" s="1210">
        <v>1750000000</v>
      </c>
      <c r="I1914" s="1208" t="s">
        <v>4369</v>
      </c>
      <c r="J1914" s="1186" t="str">
        <f>VLOOKUP($I1914,'Price List, Weapons &amp; Items'!B:C,2,0)</f>
        <v>Military equipment</v>
      </c>
      <c r="K1914" s="1186" t="str">
        <f>IF(I1914=".",I1914,VLOOKUP($I1914,'Price List, Weapons &amp; Items'!B:D,3,0))</f>
        <v>Military equipment</v>
      </c>
      <c r="L1914" s="1187">
        <f>VLOOKUP(I1914,'Price List, Weapons &amp; Items'!B:E,4,0)</f>
        <v>0</v>
      </c>
      <c r="M1914" s="1188" t="s">
        <v>374</v>
      </c>
      <c r="N1914" s="1188" t="s">
        <v>374</v>
      </c>
      <c r="O1914" s="1188" t="str">
        <f>VLOOKUP($I1914,'Price List, Weapons &amp; Items'!B:G,6,0)</f>
        <v>.</v>
      </c>
      <c r="P1914" s="1185" t="str">
        <f t="shared" si="400"/>
        <v>.</v>
      </c>
      <c r="Q1914" s="1185" t="str">
        <f t="shared" si="401"/>
        <v>.</v>
      </c>
      <c r="R1914" s="1185" t="str">
        <f t="shared" si="397"/>
        <v/>
      </c>
      <c r="S1914" s="1185" t="str">
        <f>IF(AND(AD1914=1,R1914&lt;&gt;".")=TRUE,R1914/VLOOKUP(G1914,'Exchange Rates'!B:C,2,0),IF(R1914=".",".",""))</f>
        <v/>
      </c>
      <c r="T1914" s="1185" t="str">
        <f>IF(AD1914=1,IF(AF1914="Value is not given at all",".",IF(AF1914="Value is given by the source",S1914,IF(AF1914="Value is calculated with prices",(IF(SUMIFS(Q:Q,A:A,A1914)&gt;0,SUMIFS(Q:Q,A:A,A1914),"."))/VLOOKUP("USD",'Exchange Rates'!B:C,2,0),"Error with coding"))),"")</f>
        <v/>
      </c>
      <c r="U1914" s="1191" t="s">
        <v>365</v>
      </c>
      <c r="V1914" s="983" t="s">
        <v>4330</v>
      </c>
      <c r="W1914" s="983" t="s">
        <v>3989</v>
      </c>
      <c r="X1914" s="1208" t="s">
        <v>364</v>
      </c>
      <c r="Y1914" s="1208" t="s">
        <v>364</v>
      </c>
      <c r="Z1914" s="1191">
        <v>0</v>
      </c>
      <c r="AA1914" s="1191">
        <v>0</v>
      </c>
      <c r="AB1914" s="1208" t="s">
        <v>364</v>
      </c>
      <c r="AC1914" s="1192" t="str">
        <f>""</f>
        <v/>
      </c>
      <c r="AD1914" s="1193">
        <v>0</v>
      </c>
      <c r="AE1914" s="1191" t="s">
        <v>368</v>
      </c>
      <c r="AF1914" s="1191" t="s">
        <v>369</v>
      </c>
      <c r="AG1914" s="1193">
        <v>1</v>
      </c>
      <c r="AH1914" s="1191">
        <v>14</v>
      </c>
      <c r="AI1914" s="1193">
        <v>0</v>
      </c>
      <c r="AJ1914" s="1193">
        <f>VLOOKUP($I1914,'Price List, Weapons &amp; Items'!B:F,5,0)</f>
        <v>0</v>
      </c>
      <c r="AK1914" s="1193">
        <f t="shared" si="402"/>
        <v>0</v>
      </c>
      <c r="AL1914" s="1193">
        <f t="shared" si="403"/>
        <v>0</v>
      </c>
      <c r="AM1914" s="1193">
        <f t="shared" si="404"/>
        <v>0</v>
      </c>
      <c r="AN1914" s="1194" t="str">
        <f>VLOOKUP($I1914,'Price List, Weapons &amp; Items'!B:L,COLUMN('Price List, Weapons &amp; Items'!$J$11)-1,0)</f>
        <v>.</v>
      </c>
      <c r="AO1914" s="1194" t="str">
        <f>IF(I1914=".",".",VLOOKUP($I1914,'Price List, Weapons &amp; Items'!B:J,3,0))</f>
        <v>Military equipment</v>
      </c>
      <c r="AP1914" s="1195" t="str">
        <f t="shared" ca="1" si="398"/>
        <v/>
      </c>
      <c r="AQ1914" s="1194" t="str">
        <f>VLOOKUP($I1914,'Price List, Weapons &amp; Items'!B:L,COLUMN('Price List, Weapons &amp; Items'!$L$11)-1,0)</f>
        <v>no price, 0 count</v>
      </c>
      <c r="AR1914" s="1194">
        <f t="shared" si="405"/>
        <v>1</v>
      </c>
      <c r="AS1914" s="1194">
        <f t="shared" si="406"/>
        <v>1</v>
      </c>
      <c r="AT1914" s="1194">
        <f t="shared" si="407"/>
        <v>1</v>
      </c>
      <c r="AU1914" s="1194" t="str">
        <f t="shared" si="410"/>
        <v>.</v>
      </c>
      <c r="AV1914" s="1194" t="str">
        <f t="shared" si="399"/>
        <v>.</v>
      </c>
      <c r="AW1914" s="1194" t="str">
        <f t="shared" si="408"/>
        <v>.</v>
      </c>
      <c r="AX1914" s="1194">
        <f>IFERROR(VLOOKUP(B1914,'Share, Heavy Weapons to Ukraine'!B:Z,COLUMN('Share, Heavy Weapons to Ukraine'!C1922)-1,0),0)</f>
        <v>1</v>
      </c>
      <c r="AY1914" s="1194">
        <f>VLOOKUP('Bilateral Assistance, MAIN DATA'!B1914,'Country Summary (€)'!B:F,COLUMN('Country Summary (€)'!C1923)-1,FALSE)</f>
        <v>0</v>
      </c>
      <c r="AZ1914" s="1194" t="str">
        <f>IF(AND(AD1914=1,D1914="Military",H1914&lt;&gt;"Not given")=TRUE,IF(SUMIFS(P:P,A:A,A1914)&gt;0,ABS((SUMIFS(P:P,A:A,A1914)/VLOOKUP("USD",'Exchange Rates'!B:C,2,0)))/S1914,"."),".")</f>
        <v>.</v>
      </c>
      <c r="BA1914" s="1196" t="str">
        <f>IF(AND(AD1914=1,D1914="Military",H1914&lt;&gt;"Not given")=TRUE,IF(SUMIFS(P:P,A:A,A1914)&gt;0,IF((ABS((SUMIFS(P:P,A:A,A1914)/VLOOKUP("USD",'Exchange Rates'!B:C,2,0)))/S1914)&gt;1,(SUMIFS(P:P,A:A,A1914)-S1914)/S1914,(S1914-SUMIFS(P:P,A:A,A1914))/SUMIFS(P:P,A:A,A1914)),"."),".")</f>
        <v>.</v>
      </c>
      <c r="BB1914" s="1208" t="s">
        <v>38</v>
      </c>
      <c r="BC1914" s="1208" t="s">
        <v>38</v>
      </c>
      <c r="BD1914" s="1208" t="s">
        <v>38</v>
      </c>
      <c r="BE1914" s="1208" t="s">
        <v>38</v>
      </c>
      <c r="BF1914" s="1208" t="s">
        <v>38</v>
      </c>
      <c r="BG1914" s="1208" t="s">
        <v>38</v>
      </c>
      <c r="BH1914" s="1208" t="s">
        <v>38</v>
      </c>
      <c r="BI1914" s="1208" t="s">
        <v>38</v>
      </c>
      <c r="BJ1914" s="1208" t="s">
        <v>38</v>
      </c>
      <c r="BK1914" s="1208" t="s">
        <v>38</v>
      </c>
      <c r="BL1914" s="1208" t="s">
        <v>38</v>
      </c>
      <c r="BM1914" s="1208" t="s">
        <v>38</v>
      </c>
      <c r="BN1914" s="1208" t="s">
        <v>38</v>
      </c>
      <c r="BO1914" s="1208" t="s">
        <v>38</v>
      </c>
      <c r="BP1914" s="1208" t="s">
        <v>38</v>
      </c>
      <c r="BQ1914" s="1208" t="s">
        <v>38</v>
      </c>
      <c r="BR1914" s="1208" t="s">
        <v>38</v>
      </c>
      <c r="BS1914" s="1208" t="s">
        <v>38</v>
      </c>
    </row>
    <row r="1915" spans="1:71" ht="15.95" customHeight="1">
      <c r="A1915" s="1208" t="s">
        <v>4361</v>
      </c>
      <c r="B1915" s="1208" t="s">
        <v>3949</v>
      </c>
      <c r="C1915" s="1209">
        <v>44960</v>
      </c>
      <c r="D1915" s="1208" t="s">
        <v>389</v>
      </c>
      <c r="E1915" s="1208" t="s">
        <v>390</v>
      </c>
      <c r="F1915" s="1208" t="s">
        <v>4368</v>
      </c>
      <c r="G1915" s="1184" t="s">
        <v>456</v>
      </c>
      <c r="H1915" s="1210">
        <v>1750000000</v>
      </c>
      <c r="I1915" s="1208" t="s">
        <v>4370</v>
      </c>
      <c r="J1915" s="1186" t="str">
        <f>VLOOKUP($I1915,'Price List, Weapons &amp; Items'!B:C,2,0)</f>
        <v>Military equipment</v>
      </c>
      <c r="K1915" s="1186" t="str">
        <f>IF(I1915=".",I1915,VLOOKUP($I1915,'Price List, Weapons &amp; Items'!B:D,3,0))</f>
        <v>Military equipment</v>
      </c>
      <c r="L1915" s="1187">
        <f>VLOOKUP(I1915,'Price List, Weapons &amp; Items'!B:E,4,0)</f>
        <v>0</v>
      </c>
      <c r="M1915" s="1188" t="s">
        <v>374</v>
      </c>
      <c r="N1915" s="1188" t="s">
        <v>374</v>
      </c>
      <c r="O1915" s="1188" t="str">
        <f>VLOOKUP($I1915,'Price List, Weapons &amp; Items'!B:G,6,0)</f>
        <v>.</v>
      </c>
      <c r="P1915" s="1185" t="str">
        <f t="shared" si="400"/>
        <v>.</v>
      </c>
      <c r="Q1915" s="1185" t="str">
        <f t="shared" si="401"/>
        <v>.</v>
      </c>
      <c r="R1915" s="1185" t="str">
        <f t="shared" si="397"/>
        <v/>
      </c>
      <c r="S1915" s="1185" t="str">
        <f>IF(AND(AD1915=1,R1915&lt;&gt;".")=TRUE,R1915/VLOOKUP(G1915,'Exchange Rates'!B:C,2,0),IF(R1915=".",".",""))</f>
        <v/>
      </c>
      <c r="T1915" s="1185" t="str">
        <f>IF(AD1915=1,IF(AF1915="Value is not given at all",".",IF(AF1915="Value is given by the source",S1915,IF(AF1915="Value is calculated with prices",(IF(SUMIFS(Q:Q,A:A,A1915)&gt;0,SUMIFS(Q:Q,A:A,A1915),"."))/VLOOKUP("USD",'Exchange Rates'!B:C,2,0),"Error with coding"))),"")</f>
        <v/>
      </c>
      <c r="U1915" s="1191" t="s">
        <v>365</v>
      </c>
      <c r="V1915" s="983" t="s">
        <v>4330</v>
      </c>
      <c r="W1915" s="983" t="s">
        <v>3989</v>
      </c>
      <c r="X1915" s="1208" t="s">
        <v>364</v>
      </c>
      <c r="Y1915" s="1208" t="s">
        <v>364</v>
      </c>
      <c r="Z1915" s="1191">
        <v>0</v>
      </c>
      <c r="AA1915" s="1191">
        <v>0</v>
      </c>
      <c r="AB1915" s="1208" t="s">
        <v>364</v>
      </c>
      <c r="AC1915" s="1192" t="str">
        <f>""</f>
        <v/>
      </c>
      <c r="AD1915" s="1193">
        <v>0</v>
      </c>
      <c r="AE1915" s="1191" t="s">
        <v>368</v>
      </c>
      <c r="AF1915" s="1191" t="s">
        <v>369</v>
      </c>
      <c r="AG1915" s="1193">
        <v>1</v>
      </c>
      <c r="AH1915" s="1191">
        <v>14</v>
      </c>
      <c r="AI1915" s="1193">
        <v>0</v>
      </c>
      <c r="AJ1915" s="1193">
        <f>VLOOKUP($I1915,'Price List, Weapons &amp; Items'!B:F,5,0)</f>
        <v>0</v>
      </c>
      <c r="AK1915" s="1193">
        <f t="shared" si="402"/>
        <v>0</v>
      </c>
      <c r="AL1915" s="1193">
        <f t="shared" si="403"/>
        <v>0</v>
      </c>
      <c r="AM1915" s="1193">
        <f t="shared" si="404"/>
        <v>0</v>
      </c>
      <c r="AN1915" s="1194" t="str">
        <f>VLOOKUP($I1915,'Price List, Weapons &amp; Items'!B:L,COLUMN('Price List, Weapons &amp; Items'!$J$11)-1,0)</f>
        <v>.</v>
      </c>
      <c r="AO1915" s="1194" t="str">
        <f>IF(I1915=".",".",VLOOKUP($I1915,'Price List, Weapons &amp; Items'!B:J,3,0))</f>
        <v>Military equipment</v>
      </c>
      <c r="AP1915" s="1195" t="str">
        <f t="shared" ca="1" si="398"/>
        <v/>
      </c>
      <c r="AQ1915" s="1194" t="str">
        <f>VLOOKUP($I1915,'Price List, Weapons &amp; Items'!B:L,COLUMN('Price List, Weapons &amp; Items'!$L$11)-1,0)</f>
        <v>no price, 0 count</v>
      </c>
      <c r="AR1915" s="1194">
        <f t="shared" si="405"/>
        <v>1</v>
      </c>
      <c r="AS1915" s="1194">
        <f t="shared" si="406"/>
        <v>1</v>
      </c>
      <c r="AT1915" s="1194">
        <f t="shared" si="407"/>
        <v>1</v>
      </c>
      <c r="AU1915" s="1194" t="str">
        <f t="shared" si="410"/>
        <v>.</v>
      </c>
      <c r="AV1915" s="1194" t="str">
        <f t="shared" si="399"/>
        <v>.</v>
      </c>
      <c r="AW1915" s="1194" t="str">
        <f t="shared" si="408"/>
        <v>.</v>
      </c>
      <c r="AX1915" s="1194">
        <f>IFERROR(VLOOKUP(B1915,'Share, Heavy Weapons to Ukraine'!B:Z,COLUMN('Share, Heavy Weapons to Ukraine'!C1923)-1,0),0)</f>
        <v>1</v>
      </c>
      <c r="AY1915" s="1194">
        <f>VLOOKUP('Bilateral Assistance, MAIN DATA'!B1915,'Country Summary (€)'!B:F,COLUMN('Country Summary (€)'!C1924)-1,FALSE)</f>
        <v>0</v>
      </c>
      <c r="AZ1915" s="1194" t="str">
        <f>IF(AND(AD1915=1,D1915="Military",H1915&lt;&gt;"Not given")=TRUE,IF(SUMIFS(P:P,A:A,A1915)&gt;0,ABS((SUMIFS(P:P,A:A,A1915)/VLOOKUP("USD",'Exchange Rates'!B:C,2,0)))/S1915,"."),".")</f>
        <v>.</v>
      </c>
      <c r="BA1915" s="1196" t="str">
        <f>IF(AND(AD1915=1,D1915="Military",H1915&lt;&gt;"Not given")=TRUE,IF(SUMIFS(P:P,A:A,A1915)&gt;0,IF((ABS((SUMIFS(P:P,A:A,A1915)/VLOOKUP("USD",'Exchange Rates'!B:C,2,0)))/S1915)&gt;1,(SUMIFS(P:P,A:A,A1915)-S1915)/S1915,(S1915-SUMIFS(P:P,A:A,A1915))/SUMIFS(P:P,A:A,A1915)),"."),".")</f>
        <v>.</v>
      </c>
      <c r="BB1915" s="1208" t="s">
        <v>38</v>
      </c>
      <c r="BC1915" s="1208" t="s">
        <v>38</v>
      </c>
      <c r="BD1915" s="1208" t="s">
        <v>38</v>
      </c>
      <c r="BE1915" s="1208" t="s">
        <v>38</v>
      </c>
      <c r="BF1915" s="1208" t="s">
        <v>38</v>
      </c>
      <c r="BG1915" s="1208" t="s">
        <v>38</v>
      </c>
      <c r="BH1915" s="1208" t="s">
        <v>38</v>
      </c>
      <c r="BI1915" s="1208" t="s">
        <v>38</v>
      </c>
      <c r="BJ1915" s="1208" t="s">
        <v>38</v>
      </c>
      <c r="BK1915" s="1208" t="s">
        <v>38</v>
      </c>
      <c r="BL1915" s="1208" t="s">
        <v>38</v>
      </c>
      <c r="BM1915" s="1208" t="s">
        <v>38</v>
      </c>
      <c r="BN1915" s="1208" t="s">
        <v>38</v>
      </c>
      <c r="BO1915" s="1208" t="s">
        <v>38</v>
      </c>
      <c r="BP1915" s="1208" t="s">
        <v>38</v>
      </c>
      <c r="BQ1915" s="1208" t="s">
        <v>38</v>
      </c>
      <c r="BR1915" s="1208" t="s">
        <v>38</v>
      </c>
      <c r="BS1915" s="1208" t="s">
        <v>38</v>
      </c>
    </row>
    <row r="1916" spans="1:71" ht="15.95" customHeight="1">
      <c r="A1916" s="1208" t="s">
        <v>4361</v>
      </c>
      <c r="B1916" s="1208" t="s">
        <v>3949</v>
      </c>
      <c r="C1916" s="1209">
        <v>44960</v>
      </c>
      <c r="D1916" s="1208" t="s">
        <v>389</v>
      </c>
      <c r="E1916" s="1208" t="s">
        <v>390</v>
      </c>
      <c r="F1916" s="1208" t="s">
        <v>4368</v>
      </c>
      <c r="G1916" s="1184" t="s">
        <v>456</v>
      </c>
      <c r="H1916" s="1210">
        <v>1750000000</v>
      </c>
      <c r="I1916" s="1208" t="s">
        <v>4371</v>
      </c>
      <c r="J1916" s="1186" t="str">
        <f>VLOOKUP($I1916,'Price List, Weapons &amp; Items'!B:C,2,0)</f>
        <v>Military equipment</v>
      </c>
      <c r="K1916" s="1186" t="str">
        <f>IF(I1916=".",I1916,VLOOKUP($I1916,'Price List, Weapons &amp; Items'!B:D,3,0))</f>
        <v>Military equipment</v>
      </c>
      <c r="L1916" s="1187">
        <f>VLOOKUP(I1916,'Price List, Weapons &amp; Items'!B:E,4,0)</f>
        <v>0</v>
      </c>
      <c r="M1916" s="1188" t="s">
        <v>374</v>
      </c>
      <c r="N1916" s="1188" t="s">
        <v>374</v>
      </c>
      <c r="O1916" s="1188">
        <f>VLOOKUP($I1916,'Price List, Weapons &amp; Items'!B:G,6,0)</f>
        <v>40171.4375</v>
      </c>
      <c r="P1916" s="1185" t="str">
        <f t="shared" si="400"/>
        <v>.</v>
      </c>
      <c r="Q1916" s="1185" t="str">
        <f t="shared" si="401"/>
        <v>.</v>
      </c>
      <c r="R1916" s="1185" t="str">
        <f t="shared" si="397"/>
        <v/>
      </c>
      <c r="S1916" s="1185" t="str">
        <f>IF(AND(AD1916=1,R1916&lt;&gt;".")=TRUE,R1916/VLOOKUP(G1916,'Exchange Rates'!B:C,2,0),IF(R1916=".",".",""))</f>
        <v/>
      </c>
      <c r="T1916" s="1185" t="str">
        <f>IF(AD1916=1,IF(AF1916="Value is not given at all",".",IF(AF1916="Value is given by the source",S1916,IF(AF1916="Value is calculated with prices",(IF(SUMIFS(Q:Q,A:A,A1916)&gt;0,SUMIFS(Q:Q,A:A,A1916),"."))/VLOOKUP("USD",'Exchange Rates'!B:C,2,0),"Error with coding"))),"")</f>
        <v/>
      </c>
      <c r="U1916" s="1191" t="s">
        <v>365</v>
      </c>
      <c r="V1916" s="983" t="s">
        <v>4330</v>
      </c>
      <c r="W1916" s="983" t="s">
        <v>3989</v>
      </c>
      <c r="X1916" s="1208" t="s">
        <v>364</v>
      </c>
      <c r="Y1916" s="1208" t="s">
        <v>364</v>
      </c>
      <c r="Z1916" s="1191">
        <v>0</v>
      </c>
      <c r="AA1916" s="1191">
        <v>0</v>
      </c>
      <c r="AB1916" s="1208" t="s">
        <v>364</v>
      </c>
      <c r="AC1916" s="1192" t="str">
        <f>""</f>
        <v/>
      </c>
      <c r="AD1916" s="1193">
        <v>0</v>
      </c>
      <c r="AE1916" s="1191" t="s">
        <v>368</v>
      </c>
      <c r="AF1916" s="1191" t="s">
        <v>369</v>
      </c>
      <c r="AG1916" s="1193">
        <v>1</v>
      </c>
      <c r="AH1916" s="1191">
        <v>14</v>
      </c>
      <c r="AI1916" s="1193">
        <v>0</v>
      </c>
      <c r="AJ1916" s="1193">
        <f>VLOOKUP($I1916,'Price List, Weapons &amp; Items'!B:F,5,0)</f>
        <v>0</v>
      </c>
      <c r="AK1916" s="1193">
        <f t="shared" si="402"/>
        <v>0</v>
      </c>
      <c r="AL1916" s="1193">
        <f t="shared" si="403"/>
        <v>0</v>
      </c>
      <c r="AM1916" s="1193">
        <f t="shared" si="404"/>
        <v>0</v>
      </c>
      <c r="AN1916" s="1194" t="str">
        <f>VLOOKUP($I1916,'Price List, Weapons &amp; Items'!B:L,COLUMN('Price List, Weapons &amp; Items'!$J$11)-1,0)</f>
        <v>Government information</v>
      </c>
      <c r="AO1916" s="1194" t="str">
        <f>IF(I1916=".",".",VLOOKUP($I1916,'Price List, Weapons &amp; Items'!B:J,3,0))</f>
        <v>Military equipment</v>
      </c>
      <c r="AP1916" s="1195" t="str">
        <f t="shared" ca="1" si="398"/>
        <v/>
      </c>
      <c r="AQ1916" s="1194" t="str">
        <f>VLOOKUP($I1916,'Price List, Weapons &amp; Items'!B:L,COLUMN('Price List, Weapons &amp; Items'!$L$11)-1,0)</f>
        <v>no price, 0 count</v>
      </c>
      <c r="AR1916" s="1194">
        <f t="shared" si="405"/>
        <v>1</v>
      </c>
      <c r="AS1916" s="1194">
        <f t="shared" si="406"/>
        <v>1</v>
      </c>
      <c r="AT1916" s="1194">
        <f t="shared" si="407"/>
        <v>1</v>
      </c>
      <c r="AU1916" s="1194" t="str">
        <f t="shared" si="410"/>
        <v>.</v>
      </c>
      <c r="AV1916" s="1194" t="str">
        <f t="shared" si="399"/>
        <v>.</v>
      </c>
      <c r="AW1916" s="1194" t="str">
        <f t="shared" si="408"/>
        <v>.</v>
      </c>
      <c r="AX1916" s="1194">
        <f>IFERROR(VLOOKUP(B1916,'Share, Heavy Weapons to Ukraine'!B:Z,COLUMN('Share, Heavy Weapons to Ukraine'!C1924)-1,0),0)</f>
        <v>1</v>
      </c>
      <c r="AY1916" s="1194">
        <f>VLOOKUP('Bilateral Assistance, MAIN DATA'!B1916,'Country Summary (€)'!B:F,COLUMN('Country Summary (€)'!C1925)-1,FALSE)</f>
        <v>0</v>
      </c>
      <c r="AZ1916" s="1194" t="str">
        <f>IF(AND(AD1916=1,D1916="Military",H1916&lt;&gt;"Not given")=TRUE,IF(SUMIFS(P:P,A:A,A1916)&gt;0,ABS((SUMIFS(P:P,A:A,A1916)/VLOOKUP("USD",'Exchange Rates'!B:C,2,0)))/S1916,"."),".")</f>
        <v>.</v>
      </c>
      <c r="BA1916" s="1196" t="str">
        <f>IF(AND(AD1916=1,D1916="Military",H1916&lt;&gt;"Not given")=TRUE,IF(SUMIFS(P:P,A:A,A1916)&gt;0,IF((ABS((SUMIFS(P:P,A:A,A1916)/VLOOKUP("USD",'Exchange Rates'!B:C,2,0)))/S1916)&gt;1,(SUMIFS(P:P,A:A,A1916)-S1916)/S1916,(S1916-SUMIFS(P:P,A:A,A1916))/SUMIFS(P:P,A:A,A1916)),"."),".")</f>
        <v>.</v>
      </c>
      <c r="BB1916" s="1208" t="s">
        <v>38</v>
      </c>
      <c r="BC1916" s="1208" t="s">
        <v>38</v>
      </c>
      <c r="BD1916" s="1208" t="s">
        <v>38</v>
      </c>
      <c r="BE1916" s="1208" t="s">
        <v>38</v>
      </c>
      <c r="BF1916" s="1208" t="s">
        <v>38</v>
      </c>
      <c r="BG1916" s="1208" t="s">
        <v>38</v>
      </c>
      <c r="BH1916" s="1208" t="s">
        <v>38</v>
      </c>
      <c r="BI1916" s="1208" t="s">
        <v>38</v>
      </c>
      <c r="BJ1916" s="1208" t="s">
        <v>38</v>
      </c>
      <c r="BK1916" s="1208" t="s">
        <v>38</v>
      </c>
      <c r="BL1916" s="1208" t="s">
        <v>38</v>
      </c>
      <c r="BM1916" s="1208" t="s">
        <v>38</v>
      </c>
      <c r="BN1916" s="1208" t="s">
        <v>38</v>
      </c>
      <c r="BO1916" s="1208" t="s">
        <v>38</v>
      </c>
      <c r="BP1916" s="1208" t="s">
        <v>38</v>
      </c>
      <c r="BQ1916" s="1208" t="s">
        <v>38</v>
      </c>
      <c r="BR1916" s="1208" t="s">
        <v>38</v>
      </c>
      <c r="BS1916" s="1208" t="s">
        <v>38</v>
      </c>
    </row>
    <row r="1917" spans="1:71" ht="15.95" customHeight="1">
      <c r="A1917" s="1208" t="s">
        <v>4361</v>
      </c>
      <c r="B1917" s="1208" t="s">
        <v>3949</v>
      </c>
      <c r="C1917" s="1209">
        <v>44960</v>
      </c>
      <c r="D1917" s="1208" t="s">
        <v>389</v>
      </c>
      <c r="E1917" s="1208" t="s">
        <v>390</v>
      </c>
      <c r="F1917" s="1208" t="s">
        <v>4368</v>
      </c>
      <c r="G1917" s="1184" t="s">
        <v>456</v>
      </c>
      <c r="H1917" s="1210">
        <v>1750000000</v>
      </c>
      <c r="I1917" s="1208" t="s">
        <v>4372</v>
      </c>
      <c r="J1917" s="1186" t="str">
        <f>VLOOKUP($I1917,'Price List, Weapons &amp; Items'!B:C,2,0)</f>
        <v>Aviation and drones</v>
      </c>
      <c r="K1917" s="1186" t="str">
        <f>IF(I1917=".",I1917,VLOOKUP($I1917,'Price List, Weapons &amp; Items'!B:D,3,0))</f>
        <v>Drone</v>
      </c>
      <c r="L1917" s="1187">
        <f>VLOOKUP(I1917,'Price List, Weapons &amp; Items'!B:E,4,0)</f>
        <v>0</v>
      </c>
      <c r="M1917" s="1188" t="s">
        <v>374</v>
      </c>
      <c r="N1917" s="1188" t="s">
        <v>374</v>
      </c>
      <c r="O1917" s="1188">
        <f>VLOOKUP($I1917,'Price List, Weapons &amp; Items'!B:G,6,0)</f>
        <v>15000000</v>
      </c>
      <c r="P1917" s="1185" t="str">
        <f t="shared" si="400"/>
        <v>.</v>
      </c>
      <c r="Q1917" s="1185" t="str">
        <f t="shared" si="401"/>
        <v>.</v>
      </c>
      <c r="R1917" s="1185" t="str">
        <f t="shared" si="397"/>
        <v/>
      </c>
      <c r="S1917" s="1185" t="str">
        <f>IF(AND(AD1917=1,R1917&lt;&gt;".")=TRUE,R1917/VLOOKUP(G1917,'Exchange Rates'!B:C,2,0),IF(R1917=".",".",""))</f>
        <v/>
      </c>
      <c r="T1917" s="1185" t="str">
        <f>IF(AD1917=1,IF(AF1917="Value is not given at all",".",IF(AF1917="Value is given by the source",S1917,IF(AF1917="Value is calculated with prices",(IF(SUMIFS(Q:Q,A:A,A1917)&gt;0,SUMIFS(Q:Q,A:A,A1917),"."))/VLOOKUP("USD",'Exchange Rates'!B:C,2,0),"Error with coding"))),"")</f>
        <v/>
      </c>
      <c r="U1917" s="1191" t="s">
        <v>365</v>
      </c>
      <c r="V1917" s="983" t="s">
        <v>4330</v>
      </c>
      <c r="W1917" s="983" t="s">
        <v>3989</v>
      </c>
      <c r="X1917" s="1208" t="s">
        <v>364</v>
      </c>
      <c r="Y1917" s="1208" t="s">
        <v>364</v>
      </c>
      <c r="Z1917" s="1191">
        <v>0</v>
      </c>
      <c r="AA1917" s="1191">
        <v>0</v>
      </c>
      <c r="AB1917" s="1208" t="s">
        <v>364</v>
      </c>
      <c r="AC1917" s="1192" t="str">
        <f>""</f>
        <v/>
      </c>
      <c r="AD1917" s="1193">
        <v>0</v>
      </c>
      <c r="AE1917" s="1191" t="s">
        <v>368</v>
      </c>
      <c r="AF1917" s="1191" t="s">
        <v>369</v>
      </c>
      <c r="AG1917" s="1193">
        <v>1</v>
      </c>
      <c r="AH1917" s="1191">
        <v>14</v>
      </c>
      <c r="AI1917" s="1193">
        <v>0</v>
      </c>
      <c r="AJ1917" s="1193">
        <f>VLOOKUP($I1917,'Price List, Weapons &amp; Items'!B:F,5,0)</f>
        <v>0</v>
      </c>
      <c r="AK1917" s="1193">
        <f t="shared" si="402"/>
        <v>0</v>
      </c>
      <c r="AL1917" s="1193">
        <f t="shared" si="403"/>
        <v>0</v>
      </c>
      <c r="AM1917" s="1193">
        <f t="shared" si="404"/>
        <v>0</v>
      </c>
      <c r="AN1917" s="1194" t="str">
        <f>VLOOKUP($I1917,'Price List, Weapons &amp; Items'!B:L,COLUMN('Price List, Weapons &amp; Items'!$J$11)-1,0)</f>
        <v>Miscellaneous</v>
      </c>
      <c r="AO1917" s="1194" t="str">
        <f>IF(I1917=".",".",VLOOKUP($I1917,'Price List, Weapons &amp; Items'!B:J,3,0))</f>
        <v>Drone</v>
      </c>
      <c r="AP1917" s="1195" t="str">
        <f t="shared" ca="1" si="398"/>
        <v/>
      </c>
      <c r="AQ1917" s="1194" t="str">
        <f>VLOOKUP($I1917,'Price List, Weapons &amp; Items'!B:L,COLUMN('Price List, Weapons &amp; Items'!$L$11)-1,0)</f>
        <v>no price, 0 count</v>
      </c>
      <c r="AR1917" s="1194">
        <f t="shared" si="405"/>
        <v>1</v>
      </c>
      <c r="AS1917" s="1194">
        <f t="shared" si="406"/>
        <v>1</v>
      </c>
      <c r="AT1917" s="1194">
        <f t="shared" si="407"/>
        <v>1</v>
      </c>
      <c r="AU1917" s="1194" t="str">
        <f t="shared" si="410"/>
        <v>.</v>
      </c>
      <c r="AV1917" s="1194" t="str">
        <f t="shared" si="399"/>
        <v>.</v>
      </c>
      <c r="AW1917" s="1194" t="str">
        <f t="shared" si="408"/>
        <v>.</v>
      </c>
      <c r="AX1917" s="1194">
        <f>IFERROR(VLOOKUP(B1917,'Share, Heavy Weapons to Ukraine'!B:Z,COLUMN('Share, Heavy Weapons to Ukraine'!C1925)-1,0),0)</f>
        <v>1</v>
      </c>
      <c r="AY1917" s="1194">
        <f>VLOOKUP('Bilateral Assistance, MAIN DATA'!B1917,'Country Summary (€)'!B:F,COLUMN('Country Summary (€)'!C1926)-1,FALSE)</f>
        <v>0</v>
      </c>
      <c r="AZ1917" s="1194" t="str">
        <f>IF(AND(AD1917=1,D1917="Military",H1917&lt;&gt;"Not given")=TRUE,IF(SUMIFS(P:P,A:A,A1917)&gt;0,ABS((SUMIFS(P:P,A:A,A1917)/VLOOKUP("USD",'Exchange Rates'!B:C,2,0)))/S1917,"."),".")</f>
        <v>.</v>
      </c>
      <c r="BA1917" s="1196" t="str">
        <f>IF(AND(AD1917=1,D1917="Military",H1917&lt;&gt;"Not given")=TRUE,IF(SUMIFS(P:P,A:A,A1917)&gt;0,IF((ABS((SUMIFS(P:P,A:A,A1917)/VLOOKUP("USD",'Exchange Rates'!B:C,2,0)))/S1917)&gt;1,(SUMIFS(P:P,A:A,A1917)-S1917)/S1917,(S1917-SUMIFS(P:P,A:A,A1917))/SUMIFS(P:P,A:A,A1917)),"."),".")</f>
        <v>.</v>
      </c>
      <c r="BB1917" s="1208" t="s">
        <v>38</v>
      </c>
      <c r="BC1917" s="1208" t="s">
        <v>38</v>
      </c>
      <c r="BD1917" s="1208" t="s">
        <v>38</v>
      </c>
      <c r="BE1917" s="1208" t="s">
        <v>38</v>
      </c>
      <c r="BF1917" s="1208" t="s">
        <v>38</v>
      </c>
      <c r="BG1917" s="1208" t="s">
        <v>38</v>
      </c>
      <c r="BH1917" s="1208" t="s">
        <v>38</v>
      </c>
      <c r="BI1917" s="1208" t="s">
        <v>38</v>
      </c>
      <c r="BJ1917" s="1208" t="s">
        <v>38</v>
      </c>
      <c r="BK1917" s="1208" t="s">
        <v>38</v>
      </c>
      <c r="BL1917" s="1208" t="s">
        <v>38</v>
      </c>
      <c r="BM1917" s="1208" t="s">
        <v>38</v>
      </c>
      <c r="BN1917" s="1208" t="s">
        <v>38</v>
      </c>
      <c r="BO1917" s="1208" t="s">
        <v>38</v>
      </c>
      <c r="BP1917" s="1208" t="s">
        <v>38</v>
      </c>
      <c r="BQ1917" s="1208" t="s">
        <v>38</v>
      </c>
      <c r="BR1917" s="1208" t="s">
        <v>38</v>
      </c>
      <c r="BS1917" s="1208" t="s">
        <v>38</v>
      </c>
    </row>
    <row r="1918" spans="1:71" ht="15.95" customHeight="1">
      <c r="A1918" s="1208" t="s">
        <v>4361</v>
      </c>
      <c r="B1918" s="1208" t="s">
        <v>3949</v>
      </c>
      <c r="C1918" s="1209">
        <v>44960</v>
      </c>
      <c r="D1918" s="1208" t="s">
        <v>389</v>
      </c>
      <c r="E1918" s="1208" t="s">
        <v>390</v>
      </c>
      <c r="F1918" s="1208" t="s">
        <v>4368</v>
      </c>
      <c r="G1918" s="1184" t="s">
        <v>456</v>
      </c>
      <c r="H1918" s="1210">
        <v>1750000000</v>
      </c>
      <c r="I1918" s="1208" t="s">
        <v>4335</v>
      </c>
      <c r="J1918" s="1186" t="str">
        <f>VLOOKUP($I1918,'Price List, Weapons &amp; Items'!B:C,2,0)</f>
        <v>Heavy weapon</v>
      </c>
      <c r="K1918" s="1186" t="str">
        <f>IF(I1918=".",I1918,VLOOKUP($I1918,'Price List, Weapons &amp; Items'!B:D,3,0))</f>
        <v>Radar or imagery systems</v>
      </c>
      <c r="L1918" s="1187">
        <f>VLOOKUP(I1918,'Price List, Weapons &amp; Items'!B:E,4,0)</f>
        <v>0</v>
      </c>
      <c r="M1918" s="1241">
        <v>4</v>
      </c>
      <c r="N1918" s="1188" t="s">
        <v>374</v>
      </c>
      <c r="O1918" s="1188">
        <f>VLOOKUP($I1918,'Price List, Weapons &amp; Items'!B:G,6,0)</f>
        <v>70000000</v>
      </c>
      <c r="P1918" s="1185">
        <f t="shared" si="400"/>
        <v>280000000</v>
      </c>
      <c r="Q1918" s="1185" t="str">
        <f t="shared" si="401"/>
        <v>.</v>
      </c>
      <c r="R1918" s="1185" t="str">
        <f t="shared" si="397"/>
        <v/>
      </c>
      <c r="S1918" s="1185" t="str">
        <f>IF(AND(AD1918=1,R1918&lt;&gt;".")=TRUE,R1918/VLOOKUP(G1918,'Exchange Rates'!B:C,2,0),IF(R1918=".",".",""))</f>
        <v/>
      </c>
      <c r="T1918" s="1185" t="str">
        <f>IF(AD1918=1,IF(AF1918="Value is not given at all",".",IF(AF1918="Value is given by the source",S1918,IF(AF1918="Value is calculated with prices",(IF(SUMIFS(Q:Q,A:A,A1918)&gt;0,SUMIFS(Q:Q,A:A,A1918),"."))/VLOOKUP("USD",'Exchange Rates'!B:C,2,0),"Error with coding"))),"")</f>
        <v/>
      </c>
      <c r="U1918" s="1191" t="s">
        <v>365</v>
      </c>
      <c r="V1918" s="983" t="s">
        <v>4330</v>
      </c>
      <c r="W1918" s="983" t="s">
        <v>3989</v>
      </c>
      <c r="X1918" s="1208" t="s">
        <v>364</v>
      </c>
      <c r="Y1918" s="1208" t="s">
        <v>364</v>
      </c>
      <c r="Z1918" s="1191">
        <v>0</v>
      </c>
      <c r="AA1918" s="1191">
        <v>0</v>
      </c>
      <c r="AB1918" s="1208" t="s">
        <v>364</v>
      </c>
      <c r="AC1918" s="1192" t="str">
        <f>""</f>
        <v/>
      </c>
      <c r="AD1918" s="1193">
        <v>0</v>
      </c>
      <c r="AE1918" s="1191" t="s">
        <v>368</v>
      </c>
      <c r="AF1918" s="1191" t="s">
        <v>369</v>
      </c>
      <c r="AG1918" s="1193">
        <v>1</v>
      </c>
      <c r="AH1918" s="1191">
        <v>14</v>
      </c>
      <c r="AI1918" s="1193">
        <v>0</v>
      </c>
      <c r="AJ1918" s="1193">
        <f>VLOOKUP($I1918,'Price List, Weapons &amp; Items'!B:F,5,0)</f>
        <v>0</v>
      </c>
      <c r="AK1918" s="1193">
        <f t="shared" si="402"/>
        <v>0</v>
      </c>
      <c r="AL1918" s="1193">
        <f t="shared" si="403"/>
        <v>0</v>
      </c>
      <c r="AM1918" s="1193">
        <f t="shared" si="404"/>
        <v>0</v>
      </c>
      <c r="AN1918" s="1194" t="str">
        <f>VLOOKUP($I1918,'Price List, Weapons &amp; Items'!B:L,COLUMN('Price List, Weapons &amp; Items'!$J$11)-1,0)</f>
        <v>Military media (incl. websites)</v>
      </c>
      <c r="AO1918" s="1194" t="str">
        <f>IF(I1918=".",".",VLOOKUP($I1918,'Price List, Weapons &amp; Items'!B:J,3,0))</f>
        <v>Radar or imagery systems</v>
      </c>
      <c r="AP1918" s="1195" t="str">
        <f t="shared" ca="1" si="398"/>
        <v/>
      </c>
      <c r="AQ1918" s="1194">
        <f>VLOOKUP($I1918,'Price List, Weapons &amp; Items'!B:L,COLUMN('Price List, Weapons &amp; Items'!$L$11)-1,0)</f>
        <v>2</v>
      </c>
      <c r="AR1918" s="1194">
        <f t="shared" si="405"/>
        <v>1</v>
      </c>
      <c r="AS1918" s="1194">
        <f t="shared" si="406"/>
        <v>1</v>
      </c>
      <c r="AT1918" s="1194">
        <f t="shared" si="407"/>
        <v>1</v>
      </c>
      <c r="AU1918" s="1194" t="str">
        <f t="shared" si="410"/>
        <v>.</v>
      </c>
      <c r="AV1918" s="1194" t="str">
        <f t="shared" si="399"/>
        <v>.</v>
      </c>
      <c r="AW1918" s="1194" t="str">
        <f t="shared" si="408"/>
        <v>.</v>
      </c>
      <c r="AX1918" s="1194">
        <f>IFERROR(VLOOKUP(B1918,'Share, Heavy Weapons to Ukraine'!B:Z,COLUMN('Share, Heavy Weapons to Ukraine'!C1926)-1,0),0)</f>
        <v>1</v>
      </c>
      <c r="AY1918" s="1194">
        <f>VLOOKUP('Bilateral Assistance, MAIN DATA'!B1918,'Country Summary (€)'!B:F,COLUMN('Country Summary (€)'!C1927)-1,FALSE)</f>
        <v>0</v>
      </c>
      <c r="AZ1918" s="1194" t="str">
        <f>IF(AND(AD1918=1,D1918="Military",H1918&lt;&gt;"Not given")=TRUE,IF(SUMIFS(P:P,A:A,A1918)&gt;0,ABS((SUMIFS(P:P,A:A,A1918)/VLOOKUP("USD",'Exchange Rates'!B:C,2,0)))/S1918,"."),".")</f>
        <v>.</v>
      </c>
      <c r="BA1918" s="1196" t="str">
        <f>IF(AND(AD1918=1,D1918="Military",H1918&lt;&gt;"Not given")=TRUE,IF(SUMIFS(P:P,A:A,A1918)&gt;0,IF((ABS((SUMIFS(P:P,A:A,A1918)/VLOOKUP("USD",'Exchange Rates'!B:C,2,0)))/S1918)&gt;1,(SUMIFS(P:P,A:A,A1918)-S1918)/S1918,(S1918-SUMIFS(P:P,A:A,A1918))/SUMIFS(P:P,A:A,A1918)),"."),".")</f>
        <v>.</v>
      </c>
      <c r="BB1918" s="1208" t="s">
        <v>38</v>
      </c>
      <c r="BC1918" s="1208" t="s">
        <v>38</v>
      </c>
      <c r="BD1918" s="1208" t="s">
        <v>38</v>
      </c>
      <c r="BE1918" s="1208" t="s">
        <v>38</v>
      </c>
      <c r="BF1918" s="1208" t="s">
        <v>38</v>
      </c>
      <c r="BG1918" s="1208" t="s">
        <v>38</v>
      </c>
      <c r="BH1918" s="1208" t="s">
        <v>38</v>
      </c>
      <c r="BI1918" s="1208" t="s">
        <v>38</v>
      </c>
      <c r="BJ1918" s="1208" t="s">
        <v>38</v>
      </c>
      <c r="BK1918" s="1208" t="s">
        <v>38</v>
      </c>
      <c r="BL1918" s="1208" t="s">
        <v>38</v>
      </c>
      <c r="BM1918" s="1208" t="s">
        <v>38</v>
      </c>
      <c r="BN1918" s="1208" t="s">
        <v>38</v>
      </c>
      <c r="BO1918" s="1208" t="s">
        <v>38</v>
      </c>
      <c r="BP1918" s="1208" t="s">
        <v>38</v>
      </c>
      <c r="BQ1918" s="1208" t="s">
        <v>38</v>
      </c>
      <c r="BR1918" s="1208" t="s">
        <v>38</v>
      </c>
      <c r="BS1918" s="1208" t="s">
        <v>38</v>
      </c>
    </row>
    <row r="1919" spans="1:71" ht="15.95" customHeight="1">
      <c r="A1919" s="1208" t="s">
        <v>4361</v>
      </c>
      <c r="B1919" s="1208" t="s">
        <v>3949</v>
      </c>
      <c r="C1919" s="1209">
        <v>44960</v>
      </c>
      <c r="D1919" s="1208" t="s">
        <v>389</v>
      </c>
      <c r="E1919" s="1208" t="s">
        <v>390</v>
      </c>
      <c r="F1919" s="1208" t="s">
        <v>4368</v>
      </c>
      <c r="G1919" s="1184" t="s">
        <v>456</v>
      </c>
      <c r="H1919" s="1210">
        <v>1750000000</v>
      </c>
      <c r="I1919" s="1208" t="s">
        <v>4373</v>
      </c>
      <c r="J1919" s="1186" t="str">
        <f>VLOOKUP($I1919,'Price List, Weapons &amp; Items'!B:C,2,0)</f>
        <v>Military equipment</v>
      </c>
      <c r="K1919" s="1186" t="str">
        <f>IF(I1919=".",I1919,VLOOKUP($I1919,'Price List, Weapons &amp; Items'!B:D,3,0))</f>
        <v>Military equipment</v>
      </c>
      <c r="L1919" s="1187">
        <f>VLOOKUP(I1919,'Price List, Weapons &amp; Items'!B:E,4,0)</f>
        <v>0</v>
      </c>
      <c r="M1919" s="1241">
        <v>20</v>
      </c>
      <c r="N1919" s="1188" t="s">
        <v>374</v>
      </c>
      <c r="O1919" s="1188">
        <f>VLOOKUP($I1919,'Price List, Weapons &amp; Items'!B:G,6,0)</f>
        <v>5332000</v>
      </c>
      <c r="P1919" s="1185">
        <f t="shared" si="400"/>
        <v>106640000</v>
      </c>
      <c r="Q1919" s="1185" t="str">
        <f t="shared" si="401"/>
        <v>.</v>
      </c>
      <c r="R1919" s="1185" t="str">
        <f t="shared" si="397"/>
        <v/>
      </c>
      <c r="S1919" s="1185" t="str">
        <f>IF(AND(AD1919=1,R1919&lt;&gt;".")=TRUE,R1919/VLOOKUP(G1919,'Exchange Rates'!B:C,2,0),IF(R1919=".",".",""))</f>
        <v/>
      </c>
      <c r="T1919" s="1185" t="str">
        <f>IF(AD1919=1,IF(AF1919="Value is not given at all",".",IF(AF1919="Value is given by the source",S1919,IF(AF1919="Value is calculated with prices",(IF(SUMIFS(Q:Q,A:A,A1919)&gt;0,SUMIFS(Q:Q,A:A,A1919),"."))/VLOOKUP("USD",'Exchange Rates'!B:C,2,0),"Error with coding"))),"")</f>
        <v/>
      </c>
      <c r="U1919" s="1191" t="s">
        <v>365</v>
      </c>
      <c r="V1919" s="983" t="s">
        <v>4330</v>
      </c>
      <c r="W1919" s="983" t="s">
        <v>3989</v>
      </c>
      <c r="X1919" s="1208" t="s">
        <v>364</v>
      </c>
      <c r="Y1919" s="1208" t="s">
        <v>364</v>
      </c>
      <c r="Z1919" s="1191">
        <v>0</v>
      </c>
      <c r="AA1919" s="1191">
        <v>0</v>
      </c>
      <c r="AB1919" s="1208" t="s">
        <v>364</v>
      </c>
      <c r="AC1919" s="1192" t="str">
        <f>""</f>
        <v/>
      </c>
      <c r="AD1919" s="1193">
        <v>0</v>
      </c>
      <c r="AE1919" s="1191" t="s">
        <v>368</v>
      </c>
      <c r="AF1919" s="1191" t="s">
        <v>369</v>
      </c>
      <c r="AG1919" s="1193">
        <v>1</v>
      </c>
      <c r="AH1919" s="1191">
        <v>14</v>
      </c>
      <c r="AI1919" s="1193">
        <v>0</v>
      </c>
      <c r="AJ1919" s="1193">
        <f>VLOOKUP($I1919,'Price List, Weapons &amp; Items'!B:F,5,0)</f>
        <v>0</v>
      </c>
      <c r="AK1919" s="1193">
        <f t="shared" si="402"/>
        <v>0</v>
      </c>
      <c r="AL1919" s="1193">
        <f t="shared" si="403"/>
        <v>0</v>
      </c>
      <c r="AM1919" s="1193">
        <f t="shared" si="404"/>
        <v>0</v>
      </c>
      <c r="AN1919" s="1194" t="str">
        <f>VLOOKUP($I1919,'Price List, Weapons &amp; Items'!B:L,COLUMN('Price List, Weapons &amp; Items'!$J$11)-1,0)</f>
        <v>Government information</v>
      </c>
      <c r="AO1919" s="1194" t="str">
        <f>IF(I1919=".",".",VLOOKUP($I1919,'Price List, Weapons &amp; Items'!B:J,3,0))</f>
        <v>Military equipment</v>
      </c>
      <c r="AP1919" s="1195" t="str">
        <f t="shared" ca="1" si="398"/>
        <v/>
      </c>
      <c r="AQ1919" s="1194">
        <f>VLOOKUP($I1919,'Price List, Weapons &amp; Items'!B:L,COLUMN('Price List, Weapons &amp; Items'!$L$11)-1,0)</f>
        <v>2</v>
      </c>
      <c r="AR1919" s="1194">
        <f t="shared" si="405"/>
        <v>1</v>
      </c>
      <c r="AS1919" s="1194">
        <f t="shared" si="406"/>
        <v>1</v>
      </c>
      <c r="AT1919" s="1194">
        <f t="shared" si="407"/>
        <v>1</v>
      </c>
      <c r="AU1919" s="1194" t="str">
        <f t="shared" ref="AU1919:AU1950" si="411">IF(AND(A1919=A1918,C1919=C1918)=TRUE,IF(F1919=F1918,".","1"),".")</f>
        <v>.</v>
      </c>
      <c r="AV1919" s="1194" t="str">
        <f t="shared" si="399"/>
        <v>.</v>
      </c>
      <c r="AW1919" s="1194" t="str">
        <f t="shared" si="408"/>
        <v>.</v>
      </c>
      <c r="AX1919" s="1194">
        <f>IFERROR(VLOOKUP(B1919,'Share, Heavy Weapons to Ukraine'!B:Z,COLUMN('Share, Heavy Weapons to Ukraine'!C1927)-1,0),0)</f>
        <v>1</v>
      </c>
      <c r="AY1919" s="1194">
        <f>VLOOKUP('Bilateral Assistance, MAIN DATA'!B1919,'Country Summary (€)'!B:F,COLUMN('Country Summary (€)'!C1928)-1,FALSE)</f>
        <v>0</v>
      </c>
      <c r="AZ1919" s="1194" t="str">
        <f>IF(AND(AD1919=1,D1919="Military",H1919&lt;&gt;"Not given")=TRUE,IF(SUMIFS(P:P,A:A,A1919)&gt;0,ABS((SUMIFS(P:P,A:A,A1919)/VLOOKUP("USD",'Exchange Rates'!B:C,2,0)))/S1919,"."),".")</f>
        <v>.</v>
      </c>
      <c r="BA1919" s="1196" t="str">
        <f>IF(AND(AD1919=1,D1919="Military",H1919&lt;&gt;"Not given")=TRUE,IF(SUMIFS(P:P,A:A,A1919)&gt;0,IF((ABS((SUMIFS(P:P,A:A,A1919)/VLOOKUP("USD",'Exchange Rates'!B:C,2,0)))/S1919)&gt;1,(SUMIFS(P:P,A:A,A1919)-S1919)/S1919,(S1919-SUMIFS(P:P,A:A,A1919))/SUMIFS(P:P,A:A,A1919)),"."),".")</f>
        <v>.</v>
      </c>
      <c r="BB1919" s="1208" t="s">
        <v>38</v>
      </c>
      <c r="BC1919" s="1208" t="s">
        <v>38</v>
      </c>
      <c r="BD1919" s="1208" t="s">
        <v>38</v>
      </c>
      <c r="BE1919" s="1208" t="s">
        <v>38</v>
      </c>
      <c r="BF1919" s="1208" t="s">
        <v>38</v>
      </c>
      <c r="BG1919" s="1208" t="s">
        <v>38</v>
      </c>
      <c r="BH1919" s="1208" t="s">
        <v>38</v>
      </c>
      <c r="BI1919" s="1208" t="s">
        <v>38</v>
      </c>
      <c r="BJ1919" s="1208" t="s">
        <v>38</v>
      </c>
      <c r="BK1919" s="1208" t="s">
        <v>38</v>
      </c>
      <c r="BL1919" s="1208" t="s">
        <v>38</v>
      </c>
      <c r="BM1919" s="1208" t="s">
        <v>38</v>
      </c>
      <c r="BN1919" s="1208" t="s">
        <v>38</v>
      </c>
      <c r="BO1919" s="1208" t="s">
        <v>38</v>
      </c>
      <c r="BP1919" s="1208" t="s">
        <v>38</v>
      </c>
      <c r="BQ1919" s="1208" t="s">
        <v>38</v>
      </c>
      <c r="BR1919" s="1208" t="s">
        <v>38</v>
      </c>
      <c r="BS1919" s="1208" t="s">
        <v>38</v>
      </c>
    </row>
    <row r="1920" spans="1:71" ht="15.95" customHeight="1">
      <c r="A1920" s="1208" t="s">
        <v>4361</v>
      </c>
      <c r="B1920" s="1208" t="s">
        <v>3949</v>
      </c>
      <c r="C1920" s="1209">
        <v>44960</v>
      </c>
      <c r="D1920" s="1208" t="s">
        <v>389</v>
      </c>
      <c r="E1920" s="1208" t="s">
        <v>390</v>
      </c>
      <c r="F1920" s="1208" t="s">
        <v>4368</v>
      </c>
      <c r="G1920" s="1184" t="s">
        <v>456</v>
      </c>
      <c r="H1920" s="1210">
        <v>1750000000</v>
      </c>
      <c r="I1920" s="1208" t="s">
        <v>4217</v>
      </c>
      <c r="J1920" s="1186" t="str">
        <f>VLOOKUP($I1920,'Price List, Weapons &amp; Items'!B:C,2,0)</f>
        <v>Military equipment</v>
      </c>
      <c r="K1920" s="1186" t="str">
        <f>IF(I1920=".",I1920,VLOOKUP($I1920,'Price List, Weapons &amp; Items'!B:D,3,0))</f>
        <v>spare parts</v>
      </c>
      <c r="L1920" s="1187">
        <f>VLOOKUP(I1920,'Price List, Weapons &amp; Items'!B:E,4,0)</f>
        <v>0</v>
      </c>
      <c r="M1920" s="1188" t="s">
        <v>374</v>
      </c>
      <c r="N1920" s="1188" t="s">
        <v>374</v>
      </c>
      <c r="O1920" s="1188" t="str">
        <f>VLOOKUP($I1920,'Price List, Weapons &amp; Items'!B:G,6,0)</f>
        <v>.</v>
      </c>
      <c r="P1920" s="1185" t="str">
        <f t="shared" si="400"/>
        <v>.</v>
      </c>
      <c r="Q1920" s="1185" t="str">
        <f t="shared" si="401"/>
        <v>.</v>
      </c>
      <c r="R1920" s="1185" t="str">
        <f t="shared" si="397"/>
        <v/>
      </c>
      <c r="S1920" s="1185" t="str">
        <f>IF(AND(AD1920=1,R1920&lt;&gt;".")=TRUE,R1920/VLOOKUP(G1920,'Exchange Rates'!B:C,2,0),IF(R1920=".",".",""))</f>
        <v/>
      </c>
      <c r="T1920" s="1185" t="str">
        <f>IF(AD1920=1,IF(AF1920="Value is not given at all",".",IF(AF1920="Value is given by the source",S1920,IF(AF1920="Value is calculated with prices",(IF(SUMIFS(Q:Q,A:A,A1920)&gt;0,SUMIFS(Q:Q,A:A,A1920),"."))/VLOOKUP("USD",'Exchange Rates'!B:C,2,0),"Error with coding"))),"")</f>
        <v/>
      </c>
      <c r="U1920" s="1191" t="s">
        <v>365</v>
      </c>
      <c r="V1920" s="983" t="s">
        <v>4330</v>
      </c>
      <c r="W1920" s="983" t="s">
        <v>3989</v>
      </c>
      <c r="X1920" s="1208" t="s">
        <v>364</v>
      </c>
      <c r="Y1920" s="1208" t="s">
        <v>364</v>
      </c>
      <c r="Z1920" s="1191">
        <v>0</v>
      </c>
      <c r="AA1920" s="1191">
        <v>0</v>
      </c>
      <c r="AB1920" s="1208" t="s">
        <v>364</v>
      </c>
      <c r="AC1920" s="1192" t="str">
        <f>""</f>
        <v/>
      </c>
      <c r="AD1920" s="1193">
        <v>0</v>
      </c>
      <c r="AE1920" s="1191" t="s">
        <v>368</v>
      </c>
      <c r="AF1920" s="1191" t="s">
        <v>369</v>
      </c>
      <c r="AG1920" s="1193">
        <v>1</v>
      </c>
      <c r="AH1920" s="1191">
        <v>14</v>
      </c>
      <c r="AI1920" s="1193">
        <v>0</v>
      </c>
      <c r="AJ1920" s="1193">
        <f>VLOOKUP($I1920,'Price List, Weapons &amp; Items'!B:F,5,0)</f>
        <v>0</v>
      </c>
      <c r="AK1920" s="1193">
        <f t="shared" si="402"/>
        <v>0</v>
      </c>
      <c r="AL1920" s="1193">
        <f t="shared" si="403"/>
        <v>0</v>
      </c>
      <c r="AM1920" s="1193">
        <f t="shared" si="404"/>
        <v>0</v>
      </c>
      <c r="AN1920" s="1194" t="str">
        <f>VLOOKUP($I1920,'Price List, Weapons &amp; Items'!B:L,COLUMN('Price List, Weapons &amp; Items'!$J$11)-1,0)</f>
        <v>.</v>
      </c>
      <c r="AO1920" s="1194" t="str">
        <f>IF(I1920=".",".",VLOOKUP($I1920,'Price List, Weapons &amp; Items'!B:J,3,0))</f>
        <v>spare parts</v>
      </c>
      <c r="AP1920" s="1195" t="str">
        <f t="shared" ca="1" si="398"/>
        <v/>
      </c>
      <c r="AQ1920" s="1194" t="str">
        <f>VLOOKUP($I1920,'Price List, Weapons &amp; Items'!B:L,COLUMN('Price List, Weapons &amp; Items'!$L$11)-1,0)</f>
        <v>no price, 0 count</v>
      </c>
      <c r="AR1920" s="1194">
        <f t="shared" si="405"/>
        <v>1</v>
      </c>
      <c r="AS1920" s="1194">
        <f t="shared" si="406"/>
        <v>1</v>
      </c>
      <c r="AT1920" s="1194">
        <f t="shared" si="407"/>
        <v>1</v>
      </c>
      <c r="AU1920" s="1194" t="str">
        <f t="shared" si="411"/>
        <v>.</v>
      </c>
      <c r="AV1920" s="1194" t="str">
        <f t="shared" si="399"/>
        <v>.</v>
      </c>
      <c r="AW1920" s="1194" t="str">
        <f t="shared" si="408"/>
        <v>.</v>
      </c>
      <c r="AX1920" s="1194">
        <f>IFERROR(VLOOKUP(B1920,'Share, Heavy Weapons to Ukraine'!B:Z,COLUMN('Share, Heavy Weapons to Ukraine'!C1928)-1,0),0)</f>
        <v>1</v>
      </c>
      <c r="AY1920" s="1194">
        <f>VLOOKUP('Bilateral Assistance, MAIN DATA'!B1920,'Country Summary (€)'!B:F,COLUMN('Country Summary (€)'!C1929)-1,FALSE)</f>
        <v>0</v>
      </c>
      <c r="AZ1920" s="1194" t="str">
        <f>IF(AND(AD1920=1,D1920="Military",H1920&lt;&gt;"Not given")=TRUE,IF(SUMIFS(P:P,A:A,A1920)&gt;0,ABS((SUMIFS(P:P,A:A,A1920)/VLOOKUP("USD",'Exchange Rates'!B:C,2,0)))/S1920,"."),".")</f>
        <v>.</v>
      </c>
      <c r="BA1920" s="1196" t="str">
        <f>IF(AND(AD1920=1,D1920="Military",H1920&lt;&gt;"Not given")=TRUE,IF(SUMIFS(P:P,A:A,A1920)&gt;0,IF((ABS((SUMIFS(P:P,A:A,A1920)/VLOOKUP("USD",'Exchange Rates'!B:C,2,0)))/S1920)&gt;1,(SUMIFS(P:P,A:A,A1920)-S1920)/S1920,(S1920-SUMIFS(P:P,A:A,A1920))/SUMIFS(P:P,A:A,A1920)),"."),".")</f>
        <v>.</v>
      </c>
      <c r="BB1920" s="1208" t="s">
        <v>38</v>
      </c>
      <c r="BC1920" s="1208" t="s">
        <v>38</v>
      </c>
      <c r="BD1920" s="1208" t="s">
        <v>38</v>
      </c>
      <c r="BE1920" s="1208" t="s">
        <v>38</v>
      </c>
      <c r="BF1920" s="1208" t="s">
        <v>38</v>
      </c>
      <c r="BG1920" s="1208" t="s">
        <v>38</v>
      </c>
      <c r="BH1920" s="1208" t="s">
        <v>38</v>
      </c>
      <c r="BI1920" s="1208" t="s">
        <v>38</v>
      </c>
      <c r="BJ1920" s="1208" t="s">
        <v>38</v>
      </c>
      <c r="BK1920" s="1208" t="s">
        <v>38</v>
      </c>
      <c r="BL1920" s="1208" t="s">
        <v>38</v>
      </c>
      <c r="BM1920" s="1208" t="s">
        <v>38</v>
      </c>
      <c r="BN1920" s="1208" t="s">
        <v>38</v>
      </c>
      <c r="BO1920" s="1208" t="s">
        <v>38</v>
      </c>
      <c r="BP1920" s="1208" t="s">
        <v>38</v>
      </c>
      <c r="BQ1920" s="1208" t="s">
        <v>38</v>
      </c>
      <c r="BR1920" s="1208" t="s">
        <v>38</v>
      </c>
      <c r="BS1920" s="1208" t="s">
        <v>38</v>
      </c>
    </row>
    <row r="1921" spans="1:71" ht="15.95" customHeight="1">
      <c r="A1921" s="1208" t="s">
        <v>4361</v>
      </c>
      <c r="B1921" s="1208" t="s">
        <v>3949</v>
      </c>
      <c r="C1921" s="1209">
        <v>44960</v>
      </c>
      <c r="D1921" s="1208" t="s">
        <v>389</v>
      </c>
      <c r="E1921" s="1208" t="s">
        <v>390</v>
      </c>
      <c r="F1921" s="1208" t="s">
        <v>4368</v>
      </c>
      <c r="G1921" s="1184" t="s">
        <v>456</v>
      </c>
      <c r="H1921" s="1210">
        <v>1750000000</v>
      </c>
      <c r="I1921" s="1208" t="s">
        <v>4259</v>
      </c>
      <c r="J1921" s="1186" t="str">
        <f>VLOOKUP($I1921,'Price List, Weapons &amp; Items'!B:C,2,0)</f>
        <v>Aviation and drones</v>
      </c>
      <c r="K1921" s="1186" t="str">
        <f>IF(I1921=".",I1921,VLOOKUP($I1921,'Price List, Weapons &amp; Items'!B:D,3,0))</f>
        <v>Drone</v>
      </c>
      <c r="L1921" s="1187">
        <f>VLOOKUP(I1921,'Price List, Weapons &amp; Items'!B:E,4,0)</f>
        <v>0</v>
      </c>
      <c r="M1921" s="1188" t="s">
        <v>374</v>
      </c>
      <c r="N1921" s="1188" t="s">
        <v>374</v>
      </c>
      <c r="O1921" s="1188">
        <f>VLOOKUP($I1921,'Price List, Weapons &amp; Items'!B:G,6,0)</f>
        <v>250000</v>
      </c>
      <c r="P1921" s="1185" t="str">
        <f t="shared" si="400"/>
        <v>.</v>
      </c>
      <c r="Q1921" s="1185" t="str">
        <f t="shared" si="401"/>
        <v>.</v>
      </c>
      <c r="R1921" s="1185" t="str">
        <f t="shared" si="397"/>
        <v/>
      </c>
      <c r="S1921" s="1185" t="str">
        <f>IF(AND(AD1921=1,R1921&lt;&gt;".")=TRUE,R1921/VLOOKUP(G1921,'Exchange Rates'!B:C,2,0),IF(R1921=".",".",""))</f>
        <v/>
      </c>
      <c r="T1921" s="1185" t="str">
        <f>IF(AD1921=1,IF(AF1921="Value is not given at all",".",IF(AF1921="Value is given by the source",S1921,IF(AF1921="Value is calculated with prices",(IF(SUMIFS(Q:Q,A:A,A1921)&gt;0,SUMIFS(Q:Q,A:A,A1921),"."))/VLOOKUP("USD",'Exchange Rates'!B:C,2,0),"Error with coding"))),"")</f>
        <v/>
      </c>
      <c r="U1921" s="1191" t="s">
        <v>365</v>
      </c>
      <c r="V1921" s="983" t="s">
        <v>4330</v>
      </c>
      <c r="W1921" s="983" t="s">
        <v>3989</v>
      </c>
      <c r="X1921" s="1208" t="s">
        <v>364</v>
      </c>
      <c r="Y1921" s="1208" t="s">
        <v>364</v>
      </c>
      <c r="Z1921" s="1191">
        <v>0</v>
      </c>
      <c r="AA1921" s="1191">
        <v>0</v>
      </c>
      <c r="AB1921" s="1208" t="s">
        <v>364</v>
      </c>
      <c r="AC1921" s="1192" t="str">
        <f>""</f>
        <v/>
      </c>
      <c r="AD1921" s="1193">
        <v>0</v>
      </c>
      <c r="AE1921" s="1191" t="s">
        <v>368</v>
      </c>
      <c r="AF1921" s="1191" t="s">
        <v>369</v>
      </c>
      <c r="AG1921" s="1193">
        <v>1</v>
      </c>
      <c r="AH1921" s="1191">
        <v>14</v>
      </c>
      <c r="AI1921" s="1193">
        <v>0</v>
      </c>
      <c r="AJ1921" s="1193">
        <f>VLOOKUP($I1921,'Price List, Weapons &amp; Items'!B:F,5,0)</f>
        <v>0</v>
      </c>
      <c r="AK1921" s="1193">
        <f t="shared" si="402"/>
        <v>0</v>
      </c>
      <c r="AL1921" s="1193">
        <f t="shared" si="403"/>
        <v>0</v>
      </c>
      <c r="AM1921" s="1193">
        <f t="shared" si="404"/>
        <v>0</v>
      </c>
      <c r="AN1921" s="1194" t="str">
        <f>VLOOKUP($I1921,'Price List, Weapons &amp; Items'!B:L,COLUMN('Price List, Weapons &amp; Items'!$J$11)-1,0)</f>
        <v>Media reports (incl. social media)</v>
      </c>
      <c r="AO1921" s="1194" t="str">
        <f>IF(I1921=".",".",VLOOKUP($I1921,'Price List, Weapons &amp; Items'!B:J,3,0))</f>
        <v>Drone</v>
      </c>
      <c r="AP1921" s="1195" t="str">
        <f t="shared" ca="1" si="398"/>
        <v/>
      </c>
      <c r="AQ1921" s="1194" t="str">
        <f>VLOOKUP($I1921,'Price List, Weapons &amp; Items'!B:L,COLUMN('Price List, Weapons &amp; Items'!$L$11)-1,0)</f>
        <v>no price, 0 count</v>
      </c>
      <c r="AR1921" s="1194">
        <f t="shared" si="405"/>
        <v>1</v>
      </c>
      <c r="AS1921" s="1194">
        <f t="shared" si="406"/>
        <v>1</v>
      </c>
      <c r="AT1921" s="1194">
        <f t="shared" si="407"/>
        <v>1</v>
      </c>
      <c r="AU1921" s="1194" t="str">
        <f t="shared" si="411"/>
        <v>.</v>
      </c>
      <c r="AV1921" s="1194" t="str">
        <f t="shared" si="399"/>
        <v>.</v>
      </c>
      <c r="AW1921" s="1194" t="str">
        <f t="shared" si="408"/>
        <v>.</v>
      </c>
      <c r="AX1921" s="1194">
        <f>IFERROR(VLOOKUP(B1921,'Share, Heavy Weapons to Ukraine'!B:Z,COLUMN('Share, Heavy Weapons to Ukraine'!C1929)-1,0),0)</f>
        <v>1</v>
      </c>
      <c r="AY1921" s="1194">
        <f>VLOOKUP('Bilateral Assistance, MAIN DATA'!B1921,'Country Summary (€)'!B:F,COLUMN('Country Summary (€)'!C1930)-1,FALSE)</f>
        <v>0</v>
      </c>
      <c r="AZ1921" s="1194" t="str">
        <f>IF(AND(AD1921=1,D1921="Military",H1921&lt;&gt;"Not given")=TRUE,IF(SUMIFS(P:P,A:A,A1921)&gt;0,ABS((SUMIFS(P:P,A:A,A1921)/VLOOKUP("USD",'Exchange Rates'!B:C,2,0)))/S1921,"."),".")</f>
        <v>.</v>
      </c>
      <c r="BA1921" s="1196" t="str">
        <f>IF(AND(AD1921=1,D1921="Military",H1921&lt;&gt;"Not given")=TRUE,IF(SUMIFS(P:P,A:A,A1921)&gt;0,IF((ABS((SUMIFS(P:P,A:A,A1921)/VLOOKUP("USD",'Exchange Rates'!B:C,2,0)))/S1921)&gt;1,(SUMIFS(P:P,A:A,A1921)-S1921)/S1921,(S1921-SUMIFS(P:P,A:A,A1921))/SUMIFS(P:P,A:A,A1921)),"."),".")</f>
        <v>.</v>
      </c>
      <c r="BB1921" s="1208" t="s">
        <v>38</v>
      </c>
      <c r="BC1921" s="1208" t="s">
        <v>38</v>
      </c>
      <c r="BD1921" s="1208" t="s">
        <v>38</v>
      </c>
      <c r="BE1921" s="1208" t="s">
        <v>38</v>
      </c>
      <c r="BF1921" s="1208" t="s">
        <v>38</v>
      </c>
      <c r="BG1921" s="1208" t="s">
        <v>38</v>
      </c>
      <c r="BH1921" s="1208" t="s">
        <v>38</v>
      </c>
      <c r="BI1921" s="1208" t="s">
        <v>38</v>
      </c>
      <c r="BJ1921" s="1208" t="s">
        <v>38</v>
      </c>
      <c r="BK1921" s="1208" t="s">
        <v>38</v>
      </c>
      <c r="BL1921" s="1208" t="s">
        <v>38</v>
      </c>
      <c r="BM1921" s="1208" t="s">
        <v>38</v>
      </c>
      <c r="BN1921" s="1208" t="s">
        <v>38</v>
      </c>
      <c r="BO1921" s="1208" t="s">
        <v>38</v>
      </c>
      <c r="BP1921" s="1208" t="s">
        <v>38</v>
      </c>
      <c r="BQ1921" s="1208" t="s">
        <v>38</v>
      </c>
      <c r="BR1921" s="1208" t="s">
        <v>38</v>
      </c>
      <c r="BS1921" s="1208" t="s">
        <v>38</v>
      </c>
    </row>
    <row r="1922" spans="1:71" ht="15.95" customHeight="1">
      <c r="A1922" s="1208" t="s">
        <v>4361</v>
      </c>
      <c r="B1922" s="1208" t="s">
        <v>3949</v>
      </c>
      <c r="C1922" s="1209">
        <v>44960</v>
      </c>
      <c r="D1922" s="1208" t="s">
        <v>389</v>
      </c>
      <c r="E1922" s="1208" t="s">
        <v>390</v>
      </c>
      <c r="F1922" s="1208" t="s">
        <v>4368</v>
      </c>
      <c r="G1922" s="1184" t="s">
        <v>456</v>
      </c>
      <c r="H1922" s="1210">
        <v>1750000000</v>
      </c>
      <c r="I1922" s="1208" t="s">
        <v>4354</v>
      </c>
      <c r="J1922" s="1186" t="str">
        <f>VLOOKUP($I1922,'Price List, Weapons &amp; Items'!B:C,2,0)</f>
        <v>Heavy weapon</v>
      </c>
      <c r="K1922" s="1186" t="str">
        <f>IF(I1922=".",I1922,VLOOKUP($I1922,'Price List, Weapons &amp; Items'!B:D,3,0))</f>
        <v>ammunition</v>
      </c>
      <c r="L1922" s="1187">
        <f>VLOOKUP(I1922,'Price List, Weapons &amp; Items'!B:E,4,0)</f>
        <v>0</v>
      </c>
      <c r="M1922" s="1188" t="s">
        <v>374</v>
      </c>
      <c r="N1922" s="1188" t="s">
        <v>374</v>
      </c>
      <c r="O1922" s="1188">
        <f>VLOOKUP($I1922,'Price List, Weapons &amp; Items'!B:G,6,0)</f>
        <v>1664700</v>
      </c>
      <c r="P1922" s="1185" t="str">
        <f t="shared" si="400"/>
        <v>.</v>
      </c>
      <c r="Q1922" s="1185" t="str">
        <f t="shared" si="401"/>
        <v>.</v>
      </c>
      <c r="R1922" s="1185" t="str">
        <f t="shared" ref="R1922:R1985" si="412">IF(AD1922=1,IF(H1922&lt;&gt;"Not given",H1922,IF(TYPE(H1922)=2,IF(SUMIFS(P:P,A:A,A1922)&gt;0,SUMIFS(P:P,A:A,A1922),"."),"Format error")),"")</f>
        <v/>
      </c>
      <c r="S1922" s="1185" t="str">
        <f>IF(AND(AD1922=1,R1922&lt;&gt;".")=TRUE,R1922/VLOOKUP(G1922,'Exchange Rates'!B:C,2,0),IF(R1922=".",".",""))</f>
        <v/>
      </c>
      <c r="T1922" s="1185" t="str">
        <f>IF(AD1922=1,IF(AF1922="Value is not given at all",".",IF(AF1922="Value is given by the source",S1922,IF(AF1922="Value is calculated with prices",(IF(SUMIFS(Q:Q,A:A,A1922)&gt;0,SUMIFS(Q:Q,A:A,A1922),"."))/VLOOKUP("USD",'Exchange Rates'!B:C,2,0),"Error with coding"))),"")</f>
        <v/>
      </c>
      <c r="U1922" s="1191" t="s">
        <v>365</v>
      </c>
      <c r="V1922" s="983" t="s">
        <v>4330</v>
      </c>
      <c r="W1922" s="983" t="s">
        <v>3989</v>
      </c>
      <c r="X1922" s="1208" t="s">
        <v>364</v>
      </c>
      <c r="Y1922" s="1208" t="s">
        <v>364</v>
      </c>
      <c r="Z1922" s="1191">
        <v>0</v>
      </c>
      <c r="AA1922" s="1191">
        <v>0</v>
      </c>
      <c r="AB1922" s="1208" t="s">
        <v>364</v>
      </c>
      <c r="AC1922" s="1192" t="str">
        <f>""</f>
        <v/>
      </c>
      <c r="AD1922" s="1193">
        <v>0</v>
      </c>
      <c r="AE1922" s="1191" t="s">
        <v>368</v>
      </c>
      <c r="AF1922" s="1191" t="s">
        <v>369</v>
      </c>
      <c r="AG1922" s="1193">
        <v>1</v>
      </c>
      <c r="AH1922" s="1191">
        <v>14</v>
      </c>
      <c r="AI1922" s="1193">
        <v>0</v>
      </c>
      <c r="AJ1922" s="1193">
        <f>VLOOKUP($I1922,'Price List, Weapons &amp; Items'!B:F,5,0)</f>
        <v>0</v>
      </c>
      <c r="AK1922" s="1193">
        <f t="shared" si="402"/>
        <v>0</v>
      </c>
      <c r="AL1922" s="1193">
        <f t="shared" si="403"/>
        <v>0</v>
      </c>
      <c r="AM1922" s="1193">
        <f t="shared" si="404"/>
        <v>0</v>
      </c>
      <c r="AN1922" s="1194" t="str">
        <f>VLOOKUP($I1922,'Price List, Weapons &amp; Items'!B:L,COLUMN('Price List, Weapons &amp; Items'!$J$11)-1,0)</f>
        <v>Government information</v>
      </c>
      <c r="AO1922" s="1194" t="str">
        <f>IF(I1922=".",".",VLOOKUP($I1922,'Price List, Weapons &amp; Items'!B:J,3,0))</f>
        <v>ammunition</v>
      </c>
      <c r="AP1922" s="1195" t="str">
        <f t="shared" ref="AP1922:AP1985" ca="1" si="413">IF(AD1922=1,(OFFSET(I1922,0,0,COUNTIF(A:A,A1922),1)),"")</f>
        <v/>
      </c>
      <c r="AQ1922" s="1194" t="str">
        <f>VLOOKUP($I1922,'Price List, Weapons &amp; Items'!B:L,COLUMN('Price List, Weapons &amp; Items'!$L$11)-1,0)</f>
        <v>no price, 0 count</v>
      </c>
      <c r="AR1922" s="1194">
        <f t="shared" si="405"/>
        <v>1</v>
      </c>
      <c r="AS1922" s="1194">
        <f t="shared" si="406"/>
        <v>1</v>
      </c>
      <c r="AT1922" s="1194">
        <f t="shared" si="407"/>
        <v>1</v>
      </c>
      <c r="AU1922" s="1194" t="str">
        <f t="shared" si="411"/>
        <v>.</v>
      </c>
      <c r="AV1922" s="1194" t="str">
        <f t="shared" ref="AV1922:AV1985" si="414">IF(AND(_xlfn.ISFORMULA(R1922),_xlfn.ISFORMULA(S1922),_xlfn.ISFORMULA(T1922))=TRUE,".",1)</f>
        <v>.</v>
      </c>
      <c r="AW1922" s="1194" t="str">
        <f t="shared" si="408"/>
        <v>.</v>
      </c>
      <c r="AX1922" s="1194">
        <f>IFERROR(VLOOKUP(B1922,'Share, Heavy Weapons to Ukraine'!B:Z,COLUMN('Share, Heavy Weapons to Ukraine'!C1930)-1,0),0)</f>
        <v>1</v>
      </c>
      <c r="AY1922" s="1194">
        <f>VLOOKUP('Bilateral Assistance, MAIN DATA'!B1922,'Country Summary (€)'!B:F,COLUMN('Country Summary (€)'!C1931)-1,FALSE)</f>
        <v>0</v>
      </c>
      <c r="AZ1922" s="1194" t="str">
        <f>IF(AND(AD1922=1,D1922="Military",H1922&lt;&gt;"Not given")=TRUE,IF(SUMIFS(P:P,A:A,A1922)&gt;0,ABS((SUMIFS(P:P,A:A,A1922)/VLOOKUP("USD",'Exchange Rates'!B:C,2,0)))/S1922,"."),".")</f>
        <v>.</v>
      </c>
      <c r="BA1922" s="1196" t="str">
        <f>IF(AND(AD1922=1,D1922="Military",H1922&lt;&gt;"Not given")=TRUE,IF(SUMIFS(P:P,A:A,A1922)&gt;0,IF((ABS((SUMIFS(P:P,A:A,A1922)/VLOOKUP("USD",'Exchange Rates'!B:C,2,0)))/S1922)&gt;1,(SUMIFS(P:P,A:A,A1922)-S1922)/S1922,(S1922-SUMIFS(P:P,A:A,A1922))/SUMIFS(P:P,A:A,A1922)),"."),".")</f>
        <v>.</v>
      </c>
      <c r="BB1922" s="1208" t="s">
        <v>38</v>
      </c>
      <c r="BC1922" s="1208" t="s">
        <v>38</v>
      </c>
      <c r="BD1922" s="1208" t="s">
        <v>38</v>
      </c>
      <c r="BE1922" s="1208" t="s">
        <v>38</v>
      </c>
      <c r="BF1922" s="1208" t="s">
        <v>38</v>
      </c>
      <c r="BG1922" s="1208" t="s">
        <v>38</v>
      </c>
      <c r="BH1922" s="1208" t="s">
        <v>38</v>
      </c>
      <c r="BI1922" s="1208" t="s">
        <v>38</v>
      </c>
      <c r="BJ1922" s="1208" t="s">
        <v>38</v>
      </c>
      <c r="BK1922" s="1208" t="s">
        <v>38</v>
      </c>
      <c r="BL1922" s="1208" t="s">
        <v>38</v>
      </c>
      <c r="BM1922" s="1208" t="s">
        <v>38</v>
      </c>
      <c r="BN1922" s="1208" t="s">
        <v>38</v>
      </c>
      <c r="BO1922" s="1208" t="s">
        <v>38</v>
      </c>
      <c r="BP1922" s="1208" t="s">
        <v>38</v>
      </c>
      <c r="BQ1922" s="1208" t="s">
        <v>38</v>
      </c>
      <c r="BR1922" s="1208" t="s">
        <v>38</v>
      </c>
      <c r="BS1922" s="1208" t="s">
        <v>38</v>
      </c>
    </row>
    <row r="1923" spans="1:71" ht="15.95" customHeight="1">
      <c r="A1923" s="1208" t="s">
        <v>4361</v>
      </c>
      <c r="B1923" s="1208" t="s">
        <v>3949</v>
      </c>
      <c r="C1923" s="1209">
        <v>44960</v>
      </c>
      <c r="D1923" s="1208" t="s">
        <v>389</v>
      </c>
      <c r="E1923" s="1208" t="s">
        <v>390</v>
      </c>
      <c r="F1923" s="1208" t="s">
        <v>4368</v>
      </c>
      <c r="G1923" s="1184" t="s">
        <v>456</v>
      </c>
      <c r="H1923" s="1210">
        <v>1750000000</v>
      </c>
      <c r="I1923" s="1208" t="s">
        <v>2635</v>
      </c>
      <c r="J1923" s="1186" t="str">
        <f>VLOOKUP($I1923,'Price List, Weapons &amp; Items'!B:C,2,0)</f>
        <v>Military equipment</v>
      </c>
      <c r="K1923" s="1186" t="str">
        <f>IF(I1923=".",I1923,VLOOKUP($I1923,'Price List, Weapons &amp; Items'!B:D,3,0))</f>
        <v>Military equipment</v>
      </c>
      <c r="L1923" s="1187">
        <f>VLOOKUP(I1923,'Price List, Weapons &amp; Items'!B:E,4,0)</f>
        <v>0</v>
      </c>
      <c r="M1923" s="1188" t="s">
        <v>374</v>
      </c>
      <c r="N1923" s="1188" t="s">
        <v>374</v>
      </c>
      <c r="O1923" s="1188" t="str">
        <f>VLOOKUP($I1923,'Price List, Weapons &amp; Items'!B:G,6,0)</f>
        <v>.</v>
      </c>
      <c r="P1923" s="1185" t="str">
        <f t="shared" ref="P1923:P1986" si="415">IF(TYPE(M1923)=1,IF(TYPE(O1923)=1,M1923*O1923,"No price"),".")</f>
        <v>.</v>
      </c>
      <c r="Q1923" s="1185" t="str">
        <f t="shared" ref="Q1923:Q1986" si="416">IF(TYPE(N1923)=1,IF(TYPE(O1923)=1,N1923*O1923,"No price"),".")</f>
        <v>.</v>
      </c>
      <c r="R1923" s="1185" t="str">
        <f t="shared" si="412"/>
        <v/>
      </c>
      <c r="S1923" s="1185" t="str">
        <f>IF(AND(AD1923=1,R1923&lt;&gt;".")=TRUE,R1923/VLOOKUP(G1923,'Exchange Rates'!B:C,2,0),IF(R1923=".",".",""))</f>
        <v/>
      </c>
      <c r="T1923" s="1185" t="str">
        <f>IF(AD1923=1,IF(AF1923="Value is not given at all",".",IF(AF1923="Value is given by the source",S1923,IF(AF1923="Value is calculated with prices",(IF(SUMIFS(Q:Q,A:A,A1923)&gt;0,SUMIFS(Q:Q,A:A,A1923),"."))/VLOOKUP("USD",'Exchange Rates'!B:C,2,0),"Error with coding"))),"")</f>
        <v/>
      </c>
      <c r="U1923" s="1191" t="s">
        <v>365</v>
      </c>
      <c r="V1923" s="983" t="s">
        <v>4330</v>
      </c>
      <c r="W1923" s="983" t="s">
        <v>3989</v>
      </c>
      <c r="X1923" s="1208" t="s">
        <v>364</v>
      </c>
      <c r="Y1923" s="1208" t="s">
        <v>364</v>
      </c>
      <c r="Z1923" s="1191">
        <v>0</v>
      </c>
      <c r="AA1923" s="1191">
        <v>0</v>
      </c>
      <c r="AB1923" s="1208" t="s">
        <v>364</v>
      </c>
      <c r="AC1923" s="1192" t="str">
        <f>""</f>
        <v/>
      </c>
      <c r="AD1923" s="1193">
        <v>0</v>
      </c>
      <c r="AE1923" s="1191" t="s">
        <v>368</v>
      </c>
      <c r="AF1923" s="1191" t="s">
        <v>369</v>
      </c>
      <c r="AG1923" s="1193">
        <v>1</v>
      </c>
      <c r="AH1923" s="1191">
        <v>14</v>
      </c>
      <c r="AI1923" s="1193">
        <v>0</v>
      </c>
      <c r="AJ1923" s="1193">
        <f>VLOOKUP($I1923,'Price List, Weapons &amp; Items'!B:F,5,0)</f>
        <v>0</v>
      </c>
      <c r="AK1923" s="1193">
        <f t="shared" ref="AK1923:AK1986" si="417">IF(AND(AJ1923=1,M1923="undisclosed")=TRUE,1,0)</f>
        <v>0</v>
      </c>
      <c r="AL1923" s="1193">
        <f t="shared" ref="AL1923:AL1986" si="418">IF(AND(AJ1923=1,N1923="undisclosed")=TRUE,1,0)</f>
        <v>0</v>
      </c>
      <c r="AM1923" s="1193">
        <f t="shared" ref="AM1923:AM1986" si="419">IFERROR(IF(SEARCH("ammuni",I1923,1)&gt;0,1,0),0)</f>
        <v>0</v>
      </c>
      <c r="AN1923" s="1194" t="str">
        <f>VLOOKUP($I1923,'Price List, Weapons &amp; Items'!B:L,COLUMN('Price List, Weapons &amp; Items'!$J$11)-1,0)</f>
        <v>.</v>
      </c>
      <c r="AO1923" s="1194" t="str">
        <f>IF(I1923=".",".",VLOOKUP($I1923,'Price List, Weapons &amp; Items'!B:J,3,0))</f>
        <v>Military equipment</v>
      </c>
      <c r="AP1923" s="1195" t="str">
        <f t="shared" ca="1" si="413"/>
        <v/>
      </c>
      <c r="AQ1923" s="1194">
        <f>VLOOKUP($I1923,'Price List, Weapons &amp; Items'!B:L,COLUMN('Price List, Weapons &amp; Items'!$L$11)-1,0)</f>
        <v>0</v>
      </c>
      <c r="AR1923" s="1194">
        <f t="shared" ref="AR1923:AR1986" si="420">IF(U1923="Yes",1,0)</f>
        <v>1</v>
      </c>
      <c r="AS1923" s="1194">
        <f t="shared" ref="AS1923:AS1986" si="421">IF(D1923="Military",IF(OR(IFERROR(SEARCH("equipment",E1923,1),0)&gt;0,IFERROR(SEARCH("weapons",E1923,1),0)&gt;0),1,0),0)</f>
        <v>1</v>
      </c>
      <c r="AT1923" s="1194">
        <f t="shared" ref="AT1923:AT1986" si="422">IFERROR(IF(VALUE(TEXT(C1923,"mm"))=IF(AH1923&gt;12,AH1923-12,AH1923),".",IF(TEXT(C1923,"mm")="01",".",1)),"Value is not in date format")</f>
        <v>1</v>
      </c>
      <c r="AU1923" s="1194" t="str">
        <f t="shared" si="411"/>
        <v>.</v>
      </c>
      <c r="AV1923" s="1194" t="str">
        <f t="shared" si="414"/>
        <v>.</v>
      </c>
      <c r="AW1923" s="1194" t="str">
        <f t="shared" ref="AW1923:AW1986" si="423">IF(T1923&lt;&gt;".",IF(T1923&gt;S1923,1,"."),".")</f>
        <v>.</v>
      </c>
      <c r="AX1923" s="1194">
        <f>IFERROR(VLOOKUP(B1923,'Share, Heavy Weapons to Ukraine'!B:Z,COLUMN('Share, Heavy Weapons to Ukraine'!C1931)-1,0),0)</f>
        <v>1</v>
      </c>
      <c r="AY1923" s="1194">
        <f>VLOOKUP('Bilateral Assistance, MAIN DATA'!B1923,'Country Summary (€)'!B:F,COLUMN('Country Summary (€)'!C1932)-1,FALSE)</f>
        <v>0</v>
      </c>
      <c r="AZ1923" s="1194" t="str">
        <f>IF(AND(AD1923=1,D1923="Military",H1923&lt;&gt;"Not given")=TRUE,IF(SUMIFS(P:P,A:A,A1923)&gt;0,ABS((SUMIFS(P:P,A:A,A1923)/VLOOKUP("USD",'Exchange Rates'!B:C,2,0)))/S1923,"."),".")</f>
        <v>.</v>
      </c>
      <c r="BA1923" s="1196" t="str">
        <f>IF(AND(AD1923=1,D1923="Military",H1923&lt;&gt;"Not given")=TRUE,IF(SUMIFS(P:P,A:A,A1923)&gt;0,IF((ABS((SUMIFS(P:P,A:A,A1923)/VLOOKUP("USD",'Exchange Rates'!B:C,2,0)))/S1923)&gt;1,(SUMIFS(P:P,A:A,A1923)-S1923)/S1923,(S1923-SUMIFS(P:P,A:A,A1923))/SUMIFS(P:P,A:A,A1923)),"."),".")</f>
        <v>.</v>
      </c>
      <c r="BB1923" s="1208" t="s">
        <v>38</v>
      </c>
      <c r="BC1923" s="1208" t="s">
        <v>38</v>
      </c>
      <c r="BD1923" s="1208" t="s">
        <v>38</v>
      </c>
      <c r="BE1923" s="1208" t="s">
        <v>38</v>
      </c>
      <c r="BF1923" s="1208" t="s">
        <v>38</v>
      </c>
      <c r="BG1923" s="1208" t="s">
        <v>38</v>
      </c>
      <c r="BH1923" s="1208" t="s">
        <v>38</v>
      </c>
      <c r="BI1923" s="1208" t="s">
        <v>38</v>
      </c>
      <c r="BJ1923" s="1208" t="s">
        <v>38</v>
      </c>
      <c r="BK1923" s="1208" t="s">
        <v>38</v>
      </c>
      <c r="BL1923" s="1208" t="s">
        <v>38</v>
      </c>
      <c r="BM1923" s="1208" t="s">
        <v>38</v>
      </c>
      <c r="BN1923" s="1208" t="s">
        <v>38</v>
      </c>
      <c r="BO1923" s="1208" t="s">
        <v>38</v>
      </c>
      <c r="BP1923" s="1208" t="s">
        <v>38</v>
      </c>
      <c r="BQ1923" s="1208" t="s">
        <v>38</v>
      </c>
      <c r="BR1923" s="1208" t="s">
        <v>38</v>
      </c>
      <c r="BS1923" s="1208" t="s">
        <v>38</v>
      </c>
    </row>
    <row r="1924" spans="1:71" ht="15.95" customHeight="1">
      <c r="A1924" s="1208" t="s">
        <v>4361</v>
      </c>
      <c r="B1924" s="1208" t="s">
        <v>3949</v>
      </c>
      <c r="C1924" s="1209">
        <v>44960</v>
      </c>
      <c r="D1924" s="1208" t="s">
        <v>389</v>
      </c>
      <c r="E1924" s="1208" t="s">
        <v>390</v>
      </c>
      <c r="F1924" s="1208" t="s">
        <v>4368</v>
      </c>
      <c r="G1924" s="1184" t="s">
        <v>456</v>
      </c>
      <c r="H1924" s="1210">
        <v>1750000000</v>
      </c>
      <c r="I1924" s="1208" t="s">
        <v>3238</v>
      </c>
      <c r="J1924" s="1186" t="str">
        <f>VLOOKUP($I1924,'Price List, Weapons &amp; Items'!B:C,2,0)</f>
        <v>Humanitarian</v>
      </c>
      <c r="K1924" s="1186" t="str">
        <f>IF(I1924=".",I1924,VLOOKUP($I1924,'Price List, Weapons &amp; Items'!B:D,3,0))</f>
        <v>Humanitarian</v>
      </c>
      <c r="L1924" s="1187">
        <f>VLOOKUP(I1924,'Price List, Weapons &amp; Items'!B:E,4,0)</f>
        <v>0</v>
      </c>
      <c r="M1924" s="1188" t="s">
        <v>374</v>
      </c>
      <c r="N1924" s="1188" t="s">
        <v>374</v>
      </c>
      <c r="O1924" s="1188" t="str">
        <f>VLOOKUP($I1924,'Price List, Weapons &amp; Items'!B:G,6,0)</f>
        <v>.</v>
      </c>
      <c r="P1924" s="1185" t="str">
        <f t="shared" si="415"/>
        <v>.</v>
      </c>
      <c r="Q1924" s="1185" t="str">
        <f t="shared" si="416"/>
        <v>.</v>
      </c>
      <c r="R1924" s="1185" t="str">
        <f t="shared" si="412"/>
        <v/>
      </c>
      <c r="S1924" s="1185" t="str">
        <f>IF(AND(AD1924=1,R1924&lt;&gt;".")=TRUE,R1924/VLOOKUP(G1924,'Exchange Rates'!B:C,2,0),IF(R1924=".",".",""))</f>
        <v/>
      </c>
      <c r="T1924" s="1185" t="str">
        <f>IF(AD1924=1,IF(AF1924="Value is not given at all",".",IF(AF1924="Value is given by the source",S1924,IF(AF1924="Value is calculated with prices",(IF(SUMIFS(Q:Q,A:A,A1924)&gt;0,SUMIFS(Q:Q,A:A,A1924),"."))/VLOOKUP("USD",'Exchange Rates'!B:C,2,0),"Error with coding"))),"")</f>
        <v/>
      </c>
      <c r="U1924" s="1191" t="s">
        <v>365</v>
      </c>
      <c r="V1924" s="983" t="s">
        <v>4330</v>
      </c>
      <c r="W1924" s="983" t="s">
        <v>3989</v>
      </c>
      <c r="X1924" s="1208" t="s">
        <v>364</v>
      </c>
      <c r="Y1924" s="1208" t="s">
        <v>364</v>
      </c>
      <c r="Z1924" s="1191">
        <v>0</v>
      </c>
      <c r="AA1924" s="1191">
        <v>0</v>
      </c>
      <c r="AB1924" s="1208" t="s">
        <v>364</v>
      </c>
      <c r="AC1924" s="1192" t="str">
        <f>""</f>
        <v/>
      </c>
      <c r="AD1924" s="1193">
        <v>0</v>
      </c>
      <c r="AE1924" s="1191" t="s">
        <v>368</v>
      </c>
      <c r="AF1924" s="1191" t="s">
        <v>369</v>
      </c>
      <c r="AG1924" s="1193">
        <v>1</v>
      </c>
      <c r="AH1924" s="1191">
        <v>14</v>
      </c>
      <c r="AI1924" s="1193">
        <v>0</v>
      </c>
      <c r="AJ1924" s="1193">
        <f>VLOOKUP($I1924,'Price List, Weapons &amp; Items'!B:F,5,0)</f>
        <v>0</v>
      </c>
      <c r="AK1924" s="1193">
        <f t="shared" si="417"/>
        <v>0</v>
      </c>
      <c r="AL1924" s="1193">
        <f t="shared" si="418"/>
        <v>0</v>
      </c>
      <c r="AM1924" s="1193">
        <f t="shared" si="419"/>
        <v>0</v>
      </c>
      <c r="AN1924" s="1194" t="str">
        <f>VLOOKUP($I1924,'Price List, Weapons &amp; Items'!B:L,COLUMN('Price List, Weapons &amp; Items'!$J$11)-1,0)</f>
        <v>.</v>
      </c>
      <c r="AO1924" s="1194" t="str">
        <f>IF(I1924=".",".",VLOOKUP($I1924,'Price List, Weapons &amp; Items'!B:J,3,0))</f>
        <v>Humanitarian</v>
      </c>
      <c r="AP1924" s="1195" t="str">
        <f t="shared" ca="1" si="413"/>
        <v/>
      </c>
      <c r="AQ1924" s="1194">
        <f>VLOOKUP($I1924,'Price List, Weapons &amp; Items'!B:L,COLUMN('Price List, Weapons &amp; Items'!$L$11)-1,0)</f>
        <v>0</v>
      </c>
      <c r="AR1924" s="1194">
        <f t="shared" si="420"/>
        <v>1</v>
      </c>
      <c r="AS1924" s="1194">
        <f t="shared" si="421"/>
        <v>1</v>
      </c>
      <c r="AT1924" s="1194">
        <f t="shared" si="422"/>
        <v>1</v>
      </c>
      <c r="AU1924" s="1194" t="str">
        <f t="shared" si="411"/>
        <v>.</v>
      </c>
      <c r="AV1924" s="1194" t="str">
        <f t="shared" si="414"/>
        <v>.</v>
      </c>
      <c r="AW1924" s="1194" t="str">
        <f t="shared" si="423"/>
        <v>.</v>
      </c>
      <c r="AX1924" s="1194">
        <f>IFERROR(VLOOKUP(B1924,'Share, Heavy Weapons to Ukraine'!B:Z,COLUMN('Share, Heavy Weapons to Ukraine'!C1932)-1,0),0)</f>
        <v>1</v>
      </c>
      <c r="AY1924" s="1194">
        <f>VLOOKUP('Bilateral Assistance, MAIN DATA'!B1924,'Country Summary (€)'!B:F,COLUMN('Country Summary (€)'!C1933)-1,FALSE)</f>
        <v>0</v>
      </c>
      <c r="AZ1924" s="1194" t="str">
        <f>IF(AND(AD1924=1,D1924="Military",H1924&lt;&gt;"Not given")=TRUE,IF(SUMIFS(P:P,A:A,A1924)&gt;0,ABS((SUMIFS(P:P,A:A,A1924)/VLOOKUP("USD",'Exchange Rates'!B:C,2,0)))/S1924,"."),".")</f>
        <v>.</v>
      </c>
      <c r="BA1924" s="1196" t="str">
        <f>IF(AND(AD1924=1,D1924="Military",H1924&lt;&gt;"Not given")=TRUE,IF(SUMIFS(P:P,A:A,A1924)&gt;0,IF((ABS((SUMIFS(P:P,A:A,A1924)/VLOOKUP("USD",'Exchange Rates'!B:C,2,0)))/S1924)&gt;1,(SUMIFS(P:P,A:A,A1924)-S1924)/S1924,(S1924-SUMIFS(P:P,A:A,A1924))/SUMIFS(P:P,A:A,A1924)),"."),".")</f>
        <v>.</v>
      </c>
      <c r="BB1924" s="1208" t="s">
        <v>38</v>
      </c>
      <c r="BC1924" s="1208" t="s">
        <v>38</v>
      </c>
      <c r="BD1924" s="1208" t="s">
        <v>38</v>
      </c>
      <c r="BE1924" s="1208" t="s">
        <v>38</v>
      </c>
      <c r="BF1924" s="1208" t="s">
        <v>38</v>
      </c>
      <c r="BG1924" s="1208" t="s">
        <v>38</v>
      </c>
      <c r="BH1924" s="1208" t="s">
        <v>38</v>
      </c>
      <c r="BI1924" s="1208" t="s">
        <v>38</v>
      </c>
      <c r="BJ1924" s="1208" t="s">
        <v>38</v>
      </c>
      <c r="BK1924" s="1208" t="s">
        <v>38</v>
      </c>
      <c r="BL1924" s="1208" t="s">
        <v>38</v>
      </c>
      <c r="BM1924" s="1208" t="s">
        <v>38</v>
      </c>
      <c r="BN1924" s="1208" t="s">
        <v>38</v>
      </c>
      <c r="BO1924" s="1208" t="s">
        <v>38</v>
      </c>
      <c r="BP1924" s="1208" t="s">
        <v>38</v>
      </c>
      <c r="BQ1924" s="1208" t="s">
        <v>38</v>
      </c>
      <c r="BR1924" s="1208" t="s">
        <v>38</v>
      </c>
      <c r="BS1924" s="1208" t="s">
        <v>38</v>
      </c>
    </row>
    <row r="1925" spans="1:71" ht="16.5" customHeight="1">
      <c r="A1925" s="1208" t="s">
        <v>4361</v>
      </c>
      <c r="B1925" s="1208" t="s">
        <v>3949</v>
      </c>
      <c r="C1925" s="1209">
        <v>44981</v>
      </c>
      <c r="D1925" s="1208" t="s">
        <v>389</v>
      </c>
      <c r="E1925" s="1208" t="s">
        <v>390</v>
      </c>
      <c r="F1925" s="1208" t="s">
        <v>4374</v>
      </c>
      <c r="G1925" s="1184" t="s">
        <v>456</v>
      </c>
      <c r="H1925" s="1210">
        <v>2000000000</v>
      </c>
      <c r="I1925" s="1208" t="s">
        <v>364</v>
      </c>
      <c r="J1925" s="1186" t="str">
        <f>VLOOKUP($I1925,'Price List, Weapons &amp; Items'!B:C,2,0)</f>
        <v>.</v>
      </c>
      <c r="K1925" s="1186" t="str">
        <f>IF(I1925=".",I1925,VLOOKUP($I1925,'Price List, Weapons &amp; Items'!B:D,3,0))</f>
        <v>.</v>
      </c>
      <c r="L1925" s="1187">
        <f>VLOOKUP(I1925,'Price List, Weapons &amp; Items'!B:E,4,0)</f>
        <v>0</v>
      </c>
      <c r="M1925" s="1188" t="s">
        <v>374</v>
      </c>
      <c r="N1925" s="1188" t="s">
        <v>374</v>
      </c>
      <c r="O1925" s="1188" t="str">
        <f>VLOOKUP($I1925,'Price List, Weapons &amp; Items'!B:G,6,0)</f>
        <v>.</v>
      </c>
      <c r="P1925" s="1185" t="str">
        <f t="shared" si="415"/>
        <v>.</v>
      </c>
      <c r="Q1925" s="1185" t="str">
        <f t="shared" si="416"/>
        <v>.</v>
      </c>
      <c r="R1925" s="1185" t="str">
        <f t="shared" si="412"/>
        <v/>
      </c>
      <c r="S1925" s="1185" t="str">
        <f>IF(AND(AD1925=1,R1925&lt;&gt;".")=TRUE,R1925/VLOOKUP(G1925,'Exchange Rates'!B:C,2,0),IF(R1925=".",".",""))</f>
        <v/>
      </c>
      <c r="T1925" s="1185" t="str">
        <f>IF(AD1925=1,IF(AF1925="Value is not given at all",".",IF(AF1925="Value is given by the source",S1925,IF(AF1925="Value is calculated with prices",(IF(SUMIFS(Q:Q,A:A,A1925)&gt;0,SUMIFS(Q:Q,A:A,A1925),"."))/VLOOKUP("USD",'Exchange Rates'!B:C,2,0),"Error with coding"))),"")</f>
        <v/>
      </c>
      <c r="U1925" s="1191" t="s">
        <v>365</v>
      </c>
      <c r="V1925" s="983" t="s">
        <v>4375</v>
      </c>
      <c r="W1925" s="983" t="s">
        <v>3989</v>
      </c>
      <c r="X1925" s="1208" t="s">
        <v>364</v>
      </c>
      <c r="Y1925" s="1208" t="s">
        <v>364</v>
      </c>
      <c r="Z1925" s="1191">
        <v>0</v>
      </c>
      <c r="AA1925" s="1191">
        <v>1</v>
      </c>
      <c r="AB1925" s="1208" t="s">
        <v>364</v>
      </c>
      <c r="AC1925" s="1192" t="str">
        <f>""</f>
        <v/>
      </c>
      <c r="AD1925" s="1193">
        <v>0</v>
      </c>
      <c r="AE1925" s="1191" t="s">
        <v>368</v>
      </c>
      <c r="AF1925" s="1191" t="s">
        <v>369</v>
      </c>
      <c r="AG1925" s="1193">
        <v>1</v>
      </c>
      <c r="AH1925" s="1191">
        <v>14</v>
      </c>
      <c r="AI1925" s="1193">
        <v>0</v>
      </c>
      <c r="AJ1925" s="1193">
        <f>VLOOKUP($I1925,'Price List, Weapons &amp; Items'!B:F,5,0)</f>
        <v>0</v>
      </c>
      <c r="AK1925" s="1193">
        <f t="shared" si="417"/>
        <v>0</v>
      </c>
      <c r="AL1925" s="1193">
        <f t="shared" si="418"/>
        <v>0</v>
      </c>
      <c r="AM1925" s="1193">
        <f t="shared" si="419"/>
        <v>0</v>
      </c>
      <c r="AN1925" s="1194" t="str">
        <f>VLOOKUP($I1925,'Price List, Weapons &amp; Items'!B:L,COLUMN('Price List, Weapons &amp; Items'!$J$11)-1,0)</f>
        <v>.</v>
      </c>
      <c r="AO1925" s="1194" t="str">
        <f>IF(I1925=".",".",VLOOKUP($I1925,'Price List, Weapons &amp; Items'!B:J,3,0))</f>
        <v>.</v>
      </c>
      <c r="AP1925" s="1195" t="str">
        <f t="shared" ca="1" si="413"/>
        <v/>
      </c>
      <c r="AQ1925" s="1194">
        <f>VLOOKUP($I1925,'Price List, Weapons &amp; Items'!B:L,COLUMN('Price List, Weapons &amp; Items'!$L$11)-1,0)</f>
        <v>0</v>
      </c>
      <c r="AR1925" s="1194">
        <f t="shared" si="420"/>
        <v>1</v>
      </c>
      <c r="AS1925" s="1194">
        <f t="shared" si="421"/>
        <v>1</v>
      </c>
      <c r="AT1925" s="1194">
        <f t="shared" si="422"/>
        <v>1</v>
      </c>
      <c r="AU1925" s="1194" t="str">
        <f t="shared" si="411"/>
        <v>.</v>
      </c>
      <c r="AV1925" s="1194" t="str">
        <f t="shared" si="414"/>
        <v>.</v>
      </c>
      <c r="AW1925" s="1194" t="str">
        <f t="shared" si="423"/>
        <v>.</v>
      </c>
      <c r="AX1925" s="1194">
        <f>IFERROR(VLOOKUP(B1925,'Share, Heavy Weapons to Ukraine'!B:Z,COLUMN('Share, Heavy Weapons to Ukraine'!C1933)-1,0),0)</f>
        <v>1</v>
      </c>
      <c r="AY1925" s="1194">
        <f>VLOOKUP('Bilateral Assistance, MAIN DATA'!B1925,'Country Summary (€)'!B:F,COLUMN('Country Summary (€)'!C1934)-1,FALSE)</f>
        <v>0</v>
      </c>
      <c r="AZ1925" s="1194" t="str">
        <f>IF(AND(AD1925=1,D1925="Military",H1925&lt;&gt;"Not given")=TRUE,IF(SUMIFS(P:P,A:A,A1925)&gt;0,ABS((SUMIFS(P:P,A:A,A1925)/VLOOKUP("USD",'Exchange Rates'!B:C,2,0)))/S1925,"."),".")</f>
        <v>.</v>
      </c>
      <c r="BA1925" s="1196" t="str">
        <f>IF(AND(AD1925=1,D1925="Military",H1925&lt;&gt;"Not given")=TRUE,IF(SUMIFS(P:P,A:A,A1925)&gt;0,IF((ABS((SUMIFS(P:P,A:A,A1925)/VLOOKUP("USD",'Exchange Rates'!B:C,2,0)))/S1925)&gt;1,(SUMIFS(P:P,A:A,A1925)-S1925)/S1925,(S1925-SUMIFS(P:P,A:A,A1925))/SUMIFS(P:P,A:A,A1925)),"."),".")</f>
        <v>.</v>
      </c>
      <c r="BB1925" s="1208"/>
      <c r="BC1925" s="1208"/>
      <c r="BD1925" s="1208"/>
      <c r="BE1925" s="1208"/>
      <c r="BF1925" s="1208"/>
      <c r="BG1925" s="1208"/>
      <c r="BH1925" s="1208"/>
      <c r="BI1925" s="1208"/>
      <c r="BJ1925" s="1208"/>
      <c r="BK1925" s="1208"/>
      <c r="BL1925" s="1208"/>
      <c r="BM1925" s="1208"/>
      <c r="BN1925" s="1208"/>
      <c r="BO1925" s="1208"/>
      <c r="BP1925" s="1208"/>
      <c r="BQ1925" s="1208"/>
      <c r="BR1925" s="1208"/>
      <c r="BS1925" s="1208"/>
    </row>
    <row r="1926" spans="1:71" ht="15.95" customHeight="1">
      <c r="A1926" s="1208" t="s">
        <v>4361</v>
      </c>
      <c r="B1926" s="1208" t="s">
        <v>3949</v>
      </c>
      <c r="C1926" s="1209">
        <v>44981</v>
      </c>
      <c r="D1926" s="1208" t="s">
        <v>389</v>
      </c>
      <c r="E1926" s="1208" t="s">
        <v>390</v>
      </c>
      <c r="F1926" s="1208" t="s">
        <v>4374</v>
      </c>
      <c r="G1926" s="1184" t="s">
        <v>456</v>
      </c>
      <c r="H1926" s="1210">
        <v>2000000000</v>
      </c>
      <c r="I1926" s="1208" t="s">
        <v>856</v>
      </c>
      <c r="J1926" s="1186" t="str">
        <f>VLOOKUP($I1926,'Price List, Weapons &amp; Items'!B:C,2,0)</f>
        <v>Ammunition for heavy weapon</v>
      </c>
      <c r="K1926" s="1186" t="str">
        <f>IF(I1926=".",I1926,VLOOKUP($I1926,'Price List, Weapons &amp; Items'!B:D,3,0))</f>
        <v>155mm howitzer ammunition</v>
      </c>
      <c r="L1926" s="1187">
        <f>VLOOKUP(I1926,'Price List, Weapons &amp; Items'!B:E,4,0)</f>
        <v>0</v>
      </c>
      <c r="M1926" s="1188" t="s">
        <v>374</v>
      </c>
      <c r="N1926" s="1188" t="s">
        <v>374</v>
      </c>
      <c r="O1926" s="1188">
        <f>VLOOKUP($I1926,'Price List, Weapons &amp; Items'!B:G,6,0)</f>
        <v>3800</v>
      </c>
      <c r="P1926" s="1185" t="str">
        <f t="shared" si="415"/>
        <v>.</v>
      </c>
      <c r="Q1926" s="1185" t="str">
        <f t="shared" si="416"/>
        <v>.</v>
      </c>
      <c r="R1926" s="1185" t="str">
        <f t="shared" si="412"/>
        <v/>
      </c>
      <c r="S1926" s="1185" t="str">
        <f>IF(AND(AD1926=1,R1926&lt;&gt;".")=TRUE,R1926/VLOOKUP(G1926,'Exchange Rates'!B:C,2,0),IF(R1926=".",".",""))</f>
        <v/>
      </c>
      <c r="T1926" s="1185" t="str">
        <f>IF(AD1926=1,IF(AF1926="Value is not given at all",".",IF(AF1926="Value is given by the source",S1926,IF(AF1926="Value is calculated with prices",(IF(SUMIFS(Q:Q,A:A,A1926)&gt;0,SUMIFS(Q:Q,A:A,A1926),"."))/VLOOKUP("USD",'Exchange Rates'!B:C,2,0),"Error with coding"))),"")</f>
        <v/>
      </c>
      <c r="U1926" s="1191" t="s">
        <v>365</v>
      </c>
      <c r="V1926" s="966" t="s">
        <v>4375</v>
      </c>
      <c r="W1926" s="966" t="s">
        <v>3989</v>
      </c>
      <c r="X1926" s="1208" t="s">
        <v>364</v>
      </c>
      <c r="Y1926" s="1208" t="s">
        <v>364</v>
      </c>
      <c r="Z1926" s="1191">
        <v>0</v>
      </c>
      <c r="AA1926" s="1191">
        <v>1</v>
      </c>
      <c r="AB1926" s="1208" t="s">
        <v>364</v>
      </c>
      <c r="AC1926" s="1192" t="str">
        <f>""</f>
        <v/>
      </c>
      <c r="AD1926" s="1193">
        <v>0</v>
      </c>
      <c r="AE1926" s="1191" t="s">
        <v>368</v>
      </c>
      <c r="AF1926" s="1191" t="s">
        <v>369</v>
      </c>
      <c r="AG1926" s="1193">
        <v>1</v>
      </c>
      <c r="AH1926" s="1191">
        <v>14</v>
      </c>
      <c r="AI1926" s="1193">
        <v>0</v>
      </c>
      <c r="AJ1926" s="1193">
        <f>VLOOKUP($I1926,'Price List, Weapons &amp; Items'!B:F,5,0)</f>
        <v>1</v>
      </c>
      <c r="AK1926" s="1193">
        <f t="shared" si="417"/>
        <v>1</v>
      </c>
      <c r="AL1926" s="1193">
        <f t="shared" si="418"/>
        <v>1</v>
      </c>
      <c r="AM1926" s="1193">
        <f t="shared" si="419"/>
        <v>0</v>
      </c>
      <c r="AN1926" s="1194" t="str">
        <f>VLOOKUP($I1926,'Price List, Weapons &amp; Items'!B:L,COLUMN('Price List, Weapons &amp; Items'!$J$11)-1,0)</f>
        <v>Government information</v>
      </c>
      <c r="AO1926" s="1194" t="str">
        <f>IF(I1926=".",".",VLOOKUP($I1926,'Price List, Weapons &amp; Items'!B:J,3,0))</f>
        <v>155mm howitzer ammunition</v>
      </c>
      <c r="AP1926" s="1195" t="str">
        <f t="shared" ca="1" si="413"/>
        <v/>
      </c>
      <c r="AQ1926" s="1194">
        <f>VLOOKUP($I1926,'Price List, Weapons &amp; Items'!B:L,COLUMN('Price List, Weapons &amp; Items'!$L$11)-1,0)</f>
        <v>2</v>
      </c>
      <c r="AR1926" s="1194">
        <f t="shared" si="420"/>
        <v>1</v>
      </c>
      <c r="AS1926" s="1194">
        <f t="shared" si="421"/>
        <v>1</v>
      </c>
      <c r="AT1926" s="1194">
        <f t="shared" si="422"/>
        <v>1</v>
      </c>
      <c r="AU1926" s="1194" t="str">
        <f t="shared" si="411"/>
        <v>.</v>
      </c>
      <c r="AV1926" s="1194" t="str">
        <f t="shared" si="414"/>
        <v>.</v>
      </c>
      <c r="AW1926" s="1194" t="str">
        <f t="shared" si="423"/>
        <v>.</v>
      </c>
      <c r="AX1926" s="1194">
        <f>IFERROR(VLOOKUP(B1926,'Share, Heavy Weapons to Ukraine'!B:Z,COLUMN('Share, Heavy Weapons to Ukraine'!C1934)-1,0),0)</f>
        <v>1</v>
      </c>
      <c r="AY1926" s="1194">
        <f>VLOOKUP('Bilateral Assistance, MAIN DATA'!B1926,'Country Summary (€)'!B:F,COLUMN('Country Summary (€)'!C1935)-1,FALSE)</f>
        <v>0</v>
      </c>
      <c r="AZ1926" s="1194" t="str">
        <f>IF(AND(AD1926=1,D1926="Military",H1926&lt;&gt;"Not given")=TRUE,IF(SUMIFS(P:P,A:A,A1926)&gt;0,ABS((SUMIFS(P:P,A:A,A1926)/VLOOKUP("USD",'Exchange Rates'!B:C,2,0)))/S1926,"."),".")</f>
        <v>.</v>
      </c>
      <c r="BA1926" s="1196" t="str">
        <f>IF(AND(AD1926=1,D1926="Military",H1926&lt;&gt;"Not given")=TRUE,IF(SUMIFS(P:P,A:A,A1926)&gt;0,IF((ABS((SUMIFS(P:P,A:A,A1926)/VLOOKUP("USD",'Exchange Rates'!B:C,2,0)))/S1926)&gt;1,(SUMIFS(P:P,A:A,A1926)-S1926)/S1926,(S1926-SUMIFS(P:P,A:A,A1926))/SUMIFS(P:P,A:A,A1926)),"."),".")</f>
        <v>.</v>
      </c>
      <c r="BB1926" s="1208"/>
      <c r="BC1926" s="1208"/>
      <c r="BD1926" s="1208"/>
      <c r="BE1926" s="1208"/>
      <c r="BF1926" s="1208"/>
      <c r="BG1926" s="1208"/>
      <c r="BH1926" s="1208"/>
      <c r="BI1926" s="1208"/>
      <c r="BJ1926" s="1208"/>
      <c r="BK1926" s="1208"/>
      <c r="BL1926" s="1208"/>
      <c r="BM1926" s="1208"/>
      <c r="BN1926" s="1208"/>
      <c r="BO1926" s="1208"/>
      <c r="BP1926" s="1208"/>
      <c r="BQ1926" s="1208"/>
      <c r="BR1926" s="1208"/>
      <c r="BS1926" s="1208"/>
    </row>
    <row r="1927" spans="1:71" ht="15.95" customHeight="1">
      <c r="A1927" s="1208" t="s">
        <v>4361</v>
      </c>
      <c r="B1927" s="1208" t="s">
        <v>3949</v>
      </c>
      <c r="C1927" s="1209">
        <v>44981</v>
      </c>
      <c r="D1927" s="1208" t="s">
        <v>389</v>
      </c>
      <c r="E1927" s="1208" t="s">
        <v>390</v>
      </c>
      <c r="F1927" s="1208" t="s">
        <v>4374</v>
      </c>
      <c r="G1927" s="1184" t="s">
        <v>456</v>
      </c>
      <c r="H1927" s="1210">
        <v>2000000000</v>
      </c>
      <c r="I1927" s="1208" t="s">
        <v>4376</v>
      </c>
      <c r="J1927" s="1186" t="str">
        <f>VLOOKUP($I1927,'Price List, Weapons &amp; Items'!B:C,2,0)</f>
        <v>Ammunition for heavy weapon</v>
      </c>
      <c r="K1927" s="1186" t="str">
        <f>IF(I1927=".",I1927,VLOOKUP($I1927,'Price List, Weapons &amp; Items'!B:D,3,0))</f>
        <v>Missile</v>
      </c>
      <c r="L1927" s="1187">
        <f>VLOOKUP(I1927,'Price List, Weapons &amp; Items'!B:E,4,0)</f>
        <v>0</v>
      </c>
      <c r="M1927" s="1188" t="s">
        <v>374</v>
      </c>
      <c r="N1927" s="1188" t="s">
        <v>374</v>
      </c>
      <c r="O1927" s="1188" t="str">
        <f>VLOOKUP($I1927,'Price List, Weapons &amp; Items'!B:G,6,0)</f>
        <v>.</v>
      </c>
      <c r="P1927" s="1185" t="str">
        <f t="shared" si="415"/>
        <v>.</v>
      </c>
      <c r="Q1927" s="1185" t="str">
        <f t="shared" si="416"/>
        <v>.</v>
      </c>
      <c r="R1927" s="1185" t="str">
        <f t="shared" si="412"/>
        <v/>
      </c>
      <c r="S1927" s="1185" t="str">
        <f>IF(AND(AD1927=1,R1927&lt;&gt;".")=TRUE,R1927/VLOOKUP(G1927,'Exchange Rates'!B:C,2,0),IF(R1927=".",".",""))</f>
        <v/>
      </c>
      <c r="T1927" s="1185" t="str">
        <f>IF(AD1927=1,IF(AF1927="Value is not given at all",".",IF(AF1927="Value is given by the source",S1927,IF(AF1927="Value is calculated with prices",(IF(SUMIFS(Q:Q,A:A,A1927)&gt;0,SUMIFS(Q:Q,A:A,A1927),"."))/VLOOKUP("USD",'Exchange Rates'!B:C,2,0),"Error with coding"))),"")</f>
        <v/>
      </c>
      <c r="U1927" s="1191" t="s">
        <v>365</v>
      </c>
      <c r="V1927" s="966" t="s">
        <v>4375</v>
      </c>
      <c r="W1927" s="966" t="s">
        <v>3989</v>
      </c>
      <c r="X1927" s="1208" t="s">
        <v>364</v>
      </c>
      <c r="Y1927" s="1208" t="s">
        <v>364</v>
      </c>
      <c r="Z1927" s="1191">
        <v>0</v>
      </c>
      <c r="AA1927" s="1191">
        <v>1</v>
      </c>
      <c r="AB1927" s="1208" t="s">
        <v>364</v>
      </c>
      <c r="AC1927" s="1192" t="str">
        <f>""</f>
        <v/>
      </c>
      <c r="AD1927" s="1193">
        <v>0</v>
      </c>
      <c r="AE1927" s="1191" t="s">
        <v>368</v>
      </c>
      <c r="AF1927" s="1191" t="s">
        <v>369</v>
      </c>
      <c r="AG1927" s="1193">
        <v>1</v>
      </c>
      <c r="AH1927" s="1191">
        <v>14</v>
      </c>
      <c r="AI1927" s="1193">
        <v>0</v>
      </c>
      <c r="AJ1927" s="1193">
        <f>VLOOKUP($I1927,'Price List, Weapons &amp; Items'!B:F,5,0)</f>
        <v>0</v>
      </c>
      <c r="AK1927" s="1193">
        <f t="shared" si="417"/>
        <v>0</v>
      </c>
      <c r="AL1927" s="1193">
        <f t="shared" si="418"/>
        <v>0</v>
      </c>
      <c r="AM1927" s="1193">
        <f t="shared" si="419"/>
        <v>0</v>
      </c>
      <c r="AN1927" s="1194" t="str">
        <f>VLOOKUP($I1927,'Price List, Weapons &amp; Items'!B:L,COLUMN('Price List, Weapons &amp; Items'!$J$11)-1,0)</f>
        <v>.</v>
      </c>
      <c r="AO1927" s="1194" t="str">
        <f>IF(I1927=".",".",VLOOKUP($I1927,'Price List, Weapons &amp; Items'!B:J,3,0))</f>
        <v>Missile</v>
      </c>
      <c r="AP1927" s="1195" t="str">
        <f t="shared" ca="1" si="413"/>
        <v/>
      </c>
      <c r="AQ1927" s="1194" t="str">
        <f>VLOOKUP($I1927,'Price List, Weapons &amp; Items'!B:L,COLUMN('Price List, Weapons &amp; Items'!$L$11)-1,0)</f>
        <v>no price, 0 count</v>
      </c>
      <c r="AR1927" s="1194">
        <f t="shared" si="420"/>
        <v>1</v>
      </c>
      <c r="AS1927" s="1194">
        <f t="shared" si="421"/>
        <v>1</v>
      </c>
      <c r="AT1927" s="1194">
        <f t="shared" si="422"/>
        <v>1</v>
      </c>
      <c r="AU1927" s="1194" t="str">
        <f t="shared" si="411"/>
        <v>.</v>
      </c>
      <c r="AV1927" s="1194" t="str">
        <f t="shared" si="414"/>
        <v>.</v>
      </c>
      <c r="AW1927" s="1194" t="str">
        <f t="shared" si="423"/>
        <v>.</v>
      </c>
      <c r="AX1927" s="1194">
        <f>IFERROR(VLOOKUP(B1927,'Share, Heavy Weapons to Ukraine'!B:Z,COLUMN('Share, Heavy Weapons to Ukraine'!C1935)-1,0),0)</f>
        <v>1</v>
      </c>
      <c r="AY1927" s="1194">
        <f>VLOOKUP('Bilateral Assistance, MAIN DATA'!B1927,'Country Summary (€)'!B:F,COLUMN('Country Summary (€)'!C1936)-1,FALSE)</f>
        <v>0</v>
      </c>
      <c r="AZ1927" s="1194" t="str">
        <f>IF(AND(AD1927=1,D1927="Military",H1927&lt;&gt;"Not given")=TRUE,IF(SUMIFS(P:P,A:A,A1927)&gt;0,ABS((SUMIFS(P:P,A:A,A1927)/VLOOKUP("USD",'Exchange Rates'!B:C,2,0)))/S1927,"."),".")</f>
        <v>.</v>
      </c>
      <c r="BA1927" s="1196" t="str">
        <f>IF(AND(AD1927=1,D1927="Military",H1927&lt;&gt;"Not given")=TRUE,IF(SUMIFS(P:P,A:A,A1927)&gt;0,IF((ABS((SUMIFS(P:P,A:A,A1927)/VLOOKUP("USD",'Exchange Rates'!B:C,2,0)))/S1927)&gt;1,(SUMIFS(P:P,A:A,A1927)-S1927)/S1927,(S1927-SUMIFS(P:P,A:A,A1927))/SUMIFS(P:P,A:A,A1927)),"."),".")</f>
        <v>.</v>
      </c>
      <c r="BB1927" s="1208"/>
      <c r="BC1927" s="1208"/>
      <c r="BD1927" s="1208"/>
      <c r="BE1927" s="1208"/>
      <c r="BF1927" s="1208"/>
      <c r="BG1927" s="1208"/>
      <c r="BH1927" s="1208"/>
      <c r="BI1927" s="1208"/>
      <c r="BJ1927" s="1208"/>
      <c r="BK1927" s="1208"/>
      <c r="BL1927" s="1208"/>
      <c r="BM1927" s="1208"/>
      <c r="BN1927" s="1208"/>
      <c r="BO1927" s="1208"/>
      <c r="BP1927" s="1208"/>
      <c r="BQ1927" s="1208"/>
      <c r="BR1927" s="1208"/>
      <c r="BS1927" s="1208"/>
    </row>
    <row r="1928" spans="1:71" ht="15.95" customHeight="1">
      <c r="A1928" s="1208" t="s">
        <v>4361</v>
      </c>
      <c r="B1928" s="1208" t="s">
        <v>3949</v>
      </c>
      <c r="C1928" s="1209">
        <v>44981</v>
      </c>
      <c r="D1928" s="1208" t="s">
        <v>389</v>
      </c>
      <c r="E1928" s="1208" t="s">
        <v>390</v>
      </c>
      <c r="F1928" s="1208" t="s">
        <v>4374</v>
      </c>
      <c r="G1928" s="1184" t="s">
        <v>456</v>
      </c>
      <c r="H1928" s="1210">
        <v>2000000000</v>
      </c>
      <c r="I1928" s="1208" t="s">
        <v>4377</v>
      </c>
      <c r="J1928" s="1186" t="str">
        <f>VLOOKUP($I1928,'Price List, Weapons &amp; Items'!B:C,2,0)</f>
        <v>Aviation and drones</v>
      </c>
      <c r="K1928" s="1186" t="str">
        <f>IF(I1928=".",I1928,VLOOKUP($I1928,'Price List, Weapons &amp; Items'!B:D,3,0))</f>
        <v>Drone</v>
      </c>
      <c r="L1928" s="1187">
        <f>VLOOKUP(I1928,'Price List, Weapons &amp; Items'!B:E,4,0)</f>
        <v>0</v>
      </c>
      <c r="M1928" s="1188" t="s">
        <v>374</v>
      </c>
      <c r="N1928" s="1188" t="s">
        <v>374</v>
      </c>
      <c r="O1928" s="1188">
        <f>VLOOKUP($I1928,'Price List, Weapons &amp; Items'!B:G,6,0)</f>
        <v>11000</v>
      </c>
      <c r="P1928" s="1185" t="str">
        <f t="shared" si="415"/>
        <v>.</v>
      </c>
      <c r="Q1928" s="1185" t="str">
        <f t="shared" si="416"/>
        <v>.</v>
      </c>
      <c r="R1928" s="1185" t="str">
        <f t="shared" si="412"/>
        <v/>
      </c>
      <c r="S1928" s="1185" t="str">
        <f>IF(AND(AD1928=1,R1928&lt;&gt;".")=TRUE,R1928/VLOOKUP(G1928,'Exchange Rates'!B:C,2,0),IF(R1928=".",".",""))</f>
        <v/>
      </c>
      <c r="T1928" s="1185" t="str">
        <f>IF(AD1928=1,IF(AF1928="Value is not given at all",".",IF(AF1928="Value is given by the source",S1928,IF(AF1928="Value is calculated with prices",(IF(SUMIFS(Q:Q,A:A,A1928)&gt;0,SUMIFS(Q:Q,A:A,A1928),"."))/VLOOKUP("USD",'Exchange Rates'!B:C,2,0),"Error with coding"))),"")</f>
        <v/>
      </c>
      <c r="U1928" s="1191" t="s">
        <v>365</v>
      </c>
      <c r="V1928" s="966" t="s">
        <v>4375</v>
      </c>
      <c r="W1928" s="966" t="s">
        <v>3989</v>
      </c>
      <c r="X1928" s="1208" t="s">
        <v>364</v>
      </c>
      <c r="Y1928" s="1208" t="s">
        <v>364</v>
      </c>
      <c r="Z1928" s="1191">
        <v>0</v>
      </c>
      <c r="AA1928" s="1191">
        <v>1</v>
      </c>
      <c r="AB1928" s="1208" t="s">
        <v>364</v>
      </c>
      <c r="AC1928" s="1192" t="str">
        <f>""</f>
        <v/>
      </c>
      <c r="AD1928" s="1193">
        <v>0</v>
      </c>
      <c r="AE1928" s="1191" t="s">
        <v>368</v>
      </c>
      <c r="AF1928" s="1191" t="s">
        <v>369</v>
      </c>
      <c r="AG1928" s="1193">
        <v>1</v>
      </c>
      <c r="AH1928" s="1191">
        <v>14</v>
      </c>
      <c r="AI1928" s="1193">
        <v>0</v>
      </c>
      <c r="AJ1928" s="1193">
        <f>VLOOKUP($I1928,'Price List, Weapons &amp; Items'!B:F,5,0)</f>
        <v>0</v>
      </c>
      <c r="AK1928" s="1193">
        <f t="shared" si="417"/>
        <v>0</v>
      </c>
      <c r="AL1928" s="1193">
        <f t="shared" si="418"/>
        <v>0</v>
      </c>
      <c r="AM1928" s="1193">
        <f t="shared" si="419"/>
        <v>0</v>
      </c>
      <c r="AN1928" s="1194" t="str">
        <f>VLOOKUP($I1928,'Price List, Weapons &amp; Items'!B:L,COLUMN('Price List, Weapons &amp; Items'!$J$11)-1,0)</f>
        <v>Media reports (incl. social media)</v>
      </c>
      <c r="AO1928" s="1194" t="str">
        <f>IF(I1928=".",".",VLOOKUP($I1928,'Price List, Weapons &amp; Items'!B:J,3,0))</f>
        <v>Drone</v>
      </c>
      <c r="AP1928" s="1195" t="str">
        <f t="shared" ca="1" si="413"/>
        <v/>
      </c>
      <c r="AQ1928" s="1194" t="str">
        <f>VLOOKUP($I1928,'Price List, Weapons &amp; Items'!B:L,COLUMN('Price List, Weapons &amp; Items'!$L$11)-1,0)</f>
        <v>no price, 0 count</v>
      </c>
      <c r="AR1928" s="1194">
        <f t="shared" si="420"/>
        <v>1</v>
      </c>
      <c r="AS1928" s="1194">
        <f t="shared" si="421"/>
        <v>1</v>
      </c>
      <c r="AT1928" s="1194">
        <f t="shared" si="422"/>
        <v>1</v>
      </c>
      <c r="AU1928" s="1194" t="str">
        <f t="shared" si="411"/>
        <v>.</v>
      </c>
      <c r="AV1928" s="1194" t="str">
        <f t="shared" si="414"/>
        <v>.</v>
      </c>
      <c r="AW1928" s="1194" t="str">
        <f t="shared" si="423"/>
        <v>.</v>
      </c>
      <c r="AX1928" s="1194">
        <f>IFERROR(VLOOKUP(B1928,'Share, Heavy Weapons to Ukraine'!B:Z,COLUMN('Share, Heavy Weapons to Ukraine'!C1936)-1,0),0)</f>
        <v>1</v>
      </c>
      <c r="AY1928" s="1194">
        <f>VLOOKUP('Bilateral Assistance, MAIN DATA'!B1928,'Country Summary (€)'!B:F,COLUMN('Country Summary (€)'!C1937)-1,FALSE)</f>
        <v>0</v>
      </c>
      <c r="AZ1928" s="1194" t="str">
        <f>IF(AND(AD1928=1,D1928="Military",H1928&lt;&gt;"Not given")=TRUE,IF(SUMIFS(P:P,A:A,A1928)&gt;0,ABS((SUMIFS(P:P,A:A,A1928)/VLOOKUP("USD",'Exchange Rates'!B:C,2,0)))/S1928,"."),".")</f>
        <v>.</v>
      </c>
      <c r="BA1928" s="1196" t="str">
        <f>IF(AND(AD1928=1,D1928="Military",H1928&lt;&gt;"Not given")=TRUE,IF(SUMIFS(P:P,A:A,A1928)&gt;0,IF((ABS((SUMIFS(P:P,A:A,A1928)/VLOOKUP("USD",'Exchange Rates'!B:C,2,0)))/S1928)&gt;1,(SUMIFS(P:P,A:A,A1928)-S1928)/S1928,(S1928-SUMIFS(P:P,A:A,A1928))/SUMIFS(P:P,A:A,A1928)),"."),".")</f>
        <v>.</v>
      </c>
      <c r="BB1928" s="1208"/>
      <c r="BC1928" s="1208"/>
      <c r="BD1928" s="1208"/>
      <c r="BE1928" s="1208"/>
      <c r="BF1928" s="1208"/>
      <c r="BG1928" s="1208"/>
      <c r="BH1928" s="1208"/>
      <c r="BI1928" s="1208"/>
      <c r="BJ1928" s="1208"/>
      <c r="BK1928" s="1208"/>
      <c r="BL1928" s="1208"/>
      <c r="BM1928" s="1208"/>
      <c r="BN1928" s="1208"/>
      <c r="BO1928" s="1208"/>
      <c r="BP1928" s="1208"/>
      <c r="BQ1928" s="1208"/>
      <c r="BR1928" s="1208"/>
      <c r="BS1928" s="1208"/>
    </row>
    <row r="1929" spans="1:71" ht="15.95" customHeight="1">
      <c r="A1929" s="1208" t="s">
        <v>4361</v>
      </c>
      <c r="B1929" s="1208" t="s">
        <v>3949</v>
      </c>
      <c r="C1929" s="1209">
        <v>44981</v>
      </c>
      <c r="D1929" s="1208" t="s">
        <v>389</v>
      </c>
      <c r="E1929" s="1208" t="s">
        <v>390</v>
      </c>
      <c r="F1929" s="1208" t="s">
        <v>4374</v>
      </c>
      <c r="G1929" s="1184" t="s">
        <v>456</v>
      </c>
      <c r="H1929" s="1210">
        <v>2000000000</v>
      </c>
      <c r="I1929" s="1208" t="s">
        <v>4025</v>
      </c>
      <c r="J1929" s="1186" t="str">
        <f>VLOOKUP($I1929,'Price List, Weapons &amp; Items'!B:C,2,0)</f>
        <v>Aviation and drones</v>
      </c>
      <c r="K1929" s="1186" t="str">
        <f>IF(I1929=".",I1929,VLOOKUP($I1929,'Price List, Weapons &amp; Items'!B:D,3,0))</f>
        <v>drone</v>
      </c>
      <c r="L1929" s="1187">
        <f>VLOOKUP(I1929,'Price List, Weapons &amp; Items'!B:E,4,0)</f>
        <v>0</v>
      </c>
      <c r="M1929" s="1188" t="s">
        <v>374</v>
      </c>
      <c r="N1929" s="1188" t="s">
        <v>374</v>
      </c>
      <c r="O1929" s="1188">
        <f>VLOOKUP($I1929,'Price List, Weapons &amp; Items'!B:G,6,0)</f>
        <v>6000</v>
      </c>
      <c r="P1929" s="1185" t="str">
        <f t="shared" si="415"/>
        <v>.</v>
      </c>
      <c r="Q1929" s="1185" t="str">
        <f t="shared" si="416"/>
        <v>.</v>
      </c>
      <c r="R1929" s="1185" t="str">
        <f t="shared" si="412"/>
        <v/>
      </c>
      <c r="S1929" s="1185" t="str">
        <f>IF(AND(AD1929=1,R1929&lt;&gt;".")=TRUE,R1929/VLOOKUP(G1929,'Exchange Rates'!B:C,2,0),IF(R1929=".",".",""))</f>
        <v/>
      </c>
      <c r="T1929" s="1185" t="str">
        <f>IF(AD1929=1,IF(AF1929="Value is not given at all",".",IF(AF1929="Value is given by the source",S1929,IF(AF1929="Value is calculated with prices",(IF(SUMIFS(Q:Q,A:A,A1929)&gt;0,SUMIFS(Q:Q,A:A,A1929),"."))/VLOOKUP("USD",'Exchange Rates'!B:C,2,0),"Error with coding"))),"")</f>
        <v/>
      </c>
      <c r="U1929" s="1191" t="s">
        <v>365</v>
      </c>
      <c r="V1929" s="966" t="s">
        <v>4375</v>
      </c>
      <c r="W1929" s="966" t="s">
        <v>3989</v>
      </c>
      <c r="X1929" s="1208" t="s">
        <v>364</v>
      </c>
      <c r="Y1929" s="1208" t="s">
        <v>364</v>
      </c>
      <c r="Z1929" s="1191">
        <v>0</v>
      </c>
      <c r="AA1929" s="1191">
        <v>1</v>
      </c>
      <c r="AB1929" s="1208" t="s">
        <v>364</v>
      </c>
      <c r="AC1929" s="1192" t="str">
        <f>""</f>
        <v/>
      </c>
      <c r="AD1929" s="1193">
        <v>0</v>
      </c>
      <c r="AE1929" s="1191" t="s">
        <v>368</v>
      </c>
      <c r="AF1929" s="1191" t="s">
        <v>369</v>
      </c>
      <c r="AG1929" s="1193">
        <v>1</v>
      </c>
      <c r="AH1929" s="1191">
        <v>14</v>
      </c>
      <c r="AI1929" s="1193">
        <v>0</v>
      </c>
      <c r="AJ1929" s="1193">
        <f>VLOOKUP($I1929,'Price List, Weapons &amp; Items'!B:F,5,0)</f>
        <v>0</v>
      </c>
      <c r="AK1929" s="1193">
        <f t="shared" si="417"/>
        <v>0</v>
      </c>
      <c r="AL1929" s="1193">
        <f t="shared" si="418"/>
        <v>0</v>
      </c>
      <c r="AM1929" s="1193">
        <f t="shared" si="419"/>
        <v>0</v>
      </c>
      <c r="AN1929" s="1194" t="str">
        <f>VLOOKUP($I1929,'Price List, Weapons &amp; Items'!B:L,COLUMN('Price List, Weapons &amp; Items'!$J$11)-1,0)</f>
        <v>Miscellaneous</v>
      </c>
      <c r="AO1929" s="1194" t="str">
        <f>IF(I1929=".",".",VLOOKUP($I1929,'Price List, Weapons &amp; Items'!B:J,3,0))</f>
        <v>drone</v>
      </c>
      <c r="AP1929" s="1195" t="str">
        <f t="shared" ca="1" si="413"/>
        <v/>
      </c>
      <c r="AQ1929" s="1194">
        <f>VLOOKUP($I1929,'Price List, Weapons &amp; Items'!B:L,COLUMN('Price List, Weapons &amp; Items'!$L$11)-1,0)</f>
        <v>2</v>
      </c>
      <c r="AR1929" s="1194">
        <f t="shared" si="420"/>
        <v>1</v>
      </c>
      <c r="AS1929" s="1194">
        <f t="shared" si="421"/>
        <v>1</v>
      </c>
      <c r="AT1929" s="1194">
        <f t="shared" si="422"/>
        <v>1</v>
      </c>
      <c r="AU1929" s="1194" t="str">
        <f t="shared" si="411"/>
        <v>.</v>
      </c>
      <c r="AV1929" s="1194" t="str">
        <f t="shared" si="414"/>
        <v>.</v>
      </c>
      <c r="AW1929" s="1194" t="str">
        <f t="shared" si="423"/>
        <v>.</v>
      </c>
      <c r="AX1929" s="1194">
        <f>IFERROR(VLOOKUP(B1929,'Share, Heavy Weapons to Ukraine'!B:Z,COLUMN('Share, Heavy Weapons to Ukraine'!C1937)-1,0),0)</f>
        <v>1</v>
      </c>
      <c r="AY1929" s="1194">
        <f>VLOOKUP('Bilateral Assistance, MAIN DATA'!B1929,'Country Summary (€)'!B:F,COLUMN('Country Summary (€)'!C1938)-1,FALSE)</f>
        <v>0</v>
      </c>
      <c r="AZ1929" s="1194" t="str">
        <f>IF(AND(AD1929=1,D1929="Military",H1929&lt;&gt;"Not given")=TRUE,IF(SUMIFS(P:P,A:A,A1929)&gt;0,ABS((SUMIFS(P:P,A:A,A1929)/VLOOKUP("USD",'Exchange Rates'!B:C,2,0)))/S1929,"."),".")</f>
        <v>.</v>
      </c>
      <c r="BA1929" s="1196" t="str">
        <f>IF(AND(AD1929=1,D1929="Military",H1929&lt;&gt;"Not given")=TRUE,IF(SUMIFS(P:P,A:A,A1929)&gt;0,IF((ABS((SUMIFS(P:P,A:A,A1929)/VLOOKUP("USD",'Exchange Rates'!B:C,2,0)))/S1929)&gt;1,(SUMIFS(P:P,A:A,A1929)-S1929)/S1929,(S1929-SUMIFS(P:P,A:A,A1929))/SUMIFS(P:P,A:A,A1929)),"."),".")</f>
        <v>.</v>
      </c>
      <c r="BB1929" s="1208"/>
      <c r="BC1929" s="1208"/>
      <c r="BD1929" s="1208"/>
      <c r="BE1929" s="1208"/>
      <c r="BF1929" s="1208"/>
      <c r="BG1929" s="1208"/>
      <c r="BH1929" s="1208"/>
      <c r="BI1929" s="1208"/>
      <c r="BJ1929" s="1208"/>
      <c r="BK1929" s="1208"/>
      <c r="BL1929" s="1208"/>
      <c r="BM1929" s="1208"/>
      <c r="BN1929" s="1208"/>
      <c r="BO1929" s="1208"/>
      <c r="BP1929" s="1208"/>
      <c r="BQ1929" s="1208"/>
      <c r="BR1929" s="1208"/>
      <c r="BS1929" s="1208"/>
    </row>
    <row r="1930" spans="1:71" ht="15.95" customHeight="1">
      <c r="A1930" s="1208" t="s">
        <v>4361</v>
      </c>
      <c r="B1930" s="1208" t="s">
        <v>3949</v>
      </c>
      <c r="C1930" s="1209">
        <v>44981</v>
      </c>
      <c r="D1930" s="1208" t="s">
        <v>389</v>
      </c>
      <c r="E1930" s="1208" t="s">
        <v>390</v>
      </c>
      <c r="F1930" s="1208" t="s">
        <v>4374</v>
      </c>
      <c r="G1930" s="1184" t="s">
        <v>456</v>
      </c>
      <c r="H1930" s="1210">
        <v>2000000000</v>
      </c>
      <c r="I1930" s="1208" t="s">
        <v>4378</v>
      </c>
      <c r="J1930" s="1186" t="str">
        <f>VLOOKUP($I1930,'Price List, Weapons &amp; Items'!B:C,2,0)</f>
        <v>Aviation and drones</v>
      </c>
      <c r="K1930" s="1186" t="str">
        <f>IF(I1930=".",I1930,VLOOKUP($I1930,'Price List, Weapons &amp; Items'!B:D,3,0))</f>
        <v>Drone</v>
      </c>
      <c r="L1930" s="1187">
        <f>VLOOKUP(I1930,'Price List, Weapons &amp; Items'!B:E,4,0)</f>
        <v>0</v>
      </c>
      <c r="M1930" s="1188" t="s">
        <v>374</v>
      </c>
      <c r="N1930" s="1188" t="s">
        <v>374</v>
      </c>
      <c r="O1930" s="1188">
        <f>VLOOKUP($I1930,'Price List, Weapons &amp; Items'!B:G,6,0)</f>
        <v>100000</v>
      </c>
      <c r="P1930" s="1185" t="str">
        <f t="shared" si="415"/>
        <v>.</v>
      </c>
      <c r="Q1930" s="1185" t="str">
        <f t="shared" si="416"/>
        <v>.</v>
      </c>
      <c r="R1930" s="1185" t="str">
        <f t="shared" si="412"/>
        <v/>
      </c>
      <c r="S1930" s="1185" t="str">
        <f>IF(AND(AD1930=1,R1930&lt;&gt;".")=TRUE,R1930/VLOOKUP(G1930,'Exchange Rates'!B:C,2,0),IF(R1930=".",".",""))</f>
        <v/>
      </c>
      <c r="T1930" s="1185" t="str">
        <f>IF(AD1930=1,IF(AF1930="Value is not given at all",".",IF(AF1930="Value is given by the source",S1930,IF(AF1930="Value is calculated with prices",(IF(SUMIFS(Q:Q,A:A,A1930)&gt;0,SUMIFS(Q:Q,A:A,A1930),"."))/VLOOKUP("USD",'Exchange Rates'!B:C,2,0),"Error with coding"))),"")</f>
        <v/>
      </c>
      <c r="U1930" s="1191" t="s">
        <v>365</v>
      </c>
      <c r="V1930" s="966" t="s">
        <v>4375</v>
      </c>
      <c r="W1930" s="966" t="s">
        <v>3989</v>
      </c>
      <c r="X1930" s="1208" t="s">
        <v>364</v>
      </c>
      <c r="Y1930" s="1208" t="s">
        <v>364</v>
      </c>
      <c r="Z1930" s="1191">
        <v>0</v>
      </c>
      <c r="AA1930" s="1191">
        <v>1</v>
      </c>
      <c r="AB1930" s="1208" t="s">
        <v>364</v>
      </c>
      <c r="AC1930" s="1192" t="str">
        <f>""</f>
        <v/>
      </c>
      <c r="AD1930" s="1193">
        <v>0</v>
      </c>
      <c r="AE1930" s="1191" t="s">
        <v>368</v>
      </c>
      <c r="AF1930" s="1191" t="s">
        <v>369</v>
      </c>
      <c r="AG1930" s="1193">
        <v>1</v>
      </c>
      <c r="AH1930" s="1191">
        <v>14</v>
      </c>
      <c r="AI1930" s="1193">
        <v>0</v>
      </c>
      <c r="AJ1930" s="1193">
        <f>VLOOKUP($I1930,'Price List, Weapons &amp; Items'!B:F,5,0)</f>
        <v>0</v>
      </c>
      <c r="AK1930" s="1193">
        <f t="shared" si="417"/>
        <v>0</v>
      </c>
      <c r="AL1930" s="1193">
        <f t="shared" si="418"/>
        <v>0</v>
      </c>
      <c r="AM1930" s="1193">
        <f t="shared" si="419"/>
        <v>0</v>
      </c>
      <c r="AN1930" s="1194" t="str">
        <f>VLOOKUP($I1930,'Price List, Weapons &amp; Items'!B:L,COLUMN('Price List, Weapons &amp; Items'!$J$11)-1,0)</f>
        <v>Media reports (incl. social media)</v>
      </c>
      <c r="AO1930" s="1194" t="str">
        <f>IF(I1930=".",".",VLOOKUP($I1930,'Price List, Weapons &amp; Items'!B:J,3,0))</f>
        <v>Drone</v>
      </c>
      <c r="AP1930" s="1195" t="str">
        <f t="shared" ca="1" si="413"/>
        <v/>
      </c>
      <c r="AQ1930" s="1194" t="str">
        <f>VLOOKUP($I1930,'Price List, Weapons &amp; Items'!B:L,COLUMN('Price List, Weapons &amp; Items'!$L$11)-1,0)</f>
        <v>no price, 0 count</v>
      </c>
      <c r="AR1930" s="1194">
        <f t="shared" si="420"/>
        <v>1</v>
      </c>
      <c r="AS1930" s="1194">
        <f t="shared" si="421"/>
        <v>1</v>
      </c>
      <c r="AT1930" s="1194">
        <f t="shared" si="422"/>
        <v>1</v>
      </c>
      <c r="AU1930" s="1194" t="str">
        <f t="shared" si="411"/>
        <v>.</v>
      </c>
      <c r="AV1930" s="1194" t="str">
        <f t="shared" si="414"/>
        <v>.</v>
      </c>
      <c r="AW1930" s="1194" t="str">
        <f t="shared" si="423"/>
        <v>.</v>
      </c>
      <c r="AX1930" s="1194">
        <f>IFERROR(VLOOKUP(B1930,'Share, Heavy Weapons to Ukraine'!B:Z,COLUMN('Share, Heavy Weapons to Ukraine'!C1938)-1,0),0)</f>
        <v>1</v>
      </c>
      <c r="AY1930" s="1194">
        <f>VLOOKUP('Bilateral Assistance, MAIN DATA'!B1930,'Country Summary (€)'!B:F,COLUMN('Country Summary (€)'!C1939)-1,FALSE)</f>
        <v>0</v>
      </c>
      <c r="AZ1930" s="1194" t="str">
        <f>IF(AND(AD1930=1,D1930="Military",H1930&lt;&gt;"Not given")=TRUE,IF(SUMIFS(P:P,A:A,A1930)&gt;0,ABS((SUMIFS(P:P,A:A,A1930)/VLOOKUP("USD",'Exchange Rates'!B:C,2,0)))/S1930,"."),".")</f>
        <v>.</v>
      </c>
      <c r="BA1930" s="1196" t="str">
        <f>IF(AND(AD1930=1,D1930="Military",H1930&lt;&gt;"Not given")=TRUE,IF(SUMIFS(P:P,A:A,A1930)&gt;0,IF((ABS((SUMIFS(P:P,A:A,A1930)/VLOOKUP("USD",'Exchange Rates'!B:C,2,0)))/S1930)&gt;1,(SUMIFS(P:P,A:A,A1930)-S1930)/S1930,(S1930-SUMIFS(P:P,A:A,A1930))/SUMIFS(P:P,A:A,A1930)),"."),".")</f>
        <v>.</v>
      </c>
      <c r="BB1930" s="1208"/>
      <c r="BC1930" s="1208"/>
      <c r="BD1930" s="1208"/>
      <c r="BE1930" s="1208"/>
      <c r="BF1930" s="1208"/>
      <c r="BG1930" s="1208"/>
      <c r="BH1930" s="1208"/>
      <c r="BI1930" s="1208"/>
      <c r="BJ1930" s="1208"/>
      <c r="BK1930" s="1208"/>
      <c r="BL1930" s="1208"/>
      <c r="BM1930" s="1208"/>
      <c r="BN1930" s="1208"/>
      <c r="BO1930" s="1208"/>
      <c r="BP1930" s="1208"/>
      <c r="BQ1930" s="1208"/>
      <c r="BR1930" s="1208"/>
      <c r="BS1930" s="1208"/>
    </row>
    <row r="1931" spans="1:71" ht="15.95" customHeight="1">
      <c r="A1931" s="1208" t="s">
        <v>4361</v>
      </c>
      <c r="B1931" s="1208" t="s">
        <v>3949</v>
      </c>
      <c r="C1931" s="1209">
        <v>44981</v>
      </c>
      <c r="D1931" s="1208" t="s">
        <v>389</v>
      </c>
      <c r="E1931" s="1208" t="s">
        <v>390</v>
      </c>
      <c r="F1931" s="1208" t="s">
        <v>4374</v>
      </c>
      <c r="G1931" s="1184" t="s">
        <v>456</v>
      </c>
      <c r="H1931" s="1210">
        <v>2000000000</v>
      </c>
      <c r="I1931" s="1208" t="s">
        <v>4379</v>
      </c>
      <c r="J1931" s="1186" t="str">
        <f>VLOOKUP($I1931,'Price List, Weapons &amp; Items'!B:C,2,0)</f>
        <v>Aviation and drones</v>
      </c>
      <c r="K1931" s="1186" t="str">
        <f>IF(I1931=".",I1931,VLOOKUP($I1931,'Price List, Weapons &amp; Items'!B:D,3,0))</f>
        <v>Drone</v>
      </c>
      <c r="L1931" s="1187">
        <f>VLOOKUP(I1931,'Price List, Weapons &amp; Items'!B:E,4,0)</f>
        <v>0</v>
      </c>
      <c r="M1931" s="1188" t="s">
        <v>374</v>
      </c>
      <c r="N1931" s="1188" t="s">
        <v>374</v>
      </c>
      <c r="O1931" s="1188">
        <f>VLOOKUP($I1931,'Price List, Weapons &amp; Items'!B:G,6,0)</f>
        <v>8000000</v>
      </c>
      <c r="P1931" s="1185" t="str">
        <f t="shared" si="415"/>
        <v>.</v>
      </c>
      <c r="Q1931" s="1185" t="str">
        <f t="shared" si="416"/>
        <v>.</v>
      </c>
      <c r="R1931" s="1185" t="str">
        <f t="shared" si="412"/>
        <v/>
      </c>
      <c r="S1931" s="1185" t="str">
        <f>IF(AND(AD1931=1,R1931&lt;&gt;".")=TRUE,R1931/VLOOKUP(G1931,'Exchange Rates'!B:C,2,0),IF(R1931=".",".",""))</f>
        <v/>
      </c>
      <c r="T1931" s="1185" t="str">
        <f>IF(AD1931=1,IF(AF1931="Value is not given at all",".",IF(AF1931="Value is given by the source",S1931,IF(AF1931="Value is calculated with prices",(IF(SUMIFS(Q:Q,A:A,A1931)&gt;0,SUMIFS(Q:Q,A:A,A1931),"."))/VLOOKUP("USD",'Exchange Rates'!B:C,2,0),"Error with coding"))),"")</f>
        <v/>
      </c>
      <c r="U1931" s="1191" t="s">
        <v>365</v>
      </c>
      <c r="V1931" s="966" t="s">
        <v>4375</v>
      </c>
      <c r="W1931" s="966" t="s">
        <v>3989</v>
      </c>
      <c r="X1931" s="1208" t="s">
        <v>364</v>
      </c>
      <c r="Y1931" s="1208" t="s">
        <v>364</v>
      </c>
      <c r="Z1931" s="1191">
        <v>0</v>
      </c>
      <c r="AA1931" s="1191">
        <v>1</v>
      </c>
      <c r="AB1931" s="1208" t="s">
        <v>364</v>
      </c>
      <c r="AC1931" s="1192" t="str">
        <f>""</f>
        <v/>
      </c>
      <c r="AD1931" s="1193">
        <v>0</v>
      </c>
      <c r="AE1931" s="1191" t="s">
        <v>368</v>
      </c>
      <c r="AF1931" s="1191" t="s">
        <v>369</v>
      </c>
      <c r="AG1931" s="1193">
        <v>1</v>
      </c>
      <c r="AH1931" s="1191">
        <v>14</v>
      </c>
      <c r="AI1931" s="1193">
        <v>0</v>
      </c>
      <c r="AJ1931" s="1193">
        <f>VLOOKUP($I1931,'Price List, Weapons &amp; Items'!B:F,5,0)</f>
        <v>0</v>
      </c>
      <c r="AK1931" s="1193">
        <f t="shared" si="417"/>
        <v>0</v>
      </c>
      <c r="AL1931" s="1193">
        <f t="shared" si="418"/>
        <v>0</v>
      </c>
      <c r="AM1931" s="1193">
        <f t="shared" si="419"/>
        <v>0</v>
      </c>
      <c r="AN1931" s="1194" t="str">
        <f>VLOOKUP($I1931,'Price List, Weapons &amp; Items'!B:L,COLUMN('Price List, Weapons &amp; Items'!$J$11)-1,0)</f>
        <v>Military media (incl. websites)</v>
      </c>
      <c r="AO1931" s="1194" t="str">
        <f>IF(I1931=".",".",VLOOKUP($I1931,'Price List, Weapons &amp; Items'!B:J,3,0))</f>
        <v>Drone</v>
      </c>
      <c r="AP1931" s="1195" t="str">
        <f t="shared" ca="1" si="413"/>
        <v/>
      </c>
      <c r="AQ1931" s="1194" t="str">
        <f>VLOOKUP($I1931,'Price List, Weapons &amp; Items'!B:L,COLUMN('Price List, Weapons &amp; Items'!$L$11)-1,0)</f>
        <v>no price, 0 count</v>
      </c>
      <c r="AR1931" s="1194">
        <f t="shared" si="420"/>
        <v>1</v>
      </c>
      <c r="AS1931" s="1194">
        <f t="shared" si="421"/>
        <v>1</v>
      </c>
      <c r="AT1931" s="1194">
        <f t="shared" si="422"/>
        <v>1</v>
      </c>
      <c r="AU1931" s="1194" t="str">
        <f t="shared" si="411"/>
        <v>.</v>
      </c>
      <c r="AV1931" s="1194" t="str">
        <f t="shared" si="414"/>
        <v>.</v>
      </c>
      <c r="AW1931" s="1194" t="str">
        <f t="shared" si="423"/>
        <v>.</v>
      </c>
      <c r="AX1931" s="1194">
        <f>IFERROR(VLOOKUP(B1931,'Share, Heavy Weapons to Ukraine'!B:Z,COLUMN('Share, Heavy Weapons to Ukraine'!C1939)-1,0),0)</f>
        <v>1</v>
      </c>
      <c r="AY1931" s="1194">
        <f>VLOOKUP('Bilateral Assistance, MAIN DATA'!B1931,'Country Summary (€)'!B:F,COLUMN('Country Summary (€)'!C1940)-1,FALSE)</f>
        <v>0</v>
      </c>
      <c r="AZ1931" s="1194" t="str">
        <f>IF(AND(AD1931=1,D1931="Military",H1931&lt;&gt;"Not given")=TRUE,IF(SUMIFS(P:P,A:A,A1931)&gt;0,ABS((SUMIFS(P:P,A:A,A1931)/VLOOKUP("USD",'Exchange Rates'!B:C,2,0)))/S1931,"."),".")</f>
        <v>.</v>
      </c>
      <c r="BA1931" s="1196" t="str">
        <f>IF(AND(AD1931=1,D1931="Military",H1931&lt;&gt;"Not given")=TRUE,IF(SUMIFS(P:P,A:A,A1931)&gt;0,IF((ABS((SUMIFS(P:P,A:A,A1931)/VLOOKUP("USD",'Exchange Rates'!B:C,2,0)))/S1931)&gt;1,(SUMIFS(P:P,A:A,A1931)-S1931)/S1931,(S1931-SUMIFS(P:P,A:A,A1931))/SUMIFS(P:P,A:A,A1931)),"."),".")</f>
        <v>.</v>
      </c>
      <c r="BB1931" s="1208"/>
      <c r="BC1931" s="1208"/>
      <c r="BD1931" s="1208"/>
      <c r="BE1931" s="1208"/>
      <c r="BF1931" s="1208"/>
      <c r="BG1931" s="1208"/>
      <c r="BH1931" s="1208"/>
      <c r="BI1931" s="1208"/>
      <c r="BJ1931" s="1208"/>
      <c r="BK1931" s="1208"/>
      <c r="BL1931" s="1208"/>
      <c r="BM1931" s="1208"/>
      <c r="BN1931" s="1208"/>
      <c r="BO1931" s="1208"/>
      <c r="BP1931" s="1208"/>
      <c r="BQ1931" s="1208"/>
      <c r="BR1931" s="1208"/>
      <c r="BS1931" s="1208"/>
    </row>
    <row r="1932" spans="1:71" ht="15.95" customHeight="1">
      <c r="A1932" s="1208" t="s">
        <v>4361</v>
      </c>
      <c r="B1932" s="1208" t="s">
        <v>3949</v>
      </c>
      <c r="C1932" s="1209">
        <v>44981</v>
      </c>
      <c r="D1932" s="1208" t="s">
        <v>389</v>
      </c>
      <c r="E1932" s="1208" t="s">
        <v>390</v>
      </c>
      <c r="F1932" s="1208" t="s">
        <v>4374</v>
      </c>
      <c r="G1932" s="1184" t="s">
        <v>456</v>
      </c>
      <c r="H1932" s="1210">
        <v>2000000000</v>
      </c>
      <c r="I1932" s="1208" t="s">
        <v>4372</v>
      </c>
      <c r="J1932" s="1186" t="str">
        <f>VLOOKUP($I1932,'Price List, Weapons &amp; Items'!B:C,2,0)</f>
        <v>Aviation and drones</v>
      </c>
      <c r="K1932" s="1186" t="str">
        <f>IF(I1932=".",I1932,VLOOKUP($I1932,'Price List, Weapons &amp; Items'!B:D,3,0))</f>
        <v>Drone</v>
      </c>
      <c r="L1932" s="1187">
        <f>VLOOKUP(I1932,'Price List, Weapons &amp; Items'!B:E,4,0)</f>
        <v>0</v>
      </c>
      <c r="M1932" s="1188" t="s">
        <v>374</v>
      </c>
      <c r="N1932" s="1188" t="s">
        <v>374</v>
      </c>
      <c r="O1932" s="1188">
        <f>VLOOKUP($I1932,'Price List, Weapons &amp; Items'!B:G,6,0)</f>
        <v>15000000</v>
      </c>
      <c r="P1932" s="1185" t="str">
        <f t="shared" si="415"/>
        <v>.</v>
      </c>
      <c r="Q1932" s="1185" t="str">
        <f t="shared" si="416"/>
        <v>.</v>
      </c>
      <c r="R1932" s="1185" t="str">
        <f t="shared" si="412"/>
        <v/>
      </c>
      <c r="S1932" s="1185" t="str">
        <f>IF(AND(AD1932=1,R1932&lt;&gt;".")=TRUE,R1932/VLOOKUP(G1932,'Exchange Rates'!B:C,2,0),IF(R1932=".",".",""))</f>
        <v/>
      </c>
      <c r="T1932" s="1185" t="str">
        <f>IF(AD1932=1,IF(AF1932="Value is not given at all",".",IF(AF1932="Value is given by the source",S1932,IF(AF1932="Value is calculated with prices",(IF(SUMIFS(Q:Q,A:A,A1932)&gt;0,SUMIFS(Q:Q,A:A,A1932),"."))/VLOOKUP("USD",'Exchange Rates'!B:C,2,0),"Error with coding"))),"")</f>
        <v/>
      </c>
      <c r="U1932" s="1191" t="s">
        <v>365</v>
      </c>
      <c r="V1932" s="966" t="s">
        <v>4375</v>
      </c>
      <c r="W1932" s="966" t="s">
        <v>3989</v>
      </c>
      <c r="X1932" s="1208" t="s">
        <v>364</v>
      </c>
      <c r="Y1932" s="1208" t="s">
        <v>364</v>
      </c>
      <c r="Z1932" s="1191">
        <v>0</v>
      </c>
      <c r="AA1932" s="1191">
        <v>1</v>
      </c>
      <c r="AB1932" s="1208" t="s">
        <v>364</v>
      </c>
      <c r="AC1932" s="1192" t="str">
        <f>""</f>
        <v/>
      </c>
      <c r="AD1932" s="1193">
        <v>0</v>
      </c>
      <c r="AE1932" s="1191" t="s">
        <v>368</v>
      </c>
      <c r="AF1932" s="1191" t="s">
        <v>369</v>
      </c>
      <c r="AG1932" s="1193">
        <v>1</v>
      </c>
      <c r="AH1932" s="1191">
        <v>14</v>
      </c>
      <c r="AI1932" s="1193">
        <v>0</v>
      </c>
      <c r="AJ1932" s="1193">
        <f>VLOOKUP($I1932,'Price List, Weapons &amp; Items'!B:F,5,0)</f>
        <v>0</v>
      </c>
      <c r="AK1932" s="1193">
        <f t="shared" si="417"/>
        <v>0</v>
      </c>
      <c r="AL1932" s="1193">
        <f t="shared" si="418"/>
        <v>0</v>
      </c>
      <c r="AM1932" s="1193">
        <f t="shared" si="419"/>
        <v>0</v>
      </c>
      <c r="AN1932" s="1194" t="str">
        <f>VLOOKUP($I1932,'Price List, Weapons &amp; Items'!B:L,COLUMN('Price List, Weapons &amp; Items'!$J$11)-1,0)</f>
        <v>Miscellaneous</v>
      </c>
      <c r="AO1932" s="1194" t="str">
        <f>IF(I1932=".",".",VLOOKUP($I1932,'Price List, Weapons &amp; Items'!B:J,3,0))</f>
        <v>Drone</v>
      </c>
      <c r="AP1932" s="1195" t="str">
        <f t="shared" ca="1" si="413"/>
        <v/>
      </c>
      <c r="AQ1932" s="1194" t="str">
        <f>VLOOKUP($I1932,'Price List, Weapons &amp; Items'!B:L,COLUMN('Price List, Weapons &amp; Items'!$L$11)-1,0)</f>
        <v>no price, 0 count</v>
      </c>
      <c r="AR1932" s="1194">
        <f t="shared" si="420"/>
        <v>1</v>
      </c>
      <c r="AS1932" s="1194">
        <f t="shared" si="421"/>
        <v>1</v>
      </c>
      <c r="AT1932" s="1194">
        <f t="shared" si="422"/>
        <v>1</v>
      </c>
      <c r="AU1932" s="1194" t="str">
        <f t="shared" si="411"/>
        <v>.</v>
      </c>
      <c r="AV1932" s="1194" t="str">
        <f t="shared" si="414"/>
        <v>.</v>
      </c>
      <c r="AW1932" s="1194" t="str">
        <f t="shared" si="423"/>
        <v>.</v>
      </c>
      <c r="AX1932" s="1194">
        <f>IFERROR(VLOOKUP(B1932,'Share, Heavy Weapons to Ukraine'!B:Z,COLUMN('Share, Heavy Weapons to Ukraine'!C1940)-1,0),0)</f>
        <v>1</v>
      </c>
      <c r="AY1932" s="1194">
        <f>VLOOKUP('Bilateral Assistance, MAIN DATA'!B1932,'Country Summary (€)'!B:F,COLUMN('Country Summary (€)'!C1941)-1,FALSE)</f>
        <v>0</v>
      </c>
      <c r="AZ1932" s="1194" t="str">
        <f>IF(AND(AD1932=1,D1932="Military",H1932&lt;&gt;"Not given")=TRUE,IF(SUMIFS(P:P,A:A,A1932)&gt;0,ABS((SUMIFS(P:P,A:A,A1932)/VLOOKUP("USD",'Exchange Rates'!B:C,2,0)))/S1932,"."),".")</f>
        <v>.</v>
      </c>
      <c r="BA1932" s="1196" t="str">
        <f>IF(AND(AD1932=1,D1932="Military",H1932&lt;&gt;"Not given")=TRUE,IF(SUMIFS(P:P,A:A,A1932)&gt;0,IF((ABS((SUMIFS(P:P,A:A,A1932)/VLOOKUP("USD",'Exchange Rates'!B:C,2,0)))/S1932)&gt;1,(SUMIFS(P:P,A:A,A1932)-S1932)/S1932,(S1932-SUMIFS(P:P,A:A,A1932))/SUMIFS(P:P,A:A,A1932)),"."),".")</f>
        <v>.</v>
      </c>
      <c r="BB1932" s="1208"/>
      <c r="BC1932" s="1208"/>
      <c r="BD1932" s="1208"/>
      <c r="BE1932" s="1208"/>
      <c r="BF1932" s="1208"/>
      <c r="BG1932" s="1208"/>
      <c r="BH1932" s="1208"/>
      <c r="BI1932" s="1208"/>
      <c r="BJ1932" s="1208"/>
      <c r="BK1932" s="1208"/>
      <c r="BL1932" s="1208"/>
      <c r="BM1932" s="1208"/>
      <c r="BN1932" s="1208"/>
      <c r="BO1932" s="1208"/>
      <c r="BP1932" s="1208"/>
      <c r="BQ1932" s="1208"/>
      <c r="BR1932" s="1208"/>
      <c r="BS1932" s="1208"/>
    </row>
    <row r="1933" spans="1:71" ht="15.95" customHeight="1">
      <c r="A1933" s="1208" t="s">
        <v>4361</v>
      </c>
      <c r="B1933" s="1208" t="s">
        <v>3949</v>
      </c>
      <c r="C1933" s="1209">
        <v>44981</v>
      </c>
      <c r="D1933" s="1208" t="s">
        <v>389</v>
      </c>
      <c r="E1933" s="1208" t="s">
        <v>390</v>
      </c>
      <c r="F1933" s="1208" t="s">
        <v>4374</v>
      </c>
      <c r="G1933" s="1184" t="s">
        <v>456</v>
      </c>
      <c r="H1933" s="1210">
        <v>2000000000</v>
      </c>
      <c r="I1933" s="1208" t="s">
        <v>1852</v>
      </c>
      <c r="J1933" s="1186" t="str">
        <f>VLOOKUP($I1933,'Price List, Weapons &amp; Items'!B:C,2,0)</f>
        <v>Military equipment</v>
      </c>
      <c r="K1933" s="1186" t="str">
        <f>IF(I1933=".",I1933,VLOOKUP($I1933,'Price List, Weapons &amp; Items'!B:D,3,0))</f>
        <v>Military equipment</v>
      </c>
      <c r="L1933" s="1187">
        <f>VLOOKUP(I1933,'Price List, Weapons &amp; Items'!B:E,4,0)</f>
        <v>0</v>
      </c>
      <c r="M1933" s="1188" t="s">
        <v>374</v>
      </c>
      <c r="N1933" s="1188" t="s">
        <v>374</v>
      </c>
      <c r="O1933" s="1188" t="str">
        <f>VLOOKUP($I1933,'Price List, Weapons &amp; Items'!B:G,6,0)</f>
        <v>.</v>
      </c>
      <c r="P1933" s="1185" t="str">
        <f t="shared" si="415"/>
        <v>.</v>
      </c>
      <c r="Q1933" s="1185" t="str">
        <f t="shared" si="416"/>
        <v>.</v>
      </c>
      <c r="R1933" s="1185" t="str">
        <f t="shared" si="412"/>
        <v/>
      </c>
      <c r="S1933" s="1185" t="str">
        <f>IF(AND(AD1933=1,R1933&lt;&gt;".")=TRUE,R1933/VLOOKUP(G1933,'Exchange Rates'!B:C,2,0),IF(R1933=".",".",""))</f>
        <v/>
      </c>
      <c r="T1933" s="1185" t="str">
        <f>IF(AD1933=1,IF(AF1933="Value is not given at all",".",IF(AF1933="Value is given by the source",S1933,IF(AF1933="Value is calculated with prices",(IF(SUMIFS(Q:Q,A:A,A1933)&gt;0,SUMIFS(Q:Q,A:A,A1933),"."))/VLOOKUP("USD",'Exchange Rates'!B:C,2,0),"Error with coding"))),"")</f>
        <v/>
      </c>
      <c r="U1933" s="1191" t="s">
        <v>365</v>
      </c>
      <c r="V1933" s="966" t="s">
        <v>4375</v>
      </c>
      <c r="W1933" s="966" t="s">
        <v>3989</v>
      </c>
      <c r="X1933" s="1208" t="s">
        <v>364</v>
      </c>
      <c r="Y1933" s="1208" t="s">
        <v>364</v>
      </c>
      <c r="Z1933" s="1191">
        <v>0</v>
      </c>
      <c r="AA1933" s="1191">
        <v>1</v>
      </c>
      <c r="AB1933" s="1208" t="s">
        <v>364</v>
      </c>
      <c r="AC1933" s="1192" t="str">
        <f>""</f>
        <v/>
      </c>
      <c r="AD1933" s="1193">
        <v>0</v>
      </c>
      <c r="AE1933" s="1191" t="s">
        <v>368</v>
      </c>
      <c r="AF1933" s="1191" t="s">
        <v>369</v>
      </c>
      <c r="AG1933" s="1193">
        <v>1</v>
      </c>
      <c r="AH1933" s="1191">
        <v>14</v>
      </c>
      <c r="AI1933" s="1193">
        <v>0</v>
      </c>
      <c r="AJ1933" s="1193">
        <f>VLOOKUP($I1933,'Price List, Weapons &amp; Items'!B:F,5,0)</f>
        <v>0</v>
      </c>
      <c r="AK1933" s="1193">
        <f t="shared" si="417"/>
        <v>0</v>
      </c>
      <c r="AL1933" s="1193">
        <f t="shared" si="418"/>
        <v>0</v>
      </c>
      <c r="AM1933" s="1193">
        <f t="shared" si="419"/>
        <v>0</v>
      </c>
      <c r="AN1933" s="1194" t="str">
        <f>VLOOKUP($I1933,'Price List, Weapons &amp; Items'!B:L,COLUMN('Price List, Weapons &amp; Items'!$J$11)-1,0)</f>
        <v>.</v>
      </c>
      <c r="AO1933" s="1194" t="str">
        <f>IF(I1933=".",".",VLOOKUP($I1933,'Price List, Weapons &amp; Items'!B:J,3,0))</f>
        <v>Military equipment</v>
      </c>
      <c r="AP1933" s="1195" t="str">
        <f t="shared" ca="1" si="413"/>
        <v/>
      </c>
      <c r="AQ1933" s="1194">
        <f>VLOOKUP($I1933,'Price List, Weapons &amp; Items'!B:L,COLUMN('Price List, Weapons &amp; Items'!$L$11)-1,0)</f>
        <v>0</v>
      </c>
      <c r="AR1933" s="1194">
        <f t="shared" si="420"/>
        <v>1</v>
      </c>
      <c r="AS1933" s="1194">
        <f t="shared" si="421"/>
        <v>1</v>
      </c>
      <c r="AT1933" s="1194">
        <f t="shared" si="422"/>
        <v>1</v>
      </c>
      <c r="AU1933" s="1194" t="str">
        <f t="shared" si="411"/>
        <v>.</v>
      </c>
      <c r="AV1933" s="1194" t="str">
        <f t="shared" si="414"/>
        <v>.</v>
      </c>
      <c r="AW1933" s="1194" t="str">
        <f t="shared" si="423"/>
        <v>.</v>
      </c>
      <c r="AX1933" s="1194">
        <f>IFERROR(VLOOKUP(B1933,'Share, Heavy Weapons to Ukraine'!B:Z,COLUMN('Share, Heavy Weapons to Ukraine'!C1941)-1,0),0)</f>
        <v>1</v>
      </c>
      <c r="AY1933" s="1194">
        <f>VLOOKUP('Bilateral Assistance, MAIN DATA'!B1933,'Country Summary (€)'!B:F,COLUMN('Country Summary (€)'!C1942)-1,FALSE)</f>
        <v>0</v>
      </c>
      <c r="AZ1933" s="1194" t="str">
        <f>IF(AND(AD1933=1,D1933="Military",H1933&lt;&gt;"Not given")=TRUE,IF(SUMIFS(P:P,A:A,A1933)&gt;0,ABS((SUMIFS(P:P,A:A,A1933)/VLOOKUP("USD",'Exchange Rates'!B:C,2,0)))/S1933,"."),".")</f>
        <v>.</v>
      </c>
      <c r="BA1933" s="1196" t="str">
        <f>IF(AND(AD1933=1,D1933="Military",H1933&lt;&gt;"Not given")=TRUE,IF(SUMIFS(P:P,A:A,A1933)&gt;0,IF((ABS((SUMIFS(P:P,A:A,A1933)/VLOOKUP("USD",'Exchange Rates'!B:C,2,0)))/S1933)&gt;1,(SUMIFS(P:P,A:A,A1933)-S1933)/S1933,(S1933-SUMIFS(P:P,A:A,A1933))/SUMIFS(P:P,A:A,A1933)),"."),".")</f>
        <v>.</v>
      </c>
      <c r="BB1933" s="1208"/>
      <c r="BC1933" s="1208"/>
      <c r="BD1933" s="1208"/>
      <c r="BE1933" s="1208"/>
      <c r="BF1933" s="1208"/>
      <c r="BG1933" s="1208"/>
      <c r="BH1933" s="1208"/>
      <c r="BI1933" s="1208"/>
      <c r="BJ1933" s="1208"/>
      <c r="BK1933" s="1208"/>
      <c r="BL1933" s="1208"/>
      <c r="BM1933" s="1208"/>
      <c r="BN1933" s="1208"/>
      <c r="BO1933" s="1208"/>
      <c r="BP1933" s="1208"/>
      <c r="BQ1933" s="1208"/>
      <c r="BR1933" s="1208"/>
      <c r="BS1933" s="1208"/>
    </row>
    <row r="1934" spans="1:71" ht="15.95" customHeight="1">
      <c r="A1934" s="1208" t="s">
        <v>4361</v>
      </c>
      <c r="B1934" s="1208" t="s">
        <v>3949</v>
      </c>
      <c r="C1934" s="1209">
        <v>44981</v>
      </c>
      <c r="D1934" s="1208" t="s">
        <v>389</v>
      </c>
      <c r="E1934" s="1208" t="s">
        <v>390</v>
      </c>
      <c r="F1934" s="1208" t="s">
        <v>4374</v>
      </c>
      <c r="G1934" s="1184" t="s">
        <v>456</v>
      </c>
      <c r="H1934" s="1210">
        <v>2000000000</v>
      </c>
      <c r="I1934" s="1208" t="s">
        <v>4380</v>
      </c>
      <c r="J1934" s="1186" t="str">
        <f>VLOOKUP($I1934,'Price List, Weapons &amp; Items'!B:C,2,0)</f>
        <v>Military equipment</v>
      </c>
      <c r="K1934" s="1186" t="str">
        <f>IF(I1934=".",I1934,VLOOKUP($I1934,'Price List, Weapons &amp; Items'!B:D,3,0))</f>
        <v>Military equipment</v>
      </c>
      <c r="L1934" s="1187">
        <f>VLOOKUP(I1934,'Price List, Weapons &amp; Items'!B:E,4,0)</f>
        <v>0</v>
      </c>
      <c r="M1934" s="1188" t="s">
        <v>374</v>
      </c>
      <c r="N1934" s="1188" t="s">
        <v>374</v>
      </c>
      <c r="O1934" s="1188" t="str">
        <f>VLOOKUP($I1934,'Price List, Weapons &amp; Items'!B:G,6,0)</f>
        <v>.</v>
      </c>
      <c r="P1934" s="1185" t="str">
        <f t="shared" si="415"/>
        <v>.</v>
      </c>
      <c r="Q1934" s="1185" t="str">
        <f t="shared" si="416"/>
        <v>.</v>
      </c>
      <c r="R1934" s="1185" t="str">
        <f t="shared" si="412"/>
        <v/>
      </c>
      <c r="S1934" s="1185" t="str">
        <f>IF(AND(AD1934=1,R1934&lt;&gt;".")=TRUE,R1934/VLOOKUP(G1934,'Exchange Rates'!B:C,2,0),IF(R1934=".",".",""))</f>
        <v/>
      </c>
      <c r="T1934" s="1185" t="str">
        <f>IF(AD1934=1,IF(AF1934="Value is not given at all",".",IF(AF1934="Value is given by the source",S1934,IF(AF1934="Value is calculated with prices",(IF(SUMIFS(Q:Q,A:A,A1934)&gt;0,SUMIFS(Q:Q,A:A,A1934),"."))/VLOOKUP("USD",'Exchange Rates'!B:C,2,0),"Error with coding"))),"")</f>
        <v/>
      </c>
      <c r="U1934" s="1191" t="s">
        <v>365</v>
      </c>
      <c r="V1934" s="966" t="s">
        <v>4375</v>
      </c>
      <c r="W1934" s="966" t="s">
        <v>3989</v>
      </c>
      <c r="X1934" s="1208" t="s">
        <v>364</v>
      </c>
      <c r="Y1934" s="1208" t="s">
        <v>364</v>
      </c>
      <c r="Z1934" s="1191">
        <v>0</v>
      </c>
      <c r="AA1934" s="1191">
        <v>1</v>
      </c>
      <c r="AB1934" s="1208" t="s">
        <v>364</v>
      </c>
      <c r="AC1934" s="1192" t="str">
        <f>""</f>
        <v/>
      </c>
      <c r="AD1934" s="1193">
        <v>0</v>
      </c>
      <c r="AE1934" s="1191" t="s">
        <v>368</v>
      </c>
      <c r="AF1934" s="1191" t="s">
        <v>369</v>
      </c>
      <c r="AG1934" s="1193">
        <v>1</v>
      </c>
      <c r="AH1934" s="1191">
        <v>14</v>
      </c>
      <c r="AI1934" s="1193">
        <v>0</v>
      </c>
      <c r="AJ1934" s="1193">
        <f>VLOOKUP($I1934,'Price List, Weapons &amp; Items'!B:F,5,0)</f>
        <v>0</v>
      </c>
      <c r="AK1934" s="1193">
        <f t="shared" si="417"/>
        <v>0</v>
      </c>
      <c r="AL1934" s="1193">
        <f t="shared" si="418"/>
        <v>0</v>
      </c>
      <c r="AM1934" s="1193">
        <f t="shared" si="419"/>
        <v>0</v>
      </c>
      <c r="AN1934" s="1194" t="str">
        <f>VLOOKUP($I1934,'Price List, Weapons &amp; Items'!B:L,COLUMN('Price List, Weapons &amp; Items'!$J$11)-1,0)</f>
        <v>.</v>
      </c>
      <c r="AO1934" s="1194" t="str">
        <f>IF(I1934=".",".",VLOOKUP($I1934,'Price List, Weapons &amp; Items'!B:J,3,0))</f>
        <v>Military equipment</v>
      </c>
      <c r="AP1934" s="1195" t="str">
        <f t="shared" ca="1" si="413"/>
        <v/>
      </c>
      <c r="AQ1934" s="1194" t="str">
        <f>VLOOKUP($I1934,'Price List, Weapons &amp; Items'!B:L,COLUMN('Price List, Weapons &amp; Items'!$L$11)-1,0)</f>
        <v>no price, 0 count</v>
      </c>
      <c r="AR1934" s="1194">
        <f t="shared" si="420"/>
        <v>1</v>
      </c>
      <c r="AS1934" s="1194">
        <f t="shared" si="421"/>
        <v>1</v>
      </c>
      <c r="AT1934" s="1194">
        <f t="shared" si="422"/>
        <v>1</v>
      </c>
      <c r="AU1934" s="1194" t="str">
        <f t="shared" si="411"/>
        <v>.</v>
      </c>
      <c r="AV1934" s="1194" t="str">
        <f t="shared" si="414"/>
        <v>.</v>
      </c>
      <c r="AW1934" s="1194" t="str">
        <f t="shared" si="423"/>
        <v>.</v>
      </c>
      <c r="AX1934" s="1194">
        <f>IFERROR(VLOOKUP(B1934,'Share, Heavy Weapons to Ukraine'!B:Z,COLUMN('Share, Heavy Weapons to Ukraine'!C1942)-1,0),0)</f>
        <v>1</v>
      </c>
      <c r="AY1934" s="1194">
        <f>VLOOKUP('Bilateral Assistance, MAIN DATA'!B1934,'Country Summary (€)'!B:F,COLUMN('Country Summary (€)'!C1943)-1,FALSE)</f>
        <v>0</v>
      </c>
      <c r="AZ1934" s="1194" t="str">
        <f>IF(AND(AD1934=1,D1934="Military",H1934&lt;&gt;"Not given")=TRUE,IF(SUMIFS(P:P,A:A,A1934)&gt;0,ABS((SUMIFS(P:P,A:A,A1934)/VLOOKUP("USD",'Exchange Rates'!B:C,2,0)))/S1934,"."),".")</f>
        <v>.</v>
      </c>
      <c r="BA1934" s="1196" t="str">
        <f>IF(AND(AD1934=1,D1934="Military",H1934&lt;&gt;"Not given")=TRUE,IF(SUMIFS(P:P,A:A,A1934)&gt;0,IF((ABS((SUMIFS(P:P,A:A,A1934)/VLOOKUP("USD",'Exchange Rates'!B:C,2,0)))/S1934)&gt;1,(SUMIFS(P:P,A:A,A1934)-S1934)/S1934,(S1934-SUMIFS(P:P,A:A,A1934))/SUMIFS(P:P,A:A,A1934)),"."),".")</f>
        <v>.</v>
      </c>
      <c r="BB1934" s="1208"/>
      <c r="BC1934" s="1208"/>
      <c r="BD1934" s="1208"/>
      <c r="BE1934" s="1208"/>
      <c r="BF1934" s="1208"/>
      <c r="BG1934" s="1208"/>
      <c r="BH1934" s="1208"/>
      <c r="BI1934" s="1208"/>
      <c r="BJ1934" s="1208"/>
      <c r="BK1934" s="1208"/>
      <c r="BL1934" s="1208"/>
      <c r="BM1934" s="1208"/>
      <c r="BN1934" s="1208"/>
      <c r="BO1934" s="1208"/>
      <c r="BP1934" s="1208"/>
      <c r="BQ1934" s="1208"/>
      <c r="BR1934" s="1208"/>
      <c r="BS1934" s="1208"/>
    </row>
    <row r="1935" spans="1:71" ht="16.899999999999999" customHeight="1">
      <c r="A1935" s="1208" t="s">
        <v>4361</v>
      </c>
      <c r="B1935" s="1208" t="s">
        <v>3949</v>
      </c>
      <c r="C1935" s="1209">
        <v>45020</v>
      </c>
      <c r="D1935" s="1208" t="s">
        <v>389</v>
      </c>
      <c r="E1935" s="1208" t="s">
        <v>390</v>
      </c>
      <c r="F1935" s="1208" t="s">
        <v>4381</v>
      </c>
      <c r="G1935" s="1184" t="s">
        <v>456</v>
      </c>
      <c r="H1935" s="1210">
        <v>2100000000</v>
      </c>
      <c r="I1935" s="1208" t="s">
        <v>865</v>
      </c>
      <c r="J1935" s="1186" t="str">
        <f>VLOOKUP($I1935,'Price List, Weapons &amp; Items'!B:C,2,0)</f>
        <v>Ammunition for Heavy Weapon</v>
      </c>
      <c r="K1935" s="1186" t="str">
        <f>IF(I1935=".",I1935,VLOOKUP($I1935,'Price List, Weapons &amp; Items'!B:D,3,0))</f>
        <v>Missile</v>
      </c>
      <c r="L1935" s="1187">
        <f>VLOOKUP(I1935,'Price List, Weapons &amp; Items'!B:E,4,0)</f>
        <v>0</v>
      </c>
      <c r="M1935" s="1188" t="s">
        <v>374</v>
      </c>
      <c r="N1935" s="1188" t="s">
        <v>374</v>
      </c>
      <c r="O1935" s="1188">
        <f>VLOOKUP($I1935,'Price List, Weapons &amp; Items'!B:G,6,0)</f>
        <v>1090000</v>
      </c>
      <c r="P1935" s="1185" t="str">
        <f t="shared" si="415"/>
        <v>.</v>
      </c>
      <c r="Q1935" s="1185" t="str">
        <f t="shared" si="416"/>
        <v>.</v>
      </c>
      <c r="R1935" s="1185" t="str">
        <f t="shared" si="412"/>
        <v/>
      </c>
      <c r="S1935" s="1185" t="str">
        <f>IF(AND(AD1935=1,R1935&lt;&gt;".")=TRUE,R1935/VLOOKUP(G1935,'Exchange Rates'!B:C,2,0),IF(R1935=".",".",""))</f>
        <v/>
      </c>
      <c r="T1935" s="1185" t="str">
        <f>IF(AD1935=1,IF(AF1935="Value is not given at all",".",IF(AF1935="Value is given by the source",S1935,IF(AF1935="Value is calculated with prices",(IF(SUMIFS(Q:Q,A:A,A1935)&gt;0,SUMIFS(Q:Q,A:A,A1935),"."))/VLOOKUP("USD",'Exchange Rates'!B:C,2,0),"Error with coding"))),"")</f>
        <v/>
      </c>
      <c r="U1935" s="1191" t="s">
        <v>365</v>
      </c>
      <c r="V1935" s="983" t="s">
        <v>4344</v>
      </c>
      <c r="W1935" s="983" t="s">
        <v>4339</v>
      </c>
      <c r="X1935" s="1208" t="s">
        <v>364</v>
      </c>
      <c r="Y1935" s="1208" t="s">
        <v>364</v>
      </c>
      <c r="Z1935" s="1191">
        <v>0</v>
      </c>
      <c r="AA1935" s="1191">
        <v>0</v>
      </c>
      <c r="AB1935" s="1208" t="s">
        <v>364</v>
      </c>
      <c r="AC1935" s="1192" t="str">
        <f>""</f>
        <v/>
      </c>
      <c r="AD1935" s="1193">
        <v>0</v>
      </c>
      <c r="AE1935" s="1191" t="s">
        <v>368</v>
      </c>
      <c r="AF1935" s="1191" t="s">
        <v>369</v>
      </c>
      <c r="AG1935" s="1193">
        <v>1</v>
      </c>
      <c r="AH1935" s="1191">
        <v>16</v>
      </c>
      <c r="AI1935" s="1193">
        <v>0</v>
      </c>
      <c r="AJ1935" s="1193">
        <f>VLOOKUP($I1935,'Price List, Weapons &amp; Items'!B:F,5,0)</f>
        <v>0</v>
      </c>
      <c r="AK1935" s="1193">
        <f t="shared" si="417"/>
        <v>0</v>
      </c>
      <c r="AL1935" s="1193">
        <f t="shared" si="418"/>
        <v>0</v>
      </c>
      <c r="AM1935" s="1193">
        <f t="shared" si="419"/>
        <v>0</v>
      </c>
      <c r="AN1935" s="1194" t="str">
        <f>VLOOKUP($I1935,'Price List, Weapons &amp; Items'!B:L,COLUMN('Price List, Weapons &amp; Items'!$J$11)-1,0)</f>
        <v>Miscellaneous</v>
      </c>
      <c r="AO1935" s="1194" t="str">
        <f>IF(I1935=".",".",VLOOKUP($I1935,'Price List, Weapons &amp; Items'!B:J,3,0))</f>
        <v>Missile</v>
      </c>
      <c r="AP1935" s="1195" t="str">
        <f t="shared" ca="1" si="413"/>
        <v/>
      </c>
      <c r="AQ1935" s="1194" t="str">
        <f>VLOOKUP($I1935,'Price List, Weapons &amp; Items'!B:L,COLUMN('Price List, Weapons &amp; Items'!$L$11)-1,0)</f>
        <v>no price, 0 count</v>
      </c>
      <c r="AR1935" s="1194">
        <f t="shared" si="420"/>
        <v>1</v>
      </c>
      <c r="AS1935" s="1194">
        <f t="shared" si="421"/>
        <v>1</v>
      </c>
      <c r="AT1935" s="1194">
        <f t="shared" si="422"/>
        <v>1</v>
      </c>
      <c r="AU1935" s="1194" t="str">
        <f t="shared" si="411"/>
        <v>.</v>
      </c>
      <c r="AV1935" s="1194" t="str">
        <f t="shared" si="414"/>
        <v>.</v>
      </c>
      <c r="AW1935" s="1194" t="str">
        <f t="shared" si="423"/>
        <v>.</v>
      </c>
      <c r="AX1935" s="1194">
        <f>IFERROR(VLOOKUP(B1935,'Share, Heavy Weapons to Ukraine'!B:Z,COLUMN('Share, Heavy Weapons to Ukraine'!C1943)-1,0),0)</f>
        <v>1</v>
      </c>
      <c r="AY1935" s="1194">
        <f>VLOOKUP('Bilateral Assistance, MAIN DATA'!B1935,'Country Summary (€)'!B:F,COLUMN('Country Summary (€)'!C1944)-1,FALSE)</f>
        <v>0</v>
      </c>
      <c r="AZ1935" s="1194" t="str">
        <f>IF(AND(AD1935=1,D1935="Military",H1935&lt;&gt;"Not given")=TRUE,IF(SUMIFS(P:P,A:A,A1935)&gt;0,ABS((SUMIFS(P:P,A:A,A1935)/VLOOKUP("USD",'Exchange Rates'!B:C,2,0)))/S1935,"."),".")</f>
        <v>.</v>
      </c>
      <c r="BA1935" s="1196" t="str">
        <f>IF(AND(AD1935=1,D1935="Military",H1935&lt;&gt;"Not given")=TRUE,IF(SUMIFS(P:P,A:A,A1935)&gt;0,IF((ABS((SUMIFS(P:P,A:A,A1935)/VLOOKUP("USD",'Exchange Rates'!B:C,2,0)))/S1935)&gt;1,(SUMIFS(P:P,A:A,A1935)-S1935)/S1935,(S1935-SUMIFS(P:P,A:A,A1935))/SUMIFS(P:P,A:A,A1935)),"."),".")</f>
        <v>.</v>
      </c>
      <c r="BB1935" s="1208"/>
      <c r="BC1935" s="1208"/>
      <c r="BD1935" s="1208"/>
      <c r="BE1935" s="1208"/>
      <c r="BF1935" s="1208"/>
      <c r="BG1935" s="1208"/>
      <c r="BH1935" s="1208"/>
      <c r="BI1935" s="1208"/>
      <c r="BJ1935" s="1208"/>
      <c r="BK1935" s="1208"/>
      <c r="BL1935" s="1208"/>
      <c r="BM1935" s="1208"/>
      <c r="BN1935" s="1208"/>
      <c r="BO1935" s="1208"/>
      <c r="BP1935" s="1208"/>
      <c r="BQ1935" s="1208"/>
      <c r="BR1935" s="1208"/>
      <c r="BS1935" s="1208"/>
    </row>
    <row r="1936" spans="1:71" ht="16.899999999999999" customHeight="1">
      <c r="A1936" s="1208" t="s">
        <v>4361</v>
      </c>
      <c r="B1936" s="1141" t="s">
        <v>3949</v>
      </c>
      <c r="C1936" s="1209">
        <v>45020</v>
      </c>
      <c r="D1936" s="1141" t="s">
        <v>389</v>
      </c>
      <c r="E1936" s="1141" t="s">
        <v>390</v>
      </c>
      <c r="F1936" s="1141" t="s">
        <v>4381</v>
      </c>
      <c r="G1936" s="1115" t="s">
        <v>456</v>
      </c>
      <c r="H1936" s="1210">
        <v>2100000000</v>
      </c>
      <c r="I1936" s="1141" t="s">
        <v>4382</v>
      </c>
      <c r="J1936" s="1186" t="str">
        <f>VLOOKUP($I1936,'Price List, Weapons &amp; Items'!B:C,2,0)</f>
        <v>Heavy weapon</v>
      </c>
      <c r="K1936" s="1186" t="str">
        <f>IF(I1936=".",I1936,VLOOKUP($I1936,'Price List, Weapons &amp; Items'!B:D,3,0))</f>
        <v>Self-propelled anti-aircraft weapon</v>
      </c>
      <c r="L1936" s="1187">
        <f>VLOOKUP(I1936,'Price List, Weapons &amp; Items'!B:E,4,0)</f>
        <v>0</v>
      </c>
      <c r="M1936" s="1188">
        <v>9</v>
      </c>
      <c r="N1936" s="1188" t="s">
        <v>374</v>
      </c>
      <c r="O1936" s="1188">
        <f>VLOOKUP($I1936,'Price List, Weapons &amp; Items'!B:G,6,0)</f>
        <v>1190651.93</v>
      </c>
      <c r="P1936" s="1185">
        <f t="shared" si="415"/>
        <v>10715867.369999999</v>
      </c>
      <c r="Q1936" s="1185" t="str">
        <f t="shared" si="416"/>
        <v>.</v>
      </c>
      <c r="R1936" s="1185" t="str">
        <f t="shared" si="412"/>
        <v/>
      </c>
      <c r="S1936" s="1185" t="str">
        <f>IF(AND(AD1936=1,R1936&lt;&gt;".")=TRUE,R1936/VLOOKUP(G1936,'Exchange Rates'!B:C,2,0),IF(R1936=".",".",""))</f>
        <v/>
      </c>
      <c r="T1936" s="1185" t="str">
        <f>IF(AD1936=1,IF(AF1936="Value is not given at all",".",IF(AF1936="Value is given by the source",S1936,IF(AF1936="Value is calculated with prices",(IF(SUMIFS(Q:Q,A:A,A1936)&gt;0,SUMIFS(Q:Q,A:A,A1936),"."))/VLOOKUP("USD",'Exchange Rates'!B:C,2,0),"Error with coding"))),"")</f>
        <v/>
      </c>
      <c r="U1936" s="1191" t="s">
        <v>365</v>
      </c>
      <c r="V1936" s="983" t="s">
        <v>4344</v>
      </c>
      <c r="W1936" s="983" t="s">
        <v>4339</v>
      </c>
      <c r="X1936" s="1208" t="s">
        <v>364</v>
      </c>
      <c r="Y1936" s="1208" t="s">
        <v>364</v>
      </c>
      <c r="Z1936" s="1191">
        <v>0</v>
      </c>
      <c r="AA1936" s="1191">
        <v>0</v>
      </c>
      <c r="AB1936" s="1208" t="s">
        <v>364</v>
      </c>
      <c r="AC1936" s="1192" t="str">
        <f>""</f>
        <v/>
      </c>
      <c r="AD1936" s="1193">
        <v>0</v>
      </c>
      <c r="AE1936" s="1191" t="s">
        <v>368</v>
      </c>
      <c r="AF1936" s="1191" t="s">
        <v>369</v>
      </c>
      <c r="AG1936" s="1193">
        <v>1</v>
      </c>
      <c r="AH1936" s="1191">
        <v>16</v>
      </c>
      <c r="AI1936" s="1193">
        <v>0</v>
      </c>
      <c r="AJ1936" s="1193">
        <f>VLOOKUP($I1936,'Price List, Weapons &amp; Items'!B:F,5,0)</f>
        <v>0</v>
      </c>
      <c r="AK1936" s="1193">
        <f t="shared" si="417"/>
        <v>0</v>
      </c>
      <c r="AL1936" s="1193">
        <f t="shared" si="418"/>
        <v>0</v>
      </c>
      <c r="AM1936" s="1193">
        <f t="shared" si="419"/>
        <v>0</v>
      </c>
      <c r="AN1936" s="1194" t="str">
        <f>VLOOKUP($I1936,'Price List, Weapons &amp; Items'!B:L,COLUMN('Price List, Weapons &amp; Items'!$J$11)-1,0)</f>
        <v>Military media (incl. websites)</v>
      </c>
      <c r="AO1936" s="1194" t="str">
        <f>IF(I1936=".",".",VLOOKUP($I1936,'Price List, Weapons &amp; Items'!B:J,3,0))</f>
        <v>Self-propelled anti-aircraft weapon</v>
      </c>
      <c r="AP1936" s="1195" t="str">
        <f t="shared" ca="1" si="413"/>
        <v/>
      </c>
      <c r="AQ1936" s="1194">
        <f>VLOOKUP($I1936,'Price List, Weapons &amp; Items'!B:L,COLUMN('Price List, Weapons &amp; Items'!$L$11)-1,0)</f>
        <v>2</v>
      </c>
      <c r="AR1936" s="1194">
        <f t="shared" si="420"/>
        <v>1</v>
      </c>
      <c r="AS1936" s="1194">
        <f t="shared" si="421"/>
        <v>1</v>
      </c>
      <c r="AT1936" s="1194">
        <f t="shared" si="422"/>
        <v>1</v>
      </c>
      <c r="AU1936" s="1194" t="str">
        <f t="shared" si="411"/>
        <v>.</v>
      </c>
      <c r="AV1936" s="1194" t="str">
        <f t="shared" si="414"/>
        <v>.</v>
      </c>
      <c r="AW1936" s="1194" t="str">
        <f t="shared" si="423"/>
        <v>.</v>
      </c>
      <c r="AX1936" s="1194">
        <f>IFERROR(VLOOKUP(B1936,'Share, Heavy Weapons to Ukraine'!B:Z,COLUMN('Share, Heavy Weapons to Ukraine'!C1944)-1,0),0)</f>
        <v>1</v>
      </c>
      <c r="AY1936" s="1194">
        <f>VLOOKUP('Bilateral Assistance, MAIN DATA'!B1936,'Country Summary (€)'!B:F,COLUMN('Country Summary (€)'!C1945)-1,FALSE)</f>
        <v>0</v>
      </c>
      <c r="AZ1936" s="1194" t="str">
        <f>IF(AND(AD1936=1,D1936="Military",H1936&lt;&gt;"Not given")=TRUE,IF(SUMIFS(P:P,A:A,A1936)&gt;0,ABS((SUMIFS(P:P,A:A,A1936)/VLOOKUP("USD",'Exchange Rates'!B:C,2,0)))/S1936,"."),".")</f>
        <v>.</v>
      </c>
      <c r="BA1936" s="1196" t="str">
        <f>IF(AND(AD1936=1,D1936="Military",H1936&lt;&gt;"Not given")=TRUE,IF(SUMIFS(P:P,A:A,A1936)&gt;0,IF((ABS((SUMIFS(P:P,A:A,A1936)/VLOOKUP("USD",'Exchange Rates'!B:C,2,0)))/S1936)&gt;1,(SUMIFS(P:P,A:A,A1936)-S1936)/S1936,(S1936-SUMIFS(P:P,A:A,A1936))/SUMIFS(P:P,A:A,A1936)),"."),".")</f>
        <v>.</v>
      </c>
      <c r="BB1936" s="1208"/>
      <c r="BC1936" s="1208"/>
      <c r="BD1936" s="1208"/>
      <c r="BE1936" s="1208"/>
      <c r="BF1936" s="1208"/>
      <c r="BG1936" s="1208"/>
      <c r="BH1936" s="1208"/>
      <c r="BI1936" s="1208"/>
      <c r="BJ1936" s="1208"/>
      <c r="BK1936" s="1208"/>
      <c r="BL1936" s="1208"/>
      <c r="BM1936" s="1208"/>
      <c r="BN1936" s="1208"/>
      <c r="BO1936" s="1208"/>
      <c r="BP1936" s="1208"/>
      <c r="BQ1936" s="1208"/>
      <c r="BR1936" s="1208"/>
      <c r="BS1936" s="1208"/>
    </row>
    <row r="1937" spans="1:71" ht="16.899999999999999" customHeight="1">
      <c r="A1937" s="1208" t="s">
        <v>4361</v>
      </c>
      <c r="B1937" s="1141" t="s">
        <v>3949</v>
      </c>
      <c r="C1937" s="1209">
        <v>45020</v>
      </c>
      <c r="D1937" s="1141" t="s">
        <v>389</v>
      </c>
      <c r="E1937" s="1141" t="s">
        <v>390</v>
      </c>
      <c r="F1937" s="1141" t="s">
        <v>4381</v>
      </c>
      <c r="G1937" s="1115" t="s">
        <v>456</v>
      </c>
      <c r="H1937" s="1210">
        <v>2100000000</v>
      </c>
      <c r="I1937" s="1141" t="s">
        <v>4383</v>
      </c>
      <c r="J1937" s="1186" t="str">
        <f>VLOOKUP($I1937,'Price List, Weapons &amp; Items'!B:C,2,0)</f>
        <v>Heavy weapon</v>
      </c>
      <c r="K1937" s="1186" t="str">
        <f>IF(I1937=".",I1937,VLOOKUP($I1937,'Price List, Weapons &amp; Items'!B:D,3,0))</f>
        <v>Self-propelled anti-aircraft weapon</v>
      </c>
      <c r="L1937" s="1187">
        <f>VLOOKUP(I1937,'Price List, Weapons &amp; Items'!B:E,4,0)</f>
        <v>0</v>
      </c>
      <c r="M1937" s="1188">
        <v>10</v>
      </c>
      <c r="N1937" s="1188" t="s">
        <v>374</v>
      </c>
      <c r="O1937" s="1188">
        <f>VLOOKUP($I1937,'Price List, Weapons &amp; Items'!B:G,6,0)</f>
        <v>22025</v>
      </c>
      <c r="P1937" s="1185">
        <f t="shared" si="415"/>
        <v>220250</v>
      </c>
      <c r="Q1937" s="1185" t="str">
        <f t="shared" si="416"/>
        <v>.</v>
      </c>
      <c r="R1937" s="1185" t="str">
        <f t="shared" si="412"/>
        <v/>
      </c>
      <c r="S1937" s="1185" t="str">
        <f>IF(AND(AD1937=1,R1937&lt;&gt;".")=TRUE,R1937/VLOOKUP(G1937,'Exchange Rates'!B:C,2,0),IF(R1937=".",".",""))</f>
        <v/>
      </c>
      <c r="T1937" s="1185" t="str">
        <f>IF(AD1937=1,IF(AF1937="Value is not given at all",".",IF(AF1937="Value is given by the source",S1937,IF(AF1937="Value is calculated with prices",(IF(SUMIFS(Q:Q,A:A,A1937)&gt;0,SUMIFS(Q:Q,A:A,A1937),"."))/VLOOKUP("USD",'Exchange Rates'!B:C,2,0),"Error with coding"))),"")</f>
        <v/>
      </c>
      <c r="U1937" s="1191" t="s">
        <v>365</v>
      </c>
      <c r="V1937" s="983" t="s">
        <v>4344</v>
      </c>
      <c r="W1937" s="983" t="s">
        <v>4339</v>
      </c>
      <c r="X1937" s="1208" t="s">
        <v>364</v>
      </c>
      <c r="Y1937" s="1208" t="s">
        <v>364</v>
      </c>
      <c r="Z1937" s="1191">
        <v>0</v>
      </c>
      <c r="AA1937" s="1191">
        <v>0</v>
      </c>
      <c r="AB1937" s="1208" t="s">
        <v>364</v>
      </c>
      <c r="AC1937" s="1192" t="str">
        <f>""</f>
        <v/>
      </c>
      <c r="AD1937" s="1193">
        <v>0</v>
      </c>
      <c r="AE1937" s="1191" t="s">
        <v>368</v>
      </c>
      <c r="AF1937" s="1191" t="s">
        <v>369</v>
      </c>
      <c r="AG1937" s="1193">
        <v>1</v>
      </c>
      <c r="AH1937" s="1191">
        <v>16</v>
      </c>
      <c r="AI1937" s="1193">
        <v>0</v>
      </c>
      <c r="AJ1937" s="1193">
        <f>VLOOKUP($I1937,'Price List, Weapons &amp; Items'!B:F,5,0)</f>
        <v>0</v>
      </c>
      <c r="AK1937" s="1193">
        <f t="shared" si="417"/>
        <v>0</v>
      </c>
      <c r="AL1937" s="1193">
        <f t="shared" si="418"/>
        <v>0</v>
      </c>
      <c r="AM1937" s="1193">
        <f t="shared" si="419"/>
        <v>0</v>
      </c>
      <c r="AN1937" s="1194" t="str">
        <f>VLOOKUP($I1937,'Price List, Weapons &amp; Items'!B:L,COLUMN('Price List, Weapons &amp; Items'!$J$11)-1,0)</f>
        <v>Government information</v>
      </c>
      <c r="AO1937" s="1194" t="str">
        <f>IF(I1937=".",".",VLOOKUP($I1937,'Price List, Weapons &amp; Items'!B:J,3,0))</f>
        <v>Self-propelled anti-aircraft weapon</v>
      </c>
      <c r="AP1937" s="1195" t="str">
        <f t="shared" ca="1" si="413"/>
        <v/>
      </c>
      <c r="AQ1937" s="1194">
        <f>VLOOKUP($I1937,'Price List, Weapons &amp; Items'!B:L,COLUMN('Price List, Weapons &amp; Items'!$L$11)-1,0)</f>
        <v>1</v>
      </c>
      <c r="AR1937" s="1194">
        <f t="shared" si="420"/>
        <v>1</v>
      </c>
      <c r="AS1937" s="1194">
        <f t="shared" si="421"/>
        <v>1</v>
      </c>
      <c r="AT1937" s="1194">
        <f t="shared" si="422"/>
        <v>1</v>
      </c>
      <c r="AU1937" s="1194" t="str">
        <f t="shared" si="411"/>
        <v>.</v>
      </c>
      <c r="AV1937" s="1194" t="str">
        <f t="shared" si="414"/>
        <v>.</v>
      </c>
      <c r="AW1937" s="1194" t="str">
        <f t="shared" si="423"/>
        <v>.</v>
      </c>
      <c r="AX1937" s="1194">
        <f>IFERROR(VLOOKUP(B1937,'Share, Heavy Weapons to Ukraine'!B:Z,COLUMN('Share, Heavy Weapons to Ukraine'!C1945)-1,0),0)</f>
        <v>1</v>
      </c>
      <c r="AY1937" s="1194">
        <f>VLOOKUP('Bilateral Assistance, MAIN DATA'!B1937,'Country Summary (€)'!B:F,COLUMN('Country Summary (€)'!C1946)-1,FALSE)</f>
        <v>0</v>
      </c>
      <c r="AZ1937" s="1194" t="str">
        <f>IF(AND(AD1937=1,D1937="Military",H1937&lt;&gt;"Not given")=TRUE,IF(SUMIFS(P:P,A:A,A1937)&gt;0,ABS((SUMIFS(P:P,A:A,A1937)/VLOOKUP("USD",'Exchange Rates'!B:C,2,0)))/S1937,"."),".")</f>
        <v>.</v>
      </c>
      <c r="BA1937" s="1196" t="str">
        <f>IF(AND(AD1937=1,D1937="Military",H1937&lt;&gt;"Not given")=TRUE,IF(SUMIFS(P:P,A:A,A1937)&gt;0,IF((ABS((SUMIFS(P:P,A:A,A1937)/VLOOKUP("USD",'Exchange Rates'!B:C,2,0)))/S1937)&gt;1,(SUMIFS(P:P,A:A,A1937)-S1937)/S1937,(S1937-SUMIFS(P:P,A:A,A1937))/SUMIFS(P:P,A:A,A1937)),"."),".")</f>
        <v>.</v>
      </c>
      <c r="BB1937" s="1208"/>
      <c r="BC1937" s="1208"/>
      <c r="BD1937" s="1208"/>
      <c r="BE1937" s="1208"/>
      <c r="BF1937" s="1208"/>
      <c r="BG1937" s="1208"/>
      <c r="BH1937" s="1208"/>
      <c r="BI1937" s="1208"/>
      <c r="BJ1937" s="1208"/>
      <c r="BK1937" s="1208"/>
      <c r="BL1937" s="1208"/>
      <c r="BM1937" s="1208"/>
      <c r="BN1937" s="1208"/>
      <c r="BO1937" s="1208"/>
      <c r="BP1937" s="1208"/>
      <c r="BQ1937" s="1208"/>
      <c r="BR1937" s="1208"/>
      <c r="BS1937" s="1208"/>
    </row>
    <row r="1938" spans="1:71" ht="16.899999999999999" customHeight="1">
      <c r="A1938" s="1208" t="s">
        <v>4361</v>
      </c>
      <c r="B1938" s="1141" t="s">
        <v>3949</v>
      </c>
      <c r="C1938" s="1209">
        <v>45020</v>
      </c>
      <c r="D1938" s="1141" t="s">
        <v>389</v>
      </c>
      <c r="E1938" s="1141" t="s">
        <v>390</v>
      </c>
      <c r="F1938" s="1141" t="s">
        <v>4381</v>
      </c>
      <c r="G1938" s="1115" t="s">
        <v>456</v>
      </c>
      <c r="H1938" s="1210">
        <v>2100000000</v>
      </c>
      <c r="I1938" s="1141" t="s">
        <v>633</v>
      </c>
      <c r="J1938" s="1186" t="str">
        <f>VLOOKUP($I1938,'Price List, Weapons &amp; Items'!B:C,2,0)</f>
        <v>Military equipment</v>
      </c>
      <c r="K1938" s="1186" t="str">
        <f>IF(I1938=".",I1938,VLOOKUP($I1938,'Price List, Weapons &amp; Items'!B:D,3,0))</f>
        <v>Military equipment</v>
      </c>
      <c r="L1938" s="1187">
        <f>VLOOKUP(I1938,'Price List, Weapons &amp; Items'!B:E,4,0)</f>
        <v>0</v>
      </c>
      <c r="M1938" s="1188">
        <v>3</v>
      </c>
      <c r="N1938" s="1188" t="s">
        <v>374</v>
      </c>
      <c r="O1938" s="1188" t="str">
        <f>VLOOKUP($I1938,'Price List, Weapons &amp; Items'!B:G,6,0)</f>
        <v>.</v>
      </c>
      <c r="P1938" s="1185" t="str">
        <f t="shared" si="415"/>
        <v>No price</v>
      </c>
      <c r="Q1938" s="1185" t="str">
        <f t="shared" si="416"/>
        <v>.</v>
      </c>
      <c r="R1938" s="1185" t="str">
        <f t="shared" si="412"/>
        <v/>
      </c>
      <c r="S1938" s="1185" t="str">
        <f>IF(AND(AD1938=1,R1938&lt;&gt;".")=TRUE,R1938/VLOOKUP(G1938,'Exchange Rates'!B:C,2,0),IF(R1938=".",".",""))</f>
        <v/>
      </c>
      <c r="T1938" s="1185" t="str">
        <f>IF(AD1938=1,IF(AF1938="Value is not given at all",".",IF(AF1938="Value is given by the source",S1938,IF(AF1938="Value is calculated with prices",(IF(SUMIFS(Q:Q,A:A,A1938)&gt;0,SUMIFS(Q:Q,A:A,A1938),"."))/VLOOKUP("USD",'Exchange Rates'!B:C,2,0),"Error with coding"))),"")</f>
        <v/>
      </c>
      <c r="U1938" s="1191" t="s">
        <v>365</v>
      </c>
      <c r="V1938" s="983" t="s">
        <v>4344</v>
      </c>
      <c r="W1938" s="983" t="s">
        <v>4339</v>
      </c>
      <c r="X1938" s="1208" t="s">
        <v>364</v>
      </c>
      <c r="Y1938" s="1208" t="s">
        <v>364</v>
      </c>
      <c r="Z1938" s="1191">
        <v>0</v>
      </c>
      <c r="AA1938" s="1191">
        <v>0</v>
      </c>
      <c r="AB1938" s="1208" t="s">
        <v>364</v>
      </c>
      <c r="AC1938" s="1192" t="str">
        <f>""</f>
        <v/>
      </c>
      <c r="AD1938" s="1193">
        <v>0</v>
      </c>
      <c r="AE1938" s="1191" t="s">
        <v>368</v>
      </c>
      <c r="AF1938" s="1191" t="s">
        <v>369</v>
      </c>
      <c r="AG1938" s="1193">
        <v>1</v>
      </c>
      <c r="AH1938" s="1191">
        <v>16</v>
      </c>
      <c r="AI1938" s="1193">
        <v>0</v>
      </c>
      <c r="AJ1938" s="1193">
        <f>VLOOKUP($I1938,'Price List, Weapons &amp; Items'!B:F,5,0)</f>
        <v>0</v>
      </c>
      <c r="AK1938" s="1193">
        <f t="shared" si="417"/>
        <v>0</v>
      </c>
      <c r="AL1938" s="1193">
        <f t="shared" si="418"/>
        <v>0</v>
      </c>
      <c r="AM1938" s="1193">
        <f t="shared" si="419"/>
        <v>0</v>
      </c>
      <c r="AN1938" s="1194" t="str">
        <f>VLOOKUP($I1938,'Price List, Weapons &amp; Items'!B:L,COLUMN('Price List, Weapons &amp; Items'!$J$11)-1,0)</f>
        <v>.</v>
      </c>
      <c r="AO1938" s="1194" t="str">
        <f>IF(I1938=".",".",VLOOKUP($I1938,'Price List, Weapons &amp; Items'!B:J,3,0))</f>
        <v>Military equipment</v>
      </c>
      <c r="AP1938" s="1195" t="str">
        <f t="shared" ca="1" si="413"/>
        <v/>
      </c>
      <c r="AQ1938" s="1194">
        <f>VLOOKUP($I1938,'Price List, Weapons &amp; Items'!B:L,COLUMN('Price List, Weapons &amp; Items'!$L$11)-1,0)</f>
        <v>0</v>
      </c>
      <c r="AR1938" s="1194">
        <f t="shared" si="420"/>
        <v>1</v>
      </c>
      <c r="AS1938" s="1194">
        <f t="shared" si="421"/>
        <v>1</v>
      </c>
      <c r="AT1938" s="1194">
        <f t="shared" si="422"/>
        <v>1</v>
      </c>
      <c r="AU1938" s="1194" t="str">
        <f t="shared" si="411"/>
        <v>.</v>
      </c>
      <c r="AV1938" s="1194" t="str">
        <f t="shared" si="414"/>
        <v>.</v>
      </c>
      <c r="AW1938" s="1194" t="str">
        <f t="shared" si="423"/>
        <v>.</v>
      </c>
      <c r="AX1938" s="1194">
        <f>IFERROR(VLOOKUP(B1938,'Share, Heavy Weapons to Ukraine'!B:Z,COLUMN('Share, Heavy Weapons to Ukraine'!C1946)-1,0),0)</f>
        <v>1</v>
      </c>
      <c r="AY1938" s="1194">
        <f>VLOOKUP('Bilateral Assistance, MAIN DATA'!B1938,'Country Summary (€)'!B:F,COLUMN('Country Summary (€)'!C1947)-1,FALSE)</f>
        <v>0</v>
      </c>
      <c r="AZ1938" s="1194" t="str">
        <f>IF(AND(AD1938=1,D1938="Military",H1938&lt;&gt;"Not given")=TRUE,IF(SUMIFS(P:P,A:A,A1938)&gt;0,ABS((SUMIFS(P:P,A:A,A1938)/VLOOKUP("USD",'Exchange Rates'!B:C,2,0)))/S1938,"."),".")</f>
        <v>.</v>
      </c>
      <c r="BA1938" s="1196" t="str">
        <f>IF(AND(AD1938=1,D1938="Military",H1938&lt;&gt;"Not given")=TRUE,IF(SUMIFS(P:P,A:A,A1938)&gt;0,IF((ABS((SUMIFS(P:P,A:A,A1938)/VLOOKUP("USD",'Exchange Rates'!B:C,2,0)))/S1938)&gt;1,(SUMIFS(P:P,A:A,A1938)-S1938)/S1938,(S1938-SUMIFS(P:P,A:A,A1938))/SUMIFS(P:P,A:A,A1938)),"."),".")</f>
        <v>.</v>
      </c>
      <c r="BB1938" s="1208"/>
      <c r="BC1938" s="1208"/>
      <c r="BD1938" s="1208"/>
      <c r="BE1938" s="1208"/>
      <c r="BF1938" s="1208"/>
      <c r="BG1938" s="1208"/>
      <c r="BH1938" s="1208"/>
      <c r="BI1938" s="1208"/>
      <c r="BJ1938" s="1208"/>
      <c r="BK1938" s="1208"/>
      <c r="BL1938" s="1208"/>
      <c r="BM1938" s="1208"/>
      <c r="BN1938" s="1208"/>
      <c r="BO1938" s="1208"/>
      <c r="BP1938" s="1208"/>
      <c r="BQ1938" s="1208"/>
      <c r="BR1938" s="1208"/>
      <c r="BS1938" s="1208"/>
    </row>
    <row r="1939" spans="1:71" ht="16.899999999999999" customHeight="1">
      <c r="A1939" s="1208" t="s">
        <v>4361</v>
      </c>
      <c r="B1939" s="1141" t="s">
        <v>3949</v>
      </c>
      <c r="C1939" s="1209">
        <v>45020</v>
      </c>
      <c r="D1939" s="1141" t="s">
        <v>389</v>
      </c>
      <c r="E1939" s="1141" t="s">
        <v>390</v>
      </c>
      <c r="F1939" s="1141" t="s">
        <v>4381</v>
      </c>
      <c r="G1939" s="1115" t="s">
        <v>456</v>
      </c>
      <c r="H1939" s="1210">
        <v>2100000000</v>
      </c>
      <c r="I1939" s="1141" t="s">
        <v>4384</v>
      </c>
      <c r="J1939" s="1186" t="str">
        <f>VLOOKUP($I1939,'Price List, Weapons &amp; Items'!B:C,2,0)</f>
        <v>ammunition for heavy weapon</v>
      </c>
      <c r="K1939" s="1186" t="str">
        <f>IF(I1939=".",I1939,VLOOKUP($I1939,'Price List, Weapons &amp; Items'!B:D,3,0))</f>
        <v>anti-armor ammunition</v>
      </c>
      <c r="L1939" s="1187">
        <f>VLOOKUP(I1939,'Price List, Weapons &amp; Items'!B:E,4,0)</f>
        <v>0</v>
      </c>
      <c r="M1939" s="1188" t="s">
        <v>374</v>
      </c>
      <c r="N1939" s="1188" t="s">
        <v>374</v>
      </c>
      <c r="O1939" s="1188">
        <f>VLOOKUP($I1939,'Price List, Weapons &amp; Items'!B:G,6,0)</f>
        <v>87.32</v>
      </c>
      <c r="P1939" s="1185" t="str">
        <f t="shared" si="415"/>
        <v>.</v>
      </c>
      <c r="Q1939" s="1185" t="str">
        <f t="shared" si="416"/>
        <v>.</v>
      </c>
      <c r="R1939" s="1185" t="str">
        <f t="shared" si="412"/>
        <v/>
      </c>
      <c r="S1939" s="1185" t="str">
        <f>IF(AND(AD1939=1,R1939&lt;&gt;".")=TRUE,R1939/VLOOKUP(G1939,'Exchange Rates'!B:C,2,0),IF(R1939=".",".",""))</f>
        <v/>
      </c>
      <c r="T1939" s="1185" t="str">
        <f>IF(AD1939=1,IF(AF1939="Value is not given at all",".",IF(AF1939="Value is given by the source",S1939,IF(AF1939="Value is calculated with prices",(IF(SUMIFS(Q:Q,A:A,A1939)&gt;0,SUMIFS(Q:Q,A:A,A1939),"."))/VLOOKUP("USD",'Exchange Rates'!B:C,2,0),"Error with coding"))),"")</f>
        <v/>
      </c>
      <c r="U1939" s="1191" t="s">
        <v>365</v>
      </c>
      <c r="V1939" s="983" t="s">
        <v>4344</v>
      </c>
      <c r="W1939" s="983" t="s">
        <v>4339</v>
      </c>
      <c r="X1939" s="1208" t="s">
        <v>364</v>
      </c>
      <c r="Y1939" s="1208" t="s">
        <v>364</v>
      </c>
      <c r="Z1939" s="1191">
        <v>0</v>
      </c>
      <c r="AA1939" s="1191">
        <v>0</v>
      </c>
      <c r="AB1939" s="1208" t="s">
        <v>364</v>
      </c>
      <c r="AC1939" s="1192" t="str">
        <f>""</f>
        <v/>
      </c>
      <c r="AD1939" s="1193">
        <v>0</v>
      </c>
      <c r="AE1939" s="1191" t="s">
        <v>368</v>
      </c>
      <c r="AF1939" s="1191" t="s">
        <v>369</v>
      </c>
      <c r="AG1939" s="1193">
        <v>1</v>
      </c>
      <c r="AH1939" s="1191">
        <v>16</v>
      </c>
      <c r="AI1939" s="1193">
        <v>0</v>
      </c>
      <c r="AJ1939" s="1193">
        <f>VLOOKUP($I1939,'Price List, Weapons &amp; Items'!B:F,5,0)</f>
        <v>0</v>
      </c>
      <c r="AK1939" s="1193">
        <f t="shared" si="417"/>
        <v>0</v>
      </c>
      <c r="AL1939" s="1193">
        <f t="shared" si="418"/>
        <v>0</v>
      </c>
      <c r="AM1939" s="1193">
        <f t="shared" si="419"/>
        <v>0</v>
      </c>
      <c r="AN1939" s="1194" t="str">
        <f>VLOOKUP($I1939,'Price List, Weapons &amp; Items'!B:L,COLUMN('Price List, Weapons &amp; Items'!$J$11)-1,0)</f>
        <v>Government information</v>
      </c>
      <c r="AO1939" s="1194" t="str">
        <f>IF(I1939=".",".",VLOOKUP($I1939,'Price List, Weapons &amp; Items'!B:J,3,0))</f>
        <v>anti-armor ammunition</v>
      </c>
      <c r="AP1939" s="1195" t="str">
        <f t="shared" ca="1" si="413"/>
        <v/>
      </c>
      <c r="AQ1939" s="1194" t="str">
        <f>VLOOKUP($I1939,'Price List, Weapons &amp; Items'!B:L,COLUMN('Price List, Weapons &amp; Items'!$L$11)-1,0)</f>
        <v>no price, 0 count</v>
      </c>
      <c r="AR1939" s="1194">
        <f t="shared" si="420"/>
        <v>1</v>
      </c>
      <c r="AS1939" s="1194">
        <f t="shared" si="421"/>
        <v>1</v>
      </c>
      <c r="AT1939" s="1194">
        <f t="shared" si="422"/>
        <v>1</v>
      </c>
      <c r="AU1939" s="1194" t="str">
        <f t="shared" si="411"/>
        <v>.</v>
      </c>
      <c r="AV1939" s="1194" t="str">
        <f t="shared" si="414"/>
        <v>.</v>
      </c>
      <c r="AW1939" s="1194" t="str">
        <f t="shared" si="423"/>
        <v>.</v>
      </c>
      <c r="AX1939" s="1194">
        <f>IFERROR(VLOOKUP(B1939,'Share, Heavy Weapons to Ukraine'!B:Z,COLUMN('Share, Heavy Weapons to Ukraine'!C1947)-1,0),0)</f>
        <v>1</v>
      </c>
      <c r="AY1939" s="1194">
        <f>VLOOKUP('Bilateral Assistance, MAIN DATA'!B1939,'Country Summary (€)'!B:F,COLUMN('Country Summary (€)'!C1948)-1,FALSE)</f>
        <v>0</v>
      </c>
      <c r="AZ1939" s="1194" t="str">
        <f>IF(AND(AD1939=1,D1939="Military",H1939&lt;&gt;"Not given")=TRUE,IF(SUMIFS(P:P,A:A,A1939)&gt;0,ABS((SUMIFS(P:P,A:A,A1939)/VLOOKUP("USD",'Exchange Rates'!B:C,2,0)))/S1939,"."),".")</f>
        <v>.</v>
      </c>
      <c r="BA1939" s="1196" t="str">
        <f>IF(AND(AD1939=1,D1939="Military",H1939&lt;&gt;"Not given")=TRUE,IF(SUMIFS(P:P,A:A,A1939)&gt;0,IF((ABS((SUMIFS(P:P,A:A,A1939)/VLOOKUP("USD",'Exchange Rates'!B:C,2,0)))/S1939)&gt;1,(SUMIFS(P:P,A:A,A1939)-S1939)/S1939,(S1939-SUMIFS(P:P,A:A,A1939))/SUMIFS(P:P,A:A,A1939)),"."),".")</f>
        <v>.</v>
      </c>
      <c r="BB1939" s="1208"/>
      <c r="BC1939" s="1208"/>
      <c r="BD1939" s="1208"/>
      <c r="BE1939" s="1208"/>
      <c r="BF1939" s="1208"/>
      <c r="BG1939" s="1208"/>
      <c r="BH1939" s="1208"/>
      <c r="BI1939" s="1208"/>
      <c r="BJ1939" s="1208"/>
      <c r="BK1939" s="1208"/>
      <c r="BL1939" s="1208"/>
      <c r="BM1939" s="1208"/>
      <c r="BN1939" s="1208"/>
      <c r="BO1939" s="1208"/>
      <c r="BP1939" s="1208"/>
      <c r="BQ1939" s="1208"/>
      <c r="BR1939" s="1208"/>
      <c r="BS1939" s="1208"/>
    </row>
    <row r="1940" spans="1:71" ht="16.899999999999999" customHeight="1">
      <c r="A1940" s="1208" t="s">
        <v>4361</v>
      </c>
      <c r="B1940" s="1141" t="s">
        <v>3949</v>
      </c>
      <c r="C1940" s="1209">
        <v>45020</v>
      </c>
      <c r="D1940" s="1141" t="s">
        <v>389</v>
      </c>
      <c r="E1940" s="1141" t="s">
        <v>390</v>
      </c>
      <c r="F1940" s="1141" t="s">
        <v>4381</v>
      </c>
      <c r="G1940" s="1115" t="s">
        <v>456</v>
      </c>
      <c r="H1940" s="1210">
        <v>2100000000</v>
      </c>
      <c r="I1940" s="1141" t="s">
        <v>4385</v>
      </c>
      <c r="J1940" s="1186" t="str">
        <f>VLOOKUP($I1940,'Price List, Weapons &amp; Items'!B:C,2,0)</f>
        <v>Ammunition for heavy weapon</v>
      </c>
      <c r="K1940" s="1186" t="str">
        <f>IF(I1940=".",I1940,VLOOKUP($I1940,'Price List, Weapons &amp; Items'!B:D,3,0))</f>
        <v>Aircraft ammunition</v>
      </c>
      <c r="L1940" s="1187">
        <f>VLOOKUP(I1940,'Price List, Weapons &amp; Items'!B:E,4,0)</f>
        <v>0</v>
      </c>
      <c r="M1940" s="1188" t="s">
        <v>374</v>
      </c>
      <c r="N1940" s="1188" t="s">
        <v>374</v>
      </c>
      <c r="O1940" s="1188" t="str">
        <f>VLOOKUP($I1940,'Price List, Weapons &amp; Items'!B:G,6,0)</f>
        <v>.</v>
      </c>
      <c r="P1940" s="1185" t="str">
        <f t="shared" si="415"/>
        <v>.</v>
      </c>
      <c r="Q1940" s="1185" t="str">
        <f t="shared" si="416"/>
        <v>.</v>
      </c>
      <c r="R1940" s="1185" t="str">
        <f t="shared" si="412"/>
        <v/>
      </c>
      <c r="S1940" s="1185" t="str">
        <f>IF(AND(AD1940=1,R1940&lt;&gt;".")=TRUE,R1940/VLOOKUP(G1940,'Exchange Rates'!B:C,2,0),IF(R1940=".",".",""))</f>
        <v/>
      </c>
      <c r="T1940" s="1185" t="str">
        <f>IF(AD1940=1,IF(AF1940="Value is not given at all",".",IF(AF1940="Value is given by the source",S1940,IF(AF1940="Value is calculated with prices",(IF(SUMIFS(Q:Q,A:A,A1940)&gt;0,SUMIFS(Q:Q,A:A,A1940),"."))/VLOOKUP("USD",'Exchange Rates'!B:C,2,0),"Error with coding"))),"")</f>
        <v/>
      </c>
      <c r="U1940" s="1191" t="s">
        <v>365</v>
      </c>
      <c r="V1940" s="983" t="s">
        <v>4344</v>
      </c>
      <c r="W1940" s="983" t="s">
        <v>4339</v>
      </c>
      <c r="X1940" s="1208" t="s">
        <v>364</v>
      </c>
      <c r="Y1940" s="1208" t="s">
        <v>364</v>
      </c>
      <c r="Z1940" s="1191">
        <v>0</v>
      </c>
      <c r="AA1940" s="1191">
        <v>0</v>
      </c>
      <c r="AB1940" s="1208" t="s">
        <v>364</v>
      </c>
      <c r="AC1940" s="1192" t="str">
        <f>""</f>
        <v/>
      </c>
      <c r="AD1940" s="1193">
        <v>0</v>
      </c>
      <c r="AE1940" s="1191" t="s">
        <v>368</v>
      </c>
      <c r="AF1940" s="1191" t="s">
        <v>369</v>
      </c>
      <c r="AG1940" s="1193">
        <v>1</v>
      </c>
      <c r="AH1940" s="1191">
        <v>16</v>
      </c>
      <c r="AI1940" s="1193">
        <v>0</v>
      </c>
      <c r="AJ1940" s="1193">
        <f>VLOOKUP($I1940,'Price List, Weapons &amp; Items'!B:F,5,0)</f>
        <v>0</v>
      </c>
      <c r="AK1940" s="1193">
        <f t="shared" si="417"/>
        <v>0</v>
      </c>
      <c r="AL1940" s="1193">
        <f t="shared" si="418"/>
        <v>0</v>
      </c>
      <c r="AM1940" s="1193">
        <f t="shared" si="419"/>
        <v>0</v>
      </c>
      <c r="AN1940" s="1194">
        <f>VLOOKUP($I1940,'Price List, Weapons &amp; Items'!B:L,COLUMN('Price List, Weapons &amp; Items'!$J$11)-1,0)</f>
        <v>0</v>
      </c>
      <c r="AO1940" s="1194" t="str">
        <f>IF(I1940=".",".",VLOOKUP($I1940,'Price List, Weapons &amp; Items'!B:J,3,0))</f>
        <v>Aircraft ammunition</v>
      </c>
      <c r="AP1940" s="1195" t="str">
        <f t="shared" ca="1" si="413"/>
        <v/>
      </c>
      <c r="AQ1940" s="1194" t="str">
        <f>VLOOKUP($I1940,'Price List, Weapons &amp; Items'!B:L,COLUMN('Price List, Weapons &amp; Items'!$L$11)-1,0)</f>
        <v>no price, 0 count</v>
      </c>
      <c r="AR1940" s="1194">
        <f t="shared" si="420"/>
        <v>1</v>
      </c>
      <c r="AS1940" s="1194">
        <f t="shared" si="421"/>
        <v>1</v>
      </c>
      <c r="AT1940" s="1194">
        <f t="shared" si="422"/>
        <v>1</v>
      </c>
      <c r="AU1940" s="1194" t="str">
        <f t="shared" si="411"/>
        <v>.</v>
      </c>
      <c r="AV1940" s="1194" t="str">
        <f t="shared" si="414"/>
        <v>.</v>
      </c>
      <c r="AW1940" s="1194" t="str">
        <f t="shared" si="423"/>
        <v>.</v>
      </c>
      <c r="AX1940" s="1194">
        <f>IFERROR(VLOOKUP(B1940,'Share, Heavy Weapons to Ukraine'!B:Z,COLUMN('Share, Heavy Weapons to Ukraine'!C1948)-1,0),0)</f>
        <v>1</v>
      </c>
      <c r="AY1940" s="1194">
        <f>VLOOKUP('Bilateral Assistance, MAIN DATA'!B1940,'Country Summary (€)'!B:F,COLUMN('Country Summary (€)'!C1949)-1,FALSE)</f>
        <v>0</v>
      </c>
      <c r="AZ1940" s="1194" t="str">
        <f>IF(AND(AD1940=1,D1940="Military",H1940&lt;&gt;"Not given")=TRUE,IF(SUMIFS(P:P,A:A,A1940)&gt;0,ABS((SUMIFS(P:P,A:A,A1940)/VLOOKUP("USD",'Exchange Rates'!B:C,2,0)))/S1940,"."),".")</f>
        <v>.</v>
      </c>
      <c r="BA1940" s="1196" t="str">
        <f>IF(AND(AD1940=1,D1940="Military",H1940&lt;&gt;"Not given")=TRUE,IF(SUMIFS(P:P,A:A,A1940)&gt;0,IF((ABS((SUMIFS(P:P,A:A,A1940)/VLOOKUP("USD",'Exchange Rates'!B:C,2,0)))/S1940)&gt;1,(SUMIFS(P:P,A:A,A1940)-S1940)/S1940,(S1940-SUMIFS(P:P,A:A,A1940))/SUMIFS(P:P,A:A,A1940)),"."),".")</f>
        <v>.</v>
      </c>
      <c r="BB1940" s="1208"/>
      <c r="BC1940" s="1208"/>
      <c r="BD1940" s="1208"/>
      <c r="BE1940" s="1208"/>
      <c r="BF1940" s="1208"/>
      <c r="BG1940" s="1208"/>
      <c r="BH1940" s="1208"/>
      <c r="BI1940" s="1208"/>
      <c r="BJ1940" s="1208"/>
      <c r="BK1940" s="1208"/>
      <c r="BL1940" s="1208"/>
      <c r="BM1940" s="1208"/>
      <c r="BN1940" s="1208"/>
      <c r="BO1940" s="1208"/>
      <c r="BP1940" s="1208"/>
      <c r="BQ1940" s="1208"/>
      <c r="BR1940" s="1208"/>
      <c r="BS1940" s="1208"/>
    </row>
    <row r="1941" spans="1:71" ht="16.899999999999999" customHeight="1">
      <c r="A1941" s="1208" t="s">
        <v>4361</v>
      </c>
      <c r="B1941" s="1141" t="s">
        <v>3949</v>
      </c>
      <c r="C1941" s="1209">
        <v>45020</v>
      </c>
      <c r="D1941" s="1141" t="s">
        <v>389</v>
      </c>
      <c r="E1941" s="1141" t="s">
        <v>390</v>
      </c>
      <c r="F1941" s="1141" t="s">
        <v>4381</v>
      </c>
      <c r="G1941" s="1115" t="s">
        <v>456</v>
      </c>
      <c r="H1941" s="1210">
        <v>2100000000</v>
      </c>
      <c r="I1941" s="1141" t="s">
        <v>4386</v>
      </c>
      <c r="J1941" s="1186" t="str">
        <f>VLOOKUP($I1941,'Price List, Weapons &amp; Items'!B:C,2,0)</f>
        <v>Ammunition for heavy weapon</v>
      </c>
      <c r="K1941" s="1186" t="str">
        <f>IF(I1941=".",I1941,VLOOKUP($I1941,'Price List, Weapons &amp; Items'!B:D,3,0))</f>
        <v>130mm howitzer ammunition</v>
      </c>
      <c r="L1941" s="1187">
        <f>VLOOKUP(I1941,'Price List, Weapons &amp; Items'!B:E,4,0)</f>
        <v>0</v>
      </c>
      <c r="M1941" s="1188" t="s">
        <v>374</v>
      </c>
      <c r="N1941" s="1188" t="s">
        <v>374</v>
      </c>
      <c r="O1941" s="1188">
        <f>VLOOKUP($I1941,'Price List, Weapons &amp; Items'!B:G,6,0)</f>
        <v>3800</v>
      </c>
      <c r="P1941" s="1185" t="str">
        <f t="shared" si="415"/>
        <v>.</v>
      </c>
      <c r="Q1941" s="1185" t="str">
        <f t="shared" si="416"/>
        <v>.</v>
      </c>
      <c r="R1941" s="1185" t="str">
        <f t="shared" si="412"/>
        <v/>
      </c>
      <c r="S1941" s="1185" t="str">
        <f>IF(AND(AD1941=1,R1941&lt;&gt;".")=TRUE,R1941/VLOOKUP(G1941,'Exchange Rates'!B:C,2,0),IF(R1941=".",".",""))</f>
        <v/>
      </c>
      <c r="T1941" s="1185" t="str">
        <f>IF(AD1941=1,IF(AF1941="Value is not given at all",".",IF(AF1941="Value is given by the source",S1941,IF(AF1941="Value is calculated with prices",(IF(SUMIFS(Q:Q,A:A,A1941)&gt;0,SUMIFS(Q:Q,A:A,A1941),"."))/VLOOKUP("USD",'Exchange Rates'!B:C,2,0),"Error with coding"))),"")</f>
        <v/>
      </c>
      <c r="U1941" s="1191" t="s">
        <v>365</v>
      </c>
      <c r="V1941" s="983" t="s">
        <v>4344</v>
      </c>
      <c r="W1941" s="983" t="s">
        <v>4339</v>
      </c>
      <c r="X1941" s="1208" t="s">
        <v>364</v>
      </c>
      <c r="Y1941" s="1208" t="s">
        <v>364</v>
      </c>
      <c r="Z1941" s="1191">
        <v>0</v>
      </c>
      <c r="AA1941" s="1191">
        <v>0</v>
      </c>
      <c r="AB1941" s="1208" t="s">
        <v>364</v>
      </c>
      <c r="AC1941" s="1192" t="str">
        <f>""</f>
        <v/>
      </c>
      <c r="AD1941" s="1193">
        <v>0</v>
      </c>
      <c r="AE1941" s="1191" t="s">
        <v>368</v>
      </c>
      <c r="AF1941" s="1191" t="s">
        <v>369</v>
      </c>
      <c r="AG1941" s="1193">
        <v>1</v>
      </c>
      <c r="AH1941" s="1191">
        <v>16</v>
      </c>
      <c r="AI1941" s="1193">
        <v>0</v>
      </c>
      <c r="AJ1941" s="1193">
        <f>VLOOKUP($I1941,'Price List, Weapons &amp; Items'!B:F,5,0)</f>
        <v>0</v>
      </c>
      <c r="AK1941" s="1193">
        <f t="shared" si="417"/>
        <v>0</v>
      </c>
      <c r="AL1941" s="1193">
        <f t="shared" si="418"/>
        <v>0</v>
      </c>
      <c r="AM1941" s="1193">
        <f t="shared" si="419"/>
        <v>0</v>
      </c>
      <c r="AN1941" s="1194" t="str">
        <f>VLOOKUP($I1941,'Price List, Weapons &amp; Items'!B:L,COLUMN('Price List, Weapons &amp; Items'!$J$11)-1,0)</f>
        <v>Government information</v>
      </c>
      <c r="AO1941" s="1194" t="str">
        <f>IF(I1941=".",".",VLOOKUP($I1941,'Price List, Weapons &amp; Items'!B:J,3,0))</f>
        <v>130mm howitzer ammunition</v>
      </c>
      <c r="AP1941" s="1195" t="str">
        <f t="shared" ca="1" si="413"/>
        <v/>
      </c>
      <c r="AQ1941" s="1194" t="str">
        <f>VLOOKUP($I1941,'Price List, Weapons &amp; Items'!B:L,COLUMN('Price List, Weapons &amp; Items'!$L$11)-1,0)</f>
        <v>no price, 0 count</v>
      </c>
      <c r="AR1941" s="1194">
        <f t="shared" si="420"/>
        <v>1</v>
      </c>
      <c r="AS1941" s="1194">
        <f t="shared" si="421"/>
        <v>1</v>
      </c>
      <c r="AT1941" s="1194">
        <f t="shared" si="422"/>
        <v>1</v>
      </c>
      <c r="AU1941" s="1194" t="str">
        <f t="shared" si="411"/>
        <v>.</v>
      </c>
      <c r="AV1941" s="1194" t="str">
        <f t="shared" si="414"/>
        <v>.</v>
      </c>
      <c r="AW1941" s="1194" t="str">
        <f t="shared" si="423"/>
        <v>.</v>
      </c>
      <c r="AX1941" s="1194">
        <f>IFERROR(VLOOKUP(B1941,'Share, Heavy Weapons to Ukraine'!B:Z,COLUMN('Share, Heavy Weapons to Ukraine'!C1949)-1,0),0)</f>
        <v>1</v>
      </c>
      <c r="AY1941" s="1194">
        <f>VLOOKUP('Bilateral Assistance, MAIN DATA'!B1941,'Country Summary (€)'!B:F,COLUMN('Country Summary (€)'!C1950)-1,FALSE)</f>
        <v>0</v>
      </c>
      <c r="AZ1941" s="1194" t="str">
        <f>IF(AND(AD1941=1,D1941="Military",H1941&lt;&gt;"Not given")=TRUE,IF(SUMIFS(P:P,A:A,A1941)&gt;0,ABS((SUMIFS(P:P,A:A,A1941)/VLOOKUP("USD",'Exchange Rates'!B:C,2,0)))/S1941,"."),".")</f>
        <v>.</v>
      </c>
      <c r="BA1941" s="1196" t="str">
        <f>IF(AND(AD1941=1,D1941="Military",H1941&lt;&gt;"Not given")=TRUE,IF(SUMIFS(P:P,A:A,A1941)&gt;0,IF((ABS((SUMIFS(P:P,A:A,A1941)/VLOOKUP("USD",'Exchange Rates'!B:C,2,0)))/S1941)&gt;1,(SUMIFS(P:P,A:A,A1941)-S1941)/S1941,(S1941-SUMIFS(P:P,A:A,A1941))/SUMIFS(P:P,A:A,A1941)),"."),".")</f>
        <v>.</v>
      </c>
      <c r="BB1941" s="1208"/>
      <c r="BC1941" s="1208"/>
      <c r="BD1941" s="1208"/>
      <c r="BE1941" s="1208"/>
      <c r="BF1941" s="1208"/>
      <c r="BG1941" s="1208"/>
      <c r="BH1941" s="1208"/>
      <c r="BI1941" s="1208"/>
      <c r="BJ1941" s="1208"/>
      <c r="BK1941" s="1208"/>
      <c r="BL1941" s="1208"/>
      <c r="BM1941" s="1208"/>
      <c r="BN1941" s="1208"/>
      <c r="BO1941" s="1208"/>
      <c r="BP1941" s="1208"/>
      <c r="BQ1941" s="1208"/>
      <c r="BR1941" s="1208"/>
      <c r="BS1941" s="1208"/>
    </row>
    <row r="1942" spans="1:71" ht="16.899999999999999" customHeight="1">
      <c r="A1942" s="1208" t="s">
        <v>4361</v>
      </c>
      <c r="B1942" s="1141" t="s">
        <v>3949</v>
      </c>
      <c r="C1942" s="1209">
        <v>45020</v>
      </c>
      <c r="D1942" s="1141" t="s">
        <v>389</v>
      </c>
      <c r="E1942" s="1141" t="s">
        <v>390</v>
      </c>
      <c r="F1942" s="1141" t="s">
        <v>4381</v>
      </c>
      <c r="G1942" s="1115" t="s">
        <v>456</v>
      </c>
      <c r="H1942" s="1210">
        <v>2100000000</v>
      </c>
      <c r="I1942" s="1141" t="s">
        <v>4387</v>
      </c>
      <c r="J1942" s="1186" t="str">
        <f>VLOOKUP($I1942,'Price List, Weapons &amp; Items'!B:C,2,0)</f>
        <v>Ammunition for heavy weapon</v>
      </c>
      <c r="K1942" s="1186" t="str">
        <f>IF(I1942=".",I1942,VLOOKUP($I1942,'Price List, Weapons &amp; Items'!B:D,3,0))</f>
        <v>122mm howitzer ammunition</v>
      </c>
      <c r="L1942" s="1187">
        <f>VLOOKUP(I1942,'Price List, Weapons &amp; Items'!B:E,4,0)</f>
        <v>0</v>
      </c>
      <c r="M1942" s="1188" t="s">
        <v>374</v>
      </c>
      <c r="N1942" s="1188" t="s">
        <v>374</v>
      </c>
      <c r="O1942" s="1188">
        <f>VLOOKUP($I1942,'Price List, Weapons &amp; Items'!B:G,6,0)</f>
        <v>3800</v>
      </c>
      <c r="P1942" s="1185" t="str">
        <f t="shared" si="415"/>
        <v>.</v>
      </c>
      <c r="Q1942" s="1185" t="str">
        <f t="shared" si="416"/>
        <v>.</v>
      </c>
      <c r="R1942" s="1185" t="str">
        <f t="shared" si="412"/>
        <v/>
      </c>
      <c r="S1942" s="1185" t="str">
        <f>IF(AND(AD1942=1,R1942&lt;&gt;".")=TRUE,R1942/VLOOKUP(G1942,'Exchange Rates'!B:C,2,0),IF(R1942=".",".",""))</f>
        <v/>
      </c>
      <c r="T1942" s="1185" t="str">
        <f>IF(AD1942=1,IF(AF1942="Value is not given at all",".",IF(AF1942="Value is given by the source",S1942,IF(AF1942="Value is calculated with prices",(IF(SUMIFS(Q:Q,A:A,A1942)&gt;0,SUMIFS(Q:Q,A:A,A1942),"."))/VLOOKUP("USD",'Exchange Rates'!B:C,2,0),"Error with coding"))),"")</f>
        <v/>
      </c>
      <c r="U1942" s="1191" t="s">
        <v>365</v>
      </c>
      <c r="V1942" s="983" t="s">
        <v>4344</v>
      </c>
      <c r="W1942" s="983" t="s">
        <v>4339</v>
      </c>
      <c r="X1942" s="1208" t="s">
        <v>364</v>
      </c>
      <c r="Y1942" s="1208" t="s">
        <v>364</v>
      </c>
      <c r="Z1942" s="1191">
        <v>0</v>
      </c>
      <c r="AA1942" s="1191">
        <v>0</v>
      </c>
      <c r="AB1942" s="1208" t="s">
        <v>364</v>
      </c>
      <c r="AC1942" s="1192" t="str">
        <f>""</f>
        <v/>
      </c>
      <c r="AD1942" s="1193">
        <v>0</v>
      </c>
      <c r="AE1942" s="1191" t="s">
        <v>368</v>
      </c>
      <c r="AF1942" s="1191" t="s">
        <v>369</v>
      </c>
      <c r="AG1942" s="1193">
        <v>1</v>
      </c>
      <c r="AH1942" s="1191">
        <v>16</v>
      </c>
      <c r="AI1942" s="1193">
        <v>0</v>
      </c>
      <c r="AJ1942" s="1193">
        <f>VLOOKUP($I1942,'Price List, Weapons &amp; Items'!B:F,5,0)</f>
        <v>0</v>
      </c>
      <c r="AK1942" s="1193">
        <f t="shared" si="417"/>
        <v>0</v>
      </c>
      <c r="AL1942" s="1193">
        <f t="shared" si="418"/>
        <v>0</v>
      </c>
      <c r="AM1942" s="1193">
        <f t="shared" si="419"/>
        <v>0</v>
      </c>
      <c r="AN1942" s="1194" t="str">
        <f>VLOOKUP($I1942,'Price List, Weapons &amp; Items'!B:L,COLUMN('Price List, Weapons &amp; Items'!$J$11)-1,0)</f>
        <v>Government information</v>
      </c>
      <c r="AO1942" s="1194" t="str">
        <f>IF(I1942=".",".",VLOOKUP($I1942,'Price List, Weapons &amp; Items'!B:J,3,0))</f>
        <v>122mm howitzer ammunition</v>
      </c>
      <c r="AP1942" s="1195" t="str">
        <f t="shared" ca="1" si="413"/>
        <v/>
      </c>
      <c r="AQ1942" s="1194" t="str">
        <f>VLOOKUP($I1942,'Price List, Weapons &amp; Items'!B:L,COLUMN('Price List, Weapons &amp; Items'!$L$11)-1,0)</f>
        <v>no price, 0 count</v>
      </c>
      <c r="AR1942" s="1194">
        <f t="shared" si="420"/>
        <v>1</v>
      </c>
      <c r="AS1942" s="1194">
        <f t="shared" si="421"/>
        <v>1</v>
      </c>
      <c r="AT1942" s="1194">
        <f t="shared" si="422"/>
        <v>1</v>
      </c>
      <c r="AU1942" s="1194" t="str">
        <f t="shared" si="411"/>
        <v>.</v>
      </c>
      <c r="AV1942" s="1194" t="str">
        <f t="shared" si="414"/>
        <v>.</v>
      </c>
      <c r="AW1942" s="1194" t="str">
        <f t="shared" si="423"/>
        <v>.</v>
      </c>
      <c r="AX1942" s="1194">
        <f>IFERROR(VLOOKUP(B1942,'Share, Heavy Weapons to Ukraine'!B:Z,COLUMN('Share, Heavy Weapons to Ukraine'!C1950)-1,0),0)</f>
        <v>1</v>
      </c>
      <c r="AY1942" s="1194">
        <f>VLOOKUP('Bilateral Assistance, MAIN DATA'!B1942,'Country Summary (€)'!B:F,COLUMN('Country Summary (€)'!C1951)-1,FALSE)</f>
        <v>0</v>
      </c>
      <c r="AZ1942" s="1194" t="str">
        <f>IF(AND(AD1942=1,D1942="Military",H1942&lt;&gt;"Not given")=TRUE,IF(SUMIFS(P:P,A:A,A1942)&gt;0,ABS((SUMIFS(P:P,A:A,A1942)/VLOOKUP("USD",'Exchange Rates'!B:C,2,0)))/S1942,"."),".")</f>
        <v>.</v>
      </c>
      <c r="BA1942" s="1196" t="str">
        <f>IF(AND(AD1942=1,D1942="Military",H1942&lt;&gt;"Not given")=TRUE,IF(SUMIFS(P:P,A:A,A1942)&gt;0,IF((ABS((SUMIFS(P:P,A:A,A1942)/VLOOKUP("USD",'Exchange Rates'!B:C,2,0)))/S1942)&gt;1,(SUMIFS(P:P,A:A,A1942)-S1942)/S1942,(S1942-SUMIFS(P:P,A:A,A1942))/SUMIFS(P:P,A:A,A1942)),"."),".")</f>
        <v>.</v>
      </c>
      <c r="BB1942" s="1208"/>
      <c r="BC1942" s="1208"/>
      <c r="BD1942" s="1208"/>
      <c r="BE1942" s="1208"/>
      <c r="BF1942" s="1208"/>
      <c r="BG1942" s="1208"/>
      <c r="BH1942" s="1208"/>
      <c r="BI1942" s="1208"/>
      <c r="BJ1942" s="1208"/>
      <c r="BK1942" s="1208"/>
      <c r="BL1942" s="1208"/>
      <c r="BM1942" s="1208"/>
      <c r="BN1942" s="1208"/>
      <c r="BO1942" s="1208"/>
      <c r="BP1942" s="1208"/>
      <c r="BQ1942" s="1208"/>
      <c r="BR1942" s="1208"/>
      <c r="BS1942" s="1208"/>
    </row>
    <row r="1943" spans="1:71" ht="16.899999999999999" customHeight="1">
      <c r="A1943" s="1208" t="s">
        <v>4361</v>
      </c>
      <c r="B1943" s="1141" t="s">
        <v>3949</v>
      </c>
      <c r="C1943" s="1209">
        <v>45020</v>
      </c>
      <c r="D1943" s="1141" t="s">
        <v>389</v>
      </c>
      <c r="E1943" s="1141" t="s">
        <v>390</v>
      </c>
      <c r="F1943" s="1141" t="s">
        <v>4381</v>
      </c>
      <c r="G1943" s="1115" t="s">
        <v>456</v>
      </c>
      <c r="H1943" s="1210">
        <v>2100000000</v>
      </c>
      <c r="I1943" s="1141" t="s">
        <v>4364</v>
      </c>
      <c r="J1943" s="1186" t="str">
        <f>VLOOKUP($I1943,'Price List, Weapons &amp; Items'!B:C,2,0)</f>
        <v>Ammunition for heavy weapon</v>
      </c>
      <c r="K1943" s="1186" t="str">
        <f>IF(I1943=".",I1943,VLOOKUP($I1943,'Price List, Weapons &amp; Items'!B:D,3,0))</f>
        <v>122mm MLRS ammunition</v>
      </c>
      <c r="L1943" s="1187">
        <f>VLOOKUP(I1943,'Price List, Weapons &amp; Items'!B:E,4,0)</f>
        <v>1</v>
      </c>
      <c r="M1943" s="1188" t="s">
        <v>374</v>
      </c>
      <c r="N1943" s="1188" t="s">
        <v>374</v>
      </c>
      <c r="O1943" s="1188">
        <f>VLOOKUP($I1943,'Price List, Weapons &amp; Items'!B:G,6,0)</f>
        <v>1000</v>
      </c>
      <c r="P1943" s="1185" t="str">
        <f t="shared" si="415"/>
        <v>.</v>
      </c>
      <c r="Q1943" s="1185" t="str">
        <f t="shared" si="416"/>
        <v>.</v>
      </c>
      <c r="R1943" s="1185" t="str">
        <f t="shared" si="412"/>
        <v/>
      </c>
      <c r="S1943" s="1185" t="str">
        <f>IF(AND(AD1943=1,R1943&lt;&gt;".")=TRUE,R1943/VLOOKUP(G1943,'Exchange Rates'!B:C,2,0),IF(R1943=".",".",""))</f>
        <v/>
      </c>
      <c r="T1943" s="1185" t="str">
        <f>IF(AD1943=1,IF(AF1943="Value is not given at all",".",IF(AF1943="Value is given by the source",S1943,IF(AF1943="Value is calculated with prices",(IF(SUMIFS(Q:Q,A:A,A1943)&gt;0,SUMIFS(Q:Q,A:A,A1943),"."))/VLOOKUP("USD",'Exchange Rates'!B:C,2,0),"Error with coding"))),"")</f>
        <v/>
      </c>
      <c r="U1943" s="1191" t="s">
        <v>365</v>
      </c>
      <c r="V1943" s="983" t="s">
        <v>4344</v>
      </c>
      <c r="W1943" s="983" t="s">
        <v>4339</v>
      </c>
      <c r="X1943" s="1208" t="s">
        <v>364</v>
      </c>
      <c r="Y1943" s="1208" t="s">
        <v>364</v>
      </c>
      <c r="Z1943" s="1191">
        <v>0</v>
      </c>
      <c r="AA1943" s="1191">
        <v>0</v>
      </c>
      <c r="AB1943" s="1208" t="s">
        <v>364</v>
      </c>
      <c r="AC1943" s="1192" t="str">
        <f>""</f>
        <v/>
      </c>
      <c r="AD1943" s="1193">
        <v>0</v>
      </c>
      <c r="AE1943" s="1191" t="s">
        <v>368</v>
      </c>
      <c r="AF1943" s="1191" t="s">
        <v>369</v>
      </c>
      <c r="AG1943" s="1193">
        <v>1</v>
      </c>
      <c r="AH1943" s="1191">
        <v>16</v>
      </c>
      <c r="AI1943" s="1193">
        <v>0</v>
      </c>
      <c r="AJ1943" s="1193">
        <f>VLOOKUP($I1943,'Price List, Weapons &amp; Items'!B:F,5,0)</f>
        <v>1</v>
      </c>
      <c r="AK1943" s="1193">
        <f t="shared" si="417"/>
        <v>1</v>
      </c>
      <c r="AL1943" s="1193">
        <f t="shared" si="418"/>
        <v>1</v>
      </c>
      <c r="AM1943" s="1193">
        <f t="shared" si="419"/>
        <v>0</v>
      </c>
      <c r="AN1943" s="1194" t="str">
        <f>VLOOKUP($I1943,'Price List, Weapons &amp; Items'!B:L,COLUMN('Price List, Weapons &amp; Items'!$J$11)-1,0)</f>
        <v>Media reports (incl. social media)</v>
      </c>
      <c r="AO1943" s="1194" t="str">
        <f>IF(I1943=".",".",VLOOKUP($I1943,'Price List, Weapons &amp; Items'!B:J,3,0))</f>
        <v>122mm MLRS ammunition</v>
      </c>
      <c r="AP1943" s="1195" t="str">
        <f t="shared" ca="1" si="413"/>
        <v/>
      </c>
      <c r="AQ1943" s="1194">
        <f>VLOOKUP($I1943,'Price List, Weapons &amp; Items'!B:L,COLUMN('Price List, Weapons &amp; Items'!$L$11)-1,0)</f>
        <v>2</v>
      </c>
      <c r="AR1943" s="1194">
        <f t="shared" si="420"/>
        <v>1</v>
      </c>
      <c r="AS1943" s="1194">
        <f t="shared" si="421"/>
        <v>1</v>
      </c>
      <c r="AT1943" s="1194">
        <f t="shared" si="422"/>
        <v>1</v>
      </c>
      <c r="AU1943" s="1194" t="str">
        <f t="shared" si="411"/>
        <v>.</v>
      </c>
      <c r="AV1943" s="1194" t="str">
        <f t="shared" si="414"/>
        <v>.</v>
      </c>
      <c r="AW1943" s="1194" t="str">
        <f t="shared" si="423"/>
        <v>.</v>
      </c>
      <c r="AX1943" s="1194">
        <f>IFERROR(VLOOKUP(B1943,'Share, Heavy Weapons to Ukraine'!B:Z,COLUMN('Share, Heavy Weapons to Ukraine'!C1951)-1,0),0)</f>
        <v>1</v>
      </c>
      <c r="AY1943" s="1194">
        <f>VLOOKUP('Bilateral Assistance, MAIN DATA'!B1943,'Country Summary (€)'!B:F,COLUMN('Country Summary (€)'!C1952)-1,FALSE)</f>
        <v>0</v>
      </c>
      <c r="AZ1943" s="1194" t="str">
        <f>IF(AND(AD1943=1,D1943="Military",H1943&lt;&gt;"Not given")=TRUE,IF(SUMIFS(P:P,A:A,A1943)&gt;0,ABS((SUMIFS(P:P,A:A,A1943)/VLOOKUP("USD",'Exchange Rates'!B:C,2,0)))/S1943,"."),".")</f>
        <v>.</v>
      </c>
      <c r="BA1943" s="1196" t="str">
        <f>IF(AND(AD1943=1,D1943="Military",H1943&lt;&gt;"Not given")=TRUE,IF(SUMIFS(P:P,A:A,A1943)&gt;0,IF((ABS((SUMIFS(P:P,A:A,A1943)/VLOOKUP("USD",'Exchange Rates'!B:C,2,0)))/S1943)&gt;1,(SUMIFS(P:P,A:A,A1943)-S1943)/S1943,(S1943-SUMIFS(P:P,A:A,A1943))/SUMIFS(P:P,A:A,A1943)),"."),".")</f>
        <v>.</v>
      </c>
      <c r="BB1943" s="1208"/>
      <c r="BC1943" s="1208"/>
      <c r="BD1943" s="1208"/>
      <c r="BE1943" s="1208"/>
      <c r="BF1943" s="1208"/>
      <c r="BG1943" s="1208"/>
      <c r="BH1943" s="1208"/>
      <c r="BI1943" s="1208"/>
      <c r="BJ1943" s="1208"/>
      <c r="BK1943" s="1208"/>
      <c r="BL1943" s="1208"/>
      <c r="BM1943" s="1208"/>
      <c r="BN1943" s="1208"/>
      <c r="BO1943" s="1208"/>
      <c r="BP1943" s="1208"/>
      <c r="BQ1943" s="1208"/>
      <c r="BR1943" s="1208"/>
      <c r="BS1943" s="1208"/>
    </row>
    <row r="1944" spans="1:71" ht="16.899999999999999" customHeight="1">
      <c r="A1944" s="1208" t="s">
        <v>4361</v>
      </c>
      <c r="B1944" s="1141" t="s">
        <v>3949</v>
      </c>
      <c r="C1944" s="1209">
        <v>45020</v>
      </c>
      <c r="D1944" s="1141" t="s">
        <v>389</v>
      </c>
      <c r="E1944" s="1141" t="s">
        <v>390</v>
      </c>
      <c r="F1944" s="1141" t="s">
        <v>4381</v>
      </c>
      <c r="G1944" s="1115" t="s">
        <v>456</v>
      </c>
      <c r="H1944" s="1210">
        <v>2100000000</v>
      </c>
      <c r="I1944" s="1141" t="s">
        <v>593</v>
      </c>
      <c r="J1944" s="1186" t="str">
        <f>VLOOKUP($I1944,'Price List, Weapons &amp; Items'!B:C,2,0)</f>
        <v>Portable defence system</v>
      </c>
      <c r="K1944" s="1186" t="str">
        <f>IF(I1944=".",I1944,VLOOKUP($I1944,'Price List, Weapons &amp; Items'!B:D,3,0))</f>
        <v>Light Anti-armor Weapon (LAW)</v>
      </c>
      <c r="L1944" s="1187">
        <f>VLOOKUP(I1944,'Price List, Weapons &amp; Items'!B:E,4,0)</f>
        <v>0</v>
      </c>
      <c r="M1944" s="1188" t="s">
        <v>374</v>
      </c>
      <c r="N1944" s="1188" t="s">
        <v>374</v>
      </c>
      <c r="O1944" s="1188">
        <f>VLOOKUP($I1944,'Price List, Weapons &amp; Items'!B:G,6,0)</f>
        <v>1475</v>
      </c>
      <c r="P1944" s="1185" t="str">
        <f t="shared" si="415"/>
        <v>.</v>
      </c>
      <c r="Q1944" s="1185" t="str">
        <f t="shared" si="416"/>
        <v>.</v>
      </c>
      <c r="R1944" s="1185" t="str">
        <f t="shared" si="412"/>
        <v/>
      </c>
      <c r="S1944" s="1185" t="str">
        <f>IF(AND(AD1944=1,R1944&lt;&gt;".")=TRUE,R1944/VLOOKUP(G1944,'Exchange Rates'!B:C,2,0),IF(R1944=".",".",""))</f>
        <v/>
      </c>
      <c r="T1944" s="1185" t="str">
        <f>IF(AD1944=1,IF(AF1944="Value is not given at all",".",IF(AF1944="Value is given by the source",S1944,IF(AF1944="Value is calculated with prices",(IF(SUMIFS(Q:Q,A:A,A1944)&gt;0,SUMIFS(Q:Q,A:A,A1944),"."))/VLOOKUP("USD",'Exchange Rates'!B:C,2,0),"Error with coding"))),"")</f>
        <v/>
      </c>
      <c r="U1944" s="1191" t="s">
        <v>365</v>
      </c>
      <c r="V1944" s="983" t="s">
        <v>4344</v>
      </c>
      <c r="W1944" s="983" t="s">
        <v>4339</v>
      </c>
      <c r="X1944" s="1208" t="s">
        <v>364</v>
      </c>
      <c r="Y1944" s="1208" t="s">
        <v>364</v>
      </c>
      <c r="Z1944" s="1191">
        <v>0</v>
      </c>
      <c r="AA1944" s="1191">
        <v>0</v>
      </c>
      <c r="AB1944" s="1208" t="s">
        <v>364</v>
      </c>
      <c r="AC1944" s="1192" t="str">
        <f>""</f>
        <v/>
      </c>
      <c r="AD1944" s="1193">
        <v>0</v>
      </c>
      <c r="AE1944" s="1191" t="s">
        <v>368</v>
      </c>
      <c r="AF1944" s="1191" t="s">
        <v>369</v>
      </c>
      <c r="AG1944" s="1193">
        <v>1</v>
      </c>
      <c r="AH1944" s="1191">
        <v>16</v>
      </c>
      <c r="AI1944" s="1193">
        <v>0</v>
      </c>
      <c r="AJ1944" s="1193">
        <f>VLOOKUP($I1944,'Price List, Weapons &amp; Items'!B:F,5,0)</f>
        <v>0</v>
      </c>
      <c r="AK1944" s="1193">
        <f t="shared" si="417"/>
        <v>0</v>
      </c>
      <c r="AL1944" s="1193">
        <f t="shared" si="418"/>
        <v>0</v>
      </c>
      <c r="AM1944" s="1193">
        <f t="shared" si="419"/>
        <v>0</v>
      </c>
      <c r="AN1944" s="1194" t="str">
        <f>VLOOKUP($I1944,'Price List, Weapons &amp; Items'!B:L,COLUMN('Price List, Weapons &amp; Items'!$J$11)-1,0)</f>
        <v>Military media (incl. websites)</v>
      </c>
      <c r="AO1944" s="1194" t="str">
        <f>IF(I1944=".",".",VLOOKUP($I1944,'Price List, Weapons &amp; Items'!B:J,3,0))</f>
        <v>Light Anti-armor Weapon (LAW)</v>
      </c>
      <c r="AP1944" s="1195" t="str">
        <f t="shared" ca="1" si="413"/>
        <v/>
      </c>
      <c r="AQ1944" s="1194">
        <f>VLOOKUP($I1944,'Price List, Weapons &amp; Items'!B:L,COLUMN('Price List, Weapons &amp; Items'!$L$11)-1,0)</f>
        <v>2</v>
      </c>
      <c r="AR1944" s="1194">
        <f t="shared" si="420"/>
        <v>1</v>
      </c>
      <c r="AS1944" s="1194">
        <f t="shared" si="421"/>
        <v>1</v>
      </c>
      <c r="AT1944" s="1194">
        <f t="shared" si="422"/>
        <v>1</v>
      </c>
      <c r="AU1944" s="1194" t="str">
        <f t="shared" si="411"/>
        <v>.</v>
      </c>
      <c r="AV1944" s="1194" t="str">
        <f t="shared" si="414"/>
        <v>.</v>
      </c>
      <c r="AW1944" s="1194" t="str">
        <f t="shared" si="423"/>
        <v>.</v>
      </c>
      <c r="AX1944" s="1194">
        <f>IFERROR(VLOOKUP(B1944,'Share, Heavy Weapons to Ukraine'!B:Z,COLUMN('Share, Heavy Weapons to Ukraine'!C1952)-1,0),0)</f>
        <v>1</v>
      </c>
      <c r="AY1944" s="1194">
        <f>VLOOKUP('Bilateral Assistance, MAIN DATA'!B1944,'Country Summary (€)'!B:F,COLUMN('Country Summary (€)'!C1953)-1,FALSE)</f>
        <v>0</v>
      </c>
      <c r="AZ1944" s="1194" t="str">
        <f>IF(AND(AD1944=1,D1944="Military",H1944&lt;&gt;"Not given")=TRUE,IF(SUMIFS(P:P,A:A,A1944)&gt;0,ABS((SUMIFS(P:P,A:A,A1944)/VLOOKUP("USD",'Exchange Rates'!B:C,2,0)))/S1944,"."),".")</f>
        <v>.</v>
      </c>
      <c r="BA1944" s="1196" t="str">
        <f>IF(AND(AD1944=1,D1944="Military",H1944&lt;&gt;"Not given")=TRUE,IF(SUMIFS(P:P,A:A,A1944)&gt;0,IF((ABS((SUMIFS(P:P,A:A,A1944)/VLOOKUP("USD",'Exchange Rates'!B:C,2,0)))/S1944)&gt;1,(SUMIFS(P:P,A:A,A1944)-S1944)/S1944,(S1944-SUMIFS(P:P,A:A,A1944))/SUMIFS(P:P,A:A,A1944)),"."),".")</f>
        <v>.</v>
      </c>
      <c r="BB1944" s="1208"/>
      <c r="BC1944" s="1208"/>
      <c r="BD1944" s="1208"/>
      <c r="BE1944" s="1208"/>
      <c r="BF1944" s="1208"/>
      <c r="BG1944" s="1208"/>
      <c r="BH1944" s="1208"/>
      <c r="BI1944" s="1208"/>
      <c r="BJ1944" s="1208"/>
      <c r="BK1944" s="1208"/>
      <c r="BL1944" s="1208"/>
      <c r="BM1944" s="1208"/>
      <c r="BN1944" s="1208"/>
      <c r="BO1944" s="1208"/>
      <c r="BP1944" s="1208"/>
      <c r="BQ1944" s="1208"/>
      <c r="BR1944" s="1208"/>
      <c r="BS1944" s="1208"/>
    </row>
    <row r="1945" spans="1:71" ht="16.899999999999999" customHeight="1">
      <c r="A1945" s="1208" t="s">
        <v>4361</v>
      </c>
      <c r="B1945" s="1141" t="s">
        <v>3949</v>
      </c>
      <c r="C1945" s="1209">
        <v>45020</v>
      </c>
      <c r="D1945" s="1141" t="s">
        <v>389</v>
      </c>
      <c r="E1945" s="1141" t="s">
        <v>390</v>
      </c>
      <c r="F1945" s="1141" t="s">
        <v>4381</v>
      </c>
      <c r="G1945" s="1115" t="s">
        <v>456</v>
      </c>
      <c r="H1945" s="1210">
        <v>2100000000</v>
      </c>
      <c r="I1945" s="1141" t="s">
        <v>4354</v>
      </c>
      <c r="J1945" s="1186" t="str">
        <f>VLOOKUP($I1945,'Price List, Weapons &amp; Items'!B:C,2,0)</f>
        <v>Heavy weapon</v>
      </c>
      <c r="K1945" s="1186" t="str">
        <f>IF(I1945=".",I1945,VLOOKUP($I1945,'Price List, Weapons &amp; Items'!B:D,3,0))</f>
        <v>ammunition</v>
      </c>
      <c r="L1945" s="1187">
        <f>VLOOKUP(I1945,'Price List, Weapons &amp; Items'!B:E,4,0)</f>
        <v>0</v>
      </c>
      <c r="M1945" s="1188" t="s">
        <v>374</v>
      </c>
      <c r="N1945" s="1188" t="s">
        <v>374</v>
      </c>
      <c r="O1945" s="1188">
        <f>VLOOKUP($I1945,'Price List, Weapons &amp; Items'!B:G,6,0)</f>
        <v>1664700</v>
      </c>
      <c r="P1945" s="1185" t="str">
        <f t="shared" si="415"/>
        <v>.</v>
      </c>
      <c r="Q1945" s="1185" t="str">
        <f t="shared" si="416"/>
        <v>.</v>
      </c>
      <c r="R1945" s="1185" t="str">
        <f t="shared" si="412"/>
        <v/>
      </c>
      <c r="S1945" s="1185" t="str">
        <f>IF(AND(AD1945=1,R1945&lt;&gt;".")=TRUE,R1945/VLOOKUP(G1945,'Exchange Rates'!B:C,2,0),IF(R1945=".",".",""))</f>
        <v/>
      </c>
      <c r="T1945" s="1185" t="str">
        <f>IF(AD1945=1,IF(AF1945="Value is not given at all",".",IF(AF1945="Value is given by the source",S1945,IF(AF1945="Value is calculated with prices",(IF(SUMIFS(Q:Q,A:A,A1945)&gt;0,SUMIFS(Q:Q,A:A,A1945),"."))/VLOOKUP("USD",'Exchange Rates'!B:C,2,0),"Error with coding"))),"")</f>
        <v/>
      </c>
      <c r="U1945" s="1191" t="s">
        <v>365</v>
      </c>
      <c r="V1945" s="983" t="s">
        <v>4344</v>
      </c>
      <c r="W1945" s="983" t="s">
        <v>4339</v>
      </c>
      <c r="X1945" s="1208" t="s">
        <v>364</v>
      </c>
      <c r="Y1945" s="1208" t="s">
        <v>364</v>
      </c>
      <c r="Z1945" s="1191">
        <v>0</v>
      </c>
      <c r="AA1945" s="1191">
        <v>0</v>
      </c>
      <c r="AB1945" s="1208" t="s">
        <v>364</v>
      </c>
      <c r="AC1945" s="1192" t="str">
        <f>""</f>
        <v/>
      </c>
      <c r="AD1945" s="1193">
        <v>0</v>
      </c>
      <c r="AE1945" s="1191" t="s">
        <v>368</v>
      </c>
      <c r="AF1945" s="1191" t="s">
        <v>369</v>
      </c>
      <c r="AG1945" s="1193">
        <v>1</v>
      </c>
      <c r="AH1945" s="1191">
        <v>16</v>
      </c>
      <c r="AI1945" s="1193">
        <v>0</v>
      </c>
      <c r="AJ1945" s="1193">
        <f>VLOOKUP($I1945,'Price List, Weapons &amp; Items'!B:F,5,0)</f>
        <v>0</v>
      </c>
      <c r="AK1945" s="1193">
        <f t="shared" si="417"/>
        <v>0</v>
      </c>
      <c r="AL1945" s="1193">
        <f t="shared" si="418"/>
        <v>0</v>
      </c>
      <c r="AM1945" s="1193">
        <f t="shared" si="419"/>
        <v>0</v>
      </c>
      <c r="AN1945" s="1194" t="str">
        <f>VLOOKUP($I1945,'Price List, Weapons &amp; Items'!B:L,COLUMN('Price List, Weapons &amp; Items'!$J$11)-1,0)</f>
        <v>Government information</v>
      </c>
      <c r="AO1945" s="1194" t="str">
        <f>IF(I1945=".",".",VLOOKUP($I1945,'Price List, Weapons &amp; Items'!B:J,3,0))</f>
        <v>ammunition</v>
      </c>
      <c r="AP1945" s="1195" t="str">
        <f t="shared" ca="1" si="413"/>
        <v/>
      </c>
      <c r="AQ1945" s="1194" t="str">
        <f>VLOOKUP($I1945,'Price List, Weapons &amp; Items'!B:L,COLUMN('Price List, Weapons &amp; Items'!$L$11)-1,0)</f>
        <v>no price, 0 count</v>
      </c>
      <c r="AR1945" s="1194">
        <f t="shared" si="420"/>
        <v>1</v>
      </c>
      <c r="AS1945" s="1194">
        <f t="shared" si="421"/>
        <v>1</v>
      </c>
      <c r="AT1945" s="1194">
        <f t="shared" si="422"/>
        <v>1</v>
      </c>
      <c r="AU1945" s="1194" t="str">
        <f t="shared" si="411"/>
        <v>.</v>
      </c>
      <c r="AV1945" s="1194" t="str">
        <f t="shared" si="414"/>
        <v>.</v>
      </c>
      <c r="AW1945" s="1194" t="str">
        <f t="shared" si="423"/>
        <v>.</v>
      </c>
      <c r="AX1945" s="1194">
        <f>IFERROR(VLOOKUP(B1945,'Share, Heavy Weapons to Ukraine'!B:Z,COLUMN('Share, Heavy Weapons to Ukraine'!C1953)-1,0),0)</f>
        <v>1</v>
      </c>
      <c r="AY1945" s="1194">
        <f>VLOOKUP('Bilateral Assistance, MAIN DATA'!B1945,'Country Summary (€)'!B:F,COLUMN('Country Summary (€)'!C1954)-1,FALSE)</f>
        <v>0</v>
      </c>
      <c r="AZ1945" s="1194" t="str">
        <f>IF(AND(AD1945=1,D1945="Military",H1945&lt;&gt;"Not given")=TRUE,IF(SUMIFS(P:P,A:A,A1945)&gt;0,ABS((SUMIFS(P:P,A:A,A1945)/VLOOKUP("USD",'Exchange Rates'!B:C,2,0)))/S1945,"."),".")</f>
        <v>.</v>
      </c>
      <c r="BA1945" s="1196" t="str">
        <f>IF(AND(AD1945=1,D1945="Military",H1945&lt;&gt;"Not given")=TRUE,IF(SUMIFS(P:P,A:A,A1945)&gt;0,IF((ABS((SUMIFS(P:P,A:A,A1945)/VLOOKUP("USD",'Exchange Rates'!B:C,2,0)))/S1945)&gt;1,(SUMIFS(P:P,A:A,A1945)-S1945)/S1945,(S1945-SUMIFS(P:P,A:A,A1945))/SUMIFS(P:P,A:A,A1945)),"."),".")</f>
        <v>.</v>
      </c>
      <c r="BB1945" s="1208"/>
      <c r="BC1945" s="1208"/>
      <c r="BD1945" s="1208"/>
      <c r="BE1945" s="1208"/>
      <c r="BF1945" s="1208"/>
      <c r="BG1945" s="1208"/>
      <c r="BH1945" s="1208"/>
      <c r="BI1945" s="1208"/>
      <c r="BJ1945" s="1208"/>
      <c r="BK1945" s="1208"/>
      <c r="BL1945" s="1208"/>
      <c r="BM1945" s="1208"/>
      <c r="BN1945" s="1208"/>
      <c r="BO1945" s="1208"/>
      <c r="BP1945" s="1208"/>
      <c r="BQ1945" s="1208"/>
      <c r="BR1945" s="1208"/>
      <c r="BS1945" s="1208"/>
    </row>
    <row r="1946" spans="1:71" ht="16.899999999999999" customHeight="1">
      <c r="A1946" s="1208" t="s">
        <v>4361</v>
      </c>
      <c r="B1946" s="1141" t="s">
        <v>3949</v>
      </c>
      <c r="C1946" s="1209">
        <v>45020</v>
      </c>
      <c r="D1946" s="1141" t="s">
        <v>389</v>
      </c>
      <c r="E1946" s="1141" t="s">
        <v>390</v>
      </c>
      <c r="F1946" s="1141" t="s">
        <v>4381</v>
      </c>
      <c r="G1946" s="1115" t="s">
        <v>456</v>
      </c>
      <c r="H1946" s="1210">
        <v>2100000000</v>
      </c>
      <c r="I1946" s="1141" t="s">
        <v>626</v>
      </c>
      <c r="J1946" s="1186" t="str">
        <f>VLOOKUP($I1946,'Price List, Weapons &amp; Items'!B:C,2,0)</f>
        <v>Heavy weapon</v>
      </c>
      <c r="K1946" s="1186" t="str">
        <f>IF(I1946=".",I1946,VLOOKUP($I1946,'Price List, Weapons &amp; Items'!B:D,3,0))</f>
        <v>Mortar</v>
      </c>
      <c r="L1946" s="1187">
        <f>VLOOKUP(I1946,'Price List, Weapons &amp; Items'!B:E,4,0)</f>
        <v>0</v>
      </c>
      <c r="M1946" s="1188" t="s">
        <v>374</v>
      </c>
      <c r="N1946" s="1188" t="s">
        <v>374</v>
      </c>
      <c r="O1946" s="1188">
        <f>VLOOKUP($I1946,'Price List, Weapons &amp; Items'!B:G,6,0)</f>
        <v>388500</v>
      </c>
      <c r="P1946" s="1185" t="str">
        <f t="shared" si="415"/>
        <v>.</v>
      </c>
      <c r="Q1946" s="1185" t="str">
        <f t="shared" si="416"/>
        <v>.</v>
      </c>
      <c r="R1946" s="1185" t="str">
        <f t="shared" si="412"/>
        <v/>
      </c>
      <c r="S1946" s="1185" t="str">
        <f>IF(AND(AD1946=1,R1946&lt;&gt;".")=TRUE,R1946/VLOOKUP(G1946,'Exchange Rates'!B:C,2,0),IF(R1946=".",".",""))</f>
        <v/>
      </c>
      <c r="T1946" s="1185" t="str">
        <f>IF(AD1946=1,IF(AF1946="Value is not given at all",".",IF(AF1946="Value is given by the source",S1946,IF(AF1946="Value is calculated with prices",(IF(SUMIFS(Q:Q,A:A,A1946)&gt;0,SUMIFS(Q:Q,A:A,A1946),"."))/VLOOKUP("USD",'Exchange Rates'!B:C,2,0),"Error with coding"))),"")</f>
        <v/>
      </c>
      <c r="U1946" s="1191" t="s">
        <v>365</v>
      </c>
      <c r="V1946" s="983" t="s">
        <v>4344</v>
      </c>
      <c r="W1946" s="983" t="s">
        <v>4339</v>
      </c>
      <c r="X1946" s="1208" t="s">
        <v>364</v>
      </c>
      <c r="Y1946" s="1208" t="s">
        <v>364</v>
      </c>
      <c r="Z1946" s="1191">
        <v>0</v>
      </c>
      <c r="AA1946" s="1191">
        <v>0</v>
      </c>
      <c r="AB1946" s="1208" t="s">
        <v>364</v>
      </c>
      <c r="AC1946" s="1192" t="str">
        <f>""</f>
        <v/>
      </c>
      <c r="AD1946" s="1193">
        <v>0</v>
      </c>
      <c r="AE1946" s="1191" t="s">
        <v>368</v>
      </c>
      <c r="AF1946" s="1191" t="s">
        <v>369</v>
      </c>
      <c r="AG1946" s="1193">
        <v>1</v>
      </c>
      <c r="AH1946" s="1191">
        <v>16</v>
      </c>
      <c r="AI1946" s="1193">
        <v>0</v>
      </c>
      <c r="AJ1946" s="1193">
        <f>VLOOKUP($I1946,'Price List, Weapons &amp; Items'!B:F,5,0)</f>
        <v>0</v>
      </c>
      <c r="AK1946" s="1193">
        <f t="shared" si="417"/>
        <v>0</v>
      </c>
      <c r="AL1946" s="1193">
        <f t="shared" si="418"/>
        <v>0</v>
      </c>
      <c r="AM1946" s="1193">
        <f t="shared" si="419"/>
        <v>0</v>
      </c>
      <c r="AN1946" s="1194" t="str">
        <f>VLOOKUP($I1946,'Price List, Weapons &amp; Items'!B:L,COLUMN('Price List, Weapons &amp; Items'!$J$11)-1,0)</f>
        <v>Military media (incl. websites)</v>
      </c>
      <c r="AO1946" s="1194" t="str">
        <f>IF(I1946=".",".",VLOOKUP($I1946,'Price List, Weapons &amp; Items'!B:J,3,0))</f>
        <v>Mortar</v>
      </c>
      <c r="AP1946" s="1195" t="str">
        <f t="shared" ca="1" si="413"/>
        <v/>
      </c>
      <c r="AQ1946" s="1194">
        <f>VLOOKUP($I1946,'Price List, Weapons &amp; Items'!B:L,COLUMN('Price List, Weapons &amp; Items'!$L$11)-1,0)</f>
        <v>2</v>
      </c>
      <c r="AR1946" s="1194">
        <f t="shared" si="420"/>
        <v>1</v>
      </c>
      <c r="AS1946" s="1194">
        <f t="shared" si="421"/>
        <v>1</v>
      </c>
      <c r="AT1946" s="1194">
        <f t="shared" si="422"/>
        <v>1</v>
      </c>
      <c r="AU1946" s="1194" t="str">
        <f t="shared" si="411"/>
        <v>.</v>
      </c>
      <c r="AV1946" s="1194" t="str">
        <f t="shared" si="414"/>
        <v>.</v>
      </c>
      <c r="AW1946" s="1194" t="str">
        <f t="shared" si="423"/>
        <v>.</v>
      </c>
      <c r="AX1946" s="1194">
        <f>IFERROR(VLOOKUP(B1946,'Share, Heavy Weapons to Ukraine'!B:Z,COLUMN('Share, Heavy Weapons to Ukraine'!C1954)-1,0),0)</f>
        <v>1</v>
      </c>
      <c r="AY1946" s="1194">
        <f>VLOOKUP('Bilateral Assistance, MAIN DATA'!B1946,'Country Summary (€)'!B:F,COLUMN('Country Summary (€)'!C1955)-1,FALSE)</f>
        <v>0</v>
      </c>
      <c r="AZ1946" s="1194" t="str">
        <f>IF(AND(AD1946=1,D1946="Military",H1946&lt;&gt;"Not given")=TRUE,IF(SUMIFS(P:P,A:A,A1946)&gt;0,ABS((SUMIFS(P:P,A:A,A1946)/VLOOKUP("USD",'Exchange Rates'!B:C,2,0)))/S1946,"."),".")</f>
        <v>.</v>
      </c>
      <c r="BA1946" s="1196" t="str">
        <f>IF(AND(AD1946=1,D1946="Military",H1946&lt;&gt;"Not given")=TRUE,IF(SUMIFS(P:P,A:A,A1946)&gt;0,IF((ABS((SUMIFS(P:P,A:A,A1946)/VLOOKUP("USD",'Exchange Rates'!B:C,2,0)))/S1946)&gt;1,(SUMIFS(P:P,A:A,A1946)-S1946)/S1946,(S1946-SUMIFS(P:P,A:A,A1946))/SUMIFS(P:P,A:A,A1946)),"."),".")</f>
        <v>.</v>
      </c>
      <c r="BB1946" s="1208"/>
      <c r="BC1946" s="1208"/>
      <c r="BD1946" s="1208"/>
      <c r="BE1946" s="1208"/>
      <c r="BF1946" s="1208"/>
      <c r="BG1946" s="1208"/>
      <c r="BH1946" s="1208"/>
      <c r="BI1946" s="1208"/>
      <c r="BJ1946" s="1208"/>
      <c r="BK1946" s="1208"/>
      <c r="BL1946" s="1208"/>
      <c r="BM1946" s="1208"/>
      <c r="BN1946" s="1208"/>
      <c r="BO1946" s="1208"/>
      <c r="BP1946" s="1208"/>
      <c r="BQ1946" s="1208"/>
      <c r="BR1946" s="1208"/>
      <c r="BS1946" s="1208"/>
    </row>
    <row r="1947" spans="1:71" ht="16.899999999999999" customHeight="1">
      <c r="A1947" s="1208" t="s">
        <v>4361</v>
      </c>
      <c r="B1947" s="1141" t="s">
        <v>3949</v>
      </c>
      <c r="C1947" s="1209">
        <v>45020</v>
      </c>
      <c r="D1947" s="1141" t="s">
        <v>389</v>
      </c>
      <c r="E1947" s="1141" t="s">
        <v>390</v>
      </c>
      <c r="F1947" s="1141" t="s">
        <v>4381</v>
      </c>
      <c r="G1947" s="1115" t="s">
        <v>456</v>
      </c>
      <c r="H1947" s="1210">
        <v>2100000000</v>
      </c>
      <c r="I1947" s="1141" t="s">
        <v>4308</v>
      </c>
      <c r="J1947" s="1186" t="str">
        <f>VLOOKUP($I1947,'Price List, Weapons &amp; Items'!B:C,2,0)</f>
        <v>Light armaments &amp; infantry</v>
      </c>
      <c r="K1947" s="1186" t="str">
        <f>IF(I1947=".",I1947,VLOOKUP($I1947,'Price List, Weapons &amp; Items'!B:D,3,0))</f>
        <v>Mortar</v>
      </c>
      <c r="L1947" s="1187">
        <f>VLOOKUP(I1947,'Price List, Weapons &amp; Items'!B:E,4,0)</f>
        <v>0</v>
      </c>
      <c r="M1947" s="1188" t="s">
        <v>374</v>
      </c>
      <c r="N1947" s="1188" t="s">
        <v>374</v>
      </c>
      <c r="O1947" s="1188">
        <f>VLOOKUP($I1947,'Price List, Weapons &amp; Items'!B:G,6,0)</f>
        <v>24717</v>
      </c>
      <c r="P1947" s="1185" t="str">
        <f t="shared" si="415"/>
        <v>.</v>
      </c>
      <c r="Q1947" s="1185" t="str">
        <f t="shared" si="416"/>
        <v>.</v>
      </c>
      <c r="R1947" s="1185" t="str">
        <f t="shared" si="412"/>
        <v/>
      </c>
      <c r="S1947" s="1185" t="str">
        <f>IF(AND(AD1947=1,R1947&lt;&gt;".")=TRUE,R1947/VLOOKUP(G1947,'Exchange Rates'!B:C,2,0),IF(R1947=".",".",""))</f>
        <v/>
      </c>
      <c r="T1947" s="1185" t="str">
        <f>IF(AD1947=1,IF(AF1947="Value is not given at all",".",IF(AF1947="Value is given by the source",S1947,IF(AF1947="Value is calculated with prices",(IF(SUMIFS(Q:Q,A:A,A1947)&gt;0,SUMIFS(Q:Q,A:A,A1947),"."))/VLOOKUP("USD",'Exchange Rates'!B:C,2,0),"Error with coding"))),"")</f>
        <v/>
      </c>
      <c r="U1947" s="1191" t="s">
        <v>365</v>
      </c>
      <c r="V1947" s="983" t="s">
        <v>4344</v>
      </c>
      <c r="W1947" s="983" t="s">
        <v>4339</v>
      </c>
      <c r="X1947" s="1208" t="s">
        <v>364</v>
      </c>
      <c r="Y1947" s="1208" t="s">
        <v>364</v>
      </c>
      <c r="Z1947" s="1191">
        <v>0</v>
      </c>
      <c r="AA1947" s="1191">
        <v>0</v>
      </c>
      <c r="AB1947" s="1208" t="s">
        <v>364</v>
      </c>
      <c r="AC1947" s="1192" t="str">
        <f>""</f>
        <v/>
      </c>
      <c r="AD1947" s="1193">
        <v>0</v>
      </c>
      <c r="AE1947" s="1191" t="s">
        <v>368</v>
      </c>
      <c r="AF1947" s="1191" t="s">
        <v>369</v>
      </c>
      <c r="AG1947" s="1193">
        <v>1</v>
      </c>
      <c r="AH1947" s="1191">
        <v>16</v>
      </c>
      <c r="AI1947" s="1193">
        <v>0</v>
      </c>
      <c r="AJ1947" s="1193">
        <f>VLOOKUP($I1947,'Price List, Weapons &amp; Items'!B:F,5,0)</f>
        <v>0</v>
      </c>
      <c r="AK1947" s="1193">
        <f t="shared" si="417"/>
        <v>0</v>
      </c>
      <c r="AL1947" s="1193">
        <f t="shared" si="418"/>
        <v>0</v>
      </c>
      <c r="AM1947" s="1193">
        <f t="shared" si="419"/>
        <v>0</v>
      </c>
      <c r="AN1947" s="1194" t="str">
        <f>VLOOKUP($I1947,'Price List, Weapons &amp; Items'!B:L,COLUMN('Price List, Weapons &amp; Items'!$J$11)-1,0)</f>
        <v>Military media (incl. websites)</v>
      </c>
      <c r="AO1947" s="1194" t="str">
        <f>IF(I1947=".",".",VLOOKUP($I1947,'Price List, Weapons &amp; Items'!B:J,3,0))</f>
        <v>Mortar</v>
      </c>
      <c r="AP1947" s="1195" t="str">
        <f t="shared" ca="1" si="413"/>
        <v/>
      </c>
      <c r="AQ1947" s="1194">
        <f>VLOOKUP($I1947,'Price List, Weapons &amp; Items'!B:L,COLUMN('Price List, Weapons &amp; Items'!$L$11)-1,0)</f>
        <v>1</v>
      </c>
      <c r="AR1947" s="1194">
        <f t="shared" si="420"/>
        <v>1</v>
      </c>
      <c r="AS1947" s="1194">
        <f t="shared" si="421"/>
        <v>1</v>
      </c>
      <c r="AT1947" s="1194">
        <f t="shared" si="422"/>
        <v>1</v>
      </c>
      <c r="AU1947" s="1194" t="str">
        <f t="shared" si="411"/>
        <v>.</v>
      </c>
      <c r="AV1947" s="1194" t="str">
        <f t="shared" si="414"/>
        <v>.</v>
      </c>
      <c r="AW1947" s="1194" t="str">
        <f t="shared" si="423"/>
        <v>.</v>
      </c>
      <c r="AX1947" s="1194">
        <f>IFERROR(VLOOKUP(B1947,'Share, Heavy Weapons to Ukraine'!B:Z,COLUMN('Share, Heavy Weapons to Ukraine'!C1955)-1,0),0)</f>
        <v>1</v>
      </c>
      <c r="AY1947" s="1194">
        <f>VLOOKUP('Bilateral Assistance, MAIN DATA'!B1947,'Country Summary (€)'!B:F,COLUMN('Country Summary (€)'!C1956)-1,FALSE)</f>
        <v>0</v>
      </c>
      <c r="AZ1947" s="1194" t="str">
        <f>IF(AND(AD1947=1,D1947="Military",H1947&lt;&gt;"Not given")=TRUE,IF(SUMIFS(P:P,A:A,A1947)&gt;0,ABS((SUMIFS(P:P,A:A,A1947)/VLOOKUP("USD",'Exchange Rates'!B:C,2,0)))/S1947,"."),".")</f>
        <v>.</v>
      </c>
      <c r="BA1947" s="1196" t="str">
        <f>IF(AND(AD1947=1,D1947="Military",H1947&lt;&gt;"Not given")=TRUE,IF(SUMIFS(P:P,A:A,A1947)&gt;0,IF((ABS((SUMIFS(P:P,A:A,A1947)/VLOOKUP("USD",'Exchange Rates'!B:C,2,0)))/S1947)&gt;1,(SUMIFS(P:P,A:A,A1947)-S1947)/S1947,(S1947-SUMIFS(P:P,A:A,A1947))/SUMIFS(P:P,A:A,A1947)),"."),".")</f>
        <v>.</v>
      </c>
      <c r="BB1947" s="1208"/>
      <c r="BC1947" s="1208"/>
      <c r="BD1947" s="1208"/>
      <c r="BE1947" s="1208"/>
      <c r="BF1947" s="1208"/>
      <c r="BG1947" s="1208"/>
      <c r="BH1947" s="1208"/>
      <c r="BI1947" s="1208"/>
      <c r="BJ1947" s="1208"/>
      <c r="BK1947" s="1208"/>
      <c r="BL1947" s="1208"/>
      <c r="BM1947" s="1208"/>
      <c r="BN1947" s="1208"/>
      <c r="BO1947" s="1208"/>
      <c r="BP1947" s="1208"/>
      <c r="BQ1947" s="1208"/>
      <c r="BR1947" s="1208"/>
      <c r="BS1947" s="1208"/>
    </row>
    <row r="1948" spans="1:71" ht="16.899999999999999" customHeight="1">
      <c r="A1948" s="1208" t="s">
        <v>4361</v>
      </c>
      <c r="B1948" s="1141" t="s">
        <v>3949</v>
      </c>
      <c r="C1948" s="1209">
        <v>45020</v>
      </c>
      <c r="D1948" s="1141" t="s">
        <v>389</v>
      </c>
      <c r="E1948" s="1141" t="s">
        <v>390</v>
      </c>
      <c r="F1948" s="1141" t="s">
        <v>4381</v>
      </c>
      <c r="G1948" s="1115" t="s">
        <v>456</v>
      </c>
      <c r="H1948" s="1210">
        <v>2100000000</v>
      </c>
      <c r="I1948" s="1141" t="s">
        <v>3137</v>
      </c>
      <c r="J1948" s="1186" t="str">
        <f>VLOOKUP($I1948,'Price List, Weapons &amp; Items'!B:C,2,0)</f>
        <v>Ammunition for heavy weapon</v>
      </c>
      <c r="K1948" s="1186" t="str">
        <f>IF(I1948=".",I1948,VLOOKUP($I1948,'Price List, Weapons &amp; Items'!B:D,3,0))</f>
        <v>Mortar ammunition</v>
      </c>
      <c r="L1948" s="1187">
        <f>VLOOKUP(I1948,'Price List, Weapons &amp; Items'!B:E,4,0)</f>
        <v>0</v>
      </c>
      <c r="M1948" s="1188" t="s">
        <v>374</v>
      </c>
      <c r="N1948" s="1188" t="s">
        <v>374</v>
      </c>
      <c r="O1948" s="1188">
        <f>VLOOKUP($I1948,'Price List, Weapons &amp; Items'!B:G,6,0)</f>
        <v>109.89</v>
      </c>
      <c r="P1948" s="1185" t="str">
        <f t="shared" si="415"/>
        <v>.</v>
      </c>
      <c r="Q1948" s="1185" t="str">
        <f t="shared" si="416"/>
        <v>.</v>
      </c>
      <c r="R1948" s="1185" t="str">
        <f t="shared" si="412"/>
        <v/>
      </c>
      <c r="S1948" s="1185" t="str">
        <f>IF(AND(AD1948=1,R1948&lt;&gt;".")=TRUE,R1948/VLOOKUP(G1948,'Exchange Rates'!B:C,2,0),IF(R1948=".",".",""))</f>
        <v/>
      </c>
      <c r="T1948" s="1185" t="str">
        <f>IF(AD1948=1,IF(AF1948="Value is not given at all",".",IF(AF1948="Value is given by the source",S1948,IF(AF1948="Value is calculated with prices",(IF(SUMIFS(Q:Q,A:A,A1948)&gt;0,SUMIFS(Q:Q,A:A,A1948),"."))/VLOOKUP("USD",'Exchange Rates'!B:C,2,0),"Error with coding"))),"")</f>
        <v/>
      </c>
      <c r="U1948" s="1191" t="s">
        <v>365</v>
      </c>
      <c r="V1948" s="983" t="s">
        <v>4344</v>
      </c>
      <c r="W1948" s="983" t="s">
        <v>4339</v>
      </c>
      <c r="X1948" s="1208" t="s">
        <v>364</v>
      </c>
      <c r="Y1948" s="1208" t="s">
        <v>364</v>
      </c>
      <c r="Z1948" s="1191">
        <v>0</v>
      </c>
      <c r="AA1948" s="1191">
        <v>0</v>
      </c>
      <c r="AB1948" s="1208" t="s">
        <v>364</v>
      </c>
      <c r="AC1948" s="1192" t="str">
        <f>""</f>
        <v/>
      </c>
      <c r="AD1948" s="1193">
        <v>0</v>
      </c>
      <c r="AE1948" s="1191" t="s">
        <v>368</v>
      </c>
      <c r="AF1948" s="1191" t="s">
        <v>369</v>
      </c>
      <c r="AG1948" s="1193">
        <v>1</v>
      </c>
      <c r="AH1948" s="1191">
        <v>16</v>
      </c>
      <c r="AI1948" s="1193">
        <v>0</v>
      </c>
      <c r="AJ1948" s="1193">
        <f>VLOOKUP($I1948,'Price List, Weapons &amp; Items'!B:F,5,0)</f>
        <v>0</v>
      </c>
      <c r="AK1948" s="1193">
        <f t="shared" si="417"/>
        <v>0</v>
      </c>
      <c r="AL1948" s="1193">
        <f t="shared" si="418"/>
        <v>0</v>
      </c>
      <c r="AM1948" s="1193">
        <f t="shared" si="419"/>
        <v>0</v>
      </c>
      <c r="AN1948" s="1194" t="str">
        <f>VLOOKUP($I1948,'Price List, Weapons &amp; Items'!B:L,COLUMN('Price List, Weapons &amp; Items'!$J$11)-1,0)</f>
        <v>Government information</v>
      </c>
      <c r="AO1948" s="1194" t="str">
        <f>IF(I1948=".",".",VLOOKUP($I1948,'Price List, Weapons &amp; Items'!B:J,3,0))</f>
        <v>Mortar ammunition</v>
      </c>
      <c r="AP1948" s="1195" t="str">
        <f t="shared" ca="1" si="413"/>
        <v/>
      </c>
      <c r="AQ1948" s="1194">
        <f>VLOOKUP($I1948,'Price List, Weapons &amp; Items'!B:L,COLUMN('Price List, Weapons &amp; Items'!$L$11)-1,0)</f>
        <v>2</v>
      </c>
      <c r="AR1948" s="1194">
        <f t="shared" si="420"/>
        <v>1</v>
      </c>
      <c r="AS1948" s="1194">
        <f t="shared" si="421"/>
        <v>1</v>
      </c>
      <c r="AT1948" s="1194">
        <f t="shared" si="422"/>
        <v>1</v>
      </c>
      <c r="AU1948" s="1194" t="str">
        <f t="shared" si="411"/>
        <v>.</v>
      </c>
      <c r="AV1948" s="1194" t="str">
        <f t="shared" si="414"/>
        <v>.</v>
      </c>
      <c r="AW1948" s="1194" t="str">
        <f t="shared" si="423"/>
        <v>.</v>
      </c>
      <c r="AX1948" s="1194">
        <f>IFERROR(VLOOKUP(B1948,'Share, Heavy Weapons to Ukraine'!B:Z,COLUMN('Share, Heavy Weapons to Ukraine'!C1956)-1,0),0)</f>
        <v>1</v>
      </c>
      <c r="AY1948" s="1194">
        <f>VLOOKUP('Bilateral Assistance, MAIN DATA'!B1948,'Country Summary (€)'!B:F,COLUMN('Country Summary (€)'!C1957)-1,FALSE)</f>
        <v>0</v>
      </c>
      <c r="AZ1948" s="1194" t="str">
        <f>IF(AND(AD1948=1,D1948="Military",H1948&lt;&gt;"Not given")=TRUE,IF(SUMIFS(P:P,A:A,A1948)&gt;0,ABS((SUMIFS(P:P,A:A,A1948)/VLOOKUP("USD",'Exchange Rates'!B:C,2,0)))/S1948,"."),".")</f>
        <v>.</v>
      </c>
      <c r="BA1948" s="1196" t="str">
        <f>IF(AND(AD1948=1,D1948="Military",H1948&lt;&gt;"Not given")=TRUE,IF(SUMIFS(P:P,A:A,A1948)&gt;0,IF((ABS((SUMIFS(P:P,A:A,A1948)/VLOOKUP("USD",'Exchange Rates'!B:C,2,0)))/S1948)&gt;1,(SUMIFS(P:P,A:A,A1948)-S1948)/S1948,(S1948-SUMIFS(P:P,A:A,A1948))/SUMIFS(P:P,A:A,A1948)),"."),".")</f>
        <v>.</v>
      </c>
      <c r="BB1948" s="1208"/>
      <c r="BC1948" s="1208"/>
      <c r="BD1948" s="1208"/>
      <c r="BE1948" s="1208"/>
      <c r="BF1948" s="1208"/>
      <c r="BG1948" s="1208"/>
      <c r="BH1948" s="1208"/>
      <c r="BI1948" s="1208"/>
      <c r="BJ1948" s="1208"/>
      <c r="BK1948" s="1208"/>
      <c r="BL1948" s="1208"/>
      <c r="BM1948" s="1208"/>
      <c r="BN1948" s="1208"/>
      <c r="BO1948" s="1208"/>
      <c r="BP1948" s="1208"/>
      <c r="BQ1948" s="1208"/>
      <c r="BR1948" s="1208"/>
      <c r="BS1948" s="1208"/>
    </row>
    <row r="1949" spans="1:71" ht="16.899999999999999" customHeight="1">
      <c r="A1949" s="1208" t="s">
        <v>4361</v>
      </c>
      <c r="B1949" s="1141" t="s">
        <v>3949</v>
      </c>
      <c r="C1949" s="1209">
        <v>45020</v>
      </c>
      <c r="D1949" s="1141" t="s">
        <v>389</v>
      </c>
      <c r="E1949" s="1141" t="s">
        <v>390</v>
      </c>
      <c r="F1949" s="1141" t="s">
        <v>4381</v>
      </c>
      <c r="G1949" s="1115" t="s">
        <v>456</v>
      </c>
      <c r="H1949" s="1210">
        <v>2100000000</v>
      </c>
      <c r="I1949" s="1141" t="s">
        <v>4235</v>
      </c>
      <c r="J1949" s="1186" t="str">
        <f>VLOOKUP($I1949,'Price List, Weapons &amp; Items'!B:C,2,0)</f>
        <v>Ammunition for light infantry</v>
      </c>
      <c r="K1949" s="1186" t="str">
        <f>IF(I1949=".",I1949,VLOOKUP($I1949,'Price List, Weapons &amp; Items'!B:D,3,0))</f>
        <v>Mortar ammunition</v>
      </c>
      <c r="L1949" s="1187">
        <f>VLOOKUP(I1949,'Price List, Weapons &amp; Items'!B:E,4,0)</f>
        <v>0</v>
      </c>
      <c r="M1949" s="1188" t="s">
        <v>374</v>
      </c>
      <c r="N1949" s="1188" t="s">
        <v>374</v>
      </c>
      <c r="O1949" s="1188" t="str">
        <f>VLOOKUP($I1949,'Price List, Weapons &amp; Items'!B:G,6,0)</f>
        <v>.</v>
      </c>
      <c r="P1949" s="1185" t="str">
        <f t="shared" si="415"/>
        <v>.</v>
      </c>
      <c r="Q1949" s="1185" t="str">
        <f t="shared" si="416"/>
        <v>.</v>
      </c>
      <c r="R1949" s="1185" t="str">
        <f t="shared" si="412"/>
        <v/>
      </c>
      <c r="S1949" s="1185" t="str">
        <f>IF(AND(AD1949=1,R1949&lt;&gt;".")=TRUE,R1949/VLOOKUP(G1949,'Exchange Rates'!B:C,2,0),IF(R1949=".",".",""))</f>
        <v/>
      </c>
      <c r="T1949" s="1185" t="str">
        <f>IF(AD1949=1,IF(AF1949="Value is not given at all",".",IF(AF1949="Value is given by the source",S1949,IF(AF1949="Value is calculated with prices",(IF(SUMIFS(Q:Q,A:A,A1949)&gt;0,SUMIFS(Q:Q,A:A,A1949),"."))/VLOOKUP("USD",'Exchange Rates'!B:C,2,0),"Error with coding"))),"")</f>
        <v/>
      </c>
      <c r="U1949" s="1191" t="s">
        <v>365</v>
      </c>
      <c r="V1949" s="983" t="s">
        <v>4344</v>
      </c>
      <c r="W1949" s="983" t="s">
        <v>4339</v>
      </c>
      <c r="X1949" s="1208" t="s">
        <v>364</v>
      </c>
      <c r="Y1949" s="1208" t="s">
        <v>364</v>
      </c>
      <c r="Z1949" s="1191">
        <v>0</v>
      </c>
      <c r="AA1949" s="1191">
        <v>0</v>
      </c>
      <c r="AB1949" s="1208" t="s">
        <v>364</v>
      </c>
      <c r="AC1949" s="1192" t="str">
        <f>""</f>
        <v/>
      </c>
      <c r="AD1949" s="1193">
        <v>0</v>
      </c>
      <c r="AE1949" s="1191" t="s">
        <v>368</v>
      </c>
      <c r="AF1949" s="1191" t="s">
        <v>369</v>
      </c>
      <c r="AG1949" s="1193">
        <v>1</v>
      </c>
      <c r="AH1949" s="1191">
        <v>16</v>
      </c>
      <c r="AI1949" s="1193">
        <v>0</v>
      </c>
      <c r="AJ1949" s="1193">
        <f>VLOOKUP($I1949,'Price List, Weapons &amp; Items'!B:F,5,0)</f>
        <v>0</v>
      </c>
      <c r="AK1949" s="1193">
        <f t="shared" si="417"/>
        <v>0</v>
      </c>
      <c r="AL1949" s="1193">
        <f t="shared" si="418"/>
        <v>0</v>
      </c>
      <c r="AM1949" s="1193">
        <f t="shared" si="419"/>
        <v>0</v>
      </c>
      <c r="AN1949" s="1194" t="str">
        <f>VLOOKUP($I1949,'Price List, Weapons &amp; Items'!B:L,COLUMN('Price List, Weapons &amp; Items'!$J$11)-1,0)</f>
        <v>.</v>
      </c>
      <c r="AO1949" s="1194" t="str">
        <f>IF(I1949=".",".",VLOOKUP($I1949,'Price List, Weapons &amp; Items'!B:J,3,0))</f>
        <v>Mortar ammunition</v>
      </c>
      <c r="AP1949" s="1195" t="str">
        <f t="shared" ca="1" si="413"/>
        <v/>
      </c>
      <c r="AQ1949" s="1194" t="str">
        <f>VLOOKUP($I1949,'Price List, Weapons &amp; Items'!B:L,COLUMN('Price List, Weapons &amp; Items'!$L$11)-1,0)</f>
        <v>no price, 0 count</v>
      </c>
      <c r="AR1949" s="1194">
        <f t="shared" si="420"/>
        <v>1</v>
      </c>
      <c r="AS1949" s="1194">
        <f t="shared" si="421"/>
        <v>1</v>
      </c>
      <c r="AT1949" s="1194">
        <f t="shared" si="422"/>
        <v>1</v>
      </c>
      <c r="AU1949" s="1194" t="str">
        <f t="shared" si="411"/>
        <v>.</v>
      </c>
      <c r="AV1949" s="1194" t="str">
        <f t="shared" si="414"/>
        <v>.</v>
      </c>
      <c r="AW1949" s="1194" t="str">
        <f t="shared" si="423"/>
        <v>.</v>
      </c>
      <c r="AX1949" s="1194">
        <f>IFERROR(VLOOKUP(B1949,'Share, Heavy Weapons to Ukraine'!B:Z,COLUMN('Share, Heavy Weapons to Ukraine'!C1957)-1,0),0)</f>
        <v>1</v>
      </c>
      <c r="AY1949" s="1194">
        <f>VLOOKUP('Bilateral Assistance, MAIN DATA'!B1949,'Country Summary (€)'!B:F,COLUMN('Country Summary (€)'!C1958)-1,FALSE)</f>
        <v>0</v>
      </c>
      <c r="AZ1949" s="1194" t="str">
        <f>IF(AND(AD1949=1,D1949="Military",H1949&lt;&gt;"Not given")=TRUE,IF(SUMIFS(P:P,A:A,A1949)&gt;0,ABS((SUMIFS(P:P,A:A,A1949)/VLOOKUP("USD",'Exchange Rates'!B:C,2,0)))/S1949,"."),".")</f>
        <v>.</v>
      </c>
      <c r="BA1949" s="1196" t="str">
        <f>IF(AND(AD1949=1,D1949="Military",H1949&lt;&gt;"Not given")=TRUE,IF(SUMIFS(P:P,A:A,A1949)&gt;0,IF((ABS((SUMIFS(P:P,A:A,A1949)/VLOOKUP("USD",'Exchange Rates'!B:C,2,0)))/S1949)&gt;1,(SUMIFS(P:P,A:A,A1949)-S1949)/S1949,(S1949-SUMIFS(P:P,A:A,A1949))/SUMIFS(P:P,A:A,A1949)),"."),".")</f>
        <v>.</v>
      </c>
      <c r="BB1949" s="1208"/>
      <c r="BC1949" s="1208"/>
      <c r="BD1949" s="1208"/>
      <c r="BE1949" s="1208"/>
      <c r="BF1949" s="1208"/>
      <c r="BG1949" s="1208"/>
      <c r="BH1949" s="1208"/>
      <c r="BI1949" s="1208"/>
      <c r="BJ1949" s="1208"/>
      <c r="BK1949" s="1208"/>
      <c r="BL1949" s="1208"/>
      <c r="BM1949" s="1208"/>
      <c r="BN1949" s="1208"/>
      <c r="BO1949" s="1208"/>
      <c r="BP1949" s="1208"/>
      <c r="BQ1949" s="1208"/>
      <c r="BR1949" s="1208"/>
      <c r="BS1949" s="1208"/>
    </row>
    <row r="1950" spans="1:71" ht="15.6">
      <c r="A1950" s="1208" t="s">
        <v>4361</v>
      </c>
      <c r="B1950" s="1141" t="s">
        <v>3949</v>
      </c>
      <c r="C1950" s="1209">
        <v>45020</v>
      </c>
      <c r="D1950" s="1141" t="s">
        <v>389</v>
      </c>
      <c r="E1950" s="1141" t="s">
        <v>390</v>
      </c>
      <c r="F1950" s="1141" t="s">
        <v>4381</v>
      </c>
      <c r="G1950" s="1115" t="s">
        <v>456</v>
      </c>
      <c r="H1950" s="1210">
        <v>2100000000</v>
      </c>
      <c r="I1950" s="1141" t="s">
        <v>4350</v>
      </c>
      <c r="J1950" s="1186" t="str">
        <f>VLOOKUP($I1950,'Price List, Weapons &amp; Items'!B:C,2,0)</f>
        <v>Ammunition for light infantry</v>
      </c>
      <c r="K1950" s="1186" t="str">
        <f>IF(I1950=".",I1950,VLOOKUP($I1950,'Price List, Weapons &amp; Items'!B:D,3,0))</f>
        <v>Mortar ammunition</v>
      </c>
      <c r="L1950" s="1187">
        <f>VLOOKUP(I1950,'Price List, Weapons &amp; Items'!B:E,4,0)</f>
        <v>0</v>
      </c>
      <c r="M1950" s="1188" t="s">
        <v>374</v>
      </c>
      <c r="N1950" s="1188" t="s">
        <v>374</v>
      </c>
      <c r="O1950" s="1188">
        <f>VLOOKUP($I1950,'Price List, Weapons &amp; Items'!B:G,6,0)</f>
        <v>329</v>
      </c>
      <c r="P1950" s="1185" t="str">
        <f t="shared" si="415"/>
        <v>.</v>
      </c>
      <c r="Q1950" s="1185" t="str">
        <f t="shared" si="416"/>
        <v>.</v>
      </c>
      <c r="R1950" s="1185" t="str">
        <f t="shared" si="412"/>
        <v/>
      </c>
      <c r="S1950" s="1185" t="str">
        <f>IF(AND(AD1950=1,R1950&lt;&gt;".")=TRUE,R1950/VLOOKUP(G1950,'Exchange Rates'!B:C,2,0),IF(R1950=".",".",""))</f>
        <v/>
      </c>
      <c r="T1950" s="1185" t="str">
        <f>IF(AD1950=1,IF(AF1950="Value is not given at all",".",IF(AF1950="Value is given by the source",S1950,IF(AF1950="Value is calculated with prices",(IF(SUMIFS(Q:Q,A:A,A1950)&gt;0,SUMIFS(Q:Q,A:A,A1950),"."))/VLOOKUP("USD",'Exchange Rates'!B:C,2,0),"Error with coding"))),"")</f>
        <v/>
      </c>
      <c r="U1950" s="1191" t="s">
        <v>365</v>
      </c>
      <c r="V1950" s="983" t="s">
        <v>4344</v>
      </c>
      <c r="W1950" s="983" t="s">
        <v>4339</v>
      </c>
      <c r="X1950" s="1208" t="s">
        <v>364</v>
      </c>
      <c r="Y1950" s="1208" t="s">
        <v>364</v>
      </c>
      <c r="Z1950" s="1191">
        <v>0</v>
      </c>
      <c r="AA1950" s="1191">
        <v>0</v>
      </c>
      <c r="AB1950" s="1208" t="s">
        <v>364</v>
      </c>
      <c r="AC1950" s="1192" t="str">
        <f>""</f>
        <v/>
      </c>
      <c r="AD1950" s="1193">
        <v>0</v>
      </c>
      <c r="AE1950" s="1191" t="s">
        <v>368</v>
      </c>
      <c r="AF1950" s="1191" t="s">
        <v>369</v>
      </c>
      <c r="AG1950" s="1193">
        <v>1</v>
      </c>
      <c r="AH1950" s="1191">
        <v>16</v>
      </c>
      <c r="AI1950" s="1193">
        <v>0</v>
      </c>
      <c r="AJ1950" s="1193">
        <f>VLOOKUP($I1950,'Price List, Weapons &amp; Items'!B:F,5,0)</f>
        <v>0</v>
      </c>
      <c r="AK1950" s="1193">
        <f t="shared" si="417"/>
        <v>0</v>
      </c>
      <c r="AL1950" s="1193">
        <f t="shared" si="418"/>
        <v>0</v>
      </c>
      <c r="AM1950" s="1193">
        <f t="shared" si="419"/>
        <v>0</v>
      </c>
      <c r="AN1950" s="1194" t="str">
        <f>VLOOKUP($I1950,'Price List, Weapons &amp; Items'!B:L,COLUMN('Price List, Weapons &amp; Items'!$J$11)-1,0)</f>
        <v>Military media (incl. websites)</v>
      </c>
      <c r="AO1950" s="1194" t="str">
        <f>IF(I1950=".",".",VLOOKUP($I1950,'Price List, Weapons &amp; Items'!B:J,3,0))</f>
        <v>Mortar ammunition</v>
      </c>
      <c r="AP1950" s="1195" t="str">
        <f t="shared" ca="1" si="413"/>
        <v/>
      </c>
      <c r="AQ1950" s="1194" t="str">
        <f>VLOOKUP($I1950,'Price List, Weapons &amp; Items'!B:L,COLUMN('Price List, Weapons &amp; Items'!$L$11)-1,0)</f>
        <v>no price, 0 count</v>
      </c>
      <c r="AR1950" s="1194">
        <f t="shared" si="420"/>
        <v>1</v>
      </c>
      <c r="AS1950" s="1194">
        <f t="shared" si="421"/>
        <v>1</v>
      </c>
      <c r="AT1950" s="1194">
        <f t="shared" si="422"/>
        <v>1</v>
      </c>
      <c r="AU1950" s="1194" t="str">
        <f t="shared" si="411"/>
        <v>.</v>
      </c>
      <c r="AV1950" s="1194" t="str">
        <f t="shared" si="414"/>
        <v>.</v>
      </c>
      <c r="AW1950" s="1194" t="str">
        <f t="shared" si="423"/>
        <v>.</v>
      </c>
      <c r="AX1950" s="1194">
        <f>IFERROR(VLOOKUP(B1950,'Share, Heavy Weapons to Ukraine'!B:Z,COLUMN('Share, Heavy Weapons to Ukraine'!C1958)-1,0),0)</f>
        <v>1</v>
      </c>
      <c r="AY1950" s="1194">
        <f>VLOOKUP('Bilateral Assistance, MAIN DATA'!B1950,'Country Summary (€)'!B:F,COLUMN('Country Summary (€)'!C1959)-1,FALSE)</f>
        <v>0</v>
      </c>
      <c r="AZ1950" s="1194" t="str">
        <f>IF(AND(AD1950=1,D1950="Military",H1950&lt;&gt;"Not given")=TRUE,IF(SUMIFS(P:P,A:A,A1950)&gt;0,ABS((SUMIFS(P:P,A:A,A1950)/VLOOKUP("USD",'Exchange Rates'!B:C,2,0)))/S1950,"."),".")</f>
        <v>.</v>
      </c>
      <c r="BA1950" s="1196" t="str">
        <f>IF(AND(AD1950=1,D1950="Military",H1950&lt;&gt;"Not given")=TRUE,IF(SUMIFS(P:P,A:A,A1950)&gt;0,IF((ABS((SUMIFS(P:P,A:A,A1950)/VLOOKUP("USD",'Exchange Rates'!B:C,2,0)))/S1950)&gt;1,(SUMIFS(P:P,A:A,A1950)-S1950)/S1950,(S1950-SUMIFS(P:P,A:A,A1950))/SUMIFS(P:P,A:A,A1950)),"."),".")</f>
        <v>.</v>
      </c>
      <c r="BB1950" s="1208"/>
      <c r="BC1950" s="1208"/>
      <c r="BD1950" s="1208"/>
      <c r="BE1950" s="1208"/>
      <c r="BF1950" s="1208"/>
      <c r="BG1950" s="1208"/>
      <c r="BH1950" s="1208"/>
      <c r="BI1950" s="1208"/>
      <c r="BJ1950" s="1208"/>
      <c r="BK1950" s="1208"/>
      <c r="BL1950" s="1208"/>
      <c r="BM1950" s="1208"/>
      <c r="BN1950" s="1208"/>
      <c r="BO1950" s="1208"/>
      <c r="BP1950" s="1208"/>
      <c r="BQ1950" s="1208"/>
      <c r="BR1950" s="1208"/>
      <c r="BS1950" s="1208"/>
    </row>
    <row r="1951" spans="1:71" ht="16.899999999999999" customHeight="1">
      <c r="A1951" s="1208" t="s">
        <v>4361</v>
      </c>
      <c r="B1951" s="1208" t="s">
        <v>3949</v>
      </c>
      <c r="C1951" s="1209">
        <v>45020</v>
      </c>
      <c r="D1951" s="1208" t="s">
        <v>389</v>
      </c>
      <c r="E1951" s="1208" t="s">
        <v>390</v>
      </c>
      <c r="F1951" s="1208" t="s">
        <v>4381</v>
      </c>
      <c r="G1951" s="1184" t="s">
        <v>456</v>
      </c>
      <c r="H1951" s="1210">
        <v>2100000000</v>
      </c>
      <c r="I1951" s="1208" t="s">
        <v>4237</v>
      </c>
      <c r="J1951" s="1186" t="str">
        <f>VLOOKUP($I1951,'Price List, Weapons &amp; Items'!B:C,2,0)</f>
        <v>Ammunition for heavy weapon</v>
      </c>
      <c r="K1951" s="1186" t="str">
        <f>IF(I1951=".",I1951,VLOOKUP($I1951,'Price List, Weapons &amp; Items'!B:D,3,0))</f>
        <v>120mm tank ammunition</v>
      </c>
      <c r="L1951" s="1187">
        <f>VLOOKUP(I1951,'Price List, Weapons &amp; Items'!B:E,4,0)</f>
        <v>0</v>
      </c>
      <c r="M1951" s="1188" t="s">
        <v>374</v>
      </c>
      <c r="N1951" s="1188" t="s">
        <v>374</v>
      </c>
      <c r="O1951" s="1188">
        <f>VLOOKUP($I1951,'Price List, Weapons &amp; Items'!B:G,6,0)</f>
        <v>20001.25</v>
      </c>
      <c r="P1951" s="1185" t="str">
        <f t="shared" si="415"/>
        <v>.</v>
      </c>
      <c r="Q1951" s="1185" t="str">
        <f t="shared" si="416"/>
        <v>.</v>
      </c>
      <c r="R1951" s="1185" t="str">
        <f t="shared" si="412"/>
        <v/>
      </c>
      <c r="S1951" s="1185" t="str">
        <f>IF(AND(AD1951=1,R1951&lt;&gt;".")=TRUE,R1951/VLOOKUP(G1951,'Exchange Rates'!B:C,2,0),IF(R1951=".",".",""))</f>
        <v/>
      </c>
      <c r="T1951" s="1185" t="str">
        <f>IF(AD1951=1,IF(AF1951="Value is not given at all",".",IF(AF1951="Value is given by the source",S1951,IF(AF1951="Value is calculated with prices",(IF(SUMIFS(Q:Q,A:A,A1951)&gt;0,SUMIFS(Q:Q,A:A,A1951),"."))/VLOOKUP("USD",'Exchange Rates'!B:C,2,0),"Error with coding"))),"")</f>
        <v/>
      </c>
      <c r="U1951" s="1191" t="s">
        <v>365</v>
      </c>
      <c r="V1951" s="983" t="s">
        <v>4344</v>
      </c>
      <c r="W1951" s="983" t="s">
        <v>4339</v>
      </c>
      <c r="X1951" s="1208" t="s">
        <v>364</v>
      </c>
      <c r="Y1951" s="1208" t="s">
        <v>364</v>
      </c>
      <c r="Z1951" s="1191">
        <v>0</v>
      </c>
      <c r="AA1951" s="1191">
        <v>0</v>
      </c>
      <c r="AB1951" s="1208" t="s">
        <v>364</v>
      </c>
      <c r="AC1951" s="1192" t="str">
        <f>""</f>
        <v/>
      </c>
      <c r="AD1951" s="1193">
        <v>0</v>
      </c>
      <c r="AE1951" s="1191" t="s">
        <v>368</v>
      </c>
      <c r="AF1951" s="1191" t="s">
        <v>369</v>
      </c>
      <c r="AG1951" s="1193">
        <v>1</v>
      </c>
      <c r="AH1951" s="1191">
        <v>16</v>
      </c>
      <c r="AI1951" s="1193">
        <v>0</v>
      </c>
      <c r="AJ1951" s="1193">
        <f>VLOOKUP($I1951,'Price List, Weapons &amp; Items'!B:F,5,0)</f>
        <v>0</v>
      </c>
      <c r="AK1951" s="1193">
        <f t="shared" si="417"/>
        <v>0</v>
      </c>
      <c r="AL1951" s="1193">
        <f t="shared" si="418"/>
        <v>0</v>
      </c>
      <c r="AM1951" s="1193">
        <f t="shared" si="419"/>
        <v>1</v>
      </c>
      <c r="AN1951" s="1194" t="str">
        <f>VLOOKUP($I1951,'Price List, Weapons &amp; Items'!B:L,COLUMN('Price List, Weapons &amp; Items'!$J$11)-1,0)</f>
        <v>Government information</v>
      </c>
      <c r="AO1951" s="1194" t="str">
        <f>IF(I1951=".",".",VLOOKUP($I1951,'Price List, Weapons &amp; Items'!B:J,3,0))</f>
        <v>120mm tank ammunition</v>
      </c>
      <c r="AP1951" s="1195" t="str">
        <f t="shared" ca="1" si="413"/>
        <v/>
      </c>
      <c r="AQ1951" s="1194">
        <f>VLOOKUP($I1951,'Price List, Weapons &amp; Items'!B:L,COLUMN('Price List, Weapons &amp; Items'!$L$11)-1,0)</f>
        <v>2</v>
      </c>
      <c r="AR1951" s="1194">
        <f t="shared" si="420"/>
        <v>1</v>
      </c>
      <c r="AS1951" s="1194">
        <f t="shared" si="421"/>
        <v>1</v>
      </c>
      <c r="AT1951" s="1194">
        <f t="shared" si="422"/>
        <v>1</v>
      </c>
      <c r="AU1951" s="1194" t="str">
        <f t="shared" ref="AU1951:AU1982" si="424">IF(AND(A1951=A1950,C1951=C1950)=TRUE,IF(F1951=F1950,".","1"),".")</f>
        <v>.</v>
      </c>
      <c r="AV1951" s="1194" t="str">
        <f t="shared" si="414"/>
        <v>.</v>
      </c>
      <c r="AW1951" s="1194" t="str">
        <f t="shared" si="423"/>
        <v>.</v>
      </c>
      <c r="AX1951" s="1194">
        <f>IFERROR(VLOOKUP(B1951,'Share, Heavy Weapons to Ukraine'!B:Z,COLUMN('Share, Heavy Weapons to Ukraine'!C1959)-1,0),0)</f>
        <v>1</v>
      </c>
      <c r="AY1951" s="1194">
        <f>VLOOKUP('Bilateral Assistance, MAIN DATA'!B1951,'Country Summary (€)'!B:F,COLUMN('Country Summary (€)'!C1960)-1,FALSE)</f>
        <v>0</v>
      </c>
      <c r="AZ1951" s="1194" t="str">
        <f>IF(AND(AD1951=1,D1951="Military",H1951&lt;&gt;"Not given")=TRUE,IF(SUMIFS(P:P,A:A,A1951)&gt;0,ABS((SUMIFS(P:P,A:A,A1951)/VLOOKUP("USD",'Exchange Rates'!B:C,2,0)))/S1951,"."),".")</f>
        <v>.</v>
      </c>
      <c r="BA1951" s="1196" t="str">
        <f>IF(AND(AD1951=1,D1951="Military",H1951&lt;&gt;"Not given")=TRUE,IF(SUMIFS(P:P,A:A,A1951)&gt;0,IF((ABS((SUMIFS(P:P,A:A,A1951)/VLOOKUP("USD",'Exchange Rates'!B:C,2,0)))/S1951)&gt;1,(SUMIFS(P:P,A:A,A1951)-S1951)/S1951,(S1951-SUMIFS(P:P,A:A,A1951))/SUMIFS(P:P,A:A,A1951)),"."),".")</f>
        <v>.</v>
      </c>
      <c r="BB1951" s="1208"/>
      <c r="BC1951" s="1208"/>
      <c r="BD1951" s="1208"/>
      <c r="BE1951" s="1208"/>
      <c r="BF1951" s="1208"/>
      <c r="BG1951" s="1208"/>
      <c r="BH1951" s="1208"/>
      <c r="BI1951" s="1208"/>
      <c r="BJ1951" s="1208"/>
      <c r="BK1951" s="1208"/>
      <c r="BL1951" s="1208"/>
      <c r="BM1951" s="1208"/>
      <c r="BN1951" s="1208"/>
      <c r="BO1951" s="1208"/>
      <c r="BP1951" s="1208"/>
      <c r="BQ1951" s="1208"/>
      <c r="BR1951" s="1208"/>
      <c r="BS1951" s="1208"/>
    </row>
    <row r="1952" spans="1:71" ht="16.899999999999999" customHeight="1">
      <c r="A1952" s="1208" t="s">
        <v>4361</v>
      </c>
      <c r="B1952" s="1208" t="s">
        <v>3949</v>
      </c>
      <c r="C1952" s="1209">
        <v>45020</v>
      </c>
      <c r="D1952" s="1208" t="s">
        <v>389</v>
      </c>
      <c r="E1952" s="1208" t="s">
        <v>390</v>
      </c>
      <c r="F1952" s="1208" t="s">
        <v>4381</v>
      </c>
      <c r="G1952" s="1184" t="s">
        <v>456</v>
      </c>
      <c r="H1952" s="1210">
        <v>2100000000</v>
      </c>
      <c r="I1952" s="1208" t="s">
        <v>4166</v>
      </c>
      <c r="J1952" s="1186" t="str">
        <f>VLOOKUP($I1952,'Price List, Weapons &amp; Items'!B:C,2,0)</f>
        <v>Portable defence system</v>
      </c>
      <c r="K1952" s="1186" t="str">
        <f>IF(I1952=".",I1952,VLOOKUP($I1952,'Price List, Weapons &amp; Items'!B:D,3,0))</f>
        <v>Light Anti-armor Weapon (LAW)</v>
      </c>
      <c r="L1952" s="1187">
        <f>VLOOKUP(I1952,'Price List, Weapons &amp; Items'!B:E,4,0)</f>
        <v>0</v>
      </c>
      <c r="M1952" s="1188" t="s">
        <v>374</v>
      </c>
      <c r="N1952" s="1188" t="s">
        <v>374</v>
      </c>
      <c r="O1952" s="1188">
        <f>VLOOKUP($I1952,'Price List, Weapons &amp; Items'!B:G,6,0)</f>
        <v>246216</v>
      </c>
      <c r="P1952" s="1185" t="str">
        <f t="shared" si="415"/>
        <v>.</v>
      </c>
      <c r="Q1952" s="1185" t="str">
        <f t="shared" si="416"/>
        <v>.</v>
      </c>
      <c r="R1952" s="1185" t="str">
        <f t="shared" si="412"/>
        <v/>
      </c>
      <c r="S1952" s="1185" t="str">
        <f>IF(AND(AD1952=1,R1952&lt;&gt;".")=TRUE,R1952/VLOOKUP(G1952,'Exchange Rates'!B:C,2,0),IF(R1952=".",".",""))</f>
        <v/>
      </c>
      <c r="T1952" s="1185" t="str">
        <f>IF(AD1952=1,IF(AF1952="Value is not given at all",".",IF(AF1952="Value is given by the source",S1952,IF(AF1952="Value is calculated with prices",(IF(SUMIFS(Q:Q,A:A,A1952)&gt;0,SUMIFS(Q:Q,A:A,A1952),"."))/VLOOKUP("USD",'Exchange Rates'!B:C,2,0),"Error with coding"))),"")</f>
        <v/>
      </c>
      <c r="U1952" s="1191" t="s">
        <v>365</v>
      </c>
      <c r="V1952" s="983" t="s">
        <v>4344</v>
      </c>
      <c r="W1952" s="983" t="s">
        <v>4339</v>
      </c>
      <c r="X1952" s="1208" t="s">
        <v>364</v>
      </c>
      <c r="Y1952" s="1208" t="s">
        <v>364</v>
      </c>
      <c r="Z1952" s="1191">
        <v>0</v>
      </c>
      <c r="AA1952" s="1191">
        <v>0</v>
      </c>
      <c r="AB1952" s="1208" t="s">
        <v>364</v>
      </c>
      <c r="AC1952" s="1192" t="str">
        <f>""</f>
        <v/>
      </c>
      <c r="AD1952" s="1193">
        <v>0</v>
      </c>
      <c r="AE1952" s="1191" t="s">
        <v>368</v>
      </c>
      <c r="AF1952" s="1191" t="s">
        <v>369</v>
      </c>
      <c r="AG1952" s="1193">
        <v>1</v>
      </c>
      <c r="AH1952" s="1191">
        <v>16</v>
      </c>
      <c r="AI1952" s="1193">
        <v>0</v>
      </c>
      <c r="AJ1952" s="1193">
        <f>VLOOKUP($I1952,'Price List, Weapons &amp; Items'!B:F,5,0)</f>
        <v>0</v>
      </c>
      <c r="AK1952" s="1193">
        <f t="shared" si="417"/>
        <v>0</v>
      </c>
      <c r="AL1952" s="1193">
        <f t="shared" si="418"/>
        <v>0</v>
      </c>
      <c r="AM1952" s="1193">
        <f t="shared" si="419"/>
        <v>0</v>
      </c>
      <c r="AN1952" s="1194" t="str">
        <f>VLOOKUP($I1952,'Price List, Weapons &amp; Items'!B:L,COLUMN('Price List, Weapons &amp; Items'!$J$11)-1,0)</f>
        <v>Government information</v>
      </c>
      <c r="AO1952" s="1194" t="str">
        <f>IF(I1952=".",".",VLOOKUP($I1952,'Price List, Weapons &amp; Items'!B:J,3,0))</f>
        <v>Light Anti-armor Weapon (LAW)</v>
      </c>
      <c r="AP1952" s="1195" t="str">
        <f t="shared" ca="1" si="413"/>
        <v/>
      </c>
      <c r="AQ1952" s="1194">
        <f>VLOOKUP($I1952,'Price List, Weapons &amp; Items'!B:L,COLUMN('Price List, Weapons &amp; Items'!$L$11)-1,0)</f>
        <v>2</v>
      </c>
      <c r="AR1952" s="1194">
        <f t="shared" si="420"/>
        <v>1</v>
      </c>
      <c r="AS1952" s="1194">
        <f t="shared" si="421"/>
        <v>1</v>
      </c>
      <c r="AT1952" s="1194">
        <f t="shared" si="422"/>
        <v>1</v>
      </c>
      <c r="AU1952" s="1194" t="str">
        <f t="shared" si="424"/>
        <v>.</v>
      </c>
      <c r="AV1952" s="1194" t="str">
        <f t="shared" si="414"/>
        <v>.</v>
      </c>
      <c r="AW1952" s="1194" t="str">
        <f t="shared" si="423"/>
        <v>.</v>
      </c>
      <c r="AX1952" s="1194">
        <f>IFERROR(VLOOKUP(B1952,'Share, Heavy Weapons to Ukraine'!B:Z,COLUMN('Share, Heavy Weapons to Ukraine'!C1960)-1,0),0)</f>
        <v>1</v>
      </c>
      <c r="AY1952" s="1194">
        <f>VLOOKUP('Bilateral Assistance, MAIN DATA'!B1952,'Country Summary (€)'!B:F,COLUMN('Country Summary (€)'!C1961)-1,FALSE)</f>
        <v>0</v>
      </c>
      <c r="AZ1952" s="1194" t="str">
        <f>IF(AND(AD1952=1,D1952="Military",H1952&lt;&gt;"Not given")=TRUE,IF(SUMIFS(P:P,A:A,A1952)&gt;0,ABS((SUMIFS(P:P,A:A,A1952)/VLOOKUP("USD",'Exchange Rates'!B:C,2,0)))/S1952,"."),".")</f>
        <v>.</v>
      </c>
      <c r="BA1952" s="1196" t="str">
        <f>IF(AND(AD1952=1,D1952="Military",H1952&lt;&gt;"Not given")=TRUE,IF(SUMIFS(P:P,A:A,A1952)&gt;0,IF((ABS((SUMIFS(P:P,A:A,A1952)/VLOOKUP("USD",'Exchange Rates'!B:C,2,0)))/S1952)&gt;1,(SUMIFS(P:P,A:A,A1952)-S1952)/S1952,(S1952-SUMIFS(P:P,A:A,A1952))/SUMIFS(P:P,A:A,A1952)),"."),".")</f>
        <v>.</v>
      </c>
      <c r="BB1952" s="1208"/>
      <c r="BC1952" s="1208"/>
      <c r="BD1952" s="1208"/>
      <c r="BE1952" s="1208"/>
      <c r="BF1952" s="1208"/>
      <c r="BG1952" s="1208"/>
      <c r="BH1952" s="1208"/>
      <c r="BI1952" s="1208"/>
      <c r="BJ1952" s="1208"/>
      <c r="BK1952" s="1208"/>
      <c r="BL1952" s="1208"/>
      <c r="BM1952" s="1208"/>
      <c r="BN1952" s="1208"/>
      <c r="BO1952" s="1208"/>
      <c r="BP1952" s="1208"/>
      <c r="BQ1952" s="1208"/>
      <c r="BR1952" s="1208"/>
      <c r="BS1952" s="1208"/>
    </row>
    <row r="1953" spans="1:71" ht="16.899999999999999" customHeight="1">
      <c r="A1953" s="1208" t="s">
        <v>4361</v>
      </c>
      <c r="B1953" s="1208" t="s">
        <v>3949</v>
      </c>
      <c r="C1953" s="1209">
        <v>45020</v>
      </c>
      <c r="D1953" s="1208" t="s">
        <v>389</v>
      </c>
      <c r="E1953" s="1208" t="s">
        <v>390</v>
      </c>
      <c r="F1953" s="1208" t="s">
        <v>4381</v>
      </c>
      <c r="G1953" s="1184" t="s">
        <v>456</v>
      </c>
      <c r="H1953" s="1210">
        <v>2100000000</v>
      </c>
      <c r="I1953" s="1208" t="s">
        <v>4388</v>
      </c>
      <c r="J1953" s="1186" t="str">
        <f>VLOOKUP($I1953,'Price List, Weapons &amp; Items'!B:C,2,0)</f>
        <v>Heavy weapon</v>
      </c>
      <c r="K1953" s="1186" t="str">
        <f>IF(I1953=".",I1953,VLOOKUP($I1953,'Price List, Weapons &amp; Items'!B:D,3,0))</f>
        <v>ammunition</v>
      </c>
      <c r="L1953" s="1187">
        <f>VLOOKUP(I1953,'Price List, Weapons &amp; Items'!B:E,4,0)</f>
        <v>0</v>
      </c>
      <c r="M1953" s="1188" t="s">
        <v>374</v>
      </c>
      <c r="N1953" s="1188" t="s">
        <v>374</v>
      </c>
      <c r="O1953" s="1188">
        <f>VLOOKUP($I1953,'Price List, Weapons &amp; Items'!B:G,6,0)</f>
        <v>1664700</v>
      </c>
      <c r="P1953" s="1185" t="str">
        <f t="shared" si="415"/>
        <v>.</v>
      </c>
      <c r="Q1953" s="1185" t="str">
        <f t="shared" si="416"/>
        <v>.</v>
      </c>
      <c r="R1953" s="1185" t="str">
        <f t="shared" si="412"/>
        <v/>
      </c>
      <c r="S1953" s="1185" t="str">
        <f>IF(AND(AD1953=1,R1953&lt;&gt;".")=TRUE,R1953/VLOOKUP(G1953,'Exchange Rates'!B:C,2,0),IF(R1953=".",".",""))</f>
        <v/>
      </c>
      <c r="T1953" s="1185" t="str">
        <f>IF(AD1953=1,IF(AF1953="Value is not given at all",".",IF(AF1953="Value is given by the source",S1953,IF(AF1953="Value is calculated with prices",(IF(SUMIFS(Q:Q,A:A,A1953)&gt;0,SUMIFS(Q:Q,A:A,A1953),"."))/VLOOKUP("USD",'Exchange Rates'!B:C,2,0),"Error with coding"))),"")</f>
        <v/>
      </c>
      <c r="U1953" s="1191" t="s">
        <v>365</v>
      </c>
      <c r="V1953" s="983" t="s">
        <v>4344</v>
      </c>
      <c r="W1953" s="983" t="s">
        <v>4339</v>
      </c>
      <c r="X1953" s="1208" t="s">
        <v>364</v>
      </c>
      <c r="Y1953" s="1208" t="s">
        <v>364</v>
      </c>
      <c r="Z1953" s="1191">
        <v>0</v>
      </c>
      <c r="AA1953" s="1191">
        <v>0</v>
      </c>
      <c r="AB1953" s="1208" t="s">
        <v>364</v>
      </c>
      <c r="AC1953" s="1192" t="str">
        <f>""</f>
        <v/>
      </c>
      <c r="AD1953" s="1193">
        <v>0</v>
      </c>
      <c r="AE1953" s="1191" t="s">
        <v>368</v>
      </c>
      <c r="AF1953" s="1191" t="s">
        <v>369</v>
      </c>
      <c r="AG1953" s="1193">
        <v>1</v>
      </c>
      <c r="AH1953" s="1191">
        <v>16</v>
      </c>
      <c r="AI1953" s="1193">
        <v>0</v>
      </c>
      <c r="AJ1953" s="1193">
        <f>VLOOKUP($I1953,'Price List, Weapons &amp; Items'!B:F,5,0)</f>
        <v>0</v>
      </c>
      <c r="AK1953" s="1193">
        <f t="shared" si="417"/>
        <v>0</v>
      </c>
      <c r="AL1953" s="1193">
        <f t="shared" si="418"/>
        <v>0</v>
      </c>
      <c r="AM1953" s="1193">
        <f t="shared" si="419"/>
        <v>0</v>
      </c>
      <c r="AN1953" s="1194" t="str">
        <f>VLOOKUP($I1953,'Price List, Weapons &amp; Items'!B:L,COLUMN('Price List, Weapons &amp; Items'!$J$11)-1,0)</f>
        <v>Government information</v>
      </c>
      <c r="AO1953" s="1194" t="str">
        <f>IF(I1953=".",".",VLOOKUP($I1953,'Price List, Weapons &amp; Items'!B:J,3,0))</f>
        <v>ammunition</v>
      </c>
      <c r="AP1953" s="1195" t="str">
        <f t="shared" ca="1" si="413"/>
        <v/>
      </c>
      <c r="AQ1953" s="1194" t="str">
        <f>VLOOKUP($I1953,'Price List, Weapons &amp; Items'!B:L,COLUMN('Price List, Weapons &amp; Items'!$L$11)-1,0)</f>
        <v>no price, 0 count</v>
      </c>
      <c r="AR1953" s="1194">
        <f t="shared" si="420"/>
        <v>1</v>
      </c>
      <c r="AS1953" s="1194">
        <f t="shared" si="421"/>
        <v>1</v>
      </c>
      <c r="AT1953" s="1194">
        <f t="shared" si="422"/>
        <v>1</v>
      </c>
      <c r="AU1953" s="1194" t="str">
        <f t="shared" si="424"/>
        <v>.</v>
      </c>
      <c r="AV1953" s="1194" t="str">
        <f t="shared" si="414"/>
        <v>.</v>
      </c>
      <c r="AW1953" s="1194" t="str">
        <f t="shared" si="423"/>
        <v>.</v>
      </c>
      <c r="AX1953" s="1194">
        <f>IFERROR(VLOOKUP(B1953,'Share, Heavy Weapons to Ukraine'!B:Z,COLUMN('Share, Heavy Weapons to Ukraine'!C1961)-1,0),0)</f>
        <v>1</v>
      </c>
      <c r="AY1953" s="1194">
        <f>VLOOKUP('Bilateral Assistance, MAIN DATA'!B1953,'Country Summary (€)'!B:F,COLUMN('Country Summary (€)'!C1962)-1,FALSE)</f>
        <v>0</v>
      </c>
      <c r="AZ1953" s="1194" t="str">
        <f>IF(AND(AD1953=1,D1953="Military",H1953&lt;&gt;"Not given")=TRUE,IF(SUMIFS(P:P,A:A,A1953)&gt;0,ABS((SUMIFS(P:P,A:A,A1953)/VLOOKUP("USD",'Exchange Rates'!B:C,2,0)))/S1953,"."),".")</f>
        <v>.</v>
      </c>
      <c r="BA1953" s="1196" t="str">
        <f>IF(AND(AD1953=1,D1953="Military",H1953&lt;&gt;"Not given")=TRUE,IF(SUMIFS(P:P,A:A,A1953)&gt;0,IF((ABS((SUMIFS(P:P,A:A,A1953)/VLOOKUP("USD",'Exchange Rates'!B:C,2,0)))/S1953)&gt;1,(SUMIFS(P:P,A:A,A1953)-S1953)/S1953,(S1953-SUMIFS(P:P,A:A,A1953))/SUMIFS(P:P,A:A,A1953)),"."),".")</f>
        <v>.</v>
      </c>
      <c r="BB1953" s="1208"/>
      <c r="BC1953" s="1208"/>
      <c r="BD1953" s="1208"/>
      <c r="BE1953" s="1208"/>
      <c r="BF1953" s="1208"/>
      <c r="BG1953" s="1208"/>
      <c r="BH1953" s="1208"/>
      <c r="BI1953" s="1208"/>
      <c r="BJ1953" s="1208"/>
      <c r="BK1953" s="1208"/>
      <c r="BL1953" s="1208"/>
      <c r="BM1953" s="1208"/>
      <c r="BN1953" s="1208"/>
      <c r="BO1953" s="1208"/>
      <c r="BP1953" s="1208"/>
      <c r="BQ1953" s="1208"/>
      <c r="BR1953" s="1208"/>
      <c r="BS1953" s="1208"/>
    </row>
    <row r="1954" spans="1:71" ht="16.899999999999999" customHeight="1">
      <c r="A1954" s="1208" t="s">
        <v>4361</v>
      </c>
      <c r="B1954" s="1208" t="s">
        <v>3949</v>
      </c>
      <c r="C1954" s="1209">
        <v>45020</v>
      </c>
      <c r="D1954" s="1208" t="s">
        <v>389</v>
      </c>
      <c r="E1954" s="1208" t="s">
        <v>390</v>
      </c>
      <c r="F1954" s="1208" t="s">
        <v>4381</v>
      </c>
      <c r="G1954" s="1184" t="s">
        <v>456</v>
      </c>
      <c r="H1954" s="1210">
        <v>2100000000</v>
      </c>
      <c r="I1954" s="1208" t="s">
        <v>4389</v>
      </c>
      <c r="J1954" s="1186" t="str">
        <f>VLOOKUP($I1954,'Price List, Weapons &amp; Items'!B:C,2,0)</f>
        <v>Ammunition for portable defence system</v>
      </c>
      <c r="K1954" s="1186" t="str">
        <f>IF(I1954=".",I1954,VLOOKUP($I1954,'Price List, Weapons &amp; Items'!B:D,3,0))</f>
        <v>Light Anti-armor Weapon (LAW) ammunition</v>
      </c>
      <c r="L1954" s="1187">
        <f>VLOOKUP(I1954,'Price List, Weapons &amp; Items'!B:E,4,0)</f>
        <v>0</v>
      </c>
      <c r="M1954" s="1188" t="s">
        <v>374</v>
      </c>
      <c r="N1954" s="1188" t="s">
        <v>374</v>
      </c>
      <c r="O1954" s="1188">
        <f>VLOOKUP($I1954,'Price List, Weapons &amp; Items'!B:G,6,0)</f>
        <v>78000</v>
      </c>
      <c r="P1954" s="1185" t="str">
        <f t="shared" si="415"/>
        <v>.</v>
      </c>
      <c r="Q1954" s="1185" t="str">
        <f t="shared" si="416"/>
        <v>.</v>
      </c>
      <c r="R1954" s="1185" t="str">
        <f t="shared" si="412"/>
        <v/>
      </c>
      <c r="S1954" s="1185" t="str">
        <f>IF(AND(AD1954=1,R1954&lt;&gt;".")=TRUE,R1954/VLOOKUP(G1954,'Exchange Rates'!B:C,2,0),IF(R1954=".",".",""))</f>
        <v/>
      </c>
      <c r="T1954" s="1185" t="str">
        <f>IF(AD1954=1,IF(AF1954="Value is not given at all",".",IF(AF1954="Value is given by the source",S1954,IF(AF1954="Value is calculated with prices",(IF(SUMIFS(Q:Q,A:A,A1954)&gt;0,SUMIFS(Q:Q,A:A,A1954),"."))/VLOOKUP("USD",'Exchange Rates'!B:C,2,0),"Error with coding"))),"")</f>
        <v/>
      </c>
      <c r="U1954" s="1191" t="s">
        <v>365</v>
      </c>
      <c r="V1954" s="983" t="s">
        <v>4344</v>
      </c>
      <c r="W1954" s="983" t="s">
        <v>4339</v>
      </c>
      <c r="X1954" s="1208" t="s">
        <v>364</v>
      </c>
      <c r="Y1954" s="1208" t="s">
        <v>364</v>
      </c>
      <c r="Z1954" s="1191">
        <v>0</v>
      </c>
      <c r="AA1954" s="1191">
        <v>0</v>
      </c>
      <c r="AB1954" s="1208" t="s">
        <v>364</v>
      </c>
      <c r="AC1954" s="1192" t="str">
        <f>""</f>
        <v/>
      </c>
      <c r="AD1954" s="1193">
        <v>0</v>
      </c>
      <c r="AE1954" s="1191" t="s">
        <v>368</v>
      </c>
      <c r="AF1954" s="1191" t="s">
        <v>369</v>
      </c>
      <c r="AG1954" s="1193">
        <v>1</v>
      </c>
      <c r="AH1954" s="1191">
        <v>16</v>
      </c>
      <c r="AI1954" s="1193">
        <v>0</v>
      </c>
      <c r="AJ1954" s="1193">
        <f>VLOOKUP($I1954,'Price List, Weapons &amp; Items'!B:F,5,0)</f>
        <v>0</v>
      </c>
      <c r="AK1954" s="1193">
        <f t="shared" si="417"/>
        <v>0</v>
      </c>
      <c r="AL1954" s="1193">
        <f t="shared" si="418"/>
        <v>0</v>
      </c>
      <c r="AM1954" s="1193">
        <f t="shared" si="419"/>
        <v>0</v>
      </c>
      <c r="AN1954" s="1194" t="str">
        <f>VLOOKUP($I1954,'Price List, Weapons &amp; Items'!B:L,COLUMN('Price List, Weapons &amp; Items'!$J$11)-1,0)</f>
        <v>Military media (incl. websites)</v>
      </c>
      <c r="AO1954" s="1194" t="str">
        <f>IF(I1954=".",".",VLOOKUP($I1954,'Price List, Weapons &amp; Items'!B:J,3,0))</f>
        <v>Light Anti-armor Weapon (LAW) ammunition</v>
      </c>
      <c r="AP1954" s="1195" t="str">
        <f t="shared" ca="1" si="413"/>
        <v/>
      </c>
      <c r="AQ1954" s="1194">
        <f>VLOOKUP($I1954,'Price List, Weapons &amp; Items'!B:L,COLUMN('Price List, Weapons &amp; Items'!$L$11)-1,0)</f>
        <v>2</v>
      </c>
      <c r="AR1954" s="1194">
        <f t="shared" si="420"/>
        <v>1</v>
      </c>
      <c r="AS1954" s="1194">
        <f t="shared" si="421"/>
        <v>1</v>
      </c>
      <c r="AT1954" s="1194">
        <f t="shared" si="422"/>
        <v>1</v>
      </c>
      <c r="AU1954" s="1194" t="str">
        <f t="shared" si="424"/>
        <v>.</v>
      </c>
      <c r="AV1954" s="1194" t="str">
        <f t="shared" si="414"/>
        <v>.</v>
      </c>
      <c r="AW1954" s="1194" t="str">
        <f t="shared" si="423"/>
        <v>.</v>
      </c>
      <c r="AX1954" s="1194">
        <f>IFERROR(VLOOKUP(B1954,'Share, Heavy Weapons to Ukraine'!B:Z,COLUMN('Share, Heavy Weapons to Ukraine'!C1962)-1,0),0)</f>
        <v>1</v>
      </c>
      <c r="AY1954" s="1194">
        <f>VLOOKUP('Bilateral Assistance, MAIN DATA'!B1954,'Country Summary (€)'!B:F,COLUMN('Country Summary (€)'!C1963)-1,FALSE)</f>
        <v>0</v>
      </c>
      <c r="AZ1954" s="1194" t="str">
        <f>IF(AND(AD1954=1,D1954="Military",H1954&lt;&gt;"Not given")=TRUE,IF(SUMIFS(P:P,A:A,A1954)&gt;0,ABS((SUMIFS(P:P,A:A,A1954)/VLOOKUP("USD",'Exchange Rates'!B:C,2,0)))/S1954,"."),".")</f>
        <v>.</v>
      </c>
      <c r="BA1954" s="1196" t="str">
        <f>IF(AND(AD1954=1,D1954="Military",H1954&lt;&gt;"Not given")=TRUE,IF(SUMIFS(P:P,A:A,A1954)&gt;0,IF((ABS((SUMIFS(P:P,A:A,A1954)/VLOOKUP("USD",'Exchange Rates'!B:C,2,0)))/S1954)&gt;1,(SUMIFS(P:P,A:A,A1954)-S1954)/S1954,(S1954-SUMIFS(P:P,A:A,A1954))/SUMIFS(P:P,A:A,A1954)),"."),".")</f>
        <v>.</v>
      </c>
      <c r="BB1954" s="1208"/>
      <c r="BC1954" s="1208"/>
      <c r="BD1954" s="1208"/>
      <c r="BE1954" s="1208"/>
      <c r="BF1954" s="1208"/>
      <c r="BG1954" s="1208"/>
      <c r="BH1954" s="1208"/>
      <c r="BI1954" s="1208"/>
      <c r="BJ1954" s="1208"/>
      <c r="BK1954" s="1208"/>
      <c r="BL1954" s="1208"/>
      <c r="BM1954" s="1208"/>
      <c r="BN1954" s="1208"/>
      <c r="BO1954" s="1208"/>
      <c r="BP1954" s="1208"/>
      <c r="BQ1954" s="1208"/>
      <c r="BR1954" s="1208"/>
      <c r="BS1954" s="1208"/>
    </row>
    <row r="1955" spans="1:71" ht="16.899999999999999" customHeight="1">
      <c r="A1955" s="1208" t="s">
        <v>4361</v>
      </c>
      <c r="B1955" s="1208" t="s">
        <v>3949</v>
      </c>
      <c r="C1955" s="1209">
        <v>45020</v>
      </c>
      <c r="D1955" s="1208" t="s">
        <v>389</v>
      </c>
      <c r="E1955" s="1208" t="s">
        <v>390</v>
      </c>
      <c r="F1955" s="1208" t="s">
        <v>4381</v>
      </c>
      <c r="G1955" s="1184" t="s">
        <v>456</v>
      </c>
      <c r="H1955" s="1210">
        <v>2100000000</v>
      </c>
      <c r="I1955" s="1208" t="s">
        <v>2025</v>
      </c>
      <c r="J1955" s="1186" t="str">
        <f>VLOOKUP($I1955,'Price List, Weapons &amp; Items'!B:C,2,0)</f>
        <v>Ammunition for light infantry</v>
      </c>
      <c r="K1955" s="1186" t="str">
        <f>IF(I1955=".",I1955,VLOOKUP($I1955,'Price List, Weapons &amp; Items'!B:D,3,0))</f>
        <v>Small Arms and Light Weapons (SALW) ammunition</v>
      </c>
      <c r="L1955" s="1187">
        <f>VLOOKUP(I1955,'Price List, Weapons &amp; Items'!B:E,4,0)</f>
        <v>0</v>
      </c>
      <c r="M1955" s="1188">
        <v>3600</v>
      </c>
      <c r="N1955" s="1188" t="s">
        <v>374</v>
      </c>
      <c r="O1955" s="1188">
        <f>VLOOKUP($I1955,'Price List, Weapons &amp; Items'!B:G,6,0)</f>
        <v>0.47</v>
      </c>
      <c r="P1955" s="1185">
        <f t="shared" si="415"/>
        <v>1692</v>
      </c>
      <c r="Q1955" s="1185" t="str">
        <f t="shared" si="416"/>
        <v>.</v>
      </c>
      <c r="R1955" s="1185" t="str">
        <f t="shared" si="412"/>
        <v/>
      </c>
      <c r="S1955" s="1185" t="str">
        <f>IF(AND(AD1955=1,R1955&lt;&gt;".")=TRUE,R1955/VLOOKUP(G1955,'Exchange Rates'!B:C,2,0),IF(R1955=".",".",""))</f>
        <v/>
      </c>
      <c r="T1955" s="1185" t="str">
        <f>IF(AD1955=1,IF(AF1955="Value is not given at all",".",IF(AF1955="Value is given by the source",S1955,IF(AF1955="Value is calculated with prices",(IF(SUMIFS(Q:Q,A:A,A1955)&gt;0,SUMIFS(Q:Q,A:A,A1955),"."))/VLOOKUP("USD",'Exchange Rates'!B:C,2,0),"Error with coding"))),"")</f>
        <v/>
      </c>
      <c r="U1955" s="1191" t="s">
        <v>365</v>
      </c>
      <c r="V1955" s="983" t="s">
        <v>4344</v>
      </c>
      <c r="W1955" s="983" t="s">
        <v>4339</v>
      </c>
      <c r="X1955" s="1208" t="s">
        <v>364</v>
      </c>
      <c r="Y1955" s="1208" t="s">
        <v>364</v>
      </c>
      <c r="Z1955" s="1191">
        <v>0</v>
      </c>
      <c r="AA1955" s="1191">
        <v>0</v>
      </c>
      <c r="AB1955" s="1208" t="s">
        <v>364</v>
      </c>
      <c r="AC1955" s="1192" t="str">
        <f>""</f>
        <v/>
      </c>
      <c r="AD1955" s="1193">
        <v>0</v>
      </c>
      <c r="AE1955" s="1191" t="s">
        <v>368</v>
      </c>
      <c r="AF1955" s="1191" t="s">
        <v>369</v>
      </c>
      <c r="AG1955" s="1193">
        <v>1</v>
      </c>
      <c r="AH1955" s="1191">
        <v>16</v>
      </c>
      <c r="AI1955" s="1193">
        <v>0</v>
      </c>
      <c r="AJ1955" s="1193">
        <f>VLOOKUP($I1955,'Price List, Weapons &amp; Items'!B:F,5,0)</f>
        <v>0</v>
      </c>
      <c r="AK1955" s="1193">
        <f t="shared" si="417"/>
        <v>0</v>
      </c>
      <c r="AL1955" s="1193">
        <f t="shared" si="418"/>
        <v>0</v>
      </c>
      <c r="AM1955" s="1193">
        <f t="shared" si="419"/>
        <v>1</v>
      </c>
      <c r="AN1955" s="1194" t="str">
        <f>VLOOKUP($I1955,'Price List, Weapons &amp; Items'!B:L,COLUMN('Price List, Weapons &amp; Items'!$J$11)-1,0)</f>
        <v>Miscellaneous</v>
      </c>
      <c r="AO1955" s="1194" t="str">
        <f>IF(I1955=".",".",VLOOKUP($I1955,'Price List, Weapons &amp; Items'!B:J,3,0))</f>
        <v>Small Arms and Light Weapons (SALW) ammunition</v>
      </c>
      <c r="AP1955" s="1195" t="str">
        <f t="shared" ca="1" si="413"/>
        <v/>
      </c>
      <c r="AQ1955" s="1194">
        <f>VLOOKUP($I1955,'Price List, Weapons &amp; Items'!B:L,COLUMN('Price List, Weapons &amp; Items'!$L$11)-1,0)</f>
        <v>2</v>
      </c>
      <c r="AR1955" s="1194">
        <f t="shared" si="420"/>
        <v>1</v>
      </c>
      <c r="AS1955" s="1194">
        <f t="shared" si="421"/>
        <v>1</v>
      </c>
      <c r="AT1955" s="1194">
        <f t="shared" si="422"/>
        <v>1</v>
      </c>
      <c r="AU1955" s="1194" t="str">
        <f t="shared" si="424"/>
        <v>.</v>
      </c>
      <c r="AV1955" s="1194" t="str">
        <f t="shared" si="414"/>
        <v>.</v>
      </c>
      <c r="AW1955" s="1194" t="str">
        <f t="shared" si="423"/>
        <v>.</v>
      </c>
      <c r="AX1955" s="1194">
        <f>IFERROR(VLOOKUP(B1955,'Share, Heavy Weapons to Ukraine'!B:Z,COLUMN('Share, Heavy Weapons to Ukraine'!C1963)-1,0),0)</f>
        <v>1</v>
      </c>
      <c r="AY1955" s="1194">
        <f>VLOOKUP('Bilateral Assistance, MAIN DATA'!B1955,'Country Summary (€)'!B:F,COLUMN('Country Summary (€)'!C1964)-1,FALSE)</f>
        <v>0</v>
      </c>
      <c r="AZ1955" s="1194" t="str">
        <f>IF(AND(AD1955=1,D1955="Military",H1955&lt;&gt;"Not given")=TRUE,IF(SUMIFS(P:P,A:A,A1955)&gt;0,ABS((SUMIFS(P:P,A:A,A1955)/VLOOKUP("USD",'Exchange Rates'!B:C,2,0)))/S1955,"."),".")</f>
        <v>.</v>
      </c>
      <c r="BA1955" s="1196" t="str">
        <f>IF(AND(AD1955=1,D1955="Military",H1955&lt;&gt;"Not given")=TRUE,IF(SUMIFS(P:P,A:A,A1955)&gt;0,IF((ABS((SUMIFS(P:P,A:A,A1955)/VLOOKUP("USD",'Exchange Rates'!B:C,2,0)))/S1955)&gt;1,(SUMIFS(P:P,A:A,A1955)-S1955)/S1955,(S1955-SUMIFS(P:P,A:A,A1955))/SUMIFS(P:P,A:A,A1955)),"."),".")</f>
        <v>.</v>
      </c>
      <c r="BB1955" s="1208"/>
      <c r="BC1955" s="1208"/>
      <c r="BD1955" s="1208"/>
      <c r="BE1955" s="1208"/>
      <c r="BF1955" s="1208"/>
      <c r="BG1955" s="1208"/>
      <c r="BH1955" s="1208"/>
      <c r="BI1955" s="1208"/>
      <c r="BJ1955" s="1208"/>
      <c r="BK1955" s="1208"/>
      <c r="BL1955" s="1208"/>
      <c r="BM1955" s="1208"/>
      <c r="BN1955" s="1208"/>
      <c r="BO1955" s="1208"/>
      <c r="BP1955" s="1208"/>
      <c r="BQ1955" s="1208"/>
      <c r="BR1955" s="1208"/>
      <c r="BS1955" s="1208"/>
    </row>
    <row r="1956" spans="1:71" ht="16.899999999999999" customHeight="1">
      <c r="A1956" s="1208" t="s">
        <v>4361</v>
      </c>
      <c r="B1956" s="1208" t="s">
        <v>3949</v>
      </c>
      <c r="C1956" s="1209">
        <v>45020</v>
      </c>
      <c r="D1956" s="1208" t="s">
        <v>389</v>
      </c>
      <c r="E1956" s="1208" t="s">
        <v>390</v>
      </c>
      <c r="F1956" s="1208" t="s">
        <v>4381</v>
      </c>
      <c r="G1956" s="1184" t="s">
        <v>456</v>
      </c>
      <c r="H1956" s="1210">
        <v>2100000000</v>
      </c>
      <c r="I1956" s="1208" t="s">
        <v>4013</v>
      </c>
      <c r="J1956" s="1186" t="str">
        <f>VLOOKUP($I1956,'Price List, Weapons &amp; Items'!B:C,2,0)</f>
        <v>Ammunition for light infantry</v>
      </c>
      <c r="K1956" s="1186" t="str">
        <f>IF(I1956=".",I1956,VLOOKUP($I1956,'Price List, Weapons &amp; Items'!B:D,3,0))</f>
        <v>Small Arms and Light Weapons (SALW) ammunition</v>
      </c>
      <c r="L1956" s="1187">
        <f>VLOOKUP(I1956,'Price List, Weapons &amp; Items'!B:E,4,0)</f>
        <v>0</v>
      </c>
      <c r="M1956" s="1188">
        <v>23000000</v>
      </c>
      <c r="N1956" s="1188" t="s">
        <v>374</v>
      </c>
      <c r="O1956" s="1188">
        <f>VLOOKUP($I1956,'Price List, Weapons &amp; Items'!B:G,6,0)</f>
        <v>5</v>
      </c>
      <c r="P1956" s="1185">
        <f t="shared" si="415"/>
        <v>115000000</v>
      </c>
      <c r="Q1956" s="1185" t="str">
        <f t="shared" si="416"/>
        <v>.</v>
      </c>
      <c r="R1956" s="1185" t="str">
        <f t="shared" si="412"/>
        <v/>
      </c>
      <c r="S1956" s="1185" t="str">
        <f>IF(AND(AD1956=1,R1956&lt;&gt;".")=TRUE,R1956/VLOOKUP(G1956,'Exchange Rates'!B:C,2,0),IF(R1956=".",".",""))</f>
        <v/>
      </c>
      <c r="T1956" s="1185" t="str">
        <f>IF(AD1956=1,IF(AF1956="Value is not given at all",".",IF(AF1956="Value is given by the source",S1956,IF(AF1956="Value is calculated with prices",(IF(SUMIFS(Q:Q,A:A,A1956)&gt;0,SUMIFS(Q:Q,A:A,A1956),"."))/VLOOKUP("USD",'Exchange Rates'!B:C,2,0),"Error with coding"))),"")</f>
        <v/>
      </c>
      <c r="U1956" s="1191" t="s">
        <v>365</v>
      </c>
      <c r="V1956" s="983" t="s">
        <v>4344</v>
      </c>
      <c r="W1956" s="983" t="s">
        <v>4339</v>
      </c>
      <c r="X1956" s="1208" t="s">
        <v>364</v>
      </c>
      <c r="Y1956" s="1208" t="s">
        <v>364</v>
      </c>
      <c r="Z1956" s="1191">
        <v>0</v>
      </c>
      <c r="AA1956" s="1191">
        <v>0</v>
      </c>
      <c r="AB1956" s="1208" t="s">
        <v>364</v>
      </c>
      <c r="AC1956" s="1192" t="str">
        <f>""</f>
        <v/>
      </c>
      <c r="AD1956" s="1193">
        <v>0</v>
      </c>
      <c r="AE1956" s="1191" t="s">
        <v>368</v>
      </c>
      <c r="AF1956" s="1191" t="s">
        <v>369</v>
      </c>
      <c r="AG1956" s="1193">
        <v>1</v>
      </c>
      <c r="AH1956" s="1191">
        <v>16</v>
      </c>
      <c r="AI1956" s="1193">
        <v>0</v>
      </c>
      <c r="AJ1956" s="1193">
        <f>VLOOKUP($I1956,'Price List, Weapons &amp; Items'!B:F,5,0)</f>
        <v>0</v>
      </c>
      <c r="AK1956" s="1193">
        <f t="shared" si="417"/>
        <v>0</v>
      </c>
      <c r="AL1956" s="1193">
        <f t="shared" si="418"/>
        <v>0</v>
      </c>
      <c r="AM1956" s="1193">
        <f t="shared" si="419"/>
        <v>1</v>
      </c>
      <c r="AN1956" s="1194" t="str">
        <f>VLOOKUP($I1956,'Price List, Weapons &amp; Items'!B:L,COLUMN('Price List, Weapons &amp; Items'!$J$11)-1,0)</f>
        <v>Miscellaneous</v>
      </c>
      <c r="AO1956" s="1194" t="str">
        <f>IF(I1956=".",".",VLOOKUP($I1956,'Price List, Weapons &amp; Items'!B:J,3,0))</f>
        <v>Small Arms and Light Weapons (SALW) ammunition</v>
      </c>
      <c r="AP1956" s="1195" t="str">
        <f t="shared" ca="1" si="413"/>
        <v/>
      </c>
      <c r="AQ1956" s="1194">
        <f>VLOOKUP($I1956,'Price List, Weapons &amp; Items'!B:L,COLUMN('Price List, Weapons &amp; Items'!$L$11)-1,0)</f>
        <v>2</v>
      </c>
      <c r="AR1956" s="1194">
        <f t="shared" si="420"/>
        <v>1</v>
      </c>
      <c r="AS1956" s="1194">
        <f t="shared" si="421"/>
        <v>1</v>
      </c>
      <c r="AT1956" s="1194">
        <f t="shared" si="422"/>
        <v>1</v>
      </c>
      <c r="AU1956" s="1194" t="str">
        <f t="shared" si="424"/>
        <v>.</v>
      </c>
      <c r="AV1956" s="1194" t="str">
        <f t="shared" si="414"/>
        <v>.</v>
      </c>
      <c r="AW1956" s="1194" t="str">
        <f t="shared" si="423"/>
        <v>.</v>
      </c>
      <c r="AX1956" s="1194">
        <f>IFERROR(VLOOKUP(B1956,'Share, Heavy Weapons to Ukraine'!B:Z,COLUMN('Share, Heavy Weapons to Ukraine'!C1964)-1,0),0)</f>
        <v>1</v>
      </c>
      <c r="AY1956" s="1194">
        <f>VLOOKUP('Bilateral Assistance, MAIN DATA'!B1956,'Country Summary (€)'!B:F,COLUMN('Country Summary (€)'!C1965)-1,FALSE)</f>
        <v>0</v>
      </c>
      <c r="AZ1956" s="1194" t="str">
        <f>IF(AND(AD1956=1,D1956="Military",H1956&lt;&gt;"Not given")=TRUE,IF(SUMIFS(P:P,A:A,A1956)&gt;0,ABS((SUMIFS(P:P,A:A,A1956)/VLOOKUP("USD",'Exchange Rates'!B:C,2,0)))/S1956,"."),".")</f>
        <v>.</v>
      </c>
      <c r="BA1956" s="1196" t="str">
        <f>IF(AND(AD1956=1,D1956="Military",H1956&lt;&gt;"Not given")=TRUE,IF(SUMIFS(P:P,A:A,A1956)&gt;0,IF((ABS((SUMIFS(P:P,A:A,A1956)/VLOOKUP("USD",'Exchange Rates'!B:C,2,0)))/S1956)&gt;1,(SUMIFS(P:P,A:A,A1956)-S1956)/S1956,(S1956-SUMIFS(P:P,A:A,A1956))/SUMIFS(P:P,A:A,A1956)),"."),".")</f>
        <v>.</v>
      </c>
      <c r="BB1956" s="1208"/>
      <c r="BC1956" s="1208"/>
      <c r="BD1956" s="1208"/>
      <c r="BE1956" s="1208"/>
      <c r="BF1956" s="1208"/>
      <c r="BG1956" s="1208"/>
      <c r="BH1956" s="1208"/>
      <c r="BI1956" s="1208"/>
      <c r="BJ1956" s="1208"/>
      <c r="BK1956" s="1208"/>
      <c r="BL1956" s="1208"/>
      <c r="BM1956" s="1208"/>
      <c r="BN1956" s="1208"/>
      <c r="BO1956" s="1208"/>
      <c r="BP1956" s="1208"/>
      <c r="BQ1956" s="1208"/>
      <c r="BR1956" s="1208"/>
      <c r="BS1956" s="1208"/>
    </row>
    <row r="1957" spans="1:71" ht="16.899999999999999" customHeight="1">
      <c r="A1957" s="1208" t="s">
        <v>4361</v>
      </c>
      <c r="B1957" s="1208" t="s">
        <v>3949</v>
      </c>
      <c r="C1957" s="1209">
        <v>45020</v>
      </c>
      <c r="D1957" s="1208" t="s">
        <v>389</v>
      </c>
      <c r="E1957" s="1208" t="s">
        <v>390</v>
      </c>
      <c r="F1957" s="1208" t="s">
        <v>4381</v>
      </c>
      <c r="G1957" s="1184" t="s">
        <v>456</v>
      </c>
      <c r="H1957" s="1210">
        <v>2100000000</v>
      </c>
      <c r="I1957" s="1208" t="s">
        <v>4336</v>
      </c>
      <c r="J1957" s="1186" t="str">
        <f>VLOOKUP($I1957,'Price List, Weapons &amp; Items'!B:C,2,0)</f>
        <v>Heavy weapon</v>
      </c>
      <c r="K1957" s="1186" t="str">
        <f>IF(I1957=".",I1957,VLOOKUP($I1957,'Price List, Weapons &amp; Items'!B:D,3,0))</f>
        <v>Armored Recovery Vehicle (ARV)</v>
      </c>
      <c r="L1957" s="1187">
        <f>VLOOKUP(I1957,'Price List, Weapons &amp; Items'!B:E,4,0)</f>
        <v>0</v>
      </c>
      <c r="M1957" s="1188">
        <v>7</v>
      </c>
      <c r="N1957" s="1188" t="s">
        <v>374</v>
      </c>
      <c r="O1957" s="1188">
        <f>VLOOKUP($I1957,'Price List, Weapons &amp; Items'!B:G,6,0)</f>
        <v>6654468.8715460701</v>
      </c>
      <c r="P1957" s="1185">
        <f t="shared" si="415"/>
        <v>46581282.100822493</v>
      </c>
      <c r="Q1957" s="1185" t="str">
        <f t="shared" si="416"/>
        <v>.</v>
      </c>
      <c r="R1957" s="1185" t="str">
        <f t="shared" si="412"/>
        <v/>
      </c>
      <c r="S1957" s="1185" t="str">
        <f>IF(AND(AD1957=1,R1957&lt;&gt;".")=TRUE,R1957/VLOOKUP(G1957,'Exchange Rates'!B:C,2,0),IF(R1957=".",".",""))</f>
        <v/>
      </c>
      <c r="T1957" s="1185" t="str">
        <f>IF(AD1957=1,IF(AF1957="Value is not given at all",".",IF(AF1957="Value is given by the source",S1957,IF(AF1957="Value is calculated with prices",(IF(SUMIFS(Q:Q,A:A,A1957)&gt;0,SUMIFS(Q:Q,A:A,A1957),"."))/VLOOKUP("USD",'Exchange Rates'!B:C,2,0),"Error with coding"))),"")</f>
        <v/>
      </c>
      <c r="U1957" s="1191" t="s">
        <v>365</v>
      </c>
      <c r="V1957" s="983" t="s">
        <v>4344</v>
      </c>
      <c r="W1957" s="983" t="s">
        <v>4339</v>
      </c>
      <c r="X1957" s="1208" t="s">
        <v>364</v>
      </c>
      <c r="Y1957" s="1208" t="s">
        <v>364</v>
      </c>
      <c r="Z1957" s="1191">
        <v>0</v>
      </c>
      <c r="AA1957" s="1191">
        <v>0</v>
      </c>
      <c r="AB1957" s="1208" t="s">
        <v>364</v>
      </c>
      <c r="AC1957" s="1192" t="str">
        <f>""</f>
        <v/>
      </c>
      <c r="AD1957" s="1193">
        <v>0</v>
      </c>
      <c r="AE1957" s="1191" t="s">
        <v>368</v>
      </c>
      <c r="AF1957" s="1191" t="s">
        <v>369</v>
      </c>
      <c r="AG1957" s="1193">
        <v>1</v>
      </c>
      <c r="AH1957" s="1191">
        <v>16</v>
      </c>
      <c r="AI1957" s="1193">
        <v>0</v>
      </c>
      <c r="AJ1957" s="1193">
        <f>VLOOKUP($I1957,'Price List, Weapons &amp; Items'!B:F,5,0)</f>
        <v>1</v>
      </c>
      <c r="AK1957" s="1193">
        <f t="shared" si="417"/>
        <v>0</v>
      </c>
      <c r="AL1957" s="1193">
        <f t="shared" si="418"/>
        <v>1</v>
      </c>
      <c r="AM1957" s="1193">
        <f t="shared" si="419"/>
        <v>0</v>
      </c>
      <c r="AN1957" s="1194" t="str">
        <f>VLOOKUP($I1957,'Price List, Weapons &amp; Items'!B:L,COLUMN('Price List, Weapons &amp; Items'!$J$11)-1,0)</f>
        <v>Contracts</v>
      </c>
      <c r="AO1957" s="1194" t="str">
        <f>IF(I1957=".",".",VLOOKUP($I1957,'Price List, Weapons &amp; Items'!B:J,3,0))</f>
        <v>Armored Recovery Vehicle (ARV)</v>
      </c>
      <c r="AP1957" s="1195" t="str">
        <f t="shared" ca="1" si="413"/>
        <v/>
      </c>
      <c r="AQ1957" s="1194">
        <f>VLOOKUP($I1957,'Price List, Weapons &amp; Items'!B:L,COLUMN('Price List, Weapons &amp; Items'!$L$11)-1,0)</f>
        <v>2</v>
      </c>
      <c r="AR1957" s="1194">
        <f t="shared" si="420"/>
        <v>1</v>
      </c>
      <c r="AS1957" s="1194">
        <f t="shared" si="421"/>
        <v>1</v>
      </c>
      <c r="AT1957" s="1194">
        <f t="shared" si="422"/>
        <v>1</v>
      </c>
      <c r="AU1957" s="1194" t="str">
        <f t="shared" si="424"/>
        <v>.</v>
      </c>
      <c r="AV1957" s="1194" t="str">
        <f t="shared" si="414"/>
        <v>.</v>
      </c>
      <c r="AW1957" s="1194" t="str">
        <f t="shared" si="423"/>
        <v>.</v>
      </c>
      <c r="AX1957" s="1194">
        <f>IFERROR(VLOOKUP(B1957,'Share, Heavy Weapons to Ukraine'!B:Z,COLUMN('Share, Heavy Weapons to Ukraine'!C1965)-1,0),0)</f>
        <v>1</v>
      </c>
      <c r="AY1957" s="1194">
        <f>VLOOKUP('Bilateral Assistance, MAIN DATA'!B1957,'Country Summary (€)'!B:F,COLUMN('Country Summary (€)'!C1966)-1,FALSE)</f>
        <v>0</v>
      </c>
      <c r="AZ1957" s="1194" t="str">
        <f>IF(AND(AD1957=1,D1957="Military",H1957&lt;&gt;"Not given")=TRUE,IF(SUMIFS(P:P,A:A,A1957)&gt;0,ABS((SUMIFS(P:P,A:A,A1957)/VLOOKUP("USD",'Exchange Rates'!B:C,2,0)))/S1957,"."),".")</f>
        <v>.</v>
      </c>
      <c r="BA1957" s="1196" t="str">
        <f>IF(AND(AD1957=1,D1957="Military",H1957&lt;&gt;"Not given")=TRUE,IF(SUMIFS(P:P,A:A,A1957)&gt;0,IF((ABS((SUMIFS(P:P,A:A,A1957)/VLOOKUP("USD",'Exchange Rates'!B:C,2,0)))/S1957)&gt;1,(SUMIFS(P:P,A:A,A1957)-S1957)/S1957,(S1957-SUMIFS(P:P,A:A,A1957))/SUMIFS(P:P,A:A,A1957)),"."),".")</f>
        <v>.</v>
      </c>
      <c r="BB1957" s="1208"/>
      <c r="BC1957" s="1208"/>
      <c r="BD1957" s="1208"/>
      <c r="BE1957" s="1208"/>
      <c r="BF1957" s="1208"/>
      <c r="BG1957" s="1208"/>
      <c r="BH1957" s="1208"/>
      <c r="BI1957" s="1208"/>
      <c r="BJ1957" s="1208"/>
      <c r="BK1957" s="1208"/>
      <c r="BL1957" s="1208"/>
      <c r="BM1957" s="1208"/>
      <c r="BN1957" s="1208"/>
      <c r="BO1957" s="1208"/>
      <c r="BP1957" s="1208"/>
      <c r="BQ1957" s="1208"/>
      <c r="BR1957" s="1208"/>
      <c r="BS1957" s="1208"/>
    </row>
    <row r="1958" spans="1:71" ht="16.899999999999999" customHeight="1">
      <c r="A1958" s="1208" t="s">
        <v>4361</v>
      </c>
      <c r="B1958" s="1208" t="s">
        <v>3949</v>
      </c>
      <c r="C1958" s="1209">
        <v>45020</v>
      </c>
      <c r="D1958" s="1208" t="s">
        <v>389</v>
      </c>
      <c r="E1958" s="1208" t="s">
        <v>390</v>
      </c>
      <c r="F1958" s="1208" t="s">
        <v>4381</v>
      </c>
      <c r="G1958" s="1184" t="s">
        <v>456</v>
      </c>
      <c r="H1958" s="1210">
        <v>2100000000</v>
      </c>
      <c r="I1958" s="1208" t="s">
        <v>4342</v>
      </c>
      <c r="J1958" s="1186" t="str">
        <f>VLOOKUP($I1958,'Price List, Weapons &amp; Items'!B:C,2,0)</f>
        <v>Military equipment</v>
      </c>
      <c r="K1958" s="1186" t="str">
        <f>IF(I1958=".",I1958,VLOOKUP($I1958,'Price List, Weapons &amp; Items'!B:D,3,0))</f>
        <v>Armored Utility Vehicle (AUV)</v>
      </c>
      <c r="L1958" s="1187">
        <f>VLOOKUP(I1958,'Price List, Weapons &amp; Items'!B:E,4,0)</f>
        <v>0</v>
      </c>
      <c r="M1958" s="1188">
        <v>8</v>
      </c>
      <c r="N1958" s="1188" t="s">
        <v>374</v>
      </c>
      <c r="O1958" s="1188">
        <f>VLOOKUP($I1958,'Price List, Weapons &amp; Items'!B:G,6,0)</f>
        <v>135000</v>
      </c>
      <c r="P1958" s="1185">
        <f t="shared" si="415"/>
        <v>1080000</v>
      </c>
      <c r="Q1958" s="1185" t="str">
        <f t="shared" si="416"/>
        <v>.</v>
      </c>
      <c r="R1958" s="1185" t="str">
        <f t="shared" si="412"/>
        <v/>
      </c>
      <c r="S1958" s="1185" t="str">
        <f>IF(AND(AD1958=1,R1958&lt;&gt;".")=TRUE,R1958/VLOOKUP(G1958,'Exchange Rates'!B:C,2,0),IF(R1958=".",".",""))</f>
        <v/>
      </c>
      <c r="T1958" s="1185" t="str">
        <f>IF(AD1958=1,IF(AF1958="Value is not given at all",".",IF(AF1958="Value is given by the source",S1958,IF(AF1958="Value is calculated with prices",(IF(SUMIFS(Q:Q,A:A,A1958)&gt;0,SUMIFS(Q:Q,A:A,A1958),"."))/VLOOKUP("USD",'Exchange Rates'!B:C,2,0),"Error with coding"))),"")</f>
        <v/>
      </c>
      <c r="U1958" s="1191" t="s">
        <v>365</v>
      </c>
      <c r="V1958" s="983" t="s">
        <v>4344</v>
      </c>
      <c r="W1958" s="983" t="s">
        <v>4339</v>
      </c>
      <c r="X1958" s="1208" t="s">
        <v>364</v>
      </c>
      <c r="Y1958" s="1208" t="s">
        <v>364</v>
      </c>
      <c r="Z1958" s="1191">
        <v>0</v>
      </c>
      <c r="AA1958" s="1191">
        <v>0</v>
      </c>
      <c r="AB1958" s="1208" t="s">
        <v>364</v>
      </c>
      <c r="AC1958" s="1192" t="str">
        <f>""</f>
        <v/>
      </c>
      <c r="AD1958" s="1193">
        <v>0</v>
      </c>
      <c r="AE1958" s="1191" t="s">
        <v>368</v>
      </c>
      <c r="AF1958" s="1191" t="s">
        <v>369</v>
      </c>
      <c r="AG1958" s="1193">
        <v>1</v>
      </c>
      <c r="AH1958" s="1191">
        <v>16</v>
      </c>
      <c r="AI1958" s="1193">
        <v>0</v>
      </c>
      <c r="AJ1958" s="1193">
        <f>VLOOKUP($I1958,'Price List, Weapons &amp; Items'!B:F,5,0)</f>
        <v>0</v>
      </c>
      <c r="AK1958" s="1193">
        <f t="shared" si="417"/>
        <v>0</v>
      </c>
      <c r="AL1958" s="1193">
        <f t="shared" si="418"/>
        <v>0</v>
      </c>
      <c r="AM1958" s="1193">
        <f t="shared" si="419"/>
        <v>0</v>
      </c>
      <c r="AN1958" s="1194" t="str">
        <f>VLOOKUP($I1958,'Price List, Weapons &amp; Items'!B:L,COLUMN('Price List, Weapons &amp; Items'!$J$11)-1,0)</f>
        <v>Military media (incl. websites)</v>
      </c>
      <c r="AO1958" s="1194" t="str">
        <f>IF(I1958=".",".",VLOOKUP($I1958,'Price List, Weapons &amp; Items'!B:J,3,0))</f>
        <v>Armored Utility Vehicle (AUV)</v>
      </c>
      <c r="AP1958" s="1195" t="str">
        <f t="shared" ca="1" si="413"/>
        <v/>
      </c>
      <c r="AQ1958" s="1194">
        <f>VLOOKUP($I1958,'Price List, Weapons &amp; Items'!B:L,COLUMN('Price List, Weapons &amp; Items'!$L$11)-1,0)</f>
        <v>2</v>
      </c>
      <c r="AR1958" s="1194">
        <f t="shared" si="420"/>
        <v>1</v>
      </c>
      <c r="AS1958" s="1194">
        <f t="shared" si="421"/>
        <v>1</v>
      </c>
      <c r="AT1958" s="1194">
        <f t="shared" si="422"/>
        <v>1</v>
      </c>
      <c r="AU1958" s="1194" t="str">
        <f t="shared" si="424"/>
        <v>.</v>
      </c>
      <c r="AV1958" s="1194" t="str">
        <f t="shared" si="414"/>
        <v>.</v>
      </c>
      <c r="AW1958" s="1194" t="str">
        <f t="shared" si="423"/>
        <v>.</v>
      </c>
      <c r="AX1958" s="1194">
        <f>IFERROR(VLOOKUP(B1958,'Share, Heavy Weapons to Ukraine'!B:Z,COLUMN('Share, Heavy Weapons to Ukraine'!C1966)-1,0),0)</f>
        <v>1</v>
      </c>
      <c r="AY1958" s="1194">
        <f>VLOOKUP('Bilateral Assistance, MAIN DATA'!B1958,'Country Summary (€)'!B:F,COLUMN('Country Summary (€)'!C1967)-1,FALSE)</f>
        <v>0</v>
      </c>
      <c r="AZ1958" s="1194" t="str">
        <f>IF(AND(AD1958=1,D1958="Military",H1958&lt;&gt;"Not given")=TRUE,IF(SUMIFS(P:P,A:A,A1958)&gt;0,ABS((SUMIFS(P:P,A:A,A1958)/VLOOKUP("USD",'Exchange Rates'!B:C,2,0)))/S1958,"."),".")</f>
        <v>.</v>
      </c>
      <c r="BA1958" s="1196" t="str">
        <f>IF(AND(AD1958=1,D1958="Military",H1958&lt;&gt;"Not given")=TRUE,IF(SUMIFS(P:P,A:A,A1958)&gt;0,IF((ABS((SUMIFS(P:P,A:A,A1958)/VLOOKUP("USD",'Exchange Rates'!B:C,2,0)))/S1958)&gt;1,(SUMIFS(P:P,A:A,A1958)-S1958)/S1958,(S1958-SUMIFS(P:P,A:A,A1958))/SUMIFS(P:P,A:A,A1958)),"."),".")</f>
        <v>.</v>
      </c>
      <c r="BB1958" s="1208"/>
      <c r="BC1958" s="1208"/>
      <c r="BD1958" s="1208"/>
      <c r="BE1958" s="1208"/>
      <c r="BF1958" s="1208"/>
      <c r="BG1958" s="1208"/>
      <c r="BH1958" s="1208"/>
      <c r="BI1958" s="1208"/>
      <c r="BJ1958" s="1208"/>
      <c r="BK1958" s="1208"/>
      <c r="BL1958" s="1208"/>
      <c r="BM1958" s="1208"/>
      <c r="BN1958" s="1208"/>
      <c r="BO1958" s="1208"/>
      <c r="BP1958" s="1208"/>
      <c r="BQ1958" s="1208"/>
      <c r="BR1958" s="1208"/>
      <c r="BS1958" s="1208"/>
    </row>
    <row r="1959" spans="1:71" ht="16.899999999999999" customHeight="1">
      <c r="A1959" s="1208" t="s">
        <v>4361</v>
      </c>
      <c r="B1959" s="1208" t="s">
        <v>3949</v>
      </c>
      <c r="C1959" s="1209">
        <v>45020</v>
      </c>
      <c r="D1959" s="1208" t="s">
        <v>389</v>
      </c>
      <c r="E1959" s="1208" t="s">
        <v>390</v>
      </c>
      <c r="F1959" s="1208" t="s">
        <v>4381</v>
      </c>
      <c r="G1959" s="1184" t="s">
        <v>456</v>
      </c>
      <c r="H1959" s="1210">
        <v>2100000000</v>
      </c>
      <c r="I1959" s="1266" t="s">
        <v>1876</v>
      </c>
      <c r="J1959" s="1186" t="str">
        <f>VLOOKUP($I1959,'Price List, Weapons &amp; Items'!B:C,2,0)</f>
        <v>Military equipment</v>
      </c>
      <c r="K1959" s="1186" t="str">
        <f>IF(I1959=".",I1959,VLOOKUP($I1959,'Price List, Weapons &amp; Items'!B:D,3,0))</f>
        <v>Military equipment</v>
      </c>
      <c r="L1959" s="1187">
        <f>VLOOKUP(I1959,'Price List, Weapons &amp; Items'!B:E,4,0)</f>
        <v>0</v>
      </c>
      <c r="M1959" s="1188">
        <v>105</v>
      </c>
      <c r="N1959" s="1188" t="s">
        <v>374</v>
      </c>
      <c r="O1959" s="1188">
        <f>VLOOKUP($I1959,'Price List, Weapons &amp; Items'!B:G,6,0)</f>
        <v>350000</v>
      </c>
      <c r="P1959" s="1185">
        <f t="shared" si="415"/>
        <v>36750000</v>
      </c>
      <c r="Q1959" s="1185" t="str">
        <f t="shared" si="416"/>
        <v>.</v>
      </c>
      <c r="R1959" s="1185" t="str">
        <f t="shared" si="412"/>
        <v/>
      </c>
      <c r="S1959" s="1185" t="str">
        <f>IF(AND(AD1959=1,R1959&lt;&gt;".")=TRUE,R1959/VLOOKUP(G1959,'Exchange Rates'!B:C,2,0),IF(R1959=".",".",""))</f>
        <v/>
      </c>
      <c r="T1959" s="1185" t="str">
        <f>IF(AD1959=1,IF(AF1959="Value is not given at all",".",IF(AF1959="Value is given by the source",S1959,IF(AF1959="Value is calculated with prices",(IF(SUMIFS(Q:Q,A:A,A1959)&gt;0,SUMIFS(Q:Q,A:A,A1959),"."))/VLOOKUP("USD",'Exchange Rates'!B:C,2,0),"Error with coding"))),"")</f>
        <v/>
      </c>
      <c r="U1959" s="1191" t="s">
        <v>365</v>
      </c>
      <c r="V1959" s="983" t="s">
        <v>4344</v>
      </c>
      <c r="W1959" s="983" t="s">
        <v>4339</v>
      </c>
      <c r="X1959" s="1208" t="s">
        <v>364</v>
      </c>
      <c r="Y1959" s="1208" t="s">
        <v>364</v>
      </c>
      <c r="Z1959" s="1191">
        <v>0</v>
      </c>
      <c r="AA1959" s="1191">
        <v>0</v>
      </c>
      <c r="AB1959" s="1208" t="s">
        <v>364</v>
      </c>
      <c r="AC1959" s="1192" t="str">
        <f>""</f>
        <v/>
      </c>
      <c r="AD1959" s="1193">
        <v>0</v>
      </c>
      <c r="AE1959" s="1191" t="s">
        <v>368</v>
      </c>
      <c r="AF1959" s="1191" t="s">
        <v>369</v>
      </c>
      <c r="AG1959" s="1193">
        <v>1</v>
      </c>
      <c r="AH1959" s="1191">
        <v>16</v>
      </c>
      <c r="AI1959" s="1193">
        <v>0</v>
      </c>
      <c r="AJ1959" s="1193">
        <f>VLOOKUP($I1959,'Price List, Weapons &amp; Items'!B:F,5,0)</f>
        <v>0</v>
      </c>
      <c r="AK1959" s="1193">
        <f t="shared" si="417"/>
        <v>0</v>
      </c>
      <c r="AL1959" s="1193">
        <f t="shared" si="418"/>
        <v>0</v>
      </c>
      <c r="AM1959" s="1193">
        <f t="shared" si="419"/>
        <v>0</v>
      </c>
      <c r="AN1959" s="1194" t="str">
        <f>VLOOKUP($I1959,'Price List, Weapons &amp; Items'!B:L,COLUMN('Price List, Weapons &amp; Items'!$J$11)-1,0)</f>
        <v>Media reports (incl. social media)</v>
      </c>
      <c r="AO1959" s="1194" t="str">
        <f>IF(I1959=".",".",VLOOKUP($I1959,'Price List, Weapons &amp; Items'!B:J,3,0))</f>
        <v>Military equipment</v>
      </c>
      <c r="AP1959" s="1195" t="str">
        <f t="shared" ca="1" si="413"/>
        <v/>
      </c>
      <c r="AQ1959" s="1194">
        <f>VLOOKUP($I1959,'Price List, Weapons &amp; Items'!B:L,COLUMN('Price List, Weapons &amp; Items'!$L$11)-1,0)</f>
        <v>2</v>
      </c>
      <c r="AR1959" s="1194">
        <f t="shared" si="420"/>
        <v>1</v>
      </c>
      <c r="AS1959" s="1194">
        <f t="shared" si="421"/>
        <v>1</v>
      </c>
      <c r="AT1959" s="1194">
        <f t="shared" si="422"/>
        <v>1</v>
      </c>
      <c r="AU1959" s="1194" t="str">
        <f t="shared" si="424"/>
        <v>.</v>
      </c>
      <c r="AV1959" s="1194" t="str">
        <f t="shared" si="414"/>
        <v>.</v>
      </c>
      <c r="AW1959" s="1194" t="str">
        <f t="shared" si="423"/>
        <v>.</v>
      </c>
      <c r="AX1959" s="1194">
        <f>IFERROR(VLOOKUP(B1959,'Share, Heavy Weapons to Ukraine'!B:Z,COLUMN('Share, Heavy Weapons to Ukraine'!C1967)-1,0),0)</f>
        <v>1</v>
      </c>
      <c r="AY1959" s="1194">
        <f>VLOOKUP('Bilateral Assistance, MAIN DATA'!B1959,'Country Summary (€)'!B:F,COLUMN('Country Summary (€)'!C1968)-1,FALSE)</f>
        <v>0</v>
      </c>
      <c r="AZ1959" s="1194" t="str">
        <f>IF(AND(AD1959=1,D1959="Military",H1959&lt;&gt;"Not given")=TRUE,IF(SUMIFS(P:P,A:A,A1959)&gt;0,ABS((SUMIFS(P:P,A:A,A1959)/VLOOKUP("USD",'Exchange Rates'!B:C,2,0)))/S1959,"."),".")</f>
        <v>.</v>
      </c>
      <c r="BA1959" s="1196" t="str">
        <f>IF(AND(AD1959=1,D1959="Military",H1959&lt;&gt;"Not given")=TRUE,IF(SUMIFS(P:P,A:A,A1959)&gt;0,IF((ABS((SUMIFS(P:P,A:A,A1959)/VLOOKUP("USD",'Exchange Rates'!B:C,2,0)))/S1959)&gt;1,(SUMIFS(P:P,A:A,A1959)-S1959)/S1959,(S1959-SUMIFS(P:P,A:A,A1959))/SUMIFS(P:P,A:A,A1959)),"."),".")</f>
        <v>.</v>
      </c>
      <c r="BB1959" s="1208"/>
      <c r="BC1959" s="1208"/>
      <c r="BD1959" s="1208"/>
      <c r="BE1959" s="1208"/>
      <c r="BF1959" s="1208"/>
      <c r="BG1959" s="1208"/>
      <c r="BH1959" s="1208"/>
      <c r="BI1959" s="1208"/>
      <c r="BJ1959" s="1208"/>
      <c r="BK1959" s="1208"/>
      <c r="BL1959" s="1208"/>
      <c r="BM1959" s="1208"/>
      <c r="BN1959" s="1208"/>
      <c r="BO1959" s="1208"/>
      <c r="BP1959" s="1208"/>
      <c r="BQ1959" s="1208"/>
      <c r="BR1959" s="1208"/>
      <c r="BS1959" s="1208"/>
    </row>
    <row r="1960" spans="1:71" ht="16.899999999999999" customHeight="1">
      <c r="A1960" s="1208" t="s">
        <v>4361</v>
      </c>
      <c r="B1960" s="1208" t="s">
        <v>3949</v>
      </c>
      <c r="C1960" s="1209">
        <v>45020</v>
      </c>
      <c r="D1960" s="1208" t="s">
        <v>389</v>
      </c>
      <c r="E1960" s="1208" t="s">
        <v>390</v>
      </c>
      <c r="F1960" s="1208" t="s">
        <v>4381</v>
      </c>
      <c r="G1960" s="1184" t="s">
        <v>456</v>
      </c>
      <c r="H1960" s="1210">
        <v>2100000000</v>
      </c>
      <c r="I1960" s="1208" t="s">
        <v>1821</v>
      </c>
      <c r="J1960" s="1186" t="str">
        <f>VLOOKUP($I1960,'Price List, Weapons &amp; Items'!B:C,2,0)</f>
        <v>Military equipment</v>
      </c>
      <c r="K1960" s="1186" t="str">
        <f>IF(I1960=".",I1960,VLOOKUP($I1960,'Price List, Weapons &amp; Items'!B:D,3,0))</f>
        <v>Military equipment</v>
      </c>
      <c r="L1960" s="1187">
        <f>VLOOKUP(I1960,'Price List, Weapons &amp; Items'!B:E,4,0)</f>
        <v>0</v>
      </c>
      <c r="M1960" s="1188" t="s">
        <v>374</v>
      </c>
      <c r="N1960" s="1188" t="s">
        <v>374</v>
      </c>
      <c r="O1960" s="1188">
        <f>VLOOKUP($I1960,'Price List, Weapons &amp; Items'!B:G,6,0)</f>
        <v>2268127</v>
      </c>
      <c r="P1960" s="1185" t="str">
        <f t="shared" si="415"/>
        <v>.</v>
      </c>
      <c r="Q1960" s="1185" t="str">
        <f t="shared" si="416"/>
        <v>.</v>
      </c>
      <c r="R1960" s="1185" t="str">
        <f t="shared" si="412"/>
        <v/>
      </c>
      <c r="S1960" s="1185" t="str">
        <f>IF(AND(AD1960=1,R1960&lt;&gt;".")=TRUE,R1960/VLOOKUP(G1960,'Exchange Rates'!B:C,2,0),IF(R1960=".",".",""))</f>
        <v/>
      </c>
      <c r="T1960" s="1185" t="str">
        <f>IF(AD1960=1,IF(AF1960="Value is not given at all",".",IF(AF1960="Value is given by the source",S1960,IF(AF1960="Value is calculated with prices",(IF(SUMIFS(Q:Q,A:A,A1960)&gt;0,SUMIFS(Q:Q,A:A,A1960),"."))/VLOOKUP("USD",'Exchange Rates'!B:C,2,0),"Error with coding"))),"")</f>
        <v/>
      </c>
      <c r="U1960" s="1191" t="s">
        <v>365</v>
      </c>
      <c r="V1960" s="983" t="s">
        <v>4344</v>
      </c>
      <c r="W1960" s="983" t="s">
        <v>4339</v>
      </c>
      <c r="X1960" s="1208" t="s">
        <v>364</v>
      </c>
      <c r="Y1960" s="1208" t="s">
        <v>364</v>
      </c>
      <c r="Z1960" s="1191">
        <v>0</v>
      </c>
      <c r="AA1960" s="1191">
        <v>0</v>
      </c>
      <c r="AB1960" s="1208" t="s">
        <v>364</v>
      </c>
      <c r="AC1960" s="1192" t="str">
        <f>""</f>
        <v/>
      </c>
      <c r="AD1960" s="1193">
        <v>0</v>
      </c>
      <c r="AE1960" s="1191" t="s">
        <v>368</v>
      </c>
      <c r="AF1960" s="1191" t="s">
        <v>369</v>
      </c>
      <c r="AG1960" s="1193">
        <v>1</v>
      </c>
      <c r="AH1960" s="1191">
        <v>16</v>
      </c>
      <c r="AI1960" s="1193">
        <v>0</v>
      </c>
      <c r="AJ1960" s="1193">
        <f>VLOOKUP($I1960,'Price List, Weapons &amp; Items'!B:F,5,0)</f>
        <v>0</v>
      </c>
      <c r="AK1960" s="1193">
        <f t="shared" si="417"/>
        <v>0</v>
      </c>
      <c r="AL1960" s="1193">
        <f t="shared" si="418"/>
        <v>0</v>
      </c>
      <c r="AM1960" s="1193">
        <f t="shared" si="419"/>
        <v>0</v>
      </c>
      <c r="AN1960" s="1194" t="str">
        <f>VLOOKUP($I1960,'Price List, Weapons &amp; Items'!B:L,COLUMN('Price List, Weapons &amp; Items'!$J$11)-1,0)</f>
        <v>Media reports (incl. social media)</v>
      </c>
      <c r="AO1960" s="1194" t="str">
        <f>IF(I1960=".",".",VLOOKUP($I1960,'Price List, Weapons &amp; Items'!B:J,3,0))</f>
        <v>Military equipment</v>
      </c>
      <c r="AP1960" s="1195" t="str">
        <f t="shared" ca="1" si="413"/>
        <v/>
      </c>
      <c r="AQ1960" s="1194">
        <f>VLOOKUP($I1960,'Price List, Weapons &amp; Items'!B:L,COLUMN('Price List, Weapons &amp; Items'!$L$11)-1,0)</f>
        <v>2</v>
      </c>
      <c r="AR1960" s="1194">
        <f t="shared" si="420"/>
        <v>1</v>
      </c>
      <c r="AS1960" s="1194">
        <f t="shared" si="421"/>
        <v>1</v>
      </c>
      <c r="AT1960" s="1194">
        <f t="shared" si="422"/>
        <v>1</v>
      </c>
      <c r="AU1960" s="1194" t="str">
        <f t="shared" si="424"/>
        <v>.</v>
      </c>
      <c r="AV1960" s="1194" t="str">
        <f t="shared" si="414"/>
        <v>.</v>
      </c>
      <c r="AW1960" s="1194" t="str">
        <f t="shared" si="423"/>
        <v>.</v>
      </c>
      <c r="AX1960" s="1194">
        <f>IFERROR(VLOOKUP(B1960,'Share, Heavy Weapons to Ukraine'!B:Z,COLUMN('Share, Heavy Weapons to Ukraine'!C1968)-1,0),0)</f>
        <v>1</v>
      </c>
      <c r="AY1960" s="1194">
        <f>VLOOKUP('Bilateral Assistance, MAIN DATA'!B1960,'Country Summary (€)'!B:F,COLUMN('Country Summary (€)'!C1969)-1,FALSE)</f>
        <v>0</v>
      </c>
      <c r="AZ1960" s="1194" t="str">
        <f>IF(AND(AD1960=1,D1960="Military",H1960&lt;&gt;"Not given")=TRUE,IF(SUMIFS(P:P,A:A,A1960)&gt;0,ABS((SUMIFS(P:P,A:A,A1960)/VLOOKUP("USD",'Exchange Rates'!B:C,2,0)))/S1960,"."),".")</f>
        <v>.</v>
      </c>
      <c r="BA1960" s="1196" t="str">
        <f>IF(AND(AD1960=1,D1960="Military",H1960&lt;&gt;"Not given")=TRUE,IF(SUMIFS(P:P,A:A,A1960)&gt;0,IF((ABS((SUMIFS(P:P,A:A,A1960)/VLOOKUP("USD",'Exchange Rates'!B:C,2,0)))/S1960)&gt;1,(SUMIFS(P:P,A:A,A1960)-S1960)/S1960,(S1960-SUMIFS(P:P,A:A,A1960))/SUMIFS(P:P,A:A,A1960)),"."),".")</f>
        <v>.</v>
      </c>
      <c r="BB1960" s="1208"/>
      <c r="BC1960" s="1208"/>
      <c r="BD1960" s="1208"/>
      <c r="BE1960" s="1208"/>
      <c r="BF1960" s="1208"/>
      <c r="BG1960" s="1208"/>
      <c r="BH1960" s="1208"/>
      <c r="BI1960" s="1208"/>
      <c r="BJ1960" s="1208"/>
      <c r="BK1960" s="1208"/>
      <c r="BL1960" s="1208"/>
      <c r="BM1960" s="1208"/>
      <c r="BN1960" s="1208"/>
      <c r="BO1960" s="1208"/>
      <c r="BP1960" s="1208"/>
      <c r="BQ1960" s="1208"/>
      <c r="BR1960" s="1208"/>
      <c r="BS1960" s="1208"/>
    </row>
    <row r="1961" spans="1:71" ht="16.899999999999999" customHeight="1">
      <c r="A1961" s="1208" t="s">
        <v>4361</v>
      </c>
      <c r="B1961" s="1208" t="s">
        <v>3949</v>
      </c>
      <c r="C1961" s="1209">
        <v>45020</v>
      </c>
      <c r="D1961" s="1208" t="s">
        <v>389</v>
      </c>
      <c r="E1961" s="1208" t="s">
        <v>390</v>
      </c>
      <c r="F1961" s="1208" t="s">
        <v>4381</v>
      </c>
      <c r="G1961" s="1184" t="s">
        <v>456</v>
      </c>
      <c r="H1961" s="1210">
        <v>2100000000</v>
      </c>
      <c r="I1961" s="1180" t="s">
        <v>853</v>
      </c>
      <c r="J1961" s="1186" t="str">
        <f>VLOOKUP($I1961,'Price List, Weapons &amp; Items'!B:C,2,0)</f>
        <v>Heavy weapon</v>
      </c>
      <c r="K1961" s="1186" t="str">
        <f>IF(I1961=".",I1961,VLOOKUP($I1961,'Price List, Weapons &amp; Items'!B:D,3,0))</f>
        <v>Armored Personnel Carrier (APC)</v>
      </c>
      <c r="L1961" s="1187">
        <f>VLOOKUP(I1961,'Price List, Weapons &amp; Items'!B:E,4,0)</f>
        <v>0</v>
      </c>
      <c r="M1961" s="1188">
        <v>4</v>
      </c>
      <c r="N1961" s="1188" t="s">
        <v>374</v>
      </c>
      <c r="O1961" s="1188">
        <f>VLOOKUP($I1961,'Price List, Weapons &amp; Items'!B:G,6,0)</f>
        <v>4346586.3370000003</v>
      </c>
      <c r="P1961" s="1185">
        <f t="shared" si="415"/>
        <v>17386345.348000001</v>
      </c>
      <c r="Q1961" s="1185" t="str">
        <f t="shared" si="416"/>
        <v>.</v>
      </c>
      <c r="R1961" s="1185" t="str">
        <f t="shared" si="412"/>
        <v/>
      </c>
      <c r="S1961" s="1185" t="str">
        <f>IF(AND(AD1961=1,R1961&lt;&gt;".")=TRUE,R1961/VLOOKUP(G1961,'Exchange Rates'!B:C,2,0),IF(R1961=".",".",""))</f>
        <v/>
      </c>
      <c r="T1961" s="1185" t="str">
        <f>IF(AD1961=1,IF(AF1961="Value is not given at all",".",IF(AF1961="Value is given by the source",S1961,IF(AF1961="Value is calculated with prices",(IF(SUMIFS(Q:Q,A:A,A1961)&gt;0,SUMIFS(Q:Q,A:A,A1961),"."))/VLOOKUP("USD",'Exchange Rates'!B:C,2,0),"Error with coding"))),"")</f>
        <v/>
      </c>
      <c r="U1961" s="1191" t="s">
        <v>365</v>
      </c>
      <c r="V1961" s="983" t="s">
        <v>4344</v>
      </c>
      <c r="W1961" s="983" t="s">
        <v>4339</v>
      </c>
      <c r="X1961" s="1208" t="s">
        <v>364</v>
      </c>
      <c r="Y1961" s="1208" t="s">
        <v>364</v>
      </c>
      <c r="Z1961" s="1191">
        <v>0</v>
      </c>
      <c r="AA1961" s="1191">
        <v>0</v>
      </c>
      <c r="AB1961" s="1208" t="s">
        <v>364</v>
      </c>
      <c r="AC1961" s="1192" t="str">
        <f>""</f>
        <v/>
      </c>
      <c r="AD1961" s="1193">
        <v>0</v>
      </c>
      <c r="AE1961" s="1191" t="s">
        <v>368</v>
      </c>
      <c r="AF1961" s="1191" t="s">
        <v>369</v>
      </c>
      <c r="AG1961" s="1193">
        <v>1</v>
      </c>
      <c r="AH1961" s="1191">
        <v>16</v>
      </c>
      <c r="AI1961" s="1193">
        <v>0</v>
      </c>
      <c r="AJ1961" s="1193">
        <f>VLOOKUP($I1961,'Price List, Weapons &amp; Items'!B:F,5,0)</f>
        <v>1</v>
      </c>
      <c r="AK1961" s="1193">
        <f t="shared" si="417"/>
        <v>0</v>
      </c>
      <c r="AL1961" s="1193">
        <f t="shared" si="418"/>
        <v>1</v>
      </c>
      <c r="AM1961" s="1193">
        <f t="shared" si="419"/>
        <v>0</v>
      </c>
      <c r="AN1961" s="1194" t="str">
        <f>VLOOKUP($I1961,'Price List, Weapons &amp; Items'!B:L,COLUMN('Price List, Weapons &amp; Items'!$J$11)-1,0)</f>
        <v>Government information</v>
      </c>
      <c r="AO1961" s="1194" t="str">
        <f>IF(I1961=".",".",VLOOKUP($I1961,'Price List, Weapons &amp; Items'!B:J,3,0))</f>
        <v>Armored Personnel Carrier (APC)</v>
      </c>
      <c r="AP1961" s="1195" t="str">
        <f t="shared" ca="1" si="413"/>
        <v/>
      </c>
      <c r="AQ1961" s="1194">
        <f>VLOOKUP($I1961,'Price List, Weapons &amp; Items'!B:L,COLUMN('Price List, Weapons &amp; Items'!$L$11)-1,0)</f>
        <v>2</v>
      </c>
      <c r="AR1961" s="1194">
        <f t="shared" si="420"/>
        <v>1</v>
      </c>
      <c r="AS1961" s="1194">
        <f t="shared" si="421"/>
        <v>1</v>
      </c>
      <c r="AT1961" s="1194">
        <f t="shared" si="422"/>
        <v>1</v>
      </c>
      <c r="AU1961" s="1194" t="str">
        <f t="shared" si="424"/>
        <v>.</v>
      </c>
      <c r="AV1961" s="1194" t="str">
        <f t="shared" si="414"/>
        <v>.</v>
      </c>
      <c r="AW1961" s="1194" t="str">
        <f t="shared" si="423"/>
        <v>.</v>
      </c>
      <c r="AX1961" s="1194">
        <f>IFERROR(VLOOKUP(B1961,'Share, Heavy Weapons to Ukraine'!B:Z,COLUMN('Share, Heavy Weapons to Ukraine'!C1969)-1,0),0)</f>
        <v>1</v>
      </c>
      <c r="AY1961" s="1194">
        <f>VLOOKUP('Bilateral Assistance, MAIN DATA'!B1961,'Country Summary (€)'!B:F,COLUMN('Country Summary (€)'!C1970)-1,FALSE)</f>
        <v>0</v>
      </c>
      <c r="AZ1961" s="1194" t="str">
        <f>IF(AND(AD1961=1,D1961="Military",H1961&lt;&gt;"Not given")=TRUE,IF(SUMIFS(P:P,A:A,A1961)&gt;0,ABS((SUMIFS(P:P,A:A,A1961)/VLOOKUP("USD",'Exchange Rates'!B:C,2,0)))/S1961,"."),".")</f>
        <v>.</v>
      </c>
      <c r="BA1961" s="1196" t="str">
        <f>IF(AND(AD1961=1,D1961="Military",H1961&lt;&gt;"Not given")=TRUE,IF(SUMIFS(P:P,A:A,A1961)&gt;0,IF((ABS((SUMIFS(P:P,A:A,A1961)/VLOOKUP("USD",'Exchange Rates'!B:C,2,0)))/S1961)&gt;1,(SUMIFS(P:P,A:A,A1961)-S1961)/S1961,(S1961-SUMIFS(P:P,A:A,A1961))/SUMIFS(P:P,A:A,A1961)),"."),".")</f>
        <v>.</v>
      </c>
      <c r="BB1961" s="1208"/>
      <c r="BC1961" s="1208"/>
      <c r="BD1961" s="1208"/>
      <c r="BE1961" s="1208"/>
      <c r="BF1961" s="1208"/>
      <c r="BG1961" s="1208"/>
      <c r="BH1961" s="1208"/>
      <c r="BI1961" s="1208"/>
      <c r="BJ1961" s="1208"/>
      <c r="BK1961" s="1208"/>
      <c r="BL1961" s="1208"/>
      <c r="BM1961" s="1208"/>
      <c r="BN1961" s="1208"/>
      <c r="BO1961" s="1208"/>
      <c r="BP1961" s="1208"/>
      <c r="BQ1961" s="1208"/>
      <c r="BR1961" s="1208"/>
      <c r="BS1961" s="1208"/>
    </row>
    <row r="1962" spans="1:71" ht="16.899999999999999" customHeight="1">
      <c r="A1962" s="1208" t="s">
        <v>4361</v>
      </c>
      <c r="B1962" s="1208" t="s">
        <v>3949</v>
      </c>
      <c r="C1962" s="1209">
        <v>45020</v>
      </c>
      <c r="D1962" s="1208" t="s">
        <v>389</v>
      </c>
      <c r="E1962" s="1208" t="s">
        <v>390</v>
      </c>
      <c r="F1962" s="1208" t="s">
        <v>4381</v>
      </c>
      <c r="G1962" s="1184" t="s">
        <v>456</v>
      </c>
      <c r="H1962" s="1210">
        <v>2100000000</v>
      </c>
      <c r="I1962" s="1208" t="s">
        <v>1548</v>
      </c>
      <c r="J1962" s="1186" t="str">
        <f>VLOOKUP($I1962,'Price List, Weapons &amp; Items'!B:C,2,0)</f>
        <v>Military equipment</v>
      </c>
      <c r="K1962" s="1186" t="str">
        <f>IF(I1962=".",I1962,VLOOKUP($I1962,'Price List, Weapons &amp; Items'!B:D,3,0))</f>
        <v>non combat military vehicle</v>
      </c>
      <c r="L1962" s="1187">
        <f>VLOOKUP(I1962,'Price List, Weapons &amp; Items'!B:E,4,0)</f>
        <v>0</v>
      </c>
      <c r="M1962" s="1188" t="s">
        <v>374</v>
      </c>
      <c r="N1962" s="1188" t="s">
        <v>374</v>
      </c>
      <c r="O1962" s="1188">
        <f>VLOOKUP($I1962,'Price List, Weapons &amp; Items'!B:G,6,0)</f>
        <v>350000</v>
      </c>
      <c r="P1962" s="1185" t="str">
        <f t="shared" si="415"/>
        <v>.</v>
      </c>
      <c r="Q1962" s="1185" t="str">
        <f t="shared" si="416"/>
        <v>.</v>
      </c>
      <c r="R1962" s="1185" t="str">
        <f t="shared" si="412"/>
        <v/>
      </c>
      <c r="S1962" s="1185" t="str">
        <f>IF(AND(AD1962=1,R1962&lt;&gt;".")=TRUE,R1962/VLOOKUP(G1962,'Exchange Rates'!B:C,2,0),IF(R1962=".",".",""))</f>
        <v/>
      </c>
      <c r="T1962" s="1185" t="str">
        <f>IF(AD1962=1,IF(AF1962="Value is not given at all",".",IF(AF1962="Value is given by the source",S1962,IF(AF1962="Value is calculated with prices",(IF(SUMIFS(Q:Q,A:A,A1962)&gt;0,SUMIFS(Q:Q,A:A,A1962),"."))/VLOOKUP("USD",'Exchange Rates'!B:C,2,0),"Error with coding"))),"")</f>
        <v/>
      </c>
      <c r="U1962" s="1191" t="s">
        <v>365</v>
      </c>
      <c r="V1962" s="983" t="s">
        <v>4344</v>
      </c>
      <c r="W1962" s="983" t="s">
        <v>4339</v>
      </c>
      <c r="X1962" s="1208" t="s">
        <v>364</v>
      </c>
      <c r="Y1962" s="1208" t="s">
        <v>364</v>
      </c>
      <c r="Z1962" s="1191">
        <v>0</v>
      </c>
      <c r="AA1962" s="1191">
        <v>0</v>
      </c>
      <c r="AB1962" s="1208" t="s">
        <v>364</v>
      </c>
      <c r="AC1962" s="1192" t="str">
        <f>""</f>
        <v/>
      </c>
      <c r="AD1962" s="1193">
        <v>0</v>
      </c>
      <c r="AE1962" s="1191" t="s">
        <v>368</v>
      </c>
      <c r="AF1962" s="1191" t="s">
        <v>369</v>
      </c>
      <c r="AG1962" s="1193">
        <v>1</v>
      </c>
      <c r="AH1962" s="1191">
        <v>16</v>
      </c>
      <c r="AI1962" s="1193">
        <v>0</v>
      </c>
      <c r="AJ1962" s="1193">
        <f>VLOOKUP($I1962,'Price List, Weapons &amp; Items'!B:F,5,0)</f>
        <v>0</v>
      </c>
      <c r="AK1962" s="1193">
        <f t="shared" si="417"/>
        <v>0</v>
      </c>
      <c r="AL1962" s="1193">
        <f t="shared" si="418"/>
        <v>0</v>
      </c>
      <c r="AM1962" s="1193">
        <f t="shared" si="419"/>
        <v>0</v>
      </c>
      <c r="AN1962" s="1194" t="str">
        <f>VLOOKUP($I1962,'Price List, Weapons &amp; Items'!B:L,COLUMN('Price List, Weapons &amp; Items'!$J$11)-1,0)</f>
        <v>Media reports (incl. social media)</v>
      </c>
      <c r="AO1962" s="1194" t="str">
        <f>IF(I1962=".",".",VLOOKUP($I1962,'Price List, Weapons &amp; Items'!B:J,3,0))</f>
        <v>non combat military vehicle</v>
      </c>
      <c r="AP1962" s="1195" t="str">
        <f t="shared" ca="1" si="413"/>
        <v/>
      </c>
      <c r="AQ1962" s="1194">
        <f>VLOOKUP($I1962,'Price List, Weapons &amp; Items'!B:L,COLUMN('Price List, Weapons &amp; Items'!$L$11)-1,0)</f>
        <v>2</v>
      </c>
      <c r="AR1962" s="1194">
        <f t="shared" si="420"/>
        <v>1</v>
      </c>
      <c r="AS1962" s="1194">
        <f t="shared" si="421"/>
        <v>1</v>
      </c>
      <c r="AT1962" s="1194">
        <f t="shared" si="422"/>
        <v>1</v>
      </c>
      <c r="AU1962" s="1194" t="str">
        <f t="shared" si="424"/>
        <v>.</v>
      </c>
      <c r="AV1962" s="1194" t="str">
        <f t="shared" si="414"/>
        <v>.</v>
      </c>
      <c r="AW1962" s="1194" t="str">
        <f t="shared" si="423"/>
        <v>.</v>
      </c>
      <c r="AX1962" s="1194">
        <f>IFERROR(VLOOKUP(B1962,'Share, Heavy Weapons to Ukraine'!B:Z,COLUMN('Share, Heavy Weapons to Ukraine'!C1970)-1,0),0)</f>
        <v>1</v>
      </c>
      <c r="AY1962" s="1194">
        <f>VLOOKUP('Bilateral Assistance, MAIN DATA'!B1962,'Country Summary (€)'!B:F,COLUMN('Country Summary (€)'!C1971)-1,FALSE)</f>
        <v>0</v>
      </c>
      <c r="AZ1962" s="1194" t="str">
        <f>IF(AND(AD1962=1,D1962="Military",H1962&lt;&gt;"Not given")=TRUE,IF(SUMIFS(P:P,A:A,A1962)&gt;0,ABS((SUMIFS(P:P,A:A,A1962)/VLOOKUP("USD",'Exchange Rates'!B:C,2,0)))/S1962,"."),".")</f>
        <v>.</v>
      </c>
      <c r="BA1962" s="1196" t="str">
        <f>IF(AND(AD1962=1,D1962="Military",H1962&lt;&gt;"Not given")=TRUE,IF(SUMIFS(P:P,A:A,A1962)&gt;0,IF((ABS((SUMIFS(P:P,A:A,A1962)/VLOOKUP("USD",'Exchange Rates'!B:C,2,0)))/S1962)&gt;1,(SUMIFS(P:P,A:A,A1962)-S1962)/S1962,(S1962-SUMIFS(P:P,A:A,A1962))/SUMIFS(P:P,A:A,A1962)),"."),".")</f>
        <v>.</v>
      </c>
      <c r="BB1962" s="1208"/>
      <c r="BC1962" s="1208"/>
      <c r="BD1962" s="1208"/>
      <c r="BE1962" s="1208"/>
      <c r="BF1962" s="1208"/>
      <c r="BG1962" s="1208"/>
      <c r="BH1962" s="1208"/>
      <c r="BI1962" s="1208"/>
      <c r="BJ1962" s="1208"/>
      <c r="BK1962" s="1208"/>
      <c r="BL1962" s="1208"/>
      <c r="BM1962" s="1208"/>
      <c r="BN1962" s="1208"/>
      <c r="BO1962" s="1208"/>
      <c r="BP1962" s="1208"/>
      <c r="BQ1962" s="1208"/>
      <c r="BR1962" s="1208"/>
      <c r="BS1962" s="1208"/>
    </row>
    <row r="1963" spans="1:71" ht="16.899999999999999" customHeight="1">
      <c r="A1963" s="1208" t="s">
        <v>4361</v>
      </c>
      <c r="B1963" s="1208" t="s">
        <v>3949</v>
      </c>
      <c r="C1963" s="1209">
        <v>45020</v>
      </c>
      <c r="D1963" s="1208" t="s">
        <v>389</v>
      </c>
      <c r="E1963" s="1208" t="s">
        <v>390</v>
      </c>
      <c r="F1963" s="1208" t="s">
        <v>4381</v>
      </c>
      <c r="G1963" s="1184" t="s">
        <v>456</v>
      </c>
      <c r="H1963" s="1210">
        <v>2100000000</v>
      </c>
      <c r="I1963" s="1208" t="s">
        <v>1848</v>
      </c>
      <c r="J1963" s="1186" t="str">
        <f>VLOOKUP($I1963,'Price List, Weapons &amp; Items'!B:C,2,0)</f>
        <v>Military equipment</v>
      </c>
      <c r="K1963" s="1186" t="str">
        <f>IF(I1963=".",I1963,VLOOKUP($I1963,'Price List, Weapons &amp; Items'!B:D,3,0))</f>
        <v>non combat military vehicle</v>
      </c>
      <c r="L1963" s="1187">
        <f>VLOOKUP(I1963,'Price List, Weapons &amp; Items'!B:E,4,0)</f>
        <v>0</v>
      </c>
      <c r="M1963" s="1188">
        <v>10</v>
      </c>
      <c r="N1963" s="1188" t="s">
        <v>374</v>
      </c>
      <c r="O1963" s="1188">
        <f>VLOOKUP($I1963,'Price List, Weapons &amp; Items'!B:G,6,0)</f>
        <v>50000</v>
      </c>
      <c r="P1963" s="1185">
        <f t="shared" si="415"/>
        <v>500000</v>
      </c>
      <c r="Q1963" s="1185" t="str">
        <f t="shared" si="416"/>
        <v>.</v>
      </c>
      <c r="R1963" s="1185" t="str">
        <f t="shared" si="412"/>
        <v/>
      </c>
      <c r="S1963" s="1185" t="str">
        <f>IF(AND(AD1963=1,R1963&lt;&gt;".")=TRUE,R1963/VLOOKUP(G1963,'Exchange Rates'!B:C,2,0),IF(R1963=".",".",""))</f>
        <v/>
      </c>
      <c r="T1963" s="1185" t="str">
        <f>IF(AD1963=1,IF(AF1963="Value is not given at all",".",IF(AF1963="Value is given by the source",S1963,IF(AF1963="Value is calculated with prices",(IF(SUMIFS(Q:Q,A:A,A1963)&gt;0,SUMIFS(Q:Q,A:A,A1963),"."))/VLOOKUP("USD",'Exchange Rates'!B:C,2,0),"Error with coding"))),"")</f>
        <v/>
      </c>
      <c r="U1963" s="1191" t="s">
        <v>365</v>
      </c>
      <c r="V1963" s="983" t="s">
        <v>4344</v>
      </c>
      <c r="W1963" s="983" t="s">
        <v>4339</v>
      </c>
      <c r="X1963" s="1208" t="s">
        <v>364</v>
      </c>
      <c r="Y1963" s="1208" t="s">
        <v>364</v>
      </c>
      <c r="Z1963" s="1191">
        <v>0</v>
      </c>
      <c r="AA1963" s="1191">
        <v>0</v>
      </c>
      <c r="AB1963" s="1208" t="s">
        <v>364</v>
      </c>
      <c r="AC1963" s="1192" t="str">
        <f>""</f>
        <v/>
      </c>
      <c r="AD1963" s="1193">
        <v>0</v>
      </c>
      <c r="AE1963" s="1191" t="s">
        <v>368</v>
      </c>
      <c r="AF1963" s="1191" t="s">
        <v>369</v>
      </c>
      <c r="AG1963" s="1193">
        <v>1</v>
      </c>
      <c r="AH1963" s="1191">
        <v>16</v>
      </c>
      <c r="AI1963" s="1193">
        <v>0</v>
      </c>
      <c r="AJ1963" s="1193">
        <f>VLOOKUP($I1963,'Price List, Weapons &amp; Items'!B:F,5,0)</f>
        <v>0</v>
      </c>
      <c r="AK1963" s="1193">
        <f t="shared" si="417"/>
        <v>0</v>
      </c>
      <c r="AL1963" s="1193">
        <f t="shared" si="418"/>
        <v>0</v>
      </c>
      <c r="AM1963" s="1193">
        <f t="shared" si="419"/>
        <v>0</v>
      </c>
      <c r="AN1963" s="1194" t="str">
        <f>VLOOKUP($I1963,'Price List, Weapons &amp; Items'!B:L,COLUMN('Price List, Weapons &amp; Items'!$J$11)-1,0)</f>
        <v>Miscellaneous</v>
      </c>
      <c r="AO1963" s="1194" t="str">
        <f>IF(I1963=".",".",VLOOKUP($I1963,'Price List, Weapons &amp; Items'!B:J,3,0))</f>
        <v>non combat military vehicle</v>
      </c>
      <c r="AP1963" s="1195" t="str">
        <f t="shared" ca="1" si="413"/>
        <v/>
      </c>
      <c r="AQ1963" s="1194">
        <f>VLOOKUP($I1963,'Price List, Weapons &amp; Items'!B:L,COLUMN('Price List, Weapons &amp; Items'!$L$11)-1,0)</f>
        <v>2</v>
      </c>
      <c r="AR1963" s="1194">
        <f t="shared" si="420"/>
        <v>1</v>
      </c>
      <c r="AS1963" s="1194">
        <f t="shared" si="421"/>
        <v>1</v>
      </c>
      <c r="AT1963" s="1194">
        <f t="shared" si="422"/>
        <v>1</v>
      </c>
      <c r="AU1963" s="1194" t="str">
        <f t="shared" si="424"/>
        <v>.</v>
      </c>
      <c r="AV1963" s="1194" t="str">
        <f t="shared" si="414"/>
        <v>.</v>
      </c>
      <c r="AW1963" s="1194" t="str">
        <f t="shared" si="423"/>
        <v>.</v>
      </c>
      <c r="AX1963" s="1194">
        <f>IFERROR(VLOOKUP(B1963,'Share, Heavy Weapons to Ukraine'!B:Z,COLUMN('Share, Heavy Weapons to Ukraine'!C1971)-1,0),0)</f>
        <v>1</v>
      </c>
      <c r="AY1963" s="1194">
        <f>VLOOKUP('Bilateral Assistance, MAIN DATA'!B1963,'Country Summary (€)'!B:F,COLUMN('Country Summary (€)'!C1972)-1,FALSE)</f>
        <v>0</v>
      </c>
      <c r="AZ1963" s="1194" t="str">
        <f>IF(AND(AD1963=1,D1963="Military",H1963&lt;&gt;"Not given")=TRUE,IF(SUMIFS(P:P,A:A,A1963)&gt;0,ABS((SUMIFS(P:P,A:A,A1963)/VLOOKUP("USD",'Exchange Rates'!B:C,2,0)))/S1963,"."),".")</f>
        <v>.</v>
      </c>
      <c r="BA1963" s="1196" t="str">
        <f>IF(AND(AD1963=1,D1963="Military",H1963&lt;&gt;"Not given")=TRUE,IF(SUMIFS(P:P,A:A,A1963)&gt;0,IF((ABS((SUMIFS(P:P,A:A,A1963)/VLOOKUP("USD",'Exchange Rates'!B:C,2,0)))/S1963)&gt;1,(SUMIFS(P:P,A:A,A1963)-S1963)/S1963,(S1963-SUMIFS(P:P,A:A,A1963))/SUMIFS(P:P,A:A,A1963)),"."),".")</f>
        <v>.</v>
      </c>
      <c r="BB1963" s="1208"/>
      <c r="BC1963" s="1208"/>
      <c r="BD1963" s="1208"/>
      <c r="BE1963" s="1208"/>
      <c r="BF1963" s="1208"/>
      <c r="BG1963" s="1208"/>
      <c r="BH1963" s="1208"/>
      <c r="BI1963" s="1208"/>
      <c r="BJ1963" s="1208"/>
      <c r="BK1963" s="1208"/>
      <c r="BL1963" s="1208"/>
      <c r="BM1963" s="1208"/>
      <c r="BN1963" s="1208"/>
      <c r="BO1963" s="1208"/>
      <c r="BP1963" s="1208"/>
      <c r="BQ1963" s="1208"/>
      <c r="BR1963" s="1208"/>
      <c r="BS1963" s="1208"/>
    </row>
    <row r="1964" spans="1:71" ht="15.95" customHeight="1">
      <c r="A1964" s="1208" t="s">
        <v>4361</v>
      </c>
      <c r="B1964" s="1208" t="s">
        <v>3949</v>
      </c>
      <c r="C1964" s="1209">
        <v>45055</v>
      </c>
      <c r="D1964" s="1208" t="s">
        <v>389</v>
      </c>
      <c r="E1964" s="1208" t="s">
        <v>390</v>
      </c>
      <c r="F1964" s="1208" t="s">
        <v>4390</v>
      </c>
      <c r="G1964" s="1184" t="s">
        <v>456</v>
      </c>
      <c r="H1964" s="1210">
        <v>1200000000</v>
      </c>
      <c r="I1964" s="1180" t="s">
        <v>4298</v>
      </c>
      <c r="J1964" s="1186" t="str">
        <f>VLOOKUP($I1964,'Price List, Weapons &amp; Items'!B:C,2,0)</f>
        <v>Heavy weapon</v>
      </c>
      <c r="K1964" s="1186" t="str">
        <f>IF(I1964=".",I1964,VLOOKUP($I1964,'Price List, Weapons &amp; Items'!B:D,3,0))</f>
        <v>Anti-aircraft surface-to-air missile (SAM) system (point-defense)</v>
      </c>
      <c r="L1964" s="1187">
        <f>VLOOKUP(I1964,'Price List, Weapons &amp; Items'!B:E,4,0)</f>
        <v>0</v>
      </c>
      <c r="M1964" s="1188" t="s">
        <v>374</v>
      </c>
      <c r="N1964" s="1188" t="s">
        <v>374</v>
      </c>
      <c r="O1964" s="1188">
        <f>VLOOKUP($I1964,'Price List, Weapons &amp; Items'!B:G,6,0)</f>
        <v>1866185.221792896</v>
      </c>
      <c r="P1964" s="1185" t="str">
        <f t="shared" si="415"/>
        <v>.</v>
      </c>
      <c r="Q1964" s="1185" t="str">
        <f t="shared" si="416"/>
        <v>.</v>
      </c>
      <c r="R1964" s="1185" t="str">
        <f t="shared" si="412"/>
        <v/>
      </c>
      <c r="S1964" s="1185" t="str">
        <f>IF(AND(AD1964=1,R1964&lt;&gt;".")=TRUE,R1964/VLOOKUP(G1964,'Exchange Rates'!B:C,2,0),IF(R1964=".",".",""))</f>
        <v/>
      </c>
      <c r="T1964" s="1185" t="str">
        <f>IF(AD1964=1,IF(AF1964="Value is not given at all",".",IF(AF1964="Value is given by the source",S1964,IF(AF1964="Value is calculated with prices",(IF(SUMIFS(Q:Q,A:A,A1964)&gt;0,SUMIFS(Q:Q,A:A,A1964),"."))/VLOOKUP("USD",'Exchange Rates'!B:C,2,0),"Error with coding"))),"")</f>
        <v/>
      </c>
      <c r="U1964" s="1191" t="s">
        <v>365</v>
      </c>
      <c r="V1964" s="983" t="s">
        <v>4391</v>
      </c>
      <c r="W1964" s="983" t="s">
        <v>4339</v>
      </c>
      <c r="X1964" s="1208" t="s">
        <v>364</v>
      </c>
      <c r="Y1964" s="1208" t="s">
        <v>364</v>
      </c>
      <c r="Z1964" s="1191">
        <v>0</v>
      </c>
      <c r="AA1964" s="1191">
        <v>0</v>
      </c>
      <c r="AB1964" s="1208" t="s">
        <v>364</v>
      </c>
      <c r="AC1964" s="1192" t="str">
        <f>""</f>
        <v/>
      </c>
      <c r="AD1964" s="1193">
        <v>0</v>
      </c>
      <c r="AE1964" s="1191" t="s">
        <v>368</v>
      </c>
      <c r="AF1964" s="1191" t="s">
        <v>369</v>
      </c>
      <c r="AG1964" s="1193">
        <v>1</v>
      </c>
      <c r="AH1964" s="1191">
        <v>17</v>
      </c>
      <c r="AI1964" s="1193">
        <v>0</v>
      </c>
      <c r="AJ1964" s="1193">
        <f>VLOOKUP($I1964,'Price List, Weapons &amp; Items'!B:F,5,0)</f>
        <v>0</v>
      </c>
      <c r="AK1964" s="1193">
        <f t="shared" si="417"/>
        <v>0</v>
      </c>
      <c r="AL1964" s="1193">
        <f t="shared" si="418"/>
        <v>0</v>
      </c>
      <c r="AM1964" s="1193">
        <f t="shared" si="419"/>
        <v>0</v>
      </c>
      <c r="AN1964" s="1194" t="str">
        <f>VLOOKUP($I1964,'Price List, Weapons &amp; Items'!B:L,COLUMN('Price List, Weapons &amp; Items'!$J$11)-1,0)</f>
        <v>Contracts</v>
      </c>
      <c r="AO1964" s="1194" t="str">
        <f>IF(I1964=".",".",VLOOKUP($I1964,'Price List, Weapons &amp; Items'!B:J,3,0))</f>
        <v>Anti-aircraft surface-to-air missile (SAM) system (point-defense)</v>
      </c>
      <c r="AP1964" s="1195" t="str">
        <f t="shared" ca="1" si="413"/>
        <v/>
      </c>
      <c r="AQ1964" s="1194">
        <f>VLOOKUP($I1964,'Price List, Weapons &amp; Items'!B:L,COLUMN('Price List, Weapons &amp; Items'!$L$11)-1,0)</f>
        <v>2</v>
      </c>
      <c r="AR1964" s="1194">
        <f t="shared" si="420"/>
        <v>1</v>
      </c>
      <c r="AS1964" s="1194">
        <f t="shared" si="421"/>
        <v>1</v>
      </c>
      <c r="AT1964" s="1194">
        <f t="shared" si="422"/>
        <v>1</v>
      </c>
      <c r="AU1964" s="1194" t="str">
        <f t="shared" si="424"/>
        <v>.</v>
      </c>
      <c r="AV1964" s="1194" t="str">
        <f t="shared" si="414"/>
        <v>.</v>
      </c>
      <c r="AW1964" s="1194" t="str">
        <f t="shared" si="423"/>
        <v>.</v>
      </c>
      <c r="AX1964" s="1194">
        <f>IFERROR(VLOOKUP(B1964,'Share, Heavy Weapons to Ukraine'!B:Z,COLUMN('Share, Heavy Weapons to Ukraine'!C1972)-1,0),0)</f>
        <v>1</v>
      </c>
      <c r="AY1964" s="1194">
        <f>VLOOKUP('Bilateral Assistance, MAIN DATA'!B1964,'Country Summary (€)'!B:F,COLUMN('Country Summary (€)'!C1973)-1,FALSE)</f>
        <v>0</v>
      </c>
      <c r="AZ1964" s="1194" t="str">
        <f>IF(AND(AD1964=1,D1964="Military",H1964&lt;&gt;"Not given")=TRUE,IF(SUMIFS(P:P,A:A,A1964)&gt;0,ABS((SUMIFS(P:P,A:A,A1964)/VLOOKUP("USD",'Exchange Rates'!B:C,2,0)))/S1964,"."),".")</f>
        <v>.</v>
      </c>
      <c r="BA1964" s="1196" t="str">
        <f>IF(AND(AD1964=1,D1964="Military",H1964&lt;&gt;"Not given")=TRUE,IF(SUMIFS(P:P,A:A,A1964)&gt;0,IF((ABS((SUMIFS(P:P,A:A,A1964)/VLOOKUP("USD",'Exchange Rates'!B:C,2,0)))/S1964)&gt;1,(SUMIFS(P:P,A:A,A1964)-S1964)/S1964,(S1964-SUMIFS(P:P,A:A,A1964))/SUMIFS(P:P,A:A,A1964)),"."),".")</f>
        <v>.</v>
      </c>
      <c r="BB1964" s="1208"/>
      <c r="BC1964" s="1208"/>
      <c r="BD1964" s="1208"/>
      <c r="BE1964" s="1208"/>
      <c r="BF1964" s="1208"/>
      <c r="BG1964" s="1208"/>
      <c r="BH1964" s="1208"/>
      <c r="BI1964" s="1208"/>
      <c r="BJ1964" s="1208"/>
      <c r="BK1964" s="1208"/>
      <c r="BL1964" s="1208"/>
      <c r="BM1964" s="1208"/>
      <c r="BN1964" s="1208"/>
      <c r="BO1964" s="1208"/>
      <c r="BP1964" s="1208"/>
      <c r="BQ1964" s="1208"/>
      <c r="BR1964" s="1208"/>
      <c r="BS1964" s="1208"/>
    </row>
    <row r="1965" spans="1:71" ht="15.95" customHeight="1">
      <c r="A1965" s="1208" t="s">
        <v>4361</v>
      </c>
      <c r="B1965" s="1208" t="s">
        <v>3949</v>
      </c>
      <c r="C1965" s="1209">
        <v>45055</v>
      </c>
      <c r="D1965" s="1208" t="s">
        <v>389</v>
      </c>
      <c r="E1965" s="1208" t="s">
        <v>390</v>
      </c>
      <c r="F1965" s="1208" t="s">
        <v>4390</v>
      </c>
      <c r="G1965" s="1184" t="s">
        <v>456</v>
      </c>
      <c r="H1965" s="1210">
        <v>1200000000</v>
      </c>
      <c r="I1965" s="1180" t="s">
        <v>3881</v>
      </c>
      <c r="J1965" s="1186" t="str">
        <f>VLOOKUP($I1965,'Price List, Weapons &amp; Items'!B:C,2,0)</f>
        <v>Ammunition for heavy weapon</v>
      </c>
      <c r="K1965" s="1186" t="str">
        <f>IF(I1965=".",I1965,VLOOKUP($I1965,'Price List, Weapons &amp; Items'!B:D,3,0))</f>
        <v>Surface-to-air missile (SAM)</v>
      </c>
      <c r="L1965" s="1187">
        <f>VLOOKUP(I1965,'Price List, Weapons &amp; Items'!B:E,4,0)</f>
        <v>0</v>
      </c>
      <c r="M1965" s="1188" t="s">
        <v>374</v>
      </c>
      <c r="N1965" s="1188" t="s">
        <v>374</v>
      </c>
      <c r="O1965" s="1188" t="str">
        <f>VLOOKUP($I1965,'Price List, Weapons &amp; Items'!B:G,6,0)</f>
        <v>.</v>
      </c>
      <c r="P1965" s="1185" t="str">
        <f t="shared" si="415"/>
        <v>.</v>
      </c>
      <c r="Q1965" s="1185" t="str">
        <f t="shared" si="416"/>
        <v>.</v>
      </c>
      <c r="R1965" s="1185" t="str">
        <f t="shared" si="412"/>
        <v/>
      </c>
      <c r="S1965" s="1185" t="str">
        <f>IF(AND(AD1965=1,R1965&lt;&gt;".")=TRUE,R1965/VLOOKUP(G1965,'Exchange Rates'!B:C,2,0),IF(R1965=".",".",""))</f>
        <v/>
      </c>
      <c r="T1965" s="1185" t="str">
        <f>IF(AD1965=1,IF(AF1965="Value is not given at all",".",IF(AF1965="Value is given by the source",S1965,IF(AF1965="Value is calculated with prices",(IF(SUMIFS(Q:Q,A:A,A1965)&gt;0,SUMIFS(Q:Q,A:A,A1965),"."))/VLOOKUP("USD",'Exchange Rates'!B:C,2,0),"Error with coding"))),"")</f>
        <v/>
      </c>
      <c r="U1965" s="1191" t="s">
        <v>365</v>
      </c>
      <c r="V1965" s="983" t="s">
        <v>4391</v>
      </c>
      <c r="W1965" s="983" t="s">
        <v>4339</v>
      </c>
      <c r="X1965" s="1208" t="s">
        <v>364</v>
      </c>
      <c r="Y1965" s="1208" t="s">
        <v>364</v>
      </c>
      <c r="Z1965" s="1191">
        <v>0</v>
      </c>
      <c r="AA1965" s="1191">
        <v>0</v>
      </c>
      <c r="AB1965" s="1208" t="s">
        <v>364</v>
      </c>
      <c r="AC1965" s="1192" t="str">
        <f>""</f>
        <v/>
      </c>
      <c r="AD1965" s="1193">
        <v>0</v>
      </c>
      <c r="AE1965" s="1191" t="s">
        <v>368</v>
      </c>
      <c r="AF1965" s="1191" t="s">
        <v>369</v>
      </c>
      <c r="AG1965" s="1193">
        <v>1</v>
      </c>
      <c r="AH1965" s="1191">
        <v>17</v>
      </c>
      <c r="AI1965" s="1193">
        <v>0</v>
      </c>
      <c r="AJ1965" s="1193">
        <f>VLOOKUP($I1965,'Price List, Weapons &amp; Items'!B:F,5,0)</f>
        <v>0</v>
      </c>
      <c r="AK1965" s="1193">
        <f t="shared" si="417"/>
        <v>0</v>
      </c>
      <c r="AL1965" s="1193">
        <f t="shared" si="418"/>
        <v>0</v>
      </c>
      <c r="AM1965" s="1193">
        <f t="shared" si="419"/>
        <v>0</v>
      </c>
      <c r="AN1965" s="1194" t="str">
        <f>VLOOKUP($I1965,'Price List, Weapons &amp; Items'!B:L,COLUMN('Price List, Weapons &amp; Items'!$J$11)-1,0)</f>
        <v>.</v>
      </c>
      <c r="AO1965" s="1194" t="str">
        <f>IF(I1965=".",".",VLOOKUP($I1965,'Price List, Weapons &amp; Items'!B:J,3,0))</f>
        <v>Surface-to-air missile (SAM)</v>
      </c>
      <c r="AP1965" s="1195" t="str">
        <f t="shared" ca="1" si="413"/>
        <v/>
      </c>
      <c r="AQ1965" s="1194">
        <f>VLOOKUP($I1965,'Price List, Weapons &amp; Items'!B:L,COLUMN('Price List, Weapons &amp; Items'!$L$11)-1,0)</f>
        <v>0</v>
      </c>
      <c r="AR1965" s="1194">
        <f t="shared" si="420"/>
        <v>1</v>
      </c>
      <c r="AS1965" s="1194">
        <f t="shared" si="421"/>
        <v>1</v>
      </c>
      <c r="AT1965" s="1194">
        <f t="shared" si="422"/>
        <v>1</v>
      </c>
      <c r="AU1965" s="1194" t="str">
        <f t="shared" si="424"/>
        <v>.</v>
      </c>
      <c r="AV1965" s="1194" t="str">
        <f t="shared" si="414"/>
        <v>.</v>
      </c>
      <c r="AW1965" s="1194" t="str">
        <f t="shared" si="423"/>
        <v>.</v>
      </c>
      <c r="AX1965" s="1194">
        <f>IFERROR(VLOOKUP(B1965,'Share, Heavy Weapons to Ukraine'!B:Z,COLUMN('Share, Heavy Weapons to Ukraine'!C1973)-1,0),0)</f>
        <v>1</v>
      </c>
      <c r="AY1965" s="1194">
        <f>VLOOKUP('Bilateral Assistance, MAIN DATA'!B1965,'Country Summary (€)'!B:F,COLUMN('Country Summary (€)'!C1974)-1,FALSE)</f>
        <v>0</v>
      </c>
      <c r="AZ1965" s="1194" t="str">
        <f>IF(AND(AD1965=1,D1965="Military",H1965&lt;&gt;"Not given")=TRUE,IF(SUMIFS(P:P,A:A,A1965)&gt;0,ABS((SUMIFS(P:P,A:A,A1965)/VLOOKUP("USD",'Exchange Rates'!B:C,2,0)))/S1965,"."),".")</f>
        <v>.</v>
      </c>
      <c r="BA1965" s="1196" t="str">
        <f>IF(AND(AD1965=1,D1965="Military",H1965&lt;&gt;"Not given")=TRUE,IF(SUMIFS(P:P,A:A,A1965)&gt;0,IF((ABS((SUMIFS(P:P,A:A,A1965)/VLOOKUP("USD",'Exchange Rates'!B:C,2,0)))/S1965)&gt;1,(SUMIFS(P:P,A:A,A1965)-S1965)/S1965,(S1965-SUMIFS(P:P,A:A,A1965))/SUMIFS(P:P,A:A,A1965)),"."),".")</f>
        <v>.</v>
      </c>
      <c r="BB1965" s="1208"/>
      <c r="BC1965" s="1208"/>
      <c r="BD1965" s="1208"/>
      <c r="BE1965" s="1208"/>
      <c r="BF1965" s="1208"/>
      <c r="BG1965" s="1208"/>
      <c r="BH1965" s="1208"/>
      <c r="BI1965" s="1208"/>
      <c r="BJ1965" s="1208"/>
      <c r="BK1965" s="1208"/>
      <c r="BL1965" s="1208"/>
      <c r="BM1965" s="1208"/>
      <c r="BN1965" s="1208"/>
      <c r="BO1965" s="1208"/>
      <c r="BP1965" s="1208"/>
      <c r="BQ1965" s="1208"/>
      <c r="BR1965" s="1208"/>
      <c r="BS1965" s="1208"/>
    </row>
    <row r="1966" spans="1:71" ht="15.95" customHeight="1">
      <c r="A1966" s="1208" t="s">
        <v>4361</v>
      </c>
      <c r="B1966" s="1208" t="s">
        <v>3949</v>
      </c>
      <c r="C1966" s="1209">
        <v>45055</v>
      </c>
      <c r="D1966" s="1208" t="s">
        <v>389</v>
      </c>
      <c r="E1966" s="1208" t="s">
        <v>390</v>
      </c>
      <c r="F1966" s="1208" t="s">
        <v>4390</v>
      </c>
      <c r="G1966" s="1184" t="s">
        <v>456</v>
      </c>
      <c r="H1966" s="1210">
        <v>1200000000</v>
      </c>
      <c r="I1966" s="1208" t="s">
        <v>4392</v>
      </c>
      <c r="J1966" s="1186" t="str">
        <f>VLOOKUP($I1966,'Price List, Weapons &amp; Items'!B:C,2,0)</f>
        <v>Aviation and drones</v>
      </c>
      <c r="K1966" s="1186" t="str">
        <f>IF(I1966=".",I1966,VLOOKUP($I1966,'Price List, Weapons &amp; Items'!B:D,3,0))</f>
        <v>Drone ammunition</v>
      </c>
      <c r="L1966" s="1187">
        <f>VLOOKUP(I1966,'Price List, Weapons &amp; Items'!B:E,4,0)</f>
        <v>0</v>
      </c>
      <c r="M1966" s="1188" t="s">
        <v>374</v>
      </c>
      <c r="N1966" s="1188" t="s">
        <v>374</v>
      </c>
      <c r="O1966" s="1188" t="str">
        <f>VLOOKUP($I1966,'Price List, Weapons &amp; Items'!B:G,6,0)</f>
        <v>.</v>
      </c>
      <c r="P1966" s="1185" t="str">
        <f t="shared" si="415"/>
        <v>.</v>
      </c>
      <c r="Q1966" s="1185" t="str">
        <f t="shared" si="416"/>
        <v>.</v>
      </c>
      <c r="R1966" s="1185" t="str">
        <f t="shared" si="412"/>
        <v/>
      </c>
      <c r="S1966" s="1185" t="str">
        <f>IF(AND(AD1966=1,R1966&lt;&gt;".")=TRUE,R1966/VLOOKUP(G1966,'Exchange Rates'!B:C,2,0),IF(R1966=".",".",""))</f>
        <v/>
      </c>
      <c r="T1966" s="1185" t="str">
        <f>IF(AD1966=1,IF(AF1966="Value is not given at all",".",IF(AF1966="Value is given by the source",S1966,IF(AF1966="Value is calculated with prices",(IF(SUMIFS(Q:Q,A:A,A1966)&gt;0,SUMIFS(Q:Q,A:A,A1966),"."))/VLOOKUP("USD",'Exchange Rates'!B:C,2,0),"Error with coding"))),"")</f>
        <v/>
      </c>
      <c r="U1966" s="1191" t="s">
        <v>365</v>
      </c>
      <c r="V1966" s="983" t="s">
        <v>4391</v>
      </c>
      <c r="W1966" s="983" t="s">
        <v>4339</v>
      </c>
      <c r="X1966" s="1208" t="s">
        <v>364</v>
      </c>
      <c r="Y1966" s="1208" t="s">
        <v>364</v>
      </c>
      <c r="Z1966" s="1191">
        <v>0</v>
      </c>
      <c r="AA1966" s="1191">
        <v>0</v>
      </c>
      <c r="AB1966" s="1208" t="s">
        <v>364</v>
      </c>
      <c r="AC1966" s="1192" t="str">
        <f>""</f>
        <v/>
      </c>
      <c r="AD1966" s="1193">
        <v>0</v>
      </c>
      <c r="AE1966" s="1191" t="s">
        <v>368</v>
      </c>
      <c r="AF1966" s="1191" t="s">
        <v>369</v>
      </c>
      <c r="AG1966" s="1193">
        <v>1</v>
      </c>
      <c r="AH1966" s="1191">
        <v>17</v>
      </c>
      <c r="AI1966" s="1193">
        <v>0</v>
      </c>
      <c r="AJ1966" s="1193">
        <f>VLOOKUP($I1966,'Price List, Weapons &amp; Items'!B:F,5,0)</f>
        <v>0</v>
      </c>
      <c r="AK1966" s="1193">
        <f t="shared" si="417"/>
        <v>0</v>
      </c>
      <c r="AL1966" s="1193">
        <f t="shared" si="418"/>
        <v>0</v>
      </c>
      <c r="AM1966" s="1193">
        <f t="shared" si="419"/>
        <v>1</v>
      </c>
      <c r="AN1966" s="1194" t="str">
        <f>VLOOKUP($I1966,'Price List, Weapons &amp; Items'!B:L,COLUMN('Price List, Weapons &amp; Items'!$J$11)-1,0)</f>
        <v>.</v>
      </c>
      <c r="AO1966" s="1194" t="str">
        <f>IF(I1966=".",".",VLOOKUP($I1966,'Price List, Weapons &amp; Items'!B:J,3,0))</f>
        <v>Drone ammunition</v>
      </c>
      <c r="AP1966" s="1195" t="str">
        <f t="shared" ca="1" si="413"/>
        <v/>
      </c>
      <c r="AQ1966" s="1194" t="str">
        <f>VLOOKUP($I1966,'Price List, Weapons &amp; Items'!B:L,COLUMN('Price List, Weapons &amp; Items'!$L$11)-1,0)</f>
        <v>no price, 0 count</v>
      </c>
      <c r="AR1966" s="1194">
        <f t="shared" si="420"/>
        <v>1</v>
      </c>
      <c r="AS1966" s="1194">
        <f t="shared" si="421"/>
        <v>1</v>
      </c>
      <c r="AT1966" s="1194">
        <f t="shared" si="422"/>
        <v>1</v>
      </c>
      <c r="AU1966" s="1194" t="str">
        <f t="shared" si="424"/>
        <v>.</v>
      </c>
      <c r="AV1966" s="1194" t="str">
        <f t="shared" si="414"/>
        <v>.</v>
      </c>
      <c r="AW1966" s="1194" t="str">
        <f t="shared" si="423"/>
        <v>.</v>
      </c>
      <c r="AX1966" s="1194">
        <f>IFERROR(VLOOKUP(B1966,'Share, Heavy Weapons to Ukraine'!B:Z,COLUMN('Share, Heavy Weapons to Ukraine'!C1974)-1,0),0)</f>
        <v>1</v>
      </c>
      <c r="AY1966" s="1194">
        <f>VLOOKUP('Bilateral Assistance, MAIN DATA'!B1966,'Country Summary (€)'!B:F,COLUMN('Country Summary (€)'!C1975)-1,FALSE)</f>
        <v>0</v>
      </c>
      <c r="AZ1966" s="1194" t="str">
        <f>IF(AND(AD1966=1,D1966="Military",H1966&lt;&gt;"Not given")=TRUE,IF(SUMIFS(P:P,A:A,A1966)&gt;0,ABS((SUMIFS(P:P,A:A,A1966)/VLOOKUP("USD",'Exchange Rates'!B:C,2,0)))/S1966,"."),".")</f>
        <v>.</v>
      </c>
      <c r="BA1966" s="1196" t="str">
        <f>IF(AND(AD1966=1,D1966="Military",H1966&lt;&gt;"Not given")=TRUE,IF(SUMIFS(P:P,A:A,A1966)&gt;0,IF((ABS((SUMIFS(P:P,A:A,A1966)/VLOOKUP("USD",'Exchange Rates'!B:C,2,0)))/S1966)&gt;1,(SUMIFS(P:P,A:A,A1966)-S1966)/S1966,(S1966-SUMIFS(P:P,A:A,A1966))/SUMIFS(P:P,A:A,A1966)),"."),".")</f>
        <v>.</v>
      </c>
      <c r="BB1966" s="1208"/>
      <c r="BC1966" s="1208"/>
      <c r="BD1966" s="1208"/>
      <c r="BE1966" s="1208"/>
      <c r="BF1966" s="1208"/>
      <c r="BG1966" s="1208"/>
      <c r="BH1966" s="1208"/>
      <c r="BI1966" s="1208"/>
      <c r="BJ1966" s="1208"/>
      <c r="BK1966" s="1208"/>
      <c r="BL1966" s="1208"/>
      <c r="BM1966" s="1208"/>
      <c r="BN1966" s="1208"/>
      <c r="BO1966" s="1208"/>
      <c r="BP1966" s="1208"/>
      <c r="BQ1966" s="1208"/>
      <c r="BR1966" s="1208"/>
      <c r="BS1966" s="1208"/>
    </row>
    <row r="1967" spans="1:71" ht="15.95" customHeight="1">
      <c r="A1967" s="1208" t="s">
        <v>4361</v>
      </c>
      <c r="B1967" s="1208" t="s">
        <v>3949</v>
      </c>
      <c r="C1967" s="1209">
        <v>45055</v>
      </c>
      <c r="D1967" s="1208" t="s">
        <v>389</v>
      </c>
      <c r="E1967" s="1208" t="s">
        <v>390</v>
      </c>
      <c r="F1967" s="1208" t="s">
        <v>4390</v>
      </c>
      <c r="G1967" s="1184" t="s">
        <v>456</v>
      </c>
      <c r="H1967" s="1210">
        <v>1200000000</v>
      </c>
      <c r="I1967" s="1208" t="s">
        <v>856</v>
      </c>
      <c r="J1967" s="1186" t="str">
        <f>VLOOKUP($I1967,'Price List, Weapons &amp; Items'!B:C,2,0)</f>
        <v>Ammunition for heavy weapon</v>
      </c>
      <c r="K1967" s="1186" t="str">
        <f>IF(I1967=".",I1967,VLOOKUP($I1967,'Price List, Weapons &amp; Items'!B:D,3,0))</f>
        <v>155mm howitzer ammunition</v>
      </c>
      <c r="L1967" s="1187">
        <f>VLOOKUP(I1967,'Price List, Weapons &amp; Items'!B:E,4,0)</f>
        <v>0</v>
      </c>
      <c r="M1967" s="1188" t="s">
        <v>374</v>
      </c>
      <c r="N1967" s="1188" t="s">
        <v>374</v>
      </c>
      <c r="O1967" s="1188">
        <f>VLOOKUP($I1967,'Price List, Weapons &amp; Items'!B:G,6,0)</f>
        <v>3800</v>
      </c>
      <c r="P1967" s="1185" t="str">
        <f t="shared" si="415"/>
        <v>.</v>
      </c>
      <c r="Q1967" s="1185" t="str">
        <f t="shared" si="416"/>
        <v>.</v>
      </c>
      <c r="R1967" s="1185" t="str">
        <f t="shared" si="412"/>
        <v/>
      </c>
      <c r="S1967" s="1185" t="str">
        <f>IF(AND(AD1967=1,R1967&lt;&gt;".")=TRUE,R1967/VLOOKUP(G1967,'Exchange Rates'!B:C,2,0),IF(R1967=".",".",""))</f>
        <v/>
      </c>
      <c r="T1967" s="1185" t="str">
        <f>IF(AD1967=1,IF(AF1967="Value is not given at all",".",IF(AF1967="Value is given by the source",S1967,IF(AF1967="Value is calculated with prices",(IF(SUMIFS(Q:Q,A:A,A1967)&gt;0,SUMIFS(Q:Q,A:A,A1967),"."))/VLOOKUP("USD",'Exchange Rates'!B:C,2,0),"Error with coding"))),"")</f>
        <v/>
      </c>
      <c r="U1967" s="1191" t="s">
        <v>365</v>
      </c>
      <c r="V1967" s="983" t="s">
        <v>4391</v>
      </c>
      <c r="W1967" s="983" t="s">
        <v>4339</v>
      </c>
      <c r="X1967" s="1208" t="s">
        <v>364</v>
      </c>
      <c r="Y1967" s="1208" t="s">
        <v>364</v>
      </c>
      <c r="Z1967" s="1191">
        <v>0</v>
      </c>
      <c r="AA1967" s="1191">
        <v>0</v>
      </c>
      <c r="AB1967" s="1208" t="s">
        <v>364</v>
      </c>
      <c r="AC1967" s="1192" t="str">
        <f>""</f>
        <v/>
      </c>
      <c r="AD1967" s="1193">
        <v>0</v>
      </c>
      <c r="AE1967" s="1191" t="s">
        <v>368</v>
      </c>
      <c r="AF1967" s="1191" t="s">
        <v>369</v>
      </c>
      <c r="AG1967" s="1193">
        <v>1</v>
      </c>
      <c r="AH1967" s="1191">
        <v>17</v>
      </c>
      <c r="AI1967" s="1193">
        <v>0</v>
      </c>
      <c r="AJ1967" s="1193">
        <f>VLOOKUP($I1967,'Price List, Weapons &amp; Items'!B:F,5,0)</f>
        <v>1</v>
      </c>
      <c r="AK1967" s="1193">
        <f t="shared" si="417"/>
        <v>1</v>
      </c>
      <c r="AL1967" s="1193">
        <f t="shared" si="418"/>
        <v>1</v>
      </c>
      <c r="AM1967" s="1193">
        <f t="shared" si="419"/>
        <v>0</v>
      </c>
      <c r="AN1967" s="1194" t="str">
        <f>VLOOKUP($I1967,'Price List, Weapons &amp; Items'!B:L,COLUMN('Price List, Weapons &amp; Items'!$J$11)-1,0)</f>
        <v>Government information</v>
      </c>
      <c r="AO1967" s="1194" t="str">
        <f>IF(I1967=".",".",VLOOKUP($I1967,'Price List, Weapons &amp; Items'!B:J,3,0))</f>
        <v>155mm howitzer ammunition</v>
      </c>
      <c r="AP1967" s="1195" t="str">
        <f t="shared" ca="1" si="413"/>
        <v/>
      </c>
      <c r="AQ1967" s="1194">
        <f>VLOOKUP($I1967,'Price List, Weapons &amp; Items'!B:L,COLUMN('Price List, Weapons &amp; Items'!$L$11)-1,0)</f>
        <v>2</v>
      </c>
      <c r="AR1967" s="1194">
        <f t="shared" si="420"/>
        <v>1</v>
      </c>
      <c r="AS1967" s="1194">
        <f t="shared" si="421"/>
        <v>1</v>
      </c>
      <c r="AT1967" s="1194">
        <f t="shared" si="422"/>
        <v>1</v>
      </c>
      <c r="AU1967" s="1194" t="str">
        <f t="shared" si="424"/>
        <v>.</v>
      </c>
      <c r="AV1967" s="1194" t="str">
        <f t="shared" si="414"/>
        <v>.</v>
      </c>
      <c r="AW1967" s="1194" t="str">
        <f t="shared" si="423"/>
        <v>.</v>
      </c>
      <c r="AX1967" s="1194">
        <f>IFERROR(VLOOKUP(B1967,'Share, Heavy Weapons to Ukraine'!B:Z,COLUMN('Share, Heavy Weapons to Ukraine'!C1975)-1,0),0)</f>
        <v>1</v>
      </c>
      <c r="AY1967" s="1194">
        <f>VLOOKUP('Bilateral Assistance, MAIN DATA'!B1967,'Country Summary (€)'!B:F,COLUMN('Country Summary (€)'!C1976)-1,FALSE)</f>
        <v>0</v>
      </c>
      <c r="AZ1967" s="1194" t="str">
        <f>IF(AND(AD1967=1,D1967="Military",H1967&lt;&gt;"Not given")=TRUE,IF(SUMIFS(P:P,A:A,A1967)&gt;0,ABS((SUMIFS(P:P,A:A,A1967)/VLOOKUP("USD",'Exchange Rates'!B:C,2,0)))/S1967,"."),".")</f>
        <v>.</v>
      </c>
      <c r="BA1967" s="1196" t="str">
        <f>IF(AND(AD1967=1,D1967="Military",H1967&lt;&gt;"Not given")=TRUE,IF(SUMIFS(P:P,A:A,A1967)&gt;0,IF((ABS((SUMIFS(P:P,A:A,A1967)/VLOOKUP("USD",'Exchange Rates'!B:C,2,0)))/S1967)&gt;1,(SUMIFS(P:P,A:A,A1967)-S1967)/S1967,(S1967-SUMIFS(P:P,A:A,A1967))/SUMIFS(P:P,A:A,A1967)),"."),".")</f>
        <v>.</v>
      </c>
      <c r="BB1967" s="1208"/>
      <c r="BC1967" s="1208"/>
      <c r="BD1967" s="1208"/>
      <c r="BE1967" s="1208"/>
      <c r="BF1967" s="1208"/>
      <c r="BG1967" s="1208"/>
      <c r="BH1967" s="1208"/>
      <c r="BI1967" s="1208"/>
      <c r="BJ1967" s="1208"/>
      <c r="BK1967" s="1208"/>
      <c r="BL1967" s="1208"/>
      <c r="BM1967" s="1208"/>
      <c r="BN1967" s="1208"/>
      <c r="BO1967" s="1208"/>
      <c r="BP1967" s="1208"/>
      <c r="BQ1967" s="1208"/>
      <c r="BR1967" s="1208"/>
      <c r="BS1967" s="1208"/>
    </row>
    <row r="1968" spans="1:71" ht="15.95" customHeight="1">
      <c r="A1968" s="1208" t="s">
        <v>4361</v>
      </c>
      <c r="B1968" s="1208" t="s">
        <v>3949</v>
      </c>
      <c r="C1968" s="1209">
        <v>45055</v>
      </c>
      <c r="D1968" s="1208" t="s">
        <v>389</v>
      </c>
      <c r="E1968" s="1208" t="s">
        <v>390</v>
      </c>
      <c r="F1968" s="1208" t="s">
        <v>4390</v>
      </c>
      <c r="G1968" s="1184" t="s">
        <v>456</v>
      </c>
      <c r="H1968" s="1210">
        <v>1200000000</v>
      </c>
      <c r="I1968" s="1208" t="s">
        <v>4263</v>
      </c>
      <c r="J1968" s="1186" t="str">
        <f>VLOOKUP($I1968,'Price List, Weapons &amp; Items'!B:C,2,0)</f>
        <v>Military equipment</v>
      </c>
      <c r="K1968" s="1186" t="str">
        <f>IF(I1968=".",I1968,VLOOKUP($I1968,'Price List, Weapons &amp; Items'!B:D,3,0))</f>
        <v>Military equipment</v>
      </c>
      <c r="L1968" s="1187">
        <f>VLOOKUP(I1968,'Price List, Weapons &amp; Items'!B:E,4,0)</f>
        <v>0</v>
      </c>
      <c r="M1968" s="1188" t="s">
        <v>374</v>
      </c>
      <c r="N1968" s="1188" t="s">
        <v>374</v>
      </c>
      <c r="O1968" s="1188" t="str">
        <f>VLOOKUP($I1968,'Price List, Weapons &amp; Items'!B:G,6,0)</f>
        <v>.</v>
      </c>
      <c r="P1968" s="1185" t="str">
        <f t="shared" si="415"/>
        <v>.</v>
      </c>
      <c r="Q1968" s="1185" t="str">
        <f t="shared" si="416"/>
        <v>.</v>
      </c>
      <c r="R1968" s="1185" t="str">
        <f t="shared" si="412"/>
        <v/>
      </c>
      <c r="S1968" s="1185" t="str">
        <f>IF(AND(AD1968=1,R1968&lt;&gt;".")=TRUE,R1968/VLOOKUP(G1968,'Exchange Rates'!B:C,2,0),IF(R1968=".",".",""))</f>
        <v/>
      </c>
      <c r="T1968" s="1185" t="str">
        <f>IF(AD1968=1,IF(AF1968="Value is not given at all",".",IF(AF1968="Value is given by the source",S1968,IF(AF1968="Value is calculated with prices",(IF(SUMIFS(Q:Q,A:A,A1968)&gt;0,SUMIFS(Q:Q,A:A,A1968),"."))/VLOOKUP("USD",'Exchange Rates'!B:C,2,0),"Error with coding"))),"")</f>
        <v/>
      </c>
      <c r="U1968" s="1191" t="s">
        <v>365</v>
      </c>
      <c r="V1968" s="983" t="s">
        <v>4391</v>
      </c>
      <c r="W1968" s="983" t="s">
        <v>4339</v>
      </c>
      <c r="X1968" s="1208" t="s">
        <v>364</v>
      </c>
      <c r="Y1968" s="1208" t="s">
        <v>364</v>
      </c>
      <c r="Z1968" s="1191">
        <v>0</v>
      </c>
      <c r="AA1968" s="1191">
        <v>0</v>
      </c>
      <c r="AB1968" s="1208" t="s">
        <v>364</v>
      </c>
      <c r="AC1968" s="1192" t="str">
        <f>""</f>
        <v/>
      </c>
      <c r="AD1968" s="1193">
        <v>0</v>
      </c>
      <c r="AE1968" s="1191" t="s">
        <v>368</v>
      </c>
      <c r="AF1968" s="1191" t="s">
        <v>369</v>
      </c>
      <c r="AG1968" s="1193">
        <v>1</v>
      </c>
      <c r="AH1968" s="1191">
        <v>17</v>
      </c>
      <c r="AI1968" s="1193">
        <v>0</v>
      </c>
      <c r="AJ1968" s="1193">
        <f>VLOOKUP($I1968,'Price List, Weapons &amp; Items'!B:F,5,0)</f>
        <v>0</v>
      </c>
      <c r="AK1968" s="1193">
        <f t="shared" si="417"/>
        <v>0</v>
      </c>
      <c r="AL1968" s="1193">
        <f t="shared" si="418"/>
        <v>0</v>
      </c>
      <c r="AM1968" s="1193">
        <f t="shared" si="419"/>
        <v>0</v>
      </c>
      <c r="AN1968" s="1194" t="str">
        <f>VLOOKUP($I1968,'Price List, Weapons &amp; Items'!B:L,COLUMN('Price List, Weapons &amp; Items'!$J$11)-1,0)</f>
        <v>.</v>
      </c>
      <c r="AO1968" s="1194" t="str">
        <f>IF(I1968=".",".",VLOOKUP($I1968,'Price List, Weapons &amp; Items'!B:J,3,0))</f>
        <v>Military equipment</v>
      </c>
      <c r="AP1968" s="1195" t="str">
        <f t="shared" ca="1" si="413"/>
        <v/>
      </c>
      <c r="AQ1968" s="1194" t="str">
        <f>VLOOKUP($I1968,'Price List, Weapons &amp; Items'!B:L,COLUMN('Price List, Weapons &amp; Items'!$L$11)-1,0)</f>
        <v>no price, 0 count</v>
      </c>
      <c r="AR1968" s="1194">
        <f t="shared" si="420"/>
        <v>1</v>
      </c>
      <c r="AS1968" s="1194">
        <f t="shared" si="421"/>
        <v>1</v>
      </c>
      <c r="AT1968" s="1194">
        <f t="shared" si="422"/>
        <v>1</v>
      </c>
      <c r="AU1968" s="1194" t="str">
        <f t="shared" si="424"/>
        <v>.</v>
      </c>
      <c r="AV1968" s="1194" t="str">
        <f t="shared" si="414"/>
        <v>.</v>
      </c>
      <c r="AW1968" s="1194" t="str">
        <f t="shared" si="423"/>
        <v>.</v>
      </c>
      <c r="AX1968" s="1194">
        <f>IFERROR(VLOOKUP(B1968,'Share, Heavy Weapons to Ukraine'!B:Z,COLUMN('Share, Heavy Weapons to Ukraine'!C1976)-1,0),0)</f>
        <v>1</v>
      </c>
      <c r="AY1968" s="1194">
        <f>VLOOKUP('Bilateral Assistance, MAIN DATA'!B1968,'Country Summary (€)'!B:F,COLUMN('Country Summary (€)'!C1977)-1,FALSE)</f>
        <v>0</v>
      </c>
      <c r="AZ1968" s="1194" t="str">
        <f>IF(AND(AD1968=1,D1968="Military",H1968&lt;&gt;"Not given")=TRUE,IF(SUMIFS(P:P,A:A,A1968)&gt;0,ABS((SUMIFS(P:P,A:A,A1968)/VLOOKUP("USD",'Exchange Rates'!B:C,2,0)))/S1968,"."),".")</f>
        <v>.</v>
      </c>
      <c r="BA1968" s="1196" t="str">
        <f>IF(AND(AD1968=1,D1968="Military",H1968&lt;&gt;"Not given")=TRUE,IF(SUMIFS(P:P,A:A,A1968)&gt;0,IF((ABS((SUMIFS(P:P,A:A,A1968)/VLOOKUP("USD",'Exchange Rates'!B:C,2,0)))/S1968)&gt;1,(SUMIFS(P:P,A:A,A1968)-S1968)/S1968,(S1968-SUMIFS(P:P,A:A,A1968))/SUMIFS(P:P,A:A,A1968)),"."),".")</f>
        <v>.</v>
      </c>
      <c r="BB1968" s="1208"/>
      <c r="BC1968" s="1208"/>
      <c r="BD1968" s="1208"/>
      <c r="BE1968" s="1208"/>
      <c r="BF1968" s="1208"/>
      <c r="BG1968" s="1208"/>
      <c r="BH1968" s="1208"/>
      <c r="BI1968" s="1208"/>
      <c r="BJ1968" s="1208"/>
      <c r="BK1968" s="1208"/>
      <c r="BL1968" s="1208"/>
      <c r="BM1968" s="1208"/>
      <c r="BN1968" s="1208"/>
      <c r="BO1968" s="1208"/>
      <c r="BP1968" s="1208"/>
      <c r="BQ1968" s="1208"/>
      <c r="BR1968" s="1208"/>
      <c r="BS1968" s="1208"/>
    </row>
    <row r="1969" spans="1:53" ht="15.95" customHeight="1">
      <c r="A1969" s="1208" t="s">
        <v>4393</v>
      </c>
      <c r="B1969" s="1208" t="s">
        <v>3949</v>
      </c>
      <c r="C1969" s="1220">
        <v>44901</v>
      </c>
      <c r="D1969" s="1208" t="s">
        <v>389</v>
      </c>
      <c r="E1969" s="1208" t="s">
        <v>390</v>
      </c>
      <c r="F1969" s="1208" t="s">
        <v>4394</v>
      </c>
      <c r="G1969" s="1184" t="s">
        <v>456</v>
      </c>
      <c r="H1969" s="1221">
        <v>3183000000</v>
      </c>
      <c r="I1969" s="1180" t="s">
        <v>364</v>
      </c>
      <c r="J1969" s="1186" t="str">
        <f>VLOOKUP($I1969,'Price List, Weapons &amp; Items'!B:C,2,0)</f>
        <v>.</v>
      </c>
      <c r="K1969" s="1186" t="str">
        <f>IF(I1969=".",I1969,VLOOKUP($I1969,'Price List, Weapons &amp; Items'!B:D,3,0))</f>
        <v>.</v>
      </c>
      <c r="L1969" s="1187">
        <f>VLOOKUP(I1969,'Price List, Weapons &amp; Items'!B:E,4,0)</f>
        <v>0</v>
      </c>
      <c r="M1969" s="1188" t="s">
        <v>364</v>
      </c>
      <c r="N1969" s="1188" t="s">
        <v>364</v>
      </c>
      <c r="O1969" s="1188" t="str">
        <f>VLOOKUP($I1969,'Price List, Weapons &amp; Items'!B:G,6,0)</f>
        <v>.</v>
      </c>
      <c r="P1969" s="1185" t="str">
        <f t="shared" si="415"/>
        <v>.</v>
      </c>
      <c r="Q1969" s="1185" t="str">
        <f t="shared" si="416"/>
        <v>.</v>
      </c>
      <c r="R1969" s="1185">
        <f t="shared" si="412"/>
        <v>3183000000</v>
      </c>
      <c r="S1969" s="1185">
        <f>IF(AND(AD1969=1,R1969&lt;&gt;".")=TRUE,R1969/VLOOKUP(G1969,'Exchange Rates'!B:C,2,0),IF(R1969=".",".",""))</f>
        <v>2928781744.5712185</v>
      </c>
      <c r="T1969" s="1185" t="str">
        <f>IF(AD1969=1,IF(AF1969="Value is not given at all",".",IF(AF1969="Value is given by the source",S1969,IF(AF1969="Value is calculated with prices",(IF(SUMIFS(Q:Q,A:A,A1969)&gt;0,SUMIFS(Q:Q,A:A,A1969),"."))/VLOOKUP("USD",'Exchange Rates'!B:C,2,0),"Error with coding"))),"")</f>
        <v>.</v>
      </c>
      <c r="U1969" s="1184" t="s">
        <v>365</v>
      </c>
      <c r="V1969" s="966" t="s">
        <v>3978</v>
      </c>
      <c r="W1969" s="966" t="s">
        <v>3982</v>
      </c>
      <c r="X1969" s="980" t="s">
        <v>3989</v>
      </c>
      <c r="Y1969" s="1047" t="s">
        <v>364</v>
      </c>
      <c r="Z1969" s="1184">
        <v>0</v>
      </c>
      <c r="AA1969" s="1194">
        <v>0</v>
      </c>
      <c r="AB1969" s="1180" t="s">
        <v>364</v>
      </c>
      <c r="AC1969" s="1192" t="str">
        <f>""</f>
        <v/>
      </c>
      <c r="AD1969" s="1193">
        <v>1</v>
      </c>
      <c r="AE1969" s="1193" t="s">
        <v>368</v>
      </c>
      <c r="AF1969" s="1193" t="s">
        <v>369</v>
      </c>
      <c r="AG1969" s="1193">
        <v>1</v>
      </c>
      <c r="AH1969" s="1193">
        <v>12</v>
      </c>
      <c r="AI1969" s="1193">
        <v>0</v>
      </c>
      <c r="AJ1969" s="1193">
        <f>VLOOKUP($I1969,'Price List, Weapons &amp; Items'!B:F,5,0)</f>
        <v>0</v>
      </c>
      <c r="AK1969" s="1193">
        <f t="shared" si="417"/>
        <v>0</v>
      </c>
      <c r="AL1969" s="1193">
        <f t="shared" si="418"/>
        <v>0</v>
      </c>
      <c r="AM1969" s="1193">
        <f t="shared" si="419"/>
        <v>0</v>
      </c>
      <c r="AN1969" s="1194" t="str">
        <f>VLOOKUP($I1969,'Price List, Weapons &amp; Items'!B:L,COLUMN('Price List, Weapons &amp; Items'!$J$11)-1,0)</f>
        <v>.</v>
      </c>
      <c r="AO1969" s="1194" t="str">
        <f>IF(I1969=".",".",VLOOKUP($I1969,'Price List, Weapons &amp; Items'!B:J,3,0))</f>
        <v>.</v>
      </c>
      <c r="AP1969" s="1195" t="str">
        <f t="shared" ca="1" si="413"/>
        <v>.</v>
      </c>
      <c r="AQ1969" s="1194">
        <f>VLOOKUP($I1969,'Price List, Weapons &amp; Items'!B:L,COLUMN('Price List, Weapons &amp; Items'!$L$11)-1,0)</f>
        <v>0</v>
      </c>
      <c r="AR1969" s="1194">
        <f t="shared" si="420"/>
        <v>1</v>
      </c>
      <c r="AS1969" s="1194">
        <f t="shared" si="421"/>
        <v>1</v>
      </c>
      <c r="AT1969" s="1194">
        <f t="shared" si="422"/>
        <v>1</v>
      </c>
      <c r="AU1969" s="1194" t="str">
        <f t="shared" si="424"/>
        <v>.</v>
      </c>
      <c r="AV1969" s="1194" t="str">
        <f t="shared" si="414"/>
        <v>.</v>
      </c>
      <c r="AW1969" s="1194" t="str">
        <f t="shared" si="423"/>
        <v>.</v>
      </c>
      <c r="AX1969" s="1194">
        <f>IFERROR(VLOOKUP(B1969,'Share, Heavy Weapons to Ukraine'!B:Z,COLUMN('Share, Heavy Weapons to Ukraine'!C1977)-1,0),0)</f>
        <v>1</v>
      </c>
      <c r="AY1969" s="1194">
        <f>VLOOKUP('Bilateral Assistance, MAIN DATA'!B1969,'Country Summary (€)'!B:F,COLUMN('Country Summary (€)'!C1978)-1,FALSE)</f>
        <v>0</v>
      </c>
      <c r="AZ1969" s="1194" t="str">
        <f>IF(AND(AD1969=1,D1969="Military",H1969&lt;&gt;"Not given")=TRUE,IF(SUMIFS(P:P,A:A,A1969)&gt;0,ABS((SUMIFS(P:P,A:A,A1969)/VLOOKUP("USD",'Exchange Rates'!B:C,2,0)))/S1969,"."),".")</f>
        <v>.</v>
      </c>
      <c r="BA1969" s="1196" t="str">
        <f>IF(AND(AD1969=1,D1969="Military",H1969&lt;&gt;"Not given")=TRUE,IF(SUMIFS(P:P,A:A,A1969)&gt;0,IF((ABS((SUMIFS(P:P,A:A,A1969)/VLOOKUP("USD",'Exchange Rates'!B:C,2,0)))/S1969)&gt;1,(SUMIFS(P:P,A:A,A1969)-S1969)/S1969,(S1969-SUMIFS(P:P,A:A,A1969))/SUMIFS(P:P,A:A,A1969)),"."),".")</f>
        <v>.</v>
      </c>
    </row>
    <row r="1970" spans="1:53" ht="15.95" customHeight="1">
      <c r="A1970" s="1208" t="s">
        <v>4395</v>
      </c>
      <c r="B1970" s="1208" t="s">
        <v>3949</v>
      </c>
      <c r="C1970" s="1220">
        <v>44635</v>
      </c>
      <c r="D1970" s="1208" t="s">
        <v>544</v>
      </c>
      <c r="E1970" s="1208" t="s">
        <v>481</v>
      </c>
      <c r="F1970" s="1208" t="s">
        <v>4396</v>
      </c>
      <c r="G1970" s="1184" t="s">
        <v>456</v>
      </c>
      <c r="H1970" s="1210">
        <v>1000000000</v>
      </c>
      <c r="I1970" s="1208" t="s">
        <v>364</v>
      </c>
      <c r="J1970" s="1186" t="str">
        <f>VLOOKUP($I1970,'Price List, Weapons &amp; Items'!B:C,2,0)</f>
        <v>.</v>
      </c>
      <c r="K1970" s="1186" t="str">
        <f>IF(I1970=".",I1970,VLOOKUP($I1970,'Price List, Weapons &amp; Items'!B:D,3,0))</f>
        <v>.</v>
      </c>
      <c r="L1970" s="1187">
        <f>VLOOKUP(I1970,'Price List, Weapons &amp; Items'!B:E,4,0)</f>
        <v>0</v>
      </c>
      <c r="M1970" s="1241" t="s">
        <v>364</v>
      </c>
      <c r="N1970" s="1188" t="s">
        <v>364</v>
      </c>
      <c r="O1970" s="1188" t="str">
        <f>VLOOKUP($I1970,'Price List, Weapons &amp; Items'!B:G,6,0)</f>
        <v>.</v>
      </c>
      <c r="P1970" s="1185" t="str">
        <f t="shared" si="415"/>
        <v>.</v>
      </c>
      <c r="Q1970" s="1185" t="str">
        <f t="shared" si="416"/>
        <v>.</v>
      </c>
      <c r="R1970" s="1185">
        <f t="shared" si="412"/>
        <v>1000000000</v>
      </c>
      <c r="S1970" s="1185">
        <f>IF(AND(AD1970=1,R1970&lt;&gt;".")=TRUE,R1970/VLOOKUP(G1970,'Exchange Rates'!B:C,2,0),IF(R1970=".",".",""))</f>
        <v>920132499.07986748</v>
      </c>
      <c r="T1970" s="1185" t="str">
        <f>IF(AD1970=1,IF(AF1970="Value is not given at all",".",IF(AF1970="Value is given by the source",S1970,IF(AF1970="Value is calculated with prices",(IF(SUMIFS(Q:Q,A:A,A1970)&gt;0,SUMIFS(Q:Q,A:A,A1970),"."))/VLOOKUP("USD",'Exchange Rates'!B:C,2,0),"Error with coding"))),"")</f>
        <v>.</v>
      </c>
      <c r="U1970" s="1184" t="s">
        <v>365</v>
      </c>
      <c r="V1970" s="979" t="s">
        <v>3955</v>
      </c>
      <c r="W1970" s="966" t="s">
        <v>4397</v>
      </c>
      <c r="X1970" s="1208" t="s">
        <v>364</v>
      </c>
      <c r="Y1970" s="1208" t="s">
        <v>364</v>
      </c>
      <c r="Z1970" s="1184">
        <v>1</v>
      </c>
      <c r="AA1970" s="1194">
        <v>0</v>
      </c>
      <c r="AB1970" s="1180" t="s">
        <v>364</v>
      </c>
      <c r="AC1970" s="1192" t="str">
        <f>""</f>
        <v/>
      </c>
      <c r="AD1970" s="1191">
        <v>1</v>
      </c>
      <c r="AE1970" s="1191" t="s">
        <v>368</v>
      </c>
      <c r="AF1970" s="1191" t="s">
        <v>369</v>
      </c>
      <c r="AG1970" s="1191">
        <v>1</v>
      </c>
      <c r="AH1970" s="1191">
        <v>3</v>
      </c>
      <c r="AI1970" s="1191">
        <v>0</v>
      </c>
      <c r="AJ1970" s="1193">
        <f>VLOOKUP($I1970,'Price List, Weapons &amp; Items'!B:F,5,0)</f>
        <v>0</v>
      </c>
      <c r="AK1970" s="1193">
        <f t="shared" si="417"/>
        <v>0</v>
      </c>
      <c r="AL1970" s="1193">
        <f t="shared" si="418"/>
        <v>0</v>
      </c>
      <c r="AM1970" s="1193">
        <f t="shared" si="419"/>
        <v>0</v>
      </c>
      <c r="AN1970" s="1194" t="str">
        <f>VLOOKUP($I1970,'Price List, Weapons &amp; Items'!B:L,COLUMN('Price List, Weapons &amp; Items'!$J$11)-1,0)</f>
        <v>.</v>
      </c>
      <c r="AO1970" s="1194" t="str">
        <f>IF(I1970=".",".",VLOOKUP($I1970,'Price List, Weapons &amp; Items'!B:J,3,0))</f>
        <v>.</v>
      </c>
      <c r="AP1970" s="1195" t="str">
        <f t="shared" ca="1" si="413"/>
        <v>.</v>
      </c>
      <c r="AQ1970" s="1194">
        <f>VLOOKUP($I1970,'Price List, Weapons &amp; Items'!B:L,COLUMN('Price List, Weapons &amp; Items'!$L$11)-1,0)</f>
        <v>0</v>
      </c>
      <c r="AR1970" s="1194">
        <f t="shared" si="420"/>
        <v>1</v>
      </c>
      <c r="AS1970" s="1194">
        <f t="shared" si="421"/>
        <v>0</v>
      </c>
      <c r="AT1970" s="1194">
        <f t="shared" si="422"/>
        <v>1</v>
      </c>
      <c r="AU1970" s="1194" t="str">
        <f t="shared" si="424"/>
        <v>.</v>
      </c>
      <c r="AV1970" s="1194" t="str">
        <f t="shared" si="414"/>
        <v>.</v>
      </c>
      <c r="AW1970" s="1194" t="str">
        <f t="shared" si="423"/>
        <v>.</v>
      </c>
      <c r="AX1970" s="1194">
        <f>IFERROR(VLOOKUP(B1970,'Share, Heavy Weapons to Ukraine'!B:Z,COLUMN('Share, Heavy Weapons to Ukraine'!C1978)-1,0),0)</f>
        <v>1</v>
      </c>
      <c r="AY1970" s="1194">
        <f>VLOOKUP('Bilateral Assistance, MAIN DATA'!B1970,'Country Summary (€)'!B:F,COLUMN('Country Summary (€)'!C1979)-1,FALSE)</f>
        <v>0</v>
      </c>
      <c r="AZ1970" s="1194" t="str">
        <f>IF(AND(AD1970=1,D1970="Military",H1970&lt;&gt;"Not given")=TRUE,IF(SUMIFS(P:P,A:A,A1970)&gt;0,ABS((SUMIFS(P:P,A:A,A1970)/VLOOKUP("USD",'Exchange Rates'!B:C,2,0)))/S1970,"."),".")</f>
        <v>.</v>
      </c>
      <c r="BA1970" s="1196" t="str">
        <f>IF(AND(AD1970=1,D1970="Military",H1970&lt;&gt;"Not given")=TRUE,IF(SUMIFS(P:P,A:A,A1970)&gt;0,IF((ABS((SUMIFS(P:P,A:A,A1970)/VLOOKUP("USD",'Exchange Rates'!B:C,2,0)))/S1970)&gt;1,(SUMIFS(P:P,A:A,A1970)-S1970)/S1970,(S1970-SUMIFS(P:P,A:A,A1970))/SUMIFS(P:P,A:A,A1970)),"."),".")</f>
        <v>.</v>
      </c>
    </row>
    <row r="1971" spans="1:53" ht="15.95" customHeight="1">
      <c r="A1971" s="1208" t="s">
        <v>4398</v>
      </c>
      <c r="B1971" s="1208" t="s">
        <v>3949</v>
      </c>
      <c r="C1971" s="1220">
        <v>44691</v>
      </c>
      <c r="D1971" s="1208" t="s">
        <v>544</v>
      </c>
      <c r="E1971" s="1208" t="s">
        <v>481</v>
      </c>
      <c r="F1971" s="1208" t="s">
        <v>4399</v>
      </c>
      <c r="G1971" s="1184" t="s">
        <v>456</v>
      </c>
      <c r="H1971" s="1210">
        <v>7500000000</v>
      </c>
      <c r="I1971" s="1208" t="s">
        <v>364</v>
      </c>
      <c r="J1971" s="1186" t="str">
        <f>VLOOKUP($I1971,'Price List, Weapons &amp; Items'!B:C,2,0)</f>
        <v>.</v>
      </c>
      <c r="K1971" s="1186" t="str">
        <f>IF(I1971=".",I1971,VLOOKUP($I1971,'Price List, Weapons &amp; Items'!B:D,3,0))</f>
        <v>.</v>
      </c>
      <c r="L1971" s="1187">
        <f>VLOOKUP(I1971,'Price List, Weapons &amp; Items'!B:E,4,0)</f>
        <v>0</v>
      </c>
      <c r="M1971" s="1241" t="s">
        <v>364</v>
      </c>
      <c r="N1971" s="1188" t="s">
        <v>364</v>
      </c>
      <c r="O1971" s="1188" t="str">
        <f>VLOOKUP($I1971,'Price List, Weapons &amp; Items'!B:G,6,0)</f>
        <v>.</v>
      </c>
      <c r="P1971" s="1185" t="str">
        <f t="shared" si="415"/>
        <v>.</v>
      </c>
      <c r="Q1971" s="1185" t="str">
        <f t="shared" si="416"/>
        <v>.</v>
      </c>
      <c r="R1971" s="1185">
        <f t="shared" si="412"/>
        <v>7500000000</v>
      </c>
      <c r="S1971" s="1185">
        <f>IF(AND(AD1971=1,R1971&lt;&gt;".")=TRUE,R1971/VLOOKUP(G1971,'Exchange Rates'!B:C,2,0),IF(R1971=".",".",""))</f>
        <v>6900993743.0990067</v>
      </c>
      <c r="T1971" s="1185" t="str">
        <f>IF(AD1971=1,IF(AF1971="Value is not given at all",".",IF(AF1971="Value is given by the source",S1971,IF(AF1971="Value is calculated with prices",(IF(SUMIFS(Q:Q,A:A,A1971)&gt;0,SUMIFS(Q:Q,A:A,A1971),"."))/VLOOKUP("USD",'Exchange Rates'!B:C,2,0),"Error with coding"))),"")</f>
        <v>.</v>
      </c>
      <c r="U1971" s="1184" t="s">
        <v>365</v>
      </c>
      <c r="V1971" s="979" t="s">
        <v>3959</v>
      </c>
      <c r="W1971" s="966" t="s">
        <v>4397</v>
      </c>
      <c r="X1971" s="1208" t="s">
        <v>364</v>
      </c>
      <c r="Y1971" s="1208" t="s">
        <v>364</v>
      </c>
      <c r="Z1971" s="1184">
        <v>1</v>
      </c>
      <c r="AA1971" s="1194">
        <v>0</v>
      </c>
      <c r="AB1971" s="1180" t="s">
        <v>364</v>
      </c>
      <c r="AC1971" s="1192" t="str">
        <f>""</f>
        <v/>
      </c>
      <c r="AD1971" s="1191">
        <v>1</v>
      </c>
      <c r="AE1971" s="1191" t="s">
        <v>368</v>
      </c>
      <c r="AF1971" s="1191" t="s">
        <v>369</v>
      </c>
      <c r="AG1971" s="1191">
        <v>1</v>
      </c>
      <c r="AH1971" s="1191">
        <v>5</v>
      </c>
      <c r="AI1971" s="1191">
        <v>0</v>
      </c>
      <c r="AJ1971" s="1193">
        <f>VLOOKUP($I1971,'Price List, Weapons &amp; Items'!B:F,5,0)</f>
        <v>0</v>
      </c>
      <c r="AK1971" s="1193">
        <f t="shared" si="417"/>
        <v>0</v>
      </c>
      <c r="AL1971" s="1193">
        <f t="shared" si="418"/>
        <v>0</v>
      </c>
      <c r="AM1971" s="1193">
        <f t="shared" si="419"/>
        <v>0</v>
      </c>
      <c r="AN1971" s="1194" t="str">
        <f>VLOOKUP($I1971,'Price List, Weapons &amp; Items'!B:L,COLUMN('Price List, Weapons &amp; Items'!$J$11)-1,0)</f>
        <v>.</v>
      </c>
      <c r="AO1971" s="1194" t="str">
        <f>IF(I1971=".",".",VLOOKUP($I1971,'Price List, Weapons &amp; Items'!B:J,3,0))</f>
        <v>.</v>
      </c>
      <c r="AP1971" s="1195" t="str">
        <f t="shared" ca="1" si="413"/>
        <v>.</v>
      </c>
      <c r="AQ1971" s="1194">
        <f>VLOOKUP($I1971,'Price List, Weapons &amp; Items'!B:L,COLUMN('Price List, Weapons &amp; Items'!$L$11)-1,0)</f>
        <v>0</v>
      </c>
      <c r="AR1971" s="1194">
        <f t="shared" si="420"/>
        <v>1</v>
      </c>
      <c r="AS1971" s="1194">
        <f t="shared" si="421"/>
        <v>0</v>
      </c>
      <c r="AT1971" s="1194">
        <f t="shared" si="422"/>
        <v>1</v>
      </c>
      <c r="AU1971" s="1194" t="str">
        <f t="shared" si="424"/>
        <v>.</v>
      </c>
      <c r="AV1971" s="1194" t="str">
        <f t="shared" si="414"/>
        <v>.</v>
      </c>
      <c r="AW1971" s="1194" t="str">
        <f t="shared" si="423"/>
        <v>.</v>
      </c>
      <c r="AX1971" s="1194">
        <f>IFERROR(VLOOKUP(B1971,'Share, Heavy Weapons to Ukraine'!B:Z,COLUMN('Share, Heavy Weapons to Ukraine'!C1979)-1,0),0)</f>
        <v>1</v>
      </c>
      <c r="AY1971" s="1194">
        <f>VLOOKUP('Bilateral Assistance, MAIN DATA'!B1971,'Country Summary (€)'!B:F,COLUMN('Country Summary (€)'!C1980)-1,FALSE)</f>
        <v>0</v>
      </c>
      <c r="AZ1971" s="1194" t="str">
        <f>IF(AND(AD1971=1,D1971="Military",H1971&lt;&gt;"Not given")=TRUE,IF(SUMIFS(P:P,A:A,A1971)&gt;0,ABS((SUMIFS(P:P,A:A,A1971)/VLOOKUP("USD",'Exchange Rates'!B:C,2,0)))/S1971,"."),".")</f>
        <v>.</v>
      </c>
      <c r="BA1971" s="1196" t="str">
        <f>IF(AND(AD1971=1,D1971="Military",H1971&lt;&gt;"Not given")=TRUE,IF(SUMIFS(P:P,A:A,A1971)&gt;0,IF((ABS((SUMIFS(P:P,A:A,A1971)/VLOOKUP("USD",'Exchange Rates'!B:C,2,0)))/S1971)&gt;1,(SUMIFS(P:P,A:A,A1971)-S1971)/S1971,(S1971-SUMIFS(P:P,A:A,A1971))/SUMIFS(P:P,A:A,A1971)),"."),".")</f>
        <v>.</v>
      </c>
    </row>
    <row r="1972" spans="1:53" ht="15.95" customHeight="1">
      <c r="A1972" s="1208" t="s">
        <v>4400</v>
      </c>
      <c r="B1972" s="1208" t="s">
        <v>3949</v>
      </c>
      <c r="C1972" s="1220">
        <v>44834</v>
      </c>
      <c r="D1972" s="1208" t="s">
        <v>544</v>
      </c>
      <c r="E1972" s="1208" t="s">
        <v>481</v>
      </c>
      <c r="F1972" s="1208" t="s">
        <v>4401</v>
      </c>
      <c r="G1972" s="1184" t="s">
        <v>456</v>
      </c>
      <c r="H1972" s="1210">
        <v>4500000000</v>
      </c>
      <c r="I1972" s="1208" t="s">
        <v>364</v>
      </c>
      <c r="J1972" s="1186" t="str">
        <f>VLOOKUP($I1972,'Price List, Weapons &amp; Items'!B:C,2,0)</f>
        <v>.</v>
      </c>
      <c r="K1972" s="1186" t="str">
        <f>IF(I1972=".",I1972,VLOOKUP($I1972,'Price List, Weapons &amp; Items'!B:D,3,0))</f>
        <v>.</v>
      </c>
      <c r="L1972" s="1187">
        <f>VLOOKUP(I1972,'Price List, Weapons &amp; Items'!B:E,4,0)</f>
        <v>0</v>
      </c>
      <c r="M1972" s="1241" t="s">
        <v>364</v>
      </c>
      <c r="N1972" s="1188" t="s">
        <v>364</v>
      </c>
      <c r="O1972" s="1188" t="str">
        <f>VLOOKUP($I1972,'Price List, Weapons &amp; Items'!B:G,6,0)</f>
        <v>.</v>
      </c>
      <c r="P1972" s="1185" t="str">
        <f t="shared" si="415"/>
        <v>.</v>
      </c>
      <c r="Q1972" s="1185" t="str">
        <f t="shared" si="416"/>
        <v>.</v>
      </c>
      <c r="R1972" s="1185">
        <f t="shared" si="412"/>
        <v>4500000000</v>
      </c>
      <c r="S1972" s="1185">
        <f>IF(AND(AD1972=1,R1972&lt;&gt;".")=TRUE,R1972/VLOOKUP(G1972,'Exchange Rates'!B:C,2,0),IF(R1972=".",".",""))</f>
        <v>4140596245.8594036</v>
      </c>
      <c r="T1972" s="1185" t="str">
        <f>IF(AD1972=1,IF(AF1972="Value is not given at all",".",IF(AF1972="Value is given by the source",S1972,IF(AF1972="Value is calculated with prices",(IF(SUMIFS(Q:Q,A:A,A1972)&gt;0,SUMIFS(Q:Q,A:A,A1972),"."))/VLOOKUP("USD",'Exchange Rates'!B:C,2,0),"Error with coding"))),"")</f>
        <v>.</v>
      </c>
      <c r="U1972" s="1184" t="s">
        <v>365</v>
      </c>
      <c r="V1972" s="983" t="s">
        <v>3978</v>
      </c>
      <c r="W1972" s="979" t="s">
        <v>4402</v>
      </c>
      <c r="X1972" s="1208" t="s">
        <v>364</v>
      </c>
      <c r="Y1972" s="1208" t="s">
        <v>364</v>
      </c>
      <c r="Z1972" s="1184">
        <v>1</v>
      </c>
      <c r="AA1972" s="1194">
        <v>0</v>
      </c>
      <c r="AB1972" s="1180" t="s">
        <v>364</v>
      </c>
      <c r="AC1972" s="1192" t="str">
        <f>""</f>
        <v/>
      </c>
      <c r="AD1972" s="1191">
        <v>1</v>
      </c>
      <c r="AE1972" s="1191" t="s">
        <v>368</v>
      </c>
      <c r="AF1972" s="1191" t="s">
        <v>369</v>
      </c>
      <c r="AG1972" s="1191">
        <v>1</v>
      </c>
      <c r="AH1972" s="1191">
        <v>9</v>
      </c>
      <c r="AI1972" s="1191">
        <v>0</v>
      </c>
      <c r="AJ1972" s="1193">
        <f>VLOOKUP($I1972,'Price List, Weapons &amp; Items'!B:F,5,0)</f>
        <v>0</v>
      </c>
      <c r="AK1972" s="1193">
        <f t="shared" si="417"/>
        <v>0</v>
      </c>
      <c r="AL1972" s="1193">
        <f t="shared" si="418"/>
        <v>0</v>
      </c>
      <c r="AM1972" s="1193">
        <f t="shared" si="419"/>
        <v>0</v>
      </c>
      <c r="AN1972" s="1194" t="str">
        <f>VLOOKUP($I1972,'Price List, Weapons &amp; Items'!B:L,COLUMN('Price List, Weapons &amp; Items'!$J$11)-1,0)</f>
        <v>.</v>
      </c>
      <c r="AO1972" s="1194" t="str">
        <f>IF(I1972=".",".",VLOOKUP($I1972,'Price List, Weapons &amp; Items'!B:J,3,0))</f>
        <v>.</v>
      </c>
      <c r="AP1972" s="1195" t="str">
        <f t="shared" ca="1" si="413"/>
        <v>.</v>
      </c>
      <c r="AQ1972" s="1194">
        <f>VLOOKUP($I1972,'Price List, Weapons &amp; Items'!B:L,COLUMN('Price List, Weapons &amp; Items'!$L$11)-1,0)</f>
        <v>0</v>
      </c>
      <c r="AR1972" s="1194">
        <f t="shared" si="420"/>
        <v>1</v>
      </c>
      <c r="AS1972" s="1194">
        <f t="shared" si="421"/>
        <v>0</v>
      </c>
      <c r="AT1972" s="1194">
        <f t="shared" si="422"/>
        <v>1</v>
      </c>
      <c r="AU1972" s="1194" t="str">
        <f t="shared" si="424"/>
        <v>.</v>
      </c>
      <c r="AV1972" s="1194" t="str">
        <f t="shared" si="414"/>
        <v>.</v>
      </c>
      <c r="AW1972" s="1194" t="str">
        <f t="shared" si="423"/>
        <v>.</v>
      </c>
      <c r="AX1972" s="1194">
        <f>IFERROR(VLOOKUP(B1972,'Share, Heavy Weapons to Ukraine'!B:Z,COLUMN('Share, Heavy Weapons to Ukraine'!C1980)-1,0),0)</f>
        <v>1</v>
      </c>
      <c r="AY1972" s="1194">
        <f>VLOOKUP('Bilateral Assistance, MAIN DATA'!B1972,'Country Summary (€)'!B:F,COLUMN('Country Summary (€)'!C1981)-1,FALSE)</f>
        <v>0</v>
      </c>
      <c r="AZ1972" s="1194" t="str">
        <f>IF(AND(AD1972=1,D1972="Military",H1972&lt;&gt;"Not given")=TRUE,IF(SUMIFS(P:P,A:A,A1972)&gt;0,ABS((SUMIFS(P:P,A:A,A1972)/VLOOKUP("USD",'Exchange Rates'!B:C,2,0)))/S1972,"."),".")</f>
        <v>.</v>
      </c>
      <c r="BA1972" s="1196" t="str">
        <f>IF(AND(AD1972=1,D1972="Military",H1972&lt;&gt;"Not given")=TRUE,IF(SUMIFS(P:P,A:A,A1972)&gt;0,IF((ABS((SUMIFS(P:P,A:A,A1972)/VLOOKUP("USD",'Exchange Rates'!B:C,2,0)))/S1972)&gt;1,(SUMIFS(P:P,A:A,A1972)-S1972)/S1972,(S1972-SUMIFS(P:P,A:A,A1972))/SUMIFS(P:P,A:A,A1972)),"."),".")</f>
        <v>.</v>
      </c>
    </row>
    <row r="1973" spans="1:53" s="1180" customFormat="1" ht="15.95" customHeight="1">
      <c r="A1973" s="1208" t="s">
        <v>4403</v>
      </c>
      <c r="B1973" s="1208" t="s">
        <v>3949</v>
      </c>
      <c r="C1973" s="1220">
        <v>44901</v>
      </c>
      <c r="D1973" s="1208" t="s">
        <v>544</v>
      </c>
      <c r="E1973" s="1208" t="s">
        <v>481</v>
      </c>
      <c r="F1973" s="1208" t="s">
        <v>4404</v>
      </c>
      <c r="G1973" s="1184" t="s">
        <v>456</v>
      </c>
      <c r="H1973" s="1210">
        <v>13370000000</v>
      </c>
      <c r="I1973" s="1208" t="s">
        <v>364</v>
      </c>
      <c r="J1973" s="1186" t="str">
        <f>VLOOKUP($I1973,'Price List, Weapons &amp; Items'!B:C,2,0)</f>
        <v>.</v>
      </c>
      <c r="K1973" s="1186" t="str">
        <f>IF(I1973=".",I1973,VLOOKUP($I1973,'Price List, Weapons &amp; Items'!B:D,3,0))</f>
        <v>.</v>
      </c>
      <c r="L1973" s="1187">
        <f>VLOOKUP(I1973,'Price List, Weapons &amp; Items'!B:E,4,0)</f>
        <v>0</v>
      </c>
      <c r="M1973" s="1241" t="s">
        <v>364</v>
      </c>
      <c r="N1973" s="1188" t="s">
        <v>364</v>
      </c>
      <c r="O1973" s="1188" t="str">
        <f>VLOOKUP($I1973,'Price List, Weapons &amp; Items'!B:G,6,0)</f>
        <v>.</v>
      </c>
      <c r="P1973" s="1185" t="str">
        <f t="shared" si="415"/>
        <v>.</v>
      </c>
      <c r="Q1973" s="1185" t="str">
        <f t="shared" si="416"/>
        <v>.</v>
      </c>
      <c r="R1973" s="1185">
        <f t="shared" si="412"/>
        <v>13370000000</v>
      </c>
      <c r="S1973" s="1185">
        <f>IF(AND(AD1973=1,R1973&lt;&gt;".")=TRUE,R1973/VLOOKUP(G1973,'Exchange Rates'!B:C,2,0),IF(R1973=".",".",""))</f>
        <v>12302171512.697828</v>
      </c>
      <c r="T1973" s="1185" t="str">
        <f>IF(AD1973=1,IF(AF1973="Value is not given at all",".",IF(AF1973="Value is given by the source",S1973,IF(AF1973="Value is calculated with prices",(IF(SUMIFS(Q:Q,A:A,A1973)&gt;0,SUMIFS(Q:Q,A:A,A1973),"."))/VLOOKUP("USD",'Exchange Rates'!B:C,2,0),"Error with coding"))),"")</f>
        <v>.</v>
      </c>
      <c r="U1973" s="1184" t="s">
        <v>365</v>
      </c>
      <c r="V1973" s="979" t="s">
        <v>3982</v>
      </c>
      <c r="W1973" s="966" t="s">
        <v>4397</v>
      </c>
      <c r="X1973" s="1208" t="s">
        <v>364</v>
      </c>
      <c r="Y1973" s="1208" t="s">
        <v>364</v>
      </c>
      <c r="Z1973" s="1184">
        <v>1</v>
      </c>
      <c r="AA1973" s="1194">
        <v>0</v>
      </c>
      <c r="AB1973" s="1180" t="s">
        <v>364</v>
      </c>
      <c r="AC1973" s="1192" t="str">
        <f>""</f>
        <v/>
      </c>
      <c r="AD1973" s="1191">
        <v>1</v>
      </c>
      <c r="AE1973" s="1191" t="s">
        <v>368</v>
      </c>
      <c r="AF1973" s="1191" t="s">
        <v>369</v>
      </c>
      <c r="AG1973" s="1191">
        <v>1</v>
      </c>
      <c r="AH1973" s="1191">
        <v>12</v>
      </c>
      <c r="AI1973" s="1191">
        <v>0</v>
      </c>
      <c r="AJ1973" s="1193">
        <f>VLOOKUP($I1973,'Price List, Weapons &amp; Items'!B:F,5,0)</f>
        <v>0</v>
      </c>
      <c r="AK1973" s="1193">
        <f t="shared" si="417"/>
        <v>0</v>
      </c>
      <c r="AL1973" s="1193">
        <f t="shared" si="418"/>
        <v>0</v>
      </c>
      <c r="AM1973" s="1193">
        <f t="shared" si="419"/>
        <v>0</v>
      </c>
      <c r="AN1973" s="1194" t="str">
        <f>VLOOKUP($I1973,'Price List, Weapons &amp; Items'!B:L,COLUMN('Price List, Weapons &amp; Items'!$J$11)-1,0)</f>
        <v>.</v>
      </c>
      <c r="AO1973" s="1194" t="str">
        <f>IF(I1973=".",".",VLOOKUP($I1973,'Price List, Weapons &amp; Items'!B:J,3,0))</f>
        <v>.</v>
      </c>
      <c r="AP1973" s="1195" t="str">
        <f t="shared" ca="1" si="413"/>
        <v>.</v>
      </c>
      <c r="AQ1973" s="1194">
        <f>VLOOKUP($I1973,'Price List, Weapons &amp; Items'!B:L,COLUMN('Price List, Weapons &amp; Items'!$L$11)-1,0)</f>
        <v>0</v>
      </c>
      <c r="AR1973" s="1194">
        <f t="shared" si="420"/>
        <v>1</v>
      </c>
      <c r="AS1973" s="1194">
        <f t="shared" si="421"/>
        <v>0</v>
      </c>
      <c r="AT1973" s="1194">
        <f t="shared" si="422"/>
        <v>1</v>
      </c>
      <c r="AU1973" s="1194" t="str">
        <f t="shared" si="424"/>
        <v>.</v>
      </c>
      <c r="AV1973" s="1194" t="str">
        <f t="shared" si="414"/>
        <v>.</v>
      </c>
      <c r="AW1973" s="1194" t="str">
        <f t="shared" si="423"/>
        <v>.</v>
      </c>
      <c r="AX1973" s="1194">
        <f>IFERROR(VLOOKUP(B1973,'Share, Heavy Weapons to Ukraine'!B:Z,COLUMN('Share, Heavy Weapons to Ukraine'!C1981)-1,0),0)</f>
        <v>1</v>
      </c>
      <c r="AY1973" s="1194">
        <f>VLOOKUP('Bilateral Assistance, MAIN DATA'!B1973,'Country Summary (€)'!B:F,COLUMN('Country Summary (€)'!C1982)-1,FALSE)</f>
        <v>0</v>
      </c>
      <c r="AZ1973" s="1194" t="str">
        <f>IF(AND(AD1973=1,D1973="Military",H1973&lt;&gt;"Not given")=TRUE,IF(SUMIFS(P:P,A:A,A1973)&gt;0,ABS((SUMIFS(P:P,A:A,A1973)/VLOOKUP("USD",'Exchange Rates'!B:C,2,0)))/S1973,"."),".")</f>
        <v>.</v>
      </c>
      <c r="BA1973" s="1196" t="str">
        <f>IF(AND(AD1973=1,D1973="Military",H1973&lt;&gt;"Not given")=TRUE,IF(SUMIFS(P:P,A:A,A1973)&gt;0,IF((ABS((SUMIFS(P:P,A:A,A1973)/VLOOKUP("USD",'Exchange Rates'!B:C,2,0)))/S1973)&gt;1,(SUMIFS(P:P,A:A,A1973)-S1973)/S1973,(S1973-SUMIFS(P:P,A:A,A1973))/SUMIFS(P:P,A:A,A1973)),"."),".")</f>
        <v>.</v>
      </c>
    </row>
    <row r="1974" spans="1:53" s="1329" customFormat="1" ht="15.95" customHeight="1">
      <c r="A1974" s="1180" t="s">
        <v>4405</v>
      </c>
      <c r="B1974" s="1180" t="s">
        <v>4406</v>
      </c>
      <c r="C1974" s="1181" t="s">
        <v>4407</v>
      </c>
      <c r="D1974" s="1182" t="s">
        <v>360</v>
      </c>
      <c r="E1974" s="1182" t="s">
        <v>361</v>
      </c>
      <c r="F1974" s="1183" t="s">
        <v>4408</v>
      </c>
      <c r="G1974" s="1184" t="s">
        <v>483</v>
      </c>
      <c r="H1974" s="1185" t="s">
        <v>457</v>
      </c>
      <c r="I1974" s="1180" t="s">
        <v>364</v>
      </c>
      <c r="J1974" s="1186" t="str">
        <f>VLOOKUP($I1974,'Price List, Weapons &amp; Items'!B:C,2,0)</f>
        <v>.</v>
      </c>
      <c r="K1974" s="1186" t="str">
        <f>IF(I1974=".",I1974,VLOOKUP($I1974,'Price List, Weapons &amp; Items'!B:D,3,0))</f>
        <v>.</v>
      </c>
      <c r="L1974" s="1187">
        <f>VLOOKUP(I1974,'Price List, Weapons &amp; Items'!B:E,4,0)</f>
        <v>0</v>
      </c>
      <c r="M1974" s="1188" t="s">
        <v>364</v>
      </c>
      <c r="N1974" s="1188" t="s">
        <v>364</v>
      </c>
      <c r="O1974" s="1188" t="str">
        <f>VLOOKUP($I1974,'Price List, Weapons &amp; Items'!B:G,6,0)</f>
        <v>.</v>
      </c>
      <c r="P1974" s="1185" t="str">
        <f t="shared" si="415"/>
        <v>.</v>
      </c>
      <c r="Q1974" s="1185" t="str">
        <f t="shared" si="416"/>
        <v>.</v>
      </c>
      <c r="R1974" s="1185" t="str">
        <f t="shared" si="412"/>
        <v>.</v>
      </c>
      <c r="S1974" s="1185" t="str">
        <f>IF(AND(AD1974=1,R1974&lt;&gt;".")=TRUE,R1974/VLOOKUP(G1974,'Exchange Rates'!B:C,2,0),IF(R1974=".",".",""))</f>
        <v>.</v>
      </c>
      <c r="T1974" s="1185" t="str">
        <f>IF(AD1974=1,IF(AF1974="Value is not given at all",".",IF(AF1974="Value is given by the source",S1974,IF(AF1974="Value is calculated with prices",(IF(SUMIFS(Q:Q,A:A,A1974)&gt;0,SUMIFS(Q:Q,A:A,A1974),"."))/VLOOKUP("USD",'Exchange Rates'!B:C,2,0),"Error with coding"))),"")</f>
        <v>.</v>
      </c>
      <c r="U1974" s="1184" t="s">
        <v>365</v>
      </c>
      <c r="V1974" s="971" t="s">
        <v>4409</v>
      </c>
      <c r="W1974" s="980" t="s">
        <v>4410</v>
      </c>
      <c r="X1974" s="980" t="s">
        <v>4411</v>
      </c>
      <c r="Y1974" s="1190" t="s">
        <v>364</v>
      </c>
      <c r="Z1974" s="1184">
        <v>0</v>
      </c>
      <c r="AA1974" s="1194">
        <v>0</v>
      </c>
      <c r="AB1974" s="1180" t="s">
        <v>364</v>
      </c>
      <c r="AC1974" s="1192" t="str">
        <f>""</f>
        <v/>
      </c>
      <c r="AD1974" s="985">
        <v>1</v>
      </c>
      <c r="AE1974" s="985" t="s">
        <v>369</v>
      </c>
      <c r="AF1974" s="985" t="s">
        <v>369</v>
      </c>
      <c r="AG1974" s="985">
        <v>0</v>
      </c>
      <c r="AH1974" s="1193">
        <v>0</v>
      </c>
      <c r="AI1974" s="1193">
        <v>0</v>
      </c>
      <c r="AJ1974" s="1193">
        <f>VLOOKUP($I1974,'Price List, Weapons &amp; Items'!B:F,5,0)</f>
        <v>0</v>
      </c>
      <c r="AK1974" s="1193">
        <f t="shared" si="417"/>
        <v>0</v>
      </c>
      <c r="AL1974" s="1193">
        <f t="shared" si="418"/>
        <v>0</v>
      </c>
      <c r="AM1974" s="1193">
        <f t="shared" si="419"/>
        <v>0</v>
      </c>
      <c r="AN1974" s="1194" t="str">
        <f>VLOOKUP($I1974,'Price List, Weapons &amp; Items'!B:L,COLUMN('Price List, Weapons &amp; Items'!$J$11)-1,0)</f>
        <v>.</v>
      </c>
      <c r="AO1974" s="1194" t="str">
        <f>IF(I1974=".",".",VLOOKUP($I1974,'Price List, Weapons &amp; Items'!B:J,3,0))</f>
        <v>.</v>
      </c>
      <c r="AP1974" s="1195" t="str">
        <f t="shared" ca="1" si="413"/>
        <v>.</v>
      </c>
      <c r="AQ1974" s="1194">
        <f>VLOOKUP($I1974,'Price List, Weapons &amp; Items'!B:L,COLUMN('Price List, Weapons &amp; Items'!$L$11)-1,0)</f>
        <v>0</v>
      </c>
      <c r="AR1974" s="1194">
        <f t="shared" si="420"/>
        <v>1</v>
      </c>
      <c r="AS1974" s="1194">
        <f t="shared" si="421"/>
        <v>0</v>
      </c>
      <c r="AT1974" s="1194" t="str">
        <f t="shared" si="422"/>
        <v>Value is not in date format</v>
      </c>
      <c r="AU1974" s="1194" t="str">
        <f t="shared" si="424"/>
        <v>.</v>
      </c>
      <c r="AV1974" s="1194" t="str">
        <f t="shared" si="414"/>
        <v>.</v>
      </c>
      <c r="AW1974" s="1194" t="str">
        <f t="shared" si="423"/>
        <v>.</v>
      </c>
      <c r="AX1974" s="1194">
        <f>IFERROR(VLOOKUP(B1974,'Share, Heavy Weapons to Ukraine'!B:Z,COLUMN('Share, Heavy Weapons to Ukraine'!C1982)-1,0),0)</f>
        <v>0</v>
      </c>
      <c r="AY1974" s="1194">
        <f>VLOOKUP('Bilateral Assistance, MAIN DATA'!B1974,'Country Summary (€)'!B:F,COLUMN('Country Summary (€)'!C1983)-1,FALSE)</f>
        <v>0</v>
      </c>
      <c r="AZ1974" s="1194" t="str">
        <f>IF(AND(AD1974=1,D1974="Military",H1974&lt;&gt;"Not given")=TRUE,IF(SUMIFS(P:P,A:A,A1974)&gt;0,ABS((SUMIFS(P:P,A:A,A1974)/VLOOKUP("USD",'Exchange Rates'!B:C,2,0)))/S1974,"."),".")</f>
        <v>.</v>
      </c>
      <c r="BA1974" s="1196" t="str">
        <f>IF(AND(AD1974=1,D1974="Military",H1974&lt;&gt;"Not given")=TRUE,IF(SUMIFS(P:P,A:A,A1974)&gt;0,IF((ABS((SUMIFS(P:P,A:A,A1974)/VLOOKUP("USD",'Exchange Rates'!B:C,2,0)))/S1974)&gt;1,(SUMIFS(P:P,A:A,A1974)-S1974)/S1974,(S1974-SUMIFS(P:P,A:A,A1974))/SUMIFS(P:P,A:A,A1974)),"."),".")</f>
        <v>.</v>
      </c>
    </row>
    <row r="1975" spans="1:53" ht="15.95" customHeight="1">
      <c r="A1975" s="1180" t="s">
        <v>4412</v>
      </c>
      <c r="B1975" s="1180" t="s">
        <v>4406</v>
      </c>
      <c r="C1975" s="1181">
        <v>44621</v>
      </c>
      <c r="D1975" s="1182" t="s">
        <v>360</v>
      </c>
      <c r="E1975" s="1182" t="s">
        <v>361</v>
      </c>
      <c r="F1975" s="1183" t="s">
        <v>4413</v>
      </c>
      <c r="G1975" s="1184" t="s">
        <v>483</v>
      </c>
      <c r="H1975" s="1185">
        <v>415000000</v>
      </c>
      <c r="I1975" s="1180" t="s">
        <v>364</v>
      </c>
      <c r="J1975" s="1186" t="str">
        <f>VLOOKUP($I1975,'Price List, Weapons &amp; Items'!B:C,2,0)</f>
        <v>.</v>
      </c>
      <c r="K1975" s="1186" t="str">
        <f>IF(I1975=".",I1975,VLOOKUP($I1975,'Price List, Weapons &amp; Items'!B:D,3,0))</f>
        <v>.</v>
      </c>
      <c r="L1975" s="1187">
        <f>VLOOKUP(I1975,'Price List, Weapons &amp; Items'!B:E,4,0)</f>
        <v>0</v>
      </c>
      <c r="M1975" s="1188" t="s">
        <v>364</v>
      </c>
      <c r="N1975" s="1188" t="str">
        <f>VLOOKUP(I1975,'Price List, Weapons &amp; Items'!B:C,2,0)</f>
        <v>.</v>
      </c>
      <c r="O1975" s="1188" t="str">
        <f>VLOOKUP($I1975,'Price List, Weapons &amp; Items'!B:G,6,0)</f>
        <v>.</v>
      </c>
      <c r="P1975" s="1185" t="str">
        <f t="shared" si="415"/>
        <v>.</v>
      </c>
      <c r="Q1975" s="1185" t="str">
        <f t="shared" si="416"/>
        <v>.</v>
      </c>
      <c r="R1975" s="1185">
        <f t="shared" si="412"/>
        <v>415000000</v>
      </c>
      <c r="S1975" s="1185">
        <f>IF(AND(AD1975=1,R1975&lt;&gt;".")=TRUE,R1975/VLOOKUP(G1975,'Exchange Rates'!B:C,2,0),IF(R1975=".",".",""))</f>
        <v>415000000</v>
      </c>
      <c r="T1975" s="1185" t="str">
        <f>IF(AD1975=1,IF(AF1975="Value is not given at all",".",IF(AF1975="Value is given by the source",S1975,IF(AF1975="Value is calculated with prices",(IF(SUMIFS(Q:Q,A:A,A1975)&gt;0,SUMIFS(Q:Q,A:A,A1975),"."))/VLOOKUP("USD",'Exchange Rates'!B:C,2,0),"Error with coding"))),"")</f>
        <v>.</v>
      </c>
      <c r="U1975" s="1184" t="s">
        <v>365</v>
      </c>
      <c r="V1975" s="971" t="s">
        <v>4414</v>
      </c>
      <c r="W1975" s="971" t="s">
        <v>4415</v>
      </c>
      <c r="X1975" s="1190" t="s">
        <v>364</v>
      </c>
      <c r="Y1975" s="1190" t="s">
        <v>364</v>
      </c>
      <c r="Z1975" s="1184">
        <v>0</v>
      </c>
      <c r="AA1975" s="1194">
        <v>0</v>
      </c>
      <c r="AB1975" s="1180" t="s">
        <v>364</v>
      </c>
      <c r="AC1975" s="1192" t="str">
        <f>""</f>
        <v/>
      </c>
      <c r="AD1975" s="1193">
        <v>1</v>
      </c>
      <c r="AE1975" s="1193" t="s">
        <v>368</v>
      </c>
      <c r="AF1975" s="1193" t="s">
        <v>369</v>
      </c>
      <c r="AG1975" s="1193">
        <v>1</v>
      </c>
      <c r="AH1975" s="1193">
        <v>3</v>
      </c>
      <c r="AI1975" s="1193">
        <v>0</v>
      </c>
      <c r="AJ1975" s="1193">
        <f>VLOOKUP($I1975,'Price List, Weapons &amp; Items'!B:F,5,0)</f>
        <v>0</v>
      </c>
      <c r="AK1975" s="1193">
        <f t="shared" si="417"/>
        <v>0</v>
      </c>
      <c r="AL1975" s="1193">
        <f t="shared" si="418"/>
        <v>0</v>
      </c>
      <c r="AM1975" s="1193">
        <f t="shared" si="419"/>
        <v>0</v>
      </c>
      <c r="AN1975" s="1194" t="str">
        <f>VLOOKUP($I1975,'Price List, Weapons &amp; Items'!B:L,COLUMN('Price List, Weapons &amp; Items'!$J$11)-1,0)</f>
        <v>.</v>
      </c>
      <c r="AO1975" s="1194" t="str">
        <f>IF(I1975=".",".",VLOOKUP($I1975,'Price List, Weapons &amp; Items'!B:J,3,0))</f>
        <v>.</v>
      </c>
      <c r="AP1975" s="1195" t="str">
        <f t="shared" ca="1" si="413"/>
        <v>.</v>
      </c>
      <c r="AQ1975" s="1194">
        <f>VLOOKUP($I1975,'Price List, Weapons &amp; Items'!B:L,COLUMN('Price List, Weapons &amp; Items'!$L$11)-1,0)</f>
        <v>0</v>
      </c>
      <c r="AR1975" s="1194">
        <f t="shared" si="420"/>
        <v>1</v>
      </c>
      <c r="AS1975" s="1194">
        <f t="shared" si="421"/>
        <v>0</v>
      </c>
      <c r="AT1975" s="1194">
        <f t="shared" si="422"/>
        <v>1</v>
      </c>
      <c r="AU1975" s="1194" t="str">
        <f t="shared" si="424"/>
        <v>.</v>
      </c>
      <c r="AV1975" s="1194" t="str">
        <f t="shared" si="414"/>
        <v>.</v>
      </c>
      <c r="AW1975" s="1194" t="str">
        <f t="shared" si="423"/>
        <v>.</v>
      </c>
      <c r="AX1975" s="1194">
        <f>IFERROR(VLOOKUP(B1975,'Share, Heavy Weapons to Ukraine'!B:Z,COLUMN('Share, Heavy Weapons to Ukraine'!C1983)-1,0),0)</f>
        <v>0</v>
      </c>
      <c r="AY1975" s="1194">
        <f>VLOOKUP('Bilateral Assistance, MAIN DATA'!B1975,'Country Summary (€)'!B:F,COLUMN('Country Summary (€)'!C1984)-1,FALSE)</f>
        <v>0</v>
      </c>
      <c r="AZ1975" s="1194" t="str">
        <f>IF(AND(AD1975=1,D1975="Military",H1975&lt;&gt;"Not given")=TRUE,IF(SUMIFS(P:P,A:A,A1975)&gt;0,ABS((SUMIFS(P:P,A:A,A1975)/VLOOKUP("USD",'Exchange Rates'!B:C,2,0)))/S1975,"."),".")</f>
        <v>.</v>
      </c>
      <c r="BA1975" s="1196" t="str">
        <f>IF(AND(AD1975=1,D1975="Military",H1975&lt;&gt;"Not given")=TRUE,IF(SUMIFS(P:P,A:A,A1975)&gt;0,IF((ABS((SUMIFS(P:P,A:A,A1975)/VLOOKUP("USD",'Exchange Rates'!B:C,2,0)))/S1975)&gt;1,(SUMIFS(P:P,A:A,A1975)-S1975)/S1975,(S1975-SUMIFS(P:P,A:A,A1975))/SUMIFS(P:P,A:A,A1975)),"."),".")</f>
        <v>.</v>
      </c>
    </row>
    <row r="1976" spans="1:53" ht="15.95" customHeight="1">
      <c r="A1976" s="1180" t="s">
        <v>4416</v>
      </c>
      <c r="B1976" s="1180" t="s">
        <v>4406</v>
      </c>
      <c r="C1976" s="1181">
        <v>44660</v>
      </c>
      <c r="D1976" s="1182" t="s">
        <v>360</v>
      </c>
      <c r="E1976" s="1182" t="s">
        <v>361</v>
      </c>
      <c r="F1976" s="1183" t="s">
        <v>4417</v>
      </c>
      <c r="G1976" s="1184" t="s">
        <v>483</v>
      </c>
      <c r="H1976" s="1185">
        <v>600000000</v>
      </c>
      <c r="I1976" s="1180" t="s">
        <v>364</v>
      </c>
      <c r="J1976" s="1186" t="str">
        <f>VLOOKUP($I1976,'Price List, Weapons &amp; Items'!B:C,2,0)</f>
        <v>.</v>
      </c>
      <c r="K1976" s="1186" t="str">
        <f>IF(I1976=".",I1976,VLOOKUP($I1976,'Price List, Weapons &amp; Items'!B:D,3,0))</f>
        <v>.</v>
      </c>
      <c r="L1976" s="1187">
        <f>VLOOKUP(I1976,'Price List, Weapons &amp; Items'!B:E,4,0)</f>
        <v>0</v>
      </c>
      <c r="M1976" s="1188" t="s">
        <v>364</v>
      </c>
      <c r="N1976" s="1188" t="str">
        <f>VLOOKUP(I1976,'Price List, Weapons &amp; Items'!B:C,2,0)</f>
        <v>.</v>
      </c>
      <c r="O1976" s="1188" t="str">
        <f>VLOOKUP($I1976,'Price List, Weapons &amp; Items'!B:G,6,0)</f>
        <v>.</v>
      </c>
      <c r="P1976" s="1185" t="str">
        <f t="shared" si="415"/>
        <v>.</v>
      </c>
      <c r="Q1976" s="1185" t="str">
        <f t="shared" si="416"/>
        <v>.</v>
      </c>
      <c r="R1976" s="1185">
        <f t="shared" si="412"/>
        <v>600000000</v>
      </c>
      <c r="S1976" s="1185">
        <f>IF(AND(AD1976=1,R1976&lt;&gt;".")=TRUE,R1976/VLOOKUP(G1976,'Exchange Rates'!B:C,2,0),IF(R1976=".",".",""))</f>
        <v>600000000</v>
      </c>
      <c r="T1976" s="1185" t="str">
        <f>IF(AD1976=1,IF(AF1976="Value is not given at all",".",IF(AF1976="Value is given by the source",S1976,IF(AF1976="Value is calculated with prices",(IF(SUMIFS(Q:Q,A:A,A1976)&gt;0,SUMIFS(Q:Q,A:A,A1976),"."))/VLOOKUP("USD",'Exchange Rates'!B:C,2,0),"Error with coding"))),"")</f>
        <v>.</v>
      </c>
      <c r="U1976" s="1184" t="s">
        <v>365</v>
      </c>
      <c r="V1976" s="971" t="s">
        <v>573</v>
      </c>
      <c r="W1976" s="971" t="s">
        <v>4418</v>
      </c>
      <c r="X1976" s="1190" t="s">
        <v>364</v>
      </c>
      <c r="Y1976" s="1190" t="s">
        <v>364</v>
      </c>
      <c r="Z1976" s="1184">
        <v>0</v>
      </c>
      <c r="AA1976" s="1194">
        <v>0</v>
      </c>
      <c r="AB1976" s="1180" t="s">
        <v>364</v>
      </c>
      <c r="AC1976" s="1192" t="str">
        <f>""</f>
        <v/>
      </c>
      <c r="AD1976" s="985">
        <v>1</v>
      </c>
      <c r="AE1976" s="985" t="s">
        <v>368</v>
      </c>
      <c r="AF1976" s="985" t="s">
        <v>369</v>
      </c>
      <c r="AG1976" s="985">
        <v>1</v>
      </c>
      <c r="AH1976" s="1193">
        <v>4</v>
      </c>
      <c r="AI1976" s="1193">
        <v>0</v>
      </c>
      <c r="AJ1976" s="1193">
        <f>VLOOKUP($I1976,'Price List, Weapons &amp; Items'!B:F,5,0)</f>
        <v>0</v>
      </c>
      <c r="AK1976" s="1193">
        <f t="shared" si="417"/>
        <v>0</v>
      </c>
      <c r="AL1976" s="1193">
        <f t="shared" si="418"/>
        <v>0</v>
      </c>
      <c r="AM1976" s="1193">
        <f t="shared" si="419"/>
        <v>0</v>
      </c>
      <c r="AN1976" s="1194" t="str">
        <f>VLOOKUP($I1976,'Price List, Weapons &amp; Items'!B:L,COLUMN('Price List, Weapons &amp; Items'!$J$11)-1,0)</f>
        <v>.</v>
      </c>
      <c r="AO1976" s="1194" t="str">
        <f>IF(I1976=".",".",VLOOKUP($I1976,'Price List, Weapons &amp; Items'!B:J,3,0))</f>
        <v>.</v>
      </c>
      <c r="AP1976" s="1195" t="str">
        <f t="shared" ca="1" si="413"/>
        <v>.</v>
      </c>
      <c r="AQ1976" s="1194">
        <f>VLOOKUP($I1976,'Price List, Weapons &amp; Items'!B:L,COLUMN('Price List, Weapons &amp; Items'!$L$11)-1,0)</f>
        <v>0</v>
      </c>
      <c r="AR1976" s="1194">
        <f t="shared" si="420"/>
        <v>1</v>
      </c>
      <c r="AS1976" s="1194">
        <f t="shared" si="421"/>
        <v>0</v>
      </c>
      <c r="AT1976" s="1194">
        <f t="shared" si="422"/>
        <v>1</v>
      </c>
      <c r="AU1976" s="1194" t="str">
        <f t="shared" si="424"/>
        <v>.</v>
      </c>
      <c r="AV1976" s="1194" t="str">
        <f t="shared" si="414"/>
        <v>.</v>
      </c>
      <c r="AW1976" s="1194" t="str">
        <f t="shared" si="423"/>
        <v>.</v>
      </c>
      <c r="AX1976" s="1194">
        <f>IFERROR(VLOOKUP(B1976,'Share, Heavy Weapons to Ukraine'!B:Z,COLUMN('Share, Heavy Weapons to Ukraine'!C1984)-1,0),0)</f>
        <v>0</v>
      </c>
      <c r="AY1976" s="1194">
        <f>VLOOKUP('Bilateral Assistance, MAIN DATA'!B1976,'Country Summary (€)'!B:F,COLUMN('Country Summary (€)'!C1985)-1,FALSE)</f>
        <v>0</v>
      </c>
      <c r="AZ1976" s="1194" t="str">
        <f>IF(AND(AD1976=1,D1976="Military",H1976&lt;&gt;"Not given")=TRUE,IF(SUMIFS(P:P,A:A,A1976)&gt;0,ABS((SUMIFS(P:P,A:A,A1976)/VLOOKUP("USD",'Exchange Rates'!B:C,2,0)))/S1976,"."),".")</f>
        <v>.</v>
      </c>
      <c r="BA1976" s="1196" t="str">
        <f>IF(AND(AD1976=1,D1976="Military",H1976&lt;&gt;"Not given")=TRUE,IF(SUMIFS(P:P,A:A,A1976)&gt;0,IF((ABS((SUMIFS(P:P,A:A,A1976)/VLOOKUP("USD",'Exchange Rates'!B:C,2,0)))/S1976)&gt;1,(SUMIFS(P:P,A:A,A1976)-S1976)/S1976,(S1976-SUMIFS(P:P,A:A,A1976))/SUMIFS(P:P,A:A,A1976)),"."),".")</f>
        <v>.</v>
      </c>
    </row>
    <row r="1977" spans="1:53" ht="15.95" customHeight="1">
      <c r="A1977" s="1180" t="s">
        <v>4419</v>
      </c>
      <c r="B1977" s="1180" t="s">
        <v>4406</v>
      </c>
      <c r="C1977" s="1181">
        <v>44686</v>
      </c>
      <c r="D1977" s="1182" t="s">
        <v>360</v>
      </c>
      <c r="E1977" s="1182" t="s">
        <v>361</v>
      </c>
      <c r="F1977" s="1183" t="s">
        <v>4420</v>
      </c>
      <c r="G1977" s="1184" t="s">
        <v>483</v>
      </c>
      <c r="H1977" s="1185">
        <v>200000000</v>
      </c>
      <c r="I1977" s="1180" t="s">
        <v>364</v>
      </c>
      <c r="J1977" s="1186" t="str">
        <f>VLOOKUP($I1977,'Price List, Weapons &amp; Items'!B:C,2,0)</f>
        <v>.</v>
      </c>
      <c r="K1977" s="1186" t="str">
        <f>IF(I1977=".",I1977,VLOOKUP($I1977,'Price List, Weapons &amp; Items'!B:D,3,0))</f>
        <v>.</v>
      </c>
      <c r="L1977" s="1187">
        <f>VLOOKUP(I1977,'Price List, Weapons &amp; Items'!B:E,4,0)</f>
        <v>0</v>
      </c>
      <c r="M1977" s="1188" t="s">
        <v>364</v>
      </c>
      <c r="N1977" s="1188" t="str">
        <f>VLOOKUP(I1977,'Price List, Weapons &amp; Items'!B:C,2,0)</f>
        <v>.</v>
      </c>
      <c r="O1977" s="1188" t="str">
        <f>VLOOKUP($I1977,'Price List, Weapons &amp; Items'!B:G,6,0)</f>
        <v>.</v>
      </c>
      <c r="P1977" s="1185" t="str">
        <f t="shared" si="415"/>
        <v>.</v>
      </c>
      <c r="Q1977" s="1185" t="str">
        <f t="shared" si="416"/>
        <v>.</v>
      </c>
      <c r="R1977" s="1185">
        <f t="shared" si="412"/>
        <v>200000000</v>
      </c>
      <c r="S1977" s="1185">
        <f>IF(AND(AD1977=1,R1977&lt;&gt;".")=TRUE,R1977/VLOOKUP(G1977,'Exchange Rates'!B:C,2,0),IF(R1977=".",".",""))</f>
        <v>200000000</v>
      </c>
      <c r="T1977" s="1185" t="str">
        <f>IF(AD1977=1,IF(AF1977="Value is not given at all",".",IF(AF1977="Value is given by the source",S1977,IF(AF1977="Value is calculated with prices",(IF(SUMIFS(Q:Q,A:A,A1977)&gt;0,SUMIFS(Q:Q,A:A,A1977),"."))/VLOOKUP("USD",'Exchange Rates'!B:C,2,0),"Error with coding"))),"")</f>
        <v>.</v>
      </c>
      <c r="U1977" s="1184" t="s">
        <v>675</v>
      </c>
      <c r="V1977" s="971" t="s">
        <v>930</v>
      </c>
      <c r="W1977" s="971" t="s">
        <v>4421</v>
      </c>
      <c r="X1977" s="1190" t="s">
        <v>364</v>
      </c>
      <c r="Y1977" s="1190" t="s">
        <v>364</v>
      </c>
      <c r="Z1977" s="1184">
        <v>0</v>
      </c>
      <c r="AA1977" s="1194">
        <v>0</v>
      </c>
      <c r="AB1977" s="1180" t="s">
        <v>364</v>
      </c>
      <c r="AC1977" s="1192" t="str">
        <f>""</f>
        <v/>
      </c>
      <c r="AD1977" s="1193">
        <v>1</v>
      </c>
      <c r="AE1977" s="1193" t="s">
        <v>368</v>
      </c>
      <c r="AF1977" s="1193" t="s">
        <v>369</v>
      </c>
      <c r="AG1977" s="1193">
        <v>1</v>
      </c>
      <c r="AH1977" s="1193">
        <v>5</v>
      </c>
      <c r="AI1977" s="1193">
        <v>0</v>
      </c>
      <c r="AJ1977" s="1193">
        <f>VLOOKUP($I1977,'Price List, Weapons &amp; Items'!B:F,5,0)</f>
        <v>0</v>
      </c>
      <c r="AK1977" s="1193">
        <f t="shared" si="417"/>
        <v>0</v>
      </c>
      <c r="AL1977" s="1193">
        <f t="shared" si="418"/>
        <v>0</v>
      </c>
      <c r="AM1977" s="1193">
        <f t="shared" si="419"/>
        <v>0</v>
      </c>
      <c r="AN1977" s="1194" t="str">
        <f>VLOOKUP($I1977,'Price List, Weapons &amp; Items'!B:L,COLUMN('Price List, Weapons &amp; Items'!$J$11)-1,0)</f>
        <v>.</v>
      </c>
      <c r="AO1977" s="1194" t="str">
        <f>IF(I1977=".",".",VLOOKUP($I1977,'Price List, Weapons &amp; Items'!B:J,3,0))</f>
        <v>.</v>
      </c>
      <c r="AP1977" s="1195" t="str">
        <f t="shared" ca="1" si="413"/>
        <v>.</v>
      </c>
      <c r="AQ1977" s="1194">
        <f>VLOOKUP($I1977,'Price List, Weapons &amp; Items'!B:L,COLUMN('Price List, Weapons &amp; Items'!$L$11)-1,0)</f>
        <v>0</v>
      </c>
      <c r="AR1977" s="1194">
        <f t="shared" si="420"/>
        <v>0</v>
      </c>
      <c r="AS1977" s="1194">
        <f t="shared" si="421"/>
        <v>0</v>
      </c>
      <c r="AT1977" s="1194">
        <f t="shared" si="422"/>
        <v>1</v>
      </c>
      <c r="AU1977" s="1194" t="str">
        <f t="shared" si="424"/>
        <v>.</v>
      </c>
      <c r="AV1977" s="1194" t="str">
        <f t="shared" si="414"/>
        <v>.</v>
      </c>
      <c r="AW1977" s="1194" t="str">
        <f t="shared" si="423"/>
        <v>.</v>
      </c>
      <c r="AX1977" s="1194">
        <f>IFERROR(VLOOKUP(B1977,'Share, Heavy Weapons to Ukraine'!B:Z,COLUMN('Share, Heavy Weapons to Ukraine'!C1985)-1,0),0)</f>
        <v>0</v>
      </c>
      <c r="AY1977" s="1194">
        <f>VLOOKUP('Bilateral Assistance, MAIN DATA'!B1977,'Country Summary (€)'!B:F,COLUMN('Country Summary (€)'!C1986)-1,FALSE)</f>
        <v>0</v>
      </c>
      <c r="AZ1977" s="1194" t="str">
        <f>IF(AND(AD1977=1,D1977="Military",H1977&lt;&gt;"Not given")=TRUE,IF(SUMIFS(P:P,A:A,A1977)&gt;0,ABS((SUMIFS(P:P,A:A,A1977)/VLOOKUP("USD",'Exchange Rates'!B:C,2,0)))/S1977,"."),".")</f>
        <v>.</v>
      </c>
      <c r="BA1977" s="1196" t="str">
        <f>IF(AND(AD1977=1,D1977="Military",H1977&lt;&gt;"Not given")=TRUE,IF(SUMIFS(P:P,A:A,A1977)&gt;0,IF((ABS((SUMIFS(P:P,A:A,A1977)/VLOOKUP("USD",'Exchange Rates'!B:C,2,0)))/S1977)&gt;1,(SUMIFS(P:P,A:A,A1977)-S1977)/S1977,(S1977-SUMIFS(P:P,A:A,A1977))/SUMIFS(P:P,A:A,A1977)),"."),".")</f>
        <v>.</v>
      </c>
    </row>
    <row r="1978" spans="1:53" ht="15.95" customHeight="1">
      <c r="A1978" s="1180" t="s">
        <v>4422</v>
      </c>
      <c r="B1978" s="1180" t="s">
        <v>4406</v>
      </c>
      <c r="C1978" s="1181">
        <v>44721</v>
      </c>
      <c r="D1978" s="1182" t="s">
        <v>360</v>
      </c>
      <c r="E1978" s="1182" t="s">
        <v>361</v>
      </c>
      <c r="F1978" s="1183" t="s">
        <v>4423</v>
      </c>
      <c r="G1978" s="1184" t="s">
        <v>483</v>
      </c>
      <c r="H1978" s="1185">
        <v>205000000</v>
      </c>
      <c r="I1978" s="1180" t="s">
        <v>364</v>
      </c>
      <c r="J1978" s="1186" t="str">
        <f>VLOOKUP($I1978,'Price List, Weapons &amp; Items'!B:C,2,0)</f>
        <v>.</v>
      </c>
      <c r="K1978" s="1186" t="str">
        <f>IF(I1978=".",I1978,VLOOKUP($I1978,'Price List, Weapons &amp; Items'!B:D,3,0))</f>
        <v>.</v>
      </c>
      <c r="L1978" s="1187">
        <f>VLOOKUP(I1978,'Price List, Weapons &amp; Items'!B:E,4,0)</f>
        <v>0</v>
      </c>
      <c r="M1978" s="1188" t="s">
        <v>364</v>
      </c>
      <c r="N1978" s="1188" t="s">
        <v>364</v>
      </c>
      <c r="O1978" s="1188" t="str">
        <f>VLOOKUP($I1978,'Price List, Weapons &amp; Items'!B:G,6,0)</f>
        <v>.</v>
      </c>
      <c r="P1978" s="1185" t="str">
        <f t="shared" si="415"/>
        <v>.</v>
      </c>
      <c r="Q1978" s="1185" t="str">
        <f t="shared" si="416"/>
        <v>.</v>
      </c>
      <c r="R1978" s="1185">
        <f t="shared" si="412"/>
        <v>205000000</v>
      </c>
      <c r="S1978" s="1185">
        <f>IF(AND(AD1978=1,R1978&lt;&gt;".")=TRUE,R1978/VLOOKUP(G1978,'Exchange Rates'!B:C,2,0),IF(R1978=".",".",""))</f>
        <v>205000000</v>
      </c>
      <c r="T1978" s="1185" t="str">
        <f>IF(AD1978=1,IF(AF1978="Value is not given at all",".",IF(AF1978="Value is given by the source",S1978,IF(AF1978="Value is calculated with prices",(IF(SUMIFS(Q:Q,A:A,A1978)&gt;0,SUMIFS(Q:Q,A:A,A1978),"."))/VLOOKUP("USD",'Exchange Rates'!B:C,2,0),"Error with coding"))),"")</f>
        <v>.</v>
      </c>
      <c r="U1978" s="1184" t="s">
        <v>365</v>
      </c>
      <c r="V1978" s="971" t="s">
        <v>4424</v>
      </c>
      <c r="W1978" s="971" t="s">
        <v>4421</v>
      </c>
      <c r="X1978" s="1190" t="s">
        <v>364</v>
      </c>
      <c r="Y1978" s="1190" t="s">
        <v>364</v>
      </c>
      <c r="Z1978" s="1184">
        <v>0</v>
      </c>
      <c r="AA1978" s="1194">
        <v>0</v>
      </c>
      <c r="AB1978" s="1180" t="s">
        <v>364</v>
      </c>
      <c r="AC1978" s="1192" t="str">
        <f>""</f>
        <v/>
      </c>
      <c r="AD1978" s="1193">
        <v>1</v>
      </c>
      <c r="AE1978" s="1193" t="s">
        <v>368</v>
      </c>
      <c r="AF1978" s="1193" t="s">
        <v>369</v>
      </c>
      <c r="AG1978" s="1193">
        <v>1</v>
      </c>
      <c r="AH1978" s="1193">
        <v>6</v>
      </c>
      <c r="AI1978" s="1193">
        <v>0</v>
      </c>
      <c r="AJ1978" s="1193">
        <f>VLOOKUP($I1978,'Price List, Weapons &amp; Items'!B:F,5,0)</f>
        <v>0</v>
      </c>
      <c r="AK1978" s="1193">
        <f t="shared" si="417"/>
        <v>0</v>
      </c>
      <c r="AL1978" s="1193">
        <f t="shared" si="418"/>
        <v>0</v>
      </c>
      <c r="AM1978" s="1193">
        <f t="shared" si="419"/>
        <v>0</v>
      </c>
      <c r="AN1978" s="1194" t="str">
        <f>VLOOKUP($I1978,'Price List, Weapons &amp; Items'!B:L,COLUMN('Price List, Weapons &amp; Items'!$J$11)-1,0)</f>
        <v>.</v>
      </c>
      <c r="AO1978" s="1194" t="str">
        <f>IF(I1978=".",".",VLOOKUP($I1978,'Price List, Weapons &amp; Items'!B:J,3,0))</f>
        <v>.</v>
      </c>
      <c r="AP1978" s="1195" t="str">
        <f t="shared" ca="1" si="413"/>
        <v>.</v>
      </c>
      <c r="AQ1978" s="1194">
        <f>VLOOKUP($I1978,'Price List, Weapons &amp; Items'!B:L,COLUMN('Price List, Weapons &amp; Items'!$L$11)-1,0)</f>
        <v>0</v>
      </c>
      <c r="AR1978" s="1194">
        <f t="shared" si="420"/>
        <v>1</v>
      </c>
      <c r="AS1978" s="1194">
        <f t="shared" si="421"/>
        <v>0</v>
      </c>
      <c r="AT1978" s="1194">
        <f t="shared" si="422"/>
        <v>1</v>
      </c>
      <c r="AU1978" s="1194" t="str">
        <f t="shared" si="424"/>
        <v>.</v>
      </c>
      <c r="AV1978" s="1194" t="str">
        <f t="shared" si="414"/>
        <v>.</v>
      </c>
      <c r="AW1978" s="1194" t="str">
        <f t="shared" si="423"/>
        <v>.</v>
      </c>
      <c r="AX1978" s="1194">
        <f>IFERROR(VLOOKUP(B1978,'Share, Heavy Weapons to Ukraine'!B:Z,COLUMN('Share, Heavy Weapons to Ukraine'!C1986)-1,0),0)</f>
        <v>0</v>
      </c>
      <c r="AY1978" s="1194">
        <f>VLOOKUP('Bilateral Assistance, MAIN DATA'!B1978,'Country Summary (€)'!B:F,COLUMN('Country Summary (€)'!C1987)-1,FALSE)</f>
        <v>0</v>
      </c>
      <c r="AZ1978" s="1194" t="str">
        <f>IF(AND(AD1978=1,D1978="Military",H1978&lt;&gt;"Not given")=TRUE,IF(SUMIFS(P:P,A:A,A1978)&gt;0,ABS((SUMIFS(P:P,A:A,A1978)/VLOOKUP("USD",'Exchange Rates'!B:C,2,0)))/S1978,"."),".")</f>
        <v>.</v>
      </c>
      <c r="BA1978" s="1196" t="str">
        <f>IF(AND(AD1978=1,D1978="Military",H1978&lt;&gt;"Not given")=TRUE,IF(SUMIFS(P:P,A:A,A1978)&gt;0,IF((ABS((SUMIFS(P:P,A:A,A1978)/VLOOKUP("USD",'Exchange Rates'!B:C,2,0)))/S1978)&gt;1,(SUMIFS(P:P,A:A,A1978)-S1978)/S1978,(S1978-SUMIFS(P:P,A:A,A1978))/SUMIFS(P:P,A:A,A1978)),"."),".")</f>
        <v>.</v>
      </c>
    </row>
    <row r="1979" spans="1:53" ht="15.95" customHeight="1">
      <c r="A1979" s="1180" t="s">
        <v>4425</v>
      </c>
      <c r="B1979" s="1180" t="s">
        <v>4406</v>
      </c>
      <c r="C1979" s="1181">
        <v>44853</v>
      </c>
      <c r="D1979" s="1182" t="s">
        <v>360</v>
      </c>
      <c r="E1979" s="1182" t="s">
        <v>361</v>
      </c>
      <c r="F1979" s="1183" t="s">
        <v>4426</v>
      </c>
      <c r="G1979" s="1184" t="s">
        <v>483</v>
      </c>
      <c r="H1979" s="1185">
        <v>150000000</v>
      </c>
      <c r="I1979" s="1180" t="s">
        <v>364</v>
      </c>
      <c r="J1979" s="1186" t="str">
        <f>VLOOKUP($I1979,'Price List, Weapons &amp; Items'!B:C,2,0)</f>
        <v>.</v>
      </c>
      <c r="K1979" s="1186" t="str">
        <f>IF(I1979=".",I1979,VLOOKUP($I1979,'Price List, Weapons &amp; Items'!B:D,3,0))</f>
        <v>.</v>
      </c>
      <c r="L1979" s="1187">
        <f>VLOOKUP(I1979,'Price List, Weapons &amp; Items'!B:E,4,0)</f>
        <v>0</v>
      </c>
      <c r="M1979" s="1188" t="s">
        <v>364</v>
      </c>
      <c r="N1979" s="1188" t="s">
        <v>364</v>
      </c>
      <c r="O1979" s="1188" t="str">
        <f>VLOOKUP($I1979,'Price List, Weapons &amp; Items'!B:G,6,0)</f>
        <v>.</v>
      </c>
      <c r="P1979" s="1185" t="str">
        <f t="shared" si="415"/>
        <v>.</v>
      </c>
      <c r="Q1979" s="1185" t="str">
        <f t="shared" si="416"/>
        <v>.</v>
      </c>
      <c r="R1979" s="1185">
        <f t="shared" si="412"/>
        <v>150000000</v>
      </c>
      <c r="S1979" s="1185">
        <f>IF(AND(AD1979=1,R1979&lt;&gt;".")=TRUE,R1979/VLOOKUP(G1979,'Exchange Rates'!B:C,2,0),IF(R1979=".",".",""))</f>
        <v>150000000</v>
      </c>
      <c r="T1979" s="1185" t="str">
        <f>IF(AD1979=1,IF(AF1979="Value is not given at all",".",IF(AF1979="Value is given by the source",S1979,IF(AF1979="Value is calculated with prices",(IF(SUMIFS(Q:Q,A:A,A1979)&gt;0,SUMIFS(Q:Q,A:A,A1979),"."))/VLOOKUP("USD",'Exchange Rates'!B:C,2,0),"Error with coding"))),"")</f>
        <v>.</v>
      </c>
      <c r="U1979" s="1184" t="s">
        <v>365</v>
      </c>
      <c r="V1979" s="971" t="s">
        <v>4427</v>
      </c>
      <c r="W1979" s="973" t="s">
        <v>4428</v>
      </c>
      <c r="X1979" s="1190" t="s">
        <v>364</v>
      </c>
      <c r="Y1979" s="1190" t="s">
        <v>364</v>
      </c>
      <c r="Z1979" s="1184">
        <v>0</v>
      </c>
      <c r="AA1979" s="1194">
        <v>0</v>
      </c>
      <c r="AB1979" s="1180" t="s">
        <v>364</v>
      </c>
      <c r="AC1979" s="1192" t="str">
        <f>""</f>
        <v/>
      </c>
      <c r="AD1979" s="1193">
        <v>1</v>
      </c>
      <c r="AE1979" s="1193" t="s">
        <v>368</v>
      </c>
      <c r="AF1979" s="1193" t="s">
        <v>369</v>
      </c>
      <c r="AG1979" s="1193">
        <v>1</v>
      </c>
      <c r="AH1979" s="1193">
        <v>10</v>
      </c>
      <c r="AI1979" s="1193">
        <v>0</v>
      </c>
      <c r="AJ1979" s="1193">
        <f>VLOOKUP($I1979,'Price List, Weapons &amp; Items'!B:F,5,0)</f>
        <v>0</v>
      </c>
      <c r="AK1979" s="1193">
        <f t="shared" si="417"/>
        <v>0</v>
      </c>
      <c r="AL1979" s="1193">
        <f t="shared" si="418"/>
        <v>0</v>
      </c>
      <c r="AM1979" s="1193">
        <f t="shared" si="419"/>
        <v>0</v>
      </c>
      <c r="AN1979" s="1194" t="str">
        <f>VLOOKUP($I1979,'Price List, Weapons &amp; Items'!B:L,COLUMN('Price List, Weapons &amp; Items'!$J$11)-1,0)</f>
        <v>.</v>
      </c>
      <c r="AO1979" s="1194" t="str">
        <f>IF(I1979=".",".",VLOOKUP($I1979,'Price List, Weapons &amp; Items'!B:J,3,0))</f>
        <v>.</v>
      </c>
      <c r="AP1979" s="1195" t="str">
        <f t="shared" ca="1" si="413"/>
        <v>.</v>
      </c>
      <c r="AQ1979" s="1194">
        <f>VLOOKUP($I1979,'Price List, Weapons &amp; Items'!B:L,COLUMN('Price List, Weapons &amp; Items'!$L$11)-1,0)</f>
        <v>0</v>
      </c>
      <c r="AR1979" s="1194">
        <f t="shared" si="420"/>
        <v>1</v>
      </c>
      <c r="AS1979" s="1194">
        <f t="shared" si="421"/>
        <v>0</v>
      </c>
      <c r="AT1979" s="1194">
        <f t="shared" si="422"/>
        <v>1</v>
      </c>
      <c r="AU1979" s="1194" t="str">
        <f t="shared" si="424"/>
        <v>.</v>
      </c>
      <c r="AV1979" s="1194" t="str">
        <f t="shared" si="414"/>
        <v>.</v>
      </c>
      <c r="AW1979" s="1194" t="str">
        <f t="shared" si="423"/>
        <v>.</v>
      </c>
      <c r="AX1979" s="1194">
        <f>IFERROR(VLOOKUP(B1979,'Share, Heavy Weapons to Ukraine'!B:Z,COLUMN('Share, Heavy Weapons to Ukraine'!C1987)-1,0),0)</f>
        <v>0</v>
      </c>
      <c r="AY1979" s="1194">
        <f>VLOOKUP('Bilateral Assistance, MAIN DATA'!B1979,'Country Summary (€)'!B:F,COLUMN('Country Summary (€)'!C1988)-1,FALSE)</f>
        <v>0</v>
      </c>
      <c r="AZ1979" s="1194" t="str">
        <f>IF(AND(AD1979=1,D1979="Military",H1979&lt;&gt;"Not given")=TRUE,IF(SUMIFS(P:P,A:A,A1979)&gt;0,ABS((SUMIFS(P:P,A:A,A1979)/VLOOKUP("USD",'Exchange Rates'!B:C,2,0)))/S1979,"."),".")</f>
        <v>.</v>
      </c>
      <c r="BA1979" s="1196" t="str">
        <f>IF(AND(AD1979=1,D1979="Military",H1979&lt;&gt;"Not given")=TRUE,IF(SUMIFS(P:P,A:A,A1979)&gt;0,IF((ABS((SUMIFS(P:P,A:A,A1979)/VLOOKUP("USD",'Exchange Rates'!B:C,2,0)))/S1979)&gt;1,(SUMIFS(P:P,A:A,A1979)-S1979)/S1979,(S1979-SUMIFS(P:P,A:A,A1979))/SUMIFS(P:P,A:A,A1979)),"."),".")</f>
        <v>.</v>
      </c>
    </row>
    <row r="1980" spans="1:53" ht="15.95" customHeight="1">
      <c r="A1980" s="1180" t="s">
        <v>4429</v>
      </c>
      <c r="B1980" s="1180" t="s">
        <v>4406</v>
      </c>
      <c r="C1980" s="1181">
        <v>44908</v>
      </c>
      <c r="D1980" s="1182" t="s">
        <v>360</v>
      </c>
      <c r="E1980" s="1182" t="s">
        <v>361</v>
      </c>
      <c r="F1980" s="1183" t="s">
        <v>4430</v>
      </c>
      <c r="G1980" s="1184" t="s">
        <v>483</v>
      </c>
      <c r="H1980" s="1185">
        <v>30000000</v>
      </c>
      <c r="I1980" s="1180" t="s">
        <v>364</v>
      </c>
      <c r="J1980" s="1186" t="str">
        <f>VLOOKUP($I1980,'Price List, Weapons &amp; Items'!B:C,2,0)</f>
        <v>.</v>
      </c>
      <c r="K1980" s="1186" t="str">
        <f>IF(I1980=".",I1980,VLOOKUP($I1980,'Price List, Weapons &amp; Items'!B:D,3,0))</f>
        <v>.</v>
      </c>
      <c r="L1980" s="1187">
        <f>VLOOKUP(I1980,'Price List, Weapons &amp; Items'!B:E,4,0)</f>
        <v>0</v>
      </c>
      <c r="M1980" s="1188" t="s">
        <v>364</v>
      </c>
      <c r="N1980" s="1188" t="s">
        <v>364</v>
      </c>
      <c r="O1980" s="1188" t="str">
        <f>VLOOKUP($I1980,'Price List, Weapons &amp; Items'!B:G,6,0)</f>
        <v>.</v>
      </c>
      <c r="P1980" s="1185" t="str">
        <f t="shared" si="415"/>
        <v>.</v>
      </c>
      <c r="Q1980" s="1185" t="str">
        <f t="shared" si="416"/>
        <v>.</v>
      </c>
      <c r="R1980" s="1185">
        <f t="shared" si="412"/>
        <v>30000000</v>
      </c>
      <c r="S1980" s="1185">
        <f>IF(AND(AD1980=1,R1980&lt;&gt;".")=TRUE,R1980/VLOOKUP(G1980,'Exchange Rates'!B:C,2,0),IF(R1980=".",".",""))</f>
        <v>30000000</v>
      </c>
      <c r="T1980" s="1185" t="str">
        <f>IF(AD1980=1,IF(AF1980="Value is not given at all",".",IF(AF1980="Value is given by the source",S1980,IF(AF1980="Value is calculated with prices",(IF(SUMIFS(Q:Q,A:A,A1980)&gt;0,SUMIFS(Q:Q,A:A,A1980),"."))/VLOOKUP("USD",'Exchange Rates'!B:C,2,0),"Error with coding"))),"")</f>
        <v>.</v>
      </c>
      <c r="U1980" s="1184" t="s">
        <v>365</v>
      </c>
      <c r="V1980" s="971" t="s">
        <v>4431</v>
      </c>
      <c r="W1980" s="973" t="s">
        <v>4432</v>
      </c>
      <c r="X1980" s="1190" t="s">
        <v>364</v>
      </c>
      <c r="Y1980" s="1190" t="s">
        <v>364</v>
      </c>
      <c r="Z1980" s="1184">
        <v>0</v>
      </c>
      <c r="AA1980" s="1191">
        <v>0</v>
      </c>
      <c r="AB1980" s="1180" t="s">
        <v>364</v>
      </c>
      <c r="AC1980" s="1192" t="str">
        <f>""</f>
        <v/>
      </c>
      <c r="AD1980" s="1193">
        <v>1</v>
      </c>
      <c r="AE1980" s="1193" t="s">
        <v>368</v>
      </c>
      <c r="AF1980" s="1193" t="s">
        <v>369</v>
      </c>
      <c r="AG1980" s="1193">
        <v>1</v>
      </c>
      <c r="AH1980" s="1193">
        <v>12</v>
      </c>
      <c r="AI1980" s="1193">
        <v>0</v>
      </c>
      <c r="AJ1980" s="1193">
        <f>VLOOKUP($I1980,'Price List, Weapons &amp; Items'!B:F,5,0)</f>
        <v>0</v>
      </c>
      <c r="AK1980" s="1193">
        <f t="shared" si="417"/>
        <v>0</v>
      </c>
      <c r="AL1980" s="1193">
        <f t="shared" si="418"/>
        <v>0</v>
      </c>
      <c r="AM1980" s="1193">
        <f t="shared" si="419"/>
        <v>0</v>
      </c>
      <c r="AN1980" s="1194" t="str">
        <f>VLOOKUP($I1980,'Price List, Weapons &amp; Items'!B:L,COLUMN('Price List, Weapons &amp; Items'!$J$11)-1,0)</f>
        <v>.</v>
      </c>
      <c r="AO1980" s="1194" t="str">
        <f>IF(I1980=".",".",VLOOKUP($I1980,'Price List, Weapons &amp; Items'!B:J,3,0))</f>
        <v>.</v>
      </c>
      <c r="AP1980" s="1195" t="str">
        <f t="shared" ca="1" si="413"/>
        <v>.</v>
      </c>
      <c r="AQ1980" s="1194">
        <f>VLOOKUP($I1980,'Price List, Weapons &amp; Items'!B:L,COLUMN('Price List, Weapons &amp; Items'!$L$11)-1,0)</f>
        <v>0</v>
      </c>
      <c r="AR1980" s="1194">
        <f t="shared" si="420"/>
        <v>1</v>
      </c>
      <c r="AS1980" s="1194">
        <f t="shared" si="421"/>
        <v>0</v>
      </c>
      <c r="AT1980" s="1194">
        <f t="shared" si="422"/>
        <v>1</v>
      </c>
      <c r="AU1980" s="1194" t="str">
        <f t="shared" si="424"/>
        <v>.</v>
      </c>
      <c r="AV1980" s="1194" t="str">
        <f t="shared" si="414"/>
        <v>.</v>
      </c>
      <c r="AW1980" s="1194" t="str">
        <f t="shared" si="423"/>
        <v>.</v>
      </c>
      <c r="AX1980" s="1194">
        <f>IFERROR(VLOOKUP(B1980,'Share, Heavy Weapons to Ukraine'!B:Z,COLUMN('Share, Heavy Weapons to Ukraine'!C1988)-1,0),0)</f>
        <v>0</v>
      </c>
      <c r="AY1980" s="1194">
        <f>VLOOKUP('Bilateral Assistance, MAIN DATA'!B1980,'Country Summary (€)'!B:F,COLUMN('Country Summary (€)'!C1989)-1,FALSE)</f>
        <v>0</v>
      </c>
      <c r="AZ1980" s="1194" t="str">
        <f>IF(AND(AD1980=1,D1980="Military",H1980&lt;&gt;"Not given")=TRUE,IF(SUMIFS(P:P,A:A,A1980)&gt;0,ABS((SUMIFS(P:P,A:A,A1980)/VLOOKUP("USD",'Exchange Rates'!B:C,2,0)))/S1980,"."),".")</f>
        <v>.</v>
      </c>
      <c r="BA1980" s="1196" t="str">
        <f>IF(AND(AD1980=1,D1980="Military",H1980&lt;&gt;"Not given")=TRUE,IF(SUMIFS(P:P,A:A,A1980)&gt;0,IF((ABS((SUMIFS(P:P,A:A,A1980)/VLOOKUP("USD",'Exchange Rates'!B:C,2,0)))/S1980)&gt;1,(SUMIFS(P:P,A:A,A1980)-S1980)/S1980,(S1980-SUMIFS(P:P,A:A,A1980))/SUMIFS(P:P,A:A,A1980)),"."),".")</f>
        <v>.</v>
      </c>
    </row>
    <row r="1981" spans="1:53" ht="15.95" customHeight="1">
      <c r="A1981" s="1180" t="s">
        <v>4433</v>
      </c>
      <c r="B1981" s="1180" t="s">
        <v>4406</v>
      </c>
      <c r="C1981" s="1181">
        <v>44959</v>
      </c>
      <c r="D1981" s="1182" t="s">
        <v>360</v>
      </c>
      <c r="E1981" s="1182" t="s">
        <v>361</v>
      </c>
      <c r="F1981" s="1183" t="s">
        <v>4434</v>
      </c>
      <c r="G1981" s="1184" t="s">
        <v>483</v>
      </c>
      <c r="H1981" s="1185">
        <v>10000000</v>
      </c>
      <c r="I1981" s="1180" t="s">
        <v>364</v>
      </c>
      <c r="J1981" s="1186" t="str">
        <f>VLOOKUP($I1981,'Price List, Weapons &amp; Items'!B:C,2,0)</f>
        <v>.</v>
      </c>
      <c r="K1981" s="1186" t="str">
        <f>IF(I1981=".",I1981,VLOOKUP($I1981,'Price List, Weapons &amp; Items'!B:D,3,0))</f>
        <v>.</v>
      </c>
      <c r="L1981" s="1187">
        <f>VLOOKUP(I1981,'Price List, Weapons &amp; Items'!B:E,4,0)</f>
        <v>0</v>
      </c>
      <c r="M1981" s="1188" t="s">
        <v>364</v>
      </c>
      <c r="N1981" s="1188" t="s">
        <v>364</v>
      </c>
      <c r="O1981" s="1188" t="str">
        <f>VLOOKUP($I1981,'Price List, Weapons &amp; Items'!B:G,6,0)</f>
        <v>.</v>
      </c>
      <c r="P1981" s="1185" t="str">
        <f t="shared" si="415"/>
        <v>.</v>
      </c>
      <c r="Q1981" s="1185" t="str">
        <f t="shared" si="416"/>
        <v>.</v>
      </c>
      <c r="R1981" s="1185">
        <f t="shared" si="412"/>
        <v>10000000</v>
      </c>
      <c r="S1981" s="1185">
        <f>IF(AND(AD1981=1,R1981&lt;&gt;".")=TRUE,R1981/VLOOKUP(G1981,'Exchange Rates'!B:C,2,0),IF(R1981=".",".",""))</f>
        <v>10000000</v>
      </c>
      <c r="T1981" s="1185" t="str">
        <f>IF(AD1981=1,IF(AF1981="Value is not given at all",".",IF(AF1981="Value is given by the source",S1981,IF(AF1981="Value is calculated with prices",(IF(SUMIFS(Q:Q,A:A,A1981)&gt;0,SUMIFS(Q:Q,A:A,A1981),"."))/VLOOKUP("USD",'Exchange Rates'!B:C,2,0),"Error with coding"))),"")</f>
        <v>.</v>
      </c>
      <c r="U1981" s="1184" t="s">
        <v>365</v>
      </c>
      <c r="V1981" s="973" t="s">
        <v>4435</v>
      </c>
      <c r="W1981" s="973" t="s">
        <v>4436</v>
      </c>
      <c r="X1981" s="1190" t="s">
        <v>364</v>
      </c>
      <c r="Y1981" s="1190" t="s">
        <v>364</v>
      </c>
      <c r="Z1981" s="1184">
        <v>0</v>
      </c>
      <c r="AA1981" s="1191">
        <v>0</v>
      </c>
      <c r="AB1981" s="1180" t="s">
        <v>364</v>
      </c>
      <c r="AC1981" s="1192" t="str">
        <f>""</f>
        <v/>
      </c>
      <c r="AD1981" s="1193">
        <v>1</v>
      </c>
      <c r="AE1981" s="1193" t="s">
        <v>368</v>
      </c>
      <c r="AF1981" s="1193" t="s">
        <v>369</v>
      </c>
      <c r="AG1981" s="1193">
        <v>1</v>
      </c>
      <c r="AH1981" s="1193">
        <v>14</v>
      </c>
      <c r="AI1981" s="1193">
        <v>0</v>
      </c>
      <c r="AJ1981" s="1193">
        <f>VLOOKUP($I1981,'Price List, Weapons &amp; Items'!B:F,5,0)</f>
        <v>0</v>
      </c>
      <c r="AK1981" s="1193">
        <f t="shared" si="417"/>
        <v>0</v>
      </c>
      <c r="AL1981" s="1193">
        <f t="shared" si="418"/>
        <v>0</v>
      </c>
      <c r="AM1981" s="1193">
        <f t="shared" si="419"/>
        <v>0</v>
      </c>
      <c r="AN1981" s="1194" t="str">
        <f>VLOOKUP($I1981,'Price List, Weapons &amp; Items'!B:L,COLUMN('Price List, Weapons &amp; Items'!$J$11)-1,0)</f>
        <v>.</v>
      </c>
      <c r="AO1981" s="1194" t="str">
        <f>IF(I1981=".",".",VLOOKUP($I1981,'Price List, Weapons &amp; Items'!B:J,3,0))</f>
        <v>.</v>
      </c>
      <c r="AP1981" s="1195" t="str">
        <f t="shared" ca="1" si="413"/>
        <v>.</v>
      </c>
      <c r="AQ1981" s="1194">
        <f>VLOOKUP($I1981,'Price List, Weapons &amp; Items'!B:L,COLUMN('Price List, Weapons &amp; Items'!$L$11)-1,0)</f>
        <v>0</v>
      </c>
      <c r="AR1981" s="1194">
        <f t="shared" si="420"/>
        <v>1</v>
      </c>
      <c r="AS1981" s="1194">
        <f t="shared" si="421"/>
        <v>0</v>
      </c>
      <c r="AT1981" s="1194">
        <f t="shared" si="422"/>
        <v>1</v>
      </c>
      <c r="AU1981" s="1194" t="str">
        <f t="shared" si="424"/>
        <v>.</v>
      </c>
      <c r="AV1981" s="1194" t="str">
        <f t="shared" si="414"/>
        <v>.</v>
      </c>
      <c r="AW1981" s="1194" t="str">
        <f t="shared" si="423"/>
        <v>.</v>
      </c>
      <c r="AX1981" s="1194">
        <f>IFERROR(VLOOKUP(B1981,'Share, Heavy Weapons to Ukraine'!B:Z,COLUMN('Share, Heavy Weapons to Ukraine'!C1989)-1,0),0)</f>
        <v>0</v>
      </c>
      <c r="AY1981" s="1194">
        <f>VLOOKUP('Bilateral Assistance, MAIN DATA'!B1981,'Country Summary (€)'!B:F,COLUMN('Country Summary (€)'!C1990)-1,FALSE)</f>
        <v>0</v>
      </c>
      <c r="AZ1981" s="1194" t="str">
        <f>IF(AND(AD1981=1,D1981="Military",H1981&lt;&gt;"Not given")=TRUE,IF(SUMIFS(P:P,A:A,A1981)&gt;0,ABS((SUMIFS(P:P,A:A,A1981)/VLOOKUP("USD",'Exchange Rates'!B:C,2,0)))/S1981,"."),".")</f>
        <v>.</v>
      </c>
      <c r="BA1981" s="1196" t="str">
        <f>IF(AND(AD1981=1,D1981="Military",H1981&lt;&gt;"Not given")=TRUE,IF(SUMIFS(P:P,A:A,A1981)&gt;0,IF((ABS((SUMIFS(P:P,A:A,A1981)/VLOOKUP("USD",'Exchange Rates'!B:C,2,0)))/S1981)&gt;1,(SUMIFS(P:P,A:A,A1981)-S1981)/S1981,(S1981-SUMIFS(P:P,A:A,A1981))/SUMIFS(P:P,A:A,A1981)),"."),".")</f>
        <v>.</v>
      </c>
    </row>
    <row r="1982" spans="1:53" ht="15.95" customHeight="1">
      <c r="A1982" s="1180" t="s">
        <v>4437</v>
      </c>
      <c r="B1982" s="1180" t="s">
        <v>4406</v>
      </c>
      <c r="C1982" s="1181">
        <v>44959</v>
      </c>
      <c r="D1982" s="1182" t="s">
        <v>360</v>
      </c>
      <c r="E1982" s="1182" t="s">
        <v>361</v>
      </c>
      <c r="F1982" s="1183" t="s">
        <v>4438</v>
      </c>
      <c r="G1982" s="1184" t="s">
        <v>483</v>
      </c>
      <c r="H1982" s="1185">
        <v>145000000</v>
      </c>
      <c r="I1982" s="1180" t="s">
        <v>364</v>
      </c>
      <c r="J1982" s="1186" t="str">
        <f>VLOOKUP($I1982,'Price List, Weapons &amp; Items'!B:C,2,0)</f>
        <v>.</v>
      </c>
      <c r="K1982" s="1186" t="str">
        <f>IF(I1982=".",I1982,VLOOKUP($I1982,'Price List, Weapons &amp; Items'!B:D,3,0))</f>
        <v>.</v>
      </c>
      <c r="L1982" s="1187">
        <f>VLOOKUP(I1982,'Price List, Weapons &amp; Items'!B:E,4,0)</f>
        <v>0</v>
      </c>
      <c r="M1982" s="1188" t="s">
        <v>364</v>
      </c>
      <c r="N1982" s="1188" t="s">
        <v>364</v>
      </c>
      <c r="O1982" s="1188" t="str">
        <f>VLOOKUP($I1982,'Price List, Weapons &amp; Items'!B:G,6,0)</f>
        <v>.</v>
      </c>
      <c r="P1982" s="1185" t="str">
        <f t="shared" si="415"/>
        <v>.</v>
      </c>
      <c r="Q1982" s="1185" t="str">
        <f t="shared" si="416"/>
        <v>.</v>
      </c>
      <c r="R1982" s="1185">
        <f t="shared" si="412"/>
        <v>145000000</v>
      </c>
      <c r="S1982" s="1185">
        <f>IF(AND(AD1982=1,R1982&lt;&gt;".")=TRUE,R1982/VLOOKUP(G1982,'Exchange Rates'!B:C,2,0),IF(R1982=".",".",""))</f>
        <v>145000000</v>
      </c>
      <c r="T1982" s="1185" t="str">
        <f>IF(AD1982=1,IF(AF1982="Value is not given at all",".",IF(AF1982="Value is given by the source",S1982,IF(AF1982="Value is calculated with prices",(IF(SUMIFS(Q:Q,A:A,A1982)&gt;0,SUMIFS(Q:Q,A:A,A1982),"."))/VLOOKUP("USD",'Exchange Rates'!B:C,2,0),"Error with coding"))),"")</f>
        <v>.</v>
      </c>
      <c r="U1982" s="1184" t="s">
        <v>365</v>
      </c>
      <c r="V1982" s="973" t="s">
        <v>4439</v>
      </c>
      <c r="W1982" s="973" t="s">
        <v>4440</v>
      </c>
      <c r="X1982" s="1190" t="s">
        <v>364</v>
      </c>
      <c r="Y1982" s="1190" t="s">
        <v>364</v>
      </c>
      <c r="Z1982" s="1184">
        <v>0</v>
      </c>
      <c r="AA1982" s="1191">
        <v>1</v>
      </c>
      <c r="AB1982" s="1180" t="s">
        <v>364</v>
      </c>
      <c r="AC1982" s="1192" t="str">
        <f>""</f>
        <v/>
      </c>
      <c r="AD1982" s="1193">
        <v>1</v>
      </c>
      <c r="AE1982" s="1193" t="s">
        <v>368</v>
      </c>
      <c r="AF1982" s="1193" t="s">
        <v>369</v>
      </c>
      <c r="AG1982" s="1193">
        <v>1</v>
      </c>
      <c r="AH1982" s="1193">
        <v>14</v>
      </c>
      <c r="AI1982" s="1193">
        <v>0</v>
      </c>
      <c r="AJ1982" s="1193">
        <f>VLOOKUP($I1982,'Price List, Weapons &amp; Items'!B:F,5,0)</f>
        <v>0</v>
      </c>
      <c r="AK1982" s="1193">
        <f t="shared" si="417"/>
        <v>0</v>
      </c>
      <c r="AL1982" s="1193">
        <f t="shared" si="418"/>
        <v>0</v>
      </c>
      <c r="AM1982" s="1193">
        <f t="shared" si="419"/>
        <v>0</v>
      </c>
      <c r="AN1982" s="1194" t="str">
        <f>VLOOKUP($I1982,'Price List, Weapons &amp; Items'!B:L,COLUMN('Price List, Weapons &amp; Items'!$J$11)-1,0)</f>
        <v>.</v>
      </c>
      <c r="AO1982" s="1194" t="str">
        <f>IF(I1982=".",".",VLOOKUP($I1982,'Price List, Weapons &amp; Items'!B:J,3,0))</f>
        <v>.</v>
      </c>
      <c r="AP1982" s="1195" t="str">
        <f t="shared" ca="1" si="413"/>
        <v>.</v>
      </c>
      <c r="AQ1982" s="1194">
        <f>VLOOKUP($I1982,'Price List, Weapons &amp; Items'!B:L,COLUMN('Price List, Weapons &amp; Items'!$L$11)-1,0)</f>
        <v>0</v>
      </c>
      <c r="AR1982" s="1194">
        <f t="shared" si="420"/>
        <v>1</v>
      </c>
      <c r="AS1982" s="1194">
        <f t="shared" si="421"/>
        <v>0</v>
      </c>
      <c r="AT1982" s="1194">
        <f t="shared" si="422"/>
        <v>1</v>
      </c>
      <c r="AU1982" s="1194" t="str">
        <f t="shared" si="424"/>
        <v>.</v>
      </c>
      <c r="AV1982" s="1194" t="str">
        <f t="shared" si="414"/>
        <v>.</v>
      </c>
      <c r="AW1982" s="1194" t="str">
        <f t="shared" si="423"/>
        <v>.</v>
      </c>
      <c r="AX1982" s="1194">
        <f>IFERROR(VLOOKUP(B1982,'Share, Heavy Weapons to Ukraine'!B:Z,COLUMN('Share, Heavy Weapons to Ukraine'!C1990)-1,0),0)</f>
        <v>0</v>
      </c>
      <c r="AY1982" s="1194">
        <f>VLOOKUP('Bilateral Assistance, MAIN DATA'!B1982,'Country Summary (€)'!B:F,COLUMN('Country Summary (€)'!C1991)-1,FALSE)</f>
        <v>0</v>
      </c>
      <c r="AZ1982" s="1194" t="str">
        <f>IF(AND(AD1982=1,D1982="Military",H1982&lt;&gt;"Not given")=TRUE,IF(SUMIFS(P:P,A:A,A1982)&gt;0,ABS((SUMIFS(P:P,A:A,A1982)/VLOOKUP("USD",'Exchange Rates'!B:C,2,0)))/S1982,"."),".")</f>
        <v>.</v>
      </c>
      <c r="BA1982" s="1196" t="str">
        <f>IF(AND(AD1982=1,D1982="Military",H1982&lt;&gt;"Not given")=TRUE,IF(SUMIFS(P:P,A:A,A1982)&gt;0,IF((ABS((SUMIFS(P:P,A:A,A1982)/VLOOKUP("USD",'Exchange Rates'!B:C,2,0)))/S1982)&gt;1,(SUMIFS(P:P,A:A,A1982)-S1982)/S1982,(S1982-SUMIFS(P:P,A:A,A1982))/SUMIFS(P:P,A:A,A1982)),"."),".")</f>
        <v>.</v>
      </c>
    </row>
    <row r="1983" spans="1:53" ht="15.95" customHeight="1">
      <c r="A1983" s="1180" t="s">
        <v>4441</v>
      </c>
      <c r="B1983" s="1180" t="s">
        <v>4406</v>
      </c>
      <c r="C1983" s="1181">
        <v>44959</v>
      </c>
      <c r="D1983" s="1182" t="s">
        <v>360</v>
      </c>
      <c r="E1983" s="1182" t="s">
        <v>361</v>
      </c>
      <c r="F1983" s="1183" t="s">
        <v>4442</v>
      </c>
      <c r="G1983" s="1184" t="s">
        <v>483</v>
      </c>
      <c r="H1983" s="1185">
        <v>305000000</v>
      </c>
      <c r="I1983" s="1180" t="s">
        <v>364</v>
      </c>
      <c r="J1983" s="1186" t="str">
        <f>VLOOKUP($I1983,'Price List, Weapons &amp; Items'!B:C,2,0)</f>
        <v>.</v>
      </c>
      <c r="K1983" s="1186" t="str">
        <f>IF(I1983=".",I1983,VLOOKUP($I1983,'Price List, Weapons &amp; Items'!B:D,3,0))</f>
        <v>.</v>
      </c>
      <c r="L1983" s="1187">
        <f>VLOOKUP(I1983,'Price List, Weapons &amp; Items'!B:E,4,0)</f>
        <v>0</v>
      </c>
      <c r="M1983" s="1188" t="s">
        <v>364</v>
      </c>
      <c r="N1983" s="1188" t="s">
        <v>364</v>
      </c>
      <c r="O1983" s="1188" t="str">
        <f>VLOOKUP($I1983,'Price List, Weapons &amp; Items'!B:G,6,0)</f>
        <v>.</v>
      </c>
      <c r="P1983" s="1185" t="str">
        <f t="shared" si="415"/>
        <v>.</v>
      </c>
      <c r="Q1983" s="1185" t="str">
        <f t="shared" si="416"/>
        <v>.</v>
      </c>
      <c r="R1983" s="1185">
        <f t="shared" si="412"/>
        <v>305000000</v>
      </c>
      <c r="S1983" s="1185">
        <f>IF(AND(AD1983=1,R1983&lt;&gt;".")=TRUE,R1983/VLOOKUP(G1983,'Exchange Rates'!B:C,2,0),IF(R1983=".",".",""))</f>
        <v>305000000</v>
      </c>
      <c r="T1983" s="1185" t="str">
        <f>IF(AD1983=1,IF(AF1983="Value is not given at all",".",IF(AF1983="Value is given by the source",S1983,IF(AF1983="Value is calculated with prices",(IF(SUMIFS(Q:Q,A:A,A1983)&gt;0,SUMIFS(Q:Q,A:A,A1983),"."))/VLOOKUP("USD",'Exchange Rates'!B:C,2,0),"Error with coding"))),"")</f>
        <v>.</v>
      </c>
      <c r="U1983" s="1184" t="s">
        <v>365</v>
      </c>
      <c r="V1983" s="973" t="s">
        <v>4439</v>
      </c>
      <c r="W1983" s="973" t="s">
        <v>4440</v>
      </c>
      <c r="X1983" s="1190" t="s">
        <v>364</v>
      </c>
      <c r="Y1983" s="1190" t="s">
        <v>364</v>
      </c>
      <c r="Z1983" s="1184">
        <v>0</v>
      </c>
      <c r="AA1983" s="1191">
        <v>1</v>
      </c>
      <c r="AB1983" s="1180" t="s">
        <v>364</v>
      </c>
      <c r="AC1983" s="1192" t="str">
        <f>""</f>
        <v/>
      </c>
      <c r="AD1983" s="1193">
        <v>1</v>
      </c>
      <c r="AE1983" s="1193" t="s">
        <v>368</v>
      </c>
      <c r="AF1983" s="1193" t="s">
        <v>369</v>
      </c>
      <c r="AG1983" s="1193">
        <v>1</v>
      </c>
      <c r="AH1983" s="1193">
        <v>14</v>
      </c>
      <c r="AI1983" s="1193">
        <v>0</v>
      </c>
      <c r="AJ1983" s="1193">
        <f>VLOOKUP($I1983,'Price List, Weapons &amp; Items'!B:F,5,0)</f>
        <v>0</v>
      </c>
      <c r="AK1983" s="1193">
        <f t="shared" si="417"/>
        <v>0</v>
      </c>
      <c r="AL1983" s="1193">
        <f t="shared" si="418"/>
        <v>0</v>
      </c>
      <c r="AM1983" s="1193">
        <f t="shared" si="419"/>
        <v>0</v>
      </c>
      <c r="AN1983" s="1194" t="str">
        <f>VLOOKUP($I1983,'Price List, Weapons &amp; Items'!B:L,COLUMN('Price List, Weapons &amp; Items'!$J$11)-1,0)</f>
        <v>.</v>
      </c>
      <c r="AO1983" s="1194" t="str">
        <f>IF(I1983=".",".",VLOOKUP($I1983,'Price List, Weapons &amp; Items'!B:J,3,0))</f>
        <v>.</v>
      </c>
      <c r="AP1983" s="1195" t="str">
        <f t="shared" ca="1" si="413"/>
        <v>.</v>
      </c>
      <c r="AQ1983" s="1194">
        <f>VLOOKUP($I1983,'Price List, Weapons &amp; Items'!B:L,COLUMN('Price List, Weapons &amp; Items'!$L$11)-1,0)</f>
        <v>0</v>
      </c>
      <c r="AR1983" s="1194">
        <f t="shared" si="420"/>
        <v>1</v>
      </c>
      <c r="AS1983" s="1194">
        <f t="shared" si="421"/>
        <v>0</v>
      </c>
      <c r="AT1983" s="1194">
        <f t="shared" si="422"/>
        <v>1</v>
      </c>
      <c r="AU1983" s="1194" t="str">
        <f t="shared" ref="AU1983:AU2000" si="425">IF(AND(A1983=A1982,C1983=C1982)=TRUE,IF(F1983=F1982,".","1"),".")</f>
        <v>.</v>
      </c>
      <c r="AV1983" s="1194" t="str">
        <f t="shared" si="414"/>
        <v>.</v>
      </c>
      <c r="AW1983" s="1194" t="str">
        <f t="shared" si="423"/>
        <v>.</v>
      </c>
      <c r="AX1983" s="1194">
        <f>IFERROR(VLOOKUP(B1983,'Share, Heavy Weapons to Ukraine'!B:Z,COLUMN('Share, Heavy Weapons to Ukraine'!C1991)-1,0),0)</f>
        <v>0</v>
      </c>
      <c r="AY1983" s="1194">
        <f>VLOOKUP('Bilateral Assistance, MAIN DATA'!B1983,'Country Summary (€)'!B:F,COLUMN('Country Summary (€)'!C1992)-1,FALSE)</f>
        <v>0</v>
      </c>
      <c r="AZ1983" s="1194" t="str">
        <f>IF(AND(AD1983=1,D1983="Military",H1983&lt;&gt;"Not given")=TRUE,IF(SUMIFS(P:P,A:A,A1983)&gt;0,ABS((SUMIFS(P:P,A:A,A1983)/VLOOKUP("USD",'Exchange Rates'!B:C,2,0)))/S1983,"."),".")</f>
        <v>.</v>
      </c>
      <c r="BA1983" s="1196" t="str">
        <f>IF(AND(AD1983=1,D1983="Military",H1983&lt;&gt;"Not given")=TRUE,IF(SUMIFS(P:P,A:A,A1983)&gt;0,IF((ABS((SUMIFS(P:P,A:A,A1983)/VLOOKUP("USD",'Exchange Rates'!B:C,2,0)))/S1983)&gt;1,(SUMIFS(P:P,A:A,A1983)-S1983)/S1983,(S1983-SUMIFS(P:P,A:A,A1983))/SUMIFS(P:P,A:A,A1983)),"."),".")</f>
        <v>.</v>
      </c>
    </row>
    <row r="1984" spans="1:53" ht="15.95" customHeight="1">
      <c r="A1984" s="1180" t="s">
        <v>4443</v>
      </c>
      <c r="B1984" s="1180" t="s">
        <v>4406</v>
      </c>
      <c r="C1984" s="1181">
        <v>44960</v>
      </c>
      <c r="D1984" s="1182" t="s">
        <v>360</v>
      </c>
      <c r="E1984" s="1182" t="s">
        <v>361</v>
      </c>
      <c r="F1984" s="1183" t="s">
        <v>4444</v>
      </c>
      <c r="G1984" s="1184" t="s">
        <v>483</v>
      </c>
      <c r="H1984" s="1185">
        <v>25000000</v>
      </c>
      <c r="I1984" s="1180" t="s">
        <v>364</v>
      </c>
      <c r="J1984" s="1186" t="str">
        <f>VLOOKUP($I1984,'Price List, Weapons &amp; Items'!B:C,2,0)</f>
        <v>.</v>
      </c>
      <c r="K1984" s="1186" t="str">
        <f>IF(I1984=".",I1984,VLOOKUP($I1984,'Price List, Weapons &amp; Items'!B:D,3,0))</f>
        <v>.</v>
      </c>
      <c r="L1984" s="1187">
        <f>VLOOKUP(I1984,'Price List, Weapons &amp; Items'!B:E,4,0)</f>
        <v>0</v>
      </c>
      <c r="M1984" s="1188" t="s">
        <v>364</v>
      </c>
      <c r="N1984" s="1188" t="s">
        <v>364</v>
      </c>
      <c r="O1984" s="1188" t="str">
        <f>VLOOKUP($I1984,'Price List, Weapons &amp; Items'!B:G,6,0)</f>
        <v>.</v>
      </c>
      <c r="P1984" s="1185" t="str">
        <f t="shared" si="415"/>
        <v>.</v>
      </c>
      <c r="Q1984" s="1185" t="str">
        <f t="shared" si="416"/>
        <v>.</v>
      </c>
      <c r="R1984" s="1185">
        <f t="shared" si="412"/>
        <v>25000000</v>
      </c>
      <c r="S1984" s="1185">
        <f>IF(AND(AD1984=1,R1984&lt;&gt;".")=TRUE,R1984/VLOOKUP(G1984,'Exchange Rates'!B:C,2,0),IF(R1984=".",".",""))</f>
        <v>25000000</v>
      </c>
      <c r="T1984" s="1185" t="str">
        <f>IF(AD1984=1,IF(AF1984="Value is not given at all",".",IF(AF1984="Value is given by the source",S1984,IF(AF1984="Value is calculated with prices",(IF(SUMIFS(Q:Q,A:A,A1984)&gt;0,SUMIFS(Q:Q,A:A,A1984),"."))/VLOOKUP("USD",'Exchange Rates'!B:C,2,0),"Error with coding"))),"")</f>
        <v>.</v>
      </c>
      <c r="U1984" s="1184" t="s">
        <v>365</v>
      </c>
      <c r="V1984" s="973" t="s">
        <v>4445</v>
      </c>
      <c r="W1984" s="973" t="s">
        <v>4446</v>
      </c>
      <c r="X1984" s="1190" t="s">
        <v>364</v>
      </c>
      <c r="Y1984" s="1190" t="s">
        <v>364</v>
      </c>
      <c r="Z1984" s="1184">
        <v>0</v>
      </c>
      <c r="AA1984" s="1191">
        <v>1</v>
      </c>
      <c r="AB1984" s="1180" t="s">
        <v>364</v>
      </c>
      <c r="AC1984" s="1192" t="str">
        <f>""</f>
        <v/>
      </c>
      <c r="AD1984" s="1193">
        <v>1</v>
      </c>
      <c r="AE1984" s="1193" t="s">
        <v>368</v>
      </c>
      <c r="AF1984" s="1193" t="s">
        <v>369</v>
      </c>
      <c r="AG1984" s="1193">
        <v>1</v>
      </c>
      <c r="AH1984" s="1193">
        <v>14</v>
      </c>
      <c r="AI1984" s="1193">
        <v>0</v>
      </c>
      <c r="AJ1984" s="1193">
        <f>VLOOKUP($I1984,'Price List, Weapons &amp; Items'!B:F,5,0)</f>
        <v>0</v>
      </c>
      <c r="AK1984" s="1193">
        <f t="shared" si="417"/>
        <v>0</v>
      </c>
      <c r="AL1984" s="1193">
        <f t="shared" si="418"/>
        <v>0</v>
      </c>
      <c r="AM1984" s="1193">
        <f t="shared" si="419"/>
        <v>0</v>
      </c>
      <c r="AN1984" s="1194" t="str">
        <f>VLOOKUP($I1984,'Price List, Weapons &amp; Items'!B:L,COLUMN('Price List, Weapons &amp; Items'!$J$11)-1,0)</f>
        <v>.</v>
      </c>
      <c r="AO1984" s="1194" t="str">
        <f>IF(I1984=".",".",VLOOKUP($I1984,'Price List, Weapons &amp; Items'!B:J,3,0))</f>
        <v>.</v>
      </c>
      <c r="AP1984" s="1195" t="str">
        <f t="shared" ca="1" si="413"/>
        <v>.</v>
      </c>
      <c r="AQ1984" s="1194">
        <f>VLOOKUP($I1984,'Price List, Weapons &amp; Items'!B:L,COLUMN('Price List, Weapons &amp; Items'!$L$11)-1,0)</f>
        <v>0</v>
      </c>
      <c r="AR1984" s="1194">
        <f t="shared" si="420"/>
        <v>1</v>
      </c>
      <c r="AS1984" s="1194">
        <f t="shared" si="421"/>
        <v>0</v>
      </c>
      <c r="AT1984" s="1194">
        <f t="shared" si="422"/>
        <v>1</v>
      </c>
      <c r="AU1984" s="1194" t="str">
        <f t="shared" si="425"/>
        <v>.</v>
      </c>
      <c r="AV1984" s="1194" t="str">
        <f t="shared" si="414"/>
        <v>.</v>
      </c>
      <c r="AW1984" s="1194" t="str">
        <f t="shared" si="423"/>
        <v>.</v>
      </c>
      <c r="AX1984" s="1194">
        <f>IFERROR(VLOOKUP(B1984,'Share, Heavy Weapons to Ukraine'!B:Z,COLUMN('Share, Heavy Weapons to Ukraine'!C1992)-1,0),0)</f>
        <v>0</v>
      </c>
      <c r="AY1984" s="1194">
        <f>VLOOKUP('Bilateral Assistance, MAIN DATA'!B1984,'Country Summary (€)'!B:F,COLUMN('Country Summary (€)'!C1993)-1,FALSE)</f>
        <v>0</v>
      </c>
      <c r="AZ1984" s="1194" t="str">
        <f>IF(AND(AD1984=1,D1984="Military",H1984&lt;&gt;"Not given")=TRUE,IF(SUMIFS(P:P,A:A,A1984)&gt;0,ABS((SUMIFS(P:P,A:A,A1984)/VLOOKUP("USD",'Exchange Rates'!B:C,2,0)))/S1984,"."),".")</f>
        <v>.</v>
      </c>
      <c r="BA1984" s="1196" t="str">
        <f>IF(AND(AD1984=1,D1984="Military",H1984&lt;&gt;"Not given")=TRUE,IF(SUMIFS(P:P,A:A,A1984)&gt;0,IF((ABS((SUMIFS(P:P,A:A,A1984)/VLOOKUP("USD",'Exchange Rates'!B:C,2,0)))/S1984)&gt;1,(SUMIFS(P:P,A:A,A1984)-S1984)/S1984,(S1984-SUMIFS(P:P,A:A,A1984))/SUMIFS(P:P,A:A,A1984)),"."),".")</f>
        <v>.</v>
      </c>
    </row>
    <row r="1985" spans="1:53" ht="15.95" customHeight="1">
      <c r="A1985" s="1180" t="s">
        <v>4447</v>
      </c>
      <c r="B1985" s="1180" t="s">
        <v>4406</v>
      </c>
      <c r="C1985" s="1181">
        <v>45036</v>
      </c>
      <c r="D1985" s="1182" t="s">
        <v>360</v>
      </c>
      <c r="E1985" s="1182" t="s">
        <v>361</v>
      </c>
      <c r="F1985" s="1183" t="s">
        <v>4448</v>
      </c>
      <c r="G1985" s="1184" t="s">
        <v>483</v>
      </c>
      <c r="H1985" s="1185">
        <v>55000000</v>
      </c>
      <c r="I1985" s="1180" t="s">
        <v>364</v>
      </c>
      <c r="J1985" s="1186" t="str">
        <f>VLOOKUP($I1985,'Price List, Weapons &amp; Items'!B:C,2,0)</f>
        <v>.</v>
      </c>
      <c r="K1985" s="1186" t="str">
        <f>IF(I1985=".",I1985,VLOOKUP($I1985,'Price List, Weapons &amp; Items'!B:D,3,0))</f>
        <v>.</v>
      </c>
      <c r="L1985" s="1187">
        <f>VLOOKUP(I1985,'Price List, Weapons &amp; Items'!B:E,4,0)</f>
        <v>0</v>
      </c>
      <c r="M1985" s="1188" t="s">
        <v>364</v>
      </c>
      <c r="N1985" s="1188" t="s">
        <v>364</v>
      </c>
      <c r="O1985" s="1188" t="str">
        <f>VLOOKUP($I1985,'Price List, Weapons &amp; Items'!B:G,6,0)</f>
        <v>.</v>
      </c>
      <c r="P1985" s="1185" t="str">
        <f t="shared" si="415"/>
        <v>.</v>
      </c>
      <c r="Q1985" s="1185" t="str">
        <f t="shared" si="416"/>
        <v>.</v>
      </c>
      <c r="R1985" s="1185">
        <f t="shared" si="412"/>
        <v>55000000</v>
      </c>
      <c r="S1985" s="1185">
        <f>IF(AND(AD1985=1,R1985&lt;&gt;".")=TRUE,R1985/VLOOKUP(G1985,'Exchange Rates'!B:C,2,0),IF(R1985=".",".",""))</f>
        <v>55000000</v>
      </c>
      <c r="T1985" s="1185" t="str">
        <f>IF(AD1985=1,IF(AF1985="Value is not given at all",".",IF(AF1985="Value is given by the source",S1985,IF(AF1985="Value is calculated with prices",(IF(SUMIFS(Q:Q,A:A,A1985)&gt;0,SUMIFS(Q:Q,A:A,A1985),"."))/VLOOKUP("USD",'Exchange Rates'!B:C,2,0),"Error with coding"))),"")</f>
        <v>.</v>
      </c>
      <c r="U1985" s="1184" t="s">
        <v>365</v>
      </c>
      <c r="V1985" s="973" t="s">
        <v>4449</v>
      </c>
      <c r="W1985" s="973" t="s">
        <v>4450</v>
      </c>
      <c r="X1985" s="1190" t="s">
        <v>364</v>
      </c>
      <c r="Y1985" s="1190" t="s">
        <v>364</v>
      </c>
      <c r="Z1985" s="1184">
        <v>0</v>
      </c>
      <c r="AA1985" s="1191">
        <v>1</v>
      </c>
      <c r="AB1985" s="1180" t="s">
        <v>364</v>
      </c>
      <c r="AC1985" s="1192" t="str">
        <f>""</f>
        <v/>
      </c>
      <c r="AD1985" s="1193">
        <v>1</v>
      </c>
      <c r="AE1985" s="1193" t="s">
        <v>368</v>
      </c>
      <c r="AF1985" s="1193" t="s">
        <v>369</v>
      </c>
      <c r="AG1985" s="1193">
        <v>1</v>
      </c>
      <c r="AH1985" s="1193">
        <v>16</v>
      </c>
      <c r="AI1985" s="1193">
        <v>0</v>
      </c>
      <c r="AJ1985" s="1193">
        <f>VLOOKUP($I1985,'Price List, Weapons &amp; Items'!B:F,5,0)</f>
        <v>0</v>
      </c>
      <c r="AK1985" s="1193">
        <f t="shared" si="417"/>
        <v>0</v>
      </c>
      <c r="AL1985" s="1193">
        <f t="shared" si="418"/>
        <v>0</v>
      </c>
      <c r="AM1985" s="1193">
        <f t="shared" si="419"/>
        <v>0</v>
      </c>
      <c r="AN1985" s="1194" t="str">
        <f>VLOOKUP($I1985,'Price List, Weapons &amp; Items'!B:L,COLUMN('Price List, Weapons &amp; Items'!$J$11)-1,0)</f>
        <v>.</v>
      </c>
      <c r="AO1985" s="1194" t="str">
        <f>IF(I1985=".",".",VLOOKUP($I1985,'Price List, Weapons &amp; Items'!B:J,3,0))</f>
        <v>.</v>
      </c>
      <c r="AP1985" s="1195" t="str">
        <f t="shared" ca="1" si="413"/>
        <v>.</v>
      </c>
      <c r="AQ1985" s="1194">
        <f>VLOOKUP($I1985,'Price List, Weapons &amp; Items'!B:L,COLUMN('Price List, Weapons &amp; Items'!$L$11)-1,0)</f>
        <v>0</v>
      </c>
      <c r="AR1985" s="1194">
        <f t="shared" si="420"/>
        <v>1</v>
      </c>
      <c r="AS1985" s="1194">
        <f t="shared" si="421"/>
        <v>0</v>
      </c>
      <c r="AT1985" s="1194">
        <f t="shared" si="422"/>
        <v>1</v>
      </c>
      <c r="AU1985" s="1194" t="str">
        <f t="shared" si="425"/>
        <v>.</v>
      </c>
      <c r="AV1985" s="1194" t="str">
        <f t="shared" si="414"/>
        <v>.</v>
      </c>
      <c r="AW1985" s="1194" t="str">
        <f t="shared" si="423"/>
        <v>.</v>
      </c>
      <c r="AX1985" s="1194">
        <f>IFERROR(VLOOKUP(B1985,'Share, Heavy Weapons to Ukraine'!B:Z,COLUMN('Share, Heavy Weapons to Ukraine'!C1993)-1,0),0)</f>
        <v>0</v>
      </c>
      <c r="AY1985" s="1194">
        <f>VLOOKUP('Bilateral Assistance, MAIN DATA'!B1985,'Country Summary (€)'!B:F,COLUMN('Country Summary (€)'!C1994)-1,FALSE)</f>
        <v>0</v>
      </c>
      <c r="AZ1985" s="1194" t="str">
        <f>IF(AND(AD1985=1,D1985="Military",H1985&lt;&gt;"Not given")=TRUE,IF(SUMIFS(P:P,A:A,A1985)&gt;0,ABS((SUMIFS(P:P,A:A,A1985)/VLOOKUP("USD",'Exchange Rates'!B:C,2,0)))/S1985,"."),".")</f>
        <v>.</v>
      </c>
      <c r="BA1985" s="1196" t="str">
        <f>IF(AND(AD1985=1,D1985="Military",H1985&lt;&gt;"Not given")=TRUE,IF(SUMIFS(P:P,A:A,A1985)&gt;0,IF((ABS((SUMIFS(P:P,A:A,A1985)/VLOOKUP("USD",'Exchange Rates'!B:C,2,0)))/S1985)&gt;1,(SUMIFS(P:P,A:A,A1985)-S1985)/S1985,(S1985-SUMIFS(P:P,A:A,A1985))/SUMIFS(P:P,A:A,A1985)),"."),".")</f>
        <v>.</v>
      </c>
    </row>
    <row r="1986" spans="1:53" s="1329" customFormat="1" ht="15.95" customHeight="1">
      <c r="A1986" s="1180" t="s">
        <v>4451</v>
      </c>
      <c r="B1986" s="1180" t="s">
        <v>4406</v>
      </c>
      <c r="C1986" s="1181">
        <v>44613</v>
      </c>
      <c r="D1986" s="1182" t="s">
        <v>544</v>
      </c>
      <c r="E1986" s="1182" t="s">
        <v>714</v>
      </c>
      <c r="F1986" s="1183" t="s">
        <v>4452</v>
      </c>
      <c r="G1986" s="1184" t="s">
        <v>483</v>
      </c>
      <c r="H1986" s="1185">
        <v>1200000000</v>
      </c>
      <c r="I1986" s="1201" t="s">
        <v>364</v>
      </c>
      <c r="J1986" s="1186" t="str">
        <f>VLOOKUP($I1986,'Price List, Weapons &amp; Items'!B:C,2,0)</f>
        <v>.</v>
      </c>
      <c r="K1986" s="1186" t="str">
        <f>IF(I1986=".",I1986,VLOOKUP($I1986,'Price List, Weapons &amp; Items'!B:D,3,0))</f>
        <v>.</v>
      </c>
      <c r="L1986" s="1187">
        <f>VLOOKUP(I1986,'Price List, Weapons &amp; Items'!B:E,4,0)</f>
        <v>0</v>
      </c>
      <c r="M1986" s="1188" t="s">
        <v>364</v>
      </c>
      <c r="N1986" s="1188" t="str">
        <f>VLOOKUP(I1986,'Price List, Weapons &amp; Items'!B:C,2,0)</f>
        <v>.</v>
      </c>
      <c r="O1986" s="1188" t="str">
        <f>VLOOKUP($I1986,'Price List, Weapons &amp; Items'!B:G,6,0)</f>
        <v>.</v>
      </c>
      <c r="P1986" s="1185" t="str">
        <f t="shared" si="415"/>
        <v>.</v>
      </c>
      <c r="Q1986" s="1185" t="str">
        <f t="shared" si="416"/>
        <v>.</v>
      </c>
      <c r="R1986" s="1185">
        <f t="shared" ref="R1986:R2000" si="426">IF(AD1986=1,IF(H1986&lt;&gt;"Not given",H1986,IF(TYPE(H1986)=2,IF(SUMIFS(P:P,A:A,A1986)&gt;0,SUMIFS(P:P,A:A,A1986),"."),"Format error")),"")</f>
        <v>1200000000</v>
      </c>
      <c r="S1986" s="1185">
        <f>IF(AND(AD1986=1,R1986&lt;&gt;".")=TRUE,R1986/VLOOKUP(G1986,'Exchange Rates'!B:C,2,0),IF(R1986=".",".",""))</f>
        <v>1200000000</v>
      </c>
      <c r="T1986" s="1185" t="str">
        <f>IF(AD1986=1,IF(AF1986="Value is not given at all",".",IF(AF1986="Value is given by the source",S1986,IF(AF1986="Value is calculated with prices",(IF(SUMIFS(Q:Q,A:A,A1986)&gt;0,SUMIFS(Q:Q,A:A,A1986),"."))/VLOOKUP("USD",'Exchange Rates'!B:C,2,0),"Error with coding"))),"")</f>
        <v>.</v>
      </c>
      <c r="U1986" s="1184" t="s">
        <v>365</v>
      </c>
      <c r="V1986" s="971" t="s">
        <v>4453</v>
      </c>
      <c r="W1986" s="980" t="s">
        <v>4454</v>
      </c>
      <c r="X1986" s="1190" t="s">
        <v>364</v>
      </c>
      <c r="Y1986" s="1190" t="s">
        <v>364</v>
      </c>
      <c r="Z1986" s="1184">
        <v>0</v>
      </c>
      <c r="AA1986" s="1194">
        <v>0</v>
      </c>
      <c r="AB1986" s="1180" t="s">
        <v>364</v>
      </c>
      <c r="AC1986" s="1192" t="str">
        <f>""</f>
        <v/>
      </c>
      <c r="AD1986" s="985">
        <v>1</v>
      </c>
      <c r="AE1986" s="985" t="s">
        <v>368</v>
      </c>
      <c r="AF1986" s="985" t="s">
        <v>369</v>
      </c>
      <c r="AG1986" s="985">
        <v>1</v>
      </c>
      <c r="AH1986" s="1193">
        <v>2</v>
      </c>
      <c r="AI1986" s="1193">
        <v>1</v>
      </c>
      <c r="AJ1986" s="1193">
        <f>VLOOKUP($I1986,'Price List, Weapons &amp; Items'!B:F,5,0)</f>
        <v>0</v>
      </c>
      <c r="AK1986" s="1193">
        <f t="shared" si="417"/>
        <v>0</v>
      </c>
      <c r="AL1986" s="1193">
        <f t="shared" si="418"/>
        <v>0</v>
      </c>
      <c r="AM1986" s="1193">
        <f t="shared" si="419"/>
        <v>0</v>
      </c>
      <c r="AN1986" s="1194" t="str">
        <f>VLOOKUP($I1986,'Price List, Weapons &amp; Items'!B:L,COLUMN('Price List, Weapons &amp; Items'!$J$11)-1,0)</f>
        <v>.</v>
      </c>
      <c r="AO1986" s="1194" t="str">
        <f>IF(I1986=".",".",VLOOKUP($I1986,'Price List, Weapons &amp; Items'!B:J,3,0))</f>
        <v>.</v>
      </c>
      <c r="AP1986" s="1195" t="str">
        <f t="shared" ref="AP1986:AP2000" ca="1" si="427">IF(AD1986=1,(OFFSET(I1986,0,0,COUNTIF(A:A,A1986),1)),"")</f>
        <v>.</v>
      </c>
      <c r="AQ1986" s="1194">
        <f>VLOOKUP($I1986,'Price List, Weapons &amp; Items'!B:L,COLUMN('Price List, Weapons &amp; Items'!$L$11)-1,0)</f>
        <v>0</v>
      </c>
      <c r="AR1986" s="1194">
        <f t="shared" si="420"/>
        <v>1</v>
      </c>
      <c r="AS1986" s="1194">
        <f t="shared" si="421"/>
        <v>0</v>
      </c>
      <c r="AT1986" s="1194">
        <f t="shared" si="422"/>
        <v>1</v>
      </c>
      <c r="AU1986" s="1194" t="str">
        <f t="shared" si="425"/>
        <v>.</v>
      </c>
      <c r="AV1986" s="1194" t="str">
        <f t="shared" ref="AV1986:AV2000" si="428">IF(AND(_xlfn.ISFORMULA(R1986),_xlfn.ISFORMULA(S1986),_xlfn.ISFORMULA(T1986))=TRUE,".",1)</f>
        <v>.</v>
      </c>
      <c r="AW1986" s="1194" t="str">
        <f t="shared" si="423"/>
        <v>.</v>
      </c>
      <c r="AX1986" s="1194">
        <f>IFERROR(VLOOKUP(B1986,'Share, Heavy Weapons to Ukraine'!B:Z,COLUMN('Share, Heavy Weapons to Ukraine'!C1994)-1,0),0)</f>
        <v>0</v>
      </c>
      <c r="AY1986" s="1194">
        <f>VLOOKUP('Bilateral Assistance, MAIN DATA'!B1986,'Country Summary (€)'!B:F,COLUMN('Country Summary (€)'!C1995)-1,FALSE)</f>
        <v>0</v>
      </c>
      <c r="AZ1986" s="1194" t="str">
        <f>IF(AND(AD1986=1,D1986="Military",H1986&lt;&gt;"Not given")=TRUE,IF(SUMIFS(P:P,A:A,A1986)&gt;0,ABS((SUMIFS(P:P,A:A,A1986)/VLOOKUP("USD",'Exchange Rates'!B:C,2,0)))/S1986,"."),".")</f>
        <v>.</v>
      </c>
      <c r="BA1986" s="1196" t="str">
        <f>IF(AND(AD1986=1,D1986="Military",H1986&lt;&gt;"Not given")=TRUE,IF(SUMIFS(P:P,A:A,A1986)&gt;0,IF((ABS((SUMIFS(P:P,A:A,A1986)/VLOOKUP("USD",'Exchange Rates'!B:C,2,0)))/S1986)&gt;1,(SUMIFS(P:P,A:A,A1986)-S1986)/S1986,(S1986-SUMIFS(P:P,A:A,A1986))/SUMIFS(P:P,A:A,A1986)),"."),".")</f>
        <v>.</v>
      </c>
    </row>
    <row r="1987" spans="1:53" s="1329" customFormat="1" ht="15.95" customHeight="1">
      <c r="A1987" s="1180" t="s">
        <v>4455</v>
      </c>
      <c r="B1987" s="1180" t="s">
        <v>4406</v>
      </c>
      <c r="C1987" s="1181">
        <v>44659</v>
      </c>
      <c r="D1987" s="1182" t="s">
        <v>544</v>
      </c>
      <c r="E1987" s="1182" t="s">
        <v>481</v>
      </c>
      <c r="F1987" s="1183" t="s">
        <v>4456</v>
      </c>
      <c r="G1987" s="1184" t="s">
        <v>483</v>
      </c>
      <c r="H1987" s="1185">
        <v>120000000</v>
      </c>
      <c r="I1987" s="1201" t="s">
        <v>364</v>
      </c>
      <c r="J1987" s="1186" t="str">
        <f>VLOOKUP($I1987,'Price List, Weapons &amp; Items'!B:C,2,0)</f>
        <v>.</v>
      </c>
      <c r="K1987" s="1186" t="str">
        <f>IF(I1987=".",I1987,VLOOKUP($I1987,'Price List, Weapons &amp; Items'!B:D,3,0))</f>
        <v>.</v>
      </c>
      <c r="L1987" s="1187">
        <f>VLOOKUP(I1987,'Price List, Weapons &amp; Items'!B:E,4,0)</f>
        <v>0</v>
      </c>
      <c r="M1987" s="1188" t="s">
        <v>364</v>
      </c>
      <c r="N1987" s="1188" t="str">
        <f>VLOOKUP(I1987,'Price List, Weapons &amp; Items'!B:C,2,0)</f>
        <v>.</v>
      </c>
      <c r="O1987" s="1188" t="str">
        <f>VLOOKUP($I1987,'Price List, Weapons &amp; Items'!B:G,6,0)</f>
        <v>.</v>
      </c>
      <c r="P1987" s="1185" t="str">
        <f t="shared" ref="P1987:P2000" si="429">IF(TYPE(M1987)=1,IF(TYPE(O1987)=1,M1987*O1987,"No price"),".")</f>
        <v>.</v>
      </c>
      <c r="Q1987" s="1185" t="str">
        <f t="shared" ref="Q1987:Q2000" si="430">IF(TYPE(N1987)=1,IF(TYPE(O1987)=1,N1987*O1987,"No price"),".")</f>
        <v>.</v>
      </c>
      <c r="R1987" s="1185">
        <f t="shared" si="426"/>
        <v>120000000</v>
      </c>
      <c r="S1987" s="1185">
        <f>IF(AND(AD1987=1,R1987&lt;&gt;".")=TRUE,R1987/VLOOKUP(G1987,'Exchange Rates'!B:C,2,0),IF(R1987=".",".",""))</f>
        <v>120000000</v>
      </c>
      <c r="T1987" s="1185" t="str">
        <f>IF(AD1987=1,IF(AF1987="Value is not given at all",".",IF(AF1987="Value is given by the source",S1987,IF(AF1987="Value is calculated with prices",(IF(SUMIFS(Q:Q,A:A,A1987)&gt;0,SUMIFS(Q:Q,A:A,A1987),"."))/VLOOKUP("USD",'Exchange Rates'!B:C,2,0),"Error with coding"))),"")</f>
        <v>.</v>
      </c>
      <c r="U1987" s="1184" t="s">
        <v>365</v>
      </c>
      <c r="V1987" s="971" t="s">
        <v>4457</v>
      </c>
      <c r="W1987" s="971" t="s">
        <v>4458</v>
      </c>
      <c r="X1987" s="1190" t="s">
        <v>364</v>
      </c>
      <c r="Y1987" s="1190" t="s">
        <v>364</v>
      </c>
      <c r="Z1987" s="1184">
        <v>0</v>
      </c>
      <c r="AA1987" s="1194">
        <v>0</v>
      </c>
      <c r="AB1987" s="1180" t="s">
        <v>364</v>
      </c>
      <c r="AC1987" s="1192" t="str">
        <f>""</f>
        <v/>
      </c>
      <c r="AD1987" s="985">
        <v>1</v>
      </c>
      <c r="AE1987" s="985" t="s">
        <v>368</v>
      </c>
      <c r="AF1987" s="985" t="s">
        <v>369</v>
      </c>
      <c r="AG1987" s="985">
        <v>1</v>
      </c>
      <c r="AH1987" s="1193">
        <v>4</v>
      </c>
      <c r="AI1987" s="1193">
        <v>0</v>
      </c>
      <c r="AJ1987" s="1193">
        <f>VLOOKUP($I1987,'Price List, Weapons &amp; Items'!B:F,5,0)</f>
        <v>0</v>
      </c>
      <c r="AK1987" s="1193">
        <f t="shared" ref="AK1987:AK2000" si="431">IF(AND(AJ1987=1,M1987="undisclosed")=TRUE,1,0)</f>
        <v>0</v>
      </c>
      <c r="AL1987" s="1193">
        <f t="shared" ref="AL1987:AL2000" si="432">IF(AND(AJ1987=1,N1987="undisclosed")=TRUE,1,0)</f>
        <v>0</v>
      </c>
      <c r="AM1987" s="1193">
        <f t="shared" ref="AM1987:AM2000" si="433">IFERROR(IF(SEARCH("ammuni",I1987,1)&gt;0,1,0),0)</f>
        <v>0</v>
      </c>
      <c r="AN1987" s="1194" t="str">
        <f>VLOOKUP($I1987,'Price List, Weapons &amp; Items'!B:L,COLUMN('Price List, Weapons &amp; Items'!$J$11)-1,0)</f>
        <v>.</v>
      </c>
      <c r="AO1987" s="1194" t="str">
        <f>IF(I1987=".",".",VLOOKUP($I1987,'Price List, Weapons &amp; Items'!B:J,3,0))</f>
        <v>.</v>
      </c>
      <c r="AP1987" s="1195" t="str">
        <f t="shared" ca="1" si="427"/>
        <v>.</v>
      </c>
      <c r="AQ1987" s="1194">
        <f>VLOOKUP($I1987,'Price List, Weapons &amp; Items'!B:L,COLUMN('Price List, Weapons &amp; Items'!$L$11)-1,0)</f>
        <v>0</v>
      </c>
      <c r="AR1987" s="1194">
        <f t="shared" ref="AR1987:AR2000" si="434">IF(U1987="Yes",1,0)</f>
        <v>1</v>
      </c>
      <c r="AS1987" s="1194">
        <f t="shared" ref="AS1987:AS2000" si="435">IF(D1987="Military",IF(OR(IFERROR(SEARCH("equipment",E1987,1),0)&gt;0,IFERROR(SEARCH("weapons",E1987,1),0)&gt;0),1,0),0)</f>
        <v>0</v>
      </c>
      <c r="AT1987" s="1194">
        <f t="shared" ref="AT1987:AT2000" si="436">IFERROR(IF(VALUE(TEXT(C1987,"mm"))=IF(AH1987&gt;12,AH1987-12,AH1987),".",IF(TEXT(C1987,"mm")="01",".",1)),"Value is not in date format")</f>
        <v>1</v>
      </c>
      <c r="AU1987" s="1194" t="str">
        <f t="shared" si="425"/>
        <v>.</v>
      </c>
      <c r="AV1987" s="1194" t="str">
        <f t="shared" si="428"/>
        <v>.</v>
      </c>
      <c r="AW1987" s="1194" t="str">
        <f t="shared" ref="AW1987:AW2000" si="437">IF(T1987&lt;&gt;".",IF(T1987&gt;S1987,1,"."),".")</f>
        <v>.</v>
      </c>
      <c r="AX1987" s="1194">
        <f>IFERROR(VLOOKUP(B1987,'Share, Heavy Weapons to Ukraine'!B:Z,COLUMN('Share, Heavy Weapons to Ukraine'!C1995)-1,0),0)</f>
        <v>0</v>
      </c>
      <c r="AY1987" s="1194">
        <f>VLOOKUP('Bilateral Assistance, MAIN DATA'!B1987,'Country Summary (€)'!B:F,COLUMN('Country Summary (€)'!C1996)-1,FALSE)</f>
        <v>0</v>
      </c>
      <c r="AZ1987" s="1194" t="str">
        <f>IF(AND(AD1987=1,D1987="Military",H1987&lt;&gt;"Not given")=TRUE,IF(SUMIFS(P:P,A:A,A1987)&gt;0,ABS((SUMIFS(P:P,A:A,A1987)/VLOOKUP("USD",'Exchange Rates'!B:C,2,0)))/S1987,"."),".")</f>
        <v>.</v>
      </c>
      <c r="BA1987" s="1196" t="str">
        <f>IF(AND(AD1987=1,D1987="Military",H1987&lt;&gt;"Not given")=TRUE,IF(SUMIFS(P:P,A:A,A1987)&gt;0,IF((ABS((SUMIFS(P:P,A:A,A1987)/VLOOKUP("USD",'Exchange Rates'!B:C,2,0)))/S1987)&gt;1,(SUMIFS(P:P,A:A,A1987)-S1987)/S1987,(S1987-SUMIFS(P:P,A:A,A1987))/SUMIFS(P:P,A:A,A1987)),"."),".")</f>
        <v>.</v>
      </c>
    </row>
    <row r="1988" spans="1:53" s="1329" customFormat="1" ht="15.95" customHeight="1">
      <c r="A1988" s="1180" t="s">
        <v>4459</v>
      </c>
      <c r="B1988" s="1180" t="s">
        <v>4406</v>
      </c>
      <c r="C1988" s="1181">
        <v>44699</v>
      </c>
      <c r="D1988" s="1182" t="s">
        <v>544</v>
      </c>
      <c r="E1988" s="1182" t="s">
        <v>714</v>
      </c>
      <c r="F1988" s="1183" t="s">
        <v>4460</v>
      </c>
      <c r="G1988" s="1184" t="s">
        <v>483</v>
      </c>
      <c r="H1988" s="1185">
        <v>6000000000</v>
      </c>
      <c r="I1988" s="1201" t="s">
        <v>364</v>
      </c>
      <c r="J1988" s="1186" t="str">
        <f>VLOOKUP($I1988,'Price List, Weapons &amp; Items'!B:C,2,0)</f>
        <v>.</v>
      </c>
      <c r="K1988" s="1186" t="str">
        <f>IF(I1988=".",I1988,VLOOKUP($I1988,'Price List, Weapons &amp; Items'!B:D,3,0))</f>
        <v>.</v>
      </c>
      <c r="L1988" s="1187">
        <f>VLOOKUP(I1988,'Price List, Weapons &amp; Items'!B:E,4,0)</f>
        <v>0</v>
      </c>
      <c r="M1988" s="1188" t="s">
        <v>364</v>
      </c>
      <c r="N1988" s="1188" t="str">
        <f>VLOOKUP(I1988,'Price List, Weapons &amp; Items'!B:C,2,0)</f>
        <v>.</v>
      </c>
      <c r="O1988" s="1188" t="str">
        <f>VLOOKUP($I1988,'Price List, Weapons &amp; Items'!B:G,6,0)</f>
        <v>.</v>
      </c>
      <c r="P1988" s="1185" t="str">
        <f t="shared" si="429"/>
        <v>.</v>
      </c>
      <c r="Q1988" s="1185" t="str">
        <f t="shared" si="430"/>
        <v>.</v>
      </c>
      <c r="R1988" s="1185">
        <f t="shared" si="426"/>
        <v>6000000000</v>
      </c>
      <c r="S1988" s="1185">
        <f>IF(AND(AD1988=1,R1988&lt;&gt;".")=TRUE,R1988/VLOOKUP(G1988,'Exchange Rates'!B:C,2,0),IF(R1988=".",".",""))</f>
        <v>6000000000</v>
      </c>
      <c r="T1988" s="1185" t="str">
        <f>IF(AD1988=1,IF(AF1988="Value is not given at all",".",IF(AF1988="Value is given by the source",S1988,IF(AF1988="Value is calculated with prices",(IF(SUMIFS(Q:Q,A:A,A1988)&gt;0,SUMIFS(Q:Q,A:A,A1988),"."))/VLOOKUP("USD",'Exchange Rates'!B:C,2,0),"Error with coding"))),"")</f>
        <v>.</v>
      </c>
      <c r="U1988" s="1184" t="s">
        <v>365</v>
      </c>
      <c r="V1988" s="971" t="s">
        <v>4461</v>
      </c>
      <c r="W1988" s="973" t="s">
        <v>4462</v>
      </c>
      <c r="X1988" s="971" t="s">
        <v>364</v>
      </c>
      <c r="Y1988" s="972" t="s">
        <v>364</v>
      </c>
      <c r="Z1988" s="1184">
        <v>0</v>
      </c>
      <c r="AA1988" s="1194">
        <v>0</v>
      </c>
      <c r="AB1988" s="1180" t="s">
        <v>364</v>
      </c>
      <c r="AC1988" s="1192" t="str">
        <f>""</f>
        <v/>
      </c>
      <c r="AD1988" s="985">
        <v>1</v>
      </c>
      <c r="AE1988" s="985" t="s">
        <v>368</v>
      </c>
      <c r="AF1988" s="985" t="s">
        <v>369</v>
      </c>
      <c r="AG1988" s="985">
        <v>1</v>
      </c>
      <c r="AH1988" s="1193">
        <v>5</v>
      </c>
      <c r="AI1988" s="1193">
        <v>0</v>
      </c>
      <c r="AJ1988" s="1193">
        <f>VLOOKUP($I1988,'Price List, Weapons &amp; Items'!B:F,5,0)</f>
        <v>0</v>
      </c>
      <c r="AK1988" s="1193">
        <f t="shared" si="431"/>
        <v>0</v>
      </c>
      <c r="AL1988" s="1193">
        <f t="shared" si="432"/>
        <v>0</v>
      </c>
      <c r="AM1988" s="1193">
        <f t="shared" si="433"/>
        <v>0</v>
      </c>
      <c r="AN1988" s="1194" t="str">
        <f>VLOOKUP($I1988,'Price List, Weapons &amp; Items'!B:L,COLUMN('Price List, Weapons &amp; Items'!$J$11)-1,0)</f>
        <v>.</v>
      </c>
      <c r="AO1988" s="1194" t="str">
        <f>IF(I1988=".",".",VLOOKUP($I1988,'Price List, Weapons &amp; Items'!B:J,3,0))</f>
        <v>.</v>
      </c>
      <c r="AP1988" s="1195" t="str">
        <f t="shared" ca="1" si="427"/>
        <v>.</v>
      </c>
      <c r="AQ1988" s="1194">
        <f>VLOOKUP($I1988,'Price List, Weapons &amp; Items'!B:L,COLUMN('Price List, Weapons &amp; Items'!$L$11)-1,0)</f>
        <v>0</v>
      </c>
      <c r="AR1988" s="1194">
        <f t="shared" si="434"/>
        <v>1</v>
      </c>
      <c r="AS1988" s="1194">
        <f t="shared" si="435"/>
        <v>0</v>
      </c>
      <c r="AT1988" s="1194">
        <f t="shared" si="436"/>
        <v>1</v>
      </c>
      <c r="AU1988" s="1194" t="str">
        <f t="shared" si="425"/>
        <v>.</v>
      </c>
      <c r="AV1988" s="1194" t="str">
        <f t="shared" si="428"/>
        <v>.</v>
      </c>
      <c r="AW1988" s="1194" t="str">
        <f t="shared" si="437"/>
        <v>.</v>
      </c>
      <c r="AX1988" s="1194">
        <f>IFERROR(VLOOKUP(B1988,'Share, Heavy Weapons to Ukraine'!B:Z,COLUMN('Share, Heavy Weapons to Ukraine'!C1996)-1,0),0)</f>
        <v>0</v>
      </c>
      <c r="AY1988" s="1194">
        <f>VLOOKUP('Bilateral Assistance, MAIN DATA'!B1988,'Country Summary (€)'!B:F,COLUMN('Country Summary (€)'!C1997)-1,FALSE)</f>
        <v>0</v>
      </c>
      <c r="AZ1988" s="1194" t="str">
        <f>IF(AND(AD1988=1,D1988="Military",H1988&lt;&gt;"Not given")=TRUE,IF(SUMIFS(P:P,A:A,A1988)&gt;0,ABS((SUMIFS(P:P,A:A,A1988)/VLOOKUP("USD",'Exchange Rates'!B:C,2,0)))/S1988,"."),".")</f>
        <v>.</v>
      </c>
      <c r="BA1988" s="1196" t="str">
        <f>IF(AND(AD1988=1,D1988="Military",H1988&lt;&gt;"Not given")=TRUE,IF(SUMIFS(P:P,A:A,A1988)&gt;0,IF((ABS((SUMIFS(P:P,A:A,A1988)/VLOOKUP("USD",'Exchange Rates'!B:C,2,0)))/S1988)&gt;1,(SUMIFS(P:P,A:A,A1988)-S1988)/S1988,(S1988-SUMIFS(P:P,A:A,A1988))/SUMIFS(P:P,A:A,A1988)),"."),".")</f>
        <v>.</v>
      </c>
    </row>
    <row r="1989" spans="1:53" s="1329" customFormat="1" ht="15.95" customHeight="1">
      <c r="A1989" s="1180" t="s">
        <v>4463</v>
      </c>
      <c r="B1989" s="1180" t="s">
        <v>4406</v>
      </c>
      <c r="C1989" s="1181">
        <v>44874</v>
      </c>
      <c r="D1989" s="1182" t="s">
        <v>544</v>
      </c>
      <c r="E1989" s="1182" t="s">
        <v>714</v>
      </c>
      <c r="F1989" s="1263" t="s">
        <v>4464</v>
      </c>
      <c r="G1989" s="1184" t="s">
        <v>483</v>
      </c>
      <c r="H1989" s="1185">
        <v>18000000000</v>
      </c>
      <c r="I1989" s="1201" t="s">
        <v>364</v>
      </c>
      <c r="J1989" s="1186" t="str">
        <f>VLOOKUP($I1989,'Price List, Weapons &amp; Items'!B:C,2,0)</f>
        <v>.</v>
      </c>
      <c r="K1989" s="1186" t="str">
        <f>IF(I1989=".",I1989,VLOOKUP($I1989,'Price List, Weapons &amp; Items'!B:D,3,0))</f>
        <v>.</v>
      </c>
      <c r="L1989" s="1187">
        <f>VLOOKUP(I1989,'Price List, Weapons &amp; Items'!B:E,4,0)</f>
        <v>0</v>
      </c>
      <c r="M1989" s="1188" t="s">
        <v>364</v>
      </c>
      <c r="N1989" s="1188" t="str">
        <f>VLOOKUP(I1989,'Price List, Weapons &amp; Items'!B:C,2,0)</f>
        <v>.</v>
      </c>
      <c r="O1989" s="1188" t="str">
        <f>VLOOKUP($I1989,'Price List, Weapons &amp; Items'!B:G,6,0)</f>
        <v>.</v>
      </c>
      <c r="P1989" s="1185" t="str">
        <f t="shared" si="429"/>
        <v>.</v>
      </c>
      <c r="Q1989" s="1185" t="str">
        <f t="shared" si="430"/>
        <v>.</v>
      </c>
      <c r="R1989" s="1185">
        <f t="shared" si="426"/>
        <v>18000000000</v>
      </c>
      <c r="S1989" s="1185">
        <f>IF(AND(AD1989=1,R1989&lt;&gt;".")=TRUE,R1989/VLOOKUP(G1989,'Exchange Rates'!B:C,2,0),IF(R1989=".",".",""))</f>
        <v>18000000000</v>
      </c>
      <c r="T1989" s="1185" t="str">
        <f>IF(AD1989=1,IF(AF1989="Value is not given at all",".",IF(AF1989="Value is given by the source",S1989,IF(AF1989="Value is calculated with prices",(IF(SUMIFS(Q:Q,A:A,A1989)&gt;0,SUMIFS(Q:Q,A:A,A1989),"."))/VLOOKUP("USD",'Exchange Rates'!B:C,2,0),"Error with coding"))),"")</f>
        <v>.</v>
      </c>
      <c r="U1989" s="1184" t="s">
        <v>365</v>
      </c>
      <c r="V1989" s="971" t="s">
        <v>4465</v>
      </c>
      <c r="W1989" s="973" t="s">
        <v>4466</v>
      </c>
      <c r="X1989" s="986" t="s">
        <v>364</v>
      </c>
      <c r="Y1989" s="1190" t="s">
        <v>364</v>
      </c>
      <c r="Z1989" s="1184">
        <v>0</v>
      </c>
      <c r="AA1989" s="1194">
        <v>0</v>
      </c>
      <c r="AB1989" s="1180" t="s">
        <v>364</v>
      </c>
      <c r="AC1989" s="1192" t="str">
        <f>""</f>
        <v/>
      </c>
      <c r="AD1989" s="985">
        <v>1</v>
      </c>
      <c r="AE1989" s="985" t="s">
        <v>368</v>
      </c>
      <c r="AF1989" s="985" t="s">
        <v>369</v>
      </c>
      <c r="AG1989" s="985">
        <v>1</v>
      </c>
      <c r="AH1989" s="1193">
        <v>11</v>
      </c>
      <c r="AI1989" s="1193">
        <v>0</v>
      </c>
      <c r="AJ1989" s="1193">
        <f>VLOOKUP($I1989,'Price List, Weapons &amp; Items'!B:F,5,0)</f>
        <v>0</v>
      </c>
      <c r="AK1989" s="1193">
        <f t="shared" si="431"/>
        <v>0</v>
      </c>
      <c r="AL1989" s="1193">
        <f t="shared" si="432"/>
        <v>0</v>
      </c>
      <c r="AM1989" s="1193">
        <f t="shared" si="433"/>
        <v>0</v>
      </c>
      <c r="AN1989" s="1194" t="str">
        <f>VLOOKUP($I1989,'Price List, Weapons &amp; Items'!B:L,COLUMN('Price List, Weapons &amp; Items'!$J$11)-1,0)</f>
        <v>.</v>
      </c>
      <c r="AO1989" s="1194" t="str">
        <f>IF(I1989=".",".",VLOOKUP($I1989,'Price List, Weapons &amp; Items'!B:J,3,0))</f>
        <v>.</v>
      </c>
      <c r="AP1989" s="1195" t="str">
        <f t="shared" ca="1" si="427"/>
        <v>.</v>
      </c>
      <c r="AQ1989" s="1194">
        <f>VLOOKUP($I1989,'Price List, Weapons &amp; Items'!B:L,COLUMN('Price List, Weapons &amp; Items'!$L$11)-1,0)</f>
        <v>0</v>
      </c>
      <c r="AR1989" s="1194">
        <f t="shared" si="434"/>
        <v>1</v>
      </c>
      <c r="AS1989" s="1194">
        <f t="shared" si="435"/>
        <v>0</v>
      </c>
      <c r="AT1989" s="1194">
        <f t="shared" si="436"/>
        <v>1</v>
      </c>
      <c r="AU1989" s="1194" t="str">
        <f t="shared" si="425"/>
        <v>.</v>
      </c>
      <c r="AV1989" s="1194" t="str">
        <f t="shared" si="428"/>
        <v>.</v>
      </c>
      <c r="AW1989" s="1194" t="str">
        <f t="shared" si="437"/>
        <v>.</v>
      </c>
      <c r="AX1989" s="1194">
        <f>IFERROR(VLOOKUP(B1989,'Share, Heavy Weapons to Ukraine'!B:Z,COLUMN('Share, Heavy Weapons to Ukraine'!C1997)-1,0),0)</f>
        <v>0</v>
      </c>
      <c r="AY1989" s="1194">
        <f>VLOOKUP('Bilateral Assistance, MAIN DATA'!B1989,'Country Summary (€)'!B:F,COLUMN('Country Summary (€)'!C1998)-1,FALSE)</f>
        <v>0</v>
      </c>
      <c r="AZ1989" s="1194" t="str">
        <f>IF(AND(AD1989=1,D1989="Military",H1989&lt;&gt;"Not given")=TRUE,IF(SUMIFS(P:P,A:A,A1989)&gt;0,ABS((SUMIFS(P:P,A:A,A1989)/VLOOKUP("USD",'Exchange Rates'!B:C,2,0)))/S1989,"."),".")</f>
        <v>.</v>
      </c>
      <c r="BA1989" s="1196" t="str">
        <f>IF(AND(AD1989=1,D1989="Military",H1989&lt;&gt;"Not given")=TRUE,IF(SUMIFS(P:P,A:A,A1989)&gt;0,IF((ABS((SUMIFS(P:P,A:A,A1989)/VLOOKUP("USD",'Exchange Rates'!B:C,2,0)))/S1989)&gt;1,(SUMIFS(P:P,A:A,A1989)-S1989)/S1989,(S1989-SUMIFS(P:P,A:A,A1989))/SUMIFS(P:P,A:A,A1989)),"."),".")</f>
        <v>.</v>
      </c>
    </row>
    <row r="1990" spans="1:53" ht="15.95" customHeight="1">
      <c r="A1990" s="1180" t="s">
        <v>4467</v>
      </c>
      <c r="B1990" s="1180" t="s">
        <v>4468</v>
      </c>
      <c r="C1990" s="1181">
        <v>44619</v>
      </c>
      <c r="D1990" s="1182" t="s">
        <v>389</v>
      </c>
      <c r="E1990" s="1182" t="s">
        <v>4468</v>
      </c>
      <c r="F1990" s="1183" t="s">
        <v>4469</v>
      </c>
      <c r="G1990" s="1184" t="s">
        <v>483</v>
      </c>
      <c r="H1990" s="1185">
        <v>500000000</v>
      </c>
      <c r="I1990" s="1201" t="s">
        <v>364</v>
      </c>
      <c r="J1990" s="1186" t="str">
        <f>VLOOKUP($I1990,'Price List, Weapons &amp; Items'!B:C,2,0)</f>
        <v>.</v>
      </c>
      <c r="K1990" s="1186" t="str">
        <f>IF(I1990=".",I1990,VLOOKUP($I1990,'Price List, Weapons &amp; Items'!B:D,3,0))</f>
        <v>.</v>
      </c>
      <c r="L1990" s="1187">
        <f>VLOOKUP(I1990,'Price List, Weapons &amp; Items'!B:E,4,0)</f>
        <v>0</v>
      </c>
      <c r="M1990" s="1188" t="s">
        <v>364</v>
      </c>
      <c r="N1990" s="1188" t="s">
        <v>364</v>
      </c>
      <c r="O1990" s="1188" t="str">
        <f>VLOOKUP($I1990,'Price List, Weapons &amp; Items'!B:G,6,0)</f>
        <v>.</v>
      </c>
      <c r="P1990" s="1185" t="str">
        <f t="shared" si="429"/>
        <v>.</v>
      </c>
      <c r="Q1990" s="1185" t="str">
        <f t="shared" si="430"/>
        <v>.</v>
      </c>
      <c r="R1990" s="1185">
        <f t="shared" si="426"/>
        <v>500000000</v>
      </c>
      <c r="S1990" s="1185">
        <f>IF(AND(AD1990=1,R1990&lt;&gt;".")=TRUE,R1990/VLOOKUP(G1990,'Exchange Rates'!B:C,2,0),IF(R1990=".",".",""))</f>
        <v>500000000</v>
      </c>
      <c r="T1990" s="1185" t="str">
        <f>IF(AD1990=1,IF(AF1990="Value is not given at all",".",IF(AF1990="Value is given by the source",S1990,IF(AF1990="Value is calculated with prices",(IF(SUMIFS(Q:Q,A:A,A1990)&gt;0,SUMIFS(Q:Q,A:A,A1990),"."))/VLOOKUP("USD",'Exchange Rates'!B:C,2,0),"Error with coding"))),"")</f>
        <v>.</v>
      </c>
      <c r="U1990" s="1184" t="s">
        <v>365</v>
      </c>
      <c r="V1990" s="971" t="s">
        <v>4470</v>
      </c>
      <c r="W1990" s="980" t="s">
        <v>4471</v>
      </c>
      <c r="X1990" s="1190" t="s">
        <v>364</v>
      </c>
      <c r="Y1990" s="1190" t="s">
        <v>364</v>
      </c>
      <c r="Z1990" s="1194">
        <v>0</v>
      </c>
      <c r="AA1990" s="1194">
        <v>0</v>
      </c>
      <c r="AB1990" s="1180" t="s">
        <v>364</v>
      </c>
      <c r="AC1990" s="1192" t="str">
        <f>""</f>
        <v/>
      </c>
      <c r="AD1990" s="985">
        <v>1</v>
      </c>
      <c r="AE1990" s="985" t="s">
        <v>368</v>
      </c>
      <c r="AF1990" s="985" t="s">
        <v>369</v>
      </c>
      <c r="AG1990" s="985">
        <v>1</v>
      </c>
      <c r="AH1990" s="1193">
        <v>2</v>
      </c>
      <c r="AI1990" s="1193">
        <v>0</v>
      </c>
      <c r="AJ1990" s="1193">
        <f>VLOOKUP($I1990,'Price List, Weapons &amp; Items'!B:F,5,0)</f>
        <v>0</v>
      </c>
      <c r="AK1990" s="1193">
        <f t="shared" si="431"/>
        <v>0</v>
      </c>
      <c r="AL1990" s="1193">
        <f t="shared" si="432"/>
        <v>0</v>
      </c>
      <c r="AM1990" s="1193">
        <f t="shared" si="433"/>
        <v>0</v>
      </c>
      <c r="AN1990" s="1194" t="str">
        <f>VLOOKUP($I1990,'Price List, Weapons &amp; Items'!B:L,COLUMN('Price List, Weapons &amp; Items'!$J$11)-1,0)</f>
        <v>.</v>
      </c>
      <c r="AO1990" s="1194" t="str">
        <f>IF(I1990=".",".",VLOOKUP($I1990,'Price List, Weapons &amp; Items'!B:J,3,0))</f>
        <v>.</v>
      </c>
      <c r="AP1990" s="1195" t="str">
        <f t="shared" ca="1" si="427"/>
        <v>.</v>
      </c>
      <c r="AQ1990" s="1194">
        <f>VLOOKUP($I1990,'Price List, Weapons &amp; Items'!B:L,COLUMN('Price List, Weapons &amp; Items'!$L$11)-1,0)</f>
        <v>0</v>
      </c>
      <c r="AR1990" s="1194">
        <f t="shared" si="434"/>
        <v>1</v>
      </c>
      <c r="AS1990" s="1194">
        <f t="shared" si="435"/>
        <v>0</v>
      </c>
      <c r="AT1990" s="1194">
        <f t="shared" si="436"/>
        <v>1</v>
      </c>
      <c r="AU1990" s="1194" t="str">
        <f t="shared" si="425"/>
        <v>.</v>
      </c>
      <c r="AV1990" s="1194" t="str">
        <f t="shared" si="428"/>
        <v>.</v>
      </c>
      <c r="AW1990" s="1194" t="str">
        <f t="shared" si="437"/>
        <v>.</v>
      </c>
      <c r="AX1990" s="1194">
        <f>IFERROR(VLOOKUP(B1990,'Share, Heavy Weapons to Ukraine'!B:Z,COLUMN('Share, Heavy Weapons to Ukraine'!C1998)-1,0),0)</f>
        <v>0</v>
      </c>
      <c r="AY1990" s="1194">
        <v>0</v>
      </c>
      <c r="AZ1990" s="1194" t="str">
        <f>IF(AND(AD1990=1,D1990="Military",H1990&lt;&gt;"Not given")=TRUE,IF(SUMIFS(P:P,A:A,A1990)&gt;0,ABS((SUMIFS(P:P,A:A,A1990)/VLOOKUP("USD",'Exchange Rates'!B:C,2,0)))/S1990,"."),".")</f>
        <v>.</v>
      </c>
      <c r="BA1990" s="1196" t="str">
        <f>IF(AND(AD1990=1,D1990="Military",H1990&lt;&gt;"Not given")=TRUE,IF(SUMIFS(P:P,A:A,A1990)&gt;0,IF((ABS((SUMIFS(P:P,A:A,A1990)/VLOOKUP("USD",'Exchange Rates'!B:C,2,0)))/S1990)&gt;1,(SUMIFS(P:P,A:A,A1990)-S1990)/S1990,(S1990-SUMIFS(P:P,A:A,A1990))/SUMIFS(P:P,A:A,A1990)),"."),".")</f>
        <v>.</v>
      </c>
    </row>
    <row r="1991" spans="1:53" ht="15.95" customHeight="1">
      <c r="A1991" s="1180" t="s">
        <v>4472</v>
      </c>
      <c r="B1991" s="1180" t="s">
        <v>4468</v>
      </c>
      <c r="C1991" s="1181">
        <v>44643</v>
      </c>
      <c r="D1991" s="1182" t="s">
        <v>389</v>
      </c>
      <c r="E1991" s="1182" t="s">
        <v>4468</v>
      </c>
      <c r="F1991" s="1183" t="s">
        <v>4473</v>
      </c>
      <c r="G1991" s="1184" t="s">
        <v>483</v>
      </c>
      <c r="H1991" s="1185">
        <v>500000000</v>
      </c>
      <c r="I1991" s="1201" t="s">
        <v>364</v>
      </c>
      <c r="J1991" s="1186" t="str">
        <f>VLOOKUP($I1991,'Price List, Weapons &amp; Items'!B:C,2,0)</f>
        <v>.</v>
      </c>
      <c r="K1991" s="1186" t="str">
        <f>IF(I1991=".",I1991,VLOOKUP($I1991,'Price List, Weapons &amp; Items'!B:D,3,0))</f>
        <v>.</v>
      </c>
      <c r="L1991" s="1187">
        <f>VLOOKUP(I1991,'Price List, Weapons &amp; Items'!B:E,4,0)</f>
        <v>0</v>
      </c>
      <c r="M1991" s="1188" t="s">
        <v>364</v>
      </c>
      <c r="N1991" s="1188" t="s">
        <v>364</v>
      </c>
      <c r="O1991" s="1188" t="str">
        <f>VLOOKUP($I1991,'Price List, Weapons &amp; Items'!B:G,6,0)</f>
        <v>.</v>
      </c>
      <c r="P1991" s="1185" t="str">
        <f t="shared" si="429"/>
        <v>.</v>
      </c>
      <c r="Q1991" s="1185" t="str">
        <f t="shared" si="430"/>
        <v>.</v>
      </c>
      <c r="R1991" s="1185">
        <f t="shared" si="426"/>
        <v>500000000</v>
      </c>
      <c r="S1991" s="1185">
        <f>IF(AND(AD1991=1,R1991&lt;&gt;".")=TRUE,R1991/VLOOKUP(G1991,'Exchange Rates'!B:C,2,0),IF(R1991=".",".",""))</f>
        <v>500000000</v>
      </c>
      <c r="T1991" s="1185" t="str">
        <f>IF(AD1991=1,IF(AF1991="Value is not given at all",".",IF(AF1991="Value is given by the source",S1991,IF(AF1991="Value is calculated with prices",(IF(SUMIFS(Q:Q,A:A,A1991)&gt;0,SUMIFS(Q:Q,A:A,A1991),"."))/VLOOKUP("USD",'Exchange Rates'!B:C,2,0),"Error with coding"))),"")</f>
        <v>.</v>
      </c>
      <c r="U1991" s="1184" t="s">
        <v>365</v>
      </c>
      <c r="V1991" s="971" t="s">
        <v>4470</v>
      </c>
      <c r="W1991" s="980" t="s">
        <v>4471</v>
      </c>
      <c r="X1991" s="1190" t="s">
        <v>364</v>
      </c>
      <c r="Y1991" s="1190" t="s">
        <v>364</v>
      </c>
      <c r="Z1991" s="1194">
        <v>0</v>
      </c>
      <c r="AA1991" s="1194">
        <v>0</v>
      </c>
      <c r="AB1991" s="1180" t="s">
        <v>364</v>
      </c>
      <c r="AC1991" s="1192" t="str">
        <f>""</f>
        <v/>
      </c>
      <c r="AD1991" s="985">
        <v>1</v>
      </c>
      <c r="AE1991" s="985" t="s">
        <v>368</v>
      </c>
      <c r="AF1991" s="985" t="s">
        <v>369</v>
      </c>
      <c r="AG1991" s="985">
        <v>1</v>
      </c>
      <c r="AH1991" s="1193">
        <v>3</v>
      </c>
      <c r="AI1991" s="1193">
        <v>0</v>
      </c>
      <c r="AJ1991" s="1193">
        <f>VLOOKUP($I1991,'Price List, Weapons &amp; Items'!B:F,5,0)</f>
        <v>0</v>
      </c>
      <c r="AK1991" s="1193">
        <f t="shared" si="431"/>
        <v>0</v>
      </c>
      <c r="AL1991" s="1193">
        <f t="shared" si="432"/>
        <v>0</v>
      </c>
      <c r="AM1991" s="1193">
        <f t="shared" si="433"/>
        <v>0</v>
      </c>
      <c r="AN1991" s="1194" t="str">
        <f>VLOOKUP($I1991,'Price List, Weapons &amp; Items'!B:L,COLUMN('Price List, Weapons &amp; Items'!$J$11)-1,0)</f>
        <v>.</v>
      </c>
      <c r="AO1991" s="1194" t="str">
        <f>IF(I1991=".",".",VLOOKUP($I1991,'Price List, Weapons &amp; Items'!B:J,3,0))</f>
        <v>.</v>
      </c>
      <c r="AP1991" s="1195" t="str">
        <f t="shared" ca="1" si="427"/>
        <v>.</v>
      </c>
      <c r="AQ1991" s="1194">
        <f>VLOOKUP($I1991,'Price List, Weapons &amp; Items'!B:L,COLUMN('Price List, Weapons &amp; Items'!$L$11)-1,0)</f>
        <v>0</v>
      </c>
      <c r="AR1991" s="1194">
        <f t="shared" si="434"/>
        <v>1</v>
      </c>
      <c r="AS1991" s="1194">
        <f t="shared" si="435"/>
        <v>0</v>
      </c>
      <c r="AT1991" s="1194">
        <f t="shared" si="436"/>
        <v>1</v>
      </c>
      <c r="AU1991" s="1194" t="str">
        <f t="shared" si="425"/>
        <v>.</v>
      </c>
      <c r="AV1991" s="1194" t="str">
        <f t="shared" si="428"/>
        <v>.</v>
      </c>
      <c r="AW1991" s="1194" t="str">
        <f t="shared" si="437"/>
        <v>.</v>
      </c>
      <c r="AX1991" s="1194">
        <f>IFERROR(VLOOKUP(B1991,'Share, Heavy Weapons to Ukraine'!B:Z,COLUMN('Share, Heavy Weapons to Ukraine'!C1999)-1,0),0)</f>
        <v>0</v>
      </c>
      <c r="AY1991" s="1194">
        <v>0</v>
      </c>
      <c r="AZ1991" s="1194" t="str">
        <f>IF(AND(AD1991=1,D1991="Military",H1991&lt;&gt;"Not given")=TRUE,IF(SUMIFS(P:P,A:A,A1991)&gt;0,ABS((SUMIFS(P:P,A:A,A1991)/VLOOKUP("USD",'Exchange Rates'!B:C,2,0)))/S1991,"."),".")</f>
        <v>.</v>
      </c>
      <c r="BA1991" s="1196" t="str">
        <f>IF(AND(AD1991=1,D1991="Military",H1991&lt;&gt;"Not given")=TRUE,IF(SUMIFS(P:P,A:A,A1991)&gt;0,IF((ABS((SUMIFS(P:P,A:A,A1991)/VLOOKUP("USD",'Exchange Rates'!B:C,2,0)))/S1991)&gt;1,(SUMIFS(P:P,A:A,A1991)-S1991)/S1991,(S1991-SUMIFS(P:P,A:A,A1991))/SUMIFS(P:P,A:A,A1991)),"."),".")</f>
        <v>.</v>
      </c>
    </row>
    <row r="1992" spans="1:53" ht="15.95" customHeight="1">
      <c r="A1992" s="1180" t="s">
        <v>4474</v>
      </c>
      <c r="B1992" s="1180" t="s">
        <v>4468</v>
      </c>
      <c r="C1992" s="1181">
        <v>44659</v>
      </c>
      <c r="D1992" s="1182" t="s">
        <v>389</v>
      </c>
      <c r="E1992" s="1182" t="s">
        <v>4468</v>
      </c>
      <c r="F1992" s="1183" t="s">
        <v>4475</v>
      </c>
      <c r="G1992" s="1184" t="s">
        <v>483</v>
      </c>
      <c r="H1992" s="1185">
        <v>500000000</v>
      </c>
      <c r="I1992" s="1201" t="s">
        <v>364</v>
      </c>
      <c r="J1992" s="1186" t="str">
        <f>VLOOKUP($I1992,'Price List, Weapons &amp; Items'!B:C,2,0)</f>
        <v>.</v>
      </c>
      <c r="K1992" s="1186" t="str">
        <f>IF(I1992=".",I1992,VLOOKUP($I1992,'Price List, Weapons &amp; Items'!B:D,3,0))</f>
        <v>.</v>
      </c>
      <c r="L1992" s="1187">
        <f>VLOOKUP(I1992,'Price List, Weapons &amp; Items'!B:E,4,0)</f>
        <v>0</v>
      </c>
      <c r="M1992" s="1188" t="s">
        <v>364</v>
      </c>
      <c r="N1992" s="1188" t="s">
        <v>364</v>
      </c>
      <c r="O1992" s="1188" t="str">
        <f>VLOOKUP($I1992,'Price List, Weapons &amp; Items'!B:G,6,0)</f>
        <v>.</v>
      </c>
      <c r="P1992" s="1185" t="str">
        <f t="shared" si="429"/>
        <v>.</v>
      </c>
      <c r="Q1992" s="1185" t="str">
        <f t="shared" si="430"/>
        <v>.</v>
      </c>
      <c r="R1992" s="1185">
        <f t="shared" si="426"/>
        <v>500000000</v>
      </c>
      <c r="S1992" s="1185">
        <f>IF(AND(AD1992=1,R1992&lt;&gt;".")=TRUE,R1992/VLOOKUP(G1992,'Exchange Rates'!B:C,2,0),IF(R1992=".",".",""))</f>
        <v>500000000</v>
      </c>
      <c r="T1992" s="1185" t="str">
        <f>IF(AD1992=1,IF(AF1992="Value is not given at all",".",IF(AF1992="Value is given by the source",S1992,IF(AF1992="Value is calculated with prices",(IF(SUMIFS(Q:Q,A:A,A1992)&gt;0,SUMIFS(Q:Q,A:A,A1992),"."))/VLOOKUP("USD",'Exchange Rates'!B:C,2,0),"Error with coding"))),"")</f>
        <v>.</v>
      </c>
      <c r="U1992" s="1184" t="s">
        <v>365</v>
      </c>
      <c r="V1992" s="971" t="s">
        <v>4476</v>
      </c>
      <c r="W1992" s="971" t="s">
        <v>4477</v>
      </c>
      <c r="X1992" s="971" t="s">
        <v>4478</v>
      </c>
      <c r="Y1992" s="1190" t="s">
        <v>364</v>
      </c>
      <c r="Z1992" s="1194">
        <v>0</v>
      </c>
      <c r="AA1992" s="1194">
        <v>0</v>
      </c>
      <c r="AB1992" s="1180" t="s">
        <v>364</v>
      </c>
      <c r="AC1992" s="1192" t="str">
        <f>""</f>
        <v/>
      </c>
      <c r="AD1992" s="985">
        <v>1</v>
      </c>
      <c r="AE1992" s="985" t="s">
        <v>368</v>
      </c>
      <c r="AF1992" s="985" t="s">
        <v>369</v>
      </c>
      <c r="AG1992" s="985">
        <v>1</v>
      </c>
      <c r="AH1992" s="1193">
        <v>4</v>
      </c>
      <c r="AI1992" s="1193">
        <v>0</v>
      </c>
      <c r="AJ1992" s="1193">
        <f>VLOOKUP($I1992,'Price List, Weapons &amp; Items'!B:F,5,0)</f>
        <v>0</v>
      </c>
      <c r="AK1992" s="1193">
        <f t="shared" si="431"/>
        <v>0</v>
      </c>
      <c r="AL1992" s="1193">
        <f t="shared" si="432"/>
        <v>0</v>
      </c>
      <c r="AM1992" s="1193">
        <f t="shared" si="433"/>
        <v>0</v>
      </c>
      <c r="AN1992" s="1194" t="str">
        <f>VLOOKUP($I1992,'Price List, Weapons &amp; Items'!B:L,COLUMN('Price List, Weapons &amp; Items'!$J$11)-1,0)</f>
        <v>.</v>
      </c>
      <c r="AO1992" s="1194" t="str">
        <f>IF(I1992=".",".",VLOOKUP($I1992,'Price List, Weapons &amp; Items'!B:J,3,0))</f>
        <v>.</v>
      </c>
      <c r="AP1992" s="1195" t="str">
        <f t="shared" ca="1" si="427"/>
        <v>.</v>
      </c>
      <c r="AQ1992" s="1194">
        <f>VLOOKUP($I1992,'Price List, Weapons &amp; Items'!B:L,COLUMN('Price List, Weapons &amp; Items'!$L$11)-1,0)</f>
        <v>0</v>
      </c>
      <c r="AR1992" s="1194">
        <f t="shared" si="434"/>
        <v>1</v>
      </c>
      <c r="AS1992" s="1194">
        <f t="shared" si="435"/>
        <v>0</v>
      </c>
      <c r="AT1992" s="1194">
        <f t="shared" si="436"/>
        <v>1</v>
      </c>
      <c r="AU1992" s="1194" t="str">
        <f t="shared" si="425"/>
        <v>.</v>
      </c>
      <c r="AV1992" s="1194" t="str">
        <f t="shared" si="428"/>
        <v>.</v>
      </c>
      <c r="AW1992" s="1194" t="str">
        <f t="shared" si="437"/>
        <v>.</v>
      </c>
      <c r="AX1992" s="1194">
        <f>IFERROR(VLOOKUP(B1992,'Share, Heavy Weapons to Ukraine'!B:Z,COLUMN('Share, Heavy Weapons to Ukraine'!C2000)-1,0),0)</f>
        <v>0</v>
      </c>
      <c r="AY1992" s="1194">
        <v>0</v>
      </c>
      <c r="AZ1992" s="1194" t="str">
        <f>IF(AND(AD1992=1,D1992="Military",H1992&lt;&gt;"Not given")=TRUE,IF(SUMIFS(P:P,A:A,A1992)&gt;0,ABS((SUMIFS(P:P,A:A,A1992)/VLOOKUP("USD",'Exchange Rates'!B:C,2,0)))/S1992,"."),".")</f>
        <v>.</v>
      </c>
      <c r="BA1992" s="1196" t="str">
        <f>IF(AND(AD1992=1,D1992="Military",H1992&lt;&gt;"Not given")=TRUE,IF(SUMIFS(P:P,A:A,A1992)&gt;0,IF((ABS((SUMIFS(P:P,A:A,A1992)/VLOOKUP("USD",'Exchange Rates'!B:C,2,0)))/S1992)&gt;1,(SUMIFS(P:P,A:A,A1992)-S1992)/S1992,(S1992-SUMIFS(P:P,A:A,A1992))/SUMIFS(P:P,A:A,A1992)),"."),".")</f>
        <v>.</v>
      </c>
    </row>
    <row r="1993" spans="1:53" ht="15.95" customHeight="1">
      <c r="A1993" s="1180" t="s">
        <v>4479</v>
      </c>
      <c r="B1993" s="1180" t="s">
        <v>4468</v>
      </c>
      <c r="C1993" s="1181">
        <v>44694</v>
      </c>
      <c r="D1993" s="1182" t="s">
        <v>389</v>
      </c>
      <c r="E1993" s="1182" t="s">
        <v>4468</v>
      </c>
      <c r="F1993" s="1183" t="s">
        <v>4480</v>
      </c>
      <c r="G1993" s="1184" t="s">
        <v>483</v>
      </c>
      <c r="H1993" s="1185">
        <v>500000000</v>
      </c>
      <c r="I1993" s="1180" t="s">
        <v>364</v>
      </c>
      <c r="J1993" s="1186" t="str">
        <f>VLOOKUP($I1993,'Price List, Weapons &amp; Items'!B:C,2,0)</f>
        <v>.</v>
      </c>
      <c r="K1993" s="1186" t="str">
        <f>IF(I1993=".",I1993,VLOOKUP($I1993,'Price List, Weapons &amp; Items'!B:D,3,0))</f>
        <v>.</v>
      </c>
      <c r="L1993" s="1187">
        <f>VLOOKUP(I1993,'Price List, Weapons &amp; Items'!B:E,4,0)</f>
        <v>0</v>
      </c>
      <c r="M1993" s="1188" t="s">
        <v>364</v>
      </c>
      <c r="N1993" s="1188" t="s">
        <v>364</v>
      </c>
      <c r="O1993" s="1188" t="str">
        <f>VLOOKUP($I1993,'Price List, Weapons &amp; Items'!B:G,6,0)</f>
        <v>.</v>
      </c>
      <c r="P1993" s="1185" t="str">
        <f t="shared" si="429"/>
        <v>.</v>
      </c>
      <c r="Q1993" s="1185" t="str">
        <f t="shared" si="430"/>
        <v>.</v>
      </c>
      <c r="R1993" s="1185">
        <f t="shared" si="426"/>
        <v>500000000</v>
      </c>
      <c r="S1993" s="1185">
        <f>IF(AND(AD1993=1,R1993&lt;&gt;".")=TRUE,R1993/VLOOKUP(G1993,'Exchange Rates'!B:C,2,0),IF(R1993=".",".",""))</f>
        <v>500000000</v>
      </c>
      <c r="T1993" s="1185" t="str">
        <f>IF(AD1993=1,IF(AF1993="Value is not given at all",".",IF(AF1993="Value is given by the source",S1993,IF(AF1993="Value is calculated with prices",(IF(SUMIFS(Q:Q,A:A,A1993)&gt;0,SUMIFS(Q:Q,A:A,A1993),"."))/VLOOKUP("USD",'Exchange Rates'!B:C,2,0),"Error with coding"))),"")</f>
        <v>.</v>
      </c>
      <c r="U1993" s="1184" t="s">
        <v>365</v>
      </c>
      <c r="V1993" s="971" t="s">
        <v>4481</v>
      </c>
      <c r="W1993" s="971" t="s">
        <v>4482</v>
      </c>
      <c r="Y1993" s="1190" t="s">
        <v>364</v>
      </c>
      <c r="Z1993" s="1184">
        <v>0</v>
      </c>
      <c r="AA1993" s="1194">
        <v>0</v>
      </c>
      <c r="AB1993" s="1180" t="s">
        <v>364</v>
      </c>
      <c r="AC1993" s="1192" t="str">
        <f>""</f>
        <v/>
      </c>
      <c r="AD1993" s="1193">
        <v>1</v>
      </c>
      <c r="AE1993" s="1193" t="s">
        <v>368</v>
      </c>
      <c r="AF1993" s="1193" t="s">
        <v>369</v>
      </c>
      <c r="AG1993" s="1193">
        <v>1</v>
      </c>
      <c r="AH1993" s="1193">
        <v>5</v>
      </c>
      <c r="AI1993" s="1193">
        <v>0</v>
      </c>
      <c r="AJ1993" s="1193">
        <f>VLOOKUP($I1993,'Price List, Weapons &amp; Items'!B:F,5,0)</f>
        <v>0</v>
      </c>
      <c r="AK1993" s="1193">
        <f t="shared" si="431"/>
        <v>0</v>
      </c>
      <c r="AL1993" s="1193">
        <f t="shared" si="432"/>
        <v>0</v>
      </c>
      <c r="AM1993" s="1193">
        <f t="shared" si="433"/>
        <v>0</v>
      </c>
      <c r="AN1993" s="1194" t="str">
        <f>VLOOKUP($I1993,'Price List, Weapons &amp; Items'!B:L,COLUMN('Price List, Weapons &amp; Items'!$J$11)-1,0)</f>
        <v>.</v>
      </c>
      <c r="AO1993" s="1194" t="str">
        <f>IF(I1993=".",".",VLOOKUP($I1993,'Price List, Weapons &amp; Items'!B:J,3,0))</f>
        <v>.</v>
      </c>
      <c r="AP1993" s="1195" t="str">
        <f t="shared" ca="1" si="427"/>
        <v>.</v>
      </c>
      <c r="AQ1993" s="1194">
        <f>VLOOKUP($I1993,'Price List, Weapons &amp; Items'!B:L,COLUMN('Price List, Weapons &amp; Items'!$L$11)-1,0)</f>
        <v>0</v>
      </c>
      <c r="AR1993" s="1194">
        <f t="shared" si="434"/>
        <v>1</v>
      </c>
      <c r="AS1993" s="1194">
        <f t="shared" si="435"/>
        <v>0</v>
      </c>
      <c r="AT1993" s="1194">
        <f t="shared" si="436"/>
        <v>1</v>
      </c>
      <c r="AU1993" s="1194" t="str">
        <f t="shared" si="425"/>
        <v>.</v>
      </c>
      <c r="AV1993" s="1194" t="str">
        <f t="shared" si="428"/>
        <v>.</v>
      </c>
      <c r="AW1993" s="1194" t="str">
        <f t="shared" si="437"/>
        <v>.</v>
      </c>
      <c r="AX1993" s="1194">
        <f>IFERROR(VLOOKUP(B1993,'Share, Heavy Weapons to Ukraine'!B:Z,COLUMN('Share, Heavy Weapons to Ukraine'!C2001)-1,0),0)</f>
        <v>0</v>
      </c>
      <c r="AY1993" s="1194">
        <v>0</v>
      </c>
      <c r="AZ1993" s="1194" t="str">
        <f>IF(AND(AD1993=1,D1993="Military",H1993&lt;&gt;"Not given")=TRUE,IF(SUMIFS(P:P,A:A,A1993)&gt;0,ABS((SUMIFS(P:P,A:A,A1993)/VLOOKUP("USD",'Exchange Rates'!B:C,2,0)))/S1993,"."),".")</f>
        <v>.</v>
      </c>
      <c r="BA1993" s="1196" t="str">
        <f>IF(AND(AD1993=1,D1993="Military",H1993&lt;&gt;"Not given")=TRUE,IF(SUMIFS(P:P,A:A,A1993)&gt;0,IF((ABS((SUMIFS(P:P,A:A,A1993)/VLOOKUP("USD",'Exchange Rates'!B:C,2,0)))/S1993)&gt;1,(SUMIFS(P:P,A:A,A1993)-S1993)/S1993,(S1993-SUMIFS(P:P,A:A,A1993))/SUMIFS(P:P,A:A,A1993)),"."),".")</f>
        <v>.</v>
      </c>
    </row>
    <row r="1994" spans="1:53" ht="15.95" customHeight="1">
      <c r="A1994" s="1180" t="s">
        <v>4483</v>
      </c>
      <c r="B1994" s="1180" t="s">
        <v>4468</v>
      </c>
      <c r="C1994" s="1181">
        <v>44764</v>
      </c>
      <c r="D1994" s="1182" t="s">
        <v>389</v>
      </c>
      <c r="E1994" s="1182" t="s">
        <v>4468</v>
      </c>
      <c r="F1994" s="1183" t="s">
        <v>4484</v>
      </c>
      <c r="G1994" s="1184" t="s">
        <v>483</v>
      </c>
      <c r="H1994" s="1185">
        <v>500000000</v>
      </c>
      <c r="I1994" s="1180" t="s">
        <v>364</v>
      </c>
      <c r="J1994" s="1186" t="str">
        <f>VLOOKUP($I1994,'Price List, Weapons &amp; Items'!B:C,2,0)</f>
        <v>.</v>
      </c>
      <c r="K1994" s="1186" t="str">
        <f>IF(I1994=".",I1994,VLOOKUP($I1994,'Price List, Weapons &amp; Items'!B:D,3,0))</f>
        <v>.</v>
      </c>
      <c r="L1994" s="1187">
        <f>VLOOKUP(I1994,'Price List, Weapons &amp; Items'!B:E,4,0)</f>
        <v>0</v>
      </c>
      <c r="M1994" s="1188" t="s">
        <v>364</v>
      </c>
      <c r="N1994" s="1188" t="s">
        <v>364</v>
      </c>
      <c r="O1994" s="1188" t="str">
        <f>VLOOKUP($I1994,'Price List, Weapons &amp; Items'!B:G,6,0)</f>
        <v>.</v>
      </c>
      <c r="P1994" s="1185" t="str">
        <f t="shared" si="429"/>
        <v>.</v>
      </c>
      <c r="Q1994" s="1185" t="str">
        <f t="shared" si="430"/>
        <v>.</v>
      </c>
      <c r="R1994" s="1185">
        <f t="shared" si="426"/>
        <v>500000000</v>
      </c>
      <c r="S1994" s="1185">
        <f>IF(AND(AD1994=1,R1994&lt;&gt;".")=TRUE,R1994/VLOOKUP(G1994,'Exchange Rates'!B:C,2,0),IF(R1994=".",".",""))</f>
        <v>500000000</v>
      </c>
      <c r="T1994" s="1185" t="str">
        <f>IF(AD1994=1,IF(AF1994="Value is not given at all",".",IF(AF1994="Value is given by the source",S1994,IF(AF1994="Value is calculated with prices",(IF(SUMIFS(Q:Q,A:A,A1994)&gt;0,SUMIFS(Q:Q,A:A,A1994),"."))/VLOOKUP("USD",'Exchange Rates'!B:C,2,0),"Error with coding"))),"")</f>
        <v>.</v>
      </c>
      <c r="U1994" s="1184" t="s">
        <v>365</v>
      </c>
      <c r="V1994" s="971" t="s">
        <v>4485</v>
      </c>
      <c r="W1994" s="971" t="s">
        <v>4486</v>
      </c>
      <c r="X1994" s="986" t="s">
        <v>364</v>
      </c>
      <c r="Y1994" s="1190" t="s">
        <v>364</v>
      </c>
      <c r="Z1994" s="1184">
        <v>0</v>
      </c>
      <c r="AA1994" s="1194">
        <v>0</v>
      </c>
      <c r="AB1994" s="1180" t="s">
        <v>364</v>
      </c>
      <c r="AC1994" s="1192" t="str">
        <f>""</f>
        <v/>
      </c>
      <c r="AD1994" s="1193">
        <v>1</v>
      </c>
      <c r="AE1994" s="1193" t="s">
        <v>368</v>
      </c>
      <c r="AF1994" s="1193" t="s">
        <v>369</v>
      </c>
      <c r="AG1994" s="1193">
        <v>1</v>
      </c>
      <c r="AH1994" s="1193">
        <v>7</v>
      </c>
      <c r="AI1994" s="1193">
        <v>0</v>
      </c>
      <c r="AJ1994" s="1193">
        <f>VLOOKUP($I1994,'Price List, Weapons &amp; Items'!B:F,5,0)</f>
        <v>0</v>
      </c>
      <c r="AK1994" s="1193">
        <f t="shared" si="431"/>
        <v>0</v>
      </c>
      <c r="AL1994" s="1193">
        <f t="shared" si="432"/>
        <v>0</v>
      </c>
      <c r="AM1994" s="1193">
        <f t="shared" si="433"/>
        <v>0</v>
      </c>
      <c r="AN1994" s="1194" t="str">
        <f>VLOOKUP($I1994,'Price List, Weapons &amp; Items'!B:L,COLUMN('Price List, Weapons &amp; Items'!$J$11)-1,0)</f>
        <v>.</v>
      </c>
      <c r="AO1994" s="1194" t="str">
        <f>IF(I1994=".",".",VLOOKUP($I1994,'Price List, Weapons &amp; Items'!B:J,3,0))</f>
        <v>.</v>
      </c>
      <c r="AP1994" s="1195" t="str">
        <f t="shared" ca="1" si="427"/>
        <v>.</v>
      </c>
      <c r="AQ1994" s="1194">
        <f>VLOOKUP($I1994,'Price List, Weapons &amp; Items'!B:L,COLUMN('Price List, Weapons &amp; Items'!$L$11)-1,0)</f>
        <v>0</v>
      </c>
      <c r="AR1994" s="1194">
        <f t="shared" si="434"/>
        <v>1</v>
      </c>
      <c r="AS1994" s="1194">
        <f t="shared" si="435"/>
        <v>0</v>
      </c>
      <c r="AT1994" s="1194">
        <f t="shared" si="436"/>
        <v>1</v>
      </c>
      <c r="AU1994" s="1194" t="str">
        <f t="shared" si="425"/>
        <v>.</v>
      </c>
      <c r="AV1994" s="1194" t="str">
        <f t="shared" si="428"/>
        <v>.</v>
      </c>
      <c r="AW1994" s="1194" t="str">
        <f t="shared" si="437"/>
        <v>.</v>
      </c>
      <c r="AX1994" s="1194">
        <f>IFERROR(VLOOKUP(B1994,'Share, Heavy Weapons to Ukraine'!B:Z,COLUMN('Share, Heavy Weapons to Ukraine'!C2002)-1,0),0)</f>
        <v>0</v>
      </c>
      <c r="AY1994" s="1194">
        <v>0</v>
      </c>
      <c r="AZ1994" s="1194" t="str">
        <f>IF(AND(AD1994=1,D1994="Military",H1994&lt;&gt;"Not given")=TRUE,IF(SUMIFS(P:P,A:A,A1994)&gt;0,ABS((SUMIFS(P:P,A:A,A1994)/VLOOKUP("USD",'Exchange Rates'!B:C,2,0)))/S1994,"."),".")</f>
        <v>.</v>
      </c>
      <c r="BA1994" s="1196" t="str">
        <f>IF(AND(AD1994=1,D1994="Military",H1994&lt;&gt;"Not given")=TRUE,IF(SUMIFS(P:P,A:A,A1994)&gt;0,IF((ABS((SUMIFS(P:P,A:A,A1994)/VLOOKUP("USD",'Exchange Rates'!B:C,2,0)))/S1994)&gt;1,(SUMIFS(P:P,A:A,A1994)-S1994)/S1994,(S1994-SUMIFS(P:P,A:A,A1994))/SUMIFS(P:P,A:A,A1994)),"."),".")</f>
        <v>.</v>
      </c>
    </row>
    <row r="1995" spans="1:53" ht="15.95" customHeight="1">
      <c r="A1995" s="1180" t="s">
        <v>4487</v>
      </c>
      <c r="B1995" s="1180" t="s">
        <v>4468</v>
      </c>
      <c r="C1995" s="1181">
        <v>44851</v>
      </c>
      <c r="D1995" s="1182" t="s">
        <v>389</v>
      </c>
      <c r="E1995" s="1182" t="s">
        <v>4468</v>
      </c>
      <c r="F1995" s="1183" t="s">
        <v>4488</v>
      </c>
      <c r="G1995" s="1184" t="s">
        <v>483</v>
      </c>
      <c r="H1995" s="1185">
        <v>600000000</v>
      </c>
      <c r="I1995" s="1180" t="s">
        <v>364</v>
      </c>
      <c r="J1995" s="1186" t="str">
        <f>VLOOKUP($I1995,'Price List, Weapons &amp; Items'!B:C,2,0)</f>
        <v>.</v>
      </c>
      <c r="K1995" s="1186" t="str">
        <f>IF(I1995=".",I1995,VLOOKUP($I1995,'Price List, Weapons &amp; Items'!B:D,3,0))</f>
        <v>.</v>
      </c>
      <c r="L1995" s="1187">
        <f>VLOOKUP(I1995,'Price List, Weapons &amp; Items'!B:E,4,0)</f>
        <v>0</v>
      </c>
      <c r="M1995" s="1188" t="s">
        <v>364</v>
      </c>
      <c r="N1995" s="1188" t="s">
        <v>364</v>
      </c>
      <c r="O1995" s="1188" t="str">
        <f>VLOOKUP($I1995,'Price List, Weapons &amp; Items'!B:G,6,0)</f>
        <v>.</v>
      </c>
      <c r="P1995" s="1185" t="str">
        <f t="shared" si="429"/>
        <v>.</v>
      </c>
      <c r="Q1995" s="1185" t="str">
        <f t="shared" si="430"/>
        <v>.</v>
      </c>
      <c r="R1995" s="1185">
        <f t="shared" si="426"/>
        <v>600000000</v>
      </c>
      <c r="S1995" s="1185">
        <f>IF(AND(AD1995=1,R1995&lt;&gt;".")=TRUE,R1995/VLOOKUP(G1995,'Exchange Rates'!B:C,2,0),IF(R1995=".",".",""))</f>
        <v>600000000</v>
      </c>
      <c r="T1995" s="1185" t="str">
        <f>IF(AD1995=1,IF(AF1995="Value is not given at all",".",IF(AF1995="Value is given by the source",S1995,IF(AF1995="Value is calculated with prices",(IF(SUMIFS(Q:Q,A:A,A1995)&gt;0,SUMIFS(Q:Q,A:A,A1995),"."))/VLOOKUP("USD",'Exchange Rates'!B:C,2,0),"Error with coding"))),"")</f>
        <v>.</v>
      </c>
      <c r="U1995" s="1184" t="s">
        <v>365</v>
      </c>
      <c r="V1995" s="971" t="s">
        <v>4471</v>
      </c>
      <c r="W1995" s="971" t="s">
        <v>4489</v>
      </c>
      <c r="X1995" s="986" t="s">
        <v>364</v>
      </c>
      <c r="Y1995" s="1190" t="s">
        <v>364</v>
      </c>
      <c r="Z1995" s="1184">
        <v>0</v>
      </c>
      <c r="AA1995" s="1194">
        <v>0</v>
      </c>
      <c r="AB1995" s="1180" t="s">
        <v>364</v>
      </c>
      <c r="AC1995" s="1192" t="str">
        <f>""</f>
        <v/>
      </c>
      <c r="AD1995" s="1193">
        <v>1</v>
      </c>
      <c r="AE1995" s="1193" t="s">
        <v>368</v>
      </c>
      <c r="AF1995" s="1193" t="s">
        <v>369</v>
      </c>
      <c r="AG1995" s="1193">
        <v>1</v>
      </c>
      <c r="AH1995" s="1193">
        <v>10</v>
      </c>
      <c r="AI1995" s="1193">
        <v>0</v>
      </c>
      <c r="AJ1995" s="1193">
        <f>VLOOKUP($I1995,'Price List, Weapons &amp; Items'!B:F,5,0)</f>
        <v>0</v>
      </c>
      <c r="AK1995" s="1193">
        <f t="shared" si="431"/>
        <v>0</v>
      </c>
      <c r="AL1995" s="1193">
        <f t="shared" si="432"/>
        <v>0</v>
      </c>
      <c r="AM1995" s="1193">
        <f t="shared" si="433"/>
        <v>0</v>
      </c>
      <c r="AN1995" s="1194" t="str">
        <f>VLOOKUP($I1995,'Price List, Weapons &amp; Items'!B:L,COLUMN('Price List, Weapons &amp; Items'!$J$11)-1,0)</f>
        <v>.</v>
      </c>
      <c r="AO1995" s="1194" t="str">
        <f>IF(I1995=".",".",VLOOKUP($I1995,'Price List, Weapons &amp; Items'!B:J,3,0))</f>
        <v>.</v>
      </c>
      <c r="AP1995" s="1195" t="str">
        <f t="shared" ca="1" si="427"/>
        <v>.</v>
      </c>
      <c r="AQ1995" s="1194">
        <f>VLOOKUP($I1995,'Price List, Weapons &amp; Items'!B:L,COLUMN('Price List, Weapons &amp; Items'!$L$11)-1,0)</f>
        <v>0</v>
      </c>
      <c r="AR1995" s="1194">
        <f t="shared" si="434"/>
        <v>1</v>
      </c>
      <c r="AS1995" s="1194">
        <f t="shared" si="435"/>
        <v>0</v>
      </c>
      <c r="AT1995" s="1194">
        <f t="shared" si="436"/>
        <v>1</v>
      </c>
      <c r="AU1995" s="1194" t="str">
        <f t="shared" si="425"/>
        <v>.</v>
      </c>
      <c r="AV1995" s="1194" t="str">
        <f t="shared" si="428"/>
        <v>.</v>
      </c>
      <c r="AW1995" s="1194" t="str">
        <f t="shared" si="437"/>
        <v>.</v>
      </c>
      <c r="AX1995" s="1194">
        <f>IFERROR(VLOOKUP(B1995,'Share, Heavy Weapons to Ukraine'!B:Z,COLUMN('Share, Heavy Weapons to Ukraine'!C2003)-1,0),0)</f>
        <v>0</v>
      </c>
      <c r="AY1995" s="1194">
        <v>0</v>
      </c>
      <c r="AZ1995" s="1194" t="str">
        <f>IF(AND(AD1995=1,D1995="Military",H1995&lt;&gt;"Not given")=TRUE,IF(SUMIFS(P:P,A:A,A1995)&gt;0,ABS((SUMIFS(P:P,A:A,A1995)/VLOOKUP("USD",'Exchange Rates'!B:C,2,0)))/S1995,"."),".")</f>
        <v>.</v>
      </c>
      <c r="BA1995" s="1196" t="str">
        <f>IF(AND(AD1995=1,D1995="Military",H1995&lt;&gt;"Not given")=TRUE,IF(SUMIFS(P:P,A:A,A1995)&gt;0,IF((ABS((SUMIFS(P:P,A:A,A1995)/VLOOKUP("USD",'Exchange Rates'!B:C,2,0)))/S1995)&gt;1,(SUMIFS(P:P,A:A,A1995)-S1995)/S1995,(S1995-SUMIFS(P:P,A:A,A1995))/SUMIFS(P:P,A:A,A1995)),"."),".")</f>
        <v>.</v>
      </c>
    </row>
    <row r="1996" spans="1:53" ht="15.95" customHeight="1">
      <c r="A1996" s="1180" t="s">
        <v>4490</v>
      </c>
      <c r="B1996" s="1180" t="s">
        <v>4468</v>
      </c>
      <c r="C1996" s="1181">
        <v>44949</v>
      </c>
      <c r="D1996" s="1182" t="s">
        <v>389</v>
      </c>
      <c r="E1996" s="1182" t="s">
        <v>4468</v>
      </c>
      <c r="F1996" s="1183" t="s">
        <v>4491</v>
      </c>
      <c r="G1996" s="1184" t="s">
        <v>483</v>
      </c>
      <c r="H1996" s="1185">
        <v>500000000</v>
      </c>
      <c r="I1996" s="1180" t="s">
        <v>364</v>
      </c>
      <c r="J1996" s="1186" t="str">
        <f>VLOOKUP($I1996,'Price List, Weapons &amp; Items'!B:C,2,0)</f>
        <v>.</v>
      </c>
      <c r="K1996" s="1186" t="str">
        <f>IF(I1996=".",I1996,VLOOKUP($I1996,'Price List, Weapons &amp; Items'!B:D,3,0))</f>
        <v>.</v>
      </c>
      <c r="L1996" s="1187">
        <f>VLOOKUP(I1996,'Price List, Weapons &amp; Items'!B:E,4,0)</f>
        <v>0</v>
      </c>
      <c r="M1996" s="1188" t="s">
        <v>364</v>
      </c>
      <c r="N1996" s="1188" t="s">
        <v>364</v>
      </c>
      <c r="O1996" s="1188" t="str">
        <f>VLOOKUP($I1996,'Price List, Weapons &amp; Items'!B:G,6,0)</f>
        <v>.</v>
      </c>
      <c r="P1996" s="1185" t="str">
        <f t="shared" si="429"/>
        <v>.</v>
      </c>
      <c r="Q1996" s="1185" t="str">
        <f t="shared" si="430"/>
        <v>.</v>
      </c>
      <c r="R1996" s="1185">
        <f t="shared" si="426"/>
        <v>500000000</v>
      </c>
      <c r="S1996" s="1185">
        <f>IF(AND(AD1996=1,R1996&lt;&gt;".")=TRUE,R1996/VLOOKUP(G1996,'Exchange Rates'!B:C,2,0),IF(R1996=".",".",""))</f>
        <v>500000000</v>
      </c>
      <c r="T1996" s="1185" t="str">
        <f>IF(AD1996=1,IF(AF1996="Value is not given at all",".",IF(AF1996="Value is given by the source",S1996,IF(AF1996="Value is calculated with prices",(IF(SUMIFS(Q:Q,A:A,A1996)&gt;0,SUMIFS(Q:Q,A:A,A1996),"."))/VLOOKUP("USD",'Exchange Rates'!B:C,2,0),"Error with coding"))),"")</f>
        <v>.</v>
      </c>
      <c r="U1996" s="1184" t="s">
        <v>365</v>
      </c>
      <c r="V1996" s="973" t="s">
        <v>4492</v>
      </c>
      <c r="W1996" s="973" t="s">
        <v>4489</v>
      </c>
      <c r="X1996" s="986" t="s">
        <v>364</v>
      </c>
      <c r="Y1996" s="1190" t="s">
        <v>364</v>
      </c>
      <c r="Z1996" s="1184">
        <v>0</v>
      </c>
      <c r="AA1996" s="1194">
        <v>0</v>
      </c>
      <c r="AB1996" s="1180" t="s">
        <v>364</v>
      </c>
      <c r="AC1996" s="1192" t="str">
        <f>""</f>
        <v/>
      </c>
      <c r="AD1996" s="1193">
        <v>1</v>
      </c>
      <c r="AE1996" s="1193" t="s">
        <v>368</v>
      </c>
      <c r="AF1996" s="1193" t="s">
        <v>369</v>
      </c>
      <c r="AG1996" s="1193">
        <v>1</v>
      </c>
      <c r="AH1996" s="1193">
        <v>13</v>
      </c>
      <c r="AI1996" s="1193">
        <v>0</v>
      </c>
      <c r="AJ1996" s="1193">
        <f>VLOOKUP($I1996,'Price List, Weapons &amp; Items'!B:F,5,0)</f>
        <v>0</v>
      </c>
      <c r="AK1996" s="1193">
        <f t="shared" si="431"/>
        <v>0</v>
      </c>
      <c r="AL1996" s="1193">
        <f t="shared" si="432"/>
        <v>0</v>
      </c>
      <c r="AM1996" s="1193">
        <f t="shared" si="433"/>
        <v>0</v>
      </c>
      <c r="AN1996" s="1194" t="str">
        <f>VLOOKUP($I1996,'Price List, Weapons &amp; Items'!B:L,COLUMN('Price List, Weapons &amp; Items'!$J$11)-1,0)</f>
        <v>.</v>
      </c>
      <c r="AO1996" s="1194" t="str">
        <f>IF(I1996=".",".",VLOOKUP($I1996,'Price List, Weapons &amp; Items'!B:J,3,0))</f>
        <v>.</v>
      </c>
      <c r="AP1996" s="1195" t="str">
        <f t="shared" ca="1" si="427"/>
        <v>.</v>
      </c>
      <c r="AQ1996" s="1194">
        <f>VLOOKUP($I1996,'Price List, Weapons &amp; Items'!B:L,COLUMN('Price List, Weapons &amp; Items'!$L$11)-1,0)</f>
        <v>0</v>
      </c>
      <c r="AR1996" s="1194">
        <f t="shared" si="434"/>
        <v>1</v>
      </c>
      <c r="AS1996" s="1194">
        <f t="shared" si="435"/>
        <v>0</v>
      </c>
      <c r="AT1996" s="1194">
        <f t="shared" si="436"/>
        <v>1</v>
      </c>
      <c r="AU1996" s="1194" t="str">
        <f t="shared" si="425"/>
        <v>.</v>
      </c>
      <c r="AV1996" s="1194" t="str">
        <f t="shared" si="428"/>
        <v>.</v>
      </c>
      <c r="AW1996" s="1194" t="str">
        <f t="shared" si="437"/>
        <v>.</v>
      </c>
      <c r="AX1996" s="1194">
        <f>IFERROR(VLOOKUP(B1996,'Share, Heavy Weapons to Ukraine'!B:Z,COLUMN('Share, Heavy Weapons to Ukraine'!C2004)-1,0),0)</f>
        <v>0</v>
      </c>
      <c r="AY1996" s="1194">
        <v>0</v>
      </c>
      <c r="AZ1996" s="1194" t="str">
        <f>IF(AND(AD1996=1,D1996="Military",H1996&lt;&gt;"Not given")=TRUE,IF(SUMIFS(P:P,A:A,A1996)&gt;0,ABS((SUMIFS(P:P,A:A,A1996)/VLOOKUP("USD",'Exchange Rates'!B:C,2,0)))/S1996,"."),".")</f>
        <v>.</v>
      </c>
      <c r="BA1996" s="1196" t="str">
        <f>IF(AND(AD1996=1,D1996="Military",H1996&lt;&gt;"Not given")=TRUE,IF(SUMIFS(P:P,A:A,A1996)&gt;0,IF((ABS((SUMIFS(P:P,A:A,A1996)/VLOOKUP("USD",'Exchange Rates'!B:C,2,0)))/S1996)&gt;1,(SUMIFS(P:P,A:A,A1996)-S1996)/S1996,(S1996-SUMIFS(P:P,A:A,A1996))/SUMIFS(P:P,A:A,A1996)),"."),".")</f>
        <v>.</v>
      </c>
    </row>
    <row r="1997" spans="1:53" ht="15.95" customHeight="1">
      <c r="A1997" s="1180" t="s">
        <v>4493</v>
      </c>
      <c r="B1997" s="1180" t="s">
        <v>4468</v>
      </c>
      <c r="C1997" s="1181">
        <v>45029</v>
      </c>
      <c r="D1997" s="1182" t="s">
        <v>389</v>
      </c>
      <c r="E1997" s="1182" t="s">
        <v>4468</v>
      </c>
      <c r="F1997" s="1183" t="s">
        <v>4494</v>
      </c>
      <c r="G1997" s="1184" t="s">
        <v>483</v>
      </c>
      <c r="H1997" s="1185">
        <v>1000000000</v>
      </c>
      <c r="I1997" s="1180" t="s">
        <v>364</v>
      </c>
      <c r="J1997" s="1186" t="str">
        <f>VLOOKUP($I1997,'Price List, Weapons &amp; Items'!B:C,2,0)</f>
        <v>.</v>
      </c>
      <c r="K1997" s="1186" t="str">
        <f>IF(I1997=".",I1997,VLOOKUP($I1997,'Price List, Weapons &amp; Items'!B:D,3,0))</f>
        <v>.</v>
      </c>
      <c r="L1997" s="1187">
        <f>VLOOKUP(I1997,'Price List, Weapons &amp; Items'!B:E,4,0)</f>
        <v>0</v>
      </c>
      <c r="M1997" s="1188" t="s">
        <v>364</v>
      </c>
      <c r="N1997" s="1188" t="s">
        <v>364</v>
      </c>
      <c r="O1997" s="1188" t="str">
        <f>VLOOKUP($I1997,'Price List, Weapons &amp; Items'!B:G,6,0)</f>
        <v>.</v>
      </c>
      <c r="P1997" s="1185" t="str">
        <f t="shared" si="429"/>
        <v>.</v>
      </c>
      <c r="Q1997" s="1185" t="str">
        <f t="shared" si="430"/>
        <v>.</v>
      </c>
      <c r="R1997" s="1185">
        <f t="shared" si="426"/>
        <v>1000000000</v>
      </c>
      <c r="S1997" s="1185">
        <f>IF(AND(AD1997=1,R1997&lt;&gt;".")=TRUE,R1997/VLOOKUP(G1997,'Exchange Rates'!B:C,2,0),IF(R1997=".",".",""))</f>
        <v>1000000000</v>
      </c>
      <c r="T1997" s="1185" t="str">
        <f>IF(AD1997=1,IF(AF1997="Value is not given at all",".",IF(AF1997="Value is given by the source",S1997,IF(AF1997="Value is calculated with prices",(IF(SUMIFS(Q:Q,A:A,A1997)&gt;0,SUMIFS(Q:Q,A:A,A1997),"."))/VLOOKUP("USD",'Exchange Rates'!B:C,2,0),"Error with coding"))),"")</f>
        <v>.</v>
      </c>
      <c r="U1997" s="1184" t="s">
        <v>365</v>
      </c>
      <c r="V1997" s="973" t="s">
        <v>4495</v>
      </c>
      <c r="W1997" s="966" t="s">
        <v>4496</v>
      </c>
      <c r="X1997" s="986" t="s">
        <v>364</v>
      </c>
      <c r="Y1997" s="1190" t="s">
        <v>364</v>
      </c>
      <c r="Z1997" s="1184">
        <v>0</v>
      </c>
      <c r="AA1997" s="1191">
        <v>1</v>
      </c>
      <c r="AB1997" s="1180" t="s">
        <v>364</v>
      </c>
      <c r="AC1997" s="1192" t="str">
        <f>""</f>
        <v/>
      </c>
      <c r="AD1997" s="1193">
        <v>1</v>
      </c>
      <c r="AE1997" s="1193" t="s">
        <v>368</v>
      </c>
      <c r="AF1997" s="1193" t="s">
        <v>369</v>
      </c>
      <c r="AG1997" s="1193">
        <v>1</v>
      </c>
      <c r="AH1997" s="1193">
        <v>16</v>
      </c>
      <c r="AI1997" s="1193">
        <v>0</v>
      </c>
      <c r="AJ1997" s="1193">
        <f>VLOOKUP($I1997,'Price List, Weapons &amp; Items'!B:F,5,0)</f>
        <v>0</v>
      </c>
      <c r="AK1997" s="1193">
        <f t="shared" si="431"/>
        <v>0</v>
      </c>
      <c r="AL1997" s="1193">
        <f t="shared" si="432"/>
        <v>0</v>
      </c>
      <c r="AM1997" s="1193">
        <f t="shared" si="433"/>
        <v>0</v>
      </c>
      <c r="AN1997" s="1194" t="str">
        <f>VLOOKUP($I1997,'Price List, Weapons &amp; Items'!B:L,COLUMN('Price List, Weapons &amp; Items'!$J$11)-1,0)</f>
        <v>.</v>
      </c>
      <c r="AO1997" s="1194" t="str">
        <f>IF(I1997=".",".",VLOOKUP($I1997,'Price List, Weapons &amp; Items'!B:J,3,0))</f>
        <v>.</v>
      </c>
      <c r="AP1997" s="1195" t="str">
        <f t="shared" ca="1" si="427"/>
        <v>.</v>
      </c>
      <c r="AQ1997" s="1194">
        <f>VLOOKUP($I1997,'Price List, Weapons &amp; Items'!B:L,COLUMN('Price List, Weapons &amp; Items'!$L$11)-1,0)</f>
        <v>0</v>
      </c>
      <c r="AR1997" s="1194">
        <f t="shared" si="434"/>
        <v>1</v>
      </c>
      <c r="AS1997" s="1194">
        <f t="shared" si="435"/>
        <v>0</v>
      </c>
      <c r="AT1997" s="1194">
        <f t="shared" si="436"/>
        <v>1</v>
      </c>
      <c r="AU1997" s="1194" t="str">
        <f t="shared" si="425"/>
        <v>.</v>
      </c>
      <c r="AV1997" s="1194" t="str">
        <f t="shared" si="428"/>
        <v>.</v>
      </c>
      <c r="AW1997" s="1194" t="str">
        <f t="shared" si="437"/>
        <v>.</v>
      </c>
      <c r="AX1997" s="1194">
        <f>IFERROR(VLOOKUP(B1997,'Share, Heavy Weapons to Ukraine'!B:Z,COLUMN('Share, Heavy Weapons to Ukraine'!C2005)-1,0),0)</f>
        <v>0</v>
      </c>
      <c r="AY1997" s="1194">
        <v>0</v>
      </c>
      <c r="AZ1997" s="1194" t="str">
        <f>IF(AND(AD1997=1,D1997="Military",H1997&lt;&gt;"Not given")=TRUE,IF(SUMIFS(P:P,A:A,A1997)&gt;0,ABS((SUMIFS(P:P,A:A,A1997)/VLOOKUP("USD",'Exchange Rates'!B:C,2,0)))/S1997,"."),".")</f>
        <v>.</v>
      </c>
      <c r="BA1997" s="1196" t="str">
        <f>IF(AND(AD1997=1,D1997="Military",H1997&lt;&gt;"Not given")=TRUE,IF(SUMIFS(P:P,A:A,A1997)&gt;0,IF((ABS((SUMIFS(P:P,A:A,A1997)/VLOOKUP("USD",'Exchange Rates'!B:C,2,0)))/S1997)&gt;1,(SUMIFS(P:P,A:A,A1997)-S1997)/S1997,(S1997-SUMIFS(P:P,A:A,A1997))/SUMIFS(P:P,A:A,A1997)),"."),".")</f>
        <v>.</v>
      </c>
    </row>
    <row r="1998" spans="1:53" ht="15.95" customHeight="1">
      <c r="A1998" s="1180" t="s">
        <v>4497</v>
      </c>
      <c r="B1998" s="1180" t="s">
        <v>4468</v>
      </c>
      <c r="C1998" s="1181">
        <v>45051</v>
      </c>
      <c r="D1998" s="1182" t="s">
        <v>389</v>
      </c>
      <c r="E1998" s="1182" t="s">
        <v>4468</v>
      </c>
      <c r="F1998" s="1183" t="s">
        <v>4498</v>
      </c>
      <c r="G1998" s="1184" t="s">
        <v>483</v>
      </c>
      <c r="H1998" s="1185">
        <v>1000000000</v>
      </c>
      <c r="I1998" s="1180" t="s">
        <v>364</v>
      </c>
      <c r="J1998" s="1186" t="str">
        <f>VLOOKUP($I1998,'Price List, Weapons &amp; Items'!B:C,2,0)</f>
        <v>.</v>
      </c>
      <c r="K1998" s="1186" t="str">
        <f>IF(I1998=".",I1998,VLOOKUP($I1998,'Price List, Weapons &amp; Items'!B:D,3,0))</f>
        <v>.</v>
      </c>
      <c r="L1998" s="1187">
        <f>VLOOKUP(I1998,'Price List, Weapons &amp; Items'!B:E,4,0)</f>
        <v>0</v>
      </c>
      <c r="M1998" s="1188" t="s">
        <v>364</v>
      </c>
      <c r="N1998" s="1188" t="s">
        <v>364</v>
      </c>
      <c r="O1998" s="1188" t="str">
        <f>VLOOKUP($I1998,'Price List, Weapons &amp; Items'!B:G,6,0)</f>
        <v>.</v>
      </c>
      <c r="P1998" s="1185" t="str">
        <f t="shared" si="429"/>
        <v>.</v>
      </c>
      <c r="Q1998" s="1185" t="str">
        <f t="shared" si="430"/>
        <v>.</v>
      </c>
      <c r="R1998" s="1185">
        <f t="shared" si="426"/>
        <v>1000000000</v>
      </c>
      <c r="S1998" s="1185">
        <f>IF(AND(AD1998=1,R1998&lt;&gt;".")=TRUE,R1998/VLOOKUP(G1998,'Exchange Rates'!B:C,2,0),IF(R1998=".",".",""))</f>
        <v>1000000000</v>
      </c>
      <c r="T1998" s="1185" t="str">
        <f>IF(AD1998=1,IF(AF1998="Value is not given at all",".",IF(AF1998="Value is given by the source",S1998,IF(AF1998="Value is calculated with prices",(IF(SUMIFS(Q:Q,A:A,A1998)&gt;0,SUMIFS(Q:Q,A:A,A1998),"."))/VLOOKUP("USD",'Exchange Rates'!B:C,2,0),"Error with coding"))),"")</f>
        <v>.</v>
      </c>
      <c r="U1998" s="1184" t="s">
        <v>365</v>
      </c>
      <c r="V1998" s="980" t="s">
        <v>4499</v>
      </c>
      <c r="W1998" s="980" t="s">
        <v>4496</v>
      </c>
      <c r="X1998" s="981" t="s">
        <v>364</v>
      </c>
      <c r="Y1998" s="1190" t="s">
        <v>364</v>
      </c>
      <c r="Z1998" s="1184">
        <v>0</v>
      </c>
      <c r="AA1998" s="1191">
        <v>1</v>
      </c>
      <c r="AB1998" s="1180" t="s">
        <v>364</v>
      </c>
      <c r="AC1998" s="1192" t="str">
        <f>""</f>
        <v/>
      </c>
      <c r="AD1998" s="1193">
        <v>1</v>
      </c>
      <c r="AE1998" s="1193" t="s">
        <v>368</v>
      </c>
      <c r="AF1998" s="1193" t="s">
        <v>369</v>
      </c>
      <c r="AG1998" s="1193">
        <v>1</v>
      </c>
      <c r="AH1998" s="1193">
        <v>17</v>
      </c>
      <c r="AI1998" s="1193">
        <v>0</v>
      </c>
      <c r="AJ1998" s="1193">
        <f>VLOOKUP($I1998,'Price List, Weapons &amp; Items'!B:F,5,0)</f>
        <v>0</v>
      </c>
      <c r="AK1998" s="1193">
        <f t="shared" si="431"/>
        <v>0</v>
      </c>
      <c r="AL1998" s="1193">
        <f t="shared" si="432"/>
        <v>0</v>
      </c>
      <c r="AM1998" s="1193">
        <f t="shared" si="433"/>
        <v>0</v>
      </c>
      <c r="AN1998" s="1194" t="str">
        <f>VLOOKUP($I1998,'Price List, Weapons &amp; Items'!B:L,COLUMN('Price List, Weapons &amp; Items'!$J$11)-1,0)</f>
        <v>.</v>
      </c>
      <c r="AO1998" s="1194" t="str">
        <f>IF(I1998=".",".",VLOOKUP($I1998,'Price List, Weapons &amp; Items'!B:J,3,0))</f>
        <v>.</v>
      </c>
      <c r="AP1998" s="1195" t="str">
        <f t="shared" ca="1" si="427"/>
        <v>.</v>
      </c>
      <c r="AQ1998" s="1194">
        <f>VLOOKUP($I1998,'Price List, Weapons &amp; Items'!B:L,COLUMN('Price List, Weapons &amp; Items'!$L$11)-1,0)</f>
        <v>0</v>
      </c>
      <c r="AR1998" s="1194">
        <f t="shared" si="434"/>
        <v>1</v>
      </c>
      <c r="AS1998" s="1194">
        <f t="shared" si="435"/>
        <v>0</v>
      </c>
      <c r="AT1998" s="1194">
        <f t="shared" si="436"/>
        <v>1</v>
      </c>
      <c r="AU1998" s="1194" t="str">
        <f t="shared" si="425"/>
        <v>.</v>
      </c>
      <c r="AV1998" s="1194" t="str">
        <f t="shared" si="428"/>
        <v>.</v>
      </c>
      <c r="AW1998" s="1194" t="str">
        <f t="shared" si="437"/>
        <v>.</v>
      </c>
      <c r="AX1998" s="1194">
        <f>IFERROR(VLOOKUP(B1998,'Share, Heavy Weapons to Ukraine'!B:Z,COLUMN('Share, Heavy Weapons to Ukraine'!C2006)-1,0),0)</f>
        <v>0</v>
      </c>
      <c r="AY1998" s="1194">
        <v>0</v>
      </c>
      <c r="AZ1998" s="1194" t="str">
        <f>IF(AND(AD1998=1,D1998="Military",H1998&lt;&gt;"Not given")=TRUE,IF(SUMIFS(P:P,A:A,A1998)&gt;0,ABS((SUMIFS(P:P,A:A,A1998)/VLOOKUP("USD",'Exchange Rates'!B:C,2,0)))/S1998,"."),".")</f>
        <v>.</v>
      </c>
      <c r="BA1998" s="1196" t="str">
        <f>IF(AND(AD1998=1,D1998="Military",H1998&lt;&gt;"Not given")=TRUE,IF(SUMIFS(P:P,A:A,A1998)&gt;0,IF((ABS((SUMIFS(P:P,A:A,A1998)/VLOOKUP("USD",'Exchange Rates'!B:C,2,0)))/S1998)&gt;1,(SUMIFS(P:P,A:A,A1998)-S1998)/S1998,(S1998-SUMIFS(P:P,A:A,A1998))/SUMIFS(P:P,A:A,A1998)),"."),".")</f>
        <v>.</v>
      </c>
    </row>
    <row r="1999" spans="1:53" s="1329" customFormat="1" ht="15.95" customHeight="1">
      <c r="A1999" s="1180" t="s">
        <v>4500</v>
      </c>
      <c r="B1999" s="1180" t="s">
        <v>4501</v>
      </c>
      <c r="C1999" s="1181">
        <v>44624</v>
      </c>
      <c r="D1999" s="1182" t="s">
        <v>544</v>
      </c>
      <c r="E1999" s="1182" t="s">
        <v>714</v>
      </c>
      <c r="F1999" s="1183" t="s">
        <v>4502</v>
      </c>
      <c r="G1999" s="1184" t="s">
        <v>483</v>
      </c>
      <c r="H1999" s="1185">
        <v>2000000000</v>
      </c>
      <c r="I1999" s="1180" t="s">
        <v>364</v>
      </c>
      <c r="J1999" s="1186" t="str">
        <f>VLOOKUP($I1999,'Price List, Weapons &amp; Items'!B:C,2,0)</f>
        <v>.</v>
      </c>
      <c r="K1999" s="1186" t="str">
        <f>IF(I1999=".",I1999,VLOOKUP($I1999,'Price List, Weapons &amp; Items'!B:D,3,0))</f>
        <v>.</v>
      </c>
      <c r="L1999" s="1187">
        <f>VLOOKUP(I1999,'Price List, Weapons &amp; Items'!B:E,4,0)</f>
        <v>0</v>
      </c>
      <c r="M1999" s="1188" t="s">
        <v>364</v>
      </c>
      <c r="N1999" s="1188" t="s">
        <v>364</v>
      </c>
      <c r="O1999" s="1188" t="str">
        <f>VLOOKUP($I1999,'Price List, Weapons &amp; Items'!B:G,6,0)</f>
        <v>.</v>
      </c>
      <c r="P1999" s="1185" t="str">
        <f t="shared" si="429"/>
        <v>.</v>
      </c>
      <c r="Q1999" s="1185" t="str">
        <f t="shared" si="430"/>
        <v>.</v>
      </c>
      <c r="R1999" s="1185">
        <f t="shared" si="426"/>
        <v>2000000000</v>
      </c>
      <c r="S1999" s="1185">
        <f>IF(AND(AD1999=1,R1999&lt;&gt;".")=TRUE,R1999/VLOOKUP(G1999,'Exchange Rates'!B:C,2,0),IF(R1999=".",".",""))</f>
        <v>2000000000</v>
      </c>
      <c r="T1999" s="1185" t="str">
        <f>IF(AD1999=1,IF(AF1999="Value is not given at all",".",IF(AF1999="Value is given by the source",S1999,IF(AF1999="Value is calculated with prices",(IF(SUMIFS(Q:Q,A:A,A1999)&gt;0,SUMIFS(Q:Q,A:A,A1999),"."))/VLOOKUP("USD",'Exchange Rates'!B:C,2,0),"Error with coding"))),"")</f>
        <v>.</v>
      </c>
      <c r="U1999" s="1184" t="s">
        <v>365</v>
      </c>
      <c r="V1999" s="971" t="s">
        <v>4503</v>
      </c>
      <c r="W1999" s="971" t="s">
        <v>4504</v>
      </c>
      <c r="X1999" s="971" t="s">
        <v>4505</v>
      </c>
      <c r="Y1999" s="1190" t="s">
        <v>364</v>
      </c>
      <c r="Z1999" s="1194">
        <v>0</v>
      </c>
      <c r="AA1999" s="1194">
        <v>0</v>
      </c>
      <c r="AB1999" s="1180" t="s">
        <v>364</v>
      </c>
      <c r="AC1999" s="1192" t="str">
        <f>""</f>
        <v/>
      </c>
      <c r="AD1999" s="985">
        <v>1</v>
      </c>
      <c r="AE1999" s="985" t="s">
        <v>368</v>
      </c>
      <c r="AF1999" s="985" t="s">
        <v>369</v>
      </c>
      <c r="AG1999" s="985">
        <v>1</v>
      </c>
      <c r="AH1999" s="1193">
        <v>3</v>
      </c>
      <c r="AI1999" s="1193">
        <v>0</v>
      </c>
      <c r="AJ1999" s="1193">
        <f>VLOOKUP($I1999,'Price List, Weapons &amp; Items'!B:F,5,0)</f>
        <v>0</v>
      </c>
      <c r="AK1999" s="1193">
        <f t="shared" si="431"/>
        <v>0</v>
      </c>
      <c r="AL1999" s="1193">
        <f t="shared" si="432"/>
        <v>0</v>
      </c>
      <c r="AM1999" s="1193">
        <f t="shared" si="433"/>
        <v>0</v>
      </c>
      <c r="AN1999" s="1194" t="str">
        <f>VLOOKUP($I1999,'Price List, Weapons &amp; Items'!B:L,COLUMN('Price List, Weapons &amp; Items'!$J$11)-1,0)</f>
        <v>.</v>
      </c>
      <c r="AO1999" s="1194" t="str">
        <f>IF(I1999=".",".",VLOOKUP($I1999,'Price List, Weapons &amp; Items'!B:J,3,0))</f>
        <v>.</v>
      </c>
      <c r="AP1999" s="1195" t="str">
        <f t="shared" ca="1" si="427"/>
        <v>.</v>
      </c>
      <c r="AQ1999" s="1194">
        <f>VLOOKUP($I1999,'Price List, Weapons &amp; Items'!B:L,COLUMN('Price List, Weapons &amp; Items'!$L$11)-1,0)</f>
        <v>0</v>
      </c>
      <c r="AR1999" s="1194">
        <f t="shared" si="434"/>
        <v>1</v>
      </c>
      <c r="AS1999" s="1194">
        <f t="shared" si="435"/>
        <v>0</v>
      </c>
      <c r="AT1999" s="1194">
        <f t="shared" si="436"/>
        <v>1</v>
      </c>
      <c r="AU1999" s="1194" t="str">
        <f t="shared" si="425"/>
        <v>.</v>
      </c>
      <c r="AV1999" s="1194" t="str">
        <f t="shared" si="428"/>
        <v>.</v>
      </c>
      <c r="AW1999" s="1194" t="str">
        <f t="shared" si="437"/>
        <v>.</v>
      </c>
      <c r="AX1999" s="1194">
        <f>IFERROR(VLOOKUP(B1999,'Share, Heavy Weapons to Ukraine'!B:Z,COLUMN('Share, Heavy Weapons to Ukraine'!C2007)-1,0),0)</f>
        <v>0</v>
      </c>
      <c r="AY1999" s="1194">
        <v>0</v>
      </c>
      <c r="AZ1999" s="1194" t="str">
        <f>IF(AND(AD1999=1,D1999="Military",H1999&lt;&gt;"Not given")=TRUE,IF(SUMIFS(P:P,A:A,A1999)&gt;0,ABS((SUMIFS(P:P,A:A,A1999)/VLOOKUP("USD",'Exchange Rates'!B:C,2,0)))/S1999,"."),".")</f>
        <v>.</v>
      </c>
      <c r="BA1999" s="1196" t="str">
        <f>IF(AND(AD1999=1,D1999="Military",H1999&lt;&gt;"Not given")=TRUE,IF(SUMIFS(P:P,A:A,A1999)&gt;0,IF((ABS((SUMIFS(P:P,A:A,A1999)/VLOOKUP("USD",'Exchange Rates'!B:C,2,0)))/S1999)&gt;1,(SUMIFS(P:P,A:A,A1999)-S1999)/S1999,(S1999-SUMIFS(P:P,A:A,A1999))/SUMIFS(P:P,A:A,A1999)),"."),".")</f>
        <v>.</v>
      </c>
    </row>
    <row r="2000" spans="1:53" s="1329" customFormat="1" ht="15.95" customHeight="1">
      <c r="A2000" s="1180" t="s">
        <v>4506</v>
      </c>
      <c r="B2000" s="1180" t="s">
        <v>4501</v>
      </c>
      <c r="C2000" s="1181">
        <v>44627</v>
      </c>
      <c r="D2000" s="1182" t="s">
        <v>544</v>
      </c>
      <c r="E2000" s="1182" t="s">
        <v>481</v>
      </c>
      <c r="F2000" s="1183" t="s">
        <v>4507</v>
      </c>
      <c r="G2000" s="1184" t="s">
        <v>483</v>
      </c>
      <c r="H2000" s="1185">
        <v>2500000</v>
      </c>
      <c r="I2000" s="1180" t="s">
        <v>364</v>
      </c>
      <c r="J2000" s="1186" t="str">
        <f>VLOOKUP($I2000,'Price List, Weapons &amp; Items'!B:C,2,0)</f>
        <v>.</v>
      </c>
      <c r="K2000" s="1186" t="str">
        <f>IF(I2000=".",I2000,VLOOKUP($I2000,'Price List, Weapons &amp; Items'!B:D,3,0))</f>
        <v>.</v>
      </c>
      <c r="L2000" s="1187">
        <f>VLOOKUP(I2000,'Price List, Weapons &amp; Items'!B:E,4,0)</f>
        <v>0</v>
      </c>
      <c r="M2000" s="1188" t="s">
        <v>364</v>
      </c>
      <c r="N2000" s="1188" t="s">
        <v>364</v>
      </c>
      <c r="O2000" s="1188" t="str">
        <f>VLOOKUP($I2000,'Price List, Weapons &amp; Items'!B:G,6,0)</f>
        <v>.</v>
      </c>
      <c r="P2000" s="1185" t="str">
        <f t="shared" si="429"/>
        <v>.</v>
      </c>
      <c r="Q2000" s="1185" t="str">
        <f t="shared" si="430"/>
        <v>.</v>
      </c>
      <c r="R2000" s="1185">
        <f t="shared" si="426"/>
        <v>2500000</v>
      </c>
      <c r="S2000" s="1185">
        <f>IF(AND(AD2000=1,R2000&lt;&gt;".")=TRUE,R2000/VLOOKUP(G2000,'Exchange Rates'!B:C,2,0),IF(R2000=".",".",""))</f>
        <v>2500000</v>
      </c>
      <c r="T2000" s="1185" t="str">
        <f>IF(AD2000=1,IF(AF2000="Value is not given at all",".",IF(AF2000="Value is given by the source",S2000,IF(AF2000="Value is calculated with prices",(IF(SUMIFS(Q:Q,A:A,A2000)&gt;0,SUMIFS(Q:Q,A:A,A2000),"."))/VLOOKUP("USD",'Exchange Rates'!B:C,2,0),"Error with coding"))),"")</f>
        <v>.</v>
      </c>
      <c r="U2000" s="1184" t="s">
        <v>365</v>
      </c>
      <c r="V2000" s="971" t="s">
        <v>4508</v>
      </c>
      <c r="W2000" s="980" t="s">
        <v>4509</v>
      </c>
      <c r="X2000" s="1190" t="s">
        <v>364</v>
      </c>
      <c r="Y2000" s="1190" t="s">
        <v>364</v>
      </c>
      <c r="Z2000" s="1194">
        <v>0</v>
      </c>
      <c r="AA2000" s="1194">
        <v>0</v>
      </c>
      <c r="AB2000" s="1180" t="s">
        <v>364</v>
      </c>
      <c r="AC2000" s="1192" t="str">
        <f>""</f>
        <v/>
      </c>
      <c r="AD2000" s="985">
        <v>1</v>
      </c>
      <c r="AE2000" s="985" t="s">
        <v>368</v>
      </c>
      <c r="AF2000" s="985" t="s">
        <v>369</v>
      </c>
      <c r="AG2000" s="985">
        <v>1</v>
      </c>
      <c r="AH2000" s="1193">
        <v>3</v>
      </c>
      <c r="AI2000" s="1193">
        <v>0</v>
      </c>
      <c r="AJ2000" s="1193">
        <f>VLOOKUP($I2000,'Price List, Weapons &amp; Items'!B:F,5,0)</f>
        <v>0</v>
      </c>
      <c r="AK2000" s="1193">
        <f t="shared" si="431"/>
        <v>0</v>
      </c>
      <c r="AL2000" s="1193">
        <f t="shared" si="432"/>
        <v>0</v>
      </c>
      <c r="AM2000" s="1193">
        <f t="shared" si="433"/>
        <v>0</v>
      </c>
      <c r="AN2000" s="1194" t="str">
        <f>VLOOKUP($I2000,'Price List, Weapons &amp; Items'!B:L,COLUMN('Price List, Weapons &amp; Items'!$J$11)-1,0)</f>
        <v>.</v>
      </c>
      <c r="AO2000" s="1194" t="str">
        <f>IF(I2000=".",".",VLOOKUP($I2000,'Price List, Weapons &amp; Items'!B:J,3,0))</f>
        <v>.</v>
      </c>
      <c r="AP2000" s="1195" t="str">
        <f t="shared" ca="1" si="427"/>
        <v>.</v>
      </c>
      <c r="AQ2000" s="1194">
        <f>VLOOKUP($I2000,'Price List, Weapons &amp; Items'!B:L,COLUMN('Price List, Weapons &amp; Items'!$L$11)-1,0)</f>
        <v>0</v>
      </c>
      <c r="AR2000" s="1194">
        <f t="shared" si="434"/>
        <v>1</v>
      </c>
      <c r="AS2000" s="1194">
        <f t="shared" si="435"/>
        <v>0</v>
      </c>
      <c r="AT2000" s="1194">
        <f t="shared" si="436"/>
        <v>1</v>
      </c>
      <c r="AU2000" s="1194" t="str">
        <f t="shared" si="425"/>
        <v>.</v>
      </c>
      <c r="AV2000" s="1194" t="str">
        <f t="shared" si="428"/>
        <v>.</v>
      </c>
      <c r="AW2000" s="1194" t="str">
        <f t="shared" si="437"/>
        <v>.</v>
      </c>
      <c r="AX2000" s="1194">
        <f>IFERROR(VLOOKUP(B2000,'Share, Heavy Weapons to Ukraine'!B:Z,COLUMN('Share, Heavy Weapons to Ukraine'!C2008)-1,0),0)</f>
        <v>0</v>
      </c>
      <c r="AY2000" s="1194">
        <v>0</v>
      </c>
      <c r="AZ2000" s="1194" t="str">
        <f>IF(AND(AD2000=1,D2000="Military",H2000&lt;&gt;"Not given")=TRUE,IF(SUMIFS(P:P,A:A,A2000)&gt;0,ABS((SUMIFS(P:P,A:A,A2000)/VLOOKUP("USD",'Exchange Rates'!B:C,2,0)))/S2000,"."),".")</f>
        <v>.</v>
      </c>
      <c r="BA2000" s="1196" t="str">
        <f>IF(AND(AD2000=1,D2000="Military",H2000&lt;&gt;"Not given")=TRUE,IF(SUMIFS(P:P,A:A,A2000)&gt;0,IF((ABS((SUMIFS(P:P,A:A,A2000)/VLOOKUP("USD",'Exchange Rates'!B:C,2,0)))/S2000)&gt;1,(SUMIFS(P:P,A:A,A2000)-S2000)/S2000,(S2000-SUMIFS(P:P,A:A,A2000))/SUMIFS(P:P,A:A,A2000)),"."),".")</f>
        <v>.</v>
      </c>
    </row>
  </sheetData>
  <autoFilter ref="A1:BT1" xr:uid="{00000000-0001-0000-0200-000000000000}"/>
  <sortState xmlns:xlrd2="http://schemas.microsoft.com/office/spreadsheetml/2017/richdata2" ref="A435:Z1972">
    <sortCondition sortBy="cellColor" ref="V435:V1972"/>
  </sortState>
  <phoneticPr fontId="28" type="noConversion"/>
  <hyperlinks>
    <hyperlink ref="AB16" r:id="rId1" xr:uid="{00000000-0004-0000-0200-000060010000}"/>
    <hyperlink ref="AB13" r:id="rId2" xr:uid="{00000000-0004-0000-0200-000061010000}"/>
    <hyperlink ref="AB1053" r:id="rId3" xr:uid="{00000000-0004-0000-0200-000062010000}"/>
    <hyperlink ref="AB168" r:id="rId4" xr:uid="{00000000-0004-0000-0200-000063010000}"/>
    <hyperlink ref="AB309" r:id="rId5" xr:uid="{00000000-0004-0000-0200-000064010000}"/>
    <hyperlink ref="AB1259" r:id="rId6" xr:uid="{00000000-0004-0000-0200-000065010000}"/>
    <hyperlink ref="AB153" r:id="rId7" xr:uid="{00000000-0004-0000-0200-000073010000}"/>
    <hyperlink ref="AB155" r:id="rId8" xr:uid="{00000000-0004-0000-0200-000074010000}"/>
    <hyperlink ref="AB156" r:id="rId9" xr:uid="{00000000-0004-0000-0200-000075010000}"/>
    <hyperlink ref="AB161" r:id="rId10" xr:uid="{00000000-0004-0000-0200-000076010000}"/>
    <hyperlink ref="AB162" r:id="rId11" xr:uid="{00000000-0004-0000-0200-000077010000}"/>
    <hyperlink ref="AB166" r:id="rId12" xr:uid="{00000000-0004-0000-0200-000078010000}"/>
    <hyperlink ref="AB171" r:id="rId13" xr:uid="{00000000-0004-0000-0200-00007C010000}"/>
    <hyperlink ref="AB491" r:id="rId14" xr:uid="{00000000-0004-0000-0200-000082010000}"/>
    <hyperlink ref="AB797" r:id="rId15" xr:uid="{00000000-0004-0000-0200-000083010000}"/>
    <hyperlink ref="AB1375" r:id="rId16" xr:uid="{00000000-0004-0000-0200-000086010000}"/>
    <hyperlink ref="AB157" r:id="rId17" xr:uid="{00000000-0004-0000-0200-000087010000}"/>
    <hyperlink ref="AB490" r:id="rId18" xr:uid="{00000000-0004-0000-0200-000088010000}"/>
    <hyperlink ref="AB881" r:id="rId19" xr:uid="{00000000-0004-0000-0200-00008A010000}"/>
    <hyperlink ref="AB884" r:id="rId20" xr:uid="{00000000-0004-0000-0200-00008B010000}"/>
    <hyperlink ref="AB883" r:id="rId21" xr:uid="{00000000-0004-0000-0200-00008C010000}"/>
    <hyperlink ref="AB882" r:id="rId22" xr:uid="{00000000-0004-0000-0200-00008D010000}"/>
    <hyperlink ref="AB885" r:id="rId23" xr:uid="{00000000-0004-0000-0200-00008F010000}"/>
    <hyperlink ref="AB1050" r:id="rId24" xr:uid="{00000000-0004-0000-0200-000092010000}"/>
    <hyperlink ref="AB1051" r:id="rId25" xr:uid="{00000000-0004-0000-0200-000093010000}"/>
    <hyperlink ref="AB1196" r:id="rId26" xr:uid="{00000000-0004-0000-0200-000094010000}"/>
    <hyperlink ref="AB1197" r:id="rId27" xr:uid="{00000000-0004-0000-0200-000095010000}"/>
    <hyperlink ref="AB1253" r:id="rId28" xr:uid="{00000000-0004-0000-0200-000096010000}"/>
    <hyperlink ref="AB1257" r:id="rId29" xr:uid="{00000000-0004-0000-0200-000097010000}"/>
    <hyperlink ref="AB1258" r:id="rId30" xr:uid="{00000000-0004-0000-0200-000098010000}"/>
    <hyperlink ref="AB1260" r:id="rId31" xr:uid="{00000000-0004-0000-0200-000099010000}"/>
    <hyperlink ref="AB1296" r:id="rId32" xr:uid="{00000000-0004-0000-0200-00009A010000}"/>
    <hyperlink ref="AB1373" r:id="rId33" xr:uid="{00000000-0004-0000-0200-00009D010000}"/>
    <hyperlink ref="AB1374" r:id="rId34" xr:uid="{00000000-0004-0000-0200-00009E010000}"/>
    <hyperlink ref="AB1386" r:id="rId35" xr:uid="{00000000-0004-0000-0200-00009F010000}"/>
    <hyperlink ref="AB1380" r:id="rId36" xr:uid="{00000000-0004-0000-0200-0000A0010000}"/>
    <hyperlink ref="AB54" r:id="rId37" xr:uid="{00000000-0004-0000-0200-0000B8010000}"/>
    <hyperlink ref="AB55" r:id="rId38" xr:uid="{00000000-0004-0000-0200-0000B9010000}"/>
    <hyperlink ref="AB56" r:id="rId39" xr:uid="{00000000-0004-0000-0200-0000BA010000}"/>
    <hyperlink ref="AB53" r:id="rId40" xr:uid="{00000000-0004-0000-0200-0000BB010000}"/>
    <hyperlink ref="AB151" r:id="rId41" xr:uid="{00000000-0004-0000-0200-0000BC010000}"/>
    <hyperlink ref="AB152" r:id="rId42" xr:uid="{00000000-0004-0000-0200-0000BD010000}"/>
    <hyperlink ref="AB163" r:id="rId43" xr:uid="{00000000-0004-0000-0200-0000BE010000}"/>
    <hyperlink ref="AB164" r:id="rId44" xr:uid="{00000000-0004-0000-0200-0000BF010000}"/>
    <hyperlink ref="AB170" r:id="rId45" xr:uid="{00000000-0004-0000-0200-0000C0010000}"/>
    <hyperlink ref="AB210" r:id="rId46" xr:uid="{00000000-0004-0000-0200-0000C1010000}"/>
    <hyperlink ref="AB861:AB866" r:id="rId47" display="https://twitter.com/edgarsrinkevics/status/1511694357560180745?ref_src=twsrc%5Etfw%7Ctwcamp%5Etweetembed%7Ctwterm%5E1511694357560180745%7Ctwgr%5E%7Ctwcon%5Es1_&amp;ref_url=https%3A%2F%2Fwww.redditmedia.com%2Fmediaembed%2Ftxqhaq%3Fresponsive%3Dtrueis_nightmode%3Dfalse" xr:uid="{00000000-0004-0000-0200-0000C3010000}"/>
    <hyperlink ref="AB227:AB238" r:id="rId48" display="https://www.vlada.cz/cz/media-centrum/aktualne/vlada-schvalila-dalsi-dar-v-podobe-vojenskeho-materialu-ukrajine-194585/" xr:uid="{00000000-0004-0000-0200-0000D3010000}"/>
    <hyperlink ref="AB226" r:id="rId49" xr:uid="{00000000-0004-0000-0200-0000D4010000}"/>
    <hyperlink ref="AB239:AB244" r:id="rId50" display="https://www.rferl.org/a/czech-republic-poland-new-military-aid-ukraine/31873938.html" xr:uid="{00000000-0004-0000-0200-0000D7010000}"/>
    <hyperlink ref="AB246:AB247" r:id="rId51" display="Czech Republic, Poland Set New Rounds Of Military Aid To Ukraine (rferl.org)" xr:uid="{00000000-0004-0000-0200-0000D8010000}"/>
    <hyperlink ref="AB245" r:id="rId52" xr:uid="{00000000-0004-0000-0200-0000D9010000}"/>
    <hyperlink ref="AB248" r:id="rId53" xr:uid="{00000000-0004-0000-0200-0000DA010000}"/>
    <hyperlink ref="AB249" r:id="rId54" xr:uid="{00000000-0004-0000-0200-0000DB010000}"/>
    <hyperlink ref="AB250" r:id="rId55" xr:uid="{00000000-0004-0000-0200-0000DC010000}"/>
    <hyperlink ref="AB251" r:id="rId56" xr:uid="{00000000-0004-0000-0200-0000DE010000}"/>
    <hyperlink ref="AB18:AB19" r:id="rId57" display="https://www.armyrecognition.com/defense_news_may_2022_global_security_army_industry/australia_announces_delivery_of_14_m113_tracked_apcs_and_20_bushmaster_armored_vehicles_to_ukraine.html" xr:uid="{00000000-0004-0000-0200-0000E5010000}"/>
    <hyperlink ref="AB14:AB15" r:id="rId58" display="https://www.armyrecognition.com/defense_news_may_2022_global_security_army_industry/australia_announces_delivery_of_14_m113_tracked_apcs_and_20_bushmaster_armored_vehicles_to_ukraine.html" xr:uid="{00000000-0004-0000-0200-0000E6010000}"/>
    <hyperlink ref="AB1033:AB1035" r:id="rId59" display="https://www.rnz.co.nz/news/national/464762/first-shipment-of-nz-defence-equipment-arrives-to-aid-ukraine" xr:uid="{00000000-0004-0000-0200-0000E8010000}"/>
    <hyperlink ref="AB1054:AB1060" r:id="rId60" display="https://www-forsvaret-no.translate.goog/aktuelt-og-presse/aktuelt/sender-militaerutstyr-og-vapen-til-ukraina?_x_tr_sl=auto&amp;_x_tr_tl=auto&amp;_x_tr_hl=de" xr:uid="{00000000-0004-0000-0200-0000E9010000}"/>
    <hyperlink ref="AB1137" r:id="rId61" xr:uid="{00000000-0004-0000-0200-0000ED010000}"/>
    <hyperlink ref="AB281:AB282" r:id="rId62" display="https://english.radio.cz/czech-republic-sends-further-humanitarian-aid-ukraine-8752601" xr:uid="{00000000-0004-0000-0200-0000FB010000}"/>
    <hyperlink ref="AB333:AB351" r:id="rId63" display="https://www.ukrinform.net/rubric-polytics/3501933-estonia-has-provided-240m-in-military-aid-to-ukraine-korniyenko.html" xr:uid="{00000000-0004-0000-0200-0000FC010000}"/>
    <hyperlink ref="AB795" r:id="rId64" xr:uid="{00000000-0004-0000-0200-0000FD010000}"/>
    <hyperlink ref="AB1377:AB1378" r:id="rId65" display="https://www.forces.net/technology/weapons-and-kit/latest-military-aid-being-sent-ukraine-west" xr:uid="{00000000-0004-0000-0200-0000FE010000}"/>
    <hyperlink ref="AB1061:AB1064" r:id="rId66" display="https://www-regjeringen-no.translate.goog/no/aktuelt/norge-har-donert-artilleriskyts-til-ukraina/id2917760/?_x_tr_sl=auto&amp;_x_tr_tl=auto&amp;_x_tr_hl=de" xr:uid="{00000000-0004-0000-0200-0000FF010000}"/>
    <hyperlink ref="AB1187" r:id="rId67" xr:uid="{00000000-0004-0000-0200-000002020000}"/>
    <hyperlink ref="AB1296:AB1299" r:id="rId68" display="https://www.reuters.com/world/europe/sweden-provide-ukraine-with-5000-more-anti-tank-weapons-tt-news-agency-2022-03-23/" xr:uid="{00000000-0004-0000-0200-000003020000}"/>
    <hyperlink ref="AB1137:AB1143" r:id="rId69" display="https://www.theportugalnews.com/news/2022-04-07/portugal-to-send-more-military-material-to-ukraine/66259" xr:uid="{00000000-0004-0000-0200-000006020000}"/>
    <hyperlink ref="AB246" r:id="rId70" xr:uid="{00000000-0004-0000-0200-00001C020000}"/>
    <hyperlink ref="AB247" r:id="rId71" xr:uid="{00000000-0004-0000-0200-00001D020000}"/>
    <hyperlink ref="AB333:AB352" r:id="rId72" display="https://www.ukrinform.net/rubric-polytics/3501933-estonia-has-provided-240m-in-military-aid-to-ukraine-korniyenko.html" xr:uid="{00000000-0004-0000-0200-000021020000}"/>
    <hyperlink ref="AB965" r:id="rId73" xr:uid="{00000000-0004-0000-0200-000052020000}"/>
    <hyperlink ref="AB169" r:id="rId74" xr:uid="{00000000-0004-0000-0200-000072020000}"/>
    <hyperlink ref="AB1107" r:id="rId75" xr:uid="{00000000-0004-0000-0200-00007A020000}"/>
    <hyperlink ref="AB1108" r:id="rId76" xr:uid="{00000000-0004-0000-0200-00007B020000}"/>
    <hyperlink ref="AB1109" r:id="rId77" xr:uid="{00000000-0004-0000-0200-00007C020000}"/>
    <hyperlink ref="AB1110" r:id="rId78" xr:uid="{00000000-0004-0000-0200-00007D020000}"/>
    <hyperlink ref="AB1111" r:id="rId79" xr:uid="{00000000-0004-0000-0200-00007E020000}"/>
    <hyperlink ref="AB1112" r:id="rId80" xr:uid="{00000000-0004-0000-0200-00007F020000}"/>
    <hyperlink ref="AB1113" r:id="rId81" xr:uid="{00000000-0004-0000-0200-000080020000}"/>
    <hyperlink ref="AB1114" r:id="rId82" xr:uid="{00000000-0004-0000-0200-000081020000}"/>
    <hyperlink ref="AB1115" r:id="rId83" xr:uid="{00000000-0004-0000-0200-000082020000}"/>
    <hyperlink ref="AB1116" r:id="rId84" xr:uid="{00000000-0004-0000-0200-000083020000}"/>
    <hyperlink ref="AB1201" r:id="rId85" xr:uid="{00000000-0004-0000-0200-000089020000}"/>
    <hyperlink ref="AB1240" r:id="rId86" xr:uid="{00000000-0004-0000-0200-00008E020000}"/>
    <hyperlink ref="AB254" r:id="rId87" xr:uid="{00000000-0004-0000-0200-00009C020000}"/>
    <hyperlink ref="AB1391" r:id="rId88" xr:uid="{00000000-0004-0000-0200-00009D020000}"/>
    <hyperlink ref="AB1202:AB1203" r:id="rId89" display="https://twitter.com/JaroNad/status/1537194189066223616?ref_src=twsrc%5Etfw%7Ctwcamp%5Etweetembed%7Ctwterm%5E1537194189066223616%7Ctwgr%5E%7Ctwcon%5Es1_&amp;ref_url=https%3A%2F%2Fgagadget.com%2Fen%2F138212-slovakia-handed-over-to-ukraine-mi-17-and-mi-2-helicopters-as-well-as-ammunition-for-the-grad-mlrs%2F" xr:uid="{00000000-0004-0000-0200-0000AC020000}"/>
    <hyperlink ref="AB1146" r:id="rId90" xr:uid="{00000000-0004-0000-0200-0000B2020000}"/>
    <hyperlink ref="AB867" r:id="rId91" xr:uid="{00000000-0004-0000-0200-0000B5020000}"/>
    <hyperlink ref="AB888" r:id="rId92" xr:uid="{00000000-0004-0000-0200-0000B6020000}"/>
    <hyperlink ref="AB1390" r:id="rId93" xr:uid="{00000000-0004-0000-0200-0000BE020000}"/>
    <hyperlink ref="AB1243" r:id="rId94" xr:uid="{00000000-0004-0000-0200-0000C6020000}"/>
    <hyperlink ref="AB1242" r:id="rId95" xr:uid="{00000000-0004-0000-0200-0000E4020000}"/>
    <hyperlink ref="AB868" r:id="rId96" xr:uid="{00000000-0004-0000-0200-0000F1020000}"/>
    <hyperlink ref="AB869" r:id="rId97" xr:uid="{00000000-0004-0000-0200-0000F4020000}"/>
    <hyperlink ref="AB870" r:id="rId98"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00000000-0004-0000-0200-0000F6020000}"/>
    <hyperlink ref="AB1307" r:id="rId99" xr:uid="{00000000-0004-0000-0200-0000FC020000}"/>
    <hyperlink ref="AB1405" r:id="rId100" display="https://twitter.com/oleksiireznikov/status/1557992937006448640?ref_src=twsrc%5Etfw%7Ctwcamp%5Etweetembed%7Ctwterm%5E1557992937006448640%7Ctwgr%5E16758fa5587714e685f2d4c6e1ff01d7fa7e3e2e%7Ctwcon%5Es1_&amp;ref_url=https%3A%2F%2Fwww.slovoidilo.ua%2F2022%2F08%2F12%2Fnovyna%2Fbezpeka%2Fukrayinu-prybuly-novi-rszv-m270-brytaniyi" xr:uid="{00000000-0004-0000-0200-000006030000}"/>
    <hyperlink ref="AB353" r:id="rId101" xr:uid="{00000000-0004-0000-0200-0000A4030000}"/>
    <hyperlink ref="AB355" r:id="rId102" xr:uid="{00000000-0004-0000-0200-0000A7030000}"/>
    <hyperlink ref="AB356" r:id="rId103" xr:uid="{00000000-0004-0000-0200-0000AC030000}"/>
    <hyperlink ref="AB1397" r:id="rId104" xr:uid="{00000000-0004-0000-0200-0000C8030000}"/>
    <hyperlink ref="AB1065" r:id="rId105" xr:uid="{00000000-0004-0000-0200-0000CF030000}"/>
    <hyperlink ref="AB20" r:id="rId106" xr:uid="{00000000-0004-0000-0200-0000D8030000}"/>
    <hyperlink ref="AB300" r:id="rId107" xr:uid="{00000000-0004-0000-0200-0000EC030000}"/>
    <hyperlink ref="AB301" r:id="rId108" xr:uid="{00000000-0004-0000-0200-0000ED030000}"/>
    <hyperlink ref="AB303" r:id="rId109" xr:uid="{00000000-0004-0000-0200-0000EE030000}"/>
    <hyperlink ref="AB302" r:id="rId110" xr:uid="{00000000-0004-0000-0200-0000EF030000}"/>
    <hyperlink ref="AB305" r:id="rId111" xr:uid="{00000000-0004-0000-0200-0000F4030000}"/>
    <hyperlink ref="AB306:AB308" r:id="rId112" display="https://www.armyrecognition.com/defense_news_april_2022_global_security_army_industry/denmark_approves_delivery_of_m113_tracked_armored_vehicles_and_ammunition_to_ukraine.html" xr:uid="{00000000-0004-0000-0200-0000F5030000}"/>
    <hyperlink ref="AB417" r:id="rId113" xr:uid="{00000000-0004-0000-0200-000004040000}"/>
    <hyperlink ref="AB826" r:id="rId114" xr:uid="{00000000-0004-0000-0200-000015040000}"/>
    <hyperlink ref="AB834" r:id="rId115" xr:uid="{00000000-0004-0000-0200-000016040000}"/>
    <hyperlink ref="AB453" r:id="rId116" xr:uid="{00000000-0004-0000-0200-000038040000}"/>
    <hyperlink ref="AB454" r:id="rId117" xr:uid="{00000000-0004-0000-0200-000039040000}"/>
    <hyperlink ref="AB455" r:id="rId118" xr:uid="{00000000-0004-0000-0200-00003A040000}"/>
    <hyperlink ref="AB456" r:id="rId119" xr:uid="{00000000-0004-0000-0200-00003B040000}"/>
    <hyperlink ref="AB457" r:id="rId120" xr:uid="{00000000-0004-0000-0200-00003C040000}"/>
    <hyperlink ref="AB458" r:id="rId121" xr:uid="{00000000-0004-0000-0200-00003D040000}"/>
    <hyperlink ref="AB459" r:id="rId122" xr:uid="{00000000-0004-0000-0200-00003E040000}"/>
    <hyperlink ref="AB493" r:id="rId123" xr:uid="{00000000-0004-0000-0200-000040040000}"/>
    <hyperlink ref="AB499" r:id="rId124" xr:uid="{00000000-0004-0000-0200-000042040000}"/>
    <hyperlink ref="AB803" r:id="rId125" xr:uid="{00000000-0004-0000-0200-000046040000}"/>
    <hyperlink ref="AB806" r:id="rId126" xr:uid="{00000000-0004-0000-0200-000051040000}"/>
    <hyperlink ref="AB952" r:id="rId127" xr:uid="{00000000-0004-0000-0200-000069040000}"/>
    <hyperlink ref="AB1272" r:id="rId128" xr:uid="{00000000-0004-0000-0200-000070040000}"/>
    <hyperlink ref="AB1385" r:id="rId129" xr:uid="{00000000-0004-0000-0200-000077040000}"/>
    <hyperlink ref="AB1415" r:id="rId130" xr:uid="{00000000-0004-0000-0200-000087040000}"/>
    <hyperlink ref="AB1370" r:id="rId131" xr:uid="{00000000-0004-0000-0200-00008F040000}"/>
    <hyperlink ref="AB1394" r:id="rId132" xr:uid="{00000000-0004-0000-0200-00009F040000}"/>
    <hyperlink ref="AB836" r:id="rId133" xr:uid="{00000000-0004-0000-0200-0000A0040000}"/>
    <hyperlink ref="AB494" r:id="rId134" xr:uid="{00000000-0004-0000-0200-0000EA040000}"/>
    <hyperlink ref="AB422" r:id="rId135" location="35b98872" xr:uid="{00000000-0004-0000-0200-0000EF040000}"/>
    <hyperlink ref="AB423" r:id="rId136" location="35b98872" xr:uid="{00000000-0004-0000-0200-0000F0040000}"/>
    <hyperlink ref="AB425" r:id="rId137" location="35b98872" xr:uid="{00000000-0004-0000-0200-0000F1040000}"/>
    <hyperlink ref="AB1636" r:id="rId138" xr:uid="{00000000-0004-0000-0200-0000F2040000}"/>
    <hyperlink ref="AB1640" r:id="rId139" xr:uid="{00000000-0004-0000-0200-0000F3040000}"/>
    <hyperlink ref="AB899" r:id="rId140" xr:uid="{00000000-0004-0000-0200-0000FE040000}"/>
    <hyperlink ref="AB900" r:id="rId141" xr:uid="{00000000-0004-0000-0200-0000FF040000}"/>
    <hyperlink ref="AB901" r:id="rId142" xr:uid="{00000000-0004-0000-0200-000000050000}"/>
    <hyperlink ref="AB889" r:id="rId143" xr:uid="{00000000-0004-0000-0200-000001050000}"/>
    <hyperlink ref="AB890" r:id="rId144" xr:uid="{00000000-0004-0000-0200-000002050000}"/>
    <hyperlink ref="AB1264" r:id="rId145" xr:uid="{00000000-0004-0000-0200-000008050000}"/>
    <hyperlink ref="AB1265" r:id="rId146" xr:uid="{00000000-0004-0000-0200-00000A050000}"/>
    <hyperlink ref="AB1266" r:id="rId147" xr:uid="{00000000-0004-0000-0200-00000B050000}"/>
    <hyperlink ref="AB1267" r:id="rId148" xr:uid="{00000000-0004-0000-0200-00000D050000}"/>
    <hyperlink ref="AB1268" r:id="rId149" xr:uid="{00000000-0004-0000-0200-00000E050000}"/>
    <hyperlink ref="AB1269" r:id="rId150" xr:uid="{00000000-0004-0000-0200-00000F050000}"/>
    <hyperlink ref="AB1270" r:id="rId151" xr:uid="{00000000-0004-0000-0200-000010050000}"/>
    <hyperlink ref="AB1271" r:id="rId152" xr:uid="{00000000-0004-0000-0200-000011050000}"/>
    <hyperlink ref="AB1273" r:id="rId153" xr:uid="{00000000-0004-0000-0200-000012050000}"/>
    <hyperlink ref="AB1274" r:id="rId154" xr:uid="{00000000-0004-0000-0200-000013050000}"/>
    <hyperlink ref="AB1388" r:id="rId155" xr:uid="{00000000-0004-0000-0200-000017050000}"/>
    <hyperlink ref="AB1389" r:id="rId156" xr:uid="{00000000-0004-0000-0200-000018050000}"/>
    <hyperlink ref="AB1399" r:id="rId157" xr:uid="{00000000-0004-0000-0200-00001B050000}"/>
    <hyperlink ref="AB1400" r:id="rId158" xr:uid="{00000000-0004-0000-0200-00001C050000}"/>
    <hyperlink ref="AB1401" r:id="rId159" xr:uid="{00000000-0004-0000-0200-00001D050000}"/>
    <hyperlink ref="AB1402" r:id="rId160" xr:uid="{00000000-0004-0000-0200-00001E050000}"/>
    <hyperlink ref="AB905" r:id="rId161" xr:uid="{00000000-0004-0000-0200-000038050000}"/>
    <hyperlink ref="AB906" r:id="rId162" xr:uid="{00000000-0004-0000-0200-00003C050000}"/>
    <hyperlink ref="AB907" r:id="rId163" xr:uid="{00000000-0004-0000-0200-00003E050000}"/>
    <hyperlink ref="AB930" r:id="rId164" xr:uid="{00000000-0004-0000-0200-000048050000}"/>
    <hyperlink ref="AB951" r:id="rId165" xr:uid="{00000000-0004-0000-0200-00004B050000}"/>
    <hyperlink ref="AB984" r:id="rId166" xr:uid="{00000000-0004-0000-0200-000052050000}"/>
    <hyperlink ref="AB985" r:id="rId167" xr:uid="{00000000-0004-0000-0200-000053050000}"/>
    <hyperlink ref="AB498" r:id="rId168" xr:uid="{00000000-0004-0000-0200-000075050000}"/>
    <hyperlink ref="AB1205" r:id="rId169" xr:uid="{00000000-0004-0000-0200-000091050000}"/>
    <hyperlink ref="AB426" r:id="rId170" xr:uid="{00000000-0004-0000-0200-000097050000}"/>
    <hyperlink ref="AB1308" r:id="rId171" xr:uid="{00000000-0004-0000-0200-0000A3050000}"/>
    <hyperlink ref="AB1118" r:id="rId172" xr:uid="{00000000-0004-0000-0200-0000C0050000}"/>
    <hyperlink ref="AB1119" r:id="rId173" xr:uid="{00000000-0004-0000-0200-0000C2050000}"/>
    <hyperlink ref="AB1117" r:id="rId174" xr:uid="{00000000-0004-0000-0200-0000C4050000}"/>
    <hyperlink ref="AB1120" r:id="rId175" xr:uid="{00000000-0004-0000-0200-0000C7050000}"/>
    <hyperlink ref="AB723" r:id="rId176" xr:uid="{00000000-0004-0000-0200-0000CF050000}"/>
    <hyperlink ref="AB747" r:id="rId177" display="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xr:uid="{00000000-0004-0000-0200-0000D4050000}"/>
    <hyperlink ref="AB713" r:id="rId178" xr:uid="{00000000-0004-0000-0200-0000E4050000}"/>
    <hyperlink ref="AB715" r:id="rId179" location=":~:text=Greece%20sent%20Ukraine%20military%20equipment%20compatible%20with%20that,rocket%20launchers%2C%20aligning%20itself%20with%20NATO%E2%80%99s%20indirect%20assistance.?msclkid=6dac7726ab8911ec980d9386f90d3180" display="https://www.thenationalherald.com/russias-ukraine-invasion-sees-greece-taking-bigger-nato-role/#:~:text=Greece%20sent%20Ukraine%20military%20equipment%20compatible%20with%20that,rocket%20launchers%2C%20aligning%20itself%20with%20NATO%E2%80%99s%20indirect%20assistance.?msclkid=6dac7726ab8911ec980d9386f90d3180" xr:uid="{00000000-0004-0000-0200-0000E6050000}"/>
    <hyperlink ref="AB534" r:id="rId180" display="https://www.bundesregierung.de/breg-en/news/military-support-ukraine-2054992" xr:uid="{00000000-0004-0000-0200-000010060000}"/>
    <hyperlink ref="AB354" r:id="rId181" xr:uid="{00000000-0004-0000-0200-000031060000}"/>
    <hyperlink ref="AB359" r:id="rId182" xr:uid="{00000000-0004-0000-0200-000032060000}"/>
    <hyperlink ref="AB357:AB358" r:id="rId183" display="https://news.err.ee/1608793648/estonia-s-total-military-aid-to-ukraine-to-date-approaching-300-million" xr:uid="{00000000-0004-0000-0200-000037060000}"/>
    <hyperlink ref="AB113:AB116" r:id="rId184" location=":~:text=So%20far%2C%20Belgium%20has%20allocated,and%20the%20battle%20against%20impunity" display="https://diplomatie.belgium.be/en/policy/policy-areas/highlighted/civilian-aid-ukraine-overview#:~:text=So%20far%2C%20Belgium%20has%20allocated,and%20the%20battle%20against%20impunity" xr:uid="{00000000-0004-0000-0200-000039060000}"/>
    <hyperlink ref="AB176" r:id="rId185" xr:uid="{00000000-0004-0000-0200-00003C060000}"/>
    <hyperlink ref="AB175" r:id="rId186" xr:uid="{00000000-0004-0000-0200-00003D060000}"/>
    <hyperlink ref="AB259" r:id="rId187" xr:uid="{00000000-0004-0000-0200-00003E060000}"/>
    <hyperlink ref="AB716" r:id="rId188" xr:uid="{00000000-0004-0000-0200-000042060000}"/>
    <hyperlink ref="AB717" r:id="rId189" xr:uid="{00000000-0004-0000-0200-000043060000}"/>
    <hyperlink ref="AB718" r:id="rId190" xr:uid="{00000000-0004-0000-0200-000044060000}"/>
    <hyperlink ref="AB719" r:id="rId191" xr:uid="{00000000-0004-0000-0200-000045060000}"/>
    <hyperlink ref="AB720" r:id="rId192" xr:uid="{00000000-0004-0000-0200-000046060000}"/>
    <hyperlink ref="AB721" r:id="rId193" xr:uid="{00000000-0004-0000-0200-000047060000}"/>
    <hyperlink ref="AB722" r:id="rId194" xr:uid="{00000000-0004-0000-0200-000048060000}"/>
    <hyperlink ref="AB886" r:id="rId195" xr:uid="{00000000-0004-0000-0200-000049060000}"/>
    <hyperlink ref="AB887" r:id="rId196" xr:uid="{00000000-0004-0000-0200-00004A060000}"/>
    <hyperlink ref="AB891" r:id="rId197" xr:uid="{00000000-0004-0000-0200-00004C060000}"/>
    <hyperlink ref="AB892" r:id="rId198" xr:uid="{00000000-0004-0000-0200-00004D060000}"/>
    <hyperlink ref="AB893" r:id="rId199" xr:uid="{00000000-0004-0000-0200-00004E060000}"/>
    <hyperlink ref="AB894" r:id="rId200" xr:uid="{00000000-0004-0000-0200-00004F060000}"/>
    <hyperlink ref="AB895" r:id="rId201" display="https://twitter.com/Lithuanian_MoD/status/1567446474312540160?ref_src=twsrc%5Etfw%7Ctwcamp%5Etweetembed%7Ctwterm%5E1567446474312540160%7Ctwgr%5E4672a6b5ec4c4f6cf0f7166371f51fb78182c17f%7Ctwcon%5Es1_&amp;ref_url=https%3A%2F%2Fwww.eurointegration.com.ua%2Fnews%2F2022%2F09%2F7%2F7146332%2F" xr:uid="{00000000-0004-0000-0200-000050060000}"/>
    <hyperlink ref="AB896" r:id="rId202" display="https://twitter.com/Lithuanian_MoD/status/1567446474312540160?ref_src=twsrc%5Etfw%7Ctwcamp%5Etweetembed%7Ctwterm%5E1567446474312540160%7Ctwgr%5E4672a6b5ec4c4f6cf0f7166371f51fb78182c17f%7Ctwcon%5Es1_&amp;ref_url=https%3A%2F%2Fwww.eurointegration.com.ua%2Fnews%2F2022%2F09%2F7%2F7146332%2F" xr:uid="{00000000-0004-0000-0200-000051060000}"/>
    <hyperlink ref="AB125" r:id="rId203" xr:uid="{00000000-0004-0000-0200-00007B060000}"/>
    <hyperlink ref="AB126:AB129" r:id="rId204" display="https://www.mod.bg/bg/news.php?&amp;fn_page=2" xr:uid="{00000000-0004-0000-0200-00007C060000}"/>
    <hyperlink ref="AB953" r:id="rId205" xr:uid="{00000000-0004-0000-0200-000080060000}"/>
    <hyperlink ref="AB1418" r:id="rId206" xr:uid="{00000000-0004-0000-0200-000084060000}"/>
    <hyperlink ref="AB1417" r:id="rId207" xr:uid="{00000000-0004-0000-0200-000085060000}"/>
    <hyperlink ref="AB1244" r:id="rId208" xr:uid="{00000000-0004-0000-0200-000088060000}"/>
    <hyperlink ref="AB1275" r:id="rId209" xr:uid="{00000000-0004-0000-0200-000089060000}"/>
    <hyperlink ref="AB1276" r:id="rId210" xr:uid="{00000000-0004-0000-0200-00008A060000}"/>
    <hyperlink ref="AB1277" r:id="rId211" xr:uid="{00000000-0004-0000-0200-00008B060000}"/>
    <hyperlink ref="AB1236" r:id="rId212" xr:uid="{00000000-0004-0000-0200-000092060000}"/>
    <hyperlink ref="AB479" r:id="rId213" xr:uid="{00000000-0004-0000-0200-00009B060000}"/>
    <hyperlink ref="AB487" r:id="rId214" xr:uid="{00000000-0004-0000-0200-0000A6060000}"/>
    <hyperlink ref="AB466" r:id="rId215" xr:uid="{00000000-0004-0000-0200-0000A9060000}"/>
    <hyperlink ref="AB468:AB477" r:id="rId216" display="https://ua.ambafrance.org/Dostavka-1000-t-francuz-koyi-gumaniitarnoyi-dopomogi-ukrayins-kim-adresatam-v" xr:uid="{00000000-0004-0000-0200-0000AA060000}"/>
    <hyperlink ref="AB467" r:id="rId217" xr:uid="{00000000-0004-0000-0200-0000B0060000}"/>
    <hyperlink ref="AB1453" r:id="rId218" xr:uid="{00000000-0004-0000-0200-00006A080000}"/>
    <hyperlink ref="AB1454:AB1596" r:id="rId219" display="https://crsreports.congress.gov/product/pdf/IF/IF12040" xr:uid="{00000000-0004-0000-0200-00006B080000}"/>
    <hyperlink ref="AB714" r:id="rId220" location=":~:text=Greece%20sent%20Ukraine%20military%20equipment%20compatible%20with%20that,rocket%20launchers%2C%20aligning%20itself%20with%20NATO%E2%80%99s%20indirect%20assistance.?msclkid=6dac7726ab8911ec980d9386f90d3180" display="https://www.thenationalherald.com/russias-ukraine-invasion-sees-greece-taking-bigger-nato-role/#:~:text=Greece%20sent%20Ukraine%20military%20equipment%20compatible%20with%20that,rocket%20launchers%2C%20aligning%20itself%20with%20NATO%E2%80%99s%20indirect%20assistance.?msclkid=6dac7726ab8911ec980d9386f90d3180" xr:uid="{00000000-0004-0000-0200-0000730B0000}"/>
    <hyperlink ref="AB492" r:id="rId221" xr:uid="{00000000-0004-0000-0200-00007F0B0000}"/>
    <hyperlink ref="V441" r:id="rId222" xr:uid="{028191B3-98F3-4775-81D6-CB5205878EEF}"/>
    <hyperlink ref="V839" r:id="rId223" xr:uid="{36AEF719-C71A-4977-849B-FEE4F660564A}"/>
    <hyperlink ref="V961" r:id="rId224" xr:uid="{699F8666-3DF2-401F-B094-BB6ADC43578E}"/>
    <hyperlink ref="V845" r:id="rId225" xr:uid="{916F1ECE-82FA-4AFE-A73B-FCA4E010A269}"/>
    <hyperlink ref="V881" r:id="rId226" xr:uid="{E4E8CD74-467E-4433-BEC6-5FD3D9841D27}"/>
    <hyperlink ref="W436:W440" r:id="rId227" display="https://www.lefigaro.fr/flash-actu/la-france-a-envoye-33-tonnes-d-aide-humanitaire-pour-l-ukraine-20220228" xr:uid="{BDB251A5-978C-4F97-AD4D-F2C76C93E069}"/>
    <hyperlink ref="W961" r:id="rId228" xr:uid="{A9761BEE-B013-477B-A7C8-262ECE9BDFE3}"/>
    <hyperlink ref="V63" r:id="rId229" xr:uid="{1BDA3C7B-7D77-4DBB-A4F3-94728D777A78}"/>
    <hyperlink ref="V289" r:id="rId230" xr:uid="{ED892553-6F69-42A4-AB2F-4474631762A6}"/>
    <hyperlink ref="V290" r:id="rId231" xr:uid="{D437C100-F0F1-4FD0-9BBB-BE962E9CDDD8}"/>
    <hyperlink ref="V291" r:id="rId232" xr:uid="{925773B2-0280-42BD-9B38-C3B949901C22}"/>
    <hyperlink ref="V202" r:id="rId233" xr:uid="{5BB7D6E9-DFDB-467C-B0E3-EB5D17DDB5B1}"/>
    <hyperlink ref="V210" r:id="rId234" xr:uid="{CE1DFE60-90AB-4126-A63F-F32880198AC9}"/>
    <hyperlink ref="V795" r:id="rId235" xr:uid="{6668166E-0BB5-4D83-B706-C9EE597DD536}"/>
    <hyperlink ref="V813" r:id="rId236" xr:uid="{15EE35AB-4A63-46A5-B76A-3DEB6381DA17}"/>
    <hyperlink ref="W845" r:id="rId237" xr:uid="{2C01D63E-A4BD-4AF2-A887-8421348B697A}"/>
    <hyperlink ref="V122" r:id="rId238" xr:uid="{A176DA13-DFD9-4446-A01B-0280FD7C9116}"/>
    <hyperlink ref="V783" r:id="rId239" xr:uid="{6D6D3226-ECA9-4E1B-B211-3171660B79EF}"/>
    <hyperlink ref="V1016" r:id="rId240" location=":~:text=Humanitarian%20aid%20for%20Ukraine%20The%20Netherlands%20is%20supporting,available%20for%20victims%20of%20the%20war%20in%20Ukraine.?msclkid=75995df0b05d11eca834a0801d91bf9b" xr:uid="{3FF9B96A-82EF-49A5-81D0-7897EB586942}"/>
    <hyperlink ref="V436:V440" r:id="rId241" display="https://www.diplomatie.gouv.fr/en/country-files/ukraine/news/article/ukraine-france-mobilizes-to-deliver-emergency-medical-aid-to-victims-of-the" xr:uid="{3747B767-D043-4066-8325-419B83AA9EEE}"/>
    <hyperlink ref="W795" r:id="rId242" xr:uid="{012FC478-CA84-49EC-83D9-07CFC47456CC}"/>
    <hyperlink ref="X795" r:id="rId243" xr:uid="{1E6DB0C8-D4E2-4BFE-84CD-DC0CD95268E0}"/>
    <hyperlink ref="X845" r:id="rId244" xr:uid="{92CC4908-C693-429C-BF66-215187ECD55E}"/>
    <hyperlink ref="W813" r:id="rId245" xr:uid="{96AA6BD0-E03C-419B-9B33-E10B54D0E2F9}"/>
    <hyperlink ref="W122" r:id="rId246" xr:uid="{391CE4B0-992E-422D-A1D3-F09E58025730}"/>
    <hyperlink ref="W1016" r:id="rId247" xr:uid="{B617AB17-B012-4B0F-A900-D29EBBC1DFD8}"/>
    <hyperlink ref="W202" r:id="rId248" xr:uid="{BEFDA402-5F40-45C5-BAE3-1AC365B2D2B8}"/>
    <hyperlink ref="X202" r:id="rId249" xr:uid="{1F959A6A-E7BF-4C58-9967-3DB86F1257A4}"/>
    <hyperlink ref="W210" r:id="rId250" xr:uid="{72D9E9D6-6B27-4CD6-BCB1-28BB48E7C7D5}"/>
    <hyperlink ref="X210" r:id="rId251" xr:uid="{26E331E2-31BF-489A-BB93-32C47A9413B3}"/>
    <hyperlink ref="X436:X440" r:id="rId252" display="https://www.reuters.com/world/europe/france-offer-100-mln-euros-humanitarian-aid-ukraine-2022-03-01/" xr:uid="{121BD346-D987-4920-97B7-FE9C7AB7CE1C}"/>
    <hyperlink ref="V1017" r:id="rId253" location=":~:text=Humanitarian%20aid%20for%20Ukraine%20The%20Netherlands%20is%20supporting,available%20for%20victims%20of%20the%20war%20in%20Ukraine.?msclkid=75995df0b05d11eca834a0801d91bf9b" xr:uid="{71F8A096-AC16-4F57-8858-27A87A1F9CC9}"/>
    <hyperlink ref="X274" r:id="rId254" xr:uid="{A7492E75-170E-475E-9C06-2C4636EE55B4}"/>
    <hyperlink ref="W274" r:id="rId255" xr:uid="{ADF0B691-BFE9-4A43-9609-A5F9A3E92FEF}"/>
    <hyperlink ref="V274" r:id="rId256" xr:uid="{9C07385F-BA97-4900-B4E0-B92AC9B748D4}"/>
    <hyperlink ref="V275" r:id="rId257" xr:uid="{C16D650F-CD39-43AA-A788-87861D426042}"/>
    <hyperlink ref="V276" r:id="rId258" xr:uid="{7EB8A06E-D985-4A1B-9CB8-EF30F4EDB05C}"/>
    <hyperlink ref="X839" r:id="rId259" xr:uid="{E6E64F4D-3542-4DC4-A44E-E7D0922B4339}"/>
    <hyperlink ref="V846" r:id="rId260" xr:uid="{7A4539D8-736C-4853-BC8D-C5523058709C}"/>
    <hyperlink ref="V882" r:id="rId261" xr:uid="{99F599EE-5357-4F2E-B037-956F8F14ECC2}"/>
    <hyperlink ref="W882" r:id="rId262" xr:uid="{3AEAB81C-D240-4F45-A75F-620B2CDBE4FA}"/>
    <hyperlink ref="W920" r:id="rId263" xr:uid="{ACDB29B7-779A-49B3-8C5A-D3108AC225F3}"/>
    <hyperlink ref="V921" r:id="rId264" xr:uid="{E264BA10-EC0F-446D-B704-00C40DF25F8C}"/>
    <hyperlink ref="V919" r:id="rId265" xr:uid="{1648040D-E2F8-41D4-A42F-F79CAD0A18F6}"/>
    <hyperlink ref="V28" r:id="rId266" location=":~:text=Mit%20der%20bereits%20zweiten%20Hilfslieferung,Plastikhandschuhen%2C%20Schutzbrillen%20und%20Desinfektionsmittel%20entsandt." xr:uid="{8AEDD92D-ECF4-4008-8D07-0BEAEC51D5D0}"/>
    <hyperlink ref="V142" r:id="rId267" xr:uid="{A783CB3B-4053-4768-AD06-851434D74137}"/>
    <hyperlink ref="V153" r:id="rId268" xr:uid="{17975F34-225C-408D-9039-D42BCF000B16}"/>
    <hyperlink ref="W157" r:id="rId269" xr:uid="{C679B66D-DE6A-4989-B4B7-156724334220}"/>
    <hyperlink ref="V164" r:id="rId270" xr:uid="{7E91D8B3-426D-4D53-8DE9-E370C0F5A158}"/>
    <hyperlink ref="W164" r:id="rId271" xr:uid="{FBC7CABE-D360-4C99-9D03-DC210596544A}"/>
    <hyperlink ref="W142" r:id="rId272" xr:uid="{E92FD83C-0FB1-4177-86D0-ED80BAA52E5B}"/>
    <hyperlink ref="W143" r:id="rId273" xr:uid="{B5453D0B-CD04-427B-B286-9B3CE626E3D2}"/>
    <hyperlink ref="W133" r:id="rId274" xr:uid="{83C39CF6-557D-4531-AADE-4D76DFB9C430}"/>
    <hyperlink ref="V133" r:id="rId275" xr:uid="{6DB7F6AA-C6C2-464A-9C96-E5BE90C03772}"/>
    <hyperlink ref="V141" r:id="rId276" xr:uid="{556523A9-D22A-45CF-90C9-607094C76BD8}"/>
    <hyperlink ref="V151" r:id="rId277" xr:uid="{7C9C88F8-9893-4F65-9DAA-66CBBE038C93}"/>
    <hyperlink ref="V152" r:id="rId278" xr:uid="{BCD2193C-9DC9-458C-89B2-68D0BEE80C68}"/>
    <hyperlink ref="X133" r:id="rId279" location=":~:text=The%20federal%20government%20is%20proposing%20to%20assist%20Ukraine%E2%80%99s,loan%20through%20a%20new%20Canada-led%20international%20financial%20program" display="https://www.theglobeandmail.com/canada/article-federal-budget-2022-ukraine-russia-1-billion-loan/#:~:text=The%20federal%20government%20is%20proposing%20to%20assist%20Ukraine%E2%80%99s,loan%20through%20a%20new%20Canada-led%20international%20financial%20program." xr:uid="{052381DD-16F1-48E5-9E48-0C4AC713C0A5}"/>
    <hyperlink ref="W151" r:id="rId280" xr:uid="{0B2E38BE-8A45-4610-8761-4A01010C5AC1}"/>
    <hyperlink ref="V163" r:id="rId281" xr:uid="{A91D2985-C98C-4860-95F4-425AE91FCBC9}"/>
    <hyperlink ref="V161" r:id="rId282" xr:uid="{09699725-331A-436F-8659-3B9F9EF8BE2D}"/>
    <hyperlink ref="V157" r:id="rId283" xr:uid="{E6B638DA-CE3D-4E96-A22E-C2C7CFD3EB63}"/>
    <hyperlink ref="V216" r:id="rId284" xr:uid="{BEB772DA-B9E2-4A4B-BF3A-85DB666F795F}"/>
    <hyperlink ref="W216" r:id="rId285" xr:uid="{DE82C67D-379A-4353-83D1-43AAA57F6063}"/>
    <hyperlink ref="V239" r:id="rId286" xr:uid="{FAE7F0C7-3D61-4DA7-8132-13D3624E552A}"/>
    <hyperlink ref="V245" r:id="rId287" xr:uid="{2DD16B1D-0D9D-4345-B5BE-1AB4D517EBF1}"/>
    <hyperlink ref="W239" r:id="rId288" xr:uid="{88ED17BE-50C8-4BB1-9699-8113BDB6D38D}"/>
    <hyperlink ref="W245" r:id="rId289" xr:uid="{153A84E3-7CD5-4B39-BA09-A9B0236693E3}"/>
    <hyperlink ref="V227" r:id="rId290" xr:uid="{77488777-311F-478B-9F11-7DF5293970A6}"/>
    <hyperlink ref="V247" r:id="rId291" xr:uid="{06387D45-BB9F-4E63-A613-E4F367944CF5}"/>
    <hyperlink ref="V249" r:id="rId292" xr:uid="{26914B8B-1B74-4CEF-80B7-4DDB9A33F12E}"/>
    <hyperlink ref="V248" r:id="rId293" xr:uid="{341F3B13-7C8A-4CFA-BDC6-4DF7FDFA9964}"/>
    <hyperlink ref="V250" r:id="rId294" xr:uid="{B5C5CCE9-53D3-4318-A76A-65FA50D917EB}"/>
    <hyperlink ref="V227:V238" r:id="rId295" display="https://www.vlada.cz/cz/media-centrum/aktualne/vlada-schvalila-dalsi-dar-v-podobe-vojenskeho-materialu-ukrajine-194585/" xr:uid="{E6C821CB-9A0A-43A3-915C-3299B3F4C972}"/>
    <hyperlink ref="W250" r:id="rId296" xr:uid="{A0A5D90B-76AB-47EA-9E02-BA6B3D32AAF2}"/>
    <hyperlink ref="X246" r:id="rId297" xr:uid="{34314D7B-C406-4172-9748-E85516CE873B}"/>
    <hyperlink ref="V251" r:id="rId298" xr:uid="{DD3C8E27-D098-49C8-9A67-A4DB331A0FEC}"/>
    <hyperlink ref="X239" r:id="rId299" xr:uid="{36CA4A0B-D7B3-4963-BD1A-34AFB035CA2E}"/>
    <hyperlink ref="W226" r:id="rId300" xr:uid="{6FA4F805-3BED-4ABA-A76E-048BBBF8262E}"/>
    <hyperlink ref="V226" r:id="rId301" xr:uid="{DD298302-C095-4A46-90FF-2BACDA0914DF}"/>
    <hyperlink ref="V1187" r:id="rId302" xr:uid="{92E1D7B8-7041-4629-8F1F-8B4FFCA25DD8}"/>
    <hyperlink ref="V1198" r:id="rId303" xr:uid="{F8A49963-A1E7-482C-96A1-5EC3BC8FDDA7}"/>
    <hyperlink ref="V1196" r:id="rId304" xr:uid="{3AC4D95B-95C9-4053-BD0F-DF534B48976D}"/>
    <hyperlink ref="V1199" r:id="rId305" xr:uid="{0CEB653E-F31C-4EC7-84C8-565A63FA30D0}"/>
    <hyperlink ref="W1196" r:id="rId306" xr:uid="{8E712052-6869-4900-8064-95FC5255C6E3}"/>
    <hyperlink ref="X1196" r:id="rId307" xr:uid="{37E45F2B-CB4E-4AB3-8EC8-82C009B3C63A}"/>
    <hyperlink ref="V1376" r:id="rId308" xr:uid="{49B953D2-31AE-4C67-8D6D-9672E8873184}"/>
    <hyperlink ref="V1129" r:id="rId309" xr:uid="{843E8482-EC6D-4785-BC5B-9D312A681E2E}"/>
    <hyperlink ref="W1199" r:id="rId310" xr:uid="{41B7A0A4-FEA4-41A1-B14F-0C6D433AC05A}"/>
    <hyperlink ref="V1253:V1255" r:id="rId311" display="https://www.reuters.com/world/europe/spain-send-grenade-launchers-machine-guns-ukraine-minister-says-2022-03-02/" xr:uid="{FC879E10-FAB8-4FB9-AA05-CAE759CFC1B2}"/>
    <hyperlink ref="X1129" r:id="rId312" xr:uid="{23DC0ED7-567E-4975-91A8-547D94D0E47D}"/>
    <hyperlink ref="W1129" r:id="rId313" xr:uid="{6E151426-57E7-4624-B9A2-38A50184B45E}"/>
    <hyperlink ref="V1226" r:id="rId314" xr:uid="{8C055199-F485-438D-93D4-F11F5CFC3402}"/>
    <hyperlink ref="W1187" r:id="rId315" xr:uid="{02C8B4C7-5F08-4599-A2E1-8F9DA93C3CF9}"/>
    <hyperlink ref="X1187" r:id="rId316" xr:uid="{1AF532C4-5258-415E-B491-B6E4D58F0400}"/>
    <hyperlink ref="W1226" r:id="rId317" xr:uid="{D4E194D6-63B7-474D-A12A-0B8479ADCF9C}"/>
    <hyperlink ref="W1253" r:id="rId318" xr:uid="{FE37C03E-5646-4BB4-8B97-D18E8C0C6081}"/>
    <hyperlink ref="V1433" r:id="rId319" xr:uid="{5859509D-11A4-454E-8573-BF294B82E04B}"/>
    <hyperlink ref="W1433" r:id="rId320" xr:uid="{BD8DBD19-EA4F-420B-B4B4-7B05B0A43328}"/>
    <hyperlink ref="X1433" r:id="rId321" xr:uid="{538C6D2D-52C0-4C96-82F4-9B07E28CA80E}"/>
    <hyperlink ref="W1376" r:id="rId322" xr:uid="{9456FA75-9BF3-4A77-A4C7-E78C08C755B7}"/>
    <hyperlink ref="V1375" r:id="rId323" xr:uid="{DDCBD507-CE6A-4BE8-9487-83FF10AE8DF6}"/>
    <hyperlink ref="W1375" r:id="rId324" xr:uid="{00D69A52-804F-4567-8D39-38F7546D2EC5}"/>
    <hyperlink ref="V1256" r:id="rId325" xr:uid="{029DC506-106A-421A-9776-62DE8753C3B8}"/>
    <hyperlink ref="W1256" r:id="rId326" xr:uid="{E6E7FB56-B475-4B62-9F3E-643F8235BEAF}"/>
    <hyperlink ref="V1377:V1378" r:id="rId327" display="https://www.gov.uk/government/speeches/ukraine-foreign-secretary-statement-to-parliament-28-march-2022" xr:uid="{618F183F-3CEB-446D-BD70-05893EB0C55E}"/>
    <hyperlink ref="W1377:W1378" r:id="rId328" display="https://www.gov.uk/government/news/pm-announces-major-new-military-support-package-for-ukraine-24-march-2022" xr:uid="{1521C7C8-1C35-4252-BA0D-CCEA05E38239}"/>
    <hyperlink ref="X1296" r:id="rId329" xr:uid="{ED3BC2C3-5706-43D3-8F4C-4FD3A7144D57}"/>
    <hyperlink ref="W1296" r:id="rId330" xr:uid="{014B69AB-824B-488E-953E-A65D0AE1F805}"/>
    <hyperlink ref="W1296:W1299" r:id="rId331" display="https://www.reuters.com/world/europe/sweden-send-military-aid-ukraine-pm-andersson-2022-02-27/ " xr:uid="{1D86049B-62E2-4220-866D-3250C0FE4EBB}"/>
    <hyperlink ref="X1296:X1299" r:id="rId332" display="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xr:uid="{A0A7833C-1C0D-421B-A819-95D2A9C1860E}"/>
    <hyperlink ref="W1253:W1255" r:id="rId333" display="https://www.aa.com.tr/en/europe/spain-to-send-weapons-to-ukrainian-forces/2520902 " xr:uid="{09E78132-7223-4B16-92CA-658CC4146E55}"/>
    <hyperlink ref="V1196:V1197" r:id="rId334" display="https://twitter.com/eduardheger/status/1498055152045015046" xr:uid="{67F4B505-E58B-4E2C-949A-4BC786451E7C}"/>
    <hyperlink ref="W1196:W1197" r:id="rId335" display="https://spectator.sme.sk/c/22850259/slovakia-will-send-more-military-aid-to-ukraine.html" xr:uid="{661DFA15-9DF9-4E16-8907-99A1F41C7F22}"/>
    <hyperlink ref="X1196:X1197" r:id="rId336" display="https://www.aa.com.tr/en/russia-ukraine-crisis/slovakia-to-send-more-military-supplies-to-ukraine-premier-says/2518136" xr:uid="{D296D5AB-AA67-4C76-B83B-84CEE4B4879F}"/>
    <hyperlink ref="X1379" r:id="rId337" xr:uid="{343F5E39-9882-427A-893A-A7C1CFE19801}"/>
    <hyperlink ref="W1386" r:id="rId338" xr:uid="{4D291BE1-41EE-478A-B8E8-E2AE0732D7AC}"/>
    <hyperlink ref="V1246" r:id="rId339" xr:uid="{D8B57460-F028-4910-A1E6-4986A97882BF}"/>
    <hyperlink ref="W1246" r:id="rId340" xr:uid="{A452ABA9-5E86-4CDC-82A7-D6094259210D}"/>
    <hyperlink ref="V1249" r:id="rId341" xr:uid="{B9D87CA3-5FCC-4ECF-B516-4B48A740F725}"/>
    <hyperlink ref="V1251" r:id="rId342" xr:uid="{9756CFF1-81E1-4907-BDEE-E3EF16F2A4D2}"/>
    <hyperlink ref="W1251" r:id="rId343" xr:uid="{62637C0E-A657-4043-942C-D4D9B27362E4}"/>
    <hyperlink ref="V1431" r:id="rId344" xr:uid="{A72A1260-341F-4030-BA5E-018C9F2D3C46}"/>
    <hyperlink ref="V1430" r:id="rId345" xr:uid="{0503D687-FB9D-4AD4-8EFD-B87AEF7D1362}"/>
    <hyperlink ref="V1373" r:id="rId346" xr:uid="{E0E15E04-B1BC-4F8C-9009-F83057319E7A}"/>
    <hyperlink ref="V1190" r:id="rId347" xr:uid="{97173F0F-3ABF-4C99-808B-B4A0B3709908}"/>
    <hyperlink ref="V1220:V1224" r:id="rId348" display="https://www.gov.si/en/news/2022-02-26-humanitarian-contribution-of-the-republic-of-slovenia-to-the-people-of-ukraine/" xr:uid="{2C365C3F-BCDE-49C4-AAE8-227EC0ED9724}"/>
    <hyperlink ref="W1220:W1224" r:id="rId349" display="https://www.gov.si/en/news/2022-03-01-minister-logar-announces-eur-1-1-million-in-humanitarian-aid-for-ukraine/ " xr:uid="{786EAF2F-B359-4B53-83B5-9801FD6C226F}"/>
    <hyperlink ref="X1220:X1224" r:id="rId350" display="https://www.gov.si/en/news/2022-03-07-eu-development-ministers-on-emergency-humanitarian-aid-to-ukraine/ " xr:uid="{AF787C06-5502-48C4-A32A-052BDCAB620A}"/>
    <hyperlink ref="V1178" r:id="rId351" xr:uid="{FC84E957-CDEB-431B-B6A2-BF674EB41500}"/>
    <hyperlink ref="V1174" r:id="rId352" xr:uid="{F296A9B5-FA7B-4292-800E-4822DC7F0896}"/>
    <hyperlink ref="W1174" r:id="rId353" xr:uid="{97FA6CDB-9FB2-4213-BCBA-1DD8985E93BD}"/>
    <hyperlink ref="V1247" r:id="rId354" xr:uid="{CFE5357D-A399-4468-899D-75E49DF0C70A}"/>
    <hyperlink ref="V1130" r:id="rId355" xr:uid="{FE1A6FA8-4B74-409F-91C4-7E955432E0B6}"/>
    <hyperlink ref="V1188" r:id="rId356" xr:uid="{A1B71158-DAED-4E42-8B59-33F0B61C8654}"/>
    <hyperlink ref="W1188" r:id="rId357" xr:uid="{AFAE4FA2-76A1-47E2-922F-97415BAD6116}"/>
    <hyperlink ref="V1195" r:id="rId358" xr:uid="{E5BE669B-2ED9-4626-B7D6-A3067F5D4124}"/>
    <hyperlink ref="V1227" r:id="rId359" xr:uid="{E92EF1B8-C9F9-4E5E-84C0-4DB88C8C1210}"/>
    <hyperlink ref="X1246" r:id="rId360" xr:uid="{C39FC215-91F6-457E-9A97-7C66B9FEE525}"/>
    <hyperlink ref="V1257" r:id="rId361" xr:uid="{9CBFDCB6-EB44-4AFD-B0F4-3E096A849AD1}"/>
    <hyperlink ref="V1379:V1382" r:id="rId362" display="https://www.gov.uk/government/news/uk-to-bolster-defensive-aid-to-ukraine-with-new-100m-package" xr:uid="{9DAAC174-9A35-4154-9B3A-59797CC2D5CC}"/>
    <hyperlink ref="V1386:V1387" r:id="rId363" display="https://www.gov.uk/government/news/prime-minister-pledges-uks-unwavering-support-to-ukraine-on-visit-to-kyiv-9-april-2022" xr:uid="{A31C4A40-CA07-40AD-AB7B-66CC49AF6DD6}"/>
    <hyperlink ref="W1379:W1382" r:id="rId364" display="https://www.gov.uk/government/speeches/pm-opening-remarks-at-press-conference-with-german-chancellor-olaf-scholz-8-april-2022" xr:uid="{43D2B113-15EB-49F7-A866-9A77297541EF}"/>
    <hyperlink ref="W1227" r:id="rId365" xr:uid="{3134C3D3-B761-4085-ADD4-4B83EAA72B1F}"/>
    <hyperlink ref="V1454" r:id="rId366" xr:uid="{8E2329C4-E9A9-41A7-9646-6A8AEA8996A3}"/>
    <hyperlink ref="V1455" r:id="rId367" xr:uid="{3066FA95-7FE2-46E4-B416-F64F0E2B9754}"/>
    <hyperlink ref="V1456:V1468" r:id="rId368" display="https://www.defense.gov/News/Releases/Release/Article/3007664/fact-sheet-on-us-security-assistance-for-ukraine-roll-up-as-of-april-21-2022/" xr:uid="{28C08E7C-9A9D-4CDC-82AE-723F8A78D23C}"/>
    <hyperlink ref="V1489:V1492" r:id="rId369" display="https://www.defense.gov/News/Releases/Release/Article/3007664/fact-sheet-on-us-security-assistance-for-ukraine-roll-up-as-of-april-21-2022/" xr:uid="{6007AD48-71EB-4C88-880B-1D9EC344058C}"/>
    <hyperlink ref="V28:V35" r:id="rId370" location=":~:text=Mit%20der%20bereits%20zweiten%20Hilfslieferung,Plastikhandschuhen%2C%20Schutzbrillen%20und%20Desinfektionsmittel%20entsandt" display="https://bmi.gv.at/news.aspx?id=44786F67485A5049462F493D#:~:text=Mit%20der%20bereits%20zweiten%20Hilfslieferung,Plastikhandschuhen%2C%20Schutzbrillen%20und%20Desinfektionsmittel%20entsandt." xr:uid="{528BE90C-B7F9-4096-A1ED-E401E6B7CDFE}"/>
    <hyperlink ref="V153:V156" r:id="rId371" display="https://www.canada.ca/en/department-national-defence/news/2022/03/defence-minister-anand-announces-additional-military-support-to-ukraine.html?msclkid=50865665ab9011ecbb2d77d3ecd6e3a6" xr:uid="{992D648E-CD2F-4659-AB15-9DA9546F2478}"/>
    <hyperlink ref="V161:V162" r:id="rId372" display="https://www.canada.ca/en/department-national-defence/news/2022/03/defence-minister-anand-announces-additional-military-support-to-ukraine.html" xr:uid="{0F8879DF-9788-45D1-B574-F6E70EE83611}"/>
    <hyperlink ref="V216:V219" r:id="rId373" display="https://mfa.gov.cy/press-releases/2022/03/09/cyprus-humanitarian-aid-to-ukraine/" xr:uid="{94E5E688-F4A1-4C8C-8CD2-BB91EC197B44}"/>
    <hyperlink ref="W216:W219" r:id="rId374" display="https://cyprus-mail.com/2022/04/06/aid-for-ukraine-now-tops-e2-million/" xr:uid="{AC7C4A71-0484-4912-A1AC-06BE07991768}"/>
    <hyperlink ref="V239:V244" r:id="rId375" display="https://www.vlada.cz/cz/media-centrum/aktualne/vlada-petra-fialy-schvalila-dalsi-vojenskou-pomoc-bojujici-ukrajine-194603/" xr:uid="{04E51614-A02D-4C79-9F09-18110E7554C9}"/>
    <hyperlink ref="W239:W244" r:id="rId376" display="https://www.praguemorning.cz/czech-governmenet-approves-czk-400-million-in-military-aid-for-ukraine/" xr:uid="{1FAE7D9D-B522-488A-A3A7-61033F4BE064}"/>
    <hyperlink ref="X239:X244" r:id="rId377" display="https://www.politico.com/news/2022/03/22/ukraine-weapons-military-aid-00019104" xr:uid="{8E536E87-1E4B-4013-97AB-135430099557}"/>
    <hyperlink ref="V203" r:id="rId378" xr:uid="{B68E1DBB-D550-4716-87CF-0FA4081951B8}"/>
    <hyperlink ref="W203" r:id="rId379" xr:uid="{E6A2CE68-9BD6-4122-BE72-805959B78536}"/>
    <hyperlink ref="V1319" r:id="rId380" xr:uid="{6CBBB860-869D-41BD-A4D9-D220C3A4C3DD}"/>
    <hyperlink ref="V1027" r:id="rId381" xr:uid="{C91CE237-670E-4576-B842-D4854030331D}"/>
    <hyperlink ref="V1318" r:id="rId382" xr:uid="{2EB20137-A466-48BC-B406-ECCCF40A1329}"/>
    <hyperlink ref="V878" r:id="rId383" location=":~:text=The%20Latvian%20government%20has%20directed,of%20military%20aggression%20by%20Russia" xr:uid="{090E5917-1CDA-46DE-BECA-CE5B570E6607}"/>
    <hyperlink ref="W878" r:id="rId384" xr:uid="{9508CCF1-646A-4808-BD5B-8D354F938902}"/>
    <hyperlink ref="V926" r:id="rId385" xr:uid="{4D39ED7A-D499-4B15-97CA-589D95A35D57}"/>
    <hyperlink ref="V57" r:id="rId386" xr:uid="{6EA762E5-FCD8-44D5-ACBB-9722225CAE78}"/>
    <hyperlink ref="V840" r:id="rId387" xr:uid="{AF9B8631-CD79-4773-8BE6-DC1B290DFD83}"/>
    <hyperlink ref="W840" r:id="rId388" xr:uid="{C9C52810-F339-4E33-A243-FF8B5FED6EF6}"/>
    <hyperlink ref="X840" r:id="rId389" xr:uid="{96B191B8-B7E7-4054-9736-F12E2E0A31FE}"/>
    <hyperlink ref="V37" r:id="rId390" xr:uid="{FF59D2A5-07D3-4907-9DC4-613A9DC5B0EF}"/>
    <hyperlink ref="W37" r:id="rId391" xr:uid="{A327E850-C747-488C-BDAE-7DB212F639CA}"/>
    <hyperlink ref="X37" r:id="rId392" xr:uid="{F36A0314-1C66-4F09-82AE-51D391B68B37}"/>
    <hyperlink ref="V166" r:id="rId393" xr:uid="{54225279-7A94-4566-98CD-D1EB3627C704}"/>
    <hyperlink ref="V922" r:id="rId394" xr:uid="{8DDF1DFC-B52C-4349-A0A4-6711A22F1169}"/>
    <hyperlink ref="V884" r:id="rId395" xr:uid="{1B745317-2E15-4D64-B56C-1FDA71A3954E}"/>
    <hyperlink ref="W884" r:id="rId396" xr:uid="{AD2BA1DA-B667-4954-8026-1B440770A5DF}"/>
    <hyperlink ref="V879" r:id="rId397" xr:uid="{2E36EFF0-84DA-41F2-8876-BE910EAC6BC3}"/>
    <hyperlink ref="V53" r:id="rId398" xr:uid="{3CC58D71-E918-4A22-99A7-6F5109A45315}"/>
    <hyperlink ref="W53:W56" r:id="rId399" display="https://www.wienerzeitung.at/nachrichten/politik/oesterreich/2146418-Oesterreich-schickte-Ukraine-Armeeausruestung.html" xr:uid="{E54D3500-097A-459D-85B5-A0AD543FFEFF}"/>
    <hyperlink ref="V278" r:id="rId400" xr:uid="{BF847545-54B6-4A18-AA32-6BD3D7682FA9}"/>
    <hyperlink ref="V279" r:id="rId401" xr:uid="{7B74B1F6-0540-4C7D-A544-757E768651D5}"/>
    <hyperlink ref="V442" r:id="rId402" xr:uid="{316D1CC7-2593-401F-BC40-CFE6B6643B75}"/>
    <hyperlink ref="W442:W446" r:id="rId403" display="https://www.arout.net/france-sends-dozens-of-fire-engines-and-ambulances-to-ukraine-to-support-the-war-against-russia/" xr:uid="{F80AE5AE-AC1E-402A-AC01-DEF87BEB8FFA}"/>
    <hyperlink ref="X490" r:id="rId404" xr:uid="{0BF0475A-EBC0-4AED-B1D5-4439F78FFA76}"/>
    <hyperlink ref="W490" r:id="rId405" xr:uid="{E6AD124A-0235-47EC-82FD-800C8235BBA3}"/>
    <hyperlink ref="V490" r:id="rId406" xr:uid="{E4FCC47B-C54B-4B45-B95A-843C64669B41}"/>
    <hyperlink ref="V486" r:id="rId407" xr:uid="{179C7DCA-63C0-4F1E-9E0A-190FC82B27EC}"/>
    <hyperlink ref="W486" r:id="rId408" xr:uid="{351AB56D-C3FB-4B44-81E0-C28FD375CFFB}"/>
    <hyperlink ref="X486" r:id="rId409" xr:uid="{325ACC8A-9C94-47C8-806A-154A8C4B5A55}"/>
    <hyperlink ref="W1100" r:id="rId410" xr:uid="{69D9D327-152A-491D-B844-693DEB9A5DB9}"/>
    <hyperlink ref="V1100" r:id="rId411" xr:uid="{1C802BE1-DC24-4367-B8EC-A51D60E0CAFC}"/>
    <hyperlink ref="X1100" r:id="rId412" xr:uid="{943FC2CE-9DC4-45AA-A2A7-7B72D4CA289F}"/>
    <hyperlink ref="V1101" r:id="rId413" xr:uid="{C887C194-C2A7-4D7F-89A9-1A09CB176C00}"/>
    <hyperlink ref="V1228:V1233" r:id="rId414" display="https://english.sta.si/3031756/slovenia-to-send-additional-material-aid-to-ukraine" xr:uid="{B3C3BC86-26B3-488F-AAE6-B2E01520FDC5}"/>
    <hyperlink ref="W1228:W1233" r:id="rId415" display="https://www.rtvslo.si/radio-si/news/slovenia-promises-aid-to-ukraine/625786" xr:uid="{C987DEF4-A84C-4F70-AD50-42C0C508F3C3}"/>
    <hyperlink ref="X1228:X1233" r:id="rId416" display="https://babel.ua/en/news/78193-slovenia-will-provide-180-000-in-financial-assistance-to-ukraine" xr:uid="{DA710291-7795-49D0-A86F-ECF6A26ED8BD}"/>
    <hyperlink ref="V1363" r:id="rId417" xr:uid="{CDA7BFC5-1E0C-4242-8977-937E2DA3EADA}"/>
    <hyperlink ref="V1364" r:id="rId418" xr:uid="{594EAC4C-D4B0-45A1-8278-02BE69CAD568}"/>
    <hyperlink ref="W1364" r:id="rId419" xr:uid="{40389F00-8CCC-4ED3-B5D7-9B27B2C0C953}"/>
    <hyperlink ref="V1365" r:id="rId420" xr:uid="{433B92D5-CF3A-4D80-A8B2-1C3713608D96}"/>
    <hyperlink ref="X1364" r:id="rId421" xr:uid="{08F7A955-DE85-4D51-8D06-EC601E64C327}"/>
    <hyperlink ref="V333" r:id="rId422" location=":~:text=Estonian%20people%2C%20government%20and%20private,aid%20to%20Ukraine%20in%20total &amp;text=Govermental%20aid%20means%20means%20assistance,state%20budget%20through%20state%20agencies " xr:uid="{E1AA1BF4-C8C0-4991-83BA-AFB914A8953E}"/>
    <hyperlink ref="V333:V335" r:id="rId423" location=":~:text=Estonian%20people%2C%20government%20and%20private,aid%20to%20Ukraine%20in%20total.&amp;text=Govermental%20aid%20means%20means%20assistance,state%20budget%20through%20state%20agencies" display="https://vm.ee/en/humanitarian-aid-ukraine#:~:text=Estonian%20people%2C%20government%20and%20private,aid%20to%20Ukraine%20in%20total.&amp;text=Govermental%20aid%20means%20means%20assistance,state%20budget%20through%20state%20agencies." xr:uid="{30DC0C93-4694-4D7D-AE38-B241C14F0B90}"/>
    <hyperlink ref="W333" r:id="rId424" xr:uid="{CF54C9D8-EA8A-478E-A62F-E2DF3FBFB189}"/>
    <hyperlink ref="W333:W335" r:id="rId425" display="https://kaitseministeerium.ee/en/news/estonia-donated-missiles-anti-tank-weapon-system-javelin-ukraine" xr:uid="{29224CD2-2DD1-4A52-B903-C6CCCF56CFAD}"/>
    <hyperlink ref="V3" r:id="rId426" xr:uid="{1E0EA1BA-E773-419B-83C9-71594A659642}"/>
    <hyperlink ref="X3" r:id="rId427" xr:uid="{AC5D63FF-4F87-41DF-9E4C-B14232E1278B}"/>
    <hyperlink ref="W3" r:id="rId428" xr:uid="{2F25C80A-8F12-4259-B161-6068F4BC4DF0}"/>
    <hyperlink ref="V1054" r:id="rId429" xr:uid="{6F529F9A-F9DF-4CA0-8D13-85B6274923ED}"/>
    <hyperlink ref="W1054" r:id="rId430" xr:uid="{57907ECB-B59D-4522-BE1C-4406D7578701}"/>
    <hyperlink ref="V1086" r:id="rId431" xr:uid="{4E319157-7B03-44FB-ABF5-CFBB2ED9EE49}"/>
    <hyperlink ref="V1087" r:id="rId432" xr:uid="{166099F7-E88C-41DC-846D-CB16DEDE89DB}"/>
    <hyperlink ref="V1336:V1340" r:id="rId433" display="https://twitter.com/AFADTurkey/status/1497633720068714497" xr:uid="{56E276B9-7214-4206-B034-30DEEAB68E4F}"/>
    <hyperlink ref="V1341" r:id="rId434" xr:uid="{C203D49C-6363-4CE6-90C4-C94EE549285B}"/>
    <hyperlink ref="X204" r:id="rId435" xr:uid="{175F9A7A-4E2F-4034-8E15-6EF242BA2CBC}"/>
    <hyperlink ref="V204" r:id="rId436" xr:uid="{59DA4C0C-B23A-4E03-A518-240C3949B404}"/>
    <hyperlink ref="V1038" r:id="rId437" xr:uid="{AB43BCA3-F1EF-424B-AC31-5014FE593372}"/>
    <hyperlink ref="V1050" r:id="rId438" xr:uid="{B0E113FB-28D8-42F3-836E-972610E2AE9D}"/>
    <hyperlink ref="W1050" r:id="rId439" xr:uid="{D056C398-834C-4454-B73A-D824FD44FADD}"/>
    <hyperlink ref="X1050" r:id="rId440" xr:uid="{C1930296-3B1A-4DFC-B7AF-72D7AFD31EC8}"/>
    <hyperlink ref="X1051" r:id="rId441" xr:uid="{6B811739-453C-4861-AF9D-B5D823D6AF43}"/>
    <hyperlink ref="V1051" r:id="rId442" xr:uid="{1AE7D705-A3EA-4E2D-8EC1-A8C47B540DE2}"/>
    <hyperlink ref="V1052" r:id="rId443" xr:uid="{E0F0B83C-6188-4A33-910C-35CF5F4DDC8E}"/>
    <hyperlink ref="W1051" r:id="rId444" xr:uid="{E725D1E4-81C1-4555-82DB-5BF571851DE5}"/>
    <hyperlink ref="W1052" r:id="rId445" xr:uid="{2BB023CF-1C66-4F8F-B0A8-D731CA3A7A6C}"/>
    <hyperlink ref="W1086" r:id="rId446" xr:uid="{F9C7ADDF-B9C6-4AE3-A950-9000B4F8614A}"/>
    <hyperlink ref="V1094" r:id="rId447" xr:uid="{C6F5621B-BBAB-4ED7-B6CC-B56D301F687A}"/>
    <hyperlink ref="W1094" r:id="rId448" xr:uid="{F5DD3815-9AB4-45F0-B883-B7CD99140B5D}"/>
    <hyperlink ref="V1073" r:id="rId449" xr:uid="{906DE7CB-1523-4485-821E-FF3AB0D7C802}"/>
    <hyperlink ref="W1073" r:id="rId450" xr:uid="{B3D2DD9C-6F88-4B77-8CCB-430132C7E2B9}"/>
    <hyperlink ref="V1036" r:id="rId451" xr:uid="{73B47531-AEE8-459C-8BCA-E63E0DCADBC0}"/>
    <hyperlink ref="W1036" r:id="rId452" xr:uid="{F0257771-8FEA-4915-BFC9-B039A31BAB74}"/>
    <hyperlink ref="X1036" r:id="rId453" xr:uid="{19422283-222E-4CDA-8876-FCE916D3B66D}"/>
    <hyperlink ref="X1037" r:id="rId454" xr:uid="{63BE1EEB-FB48-4709-94F5-5E59ACDD0516}"/>
    <hyperlink ref="W1037" r:id="rId455" xr:uid="{09F20E5B-47A0-49AC-AC0C-D326B59CB6B4}"/>
    <hyperlink ref="V1037" r:id="rId456" xr:uid="{C2E5DA2A-300C-47C6-926C-9945ADB53A6C}"/>
    <hyperlink ref="W1038" r:id="rId457" xr:uid="{F479A8C0-7765-4302-B0D9-A5AE23430FA0}"/>
    <hyperlink ref="V1160" r:id="rId458" xr:uid="{2B9EF313-2672-41CC-BB67-94AE2CEB6C7A}"/>
    <hyperlink ref="W1160" r:id="rId459" xr:uid="{8474BF08-444E-4FB8-9D44-B4971F220671}"/>
    <hyperlink ref="X1160" r:id="rId460" xr:uid="{93AB9EA3-6CA0-49B6-86E0-620D42E47749}"/>
    <hyperlink ref="V1167" r:id="rId461" xr:uid="{43A09366-DCB2-4CA6-BE27-88D086F2E400}"/>
    <hyperlink ref="W1167" r:id="rId462" xr:uid="{1A725CBD-D496-4591-BBD0-9E4203A5D3B3}"/>
    <hyperlink ref="X1166" r:id="rId463" xr:uid="{EA2EFB1D-74F8-44B4-A645-A792C7FBB30D}"/>
    <hyperlink ref="X1161" r:id="rId464" xr:uid="{0A0C6E97-A7D0-42E1-B9B5-3B52757A7883}"/>
    <hyperlink ref="W1161" r:id="rId465" xr:uid="{73CCA0F2-8C90-45F6-A436-97FCD0B84F9A}"/>
    <hyperlink ref="W1166" r:id="rId466" xr:uid="{76770C9F-3597-467A-BA96-E9690A1D2B7D}"/>
    <hyperlink ref="V1161" r:id="rId467" xr:uid="{2D13FD1C-41BA-4C5D-AC16-682BF093CD91}"/>
    <hyperlink ref="V1166" r:id="rId468" xr:uid="{1894FEF4-56D4-4330-B4C5-501EAC90A47E}"/>
    <hyperlink ref="V1033:V1035" r:id="rId469" display="https://www.beehive.govt.nz/release/nz-provide-non-lethal-military-assistance-ukraine" xr:uid="{F9640D36-6A15-4457-9A58-AEBC6B0B03A0}"/>
    <hyperlink ref="W1033:W1035" r:id="rId470" display="https://www.reuters.com/world/new-zealand-provide-ukraine-with-non-lethal-military-assistance-2022-03-21/" xr:uid="{D7EC1B00-FC4D-4A92-B875-5ABA6603BA06}"/>
    <hyperlink ref="V166:V167" r:id="rId471" display="https://www.canada.ca/en/department-national-defence/news/2022/04/canada-announces-artillery-and-other-additional-military-aid-for-ukraine.html" xr:uid="{9AECD4F9-8EAF-4547-AA88-AB9ADE1221CB}"/>
    <hyperlink ref="W166:W167" r:id="rId472" display="https://www.cbc.ca/news/politics/ukraine-m777-howitzer-russia-heavy-artillery-1.6427762" xr:uid="{16682F9C-8F1B-4F3E-BB3B-826FC61C28AD}"/>
    <hyperlink ref="V171:V174" r:id="rId473" display="https://pm.gc.ca/en/news/news-releases/2022/05/08/prime-minister-visits-kyiv-ukraine" xr:uid="{84AB046F-A1CB-4BD8-A41D-4C784760BD05}"/>
    <hyperlink ref="W926" r:id="rId474" xr:uid="{6DBC4245-53DA-427E-BBDC-B8272DCEA4A6}"/>
    <hyperlink ref="V1432" r:id="rId475" xr:uid="{05A1FCF5-B980-4868-BAB4-7A73A5BFE7FF}"/>
    <hyperlink ref="W1432" r:id="rId476" xr:uid="{037313D1-B8A8-49CB-A802-69B77C6964DA}"/>
    <hyperlink ref="W1441" r:id="rId477" xr:uid="{5BC9A4C4-5D53-4F09-8634-EA19A53CD84B}"/>
    <hyperlink ref="V1441" r:id="rId478" xr:uid="{AE428710-7248-4620-A17A-723CAEBA1093}"/>
    <hyperlink ref="V1434" r:id="rId479" xr:uid="{525FBFDB-77F1-46FB-BA33-D67214ECBC16}"/>
    <hyperlink ref="V1435" r:id="rId480" xr:uid="{A2F39F26-7799-4DE8-B626-CC10ED93CD45}"/>
    <hyperlink ref="X333:X335" r:id="rId481" display="https://news.err.ee/1608589426/estonia-s-military-aid-to-ukraine-totals-230-million" xr:uid="{BA6ACBE5-330B-4EF2-81AD-D5E45B63BFD4}"/>
    <hyperlink ref="Y490" r:id="rId482" xr:uid="{E2C82062-C9C6-4171-995E-AF2C257A2B3E}"/>
    <hyperlink ref="W1180" r:id="rId483" xr:uid="{E3C1B574-6AD9-42AA-AB37-15343AB4CD49}"/>
    <hyperlink ref="W124" r:id="rId484" xr:uid="{66F29050-39A7-444E-9AA7-8D8B53870980}"/>
    <hyperlink ref="V124" r:id="rId485" display="https://www.dw.com/bg/%D0%BF%D0%B0%D1%80%D0%BB%D0%B0%D0%BC%D0%B5%D0%BD%D1%82%D1%8A%D1%82-%D1%80%D0%B5%D1%88%D0%B8-%D0%B1%D1%8A%D0%BB%D0%B3%D0%B0%D1%80%D0%B8%D1%8F-%D1%89%D0%B5-%D0%BE%D0%BA%D0%B0%D0%B6%D0%B5-%D0%B2%D0%BE%D0%B5%D0%BD%D0%BD%D0%BE-%D1%82%D0%B5%D1%85%D0%BD%D0%B8%D1%87%D0%B5%D1%81%D0%BA%D0%B0-%D0%BF%D0%BE%D0%BC%D0%BE%D1%89-%D0%BD%D0%B0-%D1%83%D0%BA%D1%80%D0%B0%D0%B9%D0%BD%D0%B0/a-61683857" xr:uid="{BED00EB4-02C7-4F67-B718-FA4576106BBA}"/>
    <hyperlink ref="V16:V17" r:id="rId486" display="https://www.peterdutton.com.au/joint-media-release-australia-to-provide-additional-support-to-ukraine/" xr:uid="{E2C5E1A6-9B25-4A51-B828-40CE8E5BAE40}"/>
    <hyperlink ref="X1094" r:id="rId487" xr:uid="{ECE823DB-F23E-4C4B-A0E5-DAED5D9FF8F9}"/>
    <hyperlink ref="W18" r:id="rId488" xr:uid="{095D0F41-FD9E-4500-86ED-5EC67D37FBAA}"/>
    <hyperlink ref="V1039" r:id="rId489" xr:uid="{00746268-CE19-4C68-985E-0233397D9096}"/>
    <hyperlink ref="W1039" r:id="rId490" xr:uid="{F46DF0BB-3961-4ACF-B309-4831DF9C5AFD}"/>
    <hyperlink ref="V134" r:id="rId491" xr:uid="{39F059E8-306D-4769-8B37-5C49FD119F27}"/>
    <hyperlink ref="W134" r:id="rId492" xr:uid="{B2F31D89-FD76-4549-8E88-5A43EFA271FC}"/>
    <hyperlink ref="V144" r:id="rId493" xr:uid="{6FF583C9-79E2-4E1A-948C-FC91111F13FB}"/>
    <hyperlink ref="W144" r:id="rId494" xr:uid="{E246AB40-B4A9-4D89-B5CA-323DE4D933DB}"/>
    <hyperlink ref="V168" r:id="rId495" xr:uid="{4917FF6D-49EA-46F8-8670-1D1066414353}"/>
    <hyperlink ref="W168" r:id="rId496" xr:uid="{60EDC9D9-2FA1-404A-AF9B-4EF790859E66}"/>
    <hyperlink ref="X168" r:id="rId497" xr:uid="{101C344C-FACA-4B14-85E6-DBB90591A3A8}"/>
    <hyperlink ref="W170" r:id="rId498" xr:uid="{296C10A3-77E6-42C6-8466-E730A51BC99B}"/>
    <hyperlink ref="X170" r:id="rId499" xr:uid="{C5E1FC34-21A8-43D1-AA1F-06E55DD3A384}"/>
    <hyperlink ref="W309" r:id="rId500" xr:uid="{5A7478E5-C775-439A-BF88-C05C3B0EF260}"/>
    <hyperlink ref="X309" r:id="rId501" xr:uid="{D5F4EED2-2943-4C90-BA89-2339EDC9D82C}"/>
    <hyperlink ref="V309" r:id="rId502" xr:uid="{FB974C41-3A5F-4E98-8479-5061E9BC1388}"/>
    <hyperlink ref="V398" r:id="rId503" xr:uid="{CD68763A-C33B-494F-9798-90630085A858}"/>
    <hyperlink ref="V841" r:id="rId504" xr:uid="{92DBFE4B-B920-408D-B318-D5B713E02C26}"/>
    <hyperlink ref="X841" r:id="rId505" xr:uid="{2BCDF80C-B468-47EE-9D4F-A9C050D748E1}"/>
    <hyperlink ref="W841" r:id="rId506" xr:uid="{47FD1861-32D6-4CCF-8BBC-C1D1AA2FC6B3}"/>
    <hyperlink ref="V818" r:id="rId507" xr:uid="{B838402A-C239-4F13-920D-B96E24DC796B}"/>
    <hyperlink ref="W818" r:id="rId508" xr:uid="{B77CB388-A8F7-483E-AFAF-F4FDEA31DBF9}"/>
    <hyperlink ref="V861" r:id="rId509" xr:uid="{EC9ED66E-4A05-4972-936C-A8EA3986B52C}"/>
    <hyperlink ref="V861:V866" r:id="rId510" display="https://www.mfa.gov.lv/en/article/latvian-foreign-ministry-channel-eur-24000000-towards-assistance-ukraine" xr:uid="{580E6990-5520-4F68-B2B9-46D2047E371B}"/>
    <hyperlink ref="V885:V887" r:id="rId511" display="https://interfax.com/newsroom/top-stories/79528/" xr:uid="{20D183CA-7ED0-4818-88E5-6CACD88E5ABF}"/>
    <hyperlink ref="W885:W887" r:id="rId512" display="https://www.lrt.lt/en/news-in-english/19/1702086/lithuania-to-hand-over-eur15-5-million-worth-of-armoured-vehicles-trucks-suvs-to-ukraine" xr:uid="{A72C4612-1CFC-4A10-89A7-D12E2E22D8F5}"/>
    <hyperlink ref="V1021" r:id="rId513" xr:uid="{8FD74D9F-55A2-49A1-9939-E7F9CB6DD6B6}"/>
    <hyperlink ref="V1022" r:id="rId514" xr:uid="{B92A1093-8955-448E-8F32-AFEB3DFB79B7}"/>
    <hyperlink ref="W1250" r:id="rId515" xr:uid="{5BCE56CC-A076-4FF2-B0EE-9463C22C766D}"/>
    <hyperlink ref="X1250" r:id="rId516" xr:uid="{86179AD3-00C6-43EF-930A-A82E0EAE246A}"/>
    <hyperlink ref="V1250" r:id="rId517" xr:uid="{CDA0DCA0-25FD-49FC-A512-F16B1269D7F9}"/>
    <hyperlink ref="X1258" r:id="rId518" xr:uid="{FAAC149C-8593-4B57-8375-E58FE2FEBF35}"/>
    <hyperlink ref="V1258:V1260" r:id="rId519" display="https://www.lamoncloa.gob.es/lang/en/presidente/news/paginas/2022/20220421_visit-to-ukraine.aspx" xr:uid="{91C6C9B9-9022-4966-B252-8099C90F0FDD}"/>
    <hyperlink ref="V1289" r:id="rId520" xr:uid="{A014BCA2-FCA9-47AA-84C5-A81BD7A5C432}"/>
    <hyperlink ref="W1290" r:id="rId521" xr:uid="{F6880C32-8D1D-4A3B-8759-19207ABB792A}"/>
    <hyperlink ref="X1290" r:id="rId522" xr:uid="{3690E77D-2FFF-4C78-A5C0-B276D0C620E6}"/>
    <hyperlink ref="X1289" r:id="rId523" xr:uid="{D0D9ABD6-DE08-4BFB-BC9D-42D65B602552}"/>
    <hyperlink ref="V391" r:id="rId524" xr:uid="{420E6E32-BDEC-4240-B863-4B711FBBEF59}"/>
    <hyperlink ref="V461" r:id="rId525" xr:uid="{83D5293A-CFAD-4419-B2ED-61E31A71AFFD}"/>
    <hyperlink ref="V506" r:id="rId526" xr:uid="{75FF4209-26EA-4101-9644-29AC5D51CCAC}"/>
    <hyperlink ref="V782" r:id="rId527" xr:uid="{09714F3F-20EF-4DD9-AE6D-E10A0B4FA8E6}"/>
    <hyperlink ref="V784:V788" r:id="rId528" display="https://www.esteri.it/en/politica-estera-e-cooperazione-allo-sviluppo/aree_geografiche/europa/litalia-a-sostegno-dellucraina/" xr:uid="{F13D53FD-CBA0-4626-876A-F91EC8A109C0}"/>
    <hyperlink ref="V789" r:id="rId529" xr:uid="{E79E13DE-8774-47C5-AF83-AE3006DF299C}"/>
    <hyperlink ref="W789" r:id="rId530" xr:uid="{1AFF57EE-E6B0-4C42-9BD5-CF22BD1C19D5}"/>
    <hyperlink ref="W790" r:id="rId531" xr:uid="{065B4840-9183-48A8-9DBA-D096CE1D76DE}"/>
    <hyperlink ref="V796" r:id="rId532" xr:uid="{BF3B120D-CFCD-4D89-ADC4-117139C6C279}"/>
    <hyperlink ref="X797:X799" r:id="rId533" display="https://www.fanpage.it/politica/armi-allucraina-arriva-il-terzo-decreto-del-governo-lelenco-e-secretato-come-i-precedenti/" xr:uid="{3676CAD5-8F1B-46C9-A0B0-86712FC3A94C}"/>
    <hyperlink ref="V797:V799" r:id="rId534" display="https://www.gazzettaufficiale.it/atto/serie_generale/caricaDettaglioAtto/originario?atto.dataPubblicazioneGazzetta=2022-05-13&amp;atto.codiceRedazionale=22A02976&amp;elenco30giorni=false" xr:uid="{F4BE91CF-8BB5-419C-8E42-D31EF4021803}"/>
    <hyperlink ref="W796" r:id="rId535" xr:uid="{ED75B775-7900-4732-8B12-105B0243B0FB}"/>
    <hyperlink ref="V1493" r:id="rId536" xr:uid="{96BA4C39-0FBC-46A2-9B83-10E7FF72E88A}"/>
    <hyperlink ref="V1498:V1502" r:id="rId537" display="https://www.defense.gov/News/News-Stories/Article/Article/3038121/additional-100-million-in-howitzers-tactical-vehicles-radars-headed-to-ukraine/source/additional-100-million-in-howitzers-tactical-vehicles-radars-headed-to-ukraine/" xr:uid="{E14467A8-7AD9-48BF-9610-4DD3B76ACFCF}"/>
    <hyperlink ref="W1159" r:id="rId538" xr:uid="{6DF4F40D-04E1-4018-A536-F349105AB611}"/>
    <hyperlink ref="V1146:V1147" r:id="rId539" display="https://mil.in.ua/en/news/portugal-is-preparing-to-hand-over-m113-armored-personnel-carriers-to-ukraine-media/" xr:uid="{CFE66289-57A1-42C4-A514-83B60327344B}"/>
    <hyperlink ref="W1146:W1147" r:id="rId540" display="https://en.defence-ua.com/weapon_and_tech/portugal_to_send_howitzers_and_apcs_to_ukraine-2846.html" xr:uid="{0D89DB56-9C39-4CA8-813A-A4794613FBFC}"/>
    <hyperlink ref="W1195" r:id="rId541" xr:uid="{11F7AED4-7CD1-4F22-9768-FB49A1FCBE88}"/>
    <hyperlink ref="Y333:Y336" r:id="rId542" display="https://news.err.ee/1608555886/estonia-s-220-million-military-aid-to-ukraine-substantially-diversified" xr:uid="{386E57BA-1C8C-4B76-B547-0AA4DA238318}"/>
    <hyperlink ref="W1975" r:id="rId543" xr:uid="{270E0958-CA94-4E29-8EAE-4C130676B667}"/>
    <hyperlink ref="V1975" r:id="rId544" xr:uid="{FF523BFB-AE29-4ADF-B8A3-79845E3782B2}"/>
    <hyperlink ref="V1976" r:id="rId545" xr:uid="{16C2C91F-093E-4D95-BD02-2632E34916F2}"/>
    <hyperlink ref="W1977" r:id="rId546" location=":~:text=Ukraine%3A%20EU%20announces%20new%20aid%20worth%20%E2%82%AC200%20million,Donors%E2%80%99%20Conference%20convened%20jointly%20by%20Poland%20and%20Sweden.?msclkid=2ab08ff4cf8811ec87c245022077fc10" display="https://euneighbourseast.eu/news-and-stories/latest-news/ukraine-eu-announces-new-aid-worth-e200-million-for-displaced-people/#:~:text=Ukraine%3A%20EU%20announces%20new%20aid%20worth%20%E2%82%AC200%20million,Donors%E2%80%99%20Conference%20convened%20jointly%20by%20Poland%20and%20Sweden.?msclkid=2ab08ff4cf8811ec87c245022077fc10" xr:uid="{9B771442-02DF-431C-AC32-6FA4884E4ED6}"/>
    <hyperlink ref="V1990" r:id="rId547" xr:uid="{1A10F0A1-6488-4556-8411-A79A9D4828A3}"/>
    <hyperlink ref="V1991" r:id="rId548" xr:uid="{B5F83EFA-4E5C-4029-BCDA-C8EA70FCEFD7}"/>
    <hyperlink ref="V1992" r:id="rId549" xr:uid="{FDED95BD-5D2B-4190-B953-673F2273FA8C}"/>
    <hyperlink ref="W1992" r:id="rId550" xr:uid="{0ACBA8C2-ADC0-452B-958B-172C930C4784}"/>
    <hyperlink ref="X1992" r:id="rId551" location=":~:text=The%20European%20Union%20agreed%20on%20the%20third%20tranche,of%20military%20equipment%20to%20the%20Ukrainian%20Armed%20Forces" xr:uid="{3B09DD1C-28F6-429B-805E-5A842FA4C6B0}"/>
    <hyperlink ref="V1977" r:id="rId552" xr:uid="{4BBAA31F-6CAF-4DBD-B6DA-E86370D0A423}"/>
    <hyperlink ref="V1999" r:id="rId553" xr:uid="{509A64E9-74A8-48D2-BAF1-B1C14C60DBF6}"/>
    <hyperlink ref="W1999" r:id="rId554" xr:uid="{A86B3D97-70BA-41C5-9556-CA904D644CB6}"/>
    <hyperlink ref="V2000" r:id="rId555" xr:uid="{7B80D9DC-67F4-4021-9BF8-2ECF58856985}"/>
    <hyperlink ref="X1999" r:id="rId556" xr:uid="{0FD98592-C358-4A87-AEE3-90C7A4073939}"/>
    <hyperlink ref="W1976" r:id="rId557" xr:uid="{8AE3248A-24CE-49BB-97DE-A253E552378F}"/>
    <hyperlink ref="V1986" r:id="rId558" xr:uid="{93AC51AB-BD84-4C84-9373-6ECC0C0645B2}"/>
    <hyperlink ref="V1987" r:id="rId559" xr:uid="{040AB0CC-4B76-43E7-B459-1E9764D51A4B}"/>
    <hyperlink ref="W1987" r:id="rId560" location=":~:text=Ukraine%3A%20EU%20announces%20%E2%82%AC120%20million%20grant%20to%20support,preparedness%20and%20management%20at%20central%20and%20local%20levels.?msclkid=23e8a2ecd14011ec870c8ad62e34da3e" display="https://euneighbourseast.eu/news-and-stories/latest-news/ukraine-eu-announces-e120-million-grant-to-support-societal-and-state-resilience/#:~:text=Ukraine%3A%20EU%20announces%20%E2%82%AC120%20million%20grant%20to%20support,preparedness%20and%20management%20at%20central%20and%20local%20levels.?msclkid=23e8a2ecd14011ec870c8ad62e34da3e" xr:uid="{A16F96C2-326D-48ED-BD2B-5CDF24A6EC03}"/>
    <hyperlink ref="V1988" r:id="rId561" xr:uid="{D07F0E29-784E-4847-9E9D-6F848F042E41}"/>
    <hyperlink ref="W1988" r:id="rId562" location="press-releases" xr:uid="{87A0AAE0-7C0D-4140-9F45-6894729D8F03}"/>
    <hyperlink ref="W1993" r:id="rId563" xr:uid="{0DBBF0B2-2D3E-4E7A-B0CA-96C0AF0636FD}"/>
    <hyperlink ref="V1993" r:id="rId564" xr:uid="{A67C8AA8-4462-4CB0-A95B-9086F576EAEF}"/>
    <hyperlink ref="V1974" r:id="rId565" location="eu-civil-protection-mechanism" xr:uid="{0F0F55B0-3C40-4639-8445-ACAAEB719A07}"/>
    <hyperlink ref="V1261" r:id="rId566" xr:uid="{3BA239F4-7DD6-4956-9EE0-E9A6995B01F7}"/>
    <hyperlink ref="W1261" r:id="rId567" xr:uid="{5E11DACB-2988-41A1-B025-C6D875B37C69}"/>
    <hyperlink ref="X1261" r:id="rId568" xr:uid="{CB3B0699-8EF9-4345-B95B-CDC2424118CC}"/>
    <hyperlink ref="V1291" r:id="rId569" xr:uid="{1F054F9B-8E10-42D7-8287-1967A14928FA}"/>
    <hyperlink ref="W36" r:id="rId570" xr:uid="{A4379ACA-0A20-420D-A251-3ED13888980A}"/>
    <hyperlink ref="V36" r:id="rId571" xr:uid="{2008FC38-16F8-4D84-A442-05A7288B4AF8}"/>
    <hyperlink ref="X60" r:id="rId572" xr:uid="{B0550B18-0902-4406-BBDE-7B18B98EEFFA}"/>
    <hyperlink ref="W123" r:id="rId573" xr:uid="{4921DC0F-2063-452B-B45C-1B71FA207B58}"/>
    <hyperlink ref="X123" r:id="rId574" xr:uid="{71B24329-8EE3-4348-A8D8-A480DFF68877}"/>
    <hyperlink ref="V123" r:id="rId575" xr:uid="{789AE5FF-AF7D-48EE-81CF-28EF88E43F98}"/>
    <hyperlink ref="Y125:Y126" r:id="rId576" display="https://www.euractiv.com/section/politics/short_news/bulgaria-sends-helmets-to-ukrain%D0%B5/" xr:uid="{EC579125-0694-4023-AE24-3D63ABD77B1B}"/>
    <hyperlink ref="V221" r:id="rId577" xr:uid="{BDCB0755-D68E-4937-A7F6-EC1250B9BF44}"/>
    <hyperlink ref="W221" r:id="rId578" xr:uid="{8C4ECDD9-2203-40A9-A592-25BCFA141DF0}"/>
    <hyperlink ref="V2" r:id="rId579" xr:uid="{B160CB1C-F80A-4BF0-A5CC-90CC7240D99A}"/>
    <hyperlink ref="W2" r:id="rId580" xr:uid="{B000A752-163E-49A8-B9D6-12AFD8D715D3}"/>
    <hyperlink ref="W6" r:id="rId581" xr:uid="{375207FB-6752-46B0-8F2B-660C8AFA1881}"/>
    <hyperlink ref="V7" r:id="rId582" xr:uid="{82ECE1D2-6C7E-431C-A443-BD0BF992407E}"/>
    <hyperlink ref="X8" r:id="rId583" xr:uid="{C70D21D2-0991-4D73-80B4-858E69D00C8F}"/>
    <hyperlink ref="V14" r:id="rId584" xr:uid="{C3EFE058-DE40-4887-AF5B-6F70A02DEACA}"/>
    <hyperlink ref="V8" r:id="rId585" xr:uid="{B6866D29-3EC1-44BA-B8A8-B5A96F824EC8}"/>
    <hyperlink ref="V1171" r:id="rId586" xr:uid="{BAC35852-2980-44C7-9EC4-417885A3B09F}"/>
    <hyperlink ref="W1171" r:id="rId587" xr:uid="{63EA4280-A78D-4B5C-92CD-6031D7076E5E}"/>
    <hyperlink ref="X1171" r:id="rId588" xr:uid="{ED177D5D-27BB-435E-958D-9ED39DD68E46}"/>
    <hyperlink ref="W1137" r:id="rId589" xr:uid="{B963CCB7-86CA-4B0D-9CC9-E6BDE7D177BB}"/>
    <hyperlink ref="V1137" r:id="rId590" xr:uid="{567063FE-B020-4CE7-90F6-5F67B3ACADA8}"/>
    <hyperlink ref="W1144" r:id="rId591" xr:uid="{B3BA59A6-0A66-49CF-B305-89F6593F34CE}"/>
    <hyperlink ref="V1144" r:id="rId592" xr:uid="{50239CA1-CB78-475D-A32C-F83395D30DCE}"/>
    <hyperlink ref="X1144" r:id="rId593" xr:uid="{A09B911F-983B-410E-B876-13D36761A858}"/>
    <hyperlink ref="W1145" r:id="rId594" xr:uid="{538A9E76-5EDF-4220-9F35-9954DB5DEBB8}"/>
    <hyperlink ref="V1145" r:id="rId595" xr:uid="{1A5656EB-16D1-4448-BEE8-955701F6F874}"/>
    <hyperlink ref="W1131" r:id="rId596" xr:uid="{21301A23-82E0-474E-95E4-B9F972FD4982}"/>
    <hyperlink ref="V1131" r:id="rId597" xr:uid="{B926C76D-E963-4B22-9F1C-F655BFE8368C}"/>
    <hyperlink ref="V1288" r:id="rId598" xr:uid="{1FAF68FF-8023-4512-98E6-EBCCB27FF3B6}"/>
    <hyperlink ref="V1179" r:id="rId599" xr:uid="{D1FE03D4-B4BA-4769-A319-1F2BD0A02DB6}"/>
    <hyperlink ref="X884" r:id="rId600" xr:uid="{A4318B0E-499A-400F-BC25-774B26052917}"/>
    <hyperlink ref="V281:V282" r:id="rId601" display="https://english.radio.cz/czech-republic-sends-further-humanitarian-aid-ukraine-8752601" xr:uid="{DF2BE8FC-7FB5-409E-970E-0560903E5F3A}"/>
    <hyperlink ref="V1061:V1064" r:id="rId602" display="https://www-regjeringen-no.translate.goog/no/aktuelt/norge-har-donert-artilleriskyts-til-ukraina/id2917760/?_x_tr_sl=auto&amp;_x_tr_tl=auto&amp;_x_tr_hl=de" xr:uid="{9466CE07-7B75-412B-A1FF-4F6CDA0DBE40}"/>
    <hyperlink ref="W1061:W1064" r:id="rId603" display="https://www.ukrinform.net/rubric-ato/3502204-norway-donates-22-m109-howitzers-to-ukraine.html" xr:uid="{19D0AD5E-B351-491A-BB53-7C678699D998}"/>
    <hyperlink ref="Y1261" r:id="rId604" xr:uid="{63773CB9-FB1E-469C-9FDA-0DC17CEE0FD3}"/>
    <hyperlink ref="W1301:W1303" r:id="rId605" display="https://twitter.com/AnnLinde/status/1532316643254226945?ref_src=twsrc%5Etfw%7Ctwcamp%5Etweetembed%7Ctwterm%5E1532316643254226945%7Ctwgr%5E%7Ctwcon%5Es1_&amp;ref_url=https%3A%2F%2Fmezha.media%2Fen%2F2022%2F06%2F03%2Frbs-17-swedish-short-range-anti-ship-missile%2F" xr:uid="{FA6DFDEC-83B8-4940-808D-0D2576D321E8}"/>
    <hyperlink ref="W1304" r:id="rId606" display="https://twitter.com/AnnLinde/status/1532316643254226945?ref_src=twsrc%5Etfw%7Ctwcamp%5Etweetembed%7Ctwterm%5E1532316643254226945%7Ctwgr%5E%7Ctwcon%5Es1_&amp;ref_url=https%3A%2F%2Fmezha.media%2Fen%2F2022%2F06%2F03%2Frbs-17-swedish-short-range-anti-ship-missile%2F" xr:uid="{CA576F89-E245-4199-9BA6-C226BA133336}"/>
    <hyperlink ref="W1305" r:id="rId607" display="https://twitter.com/AnnLinde/status/1532316643254226945?ref_src=twsrc%5Etfw%7Ctwcamp%5Etweetembed%7Ctwterm%5E1532316643254226945%7Ctwgr%5E%7Ctwcon%5Es1_&amp;ref_url=https%3A%2F%2Fmezha.media%2Fen%2F2022%2F06%2F03%2Frbs-17-swedish-short-range-anti-ship-missile%2F" xr:uid="{E5D96BE5-B8AC-45EA-A767-DC76647E241B}"/>
    <hyperlink ref="X1301:X1303" r:id="rId608" display="https://www.reuters.com/world/europe/sweden-supply-more-military-aid-including-anti-ship-missiles-ukraine-2022-06-02/" xr:uid="{EA15643D-0B1F-464C-AD75-6A5CDFD8DA22}"/>
    <hyperlink ref="X1304" r:id="rId609" xr:uid="{5F271B9A-5246-41E9-AB17-C2746D15A27C}"/>
    <hyperlink ref="X1305" r:id="rId610" xr:uid="{DEE8370C-359F-432D-9370-8E13F09205A3}"/>
    <hyperlink ref="W797:W800" r:id="rId611" display="https://mil.in.ua/en/news/the-netherlands-italy-and-belgium-have-agreed-to-transfer-the-additional-155-mm-caliber-acs-to-ukraine/" xr:uid="{58F8EFB8-AED8-4D11-A9DA-36B23E1899AD}"/>
    <hyperlink ref="V6" r:id="rId612" xr:uid="{C36964DD-3910-407A-A904-FA82875C2C08}"/>
    <hyperlink ref="W16:W17" r:id="rId613" display="https://www.abc.net.au/news/2022-02-27/australia-send-weapons-nato-ukraine-war-russia/100865712" xr:uid="{897EDA2E-CECD-4F6F-956B-66B2AEC9E8C8}"/>
    <hyperlink ref="W273" r:id="rId614" xr:uid="{19FA9CB6-0C40-4746-9367-E96C79B7CE61}"/>
    <hyperlink ref="X273" r:id="rId615" xr:uid="{10397218-9160-4539-88F3-5702BA143804}"/>
    <hyperlink ref="V273" r:id="rId616" xr:uid="{069A038A-C9C4-4DA6-8360-B01C64FC2DC9}"/>
    <hyperlink ref="V452" r:id="rId617" xr:uid="{9EBE4037-B152-43E9-BE89-0EF409B02751}"/>
    <hyperlink ref="W452" r:id="rId618" xr:uid="{8792139C-30C6-43C9-AC79-083A3E082923}"/>
    <hyperlink ref="X452" r:id="rId619" xr:uid="{3553F300-6672-4398-80D1-1952F04C978F}"/>
    <hyperlink ref="Y797:Y800" r:id="rId620" display="https://www.ilmessaggero.it/mondo/armi_italia_ucraina_inviate_quali_sono_guerra_russia_ultime_notizie-6743279.html" xr:uid="{DA2DEE9B-0602-4E95-8C31-535EC45D2280}"/>
    <hyperlink ref="W204" r:id="rId621" xr:uid="{B34E8B6E-E17C-42B2-A990-2C05AEA20E8E}"/>
    <hyperlink ref="V333:V351" r:id="rId622" location=":~:text=Estonian%20people%2C%20government%20and%20private,aid%20to%20Ukraine%20in%20total &amp;text=Govermental%20aid%20means%20means%20assistance,state%20budget%20through%20state%20agencies" display="https://vm.ee/en/humanitarian-aid-ukraine#:~:text=Estonian%20people%2C%20government%20and%20private,aid%20to%20Ukraine%20in%20total &amp;text=Govermental%20aid%20means%20means%20assistance,state%20budget%20through%20state%20agencies " xr:uid="{03CB7ABD-98DF-48AB-86C9-FE7348F13CA8}"/>
    <hyperlink ref="X333:X352" r:id="rId623" display="https://news.err.ee/1608589426/estonia-s-military-aid-to-ukraine-totals-230-million" xr:uid="{F589F123-3A83-4BD9-A396-67D0D1FCCE1D}"/>
    <hyperlink ref="V435:V440" r:id="rId624" display="https://www.diplomatie.gouv.fr/en/country-files/ukraine/news/article/ukraine-france-mobilizes-to-deliver-emergency-medical-aid-to-victims-of-the" xr:uid="{5863F1C1-5734-40B2-8FAD-939D9929DF05}"/>
    <hyperlink ref="W435:W440" r:id="rId625" display="https://www.lefigaro.fr/flash-actu/la-france-a-envoye-33-tonnes-d-aide-humanitaire-pour-l-ukraine-20220228" xr:uid="{D85A2C48-19C4-4BDA-99F7-E3E8BF7E50C4}"/>
    <hyperlink ref="X435:X440" r:id="rId626" display="https://www.reuters.com/world/europe/france-offer-100-mln-euros-humanitarian-aid-ukraine-2022-03-01/" xr:uid="{25A9C55D-3A4C-4EF5-8C27-5EA3A26CEBE4}"/>
    <hyperlink ref="V442:V446" r:id="rId627" display="https://ec.europa.eu/echo/news-stories/news/ukraine-eu-delivers-additional-assistance-rescue-vehicles-and-emergency-equipment-2022-03-25_de" xr:uid="{8AFD3411-CEC1-4EA9-91C0-4B0EC6238BE9}"/>
    <hyperlink ref="V797:V800" r:id="rId628" display="https://www.gazzettaufficiale.it/atto/serie_generale/caricaDettaglioAtto/originario?atto.dataPubblicazioneGazzetta=2022-05-13&amp;atto.codiceRedazionale=22A02976&amp;elenco30giorni=false" xr:uid="{BF493C17-6A93-4754-85B1-42F2FDCD07FF}"/>
    <hyperlink ref="X797:X800" r:id="rId629" display="https://www.fanpage.it/politica/armi-allucraina-arriva-il-terzo-decreto-del-governo-lelenco-e-secretato-come-i-precedenti/" xr:uid="{BF5E3A41-7480-40F3-BFFF-80BB3BBD7454}"/>
    <hyperlink ref="W1373" r:id="rId630" xr:uid="{63FA4B60-437E-41A3-B27A-61489A9F7B98}"/>
    <hyperlink ref="V1379:V1385" r:id="rId631" display="https://www.gov.uk/government/news/uk-to-bolster-defensive-aid-to-ukraine-with-new-100m-package" xr:uid="{A7177359-09AC-412E-9D16-8A88ADE483FE}"/>
    <hyperlink ref="W1379:W1385" r:id="rId632" display="https://www.gov.uk/government/speeches/pm-opening-remarks-at-press-conference-with-german-chancellor-olaf-scholz-8-april-2022" xr:uid="{9C730195-2632-4BDF-8F5C-71D4B53C14D8}"/>
    <hyperlink ref="X1379:X1385" r:id="rId633" display="https://www.gov.uk/government/news/prime-minister-pledges-uks-unwavering-support-to-ukraine-on-visit-to-kyiv-9-april-2022" xr:uid="{1E0E6CBF-8628-434A-B862-F1EEF5ADCDD0}"/>
    <hyperlink ref="W1386:W1387" r:id="rId634" display="https://edition.cnn.com/2022/04/09/europe/ukraine-uk-boris-johnson-intl-gbr/index.html" xr:uid="{693C2888-9F2F-461B-B879-56D6416F85CC}"/>
    <hyperlink ref="V1493:V1496" r:id="rId635" display="https://www.whitehouse.gov/briefing-room/statements-releases/2022/05/06/statement-by-president-joe-biden-on-additional-security-assistance-to-ukraine/" xr:uid="{AC1D6BB1-990E-40BB-9C96-AB0F8B175DFC}"/>
    <hyperlink ref="V1132" r:id="rId636" xr:uid="{4E3A725F-E554-438E-B2AB-C2F17CEA5961}"/>
    <hyperlink ref="V1159" r:id="rId637" xr:uid="{C68A811D-CF4F-4362-9F43-A9FC6D02C95D}"/>
    <hyperlink ref="V1180" r:id="rId638" xr:uid="{86EF3335-3080-4706-96E1-8397F03D0483}"/>
    <hyperlink ref="X4" r:id="rId639" xr:uid="{5AD0A350-2C3D-49E1-ADE4-BCB9B912B373}"/>
    <hyperlink ref="V4" r:id="rId640" xr:uid="{3FB4A311-7F2E-4E80-94DD-DB0356181787}"/>
    <hyperlink ref="W4" r:id="rId641" xr:uid="{A8FDA04B-438F-487A-B5F1-6816B68AF049}"/>
    <hyperlink ref="X18" r:id="rId642" xr:uid="{BF8EFDFD-8E4F-4D86-B345-EA79F9AAD78B}"/>
    <hyperlink ref="X1061" r:id="rId643" xr:uid="{58D99DC6-058E-43DD-B9B0-49B3B3D22CC7}"/>
    <hyperlink ref="V1066" r:id="rId644" xr:uid="{525AAFD8-7AE8-40E4-AD19-3D6F8B715CA3}"/>
    <hyperlink ref="V1088" r:id="rId645" xr:uid="{2A2930C3-64B8-4825-90C5-010F43832991}"/>
    <hyperlink ref="W1088" r:id="rId646" xr:uid="{D90FBD5D-372C-40CA-A70F-AD38CDC93485}"/>
    <hyperlink ref="V175" r:id="rId647" xr:uid="{6C460557-0C9F-44F0-BBA8-47A9A9751474}"/>
    <hyperlink ref="W175" r:id="rId648" display="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 xr:uid="{24571B8B-FAC9-416B-87AA-CD2B0DEB07FC}"/>
    <hyperlink ref="Y309:Y311" r:id="rId649" display="https://mil.in.ua/en/news/harpoon-what-is-known-about-danish-coastal-missile-systems/" xr:uid="{4341CC07-3E6E-4868-9A5F-85E544E95DC1}"/>
    <hyperlink ref="Y885:Y887" r:id="rId650" display="https://www.lrt.lt/en/news-in-english/19/1702318/lithuania-among-top-15-of-ukraine-s-military-donors-mp" xr:uid="{D7BAB96E-2ED6-44DB-AA49-F87DB5BB8A03}"/>
    <hyperlink ref="V965" r:id="rId651" xr:uid="{C235DED0-B8F8-4840-8F72-A179C254B235}"/>
    <hyperlink ref="V965:V980" r:id="rId652" display="https://english.defensie.nl/latest/news/2022/04/06/a-look-at-the-defence-news-28-march---3-april" xr:uid="{6EFB75A8-6864-4513-9247-D453E458D4B7}"/>
    <hyperlink ref="W965" r:id="rId653" xr:uid="{EFB452E0-27EC-422D-8C91-5A50D9730804}"/>
    <hyperlink ref="X965" r:id="rId654" xr:uid="{470DDE27-B2BA-4499-8BD9-EFBDCB40FE3D}"/>
    <hyperlink ref="Y965" r:id="rId655" xr:uid="{69215653-AFFF-42C9-AC82-8DB1C7004A1F}"/>
    <hyperlink ref="W974" r:id="rId656" xr:uid="{E81DF5CB-BAF9-4C9A-BF94-DA393CACC173}"/>
    <hyperlink ref="X974:X977" r:id="rId657" display="https://www.rijksoverheid.nl/documenten/kamerstukken/2022/02/27/kamerbrief-update-afgifte-vergunning-voor-de-export-van-militaire-goederen-aan-oekraine" xr:uid="{0494A2B9-CBE8-4FFB-A2F8-3FA11B4A8E78}"/>
    <hyperlink ref="W978" r:id="rId658" xr:uid="{871579C8-B5DA-44E0-9E09-69A108C189CB}"/>
    <hyperlink ref="V18:V19" r:id="rId659" display="https://www.peterdutton.com.au/australia-to-provide-armoured-personnel-carriers-and-more-bushmasters-to-ukraine/" xr:uid="{F8D3E7AE-0509-441A-A4FC-FA65856528B8}"/>
    <hyperlink ref="V1978" r:id="rId660" xr:uid="{035334BE-EC17-4DDD-8018-14615B7F4D72}"/>
    <hyperlink ref="V1162" r:id="rId661" xr:uid="{6FEFEA24-E332-486D-9A3E-1AB144C1FCC6}"/>
    <hyperlink ref="W1162" r:id="rId662" xr:uid="{445DE5EA-5FDD-4A29-92DE-8F8DF9C08FE0}"/>
    <hyperlink ref="V199" r:id="rId663" xr:uid="{CB9ADF2B-899D-4EB5-A8C4-0340EFD1470A}"/>
    <hyperlink ref="V200" r:id="rId664" xr:uid="{3CEE44EE-6CF3-42DF-B80E-EE422E8F627D}"/>
    <hyperlink ref="Y133" r:id="rId665" xr:uid="{38E81714-D3A8-41F2-9203-900BC524E726}"/>
    <hyperlink ref="V254" r:id="rId666" xr:uid="{A959CB9C-26B0-40F2-9A8A-60E95122C2CD}"/>
    <hyperlink ref="V259" r:id="rId667" xr:uid="{79983E3A-05A8-4367-8641-4A44FE2F3D46}"/>
    <hyperlink ref="V135" r:id="rId668" location=":~:text=Canada%20will%20provide%20%24200%20million,administrative%20burden%20on%20Ukrainian%20officials" xr:uid="{1D29FA0F-C8DD-43A5-9780-961A0A1966B6}"/>
    <hyperlink ref="W135" r:id="rId669" xr:uid="{94EBA21B-D59D-43CF-B134-EFC29B840241}"/>
    <hyperlink ref="V145" r:id="rId670" location=":~:text=Canada%20will%20provide%20%24200%20million,administrative%20burden%20on%20Ukrainian%20officials" xr:uid="{86A55D20-E642-45DB-98A5-CCFDB3613CC5}"/>
    <hyperlink ref="W145" r:id="rId671" xr:uid="{5636A29C-0040-4C8A-BFD4-AE7036587CE7}"/>
    <hyperlink ref="V146" r:id="rId672" location=":~:text=Canada%20will%20provide%20%24200%20million,administrative%20burden%20on%20Ukrainian%20officials" xr:uid="{A725ADCD-AC72-4608-A350-117F3DDB4B24}"/>
    <hyperlink ref="V462" r:id="rId673" xr:uid="{EA8C0027-B632-4E81-B662-5EFC6D260577}"/>
    <hyperlink ref="V463" r:id="rId674" xr:uid="{9F3A5697-78DA-49BE-B4C9-B9B691316B40}"/>
    <hyperlink ref="V464" r:id="rId675" xr:uid="{F0D7B72E-DC34-433A-A855-C6B40FC27B6E}"/>
    <hyperlink ref="V460" r:id="rId676" xr:uid="{AE6A33D3-0D43-4349-B475-2DA979EE3119}"/>
    <hyperlink ref="V169" r:id="rId677" xr:uid="{D414E3A0-D774-4E3A-ABD2-54B515E5E985}"/>
    <hyperlink ref="V170" r:id="rId678" xr:uid="{ED56ED8D-FD3D-4FD1-8749-08EE7682EC03}"/>
    <hyperlink ref="W169" r:id="rId679" xr:uid="{D4FD6519-CB39-420A-9317-751384C597FA}"/>
    <hyperlink ref="X169" r:id="rId680" xr:uid="{0D378F2F-BE56-4B35-BCD1-E5EBD58B5B80}"/>
    <hyperlink ref="V1106" r:id="rId681" xr:uid="{43AB2F7D-86D8-4C11-9788-1F0DB3BE02FF}"/>
    <hyperlink ref="V1107" r:id="rId682" location=":~:text=Poland%20has%20sent%20at%20least,escalating%20fight%20for%20its%20east" xr:uid="{BBDEF9B6-DCBE-43BC-B7D2-19115E847B98}"/>
    <hyperlink ref="W1107" r:id="rId683" xr:uid="{F04AEDEB-AEDA-485A-A8F7-1E883E3D0AB9}"/>
    <hyperlink ref="X1107" r:id="rId684" xr:uid="{B3668FBE-8760-4BC8-8B9D-F6A0A9358705}"/>
    <hyperlink ref="Y1107" r:id="rId685" xr:uid="{B277FA23-DDCA-4C56-9FCD-9539D0EE9A4A}"/>
    <hyperlink ref="V1201" r:id="rId686" xr:uid="{BA89C808-B8ED-4175-901F-B2DC5DC3B9C7}"/>
    <hyperlink ref="W1201" r:id="rId687" xr:uid="{475DE11A-D984-48C0-BFA0-04D4DF8B6B49}"/>
    <hyperlink ref="X1201" r:id="rId688" xr:uid="{726E5E92-23D2-492B-BC7B-C4A58CB923C4}"/>
    <hyperlink ref="V1200" r:id="rId689" xr:uid="{D5CF1CAB-2473-4E59-9430-C4CE8FC727DC}"/>
    <hyperlink ref="V1240" r:id="rId690" xr:uid="{1E10C9B9-3C88-4B40-9127-04F35B373C82}"/>
    <hyperlink ref="W1240" r:id="rId691" xr:uid="{D9372056-4F65-4726-B9C3-71CC2555E060}"/>
    <hyperlink ref="X1240" r:id="rId692" xr:uid="{47A70213-8DA3-4E67-B852-4F82E296CFF3}"/>
    <hyperlink ref="V1351" r:id="rId693" xr:uid="{F55DB7A1-DEDA-45EC-BF92-27AACA823694}"/>
    <hyperlink ref="W1391" r:id="rId694" xr:uid="{A5763A5C-1D9C-4B58-A111-FF2765F72D5E}"/>
    <hyperlink ref="V1397" r:id="rId695" xr:uid="{E08CCF83-2C5F-40B1-8B9B-FAA7AF53E587}"/>
    <hyperlink ref="V1398" r:id="rId696" xr:uid="{ACEDB88B-D62A-4518-848B-2D9CF3C39C08}"/>
    <hyperlink ref="W879" r:id="rId697" xr:uid="{B31EF4C1-B7D9-4CB8-8549-57DB6E313493}"/>
    <hyperlink ref="V1503" r:id="rId698" xr:uid="{868DEE12-61AE-4A20-87E3-F2089707BA69}"/>
    <hyperlink ref="V1514" r:id="rId699" xr:uid="{B37DFD45-8049-4DA2-ACBE-83C5A4AEC6A7}"/>
    <hyperlink ref="V1527" r:id="rId700" xr:uid="{E7879268-027F-4BCC-A1E4-19C9D62A5C16}"/>
    <hyperlink ref="V1636" r:id="rId701" xr:uid="{4AEDF5AD-C47E-4DB1-B19C-50230EB3F14E}"/>
    <hyperlink ref="V1617" r:id="rId702" location=":~:text=Through%20USAI%2C%20DoD%20will%20provide,repel%20Russia's%20war%20of%20choice" xr:uid="{C022897E-D354-4DEC-9C40-1375F9135872}"/>
    <hyperlink ref="X1617:X1631" r:id="rId703" display="https://www.19fortyfive.com/2022/04/switchblade-the-drone-giving-ukraine-a-big-edge-against-russia/" xr:uid="{5A15AC83-83A0-4DBD-B93D-DDF2C0FCB87A}"/>
    <hyperlink ref="V1617:V1631" r:id="rId704" location=":~:text=Through%20USAI%2C%20DoD%20will%20provide,repel%20Russia's%20war%20of%20choice" display="https://www.defense.gov/News/Releases/Release/Article/2987119/defense-department-announces-300-million-in-additional-assistance-for-ukraine/#:~:text=Through%20USAI%2C%20DoD%20will%20provide,repel%20Russia's%20war%20of%20choice" xr:uid="{B3A275FF-17A1-4018-9634-E796CB712DF4}"/>
    <hyperlink ref="W1617:W1631" r:id="rId705" display="https://www.whitehouse.gov/briefing-room/press-briefings/2022/04/04/press-briefing-by-press-secretary-jen-psaki-and-national-security-advisor-jake-sullivan/" xr:uid="{D511E83C-F72C-452C-B0E8-2A14229A4A4D}"/>
    <hyperlink ref="Y352" r:id="rId706" xr:uid="{42C639F6-AAEE-4DE8-91B0-AE41A59BA05E}"/>
    <hyperlink ref="X1219" r:id="rId707" xr:uid="{F702270E-A6F2-4503-ACDB-CF300809BD34}"/>
    <hyperlink ref="W1219" r:id="rId708" xr:uid="{312AF50A-8D33-483B-B583-B37538B08BDC}"/>
    <hyperlink ref="V1219" r:id="rId709" xr:uid="{0E187A1D-8C8A-4384-A1E3-9EA7F6F09DF4}"/>
    <hyperlink ref="V1202:V1203" r:id="rId710" location=":~:text=June%2016%2C%202022%2C%20at%202%3A26%20a.m.&amp;text=(Reuters)%20%2D%20Slovakia%20has%20donated,defence%20minister%20said%20on%20Thursday" display="https://www.usnews.com/news/world/articles/2022-06-16/slovaks-give-mi-helicopters-grad-rockets-to-ukraine#:~:text=June%2016%2C%202022%2C%20at%202%3A26%20a.m.&amp;text=(Reuters)%20%2D%20Slovakia%20has%20donated,defence%20minister%20said%20on%20Thursday." xr:uid="{38D837D4-EE50-4729-9A0A-0A4E8C941488}"/>
    <hyperlink ref="W1202:W1203" r:id="rId711" display="https://kyivindependent.com/news-feed/slovakia-supplies-5-helicopters-ammunition-for-grad-multiple-rocket-launchers" xr:uid="{DA0AB32F-47D7-4DF5-9075-69FA2011015A}"/>
    <hyperlink ref="X1202:X1203" r:id="rId712" display="https://kyivindependent.com/news-feed/slovakia-supplies-5-helicopters-ammunition-for-grad-multiple-rocket-launchers" xr:uid="{62997758-B170-41E2-9F90-174615D3ADC8}"/>
    <hyperlink ref="W65" r:id="rId713" xr:uid="{78C74DE4-C55B-4FD2-AC28-28A199F93B39}"/>
    <hyperlink ref="V130" r:id="rId714" xr:uid="{EB74B81B-C165-4C6A-A719-16750BE18CD4}"/>
    <hyperlink ref="W130" r:id="rId715" xr:uid="{9068637A-E102-4BB4-9F39-D93E68EAAD26}"/>
    <hyperlink ref="V205" r:id="rId716" xr:uid="{04519BB3-7206-427F-BB3F-A3573193D8E3}"/>
    <hyperlink ref="V1520:V1526" r:id="rId717" display="https://www.defense.gov/News/News-Stories/Article/Article/3072692/president-authorizes-another-450-million-drawdown-to-support-ukraine/" xr:uid="{32008EB3-AB7D-4936-B3FE-CA1B68DF76D1}"/>
    <hyperlink ref="V867" r:id="rId718" xr:uid="{2916465F-EE2C-43C2-906C-7430E20FDF5E}"/>
    <hyperlink ref="V888" r:id="rId719" xr:uid="{74229A95-E872-4799-A3A6-08781BEAE889}"/>
    <hyperlink ref="V891" r:id="rId720" xr:uid="{D76D3CDB-D455-4929-ACA5-BEF679C7C2BE}"/>
    <hyperlink ref="W891" r:id="rId721" xr:uid="{B24EE3D2-B93B-4295-8B9D-C42AAE37D591}"/>
    <hyperlink ref="V1306" r:id="rId722" xr:uid="{AFC0AB2F-0B10-4AD7-B0C5-12E4B6EB1FEA}"/>
    <hyperlink ref="W1306" r:id="rId723" xr:uid="{31F19468-03C2-44BB-A2F1-3020F06B52A8}"/>
    <hyperlink ref="X1306" r:id="rId724" display="https://www.reuters.com/world/europe/sweden-supply-more-military-aid-including-anti-ship-missiles-ukraine-2022-06-02/" xr:uid="{376F3DD0-6F27-4955-B689-6ED4585ABCE8}"/>
    <hyperlink ref="W1390" r:id="rId725" xr:uid="{832FAB2C-0D96-4940-866C-F9A34294DE01}"/>
    <hyperlink ref="V1390" r:id="rId726" xr:uid="{71E8ABBB-8D7F-47D2-BAFD-10597A1E973F}"/>
    <hyperlink ref="W888" r:id="rId727" xr:uid="{1C2642AB-AF63-4725-9A7B-E44A60DD7A4E}"/>
    <hyperlink ref="V465" r:id="rId728" xr:uid="{722B45A5-03E4-4FA5-BF46-96998EDC0EB5}"/>
    <hyperlink ref="V1243" r:id="rId729" xr:uid="{F94E564D-2D55-4DD3-8723-A8EFA7DADFC8}"/>
    <hyperlink ref="W1243" r:id="rId730" xr:uid="{3F474549-C17A-441E-9E0B-99858E003161}"/>
    <hyperlink ref="X1243" r:id="rId731" xr:uid="{1E746728-1C5D-4450-83EB-02641772890D}"/>
    <hyperlink ref="W801" r:id="rId732" xr:uid="{D5F1AD6C-18DC-49D8-97A3-6F3DABF5C5D1}"/>
    <hyperlink ref="V801" r:id="rId733" xr:uid="{07F39480-AB75-402F-B35C-6AD35C403F3F}"/>
    <hyperlink ref="V1528" r:id="rId734" location=":~:text=The%20Ukrainian%20people%20continue%20to,as%20long%20as%20it%20takes." xr:uid="{1E395B37-96E3-491F-936D-193601CDE79D}"/>
    <hyperlink ref="V1541:V1542" r:id="rId735" display="https://www.state.gov/biden-harris-administration-announces-550-million-in-new-u-s-military-assistance-for-ukraine/" xr:uid="{24E4CBC3-F894-41A4-A4B0-3E12CFC38AD1}"/>
    <hyperlink ref="V1469" r:id="rId736" xr:uid="{202B8305-8F49-4C0C-995B-97DC0D745A93}"/>
    <hyperlink ref="V1470:V1488" r:id="rId737" display="https://www.defense.gov/News/Releases/Release/Article/3007664/fact-sheet-on-us-security-assistance-for-ukraine-roll-up-as-of-april-21-2022/" xr:uid="{E71DACF9-C637-4026-95BC-FBB10BD10ACB}"/>
    <hyperlink ref="V1095" r:id="rId738" xr:uid="{87B9D228-31C8-434A-8106-D626FC68A51E}"/>
    <hyperlink ref="V1067" r:id="rId739" xr:uid="{08C93248-4745-42FF-995C-CA5893AEAA96}"/>
    <hyperlink ref="V1096" r:id="rId740" xr:uid="{E9EF2992-58AA-4362-8AFA-911CD836EB66}"/>
    <hyperlink ref="V20:V23" r:id="rId741" display="https://www.pm.gov.au/media/visit-kyiv-and-further-australian-support-ukraine" xr:uid="{165FB4E6-92FE-4378-89FE-9938AEFAD624}"/>
    <hyperlink ref="V24" r:id="rId742" xr:uid="{19B26C55-982E-4483-A16C-08E131360634}"/>
    <hyperlink ref="W20:W23" r:id="rId743" location=":~:text=The%20Australian%20Government%20will%20provide,more%20Bushmaster%20Protected%20Mobility%20Vehicles" display="https://www.minister.defence.gov.au/minister/rmarles/media-releases/australia-increases-support-ukraine#:~:text=The%20Australian%20Government%20will%20provide,more%20Bushmaster%20Protected%20Mobility%20Vehicles." xr:uid="{91A54426-8089-4BEC-8CE0-2AF92EFDAAA2}"/>
    <hyperlink ref="W24" r:id="rId744" location=":~:text=The%20Australian%20Government%20will%20provide,more%20Bushmaster%20Protected%20Mobility%20Vehicles" xr:uid="{CB7B1DB2-C4A0-4243-A923-9632BE66BD7E}"/>
    <hyperlink ref="W1282" r:id="rId745" xr:uid="{93A64F4F-DCDF-4073-867F-998DEC1E594E}"/>
    <hyperlink ref="W1283" r:id="rId746" xr:uid="{F2B5C528-92CA-4393-AE47-7D20DEC20EA3}"/>
    <hyperlink ref="Y1379:Y1385" r:id="rId747" display="https://www.gov.uk/government/news/uk-to-send-scores-of-artillery-guns-and-hundreds-of-drones-to-ukraine" xr:uid="{53EAA74F-092E-4F2C-BADA-1D3825D2DFAE}"/>
    <hyperlink ref="Y884" r:id="rId748" xr:uid="{1C0D7CE9-C0EA-4A23-ADAD-8D179AC52726}"/>
    <hyperlink ref="W1242" r:id="rId749" xr:uid="{4D9CEF6E-4DE0-45EB-9466-65964748B452}"/>
    <hyperlink ref="V1242" r:id="rId750" xr:uid="{F4687A8A-38BF-493F-9D12-80232728FA7C}"/>
    <hyperlink ref="V1029" r:id="rId751" xr:uid="{4297E6F0-5F4B-416E-8374-29244FE2A2C2}"/>
    <hyperlink ref="V1621" r:id="rId752" location=":~:text=Through%20USAI%2C%20DoD%20will%20provide,repel%20Russia's%20war%20of%20choice" xr:uid="{2EED91F5-E979-474B-B993-A72E7B0411BF}"/>
    <hyperlink ref="V865" r:id="rId753" xr:uid="{B305771A-9565-4D78-BEE9-0FB2CC50DB89}"/>
    <hyperlink ref="W865" r:id="rId754" xr:uid="{EBCCE2F1-B1F8-49E7-9ACB-1C26C72011B2}"/>
    <hyperlink ref="V336" r:id="rId755" location=":~:text=Estonian%20people%2C%20government%20and%20private,aid%20to%20Ukraine%20in%20total &amp;text=Govermental%20aid%20means%20means%20assistance,state%20budget%20through%20state%20agencies " xr:uid="{C7FE1723-E099-474A-A928-59A097ABF849}"/>
    <hyperlink ref="V868" r:id="rId756" xr:uid="{778AFB1B-5928-4C0D-8104-E55CAF41AD84}"/>
    <hyperlink ref="W868" r:id="rId757" xr:uid="{305E404E-504C-4A9A-BC9B-6599AD385F60}"/>
    <hyperlink ref="V869" r:id="rId758" xr:uid="{3ECAAEC5-BB21-445D-BA21-8D9269A232B8}"/>
    <hyperlink ref="W869" r:id="rId759" xr:uid="{243125C8-EE74-4FBC-AF18-4FFA980766EB}"/>
    <hyperlink ref="V870" r:id="rId760"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EBD552DF-D35D-4E1A-AA63-1845A8D5B47F}"/>
    <hyperlink ref="W895" r:id="rId761" display="https://twitter.com/Lithuanian_MoD/status/1567446474312540160?ref_src=twsrc%5Etfw%7Ctwcamp%5Etweetembed%7Ctwterm%5E1567446474312540160%7Ctwgr%5E4672a6b5ec4c4f6cf0f7166371f51fb78182c17f%7Ctwcon%5Es1_&amp;ref_url=https%3A%2F%2Fwww.eurointegration.com.ua%2Fnews%2F2022%2F09%2F7%2F7146332%2F" xr:uid="{A43AF44D-45F6-40B0-8672-BE5B652E415C}"/>
    <hyperlink ref="V1030" r:id="rId762" xr:uid="{1CAC2D65-75EB-405E-9056-B9B34BAFE545}"/>
    <hyperlink ref="V1307" r:id="rId763" xr:uid="{9879C535-177B-4005-BC5E-6ED9465C523E}"/>
    <hyperlink ref="X1307" r:id="rId764" xr:uid="{14F230CD-EC5B-438D-93C1-9E2CF39FF120}"/>
    <hyperlink ref="Y1307" r:id="rId765" xr:uid="{2796AD54-036A-46D1-80C6-62CB1ADA3F4D}"/>
    <hyperlink ref="V1320" r:id="rId766" xr:uid="{0CF87DA6-FDBA-4084-B2F6-427D79D482ED}"/>
    <hyperlink ref="X1320" r:id="rId767" xr:uid="{971EE127-5F7B-4CD2-A53F-E340797DC760}"/>
    <hyperlink ref="V148" r:id="rId768" xr:uid="{41DAAD3F-2CF5-45FD-AE2B-4D8ED558850B}"/>
    <hyperlink ref="V136" r:id="rId769" xr:uid="{43C1F562-4360-4DAF-A5B4-F98A99DF8661}"/>
    <hyperlink ref="V1404" r:id="rId770" xr:uid="{0CCEE378-B837-4A96-9793-F665D4864A03}"/>
    <hyperlink ref="V1405" r:id="rId771" xr:uid="{694E8A4B-BEA4-4F5F-861E-4AFC7476AF5A}"/>
    <hyperlink ref="V1407" r:id="rId772" xr:uid="{8835B595-382B-40AC-B89A-8D7F829E4802}"/>
    <hyperlink ref="V1408" r:id="rId773" xr:uid="{4EBD294A-2125-4046-A72B-AD14935F7F6C}"/>
    <hyperlink ref="V1069" r:id="rId774" xr:uid="{AA8FDC94-4371-435D-94F4-619BF758B9D9}"/>
    <hyperlink ref="V1070" r:id="rId775" xr:uid="{35171096-BAC5-4FF4-B52F-5E9756A7C175}"/>
    <hyperlink ref="V1071" r:id="rId776" xr:uid="{15F1C5DD-FFD1-4E4A-B36E-DEF3AA6EDC83}"/>
    <hyperlink ref="V1072" r:id="rId777" xr:uid="{CD446FA0-7156-41DD-AD2A-5DC2EBFCB394}"/>
    <hyperlink ref="V814" r:id="rId778" xr:uid="{E7782FE5-F72C-46A9-900E-5FB33E39BF48}"/>
    <hyperlink ref="V1554" r:id="rId779" xr:uid="{9CEF1640-DD0E-4A37-BAAF-39D6F3DE2FA9}"/>
    <hyperlink ref="V1555" r:id="rId780" xr:uid="{01635020-AF64-41FF-9384-6E2C7143FDBE}"/>
    <hyperlink ref="V1556" r:id="rId781" xr:uid="{CB916FB3-F8CD-47FA-B53D-6E30FD91C417}"/>
    <hyperlink ref="V1557" r:id="rId782" xr:uid="{CA925CCF-25C2-47CC-A077-69BE9038B8E7}"/>
    <hyperlink ref="V1558" r:id="rId783" xr:uid="{EA9A1282-28C3-49B9-9735-E9B78E35948C}"/>
    <hyperlink ref="V1559" r:id="rId784" xr:uid="{D302E632-1438-400E-B9FE-EAC9E9376810}"/>
    <hyperlink ref="V1560" r:id="rId785" xr:uid="{656CB263-3E63-4E50-8443-FD55DB724423}"/>
    <hyperlink ref="V1561" r:id="rId786" xr:uid="{747395AF-45F0-4F47-897D-176BE98AC4AF}"/>
    <hyperlink ref="V1562" r:id="rId787" xr:uid="{419077F4-5614-4B3B-9985-A5B85CDC33FB}"/>
    <hyperlink ref="V1563" r:id="rId788" xr:uid="{B4538D47-8844-44DE-8C2A-E9E26B2F917B}"/>
    <hyperlink ref="V1564" r:id="rId789" xr:uid="{8B1D625E-F07A-4A52-913A-11825E1E19FB}"/>
    <hyperlink ref="V1565" r:id="rId790" xr:uid="{BFDD83F5-CE53-4277-B06F-51ECBB6348DA}"/>
    <hyperlink ref="V1566" r:id="rId791" xr:uid="{E6B75A8B-FD8F-48F8-BF8A-1D23F2438A59}"/>
    <hyperlink ref="V1567" r:id="rId792" xr:uid="{57478CA6-D6F9-4A27-94D2-23EDD845EAE0}"/>
    <hyperlink ref="V1571" r:id="rId793" xr:uid="{840624C7-9C7C-480D-81FF-00C3619E057F}"/>
    <hyperlink ref="V1572" r:id="rId794" xr:uid="{4AB736E1-8D0B-46C5-8384-3EA11DE8AF7A}"/>
    <hyperlink ref="V1573" r:id="rId795" xr:uid="{70DAF21A-2A7D-4605-B440-ADF702F80010}"/>
    <hyperlink ref="V1574" r:id="rId796" xr:uid="{DF16C72F-C25B-4453-A10F-4A96E19E756A}"/>
    <hyperlink ref="V1575" r:id="rId797" xr:uid="{85A099B3-BEDE-4AB6-8978-DAE32B9EE0CB}"/>
    <hyperlink ref="V1576" r:id="rId798" xr:uid="{C6D33183-74F0-4C6F-8552-63CD09F7BD36}"/>
    <hyperlink ref="V1577" r:id="rId799" xr:uid="{6B09A2A1-3B62-400F-8C4B-377C6F0C6B90}"/>
    <hyperlink ref="V1578" r:id="rId800" xr:uid="{D3B72177-7089-4515-8C94-EE09CEB340FF}"/>
    <hyperlink ref="V1579" r:id="rId801" xr:uid="{D5BFCCAA-8BB9-4A4C-8096-75CDDFF855E3}"/>
    <hyperlink ref="V1580" r:id="rId802" xr:uid="{E09B458E-F488-4C23-ADB7-703AA19A5F8C}"/>
    <hyperlink ref="V1581" r:id="rId803" xr:uid="{64914062-8025-4928-8740-D7BDED87B156}"/>
    <hyperlink ref="V1583" r:id="rId804" xr:uid="{B7505AAB-32C9-4E5B-85F4-EE17653B2645}"/>
    <hyperlink ref="V1584" r:id="rId805" xr:uid="{F37B1C7A-3CAA-414D-A75F-7EACC8A5C3A0}"/>
    <hyperlink ref="V1585" r:id="rId806" xr:uid="{55866080-FEA1-4A63-A054-B4E220563448}"/>
    <hyperlink ref="V1586" r:id="rId807" xr:uid="{595FB90A-5A1B-491C-9874-C8B09512E9DC}"/>
    <hyperlink ref="V1587" r:id="rId808" xr:uid="{BE2DAC5E-C9D6-468C-8DAC-BAD6A42EBB4C}"/>
    <hyperlink ref="V1588" r:id="rId809" xr:uid="{68C46AE2-8A07-48F6-AC99-7241AC05DC9C}"/>
    <hyperlink ref="V1589" r:id="rId810" xr:uid="{2A93918E-77B7-4A8A-A56E-32785F9E1C41}"/>
    <hyperlink ref="V1590" r:id="rId811" xr:uid="{317DDD5D-FE68-4AA6-AEB5-BEE895EA2E99}"/>
    <hyperlink ref="V1591" r:id="rId812" xr:uid="{AC39707E-2951-4C78-907A-E6C820B37074}"/>
    <hyperlink ref="V1592" r:id="rId813" xr:uid="{B6283293-9EEB-43D4-B1EF-3B5401A5D558}"/>
    <hyperlink ref="V1593" r:id="rId814" xr:uid="{797A4025-692C-46E9-BF82-AD85813600B7}"/>
    <hyperlink ref="V1594" r:id="rId815" xr:uid="{9D738629-9335-4581-A04D-98B2FB736783}"/>
    <hyperlink ref="V1640" r:id="rId816" xr:uid="{E7458DFC-0D14-4355-878C-AF19F1CC4173}"/>
    <hyperlink ref="V1641" r:id="rId817" xr:uid="{90913C60-A18F-46B5-953C-52B1EFD1B514}"/>
    <hyperlink ref="V1642" r:id="rId818" xr:uid="{5FACB3DF-5FA9-4D06-8C88-F1B7E4EDF190}"/>
    <hyperlink ref="V1643" r:id="rId819" xr:uid="{45978AAE-B4F9-40F4-90C5-E4D759C78666}"/>
    <hyperlink ref="V1644" r:id="rId820" xr:uid="{EEF486D8-8165-45E6-9118-0889BADA75B4}"/>
    <hyperlink ref="V1645" r:id="rId821" xr:uid="{9D9D0B71-6FCB-45FD-B113-03B56397DAA4}"/>
    <hyperlink ref="V1646" r:id="rId822" xr:uid="{7D4609DD-46F9-49A9-8A6C-2A51A7534002}"/>
    <hyperlink ref="V1647" r:id="rId823" xr:uid="{BD3D4F82-2D1F-41E6-82D6-3AC69773DC02}"/>
    <hyperlink ref="V1648" r:id="rId824" xr:uid="{BAAED726-27D5-4C19-9586-924310BDF02F}"/>
    <hyperlink ref="V1649" r:id="rId825" xr:uid="{85047A0B-5710-44E9-855A-4BEC339B1006}"/>
    <hyperlink ref="V1650" r:id="rId826" xr:uid="{7915DBBD-AF70-4A93-8AE6-A340B624197F}"/>
    <hyperlink ref="V1651" r:id="rId827" xr:uid="{80537FFF-BFE7-40C9-91B6-A40343BEF9CB}"/>
    <hyperlink ref="V1652" r:id="rId828" xr:uid="{4C5145F7-9161-43B3-B1B8-09A33A41DE34}"/>
    <hyperlink ref="V1653" r:id="rId829" xr:uid="{A4FEACED-D863-42E4-A986-10A5F4987F3A}"/>
    <hyperlink ref="V1654" r:id="rId830" xr:uid="{9839C6D8-EE99-4348-9DA0-96BF0DAD83C8}"/>
    <hyperlink ref="V1655" r:id="rId831" xr:uid="{4F8A6680-1C62-4857-A2D7-C3BFD9E3B95D}"/>
    <hyperlink ref="V1656" r:id="rId832" xr:uid="{3B73DD58-909E-4685-91DE-E64E117A3CA2}"/>
    <hyperlink ref="V1657" r:id="rId833" xr:uid="{520A87F2-99D6-4FBC-88B3-5F58A60F29DA}"/>
    <hyperlink ref="V1658" r:id="rId834" xr:uid="{A7657493-3D92-44BE-8D6D-2A151BE7012D}"/>
    <hyperlink ref="V1659" r:id="rId835" xr:uid="{A7A28B32-BA8B-41A9-B74F-9C79B648772D}"/>
    <hyperlink ref="V1660" r:id="rId836" xr:uid="{39215CB4-2651-478A-B5BC-9E8CF7A5971C}"/>
    <hyperlink ref="W21" r:id="rId837" location=":~:text=The%20Australian%20Government%20will%20provide,more%20Bushmaster%20Protected%20Mobility%20Vehicles" xr:uid="{9B0A05CC-59A4-4793-A594-A8D11631F78D}"/>
    <hyperlink ref="V13" r:id="rId838" xr:uid="{D987931D-8A4B-4BA0-ACCC-12DA718AEF02}"/>
    <hyperlink ref="Y37" r:id="rId839" xr:uid="{0E904674-45F4-418F-99E1-C65D527C809F}"/>
    <hyperlink ref="V1595" r:id="rId840" xr:uid="{64C9F431-C498-4A15-BE55-09A25A92485C}"/>
    <hyperlink ref="V1596" r:id="rId841" xr:uid="{3646C433-7B3E-4116-8D7D-14DEF101C1D4}"/>
    <hyperlink ref="V1582" r:id="rId842" xr:uid="{FFE05A9A-46B7-4A02-AEC8-86AB2F7BC109}"/>
    <hyperlink ref="V1661" r:id="rId843" xr:uid="{7CE07150-D0C9-49D3-AB79-0F14DAF565FF}"/>
    <hyperlink ref="W13" r:id="rId844" xr:uid="{1896C57E-1C77-499E-9EC6-A81A073FF067}"/>
    <hyperlink ref="Y24" r:id="rId845" xr:uid="{139C7346-A762-46C3-858F-D07DD6B129CD}"/>
    <hyperlink ref="Y3" r:id="rId846" xr:uid="{89D1E0DC-12CF-4AF5-B983-7A886BF7A641}"/>
    <hyperlink ref="V892" r:id="rId847" xr:uid="{A3A802AD-27A7-457B-B97B-A76A4F0212F9}"/>
    <hyperlink ref="W892" r:id="rId848" xr:uid="{90F4E68C-6610-4DFC-A813-6985001B83BB}"/>
    <hyperlink ref="W896" r:id="rId849" xr:uid="{12CC9F5E-C1B0-4136-9023-2FF29B51B39E}"/>
    <hyperlink ref="W1205" r:id="rId850" xr:uid="{F1174373-DC6D-41C7-8610-CC6F4390B0C0}"/>
    <hyperlink ref="V1205" r:id="rId851" xr:uid="{03A7315B-859E-4702-9ED4-68F8EC915AA9}"/>
    <hyperlink ref="Y210" r:id="rId852" xr:uid="{866F3674-C0DF-40E9-AF25-EFD67582E131}"/>
    <hyperlink ref="V219" r:id="rId853" xr:uid="{166720D5-4146-4164-A075-D71490C9E434}"/>
    <hyperlink ref="V220" r:id="rId854" xr:uid="{C793EE9A-3E6E-46A9-8C9E-FFDAD6A2D50C}"/>
    <hyperlink ref="W220" r:id="rId855" xr:uid="{954A0103-F3CE-467D-BF97-1FC55C100987}"/>
    <hyperlink ref="V1437" r:id="rId856" xr:uid="{274B8F02-BCB4-4684-8EDD-ADBA963C1C4E}"/>
    <hyperlink ref="W1437" r:id="rId857" xr:uid="{5BB599C7-9483-4C98-82D9-3E2A3B3CB896}"/>
    <hyperlink ref="V353" r:id="rId858" xr:uid="{724EC96C-BD12-496D-8488-DADE7B41133B}"/>
    <hyperlink ref="W353" r:id="rId859" xr:uid="{11BC1197-4643-4878-935C-6380291B3A59}"/>
    <hyperlink ref="W355" r:id="rId860" xr:uid="{89796F92-2BE3-4D23-9857-A47ED996DA57}"/>
    <hyperlink ref="X355" r:id="rId861" xr:uid="{25AC3FAB-C92E-4AAA-820E-F32154F540A8}"/>
    <hyperlink ref="V355" r:id="rId862" xr:uid="{033338FE-660B-4045-8C4E-52684161F43E}"/>
    <hyperlink ref="W356" r:id="rId863" xr:uid="{19DC1DEC-CAE3-428E-901E-527BCC47ECE2}"/>
    <hyperlink ref="X356" r:id="rId864" xr:uid="{8A56D7D4-8574-4723-95AE-20E2C7F79AEE}"/>
    <hyperlink ref="V356" r:id="rId865" xr:uid="{F2772919-5DE2-4F54-BF60-BCBF4CF3C704}"/>
    <hyperlink ref="Y355" r:id="rId866" xr:uid="{A9D7F080-D687-451F-8467-4ACF2B7743D2}"/>
    <hyperlink ref="Y356" r:id="rId867" xr:uid="{3A3FE5B1-2D2C-4F2E-B21C-53A62CCCC0BE}"/>
    <hyperlink ref="V1409" r:id="rId868" xr:uid="{DF9A0A15-189E-41A4-A0FC-DA1F40463393}"/>
    <hyperlink ref="V1406" r:id="rId869" xr:uid="{53E739F9-7280-415A-96F4-EED6D4D99C07}"/>
    <hyperlink ref="W1405" r:id="rId870" xr:uid="{96E10213-66EA-4EA7-983E-F1EF61261F8C}"/>
    <hyperlink ref="W1406" r:id="rId871" xr:uid="{82D18DA5-13D3-4591-B068-9910E4F9C6B8}"/>
    <hyperlink ref="V1403" r:id="rId872" display="https://www.bbc.com/news/uk-61990479 " xr:uid="{F8A66AD3-4540-422E-A085-64AA070AE140}"/>
    <hyperlink ref="V1543" r:id="rId873" xr:uid="{7F540B85-9CCF-4147-B9AA-1C111CC8BA05}"/>
    <hyperlink ref="V1544:V1553" r:id="rId874" display="https://www.defense.gov/News/Releases/Release/Article/3120059/1-billion-in-additional-security-assistance-for-ukraine/ " xr:uid="{31E86318-9040-4BEE-B2EF-B623AAB99AEF}"/>
    <hyperlink ref="X1205" r:id="rId875" xr:uid="{05F252CF-652C-43A5-BEEF-1E5219A34842}"/>
    <hyperlink ref="V820" r:id="rId876" xr:uid="{4BEA8013-2689-443C-B82A-7A6356CF0FF0}"/>
    <hyperlink ref="W820" r:id="rId877" xr:uid="{BE37E1AA-401A-4B9B-A057-4319F01DEF7C}"/>
    <hyperlink ref="X820" r:id="rId878" xr:uid="{4F869498-49FA-494A-8008-FD1456786744}"/>
    <hyperlink ref="V1075" r:id="rId879" xr:uid="{44B302AE-4F3D-48E4-95FE-308A240A0590}"/>
    <hyperlink ref="W1075" r:id="rId880" xr:uid="{63B69A54-90F7-4B1D-96DE-AC18BCB3C310}"/>
    <hyperlink ref="X1075" r:id="rId881" xr:uid="{3E551827-B06F-461E-8440-E0F824C3C015}"/>
    <hyperlink ref="Y1075" r:id="rId882" xr:uid="{E4381B03-0DBF-4A75-A3FC-AF9DA3B8B9E9}"/>
    <hyperlink ref="V1505" r:id="rId883" xr:uid="{0285BE7E-2AE2-417B-A4B2-F133DC44974B}"/>
    <hyperlink ref="W1397" r:id="rId884" xr:uid="{18DCD73C-94CA-4A24-B260-DC7FC0CF43D0}"/>
    <hyperlink ref="X1405" r:id="rId885" display="https://www.bbc.com/ukrainian/live/62300872?ns_mchannel=social&amp;ns_source=twitter&amp;ns_campaign=bbc_live&amp;ns_linkname=62f3fd302ea3472fbde8330b%26%D0%91%D1%80%D0%B8%D1%82%D0%B0%D0%BD%D1%96%D1%8F%20%D0%BD%D0%B0%D0%B4%D1%81%D0%B8%D0%BB%D0%B0%D1%94%20%D0%BD%D0%BE%D0%B2%D1%96%20%D1%81%D0%B8%D1%81%D1%82%D0%B5%D0%BC%D0%B8%20%D0%B7%D0%B0%D0%BB%D0%BF%D0%BE%D0%B2%D0%BE%D0%B3%D0%BE%20%D0%B2%D0%BE%D0%B3%D0%BD%D1%8E%20%D0%B4%D0%BB%D1%8F%20%D0%A3%D0%BA%D1%80%D0%B0%D1%97%D0%BD%D0%B8%262022-08-10T18%3A59%3A13.398Z&amp;ns_fee=0&amp;pinned_post_locator=urn:asset:cea8dcb7-dd1a-4a71-b0a4-54ce84646b98&amp;pinned_post_asset_id=62f3fd302ea3472fbde8330b&amp;pinned_post_type=share" xr:uid="{9598E5F2-55F3-46EE-A537-1D4347A95AA0}"/>
    <hyperlink ref="V1064" r:id="rId886" xr:uid="{1786878F-97DD-49FA-8DD8-B72160E38AB5}"/>
    <hyperlink ref="V1063" r:id="rId887" xr:uid="{EBA27073-C5F2-4311-8C5D-7326D33D85F7}"/>
    <hyperlink ref="V1062" r:id="rId888" xr:uid="{DED33DF2-ACCE-44AF-83F3-85397C7A8971}"/>
    <hyperlink ref="V1061" r:id="rId889" xr:uid="{5DE6E95F-D8EF-41EE-B637-EE2F6FD8D699}"/>
    <hyperlink ref="V1065" r:id="rId890" xr:uid="{C8147EBA-8724-4A49-8405-F331416F01EB}"/>
    <hyperlink ref="W1065" r:id="rId891" xr:uid="{18DDE2AD-AD83-4138-AD8A-986E40F8A36E}"/>
    <hyperlink ref="V1535" r:id="rId892" xr:uid="{592D14B7-F0B4-41BA-A2C1-61B50F3F9857}"/>
    <hyperlink ref="V1519" r:id="rId893" xr:uid="{0E8EC36D-9340-4F76-AEAB-34E2EAB942D5}"/>
    <hyperlink ref="V1569" r:id="rId894" xr:uid="{81CF1E63-FD2D-4E1C-967B-3A09B7DAF24F}"/>
    <hyperlink ref="V20" r:id="rId895" xr:uid="{0350AF8C-E7B4-495D-B81B-22E411A88AFC}"/>
    <hyperlink ref="W20" r:id="rId896" location=":~:text=The%20Australian%20Government%20will%20provide,more%20Bushmaster%20Protected%20Mobility%20Vehicles" xr:uid="{E2C92509-4CA3-4052-94A3-748CD55E50FD}"/>
    <hyperlink ref="V26" r:id="rId897" xr:uid="{5A2B0003-02BD-4B02-BF63-F69962A62435}"/>
    <hyperlink ref="V293" r:id="rId898" xr:uid="{1820C42D-0B79-4011-BF2B-2FDFF8C7B396}"/>
    <hyperlink ref="V292" r:id="rId899" xr:uid="{6233B6E7-12A3-412C-8575-574624712511}"/>
    <hyperlink ref="V294" r:id="rId900" location=":~:text=Denmarks%20has%20allocated%20another%20DKK,war%20crimes%20committed%20in%20Ukraine" xr:uid="{62395B59-E0FC-4C45-91AA-E4BA5EA6B78A}"/>
    <hyperlink ref="W300" r:id="rId901" xr:uid="{D393DEED-A770-49C6-8397-867EB886FB01}"/>
    <hyperlink ref="W300:W308" r:id="rId902" display="https://www.armyrecognition.com/defense_news_april_2022_global_security_army_industry/denmark_approves_delivery_of_m113_tracked_armored_vehicles_and_ammunition_to_ukraine.html" xr:uid="{116D753E-F324-402F-AB4E-697F815EA56A}"/>
    <hyperlink ref="X300:X308" r:id="rId903" display="https://en.kriseinformation.dk/denmarks-reactions/denmarks-contributions" xr:uid="{9B6B00F6-8F7E-4860-887F-7E0B3BD22850}"/>
    <hyperlink ref="V295" r:id="rId904" xr:uid="{BA39F461-13DD-44CF-A360-F647A4847C5D}"/>
    <hyperlink ref="W295" r:id="rId905" xr:uid="{1A8CD3D5-F61F-4FDA-BD5B-13164B527016}"/>
    <hyperlink ref="W293" r:id="rId906" xr:uid="{48D0BEEF-2A56-4060-B45F-D00C56C54FD8}"/>
    <hyperlink ref="W294" r:id="rId907" xr:uid="{E7DC0E88-79F5-4E08-B2A2-CE2601E24363}"/>
    <hyperlink ref="V296" r:id="rId908" xr:uid="{00787DCC-91FB-4C4A-A977-3C8FBA81B809}"/>
    <hyperlink ref="V331" r:id="rId909" xr:uid="{6992563F-C368-4B80-B4DD-A3ED2F79A8F1}"/>
    <hyperlink ref="W331" r:id="rId910" location=":~:text=World%20Bank%3A%20DKK%20150%20million%20(approx.&amp;text=DKK%20150%20million%20(EUR%2020.2,billion)%20to%20the%20Ukrainian%20government" xr:uid="{7835A6A9-1436-4C94-8F43-9F12767B8222}"/>
    <hyperlink ref="V332" r:id="rId911" xr:uid="{ACEE05B5-7848-4999-8FD0-BA70680FAD2B}"/>
    <hyperlink ref="W332" r:id="rId912" xr:uid="{C89FEB27-9428-455A-B48D-C28A96F1B39B}"/>
    <hyperlink ref="Y332" r:id="rId913" xr:uid="{9F755F40-BDA7-4AEC-80AE-6BB860E7ADE9}"/>
    <hyperlink ref="X332" r:id="rId914" display="https://via.ritzau.dk/embedded/release/danmark-stiller-garanti-pa-280-mio-kr-til-ukraines-hardt-ramte-okonomi?publisherId=2012662&amp;releaseId=13652977&amp;lang=da" xr:uid="{2C2F9599-E918-4A62-8E08-F849062B86B8}"/>
    <hyperlink ref="W421" r:id="rId915" location="40d3246d" xr:uid="{07DCCD78-EF52-4A4E-8949-33B476C167A7}"/>
    <hyperlink ref="V421" r:id="rId916" xr:uid="{95ED347C-A1AE-44FC-A713-3665A0DB4334}"/>
    <hyperlink ref="X415:X416" r:id="rId917" display="https://www.helsinkitimes.fi/finland/finland-news/domestic/21086-finland-commits-military-protective-equipment-to-ukraine.html" xr:uid="{63D3E548-2AF5-4E00-B279-6657734ABFD3}"/>
    <hyperlink ref="X421" r:id="rId918" xr:uid="{C18EF361-952A-4F71-AEFD-75B9CF71B9F8}"/>
    <hyperlink ref="V422" r:id="rId919" location="40d3246d" xr:uid="{E144F2B4-33D4-4148-A1DA-CE90DFCABC55}"/>
    <hyperlink ref="V423" r:id="rId920" location="f9cb427e" xr:uid="{B729A0F8-FA9A-4D92-9A50-64A3845FEFDC}"/>
    <hyperlink ref="W423" r:id="rId921" xr:uid="{F3C9D397-ADD1-4DF3-809C-CB7C19AF6E43}"/>
    <hyperlink ref="X423" r:id="rId922" xr:uid="{4C73942D-D356-44FB-978B-50BA947416FC}"/>
    <hyperlink ref="W422" r:id="rId923" xr:uid="{636972C0-8765-4377-B559-71930B4A6F81}"/>
    <hyperlink ref="V425" r:id="rId924" location="12c4eb49" xr:uid="{4DA05557-1CBF-424A-A1DA-91DC83A7F0F9}"/>
    <hyperlink ref="W425" r:id="rId925" xr:uid="{F746A754-880F-4A5D-ABA6-88B288B3DC07}"/>
    <hyperlink ref="X425" r:id="rId926" xr:uid="{B3BDADF7-1B31-4694-BDB6-F0E00585AE15}"/>
    <hyperlink ref="X826" r:id="rId927" xr:uid="{02CA505D-0E6A-4A20-B29B-20E6148D2C7F}"/>
    <hyperlink ref="V837" r:id="rId928" xr:uid="{DE63E81F-82A5-445B-837A-B7615C660272}"/>
    <hyperlink ref="W837" r:id="rId929" xr:uid="{A1212085-EC46-465D-8006-2D9D07F57AA2}"/>
    <hyperlink ref="X837" r:id="rId930" xr:uid="{91CF275A-DABE-445E-AD52-E2D6090A87D9}"/>
    <hyperlink ref="Y837" r:id="rId931" xr:uid="{E1EDD11B-9B45-4AAA-A418-38347B8740EB}"/>
    <hyperlink ref="W836" r:id="rId932" xr:uid="{8BDB6BE2-5389-48BF-BB5D-E1B49B44AFCD}"/>
    <hyperlink ref="Y829" r:id="rId933" xr:uid="{D17A3675-2F60-4A34-9A58-A36E978969E6}"/>
    <hyperlink ref="V1068" r:id="rId934" xr:uid="{7B60F307-2FA1-4A67-8EE8-5F170CBBD13C}"/>
    <hyperlink ref="V1074" r:id="rId935" xr:uid="{65D788F8-A2E5-4B71-8666-EE51F90BEE7A}"/>
    <hyperlink ref="V1308" r:id="rId936" xr:uid="{1157BBA7-07EC-409E-A15B-234BD64E4921}"/>
    <hyperlink ref="V1326" r:id="rId937" xr:uid="{BE626199-3A6A-433D-B7A7-B1F1FB76F958}"/>
    <hyperlink ref="W1326" r:id="rId938" location=":~:text=The%20Swiss%20government%20has%20promised,infrastructure%20damaged%20by%20the%20war." xr:uid="{1ED5E2F6-3311-40A1-BE41-7A9066F9DAF4}"/>
    <hyperlink ref="V1360" r:id="rId939" location=":~:text=Foreign%20Minister%20Jaushieh%20Joseph%20Wu%20announced%20a%20US%2456%20million,26." xr:uid="{8ED8895A-C690-4CB2-AF17-D10435413638}"/>
    <hyperlink ref="W1360" r:id="rId940" xr:uid="{6797DE39-01F6-4643-8B74-BE681047F1B7}"/>
    <hyperlink ref="W266" r:id="rId941" xr:uid="{9E4A6709-D4BE-4336-9FBD-C701696EDC05}"/>
    <hyperlink ref="W267" r:id="rId942" xr:uid="{A95486CF-BC66-45D1-A896-CD5F6FCD3C92}"/>
    <hyperlink ref="X267" r:id="rId943" xr:uid="{1EC8931F-C9BC-482F-8C09-623456040926}"/>
    <hyperlink ref="V268" r:id="rId944" xr:uid="{8B5FE07C-9D9C-41A4-8F79-D33B8B7708FD}"/>
    <hyperlink ref="V447" r:id="rId945" xr:uid="{4BE60630-AE54-46D5-9C16-696F4D7863E0}"/>
    <hyperlink ref="V448" r:id="rId946" xr:uid="{6B3EBFB3-4A01-4B4C-BB26-915715002C81}"/>
    <hyperlink ref="V449" r:id="rId947" xr:uid="{C2BCAFAD-EA83-48A9-A262-546B6AF7B007}"/>
    <hyperlink ref="V450" r:id="rId948" xr:uid="{381B5331-36F2-4651-8731-2FDCDFD093A6}"/>
    <hyperlink ref="V451" r:id="rId949" xr:uid="{89F96A2A-FF1E-465C-8F78-140AE244ED6F}"/>
    <hyperlink ref="V453" r:id="rId950" xr:uid="{D3EBAFBA-AEB1-4F9A-B1DC-DB83EABA6A7E}"/>
    <hyperlink ref="V454" r:id="rId951" xr:uid="{DDEBE2E5-6DA2-472C-802A-A1A1476EA812}"/>
    <hyperlink ref="V455" r:id="rId952" xr:uid="{283D772C-2B29-4534-A90E-743B1E7BF208}"/>
    <hyperlink ref="V456" r:id="rId953" xr:uid="{2C2EE3CA-6D2A-42A8-A16F-558156819800}"/>
    <hyperlink ref="V457" r:id="rId954" xr:uid="{2F9AD3B4-3F85-4AC1-93BC-B768E26D501D}"/>
    <hyperlink ref="V458" r:id="rId955" xr:uid="{D9847DB4-281C-4E7E-8BF3-CF9C274ECC26}"/>
    <hyperlink ref="V459" r:id="rId956" xr:uid="{234865F5-7C4F-47CA-B55B-8E9F008B4194}"/>
    <hyperlink ref="Y803" r:id="rId957" xr:uid="{08BFBA73-0BDE-4735-902C-67E3C0B6D731}"/>
    <hyperlink ref="W803" r:id="rId958" xr:uid="{85CD2039-33AC-4A5A-B71B-EDABD1B95C18}"/>
    <hyperlink ref="X803" r:id="rId959" xr:uid="{96153A13-9CA2-40D2-9FF8-F9B0FBECC41B}"/>
    <hyperlink ref="Y804" r:id="rId960" xr:uid="{D30F8C3A-A0A6-40DF-B9D7-AFEA7029A6EA}"/>
    <hyperlink ref="Y806" r:id="rId961" xr:uid="{1271B14B-3264-4E6E-BC8F-B552B947EA3A}"/>
    <hyperlink ref="W802" r:id="rId962" xr:uid="{67FA6C5D-C897-4FF4-A0C1-333A9FA9D16D}"/>
    <hyperlink ref="V803" r:id="rId963" xr:uid="{C4C5432E-4A77-4067-B084-597ACD425752}"/>
    <hyperlink ref="V804" r:id="rId964" xr:uid="{6EB0572E-DCF0-45E2-8370-A1B13A94FCC8}"/>
    <hyperlink ref="V1148" r:id="rId965" xr:uid="{CD68D5D8-0573-4FA8-9913-6D6236B9FF4D}"/>
    <hyperlink ref="W1148" r:id="rId966" xr:uid="{679BDEBC-0434-474D-BFA4-76953F951982}"/>
    <hyperlink ref="V38" r:id="rId967" xr:uid="{E9751E01-BFDD-4C31-9ADF-3B661FCECF7A}"/>
    <hyperlink ref="V39" r:id="rId968" xr:uid="{060D2BB7-7595-48BE-9565-5C88B8F3FD68}"/>
    <hyperlink ref="V40" r:id="rId969" xr:uid="{21C0E040-A039-48D8-B4E5-042B14F53EF4}"/>
    <hyperlink ref="W38" r:id="rId970" xr:uid="{6571B0A5-5CFF-43DA-A628-D451A6D87305}"/>
    <hyperlink ref="W39" r:id="rId971" xr:uid="{AA00A706-AB32-4CC9-91CA-1ADEE0AABC23}"/>
    <hyperlink ref="W40" r:id="rId972" xr:uid="{6831206B-3098-4A77-A86D-3B614FC2D553}"/>
    <hyperlink ref="X39" r:id="rId973" xr:uid="{F136B5E3-DEE7-41A8-9693-4D0B1C8F3538}"/>
    <hyperlink ref="V42" r:id="rId974" xr:uid="{D203B8DE-D9F8-40B0-A4FB-B315D9B9F96B}"/>
    <hyperlink ref="V120" r:id="rId975" xr:uid="{64F73B82-7B6F-4A28-90C4-868E8A4397A3}"/>
    <hyperlink ref="V182" r:id="rId976" xr:uid="{4F11ABDB-1C10-48EB-A0B0-5987EF5F9C87}"/>
    <hyperlink ref="X898" r:id="rId977" xr:uid="{A2BC7FE7-08B8-4B3C-BEEA-12F63F62D494}"/>
    <hyperlink ref="X899" r:id="rId978" xr:uid="{E4F4B7A1-5875-47E1-B509-B48880F0CD00}"/>
    <hyperlink ref="X900" r:id="rId979" xr:uid="{7C7E61E1-0CA1-4955-9428-209040BB781E}"/>
    <hyperlink ref="X901" r:id="rId980" xr:uid="{37F862CD-6873-49B3-A2C2-5189ADB9C6ED}"/>
    <hyperlink ref="X902" r:id="rId981" xr:uid="{0F546FEB-EFF9-49D5-879E-F7968000265F}"/>
    <hyperlink ref="X903" r:id="rId982" xr:uid="{DCF32A5E-E4A9-4C12-90E5-B7228BA999CF}"/>
    <hyperlink ref="Y898" r:id="rId983" xr:uid="{8060B5C7-267D-49FE-A257-8673C01FF86B}"/>
    <hyperlink ref="V952" r:id="rId984" xr:uid="{AA97217F-9E57-4447-8D9D-0C7348E1CD39}"/>
    <hyperlink ref="W1264" r:id="rId985" xr:uid="{D16D23B8-1CC4-4A5E-A9E3-85909245B066}"/>
    <hyperlink ref="Y1264" r:id="rId986" xr:uid="{E036AB44-3E20-4CA1-8E5E-F832470D860D}"/>
    <hyperlink ref="Y1265" r:id="rId987" xr:uid="{BB652253-8058-4D0A-9040-B6B181726A7E}"/>
    <hyperlink ref="Y1266" r:id="rId988" xr:uid="{A77E7C86-5815-4E5D-A6DB-E13B31AAD866}"/>
    <hyperlink ref="V1272" r:id="rId989" xr:uid="{5587274C-C765-4CED-8F9B-3C38245315C5}"/>
    <hyperlink ref="V1273" r:id="rId990" xr:uid="{15886B6C-DB27-4B06-8ACC-D0BD7F3BE07E}"/>
    <hyperlink ref="V1274" r:id="rId991" xr:uid="{9220254D-6781-4F0A-B4E5-E6782D13341C}"/>
    <hyperlink ref="V1367" r:id="rId992" xr:uid="{2923654C-267A-4EC3-971E-19D74E41C76B}"/>
    <hyperlink ref="W1367" r:id="rId993" xr:uid="{72AFBE95-9F6A-46D0-87F1-C8D116DAB14D}"/>
    <hyperlink ref="W1366" r:id="rId994" xr:uid="{B85FE019-5E0B-4920-B56C-41C88991D5EF}"/>
    <hyperlink ref="V1369" r:id="rId995" xr:uid="{6F67CB9C-CD16-4C83-BD12-3A41DC15475E}"/>
    <hyperlink ref="V1385" r:id="rId996" xr:uid="{4E2BCBD2-03AE-428C-B986-4EAD1703651C}"/>
    <hyperlink ref="W1385" r:id="rId997" xr:uid="{79BB81CA-8632-4334-8CC6-7D3184E17125}"/>
    <hyperlink ref="X1385" r:id="rId998" xr:uid="{754EB0BC-3FF9-41AB-AE09-8F1FF69E9F71}"/>
    <hyperlink ref="Y1385" r:id="rId999" xr:uid="{2D2463C5-3BE8-469C-B612-2CF57F3BFDB0}"/>
    <hyperlink ref="V1388" r:id="rId1000" xr:uid="{CB312816-25B6-4DB4-A51D-0844429F4275}"/>
    <hyperlink ref="W1388" r:id="rId1001" xr:uid="{6551CE52-E827-4038-9AEF-FEBCA70A7059}"/>
    <hyperlink ref="V1389" r:id="rId1002" xr:uid="{AE3EC787-1CD5-4ED9-B742-9D10AB5E38BF}"/>
    <hyperlink ref="W1389" r:id="rId1003" xr:uid="{E66AA359-55FB-4C49-83C2-81A5E9B2D888}"/>
    <hyperlink ref="W1399" r:id="rId1004" xr:uid="{ED37BADE-5502-4F7D-8043-0AC83C6C47D8}"/>
    <hyperlink ref="V1400" r:id="rId1005" xr:uid="{BD1BB39B-DD16-4535-A5DB-1CE0F7EF9C9C}"/>
    <hyperlink ref="V1401" r:id="rId1006" display="https://www.bbc.com/news/uk-61990479 " xr:uid="{69335B21-87CB-499E-A188-9A297ABFC970}"/>
    <hyperlink ref="V1402" r:id="rId1007" display="https://www.bbc.com/news/uk-61990479 " xr:uid="{7D0F3EA5-4541-48C2-B145-0F3963188376}"/>
    <hyperlink ref="V1399" r:id="rId1008" xr:uid="{18B30DA7-4979-4ABA-A47A-2AE3D13A08FB}"/>
    <hyperlink ref="X1399" r:id="rId1009" xr:uid="{207E5229-AFFD-4C27-9A21-BE547AAF3C4E}"/>
    <hyperlink ref="X1400" r:id="rId1010" xr:uid="{539FE57A-4046-4F36-802E-E187407B669F}"/>
    <hyperlink ref="V1416" r:id="rId1011" xr:uid="{8CAF6C79-BBD9-4197-8065-E7E9AAD326A5}"/>
    <hyperlink ref="V312" r:id="rId1012" xr:uid="{BAFA3494-02B8-4BB6-896D-FFE783E935E1}"/>
    <hyperlink ref="W312" r:id="rId1013" xr:uid="{96EE495E-0572-4799-9C8F-A40FE9A8E6D6}"/>
    <hyperlink ref="X312" r:id="rId1014" xr:uid="{324EBA77-2950-4DCB-9600-5A2003CE4159}"/>
    <hyperlink ref="Y312" r:id="rId1015" xr:uid="{CD8DA060-9DF8-4504-8AA7-F74230ED4784}"/>
    <hyperlink ref="V313" r:id="rId1016" xr:uid="{2D56DD63-E121-4800-99A5-09747D484AFD}"/>
    <hyperlink ref="V1370" r:id="rId1017" xr:uid="{D961557E-5BBE-46C8-B8E1-6F55EA47FAAF}"/>
    <hyperlink ref="V267" r:id="rId1018" xr:uid="{8F25DB24-A40F-488F-9300-C2CA754E904C}"/>
    <hyperlink ref="V1599" r:id="rId1019" xr:uid="{8C53452E-60C8-4492-8A69-3BA53796B108}"/>
    <hyperlink ref="V1632" r:id="rId1020" xr:uid="{943CF835-DF83-4D07-9478-C734A0DCB700}"/>
    <hyperlink ref="V1666" r:id="rId1021" location=":~:text=OCTOBER%204%2C%202022&amp;text=Pursuant%20to%20a%20delegation%20of,U.S.%20Department%20of%20Defense%20inventories." xr:uid="{D1E2B955-E106-4B17-8A88-30D17B329A57}"/>
    <hyperlink ref="V1672" r:id="rId1022" xr:uid="{B2F771B0-F7BF-4FC1-959B-C93B7EC8BC9F}"/>
    <hyperlink ref="V1681" r:id="rId1023" xr:uid="{FC32638F-A524-4483-BA14-6D5D550CDB41}"/>
    <hyperlink ref="V1688" r:id="rId1024" xr:uid="{E4302F3F-D5E4-4777-8594-79FD9A4F8825}"/>
    <hyperlink ref="V1673:V1680" r:id="rId1025" display="https://www.defense.gov/News/Releases/Release/Article/3189571/725-million-in-additional-security-assistance-for-ukraine/" xr:uid="{E96FAC8E-5278-4241-8705-DB847F2D1B6F}"/>
    <hyperlink ref="V1667:V1671" r:id="rId1026" location=":~:text=OCTOBER%204%2C%202022&amp;text=Pursuant%20to%20a%20delegation%20of,U.S.%20Department%20of%20Defense%20inventories." display="https://ua.usembassy.gov/625-million-in-additional-u-s-military-assistance-for-ukraine/#:~:text=OCTOBER%204%2C%202022&amp;text=Pursuant%20to%20a%20delegation%20of,U.S.%20Department%20of%20Defense%20inventories." xr:uid="{1E701A8D-0CD2-4BC2-8127-F3DAFE17E3AF}"/>
    <hyperlink ref="V1682:V1687" r:id="rId1027" display="https://www.defense.gov/News/Releases/Release/Article/3203509/275-million-in-additional-presidential-drawdown-security-assistance-for-ukraine/" xr:uid="{A9715290-CECE-4E49-991C-3B3F66B404FF}"/>
    <hyperlink ref="V1689:V1700" r:id="rId1028" display="https://www.defense.gov/News/Releases/Release/Article/3216287/400-million-in-additional-assistance-for-ukraine/" xr:uid="{535D7D70-6DC3-4AB6-A251-3E699907D24E}"/>
    <hyperlink ref="W492" r:id="rId1029" xr:uid="{6BF2EFB3-E52E-465C-A67B-3E5C2DCF4EC1}"/>
    <hyperlink ref="W493:W494" r:id="rId1030" display="https://www.lemonde.fr/en/international/article/2022/10/11/what-weapons-is-france-sending-to-ukraine_5999916_4.html" xr:uid="{BD7C50B4-16FC-4493-AFED-9541C08590AB}"/>
    <hyperlink ref="V300" r:id="rId1031" xr:uid="{CB1554AF-F287-409A-8041-6C490EF2FFE9}"/>
    <hyperlink ref="W898" r:id="rId1032" xr:uid="{AACD5EFC-F12F-42F7-97FA-2A8D2BA26D08}"/>
    <hyperlink ref="W952" r:id="rId1033" xr:uid="{3348398D-5C03-403F-B5E8-08D19D06D098}"/>
    <hyperlink ref="V1264" r:id="rId1034" xr:uid="{5C8A7C51-B2E3-46E8-A60A-56C755A85F79}"/>
    <hyperlink ref="W1265" r:id="rId1035" xr:uid="{321AB786-716E-4628-82A3-7D0B0B942828}"/>
    <hyperlink ref="V1265" r:id="rId1036" xr:uid="{C297F344-9854-4FAB-A8A1-965B48EA84C1}"/>
    <hyperlink ref="W1266" r:id="rId1037" xr:uid="{3BBC552C-6B98-4F6D-9106-8323C5AE4037}"/>
    <hyperlink ref="V1266" r:id="rId1038" xr:uid="{0DBD39E1-095C-4EF9-86DD-1CFF6BE84845}"/>
    <hyperlink ref="X1266" r:id="rId1039" xr:uid="{1122B920-EDE0-4E8C-AE5C-619B793D3DA9}"/>
    <hyperlink ref="X1265" r:id="rId1040" xr:uid="{1732F956-E2EE-4325-A394-A9F781228484}"/>
    <hyperlink ref="X1264" r:id="rId1041" xr:uid="{C8520CD8-B82F-4182-8E82-B630D5FD4543}"/>
    <hyperlink ref="Y300" r:id="rId1042" xr:uid="{4778392F-E1C0-44DE-9374-4B1E95C5E7AD}"/>
    <hyperlink ref="Y301:Y308" r:id="rId1043" display="https://twitter.com/kyivindependent/status/1520462556338569216?lang=en" xr:uid="{C0A237FC-980F-4E86-94A1-1CB63FA57587}"/>
    <hyperlink ref="Y830" r:id="rId1044" xr:uid="{87B13CC9-668E-4635-9F97-0A537CAAAC81}"/>
    <hyperlink ref="Y831" r:id="rId1045" xr:uid="{8A6F3C88-18F7-4096-85FC-79059A31680E}"/>
    <hyperlink ref="Y832" r:id="rId1046" xr:uid="{E06C104B-44AD-442F-A623-E899E87FEED9}"/>
    <hyperlink ref="Y833" r:id="rId1047" xr:uid="{854544D6-9192-49B4-A44A-2FE7F7C1A8B8}"/>
    <hyperlink ref="V357" r:id="rId1048" xr:uid="{DF0D2A5B-A735-4711-8902-DF9D4305A5CA}"/>
    <hyperlink ref="V358" r:id="rId1049" xr:uid="{7081030E-672C-43C8-838F-5934D051B119}"/>
    <hyperlink ref="W357" r:id="rId1050" xr:uid="{FCC7A3C6-C14E-430A-BF12-7B643AE6184F}"/>
    <hyperlink ref="W358" r:id="rId1051" xr:uid="{40A0BF76-544A-4B54-BC46-1E7EF99B5786}"/>
    <hyperlink ref="V359" r:id="rId1052" xr:uid="{4F35C6DB-8B24-4E6C-B94B-481C17BA8F73}"/>
    <hyperlink ref="V360" r:id="rId1053" xr:uid="{2FE50D81-FC3C-4B50-A8F0-3FAF8E9A3AEF}"/>
    <hyperlink ref="V361" r:id="rId1054" xr:uid="{D3C849FF-1B3E-4473-98EE-985FF16EF975}"/>
    <hyperlink ref="V362" r:id="rId1055" xr:uid="{189AAF14-4C1D-4AE9-9D47-5576A111532B}"/>
    <hyperlink ref="X359" r:id="rId1056" xr:uid="{6A98493E-24DD-48EE-AF7F-4A6ABF27AB31}"/>
    <hyperlink ref="X360" r:id="rId1057" xr:uid="{C310AF51-D825-4FBE-8EC4-74CD96F82A8C}"/>
    <hyperlink ref="X361" r:id="rId1058" xr:uid="{2289FB9B-C463-4729-B305-BA8594E2E11C}"/>
    <hyperlink ref="X362" r:id="rId1059" xr:uid="{8875765A-3B19-4F0D-B4F1-9E941CDA90C5}"/>
    <hyperlink ref="Y359" r:id="rId1060" xr:uid="{29EA716E-1776-4DD7-8B58-D0621DA2E690}"/>
    <hyperlink ref="Y360" r:id="rId1061" xr:uid="{80F02DFE-84B9-4130-A4E2-EB06770F997E}"/>
    <hyperlink ref="Y361" r:id="rId1062" xr:uid="{72A26587-AECB-45CF-A361-DE07573300E3}"/>
    <hyperlink ref="Y362" r:id="rId1063" xr:uid="{5EC834D7-BC68-4520-AD94-3BB2E791DA33}"/>
    <hyperlink ref="X357" r:id="rId1064" xr:uid="{A847442F-0929-42B9-8221-04533273F077}"/>
    <hyperlink ref="X358" r:id="rId1065" xr:uid="{B9EDB986-9A9B-435D-9FC5-5E18B85E13BE}"/>
    <hyperlink ref="W359" r:id="rId1066" xr:uid="{190CBB3C-61CF-4425-8179-BEDFDB8B6F2C}"/>
    <hyperlink ref="W360" r:id="rId1067" xr:uid="{FC79CEFA-72B6-4A4D-9CFD-A03E0259E41E}"/>
    <hyperlink ref="W361" r:id="rId1068" xr:uid="{499D3B25-009A-4115-8E26-613DB06D1319}"/>
    <hyperlink ref="W362" r:id="rId1069" xr:uid="{EAA2809C-C24C-4E1A-B979-DF8E39B2724C}"/>
    <hyperlink ref="V1995" r:id="rId1070" xr:uid="{6B5917A2-EAE3-4E78-9F6E-849AC3A629EC}"/>
    <hyperlink ref="W1995" r:id="rId1071" xr:uid="{9304D46F-4D9A-458A-9252-F17D767FB7F8}"/>
    <hyperlink ref="V1979" r:id="rId1072" xr:uid="{DA8FB211-30A8-412D-BDA7-3776D0462CE9}"/>
    <hyperlink ref="W498" r:id="rId1073" xr:uid="{9F25F311-F844-4582-A8A0-2528FAB3B9DB}"/>
    <hyperlink ref="V498" r:id="rId1074" xr:uid="{FA9FF8AC-C5B0-4E65-9BB4-91EF24E7164E}"/>
    <hyperlink ref="X498" r:id="rId1075" xr:uid="{1D54F404-F6B8-41B8-99CA-6AB30E8947EC}"/>
    <hyperlink ref="Y498" r:id="rId1076" xr:uid="{2EAF9CFC-1511-47C7-A976-66B7198971D5}"/>
    <hyperlink ref="W499" r:id="rId1077" xr:uid="{D06B1A98-F4E3-4D81-8F70-EC032953C5A1}"/>
    <hyperlink ref="X499" r:id="rId1078" xr:uid="{A9D9E93E-D21B-4C62-8D50-2C8E282DCB48}"/>
    <hyperlink ref="Y499" r:id="rId1079" xr:uid="{FB78BD1C-F9CB-4725-A350-7FB37BE3CFCD}"/>
    <hyperlink ref="X494" r:id="rId1080" xr:uid="{2D4ACA6E-C069-4CCE-A46C-DC957B50CDC3}"/>
    <hyperlink ref="X493" r:id="rId1081" xr:uid="{9E52CDEB-ED61-4CFF-90B8-0B98B2522603}"/>
    <hyperlink ref="X492" r:id="rId1082" xr:uid="{8F96F7FC-870F-4E55-9D2B-C7079ECB6E0F}"/>
    <hyperlink ref="V1104" r:id="rId1083" xr:uid="{F860E86B-8F28-41D7-A5F2-0A6526A800C7}"/>
    <hyperlink ref="V1102" r:id="rId1084" xr:uid="{928043BE-340D-460A-9E65-9C12DDAD9A06}"/>
    <hyperlink ref="V424" r:id="rId1085" xr:uid="{638719E9-C457-4967-B5A1-0B8BAF333ADA}"/>
    <hyperlink ref="V1989" r:id="rId1086" xr:uid="{AB02E886-9D20-4E4E-9402-75FB99A1D2A2}"/>
    <hyperlink ref="V1453" r:id="rId1087" xr:uid="{0E88B1E5-45F9-434B-84A0-F58A97F29E64}"/>
    <hyperlink ref="W1453" r:id="rId1088" xr:uid="{E891FD24-E377-414A-BFDC-3C46C70C7BC7}"/>
    <hyperlink ref="X1453" r:id="rId1089" xr:uid="{5108A281-BD87-4FE2-9641-35B49BFB4BE2}"/>
    <hyperlink ref="V1090" r:id="rId1090" xr:uid="{1F67D993-4DD9-451A-96CF-51DB3A9FD52E}"/>
    <hyperlink ref="W1097" r:id="rId1091" xr:uid="{7239C56B-1A70-47F3-993E-BB37CE6C143F}"/>
    <hyperlink ref="V1097" r:id="rId1092" xr:uid="{458F560A-6AA2-4E60-BA5D-1E4F21D78C12}"/>
    <hyperlink ref="W1096" r:id="rId1093" xr:uid="{E4715790-24C8-4C2C-AAC2-451DFCF70A46}"/>
    <hyperlink ref="W980" r:id="rId1094" xr:uid="{88A83FED-DBA0-4F46-A58C-16BE89A5CBA0}"/>
    <hyperlink ref="V1055" r:id="rId1095" xr:uid="{0053209D-8E57-4197-8450-D78CFFFF3E96}"/>
    <hyperlink ref="V1056:V1060" r:id="rId1096" display="https://www.regjeringen.no/en/topics/foreign-affairs/humanitarian-efforts/neighbour_support/id2908141/" xr:uid="{9CB205DC-947C-49E8-8303-14E4370E3D48}"/>
    <hyperlink ref="W1055" r:id="rId1097" xr:uid="{0B882612-F501-4885-A80D-07E9D6294025}"/>
    <hyperlink ref="W1056:W1060" r:id="rId1098" display="https://www.regjeringen.no/en/aktuelt/norway-to-increase-support-to-ukraine-and-provide-military-equipment/id2902406/" xr:uid="{82A34909-8D9F-474F-B2D6-52F0CECD5AD4}"/>
    <hyperlink ref="W1307" r:id="rId1099" xr:uid="{4ED0F4D2-C141-42BC-94C2-F83A4B2FE637}"/>
    <hyperlink ref="W1320" r:id="rId1100" xr:uid="{7676B273-F240-478C-A258-D9B1AA2C4DD0}"/>
    <hyperlink ref="X1366" r:id="rId1101" xr:uid="{144FE9DB-62BA-421A-A3BD-E90A6026A2A7}"/>
    <hyperlink ref="W1400" r:id="rId1102" xr:uid="{CDA435E9-DBA4-4A69-ABE5-52D68A586B7C}"/>
    <hyperlink ref="W1401:W1404" r:id="rId1103" display="https://www.gov.uk/government/news/uk-to-send-scores-of-artillery-guns-and-hundreds-of-drones-to-ukraine" xr:uid="{60AD31E8-B96F-45AD-B494-DF99DC125D42}"/>
    <hyperlink ref="V47" r:id="rId1104" xr:uid="{3D03E211-A96D-40C3-A909-392208B0C6B6}"/>
    <hyperlink ref="V46" r:id="rId1105" xr:uid="{D5C16857-041E-44FD-AC03-02E10C2E082B}"/>
    <hyperlink ref="W46" r:id="rId1106" xr:uid="{2C6E6CAD-A80A-4EDD-AA1D-FAA97535014E}"/>
    <hyperlink ref="V58" r:id="rId1107" xr:uid="{4AC4552A-A6AD-4B34-9488-E1CE4C09CC9E}"/>
    <hyperlink ref="W58" r:id="rId1108" xr:uid="{4C54EF7A-4A58-4080-99A6-77D60DEFD853}"/>
    <hyperlink ref="V180" r:id="rId1109" xr:uid="{4D00B24C-77B7-4420-8044-A65E9EBD0D5B}"/>
    <hyperlink ref="W180" r:id="rId1110" xr:uid="{E400D13B-AE72-4B2B-A2D1-03EB5999A11C}"/>
    <hyperlink ref="V181" r:id="rId1111" xr:uid="{859C2AB2-41FE-4A75-87A9-083D17284FF8}"/>
    <hyperlink ref="W181" r:id="rId1112" xr:uid="{AF9BF531-671A-4EC5-91AA-12C265046CB3}"/>
    <hyperlink ref="V852" r:id="rId1113" xr:uid="{76FC8646-43B3-4410-8ECF-FC57C884A500}"/>
    <hyperlink ref="W852" r:id="rId1114" xr:uid="{439F28F5-C4F9-4C0B-AE3A-DF7E87D0CF40}"/>
    <hyperlink ref="V850" r:id="rId1115" xr:uid="{EDE33569-BBA7-4CD4-939E-334C0A8CFEAA}"/>
    <hyperlink ref="V905" r:id="rId1116" xr:uid="{19B09B98-964E-47FB-88D9-9E9B4378704E}"/>
    <hyperlink ref="W904" r:id="rId1117" xr:uid="{AD0DCC6B-FE9E-4373-A93C-73237A72EE44}"/>
    <hyperlink ref="X904" r:id="rId1118" xr:uid="{E319E6AA-18D7-419C-BADF-A38DFA9125A8}"/>
    <hyperlink ref="V906" r:id="rId1119" xr:uid="{8253138B-7D22-4EF0-B6DE-D74A8E1625F2}"/>
    <hyperlink ref="W906" r:id="rId1120" xr:uid="{944F4F30-BCBF-4F96-85E1-F4EA1E5A7715}"/>
    <hyperlink ref="V907" r:id="rId1121" xr:uid="{4336D016-A80D-41B1-9D1D-41FB2120056E}"/>
    <hyperlink ref="W924" r:id="rId1122" xr:uid="{696EE212-7CC2-462D-8795-F0BAB8819B69}"/>
    <hyperlink ref="X924" r:id="rId1123" xr:uid="{A8EBE4E3-6688-4103-8D41-E6D34559EEBD}"/>
    <hyperlink ref="W925" r:id="rId1124" xr:uid="{05DFF493-A0B5-4A11-98B8-6B01BCEA1968}"/>
    <hyperlink ref="X925" r:id="rId1125" display="https://twitter.com/a_anusauskas/status/1596869391974813698" xr:uid="{91703F7A-8633-4155-B86C-3A42AC14DDA3}"/>
    <hyperlink ref="X928" r:id="rId1126" xr:uid="{D91428CE-B08B-452B-A65E-87702AA2966A}"/>
    <hyperlink ref="W930" r:id="rId1127" xr:uid="{DB341219-4119-4853-9BDF-F04E307D17AD}"/>
    <hyperlink ref="X930" r:id="rId1128" xr:uid="{2FF5B09B-4EFC-40D9-9E70-291643474A7D}"/>
    <hyperlink ref="V930:V932" r:id="rId1129" display="https://delano.lu/article/luxembourg-gives-50m-in-milita" xr:uid="{4B3253EC-F9AA-42F3-916C-CB34AAF185B4}"/>
    <hyperlink ref="Y930" r:id="rId1130" xr:uid="{0C2948CF-6178-4325-8A9E-78999D1FED29}"/>
    <hyperlink ref="Y931:Y950" r:id="rId1131" display="https://twitter.com/Defense_lu/status/1598610977364115462?t=6bU22e0y0z-S3WKot0R3BA&amp;s=19" xr:uid="{7A7E5F3C-51D1-4BED-AECA-F07E99BAF8FD}"/>
    <hyperlink ref="V951" r:id="rId1132" xr:uid="{FF9E8006-CC43-4009-B672-E715D60E5149}"/>
    <hyperlink ref="V986" r:id="rId1133" xr:uid="{F4DB6815-C2F4-428C-B7D2-D61DCA6C3230}"/>
    <hyperlink ref="W986" r:id="rId1134" xr:uid="{0143DBB8-2B2E-4E91-BD5A-976DE746F66E}"/>
    <hyperlink ref="V987" r:id="rId1135" xr:uid="{F0228021-541E-4856-B45C-6C4722093FF0}"/>
    <hyperlink ref="W987" r:id="rId1136" xr:uid="{9B71CE0F-2B0C-401E-B76D-0B7DB34FDCFC}"/>
    <hyperlink ref="V1023" r:id="rId1137" display="https://twitter.com/LSchreinemacher/status/1580222344538169346?ref_src=twsrc%5Etfw%7Ctwcamp%5Etweetembed%7Ctwterm%5E1580222344538169346%7Ctwgr%5Eda5480de56b54594938272c57ded09082863f933%7Ctwcon%5Es1_&amp;ref_url=https%3A%2F%2Fwww.eurointegration.com.ua%2Fnews%2F2022%2F10%2F13%2F7148653%2F" xr:uid="{451767A6-E3AC-41AF-99B4-5322248FB48A}"/>
    <hyperlink ref="W1023" r:id="rId1138" xr:uid="{B494085B-8CB3-41D7-B398-03F9C30CBCDD}"/>
    <hyperlink ref="W1024" r:id="rId1139" display="https://twitter.com/LSchreinemacher/status/1591089465719926784" xr:uid="{14D02C4C-4878-4EA5-B472-7B86A83ACC64}"/>
    <hyperlink ref="X1023" r:id="rId1140" xr:uid="{F4BE4F0D-F9D2-4DAD-807C-763332F41252}"/>
    <hyperlink ref="W1286" r:id="rId1141" display="https://ua.interfax.com.ua/news/general/844172.html" xr:uid="{6069ADCD-F5CB-4B71-8582-32B9D4280D98}"/>
    <hyperlink ref="V1286" r:id="rId1142" xr:uid="{45BB3847-B7A4-4E8E-88CC-41DD238187A2}"/>
    <hyperlink ref="W1417" r:id="rId1143" xr:uid="{D311ACAF-6EB9-4AD4-A250-98F372C88BAC}"/>
    <hyperlink ref="W1418" r:id="rId1144" xr:uid="{A18B2F03-E72D-4BFE-9FC8-93F45B07BC86}"/>
    <hyperlink ref="V131" r:id="rId1145" xr:uid="{6F3D3F6A-35CC-496A-B148-9323911497B8}"/>
    <hyperlink ref="X131" r:id="rId1146" xr:uid="{D59C8F24-FB33-4FA3-8FA7-3D9B25773B66}"/>
    <hyperlink ref="W131" r:id="rId1147" xr:uid="{229B433A-6C76-41E9-B4E5-8ED59A10F275}"/>
    <hyperlink ref="V222" r:id="rId1148" xr:uid="{E0AD1945-447D-4932-8036-6F75F17E77D7}"/>
    <hyperlink ref="V223" r:id="rId1149" xr:uid="{0514805D-97F8-42E6-9D21-37C6956D32B5}"/>
    <hyperlink ref="X222" r:id="rId1150" xr:uid="{76DB7768-FDCC-4EA6-85D8-CD9589B287BD}"/>
    <hyperlink ref="V364" r:id="rId1151" xr:uid="{AC4DAAE1-A45F-4C4E-A6C1-7A967B8263ED}"/>
    <hyperlink ref="V365:V368" r:id="rId1152" display="https://kaitseministeerium.ee/et/uudised/eesti-saadab-ukrainale-taas-sojavarustust" xr:uid="{14B2FACF-6D09-4A77-8B5E-C5C6E852E047}"/>
    <hyperlink ref="W364" r:id="rId1153" xr:uid="{DA072AE6-45A7-40F2-A7FB-B8B1449B3B51}"/>
    <hyperlink ref="W365:W368" r:id="rId1154" display="https://news.err.ee/1608829969/estonia-sends-more-military-equipment-to-ukraine" xr:uid="{29F0BE2D-E198-4E67-B3AA-3B00B55F2AD0}"/>
    <hyperlink ref="X364" r:id="rId1155" xr:uid="{068C19DF-D118-46F1-8E5F-AC57FB72563F}"/>
    <hyperlink ref="X365:X368" r:id="rId1156" display="https://kyivindependent.com/news-feed/estonia-to-send-ukraine-new-military-aid-package" xr:uid="{D06C934D-8321-4E50-AFE7-AFE597798E1D}"/>
    <hyperlink ref="Y364" r:id="rId1157" xr:uid="{8C18EAFC-2085-46BE-A88A-409A644F776A}"/>
    <hyperlink ref="Y365:Y368" r:id="rId1158" display="https://english.nv.ua/nation/estonia-approves-new-military-aid-package-for-ukraine-news-50292956.html" xr:uid="{928C5C96-5716-487F-8686-02234FD58708}"/>
    <hyperlink ref="V483" r:id="rId1159" xr:uid="{E41624D3-3677-4F77-92B5-EB6AC0A263E2}"/>
    <hyperlink ref="W483" r:id="rId1160" display="https://twitter.com/EmmanuelMacron/status/1602661511700389888?ref_src=twsrc%5Etfw%7Ctwcamp%5Etweetembed%7Ctwterm%5E1602661511700389888%7Ctwgr%5E339bcba22bc63bfdb282e6d9427211ad1ddf282a%7Ctwcon%5Es1_&amp;ref_url=https%3A%2F%2Fwww.elysee.fr%2Femmanuel-macron%2F2022%2F12%2F13%2Fsolidaires-du-peuple-ukrainien" xr:uid="{FE64C18B-23DF-4087-A9F9-86ED2BF3971A}"/>
    <hyperlink ref="V501" r:id="rId1161" xr:uid="{35A29037-F09B-4DE9-8F62-7FCB05D176C6}"/>
    <hyperlink ref="W501" r:id="rId1162" xr:uid="{6DEA5CC5-9581-43AF-B620-6E0DA8F2DC77}"/>
    <hyperlink ref="X501" r:id="rId1163" xr:uid="{3DE7179B-F453-462A-BAE3-889215048443}"/>
    <hyperlink ref="Y501" r:id="rId1164" xr:uid="{BB82591B-BE8C-4F20-8A62-31E4F30E46EF}"/>
    <hyperlink ref="V792" r:id="rId1165" xr:uid="{6817D87B-0B8B-4511-BADC-FB129B844879}"/>
    <hyperlink ref="W792" r:id="rId1166" xr:uid="{8187638B-B98D-4516-9890-063F155DF114}"/>
    <hyperlink ref="V962" r:id="rId1167" xr:uid="{81D4C061-0468-4B1C-8B7D-74F2A64051FF}"/>
    <hyperlink ref="W962" r:id="rId1168" xr:uid="{7C00160F-6745-41CA-A704-68D9C99688C2}"/>
    <hyperlink ref="V1133" r:id="rId1169" xr:uid="{D64C69C5-5046-4501-A1DA-9AB6F2CAE63C}"/>
    <hyperlink ref="V1134:V1135" r:id="rId1170" display="https://www.lusa.pt/article/39993895/portugal-ukraine-aid-to-include-generators-haters-led-bulbs" xr:uid="{45BB9DAD-ECF5-40B3-9465-96C337D2FC97}"/>
    <hyperlink ref="W1133" r:id="rId1171" xr:uid="{AB224B20-0679-4493-8402-AEFF5D86674E}"/>
    <hyperlink ref="W1134:W1135" r:id="rId1172" display="https://www.euractiv.com/section/politics/news/portugal-helps-ukraine-keep-heat-and-lights-on/" xr:uid="{929C508F-3CB4-4F41-B541-DB35B207B044}"/>
    <hyperlink ref="W1191" r:id="rId1173" xr:uid="{12D0A63B-0539-4870-9E28-7322A65585DB}"/>
    <hyperlink ref="X1191" r:id="rId1174" xr:uid="{E65A717F-4A10-497B-B719-0F5D0F091B87}"/>
    <hyperlink ref="V1206" r:id="rId1175" xr:uid="{AE83D85B-9AF0-4BC7-BC7C-8F54FF228D5B}"/>
    <hyperlink ref="V1207:V1210" r:id="rId1176" display="https://spectator.sme.sk/c/23092666/slovaka-will-provide-winter-package-for-ukraine.html" xr:uid="{B567C459-5BC7-4F19-BBBE-AB9FDFE6E604}"/>
    <hyperlink ref="W1206" r:id="rId1177" xr:uid="{B155FD42-B97B-4016-9260-0EBCFF68B1E6}"/>
    <hyperlink ref="W1207:W1210" r:id="rId1178" display="https://kyivindependent.com/news-feed/slovakia-considers-producing-ammunition-for-ukraine" xr:uid="{9BD7D741-1755-4BC8-B31D-A1D21C4BCD56}"/>
    <hyperlink ref="X1206" r:id="rId1179" xr:uid="{03EB2117-8E33-4BFB-A8D0-B1FDEE0DE59C}"/>
    <hyperlink ref="X1207:X1210" r:id="rId1180" display="https://www.eurointegration.com.ua/news/2022/12/8/7152129/" xr:uid="{C3541E48-4C3B-4FD8-BD76-88E2CB11E8FC}"/>
    <hyperlink ref="Y1205" r:id="rId1181" xr:uid="{C5AD8419-41FB-41EE-9BA8-9301D2C22B82}"/>
    <hyperlink ref="V297" r:id="rId1182" xr:uid="{7762A1C7-DB89-4813-8520-8BDA8CBCCD0A}"/>
    <hyperlink ref="V426" r:id="rId1183" location="3010ecd4" xr:uid="{23493775-DDEB-437F-9E1E-875F3C8D9983}"/>
    <hyperlink ref="W426" r:id="rId1184" xr:uid="{D399A451-5647-4C9E-BE26-92CC8E0067A0}"/>
    <hyperlink ref="V821" r:id="rId1185" xr:uid="{C38D4357-F1BC-45DF-9A45-185B56257B2C}"/>
    <hyperlink ref="W821" r:id="rId1186" xr:uid="{403A8660-D5A2-43D6-8105-AF33F0EB01A7}"/>
    <hyperlink ref="V822" r:id="rId1187" xr:uid="{B8F798D3-55FF-41F8-8F49-FD1356E157E2}"/>
    <hyperlink ref="W822" r:id="rId1188" xr:uid="{02898DB4-00BA-4E86-B7C0-2EAD1041A373}"/>
    <hyperlink ref="X822" r:id="rId1189" xr:uid="{93B8E601-83F4-4AEF-AA19-E35BD4B34DFE}"/>
    <hyperlink ref="Y1036" r:id="rId1190" xr:uid="{3C19DBC8-4E90-417B-BF51-5F8A98B3415C}"/>
    <hyperlink ref="V1076" r:id="rId1191" xr:uid="{091A2DF5-9701-495C-A3BC-BCBFE67E5DC6}"/>
    <hyperlink ref="V1077" r:id="rId1192" xr:uid="{8446125F-DEB0-439E-9580-BF570EF273C0}"/>
    <hyperlink ref="V1078" r:id="rId1193" xr:uid="{05E8D2AA-F616-472B-823E-D5B3483F3CF7}"/>
    <hyperlink ref="V1164" r:id="rId1194" xr:uid="{3D09806A-F2B9-435C-8162-B602E15EF88D}"/>
    <hyperlink ref="W1164" r:id="rId1195" xr:uid="{066B9B79-B8B7-4E1E-A1D6-391FA3160867}"/>
    <hyperlink ref="V1443" r:id="rId1196" xr:uid="{07F5BED0-AA8A-4F2C-BAD0-46FADD6C4C12}"/>
    <hyperlink ref="V1444" r:id="rId1197" xr:uid="{6DE9F896-18EE-4230-91BF-8B10DAFA0AC6}"/>
    <hyperlink ref="V1452" r:id="rId1198" xr:uid="{F5C68330-0717-4548-8746-59EBD10ABC6D}"/>
    <hyperlink ref="V1970" r:id="rId1199" xr:uid="{B0ADA436-AAEA-478E-B11D-1FA49CF51374}"/>
    <hyperlink ref="V1971" r:id="rId1200" xr:uid="{7ABFC89E-3D13-4D7A-84B9-A1CCFFA26560}"/>
    <hyperlink ref="V1973" r:id="rId1201" xr:uid="{660DD13E-3B44-44EC-9DB4-DCCEDCD5F0A4}"/>
    <hyperlink ref="V1702" r:id="rId1202" xr:uid="{ACA4D341-2F70-430E-81E1-29023D022DB3}"/>
    <hyperlink ref="V1713" r:id="rId1203" xr:uid="{ADADB64D-DE09-402F-B441-876BF6CF2630}"/>
    <hyperlink ref="V1717" r:id="rId1204" location=":~:text=The%20Presidential%20Drawdown%20is%20the,has%20authorized%20since%20August%202021" xr:uid="{34FC06E0-7EAD-47DA-9DBD-9C94A15CC032}"/>
    <hyperlink ref="V1902" r:id="rId1205" location=":~:text=The%20Presidential%20Drawdown%20is%20the,has%20authorized%20since%20August%202021" xr:uid="{2B1B81D7-3E4E-48E2-839C-82B371938358}"/>
    <hyperlink ref="V521" r:id="rId1206" xr:uid="{13DA39D1-9452-4733-B315-B5110A7F5358}"/>
    <hyperlink ref="W521" r:id="rId1207" xr:uid="{928D647F-7530-4FB6-8EF8-E56CA8124FD0}"/>
    <hyperlink ref="V1703" r:id="rId1208" xr:uid="{C2F7362E-B07B-45FF-8FE7-0A011E101A8B}"/>
    <hyperlink ref="V1704" r:id="rId1209" xr:uid="{4BF14B12-EB9E-411E-9167-062CDD5FF028}"/>
    <hyperlink ref="V1705" r:id="rId1210" xr:uid="{626CE588-B971-4709-800E-C4908A7F8CEE}"/>
    <hyperlink ref="V1706" r:id="rId1211" xr:uid="{AAF3B4F3-01C3-4B06-A868-EC68B029AFA5}"/>
    <hyperlink ref="V1707" r:id="rId1212" xr:uid="{DFFD0E05-6A34-4D4E-8EC3-63B7FFF68A61}"/>
    <hyperlink ref="V1708" r:id="rId1213" xr:uid="{12DDABE6-30C1-4EDA-A230-068CD0BDDABB}"/>
    <hyperlink ref="V1709" r:id="rId1214" xr:uid="{D9E67D30-7A34-4716-B90A-F29FD949FC4B}"/>
    <hyperlink ref="V1710" r:id="rId1215" xr:uid="{C089EB5E-0E45-48A6-9183-541D32CE8D6B}"/>
    <hyperlink ref="V1711" r:id="rId1216" xr:uid="{A1E08E9E-5985-4EFB-BC74-BE788EBE0546}"/>
    <hyperlink ref="V1712" r:id="rId1217" xr:uid="{B5694268-D431-4B35-AD09-FB164872083E}"/>
    <hyperlink ref="V1714" r:id="rId1218" xr:uid="{A4EDB918-C197-4484-9975-9011BE219498}"/>
    <hyperlink ref="V1715" r:id="rId1219" xr:uid="{F9FEC80C-C704-4ADA-8852-BEAC5FE2CB87}"/>
    <hyperlink ref="V1716" r:id="rId1220" xr:uid="{2935579E-07B8-4820-9FC1-F343479300A4}"/>
    <hyperlink ref="V1118" r:id="rId1221" xr:uid="{769AAD53-84B0-42BB-AFAD-5EBAECFBB5F6}"/>
    <hyperlink ref="W1118" r:id="rId1222" xr:uid="{376DB9D0-C269-43AE-B43A-E39D3273E11E}"/>
    <hyperlink ref="X1118" r:id="rId1223" xr:uid="{0E507FDE-D721-4676-B64B-593D674C1CBB}"/>
    <hyperlink ref="V1119" r:id="rId1224" xr:uid="{4610D33C-051B-44A7-BC4B-38CF8EFE0C4C}"/>
    <hyperlink ref="V1117" r:id="rId1225" xr:uid="{5343E0B0-0E2E-4FAE-84B0-AEAE76451446}"/>
    <hyperlink ref="V1116" r:id="rId1226" location=":~:text=Poland%20has%20sent%20at%20least,escalating%20fight%20for%20its%20east" xr:uid="{AE361742-2E04-4473-97BC-F453F32DDE24}"/>
    <hyperlink ref="V1120" r:id="rId1227" xr:uid="{C3DB9BE5-83E9-4944-BBD9-C528E1C4F15E}"/>
    <hyperlink ref="W1119" r:id="rId1228" xr:uid="{D9C5FBAA-BE58-4867-8458-CDE0647B3A3D}"/>
    <hyperlink ref="V1718:V1733" r:id="rId1229" location=":~:text=The%20Presidential%20Drawdown%20is%20the,has%20authorized%20since%20August%202021" display="https://www.defense.gov/News/Releases/Release/Article/3252782/185-billion-in-additional-security-assistance-for-ukraine/#:~:text=The%20Presidential%20Drawdown%20is%20the,has%20authorized%20since%20August%202021." xr:uid="{E908CABD-68DD-40D5-8289-58B5BAD6E9B5}"/>
    <hyperlink ref="V1734" r:id="rId1230" location=":~:text=The%20Presidential%20Drawdown%20is%20the,has%20authorized%20since%20August%202021" xr:uid="{A3A5247E-933D-45A6-A5AC-0F2ABE750923}"/>
    <hyperlink ref="V1903:V1906" r:id="rId1231" location=":~:text=The%20Presidential%20Drawdown%20is%20the,has%20authorized%20since%20August%202021" display="https://www.defense.gov/News/Releases/Release/Article/3252782/185-billion-in-additional-security-assistance-for-ukraine/#:~:text=The%20Presidential%20Drawdown%20is%20the,has%20authorized%20since%20August%202021." xr:uid="{137CB3F3-A333-4660-BDD3-F74482AD388F}"/>
    <hyperlink ref="W744" r:id="rId1232" xr:uid="{FCE69D6B-7F5F-4D8E-8D84-940BEA9D79F0}"/>
    <hyperlink ref="V745" r:id="rId1233" xr:uid="{93772178-523F-4633-A0F1-F26B5932BD1A}"/>
    <hyperlink ref="V744" r:id="rId1234" xr:uid="{1FCF7341-B7F5-4ED7-94C2-31E9172367B2}"/>
    <hyperlink ref="Y747" r:id="rId1235" xr:uid="{95350D07-9CA5-4DA2-A68B-43674AF4ECCA}"/>
    <hyperlink ref="X747" r:id="rId1236" xr:uid="{DA65F8F6-48ED-4D91-A5EE-242A71567EFA}"/>
    <hyperlink ref="V715" r:id="rId1237" xr:uid="{235FC1E6-2C92-4DC6-8903-3B3298F81BFA}"/>
    <hyperlink ref="W723" r:id="rId1238" xr:uid="{426C2381-B522-46A3-8101-F3E880CA35A6}"/>
    <hyperlink ref="W747" r:id="rId1239" xr:uid="{943D3011-7F2B-441C-847A-7FD765E5104E}"/>
    <hyperlink ref="V747" r:id="rId1240" display="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xr:uid="{96C94B2F-EAAD-46AE-B1D9-FEE54B36CD38}"/>
    <hyperlink ref="V723" r:id="rId1241" xr:uid="{3E5241C1-1038-4EFC-A134-CB9D4757B73C}"/>
    <hyperlink ref="Y746" r:id="rId1242" xr:uid="{AB076E84-1B2C-4939-B1E2-441C7F584A44}"/>
    <hyperlink ref="W746" r:id="rId1243" xr:uid="{24EEB5CC-C404-4FB9-BE14-93F6C7D2513C}"/>
    <hyperlink ref="X746" r:id="rId1244" xr:uid="{A2D82B73-6FA1-4C43-8F37-A04C36B5F429}"/>
    <hyperlink ref="V741:V743" r:id="rId1245" display="https://www.youtube.com/watch?v=vzENx6dTpqY" xr:uid="{D35005A5-A43B-436B-87E0-643FD13F78BA}"/>
    <hyperlink ref="W740" r:id="rId1246" xr:uid="{D32241A2-9E7E-4FDD-BB99-8987274BC11B}"/>
    <hyperlink ref="V738" r:id="rId1247" xr:uid="{C8537415-FF96-4D6A-BF37-EBCA5DDB85F2}"/>
    <hyperlink ref="W716:W722" r:id="rId1248" display="https://www.armyrecognition.com/defense_news_june_2022_global_security_army_industry/greece_to_donate_bmp-1p_tracked_armored_ifvs_to_ukraine_in_exchange_for_german_marder_1a3/1a5_ifvs.html" xr:uid="{9B43E30E-4F67-4640-892A-E7260CE68282}"/>
    <hyperlink ref="W720" r:id="rId1249" display="https://www.ekathimerini.com/news/1179620/greek-role-within-nato-is-upgraded/" xr:uid="{9891BF7F-A923-4ADF-87BB-0A3F18DED6A8}"/>
    <hyperlink ref="X720" r:id="rId1250" display="https://twitter.com/visegrad24/status/1504145180647170060?cxt=HHwWmIC58dGE5t8pAAAA" xr:uid="{53B2F16F-209A-42CA-B406-C5F288ACBE80}"/>
    <hyperlink ref="V720" r:id="rId1251" display="https://www.stripes.com/theaters/us/2022-05-23/ukraine-russia-war-military-weapons-6104132.html" xr:uid="{EA8B934D-89ED-4C04-B958-EF931C8E4F68}"/>
    <hyperlink ref="X716:X722" r:id="rId1252" display="https://twitter.com/visegrad24/status/1533567105110507521" xr:uid="{08C75D02-4C87-42BE-9F07-2F1109255A43}"/>
    <hyperlink ref="W716" r:id="rId1253" display="https://www.republicworld.com/world-news/russia-ukraine-crisis/greece-delivered-unbelievable-amount-of-military-equipment-to-ukraine-report-articleshow.html+" xr:uid="{34B0045C-F21D-4BF5-B12D-72696228CE44}"/>
    <hyperlink ref="W713:W715" r:id="rId1254" display="https://twitter.com/visegrad24/status/1504145180647170060?cxt=HHwWmIC58dGE5t8pAAAA" xr:uid="{4B497F71-C02E-4A73-BBA2-7CB2745D3E36}"/>
    <hyperlink ref="V713" r:id="rId1255" display="https://www.stripes.com/theaters/us/2022-05-23/ukraine-russia-war-military-weapons-6104132.html" xr:uid="{20450288-E336-4A32-AA1E-D64B92F959E5}"/>
    <hyperlink ref="V733:V736" r:id="rId1256" display="https://abouthungary.hu/news-in-brief/hungary-to-make-another-shipment-of-humanitarian-aid-to-ukraine?msclkid=ca53d542ab8b11ec95fbf81dabb45ae9" xr:uid="{ADC1ABA5-7393-4D00-A077-DF0917847DA4}"/>
    <hyperlink ref="V730:V732" r:id="rId1257" display="https://telex.hu/kulfold/2022/02/27/magyarorszag-100-ezer-liter-uzemanyagot-adomanyozott-karpataljanak" xr:uid="{0545F824-AC1E-4A9D-834C-25724D98C21C}"/>
    <hyperlink ref="V751:V753" r:id="rId1258" display="https://www.gov.ie/en/press-release/b80b7-government-ministers-announce-irish-support-for-ukrainian-health-service/?msclkid=07ab0901b05a11ec8239ca04bfcdbb9d" xr:uid="{26299C28-5492-472E-BA49-FE4FD2147C3E}"/>
    <hyperlink ref="V709" r:id="rId1259" location=":~:text=humanitarian%20aid%20with-,medical%2C%20pharmaceutical%20and%20first%20aid%20material,-.%20The%20humanitarian%20aid" xr:uid="{92C7E404-63F2-48A3-9416-058D7A2A287E}"/>
    <hyperlink ref="V711" r:id="rId1260" xr:uid="{DF48982B-FFB7-4462-B8A1-C01DED48DAA5}"/>
    <hyperlink ref="V712" r:id="rId1261" display="https://www.mfa.gr/en/current-affairs/statements-speeches/delivery-of-greek-humanitarian-aid-to-the-ukrainian-people-including-diaspora-greeks-in-odessa-11042022-and-departure-of-the-4th-humanitarian-mission-of-the-hellenic-red-cross-to-ukraine-odessa-12042022.html" xr:uid="{D1E7A651-A93B-4E3D-9274-CB98F4D26DFD}"/>
    <hyperlink ref="W711" r:id="rId1262" xr:uid="{6CD8277C-4862-4852-9C7C-DEB35EBED200}"/>
    <hyperlink ref="V710" r:id="rId1263" display="https://twitter.com/PrimeministerGR/status/1504800257447706626?ref_src=twsrc%5Etfw%7Ctwcamp%5Etweetembed%7Ctwterm%5E1504800257447706626%7Ctwgr%5E%7Ctwcon%5Es1_&amp;ref_url=https%3A%2F%2Fwww.keeptalkinggreece.com%2F2022%2F03%2F18%2Fgreece-rebuild-maternity-hospital-mariupol%2F" xr:uid="{1A2447C4-D2AD-4A01-AB44-F4099B0A00C0}"/>
    <hyperlink ref="W710" r:id="rId1264" xr:uid="{AD6047BB-FA65-4C6D-8F3A-8102D05C2D37}"/>
    <hyperlink ref="V756" r:id="rId1265" xr:uid="{F0C9A585-CF7B-45FF-BAA7-6E547479F2FD}"/>
    <hyperlink ref="V755" r:id="rId1266" xr:uid="{565E7035-AEA1-42E8-967C-4E668B1212E1}"/>
    <hyperlink ref="V754" r:id="rId1267" xr:uid="{CAC876B2-F2B9-40E8-925F-5F4F3F1FFE8B}"/>
    <hyperlink ref="W739" r:id="rId1268" xr:uid="{107D06CA-8F14-456B-B115-9338E38A844E}"/>
    <hyperlink ref="W737" r:id="rId1269" xr:uid="{FE4611F4-F096-4259-B277-8BDC91932C25}"/>
    <hyperlink ref="W751:W753" r:id="rId1270" display="https://www.irishtimes.com/news/health/thousands-of-blood-bags-and-protective-suits-among-irish-aid-sent-to-ukraine-1.4824403" xr:uid="{1A383E81-2C0B-4FA0-AD9F-58EED4006776}"/>
    <hyperlink ref="W733:W736" r:id="rId1271" display="https://dailynewshungary.com/hungary-to-send-shipment-of-medical-equipment-to-ukraine/" xr:uid="{2C1D1466-A809-4918-8A70-DAD72BDBDFD7}"/>
    <hyperlink ref="W730:W732" r:id="rId1272" display="https://www.karpatinfo.net/2022/2/27/szijjarto-magyarorszag-szerepet-vallal-humanitarius-katasztrofa-enyhiteseben-200055995" xr:uid="{9D25CCE0-CEC9-4853-825D-3FD0616677DF}"/>
    <hyperlink ref="W750" r:id="rId1273" xr:uid="{095EFA4D-3037-4A47-AF6B-FF5F3E63480F}"/>
    <hyperlink ref="V751" r:id="rId1274" xr:uid="{A6BFF961-1EC1-4401-8859-5F9E68D73D67}"/>
    <hyperlink ref="V750" r:id="rId1275" xr:uid="{431C75DF-FB54-41B1-A25A-0F91FC775C79}"/>
    <hyperlink ref="V737" r:id="rId1276" xr:uid="{B05BF26B-199C-446D-B2FB-98A1B2E51543}"/>
    <hyperlink ref="V730" r:id="rId1277" xr:uid="{06D4AFF7-F8CD-4498-AA5F-C1806EF273F0}"/>
    <hyperlink ref="V733" r:id="rId1278" xr:uid="{E0EE19DF-8317-4216-84CB-AA950F411BE8}"/>
    <hyperlink ref="V701" r:id="rId1279" xr:uid="{00AF8467-C2C7-42CD-A580-4D191A5D666B}"/>
    <hyperlink ref="W701" r:id="rId1280" xr:uid="{0093BB08-F4EF-48D6-8480-8F520296699D}"/>
    <hyperlink ref="X701" r:id="rId1281" xr:uid="{5BF4B2F5-C7BD-4F52-96F3-5085BA1756EC}"/>
    <hyperlink ref="Y701" r:id="rId1282" xr:uid="{180E6E81-1781-4BF4-B475-14F72B0ED6D4}"/>
    <hyperlink ref="V534" r:id="rId1283" xr:uid="{38BEBD67-815C-4906-8763-88CB7BEAB0D6}"/>
    <hyperlink ref="V504" r:id="rId1284" xr:uid="{44B285E7-E882-4C04-8EF4-D922117469BF}"/>
    <hyperlink ref="W504" r:id="rId1285" xr:uid="{87626CFA-4A3F-4381-B490-0259CE584FC2}"/>
    <hyperlink ref="X504" r:id="rId1286" xr:uid="{A96180EA-11B1-49A1-A37A-75714D4E926D}"/>
    <hyperlink ref="V510" r:id="rId1287" xr:uid="{6E844142-AC34-43F1-BCDF-52C06C64DE16}"/>
    <hyperlink ref="W706" r:id="rId1288" xr:uid="{E659DD74-7D19-4089-B4CF-166FDD9FA3BB}"/>
    <hyperlink ref="W708" r:id="rId1289" xr:uid="{7AB1BB88-A572-4A44-89E6-FA67B24A45E3}"/>
    <hyperlink ref="X708" r:id="rId1290" xr:uid="{1F7F47C3-619F-40BE-9086-20108B618072}"/>
    <hyperlink ref="V708" r:id="rId1291" xr:uid="{63260CB4-35A8-46C6-9459-671ECCBC77D6}"/>
    <hyperlink ref="V1411" r:id="rId1292" xr:uid="{9D0F1321-D12B-4C00-AA37-F818C1A5C58B}"/>
    <hyperlink ref="X1437" r:id="rId1293" xr:uid="{8D139ECD-7413-4BBC-AA3C-81802E27FC44}"/>
    <hyperlink ref="V176" r:id="rId1294" xr:uid="{6DD037B4-5D1C-407B-BD89-CC5A9BA8F0A6}"/>
    <hyperlink ref="W176" r:id="rId1295" display="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 xr:uid="{A98355A1-25E7-4826-BC7F-8727650B7CB5}"/>
    <hyperlink ref="W1970" r:id="rId1296" xr:uid="{B669FA3E-CBE2-445E-A2EB-7EC8A6E06097}"/>
    <hyperlink ref="X885" r:id="rId1297" display="https://twitter.com/Lithuanian_MoD/status/1529371608766468097?ref_src=twsrc%5Etfw%7Ctwcamp%5Etweetembed%7Ctwterm%5E1529371608766468097%7Ctwgr%5E%7Ctwcon%5Es1_&amp;ref_url=https%3A%2F%2Fwww.republicworld.com%2Fworld-news%2Frussia-ukraine-crisis%2Frussia-ukraine-war-lithuania-to-send-armoured-personnel-carriers-in-military-aid-to-kyiv-articleshow.html" xr:uid="{043448B1-4F93-4377-A684-E8918B4C2C41}"/>
    <hyperlink ref="W25" r:id="rId1298" xr:uid="{16B53845-28DE-4414-9A3E-9F68D148774D}"/>
    <hyperlink ref="V5" r:id="rId1299" xr:uid="{E41D00B1-E2EC-4CFA-B109-95A31FD50ED8}"/>
    <hyperlink ref="W5" r:id="rId1300" xr:uid="{3DDC3D7A-9CCB-4220-8183-7E63C40C89DB}"/>
    <hyperlink ref="V848" r:id="rId1301" xr:uid="{B6651504-DA37-48DE-9CAE-1D62E52F361E}"/>
    <hyperlink ref="V851" r:id="rId1302" xr:uid="{C370E4DD-2483-4735-B707-36670A5569D3}"/>
    <hyperlink ref="V849" r:id="rId1303" xr:uid="{87E32AE8-DB05-4145-BDC8-288B31287A4F}"/>
    <hyperlink ref="V896" r:id="rId1304" xr:uid="{CE95CD18-276C-40A4-9B35-EDC073178ABE}"/>
    <hyperlink ref="V904" r:id="rId1305" xr:uid="{FF545B43-DEFF-4B18-BDF0-9FCAD0F3F13C}"/>
    <hyperlink ref="V847" r:id="rId1306" xr:uid="{A89CEB09-3AC0-4590-96A4-C9DC54F47A49}"/>
    <hyperlink ref="W907" r:id="rId1307" xr:uid="{EF5EFB85-CD6D-4A78-856F-B2617DD5A35E}"/>
    <hyperlink ref="V928" r:id="rId1308" xr:uid="{B4676D91-3B27-44AD-91F4-6BF92E84D863}"/>
    <hyperlink ref="W928" r:id="rId1309" xr:uid="{516E8142-87B2-4345-A0F6-85425BDA86ED}"/>
    <hyperlink ref="W951" r:id="rId1310" xr:uid="{2A98AE75-1F58-4516-9FE4-7B41E3B2F28C}"/>
    <hyperlink ref="X931:X950" r:id="rId1311" display="https://delano.lu/article/zelenskyy-thanks-luxembourg-fo" xr:uid="{8345DD6F-C5E0-41E7-9AAF-F3DF70538322}"/>
    <hyperlink ref="W932" r:id="rId1312" xr:uid="{CFDC0D22-8EEE-404A-8E2E-4DF346852385}"/>
    <hyperlink ref="W931" r:id="rId1313" xr:uid="{C9798943-1EA1-4D5E-A8A6-D8FE53D12A6B}"/>
    <hyperlink ref="W933" r:id="rId1314" xr:uid="{0BA42883-AF69-4876-B37E-53B69A11A75E}"/>
    <hyperlink ref="W934:W950" r:id="rId1315" display="https://delano.lu/article/luxembourg-delivering-substant" xr:uid="{959A79E2-F22F-46EE-B168-7A7B86F3AAC5}"/>
    <hyperlink ref="W985" r:id="rId1316" xr:uid="{D9B20FC3-DF51-4A9B-B8D6-C7725219AAC5}"/>
    <hyperlink ref="W984" r:id="rId1317" xr:uid="{BCD2542A-61F6-47AB-9C36-362724E23729}"/>
    <hyperlink ref="V1024" r:id="rId1318" xr:uid="{8CE86721-9CE9-451F-B0ED-3460B1E06B10}"/>
    <hyperlink ref="V177" r:id="rId1319" xr:uid="{44C6C4FE-05F8-4F5F-A902-502E793C327A}"/>
    <hyperlink ref="V178:V179" r:id="rId1320" display="https://www.canada.ca/en/department-national-defence/campaigns/canadian-military-support-to-ukraine.html" xr:uid="{BB84E126-4EE5-43EC-9995-F0F5176371A0}"/>
    <hyperlink ref="V1417" r:id="rId1321" xr:uid="{718A6FDE-CBCE-41B9-855B-BC27466F838C}"/>
    <hyperlink ref="V1418" r:id="rId1322" xr:uid="{AE5DA594-BC4C-496B-AA8F-1AC3C067DD9C}"/>
    <hyperlink ref="V1980" r:id="rId1323" xr:uid="{972EE632-5C5F-4D4A-96B5-08DA8DCD5156}"/>
    <hyperlink ref="Y131" r:id="rId1324" xr:uid="{0511AB96-EB17-49E5-943A-D79434523C90}"/>
    <hyperlink ref="V125" r:id="rId1325" xr:uid="{8A63A659-B2FA-4F4B-A831-D5F0FA98395D}"/>
    <hyperlink ref="V126:V129" r:id="rId1326" display="https://www.mod.bg/bg/news.php?&amp;fn_page=2" xr:uid="{9CCF0E86-5C44-4933-B31C-A513C87D81B7}"/>
    <hyperlink ref="W125" r:id="rId1327" xr:uid="{5B15397C-B132-43D7-B711-E6A343149A19}"/>
    <hyperlink ref="W126:W129" r:id="rId1328" display="https://www.investor.bg/a/527-svyat/366246-balgariya-e-otpusnala-na-ukrayna-pomosht-za-448-mln-lv-ot-nachaloto-na-voynata" xr:uid="{95762010-B7F5-4D88-93F2-69964510C170}"/>
    <hyperlink ref="W212" r:id="rId1329" xr:uid="{A990B794-450C-42C3-ACE2-A9BD8E8DF51F}"/>
    <hyperlink ref="X212" r:id="rId1330" xr:uid="{F46EC2E7-19F5-4728-B4A2-C8BA7833A35B}"/>
    <hyperlink ref="V953" r:id="rId1331" xr:uid="{F2F77DDD-A708-4823-9F9D-A91F316A1347}"/>
    <hyperlink ref="W953" r:id="rId1332" xr:uid="{4F007423-9795-47DD-8EC7-AE733E82ACC2}"/>
    <hyperlink ref="V984" r:id="rId1333" xr:uid="{0C695FEB-BB24-443A-BE48-F8DE63A3748B}"/>
    <hyperlink ref="V1235" r:id="rId1334" xr:uid="{1B99C027-87CA-4ED4-9D10-0C323C751B86}"/>
    <hyperlink ref="V1234" r:id="rId1335" xr:uid="{EFC97CCC-D94D-4671-A7DF-434A5774E49E}"/>
    <hyperlink ref="V1301" r:id="rId1336" xr:uid="{6E58A915-B813-4C9E-A5C0-7F8C63649784}"/>
    <hyperlink ref="V1302" r:id="rId1337" xr:uid="{3F9D3D5C-343B-4263-B448-FE8BC037EF9D}"/>
    <hyperlink ref="V1303" r:id="rId1338" xr:uid="{21980BB3-AA5F-4DA5-8E3C-7A1E18C1ACF7}"/>
    <hyperlink ref="V1236" r:id="rId1339" xr:uid="{12EA47DB-9ECB-48B5-A03C-09B47342183A}"/>
    <hyperlink ref="W1236" r:id="rId1340" xr:uid="{0BDBC0B2-AE0A-433B-AA73-0AD959422A2B}"/>
    <hyperlink ref="X1236" r:id="rId1341" location=":~:text=Slovenia%20has%20also%20pledged%20%E2%82%AC,countries%20in%20Africa%20and%20Asia" xr:uid="{A50411A0-A5AE-4807-830D-FE6116949A43}"/>
    <hyperlink ref="V1237" r:id="rId1342" xr:uid="{DAC7DE27-B524-416A-8379-39082AB04967}"/>
    <hyperlink ref="W1237" r:id="rId1343" xr:uid="{F19B29E4-CBB3-45C8-B00E-E291D8514F67}"/>
    <hyperlink ref="Y1191" r:id="rId1344" xr:uid="{ED9AFBA1-EF2E-45B9-82A6-AFCAEB4E7440}"/>
    <hyperlink ref="V1191" r:id="rId1345" xr:uid="{E36A507B-9181-4297-A392-D27EC42EF0A8}"/>
    <hyperlink ref="V1192:V1194" r:id="rId1346" display="https://www.ukrainianworldcongress.org/slovakia-approves-a-new-package-of-military-aid-to-ukraine/" xr:uid="{475C4FFF-E646-4456-894D-9DED030E2AA4}"/>
    <hyperlink ref="V480" r:id="rId1347" xr:uid="{4C564887-888F-4B60-8284-58A3605A07A4}"/>
    <hyperlink ref="X480" r:id="rId1348" xr:uid="{451077FE-E7C8-4C5B-9483-19FCE660E561}"/>
    <hyperlink ref="Y480" r:id="rId1349" xr:uid="{6AFD8382-0962-4876-ADA9-2A9391A0B2C6}"/>
    <hyperlink ref="V487" r:id="rId1350" xr:uid="{84786F5B-F898-45A3-BA85-D915C3CA5B8F}"/>
    <hyperlink ref="W487" r:id="rId1351" xr:uid="{200FD063-CBC9-4E2F-80A5-0C1A4A169C6C}"/>
    <hyperlink ref="X487" r:id="rId1352" xr:uid="{C3B90A40-D349-4286-AF0B-71E294E58567}"/>
    <hyperlink ref="Y487" r:id="rId1353" xr:uid="{384328E9-0D1D-406E-B8B9-A1B20CA85C00}"/>
    <hyperlink ref="V1136" r:id="rId1354" xr:uid="{8C82BE53-5C2B-489F-9C2F-C7CADC9370AD}"/>
    <hyperlink ref="W1971" r:id="rId1355" xr:uid="{CE310829-AA5A-451E-88C3-71BDD5EDCDB4}"/>
    <hyperlink ref="W1443" r:id="rId1356" xr:uid="{C4FD4A74-9F45-44AE-B759-CA09DA2EBA42}"/>
    <hyperlink ref="V1665" r:id="rId1357" xr:uid="{01808A49-4A52-4B08-8421-4B6C21B3B3AE}"/>
    <hyperlink ref="W1665" r:id="rId1358" xr:uid="{96636EFC-4C7E-41F4-B7E5-D76DCECD5FE8}"/>
    <hyperlink ref="V1736" r:id="rId1359" xr:uid="{96F6C9E2-484B-4B94-8606-1CCE705AF878}"/>
    <hyperlink ref="V1737:V1758" r:id="rId1360" display="https://www.defense.gov/News/Releases/Release/Article/3261263/more-than-3-billion-in-additional-security-assistance-for-ukraine/" xr:uid="{55BA0387-DD1F-432E-8C41-21F5C613ECB4}"/>
    <hyperlink ref="V1442" r:id="rId1361" xr:uid="{CA7C8ACE-C0A8-42BD-946E-3175371A656D}"/>
    <hyperlink ref="V1450" r:id="rId1362" xr:uid="{5C859A56-8288-4912-A5B2-09B84C63FA95}"/>
    <hyperlink ref="W1454" r:id="rId1363" xr:uid="{E64BD4E5-E7FD-4B03-9CE5-9C16010BF6F8}"/>
    <hyperlink ref="X1454" r:id="rId1364" xr:uid="{46C65F28-BEEA-4AAC-A78D-626F3A9047C0}"/>
    <hyperlink ref="Y1454" r:id="rId1365" xr:uid="{47B993D1-9C6E-47F9-8434-9E7874B540D6}"/>
    <hyperlink ref="W1455" r:id="rId1366" xr:uid="{1DACCA2C-D462-44BC-9A67-69ED8A9E4432}"/>
    <hyperlink ref="W1456" r:id="rId1367" xr:uid="{61404291-A057-426F-80EF-D06FBCC4FCFE}"/>
    <hyperlink ref="W1457" r:id="rId1368" xr:uid="{7BCDC4A6-A1E7-4F51-89FA-A53D0DB61BFF}"/>
    <hyperlink ref="W1458" r:id="rId1369" xr:uid="{A249FBE6-FBE5-4762-A355-3E760C40F3EA}"/>
    <hyperlink ref="W1459" r:id="rId1370" xr:uid="{9BAD3FCF-5935-418B-91D3-C20B227C2633}"/>
    <hyperlink ref="W1460" r:id="rId1371" xr:uid="{DD252A37-3219-4A4B-AE4B-AD5F9937A7F4}"/>
    <hyperlink ref="W1461" r:id="rId1372" xr:uid="{57E69C15-B9DE-463B-8CB2-1C5DDE2DEE59}"/>
    <hyperlink ref="W1462" r:id="rId1373" xr:uid="{BAF75D96-8B9E-4AF3-9CDA-212D742E0FAF}"/>
    <hyperlink ref="W1463" r:id="rId1374" xr:uid="{B724FC36-2525-4E35-9715-D69ED4EC5F89}"/>
    <hyperlink ref="W1464" r:id="rId1375" xr:uid="{6D4355DD-E23C-40E8-8C9D-8772684850D6}"/>
    <hyperlink ref="W1465" r:id="rId1376" xr:uid="{FDE3A63C-1A3B-449E-8D2E-8F24ECC5B271}"/>
    <hyperlink ref="W1466" r:id="rId1377" xr:uid="{0B7FA7B9-7772-459E-B1BF-FE094DD2D232}"/>
    <hyperlink ref="W1467" r:id="rId1378" xr:uid="{3C5A4D26-29CD-4339-A87D-D356581227D5}"/>
    <hyperlink ref="W1468" r:id="rId1379" xr:uid="{27CBA394-0846-4FF8-BA66-B4D4060E0AD5}"/>
    <hyperlink ref="W1469" r:id="rId1380" xr:uid="{BCB19ACA-AC61-4ED8-A0B6-8A0B6BF20B14}"/>
    <hyperlink ref="W1470" r:id="rId1381" xr:uid="{2AEA300E-ECA7-4A1A-B8E0-4E38369BC466}"/>
    <hyperlink ref="W1471" r:id="rId1382" xr:uid="{76B1500F-7B37-425E-814D-A2EDE745CE3F}"/>
    <hyperlink ref="W1472" r:id="rId1383" xr:uid="{69B3DCA9-64B3-47B5-A90D-C86260C782BA}"/>
    <hyperlink ref="W1473" r:id="rId1384" xr:uid="{AFFF901B-B481-4BCC-AE9B-1CC7BE56224C}"/>
    <hyperlink ref="W1474" r:id="rId1385" xr:uid="{91EADAB5-6BF9-44D4-A02E-AD346630682C}"/>
    <hyperlink ref="W1475" r:id="rId1386" xr:uid="{3C33E002-BAC8-45D3-95F5-C771C95FE0A2}"/>
    <hyperlink ref="W1476" r:id="rId1387" xr:uid="{5FCAD86F-CC44-4530-9B1B-F2C60E3E2742}"/>
    <hyperlink ref="W1477" r:id="rId1388" xr:uid="{CCA173C9-92FE-4734-9B9C-8898DE496A21}"/>
    <hyperlink ref="W1478" r:id="rId1389" xr:uid="{4D5AE712-8E05-460A-85BA-83B02CBFF0BF}"/>
    <hyperlink ref="W1479" r:id="rId1390" xr:uid="{C7588B43-A4C6-4E61-8388-224B9D380229}"/>
    <hyperlink ref="W1480" r:id="rId1391" xr:uid="{160F5BA9-FFB7-4A93-89BF-C12CFA19CC8A}"/>
    <hyperlink ref="W1481" r:id="rId1392" xr:uid="{A551E1FA-C31A-4A4F-B727-1191E003C0BC}"/>
    <hyperlink ref="W1482" r:id="rId1393" xr:uid="{7EABCF43-E08D-41ED-8BB5-842FAB39403A}"/>
    <hyperlink ref="W1483" r:id="rId1394" xr:uid="{7E7955B7-C670-42D6-BF26-4DDCEF147983}"/>
    <hyperlink ref="W1484" r:id="rId1395" xr:uid="{F698527A-0545-4743-B171-99A08EFC8766}"/>
    <hyperlink ref="W1485" r:id="rId1396" xr:uid="{142B1F9F-2C01-4A7E-9A61-7BA560931E77}"/>
    <hyperlink ref="W1486" r:id="rId1397" xr:uid="{4974C668-13A1-4F97-854E-708EA8D4D6F4}"/>
    <hyperlink ref="W1487" r:id="rId1398" xr:uid="{FCA0C97A-BE60-4BA9-AC8F-DA4EE54660A4}"/>
    <hyperlink ref="W1488" r:id="rId1399" xr:uid="{6075D261-8CF1-4C71-A486-BACFA8A91EA9}"/>
    <hyperlink ref="W1489" r:id="rId1400" xr:uid="{4ECCFC9D-2969-4B5F-B333-291336522A6B}"/>
    <hyperlink ref="W1490" r:id="rId1401" xr:uid="{4193AF5D-B00A-4790-B12E-CDC6183B91B5}"/>
    <hyperlink ref="W1491" r:id="rId1402" xr:uid="{94EF263B-4554-460D-BB4D-DED727E3B636}"/>
    <hyperlink ref="W1492" r:id="rId1403" xr:uid="{9FA8255B-9D11-4257-A6DD-0D0567071161}"/>
    <hyperlink ref="W1493" r:id="rId1404" xr:uid="{44A81B5B-D47A-4E21-8F22-031E36F56D63}"/>
    <hyperlink ref="W1494" r:id="rId1405" xr:uid="{85079970-671E-4E21-915E-4292CD5738A2}"/>
    <hyperlink ref="W1495" r:id="rId1406" xr:uid="{DCA5B2DA-2821-4BF3-B728-E04E0DF05C34}"/>
    <hyperlink ref="W1496" r:id="rId1407" xr:uid="{F2054938-8F43-4BDC-A186-C58F1488D771}"/>
    <hyperlink ref="W1497" r:id="rId1408" xr:uid="{3CC3BA66-2980-4704-8AED-CE107EB1735F}"/>
    <hyperlink ref="W1498" r:id="rId1409" xr:uid="{C76F0C99-4C4E-4812-A56B-6F59F2E5BFCB}"/>
    <hyperlink ref="W1499" r:id="rId1410" xr:uid="{8A17E28F-5569-42EA-A33F-84BC44789A08}"/>
    <hyperlink ref="W1500" r:id="rId1411" xr:uid="{18E95988-25E4-480E-B6C2-D49D7122B5E7}"/>
    <hyperlink ref="W1501" r:id="rId1412" xr:uid="{9BD240A6-7774-492B-B0B0-F8CC945EE5C1}"/>
    <hyperlink ref="W1502" r:id="rId1413" xr:uid="{C4277771-9AE1-4B84-A638-5DD8889AD48C}"/>
    <hyperlink ref="W1503" r:id="rId1414" xr:uid="{47681C44-053B-47D1-966C-1868299B2B08}"/>
    <hyperlink ref="W1504" r:id="rId1415" xr:uid="{2584C32D-9443-4C4E-BB36-D066AE844E3D}"/>
    <hyperlink ref="W1505" r:id="rId1416" xr:uid="{AF96949D-D3ED-4A8D-945C-2A23E5943C64}"/>
    <hyperlink ref="W1506" r:id="rId1417" xr:uid="{FAA869F1-D9F9-4FC9-AE65-ED40596D8E7D}"/>
    <hyperlink ref="W1507" r:id="rId1418" xr:uid="{6EE6E96B-E670-42CD-A246-F48A394344D7}"/>
    <hyperlink ref="W1508" r:id="rId1419" xr:uid="{7AF80A24-C859-4A47-AF7E-3B92711D1645}"/>
    <hyperlink ref="W1509" r:id="rId1420" xr:uid="{7821FC16-D962-41EF-9F06-DCCCC1B40E6C}"/>
    <hyperlink ref="W1510" r:id="rId1421" xr:uid="{C1A05244-82F1-49CB-B7D6-1AE2B56C94E3}"/>
    <hyperlink ref="W1511" r:id="rId1422" xr:uid="{EB5DF2B8-07F2-48BA-B1E4-72C6DC54E1D1}"/>
    <hyperlink ref="W1512" r:id="rId1423" xr:uid="{F330CCBD-E75F-4FB9-8DE6-C86932BBCDEB}"/>
    <hyperlink ref="W1513" r:id="rId1424" xr:uid="{8BD532F3-E177-41CE-AD4D-B292BD712BBC}"/>
    <hyperlink ref="W1514" r:id="rId1425" xr:uid="{398325C5-3EB9-441B-BB60-01C7AFC9C7F5}"/>
    <hyperlink ref="W1515" r:id="rId1426" xr:uid="{4CDB6268-8DA6-499B-B2CA-D3E54AF21FDA}"/>
    <hyperlink ref="W1516" r:id="rId1427" xr:uid="{DCC597DA-8231-42E6-BF98-84EDB32D9318}"/>
    <hyperlink ref="W1517" r:id="rId1428" xr:uid="{AA61697B-28CA-4CE0-996C-340358F16D54}"/>
    <hyperlink ref="W1518" r:id="rId1429" xr:uid="{B62ACA71-8BE4-4E9C-8782-C2FD94028231}"/>
    <hyperlink ref="W1519" r:id="rId1430" xr:uid="{1E923A55-AE68-41A2-A0F4-7A7FA7F45480}"/>
    <hyperlink ref="W1520" r:id="rId1431" xr:uid="{AB4628B6-992F-4025-922A-A65ACCB4E56D}"/>
    <hyperlink ref="W1521" r:id="rId1432" xr:uid="{7D4E1C59-DB60-469D-96BF-315EE51B6BD3}"/>
    <hyperlink ref="W1522" r:id="rId1433" xr:uid="{B936638A-5E4B-4C27-984F-A5137A64AB18}"/>
    <hyperlink ref="W1523" r:id="rId1434" xr:uid="{E1D2F998-3D69-4296-9E4F-0700B9F89C3D}"/>
    <hyperlink ref="W1524" r:id="rId1435" xr:uid="{C10A5986-505D-4F51-9074-591C4D23ED1E}"/>
    <hyperlink ref="W1525" r:id="rId1436" xr:uid="{65680B91-55AC-4680-B37C-299E42BD4977}"/>
    <hyperlink ref="W1526" r:id="rId1437" xr:uid="{52B459EF-B70D-4A36-B73C-9BC83696DFE5}"/>
    <hyperlink ref="W1527" r:id="rId1438" xr:uid="{9FFB286C-75EB-4888-BDC6-B6F60C5B9D8E}"/>
    <hyperlink ref="W1528" r:id="rId1439" xr:uid="{31129169-A267-4657-AD5D-A67E8479A742}"/>
    <hyperlink ref="W1529" r:id="rId1440" xr:uid="{6E2B4B85-F60B-490B-9D72-9DB2A6F076BB}"/>
    <hyperlink ref="W1530" r:id="rId1441" xr:uid="{E3183F83-CA13-448A-A32F-539D0C2DB984}"/>
    <hyperlink ref="W1531" r:id="rId1442" xr:uid="{4225504D-C943-4BBB-BD4E-65C20F7F0D49}"/>
    <hyperlink ref="W1532" r:id="rId1443" xr:uid="{BF007970-739F-4FC5-9C16-575A43A9C6FE}"/>
    <hyperlink ref="W1533" r:id="rId1444" xr:uid="{38395AD7-0350-446B-A744-714EE21DF86B}"/>
    <hyperlink ref="W1534" r:id="rId1445" xr:uid="{E0D978C3-FF1B-409E-9B91-BF2F3F74B79F}"/>
    <hyperlink ref="W1535" r:id="rId1446" xr:uid="{742A7DAB-C474-4D31-A286-04BC64BCF1DD}"/>
    <hyperlink ref="W1536" r:id="rId1447" xr:uid="{7E1EA27B-4332-4C65-8CBE-8E67718C58E4}"/>
    <hyperlink ref="W1537" r:id="rId1448" xr:uid="{A8B3523B-9403-4117-84FE-F1D3E8349F9B}"/>
    <hyperlink ref="W1538" r:id="rId1449" xr:uid="{C0ACA357-06BE-4D95-92EF-667D4622B76B}"/>
    <hyperlink ref="W1539" r:id="rId1450" xr:uid="{29B25AE0-7147-4E36-84CF-1CAD563484F5}"/>
    <hyperlink ref="W1540" r:id="rId1451" xr:uid="{DAA3F166-0881-440C-923E-C7B7541F625F}"/>
    <hyperlink ref="W1541" r:id="rId1452" xr:uid="{DC0F50C1-33A8-4A23-BE95-E54EF5068DA8}"/>
    <hyperlink ref="W1542" r:id="rId1453" xr:uid="{1121A002-1DA3-4423-A9B4-1302C9F8795D}"/>
    <hyperlink ref="W1543" r:id="rId1454" xr:uid="{8A785B19-DBA1-4662-8DBB-5FF1885F15DD}"/>
    <hyperlink ref="W1544" r:id="rId1455" xr:uid="{1FCF05F8-7ECE-44A2-944F-69FCF36F8640}"/>
    <hyperlink ref="W1545" r:id="rId1456" xr:uid="{C958B9ED-0DEF-45DB-9255-B716E0EFA7CC}"/>
    <hyperlink ref="W1546" r:id="rId1457" xr:uid="{84EA4030-A846-4445-BA78-AC4199F2E4A7}"/>
    <hyperlink ref="W1547" r:id="rId1458" xr:uid="{9FEACE81-2991-4FAD-9860-113A12B18A0D}"/>
    <hyperlink ref="W1548" r:id="rId1459" xr:uid="{3AA5AA23-6C88-4207-AF96-D484D516B5E0}"/>
    <hyperlink ref="W1549" r:id="rId1460" xr:uid="{CED025A8-BC0A-4020-90A0-7B0325A5BE9D}"/>
    <hyperlink ref="W1550" r:id="rId1461" xr:uid="{3C7594E9-59D6-4555-A1FA-218B99FC5D71}"/>
    <hyperlink ref="W1551" r:id="rId1462" xr:uid="{87E6024B-B7BB-4A38-B82C-521436AB532A}"/>
    <hyperlink ref="W1552" r:id="rId1463" xr:uid="{A0E665B3-F1EA-49EF-B029-46CE6AADA17B}"/>
    <hyperlink ref="W1553" r:id="rId1464" xr:uid="{2961B30E-71E1-4024-980C-3B4509DBA7D1}"/>
    <hyperlink ref="W1554" r:id="rId1465" xr:uid="{259774BD-6DDB-447E-BF71-DAE122E2AC5D}"/>
    <hyperlink ref="W1555" r:id="rId1466" xr:uid="{D7DDA5FB-1BE3-4A39-AD3F-86EDF94B54A9}"/>
    <hyperlink ref="W1556" r:id="rId1467" xr:uid="{3B94F7B4-01AE-41C8-99F5-8DEE74965B77}"/>
    <hyperlink ref="W1557" r:id="rId1468" xr:uid="{AAFE5D27-66BE-401B-AAA2-1DD1AE71691C}"/>
    <hyperlink ref="W1558" r:id="rId1469" xr:uid="{D7F28551-1B24-4152-93DA-A156C8FC4D5D}"/>
    <hyperlink ref="W1559" r:id="rId1470" xr:uid="{056BB157-D1F8-425C-ABD3-34D2BFB095AE}"/>
    <hyperlink ref="W1560" r:id="rId1471" xr:uid="{6997AEE4-B940-4C34-AC44-5A90DCCCAD58}"/>
    <hyperlink ref="W1561" r:id="rId1472" xr:uid="{4950CA84-EC4B-491E-A2A8-94C4D5DC3510}"/>
    <hyperlink ref="W1562" r:id="rId1473" xr:uid="{BF520D67-2C1A-427F-B122-740C0649BC6F}"/>
    <hyperlink ref="W1563" r:id="rId1474" xr:uid="{4950C349-9976-4017-87B4-96C698A2B47F}"/>
    <hyperlink ref="W1564" r:id="rId1475" xr:uid="{31946CC5-E04E-4979-A67B-495A27545AEE}"/>
    <hyperlink ref="W1565" r:id="rId1476" xr:uid="{78BABC5D-111E-464D-835A-E9D36FC6B5BD}"/>
    <hyperlink ref="W1566" r:id="rId1477" xr:uid="{C65D558D-5822-40F4-8C8B-00AD3F5F1F34}"/>
    <hyperlink ref="W1567" r:id="rId1478" xr:uid="{F29BD1AE-9BE4-4259-870E-D33BFFA3220A}"/>
    <hyperlink ref="W1568" r:id="rId1479" xr:uid="{5E93FFE5-8FD1-4375-A30C-0A0FB5470E47}"/>
    <hyperlink ref="W1569" r:id="rId1480" xr:uid="{DD7B6837-B01F-403F-986F-F0D1183BF1FF}"/>
    <hyperlink ref="W1570" r:id="rId1481" xr:uid="{8806E89E-44D3-42FC-AF67-25516BE9AB26}"/>
    <hyperlink ref="W1571" r:id="rId1482" xr:uid="{D32F5EA8-6BE0-4B0F-880A-31DBEC5690C3}"/>
    <hyperlink ref="W1572" r:id="rId1483" xr:uid="{3A3E80AF-5EC7-42A1-841D-3B3E9E51E021}"/>
    <hyperlink ref="W1573" r:id="rId1484" xr:uid="{4C46252F-627A-4990-8FEB-F35BD0157824}"/>
    <hyperlink ref="W1574" r:id="rId1485" xr:uid="{E4F66F47-9525-46A0-BA19-2798DE38058E}"/>
    <hyperlink ref="W1575" r:id="rId1486" xr:uid="{0A7A3028-138E-455F-AF3C-D384FCFD464A}"/>
    <hyperlink ref="W1576" r:id="rId1487" xr:uid="{2CD68F6C-A090-49AD-88FF-A275872AAF46}"/>
    <hyperlink ref="W1577" r:id="rId1488" xr:uid="{DAF72670-7843-411C-8E05-0C12E1A69C76}"/>
    <hyperlink ref="W1578" r:id="rId1489" xr:uid="{1210A476-41AA-4A1F-8AB9-7A631D58CD4E}"/>
    <hyperlink ref="W1579" r:id="rId1490" xr:uid="{DF181F72-51BE-42BA-9573-4261BBB3BC30}"/>
    <hyperlink ref="W1580" r:id="rId1491" xr:uid="{F332DD21-0E5F-4321-825A-6377554E6BCF}"/>
    <hyperlink ref="W1581" r:id="rId1492" xr:uid="{D688EFE9-3B99-469D-BDED-2E0C354BAE72}"/>
    <hyperlink ref="W1582" r:id="rId1493" xr:uid="{CAD6A39A-66CC-460C-A867-7E1B6F906DAE}"/>
    <hyperlink ref="W1583" r:id="rId1494" xr:uid="{C70BED6D-2B71-4F74-8FEB-110AD2CA0EDC}"/>
    <hyperlink ref="W1584" r:id="rId1495" xr:uid="{3F962312-D61A-4D17-A9B1-D0692CD0453F}"/>
    <hyperlink ref="W1585" r:id="rId1496" xr:uid="{1FBBF4DC-463B-47A2-8D79-53A4111FB1D0}"/>
    <hyperlink ref="W1586" r:id="rId1497" xr:uid="{AAAB7CE8-140C-4AEA-9DBB-589C8DF3BD7C}"/>
    <hyperlink ref="W1587" r:id="rId1498" xr:uid="{75C9163F-3072-418F-8E84-6A3E8C2CFB1F}"/>
    <hyperlink ref="W1588" r:id="rId1499" xr:uid="{1996307A-4582-44D6-8240-A1B8F5F6E2CF}"/>
    <hyperlink ref="W1589" r:id="rId1500" xr:uid="{6F3137FB-121F-44D3-96AD-BFE91F51B4CA}"/>
    <hyperlink ref="W1590" r:id="rId1501" xr:uid="{3C3AFA0F-60D5-4C87-990F-A5FC09279914}"/>
    <hyperlink ref="W1591" r:id="rId1502" xr:uid="{5F7EBC6C-C378-4A90-96DA-769C4EFD24B0}"/>
    <hyperlink ref="W1592" r:id="rId1503" xr:uid="{DDBC4AC3-8D31-4A45-BFA3-509DE7CC1C68}"/>
    <hyperlink ref="W1593" r:id="rId1504" xr:uid="{2F8813E8-10EF-4EA9-B4F4-02466C683800}"/>
    <hyperlink ref="W1594" r:id="rId1505" xr:uid="{0483E415-72E8-4442-9E6B-852B19FA80F6}"/>
    <hyperlink ref="W1595" r:id="rId1506" xr:uid="{CF931A5A-450D-431B-9AD2-83E4BB22A283}"/>
    <hyperlink ref="W1596" r:id="rId1507" xr:uid="{A3880B35-334F-4984-950F-3602086F7578}"/>
    <hyperlink ref="X1455" r:id="rId1508" xr:uid="{D739F16F-52D1-46CA-B266-A03AC4027952}"/>
    <hyperlink ref="X1456" r:id="rId1509" xr:uid="{D7E6B36E-39E7-4F7F-A3DF-FB115A86D1C0}"/>
    <hyperlink ref="X1457" r:id="rId1510" xr:uid="{BC250BD6-86BD-4EE4-BCB8-E321521E8FDA}"/>
    <hyperlink ref="X1458" r:id="rId1511" xr:uid="{D41DA0F8-E61B-437D-AFB8-B32B694040CC}"/>
    <hyperlink ref="X1459" r:id="rId1512" xr:uid="{2DD6A95A-EA59-42CE-B029-3A4F09C7FD67}"/>
    <hyperlink ref="X1460" r:id="rId1513" xr:uid="{98C913C7-B550-49E5-8C77-7FCE71935D3A}"/>
    <hyperlink ref="X1461" r:id="rId1514" xr:uid="{4FC978C2-6B18-459A-98B0-445A645A3F12}"/>
    <hyperlink ref="X1462" r:id="rId1515" xr:uid="{C6EFA18D-6788-46C3-96DE-1A3E79239CF3}"/>
    <hyperlink ref="X1463" r:id="rId1516" xr:uid="{80F4FA6E-72C6-4899-8491-A3035768D448}"/>
    <hyperlink ref="X1464" r:id="rId1517" xr:uid="{927A49EE-DB9D-4DF1-A4F2-5935363F0035}"/>
    <hyperlink ref="X1465" r:id="rId1518" xr:uid="{69D813DB-A1C9-4874-8293-F85BB5482F08}"/>
    <hyperlink ref="X1466" r:id="rId1519" xr:uid="{45A758DA-7CD7-44F2-8BD5-D6CF961E6135}"/>
    <hyperlink ref="X1467" r:id="rId1520" xr:uid="{8BC4535A-72C4-414F-8EF0-07D2FA443B25}"/>
    <hyperlink ref="X1468" r:id="rId1521" xr:uid="{BDEB0B67-FB8C-44C7-92B6-38986F6049AC}"/>
    <hyperlink ref="X1469" r:id="rId1522" xr:uid="{C0DDB856-6811-437D-97AF-F1BEF8EEA949}"/>
    <hyperlink ref="X1470" r:id="rId1523" xr:uid="{18DB8378-BFAB-4210-A4BA-0C22CA8A1322}"/>
    <hyperlink ref="X1471" r:id="rId1524" xr:uid="{5F800CDE-7BC9-4073-BBF4-10E76956E091}"/>
    <hyperlink ref="X1472" r:id="rId1525" xr:uid="{C9D21986-5C8A-42C5-BD0F-943E79D232D9}"/>
    <hyperlink ref="X1473" r:id="rId1526" xr:uid="{7CE4042B-CD25-456D-A2D4-45D64280A350}"/>
    <hyperlink ref="X1474" r:id="rId1527" xr:uid="{F6367B68-789F-463B-97BB-927B114A59CA}"/>
    <hyperlink ref="X1475" r:id="rId1528" xr:uid="{3963E3D0-0091-44DB-8CF5-1F5A8CF3E7A2}"/>
    <hyperlink ref="X1476" r:id="rId1529" xr:uid="{AA89EAF2-F92E-4048-81B2-77A593D24325}"/>
    <hyperlink ref="X1477" r:id="rId1530" xr:uid="{EAAF9B0F-EB3D-479A-BCAD-2616061EFB82}"/>
    <hyperlink ref="X1478" r:id="rId1531" xr:uid="{10E4919B-6FEB-4EA2-A0FA-9A53355B6E71}"/>
    <hyperlink ref="X1479" r:id="rId1532" xr:uid="{A846D55F-0046-46FF-BF7B-5CE33C890CC3}"/>
    <hyperlink ref="X1480" r:id="rId1533" xr:uid="{C011FC36-013E-483F-B55E-904A3392BD42}"/>
    <hyperlink ref="X1481" r:id="rId1534" xr:uid="{D89AC53A-49FD-43E1-B123-04B7E65FA7F4}"/>
    <hyperlink ref="X1482" r:id="rId1535" xr:uid="{746F9EE2-9ADE-427B-B339-679C48D0B317}"/>
    <hyperlink ref="X1483" r:id="rId1536" xr:uid="{1D34CDED-F129-4224-A5BF-2F3EB6FDD8A8}"/>
    <hyperlink ref="X1484" r:id="rId1537" xr:uid="{86E40947-87A2-49D7-83E6-17F4B76A28A4}"/>
    <hyperlink ref="X1485" r:id="rId1538" xr:uid="{F49F44D8-AF5D-4FB8-A3E9-F510CC58BA7A}"/>
    <hyperlink ref="X1486" r:id="rId1539" xr:uid="{A7989678-72D8-479B-A7B7-7C804B47B2B8}"/>
    <hyperlink ref="X1487" r:id="rId1540" xr:uid="{8FB2E475-01D7-4FCA-9481-1208DA951E31}"/>
    <hyperlink ref="X1488" r:id="rId1541" xr:uid="{27CDFA73-F909-48B6-8FAF-64377CD265BA}"/>
    <hyperlink ref="X1489" r:id="rId1542" xr:uid="{DD5A36D0-EAEE-4BFC-B06D-BF9DF06735B9}"/>
    <hyperlink ref="X1490" r:id="rId1543" xr:uid="{92E8E16B-84F2-449A-ACB5-4DE339A64EE6}"/>
    <hyperlink ref="X1491" r:id="rId1544" xr:uid="{9147B0B8-B1AF-4D23-8F35-CF6B6325A76B}"/>
    <hyperlink ref="X1492" r:id="rId1545" xr:uid="{56D8364C-7CBE-4F59-A5B1-2E25FCB47FD3}"/>
    <hyperlink ref="X1493" r:id="rId1546" xr:uid="{0B22E345-48A9-48F1-87F3-88461D3F2660}"/>
    <hyperlink ref="X1494" r:id="rId1547" xr:uid="{CE9512D0-72CD-4951-B413-2984FB975FA0}"/>
    <hyperlink ref="X1495" r:id="rId1548" xr:uid="{E79692EB-90E1-4D59-8F36-52C44A12EFF3}"/>
    <hyperlink ref="X1496" r:id="rId1549" xr:uid="{E09E1ED1-FE39-424B-8AB8-23AB6A77AB08}"/>
    <hyperlink ref="X1497" r:id="rId1550" xr:uid="{F63FD55B-5362-4B0E-90AC-8B13BADFDEF4}"/>
    <hyperlink ref="X1498" r:id="rId1551" xr:uid="{D557CDC1-60A5-4687-A173-A7B9796FC082}"/>
    <hyperlink ref="X1499" r:id="rId1552" xr:uid="{61848D47-D9F4-4721-99F3-504E310BF581}"/>
    <hyperlink ref="X1500" r:id="rId1553" xr:uid="{2ADA887D-522C-4C75-AB44-C5D66B6B93F0}"/>
    <hyperlink ref="X1501" r:id="rId1554" xr:uid="{5B1118D5-E21C-415A-BEDA-917AB6945A62}"/>
    <hyperlink ref="X1502" r:id="rId1555" xr:uid="{87124430-1A30-45E2-898D-1410F1D96D0A}"/>
    <hyperlink ref="X1503" r:id="rId1556" xr:uid="{2C025079-F6AD-40CB-B2CB-73960D5AF7C8}"/>
    <hyperlink ref="X1504" r:id="rId1557" xr:uid="{3CF7A283-8B4E-4F37-84BA-A96E35D74604}"/>
    <hyperlink ref="X1505" r:id="rId1558" xr:uid="{E99F1B2D-1671-4ED2-922C-466B8C89ED9C}"/>
    <hyperlink ref="X1506" r:id="rId1559" xr:uid="{4FC8C7CF-121E-4A86-AAE4-DEC704897B89}"/>
    <hyperlink ref="X1507" r:id="rId1560" xr:uid="{3350F6DA-BB3C-4660-8909-7E8B36BC170E}"/>
    <hyperlink ref="X1508" r:id="rId1561" xr:uid="{FFD0B7A6-57DB-4EFB-BBF4-F2D91E8E7A35}"/>
    <hyperlink ref="X1509" r:id="rId1562" xr:uid="{D35CDF68-0226-462B-9E44-F948318E9636}"/>
    <hyperlink ref="X1510" r:id="rId1563" xr:uid="{1B7D1D8E-556E-470C-8000-B816B723DE84}"/>
    <hyperlink ref="X1511" r:id="rId1564" xr:uid="{86EDD941-C206-4943-A811-B91701A4711A}"/>
    <hyperlink ref="X1512" r:id="rId1565" xr:uid="{74709782-E46B-4CF9-B49E-EBCC2B6DBB37}"/>
    <hyperlink ref="X1513" r:id="rId1566" xr:uid="{690BFDB4-C8A4-4FE7-85FC-E1074B144525}"/>
    <hyperlink ref="X1514" r:id="rId1567" xr:uid="{F74BBA9F-2EEA-43B1-9632-72B6BDF5F5DE}"/>
    <hyperlink ref="X1515" r:id="rId1568" xr:uid="{64B485CC-169B-466A-8A80-B4FEC8FBC7AF}"/>
    <hyperlink ref="X1516" r:id="rId1569" xr:uid="{6CE815C6-2FC4-4FE3-85BD-4E75B18089C3}"/>
    <hyperlink ref="X1517" r:id="rId1570" xr:uid="{53224E50-C98F-49E9-9C4D-F0FAB3827180}"/>
    <hyperlink ref="X1518" r:id="rId1571" xr:uid="{AD188E2F-90DA-4E6B-ACEF-CE74D47523C4}"/>
    <hyperlink ref="X1519" r:id="rId1572" xr:uid="{FD0BD3B4-D60B-4832-84A3-25E7AEFA8968}"/>
    <hyperlink ref="X1520" r:id="rId1573" xr:uid="{6E05B576-60E9-4D6C-B994-4A7D70D73662}"/>
    <hyperlink ref="X1521" r:id="rId1574" xr:uid="{B4BCF334-996F-491C-B491-151CBACC740B}"/>
    <hyperlink ref="X1522" r:id="rId1575" xr:uid="{8CA69BB4-99AF-4934-ACBE-50F14E2B1FDA}"/>
    <hyperlink ref="X1523" r:id="rId1576" xr:uid="{852D9952-C046-42DF-A921-893FFAB89A3C}"/>
    <hyperlink ref="X1524" r:id="rId1577" xr:uid="{5CFAB8A5-2DC2-4CEA-906C-1BCCAD2DE538}"/>
    <hyperlink ref="X1525" r:id="rId1578" xr:uid="{197CAA9E-5214-44CC-8E21-6B4D464D622D}"/>
    <hyperlink ref="X1526" r:id="rId1579" xr:uid="{D6B6AFA0-9870-402A-9F63-C9E9406E5E7A}"/>
    <hyperlink ref="X1527" r:id="rId1580" xr:uid="{2D8182DE-2DF8-4AAD-864E-D73B8606BF9F}"/>
    <hyperlink ref="X1528" r:id="rId1581" xr:uid="{6FB4B70A-4C8B-4A51-8586-B524B74F1377}"/>
    <hyperlink ref="X1529" r:id="rId1582" xr:uid="{249D4011-C3E6-47CD-B717-126FAA118316}"/>
    <hyperlink ref="X1530" r:id="rId1583" xr:uid="{32EEA60B-F5C1-43E6-8820-A46FCB2E9BCD}"/>
    <hyperlink ref="X1531" r:id="rId1584" xr:uid="{4DB62D64-BD37-452E-8C6C-99287CF32288}"/>
    <hyperlink ref="X1532" r:id="rId1585" xr:uid="{3E5B28DA-F4AB-4D6D-877F-F37529351CA4}"/>
    <hyperlink ref="X1533" r:id="rId1586" xr:uid="{879B2602-025F-4007-ABE0-266AA6FB572F}"/>
    <hyperlink ref="X1534" r:id="rId1587" xr:uid="{A3CE959F-C410-4F39-ACE0-9A44DD05F507}"/>
    <hyperlink ref="X1535" r:id="rId1588" xr:uid="{7AA9FA3D-ED66-4638-A644-A953E0383784}"/>
    <hyperlink ref="X1536" r:id="rId1589" xr:uid="{D4A88360-7C73-4E5C-ACB6-B6B29817B14A}"/>
    <hyperlink ref="X1537" r:id="rId1590" xr:uid="{A01473C7-5A18-47B7-80B6-40A7DBF83434}"/>
    <hyperlink ref="X1538" r:id="rId1591" xr:uid="{07C5C109-96B2-4803-871E-D942DBCF877C}"/>
    <hyperlink ref="X1539" r:id="rId1592" xr:uid="{D1CAD73E-5049-4589-B9AB-71371D47CCDE}"/>
    <hyperlink ref="X1540" r:id="rId1593" xr:uid="{769D722F-5603-402F-8A0F-A37D9F52A4EE}"/>
    <hyperlink ref="X1541" r:id="rId1594" xr:uid="{4C5D2444-BD99-46D0-A48D-3CFFC7E4B807}"/>
    <hyperlink ref="X1542" r:id="rId1595" xr:uid="{E0AC7E87-E946-465B-BF7E-BA94D28D57F5}"/>
    <hyperlink ref="X1543" r:id="rId1596" xr:uid="{C0BEA29C-4A38-4C79-A79C-499EB354F83B}"/>
    <hyperlink ref="X1544" r:id="rId1597" xr:uid="{13C5FD86-5E04-415B-9125-76628A65033E}"/>
    <hyperlink ref="X1545" r:id="rId1598" xr:uid="{3C00AA0F-93B8-46B2-94C2-D5A7FE5B6B13}"/>
    <hyperlink ref="X1546" r:id="rId1599" xr:uid="{724DDA67-EC03-4468-B94E-78C7FEC2B79A}"/>
    <hyperlink ref="X1547" r:id="rId1600" xr:uid="{CC96EA24-22DF-4E31-853A-1D8B2F7BCDD3}"/>
    <hyperlink ref="X1548" r:id="rId1601" xr:uid="{B83828E0-3A0A-4761-9570-368F5B212DE1}"/>
    <hyperlink ref="X1549" r:id="rId1602" xr:uid="{08CE8A72-B17B-44B3-8D14-2AF4AABB11BE}"/>
    <hyperlink ref="X1550" r:id="rId1603" xr:uid="{7497F2DC-EB03-4B0F-BD87-E751C369C776}"/>
    <hyperlink ref="X1551" r:id="rId1604" xr:uid="{B06E1A48-E24C-40D6-B7A7-554606170A86}"/>
    <hyperlink ref="X1552" r:id="rId1605" xr:uid="{FD74E9C8-8FDE-43F3-B8AF-33560C12D42C}"/>
    <hyperlink ref="X1553" r:id="rId1606" xr:uid="{A33F0BC8-DD8C-4031-AC5A-718205DBB5FE}"/>
    <hyperlink ref="X1554" r:id="rId1607" xr:uid="{F9D52978-CF87-496A-9662-622B221B4289}"/>
    <hyperlink ref="X1555" r:id="rId1608" xr:uid="{A8D304D6-FC25-42CC-B235-DD71AC47F908}"/>
    <hyperlink ref="X1556" r:id="rId1609" xr:uid="{36DAC9FC-8B68-47BF-A643-02B9456B7B1A}"/>
    <hyperlink ref="X1557" r:id="rId1610" xr:uid="{F91CF282-83D9-4F6E-9A75-34442ED4E61C}"/>
    <hyperlink ref="X1558" r:id="rId1611" xr:uid="{2800EC2D-31CC-4D02-B3E9-EBE9F5451046}"/>
    <hyperlink ref="X1559" r:id="rId1612" xr:uid="{B88C2EEC-E706-41A2-9DCE-87ACE1B65099}"/>
    <hyperlink ref="X1560" r:id="rId1613" xr:uid="{87DDF4DB-D4D3-409C-8FA5-D1A4FB017250}"/>
    <hyperlink ref="X1561" r:id="rId1614" xr:uid="{2EA71504-6ACB-48FB-A895-C7BFF61EF60C}"/>
    <hyperlink ref="X1562" r:id="rId1615" xr:uid="{7A93EC29-380B-4D53-8D66-8AE7576DA7B8}"/>
    <hyperlink ref="X1563" r:id="rId1616" xr:uid="{A97BC093-F742-4500-A25C-76E82970ABDA}"/>
    <hyperlink ref="X1564" r:id="rId1617" xr:uid="{ECD78927-0245-427E-B04C-F09BDB4ABC33}"/>
    <hyperlink ref="X1565" r:id="rId1618" xr:uid="{D64B1F7A-9B26-45A1-88E7-21771055DF65}"/>
    <hyperlink ref="X1566" r:id="rId1619" xr:uid="{01A8CF43-0BF5-47CF-9A12-5009D9E4F923}"/>
    <hyperlink ref="X1567" r:id="rId1620" xr:uid="{D660C878-94D0-43D7-ADB6-AC69BC34A9C9}"/>
    <hyperlink ref="X1568" r:id="rId1621" xr:uid="{B006F5B8-3CC9-4482-B8DC-68FB5EB800EB}"/>
    <hyperlink ref="X1569" r:id="rId1622" xr:uid="{63B5F062-E325-40A5-AEE5-956DC652CC1C}"/>
    <hyperlink ref="X1570" r:id="rId1623" xr:uid="{B157B0D7-5C91-4407-8A0E-DB19815FFBA3}"/>
    <hyperlink ref="X1571" r:id="rId1624" xr:uid="{0BA781A8-2B5D-4C1C-BC64-61102C52BE72}"/>
    <hyperlink ref="X1572" r:id="rId1625" xr:uid="{91A8278E-A803-4B31-BB20-C64F57345FEB}"/>
    <hyperlink ref="X1573" r:id="rId1626" xr:uid="{734DDF54-B391-40E9-A383-09C5FCFDBF11}"/>
    <hyperlink ref="X1574" r:id="rId1627" xr:uid="{DDF0F31E-4DA8-46E2-AA84-5D8B43CC2FC7}"/>
    <hyperlink ref="X1575" r:id="rId1628" xr:uid="{6118556F-C535-43CC-ABC4-767647BDBABA}"/>
    <hyperlink ref="X1576" r:id="rId1629" xr:uid="{FFBD7150-8FF3-4D04-A201-03C5732A848B}"/>
    <hyperlink ref="X1577" r:id="rId1630" xr:uid="{CCEA5E22-3274-4124-9B14-B70AC3C5879F}"/>
    <hyperlink ref="X1578" r:id="rId1631" xr:uid="{08D9A5AB-325B-42A7-8A19-E01C6DF2F064}"/>
    <hyperlink ref="X1579" r:id="rId1632" xr:uid="{CBF2D33E-975E-4EA7-9298-CA37998CF192}"/>
    <hyperlink ref="X1580" r:id="rId1633" xr:uid="{7A6C364F-0BE1-4DCB-AFFA-0457D0D7EAB9}"/>
    <hyperlink ref="X1581" r:id="rId1634" xr:uid="{34C4C7C8-3A1D-4574-AC45-D0744ECD2085}"/>
    <hyperlink ref="X1582" r:id="rId1635" xr:uid="{01981BAD-CB8A-4D01-B985-D1CDD02A13A9}"/>
    <hyperlink ref="X1583" r:id="rId1636" xr:uid="{D3406570-C4CE-4BE8-ADE4-0DBB0B1A893A}"/>
    <hyperlink ref="X1584" r:id="rId1637" xr:uid="{FF7435EC-9533-4F9D-A084-71F041214E4F}"/>
    <hyperlink ref="X1585" r:id="rId1638" xr:uid="{CCAC3D4D-5F00-40F6-A0AA-E37ED0E149D9}"/>
    <hyperlink ref="X1586" r:id="rId1639" xr:uid="{3A7B5A2A-D9AB-4CB9-98BC-5BC931E12AEC}"/>
    <hyperlink ref="X1587" r:id="rId1640" xr:uid="{1A85F047-1E86-45A8-955B-369796123749}"/>
    <hyperlink ref="X1588" r:id="rId1641" xr:uid="{8422A40E-D5B8-406D-A578-9E2FC25C4DA9}"/>
    <hyperlink ref="X1589" r:id="rId1642" xr:uid="{F795BAC6-8EA5-4110-9E26-5307A1AA5FEF}"/>
    <hyperlink ref="X1590" r:id="rId1643" xr:uid="{977D2756-10D3-4780-A672-1CCE09418301}"/>
    <hyperlink ref="X1591" r:id="rId1644" xr:uid="{C7A3824A-5D02-4C02-846A-C4D7ACD1FE65}"/>
    <hyperlink ref="X1592" r:id="rId1645" xr:uid="{E581D4E8-3645-4D90-A14C-F28C4941351C}"/>
    <hyperlink ref="X1593" r:id="rId1646" xr:uid="{42A91349-6A16-4871-9BF6-FC1FF6A1D27F}"/>
    <hyperlink ref="X1594" r:id="rId1647" xr:uid="{68094B24-7215-47E6-AD86-C6BD7351AC6A}"/>
    <hyperlink ref="X1595" r:id="rId1648" xr:uid="{027FABD3-9113-423A-8BC7-EF389484A572}"/>
    <hyperlink ref="X1596" r:id="rId1649" xr:uid="{6A46B125-6A49-426D-B1EC-D2A1EF4F39B6}"/>
    <hyperlink ref="Y1455" r:id="rId1650" display="https://crsreports.congress.gov/product/pdf/IF/IF12040" xr:uid="{19C3CAD5-04EC-487A-A745-989F97166AD8}"/>
    <hyperlink ref="Y1456" r:id="rId1651" display="https://crsreports.congress.gov/product/pdf/IF/IF12040" xr:uid="{7FCCED3D-5395-41C5-B606-F7827F768985}"/>
    <hyperlink ref="Y1457" r:id="rId1652" display="https://crsreports.congress.gov/product/pdf/IF/IF12040" xr:uid="{A9A29E8D-739E-45D6-98E8-6C2A6107168A}"/>
    <hyperlink ref="Y1458" r:id="rId1653" display="https://crsreports.congress.gov/product/pdf/IF/IF12040" xr:uid="{B0EE88D5-BB02-4C2C-85DA-F5DE14189D90}"/>
    <hyperlink ref="Y1459" r:id="rId1654" display="https://crsreports.congress.gov/product/pdf/IF/IF12040" xr:uid="{1B47C96B-B21C-417D-A5BB-6A0B1E167BEB}"/>
    <hyperlink ref="Y1460" r:id="rId1655" display="https://crsreports.congress.gov/product/pdf/IF/IF12040" xr:uid="{8C414349-3E0F-441B-8931-DE0F097FCDE4}"/>
    <hyperlink ref="Y1461" r:id="rId1656" display="https://crsreports.congress.gov/product/pdf/IF/IF12040" xr:uid="{69AD7B55-ED77-45EC-9B24-8E6C6849C829}"/>
    <hyperlink ref="Y1462" r:id="rId1657" display="https://crsreports.congress.gov/product/pdf/IF/IF12040" xr:uid="{ACCC1663-CC36-4AE9-89E3-8DA26241B719}"/>
    <hyperlink ref="Y1463" r:id="rId1658" display="https://crsreports.congress.gov/product/pdf/IF/IF12040" xr:uid="{B0DDE0B9-40E7-46F0-B1F9-9EA2DA233170}"/>
    <hyperlink ref="Y1464" r:id="rId1659" display="https://crsreports.congress.gov/product/pdf/IF/IF12040" xr:uid="{593E0311-4E8E-47F9-992B-78E5E3C4310B}"/>
    <hyperlink ref="Y1465" r:id="rId1660" display="https://crsreports.congress.gov/product/pdf/IF/IF12040" xr:uid="{552BA28B-0244-4C58-85E1-42B3EECAFB98}"/>
    <hyperlink ref="Y1466" r:id="rId1661" display="https://crsreports.congress.gov/product/pdf/IF/IF12040" xr:uid="{19937061-8DB1-4800-AF1C-C885B0744FAB}"/>
    <hyperlink ref="Y1467" r:id="rId1662" display="https://crsreports.congress.gov/product/pdf/IF/IF12040" xr:uid="{6F2AC46E-68B8-4AEE-8651-965258F0815D}"/>
    <hyperlink ref="Y1468" r:id="rId1663" display="https://crsreports.congress.gov/product/pdf/IF/IF12040" xr:uid="{A749BDF2-4437-4178-8232-30284BD6641B}"/>
    <hyperlink ref="Y1469" r:id="rId1664" display="https://crsreports.congress.gov/product/pdf/IF/IF12040" xr:uid="{4C6FEA0B-B4C8-4F97-B188-346958719878}"/>
    <hyperlink ref="Y1470" r:id="rId1665" display="https://crsreports.congress.gov/product/pdf/IF/IF12040" xr:uid="{8937777F-E28B-457E-9B26-23B7B02AD1A1}"/>
    <hyperlink ref="Y1471" r:id="rId1666" display="https://crsreports.congress.gov/product/pdf/IF/IF12040" xr:uid="{98600A1E-3DE8-4603-82E1-CDC13EFFB2E7}"/>
    <hyperlink ref="Y1472" r:id="rId1667" display="https://crsreports.congress.gov/product/pdf/IF/IF12040" xr:uid="{292C9641-6A11-4080-B1A2-39261C22649C}"/>
    <hyperlink ref="Y1473" r:id="rId1668" display="https://crsreports.congress.gov/product/pdf/IF/IF12040" xr:uid="{5C7B20EB-F5B1-48AD-A7AB-D3707A22EDF4}"/>
    <hyperlink ref="Y1474" r:id="rId1669" display="https://crsreports.congress.gov/product/pdf/IF/IF12040" xr:uid="{4327ED95-D023-4CD3-82D6-3DD7748FE28A}"/>
    <hyperlink ref="Y1475" r:id="rId1670" display="https://crsreports.congress.gov/product/pdf/IF/IF12040" xr:uid="{CDDFA394-2B15-4DF8-B545-BD811A204B1E}"/>
    <hyperlink ref="Y1476" r:id="rId1671" display="https://crsreports.congress.gov/product/pdf/IF/IF12040" xr:uid="{77934705-CE13-4B9F-AC5C-C153EA2BAB50}"/>
    <hyperlink ref="Y1477" r:id="rId1672" display="https://crsreports.congress.gov/product/pdf/IF/IF12040" xr:uid="{4473BF1E-5B86-485C-B1EA-52DEF321DD5C}"/>
    <hyperlink ref="Y1478" r:id="rId1673" display="https://crsreports.congress.gov/product/pdf/IF/IF12040" xr:uid="{E5EBD895-C869-4DEF-8F2A-4D7840C12362}"/>
    <hyperlink ref="Y1479" r:id="rId1674" display="https://crsreports.congress.gov/product/pdf/IF/IF12040" xr:uid="{C927B5A4-8855-46AA-895E-FFF5D4B1AB18}"/>
    <hyperlink ref="Y1480" r:id="rId1675" display="https://crsreports.congress.gov/product/pdf/IF/IF12040" xr:uid="{2811F90E-D7C7-4B31-99B0-79B3A3503E74}"/>
    <hyperlink ref="Y1481" r:id="rId1676" display="https://crsreports.congress.gov/product/pdf/IF/IF12040" xr:uid="{6A212DF3-971E-47A6-A0F7-297352BF6674}"/>
    <hyperlink ref="Y1482" r:id="rId1677" display="https://crsreports.congress.gov/product/pdf/IF/IF12040" xr:uid="{E91F6C80-A4AA-47E0-91C5-FDE3F2F6BB8E}"/>
    <hyperlink ref="Y1483" r:id="rId1678" display="https://crsreports.congress.gov/product/pdf/IF/IF12040" xr:uid="{C14F7EE8-6EFB-4CDE-9054-7D446CBBE6AD}"/>
    <hyperlink ref="Y1484" r:id="rId1679" display="https://crsreports.congress.gov/product/pdf/IF/IF12040" xr:uid="{07E6EB36-2EA5-4054-BCFB-2DC1FA50035F}"/>
    <hyperlink ref="Y1485" r:id="rId1680" display="https://crsreports.congress.gov/product/pdf/IF/IF12040" xr:uid="{3F815F41-9974-414A-A568-B3D0940E854A}"/>
    <hyperlink ref="Y1486" r:id="rId1681" display="https://crsreports.congress.gov/product/pdf/IF/IF12040" xr:uid="{F124786F-0066-4096-ABC0-3F07CF9095C2}"/>
    <hyperlink ref="Y1487" r:id="rId1682" display="https://crsreports.congress.gov/product/pdf/IF/IF12040" xr:uid="{5385BB33-171A-4B2E-86A6-469049BA76A8}"/>
    <hyperlink ref="Y1488" r:id="rId1683" display="https://crsreports.congress.gov/product/pdf/IF/IF12040" xr:uid="{2145E26C-A6A5-4657-BA21-BC6F90E1A46C}"/>
    <hyperlink ref="Y1489" r:id="rId1684" display="https://crsreports.congress.gov/product/pdf/IF/IF12040" xr:uid="{D1F66FEA-43A2-43A6-91CB-CA3DCA81CD7A}"/>
    <hyperlink ref="Y1490" r:id="rId1685" display="https://crsreports.congress.gov/product/pdf/IF/IF12040" xr:uid="{F666D381-9522-4A37-9F14-56915120B23F}"/>
    <hyperlink ref="Y1491" r:id="rId1686" display="https://crsreports.congress.gov/product/pdf/IF/IF12040" xr:uid="{ECAD32FE-6778-44C2-85D6-E098943AFEB4}"/>
    <hyperlink ref="Y1492" r:id="rId1687" display="https://crsreports.congress.gov/product/pdf/IF/IF12040" xr:uid="{4223C830-1CC8-421A-B959-23D8FBED3B78}"/>
    <hyperlink ref="Y1493" r:id="rId1688" display="https://crsreports.congress.gov/product/pdf/IF/IF12040" xr:uid="{0AC29DE3-395F-4383-BDE2-9AF0FA05FEA6}"/>
    <hyperlink ref="Y1494" r:id="rId1689" display="https://crsreports.congress.gov/product/pdf/IF/IF12040" xr:uid="{82398CC2-2A80-4484-97CA-EFD0EBC9D3DA}"/>
    <hyperlink ref="Y1495" r:id="rId1690" display="https://crsreports.congress.gov/product/pdf/IF/IF12040" xr:uid="{96D380CE-7A04-4A4A-9381-06663C127E0B}"/>
    <hyperlink ref="Y1496" r:id="rId1691" display="https://crsreports.congress.gov/product/pdf/IF/IF12040" xr:uid="{75F07224-10BF-4398-95A7-0B6D84D8DBE3}"/>
    <hyperlink ref="Y1497" r:id="rId1692" display="https://crsreports.congress.gov/product/pdf/IF/IF12040" xr:uid="{C35E3F21-9DF7-41F5-AAE0-3883C938AC65}"/>
    <hyperlink ref="Y1498" r:id="rId1693" display="https://crsreports.congress.gov/product/pdf/IF/IF12040" xr:uid="{6A362D8D-233C-4743-B748-14CD0BD45589}"/>
    <hyperlink ref="Y1499" r:id="rId1694" display="https://crsreports.congress.gov/product/pdf/IF/IF12040" xr:uid="{70D59349-92F6-4EE2-A9AC-5D8EB641F731}"/>
    <hyperlink ref="Y1500" r:id="rId1695" display="https://crsreports.congress.gov/product/pdf/IF/IF12040" xr:uid="{C54A84AD-8FE6-472B-B0CB-E9E6488A650D}"/>
    <hyperlink ref="Y1501" r:id="rId1696" display="https://crsreports.congress.gov/product/pdf/IF/IF12040" xr:uid="{808882E7-CFAA-414B-86E5-9F26DF528F3F}"/>
    <hyperlink ref="Y1502" r:id="rId1697" display="https://crsreports.congress.gov/product/pdf/IF/IF12040" xr:uid="{68111A1F-5FBB-4D4F-8D86-16F1552825D4}"/>
    <hyperlink ref="Y1503" r:id="rId1698" display="https://crsreports.congress.gov/product/pdf/IF/IF12040" xr:uid="{42358B63-6A72-41A9-A320-FAE57E3A97B5}"/>
    <hyperlink ref="Y1504" r:id="rId1699" display="https://crsreports.congress.gov/product/pdf/IF/IF12040" xr:uid="{4A20D4F6-125E-4880-AE57-A80A263C8F56}"/>
    <hyperlink ref="Y1505" r:id="rId1700" display="https://crsreports.congress.gov/product/pdf/IF/IF12040" xr:uid="{92C0ADF3-1848-4F0F-BC77-CCB29D936B39}"/>
    <hyperlink ref="Y1506" r:id="rId1701" display="https://crsreports.congress.gov/product/pdf/IF/IF12040" xr:uid="{15C6D468-DE89-41BA-B4EE-75B05D2E4AC5}"/>
    <hyperlink ref="Y1507" r:id="rId1702" display="https://crsreports.congress.gov/product/pdf/IF/IF12040" xr:uid="{CB8B5E6F-7C61-466A-B11E-E33B3E19608A}"/>
    <hyperlink ref="Y1508" r:id="rId1703" display="https://crsreports.congress.gov/product/pdf/IF/IF12040" xr:uid="{0B50AF2D-433B-454D-A741-25CA3C10D0F2}"/>
    <hyperlink ref="Y1509" r:id="rId1704" display="https://crsreports.congress.gov/product/pdf/IF/IF12040" xr:uid="{502C9AAC-A1B5-4AFC-B949-46AEBC9A5799}"/>
    <hyperlink ref="Y1510" r:id="rId1705" display="https://crsreports.congress.gov/product/pdf/IF/IF12040" xr:uid="{C8B31727-65DE-4BA3-9024-65B778178A24}"/>
    <hyperlink ref="Y1511" r:id="rId1706" display="https://crsreports.congress.gov/product/pdf/IF/IF12040" xr:uid="{BB65384D-8508-40E0-8ACB-DD6C9F63A9FC}"/>
    <hyperlink ref="Y1512" r:id="rId1707" display="https://crsreports.congress.gov/product/pdf/IF/IF12040" xr:uid="{644EC5B1-1CA4-4D36-AF35-C2B86D2E9AA4}"/>
    <hyperlink ref="Y1513" r:id="rId1708" display="https://crsreports.congress.gov/product/pdf/IF/IF12040" xr:uid="{5E5B63E2-1D9E-4E15-9610-24E6D699D931}"/>
    <hyperlink ref="Y1514" r:id="rId1709" display="https://crsreports.congress.gov/product/pdf/IF/IF12040" xr:uid="{9ED22EA1-21C5-484D-9A2E-838257DBB88E}"/>
    <hyperlink ref="Y1515" r:id="rId1710" display="https://crsreports.congress.gov/product/pdf/IF/IF12040" xr:uid="{004F9CDF-5DA2-4AB2-A958-52FE63DE333C}"/>
    <hyperlink ref="Y1516" r:id="rId1711" display="https://crsreports.congress.gov/product/pdf/IF/IF12040" xr:uid="{31DF3F52-DE20-4C65-B85F-0494A94DA241}"/>
    <hyperlink ref="Y1517" r:id="rId1712" display="https://crsreports.congress.gov/product/pdf/IF/IF12040" xr:uid="{B5C55593-CC6C-48E2-A469-F44510D33296}"/>
    <hyperlink ref="Y1518" r:id="rId1713" display="https://crsreports.congress.gov/product/pdf/IF/IF12040" xr:uid="{5ED34625-ED1A-45D6-99D6-62D74B26D86F}"/>
    <hyperlink ref="Y1519" r:id="rId1714" display="https://crsreports.congress.gov/product/pdf/IF/IF12040" xr:uid="{816139EF-545D-47A0-B992-AE15675D575E}"/>
    <hyperlink ref="Y1520" r:id="rId1715" display="https://crsreports.congress.gov/product/pdf/IF/IF12040" xr:uid="{EE87D5DD-D01E-4FB4-B4C4-5A32DAB6A3ED}"/>
    <hyperlink ref="Y1521" r:id="rId1716" display="https://crsreports.congress.gov/product/pdf/IF/IF12040" xr:uid="{56643D86-7785-4024-A503-D38B3A346F56}"/>
    <hyperlink ref="Y1522" r:id="rId1717" display="https://crsreports.congress.gov/product/pdf/IF/IF12040" xr:uid="{7710575B-AAAB-402D-A1F5-81B0E8838299}"/>
    <hyperlink ref="Y1523" r:id="rId1718" display="https://crsreports.congress.gov/product/pdf/IF/IF12040" xr:uid="{7D1D2D65-F77B-4F52-A29F-7F8CFDA46E48}"/>
    <hyperlink ref="Y1524" r:id="rId1719" display="https://crsreports.congress.gov/product/pdf/IF/IF12040" xr:uid="{3B925CE3-50C4-42B9-82A4-9729A6E4842E}"/>
    <hyperlink ref="Y1525" r:id="rId1720" display="https://crsreports.congress.gov/product/pdf/IF/IF12040" xr:uid="{8D21147E-0BC5-4918-949D-060D5661480D}"/>
    <hyperlink ref="Y1526" r:id="rId1721" display="https://crsreports.congress.gov/product/pdf/IF/IF12040" xr:uid="{880238FD-5B95-413C-98CA-35B2715D35EE}"/>
    <hyperlink ref="Y1527" r:id="rId1722" display="https://crsreports.congress.gov/product/pdf/IF/IF12040" xr:uid="{CA025811-36C6-4EF4-8F34-D14E83F99EAD}"/>
    <hyperlink ref="Y1528" r:id="rId1723" display="https://crsreports.congress.gov/product/pdf/IF/IF12040" xr:uid="{693A0AE2-7931-433F-A09F-D2CD05F69E79}"/>
    <hyperlink ref="Y1529" r:id="rId1724" display="https://crsreports.congress.gov/product/pdf/IF/IF12040" xr:uid="{47ACAACA-73DE-457E-8746-EFC26E087A55}"/>
    <hyperlink ref="Y1530" r:id="rId1725" display="https://crsreports.congress.gov/product/pdf/IF/IF12040" xr:uid="{30C90160-74B6-4675-BE9C-071E896B9404}"/>
    <hyperlink ref="Y1531" r:id="rId1726" display="https://crsreports.congress.gov/product/pdf/IF/IF12040" xr:uid="{B95F2373-AC42-4B80-9B11-F2FFA2024E66}"/>
    <hyperlink ref="Y1532" r:id="rId1727" display="https://crsreports.congress.gov/product/pdf/IF/IF12040" xr:uid="{20DB0C13-E027-42FF-BA2A-394C3A30D942}"/>
    <hyperlink ref="Y1533" r:id="rId1728" display="https://crsreports.congress.gov/product/pdf/IF/IF12040" xr:uid="{1E22334A-8F87-4D86-B194-ECCC4CAD3CF4}"/>
    <hyperlink ref="Y1534" r:id="rId1729" display="https://crsreports.congress.gov/product/pdf/IF/IF12040" xr:uid="{756DBFB1-BF72-4580-8D04-FAF3C488B67D}"/>
    <hyperlink ref="Y1535" r:id="rId1730" display="https://crsreports.congress.gov/product/pdf/IF/IF12040" xr:uid="{C67D48D2-F783-450B-A207-3E5C57ADB009}"/>
    <hyperlink ref="Y1536" r:id="rId1731" display="https://crsreports.congress.gov/product/pdf/IF/IF12040" xr:uid="{7DB24B1B-8D42-4681-B7EB-5E17220BDFAC}"/>
    <hyperlink ref="Y1537" r:id="rId1732" display="https://crsreports.congress.gov/product/pdf/IF/IF12040" xr:uid="{5640DFC1-83FB-4BE7-8507-05906B4CF6E3}"/>
    <hyperlink ref="Y1538" r:id="rId1733" display="https://crsreports.congress.gov/product/pdf/IF/IF12040" xr:uid="{5A77F4CF-D616-48B3-8C9B-CA01A5A1D5BB}"/>
    <hyperlink ref="Y1539" r:id="rId1734" display="https://crsreports.congress.gov/product/pdf/IF/IF12040" xr:uid="{3CF02858-A9BF-4AE5-BA2D-6EF53910DC1B}"/>
    <hyperlink ref="Y1540" r:id="rId1735" display="https://crsreports.congress.gov/product/pdf/IF/IF12040" xr:uid="{37E6E83A-A054-44FE-84F6-473BA3943B72}"/>
    <hyperlink ref="Y1541" r:id="rId1736" display="https://crsreports.congress.gov/product/pdf/IF/IF12040" xr:uid="{D06DC80A-D8FC-414F-99C5-9C02959398E9}"/>
    <hyperlink ref="Y1542" r:id="rId1737" display="https://crsreports.congress.gov/product/pdf/IF/IF12040" xr:uid="{8B6D48A5-4D78-45F4-9588-A7E1483A93F9}"/>
    <hyperlink ref="Y1543" r:id="rId1738" display="https://crsreports.congress.gov/product/pdf/IF/IF12040" xr:uid="{A4F5E562-93A1-458B-A483-D97C94153FE1}"/>
    <hyperlink ref="Y1544" r:id="rId1739" display="https://crsreports.congress.gov/product/pdf/IF/IF12040" xr:uid="{E5AC2723-1585-44E3-BA13-34B077E2A24F}"/>
    <hyperlink ref="Y1545" r:id="rId1740" display="https://crsreports.congress.gov/product/pdf/IF/IF12040" xr:uid="{BC660B98-6216-400B-AE2D-03A20F0BC173}"/>
    <hyperlink ref="Y1546" r:id="rId1741" display="https://crsreports.congress.gov/product/pdf/IF/IF12040" xr:uid="{2466C055-10F7-49D0-A41A-5FDD93FAF7EC}"/>
    <hyperlink ref="Y1547" r:id="rId1742" display="https://crsreports.congress.gov/product/pdf/IF/IF12040" xr:uid="{F2EF9236-7B06-4F24-BD6C-F8038734991F}"/>
    <hyperlink ref="Y1548" r:id="rId1743" display="https://crsreports.congress.gov/product/pdf/IF/IF12040" xr:uid="{39508CE8-7488-4A1F-83ED-455D9FE16719}"/>
    <hyperlink ref="Y1549" r:id="rId1744" display="https://crsreports.congress.gov/product/pdf/IF/IF12040" xr:uid="{95A42129-3D01-4AD4-8D35-4F811CEF73C4}"/>
    <hyperlink ref="Y1550" r:id="rId1745" display="https://crsreports.congress.gov/product/pdf/IF/IF12040" xr:uid="{95CF2FC6-871D-46F2-8080-28B3C9CDB436}"/>
    <hyperlink ref="Y1551" r:id="rId1746" display="https://crsreports.congress.gov/product/pdf/IF/IF12040" xr:uid="{0CE5DCC6-A618-4E63-9DBD-F34AF10F5D08}"/>
    <hyperlink ref="Y1552" r:id="rId1747" display="https://crsreports.congress.gov/product/pdf/IF/IF12040" xr:uid="{FB7D429F-73FA-471A-8EB5-239FC3D4D2CC}"/>
    <hyperlink ref="Y1553" r:id="rId1748" display="https://crsreports.congress.gov/product/pdf/IF/IF12040" xr:uid="{1009CFA5-7D73-4165-BCE3-6DB133EEE209}"/>
    <hyperlink ref="Y1554" r:id="rId1749" display="https://crsreports.congress.gov/product/pdf/IF/IF12040" xr:uid="{4052F232-B5B5-4B90-B3C3-E8ABA937206D}"/>
    <hyperlink ref="Y1555" r:id="rId1750" display="https://crsreports.congress.gov/product/pdf/IF/IF12040" xr:uid="{1FCC2C54-C595-40FD-B5B7-95C981D55BE1}"/>
    <hyperlink ref="Y1556" r:id="rId1751" display="https://crsreports.congress.gov/product/pdf/IF/IF12040" xr:uid="{9ACE431D-B0F6-442A-BF6D-174813DCDBFF}"/>
    <hyperlink ref="Y1557" r:id="rId1752" display="https://crsreports.congress.gov/product/pdf/IF/IF12040" xr:uid="{DEB3B304-FC87-41DA-9B92-9E0179FFA35D}"/>
    <hyperlink ref="Y1558" r:id="rId1753" display="https://crsreports.congress.gov/product/pdf/IF/IF12040" xr:uid="{F24F6046-49AE-47A3-BA7D-5299B76D5CFA}"/>
    <hyperlink ref="Y1559" r:id="rId1754" display="https://crsreports.congress.gov/product/pdf/IF/IF12040" xr:uid="{CCA324B3-A510-49FD-88FB-47CB63F2E115}"/>
    <hyperlink ref="Y1560" r:id="rId1755" display="https://crsreports.congress.gov/product/pdf/IF/IF12040" xr:uid="{7B66BB4A-157D-4462-A094-8E05BA01FEC8}"/>
    <hyperlink ref="Y1561" r:id="rId1756" display="https://crsreports.congress.gov/product/pdf/IF/IF12040" xr:uid="{CCDC8A93-4920-4040-AC7A-570DBA17923A}"/>
    <hyperlink ref="Y1562" r:id="rId1757" display="https://crsreports.congress.gov/product/pdf/IF/IF12040" xr:uid="{A7E12309-8737-4AC0-BA62-11A37DE2C92C}"/>
    <hyperlink ref="Y1563" r:id="rId1758" display="https://crsreports.congress.gov/product/pdf/IF/IF12040" xr:uid="{7FD76E32-32D3-42F7-9405-11BDDDD64782}"/>
    <hyperlink ref="Y1564" r:id="rId1759" display="https://crsreports.congress.gov/product/pdf/IF/IF12040" xr:uid="{A848679B-356F-4AC7-92E0-37F30E163E7C}"/>
    <hyperlink ref="Y1565" r:id="rId1760" display="https://crsreports.congress.gov/product/pdf/IF/IF12040" xr:uid="{A9C23E45-56D6-4E3E-B2CB-472F94BEDCFA}"/>
    <hyperlink ref="Y1566" r:id="rId1761" display="https://crsreports.congress.gov/product/pdf/IF/IF12040" xr:uid="{F1BE95D6-FCCB-4045-8BF7-F3019A88BAD1}"/>
    <hyperlink ref="Y1567" r:id="rId1762" display="https://crsreports.congress.gov/product/pdf/IF/IF12040" xr:uid="{80312844-8F25-457E-81CB-95EC69F21E76}"/>
    <hyperlink ref="Y1568" r:id="rId1763" display="https://crsreports.congress.gov/product/pdf/IF/IF12040" xr:uid="{FE0E8EC9-73DF-4077-87B1-F487C7B43956}"/>
    <hyperlink ref="Y1569" r:id="rId1764" display="https://crsreports.congress.gov/product/pdf/IF/IF12040" xr:uid="{FBECDBF6-DEE7-4F8C-9FCA-D66B9C3A2BAC}"/>
    <hyperlink ref="Y1570" r:id="rId1765" display="https://crsreports.congress.gov/product/pdf/IF/IF12040" xr:uid="{9DB4EC8A-A503-4EDB-95C8-355857699EF9}"/>
    <hyperlink ref="Y1571" r:id="rId1766" display="https://crsreports.congress.gov/product/pdf/IF/IF12040" xr:uid="{90FBBB47-4307-4972-BAD1-A8642EED1A88}"/>
    <hyperlink ref="Y1572" r:id="rId1767" display="https://crsreports.congress.gov/product/pdf/IF/IF12040" xr:uid="{FD46CDF0-5419-45B5-9CD4-71C5D4318CAE}"/>
    <hyperlink ref="Y1573" r:id="rId1768" display="https://crsreports.congress.gov/product/pdf/IF/IF12040" xr:uid="{E2B5CF1B-1098-45E7-9138-26EE0EEA55C3}"/>
    <hyperlink ref="Y1574" r:id="rId1769" display="https://crsreports.congress.gov/product/pdf/IF/IF12040" xr:uid="{9395914D-FBE9-4735-A6B2-D2D632AB4165}"/>
    <hyperlink ref="Y1575" r:id="rId1770" display="https://crsreports.congress.gov/product/pdf/IF/IF12040" xr:uid="{4DE94AC4-5E0E-4C15-B5CC-918B4C2F8F7D}"/>
    <hyperlink ref="Y1576" r:id="rId1771" display="https://crsreports.congress.gov/product/pdf/IF/IF12040" xr:uid="{E5F43989-3C0B-4673-A23C-79A6B873BA7C}"/>
    <hyperlink ref="Y1577" r:id="rId1772" display="https://crsreports.congress.gov/product/pdf/IF/IF12040" xr:uid="{33F80653-C85C-483F-AE34-8DF3C2D108AE}"/>
    <hyperlink ref="Y1578" r:id="rId1773" display="https://crsreports.congress.gov/product/pdf/IF/IF12040" xr:uid="{2872BF77-26EF-4385-8ADC-35AEFA036D87}"/>
    <hyperlink ref="Y1579" r:id="rId1774" display="https://crsreports.congress.gov/product/pdf/IF/IF12040" xr:uid="{AF7DA71B-12CE-47DD-A37B-E573EAB37437}"/>
    <hyperlink ref="Y1580" r:id="rId1775" display="https://crsreports.congress.gov/product/pdf/IF/IF12040" xr:uid="{FFF98364-FE12-4F38-A4C9-42374A55DD34}"/>
    <hyperlink ref="Y1581" r:id="rId1776" display="https://crsreports.congress.gov/product/pdf/IF/IF12040" xr:uid="{12780871-994A-4F84-A974-DCD818F71B77}"/>
    <hyperlink ref="Y1582" r:id="rId1777" display="https://crsreports.congress.gov/product/pdf/IF/IF12040" xr:uid="{EA270442-504D-4AAB-99CC-345E5814F241}"/>
    <hyperlink ref="Y1583" r:id="rId1778" display="https://crsreports.congress.gov/product/pdf/IF/IF12040" xr:uid="{423C2FC8-1C80-4AE4-8E26-6AC3CEB10A59}"/>
    <hyperlink ref="Y1584" r:id="rId1779" display="https://crsreports.congress.gov/product/pdf/IF/IF12040" xr:uid="{7D0160A2-C3B4-472B-ABC8-024C414823DB}"/>
    <hyperlink ref="Y1585" r:id="rId1780" display="https://crsreports.congress.gov/product/pdf/IF/IF12040" xr:uid="{B4AC7E30-2E3E-40CD-A865-18316B290BDB}"/>
    <hyperlink ref="Y1586" r:id="rId1781" display="https://crsreports.congress.gov/product/pdf/IF/IF12040" xr:uid="{7A294821-4F32-402E-9D6B-C84652A31F8C}"/>
    <hyperlink ref="Y1587" r:id="rId1782" display="https://crsreports.congress.gov/product/pdf/IF/IF12040" xr:uid="{F173596D-C665-4051-B65C-9FCD62B77BC7}"/>
    <hyperlink ref="Y1588" r:id="rId1783" display="https://crsreports.congress.gov/product/pdf/IF/IF12040" xr:uid="{433542A0-6B88-4888-922B-CC6D2AEFD47C}"/>
    <hyperlink ref="Y1589" r:id="rId1784" display="https://crsreports.congress.gov/product/pdf/IF/IF12040" xr:uid="{E6EEE2AE-3481-4B09-A5F9-1778ADF09882}"/>
    <hyperlink ref="Y1590" r:id="rId1785" display="https://crsreports.congress.gov/product/pdf/IF/IF12040" xr:uid="{8B2CD188-E929-40A0-B5EF-AD62E7FD199C}"/>
    <hyperlink ref="Y1591" r:id="rId1786" display="https://crsreports.congress.gov/product/pdf/IF/IF12040" xr:uid="{2F1F7DF2-B42B-4FB9-B2C1-078421BF95F2}"/>
    <hyperlink ref="Y1592" r:id="rId1787" display="https://crsreports.congress.gov/product/pdf/IF/IF12040" xr:uid="{786E8558-C2B6-4E58-A866-9B97E6DC9B69}"/>
    <hyperlink ref="Y1593" r:id="rId1788" display="https://crsreports.congress.gov/product/pdf/IF/IF12040" xr:uid="{417D260F-FBBF-4BE6-A430-BBDEAD2F3527}"/>
    <hyperlink ref="Y1594" r:id="rId1789" display="https://crsreports.congress.gov/product/pdf/IF/IF12040" xr:uid="{BAEBB6C7-EF79-4DAB-B32A-070A39E66839}"/>
    <hyperlink ref="Y1595" r:id="rId1790" display="https://crsreports.congress.gov/product/pdf/IF/IF12040" xr:uid="{199845D1-2ECF-4BF8-985B-95D8F4413A91}"/>
    <hyperlink ref="Y1596" r:id="rId1791" display="https://crsreports.congress.gov/product/pdf/IF/IF12040" xr:uid="{60FA85FA-A0B1-4BED-9986-F57F6BB79615}"/>
    <hyperlink ref="V1451" r:id="rId1792" xr:uid="{F97E999A-3948-4EF0-8324-1237B319202E}"/>
    <hyperlink ref="X1443" r:id="rId1793" xr:uid="{C227AD2D-8485-450D-AF6F-43F47DD7D6C4}"/>
    <hyperlink ref="V1445" r:id="rId1794" xr:uid="{D44F5F58-A5EE-4B00-AADD-389E1E5568F2}"/>
    <hyperlink ref="W1445" r:id="rId1795" xr:uid="{5C876D7F-DD91-433F-A14A-81DECCD93041}"/>
    <hyperlink ref="X1445" r:id="rId1796" xr:uid="{DD493202-68F2-4395-B1CF-110BD2F4FAC6}"/>
    <hyperlink ref="V1446" r:id="rId1797" xr:uid="{E6F94139-EBB9-49F8-A470-C9F6B8057481}"/>
    <hyperlink ref="W1446" r:id="rId1798" xr:uid="{DE4F8A58-03C1-41BE-A1B2-DED6B4925A8E}"/>
    <hyperlink ref="X1446" r:id="rId1799" xr:uid="{4B2F9554-2151-4977-8D93-697C8EB94544}"/>
    <hyperlink ref="V1447" r:id="rId1800" xr:uid="{F9EBB63B-D2C9-4463-9EED-FCC26CF92C82}"/>
    <hyperlink ref="W1447" r:id="rId1801" xr:uid="{3BBB00D8-A209-4238-B620-B6A0693103F3}"/>
    <hyperlink ref="X1447" r:id="rId1802" xr:uid="{9E5C58C4-5B9B-413A-BE50-1CD6F4A817DB}"/>
    <hyperlink ref="V1448" r:id="rId1803" xr:uid="{E3251C03-9592-4CBF-9E90-47F94362F973}"/>
    <hyperlink ref="W1448" r:id="rId1804" xr:uid="{27A0F271-43D3-42EB-9859-BA4B4DBB379E}"/>
    <hyperlink ref="X1448" r:id="rId1805" xr:uid="{03F9317A-61A6-42C0-AA42-93EDD05AC24B}"/>
    <hyperlink ref="V1449" r:id="rId1806" xr:uid="{E5F0DDF8-B329-42C9-B59B-399CEB9ADED9}"/>
    <hyperlink ref="W1449" r:id="rId1807" xr:uid="{9A6201D2-7C95-4043-BBF9-DC3ECD97573A}"/>
    <hyperlink ref="X1449" r:id="rId1808" xr:uid="{AFFCE2BD-1F90-4B56-A3CD-AE40075A9FD3}"/>
    <hyperlink ref="X1665" r:id="rId1809" xr:uid="{AFB32ACC-341D-496E-8414-9C1422C427EC}"/>
    <hyperlink ref="X1735" r:id="rId1810" xr:uid="{AC0C3CA7-C0A8-40D7-8240-9D09D2BF7576}"/>
    <hyperlink ref="V1735" r:id="rId1811" xr:uid="{BF5F2EE0-A548-4253-8CAB-CDD38803B8DB}"/>
    <hyperlink ref="W1735" r:id="rId1812" xr:uid="{232B7E42-44B4-49BE-AC28-B6E73C2D42AD}"/>
    <hyperlink ref="W1666" r:id="rId1813" xr:uid="{E5C3D1D3-701F-4134-9C85-1A29F7C2BBE7}"/>
    <hyperlink ref="X1666" r:id="rId1814" xr:uid="{DF247ADB-073A-42F9-8DEE-9FE4840D1245}"/>
    <hyperlink ref="Y1666" r:id="rId1815" xr:uid="{EF1E9B2A-8F23-46AC-9BD6-988570B1445A}"/>
    <hyperlink ref="W1667" r:id="rId1816" xr:uid="{63AC3158-2E92-4445-890C-624B07A2C0DF}"/>
    <hyperlink ref="W1669" r:id="rId1817" xr:uid="{7B6D28EE-85B2-41DA-8F90-915609892660}"/>
    <hyperlink ref="W1670" r:id="rId1818" xr:uid="{8FAA383D-6D94-4AA4-BB51-C70C06B8A4D1}"/>
    <hyperlink ref="W1671" r:id="rId1819" xr:uid="{014861EC-0504-451F-87CA-29CDE741CCED}"/>
    <hyperlink ref="W1672" r:id="rId1820" xr:uid="{C41B79B3-C055-4C0E-9ECE-FDF42CAEA864}"/>
    <hyperlink ref="W1673" r:id="rId1821" xr:uid="{9002B2C2-6101-492C-B524-F2824232DC06}"/>
    <hyperlink ref="W1674" r:id="rId1822" xr:uid="{136A00E4-7538-463F-A4E1-1DF656F05431}"/>
    <hyperlink ref="W1675" r:id="rId1823" xr:uid="{93FE2FD4-251F-4B7A-B626-00973B0C177C}"/>
    <hyperlink ref="W1676" r:id="rId1824" xr:uid="{097038E8-55FB-44EE-96CD-529F75CB273A}"/>
    <hyperlink ref="W1677" r:id="rId1825" xr:uid="{4C9B6B68-2076-4B90-A2F5-F2808F6FC246}"/>
    <hyperlink ref="W1678" r:id="rId1826" xr:uid="{AEBDE36E-2D7D-40E6-9EA0-85A5B8457441}"/>
    <hyperlink ref="W1679" r:id="rId1827" xr:uid="{18E056C0-A7BA-4850-8FFC-4D0597282E8D}"/>
    <hyperlink ref="W1680" r:id="rId1828" xr:uid="{30ED1D95-6E22-4E8F-8EC6-3340AF1D1C2F}"/>
    <hyperlink ref="W1681" r:id="rId1829" xr:uid="{ED5D2FB2-9691-4A51-A7B9-91CB8CB3266F}"/>
    <hyperlink ref="W1682" r:id="rId1830" xr:uid="{81C2FFE4-8D77-44AC-9058-7367709916D9}"/>
    <hyperlink ref="W1683" r:id="rId1831" xr:uid="{728ECDBF-FAA4-4CCD-958A-5018D458DB64}"/>
    <hyperlink ref="W1684" r:id="rId1832" xr:uid="{72C08F7E-65FD-481D-A87B-18141696B0C4}"/>
    <hyperlink ref="W1685" r:id="rId1833" xr:uid="{4BE50DA7-EFC5-4181-AAC9-40DACDFD3DFC}"/>
    <hyperlink ref="W1686" r:id="rId1834" xr:uid="{69F90368-3226-44C9-91CD-E0C7398F69E6}"/>
    <hyperlink ref="W1687" r:id="rId1835" xr:uid="{9A8DD671-86C9-4B18-B8ED-A36AB3B62D08}"/>
    <hyperlink ref="W1688" r:id="rId1836" xr:uid="{D128DAAF-3EFB-4594-80EE-6C177AA90143}"/>
    <hyperlink ref="W1689" r:id="rId1837" xr:uid="{2047AEA0-0248-480E-91CC-9455E91CBF1D}"/>
    <hyperlink ref="W1690" r:id="rId1838" xr:uid="{7C6C696D-8E24-4B65-A615-0F39214D9412}"/>
    <hyperlink ref="W1691" r:id="rId1839" xr:uid="{CBC7592D-8D78-4ED6-8271-8BEA090A31F1}"/>
    <hyperlink ref="W1692" r:id="rId1840" xr:uid="{D84AFB5F-11F4-43CB-BFBE-1DABFD50992C}"/>
    <hyperlink ref="W1693" r:id="rId1841" xr:uid="{9699ABFB-427D-4E5E-B1C8-A184A509656C}"/>
    <hyperlink ref="W1694" r:id="rId1842" xr:uid="{87041581-D67C-4526-AA1F-0B78A00BCA75}"/>
    <hyperlink ref="W1695" r:id="rId1843" xr:uid="{57262CAF-1AE0-441F-B7E8-53CC54CAA496}"/>
    <hyperlink ref="W1696" r:id="rId1844" xr:uid="{ECEBA069-B015-4D1E-A8A3-7CEEE927A9DB}"/>
    <hyperlink ref="W1697" r:id="rId1845" xr:uid="{EBC938B5-868E-46CA-9A13-48A8EFC6DA33}"/>
    <hyperlink ref="W1698" r:id="rId1846" xr:uid="{61B2CE1B-6B19-4A7A-AE49-EF85A7A86142}"/>
    <hyperlink ref="W1699" r:id="rId1847" xr:uid="{C1B2A235-4E26-4153-8954-B561A00A2168}"/>
    <hyperlink ref="W1700" r:id="rId1848" xr:uid="{86C3E1E7-CFE3-4503-92F1-B5E1890CFCAB}"/>
    <hyperlink ref="W1702" r:id="rId1849" xr:uid="{91DE560E-E194-4A4A-B35E-F671D925B6B4}"/>
    <hyperlink ref="W1703" r:id="rId1850" xr:uid="{BF14FF7B-85C6-4BF9-A435-74724C785CB1}"/>
    <hyperlink ref="W1704" r:id="rId1851" xr:uid="{D6D0CE18-31D6-4FC7-A0D8-1164BFF4B749}"/>
    <hyperlink ref="W1705" r:id="rId1852" xr:uid="{17C0FDB7-4CDF-4A6E-93A2-5D13D0EF29DF}"/>
    <hyperlink ref="W1706" r:id="rId1853" xr:uid="{EF19B5E0-CEC6-4394-93DD-0BDEF9D05B0A}"/>
    <hyperlink ref="W1707" r:id="rId1854" xr:uid="{B38E08FC-C4F1-4E4B-AA5C-079216D81A27}"/>
    <hyperlink ref="W1708" r:id="rId1855" xr:uid="{C1E2F8C2-463A-4832-B87C-C462680122BF}"/>
    <hyperlink ref="W1709" r:id="rId1856" xr:uid="{1A0035E7-DC5C-46B1-8AAA-D957B43ED5A8}"/>
    <hyperlink ref="W1710" r:id="rId1857" xr:uid="{C8A03DA7-8F1D-4F8E-B23A-D1BAA4CDCB13}"/>
    <hyperlink ref="W1711" r:id="rId1858" xr:uid="{11620B69-E2A9-4F1D-BA54-0575525DC72D}"/>
    <hyperlink ref="W1712" r:id="rId1859" xr:uid="{A40C4300-F5B2-43E9-8E23-8528E6363D6B}"/>
    <hyperlink ref="W1713" r:id="rId1860" xr:uid="{F2B16105-5C1E-4CFE-8088-922B4047F01D}"/>
    <hyperlink ref="W1714" r:id="rId1861" xr:uid="{31E2F67D-C40C-416A-BDA3-6C713FFC802D}"/>
    <hyperlink ref="W1715" r:id="rId1862" xr:uid="{F6553E3A-377C-4FBC-A329-94E747D6B01D}"/>
    <hyperlink ref="W1716" r:id="rId1863" xr:uid="{D921CF71-A23E-4776-8701-18F6A2A3002B}"/>
    <hyperlink ref="W1717" r:id="rId1864" xr:uid="{A26BEDA0-1535-4596-927E-3DD45E5CB8DC}"/>
    <hyperlink ref="W1718" r:id="rId1865" xr:uid="{228A0AAB-260B-4B2C-AE5D-3EA312C6532F}"/>
    <hyperlink ref="W1719" r:id="rId1866" xr:uid="{69DEFF28-31E5-4A37-9F50-19F5A5484BFB}"/>
    <hyperlink ref="W1720" r:id="rId1867" xr:uid="{E3F9DBF4-A0FA-4462-ACF6-27023DC418C2}"/>
    <hyperlink ref="W1721" r:id="rId1868" xr:uid="{CA347E82-4261-4D2F-ABD9-F6641C977E22}"/>
    <hyperlink ref="W1722" r:id="rId1869" xr:uid="{601BE752-B72F-4E52-B74C-5E55C99FF4BE}"/>
    <hyperlink ref="W1723" r:id="rId1870" xr:uid="{012A739A-6F7F-41FB-9F43-CC2AC4DCD20A}"/>
    <hyperlink ref="W1724" r:id="rId1871" xr:uid="{100E5397-30EE-4398-B6DA-C0E1F591CE8E}"/>
    <hyperlink ref="W1725" r:id="rId1872" xr:uid="{5D3505B1-9C1A-47B5-8AD0-79EC9E00344C}"/>
    <hyperlink ref="W1726" r:id="rId1873" xr:uid="{F47CA104-BD60-4AAA-BEFC-832D10BFD279}"/>
    <hyperlink ref="W1727" r:id="rId1874" xr:uid="{77425A61-83C4-4665-A427-D757F1631F04}"/>
    <hyperlink ref="W1728" r:id="rId1875" xr:uid="{57556515-BA0F-4721-BE24-7EA311DE120C}"/>
    <hyperlink ref="W1729" r:id="rId1876" xr:uid="{D4D01672-1920-4D71-B7BF-C5D6230DEA43}"/>
    <hyperlink ref="W1730" r:id="rId1877" xr:uid="{C9FFA0D7-8DD0-4910-B1F8-FEAECCB98825}"/>
    <hyperlink ref="W1731" r:id="rId1878" xr:uid="{E5AF8E5A-4F57-464D-A2AE-7E5D06781E44}"/>
    <hyperlink ref="W1732" r:id="rId1879" xr:uid="{43D03471-FAF3-423C-A311-1F810C7A4D71}"/>
    <hyperlink ref="W1733" r:id="rId1880" xr:uid="{030E1E24-8CFA-4F19-9CB0-9EE111E20955}"/>
    <hyperlink ref="W1734" r:id="rId1881" xr:uid="{DC63CC10-C61E-4B60-AED5-7787948B31A5}"/>
    <hyperlink ref="X1667" r:id="rId1882" xr:uid="{13C1F775-C475-4E11-B562-4F42697D3E6C}"/>
    <hyperlink ref="X1669" r:id="rId1883" xr:uid="{F58576CD-41E1-423F-8C1B-C30458240078}"/>
    <hyperlink ref="X1670" r:id="rId1884" xr:uid="{0AD80EE6-8806-414D-A33B-5208008F4A61}"/>
    <hyperlink ref="X1671" r:id="rId1885" xr:uid="{AA287259-5DB5-4ECF-8C81-F7F1F2B28E9C}"/>
    <hyperlink ref="X1672" r:id="rId1886" xr:uid="{C8AB34AF-45EE-42B9-8DC7-03DE4CF848B5}"/>
    <hyperlink ref="X1673" r:id="rId1887" xr:uid="{41002B6F-1BA0-4B6C-8B69-41B7F1EE39CB}"/>
    <hyperlink ref="X1674" r:id="rId1888" xr:uid="{DD2194D9-85E2-4FA3-A191-4A83A02F2BD9}"/>
    <hyperlink ref="X1675" r:id="rId1889" xr:uid="{27A68DAF-8E74-4911-9829-EBC4BB3B3045}"/>
    <hyperlink ref="X1676" r:id="rId1890" xr:uid="{C2EC5B42-2982-4BBE-804E-F10BA16F427E}"/>
    <hyperlink ref="X1677" r:id="rId1891" xr:uid="{71A2D2B1-11DD-422D-A875-25B7DA8E380A}"/>
    <hyperlink ref="X1678" r:id="rId1892" xr:uid="{DF3873E9-7067-40FA-A9E0-1BBDEB6D4E3F}"/>
    <hyperlink ref="X1679" r:id="rId1893" xr:uid="{2445F9AD-3368-41BB-BBB4-9761E0EF0414}"/>
    <hyperlink ref="X1680" r:id="rId1894" xr:uid="{BE023EF8-CB3E-441A-A45A-7079ECD45AA7}"/>
    <hyperlink ref="X1681" r:id="rId1895" xr:uid="{F00730DA-2B0C-45EE-924E-0B8EAC5DE19C}"/>
    <hyperlink ref="X1682" r:id="rId1896" xr:uid="{5377CE3E-089B-4860-AF7E-D61E520238FB}"/>
    <hyperlink ref="X1683" r:id="rId1897" xr:uid="{FF685BA3-0C9E-456A-AC3F-E63835011789}"/>
    <hyperlink ref="X1684" r:id="rId1898" xr:uid="{6C4EB746-2F2F-4E2B-A37B-433B0B9390D0}"/>
    <hyperlink ref="X1685" r:id="rId1899" xr:uid="{8155E788-0933-4B8D-AE5E-01D1A22901C5}"/>
    <hyperlink ref="X1686" r:id="rId1900" xr:uid="{26C23FEC-75B0-469E-9B31-5439FAB71BC1}"/>
    <hyperlink ref="X1687" r:id="rId1901" xr:uid="{D165A860-A17C-4C6F-B2D4-B3590836A069}"/>
    <hyperlink ref="X1688" r:id="rId1902" xr:uid="{C12A12CE-C2C6-4EAE-909B-FDB8883F38D9}"/>
    <hyperlink ref="X1689" r:id="rId1903" xr:uid="{214E4E76-4158-4E95-8D3A-1994128F1E7F}"/>
    <hyperlink ref="X1690" r:id="rId1904" xr:uid="{68D1C72D-EDA6-4AB6-9420-832B8ADC111B}"/>
    <hyperlink ref="X1691" r:id="rId1905" xr:uid="{6E40C568-4F89-4405-92ED-625614FE5193}"/>
    <hyperlink ref="X1692" r:id="rId1906" xr:uid="{68183B90-E83D-4E38-9309-D06B460B7ED9}"/>
    <hyperlink ref="X1693" r:id="rId1907" xr:uid="{B67BE100-BBDB-4186-97A2-D7EC864CBE88}"/>
    <hyperlink ref="X1694" r:id="rId1908" xr:uid="{6F92D37E-713C-47CE-96B4-19562FA8C778}"/>
    <hyperlink ref="X1695" r:id="rId1909" xr:uid="{01CE00C0-0464-44F6-92F4-64A39D1735B4}"/>
    <hyperlink ref="X1696" r:id="rId1910" xr:uid="{75E61825-74A6-4861-9EF5-D09870BD05FA}"/>
    <hyperlink ref="X1697" r:id="rId1911" xr:uid="{8785F9AB-C1BD-467A-9B95-0BB4BE22C4BE}"/>
    <hyperlink ref="X1698" r:id="rId1912" xr:uid="{5727ADB2-A8FA-41F1-912A-F87152CD7CF0}"/>
    <hyperlink ref="X1699" r:id="rId1913" xr:uid="{7E4B9049-A35F-4BC7-93E8-981DE6401297}"/>
    <hyperlink ref="X1700" r:id="rId1914" xr:uid="{39D2FBD2-2430-4EA7-9E74-B468E183E5E9}"/>
    <hyperlink ref="X1702" r:id="rId1915" xr:uid="{E616933A-A9B1-4FD4-A5D7-8F4C1C54DAD3}"/>
    <hyperlink ref="X1703" r:id="rId1916" xr:uid="{B531D11D-4CC7-48A7-A654-E7C0B24E769C}"/>
    <hyperlink ref="X1704" r:id="rId1917" xr:uid="{2FA9103B-2EDA-45E9-855F-DE1C3E26D094}"/>
    <hyperlink ref="X1705" r:id="rId1918" xr:uid="{162DE1E2-96E8-4EE1-8CBE-197DE718A8AE}"/>
    <hyperlink ref="X1706" r:id="rId1919" xr:uid="{EAAA92B5-613F-4AAC-817F-6F9F35C17FC6}"/>
    <hyperlink ref="X1707" r:id="rId1920" xr:uid="{1428BFC4-CD49-4F64-9916-871F2A4DA3CE}"/>
    <hyperlink ref="X1708" r:id="rId1921" xr:uid="{D2590270-A918-4E4A-B332-9094AEE3E316}"/>
    <hyperlink ref="X1709" r:id="rId1922" xr:uid="{96A1F9DA-034E-43F5-AB5C-5603135D6230}"/>
    <hyperlink ref="X1710" r:id="rId1923" xr:uid="{6DF19D47-BEF0-408B-87A5-0196C2CC4AC5}"/>
    <hyperlink ref="X1711" r:id="rId1924" xr:uid="{5F4EE51B-A845-489A-BE5D-8BD8A9F5B707}"/>
    <hyperlink ref="X1712" r:id="rId1925" xr:uid="{46C65E28-A700-4C57-B8B2-8DD0FC60DC08}"/>
    <hyperlink ref="X1713" r:id="rId1926" xr:uid="{7F8AB05A-B883-4C1F-95BA-2C4DFB2CDF9A}"/>
    <hyperlink ref="X1714" r:id="rId1927" xr:uid="{561FE147-5CDE-4010-8EBA-30B993AAB529}"/>
    <hyperlink ref="X1715" r:id="rId1928" xr:uid="{31B6372F-D0FE-45E7-8236-01CA64B8C638}"/>
    <hyperlink ref="X1716" r:id="rId1929" xr:uid="{139C8DA7-AA96-4658-AC9F-F6D4F4D8F520}"/>
    <hyperlink ref="X1717" r:id="rId1930" xr:uid="{0FBC6909-07B7-47DA-8A2D-9991295308C5}"/>
    <hyperlink ref="X1718" r:id="rId1931" xr:uid="{BE119EA4-5559-4E9A-A9AF-4DB880D836AD}"/>
    <hyperlink ref="X1719" r:id="rId1932" xr:uid="{6A02B9ED-4D78-43B6-803B-08F1E31915B2}"/>
    <hyperlink ref="X1720" r:id="rId1933" xr:uid="{882D1F31-F0E8-4393-AA85-D01EFE9FB418}"/>
    <hyperlink ref="X1721" r:id="rId1934" xr:uid="{BD2CA605-0A95-4A16-AC36-3C50C0172538}"/>
    <hyperlink ref="X1722" r:id="rId1935" xr:uid="{A5FC582D-083A-4C75-98F5-F7ED6E630AFA}"/>
    <hyperlink ref="X1723" r:id="rId1936" xr:uid="{CCECA8AB-BF1A-43EC-9654-45174AF86872}"/>
    <hyperlink ref="X1724" r:id="rId1937" xr:uid="{305CE7D9-4056-48D5-AACB-2BA8CAAFA1B1}"/>
    <hyperlink ref="X1725" r:id="rId1938" xr:uid="{154DB2EC-9C24-4C32-A295-E9285E43F408}"/>
    <hyperlink ref="X1726" r:id="rId1939" xr:uid="{F11E9477-AF54-4738-8900-6292494356AB}"/>
    <hyperlink ref="X1727" r:id="rId1940" xr:uid="{185D9475-4D9C-403B-9547-29B22209492E}"/>
    <hyperlink ref="X1728" r:id="rId1941" xr:uid="{004ECA2D-6F29-4B40-BAD8-F6335122F1C2}"/>
    <hyperlink ref="X1729" r:id="rId1942" xr:uid="{169BD1FD-23C1-4CF5-8FDA-CB0B10B90280}"/>
    <hyperlink ref="X1730" r:id="rId1943" xr:uid="{BC66D0DF-4E01-46E0-BB34-9BF86C574E25}"/>
    <hyperlink ref="X1731" r:id="rId1944" xr:uid="{00039DC2-43FB-4FFE-9980-B56DDE92D8F3}"/>
    <hyperlink ref="X1732" r:id="rId1945" xr:uid="{D7B27BBA-343C-4DD9-AB12-A08ABADE7098}"/>
    <hyperlink ref="X1733" r:id="rId1946" xr:uid="{B8E5AE62-7240-496D-8BE0-10E0B8772947}"/>
    <hyperlink ref="X1734" r:id="rId1947" xr:uid="{F02E4CF1-428D-4BBD-B20F-90F96E8362DC}"/>
    <hyperlink ref="Y1667" r:id="rId1948" display="https://crsreports.congress.gov/product/pdf/IF/IF12040" xr:uid="{B0083389-4602-4902-9454-4FFD218393BC}"/>
    <hyperlink ref="Y1669" r:id="rId1949" display="https://crsreports.congress.gov/product/pdf/IF/IF12040" xr:uid="{8C430399-7D1F-496C-9BE3-EAFA374FE7A8}"/>
    <hyperlink ref="Y1670" r:id="rId1950" display="https://crsreports.congress.gov/product/pdf/IF/IF12040" xr:uid="{407913F0-5D98-40B0-930B-28E7FBFB5626}"/>
    <hyperlink ref="Y1671" r:id="rId1951" display="https://crsreports.congress.gov/product/pdf/IF/IF12040" xr:uid="{29E32092-B360-4494-AF17-7871AB272713}"/>
    <hyperlink ref="Y1672" r:id="rId1952" display="https://crsreports.congress.gov/product/pdf/IF/IF12040" xr:uid="{9982C1B2-5F81-4A29-9FD6-66D660DD1290}"/>
    <hyperlink ref="Y1673" r:id="rId1953" display="https://crsreports.congress.gov/product/pdf/IF/IF12040" xr:uid="{DC52622E-949B-4E68-A138-393118EF099B}"/>
    <hyperlink ref="Y1674" r:id="rId1954" display="https://crsreports.congress.gov/product/pdf/IF/IF12040" xr:uid="{4AAEB146-B1DB-492D-87E8-E41C1F98848E}"/>
    <hyperlink ref="Y1675" r:id="rId1955" display="https://crsreports.congress.gov/product/pdf/IF/IF12040" xr:uid="{A1EB1A81-2A73-4EE4-BBFE-6003B7EEB863}"/>
    <hyperlink ref="Y1676" r:id="rId1956" display="https://crsreports.congress.gov/product/pdf/IF/IF12040" xr:uid="{AAC24A16-0CD2-4104-8890-FAC4AF492F57}"/>
    <hyperlink ref="Y1677" r:id="rId1957" display="https://crsreports.congress.gov/product/pdf/IF/IF12040" xr:uid="{C8EDD612-029A-4EF6-AF63-BDEAA6A324F0}"/>
    <hyperlink ref="Y1678" r:id="rId1958" display="https://crsreports.congress.gov/product/pdf/IF/IF12040" xr:uid="{C3B2E915-D611-48CF-A889-1812EB3DB928}"/>
    <hyperlink ref="Y1679" r:id="rId1959" display="https://crsreports.congress.gov/product/pdf/IF/IF12040" xr:uid="{B2CB5B1E-DBFA-403A-A5FB-4C9DFE1D3ECA}"/>
    <hyperlink ref="Y1680" r:id="rId1960" display="https://crsreports.congress.gov/product/pdf/IF/IF12040" xr:uid="{ACD4A9A5-63BC-4285-83F0-47B87EE18914}"/>
    <hyperlink ref="Y1681" r:id="rId1961" display="https://crsreports.congress.gov/product/pdf/IF/IF12040" xr:uid="{D4A5B04A-BA29-48EA-9862-678D68A1A260}"/>
    <hyperlink ref="Y1682" r:id="rId1962" display="https://crsreports.congress.gov/product/pdf/IF/IF12040" xr:uid="{33C0235B-30F1-4B5A-9F9B-E20C85983591}"/>
    <hyperlink ref="Y1683" r:id="rId1963" display="https://crsreports.congress.gov/product/pdf/IF/IF12040" xr:uid="{5BD3D82A-11E0-4F49-816F-91A902E73746}"/>
    <hyperlink ref="Y1684" r:id="rId1964" display="https://crsreports.congress.gov/product/pdf/IF/IF12040" xr:uid="{680A5B5E-5A8A-49EE-85AD-B1E0209FB98A}"/>
    <hyperlink ref="Y1685" r:id="rId1965" display="https://crsreports.congress.gov/product/pdf/IF/IF12040" xr:uid="{89064885-ECD6-4B09-B817-FAB393939346}"/>
    <hyperlink ref="Y1686" r:id="rId1966" display="https://crsreports.congress.gov/product/pdf/IF/IF12040" xr:uid="{04795DA3-D464-4377-9801-1160FC634397}"/>
    <hyperlink ref="Y1687" r:id="rId1967" display="https://crsreports.congress.gov/product/pdf/IF/IF12040" xr:uid="{7AF017DA-6292-4B6B-ADAE-61FC2E3BE2A1}"/>
    <hyperlink ref="Y1688" r:id="rId1968" display="https://crsreports.congress.gov/product/pdf/IF/IF12040" xr:uid="{510D81E6-DA72-45CE-8703-2CEC5DDB165E}"/>
    <hyperlink ref="Y1689" r:id="rId1969" display="https://crsreports.congress.gov/product/pdf/IF/IF12040" xr:uid="{143BFEF7-71BF-4043-A0D5-03AC36DB3664}"/>
    <hyperlink ref="Y1690" r:id="rId1970" display="https://crsreports.congress.gov/product/pdf/IF/IF12040" xr:uid="{8A092ABB-C32A-4B35-B660-FD82D2F259F9}"/>
    <hyperlink ref="Y1691" r:id="rId1971" display="https://crsreports.congress.gov/product/pdf/IF/IF12040" xr:uid="{D039864D-AD30-4CE9-9654-68E4D6AEF7FF}"/>
    <hyperlink ref="Y1692" r:id="rId1972" display="https://crsreports.congress.gov/product/pdf/IF/IF12040" xr:uid="{4EEB6009-D080-4E81-97A2-DA387254619A}"/>
    <hyperlink ref="Y1693" r:id="rId1973" display="https://crsreports.congress.gov/product/pdf/IF/IF12040" xr:uid="{C1C0F6CC-2739-4438-B05E-B42E13501C3D}"/>
    <hyperlink ref="Y1694" r:id="rId1974" display="https://crsreports.congress.gov/product/pdf/IF/IF12040" xr:uid="{CAA3C5B7-5DD0-4A1D-872A-BF870D151311}"/>
    <hyperlink ref="Y1695" r:id="rId1975" display="https://crsreports.congress.gov/product/pdf/IF/IF12040" xr:uid="{838C0E48-071F-4DFB-BA4C-37DE3D161DB4}"/>
    <hyperlink ref="Y1696" r:id="rId1976" display="https://crsreports.congress.gov/product/pdf/IF/IF12040" xr:uid="{64715916-E6EA-4C04-89F1-81AC2599B56F}"/>
    <hyperlink ref="Y1697" r:id="rId1977" display="https://crsreports.congress.gov/product/pdf/IF/IF12040" xr:uid="{4C5CB84B-E573-47D6-8E9B-FA3DD2FAACCB}"/>
    <hyperlink ref="Y1698" r:id="rId1978" display="https://crsreports.congress.gov/product/pdf/IF/IF12040" xr:uid="{175E1DA3-FA9F-4638-9FE6-F9259AFBBE2E}"/>
    <hyperlink ref="Y1699" r:id="rId1979" display="https://crsreports.congress.gov/product/pdf/IF/IF12040" xr:uid="{A676E87E-96F8-4E70-A2F9-02366AA88BB0}"/>
    <hyperlink ref="Y1700" r:id="rId1980" xr:uid="{20FAD7C4-6B77-46CF-8FD5-24C27801BF40}"/>
    <hyperlink ref="Y1702" r:id="rId1981" display="https://crsreports.congress.gov/product/pdf/IF/IF12040" xr:uid="{033FA85E-F3B8-4D5D-AEAB-845BF8B4FA90}"/>
    <hyperlink ref="Y1703" r:id="rId1982" display="https://crsreports.congress.gov/product/pdf/IF/IF12040" xr:uid="{E71192E2-F162-41C4-836E-F770C3046BE2}"/>
    <hyperlink ref="Y1704" r:id="rId1983" display="https://crsreports.congress.gov/product/pdf/IF/IF12040" xr:uid="{8A12A98E-BD69-445E-A74C-C83A92ABB7A7}"/>
    <hyperlink ref="Y1705" r:id="rId1984" display="https://crsreports.congress.gov/product/pdf/IF/IF12040" xr:uid="{6360A9E9-F247-4753-BE81-3438D045F58C}"/>
    <hyperlink ref="Y1706" r:id="rId1985" display="https://crsreports.congress.gov/product/pdf/IF/IF12040" xr:uid="{D901F00A-F62B-4E38-9541-06B2839717FA}"/>
    <hyperlink ref="Y1707" r:id="rId1986" display="https://crsreports.congress.gov/product/pdf/IF/IF12040" xr:uid="{C9E22158-B8D1-45C5-8F6A-DC749908DA9B}"/>
    <hyperlink ref="Y1708" r:id="rId1987" display="https://crsreports.congress.gov/product/pdf/IF/IF12040" xr:uid="{57CA5676-2751-479E-AFC2-9420C6555330}"/>
    <hyperlink ref="Y1709" r:id="rId1988" display="https://crsreports.congress.gov/product/pdf/IF/IF12040" xr:uid="{C338D5A3-536F-427C-B417-8255C3FD4C68}"/>
    <hyperlink ref="Y1710" r:id="rId1989" display="https://crsreports.congress.gov/product/pdf/IF/IF12040" xr:uid="{5038E3D1-4682-47D2-AFE1-1926E83C1B0D}"/>
    <hyperlink ref="Y1711" r:id="rId1990" display="https://crsreports.congress.gov/product/pdf/IF/IF12040" xr:uid="{9E0D0581-654A-4C73-9564-F79832FF40AE}"/>
    <hyperlink ref="Y1712" r:id="rId1991" display="https://crsreports.congress.gov/product/pdf/IF/IF12040" xr:uid="{ECF93535-8510-4FEC-A5EC-898935BF528E}"/>
    <hyperlink ref="Y1713" r:id="rId1992" display="https://crsreports.congress.gov/product/pdf/IF/IF12040" xr:uid="{4DFF5280-854E-4768-878B-B88DEDED21D1}"/>
    <hyperlink ref="Y1714" r:id="rId1993" display="https://crsreports.congress.gov/product/pdf/IF/IF12040" xr:uid="{148ECFDF-AD17-4B4F-A9D5-2B937AFFC14B}"/>
    <hyperlink ref="Y1715" r:id="rId1994" display="https://crsreports.congress.gov/product/pdf/IF/IF12040" xr:uid="{ED12CE07-F97A-4EAE-A71D-8FDF0C0E042F}"/>
    <hyperlink ref="Y1716" r:id="rId1995" display="https://crsreports.congress.gov/product/pdf/IF/IF12040" xr:uid="{B1237016-5C34-4D98-BB53-A510DA469E33}"/>
    <hyperlink ref="Y1717" r:id="rId1996" display="https://crsreports.congress.gov/product/pdf/IF/IF12040" xr:uid="{F0881685-EF09-4E9B-BD83-B38D608AC5CA}"/>
    <hyperlink ref="Y1718" r:id="rId1997" display="https://crsreports.congress.gov/product/pdf/IF/IF12040" xr:uid="{68EC2E93-71BA-4A5D-9273-1C912C20A7EB}"/>
    <hyperlink ref="Y1719" r:id="rId1998" display="https://crsreports.congress.gov/product/pdf/IF/IF12040" xr:uid="{DDE9E73A-B0E1-499C-9F12-DB97B994BC83}"/>
    <hyperlink ref="Y1720" r:id="rId1999" display="https://crsreports.congress.gov/product/pdf/IF/IF12040" xr:uid="{1948F0E8-E360-4D4D-BEF3-2CA9348367C5}"/>
    <hyperlink ref="Y1721" r:id="rId2000" display="https://crsreports.congress.gov/product/pdf/IF/IF12040" xr:uid="{E0CBB673-C0DE-477F-823E-7C690C49F0E4}"/>
    <hyperlink ref="Y1722" r:id="rId2001" display="https://crsreports.congress.gov/product/pdf/IF/IF12040" xr:uid="{2BBFC43E-B5A0-47AD-8B7D-AF1BFA3D92CC}"/>
    <hyperlink ref="Y1723" r:id="rId2002" display="https://crsreports.congress.gov/product/pdf/IF/IF12040" xr:uid="{199D0C64-0A5C-44FD-9F8F-FA4C8DA84642}"/>
    <hyperlink ref="Y1724" r:id="rId2003" display="https://crsreports.congress.gov/product/pdf/IF/IF12040" xr:uid="{8EB5742E-4785-4100-BAC7-9B799DD0E8EE}"/>
    <hyperlink ref="Y1725" r:id="rId2004" display="https://crsreports.congress.gov/product/pdf/IF/IF12040" xr:uid="{7C020624-6CB8-4120-84E5-9C90477E891E}"/>
    <hyperlink ref="Y1726" r:id="rId2005" display="https://crsreports.congress.gov/product/pdf/IF/IF12040" xr:uid="{60CB2C91-4222-472F-A15C-35D8BDCB9A34}"/>
    <hyperlink ref="Y1727" r:id="rId2006" display="https://crsreports.congress.gov/product/pdf/IF/IF12040" xr:uid="{3C1E4184-8483-4E97-A635-4089B8239E5C}"/>
    <hyperlink ref="Y1728" r:id="rId2007" display="https://crsreports.congress.gov/product/pdf/IF/IF12040" xr:uid="{51066A5B-2063-4E7E-A749-E43D76F5B340}"/>
    <hyperlink ref="Y1729" r:id="rId2008" display="https://crsreports.congress.gov/product/pdf/IF/IF12040" xr:uid="{CF7DED46-9655-4565-8CBA-F4809BB4F6EB}"/>
    <hyperlink ref="Y1730" r:id="rId2009" display="https://crsreports.congress.gov/product/pdf/IF/IF12040" xr:uid="{746F01A8-96BA-4E11-9224-E5F687E1D122}"/>
    <hyperlink ref="Y1731" r:id="rId2010" display="https://crsreports.congress.gov/product/pdf/IF/IF12040" xr:uid="{E8567D43-7044-48E9-8ED9-59E964ADAF98}"/>
    <hyperlink ref="Y1732" r:id="rId2011" display="https://crsreports.congress.gov/product/pdf/IF/IF12040" xr:uid="{130193CB-5EAC-4E03-B442-91F644F420CF}"/>
    <hyperlink ref="Y1733" r:id="rId2012" display="https://crsreports.congress.gov/product/pdf/IF/IF12040" xr:uid="{339A23F1-79F1-422C-B238-267B94B04B15}"/>
    <hyperlink ref="Y1734" r:id="rId2013" display="https://crsreports.congress.gov/product/pdf/IF/IF12040" xr:uid="{41355503-8FB7-4A75-87AC-D1BB794466E9}"/>
    <hyperlink ref="Y1736" r:id="rId2014" xr:uid="{52BDB96F-0237-4DA9-81B6-18E15EF5DD78}"/>
    <hyperlink ref="W1736" r:id="rId2015" xr:uid="{42D28E49-28A4-4581-BECA-424E1C65EE39}"/>
    <hyperlink ref="X1736" r:id="rId2016" xr:uid="{65BFB17A-A052-4295-8470-698DD8849325}"/>
    <hyperlink ref="Y1737" r:id="rId2017" display="https://crsreports.congress.gov/product/pdf/IF/IF12040" xr:uid="{897294EB-D1F2-4C80-AC96-450556F8C04D}"/>
    <hyperlink ref="Y1738" r:id="rId2018" display="https://crsreports.congress.gov/product/pdf/IF/IF12040" xr:uid="{DF7A1880-7CD5-40EB-9A4E-34808B154AC8}"/>
    <hyperlink ref="Y1739" r:id="rId2019" display="https://crsreports.congress.gov/product/pdf/IF/IF12040" xr:uid="{26865321-4BF6-426B-B195-023AB6C23998}"/>
    <hyperlink ref="Y1740" r:id="rId2020" display="https://crsreports.congress.gov/product/pdf/IF/IF12040" xr:uid="{EDE135D3-2C9D-4C18-85B8-DA954FF4A473}"/>
    <hyperlink ref="Y1741" r:id="rId2021" display="https://crsreports.congress.gov/product/pdf/IF/IF12040" xr:uid="{1755C909-77F4-412C-BFC7-6FA88550362F}"/>
    <hyperlink ref="Y1742" r:id="rId2022" display="https://crsreports.congress.gov/product/pdf/IF/IF12040" xr:uid="{7A60BCEA-C685-4A67-90FC-EE7E0B9B2C10}"/>
    <hyperlink ref="Y1743" r:id="rId2023" display="https://crsreports.congress.gov/product/pdf/IF/IF12040" xr:uid="{5A26608B-304A-4E38-904E-EA41307E8268}"/>
    <hyperlink ref="Y1744" r:id="rId2024" display="https://crsreports.congress.gov/product/pdf/IF/IF12040" xr:uid="{25B902EF-737D-47CF-9C6E-6D0959061006}"/>
    <hyperlink ref="Y1745" r:id="rId2025" display="https://crsreports.congress.gov/product/pdf/IF/IF12040" xr:uid="{3D6B4E95-F3FF-4E6F-B7BC-8C6FB8A54D90}"/>
    <hyperlink ref="Y1746" r:id="rId2026" display="https://crsreports.congress.gov/product/pdf/IF/IF12040" xr:uid="{9EFCAE67-993B-4017-8D0F-034AE794E7A5}"/>
    <hyperlink ref="Y1747" r:id="rId2027" display="https://crsreports.congress.gov/product/pdf/IF/IF12040" xr:uid="{2F90AF14-14F1-4948-97D5-07F277B11C80}"/>
    <hyperlink ref="Y1748" r:id="rId2028" display="https://crsreports.congress.gov/product/pdf/IF/IF12040" xr:uid="{B1D25B13-7DD3-4D7F-8DC0-54FA2FD3660A}"/>
    <hyperlink ref="Y1749" r:id="rId2029" display="https://crsreports.congress.gov/product/pdf/IF/IF12040" xr:uid="{0E564923-3131-428D-A93F-68445C0A521D}"/>
    <hyperlink ref="Y1750" r:id="rId2030" display="https://crsreports.congress.gov/product/pdf/IF/IF12040" xr:uid="{E5878364-0A23-40E8-9DD5-D9141D0E986C}"/>
    <hyperlink ref="Y1751" r:id="rId2031" display="https://crsreports.congress.gov/product/pdf/IF/IF12040" xr:uid="{61D73225-3C75-4163-B30E-5DF862F9CEC4}"/>
    <hyperlink ref="Y1752" r:id="rId2032" display="https://crsreports.congress.gov/product/pdf/IF/IF12040" xr:uid="{8AFA1205-E2D0-400D-827D-CC9CEF4F4188}"/>
    <hyperlink ref="Y1753" r:id="rId2033" display="https://crsreports.congress.gov/product/pdf/IF/IF12040" xr:uid="{8CE7A2CA-8DE0-483A-BA2A-3F7E5F1DE71C}"/>
    <hyperlink ref="Y1754" r:id="rId2034" display="https://crsreports.congress.gov/product/pdf/IF/IF12040" xr:uid="{C88D1AFF-9637-4A5E-8145-27B2546DEC8A}"/>
    <hyperlink ref="Y1755" r:id="rId2035" display="https://crsreports.congress.gov/product/pdf/IF/IF12040" xr:uid="{06257349-5077-4EBA-9B63-21F99BC39622}"/>
    <hyperlink ref="Y1756" r:id="rId2036" display="https://crsreports.congress.gov/product/pdf/IF/IF12040" xr:uid="{ECE2BF74-5ACD-411D-A004-0863D9542B8A}"/>
    <hyperlink ref="Y1757" r:id="rId2037" display="https://crsreports.congress.gov/product/pdf/IF/IF12040" xr:uid="{7441FDE5-CA52-4E4F-84CF-E8C0392E08B5}"/>
    <hyperlink ref="Y1758" r:id="rId2038" display="https://crsreports.congress.gov/product/pdf/IF/IF12040" xr:uid="{EC81F13B-4D8B-410D-B012-9DD8BBF16A55}"/>
    <hyperlink ref="W1737" r:id="rId2039" xr:uid="{8905B6B1-2F02-4910-8E4C-28C9D4D3DFA5}"/>
    <hyperlink ref="W1738" r:id="rId2040" xr:uid="{177E52A1-8016-47B2-9120-46197719C854}"/>
    <hyperlink ref="W1739" r:id="rId2041" xr:uid="{39FC6A7B-9824-465D-97B9-F8C8C4423C82}"/>
    <hyperlink ref="W1740" r:id="rId2042" xr:uid="{B891EFD5-E33C-4B4A-AC0E-529F44F8DFB7}"/>
    <hyperlink ref="W1741" r:id="rId2043" xr:uid="{98AE782C-E50D-4FB4-8AF7-9D576756857B}"/>
    <hyperlink ref="W1742" r:id="rId2044" xr:uid="{AA075589-2900-48E0-9F98-630EF768B16D}"/>
    <hyperlink ref="W1743" r:id="rId2045" xr:uid="{4B76FD24-9994-48F9-830B-15282B12A787}"/>
    <hyperlink ref="W1744" r:id="rId2046" xr:uid="{845CEB91-C598-4F5A-9516-7BF49DCA1278}"/>
    <hyperlink ref="W1745" r:id="rId2047" xr:uid="{2F7A4BB1-EC4D-450B-A4BD-1AE6AAF590F1}"/>
    <hyperlink ref="W1746" r:id="rId2048" xr:uid="{70521B42-721C-4340-BA6C-E823D975FDB8}"/>
    <hyperlink ref="W1747" r:id="rId2049" xr:uid="{F8C44DD7-F48A-4CA1-8AE6-F9BC13F92875}"/>
    <hyperlink ref="W1748" r:id="rId2050" xr:uid="{E363CD9A-9D94-4A7C-8A8B-E6549D4FB9E4}"/>
    <hyperlink ref="W1749" r:id="rId2051" xr:uid="{580FC8DC-E838-4244-A90A-6441EA5E3E51}"/>
    <hyperlink ref="W1750" r:id="rId2052" xr:uid="{84A6919F-78D2-49B2-8145-F94A737F8D8B}"/>
    <hyperlink ref="W1751" r:id="rId2053" xr:uid="{B71FDB88-4B23-4FEA-8F66-19D3F147FBEB}"/>
    <hyperlink ref="W1752" r:id="rId2054" xr:uid="{6CCE5A12-0680-47EC-AFDB-6195097FA326}"/>
    <hyperlink ref="W1753" r:id="rId2055" xr:uid="{D8688A04-FADB-40F2-938E-CD5BF605DA38}"/>
    <hyperlink ref="W1754" r:id="rId2056" xr:uid="{0BD15A65-CB2B-4101-9EB5-6ACC18BF675E}"/>
    <hyperlink ref="W1755" r:id="rId2057" xr:uid="{4FDE8166-6774-4A2E-A5A9-ACA3EA760E1B}"/>
    <hyperlink ref="W1756" r:id="rId2058" xr:uid="{8355E2BC-1CCB-4F4F-A3E5-5CBFEBF2AD74}"/>
    <hyperlink ref="W1757" r:id="rId2059" xr:uid="{9CCDA214-DEF0-4EF9-9781-7E9BD42987F4}"/>
    <hyperlink ref="W1758" r:id="rId2060" xr:uid="{0C458283-2449-4F18-A96E-EA667314E397}"/>
    <hyperlink ref="X1737" r:id="rId2061" xr:uid="{52F28C3C-A1C6-4069-975E-0038BA82AB9B}"/>
    <hyperlink ref="X1738" r:id="rId2062" xr:uid="{F395B79C-0290-486D-92D5-41F1B11475AA}"/>
    <hyperlink ref="X1739" r:id="rId2063" xr:uid="{6BD2DB81-E9C8-4F94-95AA-870DB58AA454}"/>
    <hyperlink ref="X1740" r:id="rId2064" xr:uid="{EE61A8EE-2DC3-4947-89BF-DF256EC6A3CE}"/>
    <hyperlink ref="X1741" r:id="rId2065" xr:uid="{3721438D-FD99-4734-856F-DEC177717C97}"/>
    <hyperlink ref="X1742" r:id="rId2066" xr:uid="{E78F8915-73DB-41C8-AF0D-26A0B37F2DEF}"/>
    <hyperlink ref="X1743" r:id="rId2067" xr:uid="{CF222D86-7C10-49BB-8769-9B013DF78C27}"/>
    <hyperlink ref="X1744" r:id="rId2068" xr:uid="{97F01774-A55C-421B-9CF0-6ED096716263}"/>
    <hyperlink ref="X1745" r:id="rId2069" xr:uid="{1BFFCC53-B5C3-4B75-947E-4048B9BB319B}"/>
    <hyperlink ref="X1746" r:id="rId2070" xr:uid="{7768329E-CF5E-403D-9EDC-CBAB3769B4F3}"/>
    <hyperlink ref="X1747" r:id="rId2071" xr:uid="{876E6F88-1372-4282-8B0B-2BF3BCBCB684}"/>
    <hyperlink ref="X1748" r:id="rId2072" xr:uid="{8407B8A4-7AD4-410A-8566-C18FD2B0A23E}"/>
    <hyperlink ref="X1749" r:id="rId2073" xr:uid="{C20A3247-0CA5-48F7-90F4-86E0A7C2E9C4}"/>
    <hyperlink ref="X1750" r:id="rId2074" xr:uid="{EF8659C4-64A1-4D24-876C-261A0753D17E}"/>
    <hyperlink ref="X1751" r:id="rId2075" xr:uid="{1A8B8AAC-CF48-4FB3-9346-BD0C7A49A3A1}"/>
    <hyperlink ref="X1752" r:id="rId2076" xr:uid="{FCF01006-DDE3-44AE-B647-887974283908}"/>
    <hyperlink ref="X1753" r:id="rId2077" xr:uid="{B8589100-8A68-44B8-AC0E-1D0FE7AA9CA8}"/>
    <hyperlink ref="X1754" r:id="rId2078" xr:uid="{10D2E506-6AE9-4996-A3BD-96748C1DDBA6}"/>
    <hyperlink ref="X1755" r:id="rId2079" xr:uid="{C4BF93E2-EDBC-4727-8E19-901F808C968E}"/>
    <hyperlink ref="X1756" r:id="rId2080" xr:uid="{826CA0AA-8FFD-4C83-8EF2-9811C93FE62B}"/>
    <hyperlink ref="X1757" r:id="rId2081" xr:uid="{7BEDB1DE-DC19-4FEE-AB5E-1ED8C7999643}"/>
    <hyperlink ref="X1758" r:id="rId2082" xr:uid="{EBF98D24-BF35-4BEF-9B77-6800C616D86C}"/>
    <hyperlink ref="V1972" r:id="rId2083" xr:uid="{5CCF03EE-1B14-463B-86E4-C93C4FD94E8E}"/>
    <hyperlink ref="V1610" r:id="rId2084" xr:uid="{6238447B-271A-49E2-B19B-2AD1D6FA8CCB}"/>
    <hyperlink ref="W1972" r:id="rId2085" xr:uid="{87B9120E-BF4A-46B0-A1C7-DFEBC4CACD29}"/>
    <hyperlink ref="W1973" r:id="rId2086" xr:uid="{7FF80380-EB3D-4E9B-BFAA-EBBA7FC5C72E}"/>
    <hyperlink ref="V1598" r:id="rId2087" xr:uid="{A258F859-5EDA-4706-970A-F4BF01824B90}"/>
    <hyperlink ref="W1598" r:id="rId2088" xr:uid="{57EA7CC8-B10E-4EFC-9166-9AE08B5A0A2C}"/>
    <hyperlink ref="X1598" r:id="rId2089" display="https://crsreports.congress.gov/product/pdf/IF/IF12040" xr:uid="{B7C9982E-0A0F-42A8-92C0-14BE52AC15AB}"/>
    <hyperlink ref="W1599" r:id="rId2090" xr:uid="{2E7C0B7B-8ABF-40C7-99FF-B712FFA996FE}"/>
    <hyperlink ref="X1599" r:id="rId2091" xr:uid="{AAD78E31-CCC5-415B-8A8F-6CBAE945B135}"/>
    <hyperlink ref="Y1599" r:id="rId2092" display="https://crsreports.congress.gov/product/pdf/IF/IF12040" xr:uid="{9129F1D1-A1A8-4380-9300-CCF46AD41A78}"/>
    <hyperlink ref="W1600" r:id="rId2093" xr:uid="{DF11984F-08CF-4E33-BB55-35026C33E3B6}"/>
    <hyperlink ref="W1601" r:id="rId2094" xr:uid="{609CDD89-76D2-44A3-B1C7-AB5B86218FCB}"/>
    <hyperlink ref="W1602" r:id="rId2095" xr:uid="{3D8E514B-A3C7-475A-9337-74D30C4091BE}"/>
    <hyperlink ref="W1603" r:id="rId2096" xr:uid="{F4945D77-E6AC-44E4-8F1A-8AAE9D039697}"/>
    <hyperlink ref="W1604" r:id="rId2097" xr:uid="{C1C8C208-6352-445C-9887-B619EF2E3502}"/>
    <hyperlink ref="W1605" r:id="rId2098" xr:uid="{D80E2950-4014-4E97-9FB3-70056D767B2A}"/>
    <hyperlink ref="W1606" r:id="rId2099" xr:uid="{9BA79CC5-D69A-481B-94FA-2D95BCD3B3B1}"/>
    <hyperlink ref="W1607" r:id="rId2100" xr:uid="{601559C3-EF50-4D9A-A34B-AEE4B7878B11}"/>
    <hyperlink ref="W1608" r:id="rId2101" xr:uid="{12581B0A-3253-4480-A01C-741FF0767343}"/>
    <hyperlink ref="W1609" r:id="rId2102" xr:uid="{C95EBE71-F2D5-491E-8C6F-5340D5A14100}"/>
    <hyperlink ref="W1610" r:id="rId2103" xr:uid="{E1E91948-02B4-4FA7-9888-0F754912AF0B}"/>
    <hyperlink ref="W1611" r:id="rId2104" xr:uid="{0814CD2B-4F86-4556-8884-271445281402}"/>
    <hyperlink ref="W1612" r:id="rId2105" xr:uid="{58235BDF-507B-4635-94FD-A0D3677488AE}"/>
    <hyperlink ref="W1613" r:id="rId2106" xr:uid="{2DFAA5ED-DE60-41A4-B373-EAD0D0BBCE02}"/>
    <hyperlink ref="W1614" r:id="rId2107" xr:uid="{975C2943-96BF-4281-AD0D-E4F5FE6D7038}"/>
    <hyperlink ref="W1615" r:id="rId2108" xr:uid="{4DA1B7FB-1952-4B33-8460-A6BCA7F334BF}"/>
    <hyperlink ref="X1600" r:id="rId2109" xr:uid="{F072A452-2D67-43D0-BFB8-7F53DB886C25}"/>
    <hyperlink ref="X1601" r:id="rId2110" xr:uid="{6D9DB545-B1D8-4BFA-B8A0-DA9A4D15EBA3}"/>
    <hyperlink ref="X1602" r:id="rId2111" xr:uid="{77CC61C8-8CDD-474E-AFB5-E2392BEF08A6}"/>
    <hyperlink ref="X1603" r:id="rId2112" xr:uid="{1CEAF987-D26A-4E18-9B5F-1C061B5CD31F}"/>
    <hyperlink ref="X1604" r:id="rId2113" xr:uid="{3C56335C-90F6-4AF2-87EB-B72314EBB1F9}"/>
    <hyperlink ref="X1605" r:id="rId2114" xr:uid="{BE8CB12A-50B4-4F0A-BE3D-2980D926DF9D}"/>
    <hyperlink ref="X1606" r:id="rId2115" xr:uid="{D4CD2E94-63B9-4844-906F-12472E181672}"/>
    <hyperlink ref="X1607" r:id="rId2116" xr:uid="{77BFA452-5CE9-4BED-8232-4F08BC20966B}"/>
    <hyperlink ref="X1608" r:id="rId2117" xr:uid="{E06F855B-B5E0-4E78-A7CA-76CCF902ECF9}"/>
    <hyperlink ref="X1609" r:id="rId2118" xr:uid="{5AE49105-5C0A-44F9-9D1E-4E18554680CB}"/>
    <hyperlink ref="X1610" r:id="rId2119" xr:uid="{0462F37E-F9A1-4F03-AFF4-FEC1CAF609DC}"/>
    <hyperlink ref="X1611" r:id="rId2120" xr:uid="{35B1A08E-0D32-4303-9CA9-30FF4DCD6788}"/>
    <hyperlink ref="X1612" r:id="rId2121" xr:uid="{CC67FE5A-8650-44B6-A4C8-53B92612E6B9}"/>
    <hyperlink ref="X1613" r:id="rId2122" xr:uid="{3F3335D7-00A2-4EED-9900-97CC15FA47AE}"/>
    <hyperlink ref="X1614" r:id="rId2123" xr:uid="{226D5ECD-6AB8-454B-A162-C1C4999F33BD}"/>
    <hyperlink ref="X1615" r:id="rId2124" xr:uid="{A963604E-260C-47DA-95CF-0AC69A53487F}"/>
    <hyperlink ref="Y1600" r:id="rId2125" display="https://crsreports.congress.gov/product/pdf/IF/IF12040" xr:uid="{53958452-A34C-4EC9-AF69-5A05F37B0925}"/>
    <hyperlink ref="Y1601" r:id="rId2126" display="https://crsreports.congress.gov/product/pdf/IF/IF12040" xr:uid="{8D947D7F-1BFF-4F0D-A8E2-C4882C1F4716}"/>
    <hyperlink ref="Y1602" r:id="rId2127" display="https://crsreports.congress.gov/product/pdf/IF/IF12040" xr:uid="{4423A7FD-FEA3-4727-B90B-4007D55E189B}"/>
    <hyperlink ref="Y1603" r:id="rId2128" display="https://crsreports.congress.gov/product/pdf/IF/IF12040" xr:uid="{FB475946-0628-4518-8B3C-0C6423AC3095}"/>
    <hyperlink ref="Y1604" r:id="rId2129" display="https://crsreports.congress.gov/product/pdf/IF/IF12040" xr:uid="{5D5D789E-79D4-412E-A3D5-5F5C48B2CC3F}"/>
    <hyperlink ref="Y1605" r:id="rId2130" display="https://crsreports.congress.gov/product/pdf/IF/IF12040" xr:uid="{D2F6CED0-F157-49B3-A923-CC904DFF4E88}"/>
    <hyperlink ref="Y1606" r:id="rId2131" display="https://crsreports.congress.gov/product/pdf/IF/IF12040" xr:uid="{E709A1F7-4952-4FD2-95F5-47AFA397769A}"/>
    <hyperlink ref="Y1607" r:id="rId2132" display="https://crsreports.congress.gov/product/pdf/IF/IF12040" xr:uid="{7FFF98D4-D086-4699-9A3C-A25A489B2A8B}"/>
    <hyperlink ref="Y1608" r:id="rId2133" display="https://crsreports.congress.gov/product/pdf/IF/IF12040" xr:uid="{58299670-A3C6-4167-AF7D-64DE0D32E304}"/>
    <hyperlink ref="Y1609" r:id="rId2134" display="https://crsreports.congress.gov/product/pdf/IF/IF12040" xr:uid="{66E6ABF8-01FA-4A51-816D-46A1D4731678}"/>
    <hyperlink ref="Y1610" r:id="rId2135" display="https://crsreports.congress.gov/product/pdf/IF/IF12040" xr:uid="{3F7CE126-B3BA-4A1D-AC67-EBF72F9391E4}"/>
    <hyperlink ref="Y1611" r:id="rId2136" display="https://crsreports.congress.gov/product/pdf/IF/IF12040" xr:uid="{1D2D0752-51D8-4A13-9BB7-DAE2E9110C82}"/>
    <hyperlink ref="Y1612" r:id="rId2137" display="https://crsreports.congress.gov/product/pdf/IF/IF12040" xr:uid="{F60E79B2-4048-4B4B-99B5-17641A8C709B}"/>
    <hyperlink ref="Y1613" r:id="rId2138" display="https://crsreports.congress.gov/product/pdf/IF/IF12040" xr:uid="{CBC978B6-EE0C-4866-A2AE-87C1E0B687EE}"/>
    <hyperlink ref="Y1614" r:id="rId2139" display="https://crsreports.congress.gov/product/pdf/IF/IF12040" xr:uid="{FAD4957B-6B59-4137-87A0-BE1BA79E9052}"/>
    <hyperlink ref="Y1615" r:id="rId2140" display="https://crsreports.congress.gov/product/pdf/IF/IF12040" xr:uid="{2D0B9849-BD45-4724-B786-47D1EDF585B8}"/>
    <hyperlink ref="X1616" r:id="rId2141" xr:uid="{C305D164-43C8-413C-B39E-791334DA9D31}"/>
    <hyperlink ref="V1616" r:id="rId2142" xr:uid="{CDD5ECFB-8655-42EC-B3AC-D44884F73494}"/>
    <hyperlink ref="W1616" r:id="rId2143" xr:uid="{9C386382-0C05-4B4B-9C6E-46FF36528294}"/>
    <hyperlink ref="V791" r:id="rId2144" xr:uid="{A012030E-12E6-4A16-9731-EF2F8FB7EF95}"/>
    <hyperlink ref="W791" r:id="rId2145" xr:uid="{32869FA9-4C8F-4B4A-BFC8-233197D30E80}"/>
    <hyperlink ref="X791" r:id="rId2146" xr:uid="{24F3D8F7-DE04-4AB1-9FC3-DC8AB99F4A18}"/>
    <hyperlink ref="V1662:V1664" r:id="rId2147" display="https://www.defense.gov/News/Releases/Release/Article/3210297/400-million-in-additional-security-assistance-for-ukraine/" xr:uid="{6648CF39-283B-4D35-B002-AC2A6C078C4F}"/>
    <hyperlink ref="V1615" r:id="rId2148" xr:uid="{25325A16-2508-4791-875A-FA02A841E097}"/>
    <hyperlink ref="Y1617" r:id="rId2149" xr:uid="{85B019C8-7197-4EDE-B61D-90A4B52EFEA1}"/>
    <hyperlink ref="W1617" r:id="rId2150" xr:uid="{0149B2E6-7E5E-42AF-96C2-930211E99FF4}"/>
    <hyperlink ref="X1617" r:id="rId2151" xr:uid="{46ABB8FA-9225-414E-A9B4-7812CE9C7173}"/>
    <hyperlink ref="X1618" r:id="rId2152" xr:uid="{0E67A5FC-233E-4351-87C2-3C90921D55FC}"/>
    <hyperlink ref="X1619" r:id="rId2153" xr:uid="{84F85CC4-F44E-4C9E-879D-2D4111148F95}"/>
    <hyperlink ref="X1620" r:id="rId2154" xr:uid="{0A37F638-D3F3-4B9C-9B00-D848621D1433}"/>
    <hyperlink ref="X1621" r:id="rId2155" xr:uid="{2ECED606-7E67-4B42-BAD6-24DE6D6BF145}"/>
    <hyperlink ref="X1622" r:id="rId2156" xr:uid="{6CB4DD77-317D-4EB9-80E4-148C53B3C353}"/>
    <hyperlink ref="X1623" r:id="rId2157" xr:uid="{E9EB4B4B-382B-446E-89E5-DE150C53F08D}"/>
    <hyperlink ref="X1624" r:id="rId2158" xr:uid="{2989B3BD-8B03-41B5-B1C4-408FD5332C49}"/>
    <hyperlink ref="X1625" r:id="rId2159" xr:uid="{09AC76FA-AF40-4A0B-95BD-D4741467D647}"/>
    <hyperlink ref="X1626" r:id="rId2160" xr:uid="{8C0C74CE-4558-49CA-AD5E-85F9DD88B532}"/>
    <hyperlink ref="X1627" r:id="rId2161" xr:uid="{B1E4739C-0551-4C1C-8632-E69AC7FB5B3A}"/>
    <hyperlink ref="X1628" r:id="rId2162" xr:uid="{4500D4FF-93F7-411E-A54C-50631FEA8E20}"/>
    <hyperlink ref="X1629" r:id="rId2163" xr:uid="{DD829421-F265-46A7-BA75-1FCBA703F763}"/>
    <hyperlink ref="X1630" r:id="rId2164" xr:uid="{7189E467-6353-47F7-A655-ED3D3CFD03AF}"/>
    <hyperlink ref="X1631" r:id="rId2165" xr:uid="{C97406FB-69EE-4174-9B8B-0DCF14F0FD63}"/>
    <hyperlink ref="X1632" r:id="rId2166" xr:uid="{C5B7F67A-C368-4172-B385-76CB888FEB95}"/>
    <hyperlink ref="X1633" r:id="rId2167" xr:uid="{199AA05C-11DF-44AA-919A-8F28D66E2D96}"/>
    <hyperlink ref="X1634" r:id="rId2168" xr:uid="{7FAB8E4D-81A6-423F-AD2C-77160C40F4D9}"/>
    <hyperlink ref="X1635" r:id="rId2169" xr:uid="{58054A47-B889-4F1E-A3A0-513101F0B078}"/>
    <hyperlink ref="X1636" r:id="rId2170" xr:uid="{6D0B3563-873F-49B8-82D2-5CDD0A43E7F1}"/>
    <hyperlink ref="X1637" r:id="rId2171" xr:uid="{B492ADA1-3191-406E-813F-843A97EAD226}"/>
    <hyperlink ref="X1638" r:id="rId2172" xr:uid="{444EDE6B-DCF6-4395-B2FA-A67E3E1EC55A}"/>
    <hyperlink ref="X1639" r:id="rId2173" xr:uid="{53721832-0D08-4A35-8871-626F0DCEE548}"/>
    <hyperlink ref="X1640" r:id="rId2174" xr:uid="{32F24838-83CA-4C3B-AF9A-D40E61BAA331}"/>
    <hyperlink ref="X1641" r:id="rId2175" xr:uid="{BBC74A6F-35F3-4512-8970-2105ADBC67CC}"/>
    <hyperlink ref="X1642" r:id="rId2176" xr:uid="{D7C1902A-4145-461E-87DF-0582136056BC}"/>
    <hyperlink ref="X1643" r:id="rId2177" xr:uid="{9998208E-9D45-46B9-AD8C-B729D07E14CC}"/>
    <hyperlink ref="X1644" r:id="rId2178" xr:uid="{65038A20-ABA3-4A19-B4B6-509EA83B83F7}"/>
    <hyperlink ref="X1645" r:id="rId2179" xr:uid="{C8A73658-6419-4E97-8949-F7632B72867C}"/>
    <hyperlink ref="X1646" r:id="rId2180" xr:uid="{D9A67961-A665-4212-B76C-C4D5CCEE0E89}"/>
    <hyperlink ref="X1647" r:id="rId2181" xr:uid="{40127423-6C21-43CB-94A9-125A0DF8000C}"/>
    <hyperlink ref="X1648" r:id="rId2182" xr:uid="{F36DAEF0-3519-4B83-B082-F296922351C6}"/>
    <hyperlink ref="X1649" r:id="rId2183" xr:uid="{1EC22410-08AA-4932-A535-5484977B38D0}"/>
    <hyperlink ref="X1650" r:id="rId2184" xr:uid="{652C1D66-48F4-4505-B414-E0540F36451C}"/>
    <hyperlink ref="X1651" r:id="rId2185" xr:uid="{BEF9EA57-5686-4889-98A9-0EFAC21F4ABA}"/>
    <hyperlink ref="X1652" r:id="rId2186" xr:uid="{BB38C18F-BDD1-4A6E-9299-79E999F5F451}"/>
    <hyperlink ref="X1653" r:id="rId2187" xr:uid="{53D88837-FD44-4BC6-B44A-6A321383359F}"/>
    <hyperlink ref="X1654" r:id="rId2188" xr:uid="{4334EBB6-C602-44A9-95D1-DEB9132B2599}"/>
    <hyperlink ref="X1655" r:id="rId2189" xr:uid="{85E80887-7D79-4CF9-B7D8-99B253F48C7F}"/>
    <hyperlink ref="X1656" r:id="rId2190" xr:uid="{38798CE7-336F-4372-86AF-64C010FECDE2}"/>
    <hyperlink ref="X1657" r:id="rId2191" xr:uid="{32939C2C-BDED-448C-A68E-92D6BDE13720}"/>
    <hyperlink ref="X1658" r:id="rId2192" xr:uid="{16FAA8D0-2EFC-49CB-A9F9-3A2E780BC565}"/>
    <hyperlink ref="X1659" r:id="rId2193" xr:uid="{D7F734EC-4401-4241-BE9C-BFF87E8840E6}"/>
    <hyperlink ref="X1660" r:id="rId2194" xr:uid="{992DC5D9-755D-4A60-B634-DCF79B22E9E4}"/>
    <hyperlink ref="X1661" r:id="rId2195" xr:uid="{C86EAA63-35F0-4D09-A4D0-AA4D440C1CA0}"/>
    <hyperlink ref="X1662" r:id="rId2196" xr:uid="{300B6BE6-B632-49CD-9096-043ACF25E87E}"/>
    <hyperlink ref="X1663" r:id="rId2197" xr:uid="{2555625D-325B-464B-A763-4BEE35D84E04}"/>
    <hyperlink ref="X1664" r:id="rId2198" xr:uid="{6D2E0060-CBFB-41E1-BCE8-361456745752}"/>
    <hyperlink ref="W1618" r:id="rId2199" xr:uid="{F55A373B-15B0-4233-A3C0-A23851FB8B07}"/>
    <hyperlink ref="W1619" r:id="rId2200" xr:uid="{6123DA2B-A244-425D-A2E6-74FC6B96D876}"/>
    <hyperlink ref="W1620" r:id="rId2201" xr:uid="{27B28CAB-C194-48B8-AB23-F440DB7DF44B}"/>
    <hyperlink ref="W1621" r:id="rId2202" xr:uid="{7EFE3EC0-66B9-47EB-8085-BE4841E722F5}"/>
    <hyperlink ref="W1622" r:id="rId2203" xr:uid="{AF36BE34-01D0-4857-87AA-F76D70A1F1EC}"/>
    <hyperlink ref="W1623" r:id="rId2204" xr:uid="{CC6CA0B7-0FCF-4130-80C3-E0B1AF584439}"/>
    <hyperlink ref="W1624" r:id="rId2205" xr:uid="{0CC39C11-C24A-45CD-8143-56E9AC343BC7}"/>
    <hyperlink ref="W1625" r:id="rId2206" xr:uid="{5BA71A4E-6852-4F88-90E8-E0439E3700B6}"/>
    <hyperlink ref="W1626" r:id="rId2207" xr:uid="{8898B855-7089-434C-9E34-65550762A6F3}"/>
    <hyperlink ref="W1627" r:id="rId2208" xr:uid="{7712328B-13BC-4252-B82E-96AF2AEDC82A}"/>
    <hyperlink ref="W1628" r:id="rId2209" xr:uid="{EC36A284-201B-450C-879F-4E6DF85CD8B3}"/>
    <hyperlink ref="W1629" r:id="rId2210" xr:uid="{EF575745-5E68-461F-96A6-4B11B83F9BA2}"/>
    <hyperlink ref="W1630" r:id="rId2211" xr:uid="{3F45C089-38BE-45BF-8FF7-041374C5680B}"/>
    <hyperlink ref="W1631" r:id="rId2212" xr:uid="{9AD33F4A-4E40-4F10-8D30-2F378440AC6B}"/>
    <hyperlink ref="W1632" r:id="rId2213" xr:uid="{45892A83-DA3E-4E70-B38D-5EC33D9CAAC2}"/>
    <hyperlink ref="W1633" r:id="rId2214" xr:uid="{395A6F67-A9F9-4324-BF6E-F1500B7C82B7}"/>
    <hyperlink ref="W1634" r:id="rId2215" xr:uid="{EECA228D-E007-412A-8B2E-A4C8446C7BB7}"/>
    <hyperlink ref="W1635" r:id="rId2216" xr:uid="{E534E11F-E553-4DFF-ABCC-A0847A4BAE56}"/>
    <hyperlink ref="W1636" r:id="rId2217" xr:uid="{0B01A8A3-8152-46BE-87AB-1B3E810583E5}"/>
    <hyperlink ref="W1637" r:id="rId2218" xr:uid="{DDB74139-E389-4FAD-8F35-CCBBC71EC819}"/>
    <hyperlink ref="W1638" r:id="rId2219" xr:uid="{39EF6E45-2BC7-4FAB-BF30-EF5077AE8894}"/>
    <hyperlink ref="W1639" r:id="rId2220" xr:uid="{D8181EBF-0905-41A3-946F-C7EEE22D0C92}"/>
    <hyperlink ref="W1640" r:id="rId2221" xr:uid="{4975BE9F-E9C3-4EEF-96EC-DE1B5986EA11}"/>
    <hyperlink ref="W1641" r:id="rId2222" xr:uid="{CB973102-A14D-42F3-91D1-96F81FE2D8BF}"/>
    <hyperlink ref="W1642" r:id="rId2223" xr:uid="{15B8A9BD-A5BA-486F-97CD-E8168F660E74}"/>
    <hyperlink ref="W1643" r:id="rId2224" xr:uid="{EC2C042F-B858-4174-8B93-AD28F906F6AE}"/>
    <hyperlink ref="W1644" r:id="rId2225" xr:uid="{A2E3E221-1025-4DF8-B68D-7F7AABC73A82}"/>
    <hyperlink ref="W1645" r:id="rId2226" xr:uid="{51ABC047-B686-432F-9C9D-124BFC3B1776}"/>
    <hyperlink ref="W1646" r:id="rId2227" xr:uid="{FD55DB1B-F7BB-417C-A133-FE7EFF9B8D06}"/>
    <hyperlink ref="W1647" r:id="rId2228" xr:uid="{C6840302-BDA5-447F-A9BD-CF20467D2F87}"/>
    <hyperlink ref="W1648" r:id="rId2229" xr:uid="{4B7B3377-8FD8-46ED-89EE-370F9A0AE0C9}"/>
    <hyperlink ref="W1649" r:id="rId2230" xr:uid="{0454DA1E-DED7-44D5-85AF-A2A076E2D519}"/>
    <hyperlink ref="W1650" r:id="rId2231" xr:uid="{F24D12C7-FE80-4690-878E-8D6C930FE12E}"/>
    <hyperlink ref="W1651" r:id="rId2232" xr:uid="{38C1016B-9B74-47E0-9372-4356A85CFF1E}"/>
    <hyperlink ref="W1652" r:id="rId2233" xr:uid="{F194D91F-42FA-4743-9082-ECC814F1C79A}"/>
    <hyperlink ref="W1653" r:id="rId2234" xr:uid="{7A3BD822-CB9A-478D-821A-62ECB3D847C6}"/>
    <hyperlink ref="W1654" r:id="rId2235" xr:uid="{B9E8F001-799F-4AF8-A876-7B72D8E33B31}"/>
    <hyperlink ref="W1655" r:id="rId2236" xr:uid="{4BF99045-E4C4-4527-851E-354BC0A5B927}"/>
    <hyperlink ref="W1656" r:id="rId2237" xr:uid="{800AA306-0714-4A01-8A2F-07B8F3B604F9}"/>
    <hyperlink ref="W1657" r:id="rId2238" xr:uid="{16D54B05-9C20-4AD5-8BED-44190DA7529B}"/>
    <hyperlink ref="W1658" r:id="rId2239" xr:uid="{6694B17E-F826-4781-A5C8-7E29D5C33948}"/>
    <hyperlink ref="W1659" r:id="rId2240" xr:uid="{EFDA4A22-C5D3-473B-B142-8B92AAAADB21}"/>
    <hyperlink ref="W1660" r:id="rId2241" xr:uid="{0D9DE6FC-D2F0-4B2D-BAE7-864CBAB6A2D1}"/>
    <hyperlink ref="W1661" r:id="rId2242" xr:uid="{21EFB327-DCB4-4768-8BEA-3199EE3789F4}"/>
    <hyperlink ref="W1662" r:id="rId2243" xr:uid="{11E4B558-17BE-4B65-98DA-69C2FDE74761}"/>
    <hyperlink ref="W1663" r:id="rId2244" xr:uid="{8AF36B3D-6A46-4552-B908-80FFB7F92448}"/>
    <hyperlink ref="W1664" r:id="rId2245" xr:uid="{D153489B-7C04-4BE7-A671-EE5860CEF306}"/>
    <hyperlink ref="Y1618" r:id="rId2246" display="https://crsreports.congress.gov/product/pdf/IF/IF12040" xr:uid="{AA493D57-FA82-471C-9045-CD0F3C67E3C8}"/>
    <hyperlink ref="Y1619" r:id="rId2247" display="https://crsreports.congress.gov/product/pdf/IF/IF12040" xr:uid="{3537A5AC-A9F4-4340-828D-50DD162A5380}"/>
    <hyperlink ref="Y1620" r:id="rId2248" display="https://crsreports.congress.gov/product/pdf/IF/IF12040" xr:uid="{B7254861-6BA9-4AC4-956B-CC0680464EE2}"/>
    <hyperlink ref="Y1621" r:id="rId2249" display="https://crsreports.congress.gov/product/pdf/IF/IF12040" xr:uid="{CBE9BD15-AE9A-4D91-91F4-D119143E67CC}"/>
    <hyperlink ref="Y1622" r:id="rId2250" display="https://crsreports.congress.gov/product/pdf/IF/IF12040" xr:uid="{15A41064-F153-4FA7-8339-9114C0278EBB}"/>
    <hyperlink ref="Y1623" r:id="rId2251" display="https://crsreports.congress.gov/product/pdf/IF/IF12040" xr:uid="{D3B5513E-6D35-4F22-B4D0-97787CE93C13}"/>
    <hyperlink ref="Y1624" r:id="rId2252" display="https://crsreports.congress.gov/product/pdf/IF/IF12040" xr:uid="{AE6784A7-3273-404C-800F-8FB12B371834}"/>
    <hyperlink ref="Y1625" r:id="rId2253" display="https://crsreports.congress.gov/product/pdf/IF/IF12040" xr:uid="{E4D14A99-B733-47B6-ADE3-4BE5AD16F258}"/>
    <hyperlink ref="Y1626" r:id="rId2254" display="https://crsreports.congress.gov/product/pdf/IF/IF12040" xr:uid="{8E0CAF5A-7C22-40A9-8ECB-13535CFD63BE}"/>
    <hyperlink ref="Y1627" r:id="rId2255" display="https://crsreports.congress.gov/product/pdf/IF/IF12040" xr:uid="{8C6E5D5F-CA42-4854-BD0C-12E6E7EAA3A2}"/>
    <hyperlink ref="Y1628" r:id="rId2256" display="https://crsreports.congress.gov/product/pdf/IF/IF12040" xr:uid="{218C283A-13DB-42FF-B587-3D7B3A15428A}"/>
    <hyperlink ref="Y1629" r:id="rId2257" display="https://crsreports.congress.gov/product/pdf/IF/IF12040" xr:uid="{7770D8F0-61C0-4705-B493-1BC68B3B301D}"/>
    <hyperlink ref="Y1630" r:id="rId2258" display="https://crsreports.congress.gov/product/pdf/IF/IF12040" xr:uid="{61E941D4-B5BF-48D2-8680-0ABA143B57AE}"/>
    <hyperlink ref="Y1631" r:id="rId2259" display="https://crsreports.congress.gov/product/pdf/IF/IF12040" xr:uid="{1CDEBE19-19A1-4C4F-8358-0123CBD36F9E}"/>
    <hyperlink ref="Y1632" r:id="rId2260" display="https://crsreports.congress.gov/product/pdf/IF/IF12040" xr:uid="{BDA98894-68D9-4E54-A16E-179E05D0180B}"/>
    <hyperlink ref="Y1633" r:id="rId2261" display="https://crsreports.congress.gov/product/pdf/IF/IF12040" xr:uid="{D40109B0-8993-4059-A5BF-A9DF9ED44AA4}"/>
    <hyperlink ref="Y1634" r:id="rId2262" display="https://crsreports.congress.gov/product/pdf/IF/IF12040" xr:uid="{E12A9461-2A44-4709-86D0-2020CA4CE821}"/>
    <hyperlink ref="Y1635" r:id="rId2263" display="https://crsreports.congress.gov/product/pdf/IF/IF12040" xr:uid="{40E7BC76-461B-4BF6-8DD5-8625E53D3488}"/>
    <hyperlink ref="Y1636" r:id="rId2264" display="https://crsreports.congress.gov/product/pdf/IF/IF12040" xr:uid="{22D407CD-202A-46EA-A15C-EDB87FC735DE}"/>
    <hyperlink ref="Y1637" r:id="rId2265" display="https://crsreports.congress.gov/product/pdf/IF/IF12040" xr:uid="{1C2048E4-3EDD-4119-A03F-75C17B4522F5}"/>
    <hyperlink ref="Y1638" r:id="rId2266" display="https://crsreports.congress.gov/product/pdf/IF/IF12040" xr:uid="{C9824B5B-6880-4BF9-AFD5-6246B3EBA6EE}"/>
    <hyperlink ref="Y1639" r:id="rId2267" display="https://crsreports.congress.gov/product/pdf/IF/IF12040" xr:uid="{D69417D6-B84D-4144-98D6-EEF0A04CB10B}"/>
    <hyperlink ref="Y1640" r:id="rId2268" display="https://crsreports.congress.gov/product/pdf/IF/IF12040" xr:uid="{F3679368-EB85-48E3-884B-DC17DAFE2625}"/>
    <hyperlink ref="Y1641" r:id="rId2269" display="https://crsreports.congress.gov/product/pdf/IF/IF12040" xr:uid="{FBC277EA-488A-438C-95D6-3CB2E332F292}"/>
    <hyperlink ref="Y1642" r:id="rId2270" display="https://crsreports.congress.gov/product/pdf/IF/IF12040" xr:uid="{B19044B6-9FF2-4B60-83B1-5C655255E7DA}"/>
    <hyperlink ref="Y1643" r:id="rId2271" display="https://crsreports.congress.gov/product/pdf/IF/IF12040" xr:uid="{CDE56A86-8152-4F16-B8A6-66BBBF473169}"/>
    <hyperlink ref="Y1644" r:id="rId2272" display="https://crsreports.congress.gov/product/pdf/IF/IF12040" xr:uid="{5D7B2B19-2170-4417-BBDA-838680C0CA5C}"/>
    <hyperlink ref="Y1645" r:id="rId2273" display="https://crsreports.congress.gov/product/pdf/IF/IF12040" xr:uid="{0985D765-3276-4216-A0EF-2F8DCC25B313}"/>
    <hyperlink ref="Y1646" r:id="rId2274" display="https://crsreports.congress.gov/product/pdf/IF/IF12040" xr:uid="{AFDD9F48-0887-467F-96DE-6E81CE1A8ED7}"/>
    <hyperlink ref="Y1647" r:id="rId2275" display="https://crsreports.congress.gov/product/pdf/IF/IF12040" xr:uid="{E9FCC85A-16C7-4FF7-8EB5-AE5E8C3F3EB6}"/>
    <hyperlink ref="Y1648" r:id="rId2276" display="https://crsreports.congress.gov/product/pdf/IF/IF12040" xr:uid="{EB1D224D-BFFF-4CA0-AC8C-0880B015B0D4}"/>
    <hyperlink ref="Y1649" r:id="rId2277" display="https://crsreports.congress.gov/product/pdf/IF/IF12040" xr:uid="{33E0AE41-E470-43FA-95B1-DF42EC1D0F50}"/>
    <hyperlink ref="Y1650" r:id="rId2278" display="https://crsreports.congress.gov/product/pdf/IF/IF12040" xr:uid="{65A8171E-308E-4B68-91BB-2CAD23FC2976}"/>
    <hyperlink ref="Y1651" r:id="rId2279" display="https://crsreports.congress.gov/product/pdf/IF/IF12040" xr:uid="{5172C217-DF73-440D-A5C9-57F7D02071C5}"/>
    <hyperlink ref="Y1652" r:id="rId2280" display="https://crsreports.congress.gov/product/pdf/IF/IF12040" xr:uid="{ACCB7925-2D22-4833-9812-AA5FAF8EB31B}"/>
    <hyperlink ref="Y1653" r:id="rId2281" display="https://crsreports.congress.gov/product/pdf/IF/IF12040" xr:uid="{B6A5D033-BF92-47CE-B4E3-1D721949728C}"/>
    <hyperlink ref="Y1654" r:id="rId2282" display="https://crsreports.congress.gov/product/pdf/IF/IF12040" xr:uid="{EEF3E7B3-C39F-4E94-853F-3C600C623B8C}"/>
    <hyperlink ref="Y1655" r:id="rId2283" display="https://crsreports.congress.gov/product/pdf/IF/IF12040" xr:uid="{21C10905-AC43-4996-9981-2014D063E89A}"/>
    <hyperlink ref="Y1656" r:id="rId2284" display="https://crsreports.congress.gov/product/pdf/IF/IF12040" xr:uid="{917CD8BF-68C4-42CF-A07B-BCDC6CE426B0}"/>
    <hyperlink ref="Y1657" r:id="rId2285" display="https://crsreports.congress.gov/product/pdf/IF/IF12040" xr:uid="{FD011A7F-FE86-40FF-A13B-92A35F973A54}"/>
    <hyperlink ref="Y1658" r:id="rId2286" display="https://crsreports.congress.gov/product/pdf/IF/IF12040" xr:uid="{59E54FF2-9167-4632-8F19-B6FA6F79248D}"/>
    <hyperlink ref="Y1659" r:id="rId2287" display="https://crsreports.congress.gov/product/pdf/IF/IF12040" xr:uid="{E916CB78-41EC-4138-833C-46428906C538}"/>
    <hyperlink ref="Y1660" r:id="rId2288" display="https://crsreports.congress.gov/product/pdf/IF/IF12040" xr:uid="{CA7666FD-10FC-45E8-8DE1-87F1983B9603}"/>
    <hyperlink ref="Y1661" r:id="rId2289" display="https://crsreports.congress.gov/product/pdf/IF/IF12040" xr:uid="{9DC81579-A27C-423B-B31A-E68812C3F07B}"/>
    <hyperlink ref="Y1662" r:id="rId2290" display="https://crsreports.congress.gov/product/pdf/IF/IF12040" xr:uid="{8E619F35-F709-4339-9965-D6D62095EBF1}"/>
    <hyperlink ref="Y1663" r:id="rId2291" display="https://crsreports.congress.gov/product/pdf/IF/IF12040" xr:uid="{DF1622BB-8782-4EC5-909D-D742BC20AD71}"/>
    <hyperlink ref="Y1664" r:id="rId2292" display="https://crsreports.congress.gov/product/pdf/IF/IF12040" xr:uid="{6035BAFE-DCEC-4906-A581-B9B48E218CC5}"/>
    <hyperlink ref="V1900" r:id="rId2293" xr:uid="{25C9A690-7FAD-4680-828D-AE5703B5EDCC}"/>
    <hyperlink ref="W1900" r:id="rId2294" xr:uid="{37F7F6C5-1166-4DE0-B832-446A5E69CBCA}"/>
    <hyperlink ref="X1900" r:id="rId2295" xr:uid="{E6674848-654D-4253-A83E-762916596455}"/>
    <hyperlink ref="V1901" r:id="rId2296" xr:uid="{AD18B8CF-2753-4BE0-9E33-1047B4603A74}"/>
    <hyperlink ref="W1901" r:id="rId2297" xr:uid="{815A2961-2538-4AA2-B9C7-65070AE0806A}"/>
    <hyperlink ref="X1901" r:id="rId2298" display="https://crsreports.congress.gov/product/pdf/IF/IF12040" xr:uid="{9811DB46-9744-4B66-B0C6-72BB21D102C8}"/>
    <hyperlink ref="W1902" r:id="rId2299" xr:uid="{ED68C7BC-E181-4EA6-B643-35B5B302E84F}"/>
    <hyperlink ref="X1902" r:id="rId2300" xr:uid="{D5A439BA-EDAC-463C-BAA3-5D5FD6DA241B}"/>
    <hyperlink ref="Y1902" r:id="rId2301" display="https://crsreports.congress.gov/product/pdf/IF/IF12040" xr:uid="{6984356D-BA6B-4D0F-8C52-1335941E7171}"/>
    <hyperlink ref="W1903" r:id="rId2302" xr:uid="{F09F6755-F1CC-40D1-A883-B281531A70B9}"/>
    <hyperlink ref="W1904" r:id="rId2303" xr:uid="{6E2EB1D3-6406-4BAA-8BD2-7F9F384642DD}"/>
    <hyperlink ref="W1905" r:id="rId2304" xr:uid="{930D305F-7C17-404C-A29C-FF0A52A9E453}"/>
    <hyperlink ref="W1906" r:id="rId2305" xr:uid="{3C85716E-1620-445C-A095-764C6D990FB1}"/>
    <hyperlink ref="X1903" r:id="rId2306" xr:uid="{9CEAC24F-00E3-4494-90D7-A86277B3889E}"/>
    <hyperlink ref="X1904" r:id="rId2307" xr:uid="{89D59B0C-9A83-4747-96DD-D192BF4E047D}"/>
    <hyperlink ref="X1905" r:id="rId2308" xr:uid="{6A37E81A-5FCF-4E6D-8269-FDC7E4011643}"/>
    <hyperlink ref="X1906" r:id="rId2309" xr:uid="{1AE0BBCA-8D0B-4AAF-9605-F49C6DE5DA44}"/>
    <hyperlink ref="Y1903" r:id="rId2310" display="https://crsreports.congress.gov/product/pdf/IF/IF12040" xr:uid="{5B4FEC48-6B1C-479B-88F5-D6BDF6E5251D}"/>
    <hyperlink ref="Y1904" r:id="rId2311" display="https://crsreports.congress.gov/product/pdf/IF/IF12040" xr:uid="{B55FC400-4728-45F2-AA8B-522F26D0B1AA}"/>
    <hyperlink ref="Y1905" r:id="rId2312" display="https://crsreports.congress.gov/product/pdf/IF/IF12040" xr:uid="{71452897-35BC-4366-8C65-6032483D020B}"/>
    <hyperlink ref="Y1906" r:id="rId2313" display="https://crsreports.congress.gov/product/pdf/IF/IF12040" xr:uid="{4201B331-E095-4D5C-9BD0-55163D32E5ED}"/>
    <hyperlink ref="X1969" r:id="rId2314" xr:uid="{E416DFCB-B4AA-448A-B524-FFA0833BC8D8}"/>
    <hyperlink ref="W1969" r:id="rId2315" xr:uid="{E2190A98-7281-4D7F-BF85-F78534E9187C}"/>
    <hyperlink ref="V1969" r:id="rId2316" xr:uid="{0001972A-1CFB-4F79-8262-54AB5E8F70B0}"/>
    <hyperlink ref="X1326" r:id="rId2317" xr:uid="{690426A0-CF63-4449-814A-262318EA75BB}"/>
    <hyperlink ref="X1388" r:id="rId2318" xr:uid="{A1D35992-F64F-44F3-8160-20A17CA54434}"/>
    <hyperlink ref="X1389" r:id="rId2319" xr:uid="{45CEB5DF-B23E-4A2C-9683-581085FB8A7A}"/>
    <hyperlink ref="V150" r:id="rId2320" xr:uid="{7E0C9248-53CA-4DAA-92F5-68B04F125C6A}"/>
    <hyperlink ref="W150" r:id="rId2321" xr:uid="{4EE59035-D5D7-413E-B952-8877ACF738BA}"/>
    <hyperlink ref="Y486" r:id="rId2322" xr:uid="{99EB6A5D-E5B4-4BF2-91A8-6A3F4C1248A3}"/>
    <hyperlink ref="V485" r:id="rId2323" xr:uid="{B484FE7C-2D96-45E9-B3E2-F69B1DFC2F53}"/>
    <hyperlink ref="W485" r:id="rId2324" xr:uid="{6C65284A-6FCC-47B8-8953-9FF8D8727DDE}"/>
    <hyperlink ref="V488" r:id="rId2325" xr:uid="{8079479B-0F24-4BAA-AACA-BF07C9A48625}"/>
    <hyperlink ref="V489" r:id="rId2326" xr:uid="{318A1D91-B910-4E89-9AFF-F21823E9336A}"/>
    <hyperlink ref="W488" r:id="rId2327" xr:uid="{9FDC1152-208A-49FF-9BA4-E6AE59900C3F}"/>
    <hyperlink ref="W489" r:id="rId2328" xr:uid="{7EEC60AA-727D-4560-A53D-C4F86768B0BF}"/>
    <hyperlink ref="V816" r:id="rId2329" xr:uid="{BF0A99B2-6AE7-4C77-899B-95120A3BBE33}"/>
    <hyperlink ref="W816" r:id="rId2330" xr:uid="{26F28015-5120-4D1D-937A-0838FF3336BE}"/>
    <hyperlink ref="V817" r:id="rId2331" xr:uid="{C4949960-6F0F-4048-A486-C04F681435E9}"/>
    <hyperlink ref="W817" r:id="rId2332" xr:uid="{80102886-F36A-4217-B07A-1D58A3B656D5}"/>
    <hyperlink ref="X6" r:id="rId2333" xr:uid="{ADE17359-E1E9-43D3-AB29-DD929E58AD1C}"/>
    <hyperlink ref="W7" r:id="rId2334" xr:uid="{2BC1162B-A4B9-4A1D-BEFD-D05D6C7AC6A9}"/>
    <hyperlink ref="X7" r:id="rId2335" xr:uid="{A1D891F6-8E9C-4821-BC71-E290BA2B89C3}"/>
    <hyperlink ref="V25" r:id="rId2336" xr:uid="{D6C45CCA-997C-4710-81DF-9C2A9174B899}"/>
    <hyperlink ref="V64" r:id="rId2337" location=":~:text=So%20far%2C%20Belgium%20has%20allocated,and%20the%20battle%20against%20impunity" xr:uid="{4E729A48-0D93-4B57-851B-81706E0A106E}"/>
    <hyperlink ref="X64" r:id="rId2338" xr:uid="{FE1EE15C-A1D7-426F-B597-1ADBCCB52DD4}"/>
    <hyperlink ref="W64" r:id="rId2339" xr:uid="{7B349470-57B3-4D5E-8EB7-2A398D9C1E13}"/>
    <hyperlink ref="W246" r:id="rId2340" xr:uid="{15267B4D-5724-47C6-9CC0-1175F42EF12B}"/>
    <hyperlink ref="V246" r:id="rId2341" xr:uid="{C652D001-1DA3-45CC-B300-8CF56F1C7E94}"/>
    <hyperlink ref="W315" r:id="rId2342" location=":~:text=COPENHAGEN%2C%20Dec%2021%20(Reuters),Defence%20Ministry%20said%20on%20Wednesday." xr:uid="{55AA8D77-6350-4C85-87A9-312050117799}"/>
    <hyperlink ref="V315" r:id="rId2343" xr:uid="{3152AE21-5DED-405A-9C90-5D4410C76D68}"/>
    <hyperlink ref="V314" r:id="rId2344" xr:uid="{3C0F0C54-565A-4DE8-B68C-294C247AB798}"/>
    <hyperlink ref="W314" r:id="rId2345" location=":~:text=COPENHAGEN%2C%20Dec%2021%20(Reuters),Defence%20Ministry%20said%20on%20Wednesday." xr:uid="{05B00E60-DAE8-4188-B375-038E0C86CCDE}"/>
    <hyperlink ref="W354" r:id="rId2346" xr:uid="{50A947D7-C5F2-4E34-BD9B-C5131136D2F0}"/>
    <hyperlink ref="V354" r:id="rId2347" xr:uid="{CCB5EBE8-A3B0-45F7-A691-EB4C7EDCF959}"/>
    <hyperlink ref="V414" r:id="rId2348" display="https://valtioneuvosto.fi/en/-/10616/finland-sends-additional-aid-to-ukraine" xr:uid="{8E299D02-C878-4288-A02E-53A4AC8E48C1}"/>
    <hyperlink ref="V415" r:id="rId2349" display="https://valtioneuvosto.fi/en/-/10616/finland-sends-additional-aid-to-ukraine" xr:uid="{129B403B-FD84-4F7E-8E6F-06CB12196F4C}"/>
    <hyperlink ref="V417" r:id="rId2350" location=":~:text=On%20the%20proposal%20of%20the%20Government%2C%20the%20President,combat%20ration%20packages%20to%20Ukraine%20as%20material%20aid.?msclkid=43fcac85ab7811ecb0558f7b82e56a26" display="https://valtioneuvosto.fi/en/-/finland-to-send-arms-assistance-to-ukraine - :~:text=On%20the%20proposal%20of%20the%20Government%2C%20the%20President,combat%20ration%20packages%20to%20Ukraine%20as%20material%20aid.?msclkid=43fcac85ab7811ecb0558f7b82e56a26" xr:uid="{FF0411E6-B3F1-4BE4-9AE1-0FDFFF139C5D}"/>
    <hyperlink ref="V418" r:id="rId2351" location=":~:text=On%20the%20proposal%20of%20the%20Government%2C%20the%20President,combat%20ration%20packages%20to%20Ukraine%20as%20material%20aid.?msclkid=43fcac85ab7811ecb0558f7b82e56a26" display="https://valtioneuvosto.fi/en/-/finland-to-send-arms-assistance-to-ukraine - :~:text=On%20the%20proposal%20of%20the%20Government%2C%20the%20President,combat%20ration%20packages%20to%20Ukraine%20as%20material%20aid.?msclkid=43fcac85ab7811ecb0558f7b82e56a26" xr:uid="{30E029F6-6B77-4E97-81E4-1782B12EBA1D}"/>
    <hyperlink ref="V419" r:id="rId2352" location=":~:text=On%20the%20proposal%20of%20the%20Government%2C%20the%20President,combat%20ration%20packages%20to%20Ukraine%20as%20material%20aid.?msclkid=43fcac85ab7811ecb0558f7b82e56a26" display="https://valtioneuvosto.fi/en/-/finland-to-send-arms-assistance-to-ukraine - :~:text=On%20the%20proposal%20of%20the%20Government%2C%20the%20President,combat%20ration%20packages%20to%20Ukraine%20as%20material%20aid.?msclkid=43fcac85ab7811ecb0558f7b82e56a26" xr:uid="{C432B581-9A0B-4768-808E-8F73E633F062}"/>
    <hyperlink ref="V420" r:id="rId2353" location=":~:text=On%20the%20proposal%20of%20the%20Government%2C%20the%20President,combat%20ration%20packages%20to%20Ukraine%20as%20material%20aid.?msclkid=43fcac85ab7811ecb0558f7b82e56a26" display="https://valtioneuvosto.fi/en/-/finland-to-send-arms-assistance-to-ukraine - :~:text=On%20the%20proposal%20of%20the%20Government%2C%20the%20President,combat%20ration%20packages%20to%20Ukraine%20as%20material%20aid.?msclkid=43fcac85ab7811ecb0558f7b82e56a26" xr:uid="{3BA24CF5-427E-416F-8A85-8EA52B2A21E1}"/>
    <hyperlink ref="X468" r:id="rId2354" xr:uid="{CB63CB9A-48E0-4DA6-8125-CEFCAA1699C7}"/>
    <hyperlink ref="Y468" r:id="rId2355" xr:uid="{C85F3602-6D80-45D4-927F-DCE928AB0637}"/>
    <hyperlink ref="W468" r:id="rId2356" xr:uid="{99815EC5-09C5-4CC3-A6A4-6EEE82603D0F}"/>
    <hyperlink ref="W467" r:id="rId2357" xr:uid="{A49F7D8C-01CE-489C-B77A-B25BF4575263}"/>
    <hyperlink ref="W466" r:id="rId2358" xr:uid="{3F826849-463F-41BB-BF18-962173EBC24D}"/>
    <hyperlink ref="W469" r:id="rId2359" xr:uid="{BB524E5B-2A66-4FF8-A19A-BBF0A6484150}"/>
    <hyperlink ref="W470" r:id="rId2360" xr:uid="{1D793A7F-59B7-4576-A37B-B1A77FAF53BD}"/>
    <hyperlink ref="W471" r:id="rId2361" xr:uid="{9E9ECA59-3D19-4A01-991B-3859DDD9CBE4}"/>
    <hyperlink ref="W472" r:id="rId2362" xr:uid="{B0A62D52-0EAC-4971-93BB-757A6C40162A}"/>
    <hyperlink ref="W473" r:id="rId2363" xr:uid="{5785B8F3-4D57-49C7-AB15-950635E3A828}"/>
    <hyperlink ref="W474" r:id="rId2364" xr:uid="{6BE0DA6E-7971-4986-BC91-8A4F97CA9F9D}"/>
    <hyperlink ref="W475" r:id="rId2365" xr:uid="{BF0AED91-EBC5-4CEC-B621-DCEDB797BF4E}"/>
    <hyperlink ref="W476" r:id="rId2366" xr:uid="{8C763955-8D23-45FC-8EFC-9F948927DE41}"/>
    <hyperlink ref="W477" r:id="rId2367" xr:uid="{7A733F20-CE32-4287-B9C2-822AD3AD6487}"/>
    <hyperlink ref="X467" r:id="rId2368" xr:uid="{43E3DAC5-3715-4DC2-846E-BC3F49635ED1}"/>
    <hyperlink ref="X466" r:id="rId2369" xr:uid="{F485D779-047C-4587-A3D8-822E0A817ECC}"/>
    <hyperlink ref="X469" r:id="rId2370" xr:uid="{005BD183-AB0D-4EF4-A371-330798C320A2}"/>
    <hyperlink ref="X470" r:id="rId2371" xr:uid="{63FF4FE5-2BCC-4068-841B-BAE3AAD4251C}"/>
    <hyperlink ref="X471" r:id="rId2372" xr:uid="{28128D17-0234-4655-86FB-280DC38CECA8}"/>
    <hyperlink ref="X472" r:id="rId2373" xr:uid="{F4669BC2-786B-499A-B2BC-F69AE9C3A744}"/>
    <hyperlink ref="X473" r:id="rId2374" xr:uid="{726BB7A1-341C-43DF-B3FD-0865938F052E}"/>
    <hyperlink ref="X474" r:id="rId2375" xr:uid="{39DE8891-023C-4FA4-BAD4-0D616FEA320B}"/>
    <hyperlink ref="X475" r:id="rId2376" xr:uid="{DFCB7903-0A94-4B44-BB50-B505A9768F94}"/>
    <hyperlink ref="X476" r:id="rId2377" xr:uid="{A1FDD1AB-DB3D-46B1-A551-B1DE0049518B}"/>
    <hyperlink ref="X477" r:id="rId2378" xr:uid="{DCEDEBEB-1876-459F-9F85-B86DD8081463}"/>
    <hyperlink ref="Y466" r:id="rId2379" xr:uid="{08AF6E90-CBB7-448B-A2E0-AB26C3B4A23B}"/>
    <hyperlink ref="Y467" r:id="rId2380" xr:uid="{92764F53-C660-439D-89E4-F356E3BBA69C}"/>
    <hyperlink ref="Y469" r:id="rId2381" xr:uid="{3D39D0BC-5ABF-45FE-AC67-053EBACAD0F7}"/>
    <hyperlink ref="Y470" r:id="rId2382" xr:uid="{1D6B8582-5331-4AA7-8860-366BF3CEFD86}"/>
    <hyperlink ref="Y471" r:id="rId2383" xr:uid="{05073BC9-CA4E-4A0E-B8FF-F27CDBB6EA0C}"/>
    <hyperlink ref="Y472" r:id="rId2384" xr:uid="{6011E364-F815-4123-A1D7-B5D2019D85F3}"/>
    <hyperlink ref="Y473" r:id="rId2385" xr:uid="{881CE2D9-2339-4A6A-8B4B-BADF3FF8CF97}"/>
    <hyperlink ref="Y474" r:id="rId2386" xr:uid="{4F08E6B7-9136-47CD-BAA3-EDC304F0B152}"/>
    <hyperlink ref="Y475" r:id="rId2387" xr:uid="{9D922480-9750-402C-86C6-E8E46503E1C2}"/>
    <hyperlink ref="Y476" r:id="rId2388" xr:uid="{21A65315-DFB3-487D-B02C-1CCBDFB14D63}"/>
    <hyperlink ref="Y477" r:id="rId2389" xr:uid="{28E4DBF3-FA6B-4ACB-A835-8B43AFABE8BE}"/>
    <hyperlink ref="V479" r:id="rId2390" xr:uid="{BE950BCA-484A-4B65-A0B0-5959576D4475}"/>
    <hyperlink ref="W478" r:id="rId2391" xr:uid="{E0A964C7-3728-46C5-983C-665E63D87922}"/>
    <hyperlink ref="W479" r:id="rId2392" xr:uid="{1DDB1D41-1754-4A73-A003-C909F8EF8B69}"/>
    <hyperlink ref="V478" r:id="rId2393" xr:uid="{B58272B2-2224-4CC4-BD49-F30AF1B7EA7B}"/>
    <hyperlink ref="W522" r:id="rId2394" xr:uid="{38922621-8668-434D-87C0-BDE7B3CDB4EA}"/>
    <hyperlink ref="W518" r:id="rId2395" xr:uid="{59A49C63-C2BB-449D-8E9D-A76D0A52C014}"/>
    <hyperlink ref="V518" r:id="rId2396" xr:uid="{EC18969F-F6B0-4CFB-818D-1996A942A82A}"/>
    <hyperlink ref="V522" r:id="rId2397" xr:uid="{6AF609D8-DC4D-4CA4-A529-16715F65303A}"/>
    <hyperlink ref="V826" r:id="rId2398" xr:uid="{84405AE0-2700-457D-85DC-C029FCEC60CA}"/>
    <hyperlink ref="V827" r:id="rId2399" xr:uid="{DFBD127D-634E-44D0-97A2-EC9228977A91}"/>
    <hyperlink ref="V828" r:id="rId2400" xr:uid="{6A465B36-E307-49EA-97E1-5ED35A590FD0}"/>
    <hyperlink ref="V829" r:id="rId2401" xr:uid="{2EA71BE6-97E1-4017-8839-E1B5DB70ADAF}"/>
    <hyperlink ref="V830" r:id="rId2402" xr:uid="{3916BB30-73F3-40F1-8D91-25E95EF20FE6}"/>
    <hyperlink ref="V831" r:id="rId2403" xr:uid="{EF673DEF-FED1-4D04-8527-C714D8EC847A}"/>
    <hyperlink ref="V832" r:id="rId2404" xr:uid="{A876BEBB-6FC0-4CA5-8D23-A9537596A2AF}"/>
    <hyperlink ref="V833" r:id="rId2405" xr:uid="{4011035E-1F89-4C71-8951-61E3995E5AD1}"/>
    <hyperlink ref="W1300" r:id="rId2406" xr:uid="{2C0958E2-5521-4D05-94A9-97D9A655C4F9}"/>
    <hyperlink ref="V1300" r:id="rId2407" display="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xr:uid="{60645EF6-58D6-403E-B2E8-AD9134498493}"/>
    <hyperlink ref="V43:V45" r:id="rId2408" display="http://web.archive.org/web/20221220221320/https://www.austria.org/ukraine" xr:uid="{9851264A-EFCE-4D20-9743-F8E5D494DF43}"/>
    <hyperlink ref="W205" r:id="rId2409" xr:uid="{BA4D6518-A812-4B42-AD92-B456035CC193}"/>
    <hyperlink ref="V352" r:id="rId2410" xr:uid="{1C699536-FE3D-4B7D-8211-7FC42DFC783D}"/>
    <hyperlink ref="W352" r:id="rId2411" xr:uid="{20A4F9BD-83F0-488D-80D4-D183AE04F338}"/>
    <hyperlink ref="W14" r:id="rId2412" xr:uid="{2D532E1F-A64D-4EA2-81EE-CEBDA2529FF7}"/>
    <hyperlink ref="W15" r:id="rId2413" xr:uid="{A13C6227-7EC0-488E-9CE1-38DE38042528}"/>
    <hyperlink ref="W26" r:id="rId2414" xr:uid="{F7F58325-F23C-4C12-9D4C-109ED4835260}"/>
    <hyperlink ref="X26" r:id="rId2415" xr:uid="{2D730F91-2081-48D3-8EBD-0126C342A371}"/>
    <hyperlink ref="X517" r:id="rId2416" xr:uid="{8100A31D-A696-4BC5-B925-55537B7B4DD9}"/>
    <hyperlink ref="W517" r:id="rId2417" xr:uid="{9DF601C6-E82B-42B4-8C53-00F3FBD61C86}"/>
    <hyperlink ref="V517" r:id="rId2418" xr:uid="{D0A92CD6-3EEA-4CE2-BA3B-AF6028BBDABA}"/>
    <hyperlink ref="W28" r:id="rId2419" xr:uid="{4C03D806-55E5-4D26-82FB-2D935C878497}"/>
    <hyperlink ref="W29:W35" r:id="rId2420" display="https://www.vienna.at/oesterreich-schickt-medizinische-hilfsgueter-in-die-ukraine/7304494" xr:uid="{5A2F4110-7E69-4410-8B3F-51EB7DA5C19C}"/>
    <hyperlink ref="W47" r:id="rId2421" xr:uid="{739A9ADA-B2C5-4B69-856C-64475A8035DC}"/>
    <hyperlink ref="W57" r:id="rId2422" location="blogHeader" xr:uid="{43A27913-F9C0-4D5E-9CA8-5D4A9BA8214F}"/>
    <hyperlink ref="X57" r:id="rId2423" xr:uid="{7DF2544A-92B9-4F08-BDE2-75C6375568B0}"/>
    <hyperlink ref="W63" r:id="rId2424" xr:uid="{AB65EFC0-C2EB-4817-A69C-EB82F28CE464}"/>
    <hyperlink ref="W136" r:id="rId2425" xr:uid="{6CACCBD0-E6FA-4B5D-9106-4632661EC560}"/>
    <hyperlink ref="W141" r:id="rId2426" xr:uid="{6201CB89-9152-413F-81BB-1673CDFB91FE}"/>
    <hyperlink ref="W146" r:id="rId2427" xr:uid="{F698698E-9268-4449-BA5B-E68125730D27}"/>
    <hyperlink ref="W152" r:id="rId2428" xr:uid="{4301959B-B5E2-4008-9A4F-BB11684DFDAF}"/>
    <hyperlink ref="W153" r:id="rId2429" xr:uid="{3339A0E7-1479-4674-9755-4C58C50C33E8}"/>
    <hyperlink ref="W154:W156" r:id="rId2430" display="https://militaryleak.com/2022/03/06/canada-to-supply-4500-m72-and-100-carl-gustaf-anti-tank-weapons-to-ukraine/" xr:uid="{1953A31B-3F09-465F-8B9B-EB124C23B7CC}"/>
    <hyperlink ref="W161" r:id="rId2431" xr:uid="{8C25E34E-E9FD-4659-93C7-85556EB3C8D2}"/>
    <hyperlink ref="W162:W163" r:id="rId2432" display="https://militaryleak.com/2022/03/06/canada-to-supply-4500-m72-and-100-carl-gustaf-anti-tank-weapons-to-ukraine/" xr:uid="{C2FA3877-A5BD-48E1-A96D-8B718C9A9379}"/>
    <hyperlink ref="W171" r:id="rId2433" xr:uid="{603A49F3-0234-46C6-AD9E-700DA356D331}"/>
    <hyperlink ref="W172:W174" r:id="rId2434" display="https://www.reuters.com/world/europe/canadas-trudeau-announces-new-weapons-ukraine-visit-kyiv-2022-05-08/" xr:uid="{192E57C8-47B6-47B3-8AC0-CB17B4118D5D}"/>
    <hyperlink ref="W177" r:id="rId2435" xr:uid="{95533DAF-4EAE-4B53-BE9F-2C3BFC002854}"/>
    <hyperlink ref="W178:W179" r:id="rId2436" display="https://ukranews.com/en/news/887638-canada-will-provide-new-package-of-assistance-to-ukraine-for-usd-47-million" xr:uid="{37C5B356-C33D-4124-BBF6-6C8F276E6146}"/>
    <hyperlink ref="W182" r:id="rId2437" xr:uid="{5E32B8E5-3B0A-4082-9480-4D83E8C51D92}"/>
    <hyperlink ref="W200" r:id="rId2438" xr:uid="{0DB35D78-BFFB-41AD-8FEE-EF390F04E57D}"/>
    <hyperlink ref="W199" r:id="rId2439" xr:uid="{31A5459E-C82D-410B-B738-930ED25626C0}"/>
    <hyperlink ref="X223" r:id="rId2440" xr:uid="{D37C1510-02BD-4C27-9FFB-02FA6EC6D20A}"/>
    <hyperlink ref="W227" r:id="rId2441" xr:uid="{ADD09CFF-91C5-450A-97B8-884BA171A355}"/>
    <hyperlink ref="W228:W238" r:id="rId2442" display="https://mocr.army.cz/informacni-servis/zpravodajstvi/vlada-schvalila-dalsi-dar-v-podobe-vojenskeho-materialu-ukrajine-233798/" xr:uid="{45B6AD2C-EBD7-488C-B500-B8C21EDA7172}"/>
    <hyperlink ref="W247" r:id="rId2443" xr:uid="{DD1A8FE8-3318-48FC-84FF-5BAC6838F6AB}"/>
    <hyperlink ref="V1333" r:id="rId2444" xr:uid="{CFE304D7-458A-4A36-BD2B-883D41EAE209}"/>
    <hyperlink ref="V147" r:id="rId2445" location=":~:text=Canada%20will%20provide%20%24200%20million,administrative%20burden%20on%20Ukrainian%20officials" xr:uid="{4A11E68F-14D5-48F3-B264-D11FB1EE2DF7}"/>
    <hyperlink ref="V41" r:id="rId2446" xr:uid="{1FB445D2-ABFE-4CA8-8568-B0D13492BB11}"/>
    <hyperlink ref="W41" r:id="rId2447" xr:uid="{272E528E-CB73-4512-A68C-DDA3191A2EC2}"/>
    <hyperlink ref="X41" r:id="rId2448" location=":~:text=Austria%20has%20taken%20in%20more,a%20just%20and%20lasting%20peace" xr:uid="{B4227A94-FA7D-448F-8B4A-DC4F424D5630}"/>
    <hyperlink ref="V49" r:id="rId2449" location=":~:text=Austria%20has%20taken%20in%20more,a%20just%20and%20lasting%20peace" xr:uid="{4734C6A1-A153-4F96-8BBA-F48562C39E3C}"/>
    <hyperlink ref="W49" r:id="rId2450" xr:uid="{5F7EF066-5F7F-4077-80D3-0D940AD326C4}"/>
    <hyperlink ref="X49" r:id="rId2451" xr:uid="{C368F9D7-AC5E-4731-A1D9-E642E065A203}"/>
    <hyperlink ref="V66" r:id="rId2452" xr:uid="{D8E2FD2F-5289-468E-9526-2ABAF417E51A}"/>
    <hyperlink ref="X70:X71" r:id="rId2453" display="https://twitter.com/alexanderdecroo/status/1497914776063594502" xr:uid="{63C3EA27-B62A-4997-965E-DC8CBC7C6803}"/>
    <hyperlink ref="X68:X69" r:id="rId2454" display="https://twitter.com/alexanderdecroo/status/1497542000228417537" xr:uid="{8FC82952-EDF5-4D0A-8C4E-C66FFCCD33FC}"/>
    <hyperlink ref="X78" r:id="rId2455" xr:uid="{4C9DDD80-5C2E-497E-AF30-3D47CD1174F0}"/>
    <hyperlink ref="W68:W78" r:id="rId2456" display="https://mil.in.ua/en/news/belgium-made-a-decision-to-hand-over-artillery-to-ukraine-the-media/" xr:uid="{2A720C3B-8772-4A0E-A268-86ECF7E1446E}"/>
    <hyperlink ref="AB68:AB78" r:id="rId2457" display="https://mil.in.ua/en/news/belgium-made-a-decision-to-hand-over-artillery-to-ukraine-the-media/" xr:uid="{7F694C82-A2EF-4F3D-9230-ED1398C4AA83}"/>
    <hyperlink ref="V87" r:id="rId2458" xr:uid="{E02C08F5-129B-4EA7-BAC2-E8FF68ED0E51}"/>
    <hyperlink ref="V88" r:id="rId2459" xr:uid="{1350C3D7-49E9-4F4B-BD5C-9F4788A330AA}"/>
    <hyperlink ref="V89" r:id="rId2460" xr:uid="{4F2BB2A6-4751-465F-8889-EB71E3E0932E}"/>
    <hyperlink ref="V90" r:id="rId2461" xr:uid="{1E665BA7-A0D6-4330-AC3C-6E0803858BD3}"/>
    <hyperlink ref="V95" r:id="rId2462" xr:uid="{C8ABC2AF-4591-49C5-808E-3F51E0534713}"/>
    <hyperlink ref="V96" r:id="rId2463" xr:uid="{110E1F63-4BEB-4B73-8E58-BF3309774B69}"/>
    <hyperlink ref="V97" r:id="rId2464" xr:uid="{16E665E9-A4C9-4D49-9227-379B169F00A2}"/>
    <hyperlink ref="V98" r:id="rId2465" xr:uid="{1B908580-66DC-4102-9E71-18AB971CB5FF}"/>
    <hyperlink ref="V100" r:id="rId2466" xr:uid="{B18BA09C-8E23-4576-9381-680D6E39E48B}"/>
    <hyperlink ref="V101" r:id="rId2467" xr:uid="{1C012791-2639-47CC-A41E-B37E4441530F}"/>
    <hyperlink ref="W87" r:id="rId2468" display="https://twitter.com/hadjalahbib/status/1562721777649799170?ref_src=twsrc%5Etfw%7Ctwcamp%5Etweetembed%7Ctwterm%5E1562721777649799170%7Ctwgr%5E69cb6a35c6fc5375ee1777ba5e3491bf84fd300f%7Ctwcon%5Es1_&amp;ref_url=https%3A%2F%2Fbabel.ua%2Fen%2Fnews%2F83487-belgium-allocated-8-million-for-non-lethal-aid-to-ukraine" xr:uid="{D28285E7-5822-4880-91C6-B31B6CC3CB04}"/>
    <hyperlink ref="X87" r:id="rId2469" xr:uid="{36E30518-C064-4245-88D5-1BF642CC0BCA}"/>
    <hyperlink ref="X88" r:id="rId2470" xr:uid="{72AC8FD6-93FF-4761-8B6E-9ADE99E02747}"/>
    <hyperlink ref="X89" r:id="rId2471" xr:uid="{41917EC6-DC23-432B-AA6F-C5C18F6904B7}"/>
    <hyperlink ref="X90" r:id="rId2472" xr:uid="{C3E29C3A-5397-40C2-956A-D84F75605A36}"/>
    <hyperlink ref="Y87" r:id="rId2473" xr:uid="{474C00FD-A750-43A3-B01C-C5D283B80674}"/>
    <hyperlink ref="Y88" r:id="rId2474" xr:uid="{91B1667C-015A-40E4-BBBD-F79CE0F98A98}"/>
    <hyperlink ref="Y89" r:id="rId2475" xr:uid="{6B6A775D-EFCF-4E42-8E8B-A88D637263E5}"/>
    <hyperlink ref="Y90" r:id="rId2476" xr:uid="{73E82D50-AC5B-4741-9FD7-4A458C7A3C6E}"/>
    <hyperlink ref="W95" r:id="rId2477" xr:uid="{84FEB8E7-ADC2-472D-86BE-0E31045A9546}"/>
    <hyperlink ref="X95" r:id="rId2478" xr:uid="{009C2CA6-63ED-45D7-B5FD-842C60B18F16}"/>
    <hyperlink ref="X96" r:id="rId2479" xr:uid="{D1A48212-D7AD-424B-9FE2-343EABE27E30}"/>
    <hyperlink ref="X97" r:id="rId2480" xr:uid="{CB6B42D2-775F-4728-AEFE-064156F74986}"/>
    <hyperlink ref="X98" r:id="rId2481" xr:uid="{4BFD2DCC-D7F5-492B-BFAB-AB676D328666}"/>
    <hyperlink ref="X100" r:id="rId2482" xr:uid="{BFF52EEA-F880-4639-8653-C205B3663ED8}"/>
    <hyperlink ref="X101" r:id="rId2483" xr:uid="{F9F0DB9C-4C82-4574-927D-29ED7E3292B8}"/>
    <hyperlink ref="V102" r:id="rId2484" xr:uid="{AE139601-B6F9-4C20-A251-B54BA4D1394C}"/>
    <hyperlink ref="X102" r:id="rId2485" xr:uid="{20B14D64-719C-4674-BD27-2F1ACC3ED71F}"/>
    <hyperlink ref="V103" r:id="rId2486" xr:uid="{8AAE0189-C6A1-4F82-8114-9348CC726632}"/>
    <hyperlink ref="X103" r:id="rId2487" xr:uid="{9125ACDE-3754-46D7-9ACE-62E9DA159081}"/>
    <hyperlink ref="X68" r:id="rId2488" xr:uid="{C6CE4575-3C50-4538-91FE-7DC23C6949B3}"/>
    <hyperlink ref="AB68" r:id="rId2489" xr:uid="{3B9C8B11-4A29-419B-A5F4-A4EB784135D4}"/>
    <hyperlink ref="W68" r:id="rId2490" xr:uid="{1D17D216-EEFD-4032-984A-CD5E8055BE4D}"/>
    <hyperlink ref="V105" r:id="rId2491" xr:uid="{C657E7AB-4D21-4CEE-A41B-F679E7C17192}"/>
    <hyperlink ref="W105" r:id="rId2492" xr:uid="{D7E9012B-C8BA-40C2-B2BA-22572A2CC592}"/>
    <hyperlink ref="V106" r:id="rId2493" xr:uid="{E12FBE4B-496A-4A16-ADEB-796FEFB02763}"/>
    <hyperlink ref="W106" r:id="rId2494" xr:uid="{7F66F1D1-8FC6-49B9-BD23-4DF3481D3779}"/>
    <hyperlink ref="AB87:AB106" r:id="rId2495" location=":~:text=So%20far%2C%20Belgium%20has%20allocated,and%20the%20battle%20against%20impunity" display="https://diplomatie.belgium.be/en/policy/policy-areas/highlighted/civilian-aid-ukraine-overview#:~:text=So%20far%2C%20Belgium%20has%20allocated,and%20the%20battle%20against%20impunity" xr:uid="{D9197442-251D-4EE7-BA88-E4404E048331}"/>
    <hyperlink ref="X72" r:id="rId2496" xr:uid="{DD053C1B-012E-4C23-8B93-C4BCD38A8DCC}"/>
    <hyperlink ref="W72" r:id="rId2497" xr:uid="{83100AA5-0C70-484B-AE22-CD5197E8FB98}"/>
    <hyperlink ref="AB72" r:id="rId2498" xr:uid="{15078C2B-6C07-4136-ACE7-7C81EE06B58B}"/>
    <hyperlink ref="W73" r:id="rId2499" xr:uid="{0BC8BC71-631F-4A5E-A1C4-43C888DD1BC7}"/>
    <hyperlink ref="AB73" r:id="rId2500" xr:uid="{E7544720-C460-431A-8DB2-DF026BD6E4A4}"/>
    <hyperlink ref="X73" r:id="rId2501" xr:uid="{E42C2955-D424-4C23-A5A8-445684D6382C}"/>
    <hyperlink ref="W74" r:id="rId2502" xr:uid="{FC74E978-5963-4950-A649-4BE85AD4F6B4}"/>
    <hyperlink ref="AB74" r:id="rId2503" xr:uid="{CC5BD785-69D9-4991-BE9C-2078829DAE7B}"/>
    <hyperlink ref="X74" r:id="rId2504" xr:uid="{5DD12F26-8B21-4521-8502-A3395761050C}"/>
    <hyperlink ref="W75" r:id="rId2505" xr:uid="{8AE0767D-DAE0-4F18-9929-963425948611}"/>
    <hyperlink ref="AB75" r:id="rId2506" xr:uid="{D210FB51-E9CE-422C-AFDD-05C044A897DC}"/>
    <hyperlink ref="X75" r:id="rId2507" xr:uid="{FE308164-02A7-4F0F-A6EB-20AD366D4384}"/>
    <hyperlink ref="X77" r:id="rId2508" xr:uid="{5615418E-B030-4AD9-9682-2E936F13581C}"/>
    <hyperlink ref="W77" r:id="rId2509" xr:uid="{B5A5D4A1-DECF-4C93-9521-F630742A51DE}"/>
    <hyperlink ref="AB77" r:id="rId2510" xr:uid="{87B8B6B6-9CEA-4BB3-9534-FD557EF98456}"/>
    <hyperlink ref="X76" r:id="rId2511" xr:uid="{D22138D5-CDA8-4983-97BF-566CCEAC32CE}"/>
    <hyperlink ref="W76" r:id="rId2512" xr:uid="{B1A26E12-7591-42B9-B55C-829A0F2AF997}"/>
    <hyperlink ref="AB76" r:id="rId2513" xr:uid="{FFA03C12-E101-4A32-99C6-7483A5D45D65}"/>
    <hyperlink ref="X82" r:id="rId2514" xr:uid="{AC549C28-45D9-4A69-8D26-91A094ECB433}"/>
    <hyperlink ref="W79:W82" r:id="rId2515" display="https://mil.in.ua/en/news/belgium-made-a-decision-to-hand-over-artillery-to-ukraine-the-media/" xr:uid="{7FFAF113-87BF-4A54-9355-9FAD6D0B5863}"/>
    <hyperlink ref="AB79:AB82" r:id="rId2516" display="https://mil.in.ua/en/news/belgium-made-a-decision-to-hand-over-artillery-to-ukraine-the-media/" xr:uid="{ABA89A29-C77D-49E3-8AD5-96DA910317E8}"/>
    <hyperlink ref="X80" r:id="rId2517" xr:uid="{182C9A81-F056-4FA9-971B-29E541038804}"/>
    <hyperlink ref="W80" r:id="rId2518" xr:uid="{DE1143E2-CC9C-42D2-A72E-133B0368BBFC}"/>
    <hyperlink ref="AB80" r:id="rId2519" xr:uid="{9AAC40B5-E1CD-4CAE-B3C1-6EC6739941F0}"/>
    <hyperlink ref="X79" r:id="rId2520" xr:uid="{D193CA78-58F4-4FF9-BF0E-0E4315B9E619}"/>
    <hyperlink ref="W79" r:id="rId2521" xr:uid="{14300D2F-E642-494F-AE98-8720956885C0}"/>
    <hyperlink ref="AB79" r:id="rId2522" xr:uid="{DEEA464C-9054-4056-83DE-18065E5A230C}"/>
    <hyperlink ref="W81" r:id="rId2523" xr:uid="{6528348C-0BD9-4A02-8DD9-EF560639753C}"/>
    <hyperlink ref="AB81" r:id="rId2524" xr:uid="{8231F03E-598F-4635-B42D-DD41C0D21780}"/>
    <hyperlink ref="X81" r:id="rId2525" xr:uid="{26F8070E-384B-4CB6-A525-290DA7B6E17E}"/>
    <hyperlink ref="V78" r:id="rId2526" xr:uid="{ECB81594-8907-4210-B0EE-BDC30DDB77C0}"/>
    <hyperlink ref="V79:V82" r:id="rId2527" display="https://www.premier.be/sites/default/files/articles/BE%20support%20militaire.pdf" xr:uid="{578603F6-2C48-41E2-870C-042FDD1E72C6}"/>
    <hyperlink ref="V68:V77" r:id="rId2528" display="https://www.premier.be/sites/default/files/articles/BE%20support%20militaire.pdf" xr:uid="{0A614826-4F6E-4C6E-B859-496A3B021A88}"/>
    <hyperlink ref="V83" r:id="rId2529" xr:uid="{735B8085-18EF-480B-9071-EDA3DC153FFB}"/>
    <hyperlink ref="AB83" r:id="rId2530" xr:uid="{0F6D6082-E7A3-4D5A-BB80-432BA00D9AA8}"/>
    <hyperlink ref="V84" r:id="rId2531" xr:uid="{5BF4057B-1466-4E1B-AD72-9AEBEDEE6D0A}"/>
    <hyperlink ref="AB84" r:id="rId2532" xr:uid="{DB3A8231-416A-4400-BCDA-E4E84F9E3D94}"/>
    <hyperlink ref="V85" r:id="rId2533" xr:uid="{57B0C096-39BF-4709-934F-6FD0F8C1CC1E}"/>
    <hyperlink ref="AB85" r:id="rId2534" xr:uid="{7BA09946-48FC-4520-B35F-C70BE2F47D3E}"/>
    <hyperlink ref="V86" r:id="rId2535" xr:uid="{EB1DF501-0278-40ED-A404-6BE534775992}"/>
    <hyperlink ref="AB86" r:id="rId2536" xr:uid="{8DC07899-3525-42D6-938E-543514D2FE60}"/>
    <hyperlink ref="V91" r:id="rId2537" xr:uid="{22800B61-CA7F-46DB-A2B9-FE14DB597F3A}"/>
    <hyperlink ref="X91" r:id="rId2538" xr:uid="{6B006D2F-54A7-4636-A973-A389504DBD7F}"/>
    <hyperlink ref="Y91" r:id="rId2539" xr:uid="{AD45CC8B-0318-4895-BA1A-CA04AB9694D5}"/>
    <hyperlink ref="AB91" r:id="rId2540" location=":~:text=So%20far%2C%20Belgium%20has%20allocated,and%20the%20battle%20against%20impunity" xr:uid="{A2B77B20-49A9-413B-BBE8-C08FD2099151}"/>
    <hyperlink ref="V92" r:id="rId2541" xr:uid="{AC57D1CB-0E84-4211-96A2-BBACE810B7BA}"/>
    <hyperlink ref="X92" r:id="rId2542" xr:uid="{5FF8C47C-05FD-4EC9-8C29-7C707A632CA0}"/>
    <hyperlink ref="Y92" r:id="rId2543" xr:uid="{4EBE1350-84F4-43FC-ACF3-61E4F25D2EFF}"/>
    <hyperlink ref="AB92" r:id="rId2544" location=":~:text=So%20far%2C%20Belgium%20has%20allocated,and%20the%20battle%20against%20impunity" xr:uid="{3AA012B4-2CA4-461D-81D5-58F76EA8C715}"/>
    <hyperlink ref="AB93" r:id="rId2545" location=":~:text=So%20far%2C%20Belgium%20has%20allocated,and%20the%20battle%20against%20impunity" xr:uid="{25E0118D-37CD-4CC7-A880-D0B89407DE5D}"/>
    <hyperlink ref="V93" r:id="rId2546" xr:uid="{1C9D1B0E-A6FA-4A6E-8BF9-744C555D3BC4}"/>
    <hyperlink ref="X93" r:id="rId2547" xr:uid="{252F86DB-B414-4DD1-965B-931BECCCB910}"/>
    <hyperlink ref="Y93" r:id="rId2548" xr:uid="{B63493AB-8B3A-42E3-A734-BF84699598B7}"/>
    <hyperlink ref="V94" r:id="rId2549" xr:uid="{8976E78C-A7F4-4BC9-8331-C3E4C0A1E5F0}"/>
    <hyperlink ref="W94" r:id="rId2550" xr:uid="{C7183624-7AA8-4DC2-A59E-2C32407BD7F0}"/>
    <hyperlink ref="X94" r:id="rId2551" xr:uid="{F696E9A2-A5A7-4662-84D1-14903A8B74B8}"/>
    <hyperlink ref="AB94" r:id="rId2552" location=":~:text=So%20far%2C%20Belgium%20has%20allocated,and%20the%20battle%20against%20impunity" xr:uid="{54500178-6C30-441B-A668-D1A0D21A13EB}"/>
    <hyperlink ref="V99" r:id="rId2553" xr:uid="{8AADA59D-305F-4EFA-A93A-8C4E8E034934}"/>
    <hyperlink ref="X99" r:id="rId2554" xr:uid="{8DE4860D-887C-487F-BC48-E0AC8F51EC98}"/>
    <hyperlink ref="AB99" r:id="rId2555" location=":~:text=So%20far%2C%20Belgium%20has%20allocated,and%20the%20battle%20against%20impunity" xr:uid="{EE80BF65-F508-41F1-A5D8-4C4C786EC057}"/>
    <hyperlink ref="Y94:Y103" r:id="rId2556" display="https://www.premier.be/sites/default/files/articles/BE%20support%20militaire.pdf" xr:uid="{1EE31817-CD96-4995-8394-ED893D31EB89}"/>
    <hyperlink ref="V104" r:id="rId2557" xr:uid="{13E1CFE5-C9A4-45D5-989C-D15013918FE8}"/>
    <hyperlink ref="X104" r:id="rId2558" xr:uid="{123E4610-E8E5-45EE-8B67-981C3B73271C}"/>
    <hyperlink ref="AB104" r:id="rId2559" location=":~:text=So%20far%2C%20Belgium%20has%20allocated,and%20the%20battle%20against%20impunity" xr:uid="{8AB15A0C-ED18-4EBF-806E-88FF3744F031}"/>
    <hyperlink ref="Y104" r:id="rId2560" xr:uid="{2EA0D37E-A94C-4FDE-8861-68A220FB766B}"/>
    <hyperlink ref="V107" r:id="rId2561" xr:uid="{D6BEA6DB-1A3C-4C76-94C1-26FFD5ECA775}"/>
    <hyperlink ref="W107" r:id="rId2562" xr:uid="{3EEB1323-F5ED-4DDF-AC2C-4A670C0905E7}"/>
    <hyperlink ref="AB107" r:id="rId2563" location=":~:text=So%20far%2C%20Belgium%20has%20allocated,and%20the%20battle%20against%20impunity" xr:uid="{DDC7353C-59FE-4E4B-B17E-4E238ECD7F0F}"/>
    <hyperlink ref="V108" r:id="rId2564" xr:uid="{19246527-A63C-4BE6-AE3B-7C92257D54D2}"/>
    <hyperlink ref="W108" r:id="rId2565" xr:uid="{F2BC5E5F-2561-4E41-9BD5-F715CCC82671}"/>
    <hyperlink ref="AB108" r:id="rId2566" location=":~:text=So%20far%2C%20Belgium%20has%20allocated,and%20the%20battle%20against%20impunity" xr:uid="{27AE3702-6612-48B0-AFA5-8BA621C74815}"/>
    <hyperlink ref="X105" r:id="rId2567" xr:uid="{CC07AB34-D5A2-44EC-8131-D83F3ABB0C8A}"/>
    <hyperlink ref="X106" r:id="rId2568" xr:uid="{95F749EB-315B-4AE7-A540-17E2F5A789DB}"/>
    <hyperlink ref="X107" r:id="rId2569" xr:uid="{A1DFEFEE-F09A-4A6D-BE02-AEC27AAA1ABC}"/>
    <hyperlink ref="X108" r:id="rId2570" xr:uid="{24AA3386-0CD4-4DA9-87C4-833CA23ECDCD}"/>
    <hyperlink ref="W109" r:id="rId2571" display="https://www.armyrecognition.com/defense_news_december_2022_global_security_army_industry/discover_new_defense_equipment_that_belgium_offers_to_ukraine_as_part_of_international_support.html" xr:uid="{1183D342-73B9-4806-B4DC-A7C311F5FF61}"/>
    <hyperlink ref="X109" r:id="rId2572" display="https://www.premier.be/sites/default/files/articles/BE%20support%20militaire.pdf" xr:uid="{CCE52707-0D60-44AC-8D1A-10865CE60DE9}"/>
    <hyperlink ref="W110" r:id="rId2573" display="https://www.armyrecognition.com/defense_news_december_2022_global_security_army_industry/discover_new_defense_equipment_that_belgium_offers_to_ukraine_as_part_of_international_support.html" xr:uid="{F20C27EF-3B74-47C7-B8B8-1826040167AD}"/>
    <hyperlink ref="X110" r:id="rId2574" display="https://www.premier.be/sites/default/files/articles/BE%20support%20militaire.pdf" xr:uid="{594916A3-E295-4833-94A1-E8F926E26B98}"/>
    <hyperlink ref="V109" r:id="rId2575" xr:uid="{EF41E431-F4CD-4A61-BD45-438CB35A4126}"/>
    <hyperlink ref="V110" r:id="rId2576" xr:uid="{8611EFC4-310A-4223-81DD-6749F7C8C02A}"/>
    <hyperlink ref="AB110" r:id="rId2577" xr:uid="{365EB341-90F1-4838-8DC2-8711CEFFD60D}"/>
    <hyperlink ref="AB109" r:id="rId2578" xr:uid="{D6F5B06A-D9BA-4117-85D7-1C526A20A94A}"/>
    <hyperlink ref="W111" r:id="rId2579" display="https://www.armyrecognition.com/defense_news_december_2022_global_security_army_industry/discover_new_defense_equipment_that_belgium_offers_to_ukraine_as_part_of_international_support.html" xr:uid="{27D4E667-B92E-45EB-8726-2B0AB1445A67}"/>
    <hyperlink ref="X111" r:id="rId2580" display="https://www.premier.be/sites/default/files/articles/BE%20support%20militaire.pdf" xr:uid="{BEA2B462-D7CB-4508-BF6E-B6AD31D25FB3}"/>
    <hyperlink ref="V111" r:id="rId2581" xr:uid="{A1253015-90F5-4DF4-973B-22B7CFD16330}"/>
    <hyperlink ref="AB111" r:id="rId2582" xr:uid="{1252E255-33EA-4B99-A5BF-CC0FEE634A91}"/>
    <hyperlink ref="W112" r:id="rId2583" display="https://www.armyrecognition.com/defense_news_december_2022_global_security_army_industry/discover_new_defense_equipment_that_belgium_offers_to_ukraine_as_part_of_international_support.html" xr:uid="{BC5ACF3F-C4BD-40B9-9E61-B85AFFF23DF3}"/>
    <hyperlink ref="X112" r:id="rId2584" display="https://www.premier.be/sites/default/files/articles/BE%20support%20militaire.pdf" xr:uid="{B618C549-479F-4B97-9C93-AEEA49788A0A}"/>
    <hyperlink ref="V112" r:id="rId2585" xr:uid="{0F61FBFF-5EEA-4B22-9E7F-5697AAAC953B}"/>
    <hyperlink ref="AB112" r:id="rId2586" xr:uid="{33C61B72-FB53-487E-ABCE-EF4FFFE71781}"/>
    <hyperlink ref="W113" r:id="rId2587" display="https://www.armyrecognition.com/defense_news_december_2022_global_security_army_industry/discover_new_defense_equipment_that_belgium_offers_to_ukraine_as_part_of_international_support.html" xr:uid="{0CD4CAF6-6AD0-4F38-8735-A32DA3C73FFF}"/>
    <hyperlink ref="X113" r:id="rId2588" display="https://www.premier.be/sites/default/files/articles/BE%20support%20militaire.pdf" xr:uid="{33E6112B-60D5-4D8E-A9BC-518BEE0ADD0B}"/>
    <hyperlink ref="V113" r:id="rId2589" xr:uid="{BB6D417F-7DC9-4938-A54D-97F457EBC3F9}"/>
    <hyperlink ref="AB113" r:id="rId2590" xr:uid="{94BA0822-81B5-45DE-852F-F23EF98A1A2D}"/>
    <hyperlink ref="W114" r:id="rId2591" display="https://www.armyrecognition.com/defense_news_december_2022_global_security_army_industry/discover_new_defense_equipment_that_belgium_offers_to_ukraine_as_part_of_international_support.html" xr:uid="{8D053A4A-6483-425F-99D3-5B082DA5CB38}"/>
    <hyperlink ref="X114" r:id="rId2592" display="https://www.premier.be/sites/default/files/articles/BE%20support%20militaire.pdf" xr:uid="{D7227477-36B1-4CD8-B3D7-B11DCA369CEC}"/>
    <hyperlink ref="V114" r:id="rId2593" xr:uid="{9E2A0972-C7F8-4863-8948-9EB2FAA4C7F2}"/>
    <hyperlink ref="AB114" r:id="rId2594" xr:uid="{87760FDA-5F1A-416A-8281-09F237FA4FB8}"/>
    <hyperlink ref="W115" r:id="rId2595" display="https://www.armyrecognition.com/defense_news_december_2022_global_security_army_industry/discover_new_defense_equipment_that_belgium_offers_to_ukraine_as_part_of_international_support.html" xr:uid="{CA16C9E7-D08E-47D2-95F9-256E4F101123}"/>
    <hyperlink ref="X115" r:id="rId2596" display="https://www.premier.be/sites/default/files/articles/BE%20support%20militaire.pdf" xr:uid="{5D75B27E-4A51-415F-A1A8-1E9F2D6952F1}"/>
    <hyperlink ref="V115" r:id="rId2597" xr:uid="{9BF8DB51-52AD-491B-8349-E8D89F7A6C3B}"/>
    <hyperlink ref="AB115" r:id="rId2598" xr:uid="{D8529E2B-ACB5-4C06-87E9-A166F8C5B04D}"/>
    <hyperlink ref="W116" r:id="rId2599" display="https://www.armyrecognition.com/defense_news_december_2022_global_security_army_industry/discover_new_defense_equipment_that_belgium_offers_to_ukraine_as_part_of_international_support.html" xr:uid="{B4B8F887-1548-43A5-9C13-226799BE7B5E}"/>
    <hyperlink ref="X116" r:id="rId2600" display="https://www.premier.be/sites/default/files/articles/BE%20support%20militaire.pdf" xr:uid="{C154746D-0818-4393-B443-A4731B31849D}"/>
    <hyperlink ref="V116" r:id="rId2601" xr:uid="{3308F39C-570F-4590-AA76-19A3D8A96AD1}"/>
    <hyperlink ref="AB116" r:id="rId2602" xr:uid="{73CD8BB6-CECD-415A-9020-93E193A68793}"/>
    <hyperlink ref="V183" r:id="rId2603" xr:uid="{0B65036B-9E6D-4C36-BAE8-1F0ED61A444A}"/>
    <hyperlink ref="V184" r:id="rId2604" xr:uid="{3F4C35A9-3864-48D6-8A68-F6B20BC72370}"/>
    <hyperlink ref="AB184" r:id="rId2605" xr:uid="{BEDB2FA8-2932-43B6-911E-7112F2BB149A}"/>
    <hyperlink ref="V185" r:id="rId2606" xr:uid="{60949B9D-F644-4FB3-85B3-4CC2E39149FA}"/>
    <hyperlink ref="AB185" r:id="rId2607" display="https://www.canada.ca/en/department-national-defence/campaigns/canadian-military-support-to-ukraine.html" xr:uid="{5C905BCB-FDFF-4FC4-B73D-C431B6FFF6F2}"/>
    <hyperlink ref="V186" r:id="rId2608" xr:uid="{2E87B970-EF90-4A4C-8AA1-B2F2BDE0CAD0}"/>
    <hyperlink ref="AB186" r:id="rId2609" display="https://www.canada.ca/en/department-national-defence/campaigns/canadian-military-support-to-ukraine.html" xr:uid="{AF4E3B8C-641A-4100-BBD9-C926AE27F262}"/>
    <hyperlink ref="V187" r:id="rId2610" xr:uid="{11EC1D4D-E45F-4696-A9F3-F2B4376E4471}"/>
    <hyperlink ref="AB187" r:id="rId2611" display="https://twitter.com/AnitaAnandMP/status/1646888145852538881?ref_src=twsrc%5Etfw%7Ctwcamp%5Etweetembed%7Ctwterm%5E1646888145852538881%7Ctwgr%5Edca336de433944b6a41333b9e5a95e4fe7eb2d42%7Ctwcon%5Es1_&amp;ref_url=https%3A%2F%2Fwww.thedefensepost.com%2F2023%2F04%2F17%2Fcanada-battle-tanks-ukraine%2F" xr:uid="{F84F409A-9F5E-4CF6-BF60-FED18AE39128}"/>
    <hyperlink ref="W185" r:id="rId2612" xr:uid="{E8654F53-319E-4FFB-950A-4A999207FC46}"/>
    <hyperlink ref="W187" r:id="rId2613" xr:uid="{31EB594C-262C-41A8-B7A7-70E3906374EA}"/>
    <hyperlink ref="W186" r:id="rId2614" xr:uid="{19A0B891-7035-4DCB-81F1-7ADBB2E4CC41}"/>
    <hyperlink ref="AB871" r:id="rId2615"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6AD6E5AF-56F9-405E-893D-5593F6727B81}"/>
    <hyperlink ref="AB872" r:id="rId2616"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E1323D8C-36D2-4C89-953B-CE363C3718D3}"/>
    <hyperlink ref="AB873" r:id="rId2617"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3E38333F-C920-4400-BDE3-B6ABE30D5E93}"/>
    <hyperlink ref="AB874" r:id="rId2618"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49941F3A-7F34-4A41-8F1B-6D02070B2BFE}"/>
    <hyperlink ref="AB875" r:id="rId2619"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6C4A7B07-2897-4CB5-B323-CA5506607C67}"/>
    <hyperlink ref="AB876" r:id="rId2620"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D124E185-3A1C-46FC-A3DF-2DDE6B0D69B2}"/>
    <hyperlink ref="W871" r:id="rId2621" location=":~:text=Latvian%20military%20aid%20to%20Ukraine,National%20Alliance)%20said%20January%2023." xr:uid="{13C9F143-2C6C-46E1-8B0B-D5A8E1A4CE6E}"/>
    <hyperlink ref="X871" r:id="rId2622" xr:uid="{9742A842-77FD-48A5-88B4-B1223AB61B6D}"/>
    <hyperlink ref="V908" r:id="rId2623" xr:uid="{6A1C19E9-DEFF-4509-A532-E7D5ABD5EAB9}"/>
    <hyperlink ref="W908" r:id="rId2624" xr:uid="{AD587200-25F8-4AF6-B4CF-A7B6678E8335}"/>
    <hyperlink ref="AB909" r:id="rId2625" display="https://twitter.com/a_anusauskas/status/1594701256463110144" xr:uid="{ED307932-75EE-4F77-9EE5-416E7E4AAE54}"/>
    <hyperlink ref="V909" r:id="rId2626" xr:uid="{13A4FAB5-BB01-4F80-99E2-FDAB2D1CA8E6}"/>
    <hyperlink ref="AB910" r:id="rId2627" display="https://twitter.com/a_anusauskas/status/1594701256463110144" xr:uid="{506F517A-774D-4C2E-94DF-0BDD06A2B269}"/>
    <hyperlink ref="V910" r:id="rId2628" xr:uid="{4203796E-345D-459D-825E-FA234AC3C61E}"/>
    <hyperlink ref="AB911" r:id="rId2629" display="https://twitter.com/a_anusauskas/status/1594701256463110144" xr:uid="{8F0CD65E-5EBC-4D37-B5EA-7B256986BBB0}"/>
    <hyperlink ref="AB912" r:id="rId2630" display="https://twitter.com/a_anusauskas/status/1594701256463110144" xr:uid="{12F848C0-6C9A-41D7-AEC0-807538CF0059}"/>
    <hyperlink ref="AB913" r:id="rId2631" display="https://twitter.com/a_anusauskas/status/1594701256463110144" xr:uid="{56B910FC-28F3-4E90-A9DF-199CD0141048}"/>
    <hyperlink ref="AB914" r:id="rId2632" display="https://twitter.com/a_anusauskas/status/1594701256463110144" xr:uid="{2AA3D373-0574-49D9-9542-53E5EB365920}"/>
    <hyperlink ref="V958" r:id="rId2633" xr:uid="{A17524C3-BC16-43BD-AF15-FF667B34BE5C}"/>
    <hyperlink ref="W957" r:id="rId2634" xr:uid="{B34F01F6-2EA4-4EF9-AF11-2DDD33C3049C}"/>
    <hyperlink ref="V957" r:id="rId2635" xr:uid="{E356A9E7-1613-4D2E-903D-D46CDEAC3B9B}"/>
    <hyperlink ref="V959" r:id="rId2636" xr:uid="{6DA84354-6D5C-497E-967F-290C10F3EF88}"/>
    <hyperlink ref="W958" r:id="rId2637" xr:uid="{76D533F6-5F87-4A24-9728-5CFC243A3C26}"/>
    <hyperlink ref="W959" r:id="rId2638" location=":~:text=Since%20the%20beginning%20of%20the,for%20child%20protection%20and%20demining" xr:uid="{3FDD06B1-0FE6-4020-9BCE-BEC865B9EAF8}"/>
    <hyperlink ref="X958" r:id="rId2639" location=":~:text=Since%20the%20beginning%20of%20the,for%20child%20protection%20and%20demining" xr:uid="{6CB9DFEE-DB4F-4AE8-8B9A-C82CB88E3873}"/>
    <hyperlink ref="X957" r:id="rId2640" location=":~:text=Since%20the%20beginning%20of%20the,for%20child%20protection%20and%20demining" xr:uid="{5FBA7D0E-126E-4919-B67C-1A49E9229115}"/>
    <hyperlink ref="AB992" r:id="rId2641" display="https://www.defensie.nl/onderwerpen/oostflank-navo-gebied/militaire-steun-aan-oekraine" xr:uid="{8C41A5C9-A2BA-42A0-A4B7-7CD6A9F9FDA3}"/>
    <hyperlink ref="AB993" r:id="rId2642" display="https://www.defensie.nl/onderwerpen/oostflank-navo-gebied/militaire-steun-aan-oekraine" xr:uid="{BDF79054-EEF0-43A3-BB09-FFE83F8FB008}"/>
    <hyperlink ref="AB994" r:id="rId2643" display="https://www.defensie.nl/onderwerpen/oostflank-navo-gebied/militaire-steun-aan-oekraine" xr:uid="{D127E8FE-6CB4-475C-8932-1729CD0FC1C3}"/>
    <hyperlink ref="X992" r:id="rId2644" xr:uid="{29D9E9D1-F04E-4788-ACC0-1C2E4DC9A361}"/>
    <hyperlink ref="X993" r:id="rId2645" xr:uid="{0375F2D9-F8C2-4016-8907-C304191891FF}"/>
    <hyperlink ref="X994" r:id="rId2646" xr:uid="{573059F2-DECB-43B0-B6E4-FA8C9E9EEE4F}"/>
    <hyperlink ref="AB1123" r:id="rId2647" location=":~:text=WARSAW%2C%20Feb%2024%20(Reuters),Europe%20stand%20by%20your%20side." display="https://www.reuters.com/world/europe/polish-leopard-tanks-are-already-ukraine-defence-minister-says-2023-02-24/#:~:text=WARSAW%2C%20Feb%2024%20(Reuters),Europe%20stand%20by%20your%20side." xr:uid="{6B38D49B-1AA3-4F16-A5F8-4AD944FE62B9}"/>
    <hyperlink ref="X1123" r:id="rId2648" location=":~:text=WARSAW%2C%20Feb%2024%20(Reuters),Europe%20stand%20by%20your%20side." xr:uid="{892636A4-B088-4FED-A5E4-34E71F534749}"/>
    <hyperlink ref="X1124" r:id="rId2649" location=":~:text=WARSAW%2C%20Feb%2024%20(Reuters),Europe%20stand%20by%20your%20side." xr:uid="{017FDD9C-045F-407B-A79F-008121215134}"/>
    <hyperlink ref="X1126" r:id="rId2650" location=":~:text=WARSAW%2C%20Feb%2024%20(Reuters),Europe%20stand%20by%20your%20side." xr:uid="{C8879315-9B40-4CBC-8F5B-8AADE65B1B32}"/>
    <hyperlink ref="AB1124" r:id="rId2651" location=":~:text=WARSAW%2C%20Feb%2024%20(Reuters),Europe%20stand%20by%20your%20side." xr:uid="{586936B6-FAEC-4046-9E95-3E9BF9709A93}"/>
    <hyperlink ref="V1262" r:id="rId2652" xr:uid="{94221808-F206-46CF-84D0-32BB60E21FA2}"/>
    <hyperlink ref="W1262" r:id="rId2653" display="https://www.reuters.com/world/europe/spain-says-its-mothballed-german-made-tanks-no-fit-state-send-ukraine-2022-08-02/" xr:uid="{1897C8B1-3C5D-494F-A739-F9F2487BBE3B}"/>
    <hyperlink ref="AB1262" r:id="rId2654" xr:uid="{D825C37B-12B6-44FE-94C9-67E2E64907F8}"/>
    <hyperlink ref="V1263" r:id="rId2655" xr:uid="{1DE0AA1C-175E-4964-867D-5FC190152FC7}"/>
    <hyperlink ref="W1263" r:id="rId2656" xr:uid="{C9BA94B0-25EA-4C85-AD6B-E54F5E20076B}"/>
    <hyperlink ref="W1285" r:id="rId2657" location=":~:text=This%20contribution%20joins%20Spain's%20guarantees,Ukraine%20in%20highly%20concessional%20loans" display="https://www.exteriores.gob.es/Embajadas/washington/en/Comunicacion/Noticias/Paginas/Articulos/Spain-guarantees-the-first-aid-package-from-the-World-Bank-to-Ukraine-with-100-million-euros.aspx#:~:text=This%20contribution%20joins%20Spain's%20guarantees,Ukraine%20in%20highly%20concessional%20loans." xr:uid="{300E4DF5-33C9-465B-9338-60F50B1BD3BA}"/>
    <hyperlink ref="V1285" r:id="rId2658" xr:uid="{8EF4A58C-75F5-46A5-805A-9DBCF3034D41}"/>
    <hyperlink ref="W1420" r:id="rId2659" xr:uid="{A58D6DDD-E4DD-4422-AA12-C91ACCD13E00}"/>
    <hyperlink ref="W1421" r:id="rId2660" xr:uid="{930ADD5B-2C87-4A77-B00F-7D95A0F50ED7}"/>
    <hyperlink ref="W1422" r:id="rId2661" xr:uid="{E3D3D848-7EAC-4550-BF86-02F7DC728C18}"/>
    <hyperlink ref="W1423" r:id="rId2662" xr:uid="{8CA550AB-33E7-42FF-8D49-32CB3965B3A4}"/>
    <hyperlink ref="W1424" r:id="rId2663" xr:uid="{BC5B48CC-9D52-487D-AC51-5393C2780C9E}"/>
    <hyperlink ref="W1425" r:id="rId2664" xr:uid="{ABB12CED-F48F-4EDD-8D4C-D57C9EAD6102}"/>
    <hyperlink ref="W1426" r:id="rId2665" xr:uid="{5591B884-3A19-40E8-81D1-1F0DA2FD8EA1}"/>
    <hyperlink ref="W1427" r:id="rId2666" xr:uid="{39604389-7EAD-46ED-B0AA-86C58D86A86D}"/>
    <hyperlink ref="W1428" r:id="rId2667" xr:uid="{DB606941-53DF-4844-BE86-BDF5B4BECA8D}"/>
    <hyperlink ref="W1429" r:id="rId2668" xr:uid="{C7C0636E-CC54-4A6B-99D1-436DABA3210D}"/>
    <hyperlink ref="V1420" r:id="rId2669" xr:uid="{BB304750-70D1-4261-851D-B8D4C7E311F4}"/>
    <hyperlink ref="V1421:V1429" r:id="rId2670" display="https://www.gov.uk/government/news/pm-accelerates-ukraine-support-ahead-of-anniversary-of-putins-war" xr:uid="{03517B98-47AE-4AF8-BE17-0C67FBC846AC}"/>
    <hyperlink ref="V1438" r:id="rId2671" xr:uid="{46125455-98E8-4C1C-A358-CEA95AA2D22E}"/>
    <hyperlink ref="W1438" r:id="rId2672" xr:uid="{1F6DFA67-7AD3-4456-B05C-0A152A4480E2}"/>
    <hyperlink ref="X1438" r:id="rId2673" xr:uid="{25DBF239-AB76-45A8-B4EB-CE162CCACC81}"/>
    <hyperlink ref="V1996" r:id="rId2674" xr:uid="{176DBD92-129C-4CE2-B6A6-274A55B066B0}"/>
    <hyperlink ref="W1996" r:id="rId2675" xr:uid="{0907D93E-8844-47B6-9E51-633419AC43B8}"/>
    <hyperlink ref="W1394" r:id="rId2676" xr:uid="{AFF372B0-9D24-4D9F-94DF-40253BEA28F6}"/>
    <hyperlink ref="V1391" r:id="rId2677" xr:uid="{5A1DE6BD-C023-4FCC-9BA9-60E54B75C16B}"/>
    <hyperlink ref="V1392:V1396" r:id="rId2678" display="https://www.gov.uk/government/news/defence-secretary-meets-us-counterpart-to-discuss-support-for-ukraine" xr:uid="{EF405F58-1B05-4290-AE42-208B454152CC}"/>
    <hyperlink ref="X61" r:id="rId2679" xr:uid="{0D12D8F5-BC4B-4206-8E63-81ADD4F451B9}"/>
    <hyperlink ref="W60" r:id="rId2680" xr:uid="{DB3E5955-0CCB-43D0-8ED2-B4BA596DF4B3}"/>
    <hyperlink ref="W61" r:id="rId2681" xr:uid="{BCA33FCE-3D9B-4095-BD36-7F29CFE559E6}"/>
    <hyperlink ref="W62" r:id="rId2682" xr:uid="{D04C8384-D738-4336-AE7D-DE78B7013141}"/>
    <hyperlink ref="W881" r:id="rId2683" xr:uid="{C0B9055C-5F3B-4034-BD4C-656B45272E3A}"/>
    <hyperlink ref="V893" r:id="rId2684" xr:uid="{1AD7111E-CF9A-4739-8F43-8F97206F99FE}"/>
    <hyperlink ref="W893" r:id="rId2685" xr:uid="{33109EA8-2AB9-488B-A2EB-09BBF0C61FEE}"/>
    <hyperlink ref="W894" r:id="rId2686" xr:uid="{F983F741-4CCB-4386-A2A7-2FB51F930D28}"/>
    <hyperlink ref="W1117" r:id="rId2687" xr:uid="{288E0405-4874-4E4A-B6E1-7F66B70A533F}"/>
    <hyperlink ref="X1117" r:id="rId2688" xr:uid="{C72046A9-EF00-4B89-9D7E-D3748D143097}"/>
    <hyperlink ref="X1374" r:id="rId2689" display="https://ukdefencejournal.org.uk/britain-sending-anti-aircraft-and-javelin-missiles-to-ukraine/" xr:uid="{CE604574-0752-47A8-BB5F-BD0638816637}"/>
    <hyperlink ref="W1374" r:id="rId2690" xr:uid="{AA3A8102-A0C3-4F02-88FF-A6C0E5D48486}"/>
    <hyperlink ref="W1368" r:id="rId2691" xr:uid="{6851C7A6-A37B-4D60-B411-D6EE27A06B6D}"/>
    <hyperlink ref="V27" r:id="rId2692" xr:uid="{149D256E-F983-4D02-9DFB-4D20E3B35C72}"/>
    <hyperlink ref="W27" r:id="rId2693" xr:uid="{328ACEF3-851F-4829-A5D0-EE590FD988B7}"/>
    <hyperlink ref="X27" r:id="rId2694" xr:uid="{E6816713-15E1-476B-ADFD-F6FCE5390D22}"/>
    <hyperlink ref="V427" r:id="rId2695" location="4f3f9e74" xr:uid="{C904E1F9-F213-45B5-BCA3-6E999E560B27}"/>
    <hyperlink ref="W427" r:id="rId2696" xr:uid="{81C093AF-ADF7-45CF-9D6B-C0AAA371D50D}"/>
    <hyperlink ref="V428" r:id="rId2697" location="4f3f9e74" xr:uid="{A7AF64DF-862D-4172-975F-755F0EEDEC7B}"/>
    <hyperlink ref="V762" r:id="rId2698" xr:uid="{A20D5756-E25F-41DB-B2E8-01A9B2BD6D8D}"/>
    <hyperlink ref="W762" r:id="rId2699" xr:uid="{BE0D65E0-6335-494B-8D15-D1CF1972D848}"/>
    <hyperlink ref="V823" r:id="rId2700" xr:uid="{7A1CB5F9-C80C-4515-8510-F5EDD03FD1C6}"/>
    <hyperlink ref="W823" r:id="rId2701" xr:uid="{DFB6F9F8-C292-4DF1-A7E2-F2234F6AF08D}"/>
    <hyperlink ref="V842" r:id="rId2702" xr:uid="{CC6623E0-6543-4BB2-837F-8E0AA176701B}"/>
    <hyperlink ref="W842" r:id="rId2703" xr:uid="{08F91CED-3278-4DAF-9091-9B2B0A6C04C0}"/>
    <hyperlink ref="V843" r:id="rId2704" xr:uid="{EEB025E5-27DF-405D-BFEB-35A733C335B0}"/>
    <hyperlink ref="X843" r:id="rId2705" xr:uid="{979B3356-0658-4B58-BEE5-918720BF2B5E}"/>
    <hyperlink ref="V1041" r:id="rId2706" xr:uid="{827453FC-FEEC-434B-ACC4-D1330F297D50}"/>
    <hyperlink ref="W1041" r:id="rId2707" location=":~:text=Funding%20and%20equipment,aid%20kits%20to%20support%20Ukraine.&amp;text=%244.1%20million%20to%20support%20commercial,for%20the%20Ukrainian%20Defence%20Intelligence." display="https://www.mfat.govt.nz/en/countries-and-regions/europe/ukraine/russian-invasion-of-ukraine/#:~:text=Funding%20and%20equipment,aid%20kits%20to%20support%20Ukraine.&amp;text=%244.1%20million%20to%20support%20commercial,for%20the%20Ukrainian%20Defence%20Intelligence." xr:uid="{1F27CAFF-7C84-48D6-A554-CFBE5239371F}"/>
    <hyperlink ref="W1042" r:id="rId2708" location=":~:text=Funding%20and%20equipment,aid%20kits%20to%20support%20Ukraine.&amp;text=%244.1%20million%20to%20support%20commercial,for%20the%20Ukrainian%20Defence%20Intelligence." display="https://www.mfat.govt.nz/en/countries-and-regions/europe/ukraine/russian-invasion-of-ukraine/#:~:text=Funding%20and%20equipment,aid%20kits%20to%20support%20Ukraine.&amp;text=%244.1%20million%20to%20support%20commercial,for%20the%20Ukrainian%20Defence%20Intelligence." xr:uid="{062DB798-8DDA-4866-8BAD-5342C175B4E4}"/>
    <hyperlink ref="V1043" r:id="rId2709" xr:uid="{A9F88D6F-704C-43AC-88D1-755F0391B25D}"/>
    <hyperlink ref="W1043" r:id="rId2710" location=":~:text=Funding%20and%20equipment,aid%20kits%20to%20support%20Ukraine.&amp;text=%244.1%20million%20to%20support%20commercial,for%20the%20Ukrainian%20Defence%20Intelligence." display="https://www.mfat.govt.nz/en/countries-and-regions/europe/ukraine/russian-invasion-of-ukraine/#:~:text=Funding%20and%20equipment,aid%20kits%20to%20support%20Ukraine.&amp;text=%244.1%20million%20to%20support%20commercial,for%20the%20Ukrainian%20Defence%20Intelligence." xr:uid="{971C5437-2460-4E5E-B856-E2ACFA4B0DB4}"/>
    <hyperlink ref="V1044" r:id="rId2711" xr:uid="{1593BF90-895D-4BCD-87CF-1990A91450F0}"/>
    <hyperlink ref="W1044" r:id="rId2712" xr:uid="{C532BF49-747B-41E2-A474-142846BEDBBF}"/>
    <hyperlink ref="X1044" r:id="rId2713" xr:uid="{B912773B-570F-4F92-980A-F6B854F6ACBE}"/>
    <hyperlink ref="V1045" r:id="rId2714" xr:uid="{30462CD8-8FAD-4C81-A6DD-733354D1756E}"/>
    <hyperlink ref="W1045" r:id="rId2715" location=":~:text=Funding%20and%20equipment,aid%20kits%20to%20support%20Ukraine.&amp;text=%244.1%20million%20to%20support%20commercial,for%20the%20Ukrainian%20Defence%20Intelligence." display="https://www.mfat.govt.nz/en/countries-and-regions/europe/ukraine/russian-invasion-of-ukraine/#:~:text=Funding%20and%20equipment,aid%20kits%20to%20support%20Ukraine.&amp;text=%244.1%20million%20to%20support%20commercial,for%20the%20Ukrainian%20Defence%20Intelligence." xr:uid="{316AE5C9-FB8D-4323-B3FB-58E53785375E}"/>
    <hyperlink ref="V1046" r:id="rId2716" xr:uid="{12F9375F-85C3-45C4-8441-70F4B86D0FF0}"/>
    <hyperlink ref="W1046" r:id="rId2717" location=":~:text=Funding%20and%20equipment,aid%20kits%20to%20support%20Ukraine.&amp;text=%244.1%20million%20to%20support%20commercial,for%20the%20Ukrainian%20Defence%20Intelligence." display="https://www.mfat.govt.nz/en/countries-and-regions/europe/ukraine/russian-invasion-of-ukraine/#:~:text=Funding%20and%20equipment,aid%20kits%20to%20support%20Ukraine.&amp;text=%244.1%20million%20to%20support%20commercial,for%20the%20Ukrainian%20Defence%20Intelligence." xr:uid="{88B30B34-D653-46F4-9421-FBDCC2C1B450}"/>
    <hyperlink ref="V1079" r:id="rId2718" xr:uid="{68F6B35E-FE15-4166-8C38-B8051E59868F}"/>
    <hyperlink ref="W1079" r:id="rId2719" xr:uid="{87FDE4AA-2F1F-4B03-9908-8AF78E21BA7A}"/>
    <hyperlink ref="V1080" r:id="rId2720" xr:uid="{2B64BD4D-391E-45A2-8446-43222097C361}"/>
    <hyperlink ref="W1080" r:id="rId2721" xr:uid="{A5597D49-D7D7-4FD9-A5BD-6DF22102FFBF}"/>
    <hyperlink ref="V1081" r:id="rId2722" xr:uid="{F7187AF2-E5BE-447C-8E0B-4E220DB7ADC1}"/>
    <hyperlink ref="W1081" r:id="rId2723" xr:uid="{99CA6052-54EE-49B3-BE1E-64A75E098605}"/>
    <hyperlink ref="V1085" r:id="rId2724" xr:uid="{E0951563-DCBE-4797-86D5-D40551C6DB80}"/>
    <hyperlink ref="W1085" r:id="rId2725" xr:uid="{0C444E3F-0EBA-4C26-B178-BD5025C95370}"/>
    <hyperlink ref="V1091" r:id="rId2726" xr:uid="{C8D3A55B-A531-42F9-8AD9-66C001F39401}"/>
    <hyperlink ref="W1091" r:id="rId2727" xr:uid="{2853E008-0B7D-47DA-926D-8C7767E52A93}"/>
    <hyperlink ref="V1092" r:id="rId2728" xr:uid="{DDAA236C-DADC-4111-A601-985899FA00C3}"/>
    <hyperlink ref="W1092" r:id="rId2729" xr:uid="{1B2768DB-2B8F-485A-8399-4A1A80A21F14}"/>
    <hyperlink ref="V1098" r:id="rId2730" xr:uid="{DF1DE08C-508C-4735-B01A-9EE6793A181C}"/>
    <hyperlink ref="W1098" r:id="rId2731" xr:uid="{58BED9C4-521A-40FA-BB03-6A80D700E58F}"/>
    <hyperlink ref="X1098" r:id="rId2732" xr:uid="{FB2D9ACF-2A2E-455D-95BA-17DBB174B74C}"/>
    <hyperlink ref="V1099" r:id="rId2733" xr:uid="{7A156C18-B830-4264-91A9-BDC67AC95EE8}"/>
    <hyperlink ref="W1099" r:id="rId2734" xr:uid="{8DDCF8E1-F5FF-42E0-AEB0-B770462BDEE0}"/>
    <hyperlink ref="V1294" r:id="rId2735" xr:uid="{EE366A4A-AE99-4FD3-98B5-37805F59B16B}"/>
    <hyperlink ref="W1294" r:id="rId2736" xr:uid="{5AF054D1-B108-4E49-88BD-2CA37B84B273}"/>
    <hyperlink ref="V1331" r:id="rId2737" xr:uid="{2814333D-FC81-4290-8BD0-741897262661}"/>
    <hyperlink ref="W1331" r:id="rId2738" xr:uid="{F01A28F0-A582-4ECC-BE9A-CDFDD6EC7E25}"/>
    <hyperlink ref="V1760" r:id="rId2739" xr:uid="{50FBEB6C-6C1F-4DB1-A5F5-2E0038EE8C92}"/>
    <hyperlink ref="W1760" r:id="rId2740" xr:uid="{A31B9F02-8634-4131-B2EB-2235D1186F0E}"/>
    <hyperlink ref="V1784" r:id="rId2741" xr:uid="{E5002C97-6649-4AC8-83ED-22E62D44DB5C}"/>
    <hyperlink ref="W1784" r:id="rId2742" xr:uid="{B4E214C8-6E96-4180-96E7-40582F9F42E7}"/>
    <hyperlink ref="V1797" r:id="rId2743" xr:uid="{BCF02628-ACA9-48A7-97EF-9013959CF431}"/>
    <hyperlink ref="W1797" r:id="rId2744" xr:uid="{563AEFE3-E2D4-4EFC-B570-9A178E077BE5}"/>
    <hyperlink ref="V1912" r:id="rId2745" xr:uid="{9C6C27EA-AA33-41AD-83A8-8800891B5964}"/>
    <hyperlink ref="W1912" r:id="rId2746" xr:uid="{36D19E1B-FA13-465D-8FC9-41C0A2001596}"/>
    <hyperlink ref="V1761" r:id="rId2747" xr:uid="{ED5ABAC3-1359-43F9-BFCA-FA69F3FF9C3B}"/>
    <hyperlink ref="W1761" r:id="rId2748" xr:uid="{42C3E9FA-1F33-41FC-A95D-4887CB217029}"/>
    <hyperlink ref="V1762" r:id="rId2749" xr:uid="{D3264CF4-D83E-4E1F-8435-2C041D8E4D86}"/>
    <hyperlink ref="W1762" r:id="rId2750" xr:uid="{4313F867-ACB4-434E-89CD-F0FDE09B89BF}"/>
    <hyperlink ref="V1763" r:id="rId2751" xr:uid="{BA8966B8-19A2-439C-992E-C21500BDF289}"/>
    <hyperlink ref="V1764" r:id="rId2752" xr:uid="{56C2C34A-6F78-4901-8933-ADC8FE3520C3}"/>
    <hyperlink ref="V1765" r:id="rId2753" xr:uid="{EDD6A720-500F-48F8-B823-8786E581A67B}"/>
    <hyperlink ref="V1766" r:id="rId2754" xr:uid="{ECF347A8-295F-4376-999D-2161DB3C16E1}"/>
    <hyperlink ref="V1767" r:id="rId2755" xr:uid="{ADDBD027-E4E2-4990-9BC7-BFA2E12875BB}"/>
    <hyperlink ref="V1768" r:id="rId2756" xr:uid="{3A588062-3D2A-46DA-AD6E-6B53C5C70294}"/>
    <hyperlink ref="V1769" r:id="rId2757" xr:uid="{A5497F06-93DD-41DF-B73C-FE8AC465DA7E}"/>
    <hyperlink ref="V1770" r:id="rId2758" xr:uid="{7A1E10B1-BB15-4BA9-AD7D-C4230C6F03EC}"/>
    <hyperlink ref="W1763" r:id="rId2759" xr:uid="{6B736543-88D1-4919-AFF2-37400C2B3C27}"/>
    <hyperlink ref="W1764" r:id="rId2760" xr:uid="{CC91DED7-995C-4B61-A764-E84521A71892}"/>
    <hyperlink ref="W1765" r:id="rId2761" xr:uid="{4964F4FD-1597-410B-8F28-34E2CC9E3D2E}"/>
    <hyperlink ref="W1766" r:id="rId2762" xr:uid="{6F9BDDEE-80CD-4C20-A29E-517C5DEC790C}"/>
    <hyperlink ref="W1767" r:id="rId2763" xr:uid="{AACC8993-F38E-45B0-9B86-B335DB7ED15A}"/>
    <hyperlink ref="W1768" r:id="rId2764" xr:uid="{01E53662-E72E-43FC-8C11-808E0D42928C}"/>
    <hyperlink ref="W1769" r:id="rId2765" xr:uid="{1E1AF525-05C2-4317-AE2C-FCB7AE5A04FA}"/>
    <hyperlink ref="W1770" r:id="rId2766" xr:uid="{D859294F-83C5-4AE1-8628-BEE7ABF1E0A1}"/>
    <hyperlink ref="V1771" r:id="rId2767" xr:uid="{80C85DC1-0D11-4C85-A51B-3AA6B2FD71A9}"/>
    <hyperlink ref="W1771" r:id="rId2768" xr:uid="{CF2A6E54-D7F2-4860-9292-B9768DFCAF2D}"/>
    <hyperlink ref="V1772" r:id="rId2769" xr:uid="{7F45746E-42ED-4B98-A63C-195EB2F5F966}"/>
    <hyperlink ref="V1773" r:id="rId2770" xr:uid="{9E9E8880-72FD-4039-AB59-55FA84E89ED7}"/>
    <hyperlink ref="V1774" r:id="rId2771" xr:uid="{754A2F7F-6A61-4A97-BB8F-9A80343AF20E}"/>
    <hyperlink ref="V1775" r:id="rId2772" xr:uid="{DD1B6D0B-1860-40FF-A35F-3E970D1AEFEA}"/>
    <hyperlink ref="V1776" r:id="rId2773" xr:uid="{C16D1218-4059-4ECB-AC85-6C76C32350CC}"/>
    <hyperlink ref="V1777" r:id="rId2774" xr:uid="{386079B5-AF08-4374-932F-8FCC566CB565}"/>
    <hyperlink ref="V1778" r:id="rId2775" xr:uid="{0C4AF349-91A2-443C-829A-CC4B9BA99E0B}"/>
    <hyperlink ref="V1779" r:id="rId2776" xr:uid="{61C49CD4-05CB-41B5-A0A5-899C36F3B0B7}"/>
    <hyperlink ref="V1780" r:id="rId2777" xr:uid="{0650832B-6050-41DC-BF0B-D60CC7828041}"/>
    <hyperlink ref="V1781" r:id="rId2778" xr:uid="{0D334914-1582-46F1-B3C9-E7F42F443E53}"/>
    <hyperlink ref="V1782" r:id="rId2779" xr:uid="{FA289F25-7AF1-49B4-90B7-64DA0B2A83BF}"/>
    <hyperlink ref="W1772" r:id="rId2780" xr:uid="{66EC4C25-27EB-4559-90A4-A674811D88FF}"/>
    <hyperlink ref="W1773" r:id="rId2781" xr:uid="{348BFF5A-FAA8-4C82-A27B-F7747D141E33}"/>
    <hyperlink ref="W1774" r:id="rId2782" xr:uid="{16C7F7B8-04E5-4236-B60A-D3864EB262FB}"/>
    <hyperlink ref="W1775" r:id="rId2783" xr:uid="{5A41996B-92E0-4D31-B479-1F82CE09902B}"/>
    <hyperlink ref="W1776" r:id="rId2784" xr:uid="{0C91B75F-4B85-4C17-973E-9EBB74F258E3}"/>
    <hyperlink ref="W1777" r:id="rId2785" xr:uid="{ACEDF467-A6E3-4E17-9D9F-DE0B32693E8A}"/>
    <hyperlink ref="W1778" r:id="rId2786" xr:uid="{CDD49831-CAEF-48AD-90BE-6E9EFD6CE390}"/>
    <hyperlink ref="W1779" r:id="rId2787" xr:uid="{76E60469-A1A7-4F8E-B734-582D02CEAF36}"/>
    <hyperlink ref="W1780" r:id="rId2788" xr:uid="{55C3C4CF-8174-4F18-8EDE-1CA6F5CDFB56}"/>
    <hyperlink ref="W1781" r:id="rId2789" xr:uid="{DFEEEF1B-2A9B-4DCF-B9E6-022E0A349248}"/>
    <hyperlink ref="W1782" r:id="rId2790" xr:uid="{B43BE820-80C9-49F5-BF0F-B98AAC8D49C6}"/>
    <hyperlink ref="V1785" r:id="rId2791" xr:uid="{D936DFAF-D44A-4D07-BD5B-5511147E7DFC}"/>
    <hyperlink ref="V1786" r:id="rId2792" xr:uid="{67AD721B-04AE-4BFE-BA7C-5A19769A6C3C}"/>
    <hyperlink ref="V1787" r:id="rId2793" xr:uid="{DBF9DD84-D743-4176-9049-59CAA4935A39}"/>
    <hyperlink ref="V1788" r:id="rId2794" xr:uid="{1E621DA7-96B5-432F-8937-03CBFFB0AED3}"/>
    <hyperlink ref="V1789" r:id="rId2795" xr:uid="{CDED446A-113F-48F1-A9E7-68A4F65D75E0}"/>
    <hyperlink ref="V1790" r:id="rId2796" xr:uid="{A117C3C1-1ED7-4007-BD31-A98E48C5F89F}"/>
    <hyperlink ref="V1791" r:id="rId2797" xr:uid="{0C0D7946-FD53-4CDB-9310-8633084A2177}"/>
    <hyperlink ref="V1792" r:id="rId2798" xr:uid="{82F3A9BB-AECE-43AE-8D85-F139A5794BB2}"/>
    <hyperlink ref="W1785" r:id="rId2799" xr:uid="{4C9C8E34-0F62-4DC7-AD81-EA71ACF7DB01}"/>
    <hyperlink ref="W1786" r:id="rId2800" xr:uid="{B5AA39F1-3EEE-4741-AC78-8FD2BFC19F03}"/>
    <hyperlink ref="W1787" r:id="rId2801" xr:uid="{809F5BE2-4FDC-419C-9C2C-7DA0FA27EDFB}"/>
    <hyperlink ref="W1788" r:id="rId2802" xr:uid="{76F931DB-7D55-47F0-9D45-7B79F45A6B58}"/>
    <hyperlink ref="W1789" r:id="rId2803" xr:uid="{FD1B5407-8C2C-4362-A538-2B0306BC0315}"/>
    <hyperlink ref="W1790" r:id="rId2804" xr:uid="{08548EAF-9834-4169-804B-988BC30FCA8F}"/>
    <hyperlink ref="W1791" r:id="rId2805" xr:uid="{177ABDD8-E267-4F82-B6BC-203BEAEF5E74}"/>
    <hyperlink ref="W1792" r:id="rId2806" xr:uid="{9721525C-CD59-4EB4-88AE-3782A64F91A2}"/>
    <hyperlink ref="V1793" r:id="rId2807" xr:uid="{F7F48032-E2DD-4CAC-8909-A68CB9E9C9A4}"/>
    <hyperlink ref="W1793" r:id="rId2808" xr:uid="{5B7B0452-2F14-49E5-A750-37F3B1648CFC}"/>
    <hyperlink ref="V1794" r:id="rId2809" xr:uid="{4C9841E9-39F7-46F5-B15C-72DEAA11EE93}"/>
    <hyperlink ref="W1794" r:id="rId2810" xr:uid="{47C6F5EA-835F-4B67-94F2-035027D445BC}"/>
    <hyperlink ref="V1795" r:id="rId2811" xr:uid="{02550207-3034-4F51-ACF1-D212F41C54D5}"/>
    <hyperlink ref="W1795" r:id="rId2812" xr:uid="{CB71E020-8562-4706-AD2F-A9E58CEC0730}"/>
    <hyperlink ref="V1796" r:id="rId2813" xr:uid="{405FB90F-D5E2-4589-ABE5-AA545325933D}"/>
    <hyperlink ref="W1796" r:id="rId2814" xr:uid="{572E9C25-2047-445A-9044-0F14DC119D21}"/>
    <hyperlink ref="V1783" r:id="rId2815" xr:uid="{524C2492-9CD1-4D24-A6E9-DC94D657E9B8}"/>
    <hyperlink ref="W1783" r:id="rId2816" xr:uid="{64E50DBA-F09F-4A43-8399-21464C9448F8}"/>
    <hyperlink ref="V1798" r:id="rId2817" xr:uid="{0A78959F-71BE-4374-9EE1-894B554F5311}"/>
    <hyperlink ref="V1799" r:id="rId2818" xr:uid="{5D2775B6-F095-45B3-9669-3DE8A7040078}"/>
    <hyperlink ref="V1800" r:id="rId2819" xr:uid="{65AB20D9-56A4-498A-8855-E7A4D9341361}"/>
    <hyperlink ref="V1801" r:id="rId2820" xr:uid="{1CE31895-9AB7-42EB-8C50-D407111B8971}"/>
    <hyperlink ref="V1802" r:id="rId2821" xr:uid="{DFE14C2E-4458-4B40-8BDB-3B867797C830}"/>
    <hyperlink ref="V1803" r:id="rId2822" xr:uid="{3DE3EB56-D2F4-4A95-B291-82D36E32C91E}"/>
    <hyperlink ref="W1798" r:id="rId2823" xr:uid="{2E8C84FD-361B-4F85-A169-902DEDD26B13}"/>
    <hyperlink ref="W1799" r:id="rId2824" xr:uid="{84747EF2-7913-4925-88EA-D12EC9308B16}"/>
    <hyperlink ref="W1800" r:id="rId2825" xr:uid="{48D64B50-6513-4499-91C0-65673008B013}"/>
    <hyperlink ref="W1801" r:id="rId2826" xr:uid="{FDE72EAE-CB70-4DB1-A1C5-052C7619F8EA}"/>
    <hyperlink ref="W1802" r:id="rId2827" xr:uid="{BE2C96D5-43AF-49FF-854B-52F5C48F1E21}"/>
    <hyperlink ref="W1803" r:id="rId2828" xr:uid="{82263B83-1A8F-4EAB-9407-1C5828177D12}"/>
    <hyperlink ref="V1804" r:id="rId2829" xr:uid="{05ECDC70-2F24-4FD5-9EE1-CE983F834054}"/>
    <hyperlink ref="W1804" r:id="rId2830" xr:uid="{9464F849-A238-4FAB-A6A7-56E21A5FA6F6}"/>
    <hyperlink ref="V1805" r:id="rId2831" xr:uid="{4105932F-A12B-49F6-992A-7ACB8AFFC608}"/>
    <hyperlink ref="W1805" r:id="rId2832" xr:uid="{A3F9BEA4-65F5-4669-9D35-D2BC7B83B04D}"/>
    <hyperlink ref="V1806" r:id="rId2833" xr:uid="{229D51CE-F05B-4A23-AB09-F1C351E16B2D}"/>
    <hyperlink ref="W1806" r:id="rId2834" xr:uid="{A6A49174-08B0-4F6C-B31C-A6EDBB4034E2}"/>
    <hyperlink ref="V1807" r:id="rId2835" xr:uid="{0FE41AC2-2130-422B-9CE0-79A0FA30DD3F}"/>
    <hyperlink ref="W1807" r:id="rId2836" xr:uid="{5B09C039-B547-4558-8D30-D3B72E84A01F}"/>
    <hyperlink ref="V1808" r:id="rId2837" xr:uid="{EB0C9F52-DA26-4AB0-9D2B-4AEC17EBD5A0}"/>
    <hyperlink ref="W1808" r:id="rId2838" xr:uid="{6BB939B7-E5AF-46AF-8AC9-DA23C2C35976}"/>
    <hyperlink ref="V1809" r:id="rId2839" xr:uid="{EA2A6D3E-D884-49BC-B053-F466E67CFECC}"/>
    <hyperlink ref="W1809" r:id="rId2840" xr:uid="{F5508E92-4C0D-4C20-AC41-1F242DA19195}"/>
    <hyperlink ref="V1810" r:id="rId2841" xr:uid="{A7881F57-60FE-42AA-AEA6-5938AE9124AA}"/>
    <hyperlink ref="W1810" r:id="rId2842" xr:uid="{8B0D440C-E88A-497D-B8A2-4CF7D32A08CD}"/>
    <hyperlink ref="V1811" r:id="rId2843" xr:uid="{E21D6375-0B10-471D-9025-A4A61FA37854}"/>
    <hyperlink ref="W1811" r:id="rId2844" xr:uid="{6696EC3E-E1F0-4528-8FA7-0279DE40D786}"/>
    <hyperlink ref="V1913" r:id="rId2845" xr:uid="{1285EBEA-CB6E-45A2-87DA-CA60CCA91E8C}"/>
    <hyperlink ref="V1914" r:id="rId2846" xr:uid="{2AC70CB3-38D0-41D4-8A8E-B62AD4B8F9F9}"/>
    <hyperlink ref="V1915" r:id="rId2847" xr:uid="{FE5402AC-56B4-4046-B007-F0C9A1A5D50B}"/>
    <hyperlink ref="V1916" r:id="rId2848" xr:uid="{93DE8FD1-54A8-458A-BA5F-9180B32732E5}"/>
    <hyperlink ref="V1917" r:id="rId2849" xr:uid="{5557A312-D06C-49C8-ABE5-9A49187D1F66}"/>
    <hyperlink ref="V1918" r:id="rId2850" xr:uid="{93A46FCF-8C7E-4116-AAFF-EC401A3201CB}"/>
    <hyperlink ref="W1913" r:id="rId2851" xr:uid="{523AAD6A-4F8C-4ECD-AB0F-463B3BE45186}"/>
    <hyperlink ref="W1914" r:id="rId2852" xr:uid="{00E1D460-E828-440A-BDAA-8D9547113EBC}"/>
    <hyperlink ref="W1915" r:id="rId2853" xr:uid="{D94AC5E3-6D1A-407E-8294-A2EF421A438F}"/>
    <hyperlink ref="W1916" r:id="rId2854" xr:uid="{D2073A33-8DDA-401D-A6A1-174B44CE2E71}"/>
    <hyperlink ref="W1917" r:id="rId2855" xr:uid="{0A69A2E3-B404-49AD-87C3-6B86DCFDEB7F}"/>
    <hyperlink ref="W1918" r:id="rId2856" xr:uid="{9A927F1F-D11E-4503-9DC6-21D3EC4B3EB1}"/>
    <hyperlink ref="V1919" r:id="rId2857" xr:uid="{B29CE4FE-F327-4084-9682-E6DFCE2180DD}"/>
    <hyperlink ref="W1919" r:id="rId2858" xr:uid="{6FB92992-230E-42D7-9A16-7FE6D29228E9}"/>
    <hyperlink ref="V1920" r:id="rId2859" xr:uid="{E59D0422-C504-4BFE-BABB-7901D47FE749}"/>
    <hyperlink ref="V1921" r:id="rId2860" xr:uid="{40AAF65A-EDA3-4E61-A3E0-FB97C7414651}"/>
    <hyperlink ref="V1922" r:id="rId2861" xr:uid="{FFD42261-D998-4E3D-BE21-BB99B9E64DA4}"/>
    <hyperlink ref="V1923" r:id="rId2862" xr:uid="{E917D209-F142-4BE9-96EE-2C7011495BF7}"/>
    <hyperlink ref="V1924" r:id="rId2863" xr:uid="{A92F5FD1-35E0-4153-9538-C36A48E17695}"/>
    <hyperlink ref="W1920" r:id="rId2864" xr:uid="{92B17D57-C950-4147-BFC0-E4769C01FC31}"/>
    <hyperlink ref="W1921" r:id="rId2865" xr:uid="{915624C5-7FD3-49C8-A37E-7390CCCDBA69}"/>
    <hyperlink ref="W1922" r:id="rId2866" xr:uid="{7141B97A-10D2-47C3-9D03-2061FE38C538}"/>
    <hyperlink ref="W1923" r:id="rId2867" xr:uid="{37844CA9-2C50-4C1C-810A-219C5643E260}"/>
    <hyperlink ref="W1924" r:id="rId2868" xr:uid="{28067BF9-67B5-4CBF-8693-FDE1BE521112}"/>
    <hyperlink ref="V211" r:id="rId2869" xr:uid="{AB375144-A8D2-4390-96DC-6461CE488ACB}"/>
    <hyperlink ref="W211" r:id="rId2870" xr:uid="{783F609E-496D-45CC-982F-E9FEC4050FF6}"/>
    <hyperlink ref="X211" r:id="rId2871" xr:uid="{EEBD786C-FB95-4108-8A5F-2EFB029C0787}"/>
    <hyperlink ref="Y211" r:id="rId2872" xr:uid="{262EE3F8-5EFF-466E-B66E-8DAC17B0A48F}"/>
    <hyperlink ref="AB253" r:id="rId2873" xr:uid="{8F9BB2D2-E20D-4E15-B103-1790B50F7787}"/>
    <hyperlink ref="AB252" r:id="rId2874" xr:uid="{1B211126-72F5-48F6-BE89-FEDA32A33E28}"/>
    <hyperlink ref="Y252" r:id="rId2875" xr:uid="{78E81896-CDAE-42CD-B824-3EE62C241D31}"/>
    <hyperlink ref="W252" r:id="rId2876" xr:uid="{BDD822F5-B89F-4C55-8293-7F373CB6EFC0}"/>
    <hyperlink ref="W253" r:id="rId2877" xr:uid="{B7714851-AD07-478C-8C12-EFF63757A0D0}"/>
    <hyperlink ref="Y253" r:id="rId2878" xr:uid="{18C79A8A-E588-438A-A2B2-C6F8295C39A9}"/>
    <hyperlink ref="V253" r:id="rId2879" xr:uid="{857C8208-14CF-477D-8141-0ABCF5B62787}"/>
    <hyperlink ref="X253" r:id="rId2880" xr:uid="{D80D928D-45EE-4EEE-B913-8A6F18DD918D}"/>
    <hyperlink ref="X252" r:id="rId2881" xr:uid="{864AB9B8-91A2-46A6-B696-6527B0375561}"/>
    <hyperlink ref="V252" r:id="rId2882" xr:uid="{44F6524F-CEA7-4275-BCB2-2830C0B5AFC8}"/>
    <hyperlink ref="W255" r:id="rId2883" xr:uid="{0CDB5E77-E5C6-4381-AE28-080A8CA3BFFF}"/>
    <hyperlink ref="AB255" r:id="rId2884" xr:uid="{0D5E5370-9A24-43A8-9CD2-7AF6412A4F19}"/>
    <hyperlink ref="AB257" r:id="rId2885" xr:uid="{82AA1FBB-00F6-4D8B-A67A-08BD870DE2E2}"/>
    <hyperlink ref="V255" r:id="rId2886" xr:uid="{F49EF6A4-C576-4FE4-A1E3-B0F09464D8BB}"/>
    <hyperlink ref="V257" r:id="rId2887" xr:uid="{27B4428E-309C-44F9-BA96-FCB5B197A865}"/>
    <hyperlink ref="W256" r:id="rId2888" xr:uid="{3DC21A01-77AF-480F-BCBC-6FAA5B340FD4}"/>
    <hyperlink ref="V256" r:id="rId2889" xr:uid="{4EF4534A-855D-4690-BD70-063B4B590CA1}"/>
    <hyperlink ref="AB256" r:id="rId2890" xr:uid="{0D4A52A2-ED8E-445F-9716-15D8EED43BDA}"/>
    <hyperlink ref="X258" r:id="rId2891" xr:uid="{FB5DED1F-7DFA-41E3-86A0-1CF5B9978FA5}"/>
    <hyperlink ref="W258" r:id="rId2892" xr:uid="{125F8A57-4D30-4F8A-AD6C-D582BD9D7ADC}"/>
    <hyperlink ref="AB258" r:id="rId2893" xr:uid="{D565F158-877F-4EBA-8B5D-4FEF2463D0B3}"/>
    <hyperlink ref="V258" r:id="rId2894" xr:uid="{EC41977F-3564-4C4A-BD02-A3CC5EBFA307}"/>
    <hyperlink ref="Y260" r:id="rId2895" xr:uid="{13815B2B-9565-4936-9AA4-0862F048384C}"/>
    <hyperlink ref="X260" r:id="rId2896" xr:uid="{90398D98-F020-43B5-9669-803449BA0103}"/>
    <hyperlink ref="V260" r:id="rId2897" xr:uid="{95417D3C-82C1-44A2-864C-A9A6A43A9940}"/>
    <hyperlink ref="AB260" r:id="rId2898" xr:uid="{32FEAFF3-6810-4EF1-839B-D092B971F0EF}"/>
    <hyperlink ref="Y261" r:id="rId2899" xr:uid="{71DFB2EA-9F7C-4CFA-9BC3-E33924C57F13}"/>
    <hyperlink ref="X261" r:id="rId2900" xr:uid="{594000D8-777E-4D1D-B28C-08471FEF60A0}"/>
    <hyperlink ref="V261" r:id="rId2901" xr:uid="{B81A1B7B-3E49-4A0F-8B67-A23E01EA3D95}"/>
    <hyperlink ref="Y262" r:id="rId2902" xr:uid="{C39821D1-9865-47DE-BC65-C903CCFD0098}"/>
    <hyperlink ref="X262" r:id="rId2903" xr:uid="{BA672EB8-645A-4785-9308-5E5E6D2436FD}"/>
    <hyperlink ref="V262" r:id="rId2904" xr:uid="{C3736EE6-28E4-4F37-A792-6C953956D9C2}"/>
    <hyperlink ref="Y263" r:id="rId2905" xr:uid="{82230FB2-E794-4499-8CA4-3CE79F3C3494}"/>
    <hyperlink ref="X263" r:id="rId2906" xr:uid="{91AB46C4-6C7A-4137-A035-B57997CCA61B}"/>
    <hyperlink ref="V263" r:id="rId2907" xr:uid="{12DC03EF-41DB-4BF1-B32F-48165E8DEE1C}"/>
    <hyperlink ref="Y264" r:id="rId2908" xr:uid="{F578553B-DBD7-4D68-BFBB-37E9232DE627}"/>
    <hyperlink ref="X264" r:id="rId2909" xr:uid="{3D4CCCAB-BCDD-44C4-A81A-A6C9ABEBBE5B}"/>
    <hyperlink ref="V264" r:id="rId2910" xr:uid="{C400DDCB-3F25-4C93-8055-EE07B86271FA}"/>
    <hyperlink ref="Y265" r:id="rId2911" xr:uid="{7F6186C7-BE9B-437C-8F7B-F934560750EF}"/>
    <hyperlink ref="X265" r:id="rId2912" xr:uid="{10E21CD5-0D94-47A6-A89E-35AC8500851C}"/>
    <hyperlink ref="V265" r:id="rId2913" xr:uid="{094AE13D-7528-4B46-A2CA-07DD331B36D0}"/>
    <hyperlink ref="AB261:AB265" r:id="rId2914" display="https://www.vlada.cz/en/media-centrum/tiskove-zpravy/czechia-sends-hundreds-of-heavy-military-systems-worth-tens-of-billions-to-ukraine-during-the-first-year-of-russian-invasion-203252/" xr:uid="{37265BF3-46BA-468D-8A88-8EF40E93A292}"/>
    <hyperlink ref="V269" r:id="rId2915" xr:uid="{B3A19001-B8D4-4F6C-B944-2F541C45C97D}"/>
    <hyperlink ref="W269" r:id="rId2916" xr:uid="{93618493-750B-4E30-9BE6-6C10969FD8D9}"/>
    <hyperlink ref="X269" r:id="rId2917" xr:uid="{90D98FE4-9EDE-4F78-8465-FD24188EF0B2}"/>
    <hyperlink ref="Y269" r:id="rId2918" xr:uid="{7C2D7923-E301-444A-A46F-1A426BA1B3A9}"/>
    <hyperlink ref="AB269" r:id="rId2919" xr:uid="{7A01C8BB-DB4B-421F-97C6-3840E67CB21B}"/>
    <hyperlink ref="V280" r:id="rId2920" xr:uid="{7341F9F7-68B7-485B-8264-B6735831B78B}"/>
    <hyperlink ref="AB280" r:id="rId2921" xr:uid="{07CB0284-51E4-4194-93B4-B41157137A7B}"/>
    <hyperlink ref="W280" r:id="rId2922" xr:uid="{BF233BA4-6F38-4D05-95D5-FACAF6C458DE}"/>
    <hyperlink ref="X280" r:id="rId2923" xr:uid="{353D5FF8-4106-4174-9450-F4D3C5A330A8}"/>
    <hyperlink ref="Y280" r:id="rId2924" xr:uid="{CBFA5377-460F-49FA-8760-FC6185303229}"/>
    <hyperlink ref="V284" r:id="rId2925" xr:uid="{5B8217E5-74A9-46C1-8489-14C0DD1807FC}"/>
    <hyperlink ref="W284" r:id="rId2926" xr:uid="{87FA5F03-22B5-40AA-81A3-30B99F37D985}"/>
    <hyperlink ref="X284" r:id="rId2927" xr:uid="{74E58B13-68C9-4F8A-981A-92B50ED3CD3C}"/>
    <hyperlink ref="V285" r:id="rId2928" xr:uid="{C1EFE55E-F1DB-48AB-B16C-D4CDF75AC0DB}"/>
    <hyperlink ref="W285" r:id="rId2929" xr:uid="{D4C07C07-3E0D-49B6-8EE0-85634A828451}"/>
    <hyperlink ref="X285" r:id="rId2930" xr:uid="{076D7172-0853-4B25-BE4D-4BD96ECDB8F2}"/>
    <hyperlink ref="V283" r:id="rId2931" xr:uid="{88B43DCE-5463-4BF7-9F75-7CBC2DF480E4}"/>
    <hyperlink ref="W283" r:id="rId2932" xr:uid="{52FF84A8-3A7B-4A4B-84CD-D855CA6750A6}"/>
    <hyperlink ref="W286" r:id="rId2933" xr:uid="{381E6B5C-8755-44EA-95AF-84A8055CF33F}"/>
    <hyperlink ref="X286" r:id="rId2934" xr:uid="{C63D0514-E6B8-4C52-A399-FB8801BF845C}"/>
    <hyperlink ref="V286" r:id="rId2935" xr:uid="{BA2705A7-6DE3-4913-BC10-B84459E6E4C0}"/>
    <hyperlink ref="AB284" r:id="rId2936" xr:uid="{9D487F0F-250B-4616-BB40-99BEEFE2EF38}"/>
    <hyperlink ref="AB285" r:id="rId2937" xr:uid="{45C34A42-13EE-4169-A0E7-A67C7B82C987}"/>
    <hyperlink ref="V369" r:id="rId2938" xr:uid="{CBEEA99E-B3D4-4061-B1AF-98A0AC09E6B4}"/>
    <hyperlink ref="W369" r:id="rId2939" xr:uid="{735EFC52-2EAF-496E-AD0C-56A8EB174A36}"/>
    <hyperlink ref="X369" r:id="rId2940" xr:uid="{746D5169-3BD2-4B57-97C4-0BE12D633FDF}"/>
    <hyperlink ref="Y369" r:id="rId2941" xr:uid="{FC0E87C9-CF84-4BBF-A444-E48DFF785BE3}"/>
    <hyperlink ref="V370" r:id="rId2942" xr:uid="{94E3047D-1A1F-4D3F-890B-0D889AD72B99}"/>
    <hyperlink ref="W370" r:id="rId2943" xr:uid="{DE91D04A-F102-4608-B654-298BAC199FBF}"/>
    <hyperlink ref="X370" r:id="rId2944" xr:uid="{47BA2993-E349-4E02-8E4E-353B46CE604F}"/>
    <hyperlink ref="Y370" r:id="rId2945" xr:uid="{FCFF729B-3242-41D2-AEF6-BADC6138F4CC}"/>
    <hyperlink ref="V371" r:id="rId2946" xr:uid="{AE39B8A7-D813-4373-A9BC-00FBC10CCD0A}"/>
    <hyperlink ref="W371" r:id="rId2947" xr:uid="{866D0234-B669-4232-8F4C-1B0327CFAFDB}"/>
    <hyperlink ref="X371" r:id="rId2948" xr:uid="{6331C353-53A1-4FED-8851-E52D3D53DAEF}"/>
    <hyperlink ref="Y371" r:id="rId2949" xr:uid="{0883A1D7-F713-444D-BEDE-63369E777F86}"/>
    <hyperlink ref="V372" r:id="rId2950" xr:uid="{36FD364E-47F1-49F3-B274-E65457882539}"/>
    <hyperlink ref="W372" r:id="rId2951" xr:uid="{5ECCC622-CD19-4F20-8316-2B396C3F8F2B}"/>
    <hyperlink ref="X372" r:id="rId2952" xr:uid="{8A252BD1-214A-4795-B7BE-968924CCFB90}"/>
    <hyperlink ref="Y372" r:id="rId2953" xr:uid="{0ABE7AA8-0247-41C9-87CB-4054A3502C41}"/>
    <hyperlink ref="V373" r:id="rId2954" xr:uid="{49293F6D-5AC8-4740-94D4-E5A1301B90A8}"/>
    <hyperlink ref="W373" r:id="rId2955" xr:uid="{97DDE386-FB19-4ED0-9273-8D2CF85EFE52}"/>
    <hyperlink ref="X373" r:id="rId2956" xr:uid="{665FAB26-2A4E-45DC-A479-8E3DEB02C1EA}"/>
    <hyperlink ref="Y373" r:id="rId2957" xr:uid="{64425000-7A97-4A51-A201-5F6D5786CB52}"/>
    <hyperlink ref="V482" r:id="rId2958" xr:uid="{886EF649-1E4B-4E2B-8124-E78A1A10DCC5}"/>
    <hyperlink ref="Y482" r:id="rId2959" xr:uid="{8636F792-02DC-4A80-A984-71ED59860E90}"/>
    <hyperlink ref="X482" r:id="rId2960" xr:uid="{33AE448F-3029-4F1D-928C-48273792AC1B}"/>
    <hyperlink ref="W482" r:id="rId2961" xr:uid="{CCE7E4D4-DEDF-4742-A2D3-14F3D803551F}"/>
    <hyperlink ref="V496" r:id="rId2962" xr:uid="{EF68ECD4-B0B2-4659-A9DF-2545C451618C}"/>
    <hyperlink ref="X496" r:id="rId2963" xr:uid="{8A5CA884-027C-492A-AA0D-BCDAA22263A4}"/>
    <hyperlink ref="Y496" r:id="rId2964" xr:uid="{B88EF457-E729-456E-841C-8B7C6D37AEEA}"/>
    <hyperlink ref="V497" r:id="rId2965" xr:uid="{07EF6B01-C915-4059-A9CE-650B290A9D7C}"/>
    <hyperlink ref="W497" r:id="rId2966" xr:uid="{788B459F-2DA8-461F-A560-E13CD2D28CAF}"/>
    <hyperlink ref="X497" r:id="rId2967" xr:uid="{73DEE5EB-99BE-4C5E-A3E0-6128DCC22001}"/>
    <hyperlink ref="Y497" r:id="rId2968" xr:uid="{CA11C36C-2433-4FE4-831D-60A47EA7B175}"/>
    <hyperlink ref="AB630" r:id="rId2969" display="https://www.bundesregierung.de/breg-en/news/military-support-ukraine-2054992" xr:uid="{9AF60429-19E5-4255-8DB3-DDC10CF61A54}"/>
    <hyperlink ref="AB535" r:id="rId2970" display="https://www.bundesregierung.de/breg-en/news/military-support-ukraine-2054992" xr:uid="{C0C791BF-6645-4D14-8D3F-6C9069F68409}"/>
    <hyperlink ref="V724" r:id="rId2971" xr:uid="{96608CCF-4F16-40F4-9A69-DBF530AFC204}"/>
    <hyperlink ref="W724" r:id="rId2972" xr:uid="{318DD997-487A-4C65-91DE-E046D817AC34}"/>
    <hyperlink ref="X724" r:id="rId2973" xr:uid="{F643DA19-9E3A-4FD8-B568-9292A1CE0B72}"/>
    <hyperlink ref="Y724" r:id="rId2974" xr:uid="{A4C5FB0A-3599-4CF1-BFEF-F4D11419304F}"/>
    <hyperlink ref="AB724" r:id="rId2975" xr:uid="{DF21D82D-6DF7-4E17-AE28-BB2AC89642E1}"/>
    <hyperlink ref="V808" r:id="rId2976" xr:uid="{78B13E27-6A51-4A4A-9D99-22AA126A20C8}"/>
    <hyperlink ref="W808" r:id="rId2977" xr:uid="{99700925-5AB4-498A-B165-C2D10B258E60}"/>
    <hyperlink ref="X808" r:id="rId2978" xr:uid="{22CC1B0D-F991-456F-A569-30C3F1CCCEC5}"/>
    <hyperlink ref="Y808" r:id="rId2979" xr:uid="{DF3E6C46-93C2-4D44-B4B5-EC86963A254D}"/>
    <hyperlink ref="V809" r:id="rId2980" xr:uid="{11D1B6AA-747D-4063-BD48-13EF6555309F}"/>
    <hyperlink ref="W809" r:id="rId2981" xr:uid="{58BAAC81-1FD9-41DF-9481-16E163185BF5}"/>
    <hyperlink ref="X809" r:id="rId2982" xr:uid="{50CD470F-1CB3-46EB-9F17-F7072677EE1A}"/>
    <hyperlink ref="Y809" r:id="rId2983" xr:uid="{0DCB2A6D-1961-4202-8B20-D35AAD15CF49}"/>
    <hyperlink ref="V963" r:id="rId2984" xr:uid="{228D3033-48B9-4886-BF20-10F52E9C7D35}"/>
    <hyperlink ref="W963" r:id="rId2985" xr:uid="{C2AF7980-38E1-4056-B7E1-7000609E7AF9}"/>
    <hyperlink ref="X963" r:id="rId2986" xr:uid="{2454B641-2F50-4F74-93D9-E8F1064767E9}"/>
    <hyperlink ref="V964" r:id="rId2987" xr:uid="{02C3AACB-29C7-422D-8A7A-8A5297FF65DA}"/>
    <hyperlink ref="W964" r:id="rId2988" xr:uid="{0DDEA66F-99B5-4F41-AFCC-72746A4B4786}"/>
    <hyperlink ref="X964" r:id="rId2989" xr:uid="{6BBB05DC-F61D-4B07-81A9-2BE9B3CC2CD0}"/>
    <hyperlink ref="V1151" r:id="rId2990" xr:uid="{FC0E9FAD-EB9C-4822-8F1E-5AFE96D86024}"/>
    <hyperlink ref="W1151" r:id="rId2991" xr:uid="{673D2EE7-DBA3-4A92-8EBC-87B9ECD2A068}"/>
    <hyperlink ref="X1151" r:id="rId2992" location="89685" xr:uid="{F31021CE-C838-4318-8653-137DEF13D303}"/>
    <hyperlink ref="Y1151" r:id="rId2993" xr:uid="{A8F763A6-5A26-4B8E-B627-CFB218674A70}"/>
    <hyperlink ref="V1152" r:id="rId2994" xr:uid="{EFC49E07-6C0E-42DB-B795-C4A9432E8287}"/>
    <hyperlink ref="W1152" r:id="rId2995" xr:uid="{5426D4AA-417B-4D07-9BB9-EC37321DC10A}"/>
    <hyperlink ref="X1152" r:id="rId2996" location="89685" xr:uid="{7F29DCFF-CBC3-435B-B59B-85C5E698AEAD}"/>
    <hyperlink ref="Y1152" r:id="rId2997" xr:uid="{98612532-55EE-4FD5-9ADF-6AEA55FC3F11}"/>
    <hyperlink ref="V1153" r:id="rId2998" xr:uid="{DA2CDB97-1BAA-4D1C-B237-671A8B417820}"/>
    <hyperlink ref="W1153" r:id="rId2999" xr:uid="{E4097454-546E-4022-AB78-9FAF2DFC2C6B}"/>
    <hyperlink ref="X1153" r:id="rId3000" location="89685" xr:uid="{84AF58DE-173A-4303-94DA-932DADA45663}"/>
    <hyperlink ref="Y1153" r:id="rId3001" xr:uid="{84FBFE0D-BC3E-4EBB-82DC-AC30C44680F1}"/>
    <hyperlink ref="V1154" r:id="rId3002" xr:uid="{E1811AC0-3077-488D-A9E1-3A1EE33A3F05}"/>
    <hyperlink ref="W1154" r:id="rId3003" xr:uid="{4188D372-CEFF-4F52-8D0B-638663BB8685}"/>
    <hyperlink ref="X1154" r:id="rId3004" location="89685" xr:uid="{423ADA3B-0049-4C68-A743-AF8D13815E0C}"/>
    <hyperlink ref="Y1154" r:id="rId3005" xr:uid="{3E6191BB-6344-4468-8141-7867C5F87F24}"/>
    <hyperlink ref="V1155" r:id="rId3006" xr:uid="{44F0631C-08F1-4931-9097-A54E9B2568A8}"/>
    <hyperlink ref="W1155" r:id="rId3007" xr:uid="{BA495DBB-6873-40E1-84E7-15EEFEABE838}"/>
    <hyperlink ref="X1155" r:id="rId3008" xr:uid="{CF5B1807-FA17-46B8-9FB5-19BC310A751A}"/>
    <hyperlink ref="V1211" r:id="rId3009" xr:uid="{F6A75B30-D68F-4D1A-BEC1-097FCFFD2661}"/>
    <hyperlink ref="V1238" r:id="rId3010" xr:uid="{130D7F91-AFC2-43AB-8CAF-7E408A9E7155}"/>
    <hyperlink ref="W1238" r:id="rId3011" xr:uid="{09B3E441-66F9-41A8-BEB8-6E2B3434243D}"/>
    <hyperlink ref="V1239" r:id="rId3012" xr:uid="{03278E49-D60E-4C5C-9E0B-6B1B114AFF28}"/>
    <hyperlink ref="W1239" r:id="rId3013" xr:uid="{5A85621E-20FC-4FFC-A530-6CA2B85A85E1}"/>
    <hyperlink ref="AB1238" r:id="rId3014" xr:uid="{DEDF1197-FE9E-4A37-B690-B43C0922433B}"/>
    <hyperlink ref="AB1239" r:id="rId3015" xr:uid="{5A608384-BEE8-4E8B-B13A-900EBE8CFCBD}"/>
    <hyperlink ref="W213" r:id="rId3016" xr:uid="{9E8FB768-167F-4D7E-B38A-11C8B12F7F5C}"/>
    <hyperlink ref="W222" r:id="rId3017" xr:uid="{2B27CDD8-7931-4890-975C-3ACB9DEC9D99}"/>
    <hyperlink ref="W223" r:id="rId3018" xr:uid="{69DC1888-CEBE-40DF-8007-8AC73C07A733}"/>
    <hyperlink ref="X1148" r:id="rId3019" xr:uid="{93F6A956-AF43-4CF1-9CAD-729E220FE0BE}"/>
    <hyperlink ref="X130" r:id="rId3020" xr:uid="{E86DC247-C834-410A-9234-DF771B3A87B5}"/>
    <hyperlink ref="X125" r:id="rId3021" xr:uid="{7E288A14-DA85-444A-A1A1-950E2B49CC38}"/>
    <hyperlink ref="X126:X129" r:id="rId3022" display="https://sofiaglobe.com/2022/12/20/mod-bulgaria-has-given-close-to-half-a-billion-leva-humanitarian-aid-to-ukraine/" xr:uid="{992920B1-BEB3-4F78-BE60-2303BDF91654}"/>
    <hyperlink ref="X485" r:id="rId3023" xr:uid="{AF89064F-5B72-43BF-8761-94B6641CC369}"/>
    <hyperlink ref="Y485" r:id="rId3024" xr:uid="{342DC03C-92C7-4DA8-8585-91242CC16B28}"/>
    <hyperlink ref="V212" r:id="rId3025" xr:uid="{AAB65E16-0726-453C-9EFF-6B75D1B862B1}"/>
    <hyperlink ref="W66" r:id="rId3026" xr:uid="{296A9C77-8381-4687-B0AD-9497C5BDCC73}"/>
    <hyperlink ref="W428" r:id="rId3027" xr:uid="{AC739AF3-D4EA-4A05-80A5-18E87D37282A}"/>
    <hyperlink ref="W872:W876" r:id="rId3028" location=":~:text=Latvian%20military%20aid%20to%20Ukraine,National%20Alliance)%20said%20January%2023." display="https://eng.lsm.lv/article/society/defense/murniece-latvia-has-sent-1-of-gdp-in-military-aid-to-ukraine.a492541/#:~:text=Latvian%20military%20aid%20to%20Ukraine,National%20Alliance)%20said%20January%2023." xr:uid="{1757E71A-CB0C-4639-93E5-D3BE79DFDDE0}"/>
    <hyperlink ref="X872:X876" r:id="rId3029" display="https://www.gov.uk/government/news/joint-statement-the-tallinn-pledge" xr:uid="{9EF48473-DBE3-474E-AEF4-25AA554FC244}"/>
    <hyperlink ref="V871" r:id="rId3030" xr:uid="{67F1B72A-DDF6-46EB-A786-1410140CAEF0}"/>
    <hyperlink ref="V872:V876" r:id="rId3031" display="https://www.mod.gov.lv/lv/zinas/i-murniece-kijiva-tiekas-ar-ukrainas-aizsardzibas-ministru" xr:uid="{C0497F4A-E48E-404C-BD2E-0E655B1D34A5}"/>
    <hyperlink ref="V911" r:id="rId3032" xr:uid="{B3B0A5A3-10CC-4B86-8A67-602DBDD8CEDF}"/>
    <hyperlink ref="V914" r:id="rId3033" xr:uid="{8EC5EAA3-C94C-48C1-B584-D6592E1B91E5}"/>
    <hyperlink ref="AB908" r:id="rId3034" xr:uid="{90703742-2873-4952-AB9D-3F43A2C110F9}"/>
    <hyperlink ref="V992" r:id="rId3035" xr:uid="{6F555AFF-0AF9-4E58-8F88-FE931EA51604}"/>
    <hyperlink ref="V993" r:id="rId3036" xr:uid="{EE59A1F9-C886-43C8-8636-0E5F81E2C628}"/>
    <hyperlink ref="V994" r:id="rId3037" xr:uid="{193E730F-7B3D-429B-9534-7EAB58CF8D64}"/>
    <hyperlink ref="W992" r:id="rId3038" xr:uid="{B4FD0F6A-919D-4D56-B75E-A488D2265C68}"/>
    <hyperlink ref="V1123" r:id="rId3039" xr:uid="{621D0B4A-4F5C-43EB-B698-1FDD27ABF02D}"/>
    <hyperlink ref="V1124:V1126" r:id="rId3040" display="https://twitter.com/ZelenskyyUa/status/1618903893085388800" xr:uid="{91C40DF6-2650-4BC0-B8AF-C3EEC6F59BFA}"/>
    <hyperlink ref="W1123" r:id="rId3041" xr:uid="{F6E82BD4-C1B9-4A9F-9E3B-74662152045F}"/>
    <hyperlink ref="W1124:W1126" r:id="rId3042" display="https://www.reuters.com/world/europe/poland-send-60-modernised-tanks-ukraine-addition-leopards-2023-01-27/" xr:uid="{C95D7A5C-BBEA-4084-A4B0-560FF4724B06}"/>
    <hyperlink ref="AB1263" r:id="rId3043" xr:uid="{C5778938-1F57-4EEC-A056-76E9EB9241A3}"/>
    <hyperlink ref="V1368" r:id="rId3044" xr:uid="{1E5EC338-47E6-4B98-AE11-665B305F8351}"/>
    <hyperlink ref="X1420" r:id="rId3045" xr:uid="{45FC3439-8456-4EEB-957E-F2C0ACABF3EE}"/>
    <hyperlink ref="X1421:X1429" r:id="rId3046" display="https://www.gov.uk/government/news/joint-statement-the-tallinn-pledge?utm_source=miragenews&amp;utm_medium=miragenews&amp;utm_campaign=news" xr:uid="{3486506E-985D-4C25-A9FD-2BEF2ECC3CB4}"/>
    <hyperlink ref="Y871" r:id="rId3047" xr:uid="{E5EEF251-918A-4784-961B-C57CCA427C13}"/>
    <hyperlink ref="Y872" r:id="rId3048" xr:uid="{00B60783-FCC4-46FA-A5AE-09571422AB90}"/>
    <hyperlink ref="Y873" r:id="rId3049" xr:uid="{6754AF1E-7D94-4404-8DD5-9727577AA2B3}"/>
    <hyperlink ref="Y874" r:id="rId3050" xr:uid="{0074AFF5-C5FF-4AAC-A663-DC765D3ED2F6}"/>
    <hyperlink ref="Y875" r:id="rId3051" xr:uid="{12AF380D-5133-440B-B2DF-06D5CBB9D6BE}"/>
    <hyperlink ref="Y876" r:id="rId3052" xr:uid="{FE72D6D9-6DF9-471E-BF56-ABA24D07EF89}"/>
    <hyperlink ref="X908" r:id="rId3053" xr:uid="{EC1A0D52-001B-408E-ACB5-82CBE754F7BF}"/>
    <hyperlink ref="W909" r:id="rId3054" xr:uid="{1C3090F0-DB94-4CF2-B568-1A7CF42938FC}"/>
    <hyperlink ref="X909" r:id="rId3055" xr:uid="{CDC2BBA6-B335-4A8E-8D1C-61BB3AC3ECD0}"/>
    <hyperlink ref="W910" r:id="rId3056" xr:uid="{8EC0792F-191A-4ABA-82C9-D7806456FF1A}"/>
    <hyperlink ref="X910" r:id="rId3057" xr:uid="{524A1035-9362-45FF-BECE-B2E744978CDA}"/>
    <hyperlink ref="W911" r:id="rId3058" xr:uid="{4E07BDA6-6BB9-4EE6-B5D2-EEDFC8D6A482}"/>
    <hyperlink ref="X911" r:id="rId3059" xr:uid="{7E7BFE76-6C44-4725-8A58-38DC22C86EC9}"/>
    <hyperlink ref="W912" r:id="rId3060" xr:uid="{9FC88579-AB07-4609-98A5-23804615D345}"/>
    <hyperlink ref="X912" r:id="rId3061" xr:uid="{D8E0028D-D045-4C66-903B-E9F490022DF1}"/>
    <hyperlink ref="W913" r:id="rId3062" xr:uid="{1ABBE4B4-DE85-4934-86BF-B18ED80B584B}"/>
    <hyperlink ref="X913" r:id="rId3063" xr:uid="{1A6B8C18-400A-495A-B61D-54F491204A0B}"/>
    <hyperlink ref="W914" r:id="rId3064" xr:uid="{96D07B9D-0D18-45CA-A878-3EC287A6A13E}"/>
    <hyperlink ref="X914" r:id="rId3065" xr:uid="{AD332BAB-3604-4D4B-8558-12A0AA029D88}"/>
    <hyperlink ref="AB945" r:id="rId3066" xr:uid="{CEA2D419-A006-4D84-8429-8BEC836FBA04}"/>
    <hyperlink ref="W945" r:id="rId3067" xr:uid="{28D41F49-0E30-4F05-89A9-74621787F45D}"/>
    <hyperlink ref="AB995" r:id="rId3068" display="https://www.defensie.nl/onderwerpen/oostflank-navo-gebied/militaire-steun-aan-oekraine" xr:uid="{4A13F443-5F5A-479B-8A1F-F75DF5C25944}"/>
    <hyperlink ref="X995" r:id="rId3069" xr:uid="{4D7269EE-D5AA-4288-9F19-E6ECE4AEE23D}"/>
    <hyperlink ref="V995" r:id="rId3070" xr:uid="{4A26822F-C3A1-4B76-A3F9-D37AD0F2382F}"/>
    <hyperlink ref="Y1118" r:id="rId3071" xr:uid="{042792A0-77CB-414C-AF3C-9BD5DDCDEB55}"/>
    <hyperlink ref="AB1121" r:id="rId3072" location=":~:text=WARSAW%2C%20Feb%2024%20(Reuters),Europe%20stand%20by%20your%20side." display="https://www.reuters.com/world/europe/polish-leopard-tanks-are-already-ukraine-defence-minister-says-2023-02-24/#:~:text=WARSAW%2C%20Feb%2024%20(Reuters),Europe%20stand%20by%20your%20side." xr:uid="{49D204EA-DABC-4003-8C69-0FBE29AAE229}"/>
    <hyperlink ref="X1121" r:id="rId3073" location=":~:text=WARSAW%2C%20Feb%2024%20(Reuters),Europe%20stand%20by%20your%20side." xr:uid="{3B778CC8-27DA-4AEB-B970-203422960025}"/>
    <hyperlink ref="V1121" r:id="rId3074" xr:uid="{13C19C7C-BA92-45C6-8CFA-F2944399FA13}"/>
    <hyperlink ref="W1121" r:id="rId3075" xr:uid="{E99D5E14-303C-4CC0-9590-9A262C4219D1}"/>
    <hyperlink ref="X1122" r:id="rId3076" location=":~:text=WARSAW%2C%20Feb%2024%20(Reuters),Europe%20stand%20by%20your%20side." xr:uid="{EDD43C10-16C7-4CBC-8DC5-BA6C9AA84414}"/>
    <hyperlink ref="AB1122" r:id="rId3077" location=":~:text=WARSAW%2C%20Feb%2024%20(Reuters),Europe%20stand%20by%20your%20side." xr:uid="{A313D6B6-DB80-49D4-890C-F98ADA3E0AF0}"/>
    <hyperlink ref="V1122" r:id="rId3078" xr:uid="{2FDDB8D8-5240-48FE-81A7-F81C7BA37296}"/>
    <hyperlink ref="W1122" r:id="rId3079" xr:uid="{22BD3F24-5FCB-482E-90B4-23565AE04EB7}"/>
    <hyperlink ref="V923" r:id="rId3080" xr:uid="{FD47B019-985F-4EE8-8CA6-ED716AFBBF30}"/>
    <hyperlink ref="V1028" r:id="rId3081" xr:uid="{4BE63CAB-CF8A-4C6E-8A0C-CBB718D33802}"/>
    <hyperlink ref="W1028" r:id="rId3082" xr:uid="{22EF77EE-B137-4653-A2B9-E846C4282E7A}"/>
    <hyperlink ref="X927" r:id="rId3083" xr:uid="{A1B0B4A7-AC18-4991-B7DE-D9A6EC776363}"/>
    <hyperlink ref="V927" r:id="rId3084" xr:uid="{145741EF-9AE5-4228-9410-26BE72580E9F}"/>
    <hyperlink ref="W927" r:id="rId3085" xr:uid="{BB9E7E39-C9C7-4C04-BC61-40CC51E52373}"/>
    <hyperlink ref="W139" r:id="rId3086" xr:uid="{2F28FFA3-B698-4E67-AF65-CEA6A95D7916}"/>
    <hyperlink ref="V139" r:id="rId3087" xr:uid="{36788578-76C7-4BEB-A398-DDB5CD95DCAE}"/>
    <hyperlink ref="V119" r:id="rId3088" xr:uid="{63B2EC60-FE97-44EA-BCB5-15F82AD885B7}"/>
    <hyperlink ref="W119" r:id="rId3089" xr:uid="{D8E471C4-1789-45E0-AFA6-56FF7A73B502}"/>
    <hyperlink ref="X119" r:id="rId3090" xr:uid="{C31E0800-203A-44FA-9669-3A9A2103B91F}"/>
    <hyperlink ref="Y1282" r:id="rId3091" xr:uid="{070A3E4F-DDDD-49BE-B22A-3F4EB531B871}"/>
    <hyperlink ref="Y1283" r:id="rId3092" xr:uid="{FBDCBEDA-7679-4919-A130-0632B528FD96}"/>
    <hyperlink ref="V1282" r:id="rId3093" xr:uid="{48398FFB-1646-44F5-AEA8-D32D8525597A}"/>
    <hyperlink ref="V1283" r:id="rId3094" xr:uid="{BCBF6461-699B-4880-B25D-1BD94D443AC1}"/>
    <hyperlink ref="X1282" r:id="rId3095" xr:uid="{88DFDE99-DF50-4813-B195-794252D3654A}"/>
    <hyperlink ref="X1283" r:id="rId3096" xr:uid="{05CC5600-AFFB-41B6-892E-FDEB0A55DDB5}"/>
    <hyperlink ref="W1284" r:id="rId3097" xr:uid="{44983366-51E6-4DA0-9FD6-DC8403A40A53}"/>
    <hyperlink ref="V1284" r:id="rId3098" xr:uid="{EA647505-187E-44DF-A0E3-633468F8F573}"/>
    <hyperlink ref="X1284" r:id="rId3099" xr:uid="{2A776EA3-AAB1-4A26-A49E-325B1C5238E4}"/>
    <hyperlink ref="V985" r:id="rId3100" xr:uid="{7E15A8AE-0223-4366-AF7E-CB047F898A58}"/>
    <hyperlink ref="AB991" r:id="rId3101" display="https://www.defensie.nl/onderwerpen/oostflank-navo-gebied/militaire-steun-aan-oekraine" xr:uid="{3CAFAEB1-5217-444A-8056-3D78819FA2A5}"/>
    <hyperlink ref="X991" r:id="rId3102" xr:uid="{DAB7FF7B-4BBC-40FD-B8D0-999FCA931FB9}"/>
    <hyperlink ref="V991" r:id="rId3103" xr:uid="{15C1A191-C87B-4ECE-94C5-4BB009E7A7B6}"/>
    <hyperlink ref="W991" r:id="rId3104" xr:uid="{295B7657-6EB1-4C00-BA9E-C007A26CDA1F}"/>
    <hyperlink ref="V1031" r:id="rId3105" xr:uid="{39D08BCC-C40A-4CDA-B044-4E8AB88F1CA6}"/>
    <hyperlink ref="W1031" r:id="rId3106" xr:uid="{F6698B41-F3BF-4435-9BAA-5C81EECF3453}"/>
    <hyperlink ref="V1025" r:id="rId3107" xr:uid="{A8353921-5A33-4CCB-A3C5-52AF32016CFB}"/>
    <hyperlink ref="W1025" r:id="rId3108" xr:uid="{F316E076-79D9-4BB2-B0D5-38E1E55BE8B5}"/>
    <hyperlink ref="Y1098" r:id="rId3109" xr:uid="{A07AFE1D-464A-4DC9-9F9D-068E9B780106}"/>
    <hyperlink ref="V1165" r:id="rId3110" xr:uid="{B230AEB6-4FF2-4F2C-BB36-400F1E2E3FF6}"/>
    <hyperlink ref="W1165" r:id="rId3111" xr:uid="{4E4355C5-1AD9-43CA-96F4-A72CB4326524}"/>
    <hyperlink ref="X1165" r:id="rId3112" xr:uid="{D7C05367-0AC9-4044-9BF5-1BB3F7A66FDE}"/>
    <hyperlink ref="V1327" r:id="rId3113" xr:uid="{C87EA8D0-E250-4C1F-A549-0CDF6EFAB46D}"/>
    <hyperlink ref="W1327" r:id="rId3114" location=":~:text=The%20Swiss%20government%20has%20promised,infrastructure%20damaged%20by%20the%20war." xr:uid="{0CB4C30D-3DFF-4FE1-A8E7-69EC16826B4F}"/>
    <hyperlink ref="X1327" r:id="rId3115" xr:uid="{6AB40255-4C08-4CB9-A44F-C2354D06C1FA}"/>
    <hyperlink ref="V1328" r:id="rId3116" xr:uid="{13FEC894-25BF-4603-B02C-E9C56900FC81}"/>
    <hyperlink ref="W1328" r:id="rId3117" location=":~:text=The%20Swiss%20government%20has%20promised,infrastructure%20damaged%20by%20the%20war." xr:uid="{62F2CB3B-FB33-4C53-9A2B-ACDB3BB47BA5}"/>
    <hyperlink ref="X1328" r:id="rId3118" xr:uid="{3558A951-2CA9-4899-B1FF-434F30BBF95B}"/>
    <hyperlink ref="W260" r:id="rId3119" xr:uid="{54D82BC2-49AE-4014-A1E2-D0E6A74FF046}"/>
    <hyperlink ref="W261:W265" r:id="rId3120" display="https://mocr.army.cz/informacni-servis/zpravodajstvi/jednani-ministryne-s-ceskymi-zbrojari--ocenuji-podporu-exportu-i-ceskych-zakazek-239387/" xr:uid="{89AB1014-E3CF-4C48-9F1C-AC01A0F7B64F}"/>
    <hyperlink ref="V213" r:id="rId3121" xr:uid="{9540C998-2DC8-4A17-BDEC-C0F82AF70166}"/>
    <hyperlink ref="W206" r:id="rId3122" xr:uid="{0157A137-F986-40AC-BF44-73B2A97F13C5}"/>
    <hyperlink ref="V206" r:id="rId3123" xr:uid="{83DDE5E1-6222-4059-B346-29F6BAD0BCF9}"/>
    <hyperlink ref="V207" r:id="rId3124" xr:uid="{9CA62BA2-85AA-4EFB-B231-9DA6CCC28E7D}"/>
    <hyperlink ref="W207" r:id="rId3125" xr:uid="{25463120-2FED-4FD8-8BE0-15423042E4ED}"/>
    <hyperlink ref="V208" r:id="rId3126" xr:uid="{F39D235A-E989-4022-A3CD-588960A0A5F5}"/>
    <hyperlink ref="W208" r:id="rId3127" display="https://frontnews.eu/en/news/details/48264" xr:uid="{93791B52-CA29-49BD-915E-8C75EB1DEBE7}"/>
    <hyperlink ref="V725" r:id="rId3128" xr:uid="{DC43AEE9-2427-401E-AD1F-682E5EC37355}"/>
    <hyperlink ref="W725" r:id="rId3129" xr:uid="{06BA9A77-D151-4C45-9BF3-92964CA7EAC6}"/>
    <hyperlink ref="X725" r:id="rId3130" xr:uid="{A769A8C7-6446-43F2-B6DE-F23CE620367B}"/>
    <hyperlink ref="Y725" r:id="rId3131" xr:uid="{A68D9101-932D-44BF-B788-4DD385E93154}"/>
    <hyperlink ref="AB725" r:id="rId3132" xr:uid="{C30C5C68-93F6-4DDE-8884-45AAF74CEE22}"/>
    <hyperlink ref="X1159" r:id="rId3133" xr:uid="{548EE73A-EB89-467A-838D-F9BEB9740820}"/>
    <hyperlink ref="V706" r:id="rId3134" xr:uid="{88D6CA79-1846-4E81-B348-2C791BC467B6}"/>
    <hyperlink ref="V149" r:id="rId3135" xr:uid="{5459A41D-27D3-4256-AFFF-33C5063D1F67}"/>
    <hyperlink ref="W149" r:id="rId3136" xr:uid="{6EA24AC5-F0A3-490D-94CD-249DE963ED45}"/>
    <hyperlink ref="V188" r:id="rId3137" xr:uid="{E3004866-C1E2-47B3-8989-A9357BEFA107}"/>
    <hyperlink ref="AB188" r:id="rId3138" display="https://www.canada.ca/en/department-national-defence/campaigns/canadian-military-support-to-ukraine.html" xr:uid="{A1F1F542-9F40-4E8D-9B6C-6901D63112C2}"/>
    <hyperlink ref="W188" r:id="rId3139" xr:uid="{2869DC71-F725-4F6B-88F8-E040574D9C8C}"/>
    <hyperlink ref="V1981" r:id="rId3140" xr:uid="{4F5E13CB-FDD3-44D0-AC4F-03BB84983EDB}"/>
    <hyperlink ref="X1119" r:id="rId3141" xr:uid="{CCF9738F-E53D-4B48-9C20-4B212BF7C344}"/>
    <hyperlink ref="V512" r:id="rId3142" xr:uid="{407C93B6-4C79-4E81-A0AB-142220A11B2D}"/>
    <hyperlink ref="W510" r:id="rId3143" location=":~:text=Since%20February%202022%2C%20the%20World,(March%209%2C%202023" xr:uid="{7F8A9BC6-021B-4C8C-B8E1-94A9FF894276}"/>
    <hyperlink ref="W512" r:id="rId3144" location=":~:text=Since%20February%202022%2C%20the%20World,(March%209%2C%202023" xr:uid="{6EF1C4A3-C8A1-48DF-9695-3D0B0F8EC6F3}"/>
    <hyperlink ref="W1419" r:id="rId3145" xr:uid="{6DC8F5CB-C39C-4CDE-AEEB-B89D0CAD2B98}"/>
    <hyperlink ref="V1419" r:id="rId3146" xr:uid="{7AAE12DC-6557-4A31-832A-41412F177AFD}"/>
    <hyperlink ref="X1419" r:id="rId3147" xr:uid="{26AEFC7B-AAC0-410A-B3AA-E17A5C3E9920}"/>
    <hyperlink ref="Y1419" r:id="rId3148" xr:uid="{3504613C-A90E-45C3-AE9E-7FE89C0352FB}"/>
    <hyperlink ref="V59" r:id="rId3149" xr:uid="{3644613A-0FD6-4172-A58C-D667DB3BAD0E}"/>
    <hyperlink ref="W59" r:id="rId3150" xr:uid="{AF145E8D-E772-4C8B-84C0-32ABDE4592C5}"/>
    <hyperlink ref="V1907" r:id="rId3151" xr:uid="{AFB03B92-9FF0-4072-A131-F467CAFEA9F7}"/>
    <hyperlink ref="W1907" r:id="rId3152" xr:uid="{582071D2-4608-48D2-8AAD-22F85F1934B5}"/>
    <hyperlink ref="X1907" r:id="rId3153" xr:uid="{5AA544D9-3B36-4B10-BE07-5593138AE6DA}"/>
    <hyperlink ref="Y1907" r:id="rId3154" display="https://crsreports.congress.gov/product/pdf/IF/IF12040" xr:uid="{BCA0E90E-3F12-43DD-80D5-68C3A6CA55B3}"/>
    <hyperlink ref="V1908" r:id="rId3155" xr:uid="{546A7A89-438F-41DC-ACCE-0B1B51B25EEB}"/>
    <hyperlink ref="W1908" r:id="rId3156" xr:uid="{39B70FE6-56EE-4260-A04E-1DEAA5F402EA}"/>
    <hyperlink ref="X1908" r:id="rId3157" xr:uid="{901B5879-7AA9-420D-A662-8DCFA25F0FAF}"/>
    <hyperlink ref="Y1908" r:id="rId3158" display="https://crsreports.congress.gov/product/pdf/IF/IF12040" xr:uid="{9B7DC74A-7CF8-4AD7-9AA5-F6586EA153FE}"/>
    <hyperlink ref="V1909" r:id="rId3159" xr:uid="{CF75D116-2059-4EB4-9351-1D907A09116E}"/>
    <hyperlink ref="W1909" r:id="rId3160" xr:uid="{61027D02-7159-49C8-BBBA-CA4C15C5FB6C}"/>
    <hyperlink ref="X1909" r:id="rId3161" xr:uid="{64121621-4B0D-4C9E-9197-F7FD55A72E33}"/>
    <hyperlink ref="Y1909" r:id="rId3162" display="https://crsreports.congress.gov/product/pdf/IF/IF12040" xr:uid="{102861DB-FFD1-46D4-A63F-56D0DDC2FC67}"/>
    <hyperlink ref="V1910" r:id="rId3163" xr:uid="{FBD369D0-59B8-4A79-AA1D-61B0B3B92C25}"/>
    <hyperlink ref="W1910" r:id="rId3164" xr:uid="{BDA52243-E2C0-4F87-8876-D0B60329E59B}"/>
    <hyperlink ref="X1910" r:id="rId3165" xr:uid="{FCC6883F-0E6D-43A3-93E8-BA517E55E5AF}"/>
    <hyperlink ref="Y1910" r:id="rId3166" display="https://crsreports.congress.gov/product/pdf/IF/IF12040" xr:uid="{D6E35CB1-3D78-49F8-AA25-442EB15EAED8}"/>
    <hyperlink ref="V1911" r:id="rId3167" xr:uid="{911D0958-0A60-4A6F-94A5-2A4FF898CE55}"/>
    <hyperlink ref="W1911" r:id="rId3168" xr:uid="{DFD78BBF-E578-4DB9-9C03-05C9E7779A14}"/>
    <hyperlink ref="X1911" r:id="rId3169" xr:uid="{975F502C-5D16-439A-8CB4-D3C2CA2A3F5C}"/>
    <hyperlink ref="Y1911" r:id="rId3170" display="https://crsreports.congress.gov/product/pdf/IF/IF12040" xr:uid="{9EA0D92A-8D41-40B1-BBF9-717D6D1DE833}"/>
    <hyperlink ref="W2000" r:id="rId3171" xr:uid="{F076A607-1245-4D2B-83F1-95EC15EF6547}"/>
    <hyperlink ref="W1990" r:id="rId3172" xr:uid="{497C1AC8-1028-4331-A8DC-822E436D684A}"/>
    <hyperlink ref="W1991" r:id="rId3173" xr:uid="{1A514F6C-9385-408E-9752-5424417781E6}"/>
    <hyperlink ref="W1989" r:id="rId3174" xr:uid="{6BCBF172-A385-4952-B363-204B9F65282E}"/>
    <hyperlink ref="W268" r:id="rId3175" xr:uid="{3794E051-20CF-43F4-B29D-37E18DE961B1}"/>
    <hyperlink ref="W1986" r:id="rId3176" xr:uid="{95EB08A8-2EC8-429A-B9D9-DEABD7F75DB2}"/>
    <hyperlink ref="W1981" r:id="rId3177" xr:uid="{6DEBBFF9-349C-4DE1-95DC-DA9DA93AFB5F}"/>
    <hyperlink ref="W1980" r:id="rId3178" xr:uid="{CE34F71A-965E-4979-A889-C2452852D044}"/>
    <hyperlink ref="W1979" r:id="rId3179" xr:uid="{820D2E2A-DFA6-4862-94D1-8A11E0661224}"/>
    <hyperlink ref="W1974" r:id="rId3180" xr:uid="{0C1E7E92-C73F-4A7B-A6BD-9B3FBDC73C0C}"/>
    <hyperlink ref="X1974" r:id="rId3181" xr:uid="{73FC4BF8-A8B2-4933-BECF-F9F488CB9F98}"/>
    <hyperlink ref="W1450" r:id="rId3182" xr:uid="{8BFC2E18-0D15-4AC0-A21D-79D7C8F26828}"/>
    <hyperlink ref="W1451" r:id="rId3183" xr:uid="{0487DE69-FD2C-48DC-93AC-D229485393D3}"/>
    <hyperlink ref="W289" r:id="rId3184" xr:uid="{27B1C7EC-1580-4EEA-9880-3838C89764FF}"/>
    <hyperlink ref="W290" r:id="rId3185" xr:uid="{5A90897F-4D22-43CF-B27F-9C57A68407D5}"/>
    <hyperlink ref="W292" r:id="rId3186" xr:uid="{61F8F1FD-FC7A-4CF5-998D-5C9EEB242B6A}"/>
    <hyperlink ref="W291" r:id="rId3187" xr:uid="{5E714B24-EAF8-4524-AFD7-D8A192AE76C9}"/>
    <hyperlink ref="W1452" r:id="rId3188" xr:uid="{34ED8CE8-FE7B-4F35-9282-6429C5315498}"/>
    <hyperlink ref="W1444" r:id="rId3189" xr:uid="{81203215-A191-4BC5-839C-16B4099A3F42}"/>
    <hyperlink ref="W447" r:id="rId3190" xr:uid="{545FBDAA-CE25-4162-AA1E-F1BB0D1188CE}"/>
    <hyperlink ref="W448:W451" r:id="rId3191" display="https://ue.delegfrance.org/IMG/pdf/4_5989977243172998264_1_.pdf?11377/582461c3399e431c79f060e139f084c1fa490550" xr:uid="{CD6BC7FE-1A8E-4A82-96E9-52B7DDA4E1C6}"/>
    <hyperlink ref="W453" r:id="rId3192" display="https://ue.delegfrance.org/IMG/pdf/4_5989977243172998264_1_.pdf?11377/582461c3399e431c79f060e139f084c1fa490550" xr:uid="{D8C92C4A-6E44-423A-98D1-9A6849006B05}"/>
    <hyperlink ref="W454:W465" r:id="rId3193" display="https://ue.delegfrance.org/IMG/pdf/4_5989977243172998264_1_.pdf?11377/582461c3399e431c79f060e139f084c1fa490550" xr:uid="{EC9F3D6E-B032-46ED-A568-833E2449490C}"/>
    <hyperlink ref="W1442" r:id="rId3194" xr:uid="{AC129912-608C-4E7F-AD0D-2C6F4AFE3C23}"/>
    <hyperlink ref="V1436" r:id="rId3195" xr:uid="{2BC90EC3-2505-4B56-ABA0-B08EF85223D4}"/>
    <hyperlink ref="W707" r:id="rId3196" xr:uid="{D6E68163-2960-4C80-90EF-0AACDD7851A1}"/>
    <hyperlink ref="V707" r:id="rId3197" xr:uid="{D5F87425-A1CC-454E-99F1-D313AB16B75E}"/>
    <hyperlink ref="W1436" r:id="rId3198" xr:uid="{287D9E63-8421-43BC-8F41-54328DCE3DF1}"/>
    <hyperlink ref="W754" r:id="rId3199" xr:uid="{FB8941D1-F49B-4070-9B84-53A844D33ABF}"/>
    <hyperlink ref="W757" r:id="rId3200" xr:uid="{AFD8DD17-9E6E-49F2-A96B-43C72AE71B68}"/>
    <hyperlink ref="W819" r:id="rId3201" xr:uid="{6D65D907-36B8-4D18-B17D-261C95D10B5C}"/>
    <hyperlink ref="V834" r:id="rId3202" xr:uid="{56EFF309-7E49-4419-ABFC-2F35C07BAA4D}"/>
    <hyperlink ref="V835" r:id="rId3203" xr:uid="{7D27DABC-CCC7-44B5-8B4D-45A71FD53DF9}"/>
    <hyperlink ref="W834" r:id="rId3204" xr:uid="{41481A57-DBF7-41DF-9EE0-EDC60AF5146F}"/>
    <hyperlink ref="W1435" r:id="rId3205" xr:uid="{5961850C-9C20-4CBA-B19B-7B95C68B3CF5}"/>
    <hyperlink ref="W1434" r:id="rId3206" xr:uid="{95E5E031-732A-4375-8DC4-8402ADF7C406}"/>
    <hyperlink ref="W1431" r:id="rId3207" xr:uid="{E27EAD6F-6298-46A9-B963-B94696C3692D}"/>
    <hyperlink ref="W1430" r:id="rId3208" xr:uid="{C099949B-21DB-47C3-BB8C-6D3033A8CA48}"/>
    <hyperlink ref="W1416" r:id="rId3209" xr:uid="{83844C6B-5CB8-4FBF-B810-95CF356231A1}"/>
    <hyperlink ref="V1415" r:id="rId3210" xr:uid="{0BA9E667-45B9-4A87-96D3-D73FFE19CF92}"/>
    <hyperlink ref="W1415" r:id="rId3211" xr:uid="{1614B516-071E-4B63-8C8B-6423B5C28276}"/>
    <hyperlink ref="V1414" r:id="rId3212" xr:uid="{2F39598F-A39E-4900-BFC1-262C66BEF11C}"/>
    <hyperlink ref="W1411" r:id="rId3213" xr:uid="{2308222E-2268-4323-9A2D-27CA722B6B40}"/>
    <hyperlink ref="W1412" r:id="rId3214" xr:uid="{F0FD411A-30C2-41B6-8277-BDFBDEA40518}"/>
    <hyperlink ref="W1413" r:id="rId3215" xr:uid="{74D37381-47D1-42AB-9CD7-EC343F004D25}"/>
    <hyperlink ref="W1410" r:id="rId3216" xr:uid="{4EBE9152-8BF6-40A6-A722-4095E12E019F}"/>
    <hyperlink ref="W1409" r:id="rId3217" xr:uid="{0A18ACB2-A0B0-407F-A598-078C8DBF096C}"/>
    <hyperlink ref="W1408" r:id="rId3218" xr:uid="{A20815A1-5388-490C-8541-39CE3B667CB8}"/>
    <hyperlink ref="W1407" r:id="rId3219" xr:uid="{0AFC3197-992C-43FA-B5D5-D6D469D0AC9E}"/>
    <hyperlink ref="W1398" r:id="rId3220" xr:uid="{972F324E-EC28-4B9D-A151-101E0B008A24}"/>
    <hyperlink ref="V1371" r:id="rId3221" xr:uid="{DB989D12-428C-4D45-AEAE-EE630F29FFC0}"/>
    <hyperlink ref="W1414" r:id="rId3222" location=":~:text=The%20UK%20will%20also%20give,Army%20ahead%20of%20the%20winter" xr:uid="{97C41B22-F99D-4E74-A0C4-004D101CC9A4}"/>
    <hyperlink ref="X1410" r:id="rId3223" location=":~:text=The%20UK%20will%20also%20give,Army%20ahead%20of%20the%20winter" xr:uid="{2605D59B-ADBD-44D3-A9A0-F9255ABD9B55}"/>
    <hyperlink ref="X1411" r:id="rId3224" location=":~:text=The%20UK%20will%20also%20give,Army%20ahead%20of%20the%20winter" xr:uid="{534AF43C-115F-481F-AE1F-849CAAABEDDB}"/>
    <hyperlink ref="X1412" r:id="rId3225" location=":~:text=The%20UK%20will%20also%20give,Army%20ahead%20of%20the%20winter" xr:uid="{25BD2596-CB38-4C53-AED2-D7508F02A428}"/>
    <hyperlink ref="X1413" r:id="rId3226" location=":~:text=The%20UK%20will%20also%20give,Army%20ahead%20of%20the%20winter" xr:uid="{B04D398C-A19C-4695-A734-CE467D6CDC4E}"/>
    <hyperlink ref="W1371" r:id="rId3227" xr:uid="{2A8BA9B1-54F3-4B5B-87D5-CBA09CE64A09}"/>
    <hyperlink ref="W1370" r:id="rId3228" xr:uid="{2542857C-EF2A-4F76-A07D-7ABC37B9CDE1}"/>
    <hyperlink ref="W1369" r:id="rId3229" xr:uid="{F2792C43-2122-4B55-9411-88DD3DBDDA51}"/>
    <hyperlink ref="W1029" r:id="rId3230" xr:uid="{C0D9DDAB-7583-4D49-B042-DECE3EF2B143}"/>
    <hyperlink ref="V143" r:id="rId3231" xr:uid="{6C546AC6-A6B0-4E42-AC63-3D7469BDB876}"/>
    <hyperlink ref="W1354" r:id="rId3232" xr:uid="{8B219D6F-EB7D-48B1-A160-3A950E48361E}"/>
    <hyperlink ref="W1355" r:id="rId3233" xr:uid="{BC666D2A-DF3F-4446-8B05-BE0BAB56E9FE}"/>
    <hyperlink ref="W1356" r:id="rId3234" xr:uid="{0B9872E6-9DCA-4EDC-8B97-438341BFB49C}"/>
    <hyperlink ref="W1357" r:id="rId3235" xr:uid="{5825709F-8400-4086-8AC6-2E9061AD31F7}"/>
    <hyperlink ref="W1358" r:id="rId3236" xr:uid="{2C7CE161-99A2-4FAB-AA46-B058CBE658BC}"/>
    <hyperlink ref="W120" r:id="rId3237" xr:uid="{CC3BCE97-F4A0-48E5-A313-8AE3B632A950}"/>
    <hyperlink ref="W259" r:id="rId3238" xr:uid="{6D84592D-46B6-4A3E-B528-BC2A4CE76E97}"/>
    <hyperlink ref="V266" r:id="rId3239" xr:uid="{DF828E62-809A-4A60-974A-40AD23497EFA}"/>
    <hyperlink ref="X266" r:id="rId3240" xr:uid="{FB992297-F4D4-4A3B-87B8-9BBA7E2C56BA}"/>
    <hyperlink ref="X1354" r:id="rId3241" xr:uid="{7EDACB6B-1591-46A6-B05E-B93E49C263DD}"/>
    <hyperlink ref="X1355" r:id="rId3242" xr:uid="{7E4FD480-A740-4D1D-B632-B0B6CBC287BE}"/>
    <hyperlink ref="X1357" r:id="rId3243" xr:uid="{0B296DD8-EFD0-4B02-AF1D-5F9BB42BE718}"/>
    <hyperlink ref="X1358" r:id="rId3244" xr:uid="{607B141F-C90F-4A04-A6D5-D906F9C92BE3}"/>
    <hyperlink ref="V1358" r:id="rId3245" xr:uid="{52BE6C13-68D2-47E4-A9EF-2132ADF0A0D3}"/>
    <hyperlink ref="V1357" r:id="rId3246" xr:uid="{D869B6CD-5139-4E33-809A-A687DD31668B}"/>
    <hyperlink ref="V1356" r:id="rId3247" xr:uid="{F5424CD1-F12F-47F6-AE8D-C5F725F851D2}"/>
    <hyperlink ref="V1355" r:id="rId3248" xr:uid="{F4F62837-0375-420A-87C6-34842934F056}"/>
    <hyperlink ref="V1354" r:id="rId3249" xr:uid="{01999B6D-9E92-4B42-B6CC-B003A61A9122}"/>
    <hyperlink ref="W1353" r:id="rId3250" xr:uid="{AB095B17-1978-48A9-B592-2890E7C5CC17}"/>
    <hyperlink ref="V1353" r:id="rId3251" xr:uid="{B156149A-F6DC-4B3A-8F02-C356BA81969C}"/>
    <hyperlink ref="W1359" r:id="rId3252" xr:uid="{572F97DA-FCA4-49AC-9EE2-6CC47463715B}"/>
    <hyperlink ref="V1359" r:id="rId3253" xr:uid="{4C61E68A-5853-4E4E-92DE-6202900DE0CB}"/>
    <hyperlink ref="W712" r:id="rId3254" xr:uid="{CD9748F5-1A5A-4FC2-8D01-8CB75D57A4C3}"/>
    <hyperlink ref="W738" r:id="rId3255" xr:uid="{9EB29C58-1818-440F-ADDF-BA81051596D8}"/>
    <hyperlink ref="X738" r:id="rId3256" xr:uid="{AC29FD1D-BFD1-4297-9653-DB442D67BFC5}"/>
    <hyperlink ref="V739" r:id="rId3257" xr:uid="{43704D04-2D2A-4B61-81D3-95BCC0A4863C}"/>
    <hyperlink ref="X740" r:id="rId3258" xr:uid="{5208FF55-3F02-4F2F-A554-507437E8752C}"/>
    <hyperlink ref="V740" r:id="rId3259" xr:uid="{FD0248B0-458A-4787-AB48-1D584683C520}"/>
    <hyperlink ref="W741" r:id="rId3260" xr:uid="{0657C3ED-7903-4416-81DC-940A0435D7FF}"/>
    <hyperlink ref="X741" r:id="rId3261" xr:uid="{FB0D7910-381A-4C4D-B8AC-44D7C5076C0A}"/>
    <hyperlink ref="W742" r:id="rId3262" xr:uid="{22CD68A0-77BB-42B6-BD06-767351EBC196}"/>
    <hyperlink ref="X742" r:id="rId3263" xr:uid="{5E1C7C43-DE5C-4AFC-BD98-D6D524F2C837}"/>
    <hyperlink ref="W743" r:id="rId3264" xr:uid="{F6FFD7CD-079F-4021-9471-5F1BC0681B20}"/>
    <hyperlink ref="X743" r:id="rId3265" xr:uid="{3590D032-8878-4DE0-A613-440ECE2DD81D}"/>
    <hyperlink ref="V790" r:id="rId3266" xr:uid="{496B403C-12A2-4D20-A135-CCA1FF3A4CB1}"/>
    <hyperlink ref="V802" r:id="rId3267" xr:uid="{33412C52-2195-4F0A-B8EF-2E0E5F164E90}"/>
    <hyperlink ref="X802" r:id="rId3268" xr:uid="{7F69099A-6F1C-4687-9974-9C2A0AFC97FF}"/>
    <hyperlink ref="V1225" r:id="rId3269" xr:uid="{3A303197-A0B2-4783-B95D-4DD69F9CAB04}"/>
    <hyperlink ref="W1225" r:id="rId3270" xr:uid="{AFFC1EBA-88E2-40D2-AEA8-61D41569D8B7}"/>
    <hyperlink ref="V806" r:id="rId3271" xr:uid="{60F12CCA-AA03-4A84-AEC3-2DB93EB8D022}"/>
    <hyperlink ref="W804:W806" r:id="rId3272" display="https://euromaidanpress.com/2022/10/30/italy-allegedly-supplied-many-heavy-weapons-to-ukraine-but-didnt-disclose-it-earlier-la-repubblica/" xr:uid="{1D1EE303-D4E2-4F23-AF72-A0C2AECF87BF}"/>
    <hyperlink ref="X804:X806" r:id="rId3273" display="https://euromaidanpress.com/2022/11/05/italy-set-to-approve-sixth-military-aid-package-for-ukraine-italian-defense-minister/" xr:uid="{67E47877-8408-45E5-A138-5C0B1A280A1D}"/>
    <hyperlink ref="W1200" r:id="rId3274" xr:uid="{85697881-92CE-4D62-8CB9-C44C90B299CB}"/>
    <hyperlink ref="X1200" r:id="rId3275" xr:uid="{506207FD-013E-4492-A43C-32CB79273E10}"/>
    <hyperlink ref="W814" r:id="rId3276" xr:uid="{716A5E53-FDC2-45B8-B577-1FEBBF08A66F}"/>
    <hyperlink ref="X814" r:id="rId3277" xr:uid="{AF978EAB-49BF-4246-B2D1-BC381712B511}"/>
    <hyperlink ref="W846" r:id="rId3278" xr:uid="{867A58ED-DE31-41E2-A7E4-1D00FDF3B31C}"/>
    <hyperlink ref="W847" r:id="rId3279" xr:uid="{F6C79A23-592A-4B9F-A98C-FF640738EC70}"/>
    <hyperlink ref="W870" r:id="rId3280" xr:uid="{F31938DA-52F4-4F9D-8315-9398F6790142}"/>
    <hyperlink ref="W1179" r:id="rId3281" xr:uid="{288F4608-9361-43B8-BF58-E329F7DF557E}"/>
    <hyperlink ref="W919" r:id="rId3282" xr:uid="{E7F1DF9E-9A0C-4CF0-BD25-AE03EF300D0A}"/>
    <hyperlink ref="X919" r:id="rId3283" xr:uid="{805A5CC4-9C00-4675-96DD-E2B5373A50AB}"/>
    <hyperlink ref="Y1116" r:id="rId3284" xr:uid="{738E242D-DB05-4002-9B25-45D999F8D770}"/>
    <hyperlink ref="V920" r:id="rId3285" xr:uid="{0804B3F2-1A13-462F-B029-50BD535DBB2E}"/>
    <hyperlink ref="W1116" r:id="rId3286" xr:uid="{CB4815BE-7855-46C2-9689-AB6201D81B30}"/>
    <hyperlink ref="V912" r:id="rId3287" xr:uid="{E4570180-7321-4078-A832-F6B99A782623}"/>
    <hyperlink ref="W1020" r:id="rId3288" xr:uid="{B91A31DC-F9C6-43F2-89DD-670C7E40F62F}"/>
    <hyperlink ref="V1020" r:id="rId3289" xr:uid="{0B6FB5AE-7A4C-4606-A842-1FEDAD67A956}"/>
    <hyperlink ref="V1019" r:id="rId3290" xr:uid="{39E653AB-BBE4-4EAF-8F49-E79A50EEBA53}"/>
    <hyperlink ref="V1018" r:id="rId3291" xr:uid="{2684D8FE-6B36-4CA8-B284-B9AF04101439}"/>
    <hyperlink ref="W1019" r:id="rId3292" xr:uid="{73F0EA1F-A89A-4FC3-9519-0D43EF3BFC6A}"/>
    <hyperlink ref="W1018" r:id="rId3293" xr:uid="{11A19C0D-72B0-4F4F-8B6C-C0A1E0E9237A}"/>
    <hyperlink ref="W921" r:id="rId3294" xr:uid="{6BEDEAEA-6E4F-474A-8012-944DBE963792}"/>
    <hyperlink ref="W923" r:id="rId3295" xr:uid="{D48D1840-8138-4314-8F3B-13E9B8B27403}"/>
    <hyperlink ref="V925" r:id="rId3296" xr:uid="{6B3585AF-3EEB-41DF-A5D2-2B1DCF7822CE}"/>
    <hyperlink ref="V65" r:id="rId3297" xr:uid="{DCDC0A8B-6C27-44F7-9E4D-11BC5CA21E34}"/>
    <hyperlink ref="V60" r:id="rId3298" xr:uid="{DD19C59C-4C3E-4E66-9613-E23C22DB6928}"/>
    <hyperlink ref="V61" r:id="rId3299" xr:uid="{1D2AC474-7509-4A97-BFCA-9B248394D3F9}"/>
    <hyperlink ref="V62" r:id="rId3300" xr:uid="{EB66F408-523A-43A8-90B5-1999E83E45D7}"/>
    <hyperlink ref="V1668" r:id="rId3301" location=":~:text=OCTOBER%204%2C%202022&amp;text=Pursuant%20to%20a%20delegation%20of,U.S.%20Department%20of%20Defense%20inventories." xr:uid="{26D46A98-ADEF-4BC4-B8AD-3BFB3031BF87}"/>
    <hyperlink ref="W1668" r:id="rId3302" xr:uid="{89B77117-6D26-46B4-9620-D270684D7944}"/>
    <hyperlink ref="X1668" r:id="rId3303" xr:uid="{5A53AA04-E7CE-4BD7-94D6-F7F5E0617B86}"/>
    <hyperlink ref="Y1668" r:id="rId3304" display="https://crsreports.congress.gov/product/pdf/IF/IF12040" xr:uid="{9F899227-09E8-46D1-84CD-0372DA8FF4F4}"/>
    <hyperlink ref="Y267" r:id="rId3305" xr:uid="{6907D7F0-CA11-46B5-AF17-C61EE67915F2}"/>
    <hyperlink ref="X987" r:id="rId3306" xr:uid="{4D0CA8AA-49AC-4E02-BC95-70DA7ECE1CEA}"/>
    <hyperlink ref="V1701" r:id="rId3307" xr:uid="{6C22C4E4-12E4-4A89-8D7A-D245525DFC01}"/>
    <hyperlink ref="W1701" r:id="rId3308" xr:uid="{71F04D5B-CF9E-410F-8EB3-81A0C7765FE4}"/>
    <hyperlink ref="X1701" r:id="rId3309" xr:uid="{EFE02AC4-69F7-4E23-814F-85950EA21A58}"/>
    <hyperlink ref="Y1701" r:id="rId3310" display="https://crsreports.congress.gov/product/pdf/IF/IF12040" xr:uid="{04B6E1C7-9A81-4983-B2DC-AB2AB6897277}"/>
    <hyperlink ref="Y843" r:id="rId3311" xr:uid="{DBAFC47B-9289-461D-B274-D6996A6726CE}"/>
    <hyperlink ref="V1293" r:id="rId3312" xr:uid="{1A25B449-9C3C-45C6-9B9A-FD062866BAC1}"/>
    <hyperlink ref="V1290" r:id="rId3313" xr:uid="{A41D9521-E7E8-4AEB-BC5C-B254C1D8E2CD}"/>
    <hyperlink ref="V1292" r:id="rId3314" xr:uid="{7AB35DAA-D000-470C-BBB2-8DEEE663812A}"/>
    <hyperlink ref="V1296" r:id="rId3315" xr:uid="{659C5088-6A48-4A34-8249-BD97C7FAC936}"/>
    <hyperlink ref="V1297" r:id="rId3316" xr:uid="{2B26682F-265A-43D8-8DDC-6BC64A868CE4}"/>
    <hyperlink ref="V1298" r:id="rId3317" xr:uid="{9D1C55D9-10FD-4FD3-B97D-4BA18AB34B80}"/>
    <hyperlink ref="V1299" r:id="rId3318" xr:uid="{B8F27FA5-2EFD-4B2C-9B12-4070D414FCA6}"/>
    <hyperlink ref="V1304" r:id="rId3319" xr:uid="{EE6E8D67-3305-4C85-8008-E05099769FCE}"/>
    <hyperlink ref="V1305" r:id="rId3320" xr:uid="{36171B3D-EB36-4B88-A26C-255BB45AC2E8}"/>
    <hyperlink ref="W496" r:id="rId3321" xr:uid="{695EBE12-337D-4748-ADB6-3C009C6FD5D5}"/>
    <hyperlink ref="V495" r:id="rId3322" xr:uid="{AA749775-FF18-4B11-8B55-D6B524BE6928}"/>
    <hyperlink ref="W495" r:id="rId3323" xr:uid="{FFD51312-A7B9-40FC-A554-4E8C8CE3BC5D}"/>
    <hyperlink ref="X495" r:id="rId3324" xr:uid="{9F6E0EA5-D94E-4939-96AB-1E462128936D}"/>
    <hyperlink ref="Y495" r:id="rId3325" xr:uid="{B9DFE75F-F09B-48C4-B444-4BD3300E12CB}"/>
    <hyperlink ref="W502" r:id="rId3326" xr:uid="{E46641DF-4E91-4DAA-8815-BD40AD9A8EC2}"/>
    <hyperlink ref="V502" r:id="rId3327" xr:uid="{2075BB8A-6AA2-4D41-9B7E-12FB051C8F68}"/>
    <hyperlink ref="V500" r:id="rId3328" xr:uid="{8C1D8082-E299-4006-B9DF-8BC8F9353C7F}"/>
    <hyperlink ref="AB26" r:id="rId3329" xr:uid="{B9368EB1-B7D5-4795-9562-E6F291E53078}"/>
    <hyperlink ref="AB804" r:id="rId3330" xr:uid="{71C0F207-7AD1-4460-80D7-F1FCB8C9C988}"/>
    <hyperlink ref="AB1052" r:id="rId3331" xr:uid="{05F4A12A-B67F-4783-A64E-AD057D5E629B}"/>
    <hyperlink ref="X1052" r:id="rId3332" xr:uid="{E98603DE-2687-4691-A1F2-CFB0C7394395}"/>
    <hyperlink ref="V499" r:id="rId3333" xr:uid="{A084ADC4-D4BC-41BE-819F-F8DF70BE8582}"/>
    <hyperlink ref="X491" r:id="rId3334" xr:uid="{9F9690AC-8A26-4850-B7B7-31F0DC685157}"/>
    <hyperlink ref="W491" r:id="rId3335" xr:uid="{FAE89000-696A-4E39-A6D8-4EC5432BA5D9}"/>
    <hyperlink ref="V491" r:id="rId3336" xr:uid="{FB5183B6-7382-45E3-975A-A7FE1141ACD9}"/>
    <hyperlink ref="X502" r:id="rId3337" xr:uid="{E3F82EC7-1EEF-48E6-A477-C12015B45FA9}"/>
    <hyperlink ref="AB1632" r:id="rId3338" xr:uid="{FE55813F-9EA4-4826-A25D-137E81FB2312}"/>
    <hyperlink ref="AB1761" r:id="rId3339" xr:uid="{44779F10-AA75-4EBE-84CF-CE73E487703E}"/>
    <hyperlink ref="AB1689" r:id="rId3340" xr:uid="{B945BBCB-7C3E-4AE2-AA63-A3D6B0F3DACF}"/>
    <hyperlink ref="AB1717" r:id="rId3341" xr:uid="{0100D94D-7076-4768-B7F9-C34BCF1A8765}"/>
    <hyperlink ref="X1273" r:id="rId3342" xr:uid="{640A1F85-A3C2-4102-8C9D-F70D19C79E2B}"/>
    <hyperlink ref="X1272" r:id="rId3343" xr:uid="{AA673F3E-14E5-478C-A943-B4B84534C87B}"/>
    <hyperlink ref="X1274" r:id="rId3344" xr:uid="{BBA46328-6E29-4241-96C4-E57D4D3834C0}"/>
    <hyperlink ref="AB1302" r:id="rId3345" xr:uid="{D1049FB1-4558-4A50-AFA6-F5EAE100FB11}"/>
    <hyperlink ref="V1413" r:id="rId3346" xr:uid="{62672125-4C7C-42CF-A243-13454D26E2CB}"/>
    <hyperlink ref="AB1413" r:id="rId3347" xr:uid="{974A3EBA-E97C-4758-84CB-2A4FFFB65C9D}"/>
    <hyperlink ref="AB1503" r:id="rId3348" xr:uid="{6A3E098A-E5DA-408F-A760-32178C572CE3}"/>
    <hyperlink ref="AB1528" r:id="rId3349" xr:uid="{2B423C2D-3AF6-4BA3-8DF3-E71FBF048CAB}"/>
    <hyperlink ref="AB1535" r:id="rId3350" xr:uid="{8D3B692F-E83E-4997-9449-CA881DF881EA}"/>
    <hyperlink ref="AB1666" r:id="rId3351" xr:uid="{62AAD9A6-9933-4435-A4B7-979682FD9ADA}"/>
    <hyperlink ref="X135" r:id="rId3352" xr:uid="{82E94C33-2DCE-478F-A4AA-FC103BF571D6}"/>
    <hyperlink ref="Y134" r:id="rId3353" xr:uid="{8CB758B2-0474-4A76-B719-BC215F9E1FCF}"/>
    <hyperlink ref="X134" r:id="rId3354" xr:uid="{9A69888A-CB8F-46AE-831F-404A9D0E19D8}"/>
    <hyperlink ref="Y135" r:id="rId3355" xr:uid="{C1FCF532-AE36-457B-BAFB-796C8BDCE076}"/>
    <hyperlink ref="AB1743" r:id="rId3356" xr:uid="{B743AD2C-5070-4F0A-A641-803141BD8E0D}"/>
    <hyperlink ref="AB1765" r:id="rId3357" xr:uid="{4DF63190-D588-466E-9E8D-999309930A03}"/>
    <hyperlink ref="V535" r:id="rId3358" xr:uid="{AB11EB87-5198-4A55-B8A7-E418652ED515}"/>
    <hyperlink ref="X706" r:id="rId3359" xr:uid="{9488D529-B586-4BC5-A85E-C3184CED7828}"/>
    <hyperlink ref="X707" r:id="rId3360" xr:uid="{736C0172-2C54-4CC2-8F04-687C2B7A866F}"/>
    <hyperlink ref="X508" r:id="rId3361" location="collapse-control-6324" xr:uid="{59C2EF63-0AC0-49EC-970B-BCF83EBFB4EC}"/>
    <hyperlink ref="Y508" r:id="rId3362" xr:uid="{6F4BAFB2-2682-4B4D-A13C-D9C470BDD16B}"/>
    <hyperlink ref="X509" r:id="rId3363" location="collapse-control-6324" xr:uid="{057FB7F8-21B2-47AE-86B8-2D088AC6EF91}"/>
    <hyperlink ref="Y509" r:id="rId3364" xr:uid="{BB41E069-B2D1-4CE7-9B54-0839CCC89049}"/>
    <hyperlink ref="Y504" r:id="rId3365" xr:uid="{1BAF1221-C7FC-4729-9C53-34570867EAF2}"/>
    <hyperlink ref="V526" r:id="rId3366" xr:uid="{6BEB4077-09FE-4C89-98BB-ED8DAEB51440}"/>
    <hyperlink ref="W526" r:id="rId3367" xr:uid="{3039ADDD-754C-413A-9812-979C42F7DBAA}"/>
    <hyperlink ref="Y522" r:id="rId3368" xr:uid="{77FDB848-ABA7-483C-880C-6EEF644A89FB}"/>
    <hyperlink ref="X522" r:id="rId3369" xr:uid="{0B39388E-0FD3-4C29-9242-B77C9B80DF82}"/>
    <hyperlink ref="X518" r:id="rId3370" xr:uid="{5B5BF963-41F1-491A-91A0-6973584ABF97}"/>
    <hyperlink ref="Y518" r:id="rId3371" xr:uid="{B0545FAE-ACFD-4960-B97C-1C90C7433B70}"/>
    <hyperlink ref="W519" r:id="rId3372" xr:uid="{41F23FF9-53AF-4743-B11F-E22FFC8A5C19}"/>
    <hyperlink ref="V519" r:id="rId3373" xr:uid="{C09B0B88-7D70-4172-A6A6-0DE0555CF694}"/>
    <hyperlink ref="X519" r:id="rId3374" xr:uid="{6AC014E7-A64B-4A34-A0D0-FCE3A216BA11}"/>
    <hyperlink ref="W515" r:id="rId3375" xr:uid="{E6BBA4CB-49FF-4256-AABD-B3875AC037B9}"/>
    <hyperlink ref="V515" r:id="rId3376" xr:uid="{D21DE8C0-77F4-477D-B317-6C014C2DA17B}"/>
    <hyperlink ref="X506" r:id="rId3377" xr:uid="{1A4C3AA2-C454-48C4-805C-EF5105A3D73A}"/>
    <hyperlink ref="W506" r:id="rId3378" xr:uid="{FC1B5803-E7A5-474A-B3B0-18606DE25937}"/>
    <hyperlink ref="V507" r:id="rId3379" xr:uid="{CAB904FE-5B52-4728-8FE9-61943C4773AB}"/>
    <hyperlink ref="X507" r:id="rId3380" xr:uid="{994AD2F9-0DDF-4D79-88AF-F71C6C844965}"/>
    <hyperlink ref="W507" r:id="rId3381" xr:uid="{B31A7894-271A-4586-8BD3-1A3BF43FEEAD}"/>
    <hyperlink ref="V703" r:id="rId3382" xr:uid="{4FBD5865-AC1D-4BEE-9433-C48A071B23CF}"/>
    <hyperlink ref="X703" r:id="rId3383" xr:uid="{A81FEAF8-52BE-4C5A-A314-2F2A3062F08E}"/>
    <hyperlink ref="Y703" r:id="rId3384" xr:uid="{5CC2B05D-62AB-4EA3-AD12-E612BB64CD5F}"/>
    <hyperlink ref="V704" r:id="rId3385" xr:uid="{9C79B3FB-0E93-4349-8EB2-C4A4E97E59E7}"/>
    <hyperlink ref="W704" r:id="rId3386" xr:uid="{001C5BCB-AF75-4D49-B010-C7ED3792EBC3}"/>
    <hyperlink ref="Y704" r:id="rId3387" xr:uid="{07FBDED9-0BA1-410A-98F6-E0B64F5CA48B}"/>
    <hyperlink ref="V527" r:id="rId3388" xr:uid="{BA1D1CF1-4192-45A6-A2CB-C6BB5433D582}"/>
    <hyperlink ref="W527" r:id="rId3389" xr:uid="{70E9942A-4B87-4D40-A566-1691480398C4}"/>
    <hyperlink ref="V528" r:id="rId3390" xr:uid="{55C3739B-47CE-41F3-80E7-E996A9F628A3}"/>
    <hyperlink ref="W528" r:id="rId3391" xr:uid="{7D1FF8F6-CC0C-4637-A29F-1A5FA3BC1C86}"/>
    <hyperlink ref="V523" r:id="rId3392" xr:uid="{037219C9-C973-4C05-9A22-B07E5E6CE0B4}"/>
    <hyperlink ref="W523" r:id="rId3393" xr:uid="{43FC48E6-F771-4F0F-B438-C187854219EE}"/>
    <hyperlink ref="V525" r:id="rId3394" xr:uid="{2C647408-F482-4576-8737-198636E72F4D}"/>
    <hyperlink ref="W525" r:id="rId3395" xr:uid="{352B0FAB-B40A-487D-B23D-20761BA7CD4E}"/>
    <hyperlink ref="W520" r:id="rId3396" xr:uid="{FC6DCCB6-A56E-41D5-AA1F-6CADFEC085A7}"/>
    <hyperlink ref="V520" r:id="rId3397" xr:uid="{1263FBF0-BBD0-44A2-829E-2CC116526D57}"/>
    <hyperlink ref="X520" r:id="rId3398" xr:uid="{207D09BF-606D-4213-B986-9A19BBECFE7A}"/>
    <hyperlink ref="W514" r:id="rId3399" xr:uid="{3C9538C5-0D38-46FB-94D6-24B730711718}"/>
    <hyperlink ref="V514" r:id="rId3400" xr:uid="{E6EC3995-C6C1-4AF4-B065-7641D73FF4AC}"/>
    <hyperlink ref="W513" r:id="rId3401" location="collapse-control-6324" xr:uid="{AC0CE1AE-226E-445D-BFDA-03F2A900C0A9}"/>
    <hyperlink ref="V513" r:id="rId3402" xr:uid="{DE6AA90B-7346-47B7-98CB-42A0C76DF752}"/>
    <hyperlink ref="W516" r:id="rId3403" location="collapse-control-6324" xr:uid="{7A17EF3D-87CE-4B78-B8F7-B06D233E8815}"/>
    <hyperlink ref="V516" r:id="rId3404" xr:uid="{C1783391-6C61-4DDC-BDC7-A209BD7B5481}"/>
    <hyperlink ref="V524" r:id="rId3405" xr:uid="{1200FE8B-F515-482E-8085-255D141E7AE7}"/>
    <hyperlink ref="W524" r:id="rId3406" xr:uid="{B0F3CF01-E783-4BA6-865C-3065ECBE7999}"/>
    <hyperlink ref="X524" r:id="rId3407" xr:uid="{332A01EB-F1EB-43FD-B47F-837677476EBD}"/>
    <hyperlink ref="X510" r:id="rId3408" xr:uid="{77DEE346-3630-4204-9A65-7E679BFB5DA0}"/>
    <hyperlink ref="X505" r:id="rId3409" xr:uid="{C119275E-23CC-4173-90C1-31936C8F117B}"/>
    <hyperlink ref="V505" r:id="rId3410" xr:uid="{100A79BD-9ED2-4900-885B-B4B7D81EC9F8}"/>
    <hyperlink ref="X527" r:id="rId3411" xr:uid="{4451F58B-EDEF-4197-9D82-2E816D9378E2}"/>
    <hyperlink ref="V702" r:id="rId3412" xr:uid="{3D5175C1-5965-4229-A49F-3B23D296F4E7}"/>
    <hyperlink ref="X702" r:id="rId3413" xr:uid="{93559FED-8CB6-4C4C-B688-5A35E60244C7}"/>
    <hyperlink ref="Y702" r:id="rId3414" xr:uid="{2BB1163E-34A5-4004-BFDA-AC07385F4BC5}"/>
    <hyperlink ref="W534" r:id="rId3415" xr:uid="{06DF9BDB-8BAE-49A7-9EC7-C2C14F155DB2}"/>
    <hyperlink ref="W535" r:id="rId3416" xr:uid="{E293EAF8-D89B-4B44-AEC0-5AE0D0AFD5E6}"/>
    <hyperlink ref="W537" r:id="rId3417" xr:uid="{AF505590-E9DB-4E05-A955-D66555F7A5A6}"/>
    <hyperlink ref="W539" r:id="rId3418" xr:uid="{1CF37718-59E3-46AE-B20A-DBB481DA7FDE}"/>
    <hyperlink ref="W541" r:id="rId3419" xr:uid="{59E25155-812E-47BA-9C3E-271473DC0DFB}"/>
    <hyperlink ref="W543" r:id="rId3420" xr:uid="{DE774136-9B95-4512-B15F-9F0ECE46A6C1}"/>
    <hyperlink ref="W545" r:id="rId3421" xr:uid="{73CCA47F-9317-4A62-8E5E-3635E2425D3B}"/>
    <hyperlink ref="W547" r:id="rId3422" xr:uid="{51C46D2A-21CE-4E3B-96D3-FE5148DD611E}"/>
    <hyperlink ref="W549" r:id="rId3423" xr:uid="{F402C06F-8E07-408C-B8F0-65DF2F3DD90E}"/>
    <hyperlink ref="W551" r:id="rId3424" xr:uid="{8362808F-44CA-4476-B8EB-20E43272B770}"/>
    <hyperlink ref="W553" r:id="rId3425" xr:uid="{D4F08AEB-09A0-4A9F-9A95-E63499E01F6F}"/>
    <hyperlink ref="W555" r:id="rId3426" xr:uid="{AA8F47BC-8BB7-4160-B439-3313B6B3B522}"/>
    <hyperlink ref="W557" r:id="rId3427" xr:uid="{7380400D-83F0-4230-830A-8E29002959AF}"/>
    <hyperlink ref="W559" r:id="rId3428" xr:uid="{EE11A255-FD7C-4BEE-9F9F-C932340D536A}"/>
    <hyperlink ref="W561" r:id="rId3429" xr:uid="{E0A0C17E-12EF-4DA6-919D-3AD599B0C16B}"/>
    <hyperlink ref="W563" r:id="rId3430" xr:uid="{33D841BA-E2BD-4022-9864-E28532A8722D}"/>
    <hyperlink ref="W565" r:id="rId3431" xr:uid="{8A9FFFE9-3ABD-4229-81B3-55C8CE20CAD2}"/>
    <hyperlink ref="W567" r:id="rId3432" xr:uid="{3A7DE950-3623-4DB0-B107-195BB1D35BE9}"/>
    <hyperlink ref="W569" r:id="rId3433" xr:uid="{EF5CDC0A-1E3B-4D63-BA67-0A4EF0A0B38B}"/>
    <hyperlink ref="W571" r:id="rId3434" xr:uid="{63C6DC96-5001-4E13-AE08-57E33E5B656B}"/>
    <hyperlink ref="W573" r:id="rId3435" xr:uid="{41C643ED-C395-4EBE-9CCD-F89F74D74C59}"/>
    <hyperlink ref="W575" r:id="rId3436" xr:uid="{716EEF2A-E143-41B1-A121-B1720B1D01CE}"/>
    <hyperlink ref="W577" r:id="rId3437" xr:uid="{292FE465-7CD3-4A15-8B5E-6790CD839074}"/>
    <hyperlink ref="W579" r:id="rId3438" xr:uid="{D19AC023-7E42-466A-8326-F6030A5B6549}"/>
    <hyperlink ref="W581" r:id="rId3439" xr:uid="{9D12DDB1-DAED-4271-B138-BEA65A164D76}"/>
    <hyperlink ref="W583" r:id="rId3440" xr:uid="{77424204-5134-4CC4-B372-106E3E730299}"/>
    <hyperlink ref="W585" r:id="rId3441" xr:uid="{11F97230-4364-46A3-BF86-D2445D9E5A79}"/>
    <hyperlink ref="W587" r:id="rId3442" xr:uid="{8C29FD87-98C0-4217-98F2-A3280D711CF4}"/>
    <hyperlink ref="W589" r:id="rId3443" xr:uid="{FE2AA100-3A2C-4A70-BFBD-B805D7E02F46}"/>
    <hyperlink ref="W591" r:id="rId3444" xr:uid="{23732A3F-7527-4F1F-9CB6-BC360635E383}"/>
    <hyperlink ref="W593" r:id="rId3445" xr:uid="{3C7952CB-CD30-40D9-BA91-B19BBD9DE8D4}"/>
    <hyperlink ref="W595" r:id="rId3446" xr:uid="{B102E7FF-6CA8-49BB-BA45-F2321FAD4603}"/>
    <hyperlink ref="W597" r:id="rId3447" xr:uid="{C4DD7144-7DC9-477F-9F10-C1CADADC1F8B}"/>
    <hyperlink ref="W599" r:id="rId3448" xr:uid="{77B4B663-9317-4638-B16B-29B62C825A99}"/>
    <hyperlink ref="W601" r:id="rId3449" xr:uid="{5351AC06-4117-449A-A246-3FE418BDC9BE}"/>
    <hyperlink ref="W603" r:id="rId3450" xr:uid="{2F30C174-DB93-4C7A-B35F-14DB5E1D1EB8}"/>
    <hyperlink ref="W606" r:id="rId3451" xr:uid="{505852F8-3DF8-4F58-99E3-66DA64CDE66D}"/>
    <hyperlink ref="W609" r:id="rId3452" xr:uid="{A69A2F96-8451-4CCF-B2D9-C5F1A725DDB1}"/>
    <hyperlink ref="W630" r:id="rId3453" xr:uid="{3AE310DD-1B2E-4DB8-9AEA-B756D5B5F8FA}"/>
    <hyperlink ref="W632" r:id="rId3454" xr:uid="{50B7141C-0EA5-4E28-8277-B2FE246ED125}"/>
    <hyperlink ref="W634" r:id="rId3455" xr:uid="{85F88275-BB71-47CE-8B7E-A80A434100D7}"/>
    <hyperlink ref="W635" r:id="rId3456" xr:uid="{F8CACBC7-AB0E-437D-AC15-F906B5C40C9C}"/>
    <hyperlink ref="W637" r:id="rId3457" xr:uid="{E650FD21-B672-4CB1-9D9A-ED3B9A28E72F}"/>
    <hyperlink ref="W639" r:id="rId3458" xr:uid="{606D1782-9669-4A78-BB07-478C2CA107EC}"/>
    <hyperlink ref="W641" r:id="rId3459" xr:uid="{E3587F6F-8397-4176-BF97-D86CE1D53953}"/>
    <hyperlink ref="W643" r:id="rId3460" xr:uid="{7B951C56-1A9F-4C02-AA17-F0015DB30860}"/>
    <hyperlink ref="W645" r:id="rId3461" xr:uid="{653DCC01-2EA8-4507-B420-B0EA7BF08544}"/>
    <hyperlink ref="W647" r:id="rId3462" xr:uid="{ED5BA69B-2CB3-4C42-84AD-75615435449E}"/>
    <hyperlink ref="W649" r:id="rId3463" xr:uid="{2BD4BC1D-5FD8-408A-8586-ED2999975FC1}"/>
    <hyperlink ref="W651" r:id="rId3464" xr:uid="{73DAFA90-5246-4B6A-AED9-500044AAF826}"/>
    <hyperlink ref="W653" r:id="rId3465" xr:uid="{BB9E847A-C924-4F79-9E3F-07FA687C3AC8}"/>
    <hyperlink ref="W655" r:id="rId3466" xr:uid="{4569606F-0077-48D7-ACFA-8367DAE9145D}"/>
    <hyperlink ref="W657" r:id="rId3467" xr:uid="{EF1B93E0-63D9-4FBF-9091-D708CF4F46B8}"/>
    <hyperlink ref="W659" r:id="rId3468" xr:uid="{F5F97796-31E1-4C2E-94B9-B0555A093878}"/>
    <hyperlink ref="W661" r:id="rId3469" xr:uid="{D01B9977-CEF3-4D7E-8A1D-2A7CF95FE59B}"/>
    <hyperlink ref="W663" r:id="rId3470" xr:uid="{0D22F196-1064-4D2F-B882-8FD9BAAA57F4}"/>
    <hyperlink ref="W665" r:id="rId3471" xr:uid="{0F82E48D-1BE6-43A6-A56C-FCA4D6B04C13}"/>
    <hyperlink ref="W667" r:id="rId3472" xr:uid="{C537730B-A3CB-4C4F-A723-430B34F05D2C}"/>
    <hyperlink ref="W669" r:id="rId3473" xr:uid="{B81E21EC-D549-4268-A58A-22F933E81CF9}"/>
    <hyperlink ref="W671" r:id="rId3474" xr:uid="{BBF49BB4-E85B-4D45-964B-3AF793A728A0}"/>
    <hyperlink ref="W673" r:id="rId3475" xr:uid="{AA4FF42A-017A-4B81-A3C9-C3025D839FBF}"/>
    <hyperlink ref="W675" r:id="rId3476" xr:uid="{75FE9433-120E-4DCB-AAB7-DAA0DD4CB84A}"/>
    <hyperlink ref="W677" r:id="rId3477" xr:uid="{895B3BCE-8565-4EF1-B6F6-54741B2B5353}"/>
    <hyperlink ref="W679" r:id="rId3478" xr:uid="{0314E0EF-6CFE-417E-B37D-F691B5F936BA}"/>
    <hyperlink ref="W681" r:id="rId3479" xr:uid="{3542D009-5E4A-4D8A-9598-EC9F35C2C9CC}"/>
    <hyperlink ref="W683" r:id="rId3480" xr:uid="{281109CD-54DB-46DA-9F14-820FF035C97B}"/>
    <hyperlink ref="W686" r:id="rId3481" xr:uid="{7BB2740A-84CB-4CA1-A38C-8BF608DE80C6}"/>
    <hyperlink ref="W687" r:id="rId3482" xr:uid="{B06BE405-CC0E-4567-936B-BF595D5FC163}"/>
    <hyperlink ref="W689" r:id="rId3483" xr:uid="{47390C8B-BE3B-41EC-BE11-4BA61385478A}"/>
    <hyperlink ref="W691" r:id="rId3484" xr:uid="{04B55C80-DF70-4D28-AADB-84B99BD73128}"/>
    <hyperlink ref="W693" r:id="rId3485" xr:uid="{414336E4-1387-45A0-979F-EFB794D8CA3B}"/>
    <hyperlink ref="W695" r:id="rId3486" xr:uid="{2FA6F038-02E8-477D-9697-6993872DE70F}"/>
    <hyperlink ref="W538" r:id="rId3487" xr:uid="{D78E760A-61FA-439F-BAFC-FE92ED6CC1D2}"/>
    <hyperlink ref="W540" r:id="rId3488" xr:uid="{3505011B-1A44-43B1-92CA-F4EA1AB276F5}"/>
    <hyperlink ref="W542" r:id="rId3489" xr:uid="{AFEBF9FA-4FF6-415B-80BB-9A0A3A4D06E0}"/>
    <hyperlink ref="W544" r:id="rId3490" xr:uid="{24A40556-357E-4C5F-BB33-5AEA5885E9EF}"/>
    <hyperlink ref="W546" r:id="rId3491" xr:uid="{40C60CD7-0481-4101-873B-D52B2F060484}"/>
    <hyperlink ref="W548" r:id="rId3492" xr:uid="{D16EABE6-AC7D-45FB-AC6B-F69DF003973C}"/>
    <hyperlink ref="W550" r:id="rId3493" xr:uid="{D4E127E7-9B40-4200-A970-CF1F0BBEC072}"/>
    <hyperlink ref="W552" r:id="rId3494" xr:uid="{64629668-1E86-4A2A-8D61-428EE3CED862}"/>
    <hyperlink ref="W554" r:id="rId3495" xr:uid="{CC933B5E-0A3A-424B-BF4C-5269A835DA8B}"/>
    <hyperlink ref="W556" r:id="rId3496" xr:uid="{E5E710CB-F4E6-47C1-890F-8EA7A84F67BE}"/>
    <hyperlink ref="W558" r:id="rId3497" xr:uid="{E9B5D05D-8D3E-4A42-BAD2-37868A1F505C}"/>
    <hyperlink ref="W560" r:id="rId3498" xr:uid="{BACE5B2F-CF5E-49DE-891A-D08836FF9E9B}"/>
    <hyperlink ref="W562" r:id="rId3499" xr:uid="{5CC1A5C9-0B9D-4AED-A3B7-73D8DB9677EB}"/>
    <hyperlink ref="W564" r:id="rId3500" xr:uid="{C0C1EBF3-1CD3-4C96-A20A-1C9D244D3CAE}"/>
    <hyperlink ref="W566" r:id="rId3501" xr:uid="{384C6BA1-AE79-47F6-B0F6-5950214167E2}"/>
    <hyperlink ref="W568" r:id="rId3502" xr:uid="{86E36046-A475-4429-BBC1-89F6EA8795BC}"/>
    <hyperlink ref="W570" r:id="rId3503" xr:uid="{17F1B55C-7ED6-42FE-8E7D-7F471BB6D732}"/>
    <hyperlink ref="W572" r:id="rId3504" xr:uid="{8AA13A07-8804-4BBF-9954-C416E521B148}"/>
    <hyperlink ref="W574" r:id="rId3505" xr:uid="{2384849D-F908-4729-9E59-EAB72AEF735E}"/>
    <hyperlink ref="W576" r:id="rId3506" xr:uid="{61E50221-A075-4F0B-986C-43715EC04272}"/>
    <hyperlink ref="W578" r:id="rId3507" xr:uid="{F3612B1B-D3F6-4872-BF4A-807327B30C93}"/>
    <hyperlink ref="W580" r:id="rId3508" xr:uid="{7503A3EB-16A1-434E-A62D-320C6F2218FE}"/>
    <hyperlink ref="W582" r:id="rId3509" xr:uid="{94F957BB-4E1A-4530-82EB-067739773864}"/>
    <hyperlink ref="W584" r:id="rId3510" xr:uid="{17B4ED15-3738-4D01-A06C-3D5AAAFBE34D}"/>
    <hyperlink ref="W586" r:id="rId3511" xr:uid="{E3A87152-4F7A-4F76-B402-1FF7D77D263D}"/>
    <hyperlink ref="W588" r:id="rId3512" xr:uid="{EF7C01CD-7DBA-435E-9553-365E9A645509}"/>
    <hyperlink ref="W590" r:id="rId3513" xr:uid="{BB713D56-C568-4600-9A61-7F538C3458D5}"/>
    <hyperlink ref="W592" r:id="rId3514" xr:uid="{A3ABABD0-929F-4124-A6D8-45A3ECC4469A}"/>
    <hyperlink ref="W594" r:id="rId3515" xr:uid="{29FBF690-CC00-4C6B-B27D-7D4F05F1470C}"/>
    <hyperlink ref="W596" r:id="rId3516" xr:uid="{6F4FD006-BAFB-46D2-A2B3-B71B9FF8766B}"/>
    <hyperlink ref="W598" r:id="rId3517" xr:uid="{64940B32-AC53-4410-A99E-475B13265DA6}"/>
    <hyperlink ref="W600" r:id="rId3518" xr:uid="{54E774DF-2AE7-409A-9AEF-3F24509C820A}"/>
    <hyperlink ref="W602" r:id="rId3519" xr:uid="{A9FAF983-BA4E-49CF-AAF2-97D58399A872}"/>
    <hyperlink ref="W604" r:id="rId3520" xr:uid="{68972FFA-BB04-47C1-BC58-BA396B87B9D3}"/>
    <hyperlink ref="W605" r:id="rId3521" xr:uid="{BF5A5825-287F-4B5A-B67D-B9DD6A11B3B4}"/>
    <hyperlink ref="W607" r:id="rId3522" xr:uid="{6CB97148-44B0-49C4-A7B4-4162631918D0}"/>
    <hyperlink ref="W608" r:id="rId3523" xr:uid="{3B2592E4-69A0-4626-B7C4-E085AC599C84}"/>
    <hyperlink ref="W629" r:id="rId3524" xr:uid="{9FD43012-F559-4658-9F56-C0F0A63A045D}"/>
    <hyperlink ref="W631" r:id="rId3525" xr:uid="{7CF050D8-945E-43E0-86CE-95BBC5B6D367}"/>
    <hyperlink ref="W633" r:id="rId3526" xr:uid="{509479DC-82EE-48DF-8BEE-A9D3B63B4AF7}"/>
    <hyperlink ref="W636" r:id="rId3527" xr:uid="{169FC9ED-EC56-4094-8A00-9B1D82B198CC}"/>
    <hyperlink ref="W638" r:id="rId3528" xr:uid="{23D90EE8-FBC6-4679-A2B1-09CA34741C25}"/>
    <hyperlink ref="W640" r:id="rId3529" xr:uid="{8DFD3098-13D3-4959-8DF3-9EF2BA135F80}"/>
    <hyperlink ref="W642" r:id="rId3530" xr:uid="{08A3198C-D2ED-4F18-BE0F-D0CB0C876C99}"/>
    <hyperlink ref="W644" r:id="rId3531" xr:uid="{7B9DD6A5-DC94-45F5-B592-D388A98ACA5F}"/>
    <hyperlink ref="W646" r:id="rId3532" xr:uid="{09D23E7E-3716-4E58-8AFD-442E5518C092}"/>
    <hyperlink ref="W648" r:id="rId3533" xr:uid="{E9A087D6-0C01-4B1B-A3E4-FCC1592A7454}"/>
    <hyperlink ref="W650" r:id="rId3534" xr:uid="{A15F732F-C520-4EC0-9682-A008E7640AE5}"/>
    <hyperlink ref="W652" r:id="rId3535" xr:uid="{E6688005-E65C-4718-960F-04AECCA189B2}"/>
    <hyperlink ref="W654" r:id="rId3536" xr:uid="{25047E42-C49F-4B45-9392-F0937EABB93E}"/>
    <hyperlink ref="W656" r:id="rId3537" xr:uid="{A6CFEDA8-6489-4B80-AFE3-043A25AB5CD7}"/>
    <hyperlink ref="W658" r:id="rId3538" xr:uid="{EA8A9584-1182-484E-BDFB-4426305C4674}"/>
    <hyperlink ref="W660" r:id="rId3539" xr:uid="{BBECEEDD-936D-42AB-86CD-6FA71C34EAE8}"/>
    <hyperlink ref="W662" r:id="rId3540" xr:uid="{12F4B77A-D481-4F53-AFE7-32C1ACB0DA3F}"/>
    <hyperlink ref="W664" r:id="rId3541" xr:uid="{8E34C5C8-AD80-4D75-84AC-A18A3C9017B8}"/>
    <hyperlink ref="W666" r:id="rId3542" xr:uid="{BA791CD7-5734-46F3-A924-26684383ED6D}"/>
    <hyperlink ref="W668" r:id="rId3543" xr:uid="{08E2F0EB-1433-4C98-A9E7-12A22BF88736}"/>
    <hyperlink ref="W670" r:id="rId3544" xr:uid="{02852279-30FD-415B-B890-ED791F1EAE13}"/>
    <hyperlink ref="W672" r:id="rId3545" xr:uid="{BAD0E8A0-3D70-4C3C-BF01-8F6EF04D2E2C}"/>
    <hyperlink ref="W674" r:id="rId3546" xr:uid="{9F6E4B64-02CF-4EE1-AFC7-CC7873BFC16C}"/>
    <hyperlink ref="W676" r:id="rId3547" xr:uid="{46B342C0-544D-4739-9E41-21B34768480E}"/>
    <hyperlink ref="W678" r:id="rId3548" xr:uid="{309431C5-0789-435F-A297-E5A01E66EAD4}"/>
    <hyperlink ref="W680" r:id="rId3549" xr:uid="{6BDB3E8C-D925-40A7-8769-55140521B0B4}"/>
    <hyperlink ref="W682" r:id="rId3550" xr:uid="{FB9969DC-6293-4634-B1EB-33E364725E9A}"/>
    <hyperlink ref="W684" r:id="rId3551" xr:uid="{3763DDCE-0621-4474-B30E-EB05DE590DB0}"/>
    <hyperlink ref="W685" r:id="rId3552" xr:uid="{0D496A88-EF88-49B2-80F4-040226BE43D4}"/>
    <hyperlink ref="W688" r:id="rId3553" xr:uid="{C467140C-7B79-428B-89E1-B68D2852FF48}"/>
    <hyperlink ref="W690" r:id="rId3554" xr:uid="{2E866A87-F6D0-4740-B08B-7121C9420D79}"/>
    <hyperlink ref="W692" r:id="rId3555" xr:uid="{07EAA26E-3E94-4308-8F1A-201491EDF7A3}"/>
    <hyperlink ref="W694" r:id="rId3556" xr:uid="{DABB92BC-79BA-4DB6-BB86-AF1ED7EC3523}"/>
    <hyperlink ref="W702" r:id="rId3557" xr:uid="{58CE8DE4-C6A9-4D5A-AA2D-D172FDC8EA8B}"/>
    <hyperlink ref="W703" r:id="rId3558" xr:uid="{5F725929-5239-46E5-AB42-AEBED55C9058}"/>
    <hyperlink ref="X704" r:id="rId3559" xr:uid="{AF4EE478-4860-4A83-A04A-270B88F35A43}"/>
    <hyperlink ref="V511" r:id="rId3560" xr:uid="{C3551A71-4072-417C-8146-CAF40152A336}"/>
    <hyperlink ref="W511" r:id="rId3561" location=":~:text=Since%20February%202022%2C%20the%20World,(March%209%2C%202023" xr:uid="{D8C20530-5509-49B1-88C2-03E569EE37E6}"/>
    <hyperlink ref="X511" r:id="rId3562" xr:uid="{986940B8-181F-494D-82E0-DA1D50A1CFAF}"/>
    <hyperlink ref="V277" r:id="rId3563" xr:uid="{25653291-D35C-4CF8-BA12-F02805302DFD}"/>
    <hyperlink ref="AB287" r:id="rId3564" xr:uid="{EDD5E521-A98C-4733-A097-166D4E2F210F}"/>
    <hyperlink ref="W503" r:id="rId3565" xr:uid="{DB4E0575-8188-4EC6-851B-F3700FB72ED0}"/>
    <hyperlink ref="V530" r:id="rId3566" xr:uid="{7A58C48A-0E5F-483B-AD10-B8CA4FE25457}"/>
    <hyperlink ref="X534" r:id="rId3567" xr:uid="{AE59B6D2-AD46-4C53-BC87-00139533B22B}"/>
    <hyperlink ref="W749" r:id="rId3568" location=":~:text=The%20Irish%20government%20is%20to%20provide%20%E2%82%AC10%20million,to%20coordinate%20a%20response%20to%20the%20Russian%20invasion." display="https://www.irishtimes.com/news/ireland/irish-news/irish-government-provides-10-million-in-humanitarian-support-for-ukraine-1.4810982#:~:text=The%20Irish%20government%20is%20to%20provide%20%E2%82%AC10%20million,to%20coordinate%20a%20response%20to%20the%20Russian%20invasion." xr:uid="{4BFA34F4-32A4-4453-9F96-F99A1DA3D821}"/>
    <hyperlink ref="V749" r:id="rId3569" xr:uid="{DAA4AD85-53E1-4AA1-B946-98483AD661EC}"/>
    <hyperlink ref="W758" r:id="rId3570" xr:uid="{6183F1AE-D9B1-49DD-94BE-CC78384E99A3}"/>
    <hyperlink ref="V758" r:id="rId3571" location=":~:text=%E2%80%9CIreland%20is%20sending%20another%20significant,the%20wider%20coordinated%20EU%20effort." xr:uid="{2E82B04E-E9F9-477E-8A77-2401AAF9395F}"/>
    <hyperlink ref="V759" r:id="rId3572" location=":~:text=The%20estimated%20total%20value%20of,global%20response%20to%20the%20crisis" xr:uid="{C24AA27E-2918-4A90-A104-3C962EF2839A}"/>
    <hyperlink ref="W759" r:id="rId3573" xr:uid="{073FEBB4-E95F-4ECF-9AFB-7D59959AE4D2}"/>
    <hyperlink ref="W761" r:id="rId3574" xr:uid="{E64E3F69-DD94-498A-A291-5857CC90E582}"/>
    <hyperlink ref="V1215" r:id="rId3575" xr:uid="{7F7C9C1C-43A8-4F24-9376-36CB5AA66FDB}"/>
    <hyperlink ref="W1215" r:id="rId3576" xr:uid="{3CA6B417-AB64-4D9D-B7BB-56F755B17DC3}"/>
    <hyperlink ref="W1216:W1217" r:id="rId3577" display="https://www.pbs.org/newshour/world/slovakia-joins-poland-in-agreeing-to-give-fighter-jets-to-ukraine " xr:uid="{E16C50BA-D800-4481-B25E-98EDD7780E8D}"/>
    <hyperlink ref="X1215" r:id="rId3578" xr:uid="{CFC8F043-3833-46F9-9790-A3A4074F71F9}"/>
    <hyperlink ref="X1216:X1217" r:id="rId3579" display="https://www.lemonde.fr/en/international/article/2023/03/17/after-poland-slovakia-to-give-ukraine-soviet-era-mig-29-jets_6019765_4.html " xr:uid="{B5B3B1C0-A1EA-41D1-8AF0-F4DC5173C4FA}"/>
    <hyperlink ref="Y1215" r:id="rId3580" xr:uid="{3E17F970-BEE6-4841-87E7-132F24142004}"/>
    <hyperlink ref="Y1216:Y1217" r:id="rId3581" display="https://www.forces.net/technology/weapons-and-kit/kub-slovakian-anti-aircraft-missile-system-looking-safeguard-ukraine " xr:uid="{CDCD249E-CFE0-4B6C-9F3F-BA41E83E3309}"/>
    <hyperlink ref="AB1217" r:id="rId3582" xr:uid="{071F3B4E-A321-453C-A62E-069E16BE8E46}"/>
    <hyperlink ref="AB1216" r:id="rId3583" xr:uid="{5758796F-F358-4E47-9B4D-C68D0BDFB6DF}"/>
    <hyperlink ref="X1324" r:id="rId3584" xr:uid="{066C35AC-ED27-4536-993A-92648D308758}"/>
    <hyperlink ref="V1324" r:id="rId3585" xr:uid="{651D179E-8D8C-4086-9DFF-ECBA9B4FC64B}"/>
    <hyperlink ref="W1324" r:id="rId3586" xr:uid="{808CD086-2B0C-4904-9A1D-ED5BA56C9004}"/>
    <hyperlink ref="V1329" r:id="rId3587" xr:uid="{C479A8A6-F3F4-4EFB-9C6F-8CC7F3FBEE00}"/>
    <hyperlink ref="W1329" r:id="rId3588" xr:uid="{5E62DDDD-280E-496B-BB22-A891A663A231}"/>
    <hyperlink ref="X1331" r:id="rId3589" xr:uid="{2CA0D9D6-74A4-490A-9D3B-C4342E593101}"/>
    <hyperlink ref="Y1324" r:id="rId3590" xr:uid="{B8ECBFED-326E-46FF-86A4-88C71C7CA48E}"/>
    <hyperlink ref="Y1326" r:id="rId3591" xr:uid="{E134EAB2-354B-4C81-B41C-B787989EA327}"/>
    <hyperlink ref="Y1327:Y1328" r:id="rId3592" display="https://www.eda.admin.ch/eda/en/fdfa/fdfa/aktuell/dossiers/krieg-gegen-ukraine.html " xr:uid="{337ADA8E-F168-4B85-BA45-34DC407B2E96}"/>
    <hyperlink ref="V1332" r:id="rId3593" xr:uid="{4824B1E7-3AF7-4B6A-8ED9-685737491C7B}"/>
    <hyperlink ref="W1332" r:id="rId3594" xr:uid="{2F970777-1454-4B1F-8A70-A3B536637197}"/>
    <hyperlink ref="W1333" r:id="rId3595" xr:uid="{8591C544-FF16-49A4-9B86-0DDC35AAC7FA}"/>
    <hyperlink ref="V1333" r:id="rId3596" xr:uid="{C9223151-860E-4F75-82B1-870D4FB0768D}"/>
    <hyperlink ref="AB1334" r:id="rId3597" display="https://www.newyorker.com/magazine/2022/05/16/the-turkish-drone-that-changed-the-nature-of-warfare" xr:uid="{CC5B1E5B-27AF-403C-ACF4-A4DC1934DFAD}"/>
    <hyperlink ref="AB1335" r:id="rId3598" xr:uid="{FE118848-ABF5-406F-A2D4-4ECD6FA2574F}"/>
    <hyperlink ref="V1334" r:id="rId3599" xr:uid="{6F35983B-E820-4285-8587-C937FCA66ED0}"/>
    <hyperlink ref="V1335" r:id="rId3600" xr:uid="{D26410AD-3C72-4279-9779-E0656D2B96CD}"/>
    <hyperlink ref="W1334" r:id="rId3601" xr:uid="{0846D4DA-9249-4B66-B0A5-6FB6D53E3E7E}"/>
    <hyperlink ref="W1335" r:id="rId3602" xr:uid="{62F864A3-A3D8-4C79-B1C3-8AAB441BA457}"/>
    <hyperlink ref="X1335" r:id="rId3603" xr:uid="{9563695E-ACD2-4B6F-9F97-BB8912F7B432}"/>
    <hyperlink ref="Y1335" r:id="rId3604" xr:uid="{3A69ED4D-B1BC-4EF0-A5C9-5670ECAA79E7}"/>
    <hyperlink ref="V1352" r:id="rId3605" xr:uid="{AD09AAC9-8F87-4108-B255-1C5AE5CEA069}"/>
    <hyperlink ref="X1362" r:id="rId3606" xr:uid="{4769FDA6-B0F5-463D-8730-D60D7A118D40}"/>
    <hyperlink ref="AB1361" r:id="rId3607" xr:uid="{608E0E10-2B6D-457C-9322-72F561281EE1}"/>
    <hyperlink ref="X1361" r:id="rId3608" xr:uid="{BD546E67-26D7-47E2-A720-98F13BA5ECC5}"/>
    <hyperlink ref="W611" r:id="rId3609" display="https://www.bundesregierung.de/breg-en/news/military-support-ukraine-2054992" xr:uid="{4679312F-93A4-4BA0-A0DF-2C304B7FF7DF}"/>
    <hyperlink ref="W610" r:id="rId3610" xr:uid="{301FE6AE-C873-4CED-910D-DBE3F34D9415}"/>
    <hyperlink ref="W617" r:id="rId3611" xr:uid="{D72AB5E4-453F-4301-828E-C8EFAFB209F2}"/>
    <hyperlink ref="W618" r:id="rId3612" xr:uid="{8B2B0CEB-8C0A-4AF7-A730-E4303F9DB5B7}"/>
    <hyperlink ref="W619" r:id="rId3613" xr:uid="{E3605A43-BF72-4028-B911-3D14D4D0BAED}"/>
    <hyperlink ref="W620" r:id="rId3614" xr:uid="{97BA20CB-0173-4BC7-B74A-9BAD87DADA04}"/>
    <hyperlink ref="W621" r:id="rId3615" xr:uid="{18EDE968-2419-4197-8717-0F34A7B17747}"/>
    <hyperlink ref="W622" r:id="rId3616" xr:uid="{2E085B2A-C69E-4F55-8832-8A2039290C14}"/>
    <hyperlink ref="W624" r:id="rId3617" xr:uid="{306CF899-2455-496E-9483-8BDD298D2F7C}"/>
    <hyperlink ref="AB624" r:id="rId3618" display="https://www.bundesregierung.de/breg-en/news/military-support-ukraine-2054992" xr:uid="{6C40D48B-0466-4D90-B311-65E4C8AE6727}"/>
    <hyperlink ref="W625" r:id="rId3619" xr:uid="{AEFB8C61-CE57-430E-AEBB-BEECADCC0826}"/>
    <hyperlink ref="AB625" r:id="rId3620" display="https://www.bundesregierung.de/breg-en/news/military-support-ukraine-2054992" xr:uid="{AA609B52-22D9-4FA1-ACD9-DC6AC327A14A}"/>
    <hyperlink ref="W626" r:id="rId3621" xr:uid="{8D5E5564-D570-459D-B56E-33B0CEDD12F6}"/>
    <hyperlink ref="AB626" r:id="rId3622" display="https://www.bundesregierung.de/breg-en/news/military-support-ukraine-2054992" xr:uid="{C3B34E26-C4BD-471C-A579-BD8263B729C2}"/>
    <hyperlink ref="W627" r:id="rId3623" xr:uid="{1A3FC848-080D-46AF-850A-A34111040B17}"/>
    <hyperlink ref="W628" r:id="rId3624" xr:uid="{B33B293A-8E90-4900-BB55-8B1E8A3664E4}"/>
    <hyperlink ref="AB627" r:id="rId3625" display="https://www.bundesregierung.de/breg-en/news/military-support-ukraine-2054992" xr:uid="{5563AE18-DB31-43D0-B3E5-20A83DF9ABCB}"/>
    <hyperlink ref="AB628" r:id="rId3626" display="https://www.bundesregierung.de/breg-en/news/military-support-ukraine-2054992" xr:uid="{B7A6C973-7894-47C2-8EAC-408CAF0E66CE}"/>
    <hyperlink ref="Y628" r:id="rId3627" xr:uid="{E15BD94E-CD48-4B2F-AF81-24835495A370}"/>
    <hyperlink ref="X628" r:id="rId3628" xr:uid="{8C68DE3F-C5A8-4C1A-A8C8-44B7F1B923C0}"/>
    <hyperlink ref="AB623" r:id="rId3629" display="https://www.bundesregierung.de/breg-en/news/military-support-ukraine-2054992" xr:uid="{F9DCD5C1-8847-44E2-AC9F-80BF5D0EA5B6}"/>
    <hyperlink ref="W623" r:id="rId3630" xr:uid="{03406EB9-380D-4895-A5D1-4747697F7130}"/>
    <hyperlink ref="W696" r:id="rId3631" xr:uid="{F3F111E1-B686-4A2D-BD28-027CB1165D0F}"/>
    <hyperlink ref="X696" r:id="rId3632" xr:uid="{9ACF50E8-7E7D-4A3C-B531-07D1898F3A4A}"/>
    <hyperlink ref="W697" r:id="rId3633" xr:uid="{CC5A5E2C-20BA-4849-BEA0-EEC5908E3B04}"/>
    <hyperlink ref="W698" r:id="rId3634" xr:uid="{61D2978E-24F1-4368-B9FE-408F86CBA88C}"/>
    <hyperlink ref="V536" r:id="rId3635" xr:uid="{DBA1C453-0E13-4C42-B589-F02883DC8AB3}"/>
    <hyperlink ref="Y534" r:id="rId3636" xr:uid="{880989A4-B1A7-4348-B75F-EF8DDF76C8CC}"/>
    <hyperlink ref="V1172" r:id="rId3637" xr:uid="{5945AC42-214D-4948-990C-508C47739BD7}"/>
    <hyperlink ref="W1172" r:id="rId3638" xr:uid="{AB0A7223-0425-41C1-9AC0-06A5369F3E07}"/>
    <hyperlink ref="X1172" r:id="rId3639" xr:uid="{1B1B280E-4BFB-4C84-9628-52DB12A31739}"/>
    <hyperlink ref="Y1172" r:id="rId3640" xr:uid="{120AD631-40EA-41BF-9013-DA04BAF502CA}"/>
    <hyperlink ref="V1173" r:id="rId3641" xr:uid="{BFDFEB42-BDCF-4B06-9518-6E2CEDD10E6B}"/>
    <hyperlink ref="W1173" r:id="rId3642" xr:uid="{63CFE2E2-6880-4F43-ABBD-8EE745F33999}"/>
    <hyperlink ref="X1173" r:id="rId3643" xr:uid="{C51AAFC6-8EEC-4A48-ACC6-6702C0EBB9FA}"/>
    <hyperlink ref="Y1173" r:id="rId3644" xr:uid="{79BBCE76-FE83-4F2E-AE71-D586F2F67F61}"/>
    <hyperlink ref="X465" r:id="rId3645" xr:uid="{FDD3FB40-799E-4ECB-927D-AEE35301C5E1}"/>
    <hyperlink ref="AB465" r:id="rId3646" xr:uid="{C5B1FE44-E875-4793-9A02-860AB7970CB8}"/>
    <hyperlink ref="AB484" r:id="rId3647" xr:uid="{0A8AEBF9-A0DA-48B9-A29C-C7C49E4809C4}"/>
    <hyperlink ref="X773" r:id="rId3648" xr:uid="{6A84D1C0-6DF2-4096-952A-EC1FB4B64CFE}"/>
    <hyperlink ref="X772" r:id="rId3649" xr:uid="{54637071-3327-4A9D-826C-6E8781935342}"/>
    <hyperlink ref="X776" r:id="rId3650" xr:uid="{5FA4DC93-884E-4EB1-803D-BC2F24287200}"/>
    <hyperlink ref="Y772" r:id="rId3651" xr:uid="{48F66A02-ED0E-4AE8-B800-F7A353BBCA11}"/>
    <hyperlink ref="Y773" r:id="rId3652" xr:uid="{B5AC51D7-5BF2-4125-8325-852C14AC5088}"/>
    <hyperlink ref="Y776" r:id="rId3653" xr:uid="{52CC54F2-05C1-414F-A1B9-9F9630E155D5}"/>
    <hyperlink ref="AB773" r:id="rId3654" xr:uid="{4B1FC406-B1F7-4C60-AC25-52F268143C86}"/>
    <hyperlink ref="AB777" r:id="rId3655" location="panel-17938480-c488-11ec-8148-005056bcf582-1" xr:uid="{0F46862A-171D-45A6-AB93-4AD9496044F5}"/>
    <hyperlink ref="W776" r:id="rId3656" xr:uid="{CF3DAE66-D21C-475F-A0CB-55EC14FD0C9B}"/>
    <hyperlink ref="V776" r:id="rId3657" xr:uid="{5E095B9E-B060-4012-8725-1E7D58A685A2}"/>
    <hyperlink ref="V769" r:id="rId3658" xr:uid="{0F8ACB3B-2F62-4330-A717-0AAEB8BA06C8}"/>
    <hyperlink ref="V760" r:id="rId3659" xr:uid="{28D9712F-88F7-4DB8-BEB7-2E5AF5FBDB74}"/>
    <hyperlink ref="V1362" r:id="rId3660" xr:uid="{56B37789-12D8-4C7F-B294-DF837112FDDC}"/>
    <hyperlink ref="V778" r:id="rId3661" location=":~:text=The%20Icelandic%20government%20has%20decided,Ukraine%20via%20the%20World%20Bank" xr:uid="{032E40E8-B2AB-4A0E-953F-621B65BC015B}"/>
    <hyperlink ref="V779" r:id="rId3662" xr:uid="{303EDF76-27D9-4570-AF86-8904985E1953}"/>
    <hyperlink ref="V781" r:id="rId3663" xr:uid="{73F82D44-48A6-4DEC-8A48-468CB02780D4}"/>
    <hyperlink ref="V766" r:id="rId3664" xr:uid="{57E2554A-D910-4CB5-BB80-9E25FDC5E1B0}"/>
    <hyperlink ref="W299" r:id="rId3665" xr:uid="{ECE42CB6-86D5-48AB-9CAF-4D7D53C601A4}"/>
    <hyperlink ref="X299" r:id="rId3666" xr:uid="{BDA1C450-9391-4281-96B3-173E097DE790}"/>
    <hyperlink ref="V299" r:id="rId3667" xr:uid="{F829E25B-39E2-4822-B1D0-5A9DE10B68FF}"/>
    <hyperlink ref="V318" r:id="rId3668" xr:uid="{BE32DD40-48C7-4B57-97C4-6F62028A53D0}"/>
    <hyperlink ref="W318" r:id="rId3669" xr:uid="{E50B86AE-59F0-4D95-AA50-AAAC07989318}"/>
    <hyperlink ref="X318" r:id="rId3670" location=":~:text=Ukraine%E2%80%99s%20Defence%20Ministry%20has%20reported%20that%20Denmark%20has,%E2%80%8B%E2%80%8BCAESARs%20it%20had%20ordered%20from%20the%20French%20manufacturer." xr:uid="{1FD4FE6A-498C-4900-A0D7-730DE9B9C417}"/>
    <hyperlink ref="AB318" r:id="rId3671" location=":~:text=Ukraine%E2%80%99s%20Defence%20Ministry%20has%20reported%20that%20Denmark%20has,%E2%80%8B%E2%80%8BCAESARs%20it%20had%20ordered%20from%20the%20French%20manufacturer." xr:uid="{F0163BF6-E589-4EB5-B2A1-6656C6395978}"/>
    <hyperlink ref="V317" r:id="rId3672" xr:uid="{EBDF3F7F-0B48-411F-B839-6F4DC10B841E}"/>
    <hyperlink ref="W317" r:id="rId3673" xr:uid="{4D52097C-8E2F-4224-AE96-CA9BF7577672}"/>
    <hyperlink ref="X317" r:id="rId3674" xr:uid="{A3C670C2-73DD-441D-A387-060993EAD721}"/>
    <hyperlink ref="W316" r:id="rId3675" xr:uid="{55E36D71-B4F1-4595-8932-219C01E04CDF}"/>
    <hyperlink ref="X316" r:id="rId3676" xr:uid="{C16A2745-E7E5-4FD8-8167-B8D7D24C05BE}"/>
    <hyperlink ref="V330" r:id="rId3677" xr:uid="{865BC019-095E-44D2-B547-0B61D4F5A86F}"/>
    <hyperlink ref="X330" r:id="rId3678" xr:uid="{B525D28D-D939-4287-A047-77AB8088ED70}"/>
    <hyperlink ref="W330" r:id="rId3679" xr:uid="{E557F9AE-E2F9-4793-92BE-92FDDFFD5252}"/>
    <hyperlink ref="V316" r:id="rId3680" xr:uid="{B2D7F219-9FBE-4233-9161-DE4E06DC6A63}"/>
    <hyperlink ref="V400:V402" r:id="rId3681" display="https://intermin.fi/en/ukraine/civilian-assistance-to-ukraine" xr:uid="{F9621F82-A2B7-474E-BC05-EDE405C2D5F4}"/>
    <hyperlink ref="V403" r:id="rId3682" xr:uid="{C72294EC-E015-4A44-B15F-FF58DC7C9F00}"/>
    <hyperlink ref="V404" r:id="rId3683" xr:uid="{90F1F3FA-208C-4A39-BC76-CB9915AE1A77}"/>
    <hyperlink ref="V405" r:id="rId3684" xr:uid="{979DCF79-1308-458E-A978-ACA338E93B8A}"/>
    <hyperlink ref="V406" r:id="rId3685" xr:uid="{1D7951BF-EA05-48AA-A2DF-4D316E2BDFBF}"/>
    <hyperlink ref="V407" r:id="rId3686" xr:uid="{5721E431-54D5-4EA6-B24C-D593818FD2F4}"/>
    <hyperlink ref="V408" r:id="rId3687" xr:uid="{4D23C40C-FFF5-4628-A2F4-E14A8D9961BF}"/>
    <hyperlink ref="V412" r:id="rId3688" xr:uid="{6CDA276E-4EDF-4650-BA73-A5189570AA4B}"/>
    <hyperlink ref="V413" r:id="rId3689" xr:uid="{98D582FD-0029-4AEE-87E1-DC39A32DDC93}"/>
    <hyperlink ref="V399" r:id="rId3690" xr:uid="{B2615B27-E72C-449C-85AF-043C5FFAB7BE}"/>
    <hyperlink ref="W399" r:id="rId3691" xr:uid="{ACA2D5A7-EF2B-4309-A869-AA9A7E0C181C}"/>
    <hyperlink ref="W400:W409" r:id="rId3692" display="https://um.fi/finland-s-support-to-ukraine" xr:uid="{BA2132F4-B222-423A-86B3-055355F0E6F5}"/>
    <hyperlink ref="V409" r:id="rId3693" xr:uid="{427916FE-99E6-48B7-B96C-B8286D05FF19}"/>
    <hyperlink ref="V410" r:id="rId3694" xr:uid="{2517CB03-2CB4-4A32-9E8C-FBF1C98588C1}"/>
    <hyperlink ref="V411" r:id="rId3695" xr:uid="{7C7F1F18-6013-4D9D-B728-EA1C78260336}"/>
    <hyperlink ref="W413" r:id="rId3696" xr:uid="{73BA6A49-3FF3-4BB6-A237-74D63B4ED51C}"/>
    <hyperlink ref="W412" r:id="rId3697" xr:uid="{EE2405BF-7370-4EC2-B810-6FC85C9B6A46}"/>
    <hyperlink ref="W411" r:id="rId3698" xr:uid="{65BAB425-18BF-4EDB-AED5-B6E454BC8391}"/>
    <hyperlink ref="W410" r:id="rId3699" xr:uid="{4E49B902-20A1-402D-A630-E3FDB3AF6E99}"/>
    <hyperlink ref="V432" r:id="rId3700" xr:uid="{05486079-1C68-49D6-9DFB-8720F539AA65}"/>
    <hyperlink ref="W432" r:id="rId3701" xr:uid="{55B64E7E-A00D-4F55-A17C-E8F4FC6ADA25}"/>
    <hyperlink ref="X432" r:id="rId3702" location=":~:text=Finland%27s%20government%20has%20promised%20to,to%20the%20war%2Dtorn%20country.&amp;text=Cryptocurrencies%20have%20come%20to%20aid,for%20over%202%20months%20now" display="https://www.businesstoday.in/crypto/story/finland-set-to-donate-over-eu70-million-worth-of-crypto-to-war-torn-ukraine-331795-2022-04-29#:~:text=Finland%27s%20government%20has%20promised%20to,to%20the%20war%2Dtorn%20country.&amp;text=Cryptocurrencies%20have%20come%20to%20aid,for%20over%202%20months%20now." xr:uid="{FFF3571D-91F7-4AC7-A347-4D17F855361E}"/>
    <hyperlink ref="V433" r:id="rId3703" xr:uid="{77D07403-370E-4B24-9CBF-D7A9E296D74E}"/>
    <hyperlink ref="Y432" r:id="rId3704" xr:uid="{104C9CD3-D1E6-4D97-8CA8-CF3F4828F3BA}"/>
    <hyperlink ref="V431" r:id="rId3705" location="5b2a0fc6" xr:uid="{94BC8E0F-BEC5-4282-8FBD-2E657E07FE68}"/>
    <hyperlink ref="V430" r:id="rId3706" location="5b2a0fc6" xr:uid="{5C4E3A38-C69A-462B-83A0-F206E60F63F8}"/>
    <hyperlink ref="V429" r:id="rId3707" location="5b2a0fc6" xr:uid="{6FA18AF3-6B24-42BF-9E23-2EF72A5B6DAB}"/>
    <hyperlink ref="W429" r:id="rId3708" xr:uid="{964AA6A4-C148-4C07-BF83-76B86E4B6164}"/>
    <hyperlink ref="W430" r:id="rId3709" xr:uid="{F07AD796-35DB-4938-831C-6651E8AF1A00}"/>
    <hyperlink ref="W431" r:id="rId3710" xr:uid="{DCE4E51E-292F-448E-8042-EE63BEA9F62B}"/>
    <hyperlink ref="V838" r:id="rId3711" xr:uid="{5EEFF039-67AF-4E44-A006-365544B995A8}"/>
    <hyperlink ref="V824" r:id="rId3712" xr:uid="{7E01F9CB-45FB-4A6E-9A3D-A39C94DA542A}"/>
    <hyperlink ref="V825" r:id="rId3713" xr:uid="{53572E45-AF61-4E1F-895C-5681F18433BA}"/>
    <hyperlink ref="W824" r:id="rId3714" xr:uid="{5664F791-65FD-4655-BC4D-CA41ABF6F03E}"/>
    <hyperlink ref="W825" r:id="rId3715" xr:uid="{A3F0BDA3-1FEF-40E8-9E52-A81A1F7F54C2}"/>
    <hyperlink ref="V1083" r:id="rId3716" xr:uid="{ACC0C30D-8FB4-48D6-89A1-EC119F2A8B9B}"/>
    <hyperlink ref="W1082" r:id="rId3717" xr:uid="{DABBAD15-9A97-41CF-AB3C-D10DCD7E0A8A}"/>
    <hyperlink ref="W1083" r:id="rId3718" xr:uid="{077AE462-E35A-432A-AB8A-F7978C53158A}"/>
    <hyperlink ref="W1084" r:id="rId3719" xr:uid="{27B813B9-E1BF-44C4-83E2-929D246EBD0D}"/>
    <hyperlink ref="V1084" r:id="rId3720" xr:uid="{A9DFC886-8AFD-4CC3-9EAC-670A07A8E52F}"/>
    <hyperlink ref="V1082" r:id="rId3721" xr:uid="{E41D1315-1FBB-466C-BE80-DC70D26CF7DA}"/>
    <hyperlink ref="V1295" r:id="rId3722" xr:uid="{14218DEB-26BF-4F70-A5FC-71FB70E38C47}"/>
    <hyperlink ref="W1295" r:id="rId3723" xr:uid="{97C51A88-BA2A-47D2-9AC9-CEF37255D520}"/>
    <hyperlink ref="V1309" r:id="rId3724" xr:uid="{FE355B06-5D39-4E4B-A71A-2F023F4A7BCA}"/>
    <hyperlink ref="W1309" r:id="rId3725" xr:uid="{F162A241-70AB-4107-9A8B-05421B7A9936}"/>
    <hyperlink ref="X1309" r:id="rId3726" xr:uid="{DC933002-5D6F-4D9B-943F-32B2049BF3DD}"/>
    <hyperlink ref="V1310" r:id="rId3727" xr:uid="{AD527994-D1B1-424F-9624-4F363E2A34D5}"/>
    <hyperlink ref="W1310" r:id="rId3728" xr:uid="{E1E66DAA-438D-4B19-B49C-DD0BD3A9C556}"/>
    <hyperlink ref="X1310" r:id="rId3729" xr:uid="{256B71A0-284D-4EEB-9F36-134029083DDB}"/>
    <hyperlink ref="V1311" r:id="rId3730" xr:uid="{A78861FF-9361-4F9E-BA2E-E7F99AEE3494}"/>
    <hyperlink ref="W1311" r:id="rId3731" xr:uid="{50D4782D-F006-4598-AD50-8B58A00CBA9D}"/>
    <hyperlink ref="X1311" r:id="rId3732" xr:uid="{E77E65D7-5435-4751-832C-C70B6DA741A1}"/>
    <hyperlink ref="V1312" r:id="rId3733" xr:uid="{7DB0EB2D-C588-4446-9046-FB0CEB533400}"/>
    <hyperlink ref="W1312" r:id="rId3734" xr:uid="{2126B88E-11E5-43CF-813B-7C7D6A048183}"/>
    <hyperlink ref="X1312" r:id="rId3735" xr:uid="{C736710B-AE66-40E5-97E2-450430CF81C5}"/>
    <hyperlink ref="V1313" r:id="rId3736" xr:uid="{0A1DD70B-929C-451F-993E-68818911D080}"/>
    <hyperlink ref="W1313" r:id="rId3737" xr:uid="{80836EE1-A482-4060-BD4D-A0ADD6DC1C9B}"/>
    <hyperlink ref="X1313" r:id="rId3738" xr:uid="{90863996-D252-4E2F-A74F-E2B321BB3883}"/>
    <hyperlink ref="V1315" r:id="rId3739" xr:uid="{9478C6B4-E150-4BDD-90E6-43C734BDC97B}"/>
    <hyperlink ref="W1315" r:id="rId3740" xr:uid="{C4D2D0DD-831E-4DFB-9479-29AF8C923D26}"/>
    <hyperlink ref="X1315" r:id="rId3741" xr:uid="{B8A377D4-0112-46C6-8582-918D749EDC7B}"/>
    <hyperlink ref="W1316" r:id="rId3742" xr:uid="{FC8E9BFE-F2A2-4B2E-80B6-40C55DCFC5F8}"/>
    <hyperlink ref="V1316" r:id="rId3743" xr:uid="{8F54D737-4623-4325-A6AE-53236A81AFC8}"/>
    <hyperlink ref="V1314" r:id="rId3744" xr:uid="{2FCFF624-93D2-4C05-AA74-B73BD453F102}"/>
    <hyperlink ref="W1314" r:id="rId3745" xr:uid="{437FE558-6A12-4F41-855A-C5BD9A3A1BCA}"/>
    <hyperlink ref="V1323" r:id="rId3746" xr:uid="{07C5EE4E-300E-43A5-AC4A-EE13EA64A4E5}"/>
    <hyperlink ref="W1323" r:id="rId3747" xr:uid="{4CB54188-F8A8-485D-8A04-037F20AECF67}"/>
    <hyperlink ref="V1322" r:id="rId3748" xr:uid="{743A97F0-8125-479B-92E0-5909D0ADB6BD}"/>
    <hyperlink ref="W1322" r:id="rId3749" xr:uid="{7443EBDC-C63B-4F75-9BE2-D1A0516011D5}"/>
    <hyperlink ref="X1322" r:id="rId3750" xr:uid="{86BFC1E1-1B91-4E43-A180-EB4A37958F56}"/>
    <hyperlink ref="V1812" r:id="rId3751" xr:uid="{13C96836-A3AA-4F59-9787-C106B5712B0D}"/>
    <hyperlink ref="V1819" r:id="rId3752" xr:uid="{07373E90-41F5-4804-B845-03F9759D8BFA}"/>
    <hyperlink ref="V1833" r:id="rId3753" xr:uid="{49FD24AC-4406-44EA-8370-834B57BBF209}"/>
    <hyperlink ref="V1848" r:id="rId3754" xr:uid="{7D0EB2CA-4A83-48CC-A7F9-2204CC1171F3}"/>
    <hyperlink ref="V1858" r:id="rId3755" xr:uid="{8ADB0BB2-3ED3-44D1-A9EB-2442656A48C6}"/>
    <hyperlink ref="V1886" r:id="rId3756" xr:uid="{4FCE065C-87FC-4495-9354-FE4534B66ECE}"/>
    <hyperlink ref="W1812" r:id="rId3757" location=":~:text=All%20the%20FY2022%20USAI%20funds,%2475%20million%20in%20lethal%20assistance." xr:uid="{FF5038DB-2697-4D75-9435-A98EBB8FDC03}"/>
    <hyperlink ref="W1819" r:id="rId3758" location=":~:text=All%20the%20FY2022%20USAI%20funds,%2475%20million%20in%20lethal%20assistance." xr:uid="{63D9FA2C-A5B0-4013-99D7-1A261B7BA25C}"/>
    <hyperlink ref="W1833" r:id="rId3759" location=":~:text=All%20the%20FY2022%20USAI%20funds,%2475%20million%20in%20lethal%20assistance." xr:uid="{918FBEBF-9582-4B9C-A55D-0B069C7479AC}"/>
    <hyperlink ref="W1848" r:id="rId3760" location=":~:text=All%20the%20FY2022%20USAI%20funds,%2475%20million%20in%20lethal%20assistance." xr:uid="{8DFB17C6-F2DB-41E1-8DDD-8DDCDAE82025}"/>
    <hyperlink ref="W1858" r:id="rId3761" location=":~:text=All%20the%20FY2022%20USAI%20funds,%2475%20million%20in%20lethal%20assistance." xr:uid="{84EE410F-87FE-4D2B-B239-F0E58C75DB11}"/>
    <hyperlink ref="W1886" r:id="rId3762" location=":~:text=All%20the%20FY2022%20USAI%20funds,%2475%20million%20in%20lethal%20assistance." xr:uid="{7AC0C28B-1B72-4075-A0D1-30D4E5238E13}"/>
    <hyperlink ref="V1813" r:id="rId3763" xr:uid="{3CD36A57-C7BB-4629-8234-A7E3ECCD7213}"/>
    <hyperlink ref="W1813" r:id="rId3764" location=":~:text=All%20the%20FY2022%20USAI%20funds,%2475%20million%20in%20lethal%20assistance." xr:uid="{5A16E01B-8F05-4E6C-A62D-ADCAFD93470E}"/>
    <hyperlink ref="V1814" r:id="rId3765" xr:uid="{F160BD85-D06E-42E0-A342-2FA63402E41E}"/>
    <hyperlink ref="W1814" r:id="rId3766" location=":~:text=All%20the%20FY2022%20USAI%20funds,%2475%20million%20in%20lethal%20assistance." xr:uid="{7BEB78A2-56DA-4541-AD86-5E4C68EC49F0}"/>
    <hyperlink ref="V1815" r:id="rId3767" xr:uid="{648E5C47-94A1-4EBD-B7FC-B0CE532228A3}"/>
    <hyperlink ref="W1815" r:id="rId3768" location=":~:text=All%20the%20FY2022%20USAI%20funds,%2475%20million%20in%20lethal%20assistance." xr:uid="{0C18B850-B476-47A9-BE35-F4D1387B397D}"/>
    <hyperlink ref="V1816" r:id="rId3769" xr:uid="{CBE9F6E7-492E-47E4-8823-74C167DB7DFA}"/>
    <hyperlink ref="W1816" r:id="rId3770" location=":~:text=All%20the%20FY2022%20USAI%20funds,%2475%20million%20in%20lethal%20assistance." xr:uid="{7B8616F7-B714-4B71-A1CF-44AE238E06AD}"/>
    <hyperlink ref="V1817" r:id="rId3771" xr:uid="{F97C95F1-A3E8-4410-B8D8-3864B7FDC102}"/>
    <hyperlink ref="W1817" r:id="rId3772" location=":~:text=All%20the%20FY2022%20USAI%20funds,%2475%20million%20in%20lethal%20assistance." xr:uid="{0F7B3B5C-C066-4AB4-A9D8-DB4D40F45899}"/>
    <hyperlink ref="V1818" r:id="rId3773" xr:uid="{7B12466F-7CE5-4907-AD1E-79303764DE20}"/>
    <hyperlink ref="W1818" r:id="rId3774" location=":~:text=All%20the%20FY2022%20USAI%20funds,%2475%20million%20in%20lethal%20assistance." xr:uid="{0C3E22E1-0F8D-4B32-91C7-4540A97A29E8}"/>
    <hyperlink ref="V1820" r:id="rId3775" xr:uid="{B7EB35F8-7F80-4FE6-8986-295A9BE9BCB7}"/>
    <hyperlink ref="W1820" r:id="rId3776" location=":~:text=All%20the%20FY2022%20USAI%20funds,%2475%20million%20in%20lethal%20assistance." xr:uid="{06AD89E8-244D-4591-8ACD-BE2DB6FB0AB5}"/>
    <hyperlink ref="V1821" r:id="rId3777" xr:uid="{11E44209-DAA0-49F2-8698-102A3A0AED98}"/>
    <hyperlink ref="V1823" r:id="rId3778" xr:uid="{AE207E17-4979-453E-B2D8-2A7E5D3E848A}"/>
    <hyperlink ref="V1825" r:id="rId3779" xr:uid="{D8AD09FC-6E64-40B9-9F4F-025D7BC67F79}"/>
    <hyperlink ref="V1827" r:id="rId3780" xr:uid="{C3F02F45-B723-4628-9046-2983F3021390}"/>
    <hyperlink ref="V1829" r:id="rId3781" xr:uid="{5241C5C1-49C6-439C-B1C2-F60B36A53F0B}"/>
    <hyperlink ref="V1831" r:id="rId3782" xr:uid="{80037D24-750B-43DB-A548-8E37FD85A808}"/>
    <hyperlink ref="W1821" r:id="rId3783" location=":~:text=All%20the%20FY2022%20USAI%20funds,%2475%20million%20in%20lethal%20assistance." xr:uid="{AF98E31F-778A-445E-96F7-3E96D9F0A92C}"/>
    <hyperlink ref="W1823" r:id="rId3784" location=":~:text=All%20the%20FY2022%20USAI%20funds,%2475%20million%20in%20lethal%20assistance." xr:uid="{07F70DAC-3351-4C97-B8BD-724B61EB6C8B}"/>
    <hyperlink ref="W1825" r:id="rId3785" location=":~:text=All%20the%20FY2022%20USAI%20funds,%2475%20million%20in%20lethal%20assistance." xr:uid="{3B930BE7-D25D-478D-AF89-5EEE16115FE2}"/>
    <hyperlink ref="W1827" r:id="rId3786" location=":~:text=All%20the%20FY2022%20USAI%20funds,%2475%20million%20in%20lethal%20assistance." xr:uid="{2536C5C4-AF8E-4634-9771-34602D00E5DC}"/>
    <hyperlink ref="W1829" r:id="rId3787" location=":~:text=All%20the%20FY2022%20USAI%20funds,%2475%20million%20in%20lethal%20assistance." xr:uid="{0B8DDFF5-5522-4A9B-8B7E-AD3F56F5D36A}"/>
    <hyperlink ref="W1831" r:id="rId3788" location=":~:text=All%20the%20FY2022%20USAI%20funds,%2475%20million%20in%20lethal%20assistance." xr:uid="{D6DE880E-0621-4157-914B-6CCAF269ED14}"/>
    <hyperlink ref="V1822" r:id="rId3789" xr:uid="{1233CC5B-BBA8-48E6-9542-39547EB00A87}"/>
    <hyperlink ref="V1824" r:id="rId3790" xr:uid="{F1915E21-2615-45E5-89E8-E89828087AB3}"/>
    <hyperlink ref="V1826" r:id="rId3791" xr:uid="{FAFEF447-B550-4C5F-B659-BC2C24BC4C5C}"/>
    <hyperlink ref="V1828" r:id="rId3792" xr:uid="{B092981C-EE74-46A0-A266-211819F28B66}"/>
    <hyperlink ref="V1830" r:id="rId3793" xr:uid="{1BD0D3FD-22ED-4B7F-B067-3F8EBC25D6E1}"/>
    <hyperlink ref="W1822" r:id="rId3794" location=":~:text=All%20the%20FY2022%20USAI%20funds,%2475%20million%20in%20lethal%20assistance." xr:uid="{96D44CBF-A1E6-42D6-A639-980BABD3363A}"/>
    <hyperlink ref="W1824" r:id="rId3795" location=":~:text=All%20the%20FY2022%20USAI%20funds,%2475%20million%20in%20lethal%20assistance." xr:uid="{8DE5A4FD-66B6-4ED5-9AAF-F916F6C2C4F2}"/>
    <hyperlink ref="W1826" r:id="rId3796" location=":~:text=All%20the%20FY2022%20USAI%20funds,%2475%20million%20in%20lethal%20assistance." xr:uid="{18E6CA3C-52D8-447A-8DF4-F9959A40CBA3}"/>
    <hyperlink ref="W1828" r:id="rId3797" location=":~:text=All%20the%20FY2022%20USAI%20funds,%2475%20million%20in%20lethal%20assistance." xr:uid="{AF1141E9-7042-40A8-8CE2-E9517A791981}"/>
    <hyperlink ref="W1830" r:id="rId3798" location=":~:text=All%20the%20FY2022%20USAI%20funds,%2475%20million%20in%20lethal%20assistance." xr:uid="{04DB38C7-CDB7-40DD-B86E-E66CDBA8E817}"/>
    <hyperlink ref="V1832" r:id="rId3799" xr:uid="{29F1C839-3014-4568-AFE9-0640EC53151A}"/>
    <hyperlink ref="W1832" r:id="rId3800" location=":~:text=All%20the%20FY2022%20USAI%20funds,%2475%20million%20in%20lethal%20assistance." xr:uid="{7E970DA1-14A6-481F-B6F4-6E297CCDDB69}"/>
    <hyperlink ref="V1834" r:id="rId3801" xr:uid="{01E6A8E4-3A37-4B48-997C-37E202937F52}"/>
    <hyperlink ref="W1834" r:id="rId3802" location=":~:text=All%20the%20FY2022%20USAI%20funds,%2475%20million%20in%20lethal%20assistance." xr:uid="{C03BE155-DCE3-4093-9C8B-045BA407145B}"/>
    <hyperlink ref="V1835" r:id="rId3803" xr:uid="{BC1C2E1C-3335-4E4C-8E16-93E22C992C56}"/>
    <hyperlink ref="V1837" r:id="rId3804" xr:uid="{36EC4333-0857-4B82-A3DA-6E92CA2FB7A6}"/>
    <hyperlink ref="V1839" r:id="rId3805" xr:uid="{ABC75190-1BB4-4698-B29A-878D4AC03A35}"/>
    <hyperlink ref="V1841" r:id="rId3806" xr:uid="{EF778961-B716-4902-A49A-543E4C1E1792}"/>
    <hyperlink ref="V1843" r:id="rId3807" xr:uid="{F2AF1103-EC71-4783-BB97-21889EAD9E46}"/>
    <hyperlink ref="V1845" r:id="rId3808" xr:uid="{A4D71DFF-F0F7-476F-AE53-DCF33E64D7D2}"/>
    <hyperlink ref="V1847" r:id="rId3809" xr:uid="{138C5B52-3307-490C-BEAD-76E4012C76D1}"/>
    <hyperlink ref="W1835" r:id="rId3810" location=":~:text=All%20the%20FY2022%20USAI%20funds,%2475%20million%20in%20lethal%20assistance." xr:uid="{2A4A3096-F36A-44B9-9E88-1CD9D850EE3C}"/>
    <hyperlink ref="W1837" r:id="rId3811" location=":~:text=All%20the%20FY2022%20USAI%20funds,%2475%20million%20in%20lethal%20assistance." xr:uid="{5E21BEA1-636D-4C96-8E68-7CEB5418FB41}"/>
    <hyperlink ref="W1839" r:id="rId3812" location=":~:text=All%20the%20FY2022%20USAI%20funds,%2475%20million%20in%20lethal%20assistance." xr:uid="{7F6BA980-3EC3-4E44-BA4A-36F8775BA5EC}"/>
    <hyperlink ref="W1841" r:id="rId3813" location=":~:text=All%20the%20FY2022%20USAI%20funds,%2475%20million%20in%20lethal%20assistance." xr:uid="{0ED2B299-F7BC-435E-A854-48D447BB7608}"/>
    <hyperlink ref="W1843" r:id="rId3814" location=":~:text=All%20the%20FY2022%20USAI%20funds,%2475%20million%20in%20lethal%20assistance." xr:uid="{089784FF-BBAA-429C-98CF-C64300ADB0CF}"/>
    <hyperlink ref="W1845" r:id="rId3815" location=":~:text=All%20the%20FY2022%20USAI%20funds,%2475%20million%20in%20lethal%20assistance." xr:uid="{3CFDC99E-C1BD-41C9-9B68-2A2934F7D805}"/>
    <hyperlink ref="W1847" r:id="rId3816" location=":~:text=All%20the%20FY2022%20USAI%20funds,%2475%20million%20in%20lethal%20assistance." xr:uid="{273DEE63-A4CF-4726-B28A-B5406A107C28}"/>
    <hyperlink ref="V1836" r:id="rId3817" xr:uid="{26F90B42-FE4B-4E8A-886D-BCAF06490710}"/>
    <hyperlink ref="V1838" r:id="rId3818" xr:uid="{7063136A-21EC-46DC-9EBF-46D4363E7D10}"/>
    <hyperlink ref="V1840" r:id="rId3819" xr:uid="{BC284ACA-D05A-457B-B0B5-5AE40078C3FA}"/>
    <hyperlink ref="V1842" r:id="rId3820" xr:uid="{78762DF8-FD65-423A-8310-BEBE186BEBB2}"/>
    <hyperlink ref="V1844" r:id="rId3821" xr:uid="{6B1C4246-B6E7-47FC-B4E6-A63A53156D36}"/>
    <hyperlink ref="V1846" r:id="rId3822" xr:uid="{E8509F4C-825C-4420-B49F-BCFAD5B3AC66}"/>
    <hyperlink ref="W1836" r:id="rId3823" location=":~:text=All%20the%20FY2022%20USAI%20funds,%2475%20million%20in%20lethal%20assistance." xr:uid="{DA9E2ED0-9288-4C50-B79B-0F1A3420FE7B}"/>
    <hyperlink ref="W1838" r:id="rId3824" location=":~:text=All%20the%20FY2022%20USAI%20funds,%2475%20million%20in%20lethal%20assistance." xr:uid="{120C6179-C330-4DAD-B7FB-EBBE32784DB6}"/>
    <hyperlink ref="W1840" r:id="rId3825" location=":~:text=All%20the%20FY2022%20USAI%20funds,%2475%20million%20in%20lethal%20assistance." xr:uid="{83836F89-98F0-48AA-A5D4-4B47456AE91C}"/>
    <hyperlink ref="W1842" r:id="rId3826" location=":~:text=All%20the%20FY2022%20USAI%20funds,%2475%20million%20in%20lethal%20assistance." xr:uid="{F0AA0119-DAF4-4728-8392-1C8A5C299BD9}"/>
    <hyperlink ref="W1844" r:id="rId3827" location=":~:text=All%20the%20FY2022%20USAI%20funds,%2475%20million%20in%20lethal%20assistance." xr:uid="{1C399DC1-7BBA-4EE4-AD83-DAB1F34419EC}"/>
    <hyperlink ref="W1846" r:id="rId3828" location=":~:text=All%20the%20FY2022%20USAI%20funds,%2475%20million%20in%20lethal%20assistance." xr:uid="{D079F1F1-F851-4126-A4B3-50ADC77758FE}"/>
    <hyperlink ref="V1849" r:id="rId3829" xr:uid="{348ABCEC-5ED1-4067-9B33-EA84A3CCC2E1}"/>
    <hyperlink ref="W1849" r:id="rId3830" location=":~:text=All%20the%20FY2022%20USAI%20funds,%2475%20million%20in%20lethal%20assistance." xr:uid="{7FF116A4-F9A2-45DF-AA83-63F3D88532A9}"/>
    <hyperlink ref="V1850" r:id="rId3831" xr:uid="{ADFCE5DF-DC28-4DBB-A62E-5550D505E288}"/>
    <hyperlink ref="V1852" r:id="rId3832" xr:uid="{6BA0E80C-0EF4-4734-9FF6-D7D17364DD99}"/>
    <hyperlink ref="V1854" r:id="rId3833" xr:uid="{CC4D6749-2481-44F8-A6D4-826DC10BD4D9}"/>
    <hyperlink ref="V1856" r:id="rId3834" xr:uid="{2D6A84E6-882B-4847-9037-60611931CCB2}"/>
    <hyperlink ref="W1850" r:id="rId3835" location=":~:text=All%20the%20FY2022%20USAI%20funds,%2475%20million%20in%20lethal%20assistance." xr:uid="{DD6A7940-41DE-4CA7-A63D-FD876C9F15D2}"/>
    <hyperlink ref="W1852" r:id="rId3836" location=":~:text=All%20the%20FY2022%20USAI%20funds,%2475%20million%20in%20lethal%20assistance." xr:uid="{6390E356-EE35-4786-B62A-DA8EDEC4B6D9}"/>
    <hyperlink ref="W1854" r:id="rId3837" location=":~:text=All%20the%20FY2022%20USAI%20funds,%2475%20million%20in%20lethal%20assistance." xr:uid="{5CE7FBC9-65A6-4F3D-8E42-2BAA7C6ECC34}"/>
    <hyperlink ref="W1856" r:id="rId3838" location=":~:text=All%20the%20FY2022%20USAI%20funds,%2475%20million%20in%20lethal%20assistance." xr:uid="{8DE2FB2E-B73E-4FED-8451-BE5D52222AB3}"/>
    <hyperlink ref="V1851" r:id="rId3839" xr:uid="{C5E3A61C-95E3-4902-9696-1B4A0CAF5208}"/>
    <hyperlink ref="V1853" r:id="rId3840" xr:uid="{6BAE23EC-2324-4E0C-A239-209ABEB52512}"/>
    <hyperlink ref="V1855" r:id="rId3841" xr:uid="{710726BF-D12E-4013-A5AA-395772AC39C2}"/>
    <hyperlink ref="W1851" r:id="rId3842" location=":~:text=All%20the%20FY2022%20USAI%20funds,%2475%20million%20in%20lethal%20assistance." xr:uid="{C3FBF07F-5156-4D3F-BA50-14F7EFB20DD9}"/>
    <hyperlink ref="W1853" r:id="rId3843" location=":~:text=All%20the%20FY2022%20USAI%20funds,%2475%20million%20in%20lethal%20assistance." xr:uid="{87F48E65-7F0C-4245-BBB7-BF8423F8E988}"/>
    <hyperlink ref="W1855" r:id="rId3844" location=":~:text=All%20the%20FY2022%20USAI%20funds,%2475%20million%20in%20lethal%20assistance." xr:uid="{10AED6EA-C08B-4D98-883B-78E0DD4BAC4D}"/>
    <hyperlink ref="W1859" r:id="rId3845" location=":~:text=All%20the%20FY2022%20USAI%20funds,%2475%20million%20in%20lethal%20assistance." xr:uid="{5E88E148-3274-4C52-A7D9-0D4C80B2E551}"/>
    <hyperlink ref="W1860" r:id="rId3846" location=":~:text=All%20the%20FY2022%20USAI%20funds,%2475%20million%20in%20lethal%20assistance." xr:uid="{E13B0587-64BA-4748-8389-503FAEE3301E}"/>
    <hyperlink ref="W1862" r:id="rId3847" location=":~:text=All%20the%20FY2022%20USAI%20funds,%2475%20million%20in%20lethal%20assistance." xr:uid="{9996DB1F-698E-424D-B9ED-2EFCF9C05DD7}"/>
    <hyperlink ref="W1864" r:id="rId3848" location=":~:text=All%20the%20FY2022%20USAI%20funds,%2475%20million%20in%20lethal%20assistance." xr:uid="{C08A9631-9D7E-4B7C-A36E-080DCF852387}"/>
    <hyperlink ref="W1866" r:id="rId3849" location=":~:text=All%20the%20FY2022%20USAI%20funds,%2475%20million%20in%20lethal%20assistance." xr:uid="{5D339FDD-8BAD-47E5-A534-2AD85F8C23D4}"/>
    <hyperlink ref="W1868" r:id="rId3850" location=":~:text=All%20the%20FY2022%20USAI%20funds,%2475%20million%20in%20lethal%20assistance." xr:uid="{9FE953C7-80DD-4B21-A3A6-6E7D3A7CF39A}"/>
    <hyperlink ref="W1870" r:id="rId3851" location=":~:text=All%20the%20FY2022%20USAI%20funds,%2475%20million%20in%20lethal%20assistance." xr:uid="{513A0C18-3513-45DE-A29B-7DE5310695FA}"/>
    <hyperlink ref="W1861" r:id="rId3852" location=":~:text=All%20the%20FY2022%20USAI%20funds,%2475%20million%20in%20lethal%20assistance." xr:uid="{15B34607-61FF-44A0-9869-8E1EAA898482}"/>
    <hyperlink ref="W1863" r:id="rId3853" location=":~:text=All%20the%20FY2022%20USAI%20funds,%2475%20million%20in%20lethal%20assistance." xr:uid="{8F3A93FD-7E4B-43E7-B744-1CCE2CA2D2A8}"/>
    <hyperlink ref="W1865" r:id="rId3854" location=":~:text=All%20the%20FY2022%20USAI%20funds,%2475%20million%20in%20lethal%20assistance." xr:uid="{B8E299E3-C0F5-4D20-8D10-87E44EAACEA2}"/>
    <hyperlink ref="W1867" r:id="rId3855" location=":~:text=All%20the%20FY2022%20USAI%20funds,%2475%20million%20in%20lethal%20assistance." xr:uid="{E6248E6E-F483-43D6-B7FF-4A265DC6BB44}"/>
    <hyperlink ref="W1869" r:id="rId3856" location=":~:text=All%20the%20FY2022%20USAI%20funds,%2475%20million%20in%20lethal%20assistance." xr:uid="{55BE864E-D9B1-4B3E-978D-AD2AA265AE11}"/>
    <hyperlink ref="W1871" r:id="rId3857" location=":~:text=All%20the%20FY2022%20USAI%20funds,%2475%20million%20in%20lethal%20assistance." xr:uid="{9D07701F-D99B-4263-9C80-418CAA4CD5B2}"/>
    <hyperlink ref="V1857" r:id="rId3858" xr:uid="{C909A303-EB83-4772-87E0-94EF8A6F0C8F}"/>
    <hyperlink ref="W1857" r:id="rId3859" location=":~:text=All%20the%20FY2022%20USAI%20funds,%2475%20million%20in%20lethal%20assistance." xr:uid="{C8A09D41-7956-4B13-974C-89C86D6C7675}"/>
    <hyperlink ref="V1873" r:id="rId3860" xr:uid="{FA9B64A4-1DDB-467F-B875-F2C32EFE8687}"/>
    <hyperlink ref="W1873" r:id="rId3861" location=":~:text=All%20the%20FY2022%20USAI%20funds,%2475%20million%20in%20lethal%20assistance." xr:uid="{14373819-3B6C-4E23-B79A-674ADDD99979}"/>
    <hyperlink ref="V1874" r:id="rId3862" xr:uid="{95EC1B4A-C4DB-4206-BC78-E069AEB6719D}"/>
    <hyperlink ref="W1874" r:id="rId3863" location=":~:text=All%20the%20FY2022%20USAI%20funds,%2475%20million%20in%20lethal%20assistance." xr:uid="{74D765C4-0D77-4C4E-8FDD-40423848F697}"/>
    <hyperlink ref="V1875" r:id="rId3864" xr:uid="{68BB0219-BA97-4658-BC1A-5E9037E406EA}"/>
    <hyperlink ref="V1877" r:id="rId3865" xr:uid="{81F15C77-72BB-4C66-A4DD-1E24A147AEBC}"/>
    <hyperlink ref="V1879" r:id="rId3866" xr:uid="{D3F2D897-A4BF-462F-9A15-B5F43A8069F5}"/>
    <hyperlink ref="V1881" r:id="rId3867" xr:uid="{CA5F454C-EE86-4452-BB27-83132F71DC14}"/>
    <hyperlink ref="V1883" r:id="rId3868" xr:uid="{4F4A9802-1F11-4C74-B1E2-6007BD8435B2}"/>
    <hyperlink ref="W1875" r:id="rId3869" location=":~:text=All%20the%20FY2022%20USAI%20funds,%2475%20million%20in%20lethal%20assistance." xr:uid="{16FE9844-E62D-4B75-9C03-9E8782D7DC87}"/>
    <hyperlink ref="W1877" r:id="rId3870" location=":~:text=All%20the%20FY2022%20USAI%20funds,%2475%20million%20in%20lethal%20assistance." xr:uid="{F62AA442-D6ED-457A-AD8C-2B722B73E502}"/>
    <hyperlink ref="W1879" r:id="rId3871" location=":~:text=All%20the%20FY2022%20USAI%20funds,%2475%20million%20in%20lethal%20assistance." xr:uid="{3D61958C-F1CF-409B-BD93-B97279967560}"/>
    <hyperlink ref="W1881" r:id="rId3872" location=":~:text=All%20the%20FY2022%20USAI%20funds,%2475%20million%20in%20lethal%20assistance." xr:uid="{60FCF5D9-4F33-4FC6-A82F-5BE6549B0115}"/>
    <hyperlink ref="W1883" r:id="rId3873" location=":~:text=All%20the%20FY2022%20USAI%20funds,%2475%20million%20in%20lethal%20assistance." xr:uid="{49D9AFA7-5B8B-4275-AEA7-F14F5509B4C1}"/>
    <hyperlink ref="V1876" r:id="rId3874" xr:uid="{8411889F-EFB6-47AD-A818-B1AE29844469}"/>
    <hyperlink ref="V1878" r:id="rId3875" xr:uid="{94AEE979-6D19-42D2-8135-84678E68EE0D}"/>
    <hyperlink ref="V1880" r:id="rId3876" xr:uid="{F1CC9977-628B-424E-980E-17A8F5D781FB}"/>
    <hyperlink ref="V1882" r:id="rId3877" xr:uid="{C8FFAA05-FEB7-4E25-94F3-EF71FA0661CA}"/>
    <hyperlink ref="V1884" r:id="rId3878" xr:uid="{D1753B79-5E59-4A73-BC66-DD1E957A94FB}"/>
    <hyperlink ref="W1876" r:id="rId3879" location=":~:text=All%20the%20FY2022%20USAI%20funds,%2475%20million%20in%20lethal%20assistance." xr:uid="{2C22733A-4D5F-4386-A0EC-3B924638B5D0}"/>
    <hyperlink ref="W1878" r:id="rId3880" location=":~:text=All%20the%20FY2022%20USAI%20funds,%2475%20million%20in%20lethal%20assistance." xr:uid="{C1761273-1D2A-4FF8-B432-293D34B07CE4}"/>
    <hyperlink ref="W1880" r:id="rId3881" location=":~:text=All%20the%20FY2022%20USAI%20funds,%2475%20million%20in%20lethal%20assistance." xr:uid="{F28E76CC-A5EF-4AD2-9EC3-CD317D880D10}"/>
    <hyperlink ref="W1882" r:id="rId3882" location=":~:text=All%20the%20FY2022%20USAI%20funds,%2475%20million%20in%20lethal%20assistance." xr:uid="{AAAD703B-70FE-46AF-B3CA-F85AC868A00C}"/>
    <hyperlink ref="W1884" r:id="rId3883" location=":~:text=All%20the%20FY2022%20USAI%20funds,%2475%20million%20in%20lethal%20assistance." xr:uid="{723048C1-6981-4172-ADA4-38CFA73DEB82}"/>
    <hyperlink ref="V1887" r:id="rId3884" xr:uid="{9F3F797E-ABE8-4E2F-85DC-EEA4D9442E58}"/>
    <hyperlink ref="W1887" r:id="rId3885" location=":~:text=All%20the%20FY2022%20USAI%20funds,%2475%20million%20in%20lethal%20assistance." xr:uid="{B88B5E3E-3674-46BD-A4C1-039B6E5EE11E}"/>
    <hyperlink ref="V1888" r:id="rId3886" xr:uid="{A5ED24C4-C1A9-4CE6-A80D-C9163E574904}"/>
    <hyperlink ref="V1890" r:id="rId3887" xr:uid="{1981068D-2314-46AD-AC33-14F852B9A250}"/>
    <hyperlink ref="V1892" r:id="rId3888" xr:uid="{D80A6673-A6A6-485C-B0E9-0B744708A0FF}"/>
    <hyperlink ref="V1894" r:id="rId3889" xr:uid="{3E4B554B-ACE1-457D-80F8-C2DA8FAA5681}"/>
    <hyperlink ref="V1896" r:id="rId3890" xr:uid="{49B74E6E-12DC-469B-B80D-DC388CE3F74F}"/>
    <hyperlink ref="W1888" r:id="rId3891" location=":~:text=All%20the%20FY2022%20USAI%20funds,%2475%20million%20in%20lethal%20assistance." xr:uid="{B365C47E-EC35-46F1-B975-C56E58AB2703}"/>
    <hyperlink ref="W1890" r:id="rId3892" location=":~:text=All%20the%20FY2022%20USAI%20funds,%2475%20million%20in%20lethal%20assistance." xr:uid="{DF2E40F2-5639-4503-BE49-3774223C4B7D}"/>
    <hyperlink ref="W1892" r:id="rId3893" location=":~:text=All%20the%20FY2022%20USAI%20funds,%2475%20million%20in%20lethal%20assistance." xr:uid="{DA5A43ED-71B7-4B3B-909A-22E6E3DF6023}"/>
    <hyperlink ref="W1894" r:id="rId3894" location=":~:text=All%20the%20FY2022%20USAI%20funds,%2475%20million%20in%20lethal%20assistance." xr:uid="{6A03F34C-F4D9-4E9B-A2A6-330BB86C470A}"/>
    <hyperlink ref="W1896" r:id="rId3895" location=":~:text=All%20the%20FY2022%20USAI%20funds,%2475%20million%20in%20lethal%20assistance." xr:uid="{05B3FF4E-9FD7-4A5A-A751-78505A65E696}"/>
    <hyperlink ref="V1889" r:id="rId3896" xr:uid="{EE8DE49A-B421-4FB3-A332-729DA2987E4E}"/>
    <hyperlink ref="V1891" r:id="rId3897" xr:uid="{04532D7A-4663-4944-8BE9-46788C9226B4}"/>
    <hyperlink ref="V1893" r:id="rId3898" xr:uid="{48DD565F-9BD2-4BB0-8550-FE585505D7A7}"/>
    <hyperlink ref="V1895" r:id="rId3899" xr:uid="{5D66D7F2-3B4C-48DE-BDFF-A436A4BD6A7A}"/>
    <hyperlink ref="V1897" r:id="rId3900" xr:uid="{BAEBBEB4-5457-4824-AD6C-A4CF7DD98235}"/>
    <hyperlink ref="W1889" r:id="rId3901" location=":~:text=All%20the%20FY2022%20USAI%20funds,%2475%20million%20in%20lethal%20assistance." xr:uid="{506F726C-FA20-4F55-A709-E98640E40295}"/>
    <hyperlink ref="W1891" r:id="rId3902" location=":~:text=All%20the%20FY2022%20USAI%20funds,%2475%20million%20in%20lethal%20assistance." xr:uid="{8C9E23D9-3442-4934-AAAF-DBABEAF5202A}"/>
    <hyperlink ref="W1893" r:id="rId3903" location=":~:text=All%20the%20FY2022%20USAI%20funds,%2475%20million%20in%20lethal%20assistance." xr:uid="{23A0BF39-9302-42CC-A2A3-9A20BF7EA113}"/>
    <hyperlink ref="W1895" r:id="rId3904" location=":~:text=All%20the%20FY2022%20USAI%20funds,%2475%20million%20in%20lethal%20assistance." xr:uid="{11507FF5-9C87-4D43-8D14-25713DF0F063}"/>
    <hyperlink ref="W1897" r:id="rId3905" location=":~:text=All%20the%20FY2022%20USAI%20funds,%2475%20million%20in%20lethal%20assistance." xr:uid="{C0FAD2E5-BBA6-4A5E-82B6-F5D6EFAFDB30}"/>
    <hyperlink ref="V1898" r:id="rId3906" xr:uid="{BD80C8FE-5136-4EA3-8C47-0BFBFBD6FFC9}"/>
    <hyperlink ref="W1898" r:id="rId3907" location=":~:text=All%20the%20FY2022%20USAI%20funds,%2475%20million%20in%20lethal%20assistance." xr:uid="{7972C059-6CA5-4FCC-BEA5-F9C2D951FB8A}"/>
    <hyperlink ref="V1899" r:id="rId3908" xr:uid="{6F4FD864-8DE2-4F9A-93FF-740BBD618D03}"/>
    <hyperlink ref="W1899" r:id="rId3909" location=":~:text=All%20the%20FY2022%20USAI%20funds,%2475%20million%20in%20lethal%20assistance." xr:uid="{43A016D5-2713-44D3-8360-D18CC1F252C9}"/>
    <hyperlink ref="W1935" r:id="rId3910" location=":~:text=All%20the%20FY2022%20USAI%20funds,%2475%20million%20in%20lethal%20assistance." xr:uid="{9538A5B2-A208-4955-A0F5-48D8254E7E48}"/>
    <hyperlink ref="W1964" r:id="rId3911" location=":~:text=All%20the%20FY2022%20USAI%20funds,%2475%20million%20in%20lethal%20assistance." xr:uid="{BCC7F0B5-756B-4212-9665-A82A3DEB149A}"/>
    <hyperlink ref="V1964" r:id="rId3912" xr:uid="{0A357041-8533-443B-8707-30DE4D3AD601}"/>
    <hyperlink ref="V1935" r:id="rId3913" xr:uid="{8EC85F16-EB46-49D8-9E5F-43E10B08469B}"/>
    <hyperlink ref="W1936" r:id="rId3914" location=":~:text=All%20the%20FY2022%20USAI%20funds,%2475%20million%20in%20lethal%20assistance." xr:uid="{62AAAF2E-75BB-43E8-8069-C1055CA9F131}"/>
    <hyperlink ref="V1936" r:id="rId3915" xr:uid="{70B156A6-CAF1-4ECA-BFFD-FA0DE53F9EA5}"/>
    <hyperlink ref="W1937" r:id="rId3916" location=":~:text=All%20the%20FY2022%20USAI%20funds,%2475%20million%20in%20lethal%20assistance." xr:uid="{B1D7B381-6D94-4501-B975-5CCC0EE7414C}"/>
    <hyperlink ref="W1939" r:id="rId3917" location=":~:text=All%20the%20FY2022%20USAI%20funds,%2475%20million%20in%20lethal%20assistance." xr:uid="{5E74FE39-99C9-49BD-B36F-4E443E575E25}"/>
    <hyperlink ref="W1941" r:id="rId3918" location=":~:text=All%20the%20FY2022%20USAI%20funds,%2475%20million%20in%20lethal%20assistance." xr:uid="{B96FFF11-BFC6-43B7-80BB-E5ACCB304B91}"/>
    <hyperlink ref="W1943" r:id="rId3919" location=":~:text=All%20the%20FY2022%20USAI%20funds,%2475%20million%20in%20lethal%20assistance." xr:uid="{687A65F7-3238-4417-A464-F57A564663CB}"/>
    <hyperlink ref="W1945" r:id="rId3920" location=":~:text=All%20the%20FY2022%20USAI%20funds,%2475%20million%20in%20lethal%20assistance." xr:uid="{A48B7510-926C-4483-B8F0-C4F253084618}"/>
    <hyperlink ref="W1947" r:id="rId3921" location=":~:text=All%20the%20FY2022%20USAI%20funds,%2475%20million%20in%20lethal%20assistance." xr:uid="{DCB662DE-BBBC-474D-8F63-9411786841A0}"/>
    <hyperlink ref="W1949" r:id="rId3922" location=":~:text=All%20the%20FY2022%20USAI%20funds,%2475%20million%20in%20lethal%20assistance." xr:uid="{CC2CB5FC-E203-4C0B-B3A4-7DADE8C3F03C}"/>
    <hyperlink ref="W1959" r:id="rId3923" location=":~:text=All%20the%20FY2022%20USAI%20funds,%2475%20million%20in%20lethal%20assistance." xr:uid="{EBA1B5F5-BB53-40FE-88C5-4048FEB7CF68}"/>
    <hyperlink ref="V1937" r:id="rId3924" xr:uid="{61E28F8E-648A-43A9-9A39-3955D927E8FF}"/>
    <hyperlink ref="V1939" r:id="rId3925" xr:uid="{C1AE4E9A-D45A-4C18-8AAD-BD7FA8472B52}"/>
    <hyperlink ref="V1941" r:id="rId3926" xr:uid="{0C940B0F-5258-4B4E-9FC7-0D20F5959736}"/>
    <hyperlink ref="V1943" r:id="rId3927" xr:uid="{39C1CAAC-FE80-4901-82AA-D8851394ABDD}"/>
    <hyperlink ref="V1945" r:id="rId3928" xr:uid="{824F6F8B-B8DA-4BFC-BD19-EAA9B82DBC8F}"/>
    <hyperlink ref="V1947" r:id="rId3929" xr:uid="{CB5253EE-5C4A-4797-97A0-2A83F361528F}"/>
    <hyperlink ref="V1949" r:id="rId3930" xr:uid="{6ACFB7EA-84D2-49AA-8CC2-628196F8ADCF}"/>
    <hyperlink ref="V1959" r:id="rId3931" xr:uid="{65AE5625-5D92-47AB-A417-FCAD8137557D}"/>
    <hyperlink ref="W1938" r:id="rId3932" location=":~:text=All%20the%20FY2022%20USAI%20funds,%2475%20million%20in%20lethal%20assistance." xr:uid="{704BF9FC-1CD6-4923-8D05-6FD8D8594602}"/>
    <hyperlink ref="W1940" r:id="rId3933" location=":~:text=All%20the%20FY2022%20USAI%20funds,%2475%20million%20in%20lethal%20assistance." xr:uid="{530E1FB4-9082-4DAF-8D2E-B8148A54E71C}"/>
    <hyperlink ref="W1942" r:id="rId3934" location=":~:text=All%20the%20FY2022%20USAI%20funds,%2475%20million%20in%20lethal%20assistance." xr:uid="{FCE21E74-3F30-4FA9-A87F-432E4858840E}"/>
    <hyperlink ref="W1944" r:id="rId3935" location=":~:text=All%20the%20FY2022%20USAI%20funds,%2475%20million%20in%20lethal%20assistance." xr:uid="{7B0DE46C-F5B9-481E-B701-981A7949AE89}"/>
    <hyperlink ref="W1946" r:id="rId3936" location=":~:text=All%20the%20FY2022%20USAI%20funds,%2475%20million%20in%20lethal%20assistance." xr:uid="{6DDECB4A-FC08-4E28-AA57-D79F7AF55FD1}"/>
    <hyperlink ref="W1948" r:id="rId3937" location=":~:text=All%20the%20FY2022%20USAI%20funds,%2475%20million%20in%20lethal%20assistance." xr:uid="{35142F65-5E38-415A-8013-C46B6A41BE51}"/>
    <hyperlink ref="W1950" r:id="rId3938" location=":~:text=All%20the%20FY2022%20USAI%20funds,%2475%20million%20in%20lethal%20assistance." xr:uid="{6E86AC45-DFD0-4732-A2A8-990A9B6FD924}"/>
    <hyperlink ref="V1938" r:id="rId3939" xr:uid="{07BD8C60-20F2-4FCD-8781-E31FD20A9639}"/>
    <hyperlink ref="V1940" r:id="rId3940" xr:uid="{ED4B0058-F064-4C46-82E1-9FD17EF8DCD6}"/>
    <hyperlink ref="V1942" r:id="rId3941" xr:uid="{070F0AAB-81E3-4F2D-BCC8-A08290EFFF54}"/>
    <hyperlink ref="V1944" r:id="rId3942" xr:uid="{7278B007-4EE7-4583-9038-F4570A747590}"/>
    <hyperlink ref="V1946" r:id="rId3943" xr:uid="{BE573A63-C538-4083-956B-620E16591CE5}"/>
    <hyperlink ref="V1948" r:id="rId3944" xr:uid="{16B1D5A3-4D3D-44AF-87D9-8C3A874D7325}"/>
    <hyperlink ref="V1950" r:id="rId3945" xr:uid="{13FAEA40-A18A-4591-85B6-70ADF44C42BE}"/>
    <hyperlink ref="W1965" r:id="rId3946" location=":~:text=All%20the%20FY2022%20USAI%20funds,%2475%20million%20in%20lethal%20assistance." xr:uid="{021F5552-5A38-4AE4-AB1E-CF187B5C3A02}"/>
    <hyperlink ref="V1965" r:id="rId3947" xr:uid="{FDBB576B-B4AC-4AC0-943E-0C5ABCA6AACE}"/>
    <hyperlink ref="W1967" r:id="rId3948" location=":~:text=All%20the%20FY2022%20USAI%20funds,%2475%20million%20in%20lethal%20assistance." xr:uid="{6DA36840-435D-4C03-8E2D-F7C0CE7B8A21}"/>
    <hyperlink ref="V1967" r:id="rId3949" xr:uid="{2EA80430-318D-431D-8B4C-F913D413DBA4}"/>
    <hyperlink ref="W1966" r:id="rId3950" location=":~:text=All%20the%20FY2022%20USAI%20funds,%2475%20million%20in%20lethal%20assistance." xr:uid="{D1247018-D488-41AB-A316-73DABB5F0501}"/>
    <hyperlink ref="W1968" r:id="rId3951" location=":~:text=All%20the%20FY2022%20USAI%20funds,%2475%20million%20in%20lethal%20assistance." xr:uid="{26178508-08B3-43D3-88B7-E2363506330D}"/>
    <hyperlink ref="V1966" r:id="rId3952" xr:uid="{1F87E41B-63D5-4899-B6C9-81990D3CBC7E}"/>
    <hyperlink ref="V1968" r:id="rId3953" xr:uid="{331C3E06-DB6D-4E94-973D-D6552BEB8063}"/>
    <hyperlink ref="W1958" r:id="rId3954" location=":~:text=All%20the%20FY2022%20USAI%20funds,%2475%20million%20in%20lethal%20assistance." xr:uid="{18D9216B-02CD-438E-9906-32A52FA79791}"/>
    <hyperlink ref="V1958" r:id="rId3955" xr:uid="{BE7EFABE-6E45-4349-85A8-FC4AF633F979}"/>
    <hyperlink ref="W1952" r:id="rId3956" location=":~:text=All%20the%20FY2022%20USAI%20funds,%2475%20million%20in%20lethal%20assistance." xr:uid="{98C86B89-B6F5-4A1B-B031-B4F9A7E266CF}"/>
    <hyperlink ref="W1954" r:id="rId3957" location=":~:text=All%20the%20FY2022%20USAI%20funds,%2475%20million%20in%20lethal%20assistance." xr:uid="{44468843-8ED1-41A2-A8C4-EBC81AFD02C1}"/>
    <hyperlink ref="W1956" r:id="rId3958" location=":~:text=All%20the%20FY2022%20USAI%20funds,%2475%20million%20in%20lethal%20assistance." xr:uid="{BBFFCB4C-2DF2-4F73-A7CE-CB75B0B81378}"/>
    <hyperlink ref="V1952" r:id="rId3959" xr:uid="{8605F7BB-E4A7-4A44-A731-26D02CA534C5}"/>
    <hyperlink ref="V1954" r:id="rId3960" xr:uid="{98802031-F6A5-4754-8C68-C9F873B41409}"/>
    <hyperlink ref="V1956" r:id="rId3961" xr:uid="{E66DFE79-5820-4501-B7AD-70AA2A336B49}"/>
    <hyperlink ref="W1951" r:id="rId3962" location=":~:text=All%20the%20FY2022%20USAI%20funds,%2475%20million%20in%20lethal%20assistance." xr:uid="{2EF7B401-B963-4976-98D4-CDD2B9C374C0}"/>
    <hyperlink ref="W1953" r:id="rId3963" location=":~:text=All%20the%20FY2022%20USAI%20funds,%2475%20million%20in%20lethal%20assistance." xr:uid="{CCA6C992-0C02-442A-9D46-E35BA8DD9FB6}"/>
    <hyperlink ref="W1955" r:id="rId3964" location=":~:text=All%20the%20FY2022%20USAI%20funds,%2475%20million%20in%20lethal%20assistance." xr:uid="{56C29904-FACB-410F-AD7C-F3DE5D148CD2}"/>
    <hyperlink ref="W1957" r:id="rId3965" location=":~:text=All%20the%20FY2022%20USAI%20funds,%2475%20million%20in%20lethal%20assistance." xr:uid="{899E03AB-5E73-4FD0-8C6E-453AEE603B40}"/>
    <hyperlink ref="V1951" r:id="rId3966" xr:uid="{5CFE18A5-CE19-4039-94C4-21FB87AF935A}"/>
    <hyperlink ref="V1953" r:id="rId3967" xr:uid="{D576F36F-30C7-4F9F-B876-E98FDE441B0C}"/>
    <hyperlink ref="V1955" r:id="rId3968" xr:uid="{C65A2613-F4CF-45EF-A376-9103F1180857}"/>
    <hyperlink ref="V1957" r:id="rId3969" xr:uid="{B2723B79-12A6-4695-8E86-DDE412DCB83B}"/>
    <hyperlink ref="W1960" r:id="rId3970" location=":~:text=All%20the%20FY2022%20USAI%20funds,%2475%20million%20in%20lethal%20assistance." xr:uid="{9BCD5F09-6EA4-4BD5-863C-A518CAB6BC5A}"/>
    <hyperlink ref="V1960" r:id="rId3971" xr:uid="{637DD464-ADD7-4F05-A2B4-9F96D20296AF}"/>
    <hyperlink ref="W1961" r:id="rId3972" location=":~:text=All%20the%20FY2022%20USAI%20funds,%2475%20million%20in%20lethal%20assistance." xr:uid="{BBFFB512-2A6E-4E6D-87C2-F67989A34B7A}"/>
    <hyperlink ref="W1963" r:id="rId3973" location=":~:text=All%20the%20FY2022%20USAI%20funds,%2475%20million%20in%20lethal%20assistance." xr:uid="{7E3A3FAB-67EF-4CFE-A63A-51B88191D4C1}"/>
    <hyperlink ref="V1961" r:id="rId3974" xr:uid="{595614D9-921C-4BDB-A8A0-97A1B5122CB7}"/>
    <hyperlink ref="V1963" r:id="rId3975" xr:uid="{F9ACBBCD-492A-4359-BF05-1EA3F65486DE}"/>
    <hyperlink ref="W1962" r:id="rId3976" location=":~:text=All%20the%20FY2022%20USAI%20funds,%2475%20million%20in%20lethal%20assistance." xr:uid="{DE9924F7-50DA-4061-89F0-160A0F12E53D}"/>
    <hyperlink ref="V1962" r:id="rId3977" xr:uid="{B40F8EBB-E695-45B6-82CC-3D8DDCFC9128}"/>
    <hyperlink ref="W51" r:id="rId3978" display="https://www.abc.net.au/news/2023-02-23/australia-pledges-drones-ukraine-war-first-anniversary/102016614" xr:uid="{1B129ACA-4864-4EFE-AD4D-EB80B4BD35C8}"/>
    <hyperlink ref="X51" r:id="rId3979" display="https://mil.in.ua/en/news/australia-provides-ukraine-with-uavs-worth-33-million/" xr:uid="{70DE4F42-6F0D-4247-8C43-2568D315E4D9}"/>
    <hyperlink ref="W52" r:id="rId3980" xr:uid="{3008B242-5CE2-467B-9A24-ABDFBFA51D5B}"/>
    <hyperlink ref="X52" r:id="rId3981" display="https://www.vienna.at/ukraine-krieg-bislang-124-mio-euro-unterstuetzung-von-oesterreich/7885546" xr:uid="{E8C7AC7A-E406-497D-A877-CCCF709541C9}"/>
    <hyperlink ref="W50" r:id="rId3982" xr:uid="{D1A5D68D-6AA0-48B9-B65D-C4AC8ABBE5BE}"/>
    <hyperlink ref="X50" r:id="rId3983" display="https://www.vienna.at/ukraine-krieg-bislang-124-mio-euro-unterstuetzung-von-oesterreich/7885546" xr:uid="{AF81D25E-A193-4E56-B56E-7F9FB4890DF4}"/>
    <hyperlink ref="W67" r:id="rId3984" xr:uid="{E3C95FCB-548B-46AD-8330-D10B137BEAFE}"/>
    <hyperlink ref="AB117" r:id="rId3985" display="https://www.premier.be/sites/default/files/articles/BE%20support%20militaire.pdf" xr:uid="{D378FCB6-04E6-45B1-9F9C-CC0922F3C27E}"/>
    <hyperlink ref="W117" r:id="rId3986" xr:uid="{04876266-827F-4205-A9D8-A1CD624F3EAD}"/>
    <hyperlink ref="X117" r:id="rId3987" display="https://www.premier.be/sites/default/files/articles/BE%20support%20militaire.pdf" xr:uid="{AEEF0AAE-50BD-4AB4-B517-B27C12CAA64D}"/>
    <hyperlink ref="AB118" r:id="rId3988" display="https://www.premier.be/sites/default/files/articles/BE%20support%20militaire.pdf" xr:uid="{D1B88215-4F2C-4BCD-9ADF-2ACB9BDBB762}"/>
    <hyperlink ref="V118" r:id="rId3989" xr:uid="{DC646CD0-2121-4A44-A40C-0CE3180DDF2A}"/>
    <hyperlink ref="V132" r:id="rId3990" xr:uid="{FE91584E-2078-4945-A054-4E3B92BE82F7}"/>
    <hyperlink ref="W132" r:id="rId3991" display="https://twitter.com/ua_minfin/status/1514313544795361280?ref_src=twsrc%5Etfw%7Ctwcamp%5Etweetembed%7Ctwterm%5E1514313544795361280%7Ctwgr%5E%7Ctwcon%5Es1_&amp;ref_url=https%3A%2F%2Fwww.republicworld.com%2Fworld-news%2Frussia-ukraine-crisis%2Fcanada-to-provide-ukraine-with-398-dollars-million-concessional-loan-amid-russian-invasion-articleshow.html" xr:uid="{95B11D2F-45C6-4EEC-8B4B-4982BD53AAC5}"/>
    <hyperlink ref="V138" r:id="rId3992" xr:uid="{14648BEB-C286-44A4-B51B-42150C0F6479}"/>
    <hyperlink ref="W138" r:id="rId3993" xr:uid="{4461513B-6B2E-4455-B43C-04F5A0CF614F}"/>
    <hyperlink ref="W189" r:id="rId3994" location="toc0" xr:uid="{47D31230-12AB-4730-A9E8-3E15CA930E3C}"/>
    <hyperlink ref="W190" r:id="rId3995" location="toc0" xr:uid="{50890D7D-128C-4893-BE00-10F8C3F1193C}"/>
    <hyperlink ref="W191" r:id="rId3996" location="toc0" xr:uid="{5A063AD1-D099-425F-B210-F39640DB6C41}"/>
    <hyperlink ref="AB189" r:id="rId3997" location="toc0" xr:uid="{275FE834-00A1-4830-A368-5CB877BDBD2D}"/>
    <hyperlink ref="AB195" r:id="rId3998" location="toc0" display="https://www.canada.ca/en/department-national-defence/campaigns/canadian-military-support-to-ukraine.html#toc0" xr:uid="{50039323-59EB-446A-8DA0-AC368321B94D}"/>
    <hyperlink ref="AB196" r:id="rId3999" location="toc0" display="https://www.canada.ca/en/department-national-defence/campaigns/canadian-military-support-to-ukraine.html#toc0" xr:uid="{796AFF7C-09EA-425D-9F6A-285934FEC883}"/>
    <hyperlink ref="AB197" r:id="rId4000" location="toc0" display="https://www.canada.ca/en/department-national-defence/campaigns/canadian-military-support-to-ukraine.html#toc0" xr:uid="{B82BC4D2-64DF-4A9A-ABED-66288D86DF96}"/>
    <hyperlink ref="AB198" r:id="rId4001" location="toc0" display="https://www.canada.ca/en/department-national-defence/campaigns/canadian-military-support-to-ukraine.html#toc0" xr:uid="{5BD0082D-DD6A-4271-8452-FA0F9C49EF88}"/>
    <hyperlink ref="AB877" r:id="rId4002" display="https://twitter.com/a_anusauskas/status/1594701256463110144" xr:uid="{2A2D480A-D7B1-4551-95AE-5C921EE179CD}"/>
    <hyperlink ref="W877" r:id="rId4003" display="https://www.gov.uk/government/news/joint-statement-the-tallinn-pledge" xr:uid="{9280228C-C7AC-462A-9D7E-292D4CF68458}"/>
    <hyperlink ref="X877" r:id="rId4004" display="https://www.mod.gov.lv/lv/zinas/i-murniece-kijiva-tiekas-ar-ukrainas-aizsardzibas-ministru" xr:uid="{AEC2EB7C-2AFC-4401-9A14-7444569A9500}"/>
    <hyperlink ref="AB915" r:id="rId4005" display="https://twitter.com/a_anusauskas/status/1594701256463110144" xr:uid="{148D5347-913D-4540-A33D-EA01408E5801}"/>
    <hyperlink ref="AB917" r:id="rId4006" display="https://twitter.com/a_anusauskas/status/1594701256463110144" xr:uid="{13B5679F-BF27-49B9-A81B-F24C1445392B}"/>
    <hyperlink ref="AB918" r:id="rId4007" display="https://twitter.com/a_anusauskas/status/1594701256463110144" xr:uid="{F79681F4-182A-450A-8278-E9EB5FE6D4A7}"/>
    <hyperlink ref="X918" r:id="rId4008" display="https://www.mod.gov.lv/lv/zinas/i-murniece-kijiva-tiekas-ar-ukrainas-aizsardzibas-ministru" xr:uid="{EB24F93B-6230-4E34-B04E-ADB7B309646A}"/>
    <hyperlink ref="Y915" r:id="rId4009" xr:uid="{F3A5EBFB-4B58-4006-AA41-B9D01DD46EAF}"/>
    <hyperlink ref="Y916" r:id="rId4010" xr:uid="{845C201A-EA8F-4C5A-A87E-1C79088106A8}"/>
    <hyperlink ref="Y917" r:id="rId4011" xr:uid="{B68E97DC-2AF6-4547-9575-81C9C36B0897}"/>
    <hyperlink ref="X929" r:id="rId4012" display="https://www.worldbank.org/en/programs/urtf/partners" xr:uid="{D69E655B-7153-4674-BD98-A2998C453EBB}"/>
    <hyperlink ref="W929" r:id="rId4013" display="https://finmin.lrv.lt/lt/naujienos/lietuva-per-pasaulio-banka-skiria-5-mln-euru-skubiems-ukrainos-atstatymo-darbams" xr:uid="{4CB7C9B5-5E2D-4C6E-AEDA-C03222675DA1}"/>
    <hyperlink ref="V955" r:id="rId4014" xr:uid="{99F17116-9033-4001-A1B3-ECA7E2E858A6}"/>
    <hyperlink ref="AB955" r:id="rId4015" display="https://twitter.com/Defense_lu/status/1598610977364115462?t=6bU22e0y0z-S3WKot0R3BA&amp;s=19" xr:uid="{20FFAB80-3F38-4AAE-8CC6-A8AFA36CD7EE}"/>
    <hyperlink ref="W955" r:id="rId4016" xr:uid="{36CD8705-FF51-4F6E-A9BC-51256092F3D5}"/>
    <hyperlink ref="AB956" r:id="rId4017" display="https://twitter.com/Defense_lu/status/1598610977364115462?t=6bU22e0y0z-S3WKot0R3BA&amp;s=19" xr:uid="{27C21477-F18D-49DE-8FD8-B1A553C1E9C5}"/>
    <hyperlink ref="V956" r:id="rId4018" xr:uid="{40A6A51F-5208-4A62-9149-8B7FD91A3F64}"/>
    <hyperlink ref="W956" r:id="rId4019" xr:uid="{2AF4A38A-AA91-4FAF-8642-2717D0BFD259}"/>
    <hyperlink ref="W960" r:id="rId4020" location=":~:text=Since%20the%20beginning%20of%20the,for%20child%20protection%20and%20demining" display="https://dia.dp.gov.ua/en/luxembourg-will-be-with-ukraine-as-long-as-the-russian-war-continues/#:~:text=Since%20the%20beginning%20of%20the,for%20child%20protection%20and%20demining" xr:uid="{CD4F2EF0-0908-4402-A740-3CE911C4A918}"/>
    <hyperlink ref="AB981" r:id="rId4021" xr:uid="{DA84DC0A-183C-446A-99C0-7A134A5F40D9}"/>
    <hyperlink ref="AB982" r:id="rId4022" xr:uid="{4015FCCE-4C6F-48D2-92B9-90D729CE4C90}"/>
    <hyperlink ref="V981" r:id="rId4023" xr:uid="{C4C22210-98E7-496B-9D8E-58C6FEB0687A}"/>
    <hyperlink ref="W981" r:id="rId4024" xr:uid="{66E99AB8-75F5-4368-8B0C-BB8FC15741B7}"/>
    <hyperlink ref="X981" r:id="rId4025" xr:uid="{CC3D6A80-078D-4B92-B912-E39934E56086}"/>
    <hyperlink ref="X982" r:id="rId4026" xr:uid="{8FD6C3E1-9BB3-49A3-A17A-AF6216228337}"/>
    <hyperlink ref="V990" r:id="rId4027" xr:uid="{943400BF-8DA6-48C3-AB5F-90ED24E0D935}"/>
    <hyperlink ref="W990" r:id="rId4028" xr:uid="{F1DF2656-31E3-419D-ACCE-494AE6A9AE11}"/>
    <hyperlink ref="AB990" r:id="rId4029" xr:uid="{00000000-0004-0000-0200-000054050000}"/>
    <hyperlink ref="AB996" r:id="rId4030" display="https://www.defensie.nl/onderwerpen/oostflank-navo-gebied/militaire-steun-aan-oekraine" xr:uid="{737F8824-F829-4F8A-80FE-F1D8A66F0410}"/>
    <hyperlink ref="X996" r:id="rId4031" xr:uid="{FF91ECA4-4646-4BA9-A229-6C0A24A24FB8}"/>
    <hyperlink ref="AB997" r:id="rId4032" display="https://www.defensie.nl/onderwerpen/oostflank-navo-gebied/militaire-steun-aan-oekraine" xr:uid="{5A712F56-F0ED-48D8-8C02-F1D46BA96E7F}"/>
    <hyperlink ref="X997" r:id="rId4033" xr:uid="{66D3CA4E-BC79-4769-8961-EC2CDFE6166F}"/>
    <hyperlink ref="AB998" r:id="rId4034" display="https://www.defensie.nl/onderwerpen/oostflank-navo-gebied/militaire-steun-aan-oekraine" xr:uid="{198F60B0-A9DE-43BA-B367-7DDD4CDE19CB}"/>
    <hyperlink ref="X998" r:id="rId4035" xr:uid="{09B63C69-0C7E-4447-836E-E15155686C59}"/>
    <hyperlink ref="AB999" r:id="rId4036" display="https://www.defensie.nl/onderwerpen/oostflank-navo-gebied/militaire-steun-aan-oekraine" xr:uid="{BE2E76FA-0B76-40DA-8CB2-37812859B88D}"/>
    <hyperlink ref="X999" r:id="rId4037" xr:uid="{78EEA0CA-F091-41D6-AABB-F2C9FE27FDA4}"/>
    <hyperlink ref="AB1000" r:id="rId4038" display="https://www.defensie.nl/onderwerpen/oostflank-navo-gebied/militaire-steun-aan-oekraine" xr:uid="{F7021809-8AF8-410C-83A1-A0CD5315432B}"/>
    <hyperlink ref="X1000" r:id="rId4039" xr:uid="{4CA67459-7B1A-4BBF-80D7-FFEC85D72F8A}"/>
    <hyperlink ref="AB1001" r:id="rId4040" display="https://www.defensie.nl/onderwerpen/oostflank-navo-gebied/militaire-steun-aan-oekraine" xr:uid="{FB0AB3BC-7233-4C13-BEC6-2F6CE802069A}"/>
    <hyperlink ref="X1001" r:id="rId4041" xr:uid="{B9191F1B-D165-4A15-8FA6-4E0A45B9EFF2}"/>
    <hyperlink ref="AB1002" r:id="rId4042" display="https://www.defensie.nl/onderwerpen/oostflank-navo-gebied/militaire-steun-aan-oekraine" xr:uid="{9812EC37-2EEB-4400-8AE6-AFDB18C6F702}"/>
    <hyperlink ref="X1002" r:id="rId4043" xr:uid="{772C9653-3497-4C25-86E8-9A89349780FD}"/>
    <hyperlink ref="AB1003" r:id="rId4044" display="https://www.defensie.nl/onderwerpen/oostflank-navo-gebied/militaire-steun-aan-oekraine" xr:uid="{39B6814D-5560-4B83-A1EC-498DB76595B8}"/>
    <hyperlink ref="X1003" r:id="rId4045" xr:uid="{26065EC0-525D-4922-ADAC-55BB8D16918F}"/>
    <hyperlink ref="AB1004" r:id="rId4046" display="https://www.defensie.nl/onderwerpen/oostflank-navo-gebied/militaire-steun-aan-oekraine" xr:uid="{07664740-B038-4015-AF90-57AAE4622335}"/>
    <hyperlink ref="X1004" r:id="rId4047" xr:uid="{00B55B22-871C-449F-8FB8-7EEAAA5307D0}"/>
    <hyperlink ref="AB1005" r:id="rId4048" display="https://www.defensie.nl/onderwerpen/oostflank-navo-gebied/militaire-steun-aan-oekraine" xr:uid="{0BB3DC1E-5653-4033-9BB1-06E441AF9FDA}"/>
    <hyperlink ref="X1005" r:id="rId4049" xr:uid="{FE31C6B2-915C-476C-8FE1-5E7761B6DD45}"/>
    <hyperlink ref="AB1006" r:id="rId4050" display="https://www.defensie.nl/onderwerpen/oostflank-navo-gebied/militaire-steun-aan-oekraine" xr:uid="{E161C420-E89F-45D4-A4F7-2A08175C2DD2}"/>
    <hyperlink ref="X1006" r:id="rId4051" xr:uid="{236023B2-C0CA-46FF-A1C2-CAC1CF8D6A22}"/>
    <hyperlink ref="AB1007" r:id="rId4052" display="https://www.defensie.nl/onderwerpen/oostflank-navo-gebied/militaire-steun-aan-oekraine" xr:uid="{BC9B5A28-A769-4DC7-A058-9FE37138CC37}"/>
    <hyperlink ref="X1007" r:id="rId4053" xr:uid="{0CC71D6D-75E2-4BE0-BCEA-E5F30DC520D8}"/>
    <hyperlink ref="AB1008" r:id="rId4054" display="https://www.defensie.nl/onderwerpen/oostflank-navo-gebied/militaire-steun-aan-oekraine" xr:uid="{72E2359B-EA54-428B-9964-8F2DD98F870D}"/>
    <hyperlink ref="X1008" r:id="rId4055" xr:uid="{4353E0D5-EBDF-438F-BCA9-2079075AD9E7}"/>
    <hyperlink ref="AB1009" r:id="rId4056" display="https://www.defensie.nl/onderwerpen/oostflank-navo-gebied/militaire-steun-aan-oekraine" xr:uid="{FFCB3105-5398-4D47-B7C2-18BC80763744}"/>
    <hyperlink ref="X1009" r:id="rId4057" xr:uid="{38434DBF-7C87-45D1-9148-2C155C1C4DF0}"/>
    <hyperlink ref="W1009" r:id="rId4058" xr:uid="{989E8D09-CA4A-441C-8F6D-C3F48FBDF36E}"/>
    <hyperlink ref="AB1010" r:id="rId4059" display="https://www.defensie.nl/onderwerpen/oostflank-navo-gebied/militaire-steun-aan-oekraine" xr:uid="{3E4257E7-C5A4-4D30-A829-6C2AE5FD3F5A}"/>
    <hyperlink ref="X1010" r:id="rId4060" xr:uid="{35B45086-F0C7-4F7B-860B-EBAA1D4D4DE4}"/>
    <hyperlink ref="W1010" r:id="rId4061" xr:uid="{769DE112-31C5-4E8F-A072-4279EC5C304E}"/>
    <hyperlink ref="W1032" r:id="rId4062" display="https://www.tweedekamer.nl/kamerstukken/brieven_regering/detail?id=2022D56571&amp;did=2022D56571" xr:uid="{450BAE28-0A76-4F19-8C40-7F0B08D98A75}"/>
    <hyperlink ref="V1103" r:id="rId4063" xr:uid="{127F468D-4691-481B-B706-24BA2227F1A7}"/>
    <hyperlink ref="W1105" r:id="rId4064" xr:uid="{1DAAECB2-8107-4171-98A4-BFDD9F5A34E8}"/>
    <hyperlink ref="AB1127" r:id="rId4065" location=":~:text=WARSAW%2C%20Feb%2024%20(Reuters),Europe%20stand%20by%20your%20side." display="https://www.reuters.com/world/europe/polish-leopard-tanks-are-already-ukraine-defence-minister-says-2023-02-24/#:~:text=WARSAW%2C%20Feb%2024%20(Reuters),Europe%20stand%20by%20your%20side." xr:uid="{7D4CBA16-41B3-4DFE-BF24-DDCCF02B81E5}"/>
    <hyperlink ref="X1127" r:id="rId4066" location=":~:text=WARSAW%2C%20Feb%2024%20(Reuters),Europe%20stand%20by%20your%20side." xr:uid="{C0437A69-444D-4206-A544-A5368A07FC28}"/>
    <hyperlink ref="AB1128" r:id="rId4067" location=":~:text=WARSAW%2C%20Feb%2024%20(Reuters),Europe%20stand%20by%20your%20side." display="https://www.reuters.com/world/europe/polish-leopard-tanks-are-already-ukraine-defence-minister-says-2023-02-24/#:~:text=WARSAW%2C%20Feb%2024%20(Reuters),Europe%20stand%20by%20your%20side." xr:uid="{0F17B319-B496-4484-9E0F-EB9F9A9C1273}"/>
    <hyperlink ref="X1128" r:id="rId4068" location=":~:text=WARSAW%2C%20Feb%2024%20(Reuters),Europe%20stand%20by%20your%20side." xr:uid="{F3B3F977-8B83-480F-992C-3A17BA0CAD28}"/>
    <hyperlink ref="AB1278" r:id="rId4069" display="https://twitter.com/oleksiireznikov/status/1598696930720116736?cxt=HHwWgMCjseyY268sAAAA" xr:uid="{00693849-F304-4080-868A-30961BDE59D4}"/>
    <hyperlink ref="W1278" r:id="rId4070" display="https://elpais.com/espana/2023-02-22/robles-confirma-en-el-congreso-que-espana-entregara-seis-tanques-leopard-a-ucrania.html" xr:uid="{90A513E7-B2F8-4281-B47B-57C0702849C3}"/>
    <hyperlink ref="V1278" r:id="rId4071" xr:uid="{99C8C28F-57D3-4F92-B603-7374BD742DC6}"/>
    <hyperlink ref="W1279" r:id="rId4072" xr:uid="{2BC05EA7-887B-4D26-B5A8-E697F72E503A}"/>
    <hyperlink ref="V1279" r:id="rId4073" xr:uid="{A0A61DDB-F1A1-4605-995F-14ABB7B0B0E6}"/>
    <hyperlink ref="X1279" r:id="rId4074" xr:uid="{D975F46D-5126-474E-B687-2E9551AFC773}"/>
    <hyperlink ref="Y1279" r:id="rId4075" xr:uid="{0D65D033-1057-4A83-B410-8615EAE99BFA}"/>
    <hyperlink ref="AB1279" r:id="rId4076" xr:uid="{056C8542-3BB4-4FB9-9B34-AB1FABBC8E83}"/>
    <hyperlink ref="AB1280" r:id="rId4077" display="https://twitter.com/oleksiireznikov/status/1598696930720116736?cxt=HHwWgMCjseyY268sAAAA" xr:uid="{EF50E783-4DD9-47C2-8EF9-F3876C8BD0DA}"/>
    <hyperlink ref="X1280" r:id="rId4078" display="https://elpais.com/internacional/2023-02-23/guerra-ucrania-rusia-ultimas-noticias-en-directo.html" xr:uid="{08F08774-35F5-497A-8B53-46A3C418E2F9}"/>
    <hyperlink ref="Y1280" r:id="rId4079" display="https://www.elmundo.es/espana/2023/04/19/643fc0e2e4d4d89e718b457e.html" xr:uid="{3F544F65-E04A-4A2C-9798-B013D00364C5}"/>
    <hyperlink ref="AB1281" r:id="rId4080" display="https://twitter.com/oleksiireznikov/status/1598696930720116736?cxt=HHwWgMCjseyY268sAAAA" xr:uid="{00FF78AB-739F-42F0-B961-5D0C2467181E}"/>
    <hyperlink ref="X1281" r:id="rId4081" display="https://elpais.com/internacional/2023-02-23/guerra-ucrania-rusia-ultimas-noticias-en-directo.html" xr:uid="{30B38C12-55BD-4C35-820B-6443358DE19B}"/>
    <hyperlink ref="Y1281" r:id="rId4082" display="https://www.elmundo.es/espana/2023/04/19/643fc0e2e4d4d89e718b457e.html" xr:uid="{28610F4A-F1D4-4793-A4E1-13EE2687C0AA}"/>
    <hyperlink ref="W1287" r:id="rId4083" xr:uid="{2D122C77-E39D-45B0-B9D6-F82F358AF525}"/>
    <hyperlink ref="W1372" r:id="rId4084" xr:uid="{E4F76077-7EEE-4EAF-9674-B1F1488EA0C1}"/>
    <hyperlink ref="X1439" r:id="rId4085" display="https://mof.gov.ua/uk/news/ukraina_otrimala_vid_velikobritanii_drugu_chastinu_dodatkovogo_finansuvannia_na_203_mln_dol_ssha_cherez_proekt_svitovogo_banku-3846" xr:uid="{932176B4-1C35-4D42-87B5-619D7A5A8B2B}"/>
    <hyperlink ref="V50" r:id="rId4086" xr:uid="{635D66F3-C90D-4605-BAE6-9ACC9A4A8161}"/>
    <hyperlink ref="V52" r:id="rId4087" xr:uid="{46E00C15-5B41-4246-BBC1-F23D60096047}"/>
    <hyperlink ref="V117" r:id="rId4088" xr:uid="{A47328C2-1923-41E4-8BBF-63791F8D32B7}"/>
    <hyperlink ref="V960" r:id="rId4089" xr:uid="{8D52D931-0559-48AC-9C10-4225F90891AB}"/>
    <hyperlink ref="X955" r:id="rId4090" xr:uid="{227FD4EB-A74B-4D56-8CD0-66374816EBC6}"/>
    <hyperlink ref="V214" r:id="rId4091" xr:uid="{970D0BBD-E13A-40BD-95E7-B2E052D432D2}"/>
    <hyperlink ref="W214" r:id="rId4092" xr:uid="{03F71AEB-61B7-4D96-B604-9CE900AFA2EB}"/>
    <hyperlink ref="X214" r:id="rId4093" xr:uid="{B2F6C51F-6A1F-4F30-8B87-17A2477F6361}"/>
    <hyperlink ref="V224" r:id="rId4094" xr:uid="{55248340-96DA-4C38-9A47-A596CAB6DEEC}"/>
    <hyperlink ref="W224" r:id="rId4095" xr:uid="{915CBF43-0903-41D1-94D3-1B688681A830}"/>
    <hyperlink ref="X224" r:id="rId4096" xr:uid="{68D3EA0D-F0CE-403F-84C2-9D188BD35B78}"/>
    <hyperlink ref="V363" r:id="rId4097" xr:uid="{6011CB10-8AB9-44E9-BEE3-E00977D9B10B}"/>
    <hyperlink ref="W363" r:id="rId4098" xr:uid="{50E942AD-221B-4B28-BFE4-D01577E4230F}"/>
    <hyperlink ref="X363" r:id="rId4099" xr:uid="{11B2A402-5F8F-416B-8EE5-B99B851B5E38}"/>
    <hyperlink ref="AB363" r:id="rId4100" xr:uid="{F36E3325-A5CD-4A26-9470-64960BC5F570}"/>
    <hyperlink ref="V374" r:id="rId4101" xr:uid="{CD3F27D7-B7E3-4EB3-8EEC-D16B0D9DC6D7}"/>
    <hyperlink ref="W374" r:id="rId4102" xr:uid="{44E75670-DA19-427C-B18F-A52F04E09B23}"/>
    <hyperlink ref="X374" r:id="rId4103" xr:uid="{428427DC-C2AD-4B8B-8C88-1AB7E13B2186}"/>
    <hyperlink ref="Y374" r:id="rId4104" xr:uid="{0EBEC523-B0E9-46FF-9F41-B4B04685F691}"/>
    <hyperlink ref="V375" r:id="rId4105" xr:uid="{5620A1D0-F008-44A5-B997-3B0126618681}"/>
    <hyperlink ref="V376" r:id="rId4106" xr:uid="{57BC0337-8585-4BF2-9064-0B4C6E42A27B}"/>
    <hyperlink ref="V377" r:id="rId4107" xr:uid="{700563B6-7CED-46CF-9566-7801F59A49F9}"/>
    <hyperlink ref="V378" r:id="rId4108" xr:uid="{02717C6F-F8C8-4BCE-A2E4-789BCFBCAF1C}"/>
    <hyperlink ref="V379" r:id="rId4109" xr:uid="{E45DC39B-86DE-470D-B825-A0D7CC5692D0}"/>
    <hyperlink ref="W375" r:id="rId4110" xr:uid="{306251BF-D963-4005-9F3F-C12FB51712A0}"/>
    <hyperlink ref="W376" r:id="rId4111" xr:uid="{9999B063-B48E-4EC7-833F-470360F26946}"/>
    <hyperlink ref="W377" r:id="rId4112" xr:uid="{1320BFCB-782A-46F2-8609-D7475AC624DD}"/>
    <hyperlink ref="W378" r:id="rId4113" xr:uid="{F79B3037-2407-43EB-A231-CA7438DA0314}"/>
    <hyperlink ref="W379" r:id="rId4114" xr:uid="{DDFB05B7-6E33-425B-A38D-8DCE149A8712}"/>
    <hyperlink ref="X375" r:id="rId4115" xr:uid="{0C779D02-C1AE-4A37-8C9B-C7AC323025C0}"/>
    <hyperlink ref="X376" r:id="rId4116" xr:uid="{C79F1E42-4690-44AE-AD52-840C6E01B301}"/>
    <hyperlink ref="X377" r:id="rId4117" xr:uid="{3EC7B868-9FE5-42C1-BE1E-F856681639B2}"/>
    <hyperlink ref="X378" r:id="rId4118" xr:uid="{B7492BBA-293A-4D60-B779-7E43EE374410}"/>
    <hyperlink ref="X379" r:id="rId4119" xr:uid="{2832D620-A293-4D4B-9B6C-6B7E8F677CC9}"/>
    <hyperlink ref="Y375" r:id="rId4120" xr:uid="{74E98303-70B3-4ED2-8A8A-148EA90D55C2}"/>
    <hyperlink ref="Y376" r:id="rId4121" xr:uid="{F69255EA-3E2C-44C9-A4B6-D90EFDC97B38}"/>
    <hyperlink ref="Y377" r:id="rId4122" xr:uid="{E4071227-8CB3-48A4-9A80-27F8956960B2}"/>
    <hyperlink ref="Y378" r:id="rId4123" xr:uid="{B06B6FB0-FD53-46AA-B4E4-F209A200DC1C}"/>
    <hyperlink ref="Y379" r:id="rId4124" xr:uid="{A88D2237-7343-427B-8DA1-DA2285A5DCB9}"/>
    <hyperlink ref="V380" r:id="rId4125" xr:uid="{C1BA75EE-6EA1-47B4-82C9-E10F1A306C22}"/>
    <hyperlink ref="W380" r:id="rId4126" xr:uid="{2AB2CA89-E3BA-4459-B699-D0F13DFCAC3B}"/>
    <hyperlink ref="X380" r:id="rId4127" xr:uid="{089F970C-55A4-4202-B5A2-EA23A3012D74}"/>
    <hyperlink ref="V388" r:id="rId4128" xr:uid="{87F441CF-D823-4D00-8D20-95232D5BAEA3}"/>
    <hyperlink ref="W388" r:id="rId4129" xr:uid="{A74F3FE4-985C-4D1D-940D-B4E3D111B363}"/>
    <hyperlink ref="X388" r:id="rId4130" xr:uid="{134D7179-DCEF-49F6-A999-BBC3A86E6FBE}"/>
    <hyperlink ref="V381" r:id="rId4131" xr:uid="{6B2FF71D-505D-4AB3-B21E-D63DE01E823E}"/>
    <hyperlink ref="W381" r:id="rId4132" xr:uid="{4913F555-6177-42B4-A63A-C743B7C9C21D}"/>
    <hyperlink ref="X381" r:id="rId4133" xr:uid="{0C37340E-F591-4CE0-91BF-7E0D624E05BB}"/>
    <hyperlink ref="V382" r:id="rId4134" xr:uid="{9D4190BF-56E1-4459-8163-A8AEDBE39173}"/>
    <hyperlink ref="W382" r:id="rId4135" xr:uid="{FF381B07-D224-4242-9B6E-E301A48C9BCD}"/>
    <hyperlink ref="X382" r:id="rId4136" xr:uid="{5FED7E44-7BAA-4A2A-A37A-4025D74CDE4F}"/>
    <hyperlink ref="V383" r:id="rId4137" xr:uid="{DAE81976-413E-4FB6-9B74-AB6C3F7C905C}"/>
    <hyperlink ref="W383" r:id="rId4138" xr:uid="{FFD12E56-68F6-4213-B588-F5A9CE858C35}"/>
    <hyperlink ref="X383" r:id="rId4139" xr:uid="{9C17D910-8C05-4055-84D2-D961048BFD42}"/>
    <hyperlink ref="V384" r:id="rId4140" xr:uid="{31BA3E6A-0C6A-43BF-AB6C-850DBA025B01}"/>
    <hyperlink ref="W384" r:id="rId4141" xr:uid="{24EC1949-B78A-4B5A-8A97-8BE513291865}"/>
    <hyperlink ref="X384" r:id="rId4142" xr:uid="{14095DE6-EC6C-4171-A687-FE03170324E7}"/>
    <hyperlink ref="V385" r:id="rId4143" xr:uid="{05ADB110-9ADF-4B08-A523-EC55DA72A909}"/>
    <hyperlink ref="W385" r:id="rId4144" xr:uid="{3FDF00C4-79E9-4BBB-9047-FE2D18FE837B}"/>
    <hyperlink ref="X385" r:id="rId4145" xr:uid="{39F807B2-BC80-4289-B52B-558227113BA1}"/>
    <hyperlink ref="V386" r:id="rId4146" xr:uid="{EA6FD718-8063-4F16-98EB-434BC6310F99}"/>
    <hyperlink ref="W386" r:id="rId4147" xr:uid="{74826089-8219-43C3-BC6B-639000E1812F}"/>
    <hyperlink ref="X386" r:id="rId4148" xr:uid="{5E554215-5101-465A-B2FB-737A4B5A8E2F}"/>
    <hyperlink ref="V387" r:id="rId4149" xr:uid="{F6B42B73-C5A8-4609-9264-7E57C1969C27}"/>
    <hyperlink ref="W387" r:id="rId4150" xr:uid="{0D3F71DE-F438-4C27-A9C1-309FAF943A63}"/>
    <hyperlink ref="X387" r:id="rId4151" xr:uid="{38876FB1-D345-4A0E-BD9E-50171173AD51}"/>
    <hyperlink ref="V389" r:id="rId4152" xr:uid="{BFABE592-CE2A-4A7E-9A93-675006CD32CB}"/>
    <hyperlink ref="W389" r:id="rId4153" xr:uid="{53CF86EE-4527-4911-86E1-5295029BA8DE}"/>
    <hyperlink ref="X389" r:id="rId4154" xr:uid="{2759C85B-4B35-4FC1-80D7-8B7A7E70F0AC}"/>
    <hyperlink ref="V390" r:id="rId4155" xr:uid="{79331A99-4C18-4550-AF38-AC7A468E048B}"/>
    <hyperlink ref="W390" r:id="rId4156" xr:uid="{A45D3F12-CD2D-4D1C-B1CE-CE186A7664BE}"/>
    <hyperlink ref="X390" r:id="rId4157" xr:uid="{91ED34DA-2DB9-407F-955E-ABF2E6BACF74}"/>
    <hyperlink ref="W392" r:id="rId4158" xr:uid="{7D3057BE-52F5-477A-9AC2-B8BC0FE74039}"/>
    <hyperlink ref="W395" r:id="rId4159" xr:uid="{63B853EA-85C3-42E5-A90F-098D606DD7D4}"/>
    <hyperlink ref="X395" r:id="rId4160" xr:uid="{9FC56781-0B8A-4E4F-87DD-8BF0A36EC944}"/>
    <hyperlink ref="Y395" r:id="rId4161" xr:uid="{5A6D0879-5B20-4404-9DFC-DE0DF0408ECC}"/>
    <hyperlink ref="W394" r:id="rId4162" display="https://twitter.com/UrmasReinsalu/status/1554520335587938304?ref_src=twsrc%5Etfw%7Ctwcamp%5Etweetembed%7Ctwterm%5E1554520335587938304%7Ctwgr%5Ee825fdb7ad984a8d5ed6d86b7eff30b88c845343%7Ctwcon%5Es1_&amp;ref_url=https%3A%2F%2Fnews.err.ee%2F1608674068%2Festonian-fm-visits-ukraine-lays-new-kindergarten-cornerstone-in-zhytomyr" xr:uid="{38AD2B1C-0181-4B38-8D80-CDC85E3CE028}"/>
    <hyperlink ref="X394" r:id="rId4163" xr:uid="{F5636DC0-9EDE-484F-A86C-6F5E45136D05}"/>
    <hyperlink ref="W396" r:id="rId4164" display="https://twitter.com/OlekKorn/status/1574691048378765312?ref_src=twsrc%5Etfw%7Ctwcamp%5Etweetembed%7Ctwterm%5E1574764099644301314%7Ctwgr%5E32aa61244c5816ffc71c7af61a0a966f6f6a69a4%7Ctwcon%5Es3_&amp;ref_url=https%3A%2F%2Fnews.err.ee%2F1608731662%2Feconomic-minister-estonia-can-set-an-example-for-rebuilding-ukraine" xr:uid="{3111E5D0-8A9B-4612-BF2A-6604B98E605F}"/>
    <hyperlink ref="X396" r:id="rId4165" xr:uid="{AAC4DC23-3DC6-4452-BC14-912EC37E94DA}"/>
    <hyperlink ref="X393" r:id="rId4166" xr:uid="{B86921FF-DA3C-45C2-9CC0-BBC3FBA4075E}"/>
    <hyperlink ref="W393" r:id="rId4167" xr:uid="{96A63259-179C-41CB-AF65-BBDE0BE36308}"/>
    <hyperlink ref="X392" r:id="rId4168" xr:uid="{EA07564B-8DFD-4AC6-B50B-2D98365BF6B2}"/>
    <hyperlink ref="V397" r:id="rId4169" xr:uid="{FC290FF5-B044-4FF2-96E3-6CF61FD0DFB1}"/>
    <hyperlink ref="V392:V396" r:id="rId4170" display="https://vm.ee/en/estonias-aid-ukraine" xr:uid="{8638E27E-314E-4C61-954A-E7C3AA00E9E8}"/>
    <hyperlink ref="V726" r:id="rId4171" xr:uid="{CAF6F736-689D-4722-8EF6-BDD524FB3E94}"/>
    <hyperlink ref="W726" r:id="rId4172" xr:uid="{4D1C4E9C-459D-4983-8C9B-97F518F26C16}"/>
    <hyperlink ref="X726" r:id="rId4173" xr:uid="{BB3482A0-6538-44F8-8898-530BB6A91665}"/>
    <hyperlink ref="Y726" r:id="rId4174" xr:uid="{D49315C8-727D-4585-AADC-613FEE1D9778}"/>
    <hyperlink ref="V727" r:id="rId4175" xr:uid="{400F1C04-D174-43F7-B3EB-AE2FF50BE2C2}"/>
    <hyperlink ref="W727" r:id="rId4176" xr:uid="{64E56B46-E1E7-4091-94DC-B33B7A5FC116}"/>
    <hyperlink ref="X727" r:id="rId4177" xr:uid="{7BD8654F-8A8C-44F0-8A27-041B282E5BEA}"/>
    <hyperlink ref="Y727" r:id="rId4178" xr:uid="{FAA73D3E-FAD5-4293-8A9F-39D514A7830D}"/>
    <hyperlink ref="V728" r:id="rId4179" xr:uid="{1FAAACF0-F8FA-419F-95FF-312D78FCB3BA}"/>
    <hyperlink ref="W728" r:id="rId4180" xr:uid="{7382C3B4-3D01-4A6F-9196-8CCF516E1813}"/>
    <hyperlink ref="X728" r:id="rId4181" xr:uid="{15E56A96-C654-4A04-A5D9-61960C9BE0CE}"/>
    <hyperlink ref="Y728" r:id="rId4182" xr:uid="{566A08BA-7718-479A-8C58-19E652808A31}"/>
    <hyperlink ref="V793" r:id="rId4183" xr:uid="{D4E26765-0447-48A3-B126-5000BEEA8EF4}"/>
    <hyperlink ref="V794" r:id="rId4184" xr:uid="{711B44B1-2CF6-497F-AD10-6DC9CF695F69}"/>
    <hyperlink ref="W794" r:id="rId4185" xr:uid="{C9A03430-7F20-4096-9FB1-C3A1C10D4F1E}"/>
    <hyperlink ref="W793" r:id="rId4186" xr:uid="{2CDCDBA4-B201-462C-936B-3ED00E9C9AFC}"/>
    <hyperlink ref="AB805" r:id="rId4187" xr:uid="{30658043-11BA-4C1F-9DBF-D49A69A71BDD}"/>
    <hyperlink ref="Y805" r:id="rId4188" xr:uid="{5FF3AA94-6C7A-4C0B-8C9E-4CCE5C492F9C}"/>
    <hyperlink ref="V805" r:id="rId4189" xr:uid="{D5D0690D-94F7-4411-A927-E8277456F4AC}"/>
    <hyperlink ref="W805" r:id="rId4190" xr:uid="{44477BBC-0C22-4CA5-8824-66045F8F2BE7}"/>
    <hyperlink ref="X805" r:id="rId4191" xr:uid="{2D81C441-B42C-43B1-A4FF-AB71E2134296}"/>
    <hyperlink ref="W807" r:id="rId4192" xr:uid="{1BC82EC1-83E3-4395-BB9B-C1ABBB3FBD13}"/>
    <hyperlink ref="X807" r:id="rId4193" xr:uid="{D310D144-BF1F-4687-B04A-C43EF720FF12}"/>
    <hyperlink ref="Y807" r:id="rId4194" xr:uid="{598730E2-369B-484C-A9F9-17DDEAC024BD}"/>
    <hyperlink ref="V807" r:id="rId4195" xr:uid="{CBE786AA-1C5C-4DBF-99E5-780A7A1F021F}"/>
    <hyperlink ref="AB807" r:id="rId4196" xr:uid="{B6F6CAFD-EF41-4A0E-A938-20C2E755AA9B}"/>
    <hyperlink ref="V810" r:id="rId4197" xr:uid="{29739D4B-4B24-4685-95CA-EB3BD4EBE757}"/>
    <hyperlink ref="W810" r:id="rId4198" xr:uid="{206B81A5-B527-4691-B0E0-6DB9C14CC3A2}"/>
    <hyperlink ref="V811" r:id="rId4199" xr:uid="{7F23DB94-A800-4DDE-832E-92FC5AF1F6A1}"/>
    <hyperlink ref="W811" r:id="rId4200" xr:uid="{EC1D72B1-EF4B-42A4-8CE9-CC600355865E}"/>
    <hyperlink ref="X810" r:id="rId4201" xr:uid="{1C2C2F19-6677-4FF0-9E07-21AB594669C0}"/>
    <hyperlink ref="V812" r:id="rId4202" xr:uid="{5C2CAA92-B00B-4E87-B1B7-060B3BD6D8AB}"/>
    <hyperlink ref="W812" r:id="rId4203" xr:uid="{DA31E4B5-8825-4FCD-BDAE-96746A8857BE}"/>
    <hyperlink ref="X812" r:id="rId4204" xr:uid="{826536A9-60FB-4B9F-A12A-13CB83CA8347}"/>
    <hyperlink ref="Y812" r:id="rId4205" xr:uid="{A4AEDAA4-05F9-44C7-B2B9-E32AB1A3E70F}"/>
    <hyperlink ref="V815" r:id="rId4206" xr:uid="{468F9ED2-2D90-4590-9BC3-868C682CA29A}"/>
    <hyperlink ref="W815" r:id="rId4207" xr:uid="{58457AD8-8C90-4862-98FC-702D23CC5923}"/>
    <hyperlink ref="X815" r:id="rId4208" xr:uid="{B33B52B9-C536-4527-92A5-77F873B7B714}"/>
    <hyperlink ref="V1158" r:id="rId4209" xr:uid="{6293CD96-D944-49E8-BA9D-889739341C59}"/>
    <hyperlink ref="W1158" r:id="rId4210" xr:uid="{4FF5D93A-4866-4B88-B3D5-48D0DC7FFD52}"/>
    <hyperlink ref="X1158" r:id="rId4211" xr:uid="{53C0DBB8-8C99-4A9E-9799-B06585396DB2}"/>
    <hyperlink ref="V729" r:id="rId4212" xr:uid="{AB5CC3F3-91B3-49CC-B728-41ABD3928312}"/>
    <hyperlink ref="W729" r:id="rId4213" xr:uid="{37AA8D6E-00E6-4705-B89C-81706D6AB33E}"/>
    <hyperlink ref="X729" r:id="rId4214" xr:uid="{0E51C00D-726F-4293-A07C-5ED09F7DF845}"/>
    <hyperlink ref="Y729" r:id="rId4215" xr:uid="{DC3B3D1F-7E35-45C7-A452-2896DD71EACF}"/>
    <hyperlink ref="V1181" r:id="rId4216" xr:uid="{78CC50D1-6D0E-4470-94B3-084DBF758013}"/>
    <hyperlink ref="V1182" r:id="rId4217" xr:uid="{04A1CCCF-733A-4101-95C1-96F3A9AFCE42}"/>
    <hyperlink ref="V1183" r:id="rId4218" xr:uid="{7F5ADF73-7B85-4FE0-A9CA-C3568B974379}"/>
    <hyperlink ref="V1184" r:id="rId4219" xr:uid="{09881B05-6C24-4392-B854-DFA1466A9E22}"/>
    <hyperlink ref="V1185" r:id="rId4220" xr:uid="{E64E8E7A-7E4E-4BB7-9AE6-B5C6AF4976F7}"/>
    <hyperlink ref="V1186" r:id="rId4221" xr:uid="{DF695EA9-50EE-45E5-9920-2D85836E0AA2}"/>
    <hyperlink ref="W1186" r:id="rId4222" xr:uid="{6F041F94-B657-49F6-9317-E4123261CEBF}"/>
    <hyperlink ref="X1186" r:id="rId4223" xr:uid="{D56B67E2-7D33-493F-B7D8-5C4683363983}"/>
    <hyperlink ref="AB1189" r:id="rId4224" xr:uid="{C91F83B4-3B89-4E17-B582-B546CB667556}"/>
    <hyperlink ref="V434" r:id="rId4225" xr:uid="{A1D05656-2B34-4986-A68D-029FB7B82BF2}"/>
    <hyperlink ref="V1049" r:id="rId4226" xr:uid="{A94121DC-974A-4720-A965-677F8D5F3052}"/>
    <hyperlink ref="W1090" r:id="rId4227" xr:uid="{6A883AB7-1967-4666-88CD-AC4B3127376A}"/>
    <hyperlink ref="V1089" r:id="rId4228" xr:uid="{63A9E4CD-C405-4CC9-A049-F18AEAC9D515}"/>
    <hyperlink ref="W1089" r:id="rId4229" xr:uid="{1C531616-C7AE-46A4-94FD-118A5EA1B252}"/>
    <hyperlink ref="V1093" r:id="rId4230" xr:uid="{000039A1-8F03-47FA-8840-4AF6B6501C6C}"/>
    <hyperlink ref="W1093" r:id="rId4231" xr:uid="{A8FF6B47-60CA-4A45-9075-F8531A00E394}"/>
    <hyperlink ref="V763" r:id="rId4232" xr:uid="{354C8632-1AE0-4893-B2BD-86C46A989CE6}"/>
    <hyperlink ref="V1245" r:id="rId4233" xr:uid="{F507C397-BF97-4FE5-82B1-DE039104C916}"/>
    <hyperlink ref="W1245" r:id="rId4234" xr:uid="{16A117AB-21F1-4027-AC6E-194A156F3ACA}"/>
    <hyperlink ref="V767" r:id="rId4235" xr:uid="{BB9627FD-7F70-457A-97E0-5D1D716819C4}"/>
    <hyperlink ref="W767" r:id="rId4236" xr:uid="{BE568187-5138-4374-8A24-02BBED085E45}"/>
    <hyperlink ref="V768" r:id="rId4237" xr:uid="{2D627995-E887-4EAA-B7A0-92428D42C9CF}"/>
    <hyperlink ref="W772" r:id="rId4238" xr:uid="{FE66D7AB-0D67-4F71-8357-AC2D62A364E8}"/>
    <hyperlink ref="V773" r:id="rId4239" xr:uid="{923A0622-2A0E-45C3-8E14-33BCCBC464B5}"/>
    <hyperlink ref="W773" r:id="rId4240" xr:uid="{A8E1454A-09E2-4661-A420-B262F506DE8B}"/>
    <hyperlink ref="W777" r:id="rId4241" xr:uid="{3B8E9057-C64A-40EB-AA81-BD1A12801535}"/>
    <hyperlink ref="V287" r:id="rId4242" xr:uid="{C125D9B8-23A7-4F39-84FF-D9142D871901}"/>
    <hyperlink ref="V780" r:id="rId4243" xr:uid="{D0DC8C18-B83C-4809-ABE7-D72E5C3E7A9F}"/>
    <hyperlink ref="V774" r:id="rId4244" location="panel-17938480-c488-11ec-8148-005056bcf582-1" xr:uid="{EAA4C040-1B4B-4B53-8720-E52125C54C40}"/>
    <hyperlink ref="V761" r:id="rId4245" xr:uid="{E317DD64-D8FC-4314-B567-D89D0BF1C65A}"/>
    <hyperlink ref="V201" r:id="rId4246" xr:uid="{66E1D63D-3C2D-47AF-ACC2-274708FB7804}"/>
    <hyperlink ref="W201" r:id="rId4247" xr:uid="{C0F51017-5C65-45DF-AC75-47F01D324EF3}"/>
    <hyperlink ref="X1329" r:id="rId4248" xr:uid="{01117984-BE3E-4909-ABDD-B7DE0D0C4745}"/>
    <hyperlink ref="V1330" r:id="rId4249" xr:uid="{45440DCD-0261-42BE-BBC0-A6CB9FB6573E}"/>
    <hyperlink ref="W1330" r:id="rId4250" xr:uid="{6EFF564C-526B-438C-A00F-2818BE087D6B}"/>
    <hyperlink ref="V1325" r:id="rId4251" xr:uid="{DFCFE823-8028-4256-A6E3-82B64FAD3844}"/>
    <hyperlink ref="X1325" r:id="rId4252" xr:uid="{E527EA56-1F7B-4919-B0BD-55D54503F703}"/>
    <hyperlink ref="W1325" r:id="rId4253" xr:uid="{9E807F86-BED7-4366-A666-29CF879E9D05}"/>
    <hyperlink ref="V777" r:id="rId4254" xr:uid="{A19F112A-3EB9-44AF-9338-07A5FB79D4C2}"/>
    <hyperlink ref="X988" r:id="rId4255" xr:uid="{629CDFA5-22B4-4641-8F70-38BEB2ADF008}"/>
    <hyperlink ref="W988" r:id="rId4256" xr:uid="{397DDC5A-B650-4DB4-B451-223E6007AFDC}"/>
    <hyperlink ref="V988" r:id="rId4257" xr:uid="{71A108F2-2ECB-4819-A2C0-9F3D53E739BA}"/>
    <hyperlink ref="V764" r:id="rId4258" xr:uid="{028C8442-5CED-45A0-BE4B-9E4EAFBA5936}"/>
    <hyperlink ref="V765" r:id="rId4259" xr:uid="{3D40A693-8B0D-4B4C-9DF6-B1718E4D4B1D}"/>
    <hyperlink ref="V1997" r:id="rId4260" xr:uid="{1F6298F4-1197-4DD3-8D45-C6E0CB54A2D0}"/>
    <hyperlink ref="W1998" r:id="rId4261" xr:uid="{0E87EE7E-45AA-4C45-A819-FA11610B23D0}"/>
    <hyperlink ref="V1998" r:id="rId4262" xr:uid="{0985FECA-F5E4-4C52-8B4A-D87507E8FA8A}"/>
    <hyperlink ref="W1997" r:id="rId4263" xr:uid="{14914498-0E06-4C64-B048-DF204F486366}"/>
    <hyperlink ref="V771" r:id="rId4264" location="panel-17938480-c488-11ec-8148-005056bcf582-9" xr:uid="{8C22712A-17AC-4571-B3A5-DBCEC55D7455}"/>
    <hyperlink ref="W771" r:id="rId4265" xr:uid="{F2CC40EC-43FE-4D61-A5E0-78257E12A5B2}"/>
    <hyperlink ref="V270" r:id="rId4266" xr:uid="{24C08043-86BA-419F-9677-59A24C21EDA7}"/>
    <hyperlink ref="V271" r:id="rId4267" xr:uid="{EFC39180-6B60-4DA0-B01E-9B8BD124F843}"/>
    <hyperlink ref="W271" r:id="rId4268" xr:uid="{15EF19CD-B332-44F4-95C1-1997CC8899C0}"/>
    <hyperlink ref="V1982" r:id="rId4269" xr:uid="{D99C43A1-28EF-43C8-8554-5061EC2A75D5}"/>
    <hyperlink ref="V1983" r:id="rId4270" xr:uid="{7AA7D12C-8EDF-4C90-B96D-4EF459FCAF43}"/>
    <hyperlink ref="V1984" r:id="rId4271" xr:uid="{2921BCA7-5E11-4222-A9B7-76C238A0F686}"/>
    <hyperlink ref="V1985" r:id="rId4272" xr:uid="{0864DD4B-55E8-4C1F-A001-01E21ECFCA51}"/>
    <hyperlink ref="V1372" r:id="rId4273" xr:uid="{7AEA49E4-13BB-4CFF-928D-552022B37F03}"/>
    <hyperlink ref="V1439" r:id="rId4274" xr:uid="{A9432A5E-E2ED-4DE4-A6AB-25DE2AAA4447}"/>
    <hyperlink ref="V137" r:id="rId4275" location=":~:text=Canada%2C%20a%20founding%20member%20of,to%20Russia's%20invasion%20of%20Ukraine." xr:uid="{EF445406-E271-4208-B69D-68486FF20BA3}"/>
    <hyperlink ref="W137" r:id="rId4276" xr:uid="{0059AE8A-D0EC-4F71-8D67-4B7661ABE421}"/>
    <hyperlink ref="X271" r:id="rId4277" xr:uid="{344233E0-CE14-4A53-987B-6D9A0126453B}"/>
    <hyperlink ref="Y271" r:id="rId4278" xr:uid="{FA48FBFE-E1B3-4898-A97E-825338BC82C5}"/>
    <hyperlink ref="V272" r:id="rId4279" xr:uid="{1390D566-FC24-461F-8678-2AEB5DEF0285}"/>
    <hyperlink ref="W272" r:id="rId4280" xr:uid="{C5D1E8D4-2E68-4B8A-A19F-D210503B4063}"/>
    <hyperlink ref="X272" r:id="rId4281" xr:uid="{16DE0BBE-4757-47DC-8198-657926375E9A}"/>
    <hyperlink ref="Y272" r:id="rId4282" xr:uid="{BE865032-700B-4C03-B7C1-A7D5D427EEA1}"/>
    <hyperlink ref="W1985" r:id="rId4283" xr:uid="{11B6F930-C631-4A68-883A-8017E53E662B}"/>
    <hyperlink ref="V1321" r:id="rId4284" xr:uid="{056B43AA-8AC3-4C35-91B5-7C7A6B8971BF}"/>
    <hyperlink ref="V484" r:id="rId4285" xr:uid="{FC8E5BFA-0DAF-4039-8CF1-CE15A9AD6AEA}"/>
    <hyperlink ref="W1321" r:id="rId4286" xr:uid="{970D5D02-EFB7-4033-A4B4-D1CC63C44A4F}"/>
    <hyperlink ref="V503" r:id="rId4287" xr:uid="{6FABE67B-621D-4AEB-9CA2-4D946B5B1581}"/>
    <hyperlink ref="V1252" r:id="rId4288" xr:uid="{FD14A825-ACDA-4696-8F77-6990E2E621C1}"/>
    <hyperlink ref="W1252" r:id="rId4289" xr:uid="{089FD7DF-BBB3-4F0C-A347-5CBF84775D9B}"/>
    <hyperlink ref="X1252" r:id="rId4290" xr:uid="{B716F228-FF02-47E9-A95B-88B74FAE9068}"/>
    <hyperlink ref="W1130" r:id="rId4291" xr:uid="{3CD43A0A-97DD-42BF-8248-F032B7951AC2}"/>
    <hyperlink ref="W536" r:id="rId4292" xr:uid="{0849E823-B492-4410-B86D-F313987675EC}"/>
    <hyperlink ref="AB536" r:id="rId4293" xr:uid="{A4AC20E8-8B18-4C9B-9570-37B00DA26D12}"/>
    <hyperlink ref="V481" r:id="rId4294" xr:uid="{B07A90D9-AEDA-474A-BD09-464D93323872}"/>
    <hyperlink ref="Y481" r:id="rId4295" xr:uid="{F0AF1DDA-8C33-47F2-9354-5BACF5EE68A8}"/>
    <hyperlink ref="X481" r:id="rId4296" xr:uid="{53A500DA-B1B6-46ED-B88C-8F433E3BFC1F}"/>
    <hyperlink ref="AB481" r:id="rId4297" xr:uid="{AC27C448-0DE8-4F83-806D-1A27D7360D42}"/>
    <hyperlink ref="W481" r:id="rId4298" xr:uid="{164A7EA0-5A47-4644-A722-6A13AE6D67DD}"/>
    <hyperlink ref="W480" r:id="rId4299" xr:uid="{71E8EDA3-ACBD-4A93-BCEF-532101BBACCF}"/>
    <hyperlink ref="V989" r:id="rId4300" xr:uid="{E1E62C74-C10A-4F0E-8D99-F163435CF783}"/>
    <hyperlink ref="X989" r:id="rId4301" xr:uid="{66397084-14D7-421B-A727-A691DDE6C343}"/>
    <hyperlink ref="W989" r:id="rId4302" xr:uid="{B8F4B55A-0D2B-4A1E-BE5B-E76D9AB259DC}"/>
    <hyperlink ref="V1032" r:id="rId4303" xr:uid="{3F5C2D67-4916-465F-ACDB-F53FDEC708DF}"/>
    <hyperlink ref="V1026" r:id="rId4304" xr:uid="{9DC5B597-EFF9-46B2-A869-ABC001CF7250}"/>
    <hyperlink ref="X503" r:id="rId4305" xr:uid="{959860D9-A6CD-4C5A-83E2-5338491F74D9}"/>
    <hyperlink ref="Y503" r:id="rId4306" xr:uid="{42CA51EE-10F5-4E0B-ACBD-0F700F7F8ED3}"/>
    <hyperlink ref="W699" r:id="rId4307" xr:uid="{05E68D4D-9E12-4FC9-824D-DE7C010B36F6}"/>
    <hyperlink ref="W700" r:id="rId4308" xr:uid="{AC923EFB-AF72-4773-B96B-04217EEAEDB5}"/>
    <hyperlink ref="X536" r:id="rId4309" xr:uid="{D76AFE30-DDE0-4CFE-A350-9FFB55A4E5EF}"/>
    <hyperlink ref="V1010" r:id="rId4310" xr:uid="{7073C1BD-A51A-4D03-B03C-3D5F62E969CF}"/>
    <hyperlink ref="V537" r:id="rId4311" xr:uid="{4B122F00-C324-4F1A-AC97-453AC6281D52}"/>
    <hyperlink ref="V538" r:id="rId4312" xr:uid="{9A3A78AA-E821-46E3-A3DA-88D5C1AF93DE}"/>
    <hyperlink ref="V539" r:id="rId4313" xr:uid="{C3618348-B559-4D4E-8A2A-760F3F6C8BE6}"/>
    <hyperlink ref="V540" r:id="rId4314" xr:uid="{F2B660BC-9AED-4EBF-9997-C35E6C4F12FA}"/>
    <hyperlink ref="V541" r:id="rId4315" xr:uid="{1AA46492-364E-424B-86BD-D1633B4110E8}"/>
    <hyperlink ref="V543" r:id="rId4316" xr:uid="{952E047C-2BC3-430E-BFB4-58B048B3BA4E}"/>
    <hyperlink ref="V545" r:id="rId4317" xr:uid="{BA0C6CE6-2B24-4970-902E-8B9421711D30}"/>
    <hyperlink ref="V547" r:id="rId4318" xr:uid="{BC9CDB42-61A9-4C3F-8AAE-9C046BDBB9A1}"/>
    <hyperlink ref="V549" r:id="rId4319" xr:uid="{C2D499EC-DE26-459D-AE92-64DBA57F2B8F}"/>
    <hyperlink ref="V551" r:id="rId4320" xr:uid="{900A1BF3-0E8E-47B1-9278-795606237C52}"/>
    <hyperlink ref="V553" r:id="rId4321" xr:uid="{BBCF5402-D177-4847-A296-9F35C6A59654}"/>
    <hyperlink ref="V555" r:id="rId4322" xr:uid="{63116BF6-B5C5-4D45-BA71-FE50032C1CEB}"/>
    <hyperlink ref="V557" r:id="rId4323" xr:uid="{06313A91-B160-4F42-A7A4-1F142734CDDA}"/>
    <hyperlink ref="V559" r:id="rId4324" xr:uid="{5F889178-1347-4412-B328-9EE9279B30BE}"/>
    <hyperlink ref="V561" r:id="rId4325" xr:uid="{215A075E-A0E8-492E-9DE7-8FD548C73A01}"/>
    <hyperlink ref="V563" r:id="rId4326" xr:uid="{C4EAFA25-6B0D-4B42-86E9-95B4BAC132BC}"/>
    <hyperlink ref="V565" r:id="rId4327" xr:uid="{AA4BA5B9-6BE7-4ED3-9D9C-45ABD96B1A4C}"/>
    <hyperlink ref="V567" r:id="rId4328" xr:uid="{19A7CE5D-CBEA-46F2-A551-D1D5C5D17836}"/>
    <hyperlink ref="V569" r:id="rId4329" xr:uid="{ED14E281-6E94-4739-992F-E1CBA76D314A}"/>
    <hyperlink ref="V571" r:id="rId4330" xr:uid="{32C99348-DA27-4EA7-8AAE-8E90B4AB179C}"/>
    <hyperlink ref="V573" r:id="rId4331" xr:uid="{B6906B3F-474F-46F9-953F-8A8B88949231}"/>
    <hyperlink ref="V575" r:id="rId4332" xr:uid="{81CD9AFF-05BE-4A02-AE46-AD011EAF27B3}"/>
    <hyperlink ref="V577" r:id="rId4333" xr:uid="{44F803BB-21E5-4CF2-8A53-269C8C0A0D6F}"/>
    <hyperlink ref="V579" r:id="rId4334" xr:uid="{80FEC8DC-8548-42B1-AD2C-08406B70992E}"/>
    <hyperlink ref="V581" r:id="rId4335" xr:uid="{42FB3320-1B79-42DA-A32F-E44189C2D0EF}"/>
    <hyperlink ref="V583" r:id="rId4336" xr:uid="{DCE36577-983A-443D-A00B-DA03D54244C2}"/>
    <hyperlink ref="V585" r:id="rId4337" xr:uid="{28B8330B-AEB0-4FB8-AF04-D207C27F1E94}"/>
    <hyperlink ref="V587" r:id="rId4338" xr:uid="{C0543B48-4990-426A-B678-470A6FCDE6E1}"/>
    <hyperlink ref="V589" r:id="rId4339" xr:uid="{63A8DF50-34F5-4360-AC69-F5BEB1A65E93}"/>
    <hyperlink ref="V591" r:id="rId4340" xr:uid="{BFAB8802-80C0-462F-8CEB-51391456A2F1}"/>
    <hyperlink ref="V593" r:id="rId4341" xr:uid="{80E022D1-9CA3-46E6-87FD-9B8C50C7BFF8}"/>
    <hyperlink ref="V595" r:id="rId4342" xr:uid="{6C65B08F-9E95-4FC9-99A3-FFAA6A27C6D3}"/>
    <hyperlink ref="V597" r:id="rId4343" xr:uid="{B73DAA8D-82D1-49DD-B9D5-D3D753A4BA8D}"/>
    <hyperlink ref="V599" r:id="rId4344" xr:uid="{ADFD6833-F991-4E1A-AF80-5793034D60F6}"/>
    <hyperlink ref="V601" r:id="rId4345" xr:uid="{DFACD8CA-9F8D-457E-9968-67F1392A4619}"/>
    <hyperlink ref="V603" r:id="rId4346" xr:uid="{628D8DB2-2791-4DAB-BD53-03E8D0A3777C}"/>
    <hyperlink ref="V605" r:id="rId4347" xr:uid="{1007F1A5-3715-4728-9AA0-5F63C96B3029}"/>
    <hyperlink ref="V607" r:id="rId4348" xr:uid="{982E0DAF-EC1F-4C9C-86B2-6CDF409C4FCF}"/>
    <hyperlink ref="V609" r:id="rId4349" xr:uid="{7D890510-BC7A-4847-96C4-481B28B3A08C}"/>
    <hyperlink ref="V611" r:id="rId4350" xr:uid="{C6E08605-AFB9-423F-A25D-5CAB83D09155}"/>
    <hyperlink ref="V613" r:id="rId4351" xr:uid="{8727F369-41C9-4AD6-9117-4B2AC6E4FCF4}"/>
    <hyperlink ref="V615" r:id="rId4352" xr:uid="{97ED43ED-027C-482C-B3C6-4516BEA435FA}"/>
    <hyperlink ref="V617" r:id="rId4353" xr:uid="{EB80EF20-BF83-49ED-A1A6-B1E8D69545A9}"/>
    <hyperlink ref="V619" r:id="rId4354" xr:uid="{ACC678F0-E09C-46D6-9A3B-87A7BD0ACE3C}"/>
    <hyperlink ref="V621" r:id="rId4355" xr:uid="{241AA7D9-5BB0-4FE8-A9C4-8E4DF345D78F}"/>
    <hyperlink ref="V623" r:id="rId4356" xr:uid="{82A64208-793C-429A-95EB-3EE56FC586FB}"/>
    <hyperlink ref="V625" r:id="rId4357" xr:uid="{09F24C70-1414-43F7-A2D5-5AF43B8C4D19}"/>
    <hyperlink ref="V627" r:id="rId4358" xr:uid="{17D991F5-3E69-4009-B1E6-8033E464E3DF}"/>
    <hyperlink ref="V542" r:id="rId4359" xr:uid="{A3EF61F7-2A1B-4FE4-A74B-209F36614D92}"/>
    <hyperlink ref="V544" r:id="rId4360" xr:uid="{185472BF-1171-43EE-B013-CD671BF2FCC8}"/>
    <hyperlink ref="V546" r:id="rId4361" xr:uid="{BB4998CF-5501-4924-80FC-C89406D4E947}"/>
    <hyperlink ref="V548" r:id="rId4362" xr:uid="{ECEEEB69-3355-4C32-8A72-9045F18D399B}"/>
    <hyperlink ref="V550" r:id="rId4363" xr:uid="{CBC43A47-CB0D-4E61-8FC9-2FF672F4EF85}"/>
    <hyperlink ref="V552" r:id="rId4364" xr:uid="{4CD8093F-8C1A-41C2-995C-8CD9AF0BBF74}"/>
    <hyperlink ref="V554" r:id="rId4365" xr:uid="{7C868423-A509-4A43-9B1C-E6A3B979B3E4}"/>
    <hyperlink ref="V556" r:id="rId4366" xr:uid="{B65AE331-8BC9-4CEC-8152-E4DB3FB9538F}"/>
    <hyperlink ref="V558" r:id="rId4367" xr:uid="{E1E74D24-D75F-4229-B1BC-64D1CEBD530B}"/>
    <hyperlink ref="V560" r:id="rId4368" xr:uid="{A00EE3AA-CBC5-40F7-B805-D189D9F67897}"/>
    <hyperlink ref="V562" r:id="rId4369" xr:uid="{5EAC1C4D-75DF-49AC-9518-7437B233C973}"/>
    <hyperlink ref="V564" r:id="rId4370" xr:uid="{511115EC-46DB-4D48-B548-B1397C5AFC7B}"/>
    <hyperlink ref="V566" r:id="rId4371" xr:uid="{8DA8D606-3D86-42A2-88CE-045921CC8C01}"/>
    <hyperlink ref="V568" r:id="rId4372" xr:uid="{7561187C-465A-4629-8BBB-3633BA98A2E3}"/>
    <hyperlink ref="V570" r:id="rId4373" xr:uid="{AE62643B-0296-4DFD-A5E5-D55D5A61AEFF}"/>
    <hyperlink ref="V572" r:id="rId4374" xr:uid="{4ACFC811-505F-4FAB-A482-C2069545FD26}"/>
    <hyperlink ref="V574" r:id="rId4375" xr:uid="{C03F4873-9422-478A-B10F-01ED521682F1}"/>
    <hyperlink ref="V576" r:id="rId4376" xr:uid="{BD217EF3-14FB-4172-8A4A-24863D70C36D}"/>
    <hyperlink ref="V578" r:id="rId4377" xr:uid="{AEC26B7E-3D47-4308-A799-DCE192763B18}"/>
    <hyperlink ref="V580" r:id="rId4378" xr:uid="{12ACF4E2-F073-4538-9C92-75FCF7703CAB}"/>
    <hyperlink ref="V582" r:id="rId4379" xr:uid="{D735A428-7AEE-4854-8DB7-A648532B9951}"/>
    <hyperlink ref="V584" r:id="rId4380" xr:uid="{F1C9B8E8-2ECC-4851-BBF5-C4C676260113}"/>
    <hyperlink ref="V586" r:id="rId4381" xr:uid="{541539FE-CFEB-47C5-8C17-E1C725ECDC21}"/>
    <hyperlink ref="V588" r:id="rId4382" xr:uid="{948F9CEE-2D57-4C53-B5F0-A2DA484E1158}"/>
    <hyperlink ref="V590" r:id="rId4383" xr:uid="{FE3224C8-2890-4F2A-9272-05F4A299D552}"/>
    <hyperlink ref="V592" r:id="rId4384" xr:uid="{A506BDF1-A2F0-451A-A3A1-316A118AE9D0}"/>
    <hyperlink ref="V594" r:id="rId4385" xr:uid="{F35DF19A-805C-4962-8A67-E59642283D00}"/>
    <hyperlink ref="V596" r:id="rId4386" xr:uid="{EF9D81F2-B05B-4B93-916F-43503E0F4091}"/>
    <hyperlink ref="V598" r:id="rId4387" xr:uid="{1A709321-8095-4578-9FDB-ED5A29E341AD}"/>
    <hyperlink ref="V600" r:id="rId4388" xr:uid="{E7298393-A156-4786-A70E-05008D0F6939}"/>
    <hyperlink ref="V602" r:id="rId4389" xr:uid="{E6087708-BADC-4E71-B2CD-D867FF9DC437}"/>
    <hyperlink ref="V604" r:id="rId4390" xr:uid="{971E1BDF-2F8B-4133-9ECA-95BACBE77C26}"/>
    <hyperlink ref="V606" r:id="rId4391" xr:uid="{20FD8F52-7FEE-45AF-B952-900F33BAA146}"/>
    <hyperlink ref="V608" r:id="rId4392" xr:uid="{40A90D99-9139-4535-B49C-6063B6EF2D34}"/>
    <hyperlink ref="V610" r:id="rId4393" xr:uid="{474FE8B1-8624-444F-A200-6EFF679AA6C7}"/>
    <hyperlink ref="V612" r:id="rId4394" xr:uid="{1CECDF42-6155-4E85-8E57-E05028CABE97}"/>
    <hyperlink ref="V614" r:id="rId4395" xr:uid="{DBF97C1A-61C8-4FE7-B260-C57956B9B856}"/>
    <hyperlink ref="V616" r:id="rId4396" xr:uid="{9C8635D5-E539-4E28-9695-DB8EE34A1D0B}"/>
    <hyperlink ref="V618" r:id="rId4397" xr:uid="{E45D4020-B972-4669-AE89-0CAF8952DBF7}"/>
    <hyperlink ref="V620" r:id="rId4398" xr:uid="{84F2B5D7-4AAD-4B84-9205-07F8DDCD5D8F}"/>
    <hyperlink ref="V622" r:id="rId4399" xr:uid="{0AE22165-74BD-4585-A3CF-FFBD7DFEF8F3}"/>
    <hyperlink ref="V624" r:id="rId4400" xr:uid="{C3243ECE-E245-4F85-83BD-679954328BCE}"/>
    <hyperlink ref="V626" r:id="rId4401" xr:uid="{42938FA4-CD79-4280-A0B8-42CCB1AC8791}"/>
    <hyperlink ref="V628" r:id="rId4402" xr:uid="{9581F61D-BDA4-4490-8D0E-0737173FCD63}"/>
    <hyperlink ref="W529" r:id="rId4403" xr:uid="{1B81D5AC-70ED-46D8-9D51-1E3F3FA3F3B9}"/>
    <hyperlink ref="W530" r:id="rId4404" xr:uid="{EFDFB397-B227-4B57-AE05-BB5E91EB93A6}"/>
    <hyperlink ref="V532" r:id="rId4405" xr:uid="{EA108F6B-2BC0-4AE5-A460-C148BAA5187D}"/>
    <hyperlink ref="V629" r:id="rId4406" xr:uid="{607045B8-6DE3-4220-9A4D-8FE1B3AA2898}"/>
    <hyperlink ref="V630" r:id="rId4407" xr:uid="{7D08EC0B-7ACB-4A2F-9C85-1B0A2DC66CA6}"/>
    <hyperlink ref="V632" r:id="rId4408" xr:uid="{DFDBC9FE-14AF-40D3-882C-91807FAEA54F}"/>
    <hyperlink ref="V634" r:id="rId4409" xr:uid="{2F1A405F-16CB-4DE9-8B40-71729EED7006}"/>
    <hyperlink ref="V636" r:id="rId4410" xr:uid="{BFFA6F85-067C-44D3-A609-7A601CE619CD}"/>
    <hyperlink ref="V638" r:id="rId4411" xr:uid="{744B7768-8865-4CBF-ABBA-9F2268C31BFE}"/>
    <hyperlink ref="V640" r:id="rId4412" xr:uid="{524A6D7E-E430-47C8-AC21-8BB52EB4E218}"/>
    <hyperlink ref="V642" r:id="rId4413" xr:uid="{4BA5388A-404D-4095-8573-44EB6B942D6E}"/>
    <hyperlink ref="V644" r:id="rId4414" xr:uid="{1B53D75C-802A-417E-B0B7-A77FE9C65D09}"/>
    <hyperlink ref="V646" r:id="rId4415" xr:uid="{437A6A8F-37F5-4AF8-915E-9AF5F9761A18}"/>
    <hyperlink ref="V648" r:id="rId4416" xr:uid="{617AB271-F829-40BB-BB2A-9EDEFB05650F}"/>
    <hyperlink ref="V650" r:id="rId4417" xr:uid="{72671FE9-E7D6-4347-9FE7-80132CC2B1BA}"/>
    <hyperlink ref="V652" r:id="rId4418" xr:uid="{11DD4131-63BE-40B6-965A-B1342BA41271}"/>
    <hyperlink ref="V654" r:id="rId4419" xr:uid="{5C94B519-4145-4E61-BB93-2D9C509B1B29}"/>
    <hyperlink ref="V656" r:id="rId4420" xr:uid="{E04CBC6F-63CF-41B7-ABBA-DFBACBDE6F98}"/>
    <hyperlink ref="V658" r:id="rId4421" xr:uid="{5F9B6036-785B-47C9-A58D-3BEB023F1BCD}"/>
    <hyperlink ref="V660" r:id="rId4422" xr:uid="{E7491E44-25B2-444E-9713-859DFC1A7CCF}"/>
    <hyperlink ref="V662" r:id="rId4423" xr:uid="{DD659CC6-6403-4751-AFE3-6A329AECB177}"/>
    <hyperlink ref="V664" r:id="rId4424" xr:uid="{F847E390-E4AF-47CF-9618-785AD0EC0D8C}"/>
    <hyperlink ref="V666" r:id="rId4425" xr:uid="{D60E202C-0395-4321-8D47-FBE78CF557A4}"/>
    <hyperlink ref="V668" r:id="rId4426" xr:uid="{422667D4-7ADE-4217-9625-C5ACC5DFE2E8}"/>
    <hyperlink ref="V670" r:id="rId4427" xr:uid="{7E3A1FA8-5F6C-4FB7-815B-4E5E9C57F2D9}"/>
    <hyperlink ref="V672" r:id="rId4428" xr:uid="{C8B36FEC-AFA1-478B-9040-6D4C4049F0FC}"/>
    <hyperlink ref="V674" r:id="rId4429" xr:uid="{348F8A44-8339-4DE6-B6FD-C7A6F29CFDB5}"/>
    <hyperlink ref="V676" r:id="rId4430" xr:uid="{01CD059B-ECD6-4974-9F5D-3817915FA9E1}"/>
    <hyperlink ref="V678" r:id="rId4431" xr:uid="{560263B9-94B6-48F7-A48A-03ADC60BC259}"/>
    <hyperlink ref="V680" r:id="rId4432" xr:uid="{0CC94274-90EC-4796-A0B8-C35A68DA7D22}"/>
    <hyperlink ref="V682" r:id="rId4433" xr:uid="{D6036EBC-208A-43E2-A0E0-69A41C9054A5}"/>
    <hyperlink ref="V684" r:id="rId4434" xr:uid="{F942C8B3-9FBE-45A6-AC51-FB41B7C3A2CE}"/>
    <hyperlink ref="V686" r:id="rId4435" xr:uid="{A47D1B5D-EC93-4CD4-9213-0BF255382869}"/>
    <hyperlink ref="V688" r:id="rId4436" xr:uid="{7C75D79D-3517-4017-9CD6-CAA53610DA02}"/>
    <hyperlink ref="V690" r:id="rId4437" xr:uid="{4DE38ED9-616B-4733-8F6A-0C1CAF8CE573}"/>
    <hyperlink ref="V692" r:id="rId4438" xr:uid="{30AC80C9-C3A6-46DD-9479-217E853EAAB6}"/>
    <hyperlink ref="V694" r:id="rId4439" xr:uid="{53FA90B3-7520-4789-BF79-1CC654704A75}"/>
    <hyperlink ref="V696" r:id="rId4440" xr:uid="{0D483045-E2F0-4A38-B2F9-26A55FFF8CD0}"/>
    <hyperlink ref="V698" r:id="rId4441" xr:uid="{01222938-BFB5-46EF-81F7-6F034B01F26E}"/>
    <hyperlink ref="V700" r:id="rId4442" xr:uid="{537E0A25-7845-4823-B375-FF7C3B0DA707}"/>
    <hyperlink ref="V631" r:id="rId4443" xr:uid="{30D74F8D-3E18-4FAB-8519-AC17B4EB63DB}"/>
    <hyperlink ref="V633" r:id="rId4444" xr:uid="{EB50BEFE-0129-4F7D-A0B1-4EECBB6F65C9}"/>
    <hyperlink ref="V635" r:id="rId4445" xr:uid="{BF4ADFDA-80DC-420D-9D92-C44DCBBDAD94}"/>
    <hyperlink ref="V637" r:id="rId4446" xr:uid="{29742CA6-5932-4000-A535-ACEFA72F5A75}"/>
    <hyperlink ref="V639" r:id="rId4447" xr:uid="{4EFAC50D-3A94-4095-86C8-FE007738B45B}"/>
    <hyperlink ref="V641" r:id="rId4448" xr:uid="{DD9F3185-FE99-46AD-9EBB-B191B70D6067}"/>
    <hyperlink ref="V643" r:id="rId4449" xr:uid="{B25C1EC8-E9EB-4058-AA37-FBFDFBD2B7D1}"/>
    <hyperlink ref="V645" r:id="rId4450" xr:uid="{13383515-96A9-4334-9BBF-C64CAADE6A04}"/>
    <hyperlink ref="V647" r:id="rId4451" xr:uid="{BC1FBEC5-333C-40A9-B79E-1D005E67A754}"/>
    <hyperlink ref="V649" r:id="rId4452" xr:uid="{D72D34DB-AFF5-4D11-A02C-2F6903A922B1}"/>
    <hyperlink ref="V651" r:id="rId4453" xr:uid="{1812D7F4-BC71-4BF1-B5AA-DEE2615D9B53}"/>
    <hyperlink ref="V653" r:id="rId4454" xr:uid="{D6455635-1C58-45CB-8D1B-F08AFA1A8A45}"/>
    <hyperlink ref="V655" r:id="rId4455" xr:uid="{58BD3605-4E7A-4B2F-8DA3-92008CEBE8B9}"/>
    <hyperlink ref="V657" r:id="rId4456" xr:uid="{818F2AEB-8280-4A37-9C28-FB80BC95CABA}"/>
    <hyperlink ref="V659" r:id="rId4457" xr:uid="{EB276759-78F8-41FC-B6BC-D95C572C0349}"/>
    <hyperlink ref="V661" r:id="rId4458" xr:uid="{66695666-6118-412F-8874-4D7B6D88623B}"/>
    <hyperlink ref="V663" r:id="rId4459" xr:uid="{2EE1CFE0-F961-4CEA-9333-01F57FDB6FCF}"/>
    <hyperlink ref="V665" r:id="rId4460" xr:uid="{A36D2E1C-B3D7-43CF-8596-585E91A60D55}"/>
    <hyperlink ref="V667" r:id="rId4461" xr:uid="{612513E5-A60E-4FDD-9FF6-872C2D85DD5E}"/>
    <hyperlink ref="V669" r:id="rId4462" xr:uid="{E9DE1749-8F71-4DD0-8702-682286F77960}"/>
    <hyperlink ref="V671" r:id="rId4463" xr:uid="{4D005A4C-3ABA-49C1-A7A6-16E9D755CFE6}"/>
    <hyperlink ref="V673" r:id="rId4464" xr:uid="{549324A0-01EF-48A0-ABF9-2DE045DAE9B9}"/>
    <hyperlink ref="V675" r:id="rId4465" xr:uid="{713C86A6-6363-439F-8732-34649F6CCD54}"/>
    <hyperlink ref="V677" r:id="rId4466" xr:uid="{4134E8BB-F0FD-46A9-981D-3D96F5F40AC2}"/>
    <hyperlink ref="V679" r:id="rId4467" xr:uid="{C63D46D5-B4A2-4396-B8DA-8B98B19106B5}"/>
    <hyperlink ref="V681" r:id="rId4468" xr:uid="{EADC40D4-1EA2-44FC-AC86-79F45CF569AD}"/>
    <hyperlink ref="V683" r:id="rId4469" xr:uid="{A221D640-D978-43BD-B362-E212C5918C34}"/>
    <hyperlink ref="V685" r:id="rId4470" xr:uid="{E4A4C592-F0FA-466C-A821-BFC7DC9405D2}"/>
    <hyperlink ref="V687" r:id="rId4471" xr:uid="{44DA935F-0040-4663-931E-F1AC68663E85}"/>
    <hyperlink ref="V689" r:id="rId4472" xr:uid="{52513504-D1D1-46DE-B90E-7E519DFBEC0F}"/>
    <hyperlink ref="V691" r:id="rId4473" xr:uid="{57400567-DD5E-47B0-A67E-CC5BC9FA71FA}"/>
    <hyperlink ref="V693" r:id="rId4474" xr:uid="{8E941BE1-5CA1-4CB8-AF50-0A2B8599AF2C}"/>
    <hyperlink ref="V695" r:id="rId4475" xr:uid="{3267DC9E-8FB2-4867-952B-1B8782F8AB3C}"/>
    <hyperlink ref="V697" r:id="rId4476" xr:uid="{C54ACA33-482F-4BAE-A2B5-72233C1A02C8}"/>
    <hyperlink ref="V699" r:id="rId4477" xr:uid="{B79CFAE3-02A8-41C9-A8DD-99FEE79F9337}"/>
    <hyperlink ref="V700" r:id="rId4478" xr:uid="{101E889C-08C0-46A5-9B92-C5383BDA354F}"/>
    <hyperlink ref="V877" r:id="rId4479" xr:uid="{23E4F61A-5B94-4403-AFE1-AB8AAC0393F5}"/>
    <hyperlink ref="V855" r:id="rId4480" xr:uid="{98478925-C522-487D-A740-8888EB013F68}"/>
    <hyperlink ref="W855" r:id="rId4481" xr:uid="{DEACD883-70D9-424E-B58E-20E250FD0122}"/>
    <hyperlink ref="V856" r:id="rId4482" xr:uid="{C28CAF36-F64C-419D-98FD-09B6061B7674}"/>
    <hyperlink ref="W856" r:id="rId4483" xr:uid="{FFC604CD-313C-427C-B92C-350E6A176F1A}"/>
    <hyperlink ref="V1105" r:id="rId4484" xr:uid="{262FDEB3-DD6B-42FB-A6F7-904F2D0DCE36}"/>
    <hyperlink ref="V915" r:id="rId4485" xr:uid="{DA13D5EC-B58A-404C-B4AB-0E12A7C4A634}"/>
    <hyperlink ref="W915" r:id="rId4486" xr:uid="{27F609BF-9F4D-4EB1-BE9F-944A0AF469E6}"/>
    <hyperlink ref="X915" r:id="rId4487" xr:uid="{56687EA3-088B-4AC7-A58B-358AA6A85FB4}"/>
    <hyperlink ref="AB916" r:id="rId4488" xr:uid="{79F6F556-A6B6-42F9-83C7-CDF71DD8F6C6}"/>
    <hyperlink ref="V918" r:id="rId4489" xr:uid="{A49B2162-01C5-491F-A1FD-4061AE419ECA}"/>
    <hyperlink ref="W918" r:id="rId4490" xr:uid="{4F2745C2-421D-4D04-A44B-B4C43D82FF71}"/>
    <hyperlink ref="V929" r:id="rId4491" xr:uid="{A4B82360-0906-4A6A-82C4-B57F3DE77512}"/>
    <hyperlink ref="V67" r:id="rId4492" xr:uid="{690D1EB9-DCC7-48F0-9D2D-6A05AE7BEFA6}"/>
    <hyperlink ref="V288" r:id="rId4493" xr:uid="{4C501B01-ED05-49A9-8F44-0D296D2583B8}"/>
    <hyperlink ref="W288" r:id="rId4494" location=":~:text=The%20Czech%20government%20will%20allocate,year%20from%202023%20to%202025" xr:uid="{33307486-8A4B-4558-AAD5-F3543EE0E470}"/>
    <hyperlink ref="V1218" r:id="rId4495" xr:uid="{7738A139-4478-4C6A-9B4C-0095E3B91D6E}"/>
    <hyperlink ref="W1218" r:id="rId4496" xr:uid="{626775FE-ADA9-46FE-8F2D-8F2CD70D63F7}"/>
    <hyperlink ref="W121" r:id="rId4497" xr:uid="{D7ACB6FA-2900-4494-B0FD-440A3FBD9598}"/>
    <hyperlink ref="W184" r:id="rId4498" xr:uid="{00B1731E-D6CE-4974-B279-6ED7B024A340}"/>
    <hyperlink ref="W183" r:id="rId4499" xr:uid="{71B0F8F7-3CC5-4004-8122-9E55DCC31E61}"/>
    <hyperlink ref="W48" r:id="rId4500" xr:uid="{13360F71-2895-4DB2-B552-603DE6685484}"/>
    <hyperlink ref="V48" r:id="rId4501" xr:uid="{2D019FA1-2A05-4DE0-8916-42D485F8F00D}"/>
    <hyperlink ref="V1342:V1350" r:id="rId4502" display="https://twitter.com/AFADTurkey/status/1503080333205700608" xr:uid="{5E3A8456-9A19-4EB3-AA34-15F9228A80F9}"/>
    <hyperlink ref="W1341" r:id="rId4503" xr:uid="{3487ADBD-2B2A-4721-944A-32F3771D8941}"/>
    <hyperlink ref="W1342:W1350" r:id="rId4504" display="https://www.afad.gov.tr/turkiyeden-ukrayna-halkina-yardim-eli" xr:uid="{05025A65-3EE7-4F59-91D9-968FA917EAD4}"/>
    <hyperlink ref="AB1336" r:id="rId4505" xr:uid="{D1C8BFBE-825B-40A1-9234-730F6C4ECC4C}"/>
    <hyperlink ref="AB1337:AB1350" r:id="rId4506" display="https://www.afad.gov.tr/turkiyeden-ukrayna-halkina-yardim-eli" xr:uid="{4B3E7C8F-2EDB-4D3C-9D19-8A2151F052C8}"/>
    <hyperlink ref="V51" r:id="rId4507" xr:uid="{86CB707A-3028-4C49-BDE8-74AABE735CED}"/>
    <hyperlink ref="X118" r:id="rId4508" xr:uid="{3F069147-21E8-4435-807B-3FC21B2ADB63}"/>
    <hyperlink ref="W118" r:id="rId4509" display="https://twitter.com/ua_minfin/status/1514313544795361280?ref_src=twsrc%5Etfw%7Ctwcamp%5Etweetembed%7Ctwterm%5E1514313544795361280%7Ctwgr%5E%7Ctwcon%5Es1_&amp;ref_url=https%3A%2F%2Fwww.republicworld.com%2Fworld-news%2Frussia-ukraine-crisis%2Fcanada-to-provide-ukraine-with-398-dollars-million-concessional-loan-amid-russian-invasion-articleshow.html" xr:uid="{1156E28D-2B57-4A49-96E3-7F5060D49893}"/>
    <hyperlink ref="V954" r:id="rId4510" xr:uid="{00E6CCC1-828C-480C-BEB0-6073EA25CE12}"/>
    <hyperlink ref="AB954" r:id="rId4511" display="https://twitter.com/Defense_lu/status/1598610977364115462?t=6bU22e0y0z-S3WKot0R3BA&amp;s=19" xr:uid="{52C37403-FC55-48F5-B8C9-48D2BC65EE4E}"/>
    <hyperlink ref="W954" r:id="rId4512" xr:uid="{B5171A15-B718-4363-9750-D185CD6CB6A7}"/>
    <hyperlink ref="X954" r:id="rId4513" xr:uid="{2586E7D0-13CF-4165-A201-8C671E925568}"/>
    <hyperlink ref="X1360" r:id="rId4514" xr:uid="{FA8AB9B1-BE10-4753-B2BD-B44869A05BFF}"/>
    <hyperlink ref="W270" r:id="rId4515" xr:uid="{430FA4E7-CC87-43E7-85F6-9C26506E6E95}"/>
    <hyperlink ref="X1330" r:id="rId4516" xr:uid="{5B7D757F-CA5E-4346-A64F-C7F78D3F629F}"/>
    <hyperlink ref="W838" r:id="rId4517" xr:uid="{88657B88-4544-4C75-B8AA-47FE4EB93B58}"/>
    <hyperlink ref="V529" r:id="rId4518" xr:uid="{13757309-61F5-43C5-8888-AA668DD3E47B}"/>
    <hyperlink ref="V531" r:id="rId4519" xr:uid="{F6A8081B-4629-44DA-B354-29E11CD28301}"/>
    <hyperlink ref="W531" r:id="rId4520" xr:uid="{6A43AEC5-64CB-4195-8848-8E93938966F1}"/>
    <hyperlink ref="V533" r:id="rId4521" xr:uid="{51058933-690F-4A3F-B1BF-B9F424422EC1}"/>
    <hyperlink ref="W533" r:id="rId4522" xr:uid="{FE398BFA-CAB9-409E-B17A-9F22F93C3AA3}"/>
    <hyperlink ref="X1125" r:id="rId4523" location=":~:text=WARSAW%2C%20Feb%2024%20(Reuters),Europe%20stand%20by%20your%20side." xr:uid="{9B3361E1-16E7-484F-8040-B840BFBCAAA4}"/>
    <hyperlink ref="AB1125" r:id="rId4524" xr:uid="{81B276EA-DE86-475A-A4FE-ADF882104C89}"/>
    <hyperlink ref="V1125" r:id="rId4525" xr:uid="{7C9C1FDA-F3A8-40F5-A329-AE62267540C5}"/>
    <hyperlink ref="W1125" r:id="rId4526" xr:uid="{61D8EF35-F16A-4D89-AC7B-B846336D988A}"/>
    <hyperlink ref="V1859:V1868" r:id="rId4527" display="https://www.defense.gov/News/Releases/Release/Article/3383288/biden-administration-announces-additional-security-assistance-for-ukraine/" xr:uid="{E291850E-95C2-45E0-BDF1-FAD8D2A894FF}"/>
    <hyperlink ref="V1869" r:id="rId4528" xr:uid="{CBA1A56A-97BD-4009-BEDA-33B6AD467C86}"/>
    <hyperlink ref="V1870:V1871" r:id="rId4529" display="https://www.defense.gov/News/Releases/Release/Article/3383288/biden-administration-announces-additional-security-assistance-for-ukraine/" xr:uid="{FD744022-034E-4753-AF14-C62DCAFF516E}"/>
    <hyperlink ref="V1280" r:id="rId4530" xr:uid="{5BCF484F-EEA2-431D-8C7E-3C2B9153DA88}"/>
    <hyperlink ref="W1280" r:id="rId4531" xr:uid="{E085BDD6-080A-4717-9C1C-A70846F643C1}"/>
    <hyperlink ref="V1281" r:id="rId4532" xr:uid="{31FA627C-F5A9-4704-A4F3-FC27641F8426}"/>
    <hyperlink ref="W1281" r:id="rId4533" xr:uid="{72652C0B-B77F-4904-A37C-3B0D2A0BE013}"/>
    <hyperlink ref="V1287" r:id="rId4534" xr:uid="{D7BFA9CE-E04C-4977-8C8A-104F78AD5106}"/>
    <hyperlink ref="V1925" r:id="rId4535" xr:uid="{41370785-58D4-4F1F-8E32-FFED86275B1D}"/>
    <hyperlink ref="W1925" r:id="rId4536" xr:uid="{202C1A64-F113-4B40-93BD-B4954D4A7429}"/>
    <hyperlink ref="V1926" r:id="rId4537" xr:uid="{1CBB6126-6242-44A3-90B1-86E620C38742}"/>
    <hyperlink ref="W1926" r:id="rId4538" xr:uid="{85F15AE1-A2B0-4A1F-90F7-546C8060E147}"/>
    <hyperlink ref="V1927" r:id="rId4539" xr:uid="{BFED0A4D-6680-4162-BFDD-EE7A08963943}"/>
    <hyperlink ref="W1927" r:id="rId4540" xr:uid="{3968469B-9746-45AF-B398-5B085B0076A8}"/>
    <hyperlink ref="V1928" r:id="rId4541" xr:uid="{BAD242C6-4148-4CF1-B851-8323E459971E}"/>
    <hyperlink ref="W1928" r:id="rId4542" xr:uid="{7B886F63-D2EF-492A-AC22-A7B630A4C061}"/>
    <hyperlink ref="V1929" r:id="rId4543" xr:uid="{97C48A15-C8C5-4A18-875E-A3C807393673}"/>
    <hyperlink ref="W1929" r:id="rId4544" xr:uid="{28F2CEC4-24C6-43C5-9882-04ECEB5FDE06}"/>
    <hyperlink ref="V1930" r:id="rId4545" xr:uid="{A99A8DFF-A600-4E6C-8258-783D3E1D5845}"/>
    <hyperlink ref="W1930" r:id="rId4546" xr:uid="{DE33474A-AB5C-4AE3-A371-BE1179586606}"/>
    <hyperlink ref="V1931" r:id="rId4547" xr:uid="{0F1F4581-A562-4245-9EEC-1442F97A051F}"/>
    <hyperlink ref="W1931" r:id="rId4548" xr:uid="{470FB03A-878E-46CE-8D09-E064EB319365}"/>
    <hyperlink ref="V1932" r:id="rId4549" xr:uid="{5520D927-6025-4B04-8E5A-312008FF8725}"/>
    <hyperlink ref="W1932" r:id="rId4550" xr:uid="{A2676F61-A4BB-45A6-80DE-C5E323A6D73E}"/>
    <hyperlink ref="V1933" r:id="rId4551" xr:uid="{8A296919-4A84-49FD-9A90-FB334F232681}"/>
    <hyperlink ref="W1933" r:id="rId4552" xr:uid="{F4F8C1DA-7BB3-4F25-96B6-B0E5ACF6691B}"/>
    <hyperlink ref="V1934" r:id="rId4553" xr:uid="{3763415C-ED27-45B4-827F-A52D8D074990}"/>
    <hyperlink ref="W1934" r:id="rId4554" xr:uid="{DFFF6EC0-8347-42E0-B9B4-DA403FF817D8}"/>
    <hyperlink ref="AB277" r:id="rId4555" xr:uid="{A944C3EA-7017-4266-A4F5-4D3833CA929E}"/>
    <hyperlink ref="V1212" r:id="rId4556" xr:uid="{962E83D5-3711-4EF1-9FBF-CC5BEF695D8B}"/>
    <hyperlink ref="V1213" r:id="rId4557" xr:uid="{7CFE0355-5611-4DB9-951F-A8411F381F3F}"/>
    <hyperlink ref="V1214" r:id="rId4558" xr:uid="{F76D8740-50B6-4B38-A0C9-8F34AE1FA05F}"/>
    <hyperlink ref="W1212" r:id="rId4559" xr:uid="{75A7A785-A09D-4D8C-931A-0E2E05B2C2FE}"/>
    <hyperlink ref="W1213" r:id="rId4560" xr:uid="{AE510AAF-1859-4346-A1C2-20E80C2587F9}"/>
    <hyperlink ref="W1214" r:id="rId4561" xr:uid="{7918EC8A-1C17-4026-93F2-37A2C267BF97}"/>
    <hyperlink ref="V1440" r:id="rId4562" location=":~:text=In%20total%2C%20the%20UK%20has,in%20military%20support%20for%202023" xr:uid="{D4992A8B-B4F3-499D-A504-724B78FED545}"/>
    <hyperlink ref="W1440" r:id="rId4563" xr:uid="{1A570306-6240-42CB-A80C-EF503AE13012}"/>
    <hyperlink ref="X878" r:id="rId4564" xr:uid="{AC9368E2-D31E-42CB-95C0-DB1571A9B762}"/>
    <hyperlink ref="V880" r:id="rId4565" xr:uid="{75E1AE7A-2295-4BEB-9748-BD7E1EDF75B7}"/>
    <hyperlink ref="W880" r:id="rId4566" xr:uid="{41D210D7-9A62-4D48-90C4-1A071A5F72C7}"/>
    <hyperlink ref="V1189" r:id="rId4567" xr:uid="{CAF73352-39B2-49F0-9CD5-1FC45C3E3C2D}"/>
    <hyperlink ref="W1189" r:id="rId4568" xr:uid="{4E634DA6-A790-403D-AB1D-C13B8C44710B}"/>
    <hyperlink ref="X1189" r:id="rId4569" xr:uid="{F2E1F2B9-C3F7-4BC3-8127-35F6C0115A4B}"/>
    <hyperlink ref="Y1189" r:id="rId4570" xr:uid="{4E973667-3E11-4CCF-A3D9-1D8638C98312}"/>
    <hyperlink ref="V853" r:id="rId4571" xr:uid="{53F3F86B-52A8-4566-96C9-7DE1DA355526}"/>
    <hyperlink ref="W853" r:id="rId4572" xr:uid="{9886E80D-1C67-4DBC-A097-B84F3A1BDDCB}"/>
    <hyperlink ref="X853" r:id="rId4573" xr:uid="{F2A07514-B4A3-498E-AC5C-92249EE35359}"/>
    <hyperlink ref="V1047" r:id="rId4574" location=":~:text=%E2%80%9COver%20the%20past%20year%20New,and%20entities%2C%20and%20trade%20measures" xr:uid="{DF8B6DC1-5DFC-439A-8455-5DAB0F8432E5}"/>
    <hyperlink ref="W1047" r:id="rId4575" xr:uid="{3CCB52F7-7ACC-4E8F-AB10-9EA25E1A2629}"/>
    <hyperlink ref="X1047" r:id="rId4576" xr:uid="{CB40F21A-4111-4F67-94B4-43580EF1D77C}"/>
    <hyperlink ref="Y1047" r:id="rId4577" xr:uid="{831E3F41-C2C7-4F64-80BD-FD15330B371A}"/>
    <hyperlink ref="V854" r:id="rId4578" xr:uid="{E4E7A98F-DF93-4EDB-B671-6BE685A6B9EE}"/>
    <hyperlink ref="W854" r:id="rId4579" xr:uid="{4253DB17-665A-4BA0-885C-DFE96ADEA157}"/>
    <hyperlink ref="V1048" r:id="rId4580" location=":~:text=%E2%80%9COver%20the%20past%20year%20New,and%20entities%2C%20and%20trade%20measures" xr:uid="{B854EF30-1F77-4108-BDF5-4D4F5A35FA08}"/>
    <hyperlink ref="W1048" r:id="rId4581" xr:uid="{7F70802C-71C5-4E0A-9C40-89C339478AD0}"/>
    <hyperlink ref="X1048" r:id="rId4582" xr:uid="{7CAA44E3-40F2-44A0-A782-34059E81A030}"/>
    <hyperlink ref="Y1048" r:id="rId4583" xr:uid="{365C2120-C344-48AF-8DF9-8244E306025E}"/>
    <hyperlink ref="W1317" r:id="rId4584" xr:uid="{443C2BF6-9325-44AD-AADD-BFA020A7F7CF}"/>
    <hyperlink ref="V1317" r:id="rId4585" xr:uid="{4D6ABB87-0552-42A2-B2AB-CF43AE2C9F7C}"/>
    <hyperlink ref="W298" r:id="rId4586" xr:uid="{79BE2899-4653-4AA8-AB5E-86F891DEAB37}"/>
    <hyperlink ref="X298" r:id="rId4587" xr:uid="{7537AE59-776A-4935-8458-623A73BB9CDF}"/>
    <hyperlink ref="V298" r:id="rId4588" xr:uid="{B8707E3A-8549-4A29-9FE2-B0D084B74239}"/>
    <hyperlink ref="V319" r:id="rId4589" xr:uid="{980B4F0A-1ADD-4AAF-9648-B9AC93D8425C}"/>
    <hyperlink ref="AB211" r:id="rId4590" xr:uid="{C1613E19-0D9B-48B4-B520-A0269E662C35}"/>
    <hyperlink ref="V320" r:id="rId4591" xr:uid="{F59DE7F9-A38F-4BEB-A6F8-C0E14CEDCE05}"/>
    <hyperlink ref="V321" r:id="rId4592" xr:uid="{F0053652-79BD-4A29-B039-FBFAFE2E269D}"/>
    <hyperlink ref="V322" r:id="rId4593" xr:uid="{C82543A9-64D4-4AFA-AEC4-F0D51745CF4A}"/>
    <hyperlink ref="V323" r:id="rId4594" xr:uid="{637D0FBE-4305-4650-BC6A-2C1B6956B3EB}"/>
    <hyperlink ref="V324" r:id="rId4595" xr:uid="{1D2CEEDB-9B57-4CF0-8A94-EF6CE4E146DE}"/>
    <hyperlink ref="V325" r:id="rId4596" xr:uid="{D0709E61-06C0-4BD8-A4BF-BEBFC2FF7A3C}"/>
    <hyperlink ref="V327" r:id="rId4597" xr:uid="{DDA8CD17-CF44-4069-BD0C-6450B1A54BA8}"/>
    <hyperlink ref="V328" r:id="rId4598" xr:uid="{1C866071-2DEE-43E0-A0B9-2862B03F77BF}"/>
    <hyperlink ref="V326" r:id="rId4599" xr:uid="{DE1EBE21-73BA-44E1-9849-74453A2B0E2E}"/>
    <hyperlink ref="V209" r:id="rId4600" xr:uid="{EAF14ED9-D5B7-4762-8B4C-311C19AA52E3}"/>
    <hyperlink ref="W209" r:id="rId4601" xr:uid="{949EF393-370C-4C25-B5A0-970FB45A63F5}"/>
    <hyperlink ref="V215" r:id="rId4602" xr:uid="{6F5F7947-1F11-46B0-952A-00A71BBDE591}"/>
    <hyperlink ref="W215" r:id="rId4603" xr:uid="{6A41C157-CDD5-467B-A009-5004BF2C3A7C}"/>
    <hyperlink ref="V225" r:id="rId4604" xr:uid="{56DE0C48-59A6-47EC-939F-96E07480273C}"/>
    <hyperlink ref="W225" r:id="rId4605" xr:uid="{C2D52DB3-7A23-4F9D-A20A-76E42DC57115}"/>
    <hyperlink ref="X1145" r:id="rId4606" xr:uid="{DA1BCC0C-6ACF-4385-B258-0BC832D85356}"/>
    <hyperlink ref="AB1155" r:id="rId4607" xr:uid="{2C5CABED-8993-4FE5-AFC0-2CD028A0747C}"/>
    <hyperlink ref="X850" r:id="rId4608" xr:uid="{C3938233-3BD5-480D-90CF-1FE0B5ECA51F}"/>
    <hyperlink ref="X1133" r:id="rId4609" display="https://web.archive.org/web/20230524183203/https:/www.defesa.gov.pt/pt/comunicacao/documentos/Lists/PDEFINTER_DocumentoLookupList/apoio_militar_Portugal_Ucrania_20230503.pdf" xr:uid="{96FEA9B0-C3E8-46AA-8C29-76B02CB0A058}"/>
    <hyperlink ref="AB1133" r:id="rId4610" display="https://web.archive.org/web/20230524183203/https:/www.defesa.gov.pt/pt/comunicacao/documentos/Lists/PDEFINTER_DocumentoLookupList/apoio_militar_Portugal_Ucrania_20230503.pdf" xr:uid="{D40198AF-CB51-4CAF-9723-107074BD1127}"/>
    <hyperlink ref="AB1145" r:id="rId4611" xr:uid="{590B5B2F-A8E0-425A-866F-D5510F881467}"/>
    <hyperlink ref="X1146" r:id="rId4612" xr:uid="{2E900744-3B07-4187-B27A-84F3F516AC7B}"/>
    <hyperlink ref="Y1145" r:id="rId4613" xr:uid="{4FE4BD36-F937-41D5-BF8A-2C737A6D9A29}"/>
    <hyperlink ref="AB1151" r:id="rId4614" xr:uid="{F2D06153-FD5E-4A2D-907D-5443DEC1E353}"/>
    <hyperlink ref="AB1152" r:id="rId4615" xr:uid="{736C987F-9DFE-43C5-9B46-9AE1263EE88F}"/>
    <hyperlink ref="AB1153" r:id="rId4616" xr:uid="{4AA0A282-337F-46C2-B2EB-681C45FDF9B9}"/>
    <hyperlink ref="AB1154" r:id="rId4617" xr:uid="{61A1591A-6223-441D-8783-D98B741E2C0F}"/>
    <hyperlink ref="V1149" r:id="rId4618" xr:uid="{6BD1ECE7-7425-404B-9F5C-35DCAE4AC7D5}"/>
    <hyperlink ref="AB1149" r:id="rId4619" xr:uid="{20FB3EA4-B942-4EC5-A885-F0BF188DFC7E}"/>
    <hyperlink ref="Y1155" r:id="rId4620" xr:uid="{ED81D5E5-7F7C-41D6-91E7-F1B0C0B1DE4D}"/>
    <hyperlink ref="X1150" r:id="rId4621" xr:uid="{1D5A38E4-5262-4A10-8442-EE6628E9BECC}"/>
    <hyperlink ref="V1156" r:id="rId4622" location=":~:text=Portugal%20will%20send%20five%20armored,two%20M577%20armored%20personal%20carriers" xr:uid="{0F55E32C-8654-4649-AA31-B18BF8776380}"/>
    <hyperlink ref="V1157" r:id="rId4623" location=":~:text=Portugal%20will%20send%20five%20armored,two%20M577%20armored%20personal%20carriers" xr:uid="{815A7E0B-CF79-46B8-96D6-7A3168586319}"/>
    <hyperlink ref="X1156" r:id="rId4624" xr:uid="{1F87640D-1A8E-4B5C-89B9-A0C4DA0CA86F}"/>
    <hyperlink ref="X1157" r:id="rId4625" xr:uid="{0AC89800-59A5-4B8E-BC7C-D75514EDE2E6}"/>
    <hyperlink ref="W1156" r:id="rId4626" xr:uid="{A8C7602A-8FFD-44ED-ABDB-2C1672E26349}"/>
    <hyperlink ref="W1157" r:id="rId4627" xr:uid="{52F6729B-C5B4-4069-8739-9538D6381E51}"/>
    <hyperlink ref="Y1156" r:id="rId4628" xr:uid="{CB2B8352-A120-463B-9AC0-319F50D74629}"/>
    <hyperlink ref="Y1157" r:id="rId4629" xr:uid="{AC8B7409-316C-4303-A106-1370D02A6D2E}"/>
    <hyperlink ref="AB987" r:id="rId4630" xr:uid="{5A704FC8-9BB5-4908-9DC4-7C7B82F427C0}"/>
    <hyperlink ref="V1009" r:id="rId4631" xr:uid="{A4D3BB3E-96EF-4ADC-A78D-AD8C0892EDA1}"/>
    <hyperlink ref="AB1011" r:id="rId4632" display="https://www.defensie.nl/onderwerpen/oostflank-navo-gebied/militaire-steun-aan-oekraine" xr:uid="{BC709094-FEDC-4BC7-98BA-41753227B76C}"/>
    <hyperlink ref="X1011" r:id="rId4633" xr:uid="{D9FAC7EA-0312-4E61-A050-456A02A0E2B8}"/>
    <hyperlink ref="W1011" r:id="rId4634" xr:uid="{A4F63AF9-A8A5-408D-93CA-229E4E2F55BB}"/>
    <hyperlink ref="V1011" r:id="rId4635" xr:uid="{69C13F0D-5F49-4257-B03C-9C65979FF50A}"/>
    <hyperlink ref="AB1012" r:id="rId4636" display="https://www.defensie.nl/onderwerpen/oostflank-navo-gebied/militaire-steun-aan-oekraine" xr:uid="{A0792440-F9AC-4162-A3C5-E78E9829EAD8}"/>
    <hyperlink ref="X1012" r:id="rId4637" xr:uid="{EFFE1525-21C7-4F87-B950-A47F1BA95A9B}"/>
    <hyperlink ref="W1012" r:id="rId4638" xr:uid="{66CBEF1F-5A33-4EB6-8F18-EA9439A3B970}"/>
    <hyperlink ref="V1012" r:id="rId4639" xr:uid="{399E8B86-F1C3-4AF1-84CF-F71A8E161102}"/>
    <hyperlink ref="AB1013" r:id="rId4640" display="https://www.defensie.nl/onderwerpen/oostflank-navo-gebied/militaire-steun-aan-oekraine" xr:uid="{106E1923-9366-4C39-9D97-23B84603FB40}"/>
    <hyperlink ref="X1013" r:id="rId4641" xr:uid="{B8A28EA0-531E-49FA-8006-BC1B4E4347FC}"/>
    <hyperlink ref="W1013" r:id="rId4642" xr:uid="{CAEBECA1-022F-424E-968C-73C5362B3D1F}"/>
    <hyperlink ref="V1013" r:id="rId4643" xr:uid="{9332C350-39F6-47A7-899A-DB6E5790B4EF}"/>
    <hyperlink ref="AB1014" r:id="rId4644" display="https://www.defensie.nl/onderwerpen/oostflank-navo-gebied/militaire-steun-aan-oekraine" xr:uid="{F9466D23-6AA3-4839-9F56-7791DC8078EC}"/>
    <hyperlink ref="X1014" r:id="rId4645" xr:uid="{04C4851D-5FE2-4B5A-885A-D4C5D68E8BA7}"/>
    <hyperlink ref="W1014" r:id="rId4646" xr:uid="{63FDE899-A1E1-4DC3-A0B8-C0C01053C852}"/>
    <hyperlink ref="V1014" r:id="rId4647" xr:uid="{8D090CA1-6444-479F-95C3-E2116861328D}"/>
    <hyperlink ref="AB1015" r:id="rId4648" display="https://www.defensie.nl/onderwerpen/oostflank-navo-gebied/militaire-steun-aan-oekraine" xr:uid="{A3376E3A-35A2-4640-BCEE-0F729C49247A}"/>
    <hyperlink ref="X1015" r:id="rId4649" xr:uid="{6BD0B238-19D3-46D9-BE89-054FB4B5C441}"/>
    <hyperlink ref="W1015" r:id="rId4650" xr:uid="{B10534C7-E14C-4B07-B6DB-3ED087410E49}"/>
    <hyperlink ref="V1015" r:id="rId4651" xr:uid="{4335A7A5-8E37-46E4-A366-3784E2402A3E}"/>
    <hyperlink ref="Y1159" r:id="rId4652" xr:uid="{D09F683C-0B8A-4816-A644-85CA3E26540C}"/>
    <hyperlink ref="V329" r:id="rId4653" xr:uid="{C4C3F641-B3A7-4208-BA76-3504403D3990}"/>
    <hyperlink ref="W843" r:id="rId4654" xr:uid="{A2BBC28B-49E6-4A42-AB10-2F4F8B61FD1A}"/>
    <hyperlink ref="W844" r:id="rId4655" xr:uid="{8B2BBF0B-774F-413B-9C98-EAEC1D281707}"/>
    <hyperlink ref="V844" r:id="rId4656" xr:uid="{24E27613-3810-413C-92B3-405EC70ED904}"/>
    <hyperlink ref="X844" r:id="rId4657" xr:uid="{709600D7-8A6E-4D81-B0F7-2413D4853C26}"/>
    <hyperlink ref="AB1126" r:id="rId4658" location=":~:text=WARSAW%2C%20Feb%2024%20(Reuters),Europe%20stand%20by%20your%20side." display="https://www.reuters.com/world/europe/polish-leopard-tanks-are-already-ukraine-defence-minister-says-2023-02-24/#:~:text=WARSAW%2C%20Feb%2024%20(Reuters),Europe%20stand%20by%20your%20side." xr:uid="{DF52FAF0-FD84-400A-B52E-78284382C186}"/>
    <hyperlink ref="AB1420" r:id="rId4659" display="https://twitter.com/oleksiireznikov/status/1640595102119735297?ref_src=twsrc%5Etfw%7Ctwcamp%5Etweetembed%7Ctwterm%5E1640595102119735297%7Ctwgr%5E0bfe8468b7df53adc2eb86c9c6129c22ec2084cb%7Ctwcon%5Es1_&amp;ref_url=https%3A%2F%2Fwww.forces.net%2Ftechnology%2Fland-vehicles%2Fbritish-challenger-2-tanks-arrive-ukraine-and-will-soon-begin-combat" xr:uid="{92A6880C-FE0D-4D48-87CF-B2280281E7CE}"/>
    <hyperlink ref="Y317" r:id="rId4660" xr:uid="{1815D5F8-36D0-446A-99FC-955F799CF985}"/>
    <hyperlink ref="W995" r:id="rId4661" xr:uid="{4159C498-ACC6-4DE5-817C-487E2D2F9635}"/>
    <hyperlink ref="AB979" r:id="rId4662" xr:uid="{42C5BBA0-30E5-4527-8E17-70977D099AA6}"/>
    <hyperlink ref="V1244" r:id="rId4663" xr:uid="{A7029FD5-D113-4A33-B6A7-C29F1C4C2FC8}"/>
    <hyperlink ref="Y1443" r:id="rId4664" xr:uid="{9298F4AB-9AF6-4E1C-AACC-E67AC941C6E8}"/>
    <hyperlink ref="Y1445" r:id="rId4665" xr:uid="{9EF8F27C-EF0A-4ED4-B120-F5DA32E0D7A1}"/>
    <hyperlink ref="Y1449" r:id="rId4666" xr:uid="{E6A064A7-9428-463F-A70B-313365EFB332}"/>
    <hyperlink ref="Y1447" r:id="rId4667" xr:uid="{C81A86E0-BA66-4C46-9FB0-CF381AD7D247}"/>
    <hyperlink ref="Y1446" r:id="rId4668" xr:uid="{66C247F0-431C-4650-AC38-10884B865AF6}"/>
    <hyperlink ref="Y1448" r:id="rId4669" xr:uid="{0C548293-E8F3-4D87-AF2C-BB5F58C2709D}"/>
    <hyperlink ref="V1885" r:id="rId4670" xr:uid="{FDF5AFF8-98AD-4C8B-A118-A9ACA507D1FE}"/>
    <hyperlink ref="W1885" r:id="rId4671" location=":~:text=All%20the%20FY2022%20USAI%20funds,%2475%20million%20in%20lethal%20assistance." xr:uid="{1EC1E245-A9FF-4644-A059-865A84F26B6C}"/>
    <hyperlink ref="W1872" r:id="rId4672" location=":~:text=All%20the%20FY2022%20USAI%20funds,%2475%20million%20in%20lethal%20assistance." xr:uid="{C598652E-0B34-4188-984D-5276260FFFD6}"/>
    <hyperlink ref="V1872" r:id="rId4673" xr:uid="{98EBBF5D-B163-4FF9-9CE2-99A892C18ED2}"/>
    <hyperlink ref="AB537" r:id="rId4674" xr:uid="{E3A07E93-67D1-43FB-A5AF-D397564192EB}"/>
    <hyperlink ref="AB538" r:id="rId4675" xr:uid="{F61B66CC-4E8D-4E7C-8189-3EA2FD18F4B3}"/>
    <hyperlink ref="AB539" r:id="rId4676" xr:uid="{FA958A8E-60FC-4258-AE21-2BE77BD2182D}"/>
    <hyperlink ref="AB540" r:id="rId4677" xr:uid="{BEDB1F9B-1E09-465A-8DE5-51845A44676E}"/>
    <hyperlink ref="AB541" r:id="rId4678" xr:uid="{348F0068-439A-4EE7-8AB1-7AE39A2B270A}"/>
    <hyperlink ref="AB542" r:id="rId4679" xr:uid="{4A9922A6-C96B-474E-B3F2-A431AB5B28DE}"/>
    <hyperlink ref="AB543" r:id="rId4680" xr:uid="{17B091B1-3D6B-439D-AC92-1EE3C413F46E}"/>
    <hyperlink ref="AB544" r:id="rId4681" xr:uid="{5F97E9D3-93FF-4A8C-8B06-E6BA6200EA7A}"/>
    <hyperlink ref="AB545" r:id="rId4682" xr:uid="{D1623C33-6E2D-47D5-9CA9-5A0303FE5622}"/>
    <hyperlink ref="AB546" r:id="rId4683" xr:uid="{340E5921-0D3E-4A66-8527-92E7338A40FB}"/>
    <hyperlink ref="AB547" r:id="rId4684" xr:uid="{19FB0354-1CB0-4E22-8A09-1A7D8E4D901E}"/>
    <hyperlink ref="AB548" r:id="rId4685" xr:uid="{FFB48194-7A70-41AE-8C50-92661A23B43C}"/>
    <hyperlink ref="AB549" r:id="rId4686" xr:uid="{8682F874-B3F1-40D4-B242-03B3302142F3}"/>
    <hyperlink ref="AB550" r:id="rId4687" xr:uid="{5FD287BF-3984-4CFC-8631-DD4FBCEA6E8C}"/>
    <hyperlink ref="AB551" r:id="rId4688" xr:uid="{14F5E3D2-A63D-4B36-9E5A-154D0F812419}"/>
    <hyperlink ref="AB552" r:id="rId4689" xr:uid="{E1E7447A-613F-4023-A33E-7995E28140F6}"/>
    <hyperlink ref="AB553" r:id="rId4690" xr:uid="{31575903-251F-4404-9219-3B2164C81A8A}"/>
    <hyperlink ref="AB554" r:id="rId4691" xr:uid="{ECEF80FA-DD6B-4B7B-96E2-9CEB03621C65}"/>
    <hyperlink ref="AB555" r:id="rId4692" xr:uid="{5F89AEB7-D808-4745-9B95-CB6798ECA051}"/>
    <hyperlink ref="AB556" r:id="rId4693" xr:uid="{4F263C3F-EE48-4D2A-AEFF-2C6D4AD81682}"/>
    <hyperlink ref="AB557" r:id="rId4694" xr:uid="{22ECF592-7572-4BA0-94AA-B1553A588707}"/>
    <hyperlink ref="AB558" r:id="rId4695" xr:uid="{44528D16-4FD9-4E26-9205-56278E11EBA4}"/>
    <hyperlink ref="AB559" r:id="rId4696" xr:uid="{14876798-F4E3-4EC1-90CF-1CC1CC5078CD}"/>
    <hyperlink ref="AB560" r:id="rId4697" xr:uid="{D2F3B4F0-BCA7-4CCF-B661-E3449856FE96}"/>
    <hyperlink ref="AB561" r:id="rId4698" xr:uid="{33360266-5525-4949-A31B-1C34B4AB8B2E}"/>
    <hyperlink ref="AB562" r:id="rId4699" xr:uid="{D1709B9D-3563-41A6-A4D5-79841EF54CD0}"/>
    <hyperlink ref="AB563" r:id="rId4700" xr:uid="{751C6CDA-B105-4C53-99D7-43C129F83CAB}"/>
    <hyperlink ref="AB564" r:id="rId4701" xr:uid="{C52F08AB-B4E5-4853-98E8-895E315EEE28}"/>
    <hyperlink ref="AB565" r:id="rId4702" xr:uid="{F05D3F97-A685-440B-A323-2C12F5EAED19}"/>
    <hyperlink ref="AB566" r:id="rId4703" xr:uid="{917A0089-81C8-48EE-B4F3-7D43A70F06A1}"/>
    <hyperlink ref="AB567" r:id="rId4704" xr:uid="{35989363-ED9F-4B1F-A5C1-33B0E7533B9E}"/>
    <hyperlink ref="AB568" r:id="rId4705" xr:uid="{8AAB0CFC-2472-4ABC-81B4-169B7D7F70CA}"/>
    <hyperlink ref="AB569" r:id="rId4706" xr:uid="{F57EE9E8-7554-4DBB-88B2-47C12E17439A}"/>
    <hyperlink ref="AB570" r:id="rId4707" xr:uid="{45E768CF-76E9-4B4D-9B5E-1E9AE583C575}"/>
    <hyperlink ref="AB571" r:id="rId4708" xr:uid="{3558CCAB-C3BC-4008-BF82-F9ADB5498514}"/>
    <hyperlink ref="AB572" r:id="rId4709" xr:uid="{988C2D98-E4A1-4CAC-84BE-88A48F618AD8}"/>
    <hyperlink ref="AB573" r:id="rId4710" xr:uid="{F5AA8390-F9C8-416D-A01A-6EF80B7446BB}"/>
    <hyperlink ref="AB574" r:id="rId4711" xr:uid="{C5C40E02-54AC-4169-B44C-003560021C24}"/>
    <hyperlink ref="AB575" r:id="rId4712" xr:uid="{EF85B29A-6E09-4E89-9C3A-ED7B633834CD}"/>
    <hyperlink ref="AB576" r:id="rId4713" xr:uid="{11811397-C00C-472F-8C69-73EFA29314DC}"/>
    <hyperlink ref="AB577" r:id="rId4714" xr:uid="{099816A9-A22B-4D00-AF59-FB832B09F246}"/>
    <hyperlink ref="AB578" r:id="rId4715" xr:uid="{C49EFAC1-52E3-4F8D-8570-75B192D4DAB0}"/>
    <hyperlink ref="AB579" r:id="rId4716" xr:uid="{17B2F1F2-7932-410D-8341-DF4EEB8ADF9C}"/>
    <hyperlink ref="AB580" r:id="rId4717" xr:uid="{8B8CFD57-D7AF-4475-AD72-20662755AC66}"/>
    <hyperlink ref="AB581" r:id="rId4718" xr:uid="{AE8969CB-6591-49D9-8BDB-F127FA3D87FD}"/>
    <hyperlink ref="AB582" r:id="rId4719" xr:uid="{4039A274-0089-4FA5-869D-7D634C374A43}"/>
    <hyperlink ref="AB583" r:id="rId4720" xr:uid="{D4A44CA6-EC62-403D-A2AC-23EFD8525215}"/>
    <hyperlink ref="AB584" r:id="rId4721" xr:uid="{D5882A39-C7B8-4B81-A162-D2057975ACA7}"/>
    <hyperlink ref="AB585" r:id="rId4722" xr:uid="{5F3B3539-654D-4321-9D02-B394D7291576}"/>
    <hyperlink ref="AB586" r:id="rId4723" xr:uid="{1E4D742C-D708-49C7-92EA-398CC971159E}"/>
    <hyperlink ref="AB587" r:id="rId4724" xr:uid="{8A537E88-712F-4BB9-97AE-77CB8930E5B9}"/>
    <hyperlink ref="AB588" r:id="rId4725" xr:uid="{6A67AEA7-2FCE-4DBE-8253-63873396DCAF}"/>
    <hyperlink ref="AB589" r:id="rId4726" xr:uid="{7554196F-46F6-4F21-AEC5-D7C2249FB5A1}"/>
    <hyperlink ref="AB590" r:id="rId4727" xr:uid="{866A8EF0-D068-4ADF-8D01-F62899DC2EBF}"/>
    <hyperlink ref="AB591" r:id="rId4728" xr:uid="{24295034-8254-49E9-A81D-D5782BD5F47A}"/>
    <hyperlink ref="AB592" r:id="rId4729" xr:uid="{8240BCDC-F859-4512-9ABB-8CDB4025CDEF}"/>
    <hyperlink ref="AB593" r:id="rId4730" xr:uid="{209430BA-0F51-4581-A6F9-1A81045B86FE}"/>
    <hyperlink ref="AB594" r:id="rId4731" xr:uid="{FC1AB610-AFC8-4970-AFED-6AA38D07A4B6}"/>
    <hyperlink ref="AB595" r:id="rId4732" xr:uid="{EC053F95-3FDA-478B-BA5D-FE946D837686}"/>
    <hyperlink ref="AB596" r:id="rId4733" xr:uid="{0258BD59-8427-4F9B-9DB7-BF5138DEC6BE}"/>
    <hyperlink ref="AB597" r:id="rId4734" xr:uid="{F5C67C48-8CC6-41EA-98FA-76D9F9A737A1}"/>
    <hyperlink ref="AB598" r:id="rId4735" xr:uid="{EB9738AE-DF7E-4CF6-B114-58B2BE9947BF}"/>
    <hyperlink ref="AB599" r:id="rId4736" xr:uid="{4409B863-BFC7-407E-ADDE-77FD99EA8B5B}"/>
    <hyperlink ref="AB600" r:id="rId4737" xr:uid="{5E14DE79-4186-49E7-BB2C-AEBB3B729CB9}"/>
    <hyperlink ref="AB601" r:id="rId4738" xr:uid="{42272233-CE33-4F19-B9B7-7956A0EA0852}"/>
    <hyperlink ref="AB602" r:id="rId4739" xr:uid="{2CD21C87-E4B2-47D0-9202-7B74BDF81D3C}"/>
    <hyperlink ref="AB603" r:id="rId4740" xr:uid="{5C68F799-30CA-4ACE-922F-216B47FA36ED}"/>
    <hyperlink ref="AB604" r:id="rId4741" xr:uid="{01B8145C-2CA8-4A51-8CE3-0074E0C4BC68}"/>
    <hyperlink ref="AB605" r:id="rId4742" xr:uid="{00BDD6A2-7294-4A8C-A947-AB54BD5F1D5A}"/>
    <hyperlink ref="AB606" r:id="rId4743" xr:uid="{0487D5A1-7421-46AA-93CA-F82764B08CFE}"/>
    <hyperlink ref="AB607" r:id="rId4744" xr:uid="{6558D3E0-F005-4B0C-82B9-AF11E2B9113D}"/>
    <hyperlink ref="AB608" r:id="rId4745" xr:uid="{5F14C71E-CE9B-48C7-96CD-21CD0647B77E}"/>
    <hyperlink ref="AB609" r:id="rId4746" xr:uid="{6A1FF8EC-4FAD-4514-8588-2AC42A71442C}"/>
    <hyperlink ref="AB610" r:id="rId4747" xr:uid="{59C99318-7EFA-429B-86B5-CB0FEE7B3154}"/>
    <hyperlink ref="AB611" r:id="rId4748" xr:uid="{43C1ACD3-9B44-4464-A8D4-CD83D6BA0963}"/>
    <hyperlink ref="AB612" r:id="rId4749" xr:uid="{D30191B9-706E-4111-84CF-4105CFFB758B}"/>
    <hyperlink ref="AB613" r:id="rId4750" xr:uid="{EDA54850-B3FA-44DB-8C71-D9691316C195}"/>
    <hyperlink ref="AB614" r:id="rId4751" xr:uid="{1D23A836-B63C-4E41-A84F-911E8E6DFC02}"/>
    <hyperlink ref="AB615" r:id="rId4752" xr:uid="{91937F25-B168-4627-8DD2-8C42A2AC6654}"/>
    <hyperlink ref="AB616" r:id="rId4753" xr:uid="{3BDAA03D-E450-4953-AE4F-3F074700C396}"/>
    <hyperlink ref="AB617" r:id="rId4754" xr:uid="{A3F54A48-24F5-44E3-858F-B21820209B5D}"/>
    <hyperlink ref="AB618" r:id="rId4755" xr:uid="{917AE22A-7A4C-4E90-884A-4CC587ECE218}"/>
    <hyperlink ref="AB619" r:id="rId4756" xr:uid="{1554CE0B-8E97-4FE1-8095-3E2E8A66EFDB}"/>
    <hyperlink ref="AB620" r:id="rId4757" xr:uid="{527E5423-D0B9-48A3-9FAE-814693067696}"/>
    <hyperlink ref="AB621" r:id="rId4758" xr:uid="{BCE99D0D-42FE-4B93-9462-19469654F0DC}"/>
    <hyperlink ref="AB622" r:id="rId4759" xr:uid="{F909E1A5-4880-4952-8175-44D4DED7A868}"/>
    <hyperlink ref="AB629" r:id="rId4760" xr:uid="{23472E95-E568-4CAA-BA28-71C074BD9AA5}"/>
    <hyperlink ref="AB631" r:id="rId4761" xr:uid="{88040233-6FD7-4946-8990-9B806CB00027}"/>
    <hyperlink ref="AB632" r:id="rId4762" xr:uid="{1D415D4F-0BF0-464A-959A-C78DEE68F38E}"/>
    <hyperlink ref="AB633" r:id="rId4763" xr:uid="{960AB9F9-F501-47FD-9E64-004F7A036B0A}"/>
    <hyperlink ref="AB634" r:id="rId4764" xr:uid="{A14FBC1B-141B-4970-9298-8B07673D844C}"/>
    <hyperlink ref="AB635" r:id="rId4765" xr:uid="{7E101B67-74BD-44FF-92DE-7DC7B05EAE4C}"/>
    <hyperlink ref="AB636" r:id="rId4766" xr:uid="{6E3FEAE5-858F-4B8C-96B1-66B32D70395B}"/>
    <hyperlink ref="AB637" r:id="rId4767" xr:uid="{4E5DEA35-108D-41B3-A496-71210CA3660C}"/>
    <hyperlink ref="AB638" r:id="rId4768" xr:uid="{8A77F8BF-72E3-4184-AE47-F9762DB2BB40}"/>
    <hyperlink ref="AB639" r:id="rId4769" xr:uid="{DC159767-7991-4AEB-89A9-0C28C230FEFA}"/>
    <hyperlink ref="AB640" r:id="rId4770" xr:uid="{91C83C7B-1470-4EFE-8FE5-83C466078AD4}"/>
    <hyperlink ref="AB641" r:id="rId4771" xr:uid="{0621E21D-4049-4E01-AD44-A610777BDA5E}"/>
    <hyperlink ref="AB642" r:id="rId4772" xr:uid="{8309AB25-88F6-43B8-9048-A1FC13BE7974}"/>
    <hyperlink ref="AB643" r:id="rId4773" xr:uid="{289F1CCE-581E-4B90-9FEE-D25C993A0764}"/>
    <hyperlink ref="AB644" r:id="rId4774" xr:uid="{2B55A033-4CCF-461C-BEDB-E9F9AB9B9291}"/>
    <hyperlink ref="AB645" r:id="rId4775" xr:uid="{27E5CCB2-0FBE-4E87-B0EC-D4468B1938E7}"/>
    <hyperlink ref="AB646" r:id="rId4776" xr:uid="{8CEA5550-5C04-4D9D-8A07-93D03A57D840}"/>
    <hyperlink ref="AB647" r:id="rId4777" xr:uid="{5AB33C5C-D352-4A1A-9C24-F01970FB2D58}"/>
    <hyperlink ref="AB648" r:id="rId4778" xr:uid="{68A09877-BB7E-46F2-81EA-21D35883F452}"/>
    <hyperlink ref="AB649" r:id="rId4779" xr:uid="{257218DB-7C27-49AD-86D6-746AF583D590}"/>
    <hyperlink ref="AB650" r:id="rId4780" xr:uid="{7005CBA3-D5F6-4FD0-8200-33B181AB4376}"/>
    <hyperlink ref="AB651" r:id="rId4781" xr:uid="{F416B278-F012-4877-A01B-E91C4DF0A85B}"/>
    <hyperlink ref="AB652" r:id="rId4782" xr:uid="{3F4111FC-9C94-4370-ABC2-72F02B01C00C}"/>
    <hyperlink ref="AB653" r:id="rId4783" xr:uid="{506B4158-5B6F-4729-866D-4BCD653CE252}"/>
    <hyperlink ref="AB654" r:id="rId4784" xr:uid="{386088EB-C2A6-4583-855E-F4308CCF73D9}"/>
    <hyperlink ref="AB655" r:id="rId4785" xr:uid="{C17F2753-9F1F-4515-B37F-E4154CC599EB}"/>
    <hyperlink ref="AB656" r:id="rId4786" xr:uid="{93CB1679-852E-41D6-93C2-68445498D472}"/>
    <hyperlink ref="AB657" r:id="rId4787" xr:uid="{4BF59F31-1E67-455F-B56C-B063DD56BE5B}"/>
    <hyperlink ref="AB658" r:id="rId4788" xr:uid="{0850CA3F-FB92-48B7-B0D6-664DEE5E231E}"/>
    <hyperlink ref="AB659" r:id="rId4789" xr:uid="{CD4663C9-9A21-412F-8BF4-4F5900BCE634}"/>
    <hyperlink ref="AB660" r:id="rId4790" xr:uid="{735299E9-CC8D-45C9-A38F-BDCE8AB9C2AF}"/>
    <hyperlink ref="AB661" r:id="rId4791" xr:uid="{04169AFF-89FD-4476-A20A-351FC6CD856D}"/>
    <hyperlink ref="AB662" r:id="rId4792" xr:uid="{61E4CE93-ECA6-4ED5-B191-256B0E572A76}"/>
    <hyperlink ref="AB663" r:id="rId4793" xr:uid="{F76C6099-AEE9-48B8-AEBC-95C030C0EEC7}"/>
    <hyperlink ref="AB664" r:id="rId4794" xr:uid="{EA98D4A5-6B01-4E56-A142-274DB2F8AAB6}"/>
    <hyperlink ref="AB665" r:id="rId4795" xr:uid="{0D454D9C-6555-4AAA-AD1F-92947D7A687B}"/>
    <hyperlink ref="AB666" r:id="rId4796" xr:uid="{724EB92F-323A-4E99-BA35-4DEEA2E0D60E}"/>
    <hyperlink ref="AB667" r:id="rId4797" xr:uid="{CA31E02E-903B-4FE5-B772-B2A9844E03B3}"/>
    <hyperlink ref="AB668" r:id="rId4798" xr:uid="{34CE56CC-1AC1-44B9-A77F-15679338FD07}"/>
    <hyperlink ref="AB669" r:id="rId4799" xr:uid="{3FCF0701-9930-49F2-907E-0B59618D2313}"/>
    <hyperlink ref="AB670" r:id="rId4800" xr:uid="{8A31A1D6-E5A4-407E-AEBD-F0646C87C890}"/>
    <hyperlink ref="AB671" r:id="rId4801" xr:uid="{DFDEC852-0815-4287-ABE0-7497E1E3AD5B}"/>
    <hyperlink ref="AB672" r:id="rId4802" xr:uid="{929AF2FE-2252-4B54-848C-187D4A4FA061}"/>
    <hyperlink ref="AB673" r:id="rId4803" xr:uid="{19FF791D-A922-4B3B-BF39-AEC5E002E5A7}"/>
    <hyperlink ref="AB674" r:id="rId4804" xr:uid="{36EE6434-60B3-4608-8340-FAFA3666CCBF}"/>
    <hyperlink ref="AB675" r:id="rId4805" xr:uid="{D2898B0A-15FC-4BF1-85CE-DF6756E022EE}"/>
    <hyperlink ref="AB676" r:id="rId4806" xr:uid="{F199B06F-845D-43F2-BFFF-0217783DC8F0}"/>
    <hyperlink ref="AB677" r:id="rId4807" xr:uid="{D6CF1413-58FA-43A5-A08E-0C59C926D595}"/>
    <hyperlink ref="AB678" r:id="rId4808" xr:uid="{A9F2D520-0C74-458A-8A0B-F32B177738C4}"/>
    <hyperlink ref="AB679" r:id="rId4809" xr:uid="{AE69C65D-9F4B-48A1-8621-3F77A1E5C00F}"/>
    <hyperlink ref="AB680" r:id="rId4810" xr:uid="{0CB9E735-B71A-480A-9306-45E5C25BEDC1}"/>
    <hyperlink ref="AB681" r:id="rId4811" xr:uid="{4F4BCBE0-113F-44B6-B81B-DA15F6E83550}"/>
    <hyperlink ref="AB682" r:id="rId4812" xr:uid="{55EF17B0-6A73-474C-8B50-5D873E2BDE15}"/>
    <hyperlink ref="AB683" r:id="rId4813" xr:uid="{1AF1071F-B9BE-4AA5-991B-A02D23D5BBB3}"/>
    <hyperlink ref="AB684" r:id="rId4814" xr:uid="{9811ABE7-1D84-4FC6-AA27-0948B7A70BA8}"/>
    <hyperlink ref="AB685" r:id="rId4815" xr:uid="{ADE4151B-3A34-4ED4-8BCD-8A25E9AC0FD2}"/>
    <hyperlink ref="AB686" r:id="rId4816" xr:uid="{ADB31E43-8251-4960-829C-BBED8CB44833}"/>
    <hyperlink ref="AB690" r:id="rId4817" xr:uid="{C812BDCD-594F-4D32-8F48-DE29D82CFF90}"/>
    <hyperlink ref="AB694" r:id="rId4818" xr:uid="{36E47D52-D0B4-4AC7-8CB7-5EEB139A94F3}"/>
    <hyperlink ref="AB698" r:id="rId4819" xr:uid="{8BC83C44-EB79-4BDC-B477-C22E41AC7F5C}"/>
    <hyperlink ref="AB687" r:id="rId4820" xr:uid="{033B0213-67F5-4EF4-B360-5C8CEB31543C}"/>
    <hyperlink ref="AB691" r:id="rId4821" xr:uid="{AEE68AD0-71D3-48D3-9116-B1001BC22029}"/>
    <hyperlink ref="AB695" r:id="rId4822" xr:uid="{0F657137-3817-43DA-BF00-550D10BFE7FE}"/>
    <hyperlink ref="AB699" r:id="rId4823" xr:uid="{A0FFA29F-F7D7-48DA-A566-094B9C614014}"/>
    <hyperlink ref="AB688" r:id="rId4824" xr:uid="{A48466F2-FFFD-44EC-B668-571D96DCBCD1}"/>
    <hyperlink ref="AB692" r:id="rId4825" xr:uid="{7371A376-64EE-47E8-9796-A8C7CED7F563}"/>
    <hyperlink ref="AB696" r:id="rId4826" xr:uid="{9FE54C77-DC59-446B-B329-D953F5A06872}"/>
    <hyperlink ref="AB700" r:id="rId4827" xr:uid="{50323F43-A1E1-48A0-BB0F-77168FE669E5}"/>
    <hyperlink ref="AB689" r:id="rId4828" xr:uid="{A4E0F258-6D54-4759-979D-2FB2D29DD56D}"/>
    <hyperlink ref="AB693" r:id="rId4829" xr:uid="{3474D5F1-05C8-4402-AC38-FBA67E73E400}"/>
    <hyperlink ref="AB697" r:id="rId4830" xr:uid="{04A25641-4130-47AF-9EEE-452E075B943E}"/>
    <hyperlink ref="AB700" r:id="rId4831" xr:uid="{09F4F54A-F8E4-4F9A-B171-4966F1117D49}"/>
    <hyperlink ref="AB1597" r:id="rId4832" display="https://crsreports.congress.gov/product/pdf/IF/IF12040" xr:uid="{5E9FF371-84E1-44D3-AEDD-5E503A195E0C}"/>
    <hyperlink ref="V1597" r:id="rId4833" xr:uid="{0ABB8916-56CF-4575-A38E-413032FBFEAB}"/>
    <hyperlink ref="W1597" r:id="rId4834" xr:uid="{9DF984E3-053F-48A8-99E2-74E2584362F9}"/>
    <hyperlink ref="X1597" r:id="rId4835" xr:uid="{D5A52538-A77E-480A-B302-C3AAB4E99F8E}"/>
    <hyperlink ref="Y1597" r:id="rId4836" display="https://crsreports.congress.gov/product/pdf/IF/IF12040" xr:uid="{0DA3438A-1552-44A9-B63B-A61614847FEE}"/>
    <hyperlink ref="V1759" r:id="rId4837" xr:uid="{F2A43B29-05F2-4F05-8EDF-106E39C2E86E}"/>
    <hyperlink ref="Y1759" r:id="rId4838" display="https://crsreports.congress.gov/product/pdf/IF/IF12040" xr:uid="{12D88102-BE4A-44B2-AFC1-391CE4FBF632}"/>
    <hyperlink ref="W1759" r:id="rId4839" xr:uid="{D831A8C0-6060-4029-AA9E-ED7C23A11020}"/>
    <hyperlink ref="X1759" r:id="rId4840" xr:uid="{B2FA4F4D-608C-4F5A-A919-2200E53E704B}"/>
    <hyperlink ref="V1128" r:id="rId4841" xr:uid="{36C5F49B-6274-4691-8DB1-223E15649BE7}"/>
  </hyperlinks>
  <pageMargins left="0.7" right="0.7" top="0.75" bottom="0.75" header="0.3" footer="0.3"/>
  <pageSetup paperSize="8" fitToWidth="0" fitToHeight="0" orientation="portrait" horizontalDpi="4294967293" r:id="rId484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B4C6E7"/>
  </sheetPr>
  <dimension ref="B2:Z22"/>
  <sheetViews>
    <sheetView showGridLines="0" zoomScaleNormal="100" workbookViewId="0"/>
  </sheetViews>
  <sheetFormatPr defaultColWidth="11" defaultRowHeight="15.75" customHeight="1"/>
  <cols>
    <col min="1" max="1" width="8.625" style="582" customWidth="1"/>
    <col min="2" max="2" width="54.875" style="582" customWidth="1"/>
    <col min="3" max="3" width="32.25" style="584" customWidth="1"/>
    <col min="4" max="4" width="16.75" style="584" customWidth="1"/>
    <col min="5" max="5" width="22.5" style="582" customWidth="1"/>
    <col min="6" max="7" width="13.625" style="582" customWidth="1"/>
    <col min="8" max="16384" width="11" style="582"/>
  </cols>
  <sheetData>
    <row r="2" spans="2:26" s="594" customFormat="1" ht="24.75" customHeight="1">
      <c r="B2" s="605" t="s">
        <v>4772</v>
      </c>
      <c r="C2" s="776"/>
      <c r="D2" s="776"/>
    </row>
    <row r="4" spans="2:26" ht="15.75" customHeight="1">
      <c r="B4" s="1456" t="s">
        <v>4773</v>
      </c>
      <c r="C4" s="1456"/>
      <c r="D4" s="1456"/>
      <c r="E4" s="1456"/>
      <c r="F4" s="1456"/>
      <c r="G4" s="1456"/>
    </row>
    <row r="5" spans="2:26" ht="15.75" customHeight="1">
      <c r="B5" s="1456"/>
      <c r="C5" s="1456"/>
      <c r="D5" s="1456"/>
      <c r="E5" s="1456"/>
      <c r="F5" s="1456"/>
      <c r="G5" s="1456"/>
      <c r="Y5" s="586"/>
    </row>
    <row r="6" spans="2:26" ht="15.75" customHeight="1">
      <c r="B6" s="1456"/>
      <c r="C6" s="1456"/>
      <c r="D6" s="1456"/>
      <c r="E6" s="1456"/>
      <c r="F6" s="1456"/>
      <c r="G6" s="1456"/>
      <c r="Y6" s="586"/>
      <c r="Z6" s="587"/>
    </row>
    <row r="7" spans="2:26" ht="15.75" customHeight="1">
      <c r="B7" s="1456"/>
      <c r="C7" s="1456"/>
      <c r="D7" s="1456"/>
      <c r="E7" s="1456"/>
      <c r="F7" s="1456"/>
      <c r="G7" s="1456"/>
      <c r="Y7" s="586"/>
    </row>
    <row r="8" spans="2:26" ht="15.75" customHeight="1">
      <c r="B8" s="1456"/>
      <c r="C8" s="1456"/>
      <c r="D8" s="1456"/>
      <c r="E8" s="1456"/>
      <c r="F8" s="1456"/>
      <c r="G8" s="1456"/>
      <c r="Y8" s="586"/>
    </row>
    <row r="9" spans="2:26" ht="15.75" customHeight="1">
      <c r="B9" s="1456"/>
      <c r="C9" s="1456"/>
      <c r="D9" s="1456"/>
      <c r="E9" s="1456"/>
      <c r="F9" s="1456"/>
      <c r="G9" s="1456"/>
      <c r="Y9" s="588"/>
    </row>
    <row r="10" spans="2:26" ht="15.75" customHeight="1">
      <c r="Y10" s="586"/>
    </row>
    <row r="11" spans="2:26" s="594" customFormat="1" ht="24.75" customHeight="1">
      <c r="B11" s="617" t="s">
        <v>4757</v>
      </c>
      <c r="C11" s="616" t="s">
        <v>4774</v>
      </c>
      <c r="D11" s="616" t="s">
        <v>4775</v>
      </c>
      <c r="E11" s="621" t="s">
        <v>4776</v>
      </c>
      <c r="G11" s="605" t="s">
        <v>4772</v>
      </c>
      <c r="Y11" s="589"/>
    </row>
    <row r="12" spans="2:26" ht="15.75" customHeight="1">
      <c r="B12" s="602" t="s">
        <v>4777</v>
      </c>
      <c r="C12" s="604"/>
      <c r="D12" s="604"/>
      <c r="E12" s="607">
        <v>200</v>
      </c>
    </row>
    <row r="13" spans="2:26" ht="15.75" customHeight="1">
      <c r="B13" s="1352" t="s">
        <v>4778</v>
      </c>
      <c r="C13" s="604"/>
      <c r="D13" s="604"/>
      <c r="E13" s="607">
        <v>100</v>
      </c>
    </row>
    <row r="14" spans="2:26" ht="15.75" customHeight="1">
      <c r="B14" s="602" t="s">
        <v>4779</v>
      </c>
      <c r="C14" s="604"/>
      <c r="D14" s="604"/>
      <c r="E14" s="607">
        <v>34.5</v>
      </c>
    </row>
    <row r="15" spans="2:26" ht="15.75" customHeight="1">
      <c r="B15" s="602" t="s">
        <v>4780</v>
      </c>
      <c r="C15" s="778">
        <f>VLOOKUP("Germany",'Country Summary (€)'!B:P,6)</f>
        <v>10.68140605</v>
      </c>
      <c r="D15" s="604">
        <f>VLOOKUP("Germany",'Country Summary (€)'!B:P,13)</f>
        <v>7.3305651091944712</v>
      </c>
      <c r="E15" s="607"/>
    </row>
    <row r="16" spans="2:26" ht="15.75" customHeight="1">
      <c r="B16" s="775" t="s">
        <v>4781</v>
      </c>
      <c r="C16" s="777"/>
      <c r="D16" s="777"/>
      <c r="E16" s="634">
        <f>3.15+2.5</f>
        <v>5.65</v>
      </c>
    </row>
    <row r="17" spans="2:5" ht="15.75" customHeight="1">
      <c r="E17" s="584"/>
    </row>
    <row r="18" spans="2:5" ht="15.75" customHeight="1">
      <c r="B18" s="627" t="s">
        <v>4763</v>
      </c>
      <c r="C18" s="644"/>
      <c r="D18" s="644"/>
      <c r="E18" s="644">
        <f>SUM(E12:E16)-E15</f>
        <v>340.15</v>
      </c>
    </row>
    <row r="22" spans="2:5" ht="15.75" customHeight="1">
      <c r="B22" s="794"/>
    </row>
  </sheetData>
  <mergeCells count="1">
    <mergeCell ref="B4:G9"/>
  </mergeCells>
  <pageMargins left="0.7" right="0.7" top="0.78740157499999996" bottom="0.78740157499999996"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9E1F2"/>
  </sheetPr>
  <dimension ref="B1:O59"/>
  <sheetViews>
    <sheetView showGridLines="0" zoomScaleNormal="100" workbookViewId="0"/>
  </sheetViews>
  <sheetFormatPr defaultColWidth="8.625" defaultRowHeight="15.95" customHeight="1"/>
  <cols>
    <col min="1" max="1" width="8.625" style="24" customWidth="1"/>
    <col min="2" max="2" width="33.5" style="24" customWidth="1"/>
    <col min="3" max="3" width="34.375" style="342" bestFit="1" customWidth="1"/>
    <col min="4" max="4" width="40.875" style="113" customWidth="1"/>
    <col min="5" max="5" width="51.875" style="343" bestFit="1" customWidth="1"/>
    <col min="6" max="6" width="45.125" style="127" bestFit="1" customWidth="1"/>
    <col min="7" max="7" width="41" style="343" customWidth="1"/>
    <col min="8" max="8" width="24.375" style="170" bestFit="1" customWidth="1"/>
    <col min="9" max="11" width="8.625" style="170" customWidth="1"/>
    <col min="12" max="12" width="8.625" style="24" customWidth="1"/>
    <col min="13" max="16384" width="8.625" style="24"/>
  </cols>
  <sheetData>
    <row r="1" spans="2:15" s="35" customFormat="1" ht="15.95" customHeight="1">
      <c r="B1" s="39"/>
      <c r="C1" s="146"/>
      <c r="D1" s="146"/>
      <c r="E1" s="146"/>
      <c r="F1" s="146"/>
      <c r="G1" s="39"/>
      <c r="H1" s="39"/>
    </row>
    <row r="2" spans="2:15" s="39" customFormat="1" ht="24.75" customHeight="1">
      <c r="B2" s="369" t="s">
        <v>4782</v>
      </c>
    </row>
    <row r="3" spans="2:15" s="114" customFormat="1" ht="15.95" customHeight="1">
      <c r="C3" s="39"/>
    </row>
    <row r="4" spans="2:15" s="114" customFormat="1" ht="15.95" customHeight="1">
      <c r="B4" s="1457" t="s">
        <v>4783</v>
      </c>
      <c r="C4" s="1457"/>
      <c r="D4" s="1457"/>
      <c r="E4" s="1457"/>
      <c r="F4" s="1457"/>
      <c r="G4" s="1457"/>
    </row>
    <row r="5" spans="2:15" s="114" customFormat="1" ht="15.95" customHeight="1">
      <c r="B5" s="1457"/>
      <c r="C5" s="1457"/>
      <c r="D5" s="1457"/>
      <c r="E5" s="1457"/>
      <c r="F5" s="1457"/>
      <c r="G5" s="1457"/>
    </row>
    <row r="6" spans="2:15" s="114" customFormat="1" ht="15.95" customHeight="1">
      <c r="B6" s="1457"/>
      <c r="C6" s="1457"/>
      <c r="D6" s="1457"/>
      <c r="E6" s="1457"/>
      <c r="F6" s="1457"/>
      <c r="G6" s="1457"/>
    </row>
    <row r="7" spans="2:15" s="114" customFormat="1" ht="15.95" customHeight="1">
      <c r="B7" s="1457"/>
      <c r="C7" s="1457"/>
      <c r="D7" s="1457"/>
      <c r="E7" s="1457"/>
      <c r="F7" s="1457"/>
      <c r="G7" s="1457"/>
    </row>
    <row r="8" spans="2:15" s="114" customFormat="1" ht="15.95" customHeight="1">
      <c r="B8" s="1457"/>
      <c r="C8" s="1457"/>
      <c r="D8" s="1457"/>
      <c r="E8" s="1457"/>
      <c r="F8" s="1457"/>
      <c r="G8" s="1457"/>
    </row>
    <row r="9" spans="2:15" s="114" customFormat="1" ht="21" customHeight="1">
      <c r="B9" s="1457"/>
      <c r="C9" s="1457"/>
      <c r="D9" s="1457"/>
      <c r="E9" s="1457"/>
      <c r="F9" s="1457"/>
      <c r="G9" s="1457"/>
    </row>
    <row r="11" spans="2:15" s="310" customFormat="1" ht="21.75" customHeight="1">
      <c r="B11" s="1347" t="s">
        <v>4512</v>
      </c>
      <c r="C11" s="269" t="s">
        <v>4784</v>
      </c>
      <c r="D11" s="269" t="s">
        <v>4785</v>
      </c>
      <c r="E11" s="270" t="s">
        <v>4786</v>
      </c>
      <c r="F11" s="269" t="s">
        <v>4787</v>
      </c>
      <c r="G11" s="270" t="s">
        <v>4788</v>
      </c>
      <c r="H11" s="1348" t="s">
        <v>4548</v>
      </c>
      <c r="K11" s="444" t="s">
        <v>4789</v>
      </c>
    </row>
    <row r="12" spans="2:15" s="310" customFormat="1" ht="24.75" customHeight="1">
      <c r="B12" s="271"/>
      <c r="C12" s="272" t="s">
        <v>4790</v>
      </c>
      <c r="D12" s="272" t="s">
        <v>4791</v>
      </c>
      <c r="E12" s="273" t="s">
        <v>4792</v>
      </c>
      <c r="F12" s="272" t="s">
        <v>4793</v>
      </c>
      <c r="G12" s="273" t="s">
        <v>4794</v>
      </c>
      <c r="H12" s="1354"/>
    </row>
    <row r="13" spans="2:15" ht="15.95" customHeight="1">
      <c r="B13" s="2" t="s">
        <v>3649</v>
      </c>
      <c r="C13" s="276">
        <f>VLOOKUP(B13,'Data Transparency Index'!B:H,2,0)</f>
        <v>1</v>
      </c>
      <c r="D13" s="180">
        <f>VLOOKUP(B13,'Data Transparency Index'!B:H,3,0)</f>
        <v>1</v>
      </c>
      <c r="E13" s="276">
        <f>VLOOKUP(B13,'Data Transparency Index'!B:H,4,0)</f>
        <v>1</v>
      </c>
      <c r="F13" s="277">
        <f>VLOOKUP(B13,'Data Transparency Index'!B:H,5,0)</f>
        <v>1</v>
      </c>
      <c r="G13" s="276">
        <f>VLOOKUP(B13,'Data Transparency Index'!B:H,6,0)</f>
        <v>1</v>
      </c>
      <c r="H13" s="239">
        <f>VLOOKUP(B13,'Data Transparency Index'!B:H,7,0)</f>
        <v>5</v>
      </c>
      <c r="I13" s="171"/>
      <c r="J13" s="171"/>
      <c r="K13" s="171"/>
    </row>
    <row r="14" spans="2:15" ht="15.95" customHeight="1">
      <c r="B14" s="24" t="s">
        <v>2139</v>
      </c>
      <c r="C14" s="276">
        <f>VLOOKUP(B14,'Data Transparency Index'!B:H,2,0)</f>
        <v>1</v>
      </c>
      <c r="D14" s="180">
        <f>VLOOKUP(B14,'Data Transparency Index'!B:H,3,0)</f>
        <v>1</v>
      </c>
      <c r="E14" s="276">
        <f>VLOOKUP(B14,'Data Transparency Index'!B:H,4,0)</f>
        <v>0.89473684210526316</v>
      </c>
      <c r="F14" s="277">
        <f>VLOOKUP(B14,'Data Transparency Index'!B:H,5,0)</f>
        <v>1</v>
      </c>
      <c r="G14" s="276">
        <f>VLOOKUP(B14,'Data Transparency Index'!B:H,6,0)</f>
        <v>1</v>
      </c>
      <c r="H14" s="239">
        <f>VLOOKUP(B14,'Data Transparency Index'!B:H,7,0)</f>
        <v>4.8947368421052637</v>
      </c>
      <c r="I14" s="171"/>
      <c r="J14" s="171"/>
      <c r="K14" s="171"/>
      <c r="L14" s="345"/>
      <c r="M14" s="345"/>
      <c r="N14" s="345"/>
      <c r="O14" s="345"/>
    </row>
    <row r="15" spans="2:15" ht="15.95" customHeight="1">
      <c r="B15" s="24" t="s">
        <v>1711</v>
      </c>
      <c r="C15" s="276">
        <f>VLOOKUP(B15,'Data Transparency Index'!B:H,2,0)</f>
        <v>1</v>
      </c>
      <c r="D15" s="180">
        <f>VLOOKUP(B15,'Data Transparency Index'!B:H,3,0)</f>
        <v>1</v>
      </c>
      <c r="E15" s="276">
        <f>VLOOKUP(B15,'Data Transparency Index'!B:H,4,0)</f>
        <v>1</v>
      </c>
      <c r="F15" s="277">
        <f>VLOOKUP(B15,'Data Transparency Index'!B:H,5,0)</f>
        <v>0.99512195121951219</v>
      </c>
      <c r="G15" s="276">
        <f>VLOOKUP(B15,'Data Transparency Index'!B:H,6,0)</f>
        <v>0.89411764705882357</v>
      </c>
      <c r="H15" s="239">
        <f>VLOOKUP(B15,'Data Transparency Index'!B:H,7,0)</f>
        <v>4.8892395982783361</v>
      </c>
      <c r="I15" s="171"/>
      <c r="J15" s="171"/>
      <c r="K15" s="171"/>
    </row>
    <row r="16" spans="2:15" ht="15.95" customHeight="1">
      <c r="B16" s="37" t="s">
        <v>4406</v>
      </c>
      <c r="C16" s="276">
        <f>VLOOKUP(B16,'Data Transparency Index'!B:H,2,0)</f>
        <v>1</v>
      </c>
      <c r="D16" s="180">
        <f>VLOOKUP(B16,'Data Transparency Index'!B:H,3,0)</f>
        <v>1</v>
      </c>
      <c r="E16" s="276">
        <f>VLOOKUP(B16,'Data Transparency Index'!B:H,4,0)</f>
        <v>0.9375</v>
      </c>
      <c r="F16" s="277">
        <f>VLOOKUP(B16,'Data Transparency Index'!B:H,5,0)</f>
        <v>0.9375</v>
      </c>
      <c r="G16" s="276">
        <f>VLOOKUP(B16,'Data Transparency Index'!B:H,6,0)</f>
        <v>1</v>
      </c>
      <c r="H16" s="239">
        <f>VLOOKUP(B16,'Data Transparency Index'!B:H,7,0)</f>
        <v>4.875</v>
      </c>
      <c r="I16" s="171"/>
      <c r="J16" s="171"/>
      <c r="K16" s="171"/>
      <c r="L16" s="345"/>
      <c r="M16" s="345"/>
      <c r="N16" s="345"/>
      <c r="O16" s="345"/>
    </row>
    <row r="17" spans="2:15" ht="15.95" customHeight="1">
      <c r="B17" s="24" t="s">
        <v>2693</v>
      </c>
      <c r="C17" s="276">
        <f>VLOOKUP(B17,'Data Transparency Index'!B:H,2,0)</f>
        <v>1</v>
      </c>
      <c r="D17" s="180">
        <f>VLOOKUP(B17,'Data Transparency Index'!B:H,3,0)</f>
        <v>1</v>
      </c>
      <c r="E17" s="276">
        <f>VLOOKUP(B17,'Data Transparency Index'!B:H,4,0)</f>
        <v>0.88235294117647056</v>
      </c>
      <c r="F17" s="277">
        <f>VLOOKUP(B17,'Data Transparency Index'!B:H,5,0)</f>
        <v>0.98529411764705888</v>
      </c>
      <c r="G17" s="276">
        <f>VLOOKUP(B17,'Data Transparency Index'!B:H,6,0)</f>
        <v>0.83333333333333337</v>
      </c>
      <c r="H17" s="239">
        <f>VLOOKUP(B17,'Data Transparency Index'!B:H,7,0)</f>
        <v>4.7009803921568629</v>
      </c>
      <c r="I17" s="171"/>
      <c r="J17" s="171"/>
      <c r="K17" s="171"/>
      <c r="L17" s="345"/>
      <c r="M17" s="345"/>
      <c r="N17" s="345"/>
      <c r="O17" s="345"/>
    </row>
    <row r="18" spans="2:15" ht="15.95" customHeight="1">
      <c r="B18" s="24" t="s">
        <v>1432</v>
      </c>
      <c r="C18" s="276">
        <f>VLOOKUP(B18,'Data Transparency Index'!B:H,2,0)</f>
        <v>0.66666666666666674</v>
      </c>
      <c r="D18" s="180">
        <f>VLOOKUP(B18,'Data Transparency Index'!B:H,3,0)</f>
        <v>1</v>
      </c>
      <c r="E18" s="276">
        <f>VLOOKUP(B18,'Data Transparency Index'!B:H,4,0)</f>
        <v>0.97297297297297303</v>
      </c>
      <c r="F18" s="277">
        <f>VLOOKUP(B18,'Data Transparency Index'!B:H,5,0)</f>
        <v>1</v>
      </c>
      <c r="G18" s="276">
        <f>VLOOKUP(B18,'Data Transparency Index'!B:H,6,0)</f>
        <v>1</v>
      </c>
      <c r="H18" s="239">
        <f>VLOOKUP(B18,'Data Transparency Index'!B:H,7,0)</f>
        <v>4.6396396396396398</v>
      </c>
      <c r="I18" s="171"/>
      <c r="J18" s="171"/>
      <c r="K18" s="171"/>
      <c r="L18" s="345"/>
      <c r="M18" s="345"/>
      <c r="N18" s="345"/>
      <c r="O18" s="345"/>
    </row>
    <row r="19" spans="2:15" ht="15.95" customHeight="1">
      <c r="B19" s="24" t="s">
        <v>1194</v>
      </c>
      <c r="C19" s="276">
        <f>VLOOKUP(B19,'Data Transparency Index'!B:H,2,0)</f>
        <v>1</v>
      </c>
      <c r="D19" s="180">
        <f>VLOOKUP(B19,'Data Transparency Index'!B:H,3,0)</f>
        <v>1</v>
      </c>
      <c r="E19" s="276">
        <f>VLOOKUP(B19,'Data Transparency Index'!B:H,4,0)</f>
        <v>0.95454545454545459</v>
      </c>
      <c r="F19" s="277">
        <f>VLOOKUP(B19,'Data Transparency Index'!B:H,5,0)</f>
        <v>1</v>
      </c>
      <c r="G19" s="276">
        <f>VLOOKUP(B19,'Data Transparency Index'!B:H,6,0)</f>
        <v>0.67741935483870974</v>
      </c>
      <c r="H19" s="239">
        <f>VLOOKUP(B19,'Data Transparency Index'!B:H,7,0)</f>
        <v>4.6319648093841641</v>
      </c>
      <c r="I19" s="171"/>
      <c r="J19" s="171"/>
      <c r="K19" s="171"/>
    </row>
    <row r="20" spans="2:15" ht="15.95" customHeight="1">
      <c r="B20" s="24" t="s">
        <v>3548</v>
      </c>
      <c r="C20" s="276">
        <f>VLOOKUP(B20,'Data Transparency Index'!B:H,2,0)</f>
        <v>1</v>
      </c>
      <c r="D20" s="180">
        <f>VLOOKUP(B20,'Data Transparency Index'!B:H,3,0)</f>
        <v>1</v>
      </c>
      <c r="E20" s="276">
        <f>VLOOKUP(B20,'Data Transparency Index'!B:H,4,0)</f>
        <v>0.94444444444444442</v>
      </c>
      <c r="F20" s="277">
        <f>VLOOKUP(B20,'Data Transparency Index'!B:H,5,0)</f>
        <v>1</v>
      </c>
      <c r="G20" s="276">
        <f>VLOOKUP(B20,'Data Transparency Index'!B:H,6,0)</f>
        <v>0.61111111111111116</v>
      </c>
      <c r="H20" s="239">
        <f>VLOOKUP(B20,'Data Transparency Index'!B:H,7,0)</f>
        <v>4.5555555555555554</v>
      </c>
      <c r="I20" s="171"/>
      <c r="J20" s="171"/>
      <c r="K20" s="171"/>
    </row>
    <row r="21" spans="2:15" ht="15.95" customHeight="1">
      <c r="B21" s="2" t="s">
        <v>2832</v>
      </c>
      <c r="C21" s="276">
        <f>VLOOKUP(B21,'Data Transparency Index'!B:H,2,0)</f>
        <v>1</v>
      </c>
      <c r="D21" s="180">
        <f>VLOOKUP(B21,'Data Transparency Index'!B:H,3,0)</f>
        <v>1</v>
      </c>
      <c r="E21" s="276">
        <f>VLOOKUP(B21,'Data Transparency Index'!B:H,4,0)</f>
        <v>0.625</v>
      </c>
      <c r="F21" s="277">
        <f>VLOOKUP(B21,'Data Transparency Index'!B:H,5,0)</f>
        <v>0.9375</v>
      </c>
      <c r="G21" s="276">
        <f>VLOOKUP(B21,'Data Transparency Index'!B:H,6,0)</f>
        <v>0.85714285714285721</v>
      </c>
      <c r="H21" s="239">
        <f>VLOOKUP(B21,'Data Transparency Index'!B:H,7,0)</f>
        <v>4.4196428571428577</v>
      </c>
      <c r="I21" s="171"/>
      <c r="J21" s="171"/>
      <c r="K21" s="171"/>
    </row>
    <row r="22" spans="2:15" ht="15.95" customHeight="1">
      <c r="B22" s="2" t="s">
        <v>2882</v>
      </c>
      <c r="C22" s="276">
        <f>VLOOKUP(B22,'Data Transparency Index'!B:H,2,0)</f>
        <v>1</v>
      </c>
      <c r="D22" s="180">
        <f>VLOOKUP(B22,'Data Transparency Index'!B:H,3,0)</f>
        <v>1</v>
      </c>
      <c r="E22" s="276">
        <f>VLOOKUP(B22,'Data Transparency Index'!B:H,4,0)</f>
        <v>0.45098039215686275</v>
      </c>
      <c r="F22" s="277">
        <f>VLOOKUP(B22,'Data Transparency Index'!B:H,5,0)</f>
        <v>1</v>
      </c>
      <c r="G22" s="276">
        <f>VLOOKUP(B22,'Data Transparency Index'!B:H,6,0)</f>
        <v>0.72727272727272729</v>
      </c>
      <c r="H22" s="239">
        <f>VLOOKUP(B22,'Data Transparency Index'!B:H,7,0)</f>
        <v>4.1782531194295904</v>
      </c>
      <c r="I22" s="171"/>
      <c r="J22" s="171"/>
      <c r="K22" s="171"/>
    </row>
    <row r="23" spans="2:15" ht="15.95" customHeight="1">
      <c r="B23" s="24" t="s">
        <v>2625</v>
      </c>
      <c r="C23" s="276">
        <f>VLOOKUP(B23,'Data Transparency Index'!B:H,2,0)</f>
        <v>0</v>
      </c>
      <c r="D23" s="180">
        <f>VLOOKUP(B23,'Data Transparency Index'!B:H,3,0)</f>
        <v>1</v>
      </c>
      <c r="E23" s="276">
        <f>VLOOKUP(B23,'Data Transparency Index'!B:H,4,0)</f>
        <v>0.93548387096774188</v>
      </c>
      <c r="F23" s="277">
        <f>VLOOKUP(B23,'Data Transparency Index'!B:H,5,0)</f>
        <v>1</v>
      </c>
      <c r="G23" s="276">
        <f>VLOOKUP(B23,'Data Transparency Index'!B:H,6,0)</f>
        <v>1</v>
      </c>
      <c r="H23" s="239">
        <f>VLOOKUP(B23,'Data Transparency Index'!B:H,7,0)</f>
        <v>3.935483870967742</v>
      </c>
      <c r="I23" s="171"/>
      <c r="J23" s="171"/>
      <c r="K23" s="171"/>
    </row>
    <row r="24" spans="2:15" ht="15.95" customHeight="1">
      <c r="B24" s="24" t="s">
        <v>1305</v>
      </c>
      <c r="C24" s="276">
        <f>VLOOKUP(B24,'Data Transparency Index'!B:H,2,0)</f>
        <v>1</v>
      </c>
      <c r="D24" s="180">
        <f>VLOOKUP(B24,'Data Transparency Index'!B:H,3,0)</f>
        <v>1</v>
      </c>
      <c r="E24" s="276">
        <f>VLOOKUP(B24,'Data Transparency Index'!B:H,4,0)</f>
        <v>0.72307692307692306</v>
      </c>
      <c r="F24" s="277">
        <f>VLOOKUP(B24,'Data Transparency Index'!B:H,5,0)</f>
        <v>1</v>
      </c>
      <c r="G24" s="276">
        <f>VLOOKUP(B24,'Data Transparency Index'!B:H,6,0)</f>
        <v>0.15517241379310343</v>
      </c>
      <c r="H24" s="239">
        <f>VLOOKUP(B24,'Data Transparency Index'!B:H,7,0)</f>
        <v>3.8782493368700264</v>
      </c>
      <c r="I24" s="171"/>
      <c r="J24" s="171"/>
      <c r="K24" s="171"/>
    </row>
    <row r="25" spans="2:15" ht="15.95" customHeight="1">
      <c r="B25" s="24" t="s">
        <v>2392</v>
      </c>
      <c r="C25" s="276">
        <f>VLOOKUP(B25,'Data Transparency Index'!B:H,2,0)</f>
        <v>1</v>
      </c>
      <c r="D25" s="180">
        <f>VLOOKUP(B25,'Data Transparency Index'!B:H,3,0)</f>
        <v>0</v>
      </c>
      <c r="E25" s="276">
        <f>VLOOKUP(B25,'Data Transparency Index'!B:H,4,0)</f>
        <v>0.69444444444444442</v>
      </c>
      <c r="F25" s="277">
        <f>VLOOKUP(B25,'Data Transparency Index'!B:H,5,0)</f>
        <v>0.94444444444444442</v>
      </c>
      <c r="G25" s="276">
        <f>VLOOKUP(B25,'Data Transparency Index'!B:H,6,0)</f>
        <v>0.70588235294117641</v>
      </c>
      <c r="H25" s="239">
        <f>VLOOKUP(B25,'Data Transparency Index'!B:H,7,0)</f>
        <v>3.344771241830065</v>
      </c>
      <c r="I25" s="171"/>
      <c r="J25" s="171"/>
      <c r="K25" s="171"/>
    </row>
    <row r="26" spans="2:15" ht="15.95" customHeight="1">
      <c r="B26" s="24" t="s">
        <v>3261</v>
      </c>
      <c r="C26" s="276">
        <f>VLOOKUP(B26,'Data Transparency Index'!B:H,2,0)</f>
        <v>0.33333333333333337</v>
      </c>
      <c r="D26" s="180">
        <f>VLOOKUP(B26,'Data Transparency Index'!B:H,3,0)</f>
        <v>1</v>
      </c>
      <c r="E26" s="276">
        <f>VLOOKUP(B26,'Data Transparency Index'!B:H,4,0)</f>
        <v>0.68965517241379315</v>
      </c>
      <c r="F26" s="277">
        <f>VLOOKUP(B26,'Data Transparency Index'!B:H,5,0)</f>
        <v>0.58620689655172409</v>
      </c>
      <c r="G26" s="276">
        <f>VLOOKUP(B26,'Data Transparency Index'!B:H,6,0)</f>
        <v>0.68181818181818188</v>
      </c>
      <c r="H26" s="239">
        <f>VLOOKUP(B26,'Data Transparency Index'!B:H,7,0)</f>
        <v>3.2910135841170325</v>
      </c>
      <c r="I26" s="171"/>
      <c r="J26" s="171"/>
      <c r="K26" s="171"/>
    </row>
    <row r="27" spans="2:15" ht="15.95" customHeight="1">
      <c r="B27" s="24" t="s">
        <v>1523</v>
      </c>
      <c r="C27" s="276">
        <f>VLOOKUP(B27,'Data Transparency Index'!B:H,2,0)</f>
        <v>1</v>
      </c>
      <c r="D27" s="180">
        <f>VLOOKUP(B27,'Data Transparency Index'!B:H,3,0)</f>
        <v>0</v>
      </c>
      <c r="E27" s="276">
        <f>VLOOKUP(B27,'Data Transparency Index'!B:H,4,0)</f>
        <v>0.46376811594202899</v>
      </c>
      <c r="F27" s="277">
        <f>VLOOKUP(B27,'Data Transparency Index'!B:H,5,0)</f>
        <v>1</v>
      </c>
      <c r="G27" s="276">
        <f>VLOOKUP(B27,'Data Transparency Index'!B:H,6,0)</f>
        <v>0.64285714285714279</v>
      </c>
      <c r="H27" s="239">
        <f>VLOOKUP(B27,'Data Transparency Index'!B:H,7,0)</f>
        <v>3.1066252587991721</v>
      </c>
      <c r="I27" s="171"/>
      <c r="J27" s="171"/>
      <c r="K27" s="171"/>
    </row>
    <row r="28" spans="2:15" ht="15.95" customHeight="1">
      <c r="B28" s="24" t="s">
        <v>3748</v>
      </c>
      <c r="C28" s="276">
        <f>VLOOKUP(B28,'Data Transparency Index'!B:H,2,0)</f>
        <v>0.66666666666666674</v>
      </c>
      <c r="D28" s="180">
        <f>VLOOKUP(B28,'Data Transparency Index'!B:H,3,0)</f>
        <v>0</v>
      </c>
      <c r="E28" s="276">
        <f>VLOOKUP(B28,'Data Transparency Index'!B:H,4,0)</f>
        <v>0.62820512820512819</v>
      </c>
      <c r="F28" s="277">
        <f>VLOOKUP(B28,'Data Transparency Index'!B:H,5,0)</f>
        <v>1</v>
      </c>
      <c r="G28" s="276">
        <f>VLOOKUP(B28,'Data Transparency Index'!B:H,6,0)</f>
        <v>0.7192982456140351</v>
      </c>
      <c r="H28" s="239">
        <f>VLOOKUP(B28,'Data Transparency Index'!B:H,7,0)</f>
        <v>3.0141700404858298</v>
      </c>
      <c r="I28" s="171"/>
      <c r="J28" s="171"/>
      <c r="K28" s="171"/>
    </row>
    <row r="29" spans="2:15" ht="15.95" customHeight="1">
      <c r="B29" s="24" t="s">
        <v>905</v>
      </c>
      <c r="C29" s="276">
        <f>VLOOKUP(B29,'Data Transparency Index'!B:H,2,0)</f>
        <v>0</v>
      </c>
      <c r="D29" s="180">
        <f>VLOOKUP(B29,'Data Transparency Index'!B:H,3,0)</f>
        <v>0</v>
      </c>
      <c r="E29" s="276">
        <f>VLOOKUP(B29,'Data Transparency Index'!B:H,4,0)</f>
        <v>1</v>
      </c>
      <c r="F29" s="277">
        <f>VLOOKUP(B29,'Data Transparency Index'!B:H,5,0)</f>
        <v>1</v>
      </c>
      <c r="G29" s="276">
        <f>VLOOKUP(B29,'Data Transparency Index'!B:H,6,0)</f>
        <v>1</v>
      </c>
      <c r="H29" s="239">
        <f>VLOOKUP(B29,'Data Transparency Index'!B:H,7,0)</f>
        <v>3</v>
      </c>
      <c r="I29" s="171"/>
      <c r="J29" s="171"/>
      <c r="K29" s="171"/>
    </row>
    <row r="30" spans="2:15" ht="15.95" customHeight="1">
      <c r="B30" s="24" t="s">
        <v>3713</v>
      </c>
      <c r="C30" s="276">
        <f>VLOOKUP(B30,'Data Transparency Index'!B:H,2,0)</f>
        <v>0</v>
      </c>
      <c r="D30" s="180">
        <f>VLOOKUP(B30,'Data Transparency Index'!B:H,3,0)</f>
        <v>0</v>
      </c>
      <c r="E30" s="276">
        <f>VLOOKUP(B30,'Data Transparency Index'!B:H,4,0)</f>
        <v>1</v>
      </c>
      <c r="F30" s="277">
        <f>VLOOKUP(B30,'Data Transparency Index'!B:H,5,0)</f>
        <v>1</v>
      </c>
      <c r="G30" s="276">
        <f>VLOOKUP(B30,'Data Transparency Index'!B:H,6,0)</f>
        <v>1</v>
      </c>
      <c r="H30" s="239">
        <f>VLOOKUP(B30,'Data Transparency Index'!B:H,7,0)</f>
        <v>3</v>
      </c>
      <c r="I30" s="171"/>
      <c r="J30" s="171"/>
      <c r="K30" s="171"/>
    </row>
    <row r="31" spans="2:15" ht="15.95" customHeight="1">
      <c r="B31" s="24" t="s">
        <v>2312</v>
      </c>
      <c r="C31" s="276">
        <f>VLOOKUP(B31,'Data Transparency Index'!B:H,2,0)</f>
        <v>1</v>
      </c>
      <c r="D31" s="180">
        <f>VLOOKUP(B31,'Data Transparency Index'!B:H,3,0)</f>
        <v>0</v>
      </c>
      <c r="E31" s="276">
        <f>VLOOKUP(B31,'Data Transparency Index'!B:H,4,0)</f>
        <v>0.58620689655172409</v>
      </c>
      <c r="F31" s="277">
        <f>VLOOKUP(B31,'Data Transparency Index'!B:H,5,0)</f>
        <v>0.93103448275862066</v>
      </c>
      <c r="G31" s="276">
        <f>VLOOKUP(B31,'Data Transparency Index'!B:H,6,0)</f>
        <v>0.30769230769230771</v>
      </c>
      <c r="H31" s="239">
        <f>VLOOKUP(B31,'Data Transparency Index'!B:H,7,0)</f>
        <v>2.8249336870026527</v>
      </c>
      <c r="I31" s="171"/>
      <c r="J31" s="171"/>
      <c r="K31" s="171"/>
    </row>
    <row r="32" spans="2:15" ht="15.95" customHeight="1">
      <c r="B32" s="24" t="s">
        <v>3949</v>
      </c>
      <c r="C32" s="276">
        <f>VLOOKUP(B32,'Data Transparency Index'!B:H,2,0)</f>
        <v>0.33333333333333337</v>
      </c>
      <c r="D32" s="180">
        <f>VLOOKUP(B32,'Data Transparency Index'!B:H,3,0)</f>
        <v>0</v>
      </c>
      <c r="E32" s="276">
        <f>VLOOKUP(B32,'Data Transparency Index'!B:H,4,0)</f>
        <v>1</v>
      </c>
      <c r="F32" s="277">
        <f>VLOOKUP(B32,'Data Transparency Index'!B:H,5,0)</f>
        <v>1</v>
      </c>
      <c r="G32" s="276">
        <f>VLOOKUP(B32,'Data Transparency Index'!B:H,6,0)</f>
        <v>0.48549323017408119</v>
      </c>
      <c r="H32" s="239">
        <f>VLOOKUP(B32,'Data Transparency Index'!B:H,7,0)</f>
        <v>2.8188265635074146</v>
      </c>
      <c r="I32" s="171"/>
      <c r="J32" s="171"/>
      <c r="K32" s="171"/>
    </row>
    <row r="33" spans="2:11" ht="15.95" customHeight="1">
      <c r="B33" s="24" t="s">
        <v>454</v>
      </c>
      <c r="C33" s="276">
        <f>VLOOKUP(B33,'Data Transparency Index'!B:H,2,0)</f>
        <v>0.33333333333333337</v>
      </c>
      <c r="D33" s="180">
        <f>VLOOKUP(B33,'Data Transparency Index'!B:H,3,0)</f>
        <v>0</v>
      </c>
      <c r="E33" s="276">
        <f>VLOOKUP(B33,'Data Transparency Index'!B:H,4,0)</f>
        <v>0.46875</v>
      </c>
      <c r="F33" s="277">
        <f>VLOOKUP(B33,'Data Transparency Index'!B:H,5,0)</f>
        <v>1</v>
      </c>
      <c r="G33" s="276">
        <f>VLOOKUP(B33,'Data Transparency Index'!B:H,6,0)</f>
        <v>1</v>
      </c>
      <c r="H33" s="239">
        <f>VLOOKUP(B33,'Data Transparency Index'!B:H,7,0)</f>
        <v>2.8020833333333335</v>
      </c>
      <c r="I33" s="171"/>
      <c r="J33" s="171"/>
      <c r="K33" s="171"/>
    </row>
    <row r="34" spans="2:11" ht="15.95" customHeight="1">
      <c r="B34" s="24" t="s">
        <v>713</v>
      </c>
      <c r="C34" s="276">
        <f>VLOOKUP(B34,'Data Transparency Index'!B:H,2,0)</f>
        <v>0.33333333333333337</v>
      </c>
      <c r="D34" s="180">
        <f>VLOOKUP(B34,'Data Transparency Index'!B:H,3,0)</f>
        <v>0</v>
      </c>
      <c r="E34" s="276">
        <f>VLOOKUP(B34,'Data Transparency Index'!B:H,4,0)</f>
        <v>0.73134328358208955</v>
      </c>
      <c r="F34" s="277">
        <f>VLOOKUP(B34,'Data Transparency Index'!B:H,5,0)</f>
        <v>0.94029850746268662</v>
      </c>
      <c r="G34" s="276">
        <f>VLOOKUP(B34,'Data Transparency Index'!B:H,6,0)</f>
        <v>0.72916666666666674</v>
      </c>
      <c r="H34" s="239">
        <f>VLOOKUP(B34,'Data Transparency Index'!B:H,7,0)</f>
        <v>2.7341417910447765</v>
      </c>
      <c r="I34" s="171"/>
      <c r="J34" s="171"/>
      <c r="K34" s="171"/>
    </row>
    <row r="35" spans="2:11" ht="15.95" customHeight="1">
      <c r="B35" s="24" t="s">
        <v>1012</v>
      </c>
      <c r="C35" s="276">
        <f>VLOOKUP(B35,'Data Transparency Index'!B:H,2,0)</f>
        <v>0</v>
      </c>
      <c r="D35" s="180">
        <f>VLOOKUP(B35,'Data Transparency Index'!B:H,3,0)</f>
        <v>0</v>
      </c>
      <c r="E35" s="276">
        <f>VLOOKUP(B35,'Data Transparency Index'!B:H,4,0)</f>
        <v>0.77777777777777779</v>
      </c>
      <c r="F35" s="277">
        <f>VLOOKUP(B35,'Data Transparency Index'!B:H,5,0)</f>
        <v>0.88888888888888884</v>
      </c>
      <c r="G35" s="276">
        <f>VLOOKUP(B35,'Data Transparency Index'!B:H,6,0)</f>
        <v>0.95652173913043481</v>
      </c>
      <c r="H35" s="239">
        <f>VLOOKUP(B35,'Data Transparency Index'!B:H,7,0)</f>
        <v>2.6231884057971016</v>
      </c>
      <c r="I35" s="171"/>
      <c r="J35" s="171"/>
      <c r="K35" s="171"/>
    </row>
    <row r="36" spans="2:11" ht="15.95" customHeight="1">
      <c r="B36" s="24" t="s">
        <v>981</v>
      </c>
      <c r="C36" s="276">
        <f>VLOOKUP(B36,'Data Transparency Index'!B:H,2,0)</f>
        <v>0</v>
      </c>
      <c r="D36" s="180">
        <f>VLOOKUP(B36,'Data Transparency Index'!B:H,3,0)</f>
        <v>0</v>
      </c>
      <c r="E36" s="276">
        <f>VLOOKUP(B36,'Data Transparency Index'!B:H,4,0)</f>
        <v>0.8</v>
      </c>
      <c r="F36" s="277">
        <f>VLOOKUP(B36,'Data Transparency Index'!B:H,5,0)</f>
        <v>0.8</v>
      </c>
      <c r="G36" s="276">
        <f>VLOOKUP(B36,'Data Transparency Index'!B:H,6,0)</f>
        <v>1</v>
      </c>
      <c r="H36" s="239">
        <f>VLOOKUP(B36,'Data Transparency Index'!B:H,7,0)</f>
        <v>2.6</v>
      </c>
      <c r="I36" s="171"/>
      <c r="J36" s="171"/>
      <c r="K36" s="171"/>
    </row>
    <row r="37" spans="2:11" ht="15.95" customHeight="1">
      <c r="B37" s="24" t="s">
        <v>673</v>
      </c>
      <c r="C37" s="276">
        <f>VLOOKUP(B37,'Data Transparency Index'!B:H,2,0)</f>
        <v>0</v>
      </c>
      <c r="D37" s="180">
        <f>VLOOKUP(B37,'Data Transparency Index'!B:H,3,0)</f>
        <v>0</v>
      </c>
      <c r="E37" s="276">
        <f>VLOOKUP(B37,'Data Transparency Index'!B:H,4,0)</f>
        <v>0.7</v>
      </c>
      <c r="F37" s="277">
        <f>VLOOKUP(B37,'Data Transparency Index'!B:H,5,0)</f>
        <v>0.8</v>
      </c>
      <c r="G37" s="276">
        <f>VLOOKUP(B37,'Data Transparency Index'!B:H,6,0)</f>
        <v>1</v>
      </c>
      <c r="H37" s="239">
        <f>VLOOKUP(B37,'Data Transparency Index'!B:H,7,0)</f>
        <v>2.5</v>
      </c>
      <c r="I37" s="171"/>
      <c r="J37" s="171"/>
      <c r="K37" s="171"/>
    </row>
    <row r="38" spans="2:11" ht="15.95" customHeight="1">
      <c r="B38" s="24" t="s">
        <v>2096</v>
      </c>
      <c r="C38" s="276">
        <f>VLOOKUP(B38,'Data Transparency Index'!B:H,2,0)</f>
        <v>0</v>
      </c>
      <c r="D38" s="180">
        <f>VLOOKUP(B38,'Data Transparency Index'!B:H,3,0)</f>
        <v>0</v>
      </c>
      <c r="E38" s="276">
        <f>VLOOKUP(B38,'Data Transparency Index'!B:H,4,0)</f>
        <v>0.5</v>
      </c>
      <c r="F38" s="277">
        <f>VLOOKUP(B38,'Data Transparency Index'!B:H,5,0)</f>
        <v>1</v>
      </c>
      <c r="G38" s="276">
        <f>VLOOKUP(B38,'Data Transparency Index'!B:H,6,0)</f>
        <v>1</v>
      </c>
      <c r="H38" s="239">
        <f>VLOOKUP(B38,'Data Transparency Index'!B:H,7,0)</f>
        <v>2.5</v>
      </c>
      <c r="I38" s="171"/>
      <c r="J38" s="171"/>
      <c r="K38" s="171"/>
    </row>
    <row r="39" spans="2:11" ht="15.95" customHeight="1">
      <c r="B39" s="2" t="s">
        <v>359</v>
      </c>
      <c r="C39" s="276">
        <f>VLOOKUP(B39,'Data Transparency Index'!B:H,2,0)</f>
        <v>0</v>
      </c>
      <c r="D39" s="180">
        <f>VLOOKUP(B39,'Data Transparency Index'!B:H,3,0)</f>
        <v>0</v>
      </c>
      <c r="E39" s="276">
        <f>VLOOKUP(B39,'Data Transparency Index'!B:H,4,0)</f>
        <v>0.96153846153846156</v>
      </c>
      <c r="F39" s="277">
        <f>VLOOKUP(B39,'Data Transparency Index'!B:H,5,0)</f>
        <v>1</v>
      </c>
      <c r="G39" s="276">
        <f>VLOOKUP(B39,'Data Transparency Index'!B:H,6,0)</f>
        <v>0.47619047619047616</v>
      </c>
      <c r="H39" s="239">
        <f>VLOOKUP(B39,'Data Transparency Index'!B:H,7,0)</f>
        <v>2.437728937728938</v>
      </c>
      <c r="I39" s="171"/>
      <c r="J39" s="171"/>
      <c r="K39" s="171"/>
    </row>
    <row r="40" spans="2:11" ht="15.95" customHeight="1">
      <c r="B40" s="24" t="s">
        <v>558</v>
      </c>
      <c r="C40" s="276">
        <f>VLOOKUP(B40,'Data Transparency Index'!B:H,2,0)</f>
        <v>0</v>
      </c>
      <c r="D40" s="180">
        <f>VLOOKUP(B40,'Data Transparency Index'!B:H,3,0)</f>
        <v>0</v>
      </c>
      <c r="E40" s="276">
        <f>VLOOKUP(B40,'Data Transparency Index'!B:H,4,0)</f>
        <v>0.9838709677419355</v>
      </c>
      <c r="F40" s="277">
        <f>VLOOKUP(B40,'Data Transparency Index'!B:H,5,0)</f>
        <v>1</v>
      </c>
      <c r="G40" s="276">
        <f>VLOOKUP(B40,'Data Transparency Index'!B:H,6,0)</f>
        <v>0.39215686274509809</v>
      </c>
      <c r="H40" s="239">
        <f>VLOOKUP(B40,'Data Transparency Index'!B:H,7,0)</f>
        <v>2.3760278304870335</v>
      </c>
      <c r="I40" s="171"/>
      <c r="J40" s="171"/>
      <c r="K40" s="171"/>
    </row>
    <row r="41" spans="2:11" ht="15.95" customHeight="1">
      <c r="B41" s="24" t="s">
        <v>2204</v>
      </c>
      <c r="C41" s="276">
        <f>VLOOKUP(B41,'Data Transparency Index'!B:H,2,0)</f>
        <v>0.66666666666666674</v>
      </c>
      <c r="D41" s="180">
        <f>VLOOKUP(B41,'Data Transparency Index'!B:H,3,0)</f>
        <v>0</v>
      </c>
      <c r="E41" s="276">
        <f>VLOOKUP(B41,'Data Transparency Index'!B:H,4,0)</f>
        <v>0.26470588235294118</v>
      </c>
      <c r="F41" s="277">
        <f>VLOOKUP(B41,'Data Transparency Index'!B:H,5,0)</f>
        <v>0.76470588235294112</v>
      </c>
      <c r="G41" s="276">
        <f>VLOOKUP(B41,'Data Transparency Index'!B:H,6,0)</f>
        <v>0.64705882352941169</v>
      </c>
      <c r="H41" s="239">
        <f>VLOOKUP(B41,'Data Transparency Index'!B:H,7,0)</f>
        <v>2.3431372549019605</v>
      </c>
      <c r="I41" s="171"/>
      <c r="J41" s="171"/>
      <c r="K41" s="171"/>
    </row>
    <row r="42" spans="2:11" ht="15.95" customHeight="1">
      <c r="B42" s="24" t="s">
        <v>2678</v>
      </c>
      <c r="C42" s="276">
        <f>VLOOKUP(B42,'Data Transparency Index'!B:H,2,0)</f>
        <v>0</v>
      </c>
      <c r="D42" s="180">
        <f>VLOOKUP(B42,'Data Transparency Index'!B:H,3,0)</f>
        <v>0</v>
      </c>
      <c r="E42" s="276">
        <f>VLOOKUP(B42,'Data Transparency Index'!B:H,4,0)</f>
        <v>1</v>
      </c>
      <c r="F42" s="277">
        <f>VLOOKUP(B42,'Data Transparency Index'!B:H,5,0)</f>
        <v>0.25</v>
      </c>
      <c r="G42" s="276">
        <f>VLOOKUP(B42,'Data Transparency Index'!B:H,6,0)</f>
        <v>1</v>
      </c>
      <c r="H42" s="239">
        <f>VLOOKUP(B42,'Data Transparency Index'!B:H,7,0)</f>
        <v>2.25</v>
      </c>
      <c r="I42" s="171"/>
      <c r="J42" s="171"/>
      <c r="K42" s="171"/>
    </row>
    <row r="43" spans="2:11" ht="15.95" customHeight="1">
      <c r="B43" s="24" t="s">
        <v>2028</v>
      </c>
      <c r="C43" s="276">
        <f>VLOOKUP(B43,'Data Transparency Index'!B:H,2,0)</f>
        <v>0</v>
      </c>
      <c r="D43" s="180">
        <f>VLOOKUP(B43,'Data Transparency Index'!B:H,3,0)</f>
        <v>0</v>
      </c>
      <c r="E43" s="276">
        <f>VLOOKUP(B43,'Data Transparency Index'!B:H,4,0)</f>
        <v>0.375</v>
      </c>
      <c r="F43" s="277">
        <f>VLOOKUP(B43,'Data Transparency Index'!B:H,5,0)</f>
        <v>0.75</v>
      </c>
      <c r="G43" s="276">
        <f>VLOOKUP(B43,'Data Transparency Index'!B:H,6,0)</f>
        <v>1</v>
      </c>
      <c r="H43" s="239">
        <f>VLOOKUP(B43,'Data Transparency Index'!B:H,7,0)</f>
        <v>2.125</v>
      </c>
      <c r="I43" s="171"/>
      <c r="J43" s="171"/>
      <c r="K43" s="171"/>
    </row>
    <row r="44" spans="2:11" ht="15.95" customHeight="1">
      <c r="B44" s="24" t="s">
        <v>918</v>
      </c>
      <c r="C44" s="276">
        <f>VLOOKUP(B44,'Data Transparency Index'!B:H,2,0)</f>
        <v>0</v>
      </c>
      <c r="D44" s="180">
        <f>VLOOKUP(B44,'Data Transparency Index'!B:H,3,0)</f>
        <v>0</v>
      </c>
      <c r="E44" s="276">
        <f>VLOOKUP(B44,'Data Transparency Index'!B:H,4,0)</f>
        <v>0.7857142857142857</v>
      </c>
      <c r="F44" s="277">
        <f>VLOOKUP(B44,'Data Transparency Index'!B:H,5,0)</f>
        <v>0.7142857142857143</v>
      </c>
      <c r="G44" s="276">
        <f>VLOOKUP(B44,'Data Transparency Index'!B:H,6,0)</f>
        <v>0.5</v>
      </c>
      <c r="H44" s="239">
        <f>VLOOKUP(B44,'Data Transparency Index'!B:H,7,0)</f>
        <v>2</v>
      </c>
      <c r="I44" s="171"/>
      <c r="J44" s="171"/>
      <c r="K44" s="171"/>
    </row>
    <row r="45" spans="2:11" ht="15.95" customHeight="1">
      <c r="B45" s="24" t="s">
        <v>2488</v>
      </c>
      <c r="C45" s="276">
        <f>VLOOKUP(B45,'Data Transparency Index'!B:H,2,0)</f>
        <v>0</v>
      </c>
      <c r="D45" s="180">
        <f>VLOOKUP(B45,'Data Transparency Index'!B:H,3,0)</f>
        <v>0</v>
      </c>
      <c r="E45" s="276">
        <f>VLOOKUP(B45,'Data Transparency Index'!B:H,4,0)</f>
        <v>0.77551020408163263</v>
      </c>
      <c r="F45" s="277">
        <f>VLOOKUP(B45,'Data Transparency Index'!B:H,5,0)</f>
        <v>0.83673469387755106</v>
      </c>
      <c r="G45" s="276">
        <f>VLOOKUP(B45,'Data Transparency Index'!B:H,6,0)</f>
        <v>0.38235294117647056</v>
      </c>
      <c r="H45" s="239">
        <f>VLOOKUP(B45,'Data Transparency Index'!B:H,7,0)</f>
        <v>1.9945978391356542</v>
      </c>
      <c r="I45" s="171"/>
      <c r="J45" s="171"/>
      <c r="K45" s="171"/>
    </row>
    <row r="46" spans="2:11" ht="15.95" customHeight="1">
      <c r="B46" s="24" t="s">
        <v>3412</v>
      </c>
      <c r="C46" s="276">
        <f>VLOOKUP(B46,'Data Transparency Index'!B:H,2,0)</f>
        <v>0</v>
      </c>
      <c r="D46" s="180">
        <f>VLOOKUP(B46,'Data Transparency Index'!B:H,3,0)</f>
        <v>0</v>
      </c>
      <c r="E46" s="276">
        <f>VLOOKUP(B46,'Data Transparency Index'!B:H,4,0)</f>
        <v>0.26190476190476192</v>
      </c>
      <c r="F46" s="277">
        <f>VLOOKUP(B46,'Data Transparency Index'!B:H,5,0)</f>
        <v>0.90476190476190477</v>
      </c>
      <c r="G46" s="276">
        <f>VLOOKUP(B46,'Data Transparency Index'!B:H,6,0)</f>
        <v>0.82758620689655171</v>
      </c>
      <c r="H46" s="239">
        <f>VLOOKUP(B46,'Data Transparency Index'!B:H,7,0)</f>
        <v>1.9942528735632186</v>
      </c>
      <c r="I46" s="171"/>
      <c r="J46" s="171"/>
      <c r="K46" s="171"/>
    </row>
    <row r="47" spans="2:11" ht="15.95" customHeight="1">
      <c r="B47" s="24" t="s">
        <v>2989</v>
      </c>
      <c r="C47" s="276">
        <f>VLOOKUP(B47,'Data Transparency Index'!B:H,2,0)</f>
        <v>0</v>
      </c>
      <c r="D47" s="180">
        <f>VLOOKUP(B47,'Data Transparency Index'!B:H,3,0)</f>
        <v>0</v>
      </c>
      <c r="E47" s="276">
        <f>VLOOKUP(B47,'Data Transparency Index'!B:H,4,0)</f>
        <v>0.54838709677419351</v>
      </c>
      <c r="F47" s="277">
        <f>VLOOKUP(B47,'Data Transparency Index'!B:H,5,0)</f>
        <v>0.61290322580645162</v>
      </c>
      <c r="G47" s="276">
        <f>VLOOKUP(B47,'Data Transparency Index'!B:H,6,0)</f>
        <v>0.78260869565217395</v>
      </c>
      <c r="H47" s="239">
        <f>VLOOKUP(B47,'Data Transparency Index'!B:H,7,0)</f>
        <v>1.9438990182328189</v>
      </c>
      <c r="I47" s="171"/>
      <c r="J47" s="171"/>
      <c r="K47" s="171"/>
    </row>
    <row r="48" spans="2:11" ht="15.95" customHeight="1">
      <c r="B48" s="24" t="s">
        <v>3079</v>
      </c>
      <c r="C48" s="276">
        <f>VLOOKUP(B48,'Data Transparency Index'!B:H,2,0)</f>
        <v>0.33333333333333337</v>
      </c>
      <c r="D48" s="180">
        <f>VLOOKUP(B48,'Data Transparency Index'!B:H,3,0)</f>
        <v>0</v>
      </c>
      <c r="E48" s="276">
        <f>VLOOKUP(B48,'Data Transparency Index'!B:H,4,0)</f>
        <v>0.13793103448275862</v>
      </c>
      <c r="F48" s="277">
        <f>VLOOKUP(B48,'Data Transparency Index'!B:H,5,0)</f>
        <v>0.82758620689655171</v>
      </c>
      <c r="G48" s="276">
        <f>VLOOKUP(B48,'Data Transparency Index'!B:H,6,0)</f>
        <v>0.61904761904761907</v>
      </c>
      <c r="H48" s="239">
        <f>VLOOKUP(B48,'Data Transparency Index'!B:H,7,0)</f>
        <v>1.9178981937602628</v>
      </c>
      <c r="I48" s="171"/>
      <c r="J48" s="171"/>
      <c r="K48" s="171"/>
    </row>
    <row r="49" spans="2:11" ht="15.95" customHeight="1">
      <c r="B49" s="2" t="s">
        <v>3162</v>
      </c>
      <c r="C49" s="276">
        <f>VLOOKUP(B49,'Data Transparency Index'!B:H,2,0)</f>
        <v>0</v>
      </c>
      <c r="D49" s="180">
        <f>VLOOKUP(B49,'Data Transparency Index'!B:H,3,0)</f>
        <v>0</v>
      </c>
      <c r="E49" s="276">
        <f>VLOOKUP(B49,'Data Transparency Index'!B:H,4,0)</f>
        <v>1</v>
      </c>
      <c r="F49" s="277">
        <f>VLOOKUP(B49,'Data Transparency Index'!B:H,5,0)</f>
        <v>0.5714285714285714</v>
      </c>
      <c r="G49" s="276">
        <f>VLOOKUP(B49,'Data Transparency Index'!B:H,6,0)</f>
        <v>0.33333333333333337</v>
      </c>
      <c r="H49" s="239">
        <f>VLOOKUP(B49,'Data Transparency Index'!B:H,7,0)</f>
        <v>1.9047619047619047</v>
      </c>
      <c r="I49" s="171"/>
      <c r="J49" s="171"/>
      <c r="K49" s="171"/>
    </row>
    <row r="50" spans="2:11" ht="15.95" customHeight="1">
      <c r="B50" s="2" t="s">
        <v>3685</v>
      </c>
      <c r="C50" s="276">
        <f>VLOOKUP(B50,'Data Transparency Index'!B:H,2,0)</f>
        <v>0</v>
      </c>
      <c r="D50" s="180">
        <f>VLOOKUP(B50,'Data Transparency Index'!B:H,3,0)</f>
        <v>0</v>
      </c>
      <c r="E50" s="276">
        <f>VLOOKUP(B50,'Data Transparency Index'!B:H,4,0)</f>
        <v>0</v>
      </c>
      <c r="F50" s="277">
        <f>VLOOKUP(B50,'Data Transparency Index'!B:H,5,0)</f>
        <v>0.89473684210526316</v>
      </c>
      <c r="G50" s="276">
        <f>VLOOKUP(B50,'Data Transparency Index'!B:H,6,0)</f>
        <v>1</v>
      </c>
      <c r="H50" s="239">
        <f>VLOOKUP(B50,'Data Transparency Index'!B:H,7,0)</f>
        <v>1.8947368421052633</v>
      </c>
      <c r="I50" s="171"/>
      <c r="J50" s="171"/>
      <c r="K50" s="171"/>
    </row>
    <row r="51" spans="2:11" ht="15.95" customHeight="1">
      <c r="B51" s="24" t="s">
        <v>3214</v>
      </c>
      <c r="C51" s="276">
        <f>VLOOKUP(B51,'Data Transparency Index'!B:H,2,0)</f>
        <v>0</v>
      </c>
      <c r="D51" s="180">
        <f>VLOOKUP(B51,'Data Transparency Index'!B:H,3,0)</f>
        <v>0</v>
      </c>
      <c r="E51" s="276">
        <f>VLOOKUP(B51,'Data Transparency Index'!B:H,4,0)</f>
        <v>0.375</v>
      </c>
      <c r="F51" s="277">
        <f>VLOOKUP(B51,'Data Transparency Index'!B:H,5,0)</f>
        <v>0.875</v>
      </c>
      <c r="G51" s="276">
        <f>VLOOKUP(B51,'Data Transparency Index'!B:H,6,0)</f>
        <v>0.5</v>
      </c>
      <c r="H51" s="239">
        <f>VLOOKUP(B51,'Data Transparency Index'!B:H,7,0)</f>
        <v>1.75</v>
      </c>
      <c r="I51" s="171"/>
      <c r="J51" s="171"/>
      <c r="K51" s="171"/>
    </row>
    <row r="52" spans="2:11" ht="15.95" customHeight="1">
      <c r="B52" s="24" t="s">
        <v>3337</v>
      </c>
      <c r="C52" s="276">
        <f>VLOOKUP(B52,'Data Transparency Index'!B:H,2,0)</f>
        <v>0</v>
      </c>
      <c r="D52" s="180">
        <f>VLOOKUP(B52,'Data Transparency Index'!B:H,3,0)</f>
        <v>0</v>
      </c>
      <c r="E52" s="276">
        <f>VLOOKUP(B52,'Data Transparency Index'!B:H,4,0)</f>
        <v>0.7407407407407407</v>
      </c>
      <c r="F52" s="277">
        <f>VLOOKUP(B52,'Data Transparency Index'!B:H,5,0)</f>
        <v>0.62962962962962965</v>
      </c>
      <c r="G52" s="276">
        <f>VLOOKUP(B52,'Data Transparency Index'!B:H,6,0)</f>
        <v>0.33333333333333337</v>
      </c>
      <c r="H52" s="239">
        <f>VLOOKUP(B52,'Data Transparency Index'!B:H,7,0)</f>
        <v>1.7037037037037037</v>
      </c>
      <c r="I52" s="171"/>
      <c r="J52" s="171"/>
      <c r="K52" s="171"/>
    </row>
    <row r="53" spans="2:11" ht="15.95" customHeight="1">
      <c r="B53" s="24" t="s">
        <v>2076</v>
      </c>
      <c r="C53" s="276">
        <f>VLOOKUP(B53,'Data Transparency Index'!B:H,2,0)</f>
        <v>0</v>
      </c>
      <c r="D53" s="180">
        <f>VLOOKUP(B53,'Data Transparency Index'!B:H,3,0)</f>
        <v>0</v>
      </c>
      <c r="E53" s="276">
        <f>VLOOKUP(B53,'Data Transparency Index'!B:H,4,0)</f>
        <v>0</v>
      </c>
      <c r="F53" s="277">
        <f>VLOOKUP(B53,'Data Transparency Index'!B:H,5,0)</f>
        <v>0.66666666666666663</v>
      </c>
      <c r="G53" s="276">
        <f>VLOOKUP(B53,'Data Transparency Index'!B:H,6,0)</f>
        <v>1</v>
      </c>
      <c r="H53" s="239">
        <f>VLOOKUP(B53,'Data Transparency Index'!B:H,7,0)</f>
        <v>1.6666666666666665</v>
      </c>
      <c r="I53" s="171"/>
      <c r="J53" s="171"/>
      <c r="K53" s="171"/>
    </row>
    <row r="54" spans="2:11" ht="15.95" customHeight="1">
      <c r="B54" s="278" t="s">
        <v>1973</v>
      </c>
      <c r="C54" s="280">
        <f>VLOOKUP(B54,'Data Transparency Index'!B:H,2,0)</f>
        <v>0</v>
      </c>
      <c r="D54" s="279">
        <f>VLOOKUP(B54,'Data Transparency Index'!B:H,3,0)</f>
        <v>0</v>
      </c>
      <c r="E54" s="280">
        <f>VLOOKUP(B54,'Data Transparency Index'!B:H,4,0)</f>
        <v>0</v>
      </c>
      <c r="F54" s="281">
        <f>VLOOKUP(B54,'Data Transparency Index'!B:H,5,0)</f>
        <v>0.33333333333333331</v>
      </c>
      <c r="G54" s="280">
        <f>VLOOKUP(B54,'Data Transparency Index'!B:H,6,0)</f>
        <v>0.75</v>
      </c>
      <c r="H54" s="241">
        <f>VLOOKUP(B54,'Data Transparency Index'!B:H,7,0)</f>
        <v>1.0833333333333333</v>
      </c>
      <c r="I54" s="171"/>
      <c r="J54" s="171"/>
      <c r="K54" s="171"/>
    </row>
    <row r="55" spans="2:11" ht="15.95" customHeight="1">
      <c r="C55" s="277"/>
      <c r="D55" s="239"/>
      <c r="E55" s="297"/>
      <c r="F55" s="277"/>
      <c r="G55" s="297"/>
      <c r="H55" s="461"/>
    </row>
    <row r="56" spans="2:11" ht="15.95" customHeight="1">
      <c r="C56" s="462"/>
      <c r="D56" s="239"/>
      <c r="E56" s="297"/>
      <c r="F56" s="277"/>
      <c r="G56" s="297"/>
      <c r="H56" s="461"/>
    </row>
    <row r="57" spans="2:11" ht="15.95" customHeight="1">
      <c r="B57" s="282" t="s">
        <v>4550</v>
      </c>
      <c r="C57" s="283">
        <f>SUM(C13:C54)/40</f>
        <v>0.41666666666666669</v>
      </c>
      <c r="D57" s="283">
        <f>SUM(D13:D54)/40</f>
        <v>0.32500000000000001</v>
      </c>
      <c r="E57" s="283">
        <f>SUM(E13:E54)/41</f>
        <v>0.69686702672426415</v>
      </c>
      <c r="F57" s="283">
        <f>SUM(F13:F54)/41</f>
        <v>0.88726980390530519</v>
      </c>
      <c r="G57" s="283">
        <f>SUM(G13:G54)/41</f>
        <v>0.76897481959388192</v>
      </c>
      <c r="H57" s="283">
        <f>SUM(H13:H54)/41</f>
        <v>3.0766888859958086</v>
      </c>
      <c r="I57" s="346"/>
      <c r="J57" s="346"/>
      <c r="K57" s="346"/>
    </row>
    <row r="58" spans="2:11" s="347" customFormat="1" ht="15.95" customHeight="1">
      <c r="B58" s="284" t="s">
        <v>4795</v>
      </c>
      <c r="C58" s="285">
        <f>COUNTIF(C13:C54,1)</f>
        <v>13</v>
      </c>
      <c r="D58" s="285">
        <f>COUNTIF(D13:D54,1)</f>
        <v>13</v>
      </c>
      <c r="E58" s="285">
        <f>COUNTIF(E13:E54,1)</f>
        <v>7</v>
      </c>
      <c r="F58" s="285">
        <f>COUNTIF(F13:F54,1)</f>
        <v>17</v>
      </c>
      <c r="G58" s="285">
        <f>COUNTIF(G13:G54,1)</f>
        <v>15</v>
      </c>
      <c r="H58" s="285">
        <f>COUNTIF(H13:H54,5)</f>
        <v>1</v>
      </c>
      <c r="I58" s="348"/>
      <c r="J58" s="348"/>
      <c r="K58" s="348"/>
    </row>
    <row r="59" spans="2:11" ht="15.95" customHeight="1">
      <c r="B59" s="457" t="s">
        <v>4796</v>
      </c>
      <c r="C59" s="286">
        <f>C58/40</f>
        <v>0.32500000000000001</v>
      </c>
      <c r="D59" s="286">
        <f>D58/40</f>
        <v>0.32500000000000001</v>
      </c>
      <c r="E59" s="286">
        <f>E58/41</f>
        <v>0.17073170731707318</v>
      </c>
      <c r="F59" s="286">
        <f>F58/41</f>
        <v>0.41463414634146339</v>
      </c>
      <c r="G59" s="286">
        <f>G58/41</f>
        <v>0.36585365853658536</v>
      </c>
      <c r="H59" s="286">
        <f>H58/41</f>
        <v>2.4390243902439025E-2</v>
      </c>
      <c r="I59" s="127"/>
      <c r="J59" s="127"/>
      <c r="K59" s="127"/>
    </row>
  </sheetData>
  <sortState xmlns:xlrd2="http://schemas.microsoft.com/office/spreadsheetml/2017/richdata2" ref="B13:H54">
    <sortCondition descending="1" ref="H13:H54"/>
  </sortState>
  <mergeCells count="1">
    <mergeCell ref="B4:G9"/>
  </mergeCells>
  <pageMargins left="0.7" right="0.7" top="0.75" bottom="0.75" header="0.3" footer="0.3"/>
  <pageSetup paperSize="9" orientation="portrait"/>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9E1F2"/>
  </sheetPr>
  <dimension ref="A1:P59"/>
  <sheetViews>
    <sheetView showGridLines="0" zoomScaleNormal="100" workbookViewId="0"/>
  </sheetViews>
  <sheetFormatPr defaultColWidth="8.625" defaultRowHeight="15.95" customHeight="1"/>
  <cols>
    <col min="1" max="1" width="8.625" style="2" customWidth="1"/>
    <col min="2" max="2" width="25.5" style="40" customWidth="1"/>
    <col min="3" max="3" width="27.875" style="49" bestFit="1" customWidth="1"/>
    <col min="4" max="4" width="73.125" style="49" customWidth="1"/>
    <col min="5" max="5" width="33.125" style="49" bestFit="1" customWidth="1"/>
    <col min="6" max="6" width="13.625" style="40" customWidth="1"/>
    <col min="7" max="16384" width="8.625" style="40"/>
  </cols>
  <sheetData>
    <row r="1" spans="1:7" s="35" customFormat="1" ht="15.95" customHeight="1">
      <c r="B1" s="39"/>
      <c r="C1" s="146"/>
      <c r="D1" s="146"/>
      <c r="E1" s="146"/>
    </row>
    <row r="2" spans="1:7" s="469" customFormat="1" ht="24.75" customHeight="1">
      <c r="A2" s="465"/>
      <c r="B2" s="391" t="s">
        <v>4797</v>
      </c>
      <c r="C2" s="468"/>
      <c r="D2" s="468"/>
      <c r="E2" s="468"/>
    </row>
    <row r="3" spans="1:7" s="43" customFormat="1" ht="15.95" customHeight="1">
      <c r="A3" s="35"/>
      <c r="B3" s="365"/>
      <c r="C3" s="145"/>
      <c r="D3" s="145"/>
      <c r="E3" s="145"/>
    </row>
    <row r="4" spans="1:7" s="43" customFormat="1" ht="15.95" customHeight="1">
      <c r="A4" s="35"/>
      <c r="B4" s="1459" t="s">
        <v>4798</v>
      </c>
      <c r="C4" s="1459"/>
      <c r="D4" s="1459"/>
      <c r="E4" s="392"/>
    </row>
    <row r="5" spans="1:7" s="43" customFormat="1" ht="15.95" customHeight="1">
      <c r="A5" s="35"/>
      <c r="B5" s="1459"/>
      <c r="C5" s="1459"/>
      <c r="D5" s="1459"/>
      <c r="E5" s="392"/>
    </row>
    <row r="6" spans="1:7" s="43" customFormat="1" ht="15.95" customHeight="1">
      <c r="A6" s="35"/>
      <c r="B6" s="1459"/>
      <c r="C6" s="1459"/>
      <c r="D6" s="1459"/>
      <c r="E6" s="392"/>
    </row>
    <row r="7" spans="1:7" s="43" customFormat="1" ht="15.95" customHeight="1">
      <c r="A7" s="35"/>
      <c r="B7" s="1459"/>
      <c r="C7" s="1459"/>
      <c r="D7" s="1459"/>
      <c r="E7" s="392"/>
    </row>
    <row r="8" spans="1:7" s="43" customFormat="1" ht="15.95" customHeight="1">
      <c r="A8" s="35"/>
      <c r="B8" s="1459"/>
      <c r="C8" s="1459"/>
      <c r="D8" s="1459"/>
      <c r="E8" s="392"/>
      <c r="G8" s="165"/>
    </row>
    <row r="9" spans="1:7" s="43" customFormat="1" ht="15.95" customHeight="1">
      <c r="A9" s="35"/>
      <c r="B9" s="1459"/>
      <c r="C9" s="1459"/>
      <c r="D9" s="1459"/>
      <c r="E9" s="392"/>
      <c r="G9" s="165"/>
    </row>
    <row r="11" spans="1:7" ht="24.75" customHeight="1">
      <c r="B11" s="367" t="s">
        <v>4512</v>
      </c>
      <c r="C11" s="434" t="s">
        <v>4517</v>
      </c>
      <c r="D11" s="435" t="s">
        <v>4799</v>
      </c>
      <c r="E11" s="434" t="s">
        <v>4800</v>
      </c>
      <c r="F11" s="41"/>
      <c r="G11" s="475" t="s">
        <v>4801</v>
      </c>
    </row>
    <row r="12" spans="1:7" ht="15.95" customHeight="1">
      <c r="B12" s="37" t="s">
        <v>1305</v>
      </c>
      <c r="C12" s="49">
        <f>VLOOKUP(B12,'Country Summary (€)'!B:J,9,0)</f>
        <v>1.2606201250160036</v>
      </c>
      <c r="D12" s="49">
        <f>VLOOKUP(B12,'Country Summary (€)'!B:O,14,0)</f>
        <v>0.19750963825623741</v>
      </c>
      <c r="E12" s="49">
        <f>VLOOKUP(B12,'Country Summary (€)'!B:Q,16,0)</f>
        <v>1.458129763272241</v>
      </c>
    </row>
    <row r="13" spans="1:7" ht="15.95" customHeight="1">
      <c r="B13" s="37" t="s">
        <v>2392</v>
      </c>
      <c r="C13" s="49">
        <f>VLOOKUP(B13,'Country Summary (€)'!B:J,9,0)</f>
        <v>1.0912278632551458</v>
      </c>
      <c r="D13" s="49">
        <f>VLOOKUP(B13,'Country Summary (€)'!B:O,14,0)</f>
        <v>0.19240734384252206</v>
      </c>
      <c r="E13" s="49">
        <f>VLOOKUP(B13,'Country Summary (€)'!B:Q,16,0)</f>
        <v>1.2836352070976678</v>
      </c>
    </row>
    <row r="14" spans="1:7" ht="15.95" customHeight="1">
      <c r="B14" s="37" t="s">
        <v>2488</v>
      </c>
      <c r="C14" s="49">
        <f>VLOOKUP(B14,'Country Summary (€)'!B:J,9,0)</f>
        <v>0.95193792981649195</v>
      </c>
      <c r="D14" s="49">
        <f>VLOOKUP(B14,'Country Summary (€)'!B:O,14,0)</f>
        <v>0.1851457461005466</v>
      </c>
      <c r="E14" s="49">
        <f>VLOOKUP(B14,'Country Summary (€)'!B:Q,16,0)</f>
        <v>1.1370836759170386</v>
      </c>
    </row>
    <row r="15" spans="1:7" ht="15.95" customHeight="1">
      <c r="B15" s="37" t="s">
        <v>2989</v>
      </c>
      <c r="C15" s="49">
        <f>VLOOKUP(B15,'Country Summary (€)'!B:J,9,0)</f>
        <v>0.68246360725370525</v>
      </c>
      <c r="D15" s="49">
        <f>VLOOKUP(B15,'Country Summary (€)'!B:O,14,0)</f>
        <v>0.23205003670751612</v>
      </c>
      <c r="E15" s="49">
        <f>VLOOKUP(B15,'Country Summary (€)'!B:Q,16,0)</f>
        <v>0.91451364396122126</v>
      </c>
    </row>
    <row r="16" spans="1:7" ht="15.95" customHeight="1">
      <c r="B16" s="37" t="s">
        <v>3261</v>
      </c>
      <c r="C16" s="49">
        <f>VLOOKUP(B16,'Country Summary (€)'!B:J,9,0)</f>
        <v>0.63140985475637346</v>
      </c>
      <c r="D16" s="49">
        <f>VLOOKUP(B16,'Country Summary (€)'!B:O,14,0)</f>
        <v>0.27864262379898613</v>
      </c>
      <c r="E16" s="49">
        <f>VLOOKUP(B16,'Country Summary (€)'!B:Q,16,0)</f>
        <v>0.91005247855535953</v>
      </c>
    </row>
    <row r="17" spans="2:5" ht="15.95" customHeight="1">
      <c r="B17" s="37" t="s">
        <v>1194</v>
      </c>
      <c r="C17" s="49">
        <f>VLOOKUP(B17,'Country Summary (€)'!B:J,9,0)</f>
        <v>0.5148332270620376</v>
      </c>
      <c r="D17" s="49">
        <f>VLOOKUP(B17,'Country Summary (€)'!B:O,14,0)</f>
        <v>0.24123918628666205</v>
      </c>
      <c r="E17" s="49">
        <f>VLOOKUP(B17,'Country Summary (€)'!B:Q,16,0)</f>
        <v>0.75607241334869979</v>
      </c>
    </row>
    <row r="18" spans="2:5" ht="15.95" customHeight="1">
      <c r="B18" s="37" t="s">
        <v>2693</v>
      </c>
      <c r="C18" s="49">
        <f>VLOOKUP(B18,'Country Summary (€)'!B:J,9,0)</f>
        <v>0.43598129254435675</v>
      </c>
      <c r="D18" s="49">
        <f>VLOOKUP(B18,'Country Summary (€)'!B:O,14,0)</f>
        <v>0.27872766308147956</v>
      </c>
      <c r="E18" s="49">
        <f>VLOOKUP(B18,'Country Summary (€)'!B:Q,16,0)</f>
        <v>0.71470895562583625</v>
      </c>
    </row>
    <row r="19" spans="2:5" ht="15.95" customHeight="1">
      <c r="B19" s="37" t="s">
        <v>1432</v>
      </c>
      <c r="C19" s="49">
        <f>VLOOKUP(B19,'Country Summary (€)'!B:J,9,0)</f>
        <v>0.44349055053897235</v>
      </c>
      <c r="D19" s="49">
        <f>VLOOKUP(B19,'Country Summary (€)'!B:O,14,0)</f>
        <v>0.21849964178859727</v>
      </c>
      <c r="E19" s="49">
        <f>VLOOKUP(B19,'Country Summary (€)'!B:Q,16,0)</f>
        <v>0.66199019232756962</v>
      </c>
    </row>
    <row r="20" spans="2:5" ht="15.95" customHeight="1">
      <c r="B20" s="40" t="s">
        <v>673</v>
      </c>
      <c r="C20" s="49">
        <f>VLOOKUP(B20,'Country Summary (€)'!B:J,9,0)</f>
        <v>0.31029885204797214</v>
      </c>
      <c r="D20" s="49">
        <f>VLOOKUP(B20,'Country Summary (€)'!B:O,14,0)</f>
        <v>0.25962120455887494</v>
      </c>
      <c r="E20" s="49">
        <f>VLOOKUP(B20,'Country Summary (€)'!B:Q,16,0)</f>
        <v>0.56992005660684708</v>
      </c>
    </row>
    <row r="21" spans="2:5" ht="15.95" customHeight="1">
      <c r="B21" s="37" t="s">
        <v>1012</v>
      </c>
      <c r="C21" s="49">
        <f>VLOOKUP(B21,'Country Summary (€)'!B:J,9,0)</f>
        <v>0.36084559731036259</v>
      </c>
      <c r="D21" s="49">
        <f>VLOOKUP(B21,'Country Summary (€)'!B:O,14,0)</f>
        <v>0.19555811510032065</v>
      </c>
      <c r="E21" s="49">
        <f>VLOOKUP(B21,'Country Summary (€)'!B:Q,16,0)</f>
        <v>0.5564037124106832</v>
      </c>
    </row>
    <row r="22" spans="2:5" ht="15.95" customHeight="1">
      <c r="B22" s="37" t="s">
        <v>918</v>
      </c>
      <c r="C22" s="49">
        <f>VLOOKUP(B22,'Country Summary (€)'!B:J,9,0)</f>
        <v>0.29945870655314943</v>
      </c>
      <c r="D22" s="49">
        <f>VLOOKUP(B22,'Country Summary (€)'!B:O,14,0)</f>
        <v>0.22863257285543021</v>
      </c>
      <c r="E22" s="49">
        <f>VLOOKUP(B22,'Country Summary (€)'!B:Q,16,0)</f>
        <v>0.52809127940857958</v>
      </c>
    </row>
    <row r="23" spans="2:5" ht="15.95" customHeight="1">
      <c r="B23" s="37" t="s">
        <v>3548</v>
      </c>
      <c r="C23" s="49">
        <f>VLOOKUP(B23,'Country Summary (€)'!B:J,9,0)</f>
        <v>0.31251679022643342</v>
      </c>
      <c r="D23" s="49">
        <f>VLOOKUP(B23,'Country Summary (€)'!B:O,14,0)</f>
        <v>0.20348701181201814</v>
      </c>
      <c r="E23" s="49">
        <f>VLOOKUP(B23,'Country Summary (€)'!B:Q,16,0)</f>
        <v>0.51600380203845153</v>
      </c>
    </row>
    <row r="24" spans="2:5" ht="15.95" customHeight="1">
      <c r="B24" s="40" t="s">
        <v>2882</v>
      </c>
      <c r="C24" s="49">
        <f>VLOOKUP(B24,'Country Summary (€)'!B:J,9,0)</f>
        <v>0.47094720935177292</v>
      </c>
      <c r="D24" s="49">
        <f>VLOOKUP(B24,'Country Summary (€)'!B:O,14,0)</f>
        <v>0</v>
      </c>
      <c r="E24" s="49">
        <f>VLOOKUP(B24,'Country Summary (€)'!B:Q,16,0)</f>
        <v>0.47094720935177292</v>
      </c>
    </row>
    <row r="25" spans="2:5" ht="15.95" customHeight="1">
      <c r="B25" s="37" t="s">
        <v>1711</v>
      </c>
      <c r="C25" s="49">
        <f>VLOOKUP(B25,'Country Summary (€)'!B:J,9,0)</f>
        <v>0.27250538647727673</v>
      </c>
      <c r="D25" s="49">
        <f>VLOOKUP(B25,'Country Summary (€)'!B:O,14,0)</f>
        <v>0.1870183072178854</v>
      </c>
      <c r="E25" s="49">
        <f>VLOOKUP(B25,'Country Summary (€)'!B:Q,16,0)</f>
        <v>0.45952369369516211</v>
      </c>
    </row>
    <row r="26" spans="2:5" ht="15.95" customHeight="1">
      <c r="B26" s="37" t="s">
        <v>454</v>
      </c>
      <c r="C26" s="49">
        <f>VLOOKUP(B26,'Country Summary (€)'!B:J,9,0)</f>
        <v>0.19591954131756775</v>
      </c>
      <c r="D26" s="49">
        <f>VLOOKUP(B26,'Country Summary (€)'!B:O,14,0)</f>
        <v>0.22937694233578862</v>
      </c>
      <c r="E26" s="49">
        <f>VLOOKUP(B26,'Country Summary (€)'!B:Q,16,0)</f>
        <v>0.42529648365335637</v>
      </c>
    </row>
    <row r="27" spans="2:5" ht="15.95" customHeight="1">
      <c r="B27" s="37" t="s">
        <v>3748</v>
      </c>
      <c r="C27" s="49">
        <f>VLOOKUP(B27,'Country Summary (€)'!B:J,9,0)</f>
        <v>0.37258230705466278</v>
      </c>
      <c r="D27" s="49">
        <f>VLOOKUP(B27,'Country Summary (€)'!B:O,14,0)</f>
        <v>0</v>
      </c>
      <c r="E27" s="49">
        <f>VLOOKUP(B27,'Country Summary (€)'!B:Q,16,0)</f>
        <v>0.37258230705466278</v>
      </c>
    </row>
    <row r="28" spans="2:5" ht="15.95" customHeight="1">
      <c r="B28" s="37" t="s">
        <v>3412</v>
      </c>
      <c r="C28" s="49">
        <f>VLOOKUP(B28,'Country Summary (€)'!B:J,9,0)</f>
        <v>6.361716780432565E-2</v>
      </c>
      <c r="D28" s="49">
        <f>VLOOKUP(B28,'Country Summary (€)'!B:O,14,0)</f>
        <v>0.30137893115128239</v>
      </c>
      <c r="E28" s="49">
        <f>VLOOKUP(B28,'Country Summary (€)'!B:Q,16,0)</f>
        <v>0.36499609895560808</v>
      </c>
    </row>
    <row r="29" spans="2:5" ht="15.95" customHeight="1">
      <c r="B29" s="37" t="s">
        <v>3079</v>
      </c>
      <c r="C29" s="49">
        <f>VLOOKUP(B29,'Country Summary (€)'!B:J,9,0)</f>
        <v>0.14018307955675754</v>
      </c>
      <c r="D29" s="49">
        <f>VLOOKUP(B29,'Country Summary (€)'!B:O,14,0)</f>
        <v>0.21324372976072598</v>
      </c>
      <c r="E29" s="49">
        <f>VLOOKUP(B29,'Country Summary (€)'!B:Q,16,0)</f>
        <v>0.35342680931748349</v>
      </c>
    </row>
    <row r="30" spans="2:5" ht="15.95" customHeight="1">
      <c r="B30" s="37" t="s">
        <v>1973</v>
      </c>
      <c r="C30" s="49">
        <f>VLOOKUP(B30,'Country Summary (€)'!B:J,9,0)</f>
        <v>9.4505790632724782E-2</v>
      </c>
      <c r="D30" s="49">
        <f>VLOOKUP(B30,'Country Summary (€)'!B:O,14,0)</f>
        <v>0.24934938857269318</v>
      </c>
      <c r="E30" s="49">
        <f>VLOOKUP(B30,'Country Summary (€)'!B:Q,16,0)</f>
        <v>0.34385517920541797</v>
      </c>
    </row>
    <row r="31" spans="2:5" ht="15.95" customHeight="1">
      <c r="B31" s="37" t="s">
        <v>3337</v>
      </c>
      <c r="C31" s="49">
        <f>VLOOKUP(B31,'Country Summary (€)'!B:J,9,0)</f>
        <v>0.10758351857801417</v>
      </c>
      <c r="D31" s="49">
        <f>VLOOKUP(B31,'Country Summary (€)'!B:O,14,0)</f>
        <v>0.21804232013701128</v>
      </c>
      <c r="E31" s="49">
        <f>VLOOKUP(B31,'Country Summary (€)'!B:Q,16,0)</f>
        <v>0.32562583871502548</v>
      </c>
    </row>
    <row r="32" spans="2:5" ht="15.95" customHeight="1">
      <c r="B32" s="37" t="s">
        <v>3949</v>
      </c>
      <c r="C32" s="49">
        <f>VLOOKUP(B32,'Country Summary (€)'!B:J,9,0)</f>
        <v>0.3295528779935728</v>
      </c>
      <c r="D32" s="49">
        <f>VLOOKUP(B32,'Country Summary (€)'!B:O,14,0)</f>
        <v>0</v>
      </c>
      <c r="E32" s="49">
        <f>VLOOKUP(B32,'Country Summary (€)'!B:Q,16,0)</f>
        <v>0.3295528779935728</v>
      </c>
    </row>
    <row r="33" spans="2:5" ht="15.95" customHeight="1">
      <c r="B33" s="37" t="s">
        <v>558</v>
      </c>
      <c r="C33" s="49">
        <f>VLOOKUP(B33,'Country Summary (€)'!B:J,9,0)</f>
        <v>8.9771779635338056E-2</v>
      </c>
      <c r="D33" s="49">
        <f>VLOOKUP(B33,'Country Summary (€)'!B:O,14,0)</f>
        <v>0.22973754057404133</v>
      </c>
      <c r="E33" s="49">
        <f>VLOOKUP(B33,'Country Summary (€)'!B:Q,16,0)</f>
        <v>0.31950932020937944</v>
      </c>
    </row>
    <row r="34" spans="2:5" ht="15.95" customHeight="1">
      <c r="B34" s="37" t="s">
        <v>2204</v>
      </c>
      <c r="C34" s="49">
        <f>VLOOKUP(B34,'Country Summary (€)'!B:J,9,0)</f>
        <v>6.9317275513089985E-2</v>
      </c>
      <c r="D34" s="49">
        <f>VLOOKUP(B34,'Country Summary (€)'!B:O,14,0)</f>
        <v>0.2285172893555184</v>
      </c>
      <c r="E34" s="49">
        <f>VLOOKUP(B34,'Country Summary (€)'!B:Q,16,0)</f>
        <v>0.29783456486860843</v>
      </c>
    </row>
    <row r="35" spans="2:5" ht="15.95" customHeight="1">
      <c r="B35" s="37" t="s">
        <v>713</v>
      </c>
      <c r="C35" s="49">
        <f>VLOOKUP(B35,'Country Summary (€)'!B:J,9,0)</f>
        <v>0.28800474692007605</v>
      </c>
      <c r="D35" s="49">
        <f>VLOOKUP(B35,'Country Summary (€)'!B:O,14,0)</f>
        <v>0</v>
      </c>
      <c r="E35" s="49">
        <f>VLOOKUP(B35,'Country Summary (€)'!B:Q,16,0)</f>
        <v>0.28800474692007605</v>
      </c>
    </row>
    <row r="36" spans="2:5" ht="15.95" customHeight="1">
      <c r="B36" s="37" t="s">
        <v>1523</v>
      </c>
      <c r="C36" s="49">
        <f>VLOOKUP(B36,'Country Summary (€)'!B:J,9,0)</f>
        <v>5.3695641016007399E-2</v>
      </c>
      <c r="D36" s="49">
        <f>VLOOKUP(B36,'Country Summary (€)'!B:O,14,0)</f>
        <v>0.22045627849322105</v>
      </c>
      <c r="E36" s="49">
        <f>VLOOKUP(B36,'Country Summary (€)'!B:Q,16,0)</f>
        <v>0.27415191950922846</v>
      </c>
    </row>
    <row r="37" spans="2:5" ht="15.95" customHeight="1">
      <c r="B37" s="37" t="s">
        <v>2028</v>
      </c>
      <c r="C37" s="49">
        <f>VLOOKUP(B37,'Country Summary (€)'!B:J,9,0)</f>
        <v>2.8154793100345764E-2</v>
      </c>
      <c r="D37" s="49">
        <f>VLOOKUP(B37,'Country Summary (€)'!B:O,14,0)</f>
        <v>0.23803518098778118</v>
      </c>
      <c r="E37" s="49">
        <f>VLOOKUP(B37,'Country Summary (€)'!B:Q,16,0)</f>
        <v>0.26618997408812695</v>
      </c>
    </row>
    <row r="38" spans="2:5" ht="15.95" customHeight="1">
      <c r="B38" s="37" t="s">
        <v>3214</v>
      </c>
      <c r="C38" s="49">
        <f>VLOOKUP(B38,'Country Summary (€)'!B:J,9,0)</f>
        <v>4.8172137544917719E-2</v>
      </c>
      <c r="D38" s="49">
        <f>VLOOKUP(B38,'Country Summary (€)'!B:O,14,0)</f>
        <v>0.21312055151732068</v>
      </c>
      <c r="E38" s="49">
        <f>VLOOKUP(B38,'Country Summary (€)'!B:Q,16,0)</f>
        <v>0.2612926890622384</v>
      </c>
    </row>
    <row r="39" spans="2:5" ht="15.95" customHeight="1">
      <c r="B39" s="37" t="s">
        <v>2625</v>
      </c>
      <c r="C39" s="49">
        <f>VLOOKUP(B39,'Country Summary (€)'!B:J,9,0)</f>
        <v>0.12155002130843041</v>
      </c>
      <c r="D39" s="49">
        <f>VLOOKUP(B39,'Country Summary (€)'!B:O,14,0)</f>
        <v>0.13878573881650988</v>
      </c>
      <c r="E39" s="49">
        <f>VLOOKUP(B39,'Country Summary (€)'!B:Q,16,0)</f>
        <v>0.26033576012494031</v>
      </c>
    </row>
    <row r="40" spans="2:5" ht="15.95" customHeight="1">
      <c r="B40" s="37" t="s">
        <v>981</v>
      </c>
      <c r="C40" s="49">
        <f>VLOOKUP(B40,'Country Summary (€)'!B:J,9,0)</f>
        <v>1.147710223619349E-2</v>
      </c>
      <c r="D40" s="49">
        <f>VLOOKUP(B40,'Country Summary (€)'!B:O,14,0)</f>
        <v>0.20768470302563258</v>
      </c>
      <c r="E40" s="49">
        <f>VLOOKUP(B40,'Country Summary (€)'!B:Q,16,0)</f>
        <v>0.21916180526182608</v>
      </c>
    </row>
    <row r="41" spans="2:5" ht="15.95" customHeight="1">
      <c r="B41" s="37" t="s">
        <v>2678</v>
      </c>
      <c r="C41" s="49">
        <f>VLOOKUP(B41,'Country Summary (€)'!B:J,9,0)</f>
        <v>1.2955944350977111E-2</v>
      </c>
      <c r="D41" s="49">
        <f>VLOOKUP(B41,'Country Summary (€)'!B:O,14,0)</f>
        <v>0.1798166449941182</v>
      </c>
      <c r="E41" s="49">
        <f>VLOOKUP(B41,'Country Summary (€)'!B:Q,16,0)</f>
        <v>0.19277258934509528</v>
      </c>
    </row>
    <row r="42" spans="2:5" ht="15.95" customHeight="1">
      <c r="B42" s="37" t="s">
        <v>2096</v>
      </c>
      <c r="C42" s="49">
        <f>VLOOKUP(B42,'Country Summary (€)'!B:J,9,0)</f>
        <v>1.9488029726067776E-2</v>
      </c>
      <c r="D42" s="49">
        <f>VLOOKUP(B42,'Country Summary (€)'!B:O,14,0)</f>
        <v>0.14800019901350597</v>
      </c>
      <c r="E42" s="49">
        <f>VLOOKUP(B42,'Country Summary (€)'!B:Q,16,0)</f>
        <v>0.16748822873957375</v>
      </c>
    </row>
    <row r="43" spans="2:5" ht="15.95" customHeight="1">
      <c r="B43" s="37" t="s">
        <v>2312</v>
      </c>
      <c r="C43" s="49">
        <f>VLOOKUP(B43,'Country Summary (€)'!B:J,9,0)</f>
        <v>0.14555394181194639</v>
      </c>
      <c r="D43" s="49">
        <f>VLOOKUP(B43,'Country Summary (€)'!B:O,14,0)</f>
        <v>0</v>
      </c>
      <c r="E43" s="49">
        <f>VLOOKUP(B43,'Country Summary (€)'!B:Q,16,0)</f>
        <v>0.14555394181194639</v>
      </c>
    </row>
    <row r="44" spans="2:5" ht="15.95" customHeight="1">
      <c r="B44" s="40" t="s">
        <v>2139</v>
      </c>
      <c r="C44" s="49">
        <f>VLOOKUP(B44,'Country Summary (€)'!B:J,9,0)</f>
        <v>0.12558869496454383</v>
      </c>
      <c r="D44" s="49">
        <f>VLOOKUP(B44,'Country Summary (€)'!B:O,14,0)</f>
        <v>0</v>
      </c>
      <c r="E44" s="49">
        <f>VLOOKUP(B44,'Country Summary (€)'!B:Q,16,0)</f>
        <v>0.12558869496454383</v>
      </c>
    </row>
    <row r="45" spans="2:5" ht="15.95" customHeight="1">
      <c r="B45" s="40" t="s">
        <v>3649</v>
      </c>
      <c r="C45" s="49">
        <f>VLOOKUP(B45,'Country Summary (€)'!B:J,9,0)</f>
        <v>5.3010273516371956E-2</v>
      </c>
      <c r="D45" s="49">
        <f>VLOOKUP(B45,'Country Summary (€)'!B:O,14,0)</f>
        <v>0</v>
      </c>
      <c r="E45" s="49">
        <f>VLOOKUP(B45,'Country Summary (€)'!B:Q,16,0)</f>
        <v>5.3010273516371956E-2</v>
      </c>
    </row>
    <row r="46" spans="2:5" ht="15.95" customHeight="1">
      <c r="B46" s="40" t="s">
        <v>3162</v>
      </c>
      <c r="C46" s="49">
        <f>VLOOKUP(B46,'Country Summary (€)'!B:J,9,0)</f>
        <v>3.6642527324201112E-2</v>
      </c>
      <c r="D46" s="49">
        <f>VLOOKUP(B46,'Country Summary (€)'!B:O,14,0)</f>
        <v>0</v>
      </c>
      <c r="E46" s="49">
        <f>VLOOKUP(B46,'Country Summary (€)'!B:Q,16,0)</f>
        <v>3.6642527324201112E-2</v>
      </c>
    </row>
    <row r="47" spans="2:5" ht="15.95" customHeight="1">
      <c r="B47" s="40" t="s">
        <v>359</v>
      </c>
      <c r="C47" s="49">
        <f>VLOOKUP(B47,'Country Summary (€)'!B:J,9,0)</f>
        <v>2.9670869414501082E-2</v>
      </c>
      <c r="D47" s="49">
        <f>VLOOKUP(B47,'Country Summary (€)'!B:O,14,0)</f>
        <v>0</v>
      </c>
      <c r="E47" s="49">
        <f>VLOOKUP(B47,'Country Summary (€)'!B:Q,16,0)</f>
        <v>2.9670869414501082E-2</v>
      </c>
    </row>
    <row r="48" spans="2:5" ht="15.95" customHeight="1">
      <c r="B48" s="40" t="s">
        <v>2832</v>
      </c>
      <c r="C48" s="49">
        <f>VLOOKUP(B48,'Country Summary (€)'!B:J,9,0)</f>
        <v>1.0959428014457219E-2</v>
      </c>
      <c r="D48" s="49">
        <f>VLOOKUP(B48,'Country Summary (€)'!B:O,14,0)</f>
        <v>0</v>
      </c>
      <c r="E48" s="49">
        <f>VLOOKUP(B48,'Country Summary (€)'!B:Q,16,0)</f>
        <v>1.0959428014457219E-2</v>
      </c>
    </row>
    <row r="49" spans="2:16" ht="15.95" customHeight="1">
      <c r="B49" s="40" t="s">
        <v>3713</v>
      </c>
      <c r="C49" s="49">
        <f>VLOOKUP(B49,'Country Summary (€)'!B:J,9,0)</f>
        <v>8.8387096774193569E-3</v>
      </c>
      <c r="D49" s="49">
        <f>VLOOKUP(B49,'Country Summary (€)'!B:O,14,0)</f>
        <v>0</v>
      </c>
      <c r="E49" s="49">
        <f>VLOOKUP(B49,'Country Summary (€)'!B:Q,16,0)</f>
        <v>8.8387096774193569E-3</v>
      </c>
    </row>
    <row r="50" spans="2:16" ht="15.95" customHeight="1">
      <c r="B50" s="40" t="s">
        <v>3685</v>
      </c>
      <c r="C50" s="49">
        <f>VLOOKUP(B50,'Country Summary (€)'!B:J,9,0)</f>
        <v>8.8037343819696631E-3</v>
      </c>
      <c r="D50" s="49">
        <f>VLOOKUP(B50,'Country Summary (€)'!B:O,14,0)</f>
        <v>0</v>
      </c>
      <c r="E50" s="49">
        <f>VLOOKUP(B50,'Country Summary (€)'!B:Q,16,0)</f>
        <v>8.8037343819696631E-3</v>
      </c>
    </row>
    <row r="51" spans="2:16" ht="15.95" customHeight="1">
      <c r="B51" s="40" t="s">
        <v>2076</v>
      </c>
      <c r="C51" s="49">
        <f>VLOOKUP(B51,'Country Summary (€)'!B:J,9,0)</f>
        <v>6.1305702393715236E-5</v>
      </c>
      <c r="D51" s="52">
        <f>VLOOKUP(B51,'Country Summary (€)'!B:O,14,0)</f>
        <v>0</v>
      </c>
      <c r="E51" s="52">
        <f>VLOOKUP(B51,'Country Summary (€)'!B:Q,16,0)</f>
        <v>6.1305702393715236E-5</v>
      </c>
      <c r="F51" s="50"/>
      <c r="G51" s="50"/>
      <c r="H51" s="50"/>
      <c r="I51" s="50"/>
      <c r="J51" s="50"/>
      <c r="K51" s="50"/>
      <c r="L51" s="50"/>
      <c r="M51" s="50"/>
      <c r="N51" s="50"/>
      <c r="O51" s="50"/>
    </row>
    <row r="52" spans="2:16" ht="15.95" customHeight="1">
      <c r="B52" s="46" t="s">
        <v>905</v>
      </c>
      <c r="C52" s="51">
        <f>VLOOKUP(B52,'Country Summary (€)'!B:J,9,0)</f>
        <v>1.3329312542224588E-5</v>
      </c>
      <c r="D52" s="53">
        <f>VLOOKUP(B52,'Country Summary (€)'!B:O,14,0)</f>
        <v>0</v>
      </c>
      <c r="E52" s="53">
        <f>VLOOKUP(B52,'Country Summary (€)'!B:Q,16,0)</f>
        <v>1.3329312542224588E-5</v>
      </c>
      <c r="F52" s="50"/>
      <c r="G52" s="50"/>
      <c r="H52" s="50"/>
      <c r="I52" s="50"/>
      <c r="J52" s="1458"/>
      <c r="K52" s="1458"/>
      <c r="L52" s="1458"/>
      <c r="M52" s="1458"/>
      <c r="N52" s="1458"/>
      <c r="O52" s="1458"/>
      <c r="P52" s="1458"/>
    </row>
    <row r="53" spans="2:16" ht="15.95" customHeight="1">
      <c r="F53" s="50"/>
      <c r="G53" s="50"/>
      <c r="H53" s="50"/>
      <c r="I53" s="50"/>
      <c r="J53" s="1458"/>
      <c r="K53" s="1458"/>
      <c r="L53" s="1458"/>
      <c r="M53" s="1458"/>
      <c r="N53" s="1458"/>
      <c r="O53" s="1458"/>
      <c r="P53" s="1458"/>
    </row>
    <row r="54" spans="2:16" ht="15.95" customHeight="1">
      <c r="F54" s="50"/>
      <c r="G54" s="50"/>
      <c r="H54" s="50"/>
      <c r="I54" s="50"/>
      <c r="J54" s="1458"/>
      <c r="K54" s="1458"/>
      <c r="L54" s="1458"/>
      <c r="M54" s="1458"/>
      <c r="N54" s="1458"/>
      <c r="O54" s="1458"/>
      <c r="P54" s="1458"/>
    </row>
    <row r="55" spans="2:16" ht="15.95" customHeight="1">
      <c r="C55" s="52"/>
      <c r="D55" s="52"/>
      <c r="E55" s="52"/>
      <c r="F55" s="50"/>
      <c r="G55" s="50"/>
      <c r="H55" s="50"/>
      <c r="I55" s="50"/>
      <c r="J55" s="1458"/>
      <c r="K55" s="1458"/>
      <c r="L55" s="1458"/>
      <c r="M55" s="1458"/>
      <c r="N55" s="1458"/>
      <c r="O55" s="1458"/>
      <c r="P55" s="1458"/>
    </row>
    <row r="56" spans="2:16" ht="15.95" customHeight="1">
      <c r="F56" s="50"/>
      <c r="G56" s="50"/>
      <c r="H56" s="50"/>
      <c r="I56" s="50"/>
      <c r="J56" s="1458"/>
      <c r="K56" s="1458"/>
      <c r="L56" s="1458"/>
      <c r="M56" s="1458"/>
      <c r="N56" s="1458"/>
      <c r="O56" s="1458"/>
      <c r="P56" s="1458"/>
    </row>
    <row r="57" spans="2:16" ht="15.95" customHeight="1">
      <c r="F57" s="50"/>
      <c r="G57" s="50"/>
      <c r="H57" s="50"/>
      <c r="I57" s="50"/>
      <c r="J57" s="1458"/>
      <c r="K57" s="1458"/>
      <c r="L57" s="1458"/>
      <c r="M57" s="1458"/>
      <c r="N57" s="1458"/>
      <c r="O57" s="1458"/>
      <c r="P57" s="1458"/>
    </row>
    <row r="58" spans="2:16" ht="15.95" customHeight="1">
      <c r="F58" s="50"/>
      <c r="G58" s="50"/>
      <c r="H58" s="50"/>
      <c r="I58" s="50"/>
      <c r="J58" s="50"/>
      <c r="K58" s="50"/>
      <c r="L58" s="50"/>
      <c r="M58" s="50"/>
      <c r="N58" s="50"/>
      <c r="O58" s="50"/>
    </row>
    <row r="59" spans="2:16" ht="15.95" customHeight="1">
      <c r="F59" s="50"/>
      <c r="G59" s="50"/>
      <c r="H59" s="50"/>
      <c r="I59" s="50"/>
      <c r="J59" s="50"/>
      <c r="K59" s="50"/>
      <c r="L59" s="50"/>
      <c r="M59" s="50"/>
      <c r="N59" s="50"/>
      <c r="O59" s="50"/>
    </row>
  </sheetData>
  <sortState xmlns:xlrd2="http://schemas.microsoft.com/office/spreadsheetml/2017/richdata2" ref="B12:E52">
    <sortCondition descending="1" ref="E12"/>
  </sortState>
  <mergeCells count="2">
    <mergeCell ref="J52:P57"/>
    <mergeCell ref="B4:D9"/>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9E1F2"/>
  </sheetPr>
  <dimension ref="A1:V44"/>
  <sheetViews>
    <sheetView showGridLines="0" zoomScaleNormal="100" workbookViewId="0"/>
  </sheetViews>
  <sheetFormatPr defaultColWidth="11.5" defaultRowHeight="15.95" customHeight="1"/>
  <cols>
    <col min="1" max="1" width="8.625" style="2" customWidth="1"/>
    <col min="2" max="2" width="36.625" style="503" customWidth="1"/>
    <col min="3" max="3" width="26.375" style="546" customWidth="1"/>
    <col min="4" max="4" width="47.5" style="503" customWidth="1"/>
    <col min="5" max="5" width="39.375" style="503" customWidth="1"/>
    <col min="6" max="6" width="38.625" style="503" customWidth="1"/>
    <col min="7" max="7" width="31.875" style="503" customWidth="1"/>
    <col min="8" max="8" width="49.125" style="503" customWidth="1"/>
    <col min="9" max="13" width="13.625" style="503" customWidth="1"/>
    <col min="14" max="14" width="66.5" style="503" bestFit="1" customWidth="1"/>
    <col min="15" max="15" width="44.5" style="503" bestFit="1" customWidth="1"/>
    <col min="16" max="18" width="42" style="503" bestFit="1" customWidth="1"/>
    <col min="19" max="19" width="11.5" style="503" customWidth="1"/>
    <col min="20" max="16384" width="11.5" style="503"/>
  </cols>
  <sheetData>
    <row r="1" spans="1:22" ht="15.95" customHeight="1">
      <c r="A1" s="503"/>
    </row>
    <row r="2" spans="1:22" s="554" customFormat="1" ht="24.75" customHeight="1">
      <c r="A2" s="551"/>
      <c r="B2" s="552" t="s">
        <v>4802</v>
      </c>
      <c r="C2" s="553"/>
    </row>
    <row r="3" spans="1:22" s="505" customFormat="1" ht="15.95" customHeight="1">
      <c r="A3" s="503"/>
      <c r="B3" s="506"/>
      <c r="C3" s="547"/>
      <c r="D3" s="507"/>
      <c r="E3" s="507"/>
      <c r="F3" s="507"/>
      <c r="G3" s="507"/>
      <c r="H3" s="507"/>
      <c r="I3" s="507"/>
      <c r="J3" s="507"/>
      <c r="K3" s="507"/>
      <c r="L3" s="507"/>
      <c r="M3" s="507"/>
    </row>
    <row r="4" spans="1:22" s="515" customFormat="1" ht="15.95" customHeight="1">
      <c r="A4" s="503"/>
      <c r="B4" s="1433" t="s">
        <v>4803</v>
      </c>
      <c r="C4" s="1433"/>
      <c r="D4" s="1433"/>
      <c r="E4" s="392"/>
      <c r="F4" s="392"/>
      <c r="G4" s="392"/>
      <c r="H4" s="392"/>
      <c r="I4" s="392"/>
      <c r="J4" s="392"/>
      <c r="K4" s="392"/>
      <c r="L4" s="392"/>
      <c r="M4" s="392"/>
      <c r="N4" s="392"/>
      <c r="P4" s="520"/>
    </row>
    <row r="5" spans="1:22" s="515" customFormat="1" ht="15.95" customHeight="1">
      <c r="A5" s="503"/>
      <c r="B5" s="1433"/>
      <c r="C5" s="1433"/>
      <c r="D5" s="1433"/>
      <c r="E5" s="392"/>
      <c r="F5" s="392"/>
      <c r="G5" s="392"/>
      <c r="H5" s="392"/>
      <c r="I5" s="392"/>
      <c r="J5" s="392"/>
      <c r="K5" s="392"/>
      <c r="L5" s="392"/>
      <c r="M5" s="392"/>
      <c r="N5" s="392"/>
      <c r="P5" s="520"/>
    </row>
    <row r="6" spans="1:22" s="515" customFormat="1" ht="15.95" customHeight="1">
      <c r="A6" s="503"/>
      <c r="B6" s="1433"/>
      <c r="C6" s="1433"/>
      <c r="D6" s="1433"/>
      <c r="E6" s="392"/>
      <c r="F6" s="392"/>
      <c r="G6" s="392"/>
      <c r="H6" s="392"/>
      <c r="I6" s="392"/>
      <c r="J6" s="392"/>
      <c r="K6" s="392"/>
      <c r="L6" s="392"/>
      <c r="M6" s="392"/>
      <c r="N6" s="392"/>
      <c r="P6" s="520"/>
    </row>
    <row r="7" spans="1:22" s="515" customFormat="1" ht="15.95" customHeight="1">
      <c r="A7" s="503"/>
      <c r="B7" s="1433"/>
      <c r="C7" s="1433"/>
      <c r="D7" s="1433"/>
      <c r="E7" s="392"/>
      <c r="F7" s="392"/>
      <c r="G7" s="392"/>
      <c r="H7" s="392"/>
      <c r="I7" s="392"/>
      <c r="J7" s="392"/>
      <c r="K7" s="392"/>
      <c r="L7" s="392"/>
      <c r="M7" s="392"/>
      <c r="N7" s="392"/>
      <c r="P7" s="520"/>
    </row>
    <row r="8" spans="1:22" s="515" customFormat="1" ht="15.95" customHeight="1">
      <c r="A8" s="503"/>
      <c r="B8" s="1433"/>
      <c r="C8" s="1433"/>
      <c r="D8" s="1433"/>
      <c r="E8" s="392"/>
      <c r="F8" s="392"/>
      <c r="G8" s="392"/>
      <c r="H8" s="392"/>
      <c r="I8" s="392"/>
      <c r="J8" s="392"/>
      <c r="K8" s="392"/>
      <c r="L8" s="392"/>
      <c r="M8" s="392"/>
      <c r="N8" s="392"/>
      <c r="P8" s="520"/>
    </row>
    <row r="9" spans="1:22" s="515" customFormat="1" ht="15.95" customHeight="1">
      <c r="A9" s="503"/>
      <c r="B9" s="1433"/>
      <c r="C9" s="1433"/>
      <c r="D9" s="1433"/>
      <c r="E9" s="392"/>
      <c r="F9" s="392"/>
      <c r="G9" s="392"/>
      <c r="H9" s="392"/>
      <c r="I9" s="392"/>
      <c r="J9" s="392"/>
      <c r="K9" s="392"/>
      <c r="L9" s="392"/>
      <c r="M9" s="392"/>
      <c r="N9" s="392"/>
      <c r="P9" s="520"/>
    </row>
    <row r="11" spans="1:22" s="512" customFormat="1" ht="24.75" customHeight="1">
      <c r="A11" s="371"/>
      <c r="B11" s="508" t="s">
        <v>4599</v>
      </c>
      <c r="C11" s="509" t="s">
        <v>4804</v>
      </c>
      <c r="D11" s="509" t="s">
        <v>4805</v>
      </c>
      <c r="E11" s="509" t="s">
        <v>4806</v>
      </c>
      <c r="F11" s="509" t="s">
        <v>4807</v>
      </c>
      <c r="G11" s="509" t="s">
        <v>4808</v>
      </c>
      <c r="H11" s="509" t="s">
        <v>4809</v>
      </c>
      <c r="I11" s="551"/>
      <c r="J11" s="511" t="s">
        <v>4810</v>
      </c>
      <c r="M11" s="513"/>
      <c r="N11" s="513"/>
      <c r="O11" s="513"/>
      <c r="P11" s="513"/>
      <c r="Q11" s="513"/>
      <c r="R11" s="513"/>
      <c r="S11" s="513"/>
      <c r="T11" s="513"/>
      <c r="U11" s="513"/>
      <c r="V11" s="513"/>
    </row>
    <row r="12" spans="1:22" ht="15.95" customHeight="1">
      <c r="B12" s="37" t="s">
        <v>4605</v>
      </c>
      <c r="C12" s="548">
        <f>SUM('Comm per Month (Mil in-kind)'!F55)</f>
        <v>0.5692665520955551</v>
      </c>
      <c r="D12" s="514">
        <f>SUMIFS('Comm per Month (Mil in-kind)'!$F:$F,'Comm per Month (Mil in-kind)'!$D:$D,1)</f>
        <v>0.11036347556094898</v>
      </c>
      <c r="E12" s="514">
        <f>SUMIFS('Comm per Month (Mil in-kind)'!$F:$F,'Comm per Month (Mil in-kind)'!$C:$C,1)</f>
        <v>0.4589030765346061</v>
      </c>
      <c r="F12" s="514">
        <f>SUMIFS('Comm per Month (Mil in-kind)'!$F:$F,'Comm per Month (Mil in-kind)'!$C:$C,0, 'Comm per Month (Mil in-kind)'!$D:$D,0 )</f>
        <v>0</v>
      </c>
      <c r="G12" s="514">
        <f>SUMIFS('Comm per Month (Mil in-kind)'!$F:$F,'Comm per Month (Mil in-kind)'!$B:$B,"United States")</f>
        <v>0</v>
      </c>
      <c r="H12" s="514">
        <f t="shared" ref="H12:H27" si="0">D12-G12</f>
        <v>0.11036347556094898</v>
      </c>
      <c r="I12" s="514"/>
    </row>
    <row r="13" spans="1:22" ht="15.95" customHeight="1">
      <c r="B13" s="37" t="s">
        <v>4606</v>
      </c>
      <c r="C13" s="548">
        <f>SUM('Comm per Month (Mil in-kind)'!G55)</f>
        <v>9.2420628677037424</v>
      </c>
      <c r="D13" s="514">
        <f>SUMIFS('Comm per Month (Mil in-kind)'!$G:$G,'Comm per Month (Mil in-kind)'!$D:$D,1)</f>
        <v>9.0028649985882581</v>
      </c>
      <c r="E13" s="514">
        <f>SUMIFS('Comm per Month (Mil in-kind)'!$G:$G,'Comm per Month (Mil in-kind)'!$C:$C,1)</f>
        <v>0.16261184955694225</v>
      </c>
      <c r="F13" s="514">
        <f>SUMIFS('Comm per Month (Mil in-kind)'!$G:$G,'Comm per Month (Mil in-kind)'!$C:$C,0, 'Comm per Month (Mil in-kind)'!$D:$D,0 )</f>
        <v>7.6586019558542731E-2</v>
      </c>
      <c r="G13" s="514">
        <f>SUMIFS('Comm per Month (Mil in-kind)'!$G:$G,'Comm per Month (Mil in-kind)'!$B:$B,"United States")</f>
        <v>8.3041958041958051</v>
      </c>
      <c r="H13" s="514">
        <f t="shared" si="0"/>
        <v>0.69866919439245301</v>
      </c>
      <c r="I13" s="514"/>
      <c r="J13" s="516"/>
      <c r="K13" s="516"/>
      <c r="L13" s="516"/>
      <c r="M13" s="516"/>
      <c r="N13" s="516"/>
    </row>
    <row r="14" spans="1:22" ht="15.95" customHeight="1">
      <c r="B14" s="37" t="s">
        <v>4607</v>
      </c>
      <c r="C14" s="548">
        <f>SUM('Comm per Month (Mil in-kind)'!H55)</f>
        <v>10.853635414087664</v>
      </c>
      <c r="D14" s="514">
        <f>SUMIFS('Comm per Month (Mil in-kind)'!$H:$H,'Comm per Month (Mil in-kind)'!$D:$D,1)</f>
        <v>7.7530925931241867</v>
      </c>
      <c r="E14" s="514">
        <f>SUMIFS('Comm per Month (Mil in-kind)'!$H:$H,'Comm per Month (Mil in-kind)'!$C:$C,1)</f>
        <v>3.0340366401416943</v>
      </c>
      <c r="F14" s="514">
        <f>SUMIFS('Comm per Month (Mil in-kind)'!$H:$H,'Comm per Month (Mil in-kind)'!$C:$C,0, 'Comm per Month (Mil in-kind)'!$D:$D,0 )</f>
        <v>6.6506180821782571E-2</v>
      </c>
      <c r="G14" s="514">
        <f>SUMIFS('Comm per Month (Mil in-kind)'!$H:$H,'Comm per Month (Mil in-kind)'!$B:$B,"United States")</f>
        <v>7.22027972027972</v>
      </c>
      <c r="H14" s="514">
        <f t="shared" si="0"/>
        <v>0.53281287284446677</v>
      </c>
      <c r="I14" s="514"/>
      <c r="L14" s="30"/>
    </row>
    <row r="15" spans="1:22" ht="15.95" customHeight="1">
      <c r="B15" s="37" t="s">
        <v>4608</v>
      </c>
      <c r="C15" s="548">
        <f>SUM('Comm per Month (Mil in-kind)'!I55)</f>
        <v>2.1779986122087514</v>
      </c>
      <c r="D15" s="514">
        <f>SUMIFS('Comm per Month (Mil in-kind)'!$I:$I,'Comm per Month (Mil in-kind)'!$D:$D,1)</f>
        <v>1.5276982213168702</v>
      </c>
      <c r="E15" s="514">
        <f>SUMIFS('Comm per Month (Mil in-kind)'!$I:$I,'Comm per Month (Mil in-kind)'!$C:$C,1)</f>
        <v>0.61195781330229659</v>
      </c>
      <c r="F15" s="514">
        <f>SUMIFS('Comm per Month (Mil in-kind)'!$I:$I,'Comm per Month (Mil in-kind)'!$C:$C,0, 'Comm per Month (Mil in-kind)'!$D:$D,0 )</f>
        <v>3.8342577589584745E-2</v>
      </c>
      <c r="G15" s="514">
        <f>SUMIFS('Comm per Month (Mil in-kind)'!$I:$I,'Comm per Month (Mil in-kind)'!$B:$B,"United States")</f>
        <v>0</v>
      </c>
      <c r="H15" s="514">
        <f t="shared" si="0"/>
        <v>1.5276982213168702</v>
      </c>
      <c r="I15" s="514"/>
      <c r="L15" s="30"/>
    </row>
    <row r="16" spans="1:22" ht="15.95" customHeight="1">
      <c r="B16" s="37" t="s">
        <v>4609</v>
      </c>
      <c r="C16" s="548">
        <f>SUM('Comm per Month (Mil in-kind)'!J55)</f>
        <v>3.7753693305150859</v>
      </c>
      <c r="D16" s="514">
        <f>SUMIFS('Comm per Month (Mil in-kind)'!$J:$J,'Comm per Month (Mil in-kind)'!$D:$D,1)</f>
        <v>1.3048860790139969</v>
      </c>
      <c r="E16" s="514">
        <f>SUMIFS('Comm per Month (Mil in-kind)'!$J:$J,'Comm per Month (Mil in-kind)'!$C:$C,1)</f>
        <v>2.4704832515010895</v>
      </c>
      <c r="F16" s="514">
        <f>SUMIFS('Comm per Month (Mil in-kind)'!$J:$J,'Comm per Month (Mil in-kind)'!$C:$C,0, 'Comm per Month (Mil in-kind)'!$D:$D,0 )</f>
        <v>0</v>
      </c>
      <c r="G16" s="514">
        <f>SUMIFS('Comm per Month (Mil in-kind)'!$J:$J,'Comm per Month (Mil in-kind)'!$B:$B,"United States")</f>
        <v>0</v>
      </c>
      <c r="H16" s="514">
        <f t="shared" si="0"/>
        <v>1.3048860790139969</v>
      </c>
      <c r="I16" s="514"/>
      <c r="L16" s="30"/>
    </row>
    <row r="17" spans="2:9" ht="15.95" customHeight="1">
      <c r="B17" s="37" t="s">
        <v>4610</v>
      </c>
      <c r="C17" s="548">
        <f>SUM('Comm per Month (Mil in-kind)'!K55)</f>
        <v>0.16595879197852414</v>
      </c>
      <c r="D17" s="514">
        <f>SUMIFS('Comm per Month (Mil in-kind)'!$K:$K,'Comm per Month (Mil in-kind)'!$D:$D,1)</f>
        <v>0</v>
      </c>
      <c r="E17" s="514">
        <f>SUMIFS('Comm per Month (Mil in-kind)'!$K:$K,'Comm per Month (Mil in-kind)'!$C:$C,1)</f>
        <v>0.11732304011262422</v>
      </c>
      <c r="F17" s="514">
        <f>SUMIFS('Comm per Month (Mil in-kind)'!$K:$K,'Comm per Month (Mil in-kind)'!$C:$C,0, 'Comm per Month (Mil in-kind)'!$D:$D,0 )</f>
        <v>4.8635751865899912E-2</v>
      </c>
      <c r="G17" s="514">
        <f>SUMIFS('Comm per Month (Mil in-kind)'!$K:$K,'Comm per Month (Mil in-kind)'!$B:$B,"United States")</f>
        <v>0</v>
      </c>
      <c r="H17" s="514">
        <f t="shared" si="0"/>
        <v>0</v>
      </c>
      <c r="I17" s="514"/>
    </row>
    <row r="18" spans="2:9" ht="15.95" customHeight="1">
      <c r="B18" s="37" t="s">
        <v>4611</v>
      </c>
      <c r="C18" s="548">
        <f>SUM('Comm per Month (Mil in-kind)'!L55)</f>
        <v>0.7404953847284157</v>
      </c>
      <c r="D18" s="514">
        <f>SUMIFS('Comm per Month (Mil in-kind)'!$L:$L,'Comm per Month (Mil in-kind)'!$D:$D,1)</f>
        <v>0.14611276697840908</v>
      </c>
      <c r="E18" s="514">
        <f>SUMIFS('Comm per Month (Mil in-kind)'!$L:$L,'Comm per Month (Mil in-kind)'!$C:$C,1)</f>
        <v>0.59431636821007272</v>
      </c>
      <c r="F18" s="514">
        <f>SUMIFS('Comm per Month (Mil in-kind)'!$L:$L,'Comm per Month (Mil in-kind)'!$C:$C,0, 'Comm per Month (Mil in-kind)'!$D:$D,0 )</f>
        <v>6.6249539933750469E-5</v>
      </c>
      <c r="G18" s="514">
        <f>SUMIFS('Comm per Month (Mil in-kind)'!$L:$L,'Comm per Month (Mil in-kind)'!$B:$B,"United States")</f>
        <v>0</v>
      </c>
      <c r="H18" s="514">
        <f t="shared" si="0"/>
        <v>0.14611276697840908</v>
      </c>
      <c r="I18" s="514"/>
    </row>
    <row r="19" spans="2:9" ht="15.95" customHeight="1">
      <c r="B19" s="37" t="s">
        <v>4612</v>
      </c>
      <c r="C19" s="548">
        <f>SUM('Comm per Month (Mil in-kind)'!M55)</f>
        <v>6.4143167292184167</v>
      </c>
      <c r="D19" s="514">
        <f>SUMIFS('Comm per Month (Mil in-kind)'!$M:$M,'Comm per Month (Mil in-kind)'!$D:$D,1)</f>
        <v>6.1648877438351128</v>
      </c>
      <c r="E19" s="514">
        <f>SUMIFS('Comm per Month (Mil in-kind)'!$M:$M,'Comm per Month (Mil in-kind)'!$C:$C,1)</f>
        <v>0.24942898538330396</v>
      </c>
      <c r="F19" s="514">
        <f>SUMIFS('Comm per Month (Mil in-kind)'!$M:$M,'Comm per Month (Mil in-kind)'!$C:$C,0, 'Comm per Month (Mil in-kind)'!$D:$D,0 )</f>
        <v>0</v>
      </c>
      <c r="G19" s="514">
        <f>SUMIFS('Comm per Month (Mil in-kind)'!$M:$M,'Comm per Month (Mil in-kind)'!$B:$B,"United States")</f>
        <v>6.1648877438351128</v>
      </c>
      <c r="H19" s="514">
        <f t="shared" si="0"/>
        <v>0</v>
      </c>
      <c r="I19" s="514"/>
    </row>
    <row r="20" spans="2:9" ht="15.95" customHeight="1">
      <c r="B20" s="37" t="s">
        <v>4613</v>
      </c>
      <c r="C20" s="548">
        <f>SUM('Comm per Month (Mil in-kind)'!N55)</f>
        <v>1.0037914517488387</v>
      </c>
      <c r="D20" s="514">
        <f>SUMIFS('Comm per Month (Mil in-kind)'!$N:$N,'Comm per Month (Mil in-kind)'!$D:$D,1)</f>
        <v>0.33407238068565837</v>
      </c>
      <c r="E20" s="514">
        <f>SUMIFS('Comm per Month (Mil in-kind)'!$N:$N,'Comm per Month (Mil in-kind)'!$C:$C,1)</f>
        <v>0.55592976481088607</v>
      </c>
      <c r="F20" s="514">
        <f>SUMIFS('Comm per Month (Mil in-kind)'!$N:$N,'Comm per Month (Mil in-kind)'!$C:$C,0, 'Comm per Month (Mil in-kind)'!$D:$D,0 )</f>
        <v>0.11378930625229414</v>
      </c>
      <c r="G20" s="514">
        <f>SUMIFS('Comm per Month (Mil in-kind)'!$N:$N,'Comm per Month (Mil in-kind)'!$B:$B,"United States")</f>
        <v>0</v>
      </c>
      <c r="H20" s="514">
        <f t="shared" si="0"/>
        <v>0.33407238068565837</v>
      </c>
      <c r="I20" s="514"/>
    </row>
    <row r="21" spans="2:9" ht="15.95" customHeight="1">
      <c r="B21" s="37" t="s">
        <v>4614</v>
      </c>
      <c r="C21" s="548">
        <f>SUM('Comm per Month (Mil in-kind)'!O55)</f>
        <v>1.011617606498199</v>
      </c>
      <c r="D21" s="514">
        <f>SUMIFS('Comm per Month (Mil in-kind)'!$O:$O,'Comm per Month (Mil in-kind)'!$D:$D,1)</f>
        <v>0.45001090669816202</v>
      </c>
      <c r="E21" s="514">
        <f>SUMIFS('Comm per Month (Mil in-kind)'!$O:$O,'Comm per Month (Mil in-kind)'!$C:$C,1)</f>
        <v>0.56054840794030358</v>
      </c>
      <c r="F21" s="514">
        <f>SUMIFS('Comm per Month (Mil in-kind)'!$O:$O,'Comm per Month (Mil in-kind)'!$C:$C,0, 'Comm per Month (Mil in-kind)'!$D:$D,0 )</f>
        <v>1.0582918597334249E-3</v>
      </c>
      <c r="G21" s="514">
        <f>SUMIFS('Comm per Month (Mil in-kind)'!$O:$O,'Comm per Month (Mil in-kind)'!$B:$B,"United States")</f>
        <v>0</v>
      </c>
      <c r="H21" s="514">
        <f t="shared" si="0"/>
        <v>0.45001090669816202</v>
      </c>
      <c r="I21" s="514"/>
    </row>
    <row r="22" spans="2:9" ht="15.95" customHeight="1">
      <c r="B22" s="37" t="s">
        <v>4615</v>
      </c>
      <c r="C22" s="548">
        <f>SUM('Comm per Month (Mil in-kind)'!P55)</f>
        <v>23.387003598379323</v>
      </c>
      <c r="D22" s="514">
        <f>SUMIFS('Comm per Month (Mil in-kind)'!$P:$P,'Comm per Month (Mil in-kind)'!$D:$D,1)</f>
        <v>21.148059274935587</v>
      </c>
      <c r="E22" s="514">
        <f>SUMIFS('Comm per Month (Mil in-kind)'!$P:$P,'Comm per Month (Mil in-kind)'!$C:$C,1)</f>
        <v>2.2389443234437341</v>
      </c>
      <c r="F22" s="514">
        <f>SUMIFS('Comm per Month (Mil in-kind)'!$P:$P,'Comm per Month (Mil in-kind)'!$C:$C,0, 'Comm per Month (Mil in-kind)'!$D:$D,0 )</f>
        <v>0</v>
      </c>
      <c r="G22" s="514">
        <f>SUMIFS('Comm per Month (Mil in-kind)'!$P:$P,'Comm per Month (Mil in-kind)'!$B:$B,"United States")</f>
        <v>21.147405226352593</v>
      </c>
      <c r="H22" s="514">
        <f t="shared" si="0"/>
        <v>6.5404858299444868E-4</v>
      </c>
      <c r="I22" s="514"/>
    </row>
    <row r="23" spans="2:9" ht="15.95" customHeight="1">
      <c r="B23" s="37" t="s">
        <v>4616</v>
      </c>
      <c r="C23" s="548">
        <f>SUM('Comm per Month (Mil in-kind)'!Q55)</f>
        <v>6.3790172033181456</v>
      </c>
      <c r="D23" s="514">
        <f>SUMIFS('Comm per Month (Mil in-kind)'!$Q:$Q,'Comm per Month (Mil in-kind)'!$D:$D,1)</f>
        <v>2.7129729090057899</v>
      </c>
      <c r="E23" s="514">
        <f>SUMIFS('Comm per Month (Mil in-kind)'!$Q:$Q,'Comm per Month (Mil in-kind)'!$C:$C,1)</f>
        <v>3.6660442943123557</v>
      </c>
      <c r="F23" s="514">
        <f>SUMIFS('Comm per Month (Mil in-kind)'!$Q:$Q,'Comm per Month (Mil in-kind)'!$C:$C,0, 'Comm per Month (Mil in-kind)'!$D:$D,0 )</f>
        <v>0</v>
      </c>
      <c r="G23" s="514">
        <f>SUMIFS('Comm per Month (Mil in-kind)'!$Q:$Q,'Comm per Month (Mil in-kind)'!$B:$B,"United States")</f>
        <v>0</v>
      </c>
      <c r="H23" s="514">
        <f t="shared" si="0"/>
        <v>2.7129729090057899</v>
      </c>
      <c r="I23" s="514"/>
    </row>
    <row r="24" spans="2:9" ht="15.95" customHeight="1">
      <c r="B24" s="37" t="s">
        <v>4617</v>
      </c>
      <c r="C24" s="548">
        <f>SUM('Comm per Month (Mil in-kind)'!R55)</f>
        <v>0.98059490744554256</v>
      </c>
      <c r="D24" s="514">
        <f>SUMIFS('Comm per Month (Mil in-kind)'!$R:$R,'Comm per Month (Mil in-kind)'!$D:$D,1)</f>
        <v>0.69128513154647031</v>
      </c>
      <c r="E24" s="514">
        <f>SUMIFS('Comm per Month (Mil in-kind)'!$R:$R,'Comm per Month (Mil in-kind)'!$C:$C,1)</f>
        <v>0.26912135059624587</v>
      </c>
      <c r="F24" s="514">
        <f>SUMIFS('Comm per Month (Mil in-kind)'!$R:$R,'Comm per Month (Mil in-kind)'!$C:$C,0, 'Comm per Month (Mil in-kind)'!$D:$D,0 )</f>
        <v>2.0188425302826378E-2</v>
      </c>
      <c r="G24" s="514">
        <f>SUMIFS('Comm per Month (Mil in-kind)'!$R:$R,'Comm per Month (Mil in-kind)'!$B:$B,"United States")</f>
        <v>0</v>
      </c>
      <c r="H24" s="514">
        <f t="shared" si="0"/>
        <v>0.69128513154647031</v>
      </c>
      <c r="I24" s="514"/>
    </row>
    <row r="25" spans="2:9" ht="15.95" customHeight="1">
      <c r="B25" s="37" t="s">
        <v>4618</v>
      </c>
      <c r="C25" s="548">
        <f>SUM('Comm per Month (Mil in-kind)'!S55)</f>
        <v>0.71255085307912314</v>
      </c>
      <c r="D25" s="514">
        <f>SUMIFS('Comm per Month (Mil in-kind)'!$S:$S,'Comm per Month (Mil in-kind)'!$D:$D,1)</f>
        <v>5.0323023450856652E-2</v>
      </c>
      <c r="E25" s="514">
        <f>SUMIFS('Comm per Month (Mil in-kind)'!$S:$S,'Comm per Month (Mil in-kind)'!$C:$C,1)</f>
        <v>0.63462385465587046</v>
      </c>
      <c r="F25" s="514">
        <f>SUMIFS('Comm per Month (Mil in-kind)'!$S:$S,'Comm per Month (Mil in-kind)'!$C:$C,0, 'Comm per Month (Mil in-kind)'!$D:$D,0 )</f>
        <v>2.7603974972396025E-2</v>
      </c>
      <c r="G25" s="514">
        <f>SUMIFS('Comm per Month (Mil in-kind)'!$S:$S,'Comm per Month (Mil in-kind)'!$B:$B,"United States")</f>
        <v>0</v>
      </c>
      <c r="H25" s="514">
        <f t="shared" si="0"/>
        <v>5.0323023450856652E-2</v>
      </c>
      <c r="I25" s="514"/>
    </row>
    <row r="26" spans="2:9" ht="15.95" customHeight="1">
      <c r="B26" s="37" t="s">
        <v>4619</v>
      </c>
      <c r="C26" s="548">
        <f>SUM('Comm per Month (Mil in-kind)'!T55)</f>
        <v>3.8108259581881381</v>
      </c>
      <c r="D26" s="514">
        <f>SUMIFS('Comm per Month (Mil in-kind)'!$T:$T,'Comm per Month (Mil in-kind)'!$D:$D,1)</f>
        <v>6.6793763191938457E-2</v>
      </c>
      <c r="E26" s="514">
        <f>SUMIFS('Comm per Month (Mil in-kind)'!$T:$T,'Comm per Month (Mil in-kind)'!$C:$C,1)</f>
        <v>3.7440321949961994</v>
      </c>
      <c r="F26" s="514">
        <f>SUMIFS('Comm per Month (Mil in-kind)'!$S:$S,'Comm per Month (Mil in-kind)'!$C:$C,0, 'Comm per Month (Mil in-kind)'!$D:$D,0 )</f>
        <v>2.7603974972396025E-2</v>
      </c>
      <c r="G26" s="514">
        <f>SUMIFS('Comm per Month (Mil in-kind)'!$T:$T,'Comm per Month (Mil in-kind)'!$B:$B,"United States")</f>
        <v>0</v>
      </c>
      <c r="H26" s="514">
        <f t="shared" si="0"/>
        <v>6.6793763191938457E-2</v>
      </c>
      <c r="I26" s="514"/>
    </row>
    <row r="27" spans="2:9" ht="15.95" customHeight="1">
      <c r="B27" s="37" t="s">
        <v>4620</v>
      </c>
      <c r="C27" s="548">
        <f>SUM('Comm per Month (Mil in-kind)'!U55)</f>
        <v>2.2557517393703872</v>
      </c>
      <c r="D27" s="514">
        <f>SUMIFS('Comm per Month (Mil in-kind)'!$U:$U,'Comm per Month (Mil in-kind)'!$D:$D,1)</f>
        <v>1.4631101627605499E-2</v>
      </c>
      <c r="E27" s="514">
        <f>SUMIFS('Comm per Month (Mil in-kind)'!$U:$U,'Comm per Month (Mil in-kind)'!$C:$C,1)</f>
        <v>2.2411206377427817</v>
      </c>
      <c r="F27" s="514">
        <f>SUMIFS('Comm per Month (Mil in-kind)'!$U:$U,'Comm per Month (Mil in-kind)'!$C:$C,0, 'Comm per Month (Mil in-kind)'!$D:$D,0 )</f>
        <v>0</v>
      </c>
      <c r="G27" s="514">
        <f>SUMIFS('Comm per Month (Mil in-kind)'!$U:$U,'Comm per Month (Mil in-kind)'!$B:$B,"United States")</f>
        <v>0</v>
      </c>
      <c r="H27" s="514">
        <f t="shared" si="0"/>
        <v>1.4631101627605499E-2</v>
      </c>
      <c r="I27" s="514"/>
    </row>
    <row r="28" spans="2:9" ht="15.95" customHeight="1">
      <c r="B28" s="247" t="s">
        <v>4621</v>
      </c>
      <c r="C28" s="549">
        <f>SUM(C12:C27)</f>
        <v>73.480257000563839</v>
      </c>
      <c r="D28" s="549">
        <f t="shared" ref="D28:H28" si="1">SUM(D12:D27)</f>
        <v>51.478054369559857</v>
      </c>
      <c r="E28" s="549">
        <f t="shared" si="1"/>
        <v>21.609425853241007</v>
      </c>
      <c r="F28" s="549">
        <f t="shared" si="1"/>
        <v>0.42038075273538972</v>
      </c>
      <c r="G28" s="549">
        <f t="shared" si="1"/>
        <v>42.836768494663232</v>
      </c>
      <c r="H28" s="549">
        <f t="shared" si="1"/>
        <v>8.641285874896619</v>
      </c>
      <c r="I28" s="518"/>
    </row>
    <row r="29" spans="2:9" ht="15.95" customHeight="1">
      <c r="B29" s="516"/>
      <c r="C29" s="550"/>
      <c r="D29" s="518"/>
      <c r="E29" s="518"/>
      <c r="G29" s="514"/>
      <c r="H29" s="514"/>
      <c r="I29" s="514"/>
    </row>
    <row r="30" spans="2:9" ht="15.95" customHeight="1">
      <c r="D30" s="518"/>
      <c r="E30" s="518"/>
    </row>
    <row r="44" spans="14:14" ht="15.95" customHeight="1">
      <c r="N44" s="519"/>
    </row>
  </sheetData>
  <mergeCells count="1">
    <mergeCell ref="B4:D9"/>
  </mergeCells>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9E1F2"/>
  </sheetPr>
  <dimension ref="A1:V69"/>
  <sheetViews>
    <sheetView showGridLines="0" zoomScaleNormal="100" workbookViewId="0"/>
  </sheetViews>
  <sheetFormatPr defaultColWidth="11.5" defaultRowHeight="15.75" customHeight="1"/>
  <cols>
    <col min="1" max="1" width="8.625" style="2" customWidth="1"/>
    <col min="2" max="2" width="22.125" style="539" customWidth="1"/>
    <col min="3" max="3" width="18.125" style="543" customWidth="1"/>
    <col min="4" max="4" width="37.625" style="522" bestFit="1" customWidth="1"/>
    <col min="5" max="5" width="48.125" style="522" bestFit="1" customWidth="1"/>
    <col min="6" max="6" width="40.125" style="522" bestFit="1" customWidth="1"/>
    <col min="7" max="7" width="32" style="522" bestFit="1" customWidth="1"/>
    <col min="8" max="8" width="17.875" style="522" bestFit="1" customWidth="1"/>
    <col min="9" max="9" width="13.625" style="522" customWidth="1"/>
    <col min="10" max="10" width="66.5" style="522" bestFit="1" customWidth="1"/>
    <col min="11" max="11" width="44.5" style="522" bestFit="1" customWidth="1"/>
    <col min="12" max="14" width="42" style="522" bestFit="1" customWidth="1"/>
    <col min="15" max="15" width="11.5" style="522" customWidth="1"/>
    <col min="16" max="16384" width="11.5" style="522"/>
  </cols>
  <sheetData>
    <row r="1" spans="1:22" ht="15.6">
      <c r="A1" s="521"/>
    </row>
    <row r="2" spans="1:22" s="524" customFormat="1" ht="24.75" customHeight="1">
      <c r="A2" s="521"/>
      <c r="B2" s="540" t="s">
        <v>4811</v>
      </c>
      <c r="C2" s="544"/>
      <c r="D2" s="523"/>
      <c r="E2" s="523"/>
      <c r="F2" s="522"/>
      <c r="G2" s="522"/>
      <c r="H2" s="522"/>
      <c r="I2" s="522"/>
    </row>
    <row r="3" spans="1:22" s="524" customFormat="1" ht="15.95" customHeight="1">
      <c r="A3" s="521"/>
      <c r="B3" s="541"/>
      <c r="C3" s="545"/>
      <c r="D3" s="525"/>
      <c r="E3" s="525"/>
      <c r="F3" s="522"/>
      <c r="G3" s="522"/>
      <c r="H3" s="522"/>
      <c r="I3" s="522"/>
    </row>
    <row r="4" spans="1:22" s="526" customFormat="1" ht="15.95" customHeight="1">
      <c r="A4" s="521"/>
      <c r="B4" s="1433" t="s">
        <v>4812</v>
      </c>
      <c r="C4" s="1433"/>
      <c r="D4" s="1433"/>
      <c r="E4" s="1433"/>
      <c r="F4" s="392"/>
      <c r="G4" s="392"/>
      <c r="H4" s="392"/>
      <c r="I4" s="392"/>
      <c r="J4" s="392"/>
      <c r="L4" s="527"/>
    </row>
    <row r="5" spans="1:22" s="526" customFormat="1" ht="15.95" customHeight="1">
      <c r="A5" s="521"/>
      <c r="B5" s="1433"/>
      <c r="C5" s="1433"/>
      <c r="D5" s="1433"/>
      <c r="E5" s="1433"/>
      <c r="F5" s="392"/>
      <c r="G5" s="392"/>
      <c r="H5" s="392"/>
      <c r="I5" s="392"/>
      <c r="J5" s="392"/>
      <c r="L5" s="527"/>
    </row>
    <row r="6" spans="1:22" s="526" customFormat="1" ht="15.95" customHeight="1">
      <c r="A6" s="521"/>
      <c r="B6" s="1433"/>
      <c r="C6" s="1433"/>
      <c r="D6" s="1433"/>
      <c r="E6" s="1433"/>
      <c r="F6" s="392"/>
      <c r="G6" s="392"/>
      <c r="H6" s="392"/>
      <c r="I6" s="392"/>
      <c r="J6" s="392"/>
      <c r="L6" s="527"/>
    </row>
    <row r="7" spans="1:22" s="526" customFormat="1" ht="15.95" customHeight="1">
      <c r="A7" s="521"/>
      <c r="B7" s="1433"/>
      <c r="C7" s="1433"/>
      <c r="D7" s="1433"/>
      <c r="E7" s="1433"/>
      <c r="F7" s="392"/>
      <c r="G7" s="392"/>
      <c r="H7" s="392"/>
      <c r="I7" s="392"/>
      <c r="J7" s="392"/>
      <c r="L7" s="527"/>
    </row>
    <row r="8" spans="1:22" s="526" customFormat="1" ht="15.95" customHeight="1">
      <c r="A8" s="521"/>
      <c r="B8" s="1433"/>
      <c r="C8" s="1433"/>
      <c r="D8" s="1433"/>
      <c r="E8" s="1433"/>
      <c r="F8" s="392"/>
      <c r="G8" s="392"/>
      <c r="H8" s="392"/>
      <c r="I8" s="392"/>
      <c r="J8" s="392"/>
      <c r="L8" s="527"/>
    </row>
    <row r="9" spans="1:22" s="526" customFormat="1" ht="15.95" customHeight="1">
      <c r="A9" s="521"/>
      <c r="B9" s="1433"/>
      <c r="C9" s="1433"/>
      <c r="D9" s="1433"/>
      <c r="E9" s="1433"/>
      <c r="F9" s="392"/>
      <c r="G9" s="392"/>
      <c r="H9" s="392"/>
      <c r="I9" s="392"/>
      <c r="J9" s="392"/>
      <c r="L9" s="527"/>
    </row>
    <row r="10" spans="1:22" ht="16.5" customHeight="1">
      <c r="I10" s="532"/>
    </row>
    <row r="11" spans="1:22" s="529" customFormat="1" ht="24.75" customHeight="1">
      <c r="A11" s="11"/>
      <c r="B11" s="542" t="s">
        <v>4599</v>
      </c>
      <c r="C11" s="535" t="s">
        <v>4704</v>
      </c>
      <c r="D11" s="535" t="s">
        <v>4806</v>
      </c>
      <c r="E11" s="535" t="s">
        <v>4805</v>
      </c>
      <c r="F11" s="535" t="s">
        <v>4807</v>
      </c>
      <c r="G11" s="535" t="s">
        <v>4808</v>
      </c>
      <c r="H11" s="535" t="s">
        <v>4804</v>
      </c>
      <c r="I11" s="532"/>
      <c r="J11" s="528" t="s">
        <v>4813</v>
      </c>
      <c r="M11" s="530"/>
      <c r="N11" s="530"/>
      <c r="O11" s="530"/>
      <c r="P11" s="530"/>
      <c r="Q11" s="530"/>
      <c r="R11" s="530"/>
      <c r="S11" s="530"/>
      <c r="T11" s="530"/>
      <c r="U11" s="530"/>
      <c r="V11" s="530"/>
    </row>
    <row r="12" spans="1:22" s="529" customFormat="1" ht="0.6" customHeight="1">
      <c r="A12" s="11"/>
      <c r="B12" s="851" t="s">
        <v>4626</v>
      </c>
      <c r="C12" s="852"/>
      <c r="D12" s="852"/>
      <c r="E12" s="852"/>
      <c r="F12" s="852"/>
      <c r="G12" s="852"/>
      <c r="H12" s="852"/>
      <c r="I12" s="532"/>
      <c r="J12" s="528"/>
      <c r="M12" s="530"/>
      <c r="N12" s="530"/>
      <c r="O12" s="530"/>
      <c r="P12" s="530"/>
      <c r="Q12" s="530"/>
      <c r="R12" s="530"/>
      <c r="S12" s="530"/>
      <c r="T12" s="530"/>
      <c r="U12" s="530"/>
      <c r="V12" s="530"/>
    </row>
    <row r="13" spans="1:22" s="529" customFormat="1" ht="24.75" customHeight="1">
      <c r="A13" s="11"/>
      <c r="B13" s="851"/>
      <c r="C13" s="1467">
        <v>2022</v>
      </c>
      <c r="D13" s="1467"/>
      <c r="E13" s="1467"/>
      <c r="F13" s="1467"/>
      <c r="G13" s="1467"/>
      <c r="H13" s="1467"/>
      <c r="I13" s="532"/>
      <c r="J13" s="528"/>
      <c r="M13" s="530"/>
      <c r="N13" s="530"/>
      <c r="O13" s="530"/>
      <c r="P13" s="530"/>
      <c r="Q13" s="530"/>
      <c r="R13" s="530"/>
      <c r="S13" s="530"/>
      <c r="T13" s="530"/>
      <c r="U13" s="530"/>
      <c r="V13" s="530"/>
    </row>
    <row r="14" spans="1:22" s="529" customFormat="1" ht="0.6" customHeight="1">
      <c r="A14" s="11"/>
      <c r="B14" s="853"/>
      <c r="C14" s="859"/>
      <c r="D14" s="859"/>
      <c r="E14" s="859"/>
      <c r="F14" s="859"/>
      <c r="G14" s="859"/>
      <c r="H14" s="859"/>
      <c r="I14" s="532"/>
      <c r="J14" s="528"/>
      <c r="M14" s="530"/>
      <c r="N14" s="530"/>
      <c r="O14" s="530"/>
      <c r="P14" s="530"/>
      <c r="Q14" s="530"/>
      <c r="R14" s="530"/>
      <c r="S14" s="530"/>
      <c r="T14" s="530"/>
      <c r="U14" s="530"/>
      <c r="V14" s="530"/>
    </row>
    <row r="15" spans="1:22" ht="15.6">
      <c r="A15" s="1468"/>
      <c r="B15" s="1463" t="s">
        <v>4605</v>
      </c>
      <c r="C15" s="428" t="s">
        <v>4640</v>
      </c>
      <c r="D15" s="532">
        <f>SUMIFS('Bilateral Assistance, MAIN DATA'!$M:$M,'Bilateral Assistance, MAIN DATA'!$AH:$AH,I15,'Bilateral Assistance, MAIN DATA'!$AY:$AY,1,'Bilateral Assistance, MAIN DATA'!$AO:$AO,"122mm MLRS")+SUMIFS('Bilateral Assistance, MAIN DATA'!$M:$M,'Bilateral Assistance, MAIN DATA'!$AH:$AH,I15,'Bilateral Assistance, MAIN DATA'!$AY:$AY,1,'Bilateral Assistance, MAIN DATA'!$AO:$AO,"127mm MLRS")+SUMIFS('Bilateral Assistance, MAIN DATA'!$M:$M,'Bilateral Assistance, MAIN DATA'!$AH:$AH,I15,'Bilateral Assistance, MAIN DATA'!$AY:$AY,1,'Bilateral Assistance, MAIN DATA'!$AO:$AO,"227mm MLRS")</f>
        <v>0</v>
      </c>
      <c r="E15" s="532">
        <f>SUMIFS('Bilateral Assistance, MAIN DATA'!$M:$M,'Bilateral Assistance, MAIN DATA'!$AH:$AH,I15,'Bilateral Assistance, MAIN DATA'!$AY:$AY,0, 'Bilateral Assistance, MAIN DATA'!$AX:$AX,1,'Bilateral Assistance, MAIN DATA'!$AO:$AO,"122mm MLRS")+SUMIFS('Bilateral Assistance, MAIN DATA'!$M:$M,'Bilateral Assistance, MAIN DATA'!$AH:$AH,I15,'Bilateral Assistance, MAIN DATA'!$AY:$AY,0, 'Bilateral Assistance, MAIN DATA'!$AX:$AX,1,'Bilateral Assistance, MAIN DATA'!$AO:$AO,"127mm MLRS")+SUMIFS('Bilateral Assistance, MAIN DATA'!$M:$M,'Bilateral Assistance, MAIN DATA'!$AH:$AH,I15,'Bilateral Assistance, MAIN DATA'!$AY:$AY,0, 'Bilateral Assistance, MAIN DATA'!$AX:$AX,1,'Bilateral Assistance, MAIN DATA'!$AO:$AO,"227mm MLRS")</f>
        <v>0</v>
      </c>
      <c r="F15" s="532">
        <f>SUMIFS('Bilateral Assistance, MAIN DATA'!$M:$M,'Bilateral Assistance, MAIN DATA'!$AH:$AH,I15,'Bilateral Assistance, MAIN DATA'!$AY:$AY,0, 'Bilateral Assistance, MAIN DATA'!$AX:$AX,0,'Bilateral Assistance, MAIN DATA'!$AO:$AO,"122mm MLRS")+SUMIFS('Bilateral Assistance, MAIN DATA'!$M:$M,'Bilateral Assistance, MAIN DATA'!$AH:$AH,I15,'Bilateral Assistance, MAIN DATA'!$AY:$AY,0, 'Bilateral Assistance, MAIN DATA'!$AX:$AX,0,'Bilateral Assistance, MAIN DATA'!$AO:$AO,"127mm MLRS")+SUMIFS('Bilateral Assistance, MAIN DATA'!$M:$M,'Bilateral Assistance, MAIN DATA'!$AH:$AH,I15,'Bilateral Assistance, MAIN DATA'!$AY:$AY,0, 'Bilateral Assistance, MAIN DATA'!$AX:$AX,0,'Bilateral Assistance, MAIN DATA'!$AO:$AO,"227mm MLRS")</f>
        <v>0</v>
      </c>
      <c r="G15" s="532">
        <f>(SUMIFS('Bilateral Assistance, MAIN DATA'!$M:$M,'Bilateral Assistance, MAIN DATA'!$AH:$AH,I15,'Bilateral Assistance, MAIN DATA'!$AO:$AO,"122mm MLRS", 'Bilateral Assistance, MAIN DATA'!$B:$B, "United States")+SUMIFS('Bilateral Assistance, MAIN DATA'!$M:$M,'Bilateral Assistance, MAIN DATA'!$AH:$AH,I15,'Bilateral Assistance, MAIN DATA'!$AO:$AO,"127mm MLRS", 'Bilateral Assistance, MAIN DATA'!$B:$B, "United States")+SUMIFS('Bilateral Assistance, MAIN DATA'!$M:$M,'Bilateral Assistance, MAIN DATA'!$AH:$AH,I15,'Bilateral Assistance, MAIN DATA'!$AO:$AO,"227mm MLRS", 'Bilateral Assistance, MAIN DATA'!$B:$B, "United States"))</f>
        <v>0</v>
      </c>
      <c r="H15" s="532">
        <f>SUMIFS('Bilateral Assistance, MAIN DATA'!$M:$M,'Bilateral Assistance, MAIN DATA'!$AH:$AH,I15,'Bilateral Assistance, MAIN DATA'!$AO:$AO,"122mm MLRS")+SUMIFS('Bilateral Assistance, MAIN DATA'!$M:$M,'Bilateral Assistance, MAIN DATA'!$AH:$AH,I15,'Bilateral Assistance, MAIN DATA'!$AO:$AO,"127mm MLRS")+SUMIFS('Bilateral Assistance, MAIN DATA'!$M:$M,'Bilateral Assistance, MAIN DATA'!$AH:$AH,I15,'Bilateral Assistance, MAIN DATA'!$AO:$AO,"227mm MLRS")</f>
        <v>0</v>
      </c>
      <c r="I15" s="566">
        <v>2</v>
      </c>
    </row>
    <row r="16" spans="1:22" ht="15.6">
      <c r="A16" s="1468"/>
      <c r="B16" s="1463"/>
      <c r="C16" s="428" t="s">
        <v>4814</v>
      </c>
      <c r="D16" s="532">
        <f>SUMIFS('Bilateral Assistance, MAIN DATA'!$M:$M,'Bilateral Assistance, MAIN DATA'!$AH:$AH,I15,'Bilateral Assistance, MAIN DATA'!$AY:$AY,1,'Bilateral Assistance, MAIN DATA'!$AO:$AO,"155mm howitzer") + SUMIFS('Bilateral Assistance, MAIN DATA'!$M:$M,'Bilateral Assistance, MAIN DATA'!$AH:$AH,I15,'Bilateral Assistance, MAIN DATA'!$AY:$AY,1,'Bilateral Assistance, MAIN DATA'!$AO:$AO,"152mm howitzer")</f>
        <v>0</v>
      </c>
      <c r="E16" s="532">
        <f>SUMIFS('Bilateral Assistance, MAIN DATA'!$M:$M,'Bilateral Assistance, MAIN DATA'!$AH:$AH,I15,'Bilateral Assistance, MAIN DATA'!$AY:$AY,0, 'Bilateral Assistance, MAIN DATA'!$AX:$AX,1,'Bilateral Assistance, MAIN DATA'!$AO:$AO,"155mm howitzer")+SUMIFS('Bilateral Assistance, MAIN DATA'!$M:$M,'Bilateral Assistance, MAIN DATA'!$AH:$AH,I15,'Bilateral Assistance, MAIN DATA'!$AY:$AY,0, 'Bilateral Assistance, MAIN DATA'!$AX:$AX,1,'Bilateral Assistance, MAIN DATA'!$AO:$AO,"152mm howitzer")</f>
        <v>0</v>
      </c>
      <c r="F16" s="532">
        <f>SUMIFS('Bilateral Assistance, MAIN DATA'!$M:$M,'Bilateral Assistance, MAIN DATA'!$AH:$AH,I15,'Bilateral Assistance, MAIN DATA'!$AY:$AY,0, 'Bilateral Assistance, MAIN DATA'!$AX:$AX,0,'Bilateral Assistance, MAIN DATA'!$AO:$AO,"155mm howitzer")+SUMIFS('Bilateral Assistance, MAIN DATA'!$M:$M,'Bilateral Assistance, MAIN DATA'!$AH:$AH,I15,'Bilateral Assistance, MAIN DATA'!$AY:$AY,0, 'Bilateral Assistance, MAIN DATA'!$AX:$AX,0,'Bilateral Assistance, MAIN DATA'!$AO:$AO,"152mm howitzer")</f>
        <v>0</v>
      </c>
      <c r="G16" s="532">
        <f>SUMIFS('Bilateral Assistance, MAIN DATA'!$M:$M,'Bilateral Assistance, MAIN DATA'!$AH:$AH,I15,'Bilateral Assistance, MAIN DATA'!$AO:$AO,"155mm howitzer", 'Bilateral Assistance, MAIN DATA'!$B:$B, "United States") +SUMIFS('Bilateral Assistance, MAIN DATA'!$M:$M,'Bilateral Assistance, MAIN DATA'!$AH:$AH,I15,'Bilateral Assistance, MAIN DATA'!$AO:$AO,"152mm howitzer", 'Bilateral Assistance, MAIN DATA'!$B:$B, "United States")</f>
        <v>0</v>
      </c>
      <c r="H16" s="532">
        <f>SUMIFS('Bilateral Assistance, MAIN DATA'!$M:$M,'Bilateral Assistance, MAIN DATA'!$AH:$AH,I15,'Bilateral Assistance, MAIN DATA'!$AO:$AO,"155mm howitzer")</f>
        <v>0</v>
      </c>
      <c r="I16" s="566">
        <v>2</v>
      </c>
    </row>
    <row r="17" spans="1:14" ht="15.6">
      <c r="A17" s="1468"/>
      <c r="B17" s="1463"/>
      <c r="C17" s="428" t="s">
        <v>4691</v>
      </c>
      <c r="D17" s="532">
        <f>SUMIFS('Bilateral Assistance, MAIN DATA'!$M:$M,'Bilateral Assistance, MAIN DATA'!$AH:$AH,I15,'Bilateral Assistance, MAIN DATA'!$AY:$AY,1,'Bilateral Assistance, MAIN DATA'!$AO:$AO,"Main battle tank (MBT)")</f>
        <v>0</v>
      </c>
      <c r="E17" s="532">
        <f>SUMIFS('Bilateral Assistance, MAIN DATA'!$M:$M,'Bilateral Assistance, MAIN DATA'!$AH:$AH,I15,'Bilateral Assistance, MAIN DATA'!$AY:$AY,0, 'Bilateral Assistance, MAIN DATA'!$AX:$AX,1,'Bilateral Assistance, MAIN DATA'!$AO:$AO,"Main battle tank (MBT)")</f>
        <v>0</v>
      </c>
      <c r="F17" s="532">
        <f>SUMIFS('Bilateral Assistance, MAIN DATA'!$M:$M,'Bilateral Assistance, MAIN DATA'!$AH:$AH,I15,'Bilateral Assistance, MAIN DATA'!$AY:$AY,0, 'Bilateral Assistance, MAIN DATA'!$AX:$AX,0,'Bilateral Assistance, MAIN DATA'!$AO:$AO,"Main battle tank (MBT)")</f>
        <v>0</v>
      </c>
      <c r="G17" s="532">
        <f>SUMIFS('Bilateral Assistance, MAIN DATA'!$M:$M,'Bilateral Assistance, MAIN DATA'!$AH:$AH,I15,'Bilateral Assistance, MAIN DATA'!$AO:$AO,"Main battle tank (MBT)", 'Bilateral Assistance, MAIN DATA'!$B:$B, "United States")</f>
        <v>0</v>
      </c>
      <c r="H17" s="532">
        <f>SUMIFS('Bilateral Assistance, MAIN DATA'!$M:$M,'Bilateral Assistance, MAIN DATA'!$AH:$AH,I15,'Bilateral Assistance, MAIN DATA'!$AO:$AO,"Main battle tank (MBT)")</f>
        <v>0</v>
      </c>
      <c r="I17" s="566">
        <v>2</v>
      </c>
    </row>
    <row r="18" spans="1:14" ht="15.6">
      <c r="A18" s="1468"/>
      <c r="B18" s="1463" t="s">
        <v>4606</v>
      </c>
      <c r="C18" s="428" t="s">
        <v>4640</v>
      </c>
      <c r="D18" s="532">
        <f>SUMIFS('Bilateral Assistance, MAIN DATA'!$M:$M,'Bilateral Assistance, MAIN DATA'!$AH:$AH,I18,'Bilateral Assistance, MAIN DATA'!$AY:$AY,1,'Bilateral Assistance, MAIN DATA'!$AO:$AO,"122mm MLRS")+SUMIFS('Bilateral Assistance, MAIN DATA'!$M:$M,'Bilateral Assistance, MAIN DATA'!$AH:$AH,I18,'Bilateral Assistance, MAIN DATA'!$AY:$AY,1,'Bilateral Assistance, MAIN DATA'!$AO:$AO,"127mm MLRS")+SUMIFS('Bilateral Assistance, MAIN DATA'!$M:$M,'Bilateral Assistance, MAIN DATA'!$AH:$AH,I18,'Bilateral Assistance, MAIN DATA'!$AY:$AY,1,'Bilateral Assistance, MAIN DATA'!$AO:$AO,"227mm MLRS")</f>
        <v>0</v>
      </c>
      <c r="E18" s="532">
        <f>SUMIFS('Bilateral Assistance, MAIN DATA'!$M:$M,'Bilateral Assistance, MAIN DATA'!$AH:$AH,I18,'Bilateral Assistance, MAIN DATA'!$AY:$AY,0, 'Bilateral Assistance, MAIN DATA'!$AX:$AX,1,'Bilateral Assistance, MAIN DATA'!$AO:$AO,"122mm MLRS")+SUMIFS('Bilateral Assistance, MAIN DATA'!$M:$M,'Bilateral Assistance, MAIN DATA'!$AH:$AH,I18,'Bilateral Assistance, MAIN DATA'!$AY:$AY,0, 'Bilateral Assistance, MAIN DATA'!$AX:$AX,1,'Bilateral Assistance, MAIN DATA'!$AO:$AO,"127mm MLRS")+SUMIFS('Bilateral Assistance, MAIN DATA'!$M:$M,'Bilateral Assistance, MAIN DATA'!$AH:$AH,I18,'Bilateral Assistance, MAIN DATA'!$AY:$AY,0, 'Bilateral Assistance, MAIN DATA'!$AX:$AX,1,'Bilateral Assistance, MAIN DATA'!$AO:$AO,"227mm MLRS")</f>
        <v>0</v>
      </c>
      <c r="F18" s="532">
        <f>SUMIFS('Bilateral Assistance, MAIN DATA'!$M:$M,'Bilateral Assistance, MAIN DATA'!$AH:$AH,I18,'Bilateral Assistance, MAIN DATA'!$AY:$AY,0, 'Bilateral Assistance, MAIN DATA'!$AX:$AX,0,'Bilateral Assistance, MAIN DATA'!$AO:$AO,"122mm MLRS")+SUMIFS('Bilateral Assistance, MAIN DATA'!$M:$M,'Bilateral Assistance, MAIN DATA'!$AH:$AH,I18,'Bilateral Assistance, MAIN DATA'!$AY:$AY,0, 'Bilateral Assistance, MAIN DATA'!$AX:$AX,0,'Bilateral Assistance, MAIN DATA'!$AO:$AO,"127mm MLRS")+SUMIFS('Bilateral Assistance, MAIN DATA'!$M:$M,'Bilateral Assistance, MAIN DATA'!$AH:$AH,I18,'Bilateral Assistance, MAIN DATA'!$AY:$AY,0, 'Bilateral Assistance, MAIN DATA'!$AX:$AX,0,'Bilateral Assistance, MAIN DATA'!$AO:$AO,"227mm MLRS")</f>
        <v>0</v>
      </c>
      <c r="G18" s="532">
        <f>(SUMIFS('Bilateral Assistance, MAIN DATA'!$M:$M,'Bilateral Assistance, MAIN DATA'!$AH:$AH,I18,'Bilateral Assistance, MAIN DATA'!$AO:$AO,"122mm MLRS", 'Bilateral Assistance, MAIN DATA'!$B:$B, "United States")+SUMIFS('Bilateral Assistance, MAIN DATA'!$M:$M,'Bilateral Assistance, MAIN DATA'!$AH:$AH,I18,'Bilateral Assistance, MAIN DATA'!$AO:$AO,"127mm MLRS", 'Bilateral Assistance, MAIN DATA'!$B:$B, "United States")+SUMIFS('Bilateral Assistance, MAIN DATA'!$M:$M,'Bilateral Assistance, MAIN DATA'!$AH:$AH,I18,'Bilateral Assistance, MAIN DATA'!$AO:$AO,"227mm MLRS", 'Bilateral Assistance, MAIN DATA'!$B:$B, "United States"))</f>
        <v>0</v>
      </c>
      <c r="H18" s="532">
        <f>SUMIFS('Bilateral Assistance, MAIN DATA'!$M:$M,'Bilateral Assistance, MAIN DATA'!$AH:$AH,I18,'Bilateral Assistance, MAIN DATA'!$AO:$AO,"122mm MLRS")+SUMIFS('Bilateral Assistance, MAIN DATA'!$M:$M,'Bilateral Assistance, MAIN DATA'!$AH:$AH,I18,'Bilateral Assistance, MAIN DATA'!$AO:$AO,"127mm MLRS")+SUMIFS('Bilateral Assistance, MAIN DATA'!$M:$M,'Bilateral Assistance, MAIN DATA'!$AH:$AH,I18,'Bilateral Assistance, MAIN DATA'!$AO:$AO,"227mm MLRS")</f>
        <v>0</v>
      </c>
      <c r="I18" s="566">
        <v>3</v>
      </c>
      <c r="J18" s="531"/>
      <c r="K18" s="531"/>
      <c r="L18" s="531"/>
      <c r="M18" s="531"/>
      <c r="N18" s="531"/>
    </row>
    <row r="19" spans="1:14" ht="15.6">
      <c r="A19" s="1468"/>
      <c r="B19" s="1463"/>
      <c r="C19" s="428" t="s">
        <v>4814</v>
      </c>
      <c r="D19" s="532">
        <f>SUMIFS('Bilateral Assistance, MAIN DATA'!$M:$M,'Bilateral Assistance, MAIN DATA'!$AH:$AH,I18,'Bilateral Assistance, MAIN DATA'!$AY:$AY,1,'Bilateral Assistance, MAIN DATA'!$AO:$AO,"155mm howitzer") + SUMIFS('Bilateral Assistance, MAIN DATA'!$M:$M,'Bilateral Assistance, MAIN DATA'!$AH:$AH,I18,'Bilateral Assistance, MAIN DATA'!$AY:$AY,1,'Bilateral Assistance, MAIN DATA'!$AO:$AO,"152mm howitzer")</f>
        <v>0</v>
      </c>
      <c r="E19" s="532">
        <f>SUMIFS('Bilateral Assistance, MAIN DATA'!$M:$M,'Bilateral Assistance, MAIN DATA'!$AH:$AH,I18,'Bilateral Assistance, MAIN DATA'!$AY:$AY,0, 'Bilateral Assistance, MAIN DATA'!$AX:$AX,1,'Bilateral Assistance, MAIN DATA'!$AO:$AO,"155mm howitzer")+SUMIFS('Bilateral Assistance, MAIN DATA'!$M:$M,'Bilateral Assistance, MAIN DATA'!$AH:$AH,I18,'Bilateral Assistance, MAIN DATA'!$AY:$AY,0, 'Bilateral Assistance, MAIN DATA'!$AX:$AX,1,'Bilateral Assistance, MAIN DATA'!$AO:$AO,"152mm howitzer")</f>
        <v>0</v>
      </c>
      <c r="F19" s="532">
        <f>SUMIFS('Bilateral Assistance, MAIN DATA'!$M:$M,'Bilateral Assistance, MAIN DATA'!$AH:$AH,I18,'Bilateral Assistance, MAIN DATA'!$AY:$AY,0, 'Bilateral Assistance, MAIN DATA'!$AX:$AX,0,'Bilateral Assistance, MAIN DATA'!$AO:$AO,"155mm howitzer")+SUMIFS('Bilateral Assistance, MAIN DATA'!$M:$M,'Bilateral Assistance, MAIN DATA'!$AH:$AH,I18,'Bilateral Assistance, MAIN DATA'!$AY:$AY,0, 'Bilateral Assistance, MAIN DATA'!$AX:$AX,0,'Bilateral Assistance, MAIN DATA'!$AO:$AO,"152mm howitzer")</f>
        <v>0</v>
      </c>
      <c r="G19" s="532">
        <f>SUMIFS('Bilateral Assistance, MAIN DATA'!$M:$M,'Bilateral Assistance, MAIN DATA'!$AH:$AH,I18,'Bilateral Assistance, MAIN DATA'!$AO:$AO,"155mm howitzer", 'Bilateral Assistance, MAIN DATA'!$B:$B, "United States") +SUMIFS('Bilateral Assistance, MAIN DATA'!$M:$M,'Bilateral Assistance, MAIN DATA'!$AH:$AH,I18,'Bilateral Assistance, MAIN DATA'!$AO:$AO,"152mm howitzer", 'Bilateral Assistance, MAIN DATA'!$B:$B, "United States")</f>
        <v>0</v>
      </c>
      <c r="H19" s="532">
        <f>SUMIFS('Bilateral Assistance, MAIN DATA'!$M:$M,'Bilateral Assistance, MAIN DATA'!$AH:$AH,I18,'Bilateral Assistance, MAIN DATA'!$AO:$AO,"155mm howitzer")</f>
        <v>0</v>
      </c>
      <c r="I19" s="566">
        <v>3</v>
      </c>
      <c r="J19" s="531"/>
      <c r="K19" s="531"/>
      <c r="L19" s="531"/>
      <c r="M19" s="531"/>
      <c r="N19" s="531"/>
    </row>
    <row r="20" spans="1:14" ht="15.6">
      <c r="A20" s="1468"/>
      <c r="B20" s="1463"/>
      <c r="C20" s="428" t="s">
        <v>4691</v>
      </c>
      <c r="D20" s="532">
        <f>SUMIFS('Bilateral Assistance, MAIN DATA'!$M:$M,'Bilateral Assistance, MAIN DATA'!$AH:$AH,I18,'Bilateral Assistance, MAIN DATA'!$AY:$AY,1,'Bilateral Assistance, MAIN DATA'!$AO:$AO,"Main battle tank (MBT)")</f>
        <v>0</v>
      </c>
      <c r="E20" s="532">
        <f>SUMIFS('Bilateral Assistance, MAIN DATA'!$M:$M,'Bilateral Assistance, MAIN DATA'!$AH:$AH,I18,'Bilateral Assistance, MAIN DATA'!$AY:$AY,0, 'Bilateral Assistance, MAIN DATA'!$AX:$AX,1,'Bilateral Assistance, MAIN DATA'!$AO:$AO,"Main battle tank (MBT)")</f>
        <v>0</v>
      </c>
      <c r="F20" s="532">
        <f>SUMIFS('Bilateral Assistance, MAIN DATA'!$M:$M,'Bilateral Assistance, MAIN DATA'!$AH:$AH,I18,'Bilateral Assistance, MAIN DATA'!$AY:$AY,0, 'Bilateral Assistance, MAIN DATA'!$AX:$AX,0,'Bilateral Assistance, MAIN DATA'!$AO:$AO,"Main battle tank (MBT)")</f>
        <v>0</v>
      </c>
      <c r="G20" s="532">
        <f>SUMIFS('Bilateral Assistance, MAIN DATA'!$M:$M,'Bilateral Assistance, MAIN DATA'!$AH:$AH,I18,'Bilateral Assistance, MAIN DATA'!$AO:$AO,"Main battle tank (MBT)", 'Bilateral Assistance, MAIN DATA'!$B:$B, "United States")</f>
        <v>0</v>
      </c>
      <c r="H20" s="532">
        <f>SUMIFS('Bilateral Assistance, MAIN DATA'!$M:$M,'Bilateral Assistance, MAIN DATA'!$AH:$AH,I18,'Bilateral Assistance, MAIN DATA'!$AO:$AO,"Main battle tank (MBT)")</f>
        <v>0</v>
      </c>
      <c r="I20" s="566">
        <v>3</v>
      </c>
      <c r="J20" s="531"/>
      <c r="K20" s="531"/>
      <c r="L20" s="531"/>
      <c r="M20" s="531"/>
      <c r="N20" s="531"/>
    </row>
    <row r="21" spans="1:14" ht="15.6">
      <c r="A21" s="1468"/>
      <c r="B21" s="1463" t="s">
        <v>4607</v>
      </c>
      <c r="C21" s="428" t="s">
        <v>4640</v>
      </c>
      <c r="D21" s="532">
        <f>SUMIFS('Bilateral Assistance, MAIN DATA'!$M:$M,'Bilateral Assistance, MAIN DATA'!$AH:$AH,I21,'Bilateral Assistance, MAIN DATA'!$AY:$AY,1,'Bilateral Assistance, MAIN DATA'!$AO:$AO,"122mm MLRS")+SUMIFS('Bilateral Assistance, MAIN DATA'!$M:$M,'Bilateral Assistance, MAIN DATA'!$AH:$AH,I21,'Bilateral Assistance, MAIN DATA'!$AY:$AY,1,'Bilateral Assistance, MAIN DATA'!$AO:$AO,"127mm MLRS")+SUMIFS('Bilateral Assistance, MAIN DATA'!$M:$M,'Bilateral Assistance, MAIN DATA'!$AH:$AH,I21,'Bilateral Assistance, MAIN DATA'!$AY:$AY,1,'Bilateral Assistance, MAIN DATA'!$AO:$AO,"227mm MLRS")</f>
        <v>33</v>
      </c>
      <c r="E21" s="532">
        <f>SUMIFS('Bilateral Assistance, MAIN DATA'!$M:$M,'Bilateral Assistance, MAIN DATA'!$AH:$AH,I21,'Bilateral Assistance, MAIN DATA'!$AY:$AY,0, 'Bilateral Assistance, MAIN DATA'!$AX:$AX,1,'Bilateral Assistance, MAIN DATA'!$AO:$AO,"122mm MLRS")+SUMIFS('Bilateral Assistance, MAIN DATA'!$M:$M,'Bilateral Assistance, MAIN DATA'!$AH:$AH,I21,'Bilateral Assistance, MAIN DATA'!$AY:$AY,0, 'Bilateral Assistance, MAIN DATA'!$AX:$AX,1,'Bilateral Assistance, MAIN DATA'!$AO:$AO,"127mm MLRS")+SUMIFS('Bilateral Assistance, MAIN DATA'!$M:$M,'Bilateral Assistance, MAIN DATA'!$AH:$AH,I21,'Bilateral Assistance, MAIN DATA'!$AY:$AY,0, 'Bilateral Assistance, MAIN DATA'!$AX:$AX,1,'Bilateral Assistance, MAIN DATA'!$AO:$AO,"227mm MLRS")</f>
        <v>0</v>
      </c>
      <c r="F21" s="532">
        <f>SUMIFS('Bilateral Assistance, MAIN DATA'!$M:$M,'Bilateral Assistance, MAIN DATA'!$AH:$AH,I21,'Bilateral Assistance, MAIN DATA'!$AY:$AY,0, 'Bilateral Assistance, MAIN DATA'!$AX:$AX,0,'Bilateral Assistance, MAIN DATA'!$AO:$AO,"122mm MLRS")+SUMIFS('Bilateral Assistance, MAIN DATA'!$M:$M,'Bilateral Assistance, MAIN DATA'!$AH:$AH,I21,'Bilateral Assistance, MAIN DATA'!$AY:$AY,0, 'Bilateral Assistance, MAIN DATA'!$AX:$AX,0,'Bilateral Assistance, MAIN DATA'!$AO:$AO,"127mm MLRS")+SUMIFS('Bilateral Assistance, MAIN DATA'!$M:$M,'Bilateral Assistance, MAIN DATA'!$AH:$AH,I21,'Bilateral Assistance, MAIN DATA'!$AY:$AY,0, 'Bilateral Assistance, MAIN DATA'!$AX:$AX,0,'Bilateral Assistance, MAIN DATA'!$AO:$AO,"227mm MLRS")</f>
        <v>0</v>
      </c>
      <c r="G21" s="532">
        <f>(SUMIFS('Bilateral Assistance, MAIN DATA'!$M:$M,'Bilateral Assistance, MAIN DATA'!$AH:$AH,I21,'Bilateral Assistance, MAIN DATA'!$AO:$AO,"122mm MLRS", 'Bilateral Assistance, MAIN DATA'!$B:$B, "United States")+SUMIFS('Bilateral Assistance, MAIN DATA'!$M:$M,'Bilateral Assistance, MAIN DATA'!$AH:$AH,I21,'Bilateral Assistance, MAIN DATA'!$AO:$AO,"127mm MLRS", 'Bilateral Assistance, MAIN DATA'!$B:$B, "United States")+SUMIFS('Bilateral Assistance, MAIN DATA'!$M:$M,'Bilateral Assistance, MAIN DATA'!$AH:$AH,I21,'Bilateral Assistance, MAIN DATA'!$AO:$AO,"227mm MLRS", 'Bilateral Assistance, MAIN DATA'!$B:$B, "United States"))</f>
        <v>0</v>
      </c>
      <c r="H21" s="532">
        <f>SUMIFS('Bilateral Assistance, MAIN DATA'!$M:$M,'Bilateral Assistance, MAIN DATA'!$AH:$AH,I21,'Bilateral Assistance, MAIN DATA'!$AO:$AO,"122mm MLRS")+SUMIFS('Bilateral Assistance, MAIN DATA'!$M:$M,'Bilateral Assistance, MAIN DATA'!$AH:$AH,I21,'Bilateral Assistance, MAIN DATA'!$AO:$AO,"127mm MLRS")+SUMIFS('Bilateral Assistance, MAIN DATA'!$M:$M,'Bilateral Assistance, MAIN DATA'!$AH:$AH,I21,'Bilateral Assistance, MAIN DATA'!$AO:$AO,"227mm MLRS")</f>
        <v>33</v>
      </c>
      <c r="I21" s="566">
        <v>4</v>
      </c>
      <c r="L21" s="30"/>
    </row>
    <row r="22" spans="1:14" ht="15.6">
      <c r="A22" s="1468"/>
      <c r="B22" s="1463"/>
      <c r="C22" s="428" t="s">
        <v>4814</v>
      </c>
      <c r="D22" s="532">
        <f>SUMIFS('Bilateral Assistance, MAIN DATA'!$M:$M,'Bilateral Assistance, MAIN DATA'!$AH:$AH,I21,'Bilateral Assistance, MAIN DATA'!$AY:$AY,1,'Bilateral Assistance, MAIN DATA'!$AO:$AO,"155mm howitzer") + SUMIFS('Bilateral Assistance, MAIN DATA'!$M:$M,'Bilateral Assistance, MAIN DATA'!$AH:$AH,I21,'Bilateral Assistance, MAIN DATA'!$AY:$AY,1,'Bilateral Assistance, MAIN DATA'!$AO:$AO,"152mm howitzer")</f>
        <v>80</v>
      </c>
      <c r="E22" s="532">
        <f>SUMIFS('Bilateral Assistance, MAIN DATA'!$M:$M,'Bilateral Assistance, MAIN DATA'!$AH:$AH,I21,'Bilateral Assistance, MAIN DATA'!$AY:$AY,0, 'Bilateral Assistance, MAIN DATA'!$AX:$AX,1,'Bilateral Assistance, MAIN DATA'!$AO:$AO,"155mm howitzer")+SUMIFS('Bilateral Assistance, MAIN DATA'!$M:$M,'Bilateral Assistance, MAIN DATA'!$AH:$AH,I21,'Bilateral Assistance, MAIN DATA'!$AY:$AY,0, 'Bilateral Assistance, MAIN DATA'!$AX:$AX,1,'Bilateral Assistance, MAIN DATA'!$AO:$AO,"152mm howitzer")</f>
        <v>94</v>
      </c>
      <c r="F22" s="532">
        <f>SUMIFS('Bilateral Assistance, MAIN DATA'!$M:$M,'Bilateral Assistance, MAIN DATA'!$AH:$AH,I21,'Bilateral Assistance, MAIN DATA'!$AY:$AY,0, 'Bilateral Assistance, MAIN DATA'!$AX:$AX,0,'Bilateral Assistance, MAIN DATA'!$AO:$AO,"155mm howitzer")+SUMIFS('Bilateral Assistance, MAIN DATA'!$M:$M,'Bilateral Assistance, MAIN DATA'!$AH:$AH,I21,'Bilateral Assistance, MAIN DATA'!$AY:$AY,0, 'Bilateral Assistance, MAIN DATA'!$AX:$AX,0,'Bilateral Assistance, MAIN DATA'!$AO:$AO,"152mm howitzer")</f>
        <v>6</v>
      </c>
      <c r="G22" s="532">
        <f>SUMIFS('Bilateral Assistance, MAIN DATA'!$M:$M,'Bilateral Assistance, MAIN DATA'!$AH:$AH,I21,'Bilateral Assistance, MAIN DATA'!$AO:$AO,"155mm howitzer", 'Bilateral Assistance, MAIN DATA'!$B:$B, "United States") +SUMIFS('Bilateral Assistance, MAIN DATA'!$M:$M,'Bilateral Assistance, MAIN DATA'!$AH:$AH,I21,'Bilateral Assistance, MAIN DATA'!$AO:$AO,"152mm howitzer", 'Bilateral Assistance, MAIN DATA'!$B:$B, "United States")</f>
        <v>90</v>
      </c>
      <c r="H22" s="532">
        <f>SUMIFS('Bilateral Assistance, MAIN DATA'!$M:$M,'Bilateral Assistance, MAIN DATA'!$AH:$AH,I21,'Bilateral Assistance, MAIN DATA'!$AO:$AO,"155mm howitzer")</f>
        <v>142</v>
      </c>
      <c r="I22" s="566">
        <v>4</v>
      </c>
      <c r="L22" s="30"/>
    </row>
    <row r="23" spans="1:14" ht="15.6">
      <c r="A23" s="1468"/>
      <c r="B23" s="1463"/>
      <c r="C23" s="428" t="s">
        <v>4691</v>
      </c>
      <c r="D23" s="532">
        <f>SUMIFS('Bilateral Assistance, MAIN DATA'!$M:$M,'Bilateral Assistance, MAIN DATA'!$AH:$AH,I21,'Bilateral Assistance, MAIN DATA'!$AY:$AY,1,'Bilateral Assistance, MAIN DATA'!$AO:$AO,"Main battle tank (MBT)")</f>
        <v>329</v>
      </c>
      <c r="E23" s="532">
        <f>SUMIFS('Bilateral Assistance, MAIN DATA'!$M:$M,'Bilateral Assistance, MAIN DATA'!$AH:$AH,I21,'Bilateral Assistance, MAIN DATA'!$AY:$AY,0, 'Bilateral Assistance, MAIN DATA'!$AX:$AX,1,'Bilateral Assistance, MAIN DATA'!$AO:$AO,"Main battle tank (MBT)")</f>
        <v>0</v>
      </c>
      <c r="F23" s="532">
        <f>SUMIFS('Bilateral Assistance, MAIN DATA'!$M:$M,'Bilateral Assistance, MAIN DATA'!$AH:$AH,I21,'Bilateral Assistance, MAIN DATA'!$AY:$AY,0, 'Bilateral Assistance, MAIN DATA'!$AX:$AX,0,'Bilateral Assistance, MAIN DATA'!$AO:$AO,"Main battle tank (MBT)")</f>
        <v>0</v>
      </c>
      <c r="G23" s="532">
        <f>SUMIFS('Bilateral Assistance, MAIN DATA'!$M:$M,'Bilateral Assistance, MAIN DATA'!$AH:$AH,I21,'Bilateral Assistance, MAIN DATA'!$AO:$AO,"Main battle tank (MBT)", 'Bilateral Assistance, MAIN DATA'!$B:$B, "United States")</f>
        <v>0</v>
      </c>
      <c r="H23" s="532">
        <f>SUMIFS('Bilateral Assistance, MAIN DATA'!$M:$M,'Bilateral Assistance, MAIN DATA'!$AH:$AH,I21,'Bilateral Assistance, MAIN DATA'!$AO:$AO,"Main battle tank (MBT)")</f>
        <v>329</v>
      </c>
      <c r="I23" s="566">
        <v>4</v>
      </c>
      <c r="L23" s="30"/>
    </row>
    <row r="24" spans="1:14" ht="15.6">
      <c r="A24" s="1468"/>
      <c r="B24" s="1463" t="s">
        <v>4608</v>
      </c>
      <c r="C24" s="428" t="s">
        <v>4640</v>
      </c>
      <c r="D24" s="532">
        <f>SUMIFS('Bilateral Assistance, MAIN DATA'!$M:$M,'Bilateral Assistance, MAIN DATA'!$AH:$AH,I24,'Bilateral Assistance, MAIN DATA'!$AY:$AY,1,'Bilateral Assistance, MAIN DATA'!$AO:$AO,"122mm MLRS")+SUMIFS('Bilateral Assistance, MAIN DATA'!$M:$M,'Bilateral Assistance, MAIN DATA'!$AH:$AH,I24,'Bilateral Assistance, MAIN DATA'!$AY:$AY,1,'Bilateral Assistance, MAIN DATA'!$AO:$AO,"127mm MLRS")+SUMIFS('Bilateral Assistance, MAIN DATA'!$M:$M,'Bilateral Assistance, MAIN DATA'!$AH:$AH,I24,'Bilateral Assistance, MAIN DATA'!$AY:$AY,1,'Bilateral Assistance, MAIN DATA'!$AO:$AO,"227mm MLRS")</f>
        <v>0</v>
      </c>
      <c r="E24" s="532">
        <f>SUMIFS('Bilateral Assistance, MAIN DATA'!$M:$M,'Bilateral Assistance, MAIN DATA'!$AH:$AH,I24,'Bilateral Assistance, MAIN DATA'!$AY:$AY,0, 'Bilateral Assistance, MAIN DATA'!$AX:$AX,1,'Bilateral Assistance, MAIN DATA'!$AO:$AO,"122mm MLRS")+SUMIFS('Bilateral Assistance, MAIN DATA'!$M:$M,'Bilateral Assistance, MAIN DATA'!$AH:$AH,I24,'Bilateral Assistance, MAIN DATA'!$AY:$AY,0, 'Bilateral Assistance, MAIN DATA'!$AX:$AX,1,'Bilateral Assistance, MAIN DATA'!$AO:$AO,"127mm MLRS")+SUMIFS('Bilateral Assistance, MAIN DATA'!$M:$M,'Bilateral Assistance, MAIN DATA'!$AH:$AH,I24,'Bilateral Assistance, MAIN DATA'!$AY:$AY,0, 'Bilateral Assistance, MAIN DATA'!$AX:$AX,1,'Bilateral Assistance, MAIN DATA'!$AO:$AO,"227mm MLRS")</f>
        <v>0</v>
      </c>
      <c r="F24" s="532">
        <f>SUMIFS('Bilateral Assistance, MAIN DATA'!$M:$M,'Bilateral Assistance, MAIN DATA'!$AH:$AH,I24,'Bilateral Assistance, MAIN DATA'!$AY:$AY,0, 'Bilateral Assistance, MAIN DATA'!$AX:$AX,0,'Bilateral Assistance, MAIN DATA'!$AO:$AO,"122mm MLRS")+SUMIFS('Bilateral Assistance, MAIN DATA'!$M:$M,'Bilateral Assistance, MAIN DATA'!$AH:$AH,I24,'Bilateral Assistance, MAIN DATA'!$AY:$AY,0, 'Bilateral Assistance, MAIN DATA'!$AX:$AX,0,'Bilateral Assistance, MAIN DATA'!$AO:$AO,"127mm MLRS")+SUMIFS('Bilateral Assistance, MAIN DATA'!$M:$M,'Bilateral Assistance, MAIN DATA'!$AH:$AH,I24,'Bilateral Assistance, MAIN DATA'!$AY:$AY,0, 'Bilateral Assistance, MAIN DATA'!$AX:$AX,0,'Bilateral Assistance, MAIN DATA'!$AO:$AO,"227mm MLRS")</f>
        <v>0</v>
      </c>
      <c r="G24" s="532">
        <f>(SUMIFS('Bilateral Assistance, MAIN DATA'!$M:$M,'Bilateral Assistance, MAIN DATA'!$AH:$AH,I24,'Bilateral Assistance, MAIN DATA'!$AO:$AO,"122mm MLRS", 'Bilateral Assistance, MAIN DATA'!$B:$B, "United States")+SUMIFS('Bilateral Assistance, MAIN DATA'!$M:$M,'Bilateral Assistance, MAIN DATA'!$AH:$AH,I24,'Bilateral Assistance, MAIN DATA'!$AO:$AO,"127mm MLRS", 'Bilateral Assistance, MAIN DATA'!$B:$B, "United States")+SUMIFS('Bilateral Assistance, MAIN DATA'!$M:$M,'Bilateral Assistance, MAIN DATA'!$AH:$AH,I24,'Bilateral Assistance, MAIN DATA'!$AO:$AO,"227mm MLRS", 'Bilateral Assistance, MAIN DATA'!$B:$B, "United States"))</f>
        <v>0</v>
      </c>
      <c r="H24" s="532">
        <f>SUMIFS('Bilateral Assistance, MAIN DATA'!$M:$M,'Bilateral Assistance, MAIN DATA'!$AH:$AH,I24,'Bilateral Assistance, MAIN DATA'!$AO:$AO,"122mm MLRS")+SUMIFS('Bilateral Assistance, MAIN DATA'!$M:$M,'Bilateral Assistance, MAIN DATA'!$AH:$AH,I24,'Bilateral Assistance, MAIN DATA'!$AO:$AO,"127mm MLRS")+SUMIFS('Bilateral Assistance, MAIN DATA'!$M:$M,'Bilateral Assistance, MAIN DATA'!$AH:$AH,I24,'Bilateral Assistance, MAIN DATA'!$AO:$AO,"227mm MLRS")</f>
        <v>0</v>
      </c>
      <c r="I24" s="566">
        <v>5</v>
      </c>
      <c r="L24" s="30"/>
    </row>
    <row r="25" spans="1:14" ht="15.6">
      <c r="A25" s="1468"/>
      <c r="B25" s="1463"/>
      <c r="C25" s="428" t="s">
        <v>4814</v>
      </c>
      <c r="D25" s="532">
        <f>SUMIFS('Bilateral Assistance, MAIN DATA'!$M:$M,'Bilateral Assistance, MAIN DATA'!$AH:$AH,I24,'Bilateral Assistance, MAIN DATA'!$AY:$AY,1,'Bilateral Assistance, MAIN DATA'!$AO:$AO,"155mm howitzer") + SUMIFS('Bilateral Assistance, MAIN DATA'!$M:$M,'Bilateral Assistance, MAIN DATA'!$AH:$AH,I24,'Bilateral Assistance, MAIN DATA'!$AY:$AY,1,'Bilateral Assistance, MAIN DATA'!$AO:$AO,"152mm howitzer")</f>
        <v>5</v>
      </c>
      <c r="E25" s="532">
        <f>SUMIFS('Bilateral Assistance, MAIN DATA'!$M:$M,'Bilateral Assistance, MAIN DATA'!$AH:$AH,I24,'Bilateral Assistance, MAIN DATA'!$AY:$AY,0, 'Bilateral Assistance, MAIN DATA'!$AX:$AX,1,'Bilateral Assistance, MAIN DATA'!$AO:$AO,"155mm howitzer")+SUMIFS('Bilateral Assistance, MAIN DATA'!$M:$M,'Bilateral Assistance, MAIN DATA'!$AH:$AH,I24,'Bilateral Assistance, MAIN DATA'!$AY:$AY,0, 'Bilateral Assistance, MAIN DATA'!$AX:$AX,1,'Bilateral Assistance, MAIN DATA'!$AO:$AO,"152mm howitzer")</f>
        <v>18</v>
      </c>
      <c r="F25" s="532">
        <f>SUMIFS('Bilateral Assistance, MAIN DATA'!$M:$M,'Bilateral Assistance, MAIN DATA'!$AH:$AH,I24,'Bilateral Assistance, MAIN DATA'!$AY:$AY,0, 'Bilateral Assistance, MAIN DATA'!$AX:$AX,0,'Bilateral Assistance, MAIN DATA'!$AO:$AO,"155mm howitzer")+SUMIFS('Bilateral Assistance, MAIN DATA'!$M:$M,'Bilateral Assistance, MAIN DATA'!$AH:$AH,I24,'Bilateral Assistance, MAIN DATA'!$AY:$AY,0, 'Bilateral Assistance, MAIN DATA'!$AX:$AX,0,'Bilateral Assistance, MAIN DATA'!$AO:$AO,"152mm howitzer")</f>
        <v>0</v>
      </c>
      <c r="G25" s="532">
        <f>SUMIFS('Bilateral Assistance, MAIN DATA'!$M:$M,'Bilateral Assistance, MAIN DATA'!$AH:$AH,I24,'Bilateral Assistance, MAIN DATA'!$AO:$AO,"155mm howitzer", 'Bilateral Assistance, MAIN DATA'!$B:$B, "United States") +SUMIFS('Bilateral Assistance, MAIN DATA'!$M:$M,'Bilateral Assistance, MAIN DATA'!$AH:$AH,I24,'Bilateral Assistance, MAIN DATA'!$AO:$AO,"152mm howitzer", 'Bilateral Assistance, MAIN DATA'!$B:$B, "United States")</f>
        <v>18</v>
      </c>
      <c r="H25" s="532">
        <f>SUMIFS('Bilateral Assistance, MAIN DATA'!$M:$M,'Bilateral Assistance, MAIN DATA'!$AH:$AH,I24,'Bilateral Assistance, MAIN DATA'!$AO:$AO,"155mm howitzer")</f>
        <v>23</v>
      </c>
      <c r="I25" s="566">
        <v>5</v>
      </c>
      <c r="L25" s="30"/>
    </row>
    <row r="26" spans="1:14" ht="15.6">
      <c r="A26" s="1468"/>
      <c r="B26" s="1463"/>
      <c r="C26" s="428" t="s">
        <v>4691</v>
      </c>
      <c r="D26" s="532">
        <f>SUMIFS('Bilateral Assistance, MAIN DATA'!$M:$M,'Bilateral Assistance, MAIN DATA'!$AH:$AH,I24,'Bilateral Assistance, MAIN DATA'!$AY:$AY,1,'Bilateral Assistance, MAIN DATA'!$AO:$AO,"Main battle tank (MBT)")</f>
        <v>0</v>
      </c>
      <c r="E26" s="532">
        <f>SUMIFS('Bilateral Assistance, MAIN DATA'!$M:$M,'Bilateral Assistance, MAIN DATA'!$AH:$AH,I24,'Bilateral Assistance, MAIN DATA'!$AY:$AY,0, 'Bilateral Assistance, MAIN DATA'!$AX:$AX,1,'Bilateral Assistance, MAIN DATA'!$AO:$AO,"Main battle tank (MBT)")</f>
        <v>0</v>
      </c>
      <c r="F26" s="532">
        <f>SUMIFS('Bilateral Assistance, MAIN DATA'!$M:$M,'Bilateral Assistance, MAIN DATA'!$AH:$AH,I24,'Bilateral Assistance, MAIN DATA'!$AY:$AY,0, 'Bilateral Assistance, MAIN DATA'!$AX:$AX,0,'Bilateral Assistance, MAIN DATA'!$AO:$AO,"Main battle tank (MBT)")</f>
        <v>0</v>
      </c>
      <c r="G26" s="532">
        <f>SUMIFS('Bilateral Assistance, MAIN DATA'!$M:$M,'Bilateral Assistance, MAIN DATA'!$AH:$AH,I24,'Bilateral Assistance, MAIN DATA'!$AO:$AO,"Main battle tank (MBT)", 'Bilateral Assistance, MAIN DATA'!$B:$B, "United States")</f>
        <v>0</v>
      </c>
      <c r="H26" s="532">
        <f>SUMIFS('Bilateral Assistance, MAIN DATA'!$M:$M,'Bilateral Assistance, MAIN DATA'!$AH:$AH,I24,'Bilateral Assistance, MAIN DATA'!$AO:$AO,"Main battle tank (MBT)")</f>
        <v>0</v>
      </c>
      <c r="I26" s="566">
        <v>5</v>
      </c>
      <c r="L26" s="30"/>
    </row>
    <row r="27" spans="1:14" ht="15.6">
      <c r="A27" s="1468"/>
      <c r="B27" s="1463" t="s">
        <v>4609</v>
      </c>
      <c r="C27" s="428" t="s">
        <v>4640</v>
      </c>
      <c r="D27" s="532">
        <f>SUMIFS('Bilateral Assistance, MAIN DATA'!$M:$M,'Bilateral Assistance, MAIN DATA'!$AH:$AH,I27,'Bilateral Assistance, MAIN DATA'!$AY:$AY,1,'Bilateral Assistance, MAIN DATA'!$AO:$AO,"122mm MLRS")+SUMIFS('Bilateral Assistance, MAIN DATA'!$M:$M,'Bilateral Assistance, MAIN DATA'!$AH:$AH,I27,'Bilateral Assistance, MAIN DATA'!$AY:$AY,1,'Bilateral Assistance, MAIN DATA'!$AO:$AO,"127mm MLRS")+SUMIFS('Bilateral Assistance, MAIN DATA'!$M:$M,'Bilateral Assistance, MAIN DATA'!$AH:$AH,I27,'Bilateral Assistance, MAIN DATA'!$AY:$AY,1,'Bilateral Assistance, MAIN DATA'!$AO:$AO,"227mm MLRS")</f>
        <v>3</v>
      </c>
      <c r="E27" s="532">
        <f>SUMIFS('Bilateral Assistance, MAIN DATA'!$M:$M,'Bilateral Assistance, MAIN DATA'!$AH:$AH,I27,'Bilateral Assistance, MAIN DATA'!$AY:$AY,0, 'Bilateral Assistance, MAIN DATA'!$AX:$AX,1,'Bilateral Assistance, MAIN DATA'!$AO:$AO,"122mm MLRS")+SUMIFS('Bilateral Assistance, MAIN DATA'!$M:$M,'Bilateral Assistance, MAIN DATA'!$AH:$AH,I27,'Bilateral Assistance, MAIN DATA'!$AY:$AY,0, 'Bilateral Assistance, MAIN DATA'!$AX:$AX,1,'Bilateral Assistance, MAIN DATA'!$AO:$AO,"127mm MLRS")+SUMIFS('Bilateral Assistance, MAIN DATA'!$M:$M,'Bilateral Assistance, MAIN DATA'!$AH:$AH,I27,'Bilateral Assistance, MAIN DATA'!$AY:$AY,0, 'Bilateral Assistance, MAIN DATA'!$AX:$AX,1,'Bilateral Assistance, MAIN DATA'!$AO:$AO,"227mm MLRS")</f>
        <v>14</v>
      </c>
      <c r="F27" s="532">
        <f>SUMIFS('Bilateral Assistance, MAIN DATA'!$M:$M,'Bilateral Assistance, MAIN DATA'!$AH:$AH,I27,'Bilateral Assistance, MAIN DATA'!$AY:$AY,0, 'Bilateral Assistance, MAIN DATA'!$AX:$AX,0,'Bilateral Assistance, MAIN DATA'!$AO:$AO,"122mm MLRS")+SUMIFS('Bilateral Assistance, MAIN DATA'!$M:$M,'Bilateral Assistance, MAIN DATA'!$AH:$AH,I27,'Bilateral Assistance, MAIN DATA'!$AY:$AY,0, 'Bilateral Assistance, MAIN DATA'!$AX:$AX,0,'Bilateral Assistance, MAIN DATA'!$AO:$AO,"127mm MLRS")+SUMIFS('Bilateral Assistance, MAIN DATA'!$M:$M,'Bilateral Assistance, MAIN DATA'!$AH:$AH,I27,'Bilateral Assistance, MAIN DATA'!$AY:$AY,0, 'Bilateral Assistance, MAIN DATA'!$AX:$AX,0,'Bilateral Assistance, MAIN DATA'!$AO:$AO,"227mm MLRS")</f>
        <v>0</v>
      </c>
      <c r="G27" s="532">
        <f>(SUMIFS('Bilateral Assistance, MAIN DATA'!$M:$M,'Bilateral Assistance, MAIN DATA'!$AH:$AH,I27,'Bilateral Assistance, MAIN DATA'!$AO:$AO,"122mm MLRS", 'Bilateral Assistance, MAIN DATA'!$B:$B, "United States")+SUMIFS('Bilateral Assistance, MAIN DATA'!$M:$M,'Bilateral Assistance, MAIN DATA'!$AH:$AH,I27,'Bilateral Assistance, MAIN DATA'!$AO:$AO,"127mm MLRS", 'Bilateral Assistance, MAIN DATA'!$B:$B, "United States")+SUMIFS('Bilateral Assistance, MAIN DATA'!$M:$M,'Bilateral Assistance, MAIN DATA'!$AH:$AH,I27,'Bilateral Assistance, MAIN DATA'!$AO:$AO,"227mm MLRS", 'Bilateral Assistance, MAIN DATA'!$B:$B, "United States"))</f>
        <v>8</v>
      </c>
      <c r="H27" s="532">
        <f>SUMIFS('Bilateral Assistance, MAIN DATA'!$M:$M,'Bilateral Assistance, MAIN DATA'!$AH:$AH,I27,'Bilateral Assistance, MAIN DATA'!$AO:$AO,"122mm MLRS")+SUMIFS('Bilateral Assistance, MAIN DATA'!$M:$M,'Bilateral Assistance, MAIN DATA'!$AH:$AH,I27,'Bilateral Assistance, MAIN DATA'!$AO:$AO,"127mm MLRS")+SUMIFS('Bilateral Assistance, MAIN DATA'!$M:$M,'Bilateral Assistance, MAIN DATA'!$AH:$AH,I27,'Bilateral Assistance, MAIN DATA'!$AO:$AO,"227mm MLRS")</f>
        <v>17</v>
      </c>
      <c r="I27" s="566">
        <v>6</v>
      </c>
      <c r="L27" s="30"/>
    </row>
    <row r="28" spans="1:14" ht="15.6">
      <c r="A28" s="1468"/>
      <c r="B28" s="1463"/>
      <c r="C28" s="428" t="s">
        <v>4814</v>
      </c>
      <c r="D28" s="532">
        <f>SUMIFS('Bilateral Assistance, MAIN DATA'!$M:$M,'Bilateral Assistance, MAIN DATA'!$AH:$AH,I27,'Bilateral Assistance, MAIN DATA'!$AY:$AY,1,'Bilateral Assistance, MAIN DATA'!$AO:$AO,"155mm howitzer") + SUMIFS('Bilateral Assistance, MAIN DATA'!$M:$M,'Bilateral Assistance, MAIN DATA'!$AH:$AH,I27,'Bilateral Assistance, MAIN DATA'!$AY:$AY,1,'Bilateral Assistance, MAIN DATA'!$AO:$AO,"152mm howitzer")</f>
        <v>9</v>
      </c>
      <c r="E28" s="532">
        <f>SUMIFS('Bilateral Assistance, MAIN DATA'!$M:$M,'Bilateral Assistance, MAIN DATA'!$AH:$AH,I27,'Bilateral Assistance, MAIN DATA'!$AY:$AY,0, 'Bilateral Assistance, MAIN DATA'!$AX:$AX,1,'Bilateral Assistance, MAIN DATA'!$AO:$AO,"155mm howitzer")+SUMIFS('Bilateral Assistance, MAIN DATA'!$M:$M,'Bilateral Assistance, MAIN DATA'!$AH:$AH,I27,'Bilateral Assistance, MAIN DATA'!$AY:$AY,0, 'Bilateral Assistance, MAIN DATA'!$AX:$AX,1,'Bilateral Assistance, MAIN DATA'!$AO:$AO,"152mm howitzer")</f>
        <v>68</v>
      </c>
      <c r="F28" s="532">
        <f>SUMIFS('Bilateral Assistance, MAIN DATA'!$M:$M,'Bilateral Assistance, MAIN DATA'!$AH:$AH,I27,'Bilateral Assistance, MAIN DATA'!$AY:$AY,0, 'Bilateral Assistance, MAIN DATA'!$AX:$AX,0,'Bilateral Assistance, MAIN DATA'!$AO:$AO,"155mm howitzer")+SUMIFS('Bilateral Assistance, MAIN DATA'!$M:$M,'Bilateral Assistance, MAIN DATA'!$AH:$AH,I27,'Bilateral Assistance, MAIN DATA'!$AY:$AY,0, 'Bilateral Assistance, MAIN DATA'!$AX:$AX,0,'Bilateral Assistance, MAIN DATA'!$AO:$AO,"152mm howitzer")</f>
        <v>0</v>
      </c>
      <c r="G28" s="532">
        <f>SUMIFS('Bilateral Assistance, MAIN DATA'!$M:$M,'Bilateral Assistance, MAIN DATA'!$AH:$AH,I27,'Bilateral Assistance, MAIN DATA'!$AO:$AO,"155mm howitzer", 'Bilateral Assistance, MAIN DATA'!$B:$B, "United States") +SUMIFS('Bilateral Assistance, MAIN DATA'!$M:$M,'Bilateral Assistance, MAIN DATA'!$AH:$AH,I27,'Bilateral Assistance, MAIN DATA'!$AO:$AO,"152mm howitzer", 'Bilateral Assistance, MAIN DATA'!$B:$B, "United States")</f>
        <v>18</v>
      </c>
      <c r="H28" s="532">
        <f>SUMIFS('Bilateral Assistance, MAIN DATA'!$M:$M,'Bilateral Assistance, MAIN DATA'!$AH:$AH,I27,'Bilateral Assistance, MAIN DATA'!$AO:$AO,"155mm howitzer")</f>
        <v>77</v>
      </c>
      <c r="I28" s="566">
        <v>6</v>
      </c>
      <c r="L28" s="30"/>
    </row>
    <row r="29" spans="1:14" ht="15.6">
      <c r="A29" s="1468"/>
      <c r="B29" s="1463"/>
      <c r="C29" s="428" t="s">
        <v>4691</v>
      </c>
      <c r="D29" s="532">
        <f>SUMIFS('Bilateral Assistance, MAIN DATA'!$M:$M,'Bilateral Assistance, MAIN DATA'!$AH:$AH,I27,'Bilateral Assistance, MAIN DATA'!$AY:$AY,1,'Bilateral Assistance, MAIN DATA'!$AO:$AO,"Main battle tank (MBT)")</f>
        <v>0</v>
      </c>
      <c r="E29" s="532">
        <f>SUMIFS('Bilateral Assistance, MAIN DATA'!$M:$M,'Bilateral Assistance, MAIN DATA'!$AH:$AH,I27,'Bilateral Assistance, MAIN DATA'!$AY:$AY,0, 'Bilateral Assistance, MAIN DATA'!$AX:$AX,1,'Bilateral Assistance, MAIN DATA'!$AO:$AO,"Main battle tank (MBT)")</f>
        <v>0</v>
      </c>
      <c r="F29" s="532">
        <f>SUMIFS('Bilateral Assistance, MAIN DATA'!$M:$M,'Bilateral Assistance, MAIN DATA'!$AH:$AH,I27,'Bilateral Assistance, MAIN DATA'!$AY:$AY,0, 'Bilateral Assistance, MAIN DATA'!$AX:$AX,0,'Bilateral Assistance, MAIN DATA'!$AO:$AO,"Main battle tank (MBT)")</f>
        <v>0</v>
      </c>
      <c r="G29" s="532">
        <f>SUMIFS('Bilateral Assistance, MAIN DATA'!$M:$M,'Bilateral Assistance, MAIN DATA'!$AH:$AH,I27,'Bilateral Assistance, MAIN DATA'!$AO:$AO,"Main battle tank (MBT)", 'Bilateral Assistance, MAIN DATA'!$B:$B, "United States")</f>
        <v>0</v>
      </c>
      <c r="H29" s="532">
        <f>SUMIFS('Bilateral Assistance, MAIN DATA'!$M:$M,'Bilateral Assistance, MAIN DATA'!$AH:$AH,I27,'Bilateral Assistance, MAIN DATA'!$AO:$AO,"Main battle tank (MBT)")</f>
        <v>0</v>
      </c>
      <c r="I29" s="566">
        <v>6</v>
      </c>
      <c r="L29" s="30"/>
    </row>
    <row r="30" spans="1:14" ht="15.6">
      <c r="A30" s="1468"/>
      <c r="B30" s="1463" t="s">
        <v>4610</v>
      </c>
      <c r="C30" s="428" t="s">
        <v>4640</v>
      </c>
      <c r="D30" s="532">
        <f>SUMIFS('Bilateral Assistance, MAIN DATA'!$M:$M,'Bilateral Assistance, MAIN DATA'!$AH:$AH,I30,'Bilateral Assistance, MAIN DATA'!$AY:$AY,1,'Bilateral Assistance, MAIN DATA'!$AO:$AO,"122mm MLRS")+SUMIFS('Bilateral Assistance, MAIN DATA'!$M:$M,'Bilateral Assistance, MAIN DATA'!$AH:$AH,I30,'Bilateral Assistance, MAIN DATA'!$AY:$AY,1,'Bilateral Assistance, MAIN DATA'!$AO:$AO,"127mm MLRS")+SUMIFS('Bilateral Assistance, MAIN DATA'!$M:$M,'Bilateral Assistance, MAIN DATA'!$AH:$AH,I30,'Bilateral Assistance, MAIN DATA'!$AY:$AY,1,'Bilateral Assistance, MAIN DATA'!$AO:$AO,"227mm MLRS")</f>
        <v>0</v>
      </c>
      <c r="E30" s="532">
        <f>SUMIFS('Bilateral Assistance, MAIN DATA'!$M:$M,'Bilateral Assistance, MAIN DATA'!$AH:$AH,I30,'Bilateral Assistance, MAIN DATA'!$AY:$AY,0, 'Bilateral Assistance, MAIN DATA'!$AX:$AX,1,'Bilateral Assistance, MAIN DATA'!$AO:$AO,"122mm MLRS")+SUMIFS('Bilateral Assistance, MAIN DATA'!$M:$M,'Bilateral Assistance, MAIN DATA'!$AH:$AH,I30,'Bilateral Assistance, MAIN DATA'!$AY:$AY,0, 'Bilateral Assistance, MAIN DATA'!$AX:$AX,1,'Bilateral Assistance, MAIN DATA'!$AO:$AO,"127mm MLRS")+SUMIFS('Bilateral Assistance, MAIN DATA'!$M:$M,'Bilateral Assistance, MAIN DATA'!$AH:$AH,I30,'Bilateral Assistance, MAIN DATA'!$AY:$AY,0, 'Bilateral Assistance, MAIN DATA'!$AX:$AX,1,'Bilateral Assistance, MAIN DATA'!$AO:$AO,"227mm MLRS")</f>
        <v>8</v>
      </c>
      <c r="F30" s="532">
        <f>SUMIFS('Bilateral Assistance, MAIN DATA'!$M:$M,'Bilateral Assistance, MAIN DATA'!$AH:$AH,I30,'Bilateral Assistance, MAIN DATA'!$AY:$AY,0, 'Bilateral Assistance, MAIN DATA'!$AX:$AX,0,'Bilateral Assistance, MAIN DATA'!$AO:$AO,"122mm MLRS")+SUMIFS('Bilateral Assistance, MAIN DATA'!$M:$M,'Bilateral Assistance, MAIN DATA'!$AH:$AH,I30,'Bilateral Assistance, MAIN DATA'!$AY:$AY,0, 'Bilateral Assistance, MAIN DATA'!$AX:$AX,0,'Bilateral Assistance, MAIN DATA'!$AO:$AO,"127mm MLRS")+SUMIFS('Bilateral Assistance, MAIN DATA'!$M:$M,'Bilateral Assistance, MAIN DATA'!$AH:$AH,I30,'Bilateral Assistance, MAIN DATA'!$AY:$AY,0, 'Bilateral Assistance, MAIN DATA'!$AX:$AX,0,'Bilateral Assistance, MAIN DATA'!$AO:$AO,"227mm MLRS")</f>
        <v>0</v>
      </c>
      <c r="G30" s="532">
        <f>(SUMIFS('Bilateral Assistance, MAIN DATA'!$M:$M,'Bilateral Assistance, MAIN DATA'!$AH:$AH,I30,'Bilateral Assistance, MAIN DATA'!$AO:$AO,"122mm MLRS", 'Bilateral Assistance, MAIN DATA'!$B:$B, "United States")+SUMIFS('Bilateral Assistance, MAIN DATA'!$M:$M,'Bilateral Assistance, MAIN DATA'!$AH:$AH,I30,'Bilateral Assistance, MAIN DATA'!$AO:$AO,"127mm MLRS", 'Bilateral Assistance, MAIN DATA'!$B:$B, "United States")+SUMIFS('Bilateral Assistance, MAIN DATA'!$M:$M,'Bilateral Assistance, MAIN DATA'!$AH:$AH,I30,'Bilateral Assistance, MAIN DATA'!$AO:$AO,"227mm MLRS", 'Bilateral Assistance, MAIN DATA'!$B:$B, "United States"))</f>
        <v>8</v>
      </c>
      <c r="H30" s="532">
        <f>SUMIFS('Bilateral Assistance, MAIN DATA'!$M:$M,'Bilateral Assistance, MAIN DATA'!$AH:$AH,I30,'Bilateral Assistance, MAIN DATA'!$AO:$AO,"122mm MLRS")+SUMIFS('Bilateral Assistance, MAIN DATA'!$M:$M,'Bilateral Assistance, MAIN DATA'!$AH:$AH,I30,'Bilateral Assistance, MAIN DATA'!$AO:$AO,"127mm MLRS")+SUMIFS('Bilateral Assistance, MAIN DATA'!$M:$M,'Bilateral Assistance, MAIN DATA'!$AH:$AH,I30,'Bilateral Assistance, MAIN DATA'!$AO:$AO,"227mm MLRS")</f>
        <v>8</v>
      </c>
      <c r="I30" s="566">
        <v>7</v>
      </c>
    </row>
    <row r="31" spans="1:14" ht="15.6">
      <c r="A31" s="1468"/>
      <c r="B31" s="1463"/>
      <c r="C31" s="428" t="s">
        <v>4814</v>
      </c>
      <c r="D31" s="532">
        <f>SUMIFS('Bilateral Assistance, MAIN DATA'!$M:$M,'Bilateral Assistance, MAIN DATA'!$AH:$AH,I30,'Bilateral Assistance, MAIN DATA'!$AY:$AY,1,'Bilateral Assistance, MAIN DATA'!$AO:$AO,"155mm howitzer") + SUMIFS('Bilateral Assistance, MAIN DATA'!$M:$M,'Bilateral Assistance, MAIN DATA'!$AH:$AH,I30,'Bilateral Assistance, MAIN DATA'!$AY:$AY,1,'Bilateral Assistance, MAIN DATA'!$AO:$AO,"152mm howitzer")</f>
        <v>3</v>
      </c>
      <c r="E31" s="532">
        <f>SUMIFS('Bilateral Assistance, MAIN DATA'!$M:$M,'Bilateral Assistance, MAIN DATA'!$AH:$AH,I30,'Bilateral Assistance, MAIN DATA'!$AY:$AY,0, 'Bilateral Assistance, MAIN DATA'!$AX:$AX,1,'Bilateral Assistance, MAIN DATA'!$AO:$AO,"155mm howitzer")+SUMIFS('Bilateral Assistance, MAIN DATA'!$M:$M,'Bilateral Assistance, MAIN DATA'!$AH:$AH,I30,'Bilateral Assistance, MAIN DATA'!$AY:$AY,0, 'Bilateral Assistance, MAIN DATA'!$AX:$AX,1,'Bilateral Assistance, MAIN DATA'!$AO:$AO,"152mm howitzer")</f>
        <v>0</v>
      </c>
      <c r="F31" s="532">
        <f>SUMIFS('Bilateral Assistance, MAIN DATA'!$M:$M,'Bilateral Assistance, MAIN DATA'!$AH:$AH,I30,'Bilateral Assistance, MAIN DATA'!$AY:$AY,0, 'Bilateral Assistance, MAIN DATA'!$AX:$AX,0,'Bilateral Assistance, MAIN DATA'!$AO:$AO,"155mm howitzer")+SUMIFS('Bilateral Assistance, MAIN DATA'!$M:$M,'Bilateral Assistance, MAIN DATA'!$AH:$AH,I30,'Bilateral Assistance, MAIN DATA'!$AY:$AY,0, 'Bilateral Assistance, MAIN DATA'!$AX:$AX,0,'Bilateral Assistance, MAIN DATA'!$AO:$AO,"152mm howitzer")</f>
        <v>0</v>
      </c>
      <c r="G31" s="532">
        <f>SUMIFS('Bilateral Assistance, MAIN DATA'!$M:$M,'Bilateral Assistance, MAIN DATA'!$AH:$AH,I30,'Bilateral Assistance, MAIN DATA'!$AO:$AO,"155mm howitzer", 'Bilateral Assistance, MAIN DATA'!$B:$B, "United States") +SUMIFS('Bilateral Assistance, MAIN DATA'!$M:$M,'Bilateral Assistance, MAIN DATA'!$AH:$AH,I30,'Bilateral Assistance, MAIN DATA'!$AO:$AO,"152mm howitzer", 'Bilateral Assistance, MAIN DATA'!$B:$B, "United States")</f>
        <v>0</v>
      </c>
      <c r="H31" s="532">
        <f>SUMIFS('Bilateral Assistance, MAIN DATA'!$M:$M,'Bilateral Assistance, MAIN DATA'!$AH:$AH,I30,'Bilateral Assistance, MAIN DATA'!$AO:$AO,"155mm howitzer")</f>
        <v>3</v>
      </c>
      <c r="I31" s="566">
        <v>7</v>
      </c>
    </row>
    <row r="32" spans="1:14" ht="15.6">
      <c r="A32" s="1468"/>
      <c r="B32" s="1463"/>
      <c r="C32" s="428" t="s">
        <v>4691</v>
      </c>
      <c r="D32" s="532">
        <f>SUMIFS('Bilateral Assistance, MAIN DATA'!$M:$M,'Bilateral Assistance, MAIN DATA'!$AH:$AH,I30,'Bilateral Assistance, MAIN DATA'!$AY:$AY,1,'Bilateral Assistance, MAIN DATA'!$AO:$AO,"Main battle tank (MBT)")</f>
        <v>10</v>
      </c>
      <c r="E32" s="532">
        <f>SUMIFS('Bilateral Assistance, MAIN DATA'!$M:$M,'Bilateral Assistance, MAIN DATA'!$AH:$AH,I30,'Bilateral Assistance, MAIN DATA'!$AY:$AY,0, 'Bilateral Assistance, MAIN DATA'!$AX:$AX,1,'Bilateral Assistance, MAIN DATA'!$AO:$AO,"Main battle tank (MBT)")</f>
        <v>0</v>
      </c>
      <c r="F32" s="532">
        <f>SUMIFS('Bilateral Assistance, MAIN DATA'!$M:$M,'Bilateral Assistance, MAIN DATA'!$AH:$AH,I30,'Bilateral Assistance, MAIN DATA'!$AY:$AY,0, 'Bilateral Assistance, MAIN DATA'!$AX:$AX,0,'Bilateral Assistance, MAIN DATA'!$AO:$AO,"Main battle tank (MBT)")</f>
        <v>0</v>
      </c>
      <c r="G32" s="532">
        <f>SUMIFS('Bilateral Assistance, MAIN DATA'!$M:$M,'Bilateral Assistance, MAIN DATA'!$AH:$AH,I30,'Bilateral Assistance, MAIN DATA'!$AO:$AO,"Main battle tank (MBT)", 'Bilateral Assistance, MAIN DATA'!$B:$B, "United States")</f>
        <v>0</v>
      </c>
      <c r="H32" s="532">
        <f>SUMIFS('Bilateral Assistance, MAIN DATA'!$M:$M,'Bilateral Assistance, MAIN DATA'!$AH:$AH,I30,'Bilateral Assistance, MAIN DATA'!$AO:$AO,"Main battle tank (MBT)")</f>
        <v>10</v>
      </c>
      <c r="I32" s="566">
        <v>7</v>
      </c>
    </row>
    <row r="33" spans="1:9" ht="15.6">
      <c r="A33" s="1468"/>
      <c r="B33" s="1463" t="s">
        <v>4611</v>
      </c>
      <c r="C33" s="428" t="s">
        <v>4640</v>
      </c>
      <c r="D33" s="532">
        <f>SUMIFS('Bilateral Assistance, MAIN DATA'!$M:$M,'Bilateral Assistance, MAIN DATA'!$AH:$AH,I33,'Bilateral Assistance, MAIN DATA'!$AY:$AY,1,'Bilateral Assistance, MAIN DATA'!$AO:$AO,"122mm MLRS")+SUMIFS('Bilateral Assistance, MAIN DATA'!$M:$M,'Bilateral Assistance, MAIN DATA'!$AH:$AH,I33,'Bilateral Assistance, MAIN DATA'!$AY:$AY,1,'Bilateral Assistance, MAIN DATA'!$AO:$AO,"127mm MLRS")+SUMIFS('Bilateral Assistance, MAIN DATA'!$M:$M,'Bilateral Assistance, MAIN DATA'!$AH:$AH,I33,'Bilateral Assistance, MAIN DATA'!$AY:$AY,1,'Bilateral Assistance, MAIN DATA'!$AO:$AO,"227mm MLRS")</f>
        <v>0</v>
      </c>
      <c r="E33" s="532">
        <f>SUMIFS('Bilateral Assistance, MAIN DATA'!$M:$M,'Bilateral Assistance, MAIN DATA'!$AH:$AH,I33,'Bilateral Assistance, MAIN DATA'!$AY:$AY,0, 'Bilateral Assistance, MAIN DATA'!$AX:$AX,1,'Bilateral Assistance, MAIN DATA'!$AO:$AO,"122mm MLRS")+SUMIFS('Bilateral Assistance, MAIN DATA'!$M:$M,'Bilateral Assistance, MAIN DATA'!$AH:$AH,I33,'Bilateral Assistance, MAIN DATA'!$AY:$AY,0, 'Bilateral Assistance, MAIN DATA'!$AX:$AX,1,'Bilateral Assistance, MAIN DATA'!$AO:$AO,"127mm MLRS")+SUMIFS('Bilateral Assistance, MAIN DATA'!$M:$M,'Bilateral Assistance, MAIN DATA'!$AH:$AH,I33,'Bilateral Assistance, MAIN DATA'!$AY:$AY,0, 'Bilateral Assistance, MAIN DATA'!$AX:$AX,1,'Bilateral Assistance, MAIN DATA'!$AO:$AO,"227mm MLRS")</f>
        <v>3</v>
      </c>
      <c r="F33" s="532">
        <f>SUMIFS('Bilateral Assistance, MAIN DATA'!$M:$M,'Bilateral Assistance, MAIN DATA'!$AH:$AH,I33,'Bilateral Assistance, MAIN DATA'!$AY:$AY,0, 'Bilateral Assistance, MAIN DATA'!$AX:$AX,0,'Bilateral Assistance, MAIN DATA'!$AO:$AO,"122mm MLRS")+SUMIFS('Bilateral Assistance, MAIN DATA'!$M:$M,'Bilateral Assistance, MAIN DATA'!$AH:$AH,I33,'Bilateral Assistance, MAIN DATA'!$AY:$AY,0, 'Bilateral Assistance, MAIN DATA'!$AX:$AX,0,'Bilateral Assistance, MAIN DATA'!$AO:$AO,"127mm MLRS")+SUMIFS('Bilateral Assistance, MAIN DATA'!$M:$M,'Bilateral Assistance, MAIN DATA'!$AH:$AH,I33,'Bilateral Assistance, MAIN DATA'!$AY:$AY,0, 'Bilateral Assistance, MAIN DATA'!$AX:$AX,0,'Bilateral Assistance, MAIN DATA'!$AO:$AO,"227mm MLRS")</f>
        <v>0</v>
      </c>
      <c r="G33" s="532">
        <f>(SUMIFS('Bilateral Assistance, MAIN DATA'!$M:$M,'Bilateral Assistance, MAIN DATA'!$AH:$AH,I33,'Bilateral Assistance, MAIN DATA'!$AO:$AO,"122mm MLRS", 'Bilateral Assistance, MAIN DATA'!$B:$B, "United States")+SUMIFS('Bilateral Assistance, MAIN DATA'!$M:$M,'Bilateral Assistance, MAIN DATA'!$AH:$AH,I33,'Bilateral Assistance, MAIN DATA'!$AO:$AO,"127mm MLRS", 'Bilateral Assistance, MAIN DATA'!$B:$B, "United States")+SUMIFS('Bilateral Assistance, MAIN DATA'!$M:$M,'Bilateral Assistance, MAIN DATA'!$AH:$AH,I33,'Bilateral Assistance, MAIN DATA'!$AO:$AO,"227mm MLRS", 'Bilateral Assistance, MAIN DATA'!$B:$B, "United States"))</f>
        <v>0</v>
      </c>
      <c r="H33" s="532">
        <f>SUMIFS('Bilateral Assistance, MAIN DATA'!$M:$M,'Bilateral Assistance, MAIN DATA'!$AH:$AH,I33,'Bilateral Assistance, MAIN DATA'!$AO:$AO,"122mm MLRS")+SUMIFS('Bilateral Assistance, MAIN DATA'!$M:$M,'Bilateral Assistance, MAIN DATA'!$AH:$AH,I33,'Bilateral Assistance, MAIN DATA'!$AO:$AO,"127mm MLRS")+SUMIFS('Bilateral Assistance, MAIN DATA'!$M:$M,'Bilateral Assistance, MAIN DATA'!$AH:$AH,I33,'Bilateral Assistance, MAIN DATA'!$AO:$AO,"227mm MLRS")</f>
        <v>3</v>
      </c>
      <c r="I33" s="566">
        <v>8</v>
      </c>
    </row>
    <row r="34" spans="1:9" ht="15.6">
      <c r="A34" s="1468"/>
      <c r="B34" s="1463"/>
      <c r="C34" s="428" t="s">
        <v>4814</v>
      </c>
      <c r="D34" s="532">
        <f>SUMIFS('Bilateral Assistance, MAIN DATA'!$M:$M,'Bilateral Assistance, MAIN DATA'!$AH:$AH,I33,'Bilateral Assistance, MAIN DATA'!$AY:$AY,1,'Bilateral Assistance, MAIN DATA'!$AO:$AO,"155mm howitzer") + SUMIFS('Bilateral Assistance, MAIN DATA'!$M:$M,'Bilateral Assistance, MAIN DATA'!$AH:$AH,I33,'Bilateral Assistance, MAIN DATA'!$AY:$AY,1,'Bilateral Assistance, MAIN DATA'!$AO:$AO,"152mm howitzer")</f>
        <v>11.333333333333332</v>
      </c>
      <c r="E34" s="532">
        <f>SUMIFS('Bilateral Assistance, MAIN DATA'!$M:$M,'Bilateral Assistance, MAIN DATA'!$AH:$AH,I33,'Bilateral Assistance, MAIN DATA'!$AY:$AY,0, 'Bilateral Assistance, MAIN DATA'!$AX:$AX,1,'Bilateral Assistance, MAIN DATA'!$AO:$AO,"155mm howitzer")+SUMIFS('Bilateral Assistance, MAIN DATA'!$M:$M,'Bilateral Assistance, MAIN DATA'!$AH:$AH,I33,'Bilateral Assistance, MAIN DATA'!$AY:$AY,0, 'Bilateral Assistance, MAIN DATA'!$AX:$AX,1,'Bilateral Assistance, MAIN DATA'!$AO:$AO,"152mm howitzer")</f>
        <v>0</v>
      </c>
      <c r="F34" s="532">
        <f>SUMIFS('Bilateral Assistance, MAIN DATA'!$M:$M,'Bilateral Assistance, MAIN DATA'!$AH:$AH,I33,'Bilateral Assistance, MAIN DATA'!$AY:$AY,0, 'Bilateral Assistance, MAIN DATA'!$AX:$AX,0,'Bilateral Assistance, MAIN DATA'!$AO:$AO,"155mm howitzer")+SUMIFS('Bilateral Assistance, MAIN DATA'!$M:$M,'Bilateral Assistance, MAIN DATA'!$AH:$AH,I33,'Bilateral Assistance, MAIN DATA'!$AY:$AY,0, 'Bilateral Assistance, MAIN DATA'!$AX:$AX,0,'Bilateral Assistance, MAIN DATA'!$AO:$AO,"152mm howitzer")</f>
        <v>0</v>
      </c>
      <c r="G34" s="532">
        <f>SUMIFS('Bilateral Assistance, MAIN DATA'!$M:$M,'Bilateral Assistance, MAIN DATA'!$AH:$AH,I33,'Bilateral Assistance, MAIN DATA'!$AO:$AO,"155mm howitzer", 'Bilateral Assistance, MAIN DATA'!$B:$B, "United States") +SUMIFS('Bilateral Assistance, MAIN DATA'!$M:$M,'Bilateral Assistance, MAIN DATA'!$AH:$AH,I33,'Bilateral Assistance, MAIN DATA'!$AO:$AO,"152mm howitzer", 'Bilateral Assistance, MAIN DATA'!$B:$B, "United States")</f>
        <v>0</v>
      </c>
      <c r="H34" s="532">
        <f>SUMIFS('Bilateral Assistance, MAIN DATA'!$M:$M,'Bilateral Assistance, MAIN DATA'!$AH:$AH,I33,'Bilateral Assistance, MAIN DATA'!$AO:$AO,"155mm howitzer")</f>
        <v>11.333333333333332</v>
      </c>
      <c r="I34" s="566">
        <v>8</v>
      </c>
    </row>
    <row r="35" spans="1:9" ht="15.6">
      <c r="A35" s="1468"/>
      <c r="B35" s="1463"/>
      <c r="C35" s="428" t="s">
        <v>4691</v>
      </c>
      <c r="D35" s="532">
        <f>SUMIFS('Bilateral Assistance, MAIN DATA'!$M:$M,'Bilateral Assistance, MAIN DATA'!$AH:$AH,I33,'Bilateral Assistance, MAIN DATA'!$AY:$AY,1,'Bilateral Assistance, MAIN DATA'!$AO:$AO,"Main battle tank (MBT)")</f>
        <v>0</v>
      </c>
      <c r="E35" s="532">
        <f>SUMIFS('Bilateral Assistance, MAIN DATA'!$M:$M,'Bilateral Assistance, MAIN DATA'!$AH:$AH,I33,'Bilateral Assistance, MAIN DATA'!$AY:$AY,0, 'Bilateral Assistance, MAIN DATA'!$AX:$AX,1,'Bilateral Assistance, MAIN DATA'!$AO:$AO,"Main battle tank (MBT)")</f>
        <v>0</v>
      </c>
      <c r="F35" s="532">
        <f>SUMIFS('Bilateral Assistance, MAIN DATA'!$M:$M,'Bilateral Assistance, MAIN DATA'!$AH:$AH,I33,'Bilateral Assistance, MAIN DATA'!$AY:$AY,0, 'Bilateral Assistance, MAIN DATA'!$AX:$AX,0,'Bilateral Assistance, MAIN DATA'!$AO:$AO,"Main battle tank (MBT)")</f>
        <v>0</v>
      </c>
      <c r="G35" s="532">
        <f>SUMIFS('Bilateral Assistance, MAIN DATA'!$M:$M,'Bilateral Assistance, MAIN DATA'!$AH:$AH,I33,'Bilateral Assistance, MAIN DATA'!$AO:$AO,"Main battle tank (MBT)", 'Bilateral Assistance, MAIN DATA'!$B:$B, "United States")</f>
        <v>0</v>
      </c>
      <c r="H35" s="532">
        <f>SUMIFS('Bilateral Assistance, MAIN DATA'!$M:$M,'Bilateral Assistance, MAIN DATA'!$AH:$AH,I33,'Bilateral Assistance, MAIN DATA'!$AO:$AO,"Main battle tank (MBT)")</f>
        <v>0</v>
      </c>
      <c r="I35" s="566">
        <v>8</v>
      </c>
    </row>
    <row r="36" spans="1:9" ht="15.6">
      <c r="A36" s="1468"/>
      <c r="B36" s="1463" t="s">
        <v>4612</v>
      </c>
      <c r="C36" s="428" t="s">
        <v>4640</v>
      </c>
      <c r="D36" s="532">
        <f>SUMIFS('Bilateral Assistance, MAIN DATA'!$M:$M,'Bilateral Assistance, MAIN DATA'!$AH:$AH,I36,'Bilateral Assistance, MAIN DATA'!$AY:$AY,1,'Bilateral Assistance, MAIN DATA'!$AO:$AO,"122mm MLRS")+SUMIFS('Bilateral Assistance, MAIN DATA'!$M:$M,'Bilateral Assistance, MAIN DATA'!$AH:$AH,I36,'Bilateral Assistance, MAIN DATA'!$AY:$AY,1,'Bilateral Assistance, MAIN DATA'!$AO:$AO,"127mm MLRS")+SUMIFS('Bilateral Assistance, MAIN DATA'!$M:$M,'Bilateral Assistance, MAIN DATA'!$AH:$AH,I36,'Bilateral Assistance, MAIN DATA'!$AY:$AY,1,'Bilateral Assistance, MAIN DATA'!$AO:$AO,"227mm MLRS")</f>
        <v>2</v>
      </c>
      <c r="E36" s="532">
        <f>SUMIFS('Bilateral Assistance, MAIN DATA'!$M:$M,'Bilateral Assistance, MAIN DATA'!$AH:$AH,I36,'Bilateral Assistance, MAIN DATA'!$AY:$AY,0, 'Bilateral Assistance, MAIN DATA'!$AX:$AX,1,'Bilateral Assistance, MAIN DATA'!$AO:$AO,"122mm MLRS")+SUMIFS('Bilateral Assistance, MAIN DATA'!$M:$M,'Bilateral Assistance, MAIN DATA'!$AH:$AH,I36,'Bilateral Assistance, MAIN DATA'!$AY:$AY,0, 'Bilateral Assistance, MAIN DATA'!$AX:$AX,1,'Bilateral Assistance, MAIN DATA'!$AO:$AO,"127mm MLRS")+SUMIFS('Bilateral Assistance, MAIN DATA'!$M:$M,'Bilateral Assistance, MAIN DATA'!$AH:$AH,I36,'Bilateral Assistance, MAIN DATA'!$AY:$AY,0, 'Bilateral Assistance, MAIN DATA'!$AX:$AX,1,'Bilateral Assistance, MAIN DATA'!$AO:$AO,"227mm MLRS")</f>
        <v>18</v>
      </c>
      <c r="F36" s="532">
        <f>SUMIFS('Bilateral Assistance, MAIN DATA'!$M:$M,'Bilateral Assistance, MAIN DATA'!$AH:$AH,I36,'Bilateral Assistance, MAIN DATA'!$AY:$AY,0, 'Bilateral Assistance, MAIN DATA'!$AX:$AX,0,'Bilateral Assistance, MAIN DATA'!$AO:$AO,"122mm MLRS")+SUMIFS('Bilateral Assistance, MAIN DATA'!$M:$M,'Bilateral Assistance, MAIN DATA'!$AH:$AH,I36,'Bilateral Assistance, MAIN DATA'!$AY:$AY,0, 'Bilateral Assistance, MAIN DATA'!$AX:$AX,0,'Bilateral Assistance, MAIN DATA'!$AO:$AO,"127mm MLRS")+SUMIFS('Bilateral Assistance, MAIN DATA'!$M:$M,'Bilateral Assistance, MAIN DATA'!$AH:$AH,I36,'Bilateral Assistance, MAIN DATA'!$AY:$AY,0, 'Bilateral Assistance, MAIN DATA'!$AX:$AX,0,'Bilateral Assistance, MAIN DATA'!$AO:$AO,"227mm MLRS")</f>
        <v>0</v>
      </c>
      <c r="G36" s="532">
        <f>(SUMIFS('Bilateral Assistance, MAIN DATA'!$M:$M,'Bilateral Assistance, MAIN DATA'!$AH:$AH,I36,'Bilateral Assistance, MAIN DATA'!$AO:$AO,"122mm MLRS", 'Bilateral Assistance, MAIN DATA'!$B:$B, "United States")+SUMIFS('Bilateral Assistance, MAIN DATA'!$M:$M,'Bilateral Assistance, MAIN DATA'!$AH:$AH,I36,'Bilateral Assistance, MAIN DATA'!$AO:$AO,"127mm MLRS", 'Bilateral Assistance, MAIN DATA'!$B:$B, "United States")+SUMIFS('Bilateral Assistance, MAIN DATA'!$M:$M,'Bilateral Assistance, MAIN DATA'!$AH:$AH,I36,'Bilateral Assistance, MAIN DATA'!$AO:$AO,"227mm MLRS", 'Bilateral Assistance, MAIN DATA'!$B:$B, "United States"))</f>
        <v>18</v>
      </c>
      <c r="H36" s="532">
        <f>SUMIFS('Bilateral Assistance, MAIN DATA'!$M:$M,'Bilateral Assistance, MAIN DATA'!$AH:$AH,I36,'Bilateral Assistance, MAIN DATA'!$AO:$AO,"122mm MLRS")+SUMIFS('Bilateral Assistance, MAIN DATA'!$M:$M,'Bilateral Assistance, MAIN DATA'!$AH:$AH,I36,'Bilateral Assistance, MAIN DATA'!$AO:$AO,"127mm MLRS")+SUMIFS('Bilateral Assistance, MAIN DATA'!$M:$M,'Bilateral Assistance, MAIN DATA'!$AH:$AH,I36,'Bilateral Assistance, MAIN DATA'!$AO:$AO,"227mm MLRS")</f>
        <v>20</v>
      </c>
      <c r="I36" s="566">
        <v>9</v>
      </c>
    </row>
    <row r="37" spans="1:9" ht="15.6">
      <c r="A37" s="1468"/>
      <c r="B37" s="1463"/>
      <c r="C37" s="428" t="s">
        <v>4814</v>
      </c>
      <c r="D37" s="532">
        <f>SUMIFS('Bilateral Assistance, MAIN DATA'!$M:$M,'Bilateral Assistance, MAIN DATA'!$AH:$AH,I36,'Bilateral Assistance, MAIN DATA'!$AY:$AY,1,'Bilateral Assistance, MAIN DATA'!$AO:$AO,"155mm howitzer") + SUMIFS('Bilateral Assistance, MAIN DATA'!$M:$M,'Bilateral Assistance, MAIN DATA'!$AH:$AH,I36,'Bilateral Assistance, MAIN DATA'!$AY:$AY,1,'Bilateral Assistance, MAIN DATA'!$AO:$AO,"152mm howitzer")</f>
        <v>4</v>
      </c>
      <c r="E37" s="532">
        <f>SUMIFS('Bilateral Assistance, MAIN DATA'!$M:$M,'Bilateral Assistance, MAIN DATA'!$AH:$AH,I36,'Bilateral Assistance, MAIN DATA'!$AY:$AY,0, 'Bilateral Assistance, MAIN DATA'!$AX:$AX,1,'Bilateral Assistance, MAIN DATA'!$AO:$AO,"155mm howitzer")+SUMIFS('Bilateral Assistance, MAIN DATA'!$M:$M,'Bilateral Assistance, MAIN DATA'!$AH:$AH,I36,'Bilateral Assistance, MAIN DATA'!$AY:$AY,0, 'Bilateral Assistance, MAIN DATA'!$AX:$AX,1,'Bilateral Assistance, MAIN DATA'!$AO:$AO,"152mm howitzer")</f>
        <v>0</v>
      </c>
      <c r="F37" s="532">
        <f>SUMIFS('Bilateral Assistance, MAIN DATA'!$M:$M,'Bilateral Assistance, MAIN DATA'!$AH:$AH,I36,'Bilateral Assistance, MAIN DATA'!$AY:$AY,0, 'Bilateral Assistance, MAIN DATA'!$AX:$AX,0,'Bilateral Assistance, MAIN DATA'!$AO:$AO,"155mm howitzer")+SUMIFS('Bilateral Assistance, MAIN DATA'!$M:$M,'Bilateral Assistance, MAIN DATA'!$AH:$AH,I36,'Bilateral Assistance, MAIN DATA'!$AY:$AY,0, 'Bilateral Assistance, MAIN DATA'!$AX:$AX,0,'Bilateral Assistance, MAIN DATA'!$AO:$AO,"152mm howitzer")</f>
        <v>0</v>
      </c>
      <c r="G37" s="532">
        <f>SUMIFS('Bilateral Assistance, MAIN DATA'!$M:$M,'Bilateral Assistance, MAIN DATA'!$AH:$AH,I36,'Bilateral Assistance, MAIN DATA'!$AO:$AO,"155mm howitzer", 'Bilateral Assistance, MAIN DATA'!$B:$B, "United States") +SUMIFS('Bilateral Assistance, MAIN DATA'!$M:$M,'Bilateral Assistance, MAIN DATA'!$AH:$AH,I36,'Bilateral Assistance, MAIN DATA'!$AO:$AO,"152mm howitzer", 'Bilateral Assistance, MAIN DATA'!$B:$B, "United States")</f>
        <v>0</v>
      </c>
      <c r="H37" s="532">
        <f>SUMIFS('Bilateral Assistance, MAIN DATA'!$M:$M,'Bilateral Assistance, MAIN DATA'!$AH:$AH,I36,'Bilateral Assistance, MAIN DATA'!$AO:$AO,"155mm howitzer")</f>
        <v>4</v>
      </c>
      <c r="I37" s="566">
        <v>9</v>
      </c>
    </row>
    <row r="38" spans="1:9" ht="15.6">
      <c r="A38" s="1468"/>
      <c r="B38" s="1463"/>
      <c r="C38" s="428" t="s">
        <v>4691</v>
      </c>
      <c r="D38" s="532">
        <f>SUMIFS('Bilateral Assistance, MAIN DATA'!$M:$M,'Bilateral Assistance, MAIN DATA'!$AH:$AH,I36,'Bilateral Assistance, MAIN DATA'!$AY:$AY,1,'Bilateral Assistance, MAIN DATA'!$AO:$AO,"Main battle tank (MBT)")</f>
        <v>28</v>
      </c>
      <c r="E38" s="532">
        <f>SUMIFS('Bilateral Assistance, MAIN DATA'!$M:$M,'Bilateral Assistance, MAIN DATA'!$AH:$AH,I36,'Bilateral Assistance, MAIN DATA'!$AY:$AY,0, 'Bilateral Assistance, MAIN DATA'!$AX:$AX,1,'Bilateral Assistance, MAIN DATA'!$AO:$AO,"Main battle tank (MBT)")</f>
        <v>0</v>
      </c>
      <c r="F38" s="532">
        <f>SUMIFS('Bilateral Assistance, MAIN DATA'!$M:$M,'Bilateral Assistance, MAIN DATA'!$AH:$AH,I36,'Bilateral Assistance, MAIN DATA'!$AY:$AY,0, 'Bilateral Assistance, MAIN DATA'!$AX:$AX,0,'Bilateral Assistance, MAIN DATA'!$AO:$AO,"Main battle tank (MBT)")</f>
        <v>0</v>
      </c>
      <c r="G38" s="532">
        <f>SUMIFS('Bilateral Assistance, MAIN DATA'!$M:$M,'Bilateral Assistance, MAIN DATA'!$AH:$AH,I36,'Bilateral Assistance, MAIN DATA'!$AO:$AO,"Main battle tank (MBT)", 'Bilateral Assistance, MAIN DATA'!$B:$B, "United States")</f>
        <v>0</v>
      </c>
      <c r="H38" s="532">
        <f>SUMIFS('Bilateral Assistance, MAIN DATA'!$M:$M,'Bilateral Assistance, MAIN DATA'!$AH:$AH,I36,'Bilateral Assistance, MAIN DATA'!$AO:$AO,"Main battle tank (MBT)")</f>
        <v>28</v>
      </c>
      <c r="I38" s="566">
        <v>9</v>
      </c>
    </row>
    <row r="39" spans="1:9" ht="15.6">
      <c r="A39" s="1468"/>
      <c r="B39" s="1463" t="s">
        <v>4613</v>
      </c>
      <c r="C39" s="428" t="s">
        <v>4640</v>
      </c>
      <c r="D39" s="532">
        <f>SUMIFS('Bilateral Assistance, MAIN DATA'!$M:$M,'Bilateral Assistance, MAIN DATA'!$AH:$AH,I39,'Bilateral Assistance, MAIN DATA'!$AY:$AY,1,'Bilateral Assistance, MAIN DATA'!$AO:$AO,"122mm MLRS")+SUMIFS('Bilateral Assistance, MAIN DATA'!$M:$M,'Bilateral Assistance, MAIN DATA'!$AH:$AH,I39,'Bilateral Assistance, MAIN DATA'!$AY:$AY,1,'Bilateral Assistance, MAIN DATA'!$AO:$AO,"127mm MLRS")+SUMIFS('Bilateral Assistance, MAIN DATA'!$M:$M,'Bilateral Assistance, MAIN DATA'!$AH:$AH,I39,'Bilateral Assistance, MAIN DATA'!$AY:$AY,1,'Bilateral Assistance, MAIN DATA'!$AO:$AO,"227mm MLRS")</f>
        <v>2</v>
      </c>
      <c r="E39" s="532">
        <f>SUMIFS('Bilateral Assistance, MAIN DATA'!$M:$M,'Bilateral Assistance, MAIN DATA'!$AH:$AH,I39,'Bilateral Assistance, MAIN DATA'!$AY:$AY,0, 'Bilateral Assistance, MAIN DATA'!$AX:$AX,1,'Bilateral Assistance, MAIN DATA'!$AO:$AO,"122mm MLRS")+SUMIFS('Bilateral Assistance, MAIN DATA'!$M:$M,'Bilateral Assistance, MAIN DATA'!$AH:$AH,I39,'Bilateral Assistance, MAIN DATA'!$AY:$AY,0, 'Bilateral Assistance, MAIN DATA'!$AX:$AX,1,'Bilateral Assistance, MAIN DATA'!$AO:$AO,"127mm MLRS")+SUMIFS('Bilateral Assistance, MAIN DATA'!$M:$M,'Bilateral Assistance, MAIN DATA'!$AH:$AH,I39,'Bilateral Assistance, MAIN DATA'!$AY:$AY,0, 'Bilateral Assistance, MAIN DATA'!$AX:$AX,1,'Bilateral Assistance, MAIN DATA'!$AO:$AO,"227mm MLRS")</f>
        <v>4</v>
      </c>
      <c r="F39" s="532">
        <f>SUMIFS('Bilateral Assistance, MAIN DATA'!$M:$M,'Bilateral Assistance, MAIN DATA'!$AH:$AH,I39,'Bilateral Assistance, MAIN DATA'!$AY:$AY,0, 'Bilateral Assistance, MAIN DATA'!$AX:$AX,0,'Bilateral Assistance, MAIN DATA'!$AO:$AO,"122mm MLRS")+SUMIFS('Bilateral Assistance, MAIN DATA'!$M:$M,'Bilateral Assistance, MAIN DATA'!$AH:$AH,I39,'Bilateral Assistance, MAIN DATA'!$AY:$AY,0, 'Bilateral Assistance, MAIN DATA'!$AX:$AX,0,'Bilateral Assistance, MAIN DATA'!$AO:$AO,"127mm MLRS")+SUMIFS('Bilateral Assistance, MAIN DATA'!$M:$M,'Bilateral Assistance, MAIN DATA'!$AH:$AH,I39,'Bilateral Assistance, MAIN DATA'!$AY:$AY,0, 'Bilateral Assistance, MAIN DATA'!$AX:$AX,0,'Bilateral Assistance, MAIN DATA'!$AO:$AO,"227mm MLRS")</f>
        <v>0</v>
      </c>
      <c r="G39" s="532">
        <f>(SUMIFS('Bilateral Assistance, MAIN DATA'!$M:$M,'Bilateral Assistance, MAIN DATA'!$AH:$AH,I39,'Bilateral Assistance, MAIN DATA'!$AO:$AO,"122mm MLRS", 'Bilateral Assistance, MAIN DATA'!$B:$B, "United States")+SUMIFS('Bilateral Assistance, MAIN DATA'!$M:$M,'Bilateral Assistance, MAIN DATA'!$AH:$AH,I39,'Bilateral Assistance, MAIN DATA'!$AO:$AO,"127mm MLRS", 'Bilateral Assistance, MAIN DATA'!$B:$B, "United States")+SUMIFS('Bilateral Assistance, MAIN DATA'!$M:$M,'Bilateral Assistance, MAIN DATA'!$AH:$AH,I39,'Bilateral Assistance, MAIN DATA'!$AO:$AO,"227mm MLRS", 'Bilateral Assistance, MAIN DATA'!$B:$B, "United States"))</f>
        <v>4</v>
      </c>
      <c r="H39" s="532">
        <f>SUMIFS('Bilateral Assistance, MAIN DATA'!$M:$M,'Bilateral Assistance, MAIN DATA'!$AH:$AH,I39,'Bilateral Assistance, MAIN DATA'!$AO:$AO,"122mm MLRS")+SUMIFS('Bilateral Assistance, MAIN DATA'!$M:$M,'Bilateral Assistance, MAIN DATA'!$AH:$AH,I39,'Bilateral Assistance, MAIN DATA'!$AO:$AO,"127mm MLRS")+SUMIFS('Bilateral Assistance, MAIN DATA'!$M:$M,'Bilateral Assistance, MAIN DATA'!$AH:$AH,I39,'Bilateral Assistance, MAIN DATA'!$AO:$AO,"227mm MLRS")</f>
        <v>6</v>
      </c>
      <c r="I39" s="566">
        <v>10</v>
      </c>
    </row>
    <row r="40" spans="1:9" ht="15.6">
      <c r="A40" s="1468"/>
      <c r="B40" s="1463"/>
      <c r="C40" s="428" t="s">
        <v>4814</v>
      </c>
      <c r="D40" s="532">
        <f>SUMIFS('Bilateral Assistance, MAIN DATA'!$M:$M,'Bilateral Assistance, MAIN DATA'!$AH:$AH,I39,'Bilateral Assistance, MAIN DATA'!$AY:$AY,1,'Bilateral Assistance, MAIN DATA'!$AO:$AO,"155mm howitzer") + SUMIFS('Bilateral Assistance, MAIN DATA'!$M:$M,'Bilateral Assistance, MAIN DATA'!$AH:$AH,I39,'Bilateral Assistance, MAIN DATA'!$AY:$AY,1,'Bilateral Assistance, MAIN DATA'!$AO:$AO,"152mm howitzer")</f>
        <v>41.333333333333329</v>
      </c>
      <c r="E40" s="532">
        <f>SUMIFS('Bilateral Assistance, MAIN DATA'!$M:$M,'Bilateral Assistance, MAIN DATA'!$AH:$AH,I39,'Bilateral Assistance, MAIN DATA'!$AY:$AY,0, 'Bilateral Assistance, MAIN DATA'!$AX:$AX,1,'Bilateral Assistance, MAIN DATA'!$AO:$AO,"155mm howitzer")+SUMIFS('Bilateral Assistance, MAIN DATA'!$M:$M,'Bilateral Assistance, MAIN DATA'!$AH:$AH,I39,'Bilateral Assistance, MAIN DATA'!$AY:$AY,0, 'Bilateral Assistance, MAIN DATA'!$AX:$AX,1,'Bilateral Assistance, MAIN DATA'!$AO:$AO,"152mm howitzer")</f>
        <v>21.333333333333332</v>
      </c>
      <c r="F40" s="532">
        <f>SUMIFS('Bilateral Assistance, MAIN DATA'!$M:$M,'Bilateral Assistance, MAIN DATA'!$AH:$AH,I39,'Bilateral Assistance, MAIN DATA'!$AY:$AY,0, 'Bilateral Assistance, MAIN DATA'!$AX:$AX,0,'Bilateral Assistance, MAIN DATA'!$AO:$AO,"155mm howitzer")+SUMIFS('Bilateral Assistance, MAIN DATA'!$M:$M,'Bilateral Assistance, MAIN DATA'!$AH:$AH,I39,'Bilateral Assistance, MAIN DATA'!$AY:$AY,0, 'Bilateral Assistance, MAIN DATA'!$AX:$AX,0,'Bilateral Assistance, MAIN DATA'!$AO:$AO,"152mm howitzer")</f>
        <v>0</v>
      </c>
      <c r="G40" s="532">
        <f>SUMIFS('Bilateral Assistance, MAIN DATA'!$M:$M,'Bilateral Assistance, MAIN DATA'!$AH:$AH,I39,'Bilateral Assistance, MAIN DATA'!$AO:$AO,"155mm howitzer", 'Bilateral Assistance, MAIN DATA'!$B:$B, "United States") +SUMIFS('Bilateral Assistance, MAIN DATA'!$M:$M,'Bilateral Assistance, MAIN DATA'!$AH:$AH,I39,'Bilateral Assistance, MAIN DATA'!$AO:$AO,"152mm howitzer", 'Bilateral Assistance, MAIN DATA'!$B:$B, "United States")</f>
        <v>16</v>
      </c>
      <c r="H40" s="532">
        <f>SUMIFS('Bilateral Assistance, MAIN DATA'!$M:$M,'Bilateral Assistance, MAIN DATA'!$AH:$AH,I39,'Bilateral Assistance, MAIN DATA'!$AO:$AO,"155mm howitzer")</f>
        <v>62.666666666666664</v>
      </c>
      <c r="I40" s="566">
        <v>10</v>
      </c>
    </row>
    <row r="41" spans="1:9" ht="15.6">
      <c r="A41" s="1468"/>
      <c r="B41" s="1463"/>
      <c r="C41" s="428" t="s">
        <v>4691</v>
      </c>
      <c r="D41" s="532">
        <f>SUMIFS('Bilateral Assistance, MAIN DATA'!$M:$M,'Bilateral Assistance, MAIN DATA'!$AH:$AH,I39,'Bilateral Assistance, MAIN DATA'!$AY:$AY,1,'Bilateral Assistance, MAIN DATA'!$AO:$AO,"Main battle tank (MBT)")</f>
        <v>0</v>
      </c>
      <c r="E41" s="532">
        <f>SUMIFS('Bilateral Assistance, MAIN DATA'!$M:$M,'Bilateral Assistance, MAIN DATA'!$AH:$AH,I39,'Bilateral Assistance, MAIN DATA'!$AY:$AY,0, 'Bilateral Assistance, MAIN DATA'!$AX:$AX,1,'Bilateral Assistance, MAIN DATA'!$AO:$AO,"Main battle tank (MBT)")</f>
        <v>0</v>
      </c>
      <c r="F41" s="532">
        <f>SUMIFS('Bilateral Assistance, MAIN DATA'!$M:$M,'Bilateral Assistance, MAIN DATA'!$AH:$AH,I39,'Bilateral Assistance, MAIN DATA'!$AY:$AY,0, 'Bilateral Assistance, MAIN DATA'!$AX:$AX,0,'Bilateral Assistance, MAIN DATA'!$AO:$AO,"Main battle tank (MBT)")</f>
        <v>0</v>
      </c>
      <c r="G41" s="532">
        <f>SUMIFS('Bilateral Assistance, MAIN DATA'!$M:$M,'Bilateral Assistance, MAIN DATA'!$AH:$AH,I39,'Bilateral Assistance, MAIN DATA'!$AO:$AO,"Main battle tank (MBT)", 'Bilateral Assistance, MAIN DATA'!$B:$B, "United States")</f>
        <v>0</v>
      </c>
      <c r="H41" s="532">
        <f>SUMIFS('Bilateral Assistance, MAIN DATA'!$M:$M,'Bilateral Assistance, MAIN DATA'!$AH:$AH,I39,'Bilateral Assistance, MAIN DATA'!$AO:$AO,"Main battle tank (MBT)")</f>
        <v>0</v>
      </c>
      <c r="I41" s="566">
        <v>10</v>
      </c>
    </row>
    <row r="42" spans="1:9" ht="15.6">
      <c r="A42" s="1468"/>
      <c r="B42" s="1463" t="s">
        <v>4614</v>
      </c>
      <c r="C42" s="428" t="s">
        <v>4640</v>
      </c>
      <c r="D42" s="532">
        <f>SUMIFS('Bilateral Assistance, MAIN DATA'!$M:$M,'Bilateral Assistance, MAIN DATA'!$AH:$AH,I42,'Bilateral Assistance, MAIN DATA'!$AY:$AY,1,'Bilateral Assistance, MAIN DATA'!$AO:$AO,"122mm MLRS")+SUMIFS('Bilateral Assistance, MAIN DATA'!$M:$M,'Bilateral Assistance, MAIN DATA'!$AH:$AH,I42,'Bilateral Assistance, MAIN DATA'!$AY:$AY,1,'Bilateral Assistance, MAIN DATA'!$AO:$AO,"127mm MLRS")+SUMIFS('Bilateral Assistance, MAIN DATA'!$M:$M,'Bilateral Assistance, MAIN DATA'!$AH:$AH,I42,'Bilateral Assistance, MAIN DATA'!$AY:$AY,1,'Bilateral Assistance, MAIN DATA'!$AO:$AO,"227mm MLRS")</f>
        <v>2</v>
      </c>
      <c r="E42" s="532">
        <f>SUMIFS('Bilateral Assistance, MAIN DATA'!$M:$M,'Bilateral Assistance, MAIN DATA'!$AH:$AH,I42,'Bilateral Assistance, MAIN DATA'!$AY:$AY,0, 'Bilateral Assistance, MAIN DATA'!$AX:$AX,1,'Bilateral Assistance, MAIN DATA'!$AO:$AO,"122mm MLRS")+SUMIFS('Bilateral Assistance, MAIN DATA'!$M:$M,'Bilateral Assistance, MAIN DATA'!$AH:$AH,I42,'Bilateral Assistance, MAIN DATA'!$AY:$AY,0, 'Bilateral Assistance, MAIN DATA'!$AX:$AX,1,'Bilateral Assistance, MAIN DATA'!$AO:$AO,"127mm MLRS")+SUMIFS('Bilateral Assistance, MAIN DATA'!$M:$M,'Bilateral Assistance, MAIN DATA'!$AH:$AH,I42,'Bilateral Assistance, MAIN DATA'!$AY:$AY,0, 'Bilateral Assistance, MAIN DATA'!$AX:$AX,1,'Bilateral Assistance, MAIN DATA'!$AO:$AO,"227mm MLRS")</f>
        <v>0</v>
      </c>
      <c r="F42" s="532">
        <f>SUMIFS('Bilateral Assistance, MAIN DATA'!$M:$M,'Bilateral Assistance, MAIN DATA'!$AH:$AH,I42,'Bilateral Assistance, MAIN DATA'!$AY:$AY,0, 'Bilateral Assistance, MAIN DATA'!$AX:$AX,0,'Bilateral Assistance, MAIN DATA'!$AO:$AO,"122mm MLRS")+SUMIFS('Bilateral Assistance, MAIN DATA'!$M:$M,'Bilateral Assistance, MAIN DATA'!$AH:$AH,I42,'Bilateral Assistance, MAIN DATA'!$AY:$AY,0, 'Bilateral Assistance, MAIN DATA'!$AX:$AX,0,'Bilateral Assistance, MAIN DATA'!$AO:$AO,"127mm MLRS")+SUMIFS('Bilateral Assistance, MAIN DATA'!$M:$M,'Bilateral Assistance, MAIN DATA'!$AH:$AH,I42,'Bilateral Assistance, MAIN DATA'!$AY:$AY,0, 'Bilateral Assistance, MAIN DATA'!$AX:$AX,0,'Bilateral Assistance, MAIN DATA'!$AO:$AO,"227mm MLRS")</f>
        <v>0</v>
      </c>
      <c r="G42" s="532">
        <f>(SUMIFS('Bilateral Assistance, MAIN DATA'!$M:$M,'Bilateral Assistance, MAIN DATA'!$AH:$AH,I42,'Bilateral Assistance, MAIN DATA'!$AO:$AO,"122mm MLRS", 'Bilateral Assistance, MAIN DATA'!$B:$B, "United States")+SUMIFS('Bilateral Assistance, MAIN DATA'!$M:$M,'Bilateral Assistance, MAIN DATA'!$AH:$AH,I42,'Bilateral Assistance, MAIN DATA'!$AO:$AO,"127mm MLRS", 'Bilateral Assistance, MAIN DATA'!$B:$B, "United States")+SUMIFS('Bilateral Assistance, MAIN DATA'!$M:$M,'Bilateral Assistance, MAIN DATA'!$AH:$AH,I42,'Bilateral Assistance, MAIN DATA'!$AO:$AO,"227mm MLRS", 'Bilateral Assistance, MAIN DATA'!$B:$B, "United States"))</f>
        <v>0</v>
      </c>
      <c r="H42" s="532">
        <f>SUMIFS('Bilateral Assistance, MAIN DATA'!$M:$M,'Bilateral Assistance, MAIN DATA'!$AH:$AH,I42,'Bilateral Assistance, MAIN DATA'!$AO:$AO,"122mm MLRS")+SUMIFS('Bilateral Assistance, MAIN DATA'!$M:$M,'Bilateral Assistance, MAIN DATA'!$AH:$AH,I42,'Bilateral Assistance, MAIN DATA'!$AO:$AO,"127mm MLRS")+SUMIFS('Bilateral Assistance, MAIN DATA'!$M:$M,'Bilateral Assistance, MAIN DATA'!$AH:$AH,I42,'Bilateral Assistance, MAIN DATA'!$AO:$AO,"227mm MLRS")</f>
        <v>2</v>
      </c>
      <c r="I42" s="566">
        <v>11</v>
      </c>
    </row>
    <row r="43" spans="1:9" ht="15.6">
      <c r="A43" s="1468"/>
      <c r="B43" s="1463"/>
      <c r="C43" s="428" t="s">
        <v>4814</v>
      </c>
      <c r="D43" s="532">
        <f>SUMIFS('Bilateral Assistance, MAIN DATA'!$M:$M,'Bilateral Assistance, MAIN DATA'!$AH:$AH,I42,'Bilateral Assistance, MAIN DATA'!$AY:$AY,1,'Bilateral Assistance, MAIN DATA'!$AO:$AO,"155mm howitzer") + SUMIFS('Bilateral Assistance, MAIN DATA'!$M:$M,'Bilateral Assistance, MAIN DATA'!$AH:$AH,I42,'Bilateral Assistance, MAIN DATA'!$AY:$AY,1,'Bilateral Assistance, MAIN DATA'!$AO:$AO,"152mm howitzer")</f>
        <v>0</v>
      </c>
      <c r="E43" s="532">
        <f>SUMIFS('Bilateral Assistance, MAIN DATA'!$M:$M,'Bilateral Assistance, MAIN DATA'!$AH:$AH,I42,'Bilateral Assistance, MAIN DATA'!$AY:$AY,0, 'Bilateral Assistance, MAIN DATA'!$AX:$AX,1,'Bilateral Assistance, MAIN DATA'!$AO:$AO,"155mm howitzer")+SUMIFS('Bilateral Assistance, MAIN DATA'!$M:$M,'Bilateral Assistance, MAIN DATA'!$AH:$AH,I42,'Bilateral Assistance, MAIN DATA'!$AY:$AY,0, 'Bilateral Assistance, MAIN DATA'!$AX:$AX,1,'Bilateral Assistance, MAIN DATA'!$AO:$AO,"152mm howitzer")</f>
        <v>0</v>
      </c>
      <c r="F43" s="532">
        <f>SUMIFS('Bilateral Assistance, MAIN DATA'!$M:$M,'Bilateral Assistance, MAIN DATA'!$AH:$AH,I42,'Bilateral Assistance, MAIN DATA'!$AY:$AY,0, 'Bilateral Assistance, MAIN DATA'!$AX:$AX,0,'Bilateral Assistance, MAIN DATA'!$AO:$AO,"155mm howitzer")+SUMIFS('Bilateral Assistance, MAIN DATA'!$M:$M,'Bilateral Assistance, MAIN DATA'!$AH:$AH,I42,'Bilateral Assistance, MAIN DATA'!$AY:$AY,0, 'Bilateral Assistance, MAIN DATA'!$AX:$AX,0,'Bilateral Assistance, MAIN DATA'!$AO:$AO,"152mm howitzer")</f>
        <v>0</v>
      </c>
      <c r="G43" s="532">
        <f>SUMIFS('Bilateral Assistance, MAIN DATA'!$M:$M,'Bilateral Assistance, MAIN DATA'!$AH:$AH,I42,'Bilateral Assistance, MAIN DATA'!$AO:$AO,"155mm howitzer", 'Bilateral Assistance, MAIN DATA'!$B:$B, "United States") +SUMIFS('Bilateral Assistance, MAIN DATA'!$M:$M,'Bilateral Assistance, MAIN DATA'!$AH:$AH,I42,'Bilateral Assistance, MAIN DATA'!$AO:$AO,"152mm howitzer", 'Bilateral Assistance, MAIN DATA'!$B:$B, "United States")</f>
        <v>0</v>
      </c>
      <c r="H43" s="532">
        <f>SUMIFS('Bilateral Assistance, MAIN DATA'!$M:$M,'Bilateral Assistance, MAIN DATA'!$AH:$AH,I42,'Bilateral Assistance, MAIN DATA'!$AO:$AO,"155mm howitzer")</f>
        <v>0</v>
      </c>
      <c r="I43" s="566">
        <v>11</v>
      </c>
    </row>
    <row r="44" spans="1:9" ht="15.6">
      <c r="A44" s="1468"/>
      <c r="B44" s="1463"/>
      <c r="C44" s="428" t="s">
        <v>4691</v>
      </c>
      <c r="D44" s="532">
        <f>SUMIFS('Bilateral Assistance, MAIN DATA'!$M:$M,'Bilateral Assistance, MAIN DATA'!$AH:$AH,I42,'Bilateral Assistance, MAIN DATA'!$AY:$AY,1,'Bilateral Assistance, MAIN DATA'!$AO:$AO,"Main battle tank (MBT)")</f>
        <v>45</v>
      </c>
      <c r="E44" s="532">
        <f>SUMIFS('Bilateral Assistance, MAIN DATA'!$M:$M,'Bilateral Assistance, MAIN DATA'!$AH:$AH,I42,'Bilateral Assistance, MAIN DATA'!$AY:$AY,0, 'Bilateral Assistance, MAIN DATA'!$AX:$AX,1,'Bilateral Assistance, MAIN DATA'!$AO:$AO,"Main battle tank (MBT)")</f>
        <v>45</v>
      </c>
      <c r="F44" s="532">
        <f>SUMIFS('Bilateral Assistance, MAIN DATA'!$M:$M,'Bilateral Assistance, MAIN DATA'!$AH:$AH,I42,'Bilateral Assistance, MAIN DATA'!$AY:$AY,0, 'Bilateral Assistance, MAIN DATA'!$AX:$AX,0,'Bilateral Assistance, MAIN DATA'!$AO:$AO,"Main battle tank (MBT)")</f>
        <v>0</v>
      </c>
      <c r="G44" s="532">
        <f>SUMIFS('Bilateral Assistance, MAIN DATA'!$M:$M,'Bilateral Assistance, MAIN DATA'!$AH:$AH,I42,'Bilateral Assistance, MAIN DATA'!$AO:$AO,"Main battle tank (MBT)", 'Bilateral Assistance, MAIN DATA'!$B:$B, "United States")</f>
        <v>45</v>
      </c>
      <c r="H44" s="532">
        <f>SUMIFS('Bilateral Assistance, MAIN DATA'!$M:$M,'Bilateral Assistance, MAIN DATA'!$AH:$AH,I42,'Bilateral Assistance, MAIN DATA'!$AO:$AO,"Main battle tank (MBT)")</f>
        <v>90</v>
      </c>
      <c r="I44" s="566">
        <v>11</v>
      </c>
    </row>
    <row r="45" spans="1:9" ht="15.6">
      <c r="A45" s="1468"/>
      <c r="B45" s="1463" t="s">
        <v>4615</v>
      </c>
      <c r="C45" s="428" t="s">
        <v>4640</v>
      </c>
      <c r="D45" s="532">
        <f>SUMIFS('Bilateral Assistance, MAIN DATA'!$M:$M,'Bilateral Assistance, MAIN DATA'!$AH:$AH,I45,'Bilateral Assistance, MAIN DATA'!$AY:$AY,1,'Bilateral Assistance, MAIN DATA'!$AO:$AO,"122mm MLRS")+SUMIFS('Bilateral Assistance, MAIN DATA'!$M:$M,'Bilateral Assistance, MAIN DATA'!$AH:$AH,I45,'Bilateral Assistance, MAIN DATA'!$AY:$AY,1,'Bilateral Assistance, MAIN DATA'!$AO:$AO,"127mm MLRS")+SUMIFS('Bilateral Assistance, MAIN DATA'!$M:$M,'Bilateral Assistance, MAIN DATA'!$AH:$AH,I45,'Bilateral Assistance, MAIN DATA'!$AY:$AY,1,'Bilateral Assistance, MAIN DATA'!$AO:$AO,"227mm MLRS")</f>
        <v>0</v>
      </c>
      <c r="E45" s="532">
        <f>SUMIFS('Bilateral Assistance, MAIN DATA'!$M:$M,'Bilateral Assistance, MAIN DATA'!$AH:$AH,I45,'Bilateral Assistance, MAIN DATA'!$AY:$AY,0, 'Bilateral Assistance, MAIN DATA'!$AX:$AX,1,'Bilateral Assistance, MAIN DATA'!$AO:$AO,"122mm MLRS")+SUMIFS('Bilateral Assistance, MAIN DATA'!$M:$M,'Bilateral Assistance, MAIN DATA'!$AH:$AH,I45,'Bilateral Assistance, MAIN DATA'!$AY:$AY,0, 'Bilateral Assistance, MAIN DATA'!$AX:$AX,1,'Bilateral Assistance, MAIN DATA'!$AO:$AO,"127mm MLRS")+SUMIFS('Bilateral Assistance, MAIN DATA'!$M:$M,'Bilateral Assistance, MAIN DATA'!$AH:$AH,I45,'Bilateral Assistance, MAIN DATA'!$AY:$AY,0, 'Bilateral Assistance, MAIN DATA'!$AX:$AX,1,'Bilateral Assistance, MAIN DATA'!$AO:$AO,"227mm MLRS")</f>
        <v>0</v>
      </c>
      <c r="F45" s="532">
        <f>SUMIFS('Bilateral Assistance, MAIN DATA'!$M:$M,'Bilateral Assistance, MAIN DATA'!$AH:$AH,I45,'Bilateral Assistance, MAIN DATA'!$AY:$AY,0, 'Bilateral Assistance, MAIN DATA'!$AX:$AX,0,'Bilateral Assistance, MAIN DATA'!$AO:$AO,"122mm MLRS")+SUMIFS('Bilateral Assistance, MAIN DATA'!$M:$M,'Bilateral Assistance, MAIN DATA'!$AH:$AH,I45,'Bilateral Assistance, MAIN DATA'!$AY:$AY,0, 'Bilateral Assistance, MAIN DATA'!$AX:$AX,0,'Bilateral Assistance, MAIN DATA'!$AO:$AO,"127mm MLRS")+SUMIFS('Bilateral Assistance, MAIN DATA'!$M:$M,'Bilateral Assistance, MAIN DATA'!$AH:$AH,I45,'Bilateral Assistance, MAIN DATA'!$AY:$AY,0, 'Bilateral Assistance, MAIN DATA'!$AX:$AX,0,'Bilateral Assistance, MAIN DATA'!$AO:$AO,"227mm MLRS")</f>
        <v>0</v>
      </c>
      <c r="G45" s="532">
        <f>(SUMIFS('Bilateral Assistance, MAIN DATA'!$M:$M,'Bilateral Assistance, MAIN DATA'!$AH:$AH,I45,'Bilateral Assistance, MAIN DATA'!$AO:$AO,"122mm MLRS", 'Bilateral Assistance, MAIN DATA'!$B:$B, "United States")+SUMIFS('Bilateral Assistance, MAIN DATA'!$M:$M,'Bilateral Assistance, MAIN DATA'!$AH:$AH,I45,'Bilateral Assistance, MAIN DATA'!$AO:$AO,"127mm MLRS", 'Bilateral Assistance, MAIN DATA'!$B:$B, "United States")+SUMIFS('Bilateral Assistance, MAIN DATA'!$M:$M,'Bilateral Assistance, MAIN DATA'!$AH:$AH,I45,'Bilateral Assistance, MAIN DATA'!$AO:$AO,"227mm MLRS", 'Bilateral Assistance, MAIN DATA'!$B:$B, "United States"))</f>
        <v>0</v>
      </c>
      <c r="H45" s="532">
        <f>SUMIFS('Bilateral Assistance, MAIN DATA'!$M:$M,'Bilateral Assistance, MAIN DATA'!$AH:$AH,I45,'Bilateral Assistance, MAIN DATA'!$AO:$AO,"122mm MLRS")+SUMIFS('Bilateral Assistance, MAIN DATA'!$M:$M,'Bilateral Assistance, MAIN DATA'!$AH:$AH,I45,'Bilateral Assistance, MAIN DATA'!$AO:$AO,"127mm MLRS")+SUMIFS('Bilateral Assistance, MAIN DATA'!$M:$M,'Bilateral Assistance, MAIN DATA'!$AH:$AH,I45,'Bilateral Assistance, MAIN DATA'!$AO:$AO,"227mm MLRS")</f>
        <v>0</v>
      </c>
      <c r="I45" s="566">
        <v>12</v>
      </c>
    </row>
    <row r="46" spans="1:9" ht="15.6">
      <c r="A46" s="1468"/>
      <c r="B46" s="1463"/>
      <c r="C46" s="428" t="s">
        <v>4814</v>
      </c>
      <c r="D46" s="532">
        <f>SUMIFS('Bilateral Assistance, MAIN DATA'!$M:$M,'Bilateral Assistance, MAIN DATA'!$AH:$AH,I45,'Bilateral Assistance, MAIN DATA'!$AY:$AY,1,'Bilateral Assistance, MAIN DATA'!$AO:$AO,"155mm howitzer") + SUMIFS('Bilateral Assistance, MAIN DATA'!$M:$M,'Bilateral Assistance, MAIN DATA'!$AH:$AH,I45,'Bilateral Assistance, MAIN DATA'!$AY:$AY,1,'Bilateral Assistance, MAIN DATA'!$AO:$AO,"152mm howitzer")</f>
        <v>66</v>
      </c>
      <c r="E46" s="532">
        <f>SUMIFS('Bilateral Assistance, MAIN DATA'!$M:$M,'Bilateral Assistance, MAIN DATA'!$AH:$AH,I45,'Bilateral Assistance, MAIN DATA'!$AY:$AY,0, 'Bilateral Assistance, MAIN DATA'!$AX:$AX,1,'Bilateral Assistance, MAIN DATA'!$AO:$AO,"155mm howitzer")+SUMIFS('Bilateral Assistance, MAIN DATA'!$M:$M,'Bilateral Assistance, MAIN DATA'!$AH:$AH,I45,'Bilateral Assistance, MAIN DATA'!$AY:$AY,0, 'Bilateral Assistance, MAIN DATA'!$AX:$AX,1,'Bilateral Assistance, MAIN DATA'!$AO:$AO,"152mm howitzer")</f>
        <v>0</v>
      </c>
      <c r="F46" s="532">
        <f>SUMIFS('Bilateral Assistance, MAIN DATA'!$M:$M,'Bilateral Assistance, MAIN DATA'!$AH:$AH,I45,'Bilateral Assistance, MAIN DATA'!$AY:$AY,0, 'Bilateral Assistance, MAIN DATA'!$AX:$AX,0,'Bilateral Assistance, MAIN DATA'!$AO:$AO,"155mm howitzer")+SUMIFS('Bilateral Assistance, MAIN DATA'!$M:$M,'Bilateral Assistance, MAIN DATA'!$AH:$AH,I45,'Bilateral Assistance, MAIN DATA'!$AY:$AY,0, 'Bilateral Assistance, MAIN DATA'!$AX:$AX,0,'Bilateral Assistance, MAIN DATA'!$AO:$AO,"152mm howitzer")</f>
        <v>0</v>
      </c>
      <c r="G46" s="532">
        <f>SUMIFS('Bilateral Assistance, MAIN DATA'!$M:$M,'Bilateral Assistance, MAIN DATA'!$AH:$AH,I45,'Bilateral Assistance, MAIN DATA'!$AO:$AO,"155mm howitzer", 'Bilateral Assistance, MAIN DATA'!$B:$B, "United States") +SUMIFS('Bilateral Assistance, MAIN DATA'!$M:$M,'Bilateral Assistance, MAIN DATA'!$AH:$AH,I45,'Bilateral Assistance, MAIN DATA'!$AO:$AO,"152mm howitzer", 'Bilateral Assistance, MAIN DATA'!$B:$B, "United States")</f>
        <v>0</v>
      </c>
      <c r="H46" s="532">
        <f>SUMIFS('Bilateral Assistance, MAIN DATA'!$M:$M,'Bilateral Assistance, MAIN DATA'!$AH:$AH,I45,'Bilateral Assistance, MAIN DATA'!$AO:$AO,"155mm howitzer")</f>
        <v>66</v>
      </c>
      <c r="I46" s="566">
        <v>12</v>
      </c>
    </row>
    <row r="47" spans="1:9" ht="15.6">
      <c r="A47" s="1468"/>
      <c r="B47" s="1464"/>
      <c r="C47" s="849" t="s">
        <v>4691</v>
      </c>
      <c r="D47" s="850">
        <f>SUMIFS('Bilateral Assistance, MAIN DATA'!$M:$M,'Bilateral Assistance, MAIN DATA'!$AH:$AH,I45,'Bilateral Assistance, MAIN DATA'!$AY:$AY,1,'Bilateral Assistance, MAIN DATA'!$AO:$AO,"Main battle tank (MBT)")</f>
        <v>0</v>
      </c>
      <c r="E47" s="850">
        <f>SUMIFS('Bilateral Assistance, MAIN DATA'!$M:$M,'Bilateral Assistance, MAIN DATA'!$AH:$AH,I45,'Bilateral Assistance, MAIN DATA'!$AY:$AY,0, 'Bilateral Assistance, MAIN DATA'!$AX:$AX,1,'Bilateral Assistance, MAIN DATA'!$AO:$AO,"Main battle tank (MBT)")</f>
        <v>0</v>
      </c>
      <c r="F47" s="850">
        <f>SUMIFS('Bilateral Assistance, MAIN DATA'!$M:$M,'Bilateral Assistance, MAIN DATA'!$AH:$AH,I45,'Bilateral Assistance, MAIN DATA'!$AY:$AY,0, 'Bilateral Assistance, MAIN DATA'!$AX:$AX,0,'Bilateral Assistance, MAIN DATA'!$AO:$AO,"Main battle tank (MBT)")</f>
        <v>0</v>
      </c>
      <c r="G47" s="850">
        <f>SUMIFS('Bilateral Assistance, MAIN DATA'!$M:$M,'Bilateral Assistance, MAIN DATA'!$AH:$AH,I45,'Bilateral Assistance, MAIN DATA'!$AO:$AO,"Main battle tank (MBT)", 'Bilateral Assistance, MAIN DATA'!$B:$B, "United States")</f>
        <v>0</v>
      </c>
      <c r="H47" s="850">
        <f>SUMIFS('Bilateral Assistance, MAIN DATA'!$M:$M,'Bilateral Assistance, MAIN DATA'!$AH:$AH,I45,'Bilateral Assistance, MAIN DATA'!$AO:$AO,"Main battle tank (MBT)")</f>
        <v>0</v>
      </c>
      <c r="I47" s="566">
        <v>12</v>
      </c>
    </row>
    <row r="48" spans="1:9" ht="1.5" customHeight="1">
      <c r="A48" s="1355"/>
      <c r="B48" s="855" t="s">
        <v>4626</v>
      </c>
      <c r="C48" s="856"/>
      <c r="D48" s="854"/>
      <c r="E48" s="854"/>
      <c r="F48" s="854"/>
      <c r="G48" s="854"/>
      <c r="H48" s="854"/>
      <c r="I48" s="566"/>
    </row>
    <row r="49" spans="1:9" ht="24.75" customHeight="1">
      <c r="A49" s="1355"/>
      <c r="B49" s="860"/>
      <c r="C49" s="1465">
        <v>2023</v>
      </c>
      <c r="D49" s="1465"/>
      <c r="E49" s="1465"/>
      <c r="F49" s="1465"/>
      <c r="G49" s="1465"/>
      <c r="H49" s="1465"/>
      <c r="I49" s="566"/>
    </row>
    <row r="50" spans="1:9" ht="1.5" customHeight="1">
      <c r="A50" s="1355"/>
      <c r="B50" s="857"/>
      <c r="C50" s="858"/>
      <c r="D50" s="858"/>
      <c r="E50" s="858"/>
      <c r="F50" s="858"/>
      <c r="G50" s="858"/>
      <c r="H50" s="858"/>
      <c r="I50" s="566"/>
    </row>
    <row r="51" spans="1:9" ht="15.6">
      <c r="A51" s="1468"/>
      <c r="B51" s="1463" t="s">
        <v>4815</v>
      </c>
      <c r="C51" s="428" t="s">
        <v>4640</v>
      </c>
      <c r="D51" s="532">
        <f>SUMIFS('Bilateral Assistance, MAIN DATA'!$M:$M,'Bilateral Assistance, MAIN DATA'!$AH:$AH,I51,'Bilateral Assistance, MAIN DATA'!$AY:$AY,1,'Bilateral Assistance, MAIN DATA'!$AO:$AO,"122mm MLRS")+SUMIFS('Bilateral Assistance, MAIN DATA'!$M:$M,'Bilateral Assistance, MAIN DATA'!$AH:$AH,I51,'Bilateral Assistance, MAIN DATA'!$AY:$AY,1,'Bilateral Assistance, MAIN DATA'!$AO:$AO,"127mm MLRS")+SUMIFS('Bilateral Assistance, MAIN DATA'!$M:$M,'Bilateral Assistance, MAIN DATA'!$AH:$AH,I51,'Bilateral Assistance, MAIN DATA'!$AY:$AY,1,'Bilateral Assistance, MAIN DATA'!$AO:$AO,"227mm MLRS")</f>
        <v>0</v>
      </c>
      <c r="E51" s="532">
        <f>SUMIFS('Bilateral Assistance, MAIN DATA'!$M:$M,'Bilateral Assistance, MAIN DATA'!$AH:$AH,I51,'Bilateral Assistance, MAIN DATA'!$AY:$AY,0, 'Bilateral Assistance, MAIN DATA'!$AX:$AX,1,'Bilateral Assistance, MAIN DATA'!$AO:$AO,"122mm MLRS")+SUMIFS('Bilateral Assistance, MAIN DATA'!$M:$M,'Bilateral Assistance, MAIN DATA'!$AH:$AH,I51,'Bilateral Assistance, MAIN DATA'!$AY:$AY,0, 'Bilateral Assistance, MAIN DATA'!$AX:$AX,1,'Bilateral Assistance, MAIN DATA'!$AO:$AO,"127mm MLRS")+SUMIFS('Bilateral Assistance, MAIN DATA'!$M:$M,'Bilateral Assistance, MAIN DATA'!$AH:$AH,I51,'Bilateral Assistance, MAIN DATA'!$AY:$AY,0, 'Bilateral Assistance, MAIN DATA'!$AX:$AX,1,'Bilateral Assistance, MAIN DATA'!$AO:$AO,"227mm MLRS")</f>
        <v>0</v>
      </c>
      <c r="F51" s="532">
        <f>SUMIFS('Bilateral Assistance, MAIN DATA'!$M:$M,'Bilateral Assistance, MAIN DATA'!$AH:$AH,I51,'Bilateral Assistance, MAIN DATA'!$AY:$AY,0, 'Bilateral Assistance, MAIN DATA'!$AX:$AX,0,'Bilateral Assistance, MAIN DATA'!$AO:$AO,"122mm MLRS")+SUMIFS('Bilateral Assistance, MAIN DATA'!$M:$M,'Bilateral Assistance, MAIN DATA'!$AH:$AH,I51,'Bilateral Assistance, MAIN DATA'!$AY:$AY,0, 'Bilateral Assistance, MAIN DATA'!$AX:$AX,0,'Bilateral Assistance, MAIN DATA'!$AO:$AO,"127mm MLRS")+SUMIFS('Bilateral Assistance, MAIN DATA'!$M:$M,'Bilateral Assistance, MAIN DATA'!$AH:$AH,I51,'Bilateral Assistance, MAIN DATA'!$AY:$AY,0, 'Bilateral Assistance, MAIN DATA'!$AX:$AX,0,'Bilateral Assistance, MAIN DATA'!$AO:$AO,"227mm MLRS")</f>
        <v>0</v>
      </c>
      <c r="G51" s="532">
        <f>(SUMIFS('Bilateral Assistance, MAIN DATA'!$M:$M,'Bilateral Assistance, MAIN DATA'!$AH:$AH,I51,'Bilateral Assistance, MAIN DATA'!$AO:$AO,"122mm MLRS", 'Bilateral Assistance, MAIN DATA'!$B:$B, "United States")+SUMIFS('Bilateral Assistance, MAIN DATA'!$M:$M,'Bilateral Assistance, MAIN DATA'!$AH:$AH,I51,'Bilateral Assistance, MAIN DATA'!$AO:$AO,"127mm MLRS", 'Bilateral Assistance, MAIN DATA'!$B:$B, "United States")+SUMIFS('Bilateral Assistance, MAIN DATA'!$M:$M,'Bilateral Assistance, MAIN DATA'!$AH:$AH,I51,'Bilateral Assistance, MAIN DATA'!$AO:$AO,"227mm MLRS", 'Bilateral Assistance, MAIN DATA'!$B:$B, "United States"))</f>
        <v>0</v>
      </c>
      <c r="H51" s="532">
        <f>SUMIFS('Bilateral Assistance, MAIN DATA'!$M:$M,'Bilateral Assistance, MAIN DATA'!$AH:$AH,I51,'Bilateral Assistance, MAIN DATA'!$AO:$AO,"122mm MLRS")+SUMIFS('Bilateral Assistance, MAIN DATA'!$M:$M,'Bilateral Assistance, MAIN DATA'!$AH:$AH,I51,'Bilateral Assistance, MAIN DATA'!$AO:$AO,"127mm MLRS")+SUMIFS('Bilateral Assistance, MAIN DATA'!$M:$M,'Bilateral Assistance, MAIN DATA'!$AH:$AH,I51,'Bilateral Assistance, MAIN DATA'!$AO:$AO,"227mm MLRS")</f>
        <v>0</v>
      </c>
      <c r="I51" s="566">
        <v>13</v>
      </c>
    </row>
    <row r="52" spans="1:9" ht="15.6">
      <c r="A52" s="1468"/>
      <c r="B52" s="1463"/>
      <c r="C52" s="428" t="s">
        <v>4814</v>
      </c>
      <c r="D52" s="532">
        <f>SUMIFS('Bilateral Assistance, MAIN DATA'!$M:$M,'Bilateral Assistance, MAIN DATA'!$AH:$AH,I51,'Bilateral Assistance, MAIN DATA'!$AY:$AY,1,'Bilateral Assistance, MAIN DATA'!$AO:$AO,"155mm howitzer") + SUMIFS('Bilateral Assistance, MAIN DATA'!$M:$M,'Bilateral Assistance, MAIN DATA'!$AH:$AH,I51,'Bilateral Assistance, MAIN DATA'!$AY:$AY,1,'Bilateral Assistance, MAIN DATA'!$AO:$AO,"152mm howitzer")</f>
        <v>51</v>
      </c>
      <c r="E52" s="532">
        <f>SUMIFS('Bilateral Assistance, MAIN DATA'!$M:$M,'Bilateral Assistance, MAIN DATA'!$AH:$AH,I51,'Bilateral Assistance, MAIN DATA'!$AY:$AY,0, 'Bilateral Assistance, MAIN DATA'!$AX:$AX,1,'Bilateral Assistance, MAIN DATA'!$AO:$AO,"155mm howitzer")+SUMIFS('Bilateral Assistance, MAIN DATA'!$M:$M,'Bilateral Assistance, MAIN DATA'!$AH:$AH,I51,'Bilateral Assistance, MAIN DATA'!$AY:$AY,0, 'Bilateral Assistance, MAIN DATA'!$AX:$AX,1,'Bilateral Assistance, MAIN DATA'!$AO:$AO,"152mm howitzer")</f>
        <v>48</v>
      </c>
      <c r="F52" s="532">
        <f>SUMIFS('Bilateral Assistance, MAIN DATA'!$M:$M,'Bilateral Assistance, MAIN DATA'!$AH:$AH,I51,'Bilateral Assistance, MAIN DATA'!$AY:$AY,0, 'Bilateral Assistance, MAIN DATA'!$AX:$AX,0,'Bilateral Assistance, MAIN DATA'!$AO:$AO,"155mm howitzer")+SUMIFS('Bilateral Assistance, MAIN DATA'!$M:$M,'Bilateral Assistance, MAIN DATA'!$AH:$AH,I51,'Bilateral Assistance, MAIN DATA'!$AY:$AY,0, 'Bilateral Assistance, MAIN DATA'!$AX:$AX,0,'Bilateral Assistance, MAIN DATA'!$AO:$AO,"152mm howitzer")</f>
        <v>0</v>
      </c>
      <c r="G52" s="532">
        <f>SUMIFS('Bilateral Assistance, MAIN DATA'!$M:$M,'Bilateral Assistance, MAIN DATA'!$AH:$AH,I51,'Bilateral Assistance, MAIN DATA'!$AO:$AO,"155mm howitzer", 'Bilateral Assistance, MAIN DATA'!$B:$B, "United States") +SUMIFS('Bilateral Assistance, MAIN DATA'!$M:$M,'Bilateral Assistance, MAIN DATA'!$AH:$AH,I51,'Bilateral Assistance, MAIN DATA'!$AO:$AO,"152mm howitzer", 'Bilateral Assistance, MAIN DATA'!$B:$B, "United States")</f>
        <v>18</v>
      </c>
      <c r="H52" s="532">
        <f>SUMIFS('Bilateral Assistance, MAIN DATA'!$M:$M,'Bilateral Assistance, MAIN DATA'!$AH:$AH,I51,'Bilateral Assistance, MAIN DATA'!$AO:$AO,"155mm howitzer")</f>
        <v>99</v>
      </c>
      <c r="I52" s="566">
        <v>13</v>
      </c>
    </row>
    <row r="53" spans="1:9" ht="15.6">
      <c r="A53" s="1468"/>
      <c r="B53" s="1463"/>
      <c r="C53" s="428" t="s">
        <v>4691</v>
      </c>
      <c r="D53" s="532">
        <f>SUMIFS('Bilateral Assistance, MAIN DATA'!$M:$M,'Bilateral Assistance, MAIN DATA'!$AH:$AH,I51,'Bilateral Assistance, MAIN DATA'!$AY:$AY,1,'Bilateral Assistance, MAIN DATA'!$AO:$AO,"Main battle tank (MBT)")</f>
        <v>134.66666666666666</v>
      </c>
      <c r="E53" s="532">
        <f>SUMIFS('Bilateral Assistance, MAIN DATA'!$M:$M,'Bilateral Assistance, MAIN DATA'!$AH:$AH,I51,'Bilateral Assistance, MAIN DATA'!$AY:$AY,0, 'Bilateral Assistance, MAIN DATA'!$AX:$AX,1,'Bilateral Assistance, MAIN DATA'!$AO:$AO,"Main battle tank (MBT)")</f>
        <v>49</v>
      </c>
      <c r="F53" s="532">
        <f>SUMIFS('Bilateral Assistance, MAIN DATA'!$M:$M,'Bilateral Assistance, MAIN DATA'!$AH:$AH,I51,'Bilateral Assistance, MAIN DATA'!$AY:$AY,0, 'Bilateral Assistance, MAIN DATA'!$AX:$AX,0,'Bilateral Assistance, MAIN DATA'!$AO:$AO,"Main battle tank (MBT)")</f>
        <v>0</v>
      </c>
      <c r="G53" s="532">
        <f>SUMIFS('Bilateral Assistance, MAIN DATA'!$M:$M,'Bilateral Assistance, MAIN DATA'!$AH:$AH,I51,'Bilateral Assistance, MAIN DATA'!$AO:$AO,"Main battle tank (MBT)", 'Bilateral Assistance, MAIN DATA'!$B:$B, "United States")</f>
        <v>31</v>
      </c>
      <c r="H53" s="532">
        <f>SUMIFS('Bilateral Assistance, MAIN DATA'!$M:$M,'Bilateral Assistance, MAIN DATA'!$AH:$AH,I51,'Bilateral Assistance, MAIN DATA'!$AO:$AO,"Main battle tank (MBT)")</f>
        <v>183.66666666666666</v>
      </c>
      <c r="I53" s="566">
        <v>13</v>
      </c>
    </row>
    <row r="54" spans="1:9" ht="15.6">
      <c r="A54" s="1468"/>
      <c r="B54" s="1463" t="s">
        <v>4605</v>
      </c>
      <c r="C54" s="428" t="s">
        <v>4640</v>
      </c>
      <c r="D54" s="532">
        <f>SUMIFS('Bilateral Assistance, MAIN DATA'!$M:$M,'Bilateral Assistance, MAIN DATA'!$AH:$AH,I54,'Bilateral Assistance, MAIN DATA'!$AY:$AY,1,'Bilateral Assistance, MAIN DATA'!$AO:$AO,"122mm MLRS")+SUMIFS('Bilateral Assistance, MAIN DATA'!$M:$M,'Bilateral Assistance, MAIN DATA'!$AH:$AH,I54,'Bilateral Assistance, MAIN DATA'!$AY:$AY,1,'Bilateral Assistance, MAIN DATA'!$AO:$AO,"127mm MLRS")+SUMIFS('Bilateral Assistance, MAIN DATA'!$M:$M,'Bilateral Assistance, MAIN DATA'!$AH:$AH,I54,'Bilateral Assistance, MAIN DATA'!$AY:$AY,1,'Bilateral Assistance, MAIN DATA'!$AO:$AO,"227mm MLRS")</f>
        <v>0</v>
      </c>
      <c r="E54" s="532">
        <f>SUMIFS('Bilateral Assistance, MAIN DATA'!$M:$M,'Bilateral Assistance, MAIN DATA'!$AH:$AH,I54,'Bilateral Assistance, MAIN DATA'!$AY:$AY,0, 'Bilateral Assistance, MAIN DATA'!$AX:$AX,1,'Bilateral Assistance, MAIN DATA'!$AO:$AO,"122mm MLRS")+SUMIFS('Bilateral Assistance, MAIN DATA'!$M:$M,'Bilateral Assistance, MAIN DATA'!$AH:$AH,I54,'Bilateral Assistance, MAIN DATA'!$AY:$AY,0, 'Bilateral Assistance, MAIN DATA'!$AX:$AX,1,'Bilateral Assistance, MAIN DATA'!$AO:$AO,"127mm MLRS")+SUMIFS('Bilateral Assistance, MAIN DATA'!$M:$M,'Bilateral Assistance, MAIN DATA'!$AH:$AH,I54,'Bilateral Assistance, MAIN DATA'!$AY:$AY,0, 'Bilateral Assistance, MAIN DATA'!$AX:$AX,1,'Bilateral Assistance, MAIN DATA'!$AO:$AO,"227mm MLRS")</f>
        <v>0</v>
      </c>
      <c r="F54" s="532">
        <f>SUMIFS('Bilateral Assistance, MAIN DATA'!$M:$M,'Bilateral Assistance, MAIN DATA'!$AH:$AH,I54,'Bilateral Assistance, MAIN DATA'!$AY:$AY,0, 'Bilateral Assistance, MAIN DATA'!$AX:$AX,0,'Bilateral Assistance, MAIN DATA'!$AO:$AO,"122mm MLRS")+SUMIFS('Bilateral Assistance, MAIN DATA'!$M:$M,'Bilateral Assistance, MAIN DATA'!$AH:$AH,I54,'Bilateral Assistance, MAIN DATA'!$AY:$AY,0, 'Bilateral Assistance, MAIN DATA'!$AX:$AX,0,'Bilateral Assistance, MAIN DATA'!$AO:$AO,"127mm MLRS")+SUMIFS('Bilateral Assistance, MAIN DATA'!$M:$M,'Bilateral Assistance, MAIN DATA'!$AH:$AH,I54,'Bilateral Assistance, MAIN DATA'!$AY:$AY,0, 'Bilateral Assistance, MAIN DATA'!$AX:$AX,0,'Bilateral Assistance, MAIN DATA'!$AO:$AO,"227mm MLRS")</f>
        <v>0</v>
      </c>
      <c r="G54" s="532">
        <f>(SUMIFS('Bilateral Assistance, MAIN DATA'!$M:$M,'Bilateral Assistance, MAIN DATA'!$AH:$AH,I54,'Bilateral Assistance, MAIN DATA'!$AO:$AO,"122mm MLRS", 'Bilateral Assistance, MAIN DATA'!$B:$B, "United States")+SUMIFS('Bilateral Assistance, MAIN DATA'!$M:$M,'Bilateral Assistance, MAIN DATA'!$AH:$AH,I54,'Bilateral Assistance, MAIN DATA'!$AO:$AO,"127mm MLRS", 'Bilateral Assistance, MAIN DATA'!$B:$B, "United States")+SUMIFS('Bilateral Assistance, MAIN DATA'!$M:$M,'Bilateral Assistance, MAIN DATA'!$AH:$AH,I54,'Bilateral Assistance, MAIN DATA'!$AO:$AO,"227mm MLRS", 'Bilateral Assistance, MAIN DATA'!$B:$B, "United States"))</f>
        <v>0</v>
      </c>
      <c r="H54" s="532">
        <f>SUMIFS('Bilateral Assistance, MAIN DATA'!$M:$M,'Bilateral Assistance, MAIN DATA'!$AH:$AH,I54,'Bilateral Assistance, MAIN DATA'!$AO:$AO,"122mm MLRS")+SUMIFS('Bilateral Assistance, MAIN DATA'!$M:$M,'Bilateral Assistance, MAIN DATA'!$AH:$AH,I54,'Bilateral Assistance, MAIN DATA'!$AO:$AO,"127mm MLRS")+SUMIFS('Bilateral Assistance, MAIN DATA'!$M:$M,'Bilateral Assistance, MAIN DATA'!$AH:$AH,I54,'Bilateral Assistance, MAIN DATA'!$AO:$AO,"227mm MLRS")</f>
        <v>0</v>
      </c>
      <c r="I54" s="566">
        <v>14</v>
      </c>
    </row>
    <row r="55" spans="1:9" ht="15.6">
      <c r="A55" s="1468"/>
      <c r="B55" s="1463"/>
      <c r="C55" s="428" t="s">
        <v>4814</v>
      </c>
      <c r="D55" s="532">
        <f>SUMIFS('Bilateral Assistance, MAIN DATA'!$M:$M,'Bilateral Assistance, MAIN DATA'!$AH:$AH,I54,'Bilateral Assistance, MAIN DATA'!$AY:$AY,1,'Bilateral Assistance, MAIN DATA'!$AO:$AO,"155mm howitzer") + SUMIFS('Bilateral Assistance, MAIN DATA'!$M:$M,'Bilateral Assistance, MAIN DATA'!$AH:$AH,I54,'Bilateral Assistance, MAIN DATA'!$AY:$AY,1,'Bilateral Assistance, MAIN DATA'!$AO:$AO,"152mm howitzer")</f>
        <v>0</v>
      </c>
      <c r="E55" s="532">
        <f>SUMIFS('Bilateral Assistance, MAIN DATA'!$M:$M,'Bilateral Assistance, MAIN DATA'!$AH:$AH,I54,'Bilateral Assistance, MAIN DATA'!$AY:$AY,0, 'Bilateral Assistance, MAIN DATA'!$AX:$AX,1,'Bilateral Assistance, MAIN DATA'!$AO:$AO,"155mm howitzer")+SUMIFS('Bilateral Assistance, MAIN DATA'!$M:$M,'Bilateral Assistance, MAIN DATA'!$AH:$AH,I54,'Bilateral Assistance, MAIN DATA'!$AY:$AY,0, 'Bilateral Assistance, MAIN DATA'!$AX:$AX,1,'Bilateral Assistance, MAIN DATA'!$AO:$AO,"152mm howitzer")</f>
        <v>0</v>
      </c>
      <c r="F55" s="532">
        <f>SUMIFS('Bilateral Assistance, MAIN DATA'!$M:$M,'Bilateral Assistance, MAIN DATA'!$AH:$AH,I54,'Bilateral Assistance, MAIN DATA'!$AY:$AY,0, 'Bilateral Assistance, MAIN DATA'!$AX:$AX,0,'Bilateral Assistance, MAIN DATA'!$AO:$AO,"155mm howitzer")+SUMIFS('Bilateral Assistance, MAIN DATA'!$M:$M,'Bilateral Assistance, MAIN DATA'!$AH:$AH,I54,'Bilateral Assistance, MAIN DATA'!$AY:$AY,0, 'Bilateral Assistance, MAIN DATA'!$AX:$AX,0,'Bilateral Assistance, MAIN DATA'!$AO:$AO,"152mm howitzer")</f>
        <v>0</v>
      </c>
      <c r="G55" s="532">
        <f>SUMIFS('Bilateral Assistance, MAIN DATA'!$M:$M,'Bilateral Assistance, MAIN DATA'!$AH:$AH,I54,'Bilateral Assistance, MAIN DATA'!$AO:$AO,"155mm howitzer", 'Bilateral Assistance, MAIN DATA'!$B:$B, "United States") +SUMIFS('Bilateral Assistance, MAIN DATA'!$M:$M,'Bilateral Assistance, MAIN DATA'!$AH:$AH,I54,'Bilateral Assistance, MAIN DATA'!$AO:$AO,"152mm howitzer", 'Bilateral Assistance, MAIN DATA'!$B:$B, "United States")</f>
        <v>0</v>
      </c>
      <c r="H55" s="532">
        <f>SUMIFS('Bilateral Assistance, MAIN DATA'!$M:$M,'Bilateral Assistance, MAIN DATA'!$AH:$AH,I54,'Bilateral Assistance, MAIN DATA'!$AO:$AO,"155mm howitzer")</f>
        <v>0</v>
      </c>
      <c r="I55" s="566">
        <v>14</v>
      </c>
    </row>
    <row r="56" spans="1:9" ht="15.75" customHeight="1">
      <c r="A56" s="1468"/>
      <c r="B56" s="1463"/>
      <c r="C56" s="1177" t="s">
        <v>4691</v>
      </c>
      <c r="D56" s="532">
        <f>SUMIFS('Bilateral Assistance, MAIN DATA'!$M:$M,'Bilateral Assistance, MAIN DATA'!$AH:$AH,I54,'Bilateral Assistance, MAIN DATA'!$AY:$AY,1,'Bilateral Assistance, MAIN DATA'!$AO:$AO,"Main battle tank (MBT)")</f>
        <v>90.666666666666657</v>
      </c>
      <c r="E56" s="532">
        <f>SUMIFS('Bilateral Assistance, MAIN DATA'!$M:$M,'Bilateral Assistance, MAIN DATA'!$AH:$AH,I54,'Bilateral Assistance, MAIN DATA'!$AY:$AY,0, 'Bilateral Assistance, MAIN DATA'!$AX:$AX,1,'Bilateral Assistance, MAIN DATA'!$AO:$AO,"Main battle tank (MBT)")</f>
        <v>12</v>
      </c>
      <c r="F56" s="532">
        <f>SUMIFS('Bilateral Assistance, MAIN DATA'!$M:$M,'Bilateral Assistance, MAIN DATA'!$AH:$AH,I54,'Bilateral Assistance, MAIN DATA'!$AY:$AY,0, 'Bilateral Assistance, MAIN DATA'!$AX:$AX,0,'Bilateral Assistance, MAIN DATA'!$AO:$AO,"Main battle tank (MBT)")</f>
        <v>0</v>
      </c>
      <c r="G56" s="532">
        <f>SUMIFS('Bilateral Assistance, MAIN DATA'!$M:$M,'Bilateral Assistance, MAIN DATA'!$AH:$AH,I54,'Bilateral Assistance, MAIN DATA'!$AO:$AO,"Main battle tank (MBT)", 'Bilateral Assistance, MAIN DATA'!$B:$B, "United States")</f>
        <v>0</v>
      </c>
      <c r="H56" s="532">
        <f>SUMIFS('Bilateral Assistance, MAIN DATA'!$M:$M,'Bilateral Assistance, MAIN DATA'!$AH:$AH,I54,'Bilateral Assistance, MAIN DATA'!$AO:$AO,"Main battle tank (MBT)")</f>
        <v>102.66666666666666</v>
      </c>
      <c r="I56" s="566">
        <v>14</v>
      </c>
    </row>
    <row r="57" spans="1:9" ht="15.75" customHeight="1">
      <c r="B57" s="1463" t="s">
        <v>4606</v>
      </c>
      <c r="C57" s="428" t="s">
        <v>4640</v>
      </c>
      <c r="D57" s="532">
        <f>SUMIFS('Bilateral Assistance, MAIN DATA'!$M:$M,'Bilateral Assistance, MAIN DATA'!$AH:$AH,I57,'Bilateral Assistance, MAIN DATA'!$AY:$AY,1,'Bilateral Assistance, MAIN DATA'!$AO:$AO,"122mm MLRS")+SUMIFS('Bilateral Assistance, MAIN DATA'!$M:$M,'Bilateral Assistance, MAIN DATA'!$AH:$AH,I57,'Bilateral Assistance, MAIN DATA'!$AY:$AY,1,'Bilateral Assistance, MAIN DATA'!$AO:$AO,"127mm MLRS")+SUMIFS('Bilateral Assistance, MAIN DATA'!$M:$M,'Bilateral Assistance, MAIN DATA'!$AH:$AH,I57,'Bilateral Assistance, MAIN DATA'!$AY:$AY,1,'Bilateral Assistance, MAIN DATA'!$AO:$AO,"227mm MLRS")</f>
        <v>0</v>
      </c>
      <c r="E57" s="532">
        <f>SUMIFS('Bilateral Assistance, MAIN DATA'!$M:$M,'Bilateral Assistance, MAIN DATA'!$AH:$AH,I57,'Bilateral Assistance, MAIN DATA'!$AY:$AY,0, 'Bilateral Assistance, MAIN DATA'!$AX:$AX,1,'Bilateral Assistance, MAIN DATA'!$AO:$AO,"122mm MLRS")+SUMIFS('Bilateral Assistance, MAIN DATA'!$M:$M,'Bilateral Assistance, MAIN DATA'!$AH:$AH,I57,'Bilateral Assistance, MAIN DATA'!$AY:$AY,0, 'Bilateral Assistance, MAIN DATA'!$AX:$AX,1,'Bilateral Assistance, MAIN DATA'!$AO:$AO,"127mm MLRS")+SUMIFS('Bilateral Assistance, MAIN DATA'!$M:$M,'Bilateral Assistance, MAIN DATA'!$AH:$AH,I57,'Bilateral Assistance, MAIN DATA'!$AY:$AY,0, 'Bilateral Assistance, MAIN DATA'!$AX:$AX,1,'Bilateral Assistance, MAIN DATA'!$AO:$AO,"227mm MLRS")</f>
        <v>0</v>
      </c>
      <c r="F57" s="532">
        <f>SUMIFS('Bilateral Assistance, MAIN DATA'!$M:$M,'Bilateral Assistance, MAIN DATA'!$AH:$AH,I57,'Bilateral Assistance, MAIN DATA'!$AY:$AY,0, 'Bilateral Assistance, MAIN DATA'!$AX:$AX,0,'Bilateral Assistance, MAIN DATA'!$AO:$AO,"122mm MLRS")+SUMIFS('Bilateral Assistance, MAIN DATA'!$M:$M,'Bilateral Assistance, MAIN DATA'!$AH:$AH,I57,'Bilateral Assistance, MAIN DATA'!$AY:$AY,0, 'Bilateral Assistance, MAIN DATA'!$AX:$AX,0,'Bilateral Assistance, MAIN DATA'!$AO:$AO,"127mm MLRS")+SUMIFS('Bilateral Assistance, MAIN DATA'!$M:$M,'Bilateral Assistance, MAIN DATA'!$AH:$AH,I57,'Bilateral Assistance, MAIN DATA'!$AY:$AY,0, 'Bilateral Assistance, MAIN DATA'!$AX:$AX,0,'Bilateral Assistance, MAIN DATA'!$AO:$AO,"227mm MLRS")</f>
        <v>0</v>
      </c>
      <c r="G57" s="532">
        <f>(SUMIFS('Bilateral Assistance, MAIN DATA'!$M:$M,'Bilateral Assistance, MAIN DATA'!$AH:$AH,I57,'Bilateral Assistance, MAIN DATA'!$AO:$AO,"122mm MLRS", 'Bilateral Assistance, MAIN DATA'!$B:$B, "United States")+SUMIFS('Bilateral Assistance, MAIN DATA'!$M:$M,'Bilateral Assistance, MAIN DATA'!$AH:$AH,I57,'Bilateral Assistance, MAIN DATA'!$AO:$AO,"127mm MLRS", 'Bilateral Assistance, MAIN DATA'!$B:$B, "United States")+SUMIFS('Bilateral Assistance, MAIN DATA'!$M:$M,'Bilateral Assistance, MAIN DATA'!$AH:$AH,I57,'Bilateral Assistance, MAIN DATA'!$AO:$AO,"227mm MLRS", 'Bilateral Assistance, MAIN DATA'!$B:$B, "United States"))</f>
        <v>0</v>
      </c>
      <c r="H57" s="532">
        <f>SUMIFS('Bilateral Assistance, MAIN DATA'!$M:$M,'Bilateral Assistance, MAIN DATA'!$AH:$AH,I57,'Bilateral Assistance, MAIN DATA'!$AO:$AO,"122mm MLRS")+SUMIFS('Bilateral Assistance, MAIN DATA'!$M:$M,'Bilateral Assistance, MAIN DATA'!$AH:$AH,I57,'Bilateral Assistance, MAIN DATA'!$AO:$AO,"127mm MLRS")+SUMIFS('Bilateral Assistance, MAIN DATA'!$M:$M,'Bilateral Assistance, MAIN DATA'!$AH:$AH,I57,'Bilateral Assistance, MAIN DATA'!$AO:$AO,"227mm MLRS")</f>
        <v>0</v>
      </c>
      <c r="I57" s="566">
        <v>15</v>
      </c>
    </row>
    <row r="58" spans="1:9" ht="15.75" customHeight="1">
      <c r="B58" s="1463"/>
      <c r="C58" s="428" t="s">
        <v>4814</v>
      </c>
      <c r="D58" s="532">
        <f>SUMIFS('Bilateral Assistance, MAIN DATA'!$M:$M,'Bilateral Assistance, MAIN DATA'!$AH:$AH,I57,'Bilateral Assistance, MAIN DATA'!$AY:$AY,1,'Bilateral Assistance, MAIN DATA'!$AO:$AO,"155mm howitzer") + SUMIFS('Bilateral Assistance, MAIN DATA'!$M:$M,'Bilateral Assistance, MAIN DATA'!$AH:$AH,I57,'Bilateral Assistance, MAIN DATA'!$AY:$AY,1,'Bilateral Assistance, MAIN DATA'!$AO:$AO,"152mm howitzer")</f>
        <v>0</v>
      </c>
      <c r="E58" s="532">
        <f>SUMIFS('Bilateral Assistance, MAIN DATA'!$M:$M,'Bilateral Assistance, MAIN DATA'!$AH:$AH,I57,'Bilateral Assistance, MAIN DATA'!$AY:$AY,0, 'Bilateral Assistance, MAIN DATA'!$AX:$AX,1,'Bilateral Assistance, MAIN DATA'!$AO:$AO,"155mm howitzer")+SUMIFS('Bilateral Assistance, MAIN DATA'!$M:$M,'Bilateral Assistance, MAIN DATA'!$AH:$AH,I57,'Bilateral Assistance, MAIN DATA'!$AY:$AY,0, 'Bilateral Assistance, MAIN DATA'!$AX:$AX,1,'Bilateral Assistance, MAIN DATA'!$AO:$AO,"152mm howitzer")</f>
        <v>0</v>
      </c>
      <c r="F58" s="532">
        <f>SUMIFS('Bilateral Assistance, MAIN DATA'!$M:$M,'Bilateral Assistance, MAIN DATA'!$AH:$AH,I57,'Bilateral Assistance, MAIN DATA'!$AY:$AY,0, 'Bilateral Assistance, MAIN DATA'!$AX:$AX,0,'Bilateral Assistance, MAIN DATA'!$AO:$AO,"155mm howitzer")+SUMIFS('Bilateral Assistance, MAIN DATA'!$M:$M,'Bilateral Assistance, MAIN DATA'!$AH:$AH,I57,'Bilateral Assistance, MAIN DATA'!$AY:$AY,0, 'Bilateral Assistance, MAIN DATA'!$AX:$AX,0,'Bilateral Assistance, MAIN DATA'!$AO:$AO,"152mm howitzer")</f>
        <v>0</v>
      </c>
      <c r="G58" s="532">
        <f>SUMIFS('Bilateral Assistance, MAIN DATA'!$M:$M,'Bilateral Assistance, MAIN DATA'!$AH:$AH,I57,'Bilateral Assistance, MAIN DATA'!$AO:$AO,"155mm howitzer", 'Bilateral Assistance, MAIN DATA'!$B:$B, "United States") +SUMIFS('Bilateral Assistance, MAIN DATA'!$M:$M,'Bilateral Assistance, MAIN DATA'!$AH:$AH,I57,'Bilateral Assistance, MAIN DATA'!$AO:$AO,"152mm howitzer", 'Bilateral Assistance, MAIN DATA'!$B:$B, "United States")</f>
        <v>0</v>
      </c>
      <c r="H58" s="532">
        <f>SUMIFS('Bilateral Assistance, MAIN DATA'!$M:$M,'Bilateral Assistance, MAIN DATA'!$AH:$AH,I57,'Bilateral Assistance, MAIN DATA'!$AO:$AO,"155mm howitzer")</f>
        <v>0</v>
      </c>
      <c r="I58" s="566">
        <v>15</v>
      </c>
    </row>
    <row r="59" spans="1:9" ht="15.75" customHeight="1">
      <c r="B59" s="1463"/>
      <c r="C59" s="1177" t="s">
        <v>4691</v>
      </c>
      <c r="D59" s="532">
        <f>SUMIFS('Bilateral Assistance, MAIN DATA'!$M:$M,'Bilateral Assistance, MAIN DATA'!$AH:$AH,I57,'Bilateral Assistance, MAIN DATA'!$AY:$AY,1,'Bilateral Assistance, MAIN DATA'!$AO:$AO,"Main battle tank (MBT)")</f>
        <v>0</v>
      </c>
      <c r="E59" s="532">
        <f>SUMIFS('Bilateral Assistance, MAIN DATA'!$M:$M,'Bilateral Assistance, MAIN DATA'!$AH:$AH,I57,'Bilateral Assistance, MAIN DATA'!$AY:$AY,0, 'Bilateral Assistance, MAIN DATA'!$AX:$AX,1,'Bilateral Assistance, MAIN DATA'!$AO:$AO,"Main battle tank (MBT)")</f>
        <v>0</v>
      </c>
      <c r="F59" s="532">
        <f>SUMIFS('Bilateral Assistance, MAIN DATA'!$M:$M,'Bilateral Assistance, MAIN DATA'!$AH:$AH,I57,'Bilateral Assistance, MAIN DATA'!$AY:$AY,0, 'Bilateral Assistance, MAIN DATA'!$AX:$AX,0,'Bilateral Assistance, MAIN DATA'!$AO:$AO,"Main battle tank (MBT)")</f>
        <v>0</v>
      </c>
      <c r="G59" s="532">
        <f>SUMIFS('Bilateral Assistance, MAIN DATA'!$M:$M,'Bilateral Assistance, MAIN DATA'!$AH:$AH,I57,'Bilateral Assistance, MAIN DATA'!$AO:$AO,"Main battle tank (MBT)", 'Bilateral Assistance, MAIN DATA'!$B:$B, "United States")</f>
        <v>0</v>
      </c>
      <c r="H59" s="532">
        <f>SUMIFS('Bilateral Assistance, MAIN DATA'!$M:$M,'Bilateral Assistance, MAIN DATA'!$AH:$AH,I57,'Bilateral Assistance, MAIN DATA'!$AO:$AO,"Main battle tank (MBT)")</f>
        <v>0</v>
      </c>
      <c r="I59" s="566">
        <v>15</v>
      </c>
    </row>
    <row r="60" spans="1:9" ht="15.75" customHeight="1">
      <c r="B60" s="1463" t="s">
        <v>4607</v>
      </c>
      <c r="C60" s="428" t="s">
        <v>4640</v>
      </c>
      <c r="D60" s="532">
        <f>SUMIFS('Bilateral Assistance, MAIN DATA'!$M:$M,'Bilateral Assistance, MAIN DATA'!$AH:$AH,I60,'Bilateral Assistance, MAIN DATA'!$AY:$AY,1,'Bilateral Assistance, MAIN DATA'!$AO:$AO,"122mm MLRS")+SUMIFS('Bilateral Assistance, MAIN DATA'!$M:$M,'Bilateral Assistance, MAIN DATA'!$AH:$AH,I60,'Bilateral Assistance, MAIN DATA'!$AY:$AY,1,'Bilateral Assistance, MAIN DATA'!$AO:$AO,"127mm MLRS")+SUMIFS('Bilateral Assistance, MAIN DATA'!$M:$M,'Bilateral Assistance, MAIN DATA'!$AH:$AH,I60,'Bilateral Assistance, MAIN DATA'!$AY:$AY,1,'Bilateral Assistance, MAIN DATA'!$AO:$AO,"227mm MLRS")</f>
        <v>0</v>
      </c>
      <c r="E60" s="532">
        <f>SUMIFS('Bilateral Assistance, MAIN DATA'!$M:$M,'Bilateral Assistance, MAIN DATA'!$AH:$AH,I60,'Bilateral Assistance, MAIN DATA'!$AY:$AY,0, 'Bilateral Assistance, MAIN DATA'!$AX:$AX,1,'Bilateral Assistance, MAIN DATA'!$AO:$AO,"122mm MLRS")+SUMIFS('Bilateral Assistance, MAIN DATA'!$M:$M,'Bilateral Assistance, MAIN DATA'!$AH:$AH,I60,'Bilateral Assistance, MAIN DATA'!$AY:$AY,0, 'Bilateral Assistance, MAIN DATA'!$AX:$AX,1,'Bilateral Assistance, MAIN DATA'!$AO:$AO,"127mm MLRS")+SUMIFS('Bilateral Assistance, MAIN DATA'!$M:$M,'Bilateral Assistance, MAIN DATA'!$AH:$AH,I60,'Bilateral Assistance, MAIN DATA'!$AY:$AY,0, 'Bilateral Assistance, MAIN DATA'!$AX:$AX,1,'Bilateral Assistance, MAIN DATA'!$AO:$AO,"227mm MLRS")</f>
        <v>0</v>
      </c>
      <c r="F60" s="532">
        <f>SUMIFS('Bilateral Assistance, MAIN DATA'!$M:$M,'Bilateral Assistance, MAIN DATA'!$AH:$AH,I60,'Bilateral Assistance, MAIN DATA'!$AY:$AY,0, 'Bilateral Assistance, MAIN DATA'!$AX:$AX,0,'Bilateral Assistance, MAIN DATA'!$AO:$AO,"122mm MLRS")+SUMIFS('Bilateral Assistance, MAIN DATA'!$M:$M,'Bilateral Assistance, MAIN DATA'!$AH:$AH,I60,'Bilateral Assistance, MAIN DATA'!$AY:$AY,0, 'Bilateral Assistance, MAIN DATA'!$AX:$AX,0,'Bilateral Assistance, MAIN DATA'!$AO:$AO,"127mm MLRS")+SUMIFS('Bilateral Assistance, MAIN DATA'!$M:$M,'Bilateral Assistance, MAIN DATA'!$AH:$AH,I60,'Bilateral Assistance, MAIN DATA'!$AY:$AY,0, 'Bilateral Assistance, MAIN DATA'!$AX:$AX,0,'Bilateral Assistance, MAIN DATA'!$AO:$AO,"227mm MLRS")</f>
        <v>0</v>
      </c>
      <c r="G60" s="532">
        <f>(SUMIFS('Bilateral Assistance, MAIN DATA'!$M:$M,'Bilateral Assistance, MAIN DATA'!$AH:$AH,I60,'Bilateral Assistance, MAIN DATA'!$AO:$AO,"122mm MLRS", 'Bilateral Assistance, MAIN DATA'!$B:$B, "United States")+SUMIFS('Bilateral Assistance, MAIN DATA'!$M:$M,'Bilateral Assistance, MAIN DATA'!$AH:$AH,I60,'Bilateral Assistance, MAIN DATA'!$AO:$AO,"127mm MLRS", 'Bilateral Assistance, MAIN DATA'!$B:$B, "United States")+SUMIFS('Bilateral Assistance, MAIN DATA'!$M:$M,'Bilateral Assistance, MAIN DATA'!$AH:$AH,I60,'Bilateral Assistance, MAIN DATA'!$AO:$AO,"227mm MLRS", 'Bilateral Assistance, MAIN DATA'!$B:$B, "United States"))</f>
        <v>0</v>
      </c>
      <c r="H60" s="532">
        <f>SUMIFS('Bilateral Assistance, MAIN DATA'!$M:$M,'Bilateral Assistance, MAIN DATA'!$AH:$AH,I60,'Bilateral Assistance, MAIN DATA'!$AO:$AO,"122mm MLRS")+SUMIFS('Bilateral Assistance, MAIN DATA'!$M:$M,'Bilateral Assistance, MAIN DATA'!$AH:$AH,I60,'Bilateral Assistance, MAIN DATA'!$AO:$AO,"127mm MLRS")+SUMIFS('Bilateral Assistance, MAIN DATA'!$M:$M,'Bilateral Assistance, MAIN DATA'!$AH:$AH,I60,'Bilateral Assistance, MAIN DATA'!$AO:$AO,"227mm MLRS")</f>
        <v>0</v>
      </c>
      <c r="I60" s="566">
        <v>16</v>
      </c>
    </row>
    <row r="61" spans="1:9" ht="15.75" customHeight="1">
      <c r="B61" s="1463"/>
      <c r="C61" s="428" t="s">
        <v>4814</v>
      </c>
      <c r="D61" s="532">
        <f>SUMIFS('Bilateral Assistance, MAIN DATA'!$M:$M,'Bilateral Assistance, MAIN DATA'!$AH:$AH,I60,'Bilateral Assistance, MAIN DATA'!$AY:$AY,1,'Bilateral Assistance, MAIN DATA'!$AO:$AO,"155mm howitzer") + SUMIFS('Bilateral Assistance, MAIN DATA'!$M:$M,'Bilateral Assistance, MAIN DATA'!$AH:$AH,I60,'Bilateral Assistance, MAIN DATA'!$AY:$AY,1,'Bilateral Assistance, MAIN DATA'!$AO:$AO,"152mm howitzer")</f>
        <v>30</v>
      </c>
      <c r="E61" s="532">
        <f>SUMIFS('Bilateral Assistance, MAIN DATA'!$M:$M,'Bilateral Assistance, MAIN DATA'!$AH:$AH,I60,'Bilateral Assistance, MAIN DATA'!$AY:$AY,0, 'Bilateral Assistance, MAIN DATA'!$AX:$AX,1,'Bilateral Assistance, MAIN DATA'!$AO:$AO,"155mm howitzer")+SUMIFS('Bilateral Assistance, MAIN DATA'!$M:$M,'Bilateral Assistance, MAIN DATA'!$AH:$AH,I60,'Bilateral Assistance, MAIN DATA'!$AY:$AY,0, 'Bilateral Assistance, MAIN DATA'!$AX:$AX,1,'Bilateral Assistance, MAIN DATA'!$AO:$AO,"152mm howitzer")</f>
        <v>0</v>
      </c>
      <c r="F61" s="532">
        <f>SUMIFS('Bilateral Assistance, MAIN DATA'!$M:$M,'Bilateral Assistance, MAIN DATA'!$AH:$AH,I60,'Bilateral Assistance, MAIN DATA'!$AY:$AY,0, 'Bilateral Assistance, MAIN DATA'!$AX:$AX,0,'Bilateral Assistance, MAIN DATA'!$AO:$AO,"155mm howitzer")+SUMIFS('Bilateral Assistance, MAIN DATA'!$M:$M,'Bilateral Assistance, MAIN DATA'!$AH:$AH,I60,'Bilateral Assistance, MAIN DATA'!$AY:$AY,0, 'Bilateral Assistance, MAIN DATA'!$AX:$AX,0,'Bilateral Assistance, MAIN DATA'!$AO:$AO,"152mm howitzer")</f>
        <v>0</v>
      </c>
      <c r="G61" s="532">
        <f>SUMIFS('Bilateral Assistance, MAIN DATA'!$M:$M,'Bilateral Assistance, MAIN DATA'!$AH:$AH,I60,'Bilateral Assistance, MAIN DATA'!$AO:$AO,"155mm howitzer", 'Bilateral Assistance, MAIN DATA'!$B:$B, "United States") +SUMIFS('Bilateral Assistance, MAIN DATA'!$M:$M,'Bilateral Assistance, MAIN DATA'!$AH:$AH,I60,'Bilateral Assistance, MAIN DATA'!$AO:$AO,"152mm howitzer", 'Bilateral Assistance, MAIN DATA'!$B:$B, "United States")</f>
        <v>0</v>
      </c>
      <c r="H61" s="532">
        <f>SUMIFS('Bilateral Assistance, MAIN DATA'!$M:$M,'Bilateral Assistance, MAIN DATA'!$AH:$AH,I60,'Bilateral Assistance, MAIN DATA'!$AO:$AO,"155mm howitzer")</f>
        <v>30</v>
      </c>
      <c r="I61" s="566">
        <v>16</v>
      </c>
    </row>
    <row r="62" spans="1:9" ht="15.75" customHeight="1">
      <c r="B62" s="1463"/>
      <c r="C62" s="1177" t="s">
        <v>4691</v>
      </c>
      <c r="D62" s="532">
        <f>SUMIFS('Bilateral Assistance, MAIN DATA'!$M:$M,'Bilateral Assistance, MAIN DATA'!$AH:$AH,I60,'Bilateral Assistance, MAIN DATA'!$AY:$AY,1,'Bilateral Assistance, MAIN DATA'!$AO:$AO,"Main battle tank (MBT)")</f>
        <v>14</v>
      </c>
      <c r="E62" s="532">
        <f>SUMIFS('Bilateral Assistance, MAIN DATA'!$M:$M,'Bilateral Assistance, MAIN DATA'!$AH:$AH,I60,'Bilateral Assistance, MAIN DATA'!$AY:$AY,0, 'Bilateral Assistance, MAIN DATA'!$AX:$AX,1,'Bilateral Assistance, MAIN DATA'!$AO:$AO,"Main battle tank (MBT)")</f>
        <v>0</v>
      </c>
      <c r="F62" s="532">
        <f>SUMIFS('Bilateral Assistance, MAIN DATA'!$M:$M,'Bilateral Assistance, MAIN DATA'!$AH:$AH,I60,'Bilateral Assistance, MAIN DATA'!$AY:$AY,0, 'Bilateral Assistance, MAIN DATA'!$AX:$AX,0,'Bilateral Assistance, MAIN DATA'!$AO:$AO,"Main battle tank (MBT)")</f>
        <v>0</v>
      </c>
      <c r="G62" s="532">
        <f>SUMIFS('Bilateral Assistance, MAIN DATA'!$M:$M,'Bilateral Assistance, MAIN DATA'!$AH:$AH,I60,'Bilateral Assistance, MAIN DATA'!$AO:$AO,"Main battle tank (MBT)", 'Bilateral Assistance, MAIN DATA'!$B:$B, "United States")</f>
        <v>0</v>
      </c>
      <c r="H62" s="532">
        <f>SUMIFS('Bilateral Assistance, MAIN DATA'!$M:$M,'Bilateral Assistance, MAIN DATA'!$AH:$AH,I60,'Bilateral Assistance, MAIN DATA'!$AO:$AO,"Main battle tank (MBT)")</f>
        <v>14</v>
      </c>
      <c r="I62" s="566">
        <v>16</v>
      </c>
    </row>
    <row r="63" spans="1:9" ht="15.75" customHeight="1">
      <c r="B63" s="1463" t="s">
        <v>4608</v>
      </c>
      <c r="C63" s="428" t="s">
        <v>4640</v>
      </c>
      <c r="D63" s="532">
        <f>SUMIFS('Bilateral Assistance, MAIN DATA'!$M:$M,'Bilateral Assistance, MAIN DATA'!$AH:$AH,I63,'Bilateral Assistance, MAIN DATA'!$AY:$AY,1,'Bilateral Assistance, MAIN DATA'!$AO:$AO,"122mm MLRS")+SUMIFS('Bilateral Assistance, MAIN DATA'!$M:$M,'Bilateral Assistance, MAIN DATA'!$AH:$AH,I63,'Bilateral Assistance, MAIN DATA'!$AY:$AY,1,'Bilateral Assistance, MAIN DATA'!$AO:$AO,"127mm MLRS")+SUMIFS('Bilateral Assistance, MAIN DATA'!$M:$M,'Bilateral Assistance, MAIN DATA'!$AH:$AH,I63,'Bilateral Assistance, MAIN DATA'!$AY:$AY,1,'Bilateral Assistance, MAIN DATA'!$AO:$AO,"227mm MLRS")</f>
        <v>0</v>
      </c>
      <c r="E63" s="532">
        <f>SUMIFS('Bilateral Assistance, MAIN DATA'!$M:$M,'Bilateral Assistance, MAIN DATA'!$AH:$AH,I63,'Bilateral Assistance, MAIN DATA'!$AY:$AY,0, 'Bilateral Assistance, MAIN DATA'!$AX:$AX,1,'Bilateral Assistance, MAIN DATA'!$AO:$AO,"122mm MLRS")+SUMIFS('Bilateral Assistance, MAIN DATA'!$M:$M,'Bilateral Assistance, MAIN DATA'!$AH:$AH,I63,'Bilateral Assistance, MAIN DATA'!$AY:$AY,0, 'Bilateral Assistance, MAIN DATA'!$AX:$AX,1,'Bilateral Assistance, MAIN DATA'!$AO:$AO,"127mm MLRS")+SUMIFS('Bilateral Assistance, MAIN DATA'!$M:$M,'Bilateral Assistance, MAIN DATA'!$AH:$AH,I63,'Bilateral Assistance, MAIN DATA'!$AY:$AY,0, 'Bilateral Assistance, MAIN DATA'!$AX:$AX,1,'Bilateral Assistance, MAIN DATA'!$AO:$AO,"227mm MLRS")</f>
        <v>0</v>
      </c>
      <c r="F63" s="532">
        <f>SUMIFS('Bilateral Assistance, MAIN DATA'!$M:$M,'Bilateral Assistance, MAIN DATA'!$AH:$AH,I63,'Bilateral Assistance, MAIN DATA'!$AY:$AY,0, 'Bilateral Assistance, MAIN DATA'!$AX:$AX,0,'Bilateral Assistance, MAIN DATA'!$AO:$AO,"122mm MLRS")+SUMIFS('Bilateral Assistance, MAIN DATA'!$M:$M,'Bilateral Assistance, MAIN DATA'!$AH:$AH,I63,'Bilateral Assistance, MAIN DATA'!$AY:$AY,0, 'Bilateral Assistance, MAIN DATA'!$AX:$AX,0,'Bilateral Assistance, MAIN DATA'!$AO:$AO,"127mm MLRS")+SUMIFS('Bilateral Assistance, MAIN DATA'!$M:$M,'Bilateral Assistance, MAIN DATA'!$AH:$AH,I63,'Bilateral Assistance, MAIN DATA'!$AY:$AY,0, 'Bilateral Assistance, MAIN DATA'!$AX:$AX,0,'Bilateral Assistance, MAIN DATA'!$AO:$AO,"227mm MLRS")</f>
        <v>0</v>
      </c>
      <c r="G63" s="532">
        <f>(SUMIFS('Bilateral Assistance, MAIN DATA'!$M:$M,'Bilateral Assistance, MAIN DATA'!$AH:$AH,I63,'Bilateral Assistance, MAIN DATA'!$AO:$AO,"122mm MLRS", 'Bilateral Assistance, MAIN DATA'!$B:$B, "United States")+SUMIFS('Bilateral Assistance, MAIN DATA'!$M:$M,'Bilateral Assistance, MAIN DATA'!$AH:$AH,I63,'Bilateral Assistance, MAIN DATA'!$AO:$AO,"127mm MLRS", 'Bilateral Assistance, MAIN DATA'!$B:$B, "United States")+SUMIFS('Bilateral Assistance, MAIN DATA'!$M:$M,'Bilateral Assistance, MAIN DATA'!$AH:$AH,I63,'Bilateral Assistance, MAIN DATA'!$AO:$AO,"227mm MLRS", 'Bilateral Assistance, MAIN DATA'!$B:$B, "United States"))</f>
        <v>0</v>
      </c>
      <c r="H63" s="532">
        <f>SUMIFS('Bilateral Assistance, MAIN DATA'!$M:$M,'Bilateral Assistance, MAIN DATA'!$AH:$AH,I63,'Bilateral Assistance, MAIN DATA'!$AO:$AO,"122mm MLRS")+SUMIFS('Bilateral Assistance, MAIN DATA'!$M:$M,'Bilateral Assistance, MAIN DATA'!$AH:$AH,I63,'Bilateral Assistance, MAIN DATA'!$AO:$AO,"127mm MLRS")+SUMIFS('Bilateral Assistance, MAIN DATA'!$M:$M,'Bilateral Assistance, MAIN DATA'!$AH:$AH,I63,'Bilateral Assistance, MAIN DATA'!$AO:$AO,"227mm MLRS")</f>
        <v>0</v>
      </c>
      <c r="I63" s="566">
        <v>17</v>
      </c>
    </row>
    <row r="64" spans="1:9" ht="15.75" customHeight="1">
      <c r="B64" s="1463"/>
      <c r="C64" s="428" t="s">
        <v>4814</v>
      </c>
      <c r="D64" s="532">
        <f>SUMIFS('Bilateral Assistance, MAIN DATA'!$M:$M,'Bilateral Assistance, MAIN DATA'!$AH:$AH,I63,'Bilateral Assistance, MAIN DATA'!$AY:$AY,1,'Bilateral Assistance, MAIN DATA'!$AO:$AO,"155mm howitzer") + SUMIFS('Bilateral Assistance, MAIN DATA'!$M:$M,'Bilateral Assistance, MAIN DATA'!$AH:$AH,I63,'Bilateral Assistance, MAIN DATA'!$AY:$AY,1,'Bilateral Assistance, MAIN DATA'!$AO:$AO,"152mm howitzer")</f>
        <v>0</v>
      </c>
      <c r="E64" s="532">
        <f>SUMIFS('Bilateral Assistance, MAIN DATA'!$M:$M,'Bilateral Assistance, MAIN DATA'!$AH:$AH,I63,'Bilateral Assistance, MAIN DATA'!$AY:$AY,0, 'Bilateral Assistance, MAIN DATA'!$AX:$AX,1,'Bilateral Assistance, MAIN DATA'!$AO:$AO,"155mm howitzer")+SUMIFS('Bilateral Assistance, MAIN DATA'!$M:$M,'Bilateral Assistance, MAIN DATA'!$AH:$AH,I63,'Bilateral Assistance, MAIN DATA'!$AY:$AY,0, 'Bilateral Assistance, MAIN DATA'!$AX:$AX,1,'Bilateral Assistance, MAIN DATA'!$AO:$AO,"152mm howitzer")</f>
        <v>0</v>
      </c>
      <c r="F64" s="532">
        <f>SUMIFS('Bilateral Assistance, MAIN DATA'!$M:$M,'Bilateral Assistance, MAIN DATA'!$AH:$AH,I63,'Bilateral Assistance, MAIN DATA'!$AY:$AY,0, 'Bilateral Assistance, MAIN DATA'!$AX:$AX,0,'Bilateral Assistance, MAIN DATA'!$AO:$AO,"155mm howitzer")+SUMIFS('Bilateral Assistance, MAIN DATA'!$M:$M,'Bilateral Assistance, MAIN DATA'!$AH:$AH,I63,'Bilateral Assistance, MAIN DATA'!$AY:$AY,0, 'Bilateral Assistance, MAIN DATA'!$AX:$AX,0,'Bilateral Assistance, MAIN DATA'!$AO:$AO,"152mm howitzer")</f>
        <v>0</v>
      </c>
      <c r="G64" s="532">
        <f>SUMIFS('Bilateral Assistance, MAIN DATA'!$M:$M,'Bilateral Assistance, MAIN DATA'!$AH:$AH,I63,'Bilateral Assistance, MAIN DATA'!$AO:$AO,"155mm howitzer", 'Bilateral Assistance, MAIN DATA'!$B:$B, "United States") +SUMIFS('Bilateral Assistance, MAIN DATA'!$M:$M,'Bilateral Assistance, MAIN DATA'!$AH:$AH,I63,'Bilateral Assistance, MAIN DATA'!$AO:$AO,"152mm howitzer", 'Bilateral Assistance, MAIN DATA'!$B:$B, "United States")</f>
        <v>0</v>
      </c>
      <c r="H64" s="532">
        <f>SUMIFS('Bilateral Assistance, MAIN DATA'!$M:$M,'Bilateral Assistance, MAIN DATA'!$AH:$AH,I63,'Bilateral Assistance, MAIN DATA'!$AO:$AO,"155mm howitzer")</f>
        <v>0</v>
      </c>
      <c r="I64" s="566">
        <v>17</v>
      </c>
    </row>
    <row r="65" spans="2:9" ht="15.75" customHeight="1">
      <c r="B65" s="1466"/>
      <c r="C65" s="844" t="s">
        <v>4691</v>
      </c>
      <c r="D65" s="576">
        <f>SUMIFS('Bilateral Assistance, MAIN DATA'!$M:$M,'Bilateral Assistance, MAIN DATA'!$AH:$AH,I63,'Bilateral Assistance, MAIN DATA'!$AY:$AY,1,'Bilateral Assistance, MAIN DATA'!$AO:$AO,"Main battle tank (MBT)")</f>
        <v>0</v>
      </c>
      <c r="E65" s="576">
        <f>SUMIFS('Bilateral Assistance, MAIN DATA'!$M:$M,'Bilateral Assistance, MAIN DATA'!$AH:$AH,I63,'Bilateral Assistance, MAIN DATA'!$AY:$AY,0, 'Bilateral Assistance, MAIN DATA'!$AX:$AX,1,'Bilateral Assistance, MAIN DATA'!$AO:$AO,"Main battle tank (MBT)")</f>
        <v>0</v>
      </c>
      <c r="F65" s="576">
        <f>SUMIFS('Bilateral Assistance, MAIN DATA'!$M:$M,'Bilateral Assistance, MAIN DATA'!$AH:$AH,I63,'Bilateral Assistance, MAIN DATA'!$AY:$AY,0, 'Bilateral Assistance, MAIN DATA'!$AX:$AX,0,'Bilateral Assistance, MAIN DATA'!$AO:$AO,"Main battle tank (MBT)")</f>
        <v>0</v>
      </c>
      <c r="G65" s="576">
        <f>SUMIFS('Bilateral Assistance, MAIN DATA'!$M:$M,'Bilateral Assistance, MAIN DATA'!$AH:$AH,I63,'Bilateral Assistance, MAIN DATA'!$AO:$AO,"Main battle tank (MBT)", 'Bilateral Assistance, MAIN DATA'!$B:$B, "United States")</f>
        <v>0</v>
      </c>
      <c r="H65" s="576">
        <f>SUMIFS('Bilateral Assistance, MAIN DATA'!$M:$M,'Bilateral Assistance, MAIN DATA'!$AH:$AH,I63,'Bilateral Assistance, MAIN DATA'!$AO:$AO,"Main battle tank (MBT)")</f>
        <v>0</v>
      </c>
      <c r="I65" s="566">
        <v>17</v>
      </c>
    </row>
    <row r="66" spans="2:9" ht="15.75" customHeight="1">
      <c r="B66" s="1353"/>
      <c r="C66" s="428"/>
      <c r="D66" s="532"/>
      <c r="E66" s="532"/>
      <c r="F66" s="532"/>
      <c r="G66" s="532"/>
      <c r="H66" s="532"/>
    </row>
    <row r="67" spans="2:9" ht="15.75" customHeight="1">
      <c r="B67" s="1460" t="s">
        <v>4530</v>
      </c>
      <c r="C67" s="703" t="s">
        <v>4640</v>
      </c>
      <c r="D67" s="704">
        <f>SUMIFS(D$51:D$65,$C$51:$C$65,$C67)+SUMIFS(D$15:D$47,$C$15:$C$47,$C67)</f>
        <v>42</v>
      </c>
      <c r="E67" s="704">
        <f t="shared" ref="E67:H69" si="0">SUMIFS(E$51:E$65,$C$51:$C$65,$C67)+SUMIFS(E$15:E$47,$C$15:$C$47,$C67)</f>
        <v>47</v>
      </c>
      <c r="F67" s="704">
        <f t="shared" si="0"/>
        <v>0</v>
      </c>
      <c r="G67" s="704">
        <f t="shared" si="0"/>
        <v>38</v>
      </c>
      <c r="H67" s="704">
        <f t="shared" si="0"/>
        <v>89</v>
      </c>
    </row>
    <row r="68" spans="2:9" ht="15.75" customHeight="1">
      <c r="B68" s="1461"/>
      <c r="C68" s="428" t="s">
        <v>4814</v>
      </c>
      <c r="D68" s="532">
        <f t="shared" ref="D68:D69" si="1">SUMIFS(D$51:D$65,$C$51:$C$65,$C68)+SUMIFS(D$15:D$47,$C$15:$C$47,$C68)</f>
        <v>300.66666666666663</v>
      </c>
      <c r="E68" s="532">
        <f t="shared" si="0"/>
        <v>249.33333333333334</v>
      </c>
      <c r="F68" s="532">
        <f t="shared" si="0"/>
        <v>6</v>
      </c>
      <c r="G68" s="532">
        <f t="shared" si="0"/>
        <v>160</v>
      </c>
      <c r="H68" s="532">
        <f t="shared" si="0"/>
        <v>518</v>
      </c>
    </row>
    <row r="69" spans="2:9" ht="15.75" customHeight="1">
      <c r="B69" s="1462"/>
      <c r="C69" s="575" t="s">
        <v>4691</v>
      </c>
      <c r="D69" s="576">
        <f t="shared" si="1"/>
        <v>651.33333333333326</v>
      </c>
      <c r="E69" s="576">
        <f t="shared" si="0"/>
        <v>106</v>
      </c>
      <c r="F69" s="576">
        <f t="shared" si="0"/>
        <v>0</v>
      </c>
      <c r="G69" s="576">
        <f t="shared" si="0"/>
        <v>76</v>
      </c>
      <c r="H69" s="576">
        <f t="shared" si="0"/>
        <v>757.33333333333326</v>
      </c>
    </row>
  </sheetData>
  <mergeCells count="22">
    <mergeCell ref="B63:B65"/>
    <mergeCell ref="C13:H13"/>
    <mergeCell ref="A15:A47"/>
    <mergeCell ref="A51:A56"/>
    <mergeCell ref="B57:B59"/>
    <mergeCell ref="B60:B62"/>
    <mergeCell ref="B67:B69"/>
    <mergeCell ref="B4:E9"/>
    <mergeCell ref="B15:B17"/>
    <mergeCell ref="B18:B20"/>
    <mergeCell ref="B21:B23"/>
    <mergeCell ref="B24:B26"/>
    <mergeCell ref="B45:B47"/>
    <mergeCell ref="B27:B29"/>
    <mergeCell ref="B30:B32"/>
    <mergeCell ref="B33:B35"/>
    <mergeCell ref="B36:B38"/>
    <mergeCell ref="B39:B41"/>
    <mergeCell ref="B42:B44"/>
    <mergeCell ref="B51:B53"/>
    <mergeCell ref="B54:B56"/>
    <mergeCell ref="C49:H49"/>
  </mergeCells>
  <pageMargins left="0.7" right="0.7" top="0.78740157499999996" bottom="0.78740157499999996"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9E1F2"/>
  </sheetPr>
  <dimension ref="B1:U60"/>
  <sheetViews>
    <sheetView zoomScaleNormal="100" workbookViewId="0"/>
  </sheetViews>
  <sheetFormatPr defaultColWidth="8.625" defaultRowHeight="15.95" customHeight="1"/>
  <cols>
    <col min="1" max="1" width="8.625" style="2" customWidth="1"/>
    <col min="2" max="2" width="25.5" style="2" customWidth="1"/>
    <col min="3" max="4" width="18" style="2" customWidth="1"/>
    <col min="5" max="5" width="19.5" style="2" bestFit="1" customWidth="1"/>
    <col min="6" max="7" width="15.875" style="2" customWidth="1"/>
    <col min="8" max="16384" width="8.625" style="2"/>
  </cols>
  <sheetData>
    <row r="1" spans="2:13" s="731" customFormat="1" ht="15.95" customHeight="1">
      <c r="B1" s="752"/>
      <c r="C1" s="753"/>
      <c r="D1" s="753"/>
      <c r="E1" s="753"/>
      <c r="F1" s="753"/>
      <c r="G1" s="753"/>
    </row>
    <row r="2" spans="2:13" s="755" customFormat="1" ht="24.75" customHeight="1">
      <c r="B2" s="754" t="s">
        <v>4816</v>
      </c>
    </row>
    <row r="3" spans="2:13" s="733" customFormat="1" ht="15.95" customHeight="1"/>
    <row r="4" spans="2:13" s="733" customFormat="1" ht="15.95" customHeight="1">
      <c r="B4" s="1444" t="s">
        <v>4817</v>
      </c>
      <c r="C4" s="1444"/>
      <c r="D4" s="1444"/>
      <c r="E4" s="1444"/>
      <c r="F4" s="1444"/>
      <c r="G4" s="1444"/>
      <c r="H4" s="1444"/>
      <c r="I4" s="1444"/>
      <c r="J4" s="1444"/>
      <c r="K4" s="1444"/>
      <c r="L4" s="1444"/>
      <c r="M4" s="1444"/>
    </row>
    <row r="5" spans="2:13" s="733" customFormat="1" ht="15.95" customHeight="1">
      <c r="B5" s="1444"/>
      <c r="C5" s="1444"/>
      <c r="D5" s="1444"/>
      <c r="E5" s="1444"/>
      <c r="F5" s="1444"/>
      <c r="G5" s="1444"/>
      <c r="H5" s="1444"/>
      <c r="I5" s="1444"/>
      <c r="J5" s="1444"/>
      <c r="K5" s="1444"/>
      <c r="L5" s="1444"/>
      <c r="M5" s="1444"/>
    </row>
    <row r="6" spans="2:13" s="733" customFormat="1" ht="15.95" customHeight="1">
      <c r="B6" s="1444"/>
      <c r="C6" s="1444"/>
      <c r="D6" s="1444"/>
      <c r="E6" s="1444"/>
      <c r="F6" s="1444"/>
      <c r="G6" s="1444"/>
      <c r="H6" s="1444"/>
      <c r="I6" s="1444"/>
      <c r="J6" s="1444"/>
      <c r="K6" s="1444"/>
      <c r="L6" s="1444"/>
      <c r="M6" s="1444"/>
    </row>
    <row r="7" spans="2:13" s="733" customFormat="1" ht="15.95" customHeight="1">
      <c r="B7" s="1444"/>
      <c r="C7" s="1444"/>
      <c r="D7" s="1444"/>
      <c r="E7" s="1444"/>
      <c r="F7" s="1444"/>
      <c r="G7" s="1444"/>
      <c r="H7" s="1444"/>
      <c r="I7" s="1444"/>
      <c r="J7" s="1444"/>
      <c r="K7" s="1444"/>
      <c r="L7" s="1444"/>
      <c r="M7" s="1444"/>
    </row>
    <row r="8" spans="2:13" s="733" customFormat="1" ht="15.95" customHeight="1">
      <c r="B8" s="1444"/>
      <c r="C8" s="1444"/>
      <c r="D8" s="1444"/>
      <c r="E8" s="1444"/>
      <c r="F8" s="1444"/>
      <c r="G8" s="1444"/>
      <c r="H8" s="1444"/>
      <c r="I8" s="1444"/>
      <c r="J8" s="1444"/>
      <c r="K8" s="1444"/>
      <c r="L8" s="1444"/>
      <c r="M8" s="1444"/>
    </row>
    <row r="9" spans="2:13" s="733" customFormat="1" ht="15.95" customHeight="1">
      <c r="B9" s="1444"/>
      <c r="C9" s="1444"/>
      <c r="D9" s="1444"/>
      <c r="E9" s="1444"/>
      <c r="F9" s="1444"/>
      <c r="G9" s="1444"/>
      <c r="H9" s="1444"/>
      <c r="I9" s="1444"/>
      <c r="J9" s="1444"/>
      <c r="K9" s="1444"/>
      <c r="L9" s="1444"/>
      <c r="M9" s="1444"/>
    </row>
    <row r="11" spans="2:13" s="11" customFormat="1" ht="24.75" customHeight="1">
      <c r="B11" s="756" t="s">
        <v>4818</v>
      </c>
      <c r="C11" s="757" t="s">
        <v>4512</v>
      </c>
      <c r="D11" s="758" t="s">
        <v>4819</v>
      </c>
      <c r="E11" s="758" t="s">
        <v>4820</v>
      </c>
      <c r="F11" s="758" t="s">
        <v>4651</v>
      </c>
      <c r="G11" s="25"/>
      <c r="H11" s="484" t="s">
        <v>4816</v>
      </c>
    </row>
    <row r="12" spans="2:13" ht="15.95" customHeight="1">
      <c r="B12" s="1469" t="s">
        <v>4641</v>
      </c>
      <c r="C12" s="132" t="str">
        <f>'In-kind Military per Country'!O20</f>
        <v>Poland</v>
      </c>
      <c r="D12" s="133">
        <f>'In-kind Military per Country'!P20</f>
        <v>324</v>
      </c>
      <c r="E12" s="132">
        <f>'In-kind Military per Country'!Q20</f>
        <v>264</v>
      </c>
      <c r="F12" s="133">
        <f t="shared" ref="F12:F15" si="0">D12-E12</f>
        <v>60</v>
      </c>
      <c r="G12" s="25"/>
      <c r="H12" s="34"/>
    </row>
    <row r="13" spans="2:13" ht="15.95" customHeight="1">
      <c r="B13" s="1470"/>
      <c r="C13" s="2" t="str">
        <f>'In-kind Military per Country'!O21</f>
        <v>Czech Republic</v>
      </c>
      <c r="D13" s="2">
        <f>'In-kind Military per Country'!P21</f>
        <v>89</v>
      </c>
      <c r="E13" s="2">
        <f>'In-kind Military per Country'!Q21</f>
        <v>89</v>
      </c>
      <c r="F13" s="25">
        <f t="shared" si="0"/>
        <v>0</v>
      </c>
      <c r="G13" s="25"/>
    </row>
    <row r="14" spans="2:13" ht="15.95" customHeight="1">
      <c r="B14" s="1470"/>
      <c r="C14" s="2" t="str">
        <f>'In-kind Military per Country'!O22</f>
        <v>Netherlands</v>
      </c>
      <c r="D14" s="25">
        <f>'In-kind Military per Country'!P22</f>
        <v>88.666666666666657</v>
      </c>
      <c r="E14" s="2">
        <f>'In-kind Military per Country'!Q22</f>
        <v>18.5</v>
      </c>
      <c r="F14" s="25">
        <f t="shared" si="0"/>
        <v>70.166666666666657</v>
      </c>
      <c r="G14" s="25"/>
    </row>
    <row r="15" spans="2:13" ht="15.95" customHeight="1">
      <c r="B15" s="1470"/>
      <c r="C15" s="2" t="str">
        <f>'In-kind Military per Country'!O23</f>
        <v>United States</v>
      </c>
      <c r="D15" s="25">
        <f>'In-kind Military per Country'!P23</f>
        <v>76</v>
      </c>
      <c r="E15" s="2">
        <f>'In-kind Military per Country'!Q23</f>
        <v>18.5</v>
      </c>
      <c r="F15" s="25">
        <f t="shared" si="0"/>
        <v>57.5</v>
      </c>
      <c r="G15" s="25"/>
    </row>
    <row r="16" spans="2:13" ht="15.95" customHeight="1">
      <c r="B16" s="1471"/>
      <c r="C16" s="2" t="str">
        <f>'In-kind Military per Country'!O24</f>
        <v>Germany</v>
      </c>
      <c r="D16" s="2">
        <f>'In-kind Military per Country'!P24</f>
        <v>55</v>
      </c>
      <c r="E16" s="2">
        <f>'In-kind Military per Country'!Q24</f>
        <v>18</v>
      </c>
      <c r="F16" s="25">
        <f t="shared" ref="F16" si="1">D16-E16</f>
        <v>37</v>
      </c>
      <c r="G16" s="25"/>
    </row>
    <row r="17" spans="2:7" ht="15.95" customHeight="1">
      <c r="B17" s="1472" t="s">
        <v>4821</v>
      </c>
      <c r="C17" s="132" t="str">
        <f>'In-kind Military per Country'!C20</f>
        <v>United States</v>
      </c>
      <c r="D17" s="132">
        <f>'In-kind Military per Country'!D20</f>
        <v>160</v>
      </c>
      <c r="E17" s="132">
        <f>'In-kind Military per Country'!E20</f>
        <v>126</v>
      </c>
      <c r="F17" s="133">
        <f>D17-E17</f>
        <v>34</v>
      </c>
      <c r="G17" s="25"/>
    </row>
    <row r="18" spans="2:7" ht="15.95" customHeight="1">
      <c r="B18" s="1470"/>
      <c r="C18" s="2" t="str">
        <f>'In-kind Military per Country'!C21</f>
        <v>Italy</v>
      </c>
      <c r="D18" s="2">
        <f>'In-kind Military per Country'!D21</f>
        <v>66</v>
      </c>
      <c r="E18" s="2">
        <f>'In-kind Military per Country'!E21</f>
        <v>36</v>
      </c>
      <c r="F18" s="25">
        <f t="shared" ref="F18:F21" si="2">D18-E18</f>
        <v>30</v>
      </c>
      <c r="G18" s="25"/>
    </row>
    <row r="19" spans="2:7" ht="15.95" customHeight="1">
      <c r="B19" s="1470"/>
      <c r="C19" s="2" t="str">
        <f>'In-kind Military per Country'!C22</f>
        <v>United Kingdom</v>
      </c>
      <c r="D19" s="2">
        <f>'In-kind Military per Country'!D22</f>
        <v>58</v>
      </c>
      <c r="E19" s="2">
        <f>'In-kind Military per Country'!E22</f>
        <v>28</v>
      </c>
      <c r="F19" s="25">
        <f t="shared" si="2"/>
        <v>30</v>
      </c>
      <c r="G19" s="25"/>
    </row>
    <row r="20" spans="2:7" ht="15.95" customHeight="1">
      <c r="B20" s="1470"/>
      <c r="C20" s="2" t="str">
        <f>'In-kind Military per Country'!C23</f>
        <v>Poland</v>
      </c>
      <c r="D20" s="2">
        <f>'In-kind Military per Country'!D23</f>
        <v>54</v>
      </c>
      <c r="E20" s="2">
        <f>'In-kind Military per Country'!E23</f>
        <v>54</v>
      </c>
      <c r="F20" s="25">
        <f t="shared" si="2"/>
        <v>0</v>
      </c>
      <c r="G20" s="25"/>
    </row>
    <row r="21" spans="2:7" ht="15.95" customHeight="1">
      <c r="B21" s="1471"/>
      <c r="C21" s="2" t="str">
        <f>'In-kind Military per Country'!C24</f>
        <v>Czech Republic</v>
      </c>
      <c r="D21" s="2">
        <f>'In-kind Military per Country'!D24</f>
        <v>38</v>
      </c>
      <c r="E21" s="2">
        <f>'In-kind Military per Country'!E24</f>
        <v>38</v>
      </c>
      <c r="F21" s="25">
        <f t="shared" si="2"/>
        <v>0</v>
      </c>
      <c r="G21" s="25"/>
    </row>
    <row r="22" spans="2:7" ht="15.95" customHeight="1">
      <c r="B22" s="1473" t="s">
        <v>4640</v>
      </c>
      <c r="C22" s="132" t="str">
        <f>'In-kind Military per Country'!I20</f>
        <v>United States</v>
      </c>
      <c r="D22" s="132">
        <f>'In-kind Military per Country'!J20</f>
        <v>38</v>
      </c>
      <c r="E22" s="132">
        <f>'In-kind Military per Country'!K20</f>
        <v>20</v>
      </c>
      <c r="F22" s="133">
        <f>D22-E22</f>
        <v>18</v>
      </c>
      <c r="G22" s="25"/>
    </row>
    <row r="23" spans="2:7" ht="15.95" customHeight="1">
      <c r="B23" s="1474"/>
      <c r="C23" s="2" t="str">
        <f>'In-kind Military per Country'!I21</f>
        <v>Czech Republic</v>
      </c>
      <c r="D23" s="2">
        <f>'In-kind Military per Country'!J21</f>
        <v>33</v>
      </c>
      <c r="E23" s="2">
        <f>'In-kind Military per Country'!K21</f>
        <v>33</v>
      </c>
      <c r="F23" s="25">
        <f>D23-E23</f>
        <v>0</v>
      </c>
      <c r="G23" s="25"/>
    </row>
    <row r="24" spans="2:7" ht="15.95" customHeight="1">
      <c r="B24" s="1474"/>
      <c r="C24" s="2" t="str">
        <f>'In-kind Military per Country'!I22</f>
        <v>United Kingdom</v>
      </c>
      <c r="D24" s="2">
        <f>'In-kind Military per Country'!J22</f>
        <v>6</v>
      </c>
      <c r="E24" s="2">
        <f>'In-kind Military per Country'!K22</f>
        <v>3</v>
      </c>
      <c r="F24" s="25">
        <f t="shared" ref="F24:F26" si="3">D24-E24</f>
        <v>3</v>
      </c>
      <c r="G24" s="25"/>
    </row>
    <row r="25" spans="2:7" ht="15.95" customHeight="1">
      <c r="B25" s="1474"/>
      <c r="C25" s="2" t="str">
        <f>'In-kind Military per Country'!I23</f>
        <v>Germany</v>
      </c>
      <c r="D25" s="2">
        <f>'In-kind Military per Country'!J23</f>
        <v>5</v>
      </c>
      <c r="E25" s="2">
        <f>'In-kind Military per Country'!K23</f>
        <v>5</v>
      </c>
      <c r="F25" s="25">
        <f t="shared" si="3"/>
        <v>0</v>
      </c>
      <c r="G25" s="25"/>
    </row>
    <row r="26" spans="2:7" ht="15.95" customHeight="1">
      <c r="B26" s="1475"/>
      <c r="C26" s="130" t="str">
        <f>'In-kind Military per Country'!I24</f>
        <v>Norway</v>
      </c>
      <c r="D26" s="130">
        <f>'In-kind Military per Country'!J24</f>
        <v>3</v>
      </c>
      <c r="E26" s="130">
        <f>'In-kind Military per Country'!K24</f>
        <v>3</v>
      </c>
      <c r="F26" s="131">
        <f t="shared" si="3"/>
        <v>0</v>
      </c>
      <c r="G26" s="25"/>
    </row>
    <row r="27" spans="2:7" ht="15.95" customHeight="1">
      <c r="F27" s="25"/>
      <c r="G27" s="25"/>
    </row>
    <row r="28" spans="2:7" ht="15.95" customHeight="1">
      <c r="F28" s="25"/>
      <c r="G28" s="25"/>
    </row>
    <row r="29" spans="2:7" ht="15.95" customHeight="1">
      <c r="F29" s="25"/>
      <c r="G29" s="25"/>
    </row>
    <row r="30" spans="2:7" ht="15.95" customHeight="1">
      <c r="G30" s="25"/>
    </row>
    <row r="31" spans="2:7" ht="15.95" customHeight="1">
      <c r="G31" s="25"/>
    </row>
    <row r="32" spans="2:7" ht="15.95" customHeight="1">
      <c r="G32" s="25"/>
    </row>
    <row r="33" spans="7:7" ht="15.95" customHeight="1">
      <c r="G33" s="25"/>
    </row>
    <row r="34" spans="7:7" ht="15.95" customHeight="1">
      <c r="G34" s="25"/>
    </row>
    <row r="52" spans="8:21" ht="15.95" customHeight="1">
      <c r="H52" s="129"/>
      <c r="I52" s="129"/>
      <c r="J52" s="129"/>
      <c r="K52" s="129"/>
      <c r="L52" s="129"/>
      <c r="M52" s="129"/>
      <c r="N52" s="129"/>
      <c r="O52" s="129"/>
      <c r="P52" s="129"/>
      <c r="Q52" s="129"/>
      <c r="R52" s="129"/>
      <c r="S52" s="129"/>
      <c r="T52" s="129"/>
      <c r="U52" s="129"/>
    </row>
    <row r="53" spans="8:21" ht="15.95" customHeight="1">
      <c r="H53" s="129"/>
      <c r="I53" s="129"/>
      <c r="J53" s="129"/>
      <c r="K53" s="129"/>
      <c r="L53" s="129"/>
      <c r="M53" s="129"/>
      <c r="N53" s="129"/>
      <c r="O53" s="129"/>
      <c r="P53" s="129"/>
      <c r="Q53" s="129"/>
      <c r="R53" s="129"/>
      <c r="S53" s="129"/>
      <c r="T53" s="129"/>
      <c r="U53" s="129"/>
    </row>
    <row r="54" spans="8:21" ht="15.95" customHeight="1">
      <c r="H54" s="129"/>
      <c r="I54" s="129"/>
      <c r="J54" s="129"/>
      <c r="K54" s="129"/>
      <c r="L54" s="129"/>
      <c r="M54" s="129"/>
      <c r="N54" s="129"/>
      <c r="O54" s="129"/>
      <c r="P54" s="129"/>
      <c r="Q54" s="129"/>
      <c r="R54" s="129"/>
      <c r="S54" s="129"/>
      <c r="T54" s="129"/>
      <c r="U54" s="129"/>
    </row>
    <row r="55" spans="8:21" ht="15.95" customHeight="1">
      <c r="H55" s="129"/>
      <c r="I55" s="129"/>
      <c r="J55" s="129"/>
      <c r="K55" s="129"/>
      <c r="L55" s="129"/>
      <c r="M55" s="129"/>
      <c r="N55" s="129"/>
      <c r="O55" s="129"/>
      <c r="P55" s="129"/>
      <c r="Q55" s="129"/>
      <c r="R55" s="129"/>
      <c r="S55" s="129"/>
      <c r="T55" s="129"/>
      <c r="U55" s="129"/>
    </row>
    <row r="56" spans="8:21" ht="15.95" customHeight="1">
      <c r="H56" s="129"/>
      <c r="I56" s="129"/>
      <c r="J56" s="129"/>
      <c r="K56" s="129"/>
      <c r="L56" s="129"/>
      <c r="M56" s="129"/>
      <c r="N56" s="129"/>
      <c r="O56" s="129"/>
      <c r="P56" s="129"/>
      <c r="Q56" s="129"/>
      <c r="R56" s="129"/>
      <c r="S56" s="129"/>
      <c r="T56" s="129"/>
      <c r="U56" s="129"/>
    </row>
    <row r="57" spans="8:21" ht="15.95" customHeight="1">
      <c r="H57" s="129"/>
      <c r="I57" s="129"/>
      <c r="J57" s="129"/>
      <c r="K57" s="129"/>
      <c r="L57" s="129"/>
      <c r="M57" s="129"/>
      <c r="N57" s="129"/>
      <c r="O57" s="129"/>
      <c r="P57" s="129"/>
      <c r="Q57" s="129"/>
      <c r="R57" s="129"/>
      <c r="S57" s="129"/>
      <c r="T57" s="129"/>
      <c r="U57" s="129"/>
    </row>
    <row r="58" spans="8:21" ht="15.95" customHeight="1">
      <c r="H58" s="129"/>
      <c r="I58" s="129"/>
      <c r="J58" s="129"/>
      <c r="K58" s="129"/>
      <c r="L58" s="129"/>
      <c r="M58" s="129"/>
      <c r="N58" s="129"/>
      <c r="O58" s="129"/>
      <c r="P58" s="129"/>
      <c r="Q58" s="129"/>
      <c r="R58" s="129"/>
      <c r="S58" s="129"/>
      <c r="T58" s="129"/>
      <c r="U58" s="129"/>
    </row>
    <row r="59" spans="8:21" ht="15.95" customHeight="1">
      <c r="H59" s="129"/>
      <c r="I59" s="129"/>
      <c r="J59" s="129"/>
      <c r="K59" s="129"/>
      <c r="L59" s="129"/>
      <c r="M59" s="129"/>
      <c r="N59" s="129"/>
      <c r="O59" s="129"/>
      <c r="P59" s="129"/>
      <c r="Q59" s="129"/>
      <c r="R59" s="129"/>
      <c r="S59" s="129"/>
      <c r="T59" s="129"/>
      <c r="U59" s="129"/>
    </row>
    <row r="60" spans="8:21" ht="15.95" customHeight="1">
      <c r="H60" s="129"/>
      <c r="I60" s="129"/>
      <c r="J60" s="129"/>
      <c r="K60" s="129"/>
      <c r="L60" s="129"/>
      <c r="M60" s="129"/>
      <c r="N60" s="129"/>
      <c r="O60" s="129"/>
      <c r="P60" s="129"/>
      <c r="Q60" s="129"/>
      <c r="R60" s="129"/>
      <c r="S60" s="129"/>
      <c r="T60" s="129"/>
      <c r="U60" s="129"/>
    </row>
  </sheetData>
  <mergeCells count="4">
    <mergeCell ref="B4:M9"/>
    <mergeCell ref="B12:B16"/>
    <mergeCell ref="B17:B21"/>
    <mergeCell ref="B22:B26"/>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09164-EA9D-4719-A90D-F68649136B6A}">
  <sheetPr>
    <tabColor rgb="FFD9E1F2"/>
  </sheetPr>
  <dimension ref="A1:P57"/>
  <sheetViews>
    <sheetView showGridLines="0" zoomScaleNormal="100" workbookViewId="0"/>
  </sheetViews>
  <sheetFormatPr defaultColWidth="8.625" defaultRowHeight="15.95" customHeight="1"/>
  <cols>
    <col min="1" max="1" width="8.625" style="2" customWidth="1"/>
    <col min="2" max="2" width="25.5" style="946" customWidth="1"/>
    <col min="3" max="3" width="27.875" style="957" bestFit="1" customWidth="1"/>
    <col min="4" max="4" width="73.125" style="957" customWidth="1"/>
    <col min="5" max="5" width="33.125" style="957" bestFit="1" customWidth="1"/>
    <col min="6" max="6" width="13.625" style="946" customWidth="1"/>
    <col min="7" max="16384" width="8.625" style="946"/>
  </cols>
  <sheetData>
    <row r="1" spans="1:7" ht="15.95" customHeight="1">
      <c r="A1" s="946"/>
      <c r="B1" s="947"/>
      <c r="C1" s="948"/>
      <c r="D1" s="948"/>
      <c r="E1" s="948"/>
    </row>
    <row r="2" spans="1:7" s="952" customFormat="1" ht="24.75" customHeight="1">
      <c r="A2" s="949"/>
      <c r="B2" s="950" t="s">
        <v>4822</v>
      </c>
      <c r="C2" s="951"/>
      <c r="D2" s="951"/>
      <c r="E2" s="951"/>
    </row>
    <row r="3" spans="1:7" s="955" customFormat="1" ht="15.95" customHeight="1">
      <c r="A3" s="946"/>
      <c r="B3" s="953"/>
      <c r="C3" s="954"/>
      <c r="D3" s="954"/>
      <c r="E3" s="954"/>
    </row>
    <row r="4" spans="1:7" s="955" customFormat="1" ht="15.95" customHeight="1">
      <c r="A4" s="946"/>
      <c r="B4" s="1459" t="s">
        <v>4823</v>
      </c>
      <c r="C4" s="1459"/>
      <c r="D4" s="1459"/>
      <c r="E4" s="848"/>
    </row>
    <row r="5" spans="1:7" s="955" customFormat="1" ht="15.95" customHeight="1">
      <c r="A5" s="946"/>
      <c r="B5" s="1459"/>
      <c r="C5" s="1459"/>
      <c r="D5" s="1459"/>
      <c r="E5" s="848"/>
    </row>
    <row r="6" spans="1:7" s="955" customFormat="1" ht="15.95" customHeight="1">
      <c r="A6" s="946"/>
      <c r="B6" s="1459"/>
      <c r="C6" s="1459"/>
      <c r="D6" s="1459"/>
      <c r="E6" s="848"/>
    </row>
    <row r="7" spans="1:7" s="955" customFormat="1" ht="15.95" customHeight="1">
      <c r="A7" s="946"/>
      <c r="B7" s="1459"/>
      <c r="C7" s="1459"/>
      <c r="D7" s="1459"/>
      <c r="E7" s="848"/>
    </row>
    <row r="8" spans="1:7" s="955" customFormat="1" ht="15.95" customHeight="1">
      <c r="A8" s="946"/>
      <c r="B8" s="1459"/>
      <c r="C8" s="1459"/>
      <c r="D8" s="1459"/>
      <c r="E8" s="848"/>
      <c r="G8" s="956"/>
    </row>
    <row r="9" spans="1:7" s="955" customFormat="1" ht="15.95" customHeight="1">
      <c r="A9" s="946"/>
      <c r="B9" s="1459"/>
      <c r="C9" s="1459"/>
      <c r="D9" s="1459"/>
      <c r="E9" s="848"/>
    </row>
    <row r="10" spans="1:7" ht="31.15" customHeight="1">
      <c r="G10" s="1336" t="s">
        <v>4824</v>
      </c>
    </row>
    <row r="11" spans="1:7" ht="24.75" customHeight="1">
      <c r="B11" s="958" t="s">
        <v>4512</v>
      </c>
      <c r="C11" s="959" t="s">
        <v>4825</v>
      </c>
      <c r="D11" s="959" t="s">
        <v>4826</v>
      </c>
      <c r="E11" s="959" t="s">
        <v>4827</v>
      </c>
      <c r="F11" s="960"/>
    </row>
    <row r="12" spans="1:7" ht="15.95" customHeight="1">
      <c r="B12" s="37" t="s">
        <v>2989</v>
      </c>
      <c r="C12" s="957">
        <f t="shared" ref="C12:C50" si="0">E12-D12</f>
        <v>250</v>
      </c>
      <c r="D12" s="957">
        <f>SUMIFS('Bilateral Assistance, MAIN DATA'!M:M,'Bilateral Assistance, MAIN DATA'!B:B,'Figure A6. Tank Unit Ranking'!B12,'Bilateral Assistance, MAIN DATA'!AH:AH,"13",'Bilateral Assistance, MAIN DATA'!K:K,"Main Battle Tank (MBT)")+SUMIFS('Bilateral Assistance, MAIN DATA'!M:M,'Bilateral Assistance, MAIN DATA'!B:B,'Figure A6. Tank Unit Ranking'!B12,'Bilateral Assistance, MAIN DATA'!AH:AH,"14",'Bilateral Assistance, MAIN DATA'!K:K,"Main Battle Tank (MBT)")+SUMIFS('Bilateral Assistance, MAIN DATA'!M:M,'Bilateral Assistance, MAIN DATA'!B:B,'Figure A6. Tank Unit Ranking'!B12,'Bilateral Assistance, MAIN DATA'!AH:AH,"15",'Bilateral Assistance, MAIN DATA'!K:K,"Main Battle Tank (MBT)")+SUMIFS('Bilateral Assistance, MAIN DATA'!M:M,'Bilateral Assistance, MAIN DATA'!B:B,'Figure A6. Tank Unit Ranking'!B12,'Bilateral Assistance, MAIN DATA'!AH:AH,"16",'Bilateral Assistance, MAIN DATA'!K:K,"Main Battle Tank (MBT)")+SUMIFS('Bilateral Assistance, MAIN DATA'!M:M,'Bilateral Assistance, MAIN DATA'!B:B,'Figure A6. Tank Unit Ranking'!B12,'Bilateral Assistance, MAIN DATA'!AH:AH,"17",'Bilateral Assistance, MAIN DATA'!K:K,"Main Battle Tank (MBT)")</f>
        <v>74</v>
      </c>
      <c r="E12" s="957">
        <f>VLOOKUP(B12,'In-kind Military per Country'!O:Q,2,0)</f>
        <v>324</v>
      </c>
    </row>
    <row r="13" spans="1:7" ht="15.95" customHeight="1">
      <c r="B13" s="37" t="s">
        <v>1012</v>
      </c>
      <c r="C13" s="957">
        <f t="shared" si="0"/>
        <v>89</v>
      </c>
      <c r="D13" s="957">
        <f>SUMIFS('Bilateral Assistance, MAIN DATA'!M:M,'Bilateral Assistance, MAIN DATA'!B:B,'Figure A6. Tank Unit Ranking'!B13,'Bilateral Assistance, MAIN DATA'!AH:AH,"13",'Bilateral Assistance, MAIN DATA'!K:K,"Main Battle Tank (MBT)")+SUMIFS('Bilateral Assistance, MAIN DATA'!M:M,'Bilateral Assistance, MAIN DATA'!B:B,'Figure A6. Tank Unit Ranking'!B13,'Bilateral Assistance, MAIN DATA'!AH:AH,"14",'Bilateral Assistance, MAIN DATA'!K:K,"Main Battle Tank (MBT)")+SUMIFS('Bilateral Assistance, MAIN DATA'!M:M,'Bilateral Assistance, MAIN DATA'!B:B,'Figure A6. Tank Unit Ranking'!B13,'Bilateral Assistance, MAIN DATA'!AH:AH,"15",'Bilateral Assistance, MAIN DATA'!K:K,"Main Battle Tank (MBT)")+SUMIFS('Bilateral Assistance, MAIN DATA'!M:M,'Bilateral Assistance, MAIN DATA'!B:B,'Figure A6. Tank Unit Ranking'!B13,'Bilateral Assistance, MAIN DATA'!AH:AH,"16",'Bilateral Assistance, MAIN DATA'!K:K,"Main Battle Tank (MBT)")+SUMIFS('Bilateral Assistance, MAIN DATA'!M:M,'Bilateral Assistance, MAIN DATA'!B:B,'Figure A6. Tank Unit Ranking'!B13,'Bilateral Assistance, MAIN DATA'!AH:AH,"17",'Bilateral Assistance, MAIN DATA'!K:K,"Main Battle Tank (MBT)")</f>
        <v>0</v>
      </c>
      <c r="E13" s="957">
        <f>VLOOKUP(B13,'In-kind Military per Country'!O:Q,2,0)</f>
        <v>89</v>
      </c>
    </row>
    <row r="14" spans="1:7" ht="15.95" customHeight="1">
      <c r="B14" s="37" t="s">
        <v>2693</v>
      </c>
      <c r="C14" s="957">
        <f t="shared" si="0"/>
        <v>44.999999999999993</v>
      </c>
      <c r="D14" s="957">
        <f>SUMIFS('Bilateral Assistance, MAIN DATA'!M:M,'Bilateral Assistance, MAIN DATA'!B:B,'Figure A6. Tank Unit Ranking'!B14,'Bilateral Assistance, MAIN DATA'!AH:AH,"13",'Bilateral Assistance, MAIN DATA'!K:K,"Main Battle Tank (MBT)")+SUMIFS('Bilateral Assistance, MAIN DATA'!M:M,'Bilateral Assistance, MAIN DATA'!B:B,'Figure A6. Tank Unit Ranking'!B14,'Bilateral Assistance, MAIN DATA'!AH:AH,"14",'Bilateral Assistance, MAIN DATA'!K:K,"Main Battle Tank (MBT)")+SUMIFS('Bilateral Assistance, MAIN DATA'!M:M,'Bilateral Assistance, MAIN DATA'!B:B,'Figure A6. Tank Unit Ranking'!B14,'Bilateral Assistance, MAIN DATA'!AH:AH,"15",'Bilateral Assistance, MAIN DATA'!K:K,"Main Battle Tank (MBT)")+SUMIFS('Bilateral Assistance, MAIN DATA'!M:M,'Bilateral Assistance, MAIN DATA'!B:B,'Figure A6. Tank Unit Ranking'!B14,'Bilateral Assistance, MAIN DATA'!AH:AH,"16",'Bilateral Assistance, MAIN DATA'!K:K,"Main Battle Tank (MBT)")+SUMIFS('Bilateral Assistance, MAIN DATA'!M:M,'Bilateral Assistance, MAIN DATA'!B:B,'Figure A6. Tank Unit Ranking'!B14,'Bilateral Assistance, MAIN DATA'!AH:AH,"17",'Bilateral Assistance, MAIN DATA'!K:K,"Main Battle Tank (MBT)")</f>
        <v>43.666666666666664</v>
      </c>
      <c r="E14" s="957">
        <f>VLOOKUP(B14,'In-kind Military per Country'!O:Q,2,0)</f>
        <v>88.666666666666657</v>
      </c>
    </row>
    <row r="15" spans="1:7" ht="15.95" customHeight="1">
      <c r="B15" s="37" t="s">
        <v>3949</v>
      </c>
      <c r="C15" s="957">
        <f t="shared" si="0"/>
        <v>45</v>
      </c>
      <c r="D15" s="957">
        <f>SUMIFS('Bilateral Assistance, MAIN DATA'!M:M,'Bilateral Assistance, MAIN DATA'!B:B,'Figure A6. Tank Unit Ranking'!B15,'Bilateral Assistance, MAIN DATA'!AH:AH,"13",'Bilateral Assistance, MAIN DATA'!K:K,"Main Battle Tank (MBT)")+SUMIFS('Bilateral Assistance, MAIN DATA'!M:M,'Bilateral Assistance, MAIN DATA'!B:B,'Figure A6. Tank Unit Ranking'!B15,'Bilateral Assistance, MAIN DATA'!AH:AH,"14",'Bilateral Assistance, MAIN DATA'!K:K,"Main Battle Tank (MBT)")+SUMIFS('Bilateral Assistance, MAIN DATA'!M:M,'Bilateral Assistance, MAIN DATA'!B:B,'Figure A6. Tank Unit Ranking'!B15,'Bilateral Assistance, MAIN DATA'!AH:AH,"15",'Bilateral Assistance, MAIN DATA'!K:K,"Main Battle Tank (MBT)")+SUMIFS('Bilateral Assistance, MAIN DATA'!M:M,'Bilateral Assistance, MAIN DATA'!B:B,'Figure A6. Tank Unit Ranking'!B15,'Bilateral Assistance, MAIN DATA'!AH:AH,"16",'Bilateral Assistance, MAIN DATA'!K:K,"Main Battle Tank (MBT)")+SUMIFS('Bilateral Assistance, MAIN DATA'!M:M,'Bilateral Assistance, MAIN DATA'!B:B,'Figure A6. Tank Unit Ranking'!B15,'Bilateral Assistance, MAIN DATA'!AH:AH,"17",'Bilateral Assistance, MAIN DATA'!K:K,"Main Battle Tank (MBT)")</f>
        <v>31</v>
      </c>
      <c r="E15" s="957">
        <f>VLOOKUP(B15,'In-kind Military per Country'!O:Q,2,0)</f>
        <v>76</v>
      </c>
    </row>
    <row r="16" spans="1:7" ht="15.95" customHeight="1">
      <c r="B16" s="37" t="s">
        <v>1711</v>
      </c>
      <c r="C16" s="957">
        <f t="shared" si="0"/>
        <v>0</v>
      </c>
      <c r="D16" s="957">
        <f>SUMIFS('Bilateral Assistance, MAIN DATA'!M:M,'Bilateral Assistance, MAIN DATA'!B:B,'Figure A6. Tank Unit Ranking'!B16,'Bilateral Assistance, MAIN DATA'!AH:AH,"13",'Bilateral Assistance, MAIN DATA'!K:K,"Main Battle Tank (MBT)")+SUMIFS('Bilateral Assistance, MAIN DATA'!M:M,'Bilateral Assistance, MAIN DATA'!B:B,'Figure A6. Tank Unit Ranking'!B16,'Bilateral Assistance, MAIN DATA'!AH:AH,"14",'Bilateral Assistance, MAIN DATA'!K:K,"Main Battle Tank (MBT)")+SUMIFS('Bilateral Assistance, MAIN DATA'!M:M,'Bilateral Assistance, MAIN DATA'!B:B,'Figure A6. Tank Unit Ranking'!B16,'Bilateral Assistance, MAIN DATA'!AH:AH,"15",'Bilateral Assistance, MAIN DATA'!K:K,"Main Battle Tank (MBT)")+SUMIFS('Bilateral Assistance, MAIN DATA'!M:M,'Bilateral Assistance, MAIN DATA'!B:B,'Figure A6. Tank Unit Ranking'!B16,'Bilateral Assistance, MAIN DATA'!AH:AH,"16",'Bilateral Assistance, MAIN DATA'!K:K,"Main Battle Tank (MBT)")+SUMIFS('Bilateral Assistance, MAIN DATA'!M:M,'Bilateral Assistance, MAIN DATA'!B:B,'Figure A6. Tank Unit Ranking'!B16,'Bilateral Assistance, MAIN DATA'!AH:AH,"17",'Bilateral Assistance, MAIN DATA'!K:K,"Main Battle Tank (MBT)")</f>
        <v>55</v>
      </c>
      <c r="E16" s="957">
        <f>VLOOKUP(B16,'In-kind Military per Country'!O:Q,2,0)</f>
        <v>55</v>
      </c>
    </row>
    <row r="17" spans="2:5" ht="15.95" customHeight="1">
      <c r="B17" s="37" t="s">
        <v>1194</v>
      </c>
      <c r="C17" s="957">
        <f t="shared" si="0"/>
        <v>0</v>
      </c>
      <c r="D17" s="957">
        <f>SUMIFS('Bilateral Assistance, MAIN DATA'!M:M,'Bilateral Assistance, MAIN DATA'!B:B,'Figure A6. Tank Unit Ranking'!B17,'Bilateral Assistance, MAIN DATA'!AH:AH,"13",'Bilateral Assistance, MAIN DATA'!K:K,"Main Battle Tank (MBT)")+SUMIFS('Bilateral Assistance, MAIN DATA'!M:M,'Bilateral Assistance, MAIN DATA'!B:B,'Figure A6. Tank Unit Ranking'!B17,'Bilateral Assistance, MAIN DATA'!AH:AH,"14",'Bilateral Assistance, MAIN DATA'!K:K,"Main Battle Tank (MBT)")+SUMIFS('Bilateral Assistance, MAIN DATA'!M:M,'Bilateral Assistance, MAIN DATA'!B:B,'Figure A6. Tank Unit Ranking'!B17,'Bilateral Assistance, MAIN DATA'!AH:AH,"15",'Bilateral Assistance, MAIN DATA'!K:K,"Main Battle Tank (MBT)")+SUMIFS('Bilateral Assistance, MAIN DATA'!M:M,'Bilateral Assistance, MAIN DATA'!B:B,'Figure A6. Tank Unit Ranking'!B17,'Bilateral Assistance, MAIN DATA'!AH:AH,"16",'Bilateral Assistance, MAIN DATA'!K:K,"Main Battle Tank (MBT)")+SUMIFS('Bilateral Assistance, MAIN DATA'!M:M,'Bilateral Assistance, MAIN DATA'!B:B,'Figure A6. Tank Unit Ranking'!B17,'Bilateral Assistance, MAIN DATA'!AH:AH,"17",'Bilateral Assistance, MAIN DATA'!K:K,"Main Battle Tank (MBT)")</f>
        <v>43.666666666666664</v>
      </c>
      <c r="E17" s="957">
        <f>VLOOKUP(B17,'In-kind Military per Country'!O:Q,2,0)</f>
        <v>43.666666666666664</v>
      </c>
    </row>
    <row r="18" spans="2:5" ht="15.95" customHeight="1">
      <c r="B18" s="37" t="s">
        <v>3337</v>
      </c>
      <c r="C18" s="957">
        <f t="shared" si="0"/>
        <v>28</v>
      </c>
      <c r="D18" s="957">
        <f>SUMIFS('Bilateral Assistance, MAIN DATA'!M:M,'Bilateral Assistance, MAIN DATA'!B:B,'Figure A6. Tank Unit Ranking'!B18,'Bilateral Assistance, MAIN DATA'!AH:AH,"13",'Bilateral Assistance, MAIN DATA'!K:K,"Main Battle Tank (MBT)")+SUMIFS('Bilateral Assistance, MAIN DATA'!M:M,'Bilateral Assistance, MAIN DATA'!B:B,'Figure A6. Tank Unit Ranking'!B18,'Bilateral Assistance, MAIN DATA'!AH:AH,"14",'Bilateral Assistance, MAIN DATA'!K:K,"Main Battle Tank (MBT)")+SUMIFS('Bilateral Assistance, MAIN DATA'!M:M,'Bilateral Assistance, MAIN DATA'!B:B,'Figure A6. Tank Unit Ranking'!B18,'Bilateral Assistance, MAIN DATA'!AH:AH,"15",'Bilateral Assistance, MAIN DATA'!K:K,"Main Battle Tank (MBT)")+SUMIFS('Bilateral Assistance, MAIN DATA'!M:M,'Bilateral Assistance, MAIN DATA'!B:B,'Figure A6. Tank Unit Ranking'!B18,'Bilateral Assistance, MAIN DATA'!AH:AH,"16",'Bilateral Assistance, MAIN DATA'!K:K,"Main Battle Tank (MBT)")+SUMIFS('Bilateral Assistance, MAIN DATA'!M:M,'Bilateral Assistance, MAIN DATA'!B:B,'Figure A6. Tank Unit Ranking'!B18,'Bilateral Assistance, MAIN DATA'!AH:AH,"17",'Bilateral Assistance, MAIN DATA'!K:K,"Main Battle Tank (MBT)")</f>
        <v>0</v>
      </c>
      <c r="E18" s="957">
        <f>VLOOKUP(B18,'In-kind Military per Country'!O:Q,2,0)</f>
        <v>28</v>
      </c>
    </row>
    <row r="19" spans="2:5" ht="15.95" customHeight="1">
      <c r="B19" s="37" t="s">
        <v>3748</v>
      </c>
      <c r="C19" s="957">
        <f t="shared" si="0"/>
        <v>0</v>
      </c>
      <c r="D19" s="957">
        <f>SUMIFS('Bilateral Assistance, MAIN DATA'!M:M,'Bilateral Assistance, MAIN DATA'!B:B,'Figure A6. Tank Unit Ranking'!B19,'Bilateral Assistance, MAIN DATA'!AH:AH,"13",'Bilateral Assistance, MAIN DATA'!K:K,"Main Battle Tank (MBT)")+SUMIFS('Bilateral Assistance, MAIN DATA'!M:M,'Bilateral Assistance, MAIN DATA'!B:B,'Figure A6. Tank Unit Ranking'!B19,'Bilateral Assistance, MAIN DATA'!AH:AH,"14",'Bilateral Assistance, MAIN DATA'!K:K,"Main Battle Tank (MBT)")+SUMIFS('Bilateral Assistance, MAIN DATA'!M:M,'Bilateral Assistance, MAIN DATA'!B:B,'Figure A6. Tank Unit Ranking'!B19,'Bilateral Assistance, MAIN DATA'!AH:AH,"15",'Bilateral Assistance, MAIN DATA'!K:K,"Main Battle Tank (MBT)")+SUMIFS('Bilateral Assistance, MAIN DATA'!M:M,'Bilateral Assistance, MAIN DATA'!B:B,'Figure A6. Tank Unit Ranking'!B19,'Bilateral Assistance, MAIN DATA'!AH:AH,"16",'Bilateral Assistance, MAIN DATA'!K:K,"Main Battle Tank (MBT)")+SUMIFS('Bilateral Assistance, MAIN DATA'!M:M,'Bilateral Assistance, MAIN DATA'!B:B,'Figure A6. Tank Unit Ranking'!B19,'Bilateral Assistance, MAIN DATA'!AH:AH,"17",'Bilateral Assistance, MAIN DATA'!K:K,"Main Battle Tank (MBT)")</f>
        <v>14</v>
      </c>
      <c r="E19" s="957">
        <f>VLOOKUP(B19,'In-kind Military per Country'!O:Q,2,0)</f>
        <v>14</v>
      </c>
    </row>
    <row r="20" spans="2:5" ht="15.95" customHeight="1">
      <c r="B20" s="37" t="s">
        <v>3548</v>
      </c>
      <c r="C20" s="957">
        <f t="shared" si="0"/>
        <v>0</v>
      </c>
      <c r="D20" s="957">
        <f>SUMIFS('Bilateral Assistance, MAIN DATA'!M:M,'Bilateral Assistance, MAIN DATA'!B:B,'Figure A6. Tank Unit Ranking'!B20,'Bilateral Assistance, MAIN DATA'!AH:AH,"13",'Bilateral Assistance, MAIN DATA'!K:K,"Main Battle Tank (MBT)")+SUMIFS('Bilateral Assistance, MAIN DATA'!M:M,'Bilateral Assistance, MAIN DATA'!B:B,'Figure A6. Tank Unit Ranking'!B20,'Bilateral Assistance, MAIN DATA'!AH:AH,"14",'Bilateral Assistance, MAIN DATA'!K:K,"Main Battle Tank (MBT)")+SUMIFS('Bilateral Assistance, MAIN DATA'!M:M,'Bilateral Assistance, MAIN DATA'!B:B,'Figure A6. Tank Unit Ranking'!B20,'Bilateral Assistance, MAIN DATA'!AH:AH,"15",'Bilateral Assistance, MAIN DATA'!K:K,"Main Battle Tank (MBT)")+SUMIFS('Bilateral Assistance, MAIN DATA'!M:M,'Bilateral Assistance, MAIN DATA'!B:B,'Figure A6. Tank Unit Ranking'!B20,'Bilateral Assistance, MAIN DATA'!AH:AH,"16",'Bilateral Assistance, MAIN DATA'!K:K,"Main Battle Tank (MBT)")+SUMIFS('Bilateral Assistance, MAIN DATA'!M:M,'Bilateral Assistance, MAIN DATA'!B:B,'Figure A6. Tank Unit Ranking'!B20,'Bilateral Assistance, MAIN DATA'!AH:AH,"17",'Bilateral Assistance, MAIN DATA'!K:K,"Main Battle Tank (MBT)")</f>
        <v>10</v>
      </c>
      <c r="E20" s="957">
        <f>VLOOKUP(B20,'In-kind Military per Country'!O:Q,2,0)</f>
        <v>10</v>
      </c>
    </row>
    <row r="21" spans="2:5" ht="15.95" customHeight="1">
      <c r="B21" s="37" t="s">
        <v>3412</v>
      </c>
      <c r="C21" s="957">
        <f t="shared" si="0"/>
        <v>0</v>
      </c>
      <c r="D21" s="957">
        <f>SUMIFS('Bilateral Assistance, MAIN DATA'!M:M,'Bilateral Assistance, MAIN DATA'!B:B,'Figure A6. Tank Unit Ranking'!B21,'Bilateral Assistance, MAIN DATA'!AH:AH,"13",'Bilateral Assistance, MAIN DATA'!K:K,"Main Battle Tank (MBT)")+SUMIFS('Bilateral Assistance, MAIN DATA'!M:M,'Bilateral Assistance, MAIN DATA'!B:B,'Figure A6. Tank Unit Ranking'!B21,'Bilateral Assistance, MAIN DATA'!AH:AH,"14",'Bilateral Assistance, MAIN DATA'!K:K,"Main Battle Tank (MBT)")+SUMIFS('Bilateral Assistance, MAIN DATA'!M:M,'Bilateral Assistance, MAIN DATA'!B:B,'Figure A6. Tank Unit Ranking'!B21,'Bilateral Assistance, MAIN DATA'!AH:AH,"15",'Bilateral Assistance, MAIN DATA'!K:K,"Main Battle Tank (MBT)")+SUMIFS('Bilateral Assistance, MAIN DATA'!M:M,'Bilateral Assistance, MAIN DATA'!B:B,'Figure A6. Tank Unit Ranking'!B21,'Bilateral Assistance, MAIN DATA'!AH:AH,"16",'Bilateral Assistance, MAIN DATA'!K:K,"Main Battle Tank (MBT)")+SUMIFS('Bilateral Assistance, MAIN DATA'!M:M,'Bilateral Assistance, MAIN DATA'!B:B,'Figure A6. Tank Unit Ranking'!B21,'Bilateral Assistance, MAIN DATA'!AH:AH,"17",'Bilateral Assistance, MAIN DATA'!K:K,"Main Battle Tank (MBT)")</f>
        <v>10</v>
      </c>
      <c r="E21" s="957">
        <f>VLOOKUP(B21,'In-kind Military per Country'!O:Q,2,0)</f>
        <v>10</v>
      </c>
    </row>
    <row r="22" spans="2:5" ht="15.95" customHeight="1">
      <c r="B22" s="37" t="s">
        <v>713</v>
      </c>
      <c r="C22" s="957">
        <f t="shared" si="0"/>
        <v>0</v>
      </c>
      <c r="D22" s="957">
        <f>SUMIFS('Bilateral Assistance, MAIN DATA'!M:M,'Bilateral Assistance, MAIN DATA'!B:B,'Figure A6. Tank Unit Ranking'!B22,'Bilateral Assistance, MAIN DATA'!AH:AH,"13",'Bilateral Assistance, MAIN DATA'!K:K,"Main Battle Tank (MBT)")+SUMIFS('Bilateral Assistance, MAIN DATA'!M:M,'Bilateral Assistance, MAIN DATA'!B:B,'Figure A6. Tank Unit Ranking'!B22,'Bilateral Assistance, MAIN DATA'!AH:AH,"14",'Bilateral Assistance, MAIN DATA'!K:K,"Main Battle Tank (MBT)")+SUMIFS('Bilateral Assistance, MAIN DATA'!M:M,'Bilateral Assistance, MAIN DATA'!B:B,'Figure A6. Tank Unit Ranking'!B22,'Bilateral Assistance, MAIN DATA'!AH:AH,"15",'Bilateral Assistance, MAIN DATA'!K:K,"Main Battle Tank (MBT)")+SUMIFS('Bilateral Assistance, MAIN DATA'!M:M,'Bilateral Assistance, MAIN DATA'!B:B,'Figure A6. Tank Unit Ranking'!B22,'Bilateral Assistance, MAIN DATA'!AH:AH,"16",'Bilateral Assistance, MAIN DATA'!K:K,"Main Battle Tank (MBT)")+SUMIFS('Bilateral Assistance, MAIN DATA'!M:M,'Bilateral Assistance, MAIN DATA'!B:B,'Figure A6. Tank Unit Ranking'!B22,'Bilateral Assistance, MAIN DATA'!AH:AH,"17",'Bilateral Assistance, MAIN DATA'!K:K,"Main Battle Tank (MBT)")</f>
        <v>8</v>
      </c>
      <c r="E22" s="957">
        <f>VLOOKUP(B22,'In-kind Military per Country'!O:Q,2,0)</f>
        <v>8</v>
      </c>
    </row>
    <row r="23" spans="2:5" ht="15.95" customHeight="1">
      <c r="B23" s="946" t="s">
        <v>2882</v>
      </c>
      <c r="C23" s="957">
        <f t="shared" si="0"/>
        <v>0</v>
      </c>
      <c r="D23" s="957">
        <f>SUMIFS('Bilateral Assistance, MAIN DATA'!M:M,'Bilateral Assistance, MAIN DATA'!B:B,'Figure A6. Tank Unit Ranking'!B23,'Bilateral Assistance, MAIN DATA'!AH:AH,"13",'Bilateral Assistance, MAIN DATA'!K:K,"Main Battle Tank (MBT)")+SUMIFS('Bilateral Assistance, MAIN DATA'!M:M,'Bilateral Assistance, MAIN DATA'!B:B,'Figure A6. Tank Unit Ranking'!B23,'Bilateral Assistance, MAIN DATA'!AH:AH,"14",'Bilateral Assistance, MAIN DATA'!K:K,"Main Battle Tank (MBT)")+SUMIFS('Bilateral Assistance, MAIN DATA'!M:M,'Bilateral Assistance, MAIN DATA'!B:B,'Figure A6. Tank Unit Ranking'!B23,'Bilateral Assistance, MAIN DATA'!AH:AH,"15",'Bilateral Assistance, MAIN DATA'!K:K,"Main Battle Tank (MBT)")+SUMIFS('Bilateral Assistance, MAIN DATA'!M:M,'Bilateral Assistance, MAIN DATA'!B:B,'Figure A6. Tank Unit Ranking'!B23,'Bilateral Assistance, MAIN DATA'!AH:AH,"16",'Bilateral Assistance, MAIN DATA'!K:K,"Main Battle Tank (MBT)")+SUMIFS('Bilateral Assistance, MAIN DATA'!M:M,'Bilateral Assistance, MAIN DATA'!B:B,'Figure A6. Tank Unit Ranking'!B23,'Bilateral Assistance, MAIN DATA'!AH:AH,"17",'Bilateral Assistance, MAIN DATA'!K:K,"Main Battle Tank (MBT)")</f>
        <v>8</v>
      </c>
      <c r="E23" s="957">
        <f>VLOOKUP(B23,'In-kind Military per Country'!O:Q,2,0)</f>
        <v>8</v>
      </c>
    </row>
    <row r="24" spans="2:5" ht="15.95" customHeight="1">
      <c r="B24" s="37" t="s">
        <v>3079</v>
      </c>
      <c r="C24" s="957">
        <f t="shared" si="0"/>
        <v>0</v>
      </c>
      <c r="D24" s="957">
        <f>SUMIFS('Bilateral Assistance, MAIN DATA'!M:M,'Bilateral Assistance, MAIN DATA'!B:B,'Figure A6. Tank Unit Ranking'!B24,'Bilateral Assistance, MAIN DATA'!AH:AH,"13",'Bilateral Assistance, MAIN DATA'!K:K,"Main Battle Tank (MBT)")+SUMIFS('Bilateral Assistance, MAIN DATA'!M:M,'Bilateral Assistance, MAIN DATA'!B:B,'Figure A6. Tank Unit Ranking'!B24,'Bilateral Assistance, MAIN DATA'!AH:AH,"14",'Bilateral Assistance, MAIN DATA'!K:K,"Main Battle Tank (MBT)")+SUMIFS('Bilateral Assistance, MAIN DATA'!M:M,'Bilateral Assistance, MAIN DATA'!B:B,'Figure A6. Tank Unit Ranking'!B24,'Bilateral Assistance, MAIN DATA'!AH:AH,"15",'Bilateral Assistance, MAIN DATA'!K:K,"Main Battle Tank (MBT)")+SUMIFS('Bilateral Assistance, MAIN DATA'!M:M,'Bilateral Assistance, MAIN DATA'!B:B,'Figure A6. Tank Unit Ranking'!B24,'Bilateral Assistance, MAIN DATA'!AH:AH,"16",'Bilateral Assistance, MAIN DATA'!K:K,"Main Battle Tank (MBT)")+SUMIFS('Bilateral Assistance, MAIN DATA'!M:M,'Bilateral Assistance, MAIN DATA'!B:B,'Figure A6. Tank Unit Ranking'!B24,'Bilateral Assistance, MAIN DATA'!AH:AH,"17",'Bilateral Assistance, MAIN DATA'!K:K,"Main Battle Tank (MBT)")</f>
        <v>3</v>
      </c>
      <c r="E24" s="957">
        <f>VLOOKUP(B24,'In-kind Military per Country'!O:Q,2,0)</f>
        <v>3</v>
      </c>
    </row>
    <row r="25" spans="2:5" ht="15.95" customHeight="1">
      <c r="B25" s="37" t="s">
        <v>1432</v>
      </c>
      <c r="C25" s="957">
        <f t="shared" si="0"/>
        <v>0</v>
      </c>
      <c r="D25" s="957">
        <f>SUMIFS('Bilateral Assistance, MAIN DATA'!M:M,'Bilateral Assistance, MAIN DATA'!B:B,'Figure A6. Tank Unit Ranking'!B25,'Bilateral Assistance, MAIN DATA'!AH:AH,"13",'Bilateral Assistance, MAIN DATA'!K:K,"Main Battle Tank (MBT)")+SUMIFS('Bilateral Assistance, MAIN DATA'!M:M,'Bilateral Assistance, MAIN DATA'!B:B,'Figure A6. Tank Unit Ranking'!B25,'Bilateral Assistance, MAIN DATA'!AH:AH,"14",'Bilateral Assistance, MAIN DATA'!K:K,"Main Battle Tank (MBT)")+SUMIFS('Bilateral Assistance, MAIN DATA'!M:M,'Bilateral Assistance, MAIN DATA'!B:B,'Figure A6. Tank Unit Ranking'!B25,'Bilateral Assistance, MAIN DATA'!AH:AH,"15",'Bilateral Assistance, MAIN DATA'!K:K,"Main Battle Tank (MBT)")+SUMIFS('Bilateral Assistance, MAIN DATA'!M:M,'Bilateral Assistance, MAIN DATA'!B:B,'Figure A6. Tank Unit Ranking'!B25,'Bilateral Assistance, MAIN DATA'!AH:AH,"16",'Bilateral Assistance, MAIN DATA'!K:K,"Main Battle Tank (MBT)")+SUMIFS('Bilateral Assistance, MAIN DATA'!M:M,'Bilateral Assistance, MAIN DATA'!B:B,'Figure A6. Tank Unit Ranking'!B25,'Bilateral Assistance, MAIN DATA'!AH:AH,"17",'Bilateral Assistance, MAIN DATA'!K:K,"Main Battle Tank (MBT)")</f>
        <v>0</v>
      </c>
      <c r="E25" s="957">
        <f>VLOOKUP(B25,'In-kind Military per Country'!O:Q,2,0)</f>
        <v>0</v>
      </c>
    </row>
    <row r="26" spans="2:5" ht="15.95" customHeight="1">
      <c r="B26" s="37" t="s">
        <v>2392</v>
      </c>
      <c r="C26" s="957">
        <f t="shared" si="0"/>
        <v>0</v>
      </c>
      <c r="D26" s="957">
        <f>SUMIFS('Bilateral Assistance, MAIN DATA'!M:M,'Bilateral Assistance, MAIN DATA'!B:B,'Figure A6. Tank Unit Ranking'!B26,'Bilateral Assistance, MAIN DATA'!AH:AH,"13",'Bilateral Assistance, MAIN DATA'!K:K,"Main Battle Tank (MBT)")+SUMIFS('Bilateral Assistance, MAIN DATA'!M:M,'Bilateral Assistance, MAIN DATA'!B:B,'Figure A6. Tank Unit Ranking'!B26,'Bilateral Assistance, MAIN DATA'!AH:AH,"14",'Bilateral Assistance, MAIN DATA'!K:K,"Main Battle Tank (MBT)")+SUMIFS('Bilateral Assistance, MAIN DATA'!M:M,'Bilateral Assistance, MAIN DATA'!B:B,'Figure A6. Tank Unit Ranking'!B26,'Bilateral Assistance, MAIN DATA'!AH:AH,"15",'Bilateral Assistance, MAIN DATA'!K:K,"Main Battle Tank (MBT)")+SUMIFS('Bilateral Assistance, MAIN DATA'!M:M,'Bilateral Assistance, MAIN DATA'!B:B,'Figure A6. Tank Unit Ranking'!B26,'Bilateral Assistance, MAIN DATA'!AH:AH,"16",'Bilateral Assistance, MAIN DATA'!K:K,"Main Battle Tank (MBT)")+SUMIFS('Bilateral Assistance, MAIN DATA'!M:M,'Bilateral Assistance, MAIN DATA'!B:B,'Figure A6. Tank Unit Ranking'!B26,'Bilateral Assistance, MAIN DATA'!AH:AH,"17",'Bilateral Assistance, MAIN DATA'!K:K,"Main Battle Tank (MBT)")</f>
        <v>0</v>
      </c>
      <c r="E26" s="957">
        <f>VLOOKUP(B26,'In-kind Military per Country'!O:Q,2,0)</f>
        <v>0</v>
      </c>
    </row>
    <row r="27" spans="2:5" ht="15.95" customHeight="1">
      <c r="B27" s="37" t="s">
        <v>1305</v>
      </c>
      <c r="C27" s="957">
        <f t="shared" si="0"/>
        <v>0</v>
      </c>
      <c r="D27" s="957">
        <f>SUMIFS('Bilateral Assistance, MAIN DATA'!M:M,'Bilateral Assistance, MAIN DATA'!B:B,'Figure A6. Tank Unit Ranking'!B27,'Bilateral Assistance, MAIN DATA'!AH:AH,"13",'Bilateral Assistance, MAIN DATA'!K:K,"Main Battle Tank (MBT)")+SUMIFS('Bilateral Assistance, MAIN DATA'!M:M,'Bilateral Assistance, MAIN DATA'!B:B,'Figure A6. Tank Unit Ranking'!B27,'Bilateral Assistance, MAIN DATA'!AH:AH,"14",'Bilateral Assistance, MAIN DATA'!K:K,"Main Battle Tank (MBT)")+SUMIFS('Bilateral Assistance, MAIN DATA'!M:M,'Bilateral Assistance, MAIN DATA'!B:B,'Figure A6. Tank Unit Ranking'!B27,'Bilateral Assistance, MAIN DATA'!AH:AH,"15",'Bilateral Assistance, MAIN DATA'!K:K,"Main Battle Tank (MBT)")+SUMIFS('Bilateral Assistance, MAIN DATA'!M:M,'Bilateral Assistance, MAIN DATA'!B:B,'Figure A6. Tank Unit Ranking'!B27,'Bilateral Assistance, MAIN DATA'!AH:AH,"16",'Bilateral Assistance, MAIN DATA'!K:K,"Main Battle Tank (MBT)")+SUMIFS('Bilateral Assistance, MAIN DATA'!M:M,'Bilateral Assistance, MAIN DATA'!B:B,'Figure A6. Tank Unit Ranking'!B27,'Bilateral Assistance, MAIN DATA'!AH:AH,"17",'Bilateral Assistance, MAIN DATA'!K:K,"Main Battle Tank (MBT)")</f>
        <v>0</v>
      </c>
      <c r="E27" s="957">
        <f>VLOOKUP(B27,'In-kind Military per Country'!O:Q,2,0)</f>
        <v>0</v>
      </c>
    </row>
    <row r="28" spans="2:5" ht="15.95" customHeight="1">
      <c r="B28" s="37" t="s">
        <v>2488</v>
      </c>
      <c r="C28" s="957">
        <f t="shared" si="0"/>
        <v>0</v>
      </c>
      <c r="D28" s="957">
        <f>SUMIFS('Bilateral Assistance, MAIN DATA'!M:M,'Bilateral Assistance, MAIN DATA'!B:B,'Figure A6. Tank Unit Ranking'!B28,'Bilateral Assistance, MAIN DATA'!AH:AH,"13",'Bilateral Assistance, MAIN DATA'!K:K,"Main Battle Tank (MBT)")+SUMIFS('Bilateral Assistance, MAIN DATA'!M:M,'Bilateral Assistance, MAIN DATA'!B:B,'Figure A6. Tank Unit Ranking'!B28,'Bilateral Assistance, MAIN DATA'!AH:AH,"14",'Bilateral Assistance, MAIN DATA'!K:K,"Main Battle Tank (MBT)")+SUMIFS('Bilateral Assistance, MAIN DATA'!M:M,'Bilateral Assistance, MAIN DATA'!B:B,'Figure A6. Tank Unit Ranking'!B28,'Bilateral Assistance, MAIN DATA'!AH:AH,"15",'Bilateral Assistance, MAIN DATA'!K:K,"Main Battle Tank (MBT)")+SUMIFS('Bilateral Assistance, MAIN DATA'!M:M,'Bilateral Assistance, MAIN DATA'!B:B,'Figure A6. Tank Unit Ranking'!B28,'Bilateral Assistance, MAIN DATA'!AH:AH,"16",'Bilateral Assistance, MAIN DATA'!K:K,"Main Battle Tank (MBT)")+SUMIFS('Bilateral Assistance, MAIN DATA'!M:M,'Bilateral Assistance, MAIN DATA'!B:B,'Figure A6. Tank Unit Ranking'!B28,'Bilateral Assistance, MAIN DATA'!AH:AH,"17",'Bilateral Assistance, MAIN DATA'!K:K,"Main Battle Tank (MBT)")</f>
        <v>0</v>
      </c>
      <c r="E28" s="957">
        <f>VLOOKUP(B28,'In-kind Military per Country'!O:Q,2,0)</f>
        <v>0</v>
      </c>
    </row>
    <row r="29" spans="2:5" ht="15.95" customHeight="1">
      <c r="B29" s="946" t="s">
        <v>673</v>
      </c>
      <c r="C29" s="957">
        <f t="shared" si="0"/>
        <v>0</v>
      </c>
      <c r="D29" s="957">
        <f>SUMIFS('Bilateral Assistance, MAIN DATA'!M:M,'Bilateral Assistance, MAIN DATA'!B:B,'Figure A6. Tank Unit Ranking'!B29,'Bilateral Assistance, MAIN DATA'!AH:AH,"13",'Bilateral Assistance, MAIN DATA'!K:K,"Main Battle Tank (MBT)")+SUMIFS('Bilateral Assistance, MAIN DATA'!M:M,'Bilateral Assistance, MAIN DATA'!B:B,'Figure A6. Tank Unit Ranking'!B29,'Bilateral Assistance, MAIN DATA'!AH:AH,"14",'Bilateral Assistance, MAIN DATA'!K:K,"Main Battle Tank (MBT)")+SUMIFS('Bilateral Assistance, MAIN DATA'!M:M,'Bilateral Assistance, MAIN DATA'!B:B,'Figure A6. Tank Unit Ranking'!B29,'Bilateral Assistance, MAIN DATA'!AH:AH,"15",'Bilateral Assistance, MAIN DATA'!K:K,"Main Battle Tank (MBT)")+SUMIFS('Bilateral Assistance, MAIN DATA'!M:M,'Bilateral Assistance, MAIN DATA'!B:B,'Figure A6. Tank Unit Ranking'!B29,'Bilateral Assistance, MAIN DATA'!AH:AH,"16",'Bilateral Assistance, MAIN DATA'!K:K,"Main Battle Tank (MBT)")+SUMIFS('Bilateral Assistance, MAIN DATA'!M:M,'Bilateral Assistance, MAIN DATA'!B:B,'Figure A6. Tank Unit Ranking'!B29,'Bilateral Assistance, MAIN DATA'!AH:AH,"17",'Bilateral Assistance, MAIN DATA'!K:K,"Main Battle Tank (MBT)")</f>
        <v>0</v>
      </c>
      <c r="E29" s="957">
        <f>VLOOKUP(B29,'In-kind Military per Country'!O:Q,2,0)</f>
        <v>0</v>
      </c>
    </row>
    <row r="30" spans="2:5" ht="15.95" customHeight="1">
      <c r="B30" s="37" t="s">
        <v>3261</v>
      </c>
      <c r="C30" s="957">
        <f t="shared" si="0"/>
        <v>0</v>
      </c>
      <c r="D30" s="957">
        <f>SUMIFS('Bilateral Assistance, MAIN DATA'!M:M,'Bilateral Assistance, MAIN DATA'!B:B,'Figure A6. Tank Unit Ranking'!B30,'Bilateral Assistance, MAIN DATA'!AH:AH,"13",'Bilateral Assistance, MAIN DATA'!K:K,"Main Battle Tank (MBT)")+SUMIFS('Bilateral Assistance, MAIN DATA'!M:M,'Bilateral Assistance, MAIN DATA'!B:B,'Figure A6. Tank Unit Ranking'!B30,'Bilateral Assistance, MAIN DATA'!AH:AH,"14",'Bilateral Assistance, MAIN DATA'!K:K,"Main Battle Tank (MBT)")+SUMIFS('Bilateral Assistance, MAIN DATA'!M:M,'Bilateral Assistance, MAIN DATA'!B:B,'Figure A6. Tank Unit Ranking'!B30,'Bilateral Assistance, MAIN DATA'!AH:AH,"15",'Bilateral Assistance, MAIN DATA'!K:K,"Main Battle Tank (MBT)")+SUMIFS('Bilateral Assistance, MAIN DATA'!M:M,'Bilateral Assistance, MAIN DATA'!B:B,'Figure A6. Tank Unit Ranking'!B30,'Bilateral Assistance, MAIN DATA'!AH:AH,"16",'Bilateral Assistance, MAIN DATA'!K:K,"Main Battle Tank (MBT)")+SUMIFS('Bilateral Assistance, MAIN DATA'!M:M,'Bilateral Assistance, MAIN DATA'!B:B,'Figure A6. Tank Unit Ranking'!B30,'Bilateral Assistance, MAIN DATA'!AH:AH,"17",'Bilateral Assistance, MAIN DATA'!K:K,"Main Battle Tank (MBT)")</f>
        <v>0</v>
      </c>
      <c r="E30" s="957">
        <f>VLOOKUP(B30,'In-kind Military per Country'!O:Q,2,0)</f>
        <v>0</v>
      </c>
    </row>
    <row r="31" spans="2:5" ht="15.95" customHeight="1">
      <c r="B31" s="37" t="s">
        <v>918</v>
      </c>
      <c r="C31" s="957">
        <f t="shared" si="0"/>
        <v>0</v>
      </c>
      <c r="D31" s="957">
        <f>SUMIFS('Bilateral Assistance, MAIN DATA'!M:M,'Bilateral Assistance, MAIN DATA'!B:B,'Figure A6. Tank Unit Ranking'!B31,'Bilateral Assistance, MAIN DATA'!AH:AH,"13",'Bilateral Assistance, MAIN DATA'!K:K,"Main Battle Tank (MBT)")+SUMIFS('Bilateral Assistance, MAIN DATA'!M:M,'Bilateral Assistance, MAIN DATA'!B:B,'Figure A6. Tank Unit Ranking'!B31,'Bilateral Assistance, MAIN DATA'!AH:AH,"14",'Bilateral Assistance, MAIN DATA'!K:K,"Main Battle Tank (MBT)")+SUMIFS('Bilateral Assistance, MAIN DATA'!M:M,'Bilateral Assistance, MAIN DATA'!B:B,'Figure A6. Tank Unit Ranking'!B31,'Bilateral Assistance, MAIN DATA'!AH:AH,"15",'Bilateral Assistance, MAIN DATA'!K:K,"Main Battle Tank (MBT)")+SUMIFS('Bilateral Assistance, MAIN DATA'!M:M,'Bilateral Assistance, MAIN DATA'!B:B,'Figure A6. Tank Unit Ranking'!B31,'Bilateral Assistance, MAIN DATA'!AH:AH,"16",'Bilateral Assistance, MAIN DATA'!K:K,"Main Battle Tank (MBT)")+SUMIFS('Bilateral Assistance, MAIN DATA'!M:M,'Bilateral Assistance, MAIN DATA'!B:B,'Figure A6. Tank Unit Ranking'!B31,'Bilateral Assistance, MAIN DATA'!AH:AH,"17",'Bilateral Assistance, MAIN DATA'!K:K,"Main Battle Tank (MBT)")</f>
        <v>0</v>
      </c>
      <c r="E31" s="957">
        <f>VLOOKUP(B31,'In-kind Military per Country'!O:Q,2,0)</f>
        <v>0</v>
      </c>
    </row>
    <row r="32" spans="2:5" ht="15.95" customHeight="1">
      <c r="B32" s="37" t="s">
        <v>454</v>
      </c>
      <c r="C32" s="957">
        <f t="shared" si="0"/>
        <v>0</v>
      </c>
      <c r="D32" s="957">
        <f>SUMIFS('Bilateral Assistance, MAIN DATA'!M:M,'Bilateral Assistance, MAIN DATA'!B:B,'Figure A6. Tank Unit Ranking'!B32,'Bilateral Assistance, MAIN DATA'!AH:AH,"13",'Bilateral Assistance, MAIN DATA'!K:K,"Main Battle Tank (MBT)")+SUMIFS('Bilateral Assistance, MAIN DATA'!M:M,'Bilateral Assistance, MAIN DATA'!B:B,'Figure A6. Tank Unit Ranking'!B32,'Bilateral Assistance, MAIN DATA'!AH:AH,"14",'Bilateral Assistance, MAIN DATA'!K:K,"Main Battle Tank (MBT)")+SUMIFS('Bilateral Assistance, MAIN DATA'!M:M,'Bilateral Assistance, MAIN DATA'!B:B,'Figure A6. Tank Unit Ranking'!B32,'Bilateral Assistance, MAIN DATA'!AH:AH,"15",'Bilateral Assistance, MAIN DATA'!K:K,"Main Battle Tank (MBT)")+SUMIFS('Bilateral Assistance, MAIN DATA'!M:M,'Bilateral Assistance, MAIN DATA'!B:B,'Figure A6. Tank Unit Ranking'!B32,'Bilateral Assistance, MAIN DATA'!AH:AH,"16",'Bilateral Assistance, MAIN DATA'!K:K,"Main Battle Tank (MBT)")+SUMIFS('Bilateral Assistance, MAIN DATA'!M:M,'Bilateral Assistance, MAIN DATA'!B:B,'Figure A6. Tank Unit Ranking'!B32,'Bilateral Assistance, MAIN DATA'!AH:AH,"17",'Bilateral Assistance, MAIN DATA'!K:K,"Main Battle Tank (MBT)")</f>
        <v>0</v>
      </c>
      <c r="E32" s="957">
        <f>VLOOKUP(B32,'In-kind Military per Country'!O:Q,2,0)</f>
        <v>0</v>
      </c>
    </row>
    <row r="33" spans="2:5" ht="15.95" customHeight="1">
      <c r="B33" s="37" t="s">
        <v>1973</v>
      </c>
      <c r="C33" s="957">
        <f t="shared" si="0"/>
        <v>0</v>
      </c>
      <c r="D33" s="957">
        <f>SUMIFS('Bilateral Assistance, MAIN DATA'!M:M,'Bilateral Assistance, MAIN DATA'!B:B,'Figure A6. Tank Unit Ranking'!B33,'Bilateral Assistance, MAIN DATA'!AH:AH,"13",'Bilateral Assistance, MAIN DATA'!K:K,"Main Battle Tank (MBT)")+SUMIFS('Bilateral Assistance, MAIN DATA'!M:M,'Bilateral Assistance, MAIN DATA'!B:B,'Figure A6. Tank Unit Ranking'!B33,'Bilateral Assistance, MAIN DATA'!AH:AH,"14",'Bilateral Assistance, MAIN DATA'!K:K,"Main Battle Tank (MBT)")+SUMIFS('Bilateral Assistance, MAIN DATA'!M:M,'Bilateral Assistance, MAIN DATA'!B:B,'Figure A6. Tank Unit Ranking'!B33,'Bilateral Assistance, MAIN DATA'!AH:AH,"15",'Bilateral Assistance, MAIN DATA'!K:K,"Main Battle Tank (MBT)")+SUMIFS('Bilateral Assistance, MAIN DATA'!M:M,'Bilateral Assistance, MAIN DATA'!B:B,'Figure A6. Tank Unit Ranking'!B33,'Bilateral Assistance, MAIN DATA'!AH:AH,"16",'Bilateral Assistance, MAIN DATA'!K:K,"Main Battle Tank (MBT)")+SUMIFS('Bilateral Assistance, MAIN DATA'!M:M,'Bilateral Assistance, MAIN DATA'!B:B,'Figure A6. Tank Unit Ranking'!B33,'Bilateral Assistance, MAIN DATA'!AH:AH,"17",'Bilateral Assistance, MAIN DATA'!K:K,"Main Battle Tank (MBT)")</f>
        <v>0</v>
      </c>
      <c r="E33" s="957">
        <f>VLOOKUP(B33,'In-kind Military per Country'!O:Q,2,0)</f>
        <v>0</v>
      </c>
    </row>
    <row r="34" spans="2:5" ht="15.95" customHeight="1">
      <c r="B34" s="37" t="s">
        <v>558</v>
      </c>
      <c r="C34" s="957">
        <f t="shared" si="0"/>
        <v>0</v>
      </c>
      <c r="D34" s="957">
        <f>SUMIFS('Bilateral Assistance, MAIN DATA'!M:M,'Bilateral Assistance, MAIN DATA'!B:B,'Figure A6. Tank Unit Ranking'!B34,'Bilateral Assistance, MAIN DATA'!AH:AH,"13",'Bilateral Assistance, MAIN DATA'!K:K,"Main Battle Tank (MBT)")+SUMIFS('Bilateral Assistance, MAIN DATA'!M:M,'Bilateral Assistance, MAIN DATA'!B:B,'Figure A6. Tank Unit Ranking'!B34,'Bilateral Assistance, MAIN DATA'!AH:AH,"14",'Bilateral Assistance, MAIN DATA'!K:K,"Main Battle Tank (MBT)")+SUMIFS('Bilateral Assistance, MAIN DATA'!M:M,'Bilateral Assistance, MAIN DATA'!B:B,'Figure A6. Tank Unit Ranking'!B34,'Bilateral Assistance, MAIN DATA'!AH:AH,"15",'Bilateral Assistance, MAIN DATA'!K:K,"Main Battle Tank (MBT)")+SUMIFS('Bilateral Assistance, MAIN DATA'!M:M,'Bilateral Assistance, MAIN DATA'!B:B,'Figure A6. Tank Unit Ranking'!B34,'Bilateral Assistance, MAIN DATA'!AH:AH,"16",'Bilateral Assistance, MAIN DATA'!K:K,"Main Battle Tank (MBT)")+SUMIFS('Bilateral Assistance, MAIN DATA'!M:M,'Bilateral Assistance, MAIN DATA'!B:B,'Figure A6. Tank Unit Ranking'!B34,'Bilateral Assistance, MAIN DATA'!AH:AH,"17",'Bilateral Assistance, MAIN DATA'!K:K,"Main Battle Tank (MBT)")</f>
        <v>0</v>
      </c>
      <c r="E34" s="957">
        <f>VLOOKUP(B34,'In-kind Military per Country'!O:Q,2,0)</f>
        <v>0</v>
      </c>
    </row>
    <row r="35" spans="2:5" ht="15.95" customHeight="1">
      <c r="B35" s="37" t="s">
        <v>1523</v>
      </c>
      <c r="C35" s="957">
        <f t="shared" si="0"/>
        <v>0</v>
      </c>
      <c r="D35" s="957">
        <f>SUMIFS('Bilateral Assistance, MAIN DATA'!M:M,'Bilateral Assistance, MAIN DATA'!B:B,'Figure A6. Tank Unit Ranking'!B35,'Bilateral Assistance, MAIN DATA'!AH:AH,"13",'Bilateral Assistance, MAIN DATA'!K:K,"Main Battle Tank (MBT)")+SUMIFS('Bilateral Assistance, MAIN DATA'!M:M,'Bilateral Assistance, MAIN DATA'!B:B,'Figure A6. Tank Unit Ranking'!B35,'Bilateral Assistance, MAIN DATA'!AH:AH,"14",'Bilateral Assistance, MAIN DATA'!K:K,"Main Battle Tank (MBT)")+SUMIFS('Bilateral Assistance, MAIN DATA'!M:M,'Bilateral Assistance, MAIN DATA'!B:B,'Figure A6. Tank Unit Ranking'!B35,'Bilateral Assistance, MAIN DATA'!AH:AH,"15",'Bilateral Assistance, MAIN DATA'!K:K,"Main Battle Tank (MBT)")+SUMIFS('Bilateral Assistance, MAIN DATA'!M:M,'Bilateral Assistance, MAIN DATA'!B:B,'Figure A6. Tank Unit Ranking'!B35,'Bilateral Assistance, MAIN DATA'!AH:AH,"16",'Bilateral Assistance, MAIN DATA'!K:K,"Main Battle Tank (MBT)")+SUMIFS('Bilateral Assistance, MAIN DATA'!M:M,'Bilateral Assistance, MAIN DATA'!B:B,'Figure A6. Tank Unit Ranking'!B35,'Bilateral Assistance, MAIN DATA'!AH:AH,"17",'Bilateral Assistance, MAIN DATA'!K:K,"Main Battle Tank (MBT)")</f>
        <v>0</v>
      </c>
      <c r="E35" s="957">
        <f>VLOOKUP(B35,'In-kind Military per Country'!O:Q,2,0)</f>
        <v>0</v>
      </c>
    </row>
    <row r="36" spans="2:5" ht="15.95" customHeight="1">
      <c r="B36" s="37" t="s">
        <v>2028</v>
      </c>
      <c r="C36" s="957">
        <f t="shared" si="0"/>
        <v>0</v>
      </c>
      <c r="D36" s="957">
        <f>SUMIFS('Bilateral Assistance, MAIN DATA'!M:M,'Bilateral Assistance, MAIN DATA'!B:B,'Figure A6. Tank Unit Ranking'!B36,'Bilateral Assistance, MAIN DATA'!AH:AH,"13",'Bilateral Assistance, MAIN DATA'!K:K,"Main Battle Tank (MBT)")+SUMIFS('Bilateral Assistance, MAIN DATA'!M:M,'Bilateral Assistance, MAIN DATA'!B:B,'Figure A6. Tank Unit Ranking'!B36,'Bilateral Assistance, MAIN DATA'!AH:AH,"14",'Bilateral Assistance, MAIN DATA'!K:K,"Main Battle Tank (MBT)")+SUMIFS('Bilateral Assistance, MAIN DATA'!M:M,'Bilateral Assistance, MAIN DATA'!B:B,'Figure A6. Tank Unit Ranking'!B36,'Bilateral Assistance, MAIN DATA'!AH:AH,"15",'Bilateral Assistance, MAIN DATA'!K:K,"Main Battle Tank (MBT)")+SUMIFS('Bilateral Assistance, MAIN DATA'!M:M,'Bilateral Assistance, MAIN DATA'!B:B,'Figure A6. Tank Unit Ranking'!B36,'Bilateral Assistance, MAIN DATA'!AH:AH,"16",'Bilateral Assistance, MAIN DATA'!K:K,"Main Battle Tank (MBT)")+SUMIFS('Bilateral Assistance, MAIN DATA'!M:M,'Bilateral Assistance, MAIN DATA'!B:B,'Figure A6. Tank Unit Ranking'!B36,'Bilateral Assistance, MAIN DATA'!AH:AH,"17",'Bilateral Assistance, MAIN DATA'!K:K,"Main Battle Tank (MBT)")</f>
        <v>0</v>
      </c>
      <c r="E36" s="957">
        <f>VLOOKUP(B36,'In-kind Military per Country'!O:Q,2,0)</f>
        <v>0</v>
      </c>
    </row>
    <row r="37" spans="2:5" ht="15.95" customHeight="1">
      <c r="B37" s="37" t="s">
        <v>2204</v>
      </c>
      <c r="C37" s="957">
        <f t="shared" si="0"/>
        <v>0</v>
      </c>
      <c r="D37" s="957">
        <f>SUMIFS('Bilateral Assistance, MAIN DATA'!M:M,'Bilateral Assistance, MAIN DATA'!B:B,'Figure A6. Tank Unit Ranking'!B37,'Bilateral Assistance, MAIN DATA'!AH:AH,"13",'Bilateral Assistance, MAIN DATA'!K:K,"Main Battle Tank (MBT)")+SUMIFS('Bilateral Assistance, MAIN DATA'!M:M,'Bilateral Assistance, MAIN DATA'!B:B,'Figure A6. Tank Unit Ranking'!B37,'Bilateral Assistance, MAIN DATA'!AH:AH,"14",'Bilateral Assistance, MAIN DATA'!K:K,"Main Battle Tank (MBT)")+SUMIFS('Bilateral Assistance, MAIN DATA'!M:M,'Bilateral Assistance, MAIN DATA'!B:B,'Figure A6. Tank Unit Ranking'!B37,'Bilateral Assistance, MAIN DATA'!AH:AH,"15",'Bilateral Assistance, MAIN DATA'!K:K,"Main Battle Tank (MBT)")+SUMIFS('Bilateral Assistance, MAIN DATA'!M:M,'Bilateral Assistance, MAIN DATA'!B:B,'Figure A6. Tank Unit Ranking'!B37,'Bilateral Assistance, MAIN DATA'!AH:AH,"16",'Bilateral Assistance, MAIN DATA'!K:K,"Main Battle Tank (MBT)")+SUMIFS('Bilateral Assistance, MAIN DATA'!M:M,'Bilateral Assistance, MAIN DATA'!B:B,'Figure A6. Tank Unit Ranking'!B37,'Bilateral Assistance, MAIN DATA'!AH:AH,"17",'Bilateral Assistance, MAIN DATA'!K:K,"Main Battle Tank (MBT)")</f>
        <v>0</v>
      </c>
      <c r="E37" s="957">
        <f>VLOOKUP(B37,'In-kind Military per Country'!O:Q,2,0)</f>
        <v>0</v>
      </c>
    </row>
    <row r="38" spans="2:5" ht="15.95" customHeight="1">
      <c r="B38" s="37" t="s">
        <v>905</v>
      </c>
      <c r="C38" s="957">
        <f t="shared" si="0"/>
        <v>0</v>
      </c>
      <c r="D38" s="957">
        <f>SUMIFS('Bilateral Assistance, MAIN DATA'!M:M,'Bilateral Assistance, MAIN DATA'!B:B,'Figure A6. Tank Unit Ranking'!B38,'Bilateral Assistance, MAIN DATA'!AH:AH,"13",'Bilateral Assistance, MAIN DATA'!K:K,"Main Battle Tank (MBT)")+SUMIFS('Bilateral Assistance, MAIN DATA'!M:M,'Bilateral Assistance, MAIN DATA'!B:B,'Figure A6. Tank Unit Ranking'!B38,'Bilateral Assistance, MAIN DATA'!AH:AH,"14",'Bilateral Assistance, MAIN DATA'!K:K,"Main Battle Tank (MBT)")+SUMIFS('Bilateral Assistance, MAIN DATA'!M:M,'Bilateral Assistance, MAIN DATA'!B:B,'Figure A6. Tank Unit Ranking'!B38,'Bilateral Assistance, MAIN DATA'!AH:AH,"15",'Bilateral Assistance, MAIN DATA'!K:K,"Main Battle Tank (MBT)")+SUMIFS('Bilateral Assistance, MAIN DATA'!M:M,'Bilateral Assistance, MAIN DATA'!B:B,'Figure A6. Tank Unit Ranking'!B38,'Bilateral Assistance, MAIN DATA'!AH:AH,"16",'Bilateral Assistance, MAIN DATA'!K:K,"Main Battle Tank (MBT)")+SUMIFS('Bilateral Assistance, MAIN DATA'!M:M,'Bilateral Assistance, MAIN DATA'!B:B,'Figure A6. Tank Unit Ranking'!B38,'Bilateral Assistance, MAIN DATA'!AH:AH,"17",'Bilateral Assistance, MAIN DATA'!K:K,"Main Battle Tank (MBT)")</f>
        <v>0</v>
      </c>
      <c r="E38" s="957">
        <f>VLOOKUP(B38,'In-kind Military per Country'!O:Q,2,0)</f>
        <v>0</v>
      </c>
    </row>
    <row r="39" spans="2:5" ht="15.95" customHeight="1">
      <c r="B39" s="37" t="s">
        <v>2076</v>
      </c>
      <c r="C39" s="957">
        <f t="shared" si="0"/>
        <v>0</v>
      </c>
      <c r="D39" s="957">
        <f>SUMIFS('Bilateral Assistance, MAIN DATA'!M:M,'Bilateral Assistance, MAIN DATA'!B:B,'Figure A6. Tank Unit Ranking'!B39,'Bilateral Assistance, MAIN DATA'!AH:AH,"13",'Bilateral Assistance, MAIN DATA'!K:K,"Main Battle Tank (MBT)")+SUMIFS('Bilateral Assistance, MAIN DATA'!M:M,'Bilateral Assistance, MAIN DATA'!B:B,'Figure A6. Tank Unit Ranking'!B39,'Bilateral Assistance, MAIN DATA'!AH:AH,"14",'Bilateral Assistance, MAIN DATA'!K:K,"Main Battle Tank (MBT)")+SUMIFS('Bilateral Assistance, MAIN DATA'!M:M,'Bilateral Assistance, MAIN DATA'!B:B,'Figure A6. Tank Unit Ranking'!B39,'Bilateral Assistance, MAIN DATA'!AH:AH,"15",'Bilateral Assistance, MAIN DATA'!K:K,"Main Battle Tank (MBT)")+SUMIFS('Bilateral Assistance, MAIN DATA'!M:M,'Bilateral Assistance, MAIN DATA'!B:B,'Figure A6. Tank Unit Ranking'!B39,'Bilateral Assistance, MAIN DATA'!AH:AH,"16",'Bilateral Assistance, MAIN DATA'!K:K,"Main Battle Tank (MBT)")+SUMIFS('Bilateral Assistance, MAIN DATA'!M:M,'Bilateral Assistance, MAIN DATA'!B:B,'Figure A6. Tank Unit Ranking'!B39,'Bilateral Assistance, MAIN DATA'!AH:AH,"17",'Bilateral Assistance, MAIN DATA'!K:K,"Main Battle Tank (MBT)")</f>
        <v>0</v>
      </c>
      <c r="E39" s="957">
        <f>VLOOKUP(B39,'In-kind Military per Country'!O:Q,2,0)</f>
        <v>0</v>
      </c>
    </row>
    <row r="40" spans="2:5" ht="15.95" customHeight="1">
      <c r="B40" s="37" t="s">
        <v>3713</v>
      </c>
      <c r="C40" s="957">
        <f t="shared" si="0"/>
        <v>0</v>
      </c>
      <c r="D40" s="957">
        <f>SUMIFS('Bilateral Assistance, MAIN DATA'!M:M,'Bilateral Assistance, MAIN DATA'!B:B,'Figure A6. Tank Unit Ranking'!B40,'Bilateral Assistance, MAIN DATA'!AH:AH,"13",'Bilateral Assistance, MAIN DATA'!K:K,"Main Battle Tank (MBT)")+SUMIFS('Bilateral Assistance, MAIN DATA'!M:M,'Bilateral Assistance, MAIN DATA'!B:B,'Figure A6. Tank Unit Ranking'!B40,'Bilateral Assistance, MAIN DATA'!AH:AH,"14",'Bilateral Assistance, MAIN DATA'!K:K,"Main Battle Tank (MBT)")+SUMIFS('Bilateral Assistance, MAIN DATA'!M:M,'Bilateral Assistance, MAIN DATA'!B:B,'Figure A6. Tank Unit Ranking'!B40,'Bilateral Assistance, MAIN DATA'!AH:AH,"15",'Bilateral Assistance, MAIN DATA'!K:K,"Main Battle Tank (MBT)")+SUMIFS('Bilateral Assistance, MAIN DATA'!M:M,'Bilateral Assistance, MAIN DATA'!B:B,'Figure A6. Tank Unit Ranking'!B40,'Bilateral Assistance, MAIN DATA'!AH:AH,"16",'Bilateral Assistance, MAIN DATA'!K:K,"Main Battle Tank (MBT)")+SUMIFS('Bilateral Assistance, MAIN DATA'!M:M,'Bilateral Assistance, MAIN DATA'!B:B,'Figure A6. Tank Unit Ranking'!B40,'Bilateral Assistance, MAIN DATA'!AH:AH,"17",'Bilateral Assistance, MAIN DATA'!K:K,"Main Battle Tank (MBT)")</f>
        <v>0</v>
      </c>
      <c r="E40" s="957">
        <f>VLOOKUP(B40,'In-kind Military per Country'!O:Q,2,0)</f>
        <v>0</v>
      </c>
    </row>
    <row r="41" spans="2:5" ht="15.95" customHeight="1">
      <c r="B41" s="37" t="s">
        <v>2139</v>
      </c>
      <c r="C41" s="957">
        <f t="shared" si="0"/>
        <v>0</v>
      </c>
      <c r="D41" s="957">
        <f>SUMIFS('Bilateral Assistance, MAIN DATA'!M:M,'Bilateral Assistance, MAIN DATA'!B:B,'Figure A6. Tank Unit Ranking'!B41,'Bilateral Assistance, MAIN DATA'!AH:AH,"13",'Bilateral Assistance, MAIN DATA'!K:K,"Main Battle Tank (MBT)")+SUMIFS('Bilateral Assistance, MAIN DATA'!M:M,'Bilateral Assistance, MAIN DATA'!B:B,'Figure A6. Tank Unit Ranking'!B41,'Bilateral Assistance, MAIN DATA'!AH:AH,"14",'Bilateral Assistance, MAIN DATA'!K:K,"Main Battle Tank (MBT)")+SUMIFS('Bilateral Assistance, MAIN DATA'!M:M,'Bilateral Assistance, MAIN DATA'!B:B,'Figure A6. Tank Unit Ranking'!B41,'Bilateral Assistance, MAIN DATA'!AH:AH,"15",'Bilateral Assistance, MAIN DATA'!K:K,"Main Battle Tank (MBT)")+SUMIFS('Bilateral Assistance, MAIN DATA'!M:M,'Bilateral Assistance, MAIN DATA'!B:B,'Figure A6. Tank Unit Ranking'!B41,'Bilateral Assistance, MAIN DATA'!AH:AH,"16",'Bilateral Assistance, MAIN DATA'!K:K,"Main Battle Tank (MBT)")+SUMIFS('Bilateral Assistance, MAIN DATA'!M:M,'Bilateral Assistance, MAIN DATA'!B:B,'Figure A6. Tank Unit Ranking'!B41,'Bilateral Assistance, MAIN DATA'!AH:AH,"17",'Bilateral Assistance, MAIN DATA'!K:K,"Main Battle Tank (MBT)")</f>
        <v>0</v>
      </c>
      <c r="E41" s="957">
        <f>VLOOKUP(B41,'In-kind Military per Country'!O:Q,2,0)</f>
        <v>0</v>
      </c>
    </row>
    <row r="42" spans="2:5" ht="15.95" customHeight="1">
      <c r="B42" s="37" t="s">
        <v>2312</v>
      </c>
      <c r="C42" s="957">
        <f t="shared" si="0"/>
        <v>0</v>
      </c>
      <c r="D42" s="957">
        <f>SUMIFS('Bilateral Assistance, MAIN DATA'!M:M,'Bilateral Assistance, MAIN DATA'!B:B,'Figure A6. Tank Unit Ranking'!B42,'Bilateral Assistance, MAIN DATA'!AH:AH,"13",'Bilateral Assistance, MAIN DATA'!K:K,"Main Battle Tank (MBT)")+SUMIFS('Bilateral Assistance, MAIN DATA'!M:M,'Bilateral Assistance, MAIN DATA'!B:B,'Figure A6. Tank Unit Ranking'!B42,'Bilateral Assistance, MAIN DATA'!AH:AH,"14",'Bilateral Assistance, MAIN DATA'!K:K,"Main Battle Tank (MBT)")+SUMIFS('Bilateral Assistance, MAIN DATA'!M:M,'Bilateral Assistance, MAIN DATA'!B:B,'Figure A6. Tank Unit Ranking'!B42,'Bilateral Assistance, MAIN DATA'!AH:AH,"15",'Bilateral Assistance, MAIN DATA'!K:K,"Main Battle Tank (MBT)")+SUMIFS('Bilateral Assistance, MAIN DATA'!M:M,'Bilateral Assistance, MAIN DATA'!B:B,'Figure A6. Tank Unit Ranking'!B42,'Bilateral Assistance, MAIN DATA'!AH:AH,"16",'Bilateral Assistance, MAIN DATA'!K:K,"Main Battle Tank (MBT)")+SUMIFS('Bilateral Assistance, MAIN DATA'!M:M,'Bilateral Assistance, MAIN DATA'!B:B,'Figure A6. Tank Unit Ranking'!B42,'Bilateral Assistance, MAIN DATA'!AH:AH,"17",'Bilateral Assistance, MAIN DATA'!K:K,"Main Battle Tank (MBT)")</f>
        <v>0</v>
      </c>
      <c r="E42" s="957">
        <f>VLOOKUP(B42,'In-kind Military per Country'!O:Q,2,0)</f>
        <v>0</v>
      </c>
    </row>
    <row r="43" spans="2:5" ht="15.95" customHeight="1">
      <c r="B43" s="37" t="s">
        <v>2625</v>
      </c>
      <c r="C43" s="957">
        <f t="shared" si="0"/>
        <v>0</v>
      </c>
      <c r="D43" s="957">
        <f>SUMIFS('Bilateral Assistance, MAIN DATA'!M:M,'Bilateral Assistance, MAIN DATA'!B:B,'Figure A6. Tank Unit Ranking'!B43,'Bilateral Assistance, MAIN DATA'!AH:AH,"13",'Bilateral Assistance, MAIN DATA'!K:K,"Main Battle Tank (MBT)")+SUMIFS('Bilateral Assistance, MAIN DATA'!M:M,'Bilateral Assistance, MAIN DATA'!B:B,'Figure A6. Tank Unit Ranking'!B43,'Bilateral Assistance, MAIN DATA'!AH:AH,"14",'Bilateral Assistance, MAIN DATA'!K:K,"Main Battle Tank (MBT)")+SUMIFS('Bilateral Assistance, MAIN DATA'!M:M,'Bilateral Assistance, MAIN DATA'!B:B,'Figure A6. Tank Unit Ranking'!B43,'Bilateral Assistance, MAIN DATA'!AH:AH,"15",'Bilateral Assistance, MAIN DATA'!K:K,"Main Battle Tank (MBT)")+SUMIFS('Bilateral Assistance, MAIN DATA'!M:M,'Bilateral Assistance, MAIN DATA'!B:B,'Figure A6. Tank Unit Ranking'!B43,'Bilateral Assistance, MAIN DATA'!AH:AH,"16",'Bilateral Assistance, MAIN DATA'!K:K,"Main Battle Tank (MBT)")+SUMIFS('Bilateral Assistance, MAIN DATA'!M:M,'Bilateral Assistance, MAIN DATA'!B:B,'Figure A6. Tank Unit Ranking'!B43,'Bilateral Assistance, MAIN DATA'!AH:AH,"17",'Bilateral Assistance, MAIN DATA'!K:K,"Main Battle Tank (MBT)")</f>
        <v>0</v>
      </c>
      <c r="E43" s="957">
        <f>VLOOKUP(B43,'In-kind Military per Country'!O:Q,2,0)</f>
        <v>0</v>
      </c>
    </row>
    <row r="44" spans="2:5" ht="15.95" customHeight="1">
      <c r="B44" s="37" t="s">
        <v>981</v>
      </c>
      <c r="C44" s="957">
        <f t="shared" si="0"/>
        <v>0</v>
      </c>
      <c r="D44" s="957">
        <f>SUMIFS('Bilateral Assistance, MAIN DATA'!M:M,'Bilateral Assistance, MAIN DATA'!B:B,'Figure A6. Tank Unit Ranking'!B44,'Bilateral Assistance, MAIN DATA'!AH:AH,"13",'Bilateral Assistance, MAIN DATA'!K:K,"Main Battle Tank (MBT)")+SUMIFS('Bilateral Assistance, MAIN DATA'!M:M,'Bilateral Assistance, MAIN DATA'!B:B,'Figure A6. Tank Unit Ranking'!B44,'Bilateral Assistance, MAIN DATA'!AH:AH,"14",'Bilateral Assistance, MAIN DATA'!K:K,"Main Battle Tank (MBT)")+SUMIFS('Bilateral Assistance, MAIN DATA'!M:M,'Bilateral Assistance, MAIN DATA'!B:B,'Figure A6. Tank Unit Ranking'!B44,'Bilateral Assistance, MAIN DATA'!AH:AH,"15",'Bilateral Assistance, MAIN DATA'!K:K,"Main Battle Tank (MBT)")+SUMIFS('Bilateral Assistance, MAIN DATA'!M:M,'Bilateral Assistance, MAIN DATA'!B:B,'Figure A6. Tank Unit Ranking'!B44,'Bilateral Assistance, MAIN DATA'!AH:AH,"16",'Bilateral Assistance, MAIN DATA'!K:K,"Main Battle Tank (MBT)")+SUMIFS('Bilateral Assistance, MAIN DATA'!M:M,'Bilateral Assistance, MAIN DATA'!B:B,'Figure A6. Tank Unit Ranking'!B44,'Bilateral Assistance, MAIN DATA'!AH:AH,"17",'Bilateral Assistance, MAIN DATA'!K:K,"Main Battle Tank (MBT)")</f>
        <v>0</v>
      </c>
      <c r="E44" s="957">
        <f>VLOOKUP(B44,'In-kind Military per Country'!O:Q,2,0)</f>
        <v>0</v>
      </c>
    </row>
    <row r="45" spans="2:5" ht="15.95" customHeight="1">
      <c r="B45" s="37" t="s">
        <v>3214</v>
      </c>
      <c r="C45" s="957">
        <f t="shared" si="0"/>
        <v>0</v>
      </c>
      <c r="D45" s="957">
        <f>SUMIFS('Bilateral Assistance, MAIN DATA'!M:M,'Bilateral Assistance, MAIN DATA'!B:B,'Figure A6. Tank Unit Ranking'!B45,'Bilateral Assistance, MAIN DATA'!AH:AH,"13",'Bilateral Assistance, MAIN DATA'!K:K,"Main Battle Tank (MBT)")+SUMIFS('Bilateral Assistance, MAIN DATA'!M:M,'Bilateral Assistance, MAIN DATA'!B:B,'Figure A6. Tank Unit Ranking'!B45,'Bilateral Assistance, MAIN DATA'!AH:AH,"14",'Bilateral Assistance, MAIN DATA'!K:K,"Main Battle Tank (MBT)")+SUMIFS('Bilateral Assistance, MAIN DATA'!M:M,'Bilateral Assistance, MAIN DATA'!B:B,'Figure A6. Tank Unit Ranking'!B45,'Bilateral Assistance, MAIN DATA'!AH:AH,"15",'Bilateral Assistance, MAIN DATA'!K:K,"Main Battle Tank (MBT)")+SUMIFS('Bilateral Assistance, MAIN DATA'!M:M,'Bilateral Assistance, MAIN DATA'!B:B,'Figure A6. Tank Unit Ranking'!B45,'Bilateral Assistance, MAIN DATA'!AH:AH,"16",'Bilateral Assistance, MAIN DATA'!K:K,"Main Battle Tank (MBT)")+SUMIFS('Bilateral Assistance, MAIN DATA'!M:M,'Bilateral Assistance, MAIN DATA'!B:B,'Figure A6. Tank Unit Ranking'!B45,'Bilateral Assistance, MAIN DATA'!AH:AH,"17",'Bilateral Assistance, MAIN DATA'!K:K,"Main Battle Tank (MBT)")</f>
        <v>0</v>
      </c>
      <c r="E45" s="957">
        <f>VLOOKUP(B45,'In-kind Military per Country'!O:Q,2,0)</f>
        <v>0</v>
      </c>
    </row>
    <row r="46" spans="2:5" ht="15.95" customHeight="1">
      <c r="B46" s="37" t="s">
        <v>2096</v>
      </c>
      <c r="C46" s="957">
        <f t="shared" si="0"/>
        <v>0</v>
      </c>
      <c r="D46" s="957">
        <f>SUMIFS('Bilateral Assistance, MAIN DATA'!M:M,'Bilateral Assistance, MAIN DATA'!B:B,'Figure A6. Tank Unit Ranking'!B46,'Bilateral Assistance, MAIN DATA'!AH:AH,"13",'Bilateral Assistance, MAIN DATA'!K:K,"Main Battle Tank (MBT)")+SUMIFS('Bilateral Assistance, MAIN DATA'!M:M,'Bilateral Assistance, MAIN DATA'!B:B,'Figure A6. Tank Unit Ranking'!B46,'Bilateral Assistance, MAIN DATA'!AH:AH,"14",'Bilateral Assistance, MAIN DATA'!K:K,"Main Battle Tank (MBT)")+SUMIFS('Bilateral Assistance, MAIN DATA'!M:M,'Bilateral Assistance, MAIN DATA'!B:B,'Figure A6. Tank Unit Ranking'!B46,'Bilateral Assistance, MAIN DATA'!AH:AH,"15",'Bilateral Assistance, MAIN DATA'!K:K,"Main Battle Tank (MBT)")+SUMIFS('Bilateral Assistance, MAIN DATA'!M:M,'Bilateral Assistance, MAIN DATA'!B:B,'Figure A6. Tank Unit Ranking'!B46,'Bilateral Assistance, MAIN DATA'!AH:AH,"16",'Bilateral Assistance, MAIN DATA'!K:K,"Main Battle Tank (MBT)")+SUMIFS('Bilateral Assistance, MAIN DATA'!M:M,'Bilateral Assistance, MAIN DATA'!B:B,'Figure A6. Tank Unit Ranking'!B46,'Bilateral Assistance, MAIN DATA'!AH:AH,"17",'Bilateral Assistance, MAIN DATA'!K:K,"Main Battle Tank (MBT)")</f>
        <v>0</v>
      </c>
      <c r="E46" s="957">
        <f>VLOOKUP(B46,'In-kind Military per Country'!O:Q,2,0)</f>
        <v>0</v>
      </c>
    </row>
    <row r="47" spans="2:5" ht="15.95" customHeight="1">
      <c r="B47" s="946" t="s">
        <v>359</v>
      </c>
      <c r="C47" s="957">
        <f t="shared" si="0"/>
        <v>0</v>
      </c>
      <c r="D47" s="957">
        <f>SUMIFS('Bilateral Assistance, MAIN DATA'!M:M,'Bilateral Assistance, MAIN DATA'!B:B,'Figure A6. Tank Unit Ranking'!B47,'Bilateral Assistance, MAIN DATA'!AH:AH,"13",'Bilateral Assistance, MAIN DATA'!K:K,"Main Battle Tank (MBT)")+SUMIFS('Bilateral Assistance, MAIN DATA'!M:M,'Bilateral Assistance, MAIN DATA'!B:B,'Figure A6. Tank Unit Ranking'!B47,'Bilateral Assistance, MAIN DATA'!AH:AH,"14",'Bilateral Assistance, MAIN DATA'!K:K,"Main Battle Tank (MBT)")+SUMIFS('Bilateral Assistance, MAIN DATA'!M:M,'Bilateral Assistance, MAIN DATA'!B:B,'Figure A6. Tank Unit Ranking'!B47,'Bilateral Assistance, MAIN DATA'!AH:AH,"15",'Bilateral Assistance, MAIN DATA'!K:K,"Main Battle Tank (MBT)")+SUMIFS('Bilateral Assistance, MAIN DATA'!M:M,'Bilateral Assistance, MAIN DATA'!B:B,'Figure A6. Tank Unit Ranking'!B47,'Bilateral Assistance, MAIN DATA'!AH:AH,"16",'Bilateral Assistance, MAIN DATA'!K:K,"Main Battle Tank (MBT)")+SUMIFS('Bilateral Assistance, MAIN DATA'!M:M,'Bilateral Assistance, MAIN DATA'!B:B,'Figure A6. Tank Unit Ranking'!B47,'Bilateral Assistance, MAIN DATA'!AH:AH,"17",'Bilateral Assistance, MAIN DATA'!K:K,"Main Battle Tank (MBT)")</f>
        <v>0</v>
      </c>
      <c r="E47" s="957">
        <f>VLOOKUP(B47,'In-kind Military per Country'!O:Q,2,0)</f>
        <v>0</v>
      </c>
    </row>
    <row r="48" spans="2:5" ht="15.95" customHeight="1">
      <c r="B48" s="946" t="s">
        <v>3162</v>
      </c>
      <c r="C48" s="957">
        <f t="shared" si="0"/>
        <v>0</v>
      </c>
      <c r="D48" s="957">
        <f>SUMIFS('Bilateral Assistance, MAIN DATA'!M:M,'Bilateral Assistance, MAIN DATA'!B:B,'Figure A6. Tank Unit Ranking'!B48,'Bilateral Assistance, MAIN DATA'!AH:AH,"13",'Bilateral Assistance, MAIN DATA'!K:K,"Main Battle Tank (MBT)")+SUMIFS('Bilateral Assistance, MAIN DATA'!M:M,'Bilateral Assistance, MAIN DATA'!B:B,'Figure A6. Tank Unit Ranking'!B48,'Bilateral Assistance, MAIN DATA'!AH:AH,"14",'Bilateral Assistance, MAIN DATA'!K:K,"Main Battle Tank (MBT)")+SUMIFS('Bilateral Assistance, MAIN DATA'!M:M,'Bilateral Assistance, MAIN DATA'!B:B,'Figure A6. Tank Unit Ranking'!B48,'Bilateral Assistance, MAIN DATA'!AH:AH,"15",'Bilateral Assistance, MAIN DATA'!K:K,"Main Battle Tank (MBT)")+SUMIFS('Bilateral Assistance, MAIN DATA'!M:M,'Bilateral Assistance, MAIN DATA'!B:B,'Figure A6. Tank Unit Ranking'!B48,'Bilateral Assistance, MAIN DATA'!AH:AH,"16",'Bilateral Assistance, MAIN DATA'!K:K,"Main Battle Tank (MBT)")+SUMIFS('Bilateral Assistance, MAIN DATA'!M:M,'Bilateral Assistance, MAIN DATA'!B:B,'Figure A6. Tank Unit Ranking'!B48,'Bilateral Assistance, MAIN DATA'!AH:AH,"17",'Bilateral Assistance, MAIN DATA'!K:K,"Main Battle Tank (MBT)")</f>
        <v>0</v>
      </c>
      <c r="E48" s="957">
        <f>VLOOKUP(B48,'In-kind Military per Country'!O:Q,2,0)</f>
        <v>0</v>
      </c>
    </row>
    <row r="49" spans="2:16" ht="15.95" customHeight="1">
      <c r="B49" s="946" t="s">
        <v>2832</v>
      </c>
      <c r="C49" s="957">
        <f t="shared" si="0"/>
        <v>0</v>
      </c>
      <c r="D49" s="957">
        <f>SUMIFS('Bilateral Assistance, MAIN DATA'!M:M,'Bilateral Assistance, MAIN DATA'!B:B,'Figure A6. Tank Unit Ranking'!B49,'Bilateral Assistance, MAIN DATA'!AH:AH,"13",'Bilateral Assistance, MAIN DATA'!K:K,"Main Battle Tank (MBT)")+SUMIFS('Bilateral Assistance, MAIN DATA'!M:M,'Bilateral Assistance, MAIN DATA'!B:B,'Figure A6. Tank Unit Ranking'!B49,'Bilateral Assistance, MAIN DATA'!AH:AH,"14",'Bilateral Assistance, MAIN DATA'!K:K,"Main Battle Tank (MBT)")+SUMIFS('Bilateral Assistance, MAIN DATA'!M:M,'Bilateral Assistance, MAIN DATA'!B:B,'Figure A6. Tank Unit Ranking'!B49,'Bilateral Assistance, MAIN DATA'!AH:AH,"15",'Bilateral Assistance, MAIN DATA'!K:K,"Main Battle Tank (MBT)")+SUMIFS('Bilateral Assistance, MAIN DATA'!M:M,'Bilateral Assistance, MAIN DATA'!B:B,'Figure A6. Tank Unit Ranking'!B49,'Bilateral Assistance, MAIN DATA'!AH:AH,"16",'Bilateral Assistance, MAIN DATA'!K:K,"Main Battle Tank (MBT)")+SUMIFS('Bilateral Assistance, MAIN DATA'!M:M,'Bilateral Assistance, MAIN DATA'!B:B,'Figure A6. Tank Unit Ranking'!B49,'Bilateral Assistance, MAIN DATA'!AH:AH,"17",'Bilateral Assistance, MAIN DATA'!K:K,"Main Battle Tank (MBT)")</f>
        <v>0</v>
      </c>
      <c r="E49" s="957">
        <f>VLOOKUP(B49,'In-kind Military per Country'!O:Q,2,0)</f>
        <v>0</v>
      </c>
      <c r="F49" s="961"/>
      <c r="G49" s="961"/>
      <c r="H49" s="961"/>
      <c r="I49" s="961"/>
      <c r="J49" s="961"/>
      <c r="K49" s="961"/>
      <c r="L49" s="961"/>
      <c r="M49" s="961"/>
      <c r="N49" s="961"/>
      <c r="O49" s="961"/>
    </row>
    <row r="50" spans="2:16" ht="15.95" customHeight="1">
      <c r="B50" s="1337" t="s">
        <v>3685</v>
      </c>
      <c r="C50" s="962">
        <f t="shared" si="0"/>
        <v>0</v>
      </c>
      <c r="D50" s="962">
        <f>SUMIFS('Bilateral Assistance, MAIN DATA'!M:M,'Bilateral Assistance, MAIN DATA'!B:B,'Figure A6. Tank Unit Ranking'!B50,'Bilateral Assistance, MAIN DATA'!AH:AH,"13",'Bilateral Assistance, MAIN DATA'!K:K,"Main Battle Tank (MBT)")+SUMIFS('Bilateral Assistance, MAIN DATA'!M:M,'Bilateral Assistance, MAIN DATA'!B:B,'Figure A6. Tank Unit Ranking'!B50,'Bilateral Assistance, MAIN DATA'!AH:AH,"14",'Bilateral Assistance, MAIN DATA'!K:K,"Main Battle Tank (MBT)")+SUMIFS('Bilateral Assistance, MAIN DATA'!M:M,'Bilateral Assistance, MAIN DATA'!B:B,'Figure A6. Tank Unit Ranking'!B50,'Bilateral Assistance, MAIN DATA'!AH:AH,"15",'Bilateral Assistance, MAIN DATA'!K:K,"Main Battle Tank (MBT)")+SUMIFS('Bilateral Assistance, MAIN DATA'!M:M,'Bilateral Assistance, MAIN DATA'!B:B,'Figure A6. Tank Unit Ranking'!B50,'Bilateral Assistance, MAIN DATA'!AH:AH,"16",'Bilateral Assistance, MAIN DATA'!K:K,"Main Battle Tank (MBT)")+SUMIFS('Bilateral Assistance, MAIN DATA'!M:M,'Bilateral Assistance, MAIN DATA'!B:B,'Figure A6. Tank Unit Ranking'!B50,'Bilateral Assistance, MAIN DATA'!AH:AH,"17",'Bilateral Assistance, MAIN DATA'!K:K,"Main Battle Tank (MBT)")</f>
        <v>0</v>
      </c>
      <c r="E50" s="962">
        <f>VLOOKUP(B50,'In-kind Military per Country'!O:Q,2,0)</f>
        <v>0</v>
      </c>
      <c r="F50" s="961"/>
      <c r="G50" s="961"/>
      <c r="H50" s="961"/>
      <c r="I50" s="961"/>
      <c r="J50" s="1458"/>
      <c r="K50" s="1458"/>
      <c r="L50" s="1458"/>
      <c r="M50" s="1458"/>
      <c r="N50" s="1458"/>
      <c r="O50" s="1458"/>
      <c r="P50" s="1458"/>
    </row>
    <row r="51" spans="2:16" ht="15.95" customHeight="1">
      <c r="F51" s="961"/>
      <c r="G51" s="961"/>
      <c r="H51" s="961"/>
      <c r="I51" s="961"/>
      <c r="J51" s="1458"/>
      <c r="K51" s="1458"/>
      <c r="L51" s="1458"/>
      <c r="M51" s="1458"/>
      <c r="N51" s="1458"/>
      <c r="O51" s="1458"/>
      <c r="P51" s="1458"/>
    </row>
    <row r="52" spans="2:16" ht="15.95" customHeight="1">
      <c r="F52" s="961"/>
      <c r="G52" s="961"/>
      <c r="H52" s="961"/>
      <c r="I52" s="961"/>
      <c r="J52" s="1458"/>
      <c r="K52" s="1458"/>
      <c r="L52" s="1458"/>
      <c r="M52" s="1458"/>
      <c r="N52" s="1458"/>
      <c r="O52" s="1458"/>
      <c r="P52" s="1458"/>
    </row>
    <row r="53" spans="2:16" ht="15.95" customHeight="1">
      <c r="C53" s="963"/>
      <c r="D53" s="963"/>
      <c r="E53" s="963"/>
      <c r="F53" s="961"/>
      <c r="G53" s="961"/>
      <c r="H53" s="961"/>
      <c r="I53" s="961"/>
      <c r="J53" s="1458"/>
      <c r="K53" s="1458"/>
      <c r="L53" s="1458"/>
      <c r="M53" s="1458"/>
      <c r="N53" s="1458"/>
      <c r="O53" s="1458"/>
      <c r="P53" s="1458"/>
    </row>
    <row r="54" spans="2:16" ht="15.95" customHeight="1">
      <c r="F54" s="961"/>
      <c r="G54" s="961"/>
      <c r="H54" s="961"/>
      <c r="I54" s="961"/>
      <c r="J54" s="1458"/>
      <c r="K54" s="1458"/>
      <c r="L54" s="1458"/>
      <c r="M54" s="1458"/>
      <c r="N54" s="1458"/>
      <c r="O54" s="1458"/>
      <c r="P54" s="1458"/>
    </row>
    <row r="55" spans="2:16" ht="15.95" customHeight="1">
      <c r="F55" s="961"/>
      <c r="G55" s="961"/>
      <c r="H55" s="961"/>
      <c r="I55" s="961"/>
      <c r="J55" s="1458"/>
      <c r="K55" s="1458"/>
      <c r="L55" s="1458"/>
      <c r="M55" s="1458"/>
      <c r="N55" s="1458"/>
      <c r="O55" s="1458"/>
      <c r="P55" s="1458"/>
    </row>
    <row r="56" spans="2:16" ht="15.95" customHeight="1">
      <c r="F56" s="961"/>
      <c r="G56" s="961"/>
      <c r="H56" s="961"/>
      <c r="I56" s="961"/>
      <c r="J56" s="961"/>
      <c r="K56" s="961"/>
      <c r="L56" s="961"/>
      <c r="M56" s="961"/>
      <c r="N56" s="961"/>
      <c r="O56" s="961"/>
    </row>
    <row r="57" spans="2:16" ht="15.95" customHeight="1">
      <c r="F57" s="961"/>
      <c r="G57" s="961"/>
      <c r="H57" s="961"/>
      <c r="I57" s="961"/>
      <c r="J57" s="961"/>
      <c r="K57" s="961"/>
      <c r="L57" s="961"/>
      <c r="M57" s="961"/>
      <c r="N57" s="961"/>
      <c r="O57" s="961"/>
    </row>
  </sheetData>
  <sortState xmlns:xlrd2="http://schemas.microsoft.com/office/spreadsheetml/2017/richdata2" ref="B12:E50">
    <sortCondition descending="1" ref="E12"/>
  </sortState>
  <mergeCells count="2">
    <mergeCell ref="B4:D9"/>
    <mergeCell ref="J50:P55"/>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D9E4A-9BB0-47F6-8BCB-A109A36443CE}">
  <sheetPr>
    <tabColor theme="4" tint="0.79998168889431442"/>
  </sheetPr>
  <dimension ref="A1:S32"/>
  <sheetViews>
    <sheetView showGridLines="0" zoomScaleNormal="100" workbookViewId="0"/>
  </sheetViews>
  <sheetFormatPr defaultColWidth="11.5" defaultRowHeight="15.75" customHeight="1"/>
  <cols>
    <col min="1" max="1" width="8.625" style="2" customWidth="1"/>
    <col min="2" max="2" width="45.625" style="166" customWidth="1"/>
    <col min="3" max="3" width="33.25" style="166" customWidth="1"/>
    <col min="4" max="4" width="26.375" style="166" customWidth="1"/>
    <col min="5" max="5" width="32.25" style="166" customWidth="1"/>
    <col min="6" max="6" width="17.375" style="166" customWidth="1"/>
    <col min="7" max="10" width="13.625" style="166" customWidth="1"/>
    <col min="11" max="11" width="14.5" style="166" customWidth="1"/>
    <col min="12" max="12" width="14.625" style="166" customWidth="1"/>
    <col min="13" max="13" width="12.5" style="166" customWidth="1"/>
    <col min="14" max="14" width="12.625" style="166" customWidth="1"/>
    <col min="15" max="15" width="12.125" style="166" customWidth="1"/>
    <col min="16" max="16" width="11.5" style="166" customWidth="1"/>
    <col min="17" max="16384" width="11.5" style="166"/>
  </cols>
  <sheetData>
    <row r="1" spans="1:19" ht="15.6">
      <c r="A1" s="35"/>
    </row>
    <row r="2" spans="1:19" s="467" customFormat="1" ht="24.75" customHeight="1">
      <c r="A2" s="465"/>
      <c r="B2" s="466" t="s">
        <v>4828</v>
      </c>
    </row>
    <row r="3" spans="1:19" s="162" customFormat="1" ht="15.95" customHeight="1">
      <c r="A3" s="35"/>
      <c r="B3" s="163"/>
      <c r="C3" s="164"/>
      <c r="F3" s="164"/>
      <c r="G3" s="164"/>
      <c r="H3" s="164"/>
      <c r="I3" s="164"/>
      <c r="J3" s="164"/>
    </row>
    <row r="4" spans="1:19" s="162" customFormat="1" ht="15.95" customHeight="1">
      <c r="A4" s="35"/>
      <c r="B4" s="1433" t="s">
        <v>4829</v>
      </c>
      <c r="C4" s="1433"/>
      <c r="D4" s="1433"/>
      <c r="E4" s="1433"/>
      <c r="F4" s="393"/>
      <c r="G4" s="393"/>
      <c r="H4" s="164"/>
      <c r="I4" s="164"/>
      <c r="J4" s="164"/>
    </row>
    <row r="5" spans="1:19" s="162" customFormat="1" ht="15.95" customHeight="1">
      <c r="A5" s="35"/>
      <c r="B5" s="1433"/>
      <c r="C5" s="1433"/>
      <c r="D5" s="1433"/>
      <c r="E5" s="1433"/>
      <c r="F5" s="393"/>
      <c r="G5" s="393"/>
      <c r="H5" s="164"/>
      <c r="I5" s="164"/>
      <c r="J5" s="164"/>
    </row>
    <row r="6" spans="1:19" s="162" customFormat="1" ht="15.95" customHeight="1">
      <c r="A6" s="35"/>
      <c r="B6" s="1433"/>
      <c r="C6" s="1433"/>
      <c r="D6" s="1433"/>
      <c r="E6" s="1433"/>
      <c r="F6" s="393"/>
      <c r="G6" s="393"/>
      <c r="H6" s="164"/>
      <c r="I6" s="164"/>
      <c r="J6" s="164"/>
    </row>
    <row r="7" spans="1:19" s="162" customFormat="1" ht="15.95" customHeight="1">
      <c r="A7" s="35"/>
      <c r="B7" s="1433"/>
      <c r="C7" s="1433"/>
      <c r="D7" s="1433"/>
      <c r="E7" s="1433"/>
      <c r="F7" s="393"/>
      <c r="G7" s="393"/>
      <c r="H7" s="164"/>
      <c r="I7" s="164"/>
      <c r="J7" s="164"/>
    </row>
    <row r="8" spans="1:19" s="162" customFormat="1" ht="15.95" customHeight="1">
      <c r="A8" s="35"/>
      <c r="B8" s="1433"/>
      <c r="C8" s="1433"/>
      <c r="D8" s="1433"/>
      <c r="E8" s="1433"/>
      <c r="F8" s="393"/>
      <c r="G8" s="393"/>
      <c r="H8" s="164"/>
      <c r="I8" s="164"/>
      <c r="J8" s="164"/>
    </row>
    <row r="9" spans="1:19" s="162" customFormat="1" ht="15.95" customHeight="1">
      <c r="A9" s="35"/>
      <c r="B9" s="1433"/>
      <c r="C9" s="1433"/>
      <c r="D9" s="1433"/>
      <c r="E9" s="1433"/>
      <c r="F9" s="393"/>
      <c r="G9" s="393"/>
      <c r="H9" s="164"/>
      <c r="I9" s="164"/>
      <c r="J9" s="164"/>
    </row>
    <row r="10" spans="1:19" s="162" customFormat="1" ht="15.95" customHeight="1">
      <c r="A10" s="35"/>
      <c r="B10" s="163"/>
      <c r="C10" s="164"/>
      <c r="F10" s="164"/>
      <c r="G10" s="164"/>
      <c r="H10" s="164"/>
      <c r="I10" s="164"/>
      <c r="J10" s="164"/>
    </row>
    <row r="11" spans="1:19" s="374" customFormat="1" ht="24.75" customHeight="1">
      <c r="A11" s="371"/>
      <c r="B11" s="240" t="s">
        <v>4599</v>
      </c>
      <c r="C11" s="432" t="s">
        <v>4830</v>
      </c>
      <c r="D11" s="432" t="s">
        <v>4831</v>
      </c>
      <c r="E11" s="432" t="s">
        <v>4832</v>
      </c>
      <c r="F11" s="1216" t="s">
        <v>4833</v>
      </c>
      <c r="H11" s="373" t="s">
        <v>4834</v>
      </c>
      <c r="J11" s="375"/>
      <c r="K11" s="375"/>
      <c r="L11" s="375"/>
      <c r="M11" s="375"/>
      <c r="N11" s="375"/>
      <c r="O11" s="375"/>
      <c r="P11" s="375"/>
      <c r="Q11" s="375"/>
      <c r="R11" s="375"/>
      <c r="S11" s="375"/>
    </row>
    <row r="12" spans="1:19" ht="15.6" customHeight="1">
      <c r="A12" s="566">
        <v>2</v>
      </c>
      <c r="B12" s="561" t="s">
        <v>4835</v>
      </c>
      <c r="C12" s="167">
        <f>SUM('Aid over time by type and month'!E$12:E$14)/SUM('Aid over time by type and month'!$F$12:$F$14)*100</f>
        <v>56.189041707142039</v>
      </c>
      <c r="D12" s="167">
        <f>SUM('Aid over time by type and month'!C$12:C$14)/SUM('Aid over time by type and month'!$F$12:$F$14)*100</f>
        <v>36.479707027688818</v>
      </c>
      <c r="E12" s="167">
        <f>SUM('Aid over time by type and month'!D$12:D$14)/SUM('Aid over time by type and month'!$F$12:$F$14)*100</f>
        <v>7.331251265169147</v>
      </c>
      <c r="F12" s="167">
        <f t="shared" ref="F12:F17" si="0">SUM(C12:E12)</f>
        <v>100</v>
      </c>
    </row>
    <row r="13" spans="1:19" ht="15.6" customHeight="1">
      <c r="A13" s="566">
        <v>3</v>
      </c>
      <c r="B13" s="561" t="s">
        <v>4836</v>
      </c>
      <c r="C13" s="167">
        <f>SUM('Aid over time by type and month'!E$15:E$17)/SUM('Aid over time by type and month'!$F$15:$F$17)*100</f>
        <v>46.551374560772715</v>
      </c>
      <c r="D13" s="167">
        <f>SUM('Aid over time by type and month'!C$15:C$17)/SUM('Aid over time by type and month'!$F$15:$F$17)*100</f>
        <v>44.933602248174196</v>
      </c>
      <c r="E13" s="167">
        <f>SUM('Aid over time by type and month'!D$15:D$17)/SUM('Aid over time by type and month'!$F$15:$F$17)*100</f>
        <v>8.5150231910530838</v>
      </c>
      <c r="F13" s="167">
        <f t="shared" si="0"/>
        <v>100</v>
      </c>
      <c r="G13" s="168"/>
      <c r="H13" s="168"/>
      <c r="I13" s="168"/>
      <c r="J13" s="168"/>
      <c r="K13" s="168"/>
    </row>
    <row r="14" spans="1:19" ht="15.6">
      <c r="A14" s="566">
        <v>4</v>
      </c>
      <c r="B14" s="561" t="s">
        <v>4837</v>
      </c>
      <c r="C14" s="167">
        <f>SUM('Aid over time by type and month'!E$18:E$20)/SUM('Aid over time by type and month'!$F$18:$F$20)*100</f>
        <v>53.400147376436117</v>
      </c>
      <c r="D14" s="167">
        <f>SUM('Aid over time by type and month'!C$18:C$20)/SUM('Aid over time by type and month'!$F$18:$F$20)*100</f>
        <v>35.437534602550294</v>
      </c>
      <c r="E14" s="167">
        <f>SUM('Aid over time by type and month'!D$18:D$20)/SUM('Aid over time by type and month'!$F$18:$F$20)*100</f>
        <v>11.162318021013592</v>
      </c>
      <c r="F14" s="167">
        <f t="shared" si="0"/>
        <v>100</v>
      </c>
      <c r="I14" s="30"/>
    </row>
    <row r="15" spans="1:19" ht="15.6">
      <c r="A15" s="566">
        <v>5</v>
      </c>
      <c r="B15" s="561" t="s">
        <v>4838</v>
      </c>
      <c r="C15" s="167">
        <f>SUM('Aid over time by type and month'!E$21:E$23)/SUM('Aid over time by type and month'!$F$21:$F$23)*100</f>
        <v>41.401347755097113</v>
      </c>
      <c r="D15" s="167">
        <f>SUM('Aid over time by type and month'!C$21:C$23)/SUM('Aid over time by type and month'!$F$21:$F$23)*100</f>
        <v>51.309544729120972</v>
      </c>
      <c r="E15" s="167">
        <f>SUM('Aid over time by type and month'!D$21:D$23)/SUM('Aid over time by type and month'!$F$21:$F$23)*100</f>
        <v>7.2891075157819039</v>
      </c>
      <c r="F15" s="167">
        <f t="shared" si="0"/>
        <v>99.999999999999986</v>
      </c>
      <c r="I15" s="30"/>
    </row>
    <row r="16" spans="1:19" ht="15.6">
      <c r="A16" s="566">
        <v>6</v>
      </c>
      <c r="B16" s="561" t="s">
        <v>4839</v>
      </c>
      <c r="C16" s="167">
        <f>SUM('Aid over time by type and month'!E$24:E$26)/SUM('Aid over time by type and month'!$F$24:$F$26)*100</f>
        <v>52.965087432971018</v>
      </c>
      <c r="D16" s="167">
        <f>SUM('Aid over time by type and month'!C$24:C$26)/SUM('Aid over time by type and month'!$F$24:$F$26)*100</f>
        <v>35.105059390493693</v>
      </c>
      <c r="E16" s="167">
        <f>SUM('Aid over time by type and month'!D$24:D$26)/SUM('Aid over time by type and month'!$F$24:$F$26)*100</f>
        <v>11.929853176535314</v>
      </c>
      <c r="F16" s="167">
        <f t="shared" si="0"/>
        <v>100.00000000000003</v>
      </c>
      <c r="I16" s="30"/>
    </row>
    <row r="17" spans="1:11" ht="15.6">
      <c r="A17" s="566">
        <v>7</v>
      </c>
      <c r="B17" s="561" t="s">
        <v>4840</v>
      </c>
      <c r="C17" s="167">
        <f>SUM('Aid over time by type and month'!E$27:E$28)/SUM('Aid over time by type and month'!$F$27:$F$28)*100</f>
        <v>68.284757759098895</v>
      </c>
      <c r="D17" s="167">
        <f>SUM('Aid over time by type and month'!C$27:C$28)/SUM('Aid over time by type and month'!$F$27:$F$28)*100</f>
        <v>26.614037775517861</v>
      </c>
      <c r="E17" s="167">
        <f>SUM('Aid over time by type and month'!D$27:D$28)/SUM('Aid over time by type and month'!$F$27:$F$28)*100</f>
        <v>5.1012044653832485</v>
      </c>
      <c r="F17" s="167">
        <f t="shared" si="0"/>
        <v>100</v>
      </c>
    </row>
    <row r="18" spans="1:11" ht="15.6">
      <c r="B18" s="433"/>
      <c r="C18" s="248"/>
      <c r="D18" s="248"/>
      <c r="E18" s="248"/>
      <c r="F18" s="1217"/>
    </row>
    <row r="19" spans="1:11" ht="15.6">
      <c r="B19" s="168"/>
      <c r="C19" s="249"/>
      <c r="D19" s="249"/>
      <c r="E19" s="249"/>
      <c r="F19" s="167"/>
    </row>
    <row r="20" spans="1:11" ht="15.6">
      <c r="B20" s="37"/>
    </row>
    <row r="21" spans="1:11" ht="15.6">
      <c r="B21" s="37"/>
    </row>
    <row r="22" spans="1:11" ht="15.6">
      <c r="B22" s="37"/>
    </row>
    <row r="23" spans="1:11" ht="15.6">
      <c r="B23" s="37"/>
    </row>
    <row r="24" spans="1:11" ht="15.6">
      <c r="B24" s="37"/>
    </row>
    <row r="25" spans="1:11" ht="15.6">
      <c r="B25" s="37"/>
    </row>
    <row r="26" spans="1:11" ht="15.6">
      <c r="B26" s="37"/>
    </row>
    <row r="27" spans="1:11" ht="15.6">
      <c r="B27" s="37"/>
    </row>
    <row r="28" spans="1:11" ht="15.6">
      <c r="B28" s="37"/>
    </row>
    <row r="29" spans="1:11" ht="15.6">
      <c r="B29" s="37"/>
    </row>
    <row r="30" spans="1:11" ht="15.6">
      <c r="B30" s="37"/>
    </row>
    <row r="32" spans="1:11" ht="20.45">
      <c r="K32" s="366"/>
    </row>
  </sheetData>
  <mergeCells count="1">
    <mergeCell ref="B4:E9"/>
  </mergeCells>
  <pageMargins left="0.7" right="0.7" top="0.78740157499999996" bottom="0.78740157499999996" header="0.3" footer="0.3"/>
  <pageSetup paperSize="9"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D24F5-6368-4DFC-A76D-4AABE57CB6F6}">
  <sheetPr>
    <tabColor theme="4" tint="0.79998168889431442"/>
  </sheetPr>
  <dimension ref="A1:BA114"/>
  <sheetViews>
    <sheetView zoomScaleNormal="100" workbookViewId="0"/>
  </sheetViews>
  <sheetFormatPr defaultColWidth="8.625" defaultRowHeight="15.95" customHeight="1"/>
  <cols>
    <col min="1" max="1" width="8.625" style="349" customWidth="1"/>
    <col min="2" max="2" width="16.875" style="1382" bestFit="1" customWidth="1"/>
    <col min="3" max="3" width="25.5" style="349" customWidth="1"/>
    <col min="4" max="4" width="31.25" style="349" bestFit="1" customWidth="1"/>
    <col min="5" max="5" width="30.125" style="349" bestFit="1" customWidth="1"/>
    <col min="6" max="6" width="22.5" style="349" customWidth="1"/>
    <col min="7" max="12" width="8.625" style="1369" customWidth="1"/>
    <col min="13" max="13" width="16.875" style="1382" bestFit="1" customWidth="1"/>
    <col min="14" max="14" width="25.5" style="349" customWidth="1"/>
    <col min="15" max="17" width="22.5" style="349" customWidth="1"/>
    <col min="18" max="23" width="8.625" style="1369" customWidth="1"/>
    <col min="24" max="24" width="16.875" style="1382" bestFit="1" customWidth="1"/>
    <col min="25" max="25" width="26" style="349" bestFit="1" customWidth="1"/>
    <col min="26" max="28" width="22.5" style="349" customWidth="1"/>
    <col min="29" max="34" width="8.625" style="1369" customWidth="1"/>
    <col min="35" max="35" width="16.875" style="1382" customWidth="1"/>
    <col min="36" max="36" width="26.5" style="349" customWidth="1"/>
    <col min="37" max="37" width="36.25" style="349" customWidth="1"/>
    <col min="38" max="38" width="33.125" style="349" bestFit="1" customWidth="1"/>
    <col min="39" max="39" width="22.5" style="349" customWidth="1"/>
    <col min="40" max="45" width="8.625" style="1369"/>
    <col min="46" max="46" width="16.875" style="1382" bestFit="1" customWidth="1"/>
    <col min="47" max="47" width="26.5" style="349" customWidth="1"/>
    <col min="48" max="50" width="22.5" style="349" customWidth="1"/>
    <col min="51" max="51" width="8.625" style="349"/>
    <col min="52" max="52" width="27.125" style="349" bestFit="1" customWidth="1"/>
    <col min="53" max="53" width="17.75" style="349" bestFit="1" customWidth="1"/>
    <col min="54" max="16384" width="8.625" style="349"/>
  </cols>
  <sheetData>
    <row r="1" spans="2:46" s="1367" customFormat="1" ht="15.95" customHeight="1">
      <c r="B1" s="1385"/>
      <c r="C1" s="1362"/>
      <c r="D1" s="1362"/>
      <c r="E1" s="1362"/>
      <c r="F1" s="1362"/>
      <c r="M1" s="1385"/>
      <c r="N1" s="1362"/>
      <c r="O1" s="1362"/>
      <c r="P1" s="1362"/>
      <c r="Q1" s="1362"/>
      <c r="X1" s="1385"/>
      <c r="Y1" s="1362"/>
      <c r="Z1" s="1362"/>
      <c r="AA1" s="1362"/>
      <c r="AB1" s="1362"/>
      <c r="AI1" s="1385"/>
      <c r="AT1" s="1385"/>
    </row>
    <row r="2" spans="2:46" s="1362" customFormat="1" ht="24.75" customHeight="1">
      <c r="B2" s="1387" t="s">
        <v>4841</v>
      </c>
      <c r="G2" s="1398"/>
      <c r="H2" s="1398"/>
      <c r="I2" s="1398"/>
      <c r="J2" s="1398"/>
      <c r="K2" s="1398"/>
      <c r="L2" s="1398"/>
      <c r="M2" s="1386"/>
      <c r="R2" s="1398"/>
      <c r="S2" s="1398"/>
      <c r="T2" s="1398"/>
      <c r="U2" s="1398"/>
      <c r="V2" s="1398"/>
      <c r="W2" s="1398"/>
      <c r="X2" s="1386"/>
      <c r="AC2" s="1398"/>
      <c r="AD2" s="1398"/>
      <c r="AE2" s="1398"/>
      <c r="AF2" s="1398"/>
      <c r="AG2" s="1398"/>
      <c r="AH2" s="1398"/>
      <c r="AI2" s="1386"/>
      <c r="AN2" s="1398"/>
      <c r="AO2" s="1398"/>
      <c r="AP2" s="1398"/>
      <c r="AQ2" s="1398"/>
      <c r="AR2" s="1398"/>
      <c r="AS2" s="1398"/>
      <c r="AT2" s="1386"/>
    </row>
    <row r="3" spans="2:46" s="1363" customFormat="1" ht="15.95" customHeight="1">
      <c r="B3" s="1388"/>
      <c r="M3" s="1388"/>
      <c r="X3" s="1388"/>
      <c r="AI3" s="1388"/>
      <c r="AT3" s="1388"/>
    </row>
    <row r="4" spans="2:46" s="1363" customFormat="1" ht="15.95" customHeight="1">
      <c r="B4" s="1482" t="s">
        <v>4842</v>
      </c>
      <c r="C4" s="1482"/>
      <c r="D4" s="1482"/>
      <c r="E4" s="1482"/>
      <c r="F4" s="1482"/>
      <c r="G4" s="1482"/>
      <c r="H4" s="1389"/>
      <c r="I4" s="1389"/>
      <c r="J4" s="1389"/>
      <c r="K4" s="1389"/>
      <c r="L4" s="1389"/>
      <c r="M4" s="1397"/>
      <c r="N4" s="1397"/>
      <c r="O4" s="1397"/>
      <c r="X4" s="1388"/>
      <c r="AI4" s="1388"/>
      <c r="AT4" s="1388"/>
    </row>
    <row r="5" spans="2:46" s="1363" customFormat="1" ht="15.95" customHeight="1">
      <c r="B5" s="1482"/>
      <c r="C5" s="1482"/>
      <c r="D5" s="1482"/>
      <c r="E5" s="1482"/>
      <c r="F5" s="1482"/>
      <c r="G5" s="1482"/>
      <c r="H5" s="1389"/>
      <c r="I5" s="1389"/>
      <c r="J5" s="1389"/>
      <c r="K5" s="1389"/>
      <c r="L5" s="1389"/>
      <c r="M5" s="1397"/>
      <c r="N5" s="1397"/>
      <c r="O5" s="1397"/>
      <c r="X5" s="1388"/>
      <c r="AI5" s="1388"/>
      <c r="AT5" s="1388"/>
    </row>
    <row r="6" spans="2:46" s="1363" customFormat="1" ht="15.95" customHeight="1">
      <c r="B6" s="1482"/>
      <c r="C6" s="1482"/>
      <c r="D6" s="1482"/>
      <c r="E6" s="1482"/>
      <c r="F6" s="1482"/>
      <c r="G6" s="1482"/>
      <c r="H6" s="1389"/>
      <c r="I6" s="1389"/>
      <c r="J6" s="1389"/>
      <c r="K6" s="1389"/>
      <c r="L6" s="1389"/>
      <c r="M6" s="1397"/>
      <c r="N6" s="1397"/>
      <c r="O6" s="1397"/>
      <c r="X6" s="1388"/>
      <c r="AI6" s="1388"/>
      <c r="AT6" s="1388"/>
    </row>
    <row r="7" spans="2:46" s="1363" customFormat="1" ht="15.95" customHeight="1">
      <c r="B7" s="1482"/>
      <c r="C7" s="1482"/>
      <c r="D7" s="1482"/>
      <c r="E7" s="1482"/>
      <c r="F7" s="1482"/>
      <c r="G7" s="1482"/>
      <c r="H7" s="1389"/>
      <c r="I7" s="1389"/>
      <c r="J7" s="1389"/>
      <c r="K7" s="1389"/>
      <c r="L7" s="1389"/>
      <c r="M7" s="1397"/>
      <c r="N7" s="1397"/>
      <c r="O7" s="1397"/>
      <c r="X7" s="1388"/>
      <c r="AI7" s="1388"/>
      <c r="AT7" s="1388"/>
    </row>
    <row r="8" spans="2:46" s="1363" customFormat="1" ht="15.95" customHeight="1">
      <c r="B8" s="1482"/>
      <c r="C8" s="1482"/>
      <c r="D8" s="1482"/>
      <c r="E8" s="1482"/>
      <c r="F8" s="1482"/>
      <c r="G8" s="1482"/>
      <c r="H8" s="1389"/>
      <c r="I8" s="1389"/>
      <c r="J8" s="1389"/>
      <c r="K8" s="1389"/>
      <c r="L8" s="1389"/>
      <c r="M8" s="1397"/>
      <c r="N8" s="1397"/>
      <c r="O8" s="1397"/>
      <c r="X8" s="1388"/>
      <c r="AI8" s="1388"/>
      <c r="AT8" s="1388"/>
    </row>
    <row r="9" spans="2:46" s="1363" customFormat="1" ht="15.95" customHeight="1">
      <c r="B9" s="1482"/>
      <c r="C9" s="1482"/>
      <c r="D9" s="1482"/>
      <c r="E9" s="1482"/>
      <c r="F9" s="1482"/>
      <c r="G9" s="1482"/>
      <c r="H9" s="1389"/>
      <c r="I9" s="1389"/>
      <c r="J9" s="1389"/>
      <c r="K9" s="1389"/>
      <c r="L9" s="1389"/>
      <c r="M9" s="1397"/>
      <c r="N9" s="1397"/>
      <c r="O9" s="1397"/>
      <c r="X9" s="1388"/>
      <c r="AI9" s="1388"/>
      <c r="AT9" s="1388"/>
    </row>
    <row r="10" spans="2:46" s="1363" customFormat="1" ht="15.95" customHeight="1">
      <c r="B10" s="1397"/>
      <c r="C10" s="1397"/>
      <c r="D10" s="1397"/>
      <c r="E10" s="1397"/>
      <c r="F10" s="1397"/>
      <c r="G10" s="1397"/>
      <c r="H10" s="1397"/>
      <c r="I10" s="1397"/>
      <c r="J10" s="1397"/>
      <c r="K10" s="1397"/>
      <c r="L10" s="1397"/>
      <c r="M10" s="1397"/>
      <c r="N10" s="1397"/>
      <c r="O10" s="1397"/>
      <c r="X10" s="1388"/>
      <c r="AI10" s="1388"/>
      <c r="AT10" s="1388"/>
    </row>
    <row r="11" spans="2:46" s="1406" customFormat="1" ht="24.75" customHeight="1">
      <c r="B11" s="1406" t="s">
        <v>4843</v>
      </c>
      <c r="C11" s="1407"/>
      <c r="D11" s="1407"/>
      <c r="E11" s="1407"/>
      <c r="F11" s="1407"/>
      <c r="G11" s="1407"/>
      <c r="H11" s="1407"/>
      <c r="I11" s="1407"/>
      <c r="J11" s="1407"/>
      <c r="K11" s="1407"/>
      <c r="L11" s="1407"/>
      <c r="M11" s="1406" t="s">
        <v>4844</v>
      </c>
      <c r="N11" s="1407"/>
      <c r="O11" s="1407"/>
      <c r="X11" s="1406" t="s">
        <v>4845</v>
      </c>
      <c r="AI11" s="1406" t="s">
        <v>4846</v>
      </c>
      <c r="AT11" s="1406" t="s">
        <v>4847</v>
      </c>
    </row>
    <row r="12" spans="2:46" s="1363" customFormat="1" ht="15.95" customHeight="1">
      <c r="B12" s="1397"/>
      <c r="C12" s="1397"/>
      <c r="D12" s="1397"/>
      <c r="E12" s="1397"/>
      <c r="F12" s="1397"/>
      <c r="G12" s="1397"/>
      <c r="H12" s="1397"/>
      <c r="I12" s="1397"/>
      <c r="J12" s="1397"/>
      <c r="K12" s="1397"/>
      <c r="L12" s="1397"/>
      <c r="M12" s="1397"/>
      <c r="N12" s="1397"/>
      <c r="O12" s="1397"/>
      <c r="X12" s="1388"/>
      <c r="AI12" s="1388"/>
      <c r="AT12" s="1388"/>
    </row>
    <row r="13" spans="2:46" s="1363" customFormat="1" ht="15.95" customHeight="1">
      <c r="B13" s="1397"/>
      <c r="C13" s="1397"/>
      <c r="D13" s="1397"/>
      <c r="E13" s="1397"/>
      <c r="F13" s="1397"/>
      <c r="G13" s="1397"/>
      <c r="H13" s="1397"/>
      <c r="I13" s="1397"/>
      <c r="J13" s="1397"/>
      <c r="K13" s="1397"/>
      <c r="L13" s="1397"/>
      <c r="M13" s="1397"/>
      <c r="N13" s="1397"/>
      <c r="O13" s="1397"/>
      <c r="X13" s="1388"/>
      <c r="AI13" s="1388"/>
      <c r="AT13" s="1388"/>
    </row>
    <row r="14" spans="2:46" s="1363" customFormat="1" ht="15.95" customHeight="1">
      <c r="B14" s="1397"/>
      <c r="C14" s="1397"/>
      <c r="D14" s="1397"/>
      <c r="E14" s="1397"/>
      <c r="F14" s="1397"/>
      <c r="G14" s="1397"/>
      <c r="H14" s="1397"/>
      <c r="I14" s="1397"/>
      <c r="J14" s="1397"/>
      <c r="K14" s="1397"/>
      <c r="L14" s="1397"/>
      <c r="M14" s="1397"/>
      <c r="N14" s="1397"/>
      <c r="O14" s="1397"/>
      <c r="X14" s="1388"/>
      <c r="AI14" s="1388"/>
      <c r="AT14" s="1388"/>
    </row>
    <row r="15" spans="2:46" s="1363" customFormat="1" ht="15.95" customHeight="1">
      <c r="B15" s="1397"/>
      <c r="C15" s="1397"/>
      <c r="D15" s="1397"/>
      <c r="E15" s="1397"/>
      <c r="F15" s="1397"/>
      <c r="G15" s="1397"/>
      <c r="H15" s="1397"/>
      <c r="I15" s="1397"/>
      <c r="J15" s="1397"/>
      <c r="K15" s="1397"/>
      <c r="L15" s="1397"/>
      <c r="M15" s="1397"/>
      <c r="N15" s="1397"/>
      <c r="O15" s="1397"/>
      <c r="X15" s="1388"/>
      <c r="AI15" s="1388"/>
      <c r="AT15" s="1388"/>
    </row>
    <row r="16" spans="2:46" s="1363" customFormat="1" ht="15.95" customHeight="1">
      <c r="B16" s="1397"/>
      <c r="C16" s="1397"/>
      <c r="D16" s="1397"/>
      <c r="E16" s="1397"/>
      <c r="F16" s="1397"/>
      <c r="G16" s="1397"/>
      <c r="H16" s="1397"/>
      <c r="I16" s="1397"/>
      <c r="J16" s="1397"/>
      <c r="K16" s="1397"/>
      <c r="L16" s="1397"/>
      <c r="M16" s="1397"/>
      <c r="N16" s="1397"/>
      <c r="O16" s="1397"/>
      <c r="X16" s="1388"/>
      <c r="AI16" s="1388"/>
      <c r="AT16" s="1388"/>
    </row>
    <row r="17" spans="2:46" s="1363" customFormat="1" ht="15.95" customHeight="1">
      <c r="B17" s="1397"/>
      <c r="C17" s="1397"/>
      <c r="D17" s="1397"/>
      <c r="E17" s="1397"/>
      <c r="F17" s="1397"/>
      <c r="G17" s="1397"/>
      <c r="H17" s="1397"/>
      <c r="I17" s="1397"/>
      <c r="J17" s="1397"/>
      <c r="K17" s="1397"/>
      <c r="L17" s="1397"/>
      <c r="M17" s="1397"/>
      <c r="N17" s="1397"/>
      <c r="O17" s="1397"/>
      <c r="X17" s="1388"/>
      <c r="AI17" s="1388"/>
      <c r="AT17" s="1388"/>
    </row>
    <row r="18" spans="2:46" s="1363" customFormat="1" ht="15.95" customHeight="1">
      <c r="B18" s="1397"/>
      <c r="C18" s="1397"/>
      <c r="D18" s="1397"/>
      <c r="E18" s="1397"/>
      <c r="F18" s="1397"/>
      <c r="G18" s="1397"/>
      <c r="H18" s="1397"/>
      <c r="I18" s="1397"/>
      <c r="J18" s="1397"/>
      <c r="K18" s="1397"/>
      <c r="L18" s="1397"/>
      <c r="M18" s="1397"/>
      <c r="N18" s="1397"/>
      <c r="O18" s="1397"/>
      <c r="X18" s="1388"/>
      <c r="AI18" s="1388"/>
      <c r="AT18" s="1388"/>
    </row>
    <row r="19" spans="2:46" s="1363" customFormat="1" ht="15.95" customHeight="1">
      <c r="B19" s="1397"/>
      <c r="C19" s="1397"/>
      <c r="D19" s="1397"/>
      <c r="E19" s="1397"/>
      <c r="F19" s="1397"/>
      <c r="G19" s="1397"/>
      <c r="H19" s="1397"/>
      <c r="I19" s="1397"/>
      <c r="J19" s="1397"/>
      <c r="K19" s="1397"/>
      <c r="L19" s="1397"/>
      <c r="M19" s="1397"/>
      <c r="N19" s="1397"/>
      <c r="O19" s="1397"/>
      <c r="X19" s="1388"/>
      <c r="AI19" s="1388"/>
      <c r="AT19" s="1388"/>
    </row>
    <row r="20" spans="2:46" s="1363" customFormat="1" ht="15.95" customHeight="1">
      <c r="B20" s="1397"/>
      <c r="C20" s="1397"/>
      <c r="D20" s="1397"/>
      <c r="E20" s="1397"/>
      <c r="F20" s="1397"/>
      <c r="G20" s="1397"/>
      <c r="H20" s="1397"/>
      <c r="I20" s="1397"/>
      <c r="J20" s="1397"/>
      <c r="K20" s="1397"/>
      <c r="L20" s="1397"/>
      <c r="M20" s="1397"/>
      <c r="N20" s="1397"/>
      <c r="O20" s="1397"/>
      <c r="X20" s="1388"/>
      <c r="AI20" s="1388"/>
      <c r="AT20" s="1388"/>
    </row>
    <row r="21" spans="2:46" s="1363" customFormat="1" ht="15.95" customHeight="1">
      <c r="B21" s="1397"/>
      <c r="C21" s="1397"/>
      <c r="D21" s="1397"/>
      <c r="E21" s="1397"/>
      <c r="F21" s="1397"/>
      <c r="G21" s="1397"/>
      <c r="H21" s="1397"/>
      <c r="I21" s="1397"/>
      <c r="J21" s="1397"/>
      <c r="K21" s="1397"/>
      <c r="L21" s="1397"/>
      <c r="M21" s="1397"/>
      <c r="N21" s="1397"/>
      <c r="O21" s="1397"/>
      <c r="X21" s="1388"/>
      <c r="AI21" s="1388"/>
      <c r="AT21" s="1388"/>
    </row>
    <row r="22" spans="2:46" s="1363" customFormat="1" ht="15.95" customHeight="1">
      <c r="B22" s="1397"/>
      <c r="C22" s="1397"/>
      <c r="D22" s="1397"/>
      <c r="E22" s="1397"/>
      <c r="F22" s="1397"/>
      <c r="G22" s="1397"/>
      <c r="H22" s="1397"/>
      <c r="I22" s="1397"/>
      <c r="J22" s="1397"/>
      <c r="K22" s="1397"/>
      <c r="L22" s="1397"/>
      <c r="M22" s="1397"/>
      <c r="N22" s="1397"/>
      <c r="O22" s="1397"/>
      <c r="X22" s="1388"/>
      <c r="AI22" s="1388"/>
      <c r="AT22" s="1388"/>
    </row>
    <row r="23" spans="2:46" s="1363" customFormat="1" ht="15.95" customHeight="1">
      <c r="B23" s="1397"/>
      <c r="C23" s="1397"/>
      <c r="D23" s="1397"/>
      <c r="E23" s="1397"/>
      <c r="F23" s="1397"/>
      <c r="G23" s="1397"/>
      <c r="H23" s="1397"/>
      <c r="I23" s="1397"/>
      <c r="J23" s="1397"/>
      <c r="K23" s="1397"/>
      <c r="L23" s="1397"/>
      <c r="M23" s="1397"/>
      <c r="N23" s="1397"/>
      <c r="O23" s="1397"/>
      <c r="X23" s="1388"/>
      <c r="AI23" s="1388"/>
      <c r="AT23" s="1388"/>
    </row>
    <row r="24" spans="2:46" s="1363" customFormat="1" ht="15.95" customHeight="1">
      <c r="B24" s="1397"/>
      <c r="C24" s="1397"/>
      <c r="D24" s="1397"/>
      <c r="E24" s="1397"/>
      <c r="F24" s="1397"/>
      <c r="G24" s="1397"/>
      <c r="H24" s="1397"/>
      <c r="I24" s="1397"/>
      <c r="J24" s="1397"/>
      <c r="K24" s="1397"/>
      <c r="L24" s="1397"/>
      <c r="M24" s="1397"/>
      <c r="N24" s="1397"/>
      <c r="O24" s="1397"/>
      <c r="X24" s="1388"/>
      <c r="AI24" s="1388"/>
      <c r="AT24" s="1388"/>
    </row>
    <row r="25" spans="2:46" s="1363" customFormat="1" ht="15.95" customHeight="1">
      <c r="B25" s="1397"/>
      <c r="C25" s="1397"/>
      <c r="D25" s="1397"/>
      <c r="E25" s="1397"/>
      <c r="F25" s="1397"/>
      <c r="G25" s="1397"/>
      <c r="H25" s="1397"/>
      <c r="I25" s="1397"/>
      <c r="J25" s="1397"/>
      <c r="K25" s="1397"/>
      <c r="L25" s="1397"/>
      <c r="M25" s="1397"/>
      <c r="N25" s="1397"/>
      <c r="O25" s="1397"/>
      <c r="X25" s="1388"/>
      <c r="AI25" s="1388"/>
      <c r="AT25" s="1388"/>
    </row>
    <row r="26" spans="2:46" s="1363" customFormat="1" ht="15.95" customHeight="1">
      <c r="B26" s="1397"/>
      <c r="C26" s="1397"/>
      <c r="D26" s="1397"/>
      <c r="E26" s="1397"/>
      <c r="F26" s="1397"/>
      <c r="G26" s="1397"/>
      <c r="H26" s="1397"/>
      <c r="I26" s="1397"/>
      <c r="J26" s="1397"/>
      <c r="K26" s="1397"/>
      <c r="L26" s="1397"/>
      <c r="M26" s="1397"/>
      <c r="N26" s="1397"/>
      <c r="O26" s="1397"/>
      <c r="X26" s="1388"/>
      <c r="AI26" s="1388"/>
      <c r="AT26" s="1388"/>
    </row>
    <row r="27" spans="2:46" s="1363" customFormat="1" ht="15.95" customHeight="1">
      <c r="B27" s="1397"/>
      <c r="C27" s="1397"/>
      <c r="D27" s="1397"/>
      <c r="E27" s="1397"/>
      <c r="F27" s="1397"/>
      <c r="G27" s="1397"/>
      <c r="H27" s="1397"/>
      <c r="I27" s="1397"/>
      <c r="J27" s="1397"/>
      <c r="K27" s="1397"/>
      <c r="L27" s="1397"/>
      <c r="M27" s="1397"/>
      <c r="N27" s="1397"/>
      <c r="O27" s="1397"/>
      <c r="X27" s="1388"/>
      <c r="AI27" s="1388"/>
      <c r="AT27" s="1388"/>
    </row>
    <row r="28" spans="2:46" s="1363" customFormat="1" ht="15.95" customHeight="1">
      <c r="B28" s="1397"/>
      <c r="C28" s="1397"/>
      <c r="D28" s="1397"/>
      <c r="E28" s="1397"/>
      <c r="F28" s="1397"/>
      <c r="G28" s="1397"/>
      <c r="H28" s="1397"/>
      <c r="I28" s="1397"/>
      <c r="J28" s="1397"/>
      <c r="K28" s="1397"/>
      <c r="L28" s="1397"/>
      <c r="M28" s="1397"/>
      <c r="N28" s="1397"/>
      <c r="O28" s="1397"/>
      <c r="X28" s="1388"/>
      <c r="AI28" s="1388"/>
      <c r="AT28" s="1388"/>
    </row>
    <row r="29" spans="2:46" s="1363" customFormat="1" ht="15.95" customHeight="1">
      <c r="B29" s="1397"/>
      <c r="C29" s="1397"/>
      <c r="D29" s="1397"/>
      <c r="E29" s="1397"/>
      <c r="F29" s="1397"/>
      <c r="G29" s="1397"/>
      <c r="H29" s="1397"/>
      <c r="I29" s="1397"/>
      <c r="J29" s="1397"/>
      <c r="K29" s="1397"/>
      <c r="L29" s="1397"/>
      <c r="M29" s="1397"/>
      <c r="N29" s="1397"/>
      <c r="O29" s="1397"/>
      <c r="X29" s="1388"/>
      <c r="AI29" s="1388"/>
      <c r="AT29" s="1388"/>
    </row>
    <row r="30" spans="2:46" s="1363" customFormat="1" ht="15.95" customHeight="1">
      <c r="B30" s="1397"/>
      <c r="C30" s="1397"/>
      <c r="D30" s="1397"/>
      <c r="E30" s="1397"/>
      <c r="F30" s="1397"/>
      <c r="G30" s="1397"/>
      <c r="H30" s="1397"/>
      <c r="I30" s="1397"/>
      <c r="J30" s="1397"/>
      <c r="K30" s="1397"/>
      <c r="L30" s="1397"/>
      <c r="M30" s="1397"/>
      <c r="N30" s="1397"/>
      <c r="O30" s="1397"/>
      <c r="X30" s="1388"/>
      <c r="AI30" s="1388"/>
      <c r="AT30" s="1388"/>
    </row>
    <row r="31" spans="2:46" s="1363" customFormat="1" ht="15.95" customHeight="1">
      <c r="B31" s="1397"/>
      <c r="C31" s="1397"/>
      <c r="D31" s="1397"/>
      <c r="E31" s="1397"/>
      <c r="F31" s="1397"/>
      <c r="G31" s="1397"/>
      <c r="H31" s="1397"/>
      <c r="I31" s="1397"/>
      <c r="J31" s="1397"/>
      <c r="K31" s="1397"/>
      <c r="L31" s="1397"/>
      <c r="M31" s="1397"/>
      <c r="N31" s="1397"/>
      <c r="O31" s="1397"/>
      <c r="X31" s="1388"/>
      <c r="AI31" s="1388"/>
      <c r="AT31" s="1388"/>
    </row>
    <row r="32" spans="2:46" s="1363" customFormat="1" ht="15.95" customHeight="1">
      <c r="B32" s="1397"/>
      <c r="C32" s="1397"/>
      <c r="D32" s="1397"/>
      <c r="E32" s="1397"/>
      <c r="F32" s="1397"/>
      <c r="G32" s="1397"/>
      <c r="H32" s="1397"/>
      <c r="I32" s="1397"/>
      <c r="J32" s="1397"/>
      <c r="K32" s="1397"/>
      <c r="L32" s="1397"/>
      <c r="M32" s="1397"/>
      <c r="N32" s="1397"/>
      <c r="O32" s="1397"/>
      <c r="X32" s="1388"/>
      <c r="AI32" s="1388"/>
      <c r="AT32" s="1388"/>
    </row>
    <row r="33" spans="2:46" s="1363" customFormat="1" ht="15.95" customHeight="1">
      <c r="B33" s="1397"/>
      <c r="C33" s="1397"/>
      <c r="D33" s="1397"/>
      <c r="E33" s="1397"/>
      <c r="F33" s="1397"/>
      <c r="G33" s="1397"/>
      <c r="H33" s="1397"/>
      <c r="I33" s="1397"/>
      <c r="J33" s="1397"/>
      <c r="K33" s="1397"/>
      <c r="L33" s="1397"/>
      <c r="M33" s="1397"/>
      <c r="N33" s="1397"/>
      <c r="O33" s="1397"/>
      <c r="X33" s="1388"/>
      <c r="AI33" s="1388"/>
      <c r="AT33" s="1388"/>
    </row>
    <row r="34" spans="2:46" s="1363" customFormat="1" ht="15.95" customHeight="1">
      <c r="B34" s="1397"/>
      <c r="C34" s="1397"/>
      <c r="D34" s="1397"/>
      <c r="E34" s="1397"/>
      <c r="F34" s="1397"/>
      <c r="G34" s="1397"/>
      <c r="H34" s="1397"/>
      <c r="I34" s="1397"/>
      <c r="J34" s="1397"/>
      <c r="K34" s="1397"/>
      <c r="L34" s="1397"/>
      <c r="M34" s="1397"/>
      <c r="N34" s="1397"/>
      <c r="O34" s="1397"/>
      <c r="X34" s="1388"/>
      <c r="AI34" s="1388"/>
      <c r="AT34" s="1388"/>
    </row>
    <row r="35" spans="2:46" s="1363" customFormat="1" ht="15.95" customHeight="1">
      <c r="B35" s="1397"/>
      <c r="C35" s="1397"/>
      <c r="D35" s="1397"/>
      <c r="E35" s="1397"/>
      <c r="F35" s="1397"/>
      <c r="G35" s="1397"/>
      <c r="H35" s="1397"/>
      <c r="I35" s="1397"/>
      <c r="J35" s="1397"/>
      <c r="K35" s="1397"/>
      <c r="L35" s="1397"/>
      <c r="M35" s="1397"/>
      <c r="N35" s="1397"/>
      <c r="O35" s="1397"/>
      <c r="X35" s="1388"/>
      <c r="AI35" s="1388"/>
      <c r="AT35" s="1388"/>
    </row>
    <row r="36" spans="2:46" s="1363" customFormat="1" ht="15.95" customHeight="1">
      <c r="B36" s="1397"/>
      <c r="C36" s="1397"/>
      <c r="D36" s="1397"/>
      <c r="E36" s="1397"/>
      <c r="F36" s="1397"/>
      <c r="G36" s="1397"/>
      <c r="H36" s="1397"/>
      <c r="I36" s="1397"/>
      <c r="J36" s="1397"/>
      <c r="K36" s="1397"/>
      <c r="L36" s="1397"/>
      <c r="M36" s="1397"/>
      <c r="N36" s="1397"/>
      <c r="O36" s="1397"/>
      <c r="X36" s="1388"/>
      <c r="AI36" s="1388"/>
      <c r="AT36" s="1388"/>
    </row>
    <row r="37" spans="2:46" s="1363" customFormat="1" ht="15.95" customHeight="1">
      <c r="B37" s="1397"/>
      <c r="C37" s="1397"/>
      <c r="D37" s="1397"/>
      <c r="E37" s="1397"/>
      <c r="F37" s="1397"/>
      <c r="G37" s="1397"/>
      <c r="H37" s="1397"/>
      <c r="I37" s="1397"/>
      <c r="J37" s="1397"/>
      <c r="K37" s="1397"/>
      <c r="L37" s="1397"/>
      <c r="M37" s="1397"/>
      <c r="N37" s="1397"/>
      <c r="O37" s="1397"/>
      <c r="X37" s="1388"/>
      <c r="AI37" s="1388"/>
      <c r="AT37" s="1388"/>
    </row>
    <row r="38" spans="2:46" s="1363" customFormat="1" ht="15.95" customHeight="1">
      <c r="B38" s="1397"/>
      <c r="C38" s="1397"/>
      <c r="D38" s="1397"/>
      <c r="E38" s="1397"/>
      <c r="F38" s="1397"/>
      <c r="G38" s="1397"/>
      <c r="H38" s="1397"/>
      <c r="I38" s="1397"/>
      <c r="J38" s="1397"/>
      <c r="K38" s="1397"/>
      <c r="L38" s="1397"/>
      <c r="M38" s="1397"/>
      <c r="N38" s="1397"/>
      <c r="O38" s="1397"/>
      <c r="X38" s="1388"/>
      <c r="AI38" s="1388"/>
      <c r="AT38" s="1388"/>
    </row>
    <row r="39" spans="2:46" s="1363" customFormat="1" ht="15.95" customHeight="1">
      <c r="B39" s="1397"/>
      <c r="C39" s="1397"/>
      <c r="D39" s="1397"/>
      <c r="E39" s="1397"/>
      <c r="F39" s="1397"/>
      <c r="G39" s="1397"/>
      <c r="H39" s="1397"/>
      <c r="I39" s="1397"/>
      <c r="J39" s="1397"/>
      <c r="K39" s="1397"/>
      <c r="L39" s="1397"/>
      <c r="M39" s="1397"/>
      <c r="N39" s="1397"/>
      <c r="O39" s="1397"/>
      <c r="X39" s="1388"/>
      <c r="AI39" s="1388"/>
      <c r="AT39" s="1388"/>
    </row>
    <row r="40" spans="2:46" s="1363" customFormat="1" ht="15.95" customHeight="1">
      <c r="B40" s="1397"/>
      <c r="C40" s="1397"/>
      <c r="D40" s="1397"/>
      <c r="E40" s="1397"/>
      <c r="F40" s="1397"/>
      <c r="G40" s="1397"/>
      <c r="H40" s="1397"/>
      <c r="I40" s="1397"/>
      <c r="J40" s="1397"/>
      <c r="K40" s="1397"/>
      <c r="L40" s="1397"/>
      <c r="M40" s="1397"/>
      <c r="N40" s="1397"/>
      <c r="O40" s="1397"/>
      <c r="X40" s="1388"/>
      <c r="AI40" s="1388"/>
      <c r="AT40" s="1388"/>
    </row>
    <row r="41" spans="2:46" s="1363" customFormat="1" ht="15.95" customHeight="1">
      <c r="B41" s="1397"/>
      <c r="C41" s="1397"/>
      <c r="D41" s="1397"/>
      <c r="E41" s="1397"/>
      <c r="F41" s="1397"/>
      <c r="G41" s="1397"/>
      <c r="H41" s="1397"/>
      <c r="I41" s="1397"/>
      <c r="J41" s="1397"/>
      <c r="K41" s="1397"/>
      <c r="L41" s="1397"/>
      <c r="M41" s="1397"/>
      <c r="N41" s="1397"/>
      <c r="O41" s="1397"/>
      <c r="X41" s="1388"/>
      <c r="AI41" s="1388"/>
      <c r="AT41" s="1388"/>
    </row>
    <row r="42" spans="2:46" s="1363" customFormat="1" ht="15.95" customHeight="1">
      <c r="B42" s="1397"/>
      <c r="C42" s="1397"/>
      <c r="D42" s="1397"/>
      <c r="E42" s="1397"/>
      <c r="F42" s="1397"/>
      <c r="G42" s="1397"/>
      <c r="H42" s="1397"/>
      <c r="I42" s="1397"/>
      <c r="J42" s="1397"/>
      <c r="K42" s="1397"/>
      <c r="L42" s="1397"/>
      <c r="M42" s="1397"/>
      <c r="N42" s="1397"/>
      <c r="O42" s="1397"/>
      <c r="X42" s="1388"/>
      <c r="AI42" s="1388"/>
      <c r="AT42" s="1388"/>
    </row>
    <row r="43" spans="2:46" s="1363" customFormat="1" ht="15.95" customHeight="1">
      <c r="B43" s="1397"/>
      <c r="C43" s="1397"/>
      <c r="D43" s="1397"/>
      <c r="E43" s="1397"/>
      <c r="F43" s="1397"/>
      <c r="G43" s="1397"/>
      <c r="H43" s="1397"/>
      <c r="I43" s="1397"/>
      <c r="J43" s="1397"/>
      <c r="K43" s="1397"/>
      <c r="L43" s="1397"/>
      <c r="M43" s="1397"/>
      <c r="N43" s="1397"/>
      <c r="O43" s="1397"/>
      <c r="X43" s="1388"/>
      <c r="AI43" s="1388"/>
      <c r="AT43" s="1388"/>
    </row>
    <row r="44" spans="2:46" s="1363" customFormat="1" ht="15.95" customHeight="1">
      <c r="B44" s="1397"/>
      <c r="C44" s="1397"/>
      <c r="D44" s="1397"/>
      <c r="E44" s="1397"/>
      <c r="F44" s="1397"/>
      <c r="G44" s="1397"/>
      <c r="H44" s="1397"/>
      <c r="I44" s="1397"/>
      <c r="J44" s="1397"/>
      <c r="K44" s="1397"/>
      <c r="L44" s="1397"/>
      <c r="M44" s="1397"/>
      <c r="N44" s="1397"/>
      <c r="O44" s="1397"/>
      <c r="X44" s="1388"/>
      <c r="AI44" s="1388"/>
      <c r="AT44" s="1388"/>
    </row>
    <row r="45" spans="2:46" s="1363" customFormat="1" ht="15.95" customHeight="1">
      <c r="B45" s="1397"/>
      <c r="C45" s="1397"/>
      <c r="D45" s="1397"/>
      <c r="E45" s="1397"/>
      <c r="F45" s="1397"/>
      <c r="G45" s="1397"/>
      <c r="H45" s="1397"/>
      <c r="I45" s="1397"/>
      <c r="J45" s="1397"/>
      <c r="K45" s="1397"/>
      <c r="L45" s="1397"/>
      <c r="M45" s="1397"/>
      <c r="N45" s="1397"/>
      <c r="O45" s="1397"/>
      <c r="X45" s="1388"/>
      <c r="AI45" s="1388"/>
      <c r="AT45" s="1388"/>
    </row>
    <row r="46" spans="2:46" s="1363" customFormat="1" ht="15.95" customHeight="1">
      <c r="B46" s="1397"/>
      <c r="C46" s="1397"/>
      <c r="D46" s="1397"/>
      <c r="E46" s="1397"/>
      <c r="F46" s="1397"/>
      <c r="G46" s="1397"/>
      <c r="H46" s="1397"/>
      <c r="I46" s="1397"/>
      <c r="J46" s="1397"/>
      <c r="K46" s="1397"/>
      <c r="L46" s="1397"/>
      <c r="M46" s="1397"/>
      <c r="N46" s="1397"/>
      <c r="O46" s="1397"/>
      <c r="X46" s="1388"/>
      <c r="AI46" s="1388"/>
      <c r="AT46" s="1388"/>
    </row>
    <row r="47" spans="2:46" s="1363" customFormat="1" ht="15.95" customHeight="1">
      <c r="B47" s="1397"/>
      <c r="C47" s="1397"/>
      <c r="D47" s="1397"/>
      <c r="E47" s="1397"/>
      <c r="F47" s="1397"/>
      <c r="G47" s="1397"/>
      <c r="H47" s="1397"/>
      <c r="I47" s="1397"/>
      <c r="J47" s="1397"/>
      <c r="K47" s="1397"/>
      <c r="L47" s="1397"/>
      <c r="M47" s="1397"/>
      <c r="N47" s="1397"/>
      <c r="O47" s="1397"/>
      <c r="X47" s="1388"/>
      <c r="AI47" s="1388"/>
      <c r="AT47" s="1388"/>
    </row>
    <row r="48" spans="2:46" s="1363" customFormat="1" ht="15.95" customHeight="1">
      <c r="B48" s="1397"/>
      <c r="C48" s="1397"/>
      <c r="D48" s="1397"/>
      <c r="E48" s="1397"/>
      <c r="F48" s="1397"/>
      <c r="G48" s="1397"/>
      <c r="H48" s="1397"/>
      <c r="I48" s="1397"/>
      <c r="J48" s="1397"/>
      <c r="K48" s="1397"/>
      <c r="L48" s="1397"/>
      <c r="M48" s="1397"/>
      <c r="N48" s="1397"/>
      <c r="O48" s="1397"/>
      <c r="X48" s="1388"/>
      <c r="AI48" s="1388"/>
      <c r="AT48" s="1388"/>
    </row>
    <row r="49" spans="1:53" s="1363" customFormat="1" ht="15.95" customHeight="1">
      <c r="B49" s="1397"/>
      <c r="C49" s="1397"/>
      <c r="D49" s="1397"/>
      <c r="E49" s="1397"/>
      <c r="F49" s="1397"/>
      <c r="G49" s="1397"/>
      <c r="H49" s="1397"/>
      <c r="I49" s="1397"/>
      <c r="J49" s="1397"/>
      <c r="K49" s="1397"/>
      <c r="L49" s="1397"/>
      <c r="M49" s="1397"/>
      <c r="N49" s="1397"/>
      <c r="O49" s="1397"/>
      <c r="X49" s="1388"/>
      <c r="AI49" s="1388"/>
      <c r="AT49" s="1388"/>
    </row>
    <row r="50" spans="1:53" s="1363" customFormat="1" ht="15.95" customHeight="1">
      <c r="B50" s="1397"/>
      <c r="C50" s="1397"/>
      <c r="D50" s="1397"/>
      <c r="E50" s="1397"/>
      <c r="F50" s="1397"/>
      <c r="G50" s="1397"/>
      <c r="H50" s="1397"/>
      <c r="I50" s="1397"/>
      <c r="J50" s="1397"/>
      <c r="K50" s="1397"/>
      <c r="L50" s="1397"/>
      <c r="M50" s="1397"/>
      <c r="N50" s="1397"/>
      <c r="O50" s="1397"/>
      <c r="X50" s="1388"/>
      <c r="AI50" s="1388"/>
      <c r="AT50" s="1388"/>
    </row>
    <row r="51" spans="1:53" s="1363" customFormat="1" ht="15.95" customHeight="1">
      <c r="B51" s="1397"/>
      <c r="C51" s="1397"/>
      <c r="D51" s="1397"/>
      <c r="E51" s="1397"/>
      <c r="F51" s="1397"/>
      <c r="G51" s="1397"/>
      <c r="H51" s="1397"/>
      <c r="I51" s="1397"/>
      <c r="J51" s="1397"/>
      <c r="K51" s="1397"/>
      <c r="L51" s="1397"/>
      <c r="M51" s="1397"/>
      <c r="N51" s="1397"/>
      <c r="O51" s="1397"/>
      <c r="X51" s="1388"/>
      <c r="AI51" s="1388"/>
      <c r="AT51" s="1388"/>
    </row>
    <row r="52" spans="1:53" s="1363" customFormat="1" ht="15.95" customHeight="1">
      <c r="B52" s="1397"/>
      <c r="C52" s="1397"/>
      <c r="D52" s="1397"/>
      <c r="E52" s="1397"/>
      <c r="F52" s="1397"/>
      <c r="G52" s="1397"/>
      <c r="H52" s="1397"/>
      <c r="I52" s="1397"/>
      <c r="J52" s="1397"/>
      <c r="K52" s="1397"/>
      <c r="L52" s="1397"/>
      <c r="M52" s="1397"/>
      <c r="N52" s="1397"/>
      <c r="O52" s="1397"/>
      <c r="X52" s="1388"/>
      <c r="AI52" s="1388"/>
      <c r="AT52" s="1388"/>
    </row>
    <row r="53" spans="1:53" s="1363" customFormat="1" ht="15.95" customHeight="1">
      <c r="B53" s="1397"/>
      <c r="C53" s="1397"/>
      <c r="D53" s="1397"/>
      <c r="E53" s="1397"/>
      <c r="F53" s="1397"/>
      <c r="G53" s="1397"/>
      <c r="H53" s="1397"/>
      <c r="I53" s="1397"/>
      <c r="J53" s="1397"/>
      <c r="K53" s="1397"/>
      <c r="L53" s="1397"/>
      <c r="M53" s="1397"/>
      <c r="N53" s="1397"/>
      <c r="O53" s="1397"/>
      <c r="X53" s="1388"/>
      <c r="AI53" s="1388"/>
      <c r="AT53" s="1388"/>
    </row>
    <row r="54" spans="1:53" s="1363" customFormat="1" ht="15.95" customHeight="1">
      <c r="B54" s="1397"/>
      <c r="C54" s="1397"/>
      <c r="D54" s="1397"/>
      <c r="E54" s="1397"/>
      <c r="F54" s="1397"/>
      <c r="G54" s="1397"/>
      <c r="H54" s="1397"/>
      <c r="I54" s="1397"/>
      <c r="J54" s="1397"/>
      <c r="K54" s="1397"/>
      <c r="L54" s="1397"/>
      <c r="M54" s="1397"/>
      <c r="N54" s="1397"/>
      <c r="O54" s="1397"/>
      <c r="X54" s="1388"/>
      <c r="AI54" s="1388"/>
      <c r="AT54" s="1388"/>
    </row>
    <row r="55" spans="1:53" s="1363" customFormat="1" ht="15.95" customHeight="1">
      <c r="B55" s="1397"/>
      <c r="C55" s="1397"/>
      <c r="D55" s="1397"/>
      <c r="E55" s="1397"/>
      <c r="F55" s="1397"/>
      <c r="G55" s="1397"/>
      <c r="H55" s="1397"/>
      <c r="I55" s="1397"/>
      <c r="J55" s="1397"/>
      <c r="K55" s="1397"/>
      <c r="L55" s="1397"/>
      <c r="M55" s="1397"/>
      <c r="N55" s="1397"/>
      <c r="O55" s="1397"/>
      <c r="X55" s="1388"/>
      <c r="AI55" s="1388"/>
      <c r="AT55" s="1388"/>
      <c r="AZ55" s="25"/>
      <c r="BA55" s="25"/>
    </row>
    <row r="56" spans="1:53" s="1363" customFormat="1" ht="15.95" customHeight="1">
      <c r="B56" s="1388"/>
      <c r="C56" s="1389"/>
      <c r="D56" s="1483" t="s">
        <v>4848</v>
      </c>
      <c r="E56" s="1483"/>
      <c r="F56" s="1483"/>
      <c r="G56" s="1389"/>
      <c r="H56" s="1389"/>
      <c r="I56" s="1389"/>
      <c r="J56" s="1389"/>
      <c r="K56" s="1389"/>
      <c r="L56" s="1389"/>
      <c r="M56" s="1389"/>
      <c r="N56" s="1389"/>
      <c r="O56" s="1483" t="s">
        <v>4640</v>
      </c>
      <c r="P56" s="1483"/>
      <c r="Q56" s="1483"/>
      <c r="X56" s="1388"/>
      <c r="Z56" s="1483" t="s">
        <v>4691</v>
      </c>
      <c r="AA56" s="1483"/>
      <c r="AB56" s="1483"/>
      <c r="AI56" s="1388"/>
      <c r="AK56" s="1483" t="s">
        <v>4849</v>
      </c>
      <c r="AL56" s="1483"/>
      <c r="AM56" s="1483"/>
      <c r="AT56" s="1388"/>
      <c r="AV56" s="1483" t="s">
        <v>4850</v>
      </c>
      <c r="AW56" s="1483"/>
      <c r="AX56" s="1483"/>
      <c r="AZ56" s="25"/>
      <c r="BA56" s="25"/>
    </row>
    <row r="57" spans="1:53" s="1363" customFormat="1" ht="15.95" customHeight="1" thickBot="1">
      <c r="B57" s="1405"/>
      <c r="C57" s="1390"/>
      <c r="D57" s="1391" t="s">
        <v>4648</v>
      </c>
      <c r="E57" s="1391" t="s">
        <v>4650</v>
      </c>
      <c r="F57" s="1384" t="s">
        <v>4851</v>
      </c>
      <c r="G57" s="1389"/>
      <c r="H57" s="1389"/>
      <c r="I57" s="1389"/>
      <c r="J57" s="1389"/>
      <c r="K57" s="1389"/>
      <c r="L57" s="1389"/>
      <c r="M57" s="1390"/>
      <c r="N57" s="1390"/>
      <c r="O57" s="1391" t="s">
        <v>4648</v>
      </c>
      <c r="P57" s="1391" t="s">
        <v>4650</v>
      </c>
      <c r="Q57" s="1384" t="s">
        <v>4851</v>
      </c>
      <c r="X57" s="1405"/>
      <c r="Y57" s="1392"/>
      <c r="Z57" s="1391" t="s">
        <v>4648</v>
      </c>
      <c r="AA57" s="1391" t="s">
        <v>4650</v>
      </c>
      <c r="AB57" s="1384" t="s">
        <v>4851</v>
      </c>
      <c r="AI57" s="1405"/>
      <c r="AJ57" s="1392"/>
      <c r="AK57" s="1391" t="s">
        <v>4648</v>
      </c>
      <c r="AL57" s="1391" t="s">
        <v>4650</v>
      </c>
      <c r="AM57" s="1384" t="s">
        <v>4851</v>
      </c>
      <c r="AT57" s="1405"/>
      <c r="AU57" s="1392"/>
      <c r="AV57" s="1391" t="s">
        <v>4648</v>
      </c>
      <c r="AW57" s="1391" t="s">
        <v>4650</v>
      </c>
      <c r="AX57" s="1384" t="s">
        <v>4851</v>
      </c>
      <c r="AZ57" s="25"/>
      <c r="BA57" s="25"/>
    </row>
    <row r="58" spans="1:53" s="25" customFormat="1" ht="15.95" customHeight="1">
      <c r="B58" s="1373"/>
      <c r="C58" s="1393" t="s">
        <v>4530</v>
      </c>
      <c r="D58" s="25">
        <f>SUM(D65:D106)</f>
        <v>556</v>
      </c>
      <c r="E58" s="25">
        <f>SUM(E65:E106)</f>
        <v>379</v>
      </c>
      <c r="F58" s="25">
        <f>E58/D58*100</f>
        <v>68.165467625899282</v>
      </c>
      <c r="M58" s="1373"/>
      <c r="N58" s="1393" t="s">
        <v>4530</v>
      </c>
      <c r="O58" s="25">
        <f>SUM(O65:O106)</f>
        <v>89</v>
      </c>
      <c r="P58" s="25">
        <f>SUM(P65:P106)</f>
        <v>66</v>
      </c>
      <c r="Q58" s="25">
        <f>P58/O58*100</f>
        <v>74.157303370786522</v>
      </c>
      <c r="X58" s="1373"/>
      <c r="Y58" s="1393" t="s">
        <v>4530</v>
      </c>
      <c r="Z58" s="25">
        <f>SUM(Z65:Z106)</f>
        <v>757.33333333333326</v>
      </c>
      <c r="AA58" s="25">
        <f>SUM(AA65:AA106)</f>
        <v>471</v>
      </c>
      <c r="AB58" s="25">
        <f>AA58/Z58*100</f>
        <v>62.191901408450711</v>
      </c>
      <c r="AI58" s="1373"/>
      <c r="AJ58" s="1393" t="s">
        <v>4530</v>
      </c>
      <c r="AK58" s="25">
        <f>SUM(AK65:AK106)</f>
        <v>51</v>
      </c>
      <c r="AL58" s="25">
        <f>SUM(AL65:AL106)</f>
        <v>24</v>
      </c>
      <c r="AM58" s="25">
        <f>AL58/AK58*100</f>
        <v>47.058823529411761</v>
      </c>
      <c r="AT58" s="1373"/>
      <c r="AU58" s="1393" t="s">
        <v>4530</v>
      </c>
      <c r="AV58" s="25">
        <f>SUM(AV65:AV106)</f>
        <v>590</v>
      </c>
      <c r="AW58" s="25">
        <f>SUM(AW65:AW106)</f>
        <v>407</v>
      </c>
      <c r="AX58" s="25">
        <f>AW58/AV58*100</f>
        <v>68.983050847457633</v>
      </c>
    </row>
    <row r="59" spans="1:53" s="25" customFormat="1" ht="15.95" customHeight="1">
      <c r="B59" s="1373"/>
      <c r="M59" s="1373"/>
      <c r="X59" s="1373"/>
      <c r="AI59" s="1373"/>
      <c r="AT59" s="1373"/>
    </row>
    <row r="60" spans="1:53" s="1372" customFormat="1" ht="15.95" customHeight="1">
      <c r="B60" s="1379"/>
      <c r="C60" s="1368" t="s">
        <v>4852</v>
      </c>
      <c r="D60" s="1368">
        <f>SUMIFS(D65:D106,$B$65:$B$106,1)</f>
        <v>433.99999999999994</v>
      </c>
      <c r="E60" s="1368">
        <f>SUMIFS(E65:E106,$B$65:$B$106,1)</f>
        <v>281</v>
      </c>
      <c r="F60" s="25">
        <f t="shared" ref="F60:F61" si="0">E60/D60*100</f>
        <v>64.746543778801851</v>
      </c>
      <c r="H60" s="1368"/>
      <c r="I60" s="1368"/>
      <c r="J60" s="1368"/>
      <c r="K60" s="1368"/>
      <c r="L60" s="1368"/>
      <c r="M60" s="1379"/>
      <c r="N60" s="1368" t="s">
        <v>4852</v>
      </c>
      <c r="O60" s="1368">
        <f>SUMIFS(O65:O106,$M$65:$M$106,1)</f>
        <v>56</v>
      </c>
      <c r="P60" s="1368">
        <f>SUMIFS(P65:P106,$M$65:$M$106,1)</f>
        <v>33</v>
      </c>
      <c r="Q60" s="25">
        <f t="shared" ref="Q60:Q61" si="1">P60/O60*100</f>
        <v>58.928571428571431</v>
      </c>
      <c r="S60" s="1368"/>
      <c r="T60" s="1368"/>
      <c r="U60" s="1368"/>
      <c r="V60" s="1368"/>
      <c r="W60" s="1368"/>
      <c r="X60" s="1379"/>
      <c r="Y60" s="1368" t="s">
        <v>4852</v>
      </c>
      <c r="Z60" s="1368">
        <f>SUMIFS(Z65:Z106,$X$65:$X$106,1)</f>
        <v>316.33333333333331</v>
      </c>
      <c r="AA60" s="1368">
        <f>SUMIFS(AA65:AA106,$X$65:$X$106,1)</f>
        <v>90</v>
      </c>
      <c r="AB60" s="25">
        <f t="shared" ref="AB60:AB61" si="2">AA60/Z60*100</f>
        <v>28.451001053740782</v>
      </c>
      <c r="AD60" s="1368"/>
      <c r="AE60" s="1368"/>
      <c r="AF60" s="1368"/>
      <c r="AG60" s="1368"/>
      <c r="AH60" s="1368"/>
      <c r="AI60" s="1379"/>
      <c r="AJ60" s="1368" t="s">
        <v>4852</v>
      </c>
      <c r="AK60" s="1368">
        <f>SUMIFS(AK65:AK106,$AI$65:$AI$106,1)</f>
        <v>46</v>
      </c>
      <c r="AL60" s="1368">
        <f>SUMIFS(AL65:AL106,$AI$65:$AI$106,1)</f>
        <v>21</v>
      </c>
      <c r="AM60" s="25">
        <f t="shared" ref="AM60:AM61" si="3">AL60/AK60*100</f>
        <v>45.652173913043477</v>
      </c>
      <c r="AO60" s="1368"/>
      <c r="AP60" s="1368"/>
      <c r="AQ60" s="1368"/>
      <c r="AR60" s="1368"/>
      <c r="AS60" s="1368"/>
      <c r="AT60" s="1379"/>
      <c r="AU60" s="1368" t="s">
        <v>4852</v>
      </c>
      <c r="AV60" s="1368">
        <f>SUMIFS(AV65:AV106,$AT$65:$AT$106,1)</f>
        <v>479</v>
      </c>
      <c r="AW60" s="1368">
        <f>SUMIFS(AW65:AW106,$AT$65:$AT$106,1)</f>
        <v>296</v>
      </c>
      <c r="AX60" s="25">
        <f t="shared" ref="AX60:AX61" si="4">AW60/AV60*100</f>
        <v>61.795407098121082</v>
      </c>
    </row>
    <row r="61" spans="1:53" s="1372" customFormat="1" ht="15.95" customHeight="1">
      <c r="A61" s="1369"/>
      <c r="B61" s="1379"/>
      <c r="C61" s="1368" t="s">
        <v>4853</v>
      </c>
      <c r="D61" s="1368">
        <f>SUMIFS(D65:D106,$B$65:$B$106,0)</f>
        <v>122</v>
      </c>
      <c r="E61" s="1368">
        <f>SUMIFS(E65:E106,$B$65:$B$106,0)</f>
        <v>98</v>
      </c>
      <c r="F61" s="25">
        <f t="shared" si="0"/>
        <v>80.327868852459019</v>
      </c>
      <c r="G61" s="1369"/>
      <c r="H61" s="1368"/>
      <c r="I61" s="1368"/>
      <c r="J61" s="1368"/>
      <c r="K61" s="1368"/>
      <c r="L61" s="1368"/>
      <c r="M61" s="1379"/>
      <c r="N61" s="1368" t="s">
        <v>4853</v>
      </c>
      <c r="O61" s="1368">
        <f>SUMIFS(O65:O106,$M$65:$M$106,0)</f>
        <v>33</v>
      </c>
      <c r="P61" s="1368">
        <f>SUMIFS(P65:P106,$M$65:$M$106,0)</f>
        <v>33</v>
      </c>
      <c r="Q61" s="25">
        <f t="shared" si="1"/>
        <v>100</v>
      </c>
      <c r="R61" s="1369"/>
      <c r="S61" s="1368"/>
      <c r="T61" s="1368"/>
      <c r="U61" s="1368"/>
      <c r="V61" s="1368"/>
      <c r="W61" s="1368"/>
      <c r="X61" s="1379"/>
      <c r="Y61" s="1368" t="s">
        <v>4853</v>
      </c>
      <c r="Z61" s="1368">
        <f>SUMIFS(Z65:Z106,$X$65:$X$106,0)</f>
        <v>441</v>
      </c>
      <c r="AA61" s="1368">
        <f>SUMIFS(AA65:AA106,$X$65:$X$106,0)</f>
        <v>381</v>
      </c>
      <c r="AB61" s="25">
        <f t="shared" si="2"/>
        <v>86.394557823129247</v>
      </c>
      <c r="AC61" s="1369"/>
      <c r="AD61" s="1368"/>
      <c r="AE61" s="1368"/>
      <c r="AF61" s="1368"/>
      <c r="AG61" s="1368"/>
      <c r="AH61" s="1368"/>
      <c r="AI61" s="1379"/>
      <c r="AJ61" s="1368" t="s">
        <v>4853</v>
      </c>
      <c r="AK61" s="1368">
        <f>SUMIFS(AK65:AK106,$AI$65:$AI$106,0)</f>
        <v>5</v>
      </c>
      <c r="AL61" s="1368">
        <f>SUMIFS(AL65:AL106,$AI$65:$AI$106,0)</f>
        <v>3</v>
      </c>
      <c r="AM61" s="25">
        <f t="shared" si="3"/>
        <v>60</v>
      </c>
      <c r="AO61" s="1368"/>
      <c r="AP61" s="1368"/>
      <c r="AQ61" s="1368"/>
      <c r="AR61" s="1368"/>
      <c r="AS61" s="1368"/>
      <c r="AT61" s="1379"/>
      <c r="AU61" s="1368" t="s">
        <v>4853</v>
      </c>
      <c r="AV61" s="1368">
        <f>SUMIFS(AV65:AV106,$AT$65:$AT$106,0)</f>
        <v>111</v>
      </c>
      <c r="AW61" s="1368">
        <f>SUMIFS(AW65:AW106,$AT$65:$AT$106,0)</f>
        <v>111</v>
      </c>
      <c r="AX61" s="25">
        <f t="shared" si="4"/>
        <v>100</v>
      </c>
      <c r="AZ61" s="1369"/>
    </row>
    <row r="62" spans="1:53" s="1369" customFormat="1" ht="15.95" customHeight="1">
      <c r="B62" s="1379"/>
      <c r="C62" s="1371"/>
      <c r="D62" s="25"/>
      <c r="E62" s="25"/>
      <c r="F62" s="25"/>
      <c r="G62" s="1376"/>
      <c r="H62" s="1377"/>
      <c r="I62" s="1377"/>
      <c r="J62" s="1377"/>
      <c r="K62" s="1377"/>
      <c r="L62" s="1377"/>
      <c r="M62" s="1379"/>
      <c r="N62" s="1371"/>
      <c r="O62" s="25"/>
      <c r="P62" s="25"/>
      <c r="Q62" s="1377"/>
      <c r="S62" s="1368"/>
      <c r="T62" s="1368"/>
      <c r="U62" s="1368"/>
      <c r="V62" s="1368"/>
      <c r="W62" s="1368"/>
      <c r="X62" s="1379"/>
      <c r="Y62" s="1371"/>
      <c r="Z62" s="25"/>
      <c r="AA62" s="25"/>
      <c r="AB62" s="1377"/>
      <c r="AD62" s="1368"/>
      <c r="AE62" s="1368"/>
      <c r="AF62" s="1368"/>
      <c r="AG62" s="1368"/>
      <c r="AH62" s="1368"/>
      <c r="AI62" s="1379"/>
      <c r="AJ62" s="1371"/>
      <c r="AK62" s="25"/>
      <c r="AL62" s="25"/>
      <c r="AM62" s="1377"/>
      <c r="AO62" s="1368"/>
      <c r="AP62" s="1368"/>
      <c r="AQ62" s="1368"/>
      <c r="AR62" s="1368"/>
      <c r="AS62" s="1368"/>
      <c r="AT62" s="1379"/>
      <c r="AU62" s="1371"/>
      <c r="AV62" s="25"/>
      <c r="AW62" s="25"/>
      <c r="AX62" s="1377"/>
      <c r="AZ62" s="1371"/>
      <c r="BA62" s="1377"/>
    </row>
    <row r="63" spans="1:53" s="1375" customFormat="1" ht="15.95" customHeight="1">
      <c r="B63" s="1476" t="s">
        <v>4854</v>
      </c>
      <c r="C63" s="1410"/>
      <c r="D63" s="1412"/>
      <c r="E63" s="1412"/>
      <c r="F63" s="1412"/>
      <c r="G63" s="1401"/>
      <c r="H63" s="1402"/>
      <c r="I63" s="1402"/>
      <c r="J63" s="1402"/>
      <c r="K63" s="1402"/>
      <c r="L63" s="1402"/>
      <c r="M63" s="1476" t="s">
        <v>4854</v>
      </c>
      <c r="N63" s="1410"/>
      <c r="O63" s="1412"/>
      <c r="P63" s="1412"/>
      <c r="Q63" s="1413"/>
      <c r="R63" s="1399"/>
      <c r="S63" s="1400"/>
      <c r="T63" s="1400"/>
      <c r="U63" s="1400"/>
      <c r="V63" s="1400"/>
      <c r="W63" s="1400"/>
      <c r="X63" s="1476" t="s">
        <v>4854</v>
      </c>
      <c r="Y63" s="1410"/>
      <c r="Z63" s="1412"/>
      <c r="AA63" s="1412"/>
      <c r="AB63" s="1413"/>
      <c r="AC63" s="1399"/>
      <c r="AD63" s="1400"/>
      <c r="AE63" s="1400"/>
      <c r="AF63" s="1400"/>
      <c r="AG63" s="1400"/>
      <c r="AH63" s="1400"/>
      <c r="AI63" s="1476" t="s">
        <v>4854</v>
      </c>
      <c r="AJ63" s="1410"/>
      <c r="AK63" s="1484"/>
      <c r="AL63" s="1484"/>
      <c r="AM63" s="1485"/>
      <c r="AN63" s="1399"/>
      <c r="AO63" s="1400"/>
      <c r="AP63" s="1400"/>
      <c r="AQ63" s="1400"/>
      <c r="AR63" s="1400"/>
      <c r="AS63" s="1400"/>
      <c r="AT63" s="1476" t="s">
        <v>4854</v>
      </c>
      <c r="AU63" s="1410"/>
      <c r="AV63" s="1412"/>
      <c r="AW63" s="1412"/>
      <c r="AX63" s="1413"/>
      <c r="AZ63" s="1478" t="s">
        <v>4512</v>
      </c>
      <c r="BA63" s="1480" t="s">
        <v>4855</v>
      </c>
    </row>
    <row r="64" spans="1:53" s="1375" customFormat="1" ht="15.95" customHeight="1">
      <c r="B64" s="1477"/>
      <c r="C64" s="1409" t="s">
        <v>4512</v>
      </c>
      <c r="D64" s="1394" t="s">
        <v>4856</v>
      </c>
      <c r="E64" s="1394" t="s">
        <v>4857</v>
      </c>
      <c r="F64" s="1408" t="s">
        <v>4851</v>
      </c>
      <c r="G64" s="1401"/>
      <c r="H64" s="1402"/>
      <c r="I64" s="1402"/>
      <c r="J64" s="1402"/>
      <c r="K64" s="1402"/>
      <c r="L64" s="1402"/>
      <c r="M64" s="1477"/>
      <c r="N64" s="1409" t="s">
        <v>4512</v>
      </c>
      <c r="O64" s="1394" t="s">
        <v>4858</v>
      </c>
      <c r="P64" s="1394" t="s">
        <v>4859</v>
      </c>
      <c r="Q64" s="1383" t="s">
        <v>4851</v>
      </c>
      <c r="R64" s="1399"/>
      <c r="S64" s="1400"/>
      <c r="T64" s="1400"/>
      <c r="U64" s="1400"/>
      <c r="V64" s="1400"/>
      <c r="W64" s="1400"/>
      <c r="X64" s="1477"/>
      <c r="Y64" s="1409" t="s">
        <v>4512</v>
      </c>
      <c r="Z64" s="1394" t="s">
        <v>4860</v>
      </c>
      <c r="AA64" s="1394" t="s">
        <v>4861</v>
      </c>
      <c r="AB64" s="1383" t="s">
        <v>4851</v>
      </c>
      <c r="AC64" s="1399"/>
      <c r="AD64" s="1400"/>
      <c r="AE64" s="1400"/>
      <c r="AF64" s="1400"/>
      <c r="AG64" s="1400"/>
      <c r="AH64" s="1400"/>
      <c r="AI64" s="1477"/>
      <c r="AJ64" s="1409" t="s">
        <v>4512</v>
      </c>
      <c r="AK64" s="1414" t="s">
        <v>4862</v>
      </c>
      <c r="AL64" s="1394" t="s">
        <v>4863</v>
      </c>
      <c r="AM64" s="1383" t="s">
        <v>4851</v>
      </c>
      <c r="AN64" s="1399"/>
      <c r="AO64" s="1400"/>
      <c r="AP64" s="1400"/>
      <c r="AQ64" s="1400"/>
      <c r="AR64" s="1400"/>
      <c r="AS64" s="1400"/>
      <c r="AT64" s="1477"/>
      <c r="AU64" s="1411" t="s">
        <v>4512</v>
      </c>
      <c r="AV64" s="1394" t="s">
        <v>4864</v>
      </c>
      <c r="AW64" s="1394" t="s">
        <v>4865</v>
      </c>
      <c r="AX64" s="1383" t="s">
        <v>4851</v>
      </c>
      <c r="AZ64" s="1479"/>
      <c r="BA64" s="1481"/>
    </row>
    <row r="65" spans="2:53" ht="15.95" customHeight="1">
      <c r="B65" s="1380">
        <f t="shared" ref="B65:B106" si="5">VLOOKUP(C65,AZ:BA,2,0)</f>
        <v>1</v>
      </c>
      <c r="C65" s="349" t="s">
        <v>3949</v>
      </c>
      <c r="D65" s="350">
        <f>VLOOKUP(C65,'Share, Heavy Weapons to Ukraine'!B:AX,COLUMN('Share, Heavy Weapons to Ukraine'!AR12)-1,FALSE)</f>
        <v>160</v>
      </c>
      <c r="E65" s="350">
        <f>VLOOKUP(C65,'Share, Heavy Weapons to Ukraine'!B:BF,COLUMN('Share, Heavy Weapons to Ukraine'!BF12)-1,FALSE)</f>
        <v>126</v>
      </c>
      <c r="F65" s="1365">
        <f>IF(AND(D65=0,E65=0),".",E65/D65*100)</f>
        <v>78.75</v>
      </c>
      <c r="H65" s="1372"/>
      <c r="I65" s="1372"/>
      <c r="J65" s="1372"/>
      <c r="K65" s="1372"/>
      <c r="L65" s="1372"/>
      <c r="M65" s="1380">
        <f t="shared" ref="M65:M106" si="6">VLOOKUP(N65,AZ:BA,2,0)</f>
        <v>1</v>
      </c>
      <c r="N65" s="349" t="s">
        <v>3949</v>
      </c>
      <c r="O65" s="349">
        <f>VLOOKUP(N65,'Share, Heavy Weapons to Ukraine'!B:AX,COLUMN('Share, Heavy Weapons to Ukraine'!AS13)-1,FALSE)</f>
        <v>38</v>
      </c>
      <c r="P65" s="349">
        <f>VLOOKUP(N65,'Share, Heavy Weapons to Ukraine'!B:BG,COLUMN('Share, Heavy Weapons to Ukraine'!BG13)-1,FALSE)</f>
        <v>20</v>
      </c>
      <c r="Q65" s="1365">
        <f>IF(AND(O65=0,P65=0),".",P65/O65*100)</f>
        <v>52.631578947368418</v>
      </c>
      <c r="S65" s="1372"/>
      <c r="T65" s="1372"/>
      <c r="U65" s="1372"/>
      <c r="V65" s="1372"/>
      <c r="W65" s="1372"/>
      <c r="X65" s="1380">
        <f t="shared" ref="X65:X106" si="7">VLOOKUP(Y65,AZ:BA,2,0)</f>
        <v>0</v>
      </c>
      <c r="Y65" s="349" t="s">
        <v>2989</v>
      </c>
      <c r="Z65" s="349">
        <f>VLOOKUP(Y65,'Share, Heavy Weapons to Ukraine'!B:AX,COLUMN('Share, Heavy Weapons to Ukraine'!AL19)-1,FALSE)</f>
        <v>324</v>
      </c>
      <c r="AA65" s="349">
        <f>VLOOKUP(Y65,'Share, Heavy Weapons to Ukraine'!B:AZ,COLUMN('Share, Heavy Weapons to Ukraine'!AZ19)-1,FALSE)</f>
        <v>264</v>
      </c>
      <c r="AB65" s="1365">
        <f>IF(AND(Z65=0,AA65=0),".",AA65/Z65*100)</f>
        <v>81.481481481481481</v>
      </c>
      <c r="AD65" s="1372"/>
      <c r="AE65" s="1372"/>
      <c r="AF65" s="1372"/>
      <c r="AG65" s="1372"/>
      <c r="AH65" s="1372"/>
      <c r="AI65" s="1380">
        <f t="shared" ref="AI65:AI106" si="8">VLOOKUP(AJ65,AZ:BA,2,0)</f>
        <v>1</v>
      </c>
      <c r="AJ65" s="349" t="s">
        <v>1711</v>
      </c>
      <c r="AK65" s="349">
        <f>VLOOKUP(AJ65,'Share, Heavy Weapons to Ukraine'!B:AU,COLUMN('Share, Heavy Weapons to Ukraine'!AU14)-1,FALSE)+VLOOKUP(AJ65,'Share, Heavy Weapons to Ukraine'!B:AV,COLUMN('Share, Heavy Weapons to Ukraine'!AV14)-1,FALSE)+VLOOKUP(AJ65,'Share, Heavy Weapons to Ukraine'!B:AW,COLUMN('Share, Heavy Weapons to Ukraine'!AW14)-1,FALSE)</f>
        <v>21</v>
      </c>
      <c r="AL65" s="349">
        <f>VLOOKUP(AJ65,'Share, Heavy Weapons to Ukraine'!B:BI,COLUMN('Share, Heavy Weapons to Ukraine'!BI14)-1,FALSE)+VLOOKUP(AJ65,'Share, Heavy Weapons to Ukraine'!B:BJ,COLUMN('Share, Heavy Weapons to Ukraine'!BJ14)-1,FALSE)+VLOOKUP(AJ65,'Share, Heavy Weapons to Ukraine'!B:BK,COLUMN('Share, Heavy Weapons to Ukraine'!BK14)-1,FALSE)</f>
        <v>3</v>
      </c>
      <c r="AM65" s="1365">
        <f>IF(AND(AK65=0,AL65=0),".",AL65/AK65*100)</f>
        <v>14.285714285714285</v>
      </c>
      <c r="AO65" s="1372"/>
      <c r="AP65" s="1372"/>
      <c r="AQ65" s="1372"/>
      <c r="AR65" s="1372"/>
      <c r="AS65" s="1372"/>
      <c r="AT65" s="1380">
        <f t="shared" ref="AT65:AT106" si="9">VLOOKUP(AU65,AZ:BA,2,0)</f>
        <v>1</v>
      </c>
      <c r="AU65" s="349" t="s">
        <v>2693</v>
      </c>
      <c r="AV65" s="349">
        <f>VLOOKUP(AU65,'Share, Heavy Weapons to Ukraine'!B:AP,COLUMN('Share, Heavy Weapons to Ukraine'!AP16)-1,FALSE)</f>
        <v>196</v>
      </c>
      <c r="AW65" s="349">
        <f>VLOOKUP(AU65,'Share, Heavy Weapons to Ukraine'!B:BD,COLUMN('Share, Heavy Weapons to Ukraine'!BD16)-1,FALSE)</f>
        <v>196</v>
      </c>
      <c r="AX65" s="1365">
        <f>IF(AND(AV65=0,AW65=0),".",AW65/AV65*100)</f>
        <v>100</v>
      </c>
      <c r="AZ65" s="349" t="s">
        <v>3949</v>
      </c>
      <c r="BA65" s="350">
        <v>1</v>
      </c>
    </row>
    <row r="66" spans="2:53" ht="15.95" customHeight="1">
      <c r="B66" s="1380">
        <f t="shared" si="5"/>
        <v>1</v>
      </c>
      <c r="C66" s="349" t="s">
        <v>2204</v>
      </c>
      <c r="D66" s="350">
        <f>VLOOKUP(C66,'Share, Heavy Weapons to Ukraine'!B:AX,COLUMN('Share, Heavy Weapons to Ukraine'!AR23)-1,FALSE)</f>
        <v>66</v>
      </c>
      <c r="E66" s="350">
        <f>VLOOKUP(C66,'Share, Heavy Weapons to Ukraine'!B:BF,COLUMN('Share, Heavy Weapons to Ukraine'!BF17)-1,FALSE)</f>
        <v>36</v>
      </c>
      <c r="F66" s="1365">
        <f t="shared" ref="F66:F106" si="10">IF(AND(D66=0,E66=0),".",E66/D66*100)</f>
        <v>54.54545454545454</v>
      </c>
      <c r="H66" s="1372"/>
      <c r="I66" s="1372"/>
      <c r="J66" s="1372"/>
      <c r="K66" s="1372"/>
      <c r="L66" s="1372"/>
      <c r="M66" s="1380">
        <f t="shared" si="6"/>
        <v>0</v>
      </c>
      <c r="N66" s="349" t="s">
        <v>1012</v>
      </c>
      <c r="O66" s="349">
        <f>VLOOKUP(N66,'Share, Heavy Weapons to Ukraine'!B:AX,COLUMN('Share, Heavy Weapons to Ukraine'!AS12)-1,FALSE)</f>
        <v>33</v>
      </c>
      <c r="P66" s="349">
        <f>VLOOKUP(N66,'Share, Heavy Weapons to Ukraine'!B:BG,COLUMN('Share, Heavy Weapons to Ukraine'!BG14)-1,FALSE)</f>
        <v>33</v>
      </c>
      <c r="Q66" s="1365">
        <f t="shared" ref="Q66:Q106" si="11">IF(AND(O66=0,P66=0),".",P66/O66*100)</f>
        <v>100</v>
      </c>
      <c r="S66" s="1372"/>
      <c r="T66" s="1372"/>
      <c r="U66" s="1372"/>
      <c r="V66" s="1372"/>
      <c r="W66" s="1372"/>
      <c r="X66" s="1380">
        <f t="shared" si="7"/>
        <v>0</v>
      </c>
      <c r="Y66" s="349" t="s">
        <v>1012</v>
      </c>
      <c r="Z66" s="349">
        <f>VLOOKUP(Y66,'Share, Heavy Weapons to Ukraine'!B:AX,COLUMN('Share, Heavy Weapons to Ukraine'!AL18)-1,FALSE)</f>
        <v>89</v>
      </c>
      <c r="AA66" s="349">
        <f>VLOOKUP(Y66,'Share, Heavy Weapons to Ukraine'!B:AZ,COLUMN('Share, Heavy Weapons to Ukraine'!AZ20)-1,FALSE)</f>
        <v>89</v>
      </c>
      <c r="AB66" s="1365">
        <f t="shared" ref="AB66:AB106" si="12">IF(AND(Z66=0,AA66=0),".",AA66/Z66*100)</f>
        <v>100</v>
      </c>
      <c r="AD66" s="1372"/>
      <c r="AE66" s="1372"/>
      <c r="AF66" s="1372"/>
      <c r="AG66" s="1372"/>
      <c r="AH66" s="1372"/>
      <c r="AI66" s="1380">
        <f t="shared" si="8"/>
        <v>1</v>
      </c>
      <c r="AJ66" s="349" t="s">
        <v>3949</v>
      </c>
      <c r="AK66" s="349">
        <f>VLOOKUP(AJ66,'Share, Heavy Weapons to Ukraine'!B:AU,COLUMN('Share, Heavy Weapons to Ukraine'!AU16)-1,FALSE)+VLOOKUP(AJ66,'Share, Heavy Weapons to Ukraine'!B:AV,COLUMN('Share, Heavy Weapons to Ukraine'!AV16)-1,FALSE)+VLOOKUP(AJ66,'Share, Heavy Weapons to Ukraine'!B:AW,COLUMN('Share, Heavy Weapons to Ukraine'!AW16)-1,FALSE)</f>
        <v>11</v>
      </c>
      <c r="AL66" s="349">
        <f>VLOOKUP(AJ66,'Share, Heavy Weapons to Ukraine'!B:BI,COLUMN('Share, Heavy Weapons to Ukraine'!BI16)-1,FALSE)+VLOOKUP(AJ66,'Share, Heavy Weapons to Ukraine'!B:BJ,COLUMN('Share, Heavy Weapons to Ukraine'!BJ16)-1,FALSE)+VLOOKUP(AJ66,'Share, Heavy Weapons to Ukraine'!B:BK,COLUMN('Share, Heavy Weapons to Ukraine'!BK16)-1,FALSE)</f>
        <v>8</v>
      </c>
      <c r="AM66" s="1365">
        <f t="shared" ref="AM66:AM106" si="13">IF(AND(AK66=0,AL66=0),".",AL66/AK66*100)</f>
        <v>72.727272727272734</v>
      </c>
      <c r="AO66" s="1372"/>
      <c r="AP66" s="1372"/>
      <c r="AQ66" s="1372"/>
      <c r="AR66" s="1372"/>
      <c r="AS66" s="1372"/>
      <c r="AT66" s="1380">
        <f t="shared" si="9"/>
        <v>1</v>
      </c>
      <c r="AU66" s="349" t="s">
        <v>3949</v>
      </c>
      <c r="AV66" s="349">
        <f>VLOOKUP(AU66,'Share, Heavy Weapons to Ukraine'!B:AP,COLUMN('Share, Heavy Weapons to Ukraine'!AP15)-1,FALSE)</f>
        <v>113</v>
      </c>
      <c r="AW66" s="349">
        <f>VLOOKUP(AU66,'Share, Heavy Weapons to Ukraine'!B:BD,COLUMN('Share, Heavy Weapons to Ukraine'!BD15)-1,FALSE)</f>
        <v>0</v>
      </c>
      <c r="AX66" s="1365">
        <f t="shared" ref="AX66:AX106" si="14">IF(AND(AV66=0,AW66=0),".",AW66/AV66*100)</f>
        <v>0</v>
      </c>
      <c r="AZ66" s="349" t="s">
        <v>1012</v>
      </c>
      <c r="BA66" s="349">
        <v>0</v>
      </c>
    </row>
    <row r="67" spans="2:53" ht="15.95" customHeight="1">
      <c r="B67" s="1380">
        <f t="shared" si="5"/>
        <v>1</v>
      </c>
      <c r="C67" s="349" t="s">
        <v>3748</v>
      </c>
      <c r="D67" s="350">
        <f>VLOOKUP(C67,'Share, Heavy Weapons to Ukraine'!B:AX,COLUMN('Share, Heavy Weapons to Ukraine'!AR14)-1,FALSE)</f>
        <v>58</v>
      </c>
      <c r="E67" s="350">
        <f>VLOOKUP(C67,'Share, Heavy Weapons to Ukraine'!B:BF,COLUMN('Share, Heavy Weapons to Ukraine'!BF13)-1,FALSE)</f>
        <v>28</v>
      </c>
      <c r="F67" s="1365">
        <f t="shared" si="10"/>
        <v>48.275862068965516</v>
      </c>
      <c r="H67" s="1372"/>
      <c r="I67" s="1372"/>
      <c r="J67" s="1372"/>
      <c r="K67" s="1372"/>
      <c r="L67" s="1372"/>
      <c r="M67" s="1380">
        <f t="shared" si="6"/>
        <v>1</v>
      </c>
      <c r="N67" s="349" t="s">
        <v>3748</v>
      </c>
      <c r="O67" s="349">
        <f>VLOOKUP(N67,'Share, Heavy Weapons to Ukraine'!B:AX,COLUMN('Share, Heavy Weapons to Ukraine'!AS15)-1,FALSE)</f>
        <v>6</v>
      </c>
      <c r="P67" s="349">
        <f>VLOOKUP(N67,'Share, Heavy Weapons to Ukraine'!B:BG,COLUMN('Share, Heavy Weapons to Ukraine'!BG15)-1,FALSE)</f>
        <v>3</v>
      </c>
      <c r="Q67" s="1365">
        <f t="shared" si="11"/>
        <v>50</v>
      </c>
      <c r="S67" s="1372"/>
      <c r="T67" s="1372"/>
      <c r="U67" s="1372"/>
      <c r="V67" s="1372"/>
      <c r="W67" s="1372"/>
      <c r="X67" s="1380">
        <f t="shared" si="7"/>
        <v>1</v>
      </c>
      <c r="Y67" s="349" t="s">
        <v>2693</v>
      </c>
      <c r="Z67" s="349">
        <f>VLOOKUP(Y67,'Share, Heavy Weapons to Ukraine'!B:AX,COLUMN('Share, Heavy Weapons to Ukraine'!AL15)-1,FALSE)</f>
        <v>88.666666666666657</v>
      </c>
      <c r="AA67" s="349">
        <f>VLOOKUP(Y67,'Share, Heavy Weapons to Ukraine'!B:AZ,COLUMN('Share, Heavy Weapons to Ukraine'!AZ22)-1,FALSE)</f>
        <v>18.5</v>
      </c>
      <c r="AB67" s="1365">
        <f t="shared" si="12"/>
        <v>20.86466165413534</v>
      </c>
      <c r="AD67" s="1372"/>
      <c r="AE67" s="1372"/>
      <c r="AF67" s="1372"/>
      <c r="AG67" s="1372"/>
      <c r="AH67" s="1372"/>
      <c r="AI67" s="1380">
        <f t="shared" si="8"/>
        <v>1</v>
      </c>
      <c r="AJ67" s="349" t="s">
        <v>3412</v>
      </c>
      <c r="AK67" s="349">
        <f>VLOOKUP(AJ67,'Share, Heavy Weapons to Ukraine'!B:AU,COLUMN('Share, Heavy Weapons to Ukraine'!AU21)-1,FALSE)+VLOOKUP(AJ67,'Share, Heavy Weapons to Ukraine'!B:AV,COLUMN('Share, Heavy Weapons to Ukraine'!AV21)-1,FALSE)+VLOOKUP(AJ67,'Share, Heavy Weapons to Ukraine'!B:AW,COLUMN('Share, Heavy Weapons to Ukraine'!AW21)-1,FALSE)</f>
        <v>7</v>
      </c>
      <c r="AL67" s="349">
        <f>VLOOKUP(AJ67,'Share, Heavy Weapons to Ukraine'!B:BI,COLUMN('Share, Heavy Weapons to Ukraine'!BI21)-1,FALSE)+VLOOKUP(AJ67,'Share, Heavy Weapons to Ukraine'!B:BJ,COLUMN('Share, Heavy Weapons to Ukraine'!BJ21)-1,FALSE)+VLOOKUP(AJ67,'Share, Heavy Weapons to Ukraine'!B:BK,COLUMN('Share, Heavy Weapons to Ukraine'!BK21)-1,FALSE)</f>
        <v>7</v>
      </c>
      <c r="AM67" s="1365">
        <f t="shared" si="13"/>
        <v>100</v>
      </c>
      <c r="AO67" s="1372"/>
      <c r="AP67" s="1372"/>
      <c r="AQ67" s="1372"/>
      <c r="AR67" s="1372"/>
      <c r="AS67" s="1372"/>
      <c r="AT67" s="1380">
        <f t="shared" si="9"/>
        <v>1</v>
      </c>
      <c r="AU67" s="349" t="s">
        <v>1711</v>
      </c>
      <c r="AV67" s="349">
        <f>VLOOKUP(AU67,'Share, Heavy Weapons to Ukraine'!B:AP,COLUMN('Share, Heavy Weapons to Ukraine'!AP13)-1,FALSE)</f>
        <v>60</v>
      </c>
      <c r="AW67" s="349">
        <f>VLOOKUP(AU67,'Share, Heavy Weapons to Ukraine'!B:BD,COLUMN('Share, Heavy Weapons to Ukraine'!BD13)-1,FALSE)</f>
        <v>40</v>
      </c>
      <c r="AX67" s="1365">
        <f t="shared" si="14"/>
        <v>66.666666666666657</v>
      </c>
      <c r="AZ67" s="349" t="s">
        <v>3748</v>
      </c>
      <c r="BA67" s="349">
        <v>1</v>
      </c>
    </row>
    <row r="68" spans="2:53" ht="15.95" customHeight="1">
      <c r="B68" s="1380">
        <f t="shared" si="5"/>
        <v>0</v>
      </c>
      <c r="C68" s="349" t="s">
        <v>2989</v>
      </c>
      <c r="D68" s="350">
        <f>VLOOKUP(C68,'Share, Heavy Weapons to Ukraine'!B:AX,COLUMN('Share, Heavy Weapons to Ukraine'!AR17)-1,FALSE)</f>
        <v>54</v>
      </c>
      <c r="E68" s="350">
        <f>VLOOKUP(C68,'Share, Heavy Weapons to Ukraine'!B:BF,COLUMN('Share, Heavy Weapons to Ukraine'!BF14)-1,FALSE)</f>
        <v>54</v>
      </c>
      <c r="F68" s="1365">
        <f t="shared" si="10"/>
        <v>100</v>
      </c>
      <c r="H68" s="1372"/>
      <c r="I68" s="1372"/>
      <c r="J68" s="1372"/>
      <c r="K68" s="1372"/>
      <c r="L68" s="1372"/>
      <c r="M68" s="1380">
        <f t="shared" si="6"/>
        <v>1</v>
      </c>
      <c r="N68" s="349" t="s">
        <v>1711</v>
      </c>
      <c r="O68" s="349">
        <f>VLOOKUP(N68,'Share, Heavy Weapons to Ukraine'!B:AX,COLUMN('Share, Heavy Weapons to Ukraine'!AS14)-1,FALSE)</f>
        <v>5</v>
      </c>
      <c r="P68" s="349">
        <f>VLOOKUP(N68,'Share, Heavy Weapons to Ukraine'!B:BG,COLUMN('Share, Heavy Weapons to Ukraine'!BG16)-1,FALSE)</f>
        <v>5</v>
      </c>
      <c r="Q68" s="1365">
        <f t="shared" si="11"/>
        <v>100</v>
      </c>
      <c r="S68" s="1372"/>
      <c r="T68" s="1372"/>
      <c r="U68" s="1372"/>
      <c r="V68" s="1372"/>
      <c r="W68" s="1372"/>
      <c r="X68" s="1380">
        <f t="shared" si="7"/>
        <v>1</v>
      </c>
      <c r="Y68" s="349" t="s">
        <v>3949</v>
      </c>
      <c r="Z68" s="349">
        <f>VLOOKUP(Y68,'Share, Heavy Weapons to Ukraine'!B:AX,COLUMN('Share, Heavy Weapons to Ukraine'!AL27)-1,FALSE)</f>
        <v>76</v>
      </c>
      <c r="AA68" s="349">
        <f>VLOOKUP(Y68,'Share, Heavy Weapons to Ukraine'!B:AZ,COLUMN('Share, Heavy Weapons to Ukraine'!AZ21)-1,FALSE)</f>
        <v>18.5</v>
      </c>
      <c r="AB68" s="1365">
        <f t="shared" si="12"/>
        <v>24.342105263157894</v>
      </c>
      <c r="AD68" s="1372"/>
      <c r="AE68" s="1372"/>
      <c r="AF68" s="1372"/>
      <c r="AG68" s="1372"/>
      <c r="AH68" s="1372"/>
      <c r="AI68" s="1380">
        <f t="shared" si="8"/>
        <v>0</v>
      </c>
      <c r="AJ68" s="349" t="s">
        <v>3261</v>
      </c>
      <c r="AK68" s="349">
        <f>VLOOKUP(AJ68,'Share, Heavy Weapons to Ukraine'!B:AU,COLUMN('Share, Heavy Weapons to Ukraine'!AU38)-1,FALSE)+VLOOKUP(AJ68,'Share, Heavy Weapons to Ukraine'!B:AV,COLUMN('Share, Heavy Weapons to Ukraine'!AV38)-1,FALSE)+VLOOKUP(AJ68,'Share, Heavy Weapons to Ukraine'!B:AW,COLUMN('Share, Heavy Weapons to Ukraine'!AW38)-1,FALSE)</f>
        <v>3</v>
      </c>
      <c r="AL68" s="349">
        <f>VLOOKUP(AJ68,'Share, Heavy Weapons to Ukraine'!B:BI,COLUMN('Share, Heavy Weapons to Ukraine'!BI38)-1,FALSE)+VLOOKUP(AJ68,'Share, Heavy Weapons to Ukraine'!B:BJ,COLUMN('Share, Heavy Weapons to Ukraine'!BJ38)-1,FALSE)+VLOOKUP(AJ68,'Share, Heavy Weapons to Ukraine'!B:BK,COLUMN('Share, Heavy Weapons to Ukraine'!BK38)-1,FALSE)</f>
        <v>3</v>
      </c>
      <c r="AM68" s="1365">
        <f t="shared" si="13"/>
        <v>100</v>
      </c>
      <c r="AO68" s="1372"/>
      <c r="AP68" s="1372"/>
      <c r="AQ68" s="1372"/>
      <c r="AR68" s="1372"/>
      <c r="AS68" s="1372"/>
      <c r="AT68" s="1380">
        <f t="shared" si="9"/>
        <v>1</v>
      </c>
      <c r="AU68" s="349" t="s">
        <v>1973</v>
      </c>
      <c r="AV68" s="349">
        <f>VLOOKUP(AU68,'Share, Heavy Weapons to Ukraine'!B:AP,COLUMN('Share, Heavy Weapons to Ukraine'!AP30)-1,FALSE)</f>
        <v>60</v>
      </c>
      <c r="AW68" s="349">
        <f>VLOOKUP(AU68,'Share, Heavy Weapons to Ukraine'!B:BD,COLUMN('Share, Heavy Weapons to Ukraine'!BD30)-1,FALSE)</f>
        <v>60</v>
      </c>
      <c r="AX68" s="1365">
        <f t="shared" si="14"/>
        <v>100</v>
      </c>
      <c r="AZ68" s="349" t="s">
        <v>1711</v>
      </c>
      <c r="BA68" s="349">
        <v>1</v>
      </c>
    </row>
    <row r="69" spans="2:53" ht="15.95" customHeight="1">
      <c r="B69" s="1380">
        <f t="shared" si="5"/>
        <v>0</v>
      </c>
      <c r="C69" s="349" t="s">
        <v>1012</v>
      </c>
      <c r="D69" s="350">
        <f>VLOOKUP(C69,'Share, Heavy Weapons to Ukraine'!B:AX,COLUMN('Share, Heavy Weapons to Ukraine'!AR30)-1,FALSE)</f>
        <v>38</v>
      </c>
      <c r="E69" s="350">
        <f>VLOOKUP(C69,'Share, Heavy Weapons to Ukraine'!B:BF,COLUMN('Share, Heavy Weapons to Ukraine'!BF15)-1,FALSE)</f>
        <v>38</v>
      </c>
      <c r="F69" s="1365">
        <f t="shared" si="10"/>
        <v>100</v>
      </c>
      <c r="H69" s="1372"/>
      <c r="I69" s="1372"/>
      <c r="J69" s="1372"/>
      <c r="K69" s="1372"/>
      <c r="L69" s="1372"/>
      <c r="M69" s="1380">
        <f t="shared" si="6"/>
        <v>1</v>
      </c>
      <c r="N69" s="349" t="s">
        <v>2882</v>
      </c>
      <c r="O69" s="349">
        <f>VLOOKUP(N69,'Share, Heavy Weapons to Ukraine'!B:AX,COLUMN('Share, Heavy Weapons to Ukraine'!AS16)-1,FALSE)</f>
        <v>3</v>
      </c>
      <c r="P69" s="349">
        <f>VLOOKUP(N69,'Share, Heavy Weapons to Ukraine'!B:BG,COLUMN('Share, Heavy Weapons to Ukraine'!BG17)-1,FALSE)</f>
        <v>3</v>
      </c>
      <c r="Q69" s="1365">
        <f t="shared" si="11"/>
        <v>100</v>
      </c>
      <c r="S69" s="1372"/>
      <c r="T69" s="1372"/>
      <c r="U69" s="1372"/>
      <c r="V69" s="1372"/>
      <c r="W69" s="1372"/>
      <c r="X69" s="1380">
        <f t="shared" si="7"/>
        <v>1</v>
      </c>
      <c r="Y69" s="349" t="s">
        <v>1711</v>
      </c>
      <c r="Z69" s="349">
        <f>VLOOKUP(Y69,'Share, Heavy Weapons to Ukraine'!B:AX,COLUMN('Share, Heavy Weapons to Ukraine'!AL29)-1,FALSE)</f>
        <v>55</v>
      </c>
      <c r="AA69" s="349">
        <f>VLOOKUP(Y69,'Share, Heavy Weapons to Ukraine'!B:AZ,COLUMN('Share, Heavy Weapons to Ukraine'!AZ24)-1,FALSE)</f>
        <v>18</v>
      </c>
      <c r="AB69" s="1365">
        <f t="shared" si="12"/>
        <v>32.727272727272727</v>
      </c>
      <c r="AD69" s="1372"/>
      <c r="AE69" s="1372"/>
      <c r="AF69" s="1372"/>
      <c r="AG69" s="1372"/>
      <c r="AH69" s="1372"/>
      <c r="AI69" s="1380">
        <f t="shared" si="8"/>
        <v>0</v>
      </c>
      <c r="AJ69" s="349" t="s">
        <v>1012</v>
      </c>
      <c r="AK69" s="349">
        <f>VLOOKUP(AJ69,'Share, Heavy Weapons to Ukraine'!B:AU,COLUMN('Share, Heavy Weapons to Ukraine'!AU15)-1,FALSE)+VLOOKUP(AJ69,'Share, Heavy Weapons to Ukraine'!B:AV,COLUMN('Share, Heavy Weapons to Ukraine'!AV15)-1,FALSE)+VLOOKUP(AJ69,'Share, Heavy Weapons to Ukraine'!B:AW,COLUMN('Share, Heavy Weapons to Ukraine'!AW15)-1,FALSE)</f>
        <v>2</v>
      </c>
      <c r="AL69" s="349">
        <f>VLOOKUP(AJ69,'Share, Heavy Weapons to Ukraine'!B:BI,COLUMN('Share, Heavy Weapons to Ukraine'!BI15)-1,FALSE)+VLOOKUP(AJ69,'Share, Heavy Weapons to Ukraine'!B:BJ,COLUMN('Share, Heavy Weapons to Ukraine'!BJ15)-1,FALSE)+VLOOKUP(AJ69,'Share, Heavy Weapons to Ukraine'!B:BK,COLUMN('Share, Heavy Weapons to Ukraine'!BK15)-1,FALSE)</f>
        <v>0</v>
      </c>
      <c r="AM69" s="1365">
        <f t="shared" si="13"/>
        <v>0</v>
      </c>
      <c r="AO69" s="1372"/>
      <c r="AP69" s="1372"/>
      <c r="AQ69" s="1372"/>
      <c r="AR69" s="1372"/>
      <c r="AS69" s="1372"/>
      <c r="AT69" s="1380">
        <f t="shared" si="9"/>
        <v>1</v>
      </c>
      <c r="AU69" s="349" t="s">
        <v>3548</v>
      </c>
      <c r="AV69" s="349">
        <f>VLOOKUP(AU69,'Share, Heavy Weapons to Ukraine'!B:AP,COLUMN('Share, Heavy Weapons to Ukraine'!AP19)-1,FALSE)</f>
        <v>50</v>
      </c>
      <c r="AW69" s="349">
        <f>VLOOKUP(AU69,'Share, Heavy Weapons to Ukraine'!B:BD,COLUMN('Share, Heavy Weapons to Ukraine'!BD19)-1,FALSE)</f>
        <v>0</v>
      </c>
      <c r="AX69" s="1365">
        <f t="shared" si="14"/>
        <v>0</v>
      </c>
      <c r="AZ69" s="349" t="s">
        <v>2882</v>
      </c>
      <c r="BA69" s="349">
        <v>1</v>
      </c>
    </row>
    <row r="70" spans="2:53" ht="15.95" customHeight="1">
      <c r="B70" s="1380">
        <f t="shared" si="5"/>
        <v>1</v>
      </c>
      <c r="C70" s="349" t="s">
        <v>1711</v>
      </c>
      <c r="D70" s="350">
        <f>VLOOKUP(C70,'Share, Heavy Weapons to Ukraine'!B:AX,COLUMN('Share, Heavy Weapons to Ukraine'!AR13)-1,FALSE)</f>
        <v>37.333333333333329</v>
      </c>
      <c r="E70" s="350">
        <f>VLOOKUP(C70,'Share, Heavy Weapons to Ukraine'!B:BF,COLUMN('Share, Heavy Weapons to Ukraine'!BF16)-1,FALSE)</f>
        <v>14</v>
      </c>
      <c r="F70" s="1365">
        <f t="shared" si="10"/>
        <v>37.500000000000007</v>
      </c>
      <c r="H70" s="1372"/>
      <c r="I70" s="1372"/>
      <c r="J70" s="1372"/>
      <c r="K70" s="1372"/>
      <c r="L70" s="1372"/>
      <c r="M70" s="1380">
        <f t="shared" si="6"/>
        <v>1</v>
      </c>
      <c r="N70" s="349" t="s">
        <v>1523</v>
      </c>
      <c r="O70" s="349">
        <f>VLOOKUP(N70,'Share, Heavy Weapons to Ukraine'!B:AX,COLUMN('Share, Heavy Weapons to Ukraine'!AS17)-1,FALSE)</f>
        <v>2</v>
      </c>
      <c r="P70" s="349">
        <f>VLOOKUP(N70,'Share, Heavy Weapons to Ukraine'!B:BG,COLUMN('Share, Heavy Weapons to Ukraine'!BG18)-1,FALSE)</f>
        <v>2</v>
      </c>
      <c r="Q70" s="1365">
        <f t="shared" si="11"/>
        <v>100</v>
      </c>
      <c r="S70" s="1372"/>
      <c r="T70" s="1372"/>
      <c r="U70" s="1372"/>
      <c r="V70" s="1372"/>
      <c r="W70" s="1372"/>
      <c r="X70" s="1380">
        <f t="shared" si="7"/>
        <v>1</v>
      </c>
      <c r="Y70" s="349" t="s">
        <v>1194</v>
      </c>
      <c r="Z70" s="349">
        <f>VLOOKUP(Y70,'Share, Heavy Weapons to Ukraine'!B:AX,COLUMN('Share, Heavy Weapons to Ukraine'!AL41)-1,FALSE)</f>
        <v>43.666666666666664</v>
      </c>
      <c r="AA70" s="349">
        <f>VLOOKUP(Y70,'Share, Heavy Weapons to Ukraine'!B:AZ,COLUMN('Share, Heavy Weapons to Ukraine'!AZ40)-1,FALSE)</f>
        <v>0</v>
      </c>
      <c r="AB70" s="1365">
        <f t="shared" si="12"/>
        <v>0</v>
      </c>
      <c r="AD70" s="1372"/>
      <c r="AE70" s="1372"/>
      <c r="AF70" s="1372"/>
      <c r="AG70" s="1372"/>
      <c r="AH70" s="1372"/>
      <c r="AI70" s="1380">
        <f t="shared" si="8"/>
        <v>1</v>
      </c>
      <c r="AJ70" s="349" t="s">
        <v>2693</v>
      </c>
      <c r="AK70" s="349">
        <f>VLOOKUP(AJ70,'Share, Heavy Weapons to Ukraine'!B:AU,COLUMN('Share, Heavy Weapons to Ukraine'!AU17)-1,FALSE)+VLOOKUP(AJ70,'Share, Heavy Weapons to Ukraine'!B:AV,COLUMN('Share, Heavy Weapons to Ukraine'!AV17)-1,FALSE)+VLOOKUP(AJ70,'Share, Heavy Weapons to Ukraine'!B:AW,COLUMN('Share, Heavy Weapons to Ukraine'!AW17)-1,FALSE)</f>
        <v>2</v>
      </c>
      <c r="AL70" s="349">
        <f>VLOOKUP(AJ70,'Share, Heavy Weapons to Ukraine'!B:BI,COLUMN('Share, Heavy Weapons to Ukraine'!BI17)-1,FALSE)+VLOOKUP(AJ70,'Share, Heavy Weapons to Ukraine'!B:BJ,COLUMN('Share, Heavy Weapons to Ukraine'!BJ17)-1,FALSE)+VLOOKUP(AJ70,'Share, Heavy Weapons to Ukraine'!B:BK,COLUMN('Share, Heavy Weapons to Ukraine'!BK17)-1,FALSE)</f>
        <v>0</v>
      </c>
      <c r="AM70" s="1365">
        <f t="shared" si="13"/>
        <v>0</v>
      </c>
      <c r="AO70" s="1372"/>
      <c r="AP70" s="1372"/>
      <c r="AQ70" s="1372"/>
      <c r="AR70" s="1372"/>
      <c r="AS70" s="1372"/>
      <c r="AT70" s="1380">
        <f t="shared" si="9"/>
        <v>0</v>
      </c>
      <c r="AU70" s="349" t="s">
        <v>2989</v>
      </c>
      <c r="AV70" s="349">
        <f>VLOOKUP(AU70,'Share, Heavy Weapons to Ukraine'!B:AP,COLUMN('Share, Heavy Weapons to Ukraine'!AP12)-1,FALSE)</f>
        <v>42</v>
      </c>
      <c r="AW70" s="349">
        <f>VLOOKUP(AU70,'Share, Heavy Weapons to Ukraine'!B:BD,COLUMN('Share, Heavy Weapons to Ukraine'!BD12)-1,FALSE)</f>
        <v>42</v>
      </c>
      <c r="AX70" s="1365">
        <f t="shared" si="14"/>
        <v>100</v>
      </c>
      <c r="AZ70" s="349" t="s">
        <v>1523</v>
      </c>
      <c r="BA70" s="349">
        <v>1</v>
      </c>
    </row>
    <row r="71" spans="2:53" ht="15.95" customHeight="1">
      <c r="B71" s="1380">
        <f t="shared" si="5"/>
        <v>1</v>
      </c>
      <c r="C71" s="349" t="s">
        <v>1523</v>
      </c>
      <c r="D71" s="350">
        <f>VLOOKUP(C71,'Share, Heavy Weapons to Ukraine'!B:AX,COLUMN('Share, Heavy Weapons to Ukraine'!AR15)-1,FALSE)</f>
        <v>30</v>
      </c>
      <c r="E71" s="350">
        <f>VLOOKUP(C71,'Share, Heavy Weapons to Ukraine'!B:BF,COLUMN('Share, Heavy Weapons to Ukraine'!BF18)-1,FALSE)</f>
        <v>18</v>
      </c>
      <c r="F71" s="1365">
        <f t="shared" si="10"/>
        <v>60</v>
      </c>
      <c r="H71" s="1372"/>
      <c r="I71" s="1372"/>
      <c r="J71" s="1372"/>
      <c r="K71" s="1372"/>
      <c r="L71" s="1372"/>
      <c r="M71" s="1380">
        <f t="shared" si="6"/>
        <v>1</v>
      </c>
      <c r="N71" s="349" t="s">
        <v>2204</v>
      </c>
      <c r="O71" s="349">
        <f>VLOOKUP(N71,'Share, Heavy Weapons to Ukraine'!B:AX,COLUMN('Share, Heavy Weapons to Ukraine'!AS20)-1,FALSE)</f>
        <v>2</v>
      </c>
      <c r="P71" s="349">
        <f>VLOOKUP(N71,'Share, Heavy Weapons to Ukraine'!B:BG,COLUMN('Share, Heavy Weapons to Ukraine'!BG19)-1,FALSE)</f>
        <v>0</v>
      </c>
      <c r="Q71" s="1365">
        <f t="shared" si="11"/>
        <v>0</v>
      </c>
      <c r="S71" s="1372"/>
      <c r="T71" s="1372"/>
      <c r="U71" s="1372"/>
      <c r="V71" s="1372"/>
      <c r="W71" s="1372"/>
      <c r="X71" s="1380">
        <f t="shared" si="7"/>
        <v>0</v>
      </c>
      <c r="Y71" s="349" t="s">
        <v>3337</v>
      </c>
      <c r="Z71" s="349">
        <f>VLOOKUP(Y71,'Share, Heavy Weapons to Ukraine'!B:AX,COLUMN('Share, Heavy Weapons to Ukraine'!AL20)-1,FALSE)</f>
        <v>28</v>
      </c>
      <c r="AA71" s="349">
        <f>VLOOKUP(Y71,'Share, Heavy Weapons to Ukraine'!B:AZ,COLUMN('Share, Heavy Weapons to Ukraine'!AZ23)-1,FALSE)</f>
        <v>28</v>
      </c>
      <c r="AB71" s="1365">
        <f t="shared" si="12"/>
        <v>100</v>
      </c>
      <c r="AD71" s="1372"/>
      <c r="AE71" s="1372"/>
      <c r="AF71" s="1372"/>
      <c r="AG71" s="1372"/>
      <c r="AH71" s="1372"/>
      <c r="AI71" s="1380">
        <f t="shared" si="8"/>
        <v>1</v>
      </c>
      <c r="AJ71" s="349" t="s">
        <v>2882</v>
      </c>
      <c r="AK71" s="349">
        <f>VLOOKUP(AJ71,'Share, Heavy Weapons to Ukraine'!B:AU,COLUMN('Share, Heavy Weapons to Ukraine'!AU23)-1,FALSE)+VLOOKUP(AJ71,'Share, Heavy Weapons to Ukraine'!B:AV,COLUMN('Share, Heavy Weapons to Ukraine'!AV23)-1,FALSE)+VLOOKUP(AJ71,'Share, Heavy Weapons to Ukraine'!B:AW,COLUMN('Share, Heavy Weapons to Ukraine'!AW23)-1,FALSE)</f>
        <v>2</v>
      </c>
      <c r="AL71" s="349">
        <f>VLOOKUP(AJ71,'Share, Heavy Weapons to Ukraine'!B:BI,COLUMN('Share, Heavy Weapons to Ukraine'!BI23)-1,FALSE)+VLOOKUP(AJ71,'Share, Heavy Weapons to Ukraine'!B:BJ,COLUMN('Share, Heavy Weapons to Ukraine'!BJ23)-1,FALSE)+VLOOKUP(AJ71,'Share, Heavy Weapons to Ukraine'!B:BK,COLUMN('Share, Heavy Weapons to Ukraine'!BK23)-1,FALSE)</f>
        <v>0</v>
      </c>
      <c r="AM71" s="1365">
        <f t="shared" si="13"/>
        <v>0</v>
      </c>
      <c r="AO71" s="1372"/>
      <c r="AP71" s="1372"/>
      <c r="AQ71" s="1372"/>
      <c r="AR71" s="1372"/>
      <c r="AS71" s="1372"/>
      <c r="AT71" s="1380">
        <f t="shared" si="9"/>
        <v>0</v>
      </c>
      <c r="AU71" s="349" t="s">
        <v>3337</v>
      </c>
      <c r="AV71" s="349">
        <f>VLOOKUP(AU71,'Share, Heavy Weapons to Ukraine'!B:AP,COLUMN('Share, Heavy Weapons to Ukraine'!AP17)-1,FALSE)</f>
        <v>35</v>
      </c>
      <c r="AW71" s="349">
        <f>VLOOKUP(AU71,'Share, Heavy Weapons to Ukraine'!B:BD,COLUMN('Share, Heavy Weapons to Ukraine'!BD17)-1,FALSE)</f>
        <v>35</v>
      </c>
      <c r="AX71" s="1365">
        <f t="shared" si="14"/>
        <v>100</v>
      </c>
      <c r="AZ71" s="349" t="s">
        <v>2204</v>
      </c>
      <c r="BA71" s="349">
        <v>1</v>
      </c>
    </row>
    <row r="72" spans="2:53" ht="15.95" customHeight="1">
      <c r="B72" s="1380">
        <f t="shared" si="5"/>
        <v>1</v>
      </c>
      <c r="C72" s="349" t="s">
        <v>2882</v>
      </c>
      <c r="D72" s="350">
        <f>VLOOKUP(C72,'Share, Heavy Weapons to Ukraine'!B:AX,COLUMN('Share, Heavy Weapons to Ukraine'!AR16)-1,FALSE)</f>
        <v>27.333333333333332</v>
      </c>
      <c r="E72" s="350">
        <f>VLOOKUP(C72,'Share, Heavy Weapons to Ukraine'!B:BF,COLUMN('Share, Heavy Weapons to Ukraine'!BF19)-1,FALSE)</f>
        <v>22</v>
      </c>
      <c r="F72" s="1365">
        <f t="shared" si="10"/>
        <v>80.487804878048792</v>
      </c>
      <c r="H72" s="1372"/>
      <c r="I72" s="1372"/>
      <c r="J72" s="1372"/>
      <c r="K72" s="1372"/>
      <c r="L72" s="1372"/>
      <c r="M72" s="1380">
        <f t="shared" si="6"/>
        <v>1</v>
      </c>
      <c r="N72" s="349" t="s">
        <v>3162</v>
      </c>
      <c r="O72" s="349">
        <f>VLOOKUP(N72,'Share, Heavy Weapons to Ukraine'!B:AX,COLUMN('Share, Heavy Weapons to Ukraine'!AS18)-1,FALSE)</f>
        <v>0</v>
      </c>
      <c r="P72" s="349">
        <f>VLOOKUP(N72,'Share, Heavy Weapons to Ukraine'!B:BG,COLUMN('Share, Heavy Weapons to Ukraine'!BG20)-1,FALSE)</f>
        <v>0</v>
      </c>
      <c r="Q72" s="1365" t="str">
        <f t="shared" si="11"/>
        <v>.</v>
      </c>
      <c r="S72" s="1372"/>
      <c r="T72" s="1372"/>
      <c r="U72" s="1372"/>
      <c r="V72" s="1372"/>
      <c r="W72" s="1372"/>
      <c r="X72" s="1380">
        <f t="shared" si="7"/>
        <v>1</v>
      </c>
      <c r="Y72" s="349" t="s">
        <v>3748</v>
      </c>
      <c r="Z72" s="349">
        <f>VLOOKUP(Y72,'Share, Heavy Weapons to Ukraine'!B:AX,COLUMN('Share, Heavy Weapons to Ukraine'!AL23)-1,FALSE)</f>
        <v>14</v>
      </c>
      <c r="AA72" s="349">
        <f>VLOOKUP(Y72,'Share, Heavy Weapons to Ukraine'!B:AZ,COLUMN('Share, Heavy Weapons to Ukraine'!AZ25)-1,FALSE)</f>
        <v>14</v>
      </c>
      <c r="AB72" s="1365">
        <f t="shared" si="12"/>
        <v>100</v>
      </c>
      <c r="AD72" s="1372"/>
      <c r="AE72" s="1372"/>
      <c r="AF72" s="1372"/>
      <c r="AG72" s="1372"/>
      <c r="AH72" s="1372"/>
      <c r="AI72" s="1380">
        <f t="shared" si="8"/>
        <v>1</v>
      </c>
      <c r="AJ72" s="349" t="s">
        <v>1523</v>
      </c>
      <c r="AK72" s="349">
        <f>VLOOKUP(AJ72,'Share, Heavy Weapons to Ukraine'!B:AU,COLUMN('Share, Heavy Weapons to Ukraine'!AU26)-1,FALSE)+VLOOKUP(AJ72,'Share, Heavy Weapons to Ukraine'!B:AV,COLUMN('Share, Heavy Weapons to Ukraine'!AV26)-1,FALSE)+VLOOKUP(AJ72,'Share, Heavy Weapons to Ukraine'!B:AW,COLUMN('Share, Heavy Weapons to Ukraine'!AW26)-1,FALSE)</f>
        <v>2</v>
      </c>
      <c r="AL72" s="349">
        <f>VLOOKUP(AJ72,'Share, Heavy Weapons to Ukraine'!B:BI,COLUMN('Share, Heavy Weapons to Ukraine'!BI26)-1,FALSE)+VLOOKUP(AJ72,'Share, Heavy Weapons to Ukraine'!B:BJ,COLUMN('Share, Heavy Weapons to Ukraine'!BJ26)-1,FALSE)+VLOOKUP(AJ72,'Share, Heavy Weapons to Ukraine'!B:BK,COLUMN('Share, Heavy Weapons to Ukraine'!BK26)-1,FALSE)</f>
        <v>2</v>
      </c>
      <c r="AM72" s="1365">
        <f t="shared" si="13"/>
        <v>100</v>
      </c>
      <c r="AO72" s="1372"/>
      <c r="AP72" s="1372"/>
      <c r="AQ72" s="1372"/>
      <c r="AR72" s="1372"/>
      <c r="AS72" s="1372"/>
      <c r="AT72" s="1380">
        <f t="shared" si="9"/>
        <v>0</v>
      </c>
      <c r="AU72" s="349" t="s">
        <v>3261</v>
      </c>
      <c r="AV72" s="349">
        <f>VLOOKUP(AU72,'Share, Heavy Weapons to Ukraine'!B:AP,COLUMN('Share, Heavy Weapons to Ukraine'!AP37)-1,FALSE)</f>
        <v>30</v>
      </c>
      <c r="AW72" s="349">
        <f>VLOOKUP(AU72,'Share, Heavy Weapons to Ukraine'!B:BD,COLUMN('Share, Heavy Weapons to Ukraine'!BD37)-1,FALSE)</f>
        <v>30</v>
      </c>
      <c r="AX72" s="1365">
        <f t="shared" si="14"/>
        <v>100</v>
      </c>
      <c r="AZ72" s="349" t="s">
        <v>3162</v>
      </c>
      <c r="BA72" s="349">
        <v>1</v>
      </c>
    </row>
    <row r="73" spans="2:53" ht="15.95" customHeight="1">
      <c r="B73" s="1380">
        <f t="shared" si="5"/>
        <v>1</v>
      </c>
      <c r="C73" s="349" t="s">
        <v>1194</v>
      </c>
      <c r="D73" s="350">
        <f>VLOOKUP(C73,'Share, Heavy Weapons to Ukraine'!B:AX,COLUMN('Share, Heavy Weapons to Ukraine'!AR19)-1,FALSE)</f>
        <v>24.333333333333332</v>
      </c>
      <c r="E73" s="350">
        <f>VLOOKUP(C73,'Share, Heavy Weapons to Ukraine'!B:BF,COLUMN('Share, Heavy Weapons to Ukraine'!BF20)-1,FALSE)</f>
        <v>19</v>
      </c>
      <c r="F73" s="1365">
        <f t="shared" si="10"/>
        <v>78.082191780821915</v>
      </c>
      <c r="H73" s="1372"/>
      <c r="I73" s="1372"/>
      <c r="J73" s="1372"/>
      <c r="K73" s="1372"/>
      <c r="L73" s="1372"/>
      <c r="M73" s="1380">
        <f t="shared" si="6"/>
        <v>1</v>
      </c>
      <c r="N73" s="349" t="s">
        <v>359</v>
      </c>
      <c r="O73" s="349">
        <f>VLOOKUP(N73,'Share, Heavy Weapons to Ukraine'!B:AX,COLUMN('Share, Heavy Weapons to Ukraine'!AS19)-1,FALSE)</f>
        <v>0</v>
      </c>
      <c r="P73" s="349">
        <f>VLOOKUP(N73,'Share, Heavy Weapons to Ukraine'!B:BG,COLUMN('Share, Heavy Weapons to Ukraine'!BG21)-1,FALSE)</f>
        <v>0</v>
      </c>
      <c r="Q73" s="1365" t="str">
        <f t="shared" si="11"/>
        <v>.</v>
      </c>
      <c r="S73" s="1372"/>
      <c r="T73" s="1372"/>
      <c r="U73" s="1372"/>
      <c r="V73" s="1372"/>
      <c r="W73" s="1372"/>
      <c r="X73" s="1380">
        <f t="shared" si="7"/>
        <v>1</v>
      </c>
      <c r="Y73" s="349" t="s">
        <v>3548</v>
      </c>
      <c r="Z73" s="349">
        <f>VLOOKUP(Y73,'Share, Heavy Weapons to Ukraine'!B:AX,COLUMN('Share, Heavy Weapons to Ukraine'!AL35)-1,FALSE)</f>
        <v>10</v>
      </c>
      <c r="AA73" s="349">
        <f>VLOOKUP(Y73,'Share, Heavy Weapons to Ukraine'!B:AZ,COLUMN('Share, Heavy Weapons to Ukraine'!AZ26)-1,FALSE)</f>
        <v>0</v>
      </c>
      <c r="AB73" s="1365">
        <f t="shared" si="12"/>
        <v>0</v>
      </c>
      <c r="AD73" s="1372"/>
      <c r="AE73" s="1372"/>
      <c r="AF73" s="1372"/>
      <c r="AG73" s="1372"/>
      <c r="AH73" s="1372"/>
      <c r="AI73" s="1380">
        <f t="shared" si="8"/>
        <v>1</v>
      </c>
      <c r="AJ73" s="349" t="s">
        <v>2204</v>
      </c>
      <c r="AK73" s="349">
        <f>VLOOKUP(AJ73,'Share, Heavy Weapons to Ukraine'!B:AU,COLUMN('Share, Heavy Weapons to Ukraine'!AU29)-1,FALSE)+VLOOKUP(AJ73,'Share, Heavy Weapons to Ukraine'!B:AV,COLUMN('Share, Heavy Weapons to Ukraine'!AV29)-1,FALSE)+VLOOKUP(AJ73,'Share, Heavy Weapons to Ukraine'!B:AW,COLUMN('Share, Heavy Weapons to Ukraine'!AW29)-1,FALSE)</f>
        <v>1</v>
      </c>
      <c r="AL73" s="349">
        <f>VLOOKUP(AJ73,'Share, Heavy Weapons to Ukraine'!B:BI,COLUMN('Share, Heavy Weapons to Ukraine'!BI29)-1,FALSE)+VLOOKUP(AJ73,'Share, Heavy Weapons to Ukraine'!B:BJ,COLUMN('Share, Heavy Weapons to Ukraine'!BJ29)-1,FALSE)+VLOOKUP(AJ73,'Share, Heavy Weapons to Ukraine'!B:BK,COLUMN('Share, Heavy Weapons to Ukraine'!BK29)-1,FALSE)</f>
        <v>1</v>
      </c>
      <c r="AM73" s="1365">
        <f t="shared" si="13"/>
        <v>100</v>
      </c>
      <c r="AO73" s="1372"/>
      <c r="AP73" s="1372"/>
      <c r="AQ73" s="1372"/>
      <c r="AR73" s="1372"/>
      <c r="AS73" s="1372"/>
      <c r="AT73" s="1380">
        <f t="shared" si="9"/>
        <v>0</v>
      </c>
      <c r="AU73" s="349" t="s">
        <v>1012</v>
      </c>
      <c r="AV73" s="349">
        <f>VLOOKUP(AU73,'Share, Heavy Weapons to Ukraine'!B:AP,COLUMN('Share, Heavy Weapons to Ukraine'!AP14)-1,FALSE)</f>
        <v>4</v>
      </c>
      <c r="AW73" s="349">
        <f>VLOOKUP(AU73,'Share, Heavy Weapons to Ukraine'!B:BD,COLUMN('Share, Heavy Weapons to Ukraine'!BD14)-1,FALSE)</f>
        <v>4</v>
      </c>
      <c r="AX73" s="1365">
        <f t="shared" si="14"/>
        <v>100</v>
      </c>
      <c r="AZ73" s="349" t="s">
        <v>359</v>
      </c>
      <c r="BA73" s="349">
        <v>1</v>
      </c>
    </row>
    <row r="74" spans="2:53" ht="15.95" customHeight="1">
      <c r="B74" s="1380">
        <f t="shared" si="5"/>
        <v>0</v>
      </c>
      <c r="C74" s="349" t="s">
        <v>1305</v>
      </c>
      <c r="D74" s="350">
        <f>VLOOKUP(C74,'Share, Heavy Weapons to Ukraine'!B:AX,COLUMN('Share, Heavy Weapons to Ukraine'!AR41)-1,FALSE)</f>
        <v>24</v>
      </c>
      <c r="E74" s="350">
        <f>VLOOKUP(C74,'Share, Heavy Weapons to Ukraine'!B:BF,COLUMN('Share, Heavy Weapons to Ukraine'!BF21)-1,FALSE)</f>
        <v>0</v>
      </c>
      <c r="F74" s="1365">
        <f t="shared" si="10"/>
        <v>0</v>
      </c>
      <c r="H74" s="1372"/>
      <c r="I74" s="1372"/>
      <c r="J74" s="1372"/>
      <c r="K74" s="1372"/>
      <c r="L74" s="1372"/>
      <c r="M74" s="1380">
        <f t="shared" si="6"/>
        <v>1</v>
      </c>
      <c r="N74" s="349" t="s">
        <v>713</v>
      </c>
      <c r="O74" s="349">
        <f>VLOOKUP(N74,'Share, Heavy Weapons to Ukraine'!B:AX,COLUMN('Share, Heavy Weapons to Ukraine'!AS21)-1,FALSE)</f>
        <v>0</v>
      </c>
      <c r="P74" s="349">
        <f>VLOOKUP(N74,'Share, Heavy Weapons to Ukraine'!B:BG,COLUMN('Share, Heavy Weapons to Ukraine'!BG22)-1,FALSE)</f>
        <v>0</v>
      </c>
      <c r="Q74" s="1365" t="str">
        <f t="shared" si="11"/>
        <v>.</v>
      </c>
      <c r="S74" s="1372"/>
      <c r="T74" s="1372"/>
      <c r="U74" s="1372"/>
      <c r="V74" s="1372"/>
      <c r="W74" s="1372"/>
      <c r="X74" s="1380">
        <f t="shared" si="7"/>
        <v>1</v>
      </c>
      <c r="Y74" s="349" t="s">
        <v>3412</v>
      </c>
      <c r="Z74" s="349">
        <f>VLOOKUP(Y74,'Share, Heavy Weapons to Ukraine'!B:AX,COLUMN('Share, Heavy Weapons to Ukraine'!AL34)-1,FALSE)</f>
        <v>10</v>
      </c>
      <c r="AA74" s="349">
        <f>VLOOKUP(Y74,'Share, Heavy Weapons to Ukraine'!B:AZ,COLUMN('Share, Heavy Weapons to Ukraine'!AZ27)-1,FALSE)</f>
        <v>10</v>
      </c>
      <c r="AB74" s="1365">
        <f t="shared" si="12"/>
        <v>100</v>
      </c>
      <c r="AD74" s="1372"/>
      <c r="AE74" s="1372"/>
      <c r="AF74" s="1372"/>
      <c r="AG74" s="1372"/>
      <c r="AH74" s="1372"/>
      <c r="AI74" s="1380">
        <f t="shared" si="8"/>
        <v>0</v>
      </c>
      <c r="AJ74" s="349" t="s">
        <v>2989</v>
      </c>
      <c r="AK74" s="349">
        <f>VLOOKUP(AJ74,'Share, Heavy Weapons to Ukraine'!B:AU,COLUMN('Share, Heavy Weapons to Ukraine'!AU13)-1,FALSE)+VLOOKUP(AJ74,'Share, Heavy Weapons to Ukraine'!B:AV,COLUMN('Share, Heavy Weapons to Ukraine'!AV13)-1,FALSE)+VLOOKUP(AJ74,'Share, Heavy Weapons to Ukraine'!B:AW,COLUMN('Share, Heavy Weapons to Ukraine'!AW13)-1,FALSE)</f>
        <v>0</v>
      </c>
      <c r="AL74" s="349">
        <f>VLOOKUP(AJ74,'Share, Heavy Weapons to Ukraine'!B:BI,COLUMN('Share, Heavy Weapons to Ukraine'!BI13)-1,FALSE)+VLOOKUP(AJ74,'Share, Heavy Weapons to Ukraine'!B:BJ,COLUMN('Share, Heavy Weapons to Ukraine'!BJ13)-1,FALSE)+VLOOKUP(AJ74,'Share, Heavy Weapons to Ukraine'!B:BK,COLUMN('Share, Heavy Weapons to Ukraine'!BK13)-1,FALSE)</f>
        <v>0</v>
      </c>
      <c r="AM74" s="1365" t="str">
        <f t="shared" si="13"/>
        <v>.</v>
      </c>
      <c r="AO74" s="1372"/>
      <c r="AP74" s="1372"/>
      <c r="AQ74" s="1372"/>
      <c r="AR74" s="1372"/>
      <c r="AS74" s="1372"/>
      <c r="AT74" s="1380">
        <f t="shared" si="9"/>
        <v>1</v>
      </c>
      <c r="AU74" s="349" t="s">
        <v>3748</v>
      </c>
      <c r="AV74" s="349">
        <f>VLOOKUP(AU74,'Share, Heavy Weapons to Ukraine'!B:AP,COLUMN('Share, Heavy Weapons to Ukraine'!AP18)-1,FALSE)</f>
        <v>0</v>
      </c>
      <c r="AW74" s="349">
        <f>VLOOKUP(AU74,'Share, Heavy Weapons to Ukraine'!B:BD,COLUMN('Share, Heavy Weapons to Ukraine'!BD18)-1,FALSE)</f>
        <v>0</v>
      </c>
      <c r="AX74" s="1365" t="str">
        <f t="shared" si="14"/>
        <v>.</v>
      </c>
      <c r="AZ74" s="349" t="s">
        <v>713</v>
      </c>
      <c r="BA74" s="349">
        <v>1</v>
      </c>
    </row>
    <row r="75" spans="2:53" ht="15.95" customHeight="1">
      <c r="B75" s="1380">
        <f t="shared" si="5"/>
        <v>1</v>
      </c>
      <c r="C75" s="349" t="s">
        <v>2693</v>
      </c>
      <c r="D75" s="350">
        <f>VLOOKUP(C75,'Share, Heavy Weapons to Ukraine'!B:AX,COLUMN('Share, Heavy Weapons to Ukraine'!AR31)-1,FALSE)</f>
        <v>8</v>
      </c>
      <c r="E75" s="350">
        <f>VLOOKUP(C75,'Share, Heavy Weapons to Ukraine'!B:BF,COLUMN('Share, Heavy Weapons to Ukraine'!BF22)-1,FALSE)</f>
        <v>8</v>
      </c>
      <c r="F75" s="1365">
        <f t="shared" si="10"/>
        <v>100</v>
      </c>
      <c r="H75" s="1372"/>
      <c r="I75" s="1372"/>
      <c r="J75" s="1372"/>
      <c r="K75" s="1372"/>
      <c r="L75" s="1372"/>
      <c r="M75" s="1380">
        <f t="shared" si="6"/>
        <v>1</v>
      </c>
      <c r="N75" s="349" t="s">
        <v>2693</v>
      </c>
      <c r="O75" s="349">
        <f>VLOOKUP(N75,'Share, Heavy Weapons to Ukraine'!B:AX,COLUMN('Share, Heavy Weapons to Ukraine'!AS22)-1,FALSE)</f>
        <v>0</v>
      </c>
      <c r="P75" s="349">
        <f>VLOOKUP(N75,'Share, Heavy Weapons to Ukraine'!B:BG,COLUMN('Share, Heavy Weapons to Ukraine'!BG23)-1,FALSE)</f>
        <v>0</v>
      </c>
      <c r="Q75" s="1365" t="str">
        <f t="shared" si="11"/>
        <v>.</v>
      </c>
      <c r="S75" s="1372"/>
      <c r="T75" s="1372"/>
      <c r="U75" s="1372"/>
      <c r="V75" s="1372"/>
      <c r="W75" s="1372"/>
      <c r="X75" s="1380">
        <f t="shared" si="7"/>
        <v>1</v>
      </c>
      <c r="Y75" s="349" t="s">
        <v>713</v>
      </c>
      <c r="Z75" s="349">
        <f>VLOOKUP(Y75,'Share, Heavy Weapons to Ukraine'!B:AX,COLUMN('Share, Heavy Weapons to Ukraine'!AL33)-1,FALSE)</f>
        <v>8</v>
      </c>
      <c r="AA75" s="349">
        <f>VLOOKUP(Y75,'Share, Heavy Weapons to Ukraine'!B:AZ,COLUMN('Share, Heavy Weapons to Ukraine'!AZ28)-1,FALSE)</f>
        <v>8</v>
      </c>
      <c r="AB75" s="1365">
        <f t="shared" si="12"/>
        <v>100</v>
      </c>
      <c r="AD75" s="1372"/>
      <c r="AE75" s="1372"/>
      <c r="AF75" s="1372"/>
      <c r="AG75" s="1372"/>
      <c r="AH75" s="1372"/>
      <c r="AI75" s="1380">
        <f t="shared" si="8"/>
        <v>0</v>
      </c>
      <c r="AJ75" s="349" t="s">
        <v>3337</v>
      </c>
      <c r="AK75" s="349">
        <f>VLOOKUP(AJ75,'Share, Heavy Weapons to Ukraine'!B:AU,COLUMN('Share, Heavy Weapons to Ukraine'!AU18)-1,FALSE)+VLOOKUP(AJ75,'Share, Heavy Weapons to Ukraine'!B:AV,COLUMN('Share, Heavy Weapons to Ukraine'!AV18)-1,FALSE)+VLOOKUP(AJ75,'Share, Heavy Weapons to Ukraine'!B:AW,COLUMN('Share, Heavy Weapons to Ukraine'!AW18)-1,FALSE)</f>
        <v>0</v>
      </c>
      <c r="AL75" s="349">
        <f>VLOOKUP(AJ75,'Share, Heavy Weapons to Ukraine'!B:BI,COLUMN('Share, Heavy Weapons to Ukraine'!BI18)-1,FALSE)+VLOOKUP(AJ75,'Share, Heavy Weapons to Ukraine'!B:BJ,COLUMN('Share, Heavy Weapons to Ukraine'!BJ18)-1,FALSE)+VLOOKUP(AJ75,'Share, Heavy Weapons to Ukraine'!B:BK,COLUMN('Share, Heavy Weapons to Ukraine'!BK18)-1,FALSE)</f>
        <v>0</v>
      </c>
      <c r="AM75" s="1365" t="str">
        <f t="shared" si="13"/>
        <v>.</v>
      </c>
      <c r="AO75" s="1372"/>
      <c r="AP75" s="1372"/>
      <c r="AQ75" s="1372"/>
      <c r="AR75" s="1372"/>
      <c r="AS75" s="1372"/>
      <c r="AT75" s="1380">
        <f t="shared" si="9"/>
        <v>1</v>
      </c>
      <c r="AU75" s="349" t="s">
        <v>3412</v>
      </c>
      <c r="AV75" s="349">
        <f>VLOOKUP(AU75,'Share, Heavy Weapons to Ukraine'!B:AP,COLUMN('Share, Heavy Weapons to Ukraine'!AP20)-1,FALSE)</f>
        <v>0</v>
      </c>
      <c r="AW75" s="349">
        <f>VLOOKUP(AU75,'Share, Heavy Weapons to Ukraine'!B:BD,COLUMN('Share, Heavy Weapons to Ukraine'!BD20)-1,FALSE)</f>
        <v>0</v>
      </c>
      <c r="AX75" s="1365" t="str">
        <f t="shared" si="14"/>
        <v>.</v>
      </c>
      <c r="AZ75" s="349" t="s">
        <v>2693</v>
      </c>
      <c r="BA75" s="349">
        <v>1</v>
      </c>
    </row>
    <row r="76" spans="2:53" ht="15.95" customHeight="1">
      <c r="B76" s="1380">
        <f t="shared" si="5"/>
        <v>1</v>
      </c>
      <c r="C76" s="349" t="s">
        <v>3548</v>
      </c>
      <c r="D76" s="350">
        <f>VLOOKUP(C76,'Share, Heavy Weapons to Ukraine'!B:AX,COLUMN('Share, Heavy Weapons to Ukraine'!AR25)-1,FALSE)</f>
        <v>8</v>
      </c>
      <c r="E76" s="350">
        <f>VLOOKUP(C76,'Share, Heavy Weapons to Ukraine'!B:BF,COLUMN('Share, Heavy Weapons to Ukraine'!BF30)-1,FALSE)</f>
        <v>0</v>
      </c>
      <c r="F76" s="1365">
        <f t="shared" si="10"/>
        <v>0</v>
      </c>
      <c r="H76" s="1372"/>
      <c r="I76" s="1372"/>
      <c r="J76" s="1372"/>
      <c r="K76" s="1372"/>
      <c r="L76" s="1372"/>
      <c r="M76" s="1380">
        <f t="shared" si="6"/>
        <v>1</v>
      </c>
      <c r="N76" s="349" t="s">
        <v>3412</v>
      </c>
      <c r="O76" s="349">
        <f>VLOOKUP(N76,'Share, Heavy Weapons to Ukraine'!B:AX,COLUMN('Share, Heavy Weapons to Ukraine'!AS23)-1,FALSE)</f>
        <v>0</v>
      </c>
      <c r="P76" s="349">
        <f>VLOOKUP(N76,'Share, Heavy Weapons to Ukraine'!B:BG,COLUMN('Share, Heavy Weapons to Ukraine'!BG24)-1,FALSE)</f>
        <v>0</v>
      </c>
      <c r="Q76" s="1365" t="str">
        <f t="shared" si="11"/>
        <v>.</v>
      </c>
      <c r="S76" s="1372"/>
      <c r="T76" s="1372"/>
      <c r="U76" s="1372"/>
      <c r="V76" s="1372"/>
      <c r="W76" s="1372"/>
      <c r="X76" s="1380">
        <f t="shared" si="7"/>
        <v>1</v>
      </c>
      <c r="Y76" s="349" t="s">
        <v>2882</v>
      </c>
      <c r="Z76" s="349">
        <f>VLOOKUP(Y76,'Share, Heavy Weapons to Ukraine'!B:AX,COLUMN('Share, Heavy Weapons to Ukraine'!AL31)-1,FALSE)</f>
        <v>8</v>
      </c>
      <c r="AA76" s="349">
        <f>VLOOKUP(Y76,'Share, Heavy Weapons to Ukraine'!B:AZ,COLUMN('Share, Heavy Weapons to Ukraine'!AZ29)-1,FALSE)</f>
        <v>0</v>
      </c>
      <c r="AB76" s="1365">
        <f t="shared" si="12"/>
        <v>0</v>
      </c>
      <c r="AD76" s="1372"/>
      <c r="AE76" s="1372"/>
      <c r="AF76" s="1372"/>
      <c r="AG76" s="1372"/>
      <c r="AH76" s="1372"/>
      <c r="AI76" s="1380">
        <f t="shared" si="8"/>
        <v>1</v>
      </c>
      <c r="AJ76" s="349" t="s">
        <v>3748</v>
      </c>
      <c r="AK76" s="349">
        <f>VLOOKUP(AJ76,'Share, Heavy Weapons to Ukraine'!B:AU,COLUMN('Share, Heavy Weapons to Ukraine'!AU19)-1,FALSE)+VLOOKUP(AJ76,'Share, Heavy Weapons to Ukraine'!B:AV,COLUMN('Share, Heavy Weapons to Ukraine'!AV19)-1,FALSE)+VLOOKUP(AJ76,'Share, Heavy Weapons to Ukraine'!B:AW,COLUMN('Share, Heavy Weapons to Ukraine'!AW19)-1,FALSE)</f>
        <v>0</v>
      </c>
      <c r="AL76" s="349">
        <f>VLOOKUP(AJ76,'Share, Heavy Weapons to Ukraine'!B:BI,COLUMN('Share, Heavy Weapons to Ukraine'!BI19)-1,FALSE)+VLOOKUP(AJ76,'Share, Heavy Weapons to Ukraine'!B:BJ,COLUMN('Share, Heavy Weapons to Ukraine'!BJ19)-1,FALSE)+VLOOKUP(AJ76,'Share, Heavy Weapons to Ukraine'!B:BK,COLUMN('Share, Heavy Weapons to Ukraine'!BK19)-1,FALSE)</f>
        <v>0</v>
      </c>
      <c r="AM76" s="1365" t="str">
        <f t="shared" si="13"/>
        <v>.</v>
      </c>
      <c r="AO76" s="1372"/>
      <c r="AP76" s="1372"/>
      <c r="AQ76" s="1372"/>
      <c r="AR76" s="1372"/>
      <c r="AS76" s="1372"/>
      <c r="AT76" s="1380">
        <f t="shared" si="9"/>
        <v>1</v>
      </c>
      <c r="AU76" s="349" t="s">
        <v>713</v>
      </c>
      <c r="AV76" s="349">
        <f>VLOOKUP(AU76,'Share, Heavy Weapons to Ukraine'!B:AP,COLUMN('Share, Heavy Weapons to Ukraine'!AP21)-1,FALSE)</f>
        <v>0</v>
      </c>
      <c r="AW76" s="349">
        <f>VLOOKUP(AU76,'Share, Heavy Weapons to Ukraine'!B:BD,COLUMN('Share, Heavy Weapons to Ukraine'!BD21)-1,FALSE)</f>
        <v>0</v>
      </c>
      <c r="AX76" s="1365" t="str">
        <f t="shared" si="14"/>
        <v>.</v>
      </c>
      <c r="AZ76" s="349" t="s">
        <v>3412</v>
      </c>
      <c r="BA76" s="349">
        <v>1</v>
      </c>
    </row>
    <row r="77" spans="2:53" ht="15.95" customHeight="1">
      <c r="B77" s="1380">
        <f t="shared" si="5"/>
        <v>1</v>
      </c>
      <c r="C77" s="349" t="s">
        <v>359</v>
      </c>
      <c r="D77" s="350">
        <f>VLOOKUP(C77,'Share, Heavy Weapons to Ukraine'!B:AX,COLUMN('Share, Heavy Weapons to Ukraine'!AR42)-1,FALSE)</f>
        <v>6</v>
      </c>
      <c r="E77" s="350">
        <f>VLOOKUP(C77,'Share, Heavy Weapons to Ukraine'!B:BF,COLUMN('Share, Heavy Weapons to Ukraine'!BF23)-1,FALSE)</f>
        <v>6</v>
      </c>
      <c r="F77" s="1365">
        <f t="shared" si="10"/>
        <v>100</v>
      </c>
      <c r="H77" s="1372"/>
      <c r="I77" s="1372"/>
      <c r="J77" s="1372"/>
      <c r="K77" s="1372"/>
      <c r="L77" s="1372"/>
      <c r="M77" s="1380">
        <f t="shared" si="6"/>
        <v>0</v>
      </c>
      <c r="N77" s="349" t="s">
        <v>2989</v>
      </c>
      <c r="O77" s="349">
        <f>VLOOKUP(N77,'Share, Heavy Weapons to Ukraine'!B:AX,COLUMN('Share, Heavy Weapons to Ukraine'!AS24)-1,FALSE)</f>
        <v>0</v>
      </c>
      <c r="P77" s="349">
        <f>VLOOKUP(N77,'Share, Heavy Weapons to Ukraine'!B:BG,COLUMN('Share, Heavy Weapons to Ukraine'!BG25)-1,FALSE)</f>
        <v>0</v>
      </c>
      <c r="Q77" s="1365" t="str">
        <f t="shared" si="11"/>
        <v>.</v>
      </c>
      <c r="S77" s="1372"/>
      <c r="T77" s="1372"/>
      <c r="U77" s="1372"/>
      <c r="V77" s="1372"/>
      <c r="W77" s="1372"/>
      <c r="X77" s="1380">
        <f t="shared" si="7"/>
        <v>1</v>
      </c>
      <c r="Y77" s="349" t="s">
        <v>3079</v>
      </c>
      <c r="Z77" s="349">
        <f>VLOOKUP(Y77,'Share, Heavy Weapons to Ukraine'!B:AX,COLUMN('Share, Heavy Weapons to Ukraine'!AL44)-1,FALSE)</f>
        <v>3</v>
      </c>
      <c r="AA77" s="349">
        <f>VLOOKUP(Y77,'Share, Heavy Weapons to Ukraine'!B:AZ,COLUMN('Share, Heavy Weapons to Ukraine'!AZ30)-1,FALSE)</f>
        <v>3</v>
      </c>
      <c r="AB77" s="1365">
        <f t="shared" si="12"/>
        <v>100</v>
      </c>
      <c r="AD77" s="1372"/>
      <c r="AE77" s="1372"/>
      <c r="AF77" s="1372"/>
      <c r="AG77" s="1372"/>
      <c r="AH77" s="1372"/>
      <c r="AI77" s="1380">
        <f t="shared" si="8"/>
        <v>1</v>
      </c>
      <c r="AJ77" s="349" t="s">
        <v>3548</v>
      </c>
      <c r="AK77" s="349">
        <f>VLOOKUP(AJ77,'Share, Heavy Weapons to Ukraine'!B:AU,COLUMN('Share, Heavy Weapons to Ukraine'!AU20)-1,FALSE)+VLOOKUP(AJ77,'Share, Heavy Weapons to Ukraine'!B:AV,COLUMN('Share, Heavy Weapons to Ukraine'!AV20)-1,FALSE)+VLOOKUP(AJ77,'Share, Heavy Weapons to Ukraine'!B:AW,COLUMN('Share, Heavy Weapons to Ukraine'!AW20)-1,FALSE)</f>
        <v>0</v>
      </c>
      <c r="AL77" s="349">
        <f>VLOOKUP(AJ77,'Share, Heavy Weapons to Ukraine'!B:BI,COLUMN('Share, Heavy Weapons to Ukraine'!BI20)-1,FALSE)+VLOOKUP(AJ77,'Share, Heavy Weapons to Ukraine'!B:BJ,COLUMN('Share, Heavy Weapons to Ukraine'!BJ20)-1,FALSE)+VLOOKUP(AJ77,'Share, Heavy Weapons to Ukraine'!B:BK,COLUMN('Share, Heavy Weapons to Ukraine'!BK20)-1,FALSE)</f>
        <v>0</v>
      </c>
      <c r="AM77" s="1365" t="str">
        <f t="shared" si="13"/>
        <v>.</v>
      </c>
      <c r="AO77" s="1372"/>
      <c r="AP77" s="1372"/>
      <c r="AQ77" s="1372"/>
      <c r="AR77" s="1372"/>
      <c r="AS77" s="1372"/>
      <c r="AT77" s="1380">
        <f t="shared" si="9"/>
        <v>1</v>
      </c>
      <c r="AU77" s="349" t="s">
        <v>2882</v>
      </c>
      <c r="AV77" s="349">
        <f>VLOOKUP(AU77,'Share, Heavy Weapons to Ukraine'!B:AP,COLUMN('Share, Heavy Weapons to Ukraine'!AP22)-1,FALSE)</f>
        <v>0</v>
      </c>
      <c r="AW77" s="349">
        <f>VLOOKUP(AU77,'Share, Heavy Weapons to Ukraine'!B:BD,COLUMN('Share, Heavy Weapons to Ukraine'!BD22)-1,FALSE)</f>
        <v>0</v>
      </c>
      <c r="AX77" s="1365" t="str">
        <f t="shared" si="14"/>
        <v>.</v>
      </c>
      <c r="AZ77" s="349" t="s">
        <v>2989</v>
      </c>
      <c r="BA77" s="349">
        <v>0</v>
      </c>
    </row>
    <row r="78" spans="2:53" ht="15.95" customHeight="1">
      <c r="B78" s="1380">
        <f t="shared" si="5"/>
        <v>0</v>
      </c>
      <c r="C78" s="349" t="s">
        <v>2392</v>
      </c>
      <c r="D78" s="350">
        <f>VLOOKUP(C78,'Share, Heavy Weapons to Ukraine'!B:AX,COLUMN('Share, Heavy Weapons to Ukraine'!AR18)-1,FALSE)</f>
        <v>6</v>
      </c>
      <c r="E78" s="350">
        <f>VLOOKUP(C78,'Share, Heavy Weapons to Ukraine'!B:BF,COLUMN('Share, Heavy Weapons to Ukraine'!BF24)-1,FALSE)</f>
        <v>6</v>
      </c>
      <c r="F78" s="1365">
        <f t="shared" si="10"/>
        <v>100</v>
      </c>
      <c r="H78" s="1372"/>
      <c r="I78" s="1372"/>
      <c r="J78" s="1372"/>
      <c r="K78" s="1372"/>
      <c r="L78" s="1372"/>
      <c r="M78" s="1380">
        <f t="shared" si="6"/>
        <v>0</v>
      </c>
      <c r="N78" s="349" t="s">
        <v>3685</v>
      </c>
      <c r="O78" s="349">
        <f>VLOOKUP(N78,'Share, Heavy Weapons to Ukraine'!B:AX,COLUMN('Share, Heavy Weapons to Ukraine'!AS25)-1,FALSE)</f>
        <v>0</v>
      </c>
      <c r="P78" s="349">
        <f>VLOOKUP(N78,'Share, Heavy Weapons to Ukraine'!B:BG,COLUMN('Share, Heavy Weapons to Ukraine'!BG26)-1,FALSE)</f>
        <v>0</v>
      </c>
      <c r="Q78" s="1365" t="str">
        <f t="shared" si="11"/>
        <v>.</v>
      </c>
      <c r="S78" s="1372"/>
      <c r="T78" s="1372"/>
      <c r="U78" s="1372"/>
      <c r="V78" s="1372"/>
      <c r="W78" s="1372"/>
      <c r="X78" s="1380">
        <f t="shared" si="7"/>
        <v>1</v>
      </c>
      <c r="Y78" s="349" t="s">
        <v>1432</v>
      </c>
      <c r="Z78" s="349">
        <f>VLOOKUP(Y78,'Share, Heavy Weapons to Ukraine'!B:AX,COLUMN('Share, Heavy Weapons to Ukraine'!AL37)-1,FALSE)</f>
        <v>0</v>
      </c>
      <c r="AA78" s="349">
        <f>VLOOKUP(Y78,'Share, Heavy Weapons to Ukraine'!B:AZ,COLUMN('Share, Heavy Weapons to Ukraine'!AZ31)-1,FALSE)</f>
        <v>0</v>
      </c>
      <c r="AB78" s="1365" t="str">
        <f t="shared" si="12"/>
        <v>.</v>
      </c>
      <c r="AD78" s="1372"/>
      <c r="AE78" s="1372"/>
      <c r="AF78" s="1372"/>
      <c r="AG78" s="1372"/>
      <c r="AH78" s="1372"/>
      <c r="AI78" s="1380">
        <f t="shared" si="8"/>
        <v>1</v>
      </c>
      <c r="AJ78" s="349" t="s">
        <v>713</v>
      </c>
      <c r="AK78" s="349">
        <f>VLOOKUP(AJ78,'Share, Heavy Weapons to Ukraine'!B:AU,COLUMN('Share, Heavy Weapons to Ukraine'!AU22)-1,FALSE)+VLOOKUP(AJ78,'Share, Heavy Weapons to Ukraine'!B:AV,COLUMN('Share, Heavy Weapons to Ukraine'!AV22)-1,FALSE)+VLOOKUP(AJ78,'Share, Heavy Weapons to Ukraine'!B:AW,COLUMN('Share, Heavy Weapons to Ukraine'!AW22)-1,FALSE)</f>
        <v>0</v>
      </c>
      <c r="AL78" s="349">
        <f>VLOOKUP(AJ78,'Share, Heavy Weapons to Ukraine'!B:BI,COLUMN('Share, Heavy Weapons to Ukraine'!BI22)-1,FALSE)+VLOOKUP(AJ78,'Share, Heavy Weapons to Ukraine'!B:BJ,COLUMN('Share, Heavy Weapons to Ukraine'!BJ22)-1,FALSE)+VLOOKUP(AJ78,'Share, Heavy Weapons to Ukraine'!B:BK,COLUMN('Share, Heavy Weapons to Ukraine'!BK22)-1,FALSE)</f>
        <v>0</v>
      </c>
      <c r="AM78" s="1365" t="str">
        <f t="shared" si="13"/>
        <v>.</v>
      </c>
      <c r="AO78" s="1372"/>
      <c r="AP78" s="1372"/>
      <c r="AQ78" s="1372"/>
      <c r="AR78" s="1372"/>
      <c r="AS78" s="1372"/>
      <c r="AT78" s="1380">
        <f t="shared" si="9"/>
        <v>1</v>
      </c>
      <c r="AU78" s="349" t="s">
        <v>3079</v>
      </c>
      <c r="AV78" s="349">
        <f>VLOOKUP(AU78,'Share, Heavy Weapons to Ukraine'!B:AP,COLUMN('Share, Heavy Weapons to Ukraine'!AP23)-1,FALSE)</f>
        <v>0</v>
      </c>
      <c r="AW78" s="349">
        <f>VLOOKUP(AU78,'Share, Heavy Weapons to Ukraine'!B:BD,COLUMN('Share, Heavy Weapons to Ukraine'!BD23)-1,FALSE)</f>
        <v>0</v>
      </c>
      <c r="AX78" s="1365" t="str">
        <f t="shared" si="14"/>
        <v>.</v>
      </c>
      <c r="AZ78" s="349" t="s">
        <v>3685</v>
      </c>
      <c r="BA78" s="349">
        <v>0</v>
      </c>
    </row>
    <row r="79" spans="2:53" ht="15.95" customHeight="1">
      <c r="B79" s="1380">
        <f t="shared" si="5"/>
        <v>1</v>
      </c>
      <c r="C79" s="349" t="s">
        <v>3079</v>
      </c>
      <c r="D79" s="350">
        <f>VLOOKUP(C79,'Share, Heavy Weapons to Ukraine'!B:AX,COLUMN('Share, Heavy Weapons to Ukraine'!AR20)-1,FALSE)</f>
        <v>5</v>
      </c>
      <c r="E79" s="350">
        <f>VLOOKUP(C79,'Share, Heavy Weapons to Ukraine'!B:BF,COLUMN('Share, Heavy Weapons to Ukraine'!BF25)-1,FALSE)</f>
        <v>0</v>
      </c>
      <c r="F79" s="1365">
        <f t="shared" si="10"/>
        <v>0</v>
      </c>
      <c r="H79" s="1372"/>
      <c r="I79" s="1372"/>
      <c r="J79" s="1372"/>
      <c r="K79" s="1372"/>
      <c r="L79" s="1372"/>
      <c r="M79" s="1380">
        <f t="shared" si="6"/>
        <v>1</v>
      </c>
      <c r="N79" s="349" t="s">
        <v>3548</v>
      </c>
      <c r="O79" s="349">
        <f>VLOOKUP(N79,'Share, Heavy Weapons to Ukraine'!B:AX,COLUMN('Share, Heavy Weapons to Ukraine'!AS26)-1,FALSE)</f>
        <v>0</v>
      </c>
      <c r="P79" s="349">
        <f>VLOOKUP(N79,'Share, Heavy Weapons to Ukraine'!B:BG,COLUMN('Share, Heavy Weapons to Ukraine'!BG27)-1,FALSE)</f>
        <v>0</v>
      </c>
      <c r="Q79" s="1365" t="str">
        <f t="shared" si="11"/>
        <v>.</v>
      </c>
      <c r="S79" s="1372"/>
      <c r="T79" s="1372"/>
      <c r="U79" s="1372"/>
      <c r="V79" s="1372"/>
      <c r="W79" s="1372"/>
      <c r="X79" s="1380">
        <f t="shared" si="7"/>
        <v>1</v>
      </c>
      <c r="Y79" s="349" t="s">
        <v>1523</v>
      </c>
      <c r="Z79" s="349">
        <f>VLOOKUP(Y79,'Share, Heavy Weapons to Ukraine'!B:AX,COLUMN('Share, Heavy Weapons to Ukraine'!AL21)-1,FALSE)</f>
        <v>0</v>
      </c>
      <c r="AA79" s="349">
        <f>VLOOKUP(Y79,'Share, Heavy Weapons to Ukraine'!B:AZ,COLUMN('Share, Heavy Weapons to Ukraine'!AZ32)-1,FALSE)</f>
        <v>0</v>
      </c>
      <c r="AB79" s="1365" t="str">
        <f t="shared" si="12"/>
        <v>.</v>
      </c>
      <c r="AD79" s="1372"/>
      <c r="AE79" s="1372"/>
      <c r="AF79" s="1372"/>
      <c r="AG79" s="1372"/>
      <c r="AH79" s="1372"/>
      <c r="AI79" s="1380">
        <f t="shared" si="8"/>
        <v>1</v>
      </c>
      <c r="AJ79" s="349" t="s">
        <v>3079</v>
      </c>
      <c r="AK79" s="349">
        <f>VLOOKUP(AJ79,'Share, Heavy Weapons to Ukraine'!B:AU,COLUMN('Share, Heavy Weapons to Ukraine'!AU24)-1,FALSE)+VLOOKUP(AJ79,'Share, Heavy Weapons to Ukraine'!B:AV,COLUMN('Share, Heavy Weapons to Ukraine'!AV24)-1,FALSE)+VLOOKUP(AJ79,'Share, Heavy Weapons to Ukraine'!B:AW,COLUMN('Share, Heavy Weapons to Ukraine'!AW24)-1,FALSE)</f>
        <v>0</v>
      </c>
      <c r="AL79" s="349">
        <f>VLOOKUP(AJ79,'Share, Heavy Weapons to Ukraine'!B:BI,COLUMN('Share, Heavy Weapons to Ukraine'!BI24)-1,FALSE)+VLOOKUP(AJ79,'Share, Heavy Weapons to Ukraine'!B:BJ,COLUMN('Share, Heavy Weapons to Ukraine'!BJ24)-1,FALSE)+VLOOKUP(AJ79,'Share, Heavy Weapons to Ukraine'!B:BK,COLUMN('Share, Heavy Weapons to Ukraine'!BK24)-1,FALSE)</f>
        <v>0</v>
      </c>
      <c r="AM79" s="1365" t="str">
        <f t="shared" si="13"/>
        <v>.</v>
      </c>
      <c r="AO79" s="1372"/>
      <c r="AP79" s="1372"/>
      <c r="AQ79" s="1372"/>
      <c r="AR79" s="1372"/>
      <c r="AS79" s="1372"/>
      <c r="AT79" s="1380">
        <f t="shared" si="9"/>
        <v>1</v>
      </c>
      <c r="AU79" s="349" t="s">
        <v>1432</v>
      </c>
      <c r="AV79" s="349">
        <f>VLOOKUP(AU79,'Share, Heavy Weapons to Ukraine'!B:AP,COLUMN('Share, Heavy Weapons to Ukraine'!AP24)-1,FALSE)</f>
        <v>0</v>
      </c>
      <c r="AW79" s="349">
        <f>VLOOKUP(AU79,'Share, Heavy Weapons to Ukraine'!B:BD,COLUMN('Share, Heavy Weapons to Ukraine'!BD24)-1,FALSE)</f>
        <v>0</v>
      </c>
      <c r="AX79" s="1365" t="str">
        <f t="shared" si="14"/>
        <v>.</v>
      </c>
      <c r="AZ79" s="349" t="s">
        <v>3548</v>
      </c>
      <c r="BA79" s="349">
        <v>1</v>
      </c>
    </row>
    <row r="80" spans="2:53" ht="15.95" customHeight="1">
      <c r="B80" s="1380">
        <f t="shared" si="5"/>
        <v>1</v>
      </c>
      <c r="C80" s="349" t="s">
        <v>713</v>
      </c>
      <c r="D80" s="350">
        <f>VLOOKUP(C80,'Share, Heavy Weapons to Ukraine'!B:AX,COLUMN('Share, Heavy Weapons to Ukraine'!AR35)-1,FALSE)</f>
        <v>4</v>
      </c>
      <c r="E80" s="350">
        <f>VLOOKUP(C80,'Share, Heavy Weapons to Ukraine'!B:BF,COLUMN('Share, Heavy Weapons to Ukraine'!BF26)-1,FALSE)</f>
        <v>4</v>
      </c>
      <c r="F80" s="1365">
        <f t="shared" si="10"/>
        <v>100</v>
      </c>
      <c r="H80" s="1372"/>
      <c r="I80" s="1372"/>
      <c r="J80" s="1372"/>
      <c r="K80" s="1372"/>
      <c r="L80" s="1372"/>
      <c r="M80" s="1380">
        <f t="shared" si="6"/>
        <v>1</v>
      </c>
      <c r="N80" s="349" t="s">
        <v>1973</v>
      </c>
      <c r="O80" s="349">
        <f>VLOOKUP(N80,'Share, Heavy Weapons to Ukraine'!B:AX,COLUMN('Share, Heavy Weapons to Ukraine'!AS27)-1,FALSE)</f>
        <v>0</v>
      </c>
      <c r="P80" s="349">
        <f>VLOOKUP(N80,'Share, Heavy Weapons to Ukraine'!B:BG,COLUMN('Share, Heavy Weapons to Ukraine'!BG28)-1,FALSE)</f>
        <v>0</v>
      </c>
      <c r="Q80" s="1365" t="str">
        <f t="shared" si="11"/>
        <v>.</v>
      </c>
      <c r="S80" s="1372"/>
      <c r="T80" s="1372"/>
      <c r="U80" s="1372"/>
      <c r="V80" s="1372"/>
      <c r="W80" s="1372"/>
      <c r="X80" s="1380">
        <f t="shared" si="7"/>
        <v>1</v>
      </c>
      <c r="Y80" s="349" t="s">
        <v>3162</v>
      </c>
      <c r="Z80" s="349">
        <f>VLOOKUP(Y80,'Share, Heavy Weapons to Ukraine'!B:AX,COLUMN('Share, Heavy Weapons to Ukraine'!AL38)-1,FALSE)</f>
        <v>0</v>
      </c>
      <c r="AA80" s="349">
        <f>VLOOKUP(Y80,'Share, Heavy Weapons to Ukraine'!B:AZ,COLUMN('Share, Heavy Weapons to Ukraine'!AZ33)-1,FALSE)</f>
        <v>0</v>
      </c>
      <c r="AB80" s="1365" t="str">
        <f t="shared" si="12"/>
        <v>.</v>
      </c>
      <c r="AD80" s="1372"/>
      <c r="AE80" s="1372"/>
      <c r="AF80" s="1372"/>
      <c r="AG80" s="1372"/>
      <c r="AH80" s="1372"/>
      <c r="AI80" s="1380">
        <f t="shared" si="8"/>
        <v>1</v>
      </c>
      <c r="AJ80" s="349" t="s">
        <v>1432</v>
      </c>
      <c r="AK80" s="349">
        <f>VLOOKUP(AJ80,'Share, Heavy Weapons to Ukraine'!B:AU,COLUMN('Share, Heavy Weapons to Ukraine'!AU25)-1,FALSE)+VLOOKUP(AJ80,'Share, Heavy Weapons to Ukraine'!B:AV,COLUMN('Share, Heavy Weapons to Ukraine'!AV25)-1,FALSE)+VLOOKUP(AJ80,'Share, Heavy Weapons to Ukraine'!B:AW,COLUMN('Share, Heavy Weapons to Ukraine'!AW25)-1,FALSE)</f>
        <v>0</v>
      </c>
      <c r="AL80" s="349">
        <f>VLOOKUP(AJ80,'Share, Heavy Weapons to Ukraine'!B:BI,COLUMN('Share, Heavy Weapons to Ukraine'!BI25)-1,FALSE)+VLOOKUP(AJ80,'Share, Heavy Weapons to Ukraine'!B:BJ,COLUMN('Share, Heavy Weapons to Ukraine'!BJ25)-1,FALSE)+VLOOKUP(AJ80,'Share, Heavy Weapons to Ukraine'!B:BK,COLUMN('Share, Heavy Weapons to Ukraine'!BK25)-1,FALSE)</f>
        <v>0</v>
      </c>
      <c r="AM80" s="1365" t="str">
        <f t="shared" si="13"/>
        <v>.</v>
      </c>
      <c r="AO80" s="1372"/>
      <c r="AP80" s="1372"/>
      <c r="AQ80" s="1372"/>
      <c r="AR80" s="1372"/>
      <c r="AS80" s="1372"/>
      <c r="AT80" s="1380">
        <f t="shared" si="9"/>
        <v>1</v>
      </c>
      <c r="AU80" s="349" t="s">
        <v>1523</v>
      </c>
      <c r="AV80" s="349">
        <f>VLOOKUP(AU80,'Share, Heavy Weapons to Ukraine'!B:AP,COLUMN('Share, Heavy Weapons to Ukraine'!AP25)-1,FALSE)</f>
        <v>0</v>
      </c>
      <c r="AW80" s="349">
        <f>VLOOKUP(AU80,'Share, Heavy Weapons to Ukraine'!B:BD,COLUMN('Share, Heavy Weapons to Ukraine'!BD25)-1,FALSE)</f>
        <v>0</v>
      </c>
      <c r="AX80" s="1365" t="str">
        <f t="shared" si="14"/>
        <v>.</v>
      </c>
      <c r="AZ80" s="349" t="s">
        <v>1973</v>
      </c>
      <c r="BA80" s="349">
        <v>1</v>
      </c>
    </row>
    <row r="81" spans="2:53" ht="15.95" customHeight="1">
      <c r="B81" s="1380">
        <f t="shared" si="5"/>
        <v>1</v>
      </c>
      <c r="C81" s="349" t="s">
        <v>3162</v>
      </c>
      <c r="D81" s="350">
        <f>VLOOKUP(C81,'Share, Heavy Weapons to Ukraine'!B:AX,COLUMN('Share, Heavy Weapons to Ukraine'!AR21)-1,FALSE)</f>
        <v>0</v>
      </c>
      <c r="E81" s="350">
        <f>VLOOKUP(C81,'Share, Heavy Weapons to Ukraine'!B:BF,COLUMN('Share, Heavy Weapons to Ukraine'!BF27)-1,FALSE)</f>
        <v>0</v>
      </c>
      <c r="F81" s="1365" t="str">
        <f t="shared" si="10"/>
        <v>.</v>
      </c>
      <c r="H81" s="1372"/>
      <c r="I81" s="1372"/>
      <c r="J81" s="1372"/>
      <c r="K81" s="1372"/>
      <c r="L81" s="1372"/>
      <c r="M81" s="1380">
        <f t="shared" si="6"/>
        <v>1</v>
      </c>
      <c r="N81" s="349" t="s">
        <v>558</v>
      </c>
      <c r="O81" s="349">
        <f>VLOOKUP(N81,'Share, Heavy Weapons to Ukraine'!B:AX,COLUMN('Share, Heavy Weapons to Ukraine'!AS28)-1,FALSE)</f>
        <v>0</v>
      </c>
      <c r="P81" s="349">
        <f>VLOOKUP(N81,'Share, Heavy Weapons to Ukraine'!B:BG,COLUMN('Share, Heavy Weapons to Ukraine'!BG29)-1,FALSE)</f>
        <v>0</v>
      </c>
      <c r="Q81" s="1365" t="str">
        <f t="shared" si="11"/>
        <v>.</v>
      </c>
      <c r="S81" s="1372"/>
      <c r="T81" s="1372"/>
      <c r="U81" s="1372"/>
      <c r="V81" s="1372"/>
      <c r="W81" s="1372"/>
      <c r="X81" s="1380">
        <f t="shared" si="7"/>
        <v>1</v>
      </c>
      <c r="Y81" s="349" t="s">
        <v>359</v>
      </c>
      <c r="Z81" s="349">
        <f>VLOOKUP(Y81,'Share, Heavy Weapons to Ukraine'!B:AX,COLUMN('Share, Heavy Weapons to Ukraine'!AL40)-1,FALSE)</f>
        <v>0</v>
      </c>
      <c r="AA81" s="349">
        <f>VLOOKUP(Y81,'Share, Heavy Weapons to Ukraine'!B:AZ,COLUMN('Share, Heavy Weapons to Ukraine'!AZ34)-1,FALSE)</f>
        <v>0</v>
      </c>
      <c r="AB81" s="1365" t="str">
        <f t="shared" si="12"/>
        <v>.</v>
      </c>
      <c r="AD81" s="1372"/>
      <c r="AE81" s="1372"/>
      <c r="AF81" s="1372"/>
      <c r="AG81" s="1372"/>
      <c r="AH81" s="1372"/>
      <c r="AI81" s="1380">
        <f t="shared" si="8"/>
        <v>1</v>
      </c>
      <c r="AJ81" s="349" t="s">
        <v>3162</v>
      </c>
      <c r="AK81" s="349">
        <f>VLOOKUP(AJ81,'Share, Heavy Weapons to Ukraine'!B:AU,COLUMN('Share, Heavy Weapons to Ukraine'!AU27)-1,FALSE)+VLOOKUP(AJ81,'Share, Heavy Weapons to Ukraine'!B:AV,COLUMN('Share, Heavy Weapons to Ukraine'!AV27)-1,FALSE)+VLOOKUP(AJ81,'Share, Heavy Weapons to Ukraine'!B:AW,COLUMN('Share, Heavy Weapons to Ukraine'!AW27)-1,FALSE)</f>
        <v>0</v>
      </c>
      <c r="AL81" s="349">
        <f>VLOOKUP(AJ81,'Share, Heavy Weapons to Ukraine'!B:BI,COLUMN('Share, Heavy Weapons to Ukraine'!BI27)-1,FALSE)+VLOOKUP(AJ81,'Share, Heavy Weapons to Ukraine'!B:BJ,COLUMN('Share, Heavy Weapons to Ukraine'!BJ27)-1,FALSE)+VLOOKUP(AJ81,'Share, Heavy Weapons to Ukraine'!B:BK,COLUMN('Share, Heavy Weapons to Ukraine'!BK27)-1,FALSE)</f>
        <v>0</v>
      </c>
      <c r="AM81" s="1365" t="str">
        <f t="shared" si="13"/>
        <v>.</v>
      </c>
      <c r="AO81" s="1372"/>
      <c r="AP81" s="1372"/>
      <c r="AQ81" s="1372"/>
      <c r="AR81" s="1372"/>
      <c r="AS81" s="1372"/>
      <c r="AT81" s="1380">
        <f t="shared" si="9"/>
        <v>1</v>
      </c>
      <c r="AU81" s="349" t="s">
        <v>3162</v>
      </c>
      <c r="AV81" s="349">
        <f>VLOOKUP(AU81,'Share, Heavy Weapons to Ukraine'!B:AP,COLUMN('Share, Heavy Weapons to Ukraine'!AP26)-1,FALSE)</f>
        <v>0</v>
      </c>
      <c r="AW81" s="349">
        <f>VLOOKUP(AU81,'Share, Heavy Weapons to Ukraine'!B:BD,COLUMN('Share, Heavy Weapons to Ukraine'!BD26)-1,FALSE)</f>
        <v>0</v>
      </c>
      <c r="AX81" s="1365" t="str">
        <f t="shared" si="14"/>
        <v>.</v>
      </c>
      <c r="AZ81" s="349" t="s">
        <v>558</v>
      </c>
      <c r="BA81" s="349">
        <v>1</v>
      </c>
    </row>
    <row r="82" spans="2:53" ht="15.95" customHeight="1">
      <c r="B82" s="1380">
        <f t="shared" si="5"/>
        <v>1</v>
      </c>
      <c r="C82" s="349" t="s">
        <v>3412</v>
      </c>
      <c r="D82" s="350">
        <f>VLOOKUP(C82,'Share, Heavy Weapons to Ukraine'!B:AX,COLUMN('Share, Heavy Weapons to Ukraine'!AR22)-1,FALSE)</f>
        <v>0</v>
      </c>
      <c r="E82" s="350">
        <f>VLOOKUP(C82,'Share, Heavy Weapons to Ukraine'!B:BF,COLUMN('Share, Heavy Weapons to Ukraine'!BF28)-1,FALSE)</f>
        <v>0</v>
      </c>
      <c r="F82" s="1365" t="str">
        <f t="shared" si="10"/>
        <v>.</v>
      </c>
      <c r="H82" s="1372"/>
      <c r="I82" s="1372"/>
      <c r="J82" s="1372"/>
      <c r="K82" s="1372"/>
      <c r="L82" s="1372"/>
      <c r="M82" s="1380">
        <f t="shared" si="6"/>
        <v>1</v>
      </c>
      <c r="N82" s="349" t="s">
        <v>1432</v>
      </c>
      <c r="O82" s="349">
        <f>VLOOKUP(N82,'Share, Heavy Weapons to Ukraine'!B:AX,COLUMN('Share, Heavy Weapons to Ukraine'!AS29)-1,FALSE)</f>
        <v>0</v>
      </c>
      <c r="P82" s="349">
        <f>VLOOKUP(N82,'Share, Heavy Weapons to Ukraine'!B:BG,COLUMN('Share, Heavy Weapons to Ukraine'!BG30)-1,FALSE)</f>
        <v>0</v>
      </c>
      <c r="Q82" s="1365" t="str">
        <f t="shared" si="11"/>
        <v>.</v>
      </c>
      <c r="S82" s="1372"/>
      <c r="T82" s="1372"/>
      <c r="U82" s="1372"/>
      <c r="V82" s="1372"/>
      <c r="W82" s="1372"/>
      <c r="X82" s="1380">
        <f t="shared" si="7"/>
        <v>1</v>
      </c>
      <c r="Y82" s="349" t="s">
        <v>2204</v>
      </c>
      <c r="Z82" s="349">
        <f>VLOOKUP(Y82,'Share, Heavy Weapons to Ukraine'!B:AX,COLUMN('Share, Heavy Weapons to Ukraine'!AL45)-1,FALSE)</f>
        <v>0</v>
      </c>
      <c r="AA82" s="349">
        <f>VLOOKUP(Y82,'Share, Heavy Weapons to Ukraine'!B:AZ,COLUMN('Share, Heavy Weapons to Ukraine'!AZ35)-1,FALSE)</f>
        <v>0</v>
      </c>
      <c r="AB82" s="1365" t="str">
        <f t="shared" si="12"/>
        <v>.</v>
      </c>
      <c r="AD82" s="1372"/>
      <c r="AE82" s="1372"/>
      <c r="AF82" s="1372"/>
      <c r="AG82" s="1372"/>
      <c r="AH82" s="1372"/>
      <c r="AI82" s="1380">
        <f t="shared" si="8"/>
        <v>1</v>
      </c>
      <c r="AJ82" s="349" t="s">
        <v>359</v>
      </c>
      <c r="AK82" s="349">
        <f>VLOOKUP(AJ82,'Share, Heavy Weapons to Ukraine'!B:AU,COLUMN('Share, Heavy Weapons to Ukraine'!AU28)-1,FALSE)+VLOOKUP(AJ82,'Share, Heavy Weapons to Ukraine'!B:AV,COLUMN('Share, Heavy Weapons to Ukraine'!AV28)-1,FALSE)+VLOOKUP(AJ82,'Share, Heavy Weapons to Ukraine'!B:AW,COLUMN('Share, Heavy Weapons to Ukraine'!AW28)-1,FALSE)</f>
        <v>0</v>
      </c>
      <c r="AL82" s="349">
        <f>VLOOKUP(AJ82,'Share, Heavy Weapons to Ukraine'!B:BI,COLUMN('Share, Heavy Weapons to Ukraine'!BI28)-1,FALSE)+VLOOKUP(AJ82,'Share, Heavy Weapons to Ukraine'!B:BJ,COLUMN('Share, Heavy Weapons to Ukraine'!BJ28)-1,FALSE)+VLOOKUP(AJ82,'Share, Heavy Weapons to Ukraine'!B:BK,COLUMN('Share, Heavy Weapons to Ukraine'!BK28)-1,FALSE)</f>
        <v>0</v>
      </c>
      <c r="AM82" s="1365" t="str">
        <f t="shared" si="13"/>
        <v>.</v>
      </c>
      <c r="AO82" s="1372"/>
      <c r="AP82" s="1372"/>
      <c r="AQ82" s="1372"/>
      <c r="AR82" s="1372"/>
      <c r="AS82" s="1372"/>
      <c r="AT82" s="1380">
        <f t="shared" si="9"/>
        <v>1</v>
      </c>
      <c r="AU82" s="349" t="s">
        <v>359</v>
      </c>
      <c r="AV82" s="349">
        <f>VLOOKUP(AU82,'Share, Heavy Weapons to Ukraine'!B:AP,COLUMN('Share, Heavy Weapons to Ukraine'!AP27)-1,FALSE)</f>
        <v>0</v>
      </c>
      <c r="AW82" s="349">
        <f>VLOOKUP(AU82,'Share, Heavy Weapons to Ukraine'!B:BD,COLUMN('Share, Heavy Weapons to Ukraine'!BD27)-1,FALSE)</f>
        <v>0</v>
      </c>
      <c r="AX82" s="1365" t="str">
        <f t="shared" si="14"/>
        <v>.</v>
      </c>
      <c r="AZ82" s="349" t="s">
        <v>1432</v>
      </c>
      <c r="BA82" s="349">
        <v>1</v>
      </c>
    </row>
    <row r="83" spans="2:53" ht="15.95" customHeight="1">
      <c r="B83" s="1380">
        <f t="shared" si="5"/>
        <v>0</v>
      </c>
      <c r="C83" s="349" t="s">
        <v>3685</v>
      </c>
      <c r="D83" s="350">
        <f>VLOOKUP(C83,'Share, Heavy Weapons to Ukraine'!B:AX,COLUMN('Share, Heavy Weapons to Ukraine'!AR24)-1,FALSE)</f>
        <v>0</v>
      </c>
      <c r="E83" s="350">
        <f>VLOOKUP(C83,'Share, Heavy Weapons to Ukraine'!B:BF,COLUMN('Share, Heavy Weapons to Ukraine'!BF29)-1,FALSE)</f>
        <v>0</v>
      </c>
      <c r="F83" s="1365" t="str">
        <f t="shared" si="10"/>
        <v>.</v>
      </c>
      <c r="H83" s="1372"/>
      <c r="I83" s="1372"/>
      <c r="J83" s="1372"/>
      <c r="K83" s="1372"/>
      <c r="L83" s="1372"/>
      <c r="M83" s="1380">
        <f t="shared" si="6"/>
        <v>0</v>
      </c>
      <c r="N83" s="349" t="s">
        <v>3214</v>
      </c>
      <c r="O83" s="349">
        <f>VLOOKUP(N83,'Share, Heavy Weapons to Ukraine'!B:AX,COLUMN('Share, Heavy Weapons to Ukraine'!AS30)-1,FALSE)</f>
        <v>0</v>
      </c>
      <c r="P83" s="349">
        <f>VLOOKUP(N83,'Share, Heavy Weapons to Ukraine'!B:BG,COLUMN('Share, Heavy Weapons to Ukraine'!BG31)-1,FALSE)</f>
        <v>0</v>
      </c>
      <c r="Q83" s="1365" t="str">
        <f t="shared" si="11"/>
        <v>.</v>
      </c>
      <c r="S83" s="1372"/>
      <c r="T83" s="1372"/>
      <c r="U83" s="1372"/>
      <c r="V83" s="1372"/>
      <c r="W83" s="1372"/>
      <c r="X83" s="1380">
        <f t="shared" si="7"/>
        <v>0</v>
      </c>
      <c r="Y83" s="349" t="s">
        <v>3685</v>
      </c>
      <c r="Z83" s="349">
        <f>VLOOKUP(Y83,'Share, Heavy Weapons to Ukraine'!B:AX,COLUMN('Share, Heavy Weapons to Ukraine'!AL22)-1,FALSE)</f>
        <v>0</v>
      </c>
      <c r="AA83" s="349">
        <f>VLOOKUP(Y83,'Share, Heavy Weapons to Ukraine'!B:AZ,COLUMN('Share, Heavy Weapons to Ukraine'!AZ36)-1,FALSE)</f>
        <v>0</v>
      </c>
      <c r="AB83" s="1365" t="str">
        <f t="shared" si="12"/>
        <v>.</v>
      </c>
      <c r="AD83" s="1372"/>
      <c r="AE83" s="1372"/>
      <c r="AF83" s="1372"/>
      <c r="AG83" s="1372"/>
      <c r="AH83" s="1372"/>
      <c r="AI83" s="1380">
        <f t="shared" si="8"/>
        <v>0</v>
      </c>
      <c r="AJ83" s="349" t="s">
        <v>3685</v>
      </c>
      <c r="AK83" s="349">
        <f>VLOOKUP(AJ83,'Share, Heavy Weapons to Ukraine'!B:AU,COLUMN('Share, Heavy Weapons to Ukraine'!AU30)-1,FALSE)+VLOOKUP(AJ83,'Share, Heavy Weapons to Ukraine'!B:AV,COLUMN('Share, Heavy Weapons to Ukraine'!AV30)-1,FALSE)+VLOOKUP(AJ83,'Share, Heavy Weapons to Ukraine'!B:AW,COLUMN('Share, Heavy Weapons to Ukraine'!AW30)-1,FALSE)</f>
        <v>0</v>
      </c>
      <c r="AL83" s="349">
        <f>VLOOKUP(AJ83,'Share, Heavy Weapons to Ukraine'!B:BI,COLUMN('Share, Heavy Weapons to Ukraine'!BI30)-1,FALSE)+VLOOKUP(AJ83,'Share, Heavy Weapons to Ukraine'!B:BJ,COLUMN('Share, Heavy Weapons to Ukraine'!BJ30)-1,FALSE)+VLOOKUP(AJ83,'Share, Heavy Weapons to Ukraine'!B:BK,COLUMN('Share, Heavy Weapons to Ukraine'!BK30)-1,FALSE)</f>
        <v>0</v>
      </c>
      <c r="AM83" s="1365" t="str">
        <f t="shared" si="13"/>
        <v>.</v>
      </c>
      <c r="AO83" s="1372"/>
      <c r="AP83" s="1372"/>
      <c r="AQ83" s="1372"/>
      <c r="AR83" s="1372"/>
      <c r="AS83" s="1372"/>
      <c r="AT83" s="1380">
        <f t="shared" si="9"/>
        <v>1</v>
      </c>
      <c r="AU83" s="349" t="s">
        <v>2204</v>
      </c>
      <c r="AV83" s="349">
        <f>VLOOKUP(AU83,'Share, Heavy Weapons to Ukraine'!B:AP,COLUMN('Share, Heavy Weapons to Ukraine'!AP28)-1,FALSE)</f>
        <v>0</v>
      </c>
      <c r="AW83" s="349">
        <f>VLOOKUP(AU83,'Share, Heavy Weapons to Ukraine'!B:BD,COLUMN('Share, Heavy Weapons to Ukraine'!BD28)-1,FALSE)</f>
        <v>0</v>
      </c>
      <c r="AX83" s="1365" t="str">
        <f t="shared" si="14"/>
        <v>.</v>
      </c>
      <c r="AZ83" s="349" t="s">
        <v>3214</v>
      </c>
      <c r="BA83" s="349">
        <v>0</v>
      </c>
    </row>
    <row r="84" spans="2:53" ht="15.95" customHeight="1">
      <c r="B84" s="1380">
        <f t="shared" si="5"/>
        <v>1</v>
      </c>
      <c r="C84" s="349" t="s">
        <v>1973</v>
      </c>
      <c r="D84" s="350">
        <f>VLOOKUP(C84,'Share, Heavy Weapons to Ukraine'!B:AX,COLUMN('Share, Heavy Weapons to Ukraine'!AR26)-1,FALSE)</f>
        <v>0</v>
      </c>
      <c r="E84" s="350">
        <f>VLOOKUP(C84,'Share, Heavy Weapons to Ukraine'!B:BF,COLUMN('Share, Heavy Weapons to Ukraine'!BF31)-1,FALSE)</f>
        <v>0</v>
      </c>
      <c r="F84" s="1365" t="str">
        <f t="shared" si="10"/>
        <v>.</v>
      </c>
      <c r="H84" s="1372"/>
      <c r="I84" s="1372"/>
      <c r="J84" s="1372"/>
      <c r="K84" s="1372"/>
      <c r="L84" s="1372"/>
      <c r="M84" s="1380">
        <f t="shared" si="6"/>
        <v>1</v>
      </c>
      <c r="N84" s="349" t="s">
        <v>1194</v>
      </c>
      <c r="O84" s="349">
        <f>VLOOKUP(N84,'Share, Heavy Weapons to Ukraine'!B:AX,COLUMN('Share, Heavy Weapons to Ukraine'!AS31)-1,FALSE)</f>
        <v>0</v>
      </c>
      <c r="P84" s="349">
        <f>VLOOKUP(N84,'Share, Heavy Weapons to Ukraine'!B:BG,COLUMN('Share, Heavy Weapons to Ukraine'!BG32)-1,FALSE)</f>
        <v>0</v>
      </c>
      <c r="Q84" s="1365" t="str">
        <f t="shared" si="11"/>
        <v>.</v>
      </c>
      <c r="S84" s="1372"/>
      <c r="T84" s="1372"/>
      <c r="U84" s="1372"/>
      <c r="V84" s="1372"/>
      <c r="W84" s="1372"/>
      <c r="X84" s="1380">
        <f t="shared" si="7"/>
        <v>1</v>
      </c>
      <c r="Y84" s="349" t="s">
        <v>1973</v>
      </c>
      <c r="Z84" s="349">
        <f>VLOOKUP(Y84,'Share, Heavy Weapons to Ukraine'!B:AX,COLUMN('Share, Heavy Weapons to Ukraine'!AL26)-1,FALSE)</f>
        <v>0</v>
      </c>
      <c r="AA84" s="349">
        <f>VLOOKUP(Y84,'Share, Heavy Weapons to Ukraine'!B:AZ,COLUMN('Share, Heavy Weapons to Ukraine'!AZ37)-1,FALSE)</f>
        <v>0</v>
      </c>
      <c r="AB84" s="1365" t="str">
        <f t="shared" si="12"/>
        <v>.</v>
      </c>
      <c r="AD84" s="1372"/>
      <c r="AE84" s="1372"/>
      <c r="AF84" s="1372"/>
      <c r="AG84" s="1372"/>
      <c r="AH84" s="1372"/>
      <c r="AI84" s="1380">
        <f t="shared" si="8"/>
        <v>1</v>
      </c>
      <c r="AJ84" s="349" t="s">
        <v>1973</v>
      </c>
      <c r="AK84" s="349">
        <f>VLOOKUP(AJ84,'Share, Heavy Weapons to Ukraine'!B:AU,COLUMN('Share, Heavy Weapons to Ukraine'!AU31)-1,FALSE)+VLOOKUP(AJ84,'Share, Heavy Weapons to Ukraine'!B:AV,COLUMN('Share, Heavy Weapons to Ukraine'!AV31)-1,FALSE)+VLOOKUP(AJ84,'Share, Heavy Weapons to Ukraine'!B:AW,COLUMN('Share, Heavy Weapons to Ukraine'!AW31)-1,FALSE)</f>
        <v>0</v>
      </c>
      <c r="AL84" s="349">
        <f>VLOOKUP(AJ84,'Share, Heavy Weapons to Ukraine'!B:BI,COLUMN('Share, Heavy Weapons to Ukraine'!BI31)-1,FALSE)+VLOOKUP(AJ84,'Share, Heavy Weapons to Ukraine'!B:BJ,COLUMN('Share, Heavy Weapons to Ukraine'!BJ31)-1,FALSE)+VLOOKUP(AJ84,'Share, Heavy Weapons to Ukraine'!B:BK,COLUMN('Share, Heavy Weapons to Ukraine'!BK31)-1,FALSE)</f>
        <v>0</v>
      </c>
      <c r="AM84" s="1365" t="str">
        <f t="shared" si="13"/>
        <v>.</v>
      </c>
      <c r="AO84" s="1372"/>
      <c r="AP84" s="1372"/>
      <c r="AQ84" s="1372"/>
      <c r="AR84" s="1372"/>
      <c r="AS84" s="1372"/>
      <c r="AT84" s="1380">
        <f t="shared" si="9"/>
        <v>0</v>
      </c>
      <c r="AU84" s="349" t="s">
        <v>3685</v>
      </c>
      <c r="AV84" s="349">
        <f>VLOOKUP(AU84,'Share, Heavy Weapons to Ukraine'!B:AP,COLUMN('Share, Heavy Weapons to Ukraine'!AP29)-1,FALSE)</f>
        <v>0</v>
      </c>
      <c r="AW84" s="349">
        <f>VLOOKUP(AU84,'Share, Heavy Weapons to Ukraine'!B:BD,COLUMN('Share, Heavy Weapons to Ukraine'!BD29)-1,FALSE)</f>
        <v>0</v>
      </c>
      <c r="AX84" s="1365" t="str">
        <f t="shared" si="14"/>
        <v>.</v>
      </c>
      <c r="AZ84" s="349" t="s">
        <v>1194</v>
      </c>
      <c r="BA84" s="349">
        <v>1</v>
      </c>
    </row>
    <row r="85" spans="2:53" ht="15.95" customHeight="1">
      <c r="B85" s="1380">
        <f t="shared" si="5"/>
        <v>1</v>
      </c>
      <c r="C85" s="349" t="s">
        <v>558</v>
      </c>
      <c r="D85" s="350">
        <f>VLOOKUP(C85,'Share, Heavy Weapons to Ukraine'!B:AX,COLUMN('Share, Heavy Weapons to Ukraine'!AR27)-1,FALSE)</f>
        <v>0</v>
      </c>
      <c r="E85" s="350">
        <f>VLOOKUP(C85,'Share, Heavy Weapons to Ukraine'!B:BF,COLUMN('Share, Heavy Weapons to Ukraine'!BF32)-1,FALSE)</f>
        <v>0</v>
      </c>
      <c r="F85" s="1365" t="str">
        <f t="shared" si="10"/>
        <v>.</v>
      </c>
      <c r="H85" s="1372"/>
      <c r="I85" s="1372"/>
      <c r="J85" s="1372"/>
      <c r="K85" s="1372"/>
      <c r="L85" s="1372"/>
      <c r="M85" s="1380">
        <f t="shared" si="6"/>
        <v>1</v>
      </c>
      <c r="N85" s="349" t="s">
        <v>454</v>
      </c>
      <c r="O85" s="349">
        <f>VLOOKUP(N85,'Share, Heavy Weapons to Ukraine'!B:AX,COLUMN('Share, Heavy Weapons to Ukraine'!AS32)-1,FALSE)</f>
        <v>0</v>
      </c>
      <c r="P85" s="349">
        <f>VLOOKUP(N85,'Share, Heavy Weapons to Ukraine'!B:BG,COLUMN('Share, Heavy Weapons to Ukraine'!BG33)-1,FALSE)</f>
        <v>0</v>
      </c>
      <c r="Q85" s="1365" t="str">
        <f t="shared" si="11"/>
        <v>.</v>
      </c>
      <c r="S85" s="1372"/>
      <c r="T85" s="1372"/>
      <c r="U85" s="1372"/>
      <c r="V85" s="1372"/>
      <c r="W85" s="1372"/>
      <c r="X85" s="1380">
        <f t="shared" si="7"/>
        <v>1</v>
      </c>
      <c r="Y85" s="349" t="s">
        <v>558</v>
      </c>
      <c r="Z85" s="349">
        <f>VLOOKUP(Y85,'Share, Heavy Weapons to Ukraine'!B:AX,COLUMN('Share, Heavy Weapons to Ukraine'!AL36)-1,FALSE)</f>
        <v>0</v>
      </c>
      <c r="AA85" s="349">
        <f>VLOOKUP(Y85,'Share, Heavy Weapons to Ukraine'!B:AZ,COLUMN('Share, Heavy Weapons to Ukraine'!AZ38)-1,FALSE)</f>
        <v>0</v>
      </c>
      <c r="AB85" s="1365" t="str">
        <f t="shared" si="12"/>
        <v>.</v>
      </c>
      <c r="AD85" s="1372"/>
      <c r="AE85" s="1372"/>
      <c r="AF85" s="1372"/>
      <c r="AG85" s="1372"/>
      <c r="AH85" s="1372"/>
      <c r="AI85" s="1380">
        <f t="shared" si="8"/>
        <v>1</v>
      </c>
      <c r="AJ85" s="349" t="s">
        <v>558</v>
      </c>
      <c r="AK85" s="349">
        <f>VLOOKUP(AJ85,'Share, Heavy Weapons to Ukraine'!B:AU,COLUMN('Share, Heavy Weapons to Ukraine'!AU32)-1,FALSE)+VLOOKUP(AJ85,'Share, Heavy Weapons to Ukraine'!B:AV,COLUMN('Share, Heavy Weapons to Ukraine'!AV32)-1,FALSE)+VLOOKUP(AJ85,'Share, Heavy Weapons to Ukraine'!B:AW,COLUMN('Share, Heavy Weapons to Ukraine'!AW32)-1,FALSE)</f>
        <v>0</v>
      </c>
      <c r="AL85" s="349">
        <f>VLOOKUP(AJ85,'Share, Heavy Weapons to Ukraine'!B:BI,COLUMN('Share, Heavy Weapons to Ukraine'!BI32)-1,FALSE)+VLOOKUP(AJ85,'Share, Heavy Weapons to Ukraine'!B:BJ,COLUMN('Share, Heavy Weapons to Ukraine'!BJ32)-1,FALSE)+VLOOKUP(AJ85,'Share, Heavy Weapons to Ukraine'!B:BK,COLUMN('Share, Heavy Weapons to Ukraine'!BK32)-1,FALSE)</f>
        <v>0</v>
      </c>
      <c r="AM85" s="1365" t="str">
        <f t="shared" si="13"/>
        <v>.</v>
      </c>
      <c r="AO85" s="1372"/>
      <c r="AP85" s="1372"/>
      <c r="AQ85" s="1372"/>
      <c r="AR85" s="1372"/>
      <c r="AS85" s="1372"/>
      <c r="AT85" s="1380">
        <f t="shared" si="9"/>
        <v>1</v>
      </c>
      <c r="AU85" s="349" t="s">
        <v>558</v>
      </c>
      <c r="AV85" s="349">
        <f>VLOOKUP(AU85,'Share, Heavy Weapons to Ukraine'!B:AP,COLUMN('Share, Heavy Weapons to Ukraine'!AP31)-1,FALSE)</f>
        <v>0</v>
      </c>
      <c r="AW85" s="349">
        <f>VLOOKUP(AU85,'Share, Heavy Weapons to Ukraine'!B:BD,COLUMN('Share, Heavy Weapons to Ukraine'!BD31)-1,FALSE)</f>
        <v>0</v>
      </c>
      <c r="AX85" s="1365" t="str">
        <f t="shared" si="14"/>
        <v>.</v>
      </c>
      <c r="AZ85" s="349" t="s">
        <v>454</v>
      </c>
      <c r="BA85" s="349">
        <v>1</v>
      </c>
    </row>
    <row r="86" spans="2:53" ht="15.95" customHeight="1">
      <c r="B86" s="1380">
        <f t="shared" si="5"/>
        <v>1</v>
      </c>
      <c r="C86" s="349" t="s">
        <v>1432</v>
      </c>
      <c r="D86" s="350">
        <f>VLOOKUP(C86,'Share, Heavy Weapons to Ukraine'!B:AX,COLUMN('Share, Heavy Weapons to Ukraine'!AR28)-1,FALSE)</f>
        <v>0</v>
      </c>
      <c r="E86" s="350">
        <f>VLOOKUP(C86,'Share, Heavy Weapons to Ukraine'!B:BF,COLUMN('Share, Heavy Weapons to Ukraine'!BF33)-1,FALSE)</f>
        <v>0</v>
      </c>
      <c r="F86" s="1365" t="str">
        <f t="shared" si="10"/>
        <v>.</v>
      </c>
      <c r="H86" s="1372"/>
      <c r="I86" s="1372"/>
      <c r="J86" s="1372"/>
      <c r="K86" s="1372"/>
      <c r="L86" s="1372"/>
      <c r="M86" s="1380">
        <f t="shared" si="6"/>
        <v>1</v>
      </c>
      <c r="N86" s="349" t="s">
        <v>2832</v>
      </c>
      <c r="O86" s="349">
        <f>VLOOKUP(N86,'Share, Heavy Weapons to Ukraine'!B:AX,COLUMN('Share, Heavy Weapons to Ukraine'!AS33)-1,FALSE)</f>
        <v>0</v>
      </c>
      <c r="P86" s="349">
        <f>VLOOKUP(N86,'Share, Heavy Weapons to Ukraine'!B:BG,COLUMN('Share, Heavy Weapons to Ukraine'!BG34)-1,FALSE)</f>
        <v>0</v>
      </c>
      <c r="Q86" s="1365" t="str">
        <f t="shared" si="11"/>
        <v>.</v>
      </c>
      <c r="S86" s="1372"/>
      <c r="T86" s="1372"/>
      <c r="U86" s="1372"/>
      <c r="V86" s="1372"/>
      <c r="W86" s="1372"/>
      <c r="X86" s="1380">
        <f t="shared" si="7"/>
        <v>0</v>
      </c>
      <c r="Y86" s="349" t="s">
        <v>3214</v>
      </c>
      <c r="Z86" s="349">
        <f>VLOOKUP(Y86,'Share, Heavy Weapons to Ukraine'!B:AX,COLUMN('Share, Heavy Weapons to Ukraine'!AL39)-1,FALSE)</f>
        <v>0</v>
      </c>
      <c r="AA86" s="349">
        <f>VLOOKUP(Y86,'Share, Heavy Weapons to Ukraine'!B:AZ,COLUMN('Share, Heavy Weapons to Ukraine'!AZ39)-1,FALSE)</f>
        <v>0</v>
      </c>
      <c r="AB86" s="1365" t="str">
        <f t="shared" si="12"/>
        <v>.</v>
      </c>
      <c r="AD86" s="1372"/>
      <c r="AE86" s="1372"/>
      <c r="AF86" s="1372"/>
      <c r="AG86" s="1372"/>
      <c r="AH86" s="1372"/>
      <c r="AI86" s="1380">
        <f t="shared" si="8"/>
        <v>0</v>
      </c>
      <c r="AJ86" s="349" t="s">
        <v>3214</v>
      </c>
      <c r="AK86" s="349">
        <f>VLOOKUP(AJ86,'Share, Heavy Weapons to Ukraine'!B:AU,COLUMN('Share, Heavy Weapons to Ukraine'!AU33)-1,FALSE)+VLOOKUP(AJ86,'Share, Heavy Weapons to Ukraine'!B:AV,COLUMN('Share, Heavy Weapons to Ukraine'!AV33)-1,FALSE)+VLOOKUP(AJ86,'Share, Heavy Weapons to Ukraine'!B:AW,COLUMN('Share, Heavy Weapons to Ukraine'!AW33)-1,FALSE)</f>
        <v>0</v>
      </c>
      <c r="AL86" s="349">
        <f>VLOOKUP(AJ86,'Share, Heavy Weapons to Ukraine'!B:BI,COLUMN('Share, Heavy Weapons to Ukraine'!BI33)-1,FALSE)+VLOOKUP(AJ86,'Share, Heavy Weapons to Ukraine'!B:BJ,COLUMN('Share, Heavy Weapons to Ukraine'!BJ33)-1,FALSE)+VLOOKUP(AJ86,'Share, Heavy Weapons to Ukraine'!B:BK,COLUMN('Share, Heavy Weapons to Ukraine'!BK33)-1,FALSE)</f>
        <v>0</v>
      </c>
      <c r="AM86" s="1365" t="str">
        <f t="shared" si="13"/>
        <v>.</v>
      </c>
      <c r="AO86" s="1372"/>
      <c r="AP86" s="1372"/>
      <c r="AQ86" s="1372"/>
      <c r="AR86" s="1372"/>
      <c r="AS86" s="1372"/>
      <c r="AT86" s="1380">
        <f t="shared" si="9"/>
        <v>0</v>
      </c>
      <c r="AU86" s="349" t="s">
        <v>3214</v>
      </c>
      <c r="AV86" s="349">
        <f>VLOOKUP(AU86,'Share, Heavy Weapons to Ukraine'!B:AP,COLUMN('Share, Heavy Weapons to Ukraine'!AP32)-1,FALSE)</f>
        <v>0</v>
      </c>
      <c r="AW86" s="349">
        <f>VLOOKUP(AU86,'Share, Heavy Weapons to Ukraine'!B:BD,COLUMN('Share, Heavy Weapons to Ukraine'!BD32)-1,FALSE)</f>
        <v>0</v>
      </c>
      <c r="AX86" s="1365" t="str">
        <f t="shared" si="14"/>
        <v>.</v>
      </c>
      <c r="AZ86" s="349" t="s">
        <v>2832</v>
      </c>
      <c r="BA86" s="349">
        <v>1</v>
      </c>
    </row>
    <row r="87" spans="2:53" ht="15.95" customHeight="1">
      <c r="B87" s="1380">
        <f t="shared" si="5"/>
        <v>0</v>
      </c>
      <c r="C87" s="349" t="s">
        <v>3214</v>
      </c>
      <c r="D87" s="350">
        <f>VLOOKUP(C87,'Share, Heavy Weapons to Ukraine'!B:AX,COLUMN('Share, Heavy Weapons to Ukraine'!AR29)-1,FALSE)</f>
        <v>0</v>
      </c>
      <c r="E87" s="350">
        <f>VLOOKUP(C87,'Share, Heavy Weapons to Ukraine'!B:BF,COLUMN('Share, Heavy Weapons to Ukraine'!BF34)-1,FALSE)</f>
        <v>0</v>
      </c>
      <c r="F87" s="1365" t="str">
        <f t="shared" si="10"/>
        <v>.</v>
      </c>
      <c r="H87" s="1372"/>
      <c r="I87" s="1372"/>
      <c r="J87" s="1372"/>
      <c r="K87" s="1372"/>
      <c r="L87" s="1372"/>
      <c r="M87" s="1380">
        <f t="shared" si="6"/>
        <v>1</v>
      </c>
      <c r="N87" s="349" t="s">
        <v>3079</v>
      </c>
      <c r="O87" s="349">
        <f>VLOOKUP(N87,'Share, Heavy Weapons to Ukraine'!B:AX,COLUMN('Share, Heavy Weapons to Ukraine'!AS34)-1,FALSE)</f>
        <v>0</v>
      </c>
      <c r="P87" s="349">
        <f>VLOOKUP(N87,'Share, Heavy Weapons to Ukraine'!B:BG,COLUMN('Share, Heavy Weapons to Ukraine'!BG35)-1,FALSE)</f>
        <v>0</v>
      </c>
      <c r="Q87" s="1365" t="str">
        <f t="shared" si="11"/>
        <v>.</v>
      </c>
      <c r="S87" s="1372"/>
      <c r="T87" s="1372"/>
      <c r="U87" s="1372"/>
      <c r="V87" s="1372"/>
      <c r="W87" s="1372"/>
      <c r="X87" s="1380">
        <f t="shared" si="7"/>
        <v>1</v>
      </c>
      <c r="Y87" s="349" t="s">
        <v>454</v>
      </c>
      <c r="Z87" s="349">
        <f>VLOOKUP(Y87,'Share, Heavy Weapons to Ukraine'!B:AX,COLUMN('Share, Heavy Weapons to Ukraine'!AL42)-1,FALSE)</f>
        <v>0</v>
      </c>
      <c r="AA87" s="349">
        <f>VLOOKUP(Y87,'Share, Heavy Weapons to Ukraine'!B:AZ,COLUMN('Share, Heavy Weapons to Ukraine'!AZ41)-1,FALSE)</f>
        <v>0</v>
      </c>
      <c r="AB87" s="1365" t="str">
        <f t="shared" si="12"/>
        <v>.</v>
      </c>
      <c r="AD87" s="1372"/>
      <c r="AE87" s="1372"/>
      <c r="AF87" s="1372"/>
      <c r="AG87" s="1372"/>
      <c r="AH87" s="1372"/>
      <c r="AI87" s="1380">
        <f t="shared" si="8"/>
        <v>1</v>
      </c>
      <c r="AJ87" s="349" t="s">
        <v>1194</v>
      </c>
      <c r="AK87" s="349">
        <f>VLOOKUP(AJ87,'Share, Heavy Weapons to Ukraine'!B:AU,COLUMN('Share, Heavy Weapons to Ukraine'!AU34)-1,FALSE)+VLOOKUP(AJ87,'Share, Heavy Weapons to Ukraine'!B:AV,COLUMN('Share, Heavy Weapons to Ukraine'!AV34)-1,FALSE)+VLOOKUP(AJ87,'Share, Heavy Weapons to Ukraine'!B:AW,COLUMN('Share, Heavy Weapons to Ukraine'!AW34)-1,FALSE)</f>
        <v>0</v>
      </c>
      <c r="AL87" s="349">
        <f>VLOOKUP(AJ87,'Share, Heavy Weapons to Ukraine'!B:BI,COLUMN('Share, Heavy Weapons to Ukraine'!BI34)-1,FALSE)+VLOOKUP(AJ87,'Share, Heavy Weapons to Ukraine'!B:BJ,COLUMN('Share, Heavy Weapons to Ukraine'!BJ34)-1,FALSE)+VLOOKUP(AJ87,'Share, Heavy Weapons to Ukraine'!B:BK,COLUMN('Share, Heavy Weapons to Ukraine'!BK34)-1,FALSE)</f>
        <v>0</v>
      </c>
      <c r="AM87" s="1365" t="str">
        <f t="shared" si="13"/>
        <v>.</v>
      </c>
      <c r="AO87" s="1372"/>
      <c r="AP87" s="1372"/>
      <c r="AQ87" s="1372"/>
      <c r="AR87" s="1372"/>
      <c r="AS87" s="1372"/>
      <c r="AT87" s="1380">
        <f t="shared" si="9"/>
        <v>1</v>
      </c>
      <c r="AU87" s="349" t="s">
        <v>1194</v>
      </c>
      <c r="AV87" s="349">
        <f>VLOOKUP(AU87,'Share, Heavy Weapons to Ukraine'!B:AP,COLUMN('Share, Heavy Weapons to Ukraine'!AP33)-1,FALSE)</f>
        <v>0</v>
      </c>
      <c r="AW87" s="349">
        <f>VLOOKUP(AU87,'Share, Heavy Weapons to Ukraine'!B:BD,COLUMN('Share, Heavy Weapons to Ukraine'!BD33)-1,FALSE)</f>
        <v>0</v>
      </c>
      <c r="AX87" s="1365" t="str">
        <f t="shared" si="14"/>
        <v>.</v>
      </c>
      <c r="AZ87" s="349" t="s">
        <v>3079</v>
      </c>
      <c r="BA87" s="349">
        <v>1</v>
      </c>
    </row>
    <row r="88" spans="2:53" ht="15.95" customHeight="1">
      <c r="B88" s="1380">
        <f t="shared" si="5"/>
        <v>1</v>
      </c>
      <c r="C88" s="349" t="s">
        <v>454</v>
      </c>
      <c r="D88" s="350">
        <f>VLOOKUP(C88,'Share, Heavy Weapons to Ukraine'!B:AX,COLUMN('Share, Heavy Weapons to Ukraine'!AR32)-1,FALSE)</f>
        <v>0</v>
      </c>
      <c r="E88" s="350">
        <f>VLOOKUP(C88,'Share, Heavy Weapons to Ukraine'!B:BF,COLUMN('Share, Heavy Weapons to Ukraine'!BF35)-1,FALSE)</f>
        <v>0</v>
      </c>
      <c r="F88" s="1365" t="str">
        <f t="shared" si="10"/>
        <v>.</v>
      </c>
      <c r="H88" s="1372"/>
      <c r="I88" s="1372"/>
      <c r="J88" s="1372"/>
      <c r="K88" s="1372"/>
      <c r="L88" s="1372"/>
      <c r="M88" s="1380">
        <f t="shared" si="6"/>
        <v>0</v>
      </c>
      <c r="N88" s="349" t="s">
        <v>2028</v>
      </c>
      <c r="O88" s="349">
        <f>VLOOKUP(N88,'Share, Heavy Weapons to Ukraine'!B:AX,COLUMN('Share, Heavy Weapons to Ukraine'!AS35)-1,FALSE)</f>
        <v>0</v>
      </c>
      <c r="P88" s="349">
        <f>VLOOKUP(N88,'Share, Heavy Weapons to Ukraine'!B:BG,COLUMN('Share, Heavy Weapons to Ukraine'!BG36)-1,FALSE)</f>
        <v>0</v>
      </c>
      <c r="Q88" s="1365" t="str">
        <f t="shared" si="11"/>
        <v>.</v>
      </c>
      <c r="S88" s="1372"/>
      <c r="T88" s="1372"/>
      <c r="U88" s="1372"/>
      <c r="V88" s="1372"/>
      <c r="W88" s="1372"/>
      <c r="X88" s="1380">
        <f t="shared" si="7"/>
        <v>1</v>
      </c>
      <c r="Y88" s="349" t="s">
        <v>2832</v>
      </c>
      <c r="Z88" s="349">
        <f>VLOOKUP(Y88,'Share, Heavy Weapons to Ukraine'!B:AX,COLUMN('Share, Heavy Weapons to Ukraine'!AL43)-1,FALSE)</f>
        <v>0</v>
      </c>
      <c r="AA88" s="349">
        <f>VLOOKUP(Y88,'Share, Heavy Weapons to Ukraine'!B:AZ,COLUMN('Share, Heavy Weapons to Ukraine'!AZ42)-1,FALSE)</f>
        <v>0</v>
      </c>
      <c r="AB88" s="1365" t="str">
        <f t="shared" si="12"/>
        <v>.</v>
      </c>
      <c r="AD88" s="1372"/>
      <c r="AE88" s="1372"/>
      <c r="AF88" s="1372"/>
      <c r="AG88" s="1372"/>
      <c r="AH88" s="1372"/>
      <c r="AI88" s="1380">
        <f t="shared" si="8"/>
        <v>1</v>
      </c>
      <c r="AJ88" s="349" t="s">
        <v>454</v>
      </c>
      <c r="AK88" s="349">
        <f>VLOOKUP(AJ88,'Share, Heavy Weapons to Ukraine'!B:AU,COLUMN('Share, Heavy Weapons to Ukraine'!AU35)-1,FALSE)+VLOOKUP(AJ88,'Share, Heavy Weapons to Ukraine'!B:AV,COLUMN('Share, Heavy Weapons to Ukraine'!AV35)-1,FALSE)+VLOOKUP(AJ88,'Share, Heavy Weapons to Ukraine'!B:AW,COLUMN('Share, Heavy Weapons to Ukraine'!AW35)-1,FALSE)</f>
        <v>0</v>
      </c>
      <c r="AL88" s="349">
        <f>VLOOKUP(AJ88,'Share, Heavy Weapons to Ukraine'!B:BI,COLUMN('Share, Heavy Weapons to Ukraine'!BI35)-1,FALSE)+VLOOKUP(AJ88,'Share, Heavy Weapons to Ukraine'!B:BJ,COLUMN('Share, Heavy Weapons to Ukraine'!BJ35)-1,FALSE)+VLOOKUP(AJ88,'Share, Heavy Weapons to Ukraine'!B:BK,COLUMN('Share, Heavy Weapons to Ukraine'!BK35)-1,FALSE)</f>
        <v>0</v>
      </c>
      <c r="AM88" s="1365" t="str">
        <f t="shared" si="13"/>
        <v>.</v>
      </c>
      <c r="AO88" s="1372"/>
      <c r="AP88" s="1372"/>
      <c r="AQ88" s="1372"/>
      <c r="AR88" s="1372"/>
      <c r="AS88" s="1372"/>
      <c r="AT88" s="1380">
        <f t="shared" si="9"/>
        <v>1</v>
      </c>
      <c r="AU88" s="349" t="s">
        <v>454</v>
      </c>
      <c r="AV88" s="349">
        <f>VLOOKUP(AU88,'Share, Heavy Weapons to Ukraine'!B:AP,COLUMN('Share, Heavy Weapons to Ukraine'!AP34)-1,FALSE)</f>
        <v>0</v>
      </c>
      <c r="AW88" s="349">
        <f>VLOOKUP(AU88,'Share, Heavy Weapons to Ukraine'!B:BD,COLUMN('Share, Heavy Weapons to Ukraine'!BD34)-1,FALSE)</f>
        <v>0</v>
      </c>
      <c r="AX88" s="1365" t="str">
        <f t="shared" si="14"/>
        <v>.</v>
      </c>
      <c r="AZ88" s="349" t="s">
        <v>2028</v>
      </c>
      <c r="BA88" s="349">
        <v>0</v>
      </c>
    </row>
    <row r="89" spans="2:53" ht="15.95" customHeight="1">
      <c r="B89" s="1380">
        <f t="shared" si="5"/>
        <v>1</v>
      </c>
      <c r="C89" s="349" t="s">
        <v>2832</v>
      </c>
      <c r="D89" s="350">
        <f>VLOOKUP(C89,'Share, Heavy Weapons to Ukraine'!B:AX,COLUMN('Share, Heavy Weapons to Ukraine'!AR33)-1,FALSE)</f>
        <v>0</v>
      </c>
      <c r="E89" s="350">
        <f>VLOOKUP(C89,'Share, Heavy Weapons to Ukraine'!B:BF,COLUMN('Share, Heavy Weapons to Ukraine'!BF36)-1,FALSE)</f>
        <v>0</v>
      </c>
      <c r="F89" s="1365" t="str">
        <f t="shared" si="10"/>
        <v>.</v>
      </c>
      <c r="H89" s="1372"/>
      <c r="I89" s="1372"/>
      <c r="J89" s="1372"/>
      <c r="K89" s="1372"/>
      <c r="L89" s="1372"/>
      <c r="M89" s="1380">
        <f t="shared" si="6"/>
        <v>0</v>
      </c>
      <c r="N89" s="349" t="s">
        <v>3261</v>
      </c>
      <c r="O89" s="349">
        <f>VLOOKUP(N89,'Share, Heavy Weapons to Ukraine'!B:AX,COLUMN('Share, Heavy Weapons to Ukraine'!AS36)-1,FALSE)</f>
        <v>0</v>
      </c>
      <c r="P89" s="349">
        <f>VLOOKUP(N89,'Share, Heavy Weapons to Ukraine'!B:BG,COLUMN('Share, Heavy Weapons to Ukraine'!BG37)-1,FALSE)</f>
        <v>0</v>
      </c>
      <c r="Q89" s="1365" t="str">
        <f t="shared" si="11"/>
        <v>.</v>
      </c>
      <c r="S89" s="1372"/>
      <c r="T89" s="1372"/>
      <c r="U89" s="1372"/>
      <c r="V89" s="1372"/>
      <c r="W89" s="1372"/>
      <c r="X89" s="1380">
        <f t="shared" si="7"/>
        <v>0</v>
      </c>
      <c r="Y89" s="349" t="s">
        <v>2028</v>
      </c>
      <c r="Z89" s="349">
        <f>VLOOKUP(Y89,'Share, Heavy Weapons to Ukraine'!B:AX,COLUMN('Share, Heavy Weapons to Ukraine'!AL46)-1,FALSE)</f>
        <v>0</v>
      </c>
      <c r="AA89" s="349">
        <f>VLOOKUP(Y89,'Share, Heavy Weapons to Ukraine'!B:AZ,COLUMN('Share, Heavy Weapons to Ukraine'!AZ43)-1,FALSE)</f>
        <v>0</v>
      </c>
      <c r="AB89" s="1365" t="str">
        <f t="shared" si="12"/>
        <v>.</v>
      </c>
      <c r="AD89" s="1372"/>
      <c r="AE89" s="1372"/>
      <c r="AF89" s="1372"/>
      <c r="AG89" s="1372"/>
      <c r="AH89" s="1372"/>
      <c r="AI89" s="1380">
        <f t="shared" si="8"/>
        <v>1</v>
      </c>
      <c r="AJ89" s="349" t="s">
        <v>2832</v>
      </c>
      <c r="AK89" s="349">
        <f>VLOOKUP(AJ89,'Share, Heavy Weapons to Ukraine'!B:AU,COLUMN('Share, Heavy Weapons to Ukraine'!AU36)-1,FALSE)+VLOOKUP(AJ89,'Share, Heavy Weapons to Ukraine'!B:AV,COLUMN('Share, Heavy Weapons to Ukraine'!AV36)-1,FALSE)+VLOOKUP(AJ89,'Share, Heavy Weapons to Ukraine'!B:AW,COLUMN('Share, Heavy Weapons to Ukraine'!AW36)-1,FALSE)</f>
        <v>0</v>
      </c>
      <c r="AL89" s="349">
        <f>VLOOKUP(AJ89,'Share, Heavy Weapons to Ukraine'!B:BI,COLUMN('Share, Heavy Weapons to Ukraine'!BI36)-1,FALSE)+VLOOKUP(AJ89,'Share, Heavy Weapons to Ukraine'!B:BJ,COLUMN('Share, Heavy Weapons to Ukraine'!BJ36)-1,FALSE)+VLOOKUP(AJ89,'Share, Heavy Weapons to Ukraine'!B:BK,COLUMN('Share, Heavy Weapons to Ukraine'!BK36)-1,FALSE)</f>
        <v>0</v>
      </c>
      <c r="AM89" s="1365" t="str">
        <f t="shared" si="13"/>
        <v>.</v>
      </c>
      <c r="AO89" s="1372"/>
      <c r="AP89" s="1372"/>
      <c r="AQ89" s="1372"/>
      <c r="AR89" s="1372"/>
      <c r="AS89" s="1372"/>
      <c r="AT89" s="1380">
        <f t="shared" si="9"/>
        <v>1</v>
      </c>
      <c r="AU89" s="349" t="s">
        <v>2832</v>
      </c>
      <c r="AV89" s="349">
        <f>VLOOKUP(AU89,'Share, Heavy Weapons to Ukraine'!B:AP,COLUMN('Share, Heavy Weapons to Ukraine'!AP35)-1,FALSE)</f>
        <v>0</v>
      </c>
      <c r="AW89" s="349">
        <f>VLOOKUP(AU89,'Share, Heavy Weapons to Ukraine'!B:BD,COLUMN('Share, Heavy Weapons to Ukraine'!BD35)-1,FALSE)</f>
        <v>0</v>
      </c>
      <c r="AX89" s="1365" t="str">
        <f t="shared" si="14"/>
        <v>.</v>
      </c>
      <c r="AZ89" s="349" t="s">
        <v>3261</v>
      </c>
      <c r="BA89" s="349">
        <v>0</v>
      </c>
    </row>
    <row r="90" spans="2:53" ht="15.95" customHeight="1">
      <c r="B90" s="1380">
        <f t="shared" si="5"/>
        <v>0</v>
      </c>
      <c r="C90" s="349" t="s">
        <v>2028</v>
      </c>
      <c r="D90" s="350">
        <f>VLOOKUP(C90,'Share, Heavy Weapons to Ukraine'!B:AX,COLUMN('Share, Heavy Weapons to Ukraine'!AR34)-1,FALSE)</f>
        <v>0</v>
      </c>
      <c r="E90" s="350">
        <f>VLOOKUP(C90,'Share, Heavy Weapons to Ukraine'!B:BF,COLUMN('Share, Heavy Weapons to Ukraine'!BF37)-1,FALSE)</f>
        <v>0</v>
      </c>
      <c r="F90" s="1365" t="str">
        <f t="shared" si="10"/>
        <v>.</v>
      </c>
      <c r="H90" s="1372"/>
      <c r="I90" s="1372"/>
      <c r="J90" s="1372"/>
      <c r="K90" s="1372"/>
      <c r="L90" s="1372"/>
      <c r="M90" s="1380">
        <f t="shared" si="6"/>
        <v>0</v>
      </c>
      <c r="N90" s="349" t="s">
        <v>673</v>
      </c>
      <c r="O90" s="349">
        <f>VLOOKUP(N90,'Share, Heavy Weapons to Ukraine'!B:AX,COLUMN('Share, Heavy Weapons to Ukraine'!AS37)-1,FALSE)</f>
        <v>0</v>
      </c>
      <c r="P90" s="349">
        <f>VLOOKUP(N90,'Share, Heavy Weapons to Ukraine'!B:BG,COLUMN('Share, Heavy Weapons to Ukraine'!BG38)-1,FALSE)</f>
        <v>0</v>
      </c>
      <c r="Q90" s="1365" t="str">
        <f t="shared" si="11"/>
        <v>.</v>
      </c>
      <c r="S90" s="1372"/>
      <c r="T90" s="1372"/>
      <c r="U90" s="1372"/>
      <c r="V90" s="1372"/>
      <c r="W90" s="1372"/>
      <c r="X90" s="1380">
        <f t="shared" si="7"/>
        <v>0</v>
      </c>
      <c r="Y90" s="349" t="s">
        <v>3261</v>
      </c>
      <c r="Z90" s="349">
        <f>VLOOKUP(Y90,'Share, Heavy Weapons to Ukraine'!B:AX,COLUMN('Share, Heavy Weapons to Ukraine'!AL47)-1,FALSE)</f>
        <v>0</v>
      </c>
      <c r="AA90" s="349">
        <f>VLOOKUP(Y90,'Share, Heavy Weapons to Ukraine'!B:AZ,COLUMN('Share, Heavy Weapons to Ukraine'!AZ44)-1,FALSE)</f>
        <v>0</v>
      </c>
      <c r="AB90" s="1365" t="str">
        <f t="shared" si="12"/>
        <v>.</v>
      </c>
      <c r="AD90" s="1372"/>
      <c r="AE90" s="1372"/>
      <c r="AF90" s="1372"/>
      <c r="AG90" s="1372"/>
      <c r="AH90" s="1372"/>
      <c r="AI90" s="1380">
        <f t="shared" si="8"/>
        <v>0</v>
      </c>
      <c r="AJ90" s="349" t="s">
        <v>2028</v>
      </c>
      <c r="AK90" s="349">
        <f>VLOOKUP(AJ90,'Share, Heavy Weapons to Ukraine'!B:AU,COLUMN('Share, Heavy Weapons to Ukraine'!AU37)-1,FALSE)+VLOOKUP(AJ90,'Share, Heavy Weapons to Ukraine'!B:AV,COLUMN('Share, Heavy Weapons to Ukraine'!AV37)-1,FALSE)+VLOOKUP(AJ90,'Share, Heavy Weapons to Ukraine'!B:AW,COLUMN('Share, Heavy Weapons to Ukraine'!AW37)-1,FALSE)</f>
        <v>0</v>
      </c>
      <c r="AL90" s="349">
        <f>VLOOKUP(AJ90,'Share, Heavy Weapons to Ukraine'!B:BI,COLUMN('Share, Heavy Weapons to Ukraine'!BI37)-1,FALSE)+VLOOKUP(AJ90,'Share, Heavy Weapons to Ukraine'!B:BJ,COLUMN('Share, Heavy Weapons to Ukraine'!BJ37)-1,FALSE)+VLOOKUP(AJ90,'Share, Heavy Weapons to Ukraine'!B:BK,COLUMN('Share, Heavy Weapons to Ukraine'!BK37)-1,FALSE)</f>
        <v>0</v>
      </c>
      <c r="AM90" s="1365" t="str">
        <f t="shared" si="13"/>
        <v>.</v>
      </c>
      <c r="AO90" s="1372"/>
      <c r="AP90" s="1372"/>
      <c r="AQ90" s="1372"/>
      <c r="AR90" s="1372"/>
      <c r="AS90" s="1372"/>
      <c r="AT90" s="1380">
        <f t="shared" si="9"/>
        <v>0</v>
      </c>
      <c r="AU90" s="349" t="s">
        <v>2028</v>
      </c>
      <c r="AV90" s="349">
        <f>VLOOKUP(AU90,'Share, Heavy Weapons to Ukraine'!B:AP,COLUMN('Share, Heavy Weapons to Ukraine'!AP36)-1,FALSE)</f>
        <v>0</v>
      </c>
      <c r="AW90" s="349">
        <f>VLOOKUP(AU90,'Share, Heavy Weapons to Ukraine'!B:BD,COLUMN('Share, Heavy Weapons to Ukraine'!BD36)-1,FALSE)</f>
        <v>0</v>
      </c>
      <c r="AX90" s="1365" t="str">
        <f t="shared" si="14"/>
        <v>.</v>
      </c>
      <c r="AZ90" s="349" t="s">
        <v>673</v>
      </c>
      <c r="BA90" s="349">
        <v>0</v>
      </c>
    </row>
    <row r="91" spans="2:53" ht="15.95" customHeight="1">
      <c r="B91" s="1380">
        <f t="shared" si="5"/>
        <v>0</v>
      </c>
      <c r="C91" s="349" t="s">
        <v>3261</v>
      </c>
      <c r="D91" s="350">
        <f>VLOOKUP(C91,'Share, Heavy Weapons to Ukraine'!B:AX,COLUMN('Share, Heavy Weapons to Ukraine'!AR36)-1,FALSE)</f>
        <v>0</v>
      </c>
      <c r="E91" s="350">
        <f>VLOOKUP(C91,'Share, Heavy Weapons to Ukraine'!B:BF,COLUMN('Share, Heavy Weapons to Ukraine'!BF38)-1,FALSE)</f>
        <v>0</v>
      </c>
      <c r="F91" s="1365" t="str">
        <f t="shared" si="10"/>
        <v>.</v>
      </c>
      <c r="H91" s="1372"/>
      <c r="I91" s="1372"/>
      <c r="J91" s="1372"/>
      <c r="K91" s="1372"/>
      <c r="L91" s="1372"/>
      <c r="M91" s="1380">
        <f t="shared" si="6"/>
        <v>1</v>
      </c>
      <c r="N91" s="349" t="s">
        <v>2096</v>
      </c>
      <c r="O91" s="349">
        <f>VLOOKUP(N91,'Share, Heavy Weapons to Ukraine'!B:AX,COLUMN('Share, Heavy Weapons to Ukraine'!AS38)-1,FALSE)</f>
        <v>0</v>
      </c>
      <c r="P91" s="349">
        <f>VLOOKUP(N91,'Share, Heavy Weapons to Ukraine'!B:BG,COLUMN('Share, Heavy Weapons to Ukraine'!BG39)-1,FALSE)</f>
        <v>0</v>
      </c>
      <c r="Q91" s="1365" t="str">
        <f t="shared" si="11"/>
        <v>.</v>
      </c>
      <c r="S91" s="1372"/>
      <c r="T91" s="1372"/>
      <c r="U91" s="1372"/>
      <c r="V91" s="1372"/>
      <c r="W91" s="1372"/>
      <c r="X91" s="1380">
        <f t="shared" si="7"/>
        <v>0</v>
      </c>
      <c r="Y91" s="349" t="s">
        <v>673</v>
      </c>
      <c r="Z91" s="349">
        <f>VLOOKUP(Y91,'Share, Heavy Weapons to Ukraine'!B:AX,COLUMN('Share, Heavy Weapons to Ukraine'!AL48)-1,FALSE)</f>
        <v>0</v>
      </c>
      <c r="AA91" s="349">
        <f>VLOOKUP(Y91,'Share, Heavy Weapons to Ukraine'!B:AZ,COLUMN('Share, Heavy Weapons to Ukraine'!AZ45)-1,FALSE)</f>
        <v>0</v>
      </c>
      <c r="AB91" s="1365" t="str">
        <f t="shared" si="12"/>
        <v>.</v>
      </c>
      <c r="AD91" s="1372"/>
      <c r="AE91" s="1372"/>
      <c r="AF91" s="1372"/>
      <c r="AG91" s="1372"/>
      <c r="AH91" s="1372"/>
      <c r="AI91" s="1380">
        <f t="shared" si="8"/>
        <v>0</v>
      </c>
      <c r="AJ91" s="349" t="s">
        <v>673</v>
      </c>
      <c r="AK91" s="349">
        <f>VLOOKUP(AJ91,'Share, Heavy Weapons to Ukraine'!B:AU,COLUMN('Share, Heavy Weapons to Ukraine'!AU39)-1,FALSE)+VLOOKUP(AJ91,'Share, Heavy Weapons to Ukraine'!B:AV,COLUMN('Share, Heavy Weapons to Ukraine'!AV39)-1,FALSE)+VLOOKUP(AJ91,'Share, Heavy Weapons to Ukraine'!B:AW,COLUMN('Share, Heavy Weapons to Ukraine'!AW39)-1,FALSE)</f>
        <v>0</v>
      </c>
      <c r="AL91" s="349">
        <f>VLOOKUP(AJ91,'Share, Heavy Weapons to Ukraine'!B:BI,COLUMN('Share, Heavy Weapons to Ukraine'!BI39)-1,FALSE)+VLOOKUP(AJ91,'Share, Heavy Weapons to Ukraine'!B:BJ,COLUMN('Share, Heavy Weapons to Ukraine'!BJ39)-1,FALSE)+VLOOKUP(AJ91,'Share, Heavy Weapons to Ukraine'!B:BK,COLUMN('Share, Heavy Weapons to Ukraine'!BK39)-1,FALSE)</f>
        <v>0</v>
      </c>
      <c r="AM91" s="1365" t="str">
        <f t="shared" si="13"/>
        <v>.</v>
      </c>
      <c r="AO91" s="1372"/>
      <c r="AP91" s="1372"/>
      <c r="AQ91" s="1372"/>
      <c r="AR91" s="1372"/>
      <c r="AS91" s="1372"/>
      <c r="AT91" s="1380">
        <f t="shared" si="9"/>
        <v>0</v>
      </c>
      <c r="AU91" s="349" t="s">
        <v>673</v>
      </c>
      <c r="AV91" s="349">
        <f>VLOOKUP(AU91,'Share, Heavy Weapons to Ukraine'!B:AP,COLUMN('Share, Heavy Weapons to Ukraine'!AP38)-1,FALSE)</f>
        <v>0</v>
      </c>
      <c r="AW91" s="349">
        <f>VLOOKUP(AU91,'Share, Heavy Weapons to Ukraine'!B:BD,COLUMN('Share, Heavy Weapons to Ukraine'!BD38)-1,FALSE)</f>
        <v>0</v>
      </c>
      <c r="AX91" s="1365" t="str">
        <f t="shared" si="14"/>
        <v>.</v>
      </c>
      <c r="AZ91" s="349" t="s">
        <v>2096</v>
      </c>
      <c r="BA91" s="349">
        <v>1</v>
      </c>
    </row>
    <row r="92" spans="2:53" ht="15.95" customHeight="1">
      <c r="B92" s="1380">
        <f t="shared" si="5"/>
        <v>0</v>
      </c>
      <c r="C92" s="349" t="s">
        <v>673</v>
      </c>
      <c r="D92" s="350">
        <f>VLOOKUP(C92,'Share, Heavy Weapons to Ukraine'!B:AX,COLUMN('Share, Heavy Weapons to Ukraine'!AR37)-1,FALSE)</f>
        <v>0</v>
      </c>
      <c r="E92" s="350">
        <f>VLOOKUP(C92,'Share, Heavy Weapons to Ukraine'!B:BF,COLUMN('Share, Heavy Weapons to Ukraine'!BF39)-1,FALSE)</f>
        <v>0</v>
      </c>
      <c r="F92" s="1365" t="str">
        <f t="shared" si="10"/>
        <v>.</v>
      </c>
      <c r="H92" s="1372"/>
      <c r="I92" s="1372"/>
      <c r="J92" s="1372"/>
      <c r="K92" s="1372"/>
      <c r="L92" s="1372"/>
      <c r="M92" s="1380">
        <f t="shared" si="6"/>
        <v>0</v>
      </c>
      <c r="N92" s="349" t="s">
        <v>2488</v>
      </c>
      <c r="O92" s="349">
        <f>VLOOKUP(N92,'Share, Heavy Weapons to Ukraine'!B:AX,COLUMN('Share, Heavy Weapons to Ukraine'!AS39)-1,FALSE)</f>
        <v>0</v>
      </c>
      <c r="P92" s="349">
        <f>VLOOKUP(N92,'Share, Heavy Weapons to Ukraine'!B:BG,COLUMN('Share, Heavy Weapons to Ukraine'!BG40)-1,FALSE)</f>
        <v>0</v>
      </c>
      <c r="Q92" s="1365" t="str">
        <f t="shared" si="11"/>
        <v>.</v>
      </c>
      <c r="S92" s="1372"/>
      <c r="T92" s="1372"/>
      <c r="U92" s="1372"/>
      <c r="V92" s="1372"/>
      <c r="W92" s="1372"/>
      <c r="X92" s="1380">
        <f t="shared" si="7"/>
        <v>1</v>
      </c>
      <c r="Y92" s="349" t="s">
        <v>2096</v>
      </c>
      <c r="Z92" s="349">
        <f>VLOOKUP(Y92,'Share, Heavy Weapons to Ukraine'!B:AX,COLUMN('Share, Heavy Weapons to Ukraine'!AL17)-1,FALSE)</f>
        <v>0</v>
      </c>
      <c r="AA92" s="349">
        <f>VLOOKUP(Y92,'Share, Heavy Weapons to Ukraine'!B:AZ,COLUMN('Share, Heavy Weapons to Ukraine'!AZ46)-1,FALSE)</f>
        <v>0</v>
      </c>
      <c r="AB92" s="1365" t="str">
        <f t="shared" si="12"/>
        <v>.</v>
      </c>
      <c r="AD92" s="1372"/>
      <c r="AE92" s="1372"/>
      <c r="AF92" s="1372"/>
      <c r="AG92" s="1372"/>
      <c r="AH92" s="1372"/>
      <c r="AI92" s="1380">
        <f t="shared" si="8"/>
        <v>1</v>
      </c>
      <c r="AJ92" s="349" t="s">
        <v>2096</v>
      </c>
      <c r="AK92" s="349">
        <f>VLOOKUP(AJ92,'Share, Heavy Weapons to Ukraine'!B:AU,COLUMN('Share, Heavy Weapons to Ukraine'!AU40)-1,FALSE)+VLOOKUP(AJ92,'Share, Heavy Weapons to Ukraine'!B:AV,COLUMN('Share, Heavy Weapons to Ukraine'!AV40)-1,FALSE)+VLOOKUP(AJ92,'Share, Heavy Weapons to Ukraine'!B:AW,COLUMN('Share, Heavy Weapons to Ukraine'!AW40)-1,FALSE)</f>
        <v>0</v>
      </c>
      <c r="AL92" s="349">
        <f>VLOOKUP(AJ92,'Share, Heavy Weapons to Ukraine'!B:BI,COLUMN('Share, Heavy Weapons to Ukraine'!BI40)-1,FALSE)+VLOOKUP(AJ92,'Share, Heavy Weapons to Ukraine'!B:BJ,COLUMN('Share, Heavy Weapons to Ukraine'!BJ40)-1,FALSE)+VLOOKUP(AJ92,'Share, Heavy Weapons to Ukraine'!B:BK,COLUMN('Share, Heavy Weapons to Ukraine'!BK40)-1,FALSE)</f>
        <v>0</v>
      </c>
      <c r="AM92" s="1365" t="str">
        <f t="shared" si="13"/>
        <v>.</v>
      </c>
      <c r="AO92" s="1372"/>
      <c r="AP92" s="1372"/>
      <c r="AQ92" s="1372"/>
      <c r="AR92" s="1372"/>
      <c r="AS92" s="1372"/>
      <c r="AT92" s="1380">
        <f t="shared" si="9"/>
        <v>1</v>
      </c>
      <c r="AU92" s="349" t="s">
        <v>2096</v>
      </c>
      <c r="AV92" s="349">
        <f>VLOOKUP(AU92,'Share, Heavy Weapons to Ukraine'!B:AP,COLUMN('Share, Heavy Weapons to Ukraine'!AP39)-1,FALSE)</f>
        <v>0</v>
      </c>
      <c r="AW92" s="349">
        <f>VLOOKUP(AU92,'Share, Heavy Weapons to Ukraine'!B:BD,COLUMN('Share, Heavy Weapons to Ukraine'!BD39)-1,FALSE)</f>
        <v>0</v>
      </c>
      <c r="AX92" s="1365" t="str">
        <f t="shared" si="14"/>
        <v>.</v>
      </c>
      <c r="AZ92" s="349" t="s">
        <v>2488</v>
      </c>
      <c r="BA92" s="349">
        <v>0</v>
      </c>
    </row>
    <row r="93" spans="2:53" ht="15.95" customHeight="1">
      <c r="B93" s="1380">
        <f t="shared" si="5"/>
        <v>1</v>
      </c>
      <c r="C93" s="349" t="s">
        <v>2096</v>
      </c>
      <c r="D93" s="350">
        <f>VLOOKUP(C93,'Share, Heavy Weapons to Ukraine'!B:AX,COLUMN('Share, Heavy Weapons to Ukraine'!AR38)-1,FALSE)</f>
        <v>0</v>
      </c>
      <c r="E93" s="350">
        <f>VLOOKUP(C93,'Share, Heavy Weapons to Ukraine'!B:BF,COLUMN('Share, Heavy Weapons to Ukraine'!BF40)-1,FALSE)</f>
        <v>0</v>
      </c>
      <c r="F93" s="1365" t="str">
        <f t="shared" si="10"/>
        <v>.</v>
      </c>
      <c r="H93" s="1372"/>
      <c r="I93" s="1372"/>
      <c r="J93" s="1372"/>
      <c r="K93" s="1372"/>
      <c r="L93" s="1372"/>
      <c r="M93" s="1380">
        <f t="shared" si="6"/>
        <v>0</v>
      </c>
      <c r="N93" s="349" t="s">
        <v>918</v>
      </c>
      <c r="O93" s="349">
        <f>VLOOKUP(N93,'Share, Heavy Weapons to Ukraine'!B:AX,COLUMN('Share, Heavy Weapons to Ukraine'!AS40)-1,FALSE)</f>
        <v>0</v>
      </c>
      <c r="P93" s="349">
        <f>VLOOKUP(N93,'Share, Heavy Weapons to Ukraine'!B:BG,COLUMN('Share, Heavy Weapons to Ukraine'!BG41)-1,FALSE)</f>
        <v>0</v>
      </c>
      <c r="Q93" s="1365" t="str">
        <f t="shared" si="11"/>
        <v>.</v>
      </c>
      <c r="S93" s="1372"/>
      <c r="T93" s="1372"/>
      <c r="U93" s="1372"/>
      <c r="V93" s="1372"/>
      <c r="W93" s="1372"/>
      <c r="X93" s="1380">
        <f t="shared" si="7"/>
        <v>0</v>
      </c>
      <c r="Y93" s="349" t="s">
        <v>2488</v>
      </c>
      <c r="Z93" s="349">
        <f>VLOOKUP(Y93,'Share, Heavy Weapons to Ukraine'!B:AX,COLUMN('Share, Heavy Weapons to Ukraine'!AL32)-1,FALSE)</f>
        <v>0</v>
      </c>
      <c r="AA93" s="349">
        <f>VLOOKUP(Y93,'Share, Heavy Weapons to Ukraine'!B:AZ,COLUMN('Share, Heavy Weapons to Ukraine'!AZ47)-1,FALSE)</f>
        <v>0</v>
      </c>
      <c r="AB93" s="1365" t="str">
        <f t="shared" si="12"/>
        <v>.</v>
      </c>
      <c r="AD93" s="1372"/>
      <c r="AE93" s="1372"/>
      <c r="AF93" s="1372"/>
      <c r="AG93" s="1372"/>
      <c r="AH93" s="1372"/>
      <c r="AI93" s="1380">
        <f t="shared" si="8"/>
        <v>0</v>
      </c>
      <c r="AJ93" s="349" t="s">
        <v>2488</v>
      </c>
      <c r="AK93" s="349">
        <f>VLOOKUP(AJ93,'Share, Heavy Weapons to Ukraine'!B:AU,COLUMN('Share, Heavy Weapons to Ukraine'!AU41)-1,FALSE)+VLOOKUP(AJ93,'Share, Heavy Weapons to Ukraine'!B:AV,COLUMN('Share, Heavy Weapons to Ukraine'!AV41)-1,FALSE)+VLOOKUP(AJ93,'Share, Heavy Weapons to Ukraine'!B:AW,COLUMN('Share, Heavy Weapons to Ukraine'!AW41)-1,FALSE)</f>
        <v>0</v>
      </c>
      <c r="AL93" s="349">
        <f>VLOOKUP(AJ93,'Share, Heavy Weapons to Ukraine'!B:BI,COLUMN('Share, Heavy Weapons to Ukraine'!BI41)-1,FALSE)+VLOOKUP(AJ93,'Share, Heavy Weapons to Ukraine'!B:BJ,COLUMN('Share, Heavy Weapons to Ukraine'!BJ41)-1,FALSE)+VLOOKUP(AJ93,'Share, Heavy Weapons to Ukraine'!B:BK,COLUMN('Share, Heavy Weapons to Ukraine'!BK41)-1,FALSE)</f>
        <v>0</v>
      </c>
      <c r="AM93" s="1365" t="str">
        <f t="shared" si="13"/>
        <v>.</v>
      </c>
      <c r="AO93" s="1372"/>
      <c r="AP93" s="1372"/>
      <c r="AQ93" s="1372"/>
      <c r="AR93" s="1372"/>
      <c r="AS93" s="1372"/>
      <c r="AT93" s="1380">
        <f t="shared" si="9"/>
        <v>0</v>
      </c>
      <c r="AU93" s="349" t="s">
        <v>2488</v>
      </c>
      <c r="AV93" s="349">
        <f>VLOOKUP(AU93,'Share, Heavy Weapons to Ukraine'!B:AP,COLUMN('Share, Heavy Weapons to Ukraine'!AP40)-1,FALSE)</f>
        <v>0</v>
      </c>
      <c r="AW93" s="349">
        <f>VLOOKUP(AU93,'Share, Heavy Weapons to Ukraine'!B:BD,COLUMN('Share, Heavy Weapons to Ukraine'!BD40)-1,FALSE)</f>
        <v>0</v>
      </c>
      <c r="AX93" s="1365" t="str">
        <f t="shared" si="14"/>
        <v>.</v>
      </c>
      <c r="AZ93" s="349" t="s">
        <v>918</v>
      </c>
      <c r="BA93" s="349">
        <v>0</v>
      </c>
    </row>
    <row r="94" spans="2:53" ht="15.95" customHeight="1">
      <c r="B94" s="1380">
        <f t="shared" si="5"/>
        <v>0</v>
      </c>
      <c r="C94" s="349" t="s">
        <v>905</v>
      </c>
      <c r="D94" s="350">
        <v>0</v>
      </c>
      <c r="E94" s="350">
        <v>0</v>
      </c>
      <c r="F94" s="1365" t="str">
        <f t="shared" si="10"/>
        <v>.</v>
      </c>
      <c r="H94" s="1372"/>
      <c r="I94" s="1372"/>
      <c r="J94" s="1372"/>
      <c r="K94" s="1372"/>
      <c r="L94" s="1372"/>
      <c r="M94" s="1380">
        <f t="shared" si="6"/>
        <v>0</v>
      </c>
      <c r="N94" s="349" t="s">
        <v>905</v>
      </c>
      <c r="O94" s="349">
        <v>0</v>
      </c>
      <c r="P94" s="349">
        <v>0</v>
      </c>
      <c r="Q94" s="1365" t="str">
        <f t="shared" si="11"/>
        <v>.</v>
      </c>
      <c r="S94" s="1372"/>
      <c r="T94" s="1372"/>
      <c r="U94" s="1372"/>
      <c r="V94" s="1372"/>
      <c r="W94" s="1372"/>
      <c r="X94" s="1380">
        <f t="shared" si="7"/>
        <v>0</v>
      </c>
      <c r="Y94" s="349" t="s">
        <v>905</v>
      </c>
      <c r="Z94" s="349">
        <v>0</v>
      </c>
      <c r="AA94" s="349">
        <v>0</v>
      </c>
      <c r="AB94" s="1365" t="str">
        <f t="shared" si="12"/>
        <v>.</v>
      </c>
      <c r="AD94" s="1372"/>
      <c r="AE94" s="1372"/>
      <c r="AF94" s="1372"/>
      <c r="AG94" s="1372"/>
      <c r="AH94" s="1372"/>
      <c r="AI94" s="1380">
        <f t="shared" si="8"/>
        <v>0</v>
      </c>
      <c r="AJ94" s="349" t="s">
        <v>905</v>
      </c>
      <c r="AK94" s="349">
        <v>0</v>
      </c>
      <c r="AL94" s="349">
        <v>0</v>
      </c>
      <c r="AM94" s="1365" t="str">
        <f t="shared" si="13"/>
        <v>.</v>
      </c>
      <c r="AO94" s="1372"/>
      <c r="AP94" s="1372"/>
      <c r="AQ94" s="1372"/>
      <c r="AR94" s="1372"/>
      <c r="AS94" s="1372"/>
      <c r="AT94" s="1380">
        <f t="shared" si="9"/>
        <v>0</v>
      </c>
      <c r="AU94" s="349" t="s">
        <v>905</v>
      </c>
      <c r="AV94" s="349">
        <v>0</v>
      </c>
      <c r="AW94" s="349">
        <v>0</v>
      </c>
      <c r="AX94" s="1365" t="str">
        <f t="shared" si="14"/>
        <v>.</v>
      </c>
      <c r="AZ94" s="349" t="s">
        <v>905</v>
      </c>
      <c r="BA94" s="349">
        <v>0</v>
      </c>
    </row>
    <row r="95" spans="2:53" ht="15.95" customHeight="1">
      <c r="B95" s="1380">
        <f t="shared" si="5"/>
        <v>0</v>
      </c>
      <c r="C95" s="349" t="s">
        <v>2076</v>
      </c>
      <c r="D95" s="350">
        <v>0</v>
      </c>
      <c r="E95" s="350">
        <v>0</v>
      </c>
      <c r="F95" s="1365" t="str">
        <f t="shared" si="10"/>
        <v>.</v>
      </c>
      <c r="H95" s="1372"/>
      <c r="I95" s="1372"/>
      <c r="J95" s="1372"/>
      <c r="K95" s="1372"/>
      <c r="L95" s="1372"/>
      <c r="M95" s="1380">
        <f t="shared" si="6"/>
        <v>0</v>
      </c>
      <c r="N95" s="349" t="s">
        <v>2076</v>
      </c>
      <c r="O95" s="349">
        <v>0</v>
      </c>
      <c r="P95" s="349">
        <v>0</v>
      </c>
      <c r="Q95" s="1365" t="str">
        <f t="shared" si="11"/>
        <v>.</v>
      </c>
      <c r="S95" s="1372"/>
      <c r="T95" s="1372"/>
      <c r="U95" s="1372"/>
      <c r="V95" s="1372"/>
      <c r="W95" s="1372"/>
      <c r="X95" s="1380">
        <f t="shared" si="7"/>
        <v>0</v>
      </c>
      <c r="Y95" s="349" t="s">
        <v>2076</v>
      </c>
      <c r="Z95" s="349">
        <v>0</v>
      </c>
      <c r="AA95" s="349">
        <v>0</v>
      </c>
      <c r="AB95" s="1365" t="str">
        <f t="shared" si="12"/>
        <v>.</v>
      </c>
      <c r="AD95" s="1372"/>
      <c r="AE95" s="1372"/>
      <c r="AF95" s="1372"/>
      <c r="AG95" s="1372"/>
      <c r="AH95" s="1372"/>
      <c r="AI95" s="1380">
        <f t="shared" si="8"/>
        <v>0</v>
      </c>
      <c r="AJ95" s="349" t="s">
        <v>2076</v>
      </c>
      <c r="AK95" s="349">
        <v>0</v>
      </c>
      <c r="AL95" s="349">
        <v>0</v>
      </c>
      <c r="AM95" s="1365" t="str">
        <f t="shared" si="13"/>
        <v>.</v>
      </c>
      <c r="AO95" s="1372"/>
      <c r="AP95" s="1372"/>
      <c r="AQ95" s="1372"/>
      <c r="AR95" s="1372"/>
      <c r="AS95" s="1372"/>
      <c r="AT95" s="1380">
        <f t="shared" si="9"/>
        <v>0</v>
      </c>
      <c r="AU95" s="349" t="s">
        <v>2076</v>
      </c>
      <c r="AV95" s="349">
        <v>0</v>
      </c>
      <c r="AW95" s="349">
        <v>0</v>
      </c>
      <c r="AX95" s="1365" t="str">
        <f t="shared" si="14"/>
        <v>.</v>
      </c>
      <c r="AZ95" s="349" t="s">
        <v>2076</v>
      </c>
      <c r="BA95" s="349">
        <v>0</v>
      </c>
    </row>
    <row r="96" spans="2:53" ht="15.95" customHeight="1">
      <c r="B96" s="1380">
        <f t="shared" si="5"/>
        <v>0</v>
      </c>
      <c r="C96" s="349" t="s">
        <v>3713</v>
      </c>
      <c r="D96" s="350">
        <v>0</v>
      </c>
      <c r="E96" s="350">
        <v>0</v>
      </c>
      <c r="F96" s="1365" t="str">
        <f t="shared" si="10"/>
        <v>.</v>
      </c>
      <c r="H96" s="1372"/>
      <c r="I96" s="1372"/>
      <c r="J96" s="1372"/>
      <c r="K96" s="1372"/>
      <c r="L96" s="1372"/>
      <c r="M96" s="1380">
        <f t="shared" si="6"/>
        <v>0</v>
      </c>
      <c r="N96" s="349" t="s">
        <v>3713</v>
      </c>
      <c r="O96" s="349">
        <v>0</v>
      </c>
      <c r="P96" s="349">
        <v>0</v>
      </c>
      <c r="Q96" s="1365" t="str">
        <f t="shared" si="11"/>
        <v>.</v>
      </c>
      <c r="S96" s="1372"/>
      <c r="T96" s="1372"/>
      <c r="U96" s="1372"/>
      <c r="V96" s="1372"/>
      <c r="W96" s="1372"/>
      <c r="X96" s="1380">
        <f t="shared" si="7"/>
        <v>0</v>
      </c>
      <c r="Y96" s="349" t="s">
        <v>3713</v>
      </c>
      <c r="Z96" s="349">
        <v>0</v>
      </c>
      <c r="AA96" s="349">
        <v>0</v>
      </c>
      <c r="AB96" s="1365" t="str">
        <f t="shared" si="12"/>
        <v>.</v>
      </c>
      <c r="AD96" s="1372"/>
      <c r="AE96" s="1372"/>
      <c r="AF96" s="1372"/>
      <c r="AG96" s="1372"/>
      <c r="AH96" s="1372"/>
      <c r="AI96" s="1380">
        <f t="shared" si="8"/>
        <v>0</v>
      </c>
      <c r="AJ96" s="349" t="s">
        <v>3713</v>
      </c>
      <c r="AK96" s="349">
        <v>0</v>
      </c>
      <c r="AL96" s="349">
        <v>0</v>
      </c>
      <c r="AM96" s="1365" t="str">
        <f t="shared" si="13"/>
        <v>.</v>
      </c>
      <c r="AO96" s="1372"/>
      <c r="AP96" s="1372"/>
      <c r="AQ96" s="1372"/>
      <c r="AR96" s="1372"/>
      <c r="AS96" s="1372"/>
      <c r="AT96" s="1380">
        <f t="shared" si="9"/>
        <v>0</v>
      </c>
      <c r="AU96" s="349" t="s">
        <v>3713</v>
      </c>
      <c r="AV96" s="349">
        <v>0</v>
      </c>
      <c r="AW96" s="349">
        <v>0</v>
      </c>
      <c r="AX96" s="1365" t="str">
        <f t="shared" si="14"/>
        <v>.</v>
      </c>
      <c r="AZ96" s="349" t="s">
        <v>3713</v>
      </c>
      <c r="BA96" s="349">
        <v>0</v>
      </c>
    </row>
    <row r="97" spans="1:53" ht="15.95" customHeight="1">
      <c r="B97" s="1380">
        <f t="shared" si="5"/>
        <v>1</v>
      </c>
      <c r="C97" s="349" t="s">
        <v>2139</v>
      </c>
      <c r="D97" s="350">
        <v>0</v>
      </c>
      <c r="E97" s="350">
        <v>0</v>
      </c>
      <c r="F97" s="1365" t="str">
        <f t="shared" si="10"/>
        <v>.</v>
      </c>
      <c r="H97" s="1372"/>
      <c r="I97" s="1372"/>
      <c r="J97" s="1372"/>
      <c r="K97" s="1372"/>
      <c r="L97" s="1372"/>
      <c r="M97" s="1380">
        <f t="shared" si="6"/>
        <v>1</v>
      </c>
      <c r="N97" s="349" t="s">
        <v>2139</v>
      </c>
      <c r="O97" s="349">
        <v>0</v>
      </c>
      <c r="P97" s="349">
        <v>0</v>
      </c>
      <c r="Q97" s="1365" t="str">
        <f t="shared" si="11"/>
        <v>.</v>
      </c>
      <c r="S97" s="1372"/>
      <c r="T97" s="1372"/>
      <c r="U97" s="1372"/>
      <c r="V97" s="1372"/>
      <c r="W97" s="1372"/>
      <c r="X97" s="1380">
        <f t="shared" si="7"/>
        <v>1</v>
      </c>
      <c r="Y97" s="349" t="s">
        <v>2139</v>
      </c>
      <c r="Z97" s="349">
        <v>0</v>
      </c>
      <c r="AA97" s="349">
        <v>0</v>
      </c>
      <c r="AB97" s="1365" t="str">
        <f t="shared" si="12"/>
        <v>.</v>
      </c>
      <c r="AD97" s="1372"/>
      <c r="AE97" s="1372"/>
      <c r="AF97" s="1372"/>
      <c r="AG97" s="1372"/>
      <c r="AH97" s="1372"/>
      <c r="AI97" s="1380">
        <f t="shared" si="8"/>
        <v>1</v>
      </c>
      <c r="AJ97" s="349" t="s">
        <v>2139</v>
      </c>
      <c r="AK97" s="349">
        <v>0</v>
      </c>
      <c r="AL97" s="349">
        <v>0</v>
      </c>
      <c r="AM97" s="1365" t="str">
        <f t="shared" si="13"/>
        <v>.</v>
      </c>
      <c r="AO97" s="1372"/>
      <c r="AP97" s="1372"/>
      <c r="AQ97" s="1372"/>
      <c r="AR97" s="1372"/>
      <c r="AS97" s="1372"/>
      <c r="AT97" s="1380">
        <f t="shared" si="9"/>
        <v>1</v>
      </c>
      <c r="AU97" s="349" t="s">
        <v>2139</v>
      </c>
      <c r="AV97" s="349">
        <v>0</v>
      </c>
      <c r="AW97" s="349">
        <v>0</v>
      </c>
      <c r="AX97" s="1365" t="str">
        <f t="shared" si="14"/>
        <v>.</v>
      </c>
      <c r="AZ97" s="349" t="s">
        <v>2139</v>
      </c>
      <c r="BA97" s="349">
        <v>1</v>
      </c>
    </row>
    <row r="98" spans="1:53" ht="15.95" customHeight="1">
      <c r="B98" s="1380">
        <f t="shared" si="5"/>
        <v>1</v>
      </c>
      <c r="C98" s="349" t="s">
        <v>2312</v>
      </c>
      <c r="D98" s="350">
        <v>0</v>
      </c>
      <c r="E98" s="350">
        <v>0</v>
      </c>
      <c r="F98" s="1365" t="str">
        <f t="shared" si="10"/>
        <v>.</v>
      </c>
      <c r="H98" s="1372"/>
      <c r="I98" s="1372"/>
      <c r="J98" s="1372"/>
      <c r="K98" s="1372"/>
      <c r="L98" s="1372"/>
      <c r="M98" s="1380">
        <f t="shared" si="6"/>
        <v>1</v>
      </c>
      <c r="N98" s="349" t="s">
        <v>2312</v>
      </c>
      <c r="O98" s="349">
        <v>0</v>
      </c>
      <c r="P98" s="349">
        <v>0</v>
      </c>
      <c r="Q98" s="1365" t="str">
        <f t="shared" si="11"/>
        <v>.</v>
      </c>
      <c r="S98" s="1372"/>
      <c r="T98" s="1372"/>
      <c r="U98" s="1372"/>
      <c r="V98" s="1372"/>
      <c r="W98" s="1372"/>
      <c r="X98" s="1380">
        <f t="shared" si="7"/>
        <v>1</v>
      </c>
      <c r="Y98" s="349" t="s">
        <v>2312</v>
      </c>
      <c r="Z98" s="349">
        <v>0</v>
      </c>
      <c r="AA98" s="349">
        <v>0</v>
      </c>
      <c r="AB98" s="1365" t="str">
        <f t="shared" si="12"/>
        <v>.</v>
      </c>
      <c r="AD98" s="1372"/>
      <c r="AE98" s="1372"/>
      <c r="AF98" s="1372"/>
      <c r="AG98" s="1372"/>
      <c r="AH98" s="1372"/>
      <c r="AI98" s="1380">
        <f t="shared" si="8"/>
        <v>1</v>
      </c>
      <c r="AJ98" s="349" t="s">
        <v>2312</v>
      </c>
      <c r="AK98" s="349">
        <v>0</v>
      </c>
      <c r="AL98" s="349">
        <v>0</v>
      </c>
      <c r="AM98" s="1365" t="str">
        <f t="shared" si="13"/>
        <v>.</v>
      </c>
      <c r="AO98" s="1372"/>
      <c r="AP98" s="1372"/>
      <c r="AQ98" s="1372"/>
      <c r="AR98" s="1372"/>
      <c r="AS98" s="1372"/>
      <c r="AT98" s="1380">
        <f t="shared" si="9"/>
        <v>1</v>
      </c>
      <c r="AU98" s="349" t="s">
        <v>2312</v>
      </c>
      <c r="AV98" s="349">
        <v>0</v>
      </c>
      <c r="AW98" s="349">
        <v>0</v>
      </c>
      <c r="AX98" s="1365" t="str">
        <f t="shared" si="14"/>
        <v>.</v>
      </c>
      <c r="AZ98" s="349" t="s">
        <v>2312</v>
      </c>
      <c r="BA98" s="349">
        <v>1</v>
      </c>
    </row>
    <row r="99" spans="1:53" ht="15.95" customHeight="1">
      <c r="B99" s="1380">
        <f t="shared" si="5"/>
        <v>0</v>
      </c>
      <c r="C99" s="349" t="s">
        <v>2488</v>
      </c>
      <c r="D99" s="350">
        <f>VLOOKUP(C99,'Share, Heavy Weapons to Ukraine'!B:AX,COLUMN('Share, Heavy Weapons to Ukraine'!AR39)-1,FALSE)</f>
        <v>0</v>
      </c>
      <c r="E99" s="350">
        <f>VLOOKUP(C99,'Share, Heavy Weapons to Ukraine'!B:BF,COLUMN('Share, Heavy Weapons to Ukraine'!BF41)-1,FALSE)</f>
        <v>0</v>
      </c>
      <c r="F99" s="1365" t="str">
        <f t="shared" si="10"/>
        <v>.</v>
      </c>
      <c r="H99" s="1372"/>
      <c r="I99" s="1372"/>
      <c r="J99" s="1372"/>
      <c r="K99" s="1372"/>
      <c r="L99" s="1372"/>
      <c r="M99" s="1380">
        <f t="shared" si="6"/>
        <v>0</v>
      </c>
      <c r="N99" s="349" t="s">
        <v>2392</v>
      </c>
      <c r="O99" s="349">
        <f>VLOOKUP(N99,'Share, Heavy Weapons to Ukraine'!B:AX,COLUMN('Share, Heavy Weapons to Ukraine'!AS41)-1,FALSE)</f>
        <v>0</v>
      </c>
      <c r="P99" s="349">
        <f>VLOOKUP(N99,'Share, Heavy Weapons to Ukraine'!B:BG,COLUMN('Share, Heavy Weapons to Ukraine'!BG42)-1,FALSE)</f>
        <v>0</v>
      </c>
      <c r="Q99" s="1365" t="str">
        <f t="shared" si="11"/>
        <v>.</v>
      </c>
      <c r="S99" s="1372"/>
      <c r="T99" s="1372"/>
      <c r="U99" s="1372"/>
      <c r="V99" s="1372"/>
      <c r="W99" s="1372"/>
      <c r="X99" s="1380">
        <f t="shared" si="7"/>
        <v>0</v>
      </c>
      <c r="Y99" s="349" t="s">
        <v>918</v>
      </c>
      <c r="Z99" s="349">
        <f>VLOOKUP(Y99,'Share, Heavy Weapons to Ukraine'!B:AX,COLUMN('Share, Heavy Weapons to Ukraine'!AL30)-1,FALSE)</f>
        <v>0</v>
      </c>
      <c r="AA99" s="349">
        <f>VLOOKUP(Y99,'Share, Heavy Weapons to Ukraine'!B:AZ,COLUMN('Share, Heavy Weapons to Ukraine'!AZ48)-1,FALSE)</f>
        <v>0</v>
      </c>
      <c r="AB99" s="1365" t="str">
        <f t="shared" si="12"/>
        <v>.</v>
      </c>
      <c r="AD99" s="1372"/>
      <c r="AE99" s="1372"/>
      <c r="AF99" s="1372"/>
      <c r="AG99" s="1372"/>
      <c r="AH99" s="1372"/>
      <c r="AI99" s="1380">
        <f t="shared" si="8"/>
        <v>0</v>
      </c>
      <c r="AJ99" s="349" t="s">
        <v>918</v>
      </c>
      <c r="AK99" s="349">
        <f>VLOOKUP(AJ99,'Share, Heavy Weapons to Ukraine'!B:AU,COLUMN('Share, Heavy Weapons to Ukraine'!AU42)-1,FALSE)+VLOOKUP(AJ99,'Share, Heavy Weapons to Ukraine'!B:AV,COLUMN('Share, Heavy Weapons to Ukraine'!AV42)-1,FALSE)+VLOOKUP(AJ99,'Share, Heavy Weapons to Ukraine'!B:AW,COLUMN('Share, Heavy Weapons to Ukraine'!AW42)-1,FALSE)</f>
        <v>0</v>
      </c>
      <c r="AL99" s="349">
        <f>VLOOKUP(AJ99,'Share, Heavy Weapons to Ukraine'!B:BI,COLUMN('Share, Heavy Weapons to Ukraine'!BI42)-1,FALSE)+VLOOKUP(AJ99,'Share, Heavy Weapons to Ukraine'!B:BJ,COLUMN('Share, Heavy Weapons to Ukraine'!BJ42)-1,FALSE)+VLOOKUP(AJ99,'Share, Heavy Weapons to Ukraine'!B:BK,COLUMN('Share, Heavy Weapons to Ukraine'!BK42)-1,FALSE)</f>
        <v>0</v>
      </c>
      <c r="AM99" s="1365" t="str">
        <f t="shared" si="13"/>
        <v>.</v>
      </c>
      <c r="AO99" s="1372"/>
      <c r="AP99" s="1372"/>
      <c r="AQ99" s="1372"/>
      <c r="AR99" s="1372"/>
      <c r="AS99" s="1372"/>
      <c r="AT99" s="1380">
        <f t="shared" si="9"/>
        <v>0</v>
      </c>
      <c r="AU99" s="349" t="s">
        <v>918</v>
      </c>
      <c r="AV99" s="349">
        <f>VLOOKUP(AU99,'Share, Heavy Weapons to Ukraine'!B:AP,COLUMN('Share, Heavy Weapons to Ukraine'!AP41)-1,FALSE)</f>
        <v>0</v>
      </c>
      <c r="AW99" s="349">
        <f>VLOOKUP(AU99,'Share, Heavy Weapons to Ukraine'!B:BD,COLUMN('Share, Heavy Weapons to Ukraine'!BD41)-1,FALSE)</f>
        <v>0</v>
      </c>
      <c r="AX99" s="1365" t="str">
        <f t="shared" si="14"/>
        <v>.</v>
      </c>
      <c r="AZ99" s="349" t="s">
        <v>2392</v>
      </c>
      <c r="BA99" s="349">
        <v>0</v>
      </c>
    </row>
    <row r="100" spans="1:53" ht="15.95" customHeight="1">
      <c r="B100" s="1380">
        <f t="shared" si="5"/>
        <v>0</v>
      </c>
      <c r="C100" s="349" t="s">
        <v>918</v>
      </c>
      <c r="D100" s="350">
        <f>VLOOKUP(C100,'Share, Heavy Weapons to Ukraine'!B:AX,COLUMN('Share, Heavy Weapons to Ukraine'!AR40)-1,FALSE)</f>
        <v>0</v>
      </c>
      <c r="E100" s="350">
        <f>VLOOKUP(C100,'Share, Heavy Weapons to Ukraine'!B:BF,COLUMN('Share, Heavy Weapons to Ukraine'!BF42)-1,FALSE)</f>
        <v>0</v>
      </c>
      <c r="F100" s="1365" t="str">
        <f t="shared" si="10"/>
        <v>.</v>
      </c>
      <c r="H100" s="1372"/>
      <c r="I100" s="1372"/>
      <c r="J100" s="1372"/>
      <c r="K100" s="1372"/>
      <c r="L100" s="1372"/>
      <c r="M100" s="1380">
        <f t="shared" si="6"/>
        <v>0</v>
      </c>
      <c r="N100" s="349" t="s">
        <v>1305</v>
      </c>
      <c r="O100" s="349">
        <f>VLOOKUP(N100,'Share, Heavy Weapons to Ukraine'!B:AX,COLUMN('Share, Heavy Weapons to Ukraine'!AS42)-1,FALSE)</f>
        <v>0</v>
      </c>
      <c r="P100" s="349">
        <f>VLOOKUP(N100,'Share, Heavy Weapons to Ukraine'!B:BG,COLUMN('Share, Heavy Weapons to Ukraine'!BG43)-1,FALSE)</f>
        <v>0</v>
      </c>
      <c r="Q100" s="1365" t="str">
        <f t="shared" si="11"/>
        <v>.</v>
      </c>
      <c r="S100" s="1372"/>
      <c r="T100" s="1372"/>
      <c r="U100" s="1372"/>
      <c r="V100" s="1372"/>
      <c r="W100" s="1372"/>
      <c r="X100" s="1380">
        <f t="shared" si="7"/>
        <v>0</v>
      </c>
      <c r="Y100" s="349" t="s">
        <v>2392</v>
      </c>
      <c r="Z100" s="349">
        <f>VLOOKUP(Y100,'Share, Heavy Weapons to Ukraine'!B:AX,COLUMN('Share, Heavy Weapons to Ukraine'!AL25)-1,FALSE)</f>
        <v>0</v>
      </c>
      <c r="AA100" s="349">
        <f>VLOOKUP(Y100,'Share, Heavy Weapons to Ukraine'!B:AZ,COLUMN('Share, Heavy Weapons to Ukraine'!AZ49)-1,FALSE)</f>
        <v>0</v>
      </c>
      <c r="AB100" s="1365" t="str">
        <f t="shared" si="12"/>
        <v>.</v>
      </c>
      <c r="AD100" s="1372"/>
      <c r="AE100" s="1372"/>
      <c r="AF100" s="1372"/>
      <c r="AG100" s="1372"/>
      <c r="AH100" s="1372"/>
      <c r="AI100" s="1380">
        <f t="shared" si="8"/>
        <v>0</v>
      </c>
      <c r="AJ100" s="349" t="s">
        <v>2392</v>
      </c>
      <c r="AK100" s="349">
        <f>VLOOKUP(AJ100,'Share, Heavy Weapons to Ukraine'!B:AU,COLUMN('Share, Heavy Weapons to Ukraine'!AU43)-1,FALSE)+VLOOKUP(AJ100,'Share, Heavy Weapons to Ukraine'!B:AV,COLUMN('Share, Heavy Weapons to Ukraine'!AV43)-1,FALSE)+VLOOKUP(AJ100,'Share, Heavy Weapons to Ukraine'!B:AW,COLUMN('Share, Heavy Weapons to Ukraine'!AW43)-1,FALSE)</f>
        <v>0</v>
      </c>
      <c r="AL100" s="349">
        <f>VLOOKUP(AJ100,'Share, Heavy Weapons to Ukraine'!B:BI,COLUMN('Share, Heavy Weapons to Ukraine'!BI43)-1,FALSE)+VLOOKUP(AJ100,'Share, Heavy Weapons to Ukraine'!B:BJ,COLUMN('Share, Heavy Weapons to Ukraine'!BJ43)-1,FALSE)+VLOOKUP(AJ100,'Share, Heavy Weapons to Ukraine'!B:BK,COLUMN('Share, Heavy Weapons to Ukraine'!BK43)-1,FALSE)</f>
        <v>0</v>
      </c>
      <c r="AM100" s="1365" t="str">
        <f t="shared" si="13"/>
        <v>.</v>
      </c>
      <c r="AO100" s="1372"/>
      <c r="AP100" s="1372"/>
      <c r="AQ100" s="1372"/>
      <c r="AR100" s="1372"/>
      <c r="AS100" s="1372"/>
      <c r="AT100" s="1380">
        <f t="shared" si="9"/>
        <v>0</v>
      </c>
      <c r="AU100" s="349" t="s">
        <v>2392</v>
      </c>
      <c r="AV100" s="349">
        <f>VLOOKUP(AU100,'Share, Heavy Weapons to Ukraine'!B:AP,COLUMN('Share, Heavy Weapons to Ukraine'!AP42)-1,FALSE)</f>
        <v>0</v>
      </c>
      <c r="AW100" s="349">
        <f>VLOOKUP(AU100,'Share, Heavy Weapons to Ukraine'!B:BD,COLUMN('Share, Heavy Weapons to Ukraine'!BD42)-1,FALSE)</f>
        <v>0</v>
      </c>
      <c r="AX100" s="1365" t="str">
        <f t="shared" si="14"/>
        <v>.</v>
      </c>
      <c r="AZ100" s="349" t="s">
        <v>1305</v>
      </c>
      <c r="BA100" s="349">
        <v>0</v>
      </c>
    </row>
    <row r="101" spans="1:53" ht="15.95" customHeight="1">
      <c r="B101" s="1380">
        <f t="shared" si="5"/>
        <v>0</v>
      </c>
      <c r="C101" s="349" t="s">
        <v>3337</v>
      </c>
      <c r="D101" s="350">
        <f>VLOOKUP(C101,'Share, Heavy Weapons to Ukraine'!B:AX,COLUMN('Share, Heavy Weapons to Ukraine'!AR43)-1,FALSE)</f>
        <v>0</v>
      </c>
      <c r="E101" s="350">
        <f>VLOOKUP(C101,'Share, Heavy Weapons to Ukraine'!B:BF,COLUMN('Share, Heavy Weapons to Ukraine'!BF43)-1,FALSE)</f>
        <v>0</v>
      </c>
      <c r="F101" s="1365" t="str">
        <f t="shared" si="10"/>
        <v>.</v>
      </c>
      <c r="H101" s="1372"/>
      <c r="I101" s="1372"/>
      <c r="J101" s="1372"/>
      <c r="K101" s="1372"/>
      <c r="L101" s="1372"/>
      <c r="M101" s="1380">
        <f t="shared" si="6"/>
        <v>0</v>
      </c>
      <c r="N101" s="349" t="s">
        <v>3337</v>
      </c>
      <c r="O101" s="349">
        <f>VLOOKUP(N101,'Share, Heavy Weapons to Ukraine'!B:AX,COLUMN('Share, Heavy Weapons to Ukraine'!AS43)-1,FALSE)</f>
        <v>0</v>
      </c>
      <c r="P101" s="349">
        <f>VLOOKUP(N101,'Share, Heavy Weapons to Ukraine'!B:BG,COLUMN('Share, Heavy Weapons to Ukraine'!BG44)-1,FALSE)</f>
        <v>0</v>
      </c>
      <c r="Q101" s="1365" t="str">
        <f t="shared" si="11"/>
        <v>.</v>
      </c>
      <c r="S101" s="1372"/>
      <c r="T101" s="1372"/>
      <c r="U101" s="1372"/>
      <c r="V101" s="1372"/>
      <c r="W101" s="1372"/>
      <c r="X101" s="1380">
        <f t="shared" si="7"/>
        <v>0</v>
      </c>
      <c r="Y101" s="349" t="s">
        <v>1305</v>
      </c>
      <c r="Z101" s="349">
        <f>VLOOKUP(Y101,'Share, Heavy Weapons to Ukraine'!B:AX,COLUMN('Share, Heavy Weapons to Ukraine'!AL24)-1,FALSE)</f>
        <v>0</v>
      </c>
      <c r="AA101" s="349">
        <f>VLOOKUP(Y101,'Share, Heavy Weapons to Ukraine'!B:AZ,COLUMN('Share, Heavy Weapons to Ukraine'!AZ50)-1,FALSE)</f>
        <v>0</v>
      </c>
      <c r="AB101" s="1365" t="str">
        <f t="shared" si="12"/>
        <v>.</v>
      </c>
      <c r="AD101" s="1372"/>
      <c r="AE101" s="1372"/>
      <c r="AF101" s="1372"/>
      <c r="AG101" s="1372"/>
      <c r="AH101" s="1372"/>
      <c r="AI101" s="1380">
        <f t="shared" si="8"/>
        <v>0</v>
      </c>
      <c r="AJ101" s="349" t="s">
        <v>1305</v>
      </c>
      <c r="AK101" s="349">
        <f>VLOOKUP(AJ101,'Share, Heavy Weapons to Ukraine'!B:AU,COLUMN('Share, Heavy Weapons to Ukraine'!AU44)-1,FALSE)+VLOOKUP(AJ101,'Share, Heavy Weapons to Ukraine'!B:AV,COLUMN('Share, Heavy Weapons to Ukraine'!AV44)-1,FALSE)+VLOOKUP(AJ101,'Share, Heavy Weapons to Ukraine'!B:AW,COLUMN('Share, Heavy Weapons to Ukraine'!AW44)-1,FALSE)</f>
        <v>0</v>
      </c>
      <c r="AL101" s="349">
        <f>VLOOKUP(AJ101,'Share, Heavy Weapons to Ukraine'!B:BI,COLUMN('Share, Heavy Weapons to Ukraine'!BI44)-1,FALSE)+VLOOKUP(AJ101,'Share, Heavy Weapons to Ukraine'!B:BJ,COLUMN('Share, Heavy Weapons to Ukraine'!BJ44)-1,FALSE)+VLOOKUP(AJ101,'Share, Heavy Weapons to Ukraine'!B:BK,COLUMN('Share, Heavy Weapons to Ukraine'!BK44)-1,FALSE)</f>
        <v>0</v>
      </c>
      <c r="AM101" s="1365" t="str">
        <f t="shared" si="13"/>
        <v>.</v>
      </c>
      <c r="AO101" s="1372"/>
      <c r="AP101" s="1372"/>
      <c r="AQ101" s="1372"/>
      <c r="AR101" s="1372"/>
      <c r="AS101" s="1372"/>
      <c r="AT101" s="1380">
        <f t="shared" si="9"/>
        <v>0</v>
      </c>
      <c r="AU101" s="349" t="s">
        <v>1305</v>
      </c>
      <c r="AV101" s="349">
        <f>VLOOKUP(AU101,'Share, Heavy Weapons to Ukraine'!B:AP,COLUMN('Share, Heavy Weapons to Ukraine'!AP43)-1,FALSE)</f>
        <v>0</v>
      </c>
      <c r="AW101" s="349">
        <f>VLOOKUP(AU101,'Share, Heavy Weapons to Ukraine'!B:BD,COLUMN('Share, Heavy Weapons to Ukraine'!BD43)-1,FALSE)</f>
        <v>0</v>
      </c>
      <c r="AX101" s="1365" t="str">
        <f t="shared" si="14"/>
        <v>.</v>
      </c>
      <c r="AZ101" s="349" t="s">
        <v>3337</v>
      </c>
      <c r="BA101" s="349">
        <v>0</v>
      </c>
    </row>
    <row r="102" spans="1:53" ht="15.95" customHeight="1">
      <c r="B102" s="1380">
        <f t="shared" si="5"/>
        <v>1</v>
      </c>
      <c r="C102" s="349" t="s">
        <v>981</v>
      </c>
      <c r="D102" s="350">
        <f>VLOOKUP(C102,'Share, Heavy Weapons to Ukraine'!B:AX,COLUMN('Share, Heavy Weapons to Ukraine'!AR44)-1,FALSE)</f>
        <v>0</v>
      </c>
      <c r="E102" s="350">
        <f>VLOOKUP(C102,'Share, Heavy Weapons to Ukraine'!B:BF,COLUMN('Share, Heavy Weapons to Ukraine'!BF44)-1,FALSE)</f>
        <v>0</v>
      </c>
      <c r="F102" s="1365" t="str">
        <f t="shared" si="10"/>
        <v>.</v>
      </c>
      <c r="H102" s="1372"/>
      <c r="I102" s="1372"/>
      <c r="J102" s="1372"/>
      <c r="K102" s="1372"/>
      <c r="L102" s="1372"/>
      <c r="M102" s="1380">
        <f t="shared" si="6"/>
        <v>1</v>
      </c>
      <c r="N102" s="349" t="s">
        <v>981</v>
      </c>
      <c r="O102" s="349">
        <f>VLOOKUP(N102,'Share, Heavy Weapons to Ukraine'!B:AX,COLUMN('Share, Heavy Weapons to Ukraine'!AS44)-1,FALSE)</f>
        <v>0</v>
      </c>
      <c r="P102" s="349">
        <f>VLOOKUP(N102,'Share, Heavy Weapons to Ukraine'!B:BG,COLUMN('Share, Heavy Weapons to Ukraine'!BG45)-1,FALSE)</f>
        <v>0</v>
      </c>
      <c r="Q102" s="1365" t="str">
        <f t="shared" si="11"/>
        <v>.</v>
      </c>
      <c r="S102" s="1372"/>
      <c r="T102" s="1372"/>
      <c r="U102" s="1372"/>
      <c r="V102" s="1372"/>
      <c r="W102" s="1372"/>
      <c r="X102" s="1380">
        <f t="shared" si="7"/>
        <v>1</v>
      </c>
      <c r="Y102" s="349" t="s">
        <v>981</v>
      </c>
      <c r="Z102" s="349">
        <f>VLOOKUP(Y102,'Share, Heavy Weapons to Ukraine'!B:AX,COLUMN('Share, Heavy Weapons to Ukraine'!AL16)-1,FALSE)</f>
        <v>0</v>
      </c>
      <c r="AA102" s="349">
        <f>VLOOKUP(Y102,'Share, Heavy Weapons to Ukraine'!B:AZ,COLUMN('Share, Heavy Weapons to Ukraine'!AZ51)-1,FALSE)</f>
        <v>0</v>
      </c>
      <c r="AB102" s="1365" t="str">
        <f t="shared" si="12"/>
        <v>.</v>
      </c>
      <c r="AD102" s="1372"/>
      <c r="AE102" s="1372"/>
      <c r="AF102" s="1372"/>
      <c r="AG102" s="1372"/>
      <c r="AH102" s="1372"/>
      <c r="AI102" s="1380">
        <f t="shared" si="8"/>
        <v>1</v>
      </c>
      <c r="AJ102" s="349" t="s">
        <v>981</v>
      </c>
      <c r="AK102" s="349">
        <f>VLOOKUP(AJ102,'Share, Heavy Weapons to Ukraine'!B:AU,COLUMN('Share, Heavy Weapons to Ukraine'!AU45)-1,FALSE)+VLOOKUP(AJ102,'Share, Heavy Weapons to Ukraine'!B:AV,COLUMN('Share, Heavy Weapons to Ukraine'!AV45)-1,FALSE)+VLOOKUP(AJ102,'Share, Heavy Weapons to Ukraine'!B:AW,COLUMN('Share, Heavy Weapons to Ukraine'!AW45)-1,FALSE)</f>
        <v>0</v>
      </c>
      <c r="AL102" s="349">
        <f>VLOOKUP(AJ102,'Share, Heavy Weapons to Ukraine'!B:BI,COLUMN('Share, Heavy Weapons to Ukraine'!BI45)-1,FALSE)+VLOOKUP(AJ102,'Share, Heavy Weapons to Ukraine'!B:BJ,COLUMN('Share, Heavy Weapons to Ukraine'!BJ45)-1,FALSE)+VLOOKUP(AJ102,'Share, Heavy Weapons to Ukraine'!B:BK,COLUMN('Share, Heavy Weapons to Ukraine'!BK45)-1,FALSE)</f>
        <v>0</v>
      </c>
      <c r="AM102" s="1365" t="str">
        <f t="shared" si="13"/>
        <v>.</v>
      </c>
      <c r="AO102" s="1372"/>
      <c r="AP102" s="1372"/>
      <c r="AQ102" s="1372"/>
      <c r="AR102" s="1372"/>
      <c r="AS102" s="1372"/>
      <c r="AT102" s="1380">
        <f t="shared" si="9"/>
        <v>1</v>
      </c>
      <c r="AU102" s="349" t="s">
        <v>981</v>
      </c>
      <c r="AV102" s="349">
        <f>VLOOKUP(AU102,'Share, Heavy Weapons to Ukraine'!B:AP,COLUMN('Share, Heavy Weapons to Ukraine'!AP44)-1,FALSE)</f>
        <v>0</v>
      </c>
      <c r="AW102" s="349">
        <f>VLOOKUP(AU102,'Share, Heavy Weapons to Ukraine'!B:BD,COLUMN('Share, Heavy Weapons to Ukraine'!BD44)-1,FALSE)</f>
        <v>0</v>
      </c>
      <c r="AX102" s="1365" t="str">
        <f t="shared" si="14"/>
        <v>.</v>
      </c>
      <c r="AZ102" s="349" t="s">
        <v>981</v>
      </c>
      <c r="BA102" s="349">
        <v>1</v>
      </c>
    </row>
    <row r="103" spans="1:53" ht="15.95" customHeight="1">
      <c r="B103" s="1380">
        <f t="shared" si="5"/>
        <v>1</v>
      </c>
      <c r="C103" s="349" t="s">
        <v>2625</v>
      </c>
      <c r="D103" s="350">
        <f>VLOOKUP(C103,'Share, Heavy Weapons to Ukraine'!B:AX,COLUMN('Share, Heavy Weapons to Ukraine'!AR45)-1,FALSE)</f>
        <v>0</v>
      </c>
      <c r="E103" s="350">
        <f>VLOOKUP(C103,'Share, Heavy Weapons to Ukraine'!B:BF,COLUMN('Share, Heavy Weapons to Ukraine'!BF45)-1,FALSE)</f>
        <v>0</v>
      </c>
      <c r="F103" s="1365" t="str">
        <f t="shared" si="10"/>
        <v>.</v>
      </c>
      <c r="H103" s="1372"/>
      <c r="I103" s="1372"/>
      <c r="J103" s="1372"/>
      <c r="K103" s="1372"/>
      <c r="L103" s="1372"/>
      <c r="M103" s="1380">
        <f t="shared" si="6"/>
        <v>1</v>
      </c>
      <c r="N103" s="349" t="s">
        <v>2625</v>
      </c>
      <c r="O103" s="349">
        <f>VLOOKUP(N103,'Share, Heavy Weapons to Ukraine'!B:AX,COLUMN('Share, Heavy Weapons to Ukraine'!AS45)-1,FALSE)</f>
        <v>0</v>
      </c>
      <c r="P103" s="349">
        <f>VLOOKUP(N103,'Share, Heavy Weapons to Ukraine'!B:BG,COLUMN('Share, Heavy Weapons to Ukraine'!BG46)-1,FALSE)</f>
        <v>0</v>
      </c>
      <c r="Q103" s="1365" t="str">
        <f t="shared" si="11"/>
        <v>.</v>
      </c>
      <c r="S103" s="1372"/>
      <c r="T103" s="1372"/>
      <c r="U103" s="1372"/>
      <c r="V103" s="1372"/>
      <c r="W103" s="1372"/>
      <c r="X103" s="1380">
        <f t="shared" si="7"/>
        <v>1</v>
      </c>
      <c r="Y103" s="349" t="s">
        <v>2625</v>
      </c>
      <c r="Z103" s="349">
        <f>VLOOKUP(Y103,'Share, Heavy Weapons to Ukraine'!B:AX,COLUMN('Share, Heavy Weapons to Ukraine'!AL28)-1,FALSE)</f>
        <v>0</v>
      </c>
      <c r="AA103" s="349">
        <f>VLOOKUP(Y103,'Share, Heavy Weapons to Ukraine'!B:AZ,COLUMN('Share, Heavy Weapons to Ukraine'!AZ52)-1,FALSE)</f>
        <v>0</v>
      </c>
      <c r="AB103" s="1365" t="str">
        <f t="shared" si="12"/>
        <v>.</v>
      </c>
      <c r="AD103" s="1372"/>
      <c r="AE103" s="1372"/>
      <c r="AF103" s="1372"/>
      <c r="AG103" s="1372"/>
      <c r="AH103" s="1372"/>
      <c r="AI103" s="1380">
        <f t="shared" si="8"/>
        <v>1</v>
      </c>
      <c r="AJ103" s="349" t="s">
        <v>2625</v>
      </c>
      <c r="AK103" s="349">
        <f>VLOOKUP(AJ103,'Share, Heavy Weapons to Ukraine'!B:AU,COLUMN('Share, Heavy Weapons to Ukraine'!AU46)-1,FALSE)+VLOOKUP(AJ103,'Share, Heavy Weapons to Ukraine'!B:AV,COLUMN('Share, Heavy Weapons to Ukraine'!AV46)-1,FALSE)+VLOOKUP(AJ103,'Share, Heavy Weapons to Ukraine'!B:AW,COLUMN('Share, Heavy Weapons to Ukraine'!AW46)-1,FALSE)</f>
        <v>0</v>
      </c>
      <c r="AL103" s="349">
        <f>VLOOKUP(AJ103,'Share, Heavy Weapons to Ukraine'!B:BI,COLUMN('Share, Heavy Weapons to Ukraine'!BI46)-1,FALSE)+VLOOKUP(AJ103,'Share, Heavy Weapons to Ukraine'!B:BJ,COLUMN('Share, Heavy Weapons to Ukraine'!BJ46)-1,FALSE)+VLOOKUP(AJ103,'Share, Heavy Weapons to Ukraine'!B:BK,COLUMN('Share, Heavy Weapons to Ukraine'!BK46)-1,FALSE)</f>
        <v>0</v>
      </c>
      <c r="AM103" s="1365" t="str">
        <f t="shared" si="13"/>
        <v>.</v>
      </c>
      <c r="AO103" s="1372"/>
      <c r="AP103" s="1372"/>
      <c r="AQ103" s="1372"/>
      <c r="AR103" s="1372"/>
      <c r="AS103" s="1372"/>
      <c r="AT103" s="1380">
        <f t="shared" si="9"/>
        <v>1</v>
      </c>
      <c r="AU103" s="349" t="s">
        <v>2625</v>
      </c>
      <c r="AV103" s="349">
        <f>VLOOKUP(AU103,'Share, Heavy Weapons to Ukraine'!B:AP,COLUMN('Share, Heavy Weapons to Ukraine'!AP45)-1,FALSE)</f>
        <v>0</v>
      </c>
      <c r="AW103" s="349">
        <f>VLOOKUP(AU103,'Share, Heavy Weapons to Ukraine'!B:BD,COLUMN('Share, Heavy Weapons to Ukraine'!BD45)-1,FALSE)</f>
        <v>0</v>
      </c>
      <c r="AX103" s="1365" t="str">
        <f t="shared" si="14"/>
        <v>.</v>
      </c>
      <c r="AZ103" s="349" t="s">
        <v>2625</v>
      </c>
      <c r="BA103" s="349">
        <v>1</v>
      </c>
    </row>
    <row r="104" spans="1:53" ht="15.95" customHeight="1">
      <c r="B104" s="1380">
        <f t="shared" si="5"/>
        <v>0</v>
      </c>
      <c r="C104" s="349" t="s">
        <v>4866</v>
      </c>
      <c r="D104" s="350">
        <f>VLOOKUP(C104,'Share, Heavy Weapons to Ukraine'!B:AX,COLUMN('Share, Heavy Weapons to Ukraine'!AR46)-1,FALSE)</f>
        <v>0</v>
      </c>
      <c r="E104" s="350">
        <f>VLOOKUP(C104,'Share, Heavy Weapons to Ukraine'!B:BF,COLUMN('Share, Heavy Weapons to Ukraine'!BF46)-1,FALSE)</f>
        <v>0</v>
      </c>
      <c r="F104" s="1365" t="str">
        <f t="shared" si="10"/>
        <v>.</v>
      </c>
      <c r="H104" s="1372"/>
      <c r="I104" s="1372"/>
      <c r="J104" s="1372"/>
      <c r="K104" s="1372"/>
      <c r="L104" s="1372"/>
      <c r="M104" s="1380">
        <f t="shared" si="6"/>
        <v>0</v>
      </c>
      <c r="N104" s="349" t="s">
        <v>4866</v>
      </c>
      <c r="O104" s="349">
        <f>VLOOKUP(N104,'Share, Heavy Weapons to Ukraine'!B:AX,COLUMN('Share, Heavy Weapons to Ukraine'!AS46)-1,FALSE)</f>
        <v>0</v>
      </c>
      <c r="P104" s="349">
        <f>VLOOKUP(N104,'Share, Heavy Weapons to Ukraine'!B:BG,COLUMN('Share, Heavy Weapons to Ukraine'!BG47)-1,FALSE)</f>
        <v>0</v>
      </c>
      <c r="Q104" s="1365" t="str">
        <f t="shared" si="11"/>
        <v>.</v>
      </c>
      <c r="S104" s="1372"/>
      <c r="T104" s="1372"/>
      <c r="U104" s="1372"/>
      <c r="V104" s="1372"/>
      <c r="W104" s="1372"/>
      <c r="X104" s="1380">
        <f t="shared" si="7"/>
        <v>0</v>
      </c>
      <c r="Y104" s="349" t="s">
        <v>4866</v>
      </c>
      <c r="Z104" s="349">
        <f>VLOOKUP(Y104,'Share, Heavy Weapons to Ukraine'!B:AX,COLUMN('Share, Heavy Weapons to Ukraine'!AL14)-1,FALSE)</f>
        <v>0</v>
      </c>
      <c r="AA104" s="349">
        <f>VLOOKUP(Y104,'Share, Heavy Weapons to Ukraine'!B:AZ,COLUMN('Share, Heavy Weapons to Ukraine'!AZ53)-1,FALSE)</f>
        <v>0</v>
      </c>
      <c r="AB104" s="1365" t="str">
        <f t="shared" si="12"/>
        <v>.</v>
      </c>
      <c r="AD104" s="1372"/>
      <c r="AE104" s="1372"/>
      <c r="AF104" s="1372"/>
      <c r="AG104" s="1372"/>
      <c r="AH104" s="1372"/>
      <c r="AI104" s="1380">
        <f t="shared" si="8"/>
        <v>0</v>
      </c>
      <c r="AJ104" s="349" t="s">
        <v>4866</v>
      </c>
      <c r="AK104" s="349">
        <f>VLOOKUP(AJ104,'Share, Heavy Weapons to Ukraine'!B:AU,COLUMN('Share, Heavy Weapons to Ukraine'!AU47)-1,FALSE)+VLOOKUP(AJ104,'Share, Heavy Weapons to Ukraine'!B:AV,COLUMN('Share, Heavy Weapons to Ukraine'!AV47)-1,FALSE)+VLOOKUP(AJ104,'Share, Heavy Weapons to Ukraine'!B:AW,COLUMN('Share, Heavy Weapons to Ukraine'!AW47)-1,FALSE)</f>
        <v>0</v>
      </c>
      <c r="AL104" s="349">
        <f>VLOOKUP(AJ104,'Share, Heavy Weapons to Ukraine'!B:BI,COLUMN('Share, Heavy Weapons to Ukraine'!BI47)-1,FALSE)+VLOOKUP(AJ104,'Share, Heavy Weapons to Ukraine'!B:BJ,COLUMN('Share, Heavy Weapons to Ukraine'!BJ47)-1,FALSE)+VLOOKUP(AJ104,'Share, Heavy Weapons to Ukraine'!B:BK,COLUMN('Share, Heavy Weapons to Ukraine'!BK47)-1,FALSE)</f>
        <v>0</v>
      </c>
      <c r="AM104" s="1365" t="str">
        <f t="shared" si="13"/>
        <v>.</v>
      </c>
      <c r="AO104" s="1372"/>
      <c r="AP104" s="1372"/>
      <c r="AQ104" s="1372"/>
      <c r="AR104" s="1372"/>
      <c r="AS104" s="1372"/>
      <c r="AT104" s="1380">
        <f t="shared" si="9"/>
        <v>0</v>
      </c>
      <c r="AU104" s="349" t="s">
        <v>4866</v>
      </c>
      <c r="AV104" s="349">
        <f>VLOOKUP(AU104,'Share, Heavy Weapons to Ukraine'!B:AP,COLUMN('Share, Heavy Weapons to Ukraine'!AP46)-1,FALSE)</f>
        <v>0</v>
      </c>
      <c r="AW104" s="349">
        <f>VLOOKUP(AU104,'Share, Heavy Weapons to Ukraine'!B:BD,COLUMN('Share, Heavy Weapons to Ukraine'!BD46)-1,FALSE)</f>
        <v>0</v>
      </c>
      <c r="AX104" s="1365" t="str">
        <f t="shared" si="14"/>
        <v>.</v>
      </c>
      <c r="AZ104" s="349" t="s">
        <v>4866</v>
      </c>
      <c r="BA104" s="349">
        <v>0</v>
      </c>
    </row>
    <row r="105" spans="1:53" ht="15.95" customHeight="1">
      <c r="B105" s="1380">
        <f t="shared" si="5"/>
        <v>0</v>
      </c>
      <c r="C105" s="349" t="s">
        <v>4867</v>
      </c>
      <c r="D105" s="350">
        <f>VLOOKUP(C105,'Share, Heavy Weapons to Ukraine'!B:AX,COLUMN('Share, Heavy Weapons to Ukraine'!AR47)-1,FALSE)</f>
        <v>0</v>
      </c>
      <c r="E105" s="350">
        <f>VLOOKUP(C105,'Share, Heavy Weapons to Ukraine'!B:BF,COLUMN('Share, Heavy Weapons to Ukraine'!BF47)-1,FALSE)</f>
        <v>0</v>
      </c>
      <c r="F105" s="1365" t="str">
        <f t="shared" si="10"/>
        <v>.</v>
      </c>
      <c r="H105" s="1372"/>
      <c r="I105" s="1372"/>
      <c r="J105" s="1372"/>
      <c r="K105" s="1372"/>
      <c r="L105" s="1372"/>
      <c r="M105" s="1380">
        <f t="shared" si="6"/>
        <v>0</v>
      </c>
      <c r="N105" s="349" t="s">
        <v>4867</v>
      </c>
      <c r="O105" s="349">
        <f>VLOOKUP(N105,'Share, Heavy Weapons to Ukraine'!B:AX,COLUMN('Share, Heavy Weapons to Ukraine'!AS47)-1,FALSE)</f>
        <v>0</v>
      </c>
      <c r="P105" s="349">
        <f>VLOOKUP(N105,'Share, Heavy Weapons to Ukraine'!B:BG,COLUMN('Share, Heavy Weapons to Ukraine'!BG48)-1,FALSE)</f>
        <v>0</v>
      </c>
      <c r="Q105" s="1365" t="str">
        <f t="shared" si="11"/>
        <v>.</v>
      </c>
      <c r="S105" s="1372"/>
      <c r="T105" s="1372"/>
      <c r="U105" s="1372"/>
      <c r="V105" s="1372"/>
      <c r="W105" s="1372"/>
      <c r="X105" s="1380">
        <f t="shared" si="7"/>
        <v>0</v>
      </c>
      <c r="Y105" s="349" t="s">
        <v>4867</v>
      </c>
      <c r="Z105" s="349">
        <f>VLOOKUP(Y105,'Share, Heavy Weapons to Ukraine'!B:AX,COLUMN('Share, Heavy Weapons to Ukraine'!AL13)-1,FALSE)</f>
        <v>0</v>
      </c>
      <c r="AA105" s="349">
        <f>VLOOKUP(Y105,'Share, Heavy Weapons to Ukraine'!B:AZ,COLUMN('Share, Heavy Weapons to Ukraine'!AZ54)-1,FALSE)</f>
        <v>0</v>
      </c>
      <c r="AB105" s="1365" t="str">
        <f t="shared" si="12"/>
        <v>.</v>
      </c>
      <c r="AD105" s="1372"/>
      <c r="AE105" s="1372"/>
      <c r="AF105" s="1372"/>
      <c r="AG105" s="1372"/>
      <c r="AH105" s="1372"/>
      <c r="AI105" s="1380">
        <f t="shared" si="8"/>
        <v>0</v>
      </c>
      <c r="AJ105" s="349" t="s">
        <v>4867</v>
      </c>
      <c r="AK105" s="349">
        <f>VLOOKUP(AJ105,'Share, Heavy Weapons to Ukraine'!B:AU,COLUMN('Share, Heavy Weapons to Ukraine'!AU48)-1,FALSE)+VLOOKUP(AJ105,'Share, Heavy Weapons to Ukraine'!B:AV,COLUMN('Share, Heavy Weapons to Ukraine'!AV48)-1,FALSE)+VLOOKUP(AJ105,'Share, Heavy Weapons to Ukraine'!B:AW,COLUMN('Share, Heavy Weapons to Ukraine'!AW48)-1,FALSE)</f>
        <v>0</v>
      </c>
      <c r="AL105" s="349">
        <f>VLOOKUP(AJ105,'Share, Heavy Weapons to Ukraine'!B:BI,COLUMN('Share, Heavy Weapons to Ukraine'!BI48)-1,FALSE)+VLOOKUP(AJ105,'Share, Heavy Weapons to Ukraine'!B:BJ,COLUMN('Share, Heavy Weapons to Ukraine'!BJ48)-1,FALSE)+VLOOKUP(AJ105,'Share, Heavy Weapons to Ukraine'!B:BK,COLUMN('Share, Heavy Weapons to Ukraine'!BK48)-1,FALSE)</f>
        <v>0</v>
      </c>
      <c r="AM105" s="1365" t="str">
        <f t="shared" si="13"/>
        <v>.</v>
      </c>
      <c r="AO105" s="1372"/>
      <c r="AP105" s="1372"/>
      <c r="AQ105" s="1372"/>
      <c r="AR105" s="1372"/>
      <c r="AS105" s="1372"/>
      <c r="AT105" s="1380">
        <f t="shared" si="9"/>
        <v>0</v>
      </c>
      <c r="AU105" s="349" t="s">
        <v>4867</v>
      </c>
      <c r="AV105" s="349">
        <f>VLOOKUP(AU105,'Share, Heavy Weapons to Ukraine'!B:AP,COLUMN('Share, Heavy Weapons to Ukraine'!AP47)-1,FALSE)</f>
        <v>0</v>
      </c>
      <c r="AW105" s="349">
        <f>VLOOKUP(AU105,'Share, Heavy Weapons to Ukraine'!B:BD,COLUMN('Share, Heavy Weapons to Ukraine'!BD47)-1,FALSE)</f>
        <v>0</v>
      </c>
      <c r="AX105" s="1365" t="str">
        <f t="shared" si="14"/>
        <v>.</v>
      </c>
      <c r="AZ105" s="349" t="s">
        <v>4867</v>
      </c>
      <c r="BA105" s="349">
        <v>0</v>
      </c>
    </row>
    <row r="106" spans="1:53" ht="15.95" customHeight="1" thickBot="1">
      <c r="B106" s="1381">
        <f t="shared" si="5"/>
        <v>0</v>
      </c>
      <c r="C106" s="456" t="s">
        <v>4868</v>
      </c>
      <c r="D106" s="456">
        <f>VLOOKUP(C106,'Share, Heavy Weapons to Ukraine'!B:AX,COLUMN('Share, Heavy Weapons to Ukraine'!AR48)-1,FALSE)</f>
        <v>0</v>
      </c>
      <c r="E106" s="456">
        <f>VLOOKUP(C106,'Share, Heavy Weapons to Ukraine'!B:BF,COLUMN('Share, Heavy Weapons to Ukraine'!BF48)-1,FALSE)</f>
        <v>0</v>
      </c>
      <c r="F106" s="1378" t="str">
        <f t="shared" si="10"/>
        <v>.</v>
      </c>
      <c r="H106" s="1370"/>
      <c r="I106" s="1370"/>
      <c r="J106" s="1370"/>
      <c r="K106" s="1370"/>
      <c r="L106" s="1370"/>
      <c r="M106" s="1381">
        <f t="shared" si="6"/>
        <v>0</v>
      </c>
      <c r="N106" s="456" t="s">
        <v>4868</v>
      </c>
      <c r="O106" s="456">
        <f>VLOOKUP(N106,'Share, Heavy Weapons to Ukraine'!B:AX,COLUMN('Share, Heavy Weapons to Ukraine'!AS48)-1,FALSE)</f>
        <v>0</v>
      </c>
      <c r="P106" s="456">
        <f>VLOOKUP(N106,'Share, Heavy Weapons to Ukraine'!B:BG,COLUMN('Share, Heavy Weapons to Ukraine'!BG49)-1,FALSE)</f>
        <v>0</v>
      </c>
      <c r="Q106" s="1378" t="str">
        <f t="shared" si="11"/>
        <v>.</v>
      </c>
      <c r="S106" s="1370"/>
      <c r="T106" s="1370"/>
      <c r="U106" s="1370"/>
      <c r="V106" s="1370"/>
      <c r="W106" s="1370"/>
      <c r="X106" s="1381">
        <f t="shared" si="7"/>
        <v>0</v>
      </c>
      <c r="Y106" s="456" t="s">
        <v>4868</v>
      </c>
      <c r="Z106" s="791">
        <f>VLOOKUP(Y106,'Share, Heavy Weapons to Ukraine'!B:AX,COLUMN('Share, Heavy Weapons to Ukraine'!AL12)-1,FALSE)</f>
        <v>0</v>
      </c>
      <c r="AA106" s="791">
        <f>VLOOKUP(Y106,'Share, Heavy Weapons to Ukraine'!B:AZ,COLUMN('Share, Heavy Weapons to Ukraine'!AZ55)-1,FALSE)</f>
        <v>0</v>
      </c>
      <c r="AB106" s="1378" t="str">
        <f t="shared" si="12"/>
        <v>.</v>
      </c>
      <c r="AC106" s="1403"/>
      <c r="AD106" s="1404"/>
      <c r="AE106" s="1404"/>
      <c r="AF106" s="1404"/>
      <c r="AG106" s="1404"/>
      <c r="AH106" s="1404"/>
      <c r="AI106" s="1381">
        <f t="shared" si="8"/>
        <v>0</v>
      </c>
      <c r="AJ106" s="456" t="s">
        <v>4868</v>
      </c>
      <c r="AK106" s="456">
        <f>VLOOKUP(AJ106,'Share, Heavy Weapons to Ukraine'!B:AU,COLUMN('Share, Heavy Weapons to Ukraine'!AU49)-1,FALSE)+VLOOKUP(AJ106,'Share, Heavy Weapons to Ukraine'!B:AV,COLUMN('Share, Heavy Weapons to Ukraine'!AV49)-1,FALSE)+VLOOKUP(AJ106,'Share, Heavy Weapons to Ukraine'!B:AW,COLUMN('Share, Heavy Weapons to Ukraine'!AW49)-1,FALSE)</f>
        <v>0</v>
      </c>
      <c r="AL106" s="456">
        <f>VLOOKUP(AJ106,'Share, Heavy Weapons to Ukraine'!B:BI,COLUMN('Share, Heavy Weapons to Ukraine'!BI49)-1,FALSE)+VLOOKUP(AJ106,'Share, Heavy Weapons to Ukraine'!B:BJ,COLUMN('Share, Heavy Weapons to Ukraine'!BJ49)-1,FALSE)+VLOOKUP(AJ106,'Share, Heavy Weapons to Ukraine'!B:BK,COLUMN('Share, Heavy Weapons to Ukraine'!BK49)-1,FALSE)</f>
        <v>0</v>
      </c>
      <c r="AM106" s="1378" t="str">
        <f t="shared" si="13"/>
        <v>.</v>
      </c>
      <c r="AO106" s="1370"/>
      <c r="AP106" s="1370"/>
      <c r="AQ106" s="1370"/>
      <c r="AR106" s="1370"/>
      <c r="AS106" s="1370"/>
      <c r="AT106" s="1381">
        <f t="shared" si="9"/>
        <v>0</v>
      </c>
      <c r="AU106" s="456" t="s">
        <v>4868</v>
      </c>
      <c r="AV106" s="456">
        <f>VLOOKUP(AU106,'Share, Heavy Weapons to Ukraine'!B:AP,COLUMN('Share, Heavy Weapons to Ukraine'!AP48)-1,FALSE)</f>
        <v>0</v>
      </c>
      <c r="AW106" s="456">
        <f>VLOOKUP(AU106,'Share, Heavy Weapons to Ukraine'!B:BD,COLUMN('Share, Heavy Weapons to Ukraine'!BD48)-1,FALSE)</f>
        <v>0</v>
      </c>
      <c r="AX106" s="1378" t="str">
        <f t="shared" si="14"/>
        <v>.</v>
      </c>
      <c r="AZ106" s="456" t="s">
        <v>4868</v>
      </c>
      <c r="BA106" s="1395">
        <v>0</v>
      </c>
    </row>
    <row r="107" spans="1:53" s="1372" customFormat="1" ht="15.95" customHeight="1">
      <c r="A107" s="1369"/>
      <c r="B107" s="1380"/>
      <c r="G107" s="1369"/>
      <c r="M107" s="1380"/>
      <c r="R107" s="1369"/>
      <c r="X107" s="1380"/>
      <c r="AC107" s="1369"/>
      <c r="AI107" s="1380"/>
      <c r="AT107" s="1380"/>
      <c r="AZ107" s="1369"/>
    </row>
    <row r="108" spans="1:53" ht="15.95" customHeight="1">
      <c r="AZ108" s="1369"/>
      <c r="BA108" s="1372"/>
    </row>
    <row r="109" spans="1:53" ht="15.95" customHeight="1">
      <c r="C109" s="1396"/>
    </row>
    <row r="110" spans="1:53" ht="15.95" customHeight="1">
      <c r="C110" s="1396"/>
    </row>
    <row r="111" spans="1:53" ht="15.95" customHeight="1">
      <c r="C111" s="1396"/>
    </row>
    <row r="112" spans="1:53" ht="15.95" customHeight="1">
      <c r="C112" s="1396"/>
    </row>
    <row r="113" spans="3:3" ht="15.95" customHeight="1">
      <c r="C113" s="1396"/>
    </row>
    <row r="114" spans="3:3" ht="15.95" customHeight="1">
      <c r="C114" s="1396"/>
    </row>
  </sheetData>
  <mergeCells count="14">
    <mergeCell ref="M63:M64"/>
    <mergeCell ref="AT63:AT64"/>
    <mergeCell ref="AZ63:AZ64"/>
    <mergeCell ref="BA63:BA64"/>
    <mergeCell ref="B4:G9"/>
    <mergeCell ref="X63:X64"/>
    <mergeCell ref="AI63:AI64"/>
    <mergeCell ref="D56:F56"/>
    <mergeCell ref="O56:Q56"/>
    <mergeCell ref="Z56:AB56"/>
    <mergeCell ref="AK56:AM56"/>
    <mergeCell ref="AV56:AX56"/>
    <mergeCell ref="AK63:AM63"/>
    <mergeCell ref="B63:B64"/>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5" tint="0.59999389629810485"/>
  </sheetPr>
  <dimension ref="B1:O60"/>
  <sheetViews>
    <sheetView showGridLines="0" zoomScaleNormal="100" workbookViewId="0"/>
  </sheetViews>
  <sheetFormatPr defaultColWidth="8.625" defaultRowHeight="15.95" customHeight="1"/>
  <cols>
    <col min="1" max="1" width="8.625" style="24" customWidth="1"/>
    <col min="2" max="2" width="33.5" style="24" customWidth="1"/>
    <col min="3" max="3" width="34.375" style="342" bestFit="1" customWidth="1"/>
    <col min="4" max="4" width="40.875" style="113" customWidth="1"/>
    <col min="5" max="5" width="48.5" style="343" customWidth="1"/>
    <col min="6" max="6" width="44" style="127" customWidth="1"/>
    <col min="7" max="7" width="51.125" style="343" customWidth="1"/>
    <col min="8" max="8" width="24.375" style="170" bestFit="1" customWidth="1"/>
    <col min="9" max="11" width="8.625" style="170" customWidth="1"/>
    <col min="12" max="12" width="8.625" style="24" customWidth="1"/>
    <col min="13" max="16384" width="8.625" style="24"/>
  </cols>
  <sheetData>
    <row r="1" spans="2:15" s="35" customFormat="1" ht="15.95" customHeight="1">
      <c r="B1" s="39"/>
      <c r="C1" s="146"/>
      <c r="D1" s="146"/>
      <c r="E1" s="146"/>
      <c r="F1" s="146"/>
      <c r="G1" s="39"/>
      <c r="H1" s="39"/>
    </row>
    <row r="2" spans="2:15" s="39" customFormat="1" ht="24.75" customHeight="1">
      <c r="B2" s="369" t="s">
        <v>4869</v>
      </c>
    </row>
    <row r="3" spans="2:15" s="114" customFormat="1" ht="15.95" customHeight="1">
      <c r="C3" s="39"/>
    </row>
    <row r="4" spans="2:15" s="114" customFormat="1" ht="15.95" customHeight="1">
      <c r="B4" s="1486" t="s">
        <v>4870</v>
      </c>
      <c r="C4" s="1487"/>
      <c r="D4" s="1487"/>
      <c r="E4" s="1487"/>
      <c r="F4" s="1487"/>
      <c r="G4" s="1487"/>
    </row>
    <row r="5" spans="2:15" s="114" customFormat="1" ht="15.95" customHeight="1">
      <c r="B5" s="1487"/>
      <c r="C5" s="1487"/>
      <c r="D5" s="1487"/>
      <c r="E5" s="1487"/>
      <c r="F5" s="1487"/>
      <c r="G5" s="1487"/>
    </row>
    <row r="6" spans="2:15" s="114" customFormat="1" ht="15.95" customHeight="1">
      <c r="B6" s="1487"/>
      <c r="C6" s="1487"/>
      <c r="D6" s="1487"/>
      <c r="E6" s="1487"/>
      <c r="F6" s="1487"/>
      <c r="G6" s="1487"/>
    </row>
    <row r="7" spans="2:15" s="114" customFormat="1" ht="15.95" customHeight="1">
      <c r="B7" s="1487"/>
      <c r="C7" s="1487"/>
      <c r="D7" s="1487"/>
      <c r="E7" s="1487"/>
      <c r="F7" s="1487"/>
      <c r="G7" s="1487"/>
    </row>
    <row r="8" spans="2:15" s="114" customFormat="1" ht="15.95" customHeight="1">
      <c r="B8" s="1487"/>
      <c r="C8" s="1487"/>
      <c r="D8" s="1487"/>
      <c r="E8" s="1487"/>
      <c r="F8" s="1487"/>
      <c r="G8" s="1487"/>
    </row>
    <row r="9" spans="2:15" s="114" customFormat="1" ht="21" customHeight="1">
      <c r="B9" s="1487"/>
      <c r="C9" s="1487"/>
      <c r="D9" s="1487"/>
      <c r="E9" s="1487"/>
      <c r="F9" s="1487"/>
      <c r="G9" s="1487"/>
    </row>
    <row r="11" spans="2:15" s="310" customFormat="1" ht="21.75" customHeight="1">
      <c r="B11" s="1347" t="s">
        <v>4512</v>
      </c>
      <c r="C11" s="269" t="s">
        <v>4784</v>
      </c>
      <c r="D11" s="269" t="s">
        <v>4785</v>
      </c>
      <c r="E11" s="270" t="s">
        <v>4786</v>
      </c>
      <c r="F11" s="269" t="s">
        <v>4787</v>
      </c>
      <c r="G11" s="270" t="s">
        <v>4788</v>
      </c>
      <c r="H11" s="1348" t="s">
        <v>4548</v>
      </c>
      <c r="K11" s="444"/>
    </row>
    <row r="12" spans="2:15" s="310" customFormat="1" ht="24.75" customHeight="1">
      <c r="B12" s="271"/>
      <c r="C12" s="272" t="s">
        <v>4871</v>
      </c>
      <c r="D12" s="272" t="s">
        <v>4791</v>
      </c>
      <c r="E12" s="273" t="s">
        <v>4792</v>
      </c>
      <c r="F12" s="272" t="s">
        <v>4793</v>
      </c>
      <c r="G12" s="273" t="s">
        <v>4794</v>
      </c>
      <c r="H12" s="1354"/>
    </row>
    <row r="13" spans="2:15" s="344" customFormat="1" ht="62.25" customHeight="1">
      <c r="B13" s="274"/>
      <c r="C13" s="252" t="s">
        <v>4872</v>
      </c>
      <c r="D13" s="252" t="s">
        <v>4873</v>
      </c>
      <c r="E13" s="458" t="s">
        <v>4874</v>
      </c>
      <c r="F13" s="459" t="s">
        <v>4875</v>
      </c>
      <c r="G13" s="460" t="s">
        <v>4876</v>
      </c>
      <c r="H13" s="275" t="s">
        <v>4877</v>
      </c>
    </row>
    <row r="14" spans="2:15" ht="15.95" customHeight="1">
      <c r="B14" s="2" t="s">
        <v>3649</v>
      </c>
      <c r="C14" s="1100">
        <f>VLOOKUP(B14,'Designated Websites, total sums'!B:C,2,0)</f>
        <v>1</v>
      </c>
      <c r="D14" s="180">
        <f>VLOOKUP(B14,'Designated Websites, total sums'!B:I,7,0)</f>
        <v>1</v>
      </c>
      <c r="E14" s="276">
        <f>(COUNTIFS('Bilateral Assistance, MAIN DATA'!AE:AE,"Value is given by the source",'Bilateral Assistance, MAIN DATA'!B:B,'Data Transparency Index'!$B14)/COUNTIFS('Bilateral Assistance, MAIN DATA'!B:B,'Data Transparency Index'!$B14))</f>
        <v>1</v>
      </c>
      <c r="F14" s="277">
        <f>(SUMIFS('Bilateral Assistance, MAIN DATA'!AR:AR,'Bilateral Assistance, MAIN DATA'!B:B,'Data Transparency Index'!$B14)/COUNTIFS('Bilateral Assistance, MAIN DATA'!B:B,'Data Transparency Index'!$B14))</f>
        <v>1</v>
      </c>
      <c r="G14" s="276">
        <v>1</v>
      </c>
      <c r="H14" s="239">
        <f t="shared" ref="H14:H55" si="0">SUM(C14:G14)</f>
        <v>5</v>
      </c>
      <c r="I14" s="171"/>
      <c r="J14" s="171"/>
      <c r="K14" s="171"/>
    </row>
    <row r="15" spans="2:15" ht="15.95" customHeight="1">
      <c r="B15" s="24" t="s">
        <v>1194</v>
      </c>
      <c r="C15" s="1100">
        <f>VLOOKUP(B15,'Designated Websites, total sums'!B:C,2,0)</f>
        <v>1</v>
      </c>
      <c r="D15" s="180">
        <f>VLOOKUP(B15,'Designated Websites, total sums'!B:I,7,0)</f>
        <v>1</v>
      </c>
      <c r="E15" s="276">
        <f>(COUNTIFS('Bilateral Assistance, MAIN DATA'!AE:AE,"Value is given by the source",'Bilateral Assistance, MAIN DATA'!B:B,'Data Transparency Index'!$B15)/COUNTIFS('Bilateral Assistance, MAIN DATA'!B:B,'Data Transparency Index'!$B15))</f>
        <v>0.95454545454545459</v>
      </c>
      <c r="F15" s="277">
        <f>(SUMIFS('Bilateral Assistance, MAIN DATA'!AR:AR,'Bilateral Assistance, MAIN DATA'!B:B,'Data Transparency Index'!$B15)/COUNTIFS('Bilateral Assistance, MAIN DATA'!B:B,'Data Transparency Index'!$B15))</f>
        <v>1</v>
      </c>
      <c r="G15" s="276">
        <f>1-(COUNTIFS('Bilateral Assistance, MAIN DATA'!M:M,"undisclosed",'Bilateral Assistance, MAIN DATA'!B:B,'Data Transparency Index'!$B15,'Bilateral Assistance, MAIN DATA'!AS:AS,1,'Bilateral Assistance, MAIN DATA'!B:B,'Data Transparency Index'!$B15)/COUNTIFS('Bilateral Assistance, MAIN DATA'!B:B,'Data Transparency Index'!$B15,'Bilateral Assistance, MAIN DATA'!AS:AS,1))</f>
        <v>0.67741935483870974</v>
      </c>
      <c r="H15" s="239">
        <f t="shared" si="0"/>
        <v>4.6319648093841641</v>
      </c>
      <c r="I15" s="171"/>
      <c r="J15" s="171"/>
      <c r="K15" s="171"/>
      <c r="L15" s="345"/>
      <c r="M15" s="345"/>
      <c r="N15" s="345"/>
      <c r="O15" s="345"/>
    </row>
    <row r="16" spans="2:15" ht="15.95" customHeight="1">
      <c r="B16" s="24" t="s">
        <v>3949</v>
      </c>
      <c r="C16" s="1100">
        <f>VLOOKUP(B16,'Designated Websites, total sums'!B:C,2,0)</f>
        <v>0.33333333333333337</v>
      </c>
      <c r="D16" s="180">
        <f>VLOOKUP(B16,'Designated Websites, total sums'!B:I,7,0)</f>
        <v>0</v>
      </c>
      <c r="E16" s="276">
        <f>(COUNTIFS('Bilateral Assistance, MAIN DATA'!AE:AE,"Value is given by the source",'Bilateral Assistance, MAIN DATA'!B:B,'Data Transparency Index'!$B16)/COUNTIFS('Bilateral Assistance, MAIN DATA'!B:B,'Data Transparency Index'!$B16))</f>
        <v>1</v>
      </c>
      <c r="F16" s="277">
        <f>(SUMIFS('Bilateral Assistance, MAIN DATA'!AR:AR,'Bilateral Assistance, MAIN DATA'!B:B,'Data Transparency Index'!$B16)/COUNTIFS('Bilateral Assistance, MAIN DATA'!B:B,'Data Transparency Index'!$B16))</f>
        <v>1</v>
      </c>
      <c r="G16" s="276">
        <f>1-(COUNTIFS('Bilateral Assistance, MAIN DATA'!M:M,"undisclosed",'Bilateral Assistance, MAIN DATA'!B:B,'Data Transparency Index'!$B16,'Bilateral Assistance, MAIN DATA'!AS:AS,1,'Bilateral Assistance, MAIN DATA'!B:B,'Data Transparency Index'!$B16)/COUNTIFS('Bilateral Assistance, MAIN DATA'!B:B,'Data Transparency Index'!$B16,'Bilateral Assistance, MAIN DATA'!AS:AS,1))</f>
        <v>0.48549323017408119</v>
      </c>
      <c r="H16" s="239">
        <f t="shared" si="0"/>
        <v>2.8188265635074146</v>
      </c>
      <c r="I16" s="171"/>
      <c r="J16" s="171"/>
      <c r="K16" s="171"/>
    </row>
    <row r="17" spans="2:15" ht="15.95" customHeight="1">
      <c r="B17" s="2" t="s">
        <v>359</v>
      </c>
      <c r="C17" s="1100">
        <f>VLOOKUP(B17,'Designated Websites, total sums'!B:C,2,0)</f>
        <v>0</v>
      </c>
      <c r="D17" s="180">
        <f>VLOOKUP(B17,'Designated Websites, total sums'!B:I,7,0)</f>
        <v>0</v>
      </c>
      <c r="E17" s="276">
        <f>(COUNTIFS('Bilateral Assistance, MAIN DATA'!AE:AE,"Value is given by the source",'Bilateral Assistance, MAIN DATA'!B:B,'Data Transparency Index'!$B17)/COUNTIFS('Bilateral Assistance, MAIN DATA'!B:B,'Data Transparency Index'!$B17))</f>
        <v>0.96153846153846156</v>
      </c>
      <c r="F17" s="277">
        <f>(SUMIFS('Bilateral Assistance, MAIN DATA'!AR:AR,'Bilateral Assistance, MAIN DATA'!B:B,'Data Transparency Index'!$B17)/COUNTIFS('Bilateral Assistance, MAIN DATA'!B:B,'Data Transparency Index'!$B17))</f>
        <v>1</v>
      </c>
      <c r="G17" s="276">
        <f>1-(COUNTIFS('Bilateral Assistance, MAIN DATA'!M:M,"undisclosed",'Bilateral Assistance, MAIN DATA'!B:B,'Data Transparency Index'!$B17,'Bilateral Assistance, MAIN DATA'!AS:AS,1,'Bilateral Assistance, MAIN DATA'!B:B,'Data Transparency Index'!$B17)/COUNTIFS('Bilateral Assistance, MAIN DATA'!B:B,'Data Transparency Index'!$B17,'Bilateral Assistance, MAIN DATA'!AS:AS,1))</f>
        <v>0.47619047619047616</v>
      </c>
      <c r="H17" s="239">
        <f t="shared" si="0"/>
        <v>2.437728937728938</v>
      </c>
      <c r="I17" s="171"/>
      <c r="J17" s="171"/>
      <c r="K17" s="171"/>
      <c r="L17" s="345"/>
      <c r="M17" s="345"/>
      <c r="N17" s="345"/>
      <c r="O17" s="345"/>
    </row>
    <row r="18" spans="2:15" ht="15.95" customHeight="1">
      <c r="B18" s="24" t="s">
        <v>3548</v>
      </c>
      <c r="C18" s="1100">
        <f>VLOOKUP(B18,'Designated Websites, total sums'!B:C,2,0)</f>
        <v>1</v>
      </c>
      <c r="D18" s="180">
        <f>VLOOKUP(B18,'Designated Websites, total sums'!B:I,7,0)</f>
        <v>1</v>
      </c>
      <c r="E18" s="276">
        <f>(COUNTIFS('Bilateral Assistance, MAIN DATA'!AE:AE,"Value is given by the source",'Bilateral Assistance, MAIN DATA'!B:B,'Data Transparency Index'!$B18)/COUNTIFS('Bilateral Assistance, MAIN DATA'!B:B,'Data Transparency Index'!$B18))</f>
        <v>0.94444444444444442</v>
      </c>
      <c r="F18" s="277">
        <f>(SUMIFS('Bilateral Assistance, MAIN DATA'!AR:AR,'Bilateral Assistance, MAIN DATA'!B:B,'Data Transparency Index'!$B18)/COUNTIFS('Bilateral Assistance, MAIN DATA'!B:B,'Data Transparency Index'!$B18))</f>
        <v>1</v>
      </c>
      <c r="G18" s="276">
        <f>1-(COUNTIFS('Bilateral Assistance, MAIN DATA'!M:M,"undisclosed",'Bilateral Assistance, MAIN DATA'!B:B,'Data Transparency Index'!$B18,'Bilateral Assistance, MAIN DATA'!AS:AS,1,'Bilateral Assistance, MAIN DATA'!B:B,'Data Transparency Index'!$B18)/COUNTIFS('Bilateral Assistance, MAIN DATA'!B:B,'Data Transparency Index'!$B18,'Bilateral Assistance, MAIN DATA'!AS:AS,1))</f>
        <v>0.61111111111111116</v>
      </c>
      <c r="H18" s="239">
        <f t="shared" si="0"/>
        <v>4.5555555555555554</v>
      </c>
      <c r="I18" s="171"/>
      <c r="J18" s="171"/>
      <c r="K18" s="171"/>
      <c r="L18" s="345"/>
      <c r="M18" s="345"/>
      <c r="N18" s="345"/>
      <c r="O18" s="345"/>
    </row>
    <row r="19" spans="2:15" ht="15.95" customHeight="1">
      <c r="B19" s="24" t="s">
        <v>2693</v>
      </c>
      <c r="C19" s="1100">
        <f>VLOOKUP(B19,'Designated Websites, total sums'!B:C,2,0)</f>
        <v>1</v>
      </c>
      <c r="D19" s="180">
        <f>VLOOKUP(B19,'Designated Websites, total sums'!B:I,7,0)</f>
        <v>1</v>
      </c>
      <c r="E19" s="276">
        <f>(COUNTIFS('Bilateral Assistance, MAIN DATA'!AE:AE,"Value is given by the source",'Bilateral Assistance, MAIN DATA'!B:B,'Data Transparency Index'!$B19)/COUNTIFS('Bilateral Assistance, MAIN DATA'!B:B,'Data Transparency Index'!$B19))</f>
        <v>0.88235294117647056</v>
      </c>
      <c r="F19" s="277">
        <f>(SUMIFS('Bilateral Assistance, MAIN DATA'!AR:AR,'Bilateral Assistance, MAIN DATA'!B:B,'Data Transparency Index'!$B19)/COUNTIFS('Bilateral Assistance, MAIN DATA'!B:B,'Data Transparency Index'!$B19))</f>
        <v>0.98529411764705888</v>
      </c>
      <c r="G19" s="276">
        <f>1-(COUNTIFS('Bilateral Assistance, MAIN DATA'!M:M,"undisclosed",'Bilateral Assistance, MAIN DATA'!B:B,'Data Transparency Index'!$B19,'Bilateral Assistance, MAIN DATA'!AS:AS,1,'Bilateral Assistance, MAIN DATA'!B:B,'Data Transparency Index'!$B19)/COUNTIFS('Bilateral Assistance, MAIN DATA'!B:B,'Data Transparency Index'!$B19,'Bilateral Assistance, MAIN DATA'!AS:AS,1))</f>
        <v>0.83333333333333337</v>
      </c>
      <c r="H19" s="239">
        <f t="shared" si="0"/>
        <v>4.7009803921568629</v>
      </c>
      <c r="I19" s="171"/>
      <c r="J19" s="171"/>
      <c r="K19" s="171"/>
      <c r="L19" s="345"/>
      <c r="M19" s="345"/>
      <c r="N19" s="345"/>
      <c r="O19" s="345"/>
    </row>
    <row r="20" spans="2:15" ht="15.95" customHeight="1">
      <c r="B20" s="24" t="s">
        <v>1432</v>
      </c>
      <c r="C20" s="1100">
        <f>VLOOKUP(B20,'Designated Websites, total sums'!B:C,2,0)</f>
        <v>0.66666666666666674</v>
      </c>
      <c r="D20" s="180">
        <f>VLOOKUP(B20,'Designated Websites, total sums'!B:I,7,0)</f>
        <v>1</v>
      </c>
      <c r="E20" s="276">
        <f>(COUNTIFS('Bilateral Assistance, MAIN DATA'!AE:AE,"Value is given by the source",'Bilateral Assistance, MAIN DATA'!B:B,'Data Transparency Index'!$B20)/COUNTIFS('Bilateral Assistance, MAIN DATA'!B:B,'Data Transparency Index'!$B20))</f>
        <v>0.97297297297297303</v>
      </c>
      <c r="F20" s="277">
        <f>(SUMIFS('Bilateral Assistance, MAIN DATA'!AR:AR,'Bilateral Assistance, MAIN DATA'!B:B,'Data Transparency Index'!$B20)/COUNTIFS('Bilateral Assistance, MAIN DATA'!B:B,'Data Transparency Index'!$B20))</f>
        <v>1</v>
      </c>
      <c r="G20" s="276">
        <f>1-(COUNTIFS('Bilateral Assistance, MAIN DATA'!M:M,"undisclosed",'Bilateral Assistance, MAIN DATA'!B:B,'Data Transparency Index'!$B20,'Bilateral Assistance, MAIN DATA'!AS:AS,1,'Bilateral Assistance, MAIN DATA'!B:B,'Data Transparency Index'!$B20)/COUNTIFS('Bilateral Assistance, MAIN DATA'!B:B,'Data Transparency Index'!$B20,'Bilateral Assistance, MAIN DATA'!AS:AS,1))</f>
        <v>1</v>
      </c>
      <c r="H20" s="239">
        <f t="shared" si="0"/>
        <v>4.6396396396396398</v>
      </c>
      <c r="I20" s="171"/>
      <c r="J20" s="171"/>
      <c r="K20" s="171"/>
    </row>
    <row r="21" spans="2:15" ht="15.95" customHeight="1">
      <c r="B21" s="24" t="s">
        <v>713</v>
      </c>
      <c r="C21" s="1100">
        <f>VLOOKUP(B21,'Designated Websites, total sums'!B:C,2,0)</f>
        <v>0.33333333333333337</v>
      </c>
      <c r="D21" s="180">
        <f>VLOOKUP(B21,'Designated Websites, total sums'!B:I,7,0)</f>
        <v>0</v>
      </c>
      <c r="E21" s="276">
        <f>(COUNTIFS('Bilateral Assistance, MAIN DATA'!AE:AE,"Value is given by the source",'Bilateral Assistance, MAIN DATA'!B:B,'Data Transparency Index'!$B21)/COUNTIFS('Bilateral Assistance, MAIN DATA'!B:B,'Data Transparency Index'!$B21))</f>
        <v>0.73134328358208955</v>
      </c>
      <c r="F21" s="277">
        <f>(SUMIFS('Bilateral Assistance, MAIN DATA'!AR:AR,'Bilateral Assistance, MAIN DATA'!B:B,'Data Transparency Index'!$B21)/COUNTIFS('Bilateral Assistance, MAIN DATA'!B:B,'Data Transparency Index'!$B21))</f>
        <v>0.94029850746268662</v>
      </c>
      <c r="G21" s="276">
        <f>1-(COUNTIFS('Bilateral Assistance, MAIN DATA'!M:M,"undisclosed",'Bilateral Assistance, MAIN DATA'!B:B,'Data Transparency Index'!$B21,'Bilateral Assistance, MAIN DATA'!AS:AS,1,'Bilateral Assistance, MAIN DATA'!B:B,'Data Transparency Index'!$B21)/COUNTIFS('Bilateral Assistance, MAIN DATA'!B:B,'Data Transparency Index'!$B21,'Bilateral Assistance, MAIN DATA'!AS:AS,1))</f>
        <v>0.72916666666666674</v>
      </c>
      <c r="H21" s="239">
        <f t="shared" si="0"/>
        <v>2.7341417910447765</v>
      </c>
      <c r="I21" s="171"/>
      <c r="J21" s="171"/>
      <c r="K21" s="171"/>
    </row>
    <row r="22" spans="2:15" ht="15.95" customHeight="1">
      <c r="B22" s="2" t="s">
        <v>2832</v>
      </c>
      <c r="C22" s="1100">
        <f>VLOOKUP(B22,'Designated Websites, total sums'!B:C,2,0)</f>
        <v>1</v>
      </c>
      <c r="D22" s="180">
        <f>VLOOKUP(B22,'Designated Websites, total sums'!B:I,7,0)</f>
        <v>1</v>
      </c>
      <c r="E22" s="276">
        <f>(COUNTIFS('Bilateral Assistance, MAIN DATA'!AE:AE,"Value is given by the source",'Bilateral Assistance, MAIN DATA'!B:B,'Data Transparency Index'!$B22)/COUNTIFS('Bilateral Assistance, MAIN DATA'!B:B,'Data Transparency Index'!$B22))</f>
        <v>0.625</v>
      </c>
      <c r="F22" s="277">
        <f>(SUMIFS('Bilateral Assistance, MAIN DATA'!AR:AR,'Bilateral Assistance, MAIN DATA'!B:B,'Data Transparency Index'!$B22)/COUNTIFS('Bilateral Assistance, MAIN DATA'!B:B,'Data Transparency Index'!$B22))</f>
        <v>0.9375</v>
      </c>
      <c r="G22" s="276">
        <f>1-(COUNTIFS('Bilateral Assistance, MAIN DATA'!M:M,"undisclosed",'Bilateral Assistance, MAIN DATA'!B:B,'Data Transparency Index'!$B22,'Bilateral Assistance, MAIN DATA'!AS:AS,1,'Bilateral Assistance, MAIN DATA'!B:B,'Data Transparency Index'!$B22)/COUNTIFS('Bilateral Assistance, MAIN DATA'!B:B,'Data Transparency Index'!$B22,'Bilateral Assistance, MAIN DATA'!AS:AS,1))</f>
        <v>0.85714285714285721</v>
      </c>
      <c r="H22" s="239">
        <f t="shared" si="0"/>
        <v>4.4196428571428577</v>
      </c>
      <c r="I22" s="171"/>
      <c r="J22" s="171"/>
      <c r="K22" s="171"/>
    </row>
    <row r="23" spans="2:15" ht="15.95" customHeight="1">
      <c r="B23" s="24" t="s">
        <v>2096</v>
      </c>
      <c r="C23" s="1100">
        <f>VLOOKUP(B23,'Designated Websites, total sums'!B:C,2,0)</f>
        <v>0</v>
      </c>
      <c r="D23" s="180">
        <f>VLOOKUP(B23,'Designated Websites, total sums'!B:I,7,0)</f>
        <v>0</v>
      </c>
      <c r="E23" s="276">
        <f>(COUNTIFS('Bilateral Assistance, MAIN DATA'!AE:AE,"Value is given by the source",'Bilateral Assistance, MAIN DATA'!B:B,'Data Transparency Index'!$B23)/COUNTIFS('Bilateral Assistance, MAIN DATA'!B:B,'Data Transparency Index'!$B23))</f>
        <v>0.5</v>
      </c>
      <c r="F23" s="277">
        <f>(SUMIFS('Bilateral Assistance, MAIN DATA'!AR:AR,'Bilateral Assistance, MAIN DATA'!B:B,'Data Transparency Index'!$B23)/COUNTIFS('Bilateral Assistance, MAIN DATA'!B:B,'Data Transparency Index'!$B23))</f>
        <v>1</v>
      </c>
      <c r="G23" s="276">
        <v>1</v>
      </c>
      <c r="H23" s="239">
        <f t="shared" si="0"/>
        <v>2.5</v>
      </c>
      <c r="I23" s="171"/>
      <c r="J23" s="171"/>
      <c r="K23" s="171"/>
    </row>
    <row r="24" spans="2:15" ht="15.95" customHeight="1">
      <c r="B24" s="2" t="s">
        <v>2882</v>
      </c>
      <c r="C24" s="1100">
        <f>VLOOKUP(B24,'Designated Websites, total sums'!B:C,2,0)</f>
        <v>1</v>
      </c>
      <c r="D24" s="180">
        <f>VLOOKUP(B24,'Designated Websites, total sums'!B:I,7,0)</f>
        <v>1</v>
      </c>
      <c r="E24" s="276">
        <f>(COUNTIFS('Bilateral Assistance, MAIN DATA'!AE:AE,"Value is given by the source",'Bilateral Assistance, MAIN DATA'!B:B,'Data Transparency Index'!$B24)/COUNTIFS('Bilateral Assistance, MAIN DATA'!B:B,'Data Transparency Index'!$B24))</f>
        <v>0.45098039215686275</v>
      </c>
      <c r="F24" s="277">
        <f>(SUMIFS('Bilateral Assistance, MAIN DATA'!AR:AR,'Bilateral Assistance, MAIN DATA'!B:B,'Data Transparency Index'!$B24)/COUNTIFS('Bilateral Assistance, MAIN DATA'!B:B,'Data Transparency Index'!$B24))</f>
        <v>1</v>
      </c>
      <c r="G24" s="276">
        <f>1-(COUNTIFS('Bilateral Assistance, MAIN DATA'!M:M,"undisclosed",'Bilateral Assistance, MAIN DATA'!B:B,'Data Transparency Index'!$B24,'Bilateral Assistance, MAIN DATA'!AS:AS,1,'Bilateral Assistance, MAIN DATA'!B:B,'Data Transparency Index'!$B24)/COUNTIFS('Bilateral Assistance, MAIN DATA'!B:B,'Data Transparency Index'!$B24,'Bilateral Assistance, MAIN DATA'!AS:AS,1))</f>
        <v>0.72727272727272729</v>
      </c>
      <c r="H24" s="239">
        <f t="shared" si="0"/>
        <v>4.1782531194295904</v>
      </c>
      <c r="I24" s="171"/>
      <c r="J24" s="171"/>
      <c r="K24" s="171"/>
    </row>
    <row r="25" spans="2:15" ht="15.95" customHeight="1">
      <c r="B25" s="24" t="s">
        <v>1305</v>
      </c>
      <c r="C25" s="1100">
        <f>VLOOKUP(B25,'Designated Websites, total sums'!B:C,2,0)</f>
        <v>1</v>
      </c>
      <c r="D25" s="180">
        <f>VLOOKUP(B25,'Designated Websites, total sums'!B:I,7,0)</f>
        <v>1</v>
      </c>
      <c r="E25" s="276">
        <f>(COUNTIFS('Bilateral Assistance, MAIN DATA'!AE:AE,"Value is given by the source",'Bilateral Assistance, MAIN DATA'!B:B,'Data Transparency Index'!$B25)/COUNTIFS('Bilateral Assistance, MAIN DATA'!B:B,'Data Transparency Index'!$B25))</f>
        <v>0.72307692307692306</v>
      </c>
      <c r="F25" s="277">
        <f>(SUMIFS('Bilateral Assistance, MAIN DATA'!AR:AR,'Bilateral Assistance, MAIN DATA'!B:B,'Data Transparency Index'!$B25)/COUNTIFS('Bilateral Assistance, MAIN DATA'!B:B,'Data Transparency Index'!$B25))</f>
        <v>1</v>
      </c>
      <c r="G25" s="276">
        <f>1-(COUNTIFS('Bilateral Assistance, MAIN DATA'!M:M,"undisclosed",'Bilateral Assistance, MAIN DATA'!B:B,'Data Transparency Index'!$B25,'Bilateral Assistance, MAIN DATA'!AS:AS,1,'Bilateral Assistance, MAIN DATA'!B:B,'Data Transparency Index'!$B25)/COUNTIFS('Bilateral Assistance, MAIN DATA'!B:B,'Data Transparency Index'!$B25,'Bilateral Assistance, MAIN DATA'!AS:AS,1))</f>
        <v>0.15517241379310343</v>
      </c>
      <c r="H25" s="239">
        <f t="shared" si="0"/>
        <v>3.8782493368700264</v>
      </c>
      <c r="I25" s="171"/>
      <c r="J25" s="171"/>
      <c r="K25" s="171"/>
    </row>
    <row r="26" spans="2:15" ht="15.95" customHeight="1">
      <c r="B26" s="24" t="s">
        <v>1711</v>
      </c>
      <c r="C26" s="1100">
        <f>VLOOKUP(B26,'Designated Websites, total sums'!B:C,2,0)</f>
        <v>1</v>
      </c>
      <c r="D26" s="180">
        <f>VLOOKUP(B26,'Designated Websites, total sums'!B:I,7,0)</f>
        <v>1</v>
      </c>
      <c r="E26" s="276">
        <f>(COUNTIFS('Bilateral Assistance, MAIN DATA'!AE:AE,"Value is given by the source",'Bilateral Assistance, MAIN DATA'!B:B,'Data Transparency Index'!$B26)/COUNTIFS('Bilateral Assistance, MAIN DATA'!B:B,'Data Transparency Index'!$B26))</f>
        <v>1</v>
      </c>
      <c r="F26" s="277">
        <f>(SUMIFS('Bilateral Assistance, MAIN DATA'!AR:AR,'Bilateral Assistance, MAIN DATA'!B:B,'Data Transparency Index'!$B26)/COUNTIFS('Bilateral Assistance, MAIN DATA'!B:B,'Data Transparency Index'!$B26))</f>
        <v>0.99512195121951219</v>
      </c>
      <c r="G26" s="276">
        <f>1-(COUNTIFS('Bilateral Assistance, MAIN DATA'!M:M,"undisclosed",'Bilateral Assistance, MAIN DATA'!B:B,'Data Transparency Index'!$B26,'Bilateral Assistance, MAIN DATA'!AS:AS,1,'Bilateral Assistance, MAIN DATA'!B:B,'Data Transparency Index'!$B26)/COUNTIFS('Bilateral Assistance, MAIN DATA'!B:B,'Data Transparency Index'!$B26,'Bilateral Assistance, MAIN DATA'!AS:AS,1))</f>
        <v>0.89411764705882357</v>
      </c>
      <c r="H26" s="239">
        <f t="shared" si="0"/>
        <v>4.8892395982783361</v>
      </c>
      <c r="I26" s="171"/>
      <c r="J26" s="171"/>
      <c r="K26" s="171"/>
    </row>
    <row r="27" spans="2:15" ht="15.95" customHeight="1">
      <c r="B27" s="37" t="s">
        <v>4406</v>
      </c>
      <c r="C27" s="1100">
        <f>VLOOKUP(B27,'Designated Websites, total sums'!B:C,2,0)</f>
        <v>1</v>
      </c>
      <c r="D27" s="180">
        <f>VLOOKUP(B27,'Designated Websites, total sums'!B:I,7,0)</f>
        <v>1</v>
      </c>
      <c r="E27" s="276">
        <f>(COUNTIFS('Bilateral Assistance, MAIN DATA'!AE:AE,"Value is given by the source",'Bilateral Assistance, MAIN DATA'!B:B,'Data Transparency Index'!$B27)/COUNTIFS('Bilateral Assistance, MAIN DATA'!B:B,'Data Transparency Index'!$B27))</f>
        <v>0.9375</v>
      </c>
      <c r="F27" s="277">
        <f>(SUMIFS('Bilateral Assistance, MAIN DATA'!AR:AR,'Bilateral Assistance, MAIN DATA'!B:B,'Data Transparency Index'!$B27)/COUNTIFS('Bilateral Assistance, MAIN DATA'!B:B,'Data Transparency Index'!$B27))</f>
        <v>0.9375</v>
      </c>
      <c r="G27" s="276">
        <v>1</v>
      </c>
      <c r="H27" s="239">
        <f t="shared" si="0"/>
        <v>4.875</v>
      </c>
      <c r="I27" s="171"/>
      <c r="J27" s="171"/>
      <c r="K27" s="171"/>
    </row>
    <row r="28" spans="2:15" ht="15.95" customHeight="1">
      <c r="B28" s="24" t="s">
        <v>2488</v>
      </c>
      <c r="C28" s="1100">
        <f>VLOOKUP(B28,'Designated Websites, total sums'!B:C,2,0)</f>
        <v>0</v>
      </c>
      <c r="D28" s="180">
        <f>VLOOKUP(B28,'Designated Websites, total sums'!B:I,7,0)</f>
        <v>0</v>
      </c>
      <c r="E28" s="276">
        <f>(COUNTIFS('Bilateral Assistance, MAIN DATA'!AE:AE,"Value is given by the source",'Bilateral Assistance, MAIN DATA'!B:B,'Data Transparency Index'!$B28)/COUNTIFS('Bilateral Assistance, MAIN DATA'!B:B,'Data Transparency Index'!$B28))</f>
        <v>0.77551020408163263</v>
      </c>
      <c r="F28" s="277">
        <f>(SUMIFS('Bilateral Assistance, MAIN DATA'!AR:AR,'Bilateral Assistance, MAIN DATA'!B:B,'Data Transparency Index'!$B28)/COUNTIFS('Bilateral Assistance, MAIN DATA'!B:B,'Data Transparency Index'!$B28))</f>
        <v>0.83673469387755106</v>
      </c>
      <c r="G28" s="276">
        <f>1-(COUNTIFS('Bilateral Assistance, MAIN DATA'!M:M,"undisclosed",'Bilateral Assistance, MAIN DATA'!B:B,'Data Transparency Index'!$B28,'Bilateral Assistance, MAIN DATA'!AS:AS,1,'Bilateral Assistance, MAIN DATA'!B:B,'Data Transparency Index'!$B28)/COUNTIFS('Bilateral Assistance, MAIN DATA'!B:B,'Data Transparency Index'!$B28,'Bilateral Assistance, MAIN DATA'!AS:AS,1))</f>
        <v>0.38235294117647056</v>
      </c>
      <c r="H28" s="239">
        <f t="shared" si="0"/>
        <v>1.9945978391356542</v>
      </c>
      <c r="I28" s="171"/>
      <c r="J28" s="171"/>
      <c r="K28" s="171"/>
    </row>
    <row r="29" spans="2:15" ht="15.95" customHeight="1">
      <c r="B29" s="24" t="s">
        <v>2678</v>
      </c>
      <c r="C29" s="1100">
        <f>VLOOKUP(B29,'Designated Websites, total sums'!B:C,2,0)</f>
        <v>0</v>
      </c>
      <c r="D29" s="180">
        <f>VLOOKUP(B29,'Designated Websites, total sums'!B:I,7,0)</f>
        <v>0</v>
      </c>
      <c r="E29" s="276">
        <f>(COUNTIFS('Bilateral Assistance, MAIN DATA'!AE:AE,"Value is given by the source",'Bilateral Assistance, MAIN DATA'!B:B,'Data Transparency Index'!$B29)/COUNTIFS('Bilateral Assistance, MAIN DATA'!B:B,'Data Transparency Index'!$B29))</f>
        <v>1</v>
      </c>
      <c r="F29" s="277">
        <f>(SUMIFS('Bilateral Assistance, MAIN DATA'!AR:AR,'Bilateral Assistance, MAIN DATA'!B:B,'Data Transparency Index'!$B29)/COUNTIFS('Bilateral Assistance, MAIN DATA'!B:B,'Data Transparency Index'!$B29))</f>
        <v>0.25</v>
      </c>
      <c r="G29" s="276">
        <v>1</v>
      </c>
      <c r="H29" s="239">
        <f t="shared" si="0"/>
        <v>2.25</v>
      </c>
      <c r="I29" s="171"/>
      <c r="J29" s="171"/>
      <c r="K29" s="171"/>
    </row>
    <row r="30" spans="2:15" ht="15.95" customHeight="1">
      <c r="B30" s="24" t="s">
        <v>2312</v>
      </c>
      <c r="C30" s="1100">
        <f>VLOOKUP(B30,'Designated Websites, total sums'!B:C,2,0)</f>
        <v>1</v>
      </c>
      <c r="D30" s="180">
        <f>VLOOKUP(B30,'Designated Websites, total sums'!B:I,7,0)</f>
        <v>0</v>
      </c>
      <c r="E30" s="276">
        <f>(COUNTIFS('Bilateral Assistance, MAIN DATA'!AE:AE,"Value is given by the source",'Bilateral Assistance, MAIN DATA'!B:B,'Data Transparency Index'!$B30)/COUNTIFS('Bilateral Assistance, MAIN DATA'!B:B,'Data Transparency Index'!$B30))</f>
        <v>0.58620689655172409</v>
      </c>
      <c r="F30" s="277">
        <f>(SUMIFS('Bilateral Assistance, MAIN DATA'!AR:AR,'Bilateral Assistance, MAIN DATA'!B:B,'Data Transparency Index'!$B30)/COUNTIFS('Bilateral Assistance, MAIN DATA'!B:B,'Data Transparency Index'!$B30))</f>
        <v>0.93103448275862066</v>
      </c>
      <c r="G30" s="276">
        <f>1-(COUNTIFS('Bilateral Assistance, MAIN DATA'!M:M,"undisclosed",'Bilateral Assistance, MAIN DATA'!B:B,'Data Transparency Index'!$B30,'Bilateral Assistance, MAIN DATA'!AS:AS,1,'Bilateral Assistance, MAIN DATA'!B:B,'Data Transparency Index'!$B30)/COUNTIFS('Bilateral Assistance, MAIN DATA'!B:B,'Data Transparency Index'!$B30,'Bilateral Assistance, MAIN DATA'!AS:AS,1))</f>
        <v>0.30769230769230771</v>
      </c>
      <c r="H30" s="239">
        <f t="shared" si="0"/>
        <v>2.8249336870026527</v>
      </c>
      <c r="I30" s="171"/>
      <c r="J30" s="171"/>
      <c r="K30" s="171"/>
    </row>
    <row r="31" spans="2:15" ht="15.95" customHeight="1">
      <c r="B31" s="24" t="s">
        <v>454</v>
      </c>
      <c r="C31" s="1100">
        <f>VLOOKUP(B31,'Designated Websites, total sums'!B:C,2,0)</f>
        <v>0.33333333333333337</v>
      </c>
      <c r="D31" s="180">
        <f>VLOOKUP(B31,'Designated Websites, total sums'!B:I,7,0)</f>
        <v>0</v>
      </c>
      <c r="E31" s="276">
        <f>(COUNTIFS('Bilateral Assistance, MAIN DATA'!AE:AE,"Value is given by the source",'Bilateral Assistance, MAIN DATA'!B:B,'Data Transparency Index'!$B31)/COUNTIFS('Bilateral Assistance, MAIN DATA'!B:B,'Data Transparency Index'!$B31))</f>
        <v>0.46875</v>
      </c>
      <c r="F31" s="277">
        <f>(SUMIFS('Bilateral Assistance, MAIN DATA'!AR:AR,'Bilateral Assistance, MAIN DATA'!B:B,'Data Transparency Index'!$B31)/COUNTIFS('Bilateral Assistance, MAIN DATA'!B:B,'Data Transparency Index'!$B31))</f>
        <v>1</v>
      </c>
      <c r="G31" s="276">
        <f>1-(COUNTIFS('Bilateral Assistance, MAIN DATA'!M:M,"undisclosed",'Bilateral Assistance, MAIN DATA'!B:B,'Data Transparency Index'!$B31,'Bilateral Assistance, MAIN DATA'!AS:AS,1,'Bilateral Assistance, MAIN DATA'!B:B,'Data Transparency Index'!$B31)/COUNTIFS('Bilateral Assistance, MAIN DATA'!B:B,'Data Transparency Index'!$B31,'Bilateral Assistance, MAIN DATA'!AS:AS,1))</f>
        <v>1</v>
      </c>
      <c r="H31" s="239">
        <f t="shared" si="0"/>
        <v>2.8020833333333335</v>
      </c>
      <c r="I31" s="171"/>
      <c r="J31" s="171"/>
      <c r="K31" s="171"/>
    </row>
    <row r="32" spans="2:15" ht="15.95" customHeight="1">
      <c r="B32" s="24" t="s">
        <v>3748</v>
      </c>
      <c r="C32" s="1100">
        <f>VLOOKUP(B32,'Designated Websites, total sums'!B:C,2,0)</f>
        <v>0.66666666666666674</v>
      </c>
      <c r="D32" s="180">
        <f>VLOOKUP(B32,'Designated Websites, total sums'!B:I,7,0)</f>
        <v>0</v>
      </c>
      <c r="E32" s="276">
        <f>(COUNTIFS('Bilateral Assistance, MAIN DATA'!AE:AE,"Value is given by the source",'Bilateral Assistance, MAIN DATA'!B:B,'Data Transparency Index'!$B32)/COUNTIFS('Bilateral Assistance, MAIN DATA'!B:B,'Data Transparency Index'!$B32))</f>
        <v>0.62820512820512819</v>
      </c>
      <c r="F32" s="277">
        <f>(SUMIFS('Bilateral Assistance, MAIN DATA'!AR:AR,'Bilateral Assistance, MAIN DATA'!B:B,'Data Transparency Index'!$B32)/COUNTIFS('Bilateral Assistance, MAIN DATA'!B:B,'Data Transparency Index'!$B32))</f>
        <v>1</v>
      </c>
      <c r="G32" s="276">
        <f>1-(COUNTIFS('Bilateral Assistance, MAIN DATA'!M:M,"undisclosed",'Bilateral Assistance, MAIN DATA'!B:B,'Data Transparency Index'!$B32,'Bilateral Assistance, MAIN DATA'!AS:AS,1,'Bilateral Assistance, MAIN DATA'!B:B,'Data Transparency Index'!$B32)/COUNTIFS('Bilateral Assistance, MAIN DATA'!B:B,'Data Transparency Index'!$B32,'Bilateral Assistance, MAIN DATA'!AS:AS,1))</f>
        <v>0.7192982456140351</v>
      </c>
      <c r="H32" s="239">
        <f t="shared" si="0"/>
        <v>3.0141700404858298</v>
      </c>
      <c r="I32" s="171"/>
      <c r="J32" s="171"/>
      <c r="K32" s="171"/>
    </row>
    <row r="33" spans="2:11" ht="15.95" customHeight="1">
      <c r="B33" s="24" t="s">
        <v>2625</v>
      </c>
      <c r="C33" s="1100">
        <f>VLOOKUP(B33,'Designated Websites, total sums'!B:C,2,0)</f>
        <v>0</v>
      </c>
      <c r="D33" s="180">
        <f>VLOOKUP(B33,'Designated Websites, total sums'!B:I,7,0)</f>
        <v>1</v>
      </c>
      <c r="E33" s="276">
        <f>(COUNTIFS('Bilateral Assistance, MAIN DATA'!AE:AE,"Value is given by the source",'Bilateral Assistance, MAIN DATA'!B:B,'Data Transparency Index'!$B33)/COUNTIFS('Bilateral Assistance, MAIN DATA'!B:B,'Data Transparency Index'!$B33))</f>
        <v>0.93548387096774188</v>
      </c>
      <c r="F33" s="277">
        <f>(SUMIFS('Bilateral Assistance, MAIN DATA'!AR:AR,'Bilateral Assistance, MAIN DATA'!B:B,'Data Transparency Index'!$B33)/COUNTIFS('Bilateral Assistance, MAIN DATA'!B:B,'Data Transparency Index'!$B33))</f>
        <v>1</v>
      </c>
      <c r="G33" s="276">
        <f>1-(COUNTIFS('Bilateral Assistance, MAIN DATA'!M:M,"undisclosed",'Bilateral Assistance, MAIN DATA'!B:B,'Data Transparency Index'!$B33,'Bilateral Assistance, MAIN DATA'!AS:AS,1,'Bilateral Assistance, MAIN DATA'!B:B,'Data Transparency Index'!$B33)/COUNTIFS('Bilateral Assistance, MAIN DATA'!B:B,'Data Transparency Index'!$B33,'Bilateral Assistance, MAIN DATA'!AS:AS,1))</f>
        <v>1</v>
      </c>
      <c r="H33" s="239">
        <f t="shared" si="0"/>
        <v>3.935483870967742</v>
      </c>
      <c r="I33" s="171"/>
      <c r="J33" s="171"/>
      <c r="K33" s="171"/>
    </row>
    <row r="34" spans="2:11" ht="15.95" customHeight="1">
      <c r="B34" s="24" t="s">
        <v>981</v>
      </c>
      <c r="C34" s="1100">
        <f>VLOOKUP(B34,'Designated Websites, total sums'!B:C,2,0)</f>
        <v>0</v>
      </c>
      <c r="D34" s="180">
        <f>VLOOKUP(B34,'Designated Websites, total sums'!B:I,7,0)</f>
        <v>0</v>
      </c>
      <c r="E34" s="276">
        <f>(COUNTIFS('Bilateral Assistance, MAIN DATA'!AE:AE,"Value is given by the source",'Bilateral Assistance, MAIN DATA'!B:B,'Data Transparency Index'!$B34)/COUNTIFS('Bilateral Assistance, MAIN DATA'!B:B,'Data Transparency Index'!$B34))</f>
        <v>0.8</v>
      </c>
      <c r="F34" s="277">
        <f>(SUMIFS('Bilateral Assistance, MAIN DATA'!AR:AR,'Bilateral Assistance, MAIN DATA'!B:B,'Data Transparency Index'!$B34)/COUNTIFS('Bilateral Assistance, MAIN DATA'!B:B,'Data Transparency Index'!$B34))</f>
        <v>0.8</v>
      </c>
      <c r="G34" s="276">
        <v>1</v>
      </c>
      <c r="H34" s="239">
        <f t="shared" si="0"/>
        <v>2.6</v>
      </c>
      <c r="I34" s="171"/>
      <c r="J34" s="171"/>
      <c r="K34" s="171"/>
    </row>
    <row r="35" spans="2:11" ht="15.95" customHeight="1">
      <c r="B35" s="2" t="s">
        <v>3162</v>
      </c>
      <c r="C35" s="1100">
        <f>VLOOKUP(B35,'Designated Websites, total sums'!B:C,2,0)</f>
        <v>0</v>
      </c>
      <c r="D35" s="180">
        <f>VLOOKUP(B35,'Designated Websites, total sums'!B:I,7,0)</f>
        <v>0</v>
      </c>
      <c r="E35" s="276">
        <f>(COUNTIFS('Bilateral Assistance, MAIN DATA'!AE:AE,"Value is given by the source",'Bilateral Assistance, MAIN DATA'!B:B,'Data Transparency Index'!$B35)/COUNTIFS('Bilateral Assistance, MAIN DATA'!B:B,'Data Transparency Index'!$B35))</f>
        <v>1</v>
      </c>
      <c r="F35" s="277">
        <f>(SUMIFS('Bilateral Assistance, MAIN DATA'!AR:AR,'Bilateral Assistance, MAIN DATA'!B:B,'Data Transparency Index'!$B35)/COUNTIFS('Bilateral Assistance, MAIN DATA'!B:B,'Data Transparency Index'!$B35))</f>
        <v>0.5714285714285714</v>
      </c>
      <c r="G35" s="276">
        <f>1-(COUNTIFS('Bilateral Assistance, MAIN DATA'!M:M,"undisclosed",'Bilateral Assistance, MAIN DATA'!B:B,'Data Transparency Index'!$B35,'Bilateral Assistance, MAIN DATA'!AS:AS,1,'Bilateral Assistance, MAIN DATA'!B:B,'Data Transparency Index'!$B35)/COUNTIFS('Bilateral Assistance, MAIN DATA'!B:B,'Data Transparency Index'!$B35,'Bilateral Assistance, MAIN DATA'!AS:AS,1))</f>
        <v>0.33333333333333337</v>
      </c>
      <c r="H35" s="239">
        <f t="shared" si="0"/>
        <v>1.9047619047619047</v>
      </c>
      <c r="I35" s="171"/>
      <c r="J35" s="171"/>
      <c r="K35" s="171"/>
    </row>
    <row r="36" spans="2:11" ht="15.95" customHeight="1">
      <c r="B36" s="24" t="s">
        <v>558</v>
      </c>
      <c r="C36" s="1100">
        <f>VLOOKUP(B36,'Designated Websites, total sums'!B:C,2,0)</f>
        <v>0</v>
      </c>
      <c r="D36" s="180">
        <v>0</v>
      </c>
      <c r="E36" s="276">
        <f>(COUNTIFS('Bilateral Assistance, MAIN DATA'!AE:AE,"Value is given by the source",'Bilateral Assistance, MAIN DATA'!B:B,'Data Transparency Index'!$B36)/COUNTIFS('Bilateral Assistance, MAIN DATA'!B:B,'Data Transparency Index'!$B36))</f>
        <v>0.9838709677419355</v>
      </c>
      <c r="F36" s="277">
        <f>(SUMIFS('Bilateral Assistance, MAIN DATA'!AR:AR,'Bilateral Assistance, MAIN DATA'!B:B,'Data Transparency Index'!$B36)/COUNTIFS('Bilateral Assistance, MAIN DATA'!B:B,'Data Transparency Index'!$B36))</f>
        <v>1</v>
      </c>
      <c r="G36" s="276">
        <f>1-(COUNTIFS('Bilateral Assistance, MAIN DATA'!M:M,"undisclosed",'Bilateral Assistance, MAIN DATA'!B:B,'Data Transparency Index'!$B36,'Bilateral Assistance, MAIN DATA'!AS:AS,1,'Bilateral Assistance, MAIN DATA'!B:B,'Data Transparency Index'!$B36)/COUNTIFS('Bilateral Assistance, MAIN DATA'!B:B,'Data Transparency Index'!$B36,'Bilateral Assistance, MAIN DATA'!AS:AS,1))</f>
        <v>0.39215686274509809</v>
      </c>
      <c r="H36" s="239">
        <f t="shared" si="0"/>
        <v>2.3760278304870335</v>
      </c>
      <c r="I36" s="171"/>
      <c r="J36" s="171"/>
      <c r="K36" s="171"/>
    </row>
    <row r="37" spans="2:11" ht="15.95" customHeight="1">
      <c r="B37" s="24" t="s">
        <v>2204</v>
      </c>
      <c r="C37" s="1100">
        <f>VLOOKUP(B37,'Designated Websites, total sums'!B:C,2,0)</f>
        <v>0.66666666666666674</v>
      </c>
      <c r="D37" s="180">
        <f>VLOOKUP(B37,'Designated Websites, total sums'!B:I,7,0)</f>
        <v>0</v>
      </c>
      <c r="E37" s="276">
        <f>(COUNTIFS('Bilateral Assistance, MAIN DATA'!AE:AE,"Value is given by the source",'Bilateral Assistance, MAIN DATA'!B:B,'Data Transparency Index'!$B37)/COUNTIFS('Bilateral Assistance, MAIN DATA'!B:B,'Data Transparency Index'!$B37))</f>
        <v>0.26470588235294118</v>
      </c>
      <c r="F37" s="277">
        <f>(SUMIFS('Bilateral Assistance, MAIN DATA'!AR:AR,'Bilateral Assistance, MAIN DATA'!B:B,'Data Transparency Index'!$B37)/COUNTIFS('Bilateral Assistance, MAIN DATA'!B:B,'Data Transparency Index'!$B37))</f>
        <v>0.76470588235294112</v>
      </c>
      <c r="G37" s="276">
        <f>1-(COUNTIFS('Bilateral Assistance, MAIN DATA'!M:M,"undisclosed",'Bilateral Assistance, MAIN DATA'!B:B,'Data Transparency Index'!$B37,'Bilateral Assistance, MAIN DATA'!AS:AS,1,'Bilateral Assistance, MAIN DATA'!B:B,'Data Transparency Index'!$B37)/COUNTIFS('Bilateral Assistance, MAIN DATA'!B:B,'Data Transparency Index'!$B37,'Bilateral Assistance, MAIN DATA'!AS:AS,1))</f>
        <v>0.64705882352941169</v>
      </c>
      <c r="H37" s="239">
        <f t="shared" si="0"/>
        <v>2.3431372549019605</v>
      </c>
      <c r="I37" s="171"/>
      <c r="J37" s="171"/>
      <c r="K37" s="171"/>
    </row>
    <row r="38" spans="2:11" ht="15.95" customHeight="1">
      <c r="B38" s="24" t="s">
        <v>918</v>
      </c>
      <c r="C38" s="1100">
        <f>VLOOKUP(B38,'Designated Websites, total sums'!B:C,2,0)</f>
        <v>0</v>
      </c>
      <c r="D38" s="180">
        <f>VLOOKUP(B38,'Designated Websites, total sums'!B:I,7,0)</f>
        <v>0</v>
      </c>
      <c r="E38" s="276">
        <f>(COUNTIFS('Bilateral Assistance, MAIN DATA'!AE:AE,"Value is given by the source",'Bilateral Assistance, MAIN DATA'!B:B,'Data Transparency Index'!$B38)/COUNTIFS('Bilateral Assistance, MAIN DATA'!B:B,'Data Transparency Index'!$B38))</f>
        <v>0.7857142857142857</v>
      </c>
      <c r="F38" s="277">
        <f>(SUMIFS('Bilateral Assistance, MAIN DATA'!AR:AR,'Bilateral Assistance, MAIN DATA'!B:B,'Data Transparency Index'!$B38)/COUNTIFS('Bilateral Assistance, MAIN DATA'!B:B,'Data Transparency Index'!$B38))</f>
        <v>0.7142857142857143</v>
      </c>
      <c r="G38" s="276">
        <f>1-(COUNTIFS('Bilateral Assistance, MAIN DATA'!M:M,"undisclosed",'Bilateral Assistance, MAIN DATA'!B:B,'Data Transparency Index'!$B38,'Bilateral Assistance, MAIN DATA'!AS:AS,1,'Bilateral Assistance, MAIN DATA'!B:B,'Data Transparency Index'!$B38)/COUNTIFS('Bilateral Assistance, MAIN DATA'!B:B,'Data Transparency Index'!$B38,'Bilateral Assistance, MAIN DATA'!AS:AS,1))</f>
        <v>0.5</v>
      </c>
      <c r="H38" s="239">
        <f t="shared" si="0"/>
        <v>2</v>
      </c>
      <c r="I38" s="171"/>
      <c r="J38" s="171"/>
      <c r="K38" s="171"/>
    </row>
    <row r="39" spans="2:11" ht="15.95" customHeight="1">
      <c r="B39" s="24" t="s">
        <v>2392</v>
      </c>
      <c r="C39" s="1100">
        <f>VLOOKUP(B39,'Designated Websites, total sums'!B:C,2,0)</f>
        <v>1</v>
      </c>
      <c r="D39" s="180">
        <f>VLOOKUP(B39,'Designated Websites, total sums'!B:I,7,0)</f>
        <v>0</v>
      </c>
      <c r="E39" s="276">
        <f>(COUNTIFS('Bilateral Assistance, MAIN DATA'!AE:AE,"Value is given by the source",'Bilateral Assistance, MAIN DATA'!B:B,'Data Transparency Index'!$B39)/COUNTIFS('Bilateral Assistance, MAIN DATA'!B:B,'Data Transparency Index'!$B39))</f>
        <v>0.69444444444444442</v>
      </c>
      <c r="F39" s="277">
        <f>(SUMIFS('Bilateral Assistance, MAIN DATA'!AR:AR,'Bilateral Assistance, MAIN DATA'!B:B,'Data Transparency Index'!$B39)/COUNTIFS('Bilateral Assistance, MAIN DATA'!B:B,'Data Transparency Index'!$B39))</f>
        <v>0.94444444444444442</v>
      </c>
      <c r="G39" s="276">
        <f>1-(COUNTIFS('Bilateral Assistance, MAIN DATA'!M:M,"undisclosed",'Bilateral Assistance, MAIN DATA'!B:B,'Data Transparency Index'!$B39,'Bilateral Assistance, MAIN DATA'!AS:AS,1,'Bilateral Assistance, MAIN DATA'!B:B,'Data Transparency Index'!$B39)/COUNTIFS('Bilateral Assistance, MAIN DATA'!B:B,'Data Transparency Index'!$B39,'Bilateral Assistance, MAIN DATA'!AS:AS,1))</f>
        <v>0.70588235294117641</v>
      </c>
      <c r="H39" s="239">
        <f t="shared" si="0"/>
        <v>3.344771241830065</v>
      </c>
      <c r="I39" s="171"/>
      <c r="J39" s="171"/>
      <c r="K39" s="171"/>
    </row>
    <row r="40" spans="2:11" ht="15.95" customHeight="1">
      <c r="B40" s="24" t="s">
        <v>673</v>
      </c>
      <c r="C40" s="1100">
        <f>VLOOKUP(B40,'Designated Websites, total sums'!B:C,2,0)</f>
        <v>0</v>
      </c>
      <c r="D40" s="180">
        <f>VLOOKUP(B40,'Designated Websites, total sums'!B:I,7,0)</f>
        <v>0</v>
      </c>
      <c r="E40" s="276">
        <f>(COUNTIFS('Bilateral Assistance, MAIN DATA'!AE:AE,"Value is given by the source",'Bilateral Assistance, MAIN DATA'!B:B,'Data Transparency Index'!$B40)/COUNTIFS('Bilateral Assistance, MAIN DATA'!B:B,'Data Transparency Index'!$B40))</f>
        <v>0.7</v>
      </c>
      <c r="F40" s="277">
        <f>(SUMIFS('Bilateral Assistance, MAIN DATA'!AR:AR,'Bilateral Assistance, MAIN DATA'!B:B,'Data Transparency Index'!$B40)/COUNTIFS('Bilateral Assistance, MAIN DATA'!B:B,'Data Transparency Index'!$B40))</f>
        <v>0.8</v>
      </c>
      <c r="G40" s="276">
        <f>1-(COUNTIFS('Bilateral Assistance, MAIN DATA'!M:M,"undisclosed",'Bilateral Assistance, MAIN DATA'!B:B,'Data Transparency Index'!$B40,'Bilateral Assistance, MAIN DATA'!AS:AS,1,'Bilateral Assistance, MAIN DATA'!B:B,'Data Transparency Index'!$B40)/COUNTIFS('Bilateral Assistance, MAIN DATA'!B:B,'Data Transparency Index'!$B40,'Bilateral Assistance, MAIN DATA'!AS:AS,1))</f>
        <v>1</v>
      </c>
      <c r="H40" s="239">
        <f t="shared" si="0"/>
        <v>2.5</v>
      </c>
      <c r="I40" s="171"/>
      <c r="J40" s="171"/>
      <c r="K40" s="171"/>
    </row>
    <row r="41" spans="2:11" ht="15.95" customHeight="1">
      <c r="B41" s="24" t="s">
        <v>1012</v>
      </c>
      <c r="C41" s="1100">
        <f>VLOOKUP(B41,'Designated Websites, total sums'!B:C,2,0)</f>
        <v>0</v>
      </c>
      <c r="D41" s="180">
        <f>VLOOKUP(B41,'Designated Websites, total sums'!B:I,7,0)</f>
        <v>0</v>
      </c>
      <c r="E41" s="276">
        <f>(COUNTIFS('Bilateral Assistance, MAIN DATA'!AE:AE,"Value is given by the source",'Bilateral Assistance, MAIN DATA'!B:B,'Data Transparency Index'!$B41)/COUNTIFS('Bilateral Assistance, MAIN DATA'!B:B,'Data Transparency Index'!$B41))</f>
        <v>0.77777777777777779</v>
      </c>
      <c r="F41" s="277">
        <f>(SUMIFS('Bilateral Assistance, MAIN DATA'!AR:AR,'Bilateral Assistance, MAIN DATA'!B:B,'Data Transparency Index'!$B41)/COUNTIFS('Bilateral Assistance, MAIN DATA'!B:B,'Data Transparency Index'!$B41))</f>
        <v>0.88888888888888884</v>
      </c>
      <c r="G41" s="276">
        <f>1-(COUNTIFS('Bilateral Assistance, MAIN DATA'!M:M,"undisclosed",'Bilateral Assistance, MAIN DATA'!B:B,'Data Transparency Index'!$B41,'Bilateral Assistance, MAIN DATA'!AS:AS,1,'Bilateral Assistance, MAIN DATA'!B:B,'Data Transparency Index'!$B41)/COUNTIFS('Bilateral Assistance, MAIN DATA'!B:B,'Data Transparency Index'!$B41,'Bilateral Assistance, MAIN DATA'!AS:AS,1))</f>
        <v>0.95652173913043481</v>
      </c>
      <c r="H41" s="239">
        <f t="shared" si="0"/>
        <v>2.6231884057971016</v>
      </c>
      <c r="I41" s="171"/>
      <c r="J41" s="171"/>
      <c r="K41" s="171"/>
    </row>
    <row r="42" spans="2:11" ht="15.95" customHeight="1">
      <c r="B42" s="24" t="s">
        <v>3214</v>
      </c>
      <c r="C42" s="1100">
        <f>VLOOKUP(B42,'Designated Websites, total sums'!B:C,2,0)</f>
        <v>0</v>
      </c>
      <c r="D42" s="180">
        <f>VLOOKUP(B42,'Designated Websites, total sums'!B:I,7,0)</f>
        <v>0</v>
      </c>
      <c r="E42" s="276">
        <f>(COUNTIFS('Bilateral Assistance, MAIN DATA'!AE:AE,"Value is given by the source",'Bilateral Assistance, MAIN DATA'!B:B,'Data Transparency Index'!$B42)/COUNTIFS('Bilateral Assistance, MAIN DATA'!B:B,'Data Transparency Index'!$B42))</f>
        <v>0.375</v>
      </c>
      <c r="F42" s="277">
        <f>(SUMIFS('Bilateral Assistance, MAIN DATA'!AR:AR,'Bilateral Assistance, MAIN DATA'!B:B,'Data Transparency Index'!$B42)/COUNTIFS('Bilateral Assistance, MAIN DATA'!B:B,'Data Transparency Index'!$B42))</f>
        <v>0.875</v>
      </c>
      <c r="G42" s="276">
        <f>1-(COUNTIFS('Bilateral Assistance, MAIN DATA'!M:M,"undisclosed",'Bilateral Assistance, MAIN DATA'!B:B,'Data Transparency Index'!$B42,'Bilateral Assistance, MAIN DATA'!AS:AS,1,'Bilateral Assistance, MAIN DATA'!B:B,'Data Transparency Index'!$B42)/COUNTIFS('Bilateral Assistance, MAIN DATA'!B:B,'Data Transparency Index'!$B42,'Bilateral Assistance, MAIN DATA'!AS:AS,1))</f>
        <v>0.5</v>
      </c>
      <c r="H42" s="239">
        <f>SUM(C42:G42)</f>
        <v>1.75</v>
      </c>
      <c r="I42" s="171"/>
      <c r="J42" s="171"/>
      <c r="K42" s="171"/>
    </row>
    <row r="43" spans="2:11" ht="15.95" customHeight="1">
      <c r="B43" s="24" t="s">
        <v>2139</v>
      </c>
      <c r="C43" s="1100">
        <f>VLOOKUP(B43,'Designated Websites, total sums'!B:C,2,0)</f>
        <v>1</v>
      </c>
      <c r="D43" s="180">
        <f>VLOOKUP(B43,'Designated Websites, total sums'!B:I,7,0)</f>
        <v>1</v>
      </c>
      <c r="E43" s="276">
        <f>(COUNTIFS('Bilateral Assistance, MAIN DATA'!AE:AE,"Value is given by the source",'Bilateral Assistance, MAIN DATA'!B:B,'Data Transparency Index'!$B43)/COUNTIFS('Bilateral Assistance, MAIN DATA'!B:B,'Data Transparency Index'!$B43))</f>
        <v>0.89473684210526316</v>
      </c>
      <c r="F43" s="277">
        <f>(SUMIFS('Bilateral Assistance, MAIN DATA'!AR:AR,'Bilateral Assistance, MAIN DATA'!B:B,'Data Transparency Index'!$B43)/COUNTIFS('Bilateral Assistance, MAIN DATA'!B:B,'Data Transparency Index'!$B43))</f>
        <v>1</v>
      </c>
      <c r="G43" s="276">
        <f>1-(COUNTIFS('Bilateral Assistance, MAIN DATA'!M:M,"undisclosed",'Bilateral Assistance, MAIN DATA'!B:B,'Data Transparency Index'!$B43,'Bilateral Assistance, MAIN DATA'!AS:AS,1,'Bilateral Assistance, MAIN DATA'!B:B,'Data Transparency Index'!$B43)/COUNTIFS('Bilateral Assistance, MAIN DATA'!B:B,'Data Transparency Index'!$B43,'Bilateral Assistance, MAIN DATA'!AS:AS,1))</f>
        <v>1</v>
      </c>
      <c r="H43" s="239">
        <f>SUM(C43:G43)</f>
        <v>4.8947368421052637</v>
      </c>
      <c r="I43" s="171"/>
      <c r="J43" s="171"/>
      <c r="K43" s="171"/>
    </row>
    <row r="44" spans="2:11" ht="15.95" customHeight="1">
      <c r="B44" s="24" t="s">
        <v>3713</v>
      </c>
      <c r="C44" s="1100">
        <f>VLOOKUP(B44,'Designated Websites, total sums'!B:C,2,0)</f>
        <v>0</v>
      </c>
      <c r="D44" s="180">
        <f>VLOOKUP(B44,'Designated Websites, total sums'!B:I,7,0)</f>
        <v>0</v>
      </c>
      <c r="E44" s="276">
        <f>(COUNTIFS('Bilateral Assistance, MAIN DATA'!AE:AE,"Value is given by the source",'Bilateral Assistance, MAIN DATA'!B:B,'Data Transparency Index'!$B44)/COUNTIFS('Bilateral Assistance, MAIN DATA'!B:B,'Data Transparency Index'!$B44))</f>
        <v>1</v>
      </c>
      <c r="F44" s="277">
        <f>(SUMIFS('Bilateral Assistance, MAIN DATA'!AR:AR,'Bilateral Assistance, MAIN DATA'!B:B,'Data Transparency Index'!$B44)/COUNTIFS('Bilateral Assistance, MAIN DATA'!B:B,'Data Transparency Index'!$B44))</f>
        <v>1</v>
      </c>
      <c r="G44" s="276">
        <v>1</v>
      </c>
      <c r="H44" s="239">
        <f>SUM(C44:G44)</f>
        <v>3</v>
      </c>
      <c r="I44" s="171"/>
      <c r="J44" s="171"/>
      <c r="K44" s="171"/>
    </row>
    <row r="45" spans="2:11" ht="15.95" customHeight="1">
      <c r="B45" s="24" t="s">
        <v>1523</v>
      </c>
      <c r="C45" s="1100">
        <f>VLOOKUP(B45,'Designated Websites, total sums'!B:C,2,0)</f>
        <v>1</v>
      </c>
      <c r="D45" s="180">
        <f>VLOOKUP(B45,'Designated Websites, total sums'!B:I,7,0)</f>
        <v>0</v>
      </c>
      <c r="E45" s="276">
        <f>(COUNTIFS('Bilateral Assistance, MAIN DATA'!AE:AE,"Value is given by the source",'Bilateral Assistance, MAIN DATA'!B:B,'Data Transparency Index'!$B45)/COUNTIFS('Bilateral Assistance, MAIN DATA'!B:B,'Data Transparency Index'!$B45))</f>
        <v>0.46376811594202899</v>
      </c>
      <c r="F45" s="277">
        <f>(SUMIFS('Bilateral Assistance, MAIN DATA'!AR:AR,'Bilateral Assistance, MAIN DATA'!B:B,'Data Transparency Index'!$B45)/COUNTIFS('Bilateral Assistance, MAIN DATA'!B:B,'Data Transparency Index'!$B45))</f>
        <v>1</v>
      </c>
      <c r="G45" s="276">
        <f>1-(COUNTIFS('Bilateral Assistance, MAIN DATA'!M:M,"undisclosed",'Bilateral Assistance, MAIN DATA'!B:B,'Data Transparency Index'!$B45,'Bilateral Assistance, MAIN DATA'!AS:AS,1,'Bilateral Assistance, MAIN DATA'!B:B,'Data Transparency Index'!$B45)/COUNTIFS('Bilateral Assistance, MAIN DATA'!B:B,'Data Transparency Index'!$B45,'Bilateral Assistance, MAIN DATA'!AS:AS,1))</f>
        <v>0.64285714285714279</v>
      </c>
      <c r="H45" s="239">
        <f>SUM(C45:G45)</f>
        <v>3.1066252587991721</v>
      </c>
      <c r="I45" s="171"/>
      <c r="J45" s="171"/>
      <c r="K45" s="171"/>
    </row>
    <row r="46" spans="2:11" ht="15.95" customHeight="1">
      <c r="B46" s="24" t="s">
        <v>3261</v>
      </c>
      <c r="C46" s="1100">
        <f>VLOOKUP(B46,'Designated Websites, total sums'!B:C,2,0)</f>
        <v>0.33333333333333337</v>
      </c>
      <c r="D46" s="180">
        <f>VLOOKUP(B46,'Designated Websites, total sums'!B:I,7,0)</f>
        <v>1</v>
      </c>
      <c r="E46" s="276">
        <f>(COUNTIFS('Bilateral Assistance, MAIN DATA'!AE:AE,"Value is given by the source",'Bilateral Assistance, MAIN DATA'!B:B,'Data Transparency Index'!$B46)/COUNTIFS('Bilateral Assistance, MAIN DATA'!B:B,'Data Transparency Index'!$B46))</f>
        <v>0.68965517241379315</v>
      </c>
      <c r="F46" s="277">
        <f>(SUMIFS('Bilateral Assistance, MAIN DATA'!AR:AR,'Bilateral Assistance, MAIN DATA'!B:B,'Data Transparency Index'!$B46)/COUNTIFS('Bilateral Assistance, MAIN DATA'!B:B,'Data Transparency Index'!$B46))</f>
        <v>0.58620689655172409</v>
      </c>
      <c r="G46" s="276">
        <f>1-(COUNTIFS('Bilateral Assistance, MAIN DATA'!M:M,"undisclosed",'Bilateral Assistance, MAIN DATA'!B:B,'Data Transparency Index'!$B46,'Bilateral Assistance, MAIN DATA'!AS:AS,1,'Bilateral Assistance, MAIN DATA'!B:B,'Data Transparency Index'!$B46)/COUNTIFS('Bilateral Assistance, MAIN DATA'!B:B,'Data Transparency Index'!$B46,'Bilateral Assistance, MAIN DATA'!AS:AS,1))</f>
        <v>0.68181818181818188</v>
      </c>
      <c r="H46" s="239">
        <f t="shared" si="0"/>
        <v>3.2910135841170325</v>
      </c>
      <c r="I46" s="171"/>
      <c r="J46" s="171"/>
      <c r="K46" s="171"/>
    </row>
    <row r="47" spans="2:11" ht="15.95" customHeight="1">
      <c r="B47" s="24" t="s">
        <v>905</v>
      </c>
      <c r="C47" s="1100">
        <f>VLOOKUP(B47,'Designated Websites, total sums'!B:C,2,0)</f>
        <v>0</v>
      </c>
      <c r="D47" s="180">
        <f>VLOOKUP(B47,'Designated Websites, total sums'!B:I,7,0)</f>
        <v>0</v>
      </c>
      <c r="E47" s="276">
        <f>(COUNTIFS('Bilateral Assistance, MAIN DATA'!AE:AE,"Value is given by the source",'Bilateral Assistance, MAIN DATA'!B:B,'Data Transparency Index'!$B47)/COUNTIFS('Bilateral Assistance, MAIN DATA'!B:B,'Data Transparency Index'!$B47))</f>
        <v>1</v>
      </c>
      <c r="F47" s="277">
        <f>(SUMIFS('Bilateral Assistance, MAIN DATA'!AR:AR,'Bilateral Assistance, MAIN DATA'!B:B,'Data Transparency Index'!$B47)/COUNTIFS('Bilateral Assistance, MAIN DATA'!B:B,'Data Transparency Index'!$B47))</f>
        <v>1</v>
      </c>
      <c r="G47" s="276">
        <v>1</v>
      </c>
      <c r="H47" s="239">
        <f t="shared" si="0"/>
        <v>3</v>
      </c>
      <c r="I47" s="171"/>
      <c r="J47" s="171"/>
      <c r="K47" s="171"/>
    </row>
    <row r="48" spans="2:11" ht="15.95" customHeight="1">
      <c r="B48" s="24" t="s">
        <v>2028</v>
      </c>
      <c r="C48" s="1100">
        <f>VLOOKUP(B48,'Designated Websites, total sums'!B:C,2,0)</f>
        <v>0</v>
      </c>
      <c r="D48" s="180">
        <f>VLOOKUP(B48,'Designated Websites, total sums'!B:I,7,0)</f>
        <v>0</v>
      </c>
      <c r="E48" s="276">
        <f>(COUNTIFS('Bilateral Assistance, MAIN DATA'!AE:AE,"Value is given by the source",'Bilateral Assistance, MAIN DATA'!B:B,'Data Transparency Index'!$B48)/COUNTIFS('Bilateral Assistance, MAIN DATA'!B:B,'Data Transparency Index'!$B48))</f>
        <v>0.375</v>
      </c>
      <c r="F48" s="277">
        <f>(SUMIFS('Bilateral Assistance, MAIN DATA'!AR:AR,'Bilateral Assistance, MAIN DATA'!B:B,'Data Transparency Index'!$B48)/COUNTIFS('Bilateral Assistance, MAIN DATA'!B:B,'Data Transparency Index'!$B48))</f>
        <v>0.75</v>
      </c>
      <c r="G48" s="276">
        <v>1</v>
      </c>
      <c r="H48" s="239">
        <f t="shared" si="0"/>
        <v>2.125</v>
      </c>
      <c r="I48" s="171"/>
      <c r="J48" s="171"/>
      <c r="K48" s="171"/>
    </row>
    <row r="49" spans="2:11" ht="15.95" customHeight="1">
      <c r="B49" s="24" t="s">
        <v>2076</v>
      </c>
      <c r="C49" s="1100">
        <f>VLOOKUP(B49,'Designated Websites, total sums'!B:C,2,0)</f>
        <v>0</v>
      </c>
      <c r="D49" s="180">
        <f>VLOOKUP(B49,'Designated Websites, total sums'!B:I,7,0)</f>
        <v>0</v>
      </c>
      <c r="E49" s="276">
        <f>(COUNTIFS('Bilateral Assistance, MAIN DATA'!AE:AE,"Value is given by the source",'Bilateral Assistance, MAIN DATA'!B:B,'Data Transparency Index'!$B49)/COUNTIFS('Bilateral Assistance, MAIN DATA'!B:B,'Data Transparency Index'!$B49))</f>
        <v>0</v>
      </c>
      <c r="F49" s="277">
        <f>(SUMIFS('Bilateral Assistance, MAIN DATA'!AR:AR,'Bilateral Assistance, MAIN DATA'!B:B,'Data Transparency Index'!$B49)/COUNTIFS('Bilateral Assistance, MAIN DATA'!B:B,'Data Transparency Index'!$B49))</f>
        <v>0.66666666666666663</v>
      </c>
      <c r="G49" s="276">
        <v>1</v>
      </c>
      <c r="H49" s="239">
        <f t="shared" si="0"/>
        <v>1.6666666666666665</v>
      </c>
      <c r="I49" s="171"/>
      <c r="J49" s="171"/>
      <c r="K49" s="171"/>
    </row>
    <row r="50" spans="2:11" ht="15.95" customHeight="1">
      <c r="B50" s="24" t="s">
        <v>3337</v>
      </c>
      <c r="C50" s="1100">
        <f>VLOOKUP(B50,'Designated Websites, total sums'!B:C,2,0)</f>
        <v>0</v>
      </c>
      <c r="D50" s="180">
        <f>VLOOKUP(B50,'Designated Websites, total sums'!B:I,7,0)</f>
        <v>0</v>
      </c>
      <c r="E50" s="276">
        <f>(COUNTIFS('Bilateral Assistance, MAIN DATA'!AE:AE,"Value is given by the source",'Bilateral Assistance, MAIN DATA'!B:B,'Data Transparency Index'!$B50)/COUNTIFS('Bilateral Assistance, MAIN DATA'!B:B,'Data Transparency Index'!$B50))</f>
        <v>0.7407407407407407</v>
      </c>
      <c r="F50" s="277">
        <f>(SUMIFS('Bilateral Assistance, MAIN DATA'!AR:AR,'Bilateral Assistance, MAIN DATA'!B:B,'Data Transparency Index'!$B50)/COUNTIFS('Bilateral Assistance, MAIN DATA'!B:B,'Data Transparency Index'!$B50))</f>
        <v>0.62962962962962965</v>
      </c>
      <c r="G50" s="276">
        <f>1-(COUNTIFS('Bilateral Assistance, MAIN DATA'!M:M,"undisclosed",'Bilateral Assistance, MAIN DATA'!B:B,'Data Transparency Index'!$B50,'Bilateral Assistance, MAIN DATA'!AS:AS,1,'Bilateral Assistance, MAIN DATA'!B:B,'Data Transparency Index'!$B50)/COUNTIFS('Bilateral Assistance, MAIN DATA'!B:B,'Data Transparency Index'!$B50,'Bilateral Assistance, MAIN DATA'!AS:AS,1))</f>
        <v>0.33333333333333337</v>
      </c>
      <c r="H50" s="239">
        <f t="shared" si="0"/>
        <v>1.7037037037037037</v>
      </c>
      <c r="I50" s="171"/>
      <c r="J50" s="171"/>
      <c r="K50" s="171"/>
    </row>
    <row r="51" spans="2:11" ht="15.95" customHeight="1">
      <c r="B51" s="2" t="s">
        <v>3685</v>
      </c>
      <c r="C51" s="1100">
        <f>VLOOKUP(B51,'Designated Websites, total sums'!B:C,2,0)</f>
        <v>0</v>
      </c>
      <c r="D51" s="180">
        <f>VLOOKUP(B51,'Designated Websites, total sums'!B:I,7,0)</f>
        <v>0</v>
      </c>
      <c r="E51" s="276">
        <f>(COUNTIFS('Bilateral Assistance, MAIN DATA'!AE:AE,"Value is given by the source",'Bilateral Assistance, MAIN DATA'!B:B,'Data Transparency Index'!$B51)/COUNTIFS('Bilateral Assistance, MAIN DATA'!B:B,'Data Transparency Index'!$B51))</f>
        <v>0</v>
      </c>
      <c r="F51" s="277">
        <f>(SUMIFS('Bilateral Assistance, MAIN DATA'!AR:AR,'Bilateral Assistance, MAIN DATA'!B:B,'Data Transparency Index'!$B51)/COUNTIFS('Bilateral Assistance, MAIN DATA'!B:B,'Data Transparency Index'!$B51))</f>
        <v>0.89473684210526316</v>
      </c>
      <c r="G51" s="276">
        <f>1-(COUNTIFS('Bilateral Assistance, MAIN DATA'!M:M,"undisclosed",'Bilateral Assistance, MAIN DATA'!B:B,'Data Transparency Index'!$B51,'Bilateral Assistance, MAIN DATA'!AS:AS,1,'Bilateral Assistance, MAIN DATA'!B:B,'Data Transparency Index'!$B51)/COUNTIFS('Bilateral Assistance, MAIN DATA'!B:B,'Data Transparency Index'!$B51,'Bilateral Assistance, MAIN DATA'!AS:AS,1))</f>
        <v>1</v>
      </c>
      <c r="H51" s="239">
        <f t="shared" si="0"/>
        <v>1.8947368421052633</v>
      </c>
      <c r="I51" s="171"/>
      <c r="J51" s="171"/>
      <c r="K51" s="171"/>
    </row>
    <row r="52" spans="2:11" ht="15.95" customHeight="1">
      <c r="B52" s="24" t="s">
        <v>2989</v>
      </c>
      <c r="C52" s="1100">
        <f>VLOOKUP(B52,'Designated Websites, total sums'!B:C,2,0)</f>
        <v>0</v>
      </c>
      <c r="D52" s="180">
        <f>VLOOKUP(B52,'Designated Websites, total sums'!B:I,7,0)</f>
        <v>0</v>
      </c>
      <c r="E52" s="276">
        <f>(COUNTIFS('Bilateral Assistance, MAIN DATA'!AE:AE,"Value is given by the source",'Bilateral Assistance, MAIN DATA'!B:B,'Data Transparency Index'!$B52)/COUNTIFS('Bilateral Assistance, MAIN DATA'!B:B,'Data Transparency Index'!$B52))</f>
        <v>0.54838709677419351</v>
      </c>
      <c r="F52" s="277">
        <f>(SUMIFS('Bilateral Assistance, MAIN DATA'!AR:AR,'Bilateral Assistance, MAIN DATA'!B:B,'Data Transparency Index'!$B52)/COUNTIFS('Bilateral Assistance, MAIN DATA'!B:B,'Data Transparency Index'!$B52))</f>
        <v>0.61290322580645162</v>
      </c>
      <c r="G52" s="276">
        <f>1-(COUNTIFS('Bilateral Assistance, MAIN DATA'!M:M,"undisclosed",'Bilateral Assistance, MAIN DATA'!B:B,'Data Transparency Index'!$B52,'Bilateral Assistance, MAIN DATA'!AS:AS,1,'Bilateral Assistance, MAIN DATA'!B:B,'Data Transparency Index'!$B52)/COUNTIFS('Bilateral Assistance, MAIN DATA'!B:B,'Data Transparency Index'!$B52,'Bilateral Assistance, MAIN DATA'!AS:AS,1))</f>
        <v>0.78260869565217395</v>
      </c>
      <c r="H52" s="239">
        <f t="shared" si="0"/>
        <v>1.9438990182328189</v>
      </c>
      <c r="I52" s="171"/>
      <c r="J52" s="171"/>
      <c r="K52" s="171"/>
    </row>
    <row r="53" spans="2:11" ht="15.95" customHeight="1">
      <c r="B53" s="24" t="s">
        <v>1973</v>
      </c>
      <c r="C53" s="1100">
        <f>VLOOKUP(B53,'Designated Websites, total sums'!B:C,2,0)</f>
        <v>0</v>
      </c>
      <c r="D53" s="180">
        <f>VLOOKUP(B53,'Designated Websites, total sums'!B:I,7,0)</f>
        <v>0</v>
      </c>
      <c r="E53" s="276">
        <f>(COUNTIFS('Bilateral Assistance, MAIN DATA'!AE:AE,"Value is given by the source",'Bilateral Assistance, MAIN DATA'!B:B,'Data Transparency Index'!$B53)/COUNTIFS('Bilateral Assistance, MAIN DATA'!B:B,'Data Transparency Index'!$B53))</f>
        <v>0</v>
      </c>
      <c r="F53" s="277">
        <f>(SUMIFS('Bilateral Assistance, MAIN DATA'!AR:AR,'Bilateral Assistance, MAIN DATA'!B:B,'Data Transparency Index'!$B53)/COUNTIFS('Bilateral Assistance, MAIN DATA'!B:B,'Data Transparency Index'!$B53))</f>
        <v>0.33333333333333331</v>
      </c>
      <c r="G53" s="276">
        <f>1-(COUNTIFS('Bilateral Assistance, MAIN DATA'!M:M,"undisclosed",'Bilateral Assistance, MAIN DATA'!B:B,'Data Transparency Index'!$B53,'Bilateral Assistance, MAIN DATA'!AS:AS,1,'Bilateral Assistance, MAIN DATA'!B:B,'Data Transparency Index'!$B53)/COUNTIFS('Bilateral Assistance, MAIN DATA'!B:B,'Data Transparency Index'!$B53,'Bilateral Assistance, MAIN DATA'!AS:AS,1))</f>
        <v>0.75</v>
      </c>
      <c r="H53" s="239">
        <f t="shared" si="0"/>
        <v>1.0833333333333333</v>
      </c>
      <c r="I53" s="171"/>
      <c r="J53" s="171"/>
      <c r="K53" s="171"/>
    </row>
    <row r="54" spans="2:11" ht="15.95" customHeight="1">
      <c r="B54" s="24" t="s">
        <v>3412</v>
      </c>
      <c r="C54" s="1100">
        <f>VLOOKUP(B54,'Designated Websites, total sums'!B:C,2,0)</f>
        <v>0</v>
      </c>
      <c r="D54" s="180">
        <f>VLOOKUP(B54,'Designated Websites, total sums'!B:I,7,0)</f>
        <v>0</v>
      </c>
      <c r="E54" s="276">
        <f>(COUNTIFS('Bilateral Assistance, MAIN DATA'!AE:AE,"Value is given by the source",'Bilateral Assistance, MAIN DATA'!B:B,'Data Transparency Index'!$B54)/COUNTIFS('Bilateral Assistance, MAIN DATA'!B:B,'Data Transparency Index'!$B54))</f>
        <v>0.26190476190476192</v>
      </c>
      <c r="F54" s="277">
        <f>(SUMIFS('Bilateral Assistance, MAIN DATA'!AR:AR,'Bilateral Assistance, MAIN DATA'!B:B,'Data Transparency Index'!$B54)/COUNTIFS('Bilateral Assistance, MAIN DATA'!B:B,'Data Transparency Index'!$B54))</f>
        <v>0.90476190476190477</v>
      </c>
      <c r="G54" s="276">
        <f>1-(COUNTIFS('Bilateral Assistance, MAIN DATA'!M:M,"undisclosed",'Bilateral Assistance, MAIN DATA'!B:B,'Data Transparency Index'!$B54,'Bilateral Assistance, MAIN DATA'!AS:AS,1,'Bilateral Assistance, MAIN DATA'!B:B,'Data Transparency Index'!$B54)/COUNTIFS('Bilateral Assistance, MAIN DATA'!B:B,'Data Transparency Index'!$B54,'Bilateral Assistance, MAIN DATA'!AS:AS,1))</f>
        <v>0.82758620689655171</v>
      </c>
      <c r="H54" s="239">
        <f t="shared" si="0"/>
        <v>1.9942528735632186</v>
      </c>
      <c r="I54" s="171"/>
      <c r="J54" s="171"/>
      <c r="K54" s="171"/>
    </row>
    <row r="55" spans="2:11" ht="15.95" customHeight="1">
      <c r="B55" s="278" t="s">
        <v>3079</v>
      </c>
      <c r="C55" s="1101">
        <f>VLOOKUP(B55,'Designated Websites, total sums'!B:C,2,0)</f>
        <v>0.33333333333333337</v>
      </c>
      <c r="D55" s="279">
        <f>VLOOKUP(B55,'Designated Websites, total sums'!B:I,7,0)</f>
        <v>0</v>
      </c>
      <c r="E55" s="280">
        <f>(COUNTIFS('Bilateral Assistance, MAIN DATA'!AE:AE,"Value is given by the source",'Bilateral Assistance, MAIN DATA'!B:B,'Data Transparency Index'!$B55)/COUNTIFS('Bilateral Assistance, MAIN DATA'!B:B,'Data Transparency Index'!$B55))</f>
        <v>0.13793103448275862</v>
      </c>
      <c r="F55" s="281">
        <f>(SUMIFS('Bilateral Assistance, MAIN DATA'!AR:AR,'Bilateral Assistance, MAIN DATA'!B:B,'Data Transparency Index'!$B55)/COUNTIFS('Bilateral Assistance, MAIN DATA'!B:B,'Data Transparency Index'!$B55))</f>
        <v>0.82758620689655171</v>
      </c>
      <c r="G55" s="280">
        <f>1-(COUNTIFS('Bilateral Assistance, MAIN DATA'!M:M,"undisclosed",'Bilateral Assistance, MAIN DATA'!B:B,'Data Transparency Index'!$B55,'Bilateral Assistance, MAIN DATA'!AS:AS,1,'Bilateral Assistance, MAIN DATA'!B:B,'Data Transparency Index'!$B55)/COUNTIFS('Bilateral Assistance, MAIN DATA'!B:B,'Data Transparency Index'!$B55,'Bilateral Assistance, MAIN DATA'!AS:AS,1))</f>
        <v>0.61904761904761907</v>
      </c>
      <c r="H55" s="241">
        <f t="shared" si="0"/>
        <v>1.9178981937602628</v>
      </c>
      <c r="I55" s="171"/>
      <c r="J55" s="171"/>
      <c r="K55" s="171"/>
    </row>
    <row r="56" spans="2:11" ht="15.95" customHeight="1">
      <c r="C56" s="277"/>
      <c r="D56" s="239"/>
      <c r="E56" s="297"/>
      <c r="F56" s="277"/>
      <c r="G56" s="297"/>
      <c r="H56" s="461"/>
    </row>
    <row r="57" spans="2:11" ht="15.95" customHeight="1">
      <c r="C57" s="462"/>
      <c r="D57" s="239"/>
      <c r="E57" s="297"/>
      <c r="F57" s="277"/>
      <c r="G57" s="297"/>
      <c r="H57" s="461"/>
    </row>
    <row r="58" spans="2:11" ht="15.95" customHeight="1">
      <c r="B58" s="282" t="s">
        <v>4550</v>
      </c>
      <c r="C58" s="283">
        <f>SUM(C14:C55)/COUNT(C14:C55)</f>
        <v>0.39682539682539675</v>
      </c>
      <c r="D58" s="283">
        <f>SUM(D14:D55)/COUNT(C14:C55)</f>
        <v>0.30952380952380953</v>
      </c>
      <c r="E58" s="283">
        <f>SUM(E14:E55)/COUNT(C14:C55)</f>
        <v>0.68027495465940058</v>
      </c>
      <c r="F58" s="283">
        <f>SUM(F14:F55)/COUNT(C14:C55)</f>
        <v>0.86614433238375033</v>
      </c>
      <c r="G58" s="283">
        <f>SUM(G14:G55)/COUNT(C14:C55)</f>
        <v>0.75066589531783712</v>
      </c>
      <c r="H58" s="283">
        <f>SUM(H14:H55)/COUNT(C14:C55)</f>
        <v>3.0034343887101946</v>
      </c>
      <c r="I58" s="346"/>
      <c r="J58" s="346"/>
      <c r="K58" s="346"/>
    </row>
    <row r="59" spans="2:11" s="347" customFormat="1" ht="15.95" customHeight="1">
      <c r="B59" s="284" t="s">
        <v>4795</v>
      </c>
      <c r="C59" s="285">
        <f>COUNTIF(C14:C55,1)</f>
        <v>13</v>
      </c>
      <c r="D59" s="285">
        <f>COUNTIF(D14:D55,1)</f>
        <v>13</v>
      </c>
      <c r="E59" s="285">
        <f>COUNTIF(E14:E55,1)</f>
        <v>7</v>
      </c>
      <c r="F59" s="285">
        <f>COUNTIF(F14:F55,1)</f>
        <v>17</v>
      </c>
      <c r="G59" s="285">
        <f>COUNTIF(G14:G55,1)</f>
        <v>15</v>
      </c>
      <c r="H59" s="285">
        <f>COUNTIF(H14:H55,5)</f>
        <v>1</v>
      </c>
      <c r="I59" s="348"/>
      <c r="J59" s="348"/>
      <c r="K59" s="348"/>
    </row>
    <row r="60" spans="2:11" ht="15.95" customHeight="1">
      <c r="B60" s="457" t="s">
        <v>4796</v>
      </c>
      <c r="C60" s="286">
        <f>C59/40</f>
        <v>0.32500000000000001</v>
      </c>
      <c r="D60" s="286">
        <f>D59/40</f>
        <v>0.32500000000000001</v>
      </c>
      <c r="E60" s="286">
        <f>E59/41</f>
        <v>0.17073170731707318</v>
      </c>
      <c r="F60" s="286">
        <f>F59/41</f>
        <v>0.41463414634146339</v>
      </c>
      <c r="G60" s="286">
        <f>G59/41</f>
        <v>0.36585365853658536</v>
      </c>
      <c r="H60" s="286">
        <f>H59/41</f>
        <v>2.4390243902439025E-2</v>
      </c>
      <c r="I60" s="127"/>
      <c r="J60" s="127"/>
      <c r="K60" s="127"/>
    </row>
  </sheetData>
  <sortState xmlns:xlrd2="http://schemas.microsoft.com/office/spreadsheetml/2017/richdata2" ref="B13:H55">
    <sortCondition descending="1" ref="H13:H55"/>
  </sortState>
  <mergeCells count="1">
    <mergeCell ref="B4:G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A9D08E"/>
  </sheetPr>
  <dimension ref="A1:U166"/>
  <sheetViews>
    <sheetView showGridLines="0" zoomScaleNormal="100" workbookViewId="0"/>
  </sheetViews>
  <sheetFormatPr defaultColWidth="8.625" defaultRowHeight="15.95" customHeight="1"/>
  <cols>
    <col min="1" max="1" width="8.625" style="2" customWidth="1"/>
    <col min="2" max="2" width="25.5" style="24" customWidth="1"/>
    <col min="3" max="3" width="10.5" style="297" bestFit="1" customWidth="1"/>
    <col min="4" max="4" width="23.875" style="24" customWidth="1"/>
    <col min="5" max="5" width="26.625" style="24" customWidth="1"/>
    <col min="6" max="6" width="22.125" style="138" customWidth="1"/>
    <col min="7" max="7" width="26.625" style="138" customWidth="1"/>
    <col min="8" max="8" width="21" style="298" customWidth="1"/>
    <col min="9" max="9" width="15.5" style="299" customWidth="1"/>
    <col min="10" max="10" width="25.125" style="27" customWidth="1"/>
    <col min="11" max="11" width="23.125" style="24" bestFit="1" customWidth="1"/>
    <col min="12" max="12" width="24.125" style="24" bestFit="1" customWidth="1"/>
    <col min="13" max="13" width="23.875" style="24" bestFit="1" customWidth="1"/>
    <col min="14" max="14" width="26.5" style="24" bestFit="1" customWidth="1"/>
    <col min="15" max="15" width="26.5" style="300" bestFit="1" customWidth="1"/>
    <col min="16" max="16" width="29.125" style="37" bestFit="1" customWidth="1"/>
    <col min="17" max="17" width="29.125" style="301" bestFit="1" customWidth="1"/>
    <col min="18" max="18" width="28.625" style="24" bestFit="1" customWidth="1"/>
    <col min="19" max="19" width="40.125" style="24" bestFit="1" customWidth="1"/>
    <col min="20" max="20" width="8.625" style="24" customWidth="1"/>
    <col min="21" max="16384" width="8.625" style="24"/>
  </cols>
  <sheetData>
    <row r="1" spans="1:21" s="35" customFormat="1" ht="15.95" customHeight="1">
      <c r="B1" s="166"/>
      <c r="C1" s="166"/>
      <c r="D1" s="166"/>
      <c r="E1" s="166"/>
      <c r="F1" s="167"/>
      <c r="G1" s="166"/>
      <c r="H1" s="166"/>
      <c r="I1" s="166"/>
      <c r="J1" s="166"/>
      <c r="K1" s="166"/>
      <c r="L1" s="166"/>
      <c r="M1" s="166"/>
      <c r="N1" s="166"/>
      <c r="O1" s="166"/>
      <c r="P1" s="166"/>
      <c r="Q1" s="166"/>
      <c r="R1" s="166"/>
      <c r="S1" s="166"/>
    </row>
    <row r="2" spans="1:21" s="162" customFormat="1" ht="24.75" customHeight="1">
      <c r="A2" s="35"/>
      <c r="B2" s="364" t="s">
        <v>4510</v>
      </c>
      <c r="F2" s="429"/>
    </row>
    <row r="3" spans="1:21" s="162" customFormat="1" ht="15.95" customHeight="1">
      <c r="A3" s="35"/>
      <c r="B3" s="163"/>
      <c r="E3" s="164"/>
      <c r="F3" s="429"/>
    </row>
    <row r="4" spans="1:21" s="162" customFormat="1" ht="15.95" customHeight="1">
      <c r="A4" s="35"/>
      <c r="B4" s="1433" t="s">
        <v>4511</v>
      </c>
      <c r="C4" s="1434"/>
      <c r="D4" s="1434"/>
      <c r="E4" s="1434"/>
      <c r="F4" s="1434"/>
    </row>
    <row r="5" spans="1:21" s="162" customFormat="1" ht="15.95" customHeight="1">
      <c r="A5" s="35"/>
      <c r="B5" s="1434"/>
      <c r="C5" s="1434"/>
      <c r="D5" s="1434"/>
      <c r="E5" s="1434"/>
      <c r="F5" s="1434"/>
    </row>
    <row r="6" spans="1:21" s="162" customFormat="1" ht="15.95" customHeight="1">
      <c r="A6" s="35"/>
      <c r="B6" s="1434"/>
      <c r="C6" s="1434"/>
      <c r="D6" s="1434"/>
      <c r="E6" s="1434"/>
      <c r="F6" s="1434"/>
    </row>
    <row r="7" spans="1:21" s="162" customFormat="1" ht="15.95" customHeight="1">
      <c r="A7" s="35"/>
      <c r="B7" s="1434"/>
      <c r="C7" s="1434"/>
      <c r="D7" s="1434"/>
      <c r="E7" s="1434"/>
      <c r="F7" s="1434"/>
    </row>
    <row r="8" spans="1:21" s="162" customFormat="1" ht="15.95" customHeight="1">
      <c r="A8" s="35"/>
      <c r="B8" s="1434"/>
      <c r="C8" s="1434"/>
      <c r="D8" s="1434"/>
      <c r="E8" s="1434"/>
      <c r="F8" s="1434"/>
    </row>
    <row r="9" spans="1:21" s="43" customFormat="1" ht="15.95" customHeight="1">
      <c r="A9" s="35"/>
      <c r="B9" s="1434"/>
      <c r="C9" s="1434"/>
      <c r="D9" s="1434"/>
      <c r="E9" s="1434"/>
      <c r="F9" s="1434"/>
      <c r="H9" s="165"/>
    </row>
    <row r="10" spans="1:21" s="297" customFormat="1" ht="15.95" customHeight="1">
      <c r="A10" s="2"/>
      <c r="F10" s="277"/>
      <c r="G10" s="277"/>
      <c r="H10" s="303"/>
      <c r="I10" s="304"/>
      <c r="J10" s="305"/>
      <c r="O10" s="306"/>
      <c r="P10" s="307"/>
      <c r="Q10" s="308"/>
    </row>
    <row r="11" spans="1:21" s="310" customFormat="1" ht="15.95" customHeight="1">
      <c r="A11" s="2"/>
      <c r="B11" s="1429" t="s">
        <v>4512</v>
      </c>
      <c r="C11" s="1431" t="s">
        <v>4513</v>
      </c>
      <c r="D11" s="1348" t="s">
        <v>4514</v>
      </c>
      <c r="E11" s="1348" t="s">
        <v>4515</v>
      </c>
      <c r="F11" s="311" t="s">
        <v>4516</v>
      </c>
      <c r="G11" s="311" t="s">
        <v>4517</v>
      </c>
      <c r="H11" s="312" t="s">
        <v>4518</v>
      </c>
      <c r="I11" s="313" t="s">
        <v>4519</v>
      </c>
      <c r="J11" s="314" t="s">
        <v>4517</v>
      </c>
      <c r="K11" s="1348" t="s">
        <v>4520</v>
      </c>
      <c r="L11" s="1348" t="s">
        <v>4521</v>
      </c>
      <c r="M11" s="1348" t="s">
        <v>4522</v>
      </c>
      <c r="N11" s="1348" t="s">
        <v>4523</v>
      </c>
      <c r="O11" s="315" t="s">
        <v>4523</v>
      </c>
      <c r="P11" s="1348" t="s">
        <v>4524</v>
      </c>
      <c r="Q11" s="1348" t="s">
        <v>4524</v>
      </c>
      <c r="R11" s="316" t="s">
        <v>4525</v>
      </c>
      <c r="S11" s="1357" t="s">
        <v>4526</v>
      </c>
    </row>
    <row r="12" spans="1:21" s="310" customFormat="1" ht="15.95" customHeight="1">
      <c r="A12" s="2"/>
      <c r="B12" s="1430"/>
      <c r="C12" s="1432"/>
      <c r="D12" s="1349" t="s">
        <v>4527</v>
      </c>
      <c r="E12" s="1349" t="s">
        <v>4527</v>
      </c>
      <c r="F12" s="317" t="s">
        <v>4527</v>
      </c>
      <c r="G12" s="317" t="s">
        <v>4527</v>
      </c>
      <c r="H12" s="318" t="s">
        <v>4528</v>
      </c>
      <c r="I12" s="319" t="s">
        <v>4527</v>
      </c>
      <c r="J12" s="320" t="s">
        <v>4529</v>
      </c>
      <c r="K12" s="1349" t="s">
        <v>4527</v>
      </c>
      <c r="L12" s="1349" t="s">
        <v>4527</v>
      </c>
      <c r="M12" s="1349" t="s">
        <v>4527</v>
      </c>
      <c r="N12" s="1349" t="s">
        <v>4527</v>
      </c>
      <c r="O12" s="321" t="s">
        <v>4529</v>
      </c>
      <c r="P12" s="1349" t="s">
        <v>4527</v>
      </c>
      <c r="Q12" s="322" t="s">
        <v>4529</v>
      </c>
      <c r="R12" s="323" t="s">
        <v>4527</v>
      </c>
      <c r="S12" s="1358" t="s">
        <v>4527</v>
      </c>
    </row>
    <row r="13" spans="1:21" ht="15.95" customHeight="1">
      <c r="B13" s="2" t="s">
        <v>359</v>
      </c>
      <c r="C13" s="297">
        <v>0</v>
      </c>
      <c r="D13" s="261">
        <f>SUMIFS('Bilateral Assistance, MAIN DATA'!S:S,'Bilateral Assistance, MAIN DATA'!D:D,"Financial",'Bilateral Assistance, MAIN DATA'!B:B,'Country Summary (€)'!B13)/1000000000</f>
        <v>0</v>
      </c>
      <c r="E13" s="261">
        <f>SUMIFS('Bilateral Assistance, MAIN DATA'!S:S,'Bilateral Assistance, MAIN DATA'!D:D,"Humanitarian",'Bilateral Assistance, MAIN DATA'!B:B,'Country Summary (€)'!B13)/1000000000</f>
        <v>6.5214731432766418E-2</v>
      </c>
      <c r="F13" s="261">
        <f>SUMIFS('Bilateral Assistance, MAIN DATA'!S:S,'Bilateral Assistance, MAIN DATA'!D:D,"Military",'Bilateral Assistance, MAIN DATA'!B:B,'Country Summary (€)'!B13)/1000000000</f>
        <v>0.35868102288021536</v>
      </c>
      <c r="G13" s="264">
        <f>SUM(D13:F13)</f>
        <v>0.42389575431298177</v>
      </c>
      <c r="H13" s="324">
        <f>1552667363236.06/1000000000</f>
        <v>1552.6673632360601</v>
      </c>
      <c r="I13" s="299">
        <f>H13/VLOOKUP("USD",'Exchange Rates'!B:C,2,0)</f>
        <v>1428.6597011741444</v>
      </c>
      <c r="J13" s="325">
        <f>(G13/I13)*100</f>
        <v>2.9670869414501082E-2</v>
      </c>
      <c r="K13" s="138">
        <f>VLOOKUP(B13,'EU Aid Shares'!B:E,4,0)</f>
        <v>0</v>
      </c>
      <c r="L13" s="138">
        <f>VLOOKUP(B13,'EPF Aid Shares'!B:G,6,0)</f>
        <v>0</v>
      </c>
      <c r="M13" s="127">
        <f>VLOOKUP(B13,'EIB Aid Shares'!B:E,4,0)</f>
        <v>0</v>
      </c>
      <c r="N13" s="138">
        <f t="shared" ref="N13:N54" si="0">SUM(K13:M13)</f>
        <v>0</v>
      </c>
      <c r="O13" s="113">
        <f t="shared" ref="O13:O54" si="1">N13/(VLOOKUP(B13,B:I,8,0))*100</f>
        <v>0</v>
      </c>
      <c r="P13" s="266">
        <f t="shared" ref="P13:P54" si="2">N13+G13</f>
        <v>0.42389575431298177</v>
      </c>
      <c r="Q13" s="326">
        <f>(P13/I13)*100</f>
        <v>2.9670869414501082E-2</v>
      </c>
      <c r="R13" s="138">
        <f>SUMIFS('Bilateral Assistance, MAIN DATA'!S:S,'Bilateral Assistance, MAIN DATA'!AS:AS,1, 'Bilateral Assistance, MAIN DATA'!B:B,B13)/1000000000</f>
        <v>0.35335861984583383</v>
      </c>
      <c r="S13" s="261">
        <f>F13-R13</f>
        <v>5.3224030343815287E-3</v>
      </c>
    </row>
    <row r="14" spans="1:21" ht="15.95" customHeight="1">
      <c r="B14" s="24" t="s">
        <v>454</v>
      </c>
      <c r="C14" s="297">
        <v>1</v>
      </c>
      <c r="D14" s="261">
        <f>SUMIFS('Bilateral Assistance, MAIN DATA'!S:S,'Bilateral Assistance, MAIN DATA'!D:D,"Financial",'Bilateral Assistance, MAIN DATA'!B:B,'Country Summary (€)'!B14)/1000000000</f>
        <v>0.04</v>
      </c>
      <c r="E14" s="261">
        <f>SUMIFS('Bilateral Assistance, MAIN DATA'!S:S,'Bilateral Assistance, MAIN DATA'!D:D,"Humanitarian",'Bilateral Assistance, MAIN DATA'!B:B,'Country Summary (€)'!B14)/1000000000</f>
        <v>0.82266856780677222</v>
      </c>
      <c r="F14" s="261">
        <f>SUMIFS('Bilateral Assistance, MAIN DATA'!S:S,'Bilateral Assistance, MAIN DATA'!D:D,"Military",'Bilateral Assistance, MAIN DATA'!B:B,'Country Summary (€)'!B14)/1000000000</f>
        <v>3.3008594497607653E-3</v>
      </c>
      <c r="G14" s="264">
        <f t="shared" ref="G14:G54" si="3">SUM(D14:F14)</f>
        <v>0.86596942725653303</v>
      </c>
      <c r="H14" s="324">
        <f>(480368403893.364)/1000000000</f>
        <v>480.36840389336402</v>
      </c>
      <c r="I14" s="299">
        <f>H14/VLOOKUP("USD",'Exchange Rates'!B:C,2,0)</f>
        <v>442.0025799534082</v>
      </c>
      <c r="J14" s="325">
        <f>(G14/I14)*100</f>
        <v>0.19591954131756775</v>
      </c>
      <c r="K14" s="138">
        <f>VLOOKUP(B14,'EU Aid Shares'!B:E,4,0)</f>
        <v>0.80462232354777352</v>
      </c>
      <c r="L14" s="138">
        <f>VLOOKUP(B14,'EPF Aid Shares'!B:G,6,0)</f>
        <v>0.1574841465078019</v>
      </c>
      <c r="M14" s="127">
        <f>VLOOKUP(B14,'EIB Aid Shares'!B:E,4,0)</f>
        <v>5.1745532886851645E-2</v>
      </c>
      <c r="N14" s="138">
        <f t="shared" si="0"/>
        <v>1.0138520029424272</v>
      </c>
      <c r="O14" s="113">
        <f t="shared" si="1"/>
        <v>0.22937694233578862</v>
      </c>
      <c r="P14" s="266">
        <f t="shared" si="2"/>
        <v>1.8798214301989602</v>
      </c>
      <c r="Q14" s="326">
        <f t="shared" ref="Q14:Q54" si="4">(P14/I14)*100</f>
        <v>0.42529648365335637</v>
      </c>
      <c r="R14" s="138">
        <f>SUMIFS('Bilateral Assistance, MAIN DATA'!S:S,'Bilateral Assistance, MAIN DATA'!AS:AS,1, 'Bilateral Assistance, MAIN DATA'!B:B,B14)/1000000000</f>
        <v>3.3008594497607653E-3</v>
      </c>
      <c r="S14" s="261">
        <f t="shared" ref="S14:S54" si="5">F14-R14</f>
        <v>0</v>
      </c>
    </row>
    <row r="15" spans="1:21" ht="15.95" customHeight="1">
      <c r="B15" s="24" t="s">
        <v>558</v>
      </c>
      <c r="C15" s="297">
        <v>1</v>
      </c>
      <c r="D15" s="261">
        <f>SUMIFS('Bilateral Assistance, MAIN DATA'!S:S,'Bilateral Assistance, MAIN DATA'!D:D,"Financial",'Bilateral Assistance, MAIN DATA'!B:B,'Country Summary (€)'!B15)/1000000000</f>
        <v>1.6060000000000001E-2</v>
      </c>
      <c r="E15" s="261">
        <f>SUMIFS('Bilateral Assistance, MAIN DATA'!S:S,'Bilateral Assistance, MAIN DATA'!D:D,"Humanitarian",'Bilateral Assistance, MAIN DATA'!B:B,'Country Summary (€)'!B15)/1000000000</f>
        <v>8.9630000000000001E-2</v>
      </c>
      <c r="F15" s="261">
        <f>SUMIFS('Bilateral Assistance, MAIN DATA'!S:S,'Bilateral Assistance, MAIN DATA'!D:D,"Military",'Bilateral Assistance, MAIN DATA'!B:B,'Country Summary (€)'!B15)/1000000000</f>
        <v>0.38505152839999995</v>
      </c>
      <c r="G15" s="264">
        <f t="shared" si="3"/>
        <v>0.49074152839999996</v>
      </c>
      <c r="H15" s="324">
        <f>594104177539.525/1000000000</f>
        <v>594.10417753952504</v>
      </c>
      <c r="I15" s="299">
        <f>H15/VLOOKUP("USD",'Exchange Rates'!B:C,2,0)</f>
        <v>546.65456159323242</v>
      </c>
      <c r="J15" s="325">
        <f t="shared" ref="J15:J54" si="6">(G15/I15)*100</f>
        <v>8.9771779635338056E-2</v>
      </c>
      <c r="K15" s="138">
        <f>VLOOKUP(B15,'EU Aid Shares'!B:E,4,0)</f>
        <v>0.95850089355119916</v>
      </c>
      <c r="L15" s="138">
        <f>VLOOKUP(B15,'EPF Aid Shares'!B:G,6,0)</f>
        <v>0.19312922755341486</v>
      </c>
      <c r="M15" s="127">
        <f>VLOOKUP(B15,'EIB Aid Shares'!B:E,4,0)</f>
        <v>0.10424062413548618</v>
      </c>
      <c r="N15" s="138">
        <f t="shared" si="0"/>
        <v>1.2558707452401001</v>
      </c>
      <c r="O15" s="113">
        <f t="shared" si="1"/>
        <v>0.22973754057404133</v>
      </c>
      <c r="P15" s="266">
        <f t="shared" si="2"/>
        <v>1.7466122736401002</v>
      </c>
      <c r="Q15" s="326">
        <f t="shared" si="4"/>
        <v>0.31950932020937944</v>
      </c>
      <c r="R15" s="138">
        <f>SUMIFS('Bilateral Assistance, MAIN DATA'!S:S,'Bilateral Assistance, MAIN DATA'!AS:AS,1, 'Bilateral Assistance, MAIN DATA'!B:B,B15)/1000000000</f>
        <v>0.38505152839999995</v>
      </c>
      <c r="S15" s="261">
        <f t="shared" si="5"/>
        <v>0</v>
      </c>
      <c r="T15" s="97"/>
      <c r="U15" s="97"/>
    </row>
    <row r="16" spans="1:21" ht="15.95" customHeight="1">
      <c r="B16" s="24" t="s">
        <v>673</v>
      </c>
      <c r="C16" s="297">
        <v>1</v>
      </c>
      <c r="D16" s="261">
        <f>SUMIFS('Bilateral Assistance, MAIN DATA'!S:S,'Bilateral Assistance, MAIN DATA'!D:D,"Financial",'Bilateral Assistance, MAIN DATA'!B:B,'Country Summary (€)'!B16)/1000000000</f>
        <v>0</v>
      </c>
      <c r="E16" s="261">
        <f>SUMIFS('Bilateral Assistance, MAIN DATA'!S:S,'Bilateral Assistance, MAIN DATA'!D:D,"Humanitarian",'Bilateral Assistance, MAIN DATA'!B:B,'Country Summary (€)'!B16)/1000000000</f>
        <v>7.0600000000000003E-4</v>
      </c>
      <c r="F16" s="261">
        <f>SUMIFS('Bilateral Assistance, MAIN DATA'!S:S,'Bilateral Assistance, MAIN DATA'!D:D,"Military",'Bilateral Assistance, MAIN DATA'!B:B,'Country Summary (€)'!B16)/1000000000</f>
        <v>0.23928827078433376</v>
      </c>
      <c r="G16" s="264">
        <f t="shared" si="3"/>
        <v>0.23999427078433377</v>
      </c>
      <c r="H16" s="299">
        <f>(84056312734.3089)/1000000000</f>
        <v>84.056312734308904</v>
      </c>
      <c r="I16" s="299">
        <f>H16/VLOOKUP("USD",'Exchange Rates'!B:C,2,0)</f>
        <v>77.342945099658536</v>
      </c>
      <c r="J16" s="325">
        <f t="shared" si="6"/>
        <v>0.31029885204797214</v>
      </c>
      <c r="K16" s="138">
        <f>VLOOKUP(B16,'EU Aid Shares'!B:E,4,0)</f>
        <v>0.17229843966437655</v>
      </c>
      <c r="L16" s="138">
        <f>VLOOKUP(B16,'EPF Aid Shares'!B:G,6,0)</f>
        <v>2.4395038762887331E-2</v>
      </c>
      <c r="M16" s="127">
        <f>VLOOKUP(B16,'EIB Aid Shares'!B:E,4,0)</f>
        <v>4.105207281778973E-3</v>
      </c>
      <c r="N16" s="138">
        <f t="shared" si="0"/>
        <v>0.20079868570904283</v>
      </c>
      <c r="O16" s="113">
        <f t="shared" si="1"/>
        <v>0.25962120455887494</v>
      </c>
      <c r="P16" s="266">
        <f t="shared" si="2"/>
        <v>0.44079295649337658</v>
      </c>
      <c r="Q16" s="326">
        <f t="shared" si="4"/>
        <v>0.56992005660684708</v>
      </c>
      <c r="R16" s="138">
        <f>SUMIFS('Bilateral Assistance, MAIN DATA'!S:S,'Bilateral Assistance, MAIN DATA'!AS:AS,1, 'Bilateral Assistance, MAIN DATA'!B:B,B16)/1000000000</f>
        <v>0.23928827078433376</v>
      </c>
      <c r="S16" s="261">
        <f t="shared" si="5"/>
        <v>0</v>
      </c>
      <c r="T16" s="97"/>
      <c r="U16" s="97"/>
    </row>
    <row r="17" spans="2:21" ht="15.95" customHeight="1">
      <c r="B17" s="24" t="s">
        <v>713</v>
      </c>
      <c r="C17" s="297">
        <v>0</v>
      </c>
      <c r="D17" s="261">
        <f>SUMIFS('Bilateral Assistance, MAIN DATA'!S:S,'Bilateral Assistance, MAIN DATA'!D:D,"Financial",'Bilateral Assistance, MAIN DATA'!B:B,'Country Summary (€)'!B17)/1000000000</f>
        <v>3.4181925057648148</v>
      </c>
      <c r="E17" s="261">
        <f>SUMIFS('Bilateral Assistance, MAIN DATA'!S:S,'Bilateral Assistance, MAIN DATA'!D:D,"Humanitarian",'Bilateral Assistance, MAIN DATA'!B:B,'Country Summary (€)'!B17)/1000000000</f>
        <v>0.3511268468713829</v>
      </c>
      <c r="F17" s="261">
        <f>SUMIFS('Bilateral Assistance, MAIN DATA'!S:S,'Bilateral Assistance, MAIN DATA'!D:D,"Military",'Bilateral Assistance, MAIN DATA'!B:B,'Country Summary (€)'!B17)/1000000000</f>
        <v>1.4998221822208855</v>
      </c>
      <c r="G17" s="264">
        <f t="shared" si="3"/>
        <v>5.2691415348570834</v>
      </c>
      <c r="H17" s="324">
        <f>(1988336331717.42)/1000000000</f>
        <v>1988.3363317174199</v>
      </c>
      <c r="I17" s="299">
        <f>H17/VLOOKUP("USD",'Exchange Rates'!B:C,2,0)</f>
        <v>1829.5328779144459</v>
      </c>
      <c r="J17" s="325">
        <f t="shared" si="6"/>
        <v>0.28800474692007605</v>
      </c>
      <c r="K17" s="138">
        <f>VLOOKUP(B17,'EU Aid Shares'!B:E,4,0)</f>
        <v>0</v>
      </c>
      <c r="L17" s="138">
        <f>VLOOKUP(B17,'EPF Aid Shares'!B:G,6,0)</f>
        <v>0</v>
      </c>
      <c r="M17" s="127">
        <f>VLOOKUP(B17,'EIB Aid Shares'!B:E,4,0)</f>
        <v>0</v>
      </c>
      <c r="N17" s="138">
        <f t="shared" si="0"/>
        <v>0</v>
      </c>
      <c r="O17" s="113">
        <f t="shared" si="1"/>
        <v>0</v>
      </c>
      <c r="P17" s="266">
        <f t="shared" si="2"/>
        <v>5.2691415348570834</v>
      </c>
      <c r="Q17" s="326">
        <f t="shared" si="4"/>
        <v>0.28800474692007605</v>
      </c>
      <c r="R17" s="138">
        <f>SUMIFS('Bilateral Assistance, MAIN DATA'!S:S,'Bilateral Assistance, MAIN DATA'!AS:AS,1, 'Bilateral Assistance, MAIN DATA'!B:B,B17)/1000000000</f>
        <v>1.4998221822208855</v>
      </c>
      <c r="S17" s="261">
        <f t="shared" si="5"/>
        <v>0</v>
      </c>
      <c r="T17" s="97"/>
      <c r="U17" s="97"/>
    </row>
    <row r="18" spans="2:21" ht="15.95" customHeight="1">
      <c r="B18" s="24" t="s">
        <v>918</v>
      </c>
      <c r="C18" s="297">
        <v>1</v>
      </c>
      <c r="D18" s="261">
        <f>SUMIFS('Bilateral Assistance, MAIN DATA'!S:S,'Bilateral Assistance, MAIN DATA'!D:D,"Financial",'Bilateral Assistance, MAIN DATA'!B:B,'Country Summary (€)'!B18)/1000000000</f>
        <v>0</v>
      </c>
      <c r="E18" s="261">
        <f>SUMIFS('Bilateral Assistance, MAIN DATA'!S:S,'Bilateral Assistance, MAIN DATA'!D:D,"Humanitarian",'Bilateral Assistance, MAIN DATA'!B:B,'Country Summary (€)'!B18)/1000000000</f>
        <v>3.7212078660477453E-2</v>
      </c>
      <c r="F18" s="261">
        <f>SUMIFS('Bilateral Assistance, MAIN DATA'!S:S,'Bilateral Assistance, MAIN DATA'!D:D,"Military",'Bilateral Assistance, MAIN DATA'!B:B,'Country Summary (€)'!B18)/1000000000</f>
        <v>0.15278792179361764</v>
      </c>
      <c r="G18" s="264">
        <f t="shared" si="3"/>
        <v>0.1900000004540951</v>
      </c>
      <c r="H18" s="299">
        <f>68955083280.1922/1000000000</f>
        <v>68.955083280192198</v>
      </c>
      <c r="I18" s="299">
        <f>H18/VLOOKUP("USD",'Exchange Rates'!B:C,2,0)</f>
        <v>63.447813102863634</v>
      </c>
      <c r="J18" s="325">
        <f t="shared" si="6"/>
        <v>0.29945870655314943</v>
      </c>
      <c r="K18" s="138">
        <f>VLOOKUP(B18,'EU Aid Shares'!B:E,4,0)</f>
        <v>0.11503581713630247</v>
      </c>
      <c r="L18" s="138">
        <f>VLOOKUP(B18,'EPF Aid Shares'!B:G,6,0)</f>
        <v>2.1476235156571752E-2</v>
      </c>
      <c r="M18" s="127">
        <f>VLOOKUP(B18,'EIB Aid Shares'!B:E,4,0)</f>
        <v>8.5503152247076754E-3</v>
      </c>
      <c r="N18" s="138">
        <f t="shared" si="0"/>
        <v>0.14506236751758189</v>
      </c>
      <c r="O18" s="113">
        <f t="shared" si="1"/>
        <v>0.22863257285543021</v>
      </c>
      <c r="P18" s="266">
        <f t="shared" si="2"/>
        <v>0.33506236797167699</v>
      </c>
      <c r="Q18" s="326">
        <f t="shared" si="4"/>
        <v>0.52809127940857958</v>
      </c>
      <c r="R18" s="138">
        <f>SUMIFS('Bilateral Assistance, MAIN DATA'!S:S,'Bilateral Assistance, MAIN DATA'!AS:AS,1, 'Bilateral Assistance, MAIN DATA'!B:B,B18)/1000000000</f>
        <v>0.12251690679361764</v>
      </c>
      <c r="S18" s="261">
        <f t="shared" si="5"/>
        <v>3.0271014999999998E-2</v>
      </c>
      <c r="T18" s="97"/>
      <c r="U18" s="97"/>
    </row>
    <row r="19" spans="2:21" ht="15.95" customHeight="1">
      <c r="B19" s="24" t="s">
        <v>981</v>
      </c>
      <c r="C19" s="297">
        <v>1</v>
      </c>
      <c r="D19" s="261">
        <f>SUMIFS('Bilateral Assistance, MAIN DATA'!S:S,'Bilateral Assistance, MAIN DATA'!D:D,"Financial",'Bilateral Assistance, MAIN DATA'!B:B,'Country Summary (€)'!B19)/1000000000</f>
        <v>0</v>
      </c>
      <c r="E19" s="261">
        <f>SUMIFS('Bilateral Assistance, MAIN DATA'!S:S,'Bilateral Assistance, MAIN DATA'!D:D,"Humanitarian",'Bilateral Assistance, MAIN DATA'!B:B,'Country Summary (€)'!B19)/1000000000</f>
        <v>3.0000000000000001E-3</v>
      </c>
      <c r="F19" s="261">
        <f>SUMIFS('Bilateral Assistance, MAIN DATA'!S:S,'Bilateral Assistance, MAIN DATA'!D:D,"Military",'Bilateral Assistance, MAIN DATA'!B:B,'Country Summary (€)'!B19)/1000000000</f>
        <v>0</v>
      </c>
      <c r="G19" s="264">
        <f t="shared" si="3"/>
        <v>3.0000000000000001E-3</v>
      </c>
      <c r="H19" s="299">
        <f>28407867534.0035/1000000000</f>
        <v>28.407867534003501</v>
      </c>
      <c r="I19" s="299">
        <f>H19/VLOOKUP("USD",'Exchange Rates'!B:C,2,0)</f>
        <v>26.139002147592475</v>
      </c>
      <c r="J19" s="325">
        <f t="shared" si="6"/>
        <v>1.147710223619349E-2</v>
      </c>
      <c r="K19" s="138">
        <f>VLOOKUP(B19,'EU Aid Shares'!B:E,4,0)</f>
        <v>4.3064791222245026E-2</v>
      </c>
      <c r="L19" s="138">
        <f>VLOOKUP(B19,'EPF Aid Shares'!B:G,6,0)</f>
        <v>8.6341719406932554E-3</v>
      </c>
      <c r="M19" s="127">
        <f>VLOOKUP(B19,'EIB Aid Shares'!B:E,4,0)</f>
        <v>2.5877458211528699E-3</v>
      </c>
      <c r="N19" s="138">
        <f t="shared" si="0"/>
        <v>5.4286708984091152E-2</v>
      </c>
      <c r="O19" s="113">
        <f t="shared" si="1"/>
        <v>0.20768470302563258</v>
      </c>
      <c r="P19" s="266">
        <f t="shared" si="2"/>
        <v>5.7286708984091154E-2</v>
      </c>
      <c r="Q19" s="326">
        <f t="shared" si="4"/>
        <v>0.21916180526182608</v>
      </c>
      <c r="R19" s="138">
        <f>SUMIFS('Bilateral Assistance, MAIN DATA'!S:S,'Bilateral Assistance, MAIN DATA'!AS:AS,1, 'Bilateral Assistance, MAIN DATA'!B:B,B19)/1000000000</f>
        <v>0</v>
      </c>
      <c r="S19" s="261">
        <f t="shared" si="5"/>
        <v>0</v>
      </c>
    </row>
    <row r="20" spans="2:21" ht="15.95" customHeight="1">
      <c r="B20" s="24" t="s">
        <v>1012</v>
      </c>
      <c r="C20" s="297">
        <v>1</v>
      </c>
      <c r="D20" s="261">
        <f>SUMIFS('Bilateral Assistance, MAIN DATA'!S:S,'Bilateral Assistance, MAIN DATA'!D:D,"Financial",'Bilateral Assistance, MAIN DATA'!B:B,'Country Summary (€)'!B20)/1000000000</f>
        <v>0</v>
      </c>
      <c r="E20" s="261">
        <f>SUMIFS('Bilateral Assistance, MAIN DATA'!S:S,'Bilateral Assistance, MAIN DATA'!D:D,"Humanitarian",'Bilateral Assistance, MAIN DATA'!B:B,'Country Summary (€)'!B20)/1000000000</f>
        <v>0.37011219482272112</v>
      </c>
      <c r="F20" s="261">
        <f>SUMIFS('Bilateral Assistance, MAIN DATA'!S:S,'Bilateral Assistance, MAIN DATA'!D:D,"Military",'Bilateral Assistance, MAIN DATA'!B:B,'Country Summary (€)'!B20)/1000000000</f>
        <v>0.56546297988460215</v>
      </c>
      <c r="G20" s="264">
        <f t="shared" si="3"/>
        <v>0.93557517470732332</v>
      </c>
      <c r="H20" s="299">
        <f>281777887121.451/1000000000</f>
        <v>281.77788712145099</v>
      </c>
      <c r="I20" s="299">
        <f>H20/VLOOKUP("USD",'Exchange Rates'!B:C,2,0)</f>
        <v>259.2729914625055</v>
      </c>
      <c r="J20" s="325">
        <f t="shared" si="6"/>
        <v>0.36084559731036259</v>
      </c>
      <c r="K20" s="138">
        <f>VLOOKUP(B20,'EU Aid Shares'!B:E,4,0)</f>
        <v>0.40301810773102359</v>
      </c>
      <c r="L20" s="138">
        <f>VLOOKUP(B20,'EPF Aid Shares'!B:G,6,0)</f>
        <v>8.6248244841722319E-2</v>
      </c>
      <c r="M20" s="127">
        <f>VLOOKUP(B20,'EIB Aid Shares'!B:E,4,0)</f>
        <v>1.7763022495545105E-2</v>
      </c>
      <c r="N20" s="138">
        <f t="shared" si="0"/>
        <v>0.50702937506829104</v>
      </c>
      <c r="O20" s="113">
        <f t="shared" si="1"/>
        <v>0.19555811510032065</v>
      </c>
      <c r="P20" s="266">
        <f t="shared" si="2"/>
        <v>1.4426045497756144</v>
      </c>
      <c r="Q20" s="326">
        <f t="shared" si="4"/>
        <v>0.5564037124106832</v>
      </c>
      <c r="R20" s="138">
        <f>SUMIFS('Bilateral Assistance, MAIN DATA'!S:S,'Bilateral Assistance, MAIN DATA'!AS:AS,1, 'Bilateral Assistance, MAIN DATA'!B:B,B20)/1000000000</f>
        <v>0.52414066583501551</v>
      </c>
      <c r="S20" s="261">
        <f t="shared" si="5"/>
        <v>4.1322314049586639E-2</v>
      </c>
    </row>
    <row r="21" spans="2:21" ht="15.95" customHeight="1">
      <c r="B21" s="24" t="s">
        <v>1194</v>
      </c>
      <c r="C21" s="297">
        <v>1</v>
      </c>
      <c r="D21" s="261">
        <f>SUMIFS('Bilateral Assistance, MAIN DATA'!S:S,'Bilateral Assistance, MAIN DATA'!D:D,"Financial",'Bilateral Assistance, MAIN DATA'!B:B,'Country Summary (€)'!B21)/1000000000</f>
        <v>5.7500000000000002E-2</v>
      </c>
      <c r="E21" s="261">
        <f>SUMIFS('Bilateral Assistance, MAIN DATA'!S:S,'Bilateral Assistance, MAIN DATA'!D:D,"Humanitarian",'Bilateral Assistance, MAIN DATA'!B:B,'Country Summary (€)'!B21)/1000000000</f>
        <v>0.26024304222326644</v>
      </c>
      <c r="F21" s="261">
        <f>SUMIFS('Bilateral Assistance, MAIN DATA'!S:S,'Bilateral Assistance, MAIN DATA'!D:D,"Military",'Bilateral Assistance, MAIN DATA'!B:B,'Country Summary (€)'!B21)/1000000000</f>
        <v>1.5690784453245619</v>
      </c>
      <c r="G21" s="264">
        <f t="shared" si="3"/>
        <v>1.8868214875478282</v>
      </c>
      <c r="H21" s="299">
        <f>398303272764.46/1000000000</f>
        <v>398.30327276446002</v>
      </c>
      <c r="I21" s="299">
        <f>H21/VLOOKUP("USD",'Exchange Rates'!B:C,2,0)</f>
        <v>366.49178576045273</v>
      </c>
      <c r="J21" s="325">
        <f t="shared" si="6"/>
        <v>0.5148332270620376</v>
      </c>
      <c r="K21" s="138">
        <f>VLOOKUP(B21,'EU Aid Shares'!B:E,4,0)</f>
        <v>0.69714690067529428</v>
      </c>
      <c r="L21" s="138">
        <f>VLOOKUP(B21,'EPF Aid Shares'!B:G,6,0)</f>
        <v>0.1341948810562599</v>
      </c>
      <c r="M21" s="127">
        <f>VLOOKUP(B21,'EIB Aid Shares'!B:E,4,0)</f>
        <v>5.2780020044418716E-2</v>
      </c>
      <c r="N21" s="138">
        <f t="shared" si="0"/>
        <v>0.88412180177597288</v>
      </c>
      <c r="O21" s="113">
        <f t="shared" si="1"/>
        <v>0.24123918628666205</v>
      </c>
      <c r="P21" s="266">
        <f t="shared" si="2"/>
        <v>2.7709432893238013</v>
      </c>
      <c r="Q21" s="326">
        <f t="shared" si="4"/>
        <v>0.75607241334869979</v>
      </c>
      <c r="R21" s="138">
        <f>SUMIFS('Bilateral Assistance, MAIN DATA'!S:S,'Bilateral Assistance, MAIN DATA'!AS:AS,1, 'Bilateral Assistance, MAIN DATA'!B:B,B21)/1000000000</f>
        <v>1.5690784453245619</v>
      </c>
      <c r="S21" s="261">
        <f t="shared" si="5"/>
        <v>0</v>
      </c>
    </row>
    <row r="22" spans="2:21" ht="15.95" customHeight="1">
      <c r="B22" s="24" t="s">
        <v>1305</v>
      </c>
      <c r="C22" s="297">
        <v>1</v>
      </c>
      <c r="D22" s="261">
        <f>SUMIFS('Bilateral Assistance, MAIN DATA'!S:S,'Bilateral Assistance, MAIN DATA'!D:D,"Financial",'Bilateral Assistance, MAIN DATA'!B:B,'Country Summary (€)'!B22)/1000000000</f>
        <v>0</v>
      </c>
      <c r="E22" s="261">
        <f>SUMIFS('Bilateral Assistance, MAIN DATA'!S:S,'Bilateral Assistance, MAIN DATA'!D:D,"Humanitarian",'Bilateral Assistance, MAIN DATA'!B:B,'Country Summary (€)'!B22)/1000000000</f>
        <v>1.01E-2</v>
      </c>
      <c r="F22" s="261">
        <f>SUMIFS('Bilateral Assistance, MAIN DATA'!S:S,'Bilateral Assistance, MAIN DATA'!D:D,"Military",'Bilateral Assistance, MAIN DATA'!B:B,'Country Summary (€)'!B22)/1000000000</f>
        <v>0.42129430000000001</v>
      </c>
      <c r="G22" s="264">
        <f t="shared" si="3"/>
        <v>0.43139430000000001</v>
      </c>
      <c r="H22" s="299">
        <f>37191166151.98/1000000000</f>
        <v>37.191166151980006</v>
      </c>
      <c r="I22" s="299">
        <f>H22/VLOOKUP("USD",'Exchange Rates'!B:C,2,0)</f>
        <v>34.220800655115944</v>
      </c>
      <c r="J22" s="325">
        <f t="shared" si="6"/>
        <v>1.2606201250160036</v>
      </c>
      <c r="K22" s="138">
        <f>VLOOKUP(B22,'EU Aid Shares'!B:E,4,0)</f>
        <v>5.4650849964207895E-2</v>
      </c>
      <c r="L22" s="138">
        <f>VLOOKUP(B22,'EPF Aid Shares'!B:G,6,0)</f>
        <v>1.1278483824776923E-2</v>
      </c>
      <c r="M22" s="127">
        <f>VLOOKUP(B22,'EIB Aid Shares'!B:E,4,0)</f>
        <v>1.6600457933228115E-3</v>
      </c>
      <c r="N22" s="138">
        <f t="shared" si="0"/>
        <v>6.7589379582307624E-2</v>
      </c>
      <c r="O22" s="113">
        <f t="shared" si="1"/>
        <v>0.19750963825623741</v>
      </c>
      <c r="P22" s="266">
        <f t="shared" si="2"/>
        <v>0.4989836795823076</v>
      </c>
      <c r="Q22" s="326">
        <f t="shared" si="4"/>
        <v>1.458129763272241</v>
      </c>
      <c r="R22" s="138">
        <f>SUMIFS('Bilateral Assistance, MAIN DATA'!S:S,'Bilateral Assistance, MAIN DATA'!AS:AS,1, 'Bilateral Assistance, MAIN DATA'!B:B,B22)/1000000000</f>
        <v>0.42129430000000001</v>
      </c>
      <c r="S22" s="261">
        <f t="shared" si="5"/>
        <v>0</v>
      </c>
    </row>
    <row r="23" spans="2:21" ht="15.95" customHeight="1">
      <c r="B23" s="37" t="s">
        <v>4406</v>
      </c>
      <c r="C23" s="297">
        <v>0</v>
      </c>
      <c r="D23" s="261">
        <f>SUMIFS('Bilateral Assistance, MAIN DATA'!S:S,'Bilateral Assistance, MAIN DATA'!D:D,"Financial",'Bilateral Assistance, MAIN DATA'!B:B,'Country Summary (€)'!B23)/1000000000</f>
        <v>25.32</v>
      </c>
      <c r="E23" s="261">
        <f>SUMIFS('Bilateral Assistance, MAIN DATA'!S:S,'Bilateral Assistance, MAIN DATA'!D:D,"Humanitarian",'Bilateral Assistance, MAIN DATA'!B:B,'Country Summary (€)'!B23)/1000000000</f>
        <v>2.14</v>
      </c>
      <c r="F23" s="261">
        <f>SUMIFS('Bilateral Assistance, MAIN DATA'!S:S,'Bilateral Assistance, MAIN DATA'!D:D,"Military",'Bilateral Assistance, MAIN DATA'!B:B,'Country Summary (€)'!B23)/1000000000</f>
        <v>0</v>
      </c>
      <c r="G23" s="264">
        <f t="shared" si="3"/>
        <v>27.46</v>
      </c>
      <c r="H23" s="324">
        <f>17177419592825/1000000000</f>
        <v>17177.419592825001</v>
      </c>
      <c r="I23" s="299">
        <f>H23/VLOOKUP("USD",'Exchange Rates'!B:C,2,0)</f>
        <v>15805.502017689549</v>
      </c>
      <c r="J23" s="325">
        <f t="shared" si="6"/>
        <v>0.17373696810937556</v>
      </c>
      <c r="K23" s="138">
        <f>VLOOKUP(B23,'EU Aid Shares'!B:E,4,0)</f>
        <v>0</v>
      </c>
      <c r="L23" s="138">
        <f>VLOOKUP(B23,'EPF Aid Shares'!B:G,6,0)</f>
        <v>0</v>
      </c>
      <c r="M23" s="127">
        <f>VLOOKUP(B23,'EIB Aid Shares'!B:E,4,0)</f>
        <v>0</v>
      </c>
      <c r="N23" s="138">
        <f t="shared" si="0"/>
        <v>0</v>
      </c>
      <c r="O23" s="113">
        <f t="shared" si="1"/>
        <v>0</v>
      </c>
      <c r="P23" s="266">
        <f t="shared" si="2"/>
        <v>27.46</v>
      </c>
      <c r="Q23" s="326">
        <f t="shared" si="4"/>
        <v>0.17373696810937556</v>
      </c>
      <c r="R23" s="138">
        <f>SUMIFS('Bilateral Assistance, MAIN DATA'!S:S,'Bilateral Assistance, MAIN DATA'!AS:AS,1, 'Bilateral Assistance, MAIN DATA'!B:B,B23)/1000000000</f>
        <v>0</v>
      </c>
      <c r="S23" s="261">
        <f t="shared" si="5"/>
        <v>0</v>
      </c>
    </row>
    <row r="24" spans="2:21" ht="15.95" customHeight="1">
      <c r="B24" s="24" t="s">
        <v>1432</v>
      </c>
      <c r="C24" s="297">
        <v>1</v>
      </c>
      <c r="D24" s="261">
        <f>SUMIFS('Bilateral Assistance, MAIN DATA'!S:S,'Bilateral Assistance, MAIN DATA'!D:D,"Financial",'Bilateral Assistance, MAIN DATA'!B:B,'Country Summary (€)'!B24)/1000000000</f>
        <v>7.5499999999999998E-2</v>
      </c>
      <c r="E24" s="261">
        <f>SUMIFS('Bilateral Assistance, MAIN DATA'!S:S,'Bilateral Assistance, MAIN DATA'!D:D,"Humanitarian",'Bilateral Assistance, MAIN DATA'!B:B,'Country Summary (€)'!B24)/1000000000</f>
        <v>2.3E-2</v>
      </c>
      <c r="F24" s="261">
        <f>SUMIFS('Bilateral Assistance, MAIN DATA'!S:S,'Bilateral Assistance, MAIN DATA'!D:D,"Military",'Bilateral Assistance, MAIN DATA'!B:B,'Country Summary (€)'!B24)/1000000000</f>
        <v>1.1147</v>
      </c>
      <c r="G24" s="264">
        <f t="shared" si="3"/>
        <v>1.2132000000000001</v>
      </c>
      <c r="H24" s="299">
        <f>297301883523.251/1000000000</f>
        <v>297.30188352325098</v>
      </c>
      <c r="I24" s="299">
        <f>H24/VLOOKUP("USD",'Exchange Rates'!B:C,2,0)</f>
        <v>273.55712506740059</v>
      </c>
      <c r="J24" s="325">
        <f t="shared" si="6"/>
        <v>0.44349055053897235</v>
      </c>
      <c r="K24" s="138">
        <f>VLOOKUP(B24,'EU Aid Shares'!B:E,4,0)</f>
        <v>0.46740910199355951</v>
      </c>
      <c r="L24" s="138">
        <f>VLOOKUP(B24,'EPF Aid Shares'!B:G,6,0)</f>
        <v>0.1005824539755546</v>
      </c>
      <c r="M24" s="127">
        <f>VLOOKUP(B24,'EIB Aid Shares'!B:E,4,0)</f>
        <v>2.9729782390341176E-2</v>
      </c>
      <c r="N24" s="138">
        <f t="shared" si="0"/>
        <v>0.59772133835945529</v>
      </c>
      <c r="O24" s="113">
        <f t="shared" si="1"/>
        <v>0.21849964178859727</v>
      </c>
      <c r="P24" s="266">
        <f t="shared" si="2"/>
        <v>1.8109213383594553</v>
      </c>
      <c r="Q24" s="326">
        <f t="shared" si="4"/>
        <v>0.66199019232756962</v>
      </c>
      <c r="R24" s="138">
        <f>SUMIFS('Bilateral Assistance, MAIN DATA'!S:S,'Bilateral Assistance, MAIN DATA'!AS:AS,1, 'Bilateral Assistance, MAIN DATA'!B:B,B24)/1000000000</f>
        <v>1.0847</v>
      </c>
      <c r="S24" s="261">
        <f t="shared" si="5"/>
        <v>3.0000000000000027E-2</v>
      </c>
    </row>
    <row r="25" spans="2:21" ht="15.95" customHeight="1">
      <c r="B25" s="24" t="s">
        <v>1523</v>
      </c>
      <c r="C25" s="297">
        <v>1</v>
      </c>
      <c r="D25" s="261">
        <f>SUMIFS('Bilateral Assistance, MAIN DATA'!S:S,'Bilateral Assistance, MAIN DATA'!D:D,"Financial",'Bilateral Assistance, MAIN DATA'!B:B,'Country Summary (€)'!B25)/1000000000</f>
        <v>0.69940000000000002</v>
      </c>
      <c r="E25" s="261">
        <f>SUMIFS('Bilateral Assistance, MAIN DATA'!S:S,'Bilateral Assistance, MAIN DATA'!D:D,"Humanitarian",'Bilateral Assistance, MAIN DATA'!B:B,'Country Summary (€)'!B25)/1000000000</f>
        <v>0.3162660251048951</v>
      </c>
      <c r="F25" s="261">
        <f>SUMIFS('Bilateral Assistance, MAIN DATA'!S:S,'Bilateral Assistance, MAIN DATA'!D:D,"Military",'Bilateral Assistance, MAIN DATA'!B:B,'Country Summary (€)'!B25)/1000000000</f>
        <v>0.44573671433132461</v>
      </c>
      <c r="G25" s="264">
        <f t="shared" si="3"/>
        <v>1.4614027394362197</v>
      </c>
      <c r="H25" s="299">
        <f>2957879759263.52/1000000000</f>
        <v>2957.8797592635201</v>
      </c>
      <c r="I25" s="299">
        <f>H25/VLOOKUP("USD",'Exchange Rates'!B:C,2,0)</f>
        <v>2721.6412948688994</v>
      </c>
      <c r="J25" s="325">
        <f t="shared" si="6"/>
        <v>5.3695641016007399E-2</v>
      </c>
      <c r="K25" s="138">
        <f>VLOOKUP(B25,'EU Aid Shares'!B:E,4,0)</f>
        <v>4.6519793213873744</v>
      </c>
      <c r="L25" s="138">
        <f>VLOOKUP(B25,'EPF Aid Shares'!B:G,6,0)</f>
        <v>0.97199192832216674</v>
      </c>
      <c r="M25" s="127">
        <f>VLOOKUP(B25,'EIB Aid Shares'!B:E,4,0)</f>
        <v>0.37605786289314741</v>
      </c>
      <c r="N25" s="138">
        <f t="shared" si="0"/>
        <v>6.0000291126026886</v>
      </c>
      <c r="O25" s="113">
        <f t="shared" si="1"/>
        <v>0.22045627849322105</v>
      </c>
      <c r="P25" s="266">
        <f t="shared" si="2"/>
        <v>7.461431852038908</v>
      </c>
      <c r="Q25" s="326">
        <f t="shared" si="4"/>
        <v>0.27415191950922846</v>
      </c>
      <c r="R25" s="138">
        <f>SUMIFS('Bilateral Assistance, MAIN DATA'!S:S,'Bilateral Assistance, MAIN DATA'!AS:AS,1, 'Bilateral Assistance, MAIN DATA'!B:B,B25)/1000000000</f>
        <v>0.44573671433132461</v>
      </c>
      <c r="S25" s="261">
        <f t="shared" si="5"/>
        <v>0</v>
      </c>
    </row>
    <row r="26" spans="2:21" ht="15.95" customHeight="1">
      <c r="B26" s="24" t="s">
        <v>1711</v>
      </c>
      <c r="C26" s="297">
        <v>1</v>
      </c>
      <c r="D26" s="261">
        <f>SUMIFS('Bilateral Assistance, MAIN DATA'!S:S,'Bilateral Assistance, MAIN DATA'!D:D,"Financial",'Bilateral Assistance, MAIN DATA'!B:B,'Country Summary (€)'!B26)/1000000000</f>
        <v>1.3</v>
      </c>
      <c r="E26" s="261">
        <f>SUMIFS('Bilateral Assistance, MAIN DATA'!S:S,'Bilateral Assistance, MAIN DATA'!D:D,"Humanitarian",'Bilateral Assistance, MAIN DATA'!B:B,'Country Summary (€)'!B26)/1000000000</f>
        <v>1.8791060500000001</v>
      </c>
      <c r="F26" s="261">
        <f>SUMIFS('Bilateral Assistance, MAIN DATA'!S:S,'Bilateral Assistance, MAIN DATA'!D:D,"Military",'Bilateral Assistance, MAIN DATA'!B:B,'Country Summary (€)'!B26)/1000000000</f>
        <v>7.5023</v>
      </c>
      <c r="G26" s="264">
        <f t="shared" si="3"/>
        <v>10.68140605</v>
      </c>
      <c r="H26" s="299">
        <f>4259934911821.64/1000000000</f>
        <v>4259.9349118216405</v>
      </c>
      <c r="I26" s="299">
        <f>H26/VLOOKUP("USD",'Exchange Rates'!B:C,2,0)</f>
        <v>3919.7045563320212</v>
      </c>
      <c r="J26" s="325">
        <f t="shared" si="6"/>
        <v>0.27250538647727673</v>
      </c>
      <c r="K26" s="138">
        <f>VLOOKUP(B26,'EU Aid Shares'!B:E,4,0)</f>
        <v>5.5110953957977697</v>
      </c>
      <c r="L26" s="138">
        <f>VLOOKUP(B26,'EPF Aid Shares'!B:G,6,0)</f>
        <v>1.4434118505035538</v>
      </c>
      <c r="M26" s="127">
        <f>VLOOKUP(B26,'EIB Aid Shares'!B:E,4,0)</f>
        <v>0.37605786289314741</v>
      </c>
      <c r="N26" s="138">
        <f t="shared" si="0"/>
        <v>7.3305651091944712</v>
      </c>
      <c r="O26" s="113">
        <f t="shared" si="1"/>
        <v>0.1870183072178854</v>
      </c>
      <c r="P26" s="266">
        <f t="shared" si="2"/>
        <v>18.01197115919447</v>
      </c>
      <c r="Q26" s="326">
        <f t="shared" si="4"/>
        <v>0.45952369369516211</v>
      </c>
      <c r="R26" s="138">
        <f>SUMIFS('Bilateral Assistance, MAIN DATA'!S:S,'Bilateral Assistance, MAIN DATA'!AS:AS,1, 'Bilateral Assistance, MAIN DATA'!B:B,B26)/1000000000</f>
        <v>7.4260000000000002</v>
      </c>
      <c r="S26" s="261">
        <f t="shared" si="5"/>
        <v>7.6299999999999812E-2</v>
      </c>
    </row>
    <row r="27" spans="2:21" ht="15.95" customHeight="1">
      <c r="B27" s="24" t="s">
        <v>1973</v>
      </c>
      <c r="C27" s="297">
        <v>1</v>
      </c>
      <c r="D27" s="261">
        <f>SUMIFS('Bilateral Assistance, MAIN DATA'!S:S,'Bilateral Assistance, MAIN DATA'!D:D,"Financial",'Bilateral Assistance, MAIN DATA'!B:B,'Country Summary (€)'!B27)/1000000000</f>
        <v>0</v>
      </c>
      <c r="E27" s="261">
        <f>SUMIFS('Bilateral Assistance, MAIN DATA'!S:S,'Bilateral Assistance, MAIN DATA'!D:D,"Humanitarian",'Bilateral Assistance, MAIN DATA'!B:B,'Country Summary (€)'!B27)/1000000000</f>
        <v>0</v>
      </c>
      <c r="F27" s="261">
        <f>SUMIFS('Bilateral Assistance, MAIN DATA'!S:S,'Bilateral Assistance, MAIN DATA'!D:D,"Military",'Bilateral Assistance, MAIN DATA'!B:B,'Country Summary (€)'!B27)/1000000000</f>
        <v>0.18684970463746781</v>
      </c>
      <c r="G27" s="264">
        <f t="shared" si="3"/>
        <v>0.18684970463746781</v>
      </c>
      <c r="H27" s="299">
        <f>214873879833.648/1000000000</f>
        <v>214.873879833648</v>
      </c>
      <c r="I27" s="299">
        <f>H27/VLOOKUP("USD",'Exchange Rates'!B:C,2,0)</f>
        <v>197.71244003832169</v>
      </c>
      <c r="J27" s="325">
        <f t="shared" si="6"/>
        <v>9.4505790632724782E-2</v>
      </c>
      <c r="K27" s="138">
        <f>VLOOKUP(B27,'EU Aid Shares'!B:E,4,0)</f>
        <v>0.39455439363308115</v>
      </c>
      <c r="L27" s="138">
        <f>VLOOKUP(B27,'EPF Aid Shares'!B:G,6,0)</f>
        <v>7.016532635721659E-2</v>
      </c>
      <c r="M27" s="127">
        <f>VLOOKUP(B27,'EIB Aid Shares'!B:E,4,0)</f>
        <v>2.827504037741E-2</v>
      </c>
      <c r="N27" s="138">
        <f t="shared" si="0"/>
        <v>0.49299476036770773</v>
      </c>
      <c r="O27" s="113">
        <f t="shared" si="1"/>
        <v>0.24934938857269318</v>
      </c>
      <c r="P27" s="266">
        <f t="shared" si="2"/>
        <v>0.67984446500517559</v>
      </c>
      <c r="Q27" s="326">
        <f t="shared" si="4"/>
        <v>0.34385517920541797</v>
      </c>
      <c r="R27" s="138">
        <f>SUMIFS('Bilateral Assistance, MAIN DATA'!S:S,'Bilateral Assistance, MAIN DATA'!AS:AS,1, 'Bilateral Assistance, MAIN DATA'!B:B,B27)/1000000000</f>
        <v>0.18684970463746781</v>
      </c>
      <c r="S27" s="261">
        <f t="shared" si="5"/>
        <v>0</v>
      </c>
    </row>
    <row r="28" spans="2:21" ht="15.95" customHeight="1">
      <c r="B28" s="24" t="s">
        <v>2028</v>
      </c>
      <c r="C28" s="297">
        <v>1</v>
      </c>
      <c r="D28" s="261">
        <f>SUMIFS('Bilateral Assistance, MAIN DATA'!S:S,'Bilateral Assistance, MAIN DATA'!D:D,"Financial",'Bilateral Assistance, MAIN DATA'!B:B,'Country Summary (€)'!B28)/1000000000</f>
        <v>0</v>
      </c>
      <c r="E28" s="261">
        <f>SUMIFS('Bilateral Assistance, MAIN DATA'!S:S,'Bilateral Assistance, MAIN DATA'!D:D,"Humanitarian",'Bilateral Assistance, MAIN DATA'!B:B,'Country Summary (€)'!B28)/1000000000</f>
        <v>4.7109803475361152E-2</v>
      </c>
      <c r="F28" s="261">
        <f>SUMIFS('Bilateral Assistance, MAIN DATA'!S:S,'Bilateral Assistance, MAIN DATA'!D:D,"Military",'Bilateral Assistance, MAIN DATA'!B:B,'Country Summary (€)'!B28)/1000000000</f>
        <v>0</v>
      </c>
      <c r="G28" s="264">
        <f t="shared" si="3"/>
        <v>4.7109803475361152E-2</v>
      </c>
      <c r="H28" s="299">
        <f>181848022233.89/1000000000</f>
        <v>181.84802223389002</v>
      </c>
      <c r="I28" s="299">
        <f>H28/VLOOKUP("USD",'Exchange Rates'!B:C,2,0)</f>
        <v>167.32427515080053</v>
      </c>
      <c r="J28" s="325">
        <f t="shared" si="6"/>
        <v>2.8154793100345764E-2</v>
      </c>
      <c r="K28" s="138">
        <f>VLOOKUP(B28,'EU Aid Shares'!B:E,4,0)</f>
        <v>0.32490057946741624</v>
      </c>
      <c r="L28" s="138">
        <f>VLOOKUP(B28,'EPF Aid Shares'!B:G,6,0)</f>
        <v>5.6585432151435258E-2</v>
      </c>
      <c r="M28" s="127">
        <f>VLOOKUP(B28,'EIB Aid Shares'!B:E,4,0)</f>
        <v>1.6804629572849533E-2</v>
      </c>
      <c r="N28" s="138">
        <f t="shared" si="0"/>
        <v>0.39829064119170099</v>
      </c>
      <c r="O28" s="113">
        <f t="shared" si="1"/>
        <v>0.23803518098778118</v>
      </c>
      <c r="P28" s="266">
        <f t="shared" si="2"/>
        <v>0.44540044466706213</v>
      </c>
      <c r="Q28" s="326">
        <f t="shared" si="4"/>
        <v>0.26618997408812695</v>
      </c>
      <c r="R28" s="138">
        <f>SUMIFS('Bilateral Assistance, MAIN DATA'!S:S,'Bilateral Assistance, MAIN DATA'!AS:AS,1, 'Bilateral Assistance, MAIN DATA'!B:B,B28)/1000000000</f>
        <v>0</v>
      </c>
      <c r="S28" s="261">
        <f t="shared" si="5"/>
        <v>0</v>
      </c>
    </row>
    <row r="29" spans="2:21" ht="15.95" customHeight="1">
      <c r="B29" s="24" t="s">
        <v>2139</v>
      </c>
      <c r="C29" s="297">
        <v>0</v>
      </c>
      <c r="D29" s="261">
        <f>SUMIFS('Bilateral Assistance, MAIN DATA'!S:S,'Bilateral Assistance, MAIN DATA'!D:D,"Financial",'Bilateral Assistance, MAIN DATA'!B:B,'Country Summary (€)'!B29)/1000000000</f>
        <v>9.4038678806406591E-3</v>
      </c>
      <c r="E29" s="261">
        <f>SUMIFS('Bilateral Assistance, MAIN DATA'!S:S,'Bilateral Assistance, MAIN DATA'!D:D,"Humanitarian",'Bilateral Assistance, MAIN DATA'!B:B,'Country Summary (€)'!B29)/1000000000</f>
        <v>1.1032099421811657E-2</v>
      </c>
      <c r="F29" s="261">
        <f>SUMIFS('Bilateral Assistance, MAIN DATA'!S:S,'Bilateral Assistance, MAIN DATA'!D:D,"Military",'Bilateral Assistance, MAIN DATA'!B:B,'Country Summary (€)'!B29)/1000000000</f>
        <v>9.1497376714291794E-3</v>
      </c>
      <c r="G29" s="264">
        <f t="shared" si="3"/>
        <v>2.9585704973881494E-2</v>
      </c>
      <c r="H29" s="299">
        <f>25602419210.3374/1000000000</f>
        <v>25.602419210337398</v>
      </c>
      <c r="I29" s="299">
        <f>H29/VLOOKUP("USD",'Exchange Rates'!B:C,2,0)</f>
        <v>23.557617970498157</v>
      </c>
      <c r="J29" s="325">
        <f t="shared" si="6"/>
        <v>0.12558869496454383</v>
      </c>
      <c r="K29" s="138">
        <f>VLOOKUP(B29,'EU Aid Shares'!B:E,4,0)</f>
        <v>0</v>
      </c>
      <c r="L29" s="138">
        <f>VLOOKUP(B29,'EPF Aid Shares'!B:G,6,0)</f>
        <v>0</v>
      </c>
      <c r="M29" s="127">
        <f>VLOOKUP(B29,'EIB Aid Shares'!B:E,4,0)</f>
        <v>0</v>
      </c>
      <c r="N29" s="138">
        <f t="shared" si="0"/>
        <v>0</v>
      </c>
      <c r="O29" s="113">
        <f t="shared" si="1"/>
        <v>0</v>
      </c>
      <c r="P29" s="266">
        <f t="shared" si="2"/>
        <v>2.9585704973881494E-2</v>
      </c>
      <c r="Q29" s="326">
        <f t="shared" si="4"/>
        <v>0.12558869496454383</v>
      </c>
      <c r="R29" s="138">
        <f>SUMIFS('Bilateral Assistance, MAIN DATA'!S:S,'Bilateral Assistance, MAIN DATA'!AS:AS,1, 'Bilateral Assistance, MAIN DATA'!B:B,B29)/1000000000</f>
        <v>8.9497376714291789E-3</v>
      </c>
      <c r="S29" s="261">
        <f>F29-R29</f>
        <v>2.0000000000000052E-4</v>
      </c>
    </row>
    <row r="30" spans="2:21" ht="15.95" customHeight="1">
      <c r="B30" s="24" t="s">
        <v>2096</v>
      </c>
      <c r="C30" s="297">
        <v>1</v>
      </c>
      <c r="D30" s="261">
        <f>SUMIFS('Bilateral Assistance, MAIN DATA'!S:S,'Bilateral Assistance, MAIN DATA'!D:D,"Financial",'Bilateral Assistance, MAIN DATA'!B:B,'Country Summary (€)'!B30)/1000000000</f>
        <v>2.5000000000000001E-2</v>
      </c>
      <c r="E30" s="261">
        <f>SUMIFS('Bilateral Assistance, MAIN DATA'!S:S,'Bilateral Assistance, MAIN DATA'!D:D,"Humanitarian",'Bilateral Assistance, MAIN DATA'!B:B,'Country Summary (€)'!B30)/1000000000</f>
        <v>6.1557853882959139E-2</v>
      </c>
      <c r="F30" s="261">
        <f>SUMIFS('Bilateral Assistance, MAIN DATA'!S:S,'Bilateral Assistance, MAIN DATA'!D:D,"Military",'Bilateral Assistance, MAIN DATA'!B:B,'Country Summary (€)'!B30)/1000000000</f>
        <v>3.8500000000000001E-3</v>
      </c>
      <c r="G30" s="264">
        <f t="shared" si="3"/>
        <v>9.0407853882959147E-2</v>
      </c>
      <c r="H30" s="327">
        <f>504182603275.542/1000000000</f>
        <v>504.18260327554196</v>
      </c>
      <c r="I30" s="299">
        <f>H30/VLOOKUP("USD",'Exchange Rates'!B:C,2,0)</f>
        <v>463.91479874451784</v>
      </c>
      <c r="J30" s="325">
        <f t="shared" si="6"/>
        <v>1.9488029726067776E-2</v>
      </c>
      <c r="K30" s="138">
        <f>VLOOKUP(B30,'EU Aid Shares'!B:E,4,0)</f>
        <v>0.55367614615193728</v>
      </c>
      <c r="L30" s="138">
        <f>VLOOKUP(B30,'EPF Aid Shares'!B:G,6,0)</f>
        <v>0.11972368502737039</v>
      </c>
      <c r="M30" s="127">
        <f>VLOOKUP(B30,'EIB Aid Shares'!B:E,4,0)</f>
        <v>1.3194994215684461E-2</v>
      </c>
      <c r="N30" s="138">
        <f t="shared" si="0"/>
        <v>0.68659482539499217</v>
      </c>
      <c r="O30" s="113">
        <f t="shared" si="1"/>
        <v>0.14800019901350597</v>
      </c>
      <c r="P30" s="266">
        <f t="shared" si="2"/>
        <v>0.7770026792779513</v>
      </c>
      <c r="Q30" s="326">
        <f t="shared" si="4"/>
        <v>0.16748822873957375</v>
      </c>
      <c r="R30" s="138">
        <f>SUMIFS('Bilateral Assistance, MAIN DATA'!S:S,'Bilateral Assistance, MAIN DATA'!AS:AS,1, 'Bilateral Assistance, MAIN DATA'!B:B,B30)/1000000000</f>
        <v>0</v>
      </c>
      <c r="S30" s="261">
        <f t="shared" si="5"/>
        <v>3.8500000000000001E-3</v>
      </c>
    </row>
    <row r="31" spans="2:21" ht="15.95" customHeight="1">
      <c r="B31" s="24" t="s">
        <v>2204</v>
      </c>
      <c r="C31" s="297">
        <v>1</v>
      </c>
      <c r="D31" s="261">
        <f>SUMIFS('Bilateral Assistance, MAIN DATA'!S:S,'Bilateral Assistance, MAIN DATA'!D:D,"Financial",'Bilateral Assistance, MAIN DATA'!B:B,'Country Summary (€)'!B31)/1000000000</f>
        <v>0.41</v>
      </c>
      <c r="E31" s="261">
        <f>SUMIFS('Bilateral Assistance, MAIN DATA'!S:S,'Bilateral Assistance, MAIN DATA'!D:D,"Humanitarian",'Bilateral Assistance, MAIN DATA'!B:B,'Country Summary (€)'!B31)/1000000000</f>
        <v>0.2213535931174089</v>
      </c>
      <c r="F31" s="261">
        <f>SUMIFS('Bilateral Assistance, MAIN DATA'!S:S,'Bilateral Assistance, MAIN DATA'!D:D,"Military",'Bilateral Assistance, MAIN DATA'!B:B,'Country Summary (€)'!B31)/1000000000</f>
        <v>0.71296199986253783</v>
      </c>
      <c r="G31" s="264">
        <f t="shared" si="3"/>
        <v>1.3443155929799468</v>
      </c>
      <c r="H31" s="299">
        <f>2107702842669.73/1000000000</f>
        <v>2107.7028426697298</v>
      </c>
      <c r="I31" s="299">
        <f>H31/VLOOKUP("USD",'Exchange Rates'!B:C,2,0)</f>
        <v>1939.3658839434393</v>
      </c>
      <c r="J31" s="325">
        <f t="shared" si="6"/>
        <v>6.9317275513089985E-2</v>
      </c>
      <c r="K31" s="138">
        <f>VLOOKUP(B31,'EU Aid Shares'!B:E,4,0)</f>
        <v>3.3531624990256397</v>
      </c>
      <c r="L31" s="138">
        <f>VLOOKUP(B31,'EPF Aid Shares'!B:G,6,0)</f>
        <v>0.70256598675444959</v>
      </c>
      <c r="M31" s="127">
        <f>VLOOKUP(B31,'EIB Aid Shares'!B:E,4,0)</f>
        <v>0.37605786289314741</v>
      </c>
      <c r="N31" s="138">
        <f t="shared" si="0"/>
        <v>4.4317863486732367</v>
      </c>
      <c r="O31" s="113">
        <f t="shared" si="1"/>
        <v>0.2285172893555184</v>
      </c>
      <c r="P31" s="266">
        <f t="shared" si="2"/>
        <v>5.7761019416531836</v>
      </c>
      <c r="Q31" s="326">
        <f t="shared" si="4"/>
        <v>0.29783456486860843</v>
      </c>
      <c r="R31" s="138">
        <f>SUMIFS('Bilateral Assistance, MAIN DATA'!S:S,'Bilateral Assistance, MAIN DATA'!AS:AS,1, 'Bilateral Assistance, MAIN DATA'!B:B,B31)/1000000000</f>
        <v>0.71296199986253783</v>
      </c>
      <c r="S31" s="261">
        <f t="shared" si="5"/>
        <v>0</v>
      </c>
    </row>
    <row r="32" spans="2:21" ht="15.95" customHeight="1">
      <c r="B32" s="24" t="s">
        <v>2312</v>
      </c>
      <c r="C32" s="297">
        <v>0</v>
      </c>
      <c r="D32" s="261">
        <f>SUMIFS('Bilateral Assistance, MAIN DATA'!S:S,'Bilateral Assistance, MAIN DATA'!D:D,"Financial",'Bilateral Assistance, MAIN DATA'!B:B,'Country Summary (€)'!B32)/1000000000</f>
        <v>5.5866304747883699</v>
      </c>
      <c r="E32" s="261">
        <f>SUMIFS('Bilateral Assistance, MAIN DATA'!S:S,'Bilateral Assistance, MAIN DATA'!D:D,"Humanitarian",'Bilateral Assistance, MAIN DATA'!B:B,'Country Summary (€)'!B32)/1000000000</f>
        <v>1.0007732517482517</v>
      </c>
      <c r="F32" s="261">
        <f>SUMIFS('Bilateral Assistance, MAIN DATA'!S:S,'Bilateral Assistance, MAIN DATA'!D:D,"Military",'Bilateral Assistance, MAIN DATA'!B:B,'Country Summary (€)'!B32)/1000000000</f>
        <v>2.9860139860139859E-2</v>
      </c>
      <c r="G32" s="264">
        <f t="shared" si="3"/>
        <v>6.6172638663967609</v>
      </c>
      <c r="H32" s="299">
        <f>4940877780755.33/1000000000</f>
        <v>4940.8777807553297</v>
      </c>
      <c r="I32" s="299">
        <f>H32/VLOOKUP("USD",'Exchange Rates'!B:C,2,0)</f>
        <v>4546.2622200545911</v>
      </c>
      <c r="J32" s="325">
        <f t="shared" si="6"/>
        <v>0.14555394181194639</v>
      </c>
      <c r="K32" s="138">
        <f>VLOOKUP(B32,'EU Aid Shares'!B:E,4,0)</f>
        <v>0</v>
      </c>
      <c r="L32" s="138">
        <f>VLOOKUP(B32,'EPF Aid Shares'!B:G,6,0)</f>
        <v>0</v>
      </c>
      <c r="M32" s="127">
        <f>VLOOKUP(B32,'EIB Aid Shares'!B:E,4,0)</f>
        <v>0</v>
      </c>
      <c r="N32" s="138">
        <f t="shared" si="0"/>
        <v>0</v>
      </c>
      <c r="O32" s="113">
        <f t="shared" si="1"/>
        <v>0</v>
      </c>
      <c r="P32" s="266">
        <f t="shared" si="2"/>
        <v>6.6172638663967609</v>
      </c>
      <c r="Q32" s="326">
        <f t="shared" si="4"/>
        <v>0.14555394181194639</v>
      </c>
      <c r="R32" s="138">
        <f>SUMIFS('Bilateral Assistance, MAIN DATA'!S:S,'Bilateral Assistance, MAIN DATA'!AS:AS,1, 'Bilateral Assistance, MAIN DATA'!B:B,B32)/1000000000</f>
        <v>2.9860139860139859E-2</v>
      </c>
      <c r="S32" s="261">
        <f t="shared" si="5"/>
        <v>0</v>
      </c>
    </row>
    <row r="33" spans="2:19" ht="15.95" customHeight="1">
      <c r="B33" s="24" t="s">
        <v>2392</v>
      </c>
      <c r="C33" s="297">
        <v>1</v>
      </c>
      <c r="D33" s="261">
        <f>SUMIFS('Bilateral Assistance, MAIN DATA'!S:S,'Bilateral Assistance, MAIN DATA'!D:D,"Financial",'Bilateral Assistance, MAIN DATA'!B:B,'Country Summary (€)'!B33)/1000000000</f>
        <v>2.5000000000000001E-2</v>
      </c>
      <c r="E33" s="261">
        <f>SUMIFS('Bilateral Assistance, MAIN DATA'!S:S,'Bilateral Assistance, MAIN DATA'!D:D,"Humanitarian",'Bilateral Assistance, MAIN DATA'!B:B,'Country Summary (€)'!B33)/1000000000</f>
        <v>5.158735482E-3</v>
      </c>
      <c r="F33" s="261">
        <f>SUMIFS('Bilateral Assistance, MAIN DATA'!S:S,'Bilateral Assistance, MAIN DATA'!D:D,"Military",'Bilateral Assistance, MAIN DATA'!B:B,'Country Summary (€)'!B33)/1000000000</f>
        <v>0.37</v>
      </c>
      <c r="G33" s="264">
        <f t="shared" si="3"/>
        <v>0.40015873548199998</v>
      </c>
      <c r="H33" s="299">
        <f>39853501579.8211/1000000000</f>
        <v>39.853501579821099</v>
      </c>
      <c r="I33" s="299">
        <f>H33/VLOOKUP("USD",'Exchange Rates'!B:C,2,0)</f>
        <v>36.670502005724238</v>
      </c>
      <c r="J33" s="325">
        <f t="shared" si="6"/>
        <v>1.0912278632551458</v>
      </c>
      <c r="K33" s="138">
        <f>VLOOKUP(B33,'EU Aid Shares'!B:E,4,0)</f>
        <v>5.598619232768836E-2</v>
      </c>
      <c r="L33" s="138">
        <f>VLOOKUP(B33,'EPF Aid Shares'!B:G,6,0)</f>
        <v>1.24209110173034E-2</v>
      </c>
      <c r="M33" s="127">
        <f>VLOOKUP(B33,'EIB Aid Shares'!B:E,4,0)</f>
        <v>2.1496355379410164E-3</v>
      </c>
      <c r="N33" s="138">
        <f t="shared" si="0"/>
        <v>7.0556738882932776E-2</v>
      </c>
      <c r="O33" s="113">
        <f t="shared" si="1"/>
        <v>0.19240734384252206</v>
      </c>
      <c r="P33" s="266">
        <f t="shared" si="2"/>
        <v>0.47071547436493277</v>
      </c>
      <c r="Q33" s="326">
        <f t="shared" si="4"/>
        <v>1.2836352070976678</v>
      </c>
      <c r="R33" s="138">
        <f>SUMIFS('Bilateral Assistance, MAIN DATA'!S:S,'Bilateral Assistance, MAIN DATA'!AS:AS,1, 'Bilateral Assistance, MAIN DATA'!B:B,B33)/1000000000</f>
        <v>0.37</v>
      </c>
      <c r="S33" s="261">
        <f t="shared" si="5"/>
        <v>0</v>
      </c>
    </row>
    <row r="34" spans="2:19" ht="15.95" customHeight="1">
      <c r="B34" s="24" t="s">
        <v>2488</v>
      </c>
      <c r="C34" s="297">
        <v>1</v>
      </c>
      <c r="D34" s="261">
        <f>SUMIFS('Bilateral Assistance, MAIN DATA'!S:S,'Bilateral Assistance, MAIN DATA'!D:D,"Financial",'Bilateral Assistance, MAIN DATA'!B:B,'Country Summary (€)'!B34)/1000000000</f>
        <v>0.03</v>
      </c>
      <c r="E34" s="261">
        <f>SUMIFS('Bilateral Assistance, MAIN DATA'!S:S,'Bilateral Assistance, MAIN DATA'!D:D,"Humanitarian",'Bilateral Assistance, MAIN DATA'!B:B,'Country Summary (€)'!B34)/1000000000</f>
        <v>6.0999999999999999E-2</v>
      </c>
      <c r="F34" s="261">
        <f>SUMIFS('Bilateral Assistance, MAIN DATA'!S:S,'Bilateral Assistance, MAIN DATA'!D:D,"Military",'Bilateral Assistance, MAIN DATA'!B:B,'Country Summary (€)'!B34)/1000000000</f>
        <v>0.49099999999999999</v>
      </c>
      <c r="G34" s="264">
        <f t="shared" si="3"/>
        <v>0.58199999999999996</v>
      </c>
      <c r="H34" s="299">
        <f>66445256585.3671/1000000000</f>
        <v>66.445256585367105</v>
      </c>
      <c r="I34" s="299">
        <f>H34/VLOOKUP("USD",'Exchange Rates'!B:C,2,0)</f>
        <v>61.13843999389686</v>
      </c>
      <c r="J34" s="325">
        <f t="shared" si="6"/>
        <v>0.95193792981649195</v>
      </c>
      <c r="K34" s="138">
        <f>VLOOKUP(B34,'EU Aid Shares'!B:E,4,0)</f>
        <v>8.9644674842475389E-2</v>
      </c>
      <c r="L34" s="138">
        <f>VLOOKUP(B34,'EPF Aid Shares'!B:G,6,0)</f>
        <v>2.0028134569839554E-2</v>
      </c>
      <c r="M34" s="127">
        <f>VLOOKUP(B34,'EIB Aid Shares'!B:E,4,0)</f>
        <v>3.5224114686203721E-3</v>
      </c>
      <c r="N34" s="138">
        <f t="shared" si="0"/>
        <v>0.11319522088093531</v>
      </c>
      <c r="O34" s="113">
        <f t="shared" si="1"/>
        <v>0.1851457461005466</v>
      </c>
      <c r="P34" s="266">
        <f t="shared" si="2"/>
        <v>0.69519522088093533</v>
      </c>
      <c r="Q34" s="326">
        <f t="shared" si="4"/>
        <v>1.1370836759170386</v>
      </c>
      <c r="R34" s="138">
        <f>SUMIFS('Bilateral Assistance, MAIN DATA'!S:S,'Bilateral Assistance, MAIN DATA'!AS:AS,1, 'Bilateral Assistance, MAIN DATA'!B:B,B34)/1000000000</f>
        <v>0.41315274199484731</v>
      </c>
      <c r="S34" s="261">
        <f t="shared" si="5"/>
        <v>7.7847258005152686E-2</v>
      </c>
    </row>
    <row r="35" spans="2:19" ht="15.95" customHeight="1">
      <c r="B35" s="24" t="s">
        <v>2625</v>
      </c>
      <c r="C35" s="297">
        <v>1</v>
      </c>
      <c r="D35" s="261">
        <f>SUMIFS('Bilateral Assistance, MAIN DATA'!S:S,'Bilateral Assistance, MAIN DATA'!D:D,"Financial",'Bilateral Assistance, MAIN DATA'!B:B,'Country Summary (€)'!B35)/1000000000</f>
        <v>0</v>
      </c>
      <c r="E35" s="261">
        <f>SUMIFS('Bilateral Assistance, MAIN DATA'!S:S,'Bilateral Assistance, MAIN DATA'!D:D,"Humanitarian",'Bilateral Assistance, MAIN DATA'!B:B,'Country Summary (€)'!B35)/1000000000</f>
        <v>4.032E-3</v>
      </c>
      <c r="F35" s="261">
        <f>SUMIFS('Bilateral Assistance, MAIN DATA'!S:S,'Bilateral Assistance, MAIN DATA'!D:D,"Military",'Bilateral Assistance, MAIN DATA'!B:B,'Country Summary (€)'!B35)/1000000000</f>
        <v>9.1600000000000001E-2</v>
      </c>
      <c r="G35" s="264">
        <f t="shared" si="3"/>
        <v>9.5631999999999995E-2</v>
      </c>
      <c r="H35" s="299">
        <f>85506243833.7816/1000000000</f>
        <v>85.506243833781596</v>
      </c>
      <c r="I35" s="299">
        <f>H35/VLOOKUP("USD",'Exchange Rates'!B:C,2,0)</f>
        <v>78.677073825709968</v>
      </c>
      <c r="J35" s="325">
        <f t="shared" si="6"/>
        <v>0.12155002130843041</v>
      </c>
      <c r="K35" s="138">
        <f>VLOOKUP(B35,'EU Aid Shares'!B:E,4,0)</f>
        <v>8.7877309949633595E-2</v>
      </c>
      <c r="L35" s="138">
        <f>VLOOKUP(B35,'EPF Aid Shares'!B:G,6,0)</f>
        <v>1.8676229246147268E-2</v>
      </c>
      <c r="M35" s="127">
        <f>VLOOKUP(B35,'EIB Aid Shares'!B:E,4,0)</f>
        <v>2.6390189924416279E-3</v>
      </c>
      <c r="N35" s="138">
        <f t="shared" si="0"/>
        <v>0.10919255818822249</v>
      </c>
      <c r="O35" s="113">
        <f t="shared" si="1"/>
        <v>0.13878573881650988</v>
      </c>
      <c r="P35" s="266">
        <f t="shared" si="2"/>
        <v>0.20482455818822248</v>
      </c>
      <c r="Q35" s="326">
        <f t="shared" si="4"/>
        <v>0.26033576012494031</v>
      </c>
      <c r="R35" s="138">
        <f>SUMIFS('Bilateral Assistance, MAIN DATA'!S:S,'Bilateral Assistance, MAIN DATA'!AS:AS,1, 'Bilateral Assistance, MAIN DATA'!B:B,B35)/1000000000</f>
        <v>9.1600000000000001E-2</v>
      </c>
      <c r="S35" s="261">
        <f t="shared" si="5"/>
        <v>0</v>
      </c>
    </row>
    <row r="36" spans="2:19" ht="15.95" customHeight="1">
      <c r="B36" s="24" t="s">
        <v>2678</v>
      </c>
      <c r="C36" s="297">
        <v>1</v>
      </c>
      <c r="D36" s="261">
        <f>SUMIFS('Bilateral Assistance, MAIN DATA'!S:S,'Bilateral Assistance, MAIN DATA'!D:D,"Financial",'Bilateral Assistance, MAIN DATA'!B:B,'Country Summary (€)'!B36)/1000000000</f>
        <v>0</v>
      </c>
      <c r="E36" s="261">
        <f>SUMIFS('Bilateral Assistance, MAIN DATA'!S:S,'Bilateral Assistance, MAIN DATA'!D:D,"Humanitarian",'Bilateral Assistance, MAIN DATA'!B:B,'Country Summary (€)'!B36)/1000000000</f>
        <v>2.0699999999999998E-3</v>
      </c>
      <c r="F36" s="261">
        <f>SUMIFS('Bilateral Assistance, MAIN DATA'!S:S,'Bilateral Assistance, MAIN DATA'!D:D,"Military",'Bilateral Assistance, MAIN DATA'!B:B,'Country Summary (€)'!B36)/1000000000</f>
        <v>0</v>
      </c>
      <c r="G36" s="264">
        <f t="shared" si="3"/>
        <v>2.0699999999999998E-3</v>
      </c>
      <c r="H36" s="299">
        <f>17364044943.8202/1000000000</f>
        <v>17.3640449438202</v>
      </c>
      <c r="I36" s="299">
        <f>H36/VLOOKUP("USD",'Exchange Rates'!B:C,2,0)</f>
        <v>15.977222068292418</v>
      </c>
      <c r="J36" s="325">
        <f t="shared" si="6"/>
        <v>1.2955944350977111E-2</v>
      </c>
      <c r="K36" s="138">
        <f>VLOOKUP(B36,'EU Aid Shares'!B:E,4,0)</f>
        <v>2.28775566684521E-2</v>
      </c>
      <c r="L36" s="138">
        <f>VLOOKUP(B36,'EPF Aid Shares'!B:G,6,0)</f>
        <v>4.8671254718646289E-3</v>
      </c>
      <c r="M36" s="127">
        <f>VLOOKUP(B36,'EIB Aid Shares'!B:E,4,0)</f>
        <v>9.8502254614655517E-4</v>
      </c>
      <c r="N36" s="138">
        <f t="shared" si="0"/>
        <v>2.8729704686463284E-2</v>
      </c>
      <c r="O36" s="113">
        <f t="shared" si="1"/>
        <v>0.1798166449941182</v>
      </c>
      <c r="P36" s="266">
        <f t="shared" si="2"/>
        <v>3.0799704686463283E-2</v>
      </c>
      <c r="Q36" s="326">
        <f t="shared" si="4"/>
        <v>0.19277258934509528</v>
      </c>
      <c r="R36" s="138">
        <f>SUMIFS('Bilateral Assistance, MAIN DATA'!S:S,'Bilateral Assistance, MAIN DATA'!AS:AS,1, 'Bilateral Assistance, MAIN DATA'!B:B,B36)/1000000000</f>
        <v>0</v>
      </c>
      <c r="S36" s="261">
        <f t="shared" si="5"/>
        <v>0</v>
      </c>
    </row>
    <row r="37" spans="2:19" ht="15.95" customHeight="1">
      <c r="B37" s="24" t="s">
        <v>2693</v>
      </c>
      <c r="C37" s="297">
        <v>1</v>
      </c>
      <c r="D37" s="261">
        <f>SUMIFS('Bilateral Assistance, MAIN DATA'!S:S,'Bilateral Assistance, MAIN DATA'!D:D,"Financial",'Bilateral Assistance, MAIN DATA'!B:B,'Country Summary (€)'!B37)/1000000000</f>
        <v>0.99282278248067724</v>
      </c>
      <c r="E37" s="261">
        <f>SUMIFS('Bilateral Assistance, MAIN DATA'!S:S,'Bilateral Assistance, MAIN DATA'!D:D,"Humanitarian",'Bilateral Assistance, MAIN DATA'!B:B,'Country Summary (€)'!B37)/1000000000</f>
        <v>0.58681891792418106</v>
      </c>
      <c r="F37" s="261">
        <f>SUMIFS('Bilateral Assistance, MAIN DATA'!S:S,'Bilateral Assistance, MAIN DATA'!D:D,"Military",'Bilateral Assistance, MAIN DATA'!B:B,'Country Summary (€)'!B37)/1000000000</f>
        <v>2.4834999999999998</v>
      </c>
      <c r="G37" s="264">
        <f t="shared" si="3"/>
        <v>4.0631417004048576</v>
      </c>
      <c r="H37" s="299">
        <f>1012846760976.73/1000000000</f>
        <v>1012.84676097673</v>
      </c>
      <c r="I37" s="299">
        <f>H37/VLOOKUP("USD",'Exchange Rates'!B:C,2,0)</f>
        <v>931.95322136246784</v>
      </c>
      <c r="J37" s="325">
        <f t="shared" si="6"/>
        <v>0.43598129254435675</v>
      </c>
      <c r="K37" s="138">
        <f>VLOOKUP(B37,'EU Aid Shares'!B:E,4,0)</f>
        <v>2.1680265140490276</v>
      </c>
      <c r="L37" s="138">
        <f>VLOOKUP(B37,'EPF Aid Shares'!B:G,6,0)</f>
        <v>0.32534429673166088</v>
      </c>
      <c r="M37" s="127">
        <f>VLOOKUP(B37,'EIB Aid Shares'!B:E,4,0)</f>
        <v>0.10424062413548618</v>
      </c>
      <c r="N37" s="138">
        <f t="shared" si="0"/>
        <v>2.5976114349161747</v>
      </c>
      <c r="O37" s="113">
        <f t="shared" si="1"/>
        <v>0.27872766308147956</v>
      </c>
      <c r="P37" s="266">
        <f t="shared" si="2"/>
        <v>6.6607531353210323</v>
      </c>
      <c r="Q37" s="326">
        <f t="shared" si="4"/>
        <v>0.71470895562583625</v>
      </c>
      <c r="R37" s="138">
        <f>SUMIFS('Bilateral Assistance, MAIN DATA'!S:S,'Bilateral Assistance, MAIN DATA'!AS:AS,1, 'Bilateral Assistance, MAIN DATA'!B:B,B37)/1000000000</f>
        <v>2.3485</v>
      </c>
      <c r="S37" s="261">
        <f t="shared" si="5"/>
        <v>0.13499999999999979</v>
      </c>
    </row>
    <row r="38" spans="2:19" ht="15.95" customHeight="1">
      <c r="B38" s="2" t="s">
        <v>2832</v>
      </c>
      <c r="C38" s="297">
        <v>0</v>
      </c>
      <c r="D38" s="261">
        <f>SUMIFS('Bilateral Assistance, MAIN DATA'!S:S,'Bilateral Assistance, MAIN DATA'!D:D,"Financial",'Bilateral Assistance, MAIN DATA'!B:B,'Country Summary (€)'!B38)/1000000000</f>
        <v>0</v>
      </c>
      <c r="E38" s="261">
        <f>SUMIFS('Bilateral Assistance, MAIN DATA'!S:S,'Bilateral Assistance, MAIN DATA'!D:D,"Humanitarian",'Bilateral Assistance, MAIN DATA'!B:B,'Country Summary (€)'!B38)/1000000000</f>
        <v>6.0065213660545728E-3</v>
      </c>
      <c r="F38" s="261">
        <f>SUMIFS('Bilateral Assistance, MAIN DATA'!S:S,'Bilateral Assistance, MAIN DATA'!D:D,"Military",'Bilateral Assistance, MAIN DATA'!B:B,'Country Summary (€)'!B38)/1000000000</f>
        <v>1.9192265888679141E-2</v>
      </c>
      <c r="G38" s="264">
        <f t="shared" si="3"/>
        <v>2.5198787254733714E-2</v>
      </c>
      <c r="H38" s="324">
        <f>249885687029.634/1000000000</f>
        <v>249.885687029634</v>
      </c>
      <c r="I38" s="299">
        <f>H38/VLOOKUP("USD",'Exchange Rates'!B:C,2,0)</f>
        <v>229.92794169086676</v>
      </c>
      <c r="J38" s="325">
        <f t="shared" si="6"/>
        <v>1.0959428014457219E-2</v>
      </c>
      <c r="K38" s="138">
        <f>VLOOKUP(B38,'EU Aid Shares'!B:E,4,0)</f>
        <v>0</v>
      </c>
      <c r="L38" s="138">
        <f>VLOOKUP(B38,'EPF Aid Shares'!B:G,6,0)</f>
        <v>0</v>
      </c>
      <c r="M38" s="127">
        <f>VLOOKUP(B38,'EIB Aid Shares'!B:E,4,0)</f>
        <v>0</v>
      </c>
      <c r="N38" s="138">
        <f t="shared" si="0"/>
        <v>0</v>
      </c>
      <c r="O38" s="113">
        <f t="shared" si="1"/>
        <v>0</v>
      </c>
      <c r="P38" s="266">
        <f t="shared" si="2"/>
        <v>2.5198787254733714E-2</v>
      </c>
      <c r="Q38" s="326">
        <f t="shared" si="4"/>
        <v>1.0959428014457219E-2</v>
      </c>
      <c r="R38" s="138">
        <f>SUMIFS('Bilateral Assistance, MAIN DATA'!S:S,'Bilateral Assistance, MAIN DATA'!AS:AS,1, 'Bilateral Assistance, MAIN DATA'!B:B,B38)/1000000000</f>
        <v>6.263943710314056E-3</v>
      </c>
      <c r="S38" s="261">
        <f t="shared" si="5"/>
        <v>1.2928322178365086E-2</v>
      </c>
    </row>
    <row r="39" spans="2:19" ht="15.95" customHeight="1">
      <c r="B39" s="2" t="s">
        <v>2882</v>
      </c>
      <c r="C39" s="297">
        <v>0</v>
      </c>
      <c r="D39" s="261">
        <f>SUMIFS('Bilateral Assistance, MAIN DATA'!S:S,'Bilateral Assistance, MAIN DATA'!D:D,"Financial",'Bilateral Assistance, MAIN DATA'!B:B,'Country Summary (€)'!B39)/1000000000</f>
        <v>0.88724111480439782</v>
      </c>
      <c r="E39" s="261">
        <f>SUMIFS('Bilateral Assistance, MAIN DATA'!S:S,'Bilateral Assistance, MAIN DATA'!D:D,"Humanitarian",'Bilateral Assistance, MAIN DATA'!B:B,'Country Summary (€)'!B39)/1000000000</f>
        <v>0.1888046003579647</v>
      </c>
      <c r="F39" s="261">
        <f>SUMIFS('Bilateral Assistance, MAIN DATA'!S:S,'Bilateral Assistance, MAIN DATA'!D:D,"Military",'Bilateral Assistance, MAIN DATA'!B:B,'Country Summary (€)'!B39)/1000000000</f>
        <v>1.0133810619619874</v>
      </c>
      <c r="G39" s="264">
        <f t="shared" si="3"/>
        <v>2.0894267771243502</v>
      </c>
      <c r="H39" s="324">
        <f>482174854481.956/1000000000</f>
        <v>482.174854481956</v>
      </c>
      <c r="I39" s="299">
        <f>H39/VLOOKUP("USD",'Exchange Rates'!B:C,2,0)</f>
        <v>443.66475384795365</v>
      </c>
      <c r="J39" s="325">
        <f t="shared" si="6"/>
        <v>0.47094720935177292</v>
      </c>
      <c r="K39" s="138">
        <f>VLOOKUP(B39,'EU Aid Shares'!B:E,4,0)</f>
        <v>0</v>
      </c>
      <c r="L39" s="138">
        <f>VLOOKUP(B39,'EPF Aid Shares'!B:G,6,0)</f>
        <v>0</v>
      </c>
      <c r="M39" s="127">
        <f>VLOOKUP(B39,'EIB Aid Shares'!B:E,4,0)</f>
        <v>0</v>
      </c>
      <c r="N39" s="138">
        <f t="shared" si="0"/>
        <v>0</v>
      </c>
      <c r="O39" s="113">
        <f t="shared" si="1"/>
        <v>0</v>
      </c>
      <c r="P39" s="266">
        <f t="shared" si="2"/>
        <v>2.0894267771243502</v>
      </c>
      <c r="Q39" s="326">
        <f t="shared" si="4"/>
        <v>0.47094720935177292</v>
      </c>
      <c r="R39" s="138">
        <f>SUMIFS('Bilateral Assistance, MAIN DATA'!S:S,'Bilateral Assistance, MAIN DATA'!AS:AS,1, 'Bilateral Assistance, MAIN DATA'!B:B,B39)/1000000000</f>
        <v>0.72360010227563287</v>
      </c>
      <c r="S39" s="261">
        <f t="shared" si="5"/>
        <v>0.28978095968635453</v>
      </c>
    </row>
    <row r="40" spans="2:19" ht="15.95" customHeight="1">
      <c r="B40" s="24" t="s">
        <v>2989</v>
      </c>
      <c r="C40" s="297">
        <v>1</v>
      </c>
      <c r="D40" s="261">
        <f>SUMIFS('Bilateral Assistance, MAIN DATA'!S:S,'Bilateral Assistance, MAIN DATA'!D:D,"Financial",'Bilateral Assistance, MAIN DATA'!B:B,'Country Summary (€)'!B40)/1000000000</f>
        <v>0.92674858941155414</v>
      </c>
      <c r="E40" s="261">
        <f>SUMIFS('Bilateral Assistance, MAIN DATA'!S:S,'Bilateral Assistance, MAIN DATA'!D:D,"Humanitarian",'Bilateral Assistance, MAIN DATA'!B:B,'Country Summary (€)'!B40)/1000000000</f>
        <v>0.33987242236276521</v>
      </c>
      <c r="F40" s="261">
        <f>SUMIFS('Bilateral Assistance, MAIN DATA'!S:S,'Bilateral Assistance, MAIN DATA'!D:D,"Military",'Bilateral Assistance, MAIN DATA'!B:B,'Country Summary (€)'!B40)/1000000000</f>
        <v>3</v>
      </c>
      <c r="G40" s="264">
        <f t="shared" si="3"/>
        <v>4.2666210117743191</v>
      </c>
      <c r="H40" s="299">
        <f>679444832854.295/1000000000</f>
        <v>679.4448328542951</v>
      </c>
      <c r="I40" s="299">
        <f>H40/VLOOKUP("USD",'Exchange Rates'!B:C,2,0)</f>
        <v>625.17927204112539</v>
      </c>
      <c r="J40" s="325">
        <f t="shared" si="6"/>
        <v>0.68246360725370525</v>
      </c>
      <c r="K40" s="138">
        <f>VLOOKUP(B40,'EU Aid Shares'!B:E,4,0)</f>
        <v>1.1479624100638393</v>
      </c>
      <c r="L40" s="138">
        <f>VLOOKUP(B40,'EPF Aid Shares'!B:G,6,0)</f>
        <v>0.21127846541000203</v>
      </c>
      <c r="M40" s="127">
        <f>VLOOKUP(B40,'EIB Aid Shares'!B:E,4,0)</f>
        <v>9.1487854785372302E-2</v>
      </c>
      <c r="N40" s="138">
        <f t="shared" si="0"/>
        <v>1.4507287302592136</v>
      </c>
      <c r="O40" s="113">
        <f t="shared" si="1"/>
        <v>0.23205003670751612</v>
      </c>
      <c r="P40" s="266">
        <f t="shared" si="2"/>
        <v>5.7173497420335329</v>
      </c>
      <c r="Q40" s="326">
        <f t="shared" si="4"/>
        <v>0.91451364396122126</v>
      </c>
      <c r="R40" s="138">
        <f>SUMIFS('Bilateral Assistance, MAIN DATA'!S:S,'Bilateral Assistance, MAIN DATA'!AS:AS,1, 'Bilateral Assistance, MAIN DATA'!B:B,B40)/1000000000</f>
        <v>3</v>
      </c>
      <c r="S40" s="261">
        <f t="shared" si="5"/>
        <v>0</v>
      </c>
    </row>
    <row r="41" spans="2:19" ht="15.95" customHeight="1">
      <c r="B41" s="24" t="s">
        <v>3079</v>
      </c>
      <c r="C41" s="297">
        <v>1</v>
      </c>
      <c r="D41" s="261">
        <f>SUMIFS('Bilateral Assistance, MAIN DATA'!S:S,'Bilateral Assistance, MAIN DATA'!D:D,"Financial",'Bilateral Assistance, MAIN DATA'!B:B,'Country Summary (€)'!B41)/1000000000</f>
        <v>0.25</v>
      </c>
      <c r="E41" s="261">
        <f>SUMIFS('Bilateral Assistance, MAIN DATA'!S:S,'Bilateral Assistance, MAIN DATA'!D:D,"Humanitarian",'Bilateral Assistance, MAIN DATA'!B:B,'Country Summary (€)'!B41)/1000000000</f>
        <v>1.7054655870445343E-3</v>
      </c>
      <c r="F41" s="261">
        <f>SUMIFS('Bilateral Assistance, MAIN DATA'!S:S,'Bilateral Assistance, MAIN DATA'!D:D,"Military",'Bilateral Assistance, MAIN DATA'!B:B,'Country Summary (€)'!B41)/1000000000</f>
        <v>7.5487033291490521E-2</v>
      </c>
      <c r="G41" s="264">
        <f t="shared" si="3"/>
        <v>0.32719249887853508</v>
      </c>
      <c r="H41" s="327">
        <f>253663144586.019/1000000000</f>
        <v>253.663144586019</v>
      </c>
      <c r="I41" s="299">
        <f>H41/VLOOKUP("USD",'Exchange Rates'!B:C,2,0)</f>
        <v>233.40370315239142</v>
      </c>
      <c r="J41" s="325">
        <f t="shared" si="6"/>
        <v>0.14018307955675754</v>
      </c>
      <c r="K41" s="138">
        <f>VLOOKUP(B41,'EU Aid Shares'!B:E,4,0)</f>
        <v>0.39748036440011925</v>
      </c>
      <c r="L41" s="138">
        <f>VLOOKUP(B41,'EPF Aid Shares'!B:G,6,0)</f>
        <v>8.2016742119404754E-2</v>
      </c>
      <c r="M41" s="127">
        <f>VLOOKUP(B41,'EIB Aid Shares'!B:E,4,0)</f>
        <v>1.8221655482288625E-2</v>
      </c>
      <c r="N41" s="138">
        <f t="shared" si="0"/>
        <v>0.49771876200181259</v>
      </c>
      <c r="O41" s="113">
        <f t="shared" si="1"/>
        <v>0.21324372976072598</v>
      </c>
      <c r="P41" s="266">
        <f t="shared" si="2"/>
        <v>0.82491126088034772</v>
      </c>
      <c r="Q41" s="326">
        <f t="shared" si="4"/>
        <v>0.35342680931748349</v>
      </c>
      <c r="R41" s="138">
        <f>SUMIFS('Bilateral Assistance, MAIN DATA'!S:S,'Bilateral Assistance, MAIN DATA'!AS:AS,1, 'Bilateral Assistance, MAIN DATA'!B:B,B41)/1000000000</f>
        <v>7.5487033291490521E-2</v>
      </c>
      <c r="S41" s="261">
        <f t="shared" si="5"/>
        <v>0</v>
      </c>
    </row>
    <row r="42" spans="2:19" ht="15.95" customHeight="1">
      <c r="B42" s="2" t="s">
        <v>3162</v>
      </c>
      <c r="C42" s="297">
        <v>0</v>
      </c>
      <c r="D42" s="261">
        <f>SUMIFS('Bilateral Assistance, MAIN DATA'!S:S,'Bilateral Assistance, MAIN DATA'!D:D,"Financial",'Bilateral Assistance, MAIN DATA'!B:B,'Country Summary (€)'!B42)/1000000000</f>
        <v>0.39565697460434307</v>
      </c>
      <c r="E42" s="261">
        <f>SUMIFS('Bilateral Assistance, MAIN DATA'!S:S,'Bilateral Assistance, MAIN DATA'!D:D,"Humanitarian",'Bilateral Assistance, MAIN DATA'!B:B,'Country Summary (€)'!B42)/1000000000</f>
        <v>0.21163047478836949</v>
      </c>
      <c r="F42" s="261">
        <f>SUMIFS('Bilateral Assistance, MAIN DATA'!S:S,'Bilateral Assistance, MAIN DATA'!D:D,"Military",'Bilateral Assistance, MAIN DATA'!B:B,'Country Summary (€)'!B42)/1000000000</f>
        <v>3.2940743467059263E-3</v>
      </c>
      <c r="G42" s="264">
        <f t="shared" si="3"/>
        <v>0.61058152373941843</v>
      </c>
      <c r="H42" s="324">
        <f>1810955871380.98/1000000000</f>
        <v>1810.9558713809799</v>
      </c>
      <c r="I42" s="299">
        <f>H42/VLOOKUP("USD",'Exchange Rates'!B:C,2,0)</f>
        <v>1666.3193516571403</v>
      </c>
      <c r="J42" s="325">
        <f t="shared" si="6"/>
        <v>3.6642527324201112E-2</v>
      </c>
      <c r="K42" s="138">
        <f>VLOOKUP(B42,'EU Aid Shares'!B:E,4,0)</f>
        <v>0</v>
      </c>
      <c r="L42" s="138">
        <f>VLOOKUP(B42,'EPF Aid Shares'!B:G,6,0)</f>
        <v>0</v>
      </c>
      <c r="M42" s="127">
        <f>VLOOKUP(B42,'EIB Aid Shares'!B:E,4,0)</f>
        <v>0</v>
      </c>
      <c r="N42" s="138">
        <f t="shared" si="0"/>
        <v>0</v>
      </c>
      <c r="O42" s="113">
        <f t="shared" si="1"/>
        <v>0</v>
      </c>
      <c r="P42" s="266">
        <f t="shared" si="2"/>
        <v>0.61058152373941843</v>
      </c>
      <c r="Q42" s="326">
        <f t="shared" si="4"/>
        <v>3.6642527324201112E-2</v>
      </c>
      <c r="R42" s="138">
        <f>SUMIFS('Bilateral Assistance, MAIN DATA'!S:S,'Bilateral Assistance, MAIN DATA'!AS:AS,1, 'Bilateral Assistance, MAIN DATA'!B:B,B42)/1000000000</f>
        <v>3.2940743467059263E-3</v>
      </c>
      <c r="S42" s="261">
        <f t="shared" si="5"/>
        <v>0</v>
      </c>
    </row>
    <row r="43" spans="2:19" ht="15.95" customHeight="1">
      <c r="B43" s="24" t="s">
        <v>3214</v>
      </c>
      <c r="C43" s="297">
        <v>1</v>
      </c>
      <c r="D43" s="261">
        <f>SUMIFS('Bilateral Assistance, MAIN DATA'!S:S,'Bilateral Assistance, MAIN DATA'!D:D,"Financial",'Bilateral Assistance, MAIN DATA'!B:B,'Country Summary (€)'!B43)/1000000000</f>
        <v>0</v>
      </c>
      <c r="E43" s="261">
        <f>SUMIFS('Bilateral Assistance, MAIN DATA'!S:S,'Bilateral Assistance, MAIN DATA'!D:D,"Humanitarian",'Bilateral Assistance, MAIN DATA'!B:B,'Country Summary (€)'!B43)/1000000000</f>
        <v>0.12215739044124546</v>
      </c>
      <c r="F43" s="261">
        <f>SUMIFS('Bilateral Assistance, MAIN DATA'!S:S,'Bilateral Assistance, MAIN DATA'!D:D,"Military",'Bilateral Assistance, MAIN DATA'!B:B,'Country Summary (€)'!B43)/1000000000</f>
        <v>3.7637099742362898E-3</v>
      </c>
      <c r="G43" s="264">
        <f t="shared" si="3"/>
        <v>0.12592110041548174</v>
      </c>
      <c r="H43" s="299">
        <f>284087563695.798/1000000000</f>
        <v>284.087563695798</v>
      </c>
      <c r="I43" s="299">
        <f>H43/VLOOKUP("USD",'Exchange Rates'!B:C,2,0)</f>
        <v>261.39819994092568</v>
      </c>
      <c r="J43" s="325">
        <f t="shared" si="6"/>
        <v>4.8172137544917719E-2</v>
      </c>
      <c r="K43" s="138">
        <f>VLOOKUP(B43,'EU Aid Shares'!B:E,4,0)</f>
        <v>0.45525355900834769</v>
      </c>
      <c r="L43" s="138">
        <f>VLOOKUP(B43,'EPF Aid Shares'!B:G,6,0)</f>
        <v>8.8644732146417216E-2</v>
      </c>
      <c r="M43" s="127">
        <f>VLOOKUP(B43,'EIB Aid Shares'!B:E,4,0)</f>
        <v>1.3194994215684461E-2</v>
      </c>
      <c r="N43" s="138">
        <f t="shared" si="0"/>
        <v>0.55709328537044944</v>
      </c>
      <c r="O43" s="113">
        <f t="shared" si="1"/>
        <v>0.21312055151732068</v>
      </c>
      <c r="P43" s="266">
        <f t="shared" si="2"/>
        <v>0.68301438578593121</v>
      </c>
      <c r="Q43" s="326">
        <f t="shared" si="4"/>
        <v>0.2612926890622384</v>
      </c>
      <c r="R43" s="138">
        <f>SUMIFS('Bilateral Assistance, MAIN DATA'!S:S,'Bilateral Assistance, MAIN DATA'!AS:AS,1, 'Bilateral Assistance, MAIN DATA'!B:B,B43)/1000000000</f>
        <v>3.0000000000000001E-3</v>
      </c>
      <c r="S43" s="261">
        <f t="shared" si="5"/>
        <v>7.6370997423628973E-4</v>
      </c>
    </row>
    <row r="44" spans="2:19" ht="15.95" customHeight="1">
      <c r="B44" s="24" t="s">
        <v>3261</v>
      </c>
      <c r="C44" s="297">
        <v>1</v>
      </c>
      <c r="D44" s="261">
        <f>SUMIFS('Bilateral Assistance, MAIN DATA'!S:S,'Bilateral Assistance, MAIN DATA'!D:D,"Financial",'Bilateral Assistance, MAIN DATA'!B:B,'Country Summary (€)'!B44)/1000000000</f>
        <v>0</v>
      </c>
      <c r="E44" s="261">
        <f>SUMIFS('Bilateral Assistance, MAIN DATA'!S:S,'Bilateral Assistance, MAIN DATA'!D:D,"Humanitarian",'Bilateral Assistance, MAIN DATA'!B:B,'Country Summary (€)'!B44)/1000000000</f>
        <v>8.9999999999999993E-3</v>
      </c>
      <c r="F44" s="261">
        <f>SUMIFS('Bilateral Assistance, MAIN DATA'!S:S,'Bilateral Assistance, MAIN DATA'!D:D,"Military",'Bilateral Assistance, MAIN DATA'!B:B,'Country Summary (€)'!B44)/1000000000</f>
        <v>0.66799999980934854</v>
      </c>
      <c r="G44" s="264">
        <f t="shared" si="3"/>
        <v>0.67699999980934855</v>
      </c>
      <c r="H44" s="299">
        <f>116527101097.7/1000000000</f>
        <v>116.5271010977</v>
      </c>
      <c r="I44" s="299">
        <f>H44/VLOOKUP("USD",'Exchange Rates'!B:C,2,0)</f>
        <v>107.22037274355907</v>
      </c>
      <c r="J44" s="325">
        <f t="shared" si="6"/>
        <v>0.63140985475637346</v>
      </c>
      <c r="K44" s="138">
        <f>VLOOKUP(B44,'EU Aid Shares'!B:E,4,0)</f>
        <v>0.2549914792616742</v>
      </c>
      <c r="L44" s="138">
        <f>VLOOKUP(B44,'EPF Aid Shares'!B:G,6,0)</f>
        <v>3.7723649442471419E-2</v>
      </c>
      <c r="M44" s="127">
        <f>VLOOKUP(B44,'EIB Aid Shares'!B:E,4,0)</f>
        <v>6.0465311555603042E-3</v>
      </c>
      <c r="N44" s="138">
        <f t="shared" si="0"/>
        <v>0.29876165985970593</v>
      </c>
      <c r="O44" s="113">
        <f t="shared" si="1"/>
        <v>0.27864262379898613</v>
      </c>
      <c r="P44" s="266">
        <f t="shared" si="2"/>
        <v>0.97576165966905448</v>
      </c>
      <c r="Q44" s="326">
        <f t="shared" si="4"/>
        <v>0.91005247855535953</v>
      </c>
      <c r="R44" s="138">
        <f>SUMIFS('Bilateral Assistance, MAIN DATA'!S:S,'Bilateral Assistance, MAIN DATA'!AS:AS,1, 'Bilateral Assistance, MAIN DATA'!B:B,B44)/1000000000</f>
        <v>0.66799999980934854</v>
      </c>
      <c r="S44" s="261">
        <f t="shared" si="5"/>
        <v>0</v>
      </c>
    </row>
    <row r="45" spans="2:19" ht="15.95" customHeight="1">
      <c r="B45" s="24" t="s">
        <v>3337</v>
      </c>
      <c r="C45" s="297">
        <v>1</v>
      </c>
      <c r="D45" s="261">
        <f>SUMIFS('Bilateral Assistance, MAIN DATA'!S:S,'Bilateral Assistance, MAIN DATA'!D:D,"Financial",'Bilateral Assistance, MAIN DATA'!B:B,'Country Summary (€)'!B45)/1000000000</f>
        <v>0</v>
      </c>
      <c r="E45" s="261">
        <f>SUMIFS('Bilateral Assistance, MAIN DATA'!S:S,'Bilateral Assistance, MAIN DATA'!D:D,"Humanitarian",'Bilateral Assistance, MAIN DATA'!B:B,'Country Summary (€)'!B45)/1000000000</f>
        <v>4.7347009996319472E-3</v>
      </c>
      <c r="F45" s="261">
        <f>SUMIFS('Bilateral Assistance, MAIN DATA'!S:S,'Bilateral Assistance, MAIN DATA'!D:D,"Military",'Bilateral Assistance, MAIN DATA'!B:B,'Country Summary (€)'!B45)/1000000000</f>
        <v>5.6390898987854259E-2</v>
      </c>
      <c r="G45" s="264">
        <f t="shared" si="3"/>
        <v>6.1125599987486207E-2</v>
      </c>
      <c r="H45" s="327">
        <f>61748586534.8672/1000000000</f>
        <v>61.748586534867201</v>
      </c>
      <c r="I45" s="299">
        <f>H45/VLOOKUP("USD",'Exchange Rates'!B:C,2,0)</f>
        <v>56.816881242976812</v>
      </c>
      <c r="J45" s="325">
        <f t="shared" si="6"/>
        <v>0.10758351857801417</v>
      </c>
      <c r="K45" s="138">
        <f>VLOOKUP(B45,'EU Aid Shares'!B:E,4,0)</f>
        <v>9.8815334897554466E-2</v>
      </c>
      <c r="L45" s="138">
        <f>VLOOKUP(B45,'EPF Aid Shares'!B:G,6,0)</f>
        <v>1.9455851711810936E-2</v>
      </c>
      <c r="M45" s="127">
        <f>VLOOKUP(B45,'EIB Aid Shares'!B:E,4,0)</f>
        <v>5.6136594823116203E-3</v>
      </c>
      <c r="N45" s="138">
        <f t="shared" si="0"/>
        <v>0.12388484609167702</v>
      </c>
      <c r="O45" s="113">
        <f t="shared" si="1"/>
        <v>0.21804232013701128</v>
      </c>
      <c r="P45" s="266">
        <f t="shared" si="2"/>
        <v>0.18501044607916323</v>
      </c>
      <c r="Q45" s="326">
        <f t="shared" si="4"/>
        <v>0.32562583871502548</v>
      </c>
      <c r="R45" s="138">
        <f>SUMIFS('Bilateral Assistance, MAIN DATA'!S:S,'Bilateral Assistance, MAIN DATA'!AS:AS,1, 'Bilateral Assistance, MAIN DATA'!B:B,B45)/1000000000</f>
        <v>5.6390898987854259E-2</v>
      </c>
      <c r="S45" s="261">
        <f t="shared" si="5"/>
        <v>0</v>
      </c>
    </row>
    <row r="46" spans="2:19" ht="15.95" customHeight="1">
      <c r="B46" s="24" t="s">
        <v>3412</v>
      </c>
      <c r="C46" s="297">
        <v>1</v>
      </c>
      <c r="D46" s="261">
        <f>SUMIFS('Bilateral Assistance, MAIN DATA'!S:S,'Bilateral Assistance, MAIN DATA'!D:D,"Financial",'Bilateral Assistance, MAIN DATA'!B:B,'Country Summary (€)'!B46)/1000000000</f>
        <v>0.45419999999999999</v>
      </c>
      <c r="E46" s="261">
        <f>SUMIFS('Bilateral Assistance, MAIN DATA'!S:S,'Bilateral Assistance, MAIN DATA'!D:D,"Humanitarian",'Bilateral Assistance, MAIN DATA'!B:B,'Country Summary (€)'!B46)/1000000000</f>
        <v>5.2958190509385356E-2</v>
      </c>
      <c r="F46" s="261">
        <f>SUMIFS('Bilateral Assistance, MAIN DATA'!S:S,'Bilateral Assistance, MAIN DATA'!D:D,"Military",'Bilateral Assistance, MAIN DATA'!B:B,'Country Summary (€)'!B46)/1000000000</f>
        <v>0.3283765566618333</v>
      </c>
      <c r="G46" s="264">
        <f t="shared" si="3"/>
        <v>0.83553474717121867</v>
      </c>
      <c r="H46" s="299">
        <f>1427380681294.55/1000000000</f>
        <v>1427.38068129455</v>
      </c>
      <c r="I46" s="299">
        <f>H46/VLOOKUP("USD",'Exchange Rates'!B:C,2,0)</f>
        <v>1313.3793534178781</v>
      </c>
      <c r="J46" s="325">
        <f t="shared" si="6"/>
        <v>6.361716780432565E-2</v>
      </c>
      <c r="K46" s="138">
        <f>VLOOKUP(B46,'EU Aid Shares'!B:E,4,0)</f>
        <v>3.2593350606034379</v>
      </c>
      <c r="L46" s="138">
        <f>VLOOKUP(B46,'EPF Aid Shares'!B:G,6,0)</f>
        <v>0.47327887607485614</v>
      </c>
      <c r="M46" s="127">
        <f>VLOOKUP(B46,'EIB Aid Shares'!B:E,4,0)</f>
        <v>0.22563472061413059</v>
      </c>
      <c r="N46" s="138">
        <f t="shared" si="0"/>
        <v>3.9582486572924247</v>
      </c>
      <c r="O46" s="113">
        <f t="shared" si="1"/>
        <v>0.30137893115128239</v>
      </c>
      <c r="P46" s="266">
        <f t="shared" si="2"/>
        <v>4.7937834044636434</v>
      </c>
      <c r="Q46" s="326">
        <f t="shared" si="4"/>
        <v>0.36499609895560808</v>
      </c>
      <c r="R46" s="138">
        <f>SUMIFS('Bilateral Assistance, MAIN DATA'!S:S,'Bilateral Assistance, MAIN DATA'!AS:AS,1, 'Bilateral Assistance, MAIN DATA'!B:B,B46)/1000000000</f>
        <v>0.3283765566618333</v>
      </c>
      <c r="S46" s="261">
        <f t="shared" si="5"/>
        <v>0</v>
      </c>
    </row>
    <row r="47" spans="2:19" ht="15.95" customHeight="1">
      <c r="B47" s="24" t="s">
        <v>3548</v>
      </c>
      <c r="C47" s="297">
        <v>1</v>
      </c>
      <c r="D47" s="261">
        <f>SUMIFS('Bilateral Assistance, MAIN DATA'!S:S,'Bilateral Assistance, MAIN DATA'!D:D,"Financial",'Bilateral Assistance, MAIN DATA'!B:B,'Country Summary (€)'!B47)/1000000000</f>
        <v>0.19906842957504756</v>
      </c>
      <c r="E47" s="261">
        <f>SUMIFS('Bilateral Assistance, MAIN DATA'!S:S,'Bilateral Assistance, MAIN DATA'!D:D,"Humanitarian",'Bilateral Assistance, MAIN DATA'!B:B,'Country Summary (€)'!B47)/1000000000</f>
        <v>0.14222605672350075</v>
      </c>
      <c r="F47" s="261">
        <f>SUMIFS('Bilateral Assistance, MAIN DATA'!S:S,'Bilateral Assistance, MAIN DATA'!D:D,"Military",'Bilateral Assistance, MAIN DATA'!B:B,'Country Summary (€)'!B47)/1000000000</f>
        <v>1.4866003500532117</v>
      </c>
      <c r="G47" s="264">
        <f t="shared" si="3"/>
        <v>1.82789483635176</v>
      </c>
      <c r="H47" s="299">
        <f>635663801201.765/1000000000</f>
        <v>635.66380120176507</v>
      </c>
      <c r="I47" s="299">
        <f>H47/VLOOKUP("USD",'Exchange Rates'!B:C,2,0)</f>
        <v>584.89492197438813</v>
      </c>
      <c r="J47" s="325">
        <f t="shared" si="6"/>
        <v>0.31251679022643342</v>
      </c>
      <c r="K47" s="138">
        <f>VLOOKUP(B47,'EU Aid Shares'!B:E,4,0)</f>
        <v>0.91663398297854681</v>
      </c>
      <c r="L47" s="138">
        <f>VLOOKUP(B47,'EPF Aid Shares'!B:G,6,0)</f>
        <v>0.20439789332234554</v>
      </c>
      <c r="M47" s="127">
        <f>VLOOKUP(B47,'EIB Aid Shares'!B:E,4,0)</f>
        <v>6.9153322665024983E-2</v>
      </c>
      <c r="N47" s="138">
        <f t="shared" si="0"/>
        <v>1.1901851989659173</v>
      </c>
      <c r="O47" s="113">
        <f t="shared" si="1"/>
        <v>0.20348701181201814</v>
      </c>
      <c r="P47" s="266">
        <f t="shared" si="2"/>
        <v>3.0180800353176771</v>
      </c>
      <c r="Q47" s="326">
        <f t="shared" si="4"/>
        <v>0.51600380203845153</v>
      </c>
      <c r="R47" s="138">
        <f>SUMIFS('Bilateral Assistance, MAIN DATA'!S:S,'Bilateral Assistance, MAIN DATA'!AS:AS,1, 'Bilateral Assistance, MAIN DATA'!B:B,B47)/1000000000</f>
        <v>1.3356992708690643</v>
      </c>
      <c r="S47" s="261">
        <f t="shared" si="5"/>
        <v>0.15090107918414741</v>
      </c>
    </row>
    <row r="48" spans="2:19" ht="15.95" customHeight="1">
      <c r="B48" s="2" t="s">
        <v>3649</v>
      </c>
      <c r="C48" s="297">
        <v>0</v>
      </c>
      <c r="D48" s="261">
        <f>SUMIFS('Bilateral Assistance, MAIN DATA'!S:S,'Bilateral Assistance, MAIN DATA'!D:D,"Financial",'Bilateral Assistance, MAIN DATA'!B:B,'Country Summary (€)'!B48)/1000000000</f>
        <v>3.8970362014152396E-2</v>
      </c>
      <c r="E48" s="261">
        <f>SUMIFS('Bilateral Assistance, MAIN DATA'!S:S,'Bilateral Assistance, MAIN DATA'!D:D,"Humanitarian",'Bilateral Assistance, MAIN DATA'!B:B,'Country Summary (€)'!B48)/1000000000</f>
        <v>0.35155368680135374</v>
      </c>
      <c r="F48" s="261">
        <f>SUMIFS('Bilateral Assistance, MAIN DATA'!S:S,'Bilateral Assistance, MAIN DATA'!D:D,"Military",'Bilateral Assistance, MAIN DATA'!B:B,'Country Summary (€)'!B48)/1000000000</f>
        <v>0</v>
      </c>
      <c r="G48" s="264">
        <f t="shared" si="3"/>
        <v>0.39052404881550612</v>
      </c>
      <c r="H48" s="324">
        <f>800640155387.26/1000000000</f>
        <v>800.64015538726005</v>
      </c>
      <c r="I48" s="299">
        <f>H48/VLOOKUP("USD",'Exchange Rates'!B:C,2,0)</f>
        <v>736.69502704017304</v>
      </c>
      <c r="J48" s="325">
        <f t="shared" si="6"/>
        <v>5.3010273516371956E-2</v>
      </c>
      <c r="K48" s="138">
        <f>VLOOKUP(B48,'EU Aid Shares'!B:E,4,0)</f>
        <v>0</v>
      </c>
      <c r="L48" s="138">
        <f>VLOOKUP(B48,'EPF Aid Shares'!B:G,6,0)</f>
        <v>0</v>
      </c>
      <c r="M48" s="127">
        <f>VLOOKUP(B48,'EIB Aid Shares'!B:E,4,0)</f>
        <v>0</v>
      </c>
      <c r="N48" s="138">
        <f t="shared" si="0"/>
        <v>0</v>
      </c>
      <c r="O48" s="113">
        <f t="shared" si="1"/>
        <v>0</v>
      </c>
      <c r="P48" s="266">
        <f t="shared" si="2"/>
        <v>0.39052404881550612</v>
      </c>
      <c r="Q48" s="326">
        <f t="shared" si="4"/>
        <v>5.3010273516371956E-2</v>
      </c>
      <c r="R48" s="138">
        <f>SUMIFS('Bilateral Assistance, MAIN DATA'!S:S,'Bilateral Assistance, MAIN DATA'!AS:AS,1, 'Bilateral Assistance, MAIN DATA'!B:B,B48)/1000000000</f>
        <v>0</v>
      </c>
      <c r="S48" s="261">
        <f t="shared" si="5"/>
        <v>0</v>
      </c>
    </row>
    <row r="49" spans="2:19" ht="15.95" customHeight="1">
      <c r="B49" s="2" t="s">
        <v>3685</v>
      </c>
      <c r="C49" s="297">
        <v>0</v>
      </c>
      <c r="D49" s="261">
        <f>SUMIFS('Bilateral Assistance, MAIN DATA'!S:S,'Bilateral Assistance, MAIN DATA'!D:D,"Financial",'Bilateral Assistance, MAIN DATA'!B:B,'Country Summary (€)'!B49)/1000000000</f>
        <v>0</v>
      </c>
      <c r="E49" s="261">
        <f>SUMIFS('Bilateral Assistance, MAIN DATA'!S:S,'Bilateral Assistance, MAIN DATA'!D:D,"Humanitarian",'Bilateral Assistance, MAIN DATA'!B:B,'Country Summary (€)'!B49)/1000000000</f>
        <v>4.6114114832535892E-3</v>
      </c>
      <c r="F49" s="261">
        <f>SUMIFS('Bilateral Assistance, MAIN DATA'!S:S,'Bilateral Assistance, MAIN DATA'!D:D,"Military",'Bilateral Assistance, MAIN DATA'!B:B,'Country Summary (€)'!B49)/1000000000</f>
        <v>6.1735369893264627E-2</v>
      </c>
      <c r="G49" s="264">
        <f t="shared" si="3"/>
        <v>6.6346781376518213E-2</v>
      </c>
      <c r="H49" s="324">
        <f>819035182929.585/1000000000</f>
        <v>819.03518292958495</v>
      </c>
      <c r="I49" s="299">
        <f>H49/VLOOKUP("USD",'Exchange Rates'!B:C,2,0)</f>
        <v>753.62088970333548</v>
      </c>
      <c r="J49" s="325">
        <f t="shared" si="6"/>
        <v>8.8037343819696631E-3</v>
      </c>
      <c r="K49" s="138">
        <f>VLOOKUP(B49,'EU Aid Shares'!B:E,4,0)</f>
        <v>0</v>
      </c>
      <c r="L49" s="138">
        <f>VLOOKUP(B49,'EPF Aid Shares'!B:G,6,0)</f>
        <v>0</v>
      </c>
      <c r="M49" s="127">
        <f>VLOOKUP(B49,'EIB Aid Shares'!B:E,4,0)</f>
        <v>0</v>
      </c>
      <c r="N49" s="138">
        <f t="shared" si="0"/>
        <v>0</v>
      </c>
      <c r="O49" s="113">
        <f t="shared" si="1"/>
        <v>0</v>
      </c>
      <c r="P49" s="266">
        <f t="shared" si="2"/>
        <v>6.6346781376518213E-2</v>
      </c>
      <c r="Q49" s="326">
        <f t="shared" si="4"/>
        <v>8.8037343819696631E-3</v>
      </c>
      <c r="R49" s="138">
        <f>SUMIFS('Bilateral Assistance, MAIN DATA'!S:S,'Bilateral Assistance, MAIN DATA'!AS:AS,1, 'Bilateral Assistance, MAIN DATA'!B:B,B49)/1000000000</f>
        <v>6.1735369893264627E-2</v>
      </c>
      <c r="S49" s="261">
        <f t="shared" si="5"/>
        <v>0</v>
      </c>
    </row>
    <row r="50" spans="2:19" ht="15.95" customHeight="1">
      <c r="B50" s="24" t="s">
        <v>3748</v>
      </c>
      <c r="C50" s="297">
        <v>0</v>
      </c>
      <c r="D50" s="261">
        <f>SUMIFS('Bilateral Assistance, MAIN DATA'!S:S,'Bilateral Assistance, MAIN DATA'!D:D,"Financial",'Bilateral Assistance, MAIN DATA'!B:B,'Country Summary (€)'!B50)/1000000000</f>
        <v>3.8866162922313756</v>
      </c>
      <c r="E50" s="261">
        <f>SUMIFS('Bilateral Assistance, MAIN DATA'!S:S,'Bilateral Assistance, MAIN DATA'!D:D,"Humanitarian",'Bilateral Assistance, MAIN DATA'!B:B,'Country Summary (€)'!B50)/1000000000</f>
        <v>0.26985659464374639</v>
      </c>
      <c r="F50" s="261">
        <f>SUMIFS('Bilateral Assistance, MAIN DATA'!S:S,'Bilateral Assistance, MAIN DATA'!D:D,"Military",'Bilateral Assistance, MAIN DATA'!B:B,'Country Summary (€)'!B50)/1000000000</f>
        <v>6.5786757252947297</v>
      </c>
      <c r="G50" s="264">
        <f t="shared" si="3"/>
        <v>10.735148612169851</v>
      </c>
      <c r="H50" s="299">
        <f>3131377762925.95/1000000000</f>
        <v>3131.3777629259503</v>
      </c>
      <c r="I50" s="299">
        <f>H50/VLOOKUP("USD",'Exchange Rates'!B:C,2,0)</f>
        <v>2881.2824465641797</v>
      </c>
      <c r="J50" s="325">
        <f t="shared" si="6"/>
        <v>0.37258230705466278</v>
      </c>
      <c r="K50" s="138">
        <f>VLOOKUP(B50,'EU Aid Shares'!B:E,4,0)</f>
        <v>0</v>
      </c>
      <c r="L50" s="138">
        <f>VLOOKUP(B50,'EPF Aid Shares'!B:G,6,0)</f>
        <v>0</v>
      </c>
      <c r="M50" s="127">
        <f>VLOOKUP(B50,'EIB Aid Shares'!B:E,4,0)</f>
        <v>0</v>
      </c>
      <c r="N50" s="138">
        <f t="shared" si="0"/>
        <v>0</v>
      </c>
      <c r="O50" s="113">
        <f t="shared" si="1"/>
        <v>0</v>
      </c>
      <c r="P50" s="266">
        <f t="shared" si="2"/>
        <v>10.735148612169851</v>
      </c>
      <c r="Q50" s="326">
        <f t="shared" si="4"/>
        <v>0.37258230705466278</v>
      </c>
      <c r="R50" s="138">
        <f>SUMIFS('Bilateral Assistance, MAIN DATA'!S:S,'Bilateral Assistance, MAIN DATA'!AS:AS,1, 'Bilateral Assistance, MAIN DATA'!B:B,B50)/1000000000</f>
        <v>6.5786757252947297</v>
      </c>
      <c r="S50" s="261">
        <f t="shared" si="5"/>
        <v>0</v>
      </c>
    </row>
    <row r="51" spans="2:19" ht="15.95" customHeight="1">
      <c r="B51" s="24" t="s">
        <v>3949</v>
      </c>
      <c r="C51" s="297">
        <v>0</v>
      </c>
      <c r="D51" s="261">
        <f>SUMIFS('Bilateral Assistance, MAIN DATA'!S:S,'Bilateral Assistance, MAIN DATA'!D:D,"Financial",'Bilateral Assistance, MAIN DATA'!B:B,'Country Summary (€)'!B51)/1000000000</f>
        <v>24.263894000736109</v>
      </c>
      <c r="E51" s="261">
        <f>SUMIFS('Bilateral Assistance, MAIN DATA'!S:S,'Bilateral Assistance, MAIN DATA'!D:D,"Humanitarian",'Bilateral Assistance, MAIN DATA'!B:B,'Country Summary (€)'!B51)/1000000000</f>
        <v>3.5981956128082446</v>
      </c>
      <c r="F51" s="261">
        <f>SUMIFS('Bilateral Assistance, MAIN DATA'!S:S,'Bilateral Assistance, MAIN DATA'!D:D,"Military",'Bilateral Assistance, MAIN DATA'!B:B,'Country Summary (€)'!B51)/1000000000</f>
        <v>42.836768494663232</v>
      </c>
      <c r="G51" s="264">
        <f t="shared" si="3"/>
        <v>70.698858108207588</v>
      </c>
      <c r="H51" s="299">
        <f>23315080560000/1000000000</f>
        <v>23315.080559999999</v>
      </c>
      <c r="I51" s="299">
        <f>H51/VLOOKUP("USD",'Exchange Rates'!B:C,2,0)</f>
        <v>21452.963341921237</v>
      </c>
      <c r="J51" s="325">
        <f t="shared" si="6"/>
        <v>0.3295528779935728</v>
      </c>
      <c r="K51" s="138">
        <f>VLOOKUP(B51,'EU Aid Shares'!B:E,4,0)</f>
        <v>0</v>
      </c>
      <c r="L51" s="138">
        <f>VLOOKUP(B51,'EPF Aid Shares'!B:G,6,0)</f>
        <v>0</v>
      </c>
      <c r="M51" s="127">
        <f>VLOOKUP(B51,'EIB Aid Shares'!B:E,4,0)</f>
        <v>0</v>
      </c>
      <c r="N51" s="138">
        <f t="shared" si="0"/>
        <v>0</v>
      </c>
      <c r="O51" s="113">
        <f t="shared" si="1"/>
        <v>0</v>
      </c>
      <c r="P51" s="266">
        <f t="shared" si="2"/>
        <v>70.698858108207588</v>
      </c>
      <c r="Q51" s="326">
        <f t="shared" si="4"/>
        <v>0.3295528779935728</v>
      </c>
      <c r="R51" s="138">
        <f>SUMIFS('Bilateral Assistance, MAIN DATA'!S:S,'Bilateral Assistance, MAIN DATA'!AS:AS,1, 'Bilateral Assistance, MAIN DATA'!B:B,B51)/1000000000</f>
        <v>42.836768494663232</v>
      </c>
      <c r="S51" s="261">
        <f t="shared" si="5"/>
        <v>0</v>
      </c>
    </row>
    <row r="52" spans="2:19" ht="15.95" customHeight="1">
      <c r="B52" s="24" t="s">
        <v>905</v>
      </c>
      <c r="C52" s="297">
        <v>0</v>
      </c>
      <c r="D52" s="261">
        <f>SUMIFS('Bilateral Assistance, MAIN DATA'!S:S,'Bilateral Assistance, MAIN DATA'!D:D,"Financial",'Bilateral Assistance, MAIN DATA'!B:B,'Country Summary (€)'!B52)/1000000000</f>
        <v>0</v>
      </c>
      <c r="E52" s="261">
        <f>SUMIFS('Bilateral Assistance, MAIN DATA'!S:S,'Bilateral Assistance, MAIN DATA'!D:D,"Humanitarian",'Bilateral Assistance, MAIN DATA'!B:B,'Country Summary (€)'!B52)/1000000000</f>
        <v>2.1750355506399113E-3</v>
      </c>
      <c r="F52" s="261">
        <f>SUMIFS('Bilateral Assistance, MAIN DATA'!S:S,'Bilateral Assistance, MAIN DATA'!D:D,"Military",'Bilateral Assistance, MAIN DATA'!B:B,'Country Summary (€)'!B52)/1000000000</f>
        <v>0</v>
      </c>
      <c r="G52" s="264">
        <f t="shared" si="3"/>
        <v>2.1750355506399113E-3</v>
      </c>
      <c r="H52" s="299">
        <f>17734062645371.4/1000000000</f>
        <v>17734.062645371399</v>
      </c>
      <c r="I52" s="299">
        <f>H52/VLOOKUP("USD",'Exchange Rates'!B:C,2,0)</f>
        <v>16317.687380724512</v>
      </c>
      <c r="J52" s="325">
        <f t="shared" si="6"/>
        <v>1.3329312542224588E-5</v>
      </c>
      <c r="K52" s="138">
        <f>VLOOKUP(B52,'EU Aid Shares'!B:E,4,0)</f>
        <v>0</v>
      </c>
      <c r="L52" s="138">
        <f>VLOOKUP(B52,'EPF Aid Shares'!B:G,6,0)</f>
        <v>0</v>
      </c>
      <c r="M52" s="127">
        <f>VLOOKUP(B52,'EIB Aid Shares'!B:E,4,0)</f>
        <v>0</v>
      </c>
      <c r="N52" s="138">
        <f t="shared" si="0"/>
        <v>0</v>
      </c>
      <c r="O52" s="113">
        <f t="shared" si="1"/>
        <v>0</v>
      </c>
      <c r="P52" s="266">
        <f t="shared" si="2"/>
        <v>2.1750355506399113E-3</v>
      </c>
      <c r="Q52" s="326">
        <f t="shared" si="4"/>
        <v>1.3329312542224588E-5</v>
      </c>
      <c r="R52" s="138">
        <f>SUMIFS('Bilateral Assistance, MAIN DATA'!S:S,'Bilateral Assistance, MAIN DATA'!AS:AS,1, 'Bilateral Assistance, MAIN DATA'!B:B,B52)/1000000000</f>
        <v>0</v>
      </c>
      <c r="S52" s="261">
        <f t="shared" si="5"/>
        <v>0</v>
      </c>
    </row>
    <row r="53" spans="2:19" ht="15.95" customHeight="1">
      <c r="B53" s="24" t="s">
        <v>3713</v>
      </c>
      <c r="C53" s="297">
        <v>0</v>
      </c>
      <c r="D53" s="261">
        <f>SUMIFS('Bilateral Assistance, MAIN DATA'!S:S,'Bilateral Assistance, MAIN DATA'!D:D,"Financial",'Bilateral Assistance, MAIN DATA'!B:B,'Country Summary (€)'!B53)/1000000000</f>
        <v>0</v>
      </c>
      <c r="E53" s="261">
        <f>SUMIFS('Bilateral Assistance, MAIN DATA'!S:S,'Bilateral Assistance, MAIN DATA'!D:D,"Humanitarian",'Bilateral Assistance, MAIN DATA'!B:B,'Country Summary (€)'!B53)/1000000000</f>
        <v>6.3029076186970928E-2</v>
      </c>
      <c r="F53" s="261">
        <f>SUMIFS('Bilateral Assistance, MAIN DATA'!S:S,'Bilateral Assistance, MAIN DATA'!D:D,"Military",'Bilateral Assistance, MAIN DATA'!B:B,'Country Summary (€)'!B53)/1000000000</f>
        <v>0</v>
      </c>
      <c r="G53" s="264">
        <f t="shared" si="3"/>
        <v>6.3029076186970928E-2</v>
      </c>
      <c r="H53" s="299">
        <f>775000000000/1000000000</f>
        <v>775</v>
      </c>
      <c r="I53" s="299">
        <f>H53/VLOOKUP("USD",'Exchange Rates'!B:C,2,0)</f>
        <v>713.10268678689727</v>
      </c>
      <c r="J53" s="325">
        <f t="shared" si="6"/>
        <v>8.8387096774193569E-3</v>
      </c>
      <c r="K53" s="138">
        <f>VLOOKUP(B53,'EU Aid Shares'!B:E,4,0)</f>
        <v>0</v>
      </c>
      <c r="L53" s="138">
        <f>VLOOKUP(B53,'EPF Aid Shares'!B:G,6,0)</f>
        <v>0</v>
      </c>
      <c r="M53" s="127">
        <f>VLOOKUP(B53,'EIB Aid Shares'!B:E,4,0)</f>
        <v>0</v>
      </c>
      <c r="N53" s="138">
        <f t="shared" si="0"/>
        <v>0</v>
      </c>
      <c r="O53" s="113">
        <f t="shared" si="1"/>
        <v>0</v>
      </c>
      <c r="P53" s="266">
        <f t="shared" si="2"/>
        <v>6.3029076186970928E-2</v>
      </c>
      <c r="Q53" s="326">
        <f t="shared" si="4"/>
        <v>8.8387096774193569E-3</v>
      </c>
      <c r="R53" s="138">
        <f>SUMIFS('Bilateral Assistance, MAIN DATA'!S:S,'Bilateral Assistance, MAIN DATA'!AS:AS,1, 'Bilateral Assistance, MAIN DATA'!B:B,B53)/1000000000</f>
        <v>0</v>
      </c>
      <c r="S53" s="261">
        <f t="shared" si="5"/>
        <v>0</v>
      </c>
    </row>
    <row r="54" spans="2:19" ht="15.95" customHeight="1">
      <c r="B54" s="258" t="s">
        <v>2076</v>
      </c>
      <c r="C54" s="328">
        <v>0</v>
      </c>
      <c r="D54" s="262">
        <f>SUMIFS('Bilateral Assistance, MAIN DATA'!S:S,'Bilateral Assistance, MAIN DATA'!D:D,"Financial",'Bilateral Assistance, MAIN DATA'!B:B,'Country Summary (€)'!B54)/1000000000</f>
        <v>0</v>
      </c>
      <c r="E54" s="262">
        <f>SUMIFS('Bilateral Assistance, MAIN DATA'!S:S,'Bilateral Assistance, MAIN DATA'!D:D,"Humanitarian",'Bilateral Assistance, MAIN DATA'!B:B,'Country Summary (€)'!B54)/1000000000</f>
        <v>1.7917280088332722E-3</v>
      </c>
      <c r="F54" s="262">
        <f>SUMIFS('Bilateral Assistance, MAIN DATA'!S:S,'Bilateral Assistance, MAIN DATA'!D:D,"Military",'Bilateral Assistance, MAIN DATA'!B:B,'Country Summary (€)'!B54)/1000000000</f>
        <v>0</v>
      </c>
      <c r="G54" s="265">
        <f t="shared" si="3"/>
        <v>1.7917280088332722E-3</v>
      </c>
      <c r="H54" s="329">
        <f>3176295065497.24/1000000000</f>
        <v>3176.2950654972401</v>
      </c>
      <c r="I54" s="329">
        <f>H54/VLOOKUP("USD",'Exchange Rates'!B:C,2,0)</f>
        <v>2922.612316431027</v>
      </c>
      <c r="J54" s="325">
        <f t="shared" si="6"/>
        <v>6.1305702393715236E-5</v>
      </c>
      <c r="K54" s="267">
        <f>VLOOKUP(B54,'EU Aid Shares'!B:E,4,0)</f>
        <v>0</v>
      </c>
      <c r="L54" s="267">
        <f>VLOOKUP(B54,'EPF Aid Shares'!B:G,6,0)</f>
        <v>0</v>
      </c>
      <c r="M54" s="330">
        <f>VLOOKUP(B54,'EIB Aid Shares'!B:E,4,0)</f>
        <v>0</v>
      </c>
      <c r="N54" s="267">
        <f t="shared" si="0"/>
        <v>0</v>
      </c>
      <c r="O54" s="113">
        <f t="shared" si="1"/>
        <v>0</v>
      </c>
      <c r="P54" s="331">
        <f t="shared" si="2"/>
        <v>1.7917280088332722E-3</v>
      </c>
      <c r="Q54" s="326">
        <f t="shared" si="4"/>
        <v>6.1305702393715236E-5</v>
      </c>
      <c r="R54" s="138">
        <f>SUMIFS('Bilateral Assistance, MAIN DATA'!S:S,'Bilateral Assistance, MAIN DATA'!AS:AS,1, 'Bilateral Assistance, MAIN DATA'!B:B,B54)/1000000000</f>
        <v>0</v>
      </c>
      <c r="S54" s="261">
        <f t="shared" si="5"/>
        <v>0</v>
      </c>
    </row>
    <row r="55" spans="2:19" ht="15.95" customHeight="1">
      <c r="B55" s="65" t="s">
        <v>4530</v>
      </c>
      <c r="C55" s="332" t="s">
        <v>364</v>
      </c>
      <c r="D55" s="333">
        <f>SUM(D13:D54)</f>
        <v>69.307905394291481</v>
      </c>
      <c r="E55" s="333">
        <f>SUM(E13:E54)</f>
        <v>13.739600760593259</v>
      </c>
      <c r="F55" s="333">
        <f>SUM(F13:F54)</f>
        <v>74.767941347927447</v>
      </c>
      <c r="G55" s="333">
        <f t="shared" ref="G55:S55" si="7">SUM(G13:G54)</f>
        <v>157.81544750281222</v>
      </c>
      <c r="H55" s="334">
        <f t="shared" si="7"/>
        <v>95156.830865573153</v>
      </c>
      <c r="I55" s="334">
        <f t="shared" si="7"/>
        <v>87556.892588860122</v>
      </c>
      <c r="J55" s="650" t="s">
        <v>364</v>
      </c>
      <c r="K55" s="333">
        <f t="shared" si="7"/>
        <v>27.459999999999994</v>
      </c>
      <c r="L55" s="333">
        <f t="shared" si="7"/>
        <v>5.5999999999999988</v>
      </c>
      <c r="M55" s="333">
        <f t="shared" si="7"/>
        <v>2.0024999999999995</v>
      </c>
      <c r="N55" s="333">
        <f t="shared" si="7"/>
        <v>35.0625</v>
      </c>
      <c r="O55" s="650" t="s">
        <v>364</v>
      </c>
      <c r="P55" s="333">
        <f t="shared" si="7"/>
        <v>192.87794750281219</v>
      </c>
      <c r="Q55" s="650" t="s">
        <v>364</v>
      </c>
      <c r="R55" s="333">
        <f t="shared" si="7"/>
        <v>73.913454286815224</v>
      </c>
      <c r="S55" s="333">
        <f t="shared" si="7"/>
        <v>0.85448706111222383</v>
      </c>
    </row>
    <row r="56" spans="2:19" ht="15.95" customHeight="1">
      <c r="B56" s="2"/>
      <c r="C56" s="335"/>
      <c r="G56" s="264"/>
      <c r="H56" s="324"/>
      <c r="J56" s="107"/>
      <c r="S56" s="336"/>
    </row>
    <row r="57" spans="2:19" ht="15.95" customHeight="1">
      <c r="G57" s="264"/>
      <c r="H57" s="299"/>
      <c r="J57" s="107"/>
      <c r="S57" s="2"/>
    </row>
    <row r="58" spans="2:19" ht="15.95" customHeight="1">
      <c r="G58" s="264"/>
      <c r="H58" s="299"/>
      <c r="S58" s="2"/>
    </row>
    <row r="59" spans="2:19" ht="15.95" customHeight="1">
      <c r="G59" s="264"/>
      <c r="H59" s="299"/>
      <c r="S59" s="2"/>
    </row>
    <row r="60" spans="2:19" ht="15.95" customHeight="1">
      <c r="H60" s="299"/>
      <c r="S60" s="2"/>
    </row>
    <row r="61" spans="2:19" ht="15.95" customHeight="1">
      <c r="H61" s="299"/>
      <c r="S61" s="2"/>
    </row>
    <row r="62" spans="2:19" ht="15.95" customHeight="1">
      <c r="B62" s="108"/>
      <c r="C62" s="338"/>
      <c r="H62" s="299"/>
      <c r="S62" s="2"/>
    </row>
    <row r="63" spans="2:19" ht="15.95" customHeight="1">
      <c r="H63" s="299"/>
      <c r="S63" s="2"/>
    </row>
    <row r="64" spans="2:19" ht="15.95" customHeight="1">
      <c r="B64" s="22"/>
      <c r="C64" s="339"/>
      <c r="G64" s="264"/>
      <c r="H64" s="299"/>
      <c r="S64" s="2"/>
    </row>
    <row r="65" spans="7:19" ht="15.95" customHeight="1">
      <c r="G65" s="261"/>
      <c r="H65" s="299"/>
      <c r="S65" s="2"/>
    </row>
    <row r="66" spans="7:19" ht="15.95" customHeight="1">
      <c r="G66" s="253"/>
      <c r="S66" s="2"/>
    </row>
    <row r="67" spans="7:19" ht="15.95" customHeight="1">
      <c r="G67" s="264"/>
      <c r="S67" s="2"/>
    </row>
    <row r="68" spans="7:19" ht="15.95" customHeight="1">
      <c r="G68" s="264"/>
      <c r="S68" s="2"/>
    </row>
    <row r="69" spans="7:19" ht="15.95" customHeight="1">
      <c r="S69" s="2"/>
    </row>
    <row r="70" spans="7:19" ht="15.95" customHeight="1">
      <c r="S70" s="2"/>
    </row>
    <row r="71" spans="7:19" ht="15.95" customHeight="1">
      <c r="S71" s="2"/>
    </row>
    <row r="72" spans="7:19" ht="15.95" customHeight="1">
      <c r="S72" s="2"/>
    </row>
    <row r="73" spans="7:19" ht="15.95" customHeight="1">
      <c r="S73" s="2"/>
    </row>
    <row r="74" spans="7:19" ht="15.95" customHeight="1">
      <c r="S74" s="2"/>
    </row>
    <row r="75" spans="7:19" ht="15.95" customHeight="1">
      <c r="S75" s="2"/>
    </row>
    <row r="76" spans="7:19" ht="15.95" customHeight="1">
      <c r="S76" s="2"/>
    </row>
    <row r="77" spans="7:19" ht="15.95" customHeight="1">
      <c r="S77" s="2"/>
    </row>
    <row r="78" spans="7:19" ht="15.95" customHeight="1">
      <c r="S78" s="2"/>
    </row>
    <row r="79" spans="7:19" ht="15.95" customHeight="1">
      <c r="S79" s="2"/>
    </row>
    <row r="80" spans="7:19" ht="15.95" customHeight="1">
      <c r="S80" s="2"/>
    </row>
    <row r="81" spans="19:19" ht="15.95" customHeight="1">
      <c r="S81" s="2"/>
    </row>
    <row r="82" spans="19:19" ht="15.95" customHeight="1">
      <c r="S82" s="2"/>
    </row>
    <row r="83" spans="19:19" ht="15.95" customHeight="1">
      <c r="S83" s="2"/>
    </row>
    <row r="84" spans="19:19" ht="15.95" customHeight="1">
      <c r="S84" s="2"/>
    </row>
    <row r="85" spans="19:19" ht="15.95" customHeight="1">
      <c r="S85" s="2"/>
    </row>
    <row r="86" spans="19:19" ht="15.95" customHeight="1">
      <c r="S86" s="2"/>
    </row>
    <row r="87" spans="19:19" ht="15.95" customHeight="1">
      <c r="S87" s="2"/>
    </row>
    <row r="88" spans="19:19" ht="15.95" customHeight="1">
      <c r="S88" s="2"/>
    </row>
    <row r="89" spans="19:19" ht="15.95" customHeight="1">
      <c r="S89" s="2"/>
    </row>
    <row r="90" spans="19:19" ht="15.95" customHeight="1">
      <c r="S90" s="2"/>
    </row>
    <row r="91" spans="19:19" ht="15.95" customHeight="1">
      <c r="S91" s="2"/>
    </row>
    <row r="92" spans="19:19" ht="15.95" customHeight="1">
      <c r="S92" s="2"/>
    </row>
    <row r="93" spans="19:19" ht="15.95" customHeight="1">
      <c r="S93" s="2"/>
    </row>
    <row r="94" spans="19:19" ht="15.95" customHeight="1">
      <c r="S94" s="2"/>
    </row>
    <row r="95" spans="19:19" ht="15.95" customHeight="1">
      <c r="S95" s="2"/>
    </row>
    <row r="96" spans="19:19" ht="15.95" customHeight="1">
      <c r="S96" s="2"/>
    </row>
    <row r="97" spans="19:19" ht="15.95" customHeight="1">
      <c r="S97" s="2"/>
    </row>
    <row r="98" spans="19:19" ht="15.95" customHeight="1">
      <c r="S98" s="2"/>
    </row>
    <row r="99" spans="19:19" ht="15.95" customHeight="1">
      <c r="S99" s="2"/>
    </row>
    <row r="100" spans="19:19" ht="15.95" customHeight="1">
      <c r="S100" s="2"/>
    </row>
    <row r="101" spans="19:19" ht="15.95" customHeight="1">
      <c r="S101" s="2"/>
    </row>
    <row r="102" spans="19:19" ht="15.95" customHeight="1">
      <c r="S102" s="2"/>
    </row>
    <row r="103" spans="19:19" ht="15.95" customHeight="1">
      <c r="S103" s="2"/>
    </row>
    <row r="104" spans="19:19" ht="15.95" customHeight="1">
      <c r="S104" s="2"/>
    </row>
    <row r="105" spans="19:19" ht="15.95" customHeight="1">
      <c r="S105" s="2"/>
    </row>
    <row r="106" spans="19:19" ht="15.95" customHeight="1">
      <c r="S106" s="2"/>
    </row>
    <row r="107" spans="19:19" ht="15.95" customHeight="1">
      <c r="S107" s="2"/>
    </row>
    <row r="108" spans="19:19" ht="15.95" customHeight="1">
      <c r="S108" s="2"/>
    </row>
    <row r="109" spans="19:19" ht="15.95" customHeight="1">
      <c r="S109" s="2"/>
    </row>
    <row r="110" spans="19:19" ht="15.95" customHeight="1">
      <c r="S110" s="2"/>
    </row>
    <row r="111" spans="19:19" ht="15.95" customHeight="1">
      <c r="S111" s="2"/>
    </row>
    <row r="112" spans="19:19" ht="15.95" customHeight="1">
      <c r="S112" s="2"/>
    </row>
    <row r="113" spans="19:19" ht="15.95" customHeight="1">
      <c r="S113" s="2"/>
    </row>
    <row r="114" spans="19:19" ht="15.95" customHeight="1">
      <c r="S114" s="2"/>
    </row>
    <row r="115" spans="19:19" ht="15.95" customHeight="1">
      <c r="S115" s="2"/>
    </row>
    <row r="116" spans="19:19" ht="15.95" customHeight="1">
      <c r="S116" s="2"/>
    </row>
    <row r="117" spans="19:19" ht="15.95" customHeight="1">
      <c r="S117" s="2"/>
    </row>
    <row r="118" spans="19:19" ht="15.95" customHeight="1">
      <c r="S118" s="2"/>
    </row>
    <row r="119" spans="19:19" ht="15.95" customHeight="1">
      <c r="S119" s="2"/>
    </row>
    <row r="120" spans="19:19" ht="15.95" customHeight="1">
      <c r="S120" s="2"/>
    </row>
    <row r="121" spans="19:19" ht="15.95" customHeight="1">
      <c r="S121" s="2"/>
    </row>
    <row r="122" spans="19:19" ht="15.95" customHeight="1">
      <c r="S122" s="2"/>
    </row>
    <row r="123" spans="19:19" ht="15.95" customHeight="1">
      <c r="S123" s="2"/>
    </row>
    <row r="124" spans="19:19" ht="15.95" customHeight="1">
      <c r="S124" s="2"/>
    </row>
    <row r="125" spans="19:19" ht="15.95" customHeight="1">
      <c r="S125" s="2"/>
    </row>
    <row r="126" spans="19:19" ht="15.95" customHeight="1">
      <c r="S126" s="2"/>
    </row>
    <row r="127" spans="19:19" ht="15.95" customHeight="1">
      <c r="S127" s="2"/>
    </row>
    <row r="128" spans="19:19" ht="15.95" customHeight="1">
      <c r="S128" s="2"/>
    </row>
    <row r="129" spans="19:19" ht="15.95" customHeight="1">
      <c r="S129" s="2"/>
    </row>
    <row r="130" spans="19:19" ht="15.95" customHeight="1">
      <c r="S130" s="2"/>
    </row>
    <row r="131" spans="19:19" ht="15.95" customHeight="1">
      <c r="S131" s="2"/>
    </row>
    <row r="133" spans="19:19" ht="15.95" customHeight="1">
      <c r="S133" s="2"/>
    </row>
    <row r="134" spans="19:19" ht="15.95" customHeight="1">
      <c r="S134" s="2"/>
    </row>
    <row r="135" spans="19:19" ht="15.95" customHeight="1">
      <c r="S135" s="2"/>
    </row>
    <row r="136" spans="19:19" ht="15.95" customHeight="1">
      <c r="S136" s="2"/>
    </row>
    <row r="137" spans="19:19" ht="15.95" customHeight="1">
      <c r="S137" s="2"/>
    </row>
    <row r="138" spans="19:19" ht="15.95" customHeight="1">
      <c r="S138" s="2"/>
    </row>
    <row r="139" spans="19:19" ht="15.95" customHeight="1">
      <c r="S139" s="2"/>
    </row>
    <row r="140" spans="19:19" ht="15.95" customHeight="1">
      <c r="S140" s="2"/>
    </row>
    <row r="141" spans="19:19" ht="15.95" customHeight="1">
      <c r="S141" s="2"/>
    </row>
    <row r="142" spans="19:19" ht="15.95" customHeight="1">
      <c r="S142" s="2"/>
    </row>
    <row r="143" spans="19:19" ht="15.95" customHeight="1">
      <c r="S143" s="2"/>
    </row>
    <row r="144" spans="19:19" ht="15.95" customHeight="1">
      <c r="S144" s="2"/>
    </row>
    <row r="145" spans="19:19" ht="15.95" customHeight="1">
      <c r="S145" s="2"/>
    </row>
    <row r="146" spans="19:19" ht="15.95" customHeight="1">
      <c r="S146" s="2"/>
    </row>
    <row r="147" spans="19:19" ht="15.95" customHeight="1">
      <c r="S147" s="2"/>
    </row>
    <row r="148" spans="19:19" ht="15.95" customHeight="1">
      <c r="S148" s="2"/>
    </row>
    <row r="149" spans="19:19" ht="15.95" customHeight="1">
      <c r="S149" s="2"/>
    </row>
    <row r="150" spans="19:19" ht="15.95" customHeight="1">
      <c r="S150" s="2"/>
    </row>
    <row r="151" spans="19:19" ht="15.95" customHeight="1">
      <c r="S151" s="2"/>
    </row>
    <row r="152" spans="19:19" ht="15.95" customHeight="1">
      <c r="S152" s="2"/>
    </row>
    <row r="153" spans="19:19" ht="15.95" customHeight="1">
      <c r="S153" s="2"/>
    </row>
    <row r="154" spans="19:19" ht="15.95" customHeight="1">
      <c r="S154" s="2"/>
    </row>
    <row r="155" spans="19:19" ht="15.95" customHeight="1">
      <c r="S155" s="2"/>
    </row>
    <row r="156" spans="19:19" ht="15.95" customHeight="1">
      <c r="S156" s="2"/>
    </row>
    <row r="157" spans="19:19" ht="15.95" customHeight="1">
      <c r="S157" s="2"/>
    </row>
    <row r="158" spans="19:19" ht="15.95" customHeight="1">
      <c r="S158" s="2"/>
    </row>
    <row r="159" spans="19:19" ht="15.95" customHeight="1">
      <c r="S159" s="2"/>
    </row>
    <row r="160" spans="19:19" ht="15.95" customHeight="1">
      <c r="S160" s="2"/>
    </row>
    <row r="161" spans="19:19" ht="15.95" customHeight="1">
      <c r="S161" s="2"/>
    </row>
    <row r="162" spans="19:19" ht="15.95" customHeight="1">
      <c r="S162" s="2"/>
    </row>
    <row r="163" spans="19:19" ht="15.95" customHeight="1">
      <c r="S163" s="2"/>
    </row>
    <row r="164" spans="19:19" ht="15.95" customHeight="1">
      <c r="S164" s="2"/>
    </row>
    <row r="165" spans="19:19" ht="15.95" customHeight="1">
      <c r="S165" s="2"/>
    </row>
    <row r="166" spans="19:19" ht="15.95" customHeight="1">
      <c r="S166" s="2"/>
    </row>
  </sheetData>
  <sortState xmlns:xlrd2="http://schemas.microsoft.com/office/spreadsheetml/2017/richdata2" ref="B13:Q51">
    <sortCondition ref="B13:B51"/>
  </sortState>
  <mergeCells count="3">
    <mergeCell ref="B11:B12"/>
    <mergeCell ref="C11:C12"/>
    <mergeCell ref="B4:F9"/>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D869E-D617-48DD-A641-F08B81652E1E}">
  <sheetPr>
    <tabColor theme="5" tint="0.59999389629810485"/>
  </sheetPr>
  <dimension ref="B1:M56"/>
  <sheetViews>
    <sheetView showGridLines="0" zoomScaleNormal="100" workbookViewId="0"/>
  </sheetViews>
  <sheetFormatPr defaultColWidth="8.625" defaultRowHeight="15.95" customHeight="1"/>
  <cols>
    <col min="1" max="1" width="8.625" style="1110" customWidth="1"/>
    <col min="2" max="2" width="33.5" style="1110" customWidth="1"/>
    <col min="3" max="3" width="38.375" style="1111" customWidth="1"/>
    <col min="4" max="4" width="34.25" style="1112" customWidth="1"/>
    <col min="5" max="5" width="28.25" style="1113" customWidth="1"/>
    <col min="6" max="6" width="26.5" style="1114" customWidth="1"/>
    <col min="7" max="7" width="28" style="1113" customWidth="1"/>
    <col min="8" max="8" width="36" style="1115" customWidth="1"/>
    <col min="9" max="9" width="39.75" style="1115" bestFit="1" customWidth="1"/>
    <col min="10" max="10" width="8.625" style="1110" customWidth="1"/>
    <col min="11" max="16384" width="8.625" style="1110"/>
  </cols>
  <sheetData>
    <row r="1" spans="2:13" s="1106" customFormat="1" ht="15.95" customHeight="1">
      <c r="B1" s="1102"/>
      <c r="C1" s="1103"/>
      <c r="D1" s="1103"/>
      <c r="E1" s="1103"/>
      <c r="F1" s="1103"/>
      <c r="G1" s="1102"/>
      <c r="H1" s="1104"/>
      <c r="I1" s="1105"/>
    </row>
    <row r="2" spans="2:13" s="1102" customFormat="1" ht="24.75" customHeight="1">
      <c r="B2" s="1107" t="s">
        <v>4878</v>
      </c>
      <c r="H2" s="1104"/>
      <c r="I2" s="1104"/>
    </row>
    <row r="3" spans="2:13" s="1108" customFormat="1" ht="15.95" customHeight="1">
      <c r="C3" s="1102"/>
      <c r="H3" s="1109"/>
      <c r="I3" s="1109"/>
    </row>
    <row r="4" spans="2:13" s="1108" customFormat="1" ht="15.95" customHeight="1">
      <c r="B4" s="1488" t="s">
        <v>4879</v>
      </c>
      <c r="C4" s="1489"/>
      <c r="D4" s="1489"/>
      <c r="E4" s="1489"/>
      <c r="F4" s="1489"/>
      <c r="G4" s="1489"/>
      <c r="H4" s="1109"/>
      <c r="I4" s="1109"/>
    </row>
    <row r="5" spans="2:13" s="1108" customFormat="1" ht="15.95" customHeight="1">
      <c r="B5" s="1489"/>
      <c r="C5" s="1489"/>
      <c r="D5" s="1489"/>
      <c r="E5" s="1489"/>
      <c r="F5" s="1489"/>
      <c r="G5" s="1489"/>
      <c r="H5" s="1109"/>
      <c r="I5" s="1109"/>
    </row>
    <row r="6" spans="2:13" s="1108" customFormat="1" ht="15.95" customHeight="1">
      <c r="B6" s="1489"/>
      <c r="C6" s="1489"/>
      <c r="D6" s="1489"/>
      <c r="E6" s="1489"/>
      <c r="F6" s="1489"/>
      <c r="G6" s="1489"/>
      <c r="H6" s="1109"/>
      <c r="I6" s="1109"/>
    </row>
    <row r="7" spans="2:13" s="1108" customFormat="1" ht="15.95" customHeight="1">
      <c r="B7" s="1489"/>
      <c r="C7" s="1489"/>
      <c r="D7" s="1489"/>
      <c r="E7" s="1489"/>
      <c r="F7" s="1489"/>
      <c r="G7" s="1489"/>
      <c r="H7" s="1109"/>
      <c r="I7" s="1109"/>
    </row>
    <row r="8" spans="2:13" s="1108" customFormat="1" ht="15.95" customHeight="1">
      <c r="B8" s="1489"/>
      <c r="C8" s="1489"/>
      <c r="D8" s="1489"/>
      <c r="E8" s="1489"/>
      <c r="F8" s="1489"/>
      <c r="G8" s="1489"/>
      <c r="H8" s="1109"/>
      <c r="I8" s="1109"/>
    </row>
    <row r="9" spans="2:13" s="1108" customFormat="1" ht="21" customHeight="1">
      <c r="B9" s="1489"/>
      <c r="C9" s="1489"/>
      <c r="D9" s="1489"/>
      <c r="E9" s="1489"/>
      <c r="F9" s="1489"/>
      <c r="G9" s="1489"/>
      <c r="H9" s="1109"/>
      <c r="I9" s="1109"/>
    </row>
    <row r="10" spans="2:13" ht="15.95" customHeight="1">
      <c r="H10" s="1100"/>
    </row>
    <row r="11" spans="2:13" s="1120" customFormat="1" ht="21.75" customHeight="1">
      <c r="B11" s="1116" t="s">
        <v>4512</v>
      </c>
      <c r="C11" s="1117" t="s">
        <v>4880</v>
      </c>
      <c r="D11" s="1117" t="s">
        <v>4881</v>
      </c>
      <c r="E11" s="1118"/>
      <c r="F11" s="1119"/>
      <c r="G11" s="1118"/>
      <c r="H11" s="1118" t="s">
        <v>4882</v>
      </c>
      <c r="I11" s="1118"/>
    </row>
    <row r="12" spans="2:13" s="1120" customFormat="1" ht="24.75" customHeight="1">
      <c r="B12" s="1121"/>
      <c r="C12" s="1122"/>
      <c r="D12" s="1123" t="s">
        <v>4883</v>
      </c>
      <c r="E12" s="1122" t="s">
        <v>4884</v>
      </c>
      <c r="F12" s="1123" t="s">
        <v>4885</v>
      </c>
      <c r="G12" s="1124" t="s">
        <v>4886</v>
      </c>
      <c r="H12" s="1124" t="s">
        <v>4887</v>
      </c>
      <c r="I12" s="1124" t="s">
        <v>4888</v>
      </c>
    </row>
    <row r="13" spans="2:13" s="1130" customFormat="1" ht="15.6">
      <c r="B13" s="1125"/>
      <c r="C13" s="1126"/>
      <c r="D13" s="1126"/>
      <c r="E13" s="1127"/>
      <c r="F13" s="1128"/>
      <c r="G13" s="1129"/>
      <c r="H13" s="1129"/>
      <c r="I13" s="1129"/>
    </row>
    <row r="14" spans="2:13" ht="15.95" customHeight="1">
      <c r="B14" s="1131" t="s">
        <v>3649</v>
      </c>
      <c r="C14" s="1132">
        <f t="shared" ref="C14" si="0">IF(D14&lt;&gt;".",1,1-COUNTIF(E14:G14,".")/3)</f>
        <v>1</v>
      </c>
      <c r="D14" s="1133" t="s">
        <v>4889</v>
      </c>
      <c r="E14" s="1132" t="s">
        <v>364</v>
      </c>
      <c r="F14" s="1132" t="s">
        <v>364</v>
      </c>
      <c r="G14" s="1132" t="s">
        <v>364</v>
      </c>
      <c r="H14" s="1100">
        <f t="shared" ref="H14:H55" si="1">IF(I14&lt;&gt;".",1,1-COUNTIF(I14,"."))</f>
        <v>1</v>
      </c>
      <c r="I14" s="1134" t="s">
        <v>4890</v>
      </c>
    </row>
    <row r="15" spans="2:13" ht="15.95" customHeight="1">
      <c r="B15" s="1131" t="s">
        <v>359</v>
      </c>
      <c r="C15" s="1132">
        <f t="shared" ref="C15:C55" si="2">IF(D15&lt;&gt;".",1,1-COUNTIF(E15:G15,".")/3)</f>
        <v>0</v>
      </c>
      <c r="D15" s="985" t="s">
        <v>364</v>
      </c>
      <c r="E15" s="1132" t="s">
        <v>364</v>
      </c>
      <c r="F15" s="1132" t="s">
        <v>364</v>
      </c>
      <c r="G15" s="1132" t="s">
        <v>364</v>
      </c>
      <c r="H15" s="1100">
        <f t="shared" si="1"/>
        <v>0</v>
      </c>
      <c r="I15" s="1100" t="s">
        <v>364</v>
      </c>
      <c r="J15" s="1135"/>
      <c r="K15" s="1135"/>
      <c r="L15" s="1135"/>
      <c r="M15" s="1135"/>
    </row>
    <row r="16" spans="2:13" ht="15.95" customHeight="1">
      <c r="B16" s="1110" t="s">
        <v>454</v>
      </c>
      <c r="C16" s="1132">
        <f t="shared" si="2"/>
        <v>0.33333333333333337</v>
      </c>
      <c r="D16" s="985" t="s">
        <v>364</v>
      </c>
      <c r="E16" s="1132" t="s">
        <v>364</v>
      </c>
      <c r="F16" s="1136" t="s">
        <v>4891</v>
      </c>
      <c r="G16" s="1132" t="s">
        <v>364</v>
      </c>
      <c r="H16" s="1100">
        <f t="shared" si="1"/>
        <v>0</v>
      </c>
      <c r="I16" s="1100" t="s">
        <v>364</v>
      </c>
    </row>
    <row r="17" spans="2:13" ht="15.95" customHeight="1">
      <c r="B17" s="1110" t="s">
        <v>558</v>
      </c>
      <c r="C17" s="1132">
        <f t="shared" si="2"/>
        <v>0</v>
      </c>
      <c r="D17" s="985" t="s">
        <v>364</v>
      </c>
      <c r="E17" s="1132" t="s">
        <v>364</v>
      </c>
      <c r="F17" s="1168" t="s">
        <v>364</v>
      </c>
      <c r="G17" s="1132" t="s">
        <v>364</v>
      </c>
      <c r="H17" s="1100">
        <f t="shared" si="1"/>
        <v>1</v>
      </c>
      <c r="I17" s="1134" t="s">
        <v>4892</v>
      </c>
      <c r="J17" s="1135"/>
      <c r="K17" s="1135"/>
      <c r="L17" s="1135"/>
      <c r="M17" s="1135"/>
    </row>
    <row r="18" spans="2:13" ht="15.95" customHeight="1">
      <c r="B18" s="1110" t="s">
        <v>673</v>
      </c>
      <c r="C18" s="1132">
        <f t="shared" si="2"/>
        <v>0</v>
      </c>
      <c r="D18" s="985" t="s">
        <v>364</v>
      </c>
      <c r="E18" s="1132" t="s">
        <v>364</v>
      </c>
      <c r="F18" s="1132" t="s">
        <v>364</v>
      </c>
      <c r="G18" s="1132" t="s">
        <v>364</v>
      </c>
      <c r="H18" s="1100">
        <f t="shared" si="1"/>
        <v>0</v>
      </c>
      <c r="I18" s="1100" t="s">
        <v>364</v>
      </c>
      <c r="J18" s="1135"/>
      <c r="K18" s="1135"/>
      <c r="L18" s="1135"/>
      <c r="M18" s="1135"/>
    </row>
    <row r="19" spans="2:13" ht="15.95" customHeight="1">
      <c r="B19" s="1139" t="s">
        <v>713</v>
      </c>
      <c r="C19" s="1100">
        <f t="shared" si="2"/>
        <v>0.33333333333333337</v>
      </c>
      <c r="D19" s="985" t="s">
        <v>364</v>
      </c>
      <c r="E19" s="1140" t="s">
        <v>4893</v>
      </c>
      <c r="F19" s="1100" t="s">
        <v>364</v>
      </c>
      <c r="G19" s="1100" t="s">
        <v>364</v>
      </c>
      <c r="H19" s="1100">
        <f t="shared" si="1"/>
        <v>0</v>
      </c>
      <c r="I19" s="1100" t="s">
        <v>364</v>
      </c>
      <c r="J19" s="1135"/>
      <c r="K19" s="1135"/>
      <c r="L19" s="1135"/>
      <c r="M19" s="1135"/>
    </row>
    <row r="20" spans="2:13" ht="15.95" customHeight="1">
      <c r="B20" s="1110" t="s">
        <v>905</v>
      </c>
      <c r="C20" s="1132">
        <f t="shared" si="2"/>
        <v>0</v>
      </c>
      <c r="D20" s="985" t="s">
        <v>364</v>
      </c>
      <c r="E20" s="1132" t="s">
        <v>364</v>
      </c>
      <c r="F20" s="1132" t="s">
        <v>364</v>
      </c>
      <c r="G20" s="1132" t="s">
        <v>364</v>
      </c>
      <c r="H20" s="1100">
        <f t="shared" si="1"/>
        <v>0</v>
      </c>
      <c r="I20" s="1100" t="s">
        <v>364</v>
      </c>
    </row>
    <row r="21" spans="2:13" s="1139" customFormat="1" ht="15.95" customHeight="1">
      <c r="B21" s="1110" t="s">
        <v>918</v>
      </c>
      <c r="C21" s="1132">
        <f t="shared" si="2"/>
        <v>0</v>
      </c>
      <c r="D21" s="985" t="s">
        <v>364</v>
      </c>
      <c r="E21" s="1132" t="s">
        <v>364</v>
      </c>
      <c r="F21" s="1132" t="s">
        <v>364</v>
      </c>
      <c r="G21" s="1132" t="s">
        <v>364</v>
      </c>
      <c r="H21" s="1100">
        <f t="shared" si="1"/>
        <v>0</v>
      </c>
      <c r="I21" s="1100" t="s">
        <v>364</v>
      </c>
    </row>
    <row r="22" spans="2:13" s="1139" customFormat="1" ht="15.95" customHeight="1">
      <c r="B22" s="1110" t="s">
        <v>981</v>
      </c>
      <c r="C22" s="1132">
        <f t="shared" si="2"/>
        <v>0</v>
      </c>
      <c r="D22" s="985" t="s">
        <v>364</v>
      </c>
      <c r="E22" s="1132" t="s">
        <v>364</v>
      </c>
      <c r="F22" s="1132" t="s">
        <v>364</v>
      </c>
      <c r="G22" s="1132" t="s">
        <v>364</v>
      </c>
      <c r="H22" s="1100">
        <f t="shared" si="1"/>
        <v>0</v>
      </c>
      <c r="I22" s="1100" t="s">
        <v>364</v>
      </c>
    </row>
    <row r="23" spans="2:13" s="1139" customFormat="1" ht="15.95" customHeight="1">
      <c r="B23" s="1110" t="s">
        <v>1012</v>
      </c>
      <c r="C23" s="1132">
        <f t="shared" si="2"/>
        <v>0</v>
      </c>
      <c r="D23" s="985" t="s">
        <v>364</v>
      </c>
      <c r="E23" s="1132" t="s">
        <v>364</v>
      </c>
      <c r="F23" s="1132" t="s">
        <v>364</v>
      </c>
      <c r="G23" s="1132" t="s">
        <v>364</v>
      </c>
      <c r="H23" s="1100">
        <f t="shared" si="1"/>
        <v>0</v>
      </c>
      <c r="I23" s="1100" t="s">
        <v>364</v>
      </c>
    </row>
    <row r="24" spans="2:13" ht="15.95" customHeight="1">
      <c r="B24" s="1110" t="s">
        <v>1194</v>
      </c>
      <c r="C24" s="1132">
        <f t="shared" si="2"/>
        <v>1</v>
      </c>
      <c r="D24" s="1133" t="s">
        <v>4894</v>
      </c>
      <c r="E24" s="1132" t="s">
        <v>364</v>
      </c>
      <c r="F24" s="1132" t="s">
        <v>364</v>
      </c>
      <c r="G24" s="1132" t="s">
        <v>364</v>
      </c>
      <c r="H24" s="1100">
        <f t="shared" si="1"/>
        <v>1</v>
      </c>
      <c r="I24" s="1133" t="s">
        <v>4895</v>
      </c>
    </row>
    <row r="25" spans="2:13" ht="15.95" customHeight="1">
      <c r="B25" s="1110" t="s">
        <v>1305</v>
      </c>
      <c r="C25" s="1132">
        <f t="shared" si="2"/>
        <v>1</v>
      </c>
      <c r="D25" s="1137" t="s">
        <v>4896</v>
      </c>
      <c r="E25" s="1132" t="s">
        <v>364</v>
      </c>
      <c r="F25" s="1132" t="s">
        <v>364</v>
      </c>
      <c r="G25" s="1132" t="s">
        <v>364</v>
      </c>
      <c r="H25" s="1100">
        <f t="shared" si="1"/>
        <v>1</v>
      </c>
      <c r="I25" s="1137" t="s">
        <v>4897</v>
      </c>
    </row>
    <row r="26" spans="2:13" ht="15.95" customHeight="1">
      <c r="B26" s="1139" t="s">
        <v>4406</v>
      </c>
      <c r="C26" s="1132">
        <f t="shared" si="2"/>
        <v>1</v>
      </c>
      <c r="D26" s="1137" t="s">
        <v>4898</v>
      </c>
      <c r="E26" s="1132" t="s">
        <v>364</v>
      </c>
      <c r="F26" s="1132" t="s">
        <v>364</v>
      </c>
      <c r="G26" s="1132" t="s">
        <v>364</v>
      </c>
      <c r="H26" s="1100">
        <f t="shared" si="1"/>
        <v>1</v>
      </c>
      <c r="I26" s="1137" t="s">
        <v>4899</v>
      </c>
    </row>
    <row r="27" spans="2:13" ht="15.95" customHeight="1">
      <c r="B27" s="1110" t="s">
        <v>1432</v>
      </c>
      <c r="C27" s="1132">
        <f t="shared" si="2"/>
        <v>0.66666666666666674</v>
      </c>
      <c r="D27" s="1179" t="s">
        <v>364</v>
      </c>
      <c r="E27" s="1138" t="s">
        <v>4900</v>
      </c>
      <c r="F27" s="1136" t="s">
        <v>4901</v>
      </c>
      <c r="G27" s="1132" t="s">
        <v>364</v>
      </c>
      <c r="H27" s="1100">
        <f t="shared" si="1"/>
        <v>1</v>
      </c>
      <c r="I27" s="1134" t="s">
        <v>4902</v>
      </c>
    </row>
    <row r="28" spans="2:13" ht="15.95" customHeight="1">
      <c r="B28" s="1110" t="s">
        <v>1523</v>
      </c>
      <c r="C28" s="1132">
        <f t="shared" si="2"/>
        <v>1</v>
      </c>
      <c r="D28" s="1137" t="s">
        <v>4903</v>
      </c>
      <c r="E28" s="1132" t="s">
        <v>364</v>
      </c>
      <c r="F28" s="1132" t="s">
        <v>364</v>
      </c>
      <c r="G28" s="1132" t="s">
        <v>364</v>
      </c>
      <c r="H28" s="1100">
        <f t="shared" si="1"/>
        <v>0</v>
      </c>
      <c r="I28" s="1100" t="s">
        <v>364</v>
      </c>
    </row>
    <row r="29" spans="2:13" ht="15.95" customHeight="1">
      <c r="B29" s="1110" t="s">
        <v>1711</v>
      </c>
      <c r="C29" s="1132">
        <f t="shared" si="2"/>
        <v>1</v>
      </c>
      <c r="D29" s="1137" t="s">
        <v>4904</v>
      </c>
      <c r="E29" s="1132" t="s">
        <v>364</v>
      </c>
      <c r="F29" s="1132" t="s">
        <v>364</v>
      </c>
      <c r="G29" s="1132" t="s">
        <v>364</v>
      </c>
      <c r="H29" s="1100">
        <f t="shared" si="1"/>
        <v>1</v>
      </c>
      <c r="I29" s="1137" t="s">
        <v>4905</v>
      </c>
    </row>
    <row r="30" spans="2:13" ht="15.95" customHeight="1">
      <c r="B30" s="1110" t="s">
        <v>1973</v>
      </c>
      <c r="C30" s="1132">
        <f t="shared" si="2"/>
        <v>0</v>
      </c>
      <c r="D30" s="985" t="s">
        <v>364</v>
      </c>
      <c r="E30" s="1132" t="s">
        <v>364</v>
      </c>
      <c r="F30" s="1132" t="s">
        <v>364</v>
      </c>
      <c r="G30" s="1132" t="s">
        <v>364</v>
      </c>
      <c r="H30" s="1100">
        <f t="shared" si="1"/>
        <v>0</v>
      </c>
      <c r="I30" s="1100" t="s">
        <v>364</v>
      </c>
    </row>
    <row r="31" spans="2:13" ht="15.95" customHeight="1">
      <c r="B31" s="1110" t="s">
        <v>2028</v>
      </c>
      <c r="C31" s="1132">
        <f t="shared" si="2"/>
        <v>0</v>
      </c>
      <c r="D31" s="985" t="s">
        <v>364</v>
      </c>
      <c r="E31" s="1132" t="s">
        <v>364</v>
      </c>
      <c r="F31" s="1132" t="s">
        <v>364</v>
      </c>
      <c r="G31" s="1132" t="s">
        <v>364</v>
      </c>
      <c r="H31" s="1100">
        <f t="shared" si="1"/>
        <v>0</v>
      </c>
      <c r="I31" s="1100" t="s">
        <v>364</v>
      </c>
    </row>
    <row r="32" spans="2:13" ht="15.95" customHeight="1">
      <c r="B32" s="1110" t="s">
        <v>2139</v>
      </c>
      <c r="C32" s="1132">
        <f t="shared" si="2"/>
        <v>1</v>
      </c>
      <c r="D32" s="1137" t="s">
        <v>4906</v>
      </c>
      <c r="E32" s="1132" t="s">
        <v>364</v>
      </c>
      <c r="F32" s="1132" t="s">
        <v>364</v>
      </c>
      <c r="G32" s="1132" t="s">
        <v>364</v>
      </c>
      <c r="H32" s="1100">
        <f t="shared" si="1"/>
        <v>1</v>
      </c>
      <c r="I32" s="1134" t="s">
        <v>4907</v>
      </c>
    </row>
    <row r="33" spans="2:9" ht="15.95" customHeight="1">
      <c r="B33" s="1110" t="s">
        <v>2076</v>
      </c>
      <c r="C33" s="1132">
        <f t="shared" si="2"/>
        <v>0</v>
      </c>
      <c r="D33" s="985" t="s">
        <v>364</v>
      </c>
      <c r="E33" s="1132" t="s">
        <v>364</v>
      </c>
      <c r="F33" s="1132" t="s">
        <v>364</v>
      </c>
      <c r="G33" s="1132" t="s">
        <v>364</v>
      </c>
      <c r="H33" s="1100">
        <f t="shared" si="1"/>
        <v>0</v>
      </c>
      <c r="I33" s="1100" t="s">
        <v>364</v>
      </c>
    </row>
    <row r="34" spans="2:9" ht="15.95" customHeight="1">
      <c r="B34" s="1139" t="s">
        <v>2096</v>
      </c>
      <c r="C34" s="1100">
        <f t="shared" si="2"/>
        <v>0</v>
      </c>
      <c r="D34" s="985" t="s">
        <v>364</v>
      </c>
      <c r="E34" s="1100" t="s">
        <v>364</v>
      </c>
      <c r="F34" s="1100" t="s">
        <v>364</v>
      </c>
      <c r="G34" s="1100" t="s">
        <v>364</v>
      </c>
      <c r="H34" s="1100">
        <f t="shared" si="1"/>
        <v>0</v>
      </c>
      <c r="I34" s="1100" t="s">
        <v>364</v>
      </c>
    </row>
    <row r="35" spans="2:9" ht="15.95" customHeight="1">
      <c r="B35" s="1110" t="s">
        <v>2204</v>
      </c>
      <c r="C35" s="1132">
        <f t="shared" si="2"/>
        <v>0.66666666666666674</v>
      </c>
      <c r="D35" s="985" t="s">
        <v>364</v>
      </c>
      <c r="E35" s="1132" t="s">
        <v>364</v>
      </c>
      <c r="F35" s="1136" t="s">
        <v>4908</v>
      </c>
      <c r="G35" s="1136" t="s">
        <v>4909</v>
      </c>
      <c r="H35" s="1100">
        <f t="shared" si="1"/>
        <v>0</v>
      </c>
      <c r="I35" s="1100" t="s">
        <v>364</v>
      </c>
    </row>
    <row r="36" spans="2:9" ht="15.95" customHeight="1">
      <c r="B36" s="1110" t="s">
        <v>2312</v>
      </c>
      <c r="C36" s="1132">
        <f t="shared" si="2"/>
        <v>1</v>
      </c>
      <c r="D36" s="1137" t="s">
        <v>4910</v>
      </c>
      <c r="E36" s="1132" t="s">
        <v>364</v>
      </c>
      <c r="F36" s="1132" t="s">
        <v>364</v>
      </c>
      <c r="G36" s="1132" t="s">
        <v>364</v>
      </c>
      <c r="H36" s="1100">
        <f t="shared" si="1"/>
        <v>0</v>
      </c>
      <c r="I36" s="1100" t="s">
        <v>364</v>
      </c>
    </row>
    <row r="37" spans="2:9" ht="15.95" customHeight="1">
      <c r="B37" s="1110" t="s">
        <v>2392</v>
      </c>
      <c r="C37" s="1132">
        <f t="shared" si="2"/>
        <v>1</v>
      </c>
      <c r="D37" s="1137" t="s">
        <v>4911</v>
      </c>
      <c r="E37" s="1132" t="s">
        <v>364</v>
      </c>
      <c r="F37" s="1132" t="s">
        <v>364</v>
      </c>
      <c r="G37" s="1132" t="s">
        <v>364</v>
      </c>
      <c r="H37" s="1100">
        <f t="shared" si="1"/>
        <v>0</v>
      </c>
      <c r="I37" s="1100" t="s">
        <v>364</v>
      </c>
    </row>
    <row r="38" spans="2:9" ht="15.95" customHeight="1">
      <c r="B38" s="1110" t="s">
        <v>2488</v>
      </c>
      <c r="C38" s="1132">
        <f t="shared" si="2"/>
        <v>0</v>
      </c>
      <c r="D38" s="985" t="s">
        <v>364</v>
      </c>
      <c r="E38" s="1132" t="s">
        <v>364</v>
      </c>
      <c r="F38" s="1132" t="s">
        <v>364</v>
      </c>
      <c r="G38" s="1132" t="s">
        <v>364</v>
      </c>
      <c r="H38" s="1100">
        <f t="shared" si="1"/>
        <v>0</v>
      </c>
      <c r="I38" s="1100" t="s">
        <v>364</v>
      </c>
    </row>
    <row r="39" spans="2:9" ht="15.95" customHeight="1">
      <c r="B39" s="1110" t="s">
        <v>2625</v>
      </c>
      <c r="C39" s="1132">
        <f t="shared" si="2"/>
        <v>0</v>
      </c>
      <c r="D39" s="985" t="s">
        <v>364</v>
      </c>
      <c r="E39" s="1132" t="s">
        <v>364</v>
      </c>
      <c r="F39" s="1132" t="s">
        <v>364</v>
      </c>
      <c r="G39" s="1132" t="s">
        <v>364</v>
      </c>
      <c r="H39" s="1100">
        <f t="shared" si="1"/>
        <v>1</v>
      </c>
      <c r="I39" s="1134" t="s">
        <v>4912</v>
      </c>
    </row>
    <row r="40" spans="2:9" ht="15.95" customHeight="1">
      <c r="B40" s="1110" t="s">
        <v>2678</v>
      </c>
      <c r="C40" s="1132">
        <f t="shared" si="2"/>
        <v>0</v>
      </c>
      <c r="D40" s="985" t="s">
        <v>364</v>
      </c>
      <c r="E40" s="1132" t="s">
        <v>364</v>
      </c>
      <c r="F40" s="1132" t="s">
        <v>364</v>
      </c>
      <c r="G40" s="1132" t="s">
        <v>364</v>
      </c>
      <c r="H40" s="1100">
        <f t="shared" si="1"/>
        <v>0</v>
      </c>
      <c r="I40" s="1100" t="s">
        <v>364</v>
      </c>
    </row>
    <row r="41" spans="2:9" ht="15.95" customHeight="1">
      <c r="B41" s="1110" t="s">
        <v>2693</v>
      </c>
      <c r="C41" s="1132">
        <f t="shared" si="2"/>
        <v>1</v>
      </c>
      <c r="D41" s="1133" t="s">
        <v>4913</v>
      </c>
      <c r="E41" s="1132" t="s">
        <v>364</v>
      </c>
      <c r="F41" s="1132" t="s">
        <v>364</v>
      </c>
      <c r="G41" s="1132" t="s">
        <v>364</v>
      </c>
      <c r="H41" s="1100">
        <f t="shared" si="1"/>
        <v>1</v>
      </c>
      <c r="I41" s="1134" t="s">
        <v>4914</v>
      </c>
    </row>
    <row r="42" spans="2:9" ht="15.95" customHeight="1">
      <c r="B42" s="1141" t="s">
        <v>2832</v>
      </c>
      <c r="C42" s="1100">
        <f t="shared" si="2"/>
        <v>1</v>
      </c>
      <c r="D42" s="1142" t="s">
        <v>4915</v>
      </c>
      <c r="E42" s="1100" t="s">
        <v>364</v>
      </c>
      <c r="F42" s="1100" t="s">
        <v>364</v>
      </c>
      <c r="G42" s="1100" t="s">
        <v>364</v>
      </c>
      <c r="H42" s="1100">
        <f t="shared" si="1"/>
        <v>1</v>
      </c>
      <c r="I42" s="1142" t="s">
        <v>4916</v>
      </c>
    </row>
    <row r="43" spans="2:9" ht="15.95" customHeight="1">
      <c r="B43" s="1131" t="s">
        <v>2882</v>
      </c>
      <c r="C43" s="1132">
        <f t="shared" si="2"/>
        <v>1</v>
      </c>
      <c r="D43" s="1137" t="s">
        <v>4917</v>
      </c>
      <c r="E43" s="1132" t="s">
        <v>364</v>
      </c>
      <c r="F43" s="1132" t="s">
        <v>364</v>
      </c>
      <c r="G43" s="1132" t="s">
        <v>364</v>
      </c>
      <c r="H43" s="1100">
        <f t="shared" si="1"/>
        <v>1</v>
      </c>
      <c r="I43" s="1137" t="s">
        <v>4918</v>
      </c>
    </row>
    <row r="44" spans="2:9" ht="15.95" customHeight="1">
      <c r="B44" s="1110" t="s">
        <v>2989</v>
      </c>
      <c r="C44" s="1132">
        <f t="shared" si="2"/>
        <v>0</v>
      </c>
      <c r="D44" s="985" t="s">
        <v>364</v>
      </c>
      <c r="E44" s="1132" t="s">
        <v>364</v>
      </c>
      <c r="F44" s="1132" t="s">
        <v>364</v>
      </c>
      <c r="G44" s="1132" t="s">
        <v>364</v>
      </c>
      <c r="H44" s="1100">
        <f t="shared" si="1"/>
        <v>0</v>
      </c>
      <c r="I44" s="1100" t="s">
        <v>364</v>
      </c>
    </row>
    <row r="45" spans="2:9" ht="15.95" customHeight="1">
      <c r="B45" s="1110" t="s">
        <v>3079</v>
      </c>
      <c r="C45" s="1100">
        <f t="shared" si="2"/>
        <v>0.33333333333333337</v>
      </c>
      <c r="D45" s="1100" t="s">
        <v>364</v>
      </c>
      <c r="E45" s="1137" t="s">
        <v>4919</v>
      </c>
      <c r="F45" s="1100" t="s">
        <v>364</v>
      </c>
      <c r="G45" s="1100" t="s">
        <v>364</v>
      </c>
      <c r="H45" s="1100">
        <f t="shared" si="1"/>
        <v>0</v>
      </c>
      <c r="I45" s="1100" t="s">
        <v>364</v>
      </c>
    </row>
    <row r="46" spans="2:9" ht="15.95" customHeight="1">
      <c r="B46" s="1110" t="s">
        <v>3214</v>
      </c>
      <c r="C46" s="1132">
        <f t="shared" si="2"/>
        <v>0</v>
      </c>
      <c r="D46" s="985" t="s">
        <v>364</v>
      </c>
      <c r="E46" s="1132" t="s">
        <v>364</v>
      </c>
      <c r="F46" s="1132" t="s">
        <v>364</v>
      </c>
      <c r="G46" s="1132" t="s">
        <v>364</v>
      </c>
      <c r="H46" s="1100">
        <f t="shared" si="1"/>
        <v>0</v>
      </c>
      <c r="I46" s="1100" t="s">
        <v>364</v>
      </c>
    </row>
    <row r="47" spans="2:9" ht="15.95" customHeight="1">
      <c r="B47" s="1110" t="s">
        <v>3261</v>
      </c>
      <c r="C47" s="1132">
        <f t="shared" si="2"/>
        <v>0.33333333333333337</v>
      </c>
      <c r="D47" s="985" t="s">
        <v>364</v>
      </c>
      <c r="E47" s="1132" t="s">
        <v>364</v>
      </c>
      <c r="F47" s="1136" t="s">
        <v>4920</v>
      </c>
      <c r="G47" s="1132" t="s">
        <v>364</v>
      </c>
      <c r="H47" s="1100">
        <f t="shared" si="1"/>
        <v>1</v>
      </c>
      <c r="I47" s="1134" t="s">
        <v>4921</v>
      </c>
    </row>
    <row r="48" spans="2:9" ht="15.95" customHeight="1">
      <c r="B48" s="1110" t="s">
        <v>3337</v>
      </c>
      <c r="C48" s="1132">
        <f t="shared" si="2"/>
        <v>0</v>
      </c>
      <c r="D48" s="985" t="s">
        <v>364</v>
      </c>
      <c r="E48" s="1132" t="s">
        <v>364</v>
      </c>
      <c r="F48" s="1132" t="s">
        <v>364</v>
      </c>
      <c r="G48" s="1132" t="s">
        <v>364</v>
      </c>
      <c r="H48" s="1100">
        <f t="shared" si="1"/>
        <v>0</v>
      </c>
      <c r="I48" s="1100" t="s">
        <v>364</v>
      </c>
    </row>
    <row r="49" spans="2:9" ht="15.95" customHeight="1">
      <c r="B49" s="1131" t="s">
        <v>3162</v>
      </c>
      <c r="C49" s="1132">
        <f t="shared" si="2"/>
        <v>0</v>
      </c>
      <c r="D49" s="985" t="s">
        <v>364</v>
      </c>
      <c r="E49" s="1132" t="s">
        <v>364</v>
      </c>
      <c r="F49" s="1132" t="s">
        <v>364</v>
      </c>
      <c r="G49" s="1132" t="s">
        <v>364</v>
      </c>
      <c r="H49" s="1100">
        <f t="shared" si="1"/>
        <v>0</v>
      </c>
      <c r="I49" s="1100" t="s">
        <v>364</v>
      </c>
    </row>
    <row r="50" spans="2:9" ht="15.95" customHeight="1">
      <c r="B50" s="1110" t="s">
        <v>3412</v>
      </c>
      <c r="C50" s="1132">
        <f t="shared" si="2"/>
        <v>0</v>
      </c>
      <c r="D50" s="985" t="s">
        <v>364</v>
      </c>
      <c r="E50" s="1132" t="s">
        <v>364</v>
      </c>
      <c r="F50" s="1132" t="s">
        <v>364</v>
      </c>
      <c r="G50" s="1132" t="s">
        <v>364</v>
      </c>
      <c r="H50" s="1100">
        <f t="shared" si="1"/>
        <v>0</v>
      </c>
      <c r="I50" s="1100" t="s">
        <v>364</v>
      </c>
    </row>
    <row r="51" spans="2:9" ht="15.95" customHeight="1">
      <c r="B51" s="1110" t="s">
        <v>3548</v>
      </c>
      <c r="C51" s="1132">
        <f t="shared" si="2"/>
        <v>1</v>
      </c>
      <c r="D51" s="1133" t="s">
        <v>4922</v>
      </c>
      <c r="E51" s="1132" t="s">
        <v>364</v>
      </c>
      <c r="F51" s="1132" t="s">
        <v>364</v>
      </c>
      <c r="G51" s="1132" t="s">
        <v>364</v>
      </c>
      <c r="H51" s="1100">
        <f t="shared" si="1"/>
        <v>1</v>
      </c>
      <c r="I51" s="1133" t="s">
        <v>4923</v>
      </c>
    </row>
    <row r="52" spans="2:9" ht="15.95" customHeight="1">
      <c r="B52" s="1110" t="s">
        <v>3713</v>
      </c>
      <c r="C52" s="1132">
        <f t="shared" si="2"/>
        <v>0</v>
      </c>
      <c r="D52" s="985" t="s">
        <v>364</v>
      </c>
      <c r="E52" s="1132" t="s">
        <v>364</v>
      </c>
      <c r="F52" s="1132" t="s">
        <v>364</v>
      </c>
      <c r="G52" s="1132" t="s">
        <v>364</v>
      </c>
      <c r="H52" s="1100">
        <f t="shared" si="1"/>
        <v>0</v>
      </c>
      <c r="I52" s="1100" t="s">
        <v>364</v>
      </c>
    </row>
    <row r="53" spans="2:9" ht="15.95" customHeight="1">
      <c r="B53" s="1131" t="s">
        <v>3685</v>
      </c>
      <c r="C53" s="1132">
        <f t="shared" si="2"/>
        <v>0</v>
      </c>
      <c r="D53" s="985" t="s">
        <v>364</v>
      </c>
      <c r="E53" s="1132" t="s">
        <v>364</v>
      </c>
      <c r="F53" s="1132" t="s">
        <v>364</v>
      </c>
      <c r="G53" s="1132" t="s">
        <v>364</v>
      </c>
      <c r="H53" s="1100">
        <f t="shared" si="1"/>
        <v>0</v>
      </c>
      <c r="I53" s="1100" t="s">
        <v>364</v>
      </c>
    </row>
    <row r="54" spans="2:9" ht="15.95" customHeight="1">
      <c r="B54" s="1110" t="s">
        <v>3748</v>
      </c>
      <c r="C54" s="1132">
        <f t="shared" si="2"/>
        <v>0.66666666666666674</v>
      </c>
      <c r="D54" s="985" t="s">
        <v>364</v>
      </c>
      <c r="E54" s="1136" t="s">
        <v>4924</v>
      </c>
      <c r="F54" s="1136" t="s">
        <v>4925</v>
      </c>
      <c r="G54" s="1132" t="s">
        <v>364</v>
      </c>
      <c r="H54" s="1100">
        <f t="shared" si="1"/>
        <v>0</v>
      </c>
      <c r="I54" s="1100" t="s">
        <v>364</v>
      </c>
    </row>
    <row r="55" spans="2:9" ht="15.95" customHeight="1">
      <c r="B55" s="1143" t="s">
        <v>3949</v>
      </c>
      <c r="C55" s="1198">
        <f t="shared" si="2"/>
        <v>0.33333333333333337</v>
      </c>
      <c r="D55" s="1199" t="s">
        <v>364</v>
      </c>
      <c r="E55" s="1200" t="s">
        <v>4926</v>
      </c>
      <c r="F55" s="1198" t="s">
        <v>364</v>
      </c>
      <c r="G55" s="1198" t="s">
        <v>364</v>
      </c>
      <c r="H55" s="1101">
        <f t="shared" si="1"/>
        <v>0</v>
      </c>
      <c r="I55" s="1101" t="s">
        <v>364</v>
      </c>
    </row>
    <row r="56" spans="2:9" ht="15.95" customHeight="1">
      <c r="H56" s="1100"/>
    </row>
  </sheetData>
  <sortState xmlns:xlrd2="http://schemas.microsoft.com/office/spreadsheetml/2017/richdata2" ref="B15:I55">
    <sortCondition ref="B15:B55"/>
  </sortState>
  <mergeCells count="1">
    <mergeCell ref="B4:G9"/>
  </mergeCells>
  <hyperlinks>
    <hyperlink ref="D14" r:id="rId1" xr:uid="{8B902EF6-D0D1-46DA-8DAD-B2ACF8C82A60}"/>
    <hyperlink ref="D24" r:id="rId2" display="1" xr:uid="{9E4EC9FD-F2B1-4D71-8EBF-CA06D2221631}"/>
    <hyperlink ref="E55" r:id="rId3" display="1.00" xr:uid="{0B94A2C7-4757-46E3-BE54-3314CF3A55AF}"/>
    <hyperlink ref="D51" r:id="rId4" display="1" xr:uid="{F00F8E84-7CF0-41D0-8944-D740319F7E76}"/>
    <hyperlink ref="D41" r:id="rId5" display="1" xr:uid="{59694BF6-6A63-4E22-93CF-463CDCB6FFAC}"/>
    <hyperlink ref="E27" r:id="rId6" location="4054b314" display="Russian attack on Ukraine and Finland's support to Ukraine - Puolustusministeriö (defmin.fi)" xr:uid="{484D1EAD-3A28-4301-8542-9FD4F35C9368}"/>
    <hyperlink ref="F27" r:id="rId7" xr:uid="{640290C3-8349-4FAD-8CE6-7E367B07585C}"/>
    <hyperlink ref="E19" r:id="rId8" xr:uid="{F71E09D2-5B86-4825-B915-5E265C054108}"/>
    <hyperlink ref="D42" r:id="rId9" location=":~:text=Funding%20and%20equipment,aid%20kits%20to%20support%20Ukraine.&amp;text=%244.1%20million%20to%20support%20commercial,for%20the%20Ukrainian%20Defence%20Intelligence" xr:uid="{972D91B8-0752-479C-B5A0-7BC571DF05D1}"/>
    <hyperlink ref="D43" r:id="rId10" xr:uid="{83AFEC97-BA2C-4571-86C8-56CEF128D0EE}"/>
    <hyperlink ref="D25" r:id="rId11" xr:uid="{EC84D449-7F87-48EA-868B-682FC786BFFF}"/>
    <hyperlink ref="D29" r:id="rId12" xr:uid="{AF6D18A2-2786-4335-8583-308A2D2730B7}"/>
    <hyperlink ref="D26" r:id="rId13" xr:uid="{C4EDC343-7CC9-4CA8-A5DE-86ABE55511B1}"/>
    <hyperlink ref="D36" r:id="rId14" xr:uid="{D86DA107-E261-44EF-8B03-DED3F5664496}"/>
    <hyperlink ref="F16" r:id="rId15" xr:uid="{3F72609B-6B2E-44E6-90B1-3AAEC5279A62}"/>
    <hyperlink ref="E54" r:id="rId16" xr:uid="{A039FC81-42E6-47CE-9DD4-92039A500BE3}"/>
    <hyperlink ref="F54" r:id="rId17" xr:uid="{D7E47BD6-3487-4894-8519-539E18D623C9}"/>
    <hyperlink ref="F17" r:id="rId18" xr:uid="{B37EDEAD-5685-4F4C-93D3-5842A1955146}"/>
    <hyperlink ref="F35" r:id="rId19" xr:uid="{90F98A55-88F9-4C9E-97A2-4D97DA8B850D}"/>
    <hyperlink ref="G35" r:id="rId20" xr:uid="{1A884740-DE96-4256-9707-AFD35CDC26B8}"/>
    <hyperlink ref="D37" r:id="rId21" xr:uid="{33E36A18-335F-44C7-90DC-3E09A8C67FA3}"/>
    <hyperlink ref="D28" r:id="rId22" xr:uid="{24962011-BB79-43E4-9BDD-6F0AB5B23A52}"/>
    <hyperlink ref="I14" r:id="rId23" xr:uid="{F6D62C9E-533C-4D7E-A262-3D66F1CF86DD}"/>
    <hyperlink ref="I24" r:id="rId24" display="1" xr:uid="{F9651C5A-1C93-4627-B3DD-56E7B2B369D7}"/>
    <hyperlink ref="I51" r:id="rId25" display="1" xr:uid="{E0832FC6-667A-4D36-AB24-7B0FE4C63F28}"/>
    <hyperlink ref="I27" r:id="rId26" display="https://um.fi/finland-s-support-to-ukraine" xr:uid="{1576BDD5-4158-4EF5-AF9F-ECB664BEB171}"/>
    <hyperlink ref="I42" r:id="rId27" location=":~:text=Funding%20and%20equipment,aid%20kits%20to%20support%20Ukraine.&amp;text=%244.1%20million%20to%20support%20commercial,for%20the%20Ukrainian%20Defence%20Intelligence" xr:uid="{11574855-4192-40DA-A8EB-981330533FED}"/>
    <hyperlink ref="I43" r:id="rId28" xr:uid="{4EE3F52A-42CF-4F3A-A817-4B5B1AACDBDC}"/>
    <hyperlink ref="I25" r:id="rId29" xr:uid="{178A8C10-F2FB-473F-B97F-B9357C99F5E4}"/>
    <hyperlink ref="I29" r:id="rId30" xr:uid="{A52198F8-17D3-4EDF-8640-951DFBC73519}"/>
    <hyperlink ref="I26" r:id="rId31" xr:uid="{FEA70B54-6FC2-4640-9B06-02A3862824A2}"/>
    <hyperlink ref="I39" r:id="rId32" display="Minister of Defence Statement " xr:uid="{82D4E974-4081-4765-ABF2-A4E46BEEAD5A}"/>
    <hyperlink ref="I17" r:id="rId33" location=":~:text=Total%20support,amounts%20to%200%2C065%25%20of%20GDP." display="Official page of Belgium Prime Minister" xr:uid="{52AC39B9-C270-4087-8E6D-A957EC097AC7}"/>
    <hyperlink ref="I41" r:id="rId34" xr:uid="{AFDC31F2-AD3E-4C5C-9106-16BF9FF75651}"/>
    <hyperlink ref="D32" r:id="rId35" xr:uid="{A7DC5F18-5E0E-40BF-85FE-2B55266B8DD9}"/>
    <hyperlink ref="I32" r:id="rId36" xr:uid="{A0BDAC43-45A5-4401-BC86-33F10F465DB9}"/>
    <hyperlink ref="F47" r:id="rId37" display="Slovak humanitarian page" xr:uid="{1BE2DAD6-0F42-474E-9460-A87A28C45B6F}"/>
    <hyperlink ref="I47" r:id="rId38" xr:uid="{BD99AB4F-4E1A-45CF-9E92-F9927F0C2462}"/>
    <hyperlink ref="E45" r:id="rId39" xr:uid="{CB7AF026-72E3-4A6C-ACC8-A14A16E52058}"/>
  </hyperlink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tint="0.59999389629810485"/>
  </sheetPr>
  <dimension ref="B1:H57"/>
  <sheetViews>
    <sheetView showGridLines="0" zoomScaleNormal="100" workbookViewId="0"/>
  </sheetViews>
  <sheetFormatPr defaultColWidth="8.625" defaultRowHeight="15.95" customHeight="1"/>
  <cols>
    <col min="1" max="1" width="8.625" style="13" customWidth="1"/>
    <col min="2" max="2" width="25.5" style="13" customWidth="1"/>
    <col min="3" max="3" width="40" style="95" customWidth="1"/>
    <col min="4" max="4" width="32.5" style="838" customWidth="1"/>
    <col min="5" max="5" width="27" style="34" bestFit="1" customWidth="1"/>
    <col min="6" max="6" width="8.625" style="13" customWidth="1"/>
    <col min="7" max="16384" width="8.625" style="13"/>
  </cols>
  <sheetData>
    <row r="1" spans="2:8" s="35" customFormat="1" ht="15.95" customHeight="1">
      <c r="B1" s="39"/>
      <c r="C1" s="146"/>
      <c r="D1" s="835"/>
      <c r="E1" s="146"/>
    </row>
    <row r="2" spans="2:8" s="39" customFormat="1" ht="24.75" customHeight="1">
      <c r="B2" s="369" t="s">
        <v>4927</v>
      </c>
      <c r="D2" s="835"/>
    </row>
    <row r="3" spans="2:8" s="114" customFormat="1" ht="15.95" customHeight="1">
      <c r="D3" s="836"/>
    </row>
    <row r="4" spans="2:8" s="114" customFormat="1" ht="15.95" customHeight="1">
      <c r="B4" s="1437" t="s">
        <v>4928</v>
      </c>
      <c r="C4" s="1437"/>
      <c r="D4" s="1437"/>
      <c r="E4" s="1437"/>
      <c r="F4" s="1437"/>
      <c r="G4" s="1437"/>
    </row>
    <row r="5" spans="2:8" s="114" customFormat="1" ht="15.95" customHeight="1">
      <c r="B5" s="1437"/>
      <c r="C5" s="1437"/>
      <c r="D5" s="1437"/>
      <c r="E5" s="1437"/>
      <c r="F5" s="1437"/>
      <c r="G5" s="1437"/>
    </row>
    <row r="6" spans="2:8" s="114" customFormat="1" ht="15.95" customHeight="1">
      <c r="B6" s="1437"/>
      <c r="C6" s="1437"/>
      <c r="D6" s="1437"/>
      <c r="E6" s="1437"/>
      <c r="F6" s="1437"/>
      <c r="G6" s="1437"/>
    </row>
    <row r="7" spans="2:8" s="114" customFormat="1" ht="15.95" customHeight="1">
      <c r="B7" s="1437"/>
      <c r="C7" s="1437"/>
      <c r="D7" s="1437"/>
      <c r="E7" s="1437"/>
      <c r="F7" s="1437"/>
      <c r="G7" s="1437"/>
    </row>
    <row r="8" spans="2:8" s="114" customFormat="1" ht="15.95" customHeight="1">
      <c r="B8" s="1437"/>
      <c r="C8" s="1437"/>
      <c r="D8" s="1437"/>
      <c r="E8" s="1437"/>
      <c r="F8" s="1437"/>
      <c r="G8" s="1437"/>
    </row>
    <row r="9" spans="2:8" s="114" customFormat="1" ht="15.95" customHeight="1">
      <c r="B9" s="1437"/>
      <c r="C9" s="1437"/>
      <c r="D9" s="1437"/>
      <c r="E9" s="1437"/>
      <c r="F9" s="1437"/>
      <c r="G9" s="1437"/>
    </row>
    <row r="10" spans="2:8" ht="15.95" customHeight="1">
      <c r="B10" s="24"/>
      <c r="C10" s="24"/>
      <c r="D10" s="837"/>
      <c r="E10" s="22"/>
      <c r="F10" s="24"/>
      <c r="G10" s="24"/>
      <c r="H10" s="24"/>
    </row>
    <row r="11" spans="2:8" ht="15.95" customHeight="1">
      <c r="B11" s="82" t="s">
        <v>4929</v>
      </c>
      <c r="C11" s="1202" t="s">
        <v>4930</v>
      </c>
      <c r="E11" s="84"/>
      <c r="F11" s="24"/>
      <c r="G11" s="24"/>
      <c r="H11" s="24"/>
    </row>
    <row r="12" spans="2:8" ht="15.95" customHeight="1">
      <c r="B12" s="24"/>
      <c r="C12" s="82"/>
      <c r="D12" s="839"/>
      <c r="E12" s="84"/>
      <c r="F12" s="97"/>
      <c r="G12" s="97"/>
      <c r="H12" s="97"/>
    </row>
    <row r="13" spans="2:8" ht="24.75" customHeight="1">
      <c r="B13" s="367" t="s">
        <v>4512</v>
      </c>
      <c r="C13" s="434" t="s">
        <v>4931</v>
      </c>
      <c r="D13" s="840" t="s">
        <v>4932</v>
      </c>
      <c r="E13" s="434" t="s">
        <v>4933</v>
      </c>
      <c r="F13" s="97"/>
      <c r="G13" s="97"/>
      <c r="H13" s="97"/>
    </row>
    <row r="14" spans="2:8" ht="15.95" customHeight="1">
      <c r="B14" s="86" t="s">
        <v>454</v>
      </c>
      <c r="C14" s="453">
        <f>4097.4</f>
        <v>4097.3999999999996</v>
      </c>
      <c r="D14" s="841">
        <f t="shared" ref="D14:D53" si="0">C14/$C$41</f>
        <v>2.9301614113174564E-2</v>
      </c>
      <c r="E14" s="452">
        <f>D14*VLOOKUP("EU (Commission and Council)",'Country Summary (€)'!B:G,6,0)</f>
        <v>0.80462232354777352</v>
      </c>
      <c r="F14" s="97"/>
      <c r="G14" s="97"/>
      <c r="H14" s="97"/>
    </row>
    <row r="15" spans="2:8" ht="15.95" customHeight="1">
      <c r="B15" s="86" t="s">
        <v>558</v>
      </c>
      <c r="C15" s="453">
        <v>4881</v>
      </c>
      <c r="D15" s="841">
        <f t="shared" si="0"/>
        <v>3.4905349364573894E-2</v>
      </c>
      <c r="E15" s="452">
        <f>D15*VLOOKUP("EU (Commission and Council)",'Country Summary (€)'!B:G,6,0)</f>
        <v>0.95850089355119916</v>
      </c>
      <c r="F15" s="97"/>
      <c r="G15" s="97"/>
      <c r="H15" s="97"/>
    </row>
    <row r="16" spans="2:8" s="3" customFormat="1" ht="15.95" customHeight="1">
      <c r="B16" s="86" t="s">
        <v>673</v>
      </c>
      <c r="C16" s="453">
        <v>877.4</v>
      </c>
      <c r="D16" s="841">
        <f t="shared" si="0"/>
        <v>6.2745243869037348E-3</v>
      </c>
      <c r="E16" s="452">
        <f>D16*VLOOKUP("EU (Commission and Council)",'Country Summary (€)'!B:G,6,0)</f>
        <v>0.17229843966437655</v>
      </c>
      <c r="F16" s="99"/>
      <c r="G16" s="99"/>
      <c r="H16" s="99"/>
    </row>
    <row r="17" spans="2:8" ht="15.95" customHeight="1">
      <c r="B17" s="86" t="s">
        <v>918</v>
      </c>
      <c r="C17" s="453">
        <v>585.79999999999995</v>
      </c>
      <c r="D17" s="841">
        <f t="shared" si="0"/>
        <v>4.1892140253569727E-3</v>
      </c>
      <c r="E17" s="452">
        <f>D17*VLOOKUP("EU (Commission and Council)",'Country Summary (€)'!B:G,6,0)</f>
        <v>0.11503581713630247</v>
      </c>
      <c r="F17" s="24"/>
      <c r="G17" s="24"/>
      <c r="H17" s="24"/>
    </row>
    <row r="18" spans="2:8" ht="15.95" customHeight="1">
      <c r="B18" s="86" t="s">
        <v>981</v>
      </c>
      <c r="C18" s="453">
        <v>219.3</v>
      </c>
      <c r="D18" s="841">
        <f t="shared" si="0"/>
        <v>1.5682735332208677E-3</v>
      </c>
      <c r="E18" s="452">
        <f>D18*VLOOKUP("EU (Commission and Council)",'Country Summary (€)'!B:G,6,0)</f>
        <v>4.3064791222245026E-2</v>
      </c>
      <c r="F18" s="24"/>
      <c r="G18" s="24"/>
      <c r="H18" s="24"/>
    </row>
    <row r="19" spans="2:8" ht="15.95" customHeight="1">
      <c r="B19" s="86" t="s">
        <v>1012</v>
      </c>
      <c r="C19" s="453">
        <v>2052.3000000000002</v>
      </c>
      <c r="D19" s="841">
        <f t="shared" si="0"/>
        <v>1.467655162895206E-2</v>
      </c>
      <c r="E19" s="452">
        <f>D19*VLOOKUP("EU (Commission and Council)",'Country Summary (€)'!B:G,6,0)</f>
        <v>0.40301810773102359</v>
      </c>
      <c r="F19" s="24"/>
      <c r="G19" s="24"/>
      <c r="H19" s="24"/>
    </row>
    <row r="20" spans="2:8" ht="15.95" customHeight="1">
      <c r="B20" s="86" t="s">
        <v>1194</v>
      </c>
      <c r="C20" s="453">
        <v>3550.1</v>
      </c>
      <c r="D20" s="841">
        <f t="shared" si="0"/>
        <v>2.5387723986718656E-2</v>
      </c>
      <c r="E20" s="452">
        <f>D20*VLOOKUP("EU (Commission and Council)",'Country Summary (€)'!B:G,6,0)</f>
        <v>0.69714690067529428</v>
      </c>
      <c r="F20" s="24"/>
      <c r="G20" s="24"/>
      <c r="H20" s="24"/>
    </row>
    <row r="21" spans="2:8" ht="15.95" customHeight="1">
      <c r="B21" s="86" t="s">
        <v>1305</v>
      </c>
      <c r="C21" s="453">
        <v>278.3</v>
      </c>
      <c r="D21" s="841">
        <f t="shared" si="0"/>
        <v>1.9901984691991221E-3</v>
      </c>
      <c r="E21" s="452">
        <f>D21*VLOOKUP("EU (Commission and Council)",'Country Summary (€)'!B:G,6,0)</f>
        <v>5.4650849964207895E-2</v>
      </c>
      <c r="F21" s="24"/>
      <c r="G21" s="24"/>
      <c r="H21" s="24"/>
    </row>
    <row r="22" spans="2:8" ht="15.95" customHeight="1">
      <c r="B22" s="86" t="s">
        <v>1432</v>
      </c>
      <c r="C22" s="453">
        <v>2380.1999999999998</v>
      </c>
      <c r="D22" s="841">
        <f t="shared" si="0"/>
        <v>1.7021453095176966E-2</v>
      </c>
      <c r="E22" s="452">
        <f>D22*VLOOKUP("EU (Commission and Council)",'Country Summary (€)'!B:G,6,0)</f>
        <v>0.46740910199355951</v>
      </c>
      <c r="F22" s="24"/>
      <c r="G22" s="24"/>
      <c r="H22" s="24"/>
    </row>
    <row r="23" spans="2:8" ht="15.95" customHeight="1">
      <c r="B23" s="86" t="s">
        <v>1523</v>
      </c>
      <c r="C23" s="453">
        <v>23689.4</v>
      </c>
      <c r="D23" s="841">
        <f t="shared" si="0"/>
        <v>0.16940929793836032</v>
      </c>
      <c r="E23" s="452">
        <f>D23*VLOOKUP("EU (Commission and Council)",'Country Summary (€)'!B:G,6,0)</f>
        <v>4.6519793213873744</v>
      </c>
      <c r="F23" s="24"/>
      <c r="G23" s="24"/>
      <c r="H23" s="24"/>
    </row>
    <row r="24" spans="2:8" ht="15.95" customHeight="1">
      <c r="B24" s="86" t="s">
        <v>1711</v>
      </c>
      <c r="C24" s="453">
        <v>28064.3</v>
      </c>
      <c r="D24" s="841">
        <f t="shared" si="0"/>
        <v>0.20069538950465293</v>
      </c>
      <c r="E24" s="452">
        <f>D24*VLOOKUP("EU (Commission and Council)",'Country Summary (€)'!B:G,6,0)</f>
        <v>5.5110953957977697</v>
      </c>
      <c r="F24" s="24"/>
      <c r="G24" s="24"/>
      <c r="H24" s="24"/>
    </row>
    <row r="25" spans="2:8" ht="15.95" customHeight="1">
      <c r="B25" s="86" t="s">
        <v>1973</v>
      </c>
      <c r="C25" s="453">
        <v>2009.2</v>
      </c>
      <c r="D25" s="841">
        <f t="shared" si="0"/>
        <v>1.4368331887584893E-2</v>
      </c>
      <c r="E25" s="452">
        <f>D25*VLOOKUP("EU (Commission and Council)",'Country Summary (€)'!B:G,6,0)</f>
        <v>0.39455439363308115</v>
      </c>
      <c r="F25" s="24"/>
      <c r="G25" s="24"/>
      <c r="H25" s="24"/>
    </row>
    <row r="26" spans="2:8" ht="15.95" customHeight="1">
      <c r="B26" s="86" t="s">
        <v>2028</v>
      </c>
      <c r="C26" s="453">
        <v>1654.5</v>
      </c>
      <c r="D26" s="841">
        <f t="shared" si="0"/>
        <v>1.1831776382644437E-2</v>
      </c>
      <c r="E26" s="452">
        <f>D26*VLOOKUP("EU (Commission and Council)",'Country Summary (€)'!B:G,6,0)</f>
        <v>0.32490057946741624</v>
      </c>
      <c r="F26" s="24"/>
      <c r="G26" s="24"/>
      <c r="H26" s="24"/>
    </row>
    <row r="27" spans="2:8" ht="15.95" customHeight="1">
      <c r="B27" s="86" t="s">
        <v>2096</v>
      </c>
      <c r="C27" s="453">
        <v>2819.5</v>
      </c>
      <c r="D27" s="841">
        <f t="shared" si="0"/>
        <v>2.016300605068963E-2</v>
      </c>
      <c r="E27" s="452">
        <f>D27*VLOOKUP("EU (Commission and Council)",'Country Summary (€)'!B:G,6,0)</f>
        <v>0.55367614615193728</v>
      </c>
      <c r="F27" s="24"/>
      <c r="G27" s="24"/>
      <c r="H27" s="24"/>
    </row>
    <row r="28" spans="2:8" ht="15.95" customHeight="1">
      <c r="B28" s="86" t="s">
        <v>2204</v>
      </c>
      <c r="C28" s="453">
        <v>17075.400000000001</v>
      </c>
      <c r="D28" s="841">
        <f t="shared" si="0"/>
        <v>0.12211079748818789</v>
      </c>
      <c r="E28" s="452">
        <f>D28*VLOOKUP("EU (Commission and Council)",'Country Summary (€)'!B:G,6,0)</f>
        <v>3.3531624990256397</v>
      </c>
      <c r="F28" s="24"/>
      <c r="G28" s="24"/>
      <c r="H28" s="24"/>
    </row>
    <row r="29" spans="2:8" ht="15.95" customHeight="1">
      <c r="B29" s="86" t="s">
        <v>2392</v>
      </c>
      <c r="C29" s="453">
        <v>285.10000000000002</v>
      </c>
      <c r="D29" s="841">
        <f t="shared" si="0"/>
        <v>2.0388271058881411E-3</v>
      </c>
      <c r="E29" s="452">
        <f>D29*VLOOKUP("EU (Commission and Council)",'Country Summary (€)'!B:G,6,0)</f>
        <v>5.598619232768836E-2</v>
      </c>
      <c r="F29" s="24"/>
      <c r="G29" s="24"/>
      <c r="H29" s="24"/>
    </row>
    <row r="30" spans="2:8" ht="15.95" customHeight="1">
      <c r="B30" s="86" t="s">
        <v>2488</v>
      </c>
      <c r="C30" s="453">
        <v>456.5</v>
      </c>
      <c r="D30" s="841">
        <f t="shared" si="0"/>
        <v>3.2645548012554767E-3</v>
      </c>
      <c r="E30" s="452">
        <f>D30*VLOOKUP("EU (Commission and Council)",'Country Summary (€)'!B:G,6,0)</f>
        <v>8.9644674842475389E-2</v>
      </c>
      <c r="F30" s="24"/>
      <c r="G30" s="24"/>
      <c r="H30" s="24"/>
    </row>
    <row r="31" spans="2:8" ht="15.95" customHeight="1">
      <c r="B31" s="86" t="s">
        <v>2625</v>
      </c>
      <c r="C31" s="453">
        <v>447.5</v>
      </c>
      <c r="D31" s="841">
        <f t="shared" si="0"/>
        <v>3.2001933703435393E-3</v>
      </c>
      <c r="E31" s="452">
        <f>D31*VLOOKUP("EU (Commission and Council)",'Country Summary (€)'!B:G,6,0)</f>
        <v>8.7877309949633595E-2</v>
      </c>
      <c r="F31" s="24"/>
      <c r="G31" s="24"/>
      <c r="H31" s="24"/>
    </row>
    <row r="32" spans="2:8" ht="15.95" customHeight="1">
      <c r="B32" s="86" t="s">
        <v>2678</v>
      </c>
      <c r="C32" s="453">
        <v>116.5</v>
      </c>
      <c r="D32" s="841">
        <f t="shared" si="0"/>
        <v>8.331229668045192E-4</v>
      </c>
      <c r="E32" s="452">
        <f>D32*VLOOKUP("EU (Commission and Council)",'Country Summary (€)'!B:G,6,0)</f>
        <v>2.28775566684521E-2</v>
      </c>
      <c r="F32" s="24"/>
      <c r="G32" s="24"/>
      <c r="H32" s="24"/>
    </row>
    <row r="33" spans="2:8" ht="15.95" customHeight="1">
      <c r="B33" s="86" t="s">
        <v>2693</v>
      </c>
      <c r="C33" s="453">
        <v>11040.3</v>
      </c>
      <c r="D33" s="841">
        <f t="shared" si="0"/>
        <v>7.8952167299673248E-2</v>
      </c>
      <c r="E33" s="452">
        <f>D33*VLOOKUP("EU (Commission and Council)",'Country Summary (€)'!B:G,6,0)</f>
        <v>2.1680265140490276</v>
      </c>
      <c r="F33" s="24"/>
      <c r="G33" s="24"/>
      <c r="H33" s="24"/>
    </row>
    <row r="34" spans="2:8" ht="15.95" customHeight="1">
      <c r="B34" s="86" t="s">
        <v>2989</v>
      </c>
      <c r="C34" s="453">
        <v>5845.8</v>
      </c>
      <c r="D34" s="841">
        <f t="shared" si="0"/>
        <v>4.1804894758333551E-2</v>
      </c>
      <c r="E34" s="452">
        <f>D34*VLOOKUP("EU (Commission and Council)",'Country Summary (€)'!B:G,6,0)</f>
        <v>1.1479624100638393</v>
      </c>
      <c r="F34" s="24"/>
      <c r="G34" s="24"/>
      <c r="H34" s="24"/>
    </row>
    <row r="35" spans="2:8" ht="15.95" customHeight="1">
      <c r="B35" s="86" t="s">
        <v>3079</v>
      </c>
      <c r="C35" s="453">
        <v>2024.1</v>
      </c>
      <c r="D35" s="841">
        <f t="shared" si="0"/>
        <v>1.4474885812094655E-2</v>
      </c>
      <c r="E35" s="452">
        <f>D35*VLOOKUP("EU (Commission and Council)",'Country Summary (€)'!B:G,6,0)</f>
        <v>0.39748036440011925</v>
      </c>
      <c r="F35" s="24"/>
      <c r="G35" s="24"/>
      <c r="H35" s="24"/>
    </row>
    <row r="36" spans="2:8" ht="15.95" customHeight="1">
      <c r="B36" s="86" t="s">
        <v>3214</v>
      </c>
      <c r="C36" s="453">
        <v>2318.3000000000002</v>
      </c>
      <c r="D36" s="841">
        <f t="shared" si="0"/>
        <v>1.6578789475904868E-2</v>
      </c>
      <c r="E36" s="452">
        <f>D36*VLOOKUP("EU (Commission and Council)",'Country Summary (€)'!B:G,6,0)</f>
        <v>0.45525355900834769</v>
      </c>
      <c r="F36" s="24"/>
      <c r="G36" s="24"/>
      <c r="H36" s="24"/>
    </row>
    <row r="37" spans="2:8" ht="15.95" customHeight="1">
      <c r="B37" s="86" t="s">
        <v>3261</v>
      </c>
      <c r="C37" s="453">
        <v>1298.5</v>
      </c>
      <c r="D37" s="841">
        <f t="shared" si="0"/>
        <v>9.2859242265722584E-3</v>
      </c>
      <c r="E37" s="452">
        <f>D37*VLOOKUP("EU (Commission and Council)",'Country Summary (€)'!B:G,6,0)</f>
        <v>0.2549914792616742</v>
      </c>
      <c r="F37" s="24"/>
      <c r="G37" s="24"/>
      <c r="H37" s="24"/>
    </row>
    <row r="38" spans="2:8" ht="15.95" customHeight="1">
      <c r="B38" s="86" t="s">
        <v>3337</v>
      </c>
      <c r="C38" s="453">
        <v>503.2</v>
      </c>
      <c r="D38" s="841">
        <f t="shared" si="0"/>
        <v>3.5985191149874168E-3</v>
      </c>
      <c r="E38" s="452">
        <f>D38*VLOOKUP("EU (Commission and Council)",'Country Summary (€)'!B:G,6,0)</f>
        <v>9.8815334897554466E-2</v>
      </c>
      <c r="F38" s="24"/>
      <c r="G38" s="24"/>
      <c r="H38" s="24"/>
    </row>
    <row r="39" spans="2:8" ht="15.95" customHeight="1">
      <c r="B39" s="86" t="s">
        <v>3412</v>
      </c>
      <c r="C39" s="453">
        <v>16597.599999999999</v>
      </c>
      <c r="D39" s="841">
        <f t="shared" si="0"/>
        <v>0.11869392063377414</v>
      </c>
      <c r="E39" s="452">
        <f>D39*VLOOKUP("EU (Commission and Council)",'Country Summary (€)'!B:G,6,0)</f>
        <v>3.2593350606034379</v>
      </c>
      <c r="F39" s="24"/>
      <c r="G39" s="24"/>
      <c r="H39" s="24"/>
    </row>
    <row r="40" spans="2:8" ht="15.95" customHeight="1">
      <c r="B40" s="86" t="s">
        <v>3548</v>
      </c>
      <c r="C40" s="453">
        <v>4667.8</v>
      </c>
      <c r="D40" s="841">
        <f t="shared" si="0"/>
        <v>3.3380698578971114E-2</v>
      </c>
      <c r="E40" s="452">
        <f>D40*VLOOKUP("EU (Commission and Council)",'Country Summary (€)'!B:G,6,0)</f>
        <v>0.91663398297854681</v>
      </c>
      <c r="F40" s="24"/>
      <c r="G40" s="24"/>
      <c r="H40" s="24"/>
    </row>
    <row r="41" spans="2:8" ht="15.95" customHeight="1">
      <c r="B41" s="87" t="s">
        <v>4934</v>
      </c>
      <c r="C41" s="454">
        <f>SUM(C14:C40)</f>
        <v>139835.30000000002</v>
      </c>
      <c r="D41" s="842">
        <f t="shared" si="0"/>
        <v>1</v>
      </c>
      <c r="E41" s="498">
        <f>D41*VLOOKUP("EU (Commission and Council)",'Country Summary (€)'!B:G,6,0)</f>
        <v>27.46</v>
      </c>
      <c r="F41" s="24"/>
      <c r="G41" s="24"/>
      <c r="H41" s="24"/>
    </row>
    <row r="42" spans="2:8" ht="15.95" customHeight="1">
      <c r="B42" s="82" t="s">
        <v>3949</v>
      </c>
      <c r="C42" s="448">
        <v>0</v>
      </c>
      <c r="D42" s="841">
        <f t="shared" si="0"/>
        <v>0</v>
      </c>
      <c r="E42" s="452">
        <f>D42*VLOOKUP("EU (Commission and Council)",'Country Summary (€)'!B:G,6,0)</f>
        <v>0</v>
      </c>
      <c r="F42" s="24"/>
      <c r="G42" s="24"/>
      <c r="H42" s="24"/>
    </row>
    <row r="43" spans="2:8" ht="15.95" customHeight="1">
      <c r="B43" s="82" t="s">
        <v>713</v>
      </c>
      <c r="C43" s="449">
        <v>0</v>
      </c>
      <c r="D43" s="841">
        <f t="shared" si="0"/>
        <v>0</v>
      </c>
      <c r="E43" s="452">
        <f>D43*VLOOKUP("EU (Commission and Council)",'Country Summary (€)'!B:G,6,0)</f>
        <v>0</v>
      </c>
      <c r="F43" s="24"/>
      <c r="G43" s="24"/>
      <c r="H43" s="24"/>
    </row>
    <row r="44" spans="2:8" ht="15.95" customHeight="1">
      <c r="B44" s="82" t="s">
        <v>3748</v>
      </c>
      <c r="C44" s="449">
        <v>0</v>
      </c>
      <c r="D44" s="841">
        <f t="shared" si="0"/>
        <v>0</v>
      </c>
      <c r="E44" s="452">
        <f>D44*VLOOKUP("EU (Commission and Council)",'Country Summary (€)'!B:G,6,0)</f>
        <v>0</v>
      </c>
      <c r="F44" s="24"/>
      <c r="G44" s="24"/>
      <c r="H44" s="24"/>
    </row>
    <row r="45" spans="2:8" ht="15.95" customHeight="1">
      <c r="B45" s="82" t="s">
        <v>2312</v>
      </c>
      <c r="C45" s="449">
        <v>0</v>
      </c>
      <c r="D45" s="841">
        <f t="shared" si="0"/>
        <v>0</v>
      </c>
      <c r="E45" s="452">
        <f>D45*VLOOKUP("EU (Commission and Council)",'Country Summary (€)'!B:G,6,0)</f>
        <v>0</v>
      </c>
      <c r="F45" s="24"/>
      <c r="G45" s="24"/>
      <c r="H45" s="24"/>
    </row>
    <row r="46" spans="2:8" ht="15.95" customHeight="1">
      <c r="B46" s="82" t="s">
        <v>2139</v>
      </c>
      <c r="C46" s="449">
        <v>0</v>
      </c>
      <c r="D46" s="841">
        <f t="shared" si="0"/>
        <v>0</v>
      </c>
      <c r="E46" s="452">
        <f>D46*VLOOKUP("EU (Commission and Council)",'Country Summary (€)'!B:G,6,0)</f>
        <v>0</v>
      </c>
      <c r="F46" s="24"/>
      <c r="G46" s="24"/>
      <c r="H46" s="24"/>
    </row>
    <row r="47" spans="2:8" ht="15.95" customHeight="1">
      <c r="B47" s="24" t="s">
        <v>3685</v>
      </c>
      <c r="C47" s="449">
        <v>0</v>
      </c>
      <c r="D47" s="841">
        <f t="shared" si="0"/>
        <v>0</v>
      </c>
      <c r="E47" s="452">
        <f>D47*VLOOKUP("EU (Commission and Council)",'Country Summary (€)'!B:G,6,0)</f>
        <v>0</v>
      </c>
      <c r="F47" s="24"/>
      <c r="G47" s="24"/>
      <c r="H47" s="24"/>
    </row>
    <row r="48" spans="2:8" ht="15.95" customHeight="1">
      <c r="B48" s="24" t="s">
        <v>3649</v>
      </c>
      <c r="C48" s="449">
        <v>0</v>
      </c>
      <c r="D48" s="841">
        <f t="shared" si="0"/>
        <v>0</v>
      </c>
      <c r="E48" s="452">
        <f>D48*VLOOKUP("EU (Commission and Council)",'Country Summary (€)'!B:G,6,0)</f>
        <v>0</v>
      </c>
      <c r="F48" s="24"/>
      <c r="G48" s="24"/>
      <c r="H48" s="24"/>
    </row>
    <row r="49" spans="2:8" ht="15.95" customHeight="1">
      <c r="B49" s="24" t="s">
        <v>2882</v>
      </c>
      <c r="C49" s="449">
        <v>0</v>
      </c>
      <c r="D49" s="841">
        <f t="shared" si="0"/>
        <v>0</v>
      </c>
      <c r="E49" s="452">
        <f>D49*VLOOKUP("EU (Commission and Council)",'Country Summary (€)'!B:G,6,0)</f>
        <v>0</v>
      </c>
      <c r="F49" s="24"/>
      <c r="G49" s="24"/>
      <c r="H49" s="24"/>
    </row>
    <row r="50" spans="2:8" ht="15.95" customHeight="1">
      <c r="B50" s="24" t="s">
        <v>2832</v>
      </c>
      <c r="C50" s="449">
        <v>0</v>
      </c>
      <c r="D50" s="841">
        <f t="shared" si="0"/>
        <v>0</v>
      </c>
      <c r="E50" s="452">
        <f>D50*VLOOKUP("EU (Commission and Council)",'Country Summary (€)'!B:G,6,0)</f>
        <v>0</v>
      </c>
      <c r="F50" s="24"/>
      <c r="G50" s="24"/>
      <c r="H50" s="24"/>
    </row>
    <row r="51" spans="2:8" ht="15.95" customHeight="1">
      <c r="B51" s="24" t="s">
        <v>359</v>
      </c>
      <c r="C51" s="449">
        <v>0</v>
      </c>
      <c r="D51" s="841">
        <f t="shared" si="0"/>
        <v>0</v>
      </c>
      <c r="E51" s="452">
        <f>D51*VLOOKUP("EU (Commission and Council)",'Country Summary (€)'!B:G,6,0)</f>
        <v>0</v>
      </c>
      <c r="F51" s="24"/>
      <c r="G51" s="24"/>
      <c r="H51" s="24"/>
    </row>
    <row r="52" spans="2:8" ht="15.95" customHeight="1">
      <c r="B52" s="24" t="s">
        <v>3162</v>
      </c>
      <c r="C52" s="449">
        <v>0</v>
      </c>
      <c r="D52" s="841">
        <f t="shared" si="0"/>
        <v>0</v>
      </c>
      <c r="E52" s="452">
        <f>D52*VLOOKUP("EU (Commission and Council)",'Country Summary (€)'!B:G,6,0)</f>
        <v>0</v>
      </c>
      <c r="F52" s="24"/>
      <c r="G52" s="24"/>
      <c r="H52" s="24"/>
    </row>
    <row r="53" spans="2:8" ht="15.95" customHeight="1">
      <c r="B53" s="13" t="s">
        <v>4406</v>
      </c>
      <c r="C53" s="170">
        <v>0</v>
      </c>
      <c r="D53" s="841">
        <f t="shared" si="0"/>
        <v>0</v>
      </c>
      <c r="E53" s="452">
        <f>D53*VLOOKUP("EU (Commission and Council)",'Country Summary (€)'!B:G,6,0)</f>
        <v>0</v>
      </c>
      <c r="F53" s="24"/>
      <c r="G53" s="24"/>
      <c r="H53" s="24"/>
    </row>
    <row r="54" spans="2:8" ht="15.95" customHeight="1">
      <c r="B54" s="13" t="s">
        <v>905</v>
      </c>
      <c r="C54" s="170">
        <v>0</v>
      </c>
      <c r="D54" s="843">
        <v>0</v>
      </c>
      <c r="E54" s="452">
        <f>D54*VLOOKUP("EU (Commission and Council)",'Country Summary (€)'!B:G,6,0)</f>
        <v>0</v>
      </c>
      <c r="F54" s="24"/>
      <c r="G54" s="24"/>
      <c r="H54" s="24"/>
    </row>
    <row r="55" spans="2:8" ht="15.95" customHeight="1">
      <c r="B55" s="13" t="s">
        <v>3713</v>
      </c>
      <c r="C55" s="170">
        <v>0</v>
      </c>
      <c r="D55" s="843">
        <v>0</v>
      </c>
      <c r="E55" s="452">
        <f>D55*VLOOKUP("EU (Commission and Council)",'Country Summary (€)'!B:G,6,0)</f>
        <v>0</v>
      </c>
      <c r="F55" s="24"/>
      <c r="G55" s="24"/>
      <c r="H55" s="24"/>
    </row>
    <row r="56" spans="2:8" ht="15.95" customHeight="1">
      <c r="B56" s="13" t="s">
        <v>2139</v>
      </c>
      <c r="C56" s="170">
        <v>0</v>
      </c>
      <c r="D56" s="843">
        <v>0</v>
      </c>
      <c r="E56" s="452">
        <f>D56*VLOOKUP("EU (Commission and Council)",'Country Summary (€)'!B:G,6,0)</f>
        <v>0</v>
      </c>
    </row>
    <row r="57" spans="2:8" ht="15.95" customHeight="1">
      <c r="B57" s="13" t="s">
        <v>2076</v>
      </c>
      <c r="C57" s="170">
        <v>0</v>
      </c>
      <c r="D57" s="843">
        <v>0</v>
      </c>
      <c r="E57" s="452">
        <f>D57*VLOOKUP("EU (Commission and Council)",'Country Summary (€)'!B:G,6,0)</f>
        <v>0</v>
      </c>
    </row>
  </sheetData>
  <mergeCells count="1">
    <mergeCell ref="B4:G9"/>
  </mergeCells>
  <hyperlinks>
    <hyperlink ref="C11" r:id="rId1" xr:uid="{00000000-0004-0000-2400-000000000000}"/>
  </hyperlinks>
  <pageMargins left="0.7" right="0.7"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59999389629810485"/>
  </sheetPr>
  <dimension ref="B1:I57"/>
  <sheetViews>
    <sheetView showGridLines="0" zoomScaleNormal="100" workbookViewId="0"/>
  </sheetViews>
  <sheetFormatPr defaultColWidth="8.625" defaultRowHeight="15.95" customHeight="1"/>
  <cols>
    <col min="1" max="1" width="8.625" style="13" customWidth="1"/>
    <col min="2" max="3" width="40" style="13" bestFit="1" customWidth="1"/>
    <col min="4" max="4" width="21.875" style="95" customWidth="1"/>
    <col min="5" max="5" width="28" style="34" bestFit="1" customWidth="1"/>
    <col min="6" max="6" width="8.625" style="13" customWidth="1"/>
    <col min="7" max="16384" width="8.625" style="13"/>
  </cols>
  <sheetData>
    <row r="1" spans="2:9" s="35" customFormat="1" ht="15.95" customHeight="1">
      <c r="B1" s="39"/>
      <c r="C1" s="146"/>
      <c r="D1" s="146"/>
      <c r="E1" s="146"/>
    </row>
    <row r="2" spans="2:9" s="39" customFormat="1" ht="24.75" customHeight="1">
      <c r="B2" s="369" t="s">
        <v>4935</v>
      </c>
    </row>
    <row r="3" spans="2:9" s="114" customFormat="1" ht="15.95" customHeight="1"/>
    <row r="4" spans="2:9" s="114" customFormat="1" ht="15.95" customHeight="1">
      <c r="B4" s="1437" t="s">
        <v>4936</v>
      </c>
      <c r="C4" s="1437"/>
      <c r="D4" s="1437"/>
      <c r="E4" s="1437"/>
      <c r="F4" s="533"/>
      <c r="G4" s="533"/>
    </row>
    <row r="5" spans="2:9" s="114" customFormat="1" ht="15.95" customHeight="1">
      <c r="B5" s="1437"/>
      <c r="C5" s="1437"/>
      <c r="D5" s="1437"/>
      <c r="E5" s="1437"/>
      <c r="F5" s="533"/>
      <c r="G5" s="533"/>
    </row>
    <row r="6" spans="2:9" s="114" customFormat="1" ht="15.95" customHeight="1">
      <c r="B6" s="1437"/>
      <c r="C6" s="1437"/>
      <c r="D6" s="1437"/>
      <c r="E6" s="1437"/>
      <c r="F6" s="533"/>
      <c r="G6" s="533"/>
    </row>
    <row r="7" spans="2:9" s="114" customFormat="1" ht="15.95" customHeight="1">
      <c r="B7" s="1437"/>
      <c r="C7" s="1437"/>
      <c r="D7" s="1437"/>
      <c r="E7" s="1437"/>
      <c r="F7" s="533"/>
      <c r="G7" s="533"/>
    </row>
    <row r="8" spans="2:9" s="114" customFormat="1" ht="15.95" customHeight="1">
      <c r="B8" s="1437"/>
      <c r="C8" s="1437"/>
      <c r="D8" s="1437"/>
      <c r="E8" s="1437"/>
      <c r="F8" s="533"/>
      <c r="G8" s="533"/>
    </row>
    <row r="9" spans="2:9" s="114" customFormat="1" ht="15.95" customHeight="1">
      <c r="B9" s="1437"/>
      <c r="C9" s="1437"/>
      <c r="D9" s="1437"/>
      <c r="E9" s="1437"/>
      <c r="F9" s="533"/>
      <c r="G9" s="533"/>
    </row>
    <row r="10" spans="2:9" ht="15.95" customHeight="1">
      <c r="B10" s="24"/>
      <c r="C10" s="24"/>
      <c r="D10" s="96"/>
      <c r="E10" s="22"/>
      <c r="F10" s="24"/>
      <c r="G10" s="24"/>
      <c r="H10" s="24"/>
      <c r="I10" s="24"/>
    </row>
    <row r="11" spans="2:9" ht="15.95" customHeight="1">
      <c r="B11" s="82" t="s">
        <v>4937</v>
      </c>
      <c r="C11" s="106" t="s">
        <v>4938</v>
      </c>
      <c r="F11" s="24"/>
      <c r="G11" s="24"/>
      <c r="H11" s="24"/>
      <c r="I11" s="24"/>
    </row>
    <row r="12" spans="2:9" ht="15.95" customHeight="1">
      <c r="B12" s="85"/>
      <c r="C12" s="82"/>
      <c r="D12" s="98"/>
      <c r="E12" s="84"/>
      <c r="F12" s="97"/>
      <c r="G12" s="97"/>
      <c r="H12" s="97"/>
      <c r="I12" s="97"/>
    </row>
    <row r="13" spans="2:9" ht="24.75" customHeight="1">
      <c r="B13" s="436" t="s">
        <v>4512</v>
      </c>
      <c r="C13" s="434" t="s">
        <v>4939</v>
      </c>
      <c r="D13" s="435" t="s">
        <v>4940</v>
      </c>
      <c r="E13" s="434" t="s">
        <v>4941</v>
      </c>
      <c r="F13" s="97"/>
      <c r="G13" s="97"/>
      <c r="H13" s="97"/>
      <c r="I13" s="97"/>
    </row>
    <row r="14" spans="2:9" ht="15.95" customHeight="1">
      <c r="B14" s="86" t="s">
        <v>454</v>
      </c>
      <c r="C14" s="496">
        <v>6428994386</v>
      </c>
      <c r="D14" s="450">
        <f t="shared" ref="D14:D52" si="0">C14/$C$41</f>
        <v>2.5840465861099449E-2</v>
      </c>
      <c r="E14" s="498">
        <f>D14*VLOOKUP("European Investment Bank",'Aggregates by Country Group'!B:F,5,0)</f>
        <v>5.1745532886851645E-2</v>
      </c>
      <c r="F14" s="97"/>
      <c r="G14" s="97"/>
      <c r="H14" s="97"/>
      <c r="I14" s="97"/>
    </row>
    <row r="15" spans="2:9" ht="15.95" customHeight="1">
      <c r="B15" s="86" t="s">
        <v>558</v>
      </c>
      <c r="C15" s="496">
        <v>12951115777</v>
      </c>
      <c r="D15" s="450">
        <f t="shared" si="0"/>
        <v>5.205524301397562E-2</v>
      </c>
      <c r="E15" s="498">
        <f>D15*VLOOKUP("European Investment Bank",'Aggregates by Country Group'!B:F,5,0)</f>
        <v>0.10424062413548618</v>
      </c>
      <c r="F15" s="97"/>
      <c r="G15" s="97"/>
      <c r="H15" s="97"/>
      <c r="I15" s="97"/>
    </row>
    <row r="16" spans="2:9" s="3" customFormat="1" ht="15.95" customHeight="1">
      <c r="B16" s="86" t="s">
        <v>673</v>
      </c>
      <c r="C16" s="496">
        <v>510041217</v>
      </c>
      <c r="D16" s="450">
        <f t="shared" si="0"/>
        <v>2.050041089527577E-3</v>
      </c>
      <c r="E16" s="498">
        <f>D16*VLOOKUP("European Investment Bank",'Aggregates by Country Group'!B:F,5,0)</f>
        <v>4.105207281778973E-3</v>
      </c>
      <c r="F16" s="99"/>
      <c r="G16" s="99"/>
      <c r="H16" s="99"/>
      <c r="I16" s="99"/>
    </row>
    <row r="17" spans="2:9" ht="15.95" customHeight="1">
      <c r="B17" s="86" t="s">
        <v>918</v>
      </c>
      <c r="C17" s="496">
        <v>1062312542</v>
      </c>
      <c r="D17" s="450">
        <f t="shared" si="0"/>
        <v>4.2698203369326716E-3</v>
      </c>
      <c r="E17" s="498">
        <f>D17*VLOOKUP("European Investment Bank",'Aggregates by Country Group'!B:F,5,0)</f>
        <v>8.5503152247076754E-3</v>
      </c>
      <c r="F17" s="24"/>
      <c r="G17" s="24"/>
      <c r="H17" s="24"/>
      <c r="I17" s="24"/>
    </row>
    <row r="18" spans="2:9" ht="15.95" customHeight="1">
      <c r="B18" s="86" t="s">
        <v>981</v>
      </c>
      <c r="C18" s="496">
        <v>321508011</v>
      </c>
      <c r="D18" s="450">
        <f t="shared" si="0"/>
        <v>1.2922575885906966E-3</v>
      </c>
      <c r="E18" s="498">
        <f>D18*VLOOKUP("European Investment Bank",'Aggregates by Country Group'!B:F,5,0)</f>
        <v>2.5877458211528699E-3</v>
      </c>
      <c r="F18" s="24"/>
      <c r="G18" s="24"/>
      <c r="H18" s="24"/>
      <c r="I18" s="24"/>
    </row>
    <row r="19" spans="2:9" ht="15.95" customHeight="1">
      <c r="B19" s="86" t="s">
        <v>1012</v>
      </c>
      <c r="C19" s="496">
        <v>2206922328</v>
      </c>
      <c r="D19" s="450">
        <f t="shared" si="0"/>
        <v>8.8704232187491166E-3</v>
      </c>
      <c r="E19" s="498">
        <f>D19*VLOOKUP("European Investment Bank",'Aggregates by Country Group'!B:F,5,0)</f>
        <v>1.7763022495545105E-2</v>
      </c>
      <c r="F19" s="24"/>
      <c r="G19" s="24"/>
      <c r="H19" s="24"/>
      <c r="I19" s="24"/>
    </row>
    <row r="20" spans="2:9" ht="15.95" customHeight="1">
      <c r="B20" s="86" t="s">
        <v>1194</v>
      </c>
      <c r="C20" s="496">
        <v>6557521657</v>
      </c>
      <c r="D20" s="450">
        <f t="shared" si="0"/>
        <v>2.6357063692593618E-2</v>
      </c>
      <c r="E20" s="498">
        <f>D20*VLOOKUP("European Investment Bank",'Aggregates by Country Group'!B:F,5,0)</f>
        <v>5.2780020044418716E-2</v>
      </c>
      <c r="F20" s="24"/>
      <c r="G20" s="24"/>
      <c r="H20" s="24"/>
      <c r="I20" s="24"/>
    </row>
    <row r="21" spans="2:9" ht="15.95" customHeight="1">
      <c r="B21" s="86" t="s">
        <v>1305</v>
      </c>
      <c r="C21" s="496">
        <v>206248240</v>
      </c>
      <c r="D21" s="450">
        <f t="shared" si="0"/>
        <v>8.2898666333224046E-4</v>
      </c>
      <c r="E21" s="498">
        <f>D21*VLOOKUP("European Investment Bank",'Aggregates by Country Group'!B:F,5,0)</f>
        <v>1.6600457933228115E-3</v>
      </c>
      <c r="F21" s="24"/>
      <c r="G21" s="24"/>
      <c r="H21" s="24"/>
      <c r="I21" s="24"/>
    </row>
    <row r="22" spans="2:9" ht="15.95" customHeight="1">
      <c r="B22" s="86" t="s">
        <v>1432</v>
      </c>
      <c r="C22" s="496">
        <v>3693702498</v>
      </c>
      <c r="D22" s="450">
        <f t="shared" si="0"/>
        <v>1.4846333278572373E-2</v>
      </c>
      <c r="E22" s="498">
        <f>D22*VLOOKUP("European Investment Bank",'Aggregates by Country Group'!B:F,5,0)</f>
        <v>2.9729782390341176E-2</v>
      </c>
      <c r="F22" s="24"/>
      <c r="G22" s="24"/>
      <c r="H22" s="24"/>
      <c r="I22" s="24"/>
    </row>
    <row r="23" spans="2:9" ht="15.95" customHeight="1">
      <c r="B23" s="86" t="s">
        <v>1523</v>
      </c>
      <c r="C23" s="496">
        <v>46722369149</v>
      </c>
      <c r="D23" s="450">
        <f t="shared" si="0"/>
        <v>0.18779418871068534</v>
      </c>
      <c r="E23" s="498">
        <f>D23*VLOOKUP("European Investment Bank",'Aggregates by Country Group'!B:F,5,0)</f>
        <v>0.37605786289314741</v>
      </c>
      <c r="F23" s="24"/>
      <c r="G23" s="24"/>
      <c r="H23" s="24"/>
      <c r="I23" s="24"/>
    </row>
    <row r="24" spans="2:9" ht="15.95" customHeight="1">
      <c r="B24" s="86" t="s">
        <v>1711</v>
      </c>
      <c r="C24" s="496">
        <v>46722369149</v>
      </c>
      <c r="D24" s="450">
        <f t="shared" si="0"/>
        <v>0.18779418871068534</v>
      </c>
      <c r="E24" s="498">
        <f>D24*VLOOKUP("European Investment Bank",'Aggregates by Country Group'!B:F,5,0)</f>
        <v>0.37605786289314741</v>
      </c>
      <c r="F24" s="24"/>
      <c r="G24" s="24"/>
      <c r="H24" s="24"/>
      <c r="I24" s="24"/>
    </row>
    <row r="25" spans="2:9" ht="15.95" customHeight="1">
      <c r="B25" s="86" t="s">
        <v>1973</v>
      </c>
      <c r="C25" s="496">
        <v>3512961713</v>
      </c>
      <c r="D25" s="450">
        <f t="shared" si="0"/>
        <v>1.4119870350766542E-2</v>
      </c>
      <c r="E25" s="498">
        <f>D25*VLOOKUP("European Investment Bank",'Aggregates by Country Group'!B:F,5,0)</f>
        <v>2.827504037741E-2</v>
      </c>
      <c r="F25" s="24"/>
      <c r="G25" s="24"/>
      <c r="H25" s="24"/>
      <c r="I25" s="24"/>
    </row>
    <row r="26" spans="2:9" ht="15.95" customHeight="1">
      <c r="B26" s="86" t="s">
        <v>2028</v>
      </c>
      <c r="C26" s="496">
        <v>2087849195</v>
      </c>
      <c r="D26" s="450">
        <f t="shared" si="0"/>
        <v>8.3918250051683071E-3</v>
      </c>
      <c r="E26" s="498">
        <f>D26*VLOOKUP("European Investment Bank",'Aggregates by Country Group'!B:F,5,0)</f>
        <v>1.6804629572849533E-2</v>
      </c>
      <c r="F26" s="24"/>
      <c r="G26" s="24"/>
      <c r="H26" s="24"/>
      <c r="I26" s="24"/>
    </row>
    <row r="27" spans="2:9" ht="15.95" customHeight="1">
      <c r="B27" s="86" t="s">
        <v>2096</v>
      </c>
      <c r="C27" s="496">
        <v>1639379073</v>
      </c>
      <c r="D27" s="450">
        <f t="shared" si="0"/>
        <v>6.5892605321770095E-3</v>
      </c>
      <c r="E27" s="498">
        <f>D27*VLOOKUP("European Investment Bank",'Aggregates by Country Group'!B:F,5,0)</f>
        <v>1.3194994215684461E-2</v>
      </c>
      <c r="F27" s="24"/>
      <c r="G27" s="24"/>
      <c r="H27" s="24"/>
      <c r="I27" s="24"/>
    </row>
    <row r="28" spans="2:9" ht="15.95" customHeight="1">
      <c r="B28" s="86" t="s">
        <v>2204</v>
      </c>
      <c r="C28" s="496">
        <v>46722369149</v>
      </c>
      <c r="D28" s="450">
        <f t="shared" si="0"/>
        <v>0.18779418871068534</v>
      </c>
      <c r="E28" s="498">
        <f>D28*VLOOKUP("European Investment Bank",'Aggregates by Country Group'!B:F,5,0)</f>
        <v>0.37605786289314741</v>
      </c>
      <c r="F28" s="24"/>
      <c r="G28" s="24"/>
      <c r="H28" s="24"/>
      <c r="I28" s="24"/>
    </row>
    <row r="29" spans="2:9" ht="15.95" customHeight="1">
      <c r="B29" s="86" t="s">
        <v>2392</v>
      </c>
      <c r="C29" s="496">
        <v>267076094</v>
      </c>
      <c r="D29" s="450">
        <f t="shared" si="0"/>
        <v>1.0734759240654263E-3</v>
      </c>
      <c r="E29" s="498">
        <f>D29*VLOOKUP("European Investment Bank",'Aggregates by Country Group'!B:F,5,0)</f>
        <v>2.1496355379410164E-3</v>
      </c>
      <c r="F29" s="24"/>
      <c r="G29" s="24"/>
      <c r="H29" s="24"/>
      <c r="I29" s="24"/>
    </row>
    <row r="30" spans="2:9" ht="15.95" customHeight="1">
      <c r="B30" s="86" t="s">
        <v>2488</v>
      </c>
      <c r="C30" s="496">
        <v>437633208</v>
      </c>
      <c r="D30" s="450">
        <f t="shared" si="0"/>
        <v>1.7590069755906977E-3</v>
      </c>
      <c r="E30" s="498">
        <f>D30*VLOOKUP("European Investment Bank",'Aggregates by Country Group'!B:F,5,0)</f>
        <v>3.5224114686203721E-3</v>
      </c>
      <c r="F30" s="24"/>
      <c r="G30" s="24"/>
      <c r="H30" s="24"/>
      <c r="I30" s="24"/>
    </row>
    <row r="31" spans="2:9" ht="15.95" customHeight="1">
      <c r="B31" s="86" t="s">
        <v>2625</v>
      </c>
      <c r="C31" s="496">
        <v>327878318</v>
      </c>
      <c r="D31" s="450">
        <f t="shared" si="0"/>
        <v>1.3178621685101762E-3</v>
      </c>
      <c r="E31" s="498">
        <f>D31*VLOOKUP("European Investment Bank",'Aggregates by Country Group'!B:F,5,0)</f>
        <v>2.6390189924416279E-3</v>
      </c>
      <c r="F31" s="24"/>
      <c r="G31" s="24"/>
      <c r="H31" s="24"/>
      <c r="I31" s="24"/>
    </row>
    <row r="32" spans="2:9" ht="15.95" customHeight="1">
      <c r="B32" s="86" t="s">
        <v>2678</v>
      </c>
      <c r="C32" s="496">
        <v>122381664</v>
      </c>
      <c r="D32" s="450">
        <f t="shared" si="0"/>
        <v>4.9189640257006498E-4</v>
      </c>
      <c r="E32" s="498">
        <f>D32*VLOOKUP("European Investment Bank",'Aggregates by Country Group'!B:F,5,0)</f>
        <v>9.8502254614655517E-4</v>
      </c>
      <c r="F32" s="24"/>
      <c r="G32" s="24"/>
      <c r="H32" s="24"/>
      <c r="I32" s="24"/>
    </row>
    <row r="33" spans="2:9" ht="15.95" customHeight="1">
      <c r="B33" s="86" t="s">
        <v>2693</v>
      </c>
      <c r="C33" s="496">
        <v>12951115777</v>
      </c>
      <c r="D33" s="450">
        <f t="shared" si="0"/>
        <v>5.205524301397562E-2</v>
      </c>
      <c r="E33" s="498">
        <f>D33*VLOOKUP("European Investment Bank",'Aggregates by Country Group'!B:F,5,0)</f>
        <v>0.10424062413548618</v>
      </c>
      <c r="F33" s="24"/>
      <c r="G33" s="24"/>
      <c r="H33" s="24"/>
      <c r="I33" s="24"/>
    </row>
    <row r="34" spans="2:9" ht="15.95" customHeight="1">
      <c r="B34" s="86" t="s">
        <v>2989</v>
      </c>
      <c r="C34" s="496">
        <v>11366679827</v>
      </c>
      <c r="D34" s="450">
        <f t="shared" si="0"/>
        <v>4.5686818869099775E-2</v>
      </c>
      <c r="E34" s="498">
        <f>D34*VLOOKUP("European Investment Bank",'Aggregates by Country Group'!B:F,5,0)</f>
        <v>9.1487854785372302E-2</v>
      </c>
      <c r="F34" s="24"/>
      <c r="G34" s="24"/>
      <c r="H34" s="24"/>
      <c r="I34" s="24"/>
    </row>
    <row r="35" spans="2:9" ht="15.95" customHeight="1">
      <c r="B35" s="86" t="s">
        <v>3079</v>
      </c>
      <c r="C35" s="496">
        <v>2263904037</v>
      </c>
      <c r="D35" s="450">
        <f t="shared" si="0"/>
        <v>9.0994534243638587E-3</v>
      </c>
      <c r="E35" s="498">
        <f>D35*VLOOKUP("European Investment Bank",'Aggregates by Country Group'!B:F,5,0)</f>
        <v>1.8221655482288625E-2</v>
      </c>
      <c r="F35" s="24"/>
      <c r="G35" s="24"/>
      <c r="H35" s="24"/>
      <c r="I35" s="24"/>
    </row>
    <row r="36" spans="2:9" ht="15.95" customHeight="1">
      <c r="B36" s="86" t="s">
        <v>3214</v>
      </c>
      <c r="C36" s="496">
        <v>1639379073</v>
      </c>
      <c r="D36" s="450">
        <f t="shared" si="0"/>
        <v>6.5892605321770095E-3</v>
      </c>
      <c r="E36" s="498">
        <f>D36*VLOOKUP("European Investment Bank",'Aggregates by Country Group'!B:F,5,0)</f>
        <v>1.3194994215684461E-2</v>
      </c>
      <c r="F36" s="24"/>
      <c r="G36" s="24"/>
      <c r="H36" s="24"/>
      <c r="I36" s="24"/>
    </row>
    <row r="37" spans="2:9" ht="15.95" customHeight="1">
      <c r="B37" s="86" t="s">
        <v>3261</v>
      </c>
      <c r="C37" s="496">
        <v>751236149</v>
      </c>
      <c r="D37" s="450">
        <f t="shared" si="0"/>
        <v>3.0194912137629483E-3</v>
      </c>
      <c r="E37" s="498">
        <f>D37*VLOOKUP("European Investment Bank",'Aggregates by Country Group'!B:F,5,0)</f>
        <v>6.0465311555603042E-3</v>
      </c>
      <c r="F37" s="24"/>
      <c r="G37" s="24"/>
      <c r="H37" s="24"/>
      <c r="I37" s="24"/>
    </row>
    <row r="38" spans="2:9" ht="15.95" customHeight="1">
      <c r="B38" s="86" t="s">
        <v>3337</v>
      </c>
      <c r="C38" s="496">
        <v>697455090</v>
      </c>
      <c r="D38" s="450">
        <f t="shared" si="0"/>
        <v>2.8033255841755909E-3</v>
      </c>
      <c r="E38" s="498">
        <f>D38*VLOOKUP("European Investment Bank",'Aggregates by Country Group'!B:F,5,0)</f>
        <v>5.6136594823116203E-3</v>
      </c>
      <c r="F38" s="24"/>
      <c r="G38" s="24"/>
      <c r="H38" s="24"/>
      <c r="I38" s="24"/>
    </row>
    <row r="39" spans="2:9" ht="15.95" customHeight="1">
      <c r="B39" s="86" t="s">
        <v>3412</v>
      </c>
      <c r="C39" s="496">
        <v>28033421847</v>
      </c>
      <c r="D39" s="450">
        <f t="shared" si="0"/>
        <v>0.11267651466373563</v>
      </c>
      <c r="E39" s="498">
        <f>D39*VLOOKUP("European Investment Bank",'Aggregates by Country Group'!B:F,5,0)</f>
        <v>0.22563472061413059</v>
      </c>
      <c r="F39" s="24"/>
      <c r="G39" s="24"/>
      <c r="H39" s="24"/>
      <c r="I39" s="24"/>
    </row>
    <row r="40" spans="2:9" ht="15.95" customHeight="1">
      <c r="B40" s="86" t="s">
        <v>3548</v>
      </c>
      <c r="C40" s="496">
        <v>8591781713</v>
      </c>
      <c r="D40" s="450">
        <f t="shared" si="0"/>
        <v>3.4533494464431949E-2</v>
      </c>
      <c r="E40" s="498">
        <f>D40*VLOOKUP("European Investment Bank",'Aggregates by Country Group'!B:F,5,0)</f>
        <v>6.9153322665024983E-2</v>
      </c>
      <c r="F40" s="24"/>
      <c r="G40" s="24"/>
      <c r="H40" s="24"/>
      <c r="I40" s="24"/>
    </row>
    <row r="41" spans="2:9" ht="15.95" customHeight="1">
      <c r="B41" s="87" t="s">
        <v>4942</v>
      </c>
      <c r="C41" s="497">
        <v>248795606881</v>
      </c>
      <c r="D41" s="451">
        <f t="shared" si="0"/>
        <v>1</v>
      </c>
      <c r="E41" s="498">
        <f>D41*VLOOKUP("European Investment Bank",'Aggregates by Country Group'!B:F,5,0)</f>
        <v>2.0024999999999999</v>
      </c>
      <c r="F41" s="24"/>
      <c r="G41" s="24"/>
      <c r="H41" s="24"/>
      <c r="I41" s="24"/>
    </row>
    <row r="42" spans="2:9" ht="15.95" customHeight="1">
      <c r="B42" s="82" t="s">
        <v>3949</v>
      </c>
      <c r="C42" s="449">
        <v>0</v>
      </c>
      <c r="D42" s="450">
        <f t="shared" si="0"/>
        <v>0</v>
      </c>
      <c r="E42" s="498">
        <f>D42*VLOOKUP("European Investment Bank",'Aggregates by Country Group'!B:F,5,0)</f>
        <v>0</v>
      </c>
      <c r="F42" s="24"/>
      <c r="G42" s="24"/>
      <c r="H42" s="24"/>
      <c r="I42" s="24"/>
    </row>
    <row r="43" spans="2:9" ht="15.95" customHeight="1">
      <c r="B43" s="82" t="s">
        <v>713</v>
      </c>
      <c r="C43" s="449">
        <v>0</v>
      </c>
      <c r="D43" s="450">
        <f t="shared" si="0"/>
        <v>0</v>
      </c>
      <c r="E43" s="498">
        <f>D43*VLOOKUP("European Investment Bank",'Aggregates by Country Group'!B:F,5,0)</f>
        <v>0</v>
      </c>
      <c r="F43" s="24"/>
      <c r="G43" s="24"/>
      <c r="H43" s="24"/>
      <c r="I43" s="24"/>
    </row>
    <row r="44" spans="2:9" ht="15.95" customHeight="1">
      <c r="B44" s="82" t="s">
        <v>3748</v>
      </c>
      <c r="C44" s="449">
        <v>0</v>
      </c>
      <c r="D44" s="450">
        <f t="shared" si="0"/>
        <v>0</v>
      </c>
      <c r="E44" s="498">
        <f>D44*VLOOKUP("European Investment Bank",'Aggregates by Country Group'!B:F,5,0)</f>
        <v>0</v>
      </c>
      <c r="F44" s="24"/>
      <c r="G44" s="24"/>
      <c r="H44" s="24"/>
      <c r="I44" s="24"/>
    </row>
    <row r="45" spans="2:9" ht="15.95" customHeight="1">
      <c r="B45" s="82" t="s">
        <v>2312</v>
      </c>
      <c r="C45" s="449">
        <v>0</v>
      </c>
      <c r="D45" s="450">
        <f t="shared" si="0"/>
        <v>0</v>
      </c>
      <c r="E45" s="498">
        <f>D45*VLOOKUP("European Investment Bank",'Aggregates by Country Group'!B:F,5,0)</f>
        <v>0</v>
      </c>
      <c r="F45" s="24"/>
      <c r="G45" s="24"/>
      <c r="H45" s="24"/>
      <c r="I45" s="24"/>
    </row>
    <row r="46" spans="2:9" ht="15.95" customHeight="1">
      <c r="B46" s="82" t="s">
        <v>2139</v>
      </c>
      <c r="C46" s="449">
        <v>0</v>
      </c>
      <c r="D46" s="450">
        <f t="shared" si="0"/>
        <v>0</v>
      </c>
      <c r="E46" s="498">
        <f>D46*VLOOKUP("European Investment Bank",'Aggregates by Country Group'!B:F,5,0)</f>
        <v>0</v>
      </c>
      <c r="F46" s="24"/>
      <c r="G46" s="24"/>
      <c r="H46" s="24"/>
      <c r="I46" s="24"/>
    </row>
    <row r="47" spans="2:9" ht="15.95" customHeight="1">
      <c r="B47" s="24" t="s">
        <v>3685</v>
      </c>
      <c r="C47" s="449">
        <v>0</v>
      </c>
      <c r="D47" s="450">
        <f t="shared" si="0"/>
        <v>0</v>
      </c>
      <c r="E47" s="498">
        <f>D47*VLOOKUP("European Investment Bank",'Aggregates by Country Group'!B:F,5,0)</f>
        <v>0</v>
      </c>
      <c r="F47" s="24"/>
      <c r="G47" s="24"/>
      <c r="H47" s="24"/>
      <c r="I47" s="24"/>
    </row>
    <row r="48" spans="2:9" ht="15.95" customHeight="1">
      <c r="B48" s="24" t="s">
        <v>3649</v>
      </c>
      <c r="C48" s="449">
        <v>0</v>
      </c>
      <c r="D48" s="450">
        <f t="shared" si="0"/>
        <v>0</v>
      </c>
      <c r="E48" s="498">
        <f>D48*VLOOKUP("European Investment Bank",'Aggregates by Country Group'!B:F,5,0)</f>
        <v>0</v>
      </c>
      <c r="F48" s="24"/>
      <c r="G48" s="24"/>
      <c r="H48" s="24"/>
      <c r="I48" s="24"/>
    </row>
    <row r="49" spans="2:9" ht="15.95" customHeight="1">
      <c r="B49" s="24" t="s">
        <v>2882</v>
      </c>
      <c r="C49" s="449">
        <v>0</v>
      </c>
      <c r="D49" s="450">
        <f t="shared" si="0"/>
        <v>0</v>
      </c>
      <c r="E49" s="498">
        <f>D49*VLOOKUP("European Investment Bank",'Aggregates by Country Group'!B:F,5,0)</f>
        <v>0</v>
      </c>
      <c r="F49" s="24"/>
      <c r="G49" s="24"/>
      <c r="H49" s="24"/>
      <c r="I49" s="24"/>
    </row>
    <row r="50" spans="2:9" ht="15.95" customHeight="1">
      <c r="B50" s="24" t="s">
        <v>2832</v>
      </c>
      <c r="C50" s="449">
        <v>0</v>
      </c>
      <c r="D50" s="450">
        <f t="shared" si="0"/>
        <v>0</v>
      </c>
      <c r="E50" s="498">
        <f>D50*VLOOKUP("European Investment Bank",'Aggregates by Country Group'!B:F,5,0)</f>
        <v>0</v>
      </c>
      <c r="F50" s="24"/>
      <c r="G50" s="24"/>
      <c r="H50" s="24"/>
      <c r="I50" s="24"/>
    </row>
    <row r="51" spans="2:9" ht="15.95" customHeight="1">
      <c r="B51" s="24" t="s">
        <v>359</v>
      </c>
      <c r="C51" s="449">
        <v>0</v>
      </c>
      <c r="D51" s="450">
        <f t="shared" si="0"/>
        <v>0</v>
      </c>
      <c r="E51" s="498">
        <f>D51*VLOOKUP("European Investment Bank",'Aggregates by Country Group'!B:F,5,0)</f>
        <v>0</v>
      </c>
      <c r="F51" s="24"/>
      <c r="G51" s="24"/>
      <c r="H51" s="24"/>
      <c r="I51" s="24"/>
    </row>
    <row r="52" spans="2:9" ht="15.95" customHeight="1">
      <c r="B52" s="24" t="s">
        <v>3162</v>
      </c>
      <c r="C52" s="449">
        <v>0</v>
      </c>
      <c r="D52" s="450">
        <f t="shared" si="0"/>
        <v>0</v>
      </c>
      <c r="E52" s="498">
        <f>D52*VLOOKUP("European Investment Bank",'Aggregates by Country Group'!B:F,5,0)</f>
        <v>0</v>
      </c>
      <c r="F52" s="24"/>
      <c r="G52" s="24"/>
      <c r="H52" s="24"/>
      <c r="I52" s="24"/>
    </row>
    <row r="53" spans="2:9" ht="15.95" customHeight="1">
      <c r="B53" s="13" t="s">
        <v>4406</v>
      </c>
      <c r="C53" s="449">
        <v>0</v>
      </c>
      <c r="D53" s="450">
        <f t="shared" ref="D53:D57" si="1">C53/$C$41</f>
        <v>0</v>
      </c>
      <c r="E53" s="498">
        <f>D53*VLOOKUP("European Investment Bank",'Aggregates by Country Group'!B:F,5,0)</f>
        <v>0</v>
      </c>
      <c r="F53" s="24"/>
      <c r="G53" s="24"/>
      <c r="H53" s="24"/>
      <c r="I53" s="24"/>
    </row>
    <row r="54" spans="2:9" ht="15.95" customHeight="1">
      <c r="B54" s="13" t="s">
        <v>905</v>
      </c>
      <c r="C54" s="449">
        <v>0</v>
      </c>
      <c r="D54" s="450">
        <f t="shared" si="1"/>
        <v>0</v>
      </c>
      <c r="E54" s="498">
        <f>D54*VLOOKUP("European Investment Bank",'Aggregates by Country Group'!B:F,5,0)</f>
        <v>0</v>
      </c>
      <c r="F54" s="24"/>
      <c r="G54" s="24"/>
      <c r="H54" s="24"/>
      <c r="I54" s="24"/>
    </row>
    <row r="55" spans="2:9" ht="15.95" customHeight="1">
      <c r="B55" s="13" t="s">
        <v>3713</v>
      </c>
      <c r="C55" s="449">
        <v>0</v>
      </c>
      <c r="D55" s="450">
        <f t="shared" si="1"/>
        <v>0</v>
      </c>
      <c r="E55" s="498">
        <f>D55*VLOOKUP("European Investment Bank",'Aggregates by Country Group'!B:F,5,0)</f>
        <v>0</v>
      </c>
      <c r="F55" s="24"/>
      <c r="G55" s="24"/>
      <c r="H55" s="24"/>
      <c r="I55" s="24"/>
    </row>
    <row r="56" spans="2:9" ht="15.95" customHeight="1">
      <c r="B56" s="13" t="s">
        <v>2139</v>
      </c>
      <c r="C56" s="449">
        <v>1</v>
      </c>
      <c r="D56" s="450">
        <f>C56/$C$41</f>
        <v>4.0193635753315544E-12</v>
      </c>
      <c r="E56" s="498">
        <f>D56*VLOOKUP("European Investment Bank",'Aggregates by Country Group'!B:F,5,0)</f>
        <v>8.0487755596014374E-12</v>
      </c>
      <c r="F56" s="24"/>
      <c r="G56" s="24"/>
      <c r="H56" s="24"/>
      <c r="I56" s="24"/>
    </row>
    <row r="57" spans="2:9" ht="15.95" customHeight="1">
      <c r="B57" s="13" t="s">
        <v>2076</v>
      </c>
      <c r="C57" s="449">
        <v>0</v>
      </c>
      <c r="D57" s="450">
        <f t="shared" si="1"/>
        <v>0</v>
      </c>
      <c r="E57" s="498">
        <f>D57*VLOOKUP("European Investment Bank",'Aggregates by Country Group'!B:F,5,0)</f>
        <v>0</v>
      </c>
    </row>
  </sheetData>
  <mergeCells count="1">
    <mergeCell ref="B4:E9"/>
  </mergeCells>
  <hyperlinks>
    <hyperlink ref="C11" r:id="rId1" xr:uid="{00000000-0004-0000-26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tint="0.59999389629810485"/>
  </sheetPr>
  <dimension ref="B1:I57"/>
  <sheetViews>
    <sheetView showGridLines="0" zoomScaleNormal="100" workbookViewId="0"/>
  </sheetViews>
  <sheetFormatPr defaultColWidth="8.625" defaultRowHeight="15.95" customHeight="1"/>
  <cols>
    <col min="1" max="1" width="8.625" style="20" customWidth="1"/>
    <col min="2" max="2" width="25.5" style="20" customWidth="1"/>
    <col min="3" max="4" width="28.625" style="102" customWidth="1"/>
    <col min="5" max="7" width="28.625" style="20" customWidth="1"/>
    <col min="8" max="8" width="8.625" style="20" customWidth="1"/>
    <col min="9" max="16384" width="8.625" style="20"/>
  </cols>
  <sheetData>
    <row r="1" spans="2:9" s="35" customFormat="1" ht="15.95" customHeight="1">
      <c r="B1" s="39"/>
      <c r="C1" s="146"/>
      <c r="D1" s="146"/>
      <c r="E1" s="146"/>
      <c r="F1" s="146"/>
      <c r="G1" s="39"/>
    </row>
    <row r="2" spans="2:9" s="39" customFormat="1" ht="24.75" customHeight="1">
      <c r="B2" s="369" t="s">
        <v>4943</v>
      </c>
    </row>
    <row r="3" spans="2:9" s="114" customFormat="1" ht="15.95" customHeight="1"/>
    <row r="4" spans="2:9" s="114" customFormat="1" ht="15.95" customHeight="1">
      <c r="B4" s="1437" t="s">
        <v>4944</v>
      </c>
      <c r="C4" s="1437"/>
      <c r="D4" s="1437"/>
      <c r="E4" s="1437"/>
      <c r="F4" s="393"/>
      <c r="G4" s="393"/>
    </row>
    <row r="5" spans="2:9" s="114" customFormat="1" ht="15.95" customHeight="1">
      <c r="B5" s="1437"/>
      <c r="C5" s="1437"/>
      <c r="D5" s="1437"/>
      <c r="E5" s="1437"/>
      <c r="F5" s="393"/>
      <c r="G5" s="393"/>
    </row>
    <row r="6" spans="2:9" s="114" customFormat="1" ht="15.95" customHeight="1">
      <c r="B6" s="1437"/>
      <c r="C6" s="1437"/>
      <c r="D6" s="1437"/>
      <c r="E6" s="1437"/>
      <c r="F6" s="393"/>
      <c r="G6" s="393"/>
    </row>
    <row r="7" spans="2:9" s="114" customFormat="1" ht="15.95" customHeight="1">
      <c r="B7" s="1437"/>
      <c r="C7" s="1437"/>
      <c r="D7" s="1437"/>
      <c r="E7" s="1437"/>
      <c r="F7" s="393"/>
      <c r="G7" s="393"/>
    </row>
    <row r="8" spans="2:9" s="114" customFormat="1" ht="15.95" customHeight="1">
      <c r="B8" s="1437"/>
      <c r="C8" s="1437"/>
      <c r="D8" s="1437"/>
      <c r="E8" s="1437"/>
      <c r="F8" s="393"/>
      <c r="G8" s="393"/>
    </row>
    <row r="9" spans="2:9" s="114" customFormat="1" ht="15.95" customHeight="1">
      <c r="B9" s="393"/>
      <c r="C9" s="393"/>
      <c r="D9" s="393"/>
      <c r="E9" s="393"/>
      <c r="F9" s="393"/>
      <c r="G9" s="393"/>
    </row>
    <row r="10" spans="2:9" ht="15.95" customHeight="1">
      <c r="B10" s="23"/>
      <c r="C10" s="100"/>
      <c r="D10" s="100"/>
      <c r="E10" s="23"/>
      <c r="F10" s="23"/>
      <c r="G10" s="23"/>
      <c r="H10" s="23"/>
      <c r="I10" s="23"/>
    </row>
    <row r="11" spans="2:9" ht="15.95" customHeight="1">
      <c r="B11" s="82" t="s">
        <v>4937</v>
      </c>
      <c r="C11" s="101" t="s">
        <v>4945</v>
      </c>
      <c r="F11" s="23"/>
      <c r="G11" s="23"/>
      <c r="H11" s="23"/>
      <c r="I11" s="23"/>
    </row>
    <row r="12" spans="2:9" ht="15.95" customHeight="1">
      <c r="B12" s="24"/>
      <c r="C12" s="103"/>
      <c r="D12" s="104"/>
      <c r="E12" s="82"/>
      <c r="F12" s="105"/>
      <c r="G12" s="105"/>
      <c r="H12" s="105"/>
      <c r="I12" s="105"/>
    </row>
    <row r="13" spans="2:9" ht="24.75" customHeight="1">
      <c r="B13" s="367" t="s">
        <v>4512</v>
      </c>
      <c r="C13" s="434" t="s">
        <v>4946</v>
      </c>
      <c r="D13" s="435" t="s">
        <v>4947</v>
      </c>
      <c r="E13" s="434" t="s">
        <v>4948</v>
      </c>
      <c r="F13" s="435" t="s">
        <v>4949</v>
      </c>
      <c r="G13" s="434" t="s">
        <v>4950</v>
      </c>
      <c r="H13" s="105"/>
      <c r="I13" s="105"/>
    </row>
    <row r="14" spans="2:9" ht="15.95" customHeight="1">
      <c r="B14" s="86" t="s">
        <v>454</v>
      </c>
      <c r="C14" s="445">
        <v>431177954655.48126</v>
      </c>
      <c r="D14" s="353">
        <f>C14*VLOOKUP("USD",'Exchange Rates'!B:C,2,0)</f>
        <v>468604201119.57703</v>
      </c>
      <c r="E14" s="354">
        <f>D14/1000000000</f>
        <v>468.604201119577</v>
      </c>
      <c r="F14" s="355">
        <f>E14/$E$41</f>
        <v>2.8122169019250343E-2</v>
      </c>
      <c r="G14" s="356">
        <f>F14*VLOOKUP("European Peace Facility",'Aggregates by Country Group'!B:F,5,0)</f>
        <v>0.1574841465078019</v>
      </c>
      <c r="H14" s="105"/>
      <c r="I14" s="105"/>
    </row>
    <row r="15" spans="2:9" ht="15.95" customHeight="1">
      <c r="B15" s="86" t="s">
        <v>558</v>
      </c>
      <c r="C15" s="445">
        <v>528771099613.82056</v>
      </c>
      <c r="D15" s="353">
        <f>C15*VLOOKUP("USD",'Exchange Rates'!B:C,2,0)</f>
        <v>574668431060.30017</v>
      </c>
      <c r="E15" s="354">
        <f t="shared" ref="E15:E52" si="0">D15/1000000000</f>
        <v>574.66843106030012</v>
      </c>
      <c r="F15" s="355">
        <f t="shared" ref="F15:F52" si="1">E15/$E$41</f>
        <v>3.4487362063109796E-2</v>
      </c>
      <c r="G15" s="356">
        <f>F15*VLOOKUP("European Peace Facility",'Aggregates by Country Group'!B:F,5,0)</f>
        <v>0.19312922755341486</v>
      </c>
      <c r="H15" s="105"/>
      <c r="I15" s="105"/>
    </row>
    <row r="16" spans="2:9" ht="15.95" customHeight="1">
      <c r="B16" s="86" t="s">
        <v>673</v>
      </c>
      <c r="C16" s="445">
        <v>66791503467.314651</v>
      </c>
      <c r="D16" s="353">
        <f>C16*VLOOKUP("USD",'Exchange Rates'!B:C,2,0)</f>
        <v>72589005968.277557</v>
      </c>
      <c r="E16" s="354">
        <f t="shared" si="0"/>
        <v>72.589005968277561</v>
      </c>
      <c r="F16" s="355">
        <f t="shared" si="1"/>
        <v>4.3562569219441662E-3</v>
      </c>
      <c r="G16" s="356">
        <f>F16*VLOOKUP("European Peace Facility",'Aggregates by Country Group'!B:F,5,0)</f>
        <v>2.4395038762887331E-2</v>
      </c>
      <c r="H16" s="23"/>
      <c r="I16" s="23"/>
    </row>
    <row r="17" spans="2:9" ht="15.95" customHeight="1">
      <c r="B17" s="86" t="s">
        <v>918</v>
      </c>
      <c r="C17" s="445">
        <v>58800071968.209152</v>
      </c>
      <c r="D17" s="353">
        <f>C17*VLOOKUP("USD",'Exchange Rates'!B:C,2,0)</f>
        <v>63903918215.049706</v>
      </c>
      <c r="E17" s="354">
        <f t="shared" si="0"/>
        <v>63.903918215049707</v>
      </c>
      <c r="F17" s="355">
        <f t="shared" si="1"/>
        <v>3.8350419922449559E-3</v>
      </c>
      <c r="G17" s="356">
        <f>F17*VLOOKUP("European Peace Facility",'Aggregates by Country Group'!B:F,5,0)</f>
        <v>2.1476235156571752E-2</v>
      </c>
      <c r="H17" s="23"/>
      <c r="I17" s="23"/>
    </row>
    <row r="18" spans="2:9" ht="15.95" customHeight="1">
      <c r="B18" s="86" t="s">
        <v>981</v>
      </c>
      <c r="C18" s="445">
        <v>23639615034.821491</v>
      </c>
      <c r="D18" s="353">
        <f>C18*VLOOKUP("USD",'Exchange Rates'!B:C,2,0)</f>
        <v>25691533619.843998</v>
      </c>
      <c r="E18" s="354">
        <f t="shared" si="0"/>
        <v>25.691533619843998</v>
      </c>
      <c r="F18" s="355">
        <f t="shared" si="1"/>
        <v>1.5418164179809386E-3</v>
      </c>
      <c r="G18" s="356">
        <f>F18*VLOOKUP("European Peace Facility",'Aggregates by Country Group'!B:F,5,0)</f>
        <v>8.6341719406932554E-3</v>
      </c>
      <c r="H18" s="23"/>
      <c r="I18" s="23"/>
    </row>
    <row r="19" spans="2:9" ht="15.95" customHeight="1">
      <c r="B19" s="86" t="s">
        <v>1012</v>
      </c>
      <c r="C19" s="445">
        <v>236140225083.77783</v>
      </c>
      <c r="D19" s="353">
        <f>C19*VLOOKUP("USD",'Exchange Rates'!B:C,2,0)</f>
        <v>256637196621.04974</v>
      </c>
      <c r="E19" s="354">
        <f t="shared" si="0"/>
        <v>256.63719662104972</v>
      </c>
      <c r="F19" s="355">
        <f t="shared" si="1"/>
        <v>1.54014722931647E-2</v>
      </c>
      <c r="G19" s="356">
        <f>F19*VLOOKUP("European Peace Facility",'Aggregates by Country Group'!B:F,5,0)</f>
        <v>8.6248244841722319E-2</v>
      </c>
      <c r="H19" s="23"/>
      <c r="I19" s="23"/>
    </row>
    <row r="20" spans="2:9" ht="15.95" customHeight="1">
      <c r="B20" s="86" t="s">
        <v>1194</v>
      </c>
      <c r="C20" s="445">
        <v>367413962752.16309</v>
      </c>
      <c r="D20" s="353">
        <f>C20*VLOOKUP("USD",'Exchange Rates'!B:C,2,0)</f>
        <v>399305494719.05084</v>
      </c>
      <c r="E20" s="354">
        <f t="shared" si="0"/>
        <v>399.30549471905084</v>
      </c>
      <c r="F20" s="355">
        <f t="shared" si="1"/>
        <v>2.3963371617189269E-2</v>
      </c>
      <c r="G20" s="356">
        <f>F20*VLOOKUP("European Peace Facility",'Aggregates by Country Group'!B:F,5,0)</f>
        <v>0.1341948810562599</v>
      </c>
      <c r="H20" s="23"/>
      <c r="I20" s="23"/>
    </row>
    <row r="21" spans="2:9" ht="15.95" customHeight="1">
      <c r="B21" s="86" t="s">
        <v>1305</v>
      </c>
      <c r="C21" s="446">
        <v>30879511970.059299</v>
      </c>
      <c r="D21" s="353">
        <f>C21*VLOOKUP("USD",'Exchange Rates'!B:C,2,0)</f>
        <v>33559853609.060448</v>
      </c>
      <c r="E21" s="354">
        <f t="shared" si="0"/>
        <v>33.559853609060447</v>
      </c>
      <c r="F21" s="355">
        <f t="shared" si="1"/>
        <v>2.0140149687101648E-3</v>
      </c>
      <c r="G21" s="356">
        <f>F21*VLOOKUP("European Peace Facility",'Aggregates by Country Group'!B:F,5,0)</f>
        <v>1.1278483824776923E-2</v>
      </c>
      <c r="H21" s="23"/>
      <c r="I21" s="23"/>
    </row>
    <row r="22" spans="2:9" ht="15.95" customHeight="1">
      <c r="B22" s="86" t="s">
        <v>1432</v>
      </c>
      <c r="C22" s="445">
        <v>275386048317.31531</v>
      </c>
      <c r="D22" s="353">
        <f>C22*VLOOKUP("USD",'Exchange Rates'!B:C,2,0)</f>
        <v>299289557311.2583</v>
      </c>
      <c r="E22" s="354">
        <f>D22/1000000000</f>
        <v>299.28955731125831</v>
      </c>
      <c r="F22" s="355">
        <f t="shared" si="1"/>
        <v>1.796115249563475E-2</v>
      </c>
      <c r="G22" s="356">
        <f>F22*VLOOKUP("European Peace Facility",'Aggregates by Country Group'!B:F,5,0)</f>
        <v>0.1005824539755546</v>
      </c>
      <c r="H22" s="23"/>
      <c r="I22" s="23"/>
    </row>
    <row r="23" spans="2:9" ht="15.95" customHeight="1">
      <c r="B23" s="86" t="s">
        <v>1523</v>
      </c>
      <c r="C23" s="445">
        <v>2661229723049.147</v>
      </c>
      <c r="D23" s="353">
        <f>C23*VLOOKUP("USD",'Exchange Rates'!B:C,2,0)</f>
        <v>2892224463009.813</v>
      </c>
      <c r="E23" s="354">
        <f t="shared" si="0"/>
        <v>2892.224463009813</v>
      </c>
      <c r="F23" s="355">
        <f t="shared" si="1"/>
        <v>0.17356998720038694</v>
      </c>
      <c r="G23" s="356">
        <f>F23*VLOOKUP("European Peace Facility",'Aggregates by Country Group'!B:F,5,0)</f>
        <v>0.97199192832216674</v>
      </c>
      <c r="H23" s="23"/>
      <c r="I23" s="23"/>
    </row>
    <row r="24" spans="2:9" ht="15.95" customHeight="1">
      <c r="B24" s="86" t="s">
        <v>1711</v>
      </c>
      <c r="C24" s="445">
        <v>3951936643951.478</v>
      </c>
      <c r="D24" s="353">
        <f>C24*VLOOKUP("USD",'Exchange Rates'!B:C,2,0)</f>
        <v>4294964744646.4663</v>
      </c>
      <c r="E24" s="354">
        <f t="shared" si="0"/>
        <v>4294.964744646466</v>
      </c>
      <c r="F24" s="355">
        <f t="shared" si="1"/>
        <v>0.25775211616134891</v>
      </c>
      <c r="G24" s="356">
        <f>F24*VLOOKUP("European Peace Facility",'Aggregates by Country Group'!B:F,5,0)</f>
        <v>1.4434118505035538</v>
      </c>
      <c r="H24" s="23"/>
      <c r="I24" s="23"/>
    </row>
    <row r="25" spans="2:9" ht="15.95" customHeight="1">
      <c r="B25" s="86" t="s">
        <v>1973</v>
      </c>
      <c r="C25" s="445">
        <v>192106587090.27692</v>
      </c>
      <c r="D25" s="353">
        <f>C25*VLOOKUP("USD",'Exchange Rates'!B:C,2,0)</f>
        <v>208781438849.71295</v>
      </c>
      <c r="E25" s="354">
        <f t="shared" si="0"/>
        <v>208.78143884971294</v>
      </c>
      <c r="F25" s="355">
        <f t="shared" si="1"/>
        <v>1.2529522563788677E-2</v>
      </c>
      <c r="G25" s="356">
        <f>F25*VLOOKUP("European Peace Facility",'Aggregates by Country Group'!B:F,5,0)</f>
        <v>7.016532635721659E-2</v>
      </c>
      <c r="H25" s="23"/>
      <c r="I25" s="23"/>
    </row>
    <row r="26" spans="2:9" ht="15.95" customHeight="1">
      <c r="B26" s="86" t="s">
        <v>2028</v>
      </c>
      <c r="C26" s="445">
        <v>154926012804.36594</v>
      </c>
      <c r="D26" s="353">
        <f>C26*VLOOKUP("USD",'Exchange Rates'!B:C,2,0)</f>
        <v>168373590715.78491</v>
      </c>
      <c r="E26" s="354">
        <f t="shared" si="0"/>
        <v>168.3735907157849</v>
      </c>
      <c r="F26" s="355">
        <f t="shared" si="1"/>
        <v>1.0104541455613439E-2</v>
      </c>
      <c r="G26" s="356">
        <f>F26*VLOOKUP("European Peace Facility",'Aggregates by Country Group'!B:F,5,0)</f>
        <v>5.6585432151435258E-2</v>
      </c>
      <c r="H26" s="23"/>
      <c r="I26" s="23"/>
    </row>
    <row r="27" spans="2:9" ht="15.95" customHeight="1">
      <c r="B27" s="86" t="s">
        <v>2096</v>
      </c>
      <c r="C27" s="445">
        <v>327793081263.3335</v>
      </c>
      <c r="D27" s="353">
        <f>C27*VLOOKUP("USD",'Exchange Rates'!B:C,2,0)</f>
        <v>356245520716.99084</v>
      </c>
      <c r="E27" s="354">
        <f t="shared" si="0"/>
        <v>356.24552071699082</v>
      </c>
      <c r="F27" s="355">
        <f t="shared" si="1"/>
        <v>2.1379229469173287E-2</v>
      </c>
      <c r="G27" s="356">
        <f>F27*VLOOKUP("European Peace Facility",'Aggregates by Country Group'!B:F,5,0)</f>
        <v>0.11972368502737039</v>
      </c>
      <c r="H27" s="23"/>
      <c r="I27" s="23"/>
    </row>
    <row r="28" spans="2:9" ht="15.95" customHeight="1">
      <c r="B28" s="86" t="s">
        <v>2204</v>
      </c>
      <c r="C28" s="445">
        <v>1923564827931.9722</v>
      </c>
      <c r="D28" s="353">
        <f>C28*VLOOKUP("USD",'Exchange Rates'!B:C,2,0)</f>
        <v>2090530254996.4673</v>
      </c>
      <c r="E28" s="354">
        <f t="shared" si="0"/>
        <v>2090.5302549964672</v>
      </c>
      <c r="F28" s="355">
        <f t="shared" si="1"/>
        <v>0.12545821192043743</v>
      </c>
      <c r="G28" s="356">
        <f>F28*VLOOKUP("European Peace Facility",'Aggregates by Country Group'!B:F,5,0)</f>
        <v>0.70256598675444959</v>
      </c>
      <c r="H28" s="23"/>
      <c r="I28" s="23"/>
    </row>
    <row r="29" spans="2:9" ht="15.95" customHeight="1">
      <c r="B29" s="86" t="s">
        <v>2392</v>
      </c>
      <c r="C29" s="445">
        <v>34007378686.420918</v>
      </c>
      <c r="D29" s="353">
        <f>C29*VLOOKUP("USD",'Exchange Rates'!B:C,2,0)</f>
        <v>36959219156.402252</v>
      </c>
      <c r="E29" s="354">
        <f t="shared" si="0"/>
        <v>36.959219156402256</v>
      </c>
      <c r="F29" s="355">
        <f t="shared" si="1"/>
        <v>2.2180198245184642E-3</v>
      </c>
      <c r="G29" s="356">
        <f>F29*VLOOKUP("European Peace Facility",'Aggregates by Country Group'!B:F,5,0)</f>
        <v>1.24209110173034E-2</v>
      </c>
      <c r="H29" s="23"/>
      <c r="I29" s="23"/>
    </row>
    <row r="30" spans="2:9" ht="15.95" customHeight="1">
      <c r="B30" s="86" t="s">
        <v>2488</v>
      </c>
      <c r="C30" s="445">
        <v>54835297970.518791</v>
      </c>
      <c r="D30" s="353">
        <f>C30*VLOOKUP("USD",'Exchange Rates'!B:C,2,0)</f>
        <v>59595001834.359825</v>
      </c>
      <c r="E30" s="354">
        <f t="shared" si="0"/>
        <v>59.595001834359827</v>
      </c>
      <c r="F30" s="355">
        <f t="shared" si="1"/>
        <v>3.5764526017570634E-3</v>
      </c>
      <c r="G30" s="356">
        <f>F30*VLOOKUP("European Peace Facility",'Aggregates by Country Group'!B:F,5,0)</f>
        <v>2.0028134569839554E-2</v>
      </c>
      <c r="H30" s="23"/>
      <c r="I30" s="23"/>
    </row>
    <row r="31" spans="2:9" ht="15.95" customHeight="1">
      <c r="B31" s="86" t="s">
        <v>2625</v>
      </c>
      <c r="C31" s="445">
        <v>51133898272.304619</v>
      </c>
      <c r="D31" s="353">
        <f>C31*VLOOKUP("USD",'Exchange Rates'!B:C,2,0)</f>
        <v>55572320642.34066</v>
      </c>
      <c r="E31" s="354">
        <f t="shared" si="0"/>
        <v>55.572320642340657</v>
      </c>
      <c r="F31" s="355">
        <f t="shared" si="1"/>
        <v>3.3350409368120126E-3</v>
      </c>
      <c r="G31" s="356">
        <f>F31*VLOOKUP("European Peace Facility",'Aggregates by Country Group'!B:F,5,0)</f>
        <v>1.8676229246147268E-2</v>
      </c>
      <c r="H31" s="23"/>
      <c r="I31" s="23"/>
    </row>
    <row r="32" spans="2:9" ht="15.95" customHeight="1">
      <c r="B32" s="86" t="s">
        <v>2678</v>
      </c>
      <c r="C32" s="445">
        <v>13325768037.903536</v>
      </c>
      <c r="D32" s="353">
        <f>C32*VLOOKUP("USD",'Exchange Rates'!B:C,2,0)</f>
        <v>14482444703.593563</v>
      </c>
      <c r="E32" s="354">
        <f t="shared" si="0"/>
        <v>14.482444703593563</v>
      </c>
      <c r="F32" s="355">
        <f t="shared" si="1"/>
        <v>8.6912954854725521E-4</v>
      </c>
      <c r="G32" s="356">
        <f>F32*VLOOKUP("European Peace Facility",'Aggregates by Country Group'!B:F,5,0)</f>
        <v>4.8671254718646289E-3</v>
      </c>
      <c r="H32" s="23"/>
      <c r="I32" s="23"/>
    </row>
    <row r="33" spans="2:9" ht="15.95" customHeight="1">
      <c r="B33" s="86" t="s">
        <v>2693</v>
      </c>
      <c r="C33" s="445">
        <v>890764508900.16296</v>
      </c>
      <c r="D33" s="353">
        <f>C33*VLOOKUP("USD",'Exchange Rates'!B:C,2,0)</f>
        <v>968082868272.69714</v>
      </c>
      <c r="E33" s="354">
        <f t="shared" si="0"/>
        <v>968.08286827269717</v>
      </c>
      <c r="F33" s="1207">
        <f t="shared" si="1"/>
        <v>5.8097195844939442E-2</v>
      </c>
      <c r="G33" s="356">
        <f>F33*VLOOKUP("European Peace Facility",'Aggregates by Country Group'!B:F,5,0)</f>
        <v>0.32534429673166088</v>
      </c>
      <c r="H33" s="23"/>
      <c r="I33" s="23"/>
    </row>
    <row r="34" spans="2:9" ht="15.95" customHeight="1">
      <c r="B34" s="86" t="s">
        <v>2989</v>
      </c>
      <c r="C34" s="445">
        <v>578462141100.15442</v>
      </c>
      <c r="D34" s="353">
        <f>C34*VLOOKUP("USD",'Exchange Rates'!B:C,2,0)</f>
        <v>628672654947.64783</v>
      </c>
      <c r="E34" s="354">
        <f t="shared" si="0"/>
        <v>628.67265494764786</v>
      </c>
      <c r="F34" s="355">
        <f t="shared" si="1"/>
        <v>3.7728297394643222E-2</v>
      </c>
      <c r="G34" s="356">
        <f>F34*VLOOKUP("European Peace Facility",'Aggregates by Country Group'!B:F,5,0)</f>
        <v>0.21127846541000203</v>
      </c>
      <c r="H34" s="23"/>
      <c r="I34" s="23"/>
    </row>
    <row r="35" spans="2:9" ht="15.95" customHeight="1">
      <c r="B35" s="86" t="s">
        <v>3079</v>
      </c>
      <c r="C35" s="445">
        <v>224554737087.76804</v>
      </c>
      <c r="D35" s="353">
        <f>C35*VLOOKUP("USD",'Exchange Rates'!B:C,2,0)</f>
        <v>244046088266.9863</v>
      </c>
      <c r="E35" s="354">
        <f t="shared" si="0"/>
        <v>244.04608826698629</v>
      </c>
      <c r="F35" s="355">
        <f t="shared" si="1"/>
        <v>1.4645846807036563E-2</v>
      </c>
      <c r="G35" s="356">
        <f>F35*VLOOKUP("European Peace Facility",'Aggregates by Country Group'!B:F,5,0)</f>
        <v>8.2016742119404754E-2</v>
      </c>
      <c r="H35" s="23"/>
      <c r="I35" s="23"/>
    </row>
    <row r="36" spans="2:9" ht="15.95" customHeight="1">
      <c r="B36" s="86" t="s">
        <v>3214</v>
      </c>
      <c r="C36" s="445">
        <v>242701599782.81766</v>
      </c>
      <c r="D36" s="353">
        <f>C36*VLOOKUP("USD",'Exchange Rates'!B:C,2,0)</f>
        <v>263768098643.96622</v>
      </c>
      <c r="E36" s="354">
        <f t="shared" si="0"/>
        <v>263.7680986439662</v>
      </c>
      <c r="F36" s="355">
        <f t="shared" si="1"/>
        <v>1.582941645471736E-2</v>
      </c>
      <c r="G36" s="356">
        <f>F36*VLOOKUP("European Peace Facility",'Aggregates by Country Group'!B:F,5,0)</f>
        <v>8.8644732146417216E-2</v>
      </c>
      <c r="H36" s="23"/>
      <c r="I36" s="23"/>
    </row>
    <row r="37" spans="2:9" ht="15.95" customHeight="1">
      <c r="B37" s="86" t="s">
        <v>3261</v>
      </c>
      <c r="C37" s="445">
        <v>103284085220.21864</v>
      </c>
      <c r="D37" s="353">
        <f>C37*VLOOKUP("USD",'Exchange Rates'!B:C,2,0)</f>
        <v>112249143817.33362</v>
      </c>
      <c r="E37" s="354">
        <f t="shared" si="0"/>
        <v>112.24914381733362</v>
      </c>
      <c r="F37" s="355">
        <f t="shared" si="1"/>
        <v>6.7363659718698964E-3</v>
      </c>
      <c r="G37" s="356">
        <f>F37*VLOOKUP("European Peace Facility",'Aggregates by Country Group'!B:F,5,0)</f>
        <v>3.7723649442471419E-2</v>
      </c>
      <c r="H37" s="23"/>
      <c r="I37" s="23"/>
    </row>
    <row r="38" spans="2:9" ht="15.95" customHeight="1">
      <c r="B38" s="86" t="s">
        <v>3337</v>
      </c>
      <c r="C38" s="445">
        <v>53268437066.224869</v>
      </c>
      <c r="D38" s="353">
        <f>C38*VLOOKUP("USD",'Exchange Rates'!B:C,2,0)</f>
        <v>57892137403.573189</v>
      </c>
      <c r="E38" s="354">
        <f t="shared" si="0"/>
        <v>57.892137403573187</v>
      </c>
      <c r="F38" s="355">
        <f t="shared" si="1"/>
        <v>3.4742592342519533E-3</v>
      </c>
      <c r="G38" s="356">
        <f>F38*VLOOKUP("European Peace Facility",'Aggregates by Country Group'!B:F,5,0)</f>
        <v>1.9455851711810936E-2</v>
      </c>
      <c r="H38" s="23"/>
      <c r="I38" s="23"/>
    </row>
    <row r="39" spans="2:9" ht="15.95" customHeight="1">
      <c r="B39" s="86" t="s">
        <v>3412</v>
      </c>
      <c r="C39" s="445">
        <v>1295796575673.0425</v>
      </c>
      <c r="D39" s="353">
        <f>C39*VLOOKUP("USD",'Exchange Rates'!B:C,2,0)</f>
        <v>1408271718441.4626</v>
      </c>
      <c r="E39" s="354">
        <f t="shared" si="0"/>
        <v>1408.2717184414626</v>
      </c>
      <c r="F39" s="355">
        <f t="shared" si="1"/>
        <v>8.4514085013367171E-2</v>
      </c>
      <c r="G39" s="356">
        <f>F39*VLOOKUP("European Peace Facility",'Aggregates by Country Group'!B:F,5,0)</f>
        <v>0.47327887607485614</v>
      </c>
      <c r="H39" s="23"/>
      <c r="I39" s="23"/>
    </row>
    <row r="40" spans="2:9" ht="15.95" customHeight="1">
      <c r="B40" s="86" t="s">
        <v>3548</v>
      </c>
      <c r="C40" s="445">
        <v>559623730597.23865</v>
      </c>
      <c r="D40" s="353">
        <f>C40*VLOOKUP("USD",'Exchange Rates'!B:C,2,0)</f>
        <v>608199070413.07898</v>
      </c>
      <c r="E40" s="354">
        <f t="shared" si="0"/>
        <v>608.19907041307897</v>
      </c>
      <c r="F40" s="355">
        <f t="shared" si="1"/>
        <v>3.6499623807561707E-2</v>
      </c>
      <c r="G40" s="356">
        <f>F40*VLOOKUP("European Peace Facility",'Aggregates by Country Group'!B:F,5,0)</f>
        <v>0.20439789332234554</v>
      </c>
      <c r="H40" s="23"/>
      <c r="I40" s="23"/>
    </row>
    <row r="41" spans="2:9" ht="15.95" customHeight="1">
      <c r="B41" s="87" t="s">
        <v>4942</v>
      </c>
      <c r="C41" s="447">
        <v>15332315027348.314</v>
      </c>
      <c r="D41" s="357">
        <f>C41*VLOOKUP("USD",'Exchange Rates'!B:C,2,0)</f>
        <v>16663159971722.148</v>
      </c>
      <c r="E41" s="358">
        <f t="shared" si="0"/>
        <v>16663.159971722147</v>
      </c>
      <c r="F41" s="356">
        <f t="shared" si="1"/>
        <v>1</v>
      </c>
      <c r="G41" s="356">
        <f>F41*VLOOKUP("European Peace Facility",'Aggregates by Country Group'!B:F,5,0)</f>
        <v>5.6</v>
      </c>
      <c r="H41" s="23"/>
      <c r="I41" s="23"/>
    </row>
    <row r="42" spans="2:9" ht="15.95" customHeight="1">
      <c r="B42" s="82" t="s">
        <v>3949</v>
      </c>
      <c r="C42" s="352"/>
      <c r="D42" s="353">
        <f>C42*VLOOKUP("USD",'Exchange Rates'!B:C,2,0)</f>
        <v>0</v>
      </c>
      <c r="E42" s="354">
        <f t="shared" si="0"/>
        <v>0</v>
      </c>
      <c r="F42" s="355">
        <f t="shared" si="1"/>
        <v>0</v>
      </c>
      <c r="G42" s="356">
        <f>F42*VLOOKUP("European Peace Facility",'Aggregates by Country Group'!B:F,5,0)</f>
        <v>0</v>
      </c>
      <c r="H42" s="23"/>
      <c r="I42" s="23"/>
    </row>
    <row r="43" spans="2:9" ht="15.95" customHeight="1">
      <c r="B43" s="82" t="s">
        <v>713</v>
      </c>
      <c r="C43" s="352"/>
      <c r="D43" s="353">
        <f>C43*VLOOKUP("USD",'Exchange Rates'!B:C,2,0)</f>
        <v>0</v>
      </c>
      <c r="E43" s="354">
        <f t="shared" si="0"/>
        <v>0</v>
      </c>
      <c r="F43" s="355">
        <f t="shared" si="1"/>
        <v>0</v>
      </c>
      <c r="G43" s="356">
        <f>F43*VLOOKUP("European Peace Facility",'Aggregates by Country Group'!B:F,5,0)</f>
        <v>0</v>
      </c>
      <c r="H43" s="23"/>
      <c r="I43" s="23"/>
    </row>
    <row r="44" spans="2:9" ht="15.95" customHeight="1">
      <c r="B44" s="82" t="s">
        <v>3748</v>
      </c>
      <c r="C44" s="352"/>
      <c r="D44" s="353">
        <f>C44*VLOOKUP("USD",'Exchange Rates'!B:C,2,0)</f>
        <v>0</v>
      </c>
      <c r="E44" s="354">
        <f t="shared" si="0"/>
        <v>0</v>
      </c>
      <c r="F44" s="355">
        <f t="shared" si="1"/>
        <v>0</v>
      </c>
      <c r="G44" s="356">
        <f>F44*VLOOKUP("European Peace Facility",'Aggregates by Country Group'!B:F,5,0)</f>
        <v>0</v>
      </c>
      <c r="H44" s="23"/>
      <c r="I44" s="23"/>
    </row>
    <row r="45" spans="2:9" ht="15.95" customHeight="1">
      <c r="B45" s="82" t="s">
        <v>2312</v>
      </c>
      <c r="C45" s="352"/>
      <c r="D45" s="353">
        <f>C45*VLOOKUP("USD",'Exchange Rates'!B:C,2,0)</f>
        <v>0</v>
      </c>
      <c r="E45" s="354">
        <f t="shared" si="0"/>
        <v>0</v>
      </c>
      <c r="F45" s="355">
        <f t="shared" si="1"/>
        <v>0</v>
      </c>
      <c r="G45" s="356">
        <f>F45*VLOOKUP("European Peace Facility",'Aggregates by Country Group'!B:F,5,0)</f>
        <v>0</v>
      </c>
      <c r="H45" s="23"/>
      <c r="I45" s="23"/>
    </row>
    <row r="46" spans="2:9" ht="15.95" customHeight="1">
      <c r="B46" s="82" t="s">
        <v>2139</v>
      </c>
      <c r="C46" s="352"/>
      <c r="D46" s="353">
        <f>C46*VLOOKUP("USD",'Exchange Rates'!B:C,2,0)</f>
        <v>0</v>
      </c>
      <c r="E46" s="354">
        <f t="shared" si="0"/>
        <v>0</v>
      </c>
      <c r="F46" s="355">
        <f t="shared" si="1"/>
        <v>0</v>
      </c>
      <c r="G46" s="356">
        <f>F46*VLOOKUP("European Peace Facility",'Aggregates by Country Group'!B:F,5,0)</f>
        <v>0</v>
      </c>
      <c r="H46" s="23"/>
      <c r="I46" s="23"/>
    </row>
    <row r="47" spans="2:9" ht="15.95" customHeight="1">
      <c r="B47" s="23" t="s">
        <v>3685</v>
      </c>
      <c r="C47" s="352"/>
      <c r="D47" s="353">
        <f>C47*VLOOKUP("USD",'Exchange Rates'!B:C,2,0)</f>
        <v>0</v>
      </c>
      <c r="E47" s="354">
        <f t="shared" si="0"/>
        <v>0</v>
      </c>
      <c r="F47" s="355">
        <f t="shared" si="1"/>
        <v>0</v>
      </c>
      <c r="G47" s="356">
        <f>F47*VLOOKUP("European Peace Facility",'Aggregates by Country Group'!B:F,5,0)</f>
        <v>0</v>
      </c>
      <c r="H47" s="23"/>
      <c r="I47" s="23"/>
    </row>
    <row r="48" spans="2:9" ht="15.95" customHeight="1">
      <c r="B48" s="23" t="s">
        <v>3649</v>
      </c>
      <c r="C48" s="352"/>
      <c r="D48" s="353">
        <f>C48*VLOOKUP("USD",'Exchange Rates'!B:C,2,0)</f>
        <v>0</v>
      </c>
      <c r="E48" s="354">
        <f t="shared" si="0"/>
        <v>0</v>
      </c>
      <c r="F48" s="355">
        <f t="shared" si="1"/>
        <v>0</v>
      </c>
      <c r="G48" s="356">
        <f>F48*VLOOKUP("European Peace Facility",'Aggregates by Country Group'!B:F,5,0)</f>
        <v>0</v>
      </c>
      <c r="H48" s="23"/>
      <c r="I48" s="23"/>
    </row>
    <row r="49" spans="2:9" ht="15.95" customHeight="1">
      <c r="B49" s="23" t="s">
        <v>2882</v>
      </c>
      <c r="C49" s="352"/>
      <c r="D49" s="353">
        <f>C49*VLOOKUP("USD",'Exchange Rates'!B:C,2,0)</f>
        <v>0</v>
      </c>
      <c r="E49" s="354">
        <f t="shared" si="0"/>
        <v>0</v>
      </c>
      <c r="F49" s="355">
        <f t="shared" si="1"/>
        <v>0</v>
      </c>
      <c r="G49" s="356">
        <f>F49*VLOOKUP("European Peace Facility",'Aggregates by Country Group'!B:F,5,0)</f>
        <v>0</v>
      </c>
      <c r="H49" s="23"/>
      <c r="I49" s="23"/>
    </row>
    <row r="50" spans="2:9" ht="15.95" customHeight="1">
      <c r="B50" s="23" t="s">
        <v>2832</v>
      </c>
      <c r="C50" s="352"/>
      <c r="D50" s="353">
        <f>C50*VLOOKUP("USD",'Exchange Rates'!B:C,2,0)</f>
        <v>0</v>
      </c>
      <c r="E50" s="354">
        <f t="shared" si="0"/>
        <v>0</v>
      </c>
      <c r="F50" s="355">
        <f t="shared" si="1"/>
        <v>0</v>
      </c>
      <c r="G50" s="356">
        <f>F50*VLOOKUP("European Peace Facility",'Aggregates by Country Group'!B:F,5,0)</f>
        <v>0</v>
      </c>
      <c r="H50" s="23"/>
      <c r="I50" s="23"/>
    </row>
    <row r="51" spans="2:9" ht="15.95" customHeight="1">
      <c r="B51" s="23" t="s">
        <v>359</v>
      </c>
      <c r="C51" s="352"/>
      <c r="D51" s="353">
        <f>C51*VLOOKUP("USD",'Exchange Rates'!B:C,2,0)</f>
        <v>0</v>
      </c>
      <c r="E51" s="354">
        <f t="shared" si="0"/>
        <v>0</v>
      </c>
      <c r="F51" s="355">
        <f t="shared" si="1"/>
        <v>0</v>
      </c>
      <c r="G51" s="356">
        <f>F51*VLOOKUP("European Peace Facility",'Aggregates by Country Group'!B:F,5,0)</f>
        <v>0</v>
      </c>
      <c r="H51" s="23"/>
      <c r="I51" s="23"/>
    </row>
    <row r="52" spans="2:9" ht="15.95" customHeight="1">
      <c r="B52" s="23" t="s">
        <v>3162</v>
      </c>
      <c r="C52" s="352"/>
      <c r="D52" s="353">
        <f>C52*VLOOKUP("USD",'Exchange Rates'!B:C,2,0)</f>
        <v>0</v>
      </c>
      <c r="E52" s="354">
        <f t="shared" si="0"/>
        <v>0</v>
      </c>
      <c r="F52" s="355">
        <f t="shared" si="1"/>
        <v>0</v>
      </c>
      <c r="G52" s="356">
        <f>F52*VLOOKUP("European Peace Facility",'Aggregates by Country Group'!B:F,5,0)</f>
        <v>0</v>
      </c>
      <c r="H52" s="23"/>
      <c r="I52" s="23"/>
    </row>
    <row r="53" spans="2:9" ht="15.95" customHeight="1">
      <c r="B53" s="13" t="s">
        <v>4406</v>
      </c>
      <c r="C53" s="352"/>
      <c r="D53" s="353">
        <f>C53*VLOOKUP("USD",'Exchange Rates'!B:C,2,0)</f>
        <v>0</v>
      </c>
      <c r="E53" s="354">
        <f t="shared" ref="E53:E57" si="2">D53/1000000000</f>
        <v>0</v>
      </c>
      <c r="F53" s="355">
        <f t="shared" ref="F53:F57" si="3">E53/$E$41</f>
        <v>0</v>
      </c>
      <c r="G53" s="356">
        <f>F53*VLOOKUP("European Peace Facility",'Aggregates by Country Group'!B:F,5,0)</f>
        <v>0</v>
      </c>
      <c r="H53" s="23"/>
      <c r="I53" s="23"/>
    </row>
    <row r="54" spans="2:9" ht="15.95" customHeight="1">
      <c r="B54" s="20" t="s">
        <v>905</v>
      </c>
      <c r="C54" s="359"/>
      <c r="D54" s="353">
        <f>C54*VLOOKUP("USD",'Exchange Rates'!B:C,2,0)</f>
        <v>0</v>
      </c>
      <c r="E54" s="354">
        <f t="shared" si="2"/>
        <v>0</v>
      </c>
      <c r="F54" s="355">
        <f t="shared" si="3"/>
        <v>0</v>
      </c>
      <c r="G54" s="356">
        <f>F54*VLOOKUP("European Peace Facility",'Aggregates by Country Group'!B:F,5,0)</f>
        <v>0</v>
      </c>
      <c r="H54" s="23"/>
      <c r="I54" s="23"/>
    </row>
    <row r="55" spans="2:9" ht="15.95" customHeight="1">
      <c r="B55" s="20" t="s">
        <v>3713</v>
      </c>
      <c r="C55" s="359"/>
      <c r="D55" s="353">
        <f>C55*VLOOKUP("USD",'Exchange Rates'!B:C,2,0)</f>
        <v>0</v>
      </c>
      <c r="E55" s="354">
        <f t="shared" si="2"/>
        <v>0</v>
      </c>
      <c r="F55" s="355">
        <f t="shared" si="3"/>
        <v>0</v>
      </c>
      <c r="G55" s="356">
        <f>F55*VLOOKUP("European Peace Facility",'Aggregates by Country Group'!B:F,5,0)</f>
        <v>0</v>
      </c>
      <c r="H55" s="23"/>
      <c r="I55" s="23"/>
    </row>
    <row r="56" spans="2:9" ht="15.95" customHeight="1">
      <c r="B56" s="20" t="s">
        <v>2139</v>
      </c>
      <c r="C56" s="359"/>
      <c r="D56" s="353">
        <f>C56*VLOOKUP("USD",'Exchange Rates'!B:C,2,0)</f>
        <v>0</v>
      </c>
      <c r="E56" s="354">
        <f>D56/1000000000</f>
        <v>0</v>
      </c>
      <c r="F56" s="355">
        <f>E56/$E$41</f>
        <v>0</v>
      </c>
      <c r="G56" s="356">
        <f>F56*VLOOKUP("European Peace Facility",'Aggregates by Country Group'!B:F,5,0)</f>
        <v>0</v>
      </c>
      <c r="H56" s="23"/>
      <c r="I56" s="23"/>
    </row>
    <row r="57" spans="2:9" ht="15.95" customHeight="1">
      <c r="B57" s="20" t="s">
        <v>2076</v>
      </c>
      <c r="C57" s="359"/>
      <c r="D57" s="353">
        <f>C57*VLOOKUP("USD",'Exchange Rates'!B:C,2,0)</f>
        <v>0</v>
      </c>
      <c r="E57" s="354">
        <f t="shared" si="2"/>
        <v>0</v>
      </c>
      <c r="F57" s="355">
        <f t="shared" si="3"/>
        <v>0</v>
      </c>
      <c r="G57" s="356">
        <f>F57*VLOOKUP("European Peace Facility",'Aggregates by Country Group'!B:F,5,0)</f>
        <v>0</v>
      </c>
    </row>
  </sheetData>
  <mergeCells count="1">
    <mergeCell ref="B4:E8"/>
  </mergeCells>
  <hyperlinks>
    <hyperlink ref="C11" r:id="rId1" location="d1e1170-14-1  (Preamble, (19))" xr:uid="{00000000-0004-0000-2500-000000000000}"/>
  </hyperlink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8CBAD"/>
  </sheetPr>
  <dimension ref="A1:AV1185"/>
  <sheetViews>
    <sheetView zoomScaleNormal="100" workbookViewId="0">
      <pane xSplit="1" ySplit="1" topLeftCell="B2" activePane="bottomRight" state="frozen"/>
      <selection pane="bottomRight"/>
      <selection pane="bottomLeft" activeCell="B9" sqref="B9"/>
      <selection pane="topRight" activeCell="B9" sqref="B9"/>
    </sheetView>
  </sheetViews>
  <sheetFormatPr defaultColWidth="8.5" defaultRowHeight="15.95" customHeight="1"/>
  <cols>
    <col min="1" max="1" width="8" style="17" customWidth="1"/>
    <col min="2" max="2" width="44.375" style="17" customWidth="1"/>
    <col min="3" max="3" width="18.5" style="172" customWidth="1"/>
    <col min="4" max="4" width="19.5" style="5" customWidth="1"/>
    <col min="5" max="5" width="52.5" style="5" customWidth="1"/>
    <col min="6" max="6" width="55" style="173" customWidth="1"/>
    <col min="7" max="7" width="53.375" style="17" customWidth="1"/>
    <col min="8" max="8" width="18.625" style="238" customWidth="1"/>
    <col min="9" max="9" width="29.5" style="238" customWidth="1"/>
    <col min="10" max="10" width="29.875" style="237" customWidth="1"/>
    <col min="11" max="11" width="19.5" style="237" bestFit="1" customWidth="1"/>
    <col min="12" max="12" width="16.625" style="237" customWidth="1"/>
    <col min="13" max="13" width="18.5" style="237" bestFit="1" customWidth="1"/>
    <col min="14" max="14" width="21.5" style="237" bestFit="1" customWidth="1"/>
    <col min="15" max="15" width="21" style="237" bestFit="1" customWidth="1"/>
    <col min="16" max="16" width="34.5" style="237" bestFit="1" customWidth="1"/>
    <col min="17" max="17" width="18.125" style="238" customWidth="1"/>
    <col min="18" max="18" width="25.5" style="237" bestFit="1" customWidth="1"/>
    <col min="19" max="19" width="22.5" style="237" customWidth="1"/>
    <col min="20" max="22" width="16.5" style="237" bestFit="1" customWidth="1"/>
    <col min="23" max="23" width="14.125" style="237" customWidth="1"/>
    <col min="24" max="25" width="8.5" style="237"/>
    <col min="26" max="26" width="13.5" style="237" bestFit="1" customWidth="1"/>
    <col min="27" max="28" width="8.5" style="237"/>
    <col min="29" max="29" width="8.5" style="230"/>
    <col min="30" max="16384" width="8.5" style="237"/>
  </cols>
  <sheetData>
    <row r="1" spans="1:48" s="208" customFormat="1" ht="15.95" customHeight="1">
      <c r="A1" s="197" t="s">
        <v>307</v>
      </c>
      <c r="B1" s="486" t="s">
        <v>4951</v>
      </c>
      <c r="C1" s="439" t="s">
        <v>309</v>
      </c>
      <c r="D1" s="486" t="s">
        <v>310</v>
      </c>
      <c r="E1" s="197" t="s">
        <v>311</v>
      </c>
      <c r="F1" s="197" t="s">
        <v>312</v>
      </c>
      <c r="G1" s="200" t="s">
        <v>4952</v>
      </c>
      <c r="H1" s="199" t="s">
        <v>4953</v>
      </c>
      <c r="I1" s="200" t="s">
        <v>4954</v>
      </c>
      <c r="J1" s="201" t="s">
        <v>314</v>
      </c>
      <c r="K1" s="202" t="s">
        <v>313</v>
      </c>
      <c r="L1" s="203" t="s">
        <v>4955</v>
      </c>
      <c r="M1" s="440" t="s">
        <v>319</v>
      </c>
      <c r="N1" s="440" t="s">
        <v>321</v>
      </c>
      <c r="O1" s="499" t="s">
        <v>4956</v>
      </c>
      <c r="P1" s="500" t="s">
        <v>4957</v>
      </c>
      <c r="Q1" s="500" t="s">
        <v>4958</v>
      </c>
      <c r="R1" s="500" t="s">
        <v>324</v>
      </c>
      <c r="S1" s="501" t="s">
        <v>325</v>
      </c>
      <c r="T1" s="203" t="s">
        <v>327</v>
      </c>
      <c r="U1" s="197" t="s">
        <v>328</v>
      </c>
      <c r="V1" s="208" t="s">
        <v>329</v>
      </c>
      <c r="W1" s="208" t="s">
        <v>330</v>
      </c>
      <c r="Z1" s="197"/>
      <c r="AB1" s="209"/>
      <c r="AD1" s="210"/>
      <c r="AE1" s="210"/>
      <c r="AF1" s="210"/>
      <c r="AG1" s="210"/>
      <c r="AH1" s="210"/>
      <c r="AI1" s="210"/>
      <c r="AJ1" s="210"/>
      <c r="AK1" s="210"/>
      <c r="AL1" s="210"/>
      <c r="AM1" s="210"/>
    </row>
    <row r="2" spans="1:48" s="18" customFormat="1" ht="15.95" customHeight="1">
      <c r="A2" s="17" t="s">
        <v>4959</v>
      </c>
      <c r="B2" s="17" t="s">
        <v>4543</v>
      </c>
      <c r="C2" s="172">
        <v>44629</v>
      </c>
      <c r="D2" s="5" t="s">
        <v>544</v>
      </c>
      <c r="E2" s="5" t="s">
        <v>4960</v>
      </c>
      <c r="F2" s="173" t="s">
        <v>4961</v>
      </c>
      <c r="G2" s="181" t="s">
        <v>364</v>
      </c>
      <c r="H2" s="228" t="s">
        <v>364</v>
      </c>
      <c r="I2" s="441" t="s">
        <v>364</v>
      </c>
      <c r="J2" s="228">
        <v>2000000000</v>
      </c>
      <c r="K2" s="442" t="s">
        <v>456</v>
      </c>
      <c r="L2" s="175" t="s">
        <v>364</v>
      </c>
      <c r="M2" s="221" t="s">
        <v>364</v>
      </c>
      <c r="N2" s="228" t="s">
        <v>364</v>
      </c>
      <c r="O2" s="176" t="s">
        <v>364</v>
      </c>
      <c r="P2" s="174" t="s">
        <v>364</v>
      </c>
      <c r="Q2" s="174" t="s">
        <v>364</v>
      </c>
      <c r="R2" s="174">
        <f>J2</f>
        <v>2000000000</v>
      </c>
      <c r="S2" s="174">
        <f>R2/VLOOKUP(K2,'Exchange Rates'!$B$11:$C$25,2,0)</f>
        <v>1840264998.159735</v>
      </c>
      <c r="T2" s="175" t="s">
        <v>365</v>
      </c>
      <c r="U2" s="487" t="s">
        <v>4962</v>
      </c>
      <c r="V2" s="488" t="s">
        <v>4963</v>
      </c>
      <c r="W2" s="489" t="s">
        <v>4964</v>
      </c>
      <c r="X2" s="492" t="s">
        <v>364</v>
      </c>
      <c r="Y2" s="229"/>
      <c r="Z2" s="227"/>
      <c r="AA2" s="222"/>
      <c r="AB2" s="223"/>
      <c r="AC2" s="230"/>
      <c r="AD2" s="230"/>
      <c r="AE2" s="230"/>
      <c r="AF2" s="230"/>
      <c r="AG2" s="230"/>
      <c r="AH2" s="230"/>
      <c r="AI2" s="230"/>
      <c r="AJ2" s="178"/>
      <c r="AK2" s="178"/>
      <c r="AL2" s="178"/>
      <c r="AM2" s="178"/>
      <c r="AN2" s="179"/>
      <c r="AO2" s="179"/>
      <c r="AP2" s="1346"/>
      <c r="AQ2" s="179"/>
      <c r="AS2" s="179"/>
      <c r="AT2" s="179"/>
      <c r="AU2" s="179"/>
      <c r="AV2" s="179"/>
    </row>
    <row r="3" spans="1:48" s="18" customFormat="1" ht="15.95" customHeight="1">
      <c r="A3" s="17" t="s">
        <v>4965</v>
      </c>
      <c r="B3" s="17" t="s">
        <v>4543</v>
      </c>
      <c r="C3" s="172">
        <v>44858</v>
      </c>
      <c r="D3" s="5" t="s">
        <v>544</v>
      </c>
      <c r="E3" s="5" t="s">
        <v>1116</v>
      </c>
      <c r="F3" s="173" t="s">
        <v>4966</v>
      </c>
      <c r="G3" s="17" t="s">
        <v>364</v>
      </c>
      <c r="H3" s="228" t="s">
        <v>364</v>
      </c>
      <c r="I3" s="441" t="s">
        <v>456</v>
      </c>
      <c r="J3" s="228">
        <v>1000000000</v>
      </c>
      <c r="K3" s="442" t="s">
        <v>456</v>
      </c>
      <c r="L3" s="175" t="s">
        <v>364</v>
      </c>
      <c r="M3" s="221" t="s">
        <v>364</v>
      </c>
      <c r="N3" s="228" t="s">
        <v>364</v>
      </c>
      <c r="O3" s="176" t="s">
        <v>364</v>
      </c>
      <c r="P3" s="174" t="s">
        <v>364</v>
      </c>
      <c r="Q3" s="174" t="s">
        <v>364</v>
      </c>
      <c r="R3" s="174">
        <v>1000000000</v>
      </c>
      <c r="S3" s="174">
        <f>R3/VLOOKUP(K3,'Exchange Rates'!$B$11:$C$25,2,0)</f>
        <v>920132499.07986748</v>
      </c>
      <c r="T3" s="175" t="s">
        <v>365</v>
      </c>
      <c r="U3" s="487" t="s">
        <v>4967</v>
      </c>
      <c r="V3" s="485" t="s">
        <v>364</v>
      </c>
      <c r="W3" s="491" t="s">
        <v>364</v>
      </c>
      <c r="X3" s="492" t="s">
        <v>364</v>
      </c>
      <c r="Y3" s="229"/>
      <c r="Z3" s="227"/>
      <c r="AA3" s="222"/>
      <c r="AB3" s="223"/>
      <c r="AC3" s="230"/>
      <c r="AD3" s="230"/>
      <c r="AE3" s="230"/>
      <c r="AF3" s="230"/>
      <c r="AG3" s="230"/>
      <c r="AH3" s="230"/>
      <c r="AI3" s="230"/>
      <c r="AJ3" s="178"/>
      <c r="AK3" s="178"/>
      <c r="AL3" s="178"/>
      <c r="AM3" s="178"/>
      <c r="AN3" s="179"/>
      <c r="AO3" s="179"/>
      <c r="AP3" s="1346"/>
      <c r="AQ3" s="179"/>
      <c r="AS3" s="179"/>
      <c r="AT3" s="179"/>
      <c r="AU3" s="179"/>
      <c r="AV3" s="179"/>
    </row>
    <row r="4" spans="1:48" s="18" customFormat="1" ht="15.95" customHeight="1">
      <c r="A4" s="17" t="s">
        <v>4968</v>
      </c>
      <c r="B4" s="17" t="s">
        <v>4542</v>
      </c>
      <c r="C4" s="172">
        <v>44629</v>
      </c>
      <c r="D4" s="5" t="s">
        <v>544</v>
      </c>
      <c r="E4" s="5" t="s">
        <v>1116</v>
      </c>
      <c r="F4" s="173" t="s">
        <v>4969</v>
      </c>
      <c r="G4" s="181" t="s">
        <v>364</v>
      </c>
      <c r="H4" s="228" t="s">
        <v>364</v>
      </c>
      <c r="I4" s="441" t="s">
        <v>364</v>
      </c>
      <c r="J4" s="228">
        <v>1400000000</v>
      </c>
      <c r="K4" s="442" t="s">
        <v>456</v>
      </c>
      <c r="L4" s="175" t="s">
        <v>364</v>
      </c>
      <c r="M4" s="221" t="s">
        <v>364</v>
      </c>
      <c r="N4" s="228" t="s">
        <v>364</v>
      </c>
      <c r="O4" s="176" t="s">
        <v>364</v>
      </c>
      <c r="P4" s="174" t="s">
        <v>364</v>
      </c>
      <c r="Q4" s="174" t="s">
        <v>364</v>
      </c>
      <c r="R4" s="174">
        <f t="shared" ref="R4:R9" si="0">J4</f>
        <v>1400000000</v>
      </c>
      <c r="S4" s="174">
        <f>R4/VLOOKUP(K4,'Exchange Rates'!$B$11:$C$25,2,0)</f>
        <v>1288185498.7118144</v>
      </c>
      <c r="T4" s="175" t="s">
        <v>365</v>
      </c>
      <c r="U4" s="487" t="s">
        <v>4970</v>
      </c>
      <c r="V4" s="488" t="s">
        <v>4971</v>
      </c>
      <c r="W4" s="491" t="s">
        <v>364</v>
      </c>
      <c r="X4" s="492" t="s">
        <v>364</v>
      </c>
      <c r="Y4" s="229"/>
      <c r="Z4" s="227"/>
      <c r="AA4" s="222"/>
      <c r="AB4" s="223"/>
      <c r="AC4" s="230"/>
      <c r="AD4" s="230"/>
      <c r="AE4" s="230"/>
      <c r="AF4" s="230"/>
      <c r="AG4" s="230"/>
      <c r="AH4" s="230"/>
      <c r="AI4" s="230"/>
      <c r="AJ4" s="178"/>
      <c r="AK4" s="178"/>
      <c r="AL4" s="178"/>
      <c r="AM4" s="178"/>
      <c r="AN4" s="179"/>
      <c r="AO4" s="179"/>
      <c r="AP4" s="1346"/>
      <c r="AQ4" s="179"/>
      <c r="AS4" s="179"/>
      <c r="AT4" s="179"/>
      <c r="AU4" s="179"/>
      <c r="AV4" s="179"/>
    </row>
    <row r="5" spans="1:48" s="18" customFormat="1" ht="15.95" customHeight="1">
      <c r="A5" s="17" t="s">
        <v>4972</v>
      </c>
      <c r="B5" s="17" t="s">
        <v>4542</v>
      </c>
      <c r="C5" s="172">
        <v>44659</v>
      </c>
      <c r="D5" s="5" t="s">
        <v>544</v>
      </c>
      <c r="E5" s="5" t="s">
        <v>4973</v>
      </c>
      <c r="F5" s="173" t="s">
        <v>4974</v>
      </c>
      <c r="G5" s="181" t="s">
        <v>713</v>
      </c>
      <c r="H5" s="228">
        <v>1000000000</v>
      </c>
      <c r="I5" s="441" t="s">
        <v>716</v>
      </c>
      <c r="J5" s="228">
        <v>1000000000</v>
      </c>
      <c r="K5" s="442" t="s">
        <v>716</v>
      </c>
      <c r="L5" s="175" t="s">
        <v>364</v>
      </c>
      <c r="M5" s="221" t="s">
        <v>364</v>
      </c>
      <c r="N5" s="228" t="s">
        <v>364</v>
      </c>
      <c r="O5" s="176" t="s">
        <v>364</v>
      </c>
      <c r="P5" s="174" t="s">
        <v>364</v>
      </c>
      <c r="Q5" s="174" t="s">
        <v>364</v>
      </c>
      <c r="R5" s="174">
        <f t="shared" si="0"/>
        <v>1000000000</v>
      </c>
      <c r="S5" s="174">
        <f>R5/VLOOKUP(K5,'Exchange Rates'!$B$11:$C$25,2,0)</f>
        <v>680874242.52740526</v>
      </c>
      <c r="T5" s="175" t="s">
        <v>365</v>
      </c>
      <c r="U5" s="487" t="s">
        <v>4975</v>
      </c>
      <c r="V5" s="488" t="s">
        <v>4976</v>
      </c>
      <c r="W5" s="489" t="s">
        <v>4977</v>
      </c>
      <c r="X5" s="492" t="s">
        <v>364</v>
      </c>
      <c r="Y5" s="229"/>
      <c r="Z5" s="227"/>
      <c r="AA5" s="222"/>
      <c r="AB5" s="223"/>
      <c r="AC5" s="230"/>
      <c r="AD5" s="230"/>
      <c r="AE5" s="230"/>
      <c r="AF5" s="230"/>
      <c r="AG5" s="230"/>
      <c r="AH5" s="230"/>
      <c r="AI5" s="230"/>
      <c r="AJ5" s="178"/>
      <c r="AK5" s="178"/>
      <c r="AL5" s="178"/>
      <c r="AM5" s="178"/>
      <c r="AN5" s="179"/>
      <c r="AO5" s="179"/>
      <c r="AP5" s="1346"/>
      <c r="AQ5" s="179"/>
      <c r="AS5" s="179"/>
      <c r="AT5" s="179"/>
      <c r="AU5" s="179"/>
      <c r="AV5" s="179"/>
    </row>
    <row r="6" spans="1:48" s="18" customFormat="1" ht="15.95" customHeight="1">
      <c r="A6" s="17" t="s">
        <v>4978</v>
      </c>
      <c r="B6" s="17" t="s">
        <v>4542</v>
      </c>
      <c r="C6" s="172">
        <v>44841</v>
      </c>
      <c r="D6" s="5" t="s">
        <v>544</v>
      </c>
      <c r="E6" s="5" t="s">
        <v>1116</v>
      </c>
      <c r="F6" s="173" t="s">
        <v>4979</v>
      </c>
      <c r="G6" s="181" t="s">
        <v>364</v>
      </c>
      <c r="H6" s="228">
        <v>1300000000</v>
      </c>
      <c r="I6" s="441" t="s">
        <v>456</v>
      </c>
      <c r="J6" s="228">
        <v>1300000000</v>
      </c>
      <c r="K6" s="442" t="s">
        <v>456</v>
      </c>
      <c r="L6" s="175" t="s">
        <v>364</v>
      </c>
      <c r="M6" s="221" t="s">
        <v>364</v>
      </c>
      <c r="N6" s="228" t="s">
        <v>364</v>
      </c>
      <c r="O6" s="176" t="s">
        <v>364</v>
      </c>
      <c r="P6" s="174" t="s">
        <v>364</v>
      </c>
      <c r="Q6" s="174" t="s">
        <v>364</v>
      </c>
      <c r="R6" s="174">
        <f t="shared" si="0"/>
        <v>1300000000</v>
      </c>
      <c r="S6" s="174">
        <f>R6/VLOOKUP(K6,'Exchange Rates'!$B$11:$C$25,2,0)</f>
        <v>1196172248.8038278</v>
      </c>
      <c r="T6" s="175" t="s">
        <v>365</v>
      </c>
      <c r="U6" s="487" t="s">
        <v>4980</v>
      </c>
      <c r="V6" s="485" t="s">
        <v>364</v>
      </c>
      <c r="W6" s="490" t="s">
        <v>364</v>
      </c>
      <c r="X6" s="492" t="s">
        <v>364</v>
      </c>
      <c r="Y6" s="229"/>
      <c r="Z6" s="227"/>
      <c r="AA6" s="222"/>
      <c r="AB6" s="223"/>
      <c r="AC6" s="230"/>
      <c r="AD6" s="230"/>
      <c r="AE6" s="230"/>
      <c r="AF6" s="230"/>
      <c r="AG6" s="230"/>
      <c r="AH6" s="230"/>
      <c r="AI6" s="230"/>
      <c r="AJ6" s="178"/>
      <c r="AK6" s="178"/>
      <c r="AL6" s="178"/>
      <c r="AM6" s="178"/>
      <c r="AN6" s="179"/>
      <c r="AO6" s="179"/>
      <c r="AP6" s="1346"/>
      <c r="AQ6" s="179"/>
      <c r="AS6" s="179"/>
      <c r="AT6" s="179"/>
      <c r="AU6" s="179"/>
      <c r="AV6" s="179"/>
    </row>
    <row r="7" spans="1:48" s="18" customFormat="1" ht="15.95" customHeight="1">
      <c r="A7" s="5" t="s">
        <v>4981</v>
      </c>
      <c r="B7" s="5" t="s">
        <v>4544</v>
      </c>
      <c r="C7" s="172">
        <v>44616</v>
      </c>
      <c r="D7" s="5" t="s">
        <v>544</v>
      </c>
      <c r="E7" s="5" t="s">
        <v>4982</v>
      </c>
      <c r="F7" s="173" t="s">
        <v>4983</v>
      </c>
      <c r="G7" s="181" t="s">
        <v>364</v>
      </c>
      <c r="H7" s="228" t="s">
        <v>364</v>
      </c>
      <c r="I7" s="441" t="s">
        <v>364</v>
      </c>
      <c r="J7" s="228">
        <v>20000000</v>
      </c>
      <c r="K7" s="442" t="s">
        <v>456</v>
      </c>
      <c r="L7" s="175" t="s">
        <v>364</v>
      </c>
      <c r="M7" s="221" t="s">
        <v>364</v>
      </c>
      <c r="N7" s="228" t="s">
        <v>364</v>
      </c>
      <c r="O7" s="176" t="s">
        <v>364</v>
      </c>
      <c r="P7" s="174" t="s">
        <v>364</v>
      </c>
      <c r="Q7" s="174" t="s">
        <v>364</v>
      </c>
      <c r="R7" s="174">
        <f t="shared" si="0"/>
        <v>20000000</v>
      </c>
      <c r="S7" s="174">
        <f>R7/VLOOKUP(K7,'Exchange Rates'!$B$11:$C$25,2,0)</f>
        <v>18402649.981597349</v>
      </c>
      <c r="T7" s="175" t="s">
        <v>365</v>
      </c>
      <c r="U7" s="487" t="s">
        <v>4984</v>
      </c>
      <c r="V7" s="485" t="s">
        <v>364</v>
      </c>
      <c r="W7" s="490" t="s">
        <v>364</v>
      </c>
      <c r="X7" s="492" t="s">
        <v>364</v>
      </c>
      <c r="Y7" s="229"/>
      <c r="Z7" s="227"/>
      <c r="AA7" s="222"/>
      <c r="AB7" s="223"/>
      <c r="AC7" s="230"/>
      <c r="AD7" s="230"/>
      <c r="AE7" s="230"/>
      <c r="AF7" s="230"/>
      <c r="AG7" s="230"/>
      <c r="AH7" s="230"/>
      <c r="AI7" s="230"/>
      <c r="AJ7" s="178"/>
      <c r="AK7" s="178"/>
      <c r="AL7" s="178"/>
      <c r="AM7" s="178"/>
      <c r="AN7" s="179"/>
      <c r="AO7" s="179"/>
      <c r="AP7" s="1346"/>
      <c r="AQ7" s="179"/>
      <c r="AS7" s="179"/>
      <c r="AT7" s="179"/>
      <c r="AU7" s="179"/>
      <c r="AV7" s="179"/>
    </row>
    <row r="8" spans="1:48" s="18" customFormat="1" ht="15.95" customHeight="1">
      <c r="A8" s="5" t="s">
        <v>4985</v>
      </c>
      <c r="B8" s="5" t="s">
        <v>4544</v>
      </c>
      <c r="C8" s="172">
        <v>44621</v>
      </c>
      <c r="D8" s="5" t="s">
        <v>544</v>
      </c>
      <c r="E8" s="5" t="s">
        <v>481</v>
      </c>
      <c r="F8" s="173" t="s">
        <v>4986</v>
      </c>
      <c r="G8" s="181" t="s">
        <v>364</v>
      </c>
      <c r="H8" s="228" t="s">
        <v>364</v>
      </c>
      <c r="I8" s="441" t="s">
        <v>364</v>
      </c>
      <c r="J8" s="228">
        <v>20000000</v>
      </c>
      <c r="K8" s="442" t="s">
        <v>456</v>
      </c>
      <c r="L8" s="175" t="s">
        <v>364</v>
      </c>
      <c r="M8" s="221" t="s">
        <v>364</v>
      </c>
      <c r="N8" s="228" t="s">
        <v>364</v>
      </c>
      <c r="O8" s="176" t="s">
        <v>364</v>
      </c>
      <c r="P8" s="174" t="s">
        <v>364</v>
      </c>
      <c r="Q8" s="174" t="s">
        <v>364</v>
      </c>
      <c r="R8" s="174">
        <f t="shared" si="0"/>
        <v>20000000</v>
      </c>
      <c r="S8" s="174">
        <f>R8/VLOOKUP(K8,'Exchange Rates'!$B$11:$C$25,2,0)</f>
        <v>18402649.981597349</v>
      </c>
      <c r="T8" s="175" t="s">
        <v>365</v>
      </c>
      <c r="U8" s="487" t="s">
        <v>4984</v>
      </c>
      <c r="V8" s="485" t="s">
        <v>364</v>
      </c>
      <c r="W8" s="490" t="s">
        <v>364</v>
      </c>
      <c r="X8" s="492" t="s">
        <v>364</v>
      </c>
      <c r="Y8" s="229"/>
      <c r="Z8" s="227"/>
      <c r="AA8" s="222"/>
      <c r="AB8" s="223"/>
      <c r="AC8" s="230"/>
      <c r="AD8" s="230"/>
      <c r="AE8" s="230"/>
      <c r="AF8" s="230"/>
      <c r="AG8" s="230"/>
      <c r="AH8" s="230"/>
      <c r="AI8" s="230"/>
      <c r="AJ8" s="178"/>
      <c r="AK8" s="178"/>
      <c r="AL8" s="178"/>
      <c r="AM8" s="178"/>
      <c r="AN8" s="179"/>
      <c r="AO8" s="179"/>
      <c r="AP8" s="1346"/>
      <c r="AQ8" s="179"/>
      <c r="AS8" s="179"/>
      <c r="AT8" s="179"/>
      <c r="AU8" s="179"/>
      <c r="AV8" s="179"/>
    </row>
    <row r="9" spans="1:48" s="18" customFormat="1" ht="15.95" customHeight="1">
      <c r="A9" s="5" t="s">
        <v>4987</v>
      </c>
      <c r="B9" s="5" t="s">
        <v>4544</v>
      </c>
      <c r="C9" s="172">
        <v>44621</v>
      </c>
      <c r="D9" s="5" t="s">
        <v>544</v>
      </c>
      <c r="E9" s="5" t="s">
        <v>4982</v>
      </c>
      <c r="F9" s="173" t="s">
        <v>4988</v>
      </c>
      <c r="G9" s="181" t="s">
        <v>364</v>
      </c>
      <c r="H9" s="228" t="s">
        <v>364</v>
      </c>
      <c r="I9" s="441" t="s">
        <v>364</v>
      </c>
      <c r="J9" s="228">
        <v>18000000</v>
      </c>
      <c r="K9" s="442" t="s">
        <v>456</v>
      </c>
      <c r="L9" s="175" t="s">
        <v>364</v>
      </c>
      <c r="M9" s="221" t="s">
        <v>364</v>
      </c>
      <c r="N9" s="228" t="s">
        <v>364</v>
      </c>
      <c r="O9" s="176" t="s">
        <v>364</v>
      </c>
      <c r="P9" s="174" t="s">
        <v>364</v>
      </c>
      <c r="Q9" s="174" t="s">
        <v>364</v>
      </c>
      <c r="R9" s="174">
        <f t="shared" si="0"/>
        <v>18000000</v>
      </c>
      <c r="S9" s="174">
        <f>R9/VLOOKUP(K9,'Exchange Rates'!$B$11:$C$25,2,0)</f>
        <v>16562384.983437615</v>
      </c>
      <c r="T9" s="175" t="s">
        <v>365</v>
      </c>
      <c r="U9" s="487" t="s">
        <v>4984</v>
      </c>
      <c r="V9" s="488" t="s">
        <v>4989</v>
      </c>
      <c r="W9" s="490" t="s">
        <v>364</v>
      </c>
      <c r="X9" s="492" t="s">
        <v>364</v>
      </c>
      <c r="Y9" s="229"/>
      <c r="Z9" s="227"/>
      <c r="AA9" s="222"/>
      <c r="AB9" s="223"/>
      <c r="AC9" s="230"/>
      <c r="AD9" s="230"/>
      <c r="AE9" s="230"/>
      <c r="AF9" s="230"/>
      <c r="AG9" s="230"/>
      <c r="AH9" s="230"/>
      <c r="AI9" s="230"/>
      <c r="AJ9" s="178"/>
      <c r="AK9" s="178"/>
      <c r="AL9" s="178"/>
      <c r="AM9" s="178"/>
      <c r="AN9" s="179"/>
      <c r="AO9" s="179"/>
      <c r="AP9" s="1346"/>
      <c r="AQ9" s="179"/>
      <c r="AS9" s="179"/>
      <c r="AT9" s="179"/>
      <c r="AU9" s="179"/>
      <c r="AV9" s="179"/>
    </row>
    <row r="10" spans="1:48" s="18" customFormat="1" ht="15.95" customHeight="1">
      <c r="A10" s="5" t="s">
        <v>4990</v>
      </c>
      <c r="B10" s="5" t="s">
        <v>4545</v>
      </c>
      <c r="C10" s="172">
        <v>44627</v>
      </c>
      <c r="D10" s="5" t="s">
        <v>544</v>
      </c>
      <c r="E10" s="5" t="s">
        <v>4991</v>
      </c>
      <c r="F10" s="173" t="s">
        <v>4992</v>
      </c>
      <c r="G10" s="181" t="s">
        <v>4993</v>
      </c>
      <c r="H10" s="228">
        <v>350000000</v>
      </c>
      <c r="I10" s="441" t="s">
        <v>456</v>
      </c>
      <c r="J10" s="228">
        <v>489000000</v>
      </c>
      <c r="K10" s="442" t="s">
        <v>456</v>
      </c>
      <c r="L10" s="175" t="s">
        <v>364</v>
      </c>
      <c r="M10" s="221" t="s">
        <v>364</v>
      </c>
      <c r="N10" s="228" t="s">
        <v>364</v>
      </c>
      <c r="O10" s="176" t="s">
        <v>364</v>
      </c>
      <c r="P10" s="174" t="s">
        <v>364</v>
      </c>
      <c r="Q10" s="174" t="s">
        <v>364</v>
      </c>
      <c r="R10" s="174">
        <f t="shared" ref="R10:R24" si="1">J10</f>
        <v>489000000</v>
      </c>
      <c r="S10" s="174">
        <f>R10/VLOOKUP(K10,'Exchange Rates'!$B$11:$C$25,2,0)</f>
        <v>449944792.05005521</v>
      </c>
      <c r="T10" s="175" t="s">
        <v>365</v>
      </c>
      <c r="U10" s="487" t="s">
        <v>1298</v>
      </c>
      <c r="V10" s="488" t="s">
        <v>4970</v>
      </c>
      <c r="W10" s="490" t="s">
        <v>364</v>
      </c>
      <c r="X10" s="492" t="s">
        <v>364</v>
      </c>
      <c r="Y10" s="229"/>
      <c r="Z10" s="227"/>
      <c r="AA10" s="222"/>
      <c r="AB10" s="223"/>
      <c r="AC10" s="230"/>
      <c r="AD10" s="230"/>
      <c r="AE10" s="230"/>
      <c r="AF10" s="230"/>
      <c r="AG10" s="230"/>
      <c r="AH10" s="230"/>
      <c r="AI10" s="230"/>
      <c r="AJ10" s="178"/>
      <c r="AK10" s="178"/>
      <c r="AL10" s="178"/>
      <c r="AM10" s="178"/>
      <c r="AN10" s="179"/>
      <c r="AO10" s="179"/>
      <c r="AP10" s="1346"/>
      <c r="AQ10" s="179"/>
      <c r="AS10" s="179"/>
      <c r="AT10" s="179"/>
      <c r="AU10" s="179"/>
      <c r="AV10" s="179"/>
    </row>
    <row r="11" spans="1:48" s="18" customFormat="1" ht="15.95" customHeight="1">
      <c r="A11" s="17" t="s">
        <v>4990</v>
      </c>
      <c r="B11" s="17" t="s">
        <v>4545</v>
      </c>
      <c r="C11" s="172">
        <v>44627</v>
      </c>
      <c r="D11" s="5" t="s">
        <v>544</v>
      </c>
      <c r="E11" s="5" t="s">
        <v>4991</v>
      </c>
      <c r="F11" s="173" t="s">
        <v>4992</v>
      </c>
      <c r="G11" s="181" t="s">
        <v>2693</v>
      </c>
      <c r="H11" s="228">
        <v>89000000</v>
      </c>
      <c r="I11" s="441" t="s">
        <v>456</v>
      </c>
      <c r="J11" s="228">
        <v>489000000</v>
      </c>
      <c r="K11" s="442" t="s">
        <v>456</v>
      </c>
      <c r="L11" s="175" t="s">
        <v>364</v>
      </c>
      <c r="M11" s="221" t="s">
        <v>364</v>
      </c>
      <c r="N11" s="228" t="s">
        <v>364</v>
      </c>
      <c r="O11" s="176" t="s">
        <v>364</v>
      </c>
      <c r="P11" s="174" t="s">
        <v>364</v>
      </c>
      <c r="Q11" s="174" t="s">
        <v>364</v>
      </c>
      <c r="R11" s="174">
        <f t="shared" si="1"/>
        <v>489000000</v>
      </c>
      <c r="S11" s="174" t="s">
        <v>364</v>
      </c>
      <c r="T11" s="175" t="s">
        <v>365</v>
      </c>
      <c r="U11" s="487" t="s">
        <v>1298</v>
      </c>
      <c r="V11" s="488" t="s">
        <v>4970</v>
      </c>
      <c r="W11" s="490" t="s">
        <v>364</v>
      </c>
      <c r="X11" s="492" t="s">
        <v>364</v>
      </c>
      <c r="Y11" s="229"/>
      <c r="Z11" s="227"/>
      <c r="AA11" s="222"/>
      <c r="AB11" s="223"/>
      <c r="AC11" s="230"/>
      <c r="AD11" s="230"/>
      <c r="AE11" s="230"/>
      <c r="AF11" s="230"/>
      <c r="AG11" s="230"/>
      <c r="AH11" s="230"/>
      <c r="AI11" s="230"/>
      <c r="AJ11" s="178"/>
      <c r="AK11" s="178"/>
      <c r="AL11" s="178"/>
      <c r="AM11" s="178"/>
      <c r="AN11" s="179"/>
      <c r="AO11" s="179"/>
      <c r="AP11" s="1346"/>
      <c r="AQ11" s="179"/>
      <c r="AS11" s="179"/>
      <c r="AT11" s="179"/>
      <c r="AU11" s="179"/>
      <c r="AV11" s="179"/>
    </row>
    <row r="12" spans="1:48" s="18" customFormat="1" ht="15.95" customHeight="1">
      <c r="A12" s="5" t="s">
        <v>4990</v>
      </c>
      <c r="B12" s="5" t="s">
        <v>4545</v>
      </c>
      <c r="C12" s="172">
        <v>44627</v>
      </c>
      <c r="D12" s="5" t="s">
        <v>544</v>
      </c>
      <c r="E12" s="5" t="s">
        <v>4991</v>
      </c>
      <c r="F12" s="173" t="s">
        <v>4992</v>
      </c>
      <c r="G12" s="181" t="s">
        <v>3548</v>
      </c>
      <c r="H12" s="228">
        <v>50000000</v>
      </c>
      <c r="I12" s="441" t="s">
        <v>456</v>
      </c>
      <c r="J12" s="228">
        <v>489000000</v>
      </c>
      <c r="K12" s="442" t="s">
        <v>456</v>
      </c>
      <c r="L12" s="175" t="s">
        <v>364</v>
      </c>
      <c r="M12" s="221" t="s">
        <v>364</v>
      </c>
      <c r="N12" s="228" t="s">
        <v>364</v>
      </c>
      <c r="O12" s="176" t="s">
        <v>364</v>
      </c>
      <c r="P12" s="174" t="s">
        <v>364</v>
      </c>
      <c r="Q12" s="174" t="s">
        <v>364</v>
      </c>
      <c r="R12" s="174">
        <f t="shared" si="1"/>
        <v>489000000</v>
      </c>
      <c r="S12" s="174" t="s">
        <v>364</v>
      </c>
      <c r="T12" s="175" t="s">
        <v>365</v>
      </c>
      <c r="U12" s="487" t="s">
        <v>1298</v>
      </c>
      <c r="V12" s="488" t="s">
        <v>4970</v>
      </c>
      <c r="W12" s="490" t="s">
        <v>364</v>
      </c>
      <c r="X12" s="492" t="s">
        <v>364</v>
      </c>
      <c r="Y12" s="229"/>
      <c r="Z12" s="227"/>
      <c r="AA12" s="222"/>
      <c r="AB12" s="223"/>
      <c r="AC12" s="230"/>
      <c r="AD12" s="230"/>
      <c r="AE12" s="230"/>
      <c r="AF12" s="230"/>
      <c r="AG12" s="230"/>
      <c r="AH12" s="230"/>
      <c r="AI12" s="230"/>
      <c r="AJ12" s="178"/>
      <c r="AK12" s="178"/>
      <c r="AL12" s="178"/>
      <c r="AM12" s="178"/>
      <c r="AN12" s="179"/>
      <c r="AO12" s="179"/>
      <c r="AP12" s="1346"/>
      <c r="AQ12" s="179"/>
      <c r="AS12" s="179"/>
      <c r="AT12" s="179"/>
      <c r="AU12" s="179"/>
      <c r="AV12" s="179"/>
    </row>
    <row r="13" spans="1:48" s="18" customFormat="1" ht="15.95" customHeight="1">
      <c r="A13" s="5" t="s">
        <v>4994</v>
      </c>
      <c r="B13" s="5" t="s">
        <v>4545</v>
      </c>
      <c r="C13" s="172">
        <v>44627</v>
      </c>
      <c r="D13" s="5" t="s">
        <v>544</v>
      </c>
      <c r="E13" s="5" t="s">
        <v>4995</v>
      </c>
      <c r="F13" s="173" t="s">
        <v>4996</v>
      </c>
      <c r="G13" s="181" t="s">
        <v>3748</v>
      </c>
      <c r="H13" s="228">
        <v>100000000</v>
      </c>
      <c r="I13" s="441" t="s">
        <v>456</v>
      </c>
      <c r="J13" s="228">
        <v>134000000</v>
      </c>
      <c r="K13" s="442" t="s">
        <v>456</v>
      </c>
      <c r="L13" s="175" t="s">
        <v>364</v>
      </c>
      <c r="M13" s="221" t="s">
        <v>364</v>
      </c>
      <c r="N13" s="228" t="s">
        <v>364</v>
      </c>
      <c r="O13" s="176" t="s">
        <v>364</v>
      </c>
      <c r="P13" s="174" t="s">
        <v>364</v>
      </c>
      <c r="Q13" s="174" t="s">
        <v>364</v>
      </c>
      <c r="R13" s="174">
        <f t="shared" si="1"/>
        <v>134000000</v>
      </c>
      <c r="S13" s="174">
        <f>R13/VLOOKUP(K13,'Exchange Rates'!$B$11:$C$25,2,0)</f>
        <v>123297754.87670225</v>
      </c>
      <c r="T13" s="175" t="s">
        <v>365</v>
      </c>
      <c r="U13" s="487" t="s">
        <v>1298</v>
      </c>
      <c r="V13" s="488" t="s">
        <v>546</v>
      </c>
      <c r="W13" s="490" t="s">
        <v>364</v>
      </c>
      <c r="X13" s="492" t="s">
        <v>364</v>
      </c>
      <c r="Y13" s="229"/>
      <c r="Z13" s="227"/>
      <c r="AA13" s="222"/>
      <c r="AB13" s="223"/>
      <c r="AC13" s="230"/>
      <c r="AD13" s="230"/>
      <c r="AE13" s="230"/>
      <c r="AF13" s="230"/>
      <c r="AG13" s="230"/>
      <c r="AH13" s="230"/>
      <c r="AI13" s="230"/>
      <c r="AJ13" s="178"/>
      <c r="AK13" s="178"/>
      <c r="AL13" s="178"/>
      <c r="AM13" s="178"/>
      <c r="AN13" s="179"/>
      <c r="AO13" s="179"/>
      <c r="AP13" s="1346"/>
      <c r="AQ13" s="179"/>
      <c r="AS13" s="179"/>
      <c r="AT13" s="179"/>
      <c r="AU13" s="179"/>
      <c r="AV13" s="179"/>
    </row>
    <row r="14" spans="1:48" s="18" customFormat="1" ht="15.95" customHeight="1">
      <c r="A14" s="5" t="s">
        <v>4994</v>
      </c>
      <c r="B14" s="5" t="s">
        <v>4545</v>
      </c>
      <c r="C14" s="172">
        <v>44627</v>
      </c>
      <c r="D14" s="5" t="s">
        <v>544</v>
      </c>
      <c r="E14" s="5" t="s">
        <v>4995</v>
      </c>
      <c r="F14" s="173" t="s">
        <v>4996</v>
      </c>
      <c r="G14" s="181" t="s">
        <v>1194</v>
      </c>
      <c r="H14" s="228">
        <v>22000000</v>
      </c>
      <c r="I14" s="441" t="s">
        <v>456</v>
      </c>
      <c r="J14" s="228">
        <v>134000000</v>
      </c>
      <c r="K14" s="442" t="s">
        <v>456</v>
      </c>
      <c r="L14" s="175" t="s">
        <v>364</v>
      </c>
      <c r="M14" s="221" t="s">
        <v>364</v>
      </c>
      <c r="N14" s="228" t="s">
        <v>364</v>
      </c>
      <c r="O14" s="176" t="s">
        <v>364</v>
      </c>
      <c r="P14" s="174" t="s">
        <v>364</v>
      </c>
      <c r="Q14" s="174" t="s">
        <v>364</v>
      </c>
      <c r="R14" s="174">
        <f t="shared" si="1"/>
        <v>134000000</v>
      </c>
      <c r="S14" s="174" t="s">
        <v>364</v>
      </c>
      <c r="T14" s="175" t="s">
        <v>365</v>
      </c>
      <c r="U14" s="487" t="s">
        <v>1298</v>
      </c>
      <c r="V14" s="488" t="s">
        <v>546</v>
      </c>
      <c r="W14" s="490" t="s">
        <v>364</v>
      </c>
      <c r="X14" s="492" t="s">
        <v>364</v>
      </c>
      <c r="Y14" s="229"/>
      <c r="Z14" s="227"/>
      <c r="AA14" s="222"/>
      <c r="AB14" s="223"/>
      <c r="AC14" s="230"/>
      <c r="AD14" s="230"/>
      <c r="AE14" s="230"/>
      <c r="AF14" s="230"/>
      <c r="AG14" s="230"/>
      <c r="AH14" s="230"/>
      <c r="AI14" s="230"/>
      <c r="AJ14" s="178"/>
      <c r="AK14" s="178"/>
      <c r="AL14" s="178"/>
      <c r="AM14" s="178"/>
      <c r="AN14" s="179"/>
      <c r="AO14" s="179"/>
      <c r="AP14" s="1346"/>
      <c r="AQ14" s="179"/>
      <c r="AS14" s="179"/>
      <c r="AT14" s="179"/>
      <c r="AU14" s="179"/>
      <c r="AV14" s="179"/>
    </row>
    <row r="15" spans="1:48" s="18" customFormat="1" ht="15.95" customHeight="1">
      <c r="A15" s="5" t="s">
        <v>4994</v>
      </c>
      <c r="B15" s="5" t="s">
        <v>4545</v>
      </c>
      <c r="C15" s="172">
        <v>44627</v>
      </c>
      <c r="D15" s="5" t="s">
        <v>544</v>
      </c>
      <c r="E15" s="5" t="s">
        <v>4995</v>
      </c>
      <c r="F15" s="173" t="s">
        <v>4996</v>
      </c>
      <c r="G15" s="181" t="s">
        <v>4997</v>
      </c>
      <c r="H15" s="228">
        <v>12000000</v>
      </c>
      <c r="I15" s="441" t="s">
        <v>456</v>
      </c>
      <c r="J15" s="228">
        <v>134000000</v>
      </c>
      <c r="K15" s="442" t="s">
        <v>456</v>
      </c>
      <c r="L15" s="175" t="s">
        <v>364</v>
      </c>
      <c r="M15" s="221" t="s">
        <v>364</v>
      </c>
      <c r="N15" s="228" t="s">
        <v>364</v>
      </c>
      <c r="O15" s="176" t="s">
        <v>364</v>
      </c>
      <c r="P15" s="174" t="s">
        <v>364</v>
      </c>
      <c r="Q15" s="174" t="s">
        <v>364</v>
      </c>
      <c r="R15" s="174">
        <f t="shared" si="1"/>
        <v>134000000</v>
      </c>
      <c r="S15" s="174" t="s">
        <v>364</v>
      </c>
      <c r="T15" s="175" t="s">
        <v>365</v>
      </c>
      <c r="U15" s="487" t="s">
        <v>1298</v>
      </c>
      <c r="V15" s="488" t="s">
        <v>546</v>
      </c>
      <c r="W15" s="490" t="s">
        <v>364</v>
      </c>
      <c r="X15" s="492" t="s">
        <v>364</v>
      </c>
      <c r="Y15" s="229"/>
      <c r="Z15" s="227"/>
      <c r="AA15" s="222"/>
      <c r="AB15" s="223"/>
      <c r="AC15" s="230"/>
      <c r="AD15" s="230"/>
      <c r="AE15" s="230"/>
      <c r="AF15" s="230"/>
      <c r="AG15" s="230"/>
      <c r="AH15" s="230"/>
      <c r="AI15" s="230"/>
      <c r="AJ15" s="178"/>
      <c r="AK15" s="178"/>
      <c r="AL15" s="178"/>
      <c r="AM15" s="178"/>
      <c r="AN15" s="179"/>
      <c r="AO15" s="179"/>
      <c r="AP15" s="1346"/>
      <c r="AQ15" s="179"/>
      <c r="AS15" s="179"/>
      <c r="AT15" s="179"/>
      <c r="AU15" s="179"/>
      <c r="AV15" s="179"/>
    </row>
    <row r="16" spans="1:48" s="18" customFormat="1" ht="15.95" customHeight="1">
      <c r="A16" s="5" t="s">
        <v>4994</v>
      </c>
      <c r="B16" s="5" t="s">
        <v>4545</v>
      </c>
      <c r="C16" s="172">
        <v>44627</v>
      </c>
      <c r="D16" s="5" t="s">
        <v>544</v>
      </c>
      <c r="E16" s="5" t="s">
        <v>4995</v>
      </c>
      <c r="F16" s="173" t="s">
        <v>4996</v>
      </c>
      <c r="G16" s="17" t="s">
        <v>2488</v>
      </c>
      <c r="H16" s="228">
        <v>4000000</v>
      </c>
      <c r="I16" s="441" t="s">
        <v>456</v>
      </c>
      <c r="J16" s="228">
        <v>134000000</v>
      </c>
      <c r="K16" s="442" t="s">
        <v>456</v>
      </c>
      <c r="L16" s="175" t="s">
        <v>364</v>
      </c>
      <c r="M16" s="221" t="s">
        <v>364</v>
      </c>
      <c r="N16" s="228" t="s">
        <v>364</v>
      </c>
      <c r="O16" s="176" t="s">
        <v>364</v>
      </c>
      <c r="P16" s="174" t="s">
        <v>364</v>
      </c>
      <c r="Q16" s="174" t="s">
        <v>364</v>
      </c>
      <c r="R16" s="174">
        <f t="shared" si="1"/>
        <v>134000000</v>
      </c>
      <c r="S16" s="174" t="s">
        <v>364</v>
      </c>
      <c r="T16" s="175" t="s">
        <v>365</v>
      </c>
      <c r="U16" s="487" t="s">
        <v>1298</v>
      </c>
      <c r="V16" s="488" t="s">
        <v>546</v>
      </c>
      <c r="W16" s="490" t="s">
        <v>364</v>
      </c>
      <c r="X16" s="492" t="s">
        <v>364</v>
      </c>
      <c r="Y16" s="229"/>
      <c r="Z16" s="227"/>
      <c r="AA16" s="222"/>
      <c r="AB16" s="223"/>
      <c r="AC16" s="230"/>
      <c r="AD16" s="230"/>
      <c r="AE16" s="230"/>
      <c r="AF16" s="230"/>
      <c r="AG16" s="230"/>
      <c r="AH16" s="230"/>
      <c r="AI16" s="230"/>
      <c r="AJ16" s="178"/>
      <c r="AK16" s="178"/>
      <c r="AL16" s="178"/>
      <c r="AM16" s="178"/>
      <c r="AN16" s="179"/>
      <c r="AO16" s="179"/>
      <c r="AP16" s="1346"/>
      <c r="AQ16" s="179"/>
      <c r="AS16" s="179"/>
      <c r="AT16" s="179"/>
      <c r="AU16" s="179"/>
      <c r="AV16" s="179"/>
    </row>
    <row r="17" spans="1:48" s="18" customFormat="1" ht="15.95" customHeight="1">
      <c r="A17" s="5" t="s">
        <v>4994</v>
      </c>
      <c r="B17" s="5" t="s">
        <v>4545</v>
      </c>
      <c r="C17" s="172">
        <v>44627</v>
      </c>
      <c r="D17" s="5" t="s">
        <v>544</v>
      </c>
      <c r="E17" s="5" t="s">
        <v>4995</v>
      </c>
      <c r="F17" s="173" t="s">
        <v>4996</v>
      </c>
      <c r="G17" s="17" t="s">
        <v>2139</v>
      </c>
      <c r="H17" s="228">
        <v>4000000</v>
      </c>
      <c r="I17" s="441" t="s">
        <v>456</v>
      </c>
      <c r="J17" s="228">
        <v>134000000</v>
      </c>
      <c r="K17" s="442" t="s">
        <v>456</v>
      </c>
      <c r="L17" s="175" t="s">
        <v>364</v>
      </c>
      <c r="M17" s="221" t="s">
        <v>364</v>
      </c>
      <c r="N17" s="228" t="s">
        <v>364</v>
      </c>
      <c r="O17" s="176" t="s">
        <v>364</v>
      </c>
      <c r="P17" s="174" t="s">
        <v>364</v>
      </c>
      <c r="Q17" s="174" t="s">
        <v>364</v>
      </c>
      <c r="R17" s="174">
        <f t="shared" si="1"/>
        <v>134000000</v>
      </c>
      <c r="S17" s="174" t="s">
        <v>364</v>
      </c>
      <c r="T17" s="175" t="s">
        <v>365</v>
      </c>
      <c r="U17" s="487" t="s">
        <v>1298</v>
      </c>
      <c r="V17" s="488" t="s">
        <v>546</v>
      </c>
      <c r="W17" s="490" t="s">
        <v>364</v>
      </c>
      <c r="X17" s="492" t="s">
        <v>364</v>
      </c>
      <c r="Y17" s="229"/>
      <c r="Z17" s="227"/>
      <c r="AA17" s="222"/>
      <c r="AB17" s="223"/>
      <c r="AC17" s="230"/>
      <c r="AD17" s="230"/>
      <c r="AE17" s="230"/>
      <c r="AF17" s="230"/>
      <c r="AG17" s="230"/>
      <c r="AH17" s="230"/>
      <c r="AI17" s="230"/>
      <c r="AJ17" s="178"/>
      <c r="AK17" s="178"/>
      <c r="AL17" s="178"/>
      <c r="AM17" s="178"/>
      <c r="AN17" s="179"/>
      <c r="AO17" s="179"/>
      <c r="AP17" s="1346"/>
      <c r="AQ17" s="179"/>
      <c r="AS17" s="179"/>
      <c r="AT17" s="179"/>
      <c r="AU17" s="179"/>
      <c r="AV17" s="179"/>
    </row>
    <row r="18" spans="1:48" s="18" customFormat="1" ht="15.95" customHeight="1">
      <c r="A18" s="19" t="s">
        <v>4994</v>
      </c>
      <c r="B18" s="19" t="s">
        <v>4545</v>
      </c>
      <c r="C18" s="172">
        <v>44627</v>
      </c>
      <c r="D18" s="19" t="s">
        <v>544</v>
      </c>
      <c r="E18" s="19" t="s">
        <v>4995</v>
      </c>
      <c r="F18" s="19" t="s">
        <v>4996</v>
      </c>
      <c r="G18" s="19" t="s">
        <v>454</v>
      </c>
      <c r="H18" s="228">
        <v>11000000</v>
      </c>
      <c r="I18" s="441" t="s">
        <v>456</v>
      </c>
      <c r="J18" s="228">
        <v>134000000</v>
      </c>
      <c r="K18" s="442" t="s">
        <v>456</v>
      </c>
      <c r="L18" s="175" t="s">
        <v>364</v>
      </c>
      <c r="M18" s="221" t="s">
        <v>364</v>
      </c>
      <c r="N18" s="228" t="s">
        <v>364</v>
      </c>
      <c r="O18" s="176" t="s">
        <v>364</v>
      </c>
      <c r="P18" s="174" t="s">
        <v>364</v>
      </c>
      <c r="Q18" s="174" t="s">
        <v>364</v>
      </c>
      <c r="R18" s="174">
        <f t="shared" si="1"/>
        <v>134000000</v>
      </c>
      <c r="S18" s="174" t="s">
        <v>364</v>
      </c>
      <c r="T18" s="175" t="s">
        <v>365</v>
      </c>
      <c r="U18" s="487" t="s">
        <v>1298</v>
      </c>
      <c r="V18" s="488" t="s">
        <v>546</v>
      </c>
      <c r="W18" s="490" t="s">
        <v>364</v>
      </c>
      <c r="X18" s="492" t="s">
        <v>364</v>
      </c>
      <c r="Y18" s="229"/>
      <c r="Z18" s="227"/>
      <c r="AA18" s="222"/>
      <c r="AB18" s="223"/>
      <c r="AC18" s="230"/>
      <c r="AD18" s="230"/>
      <c r="AE18" s="230"/>
      <c r="AF18" s="230"/>
      <c r="AG18" s="230"/>
      <c r="AH18" s="230"/>
      <c r="AI18" s="230"/>
      <c r="AJ18" s="178"/>
      <c r="AK18" s="178"/>
      <c r="AL18" s="178"/>
      <c r="AM18" s="178"/>
      <c r="AN18" s="179"/>
      <c r="AO18" s="179"/>
      <c r="AP18" s="1346"/>
      <c r="AQ18" s="179"/>
      <c r="AS18" s="179"/>
      <c r="AT18" s="179"/>
      <c r="AU18" s="179"/>
      <c r="AV18" s="179"/>
    </row>
    <row r="19" spans="1:48" s="18" customFormat="1" ht="15.95" customHeight="1">
      <c r="A19" s="5" t="s">
        <v>4998</v>
      </c>
      <c r="B19" s="5" t="s">
        <v>4545</v>
      </c>
      <c r="C19" s="172">
        <v>44627</v>
      </c>
      <c r="D19" s="5" t="s">
        <v>544</v>
      </c>
      <c r="E19" s="5" t="s">
        <v>4999</v>
      </c>
      <c r="F19" s="173" t="s">
        <v>5000</v>
      </c>
      <c r="G19" s="17" t="s">
        <v>2312</v>
      </c>
      <c r="H19" s="228">
        <v>100000000</v>
      </c>
      <c r="I19" s="441" t="s">
        <v>456</v>
      </c>
      <c r="J19" s="228">
        <v>100000000</v>
      </c>
      <c r="K19" s="442" t="s">
        <v>456</v>
      </c>
      <c r="L19" s="175" t="s">
        <v>364</v>
      </c>
      <c r="M19" s="221" t="s">
        <v>364</v>
      </c>
      <c r="N19" s="228" t="s">
        <v>364</v>
      </c>
      <c r="O19" s="176" t="s">
        <v>364</v>
      </c>
      <c r="P19" s="174" t="s">
        <v>364</v>
      </c>
      <c r="Q19" s="174" t="s">
        <v>364</v>
      </c>
      <c r="R19" s="174">
        <f t="shared" si="1"/>
        <v>100000000</v>
      </c>
      <c r="S19" s="174">
        <f>R19/VLOOKUP(K19,'Exchange Rates'!$B$11:$C$25,2,0)</f>
        <v>92013249.907986745</v>
      </c>
      <c r="T19" s="175" t="s">
        <v>365</v>
      </c>
      <c r="U19" s="487" t="s">
        <v>1298</v>
      </c>
      <c r="V19" s="485" t="s">
        <v>364</v>
      </c>
      <c r="W19" s="490" t="s">
        <v>364</v>
      </c>
      <c r="X19" s="492" t="s">
        <v>364</v>
      </c>
      <c r="Y19" s="229"/>
      <c r="Z19" s="227"/>
      <c r="AA19" s="222"/>
      <c r="AB19" s="223"/>
      <c r="AC19" s="230"/>
      <c r="AD19" s="230"/>
      <c r="AE19" s="230"/>
      <c r="AF19" s="230"/>
      <c r="AG19" s="230"/>
      <c r="AH19" s="230"/>
      <c r="AI19" s="230"/>
      <c r="AJ19" s="178"/>
      <c r="AK19" s="178"/>
      <c r="AL19" s="178"/>
      <c r="AM19" s="178"/>
      <c r="AN19" s="179"/>
      <c r="AO19" s="179"/>
      <c r="AP19" s="1346"/>
      <c r="AQ19" s="179"/>
      <c r="AS19" s="179"/>
      <c r="AT19" s="179"/>
      <c r="AU19" s="179"/>
      <c r="AV19" s="179"/>
    </row>
    <row r="20" spans="1:48" s="18" customFormat="1" ht="15.95" customHeight="1">
      <c r="A20" s="5" t="s">
        <v>5001</v>
      </c>
      <c r="B20" s="5" t="s">
        <v>4545</v>
      </c>
      <c r="C20" s="172">
        <v>44634</v>
      </c>
      <c r="D20" s="5" t="s">
        <v>544</v>
      </c>
      <c r="E20" s="5" t="s">
        <v>5002</v>
      </c>
      <c r="F20" s="173" t="s">
        <v>5003</v>
      </c>
      <c r="G20" s="17" t="s">
        <v>364</v>
      </c>
      <c r="H20" s="228" t="s">
        <v>364</v>
      </c>
      <c r="I20" s="441" t="s">
        <v>364</v>
      </c>
      <c r="J20" s="228">
        <v>200000000</v>
      </c>
      <c r="K20" s="442" t="s">
        <v>456</v>
      </c>
      <c r="L20" s="175" t="s">
        <v>364</v>
      </c>
      <c r="M20" s="221" t="s">
        <v>364</v>
      </c>
      <c r="N20" s="228" t="s">
        <v>364</v>
      </c>
      <c r="O20" s="176" t="s">
        <v>364</v>
      </c>
      <c r="P20" s="174" t="s">
        <v>364</v>
      </c>
      <c r="Q20" s="174" t="s">
        <v>364</v>
      </c>
      <c r="R20" s="174">
        <f t="shared" si="1"/>
        <v>200000000</v>
      </c>
      <c r="S20" s="174">
        <f>R20/VLOOKUP(K20,'Exchange Rates'!$B$11:$C$25,2,0)</f>
        <v>184026499.81597349</v>
      </c>
      <c r="T20" s="175" t="s">
        <v>365</v>
      </c>
      <c r="U20" s="487" t="s">
        <v>546</v>
      </c>
      <c r="V20" s="485" t="s">
        <v>364</v>
      </c>
      <c r="W20" s="490" t="s">
        <v>364</v>
      </c>
      <c r="X20" s="492" t="s">
        <v>364</v>
      </c>
      <c r="Y20" s="229"/>
      <c r="Z20" s="227"/>
      <c r="AA20" s="222"/>
      <c r="AB20" s="223"/>
      <c r="AC20" s="230"/>
      <c r="AD20" s="230"/>
      <c r="AE20" s="230"/>
      <c r="AF20" s="230"/>
      <c r="AG20" s="230"/>
      <c r="AH20" s="230"/>
      <c r="AI20" s="230"/>
      <c r="AJ20" s="178"/>
      <c r="AK20" s="178"/>
      <c r="AL20" s="178"/>
      <c r="AM20" s="178"/>
      <c r="AN20" s="179"/>
      <c r="AO20" s="179"/>
      <c r="AP20" s="1346"/>
      <c r="AQ20" s="179"/>
      <c r="AS20" s="179"/>
      <c r="AT20" s="179"/>
      <c r="AU20" s="179"/>
      <c r="AV20" s="179"/>
    </row>
    <row r="21" spans="1:48" s="18" customFormat="1" ht="15.95" customHeight="1">
      <c r="A21" s="5" t="s">
        <v>5004</v>
      </c>
      <c r="B21" s="5" t="s">
        <v>4545</v>
      </c>
      <c r="C21" s="172">
        <v>44663</v>
      </c>
      <c r="D21" s="5" t="s">
        <v>544</v>
      </c>
      <c r="E21" s="5" t="s">
        <v>4960</v>
      </c>
      <c r="F21" s="173" t="s">
        <v>5005</v>
      </c>
      <c r="G21" s="17" t="s">
        <v>364</v>
      </c>
      <c r="H21" s="228" t="s">
        <v>364</v>
      </c>
      <c r="I21" s="441" t="s">
        <v>364</v>
      </c>
      <c r="J21" s="228">
        <v>1490000000</v>
      </c>
      <c r="K21" s="442" t="s">
        <v>456</v>
      </c>
      <c r="L21" s="175" t="s">
        <v>364</v>
      </c>
      <c r="M21" s="221" t="s">
        <v>364</v>
      </c>
      <c r="N21" s="228" t="s">
        <v>364</v>
      </c>
      <c r="O21" s="176" t="s">
        <v>364</v>
      </c>
      <c r="P21" s="174" t="s">
        <v>364</v>
      </c>
      <c r="Q21" s="174" t="s">
        <v>364</v>
      </c>
      <c r="R21" s="174">
        <f t="shared" si="1"/>
        <v>1490000000</v>
      </c>
      <c r="S21" s="174">
        <f>R21/VLOOKUP(K21,'Exchange Rates'!$B$11:$C$25,2,0)</f>
        <v>1370997423.6290026</v>
      </c>
      <c r="T21" s="175" t="s">
        <v>365</v>
      </c>
      <c r="U21" s="487" t="s">
        <v>5006</v>
      </c>
      <c r="V21" s="488" t="s">
        <v>5007</v>
      </c>
      <c r="W21" s="489" t="s">
        <v>5008</v>
      </c>
      <c r="X21" s="492" t="s">
        <v>364</v>
      </c>
      <c r="Y21" s="229"/>
      <c r="Z21" s="227"/>
      <c r="AA21" s="222"/>
      <c r="AB21" s="223"/>
      <c r="AC21" s="230"/>
      <c r="AD21" s="230"/>
      <c r="AE21" s="230"/>
      <c r="AF21" s="230"/>
      <c r="AG21" s="230"/>
      <c r="AH21" s="230"/>
      <c r="AI21" s="230"/>
      <c r="AJ21" s="178"/>
      <c r="AK21" s="178"/>
      <c r="AL21" s="178"/>
      <c r="AM21" s="178"/>
      <c r="AN21" s="179"/>
      <c r="AO21" s="179"/>
      <c r="AP21" s="1346"/>
      <c r="AQ21" s="179"/>
      <c r="AS21" s="179"/>
      <c r="AT21" s="179"/>
      <c r="AU21" s="179"/>
      <c r="AV21" s="179"/>
    </row>
    <row r="22" spans="1:48" s="18" customFormat="1" ht="15.95" customHeight="1">
      <c r="A22" s="17" t="s">
        <v>5009</v>
      </c>
      <c r="B22" s="17" t="s">
        <v>4545</v>
      </c>
      <c r="C22" s="172">
        <v>44781</v>
      </c>
      <c r="D22" s="5" t="s">
        <v>544</v>
      </c>
      <c r="E22" s="5" t="s">
        <v>4960</v>
      </c>
      <c r="F22" s="173" t="s">
        <v>5010</v>
      </c>
      <c r="G22" s="17" t="s">
        <v>3949</v>
      </c>
      <c r="H22" s="228">
        <v>4500000000</v>
      </c>
      <c r="I22" s="441" t="s">
        <v>456</v>
      </c>
      <c r="J22" s="228">
        <v>4500000000</v>
      </c>
      <c r="K22" s="442" t="s">
        <v>456</v>
      </c>
      <c r="L22" s="175" t="s">
        <v>364</v>
      </c>
      <c r="M22" s="221" t="s">
        <v>364</v>
      </c>
      <c r="N22" s="228" t="s">
        <v>364</v>
      </c>
      <c r="O22" s="176" t="s">
        <v>364</v>
      </c>
      <c r="P22" s="174" t="s">
        <v>364</v>
      </c>
      <c r="Q22" s="174" t="s">
        <v>364</v>
      </c>
      <c r="R22" s="174">
        <f t="shared" si="1"/>
        <v>4500000000</v>
      </c>
      <c r="S22" s="174">
        <f>R22/VLOOKUP(K22,'Exchange Rates'!$B$11:$C$25,2,0)</f>
        <v>4140596245.8594036</v>
      </c>
      <c r="T22" s="175" t="s">
        <v>365</v>
      </c>
      <c r="U22" s="487" t="s">
        <v>5011</v>
      </c>
      <c r="V22" s="485" t="s">
        <v>364</v>
      </c>
      <c r="W22" s="490" t="s">
        <v>364</v>
      </c>
      <c r="X22" s="492" t="s">
        <v>364</v>
      </c>
      <c r="Y22" s="229"/>
      <c r="Z22" s="227"/>
      <c r="AA22" s="222"/>
      <c r="AB22" s="223"/>
      <c r="AC22" s="230"/>
      <c r="AD22" s="230"/>
      <c r="AE22" s="230"/>
      <c r="AF22" s="230"/>
      <c r="AG22" s="230"/>
      <c r="AH22" s="230"/>
      <c r="AI22" s="230"/>
      <c r="AJ22" s="178"/>
      <c r="AK22" s="178"/>
      <c r="AL22" s="178"/>
      <c r="AM22" s="178"/>
      <c r="AN22" s="179"/>
      <c r="AO22" s="179"/>
      <c r="AP22" s="1346"/>
      <c r="AQ22" s="179"/>
      <c r="AS22" s="179"/>
      <c r="AT22" s="179"/>
      <c r="AU22" s="179"/>
      <c r="AV22" s="179"/>
    </row>
    <row r="23" spans="1:48" s="18" customFormat="1" ht="15.95" customHeight="1">
      <c r="A23" s="17" t="s">
        <v>5012</v>
      </c>
      <c r="B23" s="17" t="s">
        <v>4545</v>
      </c>
      <c r="C23" s="172">
        <v>44834</v>
      </c>
      <c r="D23" s="5" t="s">
        <v>544</v>
      </c>
      <c r="E23" s="5" t="s">
        <v>4991</v>
      </c>
      <c r="F23" s="173" t="s">
        <v>5013</v>
      </c>
      <c r="G23" s="17" t="s">
        <v>3748</v>
      </c>
      <c r="H23" s="228">
        <v>500000000</v>
      </c>
      <c r="I23" s="441" t="s">
        <v>456</v>
      </c>
      <c r="J23" s="228">
        <v>530000000</v>
      </c>
      <c r="K23" s="442" t="s">
        <v>456</v>
      </c>
      <c r="L23" s="175" t="s">
        <v>364</v>
      </c>
      <c r="M23" s="221" t="s">
        <v>364</v>
      </c>
      <c r="N23" s="228" t="s">
        <v>364</v>
      </c>
      <c r="O23" s="176" t="s">
        <v>364</v>
      </c>
      <c r="P23" s="174" t="s">
        <v>364</v>
      </c>
      <c r="Q23" s="174" t="s">
        <v>364</v>
      </c>
      <c r="R23" s="174">
        <f t="shared" si="1"/>
        <v>530000000</v>
      </c>
      <c r="S23" s="174">
        <f>R23/VLOOKUP(K21,'Exchange Rates'!$B$11:$C$25,2,0)</f>
        <v>487670224.51232976</v>
      </c>
      <c r="T23" s="175" t="s">
        <v>365</v>
      </c>
      <c r="U23" s="487" t="s">
        <v>1302</v>
      </c>
      <c r="V23" s="485" t="s">
        <v>364</v>
      </c>
      <c r="W23" s="490" t="s">
        <v>364</v>
      </c>
      <c r="X23" s="492" t="s">
        <v>364</v>
      </c>
      <c r="Y23" s="229"/>
      <c r="Z23" s="227"/>
      <c r="AA23" s="222"/>
      <c r="AB23" s="223"/>
      <c r="AC23" s="230"/>
      <c r="AD23" s="230"/>
      <c r="AE23" s="230"/>
      <c r="AF23" s="230"/>
      <c r="AG23" s="230"/>
      <c r="AH23" s="230"/>
      <c r="AI23" s="230"/>
      <c r="AJ23" s="178"/>
      <c r="AK23" s="178"/>
      <c r="AL23" s="178"/>
      <c r="AM23" s="178"/>
      <c r="AN23" s="179"/>
      <c r="AO23" s="179"/>
      <c r="AP23" s="1346"/>
      <c r="AQ23" s="179"/>
      <c r="AS23" s="179"/>
      <c r="AT23" s="179"/>
      <c r="AU23" s="179"/>
      <c r="AV23" s="179"/>
    </row>
    <row r="24" spans="1:48" s="18" customFormat="1" ht="15.95" customHeight="1">
      <c r="A24" s="5" t="s">
        <v>5012</v>
      </c>
      <c r="B24" s="5" t="s">
        <v>4545</v>
      </c>
      <c r="C24" s="172">
        <v>44834</v>
      </c>
      <c r="D24" s="5" t="s">
        <v>544</v>
      </c>
      <c r="E24" s="5" t="s">
        <v>4991</v>
      </c>
      <c r="F24" s="173" t="s">
        <v>5013</v>
      </c>
      <c r="G24" s="17" t="s">
        <v>1194</v>
      </c>
      <c r="H24" s="228">
        <v>30000000</v>
      </c>
      <c r="I24" s="441" t="s">
        <v>456</v>
      </c>
      <c r="J24" s="228">
        <v>530000000</v>
      </c>
      <c r="K24" s="442" t="s">
        <v>456</v>
      </c>
      <c r="L24" s="175" t="s">
        <v>364</v>
      </c>
      <c r="M24" s="221" t="s">
        <v>364</v>
      </c>
      <c r="N24" s="228" t="s">
        <v>364</v>
      </c>
      <c r="O24" s="176" t="s">
        <v>364</v>
      </c>
      <c r="P24" s="174" t="s">
        <v>364</v>
      </c>
      <c r="Q24" s="174" t="s">
        <v>364</v>
      </c>
      <c r="R24" s="174">
        <f t="shared" si="1"/>
        <v>530000000</v>
      </c>
      <c r="S24" s="174" t="s">
        <v>364</v>
      </c>
      <c r="T24" s="175" t="s">
        <v>365</v>
      </c>
      <c r="U24" s="487" t="s">
        <v>1302</v>
      </c>
      <c r="V24" s="485" t="s">
        <v>364</v>
      </c>
      <c r="W24" s="490" t="s">
        <v>364</v>
      </c>
      <c r="X24" s="492" t="s">
        <v>364</v>
      </c>
      <c r="Y24" s="229"/>
      <c r="Z24" s="227"/>
      <c r="AA24" s="222"/>
      <c r="AB24" s="223"/>
      <c r="AC24" s="230"/>
      <c r="AD24" s="230"/>
      <c r="AE24" s="230"/>
      <c r="AF24" s="230"/>
      <c r="AG24" s="230"/>
      <c r="AH24" s="230"/>
      <c r="AI24" s="230"/>
      <c r="AJ24" s="178"/>
      <c r="AK24" s="178"/>
      <c r="AL24" s="178"/>
      <c r="AM24" s="178"/>
      <c r="AN24" s="179"/>
      <c r="AO24" s="179"/>
      <c r="AP24" s="1346"/>
      <c r="AQ24" s="179"/>
      <c r="AS24" s="179"/>
      <c r="AT24" s="179"/>
      <c r="AU24" s="179"/>
      <c r="AV24" s="179"/>
    </row>
    <row r="25" spans="1:48" ht="15.95" customHeight="1">
      <c r="A25" s="5"/>
      <c r="B25" s="5"/>
      <c r="H25" s="259"/>
      <c r="I25" s="1341"/>
      <c r="J25" s="1341"/>
      <c r="K25" s="1341"/>
      <c r="L25" s="1341"/>
      <c r="M25" s="1341"/>
      <c r="N25" s="1341"/>
      <c r="O25" s="1341"/>
      <c r="P25" s="1341"/>
      <c r="Q25" s="1341"/>
      <c r="R25" s="1341"/>
      <c r="S25" s="1341"/>
      <c r="T25" s="1341"/>
      <c r="U25" s="1341"/>
      <c r="V25" s="1341"/>
      <c r="W25" s="1341"/>
    </row>
    <row r="26" spans="1:48" ht="15.95" customHeight="1">
      <c r="A26" s="5"/>
      <c r="B26" s="5"/>
      <c r="H26" s="259"/>
      <c r="I26" s="1341"/>
      <c r="J26" s="1341"/>
      <c r="K26" s="1341"/>
      <c r="L26" s="1341"/>
      <c r="M26" s="1341"/>
      <c r="N26" s="1341"/>
      <c r="O26" s="1341"/>
      <c r="P26" s="1341"/>
      <c r="Q26" s="1341"/>
      <c r="R26" s="259"/>
      <c r="S26" s="1341"/>
      <c r="T26" s="1341"/>
      <c r="U26" s="1341"/>
      <c r="V26" s="1341"/>
      <c r="W26" s="1341"/>
    </row>
    <row r="27" spans="1:48" ht="15.95" customHeight="1">
      <c r="A27" s="5"/>
      <c r="B27" s="5"/>
      <c r="H27" s="259"/>
      <c r="I27" s="1341"/>
      <c r="J27" s="1341"/>
      <c r="K27" s="1341"/>
      <c r="L27" s="1341"/>
      <c r="M27" s="1341"/>
      <c r="N27" s="1341"/>
      <c r="O27" s="1341"/>
      <c r="P27" s="1341"/>
      <c r="Q27" s="1341"/>
      <c r="R27" s="1341"/>
      <c r="S27" s="1341"/>
      <c r="T27" s="1341"/>
      <c r="U27" s="1341"/>
      <c r="V27" s="1341"/>
      <c r="W27" s="1341"/>
    </row>
    <row r="28" spans="1:48" ht="15.95" customHeight="1">
      <c r="A28" s="5"/>
      <c r="B28" s="5"/>
      <c r="H28" s="259"/>
      <c r="I28" s="1341"/>
      <c r="J28" s="1341"/>
      <c r="K28" s="1341"/>
      <c r="L28" s="1341"/>
      <c r="M28" s="1341"/>
      <c r="N28" s="1341"/>
      <c r="O28" s="1341"/>
      <c r="P28" s="1341"/>
      <c r="Q28" s="1341"/>
      <c r="R28" s="1341"/>
      <c r="S28" s="1341"/>
      <c r="T28" s="1341"/>
      <c r="U28" s="1341"/>
      <c r="V28" s="1341"/>
      <c r="W28" s="1341"/>
    </row>
    <row r="29" spans="1:48" ht="15.95" customHeight="1">
      <c r="A29" s="5"/>
      <c r="B29" s="5"/>
    </row>
    <row r="30" spans="1:48" ht="15.95" customHeight="1">
      <c r="A30" s="5"/>
      <c r="B30" s="5"/>
    </row>
    <row r="31" spans="1:48" ht="15.95" customHeight="1">
      <c r="A31" s="5"/>
      <c r="B31" s="5"/>
    </row>
    <row r="42" spans="1:2" ht="15.95" customHeight="1">
      <c r="A42" s="5"/>
      <c r="B42" s="5"/>
    </row>
    <row r="43" spans="1:2" ht="15.95" customHeight="1">
      <c r="A43" s="5"/>
      <c r="B43" s="5"/>
    </row>
    <row r="44" spans="1:2" ht="15.95" customHeight="1">
      <c r="A44" s="5"/>
      <c r="B44" s="5"/>
    </row>
    <row r="45" spans="1:2" ht="15.95" customHeight="1">
      <c r="A45" s="5"/>
      <c r="B45" s="5"/>
    </row>
    <row r="47" spans="1:2" ht="15.95" customHeight="1">
      <c r="A47" s="5"/>
      <c r="B47" s="5"/>
    </row>
    <row r="48" spans="1:2" ht="15.95" customHeight="1">
      <c r="A48" s="5"/>
      <c r="B48" s="5"/>
    </row>
    <row r="49" spans="1:7" ht="15.95" customHeight="1">
      <c r="A49" s="5"/>
      <c r="B49" s="5"/>
    </row>
    <row r="54" spans="1:7" ht="15.95" customHeight="1">
      <c r="A54" s="5"/>
      <c r="B54" s="5"/>
    </row>
    <row r="55" spans="1:7" ht="15.95" customHeight="1">
      <c r="A55" s="5"/>
      <c r="B55" s="5"/>
    </row>
    <row r="56" spans="1:7" ht="15.95" customHeight="1">
      <c r="A56" s="5"/>
      <c r="B56" s="5"/>
    </row>
    <row r="57" spans="1:7" ht="15.95" customHeight="1">
      <c r="A57" s="5"/>
      <c r="B57" s="5"/>
    </row>
    <row r="58" spans="1:7" ht="15.95" customHeight="1">
      <c r="A58" s="5"/>
      <c r="B58" s="5"/>
    </row>
    <row r="59" spans="1:7" ht="15.95" customHeight="1">
      <c r="A59" s="5"/>
      <c r="B59" s="5"/>
      <c r="C59" s="193"/>
      <c r="D59" s="19"/>
      <c r="E59" s="19"/>
      <c r="F59" s="19"/>
      <c r="G59" s="19"/>
    </row>
    <row r="60" spans="1:7" ht="15.95" customHeight="1">
      <c r="A60" s="5"/>
      <c r="B60" s="5"/>
      <c r="C60" s="193"/>
      <c r="D60" s="19"/>
      <c r="E60" s="19"/>
      <c r="F60" s="19"/>
      <c r="G60" s="19"/>
    </row>
    <row r="61" spans="1:7" ht="15.95" customHeight="1">
      <c r="A61" s="5"/>
      <c r="B61" s="5"/>
      <c r="C61" s="193"/>
      <c r="D61" s="19"/>
      <c r="E61" s="19"/>
      <c r="F61" s="19"/>
      <c r="G61" s="19"/>
    </row>
    <row r="62" spans="1:7" ht="15.95" customHeight="1">
      <c r="A62" s="5"/>
      <c r="B62" s="5"/>
      <c r="C62" s="193"/>
      <c r="D62" s="19"/>
      <c r="E62" s="19"/>
      <c r="F62" s="19"/>
      <c r="G62" s="19"/>
    </row>
    <row r="63" spans="1:7" ht="15.95" customHeight="1">
      <c r="A63" s="5"/>
      <c r="B63" s="5"/>
      <c r="C63" s="193"/>
      <c r="D63" s="19"/>
      <c r="E63" s="19"/>
      <c r="F63" s="19"/>
      <c r="G63" s="19"/>
    </row>
    <row r="64" spans="1:7" ht="15.95" customHeight="1">
      <c r="A64" s="5"/>
      <c r="B64" s="5"/>
      <c r="C64" s="193"/>
      <c r="D64" s="19"/>
      <c r="E64" s="19"/>
      <c r="F64" s="19"/>
      <c r="G64" s="19"/>
    </row>
    <row r="65" spans="1:7" ht="15.95" customHeight="1">
      <c r="A65" s="5"/>
      <c r="B65" s="5"/>
      <c r="C65" s="193"/>
      <c r="D65" s="19"/>
      <c r="E65" s="19"/>
      <c r="F65" s="19"/>
      <c r="G65" s="19"/>
    </row>
    <row r="66" spans="1:7" ht="15.95" customHeight="1">
      <c r="A66" s="5"/>
      <c r="B66" s="5"/>
      <c r="C66" s="193"/>
      <c r="D66" s="19"/>
      <c r="E66" s="19"/>
      <c r="F66" s="19"/>
      <c r="G66" s="19"/>
    </row>
    <row r="67" spans="1:7" ht="15.95" customHeight="1">
      <c r="A67" s="5"/>
      <c r="B67" s="5"/>
      <c r="C67" s="193"/>
      <c r="D67" s="19"/>
      <c r="E67" s="19"/>
      <c r="F67" s="19"/>
      <c r="G67" s="19"/>
    </row>
    <row r="68" spans="1:7" ht="15.95" customHeight="1">
      <c r="A68" s="5"/>
      <c r="B68" s="5"/>
      <c r="C68" s="193"/>
      <c r="D68" s="19"/>
      <c r="E68" s="19"/>
      <c r="F68" s="19"/>
      <c r="G68" s="19"/>
    </row>
    <row r="69" spans="1:7" ht="15.95" customHeight="1">
      <c r="A69" s="5"/>
      <c r="B69" s="5"/>
      <c r="C69" s="193"/>
      <c r="D69" s="19"/>
      <c r="E69" s="19"/>
      <c r="F69" s="19"/>
      <c r="G69" s="19"/>
    </row>
    <row r="70" spans="1:7" ht="15.95" customHeight="1">
      <c r="A70" s="5"/>
      <c r="B70" s="5"/>
      <c r="C70" s="193"/>
      <c r="D70" s="19"/>
      <c r="E70" s="19"/>
      <c r="F70" s="19"/>
      <c r="G70" s="19"/>
    </row>
    <row r="71" spans="1:7" ht="15.95" customHeight="1">
      <c r="A71" s="5"/>
      <c r="B71" s="5"/>
      <c r="C71" s="193"/>
      <c r="D71" s="19"/>
      <c r="E71" s="19"/>
      <c r="F71" s="19"/>
      <c r="G71" s="19"/>
    </row>
    <row r="75" spans="1:7" ht="15.95" customHeight="1">
      <c r="A75" s="5"/>
      <c r="B75" s="5"/>
    </row>
    <row r="76" spans="1:7" ht="15.95" customHeight="1">
      <c r="A76" s="5"/>
      <c r="B76" s="5"/>
    </row>
    <row r="95" spans="1:2" ht="15.95" customHeight="1">
      <c r="A95" s="5"/>
      <c r="B95" s="5"/>
    </row>
    <row r="96" spans="1:2" ht="15.95" customHeight="1">
      <c r="A96" s="5"/>
      <c r="B96" s="5"/>
    </row>
    <row r="97" spans="1:7" ht="15.95" customHeight="1">
      <c r="A97" s="5"/>
      <c r="B97" s="5"/>
    </row>
    <row r="98" spans="1:7" ht="15.95" customHeight="1">
      <c r="A98" s="5"/>
      <c r="B98" s="5"/>
    </row>
    <row r="99" spans="1:7" ht="15.95" customHeight="1">
      <c r="A99" s="5"/>
      <c r="B99" s="5"/>
    </row>
    <row r="100" spans="1:7" ht="15.95" customHeight="1">
      <c r="A100" s="5"/>
      <c r="B100" s="5"/>
      <c r="G100" s="188"/>
    </row>
    <row r="101" spans="1:7" ht="15.95" customHeight="1">
      <c r="A101" s="5"/>
      <c r="B101" s="5"/>
      <c r="G101" s="186"/>
    </row>
    <row r="102" spans="1:7" ht="15.95" customHeight="1">
      <c r="A102" s="5"/>
      <c r="B102" s="5"/>
      <c r="G102" s="212"/>
    </row>
    <row r="103" spans="1:7" ht="15.95" customHeight="1">
      <c r="A103" s="5"/>
      <c r="B103" s="5"/>
    </row>
    <row r="104" spans="1:7" ht="15.95" customHeight="1">
      <c r="A104" s="5"/>
      <c r="B104" s="5"/>
    </row>
    <row r="106" spans="1:7" ht="15.95" customHeight="1">
      <c r="A106" s="5"/>
      <c r="B106" s="5"/>
    </row>
    <row r="107" spans="1:7" ht="15.95" customHeight="1">
      <c r="A107" s="5"/>
      <c r="B107" s="5"/>
    </row>
    <row r="108" spans="1:7" ht="15.95" customHeight="1">
      <c r="A108" s="5"/>
      <c r="B108" s="5"/>
    </row>
    <row r="109" spans="1:7" ht="15.95" customHeight="1">
      <c r="A109" s="5"/>
      <c r="B109" s="5"/>
    </row>
    <row r="110" spans="1:7" ht="15.95" customHeight="1">
      <c r="A110" s="5"/>
      <c r="B110" s="5"/>
    </row>
    <row r="111" spans="1:7" ht="15.95" customHeight="1">
      <c r="A111" s="5"/>
      <c r="B111" s="5"/>
    </row>
    <row r="112" spans="1:7" ht="15.95" customHeight="1">
      <c r="A112" s="5"/>
      <c r="B112" s="5"/>
    </row>
    <row r="113" spans="1:7" ht="15.95" customHeight="1">
      <c r="A113" s="5"/>
      <c r="B113" s="5"/>
    </row>
    <row r="114" spans="1:7" ht="15.95" customHeight="1">
      <c r="A114" s="5"/>
      <c r="B114" s="5"/>
    </row>
    <row r="115" spans="1:7" ht="15.95" customHeight="1">
      <c r="A115" s="5"/>
      <c r="B115" s="5"/>
    </row>
    <row r="116" spans="1:7" ht="15.95" customHeight="1">
      <c r="A116" s="5"/>
      <c r="B116" s="5"/>
    </row>
    <row r="117" spans="1:7" ht="15.95" customHeight="1">
      <c r="A117" s="5"/>
      <c r="B117" s="5"/>
    </row>
    <row r="118" spans="1:7" ht="15.95" customHeight="1">
      <c r="A118" s="5"/>
      <c r="B118" s="5"/>
    </row>
    <row r="119" spans="1:7" ht="15.95" customHeight="1">
      <c r="A119" s="5"/>
      <c r="B119" s="5"/>
    </row>
    <row r="120" spans="1:7" ht="15.95" customHeight="1">
      <c r="A120" s="5"/>
      <c r="B120" s="5"/>
    </row>
    <row r="121" spans="1:7" ht="15.95" customHeight="1">
      <c r="A121" s="5"/>
      <c r="B121" s="5"/>
      <c r="G121" s="154"/>
    </row>
    <row r="122" spans="1:7" ht="15.95" customHeight="1">
      <c r="A122" s="5"/>
      <c r="B122" s="5"/>
    </row>
    <row r="123" spans="1:7" ht="15.95" customHeight="1">
      <c r="A123" s="5"/>
      <c r="B123" s="5"/>
    </row>
    <row r="124" spans="1:7" ht="15.95" customHeight="1">
      <c r="G124" s="182"/>
    </row>
    <row r="125" spans="1:7" ht="15.95" customHeight="1">
      <c r="G125" s="182"/>
    </row>
    <row r="131" spans="1:7" ht="15.95" customHeight="1">
      <c r="A131" s="5"/>
      <c r="B131" s="5"/>
    </row>
    <row r="132" spans="1:7" ht="15.95" customHeight="1">
      <c r="A132" s="5"/>
      <c r="B132" s="5"/>
    </row>
    <row r="133" spans="1:7" ht="15.95" customHeight="1">
      <c r="A133" s="5"/>
      <c r="B133" s="5"/>
    </row>
    <row r="134" spans="1:7" ht="15.95" customHeight="1">
      <c r="A134" s="5"/>
      <c r="B134" s="5"/>
    </row>
    <row r="135" spans="1:7" ht="15.95" customHeight="1">
      <c r="A135" s="5"/>
      <c r="B135" s="5"/>
    </row>
    <row r="137" spans="1:7" ht="15.95" customHeight="1">
      <c r="G137" s="181"/>
    </row>
    <row r="138" spans="1:7" ht="15.95" customHeight="1">
      <c r="A138" s="5"/>
      <c r="B138" s="5"/>
      <c r="D138" s="190"/>
      <c r="E138" s="190"/>
      <c r="G138" s="182"/>
    </row>
    <row r="139" spans="1:7" ht="15.95" customHeight="1">
      <c r="A139" s="5"/>
      <c r="B139" s="5"/>
      <c r="G139" s="182"/>
    </row>
    <row r="140" spans="1:7" ht="15.95" customHeight="1">
      <c r="A140" s="5"/>
      <c r="B140" s="5"/>
      <c r="G140" s="182"/>
    </row>
    <row r="141" spans="1:7" ht="15.95" customHeight="1">
      <c r="A141" s="5"/>
      <c r="B141" s="5"/>
      <c r="G141" s="182"/>
    </row>
    <row r="142" spans="1:7" ht="15.95" customHeight="1">
      <c r="A142" s="5"/>
      <c r="B142" s="5"/>
      <c r="G142" s="182"/>
    </row>
    <row r="143" spans="1:7" ht="15.95" customHeight="1">
      <c r="A143" s="5"/>
      <c r="B143" s="5"/>
      <c r="G143" s="182"/>
    </row>
    <row r="144" spans="1:7" ht="15.95" customHeight="1">
      <c r="A144" s="5"/>
      <c r="B144" s="5"/>
      <c r="G144" s="182"/>
    </row>
    <row r="145" spans="1:7" ht="15.95" customHeight="1">
      <c r="A145" s="5"/>
      <c r="B145" s="5"/>
      <c r="G145" s="182"/>
    </row>
    <row r="146" spans="1:7" ht="15.95" customHeight="1">
      <c r="A146" s="5"/>
      <c r="B146" s="5"/>
      <c r="G146" s="182"/>
    </row>
    <row r="147" spans="1:7" ht="15.95" customHeight="1">
      <c r="A147" s="5"/>
      <c r="B147" s="5"/>
      <c r="G147" s="182"/>
    </row>
    <row r="148" spans="1:7" ht="15.95" customHeight="1">
      <c r="A148" s="5"/>
      <c r="B148" s="5"/>
      <c r="G148" s="182"/>
    </row>
    <row r="149" spans="1:7" ht="15.95" customHeight="1">
      <c r="A149" s="5"/>
      <c r="B149" s="5"/>
      <c r="G149" s="182"/>
    </row>
    <row r="150" spans="1:7" ht="15.95" customHeight="1">
      <c r="A150" s="5"/>
      <c r="B150" s="5"/>
      <c r="D150" s="190"/>
      <c r="G150" s="181"/>
    </row>
    <row r="151" spans="1:7" ht="15.95" customHeight="1">
      <c r="A151" s="5"/>
      <c r="B151" s="5"/>
      <c r="D151" s="190"/>
      <c r="G151" s="181"/>
    </row>
    <row r="152" spans="1:7" ht="15.95" customHeight="1">
      <c r="A152" s="5"/>
      <c r="B152" s="5"/>
      <c r="D152" s="190"/>
      <c r="G152" s="181"/>
    </row>
    <row r="153" spans="1:7" ht="15.95" customHeight="1">
      <c r="A153" s="5"/>
      <c r="B153" s="5"/>
      <c r="D153" s="190"/>
      <c r="G153" s="181"/>
    </row>
    <row r="154" spans="1:7" ht="15.95" customHeight="1">
      <c r="A154" s="5"/>
      <c r="B154" s="5"/>
      <c r="D154" s="190"/>
      <c r="G154" s="181"/>
    </row>
    <row r="155" spans="1:7" ht="15.95" customHeight="1">
      <c r="A155" s="5"/>
      <c r="B155" s="5"/>
      <c r="D155" s="190"/>
      <c r="G155" s="181"/>
    </row>
    <row r="156" spans="1:7" ht="15.95" customHeight="1">
      <c r="G156" s="181"/>
    </row>
    <row r="157" spans="1:7" ht="15.95" customHeight="1">
      <c r="G157" s="181"/>
    </row>
    <row r="158" spans="1:7" ht="15.95" customHeight="1">
      <c r="G158" s="181"/>
    </row>
    <row r="159" spans="1:7" ht="15.95" customHeight="1">
      <c r="G159" s="181"/>
    </row>
    <row r="160" spans="1:7" ht="15.95" customHeight="1">
      <c r="G160" s="181"/>
    </row>
    <row r="161" spans="1:7" ht="15.95" customHeight="1">
      <c r="G161" s="181"/>
    </row>
    <row r="162" spans="1:7" ht="15.95" customHeight="1">
      <c r="G162" s="181"/>
    </row>
    <row r="163" spans="1:7" ht="15.95" customHeight="1">
      <c r="G163" s="181"/>
    </row>
    <row r="164" spans="1:7" ht="15.95" customHeight="1">
      <c r="G164" s="181"/>
    </row>
    <row r="166" spans="1:7" ht="15.95" customHeight="1">
      <c r="A166" s="5"/>
      <c r="B166" s="5"/>
    </row>
    <row r="167" spans="1:7" ht="15.95" customHeight="1">
      <c r="A167" s="5"/>
      <c r="B167" s="5"/>
    </row>
    <row r="169" spans="1:7" ht="15.95" customHeight="1">
      <c r="A169" s="5"/>
      <c r="B169" s="5"/>
    </row>
    <row r="170" spans="1:7" ht="15.95" customHeight="1">
      <c r="A170" s="5"/>
      <c r="B170" s="5"/>
    </row>
    <row r="179" spans="1:7" ht="15.95" customHeight="1">
      <c r="G179" s="181"/>
    </row>
    <row r="180" spans="1:7" ht="15.95" customHeight="1">
      <c r="G180" s="181"/>
    </row>
    <row r="185" spans="1:7" ht="15.95" customHeight="1">
      <c r="A185" s="5"/>
      <c r="B185" s="5"/>
    </row>
    <row r="186" spans="1:7" ht="15.95" customHeight="1">
      <c r="A186" s="5"/>
      <c r="B186" s="5"/>
    </row>
    <row r="195" spans="1:2" ht="15.95" customHeight="1">
      <c r="A195" s="5"/>
      <c r="B195" s="5"/>
    </row>
    <row r="196" spans="1:2" ht="15.95" customHeight="1">
      <c r="A196" s="5"/>
      <c r="B196" s="5"/>
    </row>
    <row r="197" spans="1:2" ht="15.95" customHeight="1">
      <c r="A197" s="5"/>
      <c r="B197" s="5"/>
    </row>
    <row r="198" spans="1:2" ht="15.95" customHeight="1">
      <c r="A198" s="5"/>
      <c r="B198" s="5"/>
    </row>
    <row r="199" spans="1:2" ht="15.95" customHeight="1">
      <c r="A199" s="5"/>
      <c r="B199" s="5"/>
    </row>
    <row r="200" spans="1:2" ht="15.95" customHeight="1">
      <c r="A200" s="5"/>
      <c r="B200" s="5"/>
    </row>
    <row r="201" spans="1:2" ht="15.95" customHeight="1">
      <c r="A201" s="5"/>
      <c r="B201" s="5"/>
    </row>
    <row r="202" spans="1:2" ht="15.95" customHeight="1">
      <c r="A202" s="5"/>
      <c r="B202" s="5"/>
    </row>
    <row r="203" spans="1:2" ht="15.95" customHeight="1">
      <c r="A203" s="5"/>
      <c r="B203" s="5"/>
    </row>
    <row r="204" spans="1:2" ht="15.95" customHeight="1">
      <c r="A204" s="5"/>
      <c r="B204" s="5"/>
    </row>
    <row r="205" spans="1:2" ht="15.95" customHeight="1">
      <c r="A205" s="5"/>
      <c r="B205" s="5"/>
    </row>
    <row r="206" spans="1:2" ht="15.95" customHeight="1">
      <c r="A206" s="5"/>
      <c r="B206" s="5"/>
    </row>
    <row r="207" spans="1:2" ht="15.95" customHeight="1">
      <c r="A207" s="5"/>
      <c r="B207" s="5"/>
    </row>
    <row r="208" spans="1:2" ht="15.95" customHeight="1">
      <c r="A208" s="5"/>
      <c r="B208" s="5"/>
    </row>
    <row r="211" spans="1:2" ht="15.95" customHeight="1">
      <c r="A211" s="5"/>
      <c r="B211" s="5"/>
    </row>
    <row r="212" spans="1:2" ht="15.95" customHeight="1">
      <c r="A212" s="5"/>
      <c r="B212" s="5"/>
    </row>
    <row r="213" spans="1:2" ht="15.95" customHeight="1">
      <c r="A213" s="5"/>
      <c r="B213" s="5"/>
    </row>
    <row r="214" spans="1:2" ht="15.95" customHeight="1">
      <c r="A214" s="5"/>
      <c r="B214" s="5"/>
    </row>
    <row r="215" spans="1:2" ht="15.95" customHeight="1">
      <c r="A215" s="5"/>
      <c r="B215" s="5"/>
    </row>
    <row r="216" spans="1:2" ht="15.95" customHeight="1">
      <c r="A216" s="5"/>
      <c r="B216" s="5"/>
    </row>
    <row r="217" spans="1:2" ht="15.95" customHeight="1">
      <c r="A217" s="5"/>
      <c r="B217" s="5"/>
    </row>
    <row r="218" spans="1:2" ht="15.95" customHeight="1">
      <c r="A218" s="5"/>
      <c r="B218" s="5"/>
    </row>
    <row r="219" spans="1:2" ht="15.95" customHeight="1">
      <c r="A219" s="5"/>
      <c r="B219" s="5"/>
    </row>
    <row r="220" spans="1:2" ht="15.95" customHeight="1">
      <c r="A220" s="5"/>
      <c r="B220" s="5"/>
    </row>
    <row r="221" spans="1:2" ht="15.95" customHeight="1">
      <c r="A221" s="5"/>
      <c r="B221" s="5"/>
    </row>
    <row r="222" spans="1:2" ht="15.95" customHeight="1">
      <c r="A222" s="5"/>
      <c r="B222" s="5"/>
    </row>
    <row r="223" spans="1:2" ht="15.95" customHeight="1">
      <c r="A223" s="5"/>
      <c r="B223" s="5"/>
    </row>
    <row r="224" spans="1:2" ht="15.95" customHeight="1">
      <c r="A224" s="5"/>
      <c r="B224" s="5"/>
    </row>
    <row r="225" spans="1:7" ht="15.95" customHeight="1">
      <c r="A225" s="5"/>
      <c r="B225" s="5"/>
    </row>
    <row r="226" spans="1:7" ht="15.95" customHeight="1">
      <c r="A226" s="5"/>
      <c r="B226" s="5"/>
    </row>
    <row r="227" spans="1:7" ht="15.95" customHeight="1">
      <c r="A227" s="5"/>
      <c r="B227" s="5"/>
    </row>
    <row r="228" spans="1:7" ht="15.95" customHeight="1">
      <c r="A228" s="5"/>
      <c r="B228" s="5"/>
    </row>
    <row r="229" spans="1:7" ht="15.95" customHeight="1">
      <c r="A229" s="5"/>
      <c r="B229" s="5"/>
    </row>
    <row r="230" spans="1:7" ht="15.95" customHeight="1">
      <c r="A230" s="5"/>
      <c r="B230" s="5"/>
    </row>
    <row r="232" spans="1:7" ht="15.95" customHeight="1">
      <c r="G232" s="1"/>
    </row>
    <row r="233" spans="1:7" ht="15.95" customHeight="1">
      <c r="G233" s="1"/>
    </row>
    <row r="234" spans="1:7" ht="15.95" customHeight="1">
      <c r="G234" s="1"/>
    </row>
    <row r="235" spans="1:7" ht="15.95" customHeight="1">
      <c r="G235" s="1"/>
    </row>
    <row r="236" spans="1:7" ht="15.95" customHeight="1">
      <c r="G236" s="1"/>
    </row>
    <row r="237" spans="1:7" ht="15.95" customHeight="1">
      <c r="G237" s="19"/>
    </row>
    <row r="238" spans="1:7" ht="15.95" customHeight="1">
      <c r="G238" s="156"/>
    </row>
    <row r="239" spans="1:7" ht="15.95" customHeight="1">
      <c r="G239" s="19"/>
    </row>
    <row r="240" spans="1:7" ht="15.95" customHeight="1">
      <c r="G240" s="19"/>
    </row>
    <row r="241" spans="1:7" ht="15.95" customHeight="1">
      <c r="G241" s="182"/>
    </row>
    <row r="246" spans="1:7" ht="15.95" customHeight="1">
      <c r="G246" s="153"/>
    </row>
    <row r="249" spans="1:7" ht="15.95" customHeight="1">
      <c r="A249" s="5"/>
      <c r="B249" s="5"/>
    </row>
    <row r="250" spans="1:7" ht="15.95" customHeight="1">
      <c r="A250" s="5"/>
      <c r="B250" s="5"/>
    </row>
    <row r="251" spans="1:7" ht="15.95" customHeight="1">
      <c r="A251" s="5"/>
      <c r="B251" s="5"/>
    </row>
    <row r="267" spans="1:2" ht="15.95" customHeight="1">
      <c r="A267" s="5"/>
      <c r="B267" s="5"/>
    </row>
    <row r="268" spans="1:2" ht="15.95" customHeight="1">
      <c r="A268" s="5"/>
      <c r="B268" s="5"/>
    </row>
    <row r="269" spans="1:2" ht="15.95" customHeight="1">
      <c r="A269" s="5"/>
      <c r="B269" s="5"/>
    </row>
    <row r="270" spans="1:2" ht="15.95" customHeight="1">
      <c r="A270" s="5"/>
      <c r="B270" s="5"/>
    </row>
    <row r="271" spans="1:2" ht="15.95" customHeight="1">
      <c r="A271" s="5"/>
      <c r="B271" s="5"/>
    </row>
    <row r="272" spans="1:2" ht="15.95" customHeight="1">
      <c r="A272" s="5"/>
      <c r="B272" s="5"/>
    </row>
    <row r="273" spans="1:2" ht="15.95" customHeight="1">
      <c r="A273" s="5"/>
      <c r="B273" s="5"/>
    </row>
    <row r="282" spans="1:2" ht="15.95" customHeight="1">
      <c r="A282" s="5"/>
      <c r="B282" s="5"/>
    </row>
    <row r="283" spans="1:2" ht="15.95" customHeight="1">
      <c r="A283" s="5"/>
      <c r="B283" s="5"/>
    </row>
    <row r="284" spans="1:2" ht="15.95" customHeight="1">
      <c r="A284" s="5"/>
      <c r="B284" s="5"/>
    </row>
    <row r="285" spans="1:2" ht="15.95" customHeight="1">
      <c r="A285" s="5"/>
      <c r="B285" s="5"/>
    </row>
    <row r="286" spans="1:2" ht="15.95" customHeight="1">
      <c r="A286" s="5"/>
      <c r="B286" s="5"/>
    </row>
    <row r="287" spans="1:2" ht="15.95" customHeight="1">
      <c r="A287" s="5"/>
      <c r="B287" s="5"/>
    </row>
    <row r="289" spans="1:7" ht="15.95" customHeight="1">
      <c r="A289" s="5"/>
      <c r="B289" s="5"/>
    </row>
    <row r="290" spans="1:7" ht="15.95" customHeight="1">
      <c r="A290" s="5"/>
      <c r="B290" s="5"/>
    </row>
    <row r="291" spans="1:7" ht="15.95" customHeight="1">
      <c r="A291" s="5"/>
      <c r="B291" s="5"/>
    </row>
    <row r="292" spans="1:7" ht="15.95" customHeight="1">
      <c r="A292" s="5"/>
      <c r="B292" s="5"/>
    </row>
    <row r="293" spans="1:7" ht="15.95" customHeight="1">
      <c r="A293" s="5"/>
      <c r="B293" s="5"/>
    </row>
    <row r="294" spans="1:7" ht="15.95" customHeight="1">
      <c r="A294" s="5"/>
      <c r="B294" s="5"/>
    </row>
    <row r="295" spans="1:7" ht="15.95" customHeight="1">
      <c r="A295" s="5"/>
      <c r="B295" s="5"/>
    </row>
    <row r="296" spans="1:7" ht="15.95" customHeight="1">
      <c r="A296" s="5"/>
      <c r="B296" s="5"/>
    </row>
    <row r="297" spans="1:7" ht="15.95" customHeight="1">
      <c r="A297" s="5"/>
      <c r="B297" s="5"/>
    </row>
    <row r="298" spans="1:7" ht="15.95" customHeight="1">
      <c r="A298" s="5"/>
      <c r="B298" s="5"/>
      <c r="G298" s="154"/>
    </row>
    <row r="309" spans="7:7" ht="15.95" customHeight="1">
      <c r="G309" s="183"/>
    </row>
    <row r="313" spans="7:7" ht="15.95" customHeight="1">
      <c r="G313" s="19"/>
    </row>
    <row r="314" spans="7:7" ht="15.95" customHeight="1">
      <c r="G314" s="19"/>
    </row>
    <row r="315" spans="7:7" ht="15.95" customHeight="1">
      <c r="G315" s="19"/>
    </row>
    <row r="316" spans="7:7" ht="15.95" customHeight="1">
      <c r="G316" s="19"/>
    </row>
    <row r="317" spans="7:7" ht="15.95" customHeight="1">
      <c r="G317" s="19"/>
    </row>
    <row r="318" spans="7:7" ht="15.95" customHeight="1">
      <c r="G318" s="19"/>
    </row>
    <row r="319" spans="7:7" ht="15.95" customHeight="1">
      <c r="G319" s="19"/>
    </row>
    <row r="320" spans="7:7" ht="15.95" customHeight="1">
      <c r="G320" s="19"/>
    </row>
    <row r="321" spans="1:7" ht="15.95" customHeight="1">
      <c r="G321" s="19"/>
    </row>
    <row r="322" spans="1:7" ht="15.95" customHeight="1">
      <c r="G322" s="19"/>
    </row>
    <row r="323" spans="1:7" ht="15.95" customHeight="1">
      <c r="A323" s="19"/>
      <c r="B323" s="19"/>
      <c r="D323" s="19"/>
      <c r="E323" s="19"/>
      <c r="G323" s="19"/>
    </row>
    <row r="324" spans="1:7" ht="15.95" customHeight="1">
      <c r="A324" s="19"/>
      <c r="B324" s="19"/>
      <c r="D324" s="19"/>
      <c r="E324" s="19"/>
      <c r="G324" s="19"/>
    </row>
    <row r="332" spans="1:7" ht="15.95" customHeight="1">
      <c r="A332" s="5"/>
      <c r="B332" s="5"/>
    </row>
    <row r="333" spans="1:7" ht="15.95" customHeight="1">
      <c r="A333" s="5"/>
      <c r="B333" s="5"/>
      <c r="G333" s="154"/>
    </row>
    <row r="334" spans="1:7" ht="15.95" customHeight="1">
      <c r="A334" s="5"/>
      <c r="B334" s="5"/>
    </row>
    <row r="335" spans="1:7" ht="15.95" customHeight="1">
      <c r="A335" s="5"/>
      <c r="B335" s="5"/>
    </row>
    <row r="336" spans="1:7" ht="15.95" customHeight="1">
      <c r="A336" s="5"/>
      <c r="B336" s="5"/>
      <c r="F336" s="1341"/>
    </row>
    <row r="337" spans="1:7" ht="15.95" customHeight="1">
      <c r="A337" s="5"/>
      <c r="B337" s="5"/>
      <c r="F337" s="1341"/>
    </row>
    <row r="338" spans="1:7" ht="15.95" customHeight="1">
      <c r="A338" s="5"/>
      <c r="B338" s="5"/>
      <c r="F338" s="1341"/>
    </row>
    <row r="339" spans="1:7" ht="15.95" customHeight="1">
      <c r="A339" s="5"/>
      <c r="B339" s="5"/>
      <c r="F339" s="1341"/>
    </row>
    <row r="340" spans="1:7" ht="15.95" customHeight="1">
      <c r="G340" s="181"/>
    </row>
    <row r="341" spans="1:7" ht="15.95" customHeight="1">
      <c r="G341" s="181"/>
    </row>
    <row r="346" spans="1:7" ht="15.95" customHeight="1">
      <c r="A346" s="5"/>
      <c r="B346" s="5"/>
      <c r="F346" s="1341"/>
      <c r="G346" s="182"/>
    </row>
    <row r="347" spans="1:7" ht="15.95" customHeight="1">
      <c r="A347" s="5"/>
      <c r="B347" s="5"/>
      <c r="F347" s="1341"/>
      <c r="G347" s="182"/>
    </row>
    <row r="348" spans="1:7" ht="15.95" customHeight="1">
      <c r="A348" s="5"/>
      <c r="B348" s="5"/>
      <c r="F348" s="1341"/>
      <c r="G348" s="182"/>
    </row>
    <row r="349" spans="1:7" ht="15.95" customHeight="1">
      <c r="A349" s="5"/>
      <c r="B349" s="5"/>
      <c r="F349" s="1341"/>
      <c r="G349" s="182"/>
    </row>
    <row r="350" spans="1:7" ht="15.95" customHeight="1">
      <c r="A350" s="5"/>
      <c r="B350" s="5"/>
      <c r="F350" s="1341"/>
      <c r="G350" s="182"/>
    </row>
    <row r="351" spans="1:7" ht="15.95" customHeight="1">
      <c r="A351" s="5"/>
      <c r="B351" s="5"/>
      <c r="F351" s="1341"/>
      <c r="G351" s="182"/>
    </row>
    <row r="352" spans="1:7" ht="15.95" customHeight="1">
      <c r="A352" s="5"/>
      <c r="B352" s="5"/>
      <c r="F352" s="1341"/>
      <c r="G352" s="182"/>
    </row>
    <row r="353" spans="1:7" ht="15.95" customHeight="1">
      <c r="A353" s="5"/>
      <c r="B353" s="5"/>
      <c r="F353" s="1341"/>
      <c r="G353" s="182"/>
    </row>
    <row r="354" spans="1:7" ht="15.95" customHeight="1">
      <c r="A354" s="5"/>
      <c r="B354" s="5"/>
      <c r="F354" s="1341"/>
      <c r="G354" s="182"/>
    </row>
    <row r="355" spans="1:7" ht="15.95" customHeight="1">
      <c r="A355" s="5"/>
      <c r="B355" s="5"/>
      <c r="F355" s="1341"/>
      <c r="G355" s="182"/>
    </row>
    <row r="356" spans="1:7" ht="15.95" customHeight="1">
      <c r="A356" s="5"/>
      <c r="B356" s="5"/>
      <c r="F356" s="1341"/>
      <c r="G356" s="182"/>
    </row>
    <row r="357" spans="1:7" ht="15.95" customHeight="1">
      <c r="A357" s="5"/>
      <c r="B357" s="5"/>
      <c r="F357" s="1341"/>
      <c r="G357" s="182"/>
    </row>
    <row r="358" spans="1:7" ht="15.95" customHeight="1">
      <c r="A358" s="5"/>
      <c r="B358" s="5"/>
      <c r="F358" s="1341"/>
      <c r="G358" s="182"/>
    </row>
    <row r="359" spans="1:7" ht="15.95" customHeight="1">
      <c r="A359" s="5"/>
      <c r="B359" s="5"/>
      <c r="F359" s="1341"/>
      <c r="G359" s="182"/>
    </row>
    <row r="360" spans="1:7" ht="15.95" customHeight="1">
      <c r="A360" s="5"/>
      <c r="B360" s="5"/>
      <c r="F360" s="1341"/>
      <c r="G360" s="182"/>
    </row>
    <row r="361" spans="1:7" ht="15.95" customHeight="1">
      <c r="A361" s="5"/>
      <c r="B361" s="5"/>
      <c r="F361" s="1341"/>
      <c r="G361" s="182"/>
    </row>
    <row r="362" spans="1:7" ht="15.95" customHeight="1">
      <c r="A362" s="5"/>
      <c r="B362" s="5"/>
      <c r="F362" s="1341"/>
      <c r="G362" s="182"/>
    </row>
    <row r="363" spans="1:7" ht="15.95" customHeight="1">
      <c r="A363" s="5"/>
      <c r="B363" s="5"/>
      <c r="F363" s="1341"/>
      <c r="G363" s="182"/>
    </row>
    <row r="364" spans="1:7" ht="15.95" customHeight="1">
      <c r="A364" s="5"/>
      <c r="B364" s="5"/>
      <c r="F364" s="1341"/>
      <c r="G364" s="182"/>
    </row>
    <row r="365" spans="1:7" ht="15.95" customHeight="1">
      <c r="A365" s="5"/>
      <c r="B365" s="5"/>
      <c r="F365" s="1341"/>
      <c r="G365" s="182"/>
    </row>
    <row r="366" spans="1:7" ht="15.95" customHeight="1">
      <c r="A366" s="5"/>
      <c r="B366" s="5"/>
      <c r="F366" s="1341"/>
      <c r="G366" s="182"/>
    </row>
    <row r="367" spans="1:7" ht="15.95" customHeight="1">
      <c r="A367" s="5"/>
      <c r="B367" s="5"/>
      <c r="F367" s="1341"/>
      <c r="G367" s="182"/>
    </row>
    <row r="368" spans="1:7" ht="15.95" customHeight="1">
      <c r="A368" s="5"/>
      <c r="B368" s="5"/>
      <c r="F368" s="1341"/>
      <c r="G368" s="182"/>
    </row>
    <row r="369" spans="1:7" ht="15.95" customHeight="1">
      <c r="A369" s="5"/>
      <c r="B369" s="5"/>
      <c r="F369" s="1341"/>
      <c r="G369" s="182"/>
    </row>
    <row r="370" spans="1:7" ht="15.95" customHeight="1">
      <c r="A370" s="5"/>
      <c r="B370" s="5"/>
      <c r="F370" s="1341"/>
      <c r="G370" s="182"/>
    </row>
    <row r="371" spans="1:7" ht="15.95" customHeight="1">
      <c r="A371" s="5"/>
      <c r="B371" s="5"/>
      <c r="F371" s="1341"/>
      <c r="G371" s="182"/>
    </row>
    <row r="372" spans="1:7" ht="15.95" customHeight="1">
      <c r="A372" s="5"/>
      <c r="B372" s="5"/>
      <c r="F372" s="1341"/>
      <c r="G372" s="182"/>
    </row>
    <row r="373" spans="1:7" ht="15.95" customHeight="1">
      <c r="A373" s="5"/>
      <c r="B373" s="5"/>
      <c r="F373" s="1341"/>
      <c r="G373" s="182"/>
    </row>
    <row r="374" spans="1:7" ht="15.95" customHeight="1">
      <c r="A374" s="5"/>
      <c r="B374" s="5"/>
      <c r="F374" s="1341"/>
      <c r="G374" s="182"/>
    </row>
    <row r="375" spans="1:7" ht="15.95" customHeight="1">
      <c r="A375" s="5"/>
      <c r="B375" s="5"/>
      <c r="F375" s="1341"/>
      <c r="G375" s="182"/>
    </row>
    <row r="376" spans="1:7" ht="15.95" customHeight="1">
      <c r="A376" s="5"/>
      <c r="B376" s="5"/>
      <c r="F376" s="1341"/>
      <c r="G376" s="182"/>
    </row>
    <row r="377" spans="1:7" ht="15.95" customHeight="1">
      <c r="A377" s="5"/>
      <c r="B377" s="5"/>
      <c r="F377" s="1341"/>
      <c r="G377" s="182"/>
    </row>
    <row r="378" spans="1:7" ht="15.95" customHeight="1">
      <c r="A378" s="5"/>
      <c r="B378" s="5"/>
      <c r="F378" s="1341"/>
      <c r="G378" s="182"/>
    </row>
    <row r="379" spans="1:7" ht="15.95" customHeight="1">
      <c r="A379" s="5"/>
      <c r="B379" s="5"/>
      <c r="F379" s="1341"/>
      <c r="G379" s="182"/>
    </row>
    <row r="380" spans="1:7" ht="15.95" customHeight="1">
      <c r="A380" s="5"/>
      <c r="B380" s="5"/>
      <c r="F380" s="1341"/>
      <c r="G380" s="182"/>
    </row>
    <row r="381" spans="1:7" ht="15.95" customHeight="1">
      <c r="A381" s="5"/>
      <c r="B381" s="5"/>
      <c r="F381" s="1341"/>
      <c r="G381" s="182"/>
    </row>
    <row r="382" spans="1:7" ht="15.95" customHeight="1">
      <c r="A382" s="5"/>
      <c r="B382" s="5"/>
      <c r="F382" s="1341"/>
      <c r="G382" s="182"/>
    </row>
    <row r="383" spans="1:7" ht="15.95" customHeight="1">
      <c r="A383" s="5"/>
      <c r="B383" s="5"/>
      <c r="F383" s="1341"/>
      <c r="G383" s="182"/>
    </row>
    <row r="384" spans="1:7" ht="15.95" customHeight="1">
      <c r="A384" s="5"/>
      <c r="B384" s="5"/>
      <c r="F384" s="1341"/>
      <c r="G384" s="182"/>
    </row>
    <row r="385" spans="1:7" ht="15.95" customHeight="1">
      <c r="A385" s="5"/>
      <c r="B385" s="5"/>
      <c r="F385" s="1341"/>
      <c r="G385" s="182"/>
    </row>
    <row r="386" spans="1:7" ht="15.95" customHeight="1">
      <c r="A386" s="5"/>
      <c r="B386" s="5"/>
      <c r="F386" s="1341"/>
      <c r="G386" s="182"/>
    </row>
    <row r="387" spans="1:7" ht="15.95" customHeight="1">
      <c r="A387" s="5"/>
      <c r="B387" s="5"/>
      <c r="F387" s="1341"/>
      <c r="G387" s="182"/>
    </row>
    <row r="388" spans="1:7" ht="15.95" customHeight="1">
      <c r="A388" s="5"/>
      <c r="B388" s="5"/>
      <c r="F388" s="1341"/>
      <c r="G388" s="183"/>
    </row>
    <row r="389" spans="1:7" ht="15.95" customHeight="1">
      <c r="A389" s="5"/>
      <c r="B389" s="5"/>
      <c r="F389" s="1341"/>
      <c r="G389" s="182"/>
    </row>
    <row r="390" spans="1:7" ht="15.95" customHeight="1">
      <c r="A390" s="5"/>
      <c r="B390" s="5"/>
      <c r="F390" s="1341"/>
      <c r="G390" s="182"/>
    </row>
    <row r="391" spans="1:7" ht="15.95" customHeight="1">
      <c r="A391" s="5"/>
      <c r="B391" s="5"/>
      <c r="F391" s="1341"/>
      <c r="G391" s="182"/>
    </row>
    <row r="392" spans="1:7" ht="15.95" customHeight="1">
      <c r="A392" s="5"/>
      <c r="B392" s="5"/>
      <c r="F392" s="1341"/>
      <c r="G392" s="182"/>
    </row>
    <row r="393" spans="1:7" ht="15.95" customHeight="1">
      <c r="A393" s="5"/>
      <c r="B393" s="5"/>
      <c r="F393" s="1341"/>
      <c r="G393" s="182"/>
    </row>
    <row r="394" spans="1:7" ht="15.95" customHeight="1">
      <c r="A394" s="5"/>
      <c r="B394" s="5"/>
      <c r="F394" s="1341"/>
      <c r="G394" s="182"/>
    </row>
    <row r="395" spans="1:7" ht="15.95" customHeight="1">
      <c r="A395" s="5"/>
      <c r="B395" s="5"/>
      <c r="F395" s="1341"/>
      <c r="G395" s="182"/>
    </row>
    <row r="396" spans="1:7" ht="15.95" customHeight="1">
      <c r="A396" s="5"/>
      <c r="B396" s="5"/>
      <c r="F396" s="1341"/>
      <c r="G396" s="182"/>
    </row>
    <row r="397" spans="1:7" ht="15.95" customHeight="1">
      <c r="A397" s="5"/>
      <c r="B397" s="5"/>
      <c r="F397" s="1341"/>
      <c r="G397" s="182"/>
    </row>
    <row r="398" spans="1:7" ht="15.95" customHeight="1">
      <c r="A398" s="5"/>
      <c r="B398" s="5"/>
      <c r="F398" s="1341"/>
      <c r="G398" s="182"/>
    </row>
    <row r="399" spans="1:7" ht="15.95" customHeight="1">
      <c r="A399" s="5"/>
      <c r="B399" s="5"/>
      <c r="F399" s="1341"/>
      <c r="G399" s="182"/>
    </row>
    <row r="400" spans="1:7" ht="15.95" customHeight="1">
      <c r="A400" s="5"/>
      <c r="B400" s="5"/>
      <c r="F400" s="1341"/>
      <c r="G400" s="182"/>
    </row>
    <row r="401" spans="1:7" ht="15.95" customHeight="1">
      <c r="A401" s="5"/>
      <c r="B401" s="5"/>
      <c r="F401" s="1341"/>
      <c r="G401" s="182"/>
    </row>
    <row r="402" spans="1:7" ht="15.95" customHeight="1">
      <c r="A402" s="5"/>
      <c r="B402" s="5"/>
      <c r="F402" s="1341"/>
      <c r="G402" s="182"/>
    </row>
    <row r="403" spans="1:7" ht="15.95" customHeight="1">
      <c r="A403" s="5"/>
      <c r="B403" s="5"/>
      <c r="F403" s="1341"/>
      <c r="G403" s="182"/>
    </row>
    <row r="404" spans="1:7" ht="15.95" customHeight="1">
      <c r="A404" s="5"/>
      <c r="B404" s="5"/>
      <c r="F404" s="1341"/>
      <c r="G404" s="154"/>
    </row>
    <row r="405" spans="1:7" ht="15.95" customHeight="1">
      <c r="A405" s="5"/>
      <c r="B405" s="5"/>
      <c r="F405" s="1341"/>
      <c r="G405" s="182"/>
    </row>
    <row r="406" spans="1:7" ht="15.95" customHeight="1">
      <c r="A406" s="5"/>
      <c r="B406" s="5"/>
      <c r="F406" s="1341"/>
      <c r="G406" s="182"/>
    </row>
    <row r="407" spans="1:7" ht="15.95" customHeight="1">
      <c r="A407" s="5"/>
      <c r="B407" s="5"/>
      <c r="F407" s="1341"/>
      <c r="G407" s="182"/>
    </row>
    <row r="408" spans="1:7" ht="15.95" customHeight="1">
      <c r="A408" s="5"/>
      <c r="B408" s="5"/>
      <c r="F408" s="1341"/>
      <c r="G408" s="182"/>
    </row>
    <row r="409" spans="1:7" ht="15.95" customHeight="1">
      <c r="A409" s="5"/>
      <c r="B409" s="5"/>
      <c r="F409" s="1341"/>
      <c r="G409" s="182"/>
    </row>
    <row r="410" spans="1:7" ht="15.95" customHeight="1">
      <c r="A410" s="5"/>
      <c r="B410" s="5"/>
      <c r="F410" s="1341"/>
      <c r="G410" s="182"/>
    </row>
    <row r="411" spans="1:7" ht="15.95" customHeight="1">
      <c r="A411" s="5"/>
      <c r="B411" s="5"/>
      <c r="F411" s="1341"/>
      <c r="G411" s="182"/>
    </row>
    <row r="412" spans="1:7" ht="15.95" customHeight="1">
      <c r="A412" s="5"/>
      <c r="B412" s="5"/>
      <c r="F412" s="1341"/>
      <c r="G412" s="182"/>
    </row>
    <row r="413" spans="1:7" ht="15.95" customHeight="1">
      <c r="A413" s="5"/>
      <c r="B413" s="5"/>
      <c r="F413" s="1341"/>
      <c r="G413" s="182"/>
    </row>
    <row r="414" spans="1:7" ht="15.95" customHeight="1">
      <c r="A414" s="5"/>
      <c r="B414" s="5"/>
      <c r="F414" s="1341"/>
      <c r="G414" s="182"/>
    </row>
    <row r="415" spans="1:7" ht="15.95" customHeight="1">
      <c r="A415" s="5"/>
      <c r="B415" s="5"/>
      <c r="F415" s="1341"/>
      <c r="G415" s="182"/>
    </row>
    <row r="416" spans="1:7" ht="15.95" customHeight="1">
      <c r="A416" s="5"/>
      <c r="B416" s="5"/>
      <c r="F416" s="1341"/>
      <c r="G416" s="182"/>
    </row>
    <row r="417" spans="1:7" ht="15.95" customHeight="1">
      <c r="A417" s="5"/>
      <c r="B417" s="5"/>
      <c r="F417" s="1341"/>
      <c r="G417" s="182"/>
    </row>
    <row r="418" spans="1:7" ht="15.95" customHeight="1">
      <c r="A418" s="5"/>
      <c r="B418" s="5"/>
      <c r="F418" s="1341"/>
      <c r="G418" s="182"/>
    </row>
    <row r="419" spans="1:7" ht="15.95" customHeight="1">
      <c r="A419" s="5"/>
      <c r="B419" s="5"/>
      <c r="F419" s="1341"/>
      <c r="G419" s="182"/>
    </row>
    <row r="420" spans="1:7" ht="15.95" customHeight="1">
      <c r="A420" s="5"/>
      <c r="B420" s="5"/>
      <c r="F420" s="1341"/>
      <c r="G420" s="182"/>
    </row>
    <row r="421" spans="1:7" ht="15.95" customHeight="1">
      <c r="A421" s="5"/>
      <c r="B421" s="5"/>
      <c r="F421" s="1341"/>
      <c r="G421" s="182"/>
    </row>
    <row r="422" spans="1:7" ht="15.95" customHeight="1">
      <c r="A422" s="5"/>
      <c r="B422" s="5"/>
      <c r="F422" s="1341"/>
      <c r="G422" s="182"/>
    </row>
    <row r="423" spans="1:7" ht="15.95" customHeight="1">
      <c r="A423" s="5"/>
      <c r="B423" s="5"/>
      <c r="F423" s="1341"/>
      <c r="G423" s="182"/>
    </row>
    <row r="424" spans="1:7" ht="15.95" customHeight="1">
      <c r="A424" s="5"/>
      <c r="B424" s="5"/>
      <c r="F424" s="1341"/>
      <c r="G424" s="182"/>
    </row>
    <row r="425" spans="1:7" ht="15.95" customHeight="1">
      <c r="A425" s="5"/>
      <c r="B425" s="5"/>
      <c r="F425" s="1341"/>
      <c r="G425" s="182"/>
    </row>
    <row r="426" spans="1:7" ht="15.95" customHeight="1">
      <c r="A426" s="5"/>
      <c r="B426" s="5"/>
      <c r="F426" s="1341"/>
      <c r="G426" s="156"/>
    </row>
    <row r="427" spans="1:7" ht="15.95" customHeight="1">
      <c r="A427" s="5"/>
      <c r="B427" s="5"/>
      <c r="F427" s="1341"/>
      <c r="G427" s="182"/>
    </row>
    <row r="428" spans="1:7" ht="15.95" customHeight="1">
      <c r="A428" s="5"/>
      <c r="B428" s="5"/>
      <c r="F428" s="1341"/>
      <c r="G428" s="182"/>
    </row>
    <row r="429" spans="1:7" ht="15.95" customHeight="1">
      <c r="A429" s="5"/>
      <c r="B429" s="5"/>
      <c r="F429" s="1341"/>
      <c r="G429" s="182"/>
    </row>
    <row r="430" spans="1:7" ht="15.95" customHeight="1">
      <c r="A430" s="5"/>
      <c r="B430" s="5"/>
      <c r="F430" s="1341"/>
      <c r="G430" s="182"/>
    </row>
    <row r="431" spans="1:7" ht="15.95" customHeight="1">
      <c r="A431" s="5"/>
      <c r="B431" s="5"/>
      <c r="F431" s="1341"/>
      <c r="G431" s="182"/>
    </row>
    <row r="432" spans="1:7" ht="15.95" customHeight="1">
      <c r="A432" s="5"/>
      <c r="B432" s="5"/>
      <c r="F432" s="1341"/>
      <c r="G432" s="182"/>
    </row>
    <row r="433" spans="1:7" ht="15.95" customHeight="1">
      <c r="A433" s="5"/>
      <c r="B433" s="5"/>
      <c r="F433" s="1341"/>
      <c r="G433" s="182"/>
    </row>
    <row r="434" spans="1:7" ht="15.95" customHeight="1">
      <c r="A434" s="5"/>
      <c r="B434" s="5"/>
      <c r="F434" s="1341"/>
      <c r="G434" s="182"/>
    </row>
    <row r="435" spans="1:7" ht="15.95" customHeight="1">
      <c r="A435" s="5"/>
      <c r="B435" s="5"/>
      <c r="F435" s="1341"/>
      <c r="G435" s="182"/>
    </row>
    <row r="436" spans="1:7" ht="15.95" customHeight="1">
      <c r="A436" s="5"/>
      <c r="B436" s="5"/>
      <c r="F436" s="1341"/>
      <c r="G436" s="182"/>
    </row>
    <row r="437" spans="1:7" ht="15.95" customHeight="1">
      <c r="A437" s="5"/>
      <c r="B437" s="5"/>
      <c r="F437" s="1341"/>
      <c r="G437" s="182"/>
    </row>
    <row r="438" spans="1:7" ht="15.95" customHeight="1">
      <c r="A438" s="5"/>
      <c r="B438" s="5"/>
      <c r="F438" s="1341"/>
      <c r="G438" s="182"/>
    </row>
    <row r="439" spans="1:7" ht="15.95" customHeight="1">
      <c r="A439" s="5"/>
      <c r="B439" s="5"/>
      <c r="F439" s="1341"/>
      <c r="G439" s="182"/>
    </row>
    <row r="440" spans="1:7" ht="15.95" customHeight="1">
      <c r="A440" s="5"/>
      <c r="B440" s="5"/>
      <c r="F440" s="1341"/>
      <c r="G440" s="182"/>
    </row>
    <row r="441" spans="1:7" ht="15.95" customHeight="1">
      <c r="A441" s="5"/>
      <c r="B441" s="5"/>
      <c r="F441" s="1341"/>
      <c r="G441" s="182"/>
    </row>
    <row r="442" spans="1:7" ht="15.95" customHeight="1">
      <c r="A442" s="5"/>
      <c r="B442" s="5"/>
      <c r="F442" s="1341"/>
      <c r="G442" s="182"/>
    </row>
    <row r="443" spans="1:7" ht="15.95" customHeight="1">
      <c r="A443" s="5"/>
      <c r="B443" s="5"/>
      <c r="F443" s="1341"/>
      <c r="G443" s="182"/>
    </row>
    <row r="444" spans="1:7" ht="15.95" customHeight="1">
      <c r="A444" s="5"/>
      <c r="B444" s="5"/>
      <c r="F444" s="1341"/>
      <c r="G444" s="182"/>
    </row>
    <row r="445" spans="1:7" ht="15.95" customHeight="1">
      <c r="A445" s="5"/>
      <c r="B445" s="5"/>
      <c r="F445" s="1341"/>
      <c r="G445" s="182"/>
    </row>
    <row r="446" spans="1:7" ht="15.95" customHeight="1">
      <c r="A446" s="5"/>
      <c r="B446" s="5"/>
      <c r="F446" s="1341"/>
      <c r="G446" s="182"/>
    </row>
    <row r="447" spans="1:7" ht="15.95" customHeight="1">
      <c r="A447" s="5"/>
      <c r="B447" s="5"/>
      <c r="F447" s="1341"/>
      <c r="G447" s="182"/>
    </row>
    <row r="448" spans="1:7" ht="15.95" customHeight="1">
      <c r="A448" s="5"/>
      <c r="B448" s="5"/>
      <c r="F448" s="1341"/>
    </row>
    <row r="449" spans="1:2" ht="15.95" customHeight="1">
      <c r="A449" s="5"/>
      <c r="B449" s="5"/>
    </row>
    <row r="456" spans="1:2" ht="15.95" customHeight="1">
      <c r="A456" s="5"/>
      <c r="B456" s="5"/>
    </row>
    <row r="457" spans="1:2" ht="15.95" customHeight="1">
      <c r="A457" s="5"/>
      <c r="B457" s="5"/>
    </row>
    <row r="458" spans="1:2" ht="15.95" customHeight="1">
      <c r="A458" s="5"/>
      <c r="B458" s="5"/>
    </row>
    <row r="459" spans="1:2" ht="15.95" customHeight="1">
      <c r="A459" s="5"/>
      <c r="B459" s="5"/>
    </row>
    <row r="460" spans="1:2" ht="15.95" customHeight="1">
      <c r="A460" s="5"/>
      <c r="B460" s="5"/>
    </row>
    <row r="461" spans="1:2" ht="15.95" customHeight="1">
      <c r="A461" s="5"/>
      <c r="B461" s="5"/>
    </row>
    <row r="462" spans="1:2" ht="15.95" customHeight="1">
      <c r="A462" s="5"/>
      <c r="B462" s="5"/>
    </row>
    <row r="463" spans="1:2" ht="15.95" customHeight="1">
      <c r="A463" s="5"/>
      <c r="B463" s="5"/>
    </row>
    <row r="464" spans="1:2" ht="15.95" customHeight="1">
      <c r="A464" s="5"/>
      <c r="B464" s="5"/>
    </row>
    <row r="465" spans="1:2" ht="15.95" customHeight="1">
      <c r="A465" s="5"/>
      <c r="B465" s="5"/>
    </row>
    <row r="466" spans="1:2" ht="15.95" customHeight="1">
      <c r="A466" s="5"/>
      <c r="B466" s="5"/>
    </row>
    <row r="467" spans="1:2" ht="15.95" customHeight="1">
      <c r="A467" s="5"/>
      <c r="B467" s="5"/>
    </row>
    <row r="468" spans="1:2" ht="15.95" customHeight="1">
      <c r="A468" s="5"/>
      <c r="B468" s="5"/>
    </row>
    <row r="469" spans="1:2" ht="15.95" customHeight="1">
      <c r="A469" s="5"/>
      <c r="B469" s="5"/>
    </row>
    <row r="470" spans="1:2" ht="15.95" customHeight="1">
      <c r="A470" s="5"/>
      <c r="B470" s="5"/>
    </row>
    <row r="471" spans="1:2" ht="15.95" customHeight="1">
      <c r="A471" s="5"/>
      <c r="B471" s="5"/>
    </row>
    <row r="472" spans="1:2" ht="15.95" customHeight="1">
      <c r="A472" s="5"/>
      <c r="B472" s="5"/>
    </row>
    <row r="473" spans="1:2" ht="15.95" customHeight="1">
      <c r="A473" s="5"/>
      <c r="B473" s="5"/>
    </row>
    <row r="478" spans="1:2" ht="15.95" customHeight="1">
      <c r="A478" s="5"/>
      <c r="B478" s="5"/>
    </row>
    <row r="479" spans="1:2" ht="15.95" customHeight="1">
      <c r="A479" s="5"/>
      <c r="B479" s="5"/>
    </row>
    <row r="480" spans="1:2" ht="15.95" customHeight="1">
      <c r="A480" s="5"/>
      <c r="B480" s="5"/>
    </row>
    <row r="482" spans="1:6" ht="15.95" customHeight="1">
      <c r="C482" s="193"/>
      <c r="D482" s="19"/>
      <c r="E482" s="19"/>
      <c r="F482" s="19"/>
    </row>
    <row r="485" spans="1:6" ht="15.95" customHeight="1">
      <c r="A485" s="5"/>
      <c r="B485" s="5"/>
    </row>
    <row r="486" spans="1:6" ht="15.95" customHeight="1">
      <c r="A486" s="5"/>
      <c r="B486" s="5"/>
    </row>
    <row r="487" spans="1:6" ht="15.95" customHeight="1">
      <c r="A487" s="5"/>
      <c r="B487" s="5"/>
    </row>
    <row r="496" spans="1:6" ht="15.95" customHeight="1">
      <c r="A496" s="5"/>
      <c r="B496" s="5"/>
    </row>
    <row r="497" spans="1:7" ht="15.95" customHeight="1">
      <c r="A497" s="5"/>
      <c r="B497" s="5"/>
    </row>
    <row r="498" spans="1:7" ht="15.95" customHeight="1">
      <c r="A498" s="5"/>
      <c r="B498" s="5"/>
    </row>
    <row r="499" spans="1:7" ht="15.95" customHeight="1">
      <c r="A499" s="5"/>
      <c r="B499" s="5"/>
    </row>
    <row r="500" spans="1:7" ht="15.95" customHeight="1">
      <c r="A500" s="5"/>
      <c r="B500" s="5"/>
    </row>
    <row r="505" spans="1:7" ht="15.95" customHeight="1">
      <c r="A505" s="5"/>
      <c r="B505" s="5"/>
    </row>
    <row r="506" spans="1:7" ht="15.95" customHeight="1">
      <c r="A506" s="5"/>
      <c r="B506" s="5"/>
    </row>
    <row r="507" spans="1:7" ht="15.95" customHeight="1">
      <c r="A507" s="5"/>
      <c r="B507" s="5"/>
    </row>
    <row r="508" spans="1:7" ht="15.95" customHeight="1">
      <c r="A508" s="5"/>
      <c r="B508" s="5"/>
    </row>
    <row r="511" spans="1:7" ht="15.95" customHeight="1">
      <c r="G511" s="157"/>
    </row>
    <row r="516" spans="1:7" ht="15.95" customHeight="1">
      <c r="E516" s="19"/>
      <c r="F516" s="19"/>
    </row>
    <row r="521" spans="1:7" ht="15.95" customHeight="1">
      <c r="A521" s="5"/>
      <c r="B521" s="5"/>
      <c r="G521" s="188"/>
    </row>
    <row r="522" spans="1:7" ht="15.95" customHeight="1">
      <c r="A522" s="5"/>
      <c r="B522" s="5"/>
    </row>
    <row r="523" spans="1:7" ht="15.95" customHeight="1">
      <c r="A523" s="5"/>
      <c r="B523" s="5"/>
    </row>
    <row r="524" spans="1:7" ht="15.95" customHeight="1">
      <c r="A524" s="5"/>
      <c r="B524" s="5"/>
    </row>
    <row r="525" spans="1:7" ht="15.95" customHeight="1">
      <c r="A525" s="5"/>
      <c r="B525" s="5"/>
    </row>
    <row r="526" spans="1:7" ht="15.95" customHeight="1">
      <c r="A526" s="5"/>
      <c r="B526" s="5"/>
    </row>
    <row r="527" spans="1:7" ht="15.95" customHeight="1">
      <c r="A527" s="5"/>
      <c r="B527" s="5"/>
    </row>
    <row r="528" spans="1:7" ht="15.95" customHeight="1">
      <c r="A528" s="5"/>
      <c r="B528" s="5"/>
    </row>
    <row r="529" spans="1:7" ht="15.95" customHeight="1">
      <c r="A529" s="5"/>
      <c r="B529" s="5"/>
      <c r="G529" s="186"/>
    </row>
    <row r="530" spans="1:7" ht="15.95" customHeight="1">
      <c r="A530" s="5"/>
      <c r="B530" s="5"/>
      <c r="G530" s="186"/>
    </row>
    <row r="531" spans="1:7" ht="15.95" customHeight="1">
      <c r="A531" s="5"/>
      <c r="B531" s="5"/>
      <c r="G531" s="186"/>
    </row>
    <row r="532" spans="1:7" ht="15.95" customHeight="1">
      <c r="A532" s="5"/>
      <c r="B532" s="5"/>
      <c r="G532" s="186"/>
    </row>
    <row r="536" spans="1:7" ht="15.95" customHeight="1">
      <c r="F536" s="142"/>
    </row>
    <row r="537" spans="1:7" ht="15.95" customHeight="1">
      <c r="A537" s="5"/>
      <c r="B537" s="5"/>
      <c r="F537" s="142"/>
    </row>
    <row r="538" spans="1:7" ht="15.95" customHeight="1">
      <c r="A538" s="5"/>
      <c r="B538" s="5"/>
      <c r="F538" s="142"/>
    </row>
    <row r="539" spans="1:7" ht="15.95" customHeight="1">
      <c r="A539" s="5"/>
      <c r="B539" s="5"/>
      <c r="F539" s="142"/>
      <c r="G539" s="153"/>
    </row>
    <row r="540" spans="1:7" ht="15.95" customHeight="1">
      <c r="A540" s="5"/>
      <c r="B540" s="5"/>
      <c r="F540" s="142"/>
      <c r="G540" s="153"/>
    </row>
    <row r="541" spans="1:7" ht="15.95" customHeight="1">
      <c r="A541" s="5"/>
      <c r="B541" s="5"/>
      <c r="F541" s="142"/>
      <c r="G541" s="153"/>
    </row>
    <row r="542" spans="1:7" ht="15.95" customHeight="1">
      <c r="A542" s="5"/>
      <c r="B542" s="5"/>
      <c r="F542" s="142"/>
    </row>
    <row r="543" spans="1:7" ht="15.95" customHeight="1">
      <c r="A543" s="5"/>
      <c r="B543" s="5"/>
      <c r="F543" s="142"/>
    </row>
    <row r="544" spans="1:7" ht="15.95" customHeight="1">
      <c r="A544" s="5"/>
      <c r="B544" s="5"/>
      <c r="F544" s="142"/>
    </row>
    <row r="545" spans="1:7" ht="15.95" customHeight="1">
      <c r="F545" s="142"/>
    </row>
    <row r="546" spans="1:7" ht="15.95" customHeight="1">
      <c r="F546" s="142"/>
    </row>
    <row r="547" spans="1:7" ht="15.95" customHeight="1">
      <c r="F547" s="142"/>
    </row>
    <row r="548" spans="1:7" ht="15.95" customHeight="1">
      <c r="F548" s="142"/>
    </row>
    <row r="552" spans="1:7" ht="15.95" customHeight="1">
      <c r="A552" s="5"/>
      <c r="B552" s="5"/>
    </row>
    <row r="553" spans="1:7" ht="15.95" customHeight="1">
      <c r="A553" s="5"/>
      <c r="B553" s="5"/>
    </row>
    <row r="555" spans="1:7" ht="15.95" customHeight="1">
      <c r="A555" s="5"/>
      <c r="B555" s="5"/>
    </row>
    <row r="556" spans="1:7" ht="15.95" customHeight="1">
      <c r="A556" s="5"/>
      <c r="B556" s="5"/>
      <c r="G556" s="214"/>
    </row>
    <row r="557" spans="1:7" ht="15.95" customHeight="1">
      <c r="A557" s="5"/>
      <c r="B557" s="5"/>
    </row>
    <row r="558" spans="1:7" ht="15.95" customHeight="1">
      <c r="A558" s="5"/>
      <c r="B558" s="5"/>
    </row>
    <row r="559" spans="1:7" ht="15.95" customHeight="1">
      <c r="A559" s="5"/>
      <c r="B559" s="5"/>
    </row>
    <row r="560" spans="1:7" ht="15.95" customHeight="1">
      <c r="A560" s="5"/>
      <c r="B560" s="5"/>
    </row>
    <row r="561" spans="1:7" ht="15.95" customHeight="1">
      <c r="A561" s="5"/>
      <c r="B561" s="5"/>
    </row>
    <row r="562" spans="1:7" ht="15.95" customHeight="1">
      <c r="A562" s="5"/>
      <c r="B562" s="5"/>
    </row>
    <row r="563" spans="1:7" ht="15.95" customHeight="1">
      <c r="A563" s="5"/>
      <c r="B563" s="5"/>
      <c r="G563" s="182"/>
    </row>
    <row r="564" spans="1:7" ht="15.95" customHeight="1">
      <c r="A564" s="5"/>
      <c r="B564" s="5"/>
      <c r="G564" s="182"/>
    </row>
    <row r="565" spans="1:7" ht="15.95" customHeight="1">
      <c r="A565" s="5"/>
      <c r="B565" s="5"/>
      <c r="G565" s="182"/>
    </row>
    <row r="566" spans="1:7" ht="15.95" customHeight="1">
      <c r="A566" s="5"/>
      <c r="B566" s="5"/>
      <c r="G566" s="182"/>
    </row>
    <row r="567" spans="1:7" ht="15.95" customHeight="1">
      <c r="A567" s="5"/>
      <c r="B567" s="5"/>
      <c r="G567" s="182"/>
    </row>
    <row r="568" spans="1:7" ht="15.95" customHeight="1">
      <c r="A568" s="5"/>
      <c r="B568" s="5"/>
      <c r="G568" s="182"/>
    </row>
    <row r="569" spans="1:7" ht="15.95" customHeight="1">
      <c r="A569" s="5"/>
      <c r="B569" s="5"/>
      <c r="G569" s="182"/>
    </row>
    <row r="570" spans="1:7" ht="15.95" customHeight="1">
      <c r="A570" s="5"/>
      <c r="B570" s="5"/>
      <c r="G570" s="182"/>
    </row>
    <row r="571" spans="1:7" ht="15.95" customHeight="1">
      <c r="A571" s="5"/>
      <c r="B571" s="5"/>
      <c r="G571" s="154"/>
    </row>
    <row r="572" spans="1:7" ht="15.95" customHeight="1">
      <c r="A572" s="5"/>
      <c r="B572" s="5"/>
      <c r="G572" s="182"/>
    </row>
    <row r="573" spans="1:7" ht="15.95" customHeight="1">
      <c r="A573" s="5"/>
      <c r="B573" s="5"/>
      <c r="G573" s="182"/>
    </row>
    <row r="574" spans="1:7" ht="15.95" customHeight="1">
      <c r="A574" s="5"/>
      <c r="B574" s="5"/>
      <c r="G574" s="182"/>
    </row>
    <row r="575" spans="1:7" ht="15.95" customHeight="1">
      <c r="A575" s="5"/>
      <c r="B575" s="5"/>
      <c r="G575" s="182"/>
    </row>
    <row r="583" spans="1:7" ht="15.95" customHeight="1">
      <c r="A583" s="5"/>
      <c r="B583" s="5"/>
    </row>
    <row r="584" spans="1:7" ht="15.95" customHeight="1">
      <c r="A584" s="5"/>
      <c r="B584" s="5"/>
    </row>
    <row r="585" spans="1:7" ht="15.95" customHeight="1">
      <c r="A585" s="5"/>
      <c r="B585" s="5"/>
    </row>
    <row r="586" spans="1:7" ht="15.95" customHeight="1">
      <c r="A586" s="5"/>
      <c r="B586" s="5"/>
      <c r="G586" s="185"/>
    </row>
    <row r="587" spans="1:7" ht="15.95" customHeight="1">
      <c r="A587" s="5"/>
      <c r="B587" s="5"/>
      <c r="G587" s="185"/>
    </row>
    <row r="588" spans="1:7" ht="15.95" customHeight="1">
      <c r="A588" s="5"/>
      <c r="B588" s="5"/>
      <c r="G588" s="185"/>
    </row>
    <row r="589" spans="1:7" ht="15.95" customHeight="1">
      <c r="A589" s="5"/>
      <c r="B589" s="5"/>
      <c r="G589" s="185"/>
    </row>
    <row r="594" spans="1:7" ht="15.95" customHeight="1">
      <c r="A594" s="5"/>
      <c r="B594" s="5"/>
    </row>
    <row r="595" spans="1:7" ht="15.95" customHeight="1">
      <c r="A595" s="5"/>
      <c r="B595" s="5"/>
    </row>
    <row r="596" spans="1:7" ht="15.95" customHeight="1">
      <c r="A596" s="5"/>
      <c r="B596" s="5"/>
    </row>
    <row r="597" spans="1:7" ht="15.95" customHeight="1">
      <c r="A597" s="5"/>
      <c r="B597" s="5"/>
    </row>
    <row r="598" spans="1:7" ht="15.95" customHeight="1">
      <c r="A598" s="5"/>
      <c r="B598" s="5"/>
    </row>
    <row r="599" spans="1:7" ht="15.95" customHeight="1">
      <c r="A599" s="5"/>
      <c r="B599" s="5"/>
    </row>
    <row r="600" spans="1:7" ht="15.95" customHeight="1">
      <c r="A600" s="5"/>
      <c r="B600" s="5"/>
    </row>
    <row r="601" spans="1:7" ht="15.95" customHeight="1">
      <c r="A601" s="5"/>
      <c r="B601" s="5"/>
    </row>
    <row r="602" spans="1:7" ht="15.95" customHeight="1">
      <c r="A602" s="5"/>
      <c r="B602" s="5"/>
      <c r="G602" s="181"/>
    </row>
    <row r="603" spans="1:7" ht="15.95" customHeight="1">
      <c r="A603" s="5"/>
      <c r="B603" s="5"/>
      <c r="G603" s="181"/>
    </row>
    <row r="604" spans="1:7" ht="15.95" customHeight="1">
      <c r="A604" s="5"/>
      <c r="B604" s="5"/>
    </row>
    <row r="605" spans="1:7" ht="15.95" customHeight="1">
      <c r="A605" s="5"/>
      <c r="B605" s="5"/>
    </row>
    <row r="606" spans="1:7" ht="15.95" customHeight="1">
      <c r="A606" s="5"/>
      <c r="B606" s="5"/>
    </row>
    <row r="607" spans="1:7" ht="15.95" customHeight="1">
      <c r="A607" s="5"/>
      <c r="B607" s="5"/>
    </row>
    <row r="608" spans="1:7" ht="15.95" customHeight="1">
      <c r="A608" s="5"/>
      <c r="B608" s="5"/>
    </row>
    <row r="609" spans="1:7" ht="15.95" customHeight="1">
      <c r="A609" s="5"/>
      <c r="B609" s="5"/>
    </row>
    <row r="610" spans="1:7" ht="15.95" customHeight="1">
      <c r="A610" s="5"/>
      <c r="B610" s="5"/>
    </row>
    <row r="611" spans="1:7" ht="15.95" customHeight="1">
      <c r="A611" s="5"/>
      <c r="B611" s="5"/>
    </row>
    <row r="615" spans="1:7" ht="15.95" customHeight="1">
      <c r="F615" s="1341"/>
      <c r="G615" s="182"/>
    </row>
    <row r="618" spans="1:7" ht="15.95" customHeight="1">
      <c r="A618" s="5"/>
      <c r="B618" s="5"/>
    </row>
    <row r="619" spans="1:7" ht="15.95" customHeight="1">
      <c r="A619" s="5"/>
      <c r="B619" s="5"/>
    </row>
    <row r="620" spans="1:7" ht="15.95" customHeight="1">
      <c r="A620" s="5"/>
      <c r="B620" s="5"/>
    </row>
    <row r="621" spans="1:7" ht="15.95" customHeight="1">
      <c r="A621" s="16"/>
      <c r="B621" s="16"/>
      <c r="D621" s="190"/>
      <c r="E621" s="190"/>
      <c r="G621" s="16"/>
    </row>
    <row r="622" spans="1:7" ht="15.95" customHeight="1">
      <c r="A622" s="16"/>
      <c r="B622" s="16"/>
      <c r="D622" s="190"/>
      <c r="E622" s="190"/>
      <c r="G622" s="16"/>
    </row>
    <row r="623" spans="1:7" ht="15.95" customHeight="1">
      <c r="A623" s="16"/>
      <c r="B623" s="16"/>
      <c r="D623" s="190"/>
      <c r="G623" s="16"/>
    </row>
    <row r="627" spans="1:7" ht="15.95" customHeight="1">
      <c r="A627" s="5"/>
      <c r="B627" s="5"/>
      <c r="G627" s="181"/>
    </row>
    <row r="628" spans="1:7" ht="15.95" customHeight="1">
      <c r="A628" s="5"/>
      <c r="B628" s="5"/>
      <c r="G628" s="181"/>
    </row>
    <row r="629" spans="1:7" ht="15.95" customHeight="1">
      <c r="A629" s="5"/>
      <c r="B629" s="5"/>
    </row>
    <row r="630" spans="1:7" ht="15.95" customHeight="1">
      <c r="G630" s="181"/>
    </row>
    <row r="631" spans="1:7" ht="15.95" customHeight="1">
      <c r="G631" s="181"/>
    </row>
    <row r="632" spans="1:7" ht="15.95" customHeight="1">
      <c r="G632" s="181"/>
    </row>
    <row r="633" spans="1:7" ht="15.95" customHeight="1">
      <c r="A633" s="5"/>
      <c r="B633" s="5"/>
      <c r="G633" s="181"/>
    </row>
    <row r="634" spans="1:7" ht="15.95" customHeight="1">
      <c r="A634" s="5"/>
      <c r="B634" s="5"/>
      <c r="G634" s="181"/>
    </row>
    <row r="638" spans="1:7" ht="15.95" customHeight="1">
      <c r="G638" s="181"/>
    </row>
    <row r="642" spans="1:7" ht="15.95" customHeight="1">
      <c r="A642" s="5"/>
      <c r="B642" s="5"/>
    </row>
    <row r="643" spans="1:7" ht="15.95" customHeight="1">
      <c r="A643" s="5"/>
      <c r="B643" s="5"/>
    </row>
    <row r="644" spans="1:7" ht="15.95" customHeight="1">
      <c r="A644" s="5"/>
      <c r="B644" s="5"/>
    </row>
    <row r="645" spans="1:7" ht="15.95" customHeight="1">
      <c r="A645" s="5"/>
      <c r="B645" s="5"/>
    </row>
    <row r="646" spans="1:7" ht="15.95" customHeight="1">
      <c r="A646" s="5"/>
      <c r="B646" s="5"/>
    </row>
    <row r="647" spans="1:7" ht="15.95" customHeight="1">
      <c r="A647" s="5"/>
      <c r="B647" s="5"/>
    </row>
    <row r="648" spans="1:7" ht="15.95" customHeight="1">
      <c r="A648" s="5"/>
      <c r="B648" s="5"/>
    </row>
    <row r="649" spans="1:7" ht="15.95" customHeight="1">
      <c r="A649" s="5"/>
      <c r="B649" s="5"/>
    </row>
    <row r="650" spans="1:7" ht="15.95" customHeight="1">
      <c r="A650" s="5"/>
      <c r="B650" s="5"/>
    </row>
    <row r="651" spans="1:7" ht="15.95" customHeight="1">
      <c r="G651" s="181"/>
    </row>
    <row r="652" spans="1:7" ht="15.95" customHeight="1">
      <c r="A652" s="5"/>
      <c r="B652" s="5"/>
      <c r="G652" s="181"/>
    </row>
    <row r="653" spans="1:7" ht="15.95" customHeight="1">
      <c r="A653" s="5"/>
      <c r="B653" s="5"/>
      <c r="G653" s="181"/>
    </row>
    <row r="654" spans="1:7" ht="15.95" customHeight="1">
      <c r="A654" s="5"/>
      <c r="B654" s="5"/>
      <c r="G654" s="181"/>
    </row>
    <row r="655" spans="1:7" ht="15.95" customHeight="1">
      <c r="A655" s="5"/>
      <c r="B655" s="5"/>
      <c r="G655" s="182"/>
    </row>
    <row r="656" spans="1:7" ht="15.95" customHeight="1">
      <c r="A656" s="5"/>
      <c r="B656" s="5"/>
      <c r="G656" s="182"/>
    </row>
    <row r="659" spans="1:7" ht="15.95" customHeight="1">
      <c r="G659" s="153"/>
    </row>
    <row r="660" spans="1:7" ht="15.95" customHeight="1">
      <c r="G660" s="153"/>
    </row>
    <row r="661" spans="1:7" ht="15.95" customHeight="1">
      <c r="G661" s="153"/>
    </row>
    <row r="662" spans="1:7" ht="15.95" customHeight="1">
      <c r="G662" s="153"/>
    </row>
    <row r="664" spans="1:7" ht="15.95" customHeight="1">
      <c r="A664" s="5"/>
      <c r="B664" s="5"/>
      <c r="G664" s="19"/>
    </row>
    <row r="665" spans="1:7" ht="15.95" customHeight="1">
      <c r="A665" s="5"/>
      <c r="B665" s="5"/>
      <c r="G665" s="19"/>
    </row>
    <row r="666" spans="1:7" ht="15.95" customHeight="1">
      <c r="G666" s="181"/>
    </row>
    <row r="667" spans="1:7" ht="15.95" customHeight="1">
      <c r="G667" s="181"/>
    </row>
    <row r="671" spans="1:7" ht="15.95" customHeight="1">
      <c r="G671" s="181"/>
    </row>
    <row r="672" spans="1:7" ht="15.95" customHeight="1">
      <c r="G672" s="181"/>
    </row>
    <row r="673" spans="1:7" ht="15.95" customHeight="1">
      <c r="A673" s="179"/>
    </row>
    <row r="681" spans="1:7" ht="15.95" customHeight="1">
      <c r="A681" s="5"/>
      <c r="B681" s="5"/>
      <c r="G681" s="182"/>
    </row>
    <row r="682" spans="1:7" ht="15.95" customHeight="1">
      <c r="A682" s="5"/>
      <c r="B682" s="5"/>
      <c r="G682" s="182"/>
    </row>
    <row r="683" spans="1:7" ht="15.95" customHeight="1">
      <c r="A683" s="5"/>
      <c r="B683" s="5"/>
      <c r="G683" s="182"/>
    </row>
    <row r="684" spans="1:7" ht="15.95" customHeight="1">
      <c r="A684" s="5"/>
      <c r="B684" s="5"/>
      <c r="G684" s="182"/>
    </row>
    <row r="685" spans="1:7" ht="15.95" customHeight="1">
      <c r="A685" s="5"/>
      <c r="B685" s="5"/>
      <c r="G685" s="182"/>
    </row>
    <row r="686" spans="1:7" ht="15.95" customHeight="1">
      <c r="A686" s="5"/>
      <c r="B686" s="5"/>
      <c r="G686" s="182"/>
    </row>
    <row r="687" spans="1:7" ht="15.95" customHeight="1">
      <c r="A687" s="5"/>
      <c r="B687" s="5"/>
      <c r="G687" s="182"/>
    </row>
    <row r="688" spans="1:7" ht="15.95" customHeight="1">
      <c r="A688" s="5"/>
      <c r="B688" s="5"/>
      <c r="G688" s="182"/>
    </row>
    <row r="689" spans="1:7" ht="15.95" customHeight="1">
      <c r="A689" s="5"/>
      <c r="B689" s="5"/>
      <c r="G689" s="182"/>
    </row>
    <row r="690" spans="1:7" ht="15.95" customHeight="1">
      <c r="A690" s="5"/>
      <c r="B690" s="5"/>
      <c r="G690" s="182"/>
    </row>
    <row r="691" spans="1:7" ht="15.95" customHeight="1">
      <c r="A691" s="5"/>
      <c r="B691" s="5"/>
      <c r="G691" s="182"/>
    </row>
    <row r="692" spans="1:7" ht="15.95" customHeight="1">
      <c r="A692" s="5"/>
      <c r="B692" s="5"/>
      <c r="G692" s="182"/>
    </row>
    <row r="694" spans="1:7" ht="15.95" customHeight="1">
      <c r="C694" s="193"/>
      <c r="D694" s="19"/>
      <c r="E694" s="19"/>
      <c r="F694" s="19"/>
    </row>
    <row r="699" spans="1:7" ht="15.95" customHeight="1">
      <c r="B699" s="16"/>
    </row>
    <row r="700" spans="1:7" ht="15.95" customHeight="1">
      <c r="A700" s="5"/>
      <c r="B700" s="5"/>
    </row>
    <row r="701" spans="1:7" ht="15.95" customHeight="1">
      <c r="A701" s="5"/>
      <c r="B701" s="5"/>
    </row>
    <row r="702" spans="1:7" ht="15.95" customHeight="1">
      <c r="A702" s="5"/>
      <c r="B702" s="5"/>
    </row>
    <row r="703" spans="1:7" ht="15.95" customHeight="1">
      <c r="A703" s="5"/>
      <c r="B703" s="5"/>
    </row>
    <row r="704" spans="1:7" ht="15.95" customHeight="1">
      <c r="A704" s="5"/>
      <c r="B704" s="5"/>
    </row>
    <row r="705" spans="1:7" ht="15.95" customHeight="1">
      <c r="A705" s="5"/>
      <c r="B705" s="5"/>
    </row>
    <row r="706" spans="1:7" ht="15.95" customHeight="1">
      <c r="A706" s="5"/>
      <c r="B706" s="5"/>
    </row>
    <row r="709" spans="1:7" ht="15.95" customHeight="1">
      <c r="A709" s="5"/>
      <c r="B709" s="5"/>
    </row>
    <row r="710" spans="1:7" ht="15.95" customHeight="1">
      <c r="A710" s="5"/>
      <c r="B710" s="5"/>
    </row>
    <row r="713" spans="1:7" ht="15.95" customHeight="1">
      <c r="G713" s="181"/>
    </row>
    <row r="714" spans="1:7" ht="15.95" customHeight="1">
      <c r="G714" s="181"/>
    </row>
    <row r="715" spans="1:7" ht="15.95" customHeight="1">
      <c r="G715" s="181"/>
    </row>
    <row r="717" spans="1:7" ht="15.95" customHeight="1">
      <c r="G717" s="181"/>
    </row>
    <row r="718" spans="1:7" ht="15.95" customHeight="1">
      <c r="A718" s="5"/>
      <c r="B718" s="5"/>
      <c r="G718" s="181"/>
    </row>
    <row r="719" spans="1:7" ht="15.95" customHeight="1">
      <c r="A719" s="5"/>
      <c r="B719" s="5"/>
      <c r="G719" s="181"/>
    </row>
    <row r="720" spans="1:7" ht="15.95" customHeight="1">
      <c r="A720" s="5"/>
      <c r="B720" s="5"/>
      <c r="G720" s="181"/>
    </row>
    <row r="721" spans="1:7" ht="15.95" customHeight="1">
      <c r="A721" s="5"/>
      <c r="B721" s="5"/>
      <c r="G721" s="181"/>
    </row>
    <row r="722" spans="1:7" ht="15.95" customHeight="1">
      <c r="G722" s="181"/>
    </row>
    <row r="723" spans="1:7" ht="15.95" customHeight="1">
      <c r="A723" s="5"/>
      <c r="B723" s="5"/>
    </row>
    <row r="724" spans="1:7" ht="15.95" customHeight="1">
      <c r="A724" s="5"/>
      <c r="B724" s="5"/>
    </row>
    <row r="725" spans="1:7" ht="15.95" customHeight="1">
      <c r="A725" s="5"/>
      <c r="B725" s="5"/>
    </row>
    <row r="726" spans="1:7" ht="15.95" customHeight="1">
      <c r="A726" s="5"/>
      <c r="B726" s="5"/>
    </row>
    <row r="729" spans="1:7" ht="15.95" customHeight="1">
      <c r="F729" s="213"/>
    </row>
    <row r="734" spans="1:7" ht="15.95" customHeight="1">
      <c r="A734" s="5"/>
      <c r="B734" s="5"/>
    </row>
    <row r="735" spans="1:7" ht="15.95" customHeight="1">
      <c r="A735" s="5"/>
      <c r="B735" s="5"/>
    </row>
    <row r="740" spans="1:7" ht="15.95" customHeight="1">
      <c r="A740" s="5"/>
      <c r="B740" s="5"/>
      <c r="G740" s="182"/>
    </row>
    <row r="741" spans="1:7" ht="15.95" customHeight="1">
      <c r="A741" s="5"/>
      <c r="B741" s="5"/>
      <c r="G741" s="182"/>
    </row>
    <row r="742" spans="1:7" ht="15.95" customHeight="1">
      <c r="A742" s="5"/>
      <c r="B742" s="5"/>
    </row>
    <row r="743" spans="1:7" ht="15.95" customHeight="1">
      <c r="A743" s="19"/>
      <c r="B743" s="19"/>
      <c r="C743" s="193"/>
      <c r="D743" s="19"/>
      <c r="E743" s="19"/>
      <c r="F743" s="19"/>
    </row>
    <row r="744" spans="1:7" ht="15.95" customHeight="1">
      <c r="A744" s="5"/>
      <c r="B744" s="5"/>
    </row>
    <row r="745" spans="1:7" ht="15.95" customHeight="1">
      <c r="A745" s="5"/>
      <c r="B745" s="5"/>
    </row>
    <row r="746" spans="1:7" ht="15.95" customHeight="1">
      <c r="A746" s="5"/>
      <c r="B746" s="5"/>
    </row>
    <row r="747" spans="1:7" ht="15.95" customHeight="1">
      <c r="A747" s="5"/>
      <c r="B747" s="5"/>
    </row>
    <row r="748" spans="1:7" ht="15.95" customHeight="1">
      <c r="A748" s="5"/>
      <c r="B748" s="5"/>
    </row>
    <row r="749" spans="1:7" ht="15.95" customHeight="1">
      <c r="A749" s="5"/>
      <c r="B749" s="5"/>
    </row>
    <row r="753" spans="1:7" ht="15.95" customHeight="1">
      <c r="A753" s="5"/>
      <c r="B753" s="5"/>
    </row>
    <row r="754" spans="1:7" ht="15.95" customHeight="1">
      <c r="A754" s="5"/>
      <c r="B754" s="5"/>
    </row>
    <row r="755" spans="1:7" ht="15.95" customHeight="1">
      <c r="A755" s="5"/>
      <c r="B755" s="5"/>
    </row>
    <row r="756" spans="1:7" ht="15.95" customHeight="1">
      <c r="A756" s="5"/>
      <c r="B756" s="5"/>
    </row>
    <row r="757" spans="1:7" ht="15.95" customHeight="1">
      <c r="A757" s="5"/>
      <c r="B757" s="5"/>
    </row>
    <row r="758" spans="1:7" ht="15.95" customHeight="1">
      <c r="A758" s="5"/>
      <c r="B758" s="5"/>
    </row>
    <row r="759" spans="1:7" ht="15.95" customHeight="1">
      <c r="A759" s="5"/>
      <c r="B759" s="5"/>
      <c r="G759" s="182"/>
    </row>
    <row r="760" spans="1:7" ht="15.95" customHeight="1">
      <c r="A760" s="5"/>
      <c r="B760" s="5"/>
      <c r="G760" s="182"/>
    </row>
    <row r="761" spans="1:7" ht="15.95" customHeight="1">
      <c r="G761" s="182"/>
    </row>
    <row r="763" spans="1:7" ht="15.95" customHeight="1">
      <c r="C763" s="193"/>
      <c r="D763" s="19"/>
      <c r="E763" s="19"/>
      <c r="F763" s="19"/>
    </row>
    <row r="765" spans="1:7" ht="15.95" customHeight="1">
      <c r="A765" s="5"/>
      <c r="B765" s="5"/>
    </row>
    <row r="766" spans="1:7" ht="15.95" customHeight="1">
      <c r="A766" s="5"/>
      <c r="B766" s="5"/>
    </row>
    <row r="769" spans="1:7" ht="15.95" customHeight="1">
      <c r="B769" s="16"/>
    </row>
    <row r="771" spans="1:7" ht="15.95" customHeight="1">
      <c r="A771" s="5"/>
      <c r="B771" s="5"/>
    </row>
    <row r="772" spans="1:7" ht="15.95" customHeight="1">
      <c r="A772" s="5"/>
      <c r="B772" s="5"/>
    </row>
    <row r="773" spans="1:7" ht="15.95" customHeight="1">
      <c r="A773" s="5"/>
      <c r="B773" s="5"/>
    </row>
    <row r="776" spans="1:7" ht="15.95" customHeight="1">
      <c r="A776" s="5"/>
      <c r="B776" s="5"/>
    </row>
    <row r="777" spans="1:7" ht="15.95" customHeight="1">
      <c r="A777" s="5"/>
      <c r="B777" s="5"/>
    </row>
    <row r="778" spans="1:7" ht="15.95" customHeight="1">
      <c r="A778" s="5"/>
      <c r="B778" s="5"/>
    </row>
    <row r="780" spans="1:7" ht="15.95" customHeight="1">
      <c r="G780" s="173"/>
    </row>
    <row r="781" spans="1:7" ht="15.95" customHeight="1">
      <c r="G781" s="173"/>
    </row>
    <row r="782" spans="1:7" ht="15.95" customHeight="1">
      <c r="G782" s="173"/>
    </row>
    <row r="783" spans="1:7" ht="15.95" customHeight="1">
      <c r="G783" s="173"/>
    </row>
    <row r="784" spans="1:7" ht="15.95" customHeight="1">
      <c r="G784" s="173"/>
    </row>
    <row r="785" spans="1:7" ht="15.95" customHeight="1">
      <c r="G785" s="189"/>
    </row>
    <row r="786" spans="1:7" ht="15.95" customHeight="1">
      <c r="G786" s="173"/>
    </row>
    <row r="787" spans="1:7" ht="15.95" customHeight="1">
      <c r="G787" s="154"/>
    </row>
    <row r="788" spans="1:7" ht="15.95" customHeight="1">
      <c r="G788" s="154"/>
    </row>
    <row r="789" spans="1:7" ht="15.95" customHeight="1">
      <c r="G789" s="154"/>
    </row>
    <row r="790" spans="1:7" ht="15.95" customHeight="1">
      <c r="G790" s="154"/>
    </row>
    <row r="791" spans="1:7" ht="15.95" customHeight="1">
      <c r="G791" s="154"/>
    </row>
    <row r="792" spans="1:7" ht="15.95" customHeight="1">
      <c r="G792" s="173"/>
    </row>
    <row r="793" spans="1:7" ht="15.95" customHeight="1">
      <c r="G793" s="154"/>
    </row>
    <row r="794" spans="1:7" ht="15.95" customHeight="1">
      <c r="G794" s="154"/>
    </row>
    <row r="795" spans="1:7" ht="15.95" customHeight="1">
      <c r="G795" s="173"/>
    </row>
    <row r="796" spans="1:7" ht="15.95" customHeight="1">
      <c r="G796" s="154"/>
    </row>
    <row r="797" spans="1:7" ht="15.95" customHeight="1">
      <c r="A797" s="182"/>
      <c r="G797" s="182"/>
    </row>
    <row r="798" spans="1:7" ht="15.95" customHeight="1">
      <c r="A798" s="182"/>
      <c r="G798" s="182"/>
    </row>
    <row r="805" spans="1:2" ht="15.95" customHeight="1">
      <c r="A805" s="5"/>
      <c r="B805" s="5"/>
    </row>
    <row r="806" spans="1:2" ht="15.95" customHeight="1">
      <c r="A806" s="5"/>
      <c r="B806" s="5"/>
    </row>
    <row r="807" spans="1:2" ht="15.95" customHeight="1">
      <c r="A807" s="5"/>
      <c r="B807" s="5"/>
    </row>
    <row r="808" spans="1:2" ht="15.95" customHeight="1">
      <c r="A808" s="5"/>
      <c r="B808" s="5"/>
    </row>
    <row r="811" spans="1:2" ht="15.95" customHeight="1">
      <c r="A811" s="5"/>
      <c r="B811" s="5"/>
    </row>
    <row r="812" spans="1:2" ht="15.95" customHeight="1">
      <c r="A812" s="5"/>
      <c r="B812" s="5"/>
    </row>
    <row r="813" spans="1:2" ht="15.95" customHeight="1">
      <c r="A813" s="5"/>
      <c r="B813" s="5"/>
    </row>
    <row r="823" spans="1:7" ht="15.95" customHeight="1">
      <c r="G823" s="181"/>
    </row>
    <row r="824" spans="1:7" ht="15.95" customHeight="1">
      <c r="A824" s="19"/>
      <c r="B824" s="19"/>
      <c r="C824" s="193"/>
      <c r="D824" s="19"/>
      <c r="E824" s="19"/>
      <c r="F824" s="19"/>
      <c r="G824" s="181"/>
    </row>
    <row r="825" spans="1:7" ht="15.95" customHeight="1">
      <c r="A825" s="19"/>
      <c r="B825" s="19"/>
      <c r="C825" s="193"/>
      <c r="D825" s="19"/>
      <c r="E825" s="19"/>
      <c r="F825" s="19"/>
      <c r="G825" s="181"/>
    </row>
    <row r="826" spans="1:7" ht="15.95" customHeight="1">
      <c r="A826" s="19"/>
      <c r="B826" s="19"/>
      <c r="C826" s="193"/>
      <c r="D826" s="19"/>
      <c r="E826" s="19"/>
      <c r="F826" s="19"/>
      <c r="G826" s="181"/>
    </row>
    <row r="827" spans="1:7" ht="15.95" customHeight="1">
      <c r="A827" s="19"/>
      <c r="B827" s="19"/>
      <c r="C827" s="193"/>
      <c r="D827" s="19"/>
      <c r="E827" s="19"/>
      <c r="F827" s="19"/>
      <c r="G827" s="181"/>
    </row>
    <row r="828" spans="1:7" ht="15.95" customHeight="1">
      <c r="A828" s="19"/>
      <c r="B828" s="19"/>
      <c r="C828" s="193"/>
      <c r="D828" s="19"/>
      <c r="E828" s="19"/>
      <c r="F828" s="19"/>
      <c r="G828" s="181"/>
    </row>
    <row r="829" spans="1:7" ht="15.95" customHeight="1">
      <c r="A829" s="19"/>
      <c r="B829" s="19"/>
      <c r="C829" s="193"/>
      <c r="D829" s="19"/>
      <c r="E829" s="19"/>
      <c r="F829" s="19"/>
      <c r="G829" s="181"/>
    </row>
    <row r="831" spans="1:7" ht="15.95" customHeight="1">
      <c r="E831" s="19"/>
      <c r="F831" s="19"/>
      <c r="G831" s="19"/>
    </row>
    <row r="832" spans="1:7" ht="15.95" customHeight="1">
      <c r="A832" s="5"/>
      <c r="B832" s="5"/>
    </row>
    <row r="833" spans="1:3" ht="15.95" customHeight="1">
      <c r="A833" s="5"/>
      <c r="B833" s="5"/>
    </row>
    <row r="834" spans="1:3" ht="15.95" customHeight="1">
      <c r="A834" s="5"/>
      <c r="B834" s="5"/>
    </row>
    <row r="835" spans="1:3" ht="15.95" customHeight="1">
      <c r="A835" s="5"/>
      <c r="B835" s="5"/>
    </row>
    <row r="836" spans="1:3" ht="15.95" customHeight="1">
      <c r="A836" s="5"/>
      <c r="B836" s="5"/>
    </row>
    <row r="838" spans="1:3" ht="15.95" customHeight="1">
      <c r="C838" s="16"/>
    </row>
    <row r="860" spans="1:2" ht="15.95" customHeight="1">
      <c r="A860" s="5"/>
      <c r="B860" s="5"/>
    </row>
    <row r="861" spans="1:2" ht="15.95" customHeight="1">
      <c r="A861" s="5"/>
      <c r="B861" s="5"/>
    </row>
    <row r="862" spans="1:2" ht="15.95" customHeight="1">
      <c r="A862" s="5"/>
      <c r="B862" s="5"/>
    </row>
    <row r="863" spans="1:2" ht="15.95" customHeight="1">
      <c r="A863" s="5"/>
      <c r="B863" s="5"/>
    </row>
    <row r="864" spans="1:2" ht="15.95" customHeight="1">
      <c r="A864" s="5"/>
      <c r="B864" s="5"/>
    </row>
    <row r="865" spans="1:7" ht="15.95" customHeight="1">
      <c r="A865" s="5"/>
      <c r="B865" s="5"/>
    </row>
    <row r="866" spans="1:7" ht="15.95" customHeight="1">
      <c r="A866" s="5"/>
      <c r="B866" s="5"/>
    </row>
    <row r="867" spans="1:7" ht="15.95" customHeight="1">
      <c r="A867" s="5"/>
      <c r="B867" s="5"/>
    </row>
    <row r="868" spans="1:7" ht="15.95" customHeight="1">
      <c r="A868" s="5"/>
      <c r="B868" s="5"/>
    </row>
    <row r="869" spans="1:7" ht="15.95" customHeight="1">
      <c r="A869" s="5"/>
      <c r="B869" s="5"/>
      <c r="G869" s="182"/>
    </row>
    <row r="870" spans="1:7" ht="15.95" customHeight="1">
      <c r="A870" s="5"/>
      <c r="B870" s="5"/>
    </row>
    <row r="871" spans="1:7" ht="15.95" customHeight="1">
      <c r="A871" s="5"/>
      <c r="B871" s="5"/>
    </row>
    <row r="872" spans="1:7" ht="15.95" customHeight="1">
      <c r="A872" s="5"/>
      <c r="B872" s="5"/>
    </row>
    <row r="874" spans="1:7" ht="15.95" customHeight="1">
      <c r="A874" s="5"/>
      <c r="B874" s="5"/>
    </row>
    <row r="875" spans="1:7" ht="15.95" customHeight="1">
      <c r="A875" s="5"/>
      <c r="B875" s="5"/>
    </row>
    <row r="876" spans="1:7" ht="15.95" customHeight="1">
      <c r="A876" s="5"/>
      <c r="B876" s="5"/>
    </row>
    <row r="877" spans="1:7" ht="15.95" customHeight="1">
      <c r="A877" s="5"/>
      <c r="B877" s="5"/>
    </row>
    <row r="878" spans="1:7" ht="15.95" customHeight="1">
      <c r="A878" s="5"/>
      <c r="B878" s="5"/>
    </row>
    <row r="879" spans="1:7" ht="15.95" customHeight="1">
      <c r="A879" s="5"/>
      <c r="B879" s="5"/>
    </row>
    <row r="880" spans="1:7" ht="15.95" customHeight="1">
      <c r="A880" s="5"/>
      <c r="B880" s="5"/>
    </row>
    <row r="881" spans="1:7" ht="15.95" customHeight="1">
      <c r="A881" s="5"/>
      <c r="B881" s="5"/>
    </row>
    <row r="882" spans="1:7" ht="15.95" customHeight="1">
      <c r="A882" s="5"/>
      <c r="B882" s="5"/>
    </row>
    <row r="883" spans="1:7" ht="15.95" customHeight="1">
      <c r="A883" s="5"/>
      <c r="B883" s="5"/>
    </row>
    <row r="884" spans="1:7" ht="15.95" customHeight="1">
      <c r="A884" s="5"/>
      <c r="B884" s="5"/>
    </row>
    <row r="885" spans="1:7" ht="15.95" customHeight="1">
      <c r="A885" s="5"/>
      <c r="B885" s="5"/>
    </row>
    <row r="886" spans="1:7" ht="15.95" customHeight="1">
      <c r="A886" s="5"/>
      <c r="B886" s="5"/>
      <c r="G886" s="186"/>
    </row>
    <row r="887" spans="1:7" ht="15.95" customHeight="1">
      <c r="A887" s="5"/>
      <c r="B887" s="5"/>
    </row>
    <row r="888" spans="1:7" ht="15.95" customHeight="1">
      <c r="A888" s="5"/>
      <c r="B888" s="5"/>
    </row>
    <row r="889" spans="1:7" ht="15.95" customHeight="1">
      <c r="A889" s="5"/>
      <c r="B889" s="5"/>
    </row>
    <row r="890" spans="1:7" ht="15.95" customHeight="1">
      <c r="A890" s="5"/>
      <c r="B890" s="5"/>
    </row>
    <row r="891" spans="1:7" ht="15.95" customHeight="1">
      <c r="A891" s="5"/>
      <c r="B891" s="5"/>
    </row>
    <row r="892" spans="1:7" ht="15.95" customHeight="1">
      <c r="A892" s="5"/>
      <c r="B892" s="5"/>
    </row>
    <row r="894" spans="1:7" ht="15.95" customHeight="1">
      <c r="A894" s="5"/>
      <c r="B894" s="5"/>
      <c r="G894" s="179"/>
    </row>
    <row r="895" spans="1:7" ht="15.95" customHeight="1">
      <c r="A895" s="5"/>
      <c r="B895" s="5"/>
    </row>
    <row r="896" spans="1:7" ht="15.95" customHeight="1">
      <c r="A896" s="5"/>
      <c r="B896" s="5"/>
      <c r="G896" s="182"/>
    </row>
    <row r="897" spans="1:7" ht="15.95" customHeight="1">
      <c r="A897" s="5"/>
      <c r="B897" s="5"/>
    </row>
    <row r="898" spans="1:7" ht="15.95" customHeight="1">
      <c r="A898" s="5"/>
      <c r="B898" s="5"/>
    </row>
    <row r="899" spans="1:7" ht="15.95" customHeight="1">
      <c r="A899" s="5"/>
      <c r="B899" s="5"/>
      <c r="G899" s="154"/>
    </row>
    <row r="900" spans="1:7" ht="15.95" customHeight="1">
      <c r="A900" s="5"/>
      <c r="B900" s="5"/>
      <c r="G900" s="152"/>
    </row>
    <row r="911" spans="1:7" ht="15.95" customHeight="1">
      <c r="G911" s="181"/>
    </row>
    <row r="915" spans="1:6" ht="15.95" customHeight="1">
      <c r="E915" s="19"/>
    </row>
    <row r="919" spans="1:6" ht="15.95" customHeight="1">
      <c r="F919" s="1341"/>
    </row>
    <row r="920" spans="1:6" ht="15.95" customHeight="1">
      <c r="A920" s="5"/>
      <c r="B920" s="5"/>
    </row>
    <row r="921" spans="1:6" ht="15.95" customHeight="1">
      <c r="A921" s="5"/>
      <c r="B921" s="5"/>
    </row>
    <row r="922" spans="1:6" ht="15.95" customHeight="1">
      <c r="A922" s="5"/>
      <c r="B922" s="5"/>
    </row>
    <row r="923" spans="1:6" ht="15.95" customHeight="1">
      <c r="A923" s="5"/>
      <c r="B923" s="5"/>
    </row>
    <row r="924" spans="1:6" ht="15.95" customHeight="1">
      <c r="A924" s="5"/>
      <c r="B924" s="5"/>
    </row>
    <row r="925" spans="1:6" ht="15.95" customHeight="1">
      <c r="A925" s="5"/>
      <c r="B925" s="5"/>
    </row>
    <row r="926" spans="1:6" ht="15.95" customHeight="1">
      <c r="A926" s="5"/>
      <c r="B926" s="5"/>
    </row>
    <row r="927" spans="1:6" ht="15.95" customHeight="1">
      <c r="A927" s="5"/>
      <c r="B927" s="5"/>
    </row>
    <row r="928" spans="1:6" ht="15.95" customHeight="1">
      <c r="A928" s="5"/>
      <c r="B928" s="5"/>
    </row>
    <row r="929" spans="1:7" ht="15.95" customHeight="1">
      <c r="A929" s="5"/>
      <c r="B929" s="5"/>
    </row>
    <row r="930" spans="1:7" ht="15.95" customHeight="1">
      <c r="A930" s="5"/>
      <c r="B930" s="5"/>
    </row>
    <row r="931" spans="1:7" ht="15.95" customHeight="1">
      <c r="A931" s="5"/>
      <c r="B931" s="5"/>
    </row>
    <row r="932" spans="1:7" ht="15.95" customHeight="1">
      <c r="A932" s="5"/>
      <c r="B932" s="5"/>
    </row>
    <row r="933" spans="1:7" ht="15.95" customHeight="1">
      <c r="A933" s="5"/>
      <c r="B933" s="5"/>
    </row>
    <row r="934" spans="1:7" ht="15.95" customHeight="1">
      <c r="A934" s="5"/>
      <c r="B934" s="5"/>
    </row>
    <row r="935" spans="1:7" ht="15.95" customHeight="1">
      <c r="A935" s="5"/>
      <c r="B935" s="5"/>
    </row>
    <row r="936" spans="1:7" ht="15.95" customHeight="1">
      <c r="A936" s="5"/>
      <c r="B936" s="5"/>
    </row>
    <row r="937" spans="1:7" ht="15.95" customHeight="1">
      <c r="A937" s="5"/>
      <c r="B937" s="5"/>
    </row>
    <row r="938" spans="1:7" ht="15.95" customHeight="1">
      <c r="A938" s="5"/>
      <c r="B938" s="5"/>
      <c r="G938" s="182"/>
    </row>
    <row r="939" spans="1:7" ht="15.95" customHeight="1">
      <c r="A939" s="5"/>
      <c r="B939" s="5"/>
    </row>
    <row r="940" spans="1:7" ht="15.95" customHeight="1">
      <c r="A940" s="5"/>
      <c r="B940" s="5"/>
    </row>
    <row r="941" spans="1:7" ht="15.95" customHeight="1">
      <c r="A941" s="5"/>
      <c r="B941" s="5"/>
    </row>
    <row r="942" spans="1:7" ht="15.95" customHeight="1">
      <c r="A942" s="5"/>
      <c r="B942" s="5"/>
    </row>
    <row r="943" spans="1:7" ht="15.95" customHeight="1">
      <c r="A943" s="5"/>
      <c r="B943" s="5"/>
    </row>
    <row r="944" spans="1:7" ht="15.95" customHeight="1">
      <c r="A944" s="5"/>
      <c r="B944" s="5"/>
    </row>
    <row r="945" spans="1:7" ht="15.95" customHeight="1">
      <c r="A945" s="5"/>
      <c r="B945" s="5"/>
    </row>
    <row r="946" spans="1:7" ht="15.95" customHeight="1">
      <c r="A946" s="5"/>
      <c r="B946" s="5"/>
    </row>
    <row r="947" spans="1:7" ht="15.95" customHeight="1">
      <c r="A947" s="5"/>
      <c r="B947" s="5"/>
      <c r="G947" s="1341"/>
    </row>
    <row r="948" spans="1:7" ht="15.95" customHeight="1">
      <c r="A948" s="5"/>
      <c r="B948" s="5"/>
    </row>
    <row r="949" spans="1:7" ht="15.95" customHeight="1">
      <c r="A949" s="5"/>
      <c r="B949" s="5"/>
    </row>
    <row r="950" spans="1:7" ht="15.95" customHeight="1">
      <c r="A950" s="5"/>
      <c r="B950" s="5"/>
    </row>
    <row r="951" spans="1:7" ht="15.95" customHeight="1">
      <c r="A951" s="5"/>
      <c r="B951" s="5"/>
    </row>
    <row r="952" spans="1:7" ht="15.95" customHeight="1">
      <c r="A952" s="5"/>
      <c r="B952" s="5"/>
    </row>
    <row r="953" spans="1:7" ht="15.95" customHeight="1">
      <c r="A953" s="5"/>
      <c r="B953" s="5"/>
    </row>
    <row r="954" spans="1:7" ht="15.95" customHeight="1">
      <c r="A954" s="5"/>
      <c r="B954" s="5"/>
    </row>
    <row r="955" spans="1:7" ht="15.95" customHeight="1">
      <c r="A955" s="5"/>
      <c r="B955" s="5"/>
    </row>
    <row r="956" spans="1:7" ht="15.95" customHeight="1">
      <c r="A956" s="5"/>
      <c r="B956" s="5"/>
    </row>
    <row r="957" spans="1:7" ht="15.95" customHeight="1">
      <c r="A957" s="5"/>
      <c r="B957" s="5"/>
    </row>
    <row r="958" spans="1:7" ht="15.95" customHeight="1">
      <c r="A958" s="5"/>
      <c r="B958" s="5"/>
    </row>
    <row r="959" spans="1:7" ht="15.95" customHeight="1">
      <c r="A959" s="5"/>
      <c r="B959" s="5"/>
    </row>
    <row r="960" spans="1:7" ht="15.95" customHeight="1">
      <c r="A960" s="5"/>
      <c r="B960" s="5"/>
      <c r="G960" s="182"/>
    </row>
    <row r="961" spans="1:7" ht="15.95" customHeight="1">
      <c r="A961" s="5"/>
      <c r="B961" s="5"/>
    </row>
    <row r="962" spans="1:7" ht="15.95" customHeight="1">
      <c r="A962" s="5"/>
      <c r="B962" s="5"/>
    </row>
    <row r="963" spans="1:7" ht="15.95" customHeight="1">
      <c r="A963" s="5"/>
      <c r="B963" s="5"/>
    </row>
    <row r="964" spans="1:7" ht="15.95" customHeight="1">
      <c r="A964" s="5"/>
      <c r="B964" s="5"/>
    </row>
    <row r="965" spans="1:7" ht="15.95" customHeight="1">
      <c r="A965" s="5"/>
      <c r="B965" s="5"/>
    </row>
    <row r="966" spans="1:7" ht="15.95" customHeight="1">
      <c r="A966" s="5"/>
      <c r="B966" s="5"/>
    </row>
    <row r="967" spans="1:7" ht="15.95" customHeight="1">
      <c r="A967" s="5"/>
      <c r="B967" s="5"/>
    </row>
    <row r="968" spans="1:7" ht="15.95" customHeight="1">
      <c r="A968" s="5"/>
      <c r="B968" s="5"/>
    </row>
    <row r="969" spans="1:7" ht="15.95" customHeight="1">
      <c r="A969" s="5"/>
      <c r="B969" s="5"/>
    </row>
    <row r="970" spans="1:7" ht="15.95" customHeight="1">
      <c r="A970" s="5"/>
      <c r="B970" s="215"/>
      <c r="D970" s="215"/>
      <c r="G970" s="182"/>
    </row>
    <row r="971" spans="1:7" ht="15.95" customHeight="1">
      <c r="A971" s="5"/>
      <c r="B971" s="5"/>
      <c r="G971" s="182"/>
    </row>
    <row r="972" spans="1:7" ht="15.95" customHeight="1">
      <c r="A972" s="5"/>
      <c r="B972" s="5"/>
      <c r="G972" s="182"/>
    </row>
    <row r="973" spans="1:7" ht="15.95" customHeight="1">
      <c r="A973" s="5"/>
      <c r="B973" s="5"/>
      <c r="G973" s="182"/>
    </row>
    <row r="974" spans="1:7" ht="15.95" customHeight="1">
      <c r="A974" s="5"/>
      <c r="B974" s="5"/>
      <c r="G974" s="182"/>
    </row>
    <row r="975" spans="1:7" ht="15.95" customHeight="1">
      <c r="A975" s="5"/>
      <c r="B975" s="5"/>
      <c r="G975" s="182"/>
    </row>
    <row r="976" spans="1:7" ht="15.95" customHeight="1">
      <c r="A976" s="5"/>
      <c r="B976" s="5"/>
      <c r="G976" s="182"/>
    </row>
    <row r="977" spans="1:7" ht="15.95" customHeight="1">
      <c r="A977" s="5"/>
      <c r="B977" s="5"/>
      <c r="G977" s="182"/>
    </row>
    <row r="978" spans="1:7" ht="15.95" customHeight="1">
      <c r="A978" s="5"/>
      <c r="B978" s="5"/>
      <c r="G978" s="182"/>
    </row>
    <row r="979" spans="1:7" ht="15.95" customHeight="1">
      <c r="A979" s="5"/>
      <c r="B979" s="5"/>
      <c r="G979" s="182"/>
    </row>
    <row r="980" spans="1:7" ht="15.95" customHeight="1">
      <c r="A980" s="5"/>
      <c r="B980" s="5"/>
      <c r="G980" s="182"/>
    </row>
    <row r="981" spans="1:7" ht="15.95" customHeight="1">
      <c r="A981" s="5"/>
      <c r="B981" s="5"/>
      <c r="G981" s="182"/>
    </row>
    <row r="982" spans="1:7" ht="15.95" customHeight="1">
      <c r="A982" s="5"/>
      <c r="B982" s="5"/>
      <c r="G982" s="182"/>
    </row>
    <row r="983" spans="1:7" ht="15.95" customHeight="1">
      <c r="A983" s="5"/>
      <c r="B983" s="5"/>
      <c r="G983" s="182"/>
    </row>
    <row r="984" spans="1:7" ht="15.95" customHeight="1">
      <c r="A984" s="5"/>
      <c r="B984" s="5"/>
      <c r="G984" s="182"/>
    </row>
    <row r="985" spans="1:7" ht="15.95" customHeight="1">
      <c r="A985" s="5"/>
      <c r="B985" s="5"/>
      <c r="G985" s="182"/>
    </row>
    <row r="986" spans="1:7" ht="15.95" customHeight="1">
      <c r="A986" s="5"/>
      <c r="B986" s="5"/>
      <c r="G986" s="182"/>
    </row>
    <row r="987" spans="1:7" ht="15.95" customHeight="1">
      <c r="A987" s="5"/>
      <c r="B987" s="5"/>
      <c r="G987" s="182"/>
    </row>
    <row r="988" spans="1:7" ht="15.95" customHeight="1">
      <c r="A988" s="5"/>
      <c r="B988" s="5"/>
      <c r="G988" s="182"/>
    </row>
    <row r="989" spans="1:7" ht="15.95" customHeight="1">
      <c r="A989" s="5"/>
      <c r="B989" s="5"/>
      <c r="G989" s="182"/>
    </row>
    <row r="990" spans="1:7" ht="15.95" customHeight="1">
      <c r="A990" s="5"/>
      <c r="B990" s="5"/>
    </row>
    <row r="991" spans="1:7" ht="15.95" customHeight="1">
      <c r="A991" s="5"/>
      <c r="B991" s="5"/>
      <c r="G991" s="182"/>
    </row>
    <row r="992" spans="1:7" ht="15.95" customHeight="1">
      <c r="A992" s="5"/>
      <c r="B992" s="5"/>
      <c r="G992" s="182"/>
    </row>
    <row r="993" spans="1:7" ht="15.95" customHeight="1">
      <c r="A993" s="5"/>
      <c r="B993" s="5"/>
      <c r="G993" s="182"/>
    </row>
    <row r="994" spans="1:7" ht="15.95" customHeight="1">
      <c r="A994" s="5"/>
      <c r="B994" s="5"/>
    </row>
    <row r="995" spans="1:7" ht="15.95" customHeight="1">
      <c r="A995" s="5"/>
      <c r="B995" s="5"/>
    </row>
    <row r="996" spans="1:7" ht="15.95" customHeight="1">
      <c r="A996" s="5"/>
      <c r="B996" s="5"/>
    </row>
    <row r="997" spans="1:7" ht="15.95" customHeight="1">
      <c r="A997" s="5"/>
      <c r="B997" s="5"/>
    </row>
    <row r="998" spans="1:7" ht="15.95" customHeight="1">
      <c r="A998" s="5"/>
      <c r="B998" s="5"/>
    </row>
    <row r="999" spans="1:7" ht="15.95" customHeight="1">
      <c r="A999" s="5"/>
      <c r="B999" s="5"/>
    </row>
    <row r="1000" spans="1:7" ht="15.95" customHeight="1">
      <c r="A1000" s="5"/>
      <c r="B1000" s="5"/>
    </row>
    <row r="1001" spans="1:7" ht="15.95" customHeight="1">
      <c r="A1001" s="5"/>
      <c r="B1001" s="5"/>
    </row>
    <row r="1002" spans="1:7" ht="15.95" customHeight="1">
      <c r="A1002" s="5"/>
      <c r="B1002" s="5"/>
      <c r="G1002" s="182"/>
    </row>
    <row r="1003" spans="1:7" ht="15.95" customHeight="1">
      <c r="A1003" s="5"/>
      <c r="B1003" s="5"/>
      <c r="G1003" s="182"/>
    </row>
    <row r="1004" spans="1:7" ht="15.95" customHeight="1">
      <c r="A1004" s="5"/>
      <c r="B1004" s="5"/>
      <c r="G1004" s="182"/>
    </row>
    <row r="1005" spans="1:7" ht="15.95" customHeight="1">
      <c r="A1005" s="5"/>
      <c r="B1005" s="5"/>
      <c r="G1005" s="186"/>
    </row>
    <row r="1006" spans="1:7" ht="15.95" customHeight="1">
      <c r="A1006" s="5"/>
      <c r="B1006" s="5"/>
      <c r="G1006" s="182"/>
    </row>
    <row r="1007" spans="1:7" ht="15.95" customHeight="1">
      <c r="A1007" s="5"/>
      <c r="B1007" s="5"/>
      <c r="G1007" s="182"/>
    </row>
    <row r="1008" spans="1:7" ht="15.95" customHeight="1">
      <c r="A1008" s="5"/>
      <c r="B1008" s="5"/>
    </row>
    <row r="1009" spans="1:7" ht="15.95" customHeight="1">
      <c r="A1009" s="5"/>
      <c r="B1009" s="5"/>
      <c r="G1009" s="182"/>
    </row>
    <row r="1010" spans="1:7" ht="15.95" customHeight="1">
      <c r="A1010" s="5"/>
      <c r="B1010" s="19"/>
      <c r="C1010" s="193"/>
      <c r="D1010" s="19"/>
      <c r="F1010" s="19"/>
      <c r="G1010" s="19"/>
    </row>
    <row r="1011" spans="1:7" ht="15.95" customHeight="1">
      <c r="A1011" s="5"/>
      <c r="B1011" s="19"/>
      <c r="C1011" s="193"/>
      <c r="D1011" s="19"/>
      <c r="F1011" s="19"/>
      <c r="G1011" s="19"/>
    </row>
    <row r="1012" spans="1:7" ht="15.95" customHeight="1">
      <c r="A1012" s="5"/>
      <c r="B1012" s="19"/>
      <c r="C1012" s="193"/>
      <c r="D1012" s="19"/>
      <c r="F1012" s="19"/>
      <c r="G1012" s="19"/>
    </row>
    <row r="1013" spans="1:7" ht="15.95" customHeight="1">
      <c r="A1013" s="5"/>
      <c r="B1013" s="19"/>
      <c r="C1013" s="193"/>
      <c r="D1013" s="19"/>
      <c r="F1013" s="19"/>
      <c r="G1013" s="19"/>
    </row>
    <row r="1014" spans="1:7" ht="15.95" customHeight="1">
      <c r="A1014" s="5"/>
      <c r="B1014" s="19"/>
      <c r="C1014" s="193"/>
      <c r="D1014" s="19"/>
      <c r="F1014" s="19"/>
      <c r="G1014" s="19"/>
    </row>
    <row r="1015" spans="1:7" ht="15.95" customHeight="1">
      <c r="A1015" s="5"/>
      <c r="B1015" s="19"/>
      <c r="C1015" s="193"/>
      <c r="D1015" s="19"/>
      <c r="F1015" s="19"/>
      <c r="G1015" s="19"/>
    </row>
    <row r="1016" spans="1:7" ht="15.95" customHeight="1">
      <c r="A1016" s="5"/>
      <c r="B1016" s="19"/>
      <c r="C1016" s="193"/>
      <c r="D1016" s="19"/>
      <c r="F1016" s="19"/>
      <c r="G1016" s="19"/>
    </row>
    <row r="1017" spans="1:7" ht="15.95" customHeight="1">
      <c r="A1017" s="5"/>
      <c r="B1017" s="19"/>
      <c r="C1017" s="193"/>
      <c r="D1017" s="19"/>
      <c r="F1017" s="19"/>
      <c r="G1017" s="19"/>
    </row>
    <row r="1018" spans="1:7" ht="15.95" customHeight="1">
      <c r="A1018" s="5"/>
      <c r="B1018" s="19"/>
      <c r="C1018" s="193"/>
      <c r="D1018" s="19"/>
      <c r="F1018" s="19"/>
      <c r="G1018" s="19"/>
    </row>
    <row r="1019" spans="1:7" ht="15.95" customHeight="1">
      <c r="A1019" s="5"/>
      <c r="B1019" s="19"/>
      <c r="C1019" s="193"/>
      <c r="D1019" s="19"/>
      <c r="F1019" s="19"/>
      <c r="G1019" s="19"/>
    </row>
    <row r="1020" spans="1:7" ht="15.95" customHeight="1">
      <c r="A1020" s="5"/>
      <c r="B1020" s="19"/>
      <c r="C1020" s="193"/>
      <c r="D1020" s="19"/>
      <c r="F1020" s="19"/>
      <c r="G1020" s="19"/>
    </row>
    <row r="1021" spans="1:7" ht="15.95" customHeight="1">
      <c r="A1021" s="5"/>
      <c r="B1021" s="19"/>
      <c r="C1021" s="193"/>
      <c r="D1021" s="19"/>
      <c r="F1021" s="19"/>
      <c r="G1021" s="19"/>
    </row>
    <row r="1022" spans="1:7" ht="15.95" customHeight="1">
      <c r="A1022" s="5"/>
      <c r="B1022" s="19"/>
      <c r="C1022" s="193"/>
      <c r="D1022" s="19"/>
      <c r="F1022" s="19"/>
      <c r="G1022" s="19"/>
    </row>
    <row r="1023" spans="1:7" ht="15.95" customHeight="1">
      <c r="A1023" s="5"/>
      <c r="B1023" s="19"/>
      <c r="C1023" s="193"/>
      <c r="D1023" s="19"/>
      <c r="F1023" s="19"/>
      <c r="G1023" s="19"/>
    </row>
    <row r="1024" spans="1:7" ht="15.95" customHeight="1">
      <c r="A1024" s="5"/>
      <c r="B1024" s="19"/>
      <c r="C1024" s="193"/>
      <c r="D1024" s="19"/>
      <c r="F1024" s="19"/>
      <c r="G1024" s="19"/>
    </row>
    <row r="1025" spans="1:7" ht="15.95" customHeight="1">
      <c r="A1025" s="5"/>
      <c r="B1025" s="19"/>
      <c r="C1025" s="193"/>
      <c r="D1025" s="19"/>
      <c r="F1025" s="19"/>
      <c r="G1025" s="19"/>
    </row>
    <row r="1026" spans="1:7" ht="15.95" customHeight="1">
      <c r="A1026" s="5"/>
      <c r="B1026" s="19"/>
      <c r="C1026" s="193"/>
      <c r="D1026" s="19"/>
      <c r="F1026" s="19"/>
      <c r="G1026" s="19"/>
    </row>
    <row r="1027" spans="1:7" ht="15.95" customHeight="1">
      <c r="A1027" s="5"/>
      <c r="B1027" s="19"/>
      <c r="C1027" s="193"/>
      <c r="D1027" s="19"/>
      <c r="F1027" s="19"/>
      <c r="G1027" s="19"/>
    </row>
    <row r="1028" spans="1:7" ht="15.95" customHeight="1">
      <c r="A1028" s="5"/>
      <c r="B1028" s="19"/>
      <c r="C1028" s="193"/>
      <c r="D1028" s="19"/>
      <c r="F1028" s="19"/>
      <c r="G1028" s="19"/>
    </row>
    <row r="1029" spans="1:7" ht="15.95" customHeight="1">
      <c r="A1029" s="5"/>
      <c r="B1029" s="19"/>
      <c r="C1029" s="193"/>
      <c r="D1029" s="19"/>
      <c r="F1029" s="19"/>
      <c r="G1029" s="19"/>
    </row>
    <row r="1030" spans="1:7" ht="15.95" customHeight="1">
      <c r="A1030" s="5"/>
      <c r="B1030" s="19"/>
      <c r="C1030" s="193"/>
      <c r="D1030" s="19"/>
      <c r="F1030" s="19"/>
      <c r="G1030" s="19"/>
    </row>
    <row r="1031" spans="1:7" ht="15.95" customHeight="1">
      <c r="A1031" s="5"/>
      <c r="B1031" s="19"/>
      <c r="C1031" s="193"/>
      <c r="D1031" s="19"/>
      <c r="F1031" s="19"/>
      <c r="G1031" s="19"/>
    </row>
    <row r="1032" spans="1:7" ht="15.95" customHeight="1">
      <c r="A1032" s="5"/>
      <c r="B1032" s="19"/>
      <c r="C1032" s="193"/>
      <c r="D1032" s="19"/>
      <c r="F1032" s="19"/>
      <c r="G1032" s="19"/>
    </row>
    <row r="1033" spans="1:7" ht="15.95" customHeight="1">
      <c r="A1033" s="5"/>
      <c r="B1033" s="19"/>
      <c r="C1033" s="193"/>
      <c r="D1033" s="19"/>
      <c r="F1033" s="19"/>
      <c r="G1033" s="19"/>
    </row>
    <row r="1034" spans="1:7" ht="15.95" customHeight="1">
      <c r="A1034" s="5"/>
      <c r="B1034" s="19"/>
      <c r="C1034" s="193"/>
      <c r="D1034" s="19"/>
      <c r="F1034" s="19"/>
      <c r="G1034" s="19"/>
    </row>
    <row r="1035" spans="1:7" ht="15.95" customHeight="1">
      <c r="A1035" s="5"/>
      <c r="B1035" s="19"/>
      <c r="C1035" s="193"/>
      <c r="D1035" s="19"/>
      <c r="F1035" s="19"/>
      <c r="G1035" s="19"/>
    </row>
    <row r="1036" spans="1:7" ht="15.95" customHeight="1">
      <c r="A1036" s="5"/>
      <c r="B1036" s="19"/>
      <c r="C1036" s="193"/>
      <c r="D1036" s="19"/>
      <c r="F1036" s="19"/>
      <c r="G1036" s="19"/>
    </row>
    <row r="1037" spans="1:7" ht="15.95" customHeight="1">
      <c r="A1037" s="5"/>
      <c r="B1037" s="19"/>
      <c r="C1037" s="193"/>
      <c r="D1037" s="19"/>
      <c r="F1037" s="19"/>
      <c r="G1037" s="19"/>
    </row>
    <row r="1038" spans="1:7" ht="15.95" customHeight="1">
      <c r="A1038" s="5"/>
      <c r="B1038" s="19"/>
      <c r="C1038" s="193"/>
      <c r="D1038" s="19"/>
      <c r="F1038" s="19"/>
      <c r="G1038" s="19"/>
    </row>
    <row r="1039" spans="1:7" ht="15.95" customHeight="1">
      <c r="A1039" s="5"/>
      <c r="B1039" s="19"/>
      <c r="C1039" s="193"/>
      <c r="D1039" s="19"/>
      <c r="F1039" s="19"/>
      <c r="G1039" s="19"/>
    </row>
    <row r="1040" spans="1:7" ht="15.95" customHeight="1">
      <c r="A1040" s="5"/>
      <c r="B1040" s="19"/>
      <c r="C1040" s="193"/>
      <c r="D1040" s="19"/>
      <c r="F1040" s="19"/>
      <c r="G1040" s="19"/>
    </row>
    <row r="1041" spans="1:7" ht="15.95" customHeight="1">
      <c r="A1041" s="5"/>
      <c r="B1041" s="19"/>
      <c r="C1041" s="193"/>
      <c r="D1041" s="19"/>
      <c r="F1041" s="19"/>
      <c r="G1041" s="19"/>
    </row>
    <row r="1042" spans="1:7" ht="15.95" customHeight="1">
      <c r="A1042" s="5"/>
      <c r="B1042" s="19"/>
      <c r="C1042" s="193"/>
      <c r="D1042" s="19"/>
      <c r="F1042" s="19"/>
      <c r="G1042" s="19"/>
    </row>
    <row r="1043" spans="1:7" ht="15.95" customHeight="1">
      <c r="A1043" s="5"/>
      <c r="B1043" s="19"/>
      <c r="C1043" s="193"/>
      <c r="D1043" s="19"/>
      <c r="F1043" s="19"/>
      <c r="G1043" s="19"/>
    </row>
    <row r="1044" spans="1:7" ht="15.95" customHeight="1">
      <c r="A1044" s="5"/>
      <c r="B1044" s="19"/>
      <c r="C1044" s="193"/>
      <c r="D1044" s="19"/>
      <c r="F1044" s="19"/>
      <c r="G1044" s="19"/>
    </row>
    <row r="1045" spans="1:7" ht="15.95" customHeight="1">
      <c r="A1045" s="5"/>
      <c r="B1045" s="19"/>
      <c r="C1045" s="193"/>
      <c r="D1045" s="19"/>
      <c r="F1045" s="19"/>
      <c r="G1045" s="19"/>
    </row>
    <row r="1046" spans="1:7" ht="15.95" customHeight="1">
      <c r="A1046" s="5"/>
      <c r="B1046" s="19"/>
      <c r="C1046" s="193"/>
      <c r="D1046" s="19"/>
      <c r="F1046" s="19"/>
      <c r="G1046" s="19"/>
    </row>
    <row r="1047" spans="1:7" ht="15.95" customHeight="1">
      <c r="A1047" s="5"/>
      <c r="B1047" s="19"/>
      <c r="C1047" s="193"/>
      <c r="D1047" s="19"/>
      <c r="F1047" s="19"/>
      <c r="G1047" s="19"/>
    </row>
    <row r="1048" spans="1:7" ht="15.95" customHeight="1">
      <c r="A1048" s="5"/>
      <c r="B1048" s="19"/>
      <c r="C1048" s="193"/>
      <c r="D1048" s="19"/>
      <c r="F1048" s="19"/>
      <c r="G1048" s="19"/>
    </row>
    <row r="1049" spans="1:7" ht="15.95" customHeight="1">
      <c r="A1049" s="5"/>
      <c r="B1049" s="19"/>
      <c r="C1049" s="193"/>
      <c r="D1049" s="19"/>
      <c r="F1049" s="19"/>
      <c r="G1049" s="19"/>
    </row>
    <row r="1050" spans="1:7" ht="15.95" customHeight="1">
      <c r="A1050" s="5"/>
      <c r="B1050" s="19"/>
      <c r="C1050" s="193"/>
      <c r="D1050" s="19"/>
      <c r="F1050" s="19"/>
      <c r="G1050" s="19"/>
    </row>
    <row r="1051" spans="1:7" ht="15.95" customHeight="1">
      <c r="A1051" s="5"/>
      <c r="B1051" s="19"/>
      <c r="C1051" s="193"/>
      <c r="D1051" s="19"/>
      <c r="F1051" s="19"/>
      <c r="G1051" s="19"/>
    </row>
    <row r="1052" spans="1:7" ht="15.95" customHeight="1">
      <c r="A1052" s="5"/>
      <c r="B1052" s="19"/>
      <c r="C1052" s="193"/>
      <c r="D1052" s="19"/>
      <c r="F1052" s="19"/>
      <c r="G1052" s="19"/>
    </row>
    <row r="1053" spans="1:7" ht="15.95" customHeight="1">
      <c r="A1053" s="5"/>
      <c r="B1053" s="19"/>
      <c r="C1053" s="193"/>
      <c r="D1053" s="19"/>
      <c r="F1053" s="19"/>
      <c r="G1053" s="19"/>
    </row>
    <row r="1054" spans="1:7" ht="15.95" customHeight="1">
      <c r="A1054" s="5"/>
      <c r="B1054" s="19"/>
      <c r="C1054" s="193"/>
      <c r="D1054" s="19"/>
      <c r="F1054" s="19"/>
      <c r="G1054" s="19"/>
    </row>
    <row r="1055" spans="1:7" ht="15.95" customHeight="1">
      <c r="A1055" s="5"/>
      <c r="B1055" s="19"/>
      <c r="C1055" s="193"/>
      <c r="D1055" s="19"/>
      <c r="F1055" s="19"/>
      <c r="G1055" s="19"/>
    </row>
    <row r="1056" spans="1:7" ht="15.95" customHeight="1">
      <c r="A1056" s="5"/>
      <c r="B1056" s="19"/>
      <c r="C1056" s="193"/>
      <c r="D1056" s="19"/>
      <c r="F1056" s="19"/>
      <c r="G1056" s="19"/>
    </row>
    <row r="1057" spans="1:7" ht="15.95" customHeight="1">
      <c r="A1057" s="5"/>
      <c r="B1057" s="19"/>
      <c r="C1057" s="193"/>
      <c r="D1057" s="19"/>
      <c r="F1057" s="19"/>
      <c r="G1057" s="19"/>
    </row>
    <row r="1058" spans="1:7" ht="15.95" customHeight="1">
      <c r="A1058" s="5"/>
      <c r="B1058" s="19"/>
      <c r="C1058" s="193"/>
      <c r="D1058" s="19"/>
      <c r="F1058" s="19"/>
      <c r="G1058" s="19"/>
    </row>
    <row r="1059" spans="1:7" ht="15.95" customHeight="1">
      <c r="A1059" s="5"/>
      <c r="B1059" s="19"/>
      <c r="C1059" s="193"/>
      <c r="D1059" s="19"/>
      <c r="F1059" s="19"/>
      <c r="G1059" s="19"/>
    </row>
    <row r="1060" spans="1:7" ht="15.95" customHeight="1">
      <c r="A1060" s="5"/>
      <c r="B1060" s="19"/>
      <c r="C1060" s="193"/>
      <c r="D1060" s="19"/>
      <c r="F1060" s="19"/>
      <c r="G1060" s="19"/>
    </row>
    <row r="1061" spans="1:7" ht="15.95" customHeight="1">
      <c r="A1061" s="5"/>
      <c r="B1061" s="19"/>
      <c r="C1061" s="193"/>
      <c r="D1061" s="19"/>
      <c r="F1061" s="19"/>
      <c r="G1061" s="19"/>
    </row>
    <row r="1062" spans="1:7" ht="15.95" customHeight="1">
      <c r="A1062" s="5"/>
      <c r="B1062" s="19"/>
      <c r="C1062" s="193"/>
      <c r="D1062" s="19"/>
      <c r="F1062" s="19"/>
      <c r="G1062" s="19"/>
    </row>
    <row r="1063" spans="1:7" ht="15.95" customHeight="1">
      <c r="A1063" s="5"/>
      <c r="B1063" s="19"/>
      <c r="C1063" s="193"/>
      <c r="D1063" s="19"/>
      <c r="F1063" s="19"/>
      <c r="G1063" s="19"/>
    </row>
    <row r="1064" spans="1:7" ht="15.95" customHeight="1">
      <c r="A1064" s="5"/>
      <c r="B1064" s="5"/>
      <c r="E1064" s="19"/>
      <c r="G1064" s="182"/>
    </row>
    <row r="1065" spans="1:7" ht="15.95" customHeight="1">
      <c r="A1065" s="5"/>
      <c r="B1065" s="5"/>
      <c r="E1065" s="19"/>
      <c r="G1065" s="182"/>
    </row>
    <row r="1066" spans="1:7" ht="15.95" customHeight="1">
      <c r="A1066" s="5"/>
      <c r="B1066" s="5"/>
      <c r="E1066" s="19"/>
      <c r="G1066" s="182"/>
    </row>
    <row r="1067" spans="1:7" ht="15.95" customHeight="1">
      <c r="A1067" s="5"/>
      <c r="B1067" s="5"/>
      <c r="E1067" s="19"/>
      <c r="G1067" s="182"/>
    </row>
    <row r="1068" spans="1:7" ht="15.95" customHeight="1">
      <c r="A1068" s="5"/>
      <c r="B1068" s="5"/>
      <c r="E1068" s="19"/>
      <c r="G1068" s="182"/>
    </row>
    <row r="1069" spans="1:7" ht="15.95" customHeight="1">
      <c r="A1069" s="5"/>
      <c r="B1069" s="5"/>
      <c r="E1069" s="19"/>
      <c r="G1069" s="182"/>
    </row>
    <row r="1070" spans="1:7" ht="15.95" customHeight="1">
      <c r="A1070" s="5"/>
      <c r="B1070" s="5"/>
      <c r="E1070" s="19"/>
      <c r="G1070" s="182"/>
    </row>
    <row r="1071" spans="1:7" ht="15.95" customHeight="1">
      <c r="A1071" s="5"/>
      <c r="B1071" s="5"/>
      <c r="E1071" s="19"/>
      <c r="G1071" s="182"/>
    </row>
    <row r="1072" spans="1:7" ht="15.95" customHeight="1">
      <c r="A1072" s="5"/>
      <c r="B1072" s="5"/>
      <c r="E1072" s="19"/>
      <c r="G1072" s="182"/>
    </row>
    <row r="1073" spans="1:7" ht="15.95" customHeight="1">
      <c r="A1073" s="5"/>
      <c r="B1073" s="5"/>
      <c r="E1073" s="19"/>
      <c r="G1073" s="182"/>
    </row>
    <row r="1074" spans="1:7" ht="15.95" customHeight="1">
      <c r="A1074" s="5"/>
      <c r="B1074" s="5"/>
      <c r="E1074" s="19"/>
      <c r="G1074" s="182"/>
    </row>
    <row r="1075" spans="1:7" ht="15.95" customHeight="1">
      <c r="A1075" s="216"/>
      <c r="B1075" s="216"/>
      <c r="C1075" s="217"/>
      <c r="D1075" s="216"/>
      <c r="E1075" s="216"/>
      <c r="F1075" s="218"/>
      <c r="G1075" s="186"/>
    </row>
    <row r="1076" spans="1:7" ht="15.95" customHeight="1">
      <c r="A1076" s="224"/>
      <c r="B1076" s="224"/>
      <c r="C1076" s="225"/>
      <c r="D1076" s="224"/>
      <c r="E1076" s="224"/>
      <c r="F1076" s="226"/>
      <c r="G1076" s="186"/>
    </row>
    <row r="1077" spans="1:7" ht="15.95" customHeight="1">
      <c r="A1077" s="224"/>
      <c r="B1077" s="224"/>
      <c r="C1077" s="225"/>
      <c r="D1077" s="224"/>
      <c r="E1077" s="224"/>
      <c r="F1077" s="226"/>
      <c r="G1077" s="186"/>
    </row>
    <row r="1078" spans="1:7" ht="15.95" customHeight="1">
      <c r="A1078" s="224"/>
      <c r="B1078" s="224"/>
      <c r="C1078" s="225"/>
      <c r="D1078" s="224"/>
      <c r="E1078" s="224"/>
      <c r="F1078" s="226"/>
      <c r="G1078" s="186"/>
    </row>
    <row r="1079" spans="1:7" ht="15.95" customHeight="1">
      <c r="A1079" s="224"/>
      <c r="B1079" s="224"/>
      <c r="C1079" s="225"/>
      <c r="D1079" s="224"/>
      <c r="E1079" s="224"/>
      <c r="F1079" s="226"/>
      <c r="G1079" s="186"/>
    </row>
    <row r="1080" spans="1:7" ht="15.95" customHeight="1">
      <c r="A1080" s="224"/>
      <c r="B1080" s="224"/>
      <c r="C1080" s="225"/>
      <c r="D1080" s="224"/>
      <c r="E1080" s="224"/>
      <c r="F1080" s="226"/>
      <c r="G1080" s="186"/>
    </row>
    <row r="1081" spans="1:7" ht="15.95" customHeight="1">
      <c r="A1081" s="224"/>
      <c r="B1081" s="224"/>
      <c r="C1081" s="225"/>
      <c r="D1081" s="224"/>
      <c r="E1081" s="224"/>
      <c r="F1081" s="226"/>
      <c r="G1081" s="186"/>
    </row>
    <row r="1082" spans="1:7" ht="15.95" customHeight="1">
      <c r="A1082" s="224"/>
      <c r="B1082" s="224"/>
      <c r="C1082" s="225"/>
      <c r="D1082" s="224"/>
      <c r="E1082" s="224"/>
      <c r="F1082" s="226"/>
      <c r="G1082" s="186"/>
    </row>
    <row r="1083" spans="1:7" ht="15.95" customHeight="1">
      <c r="A1083" s="224"/>
      <c r="B1083" s="224"/>
      <c r="C1083" s="225"/>
      <c r="D1083" s="224"/>
      <c r="E1083" s="224"/>
      <c r="F1083" s="226"/>
      <c r="G1083" s="186"/>
    </row>
    <row r="1084" spans="1:7" ht="15.95" customHeight="1">
      <c r="A1084" s="224"/>
      <c r="B1084" s="224"/>
      <c r="C1084" s="225"/>
      <c r="D1084" s="224"/>
      <c r="E1084" s="224"/>
      <c r="F1084" s="226"/>
      <c r="G1084" s="186"/>
    </row>
    <row r="1085" spans="1:7" ht="15.95" customHeight="1">
      <c r="A1085" s="224"/>
      <c r="B1085" s="224"/>
      <c r="C1085" s="225"/>
      <c r="D1085" s="224"/>
      <c r="E1085" s="224"/>
      <c r="F1085" s="226"/>
      <c r="G1085" s="186"/>
    </row>
    <row r="1086" spans="1:7" ht="15.95" customHeight="1">
      <c r="A1086" s="224"/>
      <c r="B1086" s="224"/>
      <c r="C1086" s="225"/>
      <c r="D1086" s="224"/>
      <c r="E1086" s="224"/>
      <c r="F1086" s="226"/>
      <c r="G1086" s="186"/>
    </row>
    <row r="1087" spans="1:7" ht="15.95" customHeight="1">
      <c r="A1087" s="224"/>
      <c r="B1087" s="224"/>
      <c r="C1087" s="225"/>
      <c r="D1087" s="224"/>
      <c r="E1087" s="224"/>
      <c r="F1087" s="226"/>
      <c r="G1087" s="186"/>
    </row>
    <row r="1088" spans="1:7" ht="15.95" customHeight="1">
      <c r="A1088" s="224"/>
      <c r="B1088" s="224"/>
      <c r="C1088" s="225"/>
      <c r="D1088" s="224"/>
      <c r="E1088" s="224"/>
      <c r="F1088" s="226"/>
      <c r="G1088" s="186"/>
    </row>
    <row r="1089" spans="1:7" ht="15.95" customHeight="1">
      <c r="A1089" s="231"/>
      <c r="B1089" s="231"/>
      <c r="C1089" s="232"/>
      <c r="D1089" s="231"/>
      <c r="E1089" s="231"/>
      <c r="F1089" s="233"/>
      <c r="G1089" s="186"/>
    </row>
    <row r="1090" spans="1:7" ht="15.95" customHeight="1">
      <c r="A1090" s="5"/>
      <c r="B1090" s="5"/>
      <c r="G1090" s="182"/>
    </row>
    <row r="1091" spans="1:7" ht="15.95" customHeight="1">
      <c r="A1091" s="5"/>
      <c r="B1091" s="5"/>
      <c r="G1091" s="182"/>
    </row>
    <row r="1092" spans="1:7" ht="15.95" customHeight="1">
      <c r="A1092" s="5"/>
      <c r="B1092" s="5"/>
      <c r="G1092" s="182"/>
    </row>
    <row r="1093" spans="1:7" ht="15.95" customHeight="1">
      <c r="A1093" s="5"/>
      <c r="B1093" s="5"/>
      <c r="G1093" s="196"/>
    </row>
    <row r="1094" spans="1:7" ht="15.95" customHeight="1">
      <c r="A1094" s="5"/>
      <c r="B1094" s="5"/>
      <c r="G1094" s="196"/>
    </row>
    <row r="1095" spans="1:7" ht="15.95" customHeight="1">
      <c r="A1095" s="5"/>
      <c r="B1095" s="5"/>
      <c r="G1095" s="196"/>
    </row>
    <row r="1096" spans="1:7" ht="15.95" customHeight="1">
      <c r="A1096" s="5"/>
      <c r="B1096" s="5"/>
    </row>
    <row r="1097" spans="1:7" ht="15.95" customHeight="1">
      <c r="A1097" s="5"/>
      <c r="B1097" s="5"/>
    </row>
    <row r="1098" spans="1:7" ht="15.95" customHeight="1">
      <c r="A1098" s="5"/>
      <c r="B1098" s="19"/>
      <c r="C1098" s="193"/>
      <c r="D1098" s="19"/>
      <c r="E1098" s="19"/>
      <c r="F1098" s="19"/>
      <c r="G1098" s="19"/>
    </row>
    <row r="1099" spans="1:7" ht="15.95" customHeight="1">
      <c r="A1099" s="5"/>
      <c r="B1099" s="19"/>
      <c r="C1099" s="193"/>
      <c r="D1099" s="19"/>
      <c r="E1099" s="19"/>
      <c r="F1099" s="19"/>
      <c r="G1099" s="19"/>
    </row>
    <row r="1100" spans="1:7" ht="15.95" customHeight="1">
      <c r="A1100" s="5"/>
      <c r="B1100" s="19"/>
      <c r="C1100" s="193"/>
      <c r="D1100" s="19"/>
      <c r="E1100" s="19"/>
      <c r="F1100" s="19"/>
      <c r="G1100" s="19"/>
    </row>
    <row r="1101" spans="1:7" ht="15.95" customHeight="1">
      <c r="A1101" s="5"/>
      <c r="B1101" s="19"/>
      <c r="C1101" s="193"/>
      <c r="D1101" s="19"/>
      <c r="E1101" s="19"/>
      <c r="F1101" s="19"/>
      <c r="G1101" s="19"/>
    </row>
    <row r="1102" spans="1:7" ht="15.95" customHeight="1">
      <c r="A1102" s="5"/>
      <c r="B1102" s="19"/>
      <c r="C1102" s="193"/>
      <c r="D1102" s="19"/>
      <c r="E1102" s="19"/>
      <c r="F1102" s="19"/>
      <c r="G1102" s="19"/>
    </row>
    <row r="1103" spans="1:7" ht="15.95" customHeight="1">
      <c r="A1103" s="5"/>
      <c r="B1103" s="19"/>
      <c r="C1103" s="193"/>
      <c r="D1103" s="19"/>
      <c r="E1103" s="19"/>
      <c r="F1103" s="19"/>
      <c r="G1103" s="19"/>
    </row>
    <row r="1104" spans="1:7" ht="15.95" customHeight="1">
      <c r="A1104" s="5"/>
      <c r="B1104" s="19"/>
      <c r="C1104" s="193"/>
      <c r="D1104" s="19"/>
      <c r="E1104" s="19"/>
      <c r="F1104" s="19"/>
      <c r="G1104" s="19"/>
    </row>
    <row r="1105" spans="1:7" ht="15.95" customHeight="1">
      <c r="A1105" s="5"/>
      <c r="B1105" s="19"/>
      <c r="C1105" s="193"/>
      <c r="D1105" s="19"/>
      <c r="E1105" s="19"/>
      <c r="F1105" s="19"/>
      <c r="G1105" s="19"/>
    </row>
    <row r="1106" spans="1:7" ht="15.95" customHeight="1">
      <c r="A1106" s="5"/>
      <c r="B1106" s="19"/>
      <c r="C1106" s="193"/>
      <c r="D1106" s="19"/>
      <c r="E1106" s="19"/>
      <c r="F1106" s="19"/>
      <c r="G1106" s="19"/>
    </row>
    <row r="1107" spans="1:7" ht="15.95" customHeight="1">
      <c r="A1107" s="5"/>
      <c r="B1107" s="19"/>
      <c r="C1107" s="193"/>
      <c r="D1107" s="19"/>
      <c r="E1107" s="19"/>
      <c r="F1107" s="19"/>
      <c r="G1107" s="19"/>
    </row>
    <row r="1108" spans="1:7" ht="15.95" customHeight="1">
      <c r="A1108" s="5"/>
      <c r="B1108" s="19"/>
      <c r="C1108" s="193"/>
      <c r="D1108" s="19"/>
      <c r="E1108" s="19"/>
      <c r="F1108" s="19"/>
      <c r="G1108" s="19"/>
    </row>
    <row r="1109" spans="1:7" ht="15.95" customHeight="1">
      <c r="A1109" s="5"/>
      <c r="B1109" s="19"/>
      <c r="C1109" s="193"/>
      <c r="D1109" s="19"/>
      <c r="E1109" s="19"/>
      <c r="F1109" s="19"/>
      <c r="G1109" s="19"/>
    </row>
    <row r="1110" spans="1:7" ht="15.95" customHeight="1">
      <c r="A1110" s="5"/>
      <c r="B1110" s="19"/>
      <c r="C1110" s="193"/>
      <c r="D1110" s="19"/>
      <c r="E1110" s="19"/>
      <c r="F1110" s="19"/>
      <c r="G1110" s="19"/>
    </row>
    <row r="1111" spans="1:7" ht="15.95" customHeight="1">
      <c r="A1111" s="5"/>
      <c r="B1111" s="19"/>
      <c r="C1111" s="193"/>
      <c r="D1111" s="19"/>
      <c r="E1111" s="19"/>
      <c r="F1111" s="19"/>
      <c r="G1111" s="19"/>
    </row>
    <row r="1112" spans="1:7" ht="15.95" customHeight="1">
      <c r="A1112" s="5"/>
      <c r="B1112" s="19"/>
      <c r="C1112" s="193"/>
      <c r="D1112" s="19"/>
      <c r="E1112" s="19"/>
      <c r="F1112" s="19"/>
      <c r="G1112" s="19"/>
    </row>
    <row r="1113" spans="1:7" ht="15.95" customHeight="1">
      <c r="A1113" s="5"/>
      <c r="B1113" s="19"/>
      <c r="C1113" s="193"/>
      <c r="D1113" s="19"/>
      <c r="E1113" s="19"/>
      <c r="F1113" s="19"/>
      <c r="G1113" s="19"/>
    </row>
    <row r="1114" spans="1:7" ht="15.95" customHeight="1">
      <c r="A1114" s="5"/>
      <c r="B1114" s="19"/>
      <c r="C1114" s="193"/>
      <c r="D1114" s="19"/>
      <c r="E1114" s="19"/>
      <c r="F1114" s="19"/>
      <c r="G1114" s="19"/>
    </row>
    <row r="1115" spans="1:7" ht="15.95" customHeight="1">
      <c r="A1115" s="5"/>
      <c r="B1115" s="19"/>
      <c r="C1115" s="193"/>
      <c r="D1115" s="19"/>
      <c r="E1115" s="19"/>
      <c r="F1115" s="19"/>
      <c r="G1115" s="19"/>
    </row>
    <row r="1116" spans="1:7" ht="15.95" customHeight="1">
      <c r="A1116" s="5"/>
      <c r="B1116" s="19"/>
      <c r="C1116" s="193"/>
      <c r="D1116" s="19"/>
      <c r="E1116" s="19"/>
      <c r="F1116" s="19"/>
      <c r="G1116" s="19"/>
    </row>
    <row r="1117" spans="1:7" ht="15.95" customHeight="1">
      <c r="A1117" s="5"/>
      <c r="B1117" s="19"/>
      <c r="C1117" s="193"/>
      <c r="D1117" s="19"/>
      <c r="E1117" s="19"/>
      <c r="F1117" s="19"/>
      <c r="G1117" s="19"/>
    </row>
    <row r="1118" spans="1:7" ht="15.95" customHeight="1">
      <c r="A1118" s="5"/>
      <c r="B1118" s="19"/>
      <c r="C1118" s="193"/>
      <c r="D1118" s="19"/>
      <c r="E1118" s="19"/>
      <c r="F1118" s="19"/>
      <c r="G1118" s="19"/>
    </row>
    <row r="1119" spans="1:7" ht="15.95" customHeight="1">
      <c r="A1119" s="5"/>
      <c r="B1119" s="19"/>
      <c r="C1119" s="193"/>
      <c r="D1119" s="19"/>
      <c r="E1119" s="19"/>
      <c r="F1119" s="19"/>
      <c r="G1119" s="19"/>
    </row>
    <row r="1120" spans="1:7" ht="15.95" customHeight="1">
      <c r="A1120" s="5"/>
      <c r="B1120" s="5"/>
      <c r="E1120" s="19"/>
      <c r="G1120" s="182"/>
    </row>
    <row r="1121" spans="1:7" ht="15.95" customHeight="1">
      <c r="A1121" s="5"/>
      <c r="B1121" s="5"/>
      <c r="E1121" s="19"/>
      <c r="G1121" s="182"/>
    </row>
    <row r="1122" spans="1:7" ht="15.95" customHeight="1">
      <c r="A1122" s="5"/>
      <c r="B1122" s="5"/>
      <c r="E1122" s="19"/>
      <c r="G1122" s="182"/>
    </row>
    <row r="1123" spans="1:7" ht="15.95" customHeight="1">
      <c r="A1123" s="5"/>
      <c r="B1123" s="5"/>
      <c r="E1123" s="19"/>
      <c r="G1123" s="182"/>
    </row>
    <row r="1124" spans="1:7" ht="15.95" customHeight="1">
      <c r="A1124" s="5"/>
      <c r="B1124" s="5"/>
      <c r="E1124" s="19"/>
      <c r="G1124" s="182"/>
    </row>
    <row r="1125" spans="1:7" ht="15.95" customHeight="1">
      <c r="A1125" s="5"/>
      <c r="B1125" s="5"/>
      <c r="E1125" s="19"/>
      <c r="G1125" s="182"/>
    </row>
    <row r="1126" spans="1:7" ht="15.95" customHeight="1">
      <c r="A1126" s="19"/>
      <c r="B1126" s="19"/>
      <c r="C1126" s="193"/>
      <c r="D1126" s="19"/>
      <c r="E1126" s="19"/>
      <c r="F1126" s="1341"/>
    </row>
    <row r="1127" spans="1:7" ht="15.95" customHeight="1">
      <c r="A1127" s="19"/>
      <c r="B1127" s="19"/>
      <c r="C1127" s="193"/>
      <c r="D1127" s="19"/>
      <c r="E1127" s="19"/>
      <c r="F1127" s="1341"/>
    </row>
    <row r="1128" spans="1:7" ht="15.95" customHeight="1">
      <c r="A1128" s="19"/>
      <c r="B1128" s="19"/>
      <c r="C1128" s="193"/>
      <c r="D1128" s="19"/>
      <c r="E1128" s="19"/>
      <c r="F1128" s="1341"/>
    </row>
    <row r="1129" spans="1:7" ht="15.95" customHeight="1">
      <c r="A1129" s="19"/>
      <c r="B1129" s="19"/>
      <c r="C1129" s="193"/>
      <c r="D1129" s="19"/>
      <c r="E1129" s="19"/>
      <c r="F1129" s="1341"/>
      <c r="G1129" s="19"/>
    </row>
    <row r="1130" spans="1:7" ht="15.95" customHeight="1">
      <c r="A1130" s="19"/>
      <c r="B1130" s="19"/>
      <c r="C1130" s="193"/>
      <c r="D1130" s="19"/>
      <c r="E1130" s="19"/>
      <c r="F1130" s="1341"/>
    </row>
    <row r="1131" spans="1:7" ht="15.95" customHeight="1">
      <c r="A1131" s="19"/>
      <c r="B1131" s="19"/>
      <c r="C1131" s="193"/>
      <c r="D1131" s="19"/>
      <c r="E1131" s="19"/>
      <c r="F1131" s="1341"/>
    </row>
    <row r="1132" spans="1:7" ht="15.95" customHeight="1">
      <c r="A1132" s="19"/>
      <c r="B1132" s="19"/>
      <c r="C1132" s="193"/>
      <c r="D1132" s="19"/>
      <c r="E1132" s="19"/>
      <c r="F1132" s="1341"/>
    </row>
    <row r="1133" spans="1:7" ht="15.95" customHeight="1">
      <c r="A1133" s="19"/>
      <c r="B1133" s="19"/>
      <c r="C1133" s="193"/>
      <c r="D1133" s="19"/>
      <c r="E1133" s="19"/>
      <c r="F1133" s="1341"/>
    </row>
    <row r="1134" spans="1:7" ht="15.95" customHeight="1">
      <c r="A1134" s="19"/>
      <c r="B1134" s="19"/>
      <c r="C1134" s="193"/>
      <c r="D1134" s="19"/>
      <c r="E1134" s="19"/>
      <c r="F1134" s="1341"/>
    </row>
    <row r="1135" spans="1:7" ht="15.95" customHeight="1">
      <c r="A1135" s="19"/>
      <c r="B1135" s="19"/>
      <c r="C1135" s="193"/>
      <c r="D1135" s="19"/>
      <c r="E1135" s="19"/>
      <c r="F1135" s="1341"/>
    </row>
    <row r="1136" spans="1:7" ht="15.95" customHeight="1">
      <c r="A1136" s="19"/>
      <c r="B1136" s="19"/>
      <c r="C1136" s="193"/>
      <c r="D1136" s="19"/>
      <c r="E1136" s="19"/>
      <c r="F1136" s="1341"/>
    </row>
    <row r="1137" spans="1:7" ht="15.95" customHeight="1">
      <c r="A1137" s="19"/>
      <c r="B1137" s="19"/>
      <c r="C1137" s="193"/>
      <c r="D1137" s="19"/>
      <c r="E1137" s="19"/>
      <c r="F1137" s="1341"/>
    </row>
    <row r="1138" spans="1:7" ht="15.95" customHeight="1">
      <c r="A1138" s="19"/>
      <c r="B1138" s="19"/>
      <c r="C1138" s="193"/>
      <c r="D1138" s="19"/>
      <c r="E1138" s="19"/>
      <c r="F1138" s="1341"/>
      <c r="G1138" s="19"/>
    </row>
    <row r="1139" spans="1:7" ht="15.95" customHeight="1">
      <c r="A1139" s="19"/>
      <c r="B1139" s="19"/>
      <c r="C1139" s="193"/>
      <c r="D1139" s="19"/>
      <c r="E1139" s="19"/>
      <c r="F1139" s="1341"/>
    </row>
    <row r="1140" spans="1:7" ht="15.95" customHeight="1">
      <c r="A1140" s="19"/>
      <c r="B1140" s="19"/>
      <c r="C1140" s="193"/>
      <c r="D1140" s="19"/>
      <c r="E1140" s="19"/>
      <c r="F1140" s="1341"/>
    </row>
    <row r="1141" spans="1:7" ht="15.95" customHeight="1">
      <c r="A1141" s="19"/>
      <c r="B1141" s="19"/>
      <c r="C1141" s="193"/>
      <c r="D1141" s="19"/>
      <c r="E1141" s="19"/>
      <c r="F1141" s="1341"/>
    </row>
    <row r="1142" spans="1:7" ht="15.95" customHeight="1">
      <c r="A1142" s="19"/>
      <c r="B1142" s="19"/>
      <c r="C1142" s="193"/>
      <c r="D1142" s="19"/>
      <c r="E1142" s="19"/>
      <c r="F1142" s="1341"/>
    </row>
    <row r="1143" spans="1:7" ht="15.95" customHeight="1">
      <c r="A1143" s="19"/>
      <c r="B1143" s="19"/>
      <c r="C1143" s="193"/>
      <c r="D1143" s="19"/>
      <c r="E1143" s="19"/>
      <c r="F1143" s="1341"/>
    </row>
    <row r="1144" spans="1:7" ht="15.95" customHeight="1">
      <c r="A1144" s="19"/>
      <c r="B1144" s="19"/>
      <c r="C1144" s="193"/>
      <c r="D1144" s="19"/>
      <c r="E1144" s="19"/>
      <c r="F1144" s="1341"/>
    </row>
    <row r="1145" spans="1:7" ht="15.95" customHeight="1">
      <c r="A1145" s="19"/>
      <c r="B1145" s="19"/>
      <c r="C1145" s="193"/>
      <c r="D1145" s="19"/>
      <c r="E1145" s="19"/>
      <c r="F1145" s="1341"/>
    </row>
    <row r="1146" spans="1:7" ht="15.95" customHeight="1">
      <c r="A1146" s="19"/>
      <c r="B1146" s="19"/>
      <c r="C1146" s="193"/>
      <c r="D1146" s="19"/>
      <c r="E1146" s="19"/>
      <c r="F1146" s="1341"/>
    </row>
    <row r="1147" spans="1:7" ht="15.95" customHeight="1">
      <c r="A1147" s="19"/>
      <c r="B1147" s="19"/>
      <c r="C1147" s="193"/>
      <c r="D1147" s="19"/>
      <c r="E1147" s="19"/>
      <c r="F1147" s="1341"/>
    </row>
    <row r="1148" spans="1:7" ht="15.95" customHeight="1">
      <c r="A1148" s="19"/>
      <c r="B1148" s="19"/>
      <c r="C1148" s="193"/>
      <c r="D1148" s="19"/>
      <c r="E1148" s="19"/>
      <c r="F1148" s="1341"/>
    </row>
    <row r="1149" spans="1:7" ht="15.95" customHeight="1">
      <c r="A1149" s="19"/>
      <c r="B1149" s="19"/>
      <c r="C1149" s="193"/>
      <c r="D1149" s="19"/>
      <c r="E1149" s="19"/>
      <c r="F1149" s="1341"/>
    </row>
    <row r="1150" spans="1:7" ht="15.95" customHeight="1">
      <c r="A1150" s="19"/>
      <c r="B1150" s="19"/>
      <c r="C1150" s="193"/>
      <c r="D1150" s="19"/>
      <c r="E1150" s="19"/>
      <c r="F1150" s="1341"/>
    </row>
    <row r="1151" spans="1:7" ht="15.95" customHeight="1">
      <c r="A1151" s="19"/>
      <c r="B1151" s="19"/>
      <c r="C1151" s="193"/>
      <c r="D1151" s="19"/>
      <c r="E1151" s="19"/>
      <c r="F1151" s="1341"/>
    </row>
    <row r="1152" spans="1:7" ht="15.95" customHeight="1">
      <c r="A1152" s="19"/>
      <c r="B1152" s="19"/>
      <c r="C1152" s="193"/>
      <c r="D1152" s="19"/>
      <c r="E1152" s="19"/>
      <c r="F1152" s="1341"/>
    </row>
    <row r="1153" spans="1:7" ht="15.95" customHeight="1">
      <c r="A1153" s="19"/>
      <c r="B1153" s="19"/>
      <c r="C1153" s="193"/>
      <c r="D1153" s="19"/>
      <c r="E1153" s="19"/>
      <c r="F1153" s="1341"/>
    </row>
    <row r="1154" spans="1:7" ht="15.95" customHeight="1">
      <c r="A1154" s="19"/>
      <c r="B1154" s="19"/>
      <c r="C1154" s="193"/>
      <c r="D1154" s="19"/>
      <c r="E1154" s="19"/>
      <c r="F1154" s="1341"/>
    </row>
    <row r="1155" spans="1:7" ht="15.95" customHeight="1">
      <c r="A1155" s="19"/>
      <c r="B1155" s="19"/>
      <c r="C1155" s="193"/>
      <c r="D1155" s="19"/>
      <c r="E1155" s="19"/>
      <c r="F1155" s="1341"/>
    </row>
    <row r="1156" spans="1:7" ht="15.95" customHeight="1">
      <c r="A1156" s="19"/>
      <c r="B1156" s="19"/>
      <c r="C1156" s="193"/>
      <c r="D1156" s="19"/>
      <c r="E1156" s="19"/>
      <c r="F1156" s="1341"/>
    </row>
    <row r="1157" spans="1:7" ht="15.95" customHeight="1">
      <c r="A1157" s="19"/>
      <c r="B1157" s="19"/>
      <c r="C1157" s="193"/>
      <c r="D1157" s="19"/>
      <c r="E1157" s="19"/>
      <c r="F1157" s="1341"/>
    </row>
    <row r="1158" spans="1:7" ht="15.95" customHeight="1">
      <c r="A1158" s="19"/>
      <c r="B1158" s="19"/>
      <c r="C1158" s="193"/>
      <c r="D1158" s="19"/>
      <c r="E1158" s="19"/>
      <c r="F1158" s="1341"/>
    </row>
    <row r="1159" spans="1:7" ht="15.95" customHeight="1">
      <c r="A1159" s="19"/>
      <c r="B1159" s="19"/>
      <c r="C1159" s="193"/>
      <c r="D1159" s="19"/>
      <c r="E1159" s="19"/>
      <c r="F1159" s="1341"/>
    </row>
    <row r="1160" spans="1:7" ht="15.95" customHeight="1">
      <c r="A1160" s="19"/>
      <c r="B1160" s="19"/>
      <c r="C1160" s="193"/>
      <c r="D1160" s="19"/>
      <c r="E1160" s="19"/>
      <c r="F1160" s="1341"/>
    </row>
    <row r="1161" spans="1:7" ht="15.95" customHeight="1">
      <c r="A1161" s="19"/>
      <c r="B1161" s="19"/>
      <c r="C1161" s="193"/>
      <c r="D1161" s="19"/>
      <c r="E1161" s="19"/>
      <c r="F1161" s="19"/>
    </row>
    <row r="1162" spans="1:7" ht="15.95" customHeight="1">
      <c r="A1162" s="19"/>
      <c r="B1162" s="19"/>
      <c r="C1162" s="193"/>
      <c r="D1162" s="19"/>
      <c r="E1162" s="19"/>
      <c r="F1162" s="19"/>
    </row>
    <row r="1163" spans="1:7" ht="15.95" customHeight="1">
      <c r="A1163" s="19"/>
      <c r="B1163" s="19"/>
      <c r="C1163" s="193"/>
      <c r="D1163" s="19"/>
      <c r="E1163" s="19"/>
      <c r="F1163" s="19"/>
      <c r="G1163" s="156"/>
    </row>
    <row r="1164" spans="1:7" ht="15.95" customHeight="1">
      <c r="A1164" s="19"/>
      <c r="B1164" s="19"/>
      <c r="C1164" s="193"/>
      <c r="D1164" s="19"/>
      <c r="E1164" s="19"/>
      <c r="F1164" s="19"/>
      <c r="G1164" s="156"/>
    </row>
    <row r="1165" spans="1:7" ht="15.95" customHeight="1">
      <c r="A1165" s="19"/>
      <c r="B1165" s="19"/>
      <c r="C1165" s="193"/>
      <c r="D1165" s="19"/>
      <c r="E1165" s="19"/>
      <c r="F1165" s="19"/>
      <c r="G1165" s="155"/>
    </row>
    <row r="1169" spans="3:7" ht="15.95" customHeight="1">
      <c r="F1169" s="1341"/>
    </row>
    <row r="1171" spans="3:7" ht="15.95" customHeight="1">
      <c r="E1171" s="19"/>
    </row>
    <row r="1172" spans="3:7" ht="15.95" customHeight="1">
      <c r="C1172" s="193"/>
      <c r="D1172" s="19"/>
      <c r="E1172" s="19"/>
      <c r="F1172" s="236"/>
    </row>
    <row r="1179" spans="3:7" ht="15.95" customHeight="1">
      <c r="G1179" s="181"/>
    </row>
    <row r="1180" spans="3:7" ht="15.95" customHeight="1">
      <c r="G1180" s="181"/>
    </row>
    <row r="1181" spans="3:7" ht="15.95" customHeight="1">
      <c r="G1181" s="181"/>
    </row>
    <row r="1182" spans="3:7" ht="15.95" customHeight="1">
      <c r="F1182" s="1341"/>
      <c r="G1182" s="181"/>
    </row>
    <row r="1183" spans="3:7" ht="15.95" customHeight="1">
      <c r="G1183" s="181"/>
    </row>
    <row r="1184" spans="3:7" ht="15.95" customHeight="1">
      <c r="G1184" s="181"/>
    </row>
    <row r="1185" spans="7:7" ht="15.95" customHeight="1">
      <c r="G1185" s="181"/>
    </row>
  </sheetData>
  <hyperlinks>
    <hyperlink ref="U2" r:id="rId1" xr:uid="{00000000-0004-0000-2700-000000000000}"/>
    <hyperlink ref="V2" r:id="rId2" xr:uid="{00000000-0004-0000-2700-000001000000}"/>
    <hyperlink ref="U4" r:id="rId3" xr:uid="{00000000-0004-0000-2700-000002000000}"/>
    <hyperlink ref="V4" r:id="rId4" location="Q1%20What%20resources%20is%20the%20IMF%20making%20available%20to%20help%20Ukraine?" xr:uid="{00000000-0004-0000-2700-000003000000}"/>
    <hyperlink ref="U7" r:id="rId5" xr:uid="{00000000-0004-0000-2700-000004000000}"/>
    <hyperlink ref="U8" r:id="rId6" xr:uid="{00000000-0004-0000-2700-000005000000}"/>
    <hyperlink ref="U9" r:id="rId7" xr:uid="{00000000-0004-0000-2700-000006000000}"/>
    <hyperlink ref="V9" r:id="rId8" xr:uid="{00000000-0004-0000-2700-000007000000}"/>
    <hyperlink ref="U10" r:id="rId9" xr:uid="{00000000-0004-0000-2700-000008000000}"/>
    <hyperlink ref="V10" r:id="rId10" xr:uid="{00000000-0004-0000-2700-000009000000}"/>
    <hyperlink ref="U13" r:id="rId11" xr:uid="{00000000-0004-0000-2700-00000A000000}"/>
    <hyperlink ref="U19" r:id="rId12" xr:uid="{00000000-0004-0000-2700-00000B000000}"/>
    <hyperlink ref="U20" r:id="rId13" xr:uid="{00000000-0004-0000-2700-00000C000000}"/>
    <hyperlink ref="V21" r:id="rId14" xr:uid="{00000000-0004-0000-2700-00000D000000}"/>
    <hyperlink ref="V13:V15" r:id="rId15" display="https://www.worldbank.org/en/news/press-release/2022/03/14/world-bank-announces-additional-200-million-in-financing-for-ukraine" xr:uid="{00000000-0004-0000-2700-00000E000000}"/>
    <hyperlink ref="U21" r:id="rId16" xr:uid="{00000000-0004-0000-2700-00000F000000}"/>
    <hyperlink ref="U5" r:id="rId17" xr:uid="{00000000-0004-0000-2700-000010000000}"/>
    <hyperlink ref="W2" r:id="rId18" xr:uid="{00000000-0004-0000-2700-000011000000}"/>
    <hyperlink ref="W21" r:id="rId19" xr:uid="{00000000-0004-0000-2700-000012000000}"/>
    <hyperlink ref="V5" r:id="rId20" xr:uid="{00000000-0004-0000-2700-000013000000}"/>
    <hyperlink ref="W5" r:id="rId21" xr:uid="{00000000-0004-0000-2700-000014000000}"/>
    <hyperlink ref="U23:U24" r:id="rId22" display="https://www.worldbank.org/en/news/press-release/2022/09/30/world-bank-mobilizes-additional-530-million-in-support-to-ukraine" xr:uid="{00000000-0004-0000-2700-000015000000}"/>
    <hyperlink ref="U22" r:id="rId23" xr:uid="{00000000-0004-0000-2700-000016000000}"/>
    <hyperlink ref="U6" r:id="rId24" xr:uid="{00000000-0004-0000-2700-000017000000}"/>
    <hyperlink ref="U3" r:id="rId25" location=":~:text=The%20European%20Bank%20for%20Reconstruction,businesses%20and%20economy%20keep%20functioning" xr:uid="{00000000-0004-0000-2700-000018000000}"/>
    <hyperlink ref="U24" r:id="rId26" xr:uid="{00000000-0004-0000-2700-000019000000}"/>
    <hyperlink ref="U14" r:id="rId27" xr:uid="{00000000-0004-0000-2700-00001A000000}"/>
    <hyperlink ref="V14" r:id="rId28" xr:uid="{00000000-0004-0000-2700-00001B000000}"/>
    <hyperlink ref="U15" r:id="rId29" xr:uid="{00000000-0004-0000-2700-00001C000000}"/>
    <hyperlink ref="V15" r:id="rId30" xr:uid="{00000000-0004-0000-2700-00001D000000}"/>
    <hyperlink ref="U16" r:id="rId31" xr:uid="{00000000-0004-0000-2700-00001E000000}"/>
    <hyperlink ref="V16" r:id="rId32" xr:uid="{00000000-0004-0000-2700-00001F000000}"/>
    <hyperlink ref="U17" r:id="rId33" xr:uid="{00000000-0004-0000-2700-000020000000}"/>
    <hyperlink ref="V17" r:id="rId34" xr:uid="{00000000-0004-0000-2700-000021000000}"/>
    <hyperlink ref="U18" r:id="rId35" xr:uid="{00000000-0004-0000-2700-000022000000}"/>
    <hyperlink ref="V18" r:id="rId36" xr:uid="{00000000-0004-0000-2700-000023000000}"/>
    <hyperlink ref="U11" r:id="rId37" xr:uid="{00000000-0004-0000-2700-000024000000}"/>
    <hyperlink ref="V11" r:id="rId38" xr:uid="{00000000-0004-0000-2700-000025000000}"/>
    <hyperlink ref="U12" r:id="rId39" xr:uid="{00000000-0004-0000-2700-000026000000}"/>
    <hyperlink ref="V12" r:id="rId40" xr:uid="{00000000-0004-0000-2700-000027000000}"/>
  </hyperlinks>
  <pageMargins left="0.7" right="0.7" top="0.75" bottom="0.75" header="0.3" footer="0.3"/>
  <pageSetup paperSize="9" orientation="portrait" r:id="rId4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8CBAD"/>
  </sheetPr>
  <dimension ref="A1:AV1186"/>
  <sheetViews>
    <sheetView zoomScaleNormal="100" workbookViewId="0">
      <pane xSplit="1" ySplit="1" topLeftCell="C2" activePane="bottomRight" state="frozen"/>
      <selection pane="bottomRight"/>
      <selection pane="bottomLeft" activeCell="B9" sqref="B9"/>
      <selection pane="topRight" activeCell="B9" sqref="B9"/>
    </sheetView>
  </sheetViews>
  <sheetFormatPr defaultColWidth="10.5" defaultRowHeight="15.95" customHeight="1"/>
  <cols>
    <col min="1" max="1" width="8" style="17" customWidth="1"/>
    <col min="2" max="2" width="16.5" style="17" customWidth="1"/>
    <col min="3" max="3" width="18.5" style="172" customWidth="1"/>
    <col min="4" max="4" width="19.5" style="5" customWidth="1"/>
    <col min="5" max="5" width="21.125" style="5" customWidth="1"/>
    <col min="6" max="6" width="55" style="173" customWidth="1"/>
    <col min="7" max="7" width="30.5" style="15" customWidth="1"/>
    <col min="8" max="8" width="31.5" style="174" customWidth="1"/>
    <col min="9" max="9" width="64.125" style="17" customWidth="1"/>
    <col min="10" max="10" width="17.125" style="245" customWidth="1"/>
    <col min="11" max="11" width="18" style="15" customWidth="1"/>
    <col min="12" max="12" width="16.5" style="242" customWidth="1"/>
    <col min="13" max="13" width="30.5" style="14" customWidth="1"/>
    <col min="14" max="14" width="18" style="246" customWidth="1"/>
    <col min="15" max="16" width="31.5" style="14" customWidth="1"/>
    <col min="17" max="17" width="24.5" style="14" customWidth="1"/>
    <col min="18" max="18" width="23.5" style="14" customWidth="1"/>
    <col min="19" max="19" width="39.5" style="211" customWidth="1"/>
    <col min="20" max="20" width="17" style="177" customWidth="1"/>
    <col min="21" max="21" width="37.5" style="243" customWidth="1"/>
    <col min="22" max="22" width="32.5" style="243" customWidth="1"/>
    <col min="23" max="24" width="36" style="244" customWidth="1"/>
    <col min="25" max="25" width="39.5" style="15" customWidth="1"/>
    <col min="26" max="26" width="27" style="177" customWidth="1"/>
    <col min="27" max="27" width="24.5" style="192" customWidth="1"/>
    <col min="28" max="31" width="10.5" style="179" customWidth="1"/>
    <col min="32" max="16384" width="10.5" style="179"/>
  </cols>
  <sheetData>
    <row r="1" spans="1:48" s="208" customFormat="1" ht="15.95" customHeight="1">
      <c r="A1" s="197" t="s">
        <v>307</v>
      </c>
      <c r="B1" s="486" t="s">
        <v>308</v>
      </c>
      <c r="C1" s="198" t="s">
        <v>309</v>
      </c>
      <c r="D1" s="197" t="s">
        <v>310</v>
      </c>
      <c r="E1" s="197" t="s">
        <v>311</v>
      </c>
      <c r="F1" s="197" t="s">
        <v>312</v>
      </c>
      <c r="G1" s="197" t="s">
        <v>314</v>
      </c>
      <c r="H1" s="203" t="s">
        <v>313</v>
      </c>
      <c r="I1" s="200" t="s">
        <v>315</v>
      </c>
      <c r="J1" s="201" t="s">
        <v>316</v>
      </c>
      <c r="K1" s="202" t="s">
        <v>318</v>
      </c>
      <c r="L1" s="203" t="s">
        <v>319</v>
      </c>
      <c r="M1" s="204" t="s">
        <v>5014</v>
      </c>
      <c r="N1" s="204" t="s">
        <v>321</v>
      </c>
      <c r="O1" s="205" t="s">
        <v>5015</v>
      </c>
      <c r="P1" s="206" t="s">
        <v>5016</v>
      </c>
      <c r="Q1" s="206" t="s">
        <v>324</v>
      </c>
      <c r="R1" s="206" t="s">
        <v>325</v>
      </c>
      <c r="S1" s="207" t="s">
        <v>326</v>
      </c>
      <c r="T1" s="203" t="s">
        <v>327</v>
      </c>
      <c r="U1" s="197" t="s">
        <v>328</v>
      </c>
      <c r="V1" s="208" t="s">
        <v>329</v>
      </c>
      <c r="W1" s="208" t="s">
        <v>330</v>
      </c>
      <c r="X1" s="208" t="s">
        <v>331</v>
      </c>
      <c r="Y1" s="208" t="s">
        <v>332</v>
      </c>
      <c r="Z1" s="197" t="s">
        <v>333</v>
      </c>
      <c r="AA1" s="208" t="s">
        <v>334</v>
      </c>
      <c r="AB1" s="210"/>
      <c r="AC1" s="210"/>
      <c r="AD1" s="210"/>
      <c r="AE1" s="210"/>
      <c r="AF1" s="210"/>
      <c r="AG1" s="210"/>
      <c r="AH1" s="210"/>
      <c r="AI1" s="210"/>
      <c r="AJ1" s="210"/>
      <c r="AK1" s="210"/>
      <c r="AL1" s="210"/>
      <c r="AM1" s="210"/>
    </row>
    <row r="2" spans="1:48" s="18" customFormat="1" ht="15.95" customHeight="1">
      <c r="A2" s="17" t="s">
        <v>5017</v>
      </c>
      <c r="B2" s="17" t="s">
        <v>1012</v>
      </c>
      <c r="C2" s="172" t="s">
        <v>5018</v>
      </c>
      <c r="D2" s="5" t="s">
        <v>389</v>
      </c>
      <c r="E2" s="5" t="s">
        <v>443</v>
      </c>
      <c r="F2" s="173" t="s">
        <v>5019</v>
      </c>
      <c r="G2" s="174">
        <v>14000000</v>
      </c>
      <c r="H2" s="175" t="s">
        <v>483</v>
      </c>
      <c r="I2" s="181" t="s">
        <v>5020</v>
      </c>
      <c r="J2" s="111" t="str">
        <f>VLOOKUP($I2,'Price List, Weapons &amp; Items'!B:C,2,0)</f>
        <v>Aviation and drones</v>
      </c>
      <c r="K2" s="180">
        <f>VLOOKUP(I2,'Price List, Weapons &amp; Items'!B:E,4,0)</f>
        <v>0</v>
      </c>
      <c r="L2" s="174">
        <v>3</v>
      </c>
      <c r="M2" s="221" t="s">
        <v>364</v>
      </c>
      <c r="N2" s="228">
        <f>VLOOKUP($I2,'Price List, Weapons &amp; Items'!B:G,4,0)</f>
        <v>0</v>
      </c>
      <c r="O2" s="176">
        <f t="shared" ref="O2:O6" si="0">L2*N2</f>
        <v>0</v>
      </c>
      <c r="P2" s="174" t="s">
        <v>364</v>
      </c>
      <c r="Q2" s="174">
        <f>G2</f>
        <v>14000000</v>
      </c>
      <c r="R2" s="174">
        <f>Q2/VLOOKUP(H2,'Exchange Rates'!$B$11:$C$25,2,0)</f>
        <v>14000000</v>
      </c>
      <c r="S2" s="174" t="s">
        <v>364</v>
      </c>
      <c r="T2" s="175" t="s">
        <v>675</v>
      </c>
      <c r="U2" s="487" t="s">
        <v>5021</v>
      </c>
      <c r="V2" s="488" t="s">
        <v>5022</v>
      </c>
      <c r="W2" s="490" t="s">
        <v>364</v>
      </c>
      <c r="X2" s="494" t="s">
        <v>364</v>
      </c>
      <c r="Y2" s="495">
        <v>0</v>
      </c>
      <c r="Z2" s="227">
        <v>0</v>
      </c>
      <c r="AA2" s="222" t="s">
        <v>364</v>
      </c>
      <c r="AB2" s="179"/>
      <c r="AC2" s="179"/>
      <c r="AD2" s="230"/>
      <c r="AE2" s="230"/>
      <c r="AF2" s="230"/>
      <c r="AG2" s="230"/>
      <c r="AH2" s="230"/>
      <c r="AI2" s="230"/>
      <c r="AJ2" s="178"/>
      <c r="AK2" s="178"/>
      <c r="AL2" s="178"/>
      <c r="AM2" s="178"/>
      <c r="AN2" s="179"/>
      <c r="AO2" s="179"/>
      <c r="AP2" s="1346"/>
      <c r="AQ2" s="179"/>
      <c r="AS2" s="179"/>
      <c r="AT2" s="179"/>
      <c r="AU2" s="179"/>
      <c r="AV2" s="179"/>
    </row>
    <row r="3" spans="1:48" s="18" customFormat="1" ht="15.95" customHeight="1">
      <c r="A3" s="17" t="s">
        <v>5023</v>
      </c>
      <c r="B3" s="17" t="s">
        <v>1711</v>
      </c>
      <c r="C3" s="172">
        <v>44769</v>
      </c>
      <c r="D3" s="5" t="s">
        <v>389</v>
      </c>
      <c r="E3" s="5" t="s">
        <v>443</v>
      </c>
      <c r="F3" s="173" t="s">
        <v>5024</v>
      </c>
      <c r="G3" s="174">
        <v>1700000000</v>
      </c>
      <c r="H3" s="175" t="s">
        <v>483</v>
      </c>
      <c r="I3" s="17" t="s">
        <v>1894</v>
      </c>
      <c r="J3" s="111" t="str">
        <f>VLOOKUP($I3,'Price List, Weapons &amp; Items'!B:C,2,0)</f>
        <v>Heavy weapon</v>
      </c>
      <c r="K3" s="180">
        <f>VLOOKUP(I3,'Price List, Weapons &amp; Items'!B:E,4,0)</f>
        <v>0</v>
      </c>
      <c r="L3" s="174">
        <v>100</v>
      </c>
      <c r="M3" s="221" t="s">
        <v>364</v>
      </c>
      <c r="N3" s="228">
        <f>VLOOKUP($I3,'Price List, Weapons &amp; Items'!B:G,4,0)</f>
        <v>0</v>
      </c>
      <c r="O3" s="176">
        <f t="shared" si="0"/>
        <v>0</v>
      </c>
      <c r="P3" s="174" t="s">
        <v>364</v>
      </c>
      <c r="Q3" s="174">
        <f>G3</f>
        <v>1700000000</v>
      </c>
      <c r="R3" s="174">
        <f>Q3/VLOOKUP(H3,'Exchange Rates'!$B$11:$C$25,2,0)</f>
        <v>1700000000</v>
      </c>
      <c r="S3" s="174" t="s">
        <v>364</v>
      </c>
      <c r="T3" s="175" t="s">
        <v>675</v>
      </c>
      <c r="U3" s="487" t="s">
        <v>5025</v>
      </c>
      <c r="V3" s="493" t="s">
        <v>364</v>
      </c>
      <c r="W3" s="490" t="s">
        <v>364</v>
      </c>
      <c r="X3" s="494" t="s">
        <v>364</v>
      </c>
      <c r="Y3" s="495">
        <v>0</v>
      </c>
      <c r="Z3" s="227">
        <v>1</v>
      </c>
      <c r="AA3" s="222" t="s">
        <v>364</v>
      </c>
      <c r="AB3" s="179"/>
      <c r="AC3" s="179"/>
      <c r="AD3" s="230"/>
      <c r="AE3" s="230"/>
      <c r="AF3" s="230"/>
      <c r="AG3" s="230"/>
      <c r="AH3" s="230"/>
      <c r="AI3" s="230"/>
      <c r="AJ3" s="178"/>
      <c r="AK3" s="178"/>
      <c r="AL3" s="178"/>
      <c r="AM3" s="178"/>
      <c r="AN3" s="179"/>
      <c r="AO3" s="179"/>
      <c r="AP3" s="1346"/>
      <c r="AQ3" s="179"/>
      <c r="AS3" s="179"/>
      <c r="AT3" s="179"/>
      <c r="AU3" s="179"/>
      <c r="AV3" s="179"/>
    </row>
    <row r="4" spans="1:48" s="18" customFormat="1" ht="15.95" customHeight="1">
      <c r="A4" s="17" t="s">
        <v>5026</v>
      </c>
      <c r="B4" s="17" t="s">
        <v>2989</v>
      </c>
      <c r="C4" s="172">
        <v>44719</v>
      </c>
      <c r="D4" s="5" t="s">
        <v>389</v>
      </c>
      <c r="E4" s="5" t="s">
        <v>443</v>
      </c>
      <c r="F4" s="173" t="s">
        <v>5027</v>
      </c>
      <c r="G4" s="174">
        <v>700000000</v>
      </c>
      <c r="H4" s="175" t="s">
        <v>456</v>
      </c>
      <c r="I4" s="181" t="s">
        <v>3031</v>
      </c>
      <c r="J4" s="111" t="str">
        <f>VLOOKUP($I4,'Price List, Weapons &amp; Items'!B:C,2,0)</f>
        <v>Heavy weapon</v>
      </c>
      <c r="K4" s="180">
        <f>VLOOKUP(I4,'Price List, Weapons &amp; Items'!B:E,4,0)</f>
        <v>0</v>
      </c>
      <c r="L4" s="174">
        <v>60</v>
      </c>
      <c r="M4" s="221" t="s">
        <v>364</v>
      </c>
      <c r="N4" s="228">
        <f>VLOOKUP($I4,'Price List, Weapons &amp; Items'!B:G,4,0)</f>
        <v>0</v>
      </c>
      <c r="O4" s="176">
        <f t="shared" si="0"/>
        <v>0</v>
      </c>
      <c r="P4" s="174" t="s">
        <v>364</v>
      </c>
      <c r="Q4" s="174">
        <f>G4</f>
        <v>700000000</v>
      </c>
      <c r="R4" s="174">
        <f>Q4/VLOOKUP(H4,'Exchange Rates'!$B$11:$C$25,2,0)</f>
        <v>644092749.3559072</v>
      </c>
      <c r="S4" s="174" t="s">
        <v>364</v>
      </c>
      <c r="T4" s="175" t="s">
        <v>675</v>
      </c>
      <c r="U4" s="487" t="s">
        <v>5028</v>
      </c>
      <c r="V4" s="493" t="s">
        <v>364</v>
      </c>
      <c r="W4" s="490" t="s">
        <v>364</v>
      </c>
      <c r="X4" s="494" t="s">
        <v>364</v>
      </c>
      <c r="Y4" s="495">
        <v>0</v>
      </c>
      <c r="Z4" s="227">
        <v>0</v>
      </c>
      <c r="AA4" s="222" t="s">
        <v>364</v>
      </c>
      <c r="AB4" s="179"/>
      <c r="AC4" s="179"/>
      <c r="AD4" s="230"/>
      <c r="AE4" s="230"/>
      <c r="AF4" s="230"/>
      <c r="AG4" s="230"/>
      <c r="AH4" s="230"/>
      <c r="AI4" s="230"/>
      <c r="AJ4" s="178"/>
      <c r="AK4" s="178"/>
      <c r="AL4" s="178"/>
      <c r="AM4" s="178"/>
      <c r="AN4" s="179"/>
      <c r="AO4" s="179"/>
      <c r="AP4" s="1346"/>
      <c r="AQ4" s="179"/>
      <c r="AS4" s="179"/>
      <c r="AT4" s="179"/>
      <c r="AU4" s="179"/>
      <c r="AV4" s="179"/>
    </row>
    <row r="5" spans="1:48" s="18" customFormat="1" ht="15.95" customHeight="1">
      <c r="A5" s="17" t="s">
        <v>5029</v>
      </c>
      <c r="B5" s="17" t="s">
        <v>3261</v>
      </c>
      <c r="C5" s="172">
        <v>44714</v>
      </c>
      <c r="D5" s="5" t="s">
        <v>389</v>
      </c>
      <c r="E5" s="5" t="s">
        <v>443</v>
      </c>
      <c r="F5" s="173" t="s">
        <v>5030</v>
      </c>
      <c r="G5" s="184" t="s">
        <v>5031</v>
      </c>
      <c r="H5" s="175" t="s">
        <v>456</v>
      </c>
      <c r="I5" s="181" t="s">
        <v>1260</v>
      </c>
      <c r="J5" s="111" t="str">
        <f>VLOOKUP($I5,'Price List, Weapons &amp; Items'!B:C,2,0)</f>
        <v>Heavy weapon</v>
      </c>
      <c r="K5" s="180">
        <f>VLOOKUP(I5,'Price List, Weapons &amp; Items'!B:E,4,0)</f>
        <v>1</v>
      </c>
      <c r="L5" s="174">
        <v>8</v>
      </c>
      <c r="M5" s="221" t="s">
        <v>364</v>
      </c>
      <c r="N5" s="228">
        <f>VLOOKUP($I5,'Price List, Weapons &amp; Items'!B:G,4,0)</f>
        <v>1</v>
      </c>
      <c r="O5" s="176">
        <f t="shared" si="0"/>
        <v>8</v>
      </c>
      <c r="P5" s="174" t="s">
        <v>364</v>
      </c>
      <c r="Q5" s="174">
        <f>O5</f>
        <v>8</v>
      </c>
      <c r="R5" s="174">
        <f>Q5/VLOOKUP(H5,'Exchange Rates'!$B$11:$C$25,2,0)</f>
        <v>7.36105999263894</v>
      </c>
      <c r="S5" s="174" t="s">
        <v>364</v>
      </c>
      <c r="T5" s="175" t="s">
        <v>675</v>
      </c>
      <c r="U5" s="487" t="s">
        <v>5032</v>
      </c>
      <c r="V5" s="493" t="s">
        <v>364</v>
      </c>
      <c r="W5" s="490" t="s">
        <v>364</v>
      </c>
      <c r="X5" s="494" t="s">
        <v>364</v>
      </c>
      <c r="Y5" s="495">
        <v>0</v>
      </c>
      <c r="Z5" s="227">
        <v>0</v>
      </c>
      <c r="AA5" s="222" t="s">
        <v>364</v>
      </c>
      <c r="AB5" s="179"/>
      <c r="AC5" s="179"/>
      <c r="AD5" s="230"/>
      <c r="AE5" s="230"/>
      <c r="AF5" s="230"/>
      <c r="AG5" s="230"/>
      <c r="AH5" s="230"/>
      <c r="AI5" s="230"/>
      <c r="AJ5" s="178"/>
      <c r="AK5" s="178"/>
      <c r="AL5" s="178"/>
      <c r="AM5" s="178"/>
      <c r="AN5" s="179"/>
      <c r="AO5" s="179"/>
      <c r="AP5" s="1346"/>
      <c r="AQ5" s="179"/>
      <c r="AS5" s="179"/>
      <c r="AT5" s="179"/>
      <c r="AU5" s="179"/>
      <c r="AV5" s="179"/>
    </row>
    <row r="6" spans="1:48" s="18" customFormat="1" ht="15.95" customHeight="1">
      <c r="A6" s="17" t="s">
        <v>5033</v>
      </c>
      <c r="B6" s="17" t="s">
        <v>3685</v>
      </c>
      <c r="C6" s="172">
        <v>44741</v>
      </c>
      <c r="D6" s="5" t="s">
        <v>389</v>
      </c>
      <c r="E6" s="5" t="s">
        <v>443</v>
      </c>
      <c r="F6" s="173" t="s">
        <v>5034</v>
      </c>
      <c r="G6" s="184" t="s">
        <v>5031</v>
      </c>
      <c r="H6" s="175" t="s">
        <v>456</v>
      </c>
      <c r="I6" s="181" t="s">
        <v>5035</v>
      </c>
      <c r="J6" s="111" t="str">
        <f>VLOOKUP($I6,'Price List, Weapons &amp; Items'!B:C,2,0)</f>
        <v>Aviation and drones</v>
      </c>
      <c r="K6" s="180">
        <f>VLOOKUP(I6,'Price List, Weapons &amp; Items'!B:E,4,0)</f>
        <v>0</v>
      </c>
      <c r="L6" s="174">
        <v>3</v>
      </c>
      <c r="M6" s="221" t="s">
        <v>364</v>
      </c>
      <c r="N6" s="228">
        <f>VLOOKUP($I6,'Price List, Weapons &amp; Items'!B:G,4,0)</f>
        <v>0</v>
      </c>
      <c r="O6" s="176">
        <f t="shared" si="0"/>
        <v>0</v>
      </c>
      <c r="P6" s="174" t="s">
        <v>364</v>
      </c>
      <c r="Q6" s="174">
        <f>O6</f>
        <v>0</v>
      </c>
      <c r="R6" s="174">
        <f>Q6/VLOOKUP(H6,'Exchange Rates'!$B$11:$C$25,2,0)</f>
        <v>0</v>
      </c>
      <c r="S6" s="174" t="s">
        <v>364</v>
      </c>
      <c r="T6" s="175" t="s">
        <v>365</v>
      </c>
      <c r="U6" s="967" t="s">
        <v>5036</v>
      </c>
      <c r="V6" s="487" t="s">
        <v>5037</v>
      </c>
      <c r="W6" s="490" t="s">
        <v>364</v>
      </c>
      <c r="X6" s="494" t="s">
        <v>364</v>
      </c>
      <c r="Y6" s="495">
        <v>0</v>
      </c>
      <c r="Z6" s="227">
        <v>0</v>
      </c>
      <c r="AA6" s="222" t="s">
        <v>364</v>
      </c>
      <c r="AB6" s="179"/>
      <c r="AC6" s="179"/>
      <c r="AD6" s="230"/>
      <c r="AE6" s="230"/>
      <c r="AF6" s="230"/>
      <c r="AG6" s="230"/>
      <c r="AH6" s="230"/>
      <c r="AI6" s="230"/>
      <c r="AJ6" s="178"/>
      <c r="AK6" s="178"/>
      <c r="AL6" s="178"/>
      <c r="AM6" s="178"/>
      <c r="AN6" s="179"/>
      <c r="AO6" s="179"/>
      <c r="AP6" s="1346"/>
      <c r="AQ6" s="179"/>
      <c r="AS6" s="179"/>
      <c r="AT6" s="179"/>
      <c r="AU6" s="179"/>
      <c r="AV6" s="179"/>
    </row>
    <row r="7" spans="1:48" s="18" customFormat="1" ht="15.95" customHeight="1">
      <c r="A7" s="5" t="s">
        <v>5038</v>
      </c>
      <c r="B7" s="5" t="s">
        <v>3685</v>
      </c>
      <c r="C7" s="172">
        <v>44740</v>
      </c>
      <c r="D7" s="5" t="s">
        <v>389</v>
      </c>
      <c r="E7" s="5" t="s">
        <v>443</v>
      </c>
      <c r="F7" s="173" t="s">
        <v>5039</v>
      </c>
      <c r="G7" s="184" t="s">
        <v>5031</v>
      </c>
      <c r="H7" s="175" t="s">
        <v>456</v>
      </c>
      <c r="I7" s="181" t="s">
        <v>5035</v>
      </c>
      <c r="J7" s="111" t="str">
        <f>VLOOKUP($I7,'Price List, Weapons &amp; Items'!B:C,2,0)</f>
        <v>Aviation and drones</v>
      </c>
      <c r="K7" s="180">
        <f>VLOOKUP(I7,'Price List, Weapons &amp; Items'!B:E,4,0)</f>
        <v>0</v>
      </c>
      <c r="L7" s="174">
        <v>50</v>
      </c>
      <c r="M7" s="221" t="s">
        <v>364</v>
      </c>
      <c r="N7" s="228">
        <f>VLOOKUP($I7,'Price List, Weapons &amp; Items'!B:G,4,0)</f>
        <v>0</v>
      </c>
      <c r="O7" s="176">
        <f>L7*N7</f>
        <v>0</v>
      </c>
      <c r="P7" s="174" t="s">
        <v>364</v>
      </c>
      <c r="Q7" s="174">
        <f>O7</f>
        <v>0</v>
      </c>
      <c r="R7" s="174">
        <f>Q7/VLOOKUP(H7,'Exchange Rates'!$B$11:$C$25,2,0)</f>
        <v>0</v>
      </c>
      <c r="S7" s="174" t="s">
        <v>364</v>
      </c>
      <c r="T7" s="175" t="s">
        <v>675</v>
      </c>
      <c r="U7" s="487" t="s">
        <v>5040</v>
      </c>
      <c r="V7" s="493" t="s">
        <v>364</v>
      </c>
      <c r="W7" s="490" t="s">
        <v>364</v>
      </c>
      <c r="X7" s="494" t="s">
        <v>364</v>
      </c>
      <c r="Y7" s="495">
        <v>0</v>
      </c>
      <c r="Z7" s="227">
        <v>0</v>
      </c>
      <c r="AA7" s="222" t="s">
        <v>364</v>
      </c>
      <c r="AB7" s="179"/>
      <c r="AC7" s="179"/>
      <c r="AD7" s="230"/>
      <c r="AE7" s="230"/>
      <c r="AF7" s="230"/>
      <c r="AG7" s="230"/>
      <c r="AH7" s="230"/>
      <c r="AI7" s="230"/>
      <c r="AJ7" s="178"/>
      <c r="AK7" s="178"/>
      <c r="AL7" s="178"/>
      <c r="AM7" s="178"/>
      <c r="AN7" s="179"/>
      <c r="AO7" s="179"/>
      <c r="AP7" s="1346"/>
      <c r="AQ7" s="179"/>
      <c r="AS7" s="179"/>
      <c r="AT7" s="179"/>
      <c r="AU7" s="179"/>
      <c r="AV7" s="179"/>
    </row>
    <row r="8" spans="1:48" ht="15.95" customHeight="1">
      <c r="A8" s="5"/>
      <c r="B8" s="5"/>
      <c r="I8" s="181"/>
    </row>
    <row r="9" spans="1:48" ht="15.95" customHeight="1">
      <c r="A9" s="5"/>
      <c r="B9" s="5"/>
      <c r="I9" s="181"/>
    </row>
    <row r="10" spans="1:48" ht="15.95" customHeight="1">
      <c r="A10" s="5"/>
      <c r="B10" s="5"/>
      <c r="I10" s="181"/>
    </row>
    <row r="11" spans="1:48" ht="15.95" customHeight="1">
      <c r="A11" s="5"/>
      <c r="B11" s="5"/>
      <c r="I11" s="181"/>
    </row>
    <row r="12" spans="1:48" ht="15.95" customHeight="1">
      <c r="G12" s="175"/>
      <c r="I12" s="181"/>
    </row>
    <row r="13" spans="1:48" ht="15.95" customHeight="1">
      <c r="A13" s="5"/>
      <c r="B13" s="5"/>
      <c r="G13" s="175"/>
      <c r="I13" s="181"/>
    </row>
    <row r="14" spans="1:48" ht="15.95" customHeight="1">
      <c r="A14" s="5"/>
      <c r="B14" s="5"/>
      <c r="G14" s="175"/>
      <c r="I14" s="181"/>
    </row>
    <row r="15" spans="1:48" ht="15.95" customHeight="1">
      <c r="A15" s="5"/>
      <c r="B15" s="5"/>
      <c r="I15" s="181"/>
    </row>
    <row r="16" spans="1:48" ht="15.95" customHeight="1">
      <c r="A16" s="5"/>
      <c r="B16" s="5"/>
      <c r="I16" s="181"/>
    </row>
    <row r="17" spans="1:9" ht="15.95" customHeight="1">
      <c r="A17" s="5"/>
      <c r="B17" s="5"/>
    </row>
    <row r="18" spans="1:9" ht="15.95" customHeight="1">
      <c r="A18" s="5"/>
      <c r="B18" s="5"/>
    </row>
    <row r="19" spans="1:9" ht="15.95" customHeight="1">
      <c r="A19" s="19"/>
      <c r="B19" s="19"/>
      <c r="D19" s="19"/>
      <c r="E19" s="19"/>
      <c r="F19" s="19"/>
      <c r="G19" s="194"/>
      <c r="I19" s="19"/>
    </row>
    <row r="20" spans="1:9" ht="15.95" customHeight="1">
      <c r="A20" s="5"/>
      <c r="B20" s="5"/>
    </row>
    <row r="21" spans="1:9" ht="15.95" customHeight="1">
      <c r="A21" s="5"/>
      <c r="B21" s="5"/>
    </row>
    <row r="22" spans="1:9" ht="15.95" customHeight="1">
      <c r="A22" s="5"/>
      <c r="B22" s="5"/>
    </row>
    <row r="25" spans="1:9" ht="15.95" customHeight="1">
      <c r="A25" s="5"/>
      <c r="B25" s="5"/>
    </row>
    <row r="26" spans="1:9" ht="15.95" customHeight="1">
      <c r="A26" s="5"/>
      <c r="B26" s="5"/>
    </row>
    <row r="27" spans="1:9" ht="15.95" customHeight="1">
      <c r="A27" s="5"/>
      <c r="B27" s="5"/>
    </row>
    <row r="28" spans="1:9" ht="15.95" customHeight="1">
      <c r="A28" s="5"/>
      <c r="B28" s="5"/>
    </row>
    <row r="29" spans="1:9" ht="15.95" customHeight="1">
      <c r="A29" s="5"/>
      <c r="B29" s="5"/>
    </row>
    <row r="30" spans="1:9" ht="15.95" customHeight="1">
      <c r="A30" s="5"/>
      <c r="B30" s="5"/>
    </row>
    <row r="31" spans="1:9" ht="15.95" customHeight="1">
      <c r="A31" s="5"/>
      <c r="B31" s="5"/>
    </row>
    <row r="32" spans="1:9" ht="15.95" customHeight="1">
      <c r="A32" s="5"/>
      <c r="B32" s="5"/>
    </row>
    <row r="43" spans="1:2" ht="15.95" customHeight="1">
      <c r="A43" s="5"/>
      <c r="B43" s="5"/>
    </row>
    <row r="44" spans="1:2" ht="15.95" customHeight="1">
      <c r="A44" s="5"/>
      <c r="B44" s="5"/>
    </row>
    <row r="45" spans="1:2" ht="15.95" customHeight="1">
      <c r="A45" s="5"/>
      <c r="B45" s="5"/>
    </row>
    <row r="46" spans="1:2" ht="15.95" customHeight="1">
      <c r="A46" s="5"/>
      <c r="B46" s="5"/>
    </row>
    <row r="48" spans="1:2" ht="15.95" customHeight="1">
      <c r="A48" s="5"/>
      <c r="B48" s="5"/>
    </row>
    <row r="49" spans="1:9" ht="15.95" customHeight="1">
      <c r="A49" s="5"/>
      <c r="B49" s="5"/>
    </row>
    <row r="50" spans="1:9" ht="15.95" customHeight="1">
      <c r="A50" s="5"/>
      <c r="B50" s="5"/>
    </row>
    <row r="55" spans="1:9" ht="15.95" customHeight="1">
      <c r="A55" s="5"/>
      <c r="B55" s="5"/>
    </row>
    <row r="56" spans="1:9" ht="15.95" customHeight="1">
      <c r="A56" s="5"/>
      <c r="B56" s="5"/>
    </row>
    <row r="57" spans="1:9" ht="15.95" customHeight="1">
      <c r="A57" s="5"/>
      <c r="B57" s="5"/>
    </row>
    <row r="58" spans="1:9" ht="15.95" customHeight="1">
      <c r="A58" s="5"/>
      <c r="B58" s="5"/>
    </row>
    <row r="59" spans="1:9" ht="15.95" customHeight="1">
      <c r="A59" s="5"/>
      <c r="B59" s="5"/>
    </row>
    <row r="60" spans="1:9" ht="15.95" customHeight="1">
      <c r="A60" s="5"/>
      <c r="B60" s="5"/>
      <c r="C60" s="193"/>
      <c r="D60" s="19"/>
      <c r="E60" s="19"/>
      <c r="F60" s="19"/>
      <c r="I60" s="19"/>
    </row>
    <row r="61" spans="1:9" ht="15.95" customHeight="1">
      <c r="A61" s="5"/>
      <c r="B61" s="5"/>
      <c r="C61" s="193"/>
      <c r="D61" s="19"/>
      <c r="E61" s="19"/>
      <c r="F61" s="19"/>
      <c r="I61" s="19"/>
    </row>
    <row r="62" spans="1:9" ht="15.95" customHeight="1">
      <c r="A62" s="5"/>
      <c r="B62" s="5"/>
      <c r="C62" s="193"/>
      <c r="D62" s="19"/>
      <c r="E62" s="19"/>
      <c r="F62" s="19"/>
      <c r="I62" s="19"/>
    </row>
    <row r="63" spans="1:9" ht="15.95" customHeight="1">
      <c r="A63" s="5"/>
      <c r="B63" s="5"/>
      <c r="C63" s="193"/>
      <c r="D63" s="19"/>
      <c r="E63" s="19"/>
      <c r="F63" s="19"/>
      <c r="I63" s="19"/>
    </row>
    <row r="64" spans="1:9" ht="15.95" customHeight="1">
      <c r="A64" s="5"/>
      <c r="B64" s="5"/>
      <c r="C64" s="193"/>
      <c r="D64" s="19"/>
      <c r="E64" s="19"/>
      <c r="F64" s="19"/>
      <c r="I64" s="19"/>
    </row>
    <row r="65" spans="1:9" ht="15.95" customHeight="1">
      <c r="A65" s="5"/>
      <c r="B65" s="5"/>
      <c r="C65" s="193"/>
      <c r="D65" s="19"/>
      <c r="E65" s="19"/>
      <c r="F65" s="19"/>
      <c r="I65" s="19"/>
    </row>
    <row r="66" spans="1:9" ht="15.95" customHeight="1">
      <c r="A66" s="5"/>
      <c r="B66" s="5"/>
      <c r="C66" s="193"/>
      <c r="D66" s="19"/>
      <c r="E66" s="19"/>
      <c r="F66" s="19"/>
      <c r="I66" s="19"/>
    </row>
    <row r="67" spans="1:9" ht="15.95" customHeight="1">
      <c r="A67" s="5"/>
      <c r="B67" s="5"/>
      <c r="C67" s="193"/>
      <c r="D67" s="19"/>
      <c r="E67" s="19"/>
      <c r="F67" s="19"/>
      <c r="I67" s="19"/>
    </row>
    <row r="68" spans="1:9" ht="15.95" customHeight="1">
      <c r="A68" s="5"/>
      <c r="B68" s="5"/>
      <c r="C68" s="193"/>
      <c r="D68" s="19"/>
      <c r="E68" s="19"/>
      <c r="F68" s="19"/>
      <c r="I68" s="19"/>
    </row>
    <row r="69" spans="1:9" ht="15.95" customHeight="1">
      <c r="A69" s="5"/>
      <c r="B69" s="5"/>
      <c r="C69" s="193"/>
      <c r="D69" s="19"/>
      <c r="E69" s="19"/>
      <c r="F69" s="19"/>
      <c r="I69" s="19"/>
    </row>
    <row r="70" spans="1:9" ht="15.95" customHeight="1">
      <c r="A70" s="5"/>
      <c r="B70" s="5"/>
      <c r="C70" s="193"/>
      <c r="D70" s="19"/>
      <c r="E70" s="19"/>
      <c r="F70" s="19"/>
      <c r="I70" s="19"/>
    </row>
    <row r="71" spans="1:9" ht="15.95" customHeight="1">
      <c r="A71" s="5"/>
      <c r="B71" s="5"/>
      <c r="C71" s="193"/>
      <c r="D71" s="19"/>
      <c r="E71" s="19"/>
      <c r="F71" s="19"/>
      <c r="I71" s="19"/>
    </row>
    <row r="72" spans="1:9" ht="15.95" customHeight="1">
      <c r="A72" s="5"/>
      <c r="B72" s="5"/>
      <c r="C72" s="193"/>
      <c r="D72" s="19"/>
      <c r="E72" s="19"/>
      <c r="F72" s="19"/>
      <c r="I72" s="19"/>
    </row>
    <row r="76" spans="1:9" ht="15.95" customHeight="1">
      <c r="A76" s="5"/>
      <c r="B76" s="5"/>
    </row>
    <row r="77" spans="1:9" ht="15.95" customHeight="1">
      <c r="A77" s="5"/>
      <c r="B77" s="5"/>
    </row>
    <row r="96" spans="1:2" ht="15.95" customHeight="1">
      <c r="A96" s="5"/>
      <c r="B96" s="5"/>
    </row>
    <row r="97" spans="1:9" ht="15.95" customHeight="1">
      <c r="A97" s="5"/>
      <c r="B97" s="5"/>
    </row>
    <row r="98" spans="1:9" ht="15.95" customHeight="1">
      <c r="A98" s="5"/>
      <c r="B98" s="5"/>
    </row>
    <row r="99" spans="1:9" ht="15.95" customHeight="1">
      <c r="A99" s="5"/>
      <c r="B99" s="5"/>
    </row>
    <row r="100" spans="1:9" ht="15.95" customHeight="1">
      <c r="A100" s="5"/>
      <c r="B100" s="5"/>
    </row>
    <row r="101" spans="1:9" ht="15.95" customHeight="1">
      <c r="A101" s="5"/>
      <c r="B101" s="5"/>
      <c r="I101" s="188"/>
    </row>
    <row r="102" spans="1:9" ht="15.95" customHeight="1">
      <c r="A102" s="5"/>
      <c r="B102" s="5"/>
      <c r="I102" s="186"/>
    </row>
    <row r="103" spans="1:9" ht="15.95" customHeight="1">
      <c r="A103" s="5"/>
      <c r="B103" s="5"/>
      <c r="I103" s="212"/>
    </row>
    <row r="104" spans="1:9" ht="15.95" customHeight="1">
      <c r="A104" s="5"/>
      <c r="B104" s="5"/>
    </row>
    <row r="105" spans="1:9" ht="15.95" customHeight="1">
      <c r="A105" s="5"/>
      <c r="B105" s="5"/>
    </row>
    <row r="107" spans="1:9" ht="15.95" customHeight="1">
      <c r="A107" s="5"/>
      <c r="B107" s="5"/>
    </row>
    <row r="108" spans="1:9" ht="15.95" customHeight="1">
      <c r="A108" s="5"/>
      <c r="B108" s="5"/>
    </row>
    <row r="109" spans="1:9" ht="15.95" customHeight="1">
      <c r="A109" s="5"/>
      <c r="B109" s="5"/>
    </row>
    <row r="110" spans="1:9" ht="15.95" customHeight="1">
      <c r="A110" s="5"/>
      <c r="B110" s="5"/>
    </row>
    <row r="111" spans="1:9" ht="15.95" customHeight="1">
      <c r="A111" s="5"/>
      <c r="B111" s="5"/>
    </row>
    <row r="112" spans="1:9" ht="15.95" customHeight="1">
      <c r="A112" s="5"/>
      <c r="B112" s="5"/>
    </row>
    <row r="113" spans="1:9" ht="15.95" customHeight="1">
      <c r="A113" s="5"/>
      <c r="B113" s="5"/>
    </row>
    <row r="114" spans="1:9" ht="15.95" customHeight="1">
      <c r="A114" s="5"/>
      <c r="B114" s="5"/>
    </row>
    <row r="115" spans="1:9" ht="15.95" customHeight="1">
      <c r="A115" s="5"/>
      <c r="B115" s="5"/>
    </row>
    <row r="116" spans="1:9" ht="15.95" customHeight="1">
      <c r="A116" s="5"/>
      <c r="B116" s="5"/>
    </row>
    <row r="117" spans="1:9" ht="15.95" customHeight="1">
      <c r="A117" s="5"/>
      <c r="B117" s="5"/>
    </row>
    <row r="118" spans="1:9" ht="15.95" customHeight="1">
      <c r="A118" s="5"/>
      <c r="B118" s="5"/>
    </row>
    <row r="119" spans="1:9" ht="15.95" customHeight="1">
      <c r="A119" s="5"/>
      <c r="B119" s="5"/>
    </row>
    <row r="120" spans="1:9" ht="15.95" customHeight="1">
      <c r="A120" s="5"/>
      <c r="B120" s="5"/>
    </row>
    <row r="121" spans="1:9" ht="15.95" customHeight="1">
      <c r="A121" s="5"/>
      <c r="B121" s="5"/>
    </row>
    <row r="122" spans="1:9" ht="15.95" customHeight="1">
      <c r="A122" s="5"/>
      <c r="B122" s="5"/>
      <c r="I122" s="154"/>
    </row>
    <row r="123" spans="1:9" ht="15.95" customHeight="1">
      <c r="A123" s="5"/>
      <c r="B123" s="5"/>
    </row>
    <row r="124" spans="1:9" ht="15.95" customHeight="1">
      <c r="A124" s="5"/>
      <c r="B124" s="5"/>
    </row>
    <row r="125" spans="1:9" ht="15.95" customHeight="1">
      <c r="I125" s="182"/>
    </row>
    <row r="126" spans="1:9" ht="15.95" customHeight="1">
      <c r="I126" s="182"/>
    </row>
    <row r="132" spans="1:9" ht="15.95" customHeight="1">
      <c r="A132" s="5"/>
      <c r="B132" s="5"/>
    </row>
    <row r="133" spans="1:9" ht="15.95" customHeight="1">
      <c r="A133" s="5"/>
      <c r="B133" s="5"/>
    </row>
    <row r="134" spans="1:9" ht="15.95" customHeight="1">
      <c r="A134" s="5"/>
      <c r="B134" s="5"/>
    </row>
    <row r="135" spans="1:9" ht="15.95" customHeight="1">
      <c r="A135" s="5"/>
      <c r="B135" s="5"/>
    </row>
    <row r="136" spans="1:9" ht="15.95" customHeight="1">
      <c r="A136" s="5"/>
      <c r="B136" s="5"/>
    </row>
    <row r="138" spans="1:9" ht="15.95" customHeight="1">
      <c r="I138" s="181"/>
    </row>
    <row r="139" spans="1:9" ht="15.95" customHeight="1">
      <c r="A139" s="5"/>
      <c r="B139" s="5"/>
      <c r="D139" s="190"/>
      <c r="E139" s="190"/>
      <c r="G139" s="191"/>
      <c r="I139" s="182"/>
    </row>
    <row r="140" spans="1:9" ht="15.95" customHeight="1">
      <c r="A140" s="5"/>
      <c r="B140" s="5"/>
      <c r="I140" s="182"/>
    </row>
    <row r="141" spans="1:9" ht="15.95" customHeight="1">
      <c r="A141" s="5"/>
      <c r="B141" s="5"/>
      <c r="I141" s="182"/>
    </row>
    <row r="142" spans="1:9" ht="15.95" customHeight="1">
      <c r="A142" s="5"/>
      <c r="B142" s="5"/>
      <c r="I142" s="182"/>
    </row>
    <row r="143" spans="1:9" ht="15.95" customHeight="1">
      <c r="A143" s="5"/>
      <c r="B143" s="5"/>
      <c r="I143" s="182"/>
    </row>
    <row r="144" spans="1:9" ht="15.95" customHeight="1">
      <c r="A144" s="5"/>
      <c r="B144" s="5"/>
      <c r="I144" s="182"/>
    </row>
    <row r="145" spans="1:9" ht="15.95" customHeight="1">
      <c r="A145" s="5"/>
      <c r="B145" s="5"/>
      <c r="I145" s="182"/>
    </row>
    <row r="146" spans="1:9" ht="15.95" customHeight="1">
      <c r="A146" s="5"/>
      <c r="B146" s="5"/>
      <c r="I146" s="182"/>
    </row>
    <row r="147" spans="1:9" ht="15.95" customHeight="1">
      <c r="A147" s="5"/>
      <c r="B147" s="5"/>
      <c r="I147" s="182"/>
    </row>
    <row r="148" spans="1:9" ht="15.95" customHeight="1">
      <c r="A148" s="5"/>
      <c r="B148" s="5"/>
      <c r="I148" s="182"/>
    </row>
    <row r="149" spans="1:9" ht="15.95" customHeight="1">
      <c r="A149" s="5"/>
      <c r="B149" s="5"/>
      <c r="I149" s="182"/>
    </row>
    <row r="150" spans="1:9" ht="15.95" customHeight="1">
      <c r="A150" s="5"/>
      <c r="B150" s="5"/>
      <c r="I150" s="182"/>
    </row>
    <row r="151" spans="1:9" ht="15.95" customHeight="1">
      <c r="A151" s="5"/>
      <c r="B151" s="5"/>
      <c r="D151" s="190"/>
      <c r="I151" s="181"/>
    </row>
    <row r="152" spans="1:9" ht="15.95" customHeight="1">
      <c r="A152" s="5"/>
      <c r="B152" s="5"/>
      <c r="D152" s="190"/>
      <c r="I152" s="181"/>
    </row>
    <row r="153" spans="1:9" ht="15.95" customHeight="1">
      <c r="A153" s="5"/>
      <c r="B153" s="5"/>
      <c r="D153" s="190"/>
      <c r="I153" s="181"/>
    </row>
    <row r="154" spans="1:9" ht="15.95" customHeight="1">
      <c r="A154" s="5"/>
      <c r="B154" s="5"/>
      <c r="D154" s="190"/>
      <c r="I154" s="181"/>
    </row>
    <row r="155" spans="1:9" ht="15.95" customHeight="1">
      <c r="A155" s="5"/>
      <c r="B155" s="5"/>
      <c r="D155" s="190"/>
      <c r="I155" s="181"/>
    </row>
    <row r="156" spans="1:9" ht="15.95" customHeight="1">
      <c r="A156" s="5"/>
      <c r="B156" s="5"/>
      <c r="D156" s="190"/>
      <c r="I156" s="181"/>
    </row>
    <row r="157" spans="1:9" ht="15.95" customHeight="1">
      <c r="I157" s="181"/>
    </row>
    <row r="158" spans="1:9" ht="15.95" customHeight="1">
      <c r="I158" s="181"/>
    </row>
    <row r="159" spans="1:9" ht="15.95" customHeight="1">
      <c r="I159" s="181"/>
    </row>
    <row r="160" spans="1:9" ht="15.95" customHeight="1">
      <c r="I160" s="181"/>
    </row>
    <row r="161" spans="1:9" ht="15.95" customHeight="1">
      <c r="I161" s="181"/>
    </row>
    <row r="162" spans="1:9" ht="15.95" customHeight="1">
      <c r="I162" s="181"/>
    </row>
    <row r="163" spans="1:9" ht="15.95" customHeight="1">
      <c r="I163" s="181"/>
    </row>
    <row r="164" spans="1:9" ht="15.95" customHeight="1">
      <c r="I164" s="181"/>
    </row>
    <row r="165" spans="1:9" ht="15.95" customHeight="1">
      <c r="I165" s="181"/>
    </row>
    <row r="167" spans="1:9" ht="15.95" customHeight="1">
      <c r="A167" s="5"/>
      <c r="B167" s="5"/>
    </row>
    <row r="168" spans="1:9" ht="15.95" customHeight="1">
      <c r="A168" s="5"/>
      <c r="B168" s="5"/>
    </row>
    <row r="170" spans="1:9" ht="15.95" customHeight="1">
      <c r="A170" s="5"/>
      <c r="B170" s="5"/>
    </row>
    <row r="171" spans="1:9" ht="15.95" customHeight="1">
      <c r="A171" s="5"/>
      <c r="B171" s="5"/>
    </row>
    <row r="180" spans="1:9" ht="15.95" customHeight="1">
      <c r="I180" s="181"/>
    </row>
    <row r="181" spans="1:9" ht="15.95" customHeight="1">
      <c r="I181" s="181"/>
    </row>
    <row r="186" spans="1:9" ht="15.95" customHeight="1">
      <c r="A186" s="5"/>
      <c r="B186" s="5"/>
    </row>
    <row r="187" spans="1:9" ht="15.95" customHeight="1">
      <c r="A187" s="5"/>
      <c r="B187" s="5"/>
    </row>
    <row r="196" spans="1:2" ht="15.95" customHeight="1">
      <c r="A196" s="5"/>
      <c r="B196" s="5"/>
    </row>
    <row r="197" spans="1:2" ht="15.95" customHeight="1">
      <c r="A197" s="5"/>
      <c r="B197" s="5"/>
    </row>
    <row r="198" spans="1:2" ht="15.95" customHeight="1">
      <c r="A198" s="5"/>
      <c r="B198" s="5"/>
    </row>
    <row r="199" spans="1:2" ht="15.95" customHeight="1">
      <c r="A199" s="5"/>
      <c r="B199" s="5"/>
    </row>
    <row r="200" spans="1:2" ht="15.95" customHeight="1">
      <c r="A200" s="5"/>
      <c r="B200" s="5"/>
    </row>
    <row r="201" spans="1:2" ht="15.95" customHeight="1">
      <c r="A201" s="5"/>
      <c r="B201" s="5"/>
    </row>
    <row r="202" spans="1:2" ht="15.95" customHeight="1">
      <c r="A202" s="5"/>
      <c r="B202" s="5"/>
    </row>
    <row r="203" spans="1:2" ht="15.95" customHeight="1">
      <c r="A203" s="5"/>
      <c r="B203" s="5"/>
    </row>
    <row r="204" spans="1:2" ht="15.95" customHeight="1">
      <c r="A204" s="5"/>
      <c r="B204" s="5"/>
    </row>
    <row r="205" spans="1:2" ht="15.95" customHeight="1">
      <c r="A205" s="5"/>
      <c r="B205" s="5"/>
    </row>
    <row r="206" spans="1:2" ht="15.95" customHeight="1">
      <c r="A206" s="5"/>
      <c r="B206" s="5"/>
    </row>
    <row r="207" spans="1:2" ht="15.95" customHeight="1">
      <c r="A207" s="5"/>
      <c r="B207" s="5"/>
    </row>
    <row r="208" spans="1:2" ht="15.95" customHeight="1">
      <c r="A208" s="5"/>
      <c r="B208" s="5"/>
    </row>
    <row r="209" spans="1:2" ht="15.95" customHeight="1">
      <c r="A209" s="5"/>
      <c r="B209" s="5"/>
    </row>
    <row r="212" spans="1:2" ht="15.95" customHeight="1">
      <c r="A212" s="5"/>
      <c r="B212" s="5"/>
    </row>
    <row r="213" spans="1:2" ht="15.95" customHeight="1">
      <c r="A213" s="5"/>
      <c r="B213" s="5"/>
    </row>
    <row r="214" spans="1:2" ht="15.95" customHeight="1">
      <c r="A214" s="5"/>
      <c r="B214" s="5"/>
    </row>
    <row r="215" spans="1:2" ht="15.95" customHeight="1">
      <c r="A215" s="5"/>
      <c r="B215" s="5"/>
    </row>
    <row r="216" spans="1:2" ht="15.95" customHeight="1">
      <c r="A216" s="5"/>
      <c r="B216" s="5"/>
    </row>
    <row r="217" spans="1:2" ht="15.95" customHeight="1">
      <c r="A217" s="5"/>
      <c r="B217" s="5"/>
    </row>
    <row r="218" spans="1:2" ht="15.95" customHeight="1">
      <c r="A218" s="5"/>
      <c r="B218" s="5"/>
    </row>
    <row r="219" spans="1:2" ht="15.95" customHeight="1">
      <c r="A219" s="5"/>
      <c r="B219" s="5"/>
    </row>
    <row r="220" spans="1:2" ht="15.95" customHeight="1">
      <c r="A220" s="5"/>
      <c r="B220" s="5"/>
    </row>
    <row r="221" spans="1:2" ht="15.95" customHeight="1">
      <c r="A221" s="5"/>
      <c r="B221" s="5"/>
    </row>
    <row r="222" spans="1:2" ht="15.95" customHeight="1">
      <c r="A222" s="5"/>
      <c r="B222" s="5"/>
    </row>
    <row r="223" spans="1:2" ht="15.95" customHeight="1">
      <c r="A223" s="5"/>
      <c r="B223" s="5"/>
    </row>
    <row r="224" spans="1:2" ht="15.95" customHeight="1">
      <c r="A224" s="5"/>
      <c r="B224" s="5"/>
    </row>
    <row r="225" spans="1:9" ht="15.95" customHeight="1">
      <c r="A225" s="5"/>
      <c r="B225" s="5"/>
    </row>
    <row r="226" spans="1:9" ht="15.95" customHeight="1">
      <c r="A226" s="5"/>
      <c r="B226" s="5"/>
    </row>
    <row r="227" spans="1:9" ht="15.95" customHeight="1">
      <c r="A227" s="5"/>
      <c r="B227" s="5"/>
    </row>
    <row r="228" spans="1:9" ht="15.95" customHeight="1">
      <c r="A228" s="5"/>
      <c r="B228" s="5"/>
    </row>
    <row r="229" spans="1:9" ht="15.95" customHeight="1">
      <c r="A229" s="5"/>
      <c r="B229" s="5"/>
    </row>
    <row r="230" spans="1:9" ht="15.95" customHeight="1">
      <c r="A230" s="5"/>
      <c r="B230" s="5"/>
    </row>
    <row r="231" spans="1:9" ht="15.95" customHeight="1">
      <c r="A231" s="5"/>
      <c r="B231" s="5"/>
    </row>
    <row r="233" spans="1:9" ht="15.95" customHeight="1">
      <c r="I233" s="1"/>
    </row>
    <row r="234" spans="1:9" ht="15.95" customHeight="1">
      <c r="I234" s="1"/>
    </row>
    <row r="235" spans="1:9" ht="15.95" customHeight="1">
      <c r="I235" s="1"/>
    </row>
    <row r="236" spans="1:9" ht="15.95" customHeight="1">
      <c r="I236" s="1"/>
    </row>
    <row r="237" spans="1:9" ht="15.95" customHeight="1">
      <c r="I237" s="1"/>
    </row>
    <row r="238" spans="1:9" ht="15.95" customHeight="1">
      <c r="I238" s="19"/>
    </row>
    <row r="239" spans="1:9" ht="15.95" customHeight="1">
      <c r="I239" s="156"/>
    </row>
    <row r="240" spans="1:9" ht="15.95" customHeight="1">
      <c r="I240" s="19"/>
    </row>
    <row r="241" spans="1:9" ht="15.95" customHeight="1">
      <c r="I241" s="19"/>
    </row>
    <row r="242" spans="1:9" ht="15.95" customHeight="1">
      <c r="I242" s="182"/>
    </row>
    <row r="247" spans="1:9" ht="15.95" customHeight="1">
      <c r="I247" s="153"/>
    </row>
    <row r="250" spans="1:9" ht="15.95" customHeight="1">
      <c r="A250" s="5"/>
      <c r="B250" s="5"/>
    </row>
    <row r="251" spans="1:9" ht="15.95" customHeight="1">
      <c r="A251" s="5"/>
      <c r="B251" s="5"/>
    </row>
    <row r="252" spans="1:9" ht="15.95" customHeight="1">
      <c r="A252" s="5"/>
      <c r="B252" s="5"/>
    </row>
    <row r="268" spans="1:2" ht="15.95" customHeight="1">
      <c r="A268" s="5"/>
      <c r="B268" s="5"/>
    </row>
    <row r="269" spans="1:2" ht="15.95" customHeight="1">
      <c r="A269" s="5"/>
      <c r="B269" s="5"/>
    </row>
    <row r="270" spans="1:2" ht="15.95" customHeight="1">
      <c r="A270" s="5"/>
      <c r="B270" s="5"/>
    </row>
    <row r="271" spans="1:2" ht="15.95" customHeight="1">
      <c r="A271" s="5"/>
      <c r="B271" s="5"/>
    </row>
    <row r="272" spans="1:2" ht="15.95" customHeight="1">
      <c r="A272" s="5"/>
      <c r="B272" s="5"/>
    </row>
    <row r="273" spans="1:2" ht="15.95" customHeight="1">
      <c r="A273" s="5"/>
      <c r="B273" s="5"/>
    </row>
    <row r="274" spans="1:2" ht="15.95" customHeight="1">
      <c r="A274" s="5"/>
      <c r="B274" s="5"/>
    </row>
    <row r="283" spans="1:2" ht="15.95" customHeight="1">
      <c r="A283" s="5"/>
      <c r="B283" s="5"/>
    </row>
    <row r="284" spans="1:2" ht="15.95" customHeight="1">
      <c r="A284" s="5"/>
      <c r="B284" s="5"/>
    </row>
    <row r="285" spans="1:2" ht="15.95" customHeight="1">
      <c r="A285" s="5"/>
      <c r="B285" s="5"/>
    </row>
    <row r="286" spans="1:2" ht="15.95" customHeight="1">
      <c r="A286" s="5"/>
      <c r="B286" s="5"/>
    </row>
    <row r="287" spans="1:2" ht="15.95" customHeight="1">
      <c r="A287" s="5"/>
      <c r="B287" s="5"/>
    </row>
    <row r="288" spans="1:2" ht="15.95" customHeight="1">
      <c r="A288" s="5"/>
      <c r="B288" s="5"/>
    </row>
    <row r="290" spans="1:9" ht="15.95" customHeight="1">
      <c r="A290" s="5"/>
      <c r="B290" s="5"/>
    </row>
    <row r="291" spans="1:9" ht="15.95" customHeight="1">
      <c r="A291" s="5"/>
      <c r="B291" s="5"/>
    </row>
    <row r="292" spans="1:9" ht="15.95" customHeight="1">
      <c r="A292" s="5"/>
      <c r="B292" s="5"/>
    </row>
    <row r="293" spans="1:9" ht="15.95" customHeight="1">
      <c r="A293" s="5"/>
      <c r="B293" s="5"/>
    </row>
    <row r="294" spans="1:9" ht="15.95" customHeight="1">
      <c r="A294" s="5"/>
      <c r="B294" s="5"/>
    </row>
    <row r="295" spans="1:9" ht="15.95" customHeight="1">
      <c r="A295" s="5"/>
      <c r="B295" s="5"/>
    </row>
    <row r="296" spans="1:9" ht="15.95" customHeight="1">
      <c r="A296" s="5"/>
      <c r="B296" s="5"/>
    </row>
    <row r="297" spans="1:9" ht="15.95" customHeight="1">
      <c r="A297" s="5"/>
      <c r="B297" s="5"/>
    </row>
    <row r="298" spans="1:9" ht="15.95" customHeight="1">
      <c r="A298" s="5"/>
      <c r="B298" s="5"/>
    </row>
    <row r="299" spans="1:9" ht="15.95" customHeight="1">
      <c r="A299" s="5"/>
      <c r="B299" s="5"/>
      <c r="I299" s="154"/>
    </row>
    <row r="310" spans="8:9" ht="15.95" customHeight="1">
      <c r="I310" s="183"/>
    </row>
    <row r="313" spans="8:9" ht="15.95" customHeight="1">
      <c r="H313" s="184"/>
    </row>
    <row r="314" spans="8:9" ht="15.95" customHeight="1">
      <c r="I314" s="19"/>
    </row>
    <row r="315" spans="8:9" ht="15.95" customHeight="1">
      <c r="I315" s="19"/>
    </row>
    <row r="316" spans="8:9" ht="15.95" customHeight="1">
      <c r="I316" s="19"/>
    </row>
    <row r="317" spans="8:9" ht="15.95" customHeight="1">
      <c r="I317" s="19"/>
    </row>
    <row r="318" spans="8:9" ht="15.95" customHeight="1">
      <c r="I318" s="19"/>
    </row>
    <row r="319" spans="8:9" ht="15.95" customHeight="1">
      <c r="I319" s="19"/>
    </row>
    <row r="320" spans="8:9" ht="15.95" customHeight="1">
      <c r="I320" s="19"/>
    </row>
    <row r="321" spans="1:9" ht="15.95" customHeight="1">
      <c r="I321" s="19"/>
    </row>
    <row r="322" spans="1:9" ht="15.95" customHeight="1">
      <c r="I322" s="19"/>
    </row>
    <row r="323" spans="1:9" ht="15.95" customHeight="1">
      <c r="I323" s="19"/>
    </row>
    <row r="324" spans="1:9" ht="15.95" customHeight="1">
      <c r="A324" s="19"/>
      <c r="B324" s="19"/>
      <c r="D324" s="19"/>
      <c r="E324" s="19"/>
      <c r="I324" s="19"/>
    </row>
    <row r="325" spans="1:9" ht="15.95" customHeight="1">
      <c r="A325" s="19"/>
      <c r="B325" s="19"/>
      <c r="D325" s="19"/>
      <c r="E325" s="19"/>
      <c r="I325" s="19"/>
    </row>
    <row r="333" spans="1:9" ht="15.95" customHeight="1">
      <c r="A333" s="5"/>
      <c r="B333" s="5"/>
    </row>
    <row r="334" spans="1:9" ht="15.95" customHeight="1">
      <c r="A334" s="5"/>
      <c r="B334" s="5"/>
      <c r="I334" s="154"/>
    </row>
    <row r="335" spans="1:9" ht="15.95" customHeight="1">
      <c r="A335" s="5"/>
      <c r="B335" s="5"/>
    </row>
    <row r="336" spans="1:9" ht="15.95" customHeight="1">
      <c r="A336" s="5"/>
      <c r="B336" s="5"/>
    </row>
    <row r="337" spans="1:9" ht="15.95" customHeight="1">
      <c r="A337" s="5"/>
      <c r="B337" s="5"/>
      <c r="F337" s="1341"/>
    </row>
    <row r="338" spans="1:9" ht="15.95" customHeight="1">
      <c r="A338" s="5"/>
      <c r="B338" s="5"/>
      <c r="F338" s="1341"/>
    </row>
    <row r="339" spans="1:9" ht="15.95" customHeight="1">
      <c r="A339" s="5"/>
      <c r="B339" s="5"/>
      <c r="F339" s="1341"/>
    </row>
    <row r="340" spans="1:9" ht="15.95" customHeight="1">
      <c r="A340" s="5"/>
      <c r="B340" s="5"/>
      <c r="F340" s="1341"/>
    </row>
    <row r="341" spans="1:9" ht="15.95" customHeight="1">
      <c r="I341" s="181"/>
    </row>
    <row r="342" spans="1:9" ht="15.95" customHeight="1">
      <c r="I342" s="181"/>
    </row>
    <row r="347" spans="1:9" ht="15.95" customHeight="1">
      <c r="A347" s="5"/>
      <c r="B347" s="5"/>
      <c r="F347" s="1341"/>
      <c r="H347" s="181"/>
      <c r="I347" s="182"/>
    </row>
    <row r="348" spans="1:9" ht="15.95" customHeight="1">
      <c r="A348" s="5"/>
      <c r="B348" s="5"/>
      <c r="F348" s="1341"/>
      <c r="H348" s="181"/>
      <c r="I348" s="182"/>
    </row>
    <row r="349" spans="1:9" ht="15.95" customHeight="1">
      <c r="A349" s="5"/>
      <c r="B349" s="5"/>
      <c r="F349" s="1341"/>
      <c r="H349" s="181"/>
      <c r="I349" s="182"/>
    </row>
    <row r="350" spans="1:9" ht="15.95" customHeight="1">
      <c r="A350" s="5"/>
      <c r="B350" s="5"/>
      <c r="F350" s="1341"/>
      <c r="H350" s="181"/>
      <c r="I350" s="182"/>
    </row>
    <row r="351" spans="1:9" ht="15.95" customHeight="1">
      <c r="A351" s="5"/>
      <c r="B351" s="5"/>
      <c r="F351" s="1341"/>
      <c r="H351" s="181"/>
      <c r="I351" s="182"/>
    </row>
    <row r="352" spans="1:9" ht="15.95" customHeight="1">
      <c r="A352" s="5"/>
      <c r="B352" s="5"/>
      <c r="F352" s="1341"/>
      <c r="H352" s="181"/>
      <c r="I352" s="182"/>
    </row>
    <row r="353" spans="1:9" ht="15.95" customHeight="1">
      <c r="A353" s="5"/>
      <c r="B353" s="5"/>
      <c r="F353" s="1341"/>
      <c r="H353" s="181"/>
      <c r="I353" s="182"/>
    </row>
    <row r="354" spans="1:9" ht="15.95" customHeight="1">
      <c r="A354" s="5"/>
      <c r="B354" s="5"/>
      <c r="F354" s="1341"/>
      <c r="H354" s="181"/>
      <c r="I354" s="182"/>
    </row>
    <row r="355" spans="1:9" ht="15.95" customHeight="1">
      <c r="A355" s="5"/>
      <c r="B355" s="5"/>
      <c r="F355" s="1341"/>
      <c r="H355" s="181"/>
      <c r="I355" s="182"/>
    </row>
    <row r="356" spans="1:9" ht="15.95" customHeight="1">
      <c r="A356" s="5"/>
      <c r="B356" s="5"/>
      <c r="F356" s="1341"/>
      <c r="H356" s="181"/>
      <c r="I356" s="182"/>
    </row>
    <row r="357" spans="1:9" ht="15.95" customHeight="1">
      <c r="A357" s="5"/>
      <c r="B357" s="5"/>
      <c r="F357" s="1341"/>
      <c r="H357" s="181"/>
      <c r="I357" s="182"/>
    </row>
    <row r="358" spans="1:9" ht="15.95" customHeight="1">
      <c r="A358" s="5"/>
      <c r="B358" s="5"/>
      <c r="F358" s="1341"/>
      <c r="H358" s="181"/>
      <c r="I358" s="182"/>
    </row>
    <row r="359" spans="1:9" ht="15.95" customHeight="1">
      <c r="A359" s="5"/>
      <c r="B359" s="5"/>
      <c r="F359" s="1341"/>
      <c r="H359" s="181"/>
      <c r="I359" s="182"/>
    </row>
    <row r="360" spans="1:9" ht="15.95" customHeight="1">
      <c r="A360" s="5"/>
      <c r="B360" s="5"/>
      <c r="F360" s="1341"/>
      <c r="H360" s="181"/>
      <c r="I360" s="182"/>
    </row>
    <row r="361" spans="1:9" ht="15.95" customHeight="1">
      <c r="A361" s="5"/>
      <c r="B361" s="5"/>
      <c r="F361" s="1341"/>
      <c r="H361" s="181"/>
      <c r="I361" s="182"/>
    </row>
    <row r="362" spans="1:9" ht="15.95" customHeight="1">
      <c r="A362" s="5"/>
      <c r="B362" s="5"/>
      <c r="F362" s="1341"/>
      <c r="H362" s="181"/>
      <c r="I362" s="182"/>
    </row>
    <row r="363" spans="1:9" ht="15.95" customHeight="1">
      <c r="A363" s="5"/>
      <c r="B363" s="5"/>
      <c r="F363" s="1341"/>
      <c r="H363" s="181"/>
      <c r="I363" s="182"/>
    </row>
    <row r="364" spans="1:9" ht="15.95" customHeight="1">
      <c r="A364" s="5"/>
      <c r="B364" s="5"/>
      <c r="F364" s="1341"/>
      <c r="H364" s="181"/>
      <c r="I364" s="182"/>
    </row>
    <row r="365" spans="1:9" ht="15.95" customHeight="1">
      <c r="A365" s="5"/>
      <c r="B365" s="5"/>
      <c r="F365" s="1341"/>
      <c r="H365" s="181"/>
      <c r="I365" s="182"/>
    </row>
    <row r="366" spans="1:9" ht="15.95" customHeight="1">
      <c r="A366" s="5"/>
      <c r="B366" s="5"/>
      <c r="F366" s="1341"/>
      <c r="H366" s="181"/>
      <c r="I366" s="182"/>
    </row>
    <row r="367" spans="1:9" ht="15.95" customHeight="1">
      <c r="A367" s="5"/>
      <c r="B367" s="5"/>
      <c r="F367" s="1341"/>
      <c r="H367" s="181"/>
      <c r="I367" s="182"/>
    </row>
    <row r="368" spans="1:9" ht="15.95" customHeight="1">
      <c r="A368" s="5"/>
      <c r="B368" s="5"/>
      <c r="F368" s="1341"/>
      <c r="H368" s="181"/>
      <c r="I368" s="182"/>
    </row>
    <row r="369" spans="1:9" ht="15.95" customHeight="1">
      <c r="A369" s="5"/>
      <c r="B369" s="5"/>
      <c r="F369" s="1341"/>
      <c r="H369" s="181"/>
      <c r="I369" s="182"/>
    </row>
    <row r="370" spans="1:9" ht="15.95" customHeight="1">
      <c r="A370" s="5"/>
      <c r="B370" s="5"/>
      <c r="F370" s="1341"/>
      <c r="H370" s="181"/>
      <c r="I370" s="182"/>
    </row>
    <row r="371" spans="1:9" ht="15.95" customHeight="1">
      <c r="A371" s="5"/>
      <c r="B371" s="5"/>
      <c r="F371" s="1341"/>
      <c r="H371" s="181"/>
      <c r="I371" s="182"/>
    </row>
    <row r="372" spans="1:9" ht="15.95" customHeight="1">
      <c r="A372" s="5"/>
      <c r="B372" s="5"/>
      <c r="F372" s="1341"/>
      <c r="H372" s="181"/>
      <c r="I372" s="182"/>
    </row>
    <row r="373" spans="1:9" ht="15.95" customHeight="1">
      <c r="A373" s="5"/>
      <c r="B373" s="5"/>
      <c r="F373" s="1341"/>
      <c r="H373" s="181"/>
      <c r="I373" s="182"/>
    </row>
    <row r="374" spans="1:9" ht="15.95" customHeight="1">
      <c r="A374" s="5"/>
      <c r="B374" s="5"/>
      <c r="F374" s="1341"/>
      <c r="H374" s="181"/>
      <c r="I374" s="182"/>
    </row>
    <row r="375" spans="1:9" ht="15.95" customHeight="1">
      <c r="A375" s="5"/>
      <c r="B375" s="5"/>
      <c r="F375" s="1341"/>
      <c r="H375" s="181"/>
      <c r="I375" s="182"/>
    </row>
    <row r="376" spans="1:9" ht="15.95" customHeight="1">
      <c r="A376" s="5"/>
      <c r="B376" s="5"/>
      <c r="F376" s="1341"/>
      <c r="H376" s="181"/>
      <c r="I376" s="182"/>
    </row>
    <row r="377" spans="1:9" ht="15.95" customHeight="1">
      <c r="A377" s="5"/>
      <c r="B377" s="5"/>
      <c r="F377" s="1341"/>
      <c r="H377" s="181"/>
      <c r="I377" s="182"/>
    </row>
    <row r="378" spans="1:9" ht="15.95" customHeight="1">
      <c r="A378" s="5"/>
      <c r="B378" s="5"/>
      <c r="F378" s="1341"/>
      <c r="H378" s="181"/>
      <c r="I378" s="182"/>
    </row>
    <row r="379" spans="1:9" ht="15.95" customHeight="1">
      <c r="A379" s="5"/>
      <c r="B379" s="5"/>
      <c r="F379" s="1341"/>
      <c r="H379" s="181"/>
      <c r="I379" s="182"/>
    </row>
    <row r="380" spans="1:9" ht="15.95" customHeight="1">
      <c r="A380" s="5"/>
      <c r="B380" s="5"/>
      <c r="F380" s="1341"/>
      <c r="H380" s="181"/>
      <c r="I380" s="182"/>
    </row>
    <row r="381" spans="1:9" ht="15.95" customHeight="1">
      <c r="A381" s="5"/>
      <c r="B381" s="5"/>
      <c r="F381" s="1341"/>
      <c r="H381" s="181"/>
      <c r="I381" s="182"/>
    </row>
    <row r="382" spans="1:9" ht="15.95" customHeight="1">
      <c r="A382" s="5"/>
      <c r="B382" s="5"/>
      <c r="F382" s="1341"/>
      <c r="H382" s="181"/>
      <c r="I382" s="182"/>
    </row>
    <row r="383" spans="1:9" ht="15.95" customHeight="1">
      <c r="A383" s="5"/>
      <c r="B383" s="5"/>
      <c r="F383" s="1341"/>
      <c r="H383" s="181"/>
      <c r="I383" s="182"/>
    </row>
    <row r="384" spans="1:9" ht="15.95" customHeight="1">
      <c r="A384" s="5"/>
      <c r="B384" s="5"/>
      <c r="F384" s="1341"/>
      <c r="H384" s="181"/>
      <c r="I384" s="182"/>
    </row>
    <row r="385" spans="1:9" ht="15.95" customHeight="1">
      <c r="A385" s="5"/>
      <c r="B385" s="5"/>
      <c r="F385" s="1341"/>
      <c r="H385" s="181"/>
      <c r="I385" s="182"/>
    </row>
    <row r="386" spans="1:9" ht="15.95" customHeight="1">
      <c r="A386" s="5"/>
      <c r="B386" s="5"/>
      <c r="F386" s="1341"/>
      <c r="H386" s="181"/>
      <c r="I386" s="182"/>
    </row>
    <row r="387" spans="1:9" ht="15.95" customHeight="1">
      <c r="A387" s="5"/>
      <c r="B387" s="5"/>
      <c r="F387" s="1341"/>
      <c r="H387" s="181"/>
      <c r="I387" s="182"/>
    </row>
    <row r="388" spans="1:9" ht="15.95" customHeight="1">
      <c r="A388" s="5"/>
      <c r="B388" s="5"/>
      <c r="F388" s="1341"/>
      <c r="H388" s="181"/>
      <c r="I388" s="182"/>
    </row>
    <row r="389" spans="1:9" ht="15.95" customHeight="1">
      <c r="A389" s="5"/>
      <c r="B389" s="5"/>
      <c r="F389" s="1341"/>
      <c r="H389" s="181"/>
      <c r="I389" s="183"/>
    </row>
    <row r="390" spans="1:9" ht="15.95" customHeight="1">
      <c r="A390" s="5"/>
      <c r="B390" s="5"/>
      <c r="F390" s="1341"/>
      <c r="H390" s="181"/>
      <c r="I390" s="182"/>
    </row>
    <row r="391" spans="1:9" ht="15.95" customHeight="1">
      <c r="A391" s="5"/>
      <c r="B391" s="5"/>
      <c r="F391" s="1341"/>
      <c r="H391" s="181"/>
      <c r="I391" s="182"/>
    </row>
    <row r="392" spans="1:9" ht="15.95" customHeight="1">
      <c r="A392" s="5"/>
      <c r="B392" s="5"/>
      <c r="F392" s="1341"/>
      <c r="H392" s="181"/>
      <c r="I392" s="182"/>
    </row>
    <row r="393" spans="1:9" ht="15.95" customHeight="1">
      <c r="A393" s="5"/>
      <c r="B393" s="5"/>
      <c r="F393" s="1341"/>
      <c r="H393" s="181"/>
      <c r="I393" s="182"/>
    </row>
    <row r="394" spans="1:9" ht="15.95" customHeight="1">
      <c r="A394" s="5"/>
      <c r="B394" s="5"/>
      <c r="F394" s="1341"/>
      <c r="H394" s="181"/>
      <c r="I394" s="182"/>
    </row>
    <row r="395" spans="1:9" ht="15.95" customHeight="1">
      <c r="A395" s="5"/>
      <c r="B395" s="5"/>
      <c r="F395" s="1341"/>
      <c r="H395" s="181"/>
      <c r="I395" s="182"/>
    </row>
    <row r="396" spans="1:9" ht="15.95" customHeight="1">
      <c r="A396" s="5"/>
      <c r="B396" s="5"/>
      <c r="F396" s="1341"/>
      <c r="H396" s="181"/>
      <c r="I396" s="182"/>
    </row>
    <row r="397" spans="1:9" ht="15.95" customHeight="1">
      <c r="A397" s="5"/>
      <c r="B397" s="5"/>
      <c r="F397" s="1341"/>
      <c r="H397" s="181"/>
      <c r="I397" s="182"/>
    </row>
    <row r="398" spans="1:9" ht="15.95" customHeight="1">
      <c r="A398" s="5"/>
      <c r="B398" s="5"/>
      <c r="F398" s="1341"/>
      <c r="H398" s="181"/>
      <c r="I398" s="182"/>
    </row>
    <row r="399" spans="1:9" ht="15.95" customHeight="1">
      <c r="A399" s="5"/>
      <c r="B399" s="5"/>
      <c r="F399" s="1341"/>
      <c r="H399" s="181"/>
      <c r="I399" s="182"/>
    </row>
    <row r="400" spans="1:9" ht="15.95" customHeight="1">
      <c r="A400" s="5"/>
      <c r="B400" s="5"/>
      <c r="F400" s="1341"/>
      <c r="H400" s="181"/>
      <c r="I400" s="182"/>
    </row>
    <row r="401" spans="1:9" ht="15.95" customHeight="1">
      <c r="A401" s="5"/>
      <c r="B401" s="5"/>
      <c r="F401" s="1341"/>
      <c r="H401" s="181"/>
      <c r="I401" s="182"/>
    </row>
    <row r="402" spans="1:9" ht="15.95" customHeight="1">
      <c r="A402" s="5"/>
      <c r="B402" s="5"/>
      <c r="F402" s="1341"/>
      <c r="H402" s="181"/>
      <c r="I402" s="182"/>
    </row>
    <row r="403" spans="1:9" ht="15.95" customHeight="1">
      <c r="A403" s="5"/>
      <c r="B403" s="5"/>
      <c r="F403" s="1341"/>
      <c r="H403" s="181"/>
      <c r="I403" s="182"/>
    </row>
    <row r="404" spans="1:9" ht="15.95" customHeight="1">
      <c r="A404" s="5"/>
      <c r="B404" s="5"/>
      <c r="F404" s="1341"/>
      <c r="H404" s="181"/>
      <c r="I404" s="182"/>
    </row>
    <row r="405" spans="1:9" ht="15.95" customHeight="1">
      <c r="A405" s="5"/>
      <c r="B405" s="5"/>
      <c r="F405" s="1341"/>
      <c r="H405" s="181"/>
      <c r="I405" s="154"/>
    </row>
    <row r="406" spans="1:9" ht="15.95" customHeight="1">
      <c r="A406" s="5"/>
      <c r="B406" s="5"/>
      <c r="F406" s="1341"/>
      <c r="H406" s="181"/>
      <c r="I406" s="182"/>
    </row>
    <row r="407" spans="1:9" ht="15.95" customHeight="1">
      <c r="A407" s="5"/>
      <c r="B407" s="5"/>
      <c r="F407" s="1341"/>
      <c r="H407" s="181"/>
      <c r="I407" s="182"/>
    </row>
    <row r="408" spans="1:9" ht="15.95" customHeight="1">
      <c r="A408" s="5"/>
      <c r="B408" s="5"/>
      <c r="F408" s="1341"/>
      <c r="H408" s="181"/>
      <c r="I408" s="182"/>
    </row>
    <row r="409" spans="1:9" ht="15.95" customHeight="1">
      <c r="A409" s="5"/>
      <c r="B409" s="5"/>
      <c r="F409" s="1341"/>
      <c r="H409" s="181"/>
      <c r="I409" s="182"/>
    </row>
    <row r="410" spans="1:9" ht="15.95" customHeight="1">
      <c r="A410" s="5"/>
      <c r="B410" s="5"/>
      <c r="F410" s="1341"/>
      <c r="H410" s="181"/>
      <c r="I410" s="182"/>
    </row>
    <row r="411" spans="1:9" ht="15.95" customHeight="1">
      <c r="A411" s="5"/>
      <c r="B411" s="5"/>
      <c r="F411" s="1341"/>
      <c r="H411" s="181"/>
      <c r="I411" s="182"/>
    </row>
    <row r="412" spans="1:9" ht="15.95" customHeight="1">
      <c r="A412" s="5"/>
      <c r="B412" s="5"/>
      <c r="F412" s="1341"/>
      <c r="H412" s="181"/>
      <c r="I412" s="182"/>
    </row>
    <row r="413" spans="1:9" ht="15.95" customHeight="1">
      <c r="A413" s="5"/>
      <c r="B413" s="5"/>
      <c r="F413" s="1341"/>
      <c r="H413" s="181"/>
      <c r="I413" s="182"/>
    </row>
    <row r="414" spans="1:9" ht="15.95" customHeight="1">
      <c r="A414" s="5"/>
      <c r="B414" s="5"/>
      <c r="F414" s="1341"/>
      <c r="H414" s="181"/>
      <c r="I414" s="182"/>
    </row>
    <row r="415" spans="1:9" ht="15.95" customHeight="1">
      <c r="A415" s="5"/>
      <c r="B415" s="5"/>
      <c r="F415" s="1341"/>
      <c r="H415" s="181"/>
      <c r="I415" s="182"/>
    </row>
    <row r="416" spans="1:9" ht="15.95" customHeight="1">
      <c r="A416" s="5"/>
      <c r="B416" s="5"/>
      <c r="F416" s="1341"/>
      <c r="H416" s="181"/>
      <c r="I416" s="182"/>
    </row>
    <row r="417" spans="1:9" ht="15.95" customHeight="1">
      <c r="A417" s="5"/>
      <c r="B417" s="5"/>
      <c r="F417" s="1341"/>
      <c r="H417" s="181"/>
      <c r="I417" s="182"/>
    </row>
    <row r="418" spans="1:9" ht="15.95" customHeight="1">
      <c r="A418" s="5"/>
      <c r="B418" s="5"/>
      <c r="F418" s="1341"/>
      <c r="H418" s="181"/>
      <c r="I418" s="182"/>
    </row>
    <row r="419" spans="1:9" ht="15.95" customHeight="1">
      <c r="A419" s="5"/>
      <c r="B419" s="5"/>
      <c r="F419" s="1341"/>
      <c r="H419" s="181"/>
      <c r="I419" s="182"/>
    </row>
    <row r="420" spans="1:9" ht="15.95" customHeight="1">
      <c r="A420" s="5"/>
      <c r="B420" s="5"/>
      <c r="F420" s="1341"/>
      <c r="H420" s="181"/>
      <c r="I420" s="182"/>
    </row>
    <row r="421" spans="1:9" ht="15.95" customHeight="1">
      <c r="A421" s="5"/>
      <c r="B421" s="5"/>
      <c r="F421" s="1341"/>
      <c r="H421" s="181"/>
      <c r="I421" s="182"/>
    </row>
    <row r="422" spans="1:9" ht="15.95" customHeight="1">
      <c r="A422" s="5"/>
      <c r="B422" s="5"/>
      <c r="F422" s="1341"/>
      <c r="H422" s="181"/>
      <c r="I422" s="182"/>
    </row>
    <row r="423" spans="1:9" ht="15.95" customHeight="1">
      <c r="A423" s="5"/>
      <c r="B423" s="5"/>
      <c r="F423" s="1341"/>
      <c r="H423" s="181"/>
      <c r="I423" s="182"/>
    </row>
    <row r="424" spans="1:9" ht="15.95" customHeight="1">
      <c r="A424" s="5"/>
      <c r="B424" s="5"/>
      <c r="F424" s="1341"/>
      <c r="H424" s="181"/>
      <c r="I424" s="182"/>
    </row>
    <row r="425" spans="1:9" ht="15.95" customHeight="1">
      <c r="A425" s="5"/>
      <c r="B425" s="5"/>
      <c r="F425" s="1341"/>
      <c r="H425" s="181"/>
      <c r="I425" s="182"/>
    </row>
    <row r="426" spans="1:9" ht="15.95" customHeight="1">
      <c r="A426" s="5"/>
      <c r="B426" s="5"/>
      <c r="F426" s="1341"/>
      <c r="H426" s="181"/>
      <c r="I426" s="182"/>
    </row>
    <row r="427" spans="1:9" ht="15.95" customHeight="1">
      <c r="A427" s="5"/>
      <c r="B427" s="5"/>
      <c r="F427" s="1341"/>
      <c r="H427" s="181"/>
      <c r="I427" s="156"/>
    </row>
    <row r="428" spans="1:9" ht="15.95" customHeight="1">
      <c r="A428" s="5"/>
      <c r="B428" s="5"/>
      <c r="F428" s="1341"/>
      <c r="H428" s="181"/>
      <c r="I428" s="182"/>
    </row>
    <row r="429" spans="1:9" ht="15.95" customHeight="1">
      <c r="A429" s="5"/>
      <c r="B429" s="5"/>
      <c r="F429" s="1341"/>
      <c r="H429" s="181"/>
      <c r="I429" s="182"/>
    </row>
    <row r="430" spans="1:9" ht="15.95" customHeight="1">
      <c r="A430" s="5"/>
      <c r="B430" s="5"/>
      <c r="F430" s="1341"/>
      <c r="H430" s="181"/>
      <c r="I430" s="182"/>
    </row>
    <row r="431" spans="1:9" ht="15.95" customHeight="1">
      <c r="A431" s="5"/>
      <c r="B431" s="5"/>
      <c r="F431" s="1341"/>
      <c r="H431" s="181"/>
      <c r="I431" s="182"/>
    </row>
    <row r="432" spans="1:9" ht="15.95" customHeight="1">
      <c r="A432" s="5"/>
      <c r="B432" s="5"/>
      <c r="F432" s="1341"/>
      <c r="H432" s="181"/>
      <c r="I432" s="182"/>
    </row>
    <row r="433" spans="1:9" ht="15.95" customHeight="1">
      <c r="A433" s="5"/>
      <c r="B433" s="5"/>
      <c r="F433" s="1341"/>
      <c r="H433" s="181"/>
      <c r="I433" s="182"/>
    </row>
    <row r="434" spans="1:9" ht="15.95" customHeight="1">
      <c r="A434" s="5"/>
      <c r="B434" s="5"/>
      <c r="F434" s="1341"/>
      <c r="H434" s="181"/>
      <c r="I434" s="182"/>
    </row>
    <row r="435" spans="1:9" ht="15.95" customHeight="1">
      <c r="A435" s="5"/>
      <c r="B435" s="5"/>
      <c r="F435" s="1341"/>
      <c r="H435" s="181"/>
      <c r="I435" s="182"/>
    </row>
    <row r="436" spans="1:9" ht="15.95" customHeight="1">
      <c r="A436" s="5"/>
      <c r="B436" s="5"/>
      <c r="F436" s="1341"/>
      <c r="H436" s="181"/>
      <c r="I436" s="182"/>
    </row>
    <row r="437" spans="1:9" ht="15.95" customHeight="1">
      <c r="A437" s="5"/>
      <c r="B437" s="5"/>
      <c r="F437" s="1341"/>
      <c r="H437" s="181"/>
      <c r="I437" s="182"/>
    </row>
    <row r="438" spans="1:9" ht="15.95" customHeight="1">
      <c r="A438" s="5"/>
      <c r="B438" s="5"/>
      <c r="F438" s="1341"/>
      <c r="H438" s="181"/>
      <c r="I438" s="182"/>
    </row>
    <row r="439" spans="1:9" ht="15.95" customHeight="1">
      <c r="A439" s="5"/>
      <c r="B439" s="5"/>
      <c r="F439" s="1341"/>
      <c r="H439" s="181"/>
      <c r="I439" s="182"/>
    </row>
    <row r="440" spans="1:9" ht="15.95" customHeight="1">
      <c r="A440" s="5"/>
      <c r="B440" s="5"/>
      <c r="F440" s="1341"/>
      <c r="H440" s="181"/>
      <c r="I440" s="182"/>
    </row>
    <row r="441" spans="1:9" ht="15.95" customHeight="1">
      <c r="A441" s="5"/>
      <c r="B441" s="5"/>
      <c r="F441" s="1341"/>
      <c r="H441" s="181"/>
      <c r="I441" s="182"/>
    </row>
    <row r="442" spans="1:9" ht="15.95" customHeight="1">
      <c r="A442" s="5"/>
      <c r="B442" s="5"/>
      <c r="F442" s="1341"/>
      <c r="H442" s="181"/>
      <c r="I442" s="182"/>
    </row>
    <row r="443" spans="1:9" ht="15.95" customHeight="1">
      <c r="A443" s="5"/>
      <c r="B443" s="5"/>
      <c r="F443" s="1341"/>
      <c r="H443" s="181"/>
      <c r="I443" s="182"/>
    </row>
    <row r="444" spans="1:9" ht="15.95" customHeight="1">
      <c r="A444" s="5"/>
      <c r="B444" s="5"/>
      <c r="F444" s="1341"/>
      <c r="H444" s="181"/>
      <c r="I444" s="182"/>
    </row>
    <row r="445" spans="1:9" ht="15.95" customHeight="1">
      <c r="A445" s="5"/>
      <c r="B445" s="5"/>
      <c r="F445" s="1341"/>
      <c r="H445" s="181"/>
      <c r="I445" s="182"/>
    </row>
    <row r="446" spans="1:9" ht="15.95" customHeight="1">
      <c r="A446" s="5"/>
      <c r="B446" s="5"/>
      <c r="F446" s="1341"/>
      <c r="H446" s="181"/>
      <c r="I446" s="182"/>
    </row>
    <row r="447" spans="1:9" ht="15.95" customHeight="1">
      <c r="A447" s="5"/>
      <c r="B447" s="5"/>
      <c r="F447" s="1341"/>
      <c r="H447" s="181"/>
      <c r="I447" s="182"/>
    </row>
    <row r="448" spans="1:9" ht="15.95" customHeight="1">
      <c r="A448" s="5"/>
      <c r="B448" s="5"/>
      <c r="F448" s="1341"/>
      <c r="H448" s="181"/>
      <c r="I448" s="182"/>
    </row>
    <row r="449" spans="1:8" ht="15.95" customHeight="1">
      <c r="A449" s="5"/>
      <c r="B449" s="5"/>
      <c r="F449" s="1341"/>
      <c r="H449" s="181"/>
    </row>
    <row r="450" spans="1:8" ht="15.95" customHeight="1">
      <c r="A450" s="5"/>
      <c r="B450" s="5"/>
    </row>
    <row r="457" spans="1:8" ht="15.95" customHeight="1">
      <c r="A457" s="5"/>
      <c r="B457" s="5"/>
    </row>
    <row r="458" spans="1:8" ht="15.95" customHeight="1">
      <c r="A458" s="5"/>
      <c r="B458" s="5"/>
    </row>
    <row r="459" spans="1:8" ht="15.95" customHeight="1">
      <c r="A459" s="5"/>
      <c r="B459" s="5"/>
    </row>
    <row r="460" spans="1:8" ht="15.95" customHeight="1">
      <c r="A460" s="5"/>
      <c r="B460" s="5"/>
    </row>
    <row r="461" spans="1:8" ht="15.95" customHeight="1">
      <c r="A461" s="5"/>
      <c r="B461" s="5"/>
    </row>
    <row r="462" spans="1:8" ht="15.95" customHeight="1">
      <c r="A462" s="5"/>
      <c r="B462" s="5"/>
    </row>
    <row r="463" spans="1:8" ht="15.95" customHeight="1">
      <c r="A463" s="5"/>
      <c r="B463" s="5"/>
    </row>
    <row r="464" spans="1:8" ht="15.95" customHeight="1">
      <c r="A464" s="5"/>
      <c r="B464" s="5"/>
    </row>
    <row r="465" spans="1:2" ht="15.95" customHeight="1">
      <c r="A465" s="5"/>
      <c r="B465" s="5"/>
    </row>
    <row r="466" spans="1:2" ht="15.95" customHeight="1">
      <c r="A466" s="5"/>
      <c r="B466" s="5"/>
    </row>
    <row r="467" spans="1:2" ht="15.95" customHeight="1">
      <c r="A467" s="5"/>
      <c r="B467" s="5"/>
    </row>
    <row r="468" spans="1:2" ht="15.95" customHeight="1">
      <c r="A468" s="5"/>
      <c r="B468" s="5"/>
    </row>
    <row r="469" spans="1:2" ht="15.95" customHeight="1">
      <c r="A469" s="5"/>
      <c r="B469" s="5"/>
    </row>
    <row r="470" spans="1:2" ht="15.95" customHeight="1">
      <c r="A470" s="5"/>
      <c r="B470" s="5"/>
    </row>
    <row r="471" spans="1:2" ht="15.95" customHeight="1">
      <c r="A471" s="5"/>
      <c r="B471" s="5"/>
    </row>
    <row r="472" spans="1:2" ht="15.95" customHeight="1">
      <c r="A472" s="5"/>
      <c r="B472" s="5"/>
    </row>
    <row r="473" spans="1:2" ht="15.95" customHeight="1">
      <c r="A473" s="5"/>
      <c r="B473" s="5"/>
    </row>
    <row r="474" spans="1:2" ht="15.95" customHeight="1">
      <c r="A474" s="5"/>
      <c r="B474" s="5"/>
    </row>
    <row r="479" spans="1:2" ht="15.95" customHeight="1">
      <c r="A479" s="5"/>
      <c r="B479" s="5"/>
    </row>
    <row r="480" spans="1:2" ht="15.95" customHeight="1">
      <c r="A480" s="5"/>
      <c r="B480" s="5"/>
    </row>
    <row r="481" spans="1:6" ht="15.95" customHeight="1">
      <c r="A481" s="5"/>
      <c r="B481" s="5"/>
    </row>
    <row r="483" spans="1:6" ht="15.95" customHeight="1">
      <c r="C483" s="193"/>
      <c r="D483" s="19"/>
      <c r="E483" s="19"/>
      <c r="F483" s="19"/>
    </row>
    <row r="486" spans="1:6" ht="15.95" customHeight="1">
      <c r="A486" s="5"/>
      <c r="B486" s="5"/>
    </row>
    <row r="487" spans="1:6" ht="15.95" customHeight="1">
      <c r="A487" s="5"/>
      <c r="B487" s="5"/>
    </row>
    <row r="488" spans="1:6" ht="15.95" customHeight="1">
      <c r="A488" s="5"/>
      <c r="B488" s="5"/>
    </row>
    <row r="497" spans="1:9" ht="15.95" customHeight="1">
      <c r="A497" s="5"/>
      <c r="B497" s="5"/>
    </row>
    <row r="498" spans="1:9" ht="15.95" customHeight="1">
      <c r="A498" s="5"/>
      <c r="B498" s="5"/>
    </row>
    <row r="499" spans="1:9" ht="15.95" customHeight="1">
      <c r="A499" s="5"/>
      <c r="B499" s="5"/>
    </row>
    <row r="500" spans="1:9" ht="15.95" customHeight="1">
      <c r="A500" s="5"/>
      <c r="B500" s="5"/>
    </row>
    <row r="501" spans="1:9" ht="15.95" customHeight="1">
      <c r="A501" s="5"/>
      <c r="B501" s="5"/>
    </row>
    <row r="506" spans="1:9" ht="15.95" customHeight="1">
      <c r="A506" s="5"/>
      <c r="B506" s="5"/>
    </row>
    <row r="507" spans="1:9" ht="15.95" customHeight="1">
      <c r="A507" s="5"/>
      <c r="B507" s="5"/>
    </row>
    <row r="508" spans="1:9" ht="15.95" customHeight="1">
      <c r="A508" s="5"/>
      <c r="B508" s="5"/>
    </row>
    <row r="509" spans="1:9" ht="15.95" customHeight="1">
      <c r="A509" s="5"/>
      <c r="B509" s="5"/>
    </row>
    <row r="512" spans="1:9" ht="15.95" customHeight="1">
      <c r="I512" s="157"/>
    </row>
    <row r="517" spans="1:9" ht="15.95" customHeight="1">
      <c r="E517" s="19"/>
      <c r="F517" s="19"/>
    </row>
    <row r="522" spans="1:9" ht="15.95" customHeight="1">
      <c r="A522" s="5"/>
      <c r="B522" s="5"/>
      <c r="G522" s="187"/>
      <c r="I522" s="188"/>
    </row>
    <row r="523" spans="1:9" ht="15.95" customHeight="1">
      <c r="A523" s="5"/>
      <c r="B523" s="5"/>
      <c r="G523" s="187"/>
    </row>
    <row r="524" spans="1:9" ht="15.95" customHeight="1">
      <c r="A524" s="5"/>
      <c r="B524" s="5"/>
      <c r="G524" s="187"/>
    </row>
    <row r="525" spans="1:9" ht="15.95" customHeight="1">
      <c r="A525" s="5"/>
      <c r="B525" s="5"/>
      <c r="G525" s="187"/>
    </row>
    <row r="526" spans="1:9" ht="15.95" customHeight="1">
      <c r="A526" s="5"/>
      <c r="B526" s="5"/>
      <c r="G526" s="187"/>
    </row>
    <row r="527" spans="1:9" ht="15.95" customHeight="1">
      <c r="A527" s="5"/>
      <c r="B527" s="5"/>
      <c r="G527" s="187"/>
    </row>
    <row r="528" spans="1:9" ht="15.95" customHeight="1">
      <c r="A528" s="5"/>
      <c r="B528" s="5"/>
      <c r="G528" s="187"/>
    </row>
    <row r="529" spans="1:9" ht="15.95" customHeight="1">
      <c r="A529" s="5"/>
      <c r="B529" s="5"/>
      <c r="G529" s="187"/>
    </row>
    <row r="530" spans="1:9" ht="15.95" customHeight="1">
      <c r="A530" s="5"/>
      <c r="B530" s="5"/>
      <c r="G530" s="187"/>
      <c r="I530" s="186"/>
    </row>
    <row r="531" spans="1:9" ht="15.95" customHeight="1">
      <c r="A531" s="5"/>
      <c r="B531" s="5"/>
      <c r="G531" s="187"/>
      <c r="I531" s="186"/>
    </row>
    <row r="532" spans="1:9" ht="15.95" customHeight="1">
      <c r="A532" s="5"/>
      <c r="B532" s="5"/>
      <c r="G532" s="187"/>
      <c r="I532" s="186"/>
    </row>
    <row r="533" spans="1:9" ht="15.95" customHeight="1">
      <c r="A533" s="5"/>
      <c r="B533" s="5"/>
      <c r="G533" s="187"/>
      <c r="I533" s="186"/>
    </row>
    <row r="537" spans="1:9" ht="15.95" customHeight="1">
      <c r="F537" s="142"/>
    </row>
    <row r="538" spans="1:9" ht="15.95" customHeight="1">
      <c r="A538" s="5"/>
      <c r="B538" s="5"/>
      <c r="F538" s="142"/>
    </row>
    <row r="539" spans="1:9" ht="15.95" customHeight="1">
      <c r="A539" s="5"/>
      <c r="B539" s="5"/>
      <c r="F539" s="142"/>
    </row>
    <row r="540" spans="1:9" ht="15.95" customHeight="1">
      <c r="A540" s="5"/>
      <c r="B540" s="5"/>
      <c r="F540" s="142"/>
      <c r="I540" s="153"/>
    </row>
    <row r="541" spans="1:9" ht="15.95" customHeight="1">
      <c r="A541" s="5"/>
      <c r="B541" s="5"/>
      <c r="F541" s="142"/>
      <c r="I541" s="153"/>
    </row>
    <row r="542" spans="1:9" ht="15.95" customHeight="1">
      <c r="A542" s="5"/>
      <c r="B542" s="5"/>
      <c r="F542" s="142"/>
      <c r="I542" s="153"/>
    </row>
    <row r="543" spans="1:9" ht="15.95" customHeight="1">
      <c r="A543" s="5"/>
      <c r="B543" s="5"/>
      <c r="F543" s="142"/>
    </row>
    <row r="544" spans="1:9" ht="15.95" customHeight="1">
      <c r="A544" s="5"/>
      <c r="B544" s="5"/>
      <c r="F544" s="142"/>
    </row>
    <row r="545" spans="1:9" ht="15.95" customHeight="1">
      <c r="A545" s="5"/>
      <c r="B545" s="5"/>
      <c r="F545" s="142"/>
    </row>
    <row r="546" spans="1:9" ht="15.95" customHeight="1">
      <c r="F546" s="142"/>
    </row>
    <row r="547" spans="1:9" ht="15.95" customHeight="1">
      <c r="F547" s="142"/>
    </row>
    <row r="548" spans="1:9" ht="15.95" customHeight="1">
      <c r="F548" s="142"/>
    </row>
    <row r="549" spans="1:9" ht="15.95" customHeight="1">
      <c r="F549" s="142"/>
    </row>
    <row r="553" spans="1:9" ht="15.95" customHeight="1">
      <c r="A553" s="5"/>
      <c r="B553" s="5"/>
    </row>
    <row r="554" spans="1:9" ht="15.95" customHeight="1">
      <c r="A554" s="5"/>
      <c r="B554" s="5"/>
    </row>
    <row r="556" spans="1:9" ht="15.95" customHeight="1">
      <c r="A556" s="5"/>
      <c r="B556" s="5"/>
    </row>
    <row r="557" spans="1:9" ht="15.95" customHeight="1">
      <c r="A557" s="5"/>
      <c r="B557" s="5"/>
      <c r="I557" s="214"/>
    </row>
    <row r="558" spans="1:9" ht="15.95" customHeight="1">
      <c r="A558" s="5"/>
      <c r="B558" s="5"/>
    </row>
    <row r="559" spans="1:9" ht="15.95" customHeight="1">
      <c r="A559" s="5"/>
      <c r="B559" s="5"/>
    </row>
    <row r="560" spans="1:9" ht="15.95" customHeight="1">
      <c r="A560" s="5"/>
      <c r="B560" s="5"/>
    </row>
    <row r="561" spans="1:9" ht="15.95" customHeight="1">
      <c r="A561" s="5"/>
      <c r="B561" s="5"/>
    </row>
    <row r="562" spans="1:9" ht="15.95" customHeight="1">
      <c r="A562" s="5"/>
      <c r="B562" s="5"/>
    </row>
    <row r="563" spans="1:9" ht="15.95" customHeight="1">
      <c r="A563" s="5"/>
      <c r="B563" s="5"/>
    </row>
    <row r="564" spans="1:9" ht="15.95" customHeight="1">
      <c r="A564" s="5"/>
      <c r="B564" s="5"/>
      <c r="H564" s="184"/>
      <c r="I564" s="182"/>
    </row>
    <row r="565" spans="1:9" ht="15.95" customHeight="1">
      <c r="A565" s="5"/>
      <c r="B565" s="5"/>
      <c r="H565" s="184"/>
      <c r="I565" s="182"/>
    </row>
    <row r="566" spans="1:9" ht="15.95" customHeight="1">
      <c r="A566" s="5"/>
      <c r="B566" s="5"/>
      <c r="I566" s="182"/>
    </row>
    <row r="567" spans="1:9" ht="15.95" customHeight="1">
      <c r="A567" s="5"/>
      <c r="B567" s="5"/>
      <c r="I567" s="182"/>
    </row>
    <row r="568" spans="1:9" ht="15.95" customHeight="1">
      <c r="A568" s="5"/>
      <c r="B568" s="5"/>
      <c r="H568" s="184"/>
      <c r="I568" s="182"/>
    </row>
    <row r="569" spans="1:9" ht="15.95" customHeight="1">
      <c r="A569" s="5"/>
      <c r="B569" s="5"/>
      <c r="H569" s="184"/>
      <c r="I569" s="182"/>
    </row>
    <row r="570" spans="1:9" ht="15.95" customHeight="1">
      <c r="A570" s="5"/>
      <c r="B570" s="5"/>
      <c r="H570" s="184"/>
      <c r="I570" s="182"/>
    </row>
    <row r="571" spans="1:9" ht="15.95" customHeight="1">
      <c r="A571" s="5"/>
      <c r="B571" s="5"/>
      <c r="H571" s="184"/>
      <c r="I571" s="182"/>
    </row>
    <row r="572" spans="1:9" ht="15.95" customHeight="1">
      <c r="A572" s="5"/>
      <c r="B572" s="5"/>
      <c r="H572" s="184"/>
      <c r="I572" s="154"/>
    </row>
    <row r="573" spans="1:9" ht="15.95" customHeight="1">
      <c r="A573" s="5"/>
      <c r="B573" s="5"/>
      <c r="H573" s="184"/>
      <c r="I573" s="182"/>
    </row>
    <row r="574" spans="1:9" ht="15.95" customHeight="1">
      <c r="A574" s="5"/>
      <c r="B574" s="5"/>
      <c r="H574" s="184"/>
      <c r="I574" s="182"/>
    </row>
    <row r="575" spans="1:9" ht="15.95" customHeight="1">
      <c r="A575" s="5"/>
      <c r="B575" s="5"/>
      <c r="H575" s="184"/>
      <c r="I575" s="182"/>
    </row>
    <row r="576" spans="1:9" ht="15.95" customHeight="1">
      <c r="A576" s="5"/>
      <c r="B576" s="5"/>
      <c r="H576" s="184"/>
      <c r="I576" s="182"/>
    </row>
    <row r="584" spans="1:9" ht="15.95" customHeight="1">
      <c r="A584" s="5"/>
      <c r="B584" s="5"/>
    </row>
    <row r="585" spans="1:9" ht="15.95" customHeight="1">
      <c r="A585" s="5"/>
      <c r="B585" s="5"/>
    </row>
    <row r="586" spans="1:9" ht="15.95" customHeight="1">
      <c r="A586" s="5"/>
      <c r="B586" s="5"/>
    </row>
    <row r="587" spans="1:9" ht="15.95" customHeight="1">
      <c r="A587" s="5"/>
      <c r="B587" s="5"/>
      <c r="I587" s="185"/>
    </row>
    <row r="588" spans="1:9" ht="15.95" customHeight="1">
      <c r="A588" s="5"/>
      <c r="B588" s="5"/>
      <c r="I588" s="185"/>
    </row>
    <row r="589" spans="1:9" ht="15.95" customHeight="1">
      <c r="A589" s="5"/>
      <c r="B589" s="5"/>
      <c r="I589" s="185"/>
    </row>
    <row r="590" spans="1:9" ht="15.95" customHeight="1">
      <c r="A590" s="5"/>
      <c r="B590" s="5"/>
      <c r="I590" s="185"/>
    </row>
    <row r="595" spans="1:9" ht="15.95" customHeight="1">
      <c r="A595" s="5"/>
      <c r="B595" s="5"/>
    </row>
    <row r="596" spans="1:9" ht="15.95" customHeight="1">
      <c r="A596" s="5"/>
      <c r="B596" s="5"/>
    </row>
    <row r="597" spans="1:9" ht="15.95" customHeight="1">
      <c r="A597" s="5"/>
      <c r="B597" s="5"/>
    </row>
    <row r="598" spans="1:9" ht="15.95" customHeight="1">
      <c r="A598" s="5"/>
      <c r="B598" s="5"/>
    </row>
    <row r="599" spans="1:9" ht="15.95" customHeight="1">
      <c r="A599" s="5"/>
      <c r="B599" s="5"/>
    </row>
    <row r="600" spans="1:9" ht="15.95" customHeight="1">
      <c r="A600" s="5"/>
      <c r="B600" s="5"/>
    </row>
    <row r="601" spans="1:9" ht="15.95" customHeight="1">
      <c r="A601" s="5"/>
      <c r="B601" s="5"/>
    </row>
    <row r="602" spans="1:9" ht="15.95" customHeight="1">
      <c r="A602" s="5"/>
      <c r="B602" s="5"/>
    </row>
    <row r="603" spans="1:9" ht="15.95" customHeight="1">
      <c r="A603" s="5"/>
      <c r="B603" s="5"/>
      <c r="I603" s="181"/>
    </row>
    <row r="604" spans="1:9" ht="15.95" customHeight="1">
      <c r="A604" s="5"/>
      <c r="B604" s="5"/>
      <c r="I604" s="181"/>
    </row>
    <row r="605" spans="1:9" ht="15.95" customHeight="1">
      <c r="A605" s="5"/>
      <c r="B605" s="5"/>
    </row>
    <row r="606" spans="1:9" ht="15.95" customHeight="1">
      <c r="A606" s="5"/>
      <c r="B606" s="5"/>
    </row>
    <row r="607" spans="1:9" ht="15.95" customHeight="1">
      <c r="A607" s="5"/>
      <c r="B607" s="5"/>
    </row>
    <row r="608" spans="1:9" ht="15.95" customHeight="1">
      <c r="A608" s="5"/>
      <c r="B608" s="5"/>
    </row>
    <row r="609" spans="1:9" ht="15.95" customHeight="1">
      <c r="A609" s="5"/>
      <c r="B609" s="5"/>
    </row>
    <row r="610" spans="1:9" ht="15.95" customHeight="1">
      <c r="A610" s="5"/>
      <c r="B610" s="5"/>
    </row>
    <row r="611" spans="1:9" ht="15.95" customHeight="1">
      <c r="A611" s="5"/>
      <c r="B611" s="5"/>
    </row>
    <row r="612" spans="1:9" ht="15.95" customHeight="1">
      <c r="A612" s="5"/>
      <c r="B612" s="5"/>
    </row>
    <row r="616" spans="1:9" ht="15.95" customHeight="1">
      <c r="F616" s="1341"/>
      <c r="I616" s="182"/>
    </row>
    <row r="619" spans="1:9" ht="15.95" customHeight="1">
      <c r="A619" s="5"/>
      <c r="B619" s="5"/>
    </row>
    <row r="620" spans="1:9" ht="15.95" customHeight="1">
      <c r="A620" s="5"/>
      <c r="B620" s="5"/>
    </row>
    <row r="621" spans="1:9" ht="15.95" customHeight="1">
      <c r="A621" s="5"/>
      <c r="B621" s="5"/>
    </row>
    <row r="622" spans="1:9" ht="15.95" customHeight="1">
      <c r="A622" s="16"/>
      <c r="B622" s="16"/>
      <c r="D622" s="190"/>
      <c r="E622" s="190"/>
      <c r="G622" s="191"/>
      <c r="I622" s="16"/>
    </row>
    <row r="623" spans="1:9" ht="15.95" customHeight="1">
      <c r="A623" s="16"/>
      <c r="B623" s="16"/>
      <c r="D623" s="190"/>
      <c r="E623" s="190"/>
      <c r="G623" s="191"/>
      <c r="I623" s="16"/>
    </row>
    <row r="624" spans="1:9" ht="15.95" customHeight="1">
      <c r="A624" s="16"/>
      <c r="B624" s="16"/>
      <c r="D624" s="190"/>
      <c r="G624" s="191"/>
      <c r="I624" s="16"/>
    </row>
    <row r="628" spans="1:9" ht="15.95" customHeight="1">
      <c r="A628" s="5"/>
      <c r="B628" s="5"/>
      <c r="I628" s="181"/>
    </row>
    <row r="629" spans="1:9" ht="15.95" customHeight="1">
      <c r="A629" s="5"/>
      <c r="B629" s="5"/>
      <c r="I629" s="181"/>
    </row>
    <row r="630" spans="1:9" ht="15.95" customHeight="1">
      <c r="A630" s="5"/>
      <c r="B630" s="5"/>
    </row>
    <row r="631" spans="1:9" ht="15.95" customHeight="1">
      <c r="I631" s="181"/>
    </row>
    <row r="632" spans="1:9" ht="15.95" customHeight="1">
      <c r="I632" s="181"/>
    </row>
    <row r="633" spans="1:9" ht="15.95" customHeight="1">
      <c r="I633" s="181"/>
    </row>
    <row r="634" spans="1:9" ht="15.95" customHeight="1">
      <c r="A634" s="5"/>
      <c r="B634" s="5"/>
      <c r="I634" s="181"/>
    </row>
    <row r="635" spans="1:9" ht="15.95" customHeight="1">
      <c r="A635" s="5"/>
      <c r="B635" s="5"/>
      <c r="I635" s="181"/>
    </row>
    <row r="637" spans="1:9" ht="15.95" customHeight="1">
      <c r="H637" s="184"/>
    </row>
    <row r="638" spans="1:9" ht="15.95" customHeight="1">
      <c r="H638" s="184"/>
    </row>
    <row r="639" spans="1:9" ht="15.95" customHeight="1">
      <c r="I639" s="181"/>
    </row>
    <row r="643" spans="1:9" ht="15.95" customHeight="1">
      <c r="A643" s="5"/>
      <c r="B643" s="5"/>
    </row>
    <row r="644" spans="1:9" ht="15.95" customHeight="1">
      <c r="A644" s="5"/>
      <c r="B644" s="5"/>
    </row>
    <row r="645" spans="1:9" ht="15.95" customHeight="1">
      <c r="A645" s="5"/>
      <c r="B645" s="5"/>
    </row>
    <row r="646" spans="1:9" ht="15.95" customHeight="1">
      <c r="A646" s="5"/>
      <c r="B646" s="5"/>
    </row>
    <row r="647" spans="1:9" ht="15.95" customHeight="1">
      <c r="A647" s="5"/>
      <c r="B647" s="5"/>
    </row>
    <row r="648" spans="1:9" ht="15.95" customHeight="1">
      <c r="A648" s="5"/>
      <c r="B648" s="5"/>
    </row>
    <row r="649" spans="1:9" ht="15.95" customHeight="1">
      <c r="A649" s="5"/>
      <c r="B649" s="5"/>
    </row>
    <row r="650" spans="1:9" ht="15.95" customHeight="1">
      <c r="A650" s="5"/>
      <c r="B650" s="5"/>
    </row>
    <row r="651" spans="1:9" ht="15.95" customHeight="1">
      <c r="A651" s="5"/>
      <c r="B651" s="5"/>
    </row>
    <row r="652" spans="1:9" ht="15.95" customHeight="1">
      <c r="I652" s="181"/>
    </row>
    <row r="653" spans="1:9" ht="15.95" customHeight="1">
      <c r="A653" s="5"/>
      <c r="B653" s="5"/>
      <c r="I653" s="181"/>
    </row>
    <row r="654" spans="1:9" ht="15.95" customHeight="1">
      <c r="A654" s="5"/>
      <c r="B654" s="5"/>
      <c r="I654" s="181"/>
    </row>
    <row r="655" spans="1:9" ht="15.95" customHeight="1">
      <c r="A655" s="5"/>
      <c r="B655" s="5"/>
      <c r="I655" s="181"/>
    </row>
    <row r="656" spans="1:9" ht="15.95" customHeight="1">
      <c r="A656" s="5"/>
      <c r="B656" s="5"/>
      <c r="I656" s="182"/>
    </row>
    <row r="657" spans="1:9" ht="15.95" customHeight="1">
      <c r="A657" s="5"/>
      <c r="B657" s="5"/>
      <c r="I657" s="182"/>
    </row>
    <row r="659" spans="1:9" ht="15.95" customHeight="1">
      <c r="H659" s="184"/>
    </row>
    <row r="660" spans="1:9" ht="15.95" customHeight="1">
      <c r="H660" s="184"/>
      <c r="I660" s="153"/>
    </row>
    <row r="661" spans="1:9" ht="15.95" customHeight="1">
      <c r="H661" s="184"/>
      <c r="I661" s="153"/>
    </row>
    <row r="662" spans="1:9" ht="15.95" customHeight="1">
      <c r="H662" s="184"/>
      <c r="I662" s="153"/>
    </row>
    <row r="663" spans="1:9" ht="15.95" customHeight="1">
      <c r="H663" s="184"/>
      <c r="I663" s="153"/>
    </row>
    <row r="664" spans="1:9" ht="15.95" customHeight="1">
      <c r="H664" s="184"/>
    </row>
    <row r="665" spans="1:9" ht="15.95" customHeight="1">
      <c r="A665" s="5"/>
      <c r="B665" s="5"/>
      <c r="I665" s="19"/>
    </row>
    <row r="666" spans="1:9" ht="15.95" customHeight="1">
      <c r="A666" s="5"/>
      <c r="B666" s="5"/>
      <c r="I666" s="19"/>
    </row>
    <row r="667" spans="1:9" ht="15.95" customHeight="1">
      <c r="I667" s="181"/>
    </row>
    <row r="668" spans="1:9" ht="15.95" customHeight="1">
      <c r="I668" s="181"/>
    </row>
    <row r="672" spans="1:9" ht="15.95" customHeight="1">
      <c r="I672" s="181"/>
    </row>
    <row r="673" spans="1:9" ht="15.95" customHeight="1">
      <c r="I673" s="181"/>
    </row>
    <row r="674" spans="1:9" ht="15.95" customHeight="1">
      <c r="A674" s="179"/>
    </row>
    <row r="682" spans="1:9" ht="15.95" customHeight="1">
      <c r="A682" s="5"/>
      <c r="B682" s="5"/>
      <c r="I682" s="182"/>
    </row>
    <row r="683" spans="1:9" ht="15.95" customHeight="1">
      <c r="A683" s="5"/>
      <c r="B683" s="5"/>
      <c r="I683" s="182"/>
    </row>
    <row r="684" spans="1:9" ht="15.95" customHeight="1">
      <c r="A684" s="5"/>
      <c r="B684" s="5"/>
      <c r="I684" s="182"/>
    </row>
    <row r="685" spans="1:9" ht="15.95" customHeight="1">
      <c r="A685" s="5"/>
      <c r="B685" s="5"/>
      <c r="I685" s="182"/>
    </row>
    <row r="686" spans="1:9" ht="15.95" customHeight="1">
      <c r="A686" s="5"/>
      <c r="B686" s="5"/>
      <c r="I686" s="182"/>
    </row>
    <row r="687" spans="1:9" ht="15.95" customHeight="1">
      <c r="A687" s="5"/>
      <c r="B687" s="5"/>
      <c r="I687" s="182"/>
    </row>
    <row r="688" spans="1:9" ht="15.95" customHeight="1">
      <c r="A688" s="5"/>
      <c r="B688" s="5"/>
      <c r="I688" s="182"/>
    </row>
    <row r="689" spans="1:9" ht="15.95" customHeight="1">
      <c r="A689" s="5"/>
      <c r="B689" s="5"/>
      <c r="I689" s="182"/>
    </row>
    <row r="690" spans="1:9" ht="15.95" customHeight="1">
      <c r="A690" s="5"/>
      <c r="B690" s="5"/>
      <c r="I690" s="182"/>
    </row>
    <row r="691" spans="1:9" ht="15.95" customHeight="1">
      <c r="A691" s="5"/>
      <c r="B691" s="5"/>
      <c r="I691" s="182"/>
    </row>
    <row r="692" spans="1:9" ht="15.95" customHeight="1">
      <c r="A692" s="5"/>
      <c r="B692" s="5"/>
      <c r="I692" s="182"/>
    </row>
    <row r="693" spans="1:9" ht="15.95" customHeight="1">
      <c r="A693" s="5"/>
      <c r="B693" s="5"/>
      <c r="I693" s="182"/>
    </row>
    <row r="695" spans="1:9" ht="15.95" customHeight="1">
      <c r="C695" s="193"/>
      <c r="D695" s="19"/>
      <c r="E695" s="19"/>
      <c r="F695" s="19"/>
    </row>
    <row r="700" spans="1:9" ht="15.95" customHeight="1">
      <c r="B700" s="16"/>
    </row>
    <row r="701" spans="1:9" ht="15.95" customHeight="1">
      <c r="A701" s="5"/>
      <c r="B701" s="5"/>
    </row>
    <row r="702" spans="1:9" ht="15.95" customHeight="1">
      <c r="A702" s="5"/>
      <c r="B702" s="5"/>
    </row>
    <row r="703" spans="1:9" ht="15.95" customHeight="1">
      <c r="A703" s="5"/>
      <c r="B703" s="5"/>
    </row>
    <row r="704" spans="1:9" ht="15.95" customHeight="1">
      <c r="A704" s="5"/>
      <c r="B704" s="5"/>
    </row>
    <row r="705" spans="1:9" ht="15.95" customHeight="1">
      <c r="A705" s="5"/>
      <c r="B705" s="5"/>
    </row>
    <row r="706" spans="1:9" ht="15.95" customHeight="1">
      <c r="A706" s="5"/>
      <c r="B706" s="5"/>
    </row>
    <row r="707" spans="1:9" ht="15.95" customHeight="1">
      <c r="A707" s="5"/>
      <c r="B707" s="5"/>
    </row>
    <row r="710" spans="1:9" ht="15.95" customHeight="1">
      <c r="A710" s="5"/>
      <c r="B710" s="5"/>
    </row>
    <row r="711" spans="1:9" ht="15.95" customHeight="1">
      <c r="A711" s="5"/>
      <c r="B711" s="5"/>
    </row>
    <row r="714" spans="1:9" ht="15.95" customHeight="1">
      <c r="I714" s="181"/>
    </row>
    <row r="715" spans="1:9" ht="15.95" customHeight="1">
      <c r="I715" s="181"/>
    </row>
    <row r="716" spans="1:9" ht="15.95" customHeight="1">
      <c r="I716" s="181"/>
    </row>
    <row r="718" spans="1:9" ht="15.95" customHeight="1">
      <c r="I718" s="181"/>
    </row>
    <row r="719" spans="1:9" ht="15.95" customHeight="1">
      <c r="A719" s="5"/>
      <c r="B719" s="5"/>
      <c r="I719" s="181"/>
    </row>
    <row r="720" spans="1:9" ht="15.95" customHeight="1">
      <c r="A720" s="5"/>
      <c r="B720" s="5"/>
      <c r="I720" s="181"/>
    </row>
    <row r="721" spans="1:9" ht="15.95" customHeight="1">
      <c r="A721" s="5"/>
      <c r="B721" s="5"/>
      <c r="I721" s="181"/>
    </row>
    <row r="722" spans="1:9" ht="15.95" customHeight="1">
      <c r="A722" s="5"/>
      <c r="B722" s="5"/>
      <c r="I722" s="181"/>
    </row>
    <row r="723" spans="1:9" ht="15.95" customHeight="1">
      <c r="I723" s="181"/>
    </row>
    <row r="724" spans="1:9" ht="15.95" customHeight="1">
      <c r="A724" s="5"/>
      <c r="B724" s="5"/>
    </row>
    <row r="725" spans="1:9" ht="15.95" customHeight="1">
      <c r="A725" s="5"/>
      <c r="B725" s="5"/>
    </row>
    <row r="726" spans="1:9" ht="15.95" customHeight="1">
      <c r="A726" s="5"/>
      <c r="B726" s="5"/>
    </row>
    <row r="727" spans="1:9" ht="15.95" customHeight="1">
      <c r="A727" s="5"/>
      <c r="B727" s="5"/>
    </row>
    <row r="730" spans="1:9" ht="15.95" customHeight="1">
      <c r="F730" s="213"/>
    </row>
    <row r="735" spans="1:9" ht="15.95" customHeight="1">
      <c r="A735" s="5"/>
      <c r="B735" s="5"/>
    </row>
    <row r="736" spans="1:9" ht="15.95" customHeight="1">
      <c r="A736" s="5"/>
      <c r="B736" s="5"/>
    </row>
    <row r="741" spans="1:9" ht="15.95" customHeight="1">
      <c r="A741" s="5"/>
      <c r="B741" s="5"/>
      <c r="I741" s="182"/>
    </row>
    <row r="742" spans="1:9" ht="15.95" customHeight="1">
      <c r="A742" s="5"/>
      <c r="B742" s="5"/>
      <c r="I742" s="182"/>
    </row>
    <row r="743" spans="1:9" ht="15.95" customHeight="1">
      <c r="A743" s="5"/>
      <c r="B743" s="5"/>
    </row>
    <row r="744" spans="1:9" ht="15.95" customHeight="1">
      <c r="A744" s="19"/>
      <c r="B744" s="19"/>
      <c r="C744" s="193"/>
      <c r="D744" s="19"/>
      <c r="E744" s="19"/>
      <c r="F744" s="19"/>
    </row>
    <row r="745" spans="1:9" ht="15.95" customHeight="1">
      <c r="A745" s="5"/>
      <c r="B745" s="5"/>
    </row>
    <row r="746" spans="1:9" ht="15.95" customHeight="1">
      <c r="A746" s="5"/>
      <c r="B746" s="5"/>
    </row>
    <row r="747" spans="1:9" ht="15.95" customHeight="1">
      <c r="A747" s="5"/>
      <c r="B747" s="5"/>
    </row>
    <row r="748" spans="1:9" ht="15.95" customHeight="1">
      <c r="A748" s="5"/>
      <c r="B748" s="5"/>
    </row>
    <row r="749" spans="1:9" ht="15.95" customHeight="1">
      <c r="A749" s="5"/>
      <c r="B749" s="5"/>
    </row>
    <row r="750" spans="1:9" ht="15.95" customHeight="1">
      <c r="A750" s="5"/>
      <c r="B750" s="5"/>
    </row>
    <row r="754" spans="1:9" ht="15.95" customHeight="1">
      <c r="A754" s="5"/>
      <c r="B754" s="5"/>
    </row>
    <row r="755" spans="1:9" ht="15.95" customHeight="1">
      <c r="A755" s="5"/>
      <c r="B755" s="5"/>
    </row>
    <row r="756" spans="1:9" ht="15.95" customHeight="1">
      <c r="A756" s="5"/>
      <c r="B756" s="5"/>
    </row>
    <row r="757" spans="1:9" ht="15.95" customHeight="1">
      <c r="A757" s="5"/>
      <c r="B757" s="5"/>
    </row>
    <row r="758" spans="1:9" ht="15.95" customHeight="1">
      <c r="A758" s="5"/>
      <c r="B758" s="5"/>
    </row>
    <row r="759" spans="1:9" ht="15.95" customHeight="1">
      <c r="A759" s="5"/>
      <c r="B759" s="5"/>
    </row>
    <row r="760" spans="1:9" ht="15.95" customHeight="1">
      <c r="A760" s="5"/>
      <c r="B760" s="5"/>
      <c r="I760" s="182"/>
    </row>
    <row r="761" spans="1:9" ht="15.95" customHeight="1">
      <c r="A761" s="5"/>
      <c r="B761" s="5"/>
      <c r="I761" s="182"/>
    </row>
    <row r="762" spans="1:9" ht="15.95" customHeight="1">
      <c r="I762" s="182"/>
    </row>
    <row r="763" spans="1:9" ht="15.95" customHeight="1">
      <c r="H763" s="184"/>
    </row>
    <row r="764" spans="1:9" ht="15.95" customHeight="1">
      <c r="C764" s="193"/>
      <c r="D764" s="19"/>
      <c r="E764" s="19"/>
      <c r="F764" s="19"/>
      <c r="H764" s="184"/>
    </row>
    <row r="766" spans="1:9" ht="15.95" customHeight="1">
      <c r="A766" s="5"/>
      <c r="B766" s="5"/>
    </row>
    <row r="767" spans="1:9" ht="15.95" customHeight="1">
      <c r="A767" s="5"/>
      <c r="B767" s="5"/>
    </row>
    <row r="770" spans="1:9" ht="15.95" customHeight="1">
      <c r="B770" s="16"/>
    </row>
    <row r="772" spans="1:9" ht="15.95" customHeight="1">
      <c r="A772" s="5"/>
      <c r="B772" s="5"/>
    </row>
    <row r="773" spans="1:9" ht="15.95" customHeight="1">
      <c r="A773" s="5"/>
      <c r="B773" s="5"/>
    </row>
    <row r="774" spans="1:9" ht="15.95" customHeight="1">
      <c r="A774" s="5"/>
      <c r="B774" s="5"/>
    </row>
    <row r="777" spans="1:9" ht="15.95" customHeight="1">
      <c r="A777" s="5"/>
      <c r="B777" s="5"/>
    </row>
    <row r="778" spans="1:9" ht="15.95" customHeight="1">
      <c r="A778" s="5"/>
      <c r="B778" s="5"/>
    </row>
    <row r="779" spans="1:9" ht="15.95" customHeight="1">
      <c r="A779" s="5"/>
      <c r="B779" s="5"/>
    </row>
    <row r="781" spans="1:9" ht="15.95" customHeight="1">
      <c r="I781" s="173"/>
    </row>
    <row r="782" spans="1:9" ht="15.95" customHeight="1">
      <c r="I782" s="173"/>
    </row>
    <row r="783" spans="1:9" ht="15.95" customHeight="1">
      <c r="I783" s="173"/>
    </row>
    <row r="784" spans="1:9" ht="15.95" customHeight="1">
      <c r="I784" s="173"/>
    </row>
    <row r="785" spans="1:9" ht="15.95" customHeight="1">
      <c r="I785" s="173"/>
    </row>
    <row r="786" spans="1:9" ht="15.95" customHeight="1">
      <c r="I786" s="189"/>
    </row>
    <row r="787" spans="1:9" ht="15.95" customHeight="1">
      <c r="I787" s="173"/>
    </row>
    <row r="788" spans="1:9" ht="15.95" customHeight="1">
      <c r="I788" s="154"/>
    </row>
    <row r="789" spans="1:9" ht="15.95" customHeight="1">
      <c r="I789" s="154"/>
    </row>
    <row r="790" spans="1:9" ht="15.95" customHeight="1">
      <c r="I790" s="154"/>
    </row>
    <row r="791" spans="1:9" ht="15.95" customHeight="1">
      <c r="I791" s="154"/>
    </row>
    <row r="792" spans="1:9" ht="15.95" customHeight="1">
      <c r="I792" s="154"/>
    </row>
    <row r="793" spans="1:9" ht="15.95" customHeight="1">
      <c r="I793" s="173"/>
    </row>
    <row r="794" spans="1:9" ht="15.95" customHeight="1">
      <c r="I794" s="154"/>
    </row>
    <row r="795" spans="1:9" ht="15.95" customHeight="1">
      <c r="I795" s="154"/>
    </row>
    <row r="796" spans="1:9" ht="15.95" customHeight="1">
      <c r="I796" s="173"/>
    </row>
    <row r="797" spans="1:9" ht="15.95" customHeight="1">
      <c r="I797" s="154"/>
    </row>
    <row r="798" spans="1:9" ht="15.95" customHeight="1">
      <c r="A798" s="182"/>
      <c r="I798" s="182"/>
    </row>
    <row r="799" spans="1:9" ht="15.95" customHeight="1">
      <c r="A799" s="182"/>
      <c r="I799" s="182"/>
    </row>
    <row r="806" spans="1:2" ht="15.95" customHeight="1">
      <c r="A806" s="5"/>
      <c r="B806" s="5"/>
    </row>
    <row r="807" spans="1:2" ht="15.95" customHeight="1">
      <c r="A807" s="5"/>
      <c r="B807" s="5"/>
    </row>
    <row r="808" spans="1:2" ht="15.95" customHeight="1">
      <c r="A808" s="5"/>
      <c r="B808" s="5"/>
    </row>
    <row r="809" spans="1:2" ht="15.95" customHeight="1">
      <c r="A809" s="5"/>
      <c r="B809" s="5"/>
    </row>
    <row r="812" spans="1:2" ht="15.95" customHeight="1">
      <c r="A812" s="5"/>
      <c r="B812" s="5"/>
    </row>
    <row r="813" spans="1:2" ht="15.95" customHeight="1">
      <c r="A813" s="5"/>
      <c r="B813" s="5"/>
    </row>
    <row r="814" spans="1:2" ht="15.95" customHeight="1">
      <c r="A814" s="5"/>
      <c r="B814" s="5"/>
    </row>
    <row r="824" spans="1:9" ht="15.95" customHeight="1">
      <c r="I824" s="181"/>
    </row>
    <row r="825" spans="1:9" ht="15.95" customHeight="1">
      <c r="A825" s="19"/>
      <c r="B825" s="19"/>
      <c r="C825" s="193"/>
      <c r="D825" s="19"/>
      <c r="E825" s="19"/>
      <c r="F825" s="19"/>
      <c r="I825" s="181"/>
    </row>
    <row r="826" spans="1:9" ht="15.95" customHeight="1">
      <c r="A826" s="19"/>
      <c r="B826" s="19"/>
      <c r="C826" s="193"/>
      <c r="D826" s="19"/>
      <c r="E826" s="19"/>
      <c r="F826" s="19"/>
      <c r="I826" s="181"/>
    </row>
    <row r="827" spans="1:9" ht="15.95" customHeight="1">
      <c r="A827" s="19"/>
      <c r="B827" s="19"/>
      <c r="C827" s="193"/>
      <c r="D827" s="19"/>
      <c r="E827" s="19"/>
      <c r="F827" s="19"/>
      <c r="I827" s="181"/>
    </row>
    <row r="828" spans="1:9" ht="15.95" customHeight="1">
      <c r="A828" s="19"/>
      <c r="B828" s="19"/>
      <c r="C828" s="193"/>
      <c r="D828" s="19"/>
      <c r="E828" s="19"/>
      <c r="F828" s="19"/>
      <c r="I828" s="181"/>
    </row>
    <row r="829" spans="1:9" ht="15.95" customHeight="1">
      <c r="A829" s="19"/>
      <c r="B829" s="19"/>
      <c r="C829" s="193"/>
      <c r="D829" s="19"/>
      <c r="E829" s="19"/>
      <c r="F829" s="19"/>
      <c r="I829" s="181"/>
    </row>
    <row r="830" spans="1:9" ht="15.95" customHeight="1">
      <c r="A830" s="19"/>
      <c r="B830" s="19"/>
      <c r="C830" s="193"/>
      <c r="D830" s="19"/>
      <c r="E830" s="19"/>
      <c r="F830" s="19"/>
      <c r="I830" s="181"/>
    </row>
    <row r="832" spans="1:9" ht="15.95" customHeight="1">
      <c r="E832" s="19"/>
      <c r="F832" s="19"/>
      <c r="I832" s="19"/>
    </row>
    <row r="833" spans="1:3" ht="15.95" customHeight="1">
      <c r="A833" s="5"/>
      <c r="B833" s="5"/>
    </row>
    <row r="834" spans="1:3" ht="15.95" customHeight="1">
      <c r="A834" s="5"/>
      <c r="B834" s="5"/>
    </row>
    <row r="835" spans="1:3" ht="15.95" customHeight="1">
      <c r="A835" s="5"/>
      <c r="B835" s="5"/>
    </row>
    <row r="836" spans="1:3" ht="15.95" customHeight="1">
      <c r="A836" s="5"/>
      <c r="B836" s="5"/>
    </row>
    <row r="837" spans="1:3" ht="15.95" customHeight="1">
      <c r="A837" s="5"/>
      <c r="B837" s="5"/>
    </row>
    <row r="839" spans="1:3" ht="15.95" customHeight="1">
      <c r="C839" s="16"/>
    </row>
    <row r="861" spans="1:2" ht="15.95" customHeight="1">
      <c r="A861" s="5"/>
      <c r="B861" s="5"/>
    </row>
    <row r="862" spans="1:2" ht="15.95" customHeight="1">
      <c r="A862" s="5"/>
      <c r="B862" s="5"/>
    </row>
    <row r="863" spans="1:2" ht="15.95" customHeight="1">
      <c r="A863" s="5"/>
      <c r="B863" s="5"/>
    </row>
    <row r="864" spans="1:2" ht="15.95" customHeight="1">
      <c r="A864" s="5"/>
      <c r="B864" s="5"/>
    </row>
    <row r="865" spans="1:9" ht="15.95" customHeight="1">
      <c r="A865" s="5"/>
      <c r="B865" s="5"/>
    </row>
    <row r="866" spans="1:9" ht="15.95" customHeight="1">
      <c r="A866" s="5"/>
      <c r="B866" s="5"/>
    </row>
    <row r="867" spans="1:9" ht="15.95" customHeight="1">
      <c r="A867" s="5"/>
      <c r="B867" s="5"/>
    </row>
    <row r="868" spans="1:9" ht="15.95" customHeight="1">
      <c r="A868" s="5"/>
      <c r="B868" s="5"/>
    </row>
    <row r="869" spans="1:9" ht="15.95" customHeight="1">
      <c r="A869" s="5"/>
      <c r="B869" s="5"/>
    </row>
    <row r="870" spans="1:9" ht="15.95" customHeight="1">
      <c r="A870" s="5"/>
      <c r="B870" s="5"/>
      <c r="I870" s="182"/>
    </row>
    <row r="871" spans="1:9" ht="15.95" customHeight="1">
      <c r="A871" s="5"/>
      <c r="B871" s="5"/>
    </row>
    <row r="872" spans="1:9" ht="15.95" customHeight="1">
      <c r="A872" s="5"/>
      <c r="B872" s="5"/>
    </row>
    <row r="873" spans="1:9" ht="15.95" customHeight="1">
      <c r="A873" s="5"/>
      <c r="B873" s="5"/>
    </row>
    <row r="875" spans="1:9" ht="15.95" customHeight="1">
      <c r="A875" s="5"/>
      <c r="B875" s="5"/>
    </row>
    <row r="876" spans="1:9" ht="15.95" customHeight="1">
      <c r="A876" s="5"/>
      <c r="B876" s="5"/>
    </row>
    <row r="877" spans="1:9" ht="15.95" customHeight="1">
      <c r="A877" s="5"/>
      <c r="B877" s="5"/>
    </row>
    <row r="878" spans="1:9" ht="15.95" customHeight="1">
      <c r="A878" s="5"/>
      <c r="B878" s="5"/>
    </row>
    <row r="879" spans="1:9" ht="15.95" customHeight="1">
      <c r="A879" s="5"/>
      <c r="B879" s="5"/>
    </row>
    <row r="880" spans="1:9" ht="15.95" customHeight="1">
      <c r="A880" s="5"/>
      <c r="B880" s="5"/>
    </row>
    <row r="881" spans="1:9" ht="15.95" customHeight="1">
      <c r="A881" s="5"/>
      <c r="B881" s="5"/>
    </row>
    <row r="882" spans="1:9" ht="15.95" customHeight="1">
      <c r="A882" s="5"/>
      <c r="B882" s="5"/>
    </row>
    <row r="883" spans="1:9" ht="15.95" customHeight="1">
      <c r="A883" s="5"/>
      <c r="B883" s="5"/>
    </row>
    <row r="884" spans="1:9" ht="15.95" customHeight="1">
      <c r="A884" s="5"/>
      <c r="B884" s="5"/>
    </row>
    <row r="885" spans="1:9" ht="15.95" customHeight="1">
      <c r="A885" s="5"/>
      <c r="B885" s="5"/>
    </row>
    <row r="886" spans="1:9" ht="15.95" customHeight="1">
      <c r="A886" s="5"/>
      <c r="B886" s="5"/>
    </row>
    <row r="887" spans="1:9" ht="15.95" customHeight="1">
      <c r="A887" s="5"/>
      <c r="B887" s="5"/>
      <c r="I887" s="186"/>
    </row>
    <row r="888" spans="1:9" ht="15.95" customHeight="1">
      <c r="A888" s="5"/>
      <c r="B888" s="5"/>
    </row>
    <row r="889" spans="1:9" ht="15.95" customHeight="1">
      <c r="A889" s="5"/>
      <c r="B889" s="5"/>
    </row>
    <row r="890" spans="1:9" ht="15.95" customHeight="1">
      <c r="A890" s="5"/>
      <c r="B890" s="5"/>
    </row>
    <row r="891" spans="1:9" ht="15.95" customHeight="1">
      <c r="A891" s="5"/>
      <c r="B891" s="5"/>
    </row>
    <row r="892" spans="1:9" ht="15.95" customHeight="1">
      <c r="A892" s="5"/>
      <c r="B892" s="5"/>
    </row>
    <row r="893" spans="1:9" ht="15.95" customHeight="1">
      <c r="A893" s="5"/>
      <c r="B893" s="5"/>
    </row>
    <row r="894" spans="1:9" ht="15.95" customHeight="1">
      <c r="H894" s="184"/>
    </row>
    <row r="895" spans="1:9" ht="15.95" customHeight="1">
      <c r="A895" s="5"/>
      <c r="B895" s="5"/>
      <c r="I895" s="179"/>
    </row>
    <row r="896" spans="1:9" ht="15.95" customHeight="1">
      <c r="A896" s="5"/>
      <c r="B896" s="5"/>
    </row>
    <row r="897" spans="1:9" ht="15.95" customHeight="1">
      <c r="A897" s="5"/>
      <c r="B897" s="5"/>
      <c r="I897" s="182"/>
    </row>
    <row r="898" spans="1:9" ht="15.95" customHeight="1">
      <c r="A898" s="5"/>
      <c r="B898" s="5"/>
    </row>
    <row r="899" spans="1:9" ht="15.95" customHeight="1">
      <c r="A899" s="5"/>
      <c r="B899" s="5"/>
    </row>
    <row r="900" spans="1:9" ht="15.95" customHeight="1">
      <c r="A900" s="5"/>
      <c r="B900" s="5"/>
      <c r="I900" s="154"/>
    </row>
    <row r="901" spans="1:9" ht="15.95" customHeight="1">
      <c r="A901" s="5"/>
      <c r="B901" s="5"/>
      <c r="I901" s="152"/>
    </row>
    <row r="912" spans="1:9" ht="15.95" customHeight="1">
      <c r="I912" s="181"/>
    </row>
    <row r="916" spans="1:6" ht="15.95" customHeight="1">
      <c r="E916" s="19"/>
    </row>
    <row r="920" spans="1:6" ht="15.95" customHeight="1">
      <c r="F920" s="1341"/>
    </row>
    <row r="921" spans="1:6" ht="15.95" customHeight="1">
      <c r="A921" s="5"/>
      <c r="B921" s="5"/>
    </row>
    <row r="922" spans="1:6" ht="15.95" customHeight="1">
      <c r="A922" s="5"/>
      <c r="B922" s="5"/>
    </row>
    <row r="923" spans="1:6" ht="15.95" customHeight="1">
      <c r="A923" s="5"/>
      <c r="B923" s="5"/>
    </row>
    <row r="924" spans="1:6" ht="15.95" customHeight="1">
      <c r="A924" s="5"/>
      <c r="B924" s="5"/>
    </row>
    <row r="925" spans="1:6" ht="15.95" customHeight="1">
      <c r="A925" s="5"/>
      <c r="B925" s="5"/>
    </row>
    <row r="926" spans="1:6" ht="15.95" customHeight="1">
      <c r="A926" s="5"/>
      <c r="B926" s="5"/>
    </row>
    <row r="927" spans="1:6" ht="15.95" customHeight="1">
      <c r="A927" s="5"/>
      <c r="B927" s="5"/>
    </row>
    <row r="928" spans="1:6" ht="15.95" customHeight="1">
      <c r="A928" s="5"/>
      <c r="B928" s="5"/>
    </row>
    <row r="929" spans="1:9" ht="15.95" customHeight="1">
      <c r="A929" s="5"/>
      <c r="B929" s="5"/>
    </row>
    <row r="930" spans="1:9" ht="15.95" customHeight="1">
      <c r="A930" s="5"/>
      <c r="B930" s="5"/>
    </row>
    <row r="931" spans="1:9" ht="15.95" customHeight="1">
      <c r="A931" s="5"/>
      <c r="B931" s="5"/>
    </row>
    <row r="932" spans="1:9" ht="15.95" customHeight="1">
      <c r="A932" s="5"/>
      <c r="B932" s="5"/>
    </row>
    <row r="933" spans="1:9" ht="15.95" customHeight="1">
      <c r="A933" s="5"/>
      <c r="B933" s="5"/>
    </row>
    <row r="934" spans="1:9" ht="15.95" customHeight="1">
      <c r="A934" s="5"/>
      <c r="B934" s="5"/>
    </row>
    <row r="935" spans="1:9" ht="15.95" customHeight="1">
      <c r="A935" s="5"/>
      <c r="B935" s="5"/>
    </row>
    <row r="936" spans="1:9" ht="15.95" customHeight="1">
      <c r="A936" s="5"/>
      <c r="B936" s="5"/>
    </row>
    <row r="937" spans="1:9" ht="15.95" customHeight="1">
      <c r="A937" s="5"/>
      <c r="B937" s="5"/>
    </row>
    <row r="938" spans="1:9" ht="15.95" customHeight="1">
      <c r="A938" s="5"/>
      <c r="B938" s="5"/>
    </row>
    <row r="939" spans="1:9" ht="15.95" customHeight="1">
      <c r="A939" s="5"/>
      <c r="B939" s="5"/>
      <c r="I939" s="182"/>
    </row>
    <row r="940" spans="1:9" ht="15.95" customHeight="1">
      <c r="A940" s="5"/>
      <c r="B940" s="5"/>
    </row>
    <row r="941" spans="1:9" ht="15.95" customHeight="1">
      <c r="A941" s="5"/>
      <c r="B941" s="5"/>
    </row>
    <row r="942" spans="1:9" ht="15.95" customHeight="1">
      <c r="A942" s="5"/>
      <c r="B942" s="5"/>
    </row>
    <row r="943" spans="1:9" ht="15.95" customHeight="1">
      <c r="A943" s="5"/>
      <c r="B943" s="5"/>
    </row>
    <row r="944" spans="1:9" ht="15.95" customHeight="1">
      <c r="A944" s="5"/>
      <c r="B944" s="5"/>
    </row>
    <row r="945" spans="1:9" ht="15.95" customHeight="1">
      <c r="A945" s="5"/>
      <c r="B945" s="5"/>
    </row>
    <row r="946" spans="1:9" ht="15.95" customHeight="1">
      <c r="A946" s="5"/>
      <c r="B946" s="5"/>
    </row>
    <row r="947" spans="1:9" ht="15.95" customHeight="1">
      <c r="A947" s="5"/>
      <c r="B947" s="5"/>
    </row>
    <row r="948" spans="1:9" ht="15.95" customHeight="1">
      <c r="A948" s="5"/>
      <c r="B948" s="5"/>
      <c r="I948" s="1341"/>
    </row>
    <row r="949" spans="1:9" ht="15.95" customHeight="1">
      <c r="A949" s="5"/>
      <c r="B949" s="5"/>
    </row>
    <row r="950" spans="1:9" ht="15.95" customHeight="1">
      <c r="A950" s="5"/>
      <c r="B950" s="5"/>
    </row>
    <row r="951" spans="1:9" ht="15.95" customHeight="1">
      <c r="A951" s="5"/>
      <c r="B951" s="5"/>
    </row>
    <row r="952" spans="1:9" ht="15.95" customHeight="1">
      <c r="A952" s="5"/>
      <c r="B952" s="5"/>
    </row>
    <row r="953" spans="1:9" ht="15.95" customHeight="1">
      <c r="A953" s="5"/>
      <c r="B953" s="5"/>
    </row>
    <row r="954" spans="1:9" ht="15.95" customHeight="1">
      <c r="A954" s="5"/>
      <c r="B954" s="5"/>
    </row>
    <row r="955" spans="1:9" ht="15.95" customHeight="1">
      <c r="A955" s="5"/>
      <c r="B955" s="5"/>
    </row>
    <row r="956" spans="1:9" ht="15.95" customHeight="1">
      <c r="A956" s="5"/>
      <c r="B956" s="5"/>
    </row>
    <row r="957" spans="1:9" ht="15.95" customHeight="1">
      <c r="A957" s="5"/>
      <c r="B957" s="5"/>
    </row>
    <row r="958" spans="1:9" ht="15.95" customHeight="1">
      <c r="A958" s="5"/>
      <c r="B958" s="5"/>
    </row>
    <row r="959" spans="1:9" ht="15.95" customHeight="1">
      <c r="A959" s="5"/>
      <c r="B959" s="5"/>
    </row>
    <row r="960" spans="1:9" ht="15.95" customHeight="1">
      <c r="A960" s="5"/>
      <c r="B960" s="5"/>
    </row>
    <row r="961" spans="1:9" ht="15.95" customHeight="1">
      <c r="A961" s="5"/>
      <c r="B961" s="5"/>
      <c r="I961" s="182"/>
    </row>
    <row r="962" spans="1:9" ht="15.95" customHeight="1">
      <c r="A962" s="5"/>
      <c r="B962" s="5"/>
    </row>
    <row r="963" spans="1:9" ht="15.95" customHeight="1">
      <c r="A963" s="5"/>
      <c r="B963" s="5"/>
    </row>
    <row r="964" spans="1:9" ht="15.95" customHeight="1">
      <c r="A964" s="5"/>
      <c r="B964" s="5"/>
    </row>
    <row r="965" spans="1:9" ht="15.95" customHeight="1">
      <c r="A965" s="5"/>
      <c r="B965" s="5"/>
    </row>
    <row r="966" spans="1:9" ht="15.95" customHeight="1">
      <c r="A966" s="5"/>
      <c r="B966" s="5"/>
    </row>
    <row r="967" spans="1:9" ht="15.95" customHeight="1">
      <c r="A967" s="5"/>
      <c r="B967" s="5"/>
    </row>
    <row r="968" spans="1:9" ht="15.95" customHeight="1">
      <c r="A968" s="5"/>
      <c r="B968" s="5"/>
    </row>
    <row r="969" spans="1:9" ht="15.95" customHeight="1">
      <c r="A969" s="5"/>
      <c r="B969" s="5"/>
    </row>
    <row r="970" spans="1:9" ht="15.95" customHeight="1">
      <c r="A970" s="5"/>
      <c r="B970" s="5"/>
    </row>
    <row r="971" spans="1:9" ht="15.95" customHeight="1">
      <c r="A971" s="5"/>
      <c r="B971" s="215"/>
      <c r="D971" s="215"/>
      <c r="I971" s="182"/>
    </row>
    <row r="972" spans="1:9" ht="15.95" customHeight="1">
      <c r="A972" s="5"/>
      <c r="B972" s="5"/>
      <c r="I972" s="182"/>
    </row>
    <row r="973" spans="1:9" ht="15.95" customHeight="1">
      <c r="A973" s="5"/>
      <c r="B973" s="5"/>
      <c r="I973" s="182"/>
    </row>
    <row r="974" spans="1:9" ht="15.95" customHeight="1">
      <c r="A974" s="5"/>
      <c r="B974" s="5"/>
      <c r="I974" s="182"/>
    </row>
    <row r="975" spans="1:9" ht="15.95" customHeight="1">
      <c r="A975" s="5"/>
      <c r="B975" s="5"/>
      <c r="I975" s="182"/>
    </row>
    <row r="976" spans="1:9" ht="15.95" customHeight="1">
      <c r="A976" s="5"/>
      <c r="B976" s="5"/>
      <c r="I976" s="182"/>
    </row>
    <row r="977" spans="1:9" ht="15.95" customHeight="1">
      <c r="A977" s="5"/>
      <c r="B977" s="5"/>
      <c r="I977" s="182"/>
    </row>
    <row r="978" spans="1:9" ht="15.95" customHeight="1">
      <c r="A978" s="5"/>
      <c r="B978" s="5"/>
      <c r="I978" s="182"/>
    </row>
    <row r="979" spans="1:9" ht="15.95" customHeight="1">
      <c r="A979" s="5"/>
      <c r="B979" s="5"/>
      <c r="I979" s="182"/>
    </row>
    <row r="980" spans="1:9" ht="15.95" customHeight="1">
      <c r="A980" s="5"/>
      <c r="B980" s="5"/>
      <c r="I980" s="182"/>
    </row>
    <row r="981" spans="1:9" ht="15.95" customHeight="1">
      <c r="A981" s="5"/>
      <c r="B981" s="5"/>
      <c r="I981" s="182"/>
    </row>
    <row r="982" spans="1:9" ht="15.95" customHeight="1">
      <c r="A982" s="5"/>
      <c r="B982" s="5"/>
      <c r="I982" s="182"/>
    </row>
    <row r="983" spans="1:9" ht="15.95" customHeight="1">
      <c r="A983" s="5"/>
      <c r="B983" s="5"/>
      <c r="I983" s="182"/>
    </row>
    <row r="984" spans="1:9" ht="15.95" customHeight="1">
      <c r="A984" s="5"/>
      <c r="B984" s="5"/>
      <c r="I984" s="182"/>
    </row>
    <row r="985" spans="1:9" ht="15.95" customHeight="1">
      <c r="A985" s="5"/>
      <c r="B985" s="5"/>
      <c r="I985" s="182"/>
    </row>
    <row r="986" spans="1:9" ht="15.95" customHeight="1">
      <c r="A986" s="5"/>
      <c r="B986" s="5"/>
      <c r="I986" s="182"/>
    </row>
    <row r="987" spans="1:9" ht="15.95" customHeight="1">
      <c r="A987" s="5"/>
      <c r="B987" s="5"/>
      <c r="I987" s="182"/>
    </row>
    <row r="988" spans="1:9" ht="15.95" customHeight="1">
      <c r="A988" s="5"/>
      <c r="B988" s="5"/>
      <c r="I988" s="182"/>
    </row>
    <row r="989" spans="1:9" ht="15.95" customHeight="1">
      <c r="A989" s="5"/>
      <c r="B989" s="5"/>
      <c r="I989" s="182"/>
    </row>
    <row r="990" spans="1:9" ht="15.95" customHeight="1">
      <c r="A990" s="5"/>
      <c r="B990" s="5"/>
      <c r="I990" s="182"/>
    </row>
    <row r="991" spans="1:9" ht="15.95" customHeight="1">
      <c r="A991" s="5"/>
      <c r="B991" s="5"/>
    </row>
    <row r="992" spans="1:9" ht="15.95" customHeight="1">
      <c r="A992" s="5"/>
      <c r="B992" s="5"/>
      <c r="I992" s="182"/>
    </row>
    <row r="993" spans="1:9" ht="15.95" customHeight="1">
      <c r="A993" s="5"/>
      <c r="B993" s="5"/>
      <c r="I993" s="182"/>
    </row>
    <row r="994" spans="1:9" ht="15.95" customHeight="1">
      <c r="A994" s="5"/>
      <c r="B994" s="5"/>
      <c r="I994" s="182"/>
    </row>
    <row r="995" spans="1:9" ht="15.95" customHeight="1">
      <c r="A995" s="5"/>
      <c r="B995" s="5"/>
    </row>
    <row r="996" spans="1:9" ht="15.95" customHeight="1">
      <c r="A996" s="5"/>
      <c r="B996" s="5"/>
    </row>
    <row r="997" spans="1:9" ht="15.95" customHeight="1">
      <c r="A997" s="5"/>
      <c r="B997" s="5"/>
    </row>
    <row r="998" spans="1:9" ht="15.95" customHeight="1">
      <c r="A998" s="5"/>
      <c r="B998" s="5"/>
    </row>
    <row r="999" spans="1:9" ht="15.95" customHeight="1">
      <c r="A999" s="5"/>
      <c r="B999" s="5"/>
    </row>
    <row r="1000" spans="1:9" ht="15.95" customHeight="1">
      <c r="A1000" s="5"/>
      <c r="B1000" s="5"/>
    </row>
    <row r="1001" spans="1:9" ht="15.95" customHeight="1">
      <c r="A1001" s="5"/>
      <c r="B1001" s="5"/>
    </row>
    <row r="1002" spans="1:9" ht="15.95" customHeight="1">
      <c r="A1002" s="5"/>
      <c r="B1002" s="5"/>
    </row>
    <row r="1003" spans="1:9" ht="15.95" customHeight="1">
      <c r="A1003" s="5"/>
      <c r="B1003" s="5"/>
      <c r="I1003" s="182"/>
    </row>
    <row r="1004" spans="1:9" ht="15.95" customHeight="1">
      <c r="A1004" s="5"/>
      <c r="B1004" s="5"/>
      <c r="I1004" s="182"/>
    </row>
    <row r="1005" spans="1:9" ht="15.95" customHeight="1">
      <c r="A1005" s="5"/>
      <c r="B1005" s="5"/>
      <c r="I1005" s="182"/>
    </row>
    <row r="1006" spans="1:9" ht="15.95" customHeight="1">
      <c r="A1006" s="5"/>
      <c r="B1006" s="5"/>
      <c r="I1006" s="186"/>
    </row>
    <row r="1007" spans="1:9" ht="15.95" customHeight="1">
      <c r="A1007" s="5"/>
      <c r="B1007" s="5"/>
      <c r="I1007" s="182"/>
    </row>
    <row r="1008" spans="1:9" ht="15.95" customHeight="1">
      <c r="A1008" s="5"/>
      <c r="B1008" s="5"/>
      <c r="I1008" s="182"/>
    </row>
    <row r="1009" spans="1:9" ht="15.95" customHeight="1">
      <c r="A1009" s="5"/>
      <c r="B1009" s="5"/>
    </row>
    <row r="1010" spans="1:9" ht="15.95" customHeight="1">
      <c r="A1010" s="5"/>
      <c r="B1010" s="5"/>
      <c r="I1010" s="182"/>
    </row>
    <row r="1011" spans="1:9" ht="15.95" customHeight="1">
      <c r="A1011" s="5"/>
      <c r="B1011" s="19"/>
      <c r="C1011" s="193"/>
      <c r="D1011" s="19"/>
      <c r="F1011" s="19"/>
      <c r="H1011" s="195"/>
      <c r="I1011" s="19"/>
    </row>
    <row r="1012" spans="1:9" ht="15.95" customHeight="1">
      <c r="A1012" s="5"/>
      <c r="B1012" s="19"/>
      <c r="C1012" s="193"/>
      <c r="D1012" s="19"/>
      <c r="F1012" s="19"/>
      <c r="H1012" s="195"/>
      <c r="I1012" s="19"/>
    </row>
    <row r="1013" spans="1:9" ht="15.95" customHeight="1">
      <c r="A1013" s="5"/>
      <c r="B1013" s="19"/>
      <c r="C1013" s="193"/>
      <c r="D1013" s="19"/>
      <c r="F1013" s="19"/>
      <c r="H1013" s="195"/>
      <c r="I1013" s="19"/>
    </row>
    <row r="1014" spans="1:9" ht="15.95" customHeight="1">
      <c r="A1014" s="5"/>
      <c r="B1014" s="19"/>
      <c r="C1014" s="193"/>
      <c r="D1014" s="19"/>
      <c r="F1014" s="19"/>
      <c r="H1014" s="195"/>
      <c r="I1014" s="19"/>
    </row>
    <row r="1015" spans="1:9" ht="15.95" customHeight="1">
      <c r="A1015" s="5"/>
      <c r="B1015" s="19"/>
      <c r="C1015" s="193"/>
      <c r="D1015" s="19"/>
      <c r="F1015" s="19"/>
      <c r="H1015" s="195"/>
      <c r="I1015" s="19"/>
    </row>
    <row r="1016" spans="1:9" ht="15.95" customHeight="1">
      <c r="A1016" s="5"/>
      <c r="B1016" s="19"/>
      <c r="C1016" s="193"/>
      <c r="D1016" s="19"/>
      <c r="F1016" s="19"/>
      <c r="H1016" s="195"/>
      <c r="I1016" s="19"/>
    </row>
    <row r="1017" spans="1:9" ht="15.95" customHeight="1">
      <c r="A1017" s="5"/>
      <c r="B1017" s="19"/>
      <c r="C1017" s="193"/>
      <c r="D1017" s="19"/>
      <c r="F1017" s="19"/>
      <c r="H1017" s="195"/>
      <c r="I1017" s="19"/>
    </row>
    <row r="1018" spans="1:9" ht="15.95" customHeight="1">
      <c r="A1018" s="5"/>
      <c r="B1018" s="19"/>
      <c r="C1018" s="193"/>
      <c r="D1018" s="19"/>
      <c r="F1018" s="19"/>
      <c r="H1018" s="195"/>
      <c r="I1018" s="19"/>
    </row>
    <row r="1019" spans="1:9" ht="15.95" customHeight="1">
      <c r="A1019" s="5"/>
      <c r="B1019" s="19"/>
      <c r="C1019" s="193"/>
      <c r="D1019" s="19"/>
      <c r="F1019" s="19"/>
      <c r="H1019" s="195"/>
      <c r="I1019" s="19"/>
    </row>
    <row r="1020" spans="1:9" ht="15.95" customHeight="1">
      <c r="A1020" s="5"/>
      <c r="B1020" s="19"/>
      <c r="C1020" s="193"/>
      <c r="D1020" s="19"/>
      <c r="F1020" s="19"/>
      <c r="H1020" s="195"/>
      <c r="I1020" s="19"/>
    </row>
    <row r="1021" spans="1:9" ht="15.95" customHeight="1">
      <c r="A1021" s="5"/>
      <c r="B1021" s="19"/>
      <c r="C1021" s="193"/>
      <c r="D1021" s="19"/>
      <c r="F1021" s="19"/>
      <c r="H1021" s="195"/>
      <c r="I1021" s="19"/>
    </row>
    <row r="1022" spans="1:9" ht="15.95" customHeight="1">
      <c r="A1022" s="5"/>
      <c r="B1022" s="19"/>
      <c r="C1022" s="193"/>
      <c r="D1022" s="19"/>
      <c r="F1022" s="19"/>
      <c r="H1022" s="195"/>
      <c r="I1022" s="19"/>
    </row>
    <row r="1023" spans="1:9" ht="15.95" customHeight="1">
      <c r="A1023" s="5"/>
      <c r="B1023" s="19"/>
      <c r="C1023" s="193"/>
      <c r="D1023" s="19"/>
      <c r="F1023" s="19"/>
      <c r="H1023" s="195"/>
      <c r="I1023" s="19"/>
    </row>
    <row r="1024" spans="1:9" ht="15.95" customHeight="1">
      <c r="A1024" s="5"/>
      <c r="B1024" s="19"/>
      <c r="C1024" s="193"/>
      <c r="D1024" s="19"/>
      <c r="F1024" s="19"/>
      <c r="H1024" s="195"/>
      <c r="I1024" s="19"/>
    </row>
    <row r="1025" spans="1:9" ht="15.95" customHeight="1">
      <c r="A1025" s="5"/>
      <c r="B1025" s="19"/>
      <c r="C1025" s="193"/>
      <c r="D1025" s="19"/>
      <c r="F1025" s="19"/>
      <c r="H1025" s="195"/>
      <c r="I1025" s="19"/>
    </row>
    <row r="1026" spans="1:9" ht="15.95" customHeight="1">
      <c r="A1026" s="5"/>
      <c r="B1026" s="19"/>
      <c r="C1026" s="193"/>
      <c r="D1026" s="19"/>
      <c r="F1026" s="19"/>
      <c r="H1026" s="195"/>
      <c r="I1026" s="19"/>
    </row>
    <row r="1027" spans="1:9" ht="15.95" customHeight="1">
      <c r="A1027" s="5"/>
      <c r="B1027" s="19"/>
      <c r="C1027" s="193"/>
      <c r="D1027" s="19"/>
      <c r="F1027" s="19"/>
      <c r="H1027" s="195"/>
      <c r="I1027" s="19"/>
    </row>
    <row r="1028" spans="1:9" ht="15.95" customHeight="1">
      <c r="A1028" s="5"/>
      <c r="B1028" s="19"/>
      <c r="C1028" s="193"/>
      <c r="D1028" s="19"/>
      <c r="F1028" s="19"/>
      <c r="H1028" s="195"/>
      <c r="I1028" s="19"/>
    </row>
    <row r="1029" spans="1:9" ht="15.95" customHeight="1">
      <c r="A1029" s="5"/>
      <c r="B1029" s="19"/>
      <c r="C1029" s="193"/>
      <c r="D1029" s="19"/>
      <c r="F1029" s="19"/>
      <c r="H1029" s="195"/>
      <c r="I1029" s="19"/>
    </row>
    <row r="1030" spans="1:9" ht="15.95" customHeight="1">
      <c r="A1030" s="5"/>
      <c r="B1030" s="19"/>
      <c r="C1030" s="193"/>
      <c r="D1030" s="19"/>
      <c r="F1030" s="19"/>
      <c r="H1030" s="195"/>
      <c r="I1030" s="19"/>
    </row>
    <row r="1031" spans="1:9" ht="15.95" customHeight="1">
      <c r="A1031" s="5"/>
      <c r="B1031" s="19"/>
      <c r="C1031" s="193"/>
      <c r="D1031" s="19"/>
      <c r="F1031" s="19"/>
      <c r="H1031" s="195"/>
      <c r="I1031" s="19"/>
    </row>
    <row r="1032" spans="1:9" ht="15.95" customHeight="1">
      <c r="A1032" s="5"/>
      <c r="B1032" s="19"/>
      <c r="C1032" s="193"/>
      <c r="D1032" s="19"/>
      <c r="F1032" s="19"/>
      <c r="H1032" s="195"/>
      <c r="I1032" s="19"/>
    </row>
    <row r="1033" spans="1:9" ht="15.95" customHeight="1">
      <c r="A1033" s="5"/>
      <c r="B1033" s="19"/>
      <c r="C1033" s="193"/>
      <c r="D1033" s="19"/>
      <c r="F1033" s="19"/>
      <c r="H1033" s="195"/>
      <c r="I1033" s="19"/>
    </row>
    <row r="1034" spans="1:9" ht="15.95" customHeight="1">
      <c r="A1034" s="5"/>
      <c r="B1034" s="19"/>
      <c r="C1034" s="193"/>
      <c r="D1034" s="19"/>
      <c r="F1034" s="19"/>
      <c r="H1034" s="195"/>
      <c r="I1034" s="19"/>
    </row>
    <row r="1035" spans="1:9" ht="15.95" customHeight="1">
      <c r="A1035" s="5"/>
      <c r="B1035" s="19"/>
      <c r="C1035" s="193"/>
      <c r="D1035" s="19"/>
      <c r="F1035" s="19"/>
      <c r="H1035" s="195"/>
      <c r="I1035" s="19"/>
    </row>
    <row r="1036" spans="1:9" ht="15.95" customHeight="1">
      <c r="A1036" s="5"/>
      <c r="B1036" s="19"/>
      <c r="C1036" s="193"/>
      <c r="D1036" s="19"/>
      <c r="F1036" s="19"/>
      <c r="H1036" s="195"/>
      <c r="I1036" s="19"/>
    </row>
    <row r="1037" spans="1:9" ht="15.95" customHeight="1">
      <c r="A1037" s="5"/>
      <c r="B1037" s="19"/>
      <c r="C1037" s="193"/>
      <c r="D1037" s="19"/>
      <c r="F1037" s="19"/>
      <c r="H1037" s="195"/>
      <c r="I1037" s="19"/>
    </row>
    <row r="1038" spans="1:9" ht="15.95" customHeight="1">
      <c r="A1038" s="5"/>
      <c r="B1038" s="19"/>
      <c r="C1038" s="193"/>
      <c r="D1038" s="19"/>
      <c r="F1038" s="19"/>
      <c r="H1038" s="195"/>
      <c r="I1038" s="19"/>
    </row>
    <row r="1039" spans="1:9" ht="15.95" customHeight="1">
      <c r="A1039" s="5"/>
      <c r="B1039" s="19"/>
      <c r="C1039" s="193"/>
      <c r="D1039" s="19"/>
      <c r="F1039" s="19"/>
      <c r="H1039" s="195"/>
      <c r="I1039" s="19"/>
    </row>
    <row r="1040" spans="1:9" ht="15.95" customHeight="1">
      <c r="A1040" s="5"/>
      <c r="B1040" s="19"/>
      <c r="C1040" s="193"/>
      <c r="D1040" s="19"/>
      <c r="F1040" s="19"/>
      <c r="H1040" s="195"/>
      <c r="I1040" s="19"/>
    </row>
    <row r="1041" spans="1:9" ht="15.95" customHeight="1">
      <c r="A1041" s="5"/>
      <c r="B1041" s="19"/>
      <c r="C1041" s="193"/>
      <c r="D1041" s="19"/>
      <c r="F1041" s="19"/>
      <c r="H1041" s="195"/>
      <c r="I1041" s="19"/>
    </row>
    <row r="1042" spans="1:9" ht="15.95" customHeight="1">
      <c r="A1042" s="5"/>
      <c r="B1042" s="19"/>
      <c r="C1042" s="193"/>
      <c r="D1042" s="19"/>
      <c r="F1042" s="19"/>
      <c r="H1042" s="195"/>
      <c r="I1042" s="19"/>
    </row>
    <row r="1043" spans="1:9" ht="15.95" customHeight="1">
      <c r="A1043" s="5"/>
      <c r="B1043" s="19"/>
      <c r="C1043" s="193"/>
      <c r="D1043" s="19"/>
      <c r="F1043" s="19"/>
      <c r="H1043" s="195"/>
      <c r="I1043" s="19"/>
    </row>
    <row r="1044" spans="1:9" ht="15.95" customHeight="1">
      <c r="A1044" s="5"/>
      <c r="B1044" s="19"/>
      <c r="C1044" s="193"/>
      <c r="D1044" s="19"/>
      <c r="F1044" s="19"/>
      <c r="H1044" s="195"/>
      <c r="I1044" s="19"/>
    </row>
    <row r="1045" spans="1:9" ht="15.95" customHeight="1">
      <c r="A1045" s="5"/>
      <c r="B1045" s="19"/>
      <c r="C1045" s="193"/>
      <c r="D1045" s="19"/>
      <c r="F1045" s="19"/>
      <c r="H1045" s="195"/>
      <c r="I1045" s="19"/>
    </row>
    <row r="1046" spans="1:9" ht="15.95" customHeight="1">
      <c r="A1046" s="5"/>
      <c r="B1046" s="19"/>
      <c r="C1046" s="193"/>
      <c r="D1046" s="19"/>
      <c r="F1046" s="19"/>
      <c r="H1046" s="195"/>
      <c r="I1046" s="19"/>
    </row>
    <row r="1047" spans="1:9" ht="15.95" customHeight="1">
      <c r="A1047" s="5"/>
      <c r="B1047" s="19"/>
      <c r="C1047" s="193"/>
      <c r="D1047" s="19"/>
      <c r="F1047" s="19"/>
      <c r="H1047" s="195"/>
      <c r="I1047" s="19"/>
    </row>
    <row r="1048" spans="1:9" ht="15.95" customHeight="1">
      <c r="A1048" s="5"/>
      <c r="B1048" s="19"/>
      <c r="C1048" s="193"/>
      <c r="D1048" s="19"/>
      <c r="F1048" s="19"/>
      <c r="H1048" s="195"/>
      <c r="I1048" s="19"/>
    </row>
    <row r="1049" spans="1:9" ht="15.95" customHeight="1">
      <c r="A1049" s="5"/>
      <c r="B1049" s="19"/>
      <c r="C1049" s="193"/>
      <c r="D1049" s="19"/>
      <c r="F1049" s="19"/>
      <c r="H1049" s="195"/>
      <c r="I1049" s="19"/>
    </row>
    <row r="1050" spans="1:9" ht="15.95" customHeight="1">
      <c r="A1050" s="5"/>
      <c r="B1050" s="19"/>
      <c r="C1050" s="193"/>
      <c r="D1050" s="19"/>
      <c r="F1050" s="19"/>
      <c r="H1050" s="195"/>
      <c r="I1050" s="19"/>
    </row>
    <row r="1051" spans="1:9" ht="15.95" customHeight="1">
      <c r="A1051" s="5"/>
      <c r="B1051" s="19"/>
      <c r="C1051" s="193"/>
      <c r="D1051" s="19"/>
      <c r="F1051" s="19"/>
      <c r="H1051" s="195"/>
      <c r="I1051" s="19"/>
    </row>
    <row r="1052" spans="1:9" ht="15.95" customHeight="1">
      <c r="A1052" s="5"/>
      <c r="B1052" s="19"/>
      <c r="C1052" s="193"/>
      <c r="D1052" s="19"/>
      <c r="F1052" s="19"/>
      <c r="H1052" s="195"/>
      <c r="I1052" s="19"/>
    </row>
    <row r="1053" spans="1:9" ht="15.95" customHeight="1">
      <c r="A1053" s="5"/>
      <c r="B1053" s="19"/>
      <c r="C1053" s="193"/>
      <c r="D1053" s="19"/>
      <c r="F1053" s="19"/>
      <c r="H1053" s="195"/>
      <c r="I1053" s="19"/>
    </row>
    <row r="1054" spans="1:9" ht="15.95" customHeight="1">
      <c r="A1054" s="5"/>
      <c r="B1054" s="19"/>
      <c r="C1054" s="193"/>
      <c r="D1054" s="19"/>
      <c r="F1054" s="19"/>
      <c r="H1054" s="195"/>
      <c r="I1054" s="19"/>
    </row>
    <row r="1055" spans="1:9" ht="15.95" customHeight="1">
      <c r="A1055" s="5"/>
      <c r="B1055" s="19"/>
      <c r="C1055" s="193"/>
      <c r="D1055" s="19"/>
      <c r="F1055" s="19"/>
      <c r="H1055" s="195"/>
      <c r="I1055" s="19"/>
    </row>
    <row r="1056" spans="1:9" ht="15.95" customHeight="1">
      <c r="A1056" s="5"/>
      <c r="B1056" s="19"/>
      <c r="C1056" s="193"/>
      <c r="D1056" s="19"/>
      <c r="F1056" s="19"/>
      <c r="H1056" s="195"/>
      <c r="I1056" s="19"/>
    </row>
    <row r="1057" spans="1:9" ht="15.95" customHeight="1">
      <c r="A1057" s="5"/>
      <c r="B1057" s="19"/>
      <c r="C1057" s="193"/>
      <c r="D1057" s="19"/>
      <c r="F1057" s="19"/>
      <c r="H1057" s="195"/>
      <c r="I1057" s="19"/>
    </row>
    <row r="1058" spans="1:9" ht="15.95" customHeight="1">
      <c r="A1058" s="5"/>
      <c r="B1058" s="19"/>
      <c r="C1058" s="193"/>
      <c r="D1058" s="19"/>
      <c r="F1058" s="19"/>
      <c r="H1058" s="195"/>
      <c r="I1058" s="19"/>
    </row>
    <row r="1059" spans="1:9" ht="15.95" customHeight="1">
      <c r="A1059" s="5"/>
      <c r="B1059" s="19"/>
      <c r="C1059" s="193"/>
      <c r="D1059" s="19"/>
      <c r="F1059" s="19"/>
      <c r="H1059" s="195"/>
      <c r="I1059" s="19"/>
    </row>
    <row r="1060" spans="1:9" ht="15.95" customHeight="1">
      <c r="A1060" s="5"/>
      <c r="B1060" s="19"/>
      <c r="C1060" s="193"/>
      <c r="D1060" s="19"/>
      <c r="F1060" s="19"/>
      <c r="H1060" s="195"/>
      <c r="I1060" s="19"/>
    </row>
    <row r="1061" spans="1:9" ht="15.95" customHeight="1">
      <c r="A1061" s="5"/>
      <c r="B1061" s="19"/>
      <c r="C1061" s="193"/>
      <c r="D1061" s="19"/>
      <c r="F1061" s="19"/>
      <c r="H1061" s="195"/>
      <c r="I1061" s="19"/>
    </row>
    <row r="1062" spans="1:9" ht="15.95" customHeight="1">
      <c r="A1062" s="5"/>
      <c r="B1062" s="19"/>
      <c r="C1062" s="193"/>
      <c r="D1062" s="19"/>
      <c r="F1062" s="19"/>
      <c r="H1062" s="195"/>
      <c r="I1062" s="19"/>
    </row>
    <row r="1063" spans="1:9" ht="15.95" customHeight="1">
      <c r="A1063" s="5"/>
      <c r="B1063" s="19"/>
      <c r="C1063" s="193"/>
      <c r="D1063" s="19"/>
      <c r="F1063" s="19"/>
      <c r="H1063" s="195"/>
      <c r="I1063" s="19"/>
    </row>
    <row r="1064" spans="1:9" ht="15.95" customHeight="1">
      <c r="A1064" s="5"/>
      <c r="B1064" s="19"/>
      <c r="C1064" s="193"/>
      <c r="D1064" s="19"/>
      <c r="F1064" s="19"/>
      <c r="H1064" s="195"/>
      <c r="I1064" s="19"/>
    </row>
    <row r="1065" spans="1:9" ht="15.95" customHeight="1">
      <c r="A1065" s="5"/>
      <c r="B1065" s="5"/>
      <c r="E1065" s="19"/>
      <c r="I1065" s="182"/>
    </row>
    <row r="1066" spans="1:9" ht="15.95" customHeight="1">
      <c r="A1066" s="5"/>
      <c r="B1066" s="5"/>
      <c r="E1066" s="19"/>
      <c r="I1066" s="182"/>
    </row>
    <row r="1067" spans="1:9" ht="15.95" customHeight="1">
      <c r="A1067" s="5"/>
      <c r="B1067" s="5"/>
      <c r="E1067" s="19"/>
      <c r="I1067" s="182"/>
    </row>
    <row r="1068" spans="1:9" ht="15.95" customHeight="1">
      <c r="A1068" s="5"/>
      <c r="B1068" s="5"/>
      <c r="E1068" s="19"/>
      <c r="I1068" s="182"/>
    </row>
    <row r="1069" spans="1:9" ht="15.95" customHeight="1">
      <c r="A1069" s="5"/>
      <c r="B1069" s="5"/>
      <c r="E1069" s="19"/>
      <c r="I1069" s="182"/>
    </row>
    <row r="1070" spans="1:9" ht="15.95" customHeight="1">
      <c r="A1070" s="5"/>
      <c r="B1070" s="5"/>
      <c r="E1070" s="19"/>
      <c r="I1070" s="182"/>
    </row>
    <row r="1071" spans="1:9" ht="15.95" customHeight="1">
      <c r="A1071" s="5"/>
      <c r="B1071" s="5"/>
      <c r="E1071" s="19"/>
      <c r="I1071" s="182"/>
    </row>
    <row r="1072" spans="1:9" ht="15.95" customHeight="1">
      <c r="A1072" s="5"/>
      <c r="B1072" s="5"/>
      <c r="E1072" s="19"/>
      <c r="I1072" s="182"/>
    </row>
    <row r="1073" spans="1:9" ht="15.95" customHeight="1">
      <c r="A1073" s="5"/>
      <c r="B1073" s="5"/>
      <c r="E1073" s="19"/>
      <c r="I1073" s="182"/>
    </row>
    <row r="1074" spans="1:9" ht="15.95" customHeight="1">
      <c r="A1074" s="5"/>
      <c r="B1074" s="5"/>
      <c r="E1074" s="19"/>
      <c r="I1074" s="182"/>
    </row>
    <row r="1075" spans="1:9" ht="15.95" customHeight="1">
      <c r="A1075" s="5"/>
      <c r="B1075" s="5"/>
      <c r="E1075" s="19"/>
      <c r="I1075" s="182"/>
    </row>
    <row r="1076" spans="1:9" ht="15.95" customHeight="1">
      <c r="A1076" s="216"/>
      <c r="B1076" s="216"/>
      <c r="C1076" s="217"/>
      <c r="D1076" s="216"/>
      <c r="E1076" s="216"/>
      <c r="F1076" s="218"/>
      <c r="G1076" s="219"/>
      <c r="H1076" s="220"/>
      <c r="I1076" s="186"/>
    </row>
    <row r="1077" spans="1:9" ht="15.95" customHeight="1">
      <c r="A1077" s="224"/>
      <c r="B1077" s="224"/>
      <c r="C1077" s="225"/>
      <c r="D1077" s="224"/>
      <c r="E1077" s="224"/>
      <c r="F1077" s="226"/>
      <c r="G1077" s="227"/>
      <c r="H1077" s="228"/>
      <c r="I1077" s="186"/>
    </row>
    <row r="1078" spans="1:9" ht="15.95" customHeight="1">
      <c r="A1078" s="224"/>
      <c r="B1078" s="224"/>
      <c r="C1078" s="225"/>
      <c r="D1078" s="224"/>
      <c r="E1078" s="224"/>
      <c r="F1078" s="226"/>
      <c r="G1078" s="227"/>
      <c r="H1078" s="228"/>
      <c r="I1078" s="186"/>
    </row>
    <row r="1079" spans="1:9" ht="15.95" customHeight="1">
      <c r="A1079" s="224"/>
      <c r="B1079" s="224"/>
      <c r="C1079" s="225"/>
      <c r="D1079" s="224"/>
      <c r="E1079" s="224"/>
      <c r="F1079" s="226"/>
      <c r="G1079" s="227"/>
      <c r="H1079" s="228"/>
      <c r="I1079" s="186"/>
    </row>
    <row r="1080" spans="1:9" ht="15.95" customHeight="1">
      <c r="A1080" s="224"/>
      <c r="B1080" s="224"/>
      <c r="C1080" s="225"/>
      <c r="D1080" s="224"/>
      <c r="E1080" s="224"/>
      <c r="F1080" s="226"/>
      <c r="G1080" s="227"/>
      <c r="H1080" s="228"/>
      <c r="I1080" s="186"/>
    </row>
    <row r="1081" spans="1:9" ht="15.95" customHeight="1">
      <c r="A1081" s="224"/>
      <c r="B1081" s="224"/>
      <c r="C1081" s="225"/>
      <c r="D1081" s="224"/>
      <c r="E1081" s="224"/>
      <c r="F1081" s="226"/>
      <c r="G1081" s="227"/>
      <c r="H1081" s="228"/>
      <c r="I1081" s="186"/>
    </row>
    <row r="1082" spans="1:9" ht="15.95" customHeight="1">
      <c r="A1082" s="224"/>
      <c r="B1082" s="224"/>
      <c r="C1082" s="225"/>
      <c r="D1082" s="224"/>
      <c r="E1082" s="224"/>
      <c r="F1082" s="226"/>
      <c r="G1082" s="227"/>
      <c r="H1082" s="228"/>
      <c r="I1082" s="186"/>
    </row>
    <row r="1083" spans="1:9" ht="15.95" customHeight="1">
      <c r="A1083" s="224"/>
      <c r="B1083" s="224"/>
      <c r="C1083" s="225"/>
      <c r="D1083" s="224"/>
      <c r="E1083" s="224"/>
      <c r="F1083" s="226"/>
      <c r="G1083" s="227"/>
      <c r="H1083" s="228"/>
      <c r="I1083" s="186"/>
    </row>
    <row r="1084" spans="1:9" ht="15.95" customHeight="1">
      <c r="A1084" s="224"/>
      <c r="B1084" s="224"/>
      <c r="C1084" s="225"/>
      <c r="D1084" s="224"/>
      <c r="E1084" s="224"/>
      <c r="F1084" s="226"/>
      <c r="G1084" s="227"/>
      <c r="H1084" s="228"/>
      <c r="I1084" s="186"/>
    </row>
    <row r="1085" spans="1:9" ht="15.95" customHeight="1">
      <c r="A1085" s="224"/>
      <c r="B1085" s="224"/>
      <c r="C1085" s="225"/>
      <c r="D1085" s="224"/>
      <c r="E1085" s="224"/>
      <c r="F1085" s="226"/>
      <c r="G1085" s="227"/>
      <c r="H1085" s="228"/>
      <c r="I1085" s="186"/>
    </row>
    <row r="1086" spans="1:9" ht="15.95" customHeight="1">
      <c r="A1086" s="224"/>
      <c r="B1086" s="224"/>
      <c r="C1086" s="225"/>
      <c r="D1086" s="224"/>
      <c r="E1086" s="224"/>
      <c r="F1086" s="226"/>
      <c r="G1086" s="227"/>
      <c r="H1086" s="228"/>
      <c r="I1086" s="186"/>
    </row>
    <row r="1087" spans="1:9" ht="15.95" customHeight="1">
      <c r="A1087" s="224"/>
      <c r="B1087" s="224"/>
      <c r="C1087" s="225"/>
      <c r="D1087" s="224"/>
      <c r="E1087" s="224"/>
      <c r="F1087" s="226"/>
      <c r="G1087" s="227"/>
      <c r="H1087" s="228"/>
      <c r="I1087" s="186"/>
    </row>
    <row r="1088" spans="1:9" ht="15.95" customHeight="1">
      <c r="A1088" s="224"/>
      <c r="B1088" s="224"/>
      <c r="C1088" s="225"/>
      <c r="D1088" s="224"/>
      <c r="E1088" s="224"/>
      <c r="F1088" s="226"/>
      <c r="G1088" s="227"/>
      <c r="H1088" s="228"/>
      <c r="I1088" s="186"/>
    </row>
    <row r="1089" spans="1:9" ht="15.95" customHeight="1">
      <c r="A1089" s="224"/>
      <c r="B1089" s="224"/>
      <c r="C1089" s="225"/>
      <c r="D1089" s="224"/>
      <c r="E1089" s="224"/>
      <c r="F1089" s="226"/>
      <c r="G1089" s="227"/>
      <c r="H1089" s="228"/>
      <c r="I1089" s="186"/>
    </row>
    <row r="1090" spans="1:9" ht="15.95" customHeight="1">
      <c r="A1090" s="231"/>
      <c r="B1090" s="231"/>
      <c r="C1090" s="232"/>
      <c r="D1090" s="231"/>
      <c r="E1090" s="231"/>
      <c r="F1090" s="233"/>
      <c r="G1090" s="234"/>
      <c r="H1090" s="235"/>
      <c r="I1090" s="186"/>
    </row>
    <row r="1091" spans="1:9" ht="15.95" customHeight="1">
      <c r="A1091" s="5"/>
      <c r="B1091" s="5"/>
      <c r="I1091" s="182"/>
    </row>
    <row r="1092" spans="1:9" ht="15.95" customHeight="1">
      <c r="A1092" s="5"/>
      <c r="B1092" s="5"/>
      <c r="I1092" s="182"/>
    </row>
    <row r="1093" spans="1:9" ht="15.95" customHeight="1">
      <c r="A1093" s="5"/>
      <c r="B1093" s="5"/>
      <c r="I1093" s="182"/>
    </row>
    <row r="1094" spans="1:9" ht="15.95" customHeight="1">
      <c r="A1094" s="5"/>
      <c r="B1094" s="5"/>
      <c r="I1094" s="196"/>
    </row>
    <row r="1095" spans="1:9" ht="15.95" customHeight="1">
      <c r="A1095" s="5"/>
      <c r="B1095" s="5"/>
      <c r="I1095" s="196"/>
    </row>
    <row r="1096" spans="1:9" ht="15.95" customHeight="1">
      <c r="A1096" s="5"/>
      <c r="B1096" s="5"/>
      <c r="I1096" s="196"/>
    </row>
    <row r="1097" spans="1:9" ht="15.95" customHeight="1">
      <c r="A1097" s="5"/>
      <c r="B1097" s="5"/>
    </row>
    <row r="1098" spans="1:9" ht="15.95" customHeight="1">
      <c r="A1098" s="5"/>
      <c r="B1098" s="5"/>
    </row>
    <row r="1099" spans="1:9" ht="15.95" customHeight="1">
      <c r="A1099" s="5"/>
      <c r="B1099" s="19"/>
      <c r="C1099" s="193"/>
      <c r="D1099" s="19"/>
      <c r="E1099" s="19"/>
      <c r="F1099" s="19"/>
      <c r="H1099" s="195"/>
      <c r="I1099" s="19"/>
    </row>
    <row r="1100" spans="1:9" ht="15.95" customHeight="1">
      <c r="A1100" s="5"/>
      <c r="B1100" s="19"/>
      <c r="C1100" s="193"/>
      <c r="D1100" s="19"/>
      <c r="E1100" s="19"/>
      <c r="F1100" s="19"/>
      <c r="H1100" s="195"/>
      <c r="I1100" s="19"/>
    </row>
    <row r="1101" spans="1:9" ht="15.95" customHeight="1">
      <c r="A1101" s="5"/>
      <c r="B1101" s="19"/>
      <c r="C1101" s="193"/>
      <c r="D1101" s="19"/>
      <c r="E1101" s="19"/>
      <c r="F1101" s="19"/>
      <c r="H1101" s="195"/>
      <c r="I1101" s="19"/>
    </row>
    <row r="1102" spans="1:9" ht="15.95" customHeight="1">
      <c r="A1102" s="5"/>
      <c r="B1102" s="19"/>
      <c r="C1102" s="193"/>
      <c r="D1102" s="19"/>
      <c r="E1102" s="19"/>
      <c r="F1102" s="19"/>
      <c r="H1102" s="195"/>
      <c r="I1102" s="19"/>
    </row>
    <row r="1103" spans="1:9" ht="15.95" customHeight="1">
      <c r="A1103" s="5"/>
      <c r="B1103" s="19"/>
      <c r="C1103" s="193"/>
      <c r="D1103" s="19"/>
      <c r="E1103" s="19"/>
      <c r="F1103" s="19"/>
      <c r="H1103" s="195"/>
      <c r="I1103" s="19"/>
    </row>
    <row r="1104" spans="1:9" ht="15.95" customHeight="1">
      <c r="A1104" s="5"/>
      <c r="B1104" s="19"/>
      <c r="C1104" s="193"/>
      <c r="D1104" s="19"/>
      <c r="E1104" s="19"/>
      <c r="F1104" s="19"/>
      <c r="H1104" s="195"/>
      <c r="I1104" s="19"/>
    </row>
    <row r="1105" spans="1:9" ht="15.95" customHeight="1">
      <c r="A1105" s="5"/>
      <c r="B1105" s="19"/>
      <c r="C1105" s="193"/>
      <c r="D1105" s="19"/>
      <c r="E1105" s="19"/>
      <c r="F1105" s="19"/>
      <c r="H1105" s="195"/>
      <c r="I1105" s="19"/>
    </row>
    <row r="1106" spans="1:9" ht="15.95" customHeight="1">
      <c r="A1106" s="5"/>
      <c r="B1106" s="19"/>
      <c r="C1106" s="193"/>
      <c r="D1106" s="19"/>
      <c r="E1106" s="19"/>
      <c r="F1106" s="19"/>
      <c r="H1106" s="195"/>
      <c r="I1106" s="19"/>
    </row>
    <row r="1107" spans="1:9" ht="15.95" customHeight="1">
      <c r="A1107" s="5"/>
      <c r="B1107" s="19"/>
      <c r="C1107" s="193"/>
      <c r="D1107" s="19"/>
      <c r="E1107" s="19"/>
      <c r="F1107" s="19"/>
      <c r="H1107" s="195"/>
      <c r="I1107" s="19"/>
    </row>
    <row r="1108" spans="1:9" ht="15.95" customHeight="1">
      <c r="A1108" s="5"/>
      <c r="B1108" s="19"/>
      <c r="C1108" s="193"/>
      <c r="D1108" s="19"/>
      <c r="E1108" s="19"/>
      <c r="F1108" s="19"/>
      <c r="H1108" s="195"/>
      <c r="I1108" s="19"/>
    </row>
    <row r="1109" spans="1:9" ht="15.95" customHeight="1">
      <c r="A1109" s="5"/>
      <c r="B1109" s="19"/>
      <c r="C1109" s="193"/>
      <c r="D1109" s="19"/>
      <c r="E1109" s="19"/>
      <c r="F1109" s="19"/>
      <c r="H1109" s="195"/>
      <c r="I1109" s="19"/>
    </row>
    <row r="1110" spans="1:9" ht="15.95" customHeight="1">
      <c r="A1110" s="5"/>
      <c r="B1110" s="19"/>
      <c r="C1110" s="193"/>
      <c r="D1110" s="19"/>
      <c r="E1110" s="19"/>
      <c r="F1110" s="19"/>
      <c r="H1110" s="195"/>
      <c r="I1110" s="19"/>
    </row>
    <row r="1111" spans="1:9" ht="15.95" customHeight="1">
      <c r="A1111" s="5"/>
      <c r="B1111" s="19"/>
      <c r="C1111" s="193"/>
      <c r="D1111" s="19"/>
      <c r="E1111" s="19"/>
      <c r="F1111" s="19"/>
      <c r="H1111" s="195"/>
      <c r="I1111" s="19"/>
    </row>
    <row r="1112" spans="1:9" ht="15.95" customHeight="1">
      <c r="A1112" s="5"/>
      <c r="B1112" s="19"/>
      <c r="C1112" s="193"/>
      <c r="D1112" s="19"/>
      <c r="E1112" s="19"/>
      <c r="F1112" s="19"/>
      <c r="H1112" s="195"/>
      <c r="I1112" s="19"/>
    </row>
    <row r="1113" spans="1:9" ht="15.95" customHeight="1">
      <c r="A1113" s="5"/>
      <c r="B1113" s="19"/>
      <c r="C1113" s="193"/>
      <c r="D1113" s="19"/>
      <c r="E1113" s="19"/>
      <c r="F1113" s="19"/>
      <c r="H1113" s="195"/>
      <c r="I1113" s="19"/>
    </row>
    <row r="1114" spans="1:9" ht="15.95" customHeight="1">
      <c r="A1114" s="5"/>
      <c r="B1114" s="19"/>
      <c r="C1114" s="193"/>
      <c r="D1114" s="19"/>
      <c r="E1114" s="19"/>
      <c r="F1114" s="19"/>
      <c r="H1114" s="195"/>
      <c r="I1114" s="19"/>
    </row>
    <row r="1115" spans="1:9" ht="15.95" customHeight="1">
      <c r="A1115" s="5"/>
      <c r="B1115" s="19"/>
      <c r="C1115" s="193"/>
      <c r="D1115" s="19"/>
      <c r="E1115" s="19"/>
      <c r="F1115" s="19"/>
      <c r="H1115" s="195"/>
      <c r="I1115" s="19"/>
    </row>
    <row r="1116" spans="1:9" ht="15.95" customHeight="1">
      <c r="A1116" s="5"/>
      <c r="B1116" s="19"/>
      <c r="C1116" s="193"/>
      <c r="D1116" s="19"/>
      <c r="E1116" s="19"/>
      <c r="F1116" s="19"/>
      <c r="H1116" s="195"/>
      <c r="I1116" s="19"/>
    </row>
    <row r="1117" spans="1:9" ht="15.95" customHeight="1">
      <c r="A1117" s="5"/>
      <c r="B1117" s="19"/>
      <c r="C1117" s="193"/>
      <c r="D1117" s="19"/>
      <c r="E1117" s="19"/>
      <c r="F1117" s="19"/>
      <c r="H1117" s="195"/>
      <c r="I1117" s="19"/>
    </row>
    <row r="1118" spans="1:9" ht="15.95" customHeight="1">
      <c r="A1118" s="5"/>
      <c r="B1118" s="19"/>
      <c r="C1118" s="193"/>
      <c r="D1118" s="19"/>
      <c r="E1118" s="19"/>
      <c r="F1118" s="19"/>
      <c r="H1118" s="195"/>
      <c r="I1118" s="19"/>
    </row>
    <row r="1119" spans="1:9" ht="15.95" customHeight="1">
      <c r="A1119" s="5"/>
      <c r="B1119" s="19"/>
      <c r="C1119" s="193"/>
      <c r="D1119" s="19"/>
      <c r="E1119" s="19"/>
      <c r="F1119" s="19"/>
      <c r="H1119" s="195"/>
      <c r="I1119" s="19"/>
    </row>
    <row r="1120" spans="1:9" ht="15.95" customHeight="1">
      <c r="A1120" s="5"/>
      <c r="B1120" s="19"/>
      <c r="C1120" s="193"/>
      <c r="D1120" s="19"/>
      <c r="E1120" s="19"/>
      <c r="F1120" s="19"/>
      <c r="H1120" s="195"/>
      <c r="I1120" s="19"/>
    </row>
    <row r="1121" spans="1:9" ht="15.95" customHeight="1">
      <c r="A1121" s="5"/>
      <c r="B1121" s="5"/>
      <c r="E1121" s="19"/>
      <c r="I1121" s="182"/>
    </row>
    <row r="1122" spans="1:9" ht="15.95" customHeight="1">
      <c r="A1122" s="5"/>
      <c r="B1122" s="5"/>
      <c r="E1122" s="19"/>
      <c r="I1122" s="182"/>
    </row>
    <row r="1123" spans="1:9" ht="15.95" customHeight="1">
      <c r="A1123" s="5"/>
      <c r="B1123" s="5"/>
      <c r="E1123" s="19"/>
      <c r="I1123" s="182"/>
    </row>
    <row r="1124" spans="1:9" ht="15.95" customHeight="1">
      <c r="A1124" s="5"/>
      <c r="B1124" s="5"/>
      <c r="E1124" s="19"/>
      <c r="I1124" s="182"/>
    </row>
    <row r="1125" spans="1:9" ht="15.95" customHeight="1">
      <c r="A1125" s="5"/>
      <c r="B1125" s="5"/>
      <c r="E1125" s="19"/>
      <c r="I1125" s="182"/>
    </row>
    <row r="1126" spans="1:9" ht="15.95" customHeight="1">
      <c r="A1126" s="5"/>
      <c r="B1126" s="5"/>
      <c r="E1126" s="19"/>
      <c r="I1126" s="182"/>
    </row>
    <row r="1127" spans="1:9" ht="15.95" customHeight="1">
      <c r="A1127" s="19"/>
      <c r="B1127" s="19"/>
      <c r="C1127" s="193"/>
      <c r="D1127" s="19"/>
      <c r="E1127" s="19"/>
      <c r="F1127" s="1341"/>
      <c r="H1127" s="195"/>
    </row>
    <row r="1128" spans="1:9" ht="15.95" customHeight="1">
      <c r="A1128" s="19"/>
      <c r="B1128" s="19"/>
      <c r="C1128" s="193"/>
      <c r="D1128" s="19"/>
      <c r="E1128" s="19"/>
      <c r="F1128" s="1341"/>
      <c r="H1128" s="195"/>
    </row>
    <row r="1129" spans="1:9" ht="15.95" customHeight="1">
      <c r="A1129" s="19"/>
      <c r="B1129" s="19"/>
      <c r="C1129" s="193"/>
      <c r="D1129" s="19"/>
      <c r="E1129" s="19"/>
      <c r="F1129" s="1341"/>
      <c r="H1129" s="195"/>
    </row>
    <row r="1130" spans="1:9" ht="15.95" customHeight="1">
      <c r="A1130" s="19"/>
      <c r="B1130" s="19"/>
      <c r="C1130" s="193"/>
      <c r="D1130" s="19"/>
      <c r="E1130" s="19"/>
      <c r="F1130" s="1341"/>
      <c r="H1130" s="195"/>
      <c r="I1130" s="19"/>
    </row>
    <row r="1131" spans="1:9" ht="15.95" customHeight="1">
      <c r="A1131" s="19"/>
      <c r="B1131" s="19"/>
      <c r="C1131" s="193"/>
      <c r="D1131" s="19"/>
      <c r="E1131" s="19"/>
      <c r="F1131" s="1341"/>
      <c r="H1131" s="195"/>
    </row>
    <row r="1132" spans="1:9" ht="15.95" customHeight="1">
      <c r="A1132" s="19"/>
      <c r="B1132" s="19"/>
      <c r="C1132" s="193"/>
      <c r="D1132" s="19"/>
      <c r="E1132" s="19"/>
      <c r="F1132" s="1341"/>
      <c r="H1132" s="195"/>
    </row>
    <row r="1133" spans="1:9" ht="15.95" customHeight="1">
      <c r="A1133" s="19"/>
      <c r="B1133" s="19"/>
      <c r="C1133" s="193"/>
      <c r="D1133" s="19"/>
      <c r="E1133" s="19"/>
      <c r="F1133" s="1341"/>
      <c r="H1133" s="195"/>
    </row>
    <row r="1134" spans="1:9" ht="15.95" customHeight="1">
      <c r="A1134" s="19"/>
      <c r="B1134" s="19"/>
      <c r="C1134" s="193"/>
      <c r="D1134" s="19"/>
      <c r="E1134" s="19"/>
      <c r="F1134" s="1341"/>
      <c r="H1134" s="195"/>
    </row>
    <row r="1135" spans="1:9" ht="15.95" customHeight="1">
      <c r="A1135" s="19"/>
      <c r="B1135" s="19"/>
      <c r="C1135" s="193"/>
      <c r="D1135" s="19"/>
      <c r="E1135" s="19"/>
      <c r="F1135" s="1341"/>
      <c r="H1135" s="195"/>
    </row>
    <row r="1136" spans="1:9" ht="15.95" customHeight="1">
      <c r="A1136" s="19"/>
      <c r="B1136" s="19"/>
      <c r="C1136" s="193"/>
      <c r="D1136" s="19"/>
      <c r="E1136" s="19"/>
      <c r="F1136" s="1341"/>
      <c r="H1136" s="195"/>
    </row>
    <row r="1137" spans="1:9" ht="15.95" customHeight="1">
      <c r="A1137" s="19"/>
      <c r="B1137" s="19"/>
      <c r="C1137" s="193"/>
      <c r="D1137" s="19"/>
      <c r="E1137" s="19"/>
      <c r="F1137" s="1341"/>
      <c r="H1137" s="195"/>
    </row>
    <row r="1138" spans="1:9" ht="15.95" customHeight="1">
      <c r="A1138" s="19"/>
      <c r="B1138" s="19"/>
      <c r="C1138" s="193"/>
      <c r="D1138" s="19"/>
      <c r="E1138" s="19"/>
      <c r="F1138" s="1341"/>
      <c r="H1138" s="195"/>
    </row>
    <row r="1139" spans="1:9" ht="15.95" customHeight="1">
      <c r="A1139" s="19"/>
      <c r="B1139" s="19"/>
      <c r="C1139" s="193"/>
      <c r="D1139" s="19"/>
      <c r="E1139" s="19"/>
      <c r="F1139" s="1341"/>
      <c r="H1139" s="195"/>
      <c r="I1139" s="19"/>
    </row>
    <row r="1140" spans="1:9" ht="15.95" customHeight="1">
      <c r="A1140" s="19"/>
      <c r="B1140" s="19"/>
      <c r="C1140" s="193"/>
      <c r="D1140" s="19"/>
      <c r="E1140" s="19"/>
      <c r="F1140" s="1341"/>
      <c r="H1140" s="195"/>
    </row>
    <row r="1141" spans="1:9" ht="15.95" customHeight="1">
      <c r="A1141" s="19"/>
      <c r="B1141" s="19"/>
      <c r="C1141" s="193"/>
      <c r="D1141" s="19"/>
      <c r="E1141" s="19"/>
      <c r="F1141" s="1341"/>
      <c r="H1141" s="195"/>
    </row>
    <row r="1142" spans="1:9" ht="15.95" customHeight="1">
      <c r="A1142" s="19"/>
      <c r="B1142" s="19"/>
      <c r="C1142" s="193"/>
      <c r="D1142" s="19"/>
      <c r="E1142" s="19"/>
      <c r="F1142" s="1341"/>
      <c r="H1142" s="195"/>
    </row>
    <row r="1143" spans="1:9" ht="15.95" customHeight="1">
      <c r="A1143" s="19"/>
      <c r="B1143" s="19"/>
      <c r="C1143" s="193"/>
      <c r="D1143" s="19"/>
      <c r="E1143" s="19"/>
      <c r="F1143" s="1341"/>
      <c r="H1143" s="195"/>
    </row>
    <row r="1144" spans="1:9" ht="15.95" customHeight="1">
      <c r="A1144" s="19"/>
      <c r="B1144" s="19"/>
      <c r="C1144" s="193"/>
      <c r="D1144" s="19"/>
      <c r="E1144" s="19"/>
      <c r="F1144" s="1341"/>
      <c r="H1144" s="195"/>
    </row>
    <row r="1145" spans="1:9" ht="15.95" customHeight="1">
      <c r="A1145" s="19"/>
      <c r="B1145" s="19"/>
      <c r="C1145" s="193"/>
      <c r="D1145" s="19"/>
      <c r="E1145" s="19"/>
      <c r="F1145" s="1341"/>
      <c r="H1145" s="195"/>
    </row>
    <row r="1146" spans="1:9" ht="15.95" customHeight="1">
      <c r="A1146" s="19"/>
      <c r="B1146" s="19"/>
      <c r="C1146" s="193"/>
      <c r="D1146" s="19"/>
      <c r="E1146" s="19"/>
      <c r="F1146" s="1341"/>
      <c r="H1146" s="195"/>
    </row>
    <row r="1147" spans="1:9" ht="15.95" customHeight="1">
      <c r="A1147" s="19"/>
      <c r="B1147" s="19"/>
      <c r="C1147" s="193"/>
      <c r="D1147" s="19"/>
      <c r="E1147" s="19"/>
      <c r="F1147" s="1341"/>
      <c r="H1147" s="195"/>
    </row>
    <row r="1148" spans="1:9" ht="15.95" customHeight="1">
      <c r="A1148" s="19"/>
      <c r="B1148" s="19"/>
      <c r="C1148" s="193"/>
      <c r="D1148" s="19"/>
      <c r="E1148" s="19"/>
      <c r="F1148" s="1341"/>
      <c r="H1148" s="195"/>
    </row>
    <row r="1149" spans="1:9" ht="15.95" customHeight="1">
      <c r="A1149" s="19"/>
      <c r="B1149" s="19"/>
      <c r="C1149" s="193"/>
      <c r="D1149" s="19"/>
      <c r="E1149" s="19"/>
      <c r="F1149" s="1341"/>
      <c r="H1149" s="195"/>
    </row>
    <row r="1150" spans="1:9" ht="15.95" customHeight="1">
      <c r="A1150" s="19"/>
      <c r="B1150" s="19"/>
      <c r="C1150" s="193"/>
      <c r="D1150" s="19"/>
      <c r="E1150" s="19"/>
      <c r="F1150" s="1341"/>
      <c r="H1150" s="195"/>
    </row>
    <row r="1151" spans="1:9" ht="15.95" customHeight="1">
      <c r="A1151" s="19"/>
      <c r="B1151" s="19"/>
      <c r="C1151" s="193"/>
      <c r="D1151" s="19"/>
      <c r="E1151" s="19"/>
      <c r="F1151" s="1341"/>
      <c r="H1151" s="195"/>
    </row>
    <row r="1152" spans="1:9" ht="15.95" customHeight="1">
      <c r="A1152" s="19"/>
      <c r="B1152" s="19"/>
      <c r="C1152" s="193"/>
      <c r="D1152" s="19"/>
      <c r="E1152" s="19"/>
      <c r="F1152" s="1341"/>
      <c r="H1152" s="195"/>
    </row>
    <row r="1153" spans="1:9" ht="15.95" customHeight="1">
      <c r="A1153" s="19"/>
      <c r="B1153" s="19"/>
      <c r="C1153" s="193"/>
      <c r="D1153" s="19"/>
      <c r="E1153" s="19"/>
      <c r="F1153" s="1341"/>
      <c r="H1153" s="195"/>
    </row>
    <row r="1154" spans="1:9" ht="15.95" customHeight="1">
      <c r="A1154" s="19"/>
      <c r="B1154" s="19"/>
      <c r="C1154" s="193"/>
      <c r="D1154" s="19"/>
      <c r="E1154" s="19"/>
      <c r="F1154" s="1341"/>
      <c r="H1154" s="195"/>
    </row>
    <row r="1155" spans="1:9" ht="15.95" customHeight="1">
      <c r="A1155" s="19"/>
      <c r="B1155" s="19"/>
      <c r="C1155" s="193"/>
      <c r="D1155" s="19"/>
      <c r="E1155" s="19"/>
      <c r="F1155" s="1341"/>
      <c r="H1155" s="195"/>
    </row>
    <row r="1156" spans="1:9" ht="15.95" customHeight="1">
      <c r="A1156" s="19"/>
      <c r="B1156" s="19"/>
      <c r="C1156" s="193"/>
      <c r="D1156" s="19"/>
      <c r="E1156" s="19"/>
      <c r="F1156" s="1341"/>
      <c r="H1156" s="195"/>
    </row>
    <row r="1157" spans="1:9" ht="15.95" customHeight="1">
      <c r="A1157" s="19"/>
      <c r="B1157" s="19"/>
      <c r="C1157" s="193"/>
      <c r="D1157" s="19"/>
      <c r="E1157" s="19"/>
      <c r="F1157" s="1341"/>
      <c r="H1157" s="195"/>
    </row>
    <row r="1158" spans="1:9" ht="15.95" customHeight="1">
      <c r="A1158" s="19"/>
      <c r="B1158" s="19"/>
      <c r="C1158" s="193"/>
      <c r="D1158" s="19"/>
      <c r="E1158" s="19"/>
      <c r="F1158" s="1341"/>
      <c r="H1158" s="195"/>
    </row>
    <row r="1159" spans="1:9" ht="15.95" customHeight="1">
      <c r="A1159" s="19"/>
      <c r="B1159" s="19"/>
      <c r="C1159" s="193"/>
      <c r="D1159" s="19"/>
      <c r="E1159" s="19"/>
      <c r="F1159" s="1341"/>
      <c r="H1159" s="195"/>
    </row>
    <row r="1160" spans="1:9" ht="15.95" customHeight="1">
      <c r="A1160" s="19"/>
      <c r="B1160" s="19"/>
      <c r="C1160" s="193"/>
      <c r="D1160" s="19"/>
      <c r="E1160" s="19"/>
      <c r="F1160" s="1341"/>
      <c r="H1160" s="195"/>
    </row>
    <row r="1161" spans="1:9" ht="15.95" customHeight="1">
      <c r="A1161" s="19"/>
      <c r="B1161" s="19"/>
      <c r="C1161" s="193"/>
      <c r="D1161" s="19"/>
      <c r="E1161" s="19"/>
      <c r="F1161" s="1341"/>
      <c r="H1161" s="195"/>
    </row>
    <row r="1162" spans="1:9" ht="15.95" customHeight="1">
      <c r="A1162" s="19"/>
      <c r="B1162" s="19"/>
      <c r="C1162" s="193"/>
      <c r="D1162" s="19"/>
      <c r="E1162" s="19"/>
      <c r="F1162" s="19"/>
      <c r="H1162" s="195"/>
    </row>
    <row r="1163" spans="1:9" ht="15.95" customHeight="1">
      <c r="A1163" s="19"/>
      <c r="B1163" s="19"/>
      <c r="C1163" s="193"/>
      <c r="D1163" s="19"/>
      <c r="E1163" s="19"/>
      <c r="F1163" s="19"/>
      <c r="H1163" s="195"/>
    </row>
    <row r="1164" spans="1:9" ht="15.95" customHeight="1">
      <c r="A1164" s="19"/>
      <c r="B1164" s="19"/>
      <c r="C1164" s="193"/>
      <c r="D1164" s="19"/>
      <c r="E1164" s="19"/>
      <c r="F1164" s="19"/>
      <c r="H1164" s="195"/>
      <c r="I1164" s="156"/>
    </row>
    <row r="1165" spans="1:9" ht="15.95" customHeight="1">
      <c r="A1165" s="19"/>
      <c r="B1165" s="19"/>
      <c r="C1165" s="193"/>
      <c r="D1165" s="19"/>
      <c r="E1165" s="19"/>
      <c r="F1165" s="19"/>
      <c r="H1165" s="195"/>
      <c r="I1165" s="156"/>
    </row>
    <row r="1166" spans="1:9" ht="15.95" customHeight="1">
      <c r="A1166" s="19"/>
      <c r="B1166" s="19"/>
      <c r="C1166" s="193"/>
      <c r="D1166" s="19"/>
      <c r="E1166" s="19"/>
      <c r="F1166" s="19"/>
      <c r="H1166" s="195"/>
      <c r="I1166" s="155"/>
    </row>
    <row r="1170" spans="3:9" ht="15.95" customHeight="1">
      <c r="F1170" s="1341"/>
    </row>
    <row r="1172" spans="3:9" ht="15.95" customHeight="1">
      <c r="E1172" s="19"/>
    </row>
    <row r="1173" spans="3:9" ht="15.95" customHeight="1">
      <c r="C1173" s="193"/>
      <c r="D1173" s="19"/>
      <c r="E1173" s="19"/>
      <c r="F1173" s="236"/>
    </row>
    <row r="1180" spans="3:9" ht="15.95" customHeight="1">
      <c r="I1180" s="181"/>
    </row>
    <row r="1181" spans="3:9" ht="15.95" customHeight="1">
      <c r="I1181" s="181"/>
    </row>
    <row r="1182" spans="3:9" ht="15.95" customHeight="1">
      <c r="I1182" s="181"/>
    </row>
    <row r="1183" spans="3:9" ht="15.95" customHeight="1">
      <c r="F1183" s="1341"/>
      <c r="I1183" s="181"/>
    </row>
    <row r="1184" spans="3:9" ht="15.95" customHeight="1">
      <c r="I1184" s="181"/>
    </row>
    <row r="1185" spans="9:9" ht="15.95" customHeight="1">
      <c r="I1185" s="181"/>
    </row>
    <row r="1186" spans="9:9" ht="15.95" customHeight="1">
      <c r="I1186" s="181"/>
    </row>
  </sheetData>
  <phoneticPr fontId="28" type="noConversion"/>
  <hyperlinks>
    <hyperlink ref="U5" r:id="rId1" location=":~:text=Ukraine%20and%20the%20Slovak%20Republic,on%20Twitter%20on%20June%202." xr:uid="{00000000-0004-0000-2800-000000000000}"/>
    <hyperlink ref="U6" r:id="rId2" xr:uid="{00000000-0004-0000-2800-000001000000}"/>
    <hyperlink ref="U7" r:id="rId3" xr:uid="{00000000-0004-0000-2800-000002000000}"/>
    <hyperlink ref="U2" r:id="rId4" xr:uid="{00000000-0004-0000-2800-000003000000}"/>
    <hyperlink ref="V2" r:id="rId5" xr:uid="{00000000-0004-0000-2800-000004000000}"/>
    <hyperlink ref="U3" r:id="rId6" xr:uid="{00000000-0004-0000-2800-000005000000}"/>
    <hyperlink ref="U4" r:id="rId7" xr:uid="{00000000-0004-0000-2800-000006000000}"/>
    <hyperlink ref="V6" r:id="rId8" xr:uid="{90D5E71D-0509-495D-94B2-DFF0595A3346}"/>
  </hyperlinks>
  <pageMargins left="0.7" right="0.7" top="0.75" bottom="0.75" header="0.3" footer="0.3"/>
  <pageSetup paperSize="8" fitToWidth="0" fitToHeight="0" orientation="portrait" horizontalDpi="429496729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5" tint="0.59999389629810485"/>
  </sheetPr>
  <dimension ref="A1:R1988"/>
  <sheetViews>
    <sheetView zoomScaleNormal="100" workbookViewId="0"/>
  </sheetViews>
  <sheetFormatPr defaultColWidth="11" defaultRowHeight="15" customHeight="1"/>
  <cols>
    <col min="1" max="1" width="8.625" style="71" customWidth="1"/>
    <col min="2" max="2" width="60" style="901" customWidth="1"/>
    <col min="3" max="3" width="34.625" style="898" bestFit="1" customWidth="1"/>
    <col min="4" max="4" width="55.5" style="899" bestFit="1" customWidth="1"/>
    <col min="5" max="6" width="14.5" style="900" customWidth="1"/>
    <col min="7" max="7" width="25" style="892" customWidth="1"/>
    <col min="8" max="8" width="30" style="900" customWidth="1"/>
    <col min="9" max="9" width="32.5" style="945" customWidth="1"/>
    <col min="10" max="10" width="32.5" style="913" customWidth="1"/>
    <col min="11" max="11" width="29.5" style="901" customWidth="1"/>
    <col min="12" max="12" width="57.5" style="905" customWidth="1"/>
    <col min="13" max="14" width="11" style="71"/>
    <col min="15" max="15" width="20" style="71" customWidth="1"/>
    <col min="16" max="16384" width="11" style="71"/>
  </cols>
  <sheetData>
    <row r="1" spans="1:18" ht="15" customHeight="1">
      <c r="G1" s="902"/>
      <c r="H1" s="903"/>
      <c r="I1" s="904"/>
      <c r="J1" s="905"/>
      <c r="K1" s="905"/>
    </row>
    <row r="2" spans="1:18" ht="24.75" customHeight="1">
      <c r="B2" s="906" t="s">
        <v>5041</v>
      </c>
      <c r="G2" s="902"/>
      <c r="H2" s="903"/>
      <c r="I2" s="904"/>
      <c r="J2" s="905"/>
      <c r="K2" s="905"/>
    </row>
    <row r="3" spans="1:18" ht="15" customHeight="1">
      <c r="G3" s="902"/>
      <c r="H3" s="903"/>
      <c r="I3" s="904"/>
      <c r="J3" s="905"/>
      <c r="K3" s="905"/>
    </row>
    <row r="4" spans="1:18" ht="15" customHeight="1">
      <c r="B4" s="1490" t="s">
        <v>5042</v>
      </c>
      <c r="C4" s="1490"/>
      <c r="D4" s="1490"/>
      <c r="G4" s="902"/>
      <c r="H4" s="903"/>
      <c r="I4" s="904"/>
      <c r="J4" s="905"/>
      <c r="K4" s="905"/>
    </row>
    <row r="5" spans="1:18" ht="15" customHeight="1">
      <c r="B5" s="1490"/>
      <c r="C5" s="1490"/>
      <c r="D5" s="1490"/>
      <c r="G5" s="902"/>
      <c r="H5" s="903"/>
      <c r="I5" s="904"/>
      <c r="J5" s="905"/>
      <c r="K5" s="905"/>
    </row>
    <row r="6" spans="1:18" ht="15" customHeight="1">
      <c r="B6" s="1490"/>
      <c r="C6" s="1490"/>
      <c r="D6" s="1490"/>
      <c r="G6" s="902"/>
      <c r="H6" s="903"/>
      <c r="I6" s="904"/>
      <c r="J6" s="905"/>
      <c r="K6" s="905"/>
    </row>
    <row r="7" spans="1:18" ht="15" customHeight="1">
      <c r="B7" s="1490"/>
      <c r="C7" s="1490"/>
      <c r="D7" s="1490"/>
      <c r="G7" s="902"/>
      <c r="H7" s="903"/>
      <c r="I7" s="904"/>
      <c r="J7" s="905"/>
      <c r="K7" s="905"/>
    </row>
    <row r="8" spans="1:18" ht="15" customHeight="1">
      <c r="B8" s="1490"/>
      <c r="C8" s="1490"/>
      <c r="D8" s="1490"/>
      <c r="G8" s="902"/>
      <c r="H8" s="903"/>
      <c r="I8" s="904"/>
      <c r="J8" s="905"/>
      <c r="K8" s="905"/>
    </row>
    <row r="9" spans="1:18" ht="15" customHeight="1">
      <c r="B9" s="1490"/>
      <c r="C9" s="1490"/>
      <c r="D9" s="1490"/>
      <c r="G9" s="902"/>
      <c r="H9" s="903"/>
      <c r="I9" s="904"/>
      <c r="J9" s="905"/>
      <c r="K9" s="905"/>
    </row>
    <row r="10" spans="1:18" ht="15" customHeight="1">
      <c r="G10" s="902"/>
      <c r="H10" s="903"/>
      <c r="I10" s="904"/>
      <c r="J10" s="905"/>
      <c r="K10" s="905"/>
    </row>
    <row r="11" spans="1:18" s="907" customFormat="1" ht="24.75" customHeight="1">
      <c r="A11" s="71"/>
      <c r="B11" s="1161" t="s">
        <v>4638</v>
      </c>
      <c r="C11" s="1162" t="s">
        <v>5043</v>
      </c>
      <c r="D11" s="1162" t="s">
        <v>5044</v>
      </c>
      <c r="E11" s="1163" t="s">
        <v>318</v>
      </c>
      <c r="F11" s="1163" t="s">
        <v>342</v>
      </c>
      <c r="G11" s="1164" t="s">
        <v>321</v>
      </c>
      <c r="H11" s="1165" t="s">
        <v>5045</v>
      </c>
      <c r="I11" s="1163" t="s">
        <v>4643</v>
      </c>
      <c r="J11" s="1163" t="s">
        <v>5046</v>
      </c>
      <c r="K11" s="1163" t="s">
        <v>5047</v>
      </c>
      <c r="L11" s="1166" t="s">
        <v>5048</v>
      </c>
      <c r="M11" s="1163" t="s">
        <v>5049</v>
      </c>
      <c r="N11" s="1163" t="s">
        <v>5050</v>
      </c>
      <c r="O11" s="1163" t="s">
        <v>5051</v>
      </c>
      <c r="P11" s="1163" t="s">
        <v>5052</v>
      </c>
      <c r="Q11" s="1163" t="s">
        <v>5053</v>
      </c>
      <c r="R11" s="1163" t="s">
        <v>5054</v>
      </c>
    </row>
    <row r="12" spans="1:18" ht="15" customHeight="1">
      <c r="B12" s="901" t="s">
        <v>364</v>
      </c>
      <c r="C12" s="898" t="s">
        <v>364</v>
      </c>
      <c r="D12" s="899" t="s">
        <v>364</v>
      </c>
      <c r="E12" s="900">
        <v>0</v>
      </c>
      <c r="F12" s="900">
        <f t="shared" ref="F12:F75" si="0">IF(OR(D12="Armored Personnel Carrier (APC)",D12="Armored Recovery Vehicle (ARV)",D12="Armored Utility Vehicle (AUV)",D12="152mm howitzer ammunition",D12="155mm howitzer ammunition",D12="300mm MLRS ammunition",D12="155mm howitzer",D12="227mm MLRS ammunition",D12="Infantry fighting vehicle (IFV)",D12="152mm howitzer",D12="227mm MLRS",D12="Main Battle Tank (MBT)",D12="Protected Patrol Vehicle (PPV)",D12="127mm MLRS",D12="122mm MLRS",D12="122mm MLRS ammunition",D12="122mm MLRS",D12="127mm MLRS",D12="127mm MLRS ammunition")=TRUE,1,0)</f>
        <v>0</v>
      </c>
      <c r="G12" s="892" t="s">
        <v>364</v>
      </c>
      <c r="H12" s="908" t="s">
        <v>364</v>
      </c>
      <c r="I12" s="901" t="s">
        <v>364</v>
      </c>
      <c r="J12" s="901" t="str">
        <f t="shared" ref="J12:J25" si="1">IF(I12&lt;&gt;".",".",".")</f>
        <v>.</v>
      </c>
      <c r="K12" s="901" t="s">
        <v>364</v>
      </c>
      <c r="L12" s="905">
        <f t="shared" ref="L12:L75" si="2">IF(C12="Humanitarian",0,IF(M12&gt;0,IF(TYPE(O12)=1,IF(O12&gt;MEDIAN(O:O),2,1),0),"no price, 0 count"))</f>
        <v>0</v>
      </c>
      <c r="M12" s="909">
        <f>SUMIFS('Bilateral Assistance, MAIN DATA'!M:M,'Bilateral Assistance, MAIN DATA'!I:I,'Price List, Weapons &amp; Items'!B12)</f>
        <v>1570</v>
      </c>
      <c r="N12" s="71">
        <f>COUNTIFS('Bilateral Assistance, MAIN DATA'!M:M,"undisclosed",'Bilateral Assistance, MAIN DATA'!I:I,'Price List, Weapons &amp; Items'!B12)</f>
        <v>3</v>
      </c>
      <c r="O12" s="910" t="str">
        <f>IFERROR(M12*G12,"no price")</f>
        <v>no price</v>
      </c>
      <c r="P12" s="71">
        <f>IFERROR(IF(SEARCH(B12,_xlfn.ARRAYTOTEXT('Bilateral Assistance, MAIN DATA'!I$1:I$2206))&gt;0,1,""),0)</f>
        <v>0</v>
      </c>
      <c r="Q12" s="71">
        <f>IFERROR(IF(SEARCH(B12,_xlfn.ARRAYTOTEXT('Commercial Assistance'!I$1:I$1400))&gt;0,1,""),0)</f>
        <v>0</v>
      </c>
      <c r="R12" s="905" t="str">
        <f>IF(SUMIFS('Bilateral Assistance, MAIN DATA'!N:N,'Bilateral Assistance, MAIN DATA'!I:I,'Price List, Weapons &amp; Items'!B12)&gt;M12,1,".")</f>
        <v>.</v>
      </c>
    </row>
    <row r="13" spans="1:18" ht="15" customHeight="1">
      <c r="B13" s="901" t="s">
        <v>5055</v>
      </c>
      <c r="C13" s="898" t="s">
        <v>1105</v>
      </c>
      <c r="D13" s="898" t="s">
        <v>5056</v>
      </c>
      <c r="E13" s="900">
        <v>0</v>
      </c>
      <c r="F13" s="900">
        <f t="shared" si="0"/>
        <v>0</v>
      </c>
      <c r="G13" s="892" t="s">
        <v>364</v>
      </c>
      <c r="H13" s="908" t="str">
        <f t="shared" ref="H13:H25" si="3">IF(G13&lt;&gt;".","USD",".")</f>
        <v>.</v>
      </c>
      <c r="I13" s="911" t="s">
        <v>364</v>
      </c>
      <c r="J13" s="901" t="str">
        <f t="shared" si="1"/>
        <v>.</v>
      </c>
      <c r="K13" s="901" t="s">
        <v>5057</v>
      </c>
      <c r="L13" s="905" t="str">
        <f t="shared" si="2"/>
        <v>no price, 0 count</v>
      </c>
      <c r="M13" s="909">
        <f>SUMIFS('Bilateral Assistance, MAIN DATA'!M:M,'Bilateral Assistance, MAIN DATA'!I:I,'Price List, Weapons &amp; Items'!B13)</f>
        <v>0</v>
      </c>
      <c r="N13" s="71">
        <f>COUNTIFS('Bilateral Assistance, MAIN DATA'!M:M,"undisclosed",'Bilateral Assistance, MAIN DATA'!I:I,'Price List, Weapons &amp; Items'!B13)</f>
        <v>0</v>
      </c>
      <c r="O13" s="910" t="str">
        <f t="shared" ref="O13:O75" si="4">IFERROR(M13*G13,"no price")</f>
        <v>no price</v>
      </c>
      <c r="P13" s="71">
        <f>IFERROR(IF(SEARCH(B13,_xlfn.ARRAYTOTEXT('Bilateral Assistance, MAIN DATA'!I$1:I$2206))&gt;0,1,""),0)</f>
        <v>0</v>
      </c>
      <c r="Q13" s="71">
        <f>IFERROR(IF(SEARCH(B13,_xlfn.ARRAYTOTEXT('Commercial Assistance'!I$1:I$1400))&gt;0,1,""),0)</f>
        <v>0</v>
      </c>
      <c r="R13" s="905" t="str">
        <f>IF(SUMIFS('Bilateral Assistance, MAIN DATA'!N:N,'Bilateral Assistance, MAIN DATA'!I:I,'Price List, Weapons &amp; Items'!B13)&gt;M13,1,".")</f>
        <v>.</v>
      </c>
    </row>
    <row r="14" spans="1:18" ht="15" customHeight="1">
      <c r="B14" s="912" t="s">
        <v>4263</v>
      </c>
      <c r="C14" s="898" t="s">
        <v>1105</v>
      </c>
      <c r="D14" s="898" t="s">
        <v>1105</v>
      </c>
      <c r="E14" s="900">
        <v>0</v>
      </c>
      <c r="F14" s="900">
        <f t="shared" si="0"/>
        <v>0</v>
      </c>
      <c r="G14" s="892" t="s">
        <v>364</v>
      </c>
      <c r="H14" s="908" t="str">
        <f t="shared" si="3"/>
        <v>.</v>
      </c>
      <c r="I14" s="901" t="s">
        <v>364</v>
      </c>
      <c r="J14" s="901" t="str">
        <f t="shared" si="1"/>
        <v>.</v>
      </c>
      <c r="K14" s="901" t="s">
        <v>364</v>
      </c>
      <c r="L14" s="905" t="str">
        <f t="shared" si="2"/>
        <v>no price, 0 count</v>
      </c>
      <c r="M14" s="909">
        <f>SUMIFS('Bilateral Assistance, MAIN DATA'!M:M,'Bilateral Assistance, MAIN DATA'!I:I,'Price List, Weapons &amp; Items'!B14)</f>
        <v>0</v>
      </c>
      <c r="N14" s="71">
        <f>COUNTIFS('Bilateral Assistance, MAIN DATA'!M:M,"undisclosed",'Bilateral Assistance, MAIN DATA'!I:I,'Price List, Weapons &amp; Items'!B14)</f>
        <v>3</v>
      </c>
      <c r="O14" s="910" t="str">
        <f t="shared" si="4"/>
        <v>no price</v>
      </c>
      <c r="P14" s="71">
        <f>IFERROR(IF(SEARCH(B14,_xlfn.ARRAYTOTEXT('Bilateral Assistance, MAIN DATA'!I$1:I$2206))&gt;0,1,""),0)</f>
        <v>0</v>
      </c>
      <c r="Q14" s="71">
        <f>IFERROR(IF(SEARCH(B14,_xlfn.ARRAYTOTEXT('Commercial Assistance'!I$1:I$1400))&gt;0,1,""),0)</f>
        <v>0</v>
      </c>
      <c r="R14" s="905" t="str">
        <f>IF(SUMIFS('Bilateral Assistance, MAIN DATA'!N:N,'Bilateral Assistance, MAIN DATA'!I:I,'Price List, Weapons &amp; Items'!B14)&gt;M14,1,".")</f>
        <v>.</v>
      </c>
    </row>
    <row r="15" spans="1:18" ht="15" customHeight="1">
      <c r="B15" s="901" t="s">
        <v>4058</v>
      </c>
      <c r="C15" s="898" t="s">
        <v>1105</v>
      </c>
      <c r="D15" s="898" t="s">
        <v>1105</v>
      </c>
      <c r="E15" s="900">
        <v>0</v>
      </c>
      <c r="F15" s="900">
        <f t="shared" si="0"/>
        <v>0</v>
      </c>
      <c r="G15" s="892" t="s">
        <v>364</v>
      </c>
      <c r="H15" s="908" t="str">
        <f t="shared" si="3"/>
        <v>.</v>
      </c>
      <c r="I15" s="913" t="s">
        <v>364</v>
      </c>
      <c r="J15" s="901" t="str">
        <f t="shared" si="1"/>
        <v>.</v>
      </c>
      <c r="K15" s="901" t="s">
        <v>364</v>
      </c>
      <c r="L15" s="905" t="str">
        <f t="shared" si="2"/>
        <v>no price, 0 count</v>
      </c>
      <c r="M15" s="909">
        <f>SUMIFS('Bilateral Assistance, MAIN DATA'!M:M,'Bilateral Assistance, MAIN DATA'!I:I,'Price List, Weapons &amp; Items'!B15)</f>
        <v>0</v>
      </c>
      <c r="N15" s="71">
        <f>COUNTIFS('Bilateral Assistance, MAIN DATA'!M:M,"undisclosed",'Bilateral Assistance, MAIN DATA'!I:I,'Price List, Weapons &amp; Items'!B15)</f>
        <v>0</v>
      </c>
      <c r="O15" s="910" t="str">
        <f t="shared" si="4"/>
        <v>no price</v>
      </c>
      <c r="P15" s="71">
        <f>IFERROR(IF(SEARCH(B15,_xlfn.ARRAYTOTEXT('Bilateral Assistance, MAIN DATA'!I$1:I$2206))&gt;0,1,""),0)</f>
        <v>0</v>
      </c>
      <c r="Q15" s="71">
        <f>IFERROR(IF(SEARCH(B15,_xlfn.ARRAYTOTEXT('Commercial Assistance'!I$1:I$1400))&gt;0,1,""),0)</f>
        <v>0</v>
      </c>
      <c r="R15" s="905" t="str">
        <f>IF(SUMIFS('Bilateral Assistance, MAIN DATA'!N:N,'Bilateral Assistance, MAIN DATA'!I:I,'Price List, Weapons &amp; Items'!B15)&gt;M15,1,".")</f>
        <v>.</v>
      </c>
    </row>
    <row r="16" spans="1:18" ht="15" customHeight="1">
      <c r="B16" s="914" t="s">
        <v>5058</v>
      </c>
      <c r="C16" s="898" t="s">
        <v>5059</v>
      </c>
      <c r="D16" s="899" t="s">
        <v>5060</v>
      </c>
      <c r="E16" s="900">
        <v>0</v>
      </c>
      <c r="F16" s="900">
        <f t="shared" si="0"/>
        <v>1</v>
      </c>
      <c r="G16" s="892" t="s">
        <v>364</v>
      </c>
      <c r="H16" s="908" t="str">
        <f t="shared" si="3"/>
        <v>.</v>
      </c>
      <c r="I16" s="913" t="s">
        <v>364</v>
      </c>
      <c r="J16" s="901" t="str">
        <f t="shared" si="1"/>
        <v>.</v>
      </c>
      <c r="K16" s="901" t="s">
        <v>364</v>
      </c>
      <c r="L16" s="905" t="str">
        <f t="shared" si="2"/>
        <v>no price, 0 count</v>
      </c>
      <c r="M16" s="909">
        <f>SUMIFS('Bilateral Assistance, MAIN DATA'!M:M,'Bilateral Assistance, MAIN DATA'!I:I,'Price List, Weapons &amp; Items'!B16)</f>
        <v>0</v>
      </c>
      <c r="N16" s="71">
        <f>COUNTIFS('Bilateral Assistance, MAIN DATA'!M:M,"undisclosed",'Bilateral Assistance, MAIN DATA'!I:I,'Price List, Weapons &amp; Items'!B16)</f>
        <v>1</v>
      </c>
      <c r="O16" s="910" t="str">
        <f t="shared" si="4"/>
        <v>no price</v>
      </c>
      <c r="P16" s="71">
        <f>IFERROR(IF(SEARCH(B16,_xlfn.ARRAYTOTEXT('Bilateral Assistance, MAIN DATA'!I$1:I$2206))&gt;0,1,""),0)</f>
        <v>0</v>
      </c>
      <c r="Q16" s="71">
        <f>IFERROR(IF(SEARCH(B16,_xlfn.ARRAYTOTEXT('Commercial Assistance'!I$1:I$1400))&gt;0,1,""),0)</f>
        <v>0</v>
      </c>
      <c r="R16" s="905" t="str">
        <f>IF(SUMIFS('Bilateral Assistance, MAIN DATA'!N:N,'Bilateral Assistance, MAIN DATA'!I:I,'Price List, Weapons &amp; Items'!B16)&gt;M16,1,".")</f>
        <v>.</v>
      </c>
    </row>
    <row r="17" spans="2:18" ht="15" customHeight="1">
      <c r="B17" s="901" t="s">
        <v>5061</v>
      </c>
      <c r="C17" s="898" t="s">
        <v>1105</v>
      </c>
      <c r="D17" s="898" t="s">
        <v>1105</v>
      </c>
      <c r="E17" s="900">
        <v>0</v>
      </c>
      <c r="F17" s="900">
        <f t="shared" si="0"/>
        <v>0</v>
      </c>
      <c r="G17" s="892" t="s">
        <v>364</v>
      </c>
      <c r="H17" s="908" t="str">
        <f t="shared" si="3"/>
        <v>.</v>
      </c>
      <c r="I17" s="913" t="s">
        <v>364</v>
      </c>
      <c r="J17" s="901" t="str">
        <f t="shared" si="1"/>
        <v>.</v>
      </c>
      <c r="K17" s="901" t="s">
        <v>364</v>
      </c>
      <c r="L17" s="905" t="str">
        <f t="shared" si="2"/>
        <v>no price, 0 count</v>
      </c>
      <c r="M17" s="909">
        <f>SUMIFS('Bilateral Assistance, MAIN DATA'!M:M,'Bilateral Assistance, MAIN DATA'!I:I,'Price List, Weapons &amp; Items'!B17)</f>
        <v>0</v>
      </c>
      <c r="N17" s="71">
        <f>COUNTIFS('Bilateral Assistance, MAIN DATA'!M:M,"undisclosed",'Bilateral Assistance, MAIN DATA'!I:I,'Price List, Weapons &amp; Items'!B17)</f>
        <v>1</v>
      </c>
      <c r="O17" s="910" t="str">
        <f t="shared" si="4"/>
        <v>no price</v>
      </c>
      <c r="P17" s="71">
        <f>IFERROR(IF(SEARCH(B17,_xlfn.ARRAYTOTEXT('Bilateral Assistance, MAIN DATA'!I$1:I$2206))&gt;0,1,""),0)</f>
        <v>0</v>
      </c>
      <c r="Q17" s="71">
        <f>IFERROR(IF(SEARCH(B17,_xlfn.ARRAYTOTEXT('Commercial Assistance'!I$1:I$1400))&gt;0,1,""),0)</f>
        <v>0</v>
      </c>
      <c r="R17" s="905" t="str">
        <f>IF(SUMIFS('Bilateral Assistance, MAIN DATA'!N:N,'Bilateral Assistance, MAIN DATA'!I:I,'Price List, Weapons &amp; Items'!B17)&gt;M17,1,".")</f>
        <v>.</v>
      </c>
    </row>
    <row r="18" spans="2:18" ht="15" customHeight="1">
      <c r="B18" s="912" t="s">
        <v>1829</v>
      </c>
      <c r="C18" s="898" t="s">
        <v>5062</v>
      </c>
      <c r="D18" s="899" t="s">
        <v>5063</v>
      </c>
      <c r="E18" s="900">
        <v>0</v>
      </c>
      <c r="F18" s="900">
        <f t="shared" si="0"/>
        <v>0</v>
      </c>
      <c r="G18" s="892" t="s">
        <v>364</v>
      </c>
      <c r="H18" s="908" t="str">
        <f t="shared" si="3"/>
        <v>.</v>
      </c>
      <c r="I18" s="901" t="s">
        <v>364</v>
      </c>
      <c r="J18" s="901" t="str">
        <f t="shared" si="1"/>
        <v>.</v>
      </c>
      <c r="K18" s="901" t="s">
        <v>364</v>
      </c>
      <c r="L18" s="905">
        <f t="shared" si="2"/>
        <v>0</v>
      </c>
      <c r="M18" s="909">
        <f>SUMIFS('Bilateral Assistance, MAIN DATA'!M:M,'Bilateral Assistance, MAIN DATA'!I:I,'Price List, Weapons &amp; Items'!B18)</f>
        <v>54</v>
      </c>
      <c r="N18" s="71">
        <f>COUNTIFS('Bilateral Assistance, MAIN DATA'!M:M,"undisclosed",'Bilateral Assistance, MAIN DATA'!I:I,'Price List, Weapons &amp; Items'!B18)</f>
        <v>0</v>
      </c>
      <c r="O18" s="910" t="str">
        <f t="shared" si="4"/>
        <v>no price</v>
      </c>
      <c r="P18" s="71">
        <f>IFERROR(IF(SEARCH(B18,_xlfn.ARRAYTOTEXT('Bilateral Assistance, MAIN DATA'!I$1:I$2206))&gt;0,1,""),0)</f>
        <v>0</v>
      </c>
      <c r="Q18" s="71">
        <f>IFERROR(IF(SEARCH(B18,_xlfn.ARRAYTOTEXT('Commercial Assistance'!I$1:I$1400))&gt;0,1,""),0)</f>
        <v>0</v>
      </c>
      <c r="R18" s="905" t="str">
        <f>IF(SUMIFS('Bilateral Assistance, MAIN DATA'!N:N,'Bilateral Assistance, MAIN DATA'!I:I,'Price List, Weapons &amp; Items'!B18)&gt;M18,1,".")</f>
        <v>.</v>
      </c>
    </row>
    <row r="19" spans="2:18" ht="15" customHeight="1">
      <c r="B19" s="912" t="s">
        <v>1399</v>
      </c>
      <c r="C19" s="898" t="s">
        <v>1105</v>
      </c>
      <c r="D19" s="898" t="s">
        <v>1105</v>
      </c>
      <c r="E19" s="900">
        <v>0</v>
      </c>
      <c r="F19" s="900">
        <f t="shared" si="0"/>
        <v>0</v>
      </c>
      <c r="G19" s="892" t="s">
        <v>364</v>
      </c>
      <c r="H19" s="908" t="str">
        <f t="shared" si="3"/>
        <v>.</v>
      </c>
      <c r="I19" s="901" t="s">
        <v>364</v>
      </c>
      <c r="J19" s="901" t="str">
        <f t="shared" si="1"/>
        <v>.</v>
      </c>
      <c r="K19" s="901" t="s">
        <v>364</v>
      </c>
      <c r="L19" s="905" t="str">
        <f t="shared" si="2"/>
        <v>no price, 0 count</v>
      </c>
      <c r="M19" s="909">
        <f>SUMIFS('Bilateral Assistance, MAIN DATA'!M:M,'Bilateral Assistance, MAIN DATA'!I:I,'Price List, Weapons &amp; Items'!B19)</f>
        <v>0</v>
      </c>
      <c r="N19" s="71">
        <f>COUNTIFS('Bilateral Assistance, MAIN DATA'!M:M,"undisclosed",'Bilateral Assistance, MAIN DATA'!I:I,'Price List, Weapons &amp; Items'!B19)</f>
        <v>5</v>
      </c>
      <c r="O19" s="910" t="str">
        <f t="shared" si="4"/>
        <v>no price</v>
      </c>
      <c r="P19" s="71">
        <f>IFERROR(IF(SEARCH(B19,_xlfn.ARRAYTOTEXT('Bilateral Assistance, MAIN DATA'!I$1:I$2206))&gt;0,1,""),0)</f>
        <v>0</v>
      </c>
      <c r="Q19" s="71">
        <f>IFERROR(IF(SEARCH(B19,_xlfn.ARRAYTOTEXT('Commercial Assistance'!I$1:I$1400))&gt;0,1,""),0)</f>
        <v>0</v>
      </c>
      <c r="R19" s="905" t="str">
        <f>IF(SUMIFS('Bilateral Assistance, MAIN DATA'!N:N,'Bilateral Assistance, MAIN DATA'!I:I,'Price List, Weapons &amp; Items'!B19)&gt;M19,1,".")</f>
        <v>.</v>
      </c>
    </row>
    <row r="20" spans="2:18" ht="15" customHeight="1">
      <c r="B20" s="901" t="s">
        <v>5064</v>
      </c>
      <c r="C20" s="898" t="s">
        <v>5065</v>
      </c>
      <c r="D20" s="899" t="s">
        <v>5066</v>
      </c>
      <c r="E20" s="900">
        <v>0</v>
      </c>
      <c r="F20" s="900">
        <f t="shared" si="0"/>
        <v>0</v>
      </c>
      <c r="G20" s="892" t="s">
        <v>364</v>
      </c>
      <c r="H20" s="908" t="str">
        <f t="shared" si="3"/>
        <v>.</v>
      </c>
      <c r="I20" s="913" t="s">
        <v>364</v>
      </c>
      <c r="J20" s="901" t="str">
        <f t="shared" si="1"/>
        <v>.</v>
      </c>
      <c r="K20" s="901" t="s">
        <v>364</v>
      </c>
      <c r="L20" s="905" t="str">
        <f t="shared" si="2"/>
        <v>no price, 0 count</v>
      </c>
      <c r="M20" s="909">
        <f>SUMIFS('Bilateral Assistance, MAIN DATA'!M:M,'Bilateral Assistance, MAIN DATA'!I:I,'Price List, Weapons &amp; Items'!B20)</f>
        <v>0</v>
      </c>
      <c r="N20" s="71">
        <f>COUNTIFS('Bilateral Assistance, MAIN DATA'!M:M,"undisclosed",'Bilateral Assistance, MAIN DATA'!I:I,'Price List, Weapons &amp; Items'!B20)</f>
        <v>2</v>
      </c>
      <c r="O20" s="910" t="str">
        <f t="shared" si="4"/>
        <v>no price</v>
      </c>
      <c r="P20" s="71">
        <f>IFERROR(IF(SEARCH(B20,_xlfn.ARRAYTOTEXT('Bilateral Assistance, MAIN DATA'!I$1:I$2206))&gt;0,1,""),0)</f>
        <v>0</v>
      </c>
      <c r="Q20" s="71">
        <f>IFERROR(IF(SEARCH(B20,_xlfn.ARRAYTOTEXT('Commercial Assistance'!I$1:I$1400))&gt;0,1,""),0)</f>
        <v>0</v>
      </c>
      <c r="R20" s="905" t="str">
        <f>IF(SUMIFS('Bilateral Assistance, MAIN DATA'!N:N,'Bilateral Assistance, MAIN DATA'!I:I,'Price List, Weapons &amp; Items'!B20)&gt;M20,1,".")</f>
        <v>.</v>
      </c>
    </row>
    <row r="21" spans="2:18" ht="15" customHeight="1">
      <c r="B21" s="901" t="s">
        <v>5067</v>
      </c>
      <c r="C21" s="898" t="s">
        <v>1105</v>
      </c>
      <c r="D21" s="899" t="s">
        <v>2472</v>
      </c>
      <c r="E21" s="900">
        <v>0</v>
      </c>
      <c r="F21" s="900">
        <f t="shared" si="0"/>
        <v>0</v>
      </c>
      <c r="G21" s="892" t="s">
        <v>364</v>
      </c>
      <c r="H21" s="908" t="str">
        <f t="shared" si="3"/>
        <v>.</v>
      </c>
      <c r="I21" s="913" t="s">
        <v>364</v>
      </c>
      <c r="J21" s="901" t="str">
        <f t="shared" si="1"/>
        <v>.</v>
      </c>
      <c r="K21" s="901" t="s">
        <v>364</v>
      </c>
      <c r="L21" s="905" t="str">
        <f t="shared" si="2"/>
        <v>no price, 0 count</v>
      </c>
      <c r="M21" s="909">
        <f>SUMIFS('Bilateral Assistance, MAIN DATA'!M:M,'Bilateral Assistance, MAIN DATA'!I:I,'Price List, Weapons &amp; Items'!B21)</f>
        <v>0</v>
      </c>
      <c r="N21" s="71">
        <f>COUNTIFS('Bilateral Assistance, MAIN DATA'!M:M,"undisclosed",'Bilateral Assistance, MAIN DATA'!I:I,'Price List, Weapons &amp; Items'!B21)</f>
        <v>6</v>
      </c>
      <c r="O21" s="910" t="str">
        <f t="shared" si="4"/>
        <v>no price</v>
      </c>
      <c r="P21" s="71">
        <f>IFERROR(IF(SEARCH(B21,_xlfn.ARRAYTOTEXT('Bilateral Assistance, MAIN DATA'!I$1:I$2206))&gt;0,1,""),0)</f>
        <v>0</v>
      </c>
      <c r="Q21" s="71">
        <f>IFERROR(IF(SEARCH(B21,_xlfn.ARRAYTOTEXT('Commercial Assistance'!I$1:I$1400))&gt;0,1,""),0)</f>
        <v>0</v>
      </c>
      <c r="R21" s="905" t="str">
        <f>IF(SUMIFS('Bilateral Assistance, MAIN DATA'!N:N,'Bilateral Assistance, MAIN DATA'!I:I,'Price List, Weapons &amp; Items'!B21)&gt;M21,1,".")</f>
        <v>.</v>
      </c>
    </row>
    <row r="22" spans="2:18" ht="15" customHeight="1">
      <c r="B22" s="901" t="s">
        <v>4217</v>
      </c>
      <c r="C22" s="898" t="s">
        <v>1105</v>
      </c>
      <c r="D22" s="899" t="s">
        <v>2472</v>
      </c>
      <c r="E22" s="900">
        <v>0</v>
      </c>
      <c r="F22" s="900">
        <f t="shared" si="0"/>
        <v>0</v>
      </c>
      <c r="G22" s="892" t="s">
        <v>364</v>
      </c>
      <c r="H22" s="908" t="str">
        <f t="shared" si="3"/>
        <v>.</v>
      </c>
      <c r="I22" s="913" t="s">
        <v>364</v>
      </c>
      <c r="J22" s="901" t="str">
        <f t="shared" si="1"/>
        <v>.</v>
      </c>
      <c r="K22" s="901" t="s">
        <v>364</v>
      </c>
      <c r="L22" s="905" t="str">
        <f t="shared" si="2"/>
        <v>no price, 0 count</v>
      </c>
      <c r="M22" s="909">
        <f>SUMIFS('Bilateral Assistance, MAIN DATA'!M:M,'Bilateral Assistance, MAIN DATA'!I:I,'Price List, Weapons &amp; Items'!B22)</f>
        <v>0</v>
      </c>
      <c r="N22" s="71">
        <f>COUNTIFS('Bilateral Assistance, MAIN DATA'!M:M,"undisclosed",'Bilateral Assistance, MAIN DATA'!I:I,'Price List, Weapons &amp; Items'!B22)</f>
        <v>14</v>
      </c>
      <c r="O22" s="910" t="str">
        <f t="shared" si="4"/>
        <v>no price</v>
      </c>
      <c r="P22" s="71">
        <f>IFERROR(IF(SEARCH(B22,_xlfn.ARRAYTOTEXT('Bilateral Assistance, MAIN DATA'!I$1:I$2206))&gt;0,1,""),0)</f>
        <v>0</v>
      </c>
      <c r="Q22" s="71">
        <f>IFERROR(IF(SEARCH(B22,_xlfn.ARRAYTOTEXT('Commercial Assistance'!I$1:I$1400))&gt;0,1,""),0)</f>
        <v>0</v>
      </c>
      <c r="R22" s="905" t="str">
        <f>IF(SUMIFS('Bilateral Assistance, MAIN DATA'!N:N,'Bilateral Assistance, MAIN DATA'!I:I,'Price List, Weapons &amp; Items'!B22)&gt;M22,1,".")</f>
        <v>.</v>
      </c>
    </row>
    <row r="23" spans="2:18" ht="15" customHeight="1">
      <c r="B23" s="914" t="s">
        <v>5068</v>
      </c>
      <c r="C23" s="898" t="s">
        <v>1105</v>
      </c>
      <c r="D23" s="899" t="s">
        <v>5060</v>
      </c>
      <c r="E23" s="900">
        <v>0</v>
      </c>
      <c r="F23" s="900">
        <f t="shared" si="0"/>
        <v>1</v>
      </c>
      <c r="G23" s="892" t="s">
        <v>364</v>
      </c>
      <c r="H23" s="908" t="str">
        <f t="shared" si="3"/>
        <v>.</v>
      </c>
      <c r="I23" s="913" t="s">
        <v>364</v>
      </c>
      <c r="J23" s="901" t="str">
        <f t="shared" si="1"/>
        <v>.</v>
      </c>
      <c r="K23" s="901" t="s">
        <v>364</v>
      </c>
      <c r="L23" s="905" t="str">
        <f t="shared" si="2"/>
        <v>no price, 0 count</v>
      </c>
      <c r="M23" s="909">
        <f>SUMIFS('Bilateral Assistance, MAIN DATA'!M:M,'Bilateral Assistance, MAIN DATA'!I:I,'Price List, Weapons &amp; Items'!B23)</f>
        <v>0</v>
      </c>
      <c r="N23" s="71">
        <f>COUNTIFS('Bilateral Assistance, MAIN DATA'!M:M,"undisclosed",'Bilateral Assistance, MAIN DATA'!I:I,'Price List, Weapons &amp; Items'!B23)</f>
        <v>1</v>
      </c>
      <c r="O23" s="910" t="str">
        <f t="shared" si="4"/>
        <v>no price</v>
      </c>
      <c r="P23" s="71">
        <f>IFERROR(IF(SEARCH(B23,_xlfn.ARRAYTOTEXT('Bilateral Assistance, MAIN DATA'!I$1:I$2206))&gt;0,1,""),0)</f>
        <v>0</v>
      </c>
      <c r="Q23" s="71">
        <f>IFERROR(IF(SEARCH(B23,_xlfn.ARRAYTOTEXT('Commercial Assistance'!I$1:I$1400))&gt;0,1,""),0)</f>
        <v>0</v>
      </c>
      <c r="R23" s="905" t="str">
        <f>IF(SUMIFS('Bilateral Assistance, MAIN DATA'!N:N,'Bilateral Assistance, MAIN DATA'!I:I,'Price List, Weapons &amp; Items'!B23)&gt;M23,1,".")</f>
        <v>.</v>
      </c>
    </row>
    <row r="24" spans="2:18" ht="15" customHeight="1">
      <c r="B24" s="901" t="s">
        <v>438</v>
      </c>
      <c r="C24" s="898" t="s">
        <v>1105</v>
      </c>
      <c r="D24" s="898" t="s">
        <v>1105</v>
      </c>
      <c r="E24" s="900">
        <v>0</v>
      </c>
      <c r="F24" s="900">
        <f t="shared" si="0"/>
        <v>0</v>
      </c>
      <c r="G24" s="892" t="s">
        <v>364</v>
      </c>
      <c r="H24" s="908" t="str">
        <f t="shared" si="3"/>
        <v>.</v>
      </c>
      <c r="I24" s="913" t="s">
        <v>364</v>
      </c>
      <c r="J24" s="901" t="str">
        <f t="shared" si="1"/>
        <v>.</v>
      </c>
      <c r="K24" s="901" t="s">
        <v>364</v>
      </c>
      <c r="L24" s="905" t="str">
        <f t="shared" si="2"/>
        <v>no price, 0 count</v>
      </c>
      <c r="M24" s="909">
        <f>SUMIFS('Bilateral Assistance, MAIN DATA'!M:M,'Bilateral Assistance, MAIN DATA'!I:I,'Price List, Weapons &amp; Items'!B24)</f>
        <v>0</v>
      </c>
      <c r="N24" s="71">
        <f>COUNTIFS('Bilateral Assistance, MAIN DATA'!M:M,"undisclosed",'Bilateral Assistance, MAIN DATA'!I:I,'Price List, Weapons &amp; Items'!B24)</f>
        <v>1</v>
      </c>
      <c r="O24" s="910" t="str">
        <f t="shared" si="4"/>
        <v>no price</v>
      </c>
      <c r="P24" s="71">
        <f>IFERROR(IF(SEARCH(B24,_xlfn.ARRAYTOTEXT('Bilateral Assistance, MAIN DATA'!I$1:I$2206))&gt;0,1,""),0)</f>
        <v>0</v>
      </c>
      <c r="Q24" s="71">
        <f>IFERROR(IF(SEARCH(B24,_xlfn.ARRAYTOTEXT('Commercial Assistance'!I$1:I$1400))&gt;0,1,""),0)</f>
        <v>0</v>
      </c>
      <c r="R24" s="905" t="str">
        <f>IF(SUMIFS('Bilateral Assistance, MAIN DATA'!N:N,'Bilateral Assistance, MAIN DATA'!I:I,'Price List, Weapons &amp; Items'!B24)&gt;M24,1,".")</f>
        <v>.</v>
      </c>
    </row>
    <row r="25" spans="2:18" ht="15" customHeight="1">
      <c r="B25" s="901" t="s">
        <v>819</v>
      </c>
      <c r="C25" s="898" t="s">
        <v>5056</v>
      </c>
      <c r="D25" s="899" t="s">
        <v>5069</v>
      </c>
      <c r="E25" s="900">
        <v>0</v>
      </c>
      <c r="F25" s="900">
        <f t="shared" si="0"/>
        <v>0</v>
      </c>
      <c r="G25" s="892" t="s">
        <v>364</v>
      </c>
      <c r="H25" s="908" t="str">
        <f t="shared" si="3"/>
        <v>.</v>
      </c>
      <c r="I25" s="913" t="s">
        <v>364</v>
      </c>
      <c r="J25" s="901" t="str">
        <f t="shared" si="1"/>
        <v>.</v>
      </c>
      <c r="K25" s="901" t="s">
        <v>364</v>
      </c>
      <c r="L25" s="905" t="str">
        <f t="shared" si="2"/>
        <v>no price, 0 count</v>
      </c>
      <c r="M25" s="909">
        <f>SUMIFS('Bilateral Assistance, MAIN DATA'!M:M,'Bilateral Assistance, MAIN DATA'!I:I,'Price List, Weapons &amp; Items'!B25)</f>
        <v>0</v>
      </c>
      <c r="N25" s="71">
        <f>COUNTIFS('Bilateral Assistance, MAIN DATA'!M:M,"undisclosed",'Bilateral Assistance, MAIN DATA'!I:I,'Price List, Weapons &amp; Items'!B25)</f>
        <v>1</v>
      </c>
      <c r="O25" s="910" t="str">
        <f t="shared" si="4"/>
        <v>no price</v>
      </c>
      <c r="P25" s="71">
        <f>IFERROR(IF(SEARCH(B25,_xlfn.ARRAYTOTEXT('Bilateral Assistance, MAIN DATA'!I$1:I$2206))&gt;0,1,""),0)</f>
        <v>0</v>
      </c>
      <c r="Q25" s="71">
        <f>IFERROR(IF(SEARCH(B25,_xlfn.ARRAYTOTEXT('Commercial Assistance'!I$1:I$1400))&gt;0,1,""),0)</f>
        <v>0</v>
      </c>
      <c r="R25" s="905" t="str">
        <f>IF(SUMIFS('Bilateral Assistance, MAIN DATA'!N:N,'Bilateral Assistance, MAIN DATA'!I:I,'Price List, Weapons &amp; Items'!B25)&gt;M25,1,".")</f>
        <v>.</v>
      </c>
    </row>
    <row r="26" spans="2:18" ht="15" customHeight="1">
      <c r="B26" s="901" t="s">
        <v>437</v>
      </c>
      <c r="C26" s="898" t="s">
        <v>1105</v>
      </c>
      <c r="D26" s="898" t="s">
        <v>1105</v>
      </c>
      <c r="E26" s="900">
        <v>0</v>
      </c>
      <c r="F26" s="900">
        <f t="shared" si="0"/>
        <v>0</v>
      </c>
      <c r="G26" s="892" t="s">
        <v>364</v>
      </c>
      <c r="H26" s="900" t="s">
        <v>364</v>
      </c>
      <c r="I26" s="913" t="s">
        <v>364</v>
      </c>
      <c r="J26" s="913" t="s">
        <v>364</v>
      </c>
      <c r="K26" s="901" t="s">
        <v>364</v>
      </c>
      <c r="L26" s="905" t="str">
        <f t="shared" si="2"/>
        <v>no price, 0 count</v>
      </c>
      <c r="M26" s="909">
        <f>SUMIFS('Bilateral Assistance, MAIN DATA'!M:M,'Bilateral Assistance, MAIN DATA'!I:I,'Price List, Weapons &amp; Items'!B26)</f>
        <v>0</v>
      </c>
      <c r="N26" s="71">
        <f>COUNTIFS('Bilateral Assistance, MAIN DATA'!M:M,"undisclosed",'Bilateral Assistance, MAIN DATA'!I:I,'Price List, Weapons &amp; Items'!B26)</f>
        <v>2</v>
      </c>
      <c r="O26" s="910" t="str">
        <f t="shared" si="4"/>
        <v>no price</v>
      </c>
      <c r="P26" s="71">
        <f>IFERROR(IF(SEARCH(B26,_xlfn.ARRAYTOTEXT('Bilateral Assistance, MAIN DATA'!I$1:I$2206))&gt;0,1,""),0)</f>
        <v>0</v>
      </c>
      <c r="Q26" s="71">
        <f>IFERROR(IF(SEARCH(B26,_xlfn.ARRAYTOTEXT('Commercial Assistance'!I$1:I$1400))&gt;0,1,""),0)</f>
        <v>0</v>
      </c>
      <c r="R26" s="905" t="str">
        <f>IF(SUMIFS('Bilateral Assistance, MAIN DATA'!N:N,'Bilateral Assistance, MAIN DATA'!I:I,'Price List, Weapons &amp; Items'!B26)&gt;M26,1,".")</f>
        <v>.</v>
      </c>
    </row>
    <row r="27" spans="2:18" ht="15" customHeight="1">
      <c r="B27" s="915" t="s">
        <v>2450</v>
      </c>
      <c r="C27" s="898" t="s">
        <v>5070</v>
      </c>
      <c r="D27" s="899" t="s">
        <v>2472</v>
      </c>
      <c r="E27" s="900">
        <v>0</v>
      </c>
      <c r="F27" s="900">
        <f t="shared" si="0"/>
        <v>0</v>
      </c>
      <c r="G27" s="892">
        <f>(0.24*218800000)*VLOOKUP("USD",'Exchange Rates'!B:C,2,0)</f>
        <v>57070041.600000001</v>
      </c>
      <c r="H27" s="900" t="s">
        <v>456</v>
      </c>
      <c r="I27" s="913" t="s">
        <v>364</v>
      </c>
      <c r="J27" s="913" t="s">
        <v>364</v>
      </c>
      <c r="K27" s="913" t="s">
        <v>5071</v>
      </c>
      <c r="L27" s="905">
        <f t="shared" si="2"/>
        <v>2</v>
      </c>
      <c r="M27" s="909">
        <f>SUMIFS('Bilateral Assistance, MAIN DATA'!M:M,'Bilateral Assistance, MAIN DATA'!I:I,'Price List, Weapons &amp; Items'!B27)</f>
        <v>1</v>
      </c>
      <c r="N27" s="71">
        <f>COUNTIFS('Bilateral Assistance, MAIN DATA'!M:M,"undisclosed",'Bilateral Assistance, MAIN DATA'!I:I,'Price List, Weapons &amp; Items'!B27)</f>
        <v>0</v>
      </c>
      <c r="O27" s="910">
        <f t="shared" si="4"/>
        <v>57070041.600000001</v>
      </c>
      <c r="P27" s="71">
        <f>IFERROR(IF(SEARCH(B27,_xlfn.ARRAYTOTEXT('Bilateral Assistance, MAIN DATA'!I$1:I$2206))&gt;0,1,""),0)</f>
        <v>0</v>
      </c>
      <c r="Q27" s="71">
        <f>IFERROR(IF(SEARCH(B27,_xlfn.ARRAYTOTEXT('Commercial Assistance'!I$1:I$1400))&gt;0,1,""),0)</f>
        <v>0</v>
      </c>
      <c r="R27" s="905" t="str">
        <f>IF(SUMIFS('Bilateral Assistance, MAIN DATA'!N:N,'Bilateral Assistance, MAIN DATA'!I:I,'Price List, Weapons &amp; Items'!B27)&gt;M27,1,".")</f>
        <v>.</v>
      </c>
    </row>
    <row r="28" spans="2:18" ht="15" customHeight="1">
      <c r="B28" s="915" t="s">
        <v>5072</v>
      </c>
      <c r="C28" s="898" t="s">
        <v>5062</v>
      </c>
      <c r="D28" s="899" t="s">
        <v>5073</v>
      </c>
      <c r="E28" s="900">
        <v>0</v>
      </c>
      <c r="F28" s="900">
        <f t="shared" si="0"/>
        <v>1</v>
      </c>
      <c r="G28" s="892">
        <v>743989.18081292231</v>
      </c>
      <c r="H28" s="908" t="str">
        <f>IF(G28&lt;&gt;".","USD",".")</f>
        <v>USD</v>
      </c>
      <c r="I28" s="887" t="s">
        <v>5074</v>
      </c>
      <c r="J28" s="901" t="s">
        <v>5075</v>
      </c>
      <c r="K28" s="1356" t="s">
        <v>5076</v>
      </c>
      <c r="L28" s="905" t="str">
        <f t="shared" si="2"/>
        <v>no price, 0 count</v>
      </c>
      <c r="M28" s="909">
        <f>SUMIFS('Bilateral Assistance, MAIN DATA'!M:M,'Bilateral Assistance, MAIN DATA'!I:I,'Price List, Weapons &amp; Items'!B28)</f>
        <v>0</v>
      </c>
      <c r="N28" s="71">
        <f>COUNTIFS('Bilateral Assistance, MAIN DATA'!M:M,"undisclosed",'Bilateral Assistance, MAIN DATA'!I:I,'Price List, Weapons &amp; Items'!B28)</f>
        <v>0</v>
      </c>
      <c r="O28" s="910">
        <f t="shared" si="4"/>
        <v>0</v>
      </c>
      <c r="P28" s="71">
        <f>IFERROR(IF(SEARCH(B28,_xlfn.ARRAYTOTEXT('Bilateral Assistance, MAIN DATA'!I$1:I$2206))&gt;0,1,""),0)</f>
        <v>0</v>
      </c>
      <c r="Q28" s="71">
        <f>IFERROR(IF(SEARCH(B28,_xlfn.ARRAYTOTEXT('Commercial Assistance'!I$1:I$1400))&gt;0,1,""),0)</f>
        <v>0</v>
      </c>
      <c r="R28" s="905" t="str">
        <f>IF(SUMIFS('Bilateral Assistance, MAIN DATA'!N:N,'Bilateral Assistance, MAIN DATA'!I:I,'Price List, Weapons &amp; Items'!B28)&gt;M28,1,".")</f>
        <v>.</v>
      </c>
    </row>
    <row r="29" spans="2:18" ht="15" customHeight="1">
      <c r="B29" s="901" t="s">
        <v>5077</v>
      </c>
      <c r="C29" s="898" t="s">
        <v>5062</v>
      </c>
      <c r="D29" s="899" t="s">
        <v>5078</v>
      </c>
      <c r="E29" s="900">
        <v>1</v>
      </c>
      <c r="F29" s="900">
        <f t="shared" si="0"/>
        <v>1</v>
      </c>
      <c r="G29" s="892">
        <v>593000</v>
      </c>
      <c r="H29" s="908" t="str">
        <f>IF(G29&lt;&gt;".","USD",".")</f>
        <v>USD</v>
      </c>
      <c r="I29" s="886" t="s">
        <v>5079</v>
      </c>
      <c r="J29" s="901" t="s">
        <v>5080</v>
      </c>
      <c r="K29" s="901" t="s">
        <v>5081</v>
      </c>
      <c r="L29" s="905" t="str">
        <f t="shared" si="2"/>
        <v>no price, 0 count</v>
      </c>
      <c r="M29" s="909">
        <f>SUMIFS('Bilateral Assistance, MAIN DATA'!M:M,'Bilateral Assistance, MAIN DATA'!I:I,'Price List, Weapons &amp; Items'!B29)</f>
        <v>0</v>
      </c>
      <c r="N29" s="71">
        <f>COUNTIFS('Bilateral Assistance, MAIN DATA'!M:M,"undisclosed",'Bilateral Assistance, MAIN DATA'!I:I,'Price List, Weapons &amp; Items'!B29)</f>
        <v>0</v>
      </c>
      <c r="O29" s="910">
        <f t="shared" si="4"/>
        <v>0</v>
      </c>
      <c r="P29" s="71">
        <f>IFERROR(IF(SEARCH(B29,_xlfn.ARRAYTOTEXT('Bilateral Assistance, MAIN DATA'!I$1:I$2206))&gt;0,1,""),0)</f>
        <v>0</v>
      </c>
      <c r="Q29" s="71">
        <f>IFERROR(IF(SEARCH(B29,_xlfn.ARRAYTOTEXT('Commercial Assistance'!I$1:I$1400))&gt;0,1,""),0)</f>
        <v>0</v>
      </c>
      <c r="R29" s="905" t="str">
        <f>IF(SUMIFS('Bilateral Assistance, MAIN DATA'!N:N,'Bilateral Assistance, MAIN DATA'!I:I,'Price List, Weapons &amp; Items'!B29)&gt;M29,1,".")</f>
        <v>.</v>
      </c>
    </row>
    <row r="30" spans="2:18" ht="15" customHeight="1">
      <c r="B30" s="901" t="s">
        <v>5020</v>
      </c>
      <c r="C30" s="898" t="s">
        <v>5070</v>
      </c>
      <c r="D30" s="899" t="s">
        <v>3126</v>
      </c>
      <c r="E30" s="900">
        <v>0</v>
      </c>
      <c r="F30" s="900">
        <f t="shared" si="0"/>
        <v>0</v>
      </c>
      <c r="G30" s="892">
        <v>170000</v>
      </c>
      <c r="H30" s="908" t="str">
        <f>IF(G30&lt;&gt;".","USD",".")</f>
        <v>USD</v>
      </c>
      <c r="I30" s="885" t="s">
        <v>5022</v>
      </c>
      <c r="J30" s="901" t="s">
        <v>5082</v>
      </c>
      <c r="K30" s="901" t="s">
        <v>5083</v>
      </c>
      <c r="L30" s="905" t="str">
        <f t="shared" si="2"/>
        <v>no price, 0 count</v>
      </c>
      <c r="M30" s="909">
        <f>SUMIFS('Bilateral Assistance, MAIN DATA'!M:M,'Bilateral Assistance, MAIN DATA'!I:I,'Price List, Weapons &amp; Items'!B30)</f>
        <v>0</v>
      </c>
      <c r="N30" s="71">
        <f>COUNTIFS('Bilateral Assistance, MAIN DATA'!M:M,"undisclosed",'Bilateral Assistance, MAIN DATA'!I:I,'Price List, Weapons &amp; Items'!B30)</f>
        <v>0</v>
      </c>
      <c r="O30" s="910">
        <f t="shared" si="4"/>
        <v>0</v>
      </c>
      <c r="P30" s="71">
        <f>IFERROR(IF(SEARCH(B30,_xlfn.ARRAYTOTEXT('Bilateral Assistance, MAIN DATA'!I$1:I$2206))&gt;0,1,""),0)</f>
        <v>0</v>
      </c>
      <c r="Q30" s="71">
        <f>IFERROR(IF(SEARCH(B30,_xlfn.ARRAYTOTEXT('Commercial Assistance'!I$1:I$1400))&gt;0,1,""),0)</f>
        <v>1</v>
      </c>
      <c r="R30" s="905" t="str">
        <f>IF(SUMIFS('Bilateral Assistance, MAIN DATA'!N:N,'Bilateral Assistance, MAIN DATA'!I:I,'Price List, Weapons &amp; Items'!B30)&gt;M30,1,".")</f>
        <v>.</v>
      </c>
    </row>
    <row r="31" spans="2:18" ht="15" customHeight="1">
      <c r="B31" s="912" t="s">
        <v>5084</v>
      </c>
      <c r="C31" s="898" t="s">
        <v>1105</v>
      </c>
      <c r="D31" s="898" t="s">
        <v>1105</v>
      </c>
      <c r="E31" s="900">
        <v>0</v>
      </c>
      <c r="F31" s="900">
        <f t="shared" si="0"/>
        <v>0</v>
      </c>
      <c r="G31" s="892">
        <v>11.99</v>
      </c>
      <c r="H31" s="908" t="str">
        <f>IF(G31&lt;&gt;".","USD",".")</f>
        <v>USD</v>
      </c>
      <c r="I31" s="886" t="s">
        <v>5085</v>
      </c>
      <c r="J31" s="901" t="s">
        <v>5086</v>
      </c>
      <c r="K31" s="901" t="s">
        <v>5087</v>
      </c>
      <c r="L31" s="905" t="str">
        <f t="shared" si="2"/>
        <v>no price, 0 count</v>
      </c>
      <c r="M31" s="909">
        <f>SUMIFS('Bilateral Assistance, MAIN DATA'!M:M,'Bilateral Assistance, MAIN DATA'!I:I,'Price List, Weapons &amp; Items'!B31)</f>
        <v>0</v>
      </c>
      <c r="N31" s="71">
        <f>COUNTIFS('Bilateral Assistance, MAIN DATA'!M:M,"undisclosed",'Bilateral Assistance, MAIN DATA'!I:I,'Price List, Weapons &amp; Items'!B31)</f>
        <v>0</v>
      </c>
      <c r="O31" s="910">
        <f t="shared" si="4"/>
        <v>0</v>
      </c>
      <c r="P31" s="71">
        <f>IFERROR(IF(SEARCH(B31,_xlfn.ARRAYTOTEXT('Bilateral Assistance, MAIN DATA'!I$1:I$2206))&gt;0,1,""),0)</f>
        <v>0</v>
      </c>
      <c r="Q31" s="71">
        <f>IFERROR(IF(SEARCH(B31,_xlfn.ARRAYTOTEXT('Commercial Assistance'!I$1:I$1400))&gt;0,1,""),0)</f>
        <v>0</v>
      </c>
      <c r="R31" s="905" t="str">
        <f>IF(SUMIFS('Bilateral Assistance, MAIN DATA'!N:N,'Bilateral Assistance, MAIN DATA'!I:I,'Price List, Weapons &amp; Items'!B31)&gt;M31,1,".")</f>
        <v>.</v>
      </c>
    </row>
    <row r="32" spans="2:18" ht="15" customHeight="1">
      <c r="B32" s="71" t="s">
        <v>630</v>
      </c>
      <c r="C32" s="898" t="s">
        <v>5056</v>
      </c>
      <c r="D32" s="899" t="s">
        <v>5069</v>
      </c>
      <c r="E32" s="900">
        <v>0</v>
      </c>
      <c r="F32" s="900">
        <f t="shared" si="0"/>
        <v>0</v>
      </c>
      <c r="G32" s="892">
        <v>5300</v>
      </c>
      <c r="H32" s="908" t="str">
        <f>IF(G32&lt;&gt;".","USD",".")</f>
        <v>USD</v>
      </c>
      <c r="I32" s="886" t="s">
        <v>5088</v>
      </c>
      <c r="J32" s="901" t="s">
        <v>5089</v>
      </c>
      <c r="K32" s="901" t="s">
        <v>5090</v>
      </c>
      <c r="L32" s="905">
        <f t="shared" si="2"/>
        <v>1</v>
      </c>
      <c r="M32" s="909">
        <f>SUMIFS('Bilateral Assistance, MAIN DATA'!M:M,'Bilateral Assistance, MAIN DATA'!I:I,'Price List, Weapons &amp; Items'!B32)</f>
        <v>170</v>
      </c>
      <c r="N32" s="71">
        <f>COUNTIFS('Bilateral Assistance, MAIN DATA'!M:M,"undisclosed",'Bilateral Assistance, MAIN DATA'!I:I,'Price List, Weapons &amp; Items'!B32)</f>
        <v>1</v>
      </c>
      <c r="O32" s="910">
        <f t="shared" si="4"/>
        <v>901000</v>
      </c>
      <c r="P32" s="71">
        <f>IFERROR(IF(SEARCH(B32,_xlfn.ARRAYTOTEXT('Bilateral Assistance, MAIN DATA'!I$1:I$2206))&gt;0,1,""),0)</f>
        <v>0</v>
      </c>
      <c r="Q32" s="71">
        <f>IFERROR(IF(SEARCH(B32,_xlfn.ARRAYTOTEXT('Commercial Assistance'!I$1:I$1400))&gt;0,1,""),0)</f>
        <v>0</v>
      </c>
      <c r="R32" s="905" t="str">
        <f>IF(SUMIFS('Bilateral Assistance, MAIN DATA'!N:N,'Bilateral Assistance, MAIN DATA'!I:I,'Price List, Weapons &amp; Items'!B32)&gt;M32,1,".")</f>
        <v>.</v>
      </c>
    </row>
    <row r="33" spans="2:18" ht="15" customHeight="1">
      <c r="B33" s="901" t="s">
        <v>602</v>
      </c>
      <c r="C33" s="898" t="s">
        <v>631</v>
      </c>
      <c r="D33" s="898" t="s">
        <v>1105</v>
      </c>
      <c r="E33" s="900">
        <v>0</v>
      </c>
      <c r="F33" s="900">
        <f t="shared" si="0"/>
        <v>0</v>
      </c>
      <c r="G33" s="892" t="s">
        <v>364</v>
      </c>
      <c r="H33" s="900" t="s">
        <v>364</v>
      </c>
      <c r="I33" s="913" t="s">
        <v>364</v>
      </c>
      <c r="J33" s="913" t="s">
        <v>364</v>
      </c>
      <c r="K33" s="901" t="s">
        <v>364</v>
      </c>
      <c r="L33" s="905">
        <f t="shared" si="2"/>
        <v>0</v>
      </c>
      <c r="M33" s="909">
        <f>SUMIFS('Bilateral Assistance, MAIN DATA'!M:M,'Bilateral Assistance, MAIN DATA'!I:I,'Price List, Weapons &amp; Items'!B33)</f>
        <v>3900000</v>
      </c>
      <c r="N33" s="71">
        <f>COUNTIFS('Bilateral Assistance, MAIN DATA'!M:M,"undisclosed",'Bilateral Assistance, MAIN DATA'!I:I,'Price List, Weapons &amp; Items'!B33)</f>
        <v>6</v>
      </c>
      <c r="O33" s="910" t="str">
        <f t="shared" si="4"/>
        <v>no price</v>
      </c>
      <c r="P33" s="71">
        <f>IFERROR(IF(SEARCH(B33,_xlfn.ARRAYTOTEXT('Bilateral Assistance, MAIN DATA'!I$1:I$2206))&gt;0,1,""),0)</f>
        <v>0</v>
      </c>
      <c r="Q33" s="71">
        <f>IFERROR(IF(SEARCH(B33,_xlfn.ARRAYTOTEXT('Commercial Assistance'!I$1:I$1400))&gt;0,1,""),0)</f>
        <v>0</v>
      </c>
      <c r="R33" s="905" t="str">
        <f>IF(SUMIFS('Bilateral Assistance, MAIN DATA'!N:N,'Bilateral Assistance, MAIN DATA'!I:I,'Price List, Weapons &amp; Items'!B33)&gt;M33,1,".")</f>
        <v>.</v>
      </c>
    </row>
    <row r="34" spans="2:18" ht="15" customHeight="1">
      <c r="B34" s="901" t="s">
        <v>633</v>
      </c>
      <c r="C34" s="898" t="s">
        <v>1105</v>
      </c>
      <c r="D34" s="898" t="s">
        <v>1105</v>
      </c>
      <c r="E34" s="900">
        <v>0</v>
      </c>
      <c r="F34" s="900">
        <f t="shared" si="0"/>
        <v>0</v>
      </c>
      <c r="G34" s="892" t="s">
        <v>364</v>
      </c>
      <c r="H34" s="900" t="s">
        <v>364</v>
      </c>
      <c r="I34" s="913" t="s">
        <v>364</v>
      </c>
      <c r="J34" s="913" t="s">
        <v>364</v>
      </c>
      <c r="K34" s="901" t="s">
        <v>364</v>
      </c>
      <c r="L34" s="905">
        <f t="shared" si="2"/>
        <v>0</v>
      </c>
      <c r="M34" s="909">
        <f>SUMIFS('Bilateral Assistance, MAIN DATA'!M:M,'Bilateral Assistance, MAIN DATA'!I:I,'Price List, Weapons &amp; Items'!B34)</f>
        <v>3</v>
      </c>
      <c r="N34" s="71">
        <f>COUNTIFS('Bilateral Assistance, MAIN DATA'!M:M,"undisclosed",'Bilateral Assistance, MAIN DATA'!I:I,'Price List, Weapons &amp; Items'!B34)</f>
        <v>1</v>
      </c>
      <c r="O34" s="910" t="str">
        <f t="shared" si="4"/>
        <v>no price</v>
      </c>
      <c r="P34" s="71">
        <f>IFERROR(IF(SEARCH(B34,_xlfn.ARRAYTOTEXT('Bilateral Assistance, MAIN DATA'!I$1:I$2206))&gt;0,1,""),0)</f>
        <v>0</v>
      </c>
      <c r="Q34" s="71">
        <f>IFERROR(IF(SEARCH(B34,_xlfn.ARRAYTOTEXT('Commercial Assistance'!I$1:I$1400))&gt;0,1,""),0)</f>
        <v>0</v>
      </c>
      <c r="R34" s="905" t="str">
        <f>IF(SUMIFS('Bilateral Assistance, MAIN DATA'!N:N,'Bilateral Assistance, MAIN DATA'!I:I,'Price List, Weapons &amp; Items'!B34)&gt;M34,1,".")</f>
        <v>.</v>
      </c>
    </row>
    <row r="35" spans="2:18" ht="15" customHeight="1">
      <c r="B35" s="901" t="s">
        <v>4327</v>
      </c>
      <c r="C35" s="898" t="s">
        <v>5056</v>
      </c>
      <c r="D35" s="899" t="s">
        <v>5091</v>
      </c>
      <c r="E35" s="900">
        <v>0</v>
      </c>
      <c r="F35" s="900">
        <f t="shared" si="0"/>
        <v>0</v>
      </c>
      <c r="G35" s="892">
        <v>223.15</v>
      </c>
      <c r="H35" s="908" t="str">
        <f>IF(G35&lt;&gt;".","USD",".")</f>
        <v>USD</v>
      </c>
      <c r="I35" s="886" t="s">
        <v>5092</v>
      </c>
      <c r="J35" s="901" t="s">
        <v>5089</v>
      </c>
      <c r="K35" s="901" t="s">
        <v>5093</v>
      </c>
      <c r="L35" s="905" t="str">
        <f t="shared" si="2"/>
        <v>no price, 0 count</v>
      </c>
      <c r="M35" s="909">
        <f>SUMIFS('Bilateral Assistance, MAIN DATA'!M:M,'Bilateral Assistance, MAIN DATA'!I:I,'Price List, Weapons &amp; Items'!B35)</f>
        <v>0</v>
      </c>
      <c r="N35" s="71">
        <f>COUNTIFS('Bilateral Assistance, MAIN DATA'!M:M,"undisclosed",'Bilateral Assistance, MAIN DATA'!I:I,'Price List, Weapons &amp; Items'!B35)</f>
        <v>3</v>
      </c>
      <c r="O35" s="910">
        <f t="shared" si="4"/>
        <v>0</v>
      </c>
      <c r="P35" s="71">
        <f>IFERROR(IF(SEARCH(B35,_xlfn.ARRAYTOTEXT('Bilateral Assistance, MAIN DATA'!I$1:I$2206))&gt;0,1,""),0)</f>
        <v>0</v>
      </c>
      <c r="Q35" s="71">
        <f>IFERROR(IF(SEARCH(B35,_xlfn.ARRAYTOTEXT('Commercial Assistance'!I$1:I$1400))&gt;0,1,""),0)</f>
        <v>0</v>
      </c>
      <c r="R35" s="905" t="str">
        <f>IF(SUMIFS('Bilateral Assistance, MAIN DATA'!N:N,'Bilateral Assistance, MAIN DATA'!I:I,'Price List, Weapons &amp; Items'!B35)&gt;M35,1,".")</f>
        <v>.</v>
      </c>
    </row>
    <row r="36" spans="2:18" ht="15" customHeight="1">
      <c r="B36" s="901" t="s">
        <v>4147</v>
      </c>
      <c r="C36" s="898" t="s">
        <v>1105</v>
      </c>
      <c r="D36" s="899" t="s">
        <v>5091</v>
      </c>
      <c r="E36" s="900">
        <v>0</v>
      </c>
      <c r="F36" s="900">
        <f t="shared" si="0"/>
        <v>0</v>
      </c>
      <c r="G36" s="892">
        <v>90</v>
      </c>
      <c r="H36" s="908" t="str">
        <f>IF(G36&lt;&gt;".","USD",".")</f>
        <v>USD</v>
      </c>
      <c r="I36" s="885" t="s">
        <v>5094</v>
      </c>
      <c r="J36" s="901" t="s">
        <v>5080</v>
      </c>
      <c r="K36" s="901" t="s">
        <v>5095</v>
      </c>
      <c r="L36" s="905" t="str">
        <f t="shared" si="2"/>
        <v>no price, 0 count</v>
      </c>
      <c r="M36" s="909">
        <f>SUMIFS('Bilateral Assistance, MAIN DATA'!M:M,'Bilateral Assistance, MAIN DATA'!I:I,'Price List, Weapons &amp; Items'!B36)</f>
        <v>0</v>
      </c>
      <c r="N36" s="71">
        <f>COUNTIFS('Bilateral Assistance, MAIN DATA'!M:M,"undisclosed",'Bilateral Assistance, MAIN DATA'!I:I,'Price List, Weapons &amp; Items'!B36)</f>
        <v>1</v>
      </c>
      <c r="O36" s="910">
        <f t="shared" si="4"/>
        <v>0</v>
      </c>
      <c r="P36" s="71">
        <f>IFERROR(IF(SEARCH(B36,_xlfn.ARRAYTOTEXT('Bilateral Assistance, MAIN DATA'!I$1:I$2206))&gt;0,1,""),0)</f>
        <v>0</v>
      </c>
      <c r="Q36" s="71">
        <f>IFERROR(IF(SEARCH(B36,_xlfn.ARRAYTOTEXT('Commercial Assistance'!I$1:I$1400))&gt;0,1,""),0)</f>
        <v>0</v>
      </c>
      <c r="R36" s="905" t="str">
        <f>IF(SUMIFS('Bilateral Assistance, MAIN DATA'!N:N,'Bilateral Assistance, MAIN DATA'!I:I,'Price List, Weapons &amp; Items'!B36)&gt;M36,1,".")</f>
        <v>.</v>
      </c>
    </row>
    <row r="37" spans="2:18" ht="15" customHeight="1">
      <c r="B37" s="71" t="s">
        <v>4170</v>
      </c>
      <c r="C37" s="898" t="s">
        <v>1105</v>
      </c>
      <c r="D37" s="898" t="s">
        <v>1105</v>
      </c>
      <c r="E37" s="900">
        <v>0</v>
      </c>
      <c r="F37" s="900">
        <f t="shared" si="0"/>
        <v>0</v>
      </c>
      <c r="G37" s="892" t="s">
        <v>364</v>
      </c>
      <c r="H37" s="900" t="s">
        <v>364</v>
      </c>
      <c r="I37" s="913" t="s">
        <v>364</v>
      </c>
      <c r="J37" s="913" t="s">
        <v>364</v>
      </c>
      <c r="K37" s="901" t="s">
        <v>364</v>
      </c>
      <c r="L37" s="905" t="str">
        <f t="shared" si="2"/>
        <v>no price, 0 count</v>
      </c>
      <c r="M37" s="909">
        <f>SUMIFS('Bilateral Assistance, MAIN DATA'!M:M,'Bilateral Assistance, MAIN DATA'!I:I,'Price List, Weapons &amp; Items'!B37)</f>
        <v>0</v>
      </c>
      <c r="N37" s="71">
        <f>COUNTIFS('Bilateral Assistance, MAIN DATA'!M:M,"undisclosed",'Bilateral Assistance, MAIN DATA'!I:I,'Price List, Weapons &amp; Items'!B37)</f>
        <v>4</v>
      </c>
      <c r="O37" s="910" t="str">
        <f t="shared" si="4"/>
        <v>no price</v>
      </c>
      <c r="P37" s="71">
        <f>IFERROR(IF(SEARCH(B37,_xlfn.ARRAYTOTEXT('Bilateral Assistance, MAIN DATA'!I$1:I$2206))&gt;0,1,""),0)</f>
        <v>0</v>
      </c>
      <c r="Q37" s="71">
        <f>IFERROR(IF(SEARCH(B37,_xlfn.ARRAYTOTEXT('Commercial Assistance'!I$1:I$1400))&gt;0,1,""),0)</f>
        <v>0</v>
      </c>
      <c r="R37" s="905" t="str">
        <f>IF(SUMIFS('Bilateral Assistance, MAIN DATA'!N:N,'Bilateral Assistance, MAIN DATA'!I:I,'Price List, Weapons &amp; Items'!B37)&gt;M37,1,".")</f>
        <v>.</v>
      </c>
    </row>
    <row r="38" spans="2:18" ht="15" customHeight="1">
      <c r="B38" s="901" t="s">
        <v>4196</v>
      </c>
      <c r="C38" s="898" t="s">
        <v>1105</v>
      </c>
      <c r="D38" s="898" t="s">
        <v>1105</v>
      </c>
      <c r="E38" s="900">
        <v>0</v>
      </c>
      <c r="F38" s="900">
        <f t="shared" si="0"/>
        <v>0</v>
      </c>
      <c r="G38" s="892" t="s">
        <v>364</v>
      </c>
      <c r="H38" s="900" t="s">
        <v>364</v>
      </c>
      <c r="I38" s="913" t="s">
        <v>364</v>
      </c>
      <c r="J38" s="913" t="s">
        <v>364</v>
      </c>
      <c r="K38" s="901" t="s">
        <v>364</v>
      </c>
      <c r="L38" s="905" t="str">
        <f t="shared" si="2"/>
        <v>no price, 0 count</v>
      </c>
      <c r="M38" s="909">
        <f>SUMIFS('Bilateral Assistance, MAIN DATA'!M:M,'Bilateral Assistance, MAIN DATA'!I:I,'Price List, Weapons &amp; Items'!B38)</f>
        <v>0</v>
      </c>
      <c r="N38" s="71">
        <f>COUNTIFS('Bilateral Assistance, MAIN DATA'!M:M,"undisclosed",'Bilateral Assistance, MAIN DATA'!I:I,'Price List, Weapons &amp; Items'!B38)</f>
        <v>3</v>
      </c>
      <c r="O38" s="910" t="str">
        <f t="shared" si="4"/>
        <v>no price</v>
      </c>
      <c r="P38" s="71">
        <f>IFERROR(IF(SEARCH(B38,_xlfn.ARRAYTOTEXT('Bilateral Assistance, MAIN DATA'!I$1:I$2206))&gt;0,1,""),0)</f>
        <v>0</v>
      </c>
      <c r="Q38" s="71">
        <f>IFERROR(IF(SEARCH(B38,_xlfn.ARRAYTOTEXT('Commercial Assistance'!I$1:I$1400))&gt;0,1,""),0)</f>
        <v>0</v>
      </c>
      <c r="R38" s="905" t="str">
        <f>IF(SUMIFS('Bilateral Assistance, MAIN DATA'!N:N,'Bilateral Assistance, MAIN DATA'!I:I,'Price List, Weapons &amp; Items'!B38)&gt;M38,1,".")</f>
        <v>.</v>
      </c>
    </row>
    <row r="39" spans="2:18" ht="15" customHeight="1">
      <c r="B39" s="71" t="s">
        <v>637</v>
      </c>
      <c r="C39" s="898" t="s">
        <v>1105</v>
      </c>
      <c r="D39" s="898" t="s">
        <v>1105</v>
      </c>
      <c r="E39" s="900">
        <v>0</v>
      </c>
      <c r="F39" s="900">
        <f t="shared" si="0"/>
        <v>0</v>
      </c>
      <c r="G39" s="892" t="s">
        <v>364</v>
      </c>
      <c r="H39" s="900" t="s">
        <v>364</v>
      </c>
      <c r="I39" s="913" t="s">
        <v>364</v>
      </c>
      <c r="J39" s="913" t="s">
        <v>364</v>
      </c>
      <c r="K39" s="901" t="s">
        <v>364</v>
      </c>
      <c r="L39" s="905" t="str">
        <f t="shared" si="2"/>
        <v>no price, 0 count</v>
      </c>
      <c r="M39" s="909">
        <f>SUMIFS('Bilateral Assistance, MAIN DATA'!M:M,'Bilateral Assistance, MAIN DATA'!I:I,'Price List, Weapons &amp; Items'!B39)</f>
        <v>0</v>
      </c>
      <c r="N39" s="71">
        <f>COUNTIFS('Bilateral Assistance, MAIN DATA'!M:M,"undisclosed",'Bilateral Assistance, MAIN DATA'!I:I,'Price List, Weapons &amp; Items'!B39)</f>
        <v>2</v>
      </c>
      <c r="O39" s="910" t="str">
        <f t="shared" si="4"/>
        <v>no price</v>
      </c>
      <c r="P39" s="71">
        <f>IFERROR(IF(SEARCH(B39,_xlfn.ARRAYTOTEXT('Bilateral Assistance, MAIN DATA'!I$1:I$2206))&gt;0,1,""),0)</f>
        <v>0</v>
      </c>
      <c r="Q39" s="71">
        <f>IFERROR(IF(SEARCH(B39,_xlfn.ARRAYTOTEXT('Commercial Assistance'!I$1:I$1400))&gt;0,1,""),0)</f>
        <v>0</v>
      </c>
      <c r="R39" s="905" t="str">
        <f>IF(SUMIFS('Bilateral Assistance, MAIN DATA'!N:N,'Bilateral Assistance, MAIN DATA'!I:I,'Price List, Weapons &amp; Items'!B39)&gt;M39,1,".")</f>
        <v>.</v>
      </c>
    </row>
    <row r="40" spans="2:18" ht="15" customHeight="1">
      <c r="B40" s="901" t="s">
        <v>5096</v>
      </c>
      <c r="C40" s="898" t="s">
        <v>5062</v>
      </c>
      <c r="D40" s="899" t="s">
        <v>4288</v>
      </c>
      <c r="E40" s="900">
        <v>0</v>
      </c>
      <c r="F40" s="900">
        <f t="shared" si="0"/>
        <v>1</v>
      </c>
      <c r="G40" s="892">
        <v>5170000</v>
      </c>
      <c r="H40" s="908" t="str">
        <f>IF(G40&lt;&gt;".","USD",".")</f>
        <v>USD</v>
      </c>
      <c r="I40" s="886" t="s">
        <v>5097</v>
      </c>
      <c r="J40" s="901" t="s">
        <v>5082</v>
      </c>
      <c r="K40" s="901" t="s">
        <v>5098</v>
      </c>
      <c r="L40" s="905">
        <f t="shared" si="2"/>
        <v>2</v>
      </c>
      <c r="M40" s="909">
        <f>SUMIFS('Bilateral Assistance, MAIN DATA'!M:M,'Bilateral Assistance, MAIN DATA'!I:I,'Price List, Weapons &amp; Items'!B40)</f>
        <v>34</v>
      </c>
      <c r="N40" s="71">
        <f>COUNTIFS('Bilateral Assistance, MAIN DATA'!M:M,"undisclosed",'Bilateral Assistance, MAIN DATA'!I:I,'Price List, Weapons &amp; Items'!B40)</f>
        <v>1</v>
      </c>
      <c r="O40" s="910">
        <f t="shared" si="4"/>
        <v>175780000</v>
      </c>
      <c r="P40" s="71">
        <f>IFERROR(IF(SEARCH(B40,_xlfn.ARRAYTOTEXT('Bilateral Assistance, MAIN DATA'!I$1:I$2206))&gt;0,1,""),0)</f>
        <v>0</v>
      </c>
      <c r="Q40" s="71">
        <f>IFERROR(IF(SEARCH(B40,_xlfn.ARRAYTOTEXT('Commercial Assistance'!I$1:I$1400))&gt;0,1,""),0)</f>
        <v>0</v>
      </c>
      <c r="R40" s="905" t="str">
        <f>IF(SUMIFS('Bilateral Assistance, MAIN DATA'!N:N,'Bilateral Assistance, MAIN DATA'!I:I,'Price List, Weapons &amp; Items'!B40)&gt;M40,1,".")</f>
        <v>.</v>
      </c>
    </row>
    <row r="41" spans="2:18" ht="15" customHeight="1">
      <c r="B41" s="916" t="s">
        <v>2551</v>
      </c>
      <c r="C41" s="898" t="s">
        <v>5062</v>
      </c>
      <c r="D41" s="899" t="s">
        <v>5063</v>
      </c>
      <c r="E41" s="900">
        <v>0</v>
      </c>
      <c r="F41" s="900">
        <f t="shared" si="0"/>
        <v>0</v>
      </c>
      <c r="G41" s="892" t="s">
        <v>364</v>
      </c>
      <c r="H41" s="900" t="s">
        <v>364</v>
      </c>
      <c r="I41" s="913" t="s">
        <v>364</v>
      </c>
      <c r="J41" s="913" t="s">
        <v>364</v>
      </c>
      <c r="K41" s="901" t="s">
        <v>364</v>
      </c>
      <c r="L41" s="905" t="str">
        <f t="shared" si="2"/>
        <v>no price, 0 count</v>
      </c>
      <c r="M41" s="909">
        <f>SUMIFS('Bilateral Assistance, MAIN DATA'!M:M,'Bilateral Assistance, MAIN DATA'!I:I,'Price List, Weapons &amp; Items'!B41)</f>
        <v>0</v>
      </c>
      <c r="N41" s="71">
        <f>COUNTIFS('Bilateral Assistance, MAIN DATA'!M:M,"undisclosed",'Bilateral Assistance, MAIN DATA'!I:I,'Price List, Weapons &amp; Items'!B41)</f>
        <v>1</v>
      </c>
      <c r="O41" s="910" t="str">
        <f t="shared" si="4"/>
        <v>no price</v>
      </c>
      <c r="P41" s="71">
        <f>IFERROR(IF(SEARCH(B41,_xlfn.ARRAYTOTEXT('Bilateral Assistance, MAIN DATA'!I$1:I$2206))&gt;0,1,""),0)</f>
        <v>0</v>
      </c>
      <c r="Q41" s="71">
        <f>IFERROR(IF(SEARCH(B41,_xlfn.ARRAYTOTEXT('Commercial Assistance'!I$1:I$1400))&gt;0,1,""),0)</f>
        <v>0</v>
      </c>
      <c r="R41" s="905" t="str">
        <f>IF(SUMIFS('Bilateral Assistance, MAIN DATA'!N:N,'Bilateral Assistance, MAIN DATA'!I:I,'Price List, Weapons &amp; Items'!B41)&gt;M41,1,".")</f>
        <v>.</v>
      </c>
    </row>
    <row r="42" spans="2:18" ht="15" customHeight="1">
      <c r="B42" s="901" t="s">
        <v>2448</v>
      </c>
      <c r="C42" s="898" t="s">
        <v>5099</v>
      </c>
      <c r="D42" s="899" t="s">
        <v>5100</v>
      </c>
      <c r="E42" s="900">
        <v>0</v>
      </c>
      <c r="F42" s="900">
        <f t="shared" si="0"/>
        <v>0</v>
      </c>
      <c r="G42" s="892">
        <f>(0.56*218800000)*VLOOKUP("USD",'Exchange Rates'!B:C,2,0)</f>
        <v>133163430.40000002</v>
      </c>
      <c r="H42" s="900" t="s">
        <v>456</v>
      </c>
      <c r="I42" s="913" t="s">
        <v>364</v>
      </c>
      <c r="J42" s="913" t="s">
        <v>364</v>
      </c>
      <c r="K42" s="913" t="s">
        <v>5101</v>
      </c>
      <c r="L42" s="905">
        <f t="shared" si="2"/>
        <v>2</v>
      </c>
      <c r="M42" s="909">
        <f>SUMIFS('Bilateral Assistance, MAIN DATA'!M:M,'Bilateral Assistance, MAIN DATA'!I:I,'Price List, Weapons &amp; Items'!B42)</f>
        <v>1</v>
      </c>
      <c r="N42" s="71">
        <f>COUNTIFS('Bilateral Assistance, MAIN DATA'!M:M,"undisclosed",'Bilateral Assistance, MAIN DATA'!I:I,'Price List, Weapons &amp; Items'!B42)</f>
        <v>0</v>
      </c>
      <c r="O42" s="910">
        <f t="shared" si="4"/>
        <v>133163430.40000002</v>
      </c>
      <c r="P42" s="71">
        <f>IFERROR(IF(SEARCH(B42,_xlfn.ARRAYTOTEXT('Bilateral Assistance, MAIN DATA'!I$1:I$2206))&gt;0,1,""),0)</f>
        <v>0</v>
      </c>
      <c r="Q42" s="71">
        <f>IFERROR(IF(SEARCH(B42,_xlfn.ARRAYTOTEXT('Commercial Assistance'!I$1:I$1400))&gt;0,1,""),0)</f>
        <v>0</v>
      </c>
      <c r="R42" s="905" t="str">
        <f>IF(SUMIFS('Bilateral Assistance, MAIN DATA'!N:N,'Bilateral Assistance, MAIN DATA'!I:I,'Price List, Weapons &amp; Items'!B42)&gt;M42,1,".")</f>
        <v>.</v>
      </c>
    </row>
    <row r="43" spans="2:18" ht="15" customHeight="1">
      <c r="B43" s="901" t="s">
        <v>5102</v>
      </c>
      <c r="C43" s="898" t="s">
        <v>1105</v>
      </c>
      <c r="D43" s="899" t="s">
        <v>5103</v>
      </c>
      <c r="E43" s="900">
        <v>0</v>
      </c>
      <c r="F43" s="900">
        <f t="shared" si="0"/>
        <v>0</v>
      </c>
      <c r="G43" s="892">
        <v>86940000</v>
      </c>
      <c r="H43" s="908" t="str">
        <f>IF(G43&lt;&gt;".","USD",".")</f>
        <v>USD</v>
      </c>
      <c r="I43" s="890" t="s">
        <v>5104</v>
      </c>
      <c r="J43" s="901" t="s">
        <v>5089</v>
      </c>
      <c r="K43" s="901" t="s">
        <v>5105</v>
      </c>
      <c r="L43" s="905" t="str">
        <f t="shared" si="2"/>
        <v>no price, 0 count</v>
      </c>
      <c r="M43" s="909">
        <f>SUMIFS('Bilateral Assistance, MAIN DATA'!M:M,'Bilateral Assistance, MAIN DATA'!I:I,'Price List, Weapons &amp; Items'!B43)</f>
        <v>0</v>
      </c>
      <c r="N43" s="71">
        <f>COUNTIFS('Bilateral Assistance, MAIN DATA'!M:M,"undisclosed",'Bilateral Assistance, MAIN DATA'!I:I,'Price List, Weapons &amp; Items'!B43)</f>
        <v>1</v>
      </c>
      <c r="O43" s="910">
        <f t="shared" si="4"/>
        <v>0</v>
      </c>
      <c r="P43" s="71">
        <f>IFERROR(IF(SEARCH(B43,_xlfn.ARRAYTOTEXT('Bilateral Assistance, MAIN DATA'!I$1:I$2206))&gt;0,1,""),0)</f>
        <v>0</v>
      </c>
      <c r="Q43" s="71">
        <f>IFERROR(IF(SEARCH(B43,_xlfn.ARRAYTOTEXT('Commercial Assistance'!I$1:I$1400))&gt;0,1,""),0)</f>
        <v>0</v>
      </c>
      <c r="R43" s="905" t="str">
        <f>IF(SUMIFS('Bilateral Assistance, MAIN DATA'!N:N,'Bilateral Assistance, MAIN DATA'!I:I,'Price List, Weapons &amp; Items'!B43)&gt;M43,1,".")</f>
        <v>.</v>
      </c>
    </row>
    <row r="44" spans="2:18" ht="15" customHeight="1">
      <c r="B44" s="901" t="s">
        <v>2444</v>
      </c>
      <c r="C44" s="898" t="s">
        <v>1105</v>
      </c>
      <c r="D44" s="898" t="s">
        <v>1105</v>
      </c>
      <c r="E44" s="900">
        <v>0</v>
      </c>
      <c r="F44" s="900">
        <f t="shared" si="0"/>
        <v>0</v>
      </c>
      <c r="G44" s="892">
        <f>(0.13*218800000)*VLOOKUP("USD",'Exchange Rates'!B:C,2,0)</f>
        <v>30912939.199999999</v>
      </c>
      <c r="H44" s="900" t="s">
        <v>456</v>
      </c>
      <c r="I44" s="913" t="s">
        <v>364</v>
      </c>
      <c r="J44" s="913" t="s">
        <v>5106</v>
      </c>
      <c r="L44" s="905">
        <f t="shared" si="2"/>
        <v>2</v>
      </c>
      <c r="M44" s="909">
        <f>SUMIFS('Bilateral Assistance, MAIN DATA'!M:M,'Bilateral Assistance, MAIN DATA'!I:I,'Price List, Weapons &amp; Items'!B44)</f>
        <v>1</v>
      </c>
      <c r="N44" s="71">
        <f>COUNTIFS('Bilateral Assistance, MAIN DATA'!M:M,"undisclosed",'Bilateral Assistance, MAIN DATA'!I:I,'Price List, Weapons &amp; Items'!B44)</f>
        <v>0</v>
      </c>
      <c r="O44" s="910">
        <f t="shared" si="4"/>
        <v>30912939.199999999</v>
      </c>
      <c r="P44" s="71">
        <f>IFERROR(IF(SEARCH(B44,_xlfn.ARRAYTOTEXT('Bilateral Assistance, MAIN DATA'!I$1:I$2206))&gt;0,1,""),0)</f>
        <v>0</v>
      </c>
      <c r="Q44" s="71">
        <f>IFERROR(IF(SEARCH(B44,_xlfn.ARRAYTOTEXT('Commercial Assistance'!I$1:I$1400))&gt;0,1,""),0)</f>
        <v>0</v>
      </c>
      <c r="R44" s="905" t="str">
        <f>IF(SUMIFS('Bilateral Assistance, MAIN DATA'!N:N,'Bilateral Assistance, MAIN DATA'!I:I,'Price List, Weapons &amp; Items'!B44)&gt;M44,1,".")</f>
        <v>.</v>
      </c>
    </row>
    <row r="45" spans="2:18" ht="15" customHeight="1">
      <c r="B45" s="912" t="s">
        <v>4372</v>
      </c>
      <c r="C45" s="898" t="s">
        <v>5070</v>
      </c>
      <c r="D45" s="899" t="s">
        <v>3126</v>
      </c>
      <c r="E45" s="900">
        <v>0</v>
      </c>
      <c r="F45" s="900">
        <f t="shared" si="0"/>
        <v>0</v>
      </c>
      <c r="G45" s="892">
        <v>15000000</v>
      </c>
      <c r="H45" s="908" t="str">
        <f>IF(G45&lt;&gt;".","USD",".")</f>
        <v>USD</v>
      </c>
      <c r="I45" s="885" t="s">
        <v>5107</v>
      </c>
      <c r="J45" s="901" t="s">
        <v>5089</v>
      </c>
      <c r="K45" s="901" t="s">
        <v>5108</v>
      </c>
      <c r="L45" s="905" t="str">
        <f t="shared" si="2"/>
        <v>no price, 0 count</v>
      </c>
      <c r="M45" s="909">
        <f>SUMIFS('Bilateral Assistance, MAIN DATA'!M:M,'Bilateral Assistance, MAIN DATA'!I:I,'Price List, Weapons &amp; Items'!B45)</f>
        <v>0</v>
      </c>
      <c r="N45" s="71">
        <f>COUNTIFS('Bilateral Assistance, MAIN DATA'!M:M,"undisclosed",'Bilateral Assistance, MAIN DATA'!I:I,'Price List, Weapons &amp; Items'!B45)</f>
        <v>5</v>
      </c>
      <c r="O45" s="910">
        <f t="shared" si="4"/>
        <v>0</v>
      </c>
      <c r="P45" s="71">
        <f>IFERROR(IF(SEARCH(B45,_xlfn.ARRAYTOTEXT('Bilateral Assistance, MAIN DATA'!I$1:I$2206))&gt;0,1,""),0)</f>
        <v>0</v>
      </c>
      <c r="Q45" s="71">
        <f>IFERROR(IF(SEARCH(B45,_xlfn.ARRAYTOTEXT('Commercial Assistance'!I$1:I$1400))&gt;0,1,""),0)</f>
        <v>0</v>
      </c>
      <c r="R45" s="905" t="str">
        <f>IF(SUMIFS('Bilateral Assistance, MAIN DATA'!N:N,'Bilateral Assistance, MAIN DATA'!I:I,'Price List, Weapons &amp; Items'!B45)&gt;M45,1,".")</f>
        <v>.</v>
      </c>
    </row>
    <row r="46" spans="2:18" ht="15" customHeight="1">
      <c r="B46" s="901" t="s">
        <v>2449</v>
      </c>
      <c r="C46" s="898" t="s">
        <v>5070</v>
      </c>
      <c r="D46" s="899" t="s">
        <v>3126</v>
      </c>
      <c r="E46" s="900">
        <v>0</v>
      </c>
      <c r="F46" s="900">
        <f t="shared" si="0"/>
        <v>0</v>
      </c>
      <c r="G46" s="892">
        <f>(0.05*218800000)*VLOOKUP("USD",'Exchange Rates'!B:C,2,0)</f>
        <v>11889592</v>
      </c>
      <c r="H46" s="900" t="s">
        <v>456</v>
      </c>
      <c r="I46" s="913" t="s">
        <v>364</v>
      </c>
      <c r="J46" s="913" t="s">
        <v>364</v>
      </c>
      <c r="K46" s="913" t="s">
        <v>5109</v>
      </c>
      <c r="L46" s="905">
        <f t="shared" si="2"/>
        <v>2</v>
      </c>
      <c r="M46" s="909">
        <f>SUMIFS('Bilateral Assistance, MAIN DATA'!M:M,'Bilateral Assistance, MAIN DATA'!I:I,'Price List, Weapons &amp; Items'!B46)</f>
        <v>1</v>
      </c>
      <c r="N46" s="71">
        <f>COUNTIFS('Bilateral Assistance, MAIN DATA'!M:M,"undisclosed",'Bilateral Assistance, MAIN DATA'!I:I,'Price List, Weapons &amp; Items'!B46)</f>
        <v>0</v>
      </c>
      <c r="O46" s="910">
        <f t="shared" si="4"/>
        <v>11889592</v>
      </c>
      <c r="P46" s="71">
        <f>IFERROR(IF(SEARCH(B46,_xlfn.ARRAYTOTEXT('Bilateral Assistance, MAIN DATA'!I$1:I$2206))&gt;0,1,""),0)</f>
        <v>0</v>
      </c>
      <c r="Q46" s="71">
        <f>IFERROR(IF(SEARCH(B46,_xlfn.ARRAYTOTEXT('Commercial Assistance'!I$1:I$1400))&gt;0,1,""),0)</f>
        <v>0</v>
      </c>
      <c r="R46" s="905" t="str">
        <f>IF(SUMIFS('Bilateral Assistance, MAIN DATA'!N:N,'Bilateral Assistance, MAIN DATA'!I:I,'Price List, Weapons &amp; Items'!B46)&gt;M46,1,".")</f>
        <v>.</v>
      </c>
    </row>
    <row r="47" spans="2:18" ht="15" customHeight="1">
      <c r="B47" s="71" t="s">
        <v>3042</v>
      </c>
      <c r="C47" s="898" t="s">
        <v>5062</v>
      </c>
      <c r="D47" s="899" t="s">
        <v>5078</v>
      </c>
      <c r="E47" s="900">
        <v>1</v>
      </c>
      <c r="F47" s="900">
        <f t="shared" si="0"/>
        <v>1</v>
      </c>
      <c r="G47" s="892">
        <v>3318330.61</v>
      </c>
      <c r="H47" s="908" t="str">
        <f t="shared" ref="H47:H57" si="5">IF(G47&lt;&gt;".","USD",".")</f>
        <v>USD</v>
      </c>
      <c r="I47" s="886" t="s">
        <v>5074</v>
      </c>
      <c r="J47" s="901" t="s">
        <v>5075</v>
      </c>
      <c r="K47" s="901" t="s">
        <v>5076</v>
      </c>
      <c r="L47" s="905">
        <f t="shared" si="2"/>
        <v>2</v>
      </c>
      <c r="M47" s="909">
        <f>SUMIFS('Bilateral Assistance, MAIN DATA'!M:M,'Bilateral Assistance, MAIN DATA'!I:I,'Price List, Weapons &amp; Items'!B47)</f>
        <v>40</v>
      </c>
      <c r="N47" s="71">
        <f>COUNTIFS('Bilateral Assistance, MAIN DATA'!M:M,"undisclosed",'Bilateral Assistance, MAIN DATA'!I:I,'Price List, Weapons &amp; Items'!B47)</f>
        <v>0</v>
      </c>
      <c r="O47" s="910">
        <f t="shared" si="4"/>
        <v>132733224.39999999</v>
      </c>
      <c r="P47" s="71">
        <f>IFERROR(IF(SEARCH(B47,_xlfn.ARRAYTOTEXT('Bilateral Assistance, MAIN DATA'!I$1:I$2206))&gt;0,1,""),0)</f>
        <v>0</v>
      </c>
      <c r="Q47" s="71">
        <f>IFERROR(IF(SEARCH(B47,_xlfn.ARRAYTOTEXT('Commercial Assistance'!I$1:I$1400))&gt;0,1,""),0)</f>
        <v>0</v>
      </c>
      <c r="R47" s="905" t="str">
        <f>IF(SUMIFS('Bilateral Assistance, MAIN DATA'!N:N,'Bilateral Assistance, MAIN DATA'!I:I,'Price List, Weapons &amp; Items'!B47)&gt;M47,1,".")</f>
        <v>.</v>
      </c>
    </row>
    <row r="48" spans="2:18" ht="15" customHeight="1">
      <c r="B48" s="901" t="s">
        <v>5110</v>
      </c>
      <c r="C48" s="898" t="s">
        <v>5062</v>
      </c>
      <c r="D48" s="899" t="s">
        <v>5111</v>
      </c>
      <c r="E48" s="900">
        <v>0</v>
      </c>
      <c r="F48" s="900">
        <f t="shared" si="0"/>
        <v>0</v>
      </c>
      <c r="G48" s="892">
        <v>3960000</v>
      </c>
      <c r="H48" s="908" t="str">
        <f t="shared" si="5"/>
        <v>USD</v>
      </c>
      <c r="I48" s="890" t="s">
        <v>5112</v>
      </c>
      <c r="J48" s="901" t="s">
        <v>5082</v>
      </c>
      <c r="K48" s="901" t="s">
        <v>5113</v>
      </c>
      <c r="L48" s="905" t="str">
        <f t="shared" si="2"/>
        <v>no price, 0 count</v>
      </c>
      <c r="M48" s="909">
        <f>SUMIFS('Bilateral Assistance, MAIN DATA'!M:M,'Bilateral Assistance, MAIN DATA'!I:I,'Price List, Weapons &amp; Items'!B48)</f>
        <v>0</v>
      </c>
      <c r="N48" s="71">
        <f>COUNTIFS('Bilateral Assistance, MAIN DATA'!M:M,"undisclosed",'Bilateral Assistance, MAIN DATA'!I:I,'Price List, Weapons &amp; Items'!B48)</f>
        <v>1</v>
      </c>
      <c r="O48" s="910">
        <f t="shared" si="4"/>
        <v>0</v>
      </c>
      <c r="P48" s="71">
        <f>IFERROR(IF(SEARCH(B48,_xlfn.ARRAYTOTEXT('Bilateral Assistance, MAIN DATA'!I$1:I$2206))&gt;0,1,""),0)</f>
        <v>0</v>
      </c>
      <c r="Q48" s="71">
        <f>IFERROR(IF(SEARCH(B48,_xlfn.ARRAYTOTEXT('Commercial Assistance'!I$1:I$1400))&gt;0,1,""),0)</f>
        <v>0</v>
      </c>
      <c r="R48" s="905" t="str">
        <f>IF(SUMIFS('Bilateral Assistance, MAIN DATA'!N:N,'Bilateral Assistance, MAIN DATA'!I:I,'Price List, Weapons &amp; Items'!B48)&gt;M48,1,".")</f>
        <v>.</v>
      </c>
    </row>
    <row r="49" spans="1:18" ht="15" customHeight="1">
      <c r="B49" s="901" t="s">
        <v>2892</v>
      </c>
      <c r="C49" s="898" t="s">
        <v>5062</v>
      </c>
      <c r="D49" s="899" t="s">
        <v>5114</v>
      </c>
      <c r="E49" s="900">
        <v>0</v>
      </c>
      <c r="F49" s="900">
        <f t="shared" si="0"/>
        <v>0</v>
      </c>
      <c r="G49" s="892">
        <v>2600000</v>
      </c>
      <c r="H49" s="908" t="str">
        <f t="shared" si="5"/>
        <v>USD</v>
      </c>
      <c r="I49" s="888" t="s">
        <v>5115</v>
      </c>
      <c r="J49" s="901" t="s">
        <v>5082</v>
      </c>
      <c r="K49" s="901" t="s">
        <v>5116</v>
      </c>
      <c r="L49" s="905">
        <f t="shared" si="2"/>
        <v>2</v>
      </c>
      <c r="M49" s="909">
        <f>SUMIFS('Bilateral Assistance, MAIN DATA'!M:M,'Bilateral Assistance, MAIN DATA'!I:I,'Price List, Weapons &amp; Items'!B49)</f>
        <v>25</v>
      </c>
      <c r="N49" s="71">
        <f>COUNTIFS('Bilateral Assistance, MAIN DATA'!M:M,"undisclosed",'Bilateral Assistance, MAIN DATA'!I:I,'Price List, Weapons &amp; Items'!B49)</f>
        <v>0</v>
      </c>
      <c r="O49" s="910">
        <f t="shared" si="4"/>
        <v>65000000</v>
      </c>
      <c r="P49" s="71">
        <f>IFERROR(IF(SEARCH(B49,_xlfn.ARRAYTOTEXT('Bilateral Assistance, MAIN DATA'!I$1:I$2206))&gt;0,1,""),0)</f>
        <v>0</v>
      </c>
      <c r="Q49" s="71">
        <f>IFERROR(IF(SEARCH(B49,_xlfn.ARRAYTOTEXT('Commercial Assistance'!I$1:I$1400))&gt;0,1,""),0)</f>
        <v>0</v>
      </c>
      <c r="R49" s="905" t="str">
        <f>IF(SUMIFS('Bilateral Assistance, MAIN DATA'!N:N,'Bilateral Assistance, MAIN DATA'!I:I,'Price List, Weapons &amp; Items'!B49)&gt;M49,1,".")</f>
        <v>.</v>
      </c>
    </row>
    <row r="50" spans="1:18" ht="15" customHeight="1">
      <c r="B50" s="912" t="s">
        <v>4034</v>
      </c>
      <c r="C50" s="898" t="s">
        <v>5062</v>
      </c>
      <c r="D50" s="899" t="s">
        <v>5117</v>
      </c>
      <c r="E50" s="900">
        <v>0</v>
      </c>
      <c r="F50" s="900">
        <f t="shared" si="0"/>
        <v>0</v>
      </c>
      <c r="G50" s="892">
        <v>2548204.5789999999</v>
      </c>
      <c r="H50" s="908" t="str">
        <f t="shared" si="5"/>
        <v>USD</v>
      </c>
      <c r="I50" s="885" t="s">
        <v>5118</v>
      </c>
      <c r="J50" s="901" t="s">
        <v>5119</v>
      </c>
      <c r="K50" s="901" t="s">
        <v>5120</v>
      </c>
      <c r="L50" s="905" t="str">
        <f t="shared" si="2"/>
        <v>no price, 0 count</v>
      </c>
      <c r="M50" s="909">
        <f>SUMIFS('Bilateral Assistance, MAIN DATA'!M:M,'Bilateral Assistance, MAIN DATA'!I:I,'Price List, Weapons &amp; Items'!B50)</f>
        <v>0</v>
      </c>
      <c r="N50" s="71">
        <f>COUNTIFS('Bilateral Assistance, MAIN DATA'!M:M,"undisclosed",'Bilateral Assistance, MAIN DATA'!I:I,'Price List, Weapons &amp; Items'!B50)</f>
        <v>1</v>
      </c>
      <c r="O50" s="910">
        <f t="shared" si="4"/>
        <v>0</v>
      </c>
      <c r="P50" s="71">
        <f>IFERROR(IF(SEARCH(B50,_xlfn.ARRAYTOTEXT('Bilateral Assistance, MAIN DATA'!I$1:I$2206))&gt;0,1,""),0)</f>
        <v>0</v>
      </c>
      <c r="Q50" s="71">
        <f>IFERROR(IF(SEARCH(B50,_xlfn.ARRAYTOTEXT('Commercial Assistance'!I$1:I$1400))&gt;0,1,""),0)</f>
        <v>0</v>
      </c>
      <c r="R50" s="905" t="str">
        <f>IF(SUMIFS('Bilateral Assistance, MAIN DATA'!N:N,'Bilateral Assistance, MAIN DATA'!I:I,'Price List, Weapons &amp; Items'!B50)&gt;M50,1,".")</f>
        <v>.</v>
      </c>
    </row>
    <row r="51" spans="1:18" ht="15" customHeight="1">
      <c r="B51" s="901" t="s">
        <v>3799</v>
      </c>
      <c r="C51" s="898" t="s">
        <v>5099</v>
      </c>
      <c r="D51" s="899" t="s">
        <v>5100</v>
      </c>
      <c r="E51" s="900">
        <v>0</v>
      </c>
      <c r="F51" s="900">
        <f t="shared" si="0"/>
        <v>0</v>
      </c>
      <c r="G51" s="892">
        <v>1750000</v>
      </c>
      <c r="H51" s="908" t="str">
        <f t="shared" si="5"/>
        <v>USD</v>
      </c>
      <c r="I51" s="891" t="s">
        <v>5074</v>
      </c>
      <c r="J51" s="901" t="s">
        <v>5075</v>
      </c>
      <c r="K51" s="901" t="s">
        <v>5121</v>
      </c>
      <c r="L51" s="905" t="str">
        <f t="shared" si="2"/>
        <v>no price, 0 count</v>
      </c>
      <c r="M51" s="909">
        <f>SUMIFS('Bilateral Assistance, MAIN DATA'!M:M,'Bilateral Assistance, MAIN DATA'!I:I,'Price List, Weapons &amp; Items'!B51)</f>
        <v>0</v>
      </c>
      <c r="N51" s="71">
        <f>COUNTIFS('Bilateral Assistance, MAIN DATA'!M:M,"undisclosed",'Bilateral Assistance, MAIN DATA'!I:I,'Price List, Weapons &amp; Items'!B51)</f>
        <v>2</v>
      </c>
      <c r="O51" s="910">
        <f t="shared" si="4"/>
        <v>0</v>
      </c>
      <c r="P51" s="71">
        <f>IFERROR(IF(SEARCH(B51,_xlfn.ARRAYTOTEXT('Bilateral Assistance, MAIN DATA'!I$1:I$2206))&gt;0,1,""),0)</f>
        <v>0</v>
      </c>
      <c r="Q51" s="71">
        <f>IFERROR(IF(SEARCH(B51,_xlfn.ARRAYTOTEXT('Commercial Assistance'!I$1:I$1400))&gt;0,1,""),0)</f>
        <v>0</v>
      </c>
      <c r="R51" s="905" t="str">
        <f>IF(SUMIFS('Bilateral Assistance, MAIN DATA'!N:N,'Bilateral Assistance, MAIN DATA'!I:I,'Price List, Weapons &amp; Items'!B51)&gt;M51,1,".")</f>
        <v>.</v>
      </c>
    </row>
    <row r="52" spans="1:18" ht="15" customHeight="1">
      <c r="B52" s="901" t="s">
        <v>1256</v>
      </c>
      <c r="C52" s="898" t="s">
        <v>5059</v>
      </c>
      <c r="D52" s="899" t="s">
        <v>5122</v>
      </c>
      <c r="E52" s="900">
        <v>0</v>
      </c>
      <c r="F52" s="900">
        <f t="shared" si="0"/>
        <v>0</v>
      </c>
      <c r="G52" s="892">
        <v>1406812</v>
      </c>
      <c r="H52" s="908" t="str">
        <f t="shared" si="5"/>
        <v>USD</v>
      </c>
      <c r="I52" s="886" t="s">
        <v>5123</v>
      </c>
      <c r="J52" s="901" t="s">
        <v>5089</v>
      </c>
      <c r="K52" s="901" t="s">
        <v>5124</v>
      </c>
      <c r="L52" s="905" t="str">
        <f t="shared" si="2"/>
        <v>no price, 0 count</v>
      </c>
      <c r="M52" s="909">
        <f>SUMIFS('Bilateral Assistance, MAIN DATA'!M:M,'Bilateral Assistance, MAIN DATA'!I:I,'Price List, Weapons &amp; Items'!B52)</f>
        <v>0</v>
      </c>
      <c r="N52" s="71">
        <f>COUNTIFS('Bilateral Assistance, MAIN DATA'!M:M,"undisclosed",'Bilateral Assistance, MAIN DATA'!I:I,'Price List, Weapons &amp; Items'!B52)</f>
        <v>2</v>
      </c>
      <c r="O52" s="910">
        <f t="shared" si="4"/>
        <v>0</v>
      </c>
      <c r="P52" s="71">
        <f>IFERROR(IF(SEARCH(B52,_xlfn.ARRAYTOTEXT('Bilateral Assistance, MAIN DATA'!I$1:I$2206))&gt;0,1,""),0)</f>
        <v>0</v>
      </c>
      <c r="Q52" s="71">
        <f>IFERROR(IF(SEARCH(B52,_xlfn.ARRAYTOTEXT('Commercial Assistance'!I$1:I$1400))&gt;0,1,""),0)</f>
        <v>0</v>
      </c>
      <c r="R52" s="905" t="str">
        <f>IF(SUMIFS('Bilateral Assistance, MAIN DATA'!N:N,'Bilateral Assistance, MAIN DATA'!I:I,'Price List, Weapons &amp; Items'!B52)&gt;M52,1,".")</f>
        <v>.</v>
      </c>
    </row>
    <row r="53" spans="1:18" ht="15" customHeight="1">
      <c r="B53" s="71" t="s">
        <v>1371</v>
      </c>
      <c r="C53" s="898" t="s">
        <v>5062</v>
      </c>
      <c r="D53" s="899" t="s">
        <v>4288</v>
      </c>
      <c r="E53" s="900">
        <v>0</v>
      </c>
      <c r="F53" s="900">
        <f t="shared" si="0"/>
        <v>1</v>
      </c>
      <c r="G53" s="892">
        <v>895040.34</v>
      </c>
      <c r="H53" s="908" t="str">
        <f t="shared" si="5"/>
        <v>USD</v>
      </c>
      <c r="I53" s="887" t="s">
        <v>5125</v>
      </c>
      <c r="J53" s="901" t="s">
        <v>5082</v>
      </c>
      <c r="K53" s="1356" t="s">
        <v>5126</v>
      </c>
      <c r="L53" s="905">
        <f t="shared" si="2"/>
        <v>2</v>
      </c>
      <c r="M53" s="909">
        <f>SUMIFS('Bilateral Assistance, MAIN DATA'!M:M,'Bilateral Assistance, MAIN DATA'!I:I,'Price List, Weapons &amp; Items'!B53)</f>
        <v>24</v>
      </c>
      <c r="N53" s="71">
        <f>COUNTIFS('Bilateral Assistance, MAIN DATA'!M:M,"undisclosed",'Bilateral Assistance, MAIN DATA'!I:I,'Price List, Weapons &amp; Items'!B53)</f>
        <v>1</v>
      </c>
      <c r="O53" s="910">
        <f t="shared" si="4"/>
        <v>21480968.16</v>
      </c>
      <c r="P53" s="71">
        <f>IFERROR(IF(SEARCH(B53,_xlfn.ARRAYTOTEXT('Bilateral Assistance, MAIN DATA'!I$1:I$2206))&gt;0,1,""),0)</f>
        <v>0</v>
      </c>
      <c r="Q53" s="71">
        <f>IFERROR(IF(SEARCH(B53,_xlfn.ARRAYTOTEXT('Commercial Assistance'!I$1:I$1400))&gt;0,1,""),0)</f>
        <v>0</v>
      </c>
      <c r="R53" s="905" t="str">
        <f>IF(SUMIFS('Bilateral Assistance, MAIN DATA'!N:N,'Bilateral Assistance, MAIN DATA'!I:I,'Price List, Weapons &amp; Items'!B53)&gt;M53,1,".")</f>
        <v>.</v>
      </c>
    </row>
    <row r="54" spans="1:18" ht="15" customHeight="1">
      <c r="B54" s="901" t="s">
        <v>3847</v>
      </c>
      <c r="C54" s="898" t="s">
        <v>5059</v>
      </c>
      <c r="D54" s="899" t="s">
        <v>5127</v>
      </c>
      <c r="E54" s="900">
        <v>0</v>
      </c>
      <c r="F54" s="900">
        <f t="shared" si="0"/>
        <v>0</v>
      </c>
      <c r="G54" s="892">
        <v>625000</v>
      </c>
      <c r="H54" s="908" t="str">
        <f t="shared" si="5"/>
        <v>USD</v>
      </c>
      <c r="I54" s="885" t="s">
        <v>5128</v>
      </c>
      <c r="J54" s="901" t="s">
        <v>5119</v>
      </c>
      <c r="K54" s="901" t="s">
        <v>5129</v>
      </c>
      <c r="L54" s="905" t="str">
        <f t="shared" si="2"/>
        <v>no price, 0 count</v>
      </c>
      <c r="M54" s="909">
        <f>SUMIFS('Bilateral Assistance, MAIN DATA'!M:M,'Bilateral Assistance, MAIN DATA'!I:I,'Price List, Weapons &amp; Items'!B54)</f>
        <v>0</v>
      </c>
      <c r="N54" s="71">
        <f>COUNTIFS('Bilateral Assistance, MAIN DATA'!M:M,"undisclosed",'Bilateral Assistance, MAIN DATA'!I:I,'Price List, Weapons &amp; Items'!B54)</f>
        <v>2</v>
      </c>
      <c r="O54" s="910">
        <f t="shared" si="4"/>
        <v>0</v>
      </c>
      <c r="P54" s="71">
        <f>IFERROR(IF(SEARCH(B54,_xlfn.ARRAYTOTEXT('Bilateral Assistance, MAIN DATA'!I$1:I$2206))&gt;0,1,""),0)</f>
        <v>0</v>
      </c>
      <c r="Q54" s="71">
        <f>IFERROR(IF(SEARCH(B54,_xlfn.ARRAYTOTEXT('Commercial Assistance'!I$1:I$1400))&gt;0,1,""),0)</f>
        <v>0</v>
      </c>
      <c r="R54" s="905" t="str">
        <f>IF(SUMIFS('Bilateral Assistance, MAIN DATA'!N:N,'Bilateral Assistance, MAIN DATA'!I:I,'Price List, Weapons &amp; Items'!B54)&gt;M54,1,".")</f>
        <v>.</v>
      </c>
    </row>
    <row r="55" spans="1:18" ht="15" customHeight="1">
      <c r="B55" s="912" t="s">
        <v>4325</v>
      </c>
      <c r="C55" s="898" t="s">
        <v>5059</v>
      </c>
      <c r="D55" s="899" t="s">
        <v>5130</v>
      </c>
      <c r="E55" s="900">
        <v>0</v>
      </c>
      <c r="F55" s="900">
        <f t="shared" si="0"/>
        <v>1</v>
      </c>
      <c r="G55" s="892">
        <v>150000</v>
      </c>
      <c r="H55" s="908" t="str">
        <f t="shared" si="5"/>
        <v>USD</v>
      </c>
      <c r="I55" s="885" t="s">
        <v>5131</v>
      </c>
      <c r="J55" s="901" t="s">
        <v>5080</v>
      </c>
      <c r="K55" s="901" t="s">
        <v>5132</v>
      </c>
      <c r="L55" s="905" t="str">
        <f t="shared" si="2"/>
        <v>no price, 0 count</v>
      </c>
      <c r="M55" s="909">
        <f>SUMIFS('Bilateral Assistance, MAIN DATA'!M:M,'Bilateral Assistance, MAIN DATA'!I:I,'Price List, Weapons &amp; Items'!B55)</f>
        <v>0</v>
      </c>
      <c r="N55" s="71">
        <f>COUNTIFS('Bilateral Assistance, MAIN DATA'!M:M,"undisclosed",'Bilateral Assistance, MAIN DATA'!I:I,'Price List, Weapons &amp; Items'!B55)</f>
        <v>23</v>
      </c>
      <c r="O55" s="910">
        <f t="shared" si="4"/>
        <v>0</v>
      </c>
      <c r="P55" s="71">
        <f>IFERROR(IF(SEARCH(B55,_xlfn.ARRAYTOTEXT('Bilateral Assistance, MAIN DATA'!I$1:I$2206))&gt;0,1,""),0)</f>
        <v>0</v>
      </c>
      <c r="Q55" s="71">
        <f>IFERROR(IF(SEARCH(B55,_xlfn.ARRAYTOTEXT('Commercial Assistance'!I$1:I$1400))&gt;0,1,""),0)</f>
        <v>0</v>
      </c>
      <c r="R55" s="905" t="str">
        <f>IF(SUMIFS('Bilateral Assistance, MAIN DATA'!N:N,'Bilateral Assistance, MAIN DATA'!I:I,'Price List, Weapons &amp; Items'!B55)&gt;M55,1,".")</f>
        <v>.</v>
      </c>
    </row>
    <row r="56" spans="1:18" ht="15" customHeight="1">
      <c r="B56" s="901" t="s">
        <v>2916</v>
      </c>
      <c r="C56" s="898" t="s">
        <v>1105</v>
      </c>
      <c r="D56" s="899" t="s">
        <v>1105</v>
      </c>
      <c r="E56" s="900">
        <v>0</v>
      </c>
      <c r="F56" s="900">
        <f t="shared" si="0"/>
        <v>0</v>
      </c>
      <c r="G56" s="892">
        <v>2497000</v>
      </c>
      <c r="H56" s="908" t="str">
        <f t="shared" si="5"/>
        <v>USD</v>
      </c>
      <c r="I56" s="886" t="s">
        <v>5133</v>
      </c>
      <c r="J56" s="901" t="s">
        <v>5119</v>
      </c>
      <c r="K56" s="917" t="s">
        <v>5134</v>
      </c>
      <c r="L56" s="905" t="str">
        <f t="shared" si="2"/>
        <v>no price, 0 count</v>
      </c>
      <c r="M56" s="909">
        <f>SUMIFS('Bilateral Assistance, MAIN DATA'!M:M,'Bilateral Assistance, MAIN DATA'!I:I,'Price List, Weapons &amp; Items'!B56)</f>
        <v>0</v>
      </c>
      <c r="N56" s="71">
        <f>COUNTIFS('Bilateral Assistance, MAIN DATA'!M:M,"undisclosed",'Bilateral Assistance, MAIN DATA'!I:I,'Price List, Weapons &amp; Items'!B56)</f>
        <v>1</v>
      </c>
      <c r="O56" s="910">
        <f t="shared" si="4"/>
        <v>0</v>
      </c>
      <c r="P56" s="71">
        <f>IFERROR(IF(SEARCH(B56,_xlfn.ARRAYTOTEXT('Bilateral Assistance, MAIN DATA'!I$1:I$2206))&gt;0,1,""),0)</f>
        <v>0</v>
      </c>
      <c r="Q56" s="71">
        <f>IFERROR(IF(SEARCH(B56,_xlfn.ARRAYTOTEXT('Commercial Assistance'!I$1:I$1400))&gt;0,1,""),0)</f>
        <v>0</v>
      </c>
      <c r="R56" s="905" t="str">
        <f>IF(SUMIFS('Bilateral Assistance, MAIN DATA'!N:N,'Bilateral Assistance, MAIN DATA'!I:I,'Price List, Weapons &amp; Items'!B56)&gt;M56,1,".")</f>
        <v>.</v>
      </c>
    </row>
    <row r="57" spans="1:18" ht="15" customHeight="1">
      <c r="B57" s="901" t="s">
        <v>865</v>
      </c>
      <c r="C57" s="898" t="s">
        <v>5135</v>
      </c>
      <c r="D57" s="899" t="s">
        <v>5136</v>
      </c>
      <c r="E57" s="900">
        <v>0</v>
      </c>
      <c r="F57" s="900">
        <f t="shared" si="0"/>
        <v>0</v>
      </c>
      <c r="G57" s="892">
        <v>1090000</v>
      </c>
      <c r="H57" s="908" t="str">
        <f t="shared" si="5"/>
        <v>USD</v>
      </c>
      <c r="I57" s="885" t="s">
        <v>5137</v>
      </c>
      <c r="J57" s="913" t="s">
        <v>5089</v>
      </c>
      <c r="K57" s="901" t="s">
        <v>5138</v>
      </c>
      <c r="L57" s="905" t="str">
        <f t="shared" si="2"/>
        <v>no price, 0 count</v>
      </c>
      <c r="M57" s="909">
        <f>SUMIFS('Bilateral Assistance, MAIN DATA'!M:M,'Bilateral Assistance, MAIN DATA'!I:I,'Price List, Weapons &amp; Items'!B57)</f>
        <v>0</v>
      </c>
      <c r="N57" s="71">
        <f>COUNTIFS('Bilateral Assistance, MAIN DATA'!M:M,"undisclosed",'Bilateral Assistance, MAIN DATA'!I:I,'Price List, Weapons &amp; Items'!B57)</f>
        <v>9</v>
      </c>
      <c r="O57" s="910">
        <f t="shared" si="4"/>
        <v>0</v>
      </c>
      <c r="P57" s="71">
        <f>IFERROR(IF(SEARCH(B57,_xlfn.ARRAYTOTEXT('Bilateral Assistance, MAIN DATA'!I$1:I$2206))&gt;0,1,""),0)</f>
        <v>0</v>
      </c>
      <c r="Q57" s="71">
        <f>IFERROR(IF(SEARCH(B57,_xlfn.ARRAYTOTEXT('Commercial Assistance'!I$1:I$1400))&gt;0,1,""),0)</f>
        <v>0</v>
      </c>
      <c r="R57" s="905" t="str">
        <f>IF(SUMIFS('Bilateral Assistance, MAIN DATA'!N:N,'Bilateral Assistance, MAIN DATA'!I:I,'Price List, Weapons &amp; Items'!B57)&gt;M57,1,".")</f>
        <v>.</v>
      </c>
    </row>
    <row r="58" spans="1:18" ht="15" customHeight="1">
      <c r="B58" s="71" t="s">
        <v>4161</v>
      </c>
      <c r="C58" s="898" t="s">
        <v>5059</v>
      </c>
      <c r="D58" s="899" t="s">
        <v>5136</v>
      </c>
      <c r="E58" s="900">
        <v>0</v>
      </c>
      <c r="F58" s="900">
        <f t="shared" si="0"/>
        <v>0</v>
      </c>
      <c r="G58" s="892">
        <v>557000</v>
      </c>
      <c r="H58" s="900" t="s">
        <v>456</v>
      </c>
      <c r="I58" s="885" t="s">
        <v>5139</v>
      </c>
      <c r="J58" s="913" t="s">
        <v>5089</v>
      </c>
      <c r="K58" s="901" t="s">
        <v>5140</v>
      </c>
      <c r="L58" s="905" t="str">
        <f t="shared" si="2"/>
        <v>no price, 0 count</v>
      </c>
      <c r="M58" s="909">
        <f>SUMIFS('Bilateral Assistance, MAIN DATA'!M:M,'Bilateral Assistance, MAIN DATA'!I:I,'Price List, Weapons &amp; Items'!B58)</f>
        <v>0</v>
      </c>
      <c r="N58" s="71">
        <f>COUNTIFS('Bilateral Assistance, MAIN DATA'!M:M,"undisclosed",'Bilateral Assistance, MAIN DATA'!I:I,'Price List, Weapons &amp; Items'!B58)</f>
        <v>7</v>
      </c>
      <c r="O58" s="910">
        <f t="shared" si="4"/>
        <v>0</v>
      </c>
      <c r="P58" s="71">
        <f>IFERROR(IF(SEARCH(B58,_xlfn.ARRAYTOTEXT('Bilateral Assistance, MAIN DATA'!I$1:I$2206))&gt;0,1,""),0)</f>
        <v>0</v>
      </c>
      <c r="Q58" s="71">
        <f>IFERROR(IF(SEARCH(B58,_xlfn.ARRAYTOTEXT('Commercial Assistance'!I$1:I$1400))&gt;0,1,""),0)</f>
        <v>0</v>
      </c>
      <c r="R58" s="905" t="str">
        <f>IF(SUMIFS('Bilateral Assistance, MAIN DATA'!N:N,'Bilateral Assistance, MAIN DATA'!I:I,'Price List, Weapons &amp; Items'!B58)&gt;M58,1,".")</f>
        <v>.</v>
      </c>
    </row>
    <row r="59" spans="1:18" ht="15" customHeight="1">
      <c r="B59" s="912" t="s">
        <v>5141</v>
      </c>
      <c r="C59" s="898" t="s">
        <v>5070</v>
      </c>
      <c r="D59" s="899" t="s">
        <v>3126</v>
      </c>
      <c r="E59" s="900">
        <v>0</v>
      </c>
      <c r="F59" s="900">
        <f t="shared" si="0"/>
        <v>0</v>
      </c>
      <c r="G59" s="892">
        <v>15000000</v>
      </c>
      <c r="H59" s="908" t="str">
        <f>IF(G59&lt;&gt;".","USD",".")</f>
        <v>USD</v>
      </c>
      <c r="I59" s="885" t="s">
        <v>5107</v>
      </c>
      <c r="J59" s="901" t="s">
        <v>5089</v>
      </c>
      <c r="K59" s="901" t="s">
        <v>5142</v>
      </c>
      <c r="L59" s="905" t="str">
        <f t="shared" si="2"/>
        <v>no price, 0 count</v>
      </c>
      <c r="M59" s="909">
        <f>SUMIFS('Bilateral Assistance, MAIN DATA'!M:M,'Bilateral Assistance, MAIN DATA'!I:I,'Price List, Weapons &amp; Items'!B59)</f>
        <v>0</v>
      </c>
      <c r="N59" s="71">
        <f>COUNTIFS('Bilateral Assistance, MAIN DATA'!M:M,"undisclosed",'Bilateral Assistance, MAIN DATA'!I:I,'Price List, Weapons &amp; Items'!B59)</f>
        <v>1</v>
      </c>
      <c r="O59" s="910">
        <f t="shared" si="4"/>
        <v>0</v>
      </c>
      <c r="P59" s="71">
        <f>IFERROR(IF(SEARCH(B59,_xlfn.ARRAYTOTEXT('Bilateral Assistance, MAIN DATA'!I$1:I$2206))&gt;0,1,""),0)</f>
        <v>0</v>
      </c>
      <c r="Q59" s="71">
        <f>IFERROR(IF(SEARCH(B59,_xlfn.ARRAYTOTEXT('Commercial Assistance'!I$1:I$1400))&gt;0,1,""),0)</f>
        <v>0</v>
      </c>
      <c r="R59" s="905" t="str">
        <f>IF(SUMIFS('Bilateral Assistance, MAIN DATA'!N:N,'Bilateral Assistance, MAIN DATA'!I:I,'Price List, Weapons &amp; Items'!B59)&gt;M59,1,".")</f>
        <v>.</v>
      </c>
    </row>
    <row r="60" spans="1:18" ht="15" customHeight="1">
      <c r="B60" s="915" t="s">
        <v>887</v>
      </c>
      <c r="C60" s="898" t="s">
        <v>5059</v>
      </c>
      <c r="D60" s="899" t="s">
        <v>5143</v>
      </c>
      <c r="E60" s="900">
        <v>0</v>
      </c>
      <c r="F60" s="900">
        <f t="shared" si="0"/>
        <v>0</v>
      </c>
      <c r="G60" s="892">
        <v>1392389.093089018</v>
      </c>
      <c r="H60" s="900" t="s">
        <v>456</v>
      </c>
      <c r="I60" s="891" t="s">
        <v>5074</v>
      </c>
      <c r="J60" s="901" t="s">
        <v>5075</v>
      </c>
      <c r="K60" s="901" t="s">
        <v>5144</v>
      </c>
      <c r="L60" s="905">
        <f t="shared" si="2"/>
        <v>2</v>
      </c>
      <c r="M60" s="909">
        <f>SUMIFS('Bilateral Assistance, MAIN DATA'!M:M,'Bilateral Assistance, MAIN DATA'!I:I,'Price List, Weapons &amp; Items'!B60)</f>
        <v>12</v>
      </c>
      <c r="N60" s="71">
        <f>COUNTIFS('Bilateral Assistance, MAIN DATA'!M:M,"undisclosed",'Bilateral Assistance, MAIN DATA'!I:I,'Price List, Weapons &amp; Items'!B60)</f>
        <v>1</v>
      </c>
      <c r="O60" s="910">
        <f t="shared" si="4"/>
        <v>16708669.117068216</v>
      </c>
      <c r="P60" s="71">
        <f>IFERROR(IF(SEARCH(B60,_xlfn.ARRAYTOTEXT('Bilateral Assistance, MAIN DATA'!I$1:I$2206))&gt;0,1,""),0)</f>
        <v>0</v>
      </c>
      <c r="Q60" s="71">
        <f>IFERROR(IF(SEARCH(B60,_xlfn.ARRAYTOTEXT('Commercial Assistance'!I$1:I$1400))&gt;0,1,""),0)</f>
        <v>0</v>
      </c>
      <c r="R60" s="905" t="str">
        <f>IF(SUMIFS('Bilateral Assistance, MAIN DATA'!N:N,'Bilateral Assistance, MAIN DATA'!I:I,'Price List, Weapons &amp; Items'!B60)&gt;M60,1,".")</f>
        <v>.</v>
      </c>
    </row>
    <row r="61" spans="1:18" ht="15" customHeight="1">
      <c r="B61" s="916" t="s">
        <v>1814</v>
      </c>
      <c r="C61" s="898" t="s">
        <v>5145</v>
      </c>
      <c r="D61" s="898" t="s">
        <v>5146</v>
      </c>
      <c r="E61" s="900">
        <v>0</v>
      </c>
      <c r="F61" s="900">
        <f t="shared" si="0"/>
        <v>0</v>
      </c>
      <c r="G61" s="892">
        <v>19354990.84</v>
      </c>
      <c r="H61" s="900" t="s">
        <v>456</v>
      </c>
      <c r="I61" s="891" t="s">
        <v>5074</v>
      </c>
      <c r="J61" s="901" t="s">
        <v>5075</v>
      </c>
      <c r="K61" s="901" t="s">
        <v>5147</v>
      </c>
      <c r="L61" s="905">
        <f t="shared" si="2"/>
        <v>2</v>
      </c>
      <c r="M61" s="909">
        <f>SUMIFS('Bilateral Assistance, MAIN DATA'!M:M,'Bilateral Assistance, MAIN DATA'!I:I,'Price List, Weapons &amp; Items'!B61)</f>
        <v>1</v>
      </c>
      <c r="N61" s="71">
        <f>COUNTIFS('Bilateral Assistance, MAIN DATA'!M:M,"undisclosed",'Bilateral Assistance, MAIN DATA'!I:I,'Price List, Weapons &amp; Items'!B61)</f>
        <v>0</v>
      </c>
      <c r="O61" s="910">
        <f t="shared" si="4"/>
        <v>19354990.84</v>
      </c>
      <c r="P61" s="71">
        <f>IFERROR(IF(SEARCH(B61,_xlfn.ARRAYTOTEXT('Bilateral Assistance, MAIN DATA'!I$1:I$2206))&gt;0,1,""),0)</f>
        <v>0</v>
      </c>
      <c r="Q61" s="71">
        <f>IFERROR(IF(SEARCH(B61,_xlfn.ARRAYTOTEXT('Commercial Assistance'!I$1:I$1400))&gt;0,1,""),0)</f>
        <v>0</v>
      </c>
      <c r="R61" s="905" t="str">
        <f>IF(SUMIFS('Bilateral Assistance, MAIN DATA'!N:N,'Bilateral Assistance, MAIN DATA'!I:I,'Price List, Weapons &amp; Items'!B61)&gt;M61,1,".")</f>
        <v>.</v>
      </c>
    </row>
    <row r="62" spans="1:18" ht="15" customHeight="1">
      <c r="B62" s="916" t="s">
        <v>1826</v>
      </c>
      <c r="C62" s="898" t="s">
        <v>5059</v>
      </c>
      <c r="D62" s="899" t="s">
        <v>5148</v>
      </c>
      <c r="E62" s="900">
        <v>0</v>
      </c>
      <c r="F62" s="900">
        <f t="shared" si="0"/>
        <v>0</v>
      </c>
      <c r="G62" s="892">
        <v>616680.63641107001</v>
      </c>
      <c r="H62" s="908" t="s">
        <v>456</v>
      </c>
      <c r="I62" s="891" t="s">
        <v>5074</v>
      </c>
      <c r="J62" s="901" t="s">
        <v>5075</v>
      </c>
      <c r="K62" s="901" t="s">
        <v>5144</v>
      </c>
      <c r="L62" s="905" t="str">
        <f t="shared" si="2"/>
        <v>no price, 0 count</v>
      </c>
      <c r="M62" s="909">
        <f>SUMIFS('Bilateral Assistance, MAIN DATA'!M:M,'Bilateral Assistance, MAIN DATA'!I:I,'Price List, Weapons &amp; Items'!B62)</f>
        <v>0</v>
      </c>
      <c r="N62" s="71">
        <f>COUNTIFS('Bilateral Assistance, MAIN DATA'!M:M,"undisclosed",'Bilateral Assistance, MAIN DATA'!I:I,'Price List, Weapons &amp; Items'!B62)</f>
        <v>1</v>
      </c>
      <c r="O62" s="910">
        <f t="shared" si="4"/>
        <v>0</v>
      </c>
      <c r="P62" s="71">
        <f>IFERROR(IF(SEARCH(B62,_xlfn.ARRAYTOTEXT('Bilateral Assistance, MAIN DATA'!I$1:I$2206))&gt;0,1,""),0)</f>
        <v>0</v>
      </c>
      <c r="Q62" s="71">
        <f>IFERROR(IF(SEARCH(B62,_xlfn.ARRAYTOTEXT('Commercial Assistance'!I$1:I$1400))&gt;0,1,""),0)</f>
        <v>0</v>
      </c>
      <c r="R62" s="905" t="str">
        <f>IF(SUMIFS('Bilateral Assistance, MAIN DATA'!N:N,'Bilateral Assistance, MAIN DATA'!I:I,'Price List, Weapons &amp; Items'!B62)&gt;M62,1,".")</f>
        <v>.</v>
      </c>
    </row>
    <row r="63" spans="1:18" ht="15" customHeight="1">
      <c r="B63" s="901" t="s">
        <v>5149</v>
      </c>
      <c r="C63" s="898" t="s">
        <v>5059</v>
      </c>
      <c r="D63" s="899" t="s">
        <v>5150</v>
      </c>
      <c r="E63" s="900">
        <v>0</v>
      </c>
      <c r="F63" s="900">
        <f t="shared" si="0"/>
        <v>1</v>
      </c>
      <c r="G63" s="892">
        <v>625000</v>
      </c>
      <c r="H63" s="908" t="str">
        <f t="shared" ref="H63:H94" si="6">IF(G63&lt;&gt;".","USD",".")</f>
        <v>USD</v>
      </c>
      <c r="I63" s="885" t="s">
        <v>5128</v>
      </c>
      <c r="J63" s="901" t="s">
        <v>5119</v>
      </c>
      <c r="K63" s="901" t="s">
        <v>5151</v>
      </c>
      <c r="L63" s="905" t="str">
        <f t="shared" si="2"/>
        <v>no price, 0 count</v>
      </c>
      <c r="M63" s="909">
        <f>SUMIFS('Bilateral Assistance, MAIN DATA'!M:M,'Bilateral Assistance, MAIN DATA'!I:I,'Price List, Weapons &amp; Items'!B63)</f>
        <v>0</v>
      </c>
      <c r="N63" s="71">
        <f>COUNTIFS('Bilateral Assistance, MAIN DATA'!M:M,"undisclosed",'Bilateral Assistance, MAIN DATA'!I:I,'Price List, Weapons &amp; Items'!B63)</f>
        <v>1</v>
      </c>
      <c r="O63" s="910">
        <f t="shared" si="4"/>
        <v>0</v>
      </c>
      <c r="P63" s="71">
        <f>IFERROR(IF(SEARCH(B63,_xlfn.ARRAYTOTEXT('Bilateral Assistance, MAIN DATA'!I$1:I$2206))&gt;0,1,""),0)</f>
        <v>0</v>
      </c>
      <c r="Q63" s="71">
        <f>IFERROR(IF(SEARCH(B63,_xlfn.ARRAYTOTEXT('Commercial Assistance'!I$1:I$1400))&gt;0,1,""),0)</f>
        <v>0</v>
      </c>
      <c r="R63" s="905" t="str">
        <f>IF(SUMIFS('Bilateral Assistance, MAIN DATA'!N:N,'Bilateral Assistance, MAIN DATA'!I:I,'Price List, Weapons &amp; Items'!B63)&gt;M63,1,".")</f>
        <v>.</v>
      </c>
    </row>
    <row r="64" spans="1:18" s="918" customFormat="1" ht="15" customHeight="1">
      <c r="A64" s="71"/>
      <c r="B64" s="901" t="s">
        <v>649</v>
      </c>
      <c r="C64" s="898" t="s">
        <v>5062</v>
      </c>
      <c r="D64" s="899" t="s">
        <v>5152</v>
      </c>
      <c r="E64" s="900">
        <v>0</v>
      </c>
      <c r="F64" s="900">
        <f t="shared" si="0"/>
        <v>1</v>
      </c>
      <c r="G64" s="892">
        <v>533100</v>
      </c>
      <c r="H64" s="908" t="str">
        <f t="shared" si="6"/>
        <v>USD</v>
      </c>
      <c r="I64" s="885" t="s">
        <v>5153</v>
      </c>
      <c r="J64" s="901" t="s">
        <v>5075</v>
      </c>
      <c r="K64" s="901" t="s">
        <v>5154</v>
      </c>
      <c r="L64" s="905">
        <f t="shared" si="2"/>
        <v>2</v>
      </c>
      <c r="M64" s="909">
        <f>SUMIFS('Bilateral Assistance, MAIN DATA'!M:M,'Bilateral Assistance, MAIN DATA'!I:I,'Price List, Weapons &amp; Items'!B64)</f>
        <v>80</v>
      </c>
      <c r="N64" s="71">
        <f>COUNTIFS('Bilateral Assistance, MAIN DATA'!M:M,"undisclosed",'Bilateral Assistance, MAIN DATA'!I:I,'Price List, Weapons &amp; Items'!B64)</f>
        <v>1</v>
      </c>
      <c r="O64" s="910">
        <f t="shared" si="4"/>
        <v>42648000</v>
      </c>
      <c r="P64" s="71">
        <f>IFERROR(IF(SEARCH(B64,_xlfn.ARRAYTOTEXT('Bilateral Assistance, MAIN DATA'!I$1:I$2206))&gt;0,1,""),0)</f>
        <v>0</v>
      </c>
      <c r="Q64" s="71">
        <f>IFERROR(IF(SEARCH(B64,_xlfn.ARRAYTOTEXT('Commercial Assistance'!I$1:I$1400))&gt;0,1,""),0)</f>
        <v>0</v>
      </c>
      <c r="R64" s="905" t="str">
        <f>IF(SUMIFS('Bilateral Assistance, MAIN DATA'!N:N,'Bilateral Assistance, MAIN DATA'!I:I,'Price List, Weapons &amp; Items'!B64)&gt;M64,1,".")</f>
        <v>.</v>
      </c>
    </row>
    <row r="65" spans="1:18" ht="15" customHeight="1">
      <c r="B65" s="912" t="s">
        <v>2714</v>
      </c>
      <c r="C65" s="898" t="s">
        <v>5062</v>
      </c>
      <c r="D65" s="898" t="s">
        <v>4850</v>
      </c>
      <c r="E65" s="900">
        <v>0</v>
      </c>
      <c r="F65" s="900">
        <f t="shared" si="0"/>
        <v>1</v>
      </c>
      <c r="G65" s="892">
        <v>334029</v>
      </c>
      <c r="H65" s="908" t="str">
        <f t="shared" si="6"/>
        <v>USD</v>
      </c>
      <c r="I65" s="885" t="s">
        <v>5155</v>
      </c>
      <c r="J65" s="901" t="s">
        <v>5075</v>
      </c>
      <c r="K65" s="901" t="s">
        <v>5156</v>
      </c>
      <c r="L65" s="905">
        <f t="shared" si="2"/>
        <v>2</v>
      </c>
      <c r="M65" s="909">
        <f>SUMIFS('Bilateral Assistance, MAIN DATA'!M:M,'Bilateral Assistance, MAIN DATA'!I:I,'Price List, Weapons &amp; Items'!B65)</f>
        <v>196</v>
      </c>
      <c r="N65" s="71">
        <f>COUNTIFS('Bilateral Assistance, MAIN DATA'!M:M,"undisclosed",'Bilateral Assistance, MAIN DATA'!I:I,'Price List, Weapons &amp; Items'!B65)</f>
        <v>0</v>
      </c>
      <c r="O65" s="910">
        <f t="shared" si="4"/>
        <v>65469684</v>
      </c>
      <c r="P65" s="71">
        <f>IFERROR(IF(SEARCH(B65,_xlfn.ARRAYTOTEXT('Bilateral Assistance, MAIN DATA'!I$1:I$2206))&gt;0,1,""),0)</f>
        <v>0</v>
      </c>
      <c r="Q65" s="71">
        <f>IFERROR(IF(SEARCH(B65,_xlfn.ARRAYTOTEXT('Commercial Assistance'!I$1:I$1400))&gt;0,1,""),0)</f>
        <v>0</v>
      </c>
      <c r="R65" s="905" t="str">
        <f>IF(SUMIFS('Bilateral Assistance, MAIN DATA'!N:N,'Bilateral Assistance, MAIN DATA'!I:I,'Price List, Weapons &amp; Items'!B65)&gt;M65,1,".")</f>
        <v>.</v>
      </c>
    </row>
    <row r="66" spans="1:18" ht="15" customHeight="1">
      <c r="B66" s="915" t="s">
        <v>2521</v>
      </c>
      <c r="C66" s="898" t="s">
        <v>5062</v>
      </c>
      <c r="D66" s="899" t="s">
        <v>5157</v>
      </c>
      <c r="E66" s="900">
        <v>0</v>
      </c>
      <c r="F66" s="900">
        <f t="shared" si="0"/>
        <v>1</v>
      </c>
      <c r="G66" s="892">
        <v>326778</v>
      </c>
      <c r="H66" s="908" t="str">
        <f t="shared" si="6"/>
        <v>USD</v>
      </c>
      <c r="I66" s="887" t="s">
        <v>5158</v>
      </c>
      <c r="J66" s="901" t="s">
        <v>5075</v>
      </c>
      <c r="K66" s="1356" t="s">
        <v>5159</v>
      </c>
      <c r="L66" s="905">
        <f t="shared" si="2"/>
        <v>1</v>
      </c>
      <c r="M66" s="909">
        <f>SUMIFS('Bilateral Assistance, MAIN DATA'!M:M,'Bilateral Assistance, MAIN DATA'!I:I,'Price List, Weapons &amp; Items'!B66)</f>
        <v>2</v>
      </c>
      <c r="N66" s="71">
        <f>COUNTIFS('Bilateral Assistance, MAIN DATA'!M:M,"undisclosed",'Bilateral Assistance, MAIN DATA'!I:I,'Price List, Weapons &amp; Items'!B66)</f>
        <v>1</v>
      </c>
      <c r="O66" s="910">
        <f t="shared" si="4"/>
        <v>653556</v>
      </c>
      <c r="P66" s="71">
        <f>IFERROR(IF(SEARCH(B66,_xlfn.ARRAYTOTEXT('Bilateral Assistance, MAIN DATA'!I$1:I$2206))&gt;0,1,""),0)</f>
        <v>0</v>
      </c>
      <c r="Q66" s="71">
        <f>IFERROR(IF(SEARCH(B66,_xlfn.ARRAYTOTEXT('Commercial Assistance'!I$1:I$1400))&gt;0,1,""),0)</f>
        <v>0</v>
      </c>
      <c r="R66" s="905" t="str">
        <f>IF(SUMIFS('Bilateral Assistance, MAIN DATA'!N:N,'Bilateral Assistance, MAIN DATA'!I:I,'Price List, Weapons &amp; Items'!B66)&gt;M66,1,".")</f>
        <v>.</v>
      </c>
    </row>
    <row r="67" spans="1:18" ht="15" customHeight="1">
      <c r="B67" s="901" t="s">
        <v>2252</v>
      </c>
      <c r="C67" s="898" t="s">
        <v>5062</v>
      </c>
      <c r="D67" s="899" t="s">
        <v>5157</v>
      </c>
      <c r="E67" s="900">
        <v>0</v>
      </c>
      <c r="F67" s="900">
        <f t="shared" si="0"/>
        <v>1</v>
      </c>
      <c r="G67" s="892">
        <v>300000</v>
      </c>
      <c r="H67" s="908" t="str">
        <f t="shared" si="6"/>
        <v>USD</v>
      </c>
      <c r="I67" s="885" t="s">
        <v>5160</v>
      </c>
      <c r="J67" s="901" t="s">
        <v>5089</v>
      </c>
      <c r="K67" s="901" t="s">
        <v>5161</v>
      </c>
      <c r="L67" s="905" t="str">
        <f t="shared" si="2"/>
        <v>no price, 0 count</v>
      </c>
      <c r="M67" s="909">
        <f>SUMIFS('Bilateral Assistance, MAIN DATA'!M:M,'Bilateral Assistance, MAIN DATA'!I:I,'Price List, Weapons &amp; Items'!B67)</f>
        <v>0</v>
      </c>
      <c r="N67" s="71">
        <f>COUNTIFS('Bilateral Assistance, MAIN DATA'!M:M,"undisclosed",'Bilateral Assistance, MAIN DATA'!I:I,'Price List, Weapons &amp; Items'!B67)</f>
        <v>1</v>
      </c>
      <c r="O67" s="910">
        <f t="shared" si="4"/>
        <v>0</v>
      </c>
      <c r="P67" s="71">
        <f>IFERROR(IF(SEARCH(B67,_xlfn.ARRAYTOTEXT('Bilateral Assistance, MAIN DATA'!I$1:I$2206))&gt;0,1,""),0)</f>
        <v>0</v>
      </c>
      <c r="Q67" s="71">
        <f>IFERROR(IF(SEARCH(B67,_xlfn.ARRAYTOTEXT('Commercial Assistance'!I$1:I$1400))&gt;0,1,""),0)</f>
        <v>0</v>
      </c>
      <c r="R67" s="905" t="str">
        <f>IF(SUMIFS('Bilateral Assistance, MAIN DATA'!N:N,'Bilateral Assistance, MAIN DATA'!I:I,'Price List, Weapons &amp; Items'!B67)&gt;M67,1,".")</f>
        <v>.</v>
      </c>
    </row>
    <row r="68" spans="1:18" s="919" customFormat="1" ht="15" customHeight="1">
      <c r="A68" s="71"/>
      <c r="B68" s="912" t="s">
        <v>4231</v>
      </c>
      <c r="C68" s="898" t="s">
        <v>5059</v>
      </c>
      <c r="D68" s="899" t="s">
        <v>5162</v>
      </c>
      <c r="E68" s="900">
        <v>0</v>
      </c>
      <c r="F68" s="900">
        <f t="shared" si="0"/>
        <v>1</v>
      </c>
      <c r="G68" s="892">
        <v>625000</v>
      </c>
      <c r="H68" s="908" t="str">
        <f t="shared" si="6"/>
        <v>USD</v>
      </c>
      <c r="I68" s="885" t="s">
        <v>5128</v>
      </c>
      <c r="J68" s="901" t="s">
        <v>5119</v>
      </c>
      <c r="K68" s="901" t="s">
        <v>5163</v>
      </c>
      <c r="L68" s="905" t="str">
        <f t="shared" si="2"/>
        <v>no price, 0 count</v>
      </c>
      <c r="M68" s="909">
        <f>SUMIFS('Bilateral Assistance, MAIN DATA'!M:M,'Bilateral Assistance, MAIN DATA'!I:I,'Price List, Weapons &amp; Items'!B68)</f>
        <v>0</v>
      </c>
      <c r="N68" s="71">
        <f>COUNTIFS('Bilateral Assistance, MAIN DATA'!M:M,"undisclosed",'Bilateral Assistance, MAIN DATA'!I:I,'Price List, Weapons &amp; Items'!B68)</f>
        <v>1</v>
      </c>
      <c r="O68" s="910">
        <f t="shared" si="4"/>
        <v>0</v>
      </c>
      <c r="P68" s="71">
        <f>IFERROR(IF(SEARCH(B68,_xlfn.ARRAYTOTEXT('Bilateral Assistance, MAIN DATA'!I$1:I$2206))&gt;0,1,""),0)</f>
        <v>0</v>
      </c>
      <c r="Q68" s="71">
        <f>IFERROR(IF(SEARCH(B68,_xlfn.ARRAYTOTEXT('Commercial Assistance'!I$1:I$1400))&gt;0,1,""),0)</f>
        <v>0</v>
      </c>
      <c r="R68" s="905" t="str">
        <f>IF(SUMIFS('Bilateral Assistance, MAIN DATA'!N:N,'Bilateral Assistance, MAIN DATA'!I:I,'Price List, Weapons &amp; Items'!B68)&gt;M68,1,".")</f>
        <v>.</v>
      </c>
    </row>
    <row r="69" spans="1:18" ht="15" customHeight="1">
      <c r="B69" s="912" t="s">
        <v>4259</v>
      </c>
      <c r="C69" s="898" t="s">
        <v>5070</v>
      </c>
      <c r="D69" s="899" t="s">
        <v>3126</v>
      </c>
      <c r="E69" s="900">
        <v>0</v>
      </c>
      <c r="F69" s="900">
        <f t="shared" si="0"/>
        <v>0</v>
      </c>
      <c r="G69" s="892">
        <v>250000</v>
      </c>
      <c r="H69" s="908" t="str">
        <f t="shared" si="6"/>
        <v>USD</v>
      </c>
      <c r="I69" s="885" t="s">
        <v>5164</v>
      </c>
      <c r="J69" s="901" t="s">
        <v>5080</v>
      </c>
      <c r="K69" s="901" t="s">
        <v>5165</v>
      </c>
      <c r="L69" s="905" t="str">
        <f t="shared" si="2"/>
        <v>no price, 0 count</v>
      </c>
      <c r="M69" s="909">
        <f>SUMIFS('Bilateral Assistance, MAIN DATA'!M:M,'Bilateral Assistance, MAIN DATA'!I:I,'Price List, Weapons &amp; Items'!B69)</f>
        <v>0</v>
      </c>
      <c r="N69" s="71">
        <f>COUNTIFS('Bilateral Assistance, MAIN DATA'!M:M,"undisclosed",'Bilateral Assistance, MAIN DATA'!I:I,'Price List, Weapons &amp; Items'!B69)</f>
        <v>3</v>
      </c>
      <c r="O69" s="910">
        <f t="shared" si="4"/>
        <v>0</v>
      </c>
      <c r="P69" s="71">
        <f>IFERROR(IF(SEARCH(B69,_xlfn.ARRAYTOTEXT('Bilateral Assistance, MAIN DATA'!I$1:I$2206))&gt;0,1,""),0)</f>
        <v>0</v>
      </c>
      <c r="Q69" s="71">
        <f>IFERROR(IF(SEARCH(B69,_xlfn.ARRAYTOTEXT('Commercial Assistance'!I$1:I$1400))&gt;0,1,""),0)</f>
        <v>0</v>
      </c>
      <c r="R69" s="905" t="str">
        <f>IF(SUMIFS('Bilateral Assistance, MAIN DATA'!N:N,'Bilateral Assistance, MAIN DATA'!I:I,'Price List, Weapons &amp; Items'!B69)&gt;M69,1,".")</f>
        <v>.</v>
      </c>
    </row>
    <row r="70" spans="1:18" ht="15" customHeight="1">
      <c r="B70" s="901" t="s">
        <v>3843</v>
      </c>
      <c r="C70" s="898" t="s">
        <v>5059</v>
      </c>
      <c r="D70" s="899" t="s">
        <v>5166</v>
      </c>
      <c r="E70" s="900">
        <v>0</v>
      </c>
      <c r="F70" s="900">
        <f t="shared" si="0"/>
        <v>0</v>
      </c>
      <c r="G70" s="892">
        <v>220000</v>
      </c>
      <c r="H70" s="908" t="str">
        <f t="shared" si="6"/>
        <v>USD</v>
      </c>
      <c r="I70" s="890" t="s">
        <v>5167</v>
      </c>
      <c r="J70" s="901" t="s">
        <v>5119</v>
      </c>
      <c r="K70" s="901" t="s">
        <v>5168</v>
      </c>
      <c r="L70" s="905">
        <f t="shared" si="2"/>
        <v>2</v>
      </c>
      <c r="M70" s="909">
        <f>SUMIFS('Bilateral Assistance, MAIN DATA'!M:M,'Bilateral Assistance, MAIN DATA'!I:I,'Price List, Weapons &amp; Items'!B70)</f>
        <v>800</v>
      </c>
      <c r="N70" s="71">
        <f>COUNTIFS('Bilateral Assistance, MAIN DATA'!M:M,"undisclosed",'Bilateral Assistance, MAIN DATA'!I:I,'Price List, Weapons &amp; Items'!B70)</f>
        <v>0</v>
      </c>
      <c r="O70" s="910">
        <f t="shared" si="4"/>
        <v>176000000</v>
      </c>
      <c r="P70" s="71">
        <f>IFERROR(IF(SEARCH(B70,_xlfn.ARRAYTOTEXT('Bilateral Assistance, MAIN DATA'!I$1:I$2206))&gt;0,1,""),0)</f>
        <v>0</v>
      </c>
      <c r="Q70" s="71">
        <f>IFERROR(IF(SEARCH(B70,_xlfn.ARRAYTOTEXT('Commercial Assistance'!I$1:I$1400))&gt;0,1,""),0)</f>
        <v>0</v>
      </c>
      <c r="R70" s="905" t="str">
        <f>IF(SUMIFS('Bilateral Assistance, MAIN DATA'!N:N,'Bilateral Assistance, MAIN DATA'!I:I,'Price List, Weapons &amp; Items'!B70)&gt;M70,1,".")</f>
        <v>.</v>
      </c>
    </row>
    <row r="71" spans="1:18" ht="15" customHeight="1">
      <c r="B71" s="901" t="s">
        <v>1245</v>
      </c>
      <c r="C71" s="898" t="s">
        <v>5056</v>
      </c>
      <c r="D71" s="899" t="s">
        <v>5169</v>
      </c>
      <c r="E71" s="900">
        <v>0</v>
      </c>
      <c r="F71" s="900">
        <f t="shared" si="0"/>
        <v>0</v>
      </c>
      <c r="G71" s="892">
        <v>10658</v>
      </c>
      <c r="H71" s="908" t="str">
        <f t="shared" si="6"/>
        <v>USD</v>
      </c>
      <c r="I71" s="885" t="s">
        <v>5170</v>
      </c>
      <c r="J71" s="901" t="s">
        <v>5082</v>
      </c>
      <c r="K71" s="901" t="s">
        <v>5171</v>
      </c>
      <c r="L71" s="905" t="str">
        <f t="shared" si="2"/>
        <v>no price, 0 count</v>
      </c>
      <c r="M71" s="909">
        <f>SUMIFS('Bilateral Assistance, MAIN DATA'!M:M,'Bilateral Assistance, MAIN DATA'!I:I,'Price List, Weapons &amp; Items'!B71)</f>
        <v>0</v>
      </c>
      <c r="N71" s="71">
        <f>COUNTIFS('Bilateral Assistance, MAIN DATA'!M:M,"undisclosed",'Bilateral Assistance, MAIN DATA'!I:I,'Price List, Weapons &amp; Items'!B71)</f>
        <v>1</v>
      </c>
      <c r="O71" s="910">
        <f t="shared" si="4"/>
        <v>0</v>
      </c>
      <c r="P71" s="71">
        <f>IFERROR(IF(SEARCH(B71,_xlfn.ARRAYTOTEXT('Bilateral Assistance, MAIN DATA'!I$1:I$2206))&gt;0,1,""),0)</f>
        <v>0</v>
      </c>
      <c r="Q71" s="71">
        <f>IFERROR(IF(SEARCH(B71,_xlfn.ARRAYTOTEXT('Commercial Assistance'!I$1:I$1400))&gt;0,1,""),0)</f>
        <v>0</v>
      </c>
      <c r="R71" s="905" t="str">
        <f>IF(SUMIFS('Bilateral Assistance, MAIN DATA'!N:N,'Bilateral Assistance, MAIN DATA'!I:I,'Price List, Weapons &amp; Items'!B71)&gt;M71,1,".")</f>
        <v>.</v>
      </c>
    </row>
    <row r="72" spans="1:18" ht="15" customHeight="1">
      <c r="B72" s="901" t="s">
        <v>3906</v>
      </c>
      <c r="C72" s="898" t="s">
        <v>5059</v>
      </c>
      <c r="D72" s="899" t="s">
        <v>5130</v>
      </c>
      <c r="E72" s="900">
        <v>0</v>
      </c>
      <c r="F72" s="900">
        <f t="shared" si="0"/>
        <v>1</v>
      </c>
      <c r="G72" s="892">
        <v>168000</v>
      </c>
      <c r="H72" s="908" t="str">
        <f t="shared" si="6"/>
        <v>USD</v>
      </c>
      <c r="I72" s="885" t="s">
        <v>5172</v>
      </c>
      <c r="J72" s="901" t="s">
        <v>5082</v>
      </c>
      <c r="K72" s="901" t="s">
        <v>5173</v>
      </c>
      <c r="L72" s="905" t="str">
        <f t="shared" si="2"/>
        <v>no price, 0 count</v>
      </c>
      <c r="M72" s="909">
        <f>SUMIFS('Bilateral Assistance, MAIN DATA'!M:M,'Bilateral Assistance, MAIN DATA'!I:I,'Price List, Weapons &amp; Items'!B72)</f>
        <v>0</v>
      </c>
      <c r="N72" s="71">
        <f>COUNTIFS('Bilateral Assistance, MAIN DATA'!M:M,"undisclosed",'Bilateral Assistance, MAIN DATA'!I:I,'Price List, Weapons &amp; Items'!B72)</f>
        <v>2</v>
      </c>
      <c r="O72" s="910">
        <f t="shared" si="4"/>
        <v>0</v>
      </c>
      <c r="P72" s="71">
        <f>IFERROR(IF(SEARCH(B72,_xlfn.ARRAYTOTEXT('Bilateral Assistance, MAIN DATA'!I$1:I$2206))&gt;0,1,""),0)</f>
        <v>0</v>
      </c>
      <c r="Q72" s="71">
        <f>IFERROR(IF(SEARCH(B72,_xlfn.ARRAYTOTEXT('Commercial Assistance'!I$1:I$1400))&gt;0,1,""),0)</f>
        <v>0</v>
      </c>
      <c r="R72" s="905" t="str">
        <f>IF(SUMIFS('Bilateral Assistance, MAIN DATA'!N:N,'Bilateral Assistance, MAIN DATA'!I:I,'Price List, Weapons &amp; Items'!B72)&gt;M72,1,".")</f>
        <v>.</v>
      </c>
    </row>
    <row r="73" spans="1:18" ht="15" customHeight="1">
      <c r="B73" s="901" t="s">
        <v>3016</v>
      </c>
      <c r="C73" s="898" t="s">
        <v>5099</v>
      </c>
      <c r="D73" s="899" t="s">
        <v>5100</v>
      </c>
      <c r="E73" s="900">
        <v>0</v>
      </c>
      <c r="F73" s="900">
        <f t="shared" si="0"/>
        <v>0</v>
      </c>
      <c r="G73" s="892">
        <v>155476</v>
      </c>
      <c r="H73" s="908" t="str">
        <f t="shared" si="6"/>
        <v>USD</v>
      </c>
      <c r="I73" s="886" t="s">
        <v>5174</v>
      </c>
      <c r="J73" s="901" t="s">
        <v>5082</v>
      </c>
      <c r="K73" s="901" t="s">
        <v>5175</v>
      </c>
      <c r="L73" s="905" t="str">
        <f t="shared" si="2"/>
        <v>no price, 0 count</v>
      </c>
      <c r="M73" s="909">
        <f>SUMIFS('Bilateral Assistance, MAIN DATA'!M:M,'Bilateral Assistance, MAIN DATA'!I:I,'Price List, Weapons &amp; Items'!B73)</f>
        <v>0</v>
      </c>
      <c r="N73" s="71">
        <f>COUNTIFS('Bilateral Assistance, MAIN DATA'!M:M,"undisclosed",'Bilateral Assistance, MAIN DATA'!I:I,'Price List, Weapons &amp; Items'!B73)</f>
        <v>1</v>
      </c>
      <c r="O73" s="910">
        <f t="shared" si="4"/>
        <v>0</v>
      </c>
      <c r="P73" s="71">
        <f>IFERROR(IF(SEARCH(B73,_xlfn.ARRAYTOTEXT('Bilateral Assistance, MAIN DATA'!I$1:I$2206))&gt;0,1,""),0)</f>
        <v>0</v>
      </c>
      <c r="Q73" s="71">
        <f>IFERROR(IF(SEARCH(B73,_xlfn.ARRAYTOTEXT('Commercial Assistance'!I$1:I$1400))&gt;0,1,""),0)</f>
        <v>0</v>
      </c>
      <c r="R73" s="905" t="str">
        <f>IF(SUMIFS('Bilateral Assistance, MAIN DATA'!N:N,'Bilateral Assistance, MAIN DATA'!I:I,'Price List, Weapons &amp; Items'!B73)&gt;M73,1,".")</f>
        <v>.</v>
      </c>
    </row>
    <row r="74" spans="1:18" ht="15" customHeight="1">
      <c r="B74" s="901" t="s">
        <v>5176</v>
      </c>
      <c r="C74" s="898" t="s">
        <v>5177</v>
      </c>
      <c r="D74" s="899" t="s">
        <v>5178</v>
      </c>
      <c r="E74" s="900">
        <v>0</v>
      </c>
      <c r="F74" s="900">
        <f t="shared" si="0"/>
        <v>0</v>
      </c>
      <c r="G74" s="892">
        <v>194000</v>
      </c>
      <c r="H74" s="908" t="str">
        <f t="shared" si="6"/>
        <v>USD</v>
      </c>
      <c r="I74" s="886" t="s">
        <v>5074</v>
      </c>
      <c r="J74" s="901" t="s">
        <v>5075</v>
      </c>
      <c r="K74" s="901" t="s">
        <v>5179</v>
      </c>
      <c r="L74" s="905" t="str">
        <f t="shared" si="2"/>
        <v>no price, 0 count</v>
      </c>
      <c r="M74" s="909">
        <f>SUMIFS('Bilateral Assistance, MAIN DATA'!M:M,'Bilateral Assistance, MAIN DATA'!I:I,'Price List, Weapons &amp; Items'!B74)</f>
        <v>0</v>
      </c>
      <c r="N74" s="71">
        <f>COUNTIFS('Bilateral Assistance, MAIN DATA'!M:M,"undisclosed",'Bilateral Assistance, MAIN DATA'!I:I,'Price List, Weapons &amp; Items'!B74)</f>
        <v>2</v>
      </c>
      <c r="O74" s="910">
        <f t="shared" si="4"/>
        <v>0</v>
      </c>
      <c r="P74" s="71">
        <f>IFERROR(IF(SEARCH(B74,_xlfn.ARRAYTOTEXT('Bilateral Assistance, MAIN DATA'!I$1:I$2206))&gt;0,1,""),0)</f>
        <v>0</v>
      </c>
      <c r="Q74" s="71">
        <f>IFERROR(IF(SEARCH(B74,_xlfn.ARRAYTOTEXT('Commercial Assistance'!I$1:I$1400))&gt;0,1,""),0)</f>
        <v>0</v>
      </c>
      <c r="R74" s="905" t="str">
        <f>IF(SUMIFS('Bilateral Assistance, MAIN DATA'!N:N,'Bilateral Assistance, MAIN DATA'!I:I,'Price List, Weapons &amp; Items'!B74)&gt;M74,1,".")</f>
        <v>.</v>
      </c>
    </row>
    <row r="75" spans="1:18" ht="15" customHeight="1">
      <c r="B75" s="901" t="s">
        <v>3469</v>
      </c>
      <c r="C75" s="898" t="s">
        <v>5059</v>
      </c>
      <c r="D75" s="899" t="s">
        <v>5148</v>
      </c>
      <c r="E75" s="900">
        <v>0</v>
      </c>
      <c r="F75" s="900">
        <f t="shared" si="0"/>
        <v>0</v>
      </c>
      <c r="G75" s="892">
        <v>100000</v>
      </c>
      <c r="H75" s="908" t="str">
        <f t="shared" si="6"/>
        <v>USD</v>
      </c>
      <c r="I75" s="885" t="s">
        <v>5180</v>
      </c>
      <c r="J75" s="901" t="s">
        <v>5082</v>
      </c>
      <c r="K75" s="901" t="s">
        <v>5181</v>
      </c>
      <c r="L75" s="905" t="str">
        <f t="shared" si="2"/>
        <v>no price, 0 count</v>
      </c>
      <c r="M75" s="909">
        <f>SUMIFS('Bilateral Assistance, MAIN DATA'!M:M,'Bilateral Assistance, MAIN DATA'!I:I,'Price List, Weapons &amp; Items'!B75)</f>
        <v>0</v>
      </c>
      <c r="N75" s="71">
        <f>COUNTIFS('Bilateral Assistance, MAIN DATA'!M:M,"undisclosed",'Bilateral Assistance, MAIN DATA'!I:I,'Price List, Weapons &amp; Items'!B75)</f>
        <v>2</v>
      </c>
      <c r="O75" s="910">
        <f t="shared" si="4"/>
        <v>0</v>
      </c>
      <c r="P75" s="71">
        <f>IFERROR(IF(SEARCH(B75,_xlfn.ARRAYTOTEXT('Bilateral Assistance, MAIN DATA'!I$1:I$2206))&gt;0,1,""),0)</f>
        <v>0</v>
      </c>
      <c r="Q75" s="71">
        <f>IFERROR(IF(SEARCH(B75,_xlfn.ARRAYTOTEXT('Commercial Assistance'!I$1:I$1400))&gt;0,1,""),0)</f>
        <v>0</v>
      </c>
      <c r="R75" s="905" t="str">
        <f>IF(SUMIFS('Bilateral Assistance, MAIN DATA'!N:N,'Bilateral Assistance, MAIN DATA'!I:I,'Price List, Weapons &amp; Items'!B75)&gt;M75,1,".")</f>
        <v>.</v>
      </c>
    </row>
    <row r="76" spans="1:18" ht="15" customHeight="1">
      <c r="B76" s="901" t="s">
        <v>1376</v>
      </c>
      <c r="C76" s="898" t="s">
        <v>5062</v>
      </c>
      <c r="D76" s="899" t="s">
        <v>5182</v>
      </c>
      <c r="E76" s="900">
        <v>1</v>
      </c>
      <c r="F76" s="900">
        <f t="shared" ref="F76:F139" si="7">IF(OR(D76="Armored Personnel Carrier (APC)",D76="Armored Recovery Vehicle (ARV)",D76="Armored Utility Vehicle (AUV)",D76="152mm howitzer ammunition",D76="155mm howitzer ammunition",D76="300mm MLRS ammunition",D76="155mm howitzer",D76="227mm MLRS ammunition",D76="Infantry fighting vehicle (IFV)",D76="152mm howitzer",D76="227mm MLRS",D76="Main Battle Tank (MBT)",D76="Protected Patrol Vehicle (PPV)",D76="127mm MLRS",D76="122mm MLRS",D76="122mm MLRS ammunition",D76="122mm MLRS",D76="127mm MLRS",D76="127mm MLRS ammunition")=TRUE,1,0)</f>
        <v>0</v>
      </c>
      <c r="G76" s="892">
        <v>80503.62</v>
      </c>
      <c r="H76" s="908" t="str">
        <f t="shared" si="6"/>
        <v>USD</v>
      </c>
      <c r="I76" s="885" t="s">
        <v>5074</v>
      </c>
      <c r="J76" s="901" t="s">
        <v>5075</v>
      </c>
      <c r="K76" s="901" t="s">
        <v>5144</v>
      </c>
      <c r="L76" s="905">
        <f t="shared" ref="L76:L139" si="8">IF(C76="Humanitarian",0,IF(M76&gt;0,IF(TYPE(O76)=1,IF(O76&gt;MEDIAN(O:O),2,1),0),"no price, 0 count"))</f>
        <v>1</v>
      </c>
      <c r="M76" s="909">
        <f>SUMIFS('Bilateral Assistance, MAIN DATA'!M:M,'Bilateral Assistance, MAIN DATA'!I:I,'Price List, Weapons &amp; Items'!B76)</f>
        <v>24</v>
      </c>
      <c r="N76" s="71">
        <f>COUNTIFS('Bilateral Assistance, MAIN DATA'!M:M,"undisclosed",'Bilateral Assistance, MAIN DATA'!I:I,'Price List, Weapons &amp; Items'!B76)</f>
        <v>1</v>
      </c>
      <c r="O76" s="910">
        <f t="shared" ref="O76:O139" si="9">IFERROR(M76*G76,"no price")</f>
        <v>1932086.88</v>
      </c>
      <c r="P76" s="71">
        <f>IFERROR(IF(SEARCH(B76,_xlfn.ARRAYTOTEXT('Bilateral Assistance, MAIN DATA'!I$1:I$2206))&gt;0,1,""),0)</f>
        <v>0</v>
      </c>
      <c r="Q76" s="71">
        <f>IFERROR(IF(SEARCH(B76,_xlfn.ARRAYTOTEXT('Commercial Assistance'!I$1:I$1400))&gt;0,1,""),0)</f>
        <v>0</v>
      </c>
      <c r="R76" s="905" t="str">
        <f>IF(SUMIFS('Bilateral Assistance, MAIN DATA'!N:N,'Bilateral Assistance, MAIN DATA'!I:I,'Price List, Weapons &amp; Items'!B76)&gt;M76,1,".")</f>
        <v>.</v>
      </c>
    </row>
    <row r="77" spans="1:18" ht="15" customHeight="1">
      <c r="B77" s="912" t="s">
        <v>5183</v>
      </c>
      <c r="C77" s="898" t="s">
        <v>5059</v>
      </c>
      <c r="D77" s="899" t="s">
        <v>5184</v>
      </c>
      <c r="E77" s="900">
        <v>1</v>
      </c>
      <c r="F77" s="900">
        <f t="shared" si="7"/>
        <v>0</v>
      </c>
      <c r="G77" s="892">
        <v>71120.78</v>
      </c>
      <c r="H77" s="908" t="str">
        <f t="shared" si="6"/>
        <v>USD</v>
      </c>
      <c r="I77" s="885" t="s">
        <v>5185</v>
      </c>
      <c r="J77" s="901" t="s">
        <v>5089</v>
      </c>
      <c r="K77" s="901" t="s">
        <v>5186</v>
      </c>
      <c r="L77" s="905" t="str">
        <f t="shared" si="8"/>
        <v>no price, 0 count</v>
      </c>
      <c r="M77" s="909">
        <f>SUMIFS('Bilateral Assistance, MAIN DATA'!M:M,'Bilateral Assistance, MAIN DATA'!I:I,'Price List, Weapons &amp; Items'!B77)</f>
        <v>0</v>
      </c>
      <c r="N77" s="71">
        <f>COUNTIFS('Bilateral Assistance, MAIN DATA'!M:M,"undisclosed",'Bilateral Assistance, MAIN DATA'!I:I,'Price List, Weapons &amp; Items'!B77)</f>
        <v>0</v>
      </c>
      <c r="O77" s="910">
        <f t="shared" si="9"/>
        <v>0</v>
      </c>
      <c r="P77" s="71">
        <f>IFERROR(IF(SEARCH(B77,_xlfn.ARRAYTOTEXT('Bilateral Assistance, MAIN DATA'!I$1:I$2206))&gt;0,1,""),0)</f>
        <v>0</v>
      </c>
      <c r="Q77" s="71">
        <f>IFERROR(IF(SEARCH(B77,_xlfn.ARRAYTOTEXT('Commercial Assistance'!I$1:I$1400))&gt;0,1,""),0)</f>
        <v>0</v>
      </c>
      <c r="R77" s="905" t="str">
        <f>IF(SUMIFS('Bilateral Assistance, MAIN DATA'!N:N,'Bilateral Assistance, MAIN DATA'!I:I,'Price List, Weapons &amp; Items'!B77)&gt;M77,1,".")</f>
        <v>.</v>
      </c>
    </row>
    <row r="78" spans="1:18" ht="15" customHeight="1">
      <c r="B78" s="912" t="s">
        <v>5187</v>
      </c>
      <c r="C78" s="898" t="s">
        <v>5056</v>
      </c>
      <c r="D78" s="899" t="s">
        <v>5069</v>
      </c>
      <c r="E78" s="900">
        <v>0</v>
      </c>
      <c r="F78" s="900">
        <f t="shared" si="7"/>
        <v>0</v>
      </c>
      <c r="G78" s="892">
        <v>5300</v>
      </c>
      <c r="H78" s="908" t="str">
        <f t="shared" si="6"/>
        <v>USD</v>
      </c>
      <c r="I78" s="886" t="s">
        <v>5188</v>
      </c>
      <c r="J78" s="901" t="s">
        <v>5089</v>
      </c>
      <c r="K78" s="901" t="s">
        <v>5189</v>
      </c>
      <c r="L78" s="905" t="str">
        <f t="shared" si="8"/>
        <v>no price, 0 count</v>
      </c>
      <c r="M78" s="909">
        <f>SUMIFS('Bilateral Assistance, MAIN DATA'!M:M,'Bilateral Assistance, MAIN DATA'!I:I,'Price List, Weapons &amp; Items'!B78)</f>
        <v>0</v>
      </c>
      <c r="N78" s="71">
        <f>COUNTIFS('Bilateral Assistance, MAIN DATA'!M:M,"undisclosed",'Bilateral Assistance, MAIN DATA'!I:I,'Price List, Weapons &amp; Items'!B78)</f>
        <v>1</v>
      </c>
      <c r="O78" s="910">
        <f t="shared" si="9"/>
        <v>0</v>
      </c>
      <c r="P78" s="71">
        <f>IFERROR(IF(SEARCH(B78,_xlfn.ARRAYTOTEXT('Bilateral Assistance, MAIN DATA'!I$1:I$2206))&gt;0,1,""),0)</f>
        <v>0</v>
      </c>
      <c r="Q78" s="71">
        <f>IFERROR(IF(SEARCH(B78,_xlfn.ARRAYTOTEXT('Commercial Assistance'!I$1:I$1400))&gt;0,1,""),0)</f>
        <v>0</v>
      </c>
      <c r="R78" s="905" t="str">
        <f>IF(SUMIFS('Bilateral Assistance, MAIN DATA'!N:N,'Bilateral Assistance, MAIN DATA'!I:I,'Price List, Weapons &amp; Items'!B78)&gt;M78,1,".")</f>
        <v>.</v>
      </c>
    </row>
    <row r="79" spans="1:18" ht="15" customHeight="1">
      <c r="B79" s="901" t="s">
        <v>2633</v>
      </c>
      <c r="C79" s="898" t="s">
        <v>1105</v>
      </c>
      <c r="D79" s="899" t="s">
        <v>5152</v>
      </c>
      <c r="E79" s="900">
        <v>0</v>
      </c>
      <c r="F79" s="900">
        <f t="shared" si="7"/>
        <v>1</v>
      </c>
      <c r="G79" s="892">
        <v>35000</v>
      </c>
      <c r="H79" s="908" t="str">
        <f t="shared" si="6"/>
        <v>USD</v>
      </c>
      <c r="I79" s="886" t="s">
        <v>5190</v>
      </c>
      <c r="J79" s="901" t="s">
        <v>5191</v>
      </c>
      <c r="K79" s="901" t="s">
        <v>5192</v>
      </c>
      <c r="L79" s="905">
        <f t="shared" si="8"/>
        <v>1</v>
      </c>
      <c r="M79" s="909">
        <f>SUMIFS('Bilateral Assistance, MAIN DATA'!M:M,'Bilateral Assistance, MAIN DATA'!I:I,'Price List, Weapons &amp; Items'!B79)</f>
        <v>7</v>
      </c>
      <c r="N79" s="71">
        <f>COUNTIFS('Bilateral Assistance, MAIN DATA'!M:M,"undisclosed",'Bilateral Assistance, MAIN DATA'!I:I,'Price List, Weapons &amp; Items'!B79)</f>
        <v>0</v>
      </c>
      <c r="O79" s="910">
        <f t="shared" si="9"/>
        <v>245000</v>
      </c>
      <c r="P79" s="71">
        <f>IFERROR(IF(SEARCH(B79,_xlfn.ARRAYTOTEXT('Bilateral Assistance, MAIN DATA'!I$1:I$2206))&gt;0,1,""),0)</f>
        <v>0</v>
      </c>
      <c r="Q79" s="71">
        <f>IFERROR(IF(SEARCH(B79,_xlfn.ARRAYTOTEXT('Commercial Assistance'!I$1:I$1400))&gt;0,1,""),0)</f>
        <v>0</v>
      </c>
      <c r="R79" s="905" t="str">
        <f>IF(SUMIFS('Bilateral Assistance, MAIN DATA'!N:N,'Bilateral Assistance, MAIN DATA'!I:I,'Price List, Weapons &amp; Items'!B79)&gt;M79,1,".")</f>
        <v>.</v>
      </c>
    </row>
    <row r="80" spans="1:18" ht="15" customHeight="1">
      <c r="B80" s="901" t="s">
        <v>1246</v>
      </c>
      <c r="C80" s="898" t="s">
        <v>5065</v>
      </c>
      <c r="D80" s="899" t="s">
        <v>5193</v>
      </c>
      <c r="E80" s="900">
        <v>0</v>
      </c>
      <c r="F80" s="900">
        <f t="shared" si="7"/>
        <v>0</v>
      </c>
      <c r="G80" s="892">
        <v>33000</v>
      </c>
      <c r="H80" s="908" t="str">
        <f t="shared" si="6"/>
        <v>USD</v>
      </c>
      <c r="I80" s="885" t="s">
        <v>5194</v>
      </c>
      <c r="J80" s="901" t="s">
        <v>5080</v>
      </c>
      <c r="K80" s="901" t="s">
        <v>5195</v>
      </c>
      <c r="L80" s="905" t="str">
        <f t="shared" si="8"/>
        <v>no price, 0 count</v>
      </c>
      <c r="M80" s="909">
        <f>SUMIFS('Bilateral Assistance, MAIN DATA'!M:M,'Bilateral Assistance, MAIN DATA'!I:I,'Price List, Weapons &amp; Items'!B80)</f>
        <v>0</v>
      </c>
      <c r="N80" s="71">
        <f>COUNTIFS('Bilateral Assistance, MAIN DATA'!M:M,"undisclosed",'Bilateral Assistance, MAIN DATA'!I:I,'Price List, Weapons &amp; Items'!B80)</f>
        <v>1</v>
      </c>
      <c r="O80" s="910">
        <f t="shared" si="9"/>
        <v>0</v>
      </c>
      <c r="P80" s="71">
        <f>IFERROR(IF(SEARCH(B80,_xlfn.ARRAYTOTEXT('Bilateral Assistance, MAIN DATA'!I$1:I$2206))&gt;0,1,""),0)</f>
        <v>0</v>
      </c>
      <c r="Q80" s="71">
        <f>IFERROR(IF(SEARCH(B80,_xlfn.ARRAYTOTEXT('Commercial Assistance'!I$1:I$1400))&gt;0,1,""),0)</f>
        <v>0</v>
      </c>
      <c r="R80" s="905" t="str">
        <f>IF(SUMIFS('Bilateral Assistance, MAIN DATA'!N:N,'Bilateral Assistance, MAIN DATA'!I:I,'Price List, Weapons &amp; Items'!B80)&gt;M80,1,".")</f>
        <v>.</v>
      </c>
    </row>
    <row r="81" spans="2:18" ht="15" customHeight="1">
      <c r="B81" s="912" t="s">
        <v>5196</v>
      </c>
      <c r="C81" s="898" t="s">
        <v>5056</v>
      </c>
      <c r="D81" s="899" t="s">
        <v>5069</v>
      </c>
      <c r="E81" s="900">
        <v>0</v>
      </c>
      <c r="F81" s="900">
        <f t="shared" si="7"/>
        <v>0</v>
      </c>
      <c r="G81" s="892">
        <v>5300</v>
      </c>
      <c r="H81" s="908" t="str">
        <f t="shared" si="6"/>
        <v>USD</v>
      </c>
      <c r="I81" s="886" t="s">
        <v>5188</v>
      </c>
      <c r="J81" s="901" t="s">
        <v>5089</v>
      </c>
      <c r="K81" s="901" t="s">
        <v>5197</v>
      </c>
      <c r="L81" s="905" t="str">
        <f t="shared" si="8"/>
        <v>no price, 0 count</v>
      </c>
      <c r="M81" s="909">
        <f>SUMIFS('Bilateral Assistance, MAIN DATA'!M:M,'Bilateral Assistance, MAIN DATA'!I:I,'Price List, Weapons &amp; Items'!B81)</f>
        <v>0</v>
      </c>
      <c r="N81" s="71">
        <f>COUNTIFS('Bilateral Assistance, MAIN DATA'!M:M,"undisclosed",'Bilateral Assistance, MAIN DATA'!I:I,'Price List, Weapons &amp; Items'!B81)</f>
        <v>1</v>
      </c>
      <c r="O81" s="910">
        <f t="shared" si="9"/>
        <v>0</v>
      </c>
      <c r="P81" s="71">
        <f>IFERROR(IF(SEARCH(B81,_xlfn.ARRAYTOTEXT('Bilateral Assistance, MAIN DATA'!I$1:I$2206))&gt;0,1,""),0)</f>
        <v>0</v>
      </c>
      <c r="Q81" s="71">
        <f>IFERROR(IF(SEARCH(B81,_xlfn.ARRAYTOTEXT('Commercial Assistance'!I$1:I$1400))&gt;0,1,""),0)</f>
        <v>0</v>
      </c>
      <c r="R81" s="905" t="str">
        <f>IF(SUMIFS('Bilateral Assistance, MAIN DATA'!N:N,'Bilateral Assistance, MAIN DATA'!I:I,'Price List, Weapons &amp; Items'!B81)&gt;M81,1,".")</f>
        <v>.</v>
      </c>
    </row>
    <row r="82" spans="2:18" ht="15" customHeight="1">
      <c r="B82" s="901" t="s">
        <v>4274</v>
      </c>
      <c r="C82" s="898" t="s">
        <v>5099</v>
      </c>
      <c r="D82" s="899" t="s">
        <v>5198</v>
      </c>
      <c r="E82" s="900">
        <v>0</v>
      </c>
      <c r="F82" s="900">
        <f t="shared" si="7"/>
        <v>0</v>
      </c>
      <c r="G82" s="892">
        <v>22000</v>
      </c>
      <c r="H82" s="908" t="str">
        <f t="shared" si="6"/>
        <v>USD</v>
      </c>
      <c r="I82" s="885" t="s">
        <v>5199</v>
      </c>
      <c r="J82" s="901" t="s">
        <v>5075</v>
      </c>
      <c r="K82" s="901" t="s">
        <v>5200</v>
      </c>
      <c r="L82" s="905" t="str">
        <f t="shared" si="8"/>
        <v>no price, 0 count</v>
      </c>
      <c r="M82" s="909">
        <f>SUMIFS('Bilateral Assistance, MAIN DATA'!M:M,'Bilateral Assistance, MAIN DATA'!I:I,'Price List, Weapons &amp; Items'!B82)</f>
        <v>0</v>
      </c>
      <c r="N82" s="71">
        <f>COUNTIFS('Bilateral Assistance, MAIN DATA'!M:M,"undisclosed",'Bilateral Assistance, MAIN DATA'!I:I,'Price List, Weapons &amp; Items'!B82)</f>
        <v>3</v>
      </c>
      <c r="O82" s="910">
        <f t="shared" si="9"/>
        <v>0</v>
      </c>
      <c r="P82" s="71">
        <f>IFERROR(IF(SEARCH(B82,_xlfn.ARRAYTOTEXT('Bilateral Assistance, MAIN DATA'!I$1:I$2206))&gt;0,1,""),0)</f>
        <v>0</v>
      </c>
      <c r="Q82" s="71">
        <f>IFERROR(IF(SEARCH(B82,_xlfn.ARRAYTOTEXT('Commercial Assistance'!I$1:I$1400))&gt;0,1,""),0)</f>
        <v>0</v>
      </c>
      <c r="R82" s="905" t="str">
        <f>IF(SUMIFS('Bilateral Assistance, MAIN DATA'!N:N,'Bilateral Assistance, MAIN DATA'!I:I,'Price List, Weapons &amp; Items'!B82)&gt;M82,1,".")</f>
        <v>.</v>
      </c>
    </row>
    <row r="83" spans="2:18" ht="15" customHeight="1">
      <c r="B83" s="901" t="s">
        <v>5201</v>
      </c>
      <c r="C83" s="898" t="s">
        <v>5056</v>
      </c>
      <c r="D83" s="899" t="s">
        <v>5202</v>
      </c>
      <c r="E83" s="900">
        <v>0</v>
      </c>
      <c r="F83" s="900">
        <f t="shared" si="7"/>
        <v>0</v>
      </c>
      <c r="G83" s="892">
        <v>20000</v>
      </c>
      <c r="H83" s="908" t="str">
        <f t="shared" si="6"/>
        <v>USD</v>
      </c>
      <c r="I83" s="885" t="s">
        <v>5203</v>
      </c>
      <c r="J83" s="901" t="s">
        <v>5089</v>
      </c>
      <c r="K83" s="901" t="s">
        <v>5204</v>
      </c>
      <c r="L83" s="905" t="str">
        <f t="shared" si="8"/>
        <v>no price, 0 count</v>
      </c>
      <c r="M83" s="909">
        <f>SUMIFS('Bilateral Assistance, MAIN DATA'!M:M,'Bilateral Assistance, MAIN DATA'!I:I,'Price List, Weapons &amp; Items'!B83)</f>
        <v>0</v>
      </c>
      <c r="N83" s="71">
        <f>COUNTIFS('Bilateral Assistance, MAIN DATA'!M:M,"undisclosed",'Bilateral Assistance, MAIN DATA'!I:I,'Price List, Weapons &amp; Items'!B83)</f>
        <v>1</v>
      </c>
      <c r="O83" s="910">
        <f t="shared" si="9"/>
        <v>0</v>
      </c>
      <c r="P83" s="71">
        <f>IFERROR(IF(SEARCH(B83,_xlfn.ARRAYTOTEXT('Bilateral Assistance, MAIN DATA'!I$1:I$2206))&gt;0,1,""),0)</f>
        <v>0</v>
      </c>
      <c r="Q83" s="71">
        <f>IFERROR(IF(SEARCH(B83,_xlfn.ARRAYTOTEXT('Commercial Assistance'!I$1:I$1400))&gt;0,1,""),0)</f>
        <v>0</v>
      </c>
      <c r="R83" s="905" t="str">
        <f>IF(SUMIFS('Bilateral Assistance, MAIN DATA'!N:N,'Bilateral Assistance, MAIN DATA'!I:I,'Price List, Weapons &amp; Items'!B83)&gt;M83,1,".")</f>
        <v>.</v>
      </c>
    </row>
    <row r="84" spans="2:18" ht="15" customHeight="1">
      <c r="B84" s="901" t="s">
        <v>5205</v>
      </c>
      <c r="C84" s="898" t="s">
        <v>5070</v>
      </c>
      <c r="D84" s="899" t="s">
        <v>3126</v>
      </c>
      <c r="E84" s="900">
        <v>0</v>
      </c>
      <c r="F84" s="900">
        <f t="shared" si="7"/>
        <v>0</v>
      </c>
      <c r="G84" s="892">
        <v>12000</v>
      </c>
      <c r="H84" s="908" t="str">
        <f t="shared" si="6"/>
        <v>USD</v>
      </c>
      <c r="I84" s="885" t="s">
        <v>5206</v>
      </c>
      <c r="J84" s="901" t="s">
        <v>5080</v>
      </c>
      <c r="K84" s="901" t="s">
        <v>5207</v>
      </c>
      <c r="L84" s="905" t="str">
        <f t="shared" si="8"/>
        <v>no price, 0 count</v>
      </c>
      <c r="M84" s="909">
        <f>SUMIFS('Bilateral Assistance, MAIN DATA'!M:M,'Bilateral Assistance, MAIN DATA'!I:I,'Price List, Weapons &amp; Items'!B84)</f>
        <v>0</v>
      </c>
      <c r="N84" s="71">
        <f>COUNTIFS('Bilateral Assistance, MAIN DATA'!M:M,"undisclosed",'Bilateral Assistance, MAIN DATA'!I:I,'Price List, Weapons &amp; Items'!B84)</f>
        <v>0</v>
      </c>
      <c r="O84" s="910">
        <f t="shared" si="9"/>
        <v>0</v>
      </c>
      <c r="P84" s="71">
        <f>IFERROR(IF(SEARCH(B84,_xlfn.ARRAYTOTEXT('Bilateral Assistance, MAIN DATA'!I$1:I$2206))&gt;0,1,""),0)</f>
        <v>0</v>
      </c>
      <c r="Q84" s="71">
        <f>IFERROR(IF(SEARCH(B84,_xlfn.ARRAYTOTEXT('Commercial Assistance'!I$1:I$1400))&gt;0,1,""),0)</f>
        <v>0</v>
      </c>
      <c r="R84" s="905" t="str">
        <f>IF(SUMIFS('Bilateral Assistance, MAIN DATA'!N:N,'Bilateral Assistance, MAIN DATA'!I:I,'Price List, Weapons &amp; Items'!B84)&gt;M84,1,".")</f>
        <v>.</v>
      </c>
    </row>
    <row r="85" spans="2:18" ht="15" customHeight="1">
      <c r="B85" s="901" t="s">
        <v>3595</v>
      </c>
      <c r="C85" s="898" t="s">
        <v>5056</v>
      </c>
      <c r="D85" s="899" t="s">
        <v>5208</v>
      </c>
      <c r="E85" s="900">
        <v>0</v>
      </c>
      <c r="F85" s="900">
        <f t="shared" si="7"/>
        <v>0</v>
      </c>
      <c r="G85" s="892">
        <v>12807.38</v>
      </c>
      <c r="H85" s="908" t="str">
        <f t="shared" si="6"/>
        <v>USD</v>
      </c>
      <c r="I85" s="885" t="s">
        <v>5209</v>
      </c>
      <c r="J85" s="901" t="s">
        <v>5082</v>
      </c>
      <c r="K85" s="901" t="s">
        <v>5210</v>
      </c>
      <c r="L85" s="905" t="str">
        <f t="shared" si="8"/>
        <v>no price, 0 count</v>
      </c>
      <c r="M85" s="909">
        <f>SUMIFS('Bilateral Assistance, MAIN DATA'!M:M,'Bilateral Assistance, MAIN DATA'!I:I,'Price List, Weapons &amp; Items'!B85)</f>
        <v>0</v>
      </c>
      <c r="N85" s="71">
        <f>COUNTIFS('Bilateral Assistance, MAIN DATA'!M:M,"undisclosed",'Bilateral Assistance, MAIN DATA'!I:I,'Price List, Weapons &amp; Items'!B85)</f>
        <v>1</v>
      </c>
      <c r="O85" s="910">
        <f t="shared" si="9"/>
        <v>0</v>
      </c>
      <c r="P85" s="71">
        <f>IFERROR(IF(SEARCH(B85,_xlfn.ARRAYTOTEXT('Bilateral Assistance, MAIN DATA'!I$1:I$2206))&gt;0,1,""),0)</f>
        <v>0</v>
      </c>
      <c r="Q85" s="71">
        <f>IFERROR(IF(SEARCH(B85,_xlfn.ARRAYTOTEXT('Commercial Assistance'!I$1:I$1400))&gt;0,1,""),0)</f>
        <v>0</v>
      </c>
      <c r="R85" s="905" t="str">
        <f>IF(SUMIFS('Bilateral Assistance, MAIN DATA'!N:N,'Bilateral Assistance, MAIN DATA'!I:I,'Price List, Weapons &amp; Items'!B85)&gt;M85,1,".")</f>
        <v>.</v>
      </c>
    </row>
    <row r="86" spans="2:18" ht="15" customHeight="1">
      <c r="B86" s="901" t="s">
        <v>5211</v>
      </c>
      <c r="C86" s="898" t="s">
        <v>5070</v>
      </c>
      <c r="D86" s="899" t="s">
        <v>3126</v>
      </c>
      <c r="E86" s="900">
        <v>0</v>
      </c>
      <c r="F86" s="900">
        <f t="shared" si="7"/>
        <v>0</v>
      </c>
      <c r="G86" s="892">
        <v>64000</v>
      </c>
      <c r="H86" s="908" t="str">
        <f t="shared" si="6"/>
        <v>USD</v>
      </c>
      <c r="I86" s="885" t="s">
        <v>5212</v>
      </c>
      <c r="J86" s="901" t="s">
        <v>5089</v>
      </c>
      <c r="K86" s="901" t="s">
        <v>5213</v>
      </c>
      <c r="L86" s="905" t="str">
        <f t="shared" si="8"/>
        <v>no price, 0 count</v>
      </c>
      <c r="M86" s="909">
        <f>SUMIFS('Bilateral Assistance, MAIN DATA'!M:M,'Bilateral Assistance, MAIN DATA'!I:I,'Price List, Weapons &amp; Items'!B86)</f>
        <v>0</v>
      </c>
      <c r="N86" s="71">
        <f>COUNTIFS('Bilateral Assistance, MAIN DATA'!M:M,"undisclosed",'Bilateral Assistance, MAIN DATA'!I:I,'Price List, Weapons &amp; Items'!B86)</f>
        <v>1</v>
      </c>
      <c r="O86" s="910">
        <f t="shared" si="9"/>
        <v>0</v>
      </c>
      <c r="P86" s="71">
        <f>IFERROR(IF(SEARCH(B86,_xlfn.ARRAYTOTEXT('Bilateral Assistance, MAIN DATA'!I$1:I$2206))&gt;0,1,""),0)</f>
        <v>0</v>
      </c>
      <c r="Q86" s="71">
        <f>IFERROR(IF(SEARCH(B86,_xlfn.ARRAYTOTEXT('Commercial Assistance'!I$1:I$1400))&gt;0,1,""),0)</f>
        <v>0</v>
      </c>
      <c r="R86" s="905" t="str">
        <f>IF(SUMIFS('Bilateral Assistance, MAIN DATA'!N:N,'Bilateral Assistance, MAIN DATA'!I:I,'Price List, Weapons &amp; Items'!B86)&gt;M86,1,".")</f>
        <v>.</v>
      </c>
    </row>
    <row r="87" spans="2:18" ht="15" customHeight="1">
      <c r="B87" s="901" t="s">
        <v>2570</v>
      </c>
      <c r="C87" s="898" t="s">
        <v>5099</v>
      </c>
      <c r="D87" s="899" t="s">
        <v>5214</v>
      </c>
      <c r="E87" s="900">
        <v>0</v>
      </c>
      <c r="F87" s="900">
        <f t="shared" si="7"/>
        <v>0</v>
      </c>
      <c r="G87" s="892">
        <v>12000</v>
      </c>
      <c r="H87" s="908" t="str">
        <f t="shared" si="6"/>
        <v>USD</v>
      </c>
      <c r="I87" s="886" t="s">
        <v>5215</v>
      </c>
      <c r="J87" s="901" t="s">
        <v>5080</v>
      </c>
      <c r="K87" s="901" t="s">
        <v>5216</v>
      </c>
      <c r="L87" s="905" t="str">
        <f t="shared" si="8"/>
        <v>no price, 0 count</v>
      </c>
      <c r="M87" s="909">
        <f>SUMIFS('Bilateral Assistance, MAIN DATA'!M:M,'Bilateral Assistance, MAIN DATA'!I:I,'Price List, Weapons &amp; Items'!B87)</f>
        <v>0</v>
      </c>
      <c r="N87" s="71">
        <f>COUNTIFS('Bilateral Assistance, MAIN DATA'!M:M,"undisclosed",'Bilateral Assistance, MAIN DATA'!I:I,'Price List, Weapons &amp; Items'!B87)</f>
        <v>2</v>
      </c>
      <c r="O87" s="910">
        <f t="shared" si="9"/>
        <v>0</v>
      </c>
      <c r="P87" s="71">
        <f>IFERROR(IF(SEARCH(B87,_xlfn.ARRAYTOTEXT('Bilateral Assistance, MAIN DATA'!I$1:I$2206))&gt;0,1,""),0)</f>
        <v>0</v>
      </c>
      <c r="Q87" s="71">
        <f>IFERROR(IF(SEARCH(B87,_xlfn.ARRAYTOTEXT('Commercial Assistance'!I$1:I$1400))&gt;0,1,""),0)</f>
        <v>0</v>
      </c>
      <c r="R87" s="905" t="str">
        <f>IF(SUMIFS('Bilateral Assistance, MAIN DATA'!N:N,'Bilateral Assistance, MAIN DATA'!I:I,'Price List, Weapons &amp; Items'!B87)&gt;M87,1,".")</f>
        <v>.</v>
      </c>
    </row>
    <row r="88" spans="2:18" ht="15" customHeight="1">
      <c r="B88" s="901" t="s">
        <v>5217</v>
      </c>
      <c r="C88" s="898" t="s">
        <v>5056</v>
      </c>
      <c r="D88" s="899" t="s">
        <v>5069</v>
      </c>
      <c r="E88" s="900">
        <v>0</v>
      </c>
      <c r="F88" s="900">
        <f t="shared" si="7"/>
        <v>0</v>
      </c>
      <c r="G88" s="892">
        <v>5300</v>
      </c>
      <c r="H88" s="908" t="str">
        <f t="shared" si="6"/>
        <v>USD</v>
      </c>
      <c r="I88" s="886" t="s">
        <v>5188</v>
      </c>
      <c r="J88" s="901" t="s">
        <v>5089</v>
      </c>
      <c r="K88" s="901" t="s">
        <v>5090</v>
      </c>
      <c r="L88" s="905" t="str">
        <f t="shared" si="8"/>
        <v>no price, 0 count</v>
      </c>
      <c r="M88" s="909">
        <f>SUMIFS('Bilateral Assistance, MAIN DATA'!M:M,'Bilateral Assistance, MAIN DATA'!I:I,'Price List, Weapons &amp; Items'!B88)</f>
        <v>0</v>
      </c>
      <c r="N88" s="71">
        <f>COUNTIFS('Bilateral Assistance, MAIN DATA'!M:M,"undisclosed",'Bilateral Assistance, MAIN DATA'!I:I,'Price List, Weapons &amp; Items'!B88)</f>
        <v>1</v>
      </c>
      <c r="O88" s="910">
        <f t="shared" si="9"/>
        <v>0</v>
      </c>
      <c r="P88" s="71">
        <f>IFERROR(IF(SEARCH(B88,_xlfn.ARRAYTOTEXT('Bilateral Assistance, MAIN DATA'!I$1:I$2206))&gt;0,1,""),0)</f>
        <v>0</v>
      </c>
      <c r="Q88" s="71">
        <f>IFERROR(IF(SEARCH(B88,_xlfn.ARRAYTOTEXT('Commercial Assistance'!I$1:I$1400))&gt;0,1,""),0)</f>
        <v>0</v>
      </c>
      <c r="R88" s="905" t="str">
        <f>IF(SUMIFS('Bilateral Assistance, MAIN DATA'!N:N,'Bilateral Assistance, MAIN DATA'!I:I,'Price List, Weapons &amp; Items'!B88)&gt;M88,1,".")</f>
        <v>.</v>
      </c>
    </row>
    <row r="89" spans="2:18" ht="15" customHeight="1">
      <c r="B89" s="912" t="s">
        <v>1387</v>
      </c>
      <c r="C89" s="898" t="s">
        <v>1105</v>
      </c>
      <c r="D89" s="898" t="s">
        <v>1105</v>
      </c>
      <c r="E89" s="900">
        <v>0</v>
      </c>
      <c r="F89" s="900">
        <f t="shared" si="7"/>
        <v>0</v>
      </c>
      <c r="G89" s="892">
        <v>5000</v>
      </c>
      <c r="H89" s="908" t="str">
        <f t="shared" si="6"/>
        <v>USD</v>
      </c>
      <c r="I89" s="885" t="s">
        <v>5218</v>
      </c>
      <c r="J89" s="901" t="s">
        <v>5089</v>
      </c>
      <c r="K89" s="901" t="s">
        <v>5219</v>
      </c>
      <c r="L89" s="905">
        <f t="shared" si="8"/>
        <v>1</v>
      </c>
      <c r="M89" s="909">
        <f>SUMIFS('Bilateral Assistance, MAIN DATA'!M:M,'Bilateral Assistance, MAIN DATA'!I:I,'Price List, Weapons &amp; Items'!B89)</f>
        <v>8</v>
      </c>
      <c r="N89" s="71">
        <f>COUNTIFS('Bilateral Assistance, MAIN DATA'!M:M,"undisclosed",'Bilateral Assistance, MAIN DATA'!I:I,'Price List, Weapons &amp; Items'!B89)</f>
        <v>3</v>
      </c>
      <c r="O89" s="910">
        <f t="shared" si="9"/>
        <v>40000</v>
      </c>
      <c r="P89" s="71">
        <f>IFERROR(IF(SEARCH(B89,_xlfn.ARRAYTOTEXT('Bilateral Assistance, MAIN DATA'!I$1:I$2206))&gt;0,1,""),0)</f>
        <v>0</v>
      </c>
      <c r="Q89" s="71">
        <f>IFERROR(IF(SEARCH(B89,_xlfn.ARRAYTOTEXT('Commercial Assistance'!I$1:I$1400))&gt;0,1,""),0)</f>
        <v>0</v>
      </c>
      <c r="R89" s="905" t="str">
        <f>IF(SUMIFS('Bilateral Assistance, MAIN DATA'!N:N,'Bilateral Assistance, MAIN DATA'!I:I,'Price List, Weapons &amp; Items'!B89)&gt;M89,1,".")</f>
        <v>.</v>
      </c>
    </row>
    <row r="90" spans="2:18" ht="15" customHeight="1">
      <c r="B90" s="912" t="s">
        <v>2548</v>
      </c>
      <c r="C90" s="898" t="s">
        <v>1105</v>
      </c>
      <c r="D90" s="898" t="s">
        <v>1105</v>
      </c>
      <c r="E90" s="900">
        <v>0</v>
      </c>
      <c r="F90" s="900">
        <f t="shared" si="7"/>
        <v>0</v>
      </c>
      <c r="G90" s="892">
        <v>5000</v>
      </c>
      <c r="H90" s="908" t="str">
        <f t="shared" si="6"/>
        <v>USD</v>
      </c>
      <c r="I90" s="885" t="s">
        <v>5218</v>
      </c>
      <c r="J90" s="901" t="s">
        <v>5089</v>
      </c>
      <c r="K90" s="901" t="s">
        <v>5219</v>
      </c>
      <c r="L90" s="905" t="str">
        <f t="shared" si="8"/>
        <v>no price, 0 count</v>
      </c>
      <c r="M90" s="909">
        <f>SUMIFS('Bilateral Assistance, MAIN DATA'!M:M,'Bilateral Assistance, MAIN DATA'!I:I,'Price List, Weapons &amp; Items'!B90)</f>
        <v>0</v>
      </c>
      <c r="N90" s="71">
        <f>COUNTIFS('Bilateral Assistance, MAIN DATA'!M:M,"undisclosed",'Bilateral Assistance, MAIN DATA'!I:I,'Price List, Weapons &amp; Items'!B90)</f>
        <v>6</v>
      </c>
      <c r="O90" s="910">
        <f t="shared" si="9"/>
        <v>0</v>
      </c>
      <c r="P90" s="71">
        <f>IFERROR(IF(SEARCH(B90,_xlfn.ARRAYTOTEXT('Bilateral Assistance, MAIN DATA'!I$1:I$2206))&gt;0,1,""),0)</f>
        <v>0</v>
      </c>
      <c r="Q90" s="71">
        <f>IFERROR(IF(SEARCH(B90,_xlfn.ARRAYTOTEXT('Commercial Assistance'!I$1:I$1400))&gt;0,1,""),0)</f>
        <v>0</v>
      </c>
      <c r="R90" s="905" t="str">
        <f>IF(SUMIFS('Bilateral Assistance, MAIN DATA'!N:N,'Bilateral Assistance, MAIN DATA'!I:I,'Price List, Weapons &amp; Items'!B90)&gt;M90,1,".")</f>
        <v>.</v>
      </c>
    </row>
    <row r="91" spans="2:18" ht="15" customHeight="1">
      <c r="B91" s="912" t="s">
        <v>4221</v>
      </c>
      <c r="C91" s="898" t="s">
        <v>5059</v>
      </c>
      <c r="D91" s="899" t="s">
        <v>5220</v>
      </c>
      <c r="E91" s="900">
        <v>0</v>
      </c>
      <c r="F91" s="900">
        <f t="shared" si="7"/>
        <v>1</v>
      </c>
      <c r="G91" s="892">
        <v>3800</v>
      </c>
      <c r="H91" s="908" t="str">
        <f t="shared" si="6"/>
        <v>USD</v>
      </c>
      <c r="I91" s="885" t="s">
        <v>837</v>
      </c>
      <c r="J91" s="901" t="s">
        <v>5075</v>
      </c>
      <c r="K91" s="901" t="s">
        <v>5221</v>
      </c>
      <c r="L91" s="905" t="str">
        <f t="shared" si="8"/>
        <v>no price, 0 count</v>
      </c>
      <c r="M91" s="909">
        <f>SUMIFS('Bilateral Assistance, MAIN DATA'!M:M,'Bilateral Assistance, MAIN DATA'!I:I,'Price List, Weapons &amp; Items'!B91)</f>
        <v>0</v>
      </c>
      <c r="N91" s="71">
        <f>COUNTIFS('Bilateral Assistance, MAIN DATA'!M:M,"undisclosed",'Bilateral Assistance, MAIN DATA'!I:I,'Price List, Weapons &amp; Items'!B91)</f>
        <v>1</v>
      </c>
      <c r="O91" s="910">
        <f t="shared" si="9"/>
        <v>0</v>
      </c>
      <c r="P91" s="71">
        <f>IFERROR(IF(SEARCH(B91,_xlfn.ARRAYTOTEXT('Bilateral Assistance, MAIN DATA'!I$1:I$2206))&gt;0,1,""),0)</f>
        <v>0</v>
      </c>
      <c r="Q91" s="71">
        <f>IFERROR(IF(SEARCH(B91,_xlfn.ARRAYTOTEXT('Commercial Assistance'!I$1:I$1400))&gt;0,1,""),0)</f>
        <v>0</v>
      </c>
      <c r="R91" s="905" t="str">
        <f>IF(SUMIFS('Bilateral Assistance, MAIN DATA'!N:N,'Bilateral Assistance, MAIN DATA'!I:I,'Price List, Weapons &amp; Items'!B91)&gt;M91,1,".")</f>
        <v>.</v>
      </c>
    </row>
    <row r="92" spans="2:18" ht="15" customHeight="1">
      <c r="B92" s="912" t="s">
        <v>4239</v>
      </c>
      <c r="C92" s="898" t="s">
        <v>5059</v>
      </c>
      <c r="D92" s="899" t="s">
        <v>5220</v>
      </c>
      <c r="E92" s="900">
        <v>0</v>
      </c>
      <c r="F92" s="900">
        <f t="shared" si="7"/>
        <v>1</v>
      </c>
      <c r="G92" s="892">
        <v>3800</v>
      </c>
      <c r="H92" s="908" t="str">
        <f t="shared" si="6"/>
        <v>USD</v>
      </c>
      <c r="I92" s="885" t="s">
        <v>837</v>
      </c>
      <c r="J92" s="901" t="s">
        <v>5075</v>
      </c>
      <c r="K92" s="901" t="s">
        <v>5221</v>
      </c>
      <c r="L92" s="905" t="str">
        <f t="shared" si="8"/>
        <v>no price, 0 count</v>
      </c>
      <c r="M92" s="909">
        <f>SUMIFS('Bilateral Assistance, MAIN DATA'!M:M,'Bilateral Assistance, MAIN DATA'!I:I,'Price List, Weapons &amp; Items'!B92)</f>
        <v>0</v>
      </c>
      <c r="N92" s="71">
        <f>COUNTIFS('Bilateral Assistance, MAIN DATA'!M:M,"undisclosed",'Bilateral Assistance, MAIN DATA'!I:I,'Price List, Weapons &amp; Items'!B92)</f>
        <v>1</v>
      </c>
      <c r="O92" s="910">
        <f t="shared" si="9"/>
        <v>0</v>
      </c>
      <c r="P92" s="71">
        <f>IFERROR(IF(SEARCH(B92,_xlfn.ARRAYTOTEXT('Bilateral Assistance, MAIN DATA'!I$1:I$2206))&gt;0,1,""),0)</f>
        <v>0</v>
      </c>
      <c r="Q92" s="71">
        <f>IFERROR(IF(SEARCH(B92,_xlfn.ARRAYTOTEXT('Commercial Assistance'!I$1:I$1400))&gt;0,1,""),0)</f>
        <v>0</v>
      </c>
      <c r="R92" s="905" t="str">
        <f>IF(SUMIFS('Bilateral Assistance, MAIN DATA'!N:N,'Bilateral Assistance, MAIN DATA'!I:I,'Price List, Weapons &amp; Items'!B92)&gt;M92,1,".")</f>
        <v>.</v>
      </c>
    </row>
    <row r="93" spans="2:18" ht="15" customHeight="1">
      <c r="B93" s="912" t="s">
        <v>4222</v>
      </c>
      <c r="C93" s="898" t="s">
        <v>5059</v>
      </c>
      <c r="D93" s="899" t="s">
        <v>5220</v>
      </c>
      <c r="E93" s="900">
        <v>1</v>
      </c>
      <c r="F93" s="900">
        <f t="shared" si="7"/>
        <v>1</v>
      </c>
      <c r="G93" s="892">
        <v>3800</v>
      </c>
      <c r="H93" s="908" t="str">
        <f t="shared" si="6"/>
        <v>USD</v>
      </c>
      <c r="I93" s="885" t="s">
        <v>837</v>
      </c>
      <c r="J93" s="901" t="s">
        <v>5075</v>
      </c>
      <c r="K93" s="901" t="s">
        <v>5221</v>
      </c>
      <c r="L93" s="905">
        <f t="shared" si="8"/>
        <v>2</v>
      </c>
      <c r="M93" s="909">
        <f>SUMIFS('Bilateral Assistance, MAIN DATA'!M:M,'Bilateral Assistance, MAIN DATA'!I:I,'Price List, Weapons &amp; Items'!B93)</f>
        <v>45000</v>
      </c>
      <c r="N93" s="71">
        <f>COUNTIFS('Bilateral Assistance, MAIN DATA'!M:M,"undisclosed",'Bilateral Assistance, MAIN DATA'!I:I,'Price List, Weapons &amp; Items'!B93)</f>
        <v>1</v>
      </c>
      <c r="O93" s="910">
        <f t="shared" si="9"/>
        <v>171000000</v>
      </c>
      <c r="P93" s="71">
        <f>IFERROR(IF(SEARCH(B93,_xlfn.ARRAYTOTEXT('Bilateral Assistance, MAIN DATA'!I$1:I$2206))&gt;0,1,""),0)</f>
        <v>0</v>
      </c>
      <c r="Q93" s="71">
        <f>IFERROR(IF(SEARCH(B93,_xlfn.ARRAYTOTEXT('Commercial Assistance'!I$1:I$1400))&gt;0,1,""),0)</f>
        <v>0</v>
      </c>
      <c r="R93" s="905" t="str">
        <f>IF(SUMIFS('Bilateral Assistance, MAIN DATA'!N:N,'Bilateral Assistance, MAIN DATA'!I:I,'Price List, Weapons &amp; Items'!B93)&gt;M93,1,".")</f>
        <v>.</v>
      </c>
    </row>
    <row r="94" spans="2:18" ht="15" customHeight="1">
      <c r="B94" s="901" t="s">
        <v>5222</v>
      </c>
      <c r="C94" s="898" t="s">
        <v>5059</v>
      </c>
      <c r="D94" s="899" t="s">
        <v>5060</v>
      </c>
      <c r="E94" s="900">
        <v>0</v>
      </c>
      <c r="F94" s="900">
        <f t="shared" si="7"/>
        <v>1</v>
      </c>
      <c r="G94" s="892">
        <v>3800</v>
      </c>
      <c r="H94" s="908" t="str">
        <f t="shared" si="6"/>
        <v>USD</v>
      </c>
      <c r="I94" s="885" t="s">
        <v>5223</v>
      </c>
      <c r="J94" s="901" t="s">
        <v>5119</v>
      </c>
      <c r="K94" s="901" t="s">
        <v>5224</v>
      </c>
      <c r="L94" s="905" t="str">
        <f t="shared" si="8"/>
        <v>no price, 0 count</v>
      </c>
      <c r="M94" s="909">
        <f>SUMIFS('Bilateral Assistance, MAIN DATA'!M:M,'Bilateral Assistance, MAIN DATA'!I:I,'Price List, Weapons &amp; Items'!B94)</f>
        <v>0</v>
      </c>
      <c r="N94" s="71">
        <f>COUNTIFS('Bilateral Assistance, MAIN DATA'!M:M,"undisclosed",'Bilateral Assistance, MAIN DATA'!I:I,'Price List, Weapons &amp; Items'!B94)</f>
        <v>2</v>
      </c>
      <c r="O94" s="910">
        <f t="shared" si="9"/>
        <v>0</v>
      </c>
      <c r="P94" s="71">
        <f>IFERROR(IF(SEARCH(B94,_xlfn.ARRAYTOTEXT('Bilateral Assistance, MAIN DATA'!I$1:I$2206))&gt;0,1,""),0)</f>
        <v>0</v>
      </c>
      <c r="Q94" s="71">
        <f>IFERROR(IF(SEARCH(B94,_xlfn.ARRAYTOTEXT('Commercial Assistance'!I$1:I$1400))&gt;0,1,""),0)</f>
        <v>0</v>
      </c>
      <c r="R94" s="905" t="str">
        <f>IF(SUMIFS('Bilateral Assistance, MAIN DATA'!N:N,'Bilateral Assistance, MAIN DATA'!I:I,'Price List, Weapons &amp; Items'!B94)&gt;M94,1,".")</f>
        <v>.</v>
      </c>
    </row>
    <row r="95" spans="2:18" ht="15" customHeight="1">
      <c r="B95" s="901" t="s">
        <v>5225</v>
      </c>
      <c r="C95" s="898" t="s">
        <v>5177</v>
      </c>
      <c r="D95" s="899" t="s">
        <v>5226</v>
      </c>
      <c r="E95" s="900">
        <v>0</v>
      </c>
      <c r="F95" s="900">
        <f t="shared" si="7"/>
        <v>0</v>
      </c>
      <c r="G95" s="892">
        <v>3661.76</v>
      </c>
      <c r="H95" s="908" t="str">
        <f t="shared" ref="H95:H115" si="10">IF(G95&lt;&gt;".","USD",".")</f>
        <v>USD</v>
      </c>
      <c r="I95" s="885" t="s">
        <v>5227</v>
      </c>
      <c r="J95" s="901" t="s">
        <v>5089</v>
      </c>
      <c r="K95" s="901" t="s">
        <v>5228</v>
      </c>
      <c r="L95" s="905" t="str">
        <f t="shared" si="8"/>
        <v>no price, 0 count</v>
      </c>
      <c r="M95" s="909">
        <f>SUMIFS('Bilateral Assistance, MAIN DATA'!M:M,'Bilateral Assistance, MAIN DATA'!I:I,'Price List, Weapons &amp; Items'!B95)</f>
        <v>0</v>
      </c>
      <c r="N95" s="71">
        <f>COUNTIFS('Bilateral Assistance, MAIN DATA'!M:M,"undisclosed",'Bilateral Assistance, MAIN DATA'!I:I,'Price List, Weapons &amp; Items'!B95)</f>
        <v>1</v>
      </c>
      <c r="O95" s="910">
        <f t="shared" si="9"/>
        <v>0</v>
      </c>
      <c r="P95" s="71">
        <f>IFERROR(IF(SEARCH(B95,_xlfn.ARRAYTOTEXT('Bilateral Assistance, MAIN DATA'!I$1:I$2206))&gt;0,1,""),0)</f>
        <v>0</v>
      </c>
      <c r="Q95" s="71">
        <f>IFERROR(IF(SEARCH(B95,_xlfn.ARRAYTOTEXT('Commercial Assistance'!I$1:I$1400))&gt;0,1,""),0)</f>
        <v>0</v>
      </c>
      <c r="R95" s="905" t="str">
        <f>IF(SUMIFS('Bilateral Assistance, MAIN DATA'!N:N,'Bilateral Assistance, MAIN DATA'!I:I,'Price List, Weapons &amp; Items'!B95)&gt;M95,1,".")</f>
        <v>.</v>
      </c>
    </row>
    <row r="96" spans="2:18" ht="15" customHeight="1">
      <c r="B96" s="912" t="s">
        <v>4225</v>
      </c>
      <c r="C96" s="898" t="s">
        <v>5059</v>
      </c>
      <c r="D96" s="899" t="s">
        <v>5229</v>
      </c>
      <c r="E96" s="900">
        <v>0</v>
      </c>
      <c r="F96" s="900">
        <f t="shared" si="7"/>
        <v>0</v>
      </c>
      <c r="G96" s="892">
        <v>2000</v>
      </c>
      <c r="H96" s="908" t="str">
        <f t="shared" si="10"/>
        <v>USD</v>
      </c>
      <c r="I96" s="886" t="s">
        <v>5230</v>
      </c>
      <c r="J96" s="913" t="s">
        <v>5080</v>
      </c>
      <c r="K96" s="901" t="s">
        <v>5231</v>
      </c>
      <c r="L96" s="905" t="str">
        <f t="shared" si="8"/>
        <v>no price, 0 count</v>
      </c>
      <c r="M96" s="909">
        <f>SUMIFS('Bilateral Assistance, MAIN DATA'!M:M,'Bilateral Assistance, MAIN DATA'!I:I,'Price List, Weapons &amp; Items'!B96)</f>
        <v>0</v>
      </c>
      <c r="N96" s="71">
        <f>COUNTIFS('Bilateral Assistance, MAIN DATA'!M:M,"undisclosed",'Bilateral Assistance, MAIN DATA'!I:I,'Price List, Weapons &amp; Items'!B96)</f>
        <v>1</v>
      </c>
      <c r="O96" s="910">
        <f t="shared" si="9"/>
        <v>0</v>
      </c>
      <c r="P96" s="71">
        <f>IFERROR(IF(SEARCH(B96,_xlfn.ARRAYTOTEXT('Bilateral Assistance, MAIN DATA'!I$1:I$2206))&gt;0,1,""),0)</f>
        <v>0</v>
      </c>
      <c r="Q96" s="71">
        <f>IFERROR(IF(SEARCH(B96,_xlfn.ARRAYTOTEXT('Commercial Assistance'!I$1:I$1400))&gt;0,1,""),0)</f>
        <v>0</v>
      </c>
      <c r="R96" s="905" t="str">
        <f>IF(SUMIFS('Bilateral Assistance, MAIN DATA'!N:N,'Bilateral Assistance, MAIN DATA'!I:I,'Price List, Weapons &amp; Items'!B96)&gt;M96,1,".")</f>
        <v>.</v>
      </c>
    </row>
    <row r="97" spans="2:18" ht="15" customHeight="1">
      <c r="B97" s="912" t="s">
        <v>4227</v>
      </c>
      <c r="C97" s="898" t="s">
        <v>5059</v>
      </c>
      <c r="D97" s="899" t="s">
        <v>5229</v>
      </c>
      <c r="E97" s="900">
        <v>1</v>
      </c>
      <c r="F97" s="900">
        <f t="shared" si="7"/>
        <v>0</v>
      </c>
      <c r="G97" s="892">
        <v>2000</v>
      </c>
      <c r="H97" s="908" t="str">
        <f t="shared" si="10"/>
        <v>USD</v>
      </c>
      <c r="I97" s="886" t="s">
        <v>5230</v>
      </c>
      <c r="J97" s="901" t="s">
        <v>5080</v>
      </c>
      <c r="K97" s="901" t="s">
        <v>5231</v>
      </c>
      <c r="L97" s="905" t="str">
        <f t="shared" si="8"/>
        <v>no price, 0 count</v>
      </c>
      <c r="M97" s="909">
        <f>SUMIFS('Bilateral Assistance, MAIN DATA'!M:M,'Bilateral Assistance, MAIN DATA'!I:I,'Price List, Weapons &amp; Items'!B97)</f>
        <v>0</v>
      </c>
      <c r="N97" s="71">
        <f>COUNTIFS('Bilateral Assistance, MAIN DATA'!M:M,"undisclosed",'Bilateral Assistance, MAIN DATA'!I:I,'Price List, Weapons &amp; Items'!B97)</f>
        <v>1</v>
      </c>
      <c r="O97" s="910">
        <f t="shared" si="9"/>
        <v>0</v>
      </c>
      <c r="P97" s="71">
        <f>IFERROR(IF(SEARCH(B97,_xlfn.ARRAYTOTEXT('Bilateral Assistance, MAIN DATA'!I$1:I$2206))&gt;0,1,""),0)</f>
        <v>0</v>
      </c>
      <c r="Q97" s="71">
        <f>IFERROR(IF(SEARCH(B97,_xlfn.ARRAYTOTEXT('Commercial Assistance'!I$1:I$1400))&gt;0,1,""),0)</f>
        <v>0</v>
      </c>
      <c r="R97" s="905" t="str">
        <f>IF(SUMIFS('Bilateral Assistance, MAIN DATA'!N:N,'Bilateral Assistance, MAIN DATA'!I:I,'Price List, Weapons &amp; Items'!B97)&gt;M97,1,".")</f>
        <v>.</v>
      </c>
    </row>
    <row r="98" spans="2:18" ht="15" customHeight="1">
      <c r="B98" s="912" t="s">
        <v>1101</v>
      </c>
      <c r="C98" s="898" t="s">
        <v>5059</v>
      </c>
      <c r="D98" s="899" t="s">
        <v>5232</v>
      </c>
      <c r="E98" s="900">
        <v>0</v>
      </c>
      <c r="F98" s="900">
        <f t="shared" si="7"/>
        <v>0</v>
      </c>
      <c r="G98" s="892">
        <v>2000</v>
      </c>
      <c r="H98" s="908" t="str">
        <f t="shared" si="10"/>
        <v>USD</v>
      </c>
      <c r="I98" s="886" t="s">
        <v>5230</v>
      </c>
      <c r="J98" s="901" t="s">
        <v>5080</v>
      </c>
      <c r="K98" s="901" t="s">
        <v>5233</v>
      </c>
      <c r="L98" s="905">
        <f t="shared" si="8"/>
        <v>2</v>
      </c>
      <c r="M98" s="909">
        <f>SUMIFS('Bilateral Assistance, MAIN DATA'!M:M,'Bilateral Assistance, MAIN DATA'!I:I,'Price List, Weapons &amp; Items'!B98)</f>
        <v>110000</v>
      </c>
      <c r="N98" s="71">
        <f>COUNTIFS('Bilateral Assistance, MAIN DATA'!M:M,"undisclosed",'Bilateral Assistance, MAIN DATA'!I:I,'Price List, Weapons &amp; Items'!B98)</f>
        <v>3</v>
      </c>
      <c r="O98" s="910">
        <f t="shared" si="9"/>
        <v>220000000</v>
      </c>
      <c r="P98" s="71">
        <f>IFERROR(IF(SEARCH(B98,_xlfn.ARRAYTOTEXT('Bilateral Assistance, MAIN DATA'!I$1:I$2206))&gt;0,1,""),0)</f>
        <v>0</v>
      </c>
      <c r="Q98" s="71">
        <f>IFERROR(IF(SEARCH(B98,_xlfn.ARRAYTOTEXT('Commercial Assistance'!I$1:I$1400))&gt;0,1,""),0)</f>
        <v>0</v>
      </c>
      <c r="R98" s="905" t="str">
        <f>IF(SUMIFS('Bilateral Assistance, MAIN DATA'!N:N,'Bilateral Assistance, MAIN DATA'!I:I,'Price List, Weapons &amp; Items'!B98)&gt;M98,1,".")</f>
        <v>.</v>
      </c>
    </row>
    <row r="99" spans="2:18" ht="15" customHeight="1">
      <c r="B99" s="901" t="s">
        <v>5234</v>
      </c>
      <c r="C99" s="898" t="s">
        <v>5099</v>
      </c>
      <c r="D99" s="899" t="s">
        <v>5198</v>
      </c>
      <c r="E99" s="900">
        <v>0</v>
      </c>
      <c r="F99" s="900">
        <f t="shared" si="7"/>
        <v>0</v>
      </c>
      <c r="G99" s="892">
        <v>1475</v>
      </c>
      <c r="H99" s="908" t="str">
        <f t="shared" si="10"/>
        <v>USD</v>
      </c>
      <c r="I99" s="886" t="s">
        <v>5235</v>
      </c>
      <c r="J99" s="901" t="s">
        <v>5082</v>
      </c>
      <c r="K99" s="901" t="s">
        <v>5236</v>
      </c>
      <c r="L99" s="905" t="str">
        <f t="shared" si="8"/>
        <v>no price, 0 count</v>
      </c>
      <c r="M99" s="909">
        <f>SUMIFS('Bilateral Assistance, MAIN DATA'!M:M,'Bilateral Assistance, MAIN DATA'!I:I,'Price List, Weapons &amp; Items'!B99)</f>
        <v>0</v>
      </c>
      <c r="N99" s="71">
        <f>COUNTIFS('Bilateral Assistance, MAIN DATA'!M:M,"undisclosed",'Bilateral Assistance, MAIN DATA'!I:I,'Price List, Weapons &amp; Items'!B99)</f>
        <v>1</v>
      </c>
      <c r="O99" s="910">
        <f t="shared" si="9"/>
        <v>0</v>
      </c>
      <c r="P99" s="71">
        <f>IFERROR(IF(SEARCH(B99,_xlfn.ARRAYTOTEXT('Bilateral Assistance, MAIN DATA'!I$1:I$2206))&gt;0,1,""),0)</f>
        <v>0</v>
      </c>
      <c r="Q99" s="71">
        <f>IFERROR(IF(SEARCH(B99,_xlfn.ARRAYTOTEXT('Commercial Assistance'!I$1:I$1400))&gt;0,1,""),0)</f>
        <v>0</v>
      </c>
      <c r="R99" s="905" t="str">
        <f>IF(SUMIFS('Bilateral Assistance, MAIN DATA'!N:N,'Bilateral Assistance, MAIN DATA'!I:I,'Price List, Weapons &amp; Items'!B99)&gt;M99,1,".")</f>
        <v>.</v>
      </c>
    </row>
    <row r="100" spans="2:18" ht="15" customHeight="1">
      <c r="B100" s="901" t="s">
        <v>3100</v>
      </c>
      <c r="C100" s="898" t="s">
        <v>5056</v>
      </c>
      <c r="D100" s="899" t="s">
        <v>5198</v>
      </c>
      <c r="E100" s="900">
        <v>0</v>
      </c>
      <c r="F100" s="900">
        <f t="shared" si="7"/>
        <v>0</v>
      </c>
      <c r="G100" s="892">
        <v>2462.4299999999998</v>
      </c>
      <c r="H100" s="908" t="str">
        <f t="shared" si="10"/>
        <v>USD</v>
      </c>
      <c r="I100" s="885" t="s">
        <v>5237</v>
      </c>
      <c r="J100" s="901" t="s">
        <v>5086</v>
      </c>
      <c r="K100" s="901" t="s">
        <v>5238</v>
      </c>
      <c r="L100" s="905" t="str">
        <f t="shared" si="8"/>
        <v>no price, 0 count</v>
      </c>
      <c r="M100" s="909">
        <f>SUMIFS('Bilateral Assistance, MAIN DATA'!M:M,'Bilateral Assistance, MAIN DATA'!I:I,'Price List, Weapons &amp; Items'!B100)</f>
        <v>0</v>
      </c>
      <c r="N100" s="71">
        <f>COUNTIFS('Bilateral Assistance, MAIN DATA'!M:M,"undisclosed",'Bilateral Assistance, MAIN DATA'!I:I,'Price List, Weapons &amp; Items'!B100)</f>
        <v>1</v>
      </c>
      <c r="O100" s="910">
        <f t="shared" si="9"/>
        <v>0</v>
      </c>
      <c r="P100" s="71">
        <f>IFERROR(IF(SEARCH(B100,_xlfn.ARRAYTOTEXT('Bilateral Assistance, MAIN DATA'!I$1:I$2206))&gt;0,1,""),0)</f>
        <v>0</v>
      </c>
      <c r="Q100" s="71">
        <f>IFERROR(IF(SEARCH(B100,_xlfn.ARRAYTOTEXT('Commercial Assistance'!I$1:I$1400))&gt;0,1,""),0)</f>
        <v>0</v>
      </c>
      <c r="R100" s="905" t="str">
        <f>IF(SUMIFS('Bilateral Assistance, MAIN DATA'!N:N,'Bilateral Assistance, MAIN DATA'!I:I,'Price List, Weapons &amp; Items'!B100)&gt;M100,1,".")</f>
        <v>.</v>
      </c>
    </row>
    <row r="101" spans="2:18" ht="15" customHeight="1">
      <c r="B101" s="912" t="s">
        <v>4223</v>
      </c>
      <c r="C101" s="898" t="s">
        <v>5099</v>
      </c>
      <c r="D101" s="899" t="s">
        <v>5198</v>
      </c>
      <c r="E101" s="900">
        <v>0</v>
      </c>
      <c r="F101" s="900">
        <f t="shared" si="7"/>
        <v>0</v>
      </c>
      <c r="G101" s="892">
        <v>1100</v>
      </c>
      <c r="H101" s="908" t="str">
        <f t="shared" si="10"/>
        <v>USD</v>
      </c>
      <c r="I101" s="886" t="s">
        <v>5239</v>
      </c>
      <c r="J101" s="901" t="s">
        <v>5080</v>
      </c>
      <c r="K101" s="901" t="s">
        <v>5240</v>
      </c>
      <c r="L101" s="905" t="str">
        <f t="shared" si="8"/>
        <v>no price, 0 count</v>
      </c>
      <c r="M101" s="909">
        <f>SUMIFS('Bilateral Assistance, MAIN DATA'!M:M,'Bilateral Assistance, MAIN DATA'!I:I,'Price List, Weapons &amp; Items'!B101)</f>
        <v>0</v>
      </c>
      <c r="N101" s="71">
        <f>COUNTIFS('Bilateral Assistance, MAIN DATA'!M:M,"undisclosed",'Bilateral Assistance, MAIN DATA'!I:I,'Price List, Weapons &amp; Items'!B101)</f>
        <v>1</v>
      </c>
      <c r="O101" s="910">
        <f t="shared" si="9"/>
        <v>0</v>
      </c>
      <c r="P101" s="71">
        <f>IFERROR(IF(SEARCH(B101,_xlfn.ARRAYTOTEXT('Bilateral Assistance, MAIN DATA'!I$1:I$2206))&gt;0,1,""),0)</f>
        <v>0</v>
      </c>
      <c r="Q101" s="71">
        <f>IFERROR(IF(SEARCH(B101,_xlfn.ARRAYTOTEXT('Commercial Assistance'!I$1:I$1400))&gt;0,1,""),0)</f>
        <v>0</v>
      </c>
      <c r="R101" s="905" t="str">
        <f>IF(SUMIFS('Bilateral Assistance, MAIN DATA'!N:N,'Bilateral Assistance, MAIN DATA'!I:I,'Price List, Weapons &amp; Items'!B101)&gt;M101,1,".")</f>
        <v>.</v>
      </c>
    </row>
    <row r="102" spans="2:18" ht="15" customHeight="1">
      <c r="B102" s="912" t="s">
        <v>4233</v>
      </c>
      <c r="C102" s="898" t="s">
        <v>5177</v>
      </c>
      <c r="D102" s="899" t="s">
        <v>5226</v>
      </c>
      <c r="E102" s="900">
        <v>0</v>
      </c>
      <c r="F102" s="900">
        <f t="shared" si="7"/>
        <v>0</v>
      </c>
      <c r="G102" s="892">
        <v>1082</v>
      </c>
      <c r="H102" s="908" t="str">
        <f t="shared" si="10"/>
        <v>USD</v>
      </c>
      <c r="I102" s="886" t="s">
        <v>5241</v>
      </c>
      <c r="J102" s="901" t="s">
        <v>5089</v>
      </c>
      <c r="K102" s="901" t="s">
        <v>5242</v>
      </c>
      <c r="L102" s="905" t="str">
        <f t="shared" si="8"/>
        <v>no price, 0 count</v>
      </c>
      <c r="M102" s="909">
        <f>SUMIFS('Bilateral Assistance, MAIN DATA'!M:M,'Bilateral Assistance, MAIN DATA'!I:I,'Price List, Weapons &amp; Items'!B102)</f>
        <v>0</v>
      </c>
      <c r="N102" s="71">
        <f>COUNTIFS('Bilateral Assistance, MAIN DATA'!M:M,"undisclosed",'Bilateral Assistance, MAIN DATA'!I:I,'Price List, Weapons &amp; Items'!B102)</f>
        <v>1</v>
      </c>
      <c r="O102" s="910">
        <f t="shared" si="9"/>
        <v>0</v>
      </c>
      <c r="P102" s="71">
        <f>IFERROR(IF(SEARCH(B102,_xlfn.ARRAYTOTEXT('Bilateral Assistance, MAIN DATA'!I$1:I$2206))&gt;0,1,""),0)</f>
        <v>0</v>
      </c>
      <c r="Q102" s="71">
        <f>IFERROR(IF(SEARCH(B102,_xlfn.ARRAYTOTEXT('Commercial Assistance'!I$1:I$1400))&gt;0,1,""),0)</f>
        <v>0</v>
      </c>
      <c r="R102" s="905" t="str">
        <f>IF(SUMIFS('Bilateral Assistance, MAIN DATA'!N:N,'Bilateral Assistance, MAIN DATA'!I:I,'Price List, Weapons &amp; Items'!B102)&gt;M102,1,".")</f>
        <v>.</v>
      </c>
    </row>
    <row r="103" spans="2:18" ht="15" customHeight="1">
      <c r="B103" s="901" t="s">
        <v>1391</v>
      </c>
      <c r="C103" s="898" t="s">
        <v>5056</v>
      </c>
      <c r="D103" s="899" t="s">
        <v>5069</v>
      </c>
      <c r="E103" s="900">
        <v>0</v>
      </c>
      <c r="F103" s="900">
        <f t="shared" si="7"/>
        <v>0</v>
      </c>
      <c r="G103" s="892">
        <v>800</v>
      </c>
      <c r="H103" s="908" t="str">
        <f t="shared" si="10"/>
        <v>USD</v>
      </c>
      <c r="I103" s="886" t="s">
        <v>5243</v>
      </c>
      <c r="J103" s="901" t="s">
        <v>5082</v>
      </c>
      <c r="K103" s="1356" t="s">
        <v>5244</v>
      </c>
      <c r="L103" s="905" t="str">
        <f t="shared" si="8"/>
        <v>no price, 0 count</v>
      </c>
      <c r="M103" s="909">
        <f>SUMIFS('Bilateral Assistance, MAIN DATA'!M:M,'Bilateral Assistance, MAIN DATA'!I:I,'Price List, Weapons &amp; Items'!B103)</f>
        <v>0</v>
      </c>
      <c r="N103" s="71">
        <f>COUNTIFS('Bilateral Assistance, MAIN DATA'!M:M,"undisclosed",'Bilateral Assistance, MAIN DATA'!I:I,'Price List, Weapons &amp; Items'!B103)</f>
        <v>3</v>
      </c>
      <c r="O103" s="910">
        <f t="shared" si="9"/>
        <v>0</v>
      </c>
      <c r="P103" s="71">
        <f>IFERROR(IF(SEARCH(B103,_xlfn.ARRAYTOTEXT('Bilateral Assistance, MAIN DATA'!I$1:I$2206))&gt;0,1,""),0)</f>
        <v>0</v>
      </c>
      <c r="Q103" s="71">
        <f>IFERROR(IF(SEARCH(B103,_xlfn.ARRAYTOTEXT('Commercial Assistance'!I$1:I$1400))&gt;0,1,""),0)</f>
        <v>0</v>
      </c>
      <c r="R103" s="905" t="str">
        <f>IF(SUMIFS('Bilateral Assistance, MAIN DATA'!N:N,'Bilateral Assistance, MAIN DATA'!I:I,'Price List, Weapons &amp; Items'!B103)&gt;M103,1,".")</f>
        <v>.</v>
      </c>
    </row>
    <row r="104" spans="2:18" ht="15" customHeight="1">
      <c r="B104" s="912" t="s">
        <v>4229</v>
      </c>
      <c r="C104" s="898" t="s">
        <v>5059</v>
      </c>
      <c r="D104" s="899" t="s">
        <v>5245</v>
      </c>
      <c r="E104" s="900">
        <v>1</v>
      </c>
      <c r="F104" s="900">
        <f t="shared" si="7"/>
        <v>1</v>
      </c>
      <c r="G104" s="892">
        <v>1000</v>
      </c>
      <c r="H104" s="908" t="str">
        <f t="shared" si="10"/>
        <v>USD</v>
      </c>
      <c r="I104" s="886" t="s">
        <v>5246</v>
      </c>
      <c r="J104" s="901" t="s">
        <v>5080</v>
      </c>
      <c r="K104" s="901" t="s">
        <v>5247</v>
      </c>
      <c r="L104" s="905">
        <f t="shared" si="8"/>
        <v>2</v>
      </c>
      <c r="M104" s="909">
        <f>SUMIFS('Bilateral Assistance, MAIN DATA'!M:M,'Bilateral Assistance, MAIN DATA'!I:I,'Price List, Weapons &amp; Items'!B104)</f>
        <v>52000</v>
      </c>
      <c r="N104" s="71">
        <f>COUNTIFS('Bilateral Assistance, MAIN DATA'!M:M,"undisclosed",'Bilateral Assistance, MAIN DATA'!I:I,'Price List, Weapons &amp; Items'!B104)</f>
        <v>2</v>
      </c>
      <c r="O104" s="910">
        <f t="shared" si="9"/>
        <v>52000000</v>
      </c>
      <c r="P104" s="71">
        <f>IFERROR(IF(SEARCH(B104,_xlfn.ARRAYTOTEXT('Bilateral Assistance, MAIN DATA'!I$1:I$2206))&gt;0,1,""),0)</f>
        <v>0</v>
      </c>
      <c r="Q104" s="71">
        <f>IFERROR(IF(SEARCH(B104,_xlfn.ARRAYTOTEXT('Commercial Assistance'!I$1:I$1400))&gt;0,1,""),0)</f>
        <v>0</v>
      </c>
      <c r="R104" s="905" t="str">
        <f>IF(SUMIFS('Bilateral Assistance, MAIN DATA'!N:N,'Bilateral Assistance, MAIN DATA'!I:I,'Price List, Weapons &amp; Items'!B104)&gt;M104,1,".")</f>
        <v>.</v>
      </c>
    </row>
    <row r="105" spans="2:18" ht="15" customHeight="1">
      <c r="B105" s="912" t="s">
        <v>4045</v>
      </c>
      <c r="C105" s="898" t="s">
        <v>5056</v>
      </c>
      <c r="D105" s="899" t="s">
        <v>5091</v>
      </c>
      <c r="E105" s="900">
        <v>0</v>
      </c>
      <c r="F105" s="900">
        <f t="shared" si="7"/>
        <v>0</v>
      </c>
      <c r="G105" s="892">
        <v>223.15</v>
      </c>
      <c r="H105" s="908" t="str">
        <f t="shared" si="10"/>
        <v>USD</v>
      </c>
      <c r="I105" s="886" t="s">
        <v>5092</v>
      </c>
      <c r="J105" s="901" t="s">
        <v>5089</v>
      </c>
      <c r="K105" s="901" t="s">
        <v>5093</v>
      </c>
      <c r="L105" s="905" t="str">
        <f t="shared" si="8"/>
        <v>no price, 0 count</v>
      </c>
      <c r="M105" s="909">
        <f>SUMIFS('Bilateral Assistance, MAIN DATA'!M:M,'Bilateral Assistance, MAIN DATA'!I:I,'Price List, Weapons &amp; Items'!B105)</f>
        <v>0</v>
      </c>
      <c r="N105" s="71">
        <f>COUNTIFS('Bilateral Assistance, MAIN DATA'!M:M,"undisclosed",'Bilateral Assistance, MAIN DATA'!I:I,'Price List, Weapons &amp; Items'!B105)</f>
        <v>5</v>
      </c>
      <c r="O105" s="910">
        <f t="shared" si="9"/>
        <v>0</v>
      </c>
      <c r="P105" s="71">
        <f>IFERROR(IF(SEARCH(B105,_xlfn.ARRAYTOTEXT('Bilateral Assistance, MAIN DATA'!I$1:I$2206))&gt;0,1,""),0)</f>
        <v>0</v>
      </c>
      <c r="Q105" s="71">
        <f>IFERROR(IF(SEARCH(B105,_xlfn.ARRAYTOTEXT('Commercial Assistance'!I$1:I$1400))&gt;0,1,""),0)</f>
        <v>0</v>
      </c>
      <c r="R105" s="905" t="str">
        <f>IF(SUMIFS('Bilateral Assistance, MAIN DATA'!N:N,'Bilateral Assistance, MAIN DATA'!I:I,'Price List, Weapons &amp; Items'!B105)&gt;M105,1,".")</f>
        <v>.</v>
      </c>
    </row>
    <row r="106" spans="2:18" ht="15" customHeight="1">
      <c r="B106" s="901" t="s">
        <v>3025</v>
      </c>
      <c r="C106" s="898" t="s">
        <v>5070</v>
      </c>
      <c r="D106" s="899" t="s">
        <v>3126</v>
      </c>
      <c r="E106" s="900">
        <v>0</v>
      </c>
      <c r="F106" s="900">
        <f t="shared" si="7"/>
        <v>0</v>
      </c>
      <c r="G106" s="892">
        <v>150</v>
      </c>
      <c r="H106" s="908" t="str">
        <f t="shared" si="10"/>
        <v>USD</v>
      </c>
      <c r="I106" s="886" t="s">
        <v>5248</v>
      </c>
      <c r="J106" s="901" t="s">
        <v>5089</v>
      </c>
      <c r="K106" s="901" t="s">
        <v>5249</v>
      </c>
      <c r="L106" s="905" t="str">
        <f t="shared" si="8"/>
        <v>no price, 0 count</v>
      </c>
      <c r="M106" s="909">
        <f>SUMIFS('Bilateral Assistance, MAIN DATA'!M:M,'Bilateral Assistance, MAIN DATA'!I:I,'Price List, Weapons &amp; Items'!B106)</f>
        <v>0</v>
      </c>
      <c r="N106" s="71">
        <f>COUNTIFS('Bilateral Assistance, MAIN DATA'!M:M,"undisclosed",'Bilateral Assistance, MAIN DATA'!I:I,'Price List, Weapons &amp; Items'!B106)</f>
        <v>1</v>
      </c>
      <c r="O106" s="910">
        <f t="shared" si="9"/>
        <v>0</v>
      </c>
      <c r="P106" s="71">
        <f>IFERROR(IF(SEARCH(B106,_xlfn.ARRAYTOTEXT('Bilateral Assistance, MAIN DATA'!I$1:I$2206))&gt;0,1,""),0)</f>
        <v>0</v>
      </c>
      <c r="Q106" s="71">
        <f>IFERROR(IF(SEARCH(B106,_xlfn.ARRAYTOTEXT('Commercial Assistance'!I$1:I$1400))&gt;0,1,""),0)</f>
        <v>0</v>
      </c>
      <c r="R106" s="905" t="str">
        <f>IF(SUMIFS('Bilateral Assistance, MAIN DATA'!N:N,'Bilateral Assistance, MAIN DATA'!I:I,'Price List, Weapons &amp; Items'!B106)&gt;M106,1,".")</f>
        <v>.</v>
      </c>
    </row>
    <row r="107" spans="2:18" ht="15" customHeight="1">
      <c r="B107" s="901" t="s">
        <v>5250</v>
      </c>
      <c r="C107" s="898" t="s">
        <v>1105</v>
      </c>
      <c r="D107" s="898" t="s">
        <v>1105</v>
      </c>
      <c r="E107" s="900">
        <v>0</v>
      </c>
      <c r="F107" s="900">
        <f t="shared" si="7"/>
        <v>0</v>
      </c>
      <c r="G107" s="892">
        <v>99.18</v>
      </c>
      <c r="H107" s="908" t="str">
        <f t="shared" si="10"/>
        <v>USD</v>
      </c>
      <c r="I107" s="886" t="s">
        <v>5251</v>
      </c>
      <c r="J107" s="901" t="s">
        <v>5191</v>
      </c>
      <c r="K107" s="901" t="s">
        <v>5252</v>
      </c>
      <c r="L107" s="905" t="str">
        <f t="shared" si="8"/>
        <v>no price, 0 count</v>
      </c>
      <c r="M107" s="909">
        <f>SUMIFS('Bilateral Assistance, MAIN DATA'!M:M,'Bilateral Assistance, MAIN DATA'!I:I,'Price List, Weapons &amp; Items'!B107)</f>
        <v>0</v>
      </c>
      <c r="N107" s="71">
        <f>COUNTIFS('Bilateral Assistance, MAIN DATA'!M:M,"undisclosed",'Bilateral Assistance, MAIN DATA'!I:I,'Price List, Weapons &amp; Items'!B107)</f>
        <v>1</v>
      </c>
      <c r="O107" s="910">
        <f t="shared" si="9"/>
        <v>0</v>
      </c>
      <c r="P107" s="71">
        <f>IFERROR(IF(SEARCH(B107,_xlfn.ARRAYTOTEXT('Bilateral Assistance, MAIN DATA'!I$1:I$2206))&gt;0,1,""),0)</f>
        <v>0</v>
      </c>
      <c r="Q107" s="71">
        <f>IFERROR(IF(SEARCH(B107,_xlfn.ARRAYTOTEXT('Commercial Assistance'!I$1:I$1400))&gt;0,1,""),0)</f>
        <v>0</v>
      </c>
      <c r="R107" s="905" t="str">
        <f>IF(SUMIFS('Bilateral Assistance, MAIN DATA'!N:N,'Bilateral Assistance, MAIN DATA'!I:I,'Price List, Weapons &amp; Items'!B107)&gt;M107,1,".")</f>
        <v>.</v>
      </c>
    </row>
    <row r="108" spans="2:18" ht="15" customHeight="1">
      <c r="B108" s="912" t="s">
        <v>4043</v>
      </c>
      <c r="C108" s="898" t="s">
        <v>1105</v>
      </c>
      <c r="D108" s="898" t="s">
        <v>1105</v>
      </c>
      <c r="E108" s="900">
        <v>0</v>
      </c>
      <c r="F108" s="900">
        <f t="shared" si="7"/>
        <v>0</v>
      </c>
      <c r="G108" s="892">
        <v>90</v>
      </c>
      <c r="H108" s="908" t="str">
        <f t="shared" si="10"/>
        <v>USD</v>
      </c>
      <c r="I108" s="885" t="s">
        <v>5094</v>
      </c>
      <c r="J108" s="901" t="s">
        <v>5080</v>
      </c>
      <c r="K108" s="901" t="s">
        <v>5095</v>
      </c>
      <c r="L108" s="905" t="str">
        <f t="shared" si="8"/>
        <v>no price, 0 count</v>
      </c>
      <c r="M108" s="909">
        <f>SUMIFS('Bilateral Assistance, MAIN DATA'!M:M,'Bilateral Assistance, MAIN DATA'!I:I,'Price List, Weapons &amp; Items'!B108)</f>
        <v>0</v>
      </c>
      <c r="N108" s="71">
        <f>COUNTIFS('Bilateral Assistance, MAIN DATA'!M:M,"undisclosed",'Bilateral Assistance, MAIN DATA'!I:I,'Price List, Weapons &amp; Items'!B108)</f>
        <v>3</v>
      </c>
      <c r="O108" s="910">
        <f t="shared" si="9"/>
        <v>0</v>
      </c>
      <c r="P108" s="71">
        <f>IFERROR(IF(SEARCH(B108,_xlfn.ARRAYTOTEXT('Bilateral Assistance, MAIN DATA'!I$1:I$2206))&gt;0,1,""),0)</f>
        <v>0</v>
      </c>
      <c r="Q108" s="71">
        <f>IFERROR(IF(SEARCH(B108,_xlfn.ARRAYTOTEXT('Commercial Assistance'!I$1:I$1400))&gt;0,1,""),0)</f>
        <v>0</v>
      </c>
      <c r="R108" s="905" t="str">
        <f>IF(SUMIFS('Bilateral Assistance, MAIN DATA'!N:N,'Bilateral Assistance, MAIN DATA'!I:I,'Price List, Weapons &amp; Items'!B108)&gt;M108,1,".")</f>
        <v>.</v>
      </c>
    </row>
    <row r="109" spans="2:18" ht="15" customHeight="1">
      <c r="B109" s="71" t="s">
        <v>4172</v>
      </c>
      <c r="C109" s="898" t="s">
        <v>1105</v>
      </c>
      <c r="D109" s="898" t="s">
        <v>1105</v>
      </c>
      <c r="E109" s="900">
        <v>0</v>
      </c>
      <c r="F109" s="900">
        <f t="shared" si="7"/>
        <v>0</v>
      </c>
      <c r="G109" s="892">
        <v>90</v>
      </c>
      <c r="H109" s="908" t="str">
        <f t="shared" si="10"/>
        <v>USD</v>
      </c>
      <c r="I109" s="886" t="s">
        <v>5094</v>
      </c>
      <c r="J109" s="901" t="s">
        <v>5080</v>
      </c>
      <c r="K109" s="901" t="s">
        <v>5253</v>
      </c>
      <c r="L109" s="905" t="str">
        <f t="shared" si="8"/>
        <v>no price, 0 count</v>
      </c>
      <c r="M109" s="909">
        <f>SUMIFS('Bilateral Assistance, MAIN DATA'!M:M,'Bilateral Assistance, MAIN DATA'!I:I,'Price List, Weapons &amp; Items'!B109)</f>
        <v>0</v>
      </c>
      <c r="N109" s="71">
        <f>COUNTIFS('Bilateral Assistance, MAIN DATA'!M:M,"undisclosed",'Bilateral Assistance, MAIN DATA'!I:I,'Price List, Weapons &amp; Items'!B109)</f>
        <v>11</v>
      </c>
      <c r="O109" s="910">
        <f t="shared" si="9"/>
        <v>0</v>
      </c>
      <c r="P109" s="71">
        <f>IFERROR(IF(SEARCH(B109,_xlfn.ARRAYTOTEXT('Bilateral Assistance, MAIN DATA'!I$1:I$2206))&gt;0,1,""),0)</f>
        <v>0</v>
      </c>
      <c r="Q109" s="71">
        <f>IFERROR(IF(SEARCH(B109,_xlfn.ARRAYTOTEXT('Commercial Assistance'!I$1:I$1400))&gt;0,1,""),0)</f>
        <v>0</v>
      </c>
      <c r="R109" s="905" t="str">
        <f>IF(SUMIFS('Bilateral Assistance, MAIN DATA'!N:N,'Bilateral Assistance, MAIN DATA'!I:I,'Price List, Weapons &amp; Items'!B109)&gt;M109,1,".")</f>
        <v>.</v>
      </c>
    </row>
    <row r="110" spans="2:18" ht="15" customHeight="1">
      <c r="B110" s="901" t="s">
        <v>5254</v>
      </c>
      <c r="C110" s="898" t="s">
        <v>1105</v>
      </c>
      <c r="D110" s="898" t="s">
        <v>1105</v>
      </c>
      <c r="E110" s="900">
        <v>0</v>
      </c>
      <c r="F110" s="900">
        <f t="shared" si="7"/>
        <v>0</v>
      </c>
      <c r="G110" s="892">
        <v>62</v>
      </c>
      <c r="H110" s="908" t="str">
        <f t="shared" si="10"/>
        <v>USD</v>
      </c>
      <c r="I110" s="885" t="s">
        <v>5255</v>
      </c>
      <c r="J110" s="901" t="s">
        <v>5086</v>
      </c>
      <c r="K110" s="901" t="s">
        <v>5256</v>
      </c>
      <c r="L110" s="905">
        <f t="shared" si="8"/>
        <v>1</v>
      </c>
      <c r="M110" s="909">
        <f>SUMIFS('Bilateral Assistance, MAIN DATA'!M:M,'Bilateral Assistance, MAIN DATA'!I:I,'Price List, Weapons &amp; Items'!B110)</f>
        <v>22400</v>
      </c>
      <c r="N110" s="71">
        <f>COUNTIFS('Bilateral Assistance, MAIN DATA'!M:M,"undisclosed",'Bilateral Assistance, MAIN DATA'!I:I,'Price List, Weapons &amp; Items'!B110)</f>
        <v>1</v>
      </c>
      <c r="O110" s="910">
        <f t="shared" si="9"/>
        <v>1388800</v>
      </c>
      <c r="P110" s="71">
        <f>IFERROR(IF(SEARCH(B110,_xlfn.ARRAYTOTEXT('Bilateral Assistance, MAIN DATA'!I$1:I$2206))&gt;0,1,""),0)</f>
        <v>0</v>
      </c>
      <c r="Q110" s="71">
        <f>IFERROR(IF(SEARCH(B110,_xlfn.ARRAYTOTEXT('Commercial Assistance'!I$1:I$1400))&gt;0,1,""),0)</f>
        <v>0</v>
      </c>
      <c r="R110" s="905" t="str">
        <f>IF(SUMIFS('Bilateral Assistance, MAIN DATA'!N:N,'Bilateral Assistance, MAIN DATA'!I:I,'Price List, Weapons &amp; Items'!B110)&gt;M110,1,".")</f>
        <v>.</v>
      </c>
    </row>
    <row r="111" spans="2:18" ht="15" customHeight="1">
      <c r="B111" s="901" t="s">
        <v>5257</v>
      </c>
      <c r="C111" s="898" t="s">
        <v>1105</v>
      </c>
      <c r="D111" s="898" t="s">
        <v>1105</v>
      </c>
      <c r="E111" s="900">
        <v>0</v>
      </c>
      <c r="F111" s="900">
        <f t="shared" si="7"/>
        <v>0</v>
      </c>
      <c r="G111" s="892">
        <v>40</v>
      </c>
      <c r="H111" s="908" t="str">
        <f t="shared" si="10"/>
        <v>USD</v>
      </c>
      <c r="I111" s="885" t="s">
        <v>5258</v>
      </c>
      <c r="J111" s="901" t="s">
        <v>5086</v>
      </c>
      <c r="K111" s="901" t="s">
        <v>5259</v>
      </c>
      <c r="L111" s="905" t="str">
        <f t="shared" si="8"/>
        <v>no price, 0 count</v>
      </c>
      <c r="M111" s="909">
        <f>SUMIFS('Bilateral Assistance, MAIN DATA'!M:M,'Bilateral Assistance, MAIN DATA'!I:I,'Price List, Weapons &amp; Items'!B111)</f>
        <v>0</v>
      </c>
      <c r="N111" s="71">
        <f>COUNTIFS('Bilateral Assistance, MAIN DATA'!M:M,"undisclosed",'Bilateral Assistance, MAIN DATA'!I:I,'Price List, Weapons &amp; Items'!B111)</f>
        <v>1</v>
      </c>
      <c r="O111" s="910">
        <f t="shared" si="9"/>
        <v>0</v>
      </c>
      <c r="P111" s="71">
        <f>IFERROR(IF(SEARCH(B111,_xlfn.ARRAYTOTEXT('Bilateral Assistance, MAIN DATA'!I$1:I$2206))&gt;0,1,""),0)</f>
        <v>0</v>
      </c>
      <c r="Q111" s="71">
        <f>IFERROR(IF(SEARCH(B111,_xlfn.ARRAYTOTEXT('Commercial Assistance'!I$1:I$1400))&gt;0,1,""),0)</f>
        <v>0</v>
      </c>
      <c r="R111" s="905" t="str">
        <f>IF(SUMIFS('Bilateral Assistance, MAIN DATA'!N:N,'Bilateral Assistance, MAIN DATA'!I:I,'Price List, Weapons &amp; Items'!B111)&gt;M111,1,".")</f>
        <v>.</v>
      </c>
    </row>
    <row r="112" spans="2:18" ht="15" customHeight="1">
      <c r="B112" s="912" t="s">
        <v>5260</v>
      </c>
      <c r="C112" s="898" t="s">
        <v>1105</v>
      </c>
      <c r="D112" s="898" t="s">
        <v>1105</v>
      </c>
      <c r="E112" s="900">
        <v>0</v>
      </c>
      <c r="F112" s="900">
        <f t="shared" si="7"/>
        <v>0</v>
      </c>
      <c r="G112" s="892">
        <v>35</v>
      </c>
      <c r="H112" s="908" t="str">
        <f t="shared" si="10"/>
        <v>USD</v>
      </c>
      <c r="I112" s="885" t="s">
        <v>5261</v>
      </c>
      <c r="J112" s="901" t="s">
        <v>5086</v>
      </c>
      <c r="K112" s="901" t="s">
        <v>5262</v>
      </c>
      <c r="L112" s="905" t="str">
        <f t="shared" si="8"/>
        <v>no price, 0 count</v>
      </c>
      <c r="M112" s="909">
        <f>SUMIFS('Bilateral Assistance, MAIN DATA'!M:M,'Bilateral Assistance, MAIN DATA'!I:I,'Price List, Weapons &amp; Items'!B112)</f>
        <v>0</v>
      </c>
      <c r="N112" s="71">
        <f>COUNTIFS('Bilateral Assistance, MAIN DATA'!M:M,"undisclosed",'Bilateral Assistance, MAIN DATA'!I:I,'Price List, Weapons &amp; Items'!B112)</f>
        <v>1</v>
      </c>
      <c r="O112" s="910">
        <f t="shared" si="9"/>
        <v>0</v>
      </c>
      <c r="P112" s="71">
        <f>IFERROR(IF(SEARCH(B112,_xlfn.ARRAYTOTEXT('Bilateral Assistance, MAIN DATA'!I$1:I$2206))&gt;0,1,""),0)</f>
        <v>0</v>
      </c>
      <c r="Q112" s="71">
        <f>IFERROR(IF(SEARCH(B112,_xlfn.ARRAYTOTEXT('Commercial Assistance'!I$1:I$1400))&gt;0,1,""),0)</f>
        <v>0</v>
      </c>
      <c r="R112" s="905" t="str">
        <f>IF(SUMIFS('Bilateral Assistance, MAIN DATA'!N:N,'Bilateral Assistance, MAIN DATA'!I:I,'Price List, Weapons &amp; Items'!B112)&gt;M112,1,".")</f>
        <v>.</v>
      </c>
    </row>
    <row r="113" spans="2:18" ht="15" customHeight="1">
      <c r="B113" s="901" t="s">
        <v>5263</v>
      </c>
      <c r="C113" s="898" t="s">
        <v>5065</v>
      </c>
      <c r="D113" s="899" t="s">
        <v>1244</v>
      </c>
      <c r="E113" s="900">
        <v>0</v>
      </c>
      <c r="F113" s="900">
        <f t="shared" si="7"/>
        <v>0</v>
      </c>
      <c r="G113" s="892">
        <v>16.5</v>
      </c>
      <c r="H113" s="908" t="str">
        <f t="shared" si="10"/>
        <v>USD</v>
      </c>
      <c r="I113" s="886" t="s">
        <v>5264</v>
      </c>
      <c r="J113" s="901" t="s">
        <v>5089</v>
      </c>
      <c r="K113" s="901" t="s">
        <v>5265</v>
      </c>
      <c r="L113" s="905" t="str">
        <f t="shared" si="8"/>
        <v>no price, 0 count</v>
      </c>
      <c r="M113" s="909">
        <f>SUMIFS('Bilateral Assistance, MAIN DATA'!M:M,'Bilateral Assistance, MAIN DATA'!I:I,'Price List, Weapons &amp; Items'!B113)</f>
        <v>0</v>
      </c>
      <c r="N113" s="71">
        <f>COUNTIFS('Bilateral Assistance, MAIN DATA'!M:M,"undisclosed",'Bilateral Assistance, MAIN DATA'!I:I,'Price List, Weapons &amp; Items'!B113)</f>
        <v>2</v>
      </c>
      <c r="O113" s="910">
        <f t="shared" si="9"/>
        <v>0</v>
      </c>
      <c r="P113" s="71">
        <f>IFERROR(IF(SEARCH(B113,_xlfn.ARRAYTOTEXT('Bilateral Assistance, MAIN DATA'!I$1:I$2206))&gt;0,1,""),0)</f>
        <v>0</v>
      </c>
      <c r="Q113" s="71">
        <f>IFERROR(IF(SEARCH(B113,_xlfn.ARRAYTOTEXT('Commercial Assistance'!I$1:I$1400))&gt;0,1,""),0)</f>
        <v>0</v>
      </c>
      <c r="R113" s="905" t="str">
        <f>IF(SUMIFS('Bilateral Assistance, MAIN DATA'!N:N,'Bilateral Assistance, MAIN DATA'!I:I,'Price List, Weapons &amp; Items'!B113)&gt;M113,1,".")</f>
        <v>.</v>
      </c>
    </row>
    <row r="114" spans="2:18" ht="15" customHeight="1">
      <c r="B114" s="901" t="s">
        <v>5266</v>
      </c>
      <c r="C114" s="898" t="s">
        <v>1105</v>
      </c>
      <c r="D114" s="898" t="s">
        <v>1105</v>
      </c>
      <c r="E114" s="900">
        <v>0</v>
      </c>
      <c r="F114" s="900">
        <f t="shared" si="7"/>
        <v>0</v>
      </c>
      <c r="G114" s="892">
        <v>1.29</v>
      </c>
      <c r="H114" s="908" t="str">
        <f t="shared" si="10"/>
        <v>USD</v>
      </c>
      <c r="I114" s="886" t="s">
        <v>5267</v>
      </c>
      <c r="J114" s="901" t="s">
        <v>5089</v>
      </c>
      <c r="K114" s="901" t="s">
        <v>5268</v>
      </c>
      <c r="L114" s="905" t="str">
        <f t="shared" si="8"/>
        <v>no price, 0 count</v>
      </c>
      <c r="M114" s="909">
        <f>SUMIFS('Bilateral Assistance, MAIN DATA'!M:M,'Bilateral Assistance, MAIN DATA'!I:I,'Price List, Weapons &amp; Items'!B114)</f>
        <v>0</v>
      </c>
      <c r="N114" s="71">
        <f>COUNTIFS('Bilateral Assistance, MAIN DATA'!M:M,"undisclosed",'Bilateral Assistance, MAIN DATA'!I:I,'Price List, Weapons &amp; Items'!B114)</f>
        <v>2</v>
      </c>
      <c r="O114" s="910">
        <f t="shared" si="9"/>
        <v>0</v>
      </c>
      <c r="P114" s="71">
        <f>IFERROR(IF(SEARCH(B114,_xlfn.ARRAYTOTEXT('Bilateral Assistance, MAIN DATA'!I$1:I$2206))&gt;0,1,""),0)</f>
        <v>0</v>
      </c>
      <c r="Q114" s="71">
        <f>IFERROR(IF(SEARCH(B114,_xlfn.ARRAYTOTEXT('Commercial Assistance'!I$1:I$1400))&gt;0,1,""),0)</f>
        <v>0</v>
      </c>
      <c r="R114" s="905" t="str">
        <f>IF(SUMIFS('Bilateral Assistance, MAIN DATA'!N:N,'Bilateral Assistance, MAIN DATA'!I:I,'Price List, Weapons &amp; Items'!B114)&gt;M114,1,".")</f>
        <v>.</v>
      </c>
    </row>
    <row r="115" spans="2:18" ht="15" customHeight="1">
      <c r="B115" s="912" t="s">
        <v>5269</v>
      </c>
      <c r="C115" s="898" t="s">
        <v>5065</v>
      </c>
      <c r="D115" s="899" t="s">
        <v>5066</v>
      </c>
      <c r="E115" s="900">
        <v>0</v>
      </c>
      <c r="F115" s="900">
        <f t="shared" si="7"/>
        <v>0</v>
      </c>
      <c r="G115" s="892">
        <v>0.41799999999999998</v>
      </c>
      <c r="H115" s="908" t="str">
        <f t="shared" si="10"/>
        <v>USD</v>
      </c>
      <c r="I115" s="885" t="s">
        <v>5270</v>
      </c>
      <c r="J115" s="901" t="s">
        <v>5086</v>
      </c>
      <c r="K115" s="901" t="s">
        <v>5271</v>
      </c>
      <c r="L115" s="905" t="str">
        <f t="shared" si="8"/>
        <v>no price, 0 count</v>
      </c>
      <c r="M115" s="909">
        <f>SUMIFS('Bilateral Assistance, MAIN DATA'!M:M,'Bilateral Assistance, MAIN DATA'!I:I,'Price List, Weapons &amp; Items'!B115)</f>
        <v>0</v>
      </c>
      <c r="N115" s="71">
        <f>COUNTIFS('Bilateral Assistance, MAIN DATA'!M:M,"undisclosed",'Bilateral Assistance, MAIN DATA'!I:I,'Price List, Weapons &amp; Items'!B115)</f>
        <v>1</v>
      </c>
      <c r="O115" s="910">
        <f t="shared" si="9"/>
        <v>0</v>
      </c>
      <c r="P115" s="71">
        <f>IFERROR(IF(SEARCH(B115,_xlfn.ARRAYTOTEXT('Bilateral Assistance, MAIN DATA'!I$1:I$2206))&gt;0,1,""),0)</f>
        <v>0</v>
      </c>
      <c r="Q115" s="71">
        <f>IFERROR(IF(SEARCH(B115,_xlfn.ARRAYTOTEXT('Commercial Assistance'!I$1:I$1400))&gt;0,1,""),0)</f>
        <v>0</v>
      </c>
      <c r="R115" s="905" t="str">
        <f>IF(SUMIFS('Bilateral Assistance, MAIN DATA'!N:N,'Bilateral Assistance, MAIN DATA'!I:I,'Price List, Weapons &amp; Items'!B115)&gt;M115,1,".")</f>
        <v>.</v>
      </c>
    </row>
    <row r="116" spans="2:18" ht="15" customHeight="1">
      <c r="B116" s="901" t="s">
        <v>2531</v>
      </c>
      <c r="C116" s="898" t="s">
        <v>5062</v>
      </c>
      <c r="D116" s="899" t="s">
        <v>4154</v>
      </c>
      <c r="E116" s="900">
        <v>0</v>
      </c>
      <c r="F116" s="900">
        <f t="shared" si="7"/>
        <v>0</v>
      </c>
      <c r="G116" s="892">
        <v>291771.32972527831</v>
      </c>
      <c r="H116" s="900" t="s">
        <v>456</v>
      </c>
      <c r="I116" s="891" t="s">
        <v>5074</v>
      </c>
      <c r="J116" s="901" t="s">
        <v>5075</v>
      </c>
      <c r="K116" s="901" t="s">
        <v>5272</v>
      </c>
      <c r="L116" s="905" t="str">
        <f t="shared" si="8"/>
        <v>no price, 0 count</v>
      </c>
      <c r="M116" s="909">
        <f>SUMIFS('Bilateral Assistance, MAIN DATA'!M:M,'Bilateral Assistance, MAIN DATA'!I:I,'Price List, Weapons &amp; Items'!B116)</f>
        <v>0</v>
      </c>
      <c r="N116" s="71">
        <f>COUNTIFS('Bilateral Assistance, MAIN DATA'!M:M,"undisclosed",'Bilateral Assistance, MAIN DATA'!I:I,'Price List, Weapons &amp; Items'!B116)</f>
        <v>1</v>
      </c>
      <c r="O116" s="910">
        <f t="shared" si="9"/>
        <v>0</v>
      </c>
      <c r="P116" s="71">
        <f>IFERROR(IF(SEARCH(B116,_xlfn.ARRAYTOTEXT('Bilateral Assistance, MAIN DATA'!I$1:I$2206))&gt;0,1,""),0)</f>
        <v>0</v>
      </c>
      <c r="Q116" s="71">
        <f>IFERROR(IF(SEARCH(B116,_xlfn.ARRAYTOTEXT('Commercial Assistance'!I$1:I$1400))&gt;0,1,""),0)</f>
        <v>0</v>
      </c>
      <c r="R116" s="905" t="str">
        <f>IF(SUMIFS('Bilateral Assistance, MAIN DATA'!N:N,'Bilateral Assistance, MAIN DATA'!I:I,'Price List, Weapons &amp; Items'!B116)&gt;M116,1,".")</f>
        <v>.</v>
      </c>
    </row>
    <row r="117" spans="2:18" ht="15" customHeight="1">
      <c r="B117" s="901" t="s">
        <v>2534</v>
      </c>
      <c r="C117" s="898" t="s">
        <v>5062</v>
      </c>
      <c r="D117" s="899" t="s">
        <v>4154</v>
      </c>
      <c r="E117" s="900">
        <v>0</v>
      </c>
      <c r="F117" s="900">
        <f t="shared" si="7"/>
        <v>0</v>
      </c>
      <c r="G117" s="892">
        <v>291771.32972527831</v>
      </c>
      <c r="H117" s="900" t="s">
        <v>456</v>
      </c>
      <c r="I117" s="891" t="s">
        <v>5074</v>
      </c>
      <c r="J117" s="901" t="s">
        <v>5075</v>
      </c>
      <c r="K117" s="901" t="s">
        <v>5144</v>
      </c>
      <c r="L117" s="905" t="str">
        <f t="shared" si="8"/>
        <v>no price, 0 count</v>
      </c>
      <c r="M117" s="909">
        <f>SUMIFS('Bilateral Assistance, MAIN DATA'!M:M,'Bilateral Assistance, MAIN DATA'!I:I,'Price List, Weapons &amp; Items'!B117)</f>
        <v>0</v>
      </c>
      <c r="N117" s="71">
        <f>COUNTIFS('Bilateral Assistance, MAIN DATA'!M:M,"undisclosed",'Bilateral Assistance, MAIN DATA'!I:I,'Price List, Weapons &amp; Items'!B117)</f>
        <v>1</v>
      </c>
      <c r="O117" s="910">
        <f t="shared" si="9"/>
        <v>0</v>
      </c>
      <c r="P117" s="71">
        <f>IFERROR(IF(SEARCH(B117,_xlfn.ARRAYTOTEXT('Bilateral Assistance, MAIN DATA'!I$1:I$2206))&gt;0,1,""),0)</f>
        <v>0</v>
      </c>
      <c r="Q117" s="71">
        <f>IFERROR(IF(SEARCH(B117,_xlfn.ARRAYTOTEXT('Commercial Assistance'!I$1:I$1400))&gt;0,1,""),0)</f>
        <v>0</v>
      </c>
      <c r="R117" s="905" t="str">
        <f>IF(SUMIFS('Bilateral Assistance, MAIN DATA'!N:N,'Bilateral Assistance, MAIN DATA'!I:I,'Price List, Weapons &amp; Items'!B117)&gt;M117,1,".")</f>
        <v>.</v>
      </c>
    </row>
    <row r="118" spans="2:18" ht="15" customHeight="1">
      <c r="B118" s="71" t="s">
        <v>648</v>
      </c>
      <c r="C118" s="898" t="s">
        <v>5056</v>
      </c>
      <c r="D118" s="899" t="s">
        <v>5198</v>
      </c>
      <c r="E118" s="900">
        <v>0</v>
      </c>
      <c r="F118" s="900">
        <f t="shared" si="7"/>
        <v>0</v>
      </c>
      <c r="G118" s="892">
        <v>2099</v>
      </c>
      <c r="H118" s="908" t="str">
        <f>IF(G118&lt;&gt;".","USD",".")</f>
        <v>USD</v>
      </c>
      <c r="I118" s="885" t="s">
        <v>5273</v>
      </c>
      <c r="J118" s="901" t="s">
        <v>5080</v>
      </c>
      <c r="K118" s="901" t="s">
        <v>5274</v>
      </c>
      <c r="L118" s="905">
        <f t="shared" si="8"/>
        <v>2</v>
      </c>
      <c r="M118" s="909">
        <f>SUMIFS('Bilateral Assistance, MAIN DATA'!M:M,'Bilateral Assistance, MAIN DATA'!I:I,'Price List, Weapons &amp; Items'!B118)</f>
        <v>11700</v>
      </c>
      <c r="N118" s="71">
        <f>COUNTIFS('Bilateral Assistance, MAIN DATA'!M:M,"undisclosed",'Bilateral Assistance, MAIN DATA'!I:I,'Price List, Weapons &amp; Items'!B118)</f>
        <v>2</v>
      </c>
      <c r="O118" s="910">
        <f t="shared" si="9"/>
        <v>24558300</v>
      </c>
      <c r="P118" s="71">
        <f>IFERROR(IF(SEARCH(B118,_xlfn.ARRAYTOTEXT('Bilateral Assistance, MAIN DATA'!I$1:I$2206))&gt;0,1,""),0)</f>
        <v>0</v>
      </c>
      <c r="Q118" s="71">
        <f>IFERROR(IF(SEARCH(B118,_xlfn.ARRAYTOTEXT('Commercial Assistance'!I$1:I$1400))&gt;0,1,""),0)</f>
        <v>0</v>
      </c>
      <c r="R118" s="905" t="str">
        <f>IF(SUMIFS('Bilateral Assistance, MAIN DATA'!N:N,'Bilateral Assistance, MAIN DATA'!I:I,'Price List, Weapons &amp; Items'!B118)&gt;M118,1,".")</f>
        <v>.</v>
      </c>
    </row>
    <row r="119" spans="2:18" ht="15" customHeight="1">
      <c r="B119" s="915" t="s">
        <v>3629</v>
      </c>
      <c r="C119" s="898" t="s">
        <v>5059</v>
      </c>
      <c r="D119" s="899" t="s">
        <v>5143</v>
      </c>
      <c r="E119" s="900">
        <v>0</v>
      </c>
      <c r="F119" s="900">
        <f t="shared" si="7"/>
        <v>0</v>
      </c>
      <c r="G119" s="892">
        <v>97800</v>
      </c>
      <c r="H119" s="900" t="s">
        <v>456</v>
      </c>
      <c r="I119" s="890" t="s">
        <v>5275</v>
      </c>
      <c r="J119" s="913" t="s">
        <v>5119</v>
      </c>
      <c r="K119" s="901" t="s">
        <v>5276</v>
      </c>
      <c r="L119" s="905" t="str">
        <f t="shared" si="8"/>
        <v>no price, 0 count</v>
      </c>
      <c r="M119" s="909">
        <f>SUMIFS('Bilateral Assistance, MAIN DATA'!M:M,'Bilateral Assistance, MAIN DATA'!I:I,'Price List, Weapons &amp; Items'!B119)</f>
        <v>0</v>
      </c>
      <c r="N119" s="71">
        <f>COUNTIFS('Bilateral Assistance, MAIN DATA'!M:M,"undisclosed",'Bilateral Assistance, MAIN DATA'!I:I,'Price List, Weapons &amp; Items'!B119)</f>
        <v>2</v>
      </c>
      <c r="O119" s="910">
        <f t="shared" si="9"/>
        <v>0</v>
      </c>
      <c r="P119" s="71">
        <f>IFERROR(IF(SEARCH(B119,_xlfn.ARRAYTOTEXT('Bilateral Assistance, MAIN DATA'!I$1:I$2206))&gt;0,1,""),0)</f>
        <v>0</v>
      </c>
      <c r="Q119" s="71">
        <f>IFERROR(IF(SEARCH(B119,_xlfn.ARRAYTOTEXT('Commercial Assistance'!I$1:I$1400))&gt;0,1,""),0)</f>
        <v>0</v>
      </c>
      <c r="R119" s="905" t="str">
        <f>IF(SUMIFS('Bilateral Assistance, MAIN DATA'!N:N,'Bilateral Assistance, MAIN DATA'!I:I,'Price List, Weapons &amp; Items'!B119)&gt;M119,1,".")</f>
        <v>.</v>
      </c>
    </row>
    <row r="120" spans="2:18" ht="15" customHeight="1">
      <c r="B120" s="916" t="s">
        <v>1840</v>
      </c>
      <c r="C120" s="898" t="s">
        <v>1105</v>
      </c>
      <c r="D120" s="899" t="s">
        <v>4081</v>
      </c>
      <c r="E120" s="900">
        <v>0</v>
      </c>
      <c r="F120" s="900">
        <f t="shared" si="7"/>
        <v>0</v>
      </c>
      <c r="G120" s="892">
        <v>22000</v>
      </c>
      <c r="H120" s="900" t="s">
        <v>456</v>
      </c>
      <c r="I120" s="885" t="s">
        <v>5277</v>
      </c>
      <c r="J120" s="913" t="s">
        <v>5080</v>
      </c>
      <c r="K120" s="901" t="s">
        <v>5278</v>
      </c>
      <c r="L120" s="905">
        <f t="shared" si="8"/>
        <v>1</v>
      </c>
      <c r="M120" s="909">
        <f>SUMIFS('Bilateral Assistance, MAIN DATA'!M:M,'Bilateral Assistance, MAIN DATA'!I:I,'Price List, Weapons &amp; Items'!B120)</f>
        <v>20</v>
      </c>
      <c r="N120" s="71">
        <f>COUNTIFS('Bilateral Assistance, MAIN DATA'!M:M,"undisclosed",'Bilateral Assistance, MAIN DATA'!I:I,'Price List, Weapons &amp; Items'!B120)</f>
        <v>0</v>
      </c>
      <c r="O120" s="910">
        <f t="shared" si="9"/>
        <v>440000</v>
      </c>
      <c r="P120" s="71">
        <f>IFERROR(IF(SEARCH(B120,_xlfn.ARRAYTOTEXT('Bilateral Assistance, MAIN DATA'!I$1:I$2206))&gt;0,1,""),0)</f>
        <v>0</v>
      </c>
      <c r="Q120" s="71">
        <f>IFERROR(IF(SEARCH(B120,_xlfn.ARRAYTOTEXT('Commercial Assistance'!I$1:I$1400))&gt;0,1,""),0)</f>
        <v>0</v>
      </c>
      <c r="R120" s="905" t="str">
        <f>IF(SUMIFS('Bilateral Assistance, MAIN DATA'!N:N,'Bilateral Assistance, MAIN DATA'!I:I,'Price List, Weapons &amp; Items'!B120)&gt;M120,1,".")</f>
        <v>.</v>
      </c>
    </row>
    <row r="121" spans="2:18" ht="15" customHeight="1">
      <c r="B121" s="901" t="s">
        <v>1841</v>
      </c>
      <c r="C121" s="898" t="s">
        <v>5279</v>
      </c>
      <c r="D121" s="899" t="s">
        <v>5122</v>
      </c>
      <c r="E121" s="900">
        <v>0</v>
      </c>
      <c r="F121" s="900">
        <f t="shared" si="7"/>
        <v>0</v>
      </c>
      <c r="G121" s="892">
        <v>2799</v>
      </c>
      <c r="H121" s="900" t="s">
        <v>456</v>
      </c>
      <c r="I121" s="885" t="s">
        <v>5280</v>
      </c>
      <c r="J121" s="913" t="s">
        <v>5080</v>
      </c>
      <c r="K121" s="901" t="s">
        <v>5281</v>
      </c>
      <c r="L121" s="905" t="str">
        <f t="shared" si="8"/>
        <v>no price, 0 count</v>
      </c>
      <c r="M121" s="909">
        <f>SUMIFS('Bilateral Assistance, MAIN DATA'!M:M,'Bilateral Assistance, MAIN DATA'!I:I,'Price List, Weapons &amp; Items'!B121)</f>
        <v>0</v>
      </c>
      <c r="N121" s="71">
        <f>COUNTIFS('Bilateral Assistance, MAIN DATA'!M:M,"undisclosed",'Bilateral Assistance, MAIN DATA'!I:I,'Price List, Weapons &amp; Items'!B121)</f>
        <v>1</v>
      </c>
      <c r="O121" s="910">
        <f t="shared" si="9"/>
        <v>0</v>
      </c>
      <c r="P121" s="71">
        <f>IFERROR(IF(SEARCH(B121,_xlfn.ARRAYTOTEXT('Bilateral Assistance, MAIN DATA'!I$1:I$2206))&gt;0,1,""),0)</f>
        <v>0</v>
      </c>
      <c r="Q121" s="71">
        <f>IFERROR(IF(SEARCH(B121,_xlfn.ARRAYTOTEXT('Commercial Assistance'!I$1:I$1400))&gt;0,1,""),0)</f>
        <v>0</v>
      </c>
      <c r="R121" s="905" t="str">
        <f>IF(SUMIFS('Bilateral Assistance, MAIN DATA'!N:N,'Bilateral Assistance, MAIN DATA'!I:I,'Price List, Weapons &amp; Items'!B121)&gt;M121,1,".")</f>
        <v>.</v>
      </c>
    </row>
    <row r="122" spans="2:18" ht="15" customHeight="1">
      <c r="B122" s="71" t="s">
        <v>5282</v>
      </c>
      <c r="C122" s="915" t="s">
        <v>5062</v>
      </c>
      <c r="D122" s="916" t="s">
        <v>4696</v>
      </c>
      <c r="E122" s="900">
        <v>0</v>
      </c>
      <c r="F122" s="900">
        <f t="shared" si="7"/>
        <v>0</v>
      </c>
      <c r="G122" s="902">
        <v>325604.28000000003</v>
      </c>
      <c r="H122" s="900" t="s">
        <v>456</v>
      </c>
      <c r="I122" s="891" t="s">
        <v>5074</v>
      </c>
      <c r="J122" s="71" t="s">
        <v>5075</v>
      </c>
      <c r="K122" s="71" t="s">
        <v>5283</v>
      </c>
      <c r="L122" s="905" t="str">
        <f t="shared" si="8"/>
        <v>no price, 0 count</v>
      </c>
      <c r="M122" s="909">
        <f>SUMIFS('Bilateral Assistance, MAIN DATA'!M:M,'Bilateral Assistance, MAIN DATA'!I:I,'Price List, Weapons &amp; Items'!B122)</f>
        <v>0</v>
      </c>
      <c r="N122" s="71">
        <f>COUNTIFS('Bilateral Assistance, MAIN DATA'!M:M,"undisclosed",'Bilateral Assistance, MAIN DATA'!I:I,'Price List, Weapons &amp; Items'!B122)</f>
        <v>0</v>
      </c>
      <c r="O122" s="910">
        <f t="shared" si="9"/>
        <v>0</v>
      </c>
      <c r="P122" s="71">
        <f>IFERROR(IF(SEARCH(B122,_xlfn.ARRAYTOTEXT('Bilateral Assistance, MAIN DATA'!I$1:I$2206))&gt;0,1,""),0)</f>
        <v>0</v>
      </c>
      <c r="Q122" s="71">
        <f>IFERROR(IF(SEARCH(B122,_xlfn.ARRAYTOTEXT('Commercial Assistance'!I$1:I$1400))&gt;0,1,""),0)</f>
        <v>0</v>
      </c>
      <c r="R122" s="905" t="str">
        <f>IF(SUMIFS('Bilateral Assistance, MAIN DATA'!N:N,'Bilateral Assistance, MAIN DATA'!I:I,'Price List, Weapons &amp; Items'!B122)&gt;M122,1,".")</f>
        <v>.</v>
      </c>
    </row>
    <row r="123" spans="2:18" ht="15" customHeight="1">
      <c r="B123" s="912" t="s">
        <v>4235</v>
      </c>
      <c r="C123" s="898" t="s">
        <v>5065</v>
      </c>
      <c r="D123" s="899" t="s">
        <v>5193</v>
      </c>
      <c r="E123" s="900">
        <v>0</v>
      </c>
      <c r="F123" s="900">
        <f t="shared" si="7"/>
        <v>0</v>
      </c>
      <c r="G123" s="892" t="s">
        <v>364</v>
      </c>
      <c r="H123" s="908" t="str">
        <f t="shared" ref="H123:H136" si="11">IF(G123&lt;&gt;".","USD",".")</f>
        <v>.</v>
      </c>
      <c r="I123" s="901" t="s">
        <v>364</v>
      </c>
      <c r="J123" s="901" t="str">
        <f t="shared" ref="J123:J136" si="12">IF(I123&lt;&gt;".",".",".")</f>
        <v>.</v>
      </c>
      <c r="K123" s="901" t="s">
        <v>364</v>
      </c>
      <c r="L123" s="905" t="str">
        <f t="shared" si="8"/>
        <v>no price, 0 count</v>
      </c>
      <c r="M123" s="909">
        <f>SUMIFS('Bilateral Assistance, MAIN DATA'!M:M,'Bilateral Assistance, MAIN DATA'!I:I,'Price List, Weapons &amp; Items'!B123)</f>
        <v>0</v>
      </c>
      <c r="N123" s="71">
        <f>COUNTIFS('Bilateral Assistance, MAIN DATA'!M:M,"undisclosed",'Bilateral Assistance, MAIN DATA'!I:I,'Price List, Weapons &amp; Items'!B123)</f>
        <v>3</v>
      </c>
      <c r="O123" s="910" t="str">
        <f t="shared" si="9"/>
        <v>no price</v>
      </c>
      <c r="P123" s="71">
        <f>IFERROR(IF(SEARCH(B123,_xlfn.ARRAYTOTEXT('Bilateral Assistance, MAIN DATA'!I$1:I$2206))&gt;0,1,""),0)</f>
        <v>0</v>
      </c>
      <c r="Q123" s="71">
        <f>IFERROR(IF(SEARCH(B123,_xlfn.ARRAYTOTEXT('Commercial Assistance'!I$1:I$1400))&gt;0,1,""),0)</f>
        <v>0</v>
      </c>
      <c r="R123" s="905" t="str">
        <f>IF(SUMIFS('Bilateral Assistance, MAIN DATA'!N:N,'Bilateral Assistance, MAIN DATA'!I:I,'Price List, Weapons &amp; Items'!B123)&gt;M123,1,".")</f>
        <v>.</v>
      </c>
    </row>
    <row r="124" spans="2:18" ht="15" customHeight="1">
      <c r="B124" s="912" t="s">
        <v>5284</v>
      </c>
      <c r="C124" s="898" t="s">
        <v>1105</v>
      </c>
      <c r="D124" s="898" t="s">
        <v>1105</v>
      </c>
      <c r="E124" s="900">
        <v>0</v>
      </c>
      <c r="F124" s="900">
        <f t="shared" si="7"/>
        <v>0</v>
      </c>
      <c r="G124" s="892" t="s">
        <v>364</v>
      </c>
      <c r="H124" s="908" t="str">
        <f t="shared" si="11"/>
        <v>.</v>
      </c>
      <c r="I124" s="901" t="s">
        <v>364</v>
      </c>
      <c r="J124" s="901" t="str">
        <f t="shared" si="12"/>
        <v>.</v>
      </c>
      <c r="K124" s="901" t="s">
        <v>364</v>
      </c>
      <c r="L124" s="905" t="str">
        <f t="shared" si="8"/>
        <v>no price, 0 count</v>
      </c>
      <c r="M124" s="909">
        <f>SUMIFS('Bilateral Assistance, MAIN DATA'!M:M,'Bilateral Assistance, MAIN DATA'!I:I,'Price List, Weapons &amp; Items'!B124)</f>
        <v>0</v>
      </c>
      <c r="N124" s="71">
        <f>COUNTIFS('Bilateral Assistance, MAIN DATA'!M:M,"undisclosed",'Bilateral Assistance, MAIN DATA'!I:I,'Price List, Weapons &amp; Items'!B124)</f>
        <v>2</v>
      </c>
      <c r="O124" s="910" t="str">
        <f t="shared" si="9"/>
        <v>no price</v>
      </c>
      <c r="P124" s="71">
        <f>IFERROR(IF(SEARCH(B124,_xlfn.ARRAYTOTEXT('Bilateral Assistance, MAIN DATA'!I$1:I$2206))&gt;0,1,""),0)</f>
        <v>0</v>
      </c>
      <c r="Q124" s="71">
        <f>IFERROR(IF(SEARCH(B124,_xlfn.ARRAYTOTEXT('Commercial Assistance'!I$1:I$1400))&gt;0,1,""),0)</f>
        <v>0</v>
      </c>
      <c r="R124" s="905" t="str">
        <f>IF(SUMIFS('Bilateral Assistance, MAIN DATA'!N:N,'Bilateral Assistance, MAIN DATA'!I:I,'Price List, Weapons &amp; Items'!B124)&gt;M124,1,".")</f>
        <v>.</v>
      </c>
    </row>
    <row r="125" spans="2:18" ht="15" customHeight="1">
      <c r="B125" s="901" t="s">
        <v>4328</v>
      </c>
      <c r="C125" s="898" t="s">
        <v>1105</v>
      </c>
      <c r="D125" s="898" t="s">
        <v>1105</v>
      </c>
      <c r="E125" s="900">
        <v>0</v>
      </c>
      <c r="F125" s="900">
        <f t="shared" si="7"/>
        <v>0</v>
      </c>
      <c r="G125" s="892" t="s">
        <v>364</v>
      </c>
      <c r="H125" s="908" t="str">
        <f t="shared" si="11"/>
        <v>.</v>
      </c>
      <c r="I125" s="901" t="s">
        <v>364</v>
      </c>
      <c r="J125" s="901" t="str">
        <f t="shared" si="12"/>
        <v>.</v>
      </c>
      <c r="K125" s="901" t="s">
        <v>364</v>
      </c>
      <c r="L125" s="905" t="str">
        <f t="shared" si="8"/>
        <v>no price, 0 count</v>
      </c>
      <c r="M125" s="909">
        <f>SUMIFS('Bilateral Assistance, MAIN DATA'!M:M,'Bilateral Assistance, MAIN DATA'!I:I,'Price List, Weapons &amp; Items'!B125)</f>
        <v>0</v>
      </c>
      <c r="N125" s="71">
        <f>COUNTIFS('Bilateral Assistance, MAIN DATA'!M:M,"undisclosed",'Bilateral Assistance, MAIN DATA'!I:I,'Price List, Weapons &amp; Items'!B125)</f>
        <v>10</v>
      </c>
      <c r="O125" s="910" t="str">
        <f t="shared" si="9"/>
        <v>no price</v>
      </c>
      <c r="P125" s="71">
        <f>IFERROR(IF(SEARCH(B125,_xlfn.ARRAYTOTEXT('Bilateral Assistance, MAIN DATA'!I$1:I$2206))&gt;0,1,""),0)</f>
        <v>0</v>
      </c>
      <c r="Q125" s="71">
        <f>IFERROR(IF(SEARCH(B125,_xlfn.ARRAYTOTEXT('Commercial Assistance'!I$1:I$1400))&gt;0,1,""),0)</f>
        <v>0</v>
      </c>
      <c r="R125" s="905" t="str">
        <f>IF(SUMIFS('Bilateral Assistance, MAIN DATA'!N:N,'Bilateral Assistance, MAIN DATA'!I:I,'Price List, Weapons &amp; Items'!B125)&gt;M125,1,".")</f>
        <v>.</v>
      </c>
    </row>
    <row r="126" spans="2:18" ht="15" customHeight="1">
      <c r="B126" s="901" t="s">
        <v>5285</v>
      </c>
      <c r="C126" s="898" t="s">
        <v>5059</v>
      </c>
      <c r="D126" s="898" t="s">
        <v>1105</v>
      </c>
      <c r="E126" s="900">
        <v>0</v>
      </c>
      <c r="F126" s="900">
        <f t="shared" si="7"/>
        <v>0</v>
      </c>
      <c r="G126" s="892" t="s">
        <v>364</v>
      </c>
      <c r="H126" s="908" t="str">
        <f t="shared" si="11"/>
        <v>.</v>
      </c>
      <c r="I126" s="913" t="s">
        <v>364</v>
      </c>
      <c r="J126" s="901" t="str">
        <f t="shared" si="12"/>
        <v>.</v>
      </c>
      <c r="K126" s="901" t="s">
        <v>364</v>
      </c>
      <c r="L126" s="905" t="str">
        <f t="shared" si="8"/>
        <v>no price, 0 count</v>
      </c>
      <c r="M126" s="909">
        <f>SUMIFS('Bilateral Assistance, MAIN DATA'!M:M,'Bilateral Assistance, MAIN DATA'!I:I,'Price List, Weapons &amp; Items'!B126)</f>
        <v>0</v>
      </c>
      <c r="N126" s="71">
        <f>COUNTIFS('Bilateral Assistance, MAIN DATA'!M:M,"undisclosed",'Bilateral Assistance, MAIN DATA'!I:I,'Price List, Weapons &amp; Items'!B126)</f>
        <v>1</v>
      </c>
      <c r="O126" s="910" t="str">
        <f t="shared" si="9"/>
        <v>no price</v>
      </c>
      <c r="P126" s="71">
        <f>IFERROR(IF(SEARCH(B126,_xlfn.ARRAYTOTEXT('Bilateral Assistance, MAIN DATA'!I$1:I$2206))&gt;0,1,""),0)</f>
        <v>0</v>
      </c>
      <c r="Q126" s="71">
        <f>IFERROR(IF(SEARCH(B126,_xlfn.ARRAYTOTEXT('Commercial Assistance'!I$1:I$1400))&gt;0,1,""),0)</f>
        <v>0</v>
      </c>
      <c r="R126" s="905" t="str">
        <f>IF(SUMIFS('Bilateral Assistance, MAIN DATA'!N:N,'Bilateral Assistance, MAIN DATA'!I:I,'Price List, Weapons &amp; Items'!B126)&gt;M126,1,".")</f>
        <v>.</v>
      </c>
    </row>
    <row r="127" spans="2:18" ht="15" customHeight="1">
      <c r="B127" s="901" t="s">
        <v>3842</v>
      </c>
      <c r="C127" s="898" t="s">
        <v>1105</v>
      </c>
      <c r="D127" s="898" t="s">
        <v>1105</v>
      </c>
      <c r="E127" s="900">
        <v>0</v>
      </c>
      <c r="F127" s="900">
        <f t="shared" si="7"/>
        <v>0</v>
      </c>
      <c r="G127" s="892" t="s">
        <v>364</v>
      </c>
      <c r="H127" s="908" t="str">
        <f t="shared" si="11"/>
        <v>.</v>
      </c>
      <c r="I127" s="913" t="s">
        <v>364</v>
      </c>
      <c r="J127" s="901" t="str">
        <f t="shared" si="12"/>
        <v>.</v>
      </c>
      <c r="K127" s="901" t="s">
        <v>364</v>
      </c>
      <c r="L127" s="905" t="str">
        <f t="shared" si="8"/>
        <v>no price, 0 count</v>
      </c>
      <c r="M127" s="909">
        <f>SUMIFS('Bilateral Assistance, MAIN DATA'!M:M,'Bilateral Assistance, MAIN DATA'!I:I,'Price List, Weapons &amp; Items'!B127)</f>
        <v>0</v>
      </c>
      <c r="N127" s="71">
        <f>COUNTIFS('Bilateral Assistance, MAIN DATA'!M:M,"undisclosed",'Bilateral Assistance, MAIN DATA'!I:I,'Price List, Weapons &amp; Items'!B127)</f>
        <v>1</v>
      </c>
      <c r="O127" s="910" t="str">
        <f t="shared" si="9"/>
        <v>no price</v>
      </c>
      <c r="P127" s="71">
        <f>IFERROR(IF(SEARCH(B127,_xlfn.ARRAYTOTEXT('Bilateral Assistance, MAIN DATA'!I$1:I$2206))&gt;0,1,""),0)</f>
        <v>0</v>
      </c>
      <c r="Q127" s="71">
        <f>IFERROR(IF(SEARCH(B127,_xlfn.ARRAYTOTEXT('Commercial Assistance'!I$1:I$1400))&gt;0,1,""),0)</f>
        <v>0</v>
      </c>
      <c r="R127" s="905" t="str">
        <f>IF(SUMIFS('Bilateral Assistance, MAIN DATA'!N:N,'Bilateral Assistance, MAIN DATA'!I:I,'Price List, Weapons &amp; Items'!B127)&gt;M127,1,".")</f>
        <v>.</v>
      </c>
    </row>
    <row r="128" spans="2:18" ht="15" customHeight="1">
      <c r="B128" s="901" t="s">
        <v>2451</v>
      </c>
      <c r="C128" s="898" t="s">
        <v>1105</v>
      </c>
      <c r="D128" s="898" t="s">
        <v>1105</v>
      </c>
      <c r="E128" s="900">
        <v>0</v>
      </c>
      <c r="F128" s="900">
        <f t="shared" si="7"/>
        <v>0</v>
      </c>
      <c r="G128" s="892" t="s">
        <v>364</v>
      </c>
      <c r="H128" s="908" t="str">
        <f t="shared" si="11"/>
        <v>.</v>
      </c>
      <c r="I128" s="901" t="s">
        <v>364</v>
      </c>
      <c r="J128" s="901" t="str">
        <f t="shared" si="12"/>
        <v>.</v>
      </c>
      <c r="K128" s="901" t="s">
        <v>364</v>
      </c>
      <c r="L128" s="905" t="str">
        <f t="shared" si="8"/>
        <v>no price, 0 count</v>
      </c>
      <c r="M128" s="909">
        <f>SUMIFS('Bilateral Assistance, MAIN DATA'!M:M,'Bilateral Assistance, MAIN DATA'!I:I,'Price List, Weapons &amp; Items'!B128)</f>
        <v>0</v>
      </c>
      <c r="N128" s="71">
        <f>COUNTIFS('Bilateral Assistance, MAIN DATA'!M:M,"undisclosed",'Bilateral Assistance, MAIN DATA'!I:I,'Price List, Weapons &amp; Items'!B128)</f>
        <v>2</v>
      </c>
      <c r="O128" s="910" t="str">
        <f t="shared" si="9"/>
        <v>no price</v>
      </c>
      <c r="P128" s="71">
        <f>IFERROR(IF(SEARCH(B128,_xlfn.ARRAYTOTEXT('Bilateral Assistance, MAIN DATA'!I$1:I$2206))&gt;0,1,""),0)</f>
        <v>0</v>
      </c>
      <c r="Q128" s="71">
        <f>IFERROR(IF(SEARCH(B128,_xlfn.ARRAYTOTEXT('Commercial Assistance'!I$1:I$1400))&gt;0,1,""),0)</f>
        <v>0</v>
      </c>
      <c r="R128" s="905" t="str">
        <f>IF(SUMIFS('Bilateral Assistance, MAIN DATA'!N:N,'Bilateral Assistance, MAIN DATA'!I:I,'Price List, Weapons &amp; Items'!B128)&gt;M128,1,".")</f>
        <v>.</v>
      </c>
    </row>
    <row r="129" spans="1:18" ht="15" customHeight="1">
      <c r="B129" s="901" t="s">
        <v>1397</v>
      </c>
      <c r="C129" s="898" t="s">
        <v>1105</v>
      </c>
      <c r="D129" s="898" t="s">
        <v>1105</v>
      </c>
      <c r="E129" s="900">
        <v>0</v>
      </c>
      <c r="F129" s="900">
        <f t="shared" si="7"/>
        <v>0</v>
      </c>
      <c r="G129" s="892" t="s">
        <v>364</v>
      </c>
      <c r="H129" s="908" t="str">
        <f t="shared" si="11"/>
        <v>.</v>
      </c>
      <c r="I129" s="913" t="s">
        <v>364</v>
      </c>
      <c r="J129" s="901" t="str">
        <f t="shared" si="12"/>
        <v>.</v>
      </c>
      <c r="K129" s="901" t="s">
        <v>364</v>
      </c>
      <c r="L129" s="905" t="str">
        <f t="shared" si="8"/>
        <v>no price, 0 count</v>
      </c>
      <c r="M129" s="909">
        <f>SUMIFS('Bilateral Assistance, MAIN DATA'!M:M,'Bilateral Assistance, MAIN DATA'!I:I,'Price List, Weapons &amp; Items'!B129)</f>
        <v>0</v>
      </c>
      <c r="N129" s="71">
        <f>COUNTIFS('Bilateral Assistance, MAIN DATA'!M:M,"undisclosed",'Bilateral Assistance, MAIN DATA'!I:I,'Price List, Weapons &amp; Items'!B129)</f>
        <v>3</v>
      </c>
      <c r="O129" s="910" t="str">
        <f t="shared" si="9"/>
        <v>no price</v>
      </c>
      <c r="P129" s="71">
        <f>IFERROR(IF(SEARCH(B129,_xlfn.ARRAYTOTEXT('Bilateral Assistance, MAIN DATA'!I$1:I$2206))&gt;0,1,""),0)</f>
        <v>0</v>
      </c>
      <c r="Q129" s="71">
        <f>IFERROR(IF(SEARCH(B129,_xlfn.ARRAYTOTEXT('Commercial Assistance'!I$1:I$1400))&gt;0,1,""),0)</f>
        <v>0</v>
      </c>
      <c r="R129" s="905" t="str">
        <f>IF(SUMIFS('Bilateral Assistance, MAIN DATA'!N:N,'Bilateral Assistance, MAIN DATA'!I:I,'Price List, Weapons &amp; Items'!B129)&gt;M129,1,".")</f>
        <v>.</v>
      </c>
    </row>
    <row r="130" spans="1:18" s="919" customFormat="1" ht="15" customHeight="1">
      <c r="A130" s="71"/>
      <c r="B130" s="912" t="s">
        <v>3317</v>
      </c>
      <c r="C130" s="898" t="s">
        <v>5065</v>
      </c>
      <c r="D130" s="899" t="s">
        <v>5066</v>
      </c>
      <c r="E130" s="900">
        <v>0</v>
      </c>
      <c r="F130" s="900">
        <f t="shared" si="7"/>
        <v>0</v>
      </c>
      <c r="G130" s="892" t="s">
        <v>364</v>
      </c>
      <c r="H130" s="908" t="str">
        <f t="shared" si="11"/>
        <v>.</v>
      </c>
      <c r="I130" s="913" t="s">
        <v>364</v>
      </c>
      <c r="J130" s="901" t="str">
        <f t="shared" si="12"/>
        <v>.</v>
      </c>
      <c r="K130" s="901" t="s">
        <v>364</v>
      </c>
      <c r="L130" s="905" t="str">
        <f t="shared" si="8"/>
        <v>no price, 0 count</v>
      </c>
      <c r="M130" s="909">
        <f>SUMIFS('Bilateral Assistance, MAIN DATA'!M:M,'Bilateral Assistance, MAIN DATA'!I:I,'Price List, Weapons &amp; Items'!B130)</f>
        <v>0</v>
      </c>
      <c r="N130" s="71">
        <f>COUNTIFS('Bilateral Assistance, MAIN DATA'!M:M,"undisclosed",'Bilateral Assistance, MAIN DATA'!I:I,'Price List, Weapons &amp; Items'!B130)</f>
        <v>2</v>
      </c>
      <c r="O130" s="910" t="str">
        <f t="shared" si="9"/>
        <v>no price</v>
      </c>
      <c r="P130" s="71">
        <f>IFERROR(IF(SEARCH(B130,_xlfn.ARRAYTOTEXT('Bilateral Assistance, MAIN DATA'!I$1:I$2206))&gt;0,1,""),0)</f>
        <v>0</v>
      </c>
      <c r="Q130" s="71">
        <f>IFERROR(IF(SEARCH(B130,_xlfn.ARRAYTOTEXT('Commercial Assistance'!I$1:I$1400))&gt;0,1,""),0)</f>
        <v>0</v>
      </c>
      <c r="R130" s="905" t="str">
        <f>IF(SUMIFS('Bilateral Assistance, MAIN DATA'!N:N,'Bilateral Assistance, MAIN DATA'!I:I,'Price List, Weapons &amp; Items'!B130)&gt;M130,1,".")</f>
        <v>.</v>
      </c>
    </row>
    <row r="131" spans="1:18" ht="15" customHeight="1">
      <c r="B131" s="914" t="s">
        <v>5286</v>
      </c>
      <c r="C131" s="898" t="s">
        <v>1105</v>
      </c>
      <c r="D131" s="898" t="s">
        <v>1105</v>
      </c>
      <c r="E131" s="900">
        <v>0</v>
      </c>
      <c r="F131" s="900">
        <f t="shared" si="7"/>
        <v>0</v>
      </c>
      <c r="G131" s="892" t="s">
        <v>364</v>
      </c>
      <c r="H131" s="908" t="str">
        <f t="shared" si="11"/>
        <v>.</v>
      </c>
      <c r="I131" s="913" t="s">
        <v>364</v>
      </c>
      <c r="J131" s="901" t="str">
        <f t="shared" si="12"/>
        <v>.</v>
      </c>
      <c r="K131" s="901" t="s">
        <v>364</v>
      </c>
      <c r="L131" s="905" t="str">
        <f t="shared" si="8"/>
        <v>no price, 0 count</v>
      </c>
      <c r="M131" s="909">
        <f>SUMIFS('Bilateral Assistance, MAIN DATA'!M:M,'Bilateral Assistance, MAIN DATA'!I:I,'Price List, Weapons &amp; Items'!B131)</f>
        <v>0</v>
      </c>
      <c r="N131" s="71">
        <f>COUNTIFS('Bilateral Assistance, MAIN DATA'!M:M,"undisclosed",'Bilateral Assistance, MAIN DATA'!I:I,'Price List, Weapons &amp; Items'!B131)</f>
        <v>1</v>
      </c>
      <c r="O131" s="910" t="str">
        <f t="shared" si="9"/>
        <v>no price</v>
      </c>
      <c r="P131" s="71">
        <f>IFERROR(IF(SEARCH(B131,_xlfn.ARRAYTOTEXT('Bilateral Assistance, MAIN DATA'!I$1:I$2206))&gt;0,1,""),0)</f>
        <v>0</v>
      </c>
      <c r="Q131" s="71">
        <f>IFERROR(IF(SEARCH(B131,_xlfn.ARRAYTOTEXT('Commercial Assistance'!I$1:I$1400))&gt;0,1,""),0)</f>
        <v>0</v>
      </c>
      <c r="R131" s="905" t="str">
        <f>IF(SUMIFS('Bilateral Assistance, MAIN DATA'!N:N,'Bilateral Assistance, MAIN DATA'!I:I,'Price List, Weapons &amp; Items'!B131)&gt;M131,1,".")</f>
        <v>.</v>
      </c>
    </row>
    <row r="132" spans="1:18" ht="15" customHeight="1">
      <c r="B132" s="912" t="s">
        <v>2635</v>
      </c>
      <c r="C132" s="898" t="s">
        <v>1105</v>
      </c>
      <c r="D132" s="898" t="s">
        <v>1105</v>
      </c>
      <c r="E132" s="900">
        <v>0</v>
      </c>
      <c r="F132" s="900">
        <f t="shared" si="7"/>
        <v>0</v>
      </c>
      <c r="G132" s="892" t="s">
        <v>364</v>
      </c>
      <c r="H132" s="908" t="str">
        <f t="shared" si="11"/>
        <v>.</v>
      </c>
      <c r="I132" s="913" t="s">
        <v>364</v>
      </c>
      <c r="J132" s="901" t="str">
        <f t="shared" si="12"/>
        <v>.</v>
      </c>
      <c r="K132" s="901" t="s">
        <v>364</v>
      </c>
      <c r="L132" s="905">
        <f t="shared" si="8"/>
        <v>0</v>
      </c>
      <c r="M132" s="909">
        <f>SUMIFS('Bilateral Assistance, MAIN DATA'!M:M,'Bilateral Assistance, MAIN DATA'!I:I,'Price List, Weapons &amp; Items'!B132)</f>
        <v>50</v>
      </c>
      <c r="N132" s="71">
        <f>COUNTIFS('Bilateral Assistance, MAIN DATA'!M:M,"undisclosed",'Bilateral Assistance, MAIN DATA'!I:I,'Price List, Weapons &amp; Items'!B132)</f>
        <v>4</v>
      </c>
      <c r="O132" s="910" t="str">
        <f t="shared" si="9"/>
        <v>no price</v>
      </c>
      <c r="P132" s="71">
        <f>IFERROR(IF(SEARCH(B132,_xlfn.ARRAYTOTEXT('Bilateral Assistance, MAIN DATA'!I$1:I$2206))&gt;0,1,""),0)</f>
        <v>0</v>
      </c>
      <c r="Q132" s="71">
        <f>IFERROR(IF(SEARCH(B132,_xlfn.ARRAYTOTEXT('Commercial Assistance'!I$1:I$1400))&gt;0,1,""),0)</f>
        <v>0</v>
      </c>
      <c r="R132" s="905" t="str">
        <f>IF(SUMIFS('Bilateral Assistance, MAIN DATA'!N:N,'Bilateral Assistance, MAIN DATA'!I:I,'Price List, Weapons &amp; Items'!B132)&gt;M132,1,".")</f>
        <v>.</v>
      </c>
    </row>
    <row r="133" spans="1:18" ht="15" customHeight="1">
      <c r="B133" s="914" t="s">
        <v>1386</v>
      </c>
      <c r="C133" s="898" t="s">
        <v>5070</v>
      </c>
      <c r="D133" s="899" t="s">
        <v>5287</v>
      </c>
      <c r="E133" s="900">
        <v>0</v>
      </c>
      <c r="F133" s="900">
        <f t="shared" si="7"/>
        <v>0</v>
      </c>
      <c r="G133" s="892" t="s">
        <v>364</v>
      </c>
      <c r="H133" s="908" t="str">
        <f t="shared" si="11"/>
        <v>.</v>
      </c>
      <c r="I133" s="913" t="s">
        <v>364</v>
      </c>
      <c r="J133" s="901" t="str">
        <f t="shared" si="12"/>
        <v>.</v>
      </c>
      <c r="K133" s="901" t="s">
        <v>364</v>
      </c>
      <c r="L133" s="905" t="str">
        <f t="shared" si="8"/>
        <v>no price, 0 count</v>
      </c>
      <c r="M133" s="909">
        <f>SUMIFS('Bilateral Assistance, MAIN DATA'!M:M,'Bilateral Assistance, MAIN DATA'!I:I,'Price List, Weapons &amp; Items'!B133)</f>
        <v>0</v>
      </c>
      <c r="N133" s="71">
        <f>COUNTIFS('Bilateral Assistance, MAIN DATA'!M:M,"undisclosed",'Bilateral Assistance, MAIN DATA'!I:I,'Price List, Weapons &amp; Items'!B133)</f>
        <v>3</v>
      </c>
      <c r="O133" s="910" t="str">
        <f t="shared" si="9"/>
        <v>no price</v>
      </c>
      <c r="P133" s="71">
        <f>IFERROR(IF(SEARCH(B133,_xlfn.ARRAYTOTEXT('Bilateral Assistance, MAIN DATA'!I$1:I$2206))&gt;0,1,""),0)</f>
        <v>0</v>
      </c>
      <c r="Q133" s="71">
        <f>IFERROR(IF(SEARCH(B133,_xlfn.ARRAYTOTEXT('Commercial Assistance'!I$1:I$1400))&gt;0,1,""),0)</f>
        <v>0</v>
      </c>
      <c r="R133" s="905" t="str">
        <f>IF(SUMIFS('Bilateral Assistance, MAIN DATA'!N:N,'Bilateral Assistance, MAIN DATA'!I:I,'Price List, Weapons &amp; Items'!B133)&gt;M133,1,".")</f>
        <v>.</v>
      </c>
    </row>
    <row r="134" spans="1:18" ht="15" customHeight="1">
      <c r="B134" s="914" t="s">
        <v>5288</v>
      </c>
      <c r="C134" s="898" t="s">
        <v>5099</v>
      </c>
      <c r="D134" s="899" t="s">
        <v>5287</v>
      </c>
      <c r="E134" s="900">
        <v>0</v>
      </c>
      <c r="F134" s="900">
        <f t="shared" si="7"/>
        <v>0</v>
      </c>
      <c r="G134" s="892" t="s">
        <v>364</v>
      </c>
      <c r="H134" s="908" t="str">
        <f t="shared" si="11"/>
        <v>.</v>
      </c>
      <c r="I134" s="913" t="s">
        <v>364</v>
      </c>
      <c r="J134" s="901" t="str">
        <f t="shared" si="12"/>
        <v>.</v>
      </c>
      <c r="K134" s="901" t="s">
        <v>364</v>
      </c>
      <c r="L134" s="905" t="str">
        <f t="shared" si="8"/>
        <v>no price, 0 count</v>
      </c>
      <c r="M134" s="909">
        <f>SUMIFS('Bilateral Assistance, MAIN DATA'!M:M,'Bilateral Assistance, MAIN DATA'!I:I,'Price List, Weapons &amp; Items'!B134)</f>
        <v>0</v>
      </c>
      <c r="N134" s="71">
        <f>COUNTIFS('Bilateral Assistance, MAIN DATA'!M:M,"undisclosed",'Bilateral Assistance, MAIN DATA'!I:I,'Price List, Weapons &amp; Items'!B134)</f>
        <v>1</v>
      </c>
      <c r="O134" s="910" t="str">
        <f t="shared" si="9"/>
        <v>no price</v>
      </c>
      <c r="P134" s="71">
        <f>IFERROR(IF(SEARCH(B134,_xlfn.ARRAYTOTEXT('Bilateral Assistance, MAIN DATA'!I$1:I$2206))&gt;0,1,""),0)</f>
        <v>0</v>
      </c>
      <c r="Q134" s="71">
        <f>IFERROR(IF(SEARCH(B134,_xlfn.ARRAYTOTEXT('Commercial Assistance'!I$1:I$1400))&gt;0,1,""),0)</f>
        <v>0</v>
      </c>
      <c r="R134" s="905" t="str">
        <f>IF(SUMIFS('Bilateral Assistance, MAIN DATA'!N:N,'Bilateral Assistance, MAIN DATA'!I:I,'Price List, Weapons &amp; Items'!B134)&gt;M134,1,".")</f>
        <v>.</v>
      </c>
    </row>
    <row r="135" spans="1:18" ht="15" customHeight="1">
      <c r="B135" s="901" t="s">
        <v>5289</v>
      </c>
      <c r="C135" s="898" t="s">
        <v>5062</v>
      </c>
      <c r="D135" s="899" t="s">
        <v>5146</v>
      </c>
      <c r="E135" s="900">
        <v>0</v>
      </c>
      <c r="F135" s="900">
        <f t="shared" si="7"/>
        <v>0</v>
      </c>
      <c r="G135" s="892" t="s">
        <v>364</v>
      </c>
      <c r="H135" s="908" t="str">
        <f t="shared" si="11"/>
        <v>.</v>
      </c>
      <c r="I135" s="913" t="s">
        <v>364</v>
      </c>
      <c r="J135" s="901" t="str">
        <f t="shared" si="12"/>
        <v>.</v>
      </c>
      <c r="K135" s="901" t="s">
        <v>364</v>
      </c>
      <c r="L135" s="905" t="str">
        <f t="shared" si="8"/>
        <v>no price, 0 count</v>
      </c>
      <c r="M135" s="909">
        <f>SUMIFS('Bilateral Assistance, MAIN DATA'!M:M,'Bilateral Assistance, MAIN DATA'!I:I,'Price List, Weapons &amp; Items'!B135)</f>
        <v>0</v>
      </c>
      <c r="N135" s="71">
        <f>COUNTIFS('Bilateral Assistance, MAIN DATA'!M:M,"undisclosed",'Bilateral Assistance, MAIN DATA'!I:I,'Price List, Weapons &amp; Items'!B135)</f>
        <v>1</v>
      </c>
      <c r="O135" s="910" t="str">
        <f t="shared" si="9"/>
        <v>no price</v>
      </c>
      <c r="P135" s="71">
        <f>IFERROR(IF(SEARCH(B135,_xlfn.ARRAYTOTEXT('Bilateral Assistance, MAIN DATA'!I$1:I$2206))&gt;0,1,""),0)</f>
        <v>0</v>
      </c>
      <c r="Q135" s="71">
        <f>IFERROR(IF(SEARCH(B135,_xlfn.ARRAYTOTEXT('Commercial Assistance'!I$1:I$1400))&gt;0,1,""),0)</f>
        <v>0</v>
      </c>
      <c r="R135" s="905" t="str">
        <f>IF(SUMIFS('Bilateral Assistance, MAIN DATA'!N:N,'Bilateral Assistance, MAIN DATA'!I:I,'Price List, Weapons &amp; Items'!B135)&gt;M135,1,".")</f>
        <v>.</v>
      </c>
    </row>
    <row r="136" spans="1:18" ht="15" customHeight="1">
      <c r="B136" s="71" t="s">
        <v>5290</v>
      </c>
      <c r="C136" s="915" t="s">
        <v>5056</v>
      </c>
      <c r="D136" s="899" t="s">
        <v>5066</v>
      </c>
      <c r="E136" s="900">
        <v>0</v>
      </c>
      <c r="F136" s="900">
        <f t="shared" si="7"/>
        <v>0</v>
      </c>
      <c r="G136" s="892" t="s">
        <v>364</v>
      </c>
      <c r="H136" s="908" t="str">
        <f t="shared" si="11"/>
        <v>.</v>
      </c>
      <c r="I136" s="1356" t="s">
        <v>364</v>
      </c>
      <c r="J136" s="901" t="str">
        <f t="shared" si="12"/>
        <v>.</v>
      </c>
      <c r="K136" s="1356" t="s">
        <v>364</v>
      </c>
      <c r="L136" s="905" t="str">
        <f t="shared" si="8"/>
        <v>no price, 0 count</v>
      </c>
      <c r="M136" s="909">
        <f>SUMIFS('Bilateral Assistance, MAIN DATA'!M:M,'Bilateral Assistance, MAIN DATA'!I:I,'Price List, Weapons &amp; Items'!B136)</f>
        <v>0</v>
      </c>
      <c r="N136" s="71">
        <f>COUNTIFS('Bilateral Assistance, MAIN DATA'!M:M,"undisclosed",'Bilateral Assistance, MAIN DATA'!I:I,'Price List, Weapons &amp; Items'!B136)</f>
        <v>1</v>
      </c>
      <c r="O136" s="910" t="str">
        <f t="shared" si="9"/>
        <v>no price</v>
      </c>
      <c r="P136" s="71">
        <f>IFERROR(IF(SEARCH(B136,_xlfn.ARRAYTOTEXT('Bilateral Assistance, MAIN DATA'!I$1:I$2206))&gt;0,1,""),0)</f>
        <v>0</v>
      </c>
      <c r="Q136" s="71">
        <f>IFERROR(IF(SEARCH(B136,_xlfn.ARRAYTOTEXT('Commercial Assistance'!I$1:I$1400))&gt;0,1,""),0)</f>
        <v>0</v>
      </c>
      <c r="R136" s="905" t="str">
        <f>IF(SUMIFS('Bilateral Assistance, MAIN DATA'!N:N,'Bilateral Assistance, MAIN DATA'!I:I,'Price List, Weapons &amp; Items'!B136)&gt;M136,1,".")</f>
        <v>.</v>
      </c>
    </row>
    <row r="137" spans="1:18" ht="15" customHeight="1">
      <c r="B137" s="901" t="s">
        <v>2917</v>
      </c>
      <c r="C137" s="898" t="s">
        <v>5099</v>
      </c>
      <c r="D137" s="899" t="s">
        <v>5100</v>
      </c>
      <c r="E137" s="900">
        <v>0</v>
      </c>
      <c r="F137" s="900">
        <f t="shared" si="7"/>
        <v>0</v>
      </c>
      <c r="G137" s="892" t="s">
        <v>364</v>
      </c>
      <c r="H137" s="900" t="s">
        <v>456</v>
      </c>
      <c r="I137" s="913" t="s">
        <v>364</v>
      </c>
      <c r="J137" s="913" t="s">
        <v>364</v>
      </c>
      <c r="K137" s="901" t="s">
        <v>364</v>
      </c>
      <c r="L137" s="905" t="str">
        <f t="shared" si="8"/>
        <v>no price, 0 count</v>
      </c>
      <c r="M137" s="909">
        <f>SUMIFS('Bilateral Assistance, MAIN DATA'!M:M,'Bilateral Assistance, MAIN DATA'!I:I,'Price List, Weapons &amp; Items'!B137)</f>
        <v>0</v>
      </c>
      <c r="N137" s="71">
        <f>COUNTIFS('Bilateral Assistance, MAIN DATA'!M:M,"undisclosed",'Bilateral Assistance, MAIN DATA'!I:I,'Price List, Weapons &amp; Items'!B137)</f>
        <v>1</v>
      </c>
      <c r="O137" s="910" t="str">
        <f t="shared" si="9"/>
        <v>no price</v>
      </c>
      <c r="P137" s="71">
        <f>IFERROR(IF(SEARCH(B137,_xlfn.ARRAYTOTEXT('Bilateral Assistance, MAIN DATA'!I$1:I$2206))&gt;0,1,""),0)</f>
        <v>0</v>
      </c>
      <c r="Q137" s="71">
        <f>IFERROR(IF(SEARCH(B137,_xlfn.ARRAYTOTEXT('Commercial Assistance'!I$1:I$1400))&gt;0,1,""),0)</f>
        <v>0</v>
      </c>
      <c r="R137" s="905" t="str">
        <f>IF(SUMIFS('Bilateral Assistance, MAIN DATA'!N:N,'Bilateral Assistance, MAIN DATA'!I:I,'Price List, Weapons &amp; Items'!B137)&gt;M137,1,".")</f>
        <v>.</v>
      </c>
    </row>
    <row r="138" spans="1:18" ht="15" customHeight="1">
      <c r="B138" s="901" t="s">
        <v>4149</v>
      </c>
      <c r="C138" s="898" t="s">
        <v>1105</v>
      </c>
      <c r="D138" s="898" t="s">
        <v>1105</v>
      </c>
      <c r="E138" s="900">
        <v>0</v>
      </c>
      <c r="F138" s="900">
        <f t="shared" si="7"/>
        <v>0</v>
      </c>
      <c r="G138" s="892" t="s">
        <v>364</v>
      </c>
      <c r="H138" s="900" t="s">
        <v>364</v>
      </c>
      <c r="I138" s="913" t="s">
        <v>364</v>
      </c>
      <c r="J138" s="913" t="s">
        <v>364</v>
      </c>
      <c r="K138" s="901" t="s">
        <v>364</v>
      </c>
      <c r="L138" s="905" t="str">
        <f t="shared" si="8"/>
        <v>no price, 0 count</v>
      </c>
      <c r="M138" s="909">
        <f>SUMIFS('Bilateral Assistance, MAIN DATA'!M:M,'Bilateral Assistance, MAIN DATA'!I:I,'Price List, Weapons &amp; Items'!B138)</f>
        <v>0</v>
      </c>
      <c r="N138" s="71">
        <f>COUNTIFS('Bilateral Assistance, MAIN DATA'!M:M,"undisclosed",'Bilateral Assistance, MAIN DATA'!I:I,'Price List, Weapons &amp; Items'!B138)</f>
        <v>2</v>
      </c>
      <c r="O138" s="910" t="str">
        <f t="shared" si="9"/>
        <v>no price</v>
      </c>
      <c r="P138" s="71">
        <f>IFERROR(IF(SEARCH(B138,_xlfn.ARRAYTOTEXT('Bilateral Assistance, MAIN DATA'!I$1:I$2206))&gt;0,1,""),0)</f>
        <v>0</v>
      </c>
      <c r="Q138" s="71">
        <f>IFERROR(IF(SEARCH(B138,_xlfn.ARRAYTOTEXT('Commercial Assistance'!I$1:I$1400))&gt;0,1,""),0)</f>
        <v>0</v>
      </c>
      <c r="R138" s="905" t="str">
        <f>IF(SUMIFS('Bilateral Assistance, MAIN DATA'!N:N,'Bilateral Assistance, MAIN DATA'!I:I,'Price List, Weapons &amp; Items'!B138)&gt;M138,1,".")</f>
        <v>.</v>
      </c>
    </row>
    <row r="139" spans="1:18" ht="15" customHeight="1">
      <c r="B139" s="901" t="s">
        <v>4331</v>
      </c>
      <c r="C139" s="898" t="s">
        <v>1105</v>
      </c>
      <c r="D139" s="898" t="s">
        <v>1105</v>
      </c>
      <c r="E139" s="900">
        <v>0</v>
      </c>
      <c r="F139" s="900">
        <f t="shared" si="7"/>
        <v>0</v>
      </c>
      <c r="G139" s="892" t="s">
        <v>364</v>
      </c>
      <c r="H139" s="900" t="s">
        <v>364</v>
      </c>
      <c r="I139" s="913" t="s">
        <v>364</v>
      </c>
      <c r="J139" s="913" t="s">
        <v>364</v>
      </c>
      <c r="K139" s="901" t="s">
        <v>364</v>
      </c>
      <c r="L139" s="905" t="str">
        <f t="shared" si="8"/>
        <v>no price, 0 count</v>
      </c>
      <c r="M139" s="909">
        <f>SUMIFS('Bilateral Assistance, MAIN DATA'!M:M,'Bilateral Assistance, MAIN DATA'!I:I,'Price List, Weapons &amp; Items'!B139)</f>
        <v>0</v>
      </c>
      <c r="N139" s="71">
        <f>COUNTIFS('Bilateral Assistance, MAIN DATA'!M:M,"undisclosed",'Bilateral Assistance, MAIN DATA'!I:I,'Price List, Weapons &amp; Items'!B139)</f>
        <v>3</v>
      </c>
      <c r="O139" s="910" t="str">
        <f t="shared" si="9"/>
        <v>no price</v>
      </c>
      <c r="P139" s="71">
        <f>IFERROR(IF(SEARCH(B139,_xlfn.ARRAYTOTEXT('Bilateral Assistance, MAIN DATA'!I$1:I$2206))&gt;0,1,""),0)</f>
        <v>0</v>
      </c>
      <c r="Q139" s="71">
        <f>IFERROR(IF(SEARCH(B139,_xlfn.ARRAYTOTEXT('Commercial Assistance'!I$1:I$1400))&gt;0,1,""),0)</f>
        <v>0</v>
      </c>
      <c r="R139" s="905" t="str">
        <f>IF(SUMIFS('Bilateral Assistance, MAIN DATA'!N:N,'Bilateral Assistance, MAIN DATA'!I:I,'Price List, Weapons &amp; Items'!B139)&gt;M139,1,".")</f>
        <v>.</v>
      </c>
    </row>
    <row r="140" spans="1:18" ht="15" customHeight="1">
      <c r="B140" s="71" t="s">
        <v>4280</v>
      </c>
      <c r="C140" s="898" t="s">
        <v>1105</v>
      </c>
      <c r="D140" s="898" t="s">
        <v>1105</v>
      </c>
      <c r="E140" s="900">
        <v>0</v>
      </c>
      <c r="F140" s="900">
        <f t="shared" ref="F140:F203" si="13">IF(OR(D140="Armored Personnel Carrier (APC)",D140="Armored Recovery Vehicle (ARV)",D140="Armored Utility Vehicle (AUV)",D140="152mm howitzer ammunition",D140="155mm howitzer ammunition",D140="300mm MLRS ammunition",D140="155mm howitzer",D140="227mm MLRS ammunition",D140="Infantry fighting vehicle (IFV)",D140="152mm howitzer",D140="227mm MLRS",D140="Main Battle Tank (MBT)",D140="Protected Patrol Vehicle (PPV)",D140="127mm MLRS",D140="122mm MLRS",D140="122mm MLRS ammunition",D140="122mm MLRS",D140="127mm MLRS",D140="127mm MLRS ammunition")=TRUE,1,0)</f>
        <v>0</v>
      </c>
      <c r="G140" s="892" t="s">
        <v>364</v>
      </c>
      <c r="H140" s="900" t="s">
        <v>364</v>
      </c>
      <c r="I140" s="913" t="s">
        <v>364</v>
      </c>
      <c r="J140" s="913" t="s">
        <v>364</v>
      </c>
      <c r="K140" s="901" t="s">
        <v>364</v>
      </c>
      <c r="L140" s="905" t="str">
        <f t="shared" ref="L140:L203" si="14">IF(C140="Humanitarian",0,IF(M140&gt;0,IF(TYPE(O140)=1,IF(O140&gt;MEDIAN(O:O),2,1),0),"no price, 0 count"))</f>
        <v>no price, 0 count</v>
      </c>
      <c r="M140" s="909">
        <f>SUMIFS('Bilateral Assistance, MAIN DATA'!M:M,'Bilateral Assistance, MAIN DATA'!I:I,'Price List, Weapons &amp; Items'!B140)</f>
        <v>0</v>
      </c>
      <c r="N140" s="71">
        <f>COUNTIFS('Bilateral Assistance, MAIN DATA'!M:M,"undisclosed",'Bilateral Assistance, MAIN DATA'!I:I,'Price List, Weapons &amp; Items'!B140)</f>
        <v>3</v>
      </c>
      <c r="O140" s="910" t="str">
        <f t="shared" ref="O140:O203" si="15">IFERROR(M140*G140,"no price")</f>
        <v>no price</v>
      </c>
      <c r="P140" s="71">
        <f>IFERROR(IF(SEARCH(B140,_xlfn.ARRAYTOTEXT('Bilateral Assistance, MAIN DATA'!I$1:I$2206))&gt;0,1,""),0)</f>
        <v>0</v>
      </c>
      <c r="Q140" s="71">
        <f>IFERROR(IF(SEARCH(B140,_xlfn.ARRAYTOTEXT('Commercial Assistance'!I$1:I$1400))&gt;0,1,""),0)</f>
        <v>0</v>
      </c>
      <c r="R140" s="905" t="str">
        <f>IF(SUMIFS('Bilateral Assistance, MAIN DATA'!N:N,'Bilateral Assistance, MAIN DATA'!I:I,'Price List, Weapons &amp; Items'!B140)&gt;M140,1,".")</f>
        <v>.</v>
      </c>
    </row>
    <row r="141" spans="1:18" ht="15" customHeight="1">
      <c r="B141" s="71" t="s">
        <v>4281</v>
      </c>
      <c r="C141" s="898" t="s">
        <v>1105</v>
      </c>
      <c r="D141" s="898" t="s">
        <v>1105</v>
      </c>
      <c r="E141" s="900">
        <v>0</v>
      </c>
      <c r="F141" s="900">
        <f t="shared" si="13"/>
        <v>0</v>
      </c>
      <c r="G141" s="892" t="s">
        <v>364</v>
      </c>
      <c r="H141" s="900" t="s">
        <v>364</v>
      </c>
      <c r="I141" s="913" t="s">
        <v>364</v>
      </c>
      <c r="J141" s="913" t="s">
        <v>364</v>
      </c>
      <c r="K141" s="901" t="s">
        <v>364</v>
      </c>
      <c r="L141" s="905">
        <f t="shared" si="14"/>
        <v>0</v>
      </c>
      <c r="M141" s="909">
        <f>SUMIFS('Bilateral Assistance, MAIN DATA'!M:M,'Bilateral Assistance, MAIN DATA'!I:I,'Price List, Weapons &amp; Items'!B141)</f>
        <v>20000</v>
      </c>
      <c r="N141" s="71">
        <f>COUNTIFS('Bilateral Assistance, MAIN DATA'!M:M,"undisclosed",'Bilateral Assistance, MAIN DATA'!I:I,'Price List, Weapons &amp; Items'!B141)</f>
        <v>0</v>
      </c>
      <c r="O141" s="910" t="str">
        <f t="shared" si="15"/>
        <v>no price</v>
      </c>
      <c r="P141" s="71">
        <f>IFERROR(IF(SEARCH(B141,_xlfn.ARRAYTOTEXT('Bilateral Assistance, MAIN DATA'!I$1:I$2206))&gt;0,1,""),0)</f>
        <v>0</v>
      </c>
      <c r="Q141" s="71">
        <f>IFERROR(IF(SEARCH(B141,_xlfn.ARRAYTOTEXT('Commercial Assistance'!I$1:I$1400))&gt;0,1,""),0)</f>
        <v>0</v>
      </c>
      <c r="R141" s="905" t="str">
        <f>IF(SUMIFS('Bilateral Assistance, MAIN DATA'!N:N,'Bilateral Assistance, MAIN DATA'!I:I,'Price List, Weapons &amp; Items'!B141)&gt;M141,1,".")</f>
        <v>.</v>
      </c>
    </row>
    <row r="142" spans="1:18" ht="15" customHeight="1">
      <c r="B142" s="71" t="s">
        <v>4272</v>
      </c>
      <c r="C142" s="898" t="s">
        <v>1105</v>
      </c>
      <c r="D142" s="898" t="s">
        <v>1105</v>
      </c>
      <c r="E142" s="900">
        <v>0</v>
      </c>
      <c r="F142" s="900">
        <f t="shared" si="13"/>
        <v>0</v>
      </c>
      <c r="G142" s="892" t="s">
        <v>364</v>
      </c>
      <c r="H142" s="900" t="s">
        <v>364</v>
      </c>
      <c r="I142" s="913" t="s">
        <v>364</v>
      </c>
      <c r="J142" s="913" t="s">
        <v>364</v>
      </c>
      <c r="K142" s="901" t="s">
        <v>364</v>
      </c>
      <c r="L142" s="905" t="str">
        <f t="shared" si="14"/>
        <v>no price, 0 count</v>
      </c>
      <c r="M142" s="909">
        <f>SUMIFS('Bilateral Assistance, MAIN DATA'!M:M,'Bilateral Assistance, MAIN DATA'!I:I,'Price List, Weapons &amp; Items'!B142)</f>
        <v>0</v>
      </c>
      <c r="N142" s="71">
        <f>COUNTIFS('Bilateral Assistance, MAIN DATA'!M:M,"undisclosed",'Bilateral Assistance, MAIN DATA'!I:I,'Price List, Weapons &amp; Items'!B142)</f>
        <v>1</v>
      </c>
      <c r="O142" s="910" t="str">
        <f t="shared" si="15"/>
        <v>no price</v>
      </c>
      <c r="P142" s="71">
        <f>IFERROR(IF(SEARCH(B142,_xlfn.ARRAYTOTEXT('Bilateral Assistance, MAIN DATA'!I$1:I$2206))&gt;0,1,""),0)</f>
        <v>0</v>
      </c>
      <c r="Q142" s="71">
        <f>IFERROR(IF(SEARCH(B142,_xlfn.ARRAYTOTEXT('Commercial Assistance'!I$1:I$1400))&gt;0,1,""),0)</f>
        <v>0</v>
      </c>
      <c r="R142" s="905" t="str">
        <f>IF(SUMIFS('Bilateral Assistance, MAIN DATA'!N:N,'Bilateral Assistance, MAIN DATA'!I:I,'Price List, Weapons &amp; Items'!B142)&gt;M142,1,".")</f>
        <v>.</v>
      </c>
    </row>
    <row r="143" spans="1:18" ht="15" customHeight="1">
      <c r="B143" s="901" t="s">
        <v>1348</v>
      </c>
      <c r="C143" s="898" t="s">
        <v>5062</v>
      </c>
      <c r="D143" s="899" t="s">
        <v>5169</v>
      </c>
      <c r="E143" s="900">
        <v>0</v>
      </c>
      <c r="F143" s="900">
        <f t="shared" si="13"/>
        <v>0</v>
      </c>
      <c r="G143" s="892">
        <f>370000*1.181*1.06</f>
        <v>463188.2</v>
      </c>
      <c r="H143" s="908" t="s">
        <v>456</v>
      </c>
      <c r="I143" s="887" t="s">
        <v>5291</v>
      </c>
      <c r="J143" s="901" t="s">
        <v>5082</v>
      </c>
      <c r="K143" s="901" t="s">
        <v>5292</v>
      </c>
      <c r="L143" s="905" t="str">
        <f t="shared" si="14"/>
        <v>no price, 0 count</v>
      </c>
      <c r="M143" s="909">
        <f>SUMIFS('Bilateral Assistance, MAIN DATA'!M:M,'Bilateral Assistance, MAIN DATA'!I:I,'Price List, Weapons &amp; Items'!B143)</f>
        <v>0</v>
      </c>
      <c r="N143" s="71">
        <f>COUNTIFS('Bilateral Assistance, MAIN DATA'!M:M,"undisclosed",'Bilateral Assistance, MAIN DATA'!I:I,'Price List, Weapons &amp; Items'!B143)</f>
        <v>1</v>
      </c>
      <c r="O143" s="910">
        <f t="shared" si="15"/>
        <v>0</v>
      </c>
      <c r="P143" s="71">
        <f>IFERROR(IF(SEARCH(B143,_xlfn.ARRAYTOTEXT('Bilateral Assistance, MAIN DATA'!I$1:I$2206))&gt;0,1,""),0)</f>
        <v>0</v>
      </c>
      <c r="Q143" s="71">
        <f>IFERROR(IF(SEARCH(B143,_xlfn.ARRAYTOTEXT('Commercial Assistance'!I$1:I$1400))&gt;0,1,""),0)</f>
        <v>0</v>
      </c>
      <c r="R143" s="905" t="str">
        <f>IF(SUMIFS('Bilateral Assistance, MAIN DATA'!N:N,'Bilateral Assistance, MAIN DATA'!I:I,'Price List, Weapons &amp; Items'!B143)&gt;M143,1,".")</f>
        <v>.</v>
      </c>
    </row>
    <row r="144" spans="1:18" ht="15" customHeight="1">
      <c r="B144" s="901" t="s">
        <v>5293</v>
      </c>
      <c r="C144" s="898" t="s">
        <v>5062</v>
      </c>
      <c r="D144" s="898" t="s">
        <v>5146</v>
      </c>
      <c r="E144" s="900">
        <v>0</v>
      </c>
      <c r="F144" s="900">
        <f t="shared" si="13"/>
        <v>0</v>
      </c>
      <c r="G144" s="892" t="s">
        <v>364</v>
      </c>
      <c r="H144" s="900" t="s">
        <v>364</v>
      </c>
      <c r="I144" s="913" t="s">
        <v>364</v>
      </c>
      <c r="J144" s="913" t="s">
        <v>364</v>
      </c>
      <c r="K144" s="901" t="s">
        <v>5294</v>
      </c>
      <c r="L144" s="905" t="str">
        <f t="shared" si="14"/>
        <v>no price, 0 count</v>
      </c>
      <c r="M144" s="909">
        <f>SUMIFS('Bilateral Assistance, MAIN DATA'!M:M,'Bilateral Assistance, MAIN DATA'!I:I,'Price List, Weapons &amp; Items'!B144)</f>
        <v>0</v>
      </c>
      <c r="N144" s="71">
        <f>COUNTIFS('Bilateral Assistance, MAIN DATA'!M:M,"undisclosed",'Bilateral Assistance, MAIN DATA'!I:I,'Price List, Weapons &amp; Items'!B144)</f>
        <v>0</v>
      </c>
      <c r="O144" s="910" t="str">
        <f t="shared" si="15"/>
        <v>no price</v>
      </c>
      <c r="P144" s="71">
        <f>IFERROR(IF(SEARCH(B144,_xlfn.ARRAYTOTEXT('Bilateral Assistance, MAIN DATA'!I$1:I$2206))&gt;0,1,""),0)</f>
        <v>0</v>
      </c>
      <c r="Q144" s="71">
        <f>IFERROR(IF(SEARCH(B144,_xlfn.ARRAYTOTEXT('Commercial Assistance'!I$1:I$1400))&gt;0,1,""),0)</f>
        <v>0</v>
      </c>
      <c r="R144" s="905" t="str">
        <f>IF(SUMIFS('Bilateral Assistance, MAIN DATA'!N:N,'Bilateral Assistance, MAIN DATA'!I:I,'Price List, Weapons &amp; Items'!B144)&gt;M144,1,".")</f>
        <v>.</v>
      </c>
    </row>
    <row r="145" spans="2:18" ht="15" customHeight="1">
      <c r="B145" s="901" t="s">
        <v>3502</v>
      </c>
      <c r="C145" s="898" t="s">
        <v>5062</v>
      </c>
      <c r="D145" s="899" t="s">
        <v>4696</v>
      </c>
      <c r="E145" s="900">
        <v>0</v>
      </c>
      <c r="F145" s="900">
        <f t="shared" si="13"/>
        <v>0</v>
      </c>
      <c r="G145" s="902">
        <v>69216943.769999996</v>
      </c>
      <c r="H145" s="900" t="s">
        <v>456</v>
      </c>
      <c r="I145" s="887" t="s">
        <v>5074</v>
      </c>
      <c r="J145" s="901" t="s">
        <v>5075</v>
      </c>
      <c r="K145" s="1356" t="s">
        <v>5295</v>
      </c>
      <c r="L145" s="905">
        <f t="shared" si="14"/>
        <v>2</v>
      </c>
      <c r="M145" s="909">
        <f>SUMIFS('Bilateral Assistance, MAIN DATA'!M:M,'Bilateral Assistance, MAIN DATA'!I:I,'Price List, Weapons &amp; Items'!B145)</f>
        <v>1</v>
      </c>
      <c r="N145" s="71">
        <f>COUNTIFS('Bilateral Assistance, MAIN DATA'!M:M,"undisclosed",'Bilateral Assistance, MAIN DATA'!I:I,'Price List, Weapons &amp; Items'!B145)</f>
        <v>0</v>
      </c>
      <c r="O145" s="910">
        <f t="shared" si="15"/>
        <v>69216943.769999996</v>
      </c>
      <c r="P145" s="71">
        <f>IFERROR(IF(SEARCH(B145,_xlfn.ARRAYTOTEXT('Bilateral Assistance, MAIN DATA'!I$1:I$2206))&gt;0,1,""),0)</f>
        <v>0</v>
      </c>
      <c r="Q145" s="71">
        <f>IFERROR(IF(SEARCH(B145,_xlfn.ARRAYTOTEXT('Commercial Assistance'!I$1:I$1400))&gt;0,1,""),0)</f>
        <v>0</v>
      </c>
      <c r="R145" s="905" t="str">
        <f>IF(SUMIFS('Bilateral Assistance, MAIN DATA'!N:N,'Bilateral Assistance, MAIN DATA'!I:I,'Price List, Weapons &amp; Items'!B145)&gt;M145,1,".")</f>
        <v>.</v>
      </c>
    </row>
    <row r="146" spans="2:18" ht="15" customHeight="1">
      <c r="B146" s="916" t="s">
        <v>1815</v>
      </c>
      <c r="C146" s="898" t="s">
        <v>1105</v>
      </c>
      <c r="D146" s="898" t="s">
        <v>1105</v>
      </c>
      <c r="E146" s="900">
        <v>0</v>
      </c>
      <c r="F146" s="900">
        <f t="shared" si="13"/>
        <v>0</v>
      </c>
      <c r="G146" s="892" t="s">
        <v>364</v>
      </c>
      <c r="H146" s="908" t="str">
        <f t="shared" ref="H146:H151" si="16">IF(G146&lt;&gt;".","USD",".")</f>
        <v>.</v>
      </c>
      <c r="I146" s="913" t="s">
        <v>364</v>
      </c>
      <c r="J146" s="913" t="s">
        <v>364</v>
      </c>
      <c r="K146" s="901" t="s">
        <v>364</v>
      </c>
      <c r="L146" s="905" t="str">
        <f t="shared" si="14"/>
        <v>no price, 0 count</v>
      </c>
      <c r="M146" s="909">
        <f>SUMIFS('Bilateral Assistance, MAIN DATA'!M:M,'Bilateral Assistance, MAIN DATA'!I:I,'Price List, Weapons &amp; Items'!B146)</f>
        <v>0</v>
      </c>
      <c r="N146" s="71">
        <f>COUNTIFS('Bilateral Assistance, MAIN DATA'!M:M,"undisclosed",'Bilateral Assistance, MAIN DATA'!I:I,'Price List, Weapons &amp; Items'!B146)</f>
        <v>1</v>
      </c>
      <c r="O146" s="910" t="str">
        <f t="shared" si="15"/>
        <v>no price</v>
      </c>
      <c r="P146" s="71">
        <f>IFERROR(IF(SEARCH(B146,_xlfn.ARRAYTOTEXT('Bilateral Assistance, MAIN DATA'!I$1:I$2206))&gt;0,1,""),0)</f>
        <v>0</v>
      </c>
      <c r="Q146" s="71">
        <f>IFERROR(IF(SEARCH(B146,_xlfn.ARRAYTOTEXT('Commercial Assistance'!I$1:I$1400))&gt;0,1,""),0)</f>
        <v>0</v>
      </c>
      <c r="R146" s="905" t="str">
        <f>IF(SUMIFS('Bilateral Assistance, MAIN DATA'!N:N,'Bilateral Assistance, MAIN DATA'!I:I,'Price List, Weapons &amp; Items'!B146)&gt;M146,1,".")</f>
        <v>.</v>
      </c>
    </row>
    <row r="147" spans="2:18" ht="15" customHeight="1">
      <c r="B147" s="916" t="s">
        <v>1831</v>
      </c>
      <c r="C147" s="898" t="s">
        <v>1105</v>
      </c>
      <c r="D147" s="899" t="s">
        <v>2472</v>
      </c>
      <c r="E147" s="900">
        <v>0</v>
      </c>
      <c r="F147" s="900">
        <f t="shared" si="13"/>
        <v>0</v>
      </c>
      <c r="G147" s="892" t="s">
        <v>364</v>
      </c>
      <c r="H147" s="908" t="str">
        <f t="shared" si="16"/>
        <v>.</v>
      </c>
      <c r="I147" s="913" t="s">
        <v>364</v>
      </c>
      <c r="J147" s="913" t="s">
        <v>364</v>
      </c>
      <c r="K147" s="901" t="s">
        <v>364</v>
      </c>
      <c r="L147" s="905" t="str">
        <f t="shared" si="14"/>
        <v>no price, 0 count</v>
      </c>
      <c r="M147" s="909">
        <f>SUMIFS('Bilateral Assistance, MAIN DATA'!M:M,'Bilateral Assistance, MAIN DATA'!I:I,'Price List, Weapons &amp; Items'!B147)</f>
        <v>0</v>
      </c>
      <c r="N147" s="71">
        <f>COUNTIFS('Bilateral Assistance, MAIN DATA'!M:M,"undisclosed",'Bilateral Assistance, MAIN DATA'!I:I,'Price List, Weapons &amp; Items'!B147)</f>
        <v>1</v>
      </c>
      <c r="O147" s="910" t="str">
        <f t="shared" si="15"/>
        <v>no price</v>
      </c>
      <c r="P147" s="71">
        <f>IFERROR(IF(SEARCH(B147,_xlfn.ARRAYTOTEXT('Bilateral Assistance, MAIN DATA'!I$1:I$2206))&gt;0,1,""),0)</f>
        <v>0</v>
      </c>
      <c r="Q147" s="71">
        <f>IFERROR(IF(SEARCH(B147,_xlfn.ARRAYTOTEXT('Commercial Assistance'!I$1:I$1400))&gt;0,1,""),0)</f>
        <v>0</v>
      </c>
      <c r="R147" s="905" t="str">
        <f>IF(SUMIFS('Bilateral Assistance, MAIN DATA'!N:N,'Bilateral Assistance, MAIN DATA'!I:I,'Price List, Weapons &amp; Items'!B147)&gt;M147,1,".")</f>
        <v>.</v>
      </c>
    </row>
    <row r="148" spans="2:18" ht="15" customHeight="1">
      <c r="B148" s="916" t="s">
        <v>1914</v>
      </c>
      <c r="C148" s="898" t="s">
        <v>1105</v>
      </c>
      <c r="D148" s="898" t="s">
        <v>1105</v>
      </c>
      <c r="E148" s="900">
        <v>0</v>
      </c>
      <c r="F148" s="900">
        <f t="shared" si="13"/>
        <v>0</v>
      </c>
      <c r="G148" s="892" t="s">
        <v>364</v>
      </c>
      <c r="H148" s="908" t="str">
        <f t="shared" si="16"/>
        <v>.</v>
      </c>
      <c r="I148" s="913" t="s">
        <v>364</v>
      </c>
      <c r="J148" s="913" t="s">
        <v>364</v>
      </c>
      <c r="K148" s="901" t="s">
        <v>364</v>
      </c>
      <c r="L148" s="905">
        <f t="shared" si="14"/>
        <v>0</v>
      </c>
      <c r="M148" s="909">
        <f>SUMIFS('Bilateral Assistance, MAIN DATA'!M:M,'Bilateral Assistance, MAIN DATA'!I:I,'Price List, Weapons &amp; Items'!B148)</f>
        <v>6</v>
      </c>
      <c r="N148" s="71">
        <f>COUNTIFS('Bilateral Assistance, MAIN DATA'!M:M,"undisclosed",'Bilateral Assistance, MAIN DATA'!I:I,'Price List, Weapons &amp; Items'!B148)</f>
        <v>0</v>
      </c>
      <c r="O148" s="910" t="str">
        <f t="shared" si="15"/>
        <v>no price</v>
      </c>
      <c r="P148" s="71">
        <f>IFERROR(IF(SEARCH(B148,_xlfn.ARRAYTOTEXT('Bilateral Assistance, MAIN DATA'!I$1:I$2206))&gt;0,1,""),0)</f>
        <v>0</v>
      </c>
      <c r="Q148" s="71">
        <f>IFERROR(IF(SEARCH(B148,_xlfn.ARRAYTOTEXT('Commercial Assistance'!I$1:I$1400))&gt;0,1,""),0)</f>
        <v>0</v>
      </c>
      <c r="R148" s="905" t="str">
        <f>IF(SUMIFS('Bilateral Assistance, MAIN DATA'!N:N,'Bilateral Assistance, MAIN DATA'!I:I,'Price List, Weapons &amp; Items'!B148)&gt;M148,1,".")</f>
        <v>.</v>
      </c>
    </row>
    <row r="149" spans="2:18" ht="15" customHeight="1">
      <c r="B149" s="916" t="s">
        <v>1913</v>
      </c>
      <c r="C149" s="898" t="s">
        <v>1105</v>
      </c>
      <c r="D149" s="898" t="s">
        <v>1105</v>
      </c>
      <c r="E149" s="900">
        <v>0</v>
      </c>
      <c r="F149" s="900">
        <f t="shared" si="13"/>
        <v>0</v>
      </c>
      <c r="G149" s="892" t="s">
        <v>364</v>
      </c>
      <c r="H149" s="908" t="str">
        <f t="shared" si="16"/>
        <v>.</v>
      </c>
      <c r="I149" s="913" t="s">
        <v>364</v>
      </c>
      <c r="J149" s="913" t="s">
        <v>364</v>
      </c>
      <c r="K149" s="901" t="s">
        <v>364</v>
      </c>
      <c r="L149" s="905">
        <f t="shared" si="14"/>
        <v>0</v>
      </c>
      <c r="M149" s="909">
        <f>SUMIFS('Bilateral Assistance, MAIN DATA'!M:M,'Bilateral Assistance, MAIN DATA'!I:I,'Price List, Weapons &amp; Items'!B149)</f>
        <v>15</v>
      </c>
      <c r="N149" s="71">
        <f>COUNTIFS('Bilateral Assistance, MAIN DATA'!M:M,"undisclosed",'Bilateral Assistance, MAIN DATA'!I:I,'Price List, Weapons &amp; Items'!B149)</f>
        <v>0</v>
      </c>
      <c r="O149" s="910" t="str">
        <f t="shared" si="15"/>
        <v>no price</v>
      </c>
      <c r="P149" s="71">
        <f>IFERROR(IF(SEARCH(B149,_xlfn.ARRAYTOTEXT('Bilateral Assistance, MAIN DATA'!I$1:I$2206))&gt;0,1,""),0)</f>
        <v>0</v>
      </c>
      <c r="Q149" s="71">
        <f>IFERROR(IF(SEARCH(B149,_xlfn.ARRAYTOTEXT('Commercial Assistance'!I$1:I$1400))&gt;0,1,""),0)</f>
        <v>0</v>
      </c>
      <c r="R149" s="905" t="str">
        <f>IF(SUMIFS('Bilateral Assistance, MAIN DATA'!N:N,'Bilateral Assistance, MAIN DATA'!I:I,'Price List, Weapons &amp; Items'!B149)&gt;M149,1,".")</f>
        <v>.</v>
      </c>
    </row>
    <row r="150" spans="2:18" ht="15" customHeight="1">
      <c r="B150" s="916" t="s">
        <v>1907</v>
      </c>
      <c r="C150" s="898" t="s">
        <v>1105</v>
      </c>
      <c r="D150" s="899" t="s">
        <v>2472</v>
      </c>
      <c r="E150" s="900">
        <v>0</v>
      </c>
      <c r="F150" s="900">
        <f t="shared" si="13"/>
        <v>0</v>
      </c>
      <c r="G150" s="892" t="s">
        <v>364</v>
      </c>
      <c r="H150" s="908" t="str">
        <f t="shared" si="16"/>
        <v>.</v>
      </c>
      <c r="I150" s="913" t="s">
        <v>364</v>
      </c>
      <c r="J150" s="913" t="s">
        <v>364</v>
      </c>
      <c r="K150" s="901" t="s">
        <v>364</v>
      </c>
      <c r="L150" s="905">
        <f t="shared" si="14"/>
        <v>0</v>
      </c>
      <c r="M150" s="909">
        <f>SUMIFS('Bilateral Assistance, MAIN DATA'!M:M,'Bilateral Assistance, MAIN DATA'!I:I,'Price List, Weapons &amp; Items'!B150)</f>
        <v>500</v>
      </c>
      <c r="N150" s="71">
        <f>COUNTIFS('Bilateral Assistance, MAIN DATA'!M:M,"undisclosed",'Bilateral Assistance, MAIN DATA'!I:I,'Price List, Weapons &amp; Items'!B150)</f>
        <v>0</v>
      </c>
      <c r="O150" s="910" t="str">
        <f t="shared" si="15"/>
        <v>no price</v>
      </c>
      <c r="P150" s="71">
        <f>IFERROR(IF(SEARCH(B150,_xlfn.ARRAYTOTEXT('Bilateral Assistance, MAIN DATA'!I$1:I$2206))&gt;0,1,""),0)</f>
        <v>0</v>
      </c>
      <c r="Q150" s="71">
        <f>IFERROR(IF(SEARCH(B150,_xlfn.ARRAYTOTEXT('Commercial Assistance'!I$1:I$1400))&gt;0,1,""),0)</f>
        <v>0</v>
      </c>
      <c r="R150" s="905" t="str">
        <f>IF(SUMIFS('Bilateral Assistance, MAIN DATA'!N:N,'Bilateral Assistance, MAIN DATA'!I:I,'Price List, Weapons &amp; Items'!B150)&gt;M150,1,".")</f>
        <v>.</v>
      </c>
    </row>
    <row r="151" spans="2:18" ht="15" customHeight="1">
      <c r="B151" s="916" t="s">
        <v>1891</v>
      </c>
      <c r="C151" s="898" t="s">
        <v>1105</v>
      </c>
      <c r="D151" s="899" t="s">
        <v>2472</v>
      </c>
      <c r="E151" s="900">
        <v>0</v>
      </c>
      <c r="F151" s="900">
        <f t="shared" si="13"/>
        <v>0</v>
      </c>
      <c r="G151" s="892" t="s">
        <v>364</v>
      </c>
      <c r="H151" s="908" t="str">
        <f t="shared" si="16"/>
        <v>.</v>
      </c>
      <c r="I151" s="913" t="s">
        <v>364</v>
      </c>
      <c r="J151" s="913" t="s">
        <v>364</v>
      </c>
      <c r="K151" s="901" t="s">
        <v>364</v>
      </c>
      <c r="L151" s="905" t="str">
        <f t="shared" si="14"/>
        <v>no price, 0 count</v>
      </c>
      <c r="M151" s="909">
        <f>SUMIFS('Bilateral Assistance, MAIN DATA'!M:M,'Bilateral Assistance, MAIN DATA'!I:I,'Price List, Weapons &amp; Items'!B151)</f>
        <v>0</v>
      </c>
      <c r="N151" s="71">
        <f>COUNTIFS('Bilateral Assistance, MAIN DATA'!M:M,"undisclosed",'Bilateral Assistance, MAIN DATA'!I:I,'Price List, Weapons &amp; Items'!B151)</f>
        <v>1</v>
      </c>
      <c r="O151" s="910" t="str">
        <f t="shared" si="15"/>
        <v>no price</v>
      </c>
      <c r="P151" s="71">
        <f>IFERROR(IF(SEARCH(B151,_xlfn.ARRAYTOTEXT('Bilateral Assistance, MAIN DATA'!I$1:I$2206))&gt;0,1,""),0)</f>
        <v>0</v>
      </c>
      <c r="Q151" s="71">
        <f>IFERROR(IF(SEARCH(B151,_xlfn.ARRAYTOTEXT('Commercial Assistance'!I$1:I$1400))&gt;0,1,""),0)</f>
        <v>0</v>
      </c>
      <c r="R151" s="905" t="str">
        <f>IF(SUMIFS('Bilateral Assistance, MAIN DATA'!N:N,'Bilateral Assistance, MAIN DATA'!I:I,'Price List, Weapons &amp; Items'!B151)&gt;M151,1,".")</f>
        <v>.</v>
      </c>
    </row>
    <row r="152" spans="2:18" ht="15" customHeight="1">
      <c r="B152" s="901" t="s">
        <v>5296</v>
      </c>
      <c r="C152" s="898" t="s">
        <v>5062</v>
      </c>
      <c r="D152" s="899" t="s">
        <v>5169</v>
      </c>
      <c r="E152" s="900">
        <v>0</v>
      </c>
      <c r="F152" s="900">
        <f t="shared" si="13"/>
        <v>0</v>
      </c>
      <c r="G152" s="892">
        <f>370000*1.181*1.06</f>
        <v>463188.2</v>
      </c>
      <c r="H152" s="908" t="s">
        <v>456</v>
      </c>
      <c r="I152" s="887" t="s">
        <v>5291</v>
      </c>
      <c r="J152" s="901" t="s">
        <v>5082</v>
      </c>
      <c r="K152" s="901" t="s">
        <v>5297</v>
      </c>
      <c r="L152" s="905" t="str">
        <f t="shared" si="14"/>
        <v>no price, 0 count</v>
      </c>
      <c r="M152" s="909">
        <f>SUMIFS('Bilateral Assistance, MAIN DATA'!M:M,'Bilateral Assistance, MAIN DATA'!I:I,'Price List, Weapons &amp; Items'!B152)</f>
        <v>0</v>
      </c>
      <c r="N152" s="71">
        <f>COUNTIFS('Bilateral Assistance, MAIN DATA'!M:M,"undisclosed",'Bilateral Assistance, MAIN DATA'!I:I,'Price List, Weapons &amp; Items'!B152)</f>
        <v>0</v>
      </c>
      <c r="O152" s="910">
        <f t="shared" si="15"/>
        <v>0</v>
      </c>
      <c r="P152" s="71">
        <f>IFERROR(IF(SEARCH(B152,_xlfn.ARRAYTOTEXT('Bilateral Assistance, MAIN DATA'!I$1:I$2206))&gt;0,1,""),0)</f>
        <v>0</v>
      </c>
      <c r="Q152" s="71">
        <f>IFERROR(IF(SEARCH(B152,_xlfn.ARRAYTOTEXT('Commercial Assistance'!I$1:I$1400))&gt;0,1,""),0)</f>
        <v>0</v>
      </c>
      <c r="R152" s="905" t="str">
        <f>IF(SUMIFS('Bilateral Assistance, MAIN DATA'!N:N,'Bilateral Assistance, MAIN DATA'!I:I,'Price List, Weapons &amp; Items'!B152)&gt;M152,1,".")</f>
        <v>.</v>
      </c>
    </row>
    <row r="153" spans="2:18" ht="15" customHeight="1">
      <c r="B153" s="912" t="s">
        <v>1812</v>
      </c>
      <c r="C153" s="898" t="s">
        <v>1105</v>
      </c>
      <c r="D153" s="899" t="s">
        <v>5298</v>
      </c>
      <c r="E153" s="900">
        <v>0</v>
      </c>
      <c r="F153" s="900">
        <f t="shared" si="13"/>
        <v>0</v>
      </c>
      <c r="G153" s="892">
        <v>350000</v>
      </c>
      <c r="H153" s="908" t="s">
        <v>456</v>
      </c>
      <c r="I153" s="886" t="s">
        <v>5299</v>
      </c>
      <c r="J153" s="901" t="s">
        <v>5080</v>
      </c>
      <c r="K153" s="917" t="s">
        <v>5300</v>
      </c>
      <c r="L153" s="905">
        <f t="shared" si="14"/>
        <v>2</v>
      </c>
      <c r="M153" s="909">
        <f>SUMIFS('Bilateral Assistance, MAIN DATA'!M:M,'Bilateral Assistance, MAIN DATA'!I:I,'Price List, Weapons &amp; Items'!B153)</f>
        <v>500</v>
      </c>
      <c r="N153" s="71">
        <f>COUNTIFS('Bilateral Assistance, MAIN DATA'!M:M,"undisclosed",'Bilateral Assistance, MAIN DATA'!I:I,'Price List, Weapons &amp; Items'!B153)</f>
        <v>0</v>
      </c>
      <c r="O153" s="910">
        <f t="shared" si="15"/>
        <v>175000000</v>
      </c>
      <c r="P153" s="71">
        <f>IFERROR(IF(SEARCH(B153,_xlfn.ARRAYTOTEXT('Bilateral Assistance, MAIN DATA'!I$1:I$2206))&gt;0,1,""),0)</f>
        <v>0</v>
      </c>
      <c r="Q153" s="71">
        <f>IFERROR(IF(SEARCH(B153,_xlfn.ARRAYTOTEXT('Commercial Assistance'!I$1:I$1400))&gt;0,1,""),0)</f>
        <v>0</v>
      </c>
      <c r="R153" s="905" t="str">
        <f>IF(SUMIFS('Bilateral Assistance, MAIN DATA'!N:N,'Bilateral Assistance, MAIN DATA'!I:I,'Price List, Weapons &amp; Items'!B153)&gt;M153,1,".")</f>
        <v>.</v>
      </c>
    </row>
    <row r="154" spans="2:18" ht="15" customHeight="1">
      <c r="B154" s="912" t="s">
        <v>1863</v>
      </c>
      <c r="C154" s="898" t="s">
        <v>1105</v>
      </c>
      <c r="D154" s="899" t="s">
        <v>5298</v>
      </c>
      <c r="E154" s="900">
        <v>0</v>
      </c>
      <c r="F154" s="900">
        <f t="shared" si="13"/>
        <v>0</v>
      </c>
      <c r="G154" s="892">
        <f>AVERAGE(15000,35000)</f>
        <v>25000</v>
      </c>
      <c r="H154" s="908" t="s">
        <v>456</v>
      </c>
      <c r="I154" s="886" t="s">
        <v>5301</v>
      </c>
      <c r="J154" s="901" t="s">
        <v>5086</v>
      </c>
      <c r="K154" s="917" t="s">
        <v>5302</v>
      </c>
      <c r="L154" s="905">
        <f t="shared" si="14"/>
        <v>2</v>
      </c>
      <c r="M154" s="909">
        <f>SUMIFS('Bilateral Assistance, MAIN DATA'!M:M,'Bilateral Assistance, MAIN DATA'!I:I,'Price List, Weapons &amp; Items'!B154)</f>
        <v>183</v>
      </c>
      <c r="N154" s="71">
        <f>COUNTIFS('Bilateral Assistance, MAIN DATA'!M:M,"undisclosed",'Bilateral Assistance, MAIN DATA'!I:I,'Price List, Weapons &amp; Items'!B154)</f>
        <v>0</v>
      </c>
      <c r="O154" s="910">
        <f t="shared" si="15"/>
        <v>4575000</v>
      </c>
      <c r="P154" s="71">
        <f>IFERROR(IF(SEARCH(B154,_xlfn.ARRAYTOTEXT('Bilateral Assistance, MAIN DATA'!I$1:I$2206))&gt;0,1,""),0)</f>
        <v>0</v>
      </c>
      <c r="Q154" s="71">
        <f>IFERROR(IF(SEARCH(B154,_xlfn.ARRAYTOTEXT('Commercial Assistance'!I$1:I$1400))&gt;0,1,""),0)</f>
        <v>0</v>
      </c>
      <c r="R154" s="905" t="str">
        <f>IF(SUMIFS('Bilateral Assistance, MAIN DATA'!N:N,'Bilateral Assistance, MAIN DATA'!I:I,'Price List, Weapons &amp; Items'!B154)&gt;M154,1,".")</f>
        <v>.</v>
      </c>
    </row>
    <row r="155" spans="2:18" ht="15" customHeight="1">
      <c r="B155" s="916" t="s">
        <v>1849</v>
      </c>
      <c r="C155" s="898" t="s">
        <v>1105</v>
      </c>
      <c r="D155" s="899" t="s">
        <v>5152</v>
      </c>
      <c r="E155" s="900">
        <v>0</v>
      </c>
      <c r="F155" s="900">
        <f t="shared" si="13"/>
        <v>1</v>
      </c>
      <c r="G155" s="892">
        <v>120000</v>
      </c>
      <c r="H155" s="908" t="s">
        <v>456</v>
      </c>
      <c r="I155" s="885" t="s">
        <v>5303</v>
      </c>
      <c r="J155" s="901" t="s">
        <v>5086</v>
      </c>
      <c r="K155" s="901" t="s">
        <v>5304</v>
      </c>
      <c r="L155" s="905">
        <f t="shared" si="14"/>
        <v>2</v>
      </c>
      <c r="M155" s="909">
        <f>SUMIFS('Bilateral Assistance, MAIN DATA'!M:M,'Bilateral Assistance, MAIN DATA'!I:I,'Price List, Weapons &amp; Items'!B155)</f>
        <v>95</v>
      </c>
      <c r="N155" s="71">
        <f>COUNTIFS('Bilateral Assistance, MAIN DATA'!M:M,"undisclosed",'Bilateral Assistance, MAIN DATA'!I:I,'Price List, Weapons &amp; Items'!B155)</f>
        <v>0</v>
      </c>
      <c r="O155" s="910">
        <f t="shared" si="15"/>
        <v>11400000</v>
      </c>
      <c r="P155" s="71">
        <f>IFERROR(IF(SEARCH(B155,_xlfn.ARRAYTOTEXT('Bilateral Assistance, MAIN DATA'!I$1:I$2206))&gt;0,1,""),0)</f>
        <v>0</v>
      </c>
      <c r="Q155" s="71">
        <f>IFERROR(IF(SEARCH(B155,_xlfn.ARRAYTOTEXT('Commercial Assistance'!I$1:I$1400))&gt;0,1,""),0)</f>
        <v>0</v>
      </c>
      <c r="R155" s="905" t="str">
        <f>IF(SUMIFS('Bilateral Assistance, MAIN DATA'!N:N,'Bilateral Assistance, MAIN DATA'!I:I,'Price List, Weapons &amp; Items'!B155)&gt;M155,1,".")</f>
        <v>.</v>
      </c>
    </row>
    <row r="156" spans="2:18" ht="15" customHeight="1">
      <c r="B156" s="901" t="s">
        <v>3297</v>
      </c>
      <c r="C156" s="898" t="s">
        <v>5062</v>
      </c>
      <c r="D156" s="920" t="s">
        <v>5305</v>
      </c>
      <c r="E156" s="900">
        <v>1</v>
      </c>
      <c r="F156" s="900">
        <f t="shared" si="13"/>
        <v>0</v>
      </c>
      <c r="G156" s="892">
        <v>208817599.13</v>
      </c>
      <c r="H156" s="908" t="str">
        <f>IF(G156&lt;&gt;".","USD",".")</f>
        <v>USD</v>
      </c>
      <c r="I156" s="891" t="s">
        <v>5074</v>
      </c>
      <c r="J156" s="901" t="s">
        <v>5075</v>
      </c>
      <c r="K156" s="901" t="s">
        <v>5144</v>
      </c>
      <c r="L156" s="905">
        <f t="shared" si="14"/>
        <v>2</v>
      </c>
      <c r="M156" s="909">
        <f>SUMIFS('Bilateral Assistance, MAIN DATA'!M:M,'Bilateral Assistance, MAIN DATA'!I:I,'Price List, Weapons &amp; Items'!B156)</f>
        <v>1</v>
      </c>
      <c r="N156" s="71">
        <f>COUNTIFS('Bilateral Assistance, MAIN DATA'!M:M,"undisclosed",'Bilateral Assistance, MAIN DATA'!I:I,'Price List, Weapons &amp; Items'!B156)</f>
        <v>0</v>
      </c>
      <c r="O156" s="910">
        <f t="shared" si="15"/>
        <v>208817599.13</v>
      </c>
      <c r="P156" s="71">
        <f>IFERROR(IF(SEARCH(B156,_xlfn.ARRAYTOTEXT('Bilateral Assistance, MAIN DATA'!I$1:I$2206))&gt;0,1,""),0)</f>
        <v>0</v>
      </c>
      <c r="Q156" s="71">
        <f>IFERROR(IF(SEARCH(B156,_xlfn.ARRAYTOTEXT('Commercial Assistance'!I$1:I$1400))&gt;0,1,""),0)</f>
        <v>0</v>
      </c>
      <c r="R156" s="905" t="str">
        <f>IF(SUMIFS('Bilateral Assistance, MAIN DATA'!N:N,'Bilateral Assistance, MAIN DATA'!I:I,'Price List, Weapons &amp; Items'!B156)&gt;M156,1,".")</f>
        <v>.</v>
      </c>
    </row>
    <row r="157" spans="2:18" ht="15" customHeight="1">
      <c r="B157" s="916" t="s">
        <v>1825</v>
      </c>
      <c r="C157" s="898" t="s">
        <v>5062</v>
      </c>
      <c r="D157" s="899" t="s">
        <v>5306</v>
      </c>
      <c r="E157" s="900">
        <v>0</v>
      </c>
      <c r="F157" s="900">
        <f t="shared" si="13"/>
        <v>0</v>
      </c>
      <c r="G157" s="892">
        <f>140000000*VLOOKUP("USD",'Exchange Rates'!B:C,2,0)</f>
        <v>152152000</v>
      </c>
      <c r="H157" s="908" t="s">
        <v>456</v>
      </c>
      <c r="I157" s="886" t="s">
        <v>5307</v>
      </c>
      <c r="J157" s="901" t="s">
        <v>5080</v>
      </c>
      <c r="K157" s="917" t="s">
        <v>5308</v>
      </c>
      <c r="L157" s="905">
        <f t="shared" si="14"/>
        <v>2</v>
      </c>
      <c r="M157" s="909">
        <f>SUMIFS('Bilateral Assistance, MAIN DATA'!M:M,'Bilateral Assistance, MAIN DATA'!I:I,'Price List, Weapons &amp; Items'!B157)</f>
        <v>8</v>
      </c>
      <c r="N157" s="71">
        <f>COUNTIFS('Bilateral Assistance, MAIN DATA'!M:M,"undisclosed",'Bilateral Assistance, MAIN DATA'!I:I,'Price List, Weapons &amp; Items'!B157)</f>
        <v>0</v>
      </c>
      <c r="O157" s="910">
        <f t="shared" si="15"/>
        <v>1217216000</v>
      </c>
      <c r="P157" s="71">
        <f>IFERROR(IF(SEARCH(B157,_xlfn.ARRAYTOTEXT('Bilateral Assistance, MAIN DATA'!I$1:I$2206))&gt;0,1,""),0)</f>
        <v>0</v>
      </c>
      <c r="Q157" s="71">
        <f>IFERROR(IF(SEARCH(B157,_xlfn.ARRAYTOTEXT('Commercial Assistance'!I$1:I$1400))&gt;0,1,""),0)</f>
        <v>0</v>
      </c>
      <c r="R157" s="905" t="str">
        <f>IF(SUMIFS('Bilateral Assistance, MAIN DATA'!N:N,'Bilateral Assistance, MAIN DATA'!I:I,'Price List, Weapons &amp; Items'!B157)&gt;M157,1,".")</f>
        <v>.</v>
      </c>
    </row>
    <row r="158" spans="2:18" ht="15" customHeight="1">
      <c r="B158" s="71" t="s">
        <v>5309</v>
      </c>
      <c r="C158" s="915" t="s">
        <v>5062</v>
      </c>
      <c r="D158" s="899" t="s">
        <v>5103</v>
      </c>
      <c r="E158" s="900">
        <v>0</v>
      </c>
      <c r="F158" s="900">
        <f t="shared" si="13"/>
        <v>0</v>
      </c>
      <c r="G158" s="892">
        <v>87000000</v>
      </c>
      <c r="H158" s="908" t="str">
        <f>IF(G158&lt;&gt;".","USD",".")</f>
        <v>USD</v>
      </c>
      <c r="I158" s="891" t="s">
        <v>5074</v>
      </c>
      <c r="J158" s="901" t="s">
        <v>5075</v>
      </c>
      <c r="K158" s="901" t="s">
        <v>5310</v>
      </c>
      <c r="L158" s="905" t="str">
        <f t="shared" si="14"/>
        <v>no price, 0 count</v>
      </c>
      <c r="M158" s="909">
        <f>SUMIFS('Bilateral Assistance, MAIN DATA'!M:M,'Bilateral Assistance, MAIN DATA'!I:I,'Price List, Weapons &amp; Items'!B158)</f>
        <v>0</v>
      </c>
      <c r="N158" s="71">
        <f>COUNTIFS('Bilateral Assistance, MAIN DATA'!M:M,"undisclosed",'Bilateral Assistance, MAIN DATA'!I:I,'Price List, Weapons &amp; Items'!B158)</f>
        <v>0</v>
      </c>
      <c r="O158" s="910">
        <f t="shared" si="15"/>
        <v>0</v>
      </c>
      <c r="P158" s="71">
        <f>IFERROR(IF(SEARCH(B158,_xlfn.ARRAYTOTEXT('Bilateral Assistance, MAIN DATA'!I$1:I$2206))&gt;0,1,""),0)</f>
        <v>0</v>
      </c>
      <c r="Q158" s="71">
        <f>IFERROR(IF(SEARCH(B158,_xlfn.ARRAYTOTEXT('Commercial Assistance'!I$1:I$1400))&gt;0,1,""),0)</f>
        <v>0</v>
      </c>
      <c r="R158" s="905" t="str">
        <f>IF(SUMIFS('Bilateral Assistance, MAIN DATA'!N:N,'Bilateral Assistance, MAIN DATA'!I:I,'Price List, Weapons &amp; Items'!B158)&gt;M158,1,".")</f>
        <v>.</v>
      </c>
    </row>
    <row r="159" spans="2:18" ht="15" customHeight="1">
      <c r="B159" s="912" t="s">
        <v>4335</v>
      </c>
      <c r="C159" s="898" t="s">
        <v>5062</v>
      </c>
      <c r="D159" s="898" t="s">
        <v>5146</v>
      </c>
      <c r="E159" s="900">
        <v>0</v>
      </c>
      <c r="F159" s="900">
        <f t="shared" si="13"/>
        <v>0</v>
      </c>
      <c r="G159" s="892">
        <v>70000000</v>
      </c>
      <c r="H159" s="908" t="str">
        <f>IF(G159&lt;&gt;".","USD",".")</f>
        <v>USD</v>
      </c>
      <c r="I159" s="885" t="s">
        <v>5311</v>
      </c>
      <c r="J159" s="901" t="s">
        <v>5082</v>
      </c>
      <c r="K159" s="901" t="s">
        <v>5312</v>
      </c>
      <c r="L159" s="905">
        <f t="shared" si="14"/>
        <v>2</v>
      </c>
      <c r="M159" s="909">
        <f>SUMIFS('Bilateral Assistance, MAIN DATA'!M:M,'Bilateral Assistance, MAIN DATA'!I:I,'Price List, Weapons &amp; Items'!B159)</f>
        <v>10</v>
      </c>
      <c r="N159" s="71">
        <f>COUNTIFS('Bilateral Assistance, MAIN DATA'!M:M,"undisclosed",'Bilateral Assistance, MAIN DATA'!I:I,'Price List, Weapons &amp; Items'!B159)</f>
        <v>0</v>
      </c>
      <c r="O159" s="910">
        <f t="shared" si="15"/>
        <v>700000000</v>
      </c>
      <c r="P159" s="71">
        <f>IFERROR(IF(SEARCH(B159,_xlfn.ARRAYTOTEXT('Bilateral Assistance, MAIN DATA'!I$1:I$2206))&gt;0,1,""),0)</f>
        <v>0</v>
      </c>
      <c r="Q159" s="71">
        <f>IFERROR(IF(SEARCH(B159,_xlfn.ARRAYTOTEXT('Commercial Assistance'!I$1:I$1400))&gt;0,1,""),0)</f>
        <v>0</v>
      </c>
      <c r="R159" s="905" t="str">
        <f>IF(SUMIFS('Bilateral Assistance, MAIN DATA'!N:N,'Bilateral Assistance, MAIN DATA'!I:I,'Price List, Weapons &amp; Items'!B159)&gt;M159,1,".")</f>
        <v>.</v>
      </c>
    </row>
    <row r="160" spans="2:18" ht="15" customHeight="1">
      <c r="B160" s="912" t="s">
        <v>4023</v>
      </c>
      <c r="C160" s="898" t="s">
        <v>5062</v>
      </c>
      <c r="D160" s="898" t="s">
        <v>5146</v>
      </c>
      <c r="E160" s="900">
        <v>0</v>
      </c>
      <c r="F160" s="900">
        <f t="shared" si="13"/>
        <v>0</v>
      </c>
      <c r="G160" s="892">
        <v>70000000</v>
      </c>
      <c r="H160" s="908" t="str">
        <f>IF(G160&lt;&gt;".","USD",".")</f>
        <v>USD</v>
      </c>
      <c r="I160" s="885" t="s">
        <v>5311</v>
      </c>
      <c r="J160" s="901" t="s">
        <v>5082</v>
      </c>
      <c r="K160" s="901" t="s">
        <v>5313</v>
      </c>
      <c r="L160" s="905">
        <f t="shared" si="14"/>
        <v>2</v>
      </c>
      <c r="M160" s="909">
        <f>SUMIFS('Bilateral Assistance, MAIN DATA'!M:M,'Bilateral Assistance, MAIN DATA'!I:I,'Price List, Weapons &amp; Items'!B160)</f>
        <v>2</v>
      </c>
      <c r="N160" s="71">
        <f>COUNTIFS('Bilateral Assistance, MAIN DATA'!M:M,"undisclosed",'Bilateral Assistance, MAIN DATA'!I:I,'Price List, Weapons &amp; Items'!B160)</f>
        <v>0</v>
      </c>
      <c r="O160" s="910">
        <f t="shared" si="15"/>
        <v>140000000</v>
      </c>
      <c r="P160" s="71">
        <f>IFERROR(IF(SEARCH(B160,_xlfn.ARRAYTOTEXT('Bilateral Assistance, MAIN DATA'!I$1:I$2206))&gt;0,1,""),0)</f>
        <v>0</v>
      </c>
      <c r="Q160" s="71">
        <f>IFERROR(IF(SEARCH(B160,_xlfn.ARRAYTOTEXT('Commercial Assistance'!I$1:I$1400))&gt;0,1,""),0)</f>
        <v>0</v>
      </c>
      <c r="R160" s="905" t="str">
        <f>IF(SUMIFS('Bilateral Assistance, MAIN DATA'!N:N,'Bilateral Assistance, MAIN DATA'!I:I,'Price List, Weapons &amp; Items'!B160)&gt;M160,1,".")</f>
        <v>.</v>
      </c>
    </row>
    <row r="161" spans="2:18" ht="15" customHeight="1">
      <c r="B161" s="921" t="s">
        <v>5314</v>
      </c>
      <c r="C161" s="898" t="s">
        <v>5062</v>
      </c>
      <c r="D161" s="898" t="s">
        <v>5146</v>
      </c>
      <c r="E161" s="900">
        <v>0</v>
      </c>
      <c r="F161" s="900">
        <f t="shared" si="13"/>
        <v>0</v>
      </c>
      <c r="G161" s="892">
        <v>19354990.843713053</v>
      </c>
      <c r="H161" s="908" t="s">
        <v>456</v>
      </c>
      <c r="I161" s="891" t="s">
        <v>5074</v>
      </c>
      <c r="J161" s="901" t="s">
        <v>5082</v>
      </c>
      <c r="K161" s="917" t="s">
        <v>5315</v>
      </c>
      <c r="L161" s="905">
        <f t="shared" si="14"/>
        <v>2</v>
      </c>
      <c r="M161" s="909">
        <f>SUMIFS('Bilateral Assistance, MAIN DATA'!M:M,'Bilateral Assistance, MAIN DATA'!I:I,'Price List, Weapons &amp; Items'!B161)</f>
        <v>5</v>
      </c>
      <c r="N161" s="71">
        <f>COUNTIFS('Bilateral Assistance, MAIN DATA'!M:M,"undisclosed",'Bilateral Assistance, MAIN DATA'!I:I,'Price List, Weapons &amp; Items'!B161)</f>
        <v>0</v>
      </c>
      <c r="O161" s="910">
        <f t="shared" si="15"/>
        <v>96774954.218565255</v>
      </c>
      <c r="P161" s="71">
        <f>IFERROR(IF(SEARCH(B161,_xlfn.ARRAYTOTEXT('Bilateral Assistance, MAIN DATA'!I$1:I$2206))&gt;0,1,""),0)</f>
        <v>0</v>
      </c>
      <c r="Q161" s="71">
        <f>IFERROR(IF(SEARCH(B161,_xlfn.ARRAYTOTEXT('Commercial Assistance'!I$1:I$1400))&gt;0,1,""),0)</f>
        <v>0</v>
      </c>
      <c r="R161" s="905" t="str">
        <f>IF(SUMIFS('Bilateral Assistance, MAIN DATA'!N:N,'Bilateral Assistance, MAIN DATA'!I:I,'Price List, Weapons &amp; Items'!B161)&gt;M161,1,".")</f>
        <v>.</v>
      </c>
    </row>
    <row r="162" spans="2:18" ht="15" customHeight="1">
      <c r="B162" s="901" t="s">
        <v>862</v>
      </c>
      <c r="C162" s="898" t="s">
        <v>5062</v>
      </c>
      <c r="D162" s="898" t="s">
        <v>4696</v>
      </c>
      <c r="E162" s="900">
        <v>0</v>
      </c>
      <c r="F162" s="900">
        <f t="shared" si="13"/>
        <v>0</v>
      </c>
      <c r="G162" s="892">
        <v>50000000</v>
      </c>
      <c r="H162" s="908" t="str">
        <f t="shared" ref="H162:H173" si="17">IF(G162&lt;&gt;".","USD",".")</f>
        <v>USD</v>
      </c>
      <c r="I162" s="888" t="s">
        <v>5316</v>
      </c>
      <c r="J162" s="901" t="s">
        <v>5082</v>
      </c>
      <c r="K162" s="901" t="s">
        <v>5317</v>
      </c>
      <c r="L162" s="905">
        <f t="shared" si="14"/>
        <v>2</v>
      </c>
      <c r="M162" s="909">
        <f>SUMIFS('Bilateral Assistance, MAIN DATA'!M:M,'Bilateral Assistance, MAIN DATA'!I:I,'Price List, Weapons &amp; Items'!B162)</f>
        <v>11</v>
      </c>
      <c r="N162" s="71">
        <f>COUNTIFS('Bilateral Assistance, MAIN DATA'!M:M,"undisclosed",'Bilateral Assistance, MAIN DATA'!I:I,'Price List, Weapons &amp; Items'!B162)</f>
        <v>0</v>
      </c>
      <c r="O162" s="910">
        <f t="shared" si="15"/>
        <v>550000000</v>
      </c>
      <c r="P162" s="71">
        <f>IFERROR(IF(SEARCH(B162,_xlfn.ARRAYTOTEXT('Bilateral Assistance, MAIN DATA'!I$1:I$2206))&gt;0,1,""),0)</f>
        <v>0</v>
      </c>
      <c r="Q162" s="71">
        <f>IFERROR(IF(SEARCH(B162,_xlfn.ARRAYTOTEXT('Commercial Assistance'!I$1:I$1400))&gt;0,1,""),0)</f>
        <v>0</v>
      </c>
      <c r="R162" s="905" t="str">
        <f>IF(SUMIFS('Bilateral Assistance, MAIN DATA'!N:N,'Bilateral Assistance, MAIN DATA'!I:I,'Price List, Weapons &amp; Items'!B162)&gt;M162,1,".")</f>
        <v>.</v>
      </c>
    </row>
    <row r="163" spans="2:18" ht="15" customHeight="1">
      <c r="B163" s="912" t="s">
        <v>1398</v>
      </c>
      <c r="C163" s="898" t="s">
        <v>5062</v>
      </c>
      <c r="D163" s="899" t="s">
        <v>5117</v>
      </c>
      <c r="E163" s="900">
        <v>0</v>
      </c>
      <c r="F163" s="900">
        <f t="shared" si="13"/>
        <v>0</v>
      </c>
      <c r="G163" s="892">
        <v>39916727.899999999</v>
      </c>
      <c r="H163" s="908" t="str">
        <f t="shared" si="17"/>
        <v>USD</v>
      </c>
      <c r="I163" s="886" t="s">
        <v>5318</v>
      </c>
      <c r="J163" s="901" t="s">
        <v>5082</v>
      </c>
      <c r="K163" s="901" t="s">
        <v>5319</v>
      </c>
      <c r="L163" s="905">
        <f t="shared" si="14"/>
        <v>2</v>
      </c>
      <c r="M163" s="909">
        <f>SUMIFS('Bilateral Assistance, MAIN DATA'!M:M,'Bilateral Assistance, MAIN DATA'!I:I,'Price List, Weapons &amp; Items'!B163)</f>
        <v>58</v>
      </c>
      <c r="N163" s="71">
        <f>COUNTIFS('Bilateral Assistance, MAIN DATA'!M:M,"undisclosed",'Bilateral Assistance, MAIN DATA'!I:I,'Price List, Weapons &amp; Items'!B163)</f>
        <v>2</v>
      </c>
      <c r="O163" s="910">
        <f t="shared" si="15"/>
        <v>2315170218.1999998</v>
      </c>
      <c r="P163" s="71">
        <f>IFERROR(IF(SEARCH(B163,_xlfn.ARRAYTOTEXT('Bilateral Assistance, MAIN DATA'!I$1:I$2206))&gt;0,1,""),0)</f>
        <v>0</v>
      </c>
      <c r="Q163" s="71">
        <f>IFERROR(IF(SEARCH(B163,_xlfn.ARRAYTOTEXT('Commercial Assistance'!I$1:I$1400))&gt;0,1,""),0)</f>
        <v>0</v>
      </c>
      <c r="R163" s="905" t="str">
        <f>IF(SUMIFS('Bilateral Assistance, MAIN DATA'!N:N,'Bilateral Assistance, MAIN DATA'!I:I,'Price List, Weapons &amp; Items'!B163)&gt;M163,1,".")</f>
        <v>.</v>
      </c>
    </row>
    <row r="164" spans="2:18" ht="15" customHeight="1">
      <c r="B164" s="901" t="s">
        <v>1250</v>
      </c>
      <c r="C164" s="898" t="s">
        <v>5062</v>
      </c>
      <c r="D164" s="898" t="s">
        <v>5320</v>
      </c>
      <c r="E164" s="900">
        <v>0</v>
      </c>
      <c r="F164" s="900">
        <f t="shared" si="13"/>
        <v>0</v>
      </c>
      <c r="G164" s="892">
        <v>35411360.630000003</v>
      </c>
      <c r="H164" s="908" t="str">
        <f t="shared" si="17"/>
        <v>USD</v>
      </c>
      <c r="I164" s="886" t="s">
        <v>5321</v>
      </c>
      <c r="J164" s="901" t="s">
        <v>5119</v>
      </c>
      <c r="K164" s="901" t="s">
        <v>5322</v>
      </c>
      <c r="L164" s="905">
        <f t="shared" si="14"/>
        <v>2</v>
      </c>
      <c r="M164" s="909">
        <f>SUMIFS('Bilateral Assistance, MAIN DATA'!M:M,'Bilateral Assistance, MAIN DATA'!I:I,'Price List, Weapons &amp; Items'!B164)</f>
        <v>3</v>
      </c>
      <c r="N164" s="71">
        <f>COUNTIFS('Bilateral Assistance, MAIN DATA'!M:M,"undisclosed",'Bilateral Assistance, MAIN DATA'!I:I,'Price List, Weapons &amp; Items'!B164)</f>
        <v>0</v>
      </c>
      <c r="O164" s="910">
        <f t="shared" si="15"/>
        <v>106234081.89000002</v>
      </c>
      <c r="P164" s="71">
        <f>IFERROR(IF(SEARCH(B164,_xlfn.ARRAYTOTEXT('Bilateral Assistance, MAIN DATA'!I$1:I$2206))&gt;0,1,""),0)</f>
        <v>0</v>
      </c>
      <c r="Q164" s="71">
        <f>IFERROR(IF(SEARCH(B164,_xlfn.ARRAYTOTEXT('Commercial Assistance'!I$1:I$1400))&gt;0,1,""),0)</f>
        <v>0</v>
      </c>
      <c r="R164" s="905" t="str">
        <f>IF(SUMIFS('Bilateral Assistance, MAIN DATA'!N:N,'Bilateral Assistance, MAIN DATA'!I:I,'Price List, Weapons &amp; Items'!B164)&gt;M164,1,".")</f>
        <v>.</v>
      </c>
    </row>
    <row r="165" spans="2:18" ht="15" customHeight="1">
      <c r="B165" s="901" t="s">
        <v>2458</v>
      </c>
      <c r="C165" s="898" t="s">
        <v>5062</v>
      </c>
      <c r="D165" s="899" t="s">
        <v>5323</v>
      </c>
      <c r="E165" s="900">
        <v>1</v>
      </c>
      <c r="F165" s="900">
        <f t="shared" si="13"/>
        <v>0</v>
      </c>
      <c r="G165" s="892">
        <v>18400000</v>
      </c>
      <c r="H165" s="908" t="str">
        <f t="shared" si="17"/>
        <v>USD</v>
      </c>
      <c r="I165" s="922" t="s">
        <v>5324</v>
      </c>
      <c r="J165" s="901" t="s">
        <v>5080</v>
      </c>
      <c r="K165" s="901" t="s">
        <v>5325</v>
      </c>
      <c r="L165" s="905">
        <f t="shared" si="14"/>
        <v>2</v>
      </c>
      <c r="M165" s="909">
        <f>SUMIFS('Bilateral Assistance, MAIN DATA'!M:M,'Bilateral Assistance, MAIN DATA'!I:I,'Price List, Weapons &amp; Items'!B165)</f>
        <v>21</v>
      </c>
      <c r="N165" s="71">
        <f>COUNTIFS('Bilateral Assistance, MAIN DATA'!M:M,"undisclosed",'Bilateral Assistance, MAIN DATA'!I:I,'Price List, Weapons &amp; Items'!B165)</f>
        <v>0</v>
      </c>
      <c r="O165" s="910">
        <f t="shared" si="15"/>
        <v>386400000</v>
      </c>
      <c r="P165" s="71">
        <f>IFERROR(IF(SEARCH(B165,_xlfn.ARRAYTOTEXT('Bilateral Assistance, MAIN DATA'!I$1:I$2206))&gt;0,1,""),0)</f>
        <v>0</v>
      </c>
      <c r="Q165" s="71">
        <f>IFERROR(IF(SEARCH(B165,_xlfn.ARRAYTOTEXT('Commercial Assistance'!I$1:I$1400))&gt;0,1,""),0)</f>
        <v>0</v>
      </c>
      <c r="R165" s="905" t="str">
        <f>IF(SUMIFS('Bilateral Assistance, MAIN DATA'!N:N,'Bilateral Assistance, MAIN DATA'!I:I,'Price List, Weapons &amp; Items'!B165)&gt;M165,1,".")</f>
        <v>.</v>
      </c>
    </row>
    <row r="166" spans="2:18" ht="15" customHeight="1">
      <c r="B166" s="915" t="s">
        <v>1894</v>
      </c>
      <c r="C166" s="898" t="s">
        <v>5062</v>
      </c>
      <c r="D166" s="899" t="s">
        <v>4288</v>
      </c>
      <c r="E166" s="900">
        <v>0</v>
      </c>
      <c r="F166" s="900">
        <f t="shared" si="13"/>
        <v>1</v>
      </c>
      <c r="G166" s="892">
        <v>13778907.188501142</v>
      </c>
      <c r="H166" s="908" t="str">
        <f t="shared" si="17"/>
        <v>USD</v>
      </c>
      <c r="I166" s="887" t="s">
        <v>5025</v>
      </c>
      <c r="J166" s="901" t="s">
        <v>5075</v>
      </c>
      <c r="K166" s="901" t="s">
        <v>5326</v>
      </c>
      <c r="L166" s="905">
        <f t="shared" si="14"/>
        <v>2</v>
      </c>
      <c r="M166" s="909">
        <f>SUMIFS('Bilateral Assistance, MAIN DATA'!M:M,'Bilateral Assistance, MAIN DATA'!I:I,'Price List, Weapons &amp; Items'!B166)</f>
        <v>28</v>
      </c>
      <c r="N166" s="71">
        <f>COUNTIFS('Bilateral Assistance, MAIN DATA'!M:M,"undisclosed",'Bilateral Assistance, MAIN DATA'!I:I,'Price List, Weapons &amp; Items'!B166)</f>
        <v>0</v>
      </c>
      <c r="O166" s="910">
        <f t="shared" si="15"/>
        <v>385809401.27803195</v>
      </c>
      <c r="P166" s="71">
        <f>IFERROR(IF(SEARCH(B166,_xlfn.ARRAYTOTEXT('Bilateral Assistance, MAIN DATA'!I$1:I$2206))&gt;0,1,""),0)</f>
        <v>0</v>
      </c>
      <c r="Q166" s="71">
        <f>IFERROR(IF(SEARCH(B166,_xlfn.ARRAYTOTEXT('Commercial Assistance'!I$1:I$1400))&gt;0,1,""),0)</f>
        <v>1</v>
      </c>
      <c r="R166" s="905" t="str">
        <f>IF(SUMIFS('Bilateral Assistance, MAIN DATA'!N:N,'Bilateral Assistance, MAIN DATA'!I:I,'Price List, Weapons &amp; Items'!B166)&gt;M166,1,".")</f>
        <v>.</v>
      </c>
    </row>
    <row r="167" spans="2:18" ht="15" customHeight="1">
      <c r="B167" s="901" t="s">
        <v>4070</v>
      </c>
      <c r="C167" s="898" t="s">
        <v>5062</v>
      </c>
      <c r="D167" s="899" t="s">
        <v>5327</v>
      </c>
      <c r="E167" s="900">
        <v>0</v>
      </c>
      <c r="F167" s="900">
        <f t="shared" si="13"/>
        <v>1</v>
      </c>
      <c r="G167" s="892">
        <v>15076313.029999999</v>
      </c>
      <c r="H167" s="908" t="str">
        <f t="shared" si="17"/>
        <v>USD</v>
      </c>
      <c r="I167" s="891" t="s">
        <v>5074</v>
      </c>
      <c r="J167" s="901" t="s">
        <v>5075</v>
      </c>
      <c r="K167" s="901" t="s">
        <v>5328</v>
      </c>
      <c r="L167" s="905">
        <f t="shared" si="14"/>
        <v>2</v>
      </c>
      <c r="M167" s="909">
        <f>SUMIFS('Bilateral Assistance, MAIN DATA'!M:M,'Bilateral Assistance, MAIN DATA'!I:I,'Price List, Weapons &amp; Items'!B167)</f>
        <v>38</v>
      </c>
      <c r="N167" s="71">
        <f>COUNTIFS('Bilateral Assistance, MAIN DATA'!M:M,"undisclosed",'Bilateral Assistance, MAIN DATA'!I:I,'Price List, Weapons &amp; Items'!B167)</f>
        <v>0</v>
      </c>
      <c r="O167" s="910">
        <f t="shared" si="15"/>
        <v>572899895.13999999</v>
      </c>
      <c r="P167" s="71">
        <f>IFERROR(IF(SEARCH(B167,_xlfn.ARRAYTOTEXT('Bilateral Assistance, MAIN DATA'!I$1:I$2206))&gt;0,1,""),0)</f>
        <v>0</v>
      </c>
      <c r="Q167" s="71">
        <f>IFERROR(IF(SEARCH(B167,_xlfn.ARRAYTOTEXT('Commercial Assistance'!I$1:I$1400))&gt;0,1,""),0)</f>
        <v>0</v>
      </c>
      <c r="R167" s="905" t="str">
        <f>IF(SUMIFS('Bilateral Assistance, MAIN DATA'!N:N,'Bilateral Assistance, MAIN DATA'!I:I,'Price List, Weapons &amp; Items'!B167)&gt;M167,1,".")</f>
        <v>.</v>
      </c>
    </row>
    <row r="168" spans="2:18" ht="15" customHeight="1">
      <c r="B168" s="912" t="s">
        <v>4242</v>
      </c>
      <c r="C168" s="898" t="s">
        <v>5062</v>
      </c>
      <c r="D168" s="899" t="s">
        <v>5117</v>
      </c>
      <c r="E168" s="900">
        <v>0</v>
      </c>
      <c r="F168" s="900">
        <f t="shared" si="13"/>
        <v>0</v>
      </c>
      <c r="G168" s="892">
        <v>15000000</v>
      </c>
      <c r="H168" s="908" t="str">
        <f t="shared" si="17"/>
        <v>USD</v>
      </c>
      <c r="I168" s="886" t="s">
        <v>5318</v>
      </c>
      <c r="J168" s="901" t="s">
        <v>5082</v>
      </c>
      <c r="K168" s="901" t="s">
        <v>5329</v>
      </c>
      <c r="L168" s="905">
        <f t="shared" si="14"/>
        <v>2</v>
      </c>
      <c r="M168" s="909">
        <f>SUMIFS('Bilateral Assistance, MAIN DATA'!M:M,'Bilateral Assistance, MAIN DATA'!I:I,'Price List, Weapons &amp; Items'!B168)</f>
        <v>16</v>
      </c>
      <c r="N168" s="71">
        <f>COUNTIFS('Bilateral Assistance, MAIN DATA'!M:M,"undisclosed",'Bilateral Assistance, MAIN DATA'!I:I,'Price List, Weapons &amp; Items'!B168)</f>
        <v>0</v>
      </c>
      <c r="O168" s="910">
        <f t="shared" si="15"/>
        <v>240000000</v>
      </c>
      <c r="P168" s="71">
        <f>IFERROR(IF(SEARCH(B168,_xlfn.ARRAYTOTEXT('Bilateral Assistance, MAIN DATA'!I$1:I$2206))&gt;0,1,""),0)</f>
        <v>0</v>
      </c>
      <c r="Q168" s="71">
        <f>IFERROR(IF(SEARCH(B168,_xlfn.ARRAYTOTEXT('Commercial Assistance'!I$1:I$1400))&gt;0,1,""),0)</f>
        <v>0</v>
      </c>
      <c r="R168" s="905" t="str">
        <f>IF(SUMIFS('Bilateral Assistance, MAIN DATA'!N:N,'Bilateral Assistance, MAIN DATA'!I:I,'Price List, Weapons &amp; Items'!B168)&gt;M168,1,".")</f>
        <v>.</v>
      </c>
    </row>
    <row r="169" spans="2:18" ht="15" customHeight="1">
      <c r="B169" s="912" t="s">
        <v>3031</v>
      </c>
      <c r="C169" s="898" t="s">
        <v>5062</v>
      </c>
      <c r="D169" s="899" t="s">
        <v>4288</v>
      </c>
      <c r="E169" s="900">
        <v>0</v>
      </c>
      <c r="F169" s="900">
        <f t="shared" si="13"/>
        <v>1</v>
      </c>
      <c r="G169" s="892">
        <v>12781188.5</v>
      </c>
      <c r="H169" s="908" t="str">
        <f t="shared" si="17"/>
        <v>USD</v>
      </c>
      <c r="I169" s="885" t="s">
        <v>5330</v>
      </c>
      <c r="J169" s="901" t="s">
        <v>5119</v>
      </c>
      <c r="K169" s="901" t="s">
        <v>5331</v>
      </c>
      <c r="L169" s="905">
        <f t="shared" si="14"/>
        <v>2</v>
      </c>
      <c r="M169" s="909">
        <f>SUMIFS('Bilateral Assistance, MAIN DATA'!M:M,'Bilateral Assistance, MAIN DATA'!I:I,'Price List, Weapons &amp; Items'!B169)</f>
        <v>54</v>
      </c>
      <c r="N169" s="71">
        <f>COUNTIFS('Bilateral Assistance, MAIN DATA'!M:M,"undisclosed",'Bilateral Assistance, MAIN DATA'!I:I,'Price List, Weapons &amp; Items'!B169)</f>
        <v>0</v>
      </c>
      <c r="O169" s="910">
        <f t="shared" si="15"/>
        <v>690184179</v>
      </c>
      <c r="P169" s="71">
        <f>IFERROR(IF(SEARCH(B169,_xlfn.ARRAYTOTEXT('Bilateral Assistance, MAIN DATA'!I$1:I$2206))&gt;0,1,""),0)</f>
        <v>0</v>
      </c>
      <c r="Q169" s="71">
        <f>IFERROR(IF(SEARCH(B169,_xlfn.ARRAYTOTEXT('Commercial Assistance'!I$1:I$1400))&gt;0,1,""),0)</f>
        <v>1</v>
      </c>
      <c r="R169" s="905" t="str">
        <f>IF(SUMIFS('Bilateral Assistance, MAIN DATA'!N:N,'Bilateral Assistance, MAIN DATA'!I:I,'Price List, Weapons &amp; Items'!B169)&gt;M169,1,".")</f>
        <v>.</v>
      </c>
    </row>
    <row r="170" spans="2:18" ht="15" customHeight="1">
      <c r="B170" s="901" t="s">
        <v>1088</v>
      </c>
      <c r="C170" s="898" t="s">
        <v>5062</v>
      </c>
      <c r="D170" s="899" t="s">
        <v>5323</v>
      </c>
      <c r="E170" s="900">
        <v>1</v>
      </c>
      <c r="F170" s="900">
        <f t="shared" si="13"/>
        <v>0</v>
      </c>
      <c r="G170" s="892">
        <v>12000000</v>
      </c>
      <c r="H170" s="908" t="str">
        <f t="shared" si="17"/>
        <v>USD</v>
      </c>
      <c r="I170" s="886" t="s">
        <v>5332</v>
      </c>
      <c r="J170" s="901" t="s">
        <v>5082</v>
      </c>
      <c r="K170" s="901" t="s">
        <v>5333</v>
      </c>
      <c r="L170" s="905">
        <f t="shared" si="14"/>
        <v>2</v>
      </c>
      <c r="M170" s="909">
        <f>SUMIFS('Bilateral Assistance, MAIN DATA'!M:M,'Bilateral Assistance, MAIN DATA'!I:I,'Price List, Weapons &amp; Items'!B170)</f>
        <v>4</v>
      </c>
      <c r="N170" s="71">
        <f>COUNTIFS('Bilateral Assistance, MAIN DATA'!M:M,"undisclosed",'Bilateral Assistance, MAIN DATA'!I:I,'Price List, Weapons &amp; Items'!B170)</f>
        <v>0</v>
      </c>
      <c r="O170" s="910">
        <f t="shared" si="15"/>
        <v>48000000</v>
      </c>
      <c r="P170" s="71">
        <f>IFERROR(IF(SEARCH(B170,_xlfn.ARRAYTOTEXT('Bilateral Assistance, MAIN DATA'!I$1:I$2206))&gt;0,1,""),0)</f>
        <v>0</v>
      </c>
      <c r="Q170" s="71">
        <f>IFERROR(IF(SEARCH(B170,_xlfn.ARRAYTOTEXT('Commercial Assistance'!I$1:I$1400))&gt;0,1,""),0)</f>
        <v>0</v>
      </c>
      <c r="R170" s="905" t="str">
        <f>IF(SUMIFS('Bilateral Assistance, MAIN DATA'!N:N,'Bilateral Assistance, MAIN DATA'!I:I,'Price List, Weapons &amp; Items'!B170)&gt;M170,1,".")</f>
        <v>.</v>
      </c>
    </row>
    <row r="171" spans="2:18" ht="15" customHeight="1">
      <c r="B171" s="912" t="s">
        <v>2702</v>
      </c>
      <c r="C171" s="898" t="s">
        <v>1105</v>
      </c>
      <c r="D171" s="898" t="s">
        <v>1105</v>
      </c>
      <c r="E171" s="900">
        <v>0</v>
      </c>
      <c r="F171" s="900">
        <f t="shared" si="13"/>
        <v>0</v>
      </c>
      <c r="G171" s="892">
        <v>8888888</v>
      </c>
      <c r="H171" s="908" t="str">
        <f t="shared" si="17"/>
        <v>USD</v>
      </c>
      <c r="I171" s="886" t="s">
        <v>5334</v>
      </c>
      <c r="J171" s="901" t="s">
        <v>5082</v>
      </c>
      <c r="K171" s="901" t="s">
        <v>5335</v>
      </c>
      <c r="L171" s="905">
        <f t="shared" si="14"/>
        <v>2</v>
      </c>
      <c r="M171" s="909">
        <f>SUMIFS('Bilateral Assistance, MAIN DATA'!M:M,'Bilateral Assistance, MAIN DATA'!I:I,'Price List, Weapons &amp; Items'!B171)</f>
        <v>25</v>
      </c>
      <c r="N171" s="71">
        <f>COUNTIFS('Bilateral Assistance, MAIN DATA'!M:M,"undisclosed",'Bilateral Assistance, MAIN DATA'!I:I,'Price List, Weapons &amp; Items'!B171)</f>
        <v>0</v>
      </c>
      <c r="O171" s="910">
        <f t="shared" si="15"/>
        <v>222222200</v>
      </c>
      <c r="P171" s="71">
        <f>IFERROR(IF(SEARCH(B171,_xlfn.ARRAYTOTEXT('Bilateral Assistance, MAIN DATA'!I$1:I$2206))&gt;0,1,""),0)</f>
        <v>0</v>
      </c>
      <c r="Q171" s="71">
        <f>IFERROR(IF(SEARCH(B171,_xlfn.ARRAYTOTEXT('Commercial Assistance'!I$1:I$1400))&gt;0,1,""),0)</f>
        <v>0</v>
      </c>
      <c r="R171" s="905" t="str">
        <f>IF(SUMIFS('Bilateral Assistance, MAIN DATA'!N:N,'Bilateral Assistance, MAIN DATA'!I:I,'Price List, Weapons &amp; Items'!B171)&gt;M171,1,".")</f>
        <v>.</v>
      </c>
    </row>
    <row r="172" spans="2:18" ht="15" customHeight="1">
      <c r="B172" s="901" t="s">
        <v>1283</v>
      </c>
      <c r="C172" s="898" t="s">
        <v>5062</v>
      </c>
      <c r="D172" s="899" t="s">
        <v>4288</v>
      </c>
      <c r="E172" s="900">
        <v>0</v>
      </c>
      <c r="F172" s="900">
        <f t="shared" si="13"/>
        <v>1</v>
      </c>
      <c r="G172" s="892">
        <v>6345668.5229201708</v>
      </c>
      <c r="H172" s="908" t="str">
        <f t="shared" si="17"/>
        <v>USD</v>
      </c>
      <c r="I172" s="891" t="s">
        <v>5074</v>
      </c>
      <c r="J172" s="901" t="s">
        <v>5075</v>
      </c>
      <c r="K172" s="901" t="s">
        <v>5336</v>
      </c>
      <c r="L172" s="905">
        <f t="shared" si="14"/>
        <v>2</v>
      </c>
      <c r="M172" s="909">
        <f>SUMIFS('Bilateral Assistance, MAIN DATA'!M:M,'Bilateral Assistance, MAIN DATA'!I:I,'Price List, Weapons &amp; Items'!B172)</f>
        <v>49</v>
      </c>
      <c r="N172" s="71">
        <f>COUNTIFS('Bilateral Assistance, MAIN DATA'!M:M,"undisclosed",'Bilateral Assistance, MAIN DATA'!I:I,'Price List, Weapons &amp; Items'!B172)</f>
        <v>0</v>
      </c>
      <c r="O172" s="910">
        <f t="shared" si="15"/>
        <v>310937757.62308836</v>
      </c>
      <c r="P172" s="71">
        <f>IFERROR(IF(SEARCH(B172,_xlfn.ARRAYTOTEXT('Bilateral Assistance, MAIN DATA'!I$1:I$2206))&gt;0,1,""),0)</f>
        <v>0</v>
      </c>
      <c r="Q172" s="71">
        <f>IFERROR(IF(SEARCH(B172,_xlfn.ARRAYTOTEXT('Commercial Assistance'!I$1:I$1400))&gt;0,1,""),0)</f>
        <v>0</v>
      </c>
      <c r="R172" s="905" t="str">
        <f>IF(SUMIFS('Bilateral Assistance, MAIN DATA'!N:N,'Bilateral Assistance, MAIN DATA'!I:I,'Price List, Weapons &amp; Items'!B172)&gt;M172,1,".")</f>
        <v>.</v>
      </c>
    </row>
    <row r="173" spans="2:18" ht="15" customHeight="1">
      <c r="B173" s="901" t="s">
        <v>1260</v>
      </c>
      <c r="C173" s="898" t="s">
        <v>5062</v>
      </c>
      <c r="D173" s="899" t="s">
        <v>4288</v>
      </c>
      <c r="E173" s="900">
        <v>1</v>
      </c>
      <c r="F173" s="900">
        <f t="shared" si="13"/>
        <v>1</v>
      </c>
      <c r="G173" s="892">
        <v>8661378.4511823338</v>
      </c>
      <c r="H173" s="908" t="str">
        <f t="shared" si="17"/>
        <v>USD</v>
      </c>
      <c r="I173" s="885" t="s">
        <v>5337</v>
      </c>
      <c r="J173" s="901" t="s">
        <v>5119</v>
      </c>
      <c r="K173" s="901" t="s">
        <v>5338</v>
      </c>
      <c r="L173" s="905">
        <f t="shared" si="14"/>
        <v>2</v>
      </c>
      <c r="M173" s="909">
        <f>SUMIFS('Bilateral Assistance, MAIN DATA'!M:M,'Bilateral Assistance, MAIN DATA'!I:I,'Price List, Weapons &amp; Items'!B173)</f>
        <v>16</v>
      </c>
      <c r="N173" s="71">
        <f>COUNTIFS('Bilateral Assistance, MAIN DATA'!M:M,"undisclosed",'Bilateral Assistance, MAIN DATA'!I:I,'Price List, Weapons &amp; Items'!B173)</f>
        <v>0</v>
      </c>
      <c r="O173" s="910">
        <f t="shared" si="15"/>
        <v>138582055.21891734</v>
      </c>
      <c r="P173" s="71">
        <f>IFERROR(IF(SEARCH(B173,_xlfn.ARRAYTOTEXT('Bilateral Assistance, MAIN DATA'!I$1:I$2206))&gt;0,1,""),0)</f>
        <v>0</v>
      </c>
      <c r="Q173" s="71">
        <f>IFERROR(IF(SEARCH(B173,_xlfn.ARRAYTOTEXT('Commercial Assistance'!I$1:I$1400))&gt;0,1,""),0)</f>
        <v>1</v>
      </c>
      <c r="R173" s="905" t="str">
        <f>IF(SUMIFS('Bilateral Assistance, MAIN DATA'!N:N,'Bilateral Assistance, MAIN DATA'!I:I,'Price List, Weapons &amp; Items'!B173)&gt;M173,1,".")</f>
        <v>.</v>
      </c>
    </row>
    <row r="174" spans="2:18" ht="15" customHeight="1">
      <c r="B174" s="912" t="s">
        <v>1332</v>
      </c>
      <c r="C174" s="898" t="s">
        <v>1105</v>
      </c>
      <c r="D174" s="898" t="s">
        <v>1105</v>
      </c>
      <c r="E174" s="900">
        <v>0</v>
      </c>
      <c r="F174" s="900">
        <f t="shared" si="13"/>
        <v>0</v>
      </c>
      <c r="G174" s="892">
        <f>5300000*1.1435</f>
        <v>6060550</v>
      </c>
      <c r="H174" s="908" t="s">
        <v>456</v>
      </c>
      <c r="I174" s="886" t="s">
        <v>1333</v>
      </c>
      <c r="J174" s="901" t="s">
        <v>5080</v>
      </c>
      <c r="K174" s="901" t="s">
        <v>5339</v>
      </c>
      <c r="L174" s="905">
        <f t="shared" si="14"/>
        <v>2</v>
      </c>
      <c r="M174" s="909">
        <f>SUMIFS('Bilateral Assistance, MAIN DATA'!M:M,'Bilateral Assistance, MAIN DATA'!I:I,'Price List, Weapons &amp; Items'!B174)</f>
        <v>5</v>
      </c>
      <c r="N174" s="71">
        <f>COUNTIFS('Bilateral Assistance, MAIN DATA'!M:M,"undisclosed",'Bilateral Assistance, MAIN DATA'!I:I,'Price List, Weapons &amp; Items'!B174)</f>
        <v>0</v>
      </c>
      <c r="O174" s="910">
        <f t="shared" si="15"/>
        <v>30302750</v>
      </c>
      <c r="P174" s="71">
        <f>IFERROR(IF(SEARCH(B174,_xlfn.ARRAYTOTEXT('Bilateral Assistance, MAIN DATA'!I$1:I$2206))&gt;0,1,""),0)</f>
        <v>0</v>
      </c>
      <c r="Q174" s="71">
        <f>IFERROR(IF(SEARCH(B174,_xlfn.ARRAYTOTEXT('Commercial Assistance'!I$1:I$1400))&gt;0,1,""),0)</f>
        <v>0</v>
      </c>
      <c r="R174" s="905" t="str">
        <f>IF(SUMIFS('Bilateral Assistance, MAIN DATA'!N:N,'Bilateral Assistance, MAIN DATA'!I:I,'Price List, Weapons &amp; Items'!B174)&gt;M174,1,".")</f>
        <v>.</v>
      </c>
    </row>
    <row r="175" spans="2:18" ht="15" customHeight="1">
      <c r="B175" s="901" t="s">
        <v>5035</v>
      </c>
      <c r="C175" s="898" t="s">
        <v>5070</v>
      </c>
      <c r="D175" s="899" t="s">
        <v>1324</v>
      </c>
      <c r="E175" s="900">
        <v>0</v>
      </c>
      <c r="F175" s="900">
        <f t="shared" si="13"/>
        <v>0</v>
      </c>
      <c r="G175" s="892">
        <v>9530000</v>
      </c>
      <c r="H175" s="908" t="str">
        <f t="shared" ref="H175:H180" si="18">IF(G175&lt;&gt;".","USD",".")</f>
        <v>USD</v>
      </c>
      <c r="I175" s="885" t="s">
        <v>5074</v>
      </c>
      <c r="J175" s="901" t="s">
        <v>5075</v>
      </c>
      <c r="K175" s="901" t="s">
        <v>5340</v>
      </c>
      <c r="L175" s="905" t="str">
        <f t="shared" si="14"/>
        <v>no price, 0 count</v>
      </c>
      <c r="M175" s="909">
        <f>SUMIFS('Bilateral Assistance, MAIN DATA'!M:M,'Bilateral Assistance, MAIN DATA'!I:I,'Price List, Weapons &amp; Items'!B175)</f>
        <v>0</v>
      </c>
      <c r="N175" s="71">
        <f>COUNTIFS('Bilateral Assistance, MAIN DATA'!M:M,"undisclosed",'Bilateral Assistance, MAIN DATA'!I:I,'Price List, Weapons &amp; Items'!B175)</f>
        <v>0</v>
      </c>
      <c r="O175" s="910">
        <f t="shared" si="15"/>
        <v>0</v>
      </c>
      <c r="P175" s="71">
        <f>IFERROR(IF(SEARCH(B175,_xlfn.ARRAYTOTEXT('Bilateral Assistance, MAIN DATA'!I$1:I$2206))&gt;0,1,""),0)</f>
        <v>0</v>
      </c>
      <c r="Q175" s="71">
        <f>IFERROR(IF(SEARCH(B175,_xlfn.ARRAYTOTEXT('Commercial Assistance'!I$1:I$1400))&gt;0,1,""),0)</f>
        <v>1</v>
      </c>
      <c r="R175" s="905" t="str">
        <f>IF(SUMIFS('Bilateral Assistance, MAIN DATA'!N:N,'Bilateral Assistance, MAIN DATA'!I:I,'Price List, Weapons &amp; Items'!B175)&gt;M175,1,".")</f>
        <v>.</v>
      </c>
    </row>
    <row r="176" spans="2:18" ht="15" customHeight="1">
      <c r="B176" s="901" t="s">
        <v>1082</v>
      </c>
      <c r="C176" s="898" t="s">
        <v>5062</v>
      </c>
      <c r="D176" s="899" t="s">
        <v>5341</v>
      </c>
      <c r="E176" s="900">
        <v>1</v>
      </c>
      <c r="F176" s="900">
        <f t="shared" si="13"/>
        <v>1</v>
      </c>
      <c r="G176" s="892">
        <v>1637933.8716107793</v>
      </c>
      <c r="H176" s="918" t="str">
        <f t="shared" si="18"/>
        <v>USD</v>
      </c>
      <c r="I176" s="888" t="s">
        <v>5074</v>
      </c>
      <c r="J176" s="901" t="s">
        <v>5075</v>
      </c>
      <c r="K176" s="918" t="s">
        <v>5342</v>
      </c>
      <c r="L176" s="905">
        <f t="shared" si="14"/>
        <v>2</v>
      </c>
      <c r="M176" s="909">
        <f>SUMIFS('Bilateral Assistance, MAIN DATA'!M:M,'Bilateral Assistance, MAIN DATA'!I:I,'Price List, Weapons &amp; Items'!B176)</f>
        <v>33</v>
      </c>
      <c r="N176" s="71">
        <f>COUNTIFS('Bilateral Assistance, MAIN DATA'!M:M,"undisclosed",'Bilateral Assistance, MAIN DATA'!I:I,'Price List, Weapons &amp; Items'!B176)</f>
        <v>0</v>
      </c>
      <c r="O176" s="910">
        <f t="shared" si="15"/>
        <v>54051817.763155714</v>
      </c>
      <c r="P176" s="71">
        <f>IFERROR(IF(SEARCH(B176,_xlfn.ARRAYTOTEXT('Bilateral Assistance, MAIN DATA'!I$1:I$2206))&gt;0,1,""),0)</f>
        <v>0</v>
      </c>
      <c r="Q176" s="71">
        <f>IFERROR(IF(SEARCH(B176,_xlfn.ARRAYTOTEXT('Commercial Assistance'!I$1:I$1400))&gt;0,1,""),0)</f>
        <v>0</v>
      </c>
      <c r="R176" s="905" t="str">
        <f>IF(SUMIFS('Bilateral Assistance, MAIN DATA'!N:N,'Bilateral Assistance, MAIN DATA'!I:I,'Price List, Weapons &amp; Items'!B176)&gt;M176,1,".")</f>
        <v>.</v>
      </c>
    </row>
    <row r="177" spans="2:18" ht="15" customHeight="1">
      <c r="B177" s="901" t="s">
        <v>853</v>
      </c>
      <c r="C177" s="898" t="s">
        <v>5062</v>
      </c>
      <c r="D177" s="899" t="s">
        <v>5157</v>
      </c>
      <c r="E177" s="900">
        <v>0</v>
      </c>
      <c r="F177" s="900">
        <f t="shared" si="13"/>
        <v>1</v>
      </c>
      <c r="G177" s="892">
        <v>4346586.3370000003</v>
      </c>
      <c r="H177" s="908" t="str">
        <f t="shared" si="18"/>
        <v>USD</v>
      </c>
      <c r="I177" s="885" t="s">
        <v>5343</v>
      </c>
      <c r="J177" s="901" t="s">
        <v>5119</v>
      </c>
      <c r="K177" s="901" t="s">
        <v>5344</v>
      </c>
      <c r="L177" s="905">
        <f t="shared" si="14"/>
        <v>2</v>
      </c>
      <c r="M177" s="909">
        <f>SUMIFS('Bilateral Assistance, MAIN DATA'!M:M,'Bilateral Assistance, MAIN DATA'!I:I,'Price List, Weapons &amp; Items'!B177)</f>
        <v>43</v>
      </c>
      <c r="N177" s="71">
        <f>COUNTIFS('Bilateral Assistance, MAIN DATA'!M:M,"undisclosed",'Bilateral Assistance, MAIN DATA'!I:I,'Price List, Weapons &amp; Items'!B177)</f>
        <v>0</v>
      </c>
      <c r="O177" s="910">
        <f t="shared" si="15"/>
        <v>186903212.49100003</v>
      </c>
      <c r="P177" s="71">
        <f>IFERROR(IF(SEARCH(B177,_xlfn.ARRAYTOTEXT('Bilateral Assistance, MAIN DATA'!I$1:I$2206))&gt;0,1,""),0)</f>
        <v>0</v>
      </c>
      <c r="Q177" s="71">
        <f>IFERROR(IF(SEARCH(B177,_xlfn.ARRAYTOTEXT('Commercial Assistance'!I$1:I$1400))&gt;0,1,""),0)</f>
        <v>0</v>
      </c>
      <c r="R177" s="905" t="str">
        <f>IF(SUMIFS('Bilateral Assistance, MAIN DATA'!N:N,'Bilateral Assistance, MAIN DATA'!I:I,'Price List, Weapons &amp; Items'!B177)&gt;M177,1,".")</f>
        <v>.</v>
      </c>
    </row>
    <row r="178" spans="2:18" ht="15" customHeight="1">
      <c r="B178" s="912" t="s">
        <v>1893</v>
      </c>
      <c r="C178" s="898" t="s">
        <v>5062</v>
      </c>
      <c r="D178" s="899" t="s">
        <v>5345</v>
      </c>
      <c r="E178" s="900">
        <v>0</v>
      </c>
      <c r="F178" s="900">
        <f t="shared" si="13"/>
        <v>1</v>
      </c>
      <c r="G178" s="892">
        <f>AVERAGE(G163,G185)</f>
        <v>20783363.949999999</v>
      </c>
      <c r="H178" s="908" t="str">
        <f t="shared" si="18"/>
        <v>USD</v>
      </c>
      <c r="I178" s="891" t="s">
        <v>5074</v>
      </c>
      <c r="J178" s="901" t="s">
        <v>5075</v>
      </c>
      <c r="K178" s="917" t="s">
        <v>5346</v>
      </c>
      <c r="L178" s="905">
        <f t="shared" si="14"/>
        <v>2</v>
      </c>
      <c r="M178" s="909">
        <f>SUMIFS('Bilateral Assistance, MAIN DATA'!M:M,'Bilateral Assistance, MAIN DATA'!I:I,'Price List, Weapons &amp; Items'!B178)</f>
        <v>5</v>
      </c>
      <c r="N178" s="71">
        <f>COUNTIFS('Bilateral Assistance, MAIN DATA'!M:M,"undisclosed",'Bilateral Assistance, MAIN DATA'!I:I,'Price List, Weapons &amp; Items'!B178)</f>
        <v>0</v>
      </c>
      <c r="O178" s="910">
        <f t="shared" si="15"/>
        <v>103916819.75</v>
      </c>
      <c r="P178" s="71">
        <f>IFERROR(IF(SEARCH(B178,_xlfn.ARRAYTOTEXT('Bilateral Assistance, MAIN DATA'!I$1:I$2206))&gt;0,1,""),0)</f>
        <v>0</v>
      </c>
      <c r="Q178" s="71">
        <f>IFERROR(IF(SEARCH(B178,_xlfn.ARRAYTOTEXT('Commercial Assistance'!I$1:I$1400))&gt;0,1,""),0)</f>
        <v>0</v>
      </c>
      <c r="R178" s="905" t="str">
        <f>IF(SUMIFS('Bilateral Assistance, MAIN DATA'!N:N,'Bilateral Assistance, MAIN DATA'!I:I,'Price List, Weapons &amp; Items'!B178)&gt;M178,1,".")</f>
        <v>.</v>
      </c>
    </row>
    <row r="179" spans="2:18" ht="15" customHeight="1">
      <c r="B179" s="916" t="s">
        <v>1811</v>
      </c>
      <c r="C179" s="898" t="s">
        <v>5062</v>
      </c>
      <c r="D179" s="899" t="s">
        <v>5347</v>
      </c>
      <c r="E179" s="900">
        <v>0</v>
      </c>
      <c r="F179" s="900">
        <f t="shared" si="13"/>
        <v>0</v>
      </c>
      <c r="G179" s="892">
        <v>2528458.11</v>
      </c>
      <c r="H179" s="908" t="str">
        <f t="shared" si="18"/>
        <v>USD</v>
      </c>
      <c r="I179" s="885" t="s">
        <v>5074</v>
      </c>
      <c r="J179" s="901" t="s">
        <v>5075</v>
      </c>
      <c r="K179" s="901" t="s">
        <v>5348</v>
      </c>
      <c r="L179" s="905">
        <f t="shared" si="14"/>
        <v>2</v>
      </c>
      <c r="M179" s="909">
        <f>SUMIFS('Bilateral Assistance, MAIN DATA'!M:M,'Bilateral Assistance, MAIN DATA'!I:I,'Price List, Weapons &amp; Items'!B179)</f>
        <v>30</v>
      </c>
      <c r="N179" s="71">
        <f>COUNTIFS('Bilateral Assistance, MAIN DATA'!M:M,"undisclosed",'Bilateral Assistance, MAIN DATA'!I:I,'Price List, Weapons &amp; Items'!B179)</f>
        <v>0</v>
      </c>
      <c r="O179" s="910">
        <f t="shared" si="15"/>
        <v>75853743.299999997</v>
      </c>
      <c r="P179" s="71">
        <f>IFERROR(IF(SEARCH(B179,_xlfn.ARRAYTOTEXT('Bilateral Assistance, MAIN DATA'!I$1:I$2206))&gt;0,1,""),0)</f>
        <v>0</v>
      </c>
      <c r="Q179" s="71">
        <f>IFERROR(IF(SEARCH(B179,_xlfn.ARRAYTOTEXT('Commercial Assistance'!I$1:I$1400))&gt;0,1,""),0)</f>
        <v>0</v>
      </c>
      <c r="R179" s="905" t="str">
        <f>IF(SUMIFS('Bilateral Assistance, MAIN DATA'!N:N,'Bilateral Assistance, MAIN DATA'!I:I,'Price List, Weapons &amp; Items'!B179)&gt;M179,1,".")</f>
        <v>.</v>
      </c>
    </row>
    <row r="180" spans="2:18" ht="15" customHeight="1">
      <c r="B180" s="901" t="s">
        <v>1686</v>
      </c>
      <c r="C180" s="898" t="s">
        <v>5062</v>
      </c>
      <c r="D180" s="899" t="s">
        <v>5327</v>
      </c>
      <c r="E180" s="900">
        <v>0</v>
      </c>
      <c r="F180" s="900">
        <f t="shared" si="13"/>
        <v>1</v>
      </c>
      <c r="G180" s="892">
        <v>13615659.128881287</v>
      </c>
      <c r="H180" s="908" t="str">
        <f t="shared" si="18"/>
        <v>USD</v>
      </c>
      <c r="I180" s="891" t="s">
        <v>5074</v>
      </c>
      <c r="J180" s="901" t="s">
        <v>5075</v>
      </c>
      <c r="K180" s="917" t="s">
        <v>5349</v>
      </c>
      <c r="L180" s="905">
        <f t="shared" si="14"/>
        <v>2</v>
      </c>
      <c r="M180" s="909">
        <f>SUMIFS('Bilateral Assistance, MAIN DATA'!M:M,'Bilateral Assistance, MAIN DATA'!I:I,'Price List, Weapons &amp; Items'!B180)</f>
        <v>10</v>
      </c>
      <c r="N180" s="71">
        <f>COUNTIFS('Bilateral Assistance, MAIN DATA'!M:M,"undisclosed",'Bilateral Assistance, MAIN DATA'!I:I,'Price List, Weapons &amp; Items'!B180)</f>
        <v>0</v>
      </c>
      <c r="O180" s="910">
        <f t="shared" si="15"/>
        <v>136156591.28881288</v>
      </c>
      <c r="P180" s="71">
        <f>IFERROR(IF(SEARCH(B180,_xlfn.ARRAYTOTEXT('Bilateral Assistance, MAIN DATA'!I$1:I$2206))&gt;0,1,""),0)</f>
        <v>0</v>
      </c>
      <c r="Q180" s="71">
        <f>IFERROR(IF(SEARCH(B180,_xlfn.ARRAYTOTEXT('Commercial Assistance'!I$1:I$1400))&gt;0,1,""),0)</f>
        <v>0</v>
      </c>
      <c r="R180" s="905" t="str">
        <f>IF(SUMIFS('Bilateral Assistance, MAIN DATA'!N:N,'Bilateral Assistance, MAIN DATA'!I:I,'Price List, Weapons &amp; Items'!B180)&gt;M180,1,".")</f>
        <v>.</v>
      </c>
    </row>
    <row r="181" spans="2:18" ht="15" customHeight="1">
      <c r="B181" s="901" t="s">
        <v>2908</v>
      </c>
      <c r="C181" s="898" t="s">
        <v>5062</v>
      </c>
      <c r="D181" s="899" t="s">
        <v>5327</v>
      </c>
      <c r="E181" s="900">
        <v>0</v>
      </c>
      <c r="F181" s="900">
        <f t="shared" si="13"/>
        <v>1</v>
      </c>
      <c r="G181" s="892">
        <v>3193503.68</v>
      </c>
      <c r="H181" s="908" t="s">
        <v>456</v>
      </c>
      <c r="I181" s="891" t="s">
        <v>5074</v>
      </c>
      <c r="J181" s="901" t="s">
        <v>5075</v>
      </c>
      <c r="K181" s="917" t="s">
        <v>5350</v>
      </c>
      <c r="L181" s="905">
        <f t="shared" si="14"/>
        <v>2</v>
      </c>
      <c r="M181" s="909">
        <f>SUMIFS('Bilateral Assistance, MAIN DATA'!M:M,'Bilateral Assistance, MAIN DATA'!I:I,'Price List, Weapons &amp; Items'!B181)</f>
        <v>3</v>
      </c>
      <c r="N181" s="71">
        <f>COUNTIFS('Bilateral Assistance, MAIN DATA'!M:M,"undisclosed",'Bilateral Assistance, MAIN DATA'!I:I,'Price List, Weapons &amp; Items'!B181)</f>
        <v>0</v>
      </c>
      <c r="O181" s="910">
        <f t="shared" si="15"/>
        <v>9580511.040000001</v>
      </c>
      <c r="P181" s="71">
        <f>IFERROR(IF(SEARCH(B181,_xlfn.ARRAYTOTEXT('Bilateral Assistance, MAIN DATA'!I$1:I$2206))&gt;0,1,""),0)</f>
        <v>0</v>
      </c>
      <c r="Q181" s="71">
        <f>IFERROR(IF(SEARCH(B181,_xlfn.ARRAYTOTEXT('Commercial Assistance'!I$1:I$1400))&gt;0,1,""),0)</f>
        <v>0</v>
      </c>
      <c r="R181" s="905" t="str">
        <f>IF(SUMIFS('Bilateral Assistance, MAIN DATA'!N:N,'Bilateral Assistance, MAIN DATA'!I:I,'Price List, Weapons &amp; Items'!B181)&gt;M181,1,".")</f>
        <v>.</v>
      </c>
    </row>
    <row r="182" spans="2:18" ht="15" customHeight="1">
      <c r="B182" s="915" t="s">
        <v>3854</v>
      </c>
      <c r="C182" s="898" t="s">
        <v>5062</v>
      </c>
      <c r="D182" s="899" t="s">
        <v>4154</v>
      </c>
      <c r="E182" s="900">
        <v>0</v>
      </c>
      <c r="F182" s="900">
        <f t="shared" si="13"/>
        <v>0</v>
      </c>
      <c r="G182" s="892">
        <v>1272482.2760025531</v>
      </c>
      <c r="H182" s="908" t="str">
        <f t="shared" ref="H182:H195" si="19">IF(G182&lt;&gt;".","USD",".")</f>
        <v>USD</v>
      </c>
      <c r="I182" s="891" t="s">
        <v>5074</v>
      </c>
      <c r="J182" s="901" t="s">
        <v>5075</v>
      </c>
      <c r="K182" s="901" t="s">
        <v>5351</v>
      </c>
      <c r="L182" s="905">
        <f t="shared" si="14"/>
        <v>2</v>
      </c>
      <c r="M182" s="909">
        <f>SUMIFS('Bilateral Assistance, MAIN DATA'!M:M,'Bilateral Assistance, MAIN DATA'!I:I,'Price List, Weapons &amp; Items'!B182)</f>
        <v>72</v>
      </c>
      <c r="N182" s="71">
        <f>COUNTIFS('Bilateral Assistance, MAIN DATA'!M:M,"undisclosed",'Bilateral Assistance, MAIN DATA'!I:I,'Price List, Weapons &amp; Items'!B182)</f>
        <v>0</v>
      </c>
      <c r="O182" s="910">
        <f t="shared" si="15"/>
        <v>91618723.872183815</v>
      </c>
      <c r="P182" s="71">
        <f>IFERROR(IF(SEARCH(B182,_xlfn.ARRAYTOTEXT('Bilateral Assistance, MAIN DATA'!I$1:I$2206))&gt;0,1,""),0)</f>
        <v>0</v>
      </c>
      <c r="Q182" s="71">
        <f>IFERROR(IF(SEARCH(B182,_xlfn.ARRAYTOTEXT('Commercial Assistance'!I$1:I$1400))&gt;0,1,""),0)</f>
        <v>0</v>
      </c>
      <c r="R182" s="905" t="str">
        <f>IF(SUMIFS('Bilateral Assistance, MAIN DATA'!N:N,'Bilateral Assistance, MAIN DATA'!I:I,'Price List, Weapons &amp; Items'!B182)&gt;M182,1,".")</f>
        <v>.</v>
      </c>
    </row>
    <row r="183" spans="2:18" ht="15" customHeight="1">
      <c r="B183" s="912" t="s">
        <v>2269</v>
      </c>
      <c r="C183" s="898" t="s">
        <v>5062</v>
      </c>
      <c r="D183" s="899" t="s">
        <v>4288</v>
      </c>
      <c r="E183" s="900">
        <v>0</v>
      </c>
      <c r="F183" s="900">
        <f t="shared" si="13"/>
        <v>1</v>
      </c>
      <c r="G183" s="892">
        <v>1734787.30789614</v>
      </c>
      <c r="H183" s="908" t="str">
        <f t="shared" si="19"/>
        <v>USD</v>
      </c>
      <c r="I183" s="885" t="s">
        <v>5074</v>
      </c>
      <c r="J183" s="901" t="s">
        <v>5075</v>
      </c>
      <c r="K183" s="901" t="s">
        <v>5352</v>
      </c>
      <c r="L183" s="905">
        <f t="shared" si="14"/>
        <v>2</v>
      </c>
      <c r="M183" s="909">
        <f>SUMIFS('Bilateral Assistance, MAIN DATA'!M:M,'Bilateral Assistance, MAIN DATA'!I:I,'Price List, Weapons &amp; Items'!B183)</f>
        <v>116</v>
      </c>
      <c r="N183" s="71">
        <f>COUNTIFS('Bilateral Assistance, MAIN DATA'!M:M,"undisclosed",'Bilateral Assistance, MAIN DATA'!I:I,'Price List, Weapons &amp; Items'!B183)</f>
        <v>0</v>
      </c>
      <c r="O183" s="910">
        <f t="shared" si="15"/>
        <v>201235327.71595225</v>
      </c>
      <c r="P183" s="71">
        <f>IFERROR(IF(SEARCH(B183,_xlfn.ARRAYTOTEXT('Bilateral Assistance, MAIN DATA'!I$1:I$2206))&gt;0,1,""),0)</f>
        <v>0</v>
      </c>
      <c r="Q183" s="71">
        <f>IFERROR(IF(SEARCH(B183,_xlfn.ARRAYTOTEXT('Commercial Assistance'!I$1:I$1400))&gt;0,1,""),0)</f>
        <v>0</v>
      </c>
      <c r="R183" s="905" t="str">
        <f>IF(SUMIFS('Bilateral Assistance, MAIN DATA'!N:N,'Bilateral Assistance, MAIN DATA'!I:I,'Price List, Weapons &amp; Items'!B183)&gt;M183,1,".")</f>
        <v>.</v>
      </c>
    </row>
    <row r="184" spans="2:18" ht="15" customHeight="1">
      <c r="B184" s="916" t="s">
        <v>1836</v>
      </c>
      <c r="C184" s="898" t="s">
        <v>5062</v>
      </c>
      <c r="D184" s="899" t="s">
        <v>5152</v>
      </c>
      <c r="E184" s="900">
        <v>0</v>
      </c>
      <c r="F184" s="900">
        <f t="shared" si="13"/>
        <v>1</v>
      </c>
      <c r="G184" s="892">
        <v>1650000</v>
      </c>
      <c r="H184" s="908" t="str">
        <f t="shared" si="19"/>
        <v>USD</v>
      </c>
      <c r="I184" s="885" t="s">
        <v>5353</v>
      </c>
      <c r="J184" s="901" t="s">
        <v>5089</v>
      </c>
      <c r="K184" s="901" t="s">
        <v>5354</v>
      </c>
      <c r="L184" s="905">
        <f t="shared" si="14"/>
        <v>2</v>
      </c>
      <c r="M184" s="909">
        <f>SUMIFS('Bilateral Assistance, MAIN DATA'!M:M,'Bilateral Assistance, MAIN DATA'!I:I,'Price List, Weapons &amp; Items'!B184)</f>
        <v>40</v>
      </c>
      <c r="N184" s="71">
        <f>COUNTIFS('Bilateral Assistance, MAIN DATA'!M:M,"undisclosed",'Bilateral Assistance, MAIN DATA'!I:I,'Price List, Weapons &amp; Items'!B184)</f>
        <v>0</v>
      </c>
      <c r="O184" s="910">
        <f t="shared" si="15"/>
        <v>66000000</v>
      </c>
      <c r="P184" s="71">
        <f>IFERROR(IF(SEARCH(B184,_xlfn.ARRAYTOTEXT('Bilateral Assistance, MAIN DATA'!I$1:I$2206))&gt;0,1,""),0)</f>
        <v>0</v>
      </c>
      <c r="Q184" s="71">
        <f>IFERROR(IF(SEARCH(B184,_xlfn.ARRAYTOTEXT('Commercial Assistance'!I$1:I$1400))&gt;0,1,""),0)</f>
        <v>0</v>
      </c>
      <c r="R184" s="905" t="str">
        <f>IF(SUMIFS('Bilateral Assistance, MAIN DATA'!N:N,'Bilateral Assistance, MAIN DATA'!I:I,'Price List, Weapons &amp; Items'!B184)&gt;M184,1,".")</f>
        <v>.</v>
      </c>
    </row>
    <row r="185" spans="2:18" ht="15" customHeight="1">
      <c r="B185" s="912" t="s">
        <v>410</v>
      </c>
      <c r="C185" s="898" t="s">
        <v>5062</v>
      </c>
      <c r="D185" s="899" t="s">
        <v>5152</v>
      </c>
      <c r="E185" s="900">
        <v>0</v>
      </c>
      <c r="F185" s="900">
        <f t="shared" si="13"/>
        <v>1</v>
      </c>
      <c r="G185" s="892">
        <v>1650000</v>
      </c>
      <c r="H185" s="908" t="str">
        <f t="shared" si="19"/>
        <v>USD</v>
      </c>
      <c r="I185" s="885" t="s">
        <v>5353</v>
      </c>
      <c r="J185" s="901" t="s">
        <v>5089</v>
      </c>
      <c r="K185" s="901" t="s">
        <v>5355</v>
      </c>
      <c r="L185" s="905">
        <f t="shared" si="14"/>
        <v>2</v>
      </c>
      <c r="M185" s="909">
        <f>SUMIFS('Bilateral Assistance, MAIN DATA'!M:M,'Bilateral Assistance, MAIN DATA'!I:I,'Price List, Weapons &amp; Items'!B185)</f>
        <v>90</v>
      </c>
      <c r="N185" s="71">
        <f>COUNTIFS('Bilateral Assistance, MAIN DATA'!M:M,"undisclosed",'Bilateral Assistance, MAIN DATA'!I:I,'Price List, Weapons &amp; Items'!B185)</f>
        <v>0</v>
      </c>
      <c r="O185" s="910">
        <f t="shared" si="15"/>
        <v>148500000</v>
      </c>
      <c r="P185" s="71">
        <f>IFERROR(IF(SEARCH(B185,_xlfn.ARRAYTOTEXT('Bilateral Assistance, MAIN DATA'!I$1:I$2206))&gt;0,1,""),0)</f>
        <v>0</v>
      </c>
      <c r="Q185" s="71">
        <f>IFERROR(IF(SEARCH(B185,_xlfn.ARRAYTOTEXT('Commercial Assistance'!I$1:I$1400))&gt;0,1,""),0)</f>
        <v>0</v>
      </c>
      <c r="R185" s="905" t="str">
        <f>IF(SUMIFS('Bilateral Assistance, MAIN DATA'!N:N,'Bilateral Assistance, MAIN DATA'!I:I,'Price List, Weapons &amp; Items'!B185)&gt;M185,1,".")</f>
        <v>.</v>
      </c>
    </row>
    <row r="186" spans="2:18" ht="15" customHeight="1">
      <c r="B186" s="915" t="s">
        <v>1071</v>
      </c>
      <c r="C186" s="898" t="s">
        <v>5062</v>
      </c>
      <c r="D186" s="899" t="s">
        <v>5078</v>
      </c>
      <c r="E186" s="900">
        <v>1</v>
      </c>
      <c r="F186" s="900">
        <f t="shared" si="13"/>
        <v>1</v>
      </c>
      <c r="G186" s="892">
        <v>1616065.9562782401</v>
      </c>
      <c r="H186" s="908" t="str">
        <f t="shared" si="19"/>
        <v>USD</v>
      </c>
      <c r="I186" s="886" t="s">
        <v>5074</v>
      </c>
      <c r="J186" s="901" t="s">
        <v>5075</v>
      </c>
      <c r="K186" s="901" t="s">
        <v>5356</v>
      </c>
      <c r="L186" s="905">
        <f t="shared" si="14"/>
        <v>2</v>
      </c>
      <c r="M186" s="909">
        <f>SUMIFS('Bilateral Assistance, MAIN DATA'!M:M,'Bilateral Assistance, MAIN DATA'!I:I,'Price List, Weapons &amp; Items'!B186)</f>
        <v>359</v>
      </c>
      <c r="N186" s="71">
        <f>COUNTIFS('Bilateral Assistance, MAIN DATA'!M:M,"undisclosed",'Bilateral Assistance, MAIN DATA'!I:I,'Price List, Weapons &amp; Items'!B186)</f>
        <v>0</v>
      </c>
      <c r="O186" s="910">
        <f t="shared" si="15"/>
        <v>580167678.3038882</v>
      </c>
      <c r="P186" s="71">
        <f>IFERROR(IF(SEARCH(B186,_xlfn.ARRAYTOTEXT('Bilateral Assistance, MAIN DATA'!I$1:I$2206))&gt;0,1,""),0)</f>
        <v>0</v>
      </c>
      <c r="Q186" s="71">
        <f>IFERROR(IF(SEARCH(B186,_xlfn.ARRAYTOTEXT('Commercial Assistance'!I$1:I$1400))&gt;0,1,""),0)</f>
        <v>0</v>
      </c>
      <c r="R186" s="905" t="str">
        <f>IF(SUMIFS('Bilateral Assistance, MAIN DATA'!N:N,'Bilateral Assistance, MAIN DATA'!I:I,'Price List, Weapons &amp; Items'!B186)&gt;M186,1,".")</f>
        <v>.</v>
      </c>
    </row>
    <row r="187" spans="2:18" ht="15" customHeight="1">
      <c r="B187" s="919" t="s">
        <v>1085</v>
      </c>
      <c r="C187" s="898" t="s">
        <v>5062</v>
      </c>
      <c r="D187" s="898" t="s">
        <v>5357</v>
      </c>
      <c r="E187" s="900">
        <v>1</v>
      </c>
      <c r="F187" s="900">
        <f t="shared" si="13"/>
        <v>1</v>
      </c>
      <c r="G187" s="892">
        <v>1550000</v>
      </c>
      <c r="H187" s="908" t="str">
        <f t="shared" si="19"/>
        <v>USD</v>
      </c>
      <c r="I187" s="885" t="s">
        <v>5358</v>
      </c>
      <c r="J187" s="901" t="s">
        <v>5082</v>
      </c>
      <c r="K187" s="1356" t="s">
        <v>5359</v>
      </c>
      <c r="L187" s="905">
        <f t="shared" si="14"/>
        <v>2</v>
      </c>
      <c r="M187" s="909">
        <f>SUMIFS('Bilateral Assistance, MAIN DATA'!M:M,'Bilateral Assistance, MAIN DATA'!I:I,'Price List, Weapons &amp; Items'!B187)</f>
        <v>38</v>
      </c>
      <c r="N187" s="71">
        <f>COUNTIFS('Bilateral Assistance, MAIN DATA'!M:M,"undisclosed",'Bilateral Assistance, MAIN DATA'!I:I,'Price List, Weapons &amp; Items'!B187)</f>
        <v>0</v>
      </c>
      <c r="O187" s="910">
        <f t="shared" si="15"/>
        <v>58900000</v>
      </c>
      <c r="P187" s="71">
        <f>IFERROR(IF(SEARCH(B187,_xlfn.ARRAYTOTEXT('Bilateral Assistance, MAIN DATA'!I$1:I$2206))&gt;0,1,""),0)</f>
        <v>0</v>
      </c>
      <c r="Q187" s="71">
        <f>IFERROR(IF(SEARCH(B187,_xlfn.ARRAYTOTEXT('Commercial Assistance'!I$1:I$1400))&gt;0,1,""),0)</f>
        <v>0</v>
      </c>
      <c r="R187" s="905" t="str">
        <f>IF(SUMIFS('Bilateral Assistance, MAIN DATA'!N:N,'Bilateral Assistance, MAIN DATA'!I:I,'Price List, Weapons &amp; Items'!B187)&gt;M187,1,".")</f>
        <v>.</v>
      </c>
    </row>
    <row r="188" spans="2:18" ht="15" customHeight="1">
      <c r="B188" s="912" t="s">
        <v>1843</v>
      </c>
      <c r="C188" s="898" t="s">
        <v>5062</v>
      </c>
      <c r="D188" s="899" t="s">
        <v>5360</v>
      </c>
      <c r="E188" s="900">
        <v>0</v>
      </c>
      <c r="F188" s="900">
        <f t="shared" si="13"/>
        <v>0</v>
      </c>
      <c r="G188" s="892">
        <v>1190651.93</v>
      </c>
      <c r="H188" s="908" t="str">
        <f t="shared" si="19"/>
        <v>USD</v>
      </c>
      <c r="I188" s="885" t="s">
        <v>5361</v>
      </c>
      <c r="J188" s="901" t="s">
        <v>5082</v>
      </c>
      <c r="K188" s="901" t="s">
        <v>5362</v>
      </c>
      <c r="L188" s="905">
        <f t="shared" si="14"/>
        <v>2</v>
      </c>
      <c r="M188" s="909">
        <f>SUMIFS('Bilateral Assistance, MAIN DATA'!M:M,'Bilateral Assistance, MAIN DATA'!I:I,'Price List, Weapons &amp; Items'!B188)</f>
        <v>67</v>
      </c>
      <c r="N188" s="71">
        <f>COUNTIFS('Bilateral Assistance, MAIN DATA'!M:M,"undisclosed",'Bilateral Assistance, MAIN DATA'!I:I,'Price List, Weapons &amp; Items'!B188)</f>
        <v>0</v>
      </c>
      <c r="O188" s="910">
        <f t="shared" si="15"/>
        <v>79773679.310000002</v>
      </c>
      <c r="P188" s="71">
        <f>IFERROR(IF(SEARCH(B188,_xlfn.ARRAYTOTEXT('Bilateral Assistance, MAIN DATA'!I$1:I$2206))&gt;0,1,""),0)</f>
        <v>0</v>
      </c>
      <c r="Q188" s="71">
        <f>IFERROR(IF(SEARCH(B188,_xlfn.ARRAYTOTEXT('Commercial Assistance'!I$1:I$1400))&gt;0,1,""),0)</f>
        <v>0</v>
      </c>
      <c r="R188" s="905" t="str">
        <f>IF(SUMIFS('Bilateral Assistance, MAIN DATA'!N:N,'Bilateral Assistance, MAIN DATA'!I:I,'Price List, Weapons &amp; Items'!B188)&gt;M188,1,".")</f>
        <v>.</v>
      </c>
    </row>
    <row r="189" spans="2:18" ht="15" customHeight="1">
      <c r="B189" s="71" t="s">
        <v>2909</v>
      </c>
      <c r="C189" s="915" t="s">
        <v>5062</v>
      </c>
      <c r="D189" s="916" t="s">
        <v>5152</v>
      </c>
      <c r="E189" s="900">
        <v>0</v>
      </c>
      <c r="F189" s="900">
        <f t="shared" si="13"/>
        <v>1</v>
      </c>
      <c r="G189" s="892">
        <v>1187362.3799999999</v>
      </c>
      <c r="H189" s="908" t="str">
        <f t="shared" si="19"/>
        <v>USD</v>
      </c>
      <c r="I189" s="886" t="s">
        <v>5074</v>
      </c>
      <c r="J189" s="901" t="s">
        <v>5075</v>
      </c>
      <c r="K189" s="901" t="s">
        <v>5328</v>
      </c>
      <c r="L189" s="905">
        <f t="shared" si="14"/>
        <v>2</v>
      </c>
      <c r="M189" s="909">
        <f>SUMIFS('Bilateral Assistance, MAIN DATA'!M:M,'Bilateral Assistance, MAIN DATA'!I:I,'Price List, Weapons &amp; Items'!B189)</f>
        <v>14</v>
      </c>
      <c r="N189" s="71">
        <f>COUNTIFS('Bilateral Assistance, MAIN DATA'!M:M,"undisclosed",'Bilateral Assistance, MAIN DATA'!I:I,'Price List, Weapons &amp; Items'!B189)</f>
        <v>0</v>
      </c>
      <c r="O189" s="910">
        <f t="shared" si="15"/>
        <v>16623073.319999998</v>
      </c>
      <c r="P189" s="71">
        <f>IFERROR(IF(SEARCH(B189,_xlfn.ARRAYTOTEXT('Bilateral Assistance, MAIN DATA'!I$1:I$2206))&gt;0,1,""),0)</f>
        <v>0</v>
      </c>
      <c r="Q189" s="71">
        <f>IFERROR(IF(SEARCH(B189,_xlfn.ARRAYTOTEXT('Commercial Assistance'!I$1:I$1400))&gt;0,1,""),0)</f>
        <v>0</v>
      </c>
      <c r="R189" s="905" t="str">
        <f>IF(SUMIFS('Bilateral Assistance, MAIN DATA'!N:N,'Bilateral Assistance, MAIN DATA'!I:I,'Price List, Weapons &amp; Items'!B189)&gt;M189,1,".")</f>
        <v>.</v>
      </c>
    </row>
    <row r="190" spans="2:18" ht="15" customHeight="1">
      <c r="B190" s="916" t="s">
        <v>1926</v>
      </c>
      <c r="C190" s="898" t="s">
        <v>5070</v>
      </c>
      <c r="D190" s="899" t="s">
        <v>1324</v>
      </c>
      <c r="E190" s="900">
        <v>0</v>
      </c>
      <c r="F190" s="900">
        <f t="shared" si="13"/>
        <v>0</v>
      </c>
      <c r="G190" s="892">
        <f>1090071*0.95</f>
        <v>1035567.45</v>
      </c>
      <c r="H190" s="908" t="str">
        <f t="shared" si="19"/>
        <v>USD</v>
      </c>
      <c r="I190" s="886" t="s">
        <v>5363</v>
      </c>
      <c r="J190" s="901" t="s">
        <v>5089</v>
      </c>
      <c r="K190" s="901" t="s">
        <v>5364</v>
      </c>
      <c r="L190" s="905">
        <f t="shared" si="14"/>
        <v>2</v>
      </c>
      <c r="M190" s="909">
        <f>SUMIFS('Bilateral Assistance, MAIN DATA'!M:M,'Bilateral Assistance, MAIN DATA'!I:I,'Price List, Weapons &amp; Items'!B190)</f>
        <v>5</v>
      </c>
      <c r="N190" s="71">
        <f>COUNTIFS('Bilateral Assistance, MAIN DATA'!M:M,"undisclosed",'Bilateral Assistance, MAIN DATA'!I:I,'Price List, Weapons &amp; Items'!B190)</f>
        <v>0</v>
      </c>
      <c r="O190" s="910">
        <f t="shared" si="15"/>
        <v>5177837.25</v>
      </c>
      <c r="P190" s="71">
        <f>IFERROR(IF(SEARCH(B190,_xlfn.ARRAYTOTEXT('Bilateral Assistance, MAIN DATA'!I$1:I$2206))&gt;0,1,""),0)</f>
        <v>0</v>
      </c>
      <c r="Q190" s="71">
        <f>IFERROR(IF(SEARCH(B190,_xlfn.ARRAYTOTEXT('Commercial Assistance'!I$1:I$1400))&gt;0,1,""),0)</f>
        <v>0</v>
      </c>
      <c r="R190" s="905" t="str">
        <f>IF(SUMIFS('Bilateral Assistance, MAIN DATA'!N:N,'Bilateral Assistance, MAIN DATA'!I:I,'Price List, Weapons &amp; Items'!B190)&gt;M190,1,".")</f>
        <v>.</v>
      </c>
    </row>
    <row r="191" spans="2:18" ht="15" customHeight="1">
      <c r="B191" s="916" t="s">
        <v>1838</v>
      </c>
      <c r="C191" s="898" t="s">
        <v>5070</v>
      </c>
      <c r="D191" s="899" t="s">
        <v>1324</v>
      </c>
      <c r="E191" s="900">
        <v>0</v>
      </c>
      <c r="F191" s="900">
        <f t="shared" si="13"/>
        <v>0</v>
      </c>
      <c r="G191" s="892">
        <f>1090071*0.95</f>
        <v>1035567.45</v>
      </c>
      <c r="H191" s="908" t="str">
        <f t="shared" si="19"/>
        <v>USD</v>
      </c>
      <c r="I191" s="886" t="s">
        <v>5363</v>
      </c>
      <c r="J191" s="901" t="s">
        <v>5089</v>
      </c>
      <c r="K191" s="901" t="s">
        <v>5365</v>
      </c>
      <c r="L191" s="905">
        <f t="shared" si="14"/>
        <v>2</v>
      </c>
      <c r="M191" s="909">
        <f>SUMIFS('Bilateral Assistance, MAIN DATA'!M:M,'Bilateral Assistance, MAIN DATA'!I:I,'Price List, Weapons &amp; Items'!B191)</f>
        <v>478</v>
      </c>
      <c r="N191" s="71">
        <f>COUNTIFS('Bilateral Assistance, MAIN DATA'!M:M,"undisclosed",'Bilateral Assistance, MAIN DATA'!I:I,'Price List, Weapons &amp; Items'!B191)</f>
        <v>0</v>
      </c>
      <c r="O191" s="910">
        <f t="shared" si="15"/>
        <v>495001241.09999996</v>
      </c>
      <c r="P191" s="71">
        <f>IFERROR(IF(SEARCH(B191,_xlfn.ARRAYTOTEXT('Bilateral Assistance, MAIN DATA'!I$1:I$2206))&gt;0,1,""),0)</f>
        <v>0</v>
      </c>
      <c r="Q191" s="71">
        <f>IFERROR(IF(SEARCH(B191,_xlfn.ARRAYTOTEXT('Commercial Assistance'!I$1:I$1400))&gt;0,1,""),0)</f>
        <v>0</v>
      </c>
      <c r="R191" s="905" t="str">
        <f>IF(SUMIFS('Bilateral Assistance, MAIN DATA'!N:N,'Bilateral Assistance, MAIN DATA'!I:I,'Price List, Weapons &amp; Items'!B191)&gt;M191,1,".")</f>
        <v>.</v>
      </c>
    </row>
    <row r="192" spans="2:18" ht="15" customHeight="1">
      <c r="B192" s="901" t="s">
        <v>1810</v>
      </c>
      <c r="C192" s="898" t="s">
        <v>5062</v>
      </c>
      <c r="D192" s="899" t="s">
        <v>5366</v>
      </c>
      <c r="E192" s="900">
        <v>0</v>
      </c>
      <c r="F192" s="900">
        <f t="shared" si="13"/>
        <v>1</v>
      </c>
      <c r="G192" s="892">
        <v>934237.75</v>
      </c>
      <c r="H192" s="908" t="str">
        <f t="shared" si="19"/>
        <v>USD</v>
      </c>
      <c r="I192" s="885" t="s">
        <v>5074</v>
      </c>
      <c r="J192" s="901" t="s">
        <v>5075</v>
      </c>
      <c r="K192" s="901" t="s">
        <v>5328</v>
      </c>
      <c r="L192" s="905">
        <f t="shared" si="14"/>
        <v>2</v>
      </c>
      <c r="M192" s="909">
        <f>SUMIFS('Bilateral Assistance, MAIN DATA'!M:M,'Bilateral Assistance, MAIN DATA'!I:I,'Price List, Weapons &amp; Items'!B192)</f>
        <v>15</v>
      </c>
      <c r="N192" s="71">
        <f>COUNTIFS('Bilateral Assistance, MAIN DATA'!M:M,"undisclosed",'Bilateral Assistance, MAIN DATA'!I:I,'Price List, Weapons &amp; Items'!B192)</f>
        <v>0</v>
      </c>
      <c r="O192" s="910">
        <f t="shared" si="15"/>
        <v>14013566.25</v>
      </c>
      <c r="P192" s="71">
        <f>IFERROR(IF(SEARCH(B192,_xlfn.ARRAYTOTEXT('Bilateral Assistance, MAIN DATA'!I$1:I$2206))&gt;0,1,""),0)</f>
        <v>0</v>
      </c>
      <c r="Q192" s="71">
        <f>IFERROR(IF(SEARCH(B192,_xlfn.ARRAYTOTEXT('Commercial Assistance'!I$1:I$1400))&gt;0,1,""),0)</f>
        <v>0</v>
      </c>
      <c r="R192" s="905" t="str">
        <f>IF(SUMIFS('Bilateral Assistance, MAIN DATA'!N:N,'Bilateral Assistance, MAIN DATA'!I:I,'Price List, Weapons &amp; Items'!B192)&gt;M192,1,".")</f>
        <v>.</v>
      </c>
    </row>
    <row r="193" spans="2:18" ht="15" customHeight="1">
      <c r="B193" s="912" t="s">
        <v>3117</v>
      </c>
      <c r="C193" s="898" t="s">
        <v>5062</v>
      </c>
      <c r="D193" s="899" t="s">
        <v>4288</v>
      </c>
      <c r="E193" s="900">
        <v>0</v>
      </c>
      <c r="F193" s="900">
        <f t="shared" si="13"/>
        <v>1</v>
      </c>
      <c r="G193" s="892">
        <v>865844.75623838219</v>
      </c>
      <c r="H193" s="908" t="str">
        <f t="shared" si="19"/>
        <v>USD</v>
      </c>
      <c r="I193" s="923" t="s">
        <v>5074</v>
      </c>
      <c r="J193" s="901" t="s">
        <v>5075</v>
      </c>
      <c r="K193" s="1356" t="s">
        <v>5367</v>
      </c>
      <c r="L193" s="905">
        <f t="shared" si="14"/>
        <v>2</v>
      </c>
      <c r="M193" s="909">
        <f>SUMIFS('Bilateral Assistance, MAIN DATA'!M:M,'Bilateral Assistance, MAIN DATA'!I:I,'Price List, Weapons &amp; Items'!B193)</f>
        <v>5</v>
      </c>
      <c r="N193" s="71">
        <f>COUNTIFS('Bilateral Assistance, MAIN DATA'!M:M,"undisclosed",'Bilateral Assistance, MAIN DATA'!I:I,'Price List, Weapons &amp; Items'!B193)</f>
        <v>0</v>
      </c>
      <c r="O193" s="910">
        <f t="shared" si="15"/>
        <v>4329223.7811919106</v>
      </c>
      <c r="P193" s="71">
        <f>IFERROR(IF(SEARCH(B193,_xlfn.ARRAYTOTEXT('Bilateral Assistance, MAIN DATA'!I$1:I$2206))&gt;0,1,""),0)</f>
        <v>0</v>
      </c>
      <c r="Q193" s="71">
        <f>IFERROR(IF(SEARCH(B193,_xlfn.ARRAYTOTEXT('Commercial Assistance'!I$1:I$1400))&gt;0,1,""),0)</f>
        <v>0</v>
      </c>
      <c r="R193" s="905" t="str">
        <f>IF(SUMIFS('Bilateral Assistance, MAIN DATA'!N:N,'Bilateral Assistance, MAIN DATA'!I:I,'Price List, Weapons &amp; Items'!B193)&gt;M193,1,".")</f>
        <v>.</v>
      </c>
    </row>
    <row r="194" spans="2:18" ht="15" customHeight="1">
      <c r="B194" s="901" t="s">
        <v>1241</v>
      </c>
      <c r="C194" s="898" t="s">
        <v>5070</v>
      </c>
      <c r="D194" s="899" t="s">
        <v>1324</v>
      </c>
      <c r="E194" s="900">
        <v>0</v>
      </c>
      <c r="F194" s="900">
        <f t="shared" si="13"/>
        <v>0</v>
      </c>
      <c r="G194" s="892">
        <v>850000</v>
      </c>
      <c r="H194" s="908" t="str">
        <f t="shared" si="19"/>
        <v>USD</v>
      </c>
      <c r="I194" s="885" t="s">
        <v>5368</v>
      </c>
      <c r="J194" s="901" t="s">
        <v>5082</v>
      </c>
      <c r="K194" s="901" t="s">
        <v>5369</v>
      </c>
      <c r="L194" s="905">
        <f t="shared" si="14"/>
        <v>2</v>
      </c>
      <c r="M194" s="909">
        <f>SUMIFS('Bilateral Assistance, MAIN DATA'!M:M,'Bilateral Assistance, MAIN DATA'!I:I,'Price List, Weapons &amp; Items'!B194)</f>
        <v>25</v>
      </c>
      <c r="N194" s="71">
        <f>COUNTIFS('Bilateral Assistance, MAIN DATA'!M:M,"undisclosed",'Bilateral Assistance, MAIN DATA'!I:I,'Price List, Weapons &amp; Items'!B194)</f>
        <v>0</v>
      </c>
      <c r="O194" s="910">
        <f t="shared" si="15"/>
        <v>21250000</v>
      </c>
      <c r="P194" s="71">
        <f>IFERROR(IF(SEARCH(B194,_xlfn.ARRAYTOTEXT('Bilateral Assistance, MAIN DATA'!I$1:I$2206))&gt;0,1,""),0)</f>
        <v>0</v>
      </c>
      <c r="Q194" s="71">
        <f>IFERROR(IF(SEARCH(B194,_xlfn.ARRAYTOTEXT('Commercial Assistance'!I$1:I$1400))&gt;0,1,""),0)</f>
        <v>0</v>
      </c>
      <c r="R194" s="905" t="str">
        <f>IF(SUMIFS('Bilateral Assistance, MAIN DATA'!N:N,'Bilateral Assistance, MAIN DATA'!I:I,'Price List, Weapons &amp; Items'!B194)&gt;M194,1,".")</f>
        <v>.</v>
      </c>
    </row>
    <row r="195" spans="2:18" ht="15" customHeight="1">
      <c r="B195" s="912" t="s">
        <v>3824</v>
      </c>
      <c r="C195" s="898" t="s">
        <v>5062</v>
      </c>
      <c r="D195" s="898" t="s">
        <v>5073</v>
      </c>
      <c r="E195" s="900">
        <v>0</v>
      </c>
      <c r="F195" s="900">
        <f t="shared" si="13"/>
        <v>1</v>
      </c>
      <c r="G195" s="892">
        <v>743989.18081292231</v>
      </c>
      <c r="H195" s="908" t="str">
        <f t="shared" si="19"/>
        <v>USD</v>
      </c>
      <c r="I195" s="887" t="s">
        <v>5074</v>
      </c>
      <c r="J195" s="901" t="s">
        <v>5075</v>
      </c>
      <c r="K195" s="1356" t="s">
        <v>5076</v>
      </c>
      <c r="L195" s="905">
        <f t="shared" si="14"/>
        <v>2</v>
      </c>
      <c r="M195" s="909">
        <f>SUMIFS('Bilateral Assistance, MAIN DATA'!M:M,'Bilateral Assistance, MAIN DATA'!I:I,'Price List, Weapons &amp; Items'!B195)</f>
        <v>80</v>
      </c>
      <c r="N195" s="71">
        <f>COUNTIFS('Bilateral Assistance, MAIN DATA'!M:M,"undisclosed",'Bilateral Assistance, MAIN DATA'!I:I,'Price List, Weapons &amp; Items'!B195)</f>
        <v>0</v>
      </c>
      <c r="O195" s="910">
        <f t="shared" si="15"/>
        <v>59519134.465033785</v>
      </c>
      <c r="P195" s="71">
        <f>IFERROR(IF(SEARCH(B195,_xlfn.ARRAYTOTEXT('Bilateral Assistance, MAIN DATA'!I$1:I$2206))&gt;0,1,""),0)</f>
        <v>0</v>
      </c>
      <c r="Q195" s="71">
        <f>IFERROR(IF(SEARCH(B195,_xlfn.ARRAYTOTEXT('Commercial Assistance'!I$1:I$1400))&gt;0,1,""),0)</f>
        <v>0</v>
      </c>
      <c r="R195" s="905" t="str">
        <f>IF(SUMIFS('Bilateral Assistance, MAIN DATA'!N:N,'Bilateral Assistance, MAIN DATA'!I:I,'Price List, Weapons &amp; Items'!B195)&gt;M195,1,".")</f>
        <v>.</v>
      </c>
    </row>
    <row r="196" spans="2:18" ht="15" customHeight="1">
      <c r="B196" s="901" t="s">
        <v>3393</v>
      </c>
      <c r="C196" s="898" t="s">
        <v>5062</v>
      </c>
      <c r="D196" s="898" t="s">
        <v>4850</v>
      </c>
      <c r="E196" s="900">
        <v>1</v>
      </c>
      <c r="F196" s="900">
        <f t="shared" si="13"/>
        <v>1</v>
      </c>
      <c r="G196" s="892">
        <v>709034.8872</v>
      </c>
      <c r="H196" s="900" t="s">
        <v>456</v>
      </c>
      <c r="I196" s="891" t="s">
        <v>5074</v>
      </c>
      <c r="J196" s="901" t="s">
        <v>5075</v>
      </c>
      <c r="K196" s="71" t="s">
        <v>5144</v>
      </c>
      <c r="L196" s="905">
        <f t="shared" si="14"/>
        <v>2</v>
      </c>
      <c r="M196" s="909">
        <f>SUMIFS('Bilateral Assistance, MAIN DATA'!M:M,'Bilateral Assistance, MAIN DATA'!I:I,'Price List, Weapons &amp; Items'!B196)</f>
        <v>35</v>
      </c>
      <c r="N196" s="71">
        <f>COUNTIFS('Bilateral Assistance, MAIN DATA'!M:M,"undisclosed",'Bilateral Assistance, MAIN DATA'!I:I,'Price List, Weapons &amp; Items'!B196)</f>
        <v>0</v>
      </c>
      <c r="O196" s="910">
        <f t="shared" si="15"/>
        <v>24816221.052000001</v>
      </c>
      <c r="P196" s="71">
        <f>IFERROR(IF(SEARCH(B196,_xlfn.ARRAYTOTEXT('Bilateral Assistance, MAIN DATA'!I$1:I$2206))&gt;0,1,""),0)</f>
        <v>0</v>
      </c>
      <c r="Q196" s="71">
        <f>IFERROR(IF(SEARCH(B196,_xlfn.ARRAYTOTEXT('Commercial Assistance'!I$1:I$1400))&gt;0,1,""),0)</f>
        <v>0</v>
      </c>
      <c r="R196" s="905" t="str">
        <f>IF(SUMIFS('Bilateral Assistance, MAIN DATA'!N:N,'Bilateral Assistance, MAIN DATA'!I:I,'Price List, Weapons &amp; Items'!B196)&gt;M196,1,".")</f>
        <v>.</v>
      </c>
    </row>
    <row r="197" spans="2:18" ht="15" customHeight="1">
      <c r="B197" s="901" t="s">
        <v>5370</v>
      </c>
      <c r="C197" s="898" t="s">
        <v>5059</v>
      </c>
      <c r="D197" s="899" t="s">
        <v>5060</v>
      </c>
      <c r="E197" s="900">
        <v>0</v>
      </c>
      <c r="F197" s="900">
        <f t="shared" si="13"/>
        <v>1</v>
      </c>
      <c r="G197" s="892">
        <v>704613.12</v>
      </c>
      <c r="H197" s="908" t="str">
        <f>IF(G197&lt;&gt;".","USD",".")</f>
        <v>USD</v>
      </c>
      <c r="I197" s="885" t="s">
        <v>5371</v>
      </c>
      <c r="J197" s="901" t="s">
        <v>5119</v>
      </c>
      <c r="K197" s="901" t="s">
        <v>5372</v>
      </c>
      <c r="L197" s="905">
        <f t="shared" si="14"/>
        <v>2</v>
      </c>
      <c r="M197" s="909">
        <f>SUMIFS('Bilateral Assistance, MAIN DATA'!M:M,'Bilateral Assistance, MAIN DATA'!I:I,'Price List, Weapons &amp; Items'!B197)</f>
        <v>10</v>
      </c>
      <c r="N197" s="71">
        <f>COUNTIFS('Bilateral Assistance, MAIN DATA'!M:M,"undisclosed",'Bilateral Assistance, MAIN DATA'!I:I,'Price List, Weapons &amp; Items'!B197)</f>
        <v>0</v>
      </c>
      <c r="O197" s="910">
        <f t="shared" si="15"/>
        <v>7046131.2000000002</v>
      </c>
      <c r="P197" s="71">
        <f>IFERROR(IF(SEARCH(B197,_xlfn.ARRAYTOTEXT('Bilateral Assistance, MAIN DATA'!I$1:I$2206))&gt;0,1,""),0)</f>
        <v>0</v>
      </c>
      <c r="Q197" s="71">
        <f>IFERROR(IF(SEARCH(B197,_xlfn.ARRAYTOTEXT('Commercial Assistance'!I$1:I$1400))&gt;0,1,""),0)</f>
        <v>0</v>
      </c>
      <c r="R197" s="905" t="str">
        <f>IF(SUMIFS('Bilateral Assistance, MAIN DATA'!N:N,'Bilateral Assistance, MAIN DATA'!I:I,'Price List, Weapons &amp; Items'!B197)&gt;M197,1,".")</f>
        <v>.</v>
      </c>
    </row>
    <row r="198" spans="2:18" ht="15" customHeight="1">
      <c r="B198" s="915" t="s">
        <v>2895</v>
      </c>
      <c r="C198" s="898" t="s">
        <v>5059</v>
      </c>
      <c r="D198" s="899" t="s">
        <v>5226</v>
      </c>
      <c r="E198" s="900">
        <v>0</v>
      </c>
      <c r="F198" s="900">
        <f t="shared" si="13"/>
        <v>0</v>
      </c>
      <c r="G198" s="892">
        <v>692355.45178616967</v>
      </c>
      <c r="H198" s="908" t="str">
        <f>IF(G198&lt;&gt;".","USD",".")</f>
        <v>USD</v>
      </c>
      <c r="I198" s="887" t="s">
        <v>5074</v>
      </c>
      <c r="J198" s="901" t="s">
        <v>5075</v>
      </c>
      <c r="K198" s="1356" t="s">
        <v>5373</v>
      </c>
      <c r="L198" s="905">
        <f t="shared" si="14"/>
        <v>2</v>
      </c>
      <c r="M198" s="909">
        <f>SUMIFS('Bilateral Assistance, MAIN DATA'!M:M,'Bilateral Assistance, MAIN DATA'!I:I,'Price List, Weapons &amp; Items'!B198)</f>
        <v>100</v>
      </c>
      <c r="N198" s="71">
        <f>COUNTIFS('Bilateral Assistance, MAIN DATA'!M:M,"undisclosed",'Bilateral Assistance, MAIN DATA'!I:I,'Price List, Weapons &amp; Items'!B198)</f>
        <v>0</v>
      </c>
      <c r="O198" s="910">
        <f t="shared" si="15"/>
        <v>69235545.178616971</v>
      </c>
      <c r="P198" s="71">
        <f>IFERROR(IF(SEARCH(B198,_xlfn.ARRAYTOTEXT('Bilateral Assistance, MAIN DATA'!I$1:I$2206))&gt;0,1,""),0)</f>
        <v>0</v>
      </c>
      <c r="Q198" s="71">
        <f>IFERROR(IF(SEARCH(B198,_xlfn.ARRAYTOTEXT('Commercial Assistance'!I$1:I$1400))&gt;0,1,""),0)</f>
        <v>0</v>
      </c>
      <c r="R198" s="905" t="str">
        <f>IF(SUMIFS('Bilateral Assistance, MAIN DATA'!N:N,'Bilateral Assistance, MAIN DATA'!I:I,'Price List, Weapons &amp; Items'!B198)&gt;M198,1,".")</f>
        <v>.</v>
      </c>
    </row>
    <row r="199" spans="2:18" ht="15" customHeight="1">
      <c r="B199" s="901" t="s">
        <v>2461</v>
      </c>
      <c r="C199" s="898" t="s">
        <v>5062</v>
      </c>
      <c r="D199" s="899" t="s">
        <v>5374</v>
      </c>
      <c r="E199" s="900">
        <v>1</v>
      </c>
      <c r="F199" s="900">
        <f t="shared" si="13"/>
        <v>0</v>
      </c>
      <c r="G199" s="892">
        <v>650000</v>
      </c>
      <c r="H199" s="908" t="str">
        <f>IF(G199&lt;&gt;".","USD",".")</f>
        <v>USD</v>
      </c>
      <c r="I199" s="888" t="s">
        <v>5375</v>
      </c>
      <c r="J199" s="901" t="s">
        <v>5086</v>
      </c>
      <c r="K199" s="901" t="s">
        <v>5376</v>
      </c>
      <c r="L199" s="905">
        <f t="shared" si="14"/>
        <v>2</v>
      </c>
      <c r="M199" s="909">
        <f>SUMIFS('Bilateral Assistance, MAIN DATA'!M:M,'Bilateral Assistance, MAIN DATA'!I:I,'Price List, Weapons &amp; Items'!B199)</f>
        <v>3</v>
      </c>
      <c r="N199" s="71">
        <f>COUNTIFS('Bilateral Assistance, MAIN DATA'!M:M,"undisclosed",'Bilateral Assistance, MAIN DATA'!I:I,'Price List, Weapons &amp; Items'!B199)</f>
        <v>0</v>
      </c>
      <c r="O199" s="910">
        <f t="shared" si="15"/>
        <v>1950000</v>
      </c>
      <c r="P199" s="71">
        <f>IFERROR(IF(SEARCH(B199,_xlfn.ARRAYTOTEXT('Bilateral Assistance, MAIN DATA'!I$1:I$2206))&gt;0,1,""),0)</f>
        <v>0</v>
      </c>
      <c r="Q199" s="71">
        <f>IFERROR(IF(SEARCH(B199,_xlfn.ARRAYTOTEXT('Commercial Assistance'!I$1:I$1400))&gt;0,1,""),0)</f>
        <v>0</v>
      </c>
      <c r="R199" s="905" t="str">
        <f>IF(SUMIFS('Bilateral Assistance, MAIN DATA'!N:N,'Bilateral Assistance, MAIN DATA'!I:I,'Price List, Weapons &amp; Items'!B199)&gt;M199,1,".")</f>
        <v>.</v>
      </c>
    </row>
    <row r="200" spans="2:18" ht="15" customHeight="1">
      <c r="B200" s="915" t="s">
        <v>2009</v>
      </c>
      <c r="C200" s="898" t="s">
        <v>5062</v>
      </c>
      <c r="D200" s="898" t="s">
        <v>4850</v>
      </c>
      <c r="E200" s="900">
        <v>1</v>
      </c>
      <c r="F200" s="900">
        <f t="shared" si="13"/>
        <v>1</v>
      </c>
      <c r="G200" s="892">
        <v>561542.53</v>
      </c>
      <c r="H200" s="908" t="str">
        <f>IF(G200&lt;&gt;".","USD",".")</f>
        <v>USD</v>
      </c>
      <c r="I200" s="887" t="s">
        <v>5074</v>
      </c>
      <c r="J200" s="901" t="s">
        <v>5075</v>
      </c>
      <c r="K200" s="1356" t="s">
        <v>5377</v>
      </c>
      <c r="L200" s="905">
        <f t="shared" si="14"/>
        <v>2</v>
      </c>
      <c r="M200" s="909">
        <f>SUMIFS('Bilateral Assistance, MAIN DATA'!M:M,'Bilateral Assistance, MAIN DATA'!I:I,'Price List, Weapons &amp; Items'!B200)</f>
        <v>132</v>
      </c>
      <c r="N200" s="71">
        <f>COUNTIFS('Bilateral Assistance, MAIN DATA'!M:M,"undisclosed",'Bilateral Assistance, MAIN DATA'!I:I,'Price List, Weapons &amp; Items'!B200)</f>
        <v>1</v>
      </c>
      <c r="O200" s="910">
        <f t="shared" si="15"/>
        <v>74123613.960000008</v>
      </c>
      <c r="P200" s="71">
        <f>IFERROR(IF(SEARCH(B200,_xlfn.ARRAYTOTEXT('Bilateral Assistance, MAIN DATA'!I$1:I$2206))&gt;0,1,""),0)</f>
        <v>0</v>
      </c>
      <c r="Q200" s="71">
        <f>IFERROR(IF(SEARCH(B200,_xlfn.ARRAYTOTEXT('Commercial Assistance'!I$1:I$1400))&gt;0,1,""),0)</f>
        <v>0</v>
      </c>
      <c r="R200" s="905" t="str">
        <f>IF(SUMIFS('Bilateral Assistance, MAIN DATA'!N:N,'Bilateral Assistance, MAIN DATA'!I:I,'Price List, Weapons &amp; Items'!B200)&gt;M200,1,".")</f>
        <v>.</v>
      </c>
    </row>
    <row r="201" spans="2:18" ht="15" customHeight="1">
      <c r="B201" s="901" t="s">
        <v>3108</v>
      </c>
      <c r="C201" s="898" t="s">
        <v>1105</v>
      </c>
      <c r="D201" s="899" t="s">
        <v>5152</v>
      </c>
      <c r="E201" s="900">
        <v>0</v>
      </c>
      <c r="F201" s="900">
        <f t="shared" si="13"/>
        <v>1</v>
      </c>
      <c r="G201" s="892">
        <f>500000*1.2114</f>
        <v>605700</v>
      </c>
      <c r="H201" s="908" t="s">
        <v>456</v>
      </c>
      <c r="I201" s="885" t="s">
        <v>5153</v>
      </c>
      <c r="J201" s="901" t="s">
        <v>5082</v>
      </c>
      <c r="K201" s="901" t="s">
        <v>5378</v>
      </c>
      <c r="L201" s="905">
        <f t="shared" si="14"/>
        <v>2</v>
      </c>
      <c r="M201" s="909">
        <f>SUMIFS('Bilateral Assistance, MAIN DATA'!M:M,'Bilateral Assistance, MAIN DATA'!I:I,'Price List, Weapons &amp; Items'!B201)</f>
        <v>4</v>
      </c>
      <c r="N201" s="71">
        <f>COUNTIFS('Bilateral Assistance, MAIN DATA'!M:M,"undisclosed",'Bilateral Assistance, MAIN DATA'!I:I,'Price List, Weapons &amp; Items'!B201)</f>
        <v>0</v>
      </c>
      <c r="O201" s="910">
        <f t="shared" si="15"/>
        <v>2422800</v>
      </c>
      <c r="P201" s="71">
        <f>IFERROR(IF(SEARCH(B201,_xlfn.ARRAYTOTEXT('Bilateral Assistance, MAIN DATA'!I$1:I$2206))&gt;0,1,""),0)</f>
        <v>0</v>
      </c>
      <c r="Q201" s="71">
        <f>IFERROR(IF(SEARCH(B201,_xlfn.ARRAYTOTEXT('Commercial Assistance'!I$1:I$1400))&gt;0,1,""),0)</f>
        <v>0</v>
      </c>
      <c r="R201" s="905" t="str">
        <f>IF(SUMIFS('Bilateral Assistance, MAIN DATA'!N:N,'Bilateral Assistance, MAIN DATA'!I:I,'Price List, Weapons &amp; Items'!B201)&gt;M201,1,".")</f>
        <v>.</v>
      </c>
    </row>
    <row r="202" spans="2:18" ht="15" customHeight="1">
      <c r="B202" s="901" t="s">
        <v>5379</v>
      </c>
      <c r="C202" s="898" t="s">
        <v>5062</v>
      </c>
      <c r="D202" s="899" t="s">
        <v>5380</v>
      </c>
      <c r="E202" s="900">
        <v>0</v>
      </c>
      <c r="F202" s="900">
        <f t="shared" si="13"/>
        <v>0</v>
      </c>
      <c r="G202" s="71">
        <v>5170000</v>
      </c>
      <c r="H202" s="908" t="str">
        <f t="shared" ref="H202:H211" si="20">IF(G202&lt;&gt;".","USD",".")</f>
        <v>USD</v>
      </c>
      <c r="I202" s="924" t="s">
        <v>5381</v>
      </c>
      <c r="J202" s="901" t="s">
        <v>5082</v>
      </c>
      <c r="K202" s="71" t="s">
        <v>5382</v>
      </c>
      <c r="L202" s="905" t="str">
        <f t="shared" si="14"/>
        <v>no price, 0 count</v>
      </c>
      <c r="M202" s="909">
        <f>SUMIFS('Bilateral Assistance, MAIN DATA'!M:M,'Bilateral Assistance, MAIN DATA'!I:I,'Price List, Weapons &amp; Items'!B202)</f>
        <v>0</v>
      </c>
      <c r="N202" s="71">
        <f>COUNTIFS('Bilateral Assistance, MAIN DATA'!M:M,"undisclosed",'Bilateral Assistance, MAIN DATA'!I:I,'Price List, Weapons &amp; Items'!B202)</f>
        <v>0</v>
      </c>
      <c r="O202" s="910">
        <f t="shared" si="15"/>
        <v>0</v>
      </c>
      <c r="P202" s="71">
        <f>IFERROR(IF(SEARCH(B202,_xlfn.ARRAYTOTEXT('Bilateral Assistance, MAIN DATA'!I$1:I$2206))&gt;0,1,""),0)</f>
        <v>0</v>
      </c>
      <c r="Q202" s="71">
        <f>IFERROR(IF(SEARCH(B202,_xlfn.ARRAYTOTEXT('Commercial Assistance'!I$1:I$1400))&gt;0,1,""),0)</f>
        <v>1</v>
      </c>
      <c r="R202" s="905" t="str">
        <f>IF(SUMIFS('Bilateral Assistance, MAIN DATA'!N:N,'Bilateral Assistance, MAIN DATA'!I:I,'Price List, Weapons &amp; Items'!B202)&gt;M202,1,".")</f>
        <v>.</v>
      </c>
    </row>
    <row r="203" spans="2:18" ht="15" customHeight="1">
      <c r="B203" s="901" t="s">
        <v>423</v>
      </c>
      <c r="C203" s="898" t="s">
        <v>5062</v>
      </c>
      <c r="D203" s="899" t="s">
        <v>4288</v>
      </c>
      <c r="E203" s="900">
        <v>0</v>
      </c>
      <c r="F203" s="900">
        <f t="shared" si="13"/>
        <v>1</v>
      </c>
      <c r="G203" s="892">
        <v>5170000</v>
      </c>
      <c r="H203" s="908" t="str">
        <f t="shared" si="20"/>
        <v>USD</v>
      </c>
      <c r="I203" s="886" t="s">
        <v>5097</v>
      </c>
      <c r="J203" s="901" t="s">
        <v>5082</v>
      </c>
      <c r="K203" s="901" t="s">
        <v>5383</v>
      </c>
      <c r="L203" s="905">
        <f t="shared" si="14"/>
        <v>2</v>
      </c>
      <c r="M203" s="909">
        <f>SUMIFS('Bilateral Assistance, MAIN DATA'!M:M,'Bilateral Assistance, MAIN DATA'!I:I,'Price List, Weapons &amp; Items'!B203)</f>
        <v>136</v>
      </c>
      <c r="N203" s="71">
        <f>COUNTIFS('Bilateral Assistance, MAIN DATA'!M:M,"undisclosed",'Bilateral Assistance, MAIN DATA'!I:I,'Price List, Weapons &amp; Items'!B203)</f>
        <v>0</v>
      </c>
      <c r="O203" s="910">
        <f t="shared" si="15"/>
        <v>703120000</v>
      </c>
      <c r="P203" s="71">
        <f>IFERROR(IF(SEARCH(B203,_xlfn.ARRAYTOTEXT('Bilateral Assistance, MAIN DATA'!I$1:I$2206))&gt;0,1,""),0)</f>
        <v>0</v>
      </c>
      <c r="Q203" s="71">
        <f>IFERROR(IF(SEARCH(B203,_xlfn.ARRAYTOTEXT('Commercial Assistance'!I$1:I$1400))&gt;0,1,""),0)</f>
        <v>0</v>
      </c>
      <c r="R203" s="905" t="str">
        <f>IF(SUMIFS('Bilateral Assistance, MAIN DATA'!N:N,'Bilateral Assistance, MAIN DATA'!I:I,'Price List, Weapons &amp; Items'!B203)&gt;M203,1,".")</f>
        <v>.</v>
      </c>
    </row>
    <row r="204" spans="2:18" ht="15" customHeight="1">
      <c r="B204" s="901" t="s">
        <v>3465</v>
      </c>
      <c r="C204" s="898" t="s">
        <v>5062</v>
      </c>
      <c r="D204" s="899" t="s">
        <v>5152</v>
      </c>
      <c r="E204" s="900">
        <v>0</v>
      </c>
      <c r="F204" s="900">
        <f t="shared" ref="F204:F234" si="21">IF(OR(D204="Armored Personnel Carrier (APC)",D204="Armored Recovery Vehicle (ARV)",D204="Armored Utility Vehicle (AUV)",D204="152mm howitzer ammunition",D204="155mm howitzer ammunition",D204="300mm MLRS ammunition",D204="155mm howitzer",D204="227mm MLRS ammunition",D204="Infantry fighting vehicle (IFV)",D204="152mm howitzer",D204="227mm MLRS",D204="Main Battle Tank (MBT)",D204="Protected Patrol Vehicle (PPV)",D204="127mm MLRS",D204="122mm MLRS",D204="122mm MLRS ammunition",D204="122mm MLRS",D204="127mm MLRS",D204="127mm MLRS ammunition")=TRUE,1,0)</f>
        <v>1</v>
      </c>
      <c r="G204" s="892">
        <v>461730</v>
      </c>
      <c r="H204" s="908" t="str">
        <f t="shared" si="20"/>
        <v>USD</v>
      </c>
      <c r="I204" s="885" t="s">
        <v>5384</v>
      </c>
      <c r="J204" s="901" t="s">
        <v>5080</v>
      </c>
      <c r="K204" s="901" t="s">
        <v>5385</v>
      </c>
      <c r="L204" s="905">
        <f t="shared" ref="L204:L267" si="22">IF(C204="Humanitarian",0,IF(M204&gt;0,IF(TYPE(O204)=1,IF(O204&gt;MEDIAN(O:O),2,1),0),"no price, 0 count"))</f>
        <v>2</v>
      </c>
      <c r="M204" s="909">
        <f>SUMIFS('Bilateral Assistance, MAIN DATA'!M:M,'Bilateral Assistance, MAIN DATA'!I:I,'Price List, Weapons &amp; Items'!B204)</f>
        <v>21</v>
      </c>
      <c r="N204" s="71">
        <f>COUNTIFS('Bilateral Assistance, MAIN DATA'!M:M,"undisclosed",'Bilateral Assistance, MAIN DATA'!I:I,'Price List, Weapons &amp; Items'!B204)</f>
        <v>0</v>
      </c>
      <c r="O204" s="910">
        <f t="shared" ref="O204:O267" si="23">IFERROR(M204*G204,"no price")</f>
        <v>9696330</v>
      </c>
      <c r="P204" s="71">
        <f>IFERROR(IF(SEARCH(B204,_xlfn.ARRAYTOTEXT('Bilateral Assistance, MAIN DATA'!I$1:I$2206))&gt;0,1,""),0)</f>
        <v>0</v>
      </c>
      <c r="Q204" s="71">
        <f>IFERROR(IF(SEARCH(B204,_xlfn.ARRAYTOTEXT('Commercial Assistance'!I$1:I$1400))&gt;0,1,""),0)</f>
        <v>0</v>
      </c>
      <c r="R204" s="905" t="str">
        <f>IF(SUMIFS('Bilateral Assistance, MAIN DATA'!N:N,'Bilateral Assistance, MAIN DATA'!I:I,'Price List, Weapons &amp; Items'!B204)&gt;M204,1,".")</f>
        <v>.</v>
      </c>
    </row>
    <row r="205" spans="2:18" ht="15" customHeight="1">
      <c r="B205" s="912" t="s">
        <v>4252</v>
      </c>
      <c r="C205" s="898" t="s">
        <v>1105</v>
      </c>
      <c r="D205" s="899" t="s">
        <v>5198</v>
      </c>
      <c r="E205" s="900">
        <v>0</v>
      </c>
      <c r="F205" s="900">
        <f t="shared" si="21"/>
        <v>0</v>
      </c>
      <c r="G205" s="892">
        <v>390000</v>
      </c>
      <c r="H205" s="908" t="str">
        <f t="shared" si="20"/>
        <v>USD</v>
      </c>
      <c r="I205" s="886" t="s">
        <v>5386</v>
      </c>
      <c r="J205" s="901" t="s">
        <v>5082</v>
      </c>
      <c r="K205" s="901" t="s">
        <v>5387</v>
      </c>
      <c r="L205" s="905">
        <f t="shared" si="22"/>
        <v>2</v>
      </c>
      <c r="M205" s="909">
        <f>SUMIFS('Bilateral Assistance, MAIN DATA'!M:M,'Bilateral Assistance, MAIN DATA'!I:I,'Price List, Weapons &amp; Items'!B205)</f>
        <v>40</v>
      </c>
      <c r="N205" s="71">
        <f>COUNTIFS('Bilateral Assistance, MAIN DATA'!M:M,"undisclosed",'Bilateral Assistance, MAIN DATA'!I:I,'Price List, Weapons &amp; Items'!B205)</f>
        <v>0</v>
      </c>
      <c r="O205" s="910">
        <f t="shared" si="23"/>
        <v>15600000</v>
      </c>
      <c r="P205" s="71">
        <f>IFERROR(IF(SEARCH(B205,_xlfn.ARRAYTOTEXT('Bilateral Assistance, MAIN DATA'!I$1:I$2206))&gt;0,1,""),0)</f>
        <v>0</v>
      </c>
      <c r="Q205" s="71">
        <f>IFERROR(IF(SEARCH(B205,_xlfn.ARRAYTOTEXT('Commercial Assistance'!I$1:I$1400))&gt;0,1,""),0)</f>
        <v>0</v>
      </c>
      <c r="R205" s="905" t="str">
        <f>IF(SUMIFS('Bilateral Assistance, MAIN DATA'!N:N,'Bilateral Assistance, MAIN DATA'!I:I,'Price List, Weapons &amp; Items'!B205)&gt;M205,1,".")</f>
        <v>.</v>
      </c>
    </row>
    <row r="206" spans="2:18" ht="15" customHeight="1">
      <c r="B206" s="912" t="s">
        <v>4244</v>
      </c>
      <c r="C206" s="898" t="s">
        <v>1105</v>
      </c>
      <c r="D206" s="899" t="s">
        <v>5198</v>
      </c>
      <c r="E206" s="900">
        <v>0</v>
      </c>
      <c r="F206" s="900">
        <f t="shared" si="21"/>
        <v>0</v>
      </c>
      <c r="G206" s="892">
        <v>390000</v>
      </c>
      <c r="H206" s="908" t="str">
        <f t="shared" si="20"/>
        <v>USD</v>
      </c>
      <c r="I206" s="886" t="s">
        <v>5388</v>
      </c>
      <c r="J206" s="901" t="s">
        <v>5082</v>
      </c>
      <c r="K206" s="901" t="s">
        <v>5389</v>
      </c>
      <c r="L206" s="905">
        <f t="shared" si="22"/>
        <v>2</v>
      </c>
      <c r="M206" s="909">
        <f>SUMIFS('Bilateral Assistance, MAIN DATA'!M:M,'Bilateral Assistance, MAIN DATA'!I:I,'Price List, Weapons &amp; Items'!B206)</f>
        <v>32</v>
      </c>
      <c r="N206" s="71">
        <f>COUNTIFS('Bilateral Assistance, MAIN DATA'!M:M,"undisclosed",'Bilateral Assistance, MAIN DATA'!I:I,'Price List, Weapons &amp; Items'!B206)</f>
        <v>0</v>
      </c>
      <c r="O206" s="910">
        <f t="shared" si="23"/>
        <v>12480000</v>
      </c>
      <c r="P206" s="71">
        <f>IFERROR(IF(SEARCH(B206,_xlfn.ARRAYTOTEXT('Bilateral Assistance, MAIN DATA'!I$1:I$2206))&gt;0,1,""),0)</f>
        <v>0</v>
      </c>
      <c r="Q206" s="71">
        <f>IFERROR(IF(SEARCH(B206,_xlfn.ARRAYTOTEXT('Commercial Assistance'!I$1:I$1400))&gt;0,1,""),0)</f>
        <v>0</v>
      </c>
      <c r="R206" s="905" t="str">
        <f>IF(SUMIFS('Bilateral Assistance, MAIN DATA'!N:N,'Bilateral Assistance, MAIN DATA'!I:I,'Price List, Weapons &amp; Items'!B206)&gt;M206,1,".")</f>
        <v>.</v>
      </c>
    </row>
    <row r="207" spans="2:18" ht="15" customHeight="1">
      <c r="B207" s="921" t="s">
        <v>5390</v>
      </c>
      <c r="C207" s="898" t="s">
        <v>1105</v>
      </c>
      <c r="D207" s="898" t="s">
        <v>1105</v>
      </c>
      <c r="E207" s="900">
        <v>0</v>
      </c>
      <c r="F207" s="900">
        <f t="shared" si="21"/>
        <v>0</v>
      </c>
      <c r="G207" s="892">
        <v>365200</v>
      </c>
      <c r="H207" s="908" t="str">
        <f t="shared" si="20"/>
        <v>USD</v>
      </c>
      <c r="I207" s="886" t="s">
        <v>3274</v>
      </c>
      <c r="J207" s="901" t="s">
        <v>5080</v>
      </c>
      <c r="K207" s="917" t="s">
        <v>5391</v>
      </c>
      <c r="L207" s="905">
        <f t="shared" si="22"/>
        <v>1</v>
      </c>
      <c r="M207" s="909">
        <f>SUMIFS('Bilateral Assistance, MAIN DATA'!M:M,'Bilateral Assistance, MAIN DATA'!I:I,'Price List, Weapons &amp; Items'!B207)</f>
        <v>5</v>
      </c>
      <c r="N207" s="71">
        <f>COUNTIFS('Bilateral Assistance, MAIN DATA'!M:M,"undisclosed",'Bilateral Assistance, MAIN DATA'!I:I,'Price List, Weapons &amp; Items'!B207)</f>
        <v>1</v>
      </c>
      <c r="O207" s="910">
        <f t="shared" si="23"/>
        <v>1826000</v>
      </c>
      <c r="P207" s="71">
        <f>IFERROR(IF(SEARCH(B207,_xlfn.ARRAYTOTEXT('Bilateral Assistance, MAIN DATA'!I$1:I$2206))&gt;0,1,""),0)</f>
        <v>0</v>
      </c>
      <c r="Q207" s="71">
        <f>IFERROR(IF(SEARCH(B207,_xlfn.ARRAYTOTEXT('Commercial Assistance'!I$1:I$1400))&gt;0,1,""),0)</f>
        <v>0</v>
      </c>
      <c r="R207" s="905" t="str">
        <f>IF(SUMIFS('Bilateral Assistance, MAIN DATA'!N:N,'Bilateral Assistance, MAIN DATA'!I:I,'Price List, Weapons &amp; Items'!B207)&gt;M207,1,".")</f>
        <v>.</v>
      </c>
    </row>
    <row r="208" spans="2:18" ht="15" customHeight="1">
      <c r="B208" s="901" t="s">
        <v>654</v>
      </c>
      <c r="C208" s="898" t="s">
        <v>1105</v>
      </c>
      <c r="D208" s="898" t="s">
        <v>1105</v>
      </c>
      <c r="E208" s="900">
        <v>0</v>
      </c>
      <c r="F208" s="900">
        <f t="shared" si="21"/>
        <v>0</v>
      </c>
      <c r="G208" s="892">
        <v>350000</v>
      </c>
      <c r="H208" s="908" t="str">
        <f t="shared" si="20"/>
        <v>USD</v>
      </c>
      <c r="I208" s="886" t="s">
        <v>5392</v>
      </c>
      <c r="J208" s="901" t="s">
        <v>5080</v>
      </c>
      <c r="K208" s="917" t="s">
        <v>5393</v>
      </c>
      <c r="L208" s="905">
        <f t="shared" si="22"/>
        <v>2</v>
      </c>
      <c r="M208" s="909">
        <f>SUMIFS('Bilateral Assistance, MAIN DATA'!M:M,'Bilateral Assistance, MAIN DATA'!I:I,'Price List, Weapons &amp; Items'!B208)</f>
        <v>259</v>
      </c>
      <c r="N208" s="71">
        <f>COUNTIFS('Bilateral Assistance, MAIN DATA'!M:M,"undisclosed",'Bilateral Assistance, MAIN DATA'!I:I,'Price List, Weapons &amp; Items'!B208)</f>
        <v>0</v>
      </c>
      <c r="O208" s="910">
        <f t="shared" si="23"/>
        <v>90650000</v>
      </c>
      <c r="P208" s="71">
        <f>IFERROR(IF(SEARCH(B208,_xlfn.ARRAYTOTEXT('Bilateral Assistance, MAIN DATA'!I$1:I$2206))&gt;0,1,""),0)</f>
        <v>0</v>
      </c>
      <c r="Q208" s="71">
        <f>IFERROR(IF(SEARCH(B208,_xlfn.ARRAYTOTEXT('Commercial Assistance'!I$1:I$1400))&gt;0,1,""),0)</f>
        <v>0</v>
      </c>
      <c r="R208" s="905" t="str">
        <f>IF(SUMIFS('Bilateral Assistance, MAIN DATA'!N:N,'Bilateral Assistance, MAIN DATA'!I:I,'Price List, Weapons &amp; Items'!B208)&gt;M208,1,".")</f>
        <v>.</v>
      </c>
    </row>
    <row r="209" spans="2:18" ht="15" customHeight="1">
      <c r="B209" s="901" t="s">
        <v>831</v>
      </c>
      <c r="C209" s="898" t="s">
        <v>5062</v>
      </c>
      <c r="D209" s="899" t="s">
        <v>5157</v>
      </c>
      <c r="E209" s="900">
        <v>0</v>
      </c>
      <c r="F209" s="900">
        <f t="shared" si="21"/>
        <v>1</v>
      </c>
      <c r="G209" s="892">
        <v>350000</v>
      </c>
      <c r="H209" s="908" t="str">
        <f t="shared" si="20"/>
        <v>USD</v>
      </c>
      <c r="I209" s="885" t="s">
        <v>5394</v>
      </c>
      <c r="J209" s="901" t="s">
        <v>5080</v>
      </c>
      <c r="K209" s="901" t="s">
        <v>5395</v>
      </c>
      <c r="L209" s="905">
        <f t="shared" si="22"/>
        <v>2</v>
      </c>
      <c r="M209" s="909">
        <f>SUMIFS('Bilateral Assistance, MAIN DATA'!M:M,'Bilateral Assistance, MAIN DATA'!I:I,'Price List, Weapons &amp; Items'!B209)</f>
        <v>208</v>
      </c>
      <c r="N209" s="71">
        <f>COUNTIFS('Bilateral Assistance, MAIN DATA'!M:M,"undisclosed",'Bilateral Assistance, MAIN DATA'!I:I,'Price List, Weapons &amp; Items'!B209)</f>
        <v>0</v>
      </c>
      <c r="O209" s="910">
        <f t="shared" si="23"/>
        <v>72800000</v>
      </c>
      <c r="P209" s="71">
        <f>IFERROR(IF(SEARCH(B209,_xlfn.ARRAYTOTEXT('Bilateral Assistance, MAIN DATA'!I$1:I$2206))&gt;0,1,""),0)</f>
        <v>0</v>
      </c>
      <c r="Q209" s="71">
        <f>IFERROR(IF(SEARCH(B209,_xlfn.ARRAYTOTEXT('Commercial Assistance'!I$1:I$1400))&gt;0,1,""),0)</f>
        <v>0</v>
      </c>
      <c r="R209" s="905" t="str">
        <f>IF(SUMIFS('Bilateral Assistance, MAIN DATA'!N:N,'Bilateral Assistance, MAIN DATA'!I:I,'Price List, Weapons &amp; Items'!B209)&gt;M209,1,".")</f>
        <v>.</v>
      </c>
    </row>
    <row r="210" spans="2:18" ht="15" customHeight="1">
      <c r="B210" s="912" t="s">
        <v>4095</v>
      </c>
      <c r="C210" s="898" t="s">
        <v>1105</v>
      </c>
      <c r="D210" s="898" t="s">
        <v>1105</v>
      </c>
      <c r="E210" s="900">
        <v>0</v>
      </c>
      <c r="F210" s="900">
        <f t="shared" si="21"/>
        <v>0</v>
      </c>
      <c r="G210" s="892">
        <v>350000</v>
      </c>
      <c r="H210" s="908" t="str">
        <f t="shared" si="20"/>
        <v>USD</v>
      </c>
      <c r="I210" s="886" t="s">
        <v>5392</v>
      </c>
      <c r="J210" s="901" t="s">
        <v>5080</v>
      </c>
      <c r="K210" s="917" t="s">
        <v>5396</v>
      </c>
      <c r="L210" s="905">
        <f t="shared" si="22"/>
        <v>2</v>
      </c>
      <c r="M210" s="909">
        <f>SUMIFS('Bilateral Assistance, MAIN DATA'!M:M,'Bilateral Assistance, MAIN DATA'!I:I,'Price List, Weapons &amp; Items'!B210)</f>
        <v>294</v>
      </c>
      <c r="N210" s="71">
        <f>COUNTIFS('Bilateral Assistance, MAIN DATA'!M:M,"undisclosed",'Bilateral Assistance, MAIN DATA'!I:I,'Price List, Weapons &amp; Items'!B210)</f>
        <v>0</v>
      </c>
      <c r="O210" s="910">
        <f t="shared" si="23"/>
        <v>102900000</v>
      </c>
      <c r="P210" s="71">
        <f>IFERROR(IF(SEARCH(B210,_xlfn.ARRAYTOTEXT('Bilateral Assistance, MAIN DATA'!I$1:I$2206))&gt;0,1,""),0)</f>
        <v>0</v>
      </c>
      <c r="Q210" s="71">
        <f>IFERROR(IF(SEARCH(B210,_xlfn.ARRAYTOTEXT('Commercial Assistance'!I$1:I$1400))&gt;0,1,""),0)</f>
        <v>0</v>
      </c>
      <c r="R210" s="905" t="str">
        <f>IF(SUMIFS('Bilateral Assistance, MAIN DATA'!N:N,'Bilateral Assistance, MAIN DATA'!I:I,'Price List, Weapons &amp; Items'!B210)&gt;M210,1,".")</f>
        <v>.</v>
      </c>
    </row>
    <row r="211" spans="2:18" ht="15" customHeight="1">
      <c r="B211" s="912" t="s">
        <v>4048</v>
      </c>
      <c r="C211" s="898" t="s">
        <v>1105</v>
      </c>
      <c r="D211" s="898" t="s">
        <v>1105</v>
      </c>
      <c r="E211" s="900">
        <v>0</v>
      </c>
      <c r="F211" s="900">
        <f t="shared" si="21"/>
        <v>0</v>
      </c>
      <c r="G211" s="892">
        <v>350000</v>
      </c>
      <c r="H211" s="908" t="str">
        <f t="shared" si="20"/>
        <v>USD</v>
      </c>
      <c r="I211" s="886" t="s">
        <v>5392</v>
      </c>
      <c r="J211" s="901" t="s">
        <v>5080</v>
      </c>
      <c r="K211" s="912" t="s">
        <v>5397</v>
      </c>
      <c r="L211" s="905">
        <f t="shared" si="22"/>
        <v>2</v>
      </c>
      <c r="M211" s="909">
        <f>SUMIFS('Bilateral Assistance, MAIN DATA'!M:M,'Bilateral Assistance, MAIN DATA'!I:I,'Price List, Weapons &amp; Items'!B211)</f>
        <v>148</v>
      </c>
      <c r="N211" s="71">
        <f>COUNTIFS('Bilateral Assistance, MAIN DATA'!M:M,"undisclosed",'Bilateral Assistance, MAIN DATA'!I:I,'Price List, Weapons &amp; Items'!B211)</f>
        <v>0</v>
      </c>
      <c r="O211" s="910">
        <f t="shared" si="23"/>
        <v>51800000</v>
      </c>
      <c r="P211" s="71">
        <f>IFERROR(IF(SEARCH(B211,_xlfn.ARRAYTOTEXT('Bilateral Assistance, MAIN DATA'!I$1:I$2206))&gt;0,1,""),0)</f>
        <v>0</v>
      </c>
      <c r="Q211" s="71">
        <f>IFERROR(IF(SEARCH(B211,_xlfn.ARRAYTOTEXT('Commercial Assistance'!I$1:I$1400))&gt;0,1,""),0)</f>
        <v>0</v>
      </c>
      <c r="R211" s="905" t="str">
        <f>IF(SUMIFS('Bilateral Assistance, MAIN DATA'!N:N,'Bilateral Assistance, MAIN DATA'!I:I,'Price List, Weapons &amp; Items'!B211)&gt;M211,1,".")</f>
        <v>.</v>
      </c>
    </row>
    <row r="212" spans="2:18" ht="15" customHeight="1">
      <c r="B212" s="901" t="s">
        <v>4126</v>
      </c>
      <c r="C212" s="898" t="s">
        <v>5062</v>
      </c>
      <c r="D212" s="899" t="s">
        <v>5157</v>
      </c>
      <c r="E212" s="900">
        <v>0</v>
      </c>
      <c r="F212" s="900">
        <f t="shared" si="21"/>
        <v>1</v>
      </c>
      <c r="G212" s="892">
        <v>326778</v>
      </c>
      <c r="H212" s="900" t="s">
        <v>456</v>
      </c>
      <c r="I212" s="887" t="s">
        <v>5158</v>
      </c>
      <c r="J212" s="901" t="s">
        <v>5075</v>
      </c>
      <c r="K212" s="1356" t="s">
        <v>5398</v>
      </c>
      <c r="L212" s="905">
        <f t="shared" si="22"/>
        <v>2</v>
      </c>
      <c r="M212" s="909">
        <f>SUMIFS('Bilateral Assistance, MAIN DATA'!M:M,'Bilateral Assistance, MAIN DATA'!I:I,'Price List, Weapons &amp; Items'!B212)</f>
        <v>10</v>
      </c>
      <c r="N212" s="71">
        <f>COUNTIFS('Bilateral Assistance, MAIN DATA'!M:M,"undisclosed",'Bilateral Assistance, MAIN DATA'!I:I,'Price List, Weapons &amp; Items'!B212)</f>
        <v>0</v>
      </c>
      <c r="O212" s="910">
        <f t="shared" si="23"/>
        <v>3267780</v>
      </c>
      <c r="P212" s="71">
        <f>IFERROR(IF(SEARCH(B212,_xlfn.ARRAYTOTEXT('Bilateral Assistance, MAIN DATA'!I$1:I$2206))&gt;0,1,""),0)</f>
        <v>0</v>
      </c>
      <c r="Q212" s="71">
        <f>IFERROR(IF(SEARCH(B212,_xlfn.ARRAYTOTEXT('Commercial Assistance'!I$1:I$1400))&gt;0,1,""),0)</f>
        <v>0</v>
      </c>
      <c r="R212" s="905" t="str">
        <f>IF(SUMIFS('Bilateral Assistance, MAIN DATA'!N:N,'Bilateral Assistance, MAIN DATA'!I:I,'Price List, Weapons &amp; Items'!B212)&gt;M212,1,".")</f>
        <v>.</v>
      </c>
    </row>
    <row r="213" spans="2:18" ht="15" customHeight="1">
      <c r="B213" s="912" t="s">
        <v>428</v>
      </c>
      <c r="C213" s="898" t="s">
        <v>5062</v>
      </c>
      <c r="D213" s="899" t="s">
        <v>5157</v>
      </c>
      <c r="E213" s="900">
        <v>0</v>
      </c>
      <c r="F213" s="900">
        <f t="shared" si="21"/>
        <v>1</v>
      </c>
      <c r="G213" s="892">
        <v>300000</v>
      </c>
      <c r="H213" s="908" t="str">
        <f t="shared" ref="H213:H234" si="24">IF(G213&lt;&gt;".","USD",".")</f>
        <v>USD</v>
      </c>
      <c r="I213" s="885" t="s">
        <v>5399</v>
      </c>
      <c r="J213" s="901" t="s">
        <v>5082</v>
      </c>
      <c r="K213" s="901" t="s">
        <v>5400</v>
      </c>
      <c r="L213" s="905">
        <f t="shared" si="22"/>
        <v>2</v>
      </c>
      <c r="M213" s="909">
        <f>SUMIFS('Bilateral Assistance, MAIN DATA'!M:M,'Bilateral Assistance, MAIN DATA'!I:I,'Price List, Weapons &amp; Items'!B213)</f>
        <v>535</v>
      </c>
      <c r="N213" s="71">
        <f>COUNTIFS('Bilateral Assistance, MAIN DATA'!M:M,"undisclosed",'Bilateral Assistance, MAIN DATA'!I:I,'Price List, Weapons &amp; Items'!B213)</f>
        <v>1</v>
      </c>
      <c r="O213" s="910">
        <f t="shared" si="23"/>
        <v>160500000</v>
      </c>
      <c r="P213" s="71">
        <f>IFERROR(IF(SEARCH(B213,_xlfn.ARRAYTOTEXT('Bilateral Assistance, MAIN DATA'!I$1:I$2206))&gt;0,1,""),0)</f>
        <v>0</v>
      </c>
      <c r="Q213" s="71">
        <f>IFERROR(IF(SEARCH(B213,_xlfn.ARRAYTOTEXT('Commercial Assistance'!I$1:I$1400))&gt;0,1,""),0)</f>
        <v>0</v>
      </c>
      <c r="R213" s="905" t="str">
        <f>IF(SUMIFS('Bilateral Assistance, MAIN DATA'!N:N,'Bilateral Assistance, MAIN DATA'!I:I,'Price List, Weapons &amp; Items'!B213)&gt;M213,1,".")</f>
        <v>.</v>
      </c>
    </row>
    <row r="214" spans="2:18" ht="15" customHeight="1">
      <c r="B214" s="901" t="s">
        <v>3998</v>
      </c>
      <c r="C214" s="898" t="s">
        <v>5099</v>
      </c>
      <c r="D214" s="899" t="s">
        <v>5198</v>
      </c>
      <c r="E214" s="900">
        <v>0</v>
      </c>
      <c r="F214" s="900">
        <f t="shared" si="21"/>
        <v>0</v>
      </c>
      <c r="G214" s="892">
        <v>256000</v>
      </c>
      <c r="H214" s="908" t="str">
        <f t="shared" si="24"/>
        <v>USD</v>
      </c>
      <c r="I214" s="886" t="s">
        <v>5133</v>
      </c>
      <c r="J214" s="901" t="s">
        <v>5119</v>
      </c>
      <c r="K214" s="901" t="s">
        <v>5401</v>
      </c>
      <c r="L214" s="905">
        <f t="shared" si="22"/>
        <v>2</v>
      </c>
      <c r="M214" s="909">
        <f>SUMIFS('Bilateral Assistance, MAIN DATA'!M:M,'Bilateral Assistance, MAIN DATA'!I:I,'Price List, Weapons &amp; Items'!B214)</f>
        <v>5950</v>
      </c>
      <c r="N214" s="71">
        <f>COUNTIFS('Bilateral Assistance, MAIN DATA'!M:M,"undisclosed",'Bilateral Assistance, MAIN DATA'!I:I,'Price List, Weapons &amp; Items'!B214)</f>
        <v>0</v>
      </c>
      <c r="O214" s="910">
        <f t="shared" si="23"/>
        <v>1523200000</v>
      </c>
      <c r="P214" s="71">
        <f>IFERROR(IF(SEARCH(B214,_xlfn.ARRAYTOTEXT('Bilateral Assistance, MAIN DATA'!I$1:I$2206))&gt;0,1,""),0)</f>
        <v>0</v>
      </c>
      <c r="Q214" s="71">
        <f>IFERROR(IF(SEARCH(B214,_xlfn.ARRAYTOTEXT('Commercial Assistance'!I$1:I$1400))&gt;0,1,""),0)</f>
        <v>0</v>
      </c>
      <c r="R214" s="905" t="str">
        <f>IF(SUMIFS('Bilateral Assistance, MAIN DATA'!N:N,'Bilateral Assistance, MAIN DATA'!I:I,'Price List, Weapons &amp; Items'!B214)&gt;M214,1,".")</f>
        <v>.</v>
      </c>
    </row>
    <row r="215" spans="2:18" ht="15" customHeight="1">
      <c r="B215" s="901" t="s">
        <v>1076</v>
      </c>
      <c r="C215" s="898" t="s">
        <v>5062</v>
      </c>
      <c r="D215" s="899" t="s">
        <v>4850</v>
      </c>
      <c r="E215" s="900">
        <v>1</v>
      </c>
      <c r="F215" s="900">
        <f t="shared" si="21"/>
        <v>1</v>
      </c>
      <c r="G215" s="892">
        <v>250000</v>
      </c>
      <c r="H215" s="908" t="str">
        <f t="shared" si="24"/>
        <v>USD</v>
      </c>
      <c r="I215" s="886" t="s">
        <v>5402</v>
      </c>
      <c r="J215" s="901" t="s">
        <v>5082</v>
      </c>
      <c r="K215" s="901" t="s">
        <v>5403</v>
      </c>
      <c r="L215" s="905">
        <f t="shared" si="22"/>
        <v>1</v>
      </c>
      <c r="M215" s="909">
        <f>SUMIFS('Bilateral Assistance, MAIN DATA'!M:M,'Bilateral Assistance, MAIN DATA'!I:I,'Price List, Weapons &amp; Items'!B215)</f>
        <v>4</v>
      </c>
      <c r="N215" s="71">
        <f>COUNTIFS('Bilateral Assistance, MAIN DATA'!M:M,"undisclosed",'Bilateral Assistance, MAIN DATA'!I:I,'Price List, Weapons &amp; Items'!B215)</f>
        <v>0</v>
      </c>
      <c r="O215" s="910">
        <f t="shared" si="23"/>
        <v>1000000</v>
      </c>
      <c r="P215" s="71">
        <f>IFERROR(IF(SEARCH(B215,_xlfn.ARRAYTOTEXT('Bilateral Assistance, MAIN DATA'!I$1:I$2206))&gt;0,1,""),0)</f>
        <v>0</v>
      </c>
      <c r="Q215" s="71">
        <f>IFERROR(IF(SEARCH(B215,_xlfn.ARRAYTOTEXT('Commercial Assistance'!I$1:I$1400))&gt;0,1,""),0)</f>
        <v>0</v>
      </c>
      <c r="R215" s="905" t="str">
        <f>IF(SUMIFS('Bilateral Assistance, MAIN DATA'!N:N,'Bilateral Assistance, MAIN DATA'!I:I,'Price List, Weapons &amp; Items'!B215)&gt;M215,1,".")</f>
        <v>.</v>
      </c>
    </row>
    <row r="216" spans="2:18" ht="15" customHeight="1">
      <c r="B216" s="901" t="s">
        <v>4079</v>
      </c>
      <c r="C216" s="898" t="s">
        <v>5099</v>
      </c>
      <c r="D216" s="899" t="s">
        <v>5198</v>
      </c>
      <c r="E216" s="900">
        <v>0</v>
      </c>
      <c r="F216" s="900">
        <f t="shared" si="21"/>
        <v>0</v>
      </c>
      <c r="G216" s="892">
        <v>178000</v>
      </c>
      <c r="H216" s="908" t="str">
        <f t="shared" si="24"/>
        <v>USD</v>
      </c>
      <c r="I216" s="886" t="s">
        <v>5133</v>
      </c>
      <c r="J216" s="901" t="s">
        <v>5119</v>
      </c>
      <c r="K216" s="917" t="s">
        <v>5404</v>
      </c>
      <c r="L216" s="905">
        <f t="shared" si="22"/>
        <v>2</v>
      </c>
      <c r="M216" s="909">
        <f>SUMIFS('Bilateral Assistance, MAIN DATA'!M:M,'Bilateral Assistance, MAIN DATA'!I:I,'Price List, Weapons &amp; Items'!B216)</f>
        <v>50</v>
      </c>
      <c r="N216" s="71">
        <f>COUNTIFS('Bilateral Assistance, MAIN DATA'!M:M,"undisclosed",'Bilateral Assistance, MAIN DATA'!I:I,'Price List, Weapons &amp; Items'!B216)</f>
        <v>0</v>
      </c>
      <c r="O216" s="910">
        <f t="shared" si="23"/>
        <v>8900000</v>
      </c>
      <c r="P216" s="71">
        <f>IFERROR(IF(SEARCH(B216,_xlfn.ARRAYTOTEXT('Bilateral Assistance, MAIN DATA'!I$1:I$2206))&gt;0,1,""),0)</f>
        <v>0</v>
      </c>
      <c r="Q216" s="71">
        <f>IFERROR(IF(SEARCH(B216,_xlfn.ARRAYTOTEXT('Commercial Assistance'!I$1:I$1400))&gt;0,1,""),0)</f>
        <v>0</v>
      </c>
      <c r="R216" s="905" t="str">
        <f>IF(SUMIFS('Bilateral Assistance, MAIN DATA'!N:N,'Bilateral Assistance, MAIN DATA'!I:I,'Price List, Weapons &amp; Items'!B216)&gt;M216,1,".")</f>
        <v>.</v>
      </c>
    </row>
    <row r="217" spans="2:18" ht="15" customHeight="1">
      <c r="B217" s="912" t="s">
        <v>4050</v>
      </c>
      <c r="C217" s="898" t="s">
        <v>5070</v>
      </c>
      <c r="D217" s="899" t="s">
        <v>1324</v>
      </c>
      <c r="E217" s="900">
        <v>0</v>
      </c>
      <c r="F217" s="900">
        <f t="shared" si="21"/>
        <v>0</v>
      </c>
      <c r="G217" s="892">
        <v>163793</v>
      </c>
      <c r="H217" s="908" t="str">
        <f t="shared" si="24"/>
        <v>USD</v>
      </c>
      <c r="I217" s="886" t="s">
        <v>4123</v>
      </c>
      <c r="J217" s="901" t="s">
        <v>5119</v>
      </c>
      <c r="K217" s="901" t="s">
        <v>5405</v>
      </c>
      <c r="L217" s="905">
        <f t="shared" si="22"/>
        <v>2</v>
      </c>
      <c r="M217" s="909">
        <f>SUMIFS('Bilateral Assistance, MAIN DATA'!M:M,'Bilateral Assistance, MAIN DATA'!I:I,'Price List, Weapons &amp; Items'!B217)</f>
        <v>1801</v>
      </c>
      <c r="N217" s="71">
        <f>COUNTIFS('Bilateral Assistance, MAIN DATA'!M:M,"undisclosed",'Bilateral Assistance, MAIN DATA'!I:I,'Price List, Weapons &amp; Items'!B217)</f>
        <v>0</v>
      </c>
      <c r="O217" s="910">
        <f t="shared" si="23"/>
        <v>294991193</v>
      </c>
      <c r="P217" s="71">
        <f>IFERROR(IF(SEARCH(B217,_xlfn.ARRAYTOTEXT('Bilateral Assistance, MAIN DATA'!I$1:I$2206))&gt;0,1,""),0)</f>
        <v>0</v>
      </c>
      <c r="Q217" s="71">
        <f>IFERROR(IF(SEARCH(B217,_xlfn.ARRAYTOTEXT('Commercial Assistance'!I$1:I$1400))&gt;0,1,""),0)</f>
        <v>0</v>
      </c>
      <c r="R217" s="905" t="str">
        <f>IF(SUMIFS('Bilateral Assistance, MAIN DATA'!N:N,'Bilateral Assistance, MAIN DATA'!I:I,'Price List, Weapons &amp; Items'!B217)&gt;M217,1,".")</f>
        <v>.</v>
      </c>
    </row>
    <row r="218" spans="2:18" ht="15" customHeight="1">
      <c r="B218" s="901" t="s">
        <v>1655</v>
      </c>
      <c r="C218" s="898" t="s">
        <v>5177</v>
      </c>
      <c r="D218" s="899" t="s">
        <v>5198</v>
      </c>
      <c r="E218" s="900">
        <v>0</v>
      </c>
      <c r="F218" s="900">
        <f t="shared" si="21"/>
        <v>0</v>
      </c>
      <c r="G218" s="892">
        <v>122527.7</v>
      </c>
      <c r="H218" s="908" t="str">
        <f t="shared" si="24"/>
        <v>USD</v>
      </c>
      <c r="I218" s="891" t="s">
        <v>5074</v>
      </c>
      <c r="J218" s="901" t="s">
        <v>5075</v>
      </c>
      <c r="K218" s="71" t="s">
        <v>5144</v>
      </c>
      <c r="L218" s="905">
        <f t="shared" si="22"/>
        <v>2</v>
      </c>
      <c r="M218" s="909">
        <f>SUMIFS('Bilateral Assistance, MAIN DATA'!M:M,'Bilateral Assistance, MAIN DATA'!I:I,'Price List, Weapons &amp; Items'!B218)</f>
        <v>24</v>
      </c>
      <c r="N218" s="71">
        <f>COUNTIFS('Bilateral Assistance, MAIN DATA'!M:M,"undisclosed",'Bilateral Assistance, MAIN DATA'!I:I,'Price List, Weapons &amp; Items'!B218)</f>
        <v>0</v>
      </c>
      <c r="O218" s="910">
        <f t="shared" si="23"/>
        <v>2940664.8</v>
      </c>
      <c r="P218" s="71">
        <f>IFERROR(IF(SEARCH(B218,_xlfn.ARRAYTOTEXT('Bilateral Assistance, MAIN DATA'!I$1:I$2206))&gt;0,1,""),0)</f>
        <v>0</v>
      </c>
      <c r="Q218" s="71">
        <f>IFERROR(IF(SEARCH(B218,_xlfn.ARRAYTOTEXT('Commercial Assistance'!I$1:I$1400))&gt;0,1,""),0)</f>
        <v>0</v>
      </c>
      <c r="R218" s="905" t="str">
        <f>IF(SUMIFS('Bilateral Assistance, MAIN DATA'!N:N,'Bilateral Assistance, MAIN DATA'!I:I,'Price List, Weapons &amp; Items'!B218)&gt;M218,1,".")</f>
        <v>.</v>
      </c>
    </row>
    <row r="219" spans="2:18" ht="15" customHeight="1">
      <c r="B219" s="912" t="s">
        <v>5406</v>
      </c>
      <c r="C219" s="898" t="s">
        <v>5099</v>
      </c>
      <c r="D219" s="899" t="s">
        <v>5407</v>
      </c>
      <c r="E219" s="900">
        <v>0</v>
      </c>
      <c r="F219" s="900">
        <f t="shared" si="21"/>
        <v>0</v>
      </c>
      <c r="G219" s="892">
        <v>119000</v>
      </c>
      <c r="H219" s="908" t="str">
        <f t="shared" si="24"/>
        <v>USD</v>
      </c>
      <c r="I219" s="886" t="s">
        <v>5408</v>
      </c>
      <c r="J219" s="901" t="s">
        <v>5089</v>
      </c>
      <c r="K219" s="901" t="s">
        <v>5409</v>
      </c>
      <c r="L219" s="905">
        <f t="shared" si="22"/>
        <v>2</v>
      </c>
      <c r="M219" s="909">
        <f>SUMIFS('Bilateral Assistance, MAIN DATA'!M:M,'Bilateral Assistance, MAIN DATA'!I:I,'Price List, Weapons &amp; Items'!B219)</f>
        <v>100</v>
      </c>
      <c r="N219" s="71">
        <f>COUNTIFS('Bilateral Assistance, MAIN DATA'!M:M,"undisclosed",'Bilateral Assistance, MAIN DATA'!I:I,'Price List, Weapons &amp; Items'!B219)</f>
        <v>1</v>
      </c>
      <c r="O219" s="910">
        <f t="shared" si="23"/>
        <v>11900000</v>
      </c>
      <c r="P219" s="71">
        <f>IFERROR(IF(SEARCH(B219,_xlfn.ARRAYTOTEXT('Bilateral Assistance, MAIN DATA'!I$1:I$2206))&gt;0,1,""),0)</f>
        <v>0</v>
      </c>
      <c r="Q219" s="71">
        <f>IFERROR(IF(SEARCH(B219,_xlfn.ARRAYTOTEXT('Commercial Assistance'!I$1:I$1400))&gt;0,1,""),0)</f>
        <v>0</v>
      </c>
      <c r="R219" s="905" t="str">
        <f>IF(SUMIFS('Bilateral Assistance, MAIN DATA'!N:N,'Bilateral Assistance, MAIN DATA'!I:I,'Price List, Weapons &amp; Items'!B219)&gt;M219,1,".")</f>
        <v>.</v>
      </c>
    </row>
    <row r="220" spans="2:18" ht="15" customHeight="1">
      <c r="B220" s="914" t="s">
        <v>5410</v>
      </c>
      <c r="C220" s="898" t="s">
        <v>5099</v>
      </c>
      <c r="D220" s="899" t="s">
        <v>5198</v>
      </c>
      <c r="E220" s="900">
        <v>0</v>
      </c>
      <c r="F220" s="900">
        <f t="shared" si="21"/>
        <v>0</v>
      </c>
      <c r="G220" s="892">
        <v>119000</v>
      </c>
      <c r="H220" s="908" t="str">
        <f t="shared" si="24"/>
        <v>USD</v>
      </c>
      <c r="I220" s="886" t="s">
        <v>5408</v>
      </c>
      <c r="J220" s="901" t="s">
        <v>5089</v>
      </c>
      <c r="K220" s="901" t="s">
        <v>5411</v>
      </c>
      <c r="L220" s="905">
        <f t="shared" si="22"/>
        <v>2</v>
      </c>
      <c r="M220" s="909">
        <f>SUMIFS('Bilateral Assistance, MAIN DATA'!M:M,'Bilateral Assistance, MAIN DATA'!I:I,'Price List, Weapons &amp; Items'!B220)</f>
        <v>160</v>
      </c>
      <c r="N220" s="71">
        <f>COUNTIFS('Bilateral Assistance, MAIN DATA'!M:M,"undisclosed",'Bilateral Assistance, MAIN DATA'!I:I,'Price List, Weapons &amp; Items'!B220)</f>
        <v>0</v>
      </c>
      <c r="O220" s="910">
        <f t="shared" si="23"/>
        <v>19040000</v>
      </c>
      <c r="P220" s="71">
        <f>IFERROR(IF(SEARCH(B220,_xlfn.ARRAYTOTEXT('Bilateral Assistance, MAIN DATA'!I$1:I$2206))&gt;0,1,""),0)</f>
        <v>0</v>
      </c>
      <c r="Q220" s="71">
        <f>IFERROR(IF(SEARCH(B220,_xlfn.ARRAYTOTEXT('Commercial Assistance'!I$1:I$1400))&gt;0,1,""),0)</f>
        <v>0</v>
      </c>
      <c r="R220" s="905" t="str">
        <f>IF(SUMIFS('Bilateral Assistance, MAIN DATA'!N:N,'Bilateral Assistance, MAIN DATA'!I:I,'Price List, Weapons &amp; Items'!B220)&gt;M220,1,".")</f>
        <v>.</v>
      </c>
    </row>
    <row r="221" spans="2:18" ht="15" customHeight="1">
      <c r="B221" s="901" t="s">
        <v>1239</v>
      </c>
      <c r="C221" s="898" t="s">
        <v>5099</v>
      </c>
      <c r="D221" s="899" t="s">
        <v>5100</v>
      </c>
      <c r="E221" s="900">
        <v>0</v>
      </c>
      <c r="F221" s="900">
        <f t="shared" si="21"/>
        <v>0</v>
      </c>
      <c r="G221" s="892">
        <v>119000</v>
      </c>
      <c r="H221" s="908" t="str">
        <f t="shared" si="24"/>
        <v>USD</v>
      </c>
      <c r="I221" s="886" t="s">
        <v>5408</v>
      </c>
      <c r="J221" s="901" t="s">
        <v>5089</v>
      </c>
      <c r="K221" s="901" t="s">
        <v>5412</v>
      </c>
      <c r="L221" s="905">
        <f t="shared" si="22"/>
        <v>2</v>
      </c>
      <c r="M221" s="909">
        <f>SUMIFS('Bilateral Assistance, MAIN DATA'!M:M,'Bilateral Assistance, MAIN DATA'!I:I,'Price List, Weapons &amp; Items'!B221)</f>
        <v>1670</v>
      </c>
      <c r="N221" s="71">
        <f>COUNTIFS('Bilateral Assistance, MAIN DATA'!M:M,"undisclosed",'Bilateral Assistance, MAIN DATA'!I:I,'Price List, Weapons &amp; Items'!B221)</f>
        <v>3</v>
      </c>
      <c r="O221" s="910">
        <f t="shared" si="23"/>
        <v>198730000</v>
      </c>
      <c r="P221" s="71">
        <f>IFERROR(IF(SEARCH(B221,_xlfn.ARRAYTOTEXT('Bilateral Assistance, MAIN DATA'!I$1:I$2206))&gt;0,1,""),0)</f>
        <v>0</v>
      </c>
      <c r="Q221" s="71">
        <f>IFERROR(IF(SEARCH(B221,_xlfn.ARRAYTOTEXT('Commercial Assistance'!I$1:I$1400))&gt;0,1,""),0)</f>
        <v>0</v>
      </c>
      <c r="R221" s="905" t="str">
        <f>IF(SUMIFS('Bilateral Assistance, MAIN DATA'!N:N,'Bilateral Assistance, MAIN DATA'!I:I,'Price List, Weapons &amp; Items'!B221)&gt;M221,1,".")</f>
        <v>.</v>
      </c>
    </row>
    <row r="222" spans="2:18" ht="15" customHeight="1">
      <c r="B222" s="912" t="s">
        <v>4248</v>
      </c>
      <c r="C222" s="898" t="s">
        <v>1105</v>
      </c>
      <c r="D222" s="898" t="s">
        <v>1105</v>
      </c>
      <c r="E222" s="900">
        <v>0</v>
      </c>
      <c r="F222" s="900">
        <f t="shared" si="21"/>
        <v>0</v>
      </c>
      <c r="G222" s="892">
        <v>97500</v>
      </c>
      <c r="H222" s="908" t="str">
        <f t="shared" si="24"/>
        <v>USD</v>
      </c>
      <c r="I222" s="886" t="s">
        <v>5413</v>
      </c>
      <c r="J222" s="901" t="s">
        <v>5080</v>
      </c>
      <c r="K222" s="901" t="s">
        <v>5414</v>
      </c>
      <c r="L222" s="905">
        <f t="shared" si="22"/>
        <v>1</v>
      </c>
      <c r="M222" s="909">
        <f>SUMIFS('Bilateral Assistance, MAIN DATA'!M:M,'Bilateral Assistance, MAIN DATA'!I:I,'Price List, Weapons &amp; Items'!B222)</f>
        <v>16</v>
      </c>
      <c r="N222" s="71">
        <f>COUNTIFS('Bilateral Assistance, MAIN DATA'!M:M,"undisclosed",'Bilateral Assistance, MAIN DATA'!I:I,'Price List, Weapons &amp; Items'!B222)</f>
        <v>0</v>
      </c>
      <c r="O222" s="910">
        <f t="shared" si="23"/>
        <v>1560000</v>
      </c>
      <c r="P222" s="71">
        <f>IFERROR(IF(SEARCH(B222,_xlfn.ARRAYTOTEXT('Bilateral Assistance, MAIN DATA'!I$1:I$2206))&gt;0,1,""),0)</f>
        <v>0</v>
      </c>
      <c r="Q222" s="71">
        <f>IFERROR(IF(SEARCH(B222,_xlfn.ARRAYTOTEXT('Commercial Assistance'!I$1:I$1400))&gt;0,1,""),0)</f>
        <v>0</v>
      </c>
      <c r="R222" s="905" t="str">
        <f>IF(SUMIFS('Bilateral Assistance, MAIN DATA'!N:N,'Bilateral Assistance, MAIN DATA'!I:I,'Price List, Weapons &amp; Items'!B222)&gt;M222,1,".")</f>
        <v>.</v>
      </c>
    </row>
    <row r="223" spans="2:18" ht="15" customHeight="1">
      <c r="B223" s="901" t="s">
        <v>5415</v>
      </c>
      <c r="C223" s="898" t="s">
        <v>5065</v>
      </c>
      <c r="D223" s="899" t="s">
        <v>5066</v>
      </c>
      <c r="E223" s="900">
        <v>0</v>
      </c>
      <c r="F223" s="900">
        <f t="shared" si="21"/>
        <v>0</v>
      </c>
      <c r="G223" s="892">
        <v>85000</v>
      </c>
      <c r="H223" s="908" t="str">
        <f t="shared" si="24"/>
        <v>USD</v>
      </c>
      <c r="I223" s="886" t="s">
        <v>5416</v>
      </c>
      <c r="J223" s="901" t="s">
        <v>5086</v>
      </c>
      <c r="K223" s="901" t="s">
        <v>5417</v>
      </c>
      <c r="L223" s="905">
        <f t="shared" si="22"/>
        <v>2</v>
      </c>
      <c r="M223" s="909">
        <f>SUMIFS('Bilateral Assistance, MAIN DATA'!M:M,'Bilateral Assistance, MAIN DATA'!I:I,'Price List, Weapons &amp; Items'!B223)</f>
        <v>200</v>
      </c>
      <c r="N223" s="71">
        <f>COUNTIFS('Bilateral Assistance, MAIN DATA'!M:M,"undisclosed",'Bilateral Assistance, MAIN DATA'!I:I,'Price List, Weapons &amp; Items'!B223)</f>
        <v>0</v>
      </c>
      <c r="O223" s="910">
        <f t="shared" si="23"/>
        <v>17000000</v>
      </c>
      <c r="P223" s="71">
        <f>IFERROR(IF(SEARCH(B223,_xlfn.ARRAYTOTEXT('Bilateral Assistance, MAIN DATA'!I$1:I$2206))&gt;0,1,""),0)</f>
        <v>0</v>
      </c>
      <c r="Q223" s="71">
        <f>IFERROR(IF(SEARCH(B223,_xlfn.ARRAYTOTEXT('Commercial Assistance'!I$1:I$1400))&gt;0,1,""),0)</f>
        <v>0</v>
      </c>
      <c r="R223" s="905" t="str">
        <f>IF(SUMIFS('Bilateral Assistance, MAIN DATA'!N:N,'Bilateral Assistance, MAIN DATA'!I:I,'Price List, Weapons &amp; Items'!B223)&gt;M223,1,".")</f>
        <v>.</v>
      </c>
    </row>
    <row r="224" spans="2:18" ht="15" customHeight="1">
      <c r="B224" s="912" t="s">
        <v>5418</v>
      </c>
      <c r="C224" s="898" t="s">
        <v>5099</v>
      </c>
      <c r="D224" s="899" t="s">
        <v>5198</v>
      </c>
      <c r="E224" s="900">
        <v>0</v>
      </c>
      <c r="F224" s="900">
        <f t="shared" si="21"/>
        <v>0</v>
      </c>
      <c r="G224" s="892">
        <v>78000</v>
      </c>
      <c r="H224" s="908" t="str">
        <f t="shared" si="24"/>
        <v>USD</v>
      </c>
      <c r="I224" s="886" t="s">
        <v>5419</v>
      </c>
      <c r="J224" s="901" t="s">
        <v>5082</v>
      </c>
      <c r="K224" s="901" t="s">
        <v>5420</v>
      </c>
      <c r="L224" s="905">
        <f t="shared" si="22"/>
        <v>2</v>
      </c>
      <c r="M224" s="909">
        <f>SUMIFS('Bilateral Assistance, MAIN DATA'!M:M,'Bilateral Assistance, MAIN DATA'!I:I,'Price List, Weapons &amp; Items'!B224)</f>
        <v>10867</v>
      </c>
      <c r="N224" s="71">
        <f>COUNTIFS('Bilateral Assistance, MAIN DATA'!M:M,"undisclosed",'Bilateral Assistance, MAIN DATA'!I:I,'Price List, Weapons &amp; Items'!B224)</f>
        <v>0</v>
      </c>
      <c r="O224" s="910">
        <f t="shared" si="23"/>
        <v>847626000</v>
      </c>
      <c r="P224" s="71">
        <f>IFERROR(IF(SEARCH(B224,_xlfn.ARRAYTOTEXT('Bilateral Assistance, MAIN DATA'!I$1:I$2206))&gt;0,1,""),0)</f>
        <v>0</v>
      </c>
      <c r="Q224" s="71">
        <f>IFERROR(IF(SEARCH(B224,_xlfn.ARRAYTOTEXT('Commercial Assistance'!I$1:I$1400))&gt;0,1,""),0)</f>
        <v>0</v>
      </c>
      <c r="R224" s="905" t="str">
        <f>IF(SUMIFS('Bilateral Assistance, MAIN DATA'!N:N,'Bilateral Assistance, MAIN DATA'!I:I,'Price List, Weapons &amp; Items'!B224)&gt;M224,1,".")</f>
        <v>.</v>
      </c>
    </row>
    <row r="225" spans="1:18" ht="15" customHeight="1">
      <c r="B225" s="912" t="s">
        <v>651</v>
      </c>
      <c r="C225" s="898" t="s">
        <v>5099</v>
      </c>
      <c r="D225" s="899" t="s">
        <v>5198</v>
      </c>
      <c r="E225" s="900">
        <v>0</v>
      </c>
      <c r="F225" s="900">
        <f t="shared" si="21"/>
        <v>0</v>
      </c>
      <c r="G225" s="892">
        <v>78000</v>
      </c>
      <c r="H225" s="908" t="str">
        <f t="shared" si="24"/>
        <v>USD</v>
      </c>
      <c r="I225" s="886" t="s">
        <v>5419</v>
      </c>
      <c r="J225" s="901" t="s">
        <v>5082</v>
      </c>
      <c r="K225" s="901" t="s">
        <v>5421</v>
      </c>
      <c r="L225" s="905">
        <f t="shared" si="22"/>
        <v>2</v>
      </c>
      <c r="M225" s="909">
        <f>SUMIFS('Bilateral Assistance, MAIN DATA'!M:M,'Bilateral Assistance, MAIN DATA'!I:I,'Price List, Weapons &amp; Items'!B225)</f>
        <v>6486</v>
      </c>
      <c r="N225" s="71">
        <f>COUNTIFS('Bilateral Assistance, MAIN DATA'!M:M,"undisclosed",'Bilateral Assistance, MAIN DATA'!I:I,'Price List, Weapons &amp; Items'!B225)</f>
        <v>3</v>
      </c>
      <c r="O225" s="910">
        <f t="shared" si="23"/>
        <v>505908000</v>
      </c>
      <c r="P225" s="71">
        <f>IFERROR(IF(SEARCH(B225,_xlfn.ARRAYTOTEXT('Bilateral Assistance, MAIN DATA'!I$1:I$2206))&gt;0,1,""),0)</f>
        <v>0</v>
      </c>
      <c r="Q225" s="71">
        <f>IFERROR(IF(SEARCH(B225,_xlfn.ARRAYTOTEXT('Commercial Assistance'!I$1:I$1400))&gt;0,1,""),0)</f>
        <v>0</v>
      </c>
      <c r="R225" s="905" t="str">
        <f>IF(SUMIFS('Bilateral Assistance, MAIN DATA'!N:N,'Bilateral Assistance, MAIN DATA'!I:I,'Price List, Weapons &amp; Items'!B225)&gt;M225,1,".")</f>
        <v>.</v>
      </c>
    </row>
    <row r="226" spans="1:18" ht="15" customHeight="1">
      <c r="B226" s="901" t="s">
        <v>1314</v>
      </c>
      <c r="C226" s="898" t="s">
        <v>5177</v>
      </c>
      <c r="D226" s="899" t="s">
        <v>5226</v>
      </c>
      <c r="E226" s="900">
        <v>0</v>
      </c>
      <c r="F226" s="900">
        <f t="shared" si="21"/>
        <v>0</v>
      </c>
      <c r="G226" s="892">
        <v>78000</v>
      </c>
      <c r="H226" s="908" t="str">
        <f t="shared" si="24"/>
        <v>USD</v>
      </c>
      <c r="I226" s="886" t="s">
        <v>5419</v>
      </c>
      <c r="J226" s="901" t="s">
        <v>5082</v>
      </c>
      <c r="K226" s="901" t="s">
        <v>5422</v>
      </c>
      <c r="L226" s="905">
        <f t="shared" si="22"/>
        <v>2</v>
      </c>
      <c r="M226" s="909">
        <f>SUMIFS('Bilateral Assistance, MAIN DATA'!M:M,'Bilateral Assistance, MAIN DATA'!I:I,'Price List, Weapons &amp; Items'!B226)</f>
        <v>1500</v>
      </c>
      <c r="N226" s="71">
        <f>COUNTIFS('Bilateral Assistance, MAIN DATA'!M:M,"undisclosed",'Bilateral Assistance, MAIN DATA'!I:I,'Price List, Weapons &amp; Items'!B226)</f>
        <v>3</v>
      </c>
      <c r="O226" s="910">
        <f t="shared" si="23"/>
        <v>117000000</v>
      </c>
      <c r="P226" s="71">
        <f>IFERROR(IF(SEARCH(B226,_xlfn.ARRAYTOTEXT('Bilateral Assistance, MAIN DATA'!I$1:I$2206))&gt;0,1,""),0)</f>
        <v>0</v>
      </c>
      <c r="Q226" s="71">
        <f>IFERROR(IF(SEARCH(B226,_xlfn.ARRAYTOTEXT('Commercial Assistance'!I$1:I$1400))&gt;0,1,""),0)</f>
        <v>0</v>
      </c>
      <c r="R226" s="905">
        <f>IF(SUMIFS('Bilateral Assistance, MAIN DATA'!N:N,'Bilateral Assistance, MAIN DATA'!I:I,'Price List, Weapons &amp; Items'!B226)&gt;M226,1,".")</f>
        <v>1</v>
      </c>
    </row>
    <row r="227" spans="1:18" s="915" customFormat="1" ht="15" customHeight="1">
      <c r="A227" s="71"/>
      <c r="B227" s="901" t="s">
        <v>1103</v>
      </c>
      <c r="C227" s="898" t="s">
        <v>5177</v>
      </c>
      <c r="D227" s="899" t="s">
        <v>5226</v>
      </c>
      <c r="E227" s="900">
        <v>0</v>
      </c>
      <c r="F227" s="900">
        <f t="shared" si="21"/>
        <v>0</v>
      </c>
      <c r="G227" s="892">
        <v>78000</v>
      </c>
      <c r="H227" s="908" t="str">
        <f t="shared" si="24"/>
        <v>USD</v>
      </c>
      <c r="I227" s="886" t="s">
        <v>5419</v>
      </c>
      <c r="J227" s="901" t="s">
        <v>5082</v>
      </c>
      <c r="K227" s="901" t="s">
        <v>5423</v>
      </c>
      <c r="L227" s="905">
        <f t="shared" si="22"/>
        <v>2</v>
      </c>
      <c r="M227" s="909">
        <f>SUMIFS('Bilateral Assistance, MAIN DATA'!M:M,'Bilateral Assistance, MAIN DATA'!I:I,'Price List, Weapons &amp; Items'!B227)</f>
        <v>1006000</v>
      </c>
      <c r="N227" s="71">
        <f>COUNTIFS('Bilateral Assistance, MAIN DATA'!M:M,"undisclosed",'Bilateral Assistance, MAIN DATA'!I:I,'Price List, Weapons &amp; Items'!B227)</f>
        <v>0</v>
      </c>
      <c r="O227" s="910">
        <f t="shared" si="23"/>
        <v>78468000000</v>
      </c>
      <c r="P227" s="71">
        <f>IFERROR(IF(SEARCH(B227,_xlfn.ARRAYTOTEXT('Bilateral Assistance, MAIN DATA'!I$1:I$2206))&gt;0,1,""),0)</f>
        <v>0</v>
      </c>
      <c r="Q227" s="71">
        <f>IFERROR(IF(SEARCH(B227,_xlfn.ARRAYTOTEXT('Commercial Assistance'!I$1:I$1400))&gt;0,1,""),0)</f>
        <v>0</v>
      </c>
      <c r="R227" s="905" t="str">
        <f>IF(SUMIFS('Bilateral Assistance, MAIN DATA'!N:N,'Bilateral Assistance, MAIN DATA'!I:I,'Price List, Weapons &amp; Items'!B227)&gt;M227,1,".")</f>
        <v>.</v>
      </c>
    </row>
    <row r="228" spans="1:18" ht="15" customHeight="1">
      <c r="B228" s="915" t="s">
        <v>3857</v>
      </c>
      <c r="C228" s="898" t="s">
        <v>5070</v>
      </c>
      <c r="D228" s="899" t="s">
        <v>1324</v>
      </c>
      <c r="E228" s="900">
        <v>0</v>
      </c>
      <c r="F228" s="900">
        <f t="shared" si="21"/>
        <v>0</v>
      </c>
      <c r="G228" s="892">
        <f>(((11800000/221)*1.2888)/104.306)*114.086</f>
        <v>75265.911143968755</v>
      </c>
      <c r="H228" s="908" t="str">
        <f t="shared" si="24"/>
        <v>USD</v>
      </c>
      <c r="I228" s="885" t="s">
        <v>5424</v>
      </c>
      <c r="J228" s="901" t="s">
        <v>5080</v>
      </c>
      <c r="K228" s="901" t="s">
        <v>5425</v>
      </c>
      <c r="L228" s="905">
        <f t="shared" si="22"/>
        <v>2</v>
      </c>
      <c r="M228" s="909">
        <f>SUMIFS('Bilateral Assistance, MAIN DATA'!M:M,'Bilateral Assistance, MAIN DATA'!I:I,'Price List, Weapons &amp; Items'!B228)</f>
        <v>200</v>
      </c>
      <c r="N228" s="71">
        <f>COUNTIFS('Bilateral Assistance, MAIN DATA'!M:M,"undisclosed",'Bilateral Assistance, MAIN DATA'!I:I,'Price List, Weapons &amp; Items'!B228)</f>
        <v>0</v>
      </c>
      <c r="O228" s="910">
        <f t="shared" si="23"/>
        <v>15053182.228793751</v>
      </c>
      <c r="P228" s="71">
        <f>IFERROR(IF(SEARCH(B228,_xlfn.ARRAYTOTEXT('Bilateral Assistance, MAIN DATA'!I$1:I$2206))&gt;0,1,""),0)</f>
        <v>0</v>
      </c>
      <c r="Q228" s="71">
        <f>IFERROR(IF(SEARCH(B228,_xlfn.ARRAYTOTEXT('Commercial Assistance'!I$1:I$1400))&gt;0,1,""),0)</f>
        <v>0</v>
      </c>
      <c r="R228" s="905" t="str">
        <f>IF(SUMIFS('Bilateral Assistance, MAIN DATA'!N:N,'Bilateral Assistance, MAIN DATA'!I:I,'Price List, Weapons &amp; Items'!B228)&gt;M228,1,".")</f>
        <v>.</v>
      </c>
    </row>
    <row r="229" spans="1:18" ht="15" customHeight="1">
      <c r="B229" s="912" t="s">
        <v>1824</v>
      </c>
      <c r="C229" s="898" t="s">
        <v>5062</v>
      </c>
      <c r="D229" s="899" t="s">
        <v>5152</v>
      </c>
      <c r="E229" s="900">
        <v>0</v>
      </c>
      <c r="F229" s="900">
        <f t="shared" si="21"/>
        <v>1</v>
      </c>
      <c r="G229" s="892">
        <v>254717</v>
      </c>
      <c r="H229" s="908" t="str">
        <f t="shared" si="24"/>
        <v>USD</v>
      </c>
      <c r="I229" s="885" t="s">
        <v>5426</v>
      </c>
      <c r="J229" s="901" t="s">
        <v>5082</v>
      </c>
      <c r="K229" s="901" t="s">
        <v>5427</v>
      </c>
      <c r="L229" s="905">
        <f t="shared" si="22"/>
        <v>2</v>
      </c>
      <c r="M229" s="909">
        <f>SUMIFS('Bilateral Assistance, MAIN DATA'!M:M,'Bilateral Assistance, MAIN DATA'!I:I,'Price List, Weapons &amp; Items'!B229)</f>
        <v>10</v>
      </c>
      <c r="N229" s="71">
        <f>COUNTIFS('Bilateral Assistance, MAIN DATA'!M:M,"undisclosed",'Bilateral Assistance, MAIN DATA'!I:I,'Price List, Weapons &amp; Items'!B229)</f>
        <v>0</v>
      </c>
      <c r="O229" s="910">
        <f t="shared" si="23"/>
        <v>2547170</v>
      </c>
      <c r="P229" s="71">
        <f>IFERROR(IF(SEARCH(B229,_xlfn.ARRAYTOTEXT('Bilateral Assistance, MAIN DATA'!I$1:I$2206))&gt;0,1,""),0)</f>
        <v>0</v>
      </c>
      <c r="Q229" s="71">
        <f>IFERROR(IF(SEARCH(B229,_xlfn.ARRAYTOTEXT('Commercial Assistance'!I$1:I$1400))&gt;0,1,""),0)</f>
        <v>0</v>
      </c>
      <c r="R229" s="905" t="str">
        <f>IF(SUMIFS('Bilateral Assistance, MAIN DATA'!N:N,'Bilateral Assistance, MAIN DATA'!I:I,'Price List, Weapons &amp; Items'!B229)&gt;M229,1,".")</f>
        <v>.</v>
      </c>
    </row>
    <row r="230" spans="1:18" ht="15" customHeight="1">
      <c r="B230" s="912" t="s">
        <v>2637</v>
      </c>
      <c r="C230" s="898" t="s">
        <v>5062</v>
      </c>
      <c r="D230" s="899" t="s">
        <v>5152</v>
      </c>
      <c r="E230" s="900">
        <v>0</v>
      </c>
      <c r="F230" s="900">
        <f t="shared" si="21"/>
        <v>1</v>
      </c>
      <c r="G230" s="892">
        <v>254717</v>
      </c>
      <c r="H230" s="908" t="str">
        <f t="shared" si="24"/>
        <v>USD</v>
      </c>
      <c r="I230" s="885" t="s">
        <v>5426</v>
      </c>
      <c r="J230" s="901" t="s">
        <v>5082</v>
      </c>
      <c r="K230" s="901" t="s">
        <v>5427</v>
      </c>
      <c r="L230" s="905">
        <f t="shared" si="22"/>
        <v>2</v>
      </c>
      <c r="M230" s="909">
        <f>SUMIFS('Bilateral Assistance, MAIN DATA'!M:M,'Bilateral Assistance, MAIN DATA'!I:I,'Price List, Weapons &amp; Items'!B230)</f>
        <v>1727</v>
      </c>
      <c r="N230" s="71">
        <f>COUNTIFS('Bilateral Assistance, MAIN DATA'!M:M,"undisclosed",'Bilateral Assistance, MAIN DATA'!I:I,'Price List, Weapons &amp; Items'!B230)</f>
        <v>0</v>
      </c>
      <c r="O230" s="910">
        <f t="shared" si="23"/>
        <v>439896259</v>
      </c>
      <c r="P230" s="71">
        <f>IFERROR(IF(SEARCH(B230,_xlfn.ARRAYTOTEXT('Bilateral Assistance, MAIN DATA'!I$1:I$2206))&gt;0,1,""),0)</f>
        <v>0</v>
      </c>
      <c r="Q230" s="71">
        <f>IFERROR(IF(SEARCH(B230,_xlfn.ARRAYTOTEXT('Commercial Assistance'!I$1:I$1400))&gt;0,1,""),0)</f>
        <v>0</v>
      </c>
      <c r="R230" s="905" t="str">
        <f>IF(SUMIFS('Bilateral Assistance, MAIN DATA'!N:N,'Bilateral Assistance, MAIN DATA'!I:I,'Price List, Weapons &amp; Items'!B230)&gt;M230,1,".")</f>
        <v>.</v>
      </c>
    </row>
    <row r="231" spans="1:18" ht="15" customHeight="1">
      <c r="B231" s="901" t="s">
        <v>804</v>
      </c>
      <c r="C231" s="898" t="s">
        <v>5056</v>
      </c>
      <c r="D231" s="899" t="s">
        <v>5202</v>
      </c>
      <c r="E231" s="900">
        <v>0</v>
      </c>
      <c r="F231" s="900">
        <f t="shared" si="21"/>
        <v>0</v>
      </c>
      <c r="G231" s="892">
        <f>42589664.86/1111</f>
        <v>38334.53182718272</v>
      </c>
      <c r="H231" s="908" t="str">
        <f t="shared" si="24"/>
        <v>USD</v>
      </c>
      <c r="I231" s="886" t="s">
        <v>5428</v>
      </c>
      <c r="J231" s="901" t="s">
        <v>5082</v>
      </c>
      <c r="K231" s="901" t="s">
        <v>5429</v>
      </c>
      <c r="L231" s="905">
        <f t="shared" si="22"/>
        <v>2</v>
      </c>
      <c r="M231" s="909">
        <f>SUMIFS('Bilateral Assistance, MAIN DATA'!M:M,'Bilateral Assistance, MAIN DATA'!I:I,'Price List, Weapons &amp; Items'!B231)</f>
        <v>300</v>
      </c>
      <c r="N231" s="71">
        <f>COUNTIFS('Bilateral Assistance, MAIN DATA'!M:M,"undisclosed",'Bilateral Assistance, MAIN DATA'!I:I,'Price List, Weapons &amp; Items'!B231)</f>
        <v>3</v>
      </c>
      <c r="O231" s="910">
        <f t="shared" si="23"/>
        <v>11500359.548154816</v>
      </c>
      <c r="P231" s="71">
        <f>IFERROR(IF(SEARCH(B231,_xlfn.ARRAYTOTEXT('Bilateral Assistance, MAIN DATA'!I$1:I$2206))&gt;0,1,""),0)</f>
        <v>0</v>
      </c>
      <c r="Q231" s="71">
        <f>IFERROR(IF(SEARCH(B231,_xlfn.ARRAYTOTEXT('Commercial Assistance'!I$1:I$1400))&gt;0,1,""),0)</f>
        <v>0</v>
      </c>
      <c r="R231" s="905" t="str">
        <f>IF(SUMIFS('Bilateral Assistance, MAIN DATA'!N:N,'Bilateral Assistance, MAIN DATA'!I:I,'Price List, Weapons &amp; Items'!B231)&gt;M231,1,".")</f>
        <v>.</v>
      </c>
    </row>
    <row r="232" spans="1:18" ht="15" customHeight="1">
      <c r="B232" s="901" t="s">
        <v>2006</v>
      </c>
      <c r="C232" s="898" t="s">
        <v>5177</v>
      </c>
      <c r="D232" s="899" t="s">
        <v>5178</v>
      </c>
      <c r="E232" s="900">
        <v>0</v>
      </c>
      <c r="F232" s="900">
        <f t="shared" si="21"/>
        <v>0</v>
      </c>
      <c r="G232" s="892">
        <v>480000</v>
      </c>
      <c r="H232" s="908" t="str">
        <f t="shared" si="24"/>
        <v>USD</v>
      </c>
      <c r="I232" s="886" t="s">
        <v>5430</v>
      </c>
      <c r="J232" s="901" t="s">
        <v>5080</v>
      </c>
      <c r="K232" s="901" t="s">
        <v>5431</v>
      </c>
      <c r="L232" s="905">
        <f t="shared" si="22"/>
        <v>2</v>
      </c>
      <c r="M232" s="909">
        <f>SUMIFS('Bilateral Assistance, MAIN DATA'!M:M,'Bilateral Assistance, MAIN DATA'!I:I,'Price List, Weapons &amp; Items'!B232)</f>
        <v>1060</v>
      </c>
      <c r="N232" s="71">
        <f>COUNTIFS('Bilateral Assistance, MAIN DATA'!M:M,"undisclosed",'Bilateral Assistance, MAIN DATA'!I:I,'Price List, Weapons &amp; Items'!B232)</f>
        <v>0</v>
      </c>
      <c r="O232" s="910">
        <f t="shared" si="23"/>
        <v>508800000</v>
      </c>
      <c r="P232" s="71">
        <f>IFERROR(IF(SEARCH(B232,_xlfn.ARRAYTOTEXT('Bilateral Assistance, MAIN DATA'!I$1:I$2206))&gt;0,1,""),0)</f>
        <v>0</v>
      </c>
      <c r="Q232" s="71">
        <f>IFERROR(IF(SEARCH(B232,_xlfn.ARRAYTOTEXT('Commercial Assistance'!I$1:I$1400))&gt;0,1,""),0)</f>
        <v>0</v>
      </c>
      <c r="R232" s="905" t="str">
        <f>IF(SUMIFS('Bilateral Assistance, MAIN DATA'!N:N,'Bilateral Assistance, MAIN DATA'!I:I,'Price List, Weapons &amp; Items'!B232)&gt;M232,1,".")</f>
        <v>.</v>
      </c>
    </row>
    <row r="233" spans="1:18" ht="15" customHeight="1">
      <c r="B233" s="901" t="s">
        <v>1102</v>
      </c>
      <c r="C233" s="898" t="s">
        <v>5099</v>
      </c>
      <c r="D233" s="899" t="s">
        <v>5198</v>
      </c>
      <c r="E233" s="900">
        <v>0</v>
      </c>
      <c r="F233" s="900">
        <f t="shared" si="21"/>
        <v>0</v>
      </c>
      <c r="G233" s="892">
        <v>40000</v>
      </c>
      <c r="H233" s="908" t="str">
        <f t="shared" si="24"/>
        <v>USD</v>
      </c>
      <c r="I233" s="886" t="s">
        <v>5432</v>
      </c>
      <c r="J233" s="901" t="s">
        <v>5080</v>
      </c>
      <c r="K233" s="901" t="s">
        <v>5433</v>
      </c>
      <c r="L233" s="905">
        <f t="shared" si="22"/>
        <v>2</v>
      </c>
      <c r="M233" s="909">
        <f>SUMIFS('Bilateral Assistance, MAIN DATA'!M:M,'Bilateral Assistance, MAIN DATA'!I:I,'Price List, Weapons &amp; Items'!B233)</f>
        <v>5000</v>
      </c>
      <c r="N233" s="71">
        <f>COUNTIFS('Bilateral Assistance, MAIN DATA'!M:M,"undisclosed",'Bilateral Assistance, MAIN DATA'!I:I,'Price List, Weapons &amp; Items'!B233)</f>
        <v>4</v>
      </c>
      <c r="O233" s="910">
        <f t="shared" si="23"/>
        <v>200000000</v>
      </c>
      <c r="P233" s="71">
        <f>IFERROR(IF(SEARCH(B233,_xlfn.ARRAYTOTEXT('Bilateral Assistance, MAIN DATA'!I$1:I$2206))&gt;0,1,""),0)</f>
        <v>0</v>
      </c>
      <c r="Q233" s="71">
        <f>IFERROR(IF(SEARCH(B233,_xlfn.ARRAYTOTEXT('Commercial Assistance'!I$1:I$1400))&gt;0,1,""),0)</f>
        <v>0</v>
      </c>
      <c r="R233" s="905" t="str">
        <f>IF(SUMIFS('Bilateral Assistance, MAIN DATA'!N:N,'Bilateral Assistance, MAIN DATA'!I:I,'Price List, Weapons &amp; Items'!B233)&gt;M233,1,".")</f>
        <v>.</v>
      </c>
    </row>
    <row r="234" spans="1:18" ht="15" customHeight="1">
      <c r="B234" s="901" t="s">
        <v>2632</v>
      </c>
      <c r="C234" s="898" t="s">
        <v>5099</v>
      </c>
      <c r="D234" s="899" t="s">
        <v>5198</v>
      </c>
      <c r="E234" s="900">
        <v>0</v>
      </c>
      <c r="F234" s="900">
        <f t="shared" si="21"/>
        <v>0</v>
      </c>
      <c r="G234" s="892">
        <v>40000</v>
      </c>
      <c r="H234" s="908" t="str">
        <f t="shared" si="24"/>
        <v>USD</v>
      </c>
      <c r="I234" s="886" t="s">
        <v>5432</v>
      </c>
      <c r="J234" s="901" t="s">
        <v>5080</v>
      </c>
      <c r="K234" s="901" t="s">
        <v>5434</v>
      </c>
      <c r="L234" s="905">
        <f t="shared" si="22"/>
        <v>2</v>
      </c>
      <c r="M234" s="909">
        <f>SUMIFS('Bilateral Assistance, MAIN DATA'!M:M,'Bilateral Assistance, MAIN DATA'!I:I,'Price List, Weapons &amp; Items'!B234)</f>
        <v>7667</v>
      </c>
      <c r="N234" s="71">
        <f>COUNTIFS('Bilateral Assistance, MAIN DATA'!M:M,"undisclosed",'Bilateral Assistance, MAIN DATA'!I:I,'Price List, Weapons &amp; Items'!B234)</f>
        <v>0</v>
      </c>
      <c r="O234" s="910">
        <f t="shared" si="23"/>
        <v>306680000</v>
      </c>
      <c r="P234" s="71">
        <f>IFERROR(IF(SEARCH(B234,_xlfn.ARRAYTOTEXT('Bilateral Assistance, MAIN DATA'!I$1:I$2206))&gt;0,1,""),0)</f>
        <v>0</v>
      </c>
      <c r="Q234" s="71">
        <f>IFERROR(IF(SEARCH(B234,_xlfn.ARRAYTOTEXT('Commercial Assistance'!I$1:I$1400))&gt;0,1,""),0)</f>
        <v>0</v>
      </c>
      <c r="R234" s="905" t="str">
        <f>IF(SUMIFS('Bilateral Assistance, MAIN DATA'!N:N,'Bilateral Assistance, MAIN DATA'!I:I,'Price List, Weapons &amp; Items'!B234)&gt;M234,1,".")</f>
        <v>.</v>
      </c>
    </row>
    <row r="235" spans="1:18" ht="15" customHeight="1">
      <c r="B235" s="912" t="s">
        <v>1100</v>
      </c>
      <c r="C235" s="898" t="s">
        <v>5099</v>
      </c>
      <c r="D235" s="899" t="s">
        <v>5198</v>
      </c>
      <c r="E235" s="900">
        <v>0</v>
      </c>
      <c r="F235" s="900">
        <v>1</v>
      </c>
      <c r="G235" s="892">
        <v>120000</v>
      </c>
      <c r="H235" s="908" t="s">
        <v>456</v>
      </c>
      <c r="I235" s="886" t="s">
        <v>5435</v>
      </c>
      <c r="J235" s="901" t="s">
        <v>364</v>
      </c>
      <c r="K235" s="901" t="s">
        <v>364</v>
      </c>
      <c r="L235" s="905">
        <f t="shared" si="22"/>
        <v>2</v>
      </c>
      <c r="M235" s="909">
        <f>SUMIFS('Bilateral Assistance, MAIN DATA'!M:M,'Bilateral Assistance, MAIN DATA'!I:I,'Price List, Weapons &amp; Items'!B235)</f>
        <v>2706</v>
      </c>
      <c r="N235" s="71">
        <f>COUNTIFS('Bilateral Assistance, MAIN DATA'!M:M,"undisclosed",'Bilateral Assistance, MAIN DATA'!I:I,'Price List, Weapons &amp; Items'!B235)</f>
        <v>0</v>
      </c>
      <c r="O235" s="910">
        <f t="shared" si="23"/>
        <v>324720000</v>
      </c>
      <c r="P235" s="71">
        <f>IFERROR(IF(SEARCH(B235,_xlfn.ARRAYTOTEXT('Bilateral Assistance, MAIN DATA'!I$1:I$2206))&gt;0,1,""),0)</f>
        <v>0</v>
      </c>
      <c r="Q235" s="71">
        <f>IFERROR(IF(SEARCH(B235,_xlfn.ARRAYTOTEXT('Commercial Assistance'!I$1:I$1400))&gt;0,1,""),0)</f>
        <v>0</v>
      </c>
      <c r="R235" s="905" t="str">
        <f>IF(SUMIFS('Bilateral Assistance, MAIN DATA'!N:N,'Bilateral Assistance, MAIN DATA'!I:I,'Price List, Weapons &amp; Items'!B235)&gt;M235,1,".")</f>
        <v>.</v>
      </c>
    </row>
    <row r="236" spans="1:18" ht="15" customHeight="1">
      <c r="B236" s="901" t="s">
        <v>3805</v>
      </c>
      <c r="C236" s="898" t="s">
        <v>5177</v>
      </c>
      <c r="D236" s="899" t="s">
        <v>5226</v>
      </c>
      <c r="E236" s="900">
        <v>0</v>
      </c>
      <c r="F236" s="900">
        <f t="shared" ref="F236:F299" si="25">IF(OR(D236="Armored Personnel Carrier (APC)",D236="Armored Recovery Vehicle (ARV)",D236="Armored Utility Vehicle (AUV)",D236="152mm howitzer ammunition",D236="155mm howitzer ammunition",D236="300mm MLRS ammunition",D236="155mm howitzer",D236="227mm MLRS ammunition",D236="Infantry fighting vehicle (IFV)",D236="152mm howitzer",D236="227mm MLRS",D236="Main Battle Tank (MBT)",D236="Protected Patrol Vehicle (PPV)",D236="127mm MLRS",D236="122mm MLRS",D236="122mm MLRS ammunition",D236="122mm MLRS",D236="127mm MLRS",D236="127mm MLRS ammunition")=TRUE,1,0)</f>
        <v>0</v>
      </c>
      <c r="G236" s="892">
        <v>20000</v>
      </c>
      <c r="H236" s="908" t="str">
        <f t="shared" ref="H236:H267" si="26">IF(G236&lt;&gt;".","USD",".")</f>
        <v>USD</v>
      </c>
      <c r="I236" s="886" t="s">
        <v>5436</v>
      </c>
      <c r="J236" s="901" t="s">
        <v>5080</v>
      </c>
      <c r="K236" s="901" t="s">
        <v>5437</v>
      </c>
      <c r="L236" s="905">
        <f t="shared" si="22"/>
        <v>2</v>
      </c>
      <c r="M236" s="909">
        <f>SUMIFS('Bilateral Assistance, MAIN DATA'!M:M,'Bilateral Assistance, MAIN DATA'!I:I,'Price List, Weapons &amp; Items'!B236)</f>
        <v>6000</v>
      </c>
      <c r="N236" s="71">
        <f>COUNTIFS('Bilateral Assistance, MAIN DATA'!M:M,"undisclosed",'Bilateral Assistance, MAIN DATA'!I:I,'Price List, Weapons &amp; Items'!B236)</f>
        <v>0</v>
      </c>
      <c r="O236" s="910">
        <f t="shared" si="23"/>
        <v>120000000</v>
      </c>
      <c r="P236" s="71">
        <f>IFERROR(IF(SEARCH(B236,_xlfn.ARRAYTOTEXT('Bilateral Assistance, MAIN DATA'!I$1:I$2206))&gt;0,1,""),0)</f>
        <v>0</v>
      </c>
      <c r="Q236" s="71">
        <f>IFERROR(IF(SEARCH(B236,_xlfn.ARRAYTOTEXT('Commercial Assistance'!I$1:I$1400))&gt;0,1,""),0)</f>
        <v>0</v>
      </c>
      <c r="R236" s="905" t="str">
        <f>IF(SUMIFS('Bilateral Assistance, MAIN DATA'!N:N,'Bilateral Assistance, MAIN DATA'!I:I,'Price List, Weapons &amp; Items'!B236)&gt;M236,1,".")</f>
        <v>.</v>
      </c>
    </row>
    <row r="237" spans="1:18" ht="15" customHeight="1">
      <c r="B237" s="915" t="s">
        <v>3442</v>
      </c>
      <c r="C237" s="898" t="s">
        <v>5099</v>
      </c>
      <c r="D237" s="899" t="s">
        <v>5438</v>
      </c>
      <c r="E237" s="900">
        <v>0</v>
      </c>
      <c r="F237" s="900">
        <f t="shared" si="25"/>
        <v>0</v>
      </c>
      <c r="G237" s="892">
        <v>20000</v>
      </c>
      <c r="H237" s="908" t="str">
        <f t="shared" si="26"/>
        <v>USD</v>
      </c>
      <c r="I237" s="885" t="s">
        <v>5439</v>
      </c>
      <c r="J237" s="901" t="s">
        <v>5089</v>
      </c>
      <c r="K237" s="901" t="s">
        <v>5440</v>
      </c>
      <c r="L237" s="905">
        <f t="shared" si="22"/>
        <v>2</v>
      </c>
      <c r="M237" s="909">
        <f>SUMIFS('Bilateral Assistance, MAIN DATA'!M:M,'Bilateral Assistance, MAIN DATA'!I:I,'Price List, Weapons &amp; Items'!B237)</f>
        <v>1370</v>
      </c>
      <c r="N237" s="71">
        <f>COUNTIFS('Bilateral Assistance, MAIN DATA'!M:M,"undisclosed",'Bilateral Assistance, MAIN DATA'!I:I,'Price List, Weapons &amp; Items'!B237)</f>
        <v>0</v>
      </c>
      <c r="O237" s="910">
        <f t="shared" si="23"/>
        <v>27400000</v>
      </c>
      <c r="P237" s="71">
        <f>IFERROR(IF(SEARCH(B237,_xlfn.ARRAYTOTEXT('Bilateral Assistance, MAIN DATA'!I$1:I$2206))&gt;0,1,""),0)</f>
        <v>0</v>
      </c>
      <c r="Q237" s="71">
        <f>IFERROR(IF(SEARCH(B237,_xlfn.ARRAYTOTEXT('Commercial Assistance'!I$1:I$1400))&gt;0,1,""),0)</f>
        <v>0</v>
      </c>
      <c r="R237" s="905" t="str">
        <f>IF(SUMIFS('Bilateral Assistance, MAIN DATA'!N:N,'Bilateral Assistance, MAIN DATA'!I:I,'Price List, Weapons &amp; Items'!B237)&gt;M237,1,".")</f>
        <v>.</v>
      </c>
    </row>
    <row r="238" spans="1:18" ht="15" customHeight="1">
      <c r="B238" s="901" t="s">
        <v>3024</v>
      </c>
      <c r="C238" s="898" t="s">
        <v>5056</v>
      </c>
      <c r="D238" s="899" t="s">
        <v>5169</v>
      </c>
      <c r="E238" s="900">
        <v>0</v>
      </c>
      <c r="F238" s="900">
        <f t="shared" si="25"/>
        <v>0</v>
      </c>
      <c r="G238" s="892">
        <v>10658</v>
      </c>
      <c r="H238" s="908" t="str">
        <f t="shared" si="26"/>
        <v>USD</v>
      </c>
      <c r="I238" s="886" t="s">
        <v>5441</v>
      </c>
      <c r="J238" s="901" t="s">
        <v>5082</v>
      </c>
      <c r="K238" s="901" t="s">
        <v>5442</v>
      </c>
      <c r="L238" s="905">
        <f t="shared" si="22"/>
        <v>1</v>
      </c>
      <c r="M238" s="909">
        <f>SUMIFS('Bilateral Assistance, MAIN DATA'!M:M,'Bilateral Assistance, MAIN DATA'!I:I,'Price List, Weapons &amp; Items'!B238)</f>
        <v>100</v>
      </c>
      <c r="N238" s="71">
        <f>COUNTIFS('Bilateral Assistance, MAIN DATA'!M:M,"undisclosed",'Bilateral Assistance, MAIN DATA'!I:I,'Price List, Weapons &amp; Items'!B238)</f>
        <v>0</v>
      </c>
      <c r="O238" s="910">
        <f t="shared" si="23"/>
        <v>1065800</v>
      </c>
      <c r="P238" s="71">
        <f>IFERROR(IF(SEARCH(B238,_xlfn.ARRAYTOTEXT('Bilateral Assistance, MAIN DATA'!I$1:I$2206))&gt;0,1,""),0)</f>
        <v>0</v>
      </c>
      <c r="Q238" s="71">
        <f>IFERROR(IF(SEARCH(B238,_xlfn.ARRAYTOTEXT('Commercial Assistance'!I$1:I$1400))&gt;0,1,""),0)</f>
        <v>0</v>
      </c>
      <c r="R238" s="905" t="str">
        <f>IF(SUMIFS('Bilateral Assistance, MAIN DATA'!N:N,'Bilateral Assistance, MAIN DATA'!I:I,'Price List, Weapons &amp; Items'!B238)&gt;M238,1,".")</f>
        <v>.</v>
      </c>
    </row>
    <row r="239" spans="1:18" ht="15" customHeight="1">
      <c r="B239" s="901" t="s">
        <v>1902</v>
      </c>
      <c r="C239" s="898" t="s">
        <v>5099</v>
      </c>
      <c r="D239" s="899" t="s">
        <v>5198</v>
      </c>
      <c r="E239" s="900">
        <v>0</v>
      </c>
      <c r="F239" s="900">
        <f t="shared" si="25"/>
        <v>0</v>
      </c>
      <c r="G239" s="892">
        <v>11108</v>
      </c>
      <c r="H239" s="908" t="str">
        <f t="shared" si="26"/>
        <v>USD</v>
      </c>
      <c r="I239" s="886" t="s">
        <v>5443</v>
      </c>
      <c r="J239" s="901" t="s">
        <v>5082</v>
      </c>
      <c r="K239" s="917" t="s">
        <v>5444</v>
      </c>
      <c r="L239" s="905">
        <f t="shared" si="22"/>
        <v>2</v>
      </c>
      <c r="M239" s="909">
        <f>SUMIFS('Bilateral Assistance, MAIN DATA'!M:M,'Bilateral Assistance, MAIN DATA'!I:I,'Price List, Weapons &amp; Items'!B239)</f>
        <v>3050</v>
      </c>
      <c r="N239" s="71">
        <f>COUNTIFS('Bilateral Assistance, MAIN DATA'!M:M,"undisclosed",'Bilateral Assistance, MAIN DATA'!I:I,'Price List, Weapons &amp; Items'!B239)</f>
        <v>0</v>
      </c>
      <c r="O239" s="910">
        <f t="shared" si="23"/>
        <v>33879400</v>
      </c>
      <c r="P239" s="71">
        <f>IFERROR(IF(SEARCH(B239,_xlfn.ARRAYTOTEXT('Bilateral Assistance, MAIN DATA'!I$1:I$2206))&gt;0,1,""),0)</f>
        <v>0</v>
      </c>
      <c r="Q239" s="71">
        <f>IFERROR(IF(SEARCH(B239,_xlfn.ARRAYTOTEXT('Commercial Assistance'!I$1:I$1400))&gt;0,1,""),0)</f>
        <v>0</v>
      </c>
      <c r="R239" s="905" t="str">
        <f>IF(SUMIFS('Bilateral Assistance, MAIN DATA'!N:N,'Bilateral Assistance, MAIN DATA'!I:I,'Price List, Weapons &amp; Items'!B239)&gt;M239,1,".")</f>
        <v>.</v>
      </c>
    </row>
    <row r="240" spans="1:18" ht="15" customHeight="1">
      <c r="B240" s="915" t="s">
        <v>2704</v>
      </c>
      <c r="C240" s="898" t="s">
        <v>5056</v>
      </c>
      <c r="D240" s="899" t="s">
        <v>5069</v>
      </c>
      <c r="E240" s="900">
        <v>0</v>
      </c>
      <c r="F240" s="900">
        <f t="shared" si="25"/>
        <v>0</v>
      </c>
      <c r="G240" s="892">
        <v>8374.57</v>
      </c>
      <c r="H240" s="908" t="str">
        <f t="shared" si="26"/>
        <v>USD</v>
      </c>
      <c r="I240" s="885" t="s">
        <v>5445</v>
      </c>
      <c r="J240" s="901" t="s">
        <v>5086</v>
      </c>
      <c r="K240" s="1356" t="s">
        <v>5446</v>
      </c>
      <c r="L240" s="905">
        <f t="shared" si="22"/>
        <v>1</v>
      </c>
      <c r="M240" s="909">
        <f>SUMIFS('Bilateral Assistance, MAIN DATA'!M:M,'Bilateral Assistance, MAIN DATA'!I:I,'Price List, Weapons &amp; Items'!B240)</f>
        <v>90</v>
      </c>
      <c r="N240" s="71">
        <f>COUNTIFS('Bilateral Assistance, MAIN DATA'!M:M,"undisclosed",'Bilateral Assistance, MAIN DATA'!I:I,'Price List, Weapons &amp; Items'!B240)</f>
        <v>0</v>
      </c>
      <c r="O240" s="910">
        <f t="shared" si="23"/>
        <v>753711.29999999993</v>
      </c>
      <c r="P240" s="71">
        <f>IFERROR(IF(SEARCH(B240,_xlfn.ARRAYTOTEXT('Bilateral Assistance, MAIN DATA'!I$1:I$2206))&gt;0,1,""),0)</f>
        <v>0</v>
      </c>
      <c r="Q240" s="71">
        <f>IFERROR(IF(SEARCH(B240,_xlfn.ARRAYTOTEXT('Commercial Assistance'!I$1:I$1400))&gt;0,1,""),0)</f>
        <v>0</v>
      </c>
      <c r="R240" s="905" t="str">
        <f>IF(SUMIFS('Bilateral Assistance, MAIN DATA'!N:N,'Bilateral Assistance, MAIN DATA'!I:I,'Price List, Weapons &amp; Items'!B240)&gt;M240,1,".")</f>
        <v>.</v>
      </c>
    </row>
    <row r="241" spans="2:18" ht="15" customHeight="1">
      <c r="B241" s="912" t="s">
        <v>1405</v>
      </c>
      <c r="C241" s="898" t="s">
        <v>1105</v>
      </c>
      <c r="D241" s="898" t="s">
        <v>1105</v>
      </c>
      <c r="E241" s="900">
        <v>0</v>
      </c>
      <c r="F241" s="900">
        <f t="shared" si="25"/>
        <v>0</v>
      </c>
      <c r="G241" s="892">
        <v>2320</v>
      </c>
      <c r="H241" s="908" t="str">
        <f t="shared" si="26"/>
        <v>USD</v>
      </c>
      <c r="I241" s="890" t="s">
        <v>5447</v>
      </c>
      <c r="J241" s="901" t="s">
        <v>5080</v>
      </c>
      <c r="K241" s="917" t="s">
        <v>5448</v>
      </c>
      <c r="L241" s="905">
        <f t="shared" si="22"/>
        <v>2</v>
      </c>
      <c r="M241" s="909">
        <f>SUMIFS('Bilateral Assistance, MAIN DATA'!M:M,'Bilateral Assistance, MAIN DATA'!I:I,'Price List, Weapons &amp; Items'!B241)</f>
        <v>7470</v>
      </c>
      <c r="N241" s="71">
        <f>COUNTIFS('Bilateral Assistance, MAIN DATA'!M:M,"undisclosed",'Bilateral Assistance, MAIN DATA'!I:I,'Price List, Weapons &amp; Items'!B241)</f>
        <v>16</v>
      </c>
      <c r="O241" s="910">
        <f t="shared" si="23"/>
        <v>17330400</v>
      </c>
      <c r="P241" s="71">
        <f>IFERROR(IF(SEARCH(B241,_xlfn.ARRAYTOTEXT('Bilateral Assistance, MAIN DATA'!I$1:I$2206))&gt;0,1,""),0)</f>
        <v>0</v>
      </c>
      <c r="Q241" s="71">
        <f>IFERROR(IF(SEARCH(B241,_xlfn.ARRAYTOTEXT('Commercial Assistance'!I$1:I$1400))&gt;0,1,""),0)</f>
        <v>0</v>
      </c>
      <c r="R241" s="905" t="str">
        <f>IF(SUMIFS('Bilateral Assistance, MAIN DATA'!N:N,'Bilateral Assistance, MAIN DATA'!I:I,'Price List, Weapons &amp; Items'!B241)&gt;M241,1,".")</f>
        <v>.</v>
      </c>
    </row>
    <row r="242" spans="2:18" ht="15" customHeight="1">
      <c r="B242" s="912" t="s">
        <v>4179</v>
      </c>
      <c r="C242" s="898" t="s">
        <v>1105</v>
      </c>
      <c r="D242" s="898" t="s">
        <v>1105</v>
      </c>
      <c r="E242" s="900">
        <v>0</v>
      </c>
      <c r="F242" s="900">
        <f t="shared" si="25"/>
        <v>0</v>
      </c>
      <c r="G242" s="892">
        <v>51404</v>
      </c>
      <c r="H242" s="908" t="str">
        <f t="shared" si="26"/>
        <v>USD</v>
      </c>
      <c r="I242" s="885" t="s">
        <v>5449</v>
      </c>
      <c r="J242" s="901" t="s">
        <v>5075</v>
      </c>
      <c r="K242" s="901" t="s">
        <v>5450</v>
      </c>
      <c r="L242" s="905">
        <f t="shared" si="22"/>
        <v>2</v>
      </c>
      <c r="M242" s="909">
        <f>SUMIFS('Bilateral Assistance, MAIN DATA'!M:M,'Bilateral Assistance, MAIN DATA'!I:I,'Price List, Weapons &amp; Items'!B242)</f>
        <v>2038</v>
      </c>
      <c r="N242" s="71">
        <f>COUNTIFS('Bilateral Assistance, MAIN DATA'!M:M,"undisclosed",'Bilateral Assistance, MAIN DATA'!I:I,'Price List, Weapons &amp; Items'!B242)</f>
        <v>2</v>
      </c>
      <c r="O242" s="910">
        <f t="shared" si="23"/>
        <v>104761352</v>
      </c>
      <c r="P242" s="71">
        <f>IFERROR(IF(SEARCH(B242,_xlfn.ARRAYTOTEXT('Bilateral Assistance, MAIN DATA'!I$1:I$2206))&gt;0,1,""),0)</f>
        <v>0</v>
      </c>
      <c r="Q242" s="71">
        <f>IFERROR(IF(SEARCH(B242,_xlfn.ARRAYTOTEXT('Commercial Assistance'!I$1:I$1400))&gt;0,1,""),0)</f>
        <v>0</v>
      </c>
      <c r="R242" s="905" t="str">
        <f>IF(SUMIFS('Bilateral Assistance, MAIN DATA'!N:N,'Bilateral Assistance, MAIN DATA'!I:I,'Price List, Weapons &amp; Items'!B242)&gt;M242,1,".")</f>
        <v>.</v>
      </c>
    </row>
    <row r="243" spans="2:18" ht="15" customHeight="1">
      <c r="B243" s="901" t="s">
        <v>3867</v>
      </c>
      <c r="C243" s="898" t="s">
        <v>5070</v>
      </c>
      <c r="D243" s="899" t="s">
        <v>1324</v>
      </c>
      <c r="E243" s="900">
        <v>0</v>
      </c>
      <c r="F243" s="900">
        <f t="shared" si="25"/>
        <v>0</v>
      </c>
      <c r="G243" s="892">
        <v>6000</v>
      </c>
      <c r="H243" s="908" t="str">
        <f t="shared" si="26"/>
        <v>USD</v>
      </c>
      <c r="I243" s="886" t="s">
        <v>5451</v>
      </c>
      <c r="J243" s="901" t="s">
        <v>5089</v>
      </c>
      <c r="K243" s="901" t="s">
        <v>5452</v>
      </c>
      <c r="L243" s="905">
        <f t="shared" si="22"/>
        <v>2</v>
      </c>
      <c r="M243" s="909">
        <f>SUMIFS('Bilateral Assistance, MAIN DATA'!M:M,'Bilateral Assistance, MAIN DATA'!I:I,'Price List, Weapons &amp; Items'!B243)</f>
        <v>1350</v>
      </c>
      <c r="N243" s="71">
        <f>COUNTIFS('Bilateral Assistance, MAIN DATA'!M:M,"undisclosed",'Bilateral Assistance, MAIN DATA'!I:I,'Price List, Weapons &amp; Items'!B243)</f>
        <v>1</v>
      </c>
      <c r="O243" s="910">
        <f t="shared" si="23"/>
        <v>8100000</v>
      </c>
      <c r="P243" s="71">
        <f>IFERROR(IF(SEARCH(B243,_xlfn.ARRAYTOTEXT('Bilateral Assistance, MAIN DATA'!I$1:I$2206))&gt;0,1,""),0)</f>
        <v>0</v>
      </c>
      <c r="Q243" s="71">
        <f>IFERROR(IF(SEARCH(B243,_xlfn.ARRAYTOTEXT('Commercial Assistance'!I$1:I$1400))&gt;0,1,""),0)</f>
        <v>0</v>
      </c>
      <c r="R243" s="905" t="str">
        <f>IF(SUMIFS('Bilateral Assistance, MAIN DATA'!N:N,'Bilateral Assistance, MAIN DATA'!I:I,'Price List, Weapons &amp; Items'!B243)&gt;M243,1,".")</f>
        <v>.</v>
      </c>
    </row>
    <row r="244" spans="2:18" ht="15" customHeight="1">
      <c r="B244" s="912" t="s">
        <v>4025</v>
      </c>
      <c r="C244" s="898" t="s">
        <v>5070</v>
      </c>
      <c r="D244" s="899" t="s">
        <v>1324</v>
      </c>
      <c r="E244" s="900">
        <v>0</v>
      </c>
      <c r="F244" s="900">
        <f t="shared" si="25"/>
        <v>0</v>
      </c>
      <c r="G244" s="892">
        <v>6000</v>
      </c>
      <c r="H244" s="908" t="str">
        <f t="shared" si="26"/>
        <v>USD</v>
      </c>
      <c r="I244" s="886" t="s">
        <v>5451</v>
      </c>
      <c r="J244" s="901" t="s">
        <v>5089</v>
      </c>
      <c r="K244" s="901" t="s">
        <v>5452</v>
      </c>
      <c r="L244" s="905">
        <f t="shared" si="22"/>
        <v>2</v>
      </c>
      <c r="M244" s="909">
        <f>SUMIFS('Bilateral Assistance, MAIN DATA'!M:M,'Bilateral Assistance, MAIN DATA'!I:I,'Price List, Weapons &amp; Items'!B244)</f>
        <v>900</v>
      </c>
      <c r="N244" s="71">
        <f>COUNTIFS('Bilateral Assistance, MAIN DATA'!M:M,"undisclosed",'Bilateral Assistance, MAIN DATA'!I:I,'Price List, Weapons &amp; Items'!B244)</f>
        <v>1</v>
      </c>
      <c r="O244" s="910">
        <f t="shared" si="23"/>
        <v>5400000</v>
      </c>
      <c r="P244" s="71">
        <f>IFERROR(IF(SEARCH(B244,_xlfn.ARRAYTOTEXT('Bilateral Assistance, MAIN DATA'!I$1:I$2206))&gt;0,1,""),0)</f>
        <v>0</v>
      </c>
      <c r="Q244" s="71">
        <f>IFERROR(IF(SEARCH(B244,_xlfn.ARRAYTOTEXT('Commercial Assistance'!I$1:I$1400))&gt;0,1,""),0)</f>
        <v>0</v>
      </c>
      <c r="R244" s="905" t="str">
        <f>IF(SUMIFS('Bilateral Assistance, MAIN DATA'!N:N,'Bilateral Assistance, MAIN DATA'!I:I,'Price List, Weapons &amp; Items'!B244)&gt;M244,1,".")</f>
        <v>.</v>
      </c>
    </row>
    <row r="245" spans="2:18" ht="15" customHeight="1">
      <c r="B245" s="916" t="s">
        <v>1839</v>
      </c>
      <c r="C245" s="898" t="s">
        <v>5099</v>
      </c>
      <c r="D245" s="899" t="s">
        <v>5198</v>
      </c>
      <c r="E245" s="900">
        <v>0</v>
      </c>
      <c r="F245" s="900">
        <f t="shared" si="25"/>
        <v>0</v>
      </c>
      <c r="G245" s="892">
        <f>27400000/5100</f>
        <v>5372.5490196078435</v>
      </c>
      <c r="H245" s="908" t="str">
        <f t="shared" si="26"/>
        <v>USD</v>
      </c>
      <c r="I245" s="885" t="s">
        <v>5453</v>
      </c>
      <c r="J245" s="901" t="s">
        <v>5080</v>
      </c>
      <c r="K245" s="901" t="s">
        <v>5454</v>
      </c>
      <c r="L245" s="905">
        <f t="shared" si="22"/>
        <v>2</v>
      </c>
      <c r="M245" s="909">
        <f>SUMIFS('Bilateral Assistance, MAIN DATA'!M:M,'Bilateral Assistance, MAIN DATA'!I:I,'Price List, Weapons &amp; Items'!B245)</f>
        <v>7944</v>
      </c>
      <c r="N245" s="71">
        <f>COUNTIFS('Bilateral Assistance, MAIN DATA'!M:M,"undisclosed",'Bilateral Assistance, MAIN DATA'!I:I,'Price List, Weapons &amp; Items'!B245)</f>
        <v>0</v>
      </c>
      <c r="O245" s="910">
        <f t="shared" si="23"/>
        <v>42679529.411764711</v>
      </c>
      <c r="P245" s="71">
        <f>IFERROR(IF(SEARCH(B245,_xlfn.ARRAYTOTEXT('Bilateral Assistance, MAIN DATA'!I$1:I$2206))&gt;0,1,""),0)</f>
        <v>0</v>
      </c>
      <c r="Q245" s="71">
        <f>IFERROR(IF(SEARCH(B245,_xlfn.ARRAYTOTEXT('Commercial Assistance'!I$1:I$1400))&gt;0,1,""),0)</f>
        <v>0</v>
      </c>
      <c r="R245" s="905" t="str">
        <f>IF(SUMIFS('Bilateral Assistance, MAIN DATA'!N:N,'Bilateral Assistance, MAIN DATA'!I:I,'Price List, Weapons &amp; Items'!B245)&gt;M245,1,".")</f>
        <v>.</v>
      </c>
    </row>
    <row r="246" spans="2:18" ht="15" customHeight="1">
      <c r="B246" s="901" t="s">
        <v>1289</v>
      </c>
      <c r="C246" s="898" t="s">
        <v>5056</v>
      </c>
      <c r="D246" s="899" t="s">
        <v>5069</v>
      </c>
      <c r="E246" s="900">
        <v>0</v>
      </c>
      <c r="F246" s="900">
        <f t="shared" si="25"/>
        <v>0</v>
      </c>
      <c r="G246" s="892">
        <v>5300</v>
      </c>
      <c r="H246" s="908" t="str">
        <f t="shared" si="26"/>
        <v>USD</v>
      </c>
      <c r="I246" s="886" t="s">
        <v>5188</v>
      </c>
      <c r="J246" s="901" t="s">
        <v>5089</v>
      </c>
      <c r="K246" s="901" t="s">
        <v>5090</v>
      </c>
      <c r="L246" s="905">
        <f t="shared" si="22"/>
        <v>2</v>
      </c>
      <c r="M246" s="909">
        <f>SUMIFS('Bilateral Assistance, MAIN DATA'!M:M,'Bilateral Assistance, MAIN DATA'!I:I,'Price List, Weapons &amp; Items'!B246)</f>
        <v>2610</v>
      </c>
      <c r="N246" s="71">
        <f>COUNTIFS('Bilateral Assistance, MAIN DATA'!M:M,"undisclosed",'Bilateral Assistance, MAIN DATA'!I:I,'Price List, Weapons &amp; Items'!B246)</f>
        <v>2</v>
      </c>
      <c r="O246" s="910">
        <f t="shared" si="23"/>
        <v>13833000</v>
      </c>
      <c r="P246" s="71">
        <f>IFERROR(IF(SEARCH(B246,_xlfn.ARRAYTOTEXT('Bilateral Assistance, MAIN DATA'!I$1:I$2206))&gt;0,1,""),0)</f>
        <v>0</v>
      </c>
      <c r="Q246" s="71">
        <f>IFERROR(IF(SEARCH(B246,_xlfn.ARRAYTOTEXT('Commercial Assistance'!I$1:I$1400))&gt;0,1,""),0)</f>
        <v>0</v>
      </c>
      <c r="R246" s="905" t="str">
        <f>IF(SUMIFS('Bilateral Assistance, MAIN DATA'!N:N,'Bilateral Assistance, MAIN DATA'!I:I,'Price List, Weapons &amp; Items'!B246)&gt;M246,1,".")</f>
        <v>.</v>
      </c>
    </row>
    <row r="247" spans="2:18" ht="15" customHeight="1">
      <c r="B247" s="912" t="s">
        <v>1027</v>
      </c>
      <c r="C247" s="898" t="s">
        <v>5056</v>
      </c>
      <c r="D247" s="899" t="s">
        <v>5069</v>
      </c>
      <c r="E247" s="900">
        <v>0</v>
      </c>
      <c r="F247" s="900">
        <f t="shared" si="25"/>
        <v>0</v>
      </c>
      <c r="G247" s="892">
        <v>5175</v>
      </c>
      <c r="H247" s="908" t="str">
        <f t="shared" si="26"/>
        <v>USD</v>
      </c>
      <c r="I247" s="886" t="s">
        <v>5455</v>
      </c>
      <c r="J247" s="901" t="s">
        <v>5086</v>
      </c>
      <c r="K247" s="901" t="s">
        <v>5456</v>
      </c>
      <c r="L247" s="905">
        <f t="shared" si="22"/>
        <v>2</v>
      </c>
      <c r="M247" s="909">
        <f>SUMIFS('Bilateral Assistance, MAIN DATA'!M:M,'Bilateral Assistance, MAIN DATA'!I:I,'Price List, Weapons &amp; Items'!B247)</f>
        <v>3200</v>
      </c>
      <c r="N247" s="71">
        <f>COUNTIFS('Bilateral Assistance, MAIN DATA'!M:M,"undisclosed",'Bilateral Assistance, MAIN DATA'!I:I,'Price List, Weapons &amp; Items'!B247)</f>
        <v>0</v>
      </c>
      <c r="O247" s="910">
        <f t="shared" si="23"/>
        <v>16560000</v>
      </c>
      <c r="P247" s="71">
        <f>IFERROR(IF(SEARCH(B247,_xlfn.ARRAYTOTEXT('Bilateral Assistance, MAIN DATA'!I$1:I$2206))&gt;0,1,""),0)</f>
        <v>0</v>
      </c>
      <c r="Q247" s="71">
        <f>IFERROR(IF(SEARCH(B247,_xlfn.ARRAYTOTEXT('Commercial Assistance'!I$1:I$1400))&gt;0,1,""),0)</f>
        <v>0</v>
      </c>
      <c r="R247" s="905" t="str">
        <f>IF(SUMIFS('Bilateral Assistance, MAIN DATA'!N:N,'Bilateral Assistance, MAIN DATA'!I:I,'Price List, Weapons &amp; Items'!B247)&gt;M247,1,".")</f>
        <v>.</v>
      </c>
    </row>
    <row r="248" spans="2:18" ht="15" customHeight="1">
      <c r="B248" s="915" t="s">
        <v>1040</v>
      </c>
      <c r="C248" s="898" t="s">
        <v>5056</v>
      </c>
      <c r="D248" s="899" t="s">
        <v>5069</v>
      </c>
      <c r="E248" s="900">
        <v>0</v>
      </c>
      <c r="F248" s="900">
        <f t="shared" si="25"/>
        <v>0</v>
      </c>
      <c r="G248" s="892">
        <v>52687</v>
      </c>
      <c r="H248" s="908" t="str">
        <f t="shared" si="26"/>
        <v>USD</v>
      </c>
      <c r="I248" s="885" t="s">
        <v>5457</v>
      </c>
      <c r="J248" s="901" t="s">
        <v>5075</v>
      </c>
      <c r="K248" s="901" t="s">
        <v>5458</v>
      </c>
      <c r="L248" s="905">
        <f t="shared" si="22"/>
        <v>1</v>
      </c>
      <c r="M248" s="909">
        <f>SUMIFS('Bilateral Assistance, MAIN DATA'!M:M,'Bilateral Assistance, MAIN DATA'!I:I,'Price List, Weapons &amp; Items'!B248)</f>
        <v>20</v>
      </c>
      <c r="N248" s="71">
        <f>COUNTIFS('Bilateral Assistance, MAIN DATA'!M:M,"undisclosed",'Bilateral Assistance, MAIN DATA'!I:I,'Price List, Weapons &amp; Items'!B248)</f>
        <v>0</v>
      </c>
      <c r="O248" s="910">
        <f t="shared" si="23"/>
        <v>1053740</v>
      </c>
      <c r="P248" s="71">
        <f>IFERROR(IF(SEARCH(B248,_xlfn.ARRAYTOTEXT('Bilateral Assistance, MAIN DATA'!I$1:I$2206))&gt;0,1,""),0)</f>
        <v>0</v>
      </c>
      <c r="Q248" s="71">
        <f>IFERROR(IF(SEARCH(B248,_xlfn.ARRAYTOTEXT('Commercial Assistance'!I$1:I$1400))&gt;0,1,""),0)</f>
        <v>0</v>
      </c>
      <c r="R248" s="905" t="str">
        <f>IF(SUMIFS('Bilateral Assistance, MAIN DATA'!N:N,'Bilateral Assistance, MAIN DATA'!I:I,'Price List, Weapons &amp; Items'!B248)&gt;M248,1,".")</f>
        <v>.</v>
      </c>
    </row>
    <row r="249" spans="2:18" ht="15" customHeight="1">
      <c r="B249" s="901" t="s">
        <v>856</v>
      </c>
      <c r="C249" s="898" t="s">
        <v>5059</v>
      </c>
      <c r="D249" s="899" t="s">
        <v>5060</v>
      </c>
      <c r="E249" s="900">
        <v>0</v>
      </c>
      <c r="F249" s="900">
        <f t="shared" si="25"/>
        <v>1</v>
      </c>
      <c r="G249" s="892">
        <v>3800</v>
      </c>
      <c r="H249" s="908" t="str">
        <f t="shared" si="26"/>
        <v>USD</v>
      </c>
      <c r="I249" s="885" t="s">
        <v>5223</v>
      </c>
      <c r="J249" s="901" t="s">
        <v>5119</v>
      </c>
      <c r="K249" s="901" t="s">
        <v>5459</v>
      </c>
      <c r="L249" s="905">
        <f t="shared" si="22"/>
        <v>2</v>
      </c>
      <c r="M249" s="909">
        <f>SUMIFS('Bilateral Assistance, MAIN DATA'!M:M,'Bilateral Assistance, MAIN DATA'!I:I,'Price List, Weapons &amp; Items'!B249)</f>
        <v>1072850</v>
      </c>
      <c r="N249" s="71">
        <f>COUNTIFS('Bilateral Assistance, MAIN DATA'!M:M,"undisclosed",'Bilateral Assistance, MAIN DATA'!I:I,'Price List, Weapons &amp; Items'!B249)</f>
        <v>15</v>
      </c>
      <c r="O249" s="910">
        <f t="shared" si="23"/>
        <v>4076830000</v>
      </c>
      <c r="P249" s="71">
        <f>IFERROR(IF(SEARCH(B249,_xlfn.ARRAYTOTEXT('Bilateral Assistance, MAIN DATA'!I$1:I$2206))&gt;0,1,""),0)</f>
        <v>0</v>
      </c>
      <c r="Q249" s="71">
        <f>IFERROR(IF(SEARCH(B249,_xlfn.ARRAYTOTEXT('Commercial Assistance'!I$1:I$1400))&gt;0,1,""),0)</f>
        <v>0</v>
      </c>
      <c r="R249" s="905" t="str">
        <f>IF(SUMIFS('Bilateral Assistance, MAIN DATA'!N:N,'Bilateral Assistance, MAIN DATA'!I:I,'Price List, Weapons &amp; Items'!B249)&gt;M249,1,".")</f>
        <v>.</v>
      </c>
    </row>
    <row r="250" spans="2:18" ht="15" customHeight="1">
      <c r="B250" s="901" t="s">
        <v>1669</v>
      </c>
      <c r="C250" s="898" t="s">
        <v>5059</v>
      </c>
      <c r="D250" s="899" t="s">
        <v>5060</v>
      </c>
      <c r="E250" s="900">
        <v>0</v>
      </c>
      <c r="F250" s="900">
        <f t="shared" si="25"/>
        <v>1</v>
      </c>
      <c r="G250" s="892">
        <v>3800</v>
      </c>
      <c r="H250" s="908" t="str">
        <f t="shared" si="26"/>
        <v>USD</v>
      </c>
      <c r="I250" s="885" t="s">
        <v>5223</v>
      </c>
      <c r="J250" s="901" t="s">
        <v>5119</v>
      </c>
      <c r="K250" s="901" t="s">
        <v>5459</v>
      </c>
      <c r="L250" s="905">
        <f t="shared" si="22"/>
        <v>2</v>
      </c>
      <c r="M250" s="909">
        <f>SUMIFS('Bilateral Assistance, MAIN DATA'!M:M,'Bilateral Assistance, MAIN DATA'!I:I,'Price List, Weapons &amp; Items'!B250)</f>
        <v>48000</v>
      </c>
      <c r="N250" s="71">
        <f>COUNTIFS('Bilateral Assistance, MAIN DATA'!M:M,"undisclosed",'Bilateral Assistance, MAIN DATA'!I:I,'Price List, Weapons &amp; Items'!B250)</f>
        <v>2</v>
      </c>
      <c r="O250" s="910">
        <f t="shared" si="23"/>
        <v>182400000</v>
      </c>
      <c r="P250" s="71">
        <f>IFERROR(IF(SEARCH(B250,_xlfn.ARRAYTOTEXT('Bilateral Assistance, MAIN DATA'!I$1:I$2206))&gt;0,1,""),0)</f>
        <v>0</v>
      </c>
      <c r="Q250" s="71">
        <f>IFERROR(IF(SEARCH(B250,_xlfn.ARRAYTOTEXT('Commercial Assistance'!I$1:I$1400))&gt;0,1,""),0)</f>
        <v>0</v>
      </c>
      <c r="R250" s="905" t="str">
        <f>IF(SUMIFS('Bilateral Assistance, MAIN DATA'!N:N,'Bilateral Assistance, MAIN DATA'!I:I,'Price List, Weapons &amp; Items'!B250)&gt;M250,1,".")</f>
        <v>.</v>
      </c>
    </row>
    <row r="251" spans="2:18" ht="15" customHeight="1">
      <c r="B251" s="901" t="s">
        <v>587</v>
      </c>
      <c r="C251" s="898" t="s">
        <v>5056</v>
      </c>
      <c r="D251" s="899" t="s">
        <v>5069</v>
      </c>
      <c r="E251" s="900">
        <v>0</v>
      </c>
      <c r="F251" s="900">
        <f t="shared" si="25"/>
        <v>0</v>
      </c>
      <c r="G251" s="892">
        <v>3000</v>
      </c>
      <c r="H251" s="908" t="str">
        <f t="shared" si="26"/>
        <v>USD</v>
      </c>
      <c r="I251" s="886" t="s">
        <v>5460</v>
      </c>
      <c r="J251" s="901" t="s">
        <v>5082</v>
      </c>
      <c r="K251" s="901" t="s">
        <v>5461</v>
      </c>
      <c r="L251" s="905">
        <f t="shared" si="22"/>
        <v>2</v>
      </c>
      <c r="M251" s="909">
        <f>SUMIFS('Bilateral Assistance, MAIN DATA'!M:M,'Bilateral Assistance, MAIN DATA'!I:I,'Price List, Weapons &amp; Items'!B251)</f>
        <v>5000</v>
      </c>
      <c r="N251" s="71">
        <f>COUNTIFS('Bilateral Assistance, MAIN DATA'!M:M,"undisclosed",'Bilateral Assistance, MAIN DATA'!I:I,'Price List, Weapons &amp; Items'!B251)</f>
        <v>0</v>
      </c>
      <c r="O251" s="910">
        <f t="shared" si="23"/>
        <v>15000000</v>
      </c>
      <c r="P251" s="71">
        <f>IFERROR(IF(SEARCH(B251,_xlfn.ARRAYTOTEXT('Bilateral Assistance, MAIN DATA'!I$1:I$2206))&gt;0,1,""),0)</f>
        <v>0</v>
      </c>
      <c r="Q251" s="71">
        <f>IFERROR(IF(SEARCH(B251,_xlfn.ARRAYTOTEXT('Commercial Assistance'!I$1:I$1400))&gt;0,1,""),0)</f>
        <v>0</v>
      </c>
      <c r="R251" s="905" t="str">
        <f>IF(SUMIFS('Bilateral Assistance, MAIN DATA'!N:N,'Bilateral Assistance, MAIN DATA'!I:I,'Price List, Weapons &amp; Items'!B251)&gt;M251,1,".")</f>
        <v>.</v>
      </c>
    </row>
    <row r="252" spans="2:18" ht="15" customHeight="1">
      <c r="B252" s="912" t="s">
        <v>1917</v>
      </c>
      <c r="C252" s="898" t="s">
        <v>1105</v>
      </c>
      <c r="D252" s="898" t="s">
        <v>1105</v>
      </c>
      <c r="E252" s="900">
        <v>0</v>
      </c>
      <c r="F252" s="900">
        <f t="shared" si="25"/>
        <v>0</v>
      </c>
      <c r="G252" s="892">
        <v>19500</v>
      </c>
      <c r="H252" s="908" t="str">
        <f t="shared" si="26"/>
        <v>USD</v>
      </c>
      <c r="I252" s="886" t="s">
        <v>5462</v>
      </c>
      <c r="J252" s="901" t="s">
        <v>5119</v>
      </c>
      <c r="K252" s="901" t="s">
        <v>5463</v>
      </c>
      <c r="L252" s="905">
        <f t="shared" si="22"/>
        <v>1</v>
      </c>
      <c r="M252" s="909">
        <f>SUMIFS('Bilateral Assistance, MAIN DATA'!M:M,'Bilateral Assistance, MAIN DATA'!I:I,'Price List, Weapons &amp; Items'!B252)</f>
        <v>60</v>
      </c>
      <c r="N252" s="71">
        <f>COUNTIFS('Bilateral Assistance, MAIN DATA'!M:M,"undisclosed",'Bilateral Assistance, MAIN DATA'!I:I,'Price List, Weapons &amp; Items'!B252)</f>
        <v>0</v>
      </c>
      <c r="O252" s="910">
        <f t="shared" si="23"/>
        <v>1170000</v>
      </c>
      <c r="P252" s="71">
        <f>IFERROR(IF(SEARCH(B252,_xlfn.ARRAYTOTEXT('Bilateral Assistance, MAIN DATA'!I$1:I$2206))&gt;0,1,""),0)</f>
        <v>0</v>
      </c>
      <c r="Q252" s="71">
        <f>IFERROR(IF(SEARCH(B252,_xlfn.ARRAYTOTEXT('Commercial Assistance'!I$1:I$1400))&gt;0,1,""),0)</f>
        <v>0</v>
      </c>
      <c r="R252" s="905" t="str">
        <f>IF(SUMIFS('Bilateral Assistance, MAIN DATA'!N:N,'Bilateral Assistance, MAIN DATA'!I:I,'Price List, Weapons &amp; Items'!B252)&gt;M252,1,".")</f>
        <v>.</v>
      </c>
    </row>
    <row r="253" spans="2:18" ht="15" customHeight="1">
      <c r="B253" s="901" t="s">
        <v>1377</v>
      </c>
      <c r="C253" s="898" t="s">
        <v>5177</v>
      </c>
      <c r="D253" s="899" t="s">
        <v>5464</v>
      </c>
      <c r="E253" s="900">
        <v>0</v>
      </c>
      <c r="F253" s="900">
        <f t="shared" si="25"/>
        <v>0</v>
      </c>
      <c r="G253" s="892">
        <v>1750</v>
      </c>
      <c r="H253" s="908" t="str">
        <f t="shared" si="26"/>
        <v>USD</v>
      </c>
      <c r="I253" s="886" t="s">
        <v>5203</v>
      </c>
      <c r="J253" s="901" t="s">
        <v>5082</v>
      </c>
      <c r="K253" s="901" t="s">
        <v>5465</v>
      </c>
      <c r="L253" s="905">
        <f t="shared" si="22"/>
        <v>2</v>
      </c>
      <c r="M253" s="909">
        <f>SUMIFS('Bilateral Assistance, MAIN DATA'!M:M,'Bilateral Assistance, MAIN DATA'!I:I,'Price List, Weapons &amp; Items'!B253)</f>
        <v>2000</v>
      </c>
      <c r="N253" s="71">
        <f>COUNTIFS('Bilateral Assistance, MAIN DATA'!M:M,"undisclosed",'Bilateral Assistance, MAIN DATA'!I:I,'Price List, Weapons &amp; Items'!B253)</f>
        <v>1</v>
      </c>
      <c r="O253" s="910">
        <f t="shared" si="23"/>
        <v>3500000</v>
      </c>
      <c r="P253" s="71">
        <f>IFERROR(IF(SEARCH(B253,_xlfn.ARRAYTOTEXT('Bilateral Assistance, MAIN DATA'!I$1:I$2206))&gt;0,1,""),0)</f>
        <v>0</v>
      </c>
      <c r="Q253" s="71">
        <f>IFERROR(IF(SEARCH(B253,_xlfn.ARRAYTOTEXT('Commercial Assistance'!I$1:I$1400))&gt;0,1,""),0)</f>
        <v>0</v>
      </c>
      <c r="R253" s="905" t="str">
        <f>IF(SUMIFS('Bilateral Assistance, MAIN DATA'!N:N,'Bilateral Assistance, MAIN DATA'!I:I,'Price List, Weapons &amp; Items'!B253)&gt;M253,1,".")</f>
        <v>.</v>
      </c>
    </row>
    <row r="254" spans="2:18" ht="15" customHeight="1">
      <c r="B254" s="915" t="s">
        <v>5466</v>
      </c>
      <c r="C254" s="898" t="s">
        <v>5099</v>
      </c>
      <c r="D254" s="899" t="s">
        <v>5198</v>
      </c>
      <c r="E254" s="900">
        <v>0</v>
      </c>
      <c r="F254" s="900">
        <f t="shared" si="25"/>
        <v>0</v>
      </c>
      <c r="G254" s="892">
        <v>3873.65</v>
      </c>
      <c r="H254" s="908" t="str">
        <f t="shared" si="26"/>
        <v>USD</v>
      </c>
      <c r="I254" s="885" t="s">
        <v>5467</v>
      </c>
      <c r="J254" s="901" t="s">
        <v>5082</v>
      </c>
      <c r="K254" s="901" t="s">
        <v>5468</v>
      </c>
      <c r="L254" s="905">
        <f t="shared" si="22"/>
        <v>2</v>
      </c>
      <c r="M254" s="909">
        <f>SUMIFS('Bilateral Assistance, MAIN DATA'!M:M,'Bilateral Assistance, MAIN DATA'!I:I,'Price List, Weapons &amp; Items'!B254)</f>
        <v>10567</v>
      </c>
      <c r="N254" s="71">
        <f>COUNTIFS('Bilateral Assistance, MAIN DATA'!M:M,"undisclosed",'Bilateral Assistance, MAIN DATA'!I:I,'Price List, Weapons &amp; Items'!B254)</f>
        <v>0</v>
      </c>
      <c r="O254" s="910">
        <f t="shared" si="23"/>
        <v>40932859.550000004</v>
      </c>
      <c r="P254" s="71">
        <f>IFERROR(IF(SEARCH(B254,_xlfn.ARRAYTOTEXT('Bilateral Assistance, MAIN DATA'!I$1:I$2206))&gt;0,1,""),0)</f>
        <v>0</v>
      </c>
      <c r="Q254" s="71">
        <f>IFERROR(IF(SEARCH(B254,_xlfn.ARRAYTOTEXT('Commercial Assistance'!I$1:I$1400))&gt;0,1,""),0)</f>
        <v>0</v>
      </c>
      <c r="R254" s="905" t="str">
        <f>IF(SUMIFS('Bilateral Assistance, MAIN DATA'!N:N,'Bilateral Assistance, MAIN DATA'!I:I,'Price List, Weapons &amp; Items'!B254)&gt;M254,1,".")</f>
        <v>.</v>
      </c>
    </row>
    <row r="255" spans="2:18" ht="15" customHeight="1">
      <c r="B255" s="901" t="s">
        <v>2001</v>
      </c>
      <c r="C255" s="898" t="s">
        <v>5177</v>
      </c>
      <c r="D255" s="899" t="s">
        <v>5178</v>
      </c>
      <c r="E255" s="900">
        <v>0</v>
      </c>
      <c r="F255" s="900">
        <f t="shared" si="25"/>
        <v>0</v>
      </c>
      <c r="G255" s="892">
        <v>2500</v>
      </c>
      <c r="H255" s="908" t="str">
        <f t="shared" si="26"/>
        <v>USD</v>
      </c>
      <c r="I255" s="885" t="s">
        <v>5469</v>
      </c>
      <c r="J255" s="901" t="s">
        <v>5089</v>
      </c>
      <c r="K255" s="901" t="s">
        <v>5470</v>
      </c>
      <c r="L255" s="905">
        <f t="shared" si="22"/>
        <v>2</v>
      </c>
      <c r="M255" s="909">
        <f>SUMIFS('Bilateral Assistance, MAIN DATA'!M:M,'Bilateral Assistance, MAIN DATA'!I:I,'Price List, Weapons &amp; Items'!B255)</f>
        <v>15000</v>
      </c>
      <c r="N255" s="71">
        <f>COUNTIFS('Bilateral Assistance, MAIN DATA'!M:M,"undisclosed",'Bilateral Assistance, MAIN DATA'!I:I,'Price List, Weapons &amp; Items'!B255)</f>
        <v>0</v>
      </c>
      <c r="O255" s="910">
        <f t="shared" si="23"/>
        <v>37500000</v>
      </c>
      <c r="P255" s="71">
        <f>IFERROR(IF(SEARCH(B255,_xlfn.ARRAYTOTEXT('Bilateral Assistance, MAIN DATA'!I$1:I$2206))&gt;0,1,""),0)</f>
        <v>0</v>
      </c>
      <c r="Q255" s="71">
        <f>IFERROR(IF(SEARCH(B255,_xlfn.ARRAYTOTEXT('Commercial Assistance'!I$1:I$1400))&gt;0,1,""),0)</f>
        <v>0</v>
      </c>
      <c r="R255" s="905" t="str">
        <f>IF(SUMIFS('Bilateral Assistance, MAIN DATA'!N:N,'Bilateral Assistance, MAIN DATA'!I:I,'Price List, Weapons &amp; Items'!B255)&gt;M255,1,".")</f>
        <v>.</v>
      </c>
    </row>
    <row r="256" spans="2:18" ht="15" customHeight="1">
      <c r="B256" s="915" t="s">
        <v>5471</v>
      </c>
      <c r="C256" s="898" t="s">
        <v>5099</v>
      </c>
      <c r="D256" s="899" t="s">
        <v>5472</v>
      </c>
      <c r="E256" s="900">
        <v>0</v>
      </c>
      <c r="F256" s="900">
        <f t="shared" si="25"/>
        <v>0</v>
      </c>
      <c r="G256" s="892">
        <f>AVERAGE(1082,3500)</f>
        <v>2291</v>
      </c>
      <c r="H256" s="908" t="str">
        <f t="shared" si="26"/>
        <v>USD</v>
      </c>
      <c r="I256" s="885" t="s">
        <v>5473</v>
      </c>
      <c r="J256" s="901" t="s">
        <v>5089</v>
      </c>
      <c r="K256" s="901" t="s">
        <v>5474</v>
      </c>
      <c r="L256" s="905">
        <f t="shared" si="22"/>
        <v>2</v>
      </c>
      <c r="M256" s="909">
        <f>SUMIFS('Bilateral Assistance, MAIN DATA'!M:M,'Bilateral Assistance, MAIN DATA'!I:I,'Price List, Weapons &amp; Items'!B256)</f>
        <v>1700</v>
      </c>
      <c r="N256" s="71">
        <f>COUNTIFS('Bilateral Assistance, MAIN DATA'!M:M,"undisclosed",'Bilateral Assistance, MAIN DATA'!I:I,'Price List, Weapons &amp; Items'!B256)</f>
        <v>0</v>
      </c>
      <c r="O256" s="910">
        <f t="shared" si="23"/>
        <v>3894700</v>
      </c>
      <c r="P256" s="71">
        <f>IFERROR(IF(SEARCH(B256,_xlfn.ARRAYTOTEXT('Bilateral Assistance, MAIN DATA'!I$1:I$2206))&gt;0,1,""),0)</f>
        <v>0</v>
      </c>
      <c r="Q256" s="71">
        <f>IFERROR(IF(SEARCH(B256,_xlfn.ARRAYTOTEXT('Commercial Assistance'!I$1:I$1400))&gt;0,1,""),0)</f>
        <v>0</v>
      </c>
      <c r="R256" s="905" t="str">
        <f>IF(SUMIFS('Bilateral Assistance, MAIN DATA'!N:N,'Bilateral Assistance, MAIN DATA'!I:I,'Price List, Weapons &amp; Items'!B256)&gt;M256,1,".")</f>
        <v>.</v>
      </c>
    </row>
    <row r="257" spans="2:18" ht="15" customHeight="1">
      <c r="B257" s="901" t="s">
        <v>3028</v>
      </c>
      <c r="C257" s="898" t="s">
        <v>5059</v>
      </c>
      <c r="D257" s="899" t="s">
        <v>5220</v>
      </c>
      <c r="E257" s="900">
        <v>0</v>
      </c>
      <c r="F257" s="900">
        <f t="shared" si="25"/>
        <v>1</v>
      </c>
      <c r="G257" s="892">
        <v>2000</v>
      </c>
      <c r="H257" s="908" t="str">
        <f t="shared" si="26"/>
        <v>USD</v>
      </c>
      <c r="I257" s="886" t="s">
        <v>5230</v>
      </c>
      <c r="J257" s="901" t="s">
        <v>5080</v>
      </c>
      <c r="K257" s="901" t="s">
        <v>5475</v>
      </c>
      <c r="L257" s="905">
        <f t="shared" si="22"/>
        <v>2</v>
      </c>
      <c r="M257" s="909">
        <f>SUMIFS('Bilateral Assistance, MAIN DATA'!M:M,'Bilateral Assistance, MAIN DATA'!I:I,'Price List, Weapons &amp; Items'!B257)</f>
        <v>21170</v>
      </c>
      <c r="N257" s="71">
        <f>COUNTIFS('Bilateral Assistance, MAIN DATA'!M:M,"undisclosed",'Bilateral Assistance, MAIN DATA'!I:I,'Price List, Weapons &amp; Items'!B257)</f>
        <v>0</v>
      </c>
      <c r="O257" s="910">
        <f t="shared" si="23"/>
        <v>42340000</v>
      </c>
      <c r="P257" s="71">
        <f>IFERROR(IF(SEARCH(B257,_xlfn.ARRAYTOTEXT('Bilateral Assistance, MAIN DATA'!I$1:I$2206))&gt;0,1,""),0)</f>
        <v>0</v>
      </c>
      <c r="Q257" s="71">
        <f>IFERROR(IF(SEARCH(B257,_xlfn.ARRAYTOTEXT('Commercial Assistance'!I$1:I$1400))&gt;0,1,""),0)</f>
        <v>0</v>
      </c>
      <c r="R257" s="905" t="str">
        <f>IF(SUMIFS('Bilateral Assistance, MAIN DATA'!N:N,'Bilateral Assistance, MAIN DATA'!I:I,'Price List, Weapons &amp; Items'!B257)&gt;M257,1,".")</f>
        <v>.</v>
      </c>
    </row>
    <row r="258" spans="2:18" ht="15" customHeight="1">
      <c r="B258" s="912" t="s">
        <v>5476</v>
      </c>
      <c r="C258" s="898" t="s">
        <v>5059</v>
      </c>
      <c r="D258" s="899" t="s">
        <v>5477</v>
      </c>
      <c r="E258" s="900">
        <v>0</v>
      </c>
      <c r="F258" s="900">
        <f t="shared" si="25"/>
        <v>0</v>
      </c>
      <c r="G258" s="892">
        <v>2000</v>
      </c>
      <c r="H258" s="908" t="str">
        <f t="shared" si="26"/>
        <v>USD</v>
      </c>
      <c r="I258" s="886" t="s">
        <v>5230</v>
      </c>
      <c r="J258" s="901" t="s">
        <v>5080</v>
      </c>
      <c r="K258" s="901" t="s">
        <v>5475</v>
      </c>
      <c r="L258" s="905">
        <f t="shared" si="22"/>
        <v>2</v>
      </c>
      <c r="M258" s="909">
        <f>SUMIFS('Bilateral Assistance, MAIN DATA'!M:M,'Bilateral Assistance, MAIN DATA'!I:I,'Price List, Weapons &amp; Items'!B258)</f>
        <v>66000</v>
      </c>
      <c r="N258" s="71">
        <f>COUNTIFS('Bilateral Assistance, MAIN DATA'!M:M,"undisclosed",'Bilateral Assistance, MAIN DATA'!I:I,'Price List, Weapons &amp; Items'!B258)</f>
        <v>1</v>
      </c>
      <c r="O258" s="910">
        <f t="shared" si="23"/>
        <v>132000000</v>
      </c>
      <c r="P258" s="71">
        <f>IFERROR(IF(SEARCH(B258,_xlfn.ARRAYTOTEXT('Bilateral Assistance, MAIN DATA'!I$1:I$2206))&gt;0,1,""),0)</f>
        <v>0</v>
      </c>
      <c r="Q258" s="71">
        <f>IFERROR(IF(SEARCH(B258,_xlfn.ARRAYTOTEXT('Commercial Assistance'!I$1:I$1400))&gt;0,1,""),0)</f>
        <v>0</v>
      </c>
      <c r="R258" s="905" t="str">
        <f>IF(SUMIFS('Bilateral Assistance, MAIN DATA'!N:N,'Bilateral Assistance, MAIN DATA'!I:I,'Price List, Weapons &amp; Items'!B258)&gt;M258,1,".")</f>
        <v>.</v>
      </c>
    </row>
    <row r="259" spans="2:18" ht="15" customHeight="1">
      <c r="B259" s="901" t="s">
        <v>5478</v>
      </c>
      <c r="C259" s="898" t="s">
        <v>5099</v>
      </c>
      <c r="D259" s="899" t="s">
        <v>5198</v>
      </c>
      <c r="E259" s="900">
        <v>0</v>
      </c>
      <c r="F259" s="900">
        <f t="shared" si="25"/>
        <v>0</v>
      </c>
      <c r="G259" s="892">
        <v>1475</v>
      </c>
      <c r="H259" s="908" t="str">
        <f t="shared" si="26"/>
        <v>USD</v>
      </c>
      <c r="I259" s="886" t="s">
        <v>5235</v>
      </c>
      <c r="J259" s="901" t="s">
        <v>5082</v>
      </c>
      <c r="K259" s="901" t="s">
        <v>5479</v>
      </c>
      <c r="L259" s="905">
        <f t="shared" si="22"/>
        <v>1</v>
      </c>
      <c r="M259" s="909">
        <f>SUMIFS('Bilateral Assistance, MAIN DATA'!M:M,'Bilateral Assistance, MAIN DATA'!I:I,'Price List, Weapons &amp; Items'!B259)</f>
        <v>1000</v>
      </c>
      <c r="N259" s="71">
        <f>COUNTIFS('Bilateral Assistance, MAIN DATA'!M:M,"undisclosed",'Bilateral Assistance, MAIN DATA'!I:I,'Price List, Weapons &amp; Items'!B259)</f>
        <v>1</v>
      </c>
      <c r="O259" s="910">
        <f t="shared" si="23"/>
        <v>1475000</v>
      </c>
      <c r="P259" s="71">
        <f>IFERROR(IF(SEARCH(B259,_xlfn.ARRAYTOTEXT('Bilateral Assistance, MAIN DATA'!I$1:I$2206))&gt;0,1,""),0)</f>
        <v>0</v>
      </c>
      <c r="Q259" s="71">
        <f>IFERROR(IF(SEARCH(B259,_xlfn.ARRAYTOTEXT('Commercial Assistance'!I$1:I$1400))&gt;0,1,""),0)</f>
        <v>0</v>
      </c>
      <c r="R259" s="905" t="str">
        <f>IF(SUMIFS('Bilateral Assistance, MAIN DATA'!N:N,'Bilateral Assistance, MAIN DATA'!I:I,'Price List, Weapons &amp; Items'!B259)&gt;M259,1,".")</f>
        <v>.</v>
      </c>
    </row>
    <row r="260" spans="2:18" ht="15" customHeight="1">
      <c r="B260" s="901" t="s">
        <v>593</v>
      </c>
      <c r="C260" s="898" t="s">
        <v>5099</v>
      </c>
      <c r="D260" s="899" t="s">
        <v>5198</v>
      </c>
      <c r="E260" s="900">
        <v>0</v>
      </c>
      <c r="F260" s="900">
        <f t="shared" si="25"/>
        <v>0</v>
      </c>
      <c r="G260" s="892">
        <v>1475</v>
      </c>
      <c r="H260" s="908" t="str">
        <f t="shared" si="26"/>
        <v>USD</v>
      </c>
      <c r="I260" s="886" t="s">
        <v>5235</v>
      </c>
      <c r="J260" s="901" t="s">
        <v>5082</v>
      </c>
      <c r="K260" s="901" t="s">
        <v>5480</v>
      </c>
      <c r="L260" s="905">
        <f t="shared" si="22"/>
        <v>2</v>
      </c>
      <c r="M260" s="909">
        <f>SUMIFS('Bilateral Assistance, MAIN DATA'!M:M,'Bilateral Assistance, MAIN DATA'!I:I,'Price List, Weapons &amp; Items'!B260)</f>
        <v>11400</v>
      </c>
      <c r="N260" s="71">
        <f>COUNTIFS('Bilateral Assistance, MAIN DATA'!M:M,"undisclosed",'Bilateral Assistance, MAIN DATA'!I:I,'Price List, Weapons &amp; Items'!B260)</f>
        <v>2</v>
      </c>
      <c r="O260" s="910">
        <f t="shared" si="23"/>
        <v>16815000</v>
      </c>
      <c r="P260" s="71">
        <f>IFERROR(IF(SEARCH(B260,_xlfn.ARRAYTOTEXT('Bilateral Assistance, MAIN DATA'!I$1:I$2206))&gt;0,1,""),0)</f>
        <v>0</v>
      </c>
      <c r="Q260" s="71">
        <f>IFERROR(IF(SEARCH(B260,_xlfn.ARRAYTOTEXT('Commercial Assistance'!I$1:I$1400))&gt;0,1,""),0)</f>
        <v>0</v>
      </c>
      <c r="R260" s="905" t="str">
        <f>IF(SUMIFS('Bilateral Assistance, MAIN DATA'!N:N,'Bilateral Assistance, MAIN DATA'!I:I,'Price List, Weapons &amp; Items'!B260)&gt;M260,1,".")</f>
        <v>.</v>
      </c>
    </row>
    <row r="261" spans="2:18" ht="15" customHeight="1">
      <c r="B261" s="901" t="s">
        <v>5481</v>
      </c>
      <c r="C261" s="898" t="s">
        <v>5099</v>
      </c>
      <c r="D261" s="899" t="s">
        <v>5198</v>
      </c>
      <c r="E261" s="900">
        <v>0</v>
      </c>
      <c r="F261" s="900">
        <f t="shared" si="25"/>
        <v>0</v>
      </c>
      <c r="G261" s="892">
        <v>1475</v>
      </c>
      <c r="H261" s="908" t="str">
        <f t="shared" si="26"/>
        <v>USD</v>
      </c>
      <c r="I261" s="886" t="s">
        <v>5235</v>
      </c>
      <c r="J261" s="901" t="s">
        <v>5082</v>
      </c>
      <c r="K261" s="901" t="s">
        <v>5236</v>
      </c>
      <c r="L261" s="905">
        <f t="shared" si="22"/>
        <v>2</v>
      </c>
      <c r="M261" s="909">
        <f>SUMIFS('Bilateral Assistance, MAIN DATA'!M:M,'Bilateral Assistance, MAIN DATA'!I:I,'Price List, Weapons &amp; Items'!B261)</f>
        <v>1500</v>
      </c>
      <c r="N261" s="71">
        <f>COUNTIFS('Bilateral Assistance, MAIN DATA'!M:M,"undisclosed",'Bilateral Assistance, MAIN DATA'!I:I,'Price List, Weapons &amp; Items'!B261)</f>
        <v>0</v>
      </c>
      <c r="O261" s="910">
        <f t="shared" si="23"/>
        <v>2212500</v>
      </c>
      <c r="P261" s="71">
        <f>IFERROR(IF(SEARCH(B261,_xlfn.ARRAYTOTEXT('Bilateral Assistance, MAIN DATA'!I$1:I$2206))&gt;0,1,""),0)</f>
        <v>0</v>
      </c>
      <c r="Q261" s="71">
        <f>IFERROR(IF(SEARCH(B261,_xlfn.ARRAYTOTEXT('Commercial Assistance'!I$1:I$1400))&gt;0,1,""),0)</f>
        <v>0</v>
      </c>
      <c r="R261" s="905" t="str">
        <f>IF(SUMIFS('Bilateral Assistance, MAIN DATA'!N:N,'Bilateral Assistance, MAIN DATA'!I:I,'Price List, Weapons &amp; Items'!B261)&gt;M261,1,".")</f>
        <v>.</v>
      </c>
    </row>
    <row r="262" spans="2:18" ht="15" customHeight="1">
      <c r="B262" s="901" t="s">
        <v>5482</v>
      </c>
      <c r="C262" s="898" t="s">
        <v>1105</v>
      </c>
      <c r="D262" s="898" t="s">
        <v>1105</v>
      </c>
      <c r="E262" s="900">
        <v>0</v>
      </c>
      <c r="F262" s="900">
        <f t="shared" si="25"/>
        <v>0</v>
      </c>
      <c r="G262" s="892">
        <v>1612.5</v>
      </c>
      <c r="H262" s="908" t="str">
        <f t="shared" si="26"/>
        <v>USD</v>
      </c>
      <c r="I262" s="886" t="s">
        <v>5483</v>
      </c>
      <c r="J262" s="901" t="s">
        <v>5089</v>
      </c>
      <c r="K262" s="901" t="s">
        <v>5484</v>
      </c>
      <c r="L262" s="905">
        <f t="shared" si="22"/>
        <v>2</v>
      </c>
      <c r="M262" s="909">
        <f>SUMIFS('Bilateral Assistance, MAIN DATA'!M:M,'Bilateral Assistance, MAIN DATA'!I:I,'Price List, Weapons &amp; Items'!B262)</f>
        <v>40700</v>
      </c>
      <c r="N262" s="71">
        <f>COUNTIFS('Bilateral Assistance, MAIN DATA'!M:M,"undisclosed",'Bilateral Assistance, MAIN DATA'!I:I,'Price List, Weapons &amp; Items'!B262)</f>
        <v>0</v>
      </c>
      <c r="O262" s="910">
        <f t="shared" si="23"/>
        <v>65628750</v>
      </c>
      <c r="P262" s="71">
        <f>IFERROR(IF(SEARCH(B262,_xlfn.ARRAYTOTEXT('Bilateral Assistance, MAIN DATA'!I$1:I$2206))&gt;0,1,""),0)</f>
        <v>0</v>
      </c>
      <c r="Q262" s="71">
        <f>IFERROR(IF(SEARCH(B262,_xlfn.ARRAYTOTEXT('Commercial Assistance'!I$1:I$1400))&gt;0,1,""),0)</f>
        <v>0</v>
      </c>
      <c r="R262" s="905" t="str">
        <f>IF(SUMIFS('Bilateral Assistance, MAIN DATA'!N:N,'Bilateral Assistance, MAIN DATA'!I:I,'Price List, Weapons &amp; Items'!B262)&gt;M262,1,".")</f>
        <v>.</v>
      </c>
    </row>
    <row r="263" spans="2:18" ht="15" customHeight="1">
      <c r="B263" s="915" t="s">
        <v>1458</v>
      </c>
      <c r="C263" s="898" t="s">
        <v>5056</v>
      </c>
      <c r="D263" s="899" t="s">
        <v>5069</v>
      </c>
      <c r="E263" s="900">
        <v>0</v>
      </c>
      <c r="F263" s="900">
        <f t="shared" si="25"/>
        <v>0</v>
      </c>
      <c r="G263" s="892">
        <v>1500</v>
      </c>
      <c r="H263" s="908" t="str">
        <f t="shared" si="26"/>
        <v>USD</v>
      </c>
      <c r="I263" s="923" t="s">
        <v>5485</v>
      </c>
      <c r="J263" s="901" t="s">
        <v>5089</v>
      </c>
      <c r="K263" s="1356" t="s">
        <v>5486</v>
      </c>
      <c r="L263" s="905">
        <f t="shared" si="22"/>
        <v>2</v>
      </c>
      <c r="M263" s="909">
        <f>SUMIFS('Bilateral Assistance, MAIN DATA'!M:M,'Bilateral Assistance, MAIN DATA'!I:I,'Price List, Weapons &amp; Items'!B263)</f>
        <v>2500</v>
      </c>
      <c r="N263" s="71">
        <f>COUNTIFS('Bilateral Assistance, MAIN DATA'!M:M,"undisclosed",'Bilateral Assistance, MAIN DATA'!I:I,'Price List, Weapons &amp; Items'!B263)</f>
        <v>0</v>
      </c>
      <c r="O263" s="910">
        <f t="shared" si="23"/>
        <v>3750000</v>
      </c>
      <c r="P263" s="71">
        <f>IFERROR(IF(SEARCH(B263,_xlfn.ARRAYTOTEXT('Bilateral Assistance, MAIN DATA'!I$1:I$2206))&gt;0,1,""),0)</f>
        <v>0</v>
      </c>
      <c r="Q263" s="71">
        <f>IFERROR(IF(SEARCH(B263,_xlfn.ARRAYTOTEXT('Commercial Assistance'!I$1:I$1400))&gt;0,1,""),0)</f>
        <v>0</v>
      </c>
      <c r="R263" s="905" t="str">
        <f>IF(SUMIFS('Bilateral Assistance, MAIN DATA'!N:N,'Bilateral Assistance, MAIN DATA'!I:I,'Price List, Weapons &amp; Items'!B263)&gt;M263,1,".")</f>
        <v>.</v>
      </c>
    </row>
    <row r="264" spans="2:18" ht="15" customHeight="1">
      <c r="B264" s="901" t="s">
        <v>3584</v>
      </c>
      <c r="C264" s="898" t="s">
        <v>5099</v>
      </c>
      <c r="D264" s="899" t="s">
        <v>5100</v>
      </c>
      <c r="E264" s="900">
        <v>0</v>
      </c>
      <c r="F264" s="900">
        <f t="shared" si="25"/>
        <v>0</v>
      </c>
      <c r="G264" s="892">
        <v>1480.64</v>
      </c>
      <c r="H264" s="908" t="str">
        <f t="shared" si="26"/>
        <v>USD</v>
      </c>
      <c r="I264" s="885" t="s">
        <v>5487</v>
      </c>
      <c r="J264" s="901" t="s">
        <v>5082</v>
      </c>
      <c r="K264" s="901" t="s">
        <v>5488</v>
      </c>
      <c r="L264" s="905">
        <f t="shared" si="22"/>
        <v>2</v>
      </c>
      <c r="M264" s="909">
        <f>SUMIFS('Bilateral Assistance, MAIN DATA'!M:M,'Bilateral Assistance, MAIN DATA'!I:I,'Price List, Weapons &amp; Items'!B264)</f>
        <v>20567</v>
      </c>
      <c r="N264" s="71">
        <f>COUNTIFS('Bilateral Assistance, MAIN DATA'!M:M,"undisclosed",'Bilateral Assistance, MAIN DATA'!I:I,'Price List, Weapons &amp; Items'!B264)</f>
        <v>6</v>
      </c>
      <c r="O264" s="910">
        <f t="shared" si="23"/>
        <v>30452322.880000003</v>
      </c>
      <c r="P264" s="71">
        <f>IFERROR(IF(SEARCH(B264,_xlfn.ARRAYTOTEXT('Bilateral Assistance, MAIN DATA'!I$1:I$2206))&gt;0,1,""),0)</f>
        <v>0</v>
      </c>
      <c r="Q264" s="71">
        <f>IFERROR(IF(SEARCH(B264,_xlfn.ARRAYTOTEXT('Commercial Assistance'!I$1:I$1400))&gt;0,1,""),0)</f>
        <v>0</v>
      </c>
      <c r="R264" s="905" t="str">
        <f>IF(SUMIFS('Bilateral Assistance, MAIN DATA'!N:N,'Bilateral Assistance, MAIN DATA'!I:I,'Price List, Weapons &amp; Items'!B264)&gt;M264,1,".")</f>
        <v>.</v>
      </c>
    </row>
    <row r="265" spans="2:18" ht="15" customHeight="1">
      <c r="B265" s="901" t="s">
        <v>5489</v>
      </c>
      <c r="C265" s="898" t="s">
        <v>1105</v>
      </c>
      <c r="D265" s="898" t="s">
        <v>1105</v>
      </c>
      <c r="E265" s="900">
        <v>0</v>
      </c>
      <c r="F265" s="900">
        <f t="shared" si="25"/>
        <v>0</v>
      </c>
      <c r="G265" s="892">
        <v>1400</v>
      </c>
      <c r="H265" s="908" t="str">
        <f t="shared" si="26"/>
        <v>USD</v>
      </c>
      <c r="I265" s="886" t="s">
        <v>5490</v>
      </c>
      <c r="J265" s="901" t="s">
        <v>5082</v>
      </c>
      <c r="K265" s="901" t="s">
        <v>5491</v>
      </c>
      <c r="L265" s="905">
        <f t="shared" si="22"/>
        <v>2</v>
      </c>
      <c r="M265" s="909">
        <f>SUMIFS('Bilateral Assistance, MAIN DATA'!M:M,'Bilateral Assistance, MAIN DATA'!I:I,'Price List, Weapons &amp; Items'!B265)</f>
        <v>28000</v>
      </c>
      <c r="N265" s="71">
        <f>COUNTIFS('Bilateral Assistance, MAIN DATA'!M:M,"undisclosed",'Bilateral Assistance, MAIN DATA'!I:I,'Price List, Weapons &amp; Items'!B265)</f>
        <v>0</v>
      </c>
      <c r="O265" s="910">
        <f t="shared" si="23"/>
        <v>39200000</v>
      </c>
      <c r="P265" s="71">
        <f>IFERROR(IF(SEARCH(B265,_xlfn.ARRAYTOTEXT('Bilateral Assistance, MAIN DATA'!I$1:I$2206))&gt;0,1,""),0)</f>
        <v>0</v>
      </c>
      <c r="Q265" s="71">
        <f>IFERROR(IF(SEARCH(B265,_xlfn.ARRAYTOTEXT('Commercial Assistance'!I$1:I$1400))&gt;0,1,""),0)</f>
        <v>0</v>
      </c>
      <c r="R265" s="905" t="str">
        <f>IF(SUMIFS('Bilateral Assistance, MAIN DATA'!N:N,'Bilateral Assistance, MAIN DATA'!I:I,'Price List, Weapons &amp; Items'!B265)&gt;M265,1,".")</f>
        <v>.</v>
      </c>
    </row>
    <row r="266" spans="2:18" ht="15" customHeight="1">
      <c r="B266" s="901" t="s">
        <v>4332</v>
      </c>
      <c r="C266" s="898" t="s">
        <v>1105</v>
      </c>
      <c r="D266" s="898" t="s">
        <v>1105</v>
      </c>
      <c r="E266" s="900">
        <v>0</v>
      </c>
      <c r="F266" s="900">
        <f t="shared" si="25"/>
        <v>0</v>
      </c>
      <c r="G266" s="892">
        <v>1400</v>
      </c>
      <c r="H266" s="908" t="str">
        <f t="shared" si="26"/>
        <v>USD</v>
      </c>
      <c r="I266" s="886" t="s">
        <v>5490</v>
      </c>
      <c r="J266" s="901" t="s">
        <v>5082</v>
      </c>
      <c r="K266" s="901" t="s">
        <v>5491</v>
      </c>
      <c r="L266" s="905">
        <f t="shared" si="22"/>
        <v>2</v>
      </c>
      <c r="M266" s="909">
        <f>SUMIFS('Bilateral Assistance, MAIN DATA'!M:M,'Bilateral Assistance, MAIN DATA'!I:I,'Price List, Weapons &amp; Items'!B266)</f>
        <v>206473</v>
      </c>
      <c r="N266" s="71">
        <f>COUNTIFS('Bilateral Assistance, MAIN DATA'!M:M,"undisclosed",'Bilateral Assistance, MAIN DATA'!I:I,'Price List, Weapons &amp; Items'!B266)</f>
        <v>9</v>
      </c>
      <c r="O266" s="910">
        <f t="shared" si="23"/>
        <v>289062200</v>
      </c>
      <c r="P266" s="71">
        <f>IFERROR(IF(SEARCH(B266,_xlfn.ARRAYTOTEXT('Bilateral Assistance, MAIN DATA'!I$1:I$2206))&gt;0,1,""),0)</f>
        <v>0</v>
      </c>
      <c r="Q266" s="71">
        <f>IFERROR(IF(SEARCH(B266,_xlfn.ARRAYTOTEXT('Commercial Assistance'!I$1:I$1400))&gt;0,1,""),0)</f>
        <v>0</v>
      </c>
      <c r="R266" s="905" t="str">
        <f>IF(SUMIFS('Bilateral Assistance, MAIN DATA'!N:N,'Bilateral Assistance, MAIN DATA'!I:I,'Price List, Weapons &amp; Items'!B266)&gt;M266,1,".")</f>
        <v>.</v>
      </c>
    </row>
    <row r="267" spans="2:18" ht="15" customHeight="1">
      <c r="B267" s="912" t="s">
        <v>1022</v>
      </c>
      <c r="C267" s="898" t="s">
        <v>5056</v>
      </c>
      <c r="D267" s="899" t="s">
        <v>5069</v>
      </c>
      <c r="E267" s="900">
        <v>1</v>
      </c>
      <c r="F267" s="900">
        <f t="shared" si="25"/>
        <v>0</v>
      </c>
      <c r="G267" s="892">
        <v>1266</v>
      </c>
      <c r="H267" s="908" t="str">
        <f t="shared" si="26"/>
        <v>USD</v>
      </c>
      <c r="I267" s="886" t="s">
        <v>5492</v>
      </c>
      <c r="J267" s="901" t="s">
        <v>5089</v>
      </c>
      <c r="K267" s="901" t="s">
        <v>5493</v>
      </c>
      <c r="L267" s="905">
        <f t="shared" si="22"/>
        <v>2</v>
      </c>
      <c r="M267" s="909">
        <f>SUMIFS('Bilateral Assistance, MAIN DATA'!M:M,'Bilateral Assistance, MAIN DATA'!I:I,'Price List, Weapons &amp; Items'!B267)</f>
        <v>5000</v>
      </c>
      <c r="N267" s="71">
        <f>COUNTIFS('Bilateral Assistance, MAIN DATA'!M:M,"undisclosed",'Bilateral Assistance, MAIN DATA'!I:I,'Price List, Weapons &amp; Items'!B267)</f>
        <v>0</v>
      </c>
      <c r="O267" s="910">
        <f t="shared" si="23"/>
        <v>6330000</v>
      </c>
      <c r="P267" s="71">
        <f>IFERROR(IF(SEARCH(B267,_xlfn.ARRAYTOTEXT('Bilateral Assistance, MAIN DATA'!I$1:I$2206))&gt;0,1,""),0)</f>
        <v>0</v>
      </c>
      <c r="Q267" s="71">
        <f>IFERROR(IF(SEARCH(B267,_xlfn.ARRAYTOTEXT('Commercial Assistance'!I$1:I$1400))&gt;0,1,""),0)</f>
        <v>0</v>
      </c>
      <c r="R267" s="905" t="str">
        <f>IF(SUMIFS('Bilateral Assistance, MAIN DATA'!N:N,'Bilateral Assistance, MAIN DATA'!I:I,'Price List, Weapons &amp; Items'!B267)&gt;M267,1,".")</f>
        <v>.</v>
      </c>
    </row>
    <row r="268" spans="2:18" ht="15" customHeight="1">
      <c r="B268" s="912" t="s">
        <v>1025</v>
      </c>
      <c r="C268" s="898" t="s">
        <v>5056</v>
      </c>
      <c r="D268" s="899" t="s">
        <v>5066</v>
      </c>
      <c r="E268" s="900">
        <v>1</v>
      </c>
      <c r="F268" s="900">
        <f t="shared" si="25"/>
        <v>0</v>
      </c>
      <c r="G268" s="892">
        <v>705</v>
      </c>
      <c r="H268" s="908" t="str">
        <f t="shared" ref="H268:H292" si="27">IF(G268&lt;&gt;".","USD",".")</f>
        <v>USD</v>
      </c>
      <c r="I268" s="886" t="s">
        <v>5494</v>
      </c>
      <c r="J268" s="901" t="s">
        <v>5086</v>
      </c>
      <c r="K268" s="901" t="s">
        <v>5495</v>
      </c>
      <c r="L268" s="905">
        <f t="shared" ref="L268:L331" si="28">IF(C268="Humanitarian",0,IF(M268&gt;0,IF(TYPE(O268)=1,IF(O268&gt;MEDIAN(O:O),2,1),0),"no price, 0 count"))</f>
        <v>1</v>
      </c>
      <c r="M268" s="909">
        <f>SUMIFS('Bilateral Assistance, MAIN DATA'!M:M,'Bilateral Assistance, MAIN DATA'!I:I,'Price List, Weapons &amp; Items'!B268)</f>
        <v>2085</v>
      </c>
      <c r="N268" s="71">
        <f>COUNTIFS('Bilateral Assistance, MAIN DATA'!M:M,"undisclosed",'Bilateral Assistance, MAIN DATA'!I:I,'Price List, Weapons &amp; Items'!B268)</f>
        <v>0</v>
      </c>
      <c r="O268" s="910">
        <f t="shared" ref="O268:O331" si="29">IFERROR(M268*G268,"no price")</f>
        <v>1469925</v>
      </c>
      <c r="P268" s="71">
        <f>IFERROR(IF(SEARCH(B268,_xlfn.ARRAYTOTEXT('Bilateral Assistance, MAIN DATA'!I$1:I$2206))&gt;0,1,""),0)</f>
        <v>0</v>
      </c>
      <c r="Q268" s="71">
        <f>IFERROR(IF(SEARCH(B268,_xlfn.ARRAYTOTEXT('Commercial Assistance'!I$1:I$1400))&gt;0,1,""),0)</f>
        <v>0</v>
      </c>
      <c r="R268" s="905" t="str">
        <f>IF(SUMIFS('Bilateral Assistance, MAIN DATA'!N:N,'Bilateral Assistance, MAIN DATA'!I:I,'Price List, Weapons &amp; Items'!B268)&gt;M268,1,".")</f>
        <v>.</v>
      </c>
    </row>
    <row r="269" spans="2:18" ht="15" customHeight="1">
      <c r="B269" s="912" t="s">
        <v>2642</v>
      </c>
      <c r="C269" s="898" t="s">
        <v>5059</v>
      </c>
      <c r="D269" s="899" t="s">
        <v>5245</v>
      </c>
      <c r="E269" s="900">
        <v>0</v>
      </c>
      <c r="F269" s="900">
        <f t="shared" si="25"/>
        <v>1</v>
      </c>
      <c r="G269" s="892">
        <v>1000</v>
      </c>
      <c r="H269" s="908" t="str">
        <f t="shared" si="27"/>
        <v>USD</v>
      </c>
      <c r="I269" s="886" t="s">
        <v>5246</v>
      </c>
      <c r="J269" s="901" t="s">
        <v>5080</v>
      </c>
      <c r="K269" s="901" t="s">
        <v>5247</v>
      </c>
      <c r="L269" s="905">
        <f t="shared" si="28"/>
        <v>2</v>
      </c>
      <c r="M269" s="909">
        <f>SUMIFS('Bilateral Assistance, MAIN DATA'!M:M,'Bilateral Assistance, MAIN DATA'!I:I,'Price List, Weapons &amp; Items'!B269)</f>
        <v>2600</v>
      </c>
      <c r="N269" s="71">
        <f>COUNTIFS('Bilateral Assistance, MAIN DATA'!M:M,"undisclosed",'Bilateral Assistance, MAIN DATA'!I:I,'Price List, Weapons &amp; Items'!B269)</f>
        <v>0</v>
      </c>
      <c r="O269" s="910">
        <f t="shared" si="29"/>
        <v>2600000</v>
      </c>
      <c r="P269" s="71">
        <f>IFERROR(IF(SEARCH(B269,_xlfn.ARRAYTOTEXT('Bilateral Assistance, MAIN DATA'!I$1:I$2206))&gt;0,1,""),0)</f>
        <v>0</v>
      </c>
      <c r="Q269" s="71">
        <f>IFERROR(IF(SEARCH(B269,_xlfn.ARRAYTOTEXT('Commercial Assistance'!I$1:I$1400))&gt;0,1,""),0)</f>
        <v>0</v>
      </c>
      <c r="R269" s="905" t="str">
        <f>IF(SUMIFS('Bilateral Assistance, MAIN DATA'!N:N,'Bilateral Assistance, MAIN DATA'!I:I,'Price List, Weapons &amp; Items'!B269)&gt;M269,1,".")</f>
        <v>.</v>
      </c>
    </row>
    <row r="270" spans="2:18" ht="15" customHeight="1">
      <c r="B270" s="901" t="s">
        <v>1385</v>
      </c>
      <c r="C270" s="898" t="s">
        <v>5056</v>
      </c>
      <c r="D270" s="899" t="s">
        <v>5069</v>
      </c>
      <c r="E270" s="900">
        <v>0</v>
      </c>
      <c r="F270" s="900">
        <f t="shared" si="25"/>
        <v>0</v>
      </c>
      <c r="G270" s="892">
        <v>1071.6400000000001</v>
      </c>
      <c r="H270" s="908" t="str">
        <f t="shared" si="27"/>
        <v>USD</v>
      </c>
      <c r="I270" s="886" t="s">
        <v>5496</v>
      </c>
      <c r="J270" s="901" t="s">
        <v>5086</v>
      </c>
      <c r="K270" s="901" t="s">
        <v>5497</v>
      </c>
      <c r="L270" s="905">
        <f t="shared" si="28"/>
        <v>1</v>
      </c>
      <c r="M270" s="909">
        <f>SUMIFS('Bilateral Assistance, MAIN DATA'!M:M,'Bilateral Assistance, MAIN DATA'!I:I,'Price List, Weapons &amp; Items'!B270)</f>
        <v>1000</v>
      </c>
      <c r="N270" s="71">
        <f>COUNTIFS('Bilateral Assistance, MAIN DATA'!M:M,"undisclosed",'Bilateral Assistance, MAIN DATA'!I:I,'Price List, Weapons &amp; Items'!B270)</f>
        <v>1</v>
      </c>
      <c r="O270" s="910">
        <f t="shared" si="29"/>
        <v>1071640</v>
      </c>
      <c r="P270" s="71">
        <f>IFERROR(IF(SEARCH(B270,_xlfn.ARRAYTOTEXT('Bilateral Assistance, MAIN DATA'!I$1:I$2206))&gt;0,1,""),0)</f>
        <v>0</v>
      </c>
      <c r="Q270" s="71">
        <f>IFERROR(IF(SEARCH(B270,_xlfn.ARRAYTOTEXT('Commercial Assistance'!I$1:I$1400))&gt;0,1,""),0)</f>
        <v>0</v>
      </c>
      <c r="R270" s="905" t="str">
        <f>IF(SUMIFS('Bilateral Assistance, MAIN DATA'!N:N,'Bilateral Assistance, MAIN DATA'!I:I,'Price List, Weapons &amp; Items'!B270)&gt;M270,1,".")</f>
        <v>.</v>
      </c>
    </row>
    <row r="271" spans="2:18" ht="15" customHeight="1">
      <c r="B271" s="901" t="s">
        <v>1992</v>
      </c>
      <c r="C271" s="898" t="s">
        <v>5056</v>
      </c>
      <c r="D271" s="899" t="s">
        <v>5069</v>
      </c>
      <c r="E271" s="900">
        <v>1</v>
      </c>
      <c r="F271" s="900">
        <f t="shared" si="25"/>
        <v>0</v>
      </c>
      <c r="G271" s="892">
        <v>850</v>
      </c>
      <c r="H271" s="908" t="str">
        <f t="shared" si="27"/>
        <v>USD</v>
      </c>
      <c r="I271" s="886" t="s">
        <v>5498</v>
      </c>
      <c r="J271" s="901" t="s">
        <v>5089</v>
      </c>
      <c r="K271" s="925" t="s">
        <v>5499</v>
      </c>
      <c r="L271" s="905">
        <f t="shared" si="28"/>
        <v>2</v>
      </c>
      <c r="M271" s="909">
        <f>SUMIFS('Bilateral Assistance, MAIN DATA'!M:M,'Bilateral Assistance, MAIN DATA'!I:I,'Price List, Weapons &amp; Items'!B271)</f>
        <v>40000</v>
      </c>
      <c r="N271" s="71">
        <f>COUNTIFS('Bilateral Assistance, MAIN DATA'!M:M,"undisclosed",'Bilateral Assistance, MAIN DATA'!I:I,'Price List, Weapons &amp; Items'!B271)</f>
        <v>0</v>
      </c>
      <c r="O271" s="910">
        <f t="shared" si="29"/>
        <v>34000000</v>
      </c>
      <c r="P271" s="71">
        <f>IFERROR(IF(SEARCH(B271,_xlfn.ARRAYTOTEXT('Bilateral Assistance, MAIN DATA'!I$1:I$2206))&gt;0,1,""),0)</f>
        <v>0</v>
      </c>
      <c r="Q271" s="71">
        <f>IFERROR(IF(SEARCH(B271,_xlfn.ARRAYTOTEXT('Commercial Assistance'!I$1:I$1400))&gt;0,1,""),0)</f>
        <v>0</v>
      </c>
      <c r="R271" s="905" t="str">
        <f>IF(SUMIFS('Bilateral Assistance, MAIN DATA'!N:N,'Bilateral Assistance, MAIN DATA'!I:I,'Price List, Weapons &amp; Items'!B271)&gt;M271,1,".")</f>
        <v>.</v>
      </c>
    </row>
    <row r="272" spans="2:18" ht="15" customHeight="1">
      <c r="B272" s="915" t="s">
        <v>4006</v>
      </c>
      <c r="C272" s="898" t="s">
        <v>5056</v>
      </c>
      <c r="D272" s="899" t="s">
        <v>5069</v>
      </c>
      <c r="E272" s="900">
        <v>0</v>
      </c>
      <c r="F272" s="900">
        <f t="shared" si="25"/>
        <v>0</v>
      </c>
      <c r="G272" s="892">
        <v>800</v>
      </c>
      <c r="H272" s="908" t="str">
        <f t="shared" si="27"/>
        <v>USD</v>
      </c>
      <c r="I272" s="923" t="s">
        <v>5243</v>
      </c>
      <c r="J272" s="901" t="s">
        <v>5082</v>
      </c>
      <c r="K272" s="1356" t="s">
        <v>5244</v>
      </c>
      <c r="L272" s="905">
        <f t="shared" si="28"/>
        <v>2</v>
      </c>
      <c r="M272" s="909">
        <f>SUMIFS('Bilateral Assistance, MAIN DATA'!M:M,'Bilateral Assistance, MAIN DATA'!I:I,'Price List, Weapons &amp; Items'!B272)</f>
        <v>5000</v>
      </c>
      <c r="N272" s="71">
        <f>COUNTIFS('Bilateral Assistance, MAIN DATA'!M:M,"undisclosed",'Bilateral Assistance, MAIN DATA'!I:I,'Price List, Weapons &amp; Items'!B272)</f>
        <v>0</v>
      </c>
      <c r="O272" s="910">
        <f t="shared" si="29"/>
        <v>4000000</v>
      </c>
      <c r="P272" s="71">
        <f>IFERROR(IF(SEARCH(B272,_xlfn.ARRAYTOTEXT('Bilateral Assistance, MAIN DATA'!I$1:I$2206))&gt;0,1,""),0)</f>
        <v>0</v>
      </c>
      <c r="Q272" s="71">
        <f>IFERROR(IF(SEARCH(B272,_xlfn.ARRAYTOTEXT('Commercial Assistance'!I$1:I$1400))&gt;0,1,""),0)</f>
        <v>0</v>
      </c>
      <c r="R272" s="905" t="str">
        <f>IF(SUMIFS('Bilateral Assistance, MAIN DATA'!N:N,'Bilateral Assistance, MAIN DATA'!I:I,'Price List, Weapons &amp; Items'!B272)&gt;M272,1,".")</f>
        <v>.</v>
      </c>
    </row>
    <row r="273" spans="2:18" ht="15" customHeight="1">
      <c r="B273" s="914" t="s">
        <v>604</v>
      </c>
      <c r="C273" s="898" t="s">
        <v>1105</v>
      </c>
      <c r="D273" s="898" t="s">
        <v>1105</v>
      </c>
      <c r="E273" s="900">
        <v>0</v>
      </c>
      <c r="F273" s="900">
        <f t="shared" si="25"/>
        <v>0</v>
      </c>
      <c r="G273" s="892">
        <v>500</v>
      </c>
      <c r="H273" s="908" t="str">
        <f t="shared" si="27"/>
        <v>USD</v>
      </c>
      <c r="I273" s="886" t="s">
        <v>5500</v>
      </c>
      <c r="J273" s="901" t="s">
        <v>5082</v>
      </c>
      <c r="K273" s="901" t="s">
        <v>5501</v>
      </c>
      <c r="L273" s="905">
        <f t="shared" si="28"/>
        <v>2</v>
      </c>
      <c r="M273" s="909">
        <f>SUMIFS('Bilateral Assistance, MAIN DATA'!M:M,'Bilateral Assistance, MAIN DATA'!I:I,'Price List, Weapons &amp; Items'!B273)</f>
        <v>126090</v>
      </c>
      <c r="N273" s="71">
        <f>COUNTIFS('Bilateral Assistance, MAIN DATA'!M:M,"undisclosed",'Bilateral Assistance, MAIN DATA'!I:I,'Price List, Weapons &amp; Items'!B273)</f>
        <v>12</v>
      </c>
      <c r="O273" s="910">
        <f t="shared" si="29"/>
        <v>63045000</v>
      </c>
      <c r="P273" s="71">
        <f>IFERROR(IF(SEARCH(B273,_xlfn.ARRAYTOTEXT('Bilateral Assistance, MAIN DATA'!I$1:I$2206))&gt;0,1,""),0)</f>
        <v>0</v>
      </c>
      <c r="Q273" s="71">
        <f>IFERROR(IF(SEARCH(B273,_xlfn.ARRAYTOTEXT('Commercial Assistance'!I$1:I$1400))&gt;0,1,""),0)</f>
        <v>0</v>
      </c>
      <c r="R273" s="905" t="str">
        <f>IF(SUMIFS('Bilateral Assistance, MAIN DATA'!N:N,'Bilateral Assistance, MAIN DATA'!I:I,'Price List, Weapons &amp; Items'!B273)&gt;M273,1,".")</f>
        <v>.</v>
      </c>
    </row>
    <row r="274" spans="2:18" ht="15" customHeight="1">
      <c r="B274" s="915" t="s">
        <v>2253</v>
      </c>
      <c r="C274" s="898" t="s">
        <v>5059</v>
      </c>
      <c r="D274" s="899" t="s">
        <v>5502</v>
      </c>
      <c r="E274" s="900">
        <v>0</v>
      </c>
      <c r="F274" s="900">
        <f t="shared" si="25"/>
        <v>0</v>
      </c>
      <c r="G274" s="892">
        <v>400</v>
      </c>
      <c r="H274" s="908" t="str">
        <f t="shared" si="27"/>
        <v>USD</v>
      </c>
      <c r="I274" s="887" t="s">
        <v>5503</v>
      </c>
      <c r="J274" s="901" t="s">
        <v>5082</v>
      </c>
      <c r="K274" s="901" t="s">
        <v>5504</v>
      </c>
      <c r="L274" s="905">
        <f t="shared" si="28"/>
        <v>2</v>
      </c>
      <c r="M274" s="909">
        <f>SUMIFS('Bilateral Assistance, MAIN DATA'!M:M,'Bilateral Assistance, MAIN DATA'!I:I,'Price List, Weapons &amp; Items'!B274)</f>
        <v>167000</v>
      </c>
      <c r="N274" s="71">
        <f>COUNTIFS('Bilateral Assistance, MAIN DATA'!M:M,"undisclosed",'Bilateral Assistance, MAIN DATA'!I:I,'Price List, Weapons &amp; Items'!B274)</f>
        <v>2</v>
      </c>
      <c r="O274" s="910">
        <f t="shared" si="29"/>
        <v>66800000</v>
      </c>
      <c r="P274" s="71">
        <f>IFERROR(IF(SEARCH(B274,_xlfn.ARRAYTOTEXT('Bilateral Assistance, MAIN DATA'!I$1:I$2206))&gt;0,1,""),0)</f>
        <v>0</v>
      </c>
      <c r="Q274" s="71">
        <f>IFERROR(IF(SEARCH(B274,_xlfn.ARRAYTOTEXT('Commercial Assistance'!I$1:I$1400))&gt;0,1,""),0)</f>
        <v>0</v>
      </c>
      <c r="R274" s="905" t="str">
        <f>IF(SUMIFS('Bilateral Assistance, MAIN DATA'!N:N,'Bilateral Assistance, MAIN DATA'!I:I,'Price List, Weapons &amp; Items'!B274)&gt;M274,1,".")</f>
        <v>.</v>
      </c>
    </row>
    <row r="275" spans="2:18" ht="15" customHeight="1">
      <c r="B275" s="901" t="s">
        <v>5505</v>
      </c>
      <c r="C275" s="898" t="s">
        <v>1105</v>
      </c>
      <c r="D275" s="898" t="s">
        <v>1105</v>
      </c>
      <c r="E275" s="900">
        <v>0</v>
      </c>
      <c r="F275" s="900">
        <f t="shared" si="25"/>
        <v>0</v>
      </c>
      <c r="G275" s="892">
        <v>316.68</v>
      </c>
      <c r="H275" s="908" t="str">
        <f t="shared" si="27"/>
        <v>USD</v>
      </c>
      <c r="I275" s="885" t="s">
        <v>5506</v>
      </c>
      <c r="J275" s="901" t="s">
        <v>5086</v>
      </c>
      <c r="K275" s="901" t="s">
        <v>5507</v>
      </c>
      <c r="L275" s="905">
        <f t="shared" si="28"/>
        <v>2</v>
      </c>
      <c r="M275" s="909">
        <f>SUMIFS('Bilateral Assistance, MAIN DATA'!M:M,'Bilateral Assistance, MAIN DATA'!I:I,'Price List, Weapons &amp; Items'!B275)</f>
        <v>9300</v>
      </c>
      <c r="N275" s="71">
        <f>COUNTIFS('Bilateral Assistance, MAIN DATA'!M:M,"undisclosed",'Bilateral Assistance, MAIN DATA'!I:I,'Price List, Weapons &amp; Items'!B275)</f>
        <v>0</v>
      </c>
      <c r="O275" s="910">
        <f t="shared" si="29"/>
        <v>2945124</v>
      </c>
      <c r="P275" s="71">
        <f>IFERROR(IF(SEARCH(B275,_xlfn.ARRAYTOTEXT('Bilateral Assistance, MAIN DATA'!I$1:I$2206))&gt;0,1,""),0)</f>
        <v>0</v>
      </c>
      <c r="Q275" s="71">
        <f>IFERROR(IF(SEARCH(B275,_xlfn.ARRAYTOTEXT('Commercial Assistance'!I$1:I$1400))&gt;0,1,""),0)</f>
        <v>0</v>
      </c>
      <c r="R275" s="905" t="str">
        <f>IF(SUMIFS('Bilateral Assistance, MAIN DATA'!N:N,'Bilateral Assistance, MAIN DATA'!I:I,'Price List, Weapons &amp; Items'!B275)&gt;M275,1,".")</f>
        <v>.</v>
      </c>
    </row>
    <row r="276" spans="2:18" ht="15" customHeight="1">
      <c r="B276" s="901" t="s">
        <v>1084</v>
      </c>
      <c r="C276" s="898" t="s">
        <v>5059</v>
      </c>
      <c r="D276" s="899" t="s">
        <v>5245</v>
      </c>
      <c r="E276" s="900">
        <v>1</v>
      </c>
      <c r="F276" s="900">
        <f t="shared" si="25"/>
        <v>1</v>
      </c>
      <c r="G276" s="892">
        <v>1000</v>
      </c>
      <c r="H276" s="908" t="str">
        <f t="shared" si="27"/>
        <v>USD</v>
      </c>
      <c r="I276" s="886" t="s">
        <v>5246</v>
      </c>
      <c r="J276" s="901" t="s">
        <v>5080</v>
      </c>
      <c r="K276" s="901" t="s">
        <v>5508</v>
      </c>
      <c r="L276" s="905">
        <f t="shared" si="28"/>
        <v>2</v>
      </c>
      <c r="M276" s="909">
        <f>SUMIFS('Bilateral Assistance, MAIN DATA'!M:M,'Bilateral Assistance, MAIN DATA'!I:I,'Price List, Weapons &amp; Items'!B276)</f>
        <v>62222</v>
      </c>
      <c r="N276" s="71">
        <f>COUNTIFS('Bilateral Assistance, MAIN DATA'!M:M,"undisclosed",'Bilateral Assistance, MAIN DATA'!I:I,'Price List, Weapons &amp; Items'!B276)</f>
        <v>0</v>
      </c>
      <c r="O276" s="910">
        <f t="shared" si="29"/>
        <v>62222000</v>
      </c>
      <c r="P276" s="71">
        <f>IFERROR(IF(SEARCH(B276,_xlfn.ARRAYTOTEXT('Bilateral Assistance, MAIN DATA'!I$1:I$2206))&gt;0,1,""),0)</f>
        <v>0</v>
      </c>
      <c r="Q276" s="71">
        <f>IFERROR(IF(SEARCH(B276,_xlfn.ARRAYTOTEXT('Commercial Assistance'!I$1:I$1400))&gt;0,1,""),0)</f>
        <v>0</v>
      </c>
      <c r="R276" s="905" t="str">
        <f>IF(SUMIFS('Bilateral Assistance, MAIN DATA'!N:N,'Bilateral Assistance, MAIN DATA'!I:I,'Price List, Weapons &amp; Items'!B276)&gt;M276,1,".")</f>
        <v>.</v>
      </c>
    </row>
    <row r="277" spans="2:18" ht="15" customHeight="1">
      <c r="B277" s="912" t="s">
        <v>1936</v>
      </c>
      <c r="C277" s="898" t="s">
        <v>5059</v>
      </c>
      <c r="D277" s="899" t="s">
        <v>5509</v>
      </c>
      <c r="E277" s="900">
        <v>0</v>
      </c>
      <c r="F277" s="900">
        <f t="shared" si="25"/>
        <v>0</v>
      </c>
      <c r="G277" s="892">
        <v>266.94</v>
      </c>
      <c r="H277" s="908" t="str">
        <f t="shared" si="27"/>
        <v>USD</v>
      </c>
      <c r="I277" s="886" t="s">
        <v>5510</v>
      </c>
      <c r="J277" s="901" t="s">
        <v>5089</v>
      </c>
      <c r="K277" s="71" t="s">
        <v>5511</v>
      </c>
      <c r="L277" s="905">
        <f t="shared" si="28"/>
        <v>2</v>
      </c>
      <c r="M277" s="909">
        <f>SUMIFS('Bilateral Assistance, MAIN DATA'!M:M,'Bilateral Assistance, MAIN DATA'!I:I,'Price List, Weapons &amp; Items'!B277)</f>
        <v>353000</v>
      </c>
      <c r="N277" s="71">
        <f>COUNTIFS('Bilateral Assistance, MAIN DATA'!M:M,"undisclosed",'Bilateral Assistance, MAIN DATA'!I:I,'Price List, Weapons &amp; Items'!B277)</f>
        <v>0</v>
      </c>
      <c r="O277" s="910">
        <f t="shared" si="29"/>
        <v>94229820</v>
      </c>
      <c r="P277" s="71">
        <f>IFERROR(IF(SEARCH(B277,_xlfn.ARRAYTOTEXT('Bilateral Assistance, MAIN DATA'!I$1:I$2206))&gt;0,1,""),0)</f>
        <v>0</v>
      </c>
      <c r="Q277" s="71">
        <f>IFERROR(IF(SEARCH(B277,_xlfn.ARRAYTOTEXT('Commercial Assistance'!I$1:I$1400))&gt;0,1,""),0)</f>
        <v>0</v>
      </c>
      <c r="R277" s="905" t="str">
        <f>IF(SUMIFS('Bilateral Assistance, MAIN DATA'!N:N,'Bilateral Assistance, MAIN DATA'!I:I,'Price List, Weapons &amp; Items'!B277)&gt;M277,1,".")</f>
        <v>.</v>
      </c>
    </row>
    <row r="278" spans="2:18" ht="15" customHeight="1">
      <c r="B278" s="901" t="s">
        <v>3027</v>
      </c>
      <c r="C278" s="898" t="s">
        <v>5065</v>
      </c>
      <c r="D278" s="899" t="s">
        <v>5509</v>
      </c>
      <c r="E278" s="900">
        <v>1</v>
      </c>
      <c r="F278" s="900">
        <f t="shared" si="25"/>
        <v>0</v>
      </c>
      <c r="G278" s="892">
        <v>100</v>
      </c>
      <c r="H278" s="908" t="str">
        <f t="shared" si="27"/>
        <v>USD</v>
      </c>
      <c r="I278" s="886" t="s">
        <v>5512</v>
      </c>
      <c r="J278" s="901" t="s">
        <v>5080</v>
      </c>
      <c r="K278" s="901" t="s">
        <v>5513</v>
      </c>
      <c r="L278" s="905">
        <f t="shared" si="28"/>
        <v>2</v>
      </c>
      <c r="M278" s="909">
        <f>SUMIFS('Bilateral Assistance, MAIN DATA'!M:M,'Bilateral Assistance, MAIN DATA'!I:I,'Price List, Weapons &amp; Items'!B278)</f>
        <v>30000</v>
      </c>
      <c r="N278" s="71">
        <f>COUNTIFS('Bilateral Assistance, MAIN DATA'!M:M,"undisclosed",'Bilateral Assistance, MAIN DATA'!I:I,'Price List, Weapons &amp; Items'!B278)</f>
        <v>0</v>
      </c>
      <c r="O278" s="910">
        <f t="shared" si="29"/>
        <v>3000000</v>
      </c>
      <c r="P278" s="71">
        <f>IFERROR(IF(SEARCH(B278,_xlfn.ARRAYTOTEXT('Bilateral Assistance, MAIN DATA'!I$1:I$2206))&gt;0,1,""),0)</f>
        <v>0</v>
      </c>
      <c r="Q278" s="71">
        <f>IFERROR(IF(SEARCH(B278,_xlfn.ARRAYTOTEXT('Commercial Assistance'!I$1:I$1400))&gt;0,1,""),0)</f>
        <v>0</v>
      </c>
      <c r="R278" s="905" t="str">
        <f>IF(SUMIFS('Bilateral Assistance, MAIN DATA'!N:N,'Bilateral Assistance, MAIN DATA'!I:I,'Price List, Weapons &amp; Items'!B278)&gt;M278,1,".")</f>
        <v>.</v>
      </c>
    </row>
    <row r="279" spans="2:18" ht="15" customHeight="1">
      <c r="B279" s="901" t="s">
        <v>5514</v>
      </c>
      <c r="C279" s="898" t="s">
        <v>5056</v>
      </c>
      <c r="D279" s="899" t="s">
        <v>5091</v>
      </c>
      <c r="E279" s="900">
        <v>0</v>
      </c>
      <c r="F279" s="900">
        <f t="shared" si="25"/>
        <v>0</v>
      </c>
      <c r="G279" s="892">
        <v>45</v>
      </c>
      <c r="H279" s="908" t="str">
        <f t="shared" si="27"/>
        <v>USD</v>
      </c>
      <c r="I279" s="886" t="s">
        <v>5515</v>
      </c>
      <c r="J279" s="901" t="s">
        <v>5089</v>
      </c>
      <c r="K279" s="901" t="s">
        <v>5516</v>
      </c>
      <c r="L279" s="905">
        <f t="shared" si="28"/>
        <v>2</v>
      </c>
      <c r="M279" s="909">
        <f>SUMIFS('Bilateral Assistance, MAIN DATA'!M:M,'Bilateral Assistance, MAIN DATA'!I:I,'Price List, Weapons &amp; Items'!B279)</f>
        <v>107500</v>
      </c>
      <c r="N279" s="71">
        <f>COUNTIFS('Bilateral Assistance, MAIN DATA'!M:M,"undisclosed",'Bilateral Assistance, MAIN DATA'!I:I,'Price List, Weapons &amp; Items'!B279)</f>
        <v>3</v>
      </c>
      <c r="O279" s="910">
        <f t="shared" si="29"/>
        <v>4837500</v>
      </c>
      <c r="P279" s="71">
        <f>IFERROR(IF(SEARCH(B279,_xlfn.ARRAYTOTEXT('Bilateral Assistance, MAIN DATA'!I$1:I$2206))&gt;0,1,""),0)</f>
        <v>0</v>
      </c>
      <c r="Q279" s="71">
        <f>IFERROR(IF(SEARCH(B279,_xlfn.ARRAYTOTEXT('Commercial Assistance'!I$1:I$1400))&gt;0,1,""),0)</f>
        <v>0</v>
      </c>
      <c r="R279" s="905" t="str">
        <f>IF(SUMIFS('Bilateral Assistance, MAIN DATA'!N:N,'Bilateral Assistance, MAIN DATA'!I:I,'Price List, Weapons &amp; Items'!B279)&gt;M279,1,".")</f>
        <v>.</v>
      </c>
    </row>
    <row r="280" spans="2:18" ht="15" customHeight="1">
      <c r="B280" s="912" t="s">
        <v>611</v>
      </c>
      <c r="C280" s="898" t="s">
        <v>1105</v>
      </c>
      <c r="D280" s="898" t="s">
        <v>1105</v>
      </c>
      <c r="E280" s="900">
        <v>0</v>
      </c>
      <c r="F280" s="900">
        <f t="shared" si="25"/>
        <v>0</v>
      </c>
      <c r="G280" s="892">
        <v>37.82</v>
      </c>
      <c r="H280" s="908" t="str">
        <f t="shared" si="27"/>
        <v>USD</v>
      </c>
      <c r="I280" s="886" t="s">
        <v>5517</v>
      </c>
      <c r="J280" s="901" t="s">
        <v>5086</v>
      </c>
      <c r="K280" s="901" t="s">
        <v>5518</v>
      </c>
      <c r="L280" s="905">
        <f t="shared" si="28"/>
        <v>2</v>
      </c>
      <c r="M280" s="909">
        <f>SUMIFS('Bilateral Assistance, MAIN DATA'!M:M,'Bilateral Assistance, MAIN DATA'!I:I,'Price List, Weapons &amp; Items'!B280)</f>
        <v>211850</v>
      </c>
      <c r="N280" s="71">
        <f>COUNTIFS('Bilateral Assistance, MAIN DATA'!M:M,"undisclosed",'Bilateral Assistance, MAIN DATA'!I:I,'Price List, Weapons &amp; Items'!B280)</f>
        <v>2</v>
      </c>
      <c r="O280" s="910">
        <f t="shared" si="29"/>
        <v>8012167</v>
      </c>
      <c r="P280" s="71">
        <f>IFERROR(IF(SEARCH(B280,_xlfn.ARRAYTOTEXT('Bilateral Assistance, MAIN DATA'!I$1:I$2206))&gt;0,1,""),0)</f>
        <v>0</v>
      </c>
      <c r="Q280" s="71">
        <f>IFERROR(IF(SEARCH(B280,_xlfn.ARRAYTOTEXT('Commercial Assistance'!I$1:I$1400))&gt;0,1,""),0)</f>
        <v>0</v>
      </c>
      <c r="R280" s="905" t="str">
        <f>IF(SUMIFS('Bilateral Assistance, MAIN DATA'!N:N,'Bilateral Assistance, MAIN DATA'!I:I,'Price List, Weapons &amp; Items'!B280)&gt;M280,1,".")</f>
        <v>.</v>
      </c>
    </row>
    <row r="281" spans="2:18" ht="15" customHeight="1">
      <c r="B281" s="901" t="s">
        <v>2580</v>
      </c>
      <c r="C281" s="898" t="s">
        <v>1105</v>
      </c>
      <c r="D281" s="898" t="s">
        <v>1105</v>
      </c>
      <c r="E281" s="900">
        <v>0</v>
      </c>
      <c r="F281" s="900">
        <f t="shared" si="25"/>
        <v>0</v>
      </c>
      <c r="G281" s="892">
        <v>22</v>
      </c>
      <c r="H281" s="908" t="str">
        <f t="shared" si="27"/>
        <v>USD</v>
      </c>
      <c r="I281" s="926" t="s">
        <v>5519</v>
      </c>
      <c r="J281" s="901" t="s">
        <v>5086</v>
      </c>
      <c r="K281" s="901" t="s">
        <v>5520</v>
      </c>
      <c r="L281" s="905">
        <f t="shared" si="28"/>
        <v>2</v>
      </c>
      <c r="M281" s="909">
        <f>SUMIFS('Bilateral Assistance, MAIN DATA'!M:M,'Bilateral Assistance, MAIN DATA'!I:I,'Price List, Weapons &amp; Items'!B281)</f>
        <v>125800</v>
      </c>
      <c r="N281" s="71">
        <f>COUNTIFS('Bilateral Assistance, MAIN DATA'!M:M,"undisclosed",'Bilateral Assistance, MAIN DATA'!I:I,'Price List, Weapons &amp; Items'!B281)</f>
        <v>1</v>
      </c>
      <c r="O281" s="910">
        <f t="shared" si="29"/>
        <v>2767600</v>
      </c>
      <c r="P281" s="71">
        <f>IFERROR(IF(SEARCH(B281,_xlfn.ARRAYTOTEXT('Bilateral Assistance, MAIN DATA'!I$1:I$2206))&gt;0,1,""),0)</f>
        <v>0</v>
      </c>
      <c r="Q281" s="71">
        <f>IFERROR(IF(SEARCH(B281,_xlfn.ARRAYTOTEXT('Commercial Assistance'!I$1:I$1400))&gt;0,1,""),0)</f>
        <v>0</v>
      </c>
      <c r="R281" s="905" t="str">
        <f>IF(SUMIFS('Bilateral Assistance, MAIN DATA'!N:N,'Bilateral Assistance, MAIN DATA'!I:I,'Price List, Weapons &amp; Items'!B281)&gt;M281,1,".")</f>
        <v>.</v>
      </c>
    </row>
    <row r="282" spans="2:18" ht="15" customHeight="1">
      <c r="B282" s="901" t="s">
        <v>5521</v>
      </c>
      <c r="C282" s="898" t="s">
        <v>1105</v>
      </c>
      <c r="D282" s="898" t="s">
        <v>1105</v>
      </c>
      <c r="E282" s="900">
        <v>0</v>
      </c>
      <c r="F282" s="900">
        <f t="shared" si="25"/>
        <v>0</v>
      </c>
      <c r="G282" s="892">
        <v>22</v>
      </c>
      <c r="H282" s="908" t="str">
        <f t="shared" si="27"/>
        <v>USD</v>
      </c>
      <c r="I282" s="926" t="s">
        <v>5519</v>
      </c>
      <c r="J282" s="901" t="s">
        <v>5086</v>
      </c>
      <c r="K282" s="901" t="s">
        <v>5520</v>
      </c>
      <c r="L282" s="905">
        <f t="shared" si="28"/>
        <v>1</v>
      </c>
      <c r="M282" s="909">
        <f>SUMIFS('Bilateral Assistance, MAIN DATA'!M:M,'Bilateral Assistance, MAIN DATA'!I:I,'Price List, Weapons &amp; Items'!B282)</f>
        <v>85000</v>
      </c>
      <c r="N282" s="71">
        <f>COUNTIFS('Bilateral Assistance, MAIN DATA'!M:M,"undisclosed",'Bilateral Assistance, MAIN DATA'!I:I,'Price List, Weapons &amp; Items'!B282)</f>
        <v>0</v>
      </c>
      <c r="O282" s="910">
        <f t="shared" si="29"/>
        <v>1870000</v>
      </c>
      <c r="P282" s="71">
        <f>IFERROR(IF(SEARCH(B282,_xlfn.ARRAYTOTEXT('Bilateral Assistance, MAIN DATA'!I$1:I$2206))&gt;0,1,""),0)</f>
        <v>0</v>
      </c>
      <c r="Q282" s="71">
        <f>IFERROR(IF(SEARCH(B282,_xlfn.ARRAYTOTEXT('Commercial Assistance'!I$1:I$1400))&gt;0,1,""),0)</f>
        <v>0</v>
      </c>
      <c r="R282" s="905" t="str">
        <f>IF(SUMIFS('Bilateral Assistance, MAIN DATA'!N:N,'Bilateral Assistance, MAIN DATA'!I:I,'Price List, Weapons &amp; Items'!B282)&gt;M282,1,".")</f>
        <v>.</v>
      </c>
    </row>
    <row r="283" spans="2:18" ht="15" customHeight="1">
      <c r="B283" s="901" t="s">
        <v>1943</v>
      </c>
      <c r="C283" s="898" t="s">
        <v>1105</v>
      </c>
      <c r="D283" s="898" t="s">
        <v>1105</v>
      </c>
      <c r="E283" s="900">
        <v>0</v>
      </c>
      <c r="F283" s="900">
        <f t="shared" si="25"/>
        <v>0</v>
      </c>
      <c r="G283" s="892">
        <v>22</v>
      </c>
      <c r="H283" s="908" t="str">
        <f t="shared" si="27"/>
        <v>USD</v>
      </c>
      <c r="I283" s="926" t="s">
        <v>5519</v>
      </c>
      <c r="J283" s="901" t="s">
        <v>5086</v>
      </c>
      <c r="K283" s="901" t="s">
        <v>5520</v>
      </c>
      <c r="L283" s="905">
        <f t="shared" si="28"/>
        <v>2</v>
      </c>
      <c r="M283" s="909">
        <f>SUMIFS('Bilateral Assistance, MAIN DATA'!M:M,'Bilateral Assistance, MAIN DATA'!I:I,'Price List, Weapons &amp; Items'!B283)</f>
        <v>146000</v>
      </c>
      <c r="N283" s="71">
        <f>COUNTIFS('Bilateral Assistance, MAIN DATA'!M:M,"undisclosed",'Bilateral Assistance, MAIN DATA'!I:I,'Price List, Weapons &amp; Items'!B283)</f>
        <v>1</v>
      </c>
      <c r="O283" s="910">
        <f t="shared" si="29"/>
        <v>3212000</v>
      </c>
      <c r="P283" s="71">
        <f>IFERROR(IF(SEARCH(B283,_xlfn.ARRAYTOTEXT('Bilateral Assistance, MAIN DATA'!I$1:I$2206))&gt;0,1,""),0)</f>
        <v>0</v>
      </c>
      <c r="Q283" s="71">
        <f>IFERROR(IF(SEARCH(B283,_xlfn.ARRAYTOTEXT('Commercial Assistance'!I$1:I$1400))&gt;0,1,""),0)</f>
        <v>0</v>
      </c>
      <c r="R283" s="905" t="str">
        <f>IF(SUMIFS('Bilateral Assistance, MAIN DATA'!N:N,'Bilateral Assistance, MAIN DATA'!I:I,'Price List, Weapons &amp; Items'!B283)&gt;M283,1,".")</f>
        <v>.</v>
      </c>
    </row>
    <row r="284" spans="2:18" ht="15" customHeight="1">
      <c r="B284" s="916" t="s">
        <v>1899</v>
      </c>
      <c r="C284" s="898" t="s">
        <v>1105</v>
      </c>
      <c r="D284" s="898" t="s">
        <v>1105</v>
      </c>
      <c r="E284" s="900">
        <v>0</v>
      </c>
      <c r="F284" s="900">
        <f t="shared" si="25"/>
        <v>0</v>
      </c>
      <c r="G284" s="892">
        <v>22</v>
      </c>
      <c r="H284" s="908" t="str">
        <f t="shared" si="27"/>
        <v>USD</v>
      </c>
      <c r="I284" s="926" t="s">
        <v>5519</v>
      </c>
      <c r="J284" s="901" t="s">
        <v>5086</v>
      </c>
      <c r="K284" s="901" t="s">
        <v>5520</v>
      </c>
      <c r="L284" s="905">
        <f t="shared" si="28"/>
        <v>2</v>
      </c>
      <c r="M284" s="909">
        <f>SUMIFS('Bilateral Assistance, MAIN DATA'!M:M,'Bilateral Assistance, MAIN DATA'!I:I,'Price List, Weapons &amp; Items'!B284)</f>
        <v>405000</v>
      </c>
      <c r="N284" s="71">
        <f>COUNTIFS('Bilateral Assistance, MAIN DATA'!M:M,"undisclosed",'Bilateral Assistance, MAIN DATA'!I:I,'Price List, Weapons &amp; Items'!B284)</f>
        <v>0</v>
      </c>
      <c r="O284" s="910">
        <f t="shared" si="29"/>
        <v>8910000</v>
      </c>
      <c r="P284" s="71">
        <f>IFERROR(IF(SEARCH(B284,_xlfn.ARRAYTOTEXT('Bilateral Assistance, MAIN DATA'!I$1:I$2206))&gt;0,1,""),0)</f>
        <v>0</v>
      </c>
      <c r="Q284" s="71">
        <f>IFERROR(IF(SEARCH(B284,_xlfn.ARRAYTOTEXT('Commercial Assistance'!I$1:I$1400))&gt;0,1,""),0)</f>
        <v>0</v>
      </c>
      <c r="R284" s="905" t="str">
        <f>IF(SUMIFS('Bilateral Assistance, MAIN DATA'!N:N,'Bilateral Assistance, MAIN DATA'!I:I,'Price List, Weapons &amp; Items'!B284)&gt;M284,1,".")</f>
        <v>.</v>
      </c>
    </row>
    <row r="285" spans="2:18" ht="15" customHeight="1">
      <c r="B285" s="901" t="s">
        <v>5522</v>
      </c>
      <c r="C285" s="898" t="s">
        <v>1105</v>
      </c>
      <c r="D285" s="898" t="s">
        <v>1105</v>
      </c>
      <c r="E285" s="900">
        <v>0</v>
      </c>
      <c r="F285" s="900">
        <f t="shared" si="25"/>
        <v>0</v>
      </c>
      <c r="G285" s="892">
        <v>22</v>
      </c>
      <c r="H285" s="908" t="str">
        <f t="shared" si="27"/>
        <v>USD</v>
      </c>
      <c r="I285" s="926" t="s">
        <v>5519</v>
      </c>
      <c r="J285" s="901" t="s">
        <v>5086</v>
      </c>
      <c r="K285" s="901" t="s">
        <v>5520</v>
      </c>
      <c r="L285" s="905">
        <f t="shared" si="28"/>
        <v>2</v>
      </c>
      <c r="M285" s="909">
        <f>SUMIFS('Bilateral Assistance, MAIN DATA'!M:M,'Bilateral Assistance, MAIN DATA'!I:I,'Price List, Weapons &amp; Items'!B285)</f>
        <v>390000</v>
      </c>
      <c r="N285" s="71">
        <f>COUNTIFS('Bilateral Assistance, MAIN DATA'!M:M,"undisclosed",'Bilateral Assistance, MAIN DATA'!I:I,'Price List, Weapons &amp; Items'!B285)</f>
        <v>0</v>
      </c>
      <c r="O285" s="910">
        <f t="shared" si="29"/>
        <v>8580000</v>
      </c>
      <c r="P285" s="71">
        <f>IFERROR(IF(SEARCH(B285,_xlfn.ARRAYTOTEXT('Bilateral Assistance, MAIN DATA'!I$1:I$2206))&gt;0,1,""),0)</f>
        <v>0</v>
      </c>
      <c r="Q285" s="71">
        <f>IFERROR(IF(SEARCH(B285,_xlfn.ARRAYTOTEXT('Commercial Assistance'!I$1:I$1400))&gt;0,1,""),0)</f>
        <v>0</v>
      </c>
      <c r="R285" s="905" t="str">
        <f>IF(SUMIFS('Bilateral Assistance, MAIN DATA'!N:N,'Bilateral Assistance, MAIN DATA'!I:I,'Price List, Weapons &amp; Items'!B285)&gt;M285,1,".")</f>
        <v>.</v>
      </c>
    </row>
    <row r="286" spans="2:18" ht="15" customHeight="1">
      <c r="B286" s="901" t="s">
        <v>5523</v>
      </c>
      <c r="C286" s="898" t="s">
        <v>1105</v>
      </c>
      <c r="D286" s="898" t="s">
        <v>1105</v>
      </c>
      <c r="E286" s="900">
        <v>0</v>
      </c>
      <c r="F286" s="900">
        <f t="shared" si="25"/>
        <v>0</v>
      </c>
      <c r="G286" s="892">
        <v>8.76</v>
      </c>
      <c r="H286" s="908" t="str">
        <f t="shared" si="27"/>
        <v>USD</v>
      </c>
      <c r="I286" s="886" t="s">
        <v>5524</v>
      </c>
      <c r="J286" s="901" t="s">
        <v>5086</v>
      </c>
      <c r="K286" s="901" t="s">
        <v>5525</v>
      </c>
      <c r="L286" s="905">
        <f t="shared" si="28"/>
        <v>2</v>
      </c>
      <c r="M286" s="909">
        <f>SUMIFS('Bilateral Assistance, MAIN DATA'!M:M,'Bilateral Assistance, MAIN DATA'!I:I,'Price List, Weapons &amp; Items'!B286)</f>
        <v>450000</v>
      </c>
      <c r="N286" s="71">
        <f>COUNTIFS('Bilateral Assistance, MAIN DATA'!M:M,"undisclosed",'Bilateral Assistance, MAIN DATA'!I:I,'Price List, Weapons &amp; Items'!B286)</f>
        <v>0</v>
      </c>
      <c r="O286" s="910">
        <f t="shared" si="29"/>
        <v>3942000</v>
      </c>
      <c r="P286" s="71">
        <f>IFERROR(IF(SEARCH(B286,_xlfn.ARRAYTOTEXT('Bilateral Assistance, MAIN DATA'!I$1:I$2206))&gt;0,1,""),0)</f>
        <v>0</v>
      </c>
      <c r="Q286" s="71">
        <f>IFERROR(IF(SEARCH(B286,_xlfn.ARRAYTOTEXT('Commercial Assistance'!I$1:I$1400))&gt;0,1,""),0)</f>
        <v>0</v>
      </c>
      <c r="R286" s="905" t="str">
        <f>IF(SUMIFS('Bilateral Assistance, MAIN DATA'!N:N,'Bilateral Assistance, MAIN DATA'!I:I,'Price List, Weapons &amp; Items'!B286)&gt;M286,1,".")</f>
        <v>.</v>
      </c>
    </row>
    <row r="287" spans="2:18" ht="15" customHeight="1">
      <c r="B287" s="916" t="s">
        <v>623</v>
      </c>
      <c r="C287" s="898" t="s">
        <v>5065</v>
      </c>
      <c r="D287" s="899" t="s">
        <v>5066</v>
      </c>
      <c r="E287" s="900">
        <v>0</v>
      </c>
      <c r="F287" s="900">
        <f t="shared" si="25"/>
        <v>0</v>
      </c>
      <c r="G287" s="892">
        <v>5</v>
      </c>
      <c r="H287" s="908" t="str">
        <f t="shared" si="27"/>
        <v>USD</v>
      </c>
      <c r="I287" s="927" t="s">
        <v>5526</v>
      </c>
      <c r="J287" s="901" t="s">
        <v>5089</v>
      </c>
      <c r="K287" s="901" t="s">
        <v>5527</v>
      </c>
      <c r="L287" s="905">
        <f t="shared" si="28"/>
        <v>2</v>
      </c>
      <c r="M287" s="909">
        <f>SUMIFS('Bilateral Assistance, MAIN DATA'!M:M,'Bilateral Assistance, MAIN DATA'!I:I,'Price List, Weapons &amp; Items'!B287)</f>
        <v>22300000</v>
      </c>
      <c r="N287" s="71">
        <f>COUNTIFS('Bilateral Assistance, MAIN DATA'!M:M,"undisclosed",'Bilateral Assistance, MAIN DATA'!I:I,'Price List, Weapons &amp; Items'!B287)</f>
        <v>1</v>
      </c>
      <c r="O287" s="910">
        <f t="shared" si="29"/>
        <v>111500000</v>
      </c>
      <c r="P287" s="71">
        <f>IFERROR(IF(SEARCH(B287,_xlfn.ARRAYTOTEXT('Bilateral Assistance, MAIN DATA'!I$1:I$2206))&gt;0,1,""),0)</f>
        <v>0</v>
      </c>
      <c r="Q287" s="71">
        <f>IFERROR(IF(SEARCH(B287,_xlfn.ARRAYTOTEXT('Commercial Assistance'!I$1:I$1400))&gt;0,1,""),0)</f>
        <v>0</v>
      </c>
      <c r="R287" s="905" t="str">
        <f>IF(SUMIFS('Bilateral Assistance, MAIN DATA'!N:N,'Bilateral Assistance, MAIN DATA'!I:I,'Price List, Weapons &amp; Items'!B287)&gt;M287,1,".")</f>
        <v>.</v>
      </c>
    </row>
    <row r="288" spans="2:18" ht="15" customHeight="1">
      <c r="B288" s="901" t="s">
        <v>608</v>
      </c>
      <c r="C288" s="898" t="s">
        <v>5065</v>
      </c>
      <c r="D288" s="899" t="s">
        <v>5066</v>
      </c>
      <c r="E288" s="900">
        <v>0</v>
      </c>
      <c r="F288" s="900">
        <f t="shared" si="25"/>
        <v>0</v>
      </c>
      <c r="G288" s="892">
        <v>5</v>
      </c>
      <c r="H288" s="908" t="str">
        <f t="shared" si="27"/>
        <v>USD</v>
      </c>
      <c r="I288" s="927" t="s">
        <v>5526</v>
      </c>
      <c r="J288" s="901" t="s">
        <v>5089</v>
      </c>
      <c r="K288" s="901" t="s">
        <v>5527</v>
      </c>
      <c r="L288" s="905">
        <f t="shared" si="28"/>
        <v>2</v>
      </c>
      <c r="M288" s="909">
        <f>SUMIFS('Bilateral Assistance, MAIN DATA'!M:M,'Bilateral Assistance, MAIN DATA'!I:I,'Price List, Weapons &amp; Items'!B288)</f>
        <v>52200000</v>
      </c>
      <c r="N288" s="71">
        <f>COUNTIFS('Bilateral Assistance, MAIN DATA'!M:M,"undisclosed",'Bilateral Assistance, MAIN DATA'!I:I,'Price List, Weapons &amp; Items'!B288)</f>
        <v>1</v>
      </c>
      <c r="O288" s="910">
        <f t="shared" si="29"/>
        <v>261000000</v>
      </c>
      <c r="P288" s="71">
        <f>IFERROR(IF(SEARCH(B288,_xlfn.ARRAYTOTEXT('Bilateral Assistance, MAIN DATA'!I$1:I$2206))&gt;0,1,""),0)</f>
        <v>0</v>
      </c>
      <c r="Q288" s="71">
        <f>IFERROR(IF(SEARCH(B288,_xlfn.ARRAYTOTEXT('Commercial Assistance'!I$1:I$1400))&gt;0,1,""),0)</f>
        <v>0</v>
      </c>
      <c r="R288" s="905" t="str">
        <f>IF(SUMIFS('Bilateral Assistance, MAIN DATA'!N:N,'Bilateral Assistance, MAIN DATA'!I:I,'Price List, Weapons &amp; Items'!B288)&gt;M288,1,".")</f>
        <v>.</v>
      </c>
    </row>
    <row r="289" spans="2:18" ht="15" customHeight="1">
      <c r="B289" s="912" t="s">
        <v>5528</v>
      </c>
      <c r="C289" s="898" t="s">
        <v>5065</v>
      </c>
      <c r="D289" s="899" t="s">
        <v>5066</v>
      </c>
      <c r="E289" s="900">
        <v>1</v>
      </c>
      <c r="F289" s="900">
        <f t="shared" si="25"/>
        <v>0</v>
      </c>
      <c r="G289" s="892">
        <v>0.95</v>
      </c>
      <c r="H289" s="908" t="str">
        <f t="shared" si="27"/>
        <v>USD</v>
      </c>
      <c r="I289" s="886" t="s">
        <v>5529</v>
      </c>
      <c r="J289" s="901" t="s">
        <v>5086</v>
      </c>
      <c r="K289" s="901" t="s">
        <v>5530</v>
      </c>
      <c r="L289" s="905">
        <f t="shared" si="28"/>
        <v>1</v>
      </c>
      <c r="M289" s="909">
        <f>SUMIFS('Bilateral Assistance, MAIN DATA'!M:M,'Bilateral Assistance, MAIN DATA'!I:I,'Price List, Weapons &amp; Items'!B289)</f>
        <v>1000000</v>
      </c>
      <c r="N289" s="71">
        <f>COUNTIFS('Bilateral Assistance, MAIN DATA'!M:M,"undisclosed",'Bilateral Assistance, MAIN DATA'!I:I,'Price List, Weapons &amp; Items'!B289)</f>
        <v>0</v>
      </c>
      <c r="O289" s="910">
        <f t="shared" si="29"/>
        <v>950000</v>
      </c>
      <c r="P289" s="71">
        <f>IFERROR(IF(SEARCH(B289,_xlfn.ARRAYTOTEXT('Bilateral Assistance, MAIN DATA'!I$1:I$2206))&gt;0,1,""),0)</f>
        <v>0</v>
      </c>
      <c r="Q289" s="71">
        <f>IFERROR(IF(SEARCH(B289,_xlfn.ARRAYTOTEXT('Commercial Assistance'!I$1:I$1400))&gt;0,1,""),0)</f>
        <v>0</v>
      </c>
      <c r="R289" s="905" t="str">
        <f>IF(SUMIFS('Bilateral Assistance, MAIN DATA'!N:N,'Bilateral Assistance, MAIN DATA'!I:I,'Price List, Weapons &amp; Items'!B289)&gt;M289,1,".")</f>
        <v>.</v>
      </c>
    </row>
    <row r="290" spans="2:18" ht="15" customHeight="1">
      <c r="B290" s="912" t="s">
        <v>5531</v>
      </c>
      <c r="C290" s="898" t="s">
        <v>5065</v>
      </c>
      <c r="D290" s="899" t="s">
        <v>5066</v>
      </c>
      <c r="E290" s="900">
        <v>0</v>
      </c>
      <c r="F290" s="900">
        <f t="shared" si="25"/>
        <v>0</v>
      </c>
      <c r="G290" s="892">
        <v>0.95</v>
      </c>
      <c r="H290" s="908" t="str">
        <f t="shared" si="27"/>
        <v>USD</v>
      </c>
      <c r="I290" s="886" t="s">
        <v>5529</v>
      </c>
      <c r="J290" s="901" t="s">
        <v>5086</v>
      </c>
      <c r="K290" s="901" t="s">
        <v>5530</v>
      </c>
      <c r="L290" s="905">
        <f t="shared" si="28"/>
        <v>1</v>
      </c>
      <c r="M290" s="909">
        <f>SUMIFS('Bilateral Assistance, MAIN DATA'!M:M,'Bilateral Assistance, MAIN DATA'!I:I,'Price List, Weapons &amp; Items'!B290)</f>
        <v>1000000</v>
      </c>
      <c r="N290" s="71">
        <f>COUNTIFS('Bilateral Assistance, MAIN DATA'!M:M,"undisclosed",'Bilateral Assistance, MAIN DATA'!I:I,'Price List, Weapons &amp; Items'!B290)</f>
        <v>0</v>
      </c>
      <c r="O290" s="910">
        <f t="shared" si="29"/>
        <v>950000</v>
      </c>
      <c r="P290" s="71">
        <f>IFERROR(IF(SEARCH(B290,_xlfn.ARRAYTOTEXT('Bilateral Assistance, MAIN DATA'!I$1:I$2206))&gt;0,1,""),0)</f>
        <v>0</v>
      </c>
      <c r="Q290" s="71">
        <f>IFERROR(IF(SEARCH(B290,_xlfn.ARRAYTOTEXT('Commercial Assistance'!I$1:I$1400))&gt;0,1,""),0)</f>
        <v>0</v>
      </c>
      <c r="R290" s="905" t="str">
        <f>IF(SUMIFS('Bilateral Assistance, MAIN DATA'!N:N,'Bilateral Assistance, MAIN DATA'!I:I,'Price List, Weapons &amp; Items'!B290)&gt;M290,1,".")</f>
        <v>.</v>
      </c>
    </row>
    <row r="291" spans="2:18" ht="15" customHeight="1">
      <c r="B291" s="901" t="s">
        <v>2005</v>
      </c>
      <c r="C291" s="898" t="s">
        <v>5065</v>
      </c>
      <c r="D291" s="899" t="s">
        <v>5066</v>
      </c>
      <c r="E291" s="900">
        <v>0</v>
      </c>
      <c r="F291" s="900">
        <f t="shared" si="25"/>
        <v>0</v>
      </c>
      <c r="G291" s="892">
        <v>0.57999999999999996</v>
      </c>
      <c r="H291" s="908" t="str">
        <f t="shared" si="27"/>
        <v>USD</v>
      </c>
      <c r="I291" s="885" t="s">
        <v>5532</v>
      </c>
      <c r="J291" s="901" t="s">
        <v>5086</v>
      </c>
      <c r="K291" s="901" t="s">
        <v>5533</v>
      </c>
      <c r="L291" s="905">
        <f t="shared" si="28"/>
        <v>1</v>
      </c>
      <c r="M291" s="909">
        <f>SUMIFS('Bilateral Assistance, MAIN DATA'!M:M,'Bilateral Assistance, MAIN DATA'!I:I,'Price List, Weapons &amp; Items'!B291)</f>
        <v>3200000</v>
      </c>
      <c r="N291" s="71">
        <f>COUNTIFS('Bilateral Assistance, MAIN DATA'!M:M,"undisclosed",'Bilateral Assistance, MAIN DATA'!I:I,'Price List, Weapons &amp; Items'!B291)</f>
        <v>0</v>
      </c>
      <c r="O291" s="910">
        <f t="shared" si="29"/>
        <v>1855999.9999999998</v>
      </c>
      <c r="P291" s="71">
        <f>IFERROR(IF(SEARCH(B291,_xlfn.ARRAYTOTEXT('Bilateral Assistance, MAIN DATA'!I$1:I$2206))&gt;0,1,""),0)</f>
        <v>0</v>
      </c>
      <c r="Q291" s="71">
        <f>IFERROR(IF(SEARCH(B291,_xlfn.ARRAYTOTEXT('Commercial Assistance'!I$1:I$1400))&gt;0,1,""),0)</f>
        <v>0</v>
      </c>
      <c r="R291" s="905" t="str">
        <f>IF(SUMIFS('Bilateral Assistance, MAIN DATA'!N:N,'Bilateral Assistance, MAIN DATA'!I:I,'Price List, Weapons &amp; Items'!B291)&gt;M291,1,".")</f>
        <v>.</v>
      </c>
    </row>
    <row r="292" spans="2:18" ht="15" customHeight="1">
      <c r="B292" s="912" t="s">
        <v>1900</v>
      </c>
      <c r="C292" s="898" t="s">
        <v>5059</v>
      </c>
      <c r="D292" s="899" t="s">
        <v>5509</v>
      </c>
      <c r="E292" s="900">
        <v>0</v>
      </c>
      <c r="F292" s="900">
        <f t="shared" si="25"/>
        <v>0</v>
      </c>
      <c r="G292" s="892">
        <v>266.94</v>
      </c>
      <c r="H292" s="908" t="str">
        <f t="shared" si="27"/>
        <v>USD</v>
      </c>
      <c r="I292" s="886" t="s">
        <v>5510</v>
      </c>
      <c r="J292" s="901" t="s">
        <v>5089</v>
      </c>
      <c r="K292" s="901" t="s">
        <v>5511</v>
      </c>
      <c r="L292" s="905">
        <f t="shared" si="28"/>
        <v>1</v>
      </c>
      <c r="M292" s="909">
        <f>SUMIFS('Bilateral Assistance, MAIN DATA'!M:M,'Bilateral Assistance, MAIN DATA'!I:I,'Price List, Weapons &amp; Items'!B292)</f>
        <v>4000</v>
      </c>
      <c r="N292" s="71">
        <f>COUNTIFS('Bilateral Assistance, MAIN DATA'!M:M,"undisclosed",'Bilateral Assistance, MAIN DATA'!I:I,'Price List, Weapons &amp; Items'!B292)</f>
        <v>0</v>
      </c>
      <c r="O292" s="910">
        <f t="shared" si="29"/>
        <v>1067760</v>
      </c>
      <c r="P292" s="71">
        <f>IFERROR(IF(SEARCH(B292,_xlfn.ARRAYTOTEXT('Bilateral Assistance, MAIN DATA'!I$1:I$2206))&gt;0,1,""),0)</f>
        <v>0</v>
      </c>
      <c r="Q292" s="71">
        <f>IFERROR(IF(SEARCH(B292,_xlfn.ARRAYTOTEXT('Commercial Assistance'!I$1:I$1400))&gt;0,1,""),0)</f>
        <v>0</v>
      </c>
      <c r="R292" s="905" t="str">
        <f>IF(SUMIFS('Bilateral Assistance, MAIN DATA'!N:N,'Bilateral Assistance, MAIN DATA'!I:I,'Price List, Weapons &amp; Items'!B292)&gt;M292,1,".")</f>
        <v>.</v>
      </c>
    </row>
    <row r="293" spans="2:18" ht="15" customHeight="1">
      <c r="B293" s="901" t="s">
        <v>1842</v>
      </c>
      <c r="C293" s="898" t="s">
        <v>5065</v>
      </c>
      <c r="D293" s="899" t="s">
        <v>5066</v>
      </c>
      <c r="E293" s="900">
        <v>0</v>
      </c>
      <c r="F293" s="900">
        <f t="shared" si="25"/>
        <v>0</v>
      </c>
      <c r="G293" s="892">
        <v>55</v>
      </c>
      <c r="H293" s="900" t="s">
        <v>456</v>
      </c>
      <c r="I293" s="885" t="s">
        <v>5534</v>
      </c>
      <c r="J293" s="901" t="s">
        <v>5082</v>
      </c>
      <c r="K293" s="901" t="s">
        <v>5535</v>
      </c>
      <c r="L293" s="905">
        <f t="shared" si="28"/>
        <v>2</v>
      </c>
      <c r="M293" s="909">
        <f>SUMIFS('Bilateral Assistance, MAIN DATA'!M:M,'Bilateral Assistance, MAIN DATA'!I:I,'Price List, Weapons &amp; Items'!B293)</f>
        <v>216000</v>
      </c>
      <c r="N293" s="71">
        <f>COUNTIFS('Bilateral Assistance, MAIN DATA'!M:M,"undisclosed",'Bilateral Assistance, MAIN DATA'!I:I,'Price List, Weapons &amp; Items'!B293)</f>
        <v>1</v>
      </c>
      <c r="O293" s="910">
        <f t="shared" si="29"/>
        <v>11880000</v>
      </c>
      <c r="P293" s="71">
        <f>IFERROR(IF(SEARCH(B293,_xlfn.ARRAYTOTEXT('Bilateral Assistance, MAIN DATA'!I$1:I$2206))&gt;0,1,""),0)</f>
        <v>0</v>
      </c>
      <c r="Q293" s="71">
        <f>IFERROR(IF(SEARCH(B293,_xlfn.ARRAYTOTEXT('Commercial Assistance'!I$1:I$1400))&gt;0,1,""),0)</f>
        <v>0</v>
      </c>
      <c r="R293" s="905" t="str">
        <f>IF(SUMIFS('Bilateral Assistance, MAIN DATA'!N:N,'Bilateral Assistance, MAIN DATA'!I:I,'Price List, Weapons &amp; Items'!B293)&gt;M293,1,".")</f>
        <v>.</v>
      </c>
    </row>
    <row r="294" spans="2:18" ht="15" customHeight="1">
      <c r="B294" s="901" t="s">
        <v>1889</v>
      </c>
      <c r="C294" s="898" t="s">
        <v>5062</v>
      </c>
      <c r="D294" s="899" t="s">
        <v>5152</v>
      </c>
      <c r="E294" s="900">
        <v>0</v>
      </c>
      <c r="F294" s="900">
        <f t="shared" si="25"/>
        <v>1</v>
      </c>
      <c r="G294" s="892">
        <v>500000</v>
      </c>
      <c r="H294" s="900" t="s">
        <v>456</v>
      </c>
      <c r="I294" s="890" t="s">
        <v>5536</v>
      </c>
      <c r="J294" s="913" t="s">
        <v>5082</v>
      </c>
      <c r="K294" s="901" t="s">
        <v>5537</v>
      </c>
      <c r="L294" s="905">
        <f t="shared" si="28"/>
        <v>2</v>
      </c>
      <c r="M294" s="909">
        <f>SUMIFS('Bilateral Assistance, MAIN DATA'!M:M,'Bilateral Assistance, MAIN DATA'!I:I,'Price List, Weapons &amp; Items'!B294)</f>
        <v>50</v>
      </c>
      <c r="N294" s="71">
        <f>COUNTIFS('Bilateral Assistance, MAIN DATA'!M:M,"undisclosed",'Bilateral Assistance, MAIN DATA'!I:I,'Price List, Weapons &amp; Items'!B294)</f>
        <v>0</v>
      </c>
      <c r="O294" s="910">
        <f t="shared" si="29"/>
        <v>25000000</v>
      </c>
      <c r="P294" s="71">
        <f>IFERROR(IF(SEARCH(B294,_xlfn.ARRAYTOTEXT('Bilateral Assistance, MAIN DATA'!I$1:I$2206))&gt;0,1,""),0)</f>
        <v>0</v>
      </c>
      <c r="Q294" s="71">
        <f>IFERROR(IF(SEARCH(B294,_xlfn.ARRAYTOTEXT('Commercial Assistance'!I$1:I$1400))&gt;0,1,""),0)</f>
        <v>0</v>
      </c>
      <c r="R294" s="905" t="str">
        <f>IF(SUMIFS('Bilateral Assistance, MAIN DATA'!N:N,'Bilateral Assistance, MAIN DATA'!I:I,'Price List, Weapons &amp; Items'!B294)&gt;M294,1,".")</f>
        <v>.</v>
      </c>
    </row>
    <row r="295" spans="2:18" ht="15" customHeight="1">
      <c r="B295" s="901" t="s">
        <v>1845</v>
      </c>
      <c r="C295" s="898" t="s">
        <v>1105</v>
      </c>
      <c r="D295" s="899" t="s">
        <v>5298</v>
      </c>
      <c r="E295" s="900">
        <v>0</v>
      </c>
      <c r="F295" s="900">
        <f t="shared" si="25"/>
        <v>0</v>
      </c>
      <c r="G295" s="892">
        <v>94550</v>
      </c>
      <c r="H295" s="900" t="s">
        <v>456</v>
      </c>
      <c r="I295" s="885" t="s">
        <v>5538</v>
      </c>
      <c r="J295" s="913" t="s">
        <v>5086</v>
      </c>
      <c r="K295" s="901" t="s">
        <v>5539</v>
      </c>
      <c r="L295" s="905">
        <f t="shared" si="28"/>
        <v>2</v>
      </c>
      <c r="M295" s="909">
        <f>SUMIFS('Bilateral Assistance, MAIN DATA'!M:M,'Bilateral Assistance, MAIN DATA'!I:I,'Price List, Weapons &amp; Items'!B295)</f>
        <v>24</v>
      </c>
      <c r="N295" s="71">
        <f>COUNTIFS('Bilateral Assistance, MAIN DATA'!M:M,"undisclosed",'Bilateral Assistance, MAIN DATA'!I:I,'Price List, Weapons &amp; Items'!B295)</f>
        <v>0</v>
      </c>
      <c r="O295" s="910">
        <f t="shared" si="29"/>
        <v>2269200</v>
      </c>
      <c r="P295" s="71">
        <f>IFERROR(IF(SEARCH(B295,_xlfn.ARRAYTOTEXT('Bilateral Assistance, MAIN DATA'!I$1:I$2206))&gt;0,1,""),0)</f>
        <v>0</v>
      </c>
      <c r="Q295" s="71">
        <f>IFERROR(IF(SEARCH(B295,_xlfn.ARRAYTOTEXT('Commercial Assistance'!I$1:I$1400))&gt;0,1,""),0)</f>
        <v>0</v>
      </c>
      <c r="R295" s="905" t="str">
        <f>IF(SUMIFS('Bilateral Assistance, MAIN DATA'!N:N,'Bilateral Assistance, MAIN DATA'!I:I,'Price List, Weapons &amp; Items'!B295)&gt;M295,1,".")</f>
        <v>.</v>
      </c>
    </row>
    <row r="296" spans="2:18" ht="15" customHeight="1">
      <c r="B296" s="901" t="s">
        <v>2914</v>
      </c>
      <c r="C296" s="898" t="s">
        <v>5177</v>
      </c>
      <c r="D296" s="899" t="s">
        <v>5178</v>
      </c>
      <c r="E296" s="900">
        <v>0</v>
      </c>
      <c r="F296" s="900">
        <f t="shared" si="25"/>
        <v>0</v>
      </c>
      <c r="G296" s="892">
        <v>93090</v>
      </c>
      <c r="H296" s="900" t="s">
        <v>456</v>
      </c>
      <c r="I296" s="886" t="s">
        <v>5133</v>
      </c>
      <c r="J296" s="901" t="s">
        <v>5119</v>
      </c>
      <c r="K296" s="901" t="s">
        <v>5540</v>
      </c>
      <c r="L296" s="905">
        <f t="shared" si="28"/>
        <v>2</v>
      </c>
      <c r="M296" s="909">
        <f>SUMIFS('Bilateral Assistance, MAIN DATA'!M:M,'Bilateral Assistance, MAIN DATA'!I:I,'Price List, Weapons &amp; Items'!B296)</f>
        <v>160</v>
      </c>
      <c r="N296" s="71">
        <f>COUNTIFS('Bilateral Assistance, MAIN DATA'!M:M,"undisclosed",'Bilateral Assistance, MAIN DATA'!I:I,'Price List, Weapons &amp; Items'!B296)</f>
        <v>0</v>
      </c>
      <c r="O296" s="910">
        <f t="shared" si="29"/>
        <v>14894400</v>
      </c>
      <c r="P296" s="71">
        <f>IFERROR(IF(SEARCH(B296,_xlfn.ARRAYTOTEXT('Bilateral Assistance, MAIN DATA'!I$1:I$2206))&gt;0,1,""),0)</f>
        <v>0</v>
      </c>
      <c r="Q296" s="71">
        <f>IFERROR(IF(SEARCH(B296,_xlfn.ARRAYTOTEXT('Commercial Assistance'!I$1:I$1400))&gt;0,1,""),0)</f>
        <v>0</v>
      </c>
      <c r="R296" s="905" t="str">
        <f>IF(SUMIFS('Bilateral Assistance, MAIN DATA'!N:N,'Bilateral Assistance, MAIN DATA'!I:I,'Price List, Weapons &amp; Items'!B296)&gt;M296,1,".")</f>
        <v>.</v>
      </c>
    </row>
    <row r="297" spans="2:18" ht="15" customHeight="1">
      <c r="B297" s="901" t="s">
        <v>619</v>
      </c>
      <c r="C297" s="898" t="s">
        <v>1105</v>
      </c>
      <c r="D297" s="898" t="s">
        <v>1105</v>
      </c>
      <c r="E297" s="900">
        <v>0</v>
      </c>
      <c r="F297" s="900">
        <f t="shared" si="25"/>
        <v>0</v>
      </c>
      <c r="G297" s="892">
        <v>2320</v>
      </c>
      <c r="H297" s="908" t="str">
        <f>IF(G297&lt;&gt;".","USD",".")</f>
        <v>USD</v>
      </c>
      <c r="I297" s="886" t="s">
        <v>5447</v>
      </c>
      <c r="J297" s="901" t="s">
        <v>5080</v>
      </c>
      <c r="K297" s="917" t="s">
        <v>5541</v>
      </c>
      <c r="L297" s="905">
        <f t="shared" si="28"/>
        <v>1</v>
      </c>
      <c r="M297" s="909">
        <f>SUMIFS('Bilateral Assistance, MAIN DATA'!M:M,'Bilateral Assistance, MAIN DATA'!I:I,'Price List, Weapons &amp; Items'!B297)</f>
        <v>353</v>
      </c>
      <c r="N297" s="71">
        <f>COUNTIFS('Bilateral Assistance, MAIN DATA'!M:M,"undisclosed",'Bilateral Assistance, MAIN DATA'!I:I,'Price List, Weapons &amp; Items'!B297)</f>
        <v>1</v>
      </c>
      <c r="O297" s="910">
        <f t="shared" si="29"/>
        <v>818960</v>
      </c>
      <c r="P297" s="71">
        <f>IFERROR(IF(SEARCH(B297,_xlfn.ARRAYTOTEXT('Bilateral Assistance, MAIN DATA'!I$1:I$2206))&gt;0,1,""),0)</f>
        <v>0</v>
      </c>
      <c r="Q297" s="71">
        <f>IFERROR(IF(SEARCH(B297,_xlfn.ARRAYTOTEXT('Commercial Assistance'!I$1:I$1400))&gt;0,1,""),0)</f>
        <v>0</v>
      </c>
      <c r="R297" s="905" t="str">
        <f>IF(SUMIFS('Bilateral Assistance, MAIN DATA'!N:N,'Bilateral Assistance, MAIN DATA'!I:I,'Price List, Weapons &amp; Items'!B297)&gt;M297,1,".")</f>
        <v>.</v>
      </c>
    </row>
    <row r="298" spans="2:18" ht="15" customHeight="1">
      <c r="B298" s="901" t="s">
        <v>3691</v>
      </c>
      <c r="C298" s="898" t="s">
        <v>5062</v>
      </c>
      <c r="D298" s="928" t="s">
        <v>5152</v>
      </c>
      <c r="E298" s="900">
        <v>0</v>
      </c>
      <c r="F298" s="900">
        <f t="shared" si="25"/>
        <v>1</v>
      </c>
      <c r="G298" s="892">
        <v>335470</v>
      </c>
      <c r="H298" s="900" t="s">
        <v>456</v>
      </c>
      <c r="I298" s="885" t="s">
        <v>5542</v>
      </c>
      <c r="J298" s="913" t="s">
        <v>5543</v>
      </c>
      <c r="K298" s="901" t="s">
        <v>5544</v>
      </c>
      <c r="L298" s="905">
        <f t="shared" si="28"/>
        <v>2</v>
      </c>
      <c r="M298" s="909">
        <f>SUMIFS('Bilateral Assistance, MAIN DATA'!M:M,'Bilateral Assistance, MAIN DATA'!I:I,'Price List, Weapons &amp; Items'!B298)</f>
        <v>200</v>
      </c>
      <c r="N298" s="71">
        <f>COUNTIFS('Bilateral Assistance, MAIN DATA'!M:M,"undisclosed",'Bilateral Assistance, MAIN DATA'!I:I,'Price List, Weapons &amp; Items'!B298)</f>
        <v>0</v>
      </c>
      <c r="O298" s="910">
        <f t="shared" si="29"/>
        <v>67094000</v>
      </c>
      <c r="P298" s="71">
        <f>IFERROR(IF(SEARCH(B298,_xlfn.ARRAYTOTEXT('Bilateral Assistance, MAIN DATA'!I$1:I$2206))&gt;0,1,""),0)</f>
        <v>0</v>
      </c>
      <c r="Q298" s="71">
        <f>IFERROR(IF(SEARCH(B298,_xlfn.ARRAYTOTEXT('Commercial Assistance'!I$1:I$1400))&gt;0,1,""),0)</f>
        <v>0</v>
      </c>
      <c r="R298" s="905" t="str">
        <f>IF(SUMIFS('Bilateral Assistance, MAIN DATA'!N:N,'Bilateral Assistance, MAIN DATA'!I:I,'Price List, Weapons &amp; Items'!B298)&gt;M298,1,".")</f>
        <v>.</v>
      </c>
    </row>
    <row r="299" spans="2:18" ht="15" customHeight="1">
      <c r="B299" s="901" t="s">
        <v>4154</v>
      </c>
      <c r="C299" s="898" t="s">
        <v>5062</v>
      </c>
      <c r="D299" s="899" t="s">
        <v>4154</v>
      </c>
      <c r="E299" s="900">
        <v>0</v>
      </c>
      <c r="F299" s="900">
        <f t="shared" si="25"/>
        <v>0</v>
      </c>
      <c r="G299" s="892">
        <v>1272482.2760025531</v>
      </c>
      <c r="H299" s="908" t="str">
        <f>IF(G299&lt;&gt;".","USD",".")</f>
        <v>USD</v>
      </c>
      <c r="I299" s="891" t="s">
        <v>5074</v>
      </c>
      <c r="J299" s="901" t="s">
        <v>5075</v>
      </c>
      <c r="K299" s="901" t="s">
        <v>5351</v>
      </c>
      <c r="L299" s="905">
        <f t="shared" si="28"/>
        <v>2</v>
      </c>
      <c r="M299" s="909">
        <f>SUMIFS('Bilateral Assistance, MAIN DATA'!M:M,'Bilateral Assistance, MAIN DATA'!I:I,'Price List, Weapons &amp; Items'!B299)</f>
        <v>72</v>
      </c>
      <c r="N299" s="71">
        <f>COUNTIFS('Bilateral Assistance, MAIN DATA'!M:M,"undisclosed",'Bilateral Assistance, MAIN DATA'!I:I,'Price List, Weapons &amp; Items'!B299)</f>
        <v>0</v>
      </c>
      <c r="O299" s="910">
        <f t="shared" si="29"/>
        <v>91618723.872183815</v>
      </c>
      <c r="P299" s="71">
        <f>IFERROR(IF(SEARCH(B299,_xlfn.ARRAYTOTEXT('Bilateral Assistance, MAIN DATA'!I$1:I$2206))&gt;0,1,""),0)</f>
        <v>0</v>
      </c>
      <c r="Q299" s="71">
        <f>IFERROR(IF(SEARCH(B299,_xlfn.ARRAYTOTEXT('Commercial Assistance'!I$1:I$1400))&gt;0,1,""),0)</f>
        <v>0</v>
      </c>
      <c r="R299" s="905" t="str">
        <f>IF(SUMIFS('Bilateral Assistance, MAIN DATA'!N:N,'Bilateral Assistance, MAIN DATA'!I:I,'Price List, Weapons &amp; Items'!B299)&gt;M299,1,".")</f>
        <v>.</v>
      </c>
    </row>
    <row r="300" spans="2:18" ht="15" customHeight="1">
      <c r="B300" s="901" t="s">
        <v>645</v>
      </c>
      <c r="C300" s="898" t="s">
        <v>5059</v>
      </c>
      <c r="D300" s="899" t="s">
        <v>5545</v>
      </c>
      <c r="E300" s="900">
        <v>0</v>
      </c>
      <c r="F300" s="900">
        <f t="shared" ref="F300:F363" si="30">IF(OR(D300="Armored Personnel Carrier (APC)",D300="Armored Recovery Vehicle (ARV)",D300="Armored Utility Vehicle (AUV)",D300="152mm howitzer ammunition",D300="155mm howitzer ammunition",D300="300mm MLRS ammunition",D300="155mm howitzer",D300="227mm MLRS ammunition",D300="Infantry fighting vehicle (IFV)",D300="152mm howitzer",D300="227mm MLRS",D300="Main Battle Tank (MBT)",D300="Protected Patrol Vehicle (PPV)",D300="127mm MLRS",D300="122mm MLRS",D300="122mm MLRS ammunition",D300="122mm MLRS",D300="127mm MLRS",D300="127mm MLRS ammunition")=TRUE,1,0)</f>
        <v>0</v>
      </c>
      <c r="G300" s="892">
        <v>400</v>
      </c>
      <c r="H300" s="908" t="str">
        <f>IF(G300&lt;&gt;".","USD",".")</f>
        <v>USD</v>
      </c>
      <c r="I300" s="887" t="s">
        <v>5503</v>
      </c>
      <c r="J300" s="901" t="s">
        <v>5082</v>
      </c>
      <c r="K300" s="901" t="s">
        <v>5504</v>
      </c>
      <c r="L300" s="905">
        <f t="shared" si="28"/>
        <v>2</v>
      </c>
      <c r="M300" s="909">
        <f>SUMIFS('Bilateral Assistance, MAIN DATA'!M:M,'Bilateral Assistance, MAIN DATA'!I:I,'Price List, Weapons &amp; Items'!B300)</f>
        <v>203000</v>
      </c>
      <c r="N300" s="71">
        <f>COUNTIFS('Bilateral Assistance, MAIN DATA'!M:M,"undisclosed",'Bilateral Assistance, MAIN DATA'!I:I,'Price List, Weapons &amp; Items'!B300)</f>
        <v>6</v>
      </c>
      <c r="O300" s="910">
        <f t="shared" si="29"/>
        <v>81200000</v>
      </c>
      <c r="P300" s="71">
        <f>IFERROR(IF(SEARCH(B300,_xlfn.ARRAYTOTEXT('Bilateral Assistance, MAIN DATA'!I$1:I$2206))&gt;0,1,""),0)</f>
        <v>0</v>
      </c>
      <c r="Q300" s="71">
        <f>IFERROR(IF(SEARCH(B300,_xlfn.ARRAYTOTEXT('Commercial Assistance'!I$1:I$1400))&gt;0,1,""),0)</f>
        <v>0</v>
      </c>
      <c r="R300" s="905" t="str">
        <f>IF(SUMIFS('Bilateral Assistance, MAIN DATA'!N:N,'Bilateral Assistance, MAIN DATA'!I:I,'Price List, Weapons &amp; Items'!B300)&gt;M300,1,".")</f>
        <v>.</v>
      </c>
    </row>
    <row r="301" spans="2:18" ht="15" customHeight="1">
      <c r="B301" s="71" t="s">
        <v>4157</v>
      </c>
      <c r="C301" s="898" t="s">
        <v>5546</v>
      </c>
      <c r="D301" s="899" t="s">
        <v>3126</v>
      </c>
      <c r="E301" s="900">
        <v>0</v>
      </c>
      <c r="F301" s="900">
        <f t="shared" si="30"/>
        <v>0</v>
      </c>
      <c r="G301" s="892">
        <v>3200000</v>
      </c>
      <c r="H301" s="900" t="s">
        <v>456</v>
      </c>
      <c r="I301" s="885" t="s">
        <v>5547</v>
      </c>
      <c r="J301" s="913" t="s">
        <v>364</v>
      </c>
      <c r="K301" s="913" t="s">
        <v>5548</v>
      </c>
      <c r="L301" s="905">
        <f t="shared" si="28"/>
        <v>2</v>
      </c>
      <c r="M301" s="909">
        <f>SUMIFS('Bilateral Assistance, MAIN DATA'!M:M,'Bilateral Assistance, MAIN DATA'!I:I,'Price List, Weapons &amp; Items'!B301)</f>
        <v>15</v>
      </c>
      <c r="N301" s="71">
        <f>COUNTIFS('Bilateral Assistance, MAIN DATA'!M:M,"undisclosed",'Bilateral Assistance, MAIN DATA'!I:I,'Price List, Weapons &amp; Items'!B301)</f>
        <v>0</v>
      </c>
      <c r="O301" s="910">
        <f t="shared" si="29"/>
        <v>48000000</v>
      </c>
      <c r="P301" s="71">
        <f>IFERROR(IF(SEARCH(B301,_xlfn.ARRAYTOTEXT('Bilateral Assistance, MAIN DATA'!I$1:I$2206))&gt;0,1,""),0)</f>
        <v>0</v>
      </c>
      <c r="Q301" s="71">
        <f>IFERROR(IF(SEARCH(B301,_xlfn.ARRAYTOTEXT('Commercial Assistance'!I$1:I$1400))&gt;0,1,""),0)</f>
        <v>0</v>
      </c>
      <c r="R301" s="905" t="str">
        <f>IF(SUMIFS('Bilateral Assistance, MAIN DATA'!N:N,'Bilateral Assistance, MAIN DATA'!I:I,'Price List, Weapons &amp; Items'!B301)&gt;M301,1,".")</f>
        <v>.</v>
      </c>
    </row>
    <row r="302" spans="2:18" ht="15" customHeight="1">
      <c r="B302" s="71" t="s">
        <v>4159</v>
      </c>
      <c r="C302" s="898" t="s">
        <v>5549</v>
      </c>
      <c r="D302" s="899" t="s">
        <v>5152</v>
      </c>
      <c r="E302" s="900">
        <v>0</v>
      </c>
      <c r="F302" s="900">
        <f t="shared" si="30"/>
        <v>1</v>
      </c>
      <c r="G302" s="892">
        <v>405530</v>
      </c>
      <c r="H302" s="900" t="s">
        <v>456</v>
      </c>
      <c r="I302" s="885" t="s">
        <v>5550</v>
      </c>
      <c r="J302" s="913" t="s">
        <v>5543</v>
      </c>
      <c r="K302" s="901" t="s">
        <v>5551</v>
      </c>
      <c r="L302" s="905">
        <f t="shared" si="28"/>
        <v>2</v>
      </c>
      <c r="M302" s="909">
        <f>SUMIFS('Bilateral Assistance, MAIN DATA'!M:M,'Bilateral Assistance, MAIN DATA'!I:I,'Price List, Weapons &amp; Items'!B302)</f>
        <v>566</v>
      </c>
      <c r="N302" s="71">
        <f>COUNTIFS('Bilateral Assistance, MAIN DATA'!M:M,"undisclosed",'Bilateral Assistance, MAIN DATA'!I:I,'Price List, Weapons &amp; Items'!B302)</f>
        <v>0</v>
      </c>
      <c r="O302" s="910">
        <f t="shared" si="29"/>
        <v>229529980</v>
      </c>
      <c r="P302" s="71">
        <f>IFERROR(IF(SEARCH(B302,_xlfn.ARRAYTOTEXT('Bilateral Assistance, MAIN DATA'!I$1:I$2206))&gt;0,1,""),0)</f>
        <v>0</v>
      </c>
      <c r="Q302" s="71">
        <f>IFERROR(IF(SEARCH(B302,_xlfn.ARRAYTOTEXT('Commercial Assistance'!I$1:I$1400))&gt;0,1,""),0)</f>
        <v>0</v>
      </c>
      <c r="R302" s="905" t="str">
        <f>IF(SUMIFS('Bilateral Assistance, MAIN DATA'!N:N,'Bilateral Assistance, MAIN DATA'!I:I,'Price List, Weapons &amp; Items'!B302)&gt;M302,1,".")</f>
        <v>.</v>
      </c>
    </row>
    <row r="303" spans="2:18" ht="15" customHeight="1">
      <c r="B303" s="71" t="s">
        <v>5552</v>
      </c>
      <c r="C303" s="898" t="s">
        <v>5177</v>
      </c>
      <c r="D303" s="899" t="s">
        <v>5226</v>
      </c>
      <c r="E303" s="900">
        <v>0</v>
      </c>
      <c r="F303" s="900">
        <f t="shared" si="30"/>
        <v>0</v>
      </c>
      <c r="G303" s="892">
        <v>93647</v>
      </c>
      <c r="H303" s="908" t="str">
        <f t="shared" ref="H303:H309" si="31">IF(G303&lt;&gt;".","USD",".")</f>
        <v>USD</v>
      </c>
      <c r="I303" s="886" t="s">
        <v>5133</v>
      </c>
      <c r="J303" s="901" t="s">
        <v>5082</v>
      </c>
      <c r="K303" s="1356" t="s">
        <v>5553</v>
      </c>
      <c r="L303" s="905">
        <f t="shared" si="28"/>
        <v>2</v>
      </c>
      <c r="M303" s="909">
        <f>SUMIFS('Bilateral Assistance, MAIN DATA'!M:M,'Bilateral Assistance, MAIN DATA'!I:I,'Price List, Weapons &amp; Items'!B303)</f>
        <v>1500</v>
      </c>
      <c r="N303" s="71">
        <f>COUNTIFS('Bilateral Assistance, MAIN DATA'!M:M,"undisclosed",'Bilateral Assistance, MAIN DATA'!I:I,'Price List, Weapons &amp; Items'!B303)</f>
        <v>4</v>
      </c>
      <c r="O303" s="910">
        <f t="shared" si="29"/>
        <v>140470500</v>
      </c>
      <c r="P303" s="71">
        <f>IFERROR(IF(SEARCH(B303,_xlfn.ARRAYTOTEXT('Bilateral Assistance, MAIN DATA'!I$1:I$2206))&gt;0,1,""),0)</f>
        <v>0</v>
      </c>
      <c r="Q303" s="71">
        <f>IFERROR(IF(SEARCH(B303,_xlfn.ARRAYTOTEXT('Commercial Assistance'!I$1:I$1400))&gt;0,1,""),0)</f>
        <v>0</v>
      </c>
      <c r="R303" s="905" t="str">
        <f>IF(SUMIFS('Bilateral Assistance, MAIN DATA'!N:N,'Bilateral Assistance, MAIN DATA'!I:I,'Price List, Weapons &amp; Items'!B303)&gt;M303,1,".")</f>
        <v>.</v>
      </c>
    </row>
    <row r="304" spans="2:18" ht="15" customHeight="1">
      <c r="B304" s="71" t="s">
        <v>4166</v>
      </c>
      <c r="C304" s="898" t="s">
        <v>5099</v>
      </c>
      <c r="D304" s="899" t="s">
        <v>5198</v>
      </c>
      <c r="E304" s="900">
        <v>0</v>
      </c>
      <c r="F304" s="900">
        <f t="shared" si="30"/>
        <v>0</v>
      </c>
      <c r="G304" s="892">
        <v>246216</v>
      </c>
      <c r="H304" s="908" t="str">
        <f t="shared" si="31"/>
        <v>USD</v>
      </c>
      <c r="I304" s="886" t="s">
        <v>5133</v>
      </c>
      <c r="J304" s="901" t="s">
        <v>5119</v>
      </c>
      <c r="K304" s="1356" t="s">
        <v>5554</v>
      </c>
      <c r="L304" s="905">
        <f t="shared" si="28"/>
        <v>2</v>
      </c>
      <c r="M304" s="909">
        <f>SUMIFS('Bilateral Assistance, MAIN DATA'!M:M,'Bilateral Assistance, MAIN DATA'!I:I,'Price List, Weapons &amp; Items'!B304)</f>
        <v>1250</v>
      </c>
      <c r="N304" s="71">
        <f>COUNTIFS('Bilateral Assistance, MAIN DATA'!M:M,"undisclosed",'Bilateral Assistance, MAIN DATA'!I:I,'Price List, Weapons &amp; Items'!B304)</f>
        <v>3</v>
      </c>
      <c r="O304" s="910">
        <f t="shared" si="29"/>
        <v>307770000</v>
      </c>
      <c r="P304" s="71">
        <f>IFERROR(IF(SEARCH(B304,_xlfn.ARRAYTOTEXT('Bilateral Assistance, MAIN DATA'!I$1:I$2206))&gt;0,1,""),0)</f>
        <v>0</v>
      </c>
      <c r="Q304" s="71">
        <f>IFERROR(IF(SEARCH(B304,_xlfn.ARRAYTOTEXT('Commercial Assistance'!I$1:I$1400))&gt;0,1,""),0)</f>
        <v>0</v>
      </c>
      <c r="R304" s="905" t="str">
        <f>IF(SUMIFS('Bilateral Assistance, MAIN DATA'!N:N,'Bilateral Assistance, MAIN DATA'!I:I,'Price List, Weapons &amp; Items'!B304)&gt;M304,1,".")</f>
        <v>.</v>
      </c>
    </row>
    <row r="305" spans="2:18" ht="15" customHeight="1">
      <c r="B305" s="71" t="s">
        <v>4168</v>
      </c>
      <c r="C305" s="898" t="s">
        <v>5177</v>
      </c>
      <c r="D305" s="899" t="s">
        <v>5226</v>
      </c>
      <c r="E305" s="900">
        <v>0</v>
      </c>
      <c r="F305" s="900">
        <f t="shared" si="30"/>
        <v>0</v>
      </c>
      <c r="G305" s="892">
        <v>78000</v>
      </c>
      <c r="H305" s="908" t="str">
        <f t="shared" si="31"/>
        <v>USD</v>
      </c>
      <c r="I305" s="886" t="s">
        <v>5419</v>
      </c>
      <c r="J305" s="901" t="s">
        <v>5082</v>
      </c>
      <c r="K305" s="901" t="s">
        <v>5555</v>
      </c>
      <c r="L305" s="905">
        <f t="shared" si="28"/>
        <v>2</v>
      </c>
      <c r="M305" s="909">
        <f>SUMIFS('Bilateral Assistance, MAIN DATA'!M:M,'Bilateral Assistance, MAIN DATA'!I:I,'Price List, Weapons &amp; Items'!B305)</f>
        <v>2000</v>
      </c>
      <c r="N305" s="71">
        <f>COUNTIFS('Bilateral Assistance, MAIN DATA'!M:M,"undisclosed",'Bilateral Assistance, MAIN DATA'!I:I,'Price List, Weapons &amp; Items'!B305)</f>
        <v>1</v>
      </c>
      <c r="O305" s="910">
        <f t="shared" si="29"/>
        <v>156000000</v>
      </c>
      <c r="P305" s="71">
        <f>IFERROR(IF(SEARCH(B305,_xlfn.ARRAYTOTEXT('Bilateral Assistance, MAIN DATA'!I$1:I$2206))&gt;0,1,""),0)</f>
        <v>0</v>
      </c>
      <c r="Q305" s="71">
        <f>IFERROR(IF(SEARCH(B305,_xlfn.ARRAYTOTEXT('Commercial Assistance'!I$1:I$1400))&gt;0,1,""),0)</f>
        <v>0</v>
      </c>
      <c r="R305" s="905" t="str">
        <f>IF(SUMIFS('Bilateral Assistance, MAIN DATA'!N:N,'Bilateral Assistance, MAIN DATA'!I:I,'Price List, Weapons &amp; Items'!B305)&gt;M305,1,".")</f>
        <v>.</v>
      </c>
    </row>
    <row r="306" spans="2:18" ht="15" customHeight="1">
      <c r="B306" s="916" t="s">
        <v>1822</v>
      </c>
      <c r="C306" s="898" t="s">
        <v>1105</v>
      </c>
      <c r="D306" s="899" t="s">
        <v>5298</v>
      </c>
      <c r="E306" s="900">
        <v>0</v>
      </c>
      <c r="F306" s="900">
        <f t="shared" si="30"/>
        <v>0</v>
      </c>
      <c r="G306" s="892">
        <v>350000</v>
      </c>
      <c r="H306" s="908" t="str">
        <f t="shared" si="31"/>
        <v>USD</v>
      </c>
      <c r="I306" s="886" t="s">
        <v>5392</v>
      </c>
      <c r="J306" s="901" t="s">
        <v>5080</v>
      </c>
      <c r="K306" s="917" t="s">
        <v>5393</v>
      </c>
      <c r="L306" s="905">
        <f t="shared" si="28"/>
        <v>2</v>
      </c>
      <c r="M306" s="909">
        <f>SUMIFS('Bilateral Assistance, MAIN DATA'!M:M,'Bilateral Assistance, MAIN DATA'!I:I,'Price List, Weapons &amp; Items'!B306)</f>
        <v>90</v>
      </c>
      <c r="N306" s="71">
        <f>COUNTIFS('Bilateral Assistance, MAIN DATA'!M:M,"undisclosed",'Bilateral Assistance, MAIN DATA'!I:I,'Price List, Weapons &amp; Items'!B306)</f>
        <v>0</v>
      </c>
      <c r="O306" s="910">
        <f t="shared" si="29"/>
        <v>31500000</v>
      </c>
      <c r="P306" s="71">
        <f>IFERROR(IF(SEARCH(B306,_xlfn.ARRAYTOTEXT('Bilateral Assistance, MAIN DATA'!I$1:I$2206))&gt;0,1,""),0)</f>
        <v>0</v>
      </c>
      <c r="Q306" s="71">
        <f>IFERROR(IF(SEARCH(B306,_xlfn.ARRAYTOTEXT('Commercial Assistance'!I$1:I$1400))&gt;0,1,""),0)</f>
        <v>0</v>
      </c>
      <c r="R306" s="905" t="str">
        <f>IF(SUMIFS('Bilateral Assistance, MAIN DATA'!N:N,'Bilateral Assistance, MAIN DATA'!I:I,'Price List, Weapons &amp; Items'!B306)&gt;M306,1,".")</f>
        <v>.</v>
      </c>
    </row>
    <row r="307" spans="2:18" ht="15" customHeight="1">
      <c r="B307" s="916" t="s">
        <v>1887</v>
      </c>
      <c r="C307" s="898" t="s">
        <v>1105</v>
      </c>
      <c r="D307" s="899" t="s">
        <v>5298</v>
      </c>
      <c r="E307" s="900">
        <v>0</v>
      </c>
      <c r="F307" s="900">
        <f t="shared" si="30"/>
        <v>0</v>
      </c>
      <c r="G307" s="892">
        <v>350000</v>
      </c>
      <c r="H307" s="908" t="str">
        <f t="shared" si="31"/>
        <v>USD</v>
      </c>
      <c r="I307" s="886" t="s">
        <v>5392</v>
      </c>
      <c r="J307" s="901" t="s">
        <v>5080</v>
      </c>
      <c r="K307" s="917" t="s">
        <v>5393</v>
      </c>
      <c r="L307" s="905">
        <f t="shared" si="28"/>
        <v>2</v>
      </c>
      <c r="M307" s="909">
        <f>SUMIFS('Bilateral Assistance, MAIN DATA'!M:M,'Bilateral Assistance, MAIN DATA'!I:I,'Price List, Weapons &amp; Items'!B307)</f>
        <v>35</v>
      </c>
      <c r="N307" s="71">
        <f>COUNTIFS('Bilateral Assistance, MAIN DATA'!M:M,"undisclosed",'Bilateral Assistance, MAIN DATA'!I:I,'Price List, Weapons &amp; Items'!B307)</f>
        <v>0</v>
      </c>
      <c r="O307" s="910">
        <f t="shared" si="29"/>
        <v>12250000</v>
      </c>
      <c r="P307" s="71">
        <f>IFERROR(IF(SEARCH(B307,_xlfn.ARRAYTOTEXT('Bilateral Assistance, MAIN DATA'!I$1:I$2206))&gt;0,1,""),0)</f>
        <v>0</v>
      </c>
      <c r="Q307" s="71">
        <f>IFERROR(IF(SEARCH(B307,_xlfn.ARRAYTOTEXT('Commercial Assistance'!I$1:I$1400))&gt;0,1,""),0)</f>
        <v>0</v>
      </c>
      <c r="R307" s="905" t="str">
        <f>IF(SUMIFS('Bilateral Assistance, MAIN DATA'!N:N,'Bilateral Assistance, MAIN DATA'!I:I,'Price List, Weapons &amp; Items'!B307)&gt;M307,1,".")</f>
        <v>.</v>
      </c>
    </row>
    <row r="308" spans="2:18" ht="15" customHeight="1">
      <c r="B308" s="901" t="s">
        <v>1548</v>
      </c>
      <c r="C308" s="898" t="s">
        <v>1105</v>
      </c>
      <c r="D308" s="899" t="s">
        <v>5298</v>
      </c>
      <c r="E308" s="900">
        <v>0</v>
      </c>
      <c r="F308" s="900">
        <f t="shared" si="30"/>
        <v>0</v>
      </c>
      <c r="G308" s="892">
        <v>350000</v>
      </c>
      <c r="H308" s="908" t="str">
        <f t="shared" si="31"/>
        <v>USD</v>
      </c>
      <c r="I308" s="886" t="s">
        <v>5392</v>
      </c>
      <c r="J308" s="901" t="s">
        <v>5080</v>
      </c>
      <c r="K308" s="917" t="s">
        <v>5393</v>
      </c>
      <c r="L308" s="905">
        <f t="shared" si="28"/>
        <v>2</v>
      </c>
      <c r="M308" s="909">
        <f>SUMIFS('Bilateral Assistance, MAIN DATA'!M:M,'Bilateral Assistance, MAIN DATA'!I:I,'Price List, Weapons &amp; Items'!B308)</f>
        <v>236</v>
      </c>
      <c r="N308" s="71">
        <f>COUNTIFS('Bilateral Assistance, MAIN DATA'!M:M,"undisclosed",'Bilateral Assistance, MAIN DATA'!I:I,'Price List, Weapons &amp; Items'!B308)</f>
        <v>3</v>
      </c>
      <c r="O308" s="910">
        <f t="shared" si="29"/>
        <v>82600000</v>
      </c>
      <c r="P308" s="71">
        <f>IFERROR(IF(SEARCH(B308,_xlfn.ARRAYTOTEXT('Bilateral Assistance, MAIN DATA'!I$1:I$2206))&gt;0,1,""),0)</f>
        <v>0</v>
      </c>
      <c r="Q308" s="71">
        <f>IFERROR(IF(SEARCH(B308,_xlfn.ARRAYTOTEXT('Commercial Assistance'!I$1:I$1400))&gt;0,1,""),0)</f>
        <v>0</v>
      </c>
      <c r="R308" s="905" t="str">
        <f>IF(SUMIFS('Bilateral Assistance, MAIN DATA'!N:N,'Bilateral Assistance, MAIN DATA'!I:I,'Price List, Weapons &amp; Items'!B308)&gt;M308,1,".")</f>
        <v>.</v>
      </c>
    </row>
    <row r="309" spans="2:18" ht="15" customHeight="1">
      <c r="B309" s="71" t="s">
        <v>4203</v>
      </c>
      <c r="C309" s="898" t="s">
        <v>5062</v>
      </c>
      <c r="D309" s="898" t="s">
        <v>5146</v>
      </c>
      <c r="E309" s="900">
        <v>0</v>
      </c>
      <c r="F309" s="900">
        <f t="shared" si="30"/>
        <v>0</v>
      </c>
      <c r="G309" s="892">
        <f>50000000*'Exchange Rates'!C13</f>
        <v>54340000</v>
      </c>
      <c r="H309" s="908" t="str">
        <f t="shared" si="31"/>
        <v>USD</v>
      </c>
      <c r="I309" s="889" t="s">
        <v>5556</v>
      </c>
      <c r="J309" s="901" t="s">
        <v>5082</v>
      </c>
      <c r="K309" s="917" t="s">
        <v>5557</v>
      </c>
      <c r="L309" s="905">
        <f t="shared" si="28"/>
        <v>2</v>
      </c>
      <c r="M309" s="909">
        <f>SUMIFS('Bilateral Assistance, MAIN DATA'!M:M,'Bilateral Assistance, MAIN DATA'!I:I,'Price List, Weapons &amp; Items'!B309)</f>
        <v>28</v>
      </c>
      <c r="N309" s="71">
        <f>COUNTIFS('Bilateral Assistance, MAIN DATA'!M:M,"undisclosed",'Bilateral Assistance, MAIN DATA'!I:I,'Price List, Weapons &amp; Items'!B309)</f>
        <v>0</v>
      </c>
      <c r="O309" s="910">
        <f t="shared" si="29"/>
        <v>1521520000</v>
      </c>
      <c r="P309" s="71">
        <f>IFERROR(IF(SEARCH(B309,_xlfn.ARRAYTOTEXT('Bilateral Assistance, MAIN DATA'!I$1:I$2206))&gt;0,1,""),0)</f>
        <v>0</v>
      </c>
      <c r="Q309" s="71">
        <f>IFERROR(IF(SEARCH(B309,_xlfn.ARRAYTOTEXT('Commercial Assistance'!I$1:I$1400))&gt;0,1,""),0)</f>
        <v>0</v>
      </c>
      <c r="R309" s="905" t="str">
        <f>IF(SUMIFS('Bilateral Assistance, MAIN DATA'!N:N,'Bilateral Assistance, MAIN DATA'!I:I,'Price List, Weapons &amp; Items'!B309)&gt;M309,1,".")</f>
        <v>.</v>
      </c>
    </row>
    <row r="310" spans="2:18" ht="15" customHeight="1">
      <c r="B310" s="71" t="s">
        <v>4279</v>
      </c>
      <c r="C310" s="898" t="s">
        <v>5062</v>
      </c>
      <c r="D310" s="898" t="s">
        <v>5146</v>
      </c>
      <c r="E310" s="900">
        <v>0</v>
      </c>
      <c r="F310" s="900">
        <f t="shared" si="30"/>
        <v>0</v>
      </c>
      <c r="G310" s="892">
        <v>15625000</v>
      </c>
      <c r="H310" s="900" t="s">
        <v>456</v>
      </c>
      <c r="I310" s="885" t="s">
        <v>5558</v>
      </c>
      <c r="J310" s="913" t="s">
        <v>5543</v>
      </c>
      <c r="K310" s="901" t="s">
        <v>5559</v>
      </c>
      <c r="L310" s="905">
        <f t="shared" si="28"/>
        <v>2</v>
      </c>
      <c r="M310" s="909">
        <f>SUMIFS('Bilateral Assistance, MAIN DATA'!M:M,'Bilateral Assistance, MAIN DATA'!I:I,'Price List, Weapons &amp; Items'!B310)</f>
        <v>20</v>
      </c>
      <c r="N310" s="71">
        <f>COUNTIFS('Bilateral Assistance, MAIN DATA'!M:M,"undisclosed",'Bilateral Assistance, MAIN DATA'!I:I,'Price List, Weapons &amp; Items'!B310)</f>
        <v>0</v>
      </c>
      <c r="O310" s="910">
        <f t="shared" si="29"/>
        <v>312500000</v>
      </c>
      <c r="P310" s="71">
        <f>IFERROR(IF(SEARCH(B310,_xlfn.ARRAYTOTEXT('Bilateral Assistance, MAIN DATA'!I$1:I$2206))&gt;0,1,""),0)</f>
        <v>0</v>
      </c>
      <c r="Q310" s="71">
        <f>IFERROR(IF(SEARCH(B310,_xlfn.ARRAYTOTEXT('Commercial Assistance'!I$1:I$1400))&gt;0,1,""),0)</f>
        <v>0</v>
      </c>
      <c r="R310" s="905" t="str">
        <f>IF(SUMIFS('Bilateral Assistance, MAIN DATA'!N:N,'Bilateral Assistance, MAIN DATA'!I:I,'Price List, Weapons &amp; Items'!B310)&gt;M310,1,".")</f>
        <v>.</v>
      </c>
    </row>
    <row r="311" spans="2:18" ht="15" customHeight="1">
      <c r="B311" s="901" t="s">
        <v>4291</v>
      </c>
      <c r="C311" s="898" t="s">
        <v>5059</v>
      </c>
      <c r="D311" s="899" t="s">
        <v>3841</v>
      </c>
      <c r="E311" s="900">
        <v>0</v>
      </c>
      <c r="F311" s="900">
        <f t="shared" si="30"/>
        <v>0</v>
      </c>
      <c r="G311" s="892">
        <v>112800</v>
      </c>
      <c r="H311" s="900" t="s">
        <v>456</v>
      </c>
      <c r="I311" s="885" t="s">
        <v>5560</v>
      </c>
      <c r="J311" s="913" t="s">
        <v>5089</v>
      </c>
      <c r="K311" s="901" t="s">
        <v>5561</v>
      </c>
      <c r="L311" s="905">
        <f t="shared" si="28"/>
        <v>2</v>
      </c>
      <c r="M311" s="909">
        <f>SUMIFS('Bilateral Assistance, MAIN DATA'!M:M,'Bilateral Assistance, MAIN DATA'!I:I,'Price List, Weapons &amp; Items'!B311)</f>
        <v>6000</v>
      </c>
      <c r="N311" s="71">
        <f>COUNTIFS('Bilateral Assistance, MAIN DATA'!M:M,"undisclosed",'Bilateral Assistance, MAIN DATA'!I:I,'Price List, Weapons &amp; Items'!B311)</f>
        <v>1</v>
      </c>
      <c r="O311" s="910">
        <f t="shared" si="29"/>
        <v>676800000</v>
      </c>
      <c r="P311" s="71">
        <f>IFERROR(IF(SEARCH(B311,_xlfn.ARRAYTOTEXT('Bilateral Assistance, MAIN DATA'!I$1:I$2206))&gt;0,1,""),0)</f>
        <v>0</v>
      </c>
      <c r="Q311" s="71">
        <f>IFERROR(IF(SEARCH(B311,_xlfn.ARRAYTOTEXT('Commercial Assistance'!I$1:I$1400))&gt;0,1,""),0)</f>
        <v>0</v>
      </c>
      <c r="R311" s="905" t="str">
        <f>IF(SUMIFS('Bilateral Assistance, MAIN DATA'!N:N,'Bilateral Assistance, MAIN DATA'!I:I,'Price List, Weapons &amp; Items'!B311)&gt;M311,1,".")</f>
        <v>.</v>
      </c>
    </row>
    <row r="312" spans="2:18" ht="15" customHeight="1">
      <c r="B312" s="901" t="s">
        <v>3403</v>
      </c>
      <c r="C312" s="898" t="s">
        <v>5062</v>
      </c>
      <c r="D312" s="899" t="s">
        <v>5078</v>
      </c>
      <c r="E312" s="900">
        <v>1</v>
      </c>
      <c r="F312" s="900">
        <f t="shared" si="30"/>
        <v>1</v>
      </c>
      <c r="G312" s="892">
        <f>820000*1.181</f>
        <v>968420</v>
      </c>
      <c r="H312" s="900" t="s">
        <v>456</v>
      </c>
      <c r="I312" s="890" t="s">
        <v>5562</v>
      </c>
      <c r="J312" s="901" t="s">
        <v>5080</v>
      </c>
      <c r="K312" s="901" t="s">
        <v>5563</v>
      </c>
      <c r="L312" s="905">
        <f t="shared" si="28"/>
        <v>2</v>
      </c>
      <c r="M312" s="909">
        <f>SUMIFS('Bilateral Assistance, MAIN DATA'!M:M,'Bilateral Assistance, MAIN DATA'!I:I,'Price List, Weapons &amp; Items'!B312)</f>
        <v>28</v>
      </c>
      <c r="N312" s="71">
        <f>COUNTIFS('Bilateral Assistance, MAIN DATA'!M:M,"undisclosed",'Bilateral Assistance, MAIN DATA'!I:I,'Price List, Weapons &amp; Items'!B312)</f>
        <v>0</v>
      </c>
      <c r="O312" s="910">
        <f t="shared" si="29"/>
        <v>27115760</v>
      </c>
      <c r="P312" s="71">
        <f>IFERROR(IF(SEARCH(B312,_xlfn.ARRAYTOTEXT('Bilateral Assistance, MAIN DATA'!I$1:I$2206))&gt;0,1,""),0)</f>
        <v>0</v>
      </c>
      <c r="Q312" s="71">
        <f>IFERROR(IF(SEARCH(B312,_xlfn.ARRAYTOTEXT('Commercial Assistance'!I$1:I$1400))&gt;0,1,""),0)</f>
        <v>0</v>
      </c>
      <c r="R312" s="905" t="str">
        <f>IF(SUMIFS('Bilateral Assistance, MAIN DATA'!N:N,'Bilateral Assistance, MAIN DATA'!I:I,'Price List, Weapons &amp; Items'!B312)&gt;M312,1,".")</f>
        <v>.</v>
      </c>
    </row>
    <row r="313" spans="2:18" ht="15" customHeight="1">
      <c r="B313" s="915" t="s">
        <v>5564</v>
      </c>
      <c r="C313" s="898" t="s">
        <v>5062</v>
      </c>
      <c r="D313" s="899" t="s">
        <v>5078</v>
      </c>
      <c r="E313" s="900">
        <v>1</v>
      </c>
      <c r="F313" s="900">
        <f t="shared" si="30"/>
        <v>1</v>
      </c>
      <c r="G313" s="892">
        <v>500000</v>
      </c>
      <c r="H313" s="900" t="s">
        <v>456</v>
      </c>
      <c r="I313" s="929" t="s">
        <v>5565</v>
      </c>
      <c r="J313" s="913" t="s">
        <v>364</v>
      </c>
      <c r="K313" s="901" t="s">
        <v>364</v>
      </c>
      <c r="L313" s="905" t="str">
        <f t="shared" si="28"/>
        <v>no price, 0 count</v>
      </c>
      <c r="M313" s="909">
        <f>SUMIFS('Bilateral Assistance, MAIN DATA'!M:M,'Bilateral Assistance, MAIN DATA'!I:I,'Price List, Weapons &amp; Items'!B313)</f>
        <v>0</v>
      </c>
      <c r="N313" s="71">
        <f>COUNTIFS('Bilateral Assistance, MAIN DATA'!M:M,"undisclosed",'Bilateral Assistance, MAIN DATA'!I:I,'Price List, Weapons &amp; Items'!B313)</f>
        <v>0</v>
      </c>
      <c r="O313" s="910">
        <f t="shared" si="29"/>
        <v>0</v>
      </c>
      <c r="P313" s="71">
        <f>IFERROR(IF(SEARCH(B313,_xlfn.ARRAYTOTEXT('Bilateral Assistance, MAIN DATA'!I$1:I$2206))&gt;0,1,""),0)</f>
        <v>0</v>
      </c>
      <c r="Q313" s="71">
        <f>IFERROR(IF(SEARCH(B313,_xlfn.ARRAYTOTEXT('Commercial Assistance'!I$1:I$1400))&gt;0,1,""),0)</f>
        <v>0</v>
      </c>
      <c r="R313" s="905" t="str">
        <f>IF(SUMIFS('Bilateral Assistance, MAIN DATA'!N:N,'Bilateral Assistance, MAIN DATA'!I:I,'Price List, Weapons &amp; Items'!B313)&gt;M313,1,".")</f>
        <v>.</v>
      </c>
    </row>
    <row r="314" spans="2:18" ht="15" customHeight="1">
      <c r="B314" s="915" t="s">
        <v>1683</v>
      </c>
      <c r="C314" s="898" t="s">
        <v>5062</v>
      </c>
      <c r="D314" s="899" t="s">
        <v>4696</v>
      </c>
      <c r="E314" s="900">
        <v>0</v>
      </c>
      <c r="F314" s="900">
        <f t="shared" si="30"/>
        <v>0</v>
      </c>
      <c r="G314" s="892">
        <v>10335642.57</v>
      </c>
      <c r="H314" s="900" t="s">
        <v>456</v>
      </c>
      <c r="I314" s="891" t="s">
        <v>5074</v>
      </c>
      <c r="J314" s="913" t="s">
        <v>364</v>
      </c>
      <c r="K314" s="901" t="s">
        <v>5566</v>
      </c>
      <c r="L314" s="905">
        <f t="shared" si="28"/>
        <v>2</v>
      </c>
      <c r="M314" s="909">
        <f>SUMIFS('Bilateral Assistance, MAIN DATA'!M:M,'Bilateral Assistance, MAIN DATA'!I:I,'Price List, Weapons &amp; Items'!B314)</f>
        <v>2</v>
      </c>
      <c r="N314" s="71">
        <f>COUNTIFS('Bilateral Assistance, MAIN DATA'!M:M,"undisclosed",'Bilateral Assistance, MAIN DATA'!I:I,'Price List, Weapons &amp; Items'!B314)</f>
        <v>0</v>
      </c>
      <c r="O314" s="910">
        <f t="shared" si="29"/>
        <v>20671285.140000001</v>
      </c>
      <c r="P314" s="71">
        <f>IFERROR(IF(SEARCH(B314,_xlfn.ARRAYTOTEXT('Bilateral Assistance, MAIN DATA'!I$1:I$2206))&gt;0,1,""),0)</f>
        <v>0</v>
      </c>
      <c r="Q314" s="71">
        <f>IFERROR(IF(SEARCH(B314,_xlfn.ARRAYTOTEXT('Commercial Assistance'!I$1:I$1400))&gt;0,1,""),0)</f>
        <v>0</v>
      </c>
      <c r="R314" s="905" t="str">
        <f>IF(SUMIFS('Bilateral Assistance, MAIN DATA'!N:N,'Bilateral Assistance, MAIN DATA'!I:I,'Price List, Weapons &amp; Items'!B314)&gt;M314,1,".")</f>
        <v>.</v>
      </c>
    </row>
    <row r="315" spans="2:18" ht="15" customHeight="1">
      <c r="B315" s="916" t="s">
        <v>2747</v>
      </c>
      <c r="C315" s="898" t="s">
        <v>5062</v>
      </c>
      <c r="D315" s="899" t="s">
        <v>5567</v>
      </c>
      <c r="E315" s="900">
        <v>0</v>
      </c>
      <c r="F315" s="900">
        <f t="shared" si="30"/>
        <v>1</v>
      </c>
      <c r="G315" s="892">
        <f>90000000/90</f>
        <v>1000000</v>
      </c>
      <c r="H315" s="900" t="s">
        <v>456</v>
      </c>
      <c r="I315" s="885" t="s">
        <v>1111</v>
      </c>
      <c r="J315" s="913" t="s">
        <v>5119</v>
      </c>
      <c r="K315" s="901" t="s">
        <v>5568</v>
      </c>
      <c r="L315" s="905">
        <f t="shared" si="28"/>
        <v>2</v>
      </c>
      <c r="M315" s="909">
        <f>SUMIFS('Bilateral Assistance, MAIN DATA'!M:M,'Bilateral Assistance, MAIN DATA'!I:I,'Price List, Weapons &amp; Items'!B315)</f>
        <v>90</v>
      </c>
      <c r="N315" s="71">
        <f>COUNTIFS('Bilateral Assistance, MAIN DATA'!M:M,"undisclosed",'Bilateral Assistance, MAIN DATA'!I:I,'Price List, Weapons &amp; Items'!B315)</f>
        <v>0</v>
      </c>
      <c r="O315" s="910">
        <f t="shared" si="29"/>
        <v>90000000</v>
      </c>
      <c r="P315" s="71">
        <f>IFERROR(IF(SEARCH(B315,_xlfn.ARRAYTOTEXT('Bilateral Assistance, MAIN DATA'!I$1:I$2206))&gt;0,1,""),0)</f>
        <v>0</v>
      </c>
      <c r="Q315" s="71">
        <f>IFERROR(IF(SEARCH(B315,_xlfn.ARRAYTOTEXT('Commercial Assistance'!I$1:I$1400))&gt;0,1,""),0)</f>
        <v>0</v>
      </c>
      <c r="R315" s="905" t="str">
        <f>IF(SUMIFS('Bilateral Assistance, MAIN DATA'!N:N,'Bilateral Assistance, MAIN DATA'!I:I,'Price List, Weapons &amp; Items'!B315)&gt;M315,1,".")</f>
        <v>.</v>
      </c>
    </row>
    <row r="316" spans="2:18" ht="15" customHeight="1">
      <c r="B316" s="901" t="s">
        <v>3497</v>
      </c>
      <c r="C316" s="898" t="s">
        <v>5062</v>
      </c>
      <c r="D316" s="899" t="s">
        <v>5306</v>
      </c>
      <c r="E316" s="900">
        <v>0</v>
      </c>
      <c r="F316" s="900">
        <f t="shared" si="30"/>
        <v>0</v>
      </c>
      <c r="G316" s="902">
        <v>325604.28293370258</v>
      </c>
      <c r="H316" s="900" t="s">
        <v>456</v>
      </c>
      <c r="I316" s="891" t="s">
        <v>5074</v>
      </c>
      <c r="J316" s="901" t="s">
        <v>5075</v>
      </c>
      <c r="K316" s="901" t="s">
        <v>5144</v>
      </c>
      <c r="L316" s="905">
        <f t="shared" si="28"/>
        <v>2</v>
      </c>
      <c r="M316" s="909">
        <f>SUMIFS('Bilateral Assistance, MAIN DATA'!M:M,'Bilateral Assistance, MAIN DATA'!I:I,'Price List, Weapons &amp; Items'!B316)</f>
        <v>8</v>
      </c>
      <c r="N316" s="71">
        <f>COUNTIFS('Bilateral Assistance, MAIN DATA'!M:M,"undisclosed",'Bilateral Assistance, MAIN DATA'!I:I,'Price List, Weapons &amp; Items'!B316)</f>
        <v>0</v>
      </c>
      <c r="O316" s="910">
        <f t="shared" si="29"/>
        <v>2604834.2634696206</v>
      </c>
      <c r="P316" s="71">
        <f>IFERROR(IF(SEARCH(B316,_xlfn.ARRAYTOTEXT('Bilateral Assistance, MAIN DATA'!I$1:I$2206))&gt;0,1,""),0)</f>
        <v>0</v>
      </c>
      <c r="Q316" s="71">
        <f>IFERROR(IF(SEARCH(B316,_xlfn.ARRAYTOTEXT('Commercial Assistance'!I$1:I$1400))&gt;0,1,""),0)</f>
        <v>0</v>
      </c>
      <c r="R316" s="905" t="str">
        <f>IF(SUMIFS('Bilateral Assistance, MAIN DATA'!N:N,'Bilateral Assistance, MAIN DATA'!I:I,'Price List, Weapons &amp; Items'!B316)&gt;M316,1,".")</f>
        <v>.</v>
      </c>
    </row>
    <row r="317" spans="2:18" ht="15" customHeight="1">
      <c r="B317" s="901" t="s">
        <v>3508</v>
      </c>
      <c r="C317" s="898" t="s">
        <v>5062</v>
      </c>
      <c r="D317" s="899" t="s">
        <v>4154</v>
      </c>
      <c r="E317" s="900">
        <v>0</v>
      </c>
      <c r="F317" s="900">
        <f t="shared" si="30"/>
        <v>0</v>
      </c>
      <c r="G317" s="892">
        <v>1380129.0260143129</v>
      </c>
      <c r="H317" s="900" t="s">
        <v>456</v>
      </c>
      <c r="I317" s="913" t="s">
        <v>364</v>
      </c>
      <c r="J317" s="913" t="s">
        <v>364</v>
      </c>
      <c r="K317" s="901" t="s">
        <v>5569</v>
      </c>
      <c r="L317" s="905">
        <f t="shared" si="28"/>
        <v>2</v>
      </c>
      <c r="M317" s="909">
        <f>SUMIFS('Bilateral Assistance, MAIN DATA'!M:M,'Bilateral Assistance, MAIN DATA'!I:I,'Price List, Weapons &amp; Items'!B317)</f>
        <v>6</v>
      </c>
      <c r="N317" s="71">
        <f>COUNTIFS('Bilateral Assistance, MAIN DATA'!M:M,"undisclosed",'Bilateral Assistance, MAIN DATA'!I:I,'Price List, Weapons &amp; Items'!B317)</f>
        <v>0</v>
      </c>
      <c r="O317" s="910">
        <f t="shared" si="29"/>
        <v>8280774.1560858767</v>
      </c>
      <c r="P317" s="71">
        <f>IFERROR(IF(SEARCH(B317,_xlfn.ARRAYTOTEXT('Bilateral Assistance, MAIN DATA'!I$1:I$2206))&gt;0,1,""),0)</f>
        <v>0</v>
      </c>
      <c r="Q317" s="71">
        <f>IFERROR(IF(SEARCH(B317,_xlfn.ARRAYTOTEXT('Commercial Assistance'!I$1:I$1400))&gt;0,1,""),0)</f>
        <v>0</v>
      </c>
      <c r="R317" s="905" t="str">
        <f>IF(SUMIFS('Bilateral Assistance, MAIN DATA'!N:N,'Bilateral Assistance, MAIN DATA'!I:I,'Price List, Weapons &amp; Items'!B317)&gt;M317,1,".")</f>
        <v>.</v>
      </c>
    </row>
    <row r="318" spans="2:18" ht="15" customHeight="1">
      <c r="B318" s="915" t="s">
        <v>3829</v>
      </c>
      <c r="C318" s="898" t="s">
        <v>5062</v>
      </c>
      <c r="D318" s="899" t="s">
        <v>5157</v>
      </c>
      <c r="E318" s="900">
        <v>0</v>
      </c>
      <c r="F318" s="900">
        <f t="shared" si="30"/>
        <v>1</v>
      </c>
      <c r="G318" s="892">
        <f>5500000/50</f>
        <v>110000</v>
      </c>
      <c r="H318" s="900" t="s">
        <v>456</v>
      </c>
      <c r="I318" s="885" t="s">
        <v>5570</v>
      </c>
      <c r="J318" s="901" t="s">
        <v>5075</v>
      </c>
      <c r="K318" s="901" t="s">
        <v>5571</v>
      </c>
      <c r="L318" s="905">
        <f t="shared" si="28"/>
        <v>2</v>
      </c>
      <c r="M318" s="909">
        <f>SUMIFS('Bilateral Assistance, MAIN DATA'!M:M,'Bilateral Assistance, MAIN DATA'!I:I,'Price List, Weapons &amp; Items'!B318)</f>
        <v>35</v>
      </c>
      <c r="N318" s="71">
        <f>COUNTIFS('Bilateral Assistance, MAIN DATA'!M:M,"undisclosed",'Bilateral Assistance, MAIN DATA'!I:I,'Price List, Weapons &amp; Items'!B318)</f>
        <v>0</v>
      </c>
      <c r="O318" s="910">
        <f t="shared" si="29"/>
        <v>3850000</v>
      </c>
      <c r="P318" s="71">
        <f>IFERROR(IF(SEARCH(B318,_xlfn.ARRAYTOTEXT('Bilateral Assistance, MAIN DATA'!I$1:I$2206))&gt;0,1,""),0)</f>
        <v>0</v>
      </c>
      <c r="Q318" s="71">
        <f>IFERROR(IF(SEARCH(B318,_xlfn.ARRAYTOTEXT('Commercial Assistance'!I$1:I$1400))&gt;0,1,""),0)</f>
        <v>0</v>
      </c>
      <c r="R318" s="905" t="str">
        <f>IF(SUMIFS('Bilateral Assistance, MAIN DATA'!N:N,'Bilateral Assistance, MAIN DATA'!I:I,'Price List, Weapons &amp; Items'!B318)&gt;M318,1,".")</f>
        <v>.</v>
      </c>
    </row>
    <row r="319" spans="2:18" ht="15" customHeight="1">
      <c r="B319" s="901" t="s">
        <v>859</v>
      </c>
      <c r="C319" s="898" t="s">
        <v>1105</v>
      </c>
      <c r="D319" s="898" t="s">
        <v>1105</v>
      </c>
      <c r="E319" s="900">
        <v>0</v>
      </c>
      <c r="F319" s="900">
        <f t="shared" si="30"/>
        <v>0</v>
      </c>
      <c r="G319" s="892">
        <f>(15000000/400000)/1.29</f>
        <v>29.069767441860463</v>
      </c>
      <c r="H319" s="900" t="s">
        <v>456</v>
      </c>
      <c r="I319" s="885" t="s">
        <v>857</v>
      </c>
      <c r="J319" s="913" t="s">
        <v>5119</v>
      </c>
      <c r="K319" s="901" t="s">
        <v>5572</v>
      </c>
      <c r="L319" s="905">
        <f t="shared" si="28"/>
        <v>2</v>
      </c>
      <c r="M319" s="909">
        <f>SUMIFS('Bilateral Assistance, MAIN DATA'!M:M,'Bilateral Assistance, MAIN DATA'!I:I,'Price List, Weapons &amp; Items'!B319)</f>
        <v>500000</v>
      </c>
      <c r="N319" s="71">
        <f>COUNTIFS('Bilateral Assistance, MAIN DATA'!M:M,"undisclosed",'Bilateral Assistance, MAIN DATA'!I:I,'Price List, Weapons &amp; Items'!B319)</f>
        <v>0</v>
      </c>
      <c r="O319" s="910">
        <f t="shared" si="29"/>
        <v>14534883.720930232</v>
      </c>
      <c r="P319" s="71">
        <f>IFERROR(IF(SEARCH(B319,_xlfn.ARRAYTOTEXT('Bilateral Assistance, MAIN DATA'!I$1:I$2206))&gt;0,1,""),0)</f>
        <v>0</v>
      </c>
      <c r="Q319" s="71">
        <f>IFERROR(IF(SEARCH(B319,_xlfn.ARRAYTOTEXT('Commercial Assistance'!I$1:I$1400))&gt;0,1,""),0)</f>
        <v>0</v>
      </c>
      <c r="R319" s="905" t="str">
        <f>IF(SUMIFS('Bilateral Assistance, MAIN DATA'!N:N,'Bilateral Assistance, MAIN DATA'!I:I,'Price List, Weapons &amp; Items'!B319)&gt;M319,1,".")</f>
        <v>.</v>
      </c>
    </row>
    <row r="320" spans="2:18" ht="15" customHeight="1">
      <c r="B320" s="915" t="s">
        <v>4298</v>
      </c>
      <c r="C320" s="898" t="s">
        <v>5062</v>
      </c>
      <c r="D320" s="899" t="s">
        <v>5114</v>
      </c>
      <c r="E320" s="900">
        <v>0</v>
      </c>
      <c r="F320" s="900">
        <f t="shared" si="30"/>
        <v>0</v>
      </c>
      <c r="G320" s="892">
        <v>1866185.221792896</v>
      </c>
      <c r="H320" s="900" t="s">
        <v>456</v>
      </c>
      <c r="I320" s="891" t="s">
        <v>5074</v>
      </c>
      <c r="J320" s="913" t="s">
        <v>5075</v>
      </c>
      <c r="K320" s="901" t="s">
        <v>5144</v>
      </c>
      <c r="L320" s="905">
        <f t="shared" si="28"/>
        <v>2</v>
      </c>
      <c r="M320" s="909">
        <f>SUMIFS('Bilateral Assistance, MAIN DATA'!M:M,'Bilateral Assistance, MAIN DATA'!I:I,'Price List, Weapons &amp; Items'!B320)</f>
        <v>12</v>
      </c>
      <c r="N320" s="71">
        <f>COUNTIFS('Bilateral Assistance, MAIN DATA'!M:M,"undisclosed",'Bilateral Assistance, MAIN DATA'!I:I,'Price List, Weapons &amp; Items'!B320)</f>
        <v>2</v>
      </c>
      <c r="O320" s="910">
        <f t="shared" si="29"/>
        <v>22394222.661514752</v>
      </c>
      <c r="P320" s="71">
        <f>IFERROR(IF(SEARCH(B320,_xlfn.ARRAYTOTEXT('Bilateral Assistance, MAIN DATA'!I$1:I$2206))&gt;0,1,""),0)</f>
        <v>0</v>
      </c>
      <c r="Q320" s="71">
        <f>IFERROR(IF(SEARCH(B320,_xlfn.ARRAYTOTEXT('Commercial Assistance'!I$1:I$1400))&gt;0,1,""),0)</f>
        <v>0</v>
      </c>
      <c r="R320" s="905" t="str">
        <f>IF(SUMIFS('Bilateral Assistance, MAIN DATA'!N:N,'Bilateral Assistance, MAIN DATA'!I:I,'Price List, Weapons &amp; Items'!B320)&gt;M320,1,".")</f>
        <v>.</v>
      </c>
    </row>
    <row r="321" spans="2:18" ht="15" customHeight="1">
      <c r="B321" s="915" t="s">
        <v>4292</v>
      </c>
      <c r="C321" s="898" t="s">
        <v>5059</v>
      </c>
      <c r="D321" s="899" t="s">
        <v>5060</v>
      </c>
      <c r="E321" s="900">
        <v>0</v>
      </c>
      <c r="F321" s="900">
        <f t="shared" si="30"/>
        <v>1</v>
      </c>
      <c r="G321" s="892">
        <v>98000</v>
      </c>
      <c r="H321" s="900" t="s">
        <v>456</v>
      </c>
      <c r="I321" s="890" t="s">
        <v>5275</v>
      </c>
      <c r="J321" s="913" t="s">
        <v>5119</v>
      </c>
      <c r="K321" s="901" t="s">
        <v>5276</v>
      </c>
      <c r="L321" s="905">
        <f t="shared" si="28"/>
        <v>2</v>
      </c>
      <c r="M321" s="909">
        <f>SUMIFS('Bilateral Assistance, MAIN DATA'!M:M,'Bilateral Assistance, MAIN DATA'!I:I,'Price List, Weapons &amp; Items'!B321)</f>
        <v>8200</v>
      </c>
      <c r="N321" s="71">
        <f>COUNTIFS('Bilateral Assistance, MAIN DATA'!M:M,"undisclosed",'Bilateral Assistance, MAIN DATA'!I:I,'Price List, Weapons &amp; Items'!B321)</f>
        <v>0</v>
      </c>
      <c r="O321" s="910">
        <f t="shared" si="29"/>
        <v>803600000</v>
      </c>
      <c r="P321" s="71">
        <f>IFERROR(IF(SEARCH(B321,_xlfn.ARRAYTOTEXT('Bilateral Assistance, MAIN DATA'!I$1:I$2206))&gt;0,1,""),0)</f>
        <v>0</v>
      </c>
      <c r="Q321" s="71">
        <f>IFERROR(IF(SEARCH(B321,_xlfn.ARRAYTOTEXT('Commercial Assistance'!I$1:I$1400))&gt;0,1,""),0)</f>
        <v>0</v>
      </c>
      <c r="R321" s="905" t="str">
        <f>IF(SUMIFS('Bilateral Assistance, MAIN DATA'!N:N,'Bilateral Assistance, MAIN DATA'!I:I,'Price List, Weapons &amp; Items'!B321)&gt;M321,1,".")</f>
        <v>.</v>
      </c>
    </row>
    <row r="322" spans="2:18" ht="15" customHeight="1">
      <c r="B322" s="901" t="s">
        <v>644</v>
      </c>
      <c r="C322" s="898" t="s">
        <v>1105</v>
      </c>
      <c r="D322" s="899" t="s">
        <v>5263</v>
      </c>
      <c r="E322" s="900">
        <v>0</v>
      </c>
      <c r="F322" s="900">
        <f t="shared" si="30"/>
        <v>0</v>
      </c>
      <c r="G322" s="892">
        <v>1300</v>
      </c>
      <c r="H322" s="900" t="s">
        <v>456</v>
      </c>
      <c r="I322" s="885" t="s">
        <v>5573</v>
      </c>
      <c r="J322" s="913" t="s">
        <v>5574</v>
      </c>
      <c r="K322" s="901" t="s">
        <v>364</v>
      </c>
      <c r="L322" s="905">
        <f t="shared" si="28"/>
        <v>2</v>
      </c>
      <c r="M322" s="909">
        <f>SUMIFS('Bilateral Assistance, MAIN DATA'!M:M,'Bilateral Assistance, MAIN DATA'!I:I,'Price List, Weapons &amp; Items'!B322)</f>
        <v>14900</v>
      </c>
      <c r="N322" s="71">
        <f>COUNTIFS('Bilateral Assistance, MAIN DATA'!M:M,"undisclosed",'Bilateral Assistance, MAIN DATA'!I:I,'Price List, Weapons &amp; Items'!B322)</f>
        <v>3</v>
      </c>
      <c r="O322" s="910">
        <f t="shared" si="29"/>
        <v>19370000</v>
      </c>
      <c r="P322" s="71">
        <f>IFERROR(IF(SEARCH(B322,_xlfn.ARRAYTOTEXT('Bilateral Assistance, MAIN DATA'!I$1:I$2206))&gt;0,1,""),0)</f>
        <v>0</v>
      </c>
      <c r="Q322" s="71">
        <f>IFERROR(IF(SEARCH(B322,_xlfn.ARRAYTOTEXT('Commercial Assistance'!I$1:I$1400))&gt;0,1,""),0)</f>
        <v>0</v>
      </c>
      <c r="R322" s="905" t="str">
        <f>IF(SUMIFS('Bilateral Assistance, MAIN DATA'!N:N,'Bilateral Assistance, MAIN DATA'!I:I,'Price List, Weapons &amp; Items'!B322)&gt;M322,1,".")</f>
        <v>.</v>
      </c>
    </row>
    <row r="323" spans="2:18" ht="15" customHeight="1">
      <c r="B323" s="912" t="s">
        <v>1850</v>
      </c>
      <c r="C323" s="898" t="s">
        <v>1105</v>
      </c>
      <c r="D323" s="899" t="s">
        <v>5117</v>
      </c>
      <c r="E323" s="900">
        <v>0</v>
      </c>
      <c r="F323" s="900">
        <f t="shared" si="30"/>
        <v>0</v>
      </c>
      <c r="G323" s="892">
        <v>2548204.5789999999</v>
      </c>
      <c r="H323" s="908" t="str">
        <f>IF(G323&lt;&gt;".","USD",".")</f>
        <v>USD</v>
      </c>
      <c r="I323" s="885" t="s">
        <v>5118</v>
      </c>
      <c r="J323" s="901" t="s">
        <v>5119</v>
      </c>
      <c r="K323" s="901" t="s">
        <v>5575</v>
      </c>
      <c r="L323" s="905">
        <f t="shared" si="28"/>
        <v>2</v>
      </c>
      <c r="M323" s="909">
        <f>SUMIFS('Bilateral Assistance, MAIN DATA'!M:M,'Bilateral Assistance, MAIN DATA'!I:I,'Price List, Weapons &amp; Items'!B323)</f>
        <v>20</v>
      </c>
      <c r="N323" s="71">
        <f>COUNTIFS('Bilateral Assistance, MAIN DATA'!M:M,"undisclosed",'Bilateral Assistance, MAIN DATA'!I:I,'Price List, Weapons &amp; Items'!B323)</f>
        <v>0</v>
      </c>
      <c r="O323" s="910">
        <f t="shared" si="29"/>
        <v>50964091.579999998</v>
      </c>
      <c r="P323" s="71">
        <f>IFERROR(IF(SEARCH(B323,_xlfn.ARRAYTOTEXT('Bilateral Assistance, MAIN DATA'!I$1:I$2206))&gt;0,1,""),0)</f>
        <v>0</v>
      </c>
      <c r="Q323" s="71">
        <f>IFERROR(IF(SEARCH(B323,_xlfn.ARRAYTOTEXT('Commercial Assistance'!I$1:I$1400))&gt;0,1,""),0)</f>
        <v>0</v>
      </c>
      <c r="R323" s="905" t="str">
        <f>IF(SUMIFS('Bilateral Assistance, MAIN DATA'!N:N,'Bilateral Assistance, MAIN DATA'!I:I,'Price List, Weapons &amp; Items'!B323)&gt;M323,1,".")</f>
        <v>.</v>
      </c>
    </row>
    <row r="324" spans="2:18" ht="15" customHeight="1">
      <c r="B324" s="916" t="s">
        <v>1821</v>
      </c>
      <c r="C324" s="898" t="s">
        <v>1105</v>
      </c>
      <c r="D324" s="898" t="s">
        <v>1105</v>
      </c>
      <c r="E324" s="900">
        <v>0</v>
      </c>
      <c r="F324" s="900">
        <f t="shared" si="30"/>
        <v>0</v>
      </c>
      <c r="G324" s="892">
        <v>2268127</v>
      </c>
      <c r="H324" s="900" t="s">
        <v>456</v>
      </c>
      <c r="I324" s="885" t="s">
        <v>5576</v>
      </c>
      <c r="J324" s="913" t="s">
        <v>5080</v>
      </c>
      <c r="K324" s="901" t="s">
        <v>5577</v>
      </c>
      <c r="L324" s="905">
        <f t="shared" si="28"/>
        <v>2</v>
      </c>
      <c r="M324" s="909">
        <f>SUMIFS('Bilateral Assistance, MAIN DATA'!M:M,'Bilateral Assistance, MAIN DATA'!I:I,'Price List, Weapons &amp; Items'!B324)</f>
        <v>20</v>
      </c>
      <c r="N324" s="71">
        <f>COUNTIFS('Bilateral Assistance, MAIN DATA'!M:M,"undisclosed",'Bilateral Assistance, MAIN DATA'!I:I,'Price List, Weapons &amp; Items'!B324)</f>
        <v>3</v>
      </c>
      <c r="O324" s="910">
        <f t="shared" si="29"/>
        <v>45362540</v>
      </c>
      <c r="P324" s="71">
        <f>IFERROR(IF(SEARCH(B324,_xlfn.ARRAYTOTEXT('Bilateral Assistance, MAIN DATA'!I$1:I$2206))&gt;0,1,""),0)</f>
        <v>0</v>
      </c>
      <c r="Q324" s="71">
        <f>IFERROR(IF(SEARCH(B324,_xlfn.ARRAYTOTEXT('Commercial Assistance'!I$1:I$1400))&gt;0,1,""),0)</f>
        <v>0</v>
      </c>
      <c r="R324" s="905" t="str">
        <f>IF(SUMIFS('Bilateral Assistance, MAIN DATA'!N:N,'Bilateral Assistance, MAIN DATA'!I:I,'Price List, Weapons &amp; Items'!B324)&gt;M324,1,".")</f>
        <v>.</v>
      </c>
    </row>
    <row r="325" spans="2:18" ht="15" customHeight="1">
      <c r="B325" s="916" t="s">
        <v>1866</v>
      </c>
      <c r="C325" s="898" t="s">
        <v>5062</v>
      </c>
      <c r="D325" s="899" t="s">
        <v>5152</v>
      </c>
      <c r="E325" s="900">
        <v>0</v>
      </c>
      <c r="F325" s="900">
        <f t="shared" si="30"/>
        <v>1</v>
      </c>
      <c r="G325" s="892">
        <v>1240159</v>
      </c>
      <c r="H325" s="900" t="s">
        <v>456</v>
      </c>
      <c r="I325" s="885" t="s">
        <v>5578</v>
      </c>
      <c r="J325" s="913" t="s">
        <v>5119</v>
      </c>
      <c r="K325" s="901" t="s">
        <v>5579</v>
      </c>
      <c r="L325" s="905">
        <f t="shared" si="28"/>
        <v>2</v>
      </c>
      <c r="M325" s="909">
        <f>SUMIFS('Bilateral Assistance, MAIN DATA'!M:M,'Bilateral Assistance, MAIN DATA'!I:I,'Price List, Weapons &amp; Items'!B325)</f>
        <v>5</v>
      </c>
      <c r="N325" s="71">
        <f>COUNTIFS('Bilateral Assistance, MAIN DATA'!M:M,"undisclosed",'Bilateral Assistance, MAIN DATA'!I:I,'Price List, Weapons &amp; Items'!B325)</f>
        <v>0</v>
      </c>
      <c r="O325" s="910">
        <f t="shared" si="29"/>
        <v>6200795</v>
      </c>
      <c r="P325" s="71">
        <f>IFERROR(IF(SEARCH(B325,_xlfn.ARRAYTOTEXT('Bilateral Assistance, MAIN DATA'!I$1:I$2206))&gt;0,1,""),0)</f>
        <v>0</v>
      </c>
      <c r="Q325" s="71">
        <f>IFERROR(IF(SEARCH(B325,_xlfn.ARRAYTOTEXT('Commercial Assistance'!I$1:I$1400))&gt;0,1,""),0)</f>
        <v>0</v>
      </c>
      <c r="R325" s="905" t="str">
        <f>IF(SUMIFS('Bilateral Assistance, MAIN DATA'!N:N,'Bilateral Assistance, MAIN DATA'!I:I,'Price List, Weapons &amp; Items'!B325)&gt;M325,1,".")</f>
        <v>.</v>
      </c>
    </row>
    <row r="326" spans="2:18" ht="15" customHeight="1">
      <c r="B326" s="916" t="s">
        <v>966</v>
      </c>
      <c r="C326" s="898" t="s">
        <v>5062</v>
      </c>
      <c r="D326" s="899" t="s">
        <v>5366</v>
      </c>
      <c r="E326" s="900">
        <v>0</v>
      </c>
      <c r="F326" s="900">
        <f t="shared" si="30"/>
        <v>1</v>
      </c>
      <c r="G326" s="892">
        <v>405530</v>
      </c>
      <c r="H326" s="900" t="s">
        <v>456</v>
      </c>
      <c r="I326" s="885" t="s">
        <v>5550</v>
      </c>
      <c r="J326" s="913" t="s">
        <v>5543</v>
      </c>
      <c r="K326" s="901" t="s">
        <v>5580</v>
      </c>
      <c r="L326" s="905">
        <f t="shared" si="28"/>
        <v>2</v>
      </c>
      <c r="M326" s="909">
        <f>SUMIFS('Bilateral Assistance, MAIN DATA'!M:M,'Bilateral Assistance, MAIN DATA'!I:I,'Price List, Weapons &amp; Items'!B326)</f>
        <v>14</v>
      </c>
      <c r="N326" s="71">
        <f>COUNTIFS('Bilateral Assistance, MAIN DATA'!M:M,"undisclosed",'Bilateral Assistance, MAIN DATA'!I:I,'Price List, Weapons &amp; Items'!B326)</f>
        <v>1</v>
      </c>
      <c r="O326" s="910">
        <f t="shared" si="29"/>
        <v>5677420</v>
      </c>
      <c r="P326" s="71">
        <f>IFERROR(IF(SEARCH(B326,_xlfn.ARRAYTOTEXT('Bilateral Assistance, MAIN DATA'!I$1:I$2206))&gt;0,1,""),0)</f>
        <v>0</v>
      </c>
      <c r="Q326" s="71">
        <f>IFERROR(IF(SEARCH(B326,_xlfn.ARRAYTOTEXT('Commercial Assistance'!I$1:I$1400))&gt;0,1,""),0)</f>
        <v>0</v>
      </c>
      <c r="R326" s="905" t="str">
        <f>IF(SUMIFS('Bilateral Assistance, MAIN DATA'!N:N,'Bilateral Assistance, MAIN DATA'!I:I,'Price List, Weapons &amp; Items'!B326)&gt;M326,1,".")</f>
        <v>.</v>
      </c>
    </row>
    <row r="327" spans="2:18" ht="15" customHeight="1">
      <c r="B327" s="901" t="s">
        <v>1832</v>
      </c>
      <c r="C327" s="898" t="s">
        <v>5062</v>
      </c>
      <c r="D327" s="899" t="s">
        <v>5366</v>
      </c>
      <c r="E327" s="900">
        <v>0</v>
      </c>
      <c r="F327" s="900">
        <f t="shared" si="30"/>
        <v>1</v>
      </c>
      <c r="G327" s="892">
        <v>405530</v>
      </c>
      <c r="H327" s="900" t="s">
        <v>456</v>
      </c>
      <c r="I327" s="885" t="s">
        <v>5550</v>
      </c>
      <c r="J327" s="913" t="s">
        <v>5543</v>
      </c>
      <c r="K327" s="901" t="s">
        <v>5580</v>
      </c>
      <c r="L327" s="905">
        <f t="shared" si="28"/>
        <v>2</v>
      </c>
      <c r="M327" s="909">
        <f>SUMIFS('Bilateral Assistance, MAIN DATA'!M:M,'Bilateral Assistance, MAIN DATA'!I:I,'Price List, Weapons &amp; Items'!B327)</f>
        <v>42</v>
      </c>
      <c r="N327" s="71">
        <f>COUNTIFS('Bilateral Assistance, MAIN DATA'!M:M,"undisclosed",'Bilateral Assistance, MAIN DATA'!I:I,'Price List, Weapons &amp; Items'!B327)</f>
        <v>0</v>
      </c>
      <c r="O327" s="910">
        <f t="shared" si="29"/>
        <v>17032260</v>
      </c>
      <c r="P327" s="71">
        <f>IFERROR(IF(SEARCH(B327,_xlfn.ARRAYTOTEXT('Bilateral Assistance, MAIN DATA'!I$1:I$2206))&gt;0,1,""),0)</f>
        <v>0</v>
      </c>
      <c r="Q327" s="71">
        <f>IFERROR(IF(SEARCH(B327,_xlfn.ARRAYTOTEXT('Commercial Assistance'!I$1:I$1400))&gt;0,1,""),0)</f>
        <v>0</v>
      </c>
      <c r="R327" s="905" t="str">
        <f>IF(SUMIFS('Bilateral Assistance, MAIN DATA'!N:N,'Bilateral Assistance, MAIN DATA'!I:I,'Price List, Weapons &amp; Items'!B327)&gt;M327,1,".")</f>
        <v>.</v>
      </c>
    </row>
    <row r="328" spans="2:18" ht="15" customHeight="1">
      <c r="B328" s="901" t="s">
        <v>1670</v>
      </c>
      <c r="C328" s="915" t="s">
        <v>5062</v>
      </c>
      <c r="D328" s="899" t="s">
        <v>5157</v>
      </c>
      <c r="E328" s="900">
        <v>0</v>
      </c>
      <c r="F328" s="900">
        <f t="shared" si="30"/>
        <v>1</v>
      </c>
      <c r="G328" s="892">
        <v>1206834.1100000001</v>
      </c>
      <c r="H328" s="900" t="s">
        <v>456</v>
      </c>
      <c r="I328" s="891" t="s">
        <v>5074</v>
      </c>
      <c r="J328" s="71" t="s">
        <v>5075</v>
      </c>
      <c r="K328" s="71" t="s">
        <v>5581</v>
      </c>
      <c r="L328" s="905">
        <f t="shared" si="28"/>
        <v>2</v>
      </c>
      <c r="M328" s="909">
        <f>SUMIFS('Bilateral Assistance, MAIN DATA'!M:M,'Bilateral Assistance, MAIN DATA'!I:I,'Price List, Weapons &amp; Items'!B328)</f>
        <v>60</v>
      </c>
      <c r="N328" s="71">
        <f>COUNTIFS('Bilateral Assistance, MAIN DATA'!M:M,"undisclosed",'Bilateral Assistance, MAIN DATA'!I:I,'Price List, Weapons &amp; Items'!B328)</f>
        <v>0</v>
      </c>
      <c r="O328" s="910">
        <f t="shared" si="29"/>
        <v>72410046.600000009</v>
      </c>
      <c r="P328" s="71">
        <f>IFERROR(IF(SEARCH(B328,_xlfn.ARRAYTOTEXT('Bilateral Assistance, MAIN DATA'!I$1:I$2206))&gt;0,1,""),0)</f>
        <v>0</v>
      </c>
      <c r="Q328" s="71">
        <f>IFERROR(IF(SEARCH(B328,_xlfn.ARRAYTOTEXT('Commercial Assistance'!I$1:I$1400))&gt;0,1,""),0)</f>
        <v>0</v>
      </c>
      <c r="R328" s="905" t="str">
        <f>IF(SUMIFS('Bilateral Assistance, MAIN DATA'!N:N,'Bilateral Assistance, MAIN DATA'!I:I,'Price List, Weapons &amp; Items'!B328)&gt;M328,1,".")</f>
        <v>.</v>
      </c>
    </row>
    <row r="329" spans="2:18" ht="15" customHeight="1">
      <c r="B329" s="901" t="s">
        <v>618</v>
      </c>
      <c r="C329" s="898" t="s">
        <v>1105</v>
      </c>
      <c r="D329" s="898" t="s">
        <v>1105</v>
      </c>
      <c r="E329" s="900">
        <v>0</v>
      </c>
      <c r="F329" s="900">
        <f t="shared" si="30"/>
        <v>0</v>
      </c>
      <c r="G329" s="892">
        <f>AVERAGE(89.4,29.07)</f>
        <v>59.234999999999999</v>
      </c>
      <c r="H329" s="900" t="s">
        <v>456</v>
      </c>
      <c r="I329" s="913" t="s">
        <v>364</v>
      </c>
      <c r="J329" s="913" t="s">
        <v>5119</v>
      </c>
      <c r="K329" s="901" t="s">
        <v>5582</v>
      </c>
      <c r="L329" s="905">
        <f t="shared" si="28"/>
        <v>2</v>
      </c>
      <c r="M329" s="909">
        <f>SUMIFS('Bilateral Assistance, MAIN DATA'!M:M,'Bilateral Assistance, MAIN DATA'!I:I,'Price List, Weapons &amp; Items'!B329)</f>
        <v>137150</v>
      </c>
      <c r="N329" s="71">
        <f>COUNTIFS('Bilateral Assistance, MAIN DATA'!M:M,"undisclosed",'Bilateral Assistance, MAIN DATA'!I:I,'Price List, Weapons &amp; Items'!B329)</f>
        <v>6</v>
      </c>
      <c r="O329" s="910">
        <f t="shared" si="29"/>
        <v>8124080.25</v>
      </c>
      <c r="P329" s="71">
        <f>IFERROR(IF(SEARCH(B329,_xlfn.ARRAYTOTEXT('Bilateral Assistance, MAIN DATA'!I$1:I$2206))&gt;0,1,""),0)</f>
        <v>0</v>
      </c>
      <c r="Q329" s="71">
        <f>IFERROR(IF(SEARCH(B329,_xlfn.ARRAYTOTEXT('Commercial Assistance'!I$1:I$1400))&gt;0,1,""),0)</f>
        <v>0</v>
      </c>
      <c r="R329" s="905" t="str">
        <f>IF(SUMIFS('Bilateral Assistance, MAIN DATA'!N:N,'Bilateral Assistance, MAIN DATA'!I:I,'Price List, Weapons &amp; Items'!B329)&gt;M329,1,".")</f>
        <v>.</v>
      </c>
    </row>
    <row r="330" spans="2:18" ht="15" customHeight="1">
      <c r="B330" s="901" t="s">
        <v>1327</v>
      </c>
      <c r="C330" s="915" t="s">
        <v>5062</v>
      </c>
      <c r="D330" s="899" t="s">
        <v>5073</v>
      </c>
      <c r="E330" s="900">
        <v>0</v>
      </c>
      <c r="F330" s="900">
        <f t="shared" si="30"/>
        <v>1</v>
      </c>
      <c r="G330" s="892">
        <v>94462</v>
      </c>
      <c r="H330" s="908" t="str">
        <f t="shared" ref="H330:H338" si="32">IF(G330&lt;&gt;".","USD",".")</f>
        <v>USD</v>
      </c>
      <c r="I330" s="885" t="s">
        <v>5583</v>
      </c>
      <c r="J330" s="901" t="s">
        <v>5082</v>
      </c>
      <c r="K330" s="901" t="s">
        <v>5584</v>
      </c>
      <c r="L330" s="905">
        <f t="shared" si="28"/>
        <v>1</v>
      </c>
      <c r="M330" s="909">
        <f>SUMIFS('Bilateral Assistance, MAIN DATA'!M:M,'Bilateral Assistance, MAIN DATA'!I:I,'Price List, Weapons &amp; Items'!B330)</f>
        <v>7</v>
      </c>
      <c r="N330" s="71">
        <f>COUNTIFS('Bilateral Assistance, MAIN DATA'!M:M,"undisclosed",'Bilateral Assistance, MAIN DATA'!I:I,'Price List, Weapons &amp; Items'!B330)</f>
        <v>0</v>
      </c>
      <c r="O330" s="910">
        <f t="shared" si="29"/>
        <v>661234</v>
      </c>
      <c r="P330" s="71">
        <f>IFERROR(IF(SEARCH(B330,_xlfn.ARRAYTOTEXT('Bilateral Assistance, MAIN DATA'!I$1:I$2206))&gt;0,1,""),0)</f>
        <v>0</v>
      </c>
      <c r="Q330" s="71">
        <f>IFERROR(IF(SEARCH(B330,_xlfn.ARRAYTOTEXT('Commercial Assistance'!I$1:I$1400))&gt;0,1,""),0)</f>
        <v>0</v>
      </c>
      <c r="R330" s="905" t="str">
        <f>IF(SUMIFS('Bilateral Assistance, MAIN DATA'!N:N,'Bilateral Assistance, MAIN DATA'!I:I,'Price List, Weapons &amp; Items'!B330)&gt;M330,1,".")</f>
        <v>.</v>
      </c>
    </row>
    <row r="331" spans="2:18" ht="15" customHeight="1">
      <c r="B331" s="901" t="s">
        <v>5585</v>
      </c>
      <c r="C331" s="898" t="s">
        <v>5099</v>
      </c>
      <c r="D331" s="899" t="s">
        <v>5198</v>
      </c>
      <c r="E331" s="900">
        <v>0</v>
      </c>
      <c r="F331" s="900">
        <f t="shared" si="30"/>
        <v>0</v>
      </c>
      <c r="G331" s="892">
        <v>40000</v>
      </c>
      <c r="H331" s="908" t="str">
        <f t="shared" si="32"/>
        <v>USD</v>
      </c>
      <c r="I331" s="886" t="s">
        <v>5432</v>
      </c>
      <c r="J331" s="901" t="s">
        <v>5080</v>
      </c>
      <c r="K331" s="901" t="s">
        <v>5433</v>
      </c>
      <c r="L331" s="905">
        <f t="shared" si="28"/>
        <v>2</v>
      </c>
      <c r="M331" s="909">
        <f>SUMIFS('Bilateral Assistance, MAIN DATA'!M:M,'Bilateral Assistance, MAIN DATA'!I:I,'Price List, Weapons &amp; Items'!B331)</f>
        <v>5032</v>
      </c>
      <c r="N331" s="71">
        <f>COUNTIFS('Bilateral Assistance, MAIN DATA'!M:M,"undisclosed",'Bilateral Assistance, MAIN DATA'!I:I,'Price List, Weapons &amp; Items'!B331)</f>
        <v>0</v>
      </c>
      <c r="O331" s="910">
        <f t="shared" si="29"/>
        <v>201280000</v>
      </c>
      <c r="P331" s="71">
        <f>IFERROR(IF(SEARCH(B331,_xlfn.ARRAYTOTEXT('Bilateral Assistance, MAIN DATA'!I$1:I$2206))&gt;0,1,""),0)</f>
        <v>0</v>
      </c>
      <c r="Q331" s="71">
        <f>IFERROR(IF(SEARCH(B331,_xlfn.ARRAYTOTEXT('Commercial Assistance'!I$1:I$1400))&gt;0,1,""),0)</f>
        <v>0</v>
      </c>
      <c r="R331" s="905" t="str">
        <f>IF(SUMIFS('Bilateral Assistance, MAIN DATA'!N:N,'Bilateral Assistance, MAIN DATA'!I:I,'Price List, Weapons &amp; Items'!B331)&gt;M331,1,".")</f>
        <v>.</v>
      </c>
    </row>
    <row r="332" spans="2:18" ht="15" customHeight="1">
      <c r="B332" s="916" t="s">
        <v>1905</v>
      </c>
      <c r="C332" s="898" t="s">
        <v>5099</v>
      </c>
      <c r="D332" s="899" t="s">
        <v>5198</v>
      </c>
      <c r="E332" s="900">
        <v>0</v>
      </c>
      <c r="F332" s="900">
        <f t="shared" si="30"/>
        <v>0</v>
      </c>
      <c r="G332" s="892">
        <v>11108</v>
      </c>
      <c r="H332" s="908" t="str">
        <f t="shared" si="32"/>
        <v>USD</v>
      </c>
      <c r="I332" s="886" t="s">
        <v>5443</v>
      </c>
      <c r="J332" s="901" t="s">
        <v>5082</v>
      </c>
      <c r="K332" s="917" t="s">
        <v>5444</v>
      </c>
      <c r="L332" s="905">
        <f t="shared" ref="L332:L395" si="33">IF(C332="Humanitarian",0,IF(M332&gt;0,IF(TYPE(O332)=1,IF(O332&gt;MEDIAN(O:O),2,1),0),"no price, 0 count"))</f>
        <v>1</v>
      </c>
      <c r="M332" s="909">
        <f>SUMIFS('Bilateral Assistance, MAIN DATA'!M:M,'Bilateral Assistance, MAIN DATA'!I:I,'Price List, Weapons &amp; Items'!B332)</f>
        <v>50</v>
      </c>
      <c r="N332" s="71">
        <f>COUNTIFS('Bilateral Assistance, MAIN DATA'!M:M,"undisclosed",'Bilateral Assistance, MAIN DATA'!I:I,'Price List, Weapons &amp; Items'!B332)</f>
        <v>0</v>
      </c>
      <c r="O332" s="910">
        <f t="shared" ref="O332:O395" si="34">IFERROR(M332*G332,"no price")</f>
        <v>555400</v>
      </c>
      <c r="P332" s="71">
        <f>IFERROR(IF(SEARCH(B332,_xlfn.ARRAYTOTEXT('Bilateral Assistance, MAIN DATA'!I$1:I$2206))&gt;0,1,""),0)</f>
        <v>0</v>
      </c>
      <c r="Q332" s="71">
        <f>IFERROR(IF(SEARCH(B332,_xlfn.ARRAYTOTEXT('Commercial Assistance'!I$1:I$1400))&gt;0,1,""),0)</f>
        <v>0</v>
      </c>
      <c r="R332" s="905" t="str">
        <f>IF(SUMIFS('Bilateral Assistance, MAIN DATA'!N:N,'Bilateral Assistance, MAIN DATA'!I:I,'Price List, Weapons &amp; Items'!B332)&gt;M332,1,".")</f>
        <v>.</v>
      </c>
    </row>
    <row r="333" spans="2:18" ht="15" customHeight="1">
      <c r="B333" s="901" t="s">
        <v>4002</v>
      </c>
      <c r="C333" s="898" t="s">
        <v>5070</v>
      </c>
      <c r="D333" s="899" t="s">
        <v>3126</v>
      </c>
      <c r="E333" s="900">
        <v>0</v>
      </c>
      <c r="F333" s="900">
        <f t="shared" si="30"/>
        <v>0</v>
      </c>
      <c r="G333" s="892">
        <v>6000</v>
      </c>
      <c r="H333" s="908" t="str">
        <f t="shared" si="32"/>
        <v>USD</v>
      </c>
      <c r="I333" s="886" t="s">
        <v>5451</v>
      </c>
      <c r="J333" s="901" t="s">
        <v>5089</v>
      </c>
      <c r="K333" s="901" t="s">
        <v>5452</v>
      </c>
      <c r="L333" s="905">
        <f t="shared" si="33"/>
        <v>1</v>
      </c>
      <c r="M333" s="909">
        <f>SUMIFS('Bilateral Assistance, MAIN DATA'!M:M,'Bilateral Assistance, MAIN DATA'!I:I,'Price List, Weapons &amp; Items'!B333)</f>
        <v>100</v>
      </c>
      <c r="N333" s="71">
        <f>COUNTIFS('Bilateral Assistance, MAIN DATA'!M:M,"undisclosed",'Bilateral Assistance, MAIN DATA'!I:I,'Price List, Weapons &amp; Items'!B333)</f>
        <v>0</v>
      </c>
      <c r="O333" s="910">
        <f t="shared" si="34"/>
        <v>600000</v>
      </c>
      <c r="P333" s="71">
        <f>IFERROR(IF(SEARCH(B333,_xlfn.ARRAYTOTEXT('Bilateral Assistance, MAIN DATA'!I$1:I$2206))&gt;0,1,""),0)</f>
        <v>0</v>
      </c>
      <c r="Q333" s="71">
        <f>IFERROR(IF(SEARCH(B333,_xlfn.ARRAYTOTEXT('Commercial Assistance'!I$1:I$1400))&gt;0,1,""),0)</f>
        <v>0</v>
      </c>
      <c r="R333" s="905" t="str">
        <f>IF(SUMIFS('Bilateral Assistance, MAIN DATA'!N:N,'Bilateral Assistance, MAIN DATA'!I:I,'Price List, Weapons &amp; Items'!B333)&gt;M333,1,".")</f>
        <v>.</v>
      </c>
    </row>
    <row r="334" spans="2:18" ht="15" customHeight="1">
      <c r="B334" s="901" t="s">
        <v>5586</v>
      </c>
      <c r="C334" s="898" t="s">
        <v>5056</v>
      </c>
      <c r="D334" s="899" t="s">
        <v>5069</v>
      </c>
      <c r="E334" s="900">
        <v>0</v>
      </c>
      <c r="F334" s="900">
        <f t="shared" si="30"/>
        <v>0</v>
      </c>
      <c r="G334" s="892">
        <v>1100</v>
      </c>
      <c r="H334" s="908" t="str">
        <f t="shared" si="32"/>
        <v>USD</v>
      </c>
      <c r="I334" s="886" t="s">
        <v>5587</v>
      </c>
      <c r="J334" s="901" t="s">
        <v>5086</v>
      </c>
      <c r="K334" s="901" t="s">
        <v>5588</v>
      </c>
      <c r="L334" s="905">
        <f t="shared" si="33"/>
        <v>1</v>
      </c>
      <c r="M334" s="909">
        <f>SUMIFS('Bilateral Assistance, MAIN DATA'!M:M,'Bilateral Assistance, MAIN DATA'!I:I,'Price List, Weapons &amp; Items'!B334)</f>
        <v>400</v>
      </c>
      <c r="N334" s="71">
        <f>COUNTIFS('Bilateral Assistance, MAIN DATA'!M:M,"undisclosed",'Bilateral Assistance, MAIN DATA'!I:I,'Price List, Weapons &amp; Items'!B334)</f>
        <v>0</v>
      </c>
      <c r="O334" s="910">
        <f t="shared" si="34"/>
        <v>440000</v>
      </c>
      <c r="P334" s="71">
        <f>IFERROR(IF(SEARCH(B334,_xlfn.ARRAYTOTEXT('Bilateral Assistance, MAIN DATA'!I$1:I$2206))&gt;0,1,""),0)</f>
        <v>0</v>
      </c>
      <c r="Q334" s="71">
        <f>IFERROR(IF(SEARCH(B334,_xlfn.ARRAYTOTEXT('Commercial Assistance'!I$1:I$1400))&gt;0,1,""),0)</f>
        <v>0</v>
      </c>
      <c r="R334" s="905" t="str">
        <f>IF(SUMIFS('Bilateral Assistance, MAIN DATA'!N:N,'Bilateral Assistance, MAIN DATA'!I:I,'Price List, Weapons &amp; Items'!B334)&gt;M334,1,".")</f>
        <v>.</v>
      </c>
    </row>
    <row r="335" spans="2:18" ht="15" customHeight="1">
      <c r="B335" s="912" t="s">
        <v>5589</v>
      </c>
      <c r="C335" s="898" t="s">
        <v>5065</v>
      </c>
      <c r="D335" s="899" t="s">
        <v>5193</v>
      </c>
      <c r="E335" s="900">
        <v>0</v>
      </c>
      <c r="F335" s="900">
        <f t="shared" si="30"/>
        <v>0</v>
      </c>
      <c r="G335" s="892">
        <v>329</v>
      </c>
      <c r="H335" s="908" t="str">
        <f t="shared" si="32"/>
        <v>USD</v>
      </c>
      <c r="I335" s="886" t="s">
        <v>5590</v>
      </c>
      <c r="J335" s="901" t="s">
        <v>5082</v>
      </c>
      <c r="K335" s="917" t="s">
        <v>5591</v>
      </c>
      <c r="L335" s="905">
        <f t="shared" si="33"/>
        <v>1</v>
      </c>
      <c r="M335" s="909">
        <f>SUMIFS('Bilateral Assistance, MAIN DATA'!M:M,'Bilateral Assistance, MAIN DATA'!I:I,'Price List, Weapons &amp; Items'!B335)</f>
        <v>1500</v>
      </c>
      <c r="N335" s="71">
        <f>COUNTIFS('Bilateral Assistance, MAIN DATA'!M:M,"undisclosed",'Bilateral Assistance, MAIN DATA'!I:I,'Price List, Weapons &amp; Items'!B335)</f>
        <v>0</v>
      </c>
      <c r="O335" s="910">
        <f t="shared" si="34"/>
        <v>493500</v>
      </c>
      <c r="P335" s="71">
        <f>IFERROR(IF(SEARCH(B335,_xlfn.ARRAYTOTEXT('Bilateral Assistance, MAIN DATA'!I$1:I$2206))&gt;0,1,""),0)</f>
        <v>0</v>
      </c>
      <c r="Q335" s="71">
        <f>IFERROR(IF(SEARCH(B335,_xlfn.ARRAYTOTEXT('Commercial Assistance'!I$1:I$1400))&gt;0,1,""),0)</f>
        <v>0</v>
      </c>
      <c r="R335" s="905" t="str">
        <f>IF(SUMIFS('Bilateral Assistance, MAIN DATA'!N:N,'Bilateral Assistance, MAIN DATA'!I:I,'Price List, Weapons &amp; Items'!B335)&gt;M335,1,".")</f>
        <v>.</v>
      </c>
    </row>
    <row r="336" spans="2:18" ht="15" customHeight="1">
      <c r="B336" s="901" t="s">
        <v>5592</v>
      </c>
      <c r="C336" s="898" t="s">
        <v>5065</v>
      </c>
      <c r="D336" s="899" t="s">
        <v>5066</v>
      </c>
      <c r="E336" s="900">
        <v>0</v>
      </c>
      <c r="F336" s="900">
        <f t="shared" si="30"/>
        <v>0</v>
      </c>
      <c r="G336" s="892">
        <v>0.85</v>
      </c>
      <c r="H336" s="908" t="str">
        <f t="shared" si="32"/>
        <v>USD</v>
      </c>
      <c r="I336" s="886" t="s">
        <v>5416</v>
      </c>
      <c r="J336" s="901" t="s">
        <v>5086</v>
      </c>
      <c r="K336" s="901" t="s">
        <v>5593</v>
      </c>
      <c r="L336" s="905">
        <f t="shared" si="33"/>
        <v>1</v>
      </c>
      <c r="M336" s="909">
        <f>SUMIFS('Bilateral Assistance, MAIN DATA'!M:M,'Bilateral Assistance, MAIN DATA'!I:I,'Price List, Weapons &amp; Items'!B336)</f>
        <v>700000</v>
      </c>
      <c r="N336" s="71">
        <f>COUNTIFS('Bilateral Assistance, MAIN DATA'!M:M,"undisclosed",'Bilateral Assistance, MAIN DATA'!I:I,'Price List, Weapons &amp; Items'!B336)</f>
        <v>1</v>
      </c>
      <c r="O336" s="910">
        <f t="shared" si="34"/>
        <v>595000</v>
      </c>
      <c r="P336" s="71">
        <f>IFERROR(IF(SEARCH(B336,_xlfn.ARRAYTOTEXT('Bilateral Assistance, MAIN DATA'!I$1:I$2206))&gt;0,1,""),0)</f>
        <v>0</v>
      </c>
      <c r="Q336" s="71">
        <f>IFERROR(IF(SEARCH(B336,_xlfn.ARRAYTOTEXT('Commercial Assistance'!I$1:I$1400))&gt;0,1,""),0)</f>
        <v>0</v>
      </c>
      <c r="R336" s="905" t="str">
        <f>IF(SUMIFS('Bilateral Assistance, MAIN DATA'!N:N,'Bilateral Assistance, MAIN DATA'!I:I,'Price List, Weapons &amp; Items'!B336)&gt;M336,1,".")</f>
        <v>.</v>
      </c>
    </row>
    <row r="337" spans="2:18" ht="15" customHeight="1">
      <c r="B337" s="912" t="s">
        <v>5594</v>
      </c>
      <c r="C337" s="898" t="s">
        <v>5065</v>
      </c>
      <c r="D337" s="899" t="s">
        <v>5066</v>
      </c>
      <c r="E337" s="900">
        <v>0</v>
      </c>
      <c r="F337" s="900">
        <f t="shared" si="30"/>
        <v>0</v>
      </c>
      <c r="G337" s="892">
        <v>0.5</v>
      </c>
      <c r="H337" s="908" t="str">
        <f t="shared" si="32"/>
        <v>USD</v>
      </c>
      <c r="I337" s="886" t="s">
        <v>5595</v>
      </c>
      <c r="J337" s="901" t="s">
        <v>5086</v>
      </c>
      <c r="K337" s="901" t="s">
        <v>5596</v>
      </c>
      <c r="L337" s="905">
        <f t="shared" si="33"/>
        <v>1</v>
      </c>
      <c r="M337" s="909">
        <f>SUMIFS('Bilateral Assistance, MAIN DATA'!M:M,'Bilateral Assistance, MAIN DATA'!I:I,'Price List, Weapons &amp; Items'!B337)</f>
        <v>1000000</v>
      </c>
      <c r="N337" s="71">
        <f>COUNTIFS('Bilateral Assistance, MAIN DATA'!M:M,"undisclosed",'Bilateral Assistance, MAIN DATA'!I:I,'Price List, Weapons &amp; Items'!B337)</f>
        <v>0</v>
      </c>
      <c r="O337" s="910">
        <f t="shared" si="34"/>
        <v>500000</v>
      </c>
      <c r="P337" s="71">
        <f>IFERROR(IF(SEARCH(B337,_xlfn.ARRAYTOTEXT('Bilateral Assistance, MAIN DATA'!I$1:I$2206))&gt;0,1,""),0)</f>
        <v>0</v>
      </c>
      <c r="Q337" s="71">
        <f>IFERROR(IF(SEARCH(B337,_xlfn.ARRAYTOTEXT('Commercial Assistance'!I$1:I$1400))&gt;0,1,""),0)</f>
        <v>0</v>
      </c>
      <c r="R337" s="905" t="str">
        <f>IF(SUMIFS('Bilateral Assistance, MAIN DATA'!N:N,'Bilateral Assistance, MAIN DATA'!I:I,'Price List, Weapons &amp; Items'!B337)&gt;M337,1,".")</f>
        <v>.</v>
      </c>
    </row>
    <row r="338" spans="2:18" ht="15" customHeight="1">
      <c r="B338" s="901" t="s">
        <v>3493</v>
      </c>
      <c r="C338" s="898" t="s">
        <v>1105</v>
      </c>
      <c r="D338" s="899" t="s">
        <v>5298</v>
      </c>
      <c r="E338" s="900">
        <v>0</v>
      </c>
      <c r="F338" s="900">
        <f t="shared" si="30"/>
        <v>0</v>
      </c>
      <c r="G338" s="892">
        <f>60000</f>
        <v>60000</v>
      </c>
      <c r="H338" s="908" t="str">
        <f t="shared" si="32"/>
        <v>USD</v>
      </c>
      <c r="I338" s="885" t="s">
        <v>5597</v>
      </c>
      <c r="J338" s="901" t="s">
        <v>5080</v>
      </c>
      <c r="K338" s="901" t="s">
        <v>5598</v>
      </c>
      <c r="L338" s="905">
        <f t="shared" si="33"/>
        <v>1</v>
      </c>
      <c r="M338" s="909">
        <f>SUMIFS('Bilateral Assistance, MAIN DATA'!M:M,'Bilateral Assistance, MAIN DATA'!I:I,'Price List, Weapons &amp; Items'!B338)</f>
        <v>8</v>
      </c>
      <c r="N338" s="71">
        <f>COUNTIFS('Bilateral Assistance, MAIN DATA'!M:M,"undisclosed",'Bilateral Assistance, MAIN DATA'!I:I,'Price List, Weapons &amp; Items'!B338)</f>
        <v>0</v>
      </c>
      <c r="O338" s="910">
        <f t="shared" si="34"/>
        <v>480000</v>
      </c>
      <c r="P338" s="71">
        <f>IFERROR(IF(SEARCH(B338,_xlfn.ARRAYTOTEXT('Bilateral Assistance, MAIN DATA'!I$1:I$2206))&gt;0,1,""),0)</f>
        <v>0</v>
      </c>
      <c r="Q338" s="71">
        <f>IFERROR(IF(SEARCH(B338,_xlfn.ARRAYTOTEXT('Commercial Assistance'!I$1:I$1400))&gt;0,1,""),0)</f>
        <v>0</v>
      </c>
      <c r="R338" s="905" t="str">
        <f>IF(SUMIFS('Bilateral Assistance, MAIN DATA'!N:N,'Bilateral Assistance, MAIN DATA'!I:I,'Price List, Weapons &amp; Items'!B338)&gt;M338,1,".")</f>
        <v>.</v>
      </c>
    </row>
    <row r="339" spans="2:18" ht="15" customHeight="1">
      <c r="B339" s="901" t="s">
        <v>3827</v>
      </c>
      <c r="C339" s="898" t="s">
        <v>5062</v>
      </c>
      <c r="D339" s="899" t="s">
        <v>5152</v>
      </c>
      <c r="E339" s="900">
        <v>0</v>
      </c>
      <c r="F339" s="900">
        <f t="shared" si="30"/>
        <v>1</v>
      </c>
      <c r="G339" s="892">
        <f>G340</f>
        <v>32540</v>
      </c>
      <c r="H339" s="900" t="s">
        <v>456</v>
      </c>
      <c r="I339" s="913" t="s">
        <v>364</v>
      </c>
      <c r="J339" s="913" t="s">
        <v>364</v>
      </c>
      <c r="K339" s="901" t="s">
        <v>5599</v>
      </c>
      <c r="L339" s="905">
        <f t="shared" si="33"/>
        <v>1</v>
      </c>
      <c r="M339" s="909">
        <f>SUMIFS('Bilateral Assistance, MAIN DATA'!M:M,'Bilateral Assistance, MAIN DATA'!I:I,'Price List, Weapons &amp; Items'!B339)</f>
        <v>5</v>
      </c>
      <c r="N339" s="71">
        <f>COUNTIFS('Bilateral Assistance, MAIN DATA'!M:M,"undisclosed",'Bilateral Assistance, MAIN DATA'!I:I,'Price List, Weapons &amp; Items'!B339)</f>
        <v>0</v>
      </c>
      <c r="O339" s="910">
        <f t="shared" si="34"/>
        <v>162700</v>
      </c>
      <c r="P339" s="71">
        <f>IFERROR(IF(SEARCH(B339,_xlfn.ARRAYTOTEXT('Bilateral Assistance, MAIN DATA'!I$1:I$2206))&gt;0,1,""),0)</f>
        <v>0</v>
      </c>
      <c r="Q339" s="71">
        <f>IFERROR(IF(SEARCH(B339,_xlfn.ARRAYTOTEXT('Commercial Assistance'!I$1:I$1400))&gt;0,1,""),0)</f>
        <v>0</v>
      </c>
      <c r="R339" s="905" t="str">
        <f>IF(SUMIFS('Bilateral Assistance, MAIN DATA'!N:N,'Bilateral Assistance, MAIN DATA'!I:I,'Price List, Weapons &amp; Items'!B339)&gt;M339,1,".")</f>
        <v>.</v>
      </c>
    </row>
    <row r="340" spans="2:18" ht="15" customHeight="1">
      <c r="B340" s="912" t="s">
        <v>5600</v>
      </c>
      <c r="C340" s="898" t="s">
        <v>1105</v>
      </c>
      <c r="D340" s="899" t="s">
        <v>5298</v>
      </c>
      <c r="E340" s="900">
        <v>0</v>
      </c>
      <c r="F340" s="900">
        <f t="shared" si="30"/>
        <v>0</v>
      </c>
      <c r="G340" s="892">
        <v>32540</v>
      </c>
      <c r="H340" s="908" t="str">
        <f t="shared" ref="H340:H383" si="35">IF(G340&lt;&gt;".","USD",".")</f>
        <v>USD</v>
      </c>
      <c r="I340" s="886" t="s">
        <v>5601</v>
      </c>
      <c r="J340" s="901" t="s">
        <v>5089</v>
      </c>
      <c r="K340" s="917" t="s">
        <v>5602</v>
      </c>
      <c r="L340" s="905">
        <f t="shared" si="33"/>
        <v>1</v>
      </c>
      <c r="M340" s="909">
        <f>SUMIFS('Bilateral Assistance, MAIN DATA'!M:M,'Bilateral Assistance, MAIN DATA'!I:I,'Price List, Weapons &amp; Items'!B340)</f>
        <v>10</v>
      </c>
      <c r="N340" s="71">
        <f>COUNTIFS('Bilateral Assistance, MAIN DATA'!M:M,"undisclosed",'Bilateral Assistance, MAIN DATA'!I:I,'Price List, Weapons &amp; Items'!B340)</f>
        <v>0</v>
      </c>
      <c r="O340" s="910">
        <f t="shared" si="34"/>
        <v>325400</v>
      </c>
      <c r="P340" s="71">
        <f>IFERROR(IF(SEARCH(B340,_xlfn.ARRAYTOTEXT('Bilateral Assistance, MAIN DATA'!I$1:I$2206))&gt;0,1,""),0)</f>
        <v>0</v>
      </c>
      <c r="Q340" s="71">
        <f>IFERROR(IF(SEARCH(B340,_xlfn.ARRAYTOTEXT('Commercial Assistance'!I$1:I$1400))&gt;0,1,""),0)</f>
        <v>0</v>
      </c>
      <c r="R340" s="905" t="str">
        <f>IF(SUMIFS('Bilateral Assistance, MAIN DATA'!N:N,'Bilateral Assistance, MAIN DATA'!I:I,'Price List, Weapons &amp; Items'!B340)&gt;M340,1,".")</f>
        <v>.</v>
      </c>
    </row>
    <row r="341" spans="2:18" ht="15" customHeight="1">
      <c r="B341" s="901" t="s">
        <v>1833</v>
      </c>
      <c r="C341" s="898" t="s">
        <v>1105</v>
      </c>
      <c r="D341" s="898" t="s">
        <v>1105</v>
      </c>
      <c r="E341" s="900">
        <v>0</v>
      </c>
      <c r="F341" s="900">
        <f t="shared" si="30"/>
        <v>0</v>
      </c>
      <c r="G341" s="892">
        <v>25000</v>
      </c>
      <c r="H341" s="908" t="str">
        <f t="shared" si="35"/>
        <v>USD</v>
      </c>
      <c r="I341" s="886" t="s">
        <v>5603</v>
      </c>
      <c r="J341" s="901" t="s">
        <v>5086</v>
      </c>
      <c r="K341" s="901" t="s">
        <v>5604</v>
      </c>
      <c r="L341" s="905">
        <f t="shared" si="33"/>
        <v>1</v>
      </c>
      <c r="M341" s="909">
        <f>SUMIFS('Bilateral Assistance, MAIN DATA'!M:M,'Bilateral Assistance, MAIN DATA'!I:I,'Price List, Weapons &amp; Items'!B341)</f>
        <v>8</v>
      </c>
      <c r="N341" s="71">
        <f>COUNTIFS('Bilateral Assistance, MAIN DATA'!M:M,"undisclosed",'Bilateral Assistance, MAIN DATA'!I:I,'Price List, Weapons &amp; Items'!B341)</f>
        <v>0</v>
      </c>
      <c r="O341" s="910">
        <f t="shared" si="34"/>
        <v>200000</v>
      </c>
      <c r="P341" s="71">
        <f>IFERROR(IF(SEARCH(B341,_xlfn.ARRAYTOTEXT('Bilateral Assistance, MAIN DATA'!I$1:I$2206))&gt;0,1,""),0)</f>
        <v>0</v>
      </c>
      <c r="Q341" s="71">
        <f>IFERROR(IF(SEARCH(B341,_xlfn.ARRAYTOTEXT('Commercial Assistance'!I$1:I$1400))&gt;0,1,""),0)</f>
        <v>0</v>
      </c>
      <c r="R341" s="905" t="str">
        <f>IF(SUMIFS('Bilateral Assistance, MAIN DATA'!N:N,'Bilateral Assistance, MAIN DATA'!I:I,'Price List, Weapons &amp; Items'!B341)&gt;M341,1,".")</f>
        <v>.</v>
      </c>
    </row>
    <row r="342" spans="2:18" ht="15" customHeight="1">
      <c r="B342" s="901" t="s">
        <v>2701</v>
      </c>
      <c r="C342" s="898" t="s">
        <v>1105</v>
      </c>
      <c r="D342" s="898" t="s">
        <v>1105</v>
      </c>
      <c r="E342" s="900">
        <v>0</v>
      </c>
      <c r="F342" s="900">
        <f t="shared" si="30"/>
        <v>0</v>
      </c>
      <c r="G342" s="892">
        <v>25000</v>
      </c>
      <c r="H342" s="908" t="str">
        <f t="shared" si="35"/>
        <v>USD</v>
      </c>
      <c r="I342" s="886" t="s">
        <v>5603</v>
      </c>
      <c r="J342" s="901" t="s">
        <v>5086</v>
      </c>
      <c r="K342" s="901" t="s">
        <v>5604</v>
      </c>
      <c r="L342" s="905">
        <f t="shared" si="33"/>
        <v>1</v>
      </c>
      <c r="M342" s="909">
        <f>SUMIFS('Bilateral Assistance, MAIN DATA'!M:M,'Bilateral Assistance, MAIN DATA'!I:I,'Price List, Weapons &amp; Items'!B342)</f>
        <v>2</v>
      </c>
      <c r="N342" s="71">
        <f>COUNTIFS('Bilateral Assistance, MAIN DATA'!M:M,"undisclosed",'Bilateral Assistance, MAIN DATA'!I:I,'Price List, Weapons &amp; Items'!B342)</f>
        <v>0</v>
      </c>
      <c r="O342" s="910">
        <f t="shared" si="34"/>
        <v>50000</v>
      </c>
      <c r="P342" s="71">
        <f>IFERROR(IF(SEARCH(B342,_xlfn.ARRAYTOTEXT('Bilateral Assistance, MAIN DATA'!I$1:I$2206))&gt;0,1,""),0)</f>
        <v>0</v>
      </c>
      <c r="Q342" s="71">
        <f>IFERROR(IF(SEARCH(B342,_xlfn.ARRAYTOTEXT('Commercial Assistance'!I$1:I$1400))&gt;0,1,""),0)</f>
        <v>0</v>
      </c>
      <c r="R342" s="905" t="str">
        <f>IF(SUMIFS('Bilateral Assistance, MAIN DATA'!N:N,'Bilateral Assistance, MAIN DATA'!I:I,'Price List, Weapons &amp; Items'!B342)&gt;M342,1,".")</f>
        <v>.</v>
      </c>
    </row>
    <row r="343" spans="2:18" ht="15" customHeight="1">
      <c r="B343" s="901" t="s">
        <v>3832</v>
      </c>
      <c r="C343" s="898" t="s">
        <v>5062</v>
      </c>
      <c r="D343" s="899" t="s">
        <v>5114</v>
      </c>
      <c r="E343" s="900">
        <v>0</v>
      </c>
      <c r="F343" s="900">
        <f t="shared" si="30"/>
        <v>0</v>
      </c>
      <c r="G343" s="892">
        <v>16000</v>
      </c>
      <c r="H343" s="908" t="str">
        <f t="shared" si="35"/>
        <v>USD</v>
      </c>
      <c r="I343" s="885" t="s">
        <v>5605</v>
      </c>
      <c r="J343" s="901" t="s">
        <v>5086</v>
      </c>
      <c r="K343" s="901" t="s">
        <v>5606</v>
      </c>
      <c r="L343" s="905">
        <f t="shared" si="33"/>
        <v>1</v>
      </c>
      <c r="M343" s="909">
        <f>SUMIFS('Bilateral Assistance, MAIN DATA'!M:M,'Bilateral Assistance, MAIN DATA'!I:I,'Price List, Weapons &amp; Items'!B343)</f>
        <v>6</v>
      </c>
      <c r="N343" s="71">
        <f>COUNTIFS('Bilateral Assistance, MAIN DATA'!M:M,"undisclosed",'Bilateral Assistance, MAIN DATA'!I:I,'Price List, Weapons &amp; Items'!B343)</f>
        <v>0</v>
      </c>
      <c r="O343" s="910">
        <f t="shared" si="34"/>
        <v>96000</v>
      </c>
      <c r="P343" s="71">
        <f>IFERROR(IF(SEARCH(B343,_xlfn.ARRAYTOTEXT('Bilateral Assistance, MAIN DATA'!I$1:I$2206))&gt;0,1,""),0)</f>
        <v>0</v>
      </c>
      <c r="Q343" s="71">
        <f>IFERROR(IF(SEARCH(B343,_xlfn.ARRAYTOTEXT('Commercial Assistance'!I$1:I$1400))&gt;0,1,""),0)</f>
        <v>0</v>
      </c>
      <c r="R343" s="905" t="str">
        <f>IF(SUMIFS('Bilateral Assistance, MAIN DATA'!N:N,'Bilateral Assistance, MAIN DATA'!I:I,'Price List, Weapons &amp; Items'!B343)&gt;M343,1,".")</f>
        <v>.</v>
      </c>
    </row>
    <row r="344" spans="2:18" ht="15" customHeight="1">
      <c r="B344" s="912" t="s">
        <v>5607</v>
      </c>
      <c r="C344" s="898" t="s">
        <v>1105</v>
      </c>
      <c r="D344" s="899" t="s">
        <v>5214</v>
      </c>
      <c r="E344" s="900">
        <v>0</v>
      </c>
      <c r="F344" s="900">
        <f t="shared" si="30"/>
        <v>0</v>
      </c>
      <c r="G344" s="892">
        <v>10794.5</v>
      </c>
      <c r="H344" s="908" t="str">
        <f t="shared" si="35"/>
        <v>USD</v>
      </c>
      <c r="I344" s="886" t="s">
        <v>5608</v>
      </c>
      <c r="J344" s="901" t="s">
        <v>5086</v>
      </c>
      <c r="K344" s="901" t="s">
        <v>5609</v>
      </c>
      <c r="L344" s="905">
        <f t="shared" si="33"/>
        <v>1</v>
      </c>
      <c r="M344" s="909">
        <f>SUMIFS('Bilateral Assistance, MAIN DATA'!M:M,'Bilateral Assistance, MAIN DATA'!I:I,'Price List, Weapons &amp; Items'!B344)</f>
        <v>55</v>
      </c>
      <c r="N344" s="71">
        <f>COUNTIFS('Bilateral Assistance, MAIN DATA'!M:M,"undisclosed",'Bilateral Assistance, MAIN DATA'!I:I,'Price List, Weapons &amp; Items'!B344)</f>
        <v>0</v>
      </c>
      <c r="O344" s="910">
        <f t="shared" si="34"/>
        <v>593697.5</v>
      </c>
      <c r="P344" s="71">
        <f>IFERROR(IF(SEARCH(B344,_xlfn.ARRAYTOTEXT('Bilateral Assistance, MAIN DATA'!I$1:I$2206))&gt;0,1,""),0)</f>
        <v>0</v>
      </c>
      <c r="Q344" s="71">
        <f>IFERROR(IF(SEARCH(B344,_xlfn.ARRAYTOTEXT('Commercial Assistance'!I$1:I$1400))&gt;0,1,""),0)</f>
        <v>0</v>
      </c>
      <c r="R344" s="905" t="str">
        <f>IF(SUMIFS('Bilateral Assistance, MAIN DATA'!N:N,'Bilateral Assistance, MAIN DATA'!I:I,'Price List, Weapons &amp; Items'!B344)&gt;M344,1,".")</f>
        <v>.</v>
      </c>
    </row>
    <row r="345" spans="2:18" ht="15" customHeight="1">
      <c r="B345" s="915" t="s">
        <v>2703</v>
      </c>
      <c r="C345" s="898" t="s">
        <v>5056</v>
      </c>
      <c r="D345" s="899" t="s">
        <v>5069</v>
      </c>
      <c r="E345" s="900">
        <v>0</v>
      </c>
      <c r="F345" s="900">
        <f t="shared" si="30"/>
        <v>0</v>
      </c>
      <c r="G345" s="892">
        <v>12807.38</v>
      </c>
      <c r="H345" s="908" t="str">
        <f t="shared" si="35"/>
        <v>USD</v>
      </c>
      <c r="I345" s="885" t="s">
        <v>5209</v>
      </c>
      <c r="J345" s="901" t="s">
        <v>5082</v>
      </c>
      <c r="K345" s="901" t="s">
        <v>5610</v>
      </c>
      <c r="L345" s="905">
        <f t="shared" si="33"/>
        <v>1</v>
      </c>
      <c r="M345" s="909">
        <f>SUMIFS('Bilateral Assistance, MAIN DATA'!M:M,'Bilateral Assistance, MAIN DATA'!I:I,'Price List, Weapons &amp; Items'!B345)</f>
        <v>10</v>
      </c>
      <c r="N345" s="71">
        <f>COUNTIFS('Bilateral Assistance, MAIN DATA'!M:M,"undisclosed",'Bilateral Assistance, MAIN DATA'!I:I,'Price List, Weapons &amp; Items'!B345)</f>
        <v>0</v>
      </c>
      <c r="O345" s="910">
        <f t="shared" si="34"/>
        <v>128073.79999999999</v>
      </c>
      <c r="P345" s="71">
        <f>IFERROR(IF(SEARCH(B345,_xlfn.ARRAYTOTEXT('Bilateral Assistance, MAIN DATA'!I$1:I$2206))&gt;0,1,""),0)</f>
        <v>0</v>
      </c>
      <c r="Q345" s="71">
        <f>IFERROR(IF(SEARCH(B345,_xlfn.ARRAYTOTEXT('Commercial Assistance'!I$1:I$1400))&gt;0,1,""),0)</f>
        <v>0</v>
      </c>
      <c r="R345" s="905" t="str">
        <f>IF(SUMIFS('Bilateral Assistance, MAIN DATA'!N:N,'Bilateral Assistance, MAIN DATA'!I:I,'Price List, Weapons &amp; Items'!B345)&gt;M345,1,".")</f>
        <v>.</v>
      </c>
    </row>
    <row r="346" spans="2:18" ht="15" customHeight="1">
      <c r="B346" s="919" t="s">
        <v>1032</v>
      </c>
      <c r="C346" s="898" t="s">
        <v>5056</v>
      </c>
      <c r="D346" s="899" t="s">
        <v>5208</v>
      </c>
      <c r="E346" s="900">
        <v>1</v>
      </c>
      <c r="F346" s="900">
        <f t="shared" si="30"/>
        <v>0</v>
      </c>
      <c r="G346" s="892">
        <v>8625</v>
      </c>
      <c r="H346" s="908" t="str">
        <f t="shared" si="35"/>
        <v>USD</v>
      </c>
      <c r="I346" s="886" t="s">
        <v>5611</v>
      </c>
      <c r="J346" s="901" t="s">
        <v>5191</v>
      </c>
      <c r="K346" s="901" t="s">
        <v>5612</v>
      </c>
      <c r="L346" s="905">
        <f t="shared" si="33"/>
        <v>1</v>
      </c>
      <c r="M346" s="909">
        <f>SUMIFS('Bilateral Assistance, MAIN DATA'!M:M,'Bilateral Assistance, MAIN DATA'!I:I,'Price List, Weapons &amp; Items'!B346)</f>
        <v>19</v>
      </c>
      <c r="N346" s="71">
        <f>COUNTIFS('Bilateral Assistance, MAIN DATA'!M:M,"undisclosed",'Bilateral Assistance, MAIN DATA'!I:I,'Price List, Weapons &amp; Items'!B346)</f>
        <v>0</v>
      </c>
      <c r="O346" s="910">
        <f t="shared" si="34"/>
        <v>163875</v>
      </c>
      <c r="P346" s="71">
        <f>IFERROR(IF(SEARCH(B346,_xlfn.ARRAYTOTEXT('Bilateral Assistance, MAIN DATA'!I$1:I$2206))&gt;0,1,""),0)</f>
        <v>0</v>
      </c>
      <c r="Q346" s="71">
        <f>IFERROR(IF(SEARCH(B346,_xlfn.ARRAYTOTEXT('Commercial Assistance'!I$1:I$1400))&gt;0,1,""),0)</f>
        <v>0</v>
      </c>
      <c r="R346" s="905" t="str">
        <f>IF(SUMIFS('Bilateral Assistance, MAIN DATA'!N:N,'Bilateral Assistance, MAIN DATA'!I:I,'Price List, Weapons &amp; Items'!B346)&gt;M346,1,".")</f>
        <v>.</v>
      </c>
    </row>
    <row r="347" spans="2:18" ht="15" customHeight="1">
      <c r="B347" s="912" t="s">
        <v>3126</v>
      </c>
      <c r="C347" s="898" t="s">
        <v>5070</v>
      </c>
      <c r="D347" s="899" t="s">
        <v>3126</v>
      </c>
      <c r="E347" s="900">
        <v>0</v>
      </c>
      <c r="F347" s="900">
        <f t="shared" si="30"/>
        <v>0</v>
      </c>
      <c r="G347" s="892">
        <v>6000</v>
      </c>
      <c r="H347" s="908" t="str">
        <f t="shared" si="35"/>
        <v>USD</v>
      </c>
      <c r="I347" s="886" t="s">
        <v>5451</v>
      </c>
      <c r="J347" s="901" t="s">
        <v>5089</v>
      </c>
      <c r="K347" s="901" t="s">
        <v>5452</v>
      </c>
      <c r="L347" s="905">
        <f t="shared" si="33"/>
        <v>1</v>
      </c>
      <c r="M347" s="909">
        <f>SUMIFS('Bilateral Assistance, MAIN DATA'!M:M,'Bilateral Assistance, MAIN DATA'!I:I,'Price List, Weapons &amp; Items'!B347)</f>
        <v>70</v>
      </c>
      <c r="N347" s="71">
        <f>COUNTIFS('Bilateral Assistance, MAIN DATA'!M:M,"undisclosed",'Bilateral Assistance, MAIN DATA'!I:I,'Price List, Weapons &amp; Items'!B347)</f>
        <v>5</v>
      </c>
      <c r="O347" s="910">
        <f t="shared" si="34"/>
        <v>420000</v>
      </c>
      <c r="P347" s="71">
        <f>IFERROR(IF(SEARCH(B347,_xlfn.ARRAYTOTEXT('Bilateral Assistance, MAIN DATA'!I$1:I$2206))&gt;0,1,""),0)</f>
        <v>0</v>
      </c>
      <c r="Q347" s="71">
        <f>IFERROR(IF(SEARCH(B347,_xlfn.ARRAYTOTEXT('Commercial Assistance'!I$1:I$1400))&gt;0,1,""),0)</f>
        <v>1</v>
      </c>
      <c r="R347" s="905" t="str">
        <f>IF(SUMIFS('Bilateral Assistance, MAIN DATA'!N:N,'Bilateral Assistance, MAIN DATA'!I:I,'Price List, Weapons &amp; Items'!B347)&gt;M347,1,".")</f>
        <v>.</v>
      </c>
    </row>
    <row r="348" spans="2:18" ht="15" customHeight="1">
      <c r="B348" s="71" t="s">
        <v>5613</v>
      </c>
      <c r="C348" s="898" t="s">
        <v>5099</v>
      </c>
      <c r="D348" s="898" t="s">
        <v>1105</v>
      </c>
      <c r="E348" s="900">
        <v>0</v>
      </c>
      <c r="F348" s="900">
        <f t="shared" si="30"/>
        <v>0</v>
      </c>
      <c r="G348" s="892">
        <v>12000</v>
      </c>
      <c r="H348" s="908" t="str">
        <f t="shared" si="35"/>
        <v>USD</v>
      </c>
      <c r="I348" s="886" t="s">
        <v>5215</v>
      </c>
      <c r="J348" s="901" t="s">
        <v>5080</v>
      </c>
      <c r="K348" s="901" t="s">
        <v>5216</v>
      </c>
      <c r="L348" s="905">
        <f t="shared" si="33"/>
        <v>1</v>
      </c>
      <c r="M348" s="909">
        <f>SUMIFS('Bilateral Assistance, MAIN DATA'!M:M,'Bilateral Assistance, MAIN DATA'!I:I,'Price List, Weapons &amp; Items'!B348)</f>
        <v>10</v>
      </c>
      <c r="N348" s="71">
        <f>COUNTIFS('Bilateral Assistance, MAIN DATA'!M:M,"undisclosed",'Bilateral Assistance, MAIN DATA'!I:I,'Price List, Weapons &amp; Items'!B348)</f>
        <v>0</v>
      </c>
      <c r="O348" s="910">
        <f t="shared" si="34"/>
        <v>120000</v>
      </c>
      <c r="P348" s="71">
        <f>IFERROR(IF(SEARCH(B348,_xlfn.ARRAYTOTEXT('Bilateral Assistance, MAIN DATA'!I$1:I$2206))&gt;0,1,""),0)</f>
        <v>0</v>
      </c>
      <c r="Q348" s="71">
        <f>IFERROR(IF(SEARCH(B348,_xlfn.ARRAYTOTEXT('Commercial Assistance'!I$1:I$1400))&gt;0,1,""),0)</f>
        <v>0</v>
      </c>
      <c r="R348" s="905" t="str">
        <f>IF(SUMIFS('Bilateral Assistance, MAIN DATA'!N:N,'Bilateral Assistance, MAIN DATA'!I:I,'Price List, Weapons &amp; Items'!B348)&gt;M348,1,".")</f>
        <v>.</v>
      </c>
    </row>
    <row r="349" spans="2:18" ht="15" customHeight="1">
      <c r="B349" s="901" t="s">
        <v>1892</v>
      </c>
      <c r="C349" s="898" t="s">
        <v>5056</v>
      </c>
      <c r="D349" s="899" t="s">
        <v>5069</v>
      </c>
      <c r="E349" s="900">
        <v>0</v>
      </c>
      <c r="F349" s="900">
        <f t="shared" si="30"/>
        <v>0</v>
      </c>
      <c r="G349" s="892">
        <v>3000</v>
      </c>
      <c r="H349" s="908" t="str">
        <f t="shared" si="35"/>
        <v>USD</v>
      </c>
      <c r="I349" s="886" t="s">
        <v>5614</v>
      </c>
      <c r="J349" s="901" t="s">
        <v>5082</v>
      </c>
      <c r="K349" s="901" t="s">
        <v>5615</v>
      </c>
      <c r="L349" s="905">
        <f t="shared" si="33"/>
        <v>1</v>
      </c>
      <c r="M349" s="909">
        <f>SUMIFS('Bilateral Assistance, MAIN DATA'!M:M,'Bilateral Assistance, MAIN DATA'!I:I,'Price List, Weapons &amp; Items'!B349)</f>
        <v>118</v>
      </c>
      <c r="N349" s="71">
        <f>COUNTIFS('Bilateral Assistance, MAIN DATA'!M:M,"undisclosed",'Bilateral Assistance, MAIN DATA'!I:I,'Price List, Weapons &amp; Items'!B349)</f>
        <v>0</v>
      </c>
      <c r="O349" s="910">
        <f t="shared" si="34"/>
        <v>354000</v>
      </c>
      <c r="P349" s="71">
        <f>IFERROR(IF(SEARCH(B349,_xlfn.ARRAYTOTEXT('Bilateral Assistance, MAIN DATA'!I$1:I$2206))&gt;0,1,""),0)</f>
        <v>0</v>
      </c>
      <c r="Q349" s="71">
        <f>IFERROR(IF(SEARCH(B349,_xlfn.ARRAYTOTEXT('Commercial Assistance'!I$1:I$1400))&gt;0,1,""),0)</f>
        <v>0</v>
      </c>
      <c r="R349" s="905" t="str">
        <f>IF(SUMIFS('Bilateral Assistance, MAIN DATA'!N:N,'Bilateral Assistance, MAIN DATA'!I:I,'Price List, Weapons &amp; Items'!B349)&gt;M349,1,".")</f>
        <v>.</v>
      </c>
    </row>
    <row r="350" spans="2:18" ht="15" customHeight="1">
      <c r="B350" s="901" t="s">
        <v>1906</v>
      </c>
      <c r="C350" s="898" t="s">
        <v>5056</v>
      </c>
      <c r="D350" s="899" t="s">
        <v>5069</v>
      </c>
      <c r="E350" s="900">
        <v>0</v>
      </c>
      <c r="F350" s="900">
        <f t="shared" si="30"/>
        <v>0</v>
      </c>
      <c r="G350" s="892">
        <v>3000</v>
      </c>
      <c r="H350" s="908" t="str">
        <f t="shared" si="35"/>
        <v>USD</v>
      </c>
      <c r="I350" s="886" t="s">
        <v>5614</v>
      </c>
      <c r="J350" s="901" t="s">
        <v>5082</v>
      </c>
      <c r="K350" s="901" t="s">
        <v>5615</v>
      </c>
      <c r="L350" s="905">
        <f t="shared" si="33"/>
        <v>1</v>
      </c>
      <c r="M350" s="909">
        <f>SUMIFS('Bilateral Assistance, MAIN DATA'!M:M,'Bilateral Assistance, MAIN DATA'!I:I,'Price List, Weapons &amp; Items'!B350)</f>
        <v>100</v>
      </c>
      <c r="N350" s="71">
        <f>COUNTIFS('Bilateral Assistance, MAIN DATA'!M:M,"undisclosed",'Bilateral Assistance, MAIN DATA'!I:I,'Price List, Weapons &amp; Items'!B350)</f>
        <v>0</v>
      </c>
      <c r="O350" s="910">
        <f t="shared" si="34"/>
        <v>300000</v>
      </c>
      <c r="P350" s="71">
        <f>IFERROR(IF(SEARCH(B350,_xlfn.ARRAYTOTEXT('Bilateral Assistance, MAIN DATA'!I$1:I$2206))&gt;0,1,""),0)</f>
        <v>0</v>
      </c>
      <c r="Q350" s="71">
        <f>IFERROR(IF(SEARCH(B350,_xlfn.ARRAYTOTEXT('Commercial Assistance'!I$1:I$1400))&gt;0,1,""),0)</f>
        <v>0</v>
      </c>
      <c r="R350" s="905" t="str">
        <f>IF(SUMIFS('Bilateral Assistance, MAIN DATA'!N:N,'Bilateral Assistance, MAIN DATA'!I:I,'Price List, Weapons &amp; Items'!B350)&gt;M350,1,".")</f>
        <v>.</v>
      </c>
    </row>
    <row r="351" spans="2:18" ht="15" customHeight="1">
      <c r="B351" s="912" t="s">
        <v>1028</v>
      </c>
      <c r="C351" s="898" t="s">
        <v>5056</v>
      </c>
      <c r="D351" s="899" t="s">
        <v>5069</v>
      </c>
      <c r="E351" s="900">
        <v>1</v>
      </c>
      <c r="F351" s="900">
        <f t="shared" si="30"/>
        <v>0</v>
      </c>
      <c r="G351" s="892">
        <v>3832.65</v>
      </c>
      <c r="H351" s="908" t="str">
        <f t="shared" si="35"/>
        <v>USD</v>
      </c>
      <c r="I351" s="886" t="s">
        <v>5616</v>
      </c>
      <c r="J351" s="901" t="s">
        <v>5086</v>
      </c>
      <c r="K351" s="901" t="s">
        <v>5617</v>
      </c>
      <c r="L351" s="905">
        <f t="shared" si="33"/>
        <v>1</v>
      </c>
      <c r="M351" s="909">
        <f>SUMIFS('Bilateral Assistance, MAIN DATA'!M:M,'Bilateral Assistance, MAIN DATA'!I:I,'Price List, Weapons &amp; Items'!B351)</f>
        <v>12</v>
      </c>
      <c r="N351" s="71">
        <f>COUNTIFS('Bilateral Assistance, MAIN DATA'!M:M,"undisclosed",'Bilateral Assistance, MAIN DATA'!I:I,'Price List, Weapons &amp; Items'!B351)</f>
        <v>0</v>
      </c>
      <c r="O351" s="910">
        <f t="shared" si="34"/>
        <v>45991.8</v>
      </c>
      <c r="P351" s="71">
        <f>IFERROR(IF(SEARCH(B351,_xlfn.ARRAYTOTEXT('Bilateral Assistance, MAIN DATA'!I$1:I$2206))&gt;0,1,""),0)</f>
        <v>0</v>
      </c>
      <c r="Q351" s="71">
        <f>IFERROR(IF(SEARCH(B351,_xlfn.ARRAYTOTEXT('Commercial Assistance'!I$1:I$1400))&gt;0,1,""),0)</f>
        <v>0</v>
      </c>
      <c r="R351" s="905" t="str">
        <f>IF(SUMIFS('Bilateral Assistance, MAIN DATA'!N:N,'Bilateral Assistance, MAIN DATA'!I:I,'Price List, Weapons &amp; Items'!B351)&gt;M351,1,".")</f>
        <v>.</v>
      </c>
    </row>
    <row r="352" spans="2:18" ht="15" customHeight="1">
      <c r="B352" s="915" t="s">
        <v>1041</v>
      </c>
      <c r="C352" s="898" t="s">
        <v>5056</v>
      </c>
      <c r="D352" s="899" t="s">
        <v>5069</v>
      </c>
      <c r="E352" s="900">
        <v>0</v>
      </c>
      <c r="F352" s="900">
        <f t="shared" si="30"/>
        <v>0</v>
      </c>
      <c r="G352" s="892">
        <v>1818.28</v>
      </c>
      <c r="H352" s="908" t="str">
        <f t="shared" si="35"/>
        <v>USD</v>
      </c>
      <c r="I352" s="885" t="s">
        <v>5618</v>
      </c>
      <c r="J352" s="901" t="s">
        <v>5086</v>
      </c>
      <c r="K352" s="901" t="s">
        <v>5619</v>
      </c>
      <c r="L352" s="905">
        <f t="shared" si="33"/>
        <v>1</v>
      </c>
      <c r="M352" s="909">
        <f>SUMIFS('Bilateral Assistance, MAIN DATA'!M:M,'Bilateral Assistance, MAIN DATA'!I:I,'Price List, Weapons &amp; Items'!B352)</f>
        <v>132</v>
      </c>
      <c r="N352" s="71">
        <f>COUNTIFS('Bilateral Assistance, MAIN DATA'!M:M,"undisclosed",'Bilateral Assistance, MAIN DATA'!I:I,'Price List, Weapons &amp; Items'!B352)</f>
        <v>0</v>
      </c>
      <c r="O352" s="910">
        <f t="shared" si="34"/>
        <v>240012.96</v>
      </c>
      <c r="P352" s="71">
        <f>IFERROR(IF(SEARCH(B352,_xlfn.ARRAYTOTEXT('Bilateral Assistance, MAIN DATA'!I$1:I$2206))&gt;0,1,""),0)</f>
        <v>0</v>
      </c>
      <c r="Q352" s="71">
        <f>IFERROR(IF(SEARCH(B352,_xlfn.ARRAYTOTEXT('Commercial Assistance'!I$1:I$1400))&gt;0,1,""),0)</f>
        <v>0</v>
      </c>
      <c r="R352" s="905" t="str">
        <f>IF(SUMIFS('Bilateral Assistance, MAIN DATA'!N:N,'Bilateral Assistance, MAIN DATA'!I:I,'Price List, Weapons &amp; Items'!B352)&gt;M352,1,".")</f>
        <v>.</v>
      </c>
    </row>
    <row r="353" spans="2:18" ht="15" customHeight="1">
      <c r="B353" s="912" t="s">
        <v>5620</v>
      </c>
      <c r="C353" s="898" t="s">
        <v>1105</v>
      </c>
      <c r="D353" s="898" t="s">
        <v>1105</v>
      </c>
      <c r="E353" s="900">
        <v>0</v>
      </c>
      <c r="F353" s="900">
        <f t="shared" si="30"/>
        <v>0</v>
      </c>
      <c r="G353" s="892">
        <v>1486.91</v>
      </c>
      <c r="H353" s="908" t="str">
        <f t="shared" si="35"/>
        <v>USD</v>
      </c>
      <c r="I353" s="886" t="s">
        <v>5621</v>
      </c>
      <c r="J353" s="901" t="s">
        <v>5086</v>
      </c>
      <c r="K353" s="901" t="s">
        <v>5622</v>
      </c>
      <c r="L353" s="905">
        <f t="shared" si="33"/>
        <v>1</v>
      </c>
      <c r="M353" s="909">
        <f>SUMIFS('Bilateral Assistance, MAIN DATA'!M:M,'Bilateral Assistance, MAIN DATA'!I:I,'Price List, Weapons &amp; Items'!B353)</f>
        <v>67</v>
      </c>
      <c r="N353" s="71">
        <f>COUNTIFS('Bilateral Assistance, MAIN DATA'!M:M,"undisclosed",'Bilateral Assistance, MAIN DATA'!I:I,'Price List, Weapons &amp; Items'!B353)</f>
        <v>0</v>
      </c>
      <c r="O353" s="910">
        <f t="shared" si="34"/>
        <v>99622.97</v>
      </c>
      <c r="P353" s="71">
        <f>IFERROR(IF(SEARCH(B353,_xlfn.ARRAYTOTEXT('Bilateral Assistance, MAIN DATA'!I$1:I$2206))&gt;0,1,""),0)</f>
        <v>0</v>
      </c>
      <c r="Q353" s="71">
        <f>IFERROR(IF(SEARCH(B353,_xlfn.ARRAYTOTEXT('Commercial Assistance'!I$1:I$1400))&gt;0,1,""),0)</f>
        <v>0</v>
      </c>
      <c r="R353" s="905" t="str">
        <f>IF(SUMIFS('Bilateral Assistance, MAIN DATA'!N:N,'Bilateral Assistance, MAIN DATA'!I:I,'Price List, Weapons &amp; Items'!B353)&gt;M353,1,".")</f>
        <v>.</v>
      </c>
    </row>
    <row r="354" spans="2:18" ht="15" customHeight="1">
      <c r="B354" s="901" t="s">
        <v>5623</v>
      </c>
      <c r="C354" s="898" t="s">
        <v>1105</v>
      </c>
      <c r="D354" s="898" t="s">
        <v>1105</v>
      </c>
      <c r="E354" s="900">
        <v>0</v>
      </c>
      <c r="F354" s="900">
        <f t="shared" si="30"/>
        <v>0</v>
      </c>
      <c r="G354" s="892">
        <v>1200</v>
      </c>
      <c r="H354" s="908" t="str">
        <f t="shared" si="35"/>
        <v>USD</v>
      </c>
      <c r="I354" s="886" t="s">
        <v>5624</v>
      </c>
      <c r="J354" s="901" t="s">
        <v>5089</v>
      </c>
      <c r="K354" s="901" t="s">
        <v>5625</v>
      </c>
      <c r="L354" s="905">
        <f t="shared" si="33"/>
        <v>1</v>
      </c>
      <c r="M354" s="909">
        <f>SUMIFS('Bilateral Assistance, MAIN DATA'!M:M,'Bilateral Assistance, MAIN DATA'!I:I,'Price List, Weapons &amp; Items'!B354)</f>
        <v>30</v>
      </c>
      <c r="N354" s="71">
        <f>COUNTIFS('Bilateral Assistance, MAIN DATA'!M:M,"undisclosed",'Bilateral Assistance, MAIN DATA'!I:I,'Price List, Weapons &amp; Items'!B354)</f>
        <v>0</v>
      </c>
      <c r="O354" s="910">
        <f t="shared" si="34"/>
        <v>36000</v>
      </c>
      <c r="P354" s="71">
        <f>IFERROR(IF(SEARCH(B354,_xlfn.ARRAYTOTEXT('Bilateral Assistance, MAIN DATA'!I$1:I$2206))&gt;0,1,""),0)</f>
        <v>0</v>
      </c>
      <c r="Q354" s="71">
        <f>IFERROR(IF(SEARCH(B354,_xlfn.ARRAYTOTEXT('Commercial Assistance'!I$1:I$1400))&gt;0,1,""),0)</f>
        <v>0</v>
      </c>
      <c r="R354" s="905" t="str">
        <f>IF(SUMIFS('Bilateral Assistance, MAIN DATA'!N:N,'Bilateral Assistance, MAIN DATA'!I:I,'Price List, Weapons &amp; Items'!B354)&gt;M354,1,".")</f>
        <v>.</v>
      </c>
    </row>
    <row r="355" spans="2:18" ht="15" customHeight="1">
      <c r="B355" s="912" t="s">
        <v>1807</v>
      </c>
      <c r="C355" s="898" t="s">
        <v>1105</v>
      </c>
      <c r="D355" s="898" t="s">
        <v>1105</v>
      </c>
      <c r="E355" s="900">
        <v>0</v>
      </c>
      <c r="F355" s="900">
        <f t="shared" si="30"/>
        <v>0</v>
      </c>
      <c r="G355" s="892">
        <v>1334</v>
      </c>
      <c r="H355" s="908" t="str">
        <f t="shared" si="35"/>
        <v>USD</v>
      </c>
      <c r="I355" s="886" t="s">
        <v>5626</v>
      </c>
      <c r="J355" s="901" t="s">
        <v>5086</v>
      </c>
      <c r="K355" s="901" t="s">
        <v>5627</v>
      </c>
      <c r="L355" s="905">
        <f t="shared" si="33"/>
        <v>1</v>
      </c>
      <c r="M355" s="909">
        <f>SUMIFS('Bilateral Assistance, MAIN DATA'!M:M,'Bilateral Assistance, MAIN DATA'!I:I,'Price List, Weapons &amp; Items'!B355)</f>
        <v>10</v>
      </c>
      <c r="N355" s="71">
        <f>COUNTIFS('Bilateral Assistance, MAIN DATA'!M:M,"undisclosed",'Bilateral Assistance, MAIN DATA'!I:I,'Price List, Weapons &amp; Items'!B355)</f>
        <v>0</v>
      </c>
      <c r="O355" s="910">
        <f t="shared" si="34"/>
        <v>13340</v>
      </c>
      <c r="P355" s="71">
        <f>IFERROR(IF(SEARCH(B355,_xlfn.ARRAYTOTEXT('Bilateral Assistance, MAIN DATA'!I$1:I$2206))&gt;0,1,""),0)</f>
        <v>0</v>
      </c>
      <c r="Q355" s="71">
        <f>IFERROR(IF(SEARCH(B355,_xlfn.ARRAYTOTEXT('Commercial Assistance'!I$1:I$1400))&gt;0,1,""),0)</f>
        <v>0</v>
      </c>
      <c r="R355" s="905" t="str">
        <f>IF(SUMIFS('Bilateral Assistance, MAIN DATA'!N:N,'Bilateral Assistance, MAIN DATA'!I:I,'Price List, Weapons &amp; Items'!B355)&gt;M355,1,".")</f>
        <v>.</v>
      </c>
    </row>
    <row r="356" spans="2:18" ht="15" customHeight="1">
      <c r="B356" s="915" t="s">
        <v>1042</v>
      </c>
      <c r="C356" s="898" t="s">
        <v>5056</v>
      </c>
      <c r="D356" s="899" t="s">
        <v>5226</v>
      </c>
      <c r="E356" s="900">
        <v>0</v>
      </c>
      <c r="F356" s="900">
        <f t="shared" si="30"/>
        <v>0</v>
      </c>
      <c r="G356" s="892">
        <v>992.4</v>
      </c>
      <c r="H356" s="908" t="str">
        <f t="shared" si="35"/>
        <v>USD</v>
      </c>
      <c r="I356" s="885" t="s">
        <v>5628</v>
      </c>
      <c r="J356" s="901" t="s">
        <v>5086</v>
      </c>
      <c r="K356" s="901" t="s">
        <v>5629</v>
      </c>
      <c r="L356" s="905">
        <f t="shared" si="33"/>
        <v>1</v>
      </c>
      <c r="M356" s="909">
        <f>SUMIFS('Bilateral Assistance, MAIN DATA'!M:M,'Bilateral Assistance, MAIN DATA'!I:I,'Price List, Weapons &amp; Items'!B356)</f>
        <v>70</v>
      </c>
      <c r="N356" s="71">
        <f>COUNTIFS('Bilateral Assistance, MAIN DATA'!M:M,"undisclosed",'Bilateral Assistance, MAIN DATA'!I:I,'Price List, Weapons &amp; Items'!B356)</f>
        <v>0</v>
      </c>
      <c r="O356" s="910">
        <f t="shared" si="34"/>
        <v>69468</v>
      </c>
      <c r="P356" s="71">
        <f>IFERROR(IF(SEARCH(B356,_xlfn.ARRAYTOTEXT('Bilateral Assistance, MAIN DATA'!I$1:I$2206))&gt;0,1,""),0)</f>
        <v>0</v>
      </c>
      <c r="Q356" s="71">
        <f>IFERROR(IF(SEARCH(B356,_xlfn.ARRAYTOTEXT('Commercial Assistance'!I$1:I$1400))&gt;0,1,""),0)</f>
        <v>0</v>
      </c>
      <c r="R356" s="905" t="str">
        <f>IF(SUMIFS('Bilateral Assistance, MAIN DATA'!N:N,'Bilateral Assistance, MAIN DATA'!I:I,'Price List, Weapons &amp; Items'!B356)&gt;M356,1,".")</f>
        <v>.</v>
      </c>
    </row>
    <row r="357" spans="2:18" ht="15" customHeight="1">
      <c r="B357" s="912" t="s">
        <v>5630</v>
      </c>
      <c r="C357" s="898" t="s">
        <v>1105</v>
      </c>
      <c r="D357" s="898" t="s">
        <v>1105</v>
      </c>
      <c r="E357" s="900">
        <v>0</v>
      </c>
      <c r="F357" s="900">
        <f t="shared" si="30"/>
        <v>0</v>
      </c>
      <c r="G357" s="892">
        <v>2000</v>
      </c>
      <c r="H357" s="908" t="str">
        <f t="shared" si="35"/>
        <v>USD</v>
      </c>
      <c r="I357" s="886" t="s">
        <v>5631</v>
      </c>
      <c r="J357" s="901" t="s">
        <v>5086</v>
      </c>
      <c r="K357" s="917" t="s">
        <v>5632</v>
      </c>
      <c r="L357" s="905">
        <f t="shared" si="33"/>
        <v>1</v>
      </c>
      <c r="M357" s="909">
        <f>SUMIFS('Bilateral Assistance, MAIN DATA'!M:M,'Bilateral Assistance, MAIN DATA'!I:I,'Price List, Weapons &amp; Items'!B357)</f>
        <v>24</v>
      </c>
      <c r="N357" s="71">
        <f>COUNTIFS('Bilateral Assistance, MAIN DATA'!M:M,"undisclosed",'Bilateral Assistance, MAIN DATA'!I:I,'Price List, Weapons &amp; Items'!B357)</f>
        <v>2</v>
      </c>
      <c r="O357" s="910">
        <f t="shared" si="34"/>
        <v>48000</v>
      </c>
      <c r="P357" s="71">
        <f>IFERROR(IF(SEARCH(B357,_xlfn.ARRAYTOTEXT('Bilateral Assistance, MAIN DATA'!I$1:I$2206))&gt;0,1,""),0)</f>
        <v>0</v>
      </c>
      <c r="Q357" s="71">
        <f>IFERROR(IF(SEARCH(B357,_xlfn.ARRAYTOTEXT('Commercial Assistance'!I$1:I$1400))&gt;0,1,""),0)</f>
        <v>0</v>
      </c>
      <c r="R357" s="905" t="str">
        <f>IF(SUMIFS('Bilateral Assistance, MAIN DATA'!N:N,'Bilateral Assistance, MAIN DATA'!I:I,'Price List, Weapons &amp; Items'!B357)&gt;M357,1,".")</f>
        <v>.</v>
      </c>
    </row>
    <row r="358" spans="2:18" ht="15" customHeight="1">
      <c r="B358" s="919" t="s">
        <v>1019</v>
      </c>
      <c r="C358" s="898" t="s">
        <v>5056</v>
      </c>
      <c r="D358" s="899" t="s">
        <v>5069</v>
      </c>
      <c r="E358" s="900">
        <v>0</v>
      </c>
      <c r="F358" s="900">
        <f t="shared" si="30"/>
        <v>0</v>
      </c>
      <c r="G358" s="892">
        <v>368.75</v>
      </c>
      <c r="H358" s="908" t="str">
        <f t="shared" si="35"/>
        <v>USD</v>
      </c>
      <c r="I358" s="886" t="s">
        <v>5633</v>
      </c>
      <c r="J358" s="901" t="s">
        <v>5086</v>
      </c>
      <c r="K358" s="901" t="s">
        <v>5634</v>
      </c>
      <c r="L358" s="905">
        <f t="shared" si="33"/>
        <v>1</v>
      </c>
      <c r="M358" s="909">
        <f>SUMIFS('Bilateral Assistance, MAIN DATA'!M:M,'Bilateral Assistance, MAIN DATA'!I:I,'Price List, Weapons &amp; Items'!B358)</f>
        <v>150</v>
      </c>
      <c r="N358" s="71">
        <f>COUNTIFS('Bilateral Assistance, MAIN DATA'!M:M,"undisclosed",'Bilateral Assistance, MAIN DATA'!I:I,'Price List, Weapons &amp; Items'!B358)</f>
        <v>0</v>
      </c>
      <c r="O358" s="910">
        <f t="shared" si="34"/>
        <v>55312.5</v>
      </c>
      <c r="P358" s="71">
        <f>IFERROR(IF(SEARCH(B358,_xlfn.ARRAYTOTEXT('Bilateral Assistance, MAIN DATA'!I$1:I$2206))&gt;0,1,""),0)</f>
        <v>0</v>
      </c>
      <c r="Q358" s="71">
        <f>IFERROR(IF(SEARCH(B358,_xlfn.ARRAYTOTEXT('Commercial Assistance'!I$1:I$1400))&gt;0,1,""),0)</f>
        <v>0</v>
      </c>
      <c r="R358" s="905" t="str">
        <f>IF(SUMIFS('Bilateral Assistance, MAIN DATA'!N:N,'Bilateral Assistance, MAIN DATA'!I:I,'Price List, Weapons &amp; Items'!B358)&gt;M358,1,".")</f>
        <v>.</v>
      </c>
    </row>
    <row r="359" spans="2:18" ht="15" customHeight="1">
      <c r="B359" s="901" t="s">
        <v>5635</v>
      </c>
      <c r="C359" s="898" t="s">
        <v>5177</v>
      </c>
      <c r="D359" s="899" t="s">
        <v>5226</v>
      </c>
      <c r="E359" s="900">
        <v>0</v>
      </c>
      <c r="F359" s="900">
        <f t="shared" si="30"/>
        <v>0</v>
      </c>
      <c r="G359" s="892">
        <v>297</v>
      </c>
      <c r="H359" s="908" t="str">
        <f t="shared" si="35"/>
        <v>USD</v>
      </c>
      <c r="I359" s="886" t="s">
        <v>5636</v>
      </c>
      <c r="J359" s="901" t="s">
        <v>5089</v>
      </c>
      <c r="K359" s="901" t="s">
        <v>5637</v>
      </c>
      <c r="L359" s="905">
        <f t="shared" si="33"/>
        <v>1</v>
      </c>
      <c r="M359" s="909">
        <f>SUMIFS('Bilateral Assistance, MAIN DATA'!M:M,'Bilateral Assistance, MAIN DATA'!I:I,'Price List, Weapons &amp; Items'!B359)</f>
        <v>400</v>
      </c>
      <c r="N359" s="71">
        <f>COUNTIFS('Bilateral Assistance, MAIN DATA'!M:M,"undisclosed",'Bilateral Assistance, MAIN DATA'!I:I,'Price List, Weapons &amp; Items'!B359)</f>
        <v>0</v>
      </c>
      <c r="O359" s="910">
        <f t="shared" si="34"/>
        <v>118800</v>
      </c>
      <c r="P359" s="71">
        <f>IFERROR(IF(SEARCH(B359,_xlfn.ARRAYTOTEXT('Bilateral Assistance, MAIN DATA'!I$1:I$2206))&gt;0,1,""),0)</f>
        <v>0</v>
      </c>
      <c r="Q359" s="71">
        <f>IFERROR(IF(SEARCH(B359,_xlfn.ARRAYTOTEXT('Commercial Assistance'!I$1:I$1400))&gt;0,1,""),0)</f>
        <v>0</v>
      </c>
      <c r="R359" s="905" t="str">
        <f>IF(SUMIFS('Bilateral Assistance, MAIN DATA'!N:N,'Bilateral Assistance, MAIN DATA'!I:I,'Price List, Weapons &amp; Items'!B359)&gt;M359,1,".")</f>
        <v>.</v>
      </c>
    </row>
    <row r="360" spans="2:18" ht="15" customHeight="1">
      <c r="B360" s="901" t="s">
        <v>5638</v>
      </c>
      <c r="C360" s="898" t="s">
        <v>1105</v>
      </c>
      <c r="D360" s="898" t="s">
        <v>1105</v>
      </c>
      <c r="E360" s="900">
        <v>0</v>
      </c>
      <c r="F360" s="900">
        <f t="shared" si="30"/>
        <v>0</v>
      </c>
      <c r="G360" s="892">
        <v>219</v>
      </c>
      <c r="H360" s="908" t="str">
        <f t="shared" si="35"/>
        <v>USD</v>
      </c>
      <c r="I360" s="886" t="s">
        <v>5639</v>
      </c>
      <c r="J360" s="901" t="s">
        <v>5086</v>
      </c>
      <c r="K360" s="901" t="s">
        <v>5640</v>
      </c>
      <c r="L360" s="905">
        <f t="shared" si="33"/>
        <v>1</v>
      </c>
      <c r="M360" s="909">
        <f>SUMIFS('Bilateral Assistance, MAIN DATA'!M:M,'Bilateral Assistance, MAIN DATA'!I:I,'Price List, Weapons &amp; Items'!B360)</f>
        <v>1600</v>
      </c>
      <c r="N360" s="71">
        <f>COUNTIFS('Bilateral Assistance, MAIN DATA'!M:M,"undisclosed",'Bilateral Assistance, MAIN DATA'!I:I,'Price List, Weapons &amp; Items'!B360)</f>
        <v>0</v>
      </c>
      <c r="O360" s="910">
        <f t="shared" si="34"/>
        <v>350400</v>
      </c>
      <c r="P360" s="71">
        <f>IFERROR(IF(SEARCH(B360,_xlfn.ARRAYTOTEXT('Bilateral Assistance, MAIN DATA'!I$1:I$2206))&gt;0,1,""),0)</f>
        <v>0</v>
      </c>
      <c r="Q360" s="71">
        <f>IFERROR(IF(SEARCH(B360,_xlfn.ARRAYTOTEXT('Commercial Assistance'!I$1:I$1400))&gt;0,1,""),0)</f>
        <v>0</v>
      </c>
      <c r="R360" s="905" t="str">
        <f>IF(SUMIFS('Bilateral Assistance, MAIN DATA'!N:N,'Bilateral Assistance, MAIN DATA'!I:I,'Price List, Weapons &amp; Items'!B360)&gt;M360,1,".")</f>
        <v>.</v>
      </c>
    </row>
    <row r="361" spans="2:18" ht="15" customHeight="1">
      <c r="B361" s="901" t="s">
        <v>1996</v>
      </c>
      <c r="C361" s="898" t="s">
        <v>5099</v>
      </c>
      <c r="D361" s="899" t="s">
        <v>5198</v>
      </c>
      <c r="E361" s="900">
        <v>1</v>
      </c>
      <c r="F361" s="900">
        <f t="shared" si="30"/>
        <v>0</v>
      </c>
      <c r="G361" s="892">
        <v>207.68</v>
      </c>
      <c r="H361" s="908" t="str">
        <f t="shared" si="35"/>
        <v>USD</v>
      </c>
      <c r="I361" s="886" t="s">
        <v>5641</v>
      </c>
      <c r="J361" s="901" t="s">
        <v>5086</v>
      </c>
      <c r="K361" s="901" t="s">
        <v>5642</v>
      </c>
      <c r="L361" s="905">
        <f t="shared" si="33"/>
        <v>1</v>
      </c>
      <c r="M361" s="909">
        <f>SUMIFS('Bilateral Assistance, MAIN DATA'!M:M,'Bilateral Assistance, MAIN DATA'!I:I,'Price List, Weapons &amp; Items'!B361)</f>
        <v>1915</v>
      </c>
      <c r="N361" s="71">
        <f>COUNTIFS('Bilateral Assistance, MAIN DATA'!M:M,"undisclosed",'Bilateral Assistance, MAIN DATA'!I:I,'Price List, Weapons &amp; Items'!B361)</f>
        <v>0</v>
      </c>
      <c r="O361" s="910">
        <f t="shared" si="34"/>
        <v>397707.2</v>
      </c>
      <c r="P361" s="71">
        <f>IFERROR(IF(SEARCH(B361,_xlfn.ARRAYTOTEXT('Bilateral Assistance, MAIN DATA'!I$1:I$2206))&gt;0,1,""),0)</f>
        <v>0</v>
      </c>
      <c r="Q361" s="71">
        <f>IFERROR(IF(SEARCH(B361,_xlfn.ARRAYTOTEXT('Commercial Assistance'!I$1:I$1400))&gt;0,1,""),0)</f>
        <v>0</v>
      </c>
      <c r="R361" s="905" t="str">
        <f>IF(SUMIFS('Bilateral Assistance, MAIN DATA'!N:N,'Bilateral Assistance, MAIN DATA'!I:I,'Price List, Weapons &amp; Items'!B361)&gt;M361,1,".")</f>
        <v>.</v>
      </c>
    </row>
    <row r="362" spans="2:18" ht="15" customHeight="1">
      <c r="B362" s="916" t="s">
        <v>1920</v>
      </c>
      <c r="C362" s="898" t="s">
        <v>1105</v>
      </c>
      <c r="D362" s="898" t="s">
        <v>1105</v>
      </c>
      <c r="E362" s="900">
        <v>0</v>
      </c>
      <c r="F362" s="900">
        <f t="shared" si="30"/>
        <v>0</v>
      </c>
      <c r="G362" s="892">
        <v>126.69</v>
      </c>
      <c r="H362" s="908" t="str">
        <f t="shared" si="35"/>
        <v>USD</v>
      </c>
      <c r="I362" s="886" t="s">
        <v>5643</v>
      </c>
      <c r="J362" s="901" t="s">
        <v>5086</v>
      </c>
      <c r="K362" s="901" t="s">
        <v>5644</v>
      </c>
      <c r="L362" s="905">
        <f t="shared" si="33"/>
        <v>1</v>
      </c>
      <c r="M362" s="909">
        <f>SUMIFS('Bilateral Assistance, MAIN DATA'!M:M,'Bilateral Assistance, MAIN DATA'!I:I,'Price List, Weapons &amp; Items'!B362)</f>
        <v>1</v>
      </c>
      <c r="N362" s="71">
        <f>COUNTIFS('Bilateral Assistance, MAIN DATA'!M:M,"undisclosed",'Bilateral Assistance, MAIN DATA'!I:I,'Price List, Weapons &amp; Items'!B362)</f>
        <v>0</v>
      </c>
      <c r="O362" s="910">
        <f t="shared" si="34"/>
        <v>126.69</v>
      </c>
      <c r="P362" s="71">
        <f>IFERROR(IF(SEARCH(B362,_xlfn.ARRAYTOTEXT('Bilateral Assistance, MAIN DATA'!I$1:I$2206))&gt;0,1,""),0)</f>
        <v>0</v>
      </c>
      <c r="Q362" s="71">
        <f>IFERROR(IF(SEARCH(B362,_xlfn.ARRAYTOTEXT('Commercial Assistance'!I$1:I$1400))&gt;0,1,""),0)</f>
        <v>0</v>
      </c>
      <c r="R362" s="905" t="str">
        <f>IF(SUMIFS('Bilateral Assistance, MAIN DATA'!N:N,'Bilateral Assistance, MAIN DATA'!I:I,'Price List, Weapons &amp; Items'!B362)&gt;M362,1,".")</f>
        <v>.</v>
      </c>
    </row>
    <row r="363" spans="2:18" ht="15" customHeight="1">
      <c r="B363" s="901" t="s">
        <v>5645</v>
      </c>
      <c r="C363" s="898" t="s">
        <v>1105</v>
      </c>
      <c r="D363" s="898" t="s">
        <v>1105</v>
      </c>
      <c r="E363" s="900">
        <v>0</v>
      </c>
      <c r="F363" s="900">
        <f t="shared" si="30"/>
        <v>0</v>
      </c>
      <c r="G363" s="892">
        <v>50</v>
      </c>
      <c r="H363" s="908" t="str">
        <f t="shared" si="35"/>
        <v>USD</v>
      </c>
      <c r="I363" s="886" t="s">
        <v>5646</v>
      </c>
      <c r="J363" s="901" t="s">
        <v>5086</v>
      </c>
      <c r="K363" s="901" t="s">
        <v>5647</v>
      </c>
      <c r="L363" s="905">
        <f t="shared" si="33"/>
        <v>1</v>
      </c>
      <c r="M363" s="909">
        <f>SUMIFS('Bilateral Assistance, MAIN DATA'!M:M,'Bilateral Assistance, MAIN DATA'!I:I,'Price List, Weapons &amp; Items'!B363)</f>
        <v>100</v>
      </c>
      <c r="N363" s="71">
        <f>COUNTIFS('Bilateral Assistance, MAIN DATA'!M:M,"undisclosed",'Bilateral Assistance, MAIN DATA'!I:I,'Price List, Weapons &amp; Items'!B363)</f>
        <v>0</v>
      </c>
      <c r="O363" s="910">
        <f t="shared" si="34"/>
        <v>5000</v>
      </c>
      <c r="P363" s="71">
        <f>IFERROR(IF(SEARCH(B363,_xlfn.ARRAYTOTEXT('Bilateral Assistance, MAIN DATA'!I$1:I$2206))&gt;0,1,""),0)</f>
        <v>0</v>
      </c>
      <c r="Q363" s="71">
        <f>IFERROR(IF(SEARCH(B363,_xlfn.ARRAYTOTEXT('Commercial Assistance'!I$1:I$1400))&gt;0,1,""),0)</f>
        <v>0</v>
      </c>
      <c r="R363" s="905" t="str">
        <f>IF(SUMIFS('Bilateral Assistance, MAIN DATA'!N:N,'Bilateral Assistance, MAIN DATA'!I:I,'Price List, Weapons &amp; Items'!B363)&gt;M363,1,".")</f>
        <v>.</v>
      </c>
    </row>
    <row r="364" spans="2:18" ht="15" customHeight="1">
      <c r="B364" s="901" t="s">
        <v>5648</v>
      </c>
      <c r="C364" s="898" t="s">
        <v>1105</v>
      </c>
      <c r="D364" s="898" t="s">
        <v>1105</v>
      </c>
      <c r="E364" s="900">
        <v>0</v>
      </c>
      <c r="F364" s="900">
        <f t="shared" ref="F364:F427" si="36">IF(OR(D364="Armored Personnel Carrier (APC)",D364="Armored Recovery Vehicle (ARV)",D364="Armored Utility Vehicle (AUV)",D364="152mm howitzer ammunition",D364="155mm howitzer ammunition",D364="300mm MLRS ammunition",D364="155mm howitzer",D364="227mm MLRS ammunition",D364="Infantry fighting vehicle (IFV)",D364="152mm howitzer",D364="227mm MLRS",D364="Main Battle Tank (MBT)",D364="Protected Patrol Vehicle (PPV)",D364="127mm MLRS",D364="122mm MLRS",D364="122mm MLRS ammunition",D364="122mm MLRS",D364="127mm MLRS",D364="127mm MLRS ammunition")=TRUE,1,0)</f>
        <v>0</v>
      </c>
      <c r="G364" s="892">
        <v>70</v>
      </c>
      <c r="H364" s="908" t="str">
        <f t="shared" si="35"/>
        <v>USD</v>
      </c>
      <c r="I364" s="886" t="s">
        <v>5649</v>
      </c>
      <c r="J364" s="901" t="s">
        <v>5086</v>
      </c>
      <c r="K364" s="901" t="s">
        <v>5650</v>
      </c>
      <c r="L364" s="905">
        <f t="shared" si="33"/>
        <v>1</v>
      </c>
      <c r="M364" s="909">
        <f>SUMIFS('Bilateral Assistance, MAIN DATA'!M:M,'Bilateral Assistance, MAIN DATA'!I:I,'Price List, Weapons &amp; Items'!B364)</f>
        <v>515</v>
      </c>
      <c r="N364" s="71">
        <f>COUNTIFS('Bilateral Assistance, MAIN DATA'!M:M,"undisclosed",'Bilateral Assistance, MAIN DATA'!I:I,'Price List, Weapons &amp; Items'!B364)</f>
        <v>1</v>
      </c>
      <c r="O364" s="910">
        <f t="shared" si="34"/>
        <v>36050</v>
      </c>
      <c r="P364" s="71">
        <f>IFERROR(IF(SEARCH(B364,_xlfn.ARRAYTOTEXT('Bilateral Assistance, MAIN DATA'!I$1:I$2206))&gt;0,1,""),0)</f>
        <v>0</v>
      </c>
      <c r="Q364" s="71">
        <f>IFERROR(IF(SEARCH(B364,_xlfn.ARRAYTOTEXT('Commercial Assistance'!I$1:I$1400))&gt;0,1,""),0)</f>
        <v>0</v>
      </c>
      <c r="R364" s="905" t="str">
        <f>IF(SUMIFS('Bilateral Assistance, MAIN DATA'!N:N,'Bilateral Assistance, MAIN DATA'!I:I,'Price List, Weapons &amp; Items'!B364)&gt;M364,1,".")</f>
        <v>.</v>
      </c>
    </row>
    <row r="365" spans="2:18" ht="15" customHeight="1">
      <c r="B365" s="912" t="s">
        <v>5651</v>
      </c>
      <c r="C365" s="898" t="s">
        <v>1105</v>
      </c>
      <c r="D365" s="898" t="s">
        <v>1105</v>
      </c>
      <c r="E365" s="900">
        <v>0</v>
      </c>
      <c r="F365" s="900">
        <f t="shared" si="36"/>
        <v>0</v>
      </c>
      <c r="G365" s="892">
        <v>60</v>
      </c>
      <c r="H365" s="908" t="str">
        <f t="shared" si="35"/>
        <v>USD</v>
      </c>
      <c r="I365" s="886" t="s">
        <v>5652</v>
      </c>
      <c r="J365" s="901" t="s">
        <v>5089</v>
      </c>
      <c r="K365" s="917" t="s">
        <v>5653</v>
      </c>
      <c r="L365" s="905">
        <f t="shared" si="33"/>
        <v>1</v>
      </c>
      <c r="M365" s="909">
        <f>SUMIFS('Bilateral Assistance, MAIN DATA'!M:M,'Bilateral Assistance, MAIN DATA'!I:I,'Price List, Weapons &amp; Items'!B365)</f>
        <v>1000</v>
      </c>
      <c r="N365" s="71">
        <f>COUNTIFS('Bilateral Assistance, MAIN DATA'!M:M,"undisclosed",'Bilateral Assistance, MAIN DATA'!I:I,'Price List, Weapons &amp; Items'!B365)</f>
        <v>0</v>
      </c>
      <c r="O365" s="910">
        <f t="shared" si="34"/>
        <v>60000</v>
      </c>
      <c r="P365" s="71">
        <f>IFERROR(IF(SEARCH(B365,_xlfn.ARRAYTOTEXT('Bilateral Assistance, MAIN DATA'!I$1:I$2206))&gt;0,1,""),0)</f>
        <v>0</v>
      </c>
      <c r="Q365" s="71">
        <f>IFERROR(IF(SEARCH(B365,_xlfn.ARRAYTOTEXT('Commercial Assistance'!I$1:I$1400))&gt;0,1,""),0)</f>
        <v>0</v>
      </c>
      <c r="R365" s="905" t="str">
        <f>IF(SUMIFS('Bilateral Assistance, MAIN DATA'!N:N,'Bilateral Assistance, MAIN DATA'!I:I,'Price List, Weapons &amp; Items'!B365)&gt;M365,1,".")</f>
        <v>.</v>
      </c>
    </row>
    <row r="366" spans="2:18" ht="15" customHeight="1">
      <c r="B366" s="912" t="s">
        <v>5654</v>
      </c>
      <c r="C366" s="898" t="s">
        <v>1105</v>
      </c>
      <c r="D366" s="898" t="s">
        <v>1105</v>
      </c>
      <c r="E366" s="900">
        <v>0</v>
      </c>
      <c r="F366" s="900">
        <f t="shared" si="36"/>
        <v>0</v>
      </c>
      <c r="G366" s="892">
        <v>69</v>
      </c>
      <c r="H366" s="908" t="str">
        <f t="shared" si="35"/>
        <v>USD</v>
      </c>
      <c r="I366" s="886" t="s">
        <v>5655</v>
      </c>
      <c r="J366" s="901" t="s">
        <v>5086</v>
      </c>
      <c r="K366" s="901" t="s">
        <v>5656</v>
      </c>
      <c r="L366" s="905">
        <f t="shared" si="33"/>
        <v>1</v>
      </c>
      <c r="M366" s="909">
        <f>SUMIFS('Bilateral Assistance, MAIN DATA'!M:M,'Bilateral Assistance, MAIN DATA'!I:I,'Price List, Weapons &amp; Items'!B366)</f>
        <v>3000</v>
      </c>
      <c r="N366" s="71">
        <f>COUNTIFS('Bilateral Assistance, MAIN DATA'!M:M,"undisclosed",'Bilateral Assistance, MAIN DATA'!I:I,'Price List, Weapons &amp; Items'!B366)</f>
        <v>0</v>
      </c>
      <c r="O366" s="910">
        <f t="shared" si="34"/>
        <v>207000</v>
      </c>
      <c r="P366" s="71">
        <f>IFERROR(IF(SEARCH(B366,_xlfn.ARRAYTOTEXT('Bilateral Assistance, MAIN DATA'!I$1:I$2206))&gt;0,1,""),0)</f>
        <v>0</v>
      </c>
      <c r="Q366" s="71">
        <f>IFERROR(IF(SEARCH(B366,_xlfn.ARRAYTOTEXT('Commercial Assistance'!I$1:I$1400))&gt;0,1,""),0)</f>
        <v>0</v>
      </c>
      <c r="R366" s="905" t="str">
        <f>IF(SUMIFS('Bilateral Assistance, MAIN DATA'!N:N,'Bilateral Assistance, MAIN DATA'!I:I,'Price List, Weapons &amp; Items'!B366)&gt;M366,1,".")</f>
        <v>.</v>
      </c>
    </row>
    <row r="367" spans="2:18" ht="15" customHeight="1">
      <c r="B367" s="912" t="s">
        <v>1396</v>
      </c>
      <c r="C367" s="898" t="s">
        <v>1105</v>
      </c>
      <c r="D367" s="898" t="s">
        <v>1105</v>
      </c>
      <c r="E367" s="900">
        <v>0</v>
      </c>
      <c r="F367" s="900">
        <f t="shared" si="36"/>
        <v>0</v>
      </c>
      <c r="G367" s="892">
        <v>45</v>
      </c>
      <c r="H367" s="908" t="str">
        <f t="shared" si="35"/>
        <v>USD</v>
      </c>
      <c r="I367" s="886" t="s">
        <v>5657</v>
      </c>
      <c r="J367" s="901" t="s">
        <v>5086</v>
      </c>
      <c r="K367" s="901" t="s">
        <v>5658</v>
      </c>
      <c r="L367" s="905">
        <f t="shared" si="33"/>
        <v>1</v>
      </c>
      <c r="M367" s="909">
        <f>SUMIFS('Bilateral Assistance, MAIN DATA'!M:M,'Bilateral Assistance, MAIN DATA'!I:I,'Price List, Weapons &amp; Items'!B367)</f>
        <v>325</v>
      </c>
      <c r="N367" s="71">
        <f>COUNTIFS('Bilateral Assistance, MAIN DATA'!M:M,"undisclosed",'Bilateral Assistance, MAIN DATA'!I:I,'Price List, Weapons &amp; Items'!B367)</f>
        <v>1</v>
      </c>
      <c r="O367" s="910">
        <f t="shared" si="34"/>
        <v>14625</v>
      </c>
      <c r="P367" s="71">
        <f>IFERROR(IF(SEARCH(B367,_xlfn.ARRAYTOTEXT('Bilateral Assistance, MAIN DATA'!I$1:I$2206))&gt;0,1,""),0)</f>
        <v>0</v>
      </c>
      <c r="Q367" s="71">
        <f>IFERROR(IF(SEARCH(B367,_xlfn.ARRAYTOTEXT('Commercial Assistance'!I$1:I$1400))&gt;0,1,""),0)</f>
        <v>0</v>
      </c>
      <c r="R367" s="905" t="str">
        <f>IF(SUMIFS('Bilateral Assistance, MAIN DATA'!N:N,'Bilateral Assistance, MAIN DATA'!I:I,'Price List, Weapons &amp; Items'!B367)&gt;M367,1,".")</f>
        <v>.</v>
      </c>
    </row>
    <row r="368" spans="2:18" ht="15" customHeight="1">
      <c r="B368" s="901" t="s">
        <v>5659</v>
      </c>
      <c r="C368" s="898" t="s">
        <v>1105</v>
      </c>
      <c r="D368" s="898" t="s">
        <v>1105</v>
      </c>
      <c r="E368" s="900">
        <v>0</v>
      </c>
      <c r="F368" s="900">
        <f t="shared" si="36"/>
        <v>0</v>
      </c>
      <c r="G368" s="892">
        <v>36.950000000000003</v>
      </c>
      <c r="H368" s="908" t="str">
        <f t="shared" si="35"/>
        <v>USD</v>
      </c>
      <c r="I368" s="885" t="s">
        <v>538</v>
      </c>
      <c r="J368" s="901" t="s">
        <v>5119</v>
      </c>
      <c r="K368" s="901" t="s">
        <v>5660</v>
      </c>
      <c r="L368" s="905">
        <f t="shared" si="33"/>
        <v>1</v>
      </c>
      <c r="M368" s="909">
        <f>SUMIFS('Bilateral Assistance, MAIN DATA'!M:M,'Bilateral Assistance, MAIN DATA'!I:I,'Price List, Weapons &amp; Items'!B368)</f>
        <v>10059</v>
      </c>
      <c r="N368" s="71">
        <f>COUNTIFS('Bilateral Assistance, MAIN DATA'!M:M,"undisclosed",'Bilateral Assistance, MAIN DATA'!I:I,'Price List, Weapons &amp; Items'!B368)</f>
        <v>0</v>
      </c>
      <c r="O368" s="910">
        <f t="shared" si="34"/>
        <v>371680.05000000005</v>
      </c>
      <c r="P368" s="71">
        <f>IFERROR(IF(SEARCH(B368,_xlfn.ARRAYTOTEXT('Bilateral Assistance, MAIN DATA'!I$1:I$2206))&gt;0,1,""),0)</f>
        <v>0</v>
      </c>
      <c r="Q368" s="71">
        <f>IFERROR(IF(SEARCH(B368,_xlfn.ARRAYTOTEXT('Commercial Assistance'!I$1:I$1400))&gt;0,1,""),0)</f>
        <v>0</v>
      </c>
      <c r="R368" s="905" t="str">
        <f>IF(SUMIFS('Bilateral Assistance, MAIN DATA'!N:N,'Bilateral Assistance, MAIN DATA'!I:I,'Price List, Weapons &amp; Items'!B368)&gt;M368,1,".")</f>
        <v>.</v>
      </c>
    </row>
    <row r="369" spans="2:18" ht="15" customHeight="1">
      <c r="B369" s="916" t="s">
        <v>1922</v>
      </c>
      <c r="C369" s="898" t="s">
        <v>1105</v>
      </c>
      <c r="D369" s="898" t="s">
        <v>1105</v>
      </c>
      <c r="E369" s="900">
        <v>0</v>
      </c>
      <c r="F369" s="900">
        <f t="shared" si="36"/>
        <v>0</v>
      </c>
      <c r="G369" s="892">
        <f>34.99*'Exchange Rates'!C12</f>
        <v>34.99</v>
      </c>
      <c r="H369" s="908" t="str">
        <f t="shared" si="35"/>
        <v>USD</v>
      </c>
      <c r="I369" s="886" t="s">
        <v>5661</v>
      </c>
      <c r="J369" s="901" t="s">
        <v>5086</v>
      </c>
      <c r="K369" s="901" t="s">
        <v>5662</v>
      </c>
      <c r="L369" s="905">
        <f t="shared" si="33"/>
        <v>1</v>
      </c>
      <c r="M369" s="909">
        <f>SUMIFS('Bilateral Assistance, MAIN DATA'!M:M,'Bilateral Assistance, MAIN DATA'!I:I,'Price List, Weapons &amp; Items'!B369)</f>
        <v>5000</v>
      </c>
      <c r="N369" s="71">
        <f>COUNTIFS('Bilateral Assistance, MAIN DATA'!M:M,"undisclosed",'Bilateral Assistance, MAIN DATA'!I:I,'Price List, Weapons &amp; Items'!B369)</f>
        <v>0</v>
      </c>
      <c r="O369" s="910">
        <f t="shared" si="34"/>
        <v>174950</v>
      </c>
      <c r="P369" s="71">
        <f>IFERROR(IF(SEARCH(B369,_xlfn.ARRAYTOTEXT('Bilateral Assistance, MAIN DATA'!I$1:I$2206))&gt;0,1,""),0)</f>
        <v>0</v>
      </c>
      <c r="Q369" s="71">
        <f>IFERROR(IF(SEARCH(B369,_xlfn.ARRAYTOTEXT('Commercial Assistance'!I$1:I$1400))&gt;0,1,""),0)</f>
        <v>0</v>
      </c>
      <c r="R369" s="905" t="str">
        <f>IF(SUMIFS('Bilateral Assistance, MAIN DATA'!N:N,'Bilateral Assistance, MAIN DATA'!I:I,'Price List, Weapons &amp; Items'!B369)&gt;M369,1,".")</f>
        <v>.</v>
      </c>
    </row>
    <row r="370" spans="2:18" ht="15" customHeight="1">
      <c r="B370" s="901" t="s">
        <v>5663</v>
      </c>
      <c r="C370" s="898" t="s">
        <v>1105</v>
      </c>
      <c r="D370" s="898" t="s">
        <v>1105</v>
      </c>
      <c r="E370" s="900">
        <v>0</v>
      </c>
      <c r="F370" s="900">
        <f t="shared" si="36"/>
        <v>0</v>
      </c>
      <c r="G370" s="892">
        <v>50</v>
      </c>
      <c r="H370" s="908" t="str">
        <f t="shared" si="35"/>
        <v>USD</v>
      </c>
      <c r="I370" s="885" t="s">
        <v>5664</v>
      </c>
      <c r="J370" s="901" t="s">
        <v>5086</v>
      </c>
      <c r="K370" s="901" t="s">
        <v>5665</v>
      </c>
      <c r="L370" s="905">
        <f t="shared" si="33"/>
        <v>1</v>
      </c>
      <c r="M370" s="909">
        <f>SUMIFS('Bilateral Assistance, MAIN DATA'!M:M,'Bilateral Assistance, MAIN DATA'!I:I,'Price List, Weapons &amp; Items'!B370)</f>
        <v>571</v>
      </c>
      <c r="N370" s="71">
        <f>COUNTIFS('Bilateral Assistance, MAIN DATA'!M:M,"undisclosed",'Bilateral Assistance, MAIN DATA'!I:I,'Price List, Weapons &amp; Items'!B370)</f>
        <v>0</v>
      </c>
      <c r="O370" s="910">
        <f t="shared" si="34"/>
        <v>28550</v>
      </c>
      <c r="P370" s="71">
        <f>IFERROR(IF(SEARCH(B370,_xlfn.ARRAYTOTEXT('Bilateral Assistance, MAIN DATA'!I$1:I$2206))&gt;0,1,""),0)</f>
        <v>0</v>
      </c>
      <c r="Q370" s="71">
        <f>IFERROR(IF(SEARCH(B370,_xlfn.ARRAYTOTEXT('Commercial Assistance'!I$1:I$1400))&gt;0,1,""),0)</f>
        <v>0</v>
      </c>
      <c r="R370" s="905" t="str">
        <f>IF(SUMIFS('Bilateral Assistance, MAIN DATA'!N:N,'Bilateral Assistance, MAIN DATA'!I:I,'Price List, Weapons &amp; Items'!B370)&gt;M370,1,".")</f>
        <v>.</v>
      </c>
    </row>
    <row r="371" spans="2:18" ht="15" customHeight="1">
      <c r="B371" s="901" t="s">
        <v>5666</v>
      </c>
      <c r="C371" s="898" t="s">
        <v>5065</v>
      </c>
      <c r="D371" s="899" t="s">
        <v>5091</v>
      </c>
      <c r="E371" s="900">
        <v>0</v>
      </c>
      <c r="F371" s="900">
        <f t="shared" si="36"/>
        <v>0</v>
      </c>
      <c r="G371" s="892">
        <v>15</v>
      </c>
      <c r="H371" s="908" t="str">
        <f t="shared" si="35"/>
        <v>USD</v>
      </c>
      <c r="I371" s="886" t="s">
        <v>5667</v>
      </c>
      <c r="J371" s="901" t="s">
        <v>5082</v>
      </c>
      <c r="K371" s="901" t="s">
        <v>5668</v>
      </c>
      <c r="L371" s="905">
        <f t="shared" si="33"/>
        <v>1</v>
      </c>
      <c r="M371" s="909">
        <f>SUMIFS('Bilateral Assistance, MAIN DATA'!M:M,'Bilateral Assistance, MAIN DATA'!I:I,'Price List, Weapons &amp; Items'!B371)</f>
        <v>5300</v>
      </c>
      <c r="N371" s="71">
        <f>COUNTIFS('Bilateral Assistance, MAIN DATA'!M:M,"undisclosed",'Bilateral Assistance, MAIN DATA'!I:I,'Price List, Weapons &amp; Items'!B371)</f>
        <v>0</v>
      </c>
      <c r="O371" s="910">
        <f t="shared" si="34"/>
        <v>79500</v>
      </c>
      <c r="P371" s="71">
        <f>IFERROR(IF(SEARCH(B371,_xlfn.ARRAYTOTEXT('Bilateral Assistance, MAIN DATA'!I$1:I$2206))&gt;0,1,""),0)</f>
        <v>0</v>
      </c>
      <c r="Q371" s="71">
        <f>IFERROR(IF(SEARCH(B371,_xlfn.ARRAYTOTEXT('Commercial Assistance'!I$1:I$1400))&gt;0,1,""),0)</f>
        <v>0</v>
      </c>
      <c r="R371" s="905" t="str">
        <f>IF(SUMIFS('Bilateral Assistance, MAIN DATA'!N:N,'Bilateral Assistance, MAIN DATA'!I:I,'Price List, Weapons &amp; Items'!B371)&gt;M371,1,".")</f>
        <v>.</v>
      </c>
    </row>
    <row r="372" spans="2:18" ht="15" customHeight="1">
      <c r="B372" s="912" t="s">
        <v>5669</v>
      </c>
      <c r="C372" s="898" t="s">
        <v>1105</v>
      </c>
      <c r="D372" s="898" t="s">
        <v>1105</v>
      </c>
      <c r="E372" s="900">
        <v>0</v>
      </c>
      <c r="F372" s="900">
        <f t="shared" si="36"/>
        <v>0</v>
      </c>
      <c r="G372" s="892">
        <v>11.99</v>
      </c>
      <c r="H372" s="908" t="str">
        <f t="shared" si="35"/>
        <v>USD</v>
      </c>
      <c r="I372" s="886" t="s">
        <v>5085</v>
      </c>
      <c r="J372" s="901" t="s">
        <v>5086</v>
      </c>
      <c r="K372" s="901" t="s">
        <v>5670</v>
      </c>
      <c r="L372" s="905">
        <f t="shared" si="33"/>
        <v>1</v>
      </c>
      <c r="M372" s="909">
        <f>SUMIFS('Bilateral Assistance, MAIN DATA'!M:M,'Bilateral Assistance, MAIN DATA'!I:I,'Price List, Weapons &amp; Items'!B372)</f>
        <v>165</v>
      </c>
      <c r="N372" s="71">
        <f>COUNTIFS('Bilateral Assistance, MAIN DATA'!M:M,"undisclosed",'Bilateral Assistance, MAIN DATA'!I:I,'Price List, Weapons &amp; Items'!B372)</f>
        <v>0</v>
      </c>
      <c r="O372" s="910">
        <f t="shared" si="34"/>
        <v>1978.3500000000001</v>
      </c>
      <c r="P372" s="71">
        <f>IFERROR(IF(SEARCH(B372,_xlfn.ARRAYTOTEXT('Bilateral Assistance, MAIN DATA'!I$1:I$2206))&gt;0,1,""),0)</f>
        <v>0</v>
      </c>
      <c r="Q372" s="71">
        <f>IFERROR(IF(SEARCH(B372,_xlfn.ARRAYTOTEXT('Commercial Assistance'!I$1:I$1400))&gt;0,1,""),0)</f>
        <v>0</v>
      </c>
      <c r="R372" s="905" t="str">
        <f>IF(SUMIFS('Bilateral Assistance, MAIN DATA'!N:N,'Bilateral Assistance, MAIN DATA'!I:I,'Price List, Weapons &amp; Items'!B372)&gt;M372,1,".")</f>
        <v>.</v>
      </c>
    </row>
    <row r="373" spans="2:18" ht="15" customHeight="1">
      <c r="B373" s="912" t="s">
        <v>5671</v>
      </c>
      <c r="C373" s="898" t="s">
        <v>1105</v>
      </c>
      <c r="D373" s="898" t="s">
        <v>1105</v>
      </c>
      <c r="E373" s="900">
        <v>0</v>
      </c>
      <c r="F373" s="900">
        <f t="shared" si="36"/>
        <v>0</v>
      </c>
      <c r="G373" s="892">
        <v>9.93</v>
      </c>
      <c r="H373" s="908" t="str">
        <f t="shared" si="35"/>
        <v>USD</v>
      </c>
      <c r="I373" s="886" t="s">
        <v>5672</v>
      </c>
      <c r="J373" s="901" t="s">
        <v>5086</v>
      </c>
      <c r="K373" s="901" t="s">
        <v>5673</v>
      </c>
      <c r="L373" s="905">
        <f t="shared" si="33"/>
        <v>1</v>
      </c>
      <c r="M373" s="909">
        <f>SUMIFS('Bilateral Assistance, MAIN DATA'!M:M,'Bilateral Assistance, MAIN DATA'!I:I,'Price List, Weapons &amp; Items'!B373)</f>
        <v>100</v>
      </c>
      <c r="N373" s="71">
        <f>COUNTIFS('Bilateral Assistance, MAIN DATA'!M:M,"undisclosed",'Bilateral Assistance, MAIN DATA'!I:I,'Price List, Weapons &amp; Items'!B373)</f>
        <v>0</v>
      </c>
      <c r="O373" s="910">
        <f t="shared" si="34"/>
        <v>993</v>
      </c>
      <c r="P373" s="71">
        <f>IFERROR(IF(SEARCH(B373,_xlfn.ARRAYTOTEXT('Bilateral Assistance, MAIN DATA'!I$1:I$2206))&gt;0,1,""),0)</f>
        <v>0</v>
      </c>
      <c r="Q373" s="71">
        <f>IFERROR(IF(SEARCH(B373,_xlfn.ARRAYTOTEXT('Commercial Assistance'!I$1:I$1400))&gt;0,1,""),0)</f>
        <v>0</v>
      </c>
      <c r="R373" s="905" t="str">
        <f>IF(SUMIFS('Bilateral Assistance, MAIN DATA'!N:N,'Bilateral Assistance, MAIN DATA'!I:I,'Price List, Weapons &amp; Items'!B373)&gt;M373,1,".")</f>
        <v>.</v>
      </c>
    </row>
    <row r="374" spans="2:18" ht="15" customHeight="1">
      <c r="B374" s="921" t="s">
        <v>5674</v>
      </c>
      <c r="C374" s="898" t="s">
        <v>1105</v>
      </c>
      <c r="D374" s="898" t="s">
        <v>1105</v>
      </c>
      <c r="E374" s="900">
        <v>0</v>
      </c>
      <c r="F374" s="900">
        <f t="shared" si="36"/>
        <v>0</v>
      </c>
      <c r="G374" s="892">
        <v>2.5</v>
      </c>
      <c r="H374" s="908" t="str">
        <f t="shared" si="35"/>
        <v>USD</v>
      </c>
      <c r="I374" s="886" t="s">
        <v>5675</v>
      </c>
      <c r="J374" s="901" t="s">
        <v>5086</v>
      </c>
      <c r="K374" s="917" t="s">
        <v>5676</v>
      </c>
      <c r="L374" s="905">
        <f t="shared" si="33"/>
        <v>1</v>
      </c>
      <c r="M374" s="909">
        <f>SUMIFS('Bilateral Assistance, MAIN DATA'!M:M,'Bilateral Assistance, MAIN DATA'!I:I,'Price List, Weapons &amp; Items'!B374)</f>
        <v>54520</v>
      </c>
      <c r="N374" s="71">
        <f>COUNTIFS('Bilateral Assistance, MAIN DATA'!M:M,"undisclosed",'Bilateral Assistance, MAIN DATA'!I:I,'Price List, Weapons &amp; Items'!B374)</f>
        <v>0</v>
      </c>
      <c r="O374" s="910">
        <f t="shared" si="34"/>
        <v>136300</v>
      </c>
      <c r="P374" s="71">
        <f>IFERROR(IF(SEARCH(B374,_xlfn.ARRAYTOTEXT('Bilateral Assistance, MAIN DATA'!I$1:I$2206))&gt;0,1,""),0)</f>
        <v>0</v>
      </c>
      <c r="Q374" s="71">
        <f>IFERROR(IF(SEARCH(B374,_xlfn.ARRAYTOTEXT('Commercial Assistance'!I$1:I$1400))&gt;0,1,""),0)</f>
        <v>0</v>
      </c>
      <c r="R374" s="905" t="str">
        <f>IF(SUMIFS('Bilateral Assistance, MAIN DATA'!N:N,'Bilateral Assistance, MAIN DATA'!I:I,'Price List, Weapons &amp; Items'!B374)&gt;M374,1,".")</f>
        <v>.</v>
      </c>
    </row>
    <row r="375" spans="2:18" ht="15" customHeight="1">
      <c r="B375" s="912" t="s">
        <v>5677</v>
      </c>
      <c r="C375" s="898" t="s">
        <v>5065</v>
      </c>
      <c r="D375" s="899" t="s">
        <v>5066</v>
      </c>
      <c r="E375" s="900">
        <v>1</v>
      </c>
      <c r="F375" s="900">
        <f t="shared" si="36"/>
        <v>0</v>
      </c>
      <c r="G375" s="892">
        <v>1.625</v>
      </c>
      <c r="H375" s="908" t="str">
        <f t="shared" si="35"/>
        <v>USD</v>
      </c>
      <c r="I375" s="886" t="s">
        <v>5678</v>
      </c>
      <c r="J375" s="901" t="s">
        <v>5086</v>
      </c>
      <c r="K375" s="901" t="s">
        <v>5679</v>
      </c>
      <c r="L375" s="905">
        <f t="shared" si="33"/>
        <v>1</v>
      </c>
      <c r="M375" s="909">
        <f>SUMIFS('Bilateral Assistance, MAIN DATA'!M:M,'Bilateral Assistance, MAIN DATA'!I:I,'Price List, Weapons &amp; Items'!B375)</f>
        <v>125000</v>
      </c>
      <c r="N375" s="71">
        <f>COUNTIFS('Bilateral Assistance, MAIN DATA'!M:M,"undisclosed",'Bilateral Assistance, MAIN DATA'!I:I,'Price List, Weapons &amp; Items'!B375)</f>
        <v>0</v>
      </c>
      <c r="O375" s="910">
        <f t="shared" si="34"/>
        <v>203125</v>
      </c>
      <c r="P375" s="71">
        <f>IFERROR(IF(SEARCH(B375,_xlfn.ARRAYTOTEXT('Bilateral Assistance, MAIN DATA'!I$1:I$2206))&gt;0,1,""),0)</f>
        <v>0</v>
      </c>
      <c r="Q375" s="71">
        <f>IFERROR(IF(SEARCH(B375,_xlfn.ARRAYTOTEXT('Commercial Assistance'!I$1:I$1400))&gt;0,1,""),0)</f>
        <v>0</v>
      </c>
      <c r="R375" s="905" t="str">
        <f>IF(SUMIFS('Bilateral Assistance, MAIN DATA'!N:N,'Bilateral Assistance, MAIN DATA'!I:I,'Price List, Weapons &amp; Items'!B375)&gt;M375,1,".")</f>
        <v>.</v>
      </c>
    </row>
    <row r="376" spans="2:18" ht="15" customHeight="1">
      <c r="B376" s="901" t="s">
        <v>5680</v>
      </c>
      <c r="C376" s="898" t="s">
        <v>1105</v>
      </c>
      <c r="D376" s="898" t="s">
        <v>1105</v>
      </c>
      <c r="E376" s="900">
        <v>0</v>
      </c>
      <c r="F376" s="900">
        <f t="shared" si="36"/>
        <v>0</v>
      </c>
      <c r="G376" s="892">
        <v>0.4</v>
      </c>
      <c r="H376" s="908" t="str">
        <f t="shared" si="35"/>
        <v>USD</v>
      </c>
      <c r="I376" s="885" t="s">
        <v>5681</v>
      </c>
      <c r="J376" s="901" t="s">
        <v>5086</v>
      </c>
      <c r="K376" s="901" t="s">
        <v>5682</v>
      </c>
      <c r="L376" s="905">
        <f t="shared" si="33"/>
        <v>1</v>
      </c>
      <c r="M376" s="909">
        <f>SUMIFS('Bilateral Assistance, MAIN DATA'!M:M,'Bilateral Assistance, MAIN DATA'!I:I,'Price List, Weapons &amp; Items'!B376)</f>
        <v>1000</v>
      </c>
      <c r="N376" s="71">
        <f>COUNTIFS('Bilateral Assistance, MAIN DATA'!M:M,"undisclosed",'Bilateral Assistance, MAIN DATA'!I:I,'Price List, Weapons &amp; Items'!B376)</f>
        <v>1</v>
      </c>
      <c r="O376" s="910">
        <f t="shared" si="34"/>
        <v>400</v>
      </c>
      <c r="P376" s="71">
        <f>IFERROR(IF(SEARCH(B376,_xlfn.ARRAYTOTEXT('Bilateral Assistance, MAIN DATA'!I$1:I$2206))&gt;0,1,""),0)</f>
        <v>0</v>
      </c>
      <c r="Q376" s="71">
        <f>IFERROR(IF(SEARCH(B376,_xlfn.ARRAYTOTEXT('Commercial Assistance'!I$1:I$1400))&gt;0,1,""),0)</f>
        <v>0</v>
      </c>
      <c r="R376" s="905" t="str">
        <f>IF(SUMIFS('Bilateral Assistance, MAIN DATA'!N:N,'Bilateral Assistance, MAIN DATA'!I:I,'Price List, Weapons &amp; Items'!B376)&gt;M376,1,".")</f>
        <v>.</v>
      </c>
    </row>
    <row r="377" spans="2:18" ht="15" customHeight="1">
      <c r="B377" s="901" t="s">
        <v>5683</v>
      </c>
      <c r="C377" s="898" t="s">
        <v>1105</v>
      </c>
      <c r="D377" s="898" t="s">
        <v>1105</v>
      </c>
      <c r="E377" s="900">
        <v>0</v>
      </c>
      <c r="F377" s="900">
        <f t="shared" si="36"/>
        <v>0</v>
      </c>
      <c r="G377" s="892">
        <v>1.35</v>
      </c>
      <c r="H377" s="908" t="str">
        <f t="shared" si="35"/>
        <v>USD</v>
      </c>
      <c r="I377" s="886" t="s">
        <v>5684</v>
      </c>
      <c r="J377" s="901" t="s">
        <v>5089</v>
      </c>
      <c r="K377" s="901" t="s">
        <v>5685</v>
      </c>
      <c r="L377" s="905">
        <f t="shared" si="33"/>
        <v>1</v>
      </c>
      <c r="M377" s="909">
        <f>SUMIFS('Bilateral Assistance, MAIN DATA'!M:M,'Bilateral Assistance, MAIN DATA'!I:I,'Price List, Weapons &amp; Items'!B377)</f>
        <v>200000</v>
      </c>
      <c r="N377" s="71">
        <f>COUNTIFS('Bilateral Assistance, MAIN DATA'!M:M,"undisclosed",'Bilateral Assistance, MAIN DATA'!I:I,'Price List, Weapons &amp; Items'!B377)</f>
        <v>0</v>
      </c>
      <c r="O377" s="910">
        <f t="shared" si="34"/>
        <v>270000</v>
      </c>
      <c r="P377" s="71">
        <f>IFERROR(IF(SEARCH(B377,_xlfn.ARRAYTOTEXT('Bilateral Assistance, MAIN DATA'!I$1:I$2206))&gt;0,1,""),0)</f>
        <v>0</v>
      </c>
      <c r="Q377" s="71">
        <f>IFERROR(IF(SEARCH(B377,_xlfn.ARRAYTOTEXT('Commercial Assistance'!I$1:I$1400))&gt;0,1,""),0)</f>
        <v>0</v>
      </c>
      <c r="R377" s="905" t="str">
        <f>IF(SUMIFS('Bilateral Assistance, MAIN DATA'!N:N,'Bilateral Assistance, MAIN DATA'!I:I,'Price List, Weapons &amp; Items'!B377)&gt;M377,1,".")</f>
        <v>.</v>
      </c>
    </row>
    <row r="378" spans="2:18" ht="15" customHeight="1">
      <c r="B378" s="912" t="s">
        <v>5686</v>
      </c>
      <c r="C378" s="898" t="s">
        <v>5065</v>
      </c>
      <c r="D378" s="899" t="s">
        <v>5066</v>
      </c>
      <c r="E378" s="900">
        <v>0</v>
      </c>
      <c r="F378" s="900">
        <f t="shared" si="36"/>
        <v>0</v>
      </c>
      <c r="G378" s="892">
        <v>0.95</v>
      </c>
      <c r="H378" s="908" t="str">
        <f t="shared" si="35"/>
        <v>USD</v>
      </c>
      <c r="I378" s="886" t="s">
        <v>5529</v>
      </c>
      <c r="J378" s="901" t="s">
        <v>5086</v>
      </c>
      <c r="K378" s="901" t="s">
        <v>5530</v>
      </c>
      <c r="L378" s="905">
        <f t="shared" si="33"/>
        <v>1</v>
      </c>
      <c r="M378" s="909">
        <f>SUMIFS('Bilateral Assistance, MAIN DATA'!M:M,'Bilateral Assistance, MAIN DATA'!I:I,'Price List, Weapons &amp; Items'!B378)</f>
        <v>150000</v>
      </c>
      <c r="N378" s="71">
        <f>COUNTIFS('Bilateral Assistance, MAIN DATA'!M:M,"undisclosed",'Bilateral Assistance, MAIN DATA'!I:I,'Price List, Weapons &amp; Items'!B378)</f>
        <v>0</v>
      </c>
      <c r="O378" s="910">
        <f t="shared" si="34"/>
        <v>142500</v>
      </c>
      <c r="P378" s="71">
        <f>IFERROR(IF(SEARCH(B378,_xlfn.ARRAYTOTEXT('Bilateral Assistance, MAIN DATA'!I$1:I$2206))&gt;0,1,""),0)</f>
        <v>0</v>
      </c>
      <c r="Q378" s="71">
        <f>IFERROR(IF(SEARCH(B378,_xlfn.ARRAYTOTEXT('Commercial Assistance'!I$1:I$1400))&gt;0,1,""),0)</f>
        <v>0</v>
      </c>
      <c r="R378" s="905" t="str">
        <f>IF(SUMIFS('Bilateral Assistance, MAIN DATA'!N:N,'Bilateral Assistance, MAIN DATA'!I:I,'Price List, Weapons &amp; Items'!B378)&gt;M378,1,".")</f>
        <v>.</v>
      </c>
    </row>
    <row r="379" spans="2:18" ht="15" customHeight="1">
      <c r="B379" s="914" t="s">
        <v>5687</v>
      </c>
      <c r="C379" s="898" t="s">
        <v>5065</v>
      </c>
      <c r="D379" s="899" t="s">
        <v>5066</v>
      </c>
      <c r="E379" s="900">
        <v>0</v>
      </c>
      <c r="F379" s="900">
        <f t="shared" si="36"/>
        <v>0</v>
      </c>
      <c r="G379" s="892">
        <v>0.9</v>
      </c>
      <c r="H379" s="908" t="str">
        <f t="shared" si="35"/>
        <v>USD</v>
      </c>
      <c r="I379" s="886" t="s">
        <v>5529</v>
      </c>
      <c r="J379" s="901" t="s">
        <v>5086</v>
      </c>
      <c r="K379" s="901" t="s">
        <v>5688</v>
      </c>
      <c r="L379" s="905">
        <f t="shared" si="33"/>
        <v>1</v>
      </c>
      <c r="M379" s="909">
        <f>SUMIFS('Bilateral Assistance, MAIN DATA'!M:M,'Bilateral Assistance, MAIN DATA'!I:I,'Price List, Weapons &amp; Items'!B379)</f>
        <v>30000</v>
      </c>
      <c r="N379" s="71">
        <f>COUNTIFS('Bilateral Assistance, MAIN DATA'!M:M,"undisclosed",'Bilateral Assistance, MAIN DATA'!I:I,'Price List, Weapons &amp; Items'!B379)</f>
        <v>0</v>
      </c>
      <c r="O379" s="910">
        <f t="shared" si="34"/>
        <v>27000</v>
      </c>
      <c r="P379" s="71">
        <f>IFERROR(IF(SEARCH(B379,_xlfn.ARRAYTOTEXT('Bilateral Assistance, MAIN DATA'!I$1:I$2206))&gt;0,1,""),0)</f>
        <v>0</v>
      </c>
      <c r="Q379" s="71">
        <f>IFERROR(IF(SEARCH(B379,_xlfn.ARRAYTOTEXT('Commercial Assistance'!I$1:I$1400))&gt;0,1,""),0)</f>
        <v>0</v>
      </c>
      <c r="R379" s="905" t="str">
        <f>IF(SUMIFS('Bilateral Assistance, MAIN DATA'!N:N,'Bilateral Assistance, MAIN DATA'!I:I,'Price List, Weapons &amp; Items'!B379)&gt;M379,1,".")</f>
        <v>.</v>
      </c>
    </row>
    <row r="380" spans="2:18" ht="15" customHeight="1">
      <c r="B380" s="901" t="s">
        <v>5689</v>
      </c>
      <c r="C380" s="898" t="s">
        <v>1105</v>
      </c>
      <c r="D380" s="898" t="s">
        <v>1105</v>
      </c>
      <c r="E380" s="900">
        <v>0</v>
      </c>
      <c r="F380" s="900">
        <f t="shared" si="36"/>
        <v>0</v>
      </c>
      <c r="G380" s="892">
        <v>0.38</v>
      </c>
      <c r="H380" s="908" t="str">
        <f t="shared" si="35"/>
        <v>USD</v>
      </c>
      <c r="I380" s="885" t="s">
        <v>5690</v>
      </c>
      <c r="J380" s="901" t="s">
        <v>5086</v>
      </c>
      <c r="K380" s="901" t="s">
        <v>5691</v>
      </c>
      <c r="L380" s="905">
        <f t="shared" si="33"/>
        <v>1</v>
      </c>
      <c r="M380" s="909">
        <f>SUMIFS('Bilateral Assistance, MAIN DATA'!M:M,'Bilateral Assistance, MAIN DATA'!I:I,'Price List, Weapons &amp; Items'!B380)</f>
        <v>1500</v>
      </c>
      <c r="N380" s="71">
        <f>COUNTIFS('Bilateral Assistance, MAIN DATA'!M:M,"undisclosed",'Bilateral Assistance, MAIN DATA'!I:I,'Price List, Weapons &amp; Items'!B380)</f>
        <v>0</v>
      </c>
      <c r="O380" s="910">
        <f t="shared" si="34"/>
        <v>570</v>
      </c>
      <c r="P380" s="71">
        <f>IFERROR(IF(SEARCH(B380,_xlfn.ARRAYTOTEXT('Bilateral Assistance, MAIN DATA'!I$1:I$2206))&gt;0,1,""),0)</f>
        <v>0</v>
      </c>
      <c r="Q380" s="71">
        <f>IFERROR(IF(SEARCH(B380,_xlfn.ARRAYTOTEXT('Commercial Assistance'!I$1:I$1400))&gt;0,1,""),0)</f>
        <v>0</v>
      </c>
      <c r="R380" s="905" t="str">
        <f>IF(SUMIFS('Bilateral Assistance, MAIN DATA'!N:N,'Bilateral Assistance, MAIN DATA'!I:I,'Price List, Weapons &amp; Items'!B380)&gt;M380,1,".")</f>
        <v>.</v>
      </c>
    </row>
    <row r="381" spans="2:18" ht="15" customHeight="1">
      <c r="B381" s="914" t="s">
        <v>5692</v>
      </c>
      <c r="C381" s="898" t="s">
        <v>5065</v>
      </c>
      <c r="D381" s="899" t="s">
        <v>5066</v>
      </c>
      <c r="E381" s="900">
        <v>0</v>
      </c>
      <c r="F381" s="900">
        <f t="shared" si="36"/>
        <v>0</v>
      </c>
      <c r="G381" s="892">
        <v>0.41799999999999998</v>
      </c>
      <c r="H381" s="908" t="str">
        <f t="shared" si="35"/>
        <v>USD</v>
      </c>
      <c r="I381" s="886" t="s">
        <v>5693</v>
      </c>
      <c r="J381" s="901" t="s">
        <v>5086</v>
      </c>
      <c r="K381" s="901" t="s">
        <v>5694</v>
      </c>
      <c r="L381" s="905">
        <f t="shared" si="33"/>
        <v>1</v>
      </c>
      <c r="M381" s="909">
        <f>SUMIFS('Bilateral Assistance, MAIN DATA'!M:M,'Bilateral Assistance, MAIN DATA'!I:I,'Price List, Weapons &amp; Items'!B381)</f>
        <v>108000</v>
      </c>
      <c r="N381" s="71">
        <f>COUNTIFS('Bilateral Assistance, MAIN DATA'!M:M,"undisclosed",'Bilateral Assistance, MAIN DATA'!I:I,'Price List, Weapons &amp; Items'!B381)</f>
        <v>0</v>
      </c>
      <c r="O381" s="910">
        <f t="shared" si="34"/>
        <v>45144</v>
      </c>
      <c r="P381" s="71">
        <f>IFERROR(IF(SEARCH(B381,_xlfn.ARRAYTOTEXT('Bilateral Assistance, MAIN DATA'!I$1:I$2206))&gt;0,1,""),0)</f>
        <v>0</v>
      </c>
      <c r="Q381" s="71">
        <f>IFERROR(IF(SEARCH(B381,_xlfn.ARRAYTOTEXT('Commercial Assistance'!I$1:I$1400))&gt;0,1,""),0)</f>
        <v>0</v>
      </c>
      <c r="R381" s="905" t="str">
        <f>IF(SUMIFS('Bilateral Assistance, MAIN DATA'!N:N,'Bilateral Assistance, MAIN DATA'!I:I,'Price List, Weapons &amp; Items'!B381)&gt;M381,1,".")</f>
        <v>.</v>
      </c>
    </row>
    <row r="382" spans="2:18" ht="15" customHeight="1">
      <c r="B382" s="915" t="s">
        <v>5695</v>
      </c>
      <c r="C382" s="898" t="s">
        <v>5065</v>
      </c>
      <c r="D382" s="899" t="s">
        <v>5226</v>
      </c>
      <c r="E382" s="900">
        <v>0</v>
      </c>
      <c r="F382" s="900">
        <f t="shared" si="36"/>
        <v>0</v>
      </c>
      <c r="G382" s="892">
        <v>0.4</v>
      </c>
      <c r="H382" s="908" t="str">
        <f t="shared" si="35"/>
        <v>USD</v>
      </c>
      <c r="I382" s="923" t="s">
        <v>5696</v>
      </c>
      <c r="J382" s="901" t="s">
        <v>5086</v>
      </c>
      <c r="K382" s="1356" t="s">
        <v>5697</v>
      </c>
      <c r="L382" s="905">
        <f t="shared" si="33"/>
        <v>1</v>
      </c>
      <c r="M382" s="909">
        <f>SUMIFS('Bilateral Assistance, MAIN DATA'!M:M,'Bilateral Assistance, MAIN DATA'!I:I,'Price List, Weapons &amp; Items'!B382)</f>
        <v>150000</v>
      </c>
      <c r="N382" s="71">
        <f>COUNTIFS('Bilateral Assistance, MAIN DATA'!M:M,"undisclosed",'Bilateral Assistance, MAIN DATA'!I:I,'Price List, Weapons &amp; Items'!B382)</f>
        <v>0</v>
      </c>
      <c r="O382" s="910">
        <f t="shared" si="34"/>
        <v>60000</v>
      </c>
      <c r="P382" s="71">
        <f>IFERROR(IF(SEARCH(B382,_xlfn.ARRAYTOTEXT('Bilateral Assistance, MAIN DATA'!I$1:I$2206))&gt;0,1,""),0)</f>
        <v>0</v>
      </c>
      <c r="Q382" s="71">
        <f>IFERROR(IF(SEARCH(B382,_xlfn.ARRAYTOTEXT('Commercial Assistance'!I$1:I$1400))&gt;0,1,""),0)</f>
        <v>0</v>
      </c>
      <c r="R382" s="905" t="str">
        <f>IF(SUMIFS('Bilateral Assistance, MAIN DATA'!N:N,'Bilateral Assistance, MAIN DATA'!I:I,'Price List, Weapons &amp; Items'!B382)&gt;M382,1,".")</f>
        <v>.</v>
      </c>
    </row>
    <row r="383" spans="2:18" ht="15" customHeight="1">
      <c r="B383" s="912" t="s">
        <v>5698</v>
      </c>
      <c r="C383" s="898" t="s">
        <v>5065</v>
      </c>
      <c r="D383" s="899" t="s">
        <v>5066</v>
      </c>
      <c r="E383" s="900">
        <v>1</v>
      </c>
      <c r="F383" s="900">
        <f t="shared" si="36"/>
        <v>0</v>
      </c>
      <c r="G383" s="892">
        <v>0.4</v>
      </c>
      <c r="H383" s="908" t="str">
        <f t="shared" si="35"/>
        <v>USD</v>
      </c>
      <c r="I383" s="886" t="s">
        <v>5532</v>
      </c>
      <c r="J383" s="901" t="s">
        <v>5086</v>
      </c>
      <c r="K383" s="901" t="s">
        <v>5699</v>
      </c>
      <c r="L383" s="905">
        <f t="shared" si="33"/>
        <v>1</v>
      </c>
      <c r="M383" s="909">
        <f>SUMIFS('Bilateral Assistance, MAIN DATA'!M:M,'Bilateral Assistance, MAIN DATA'!I:I,'Price List, Weapons &amp; Items'!B383)</f>
        <v>500000</v>
      </c>
      <c r="N383" s="71">
        <f>COUNTIFS('Bilateral Assistance, MAIN DATA'!M:M,"undisclosed",'Bilateral Assistance, MAIN DATA'!I:I,'Price List, Weapons &amp; Items'!B383)</f>
        <v>0</v>
      </c>
      <c r="O383" s="910">
        <f t="shared" si="34"/>
        <v>200000</v>
      </c>
      <c r="P383" s="71">
        <f>IFERROR(IF(SEARCH(B383,_xlfn.ARRAYTOTEXT('Bilateral Assistance, MAIN DATA'!I$1:I$2206))&gt;0,1,""),0)</f>
        <v>0</v>
      </c>
      <c r="Q383" s="71">
        <f>IFERROR(IF(SEARCH(B383,_xlfn.ARRAYTOTEXT('Commercial Assistance'!I$1:I$1400))&gt;0,1,""),0)</f>
        <v>0</v>
      </c>
      <c r="R383" s="905" t="str">
        <f>IF(SUMIFS('Bilateral Assistance, MAIN DATA'!N:N,'Bilateral Assistance, MAIN DATA'!I:I,'Price List, Weapons &amp; Items'!B383)&gt;M383,1,".")</f>
        <v>.</v>
      </c>
    </row>
    <row r="384" spans="2:18" ht="15" customHeight="1">
      <c r="B384" s="901" t="s">
        <v>1828</v>
      </c>
      <c r="C384" s="898" t="s">
        <v>1105</v>
      </c>
      <c r="D384" s="899" t="s">
        <v>5298</v>
      </c>
      <c r="E384" s="900">
        <v>0</v>
      </c>
      <c r="F384" s="900">
        <f t="shared" si="36"/>
        <v>0</v>
      </c>
      <c r="G384" s="892">
        <v>32500</v>
      </c>
      <c r="H384" s="900" t="s">
        <v>456</v>
      </c>
      <c r="I384" s="885" t="s">
        <v>5700</v>
      </c>
      <c r="J384" s="913" t="s">
        <v>5086</v>
      </c>
      <c r="K384" s="901" t="s">
        <v>5701</v>
      </c>
      <c r="L384" s="905">
        <f t="shared" si="33"/>
        <v>1</v>
      </c>
      <c r="M384" s="909">
        <f>SUMIFS('Bilateral Assistance, MAIN DATA'!M:M,'Bilateral Assistance, MAIN DATA'!I:I,'Price List, Weapons &amp; Items'!B384)</f>
        <v>33</v>
      </c>
      <c r="N384" s="71">
        <f>COUNTIFS('Bilateral Assistance, MAIN DATA'!M:M,"undisclosed",'Bilateral Assistance, MAIN DATA'!I:I,'Price List, Weapons &amp; Items'!B384)</f>
        <v>0</v>
      </c>
      <c r="O384" s="910">
        <f t="shared" si="34"/>
        <v>1072500</v>
      </c>
      <c r="P384" s="71">
        <f>IFERROR(IF(SEARCH(B384,_xlfn.ARRAYTOTEXT('Bilateral Assistance, MAIN DATA'!I$1:I$2206))&gt;0,1,""),0)</f>
        <v>0</v>
      </c>
      <c r="Q384" s="71">
        <f>IFERROR(IF(SEARCH(B384,_xlfn.ARRAYTOTEXT('Commercial Assistance'!I$1:I$1400))&gt;0,1,""),0)</f>
        <v>0</v>
      </c>
      <c r="R384" s="905" t="str">
        <f>IF(SUMIFS('Bilateral Assistance, MAIN DATA'!N:N,'Bilateral Assistance, MAIN DATA'!I:I,'Price List, Weapons &amp; Items'!B384)&gt;M384,1,".")</f>
        <v>.</v>
      </c>
    </row>
    <row r="385" spans="2:18" ht="15" customHeight="1">
      <c r="B385" s="912" t="s">
        <v>2572</v>
      </c>
      <c r="C385" s="898" t="s">
        <v>1105</v>
      </c>
      <c r="D385" s="898" t="s">
        <v>1105</v>
      </c>
      <c r="E385" s="900">
        <v>0</v>
      </c>
      <c r="F385" s="900">
        <f t="shared" si="36"/>
        <v>0</v>
      </c>
      <c r="G385" s="892">
        <v>45</v>
      </c>
      <c r="H385" s="908" t="str">
        <f>IF(G385&lt;&gt;".","USD",".")</f>
        <v>USD</v>
      </c>
      <c r="I385" s="886" t="s">
        <v>5657</v>
      </c>
      <c r="J385" s="901" t="s">
        <v>5086</v>
      </c>
      <c r="K385" s="901" t="s">
        <v>5658</v>
      </c>
      <c r="L385" s="905">
        <f t="shared" si="33"/>
        <v>1</v>
      </c>
      <c r="M385" s="909">
        <f>SUMIFS('Bilateral Assistance, MAIN DATA'!M:M,'Bilateral Assistance, MAIN DATA'!I:I,'Price List, Weapons &amp; Items'!B385)</f>
        <v>2000</v>
      </c>
      <c r="N385" s="71">
        <f>COUNTIFS('Bilateral Assistance, MAIN DATA'!M:M,"undisclosed",'Bilateral Assistance, MAIN DATA'!I:I,'Price List, Weapons &amp; Items'!B385)</f>
        <v>4</v>
      </c>
      <c r="O385" s="910">
        <f t="shared" si="34"/>
        <v>90000</v>
      </c>
      <c r="P385" s="71">
        <f>IFERROR(IF(SEARCH(B385,_xlfn.ARRAYTOTEXT('Bilateral Assistance, MAIN DATA'!I$1:I$2206))&gt;0,1,""),0)</f>
        <v>0</v>
      </c>
      <c r="Q385" s="71">
        <f>IFERROR(IF(SEARCH(B385,_xlfn.ARRAYTOTEXT('Commercial Assistance'!I$1:I$1400))&gt;0,1,""),0)</f>
        <v>0</v>
      </c>
      <c r="R385" s="905" t="str">
        <f>IF(SUMIFS('Bilateral Assistance, MAIN DATA'!N:N,'Bilateral Assistance, MAIN DATA'!I:I,'Price List, Weapons &amp; Items'!B385)&gt;M385,1,".")</f>
        <v>.</v>
      </c>
    </row>
    <row r="386" spans="2:18" ht="15" customHeight="1">
      <c r="B386" s="901" t="s">
        <v>2547</v>
      </c>
      <c r="C386" s="898" t="s">
        <v>1105</v>
      </c>
      <c r="D386" s="899" t="s">
        <v>5298</v>
      </c>
      <c r="E386" s="900">
        <v>0</v>
      </c>
      <c r="F386" s="900">
        <f t="shared" si="36"/>
        <v>0</v>
      </c>
      <c r="G386" s="892">
        <f>60000</f>
        <v>60000</v>
      </c>
      <c r="H386" s="908" t="str">
        <f>IF(G386&lt;&gt;".","USD",".")</f>
        <v>USD</v>
      </c>
      <c r="I386" s="885" t="s">
        <v>5597</v>
      </c>
      <c r="J386" s="901" t="s">
        <v>5080</v>
      </c>
      <c r="K386" s="901" t="s">
        <v>5598</v>
      </c>
      <c r="L386" s="905">
        <f t="shared" si="33"/>
        <v>1</v>
      </c>
      <c r="M386" s="909">
        <f>SUMIFS('Bilateral Assistance, MAIN DATA'!M:M,'Bilateral Assistance, MAIN DATA'!I:I,'Price List, Weapons &amp; Items'!B386)</f>
        <v>7</v>
      </c>
      <c r="N386" s="71">
        <f>COUNTIFS('Bilateral Assistance, MAIN DATA'!M:M,"undisclosed",'Bilateral Assistance, MAIN DATA'!I:I,'Price List, Weapons &amp; Items'!B386)</f>
        <v>0</v>
      </c>
      <c r="O386" s="910">
        <f t="shared" si="34"/>
        <v>420000</v>
      </c>
      <c r="P386" s="71">
        <f>IFERROR(IF(SEARCH(B386,_xlfn.ARRAYTOTEXT('Bilateral Assistance, MAIN DATA'!I$1:I$2206))&gt;0,1,""),0)</f>
        <v>0</v>
      </c>
      <c r="Q386" s="71">
        <f>IFERROR(IF(SEARCH(B386,_xlfn.ARRAYTOTEXT('Commercial Assistance'!I$1:I$1400))&gt;0,1,""),0)</f>
        <v>0</v>
      </c>
      <c r="R386" s="905" t="str">
        <f>IF(SUMIFS('Bilateral Assistance, MAIN DATA'!N:N,'Bilateral Assistance, MAIN DATA'!I:I,'Price List, Weapons &amp; Items'!B386)&gt;M386,1,".")</f>
        <v>.</v>
      </c>
    </row>
    <row r="387" spans="2:18" ht="15" customHeight="1">
      <c r="B387" s="916" t="s">
        <v>1834</v>
      </c>
      <c r="C387" s="898" t="s">
        <v>5062</v>
      </c>
      <c r="D387" s="899" t="s">
        <v>5366</v>
      </c>
      <c r="E387" s="900">
        <v>0</v>
      </c>
      <c r="F387" s="900">
        <f t="shared" si="36"/>
        <v>1</v>
      </c>
      <c r="G387" s="892">
        <v>405530</v>
      </c>
      <c r="H387" s="900" t="s">
        <v>456</v>
      </c>
      <c r="I387" s="885" t="s">
        <v>5550</v>
      </c>
      <c r="J387" s="913" t="s">
        <v>5543</v>
      </c>
      <c r="K387" s="901" t="s">
        <v>5580</v>
      </c>
      <c r="L387" s="905">
        <f t="shared" si="33"/>
        <v>1</v>
      </c>
      <c r="M387" s="909">
        <f>SUMIFS('Bilateral Assistance, MAIN DATA'!M:M,'Bilateral Assistance, MAIN DATA'!I:I,'Price List, Weapons &amp; Items'!B387)</f>
        <v>3</v>
      </c>
      <c r="N387" s="71">
        <f>COUNTIFS('Bilateral Assistance, MAIN DATA'!M:M,"undisclosed",'Bilateral Assistance, MAIN DATA'!I:I,'Price List, Weapons &amp; Items'!B387)</f>
        <v>0</v>
      </c>
      <c r="O387" s="910">
        <f t="shared" si="34"/>
        <v>1216590</v>
      </c>
      <c r="P387" s="71">
        <f>IFERROR(IF(SEARCH(B387,_xlfn.ARRAYTOTEXT('Bilateral Assistance, MAIN DATA'!I$1:I$2206))&gt;0,1,""),0)</f>
        <v>0</v>
      </c>
      <c r="Q387" s="71">
        <f>IFERROR(IF(SEARCH(B387,_xlfn.ARRAYTOTEXT('Commercial Assistance'!I$1:I$1400))&gt;0,1,""),0)</f>
        <v>0</v>
      </c>
      <c r="R387" s="905" t="str">
        <f>IF(SUMIFS('Bilateral Assistance, MAIN DATA'!N:N,'Bilateral Assistance, MAIN DATA'!I:I,'Price List, Weapons &amp; Items'!B387)&gt;M387,1,".")</f>
        <v>.</v>
      </c>
    </row>
    <row r="388" spans="2:18" ht="15" customHeight="1">
      <c r="B388" s="901" t="s">
        <v>5702</v>
      </c>
      <c r="C388" s="898" t="s">
        <v>360</v>
      </c>
      <c r="D388" s="898" t="s">
        <v>360</v>
      </c>
      <c r="E388" s="900">
        <v>0</v>
      </c>
      <c r="F388" s="900">
        <f t="shared" si="36"/>
        <v>0</v>
      </c>
      <c r="G388" s="892" t="s">
        <v>364</v>
      </c>
      <c r="H388" s="908" t="str">
        <f t="shared" ref="H388:H409" si="37">IF(G388&lt;&gt;".","USD",".")</f>
        <v>.</v>
      </c>
      <c r="I388" s="901" t="s">
        <v>364</v>
      </c>
      <c r="J388" s="901" t="str">
        <f t="shared" ref="J388:J401" si="38">IF(I388&lt;&gt;".",".",".")</f>
        <v>.</v>
      </c>
      <c r="K388" s="901" t="s">
        <v>5703</v>
      </c>
      <c r="L388" s="905">
        <f t="shared" si="33"/>
        <v>0</v>
      </c>
      <c r="M388" s="909">
        <f>SUMIFS('Bilateral Assistance, MAIN DATA'!M:M,'Bilateral Assistance, MAIN DATA'!I:I,'Price List, Weapons &amp; Items'!B388)</f>
        <v>4000</v>
      </c>
      <c r="N388" s="71">
        <f>COUNTIFS('Bilateral Assistance, MAIN DATA'!M:M,"undisclosed",'Bilateral Assistance, MAIN DATA'!I:I,'Price List, Weapons &amp; Items'!B388)</f>
        <v>0</v>
      </c>
      <c r="O388" s="910" t="str">
        <f t="shared" si="34"/>
        <v>no price</v>
      </c>
      <c r="P388" s="71">
        <f>IFERROR(IF(SEARCH(B388,_xlfn.ARRAYTOTEXT('Bilateral Assistance, MAIN DATA'!I$1:I$2206))&gt;0,1,""),0)</f>
        <v>0</v>
      </c>
      <c r="Q388" s="71">
        <f>IFERROR(IF(SEARCH(B388,_xlfn.ARRAYTOTEXT('Commercial Assistance'!I$1:I$1400))&gt;0,1,""),0)</f>
        <v>0</v>
      </c>
      <c r="R388" s="905" t="str">
        <f>IF(SUMIFS('Bilateral Assistance, MAIN DATA'!N:N,'Bilateral Assistance, MAIN DATA'!I:I,'Price List, Weapons &amp; Items'!B388)&gt;M388,1,".")</f>
        <v>.</v>
      </c>
    </row>
    <row r="389" spans="2:18" ht="15" customHeight="1">
      <c r="B389" s="901" t="s">
        <v>1388</v>
      </c>
      <c r="C389" s="898" t="s">
        <v>360</v>
      </c>
      <c r="D389" s="898" t="s">
        <v>360</v>
      </c>
      <c r="E389" s="900">
        <v>0</v>
      </c>
      <c r="F389" s="900">
        <f t="shared" si="36"/>
        <v>0</v>
      </c>
      <c r="G389" s="892" t="s">
        <v>364</v>
      </c>
      <c r="H389" s="908" t="str">
        <f t="shared" si="37"/>
        <v>.</v>
      </c>
      <c r="I389" s="913" t="s">
        <v>364</v>
      </c>
      <c r="J389" s="901" t="str">
        <f t="shared" si="38"/>
        <v>.</v>
      </c>
      <c r="K389" s="901" t="s">
        <v>364</v>
      </c>
      <c r="L389" s="905">
        <f t="shared" si="33"/>
        <v>0</v>
      </c>
      <c r="M389" s="909">
        <f>SUMIFS('Bilateral Assistance, MAIN DATA'!M:M,'Bilateral Assistance, MAIN DATA'!I:I,'Price List, Weapons &amp; Items'!B389)</f>
        <v>0</v>
      </c>
      <c r="N389" s="71">
        <f>COUNTIFS('Bilateral Assistance, MAIN DATA'!M:M,"undisclosed",'Bilateral Assistance, MAIN DATA'!I:I,'Price List, Weapons &amp; Items'!B389)</f>
        <v>2</v>
      </c>
      <c r="O389" s="910" t="str">
        <f t="shared" si="34"/>
        <v>no price</v>
      </c>
      <c r="P389" s="71">
        <f>IFERROR(IF(SEARCH(B389,_xlfn.ARRAYTOTEXT('Bilateral Assistance, MAIN DATA'!I$1:I$2206))&gt;0,1,""),0)</f>
        <v>0</v>
      </c>
      <c r="Q389" s="71">
        <f>IFERROR(IF(SEARCH(B389,_xlfn.ARRAYTOTEXT('Commercial Assistance'!I$1:I$1400))&gt;0,1,""),0)</f>
        <v>0</v>
      </c>
      <c r="R389" s="905" t="str">
        <f>IF(SUMIFS('Bilateral Assistance, MAIN DATA'!N:N,'Bilateral Assistance, MAIN DATA'!I:I,'Price List, Weapons &amp; Items'!B389)&gt;M389,1,".")</f>
        <v>.</v>
      </c>
    </row>
    <row r="390" spans="2:18" ht="15" customHeight="1">
      <c r="B390" s="901" t="s">
        <v>5704</v>
      </c>
      <c r="C390" s="898" t="s">
        <v>5062</v>
      </c>
      <c r="D390" s="898" t="s">
        <v>5146</v>
      </c>
      <c r="E390" s="900">
        <v>0</v>
      </c>
      <c r="F390" s="900">
        <f t="shared" si="36"/>
        <v>0</v>
      </c>
      <c r="G390" s="930">
        <v>19354990.800000001</v>
      </c>
      <c r="H390" s="908" t="s">
        <v>456</v>
      </c>
      <c r="I390" s="893" t="s">
        <v>5074</v>
      </c>
      <c r="J390" s="71" t="s">
        <v>5075</v>
      </c>
      <c r="K390" s="931" t="s">
        <v>5705</v>
      </c>
      <c r="L390" s="905">
        <f t="shared" si="33"/>
        <v>2</v>
      </c>
      <c r="M390" s="909">
        <f>SUMIFS('Bilateral Assistance, MAIN DATA'!M:M,'Bilateral Assistance, MAIN DATA'!I:I,'Price List, Weapons &amp; Items'!B390)</f>
        <v>2</v>
      </c>
      <c r="N390" s="71">
        <f>COUNTIFS('Bilateral Assistance, MAIN DATA'!M:M,"undisclosed",'Bilateral Assistance, MAIN DATA'!I:I,'Price List, Weapons &amp; Items'!B390)</f>
        <v>0</v>
      </c>
      <c r="O390" s="910">
        <f t="shared" si="34"/>
        <v>38709981.600000001</v>
      </c>
      <c r="P390" s="71">
        <f>IFERROR(IF(SEARCH(B390,_xlfn.ARRAYTOTEXT('Bilateral Assistance, MAIN DATA'!I$1:I$2206))&gt;0,1,""),0)</f>
        <v>0</v>
      </c>
      <c r="Q390" s="71">
        <f>IFERROR(IF(SEARCH(B390,_xlfn.ARRAYTOTEXT('Commercial Assistance'!I$1:I$1400))&gt;0,1,""),0)</f>
        <v>0</v>
      </c>
      <c r="R390" s="905" t="str">
        <f>IF(SUMIFS('Bilateral Assistance, MAIN DATA'!N:N,'Bilateral Assistance, MAIN DATA'!I:I,'Price List, Weapons &amp; Items'!B390)&gt;M390,1,".")</f>
        <v>.</v>
      </c>
    </row>
    <row r="391" spans="2:18" ht="15" customHeight="1">
      <c r="B391" s="901" t="s">
        <v>596</v>
      </c>
      <c r="C391" s="898" t="s">
        <v>1105</v>
      </c>
      <c r="D391" s="898" t="s">
        <v>1105</v>
      </c>
      <c r="E391" s="900">
        <v>0</v>
      </c>
      <c r="F391" s="900">
        <f t="shared" si="36"/>
        <v>0</v>
      </c>
      <c r="G391" s="892">
        <v>22216</v>
      </c>
      <c r="H391" s="908" t="s">
        <v>456</v>
      </c>
      <c r="I391" s="886" t="s">
        <v>5706</v>
      </c>
      <c r="J391" s="901" t="s">
        <v>5119</v>
      </c>
      <c r="K391" s="901" t="s">
        <v>5707</v>
      </c>
      <c r="L391" s="905">
        <f t="shared" si="33"/>
        <v>2</v>
      </c>
      <c r="M391" s="909">
        <f>SUMIFS('Bilateral Assistance, MAIN DATA'!M:M,'Bilateral Assistance, MAIN DATA'!I:I,'Price List, Weapons &amp; Items'!B391)</f>
        <v>1006</v>
      </c>
      <c r="N391" s="71">
        <f>COUNTIFS('Bilateral Assistance, MAIN DATA'!M:M,"undisclosed",'Bilateral Assistance, MAIN DATA'!I:I,'Price List, Weapons &amp; Items'!B391)</f>
        <v>5</v>
      </c>
      <c r="O391" s="910">
        <f t="shared" si="34"/>
        <v>22349296</v>
      </c>
      <c r="P391" s="71">
        <f>IFERROR(IF(SEARCH(B391,_xlfn.ARRAYTOTEXT('Bilateral Assistance, MAIN DATA'!I$1:I$2206))&gt;0,1,""),0)</f>
        <v>0</v>
      </c>
      <c r="Q391" s="71">
        <f>IFERROR(IF(SEARCH(B391,_xlfn.ARRAYTOTEXT('Commercial Assistance'!I$1:I$1400))&gt;0,1,""),0)</f>
        <v>0</v>
      </c>
      <c r="R391" s="905" t="str">
        <f>IF(SUMIFS('Bilateral Assistance, MAIN DATA'!N:N,'Bilateral Assistance, MAIN DATA'!I:I,'Price List, Weapons &amp; Items'!B391)&gt;M391,1,".")</f>
        <v>.</v>
      </c>
    </row>
    <row r="392" spans="2:18" ht="15" customHeight="1">
      <c r="B392" s="901" t="s">
        <v>5708</v>
      </c>
      <c r="C392" s="898" t="s">
        <v>1105</v>
      </c>
      <c r="D392" s="898" t="s">
        <v>1105</v>
      </c>
      <c r="E392" s="900">
        <v>0</v>
      </c>
      <c r="F392" s="900">
        <f t="shared" si="36"/>
        <v>0</v>
      </c>
      <c r="G392" s="892" t="s">
        <v>364</v>
      </c>
      <c r="H392" s="908" t="str">
        <f t="shared" si="37"/>
        <v>.</v>
      </c>
      <c r="I392" s="901" t="s">
        <v>364</v>
      </c>
      <c r="J392" s="901" t="str">
        <f t="shared" si="38"/>
        <v>.</v>
      </c>
      <c r="K392" s="901" t="s">
        <v>364</v>
      </c>
      <c r="L392" s="905">
        <f t="shared" si="33"/>
        <v>0</v>
      </c>
      <c r="M392" s="909">
        <f>SUMIFS('Bilateral Assistance, MAIN DATA'!M:M,'Bilateral Assistance, MAIN DATA'!I:I,'Price List, Weapons &amp; Items'!B392)</f>
        <v>10</v>
      </c>
      <c r="N392" s="71">
        <f>COUNTIFS('Bilateral Assistance, MAIN DATA'!M:M,"undisclosed",'Bilateral Assistance, MAIN DATA'!I:I,'Price List, Weapons &amp; Items'!B392)</f>
        <v>0</v>
      </c>
      <c r="O392" s="910" t="str">
        <f t="shared" si="34"/>
        <v>no price</v>
      </c>
      <c r="P392" s="71">
        <f>IFERROR(IF(SEARCH(B392,_xlfn.ARRAYTOTEXT('Bilateral Assistance, MAIN DATA'!I$1:I$2206))&gt;0,1,""),0)</f>
        <v>0</v>
      </c>
      <c r="Q392" s="71">
        <f>IFERROR(IF(SEARCH(B392,_xlfn.ARRAYTOTEXT('Commercial Assistance'!I$1:I$1400))&gt;0,1,""),0)</f>
        <v>0</v>
      </c>
      <c r="R392" s="905" t="str">
        <f>IF(SUMIFS('Bilateral Assistance, MAIN DATA'!N:N,'Bilateral Assistance, MAIN DATA'!I:I,'Price List, Weapons &amp; Items'!B392)&gt;M392,1,".")</f>
        <v>.</v>
      </c>
    </row>
    <row r="393" spans="2:18" ht="15" customHeight="1">
      <c r="B393" s="901" t="s">
        <v>1837</v>
      </c>
      <c r="C393" s="898" t="s">
        <v>1105</v>
      </c>
      <c r="D393" s="898" t="s">
        <v>1105</v>
      </c>
      <c r="E393" s="900">
        <v>0</v>
      </c>
      <c r="F393" s="900">
        <f t="shared" si="36"/>
        <v>0</v>
      </c>
      <c r="G393" s="892" t="s">
        <v>364</v>
      </c>
      <c r="H393" s="908" t="str">
        <f t="shared" si="37"/>
        <v>.</v>
      </c>
      <c r="I393" s="913" t="s">
        <v>364</v>
      </c>
      <c r="J393" s="901" t="str">
        <f t="shared" si="38"/>
        <v>.</v>
      </c>
      <c r="K393" s="901" t="s">
        <v>364</v>
      </c>
      <c r="L393" s="905">
        <f t="shared" si="33"/>
        <v>0</v>
      </c>
      <c r="M393" s="909">
        <f>SUMIFS('Bilateral Assistance, MAIN DATA'!M:M,'Bilateral Assistance, MAIN DATA'!I:I,'Price List, Weapons &amp; Items'!B393)</f>
        <v>7</v>
      </c>
      <c r="N393" s="71">
        <f>COUNTIFS('Bilateral Assistance, MAIN DATA'!M:M,"undisclosed",'Bilateral Assistance, MAIN DATA'!I:I,'Price List, Weapons &amp; Items'!B393)</f>
        <v>0</v>
      </c>
      <c r="O393" s="910" t="str">
        <f t="shared" si="34"/>
        <v>no price</v>
      </c>
      <c r="P393" s="71">
        <f>IFERROR(IF(SEARCH(B393,_xlfn.ARRAYTOTEXT('Bilateral Assistance, MAIN DATA'!I$1:I$2206))&gt;0,1,""),0)</f>
        <v>0</v>
      </c>
      <c r="Q393" s="71">
        <f>IFERROR(IF(SEARCH(B393,_xlfn.ARRAYTOTEXT('Commercial Assistance'!I$1:I$1400))&gt;0,1,""),0)</f>
        <v>0</v>
      </c>
      <c r="R393" s="905" t="str">
        <f>IF(SUMIFS('Bilateral Assistance, MAIN DATA'!N:N,'Bilateral Assistance, MAIN DATA'!I:I,'Price List, Weapons &amp; Items'!B393)&gt;M393,1,".")</f>
        <v>.</v>
      </c>
    </row>
    <row r="394" spans="2:18" ht="15" customHeight="1">
      <c r="B394" s="916" t="s">
        <v>1813</v>
      </c>
      <c r="C394" s="898" t="s">
        <v>1105</v>
      </c>
      <c r="D394" s="898" t="s">
        <v>1105</v>
      </c>
      <c r="E394" s="900">
        <v>0</v>
      </c>
      <c r="F394" s="900">
        <f t="shared" si="36"/>
        <v>0</v>
      </c>
      <c r="G394" s="892" t="s">
        <v>364</v>
      </c>
      <c r="H394" s="908" t="str">
        <f t="shared" si="37"/>
        <v>.</v>
      </c>
      <c r="I394" s="913" t="s">
        <v>364</v>
      </c>
      <c r="J394" s="901" t="str">
        <f t="shared" si="38"/>
        <v>.</v>
      </c>
      <c r="K394" s="901" t="s">
        <v>5709</v>
      </c>
      <c r="L394" s="905">
        <f t="shared" si="33"/>
        <v>0</v>
      </c>
      <c r="M394" s="909">
        <f>SUMIFS('Bilateral Assistance, MAIN DATA'!M:M,'Bilateral Assistance, MAIN DATA'!I:I,'Price List, Weapons &amp; Items'!B394)</f>
        <v>12</v>
      </c>
      <c r="N394" s="71">
        <f>COUNTIFS('Bilateral Assistance, MAIN DATA'!M:M,"undisclosed",'Bilateral Assistance, MAIN DATA'!I:I,'Price List, Weapons &amp; Items'!B394)</f>
        <v>0</v>
      </c>
      <c r="O394" s="910" t="str">
        <f t="shared" si="34"/>
        <v>no price</v>
      </c>
      <c r="P394" s="71">
        <f>IFERROR(IF(SEARCH(B394,_xlfn.ARRAYTOTEXT('Bilateral Assistance, MAIN DATA'!I$1:I$2206))&gt;0,1,""),0)</f>
        <v>0</v>
      </c>
      <c r="Q394" s="71">
        <f>IFERROR(IF(SEARCH(B394,_xlfn.ARRAYTOTEXT('Commercial Assistance'!I$1:I$1400))&gt;0,1,""),0)</f>
        <v>0</v>
      </c>
      <c r="R394" s="905" t="str">
        <f>IF(SUMIFS('Bilateral Assistance, MAIN DATA'!N:N,'Bilateral Assistance, MAIN DATA'!I:I,'Price List, Weapons &amp; Items'!B394)&gt;M394,1,".")</f>
        <v>.</v>
      </c>
    </row>
    <row r="395" spans="2:18" ht="15" customHeight="1">
      <c r="B395" s="912" t="s">
        <v>4246</v>
      </c>
      <c r="C395" s="898" t="s">
        <v>1105</v>
      </c>
      <c r="D395" s="898" t="s">
        <v>1105</v>
      </c>
      <c r="E395" s="900">
        <v>0</v>
      </c>
      <c r="F395" s="900">
        <f t="shared" si="36"/>
        <v>0</v>
      </c>
      <c r="G395" s="932" t="s">
        <v>364</v>
      </c>
      <c r="H395" s="908" t="str">
        <f t="shared" si="37"/>
        <v>.</v>
      </c>
      <c r="I395" s="933" t="s">
        <v>5710</v>
      </c>
      <c r="J395" s="901" t="s">
        <v>5075</v>
      </c>
      <c r="K395" s="71" t="s">
        <v>5711</v>
      </c>
      <c r="L395" s="905">
        <f t="shared" si="33"/>
        <v>0</v>
      </c>
      <c r="M395" s="909">
        <f>SUMIFS('Bilateral Assistance, MAIN DATA'!M:M,'Bilateral Assistance, MAIN DATA'!I:I,'Price List, Weapons &amp; Items'!B395)</f>
        <v>20</v>
      </c>
      <c r="N395" s="71">
        <f>COUNTIFS('Bilateral Assistance, MAIN DATA'!M:M,"undisclosed",'Bilateral Assistance, MAIN DATA'!I:I,'Price List, Weapons &amp; Items'!B395)</f>
        <v>0</v>
      </c>
      <c r="O395" s="910" t="str">
        <f t="shared" si="34"/>
        <v>no price</v>
      </c>
      <c r="P395" s="71">
        <f>IFERROR(IF(SEARCH(B395,_xlfn.ARRAYTOTEXT('Bilateral Assistance, MAIN DATA'!I$1:I$2206))&gt;0,1,""),0)</f>
        <v>0</v>
      </c>
      <c r="Q395" s="71">
        <f>IFERROR(IF(SEARCH(B395,_xlfn.ARRAYTOTEXT('Commercial Assistance'!I$1:I$1400))&gt;0,1,""),0)</f>
        <v>0</v>
      </c>
      <c r="R395" s="905" t="str">
        <f>IF(SUMIFS('Bilateral Assistance, MAIN DATA'!N:N,'Bilateral Assistance, MAIN DATA'!I:I,'Price List, Weapons &amp; Items'!B395)&gt;M395,1,".")</f>
        <v>.</v>
      </c>
    </row>
    <row r="396" spans="2:18" ht="15" customHeight="1">
      <c r="B396" s="901" t="s">
        <v>5712</v>
      </c>
      <c r="C396" s="898" t="s">
        <v>1105</v>
      </c>
      <c r="D396" s="898" t="s">
        <v>1105</v>
      </c>
      <c r="E396" s="900">
        <v>0</v>
      </c>
      <c r="F396" s="900">
        <f t="shared" si="36"/>
        <v>0</v>
      </c>
      <c r="G396" s="892" t="s">
        <v>364</v>
      </c>
      <c r="H396" s="908" t="str">
        <f t="shared" si="37"/>
        <v>.</v>
      </c>
      <c r="I396" s="913" t="s">
        <v>364</v>
      </c>
      <c r="J396" s="901" t="str">
        <f t="shared" si="38"/>
        <v>.</v>
      </c>
      <c r="K396" s="901" t="s">
        <v>5713</v>
      </c>
      <c r="L396" s="905">
        <f t="shared" ref="L396:L459" si="39">IF(C396="Humanitarian",0,IF(M396&gt;0,IF(TYPE(O396)=1,IF(O396&gt;MEDIAN(O:O),2,1),0),"no price, 0 count"))</f>
        <v>0</v>
      </c>
      <c r="M396" s="909">
        <f>SUMIFS('Bilateral Assistance, MAIN DATA'!M:M,'Bilateral Assistance, MAIN DATA'!I:I,'Price List, Weapons &amp; Items'!B396)</f>
        <v>40</v>
      </c>
      <c r="N396" s="71">
        <f>COUNTIFS('Bilateral Assistance, MAIN DATA'!M:M,"undisclosed",'Bilateral Assistance, MAIN DATA'!I:I,'Price List, Weapons &amp; Items'!B396)</f>
        <v>0</v>
      </c>
      <c r="O396" s="910" t="str">
        <f t="shared" ref="O396:O457" si="40">IFERROR(M396*G396,"no price")</f>
        <v>no price</v>
      </c>
      <c r="P396" s="71">
        <f>IFERROR(IF(SEARCH(B396,_xlfn.ARRAYTOTEXT('Bilateral Assistance, MAIN DATA'!I$1:I$2206))&gt;0,1,""),0)</f>
        <v>0</v>
      </c>
      <c r="Q396" s="71">
        <f>IFERROR(IF(SEARCH(B396,_xlfn.ARRAYTOTEXT('Commercial Assistance'!I$1:I$1400))&gt;0,1,""),0)</f>
        <v>0</v>
      </c>
      <c r="R396" s="905" t="str">
        <f>IF(SUMIFS('Bilateral Assistance, MAIN DATA'!N:N,'Bilateral Assistance, MAIN DATA'!I:I,'Price List, Weapons &amp; Items'!B396)&gt;M396,1,".")</f>
        <v>.</v>
      </c>
    </row>
    <row r="397" spans="2:18" ht="15" customHeight="1">
      <c r="B397" s="912" t="s">
        <v>4250</v>
      </c>
      <c r="C397" s="898" t="s">
        <v>1105</v>
      </c>
      <c r="D397" s="898" t="s">
        <v>1105</v>
      </c>
      <c r="E397" s="900">
        <v>0</v>
      </c>
      <c r="F397" s="900">
        <f t="shared" si="36"/>
        <v>0</v>
      </c>
      <c r="G397" s="932" t="s">
        <v>364</v>
      </c>
      <c r="H397" s="908" t="str">
        <f t="shared" si="37"/>
        <v>.</v>
      </c>
      <c r="I397" s="933" t="s">
        <v>5714</v>
      </c>
      <c r="J397" s="901" t="s">
        <v>5075</v>
      </c>
      <c r="K397" s="71" t="s">
        <v>5715</v>
      </c>
      <c r="L397" s="905">
        <f t="shared" si="39"/>
        <v>0</v>
      </c>
      <c r="M397" s="909">
        <f>SUMIFS('Bilateral Assistance, MAIN DATA'!M:M,'Bilateral Assistance, MAIN DATA'!I:I,'Price List, Weapons &amp; Items'!B397)</f>
        <v>16</v>
      </c>
      <c r="N397" s="71">
        <f>COUNTIFS('Bilateral Assistance, MAIN DATA'!M:M,"undisclosed",'Bilateral Assistance, MAIN DATA'!I:I,'Price List, Weapons &amp; Items'!B397)</f>
        <v>0</v>
      </c>
      <c r="O397" s="910" t="str">
        <f t="shared" si="40"/>
        <v>no price</v>
      </c>
      <c r="P397" s="71">
        <f>IFERROR(IF(SEARCH(B397,_xlfn.ARRAYTOTEXT('Bilateral Assistance, MAIN DATA'!I$1:I$2206))&gt;0,1,""),0)</f>
        <v>0</v>
      </c>
      <c r="Q397" s="71">
        <f>IFERROR(IF(SEARCH(B397,_xlfn.ARRAYTOTEXT('Commercial Assistance'!I$1:I$1400))&gt;0,1,""),0)</f>
        <v>0</v>
      </c>
      <c r="R397" s="905" t="str">
        <f>IF(SUMIFS('Bilateral Assistance, MAIN DATA'!N:N,'Bilateral Assistance, MAIN DATA'!I:I,'Price List, Weapons &amp; Items'!B397)&gt;M397,1,".")</f>
        <v>.</v>
      </c>
    </row>
    <row r="398" spans="2:18" ht="15" customHeight="1">
      <c r="B398" s="901" t="s">
        <v>5716</v>
      </c>
      <c r="C398" s="898" t="s">
        <v>360</v>
      </c>
      <c r="D398" s="898" t="s">
        <v>360</v>
      </c>
      <c r="E398" s="900">
        <v>0</v>
      </c>
      <c r="F398" s="900">
        <f t="shared" si="36"/>
        <v>0</v>
      </c>
      <c r="G398" s="892" t="s">
        <v>364</v>
      </c>
      <c r="H398" s="908" t="str">
        <f t="shared" si="37"/>
        <v>.</v>
      </c>
      <c r="I398" s="901" t="s">
        <v>364</v>
      </c>
      <c r="J398" s="901" t="str">
        <f t="shared" si="38"/>
        <v>.</v>
      </c>
      <c r="K398" s="901" t="s">
        <v>364</v>
      </c>
      <c r="L398" s="905">
        <f t="shared" si="39"/>
        <v>0</v>
      </c>
      <c r="M398" s="909">
        <f>SUMIFS('Bilateral Assistance, MAIN DATA'!M:M,'Bilateral Assistance, MAIN DATA'!I:I,'Price List, Weapons &amp; Items'!B398)</f>
        <v>100</v>
      </c>
      <c r="N398" s="71">
        <f>COUNTIFS('Bilateral Assistance, MAIN DATA'!M:M,"undisclosed",'Bilateral Assistance, MAIN DATA'!I:I,'Price List, Weapons &amp; Items'!B398)</f>
        <v>0</v>
      </c>
      <c r="O398" s="910" t="str">
        <f t="shared" si="40"/>
        <v>no price</v>
      </c>
      <c r="P398" s="71">
        <f>IFERROR(IF(SEARCH(B398,_xlfn.ARRAYTOTEXT('Bilateral Assistance, MAIN DATA'!I$1:I$2206))&gt;0,1,""),0)</f>
        <v>0</v>
      </c>
      <c r="Q398" s="71">
        <f>IFERROR(IF(SEARCH(B398,_xlfn.ARRAYTOTEXT('Commercial Assistance'!I$1:I$1400))&gt;0,1,""),0)</f>
        <v>0</v>
      </c>
      <c r="R398" s="905" t="str">
        <f>IF(SUMIFS('Bilateral Assistance, MAIN DATA'!N:N,'Bilateral Assistance, MAIN DATA'!I:I,'Price List, Weapons &amp; Items'!B398)&gt;M398,1,".")</f>
        <v>.</v>
      </c>
    </row>
    <row r="399" spans="2:18" ht="15" customHeight="1">
      <c r="B399" s="901" t="s">
        <v>1539</v>
      </c>
      <c r="C399" s="898" t="s">
        <v>1105</v>
      </c>
      <c r="D399" s="899" t="s">
        <v>5298</v>
      </c>
      <c r="E399" s="900">
        <v>0</v>
      </c>
      <c r="F399" s="900">
        <f t="shared" si="36"/>
        <v>0</v>
      </c>
      <c r="G399" s="892" t="s">
        <v>364</v>
      </c>
      <c r="H399" s="908" t="str">
        <f t="shared" si="37"/>
        <v>.</v>
      </c>
      <c r="I399" s="901" t="s">
        <v>364</v>
      </c>
      <c r="J399" s="901" t="str">
        <f t="shared" si="38"/>
        <v>.</v>
      </c>
      <c r="K399" s="901" t="s">
        <v>5717</v>
      </c>
      <c r="L399" s="905">
        <f t="shared" si="39"/>
        <v>0</v>
      </c>
      <c r="M399" s="909">
        <f>SUMIFS('Bilateral Assistance, MAIN DATA'!M:M,'Bilateral Assistance, MAIN DATA'!I:I,'Price List, Weapons &amp; Items'!B399)</f>
        <v>53</v>
      </c>
      <c r="N399" s="71">
        <f>COUNTIFS('Bilateral Assistance, MAIN DATA'!M:M,"undisclosed",'Bilateral Assistance, MAIN DATA'!I:I,'Price List, Weapons &amp; Items'!B399)</f>
        <v>0</v>
      </c>
      <c r="O399" s="910" t="str">
        <f t="shared" si="40"/>
        <v>no price</v>
      </c>
      <c r="P399" s="71">
        <f>IFERROR(IF(SEARCH(B399,_xlfn.ARRAYTOTEXT('Bilateral Assistance, MAIN DATA'!I$1:I$2206))&gt;0,1,""),0)</f>
        <v>0</v>
      </c>
      <c r="Q399" s="71">
        <f>IFERROR(IF(SEARCH(B399,_xlfn.ARRAYTOTEXT('Commercial Assistance'!I$1:I$1400))&gt;0,1,""),0)</f>
        <v>0</v>
      </c>
      <c r="R399" s="905" t="str">
        <f>IF(SUMIFS('Bilateral Assistance, MAIN DATA'!N:N,'Bilateral Assistance, MAIN DATA'!I:I,'Price List, Weapons &amp; Items'!B399)&gt;M399,1,".")</f>
        <v>.</v>
      </c>
    </row>
    <row r="400" spans="2:18" ht="15" customHeight="1">
      <c r="B400" s="914" t="s">
        <v>3238</v>
      </c>
      <c r="C400" s="898" t="s">
        <v>360</v>
      </c>
      <c r="D400" s="898" t="s">
        <v>360</v>
      </c>
      <c r="E400" s="900">
        <v>0</v>
      </c>
      <c r="F400" s="900">
        <f t="shared" si="36"/>
        <v>0</v>
      </c>
      <c r="G400" s="892" t="s">
        <v>364</v>
      </c>
      <c r="H400" s="908" t="str">
        <f t="shared" si="37"/>
        <v>.</v>
      </c>
      <c r="I400" s="913" t="s">
        <v>364</v>
      </c>
      <c r="J400" s="901" t="str">
        <f t="shared" si="38"/>
        <v>.</v>
      </c>
      <c r="K400" s="901" t="s">
        <v>364</v>
      </c>
      <c r="L400" s="905">
        <f t="shared" si="39"/>
        <v>0</v>
      </c>
      <c r="M400" s="909">
        <f>SUMIFS('Bilateral Assistance, MAIN DATA'!M:M,'Bilateral Assistance, MAIN DATA'!I:I,'Price List, Weapons &amp; Items'!B400)</f>
        <v>0</v>
      </c>
      <c r="N400" s="71">
        <f>COUNTIFS('Bilateral Assistance, MAIN DATA'!M:M,"undisclosed",'Bilateral Assistance, MAIN DATA'!I:I,'Price List, Weapons &amp; Items'!B400)</f>
        <v>6</v>
      </c>
      <c r="O400" s="910" t="str">
        <f t="shared" si="40"/>
        <v>no price</v>
      </c>
      <c r="P400" s="71">
        <f>IFERROR(IF(SEARCH(B400,_xlfn.ARRAYTOTEXT('Bilateral Assistance, MAIN DATA'!I$1:I$2206))&gt;0,1,""),0)</f>
        <v>0</v>
      </c>
      <c r="Q400" s="71">
        <f>IFERROR(IF(SEARCH(B400,_xlfn.ARRAYTOTEXT('Commercial Assistance'!I$1:I$1400))&gt;0,1,""),0)</f>
        <v>0</v>
      </c>
      <c r="R400" s="905" t="str">
        <f>IF(SUMIFS('Bilateral Assistance, MAIN DATA'!N:N,'Bilateral Assistance, MAIN DATA'!I:I,'Price List, Weapons &amp; Items'!B400)&gt;M400,1,".")</f>
        <v>.</v>
      </c>
    </row>
    <row r="401" spans="2:18" ht="15" customHeight="1">
      <c r="B401" s="901" t="s">
        <v>5718</v>
      </c>
      <c r="C401" s="898" t="s">
        <v>360</v>
      </c>
      <c r="D401" s="898" t="s">
        <v>360</v>
      </c>
      <c r="E401" s="900">
        <v>0</v>
      </c>
      <c r="F401" s="900">
        <f t="shared" si="36"/>
        <v>0</v>
      </c>
      <c r="G401" s="892" t="s">
        <v>364</v>
      </c>
      <c r="H401" s="908" t="str">
        <f t="shared" si="37"/>
        <v>.</v>
      </c>
      <c r="I401" s="901" t="s">
        <v>364</v>
      </c>
      <c r="J401" s="901" t="str">
        <f t="shared" si="38"/>
        <v>.</v>
      </c>
      <c r="K401" s="901" t="s">
        <v>364</v>
      </c>
      <c r="L401" s="905">
        <f t="shared" si="39"/>
        <v>0</v>
      </c>
      <c r="M401" s="909">
        <f>SUMIFS('Bilateral Assistance, MAIN DATA'!M:M,'Bilateral Assistance, MAIN DATA'!I:I,'Price List, Weapons &amp; Items'!B401)</f>
        <v>5000</v>
      </c>
      <c r="N401" s="71">
        <f>COUNTIFS('Bilateral Assistance, MAIN DATA'!M:M,"undisclosed",'Bilateral Assistance, MAIN DATA'!I:I,'Price List, Weapons &amp; Items'!B401)</f>
        <v>0</v>
      </c>
      <c r="O401" s="910" t="str">
        <f t="shared" si="40"/>
        <v>no price</v>
      </c>
      <c r="P401" s="71">
        <f>IFERROR(IF(SEARCH(B401,_xlfn.ARRAYTOTEXT('Bilateral Assistance, MAIN DATA'!I$1:I$2206))&gt;0,1,""),0)</f>
        <v>0</v>
      </c>
      <c r="Q401" s="71">
        <f>IFERROR(IF(SEARCH(B401,_xlfn.ARRAYTOTEXT('Commercial Assistance'!I$1:I$1400))&gt;0,1,""),0)</f>
        <v>0</v>
      </c>
      <c r="R401" s="905" t="str">
        <f>IF(SUMIFS('Bilateral Assistance, MAIN DATA'!N:N,'Bilateral Assistance, MAIN DATA'!I:I,'Price List, Weapons &amp; Items'!B401)&gt;M401,1,".")</f>
        <v>.</v>
      </c>
    </row>
    <row r="402" spans="2:18" ht="15" customHeight="1">
      <c r="B402" s="901" t="s">
        <v>989</v>
      </c>
      <c r="C402" s="898" t="s">
        <v>360</v>
      </c>
      <c r="D402" s="898" t="s">
        <v>360</v>
      </c>
      <c r="E402" s="900">
        <v>0</v>
      </c>
      <c r="F402" s="900">
        <f t="shared" si="36"/>
        <v>0</v>
      </c>
      <c r="G402" s="892" t="s">
        <v>364</v>
      </c>
      <c r="H402" s="908" t="str">
        <f t="shared" si="37"/>
        <v>.</v>
      </c>
      <c r="I402" s="886" t="s">
        <v>5719</v>
      </c>
      <c r="J402" s="901" t="s">
        <v>5080</v>
      </c>
      <c r="K402" s="901" t="s">
        <v>5720</v>
      </c>
      <c r="L402" s="905">
        <f t="shared" si="39"/>
        <v>0</v>
      </c>
      <c r="M402" s="909">
        <f>SUMIFS('Bilateral Assistance, MAIN DATA'!M:M,'Bilateral Assistance, MAIN DATA'!I:I,'Price List, Weapons &amp; Items'!B402)</f>
        <v>1644</v>
      </c>
      <c r="N402" s="71">
        <f>COUNTIFS('Bilateral Assistance, MAIN DATA'!M:M,"undisclosed",'Bilateral Assistance, MAIN DATA'!I:I,'Price List, Weapons &amp; Items'!B402)</f>
        <v>3</v>
      </c>
      <c r="O402" s="910" t="str">
        <f t="shared" si="40"/>
        <v>no price</v>
      </c>
      <c r="P402" s="71">
        <f>IFERROR(IF(SEARCH(B402,_xlfn.ARRAYTOTEXT('Bilateral Assistance, MAIN DATA'!I$1:I$2206))&gt;0,1,""),0)</f>
        <v>0</v>
      </c>
      <c r="Q402" s="71">
        <f>IFERROR(IF(SEARCH(B402,_xlfn.ARRAYTOTEXT('Commercial Assistance'!I$1:I$1400))&gt;0,1,""),0)</f>
        <v>0</v>
      </c>
      <c r="R402" s="905" t="str">
        <f>IF(SUMIFS('Bilateral Assistance, MAIN DATA'!N:N,'Bilateral Assistance, MAIN DATA'!I:I,'Price List, Weapons &amp; Items'!B402)&gt;M402,1,".")</f>
        <v>.</v>
      </c>
    </row>
    <row r="403" spans="2:18" ht="15" customHeight="1">
      <c r="B403" s="901" t="s">
        <v>5721</v>
      </c>
      <c r="C403" s="898" t="s">
        <v>1105</v>
      </c>
      <c r="D403" s="898" t="s">
        <v>1105</v>
      </c>
      <c r="E403" s="900">
        <v>0</v>
      </c>
      <c r="F403" s="900">
        <f t="shared" si="36"/>
        <v>0</v>
      </c>
      <c r="G403" s="71" t="s">
        <v>364</v>
      </c>
      <c r="H403" s="908" t="str">
        <f t="shared" si="37"/>
        <v>.</v>
      </c>
      <c r="I403" s="924" t="s">
        <v>5722</v>
      </c>
      <c r="J403" s="901" t="s">
        <v>5075</v>
      </c>
      <c r="K403" s="71" t="s">
        <v>5723</v>
      </c>
      <c r="L403" s="905">
        <f t="shared" si="39"/>
        <v>0</v>
      </c>
      <c r="M403" s="909">
        <f>SUMIFS('Bilateral Assistance, MAIN DATA'!M:M,'Bilateral Assistance, MAIN DATA'!I:I,'Price List, Weapons &amp; Items'!B403)</f>
        <v>2000</v>
      </c>
      <c r="N403" s="71">
        <f>COUNTIFS('Bilateral Assistance, MAIN DATA'!M:M,"undisclosed",'Bilateral Assistance, MAIN DATA'!I:I,'Price List, Weapons &amp; Items'!B403)</f>
        <v>1</v>
      </c>
      <c r="O403" s="910" t="str">
        <f t="shared" si="40"/>
        <v>no price</v>
      </c>
      <c r="P403" s="71">
        <f>IFERROR(IF(SEARCH(B403,_xlfn.ARRAYTOTEXT('Bilateral Assistance, MAIN DATA'!I$1:I$2206))&gt;0,1,""),0)</f>
        <v>0</v>
      </c>
      <c r="Q403" s="71">
        <f>IFERROR(IF(SEARCH(B403,_xlfn.ARRAYTOTEXT('Commercial Assistance'!I$1:I$1400))&gt;0,1,""),0)</f>
        <v>0</v>
      </c>
      <c r="R403" s="905" t="str">
        <f>IF(SUMIFS('Bilateral Assistance, MAIN DATA'!N:N,'Bilateral Assistance, MAIN DATA'!I:I,'Price List, Weapons &amp; Items'!B403)&gt;M403,1,".")</f>
        <v>.</v>
      </c>
    </row>
    <row r="404" spans="2:18" ht="15" customHeight="1">
      <c r="B404" s="901" t="s">
        <v>3593</v>
      </c>
      <c r="C404" s="898" t="s">
        <v>5062</v>
      </c>
      <c r="D404" s="899" t="s">
        <v>5320</v>
      </c>
      <c r="E404" s="900">
        <v>0</v>
      </c>
      <c r="F404" s="900">
        <f t="shared" si="36"/>
        <v>0</v>
      </c>
      <c r="G404" s="892">
        <v>93090</v>
      </c>
      <c r="H404" s="900" t="s">
        <v>456</v>
      </c>
      <c r="I404" s="886" t="s">
        <v>5133</v>
      </c>
      <c r="J404" s="901" t="s">
        <v>5119</v>
      </c>
      <c r="K404" s="901" t="s">
        <v>5724</v>
      </c>
      <c r="L404" s="905">
        <f t="shared" si="39"/>
        <v>1</v>
      </c>
      <c r="M404" s="909">
        <f>SUMIFS('Bilateral Assistance, MAIN DATA'!M:M,'Bilateral Assistance, MAIN DATA'!I:I,'Price List, Weapons &amp; Items'!B404)</f>
        <v>1</v>
      </c>
      <c r="N404" s="71">
        <f>COUNTIFS('Bilateral Assistance, MAIN DATA'!M:M,"undisclosed",'Bilateral Assistance, MAIN DATA'!I:I,'Price List, Weapons &amp; Items'!B404)</f>
        <v>0</v>
      </c>
      <c r="O404" s="910">
        <f t="shared" si="40"/>
        <v>93090</v>
      </c>
      <c r="P404" s="71">
        <f>IFERROR(IF(SEARCH(B404,_xlfn.ARRAYTOTEXT('Bilateral Assistance, MAIN DATA'!I$1:I$2206))&gt;0,1,""),0)</f>
        <v>0</v>
      </c>
      <c r="Q404" s="71">
        <f>IFERROR(IF(SEARCH(B404,_xlfn.ARRAYTOTEXT('Commercial Assistance'!I$1:I$1400))&gt;0,1,""),0)</f>
        <v>0</v>
      </c>
      <c r="R404" s="905" t="str">
        <f>IF(SUMIFS('Bilateral Assistance, MAIN DATA'!N:N,'Bilateral Assistance, MAIN DATA'!I:I,'Price List, Weapons &amp; Items'!B404)&gt;M404,1,".")</f>
        <v>.</v>
      </c>
    </row>
    <row r="405" spans="2:18" ht="15" customHeight="1">
      <c r="B405" s="901" t="s">
        <v>5725</v>
      </c>
      <c r="C405" s="898" t="s">
        <v>360</v>
      </c>
      <c r="D405" s="898" t="s">
        <v>360</v>
      </c>
      <c r="E405" s="900">
        <v>0</v>
      </c>
      <c r="F405" s="900">
        <f t="shared" si="36"/>
        <v>0</v>
      </c>
      <c r="G405" s="892" t="s">
        <v>364</v>
      </c>
      <c r="H405" s="908" t="str">
        <f t="shared" si="37"/>
        <v>.</v>
      </c>
      <c r="I405" s="913" t="s">
        <v>364</v>
      </c>
      <c r="J405" s="901" t="str">
        <f t="shared" ref="J405:J409" si="41">IF(I405&lt;&gt;".",".",".")</f>
        <v>.</v>
      </c>
      <c r="K405" s="901" t="s">
        <v>364</v>
      </c>
      <c r="L405" s="905">
        <f t="shared" si="39"/>
        <v>0</v>
      </c>
      <c r="M405" s="909">
        <f>SUMIFS('Bilateral Assistance, MAIN DATA'!M:M,'Bilateral Assistance, MAIN DATA'!I:I,'Price List, Weapons &amp; Items'!B405)</f>
        <v>600000</v>
      </c>
      <c r="N405" s="71">
        <f>COUNTIFS('Bilateral Assistance, MAIN DATA'!M:M,"undisclosed",'Bilateral Assistance, MAIN DATA'!I:I,'Price List, Weapons &amp; Items'!B405)</f>
        <v>0</v>
      </c>
      <c r="O405" s="910" t="str">
        <f t="shared" si="40"/>
        <v>no price</v>
      </c>
      <c r="P405" s="71">
        <f>IFERROR(IF(SEARCH(B405,_xlfn.ARRAYTOTEXT('Bilateral Assistance, MAIN DATA'!I$1:I$2206))&gt;0,1,""),0)</f>
        <v>0</v>
      </c>
      <c r="Q405" s="71">
        <f>IFERROR(IF(SEARCH(B405,_xlfn.ARRAYTOTEXT('Commercial Assistance'!I$1:I$1400))&gt;0,1,""),0)</f>
        <v>0</v>
      </c>
      <c r="R405" s="905" t="str">
        <f>IF(SUMIFS('Bilateral Assistance, MAIN DATA'!N:N,'Bilateral Assistance, MAIN DATA'!I:I,'Price List, Weapons &amp; Items'!B405)&gt;M405,1,".")</f>
        <v>.</v>
      </c>
    </row>
    <row r="406" spans="2:18" ht="15" customHeight="1">
      <c r="B406" s="901" t="s">
        <v>5726</v>
      </c>
      <c r="C406" s="898" t="s">
        <v>360</v>
      </c>
      <c r="D406" s="898" t="s">
        <v>360</v>
      </c>
      <c r="E406" s="900">
        <v>0</v>
      </c>
      <c r="F406" s="900">
        <f t="shared" si="36"/>
        <v>0</v>
      </c>
      <c r="G406" s="892" t="s">
        <v>364</v>
      </c>
      <c r="H406" s="908" t="str">
        <f t="shared" si="37"/>
        <v>.</v>
      </c>
      <c r="I406" s="913" t="s">
        <v>364</v>
      </c>
      <c r="J406" s="901" t="str">
        <f t="shared" si="41"/>
        <v>.</v>
      </c>
      <c r="K406" s="901" t="s">
        <v>364</v>
      </c>
      <c r="L406" s="905">
        <f t="shared" si="39"/>
        <v>0</v>
      </c>
      <c r="M406" s="909">
        <f>SUMIFS('Bilateral Assistance, MAIN DATA'!M:M,'Bilateral Assistance, MAIN DATA'!I:I,'Price List, Weapons &amp; Items'!B406)</f>
        <v>3</v>
      </c>
      <c r="N406" s="71">
        <f>COUNTIFS('Bilateral Assistance, MAIN DATA'!M:M,"undisclosed",'Bilateral Assistance, MAIN DATA'!I:I,'Price List, Weapons &amp; Items'!B406)</f>
        <v>0</v>
      </c>
      <c r="O406" s="910" t="str">
        <f t="shared" si="40"/>
        <v>no price</v>
      </c>
      <c r="P406" s="71">
        <f>IFERROR(IF(SEARCH(B406,_xlfn.ARRAYTOTEXT('Bilateral Assistance, MAIN DATA'!I$1:I$2206))&gt;0,1,""),0)</f>
        <v>0</v>
      </c>
      <c r="Q406" s="71">
        <f>IFERROR(IF(SEARCH(B406,_xlfn.ARRAYTOTEXT('Commercial Assistance'!I$1:I$1400))&gt;0,1,""),0)</f>
        <v>0</v>
      </c>
      <c r="R406" s="905" t="str">
        <f>IF(SUMIFS('Bilateral Assistance, MAIN DATA'!N:N,'Bilateral Assistance, MAIN DATA'!I:I,'Price List, Weapons &amp; Items'!B406)&gt;M406,1,".")</f>
        <v>.</v>
      </c>
    </row>
    <row r="407" spans="2:18" ht="15" customHeight="1">
      <c r="B407" s="901" t="s">
        <v>1552</v>
      </c>
      <c r="C407" s="898" t="s">
        <v>360</v>
      </c>
      <c r="D407" s="898" t="s">
        <v>360</v>
      </c>
      <c r="E407" s="900">
        <v>0</v>
      </c>
      <c r="F407" s="900">
        <f t="shared" si="36"/>
        <v>0</v>
      </c>
      <c r="G407" s="892" t="s">
        <v>364</v>
      </c>
      <c r="H407" s="908" t="str">
        <f t="shared" si="37"/>
        <v>.</v>
      </c>
      <c r="I407" s="913" t="s">
        <v>364</v>
      </c>
      <c r="J407" s="901" t="str">
        <f t="shared" si="41"/>
        <v>.</v>
      </c>
      <c r="K407" s="901" t="s">
        <v>364</v>
      </c>
      <c r="L407" s="905">
        <f t="shared" si="39"/>
        <v>0</v>
      </c>
      <c r="M407" s="909">
        <f>SUMIFS('Bilateral Assistance, MAIN DATA'!M:M,'Bilateral Assistance, MAIN DATA'!I:I,'Price List, Weapons &amp; Items'!B407)</f>
        <v>50</v>
      </c>
      <c r="N407" s="71">
        <f>COUNTIFS('Bilateral Assistance, MAIN DATA'!M:M,"undisclosed",'Bilateral Assistance, MAIN DATA'!I:I,'Price List, Weapons &amp; Items'!B407)</f>
        <v>1</v>
      </c>
      <c r="O407" s="910" t="str">
        <f t="shared" si="40"/>
        <v>no price</v>
      </c>
      <c r="P407" s="71">
        <f>IFERROR(IF(SEARCH(B407,_xlfn.ARRAYTOTEXT('Bilateral Assistance, MAIN DATA'!I$1:I$2206))&gt;0,1,""),0)</f>
        <v>0</v>
      </c>
      <c r="Q407" s="71">
        <f>IFERROR(IF(SEARCH(B407,_xlfn.ARRAYTOTEXT('Commercial Assistance'!I$1:I$1400))&gt;0,1,""),0)</f>
        <v>0</v>
      </c>
      <c r="R407" s="905" t="str">
        <f>IF(SUMIFS('Bilateral Assistance, MAIN DATA'!N:N,'Bilateral Assistance, MAIN DATA'!I:I,'Price List, Weapons &amp; Items'!B407)&gt;M407,1,".")</f>
        <v>.</v>
      </c>
    </row>
    <row r="408" spans="2:18" ht="15" customHeight="1">
      <c r="B408" s="901" t="s">
        <v>1290</v>
      </c>
      <c r="C408" s="898" t="s">
        <v>1105</v>
      </c>
      <c r="D408" s="898" t="s">
        <v>1105</v>
      </c>
      <c r="E408" s="900">
        <v>0</v>
      </c>
      <c r="F408" s="900">
        <f t="shared" si="36"/>
        <v>0</v>
      </c>
      <c r="G408" s="892" t="s">
        <v>364</v>
      </c>
      <c r="H408" s="908" t="str">
        <f t="shared" si="37"/>
        <v>.</v>
      </c>
      <c r="I408" s="913" t="s">
        <v>364</v>
      </c>
      <c r="J408" s="901" t="str">
        <f t="shared" si="41"/>
        <v>.</v>
      </c>
      <c r="K408" s="901" t="s">
        <v>364</v>
      </c>
      <c r="L408" s="905">
        <f t="shared" si="39"/>
        <v>0</v>
      </c>
      <c r="M408" s="909">
        <f>SUMIFS('Bilateral Assistance, MAIN DATA'!M:M,'Bilateral Assistance, MAIN DATA'!I:I,'Price List, Weapons &amp; Items'!B408)</f>
        <v>23</v>
      </c>
      <c r="N408" s="71">
        <f>COUNTIFS('Bilateral Assistance, MAIN DATA'!M:M,"undisclosed",'Bilateral Assistance, MAIN DATA'!I:I,'Price List, Weapons &amp; Items'!B408)</f>
        <v>0</v>
      </c>
      <c r="O408" s="910" t="str">
        <f t="shared" si="40"/>
        <v>no price</v>
      </c>
      <c r="P408" s="71">
        <f>IFERROR(IF(SEARCH(B408,_xlfn.ARRAYTOTEXT('Bilateral Assistance, MAIN DATA'!I$1:I$2206))&gt;0,1,""),0)</f>
        <v>0</v>
      </c>
      <c r="Q408" s="71">
        <f>IFERROR(IF(SEARCH(B408,_xlfn.ARRAYTOTEXT('Commercial Assistance'!I$1:I$1400))&gt;0,1,""),0)</f>
        <v>0</v>
      </c>
      <c r="R408" s="905" t="str">
        <f>IF(SUMIFS('Bilateral Assistance, MAIN DATA'!N:N,'Bilateral Assistance, MAIN DATA'!I:I,'Price List, Weapons &amp; Items'!B408)&gt;M408,1,".")</f>
        <v>.</v>
      </c>
    </row>
    <row r="409" spans="2:18" ht="15" customHeight="1">
      <c r="B409" s="916" t="s">
        <v>1847</v>
      </c>
      <c r="C409" s="898" t="s">
        <v>1105</v>
      </c>
      <c r="D409" s="899" t="s">
        <v>5298</v>
      </c>
      <c r="E409" s="900">
        <v>0</v>
      </c>
      <c r="F409" s="900">
        <f t="shared" si="36"/>
        <v>0</v>
      </c>
      <c r="G409" s="892" t="s">
        <v>364</v>
      </c>
      <c r="H409" s="908" t="str">
        <f t="shared" si="37"/>
        <v>.</v>
      </c>
      <c r="I409" s="913" t="s">
        <v>364</v>
      </c>
      <c r="J409" s="901" t="str">
        <f t="shared" si="41"/>
        <v>.</v>
      </c>
      <c r="K409" s="901" t="s">
        <v>364</v>
      </c>
      <c r="L409" s="905">
        <f t="shared" si="39"/>
        <v>0</v>
      </c>
      <c r="M409" s="909">
        <f>SUMIFS('Bilateral Assistance, MAIN DATA'!M:M,'Bilateral Assistance, MAIN DATA'!I:I,'Price List, Weapons &amp; Items'!B409)</f>
        <v>2</v>
      </c>
      <c r="N409" s="71">
        <f>COUNTIFS('Bilateral Assistance, MAIN DATA'!M:M,"undisclosed",'Bilateral Assistance, MAIN DATA'!I:I,'Price List, Weapons &amp; Items'!B409)</f>
        <v>0</v>
      </c>
      <c r="O409" s="910" t="str">
        <f t="shared" si="40"/>
        <v>no price</v>
      </c>
      <c r="P409" s="71">
        <f>IFERROR(IF(SEARCH(B409,_xlfn.ARRAYTOTEXT('Bilateral Assistance, MAIN DATA'!I$1:I$2206))&gt;0,1,""),0)</f>
        <v>0</v>
      </c>
      <c r="Q409" s="71">
        <f>IFERROR(IF(SEARCH(B409,_xlfn.ARRAYTOTEXT('Commercial Assistance'!I$1:I$1400))&gt;0,1,""),0)</f>
        <v>0</v>
      </c>
      <c r="R409" s="905" t="str">
        <f>IF(SUMIFS('Bilateral Assistance, MAIN DATA'!N:N,'Bilateral Assistance, MAIN DATA'!I:I,'Price List, Weapons &amp; Items'!B409)&gt;M409,1,".")</f>
        <v>.</v>
      </c>
    </row>
    <row r="410" spans="2:18" ht="15" customHeight="1">
      <c r="B410" s="901" t="s">
        <v>1844</v>
      </c>
      <c r="C410" s="898" t="s">
        <v>1105</v>
      </c>
      <c r="D410" s="899" t="s">
        <v>5298</v>
      </c>
      <c r="E410" s="900">
        <v>0</v>
      </c>
      <c r="F410" s="900">
        <f t="shared" si="36"/>
        <v>0</v>
      </c>
      <c r="G410" s="892" t="s">
        <v>364</v>
      </c>
      <c r="H410" s="908" t="str">
        <f>IF(G410&lt;&gt;".","USD",".")</f>
        <v>.</v>
      </c>
      <c r="I410" s="913" t="s">
        <v>364</v>
      </c>
      <c r="J410" s="901" t="str">
        <f>IF(I410&lt;&gt;".",".",".")</f>
        <v>.</v>
      </c>
      <c r="K410" s="901" t="s">
        <v>364</v>
      </c>
      <c r="L410" s="905">
        <f t="shared" si="39"/>
        <v>0</v>
      </c>
      <c r="M410" s="909">
        <f>SUMIFS('Bilateral Assistance, MAIN DATA'!M:M,'Bilateral Assistance, MAIN DATA'!I:I,'Price List, Weapons &amp; Items'!B410)</f>
        <v>164</v>
      </c>
      <c r="N410" s="71">
        <f>COUNTIFS('Bilateral Assistance, MAIN DATA'!M:M,"undisclosed",'Bilateral Assistance, MAIN DATA'!I:I,'Price List, Weapons &amp; Items'!B410)</f>
        <v>0</v>
      </c>
      <c r="O410" s="910" t="str">
        <f t="shared" si="40"/>
        <v>no price</v>
      </c>
      <c r="P410" s="71">
        <f>IFERROR(IF(SEARCH(B410,_xlfn.ARRAYTOTEXT('Bilateral Assistance, MAIN DATA'!I$1:I$2206))&gt;0,1,""),0)</f>
        <v>0</v>
      </c>
      <c r="Q410" s="71">
        <f>IFERROR(IF(SEARCH(B410,_xlfn.ARRAYTOTEXT('Commercial Assistance'!I$1:I$1400))&gt;0,1,""),0)</f>
        <v>0</v>
      </c>
      <c r="R410" s="905" t="str">
        <f>IF(SUMIFS('Bilateral Assistance, MAIN DATA'!N:N,'Bilateral Assistance, MAIN DATA'!I:I,'Price List, Weapons &amp; Items'!B410)&gt;M410,1,".")</f>
        <v>.</v>
      </c>
    </row>
    <row r="411" spans="2:18" ht="15" customHeight="1">
      <c r="B411" s="901" t="s">
        <v>5727</v>
      </c>
      <c r="C411" s="898" t="s">
        <v>1105</v>
      </c>
      <c r="D411" s="899" t="s">
        <v>5298</v>
      </c>
      <c r="E411" s="900">
        <v>0</v>
      </c>
      <c r="F411" s="900">
        <f t="shared" si="36"/>
        <v>0</v>
      </c>
      <c r="G411" s="892">
        <v>50000</v>
      </c>
      <c r="H411" s="908" t="str">
        <f>IF(G411&lt;&gt;".","USD",".")</f>
        <v>USD</v>
      </c>
      <c r="I411" s="924" t="s">
        <v>5728</v>
      </c>
      <c r="J411" s="901" t="s">
        <v>5089</v>
      </c>
      <c r="K411" s="71" t="s">
        <v>5729</v>
      </c>
      <c r="L411" s="905">
        <f t="shared" si="39"/>
        <v>2</v>
      </c>
      <c r="M411" s="909">
        <f>SUMIFS('Bilateral Assistance, MAIN DATA'!M:M,'Bilateral Assistance, MAIN DATA'!I:I,'Price List, Weapons &amp; Items'!B411)</f>
        <v>116</v>
      </c>
      <c r="N411" s="71">
        <f>COUNTIFS('Bilateral Assistance, MAIN DATA'!M:M,"undisclosed",'Bilateral Assistance, MAIN DATA'!I:I,'Price List, Weapons &amp; Items'!B411)</f>
        <v>2</v>
      </c>
      <c r="O411" s="910">
        <f t="shared" si="40"/>
        <v>5800000</v>
      </c>
      <c r="P411" s="71">
        <f>IFERROR(IF(SEARCH(B411,_xlfn.ARRAYTOTEXT('Bilateral Assistance, MAIN DATA'!I$1:I$2206))&gt;0,1,""),0)</f>
        <v>0</v>
      </c>
      <c r="Q411" s="71">
        <f>IFERROR(IF(SEARCH(B411,_xlfn.ARRAYTOTEXT('Commercial Assistance'!I$1:I$1400))&gt;0,1,""),0)</f>
        <v>0</v>
      </c>
      <c r="R411" s="905" t="str">
        <f>IF(SUMIFS('Bilateral Assistance, MAIN DATA'!N:N,'Bilateral Assistance, MAIN DATA'!I:I,'Price List, Weapons &amp; Items'!B411)&gt;M411,1,".")</f>
        <v>.</v>
      </c>
    </row>
    <row r="412" spans="2:18" ht="15" customHeight="1">
      <c r="B412" s="901" t="s">
        <v>5730</v>
      </c>
      <c r="C412" s="898" t="s">
        <v>360</v>
      </c>
      <c r="D412" s="898" t="s">
        <v>360</v>
      </c>
      <c r="E412" s="900">
        <v>0</v>
      </c>
      <c r="F412" s="900">
        <f t="shared" si="36"/>
        <v>0</v>
      </c>
      <c r="G412" s="892" t="s">
        <v>364</v>
      </c>
      <c r="H412" s="900" t="s">
        <v>364</v>
      </c>
      <c r="I412" s="913" t="s">
        <v>364</v>
      </c>
      <c r="J412" s="901" t="str">
        <f>IF(I412&lt;&gt;".",".",".")</f>
        <v>.</v>
      </c>
      <c r="K412" s="901" t="s">
        <v>364</v>
      </c>
      <c r="L412" s="905">
        <f t="shared" si="39"/>
        <v>0</v>
      </c>
      <c r="M412" s="909">
        <f>SUMIFS('Bilateral Assistance, MAIN DATA'!M:M,'Bilateral Assistance, MAIN DATA'!I:I,'Price List, Weapons &amp; Items'!B412)</f>
        <v>2</v>
      </c>
      <c r="N412" s="71">
        <f>COUNTIFS('Bilateral Assistance, MAIN DATA'!M:M,"undisclosed",'Bilateral Assistance, MAIN DATA'!I:I,'Price List, Weapons &amp; Items'!B412)</f>
        <v>0</v>
      </c>
      <c r="O412" s="910" t="str">
        <f t="shared" si="40"/>
        <v>no price</v>
      </c>
      <c r="P412" s="71">
        <f>IFERROR(IF(SEARCH(B412,_xlfn.ARRAYTOTEXT('Bilateral Assistance, MAIN DATA'!I$1:I$2206))&gt;0,1,""),0)</f>
        <v>0</v>
      </c>
      <c r="Q412" s="71">
        <f>IFERROR(IF(SEARCH(B412,_xlfn.ARRAYTOTEXT('Commercial Assistance'!I$1:I$1400))&gt;0,1,""),0)</f>
        <v>0</v>
      </c>
      <c r="R412" s="905" t="str">
        <f>IF(SUMIFS('Bilateral Assistance, MAIN DATA'!N:N,'Bilateral Assistance, MAIN DATA'!I:I,'Price List, Weapons &amp; Items'!B412)&gt;M412,1,".")</f>
        <v>.</v>
      </c>
    </row>
    <row r="413" spans="2:18" ht="15" customHeight="1">
      <c r="B413" s="901" t="s">
        <v>5731</v>
      </c>
      <c r="C413" s="898" t="s">
        <v>360</v>
      </c>
      <c r="D413" s="898" t="s">
        <v>360</v>
      </c>
      <c r="E413" s="900">
        <v>0</v>
      </c>
      <c r="F413" s="900">
        <f t="shared" si="36"/>
        <v>0</v>
      </c>
      <c r="G413" s="892">
        <v>125000000</v>
      </c>
      <c r="H413" s="908" t="str">
        <f t="shared" ref="H413:H444" si="42">IF(G413&lt;&gt;".","USD",".")</f>
        <v>USD</v>
      </c>
      <c r="I413" s="885" t="s">
        <v>5732</v>
      </c>
      <c r="J413" s="901" t="s">
        <v>5080</v>
      </c>
      <c r="K413" s="901" t="s">
        <v>5733</v>
      </c>
      <c r="L413" s="905">
        <f t="shared" si="39"/>
        <v>0</v>
      </c>
      <c r="M413" s="909">
        <f>SUMIFS('Bilateral Assistance, MAIN DATA'!M:M,'Bilateral Assistance, MAIN DATA'!I:I,'Price List, Weapons &amp; Items'!B413)</f>
        <v>1</v>
      </c>
      <c r="N413" s="71">
        <f>COUNTIFS('Bilateral Assistance, MAIN DATA'!M:M,"undisclosed",'Bilateral Assistance, MAIN DATA'!I:I,'Price List, Weapons &amp; Items'!B413)</f>
        <v>0</v>
      </c>
      <c r="O413" s="910">
        <f t="shared" si="40"/>
        <v>125000000</v>
      </c>
      <c r="P413" s="71">
        <f>IFERROR(IF(SEARCH(B413,_xlfn.ARRAYTOTEXT('Bilateral Assistance, MAIN DATA'!I$1:I$2206))&gt;0,1,""),0)</f>
        <v>0</v>
      </c>
      <c r="Q413" s="71">
        <f>IFERROR(IF(SEARCH(B413,_xlfn.ARRAYTOTEXT('Commercial Assistance'!I$1:I$1400))&gt;0,1,""),0)</f>
        <v>0</v>
      </c>
      <c r="R413" s="905" t="str">
        <f>IF(SUMIFS('Bilateral Assistance, MAIN DATA'!N:N,'Bilateral Assistance, MAIN DATA'!I:I,'Price List, Weapons &amp; Items'!B413)&gt;M413,1,".")</f>
        <v>.</v>
      </c>
    </row>
    <row r="414" spans="2:18" ht="15" customHeight="1">
      <c r="B414" s="901" t="s">
        <v>5734</v>
      </c>
      <c r="C414" s="898" t="s">
        <v>360</v>
      </c>
      <c r="D414" s="898" t="s">
        <v>360</v>
      </c>
      <c r="E414" s="900">
        <v>0</v>
      </c>
      <c r="F414" s="900">
        <f t="shared" si="36"/>
        <v>0</v>
      </c>
      <c r="G414" s="892">
        <v>33960000</v>
      </c>
      <c r="H414" s="908" t="str">
        <f t="shared" si="42"/>
        <v>USD</v>
      </c>
      <c r="I414" s="885" t="s">
        <v>5735</v>
      </c>
      <c r="J414" s="901" t="s">
        <v>5080</v>
      </c>
      <c r="K414" s="901" t="s">
        <v>5736</v>
      </c>
      <c r="L414" s="905">
        <f t="shared" si="39"/>
        <v>0</v>
      </c>
      <c r="M414" s="909">
        <f>SUMIFS('Bilateral Assistance, MAIN DATA'!M:M,'Bilateral Assistance, MAIN DATA'!I:I,'Price List, Weapons &amp; Items'!B414)</f>
        <v>10</v>
      </c>
      <c r="N414" s="71">
        <f>COUNTIFS('Bilateral Assistance, MAIN DATA'!M:M,"undisclosed",'Bilateral Assistance, MAIN DATA'!I:I,'Price List, Weapons &amp; Items'!B414)</f>
        <v>1</v>
      </c>
      <c r="O414" s="910">
        <f t="shared" si="40"/>
        <v>339600000</v>
      </c>
      <c r="P414" s="71">
        <f>IFERROR(IF(SEARCH(B414,_xlfn.ARRAYTOTEXT('Bilateral Assistance, MAIN DATA'!I$1:I$2206))&gt;0,1,""),0)</f>
        <v>0</v>
      </c>
      <c r="Q414" s="71">
        <f>IFERROR(IF(SEARCH(B414,_xlfn.ARRAYTOTEXT('Commercial Assistance'!I$1:I$1400))&gt;0,1,""),0)</f>
        <v>0</v>
      </c>
      <c r="R414" s="905" t="str">
        <f>IF(SUMIFS('Bilateral Assistance, MAIN DATA'!N:N,'Bilateral Assistance, MAIN DATA'!I:I,'Price List, Weapons &amp; Items'!B414)&gt;M414,1,".")</f>
        <v>.</v>
      </c>
    </row>
    <row r="415" spans="2:18" ht="15" customHeight="1">
      <c r="B415" s="901" t="s">
        <v>3454</v>
      </c>
      <c r="C415" s="898" t="s">
        <v>360</v>
      </c>
      <c r="D415" s="898" t="s">
        <v>360</v>
      </c>
      <c r="E415" s="900">
        <v>0</v>
      </c>
      <c r="F415" s="900">
        <f t="shared" si="36"/>
        <v>0</v>
      </c>
      <c r="G415" s="892">
        <v>644000</v>
      </c>
      <c r="H415" s="908" t="str">
        <f t="shared" si="42"/>
        <v>USD</v>
      </c>
      <c r="I415" s="886" t="s">
        <v>5737</v>
      </c>
      <c r="J415" s="901" t="s">
        <v>5089</v>
      </c>
      <c r="K415" s="901" t="s">
        <v>5738</v>
      </c>
      <c r="L415" s="905">
        <f t="shared" si="39"/>
        <v>0</v>
      </c>
      <c r="M415" s="909">
        <f>SUMIFS('Bilateral Assistance, MAIN DATA'!M:M,'Bilateral Assistance, MAIN DATA'!I:I,'Price List, Weapons &amp; Items'!B415)</f>
        <v>3</v>
      </c>
      <c r="N415" s="71">
        <f>COUNTIFS('Bilateral Assistance, MAIN DATA'!M:M,"undisclosed",'Bilateral Assistance, MAIN DATA'!I:I,'Price List, Weapons &amp; Items'!B415)</f>
        <v>0</v>
      </c>
      <c r="O415" s="910">
        <f t="shared" si="40"/>
        <v>1932000</v>
      </c>
      <c r="P415" s="71">
        <f>IFERROR(IF(SEARCH(B415,_xlfn.ARRAYTOTEXT('Bilateral Assistance, MAIN DATA'!I$1:I$2206))&gt;0,1,""),0)</f>
        <v>0</v>
      </c>
      <c r="Q415" s="71">
        <f>IFERROR(IF(SEARCH(B415,_xlfn.ARRAYTOTEXT('Commercial Assistance'!I$1:I$1400))&gt;0,1,""),0)</f>
        <v>0</v>
      </c>
      <c r="R415" s="905" t="str">
        <f>IF(SUMIFS('Bilateral Assistance, MAIN DATA'!N:N,'Bilateral Assistance, MAIN DATA'!I:I,'Price List, Weapons &amp; Items'!B415)&gt;M415,1,".")</f>
        <v>.</v>
      </c>
    </row>
    <row r="416" spans="2:18" ht="15" customHeight="1">
      <c r="B416" s="901" t="s">
        <v>5739</v>
      </c>
      <c r="C416" s="898" t="s">
        <v>360</v>
      </c>
      <c r="D416" s="898" t="s">
        <v>360</v>
      </c>
      <c r="E416" s="900">
        <v>0</v>
      </c>
      <c r="F416" s="900">
        <f t="shared" si="36"/>
        <v>0</v>
      </c>
      <c r="G416" s="892">
        <v>400000</v>
      </c>
      <c r="H416" s="908" t="str">
        <f t="shared" si="42"/>
        <v>USD</v>
      </c>
      <c r="I416" s="886" t="s">
        <v>5740</v>
      </c>
      <c r="J416" s="901" t="s">
        <v>5080</v>
      </c>
      <c r="K416" s="901" t="s">
        <v>5741</v>
      </c>
      <c r="L416" s="905">
        <f t="shared" si="39"/>
        <v>0</v>
      </c>
      <c r="M416" s="909">
        <f>SUMIFS('Bilateral Assistance, MAIN DATA'!M:M,'Bilateral Assistance, MAIN DATA'!I:I,'Price List, Weapons &amp; Items'!B416)</f>
        <v>37</v>
      </c>
      <c r="N416" s="71">
        <f>COUNTIFS('Bilateral Assistance, MAIN DATA'!M:M,"undisclosed",'Bilateral Assistance, MAIN DATA'!I:I,'Price List, Weapons &amp; Items'!B416)</f>
        <v>0</v>
      </c>
      <c r="O416" s="910">
        <f t="shared" si="40"/>
        <v>14800000</v>
      </c>
      <c r="P416" s="71">
        <f>IFERROR(IF(SEARCH(B416,_xlfn.ARRAYTOTEXT('Bilateral Assistance, MAIN DATA'!I$1:I$2206))&gt;0,1,""),0)</f>
        <v>0</v>
      </c>
      <c r="Q416" s="71">
        <f>IFERROR(IF(SEARCH(B416,_xlfn.ARRAYTOTEXT('Commercial Assistance'!I$1:I$1400))&gt;0,1,""),0)</f>
        <v>0</v>
      </c>
      <c r="R416" s="905" t="str">
        <f>IF(SUMIFS('Bilateral Assistance, MAIN DATA'!N:N,'Bilateral Assistance, MAIN DATA'!I:I,'Price List, Weapons &amp; Items'!B416)&gt;M416,1,".")</f>
        <v>.</v>
      </c>
    </row>
    <row r="417" spans="2:18" ht="15" customHeight="1">
      <c r="B417" s="901" t="s">
        <v>1546</v>
      </c>
      <c r="C417" s="898" t="s">
        <v>360</v>
      </c>
      <c r="D417" s="898" t="s">
        <v>360</v>
      </c>
      <c r="E417" s="900">
        <v>0</v>
      </c>
      <c r="F417" s="900">
        <f t="shared" si="36"/>
        <v>0</v>
      </c>
      <c r="G417" s="892">
        <v>400000</v>
      </c>
      <c r="H417" s="908" t="str">
        <f t="shared" si="42"/>
        <v>USD</v>
      </c>
      <c r="I417" s="886" t="s">
        <v>5740</v>
      </c>
      <c r="J417" s="901" t="s">
        <v>5089</v>
      </c>
      <c r="K417" s="901" t="s">
        <v>5742</v>
      </c>
      <c r="L417" s="905">
        <f t="shared" si="39"/>
        <v>0</v>
      </c>
      <c r="M417" s="909">
        <f>SUMIFS('Bilateral Assistance, MAIN DATA'!M:M,'Bilateral Assistance, MAIN DATA'!I:I,'Price List, Weapons &amp; Items'!B417)</f>
        <v>28</v>
      </c>
      <c r="N417" s="71">
        <f>COUNTIFS('Bilateral Assistance, MAIN DATA'!M:M,"undisclosed",'Bilateral Assistance, MAIN DATA'!I:I,'Price List, Weapons &amp; Items'!B417)</f>
        <v>0</v>
      </c>
      <c r="O417" s="910">
        <f t="shared" si="40"/>
        <v>11200000</v>
      </c>
      <c r="P417" s="71">
        <f>IFERROR(IF(SEARCH(B417,_xlfn.ARRAYTOTEXT('Bilateral Assistance, MAIN DATA'!I$1:I$2206))&gt;0,1,""),0)</f>
        <v>0</v>
      </c>
      <c r="Q417" s="71">
        <f>IFERROR(IF(SEARCH(B417,_xlfn.ARRAYTOTEXT('Commercial Assistance'!I$1:I$1400))&gt;0,1,""),0)</f>
        <v>0</v>
      </c>
      <c r="R417" s="905" t="str">
        <f>IF(SUMIFS('Bilateral Assistance, MAIN DATA'!N:N,'Bilateral Assistance, MAIN DATA'!I:I,'Price List, Weapons &amp; Items'!B417)&gt;M417,1,".")</f>
        <v>.</v>
      </c>
    </row>
    <row r="418" spans="2:18" ht="15" customHeight="1">
      <c r="B418" s="901" t="s">
        <v>5743</v>
      </c>
      <c r="C418" s="898" t="s">
        <v>360</v>
      </c>
      <c r="D418" s="898" t="s">
        <v>360</v>
      </c>
      <c r="E418" s="900">
        <v>0</v>
      </c>
      <c r="F418" s="900">
        <f t="shared" si="36"/>
        <v>0</v>
      </c>
      <c r="G418" s="892">
        <v>317500</v>
      </c>
      <c r="H418" s="908" t="str">
        <f t="shared" si="42"/>
        <v>USD</v>
      </c>
      <c r="I418" s="886" t="s">
        <v>5744</v>
      </c>
      <c r="J418" s="901" t="s">
        <v>5080</v>
      </c>
      <c r="K418" s="901" t="s">
        <v>5745</v>
      </c>
      <c r="L418" s="905">
        <f t="shared" si="39"/>
        <v>0</v>
      </c>
      <c r="M418" s="909">
        <f>SUMIFS('Bilateral Assistance, MAIN DATA'!M:M,'Bilateral Assistance, MAIN DATA'!I:I,'Price List, Weapons &amp; Items'!B418)</f>
        <v>170</v>
      </c>
      <c r="N418" s="71">
        <f>COUNTIFS('Bilateral Assistance, MAIN DATA'!M:M,"undisclosed",'Bilateral Assistance, MAIN DATA'!I:I,'Price List, Weapons &amp; Items'!B418)</f>
        <v>0</v>
      </c>
      <c r="O418" s="910">
        <f t="shared" si="40"/>
        <v>53975000</v>
      </c>
      <c r="P418" s="71">
        <f>IFERROR(IF(SEARCH(B418,_xlfn.ARRAYTOTEXT('Bilateral Assistance, MAIN DATA'!I$1:I$2206))&gt;0,1,""),0)</f>
        <v>0</v>
      </c>
      <c r="Q418" s="71">
        <f>IFERROR(IF(SEARCH(B418,_xlfn.ARRAYTOTEXT('Commercial Assistance'!I$1:I$1400))&gt;0,1,""),0)</f>
        <v>0</v>
      </c>
      <c r="R418" s="905" t="str">
        <f>IF(SUMIFS('Bilateral Assistance, MAIN DATA'!N:N,'Bilateral Assistance, MAIN DATA'!I:I,'Price List, Weapons &amp; Items'!B418)&gt;M418,1,".")</f>
        <v>.</v>
      </c>
    </row>
    <row r="419" spans="2:18" ht="15" customHeight="1">
      <c r="B419" s="901" t="s">
        <v>492</v>
      </c>
      <c r="C419" s="898" t="s">
        <v>360</v>
      </c>
      <c r="D419" s="898" t="s">
        <v>360</v>
      </c>
      <c r="E419" s="900">
        <v>0</v>
      </c>
      <c r="F419" s="900">
        <f t="shared" si="36"/>
        <v>0</v>
      </c>
      <c r="G419" s="892">
        <v>400000</v>
      </c>
      <c r="H419" s="908" t="str">
        <f t="shared" si="42"/>
        <v>USD</v>
      </c>
      <c r="I419" s="886" t="s">
        <v>5740</v>
      </c>
      <c r="J419" s="901" t="s">
        <v>5080</v>
      </c>
      <c r="K419" s="901" t="s">
        <v>5741</v>
      </c>
      <c r="L419" s="905">
        <f t="shared" si="39"/>
        <v>0</v>
      </c>
      <c r="M419" s="909">
        <f>SUMIFS('Bilateral Assistance, MAIN DATA'!M:M,'Bilateral Assistance, MAIN DATA'!I:I,'Price List, Weapons &amp; Items'!B419)</f>
        <v>80</v>
      </c>
      <c r="N419" s="71">
        <f>COUNTIFS('Bilateral Assistance, MAIN DATA'!M:M,"undisclosed",'Bilateral Assistance, MAIN DATA'!I:I,'Price List, Weapons &amp; Items'!B419)</f>
        <v>0</v>
      </c>
      <c r="O419" s="910">
        <f t="shared" si="40"/>
        <v>32000000</v>
      </c>
      <c r="P419" s="71">
        <f>IFERROR(IF(SEARCH(B419,_xlfn.ARRAYTOTEXT('Bilateral Assistance, MAIN DATA'!I$1:I$2206))&gt;0,1,""),0)</f>
        <v>0</v>
      </c>
      <c r="Q419" s="71">
        <f>IFERROR(IF(SEARCH(B419,_xlfn.ARRAYTOTEXT('Commercial Assistance'!I$1:I$1400))&gt;0,1,""),0)</f>
        <v>0</v>
      </c>
      <c r="R419" s="905" t="str">
        <f>IF(SUMIFS('Bilateral Assistance, MAIN DATA'!N:N,'Bilateral Assistance, MAIN DATA'!I:I,'Price List, Weapons &amp; Items'!B419)&gt;M419,1,".")</f>
        <v>.</v>
      </c>
    </row>
    <row r="420" spans="2:18" ht="15" customHeight="1">
      <c r="B420" s="901" t="s">
        <v>5746</v>
      </c>
      <c r="C420" s="898" t="s">
        <v>360</v>
      </c>
      <c r="D420" s="898" t="s">
        <v>360</v>
      </c>
      <c r="E420" s="900">
        <v>0</v>
      </c>
      <c r="F420" s="900">
        <f t="shared" si="36"/>
        <v>0</v>
      </c>
      <c r="G420" s="892">
        <v>88347.31</v>
      </c>
      <c r="H420" s="908" t="str">
        <f t="shared" si="42"/>
        <v>USD</v>
      </c>
      <c r="I420" s="885" t="s">
        <v>2401</v>
      </c>
      <c r="J420" s="901" t="s">
        <v>5119</v>
      </c>
      <c r="K420" s="901" t="s">
        <v>5747</v>
      </c>
      <c r="L420" s="905">
        <f t="shared" si="39"/>
        <v>0</v>
      </c>
      <c r="M420" s="909">
        <f>SUMIFS('Bilateral Assistance, MAIN DATA'!M:M,'Bilateral Assistance, MAIN DATA'!I:I,'Price List, Weapons &amp; Items'!B420)</f>
        <v>2</v>
      </c>
      <c r="N420" s="71">
        <f>COUNTIFS('Bilateral Assistance, MAIN DATA'!M:M,"undisclosed",'Bilateral Assistance, MAIN DATA'!I:I,'Price List, Weapons &amp; Items'!B420)</f>
        <v>0</v>
      </c>
      <c r="O420" s="910">
        <f t="shared" si="40"/>
        <v>176694.62</v>
      </c>
      <c r="P420" s="71">
        <f>IFERROR(IF(SEARCH(B420,_xlfn.ARRAYTOTEXT('Bilateral Assistance, MAIN DATA'!I$1:I$2206))&gt;0,1,""),0)</f>
        <v>0</v>
      </c>
      <c r="Q420" s="71">
        <f>IFERROR(IF(SEARCH(B420,_xlfn.ARRAYTOTEXT('Commercial Assistance'!I$1:I$1400))&gt;0,1,""),0)</f>
        <v>0</v>
      </c>
      <c r="R420" s="905" t="str">
        <f>IF(SUMIFS('Bilateral Assistance, MAIN DATA'!N:N,'Bilateral Assistance, MAIN DATA'!I:I,'Price List, Weapons &amp; Items'!B420)&gt;M420,1,".")</f>
        <v>.</v>
      </c>
    </row>
    <row r="421" spans="2:18" ht="15" customHeight="1">
      <c r="B421" s="901" t="s">
        <v>5748</v>
      </c>
      <c r="C421" s="898" t="s">
        <v>360</v>
      </c>
      <c r="D421" s="898" t="s">
        <v>360</v>
      </c>
      <c r="E421" s="900">
        <v>0</v>
      </c>
      <c r="F421" s="900">
        <f t="shared" si="36"/>
        <v>0</v>
      </c>
      <c r="G421" s="892">
        <v>76400</v>
      </c>
      <c r="H421" s="908" t="str">
        <f t="shared" si="42"/>
        <v>USD</v>
      </c>
      <c r="I421" s="885" t="s">
        <v>5749</v>
      </c>
      <c r="J421" s="901" t="s">
        <v>5080</v>
      </c>
      <c r="K421" s="901" t="s">
        <v>5750</v>
      </c>
      <c r="L421" s="905">
        <f t="shared" si="39"/>
        <v>0</v>
      </c>
      <c r="M421" s="909">
        <f>SUMIFS('Bilateral Assistance, MAIN DATA'!M:M,'Bilateral Assistance, MAIN DATA'!I:I,'Price List, Weapons &amp; Items'!B421)</f>
        <v>0</v>
      </c>
      <c r="N421" s="71">
        <f>COUNTIFS('Bilateral Assistance, MAIN DATA'!M:M,"undisclosed",'Bilateral Assistance, MAIN DATA'!I:I,'Price List, Weapons &amp; Items'!B421)</f>
        <v>1</v>
      </c>
      <c r="O421" s="910">
        <f t="shared" si="40"/>
        <v>0</v>
      </c>
      <c r="P421" s="71">
        <f>IFERROR(IF(SEARCH(B421,_xlfn.ARRAYTOTEXT('Bilateral Assistance, MAIN DATA'!I$1:I$2206))&gt;0,1,""),0)</f>
        <v>0</v>
      </c>
      <c r="Q421" s="71">
        <f>IFERROR(IF(SEARCH(B421,_xlfn.ARRAYTOTEXT('Commercial Assistance'!I$1:I$1400))&gt;0,1,""),0)</f>
        <v>0</v>
      </c>
      <c r="R421" s="905" t="str">
        <f>IF(SUMIFS('Bilateral Assistance, MAIN DATA'!N:N,'Bilateral Assistance, MAIN DATA'!I:I,'Price List, Weapons &amp; Items'!B421)&gt;M421,1,".")</f>
        <v>.</v>
      </c>
    </row>
    <row r="422" spans="2:18" ht="15" customHeight="1">
      <c r="B422" s="901" t="s">
        <v>1368</v>
      </c>
      <c r="C422" s="898" t="s">
        <v>360</v>
      </c>
      <c r="D422" s="898" t="s">
        <v>360</v>
      </c>
      <c r="E422" s="900">
        <v>0</v>
      </c>
      <c r="F422" s="900">
        <f t="shared" si="36"/>
        <v>0</v>
      </c>
      <c r="G422" s="892">
        <v>27500</v>
      </c>
      <c r="H422" s="908" t="str">
        <f t="shared" si="42"/>
        <v>USD</v>
      </c>
      <c r="I422" s="886" t="s">
        <v>5751</v>
      </c>
      <c r="J422" s="901" t="s">
        <v>5089</v>
      </c>
      <c r="K422" s="925" t="s">
        <v>5752</v>
      </c>
      <c r="L422" s="905">
        <f t="shared" si="39"/>
        <v>0</v>
      </c>
      <c r="M422" s="909">
        <f>SUMIFS('Bilateral Assistance, MAIN DATA'!M:M,'Bilateral Assistance, MAIN DATA'!I:I,'Price List, Weapons &amp; Items'!B422)</f>
        <v>200</v>
      </c>
      <c r="N422" s="71">
        <f>COUNTIFS('Bilateral Assistance, MAIN DATA'!M:M,"undisclosed",'Bilateral Assistance, MAIN DATA'!I:I,'Price List, Weapons &amp; Items'!B422)</f>
        <v>1</v>
      </c>
      <c r="O422" s="910">
        <f t="shared" si="40"/>
        <v>5500000</v>
      </c>
      <c r="P422" s="71">
        <f>IFERROR(IF(SEARCH(B422,_xlfn.ARRAYTOTEXT('Bilateral Assistance, MAIN DATA'!I$1:I$2206))&gt;0,1,""),0)</f>
        <v>0</v>
      </c>
      <c r="Q422" s="71">
        <f>IFERROR(IF(SEARCH(B422,_xlfn.ARRAYTOTEXT('Commercial Assistance'!I$1:I$1400))&gt;0,1,""),0)</f>
        <v>0</v>
      </c>
      <c r="R422" s="905" t="str">
        <f>IF(SUMIFS('Bilateral Assistance, MAIN DATA'!N:N,'Bilateral Assistance, MAIN DATA'!I:I,'Price List, Weapons &amp; Items'!B422)&gt;M422,1,".")</f>
        <v>.</v>
      </c>
    </row>
    <row r="423" spans="2:18" ht="15" customHeight="1">
      <c r="B423" s="901" t="s">
        <v>5753</v>
      </c>
      <c r="C423" s="898" t="s">
        <v>360</v>
      </c>
      <c r="D423" s="898" t="s">
        <v>360</v>
      </c>
      <c r="E423" s="900">
        <v>0</v>
      </c>
      <c r="F423" s="900">
        <f t="shared" si="36"/>
        <v>0</v>
      </c>
      <c r="G423" s="892">
        <v>10000</v>
      </c>
      <c r="H423" s="908" t="str">
        <f t="shared" si="42"/>
        <v>USD</v>
      </c>
      <c r="I423" s="886" t="s">
        <v>5754</v>
      </c>
      <c r="J423" s="901" t="s">
        <v>5089</v>
      </c>
      <c r="K423" s="901" t="s">
        <v>5755</v>
      </c>
      <c r="L423" s="905">
        <f t="shared" si="39"/>
        <v>0</v>
      </c>
      <c r="M423" s="909">
        <f>SUMIFS('Bilateral Assistance, MAIN DATA'!M:M,'Bilateral Assistance, MAIN DATA'!I:I,'Price List, Weapons &amp; Items'!B423)</f>
        <v>49</v>
      </c>
      <c r="N423" s="71">
        <f>COUNTIFS('Bilateral Assistance, MAIN DATA'!M:M,"undisclosed",'Bilateral Assistance, MAIN DATA'!I:I,'Price List, Weapons &amp; Items'!B423)</f>
        <v>0</v>
      </c>
      <c r="O423" s="910">
        <f t="shared" si="40"/>
        <v>490000</v>
      </c>
      <c r="P423" s="71">
        <f>IFERROR(IF(SEARCH(B423,_xlfn.ARRAYTOTEXT('Bilateral Assistance, MAIN DATA'!I$1:I$2206))&gt;0,1,""),0)</f>
        <v>0</v>
      </c>
      <c r="Q423" s="71">
        <f>IFERROR(IF(SEARCH(B423,_xlfn.ARRAYTOTEXT('Commercial Assistance'!I$1:I$1400))&gt;0,1,""),0)</f>
        <v>0</v>
      </c>
      <c r="R423" s="905" t="str">
        <f>IF(SUMIFS('Bilateral Assistance, MAIN DATA'!N:N,'Bilateral Assistance, MAIN DATA'!I:I,'Price List, Weapons &amp; Items'!B423)&gt;M423,1,".")</f>
        <v>.</v>
      </c>
    </row>
    <row r="424" spans="2:18" ht="15" customHeight="1">
      <c r="B424" s="901" t="s">
        <v>1561</v>
      </c>
      <c r="C424" s="898" t="s">
        <v>360</v>
      </c>
      <c r="D424" s="898" t="s">
        <v>360</v>
      </c>
      <c r="E424" s="900">
        <v>0</v>
      </c>
      <c r="F424" s="900">
        <f t="shared" si="36"/>
        <v>0</v>
      </c>
      <c r="G424" s="892">
        <v>10000</v>
      </c>
      <c r="H424" s="908" t="str">
        <f t="shared" si="42"/>
        <v>USD</v>
      </c>
      <c r="I424" s="886" t="s">
        <v>5754</v>
      </c>
      <c r="J424" s="901" t="s">
        <v>5089</v>
      </c>
      <c r="K424" s="901" t="s">
        <v>5755</v>
      </c>
      <c r="L424" s="905">
        <f t="shared" si="39"/>
        <v>0</v>
      </c>
      <c r="M424" s="909">
        <f>SUMIFS('Bilateral Assistance, MAIN DATA'!M:M,'Bilateral Assistance, MAIN DATA'!I:I,'Price List, Weapons &amp; Items'!B424)</f>
        <v>426.72500000000002</v>
      </c>
      <c r="N424" s="71">
        <f>COUNTIFS('Bilateral Assistance, MAIN DATA'!M:M,"undisclosed",'Bilateral Assistance, MAIN DATA'!I:I,'Price List, Weapons &amp; Items'!B424)</f>
        <v>0</v>
      </c>
      <c r="O424" s="910">
        <f t="shared" si="40"/>
        <v>4267250</v>
      </c>
      <c r="P424" s="71">
        <f>IFERROR(IF(SEARCH(B424,_xlfn.ARRAYTOTEXT('Bilateral Assistance, MAIN DATA'!I$1:I$2206))&gt;0,1,""),0)</f>
        <v>0</v>
      </c>
      <c r="Q424" s="71">
        <f>IFERROR(IF(SEARCH(B424,_xlfn.ARRAYTOTEXT('Commercial Assistance'!I$1:I$1400))&gt;0,1,""),0)</f>
        <v>0</v>
      </c>
      <c r="R424" s="905" t="str">
        <f>IF(SUMIFS('Bilateral Assistance, MAIN DATA'!N:N,'Bilateral Assistance, MAIN DATA'!I:I,'Price List, Weapons &amp; Items'!B424)&gt;M424,1,".")</f>
        <v>.</v>
      </c>
    </row>
    <row r="425" spans="2:18" ht="15" customHeight="1">
      <c r="B425" s="901" t="s">
        <v>5756</v>
      </c>
      <c r="C425" s="898" t="s">
        <v>360</v>
      </c>
      <c r="D425" s="898" t="s">
        <v>360</v>
      </c>
      <c r="E425" s="900">
        <v>0</v>
      </c>
      <c r="F425" s="900">
        <f t="shared" si="36"/>
        <v>0</v>
      </c>
      <c r="G425" s="892">
        <v>10000</v>
      </c>
      <c r="H425" s="908" t="str">
        <f t="shared" si="42"/>
        <v>USD</v>
      </c>
      <c r="I425" s="886" t="s">
        <v>5757</v>
      </c>
      <c r="J425" s="901" t="s">
        <v>5089</v>
      </c>
      <c r="K425" s="901" t="s">
        <v>5758</v>
      </c>
      <c r="L425" s="905">
        <f t="shared" si="39"/>
        <v>0</v>
      </c>
      <c r="M425" s="909">
        <f>SUMIFS('Bilateral Assistance, MAIN DATA'!M:M,'Bilateral Assistance, MAIN DATA'!I:I,'Price List, Weapons &amp; Items'!B425)</f>
        <v>276.66666666666663</v>
      </c>
      <c r="N425" s="71">
        <f>COUNTIFS('Bilateral Assistance, MAIN DATA'!M:M,"undisclosed",'Bilateral Assistance, MAIN DATA'!I:I,'Price List, Weapons &amp; Items'!B425)</f>
        <v>0</v>
      </c>
      <c r="O425" s="910">
        <f t="shared" si="40"/>
        <v>2766666.6666666665</v>
      </c>
      <c r="P425" s="71">
        <f>IFERROR(IF(SEARCH(B425,_xlfn.ARRAYTOTEXT('Bilateral Assistance, MAIN DATA'!I$1:I$2206))&gt;0,1,""),0)</f>
        <v>0</v>
      </c>
      <c r="Q425" s="71">
        <f>IFERROR(IF(SEARCH(B425,_xlfn.ARRAYTOTEXT('Commercial Assistance'!I$1:I$1400))&gt;0,1,""),0)</f>
        <v>0</v>
      </c>
      <c r="R425" s="905" t="str">
        <f>IF(SUMIFS('Bilateral Assistance, MAIN DATA'!N:N,'Bilateral Assistance, MAIN DATA'!I:I,'Price List, Weapons &amp; Items'!B425)&gt;M425,1,".")</f>
        <v>.</v>
      </c>
    </row>
    <row r="426" spans="2:18" ht="15" customHeight="1">
      <c r="B426" s="901" t="s">
        <v>5759</v>
      </c>
      <c r="C426" s="898" t="s">
        <v>360</v>
      </c>
      <c r="D426" s="898" t="s">
        <v>360</v>
      </c>
      <c r="E426" s="900">
        <v>0</v>
      </c>
      <c r="F426" s="900">
        <f t="shared" si="36"/>
        <v>0</v>
      </c>
      <c r="G426" s="892">
        <v>4995</v>
      </c>
      <c r="H426" s="908" t="str">
        <f t="shared" si="42"/>
        <v>USD</v>
      </c>
      <c r="I426" s="885" t="s">
        <v>5760</v>
      </c>
      <c r="J426" s="901" t="s">
        <v>5086</v>
      </c>
      <c r="K426" s="901" t="s">
        <v>5761</v>
      </c>
      <c r="L426" s="905">
        <f t="shared" si="39"/>
        <v>0</v>
      </c>
      <c r="M426" s="909">
        <f>SUMIFS('Bilateral Assistance, MAIN DATA'!M:M,'Bilateral Assistance, MAIN DATA'!I:I,'Price List, Weapons &amp; Items'!B426)</f>
        <v>4</v>
      </c>
      <c r="N426" s="71">
        <f>COUNTIFS('Bilateral Assistance, MAIN DATA'!M:M,"undisclosed",'Bilateral Assistance, MAIN DATA'!I:I,'Price List, Weapons &amp; Items'!B426)</f>
        <v>0</v>
      </c>
      <c r="O426" s="910">
        <f t="shared" si="40"/>
        <v>19980</v>
      </c>
      <c r="P426" s="71">
        <f>IFERROR(IF(SEARCH(B426,_xlfn.ARRAYTOTEXT('Bilateral Assistance, MAIN DATA'!I$1:I$2206))&gt;0,1,""),0)</f>
        <v>0</v>
      </c>
      <c r="Q426" s="71">
        <f>IFERROR(IF(SEARCH(B426,_xlfn.ARRAYTOTEXT('Commercial Assistance'!I$1:I$1400))&gt;0,1,""),0)</f>
        <v>0</v>
      </c>
      <c r="R426" s="905" t="str">
        <f>IF(SUMIFS('Bilateral Assistance, MAIN DATA'!N:N,'Bilateral Assistance, MAIN DATA'!I:I,'Price List, Weapons &amp; Items'!B426)&gt;M426,1,".")</f>
        <v>.</v>
      </c>
    </row>
    <row r="427" spans="2:18" ht="15" customHeight="1">
      <c r="B427" s="901" t="s">
        <v>5762</v>
      </c>
      <c r="C427" s="898" t="s">
        <v>360</v>
      </c>
      <c r="D427" s="898" t="s">
        <v>360</v>
      </c>
      <c r="E427" s="900">
        <v>0</v>
      </c>
      <c r="F427" s="900">
        <f t="shared" si="36"/>
        <v>0</v>
      </c>
      <c r="G427" s="892">
        <v>4173</v>
      </c>
      <c r="H427" s="908" t="str">
        <f t="shared" si="42"/>
        <v>USD</v>
      </c>
      <c r="I427" s="886" t="s">
        <v>5763</v>
      </c>
      <c r="J427" s="901" t="s">
        <v>5089</v>
      </c>
      <c r="K427" s="901" t="s">
        <v>5764</v>
      </c>
      <c r="L427" s="905">
        <f t="shared" si="39"/>
        <v>0</v>
      </c>
      <c r="M427" s="909">
        <f>SUMIFS('Bilateral Assistance, MAIN DATA'!M:M,'Bilateral Assistance, MAIN DATA'!I:I,'Price List, Weapons &amp; Items'!B427)</f>
        <v>250</v>
      </c>
      <c r="N427" s="71">
        <f>COUNTIFS('Bilateral Assistance, MAIN DATA'!M:M,"undisclosed",'Bilateral Assistance, MAIN DATA'!I:I,'Price List, Weapons &amp; Items'!B427)</f>
        <v>0</v>
      </c>
      <c r="O427" s="910">
        <f t="shared" si="40"/>
        <v>1043250</v>
      </c>
      <c r="P427" s="71">
        <f>IFERROR(IF(SEARCH(B427,_xlfn.ARRAYTOTEXT('Bilateral Assistance, MAIN DATA'!I$1:I$2206))&gt;0,1,""),0)</f>
        <v>0</v>
      </c>
      <c r="Q427" s="71">
        <f>IFERROR(IF(SEARCH(B427,_xlfn.ARRAYTOTEXT('Commercial Assistance'!I$1:I$1400))&gt;0,1,""),0)</f>
        <v>0</v>
      </c>
      <c r="R427" s="905" t="str">
        <f>IF(SUMIFS('Bilateral Assistance, MAIN DATA'!N:N,'Bilateral Assistance, MAIN DATA'!I:I,'Price List, Weapons &amp; Items'!B427)&gt;M427,1,".")</f>
        <v>.</v>
      </c>
    </row>
    <row r="428" spans="2:18" ht="15" customHeight="1">
      <c r="B428" s="901" t="s">
        <v>5765</v>
      </c>
      <c r="C428" s="898" t="s">
        <v>360</v>
      </c>
      <c r="D428" s="898" t="s">
        <v>360</v>
      </c>
      <c r="E428" s="900">
        <v>0</v>
      </c>
      <c r="F428" s="900">
        <f t="shared" ref="F428:F491" si="43">IF(OR(D428="Armored Personnel Carrier (APC)",D428="Armored Recovery Vehicle (ARV)",D428="Armored Utility Vehicle (AUV)",D428="152mm howitzer ammunition",D428="155mm howitzer ammunition",D428="300mm MLRS ammunition",D428="155mm howitzer",D428="227mm MLRS ammunition",D428="Infantry fighting vehicle (IFV)",D428="152mm howitzer",D428="227mm MLRS",D428="Main Battle Tank (MBT)",D428="Protected Patrol Vehicle (PPV)",D428="127mm MLRS",D428="122mm MLRS",D428="122mm MLRS ammunition",D428="122mm MLRS",D428="127mm MLRS",D428="127mm MLRS ammunition")=TRUE,1,0)</f>
        <v>0</v>
      </c>
      <c r="G428" s="892">
        <v>6000</v>
      </c>
      <c r="H428" s="908" t="str">
        <f t="shared" si="42"/>
        <v>USD</v>
      </c>
      <c r="I428" s="885" t="s">
        <v>5766</v>
      </c>
      <c r="J428" s="901" t="s">
        <v>5089</v>
      </c>
      <c r="K428" s="901" t="s">
        <v>5767</v>
      </c>
      <c r="L428" s="905">
        <f t="shared" si="39"/>
        <v>0</v>
      </c>
      <c r="M428" s="909">
        <f>SUMIFS('Bilateral Assistance, MAIN DATA'!M:M,'Bilateral Assistance, MAIN DATA'!I:I,'Price List, Weapons &amp; Items'!B428)</f>
        <v>5516</v>
      </c>
      <c r="N428" s="71">
        <f>COUNTIFS('Bilateral Assistance, MAIN DATA'!M:M,"undisclosed",'Bilateral Assistance, MAIN DATA'!I:I,'Price List, Weapons &amp; Items'!B428)</f>
        <v>0</v>
      </c>
      <c r="O428" s="910">
        <f t="shared" si="40"/>
        <v>33096000</v>
      </c>
      <c r="P428" s="71">
        <f>IFERROR(IF(SEARCH(B428,_xlfn.ARRAYTOTEXT('Bilateral Assistance, MAIN DATA'!I$1:I$2206))&gt;0,1,""),0)</f>
        <v>0</v>
      </c>
      <c r="Q428" s="71">
        <f>IFERROR(IF(SEARCH(B428,_xlfn.ARRAYTOTEXT('Commercial Assistance'!I$1:I$1400))&gt;0,1,""),0)</f>
        <v>0</v>
      </c>
      <c r="R428" s="905" t="str">
        <f>IF(SUMIFS('Bilateral Assistance, MAIN DATA'!N:N,'Bilateral Assistance, MAIN DATA'!I:I,'Price List, Weapons &amp; Items'!B428)&gt;M428,1,".")</f>
        <v>.</v>
      </c>
    </row>
    <row r="429" spans="2:18" ht="15" customHeight="1">
      <c r="B429" s="901" t="s">
        <v>5768</v>
      </c>
      <c r="C429" s="898" t="s">
        <v>360</v>
      </c>
      <c r="D429" s="898" t="s">
        <v>360</v>
      </c>
      <c r="E429" s="900">
        <v>0</v>
      </c>
      <c r="F429" s="900">
        <f t="shared" si="43"/>
        <v>0</v>
      </c>
      <c r="G429" s="892">
        <v>2430</v>
      </c>
      <c r="H429" s="908" t="str">
        <f t="shared" si="42"/>
        <v>USD</v>
      </c>
      <c r="I429" s="886" t="s">
        <v>5769</v>
      </c>
      <c r="J429" s="901" t="s">
        <v>5119</v>
      </c>
      <c r="K429" s="901" t="s">
        <v>5770</v>
      </c>
      <c r="L429" s="905">
        <f t="shared" si="39"/>
        <v>0</v>
      </c>
      <c r="M429" s="909">
        <f>SUMIFS('Bilateral Assistance, MAIN DATA'!M:M,'Bilateral Assistance, MAIN DATA'!I:I,'Price List, Weapons &amp; Items'!B429)</f>
        <v>1608</v>
      </c>
      <c r="N429" s="71">
        <f>COUNTIFS('Bilateral Assistance, MAIN DATA'!M:M,"undisclosed",'Bilateral Assistance, MAIN DATA'!I:I,'Price List, Weapons &amp; Items'!B429)</f>
        <v>0</v>
      </c>
      <c r="O429" s="910">
        <f t="shared" si="40"/>
        <v>3907440</v>
      </c>
      <c r="P429" s="71">
        <f>IFERROR(IF(SEARCH(B429,_xlfn.ARRAYTOTEXT('Bilateral Assistance, MAIN DATA'!I$1:I$2206))&gt;0,1,""),0)</f>
        <v>0</v>
      </c>
      <c r="Q429" s="71">
        <f>IFERROR(IF(SEARCH(B429,_xlfn.ARRAYTOTEXT('Commercial Assistance'!I$1:I$1400))&gt;0,1,""),0)</f>
        <v>0</v>
      </c>
      <c r="R429" s="905" t="str">
        <f>IF(SUMIFS('Bilateral Assistance, MAIN DATA'!N:N,'Bilateral Assistance, MAIN DATA'!I:I,'Price List, Weapons &amp; Items'!B429)&gt;M429,1,".")</f>
        <v>.</v>
      </c>
    </row>
    <row r="430" spans="2:18" ht="15" customHeight="1">
      <c r="B430" s="901" t="s">
        <v>5771</v>
      </c>
      <c r="C430" s="898" t="s">
        <v>360</v>
      </c>
      <c r="D430" s="898" t="s">
        <v>360</v>
      </c>
      <c r="E430" s="900">
        <v>0</v>
      </c>
      <c r="F430" s="900">
        <f t="shared" si="43"/>
        <v>0</v>
      </c>
      <c r="G430" s="892">
        <v>1500</v>
      </c>
      <c r="H430" s="908" t="str">
        <f t="shared" si="42"/>
        <v>USD</v>
      </c>
      <c r="I430" s="885" t="s">
        <v>5772</v>
      </c>
      <c r="J430" s="901" t="s">
        <v>5089</v>
      </c>
      <c r="K430" s="901" t="s">
        <v>5773</v>
      </c>
      <c r="L430" s="905">
        <f t="shared" si="39"/>
        <v>0</v>
      </c>
      <c r="M430" s="909">
        <f>SUMIFS('Bilateral Assistance, MAIN DATA'!M:M,'Bilateral Assistance, MAIN DATA'!I:I,'Price List, Weapons &amp; Items'!B430)</f>
        <v>0</v>
      </c>
      <c r="N430" s="71">
        <f>COUNTIFS('Bilateral Assistance, MAIN DATA'!M:M,"undisclosed",'Bilateral Assistance, MAIN DATA'!I:I,'Price List, Weapons &amp; Items'!B430)</f>
        <v>1</v>
      </c>
      <c r="O430" s="910">
        <f t="shared" si="40"/>
        <v>0</v>
      </c>
      <c r="P430" s="71">
        <f>IFERROR(IF(SEARCH(B430,_xlfn.ARRAYTOTEXT('Bilateral Assistance, MAIN DATA'!I$1:I$2206))&gt;0,1,""),0)</f>
        <v>0</v>
      </c>
      <c r="Q430" s="71">
        <f>IFERROR(IF(SEARCH(B430,_xlfn.ARRAYTOTEXT('Commercial Assistance'!I$1:I$1400))&gt;0,1,""),0)</f>
        <v>0</v>
      </c>
      <c r="R430" s="905" t="str">
        <f>IF(SUMIFS('Bilateral Assistance, MAIN DATA'!N:N,'Bilateral Assistance, MAIN DATA'!I:I,'Price List, Weapons &amp; Items'!B430)&gt;M430,1,".")</f>
        <v>.</v>
      </c>
    </row>
    <row r="431" spans="2:18" ht="15" customHeight="1">
      <c r="B431" s="901" t="s">
        <v>5774</v>
      </c>
      <c r="C431" s="898" t="s">
        <v>360</v>
      </c>
      <c r="D431" s="898" t="s">
        <v>360</v>
      </c>
      <c r="E431" s="900">
        <v>0</v>
      </c>
      <c r="F431" s="900">
        <f t="shared" si="43"/>
        <v>0</v>
      </c>
      <c r="G431" s="892">
        <v>675</v>
      </c>
      <c r="H431" s="908" t="str">
        <f t="shared" si="42"/>
        <v>USD</v>
      </c>
      <c r="I431" s="885" t="s">
        <v>5775</v>
      </c>
      <c r="J431" s="901" t="s">
        <v>5089</v>
      </c>
      <c r="K431" s="901" t="s">
        <v>5776</v>
      </c>
      <c r="L431" s="905">
        <f t="shared" si="39"/>
        <v>0</v>
      </c>
      <c r="M431" s="909">
        <f>SUMIFS('Bilateral Assistance, MAIN DATA'!M:M,'Bilateral Assistance, MAIN DATA'!I:I,'Price List, Weapons &amp; Items'!B431)</f>
        <v>40</v>
      </c>
      <c r="N431" s="71">
        <f>COUNTIFS('Bilateral Assistance, MAIN DATA'!M:M,"undisclosed",'Bilateral Assistance, MAIN DATA'!I:I,'Price List, Weapons &amp; Items'!B431)</f>
        <v>0</v>
      </c>
      <c r="O431" s="910">
        <f t="shared" si="40"/>
        <v>27000</v>
      </c>
      <c r="P431" s="71">
        <f>IFERROR(IF(SEARCH(B431,_xlfn.ARRAYTOTEXT('Bilateral Assistance, MAIN DATA'!I$1:I$2206))&gt;0,1,""),0)</f>
        <v>0</v>
      </c>
      <c r="Q431" s="71">
        <f>IFERROR(IF(SEARCH(B431,_xlfn.ARRAYTOTEXT('Commercial Assistance'!I$1:I$1400))&gt;0,1,""),0)</f>
        <v>0</v>
      </c>
      <c r="R431" s="905" t="str">
        <f>IF(SUMIFS('Bilateral Assistance, MAIN DATA'!N:N,'Bilateral Assistance, MAIN DATA'!I:I,'Price List, Weapons &amp; Items'!B431)&gt;M431,1,".")</f>
        <v>.</v>
      </c>
    </row>
    <row r="432" spans="2:18" ht="15" customHeight="1">
      <c r="B432" s="912" t="s">
        <v>5777</v>
      </c>
      <c r="C432" s="898" t="s">
        <v>360</v>
      </c>
      <c r="D432" s="898" t="s">
        <v>360</v>
      </c>
      <c r="E432" s="900">
        <v>0</v>
      </c>
      <c r="F432" s="900">
        <f t="shared" si="43"/>
        <v>0</v>
      </c>
      <c r="G432" s="892">
        <v>632</v>
      </c>
      <c r="H432" s="908" t="str">
        <f t="shared" si="42"/>
        <v>USD</v>
      </c>
      <c r="I432" s="885" t="s">
        <v>5778</v>
      </c>
      <c r="J432" s="901" t="s">
        <v>5089</v>
      </c>
      <c r="K432" s="901" t="s">
        <v>5779</v>
      </c>
      <c r="L432" s="905">
        <f t="shared" si="39"/>
        <v>0</v>
      </c>
      <c r="M432" s="909">
        <f>SUMIFS('Bilateral Assistance, MAIN DATA'!M:M,'Bilateral Assistance, MAIN DATA'!I:I,'Price List, Weapons &amp; Items'!B432)</f>
        <v>40</v>
      </c>
      <c r="N432" s="71">
        <f>COUNTIFS('Bilateral Assistance, MAIN DATA'!M:M,"undisclosed",'Bilateral Assistance, MAIN DATA'!I:I,'Price List, Weapons &amp; Items'!B432)</f>
        <v>0</v>
      </c>
      <c r="O432" s="910">
        <f t="shared" si="40"/>
        <v>25280</v>
      </c>
      <c r="P432" s="71">
        <f>IFERROR(IF(SEARCH(B432,_xlfn.ARRAYTOTEXT('Bilateral Assistance, MAIN DATA'!I$1:I$2206))&gt;0,1,""),0)</f>
        <v>0</v>
      </c>
      <c r="Q432" s="71">
        <f>IFERROR(IF(SEARCH(B432,_xlfn.ARRAYTOTEXT('Commercial Assistance'!I$1:I$1400))&gt;0,1,""),0)</f>
        <v>0</v>
      </c>
      <c r="R432" s="905" t="str">
        <f>IF(SUMIFS('Bilateral Assistance, MAIN DATA'!N:N,'Bilateral Assistance, MAIN DATA'!I:I,'Price List, Weapons &amp; Items'!B432)&gt;M432,1,".")</f>
        <v>.</v>
      </c>
    </row>
    <row r="433" spans="2:18" ht="15" customHeight="1">
      <c r="B433" s="901" t="s">
        <v>5780</v>
      </c>
      <c r="C433" s="898" t="s">
        <v>360</v>
      </c>
      <c r="D433" s="898" t="s">
        <v>360</v>
      </c>
      <c r="E433" s="900">
        <v>0</v>
      </c>
      <c r="F433" s="900">
        <f t="shared" si="43"/>
        <v>0</v>
      </c>
      <c r="G433" s="892">
        <v>329</v>
      </c>
      <c r="H433" s="908" t="str">
        <f t="shared" si="42"/>
        <v>USD</v>
      </c>
      <c r="I433" s="885" t="s">
        <v>377</v>
      </c>
      <c r="J433" s="901" t="s">
        <v>5080</v>
      </c>
      <c r="K433" s="901" t="s">
        <v>5781</v>
      </c>
      <c r="L433" s="905">
        <f t="shared" si="39"/>
        <v>0</v>
      </c>
      <c r="M433" s="909">
        <f>SUMIFS('Bilateral Assistance, MAIN DATA'!M:M,'Bilateral Assistance, MAIN DATA'!I:I,'Price List, Weapons &amp; Items'!B433)</f>
        <v>70000</v>
      </c>
      <c r="N433" s="71">
        <f>COUNTIFS('Bilateral Assistance, MAIN DATA'!M:M,"undisclosed",'Bilateral Assistance, MAIN DATA'!I:I,'Price List, Weapons &amp; Items'!B433)</f>
        <v>0</v>
      </c>
      <c r="O433" s="910">
        <f t="shared" si="40"/>
        <v>23030000</v>
      </c>
      <c r="P433" s="71">
        <f>IFERROR(IF(SEARCH(B433,_xlfn.ARRAYTOTEXT('Bilateral Assistance, MAIN DATA'!I$1:I$2206))&gt;0,1,""),0)</f>
        <v>0</v>
      </c>
      <c r="Q433" s="71">
        <f>IFERROR(IF(SEARCH(B433,_xlfn.ARRAYTOTEXT('Commercial Assistance'!I$1:I$1400))&gt;0,1,""),0)</f>
        <v>0</v>
      </c>
      <c r="R433" s="905" t="str">
        <f>IF(SUMIFS('Bilateral Assistance, MAIN DATA'!N:N,'Bilateral Assistance, MAIN DATA'!I:I,'Price List, Weapons &amp; Items'!B433)&gt;M433,1,".")</f>
        <v>.</v>
      </c>
    </row>
    <row r="434" spans="2:18" ht="15" customHeight="1">
      <c r="B434" s="901" t="s">
        <v>5782</v>
      </c>
      <c r="C434" s="898" t="s">
        <v>1105</v>
      </c>
      <c r="D434" s="898" t="s">
        <v>1105</v>
      </c>
      <c r="E434" s="900">
        <v>0</v>
      </c>
      <c r="F434" s="900">
        <f t="shared" si="43"/>
        <v>0</v>
      </c>
      <c r="G434" s="892">
        <v>310</v>
      </c>
      <c r="H434" s="908" t="str">
        <f t="shared" si="42"/>
        <v>USD</v>
      </c>
      <c r="I434" s="885" t="s">
        <v>5783</v>
      </c>
      <c r="J434" s="901" t="s">
        <v>5080</v>
      </c>
      <c r="K434" s="901" t="s">
        <v>5784</v>
      </c>
      <c r="L434" s="905" t="str">
        <f t="shared" si="39"/>
        <v>no price, 0 count</v>
      </c>
      <c r="M434" s="909">
        <f>SUMIFS('Bilateral Assistance, MAIN DATA'!M:M,'Bilateral Assistance, MAIN DATA'!I:I,'Price List, Weapons &amp; Items'!B434)</f>
        <v>0</v>
      </c>
      <c r="N434" s="71">
        <f>COUNTIFS('Bilateral Assistance, MAIN DATA'!M:M,"undisclosed",'Bilateral Assistance, MAIN DATA'!I:I,'Price List, Weapons &amp; Items'!B434)</f>
        <v>1</v>
      </c>
      <c r="O434" s="910">
        <f t="shared" si="40"/>
        <v>0</v>
      </c>
      <c r="P434" s="71">
        <f>IFERROR(IF(SEARCH(B434,_xlfn.ARRAYTOTEXT('Bilateral Assistance, MAIN DATA'!I$1:I$2206))&gt;0,1,""),0)</f>
        <v>0</v>
      </c>
      <c r="Q434" s="71">
        <f>IFERROR(IF(SEARCH(B434,_xlfn.ARRAYTOTEXT('Commercial Assistance'!I$1:I$1400))&gt;0,1,""),0)</f>
        <v>0</v>
      </c>
      <c r="R434" s="905" t="str">
        <f>IF(SUMIFS('Bilateral Assistance, MAIN DATA'!N:N,'Bilateral Assistance, MAIN DATA'!I:I,'Price List, Weapons &amp; Items'!B434)&gt;M434,1,".")</f>
        <v>.</v>
      </c>
    </row>
    <row r="435" spans="2:18" ht="15" customHeight="1">
      <c r="B435" s="901" t="s">
        <v>5785</v>
      </c>
      <c r="C435" s="898" t="s">
        <v>360</v>
      </c>
      <c r="D435" s="898" t="s">
        <v>360</v>
      </c>
      <c r="E435" s="900">
        <v>0</v>
      </c>
      <c r="F435" s="900">
        <f t="shared" si="43"/>
        <v>0</v>
      </c>
      <c r="G435" s="892">
        <v>183</v>
      </c>
      <c r="H435" s="908" t="str">
        <f t="shared" si="42"/>
        <v>USD</v>
      </c>
      <c r="I435" s="886" t="s">
        <v>5786</v>
      </c>
      <c r="J435" s="901" t="s">
        <v>5089</v>
      </c>
      <c r="K435" s="901" t="s">
        <v>5787</v>
      </c>
      <c r="L435" s="905">
        <f t="shared" si="39"/>
        <v>0</v>
      </c>
      <c r="M435" s="909">
        <f>SUMIFS('Bilateral Assistance, MAIN DATA'!M:M,'Bilateral Assistance, MAIN DATA'!I:I,'Price List, Weapons &amp; Items'!B435)</f>
        <v>2000</v>
      </c>
      <c r="N435" s="71">
        <f>COUNTIFS('Bilateral Assistance, MAIN DATA'!M:M,"undisclosed",'Bilateral Assistance, MAIN DATA'!I:I,'Price List, Weapons &amp; Items'!B435)</f>
        <v>0</v>
      </c>
      <c r="O435" s="910">
        <f t="shared" si="40"/>
        <v>366000</v>
      </c>
      <c r="P435" s="71">
        <f>IFERROR(IF(SEARCH(B435,_xlfn.ARRAYTOTEXT('Bilateral Assistance, MAIN DATA'!I$1:I$2206))&gt;0,1,""),0)</f>
        <v>0</v>
      </c>
      <c r="Q435" s="71">
        <f>IFERROR(IF(SEARCH(B435,_xlfn.ARRAYTOTEXT('Commercial Assistance'!I$1:I$1400))&gt;0,1,""),0)</f>
        <v>0</v>
      </c>
      <c r="R435" s="905" t="str">
        <f>IF(SUMIFS('Bilateral Assistance, MAIN DATA'!N:N,'Bilateral Assistance, MAIN DATA'!I:I,'Price List, Weapons &amp; Items'!B435)&gt;M435,1,".")</f>
        <v>.</v>
      </c>
    </row>
    <row r="436" spans="2:18" ht="15" customHeight="1">
      <c r="B436" s="901" t="s">
        <v>5788</v>
      </c>
      <c r="C436" s="898" t="s">
        <v>360</v>
      </c>
      <c r="D436" s="898" t="s">
        <v>360</v>
      </c>
      <c r="E436" s="900">
        <v>0</v>
      </c>
      <c r="F436" s="900">
        <f t="shared" si="43"/>
        <v>0</v>
      </c>
      <c r="G436" s="892">
        <v>250</v>
      </c>
      <c r="H436" s="908" t="str">
        <f t="shared" si="42"/>
        <v>USD</v>
      </c>
      <c r="I436" s="886" t="s">
        <v>5789</v>
      </c>
      <c r="J436" s="901" t="s">
        <v>5089</v>
      </c>
      <c r="K436" s="901" t="s">
        <v>5790</v>
      </c>
      <c r="L436" s="905">
        <f t="shared" si="39"/>
        <v>0</v>
      </c>
      <c r="M436" s="909">
        <f>SUMIFS('Bilateral Assistance, MAIN DATA'!M:M,'Bilateral Assistance, MAIN DATA'!I:I,'Price List, Weapons &amp; Items'!B436)</f>
        <v>25</v>
      </c>
      <c r="N436" s="71">
        <f>COUNTIFS('Bilateral Assistance, MAIN DATA'!M:M,"undisclosed",'Bilateral Assistance, MAIN DATA'!I:I,'Price List, Weapons &amp; Items'!B436)</f>
        <v>0</v>
      </c>
      <c r="O436" s="910">
        <f t="shared" si="40"/>
        <v>6250</v>
      </c>
      <c r="P436" s="71">
        <f>IFERROR(IF(SEARCH(B436,_xlfn.ARRAYTOTEXT('Bilateral Assistance, MAIN DATA'!I$1:I$2206))&gt;0,1,""),0)</f>
        <v>0</v>
      </c>
      <c r="Q436" s="71">
        <f>IFERROR(IF(SEARCH(B436,_xlfn.ARRAYTOTEXT('Commercial Assistance'!I$1:I$1400))&gt;0,1,""),0)</f>
        <v>0</v>
      </c>
      <c r="R436" s="905" t="str">
        <f>IF(SUMIFS('Bilateral Assistance, MAIN DATA'!N:N,'Bilateral Assistance, MAIN DATA'!I:I,'Price List, Weapons &amp; Items'!B436)&gt;M436,1,".")</f>
        <v>.</v>
      </c>
    </row>
    <row r="437" spans="2:18" ht="15" customHeight="1">
      <c r="B437" s="901" t="s">
        <v>5791</v>
      </c>
      <c r="C437" s="898" t="s">
        <v>360</v>
      </c>
      <c r="D437" s="898" t="s">
        <v>360</v>
      </c>
      <c r="E437" s="900">
        <v>0</v>
      </c>
      <c r="F437" s="900">
        <f t="shared" si="43"/>
        <v>0</v>
      </c>
      <c r="G437" s="892">
        <v>200</v>
      </c>
      <c r="H437" s="908" t="str">
        <f t="shared" si="42"/>
        <v>USD</v>
      </c>
      <c r="I437" s="885" t="s">
        <v>5792</v>
      </c>
      <c r="J437" s="901" t="s">
        <v>5086</v>
      </c>
      <c r="K437" s="901" t="s">
        <v>5793</v>
      </c>
      <c r="L437" s="905">
        <f t="shared" si="39"/>
        <v>0</v>
      </c>
      <c r="M437" s="909">
        <f>SUMIFS('Bilateral Assistance, MAIN DATA'!M:M,'Bilateral Assistance, MAIN DATA'!I:I,'Price List, Weapons &amp; Items'!B437)</f>
        <v>2890</v>
      </c>
      <c r="N437" s="71">
        <f>COUNTIFS('Bilateral Assistance, MAIN DATA'!M:M,"undisclosed",'Bilateral Assistance, MAIN DATA'!I:I,'Price List, Weapons &amp; Items'!B437)</f>
        <v>1</v>
      </c>
      <c r="O437" s="910">
        <f t="shared" si="40"/>
        <v>578000</v>
      </c>
      <c r="P437" s="71">
        <f>IFERROR(IF(SEARCH(B437,_xlfn.ARRAYTOTEXT('Bilateral Assistance, MAIN DATA'!I$1:I$2206))&gt;0,1,""),0)</f>
        <v>0</v>
      </c>
      <c r="Q437" s="71">
        <f>IFERROR(IF(SEARCH(B437,_xlfn.ARRAYTOTEXT('Commercial Assistance'!I$1:I$1400))&gt;0,1,""),0)</f>
        <v>0</v>
      </c>
      <c r="R437" s="905" t="str">
        <f>IF(SUMIFS('Bilateral Assistance, MAIN DATA'!N:N,'Bilateral Assistance, MAIN DATA'!I:I,'Price List, Weapons &amp; Items'!B437)&gt;M437,1,".")</f>
        <v>.</v>
      </c>
    </row>
    <row r="438" spans="2:18" ht="15" customHeight="1">
      <c r="B438" s="901" t="s">
        <v>5794</v>
      </c>
      <c r="C438" s="898" t="s">
        <v>360</v>
      </c>
      <c r="D438" s="898" t="s">
        <v>360</v>
      </c>
      <c r="E438" s="900">
        <v>0</v>
      </c>
      <c r="F438" s="900">
        <f t="shared" si="43"/>
        <v>0</v>
      </c>
      <c r="G438" s="892">
        <v>200</v>
      </c>
      <c r="H438" s="908" t="str">
        <f t="shared" si="42"/>
        <v>USD</v>
      </c>
      <c r="I438" s="886" t="s">
        <v>5795</v>
      </c>
      <c r="J438" s="901" t="s">
        <v>5080</v>
      </c>
      <c r="K438" s="901" t="s">
        <v>5796</v>
      </c>
      <c r="L438" s="905">
        <f t="shared" si="39"/>
        <v>0</v>
      </c>
      <c r="M438" s="909">
        <f>SUMIFS('Bilateral Assistance, MAIN DATA'!M:M,'Bilateral Assistance, MAIN DATA'!I:I,'Price List, Weapons &amp; Items'!B438)</f>
        <v>10000</v>
      </c>
      <c r="N438" s="71">
        <f>COUNTIFS('Bilateral Assistance, MAIN DATA'!M:M,"undisclosed",'Bilateral Assistance, MAIN DATA'!I:I,'Price List, Weapons &amp; Items'!B438)</f>
        <v>0</v>
      </c>
      <c r="O438" s="910">
        <f t="shared" si="40"/>
        <v>2000000</v>
      </c>
      <c r="P438" s="71">
        <f>IFERROR(IF(SEARCH(B438,_xlfn.ARRAYTOTEXT('Bilateral Assistance, MAIN DATA'!I$1:I$2206))&gt;0,1,""),0)</f>
        <v>0</v>
      </c>
      <c r="Q438" s="71">
        <f>IFERROR(IF(SEARCH(B438,_xlfn.ARRAYTOTEXT('Commercial Assistance'!I$1:I$1400))&gt;0,1,""),0)</f>
        <v>0</v>
      </c>
      <c r="R438" s="905" t="str">
        <f>IF(SUMIFS('Bilateral Assistance, MAIN DATA'!N:N,'Bilateral Assistance, MAIN DATA'!I:I,'Price List, Weapons &amp; Items'!B438)&gt;M438,1,".")</f>
        <v>.</v>
      </c>
    </row>
    <row r="439" spans="2:18" ht="15" customHeight="1">
      <c r="B439" s="912" t="s">
        <v>5797</v>
      </c>
      <c r="C439" s="898" t="s">
        <v>360</v>
      </c>
      <c r="D439" s="898" t="s">
        <v>360</v>
      </c>
      <c r="E439" s="900">
        <v>0</v>
      </c>
      <c r="F439" s="900">
        <f t="shared" si="43"/>
        <v>0</v>
      </c>
      <c r="G439" s="892">
        <v>200</v>
      </c>
      <c r="H439" s="908" t="str">
        <f t="shared" si="42"/>
        <v>USD</v>
      </c>
      <c r="I439" s="886" t="s">
        <v>5798</v>
      </c>
      <c r="J439" s="901" t="s">
        <v>5080</v>
      </c>
      <c r="K439" s="901" t="s">
        <v>5799</v>
      </c>
      <c r="L439" s="905">
        <f t="shared" si="39"/>
        <v>0</v>
      </c>
      <c r="M439" s="909">
        <f>SUMIFS('Bilateral Assistance, MAIN DATA'!M:M,'Bilateral Assistance, MAIN DATA'!I:I,'Price List, Weapons &amp; Items'!B439)</f>
        <v>1250</v>
      </c>
      <c r="N439" s="71">
        <f>COUNTIFS('Bilateral Assistance, MAIN DATA'!M:M,"undisclosed",'Bilateral Assistance, MAIN DATA'!I:I,'Price List, Weapons &amp; Items'!B439)</f>
        <v>0</v>
      </c>
      <c r="O439" s="910">
        <f t="shared" si="40"/>
        <v>250000</v>
      </c>
      <c r="P439" s="71">
        <f>IFERROR(IF(SEARCH(B439,_xlfn.ARRAYTOTEXT('Bilateral Assistance, MAIN DATA'!I$1:I$2206))&gt;0,1,""),0)</f>
        <v>0</v>
      </c>
      <c r="Q439" s="71">
        <f>IFERROR(IF(SEARCH(B439,_xlfn.ARRAYTOTEXT('Commercial Assistance'!I$1:I$1400))&gt;0,1,""),0)</f>
        <v>0</v>
      </c>
      <c r="R439" s="905" t="str">
        <f>IF(SUMIFS('Bilateral Assistance, MAIN DATA'!N:N,'Bilateral Assistance, MAIN DATA'!I:I,'Price List, Weapons &amp; Items'!B439)&gt;M439,1,".")</f>
        <v>.</v>
      </c>
    </row>
    <row r="440" spans="2:18" ht="15" customHeight="1">
      <c r="B440" s="901" t="s">
        <v>3359</v>
      </c>
      <c r="C440" s="898" t="s">
        <v>360</v>
      </c>
      <c r="D440" s="898" t="s">
        <v>360</v>
      </c>
      <c r="E440" s="900">
        <v>0</v>
      </c>
      <c r="F440" s="900">
        <f t="shared" si="43"/>
        <v>0</v>
      </c>
      <c r="G440" s="892">
        <v>150</v>
      </c>
      <c r="H440" s="908" t="str">
        <f t="shared" si="42"/>
        <v>USD</v>
      </c>
      <c r="I440" s="885" t="s">
        <v>5800</v>
      </c>
      <c r="J440" s="901" t="s">
        <v>5089</v>
      </c>
      <c r="K440" s="901" t="s">
        <v>5801</v>
      </c>
      <c r="L440" s="905">
        <f t="shared" si="39"/>
        <v>0</v>
      </c>
      <c r="M440" s="909">
        <f>SUMIFS('Bilateral Assistance, MAIN DATA'!M:M,'Bilateral Assistance, MAIN DATA'!I:I,'Price List, Weapons &amp; Items'!B440)</f>
        <v>100</v>
      </c>
      <c r="N440" s="71">
        <f>COUNTIFS('Bilateral Assistance, MAIN DATA'!M:M,"undisclosed",'Bilateral Assistance, MAIN DATA'!I:I,'Price List, Weapons &amp; Items'!B440)</f>
        <v>0</v>
      </c>
      <c r="O440" s="910">
        <f t="shared" si="40"/>
        <v>15000</v>
      </c>
      <c r="P440" s="71">
        <f>IFERROR(IF(SEARCH(B440,_xlfn.ARRAYTOTEXT('Bilateral Assistance, MAIN DATA'!I$1:I$2206))&gt;0,1,""),0)</f>
        <v>0</v>
      </c>
      <c r="Q440" s="71">
        <f>IFERROR(IF(SEARCH(B440,_xlfn.ARRAYTOTEXT('Commercial Assistance'!I$1:I$1400))&gt;0,1,""),0)</f>
        <v>0</v>
      </c>
      <c r="R440" s="905" t="str">
        <f>IF(SUMIFS('Bilateral Assistance, MAIN DATA'!N:N,'Bilateral Assistance, MAIN DATA'!I:I,'Price List, Weapons &amp; Items'!B440)&gt;M440,1,".")</f>
        <v>.</v>
      </c>
    </row>
    <row r="441" spans="2:18" ht="15" customHeight="1">
      <c r="B441" s="901" t="s">
        <v>5802</v>
      </c>
      <c r="C441" s="898" t="s">
        <v>360</v>
      </c>
      <c r="D441" s="898" t="s">
        <v>360</v>
      </c>
      <c r="E441" s="900">
        <v>0</v>
      </c>
      <c r="F441" s="900">
        <f t="shared" si="43"/>
        <v>0</v>
      </c>
      <c r="G441" s="892">
        <v>300</v>
      </c>
      <c r="H441" s="908" t="str">
        <f t="shared" si="42"/>
        <v>USD</v>
      </c>
      <c r="I441" s="885" t="s">
        <v>5803</v>
      </c>
      <c r="J441" s="901" t="s">
        <v>5086</v>
      </c>
      <c r="K441" s="901" t="s">
        <v>5804</v>
      </c>
      <c r="L441" s="905">
        <f t="shared" si="39"/>
        <v>0</v>
      </c>
      <c r="M441" s="909">
        <f>SUMIFS('Bilateral Assistance, MAIN DATA'!M:M,'Bilateral Assistance, MAIN DATA'!I:I,'Price List, Weapons &amp; Items'!B441)</f>
        <v>1184</v>
      </c>
      <c r="N441" s="71">
        <f>COUNTIFS('Bilateral Assistance, MAIN DATA'!M:M,"undisclosed",'Bilateral Assistance, MAIN DATA'!I:I,'Price List, Weapons &amp; Items'!B441)</f>
        <v>0</v>
      </c>
      <c r="O441" s="910">
        <f t="shared" si="40"/>
        <v>355200</v>
      </c>
      <c r="P441" s="71">
        <f>IFERROR(IF(SEARCH(B441,_xlfn.ARRAYTOTEXT('Bilateral Assistance, MAIN DATA'!I$1:I$2206))&gt;0,1,""),0)</f>
        <v>0</v>
      </c>
      <c r="Q441" s="71">
        <f>IFERROR(IF(SEARCH(B441,_xlfn.ARRAYTOTEXT('Commercial Assistance'!I$1:I$1400))&gt;0,1,""),0)</f>
        <v>0</v>
      </c>
      <c r="R441" s="905" t="str">
        <f>IF(SUMIFS('Bilateral Assistance, MAIN DATA'!N:N,'Bilateral Assistance, MAIN DATA'!I:I,'Price List, Weapons &amp; Items'!B441)&gt;M441,1,".")</f>
        <v>.</v>
      </c>
    </row>
    <row r="442" spans="2:18" ht="15" customHeight="1">
      <c r="B442" s="901" t="s">
        <v>5805</v>
      </c>
      <c r="C442" s="898" t="s">
        <v>360</v>
      </c>
      <c r="D442" s="898" t="s">
        <v>360</v>
      </c>
      <c r="E442" s="900">
        <v>0</v>
      </c>
      <c r="F442" s="900">
        <f t="shared" si="43"/>
        <v>0</v>
      </c>
      <c r="G442" s="892">
        <v>95</v>
      </c>
      <c r="H442" s="908" t="str">
        <f t="shared" si="42"/>
        <v>USD</v>
      </c>
      <c r="I442" s="885" t="s">
        <v>5806</v>
      </c>
      <c r="J442" s="901" t="s">
        <v>5086</v>
      </c>
      <c r="K442" s="901" t="s">
        <v>5807</v>
      </c>
      <c r="L442" s="905">
        <f t="shared" si="39"/>
        <v>0</v>
      </c>
      <c r="M442" s="909">
        <f>SUMIFS('Bilateral Assistance, MAIN DATA'!M:M,'Bilateral Assistance, MAIN DATA'!I:I,'Price List, Weapons &amp; Items'!B442)</f>
        <v>2</v>
      </c>
      <c r="N442" s="71">
        <f>COUNTIFS('Bilateral Assistance, MAIN DATA'!M:M,"undisclosed",'Bilateral Assistance, MAIN DATA'!I:I,'Price List, Weapons &amp; Items'!B442)</f>
        <v>0</v>
      </c>
      <c r="O442" s="910">
        <f t="shared" si="40"/>
        <v>190</v>
      </c>
      <c r="P442" s="71">
        <f>IFERROR(IF(SEARCH(B442,_xlfn.ARRAYTOTEXT('Bilateral Assistance, MAIN DATA'!I$1:I$2206))&gt;0,1,""),0)</f>
        <v>0</v>
      </c>
      <c r="Q442" s="71">
        <f>IFERROR(IF(SEARCH(B442,_xlfn.ARRAYTOTEXT('Commercial Assistance'!I$1:I$1400))&gt;0,1,""),0)</f>
        <v>0</v>
      </c>
      <c r="R442" s="905" t="str">
        <f>IF(SUMIFS('Bilateral Assistance, MAIN DATA'!N:N,'Bilateral Assistance, MAIN DATA'!I:I,'Price List, Weapons &amp; Items'!B442)&gt;M442,1,".")</f>
        <v>.</v>
      </c>
    </row>
    <row r="443" spans="2:18" ht="15" customHeight="1">
      <c r="B443" s="901" t="s">
        <v>5808</v>
      </c>
      <c r="C443" s="898" t="s">
        <v>360</v>
      </c>
      <c r="D443" s="898" t="s">
        <v>360</v>
      </c>
      <c r="E443" s="900">
        <v>0</v>
      </c>
      <c r="F443" s="900">
        <f t="shared" si="43"/>
        <v>0</v>
      </c>
      <c r="G443" s="892">
        <v>150</v>
      </c>
      <c r="H443" s="908" t="str">
        <f t="shared" si="42"/>
        <v>USD</v>
      </c>
      <c r="I443" s="886" t="s">
        <v>5809</v>
      </c>
      <c r="J443" s="901" t="s">
        <v>5089</v>
      </c>
      <c r="K443" s="901" t="s">
        <v>5810</v>
      </c>
      <c r="L443" s="905">
        <f t="shared" si="39"/>
        <v>0</v>
      </c>
      <c r="M443" s="909">
        <f>SUMIFS('Bilateral Assistance, MAIN DATA'!M:M,'Bilateral Assistance, MAIN DATA'!I:I,'Price List, Weapons &amp; Items'!B443)</f>
        <v>18699</v>
      </c>
      <c r="N443" s="71">
        <f>COUNTIFS('Bilateral Assistance, MAIN DATA'!M:M,"undisclosed",'Bilateral Assistance, MAIN DATA'!I:I,'Price List, Weapons &amp; Items'!B443)</f>
        <v>0</v>
      </c>
      <c r="O443" s="910">
        <f t="shared" si="40"/>
        <v>2804850</v>
      </c>
      <c r="P443" s="71">
        <f>IFERROR(IF(SEARCH(B443,_xlfn.ARRAYTOTEXT('Bilateral Assistance, MAIN DATA'!I$1:I$2206))&gt;0,1,""),0)</f>
        <v>0</v>
      </c>
      <c r="Q443" s="71">
        <f>IFERROR(IF(SEARCH(B443,_xlfn.ARRAYTOTEXT('Commercial Assistance'!I$1:I$1400))&gt;0,1,""),0)</f>
        <v>0</v>
      </c>
      <c r="R443" s="905" t="str">
        <f>IF(SUMIFS('Bilateral Assistance, MAIN DATA'!N:N,'Bilateral Assistance, MAIN DATA'!I:I,'Price List, Weapons &amp; Items'!B443)&gt;M443,1,".")</f>
        <v>.</v>
      </c>
    </row>
    <row r="444" spans="2:18" ht="15" customHeight="1">
      <c r="B444" s="901" t="s">
        <v>5811</v>
      </c>
      <c r="C444" s="898" t="s">
        <v>360</v>
      </c>
      <c r="D444" s="898" t="s">
        <v>360</v>
      </c>
      <c r="E444" s="900">
        <v>0</v>
      </c>
      <c r="F444" s="900">
        <f t="shared" si="43"/>
        <v>0</v>
      </c>
      <c r="G444" s="892">
        <v>50</v>
      </c>
      <c r="H444" s="908" t="str">
        <f t="shared" si="42"/>
        <v>USD</v>
      </c>
      <c r="I444" s="886" t="s">
        <v>5812</v>
      </c>
      <c r="J444" s="901" t="s">
        <v>5086</v>
      </c>
      <c r="K444" s="901" t="s">
        <v>5813</v>
      </c>
      <c r="L444" s="905">
        <f t="shared" si="39"/>
        <v>0</v>
      </c>
      <c r="M444" s="909">
        <f>SUMIFS('Bilateral Assistance, MAIN DATA'!M:M,'Bilateral Assistance, MAIN DATA'!I:I,'Price List, Weapons &amp; Items'!B444)</f>
        <v>200</v>
      </c>
      <c r="N444" s="71">
        <f>COUNTIFS('Bilateral Assistance, MAIN DATA'!M:M,"undisclosed",'Bilateral Assistance, MAIN DATA'!I:I,'Price List, Weapons &amp; Items'!B444)</f>
        <v>0</v>
      </c>
      <c r="O444" s="910">
        <f t="shared" si="40"/>
        <v>10000</v>
      </c>
      <c r="P444" s="71">
        <f>IFERROR(IF(SEARCH(B444,_xlfn.ARRAYTOTEXT('Bilateral Assistance, MAIN DATA'!I$1:I$2206))&gt;0,1,""),0)</f>
        <v>0</v>
      </c>
      <c r="Q444" s="71">
        <f>IFERROR(IF(SEARCH(B444,_xlfn.ARRAYTOTEXT('Commercial Assistance'!I$1:I$1400))&gt;0,1,""),0)</f>
        <v>0</v>
      </c>
      <c r="R444" s="905" t="str">
        <f>IF(SUMIFS('Bilateral Assistance, MAIN DATA'!N:N,'Bilateral Assistance, MAIN DATA'!I:I,'Price List, Weapons &amp; Items'!B444)&gt;M444,1,".")</f>
        <v>.</v>
      </c>
    </row>
    <row r="445" spans="2:18" ht="15" customHeight="1">
      <c r="B445" s="901" t="s">
        <v>5814</v>
      </c>
      <c r="C445" s="898" t="s">
        <v>360</v>
      </c>
      <c r="D445" s="898" t="s">
        <v>360</v>
      </c>
      <c r="E445" s="900">
        <v>0</v>
      </c>
      <c r="F445" s="900">
        <f t="shared" si="43"/>
        <v>0</v>
      </c>
      <c r="G445" s="892">
        <v>43</v>
      </c>
      <c r="H445" s="908" t="str">
        <f t="shared" ref="H445:H471" si="44">IF(G445&lt;&gt;".","USD",".")</f>
        <v>USD</v>
      </c>
      <c r="I445" s="886" t="s">
        <v>5815</v>
      </c>
      <c r="J445" s="901" t="s">
        <v>5080</v>
      </c>
      <c r="K445" s="901" t="s">
        <v>5816</v>
      </c>
      <c r="L445" s="905">
        <f t="shared" si="39"/>
        <v>0</v>
      </c>
      <c r="M445" s="909">
        <f>SUMIFS('Bilateral Assistance, MAIN DATA'!M:M,'Bilateral Assistance, MAIN DATA'!I:I,'Price List, Weapons &amp; Items'!B445)</f>
        <v>13920</v>
      </c>
      <c r="N445" s="71">
        <f>COUNTIFS('Bilateral Assistance, MAIN DATA'!M:M,"undisclosed",'Bilateral Assistance, MAIN DATA'!I:I,'Price List, Weapons &amp; Items'!B445)</f>
        <v>0</v>
      </c>
      <c r="O445" s="910">
        <f t="shared" si="40"/>
        <v>598560</v>
      </c>
      <c r="P445" s="71">
        <f>IFERROR(IF(SEARCH(B445,_xlfn.ARRAYTOTEXT('Bilateral Assistance, MAIN DATA'!I$1:I$2206))&gt;0,1,""),0)</f>
        <v>0</v>
      </c>
      <c r="Q445" s="71">
        <f>IFERROR(IF(SEARCH(B445,_xlfn.ARRAYTOTEXT('Commercial Assistance'!I$1:I$1400))&gt;0,1,""),0)</f>
        <v>0</v>
      </c>
      <c r="R445" s="905" t="str">
        <f>IF(SUMIFS('Bilateral Assistance, MAIN DATA'!N:N,'Bilateral Assistance, MAIN DATA'!I:I,'Price List, Weapons &amp; Items'!B445)&gt;M445,1,".")</f>
        <v>.</v>
      </c>
    </row>
    <row r="446" spans="2:18" ht="15" customHeight="1">
      <c r="B446" s="901" t="s">
        <v>5817</v>
      </c>
      <c r="C446" s="898" t="s">
        <v>360</v>
      </c>
      <c r="D446" s="898" t="s">
        <v>360</v>
      </c>
      <c r="E446" s="900">
        <v>0</v>
      </c>
      <c r="F446" s="900">
        <f t="shared" si="43"/>
        <v>0</v>
      </c>
      <c r="G446" s="892">
        <v>40</v>
      </c>
      <c r="H446" s="908" t="str">
        <f t="shared" si="44"/>
        <v>USD</v>
      </c>
      <c r="I446" s="885" t="s">
        <v>5818</v>
      </c>
      <c r="J446" s="901" t="s">
        <v>5086</v>
      </c>
      <c r="K446" s="901" t="s">
        <v>5819</v>
      </c>
      <c r="L446" s="905">
        <f t="shared" si="39"/>
        <v>0</v>
      </c>
      <c r="M446" s="909">
        <f>SUMIFS('Bilateral Assistance, MAIN DATA'!M:M,'Bilateral Assistance, MAIN DATA'!I:I,'Price List, Weapons &amp; Items'!B446)</f>
        <v>10000</v>
      </c>
      <c r="N446" s="71">
        <f>COUNTIFS('Bilateral Assistance, MAIN DATA'!M:M,"undisclosed",'Bilateral Assistance, MAIN DATA'!I:I,'Price List, Weapons &amp; Items'!B446)</f>
        <v>0</v>
      </c>
      <c r="O446" s="910">
        <f t="shared" si="40"/>
        <v>400000</v>
      </c>
      <c r="P446" s="71">
        <f>IFERROR(IF(SEARCH(B446,_xlfn.ARRAYTOTEXT('Bilateral Assistance, MAIN DATA'!I$1:I$2206))&gt;0,1,""),0)</f>
        <v>0</v>
      </c>
      <c r="Q446" s="71">
        <f>IFERROR(IF(SEARCH(B446,_xlfn.ARRAYTOTEXT('Commercial Assistance'!I$1:I$1400))&gt;0,1,""),0)</f>
        <v>0</v>
      </c>
      <c r="R446" s="905" t="str">
        <f>IF(SUMIFS('Bilateral Assistance, MAIN DATA'!N:N,'Bilateral Assistance, MAIN DATA'!I:I,'Price List, Weapons &amp; Items'!B446)&gt;M446,1,".")</f>
        <v>.</v>
      </c>
    </row>
    <row r="447" spans="2:18" ht="15" customHeight="1">
      <c r="B447" s="901" t="s">
        <v>5820</v>
      </c>
      <c r="C447" s="898" t="s">
        <v>360</v>
      </c>
      <c r="D447" s="898" t="s">
        <v>360</v>
      </c>
      <c r="E447" s="900">
        <v>0</v>
      </c>
      <c r="F447" s="900">
        <f t="shared" si="43"/>
        <v>0</v>
      </c>
      <c r="G447" s="892">
        <v>31.54</v>
      </c>
      <c r="H447" s="908" t="str">
        <f t="shared" si="44"/>
        <v>USD</v>
      </c>
      <c r="I447" s="885" t="s">
        <v>2401</v>
      </c>
      <c r="J447" s="901" t="s">
        <v>5119</v>
      </c>
      <c r="K447" s="901" t="s">
        <v>5821</v>
      </c>
      <c r="L447" s="905">
        <f t="shared" si="39"/>
        <v>0</v>
      </c>
      <c r="M447" s="909">
        <f>SUMIFS('Bilateral Assistance, MAIN DATA'!M:M,'Bilateral Assistance, MAIN DATA'!I:I,'Price List, Weapons &amp; Items'!B447)</f>
        <v>200</v>
      </c>
      <c r="N447" s="71">
        <f>COUNTIFS('Bilateral Assistance, MAIN DATA'!M:M,"undisclosed",'Bilateral Assistance, MAIN DATA'!I:I,'Price List, Weapons &amp; Items'!B447)</f>
        <v>0</v>
      </c>
      <c r="O447" s="910">
        <f t="shared" si="40"/>
        <v>6308</v>
      </c>
      <c r="P447" s="71">
        <f>IFERROR(IF(SEARCH(B447,_xlfn.ARRAYTOTEXT('Bilateral Assistance, MAIN DATA'!I$1:I$2206))&gt;0,1,""),0)</f>
        <v>0</v>
      </c>
      <c r="Q447" s="71">
        <f>IFERROR(IF(SEARCH(B447,_xlfn.ARRAYTOTEXT('Commercial Assistance'!I$1:I$1400))&gt;0,1,""),0)</f>
        <v>0</v>
      </c>
      <c r="R447" s="905" t="str">
        <f>IF(SUMIFS('Bilateral Assistance, MAIN DATA'!N:N,'Bilateral Assistance, MAIN DATA'!I:I,'Price List, Weapons &amp; Items'!B447)&gt;M447,1,".")</f>
        <v>.</v>
      </c>
    </row>
    <row r="448" spans="2:18" ht="15" customHeight="1">
      <c r="B448" s="912" t="s">
        <v>1582</v>
      </c>
      <c r="C448" s="898" t="s">
        <v>360</v>
      </c>
      <c r="D448" s="898" t="s">
        <v>360</v>
      </c>
      <c r="E448" s="900">
        <v>0</v>
      </c>
      <c r="F448" s="900">
        <f t="shared" si="43"/>
        <v>0</v>
      </c>
      <c r="G448" s="892">
        <v>37609.264000000003</v>
      </c>
      <c r="H448" s="908" t="str">
        <f t="shared" si="44"/>
        <v>USD</v>
      </c>
      <c r="I448" s="886" t="s">
        <v>5822</v>
      </c>
      <c r="J448" s="901" t="s">
        <v>5089</v>
      </c>
      <c r="K448" s="901" t="s">
        <v>5823</v>
      </c>
      <c r="L448" s="905">
        <f t="shared" si="39"/>
        <v>0</v>
      </c>
      <c r="M448" s="909">
        <f>SUMIFS('Bilateral Assistance, MAIN DATA'!M:M,'Bilateral Assistance, MAIN DATA'!I:I,'Price List, Weapons &amp; Items'!B448)</f>
        <v>31</v>
      </c>
      <c r="N448" s="71">
        <f>COUNTIFS('Bilateral Assistance, MAIN DATA'!M:M,"undisclosed",'Bilateral Assistance, MAIN DATA'!I:I,'Price List, Weapons &amp; Items'!B448)</f>
        <v>0</v>
      </c>
      <c r="O448" s="910">
        <f t="shared" si="40"/>
        <v>1165887.1840000001</v>
      </c>
      <c r="P448" s="71">
        <f>IFERROR(IF(SEARCH(B448,_xlfn.ARRAYTOTEXT('Bilateral Assistance, MAIN DATA'!I$1:I$2206))&gt;0,1,""),0)</f>
        <v>0</v>
      </c>
      <c r="Q448" s="71">
        <f>IFERROR(IF(SEARCH(B448,_xlfn.ARRAYTOTEXT('Commercial Assistance'!I$1:I$1400))&gt;0,1,""),0)</f>
        <v>0</v>
      </c>
      <c r="R448" s="905" t="str">
        <f>IF(SUMIFS('Bilateral Assistance, MAIN DATA'!N:N,'Bilateral Assistance, MAIN DATA'!I:I,'Price List, Weapons &amp; Items'!B448)&gt;M448,1,".")</f>
        <v>.</v>
      </c>
    </row>
    <row r="449" spans="2:18" ht="15" customHeight="1">
      <c r="B449" s="901" t="s">
        <v>5824</v>
      </c>
      <c r="C449" s="898" t="s">
        <v>360</v>
      </c>
      <c r="D449" s="898" t="s">
        <v>360</v>
      </c>
      <c r="E449" s="900">
        <v>0</v>
      </c>
      <c r="F449" s="900">
        <f t="shared" si="43"/>
        <v>0</v>
      </c>
      <c r="G449" s="892">
        <v>27.35</v>
      </c>
      <c r="H449" s="908" t="str">
        <f t="shared" si="44"/>
        <v>USD</v>
      </c>
      <c r="I449" s="885" t="s">
        <v>5825</v>
      </c>
      <c r="J449" s="901" t="s">
        <v>5086</v>
      </c>
      <c r="K449" s="901" t="s">
        <v>5826</v>
      </c>
      <c r="L449" s="905">
        <f t="shared" si="39"/>
        <v>0</v>
      </c>
      <c r="M449" s="909">
        <f>SUMIFS('Bilateral Assistance, MAIN DATA'!M:M,'Bilateral Assistance, MAIN DATA'!I:I,'Price List, Weapons &amp; Items'!B449)</f>
        <v>0</v>
      </c>
      <c r="N449" s="71">
        <f>COUNTIFS('Bilateral Assistance, MAIN DATA'!M:M,"undisclosed",'Bilateral Assistance, MAIN DATA'!I:I,'Price List, Weapons &amp; Items'!B449)</f>
        <v>1</v>
      </c>
      <c r="O449" s="910">
        <f t="shared" si="40"/>
        <v>0</v>
      </c>
      <c r="P449" s="71">
        <f>IFERROR(IF(SEARCH(B449,_xlfn.ARRAYTOTEXT('Bilateral Assistance, MAIN DATA'!I$1:I$2206))&gt;0,1,""),0)</f>
        <v>0</v>
      </c>
      <c r="Q449" s="71">
        <f>IFERROR(IF(SEARCH(B449,_xlfn.ARRAYTOTEXT('Commercial Assistance'!I$1:I$1400))&gt;0,1,""),0)</f>
        <v>0</v>
      </c>
      <c r="R449" s="905" t="str">
        <f>IF(SUMIFS('Bilateral Assistance, MAIN DATA'!N:N,'Bilateral Assistance, MAIN DATA'!I:I,'Price List, Weapons &amp; Items'!B449)&gt;M449,1,".")</f>
        <v>.</v>
      </c>
    </row>
    <row r="450" spans="2:18" ht="15" customHeight="1">
      <c r="B450" s="901" t="s">
        <v>5827</v>
      </c>
      <c r="C450" s="898" t="s">
        <v>360</v>
      </c>
      <c r="D450" s="898" t="s">
        <v>360</v>
      </c>
      <c r="E450" s="900">
        <v>0</v>
      </c>
      <c r="F450" s="900">
        <f t="shared" si="43"/>
        <v>0</v>
      </c>
      <c r="G450" s="892">
        <v>3000</v>
      </c>
      <c r="H450" s="908" t="str">
        <f t="shared" si="44"/>
        <v>USD</v>
      </c>
      <c r="I450" s="885" t="s">
        <v>5828</v>
      </c>
      <c r="J450" s="901" t="s">
        <v>5086</v>
      </c>
      <c r="K450" s="901" t="s">
        <v>5829</v>
      </c>
      <c r="L450" s="905">
        <f t="shared" si="39"/>
        <v>0</v>
      </c>
      <c r="M450" s="909">
        <f>SUMIFS('Bilateral Assistance, MAIN DATA'!M:M,'Bilateral Assistance, MAIN DATA'!I:I,'Price List, Weapons &amp; Items'!B450)</f>
        <v>231</v>
      </c>
      <c r="N450" s="71">
        <f>COUNTIFS('Bilateral Assistance, MAIN DATA'!M:M,"undisclosed",'Bilateral Assistance, MAIN DATA'!I:I,'Price List, Weapons &amp; Items'!B450)</f>
        <v>0</v>
      </c>
      <c r="O450" s="910">
        <f t="shared" si="40"/>
        <v>693000</v>
      </c>
      <c r="P450" s="71">
        <f>IFERROR(IF(SEARCH(B450,_xlfn.ARRAYTOTEXT('Bilateral Assistance, MAIN DATA'!I$1:I$2206))&gt;0,1,""),0)</f>
        <v>0</v>
      </c>
      <c r="Q450" s="71">
        <f>IFERROR(IF(SEARCH(B450,_xlfn.ARRAYTOTEXT('Commercial Assistance'!I$1:I$1400))&gt;0,1,""),0)</f>
        <v>0</v>
      </c>
      <c r="R450" s="905" t="str">
        <f>IF(SUMIFS('Bilateral Assistance, MAIN DATA'!N:N,'Bilateral Assistance, MAIN DATA'!I:I,'Price List, Weapons &amp; Items'!B450)&gt;M450,1,".")</f>
        <v>.</v>
      </c>
    </row>
    <row r="451" spans="2:18" ht="15" customHeight="1">
      <c r="B451" s="901" t="s">
        <v>3235</v>
      </c>
      <c r="C451" s="898" t="s">
        <v>360</v>
      </c>
      <c r="D451" s="898" t="s">
        <v>360</v>
      </c>
      <c r="E451" s="900">
        <v>0</v>
      </c>
      <c r="F451" s="900">
        <f t="shared" si="43"/>
        <v>0</v>
      </c>
      <c r="G451" s="892">
        <v>22</v>
      </c>
      <c r="H451" s="908" t="str">
        <f t="shared" si="44"/>
        <v>USD</v>
      </c>
      <c r="I451" s="926" t="s">
        <v>5519</v>
      </c>
      <c r="J451" s="901" t="s">
        <v>5086</v>
      </c>
      <c r="K451" s="901" t="s">
        <v>5520</v>
      </c>
      <c r="L451" s="905">
        <f t="shared" si="39"/>
        <v>0</v>
      </c>
      <c r="M451" s="909">
        <f>SUMIFS('Bilateral Assistance, MAIN DATA'!M:M,'Bilateral Assistance, MAIN DATA'!I:I,'Price List, Weapons &amp; Items'!B451)</f>
        <v>184536</v>
      </c>
      <c r="N451" s="71">
        <f>COUNTIFS('Bilateral Assistance, MAIN DATA'!M:M,"undisclosed",'Bilateral Assistance, MAIN DATA'!I:I,'Price List, Weapons &amp; Items'!B451)</f>
        <v>4</v>
      </c>
      <c r="O451" s="910">
        <f t="shared" si="40"/>
        <v>4059792</v>
      </c>
      <c r="P451" s="71">
        <f>IFERROR(IF(SEARCH(B451,_xlfn.ARRAYTOTEXT('Bilateral Assistance, MAIN DATA'!I$1:I$2206))&gt;0,1,""),0)</f>
        <v>0</v>
      </c>
      <c r="Q451" s="71">
        <f>IFERROR(IF(SEARCH(B451,_xlfn.ARRAYTOTEXT('Commercial Assistance'!I$1:I$1400))&gt;0,1,""),0)</f>
        <v>0</v>
      </c>
      <c r="R451" s="905" t="str">
        <f>IF(SUMIFS('Bilateral Assistance, MAIN DATA'!N:N,'Bilateral Assistance, MAIN DATA'!I:I,'Price List, Weapons &amp; Items'!B451)&gt;M451,1,".")</f>
        <v>.</v>
      </c>
    </row>
    <row r="452" spans="2:18" ht="15" customHeight="1">
      <c r="B452" s="901" t="s">
        <v>5830</v>
      </c>
      <c r="C452" s="898" t="s">
        <v>360</v>
      </c>
      <c r="D452" s="898" t="s">
        <v>360</v>
      </c>
      <c r="E452" s="900">
        <v>0</v>
      </c>
      <c r="F452" s="900">
        <f t="shared" si="43"/>
        <v>0</v>
      </c>
      <c r="G452" s="892">
        <v>22</v>
      </c>
      <c r="H452" s="908" t="str">
        <f t="shared" si="44"/>
        <v>USD</v>
      </c>
      <c r="I452" s="886" t="s">
        <v>5831</v>
      </c>
      <c r="J452" s="901" t="s">
        <v>5089</v>
      </c>
      <c r="K452" s="901" t="s">
        <v>5832</v>
      </c>
      <c r="L452" s="905">
        <f t="shared" si="39"/>
        <v>0</v>
      </c>
      <c r="M452" s="909">
        <f>SUMIFS('Bilateral Assistance, MAIN DATA'!M:M,'Bilateral Assistance, MAIN DATA'!I:I,'Price List, Weapons &amp; Items'!B452)</f>
        <v>5000</v>
      </c>
      <c r="N452" s="71">
        <f>COUNTIFS('Bilateral Assistance, MAIN DATA'!M:M,"undisclosed",'Bilateral Assistance, MAIN DATA'!I:I,'Price List, Weapons &amp; Items'!B452)</f>
        <v>0</v>
      </c>
      <c r="O452" s="910">
        <f t="shared" si="40"/>
        <v>110000</v>
      </c>
      <c r="P452" s="71">
        <f>IFERROR(IF(SEARCH(B452,_xlfn.ARRAYTOTEXT('Bilateral Assistance, MAIN DATA'!I$1:I$2206))&gt;0,1,""),0)</f>
        <v>0</v>
      </c>
      <c r="Q452" s="71">
        <f>IFERROR(IF(SEARCH(B452,_xlfn.ARRAYTOTEXT('Commercial Assistance'!I$1:I$1400))&gt;0,1,""),0)</f>
        <v>0</v>
      </c>
      <c r="R452" s="905" t="str">
        <f>IF(SUMIFS('Bilateral Assistance, MAIN DATA'!N:N,'Bilateral Assistance, MAIN DATA'!I:I,'Price List, Weapons &amp; Items'!B452)&gt;M452,1,".")</f>
        <v>.</v>
      </c>
    </row>
    <row r="453" spans="2:18" ht="15" customHeight="1">
      <c r="B453" s="901" t="s">
        <v>5833</v>
      </c>
      <c r="C453" s="898" t="s">
        <v>360</v>
      </c>
      <c r="D453" s="898" t="s">
        <v>360</v>
      </c>
      <c r="E453" s="900">
        <v>0</v>
      </c>
      <c r="F453" s="900">
        <f t="shared" si="43"/>
        <v>0</v>
      </c>
      <c r="G453" s="892">
        <v>20</v>
      </c>
      <c r="H453" s="908" t="str">
        <f t="shared" si="44"/>
        <v>USD</v>
      </c>
      <c r="I453" s="886" t="s">
        <v>5834</v>
      </c>
      <c r="J453" s="901" t="s">
        <v>5086</v>
      </c>
      <c r="K453" s="901" t="s">
        <v>5835</v>
      </c>
      <c r="L453" s="905">
        <f t="shared" si="39"/>
        <v>0</v>
      </c>
      <c r="M453" s="909">
        <f>SUMIFS('Bilateral Assistance, MAIN DATA'!M:M,'Bilateral Assistance, MAIN DATA'!I:I,'Price List, Weapons &amp; Items'!B453)</f>
        <v>5000</v>
      </c>
      <c r="N453" s="71">
        <f>COUNTIFS('Bilateral Assistance, MAIN DATA'!M:M,"undisclosed",'Bilateral Assistance, MAIN DATA'!I:I,'Price List, Weapons &amp; Items'!B453)</f>
        <v>0</v>
      </c>
      <c r="O453" s="910">
        <f t="shared" si="40"/>
        <v>100000</v>
      </c>
      <c r="P453" s="71">
        <f>IFERROR(IF(SEARCH(B453,_xlfn.ARRAYTOTEXT('Bilateral Assistance, MAIN DATA'!I$1:I$2206))&gt;0,1,""),0)</f>
        <v>0</v>
      </c>
      <c r="Q453" s="71">
        <f>IFERROR(IF(SEARCH(B453,_xlfn.ARRAYTOTEXT('Commercial Assistance'!I$1:I$1400))&gt;0,1,""),0)</f>
        <v>0</v>
      </c>
      <c r="R453" s="905" t="str">
        <f>IF(SUMIFS('Bilateral Assistance, MAIN DATA'!N:N,'Bilateral Assistance, MAIN DATA'!I:I,'Price List, Weapons &amp; Items'!B453)&gt;M453,1,".")</f>
        <v>.</v>
      </c>
    </row>
    <row r="454" spans="2:18" ht="15" customHeight="1">
      <c r="B454" s="901" t="s">
        <v>5836</v>
      </c>
      <c r="C454" s="898" t="s">
        <v>360</v>
      </c>
      <c r="D454" s="898" t="s">
        <v>360</v>
      </c>
      <c r="E454" s="900">
        <v>0</v>
      </c>
      <c r="F454" s="900">
        <f t="shared" si="43"/>
        <v>0</v>
      </c>
      <c r="G454" s="892">
        <v>0.32</v>
      </c>
      <c r="H454" s="908" t="str">
        <f t="shared" si="44"/>
        <v>USD</v>
      </c>
      <c r="I454" s="886" t="s">
        <v>5837</v>
      </c>
      <c r="J454" s="901" t="s">
        <v>5086</v>
      </c>
      <c r="K454" s="901" t="s">
        <v>5838</v>
      </c>
      <c r="L454" s="905">
        <f t="shared" si="39"/>
        <v>0</v>
      </c>
      <c r="M454" s="909">
        <f>SUMIFS('Bilateral Assistance, MAIN DATA'!M:M,'Bilateral Assistance, MAIN DATA'!I:I,'Price List, Weapons &amp; Items'!B454)</f>
        <v>250000</v>
      </c>
      <c r="N454" s="71">
        <f>COUNTIFS('Bilateral Assistance, MAIN DATA'!M:M,"undisclosed",'Bilateral Assistance, MAIN DATA'!I:I,'Price List, Weapons &amp; Items'!B454)</f>
        <v>0</v>
      </c>
      <c r="O454" s="910">
        <f t="shared" si="40"/>
        <v>80000</v>
      </c>
      <c r="P454" s="71">
        <f>IFERROR(IF(SEARCH(B454,_xlfn.ARRAYTOTEXT('Bilateral Assistance, MAIN DATA'!I$1:I$2206))&gt;0,1,""),0)</f>
        <v>0</v>
      </c>
      <c r="Q454" s="71">
        <f>IFERROR(IF(SEARCH(B454,_xlfn.ARRAYTOTEXT('Commercial Assistance'!I$1:I$1400))&gt;0,1,""),0)</f>
        <v>0</v>
      </c>
      <c r="R454" s="905" t="str">
        <f>IF(SUMIFS('Bilateral Assistance, MAIN DATA'!N:N,'Bilateral Assistance, MAIN DATA'!I:I,'Price List, Weapons &amp; Items'!B454)&gt;M454,1,".")</f>
        <v>.</v>
      </c>
    </row>
    <row r="455" spans="2:18" ht="15" customHeight="1">
      <c r="B455" s="901" t="s">
        <v>5839</v>
      </c>
      <c r="C455" s="898" t="s">
        <v>360</v>
      </c>
      <c r="D455" s="898" t="s">
        <v>360</v>
      </c>
      <c r="E455" s="900">
        <v>0</v>
      </c>
      <c r="F455" s="900">
        <f t="shared" si="43"/>
        <v>0</v>
      </c>
      <c r="G455" s="892">
        <v>0.26</v>
      </c>
      <c r="H455" s="908" t="str">
        <f t="shared" si="44"/>
        <v>USD</v>
      </c>
      <c r="I455" s="885" t="s">
        <v>5840</v>
      </c>
      <c r="J455" s="901" t="s">
        <v>5086</v>
      </c>
      <c r="K455" s="901" t="s">
        <v>5841</v>
      </c>
      <c r="L455" s="905">
        <f t="shared" si="39"/>
        <v>0</v>
      </c>
      <c r="M455" s="909">
        <f>SUMIFS('Bilateral Assistance, MAIN DATA'!M:M,'Bilateral Assistance, MAIN DATA'!I:I,'Price List, Weapons &amp; Items'!B455)</f>
        <v>250000</v>
      </c>
      <c r="N455" s="71">
        <f>COUNTIFS('Bilateral Assistance, MAIN DATA'!M:M,"undisclosed",'Bilateral Assistance, MAIN DATA'!I:I,'Price List, Weapons &amp; Items'!B455)</f>
        <v>0</v>
      </c>
      <c r="O455" s="910">
        <f t="shared" si="40"/>
        <v>65000</v>
      </c>
      <c r="P455" s="71">
        <f>IFERROR(IF(SEARCH(B455,_xlfn.ARRAYTOTEXT('Bilateral Assistance, MAIN DATA'!I$1:I$2206))&gt;0,1,""),0)</f>
        <v>0</v>
      </c>
      <c r="Q455" s="71">
        <f>IFERROR(IF(SEARCH(B455,_xlfn.ARRAYTOTEXT('Commercial Assistance'!I$1:I$1400))&gt;0,1,""),0)</f>
        <v>0</v>
      </c>
      <c r="R455" s="905" t="str">
        <f>IF(SUMIFS('Bilateral Assistance, MAIN DATA'!N:N,'Bilateral Assistance, MAIN DATA'!I:I,'Price List, Weapons &amp; Items'!B455)&gt;M455,1,".")</f>
        <v>.</v>
      </c>
    </row>
    <row r="456" spans="2:18" ht="15" customHeight="1">
      <c r="B456" s="901" t="s">
        <v>5842</v>
      </c>
      <c r="C456" s="898" t="s">
        <v>360</v>
      </c>
      <c r="D456" s="898" t="s">
        <v>360</v>
      </c>
      <c r="E456" s="900">
        <v>0</v>
      </c>
      <c r="F456" s="900">
        <f t="shared" si="43"/>
        <v>0</v>
      </c>
      <c r="G456" s="892">
        <v>13.5</v>
      </c>
      <c r="H456" s="908" t="str">
        <f t="shared" si="44"/>
        <v>USD</v>
      </c>
      <c r="I456" s="885" t="s">
        <v>5843</v>
      </c>
      <c r="J456" s="901" t="s">
        <v>5086</v>
      </c>
      <c r="K456" s="901" t="s">
        <v>5844</v>
      </c>
      <c r="L456" s="905">
        <f t="shared" si="39"/>
        <v>0</v>
      </c>
      <c r="M456" s="909">
        <f>SUMIFS('Bilateral Assistance, MAIN DATA'!M:M,'Bilateral Assistance, MAIN DATA'!I:I,'Price List, Weapons &amp; Items'!B456)</f>
        <v>500000</v>
      </c>
      <c r="N456" s="71">
        <f>COUNTIFS('Bilateral Assistance, MAIN DATA'!M:M,"undisclosed",'Bilateral Assistance, MAIN DATA'!I:I,'Price List, Weapons &amp; Items'!B456)</f>
        <v>0</v>
      </c>
      <c r="O456" s="910">
        <f t="shared" si="40"/>
        <v>6750000</v>
      </c>
      <c r="P456" s="71">
        <f>IFERROR(IF(SEARCH(B456,_xlfn.ARRAYTOTEXT('Bilateral Assistance, MAIN DATA'!I$1:I$2206))&gt;0,1,""),0)</f>
        <v>0</v>
      </c>
      <c r="Q456" s="71">
        <f>IFERROR(IF(SEARCH(B456,_xlfn.ARRAYTOTEXT('Commercial Assistance'!I$1:I$1400))&gt;0,1,""),0)</f>
        <v>0</v>
      </c>
      <c r="R456" s="905" t="str">
        <f>IF(SUMIFS('Bilateral Assistance, MAIN DATA'!N:N,'Bilateral Assistance, MAIN DATA'!I:I,'Price List, Weapons &amp; Items'!B456)&gt;M456,1,".")</f>
        <v>.</v>
      </c>
    </row>
    <row r="457" spans="2:18" ht="15" customHeight="1">
      <c r="B457" s="901" t="s">
        <v>5845</v>
      </c>
      <c r="C457" s="898" t="s">
        <v>360</v>
      </c>
      <c r="D457" s="898" t="s">
        <v>360</v>
      </c>
      <c r="E457" s="900">
        <v>0</v>
      </c>
      <c r="F457" s="900">
        <f t="shared" si="43"/>
        <v>0</v>
      </c>
      <c r="G457" s="892">
        <v>10</v>
      </c>
      <c r="H457" s="908" t="str">
        <f t="shared" si="44"/>
        <v>USD</v>
      </c>
      <c r="I457" s="886" t="s">
        <v>5846</v>
      </c>
      <c r="J457" s="901" t="s">
        <v>5086</v>
      </c>
      <c r="K457" s="901" t="s">
        <v>5847</v>
      </c>
      <c r="L457" s="905">
        <f t="shared" si="39"/>
        <v>0</v>
      </c>
      <c r="M457" s="909">
        <f>SUMIFS('Bilateral Assistance, MAIN DATA'!M:M,'Bilateral Assistance, MAIN DATA'!I:I,'Price List, Weapons &amp; Items'!B457)</f>
        <v>10000</v>
      </c>
      <c r="N457" s="71">
        <f>COUNTIFS('Bilateral Assistance, MAIN DATA'!M:M,"undisclosed",'Bilateral Assistance, MAIN DATA'!I:I,'Price List, Weapons &amp; Items'!B457)</f>
        <v>0</v>
      </c>
      <c r="O457" s="910">
        <f t="shared" si="40"/>
        <v>100000</v>
      </c>
      <c r="P457" s="71">
        <f>IFERROR(IF(SEARCH(B457,_xlfn.ARRAYTOTEXT('Bilateral Assistance, MAIN DATA'!I$1:I$2206))&gt;0,1,""),0)</f>
        <v>0</v>
      </c>
      <c r="Q457" s="71">
        <f>IFERROR(IF(SEARCH(B457,_xlfn.ARRAYTOTEXT('Commercial Assistance'!I$1:I$1400))&gt;0,1,""),0)</f>
        <v>0</v>
      </c>
      <c r="R457" s="905" t="str">
        <f>IF(SUMIFS('Bilateral Assistance, MAIN DATA'!N:N,'Bilateral Assistance, MAIN DATA'!I:I,'Price List, Weapons &amp; Items'!B457)&gt;M457,1,".")</f>
        <v>.</v>
      </c>
    </row>
    <row r="458" spans="2:18" ht="15" customHeight="1">
      <c r="B458" s="901" t="s">
        <v>5848</v>
      </c>
      <c r="C458" s="898" t="s">
        <v>360</v>
      </c>
      <c r="D458" s="898" t="s">
        <v>360</v>
      </c>
      <c r="E458" s="900">
        <v>0</v>
      </c>
      <c r="F458" s="900">
        <f t="shared" si="43"/>
        <v>0</v>
      </c>
      <c r="G458" s="892">
        <v>10</v>
      </c>
      <c r="H458" s="908" t="str">
        <f t="shared" si="44"/>
        <v>USD</v>
      </c>
      <c r="I458" s="886" t="s">
        <v>5849</v>
      </c>
      <c r="J458" s="901" t="s">
        <v>5086</v>
      </c>
      <c r="K458" s="901" t="s">
        <v>5850</v>
      </c>
      <c r="L458" s="905">
        <f t="shared" si="39"/>
        <v>0</v>
      </c>
      <c r="M458" s="909">
        <f>SUMIFS('Bilateral Assistance, MAIN DATA'!M:M,'Bilateral Assistance, MAIN DATA'!I:I,'Price List, Weapons &amp; Items'!B458)</f>
        <v>50600</v>
      </c>
      <c r="N458" s="71">
        <f>COUNTIFS('Bilateral Assistance, MAIN DATA'!M:M,"undisclosed",'Bilateral Assistance, MAIN DATA'!I:I,'Price List, Weapons &amp; Items'!B458)</f>
        <v>0</v>
      </c>
      <c r="O458" s="910">
        <f t="shared" ref="O458:O521" si="45">IFERROR(M458*G458,"no price")</f>
        <v>506000</v>
      </c>
      <c r="P458" s="71">
        <f>IFERROR(IF(SEARCH(B458,_xlfn.ARRAYTOTEXT('Bilateral Assistance, MAIN DATA'!I$1:I$2206))&gt;0,1,""),0)</f>
        <v>0</v>
      </c>
      <c r="Q458" s="71">
        <f>IFERROR(IF(SEARCH(B458,_xlfn.ARRAYTOTEXT('Commercial Assistance'!I$1:I$1400))&gt;0,1,""),0)</f>
        <v>0</v>
      </c>
      <c r="R458" s="905" t="str">
        <f>IF(SUMIFS('Bilateral Assistance, MAIN DATA'!N:N,'Bilateral Assistance, MAIN DATA'!I:I,'Price List, Weapons &amp; Items'!B458)&gt;M458,1,".")</f>
        <v>.</v>
      </c>
    </row>
    <row r="459" spans="2:18" ht="15" customHeight="1">
      <c r="B459" s="901" t="s">
        <v>5851</v>
      </c>
      <c r="C459" s="898" t="s">
        <v>360</v>
      </c>
      <c r="D459" s="898" t="s">
        <v>360</v>
      </c>
      <c r="E459" s="900">
        <v>0</v>
      </c>
      <c r="F459" s="900">
        <f t="shared" si="43"/>
        <v>0</v>
      </c>
      <c r="G459" s="892">
        <v>6.2</v>
      </c>
      <c r="H459" s="908" t="str">
        <f t="shared" si="44"/>
        <v>USD</v>
      </c>
      <c r="I459" s="886" t="s">
        <v>5852</v>
      </c>
      <c r="J459" s="901" t="s">
        <v>5086</v>
      </c>
      <c r="K459" s="901" t="s">
        <v>5853</v>
      </c>
      <c r="L459" s="905">
        <f t="shared" si="39"/>
        <v>0</v>
      </c>
      <c r="M459" s="909">
        <f>SUMIFS('Bilateral Assistance, MAIN DATA'!M:M,'Bilateral Assistance, MAIN DATA'!I:I,'Price List, Weapons &amp; Items'!B459)</f>
        <v>5000</v>
      </c>
      <c r="N459" s="71">
        <f>COUNTIFS('Bilateral Assistance, MAIN DATA'!M:M,"undisclosed",'Bilateral Assistance, MAIN DATA'!I:I,'Price List, Weapons &amp; Items'!B459)</f>
        <v>0</v>
      </c>
      <c r="O459" s="910">
        <f t="shared" si="45"/>
        <v>31000</v>
      </c>
      <c r="P459" s="71">
        <f>IFERROR(IF(SEARCH(B459,_xlfn.ARRAYTOTEXT('Bilateral Assistance, MAIN DATA'!I$1:I$2206))&gt;0,1,""),0)</f>
        <v>0</v>
      </c>
      <c r="Q459" s="71">
        <f>IFERROR(IF(SEARCH(B459,_xlfn.ARRAYTOTEXT('Commercial Assistance'!I$1:I$1400))&gt;0,1,""),0)</f>
        <v>0</v>
      </c>
      <c r="R459" s="905" t="str">
        <f>IF(SUMIFS('Bilateral Assistance, MAIN DATA'!N:N,'Bilateral Assistance, MAIN DATA'!I:I,'Price List, Weapons &amp; Items'!B459)&gt;M459,1,".")</f>
        <v>.</v>
      </c>
    </row>
    <row r="460" spans="2:18" ht="15" customHeight="1">
      <c r="B460" s="901" t="s">
        <v>5854</v>
      </c>
      <c r="C460" s="898" t="s">
        <v>360</v>
      </c>
      <c r="D460" s="898" t="s">
        <v>360</v>
      </c>
      <c r="E460" s="900">
        <v>0</v>
      </c>
      <c r="F460" s="900">
        <f t="shared" si="43"/>
        <v>0</v>
      </c>
      <c r="G460" s="892">
        <v>12</v>
      </c>
      <c r="H460" s="908" t="str">
        <f t="shared" si="44"/>
        <v>USD</v>
      </c>
      <c r="I460" s="886" t="s">
        <v>5855</v>
      </c>
      <c r="J460" s="901" t="s">
        <v>5086</v>
      </c>
      <c r="K460" s="901" t="s">
        <v>5856</v>
      </c>
      <c r="L460" s="905">
        <f t="shared" ref="L460:L523" si="46">IF(C460="Humanitarian",0,IF(M460&gt;0,IF(TYPE(O460)=1,IF(O460&gt;MEDIAN(O:O),2,1),0),"no price, 0 count"))</f>
        <v>0</v>
      </c>
      <c r="M460" s="909">
        <f>SUMIFS('Bilateral Assistance, MAIN DATA'!M:M,'Bilateral Assistance, MAIN DATA'!I:I,'Price List, Weapons &amp; Items'!B460)</f>
        <v>11583</v>
      </c>
      <c r="N460" s="71">
        <f>COUNTIFS('Bilateral Assistance, MAIN DATA'!M:M,"undisclosed",'Bilateral Assistance, MAIN DATA'!I:I,'Price List, Weapons &amp; Items'!B460)</f>
        <v>0</v>
      </c>
      <c r="O460" s="910">
        <f t="shared" si="45"/>
        <v>138996</v>
      </c>
      <c r="P460" s="71">
        <f>IFERROR(IF(SEARCH(B460,_xlfn.ARRAYTOTEXT('Bilateral Assistance, MAIN DATA'!I$1:I$2206))&gt;0,1,""),0)</f>
        <v>0</v>
      </c>
      <c r="Q460" s="71">
        <f>IFERROR(IF(SEARCH(B460,_xlfn.ARRAYTOTEXT('Commercial Assistance'!I$1:I$1400))&gt;0,1,""),0)</f>
        <v>0</v>
      </c>
      <c r="R460" s="905" t="str">
        <f>IF(SUMIFS('Bilateral Assistance, MAIN DATA'!N:N,'Bilateral Assistance, MAIN DATA'!I:I,'Price List, Weapons &amp; Items'!B460)&gt;M460,1,".")</f>
        <v>.</v>
      </c>
    </row>
    <row r="461" spans="2:18" ht="15" customHeight="1">
      <c r="B461" s="901" t="s">
        <v>5857</v>
      </c>
      <c r="C461" s="898" t="s">
        <v>360</v>
      </c>
      <c r="D461" s="898" t="s">
        <v>360</v>
      </c>
      <c r="E461" s="900">
        <v>0</v>
      </c>
      <c r="F461" s="900">
        <f t="shared" si="43"/>
        <v>0</v>
      </c>
      <c r="G461" s="892">
        <v>6.2309999999999999</v>
      </c>
      <c r="H461" s="908" t="str">
        <f t="shared" si="44"/>
        <v>USD</v>
      </c>
      <c r="I461" s="886" t="s">
        <v>5858</v>
      </c>
      <c r="J461" s="901" t="s">
        <v>5086</v>
      </c>
      <c r="K461" s="901" t="s">
        <v>5859</v>
      </c>
      <c r="L461" s="905">
        <f t="shared" si="46"/>
        <v>0</v>
      </c>
      <c r="M461" s="909">
        <f>SUMIFS('Bilateral Assistance, MAIN DATA'!M:M,'Bilateral Assistance, MAIN DATA'!I:I,'Price List, Weapons &amp; Items'!B461)</f>
        <v>50840</v>
      </c>
      <c r="N461" s="71">
        <f>COUNTIFS('Bilateral Assistance, MAIN DATA'!M:M,"undisclosed",'Bilateral Assistance, MAIN DATA'!I:I,'Price List, Weapons &amp; Items'!B461)</f>
        <v>0</v>
      </c>
      <c r="O461" s="910">
        <f t="shared" si="45"/>
        <v>316784.03999999998</v>
      </c>
      <c r="P461" s="71">
        <f>IFERROR(IF(SEARCH(B461,_xlfn.ARRAYTOTEXT('Bilateral Assistance, MAIN DATA'!I$1:I$2206))&gt;0,1,""),0)</f>
        <v>0</v>
      </c>
      <c r="Q461" s="71">
        <f>IFERROR(IF(SEARCH(B461,_xlfn.ARRAYTOTEXT('Commercial Assistance'!I$1:I$1400))&gt;0,1,""),0)</f>
        <v>0</v>
      </c>
      <c r="R461" s="905" t="str">
        <f>IF(SUMIFS('Bilateral Assistance, MAIN DATA'!N:N,'Bilateral Assistance, MAIN DATA'!I:I,'Price List, Weapons &amp; Items'!B461)&gt;M461,1,".")</f>
        <v>.</v>
      </c>
    </row>
    <row r="462" spans="2:18" ht="15" customHeight="1">
      <c r="B462" s="901" t="s">
        <v>5860</v>
      </c>
      <c r="C462" s="898" t="s">
        <v>360</v>
      </c>
      <c r="D462" s="898" t="s">
        <v>360</v>
      </c>
      <c r="E462" s="900">
        <v>0</v>
      </c>
      <c r="F462" s="900">
        <f t="shared" si="43"/>
        <v>0</v>
      </c>
      <c r="G462" s="892">
        <v>1.5</v>
      </c>
      <c r="H462" s="908" t="str">
        <f t="shared" si="44"/>
        <v>USD</v>
      </c>
      <c r="I462" s="886" t="s">
        <v>5861</v>
      </c>
      <c r="J462" s="901" t="s">
        <v>5086</v>
      </c>
      <c r="K462" s="934" t="s">
        <v>5862</v>
      </c>
      <c r="L462" s="905">
        <f t="shared" si="46"/>
        <v>0</v>
      </c>
      <c r="M462" s="909">
        <f>SUMIFS('Bilateral Assistance, MAIN DATA'!M:M,'Bilateral Assistance, MAIN DATA'!I:I,'Price List, Weapons &amp; Items'!B462)</f>
        <v>22500</v>
      </c>
      <c r="N462" s="71">
        <f>COUNTIFS('Bilateral Assistance, MAIN DATA'!M:M,"undisclosed",'Bilateral Assistance, MAIN DATA'!I:I,'Price List, Weapons &amp; Items'!B462)</f>
        <v>0</v>
      </c>
      <c r="O462" s="910">
        <f t="shared" si="45"/>
        <v>33750</v>
      </c>
      <c r="P462" s="71">
        <f>IFERROR(IF(SEARCH(B462,_xlfn.ARRAYTOTEXT('Bilateral Assistance, MAIN DATA'!I$1:I$2206))&gt;0,1,""),0)</f>
        <v>0</v>
      </c>
      <c r="Q462" s="71">
        <f>IFERROR(IF(SEARCH(B462,_xlfn.ARRAYTOTEXT('Commercial Assistance'!I$1:I$1400))&gt;0,1,""),0)</f>
        <v>0</v>
      </c>
      <c r="R462" s="905" t="str">
        <f>IF(SUMIFS('Bilateral Assistance, MAIN DATA'!N:N,'Bilateral Assistance, MAIN DATA'!I:I,'Price List, Weapons &amp; Items'!B462)&gt;M462,1,".")</f>
        <v>.</v>
      </c>
    </row>
    <row r="463" spans="2:18" ht="15" customHeight="1">
      <c r="B463" s="901" t="s">
        <v>5863</v>
      </c>
      <c r="C463" s="898" t="s">
        <v>360</v>
      </c>
      <c r="D463" s="898" t="s">
        <v>360</v>
      </c>
      <c r="E463" s="900">
        <v>0</v>
      </c>
      <c r="F463" s="900">
        <f t="shared" si="43"/>
        <v>0</v>
      </c>
      <c r="G463" s="892">
        <v>1.5</v>
      </c>
      <c r="H463" s="908" t="str">
        <f t="shared" si="44"/>
        <v>USD</v>
      </c>
      <c r="I463" s="886" t="s">
        <v>5861</v>
      </c>
      <c r="J463" s="901" t="s">
        <v>5086</v>
      </c>
      <c r="K463" s="901" t="s">
        <v>5864</v>
      </c>
      <c r="L463" s="905">
        <f t="shared" si="46"/>
        <v>0</v>
      </c>
      <c r="M463" s="909">
        <f>SUMIFS('Bilateral Assistance, MAIN DATA'!M:M,'Bilateral Assistance, MAIN DATA'!I:I,'Price List, Weapons &amp; Items'!B463)</f>
        <v>28000</v>
      </c>
      <c r="N463" s="71">
        <f>COUNTIFS('Bilateral Assistance, MAIN DATA'!M:M,"undisclosed",'Bilateral Assistance, MAIN DATA'!I:I,'Price List, Weapons &amp; Items'!B463)</f>
        <v>0</v>
      </c>
      <c r="O463" s="910">
        <f t="shared" si="45"/>
        <v>42000</v>
      </c>
      <c r="P463" s="71">
        <f>IFERROR(IF(SEARCH(B463,_xlfn.ARRAYTOTEXT('Bilateral Assistance, MAIN DATA'!I$1:I$2206))&gt;0,1,""),0)</f>
        <v>0</v>
      </c>
      <c r="Q463" s="71">
        <f>IFERROR(IF(SEARCH(B463,_xlfn.ARRAYTOTEXT('Commercial Assistance'!I$1:I$1400))&gt;0,1,""),0)</f>
        <v>0</v>
      </c>
      <c r="R463" s="905" t="str">
        <f>IF(SUMIFS('Bilateral Assistance, MAIN DATA'!N:N,'Bilateral Assistance, MAIN DATA'!I:I,'Price List, Weapons &amp; Items'!B463)&gt;M463,1,".")</f>
        <v>.</v>
      </c>
    </row>
    <row r="464" spans="2:18" ht="15" customHeight="1">
      <c r="B464" s="901" t="s">
        <v>5865</v>
      </c>
      <c r="C464" s="898" t="s">
        <v>360</v>
      </c>
      <c r="D464" s="898" t="s">
        <v>360</v>
      </c>
      <c r="E464" s="900">
        <v>0</v>
      </c>
      <c r="F464" s="900">
        <f t="shared" si="43"/>
        <v>0</v>
      </c>
      <c r="G464" s="892">
        <v>1.29</v>
      </c>
      <c r="H464" s="908" t="str">
        <f t="shared" si="44"/>
        <v>USD</v>
      </c>
      <c r="I464" s="886" t="s">
        <v>5267</v>
      </c>
      <c r="J464" s="901" t="s">
        <v>5089</v>
      </c>
      <c r="K464" s="901" t="s">
        <v>5866</v>
      </c>
      <c r="L464" s="905">
        <f t="shared" si="46"/>
        <v>0</v>
      </c>
      <c r="M464" s="909">
        <f>SUMIFS('Bilateral Assistance, MAIN DATA'!M:M,'Bilateral Assistance, MAIN DATA'!I:I,'Price List, Weapons &amp; Items'!B464)</f>
        <v>68000</v>
      </c>
      <c r="N464" s="71">
        <f>COUNTIFS('Bilateral Assistance, MAIN DATA'!M:M,"undisclosed",'Bilateral Assistance, MAIN DATA'!I:I,'Price List, Weapons &amp; Items'!B464)</f>
        <v>1</v>
      </c>
      <c r="O464" s="910">
        <f t="shared" si="45"/>
        <v>87720</v>
      </c>
      <c r="P464" s="71">
        <f>IFERROR(IF(SEARCH(B464,_xlfn.ARRAYTOTEXT('Bilateral Assistance, MAIN DATA'!I$1:I$2206))&gt;0,1,""),0)</f>
        <v>0</v>
      </c>
      <c r="Q464" s="71">
        <f>IFERROR(IF(SEARCH(B464,_xlfn.ARRAYTOTEXT('Commercial Assistance'!I$1:I$1400))&gt;0,1,""),0)</f>
        <v>0</v>
      </c>
      <c r="R464" s="905" t="str">
        <f>IF(SUMIFS('Bilateral Assistance, MAIN DATA'!N:N,'Bilateral Assistance, MAIN DATA'!I:I,'Price List, Weapons &amp; Items'!B464)&gt;M464,1,".")</f>
        <v>.</v>
      </c>
    </row>
    <row r="465" spans="2:18" ht="15" customHeight="1">
      <c r="B465" s="901" t="s">
        <v>5867</v>
      </c>
      <c r="C465" s="898" t="s">
        <v>360</v>
      </c>
      <c r="D465" s="898" t="s">
        <v>360</v>
      </c>
      <c r="E465" s="900">
        <v>0</v>
      </c>
      <c r="F465" s="900">
        <f t="shared" si="43"/>
        <v>0</v>
      </c>
      <c r="G465" s="892">
        <v>1.35</v>
      </c>
      <c r="H465" s="908" t="str">
        <f t="shared" si="44"/>
        <v>USD</v>
      </c>
      <c r="I465" s="886" t="s">
        <v>5684</v>
      </c>
      <c r="J465" s="901" t="s">
        <v>5089</v>
      </c>
      <c r="K465" s="901" t="s">
        <v>5685</v>
      </c>
      <c r="L465" s="905">
        <f t="shared" si="46"/>
        <v>0</v>
      </c>
      <c r="M465" s="909">
        <f>SUMIFS('Bilateral Assistance, MAIN DATA'!M:M,'Bilateral Assistance, MAIN DATA'!I:I,'Price List, Weapons &amp; Items'!B465)</f>
        <v>32000</v>
      </c>
      <c r="N465" s="71">
        <f>COUNTIFS('Bilateral Assistance, MAIN DATA'!M:M,"undisclosed",'Bilateral Assistance, MAIN DATA'!I:I,'Price List, Weapons &amp; Items'!B465)</f>
        <v>0</v>
      </c>
      <c r="O465" s="910">
        <f t="shared" si="45"/>
        <v>43200</v>
      </c>
      <c r="P465" s="71">
        <f>IFERROR(IF(SEARCH(B465,_xlfn.ARRAYTOTEXT('Bilateral Assistance, MAIN DATA'!I$1:I$2206))&gt;0,1,""),0)</f>
        <v>0</v>
      </c>
      <c r="Q465" s="71">
        <f>IFERROR(IF(SEARCH(B465,_xlfn.ARRAYTOTEXT('Commercial Assistance'!I$1:I$1400))&gt;0,1,""),0)</f>
        <v>0</v>
      </c>
      <c r="R465" s="905" t="str">
        <f>IF(SUMIFS('Bilateral Assistance, MAIN DATA'!N:N,'Bilateral Assistance, MAIN DATA'!I:I,'Price List, Weapons &amp; Items'!B465)&gt;M465,1,".")</f>
        <v>.</v>
      </c>
    </row>
    <row r="466" spans="2:18" ht="15" customHeight="1">
      <c r="B466" s="901" t="s">
        <v>5868</v>
      </c>
      <c r="C466" s="898" t="s">
        <v>360</v>
      </c>
      <c r="D466" s="898" t="s">
        <v>360</v>
      </c>
      <c r="E466" s="900">
        <v>0</v>
      </c>
      <c r="F466" s="900">
        <f t="shared" si="43"/>
        <v>0</v>
      </c>
      <c r="G466" s="892">
        <v>0.24</v>
      </c>
      <c r="H466" s="908" t="str">
        <f t="shared" si="44"/>
        <v>USD</v>
      </c>
      <c r="I466" s="886" t="s">
        <v>5869</v>
      </c>
      <c r="J466" s="901" t="s">
        <v>5086</v>
      </c>
      <c r="K466" s="901" t="s">
        <v>5870</v>
      </c>
      <c r="L466" s="905">
        <f t="shared" si="46"/>
        <v>0</v>
      </c>
      <c r="M466" s="909">
        <f>SUMIFS('Bilateral Assistance, MAIN DATA'!M:M,'Bilateral Assistance, MAIN DATA'!I:I,'Price List, Weapons &amp; Items'!B466)</f>
        <v>0</v>
      </c>
      <c r="N466" s="71">
        <f>COUNTIFS('Bilateral Assistance, MAIN DATA'!M:M,"undisclosed",'Bilateral Assistance, MAIN DATA'!I:I,'Price List, Weapons &amp; Items'!B466)</f>
        <v>1</v>
      </c>
      <c r="O466" s="910">
        <f t="shared" si="45"/>
        <v>0</v>
      </c>
      <c r="P466" s="71">
        <f>IFERROR(IF(SEARCH(B466,_xlfn.ARRAYTOTEXT('Bilateral Assistance, MAIN DATA'!I$1:I$2206))&gt;0,1,""),0)</f>
        <v>0</v>
      </c>
      <c r="Q466" s="71">
        <f>IFERROR(IF(SEARCH(B466,_xlfn.ARRAYTOTEXT('Commercial Assistance'!I$1:I$1400))&gt;0,1,""),0)</f>
        <v>0</v>
      </c>
      <c r="R466" s="905" t="str">
        <f>IF(SUMIFS('Bilateral Assistance, MAIN DATA'!N:N,'Bilateral Assistance, MAIN DATA'!I:I,'Price List, Weapons &amp; Items'!B466)&gt;M466,1,".")</f>
        <v>.</v>
      </c>
    </row>
    <row r="467" spans="2:18" ht="15" customHeight="1">
      <c r="B467" s="901" t="s">
        <v>5871</v>
      </c>
      <c r="C467" s="898" t="s">
        <v>360</v>
      </c>
      <c r="D467" s="898" t="s">
        <v>360</v>
      </c>
      <c r="E467" s="900">
        <v>0</v>
      </c>
      <c r="F467" s="900">
        <f t="shared" si="43"/>
        <v>0</v>
      </c>
      <c r="G467" s="892">
        <v>0.24</v>
      </c>
      <c r="H467" s="908" t="str">
        <f t="shared" si="44"/>
        <v>USD</v>
      </c>
      <c r="I467" s="886" t="s">
        <v>5869</v>
      </c>
      <c r="J467" s="901" t="s">
        <v>5086</v>
      </c>
      <c r="K467" s="901" t="s">
        <v>5870</v>
      </c>
      <c r="L467" s="905">
        <f t="shared" si="46"/>
        <v>0</v>
      </c>
      <c r="M467" s="909">
        <f>SUMIFS('Bilateral Assistance, MAIN DATA'!M:M,'Bilateral Assistance, MAIN DATA'!I:I,'Price List, Weapons &amp; Items'!B467)</f>
        <v>100000</v>
      </c>
      <c r="N467" s="71">
        <f>COUNTIFS('Bilateral Assistance, MAIN DATA'!M:M,"undisclosed",'Bilateral Assistance, MAIN DATA'!I:I,'Price List, Weapons &amp; Items'!B467)</f>
        <v>0</v>
      </c>
      <c r="O467" s="910">
        <f t="shared" si="45"/>
        <v>24000</v>
      </c>
      <c r="P467" s="71">
        <f>IFERROR(IF(SEARCH(B467,_xlfn.ARRAYTOTEXT('Bilateral Assistance, MAIN DATA'!I$1:I$2206))&gt;0,1,""),0)</f>
        <v>0</v>
      </c>
      <c r="Q467" s="71">
        <f>IFERROR(IF(SEARCH(B467,_xlfn.ARRAYTOTEXT('Commercial Assistance'!I$1:I$1400))&gt;0,1,""),0)</f>
        <v>0</v>
      </c>
      <c r="R467" s="905" t="str">
        <f>IF(SUMIFS('Bilateral Assistance, MAIN DATA'!N:N,'Bilateral Assistance, MAIN DATA'!I:I,'Price List, Weapons &amp; Items'!B467)&gt;M467,1,".")</f>
        <v>.</v>
      </c>
    </row>
    <row r="468" spans="2:18" ht="15" customHeight="1">
      <c r="B468" s="901" t="s">
        <v>5872</v>
      </c>
      <c r="C468" s="898" t="s">
        <v>360</v>
      </c>
      <c r="D468" s="898" t="s">
        <v>360</v>
      </c>
      <c r="E468" s="900">
        <v>0</v>
      </c>
      <c r="F468" s="900">
        <f t="shared" si="43"/>
        <v>0</v>
      </c>
      <c r="G468" s="892">
        <v>0.24</v>
      </c>
      <c r="H468" s="908" t="str">
        <f t="shared" si="44"/>
        <v>USD</v>
      </c>
      <c r="I468" s="886" t="s">
        <v>5869</v>
      </c>
      <c r="J468" s="901" t="s">
        <v>5086</v>
      </c>
      <c r="K468" s="901" t="s">
        <v>5873</v>
      </c>
      <c r="L468" s="905">
        <f t="shared" si="46"/>
        <v>0</v>
      </c>
      <c r="M468" s="909">
        <f>SUMIFS('Bilateral Assistance, MAIN DATA'!M:M,'Bilateral Assistance, MAIN DATA'!I:I,'Price List, Weapons &amp; Items'!B468)</f>
        <v>650000</v>
      </c>
      <c r="N468" s="71">
        <f>COUNTIFS('Bilateral Assistance, MAIN DATA'!M:M,"undisclosed",'Bilateral Assistance, MAIN DATA'!I:I,'Price List, Weapons &amp; Items'!B468)</f>
        <v>0</v>
      </c>
      <c r="O468" s="910">
        <f t="shared" si="45"/>
        <v>156000</v>
      </c>
      <c r="P468" s="71">
        <f>IFERROR(IF(SEARCH(B468,_xlfn.ARRAYTOTEXT('Bilateral Assistance, MAIN DATA'!I$1:I$2206))&gt;0,1,""),0)</f>
        <v>0</v>
      </c>
      <c r="Q468" s="71">
        <f>IFERROR(IF(SEARCH(B468,_xlfn.ARRAYTOTEXT('Commercial Assistance'!I$1:I$1400))&gt;0,1,""),0)</f>
        <v>0</v>
      </c>
      <c r="R468" s="905" t="str">
        <f>IF(SUMIFS('Bilateral Assistance, MAIN DATA'!N:N,'Bilateral Assistance, MAIN DATA'!I:I,'Price List, Weapons &amp; Items'!B468)&gt;M468,1,".")</f>
        <v>.</v>
      </c>
    </row>
    <row r="469" spans="2:18" ht="15" customHeight="1">
      <c r="B469" s="901" t="s">
        <v>5874</v>
      </c>
      <c r="C469" s="898" t="s">
        <v>360</v>
      </c>
      <c r="D469" s="898" t="s">
        <v>360</v>
      </c>
      <c r="E469" s="900">
        <v>0</v>
      </c>
      <c r="F469" s="900">
        <f t="shared" si="43"/>
        <v>0</v>
      </c>
      <c r="G469" s="892">
        <v>0.13</v>
      </c>
      <c r="H469" s="908" t="str">
        <f t="shared" si="44"/>
        <v>USD</v>
      </c>
      <c r="I469" s="886" t="s">
        <v>5840</v>
      </c>
      <c r="J469" s="901" t="s">
        <v>5086</v>
      </c>
      <c r="K469" s="901" t="s">
        <v>5875</v>
      </c>
      <c r="L469" s="905">
        <f t="shared" si="46"/>
        <v>0</v>
      </c>
      <c r="M469" s="909">
        <f>SUMIFS('Bilateral Assistance, MAIN DATA'!M:M,'Bilateral Assistance, MAIN DATA'!I:I,'Price List, Weapons &amp; Items'!B469)</f>
        <v>430000</v>
      </c>
      <c r="N469" s="71">
        <f>COUNTIFS('Bilateral Assistance, MAIN DATA'!M:M,"undisclosed",'Bilateral Assistance, MAIN DATA'!I:I,'Price List, Weapons &amp; Items'!B469)</f>
        <v>0</v>
      </c>
      <c r="O469" s="910">
        <f t="shared" si="45"/>
        <v>55900</v>
      </c>
      <c r="P469" s="71">
        <f>IFERROR(IF(SEARCH(B469,_xlfn.ARRAYTOTEXT('Bilateral Assistance, MAIN DATA'!I$1:I$2206))&gt;0,1,""),0)</f>
        <v>0</v>
      </c>
      <c r="Q469" s="71">
        <f>IFERROR(IF(SEARCH(B469,_xlfn.ARRAYTOTEXT('Commercial Assistance'!I$1:I$1400))&gt;0,1,""),0)</f>
        <v>0</v>
      </c>
      <c r="R469" s="905" t="str">
        <f>IF(SUMIFS('Bilateral Assistance, MAIN DATA'!N:N,'Bilateral Assistance, MAIN DATA'!I:I,'Price List, Weapons &amp; Items'!B469)&gt;M469,1,".")</f>
        <v>.</v>
      </c>
    </row>
    <row r="470" spans="2:18" ht="15" customHeight="1">
      <c r="B470" s="901" t="s">
        <v>5876</v>
      </c>
      <c r="C470" s="898" t="s">
        <v>360</v>
      </c>
      <c r="D470" s="898" t="s">
        <v>360</v>
      </c>
      <c r="E470" s="900">
        <v>0</v>
      </c>
      <c r="F470" s="900">
        <f t="shared" si="43"/>
        <v>0</v>
      </c>
      <c r="G470" s="892">
        <v>0.13</v>
      </c>
      <c r="H470" s="908" t="str">
        <f t="shared" si="44"/>
        <v>USD</v>
      </c>
      <c r="I470" s="885" t="s">
        <v>5840</v>
      </c>
      <c r="J470" s="901" t="s">
        <v>5086</v>
      </c>
      <c r="K470" s="901" t="s">
        <v>5877</v>
      </c>
      <c r="L470" s="905">
        <f t="shared" si="46"/>
        <v>0</v>
      </c>
      <c r="M470" s="909">
        <f>SUMIFS('Bilateral Assistance, MAIN DATA'!M:M,'Bilateral Assistance, MAIN DATA'!I:I,'Price List, Weapons &amp; Items'!B470)</f>
        <v>3640000</v>
      </c>
      <c r="N470" s="71">
        <f>COUNTIFS('Bilateral Assistance, MAIN DATA'!M:M,"undisclosed",'Bilateral Assistance, MAIN DATA'!I:I,'Price List, Weapons &amp; Items'!B470)</f>
        <v>0</v>
      </c>
      <c r="O470" s="910">
        <f t="shared" si="45"/>
        <v>473200</v>
      </c>
      <c r="P470" s="71">
        <f>IFERROR(IF(SEARCH(B470,_xlfn.ARRAYTOTEXT('Bilateral Assistance, MAIN DATA'!I$1:I$2206))&gt;0,1,""),0)</f>
        <v>0</v>
      </c>
      <c r="Q470" s="71">
        <f>IFERROR(IF(SEARCH(B470,_xlfn.ARRAYTOTEXT('Commercial Assistance'!I$1:I$1400))&gt;0,1,""),0)</f>
        <v>0</v>
      </c>
      <c r="R470" s="905" t="str">
        <f>IF(SUMIFS('Bilateral Assistance, MAIN DATA'!N:N,'Bilateral Assistance, MAIN DATA'!I:I,'Price List, Weapons &amp; Items'!B470)&gt;M470,1,".")</f>
        <v>.</v>
      </c>
    </row>
    <row r="471" spans="2:18" ht="15" customHeight="1">
      <c r="B471" s="901" t="s">
        <v>5878</v>
      </c>
      <c r="C471" s="898" t="s">
        <v>360</v>
      </c>
      <c r="D471" s="898" t="s">
        <v>360</v>
      </c>
      <c r="E471" s="900">
        <v>0</v>
      </c>
      <c r="F471" s="900">
        <f t="shared" si="43"/>
        <v>0</v>
      </c>
      <c r="G471" s="892">
        <v>4.4999999999999998E-2</v>
      </c>
      <c r="H471" s="908" t="str">
        <f t="shared" si="44"/>
        <v>USD</v>
      </c>
      <c r="I471" s="885" t="s">
        <v>5879</v>
      </c>
      <c r="J471" s="901" t="s">
        <v>5089</v>
      </c>
      <c r="K471" s="901" t="s">
        <v>5880</v>
      </c>
      <c r="L471" s="905">
        <f t="shared" si="46"/>
        <v>0</v>
      </c>
      <c r="M471" s="909">
        <f>SUMIFS('Bilateral Assistance, MAIN DATA'!M:M,'Bilateral Assistance, MAIN DATA'!I:I,'Price List, Weapons &amp; Items'!B471)</f>
        <v>10000000</v>
      </c>
      <c r="N471" s="71">
        <f>COUNTIFS('Bilateral Assistance, MAIN DATA'!M:M,"undisclosed",'Bilateral Assistance, MAIN DATA'!I:I,'Price List, Weapons &amp; Items'!B471)</f>
        <v>0</v>
      </c>
      <c r="O471" s="910">
        <f t="shared" si="45"/>
        <v>450000</v>
      </c>
      <c r="P471" s="71">
        <f>IFERROR(IF(SEARCH(B471,_xlfn.ARRAYTOTEXT('Bilateral Assistance, MAIN DATA'!I$1:I$2206))&gt;0,1,""),0)</f>
        <v>0</v>
      </c>
      <c r="Q471" s="71">
        <f>IFERROR(IF(SEARCH(B471,_xlfn.ARRAYTOTEXT('Commercial Assistance'!I$1:I$1400))&gt;0,1,""),0)</f>
        <v>0</v>
      </c>
      <c r="R471" s="905" t="str">
        <f>IF(SUMIFS('Bilateral Assistance, MAIN DATA'!N:N,'Bilateral Assistance, MAIN DATA'!I:I,'Price List, Weapons &amp; Items'!B471)&gt;M471,1,".")</f>
        <v>.</v>
      </c>
    </row>
    <row r="472" spans="2:18" ht="15" customHeight="1">
      <c r="B472" s="901" t="s">
        <v>1862</v>
      </c>
      <c r="C472" s="898" t="s">
        <v>1105</v>
      </c>
      <c r="D472" s="898" t="s">
        <v>1105</v>
      </c>
      <c r="E472" s="900">
        <v>0</v>
      </c>
      <c r="F472" s="900">
        <f t="shared" si="43"/>
        <v>0</v>
      </c>
      <c r="G472" s="892">
        <v>102216.33</v>
      </c>
      <c r="H472" s="900" t="s">
        <v>456</v>
      </c>
      <c r="I472" s="885" t="s">
        <v>5881</v>
      </c>
      <c r="J472" s="913" t="s">
        <v>5119</v>
      </c>
      <c r="K472" s="901" t="s">
        <v>5882</v>
      </c>
      <c r="L472" s="905">
        <f t="shared" si="46"/>
        <v>2</v>
      </c>
      <c r="M472" s="909">
        <f>SUMIFS('Bilateral Assistance, MAIN DATA'!M:M,'Bilateral Assistance, MAIN DATA'!I:I,'Price List, Weapons &amp; Items'!B472)</f>
        <v>40</v>
      </c>
      <c r="N472" s="71">
        <f>COUNTIFS('Bilateral Assistance, MAIN DATA'!M:M,"undisclosed",'Bilateral Assistance, MAIN DATA'!I:I,'Price List, Weapons &amp; Items'!B472)</f>
        <v>0</v>
      </c>
      <c r="O472" s="910">
        <f t="shared" si="45"/>
        <v>4088653.2</v>
      </c>
      <c r="P472" s="71">
        <f>IFERROR(IF(SEARCH(B472,_xlfn.ARRAYTOTEXT('Bilateral Assistance, MAIN DATA'!I$1:I$2206))&gt;0,1,""),0)</f>
        <v>0</v>
      </c>
      <c r="Q472" s="71">
        <f>IFERROR(IF(SEARCH(B472,_xlfn.ARRAYTOTEXT('Commercial Assistance'!I$1:I$1400))&gt;0,1,""),0)</f>
        <v>0</v>
      </c>
      <c r="R472" s="905" t="str">
        <f>IF(SUMIFS('Bilateral Assistance, MAIN DATA'!N:N,'Bilateral Assistance, MAIN DATA'!I:I,'Price List, Weapons &amp; Items'!B472)&gt;M472,1,".")</f>
        <v>.</v>
      </c>
    </row>
    <row r="473" spans="2:18" ht="15" customHeight="1">
      <c r="B473" s="916" t="s">
        <v>1823</v>
      </c>
      <c r="C473" s="898" t="s">
        <v>1105</v>
      </c>
      <c r="D473" s="898" t="s">
        <v>1105</v>
      </c>
      <c r="E473" s="900">
        <v>0</v>
      </c>
      <c r="F473" s="900">
        <f t="shared" si="43"/>
        <v>0</v>
      </c>
      <c r="G473" s="892" t="s">
        <v>364</v>
      </c>
      <c r="H473" s="900" t="s">
        <v>364</v>
      </c>
      <c r="I473" s="913" t="s">
        <v>364</v>
      </c>
      <c r="J473" s="913" t="s">
        <v>364</v>
      </c>
      <c r="K473" s="901" t="s">
        <v>5883</v>
      </c>
      <c r="L473" s="905">
        <f t="shared" si="46"/>
        <v>0</v>
      </c>
      <c r="M473" s="909">
        <f>SUMIFS('Bilateral Assistance, MAIN DATA'!M:M,'Bilateral Assistance, MAIN DATA'!I:I,'Price List, Weapons &amp; Items'!B473)</f>
        <v>1</v>
      </c>
      <c r="N473" s="71">
        <f>COUNTIFS('Bilateral Assistance, MAIN DATA'!M:M,"undisclosed",'Bilateral Assistance, MAIN DATA'!I:I,'Price List, Weapons &amp; Items'!B473)</f>
        <v>0</v>
      </c>
      <c r="O473" s="910" t="str">
        <f t="shared" si="45"/>
        <v>no price</v>
      </c>
      <c r="P473" s="71">
        <f>IFERROR(IF(SEARCH(B473,_xlfn.ARRAYTOTEXT('Bilateral Assistance, MAIN DATA'!I$1:I$2206))&gt;0,1,""),0)</f>
        <v>0</v>
      </c>
      <c r="Q473" s="71">
        <f>IFERROR(IF(SEARCH(B473,_xlfn.ARRAYTOTEXT('Commercial Assistance'!I$1:I$1400))&gt;0,1,""),0)</f>
        <v>0</v>
      </c>
      <c r="R473" s="905" t="str">
        <f>IF(SUMIFS('Bilateral Assistance, MAIN DATA'!N:N,'Bilateral Assistance, MAIN DATA'!I:I,'Price List, Weapons &amp; Items'!B473)&gt;M473,1,".")</f>
        <v>.</v>
      </c>
    </row>
    <row r="474" spans="2:18" ht="15" customHeight="1">
      <c r="B474" s="916" t="s">
        <v>1820</v>
      </c>
      <c r="C474" s="898" t="s">
        <v>1105</v>
      </c>
      <c r="D474" s="898" t="s">
        <v>1105</v>
      </c>
      <c r="E474" s="900">
        <v>0</v>
      </c>
      <c r="F474" s="900">
        <f t="shared" si="43"/>
        <v>0</v>
      </c>
      <c r="G474" s="892" t="s">
        <v>364</v>
      </c>
      <c r="H474" s="900" t="s">
        <v>364</v>
      </c>
      <c r="I474" s="913" t="s">
        <v>364</v>
      </c>
      <c r="J474" s="913" t="s">
        <v>364</v>
      </c>
      <c r="K474" s="901" t="s">
        <v>5884</v>
      </c>
      <c r="L474" s="905">
        <f t="shared" si="46"/>
        <v>0</v>
      </c>
      <c r="M474" s="909">
        <f>SUMIFS('Bilateral Assistance, MAIN DATA'!M:M,'Bilateral Assistance, MAIN DATA'!I:I,'Price List, Weapons &amp; Items'!B474)</f>
        <v>40</v>
      </c>
      <c r="N474" s="71">
        <f>COUNTIFS('Bilateral Assistance, MAIN DATA'!M:M,"undisclosed",'Bilateral Assistance, MAIN DATA'!I:I,'Price List, Weapons &amp; Items'!B474)</f>
        <v>0</v>
      </c>
      <c r="O474" s="910" t="str">
        <f t="shared" si="45"/>
        <v>no price</v>
      </c>
      <c r="P474" s="71">
        <f>IFERROR(IF(SEARCH(B474,_xlfn.ARRAYTOTEXT('Bilateral Assistance, MAIN DATA'!I$1:I$2206))&gt;0,1,""),0)</f>
        <v>0</v>
      </c>
      <c r="Q474" s="71">
        <f>IFERROR(IF(SEARCH(B474,_xlfn.ARRAYTOTEXT('Commercial Assistance'!I$1:I$1400))&gt;0,1,""),0)</f>
        <v>0</v>
      </c>
      <c r="R474" s="905" t="str">
        <f>IF(SUMIFS('Bilateral Assistance, MAIN DATA'!N:N,'Bilateral Assistance, MAIN DATA'!I:I,'Price List, Weapons &amp; Items'!B474)&gt;M474,1,".")</f>
        <v>.</v>
      </c>
    </row>
    <row r="475" spans="2:18" ht="15" customHeight="1">
      <c r="B475" s="901" t="s">
        <v>3566</v>
      </c>
      <c r="C475" s="898" t="s">
        <v>360</v>
      </c>
      <c r="D475" s="898" t="s">
        <v>360</v>
      </c>
      <c r="E475" s="900">
        <v>0</v>
      </c>
      <c r="F475" s="900">
        <f t="shared" si="43"/>
        <v>0</v>
      </c>
      <c r="G475" s="892">
        <v>19.5</v>
      </c>
      <c r="H475" s="900" t="s">
        <v>456</v>
      </c>
      <c r="I475" s="885" t="s">
        <v>5885</v>
      </c>
      <c r="J475" s="913" t="s">
        <v>5080</v>
      </c>
      <c r="K475" s="901" t="s">
        <v>5886</v>
      </c>
      <c r="L475" s="905">
        <f t="shared" si="46"/>
        <v>0</v>
      </c>
      <c r="M475" s="909">
        <f>SUMIFS('Bilateral Assistance, MAIN DATA'!M:M,'Bilateral Assistance, MAIN DATA'!I:I,'Price List, Weapons &amp; Items'!B475)</f>
        <v>500000</v>
      </c>
      <c r="N475" s="71">
        <f>COUNTIFS('Bilateral Assistance, MAIN DATA'!M:M,"undisclosed",'Bilateral Assistance, MAIN DATA'!I:I,'Price List, Weapons &amp; Items'!B475)</f>
        <v>0</v>
      </c>
      <c r="O475" s="910">
        <f t="shared" si="45"/>
        <v>9750000</v>
      </c>
      <c r="P475" s="71">
        <f>IFERROR(IF(SEARCH(B475,_xlfn.ARRAYTOTEXT('Bilateral Assistance, MAIN DATA'!I$1:I$2206))&gt;0,1,""),0)</f>
        <v>0</v>
      </c>
      <c r="Q475" s="71">
        <f>IFERROR(IF(SEARCH(B475,_xlfn.ARRAYTOTEXT('Commercial Assistance'!I$1:I$1400))&gt;0,1,""),0)</f>
        <v>0</v>
      </c>
      <c r="R475" s="905" t="str">
        <f>IF(SUMIFS('Bilateral Assistance, MAIN DATA'!N:N,'Bilateral Assistance, MAIN DATA'!I:I,'Price List, Weapons &amp; Items'!B475)&gt;M475,1,".")</f>
        <v>.</v>
      </c>
    </row>
    <row r="476" spans="2:18" ht="15" customHeight="1">
      <c r="B476" s="901" t="s">
        <v>3490</v>
      </c>
      <c r="C476" s="898" t="s">
        <v>360</v>
      </c>
      <c r="D476" s="898" t="s">
        <v>360</v>
      </c>
      <c r="E476" s="900">
        <v>0</v>
      </c>
      <c r="F476" s="900">
        <f t="shared" si="43"/>
        <v>0</v>
      </c>
      <c r="G476" s="892">
        <f>(2500000/1000)/VLOOKUP("USD",'Exchange Rates'!B:C,2,0)</f>
        <v>2300.3312476996689</v>
      </c>
      <c r="H476" s="900" t="s">
        <v>456</v>
      </c>
      <c r="I476" s="885" t="s">
        <v>3486</v>
      </c>
      <c r="J476" s="913" t="s">
        <v>5080</v>
      </c>
      <c r="K476" s="901" t="s">
        <v>5887</v>
      </c>
      <c r="L476" s="905">
        <f t="shared" si="46"/>
        <v>0</v>
      </c>
      <c r="M476" s="909">
        <f>SUMIFS('Bilateral Assistance, MAIN DATA'!M:M,'Bilateral Assistance, MAIN DATA'!I:I,'Price List, Weapons &amp; Items'!B476)</f>
        <v>1000</v>
      </c>
      <c r="N476" s="71">
        <f>COUNTIFS('Bilateral Assistance, MAIN DATA'!M:M,"undisclosed",'Bilateral Assistance, MAIN DATA'!I:I,'Price List, Weapons &amp; Items'!B476)</f>
        <v>0</v>
      </c>
      <c r="O476" s="910">
        <f t="shared" si="45"/>
        <v>2300331.2476996691</v>
      </c>
      <c r="P476" s="71">
        <f>IFERROR(IF(SEARCH(B476,_xlfn.ARRAYTOTEXT('Bilateral Assistance, MAIN DATA'!I$1:I$2206))&gt;0,1,""),0)</f>
        <v>0</v>
      </c>
      <c r="Q476" s="71">
        <f>IFERROR(IF(SEARCH(B476,_xlfn.ARRAYTOTEXT('Commercial Assistance'!I$1:I$1400))&gt;0,1,""),0)</f>
        <v>0</v>
      </c>
      <c r="R476" s="905" t="str">
        <f>IF(SUMIFS('Bilateral Assistance, MAIN DATA'!N:N,'Bilateral Assistance, MAIN DATA'!I:I,'Price List, Weapons &amp; Items'!B476)&gt;M476,1,".")</f>
        <v>.</v>
      </c>
    </row>
    <row r="477" spans="2:18" ht="15" customHeight="1">
      <c r="B477" s="901" t="s">
        <v>2912</v>
      </c>
      <c r="C477" s="898" t="s">
        <v>5070</v>
      </c>
      <c r="D477" s="899" t="s">
        <v>3126</v>
      </c>
      <c r="E477" s="900">
        <v>0</v>
      </c>
      <c r="F477" s="900">
        <f t="shared" si="43"/>
        <v>0</v>
      </c>
      <c r="G477" s="892" t="s">
        <v>364</v>
      </c>
      <c r="H477" s="900" t="s">
        <v>456</v>
      </c>
      <c r="I477" s="913" t="s">
        <v>364</v>
      </c>
      <c r="J477" s="913" t="s">
        <v>364</v>
      </c>
      <c r="K477" s="901" t="s">
        <v>364</v>
      </c>
      <c r="L477" s="905">
        <f t="shared" si="46"/>
        <v>0</v>
      </c>
      <c r="M477" s="909">
        <f>SUMIFS('Bilateral Assistance, MAIN DATA'!M:M,'Bilateral Assistance, MAIN DATA'!I:I,'Price List, Weapons &amp; Items'!B477)</f>
        <v>850</v>
      </c>
      <c r="N477" s="71">
        <f>COUNTIFS('Bilateral Assistance, MAIN DATA'!M:M,"undisclosed",'Bilateral Assistance, MAIN DATA'!I:I,'Price List, Weapons &amp; Items'!B477)</f>
        <v>1</v>
      </c>
      <c r="O477" s="910" t="str">
        <f t="shared" si="45"/>
        <v>no price</v>
      </c>
      <c r="P477" s="71">
        <f>IFERROR(IF(SEARCH(B477,_xlfn.ARRAYTOTEXT('Bilateral Assistance, MAIN DATA'!I$1:I$2206))&gt;0,1,""),0)</f>
        <v>0</v>
      </c>
      <c r="Q477" s="71">
        <f>IFERROR(IF(SEARCH(B477,_xlfn.ARRAYTOTEXT('Commercial Assistance'!I$1:I$1400))&gt;0,1,""),0)</f>
        <v>0</v>
      </c>
      <c r="R477" s="905" t="str">
        <f>IF(SUMIFS('Bilateral Assistance, MAIN DATA'!N:N,'Bilateral Assistance, MAIN DATA'!I:I,'Price List, Weapons &amp; Items'!B477)&gt;M477,1,".")</f>
        <v>.</v>
      </c>
    </row>
    <row r="478" spans="2:18" ht="15" customHeight="1">
      <c r="B478" s="901" t="s">
        <v>3869</v>
      </c>
      <c r="C478" s="898" t="s">
        <v>5070</v>
      </c>
      <c r="D478" s="899" t="s">
        <v>3126</v>
      </c>
      <c r="E478" s="900">
        <v>0</v>
      </c>
      <c r="F478" s="900">
        <f t="shared" si="43"/>
        <v>0</v>
      </c>
      <c r="G478" s="892" t="s">
        <v>364</v>
      </c>
      <c r="H478" s="900" t="s">
        <v>456</v>
      </c>
      <c r="I478" s="913" t="s">
        <v>364</v>
      </c>
      <c r="J478" s="913" t="s">
        <v>364</v>
      </c>
      <c r="K478" s="901" t="s">
        <v>364</v>
      </c>
      <c r="L478" s="905">
        <f t="shared" si="46"/>
        <v>0</v>
      </c>
      <c r="M478" s="909">
        <f>SUMIFS('Bilateral Assistance, MAIN DATA'!M:M,'Bilateral Assistance, MAIN DATA'!I:I,'Price List, Weapons &amp; Items'!B478)</f>
        <v>6</v>
      </c>
      <c r="N478" s="71">
        <f>COUNTIFS('Bilateral Assistance, MAIN DATA'!M:M,"undisclosed",'Bilateral Assistance, MAIN DATA'!I:I,'Price List, Weapons &amp; Items'!B478)</f>
        <v>0</v>
      </c>
      <c r="O478" s="910" t="str">
        <f t="shared" si="45"/>
        <v>no price</v>
      </c>
      <c r="P478" s="71">
        <f>IFERROR(IF(SEARCH(B478,_xlfn.ARRAYTOTEXT('Bilateral Assistance, MAIN DATA'!I$1:I$2206))&gt;0,1,""),0)</f>
        <v>0</v>
      </c>
      <c r="Q478" s="71">
        <f>IFERROR(IF(SEARCH(B478,_xlfn.ARRAYTOTEXT('Commercial Assistance'!I$1:I$1400))&gt;0,1,""),0)</f>
        <v>0</v>
      </c>
      <c r="R478" s="905" t="str">
        <f>IF(SUMIFS('Bilateral Assistance, MAIN DATA'!N:N,'Bilateral Assistance, MAIN DATA'!I:I,'Price List, Weapons &amp; Items'!B478)&gt;M478,1,".")</f>
        <v>.</v>
      </c>
    </row>
    <row r="479" spans="2:18" ht="15" customHeight="1">
      <c r="B479" s="901" t="s">
        <v>5888</v>
      </c>
      <c r="C479" s="898" t="s">
        <v>360</v>
      </c>
      <c r="D479" s="898" t="s">
        <v>360</v>
      </c>
      <c r="E479" s="900">
        <v>0</v>
      </c>
      <c r="F479" s="900">
        <f t="shared" si="43"/>
        <v>0</v>
      </c>
      <c r="G479" s="892">
        <f>80*1.1175</f>
        <v>89.399999999999991</v>
      </c>
      <c r="H479" s="900" t="s">
        <v>456</v>
      </c>
      <c r="I479" s="885" t="s">
        <v>2546</v>
      </c>
      <c r="J479" s="901" t="s">
        <v>5119</v>
      </c>
      <c r="K479" s="901" t="s">
        <v>5889</v>
      </c>
      <c r="L479" s="905">
        <f t="shared" si="46"/>
        <v>0</v>
      </c>
      <c r="M479" s="909">
        <f>SUMIFS('Bilateral Assistance, MAIN DATA'!M:M,'Bilateral Assistance, MAIN DATA'!I:I,'Price List, Weapons &amp; Items'!B479)</f>
        <v>35000</v>
      </c>
      <c r="N479" s="71">
        <f>COUNTIFS('Bilateral Assistance, MAIN DATA'!M:M,"undisclosed",'Bilateral Assistance, MAIN DATA'!I:I,'Price List, Weapons &amp; Items'!B479)</f>
        <v>0</v>
      </c>
      <c r="O479" s="910">
        <f t="shared" si="45"/>
        <v>3128999.9999999995</v>
      </c>
      <c r="P479" s="71">
        <f>IFERROR(IF(SEARCH(B479,_xlfn.ARRAYTOTEXT('Bilateral Assistance, MAIN DATA'!I$1:I$2206))&gt;0,1,""),0)</f>
        <v>0</v>
      </c>
      <c r="Q479" s="71">
        <f>IFERROR(IF(SEARCH(B479,_xlfn.ARRAYTOTEXT('Commercial Assistance'!I$1:I$1400))&gt;0,1,""),0)</f>
        <v>0</v>
      </c>
      <c r="R479" s="905" t="str">
        <f>IF(SUMIFS('Bilateral Assistance, MAIN DATA'!N:N,'Bilateral Assistance, MAIN DATA'!I:I,'Price List, Weapons &amp; Items'!B479)&gt;M479,1,".")</f>
        <v>.</v>
      </c>
    </row>
    <row r="480" spans="2:18" ht="15" customHeight="1">
      <c r="B480" s="901" t="s">
        <v>620</v>
      </c>
      <c r="C480" s="898" t="s">
        <v>360</v>
      </c>
      <c r="D480" s="898" t="s">
        <v>360</v>
      </c>
      <c r="E480" s="900">
        <v>0</v>
      </c>
      <c r="F480" s="900">
        <f t="shared" si="43"/>
        <v>0</v>
      </c>
      <c r="G480" s="892" t="s">
        <v>364</v>
      </c>
      <c r="H480" s="908" t="str">
        <f>IF(G480&lt;&gt;".","USD",".")</f>
        <v>.</v>
      </c>
      <c r="I480" s="901" t="s">
        <v>364</v>
      </c>
      <c r="J480" s="901" t="str">
        <f>IF(I480&lt;&gt;".",".",".")</f>
        <v>.</v>
      </c>
      <c r="K480" s="901" t="s">
        <v>364</v>
      </c>
      <c r="L480" s="905">
        <f t="shared" si="46"/>
        <v>0</v>
      </c>
      <c r="M480" s="909">
        <f>SUMIFS('Bilateral Assistance, MAIN DATA'!M:M,'Bilateral Assistance, MAIN DATA'!I:I,'Price List, Weapons &amp; Items'!B480)</f>
        <v>0</v>
      </c>
      <c r="N480" s="71">
        <f>COUNTIFS('Bilateral Assistance, MAIN DATA'!M:M,"undisclosed",'Bilateral Assistance, MAIN DATA'!I:I,'Price List, Weapons &amp; Items'!B480)</f>
        <v>2</v>
      </c>
      <c r="O480" s="910" t="str">
        <f t="shared" si="45"/>
        <v>no price</v>
      </c>
      <c r="P480" s="71">
        <f>IFERROR(IF(SEARCH(B480,_xlfn.ARRAYTOTEXT('Bilateral Assistance, MAIN DATA'!I$1:I$2206))&gt;0,1,""),0)</f>
        <v>0</v>
      </c>
      <c r="Q480" s="71">
        <f>IFERROR(IF(SEARCH(B480,_xlfn.ARRAYTOTEXT('Commercial Assistance'!I$1:I$1400))&gt;0,1,""),0)</f>
        <v>0</v>
      </c>
      <c r="R480" s="905" t="str">
        <f>IF(SUMIFS('Bilateral Assistance, MAIN DATA'!N:N,'Bilateral Assistance, MAIN DATA'!I:I,'Price List, Weapons &amp; Items'!B480)&gt;M480,1,".")</f>
        <v>.</v>
      </c>
    </row>
    <row r="481" spans="2:18" ht="15" customHeight="1">
      <c r="B481" s="901" t="s">
        <v>1550</v>
      </c>
      <c r="C481" s="898" t="s">
        <v>360</v>
      </c>
      <c r="D481" s="898" t="s">
        <v>360</v>
      </c>
      <c r="E481" s="900">
        <v>0</v>
      </c>
      <c r="F481" s="900">
        <f t="shared" si="43"/>
        <v>0</v>
      </c>
      <c r="G481" s="892" t="s">
        <v>364</v>
      </c>
      <c r="H481" s="908" t="s">
        <v>364</v>
      </c>
      <c r="I481" s="925" t="s">
        <v>364</v>
      </c>
      <c r="J481" s="901" t="s">
        <v>364</v>
      </c>
      <c r="K481" s="901" t="s">
        <v>364</v>
      </c>
      <c r="L481" s="905">
        <f t="shared" si="46"/>
        <v>0</v>
      </c>
      <c r="M481" s="909">
        <f>SUMIFS('Bilateral Assistance, MAIN DATA'!M:M,'Bilateral Assistance, MAIN DATA'!I:I,'Price List, Weapons &amp; Items'!B481)</f>
        <v>0</v>
      </c>
      <c r="N481" s="71">
        <f>COUNTIFS('Bilateral Assistance, MAIN DATA'!M:M,"undisclosed",'Bilateral Assistance, MAIN DATA'!I:I,'Price List, Weapons &amp; Items'!B481)</f>
        <v>2</v>
      </c>
      <c r="O481" s="910" t="str">
        <f t="shared" si="45"/>
        <v>no price</v>
      </c>
      <c r="P481" s="71">
        <f>IFERROR(IF(SEARCH(B481,_xlfn.ARRAYTOTEXT('Bilateral Assistance, MAIN DATA'!I$1:I$2206))&gt;0,1,""),0)</f>
        <v>0</v>
      </c>
      <c r="Q481" s="71">
        <f>IFERROR(IF(SEARCH(B481,_xlfn.ARRAYTOTEXT('Commercial Assistance'!I$1:I$1400))&gt;0,1,""),0)</f>
        <v>0</v>
      </c>
      <c r="R481" s="905" t="str">
        <f>IF(SUMIFS('Bilateral Assistance, MAIN DATA'!N:N,'Bilateral Assistance, MAIN DATA'!I:I,'Price List, Weapons &amp; Items'!B481)&gt;M481,1,".")</f>
        <v>.</v>
      </c>
    </row>
    <row r="482" spans="2:18" ht="15" customHeight="1">
      <c r="B482" s="901" t="s">
        <v>1099</v>
      </c>
      <c r="C482" s="898" t="s">
        <v>360</v>
      </c>
      <c r="D482" s="898" t="s">
        <v>360</v>
      </c>
      <c r="E482" s="900">
        <v>0</v>
      </c>
      <c r="F482" s="900">
        <f t="shared" si="43"/>
        <v>0</v>
      </c>
      <c r="G482" s="892" t="s">
        <v>364</v>
      </c>
      <c r="H482" s="900" t="s">
        <v>364</v>
      </c>
      <c r="I482" s="913" t="s">
        <v>364</v>
      </c>
      <c r="J482" s="913" t="s">
        <v>364</v>
      </c>
      <c r="K482" s="901" t="s">
        <v>364</v>
      </c>
      <c r="L482" s="905">
        <f t="shared" si="46"/>
        <v>0</v>
      </c>
      <c r="M482" s="909">
        <f>SUMIFS('Bilateral Assistance, MAIN DATA'!M:M,'Bilateral Assistance, MAIN DATA'!I:I,'Price List, Weapons &amp; Items'!B482)</f>
        <v>1100</v>
      </c>
      <c r="N482" s="71">
        <f>COUNTIFS('Bilateral Assistance, MAIN DATA'!M:M,"undisclosed",'Bilateral Assistance, MAIN DATA'!I:I,'Price List, Weapons &amp; Items'!B482)</f>
        <v>0</v>
      </c>
      <c r="O482" s="910" t="str">
        <f t="shared" si="45"/>
        <v>no price</v>
      </c>
      <c r="P482" s="71">
        <f>IFERROR(IF(SEARCH(B482,_xlfn.ARRAYTOTEXT('Bilateral Assistance, MAIN DATA'!I$1:I$2206))&gt;0,1,""),0)</f>
        <v>0</v>
      </c>
      <c r="Q482" s="71">
        <f>IFERROR(IF(SEARCH(B482,_xlfn.ARRAYTOTEXT('Commercial Assistance'!I$1:I$1400))&gt;0,1,""),0)</f>
        <v>0</v>
      </c>
      <c r="R482" s="905" t="str">
        <f>IF(SUMIFS('Bilateral Assistance, MAIN DATA'!N:N,'Bilateral Assistance, MAIN DATA'!I:I,'Price List, Weapons &amp; Items'!B482)&gt;M482,1,".")</f>
        <v>.</v>
      </c>
    </row>
    <row r="483" spans="2:18" ht="15" customHeight="1">
      <c r="B483" s="901" t="s">
        <v>1604</v>
      </c>
      <c r="C483" s="898" t="s">
        <v>360</v>
      </c>
      <c r="D483" s="898" t="s">
        <v>360</v>
      </c>
      <c r="E483" s="900">
        <v>0</v>
      </c>
      <c r="F483" s="900">
        <f t="shared" si="43"/>
        <v>0</v>
      </c>
      <c r="G483" s="892" t="s">
        <v>364</v>
      </c>
      <c r="H483" s="900" t="s">
        <v>364</v>
      </c>
      <c r="I483" s="913" t="s">
        <v>364</v>
      </c>
      <c r="J483" s="913" t="s">
        <v>364</v>
      </c>
      <c r="K483" s="901" t="s">
        <v>364</v>
      </c>
      <c r="L483" s="905">
        <f t="shared" si="46"/>
        <v>0</v>
      </c>
      <c r="M483" s="909">
        <f>SUMIFS('Bilateral Assistance, MAIN DATA'!M:M,'Bilateral Assistance, MAIN DATA'!I:I,'Price List, Weapons &amp; Items'!B483)</f>
        <v>6</v>
      </c>
      <c r="N483" s="71">
        <f>COUNTIFS('Bilateral Assistance, MAIN DATA'!M:M,"undisclosed",'Bilateral Assistance, MAIN DATA'!I:I,'Price List, Weapons &amp; Items'!B483)</f>
        <v>0</v>
      </c>
      <c r="O483" s="910" t="str">
        <f t="shared" si="45"/>
        <v>no price</v>
      </c>
      <c r="P483" s="71">
        <f>IFERROR(IF(SEARCH(B483,_xlfn.ARRAYTOTEXT('Bilateral Assistance, MAIN DATA'!I$1:I$2206))&gt;0,1,""),0)</f>
        <v>0</v>
      </c>
      <c r="Q483" s="71">
        <f>IFERROR(IF(SEARCH(B483,_xlfn.ARRAYTOTEXT('Commercial Assistance'!I$1:I$1400))&gt;0,1,""),0)</f>
        <v>0</v>
      </c>
      <c r="R483" s="905" t="str">
        <f>IF(SUMIFS('Bilateral Assistance, MAIN DATA'!N:N,'Bilateral Assistance, MAIN DATA'!I:I,'Price List, Weapons &amp; Items'!B483)&gt;M483,1,".")</f>
        <v>.</v>
      </c>
    </row>
    <row r="484" spans="2:18" ht="15" customHeight="1">
      <c r="B484" s="901" t="s">
        <v>5890</v>
      </c>
      <c r="C484" s="898" t="s">
        <v>360</v>
      </c>
      <c r="D484" s="898" t="s">
        <v>360</v>
      </c>
      <c r="E484" s="900">
        <v>0</v>
      </c>
      <c r="F484" s="900">
        <f t="shared" si="43"/>
        <v>0</v>
      </c>
      <c r="G484" s="892" t="s">
        <v>364</v>
      </c>
      <c r="H484" s="900" t="s">
        <v>364</v>
      </c>
      <c r="I484" s="913" t="s">
        <v>364</v>
      </c>
      <c r="J484" s="913" t="s">
        <v>364</v>
      </c>
      <c r="K484" s="901" t="s">
        <v>364</v>
      </c>
      <c r="L484" s="905">
        <f t="shared" si="46"/>
        <v>0</v>
      </c>
      <c r="M484" s="909">
        <f>SUMIFS('Bilateral Assistance, MAIN DATA'!M:M,'Bilateral Assistance, MAIN DATA'!I:I,'Price List, Weapons &amp; Items'!B484)</f>
        <v>0</v>
      </c>
      <c r="N484" s="71">
        <f>COUNTIFS('Bilateral Assistance, MAIN DATA'!M:M,"undisclosed",'Bilateral Assistance, MAIN DATA'!I:I,'Price List, Weapons &amp; Items'!B484)</f>
        <v>0</v>
      </c>
      <c r="O484" s="910" t="str">
        <f t="shared" si="45"/>
        <v>no price</v>
      </c>
      <c r="P484" s="71">
        <f>IFERROR(IF(SEARCH(B484,_xlfn.ARRAYTOTEXT('Bilateral Assistance, MAIN DATA'!I$1:I$2206))&gt;0,1,""),0)</f>
        <v>0</v>
      </c>
      <c r="Q484" s="71">
        <f>IFERROR(IF(SEARCH(B484,_xlfn.ARRAYTOTEXT('Commercial Assistance'!I$1:I$1400))&gt;0,1,""),0)</f>
        <v>0</v>
      </c>
      <c r="R484" s="905" t="str">
        <f>IF(SUMIFS('Bilateral Assistance, MAIN DATA'!N:N,'Bilateral Assistance, MAIN DATA'!I:I,'Price List, Weapons &amp; Items'!B484)&gt;M484,1,".")</f>
        <v>.</v>
      </c>
    </row>
    <row r="485" spans="2:18" ht="15" customHeight="1">
      <c r="B485" s="901" t="s">
        <v>5891</v>
      </c>
      <c r="C485" s="898" t="s">
        <v>360</v>
      </c>
      <c r="D485" s="898" t="s">
        <v>360</v>
      </c>
      <c r="E485" s="900">
        <v>0</v>
      </c>
      <c r="F485" s="900">
        <f t="shared" si="43"/>
        <v>0</v>
      </c>
      <c r="G485" s="892">
        <v>11168</v>
      </c>
      <c r="H485" s="908" t="str">
        <f>IF(G485&lt;&gt;".","USD",".")</f>
        <v>USD</v>
      </c>
      <c r="I485" s="886" t="s">
        <v>5754</v>
      </c>
      <c r="J485" s="901" t="s">
        <v>5089</v>
      </c>
      <c r="K485" s="901" t="s">
        <v>5892</v>
      </c>
      <c r="L485" s="905">
        <f t="shared" si="46"/>
        <v>0</v>
      </c>
      <c r="M485" s="909">
        <f>SUMIFS('Bilateral Assistance, MAIN DATA'!M:M,'Bilateral Assistance, MAIN DATA'!I:I,'Price List, Weapons &amp; Items'!B485)</f>
        <v>0</v>
      </c>
      <c r="N485" s="71">
        <f>COUNTIFS('Bilateral Assistance, MAIN DATA'!M:M,"undisclosed",'Bilateral Assistance, MAIN DATA'!I:I,'Price List, Weapons &amp; Items'!B485)</f>
        <v>0</v>
      </c>
      <c r="O485" s="910">
        <f t="shared" si="45"/>
        <v>0</v>
      </c>
      <c r="P485" s="71">
        <f>IFERROR(IF(SEARCH(B485,_xlfn.ARRAYTOTEXT('Bilateral Assistance, MAIN DATA'!I$1:I$2206))&gt;0,1,""),0)</f>
        <v>0</v>
      </c>
      <c r="Q485" s="71">
        <f>IFERROR(IF(SEARCH(B485,_xlfn.ARRAYTOTEXT('Commercial Assistance'!I$1:I$1400))&gt;0,1,""),0)</f>
        <v>0</v>
      </c>
      <c r="R485" s="905" t="str">
        <f>IF(SUMIFS('Bilateral Assistance, MAIN DATA'!N:N,'Bilateral Assistance, MAIN DATA'!I:I,'Price List, Weapons &amp; Items'!B485)&gt;M485,1,".")</f>
        <v>.</v>
      </c>
    </row>
    <row r="486" spans="2:18" ht="15" customHeight="1">
      <c r="B486" s="901" t="s">
        <v>5893</v>
      </c>
      <c r="C486" s="898" t="s">
        <v>360</v>
      </c>
      <c r="D486" s="898" t="s">
        <v>360</v>
      </c>
      <c r="E486" s="900">
        <v>0</v>
      </c>
      <c r="F486" s="900">
        <f t="shared" si="43"/>
        <v>0</v>
      </c>
      <c r="G486" s="892">
        <v>325</v>
      </c>
      <c r="H486" s="900" t="s">
        <v>456</v>
      </c>
      <c r="I486" s="885" t="s">
        <v>5894</v>
      </c>
      <c r="J486" s="913" t="s">
        <v>5895</v>
      </c>
      <c r="K486" s="913" t="s">
        <v>5896</v>
      </c>
      <c r="L486" s="905">
        <f t="shared" si="46"/>
        <v>0</v>
      </c>
      <c r="M486" s="909">
        <f>SUMIFS('Bilateral Assistance, MAIN DATA'!M:M,'Bilateral Assistance, MAIN DATA'!I:I,'Price List, Weapons &amp; Items'!B486)</f>
        <v>0</v>
      </c>
      <c r="N486" s="71">
        <f>COUNTIFS('Bilateral Assistance, MAIN DATA'!M:M,"undisclosed",'Bilateral Assistance, MAIN DATA'!I:I,'Price List, Weapons &amp; Items'!B486)</f>
        <v>0</v>
      </c>
      <c r="O486" s="910">
        <f t="shared" si="45"/>
        <v>0</v>
      </c>
      <c r="P486" s="71">
        <f>IFERROR(IF(SEARCH(B486,_xlfn.ARRAYTOTEXT('Bilateral Assistance, MAIN DATA'!I$1:I$2206))&gt;0,1,""),0)</f>
        <v>0</v>
      </c>
      <c r="Q486" s="71">
        <f>IFERROR(IF(SEARCH(B486,_xlfn.ARRAYTOTEXT('Commercial Assistance'!I$1:I$1400))&gt;0,1,""),0)</f>
        <v>0</v>
      </c>
      <c r="R486" s="905" t="str">
        <f>IF(SUMIFS('Bilateral Assistance, MAIN DATA'!N:N,'Bilateral Assistance, MAIN DATA'!I:I,'Price List, Weapons &amp; Items'!B486)&gt;M486,1,".")</f>
        <v>.</v>
      </c>
    </row>
    <row r="487" spans="2:18" ht="15" customHeight="1">
      <c r="B487" s="901" t="s">
        <v>5897</v>
      </c>
      <c r="C487" s="898" t="s">
        <v>360</v>
      </c>
      <c r="D487" s="898" t="s">
        <v>360</v>
      </c>
      <c r="E487" s="900">
        <v>0</v>
      </c>
      <c r="F487" s="900">
        <f t="shared" si="43"/>
        <v>0</v>
      </c>
      <c r="G487" s="892" t="s">
        <v>364</v>
      </c>
      <c r="H487" s="900" t="s">
        <v>364</v>
      </c>
      <c r="I487" s="913" t="s">
        <v>364</v>
      </c>
      <c r="J487" s="913" t="s">
        <v>364</v>
      </c>
      <c r="K487" s="901" t="s">
        <v>364</v>
      </c>
      <c r="L487" s="905">
        <f t="shared" si="46"/>
        <v>0</v>
      </c>
      <c r="M487" s="909">
        <f>SUMIFS('Bilateral Assistance, MAIN DATA'!M:M,'Bilateral Assistance, MAIN DATA'!I:I,'Price List, Weapons &amp; Items'!B487)</f>
        <v>0</v>
      </c>
      <c r="N487" s="71">
        <f>COUNTIFS('Bilateral Assistance, MAIN DATA'!M:M,"undisclosed",'Bilateral Assistance, MAIN DATA'!I:I,'Price List, Weapons &amp; Items'!B487)</f>
        <v>0</v>
      </c>
      <c r="O487" s="910" t="str">
        <f t="shared" si="45"/>
        <v>no price</v>
      </c>
      <c r="P487" s="71">
        <f>IFERROR(IF(SEARCH(B487,_xlfn.ARRAYTOTEXT('Bilateral Assistance, MAIN DATA'!I$1:I$2206))&gt;0,1,""),0)</f>
        <v>0</v>
      </c>
      <c r="Q487" s="71">
        <f>IFERROR(IF(SEARCH(B487,_xlfn.ARRAYTOTEXT('Commercial Assistance'!I$1:I$1400))&gt;0,1,""),0)</f>
        <v>0</v>
      </c>
      <c r="R487" s="905" t="str">
        <f>IF(SUMIFS('Bilateral Assistance, MAIN DATA'!N:N,'Bilateral Assistance, MAIN DATA'!I:I,'Price List, Weapons &amp; Items'!B487)&gt;M487,1,".")</f>
        <v>.</v>
      </c>
    </row>
    <row r="488" spans="2:18" ht="15" customHeight="1">
      <c r="B488" s="901" t="s">
        <v>626</v>
      </c>
      <c r="C488" s="898" t="s">
        <v>5062</v>
      </c>
      <c r="D488" s="899" t="s">
        <v>5169</v>
      </c>
      <c r="E488" s="900">
        <v>0</v>
      </c>
      <c r="F488" s="900">
        <f t="shared" si="43"/>
        <v>0</v>
      </c>
      <c r="G488" s="932">
        <v>388500</v>
      </c>
      <c r="H488" s="908" t="str">
        <f>IF(G488&lt;&gt;".","USD",".")</f>
        <v>USD</v>
      </c>
      <c r="I488" s="893" t="s">
        <v>5291</v>
      </c>
      <c r="J488" s="901" t="s">
        <v>5082</v>
      </c>
      <c r="K488" s="71" t="s">
        <v>5898</v>
      </c>
      <c r="L488" s="905">
        <f t="shared" si="46"/>
        <v>2</v>
      </c>
      <c r="M488" s="909">
        <f>SUMIFS('Bilateral Assistance, MAIN DATA'!M:M,'Bilateral Assistance, MAIN DATA'!I:I,'Price List, Weapons &amp; Items'!B488)</f>
        <v>40</v>
      </c>
      <c r="N488" s="71">
        <f>COUNTIFS('Bilateral Assistance, MAIN DATA'!M:M,"undisclosed",'Bilateral Assistance, MAIN DATA'!I:I,'Price List, Weapons &amp; Items'!B488)</f>
        <v>4</v>
      </c>
      <c r="O488" s="910">
        <f t="shared" si="45"/>
        <v>15540000</v>
      </c>
      <c r="P488" s="71">
        <f>IFERROR(IF(SEARCH(B488,_xlfn.ARRAYTOTEXT('Bilateral Assistance, MAIN DATA'!I$1:I$2206))&gt;0,1,""),0)</f>
        <v>0</v>
      </c>
      <c r="Q488" s="71">
        <f>IFERROR(IF(SEARCH(B488,_xlfn.ARRAYTOTEXT('Commercial Assistance'!I$1:I$1400))&gt;0,1,""),0)</f>
        <v>0</v>
      </c>
      <c r="R488" s="905" t="str">
        <f>IF(SUMIFS('Bilateral Assistance, MAIN DATA'!N:N,'Bilateral Assistance, MAIN DATA'!I:I,'Price List, Weapons &amp; Items'!B488)&gt;M488,1,".")</f>
        <v>.</v>
      </c>
    </row>
    <row r="489" spans="2:18" ht="15" customHeight="1">
      <c r="B489" s="901" t="s">
        <v>3137</v>
      </c>
      <c r="C489" s="898" t="s">
        <v>5059</v>
      </c>
      <c r="D489" s="899" t="s">
        <v>5193</v>
      </c>
      <c r="E489" s="900">
        <v>0</v>
      </c>
      <c r="F489" s="900">
        <f t="shared" si="43"/>
        <v>0</v>
      </c>
      <c r="G489" s="892">
        <v>109.89</v>
      </c>
      <c r="H489" s="908" t="s">
        <v>456</v>
      </c>
      <c r="I489" s="924" t="s">
        <v>5899</v>
      </c>
      <c r="J489" s="901" t="s">
        <v>5119</v>
      </c>
      <c r="K489" s="901" t="s">
        <v>5900</v>
      </c>
      <c r="L489" s="905">
        <f t="shared" si="46"/>
        <v>2</v>
      </c>
      <c r="M489" s="909">
        <f>SUMIFS('Bilateral Assistance, MAIN DATA'!M:M,'Bilateral Assistance, MAIN DATA'!I:I,'Price List, Weapons &amp; Items'!B489)</f>
        <v>136800</v>
      </c>
      <c r="N489" s="71">
        <f>COUNTIFS('Bilateral Assistance, MAIN DATA'!M:M,"undisclosed",'Bilateral Assistance, MAIN DATA'!I:I,'Price List, Weapons &amp; Items'!B489)</f>
        <v>7</v>
      </c>
      <c r="O489" s="910">
        <f t="shared" si="45"/>
        <v>15032952</v>
      </c>
      <c r="P489" s="71">
        <f>IFERROR(IF(SEARCH(B489,_xlfn.ARRAYTOTEXT('Bilateral Assistance, MAIN DATA'!I$1:I$2206))&gt;0,1,""),0)</f>
        <v>0</v>
      </c>
      <c r="Q489" s="71">
        <f>IFERROR(IF(SEARCH(B489,_xlfn.ARRAYTOTEXT('Commercial Assistance'!I$1:I$1400))&gt;0,1,""),0)</f>
        <v>0</v>
      </c>
      <c r="R489" s="905" t="str">
        <f>IF(SUMIFS('Bilateral Assistance, MAIN DATA'!N:N,'Bilateral Assistance, MAIN DATA'!I:I,'Price List, Weapons &amp; Items'!B489)&gt;M489,1,".")</f>
        <v>.</v>
      </c>
    </row>
    <row r="490" spans="2:18" ht="15" customHeight="1">
      <c r="B490" s="901" t="s">
        <v>4144</v>
      </c>
      <c r="C490" s="898" t="s">
        <v>5062</v>
      </c>
      <c r="D490" s="899" t="s">
        <v>5152</v>
      </c>
      <c r="E490" s="900">
        <v>0</v>
      </c>
      <c r="F490" s="900">
        <f t="shared" si="43"/>
        <v>1</v>
      </c>
      <c r="G490" s="932">
        <v>274051.65999999997</v>
      </c>
      <c r="H490" s="900" t="s">
        <v>456</v>
      </c>
      <c r="I490" s="893" t="s">
        <v>5158</v>
      </c>
      <c r="J490" s="913" t="s">
        <v>5082</v>
      </c>
      <c r="K490" s="71" t="s">
        <v>5901</v>
      </c>
      <c r="L490" s="905">
        <f t="shared" si="46"/>
        <v>2</v>
      </c>
      <c r="M490" s="909">
        <f>SUMIFS('Bilateral Assistance, MAIN DATA'!M:M,'Bilateral Assistance, MAIN DATA'!I:I,'Price List, Weapons &amp; Items'!B490)</f>
        <v>100</v>
      </c>
      <c r="N490" s="71">
        <f>COUNTIFS('Bilateral Assistance, MAIN DATA'!M:M,"undisclosed",'Bilateral Assistance, MAIN DATA'!I:I,'Price List, Weapons &amp; Items'!B490)</f>
        <v>1</v>
      </c>
      <c r="O490" s="910">
        <f t="shared" si="45"/>
        <v>27405165.999999996</v>
      </c>
      <c r="P490" s="71">
        <f>IFERROR(IF(SEARCH(B490,_xlfn.ARRAYTOTEXT('Bilateral Assistance, MAIN DATA'!I$1:I$2206))&gt;0,1,""),0)</f>
        <v>0</v>
      </c>
      <c r="Q490" s="71">
        <f>IFERROR(IF(SEARCH(B490,_xlfn.ARRAYTOTEXT('Commercial Assistance'!I$1:I$1400))&gt;0,1,""),0)</f>
        <v>0</v>
      </c>
      <c r="R490" s="905" t="str">
        <f>IF(SUMIFS('Bilateral Assistance, MAIN DATA'!N:N,'Bilateral Assistance, MAIN DATA'!I:I,'Price List, Weapons &amp; Items'!B490)&gt;M490,1,".")</f>
        <v>.</v>
      </c>
    </row>
    <row r="491" spans="2:18" ht="15" customHeight="1">
      <c r="B491" s="71" t="s">
        <v>1288</v>
      </c>
      <c r="C491" s="898" t="s">
        <v>5065</v>
      </c>
      <c r="D491" s="899" t="s">
        <v>5066</v>
      </c>
      <c r="E491" s="900">
        <v>0</v>
      </c>
      <c r="F491" s="900">
        <f t="shared" si="43"/>
        <v>0</v>
      </c>
      <c r="G491" s="932">
        <v>0.47</v>
      </c>
      <c r="H491" s="908" t="str">
        <f>IF(G491&lt;&gt;".","USD",".")</f>
        <v>USD</v>
      </c>
      <c r="I491" s="893" t="s">
        <v>5902</v>
      </c>
      <c r="J491" s="913" t="s">
        <v>5089</v>
      </c>
      <c r="K491" s="71" t="s">
        <v>5903</v>
      </c>
      <c r="L491" s="905">
        <f t="shared" si="46"/>
        <v>2</v>
      </c>
      <c r="M491" s="909">
        <f>SUMIFS('Bilateral Assistance, MAIN DATA'!M:M,'Bilateral Assistance, MAIN DATA'!I:I,'Price List, Weapons &amp; Items'!B491)</f>
        <v>48020000</v>
      </c>
      <c r="N491" s="71">
        <f>COUNTIFS('Bilateral Assistance, MAIN DATA'!M:M,"undisclosed",'Bilateral Assistance, MAIN DATA'!I:I,'Price List, Weapons &amp; Items'!B491)</f>
        <v>3</v>
      </c>
      <c r="O491" s="910">
        <f t="shared" si="45"/>
        <v>22569400</v>
      </c>
      <c r="P491" s="71">
        <f>IFERROR(IF(SEARCH(B491,_xlfn.ARRAYTOTEXT('Bilateral Assistance, MAIN DATA'!I$1:I$2206))&gt;0,1,""),0)</f>
        <v>0</v>
      </c>
      <c r="Q491" s="71">
        <f>IFERROR(IF(SEARCH(B491,_xlfn.ARRAYTOTEXT('Commercial Assistance'!I$1:I$1400))&gt;0,1,""),0)</f>
        <v>0</v>
      </c>
      <c r="R491" s="905" t="str">
        <f>IF(SUMIFS('Bilateral Assistance, MAIN DATA'!N:N,'Bilateral Assistance, MAIN DATA'!I:I,'Price List, Weapons &amp; Items'!B491)&gt;M491,1,".")</f>
        <v>.</v>
      </c>
    </row>
    <row r="492" spans="2:18" ht="15" customHeight="1">
      <c r="B492" s="901" t="s">
        <v>4191</v>
      </c>
      <c r="C492" s="898" t="s">
        <v>5059</v>
      </c>
      <c r="D492" s="899" t="s">
        <v>5060</v>
      </c>
      <c r="E492" s="900">
        <v>0</v>
      </c>
      <c r="F492" s="900">
        <f t="shared" ref="F492:F555" si="47">IF(OR(D492="Armored Personnel Carrier (APC)",D492="Armored Recovery Vehicle (ARV)",D492="Armored Utility Vehicle (AUV)",D492="152mm howitzer ammunition",D492="155mm howitzer ammunition",D492="300mm MLRS ammunition",D492="155mm howitzer",D492="227mm MLRS ammunition",D492="Infantry fighting vehicle (IFV)",D492="152mm howitzer",D492="227mm MLRS",D492="Main Battle Tank (MBT)",D492="Protected Patrol Vehicle (PPV)",D492="127mm MLRS",D492="122mm MLRS",D492="122mm MLRS ammunition",D492="122mm MLRS",D492="127mm MLRS",D492="127mm MLRS ammunition")=TRUE,1,0)</f>
        <v>1</v>
      </c>
      <c r="G492" s="892" t="s">
        <v>364</v>
      </c>
      <c r="H492" s="900" t="s">
        <v>364</v>
      </c>
      <c r="I492" s="913" t="s">
        <v>364</v>
      </c>
      <c r="J492" s="913" t="s">
        <v>364</v>
      </c>
      <c r="K492" s="901" t="s">
        <v>364</v>
      </c>
      <c r="L492" s="905">
        <f t="shared" si="46"/>
        <v>0</v>
      </c>
      <c r="M492" s="909">
        <f>SUMIFS('Bilateral Assistance, MAIN DATA'!M:M,'Bilateral Assistance, MAIN DATA'!I:I,'Price List, Weapons &amp; Items'!B492)</f>
        <v>1000</v>
      </c>
      <c r="N492" s="71">
        <f>COUNTIFS('Bilateral Assistance, MAIN DATA'!M:M,"undisclosed",'Bilateral Assistance, MAIN DATA'!I:I,'Price List, Weapons &amp; Items'!B492)</f>
        <v>0</v>
      </c>
      <c r="O492" s="910" t="str">
        <f t="shared" si="45"/>
        <v>no price</v>
      </c>
      <c r="P492" s="71">
        <f>IFERROR(IF(SEARCH(B492,_xlfn.ARRAYTOTEXT('Bilateral Assistance, MAIN DATA'!I$1:I$2206))&gt;0,1,""),0)</f>
        <v>0</v>
      </c>
      <c r="Q492" s="71">
        <f>IFERROR(IF(SEARCH(B492,_xlfn.ARRAYTOTEXT('Commercial Assistance'!I$1:I$1400))&gt;0,1,""),0)</f>
        <v>0</v>
      </c>
      <c r="R492" s="905" t="str">
        <f>IF(SUMIFS('Bilateral Assistance, MAIN DATA'!N:N,'Bilateral Assistance, MAIN DATA'!I:I,'Price List, Weapons &amp; Items'!B492)&gt;M492,1,".")</f>
        <v>.</v>
      </c>
    </row>
    <row r="493" spans="2:18" ht="15" customHeight="1">
      <c r="B493" s="71" t="s">
        <v>2025</v>
      </c>
      <c r="C493" s="898" t="s">
        <v>5065</v>
      </c>
      <c r="D493" s="899" t="s">
        <v>5066</v>
      </c>
      <c r="E493" s="900">
        <v>0</v>
      </c>
      <c r="F493" s="900">
        <f t="shared" si="47"/>
        <v>0</v>
      </c>
      <c r="G493" s="932">
        <v>0.47</v>
      </c>
      <c r="H493" s="908" t="s">
        <v>456</v>
      </c>
      <c r="I493" s="924" t="s">
        <v>5902</v>
      </c>
      <c r="J493" s="913" t="s">
        <v>5089</v>
      </c>
      <c r="K493" s="71" t="s">
        <v>5903</v>
      </c>
      <c r="L493" s="905">
        <f t="shared" si="46"/>
        <v>2</v>
      </c>
      <c r="M493" s="909">
        <f>SUMIFS('Bilateral Assistance, MAIN DATA'!M:M,'Bilateral Assistance, MAIN DATA'!I:I,'Price List, Weapons &amp; Items'!B493)</f>
        <v>50753600</v>
      </c>
      <c r="N493" s="71">
        <f>COUNTIFS('Bilateral Assistance, MAIN DATA'!M:M,"undisclosed",'Bilateral Assistance, MAIN DATA'!I:I,'Price List, Weapons &amp; Items'!B493)</f>
        <v>2</v>
      </c>
      <c r="O493" s="910">
        <f t="shared" si="45"/>
        <v>23854192</v>
      </c>
      <c r="P493" s="71">
        <f>IFERROR(IF(SEARCH(B493,_xlfn.ARRAYTOTEXT('Bilateral Assistance, MAIN DATA'!I$1:I$2206))&gt;0,1,""),0)</f>
        <v>0</v>
      </c>
      <c r="Q493" s="71">
        <f>IFERROR(IF(SEARCH(B493,_xlfn.ARRAYTOTEXT('Commercial Assistance'!I$1:I$1400))&gt;0,1,""),0)</f>
        <v>0</v>
      </c>
      <c r="R493" s="905" t="str">
        <f>IF(SUMIFS('Bilateral Assistance, MAIN DATA'!N:N,'Bilateral Assistance, MAIN DATA'!I:I,'Price List, Weapons &amp; Items'!B493)&gt;M493,1,".")</f>
        <v>.</v>
      </c>
    </row>
    <row r="494" spans="2:18" ht="15" customHeight="1">
      <c r="B494" s="71" t="s">
        <v>5904</v>
      </c>
      <c r="C494" s="898" t="s">
        <v>5059</v>
      </c>
      <c r="D494" s="899" t="s">
        <v>5476</v>
      </c>
      <c r="E494" s="900">
        <v>0</v>
      </c>
      <c r="F494" s="900">
        <f t="shared" si="47"/>
        <v>0</v>
      </c>
      <c r="G494" s="892" t="s">
        <v>364</v>
      </c>
      <c r="H494" s="900" t="s">
        <v>364</v>
      </c>
      <c r="I494" s="913" t="s">
        <v>364</v>
      </c>
      <c r="J494" s="913" t="s">
        <v>364</v>
      </c>
      <c r="K494" s="901" t="s">
        <v>364</v>
      </c>
      <c r="L494" s="905" t="str">
        <f t="shared" si="46"/>
        <v>no price, 0 count</v>
      </c>
      <c r="M494" s="909">
        <f>SUMIFS('Bilateral Assistance, MAIN DATA'!M:M,'Bilateral Assistance, MAIN DATA'!I:I,'Price List, Weapons &amp; Items'!B494)</f>
        <v>0</v>
      </c>
      <c r="N494" s="71">
        <f>COUNTIFS('Bilateral Assistance, MAIN DATA'!M:M,"undisclosed",'Bilateral Assistance, MAIN DATA'!I:I,'Price List, Weapons &amp; Items'!B494)</f>
        <v>0</v>
      </c>
      <c r="O494" s="910" t="str">
        <f t="shared" si="45"/>
        <v>no price</v>
      </c>
      <c r="P494" s="71">
        <f>IFERROR(IF(SEARCH(B494,_xlfn.ARRAYTOTEXT('Bilateral Assistance, MAIN DATA'!I$1:I$2206))&gt;0,1,""),0)</f>
        <v>0</v>
      </c>
      <c r="Q494" s="71">
        <f>IFERROR(IF(SEARCH(B494,_xlfn.ARRAYTOTEXT('Commercial Assistance'!I$1:I$1400))&gt;0,1,""),0)</f>
        <v>0</v>
      </c>
      <c r="R494" s="905" t="str">
        <f>IF(SUMIFS('Bilateral Assistance, MAIN DATA'!N:N,'Bilateral Assistance, MAIN DATA'!I:I,'Price List, Weapons &amp; Items'!B494)&gt;M494,1,".")</f>
        <v>.</v>
      </c>
    </row>
    <row r="495" spans="2:18" ht="15" customHeight="1">
      <c r="B495" s="71" t="s">
        <v>4278</v>
      </c>
      <c r="C495" s="898" t="s">
        <v>1105</v>
      </c>
      <c r="D495" s="898" t="s">
        <v>1105</v>
      </c>
      <c r="E495" s="900">
        <v>0</v>
      </c>
      <c r="F495" s="900">
        <f t="shared" si="47"/>
        <v>0</v>
      </c>
      <c r="G495" s="892" t="s">
        <v>364</v>
      </c>
      <c r="H495" s="900" t="s">
        <v>364</v>
      </c>
      <c r="I495" s="913" t="s">
        <v>364</v>
      </c>
      <c r="J495" s="913" t="s">
        <v>364</v>
      </c>
      <c r="K495" s="901" t="s">
        <v>364</v>
      </c>
      <c r="L495" s="905">
        <f t="shared" si="46"/>
        <v>0</v>
      </c>
      <c r="M495" s="909">
        <f>SUMIFS('Bilateral Assistance, MAIN DATA'!M:M,'Bilateral Assistance, MAIN DATA'!I:I,'Price List, Weapons &amp; Items'!B495)</f>
        <v>2</v>
      </c>
      <c r="N495" s="71">
        <f>COUNTIFS('Bilateral Assistance, MAIN DATA'!M:M,"undisclosed",'Bilateral Assistance, MAIN DATA'!I:I,'Price List, Weapons &amp; Items'!B495)</f>
        <v>0</v>
      </c>
      <c r="O495" s="910" t="str">
        <f t="shared" si="45"/>
        <v>no price</v>
      </c>
      <c r="P495" s="71">
        <f>IFERROR(IF(SEARCH(B495,_xlfn.ARRAYTOTEXT('Bilateral Assistance, MAIN DATA'!I$1:I$2206))&gt;0,1,""),0)</f>
        <v>0</v>
      </c>
      <c r="Q495" s="71">
        <f>IFERROR(IF(SEARCH(B495,_xlfn.ARRAYTOTEXT('Commercial Assistance'!I$1:I$1400))&gt;0,1,""),0)</f>
        <v>0</v>
      </c>
      <c r="R495" s="905" t="str">
        <f>IF(SUMIFS('Bilateral Assistance, MAIN DATA'!N:N,'Bilateral Assistance, MAIN DATA'!I:I,'Price List, Weapons &amp; Items'!B495)&gt;M495,1,".")</f>
        <v>.</v>
      </c>
    </row>
    <row r="496" spans="2:18" ht="15" customHeight="1">
      <c r="B496" s="901" t="s">
        <v>493</v>
      </c>
      <c r="C496" s="898" t="s">
        <v>360</v>
      </c>
      <c r="D496" s="898" t="s">
        <v>360</v>
      </c>
      <c r="E496" s="900">
        <v>0</v>
      </c>
      <c r="F496" s="900">
        <f t="shared" si="47"/>
        <v>0</v>
      </c>
      <c r="G496" s="892">
        <v>300000</v>
      </c>
      <c r="H496" s="900" t="s">
        <v>456</v>
      </c>
      <c r="I496" s="885" t="s">
        <v>5905</v>
      </c>
      <c r="J496" s="71" t="s">
        <v>5086</v>
      </c>
      <c r="K496" s="901" t="s">
        <v>5906</v>
      </c>
      <c r="L496" s="905">
        <f t="shared" si="46"/>
        <v>0</v>
      </c>
      <c r="M496" s="909">
        <f>SUMIFS('Bilateral Assistance, MAIN DATA'!M:M,'Bilateral Assistance, MAIN DATA'!I:I,'Price List, Weapons &amp; Items'!B496)</f>
        <v>1</v>
      </c>
      <c r="N496" s="71">
        <f>COUNTIFS('Bilateral Assistance, MAIN DATA'!M:M,"undisclosed",'Bilateral Assistance, MAIN DATA'!I:I,'Price List, Weapons &amp; Items'!B496)</f>
        <v>0</v>
      </c>
      <c r="O496" s="910">
        <f t="shared" si="45"/>
        <v>300000</v>
      </c>
      <c r="P496" s="71">
        <f>IFERROR(IF(SEARCH(B496,_xlfn.ARRAYTOTEXT('Bilateral Assistance, MAIN DATA'!I$1:I$2206))&gt;0,1,""),0)</f>
        <v>0</v>
      </c>
      <c r="Q496" s="71">
        <f>IFERROR(IF(SEARCH(B496,_xlfn.ARRAYTOTEXT('Commercial Assistance'!I$1:I$1400))&gt;0,1,""),0)</f>
        <v>0</v>
      </c>
      <c r="R496" s="905" t="str">
        <f>IF(SUMIFS('Bilateral Assistance, MAIN DATA'!N:N,'Bilateral Assistance, MAIN DATA'!I:I,'Price List, Weapons &amp; Items'!B496)&gt;M496,1,".")</f>
        <v>.</v>
      </c>
    </row>
    <row r="497" spans="2:18" ht="15" customHeight="1">
      <c r="B497" s="901" t="s">
        <v>634</v>
      </c>
      <c r="C497" s="898" t="s">
        <v>360</v>
      </c>
      <c r="D497" s="898" t="s">
        <v>360</v>
      </c>
      <c r="E497" s="900">
        <v>0</v>
      </c>
      <c r="F497" s="900">
        <f t="shared" si="47"/>
        <v>0</v>
      </c>
      <c r="G497" s="892">
        <v>220000</v>
      </c>
      <c r="H497" s="908" t="str">
        <f>IF(G497&lt;&gt;".","USD",".")</f>
        <v>USD</v>
      </c>
      <c r="I497" s="886" t="s">
        <v>5907</v>
      </c>
      <c r="J497" s="901" t="s">
        <v>5089</v>
      </c>
      <c r="K497" s="901" t="s">
        <v>5908</v>
      </c>
      <c r="L497" s="905">
        <f t="shared" si="46"/>
        <v>0</v>
      </c>
      <c r="M497" s="909">
        <f>SUMIFS('Bilateral Assistance, MAIN DATA'!M:M,'Bilateral Assistance, MAIN DATA'!I:I,'Price List, Weapons &amp; Items'!B497)</f>
        <v>59</v>
      </c>
      <c r="N497" s="71">
        <f>COUNTIFS('Bilateral Assistance, MAIN DATA'!M:M,"undisclosed",'Bilateral Assistance, MAIN DATA'!I:I,'Price List, Weapons &amp; Items'!B497)</f>
        <v>1</v>
      </c>
      <c r="O497" s="910">
        <f t="shared" si="45"/>
        <v>12980000</v>
      </c>
      <c r="P497" s="71">
        <f>IFERROR(IF(SEARCH(B497,_xlfn.ARRAYTOTEXT('Bilateral Assistance, MAIN DATA'!I$1:I$2206))&gt;0,1,""),0)</f>
        <v>0</v>
      </c>
      <c r="Q497" s="71">
        <f>IFERROR(IF(SEARCH(B497,_xlfn.ARRAYTOTEXT('Commercial Assistance'!I$1:I$1400))&gt;0,1,""),0)</f>
        <v>0</v>
      </c>
      <c r="R497" s="905" t="str">
        <f>IF(SUMIFS('Bilateral Assistance, MAIN DATA'!N:N,'Bilateral Assistance, MAIN DATA'!I:I,'Price List, Weapons &amp; Items'!B497)&gt;M497,1,".")</f>
        <v>.</v>
      </c>
    </row>
    <row r="498" spans="2:18" ht="15" customHeight="1">
      <c r="B498" s="901" t="s">
        <v>1607</v>
      </c>
      <c r="C498" s="898" t="s">
        <v>360</v>
      </c>
      <c r="D498" s="898" t="s">
        <v>360</v>
      </c>
      <c r="E498" s="900">
        <v>0</v>
      </c>
      <c r="F498" s="900">
        <f t="shared" si="47"/>
        <v>0</v>
      </c>
      <c r="G498" s="892" t="s">
        <v>364</v>
      </c>
      <c r="H498" s="900" t="s">
        <v>364</v>
      </c>
      <c r="I498" s="913" t="s">
        <v>364</v>
      </c>
      <c r="J498" s="913" t="s">
        <v>364</v>
      </c>
      <c r="K498" s="901" t="s">
        <v>364</v>
      </c>
      <c r="L498" s="905">
        <f t="shared" si="46"/>
        <v>0</v>
      </c>
      <c r="M498" s="909">
        <f>SUMIFS('Bilateral Assistance, MAIN DATA'!M:M,'Bilateral Assistance, MAIN DATA'!I:I,'Price List, Weapons &amp; Items'!B498)</f>
        <v>1</v>
      </c>
      <c r="N498" s="71">
        <f>COUNTIFS('Bilateral Assistance, MAIN DATA'!M:M,"undisclosed",'Bilateral Assistance, MAIN DATA'!I:I,'Price List, Weapons &amp; Items'!B498)</f>
        <v>0</v>
      </c>
      <c r="O498" s="910" t="str">
        <f t="shared" si="45"/>
        <v>no price</v>
      </c>
      <c r="P498" s="71">
        <f>IFERROR(IF(SEARCH(B498,_xlfn.ARRAYTOTEXT('Bilateral Assistance, MAIN DATA'!I$1:I$2206))&gt;0,1,""),0)</f>
        <v>0</v>
      </c>
      <c r="Q498" s="71">
        <f>IFERROR(IF(SEARCH(B498,_xlfn.ARRAYTOTEXT('Commercial Assistance'!I$1:I$1400))&gt;0,1,""),0)</f>
        <v>0</v>
      </c>
      <c r="R498" s="905" t="str">
        <f>IF(SUMIFS('Bilateral Assistance, MAIN DATA'!N:N,'Bilateral Assistance, MAIN DATA'!I:I,'Price List, Weapons &amp; Items'!B498)&gt;M498,1,".")</f>
        <v>.</v>
      </c>
    </row>
    <row r="499" spans="2:18" ht="15" customHeight="1">
      <c r="B499" s="71" t="s">
        <v>1608</v>
      </c>
      <c r="C499" s="898" t="s">
        <v>360</v>
      </c>
      <c r="D499" s="898" t="s">
        <v>360</v>
      </c>
      <c r="E499" s="900">
        <v>0</v>
      </c>
      <c r="F499" s="900">
        <f t="shared" si="47"/>
        <v>0</v>
      </c>
      <c r="G499" s="892" t="s">
        <v>364</v>
      </c>
      <c r="H499" s="900" t="s">
        <v>364</v>
      </c>
      <c r="I499" s="913" t="s">
        <v>364</v>
      </c>
      <c r="J499" s="913" t="s">
        <v>364</v>
      </c>
      <c r="K499" s="901" t="s">
        <v>364</v>
      </c>
      <c r="L499" s="905">
        <f t="shared" si="46"/>
        <v>0</v>
      </c>
      <c r="M499" s="909">
        <f>SUMIFS('Bilateral Assistance, MAIN DATA'!M:M,'Bilateral Assistance, MAIN DATA'!I:I,'Price List, Weapons &amp; Items'!B499)</f>
        <v>25</v>
      </c>
      <c r="N499" s="71">
        <f>COUNTIFS('Bilateral Assistance, MAIN DATA'!M:M,"undisclosed",'Bilateral Assistance, MAIN DATA'!I:I,'Price List, Weapons &amp; Items'!B499)</f>
        <v>0</v>
      </c>
      <c r="O499" s="910" t="str">
        <f t="shared" si="45"/>
        <v>no price</v>
      </c>
      <c r="P499" s="71">
        <f>IFERROR(IF(SEARCH(B499,_xlfn.ARRAYTOTEXT('Bilateral Assistance, MAIN DATA'!I$1:I$2206))&gt;0,1,""),0)</f>
        <v>0</v>
      </c>
      <c r="Q499" s="71">
        <f>IFERROR(IF(SEARCH(B499,_xlfn.ARRAYTOTEXT('Commercial Assistance'!I$1:I$1400))&gt;0,1,""),0)</f>
        <v>0</v>
      </c>
      <c r="R499" s="905" t="str">
        <f>IF(SUMIFS('Bilateral Assistance, MAIN DATA'!N:N,'Bilateral Assistance, MAIN DATA'!I:I,'Price List, Weapons &amp; Items'!B499)&gt;M499,1,".")</f>
        <v>.</v>
      </c>
    </row>
    <row r="500" spans="2:18" ht="15" customHeight="1">
      <c r="B500" s="901" t="s">
        <v>1605</v>
      </c>
      <c r="C500" s="898" t="s">
        <v>360</v>
      </c>
      <c r="D500" s="898" t="s">
        <v>360</v>
      </c>
      <c r="E500" s="900">
        <v>0</v>
      </c>
      <c r="F500" s="900">
        <f t="shared" si="47"/>
        <v>0</v>
      </c>
      <c r="G500" s="892" t="s">
        <v>364</v>
      </c>
      <c r="H500" s="900" t="s">
        <v>364</v>
      </c>
      <c r="I500" s="913" t="s">
        <v>364</v>
      </c>
      <c r="J500" s="913" t="s">
        <v>364</v>
      </c>
      <c r="K500" s="901" t="s">
        <v>364</v>
      </c>
      <c r="L500" s="905">
        <f t="shared" si="46"/>
        <v>0</v>
      </c>
      <c r="M500" s="909">
        <f>SUMIFS('Bilateral Assistance, MAIN DATA'!M:M,'Bilateral Assistance, MAIN DATA'!I:I,'Price List, Weapons &amp; Items'!B500)</f>
        <v>0</v>
      </c>
      <c r="N500" s="71">
        <f>COUNTIFS('Bilateral Assistance, MAIN DATA'!M:M,"undisclosed",'Bilateral Assistance, MAIN DATA'!I:I,'Price List, Weapons &amp; Items'!B500)</f>
        <v>1</v>
      </c>
      <c r="O500" s="910" t="str">
        <f t="shared" si="45"/>
        <v>no price</v>
      </c>
      <c r="P500" s="71">
        <f>IFERROR(IF(SEARCH(B500,_xlfn.ARRAYTOTEXT('Bilateral Assistance, MAIN DATA'!I$1:I$2206))&gt;0,1,""),0)</f>
        <v>0</v>
      </c>
      <c r="Q500" s="71">
        <f>IFERROR(IF(SEARCH(B500,_xlfn.ARRAYTOTEXT('Commercial Assistance'!I$1:I$1400))&gt;0,1,""),0)</f>
        <v>0</v>
      </c>
      <c r="R500" s="905" t="str">
        <f>IF(SUMIFS('Bilateral Assistance, MAIN DATA'!N:N,'Bilateral Assistance, MAIN DATA'!I:I,'Price List, Weapons &amp; Items'!B500)&gt;M500,1,".")</f>
        <v>.</v>
      </c>
    </row>
    <row r="501" spans="2:18" ht="15" customHeight="1">
      <c r="B501" s="901" t="s">
        <v>1606</v>
      </c>
      <c r="C501" s="898" t="s">
        <v>360</v>
      </c>
      <c r="D501" s="898" t="s">
        <v>360</v>
      </c>
      <c r="E501" s="900">
        <v>0</v>
      </c>
      <c r="F501" s="900">
        <f t="shared" si="47"/>
        <v>0</v>
      </c>
      <c r="G501" s="892">
        <v>25</v>
      </c>
      <c r="H501" s="900" t="s">
        <v>456</v>
      </c>
      <c r="I501" s="885" t="s">
        <v>5909</v>
      </c>
      <c r="J501" s="913" t="s">
        <v>5895</v>
      </c>
      <c r="K501" s="901" t="s">
        <v>5910</v>
      </c>
      <c r="L501" s="905">
        <f t="shared" si="46"/>
        <v>0</v>
      </c>
      <c r="M501" s="909">
        <f>SUMIFS('Bilateral Assistance, MAIN DATA'!M:M,'Bilateral Assistance, MAIN DATA'!I:I,'Price List, Weapons &amp; Items'!B501)</f>
        <v>0</v>
      </c>
      <c r="N501" s="71">
        <f>COUNTIFS('Bilateral Assistance, MAIN DATA'!M:M,"undisclosed",'Bilateral Assistance, MAIN DATA'!I:I,'Price List, Weapons &amp; Items'!B501)</f>
        <v>1</v>
      </c>
      <c r="O501" s="910">
        <f t="shared" si="45"/>
        <v>0</v>
      </c>
      <c r="P501" s="71">
        <f>IFERROR(IF(SEARCH(B501,_xlfn.ARRAYTOTEXT('Bilateral Assistance, MAIN DATA'!I$1:I$2206))&gt;0,1,""),0)</f>
        <v>0</v>
      </c>
      <c r="Q501" s="71">
        <f>IFERROR(IF(SEARCH(B501,_xlfn.ARRAYTOTEXT('Commercial Assistance'!I$1:I$1400))&gt;0,1,""),0)</f>
        <v>0</v>
      </c>
      <c r="R501" s="905" t="str">
        <f>IF(SUMIFS('Bilateral Assistance, MAIN DATA'!N:N,'Bilateral Assistance, MAIN DATA'!I:I,'Price List, Weapons &amp; Items'!B501)&gt;M501,1,".")</f>
        <v>.</v>
      </c>
    </row>
    <row r="502" spans="2:18" ht="15" customHeight="1">
      <c r="B502" s="901" t="s">
        <v>1415</v>
      </c>
      <c r="C502" s="898" t="s">
        <v>360</v>
      </c>
      <c r="D502" s="898" t="s">
        <v>360</v>
      </c>
      <c r="E502" s="900">
        <v>0</v>
      </c>
      <c r="F502" s="900">
        <f t="shared" si="47"/>
        <v>0</v>
      </c>
      <c r="G502" s="892">
        <f>74400*1.1175</f>
        <v>83142</v>
      </c>
      <c r="H502" s="900" t="s">
        <v>456</v>
      </c>
      <c r="I502" s="885" t="s">
        <v>5911</v>
      </c>
      <c r="J502" s="913" t="s">
        <v>5895</v>
      </c>
      <c r="K502" s="901" t="s">
        <v>5912</v>
      </c>
      <c r="L502" s="905">
        <f t="shared" si="46"/>
        <v>0</v>
      </c>
      <c r="M502" s="909">
        <f>SUMIFS('Bilateral Assistance, MAIN DATA'!M:M,'Bilateral Assistance, MAIN DATA'!I:I,'Price List, Weapons &amp; Items'!B502)</f>
        <v>17</v>
      </c>
      <c r="N502" s="71">
        <f>COUNTIFS('Bilateral Assistance, MAIN DATA'!M:M,"undisclosed",'Bilateral Assistance, MAIN DATA'!I:I,'Price List, Weapons &amp; Items'!B502)</f>
        <v>0</v>
      </c>
      <c r="O502" s="910">
        <f t="shared" si="45"/>
        <v>1413414</v>
      </c>
      <c r="P502" s="71">
        <f>IFERROR(IF(SEARCH(B502,_xlfn.ARRAYTOTEXT('Bilateral Assistance, MAIN DATA'!I$1:I$2206))&gt;0,1,""),0)</f>
        <v>0</v>
      </c>
      <c r="Q502" s="71">
        <f>IFERROR(IF(SEARCH(B502,_xlfn.ARRAYTOTEXT('Commercial Assistance'!I$1:I$1400))&gt;0,1,""),0)</f>
        <v>0</v>
      </c>
      <c r="R502" s="905" t="str">
        <f>IF(SUMIFS('Bilateral Assistance, MAIN DATA'!N:N,'Bilateral Assistance, MAIN DATA'!I:I,'Price List, Weapons &amp; Items'!B502)&gt;M502,1,".")</f>
        <v>.</v>
      </c>
    </row>
    <row r="503" spans="2:18" ht="15" customHeight="1">
      <c r="B503" s="901" t="s">
        <v>1426</v>
      </c>
      <c r="C503" s="898" t="s">
        <v>360</v>
      </c>
      <c r="D503" s="898" t="s">
        <v>360</v>
      </c>
      <c r="E503" s="900">
        <v>0</v>
      </c>
      <c r="F503" s="900">
        <f t="shared" si="47"/>
        <v>0</v>
      </c>
      <c r="G503" s="892" t="s">
        <v>364</v>
      </c>
      <c r="H503" s="900" t="s">
        <v>364</v>
      </c>
      <c r="I503" s="913" t="s">
        <v>364</v>
      </c>
      <c r="J503" s="913" t="s">
        <v>364</v>
      </c>
      <c r="K503" s="901" t="s">
        <v>364</v>
      </c>
      <c r="L503" s="905">
        <f t="shared" si="46"/>
        <v>0</v>
      </c>
      <c r="M503" s="909">
        <f>SUMIFS('Bilateral Assistance, MAIN DATA'!M:M,'Bilateral Assistance, MAIN DATA'!I:I,'Price List, Weapons &amp; Items'!B503)</f>
        <v>0</v>
      </c>
      <c r="N503" s="71">
        <f>COUNTIFS('Bilateral Assistance, MAIN DATA'!M:M,"undisclosed",'Bilateral Assistance, MAIN DATA'!I:I,'Price List, Weapons &amp; Items'!B503)</f>
        <v>1</v>
      </c>
      <c r="O503" s="910" t="str">
        <f t="shared" si="45"/>
        <v>no price</v>
      </c>
      <c r="P503" s="71">
        <f>IFERROR(IF(SEARCH(B503,_xlfn.ARRAYTOTEXT('Bilateral Assistance, MAIN DATA'!I$1:I$2206))&gt;0,1,""),0)</f>
        <v>0</v>
      </c>
      <c r="Q503" s="71">
        <f>IFERROR(IF(SEARCH(B503,_xlfn.ARRAYTOTEXT('Commercial Assistance'!I$1:I$1400))&gt;0,1,""),0)</f>
        <v>0</v>
      </c>
      <c r="R503" s="905" t="str">
        <f>IF(SUMIFS('Bilateral Assistance, MAIN DATA'!N:N,'Bilateral Assistance, MAIN DATA'!I:I,'Price List, Weapons &amp; Items'!B503)&gt;M503,1,".")</f>
        <v>.</v>
      </c>
    </row>
    <row r="504" spans="2:18" ht="15" customHeight="1">
      <c r="B504" s="901" t="s">
        <v>2327</v>
      </c>
      <c r="C504" s="898" t="s">
        <v>360</v>
      </c>
      <c r="D504" s="898" t="s">
        <v>360</v>
      </c>
      <c r="E504" s="900">
        <v>0</v>
      </c>
      <c r="F504" s="900">
        <f t="shared" si="47"/>
        <v>0</v>
      </c>
      <c r="G504" s="892" t="s">
        <v>364</v>
      </c>
      <c r="H504" s="900" t="s">
        <v>364</v>
      </c>
      <c r="I504" s="913" t="s">
        <v>364</v>
      </c>
      <c r="J504" s="913" t="s">
        <v>364</v>
      </c>
      <c r="K504" s="901" t="s">
        <v>364</v>
      </c>
      <c r="L504" s="905">
        <f t="shared" si="46"/>
        <v>0</v>
      </c>
      <c r="M504" s="909">
        <f>SUMIFS('Bilateral Assistance, MAIN DATA'!M:M,'Bilateral Assistance, MAIN DATA'!I:I,'Price List, Weapons &amp; Items'!B504)</f>
        <v>0</v>
      </c>
      <c r="N504" s="71">
        <f>COUNTIFS('Bilateral Assistance, MAIN DATA'!M:M,"undisclosed",'Bilateral Assistance, MAIN DATA'!I:I,'Price List, Weapons &amp; Items'!B504)</f>
        <v>1</v>
      </c>
      <c r="O504" s="910" t="str">
        <f t="shared" si="45"/>
        <v>no price</v>
      </c>
      <c r="P504" s="71">
        <f>IFERROR(IF(SEARCH(B504,_xlfn.ARRAYTOTEXT('Bilateral Assistance, MAIN DATA'!I$1:I$2206))&gt;0,1,""),0)</f>
        <v>0</v>
      </c>
      <c r="Q504" s="71">
        <f>IFERROR(IF(SEARCH(B504,_xlfn.ARRAYTOTEXT('Commercial Assistance'!I$1:I$1400))&gt;0,1,""),0)</f>
        <v>0</v>
      </c>
      <c r="R504" s="905" t="str">
        <f>IF(SUMIFS('Bilateral Assistance, MAIN DATA'!N:N,'Bilateral Assistance, MAIN DATA'!I:I,'Price List, Weapons &amp; Items'!B504)&gt;M504,1,".")</f>
        <v>.</v>
      </c>
    </row>
    <row r="505" spans="2:18" ht="15" customHeight="1">
      <c r="B505" s="915" t="s">
        <v>1609</v>
      </c>
      <c r="C505" s="898" t="s">
        <v>360</v>
      </c>
      <c r="D505" s="898" t="s">
        <v>360</v>
      </c>
      <c r="E505" s="900">
        <v>0</v>
      </c>
      <c r="F505" s="900">
        <f t="shared" si="47"/>
        <v>0</v>
      </c>
      <c r="G505" s="892" t="s">
        <v>364</v>
      </c>
      <c r="H505" s="900" t="s">
        <v>456</v>
      </c>
      <c r="I505" s="935" t="s">
        <v>364</v>
      </c>
      <c r="J505" s="913" t="s">
        <v>364</v>
      </c>
      <c r="K505" s="901" t="s">
        <v>5913</v>
      </c>
      <c r="L505" s="905">
        <f t="shared" si="46"/>
        <v>0</v>
      </c>
      <c r="M505" s="909">
        <f>SUMIFS('Bilateral Assistance, MAIN DATA'!M:M,'Bilateral Assistance, MAIN DATA'!I:I,'Price List, Weapons &amp; Items'!B505)</f>
        <v>8</v>
      </c>
      <c r="N505" s="71">
        <f>COUNTIFS('Bilateral Assistance, MAIN DATA'!M:M,"undisclosed",'Bilateral Assistance, MAIN DATA'!I:I,'Price List, Weapons &amp; Items'!B505)</f>
        <v>0</v>
      </c>
      <c r="O505" s="910" t="str">
        <f t="shared" si="45"/>
        <v>no price</v>
      </c>
      <c r="P505" s="71">
        <f>IFERROR(IF(SEARCH(B505,_xlfn.ARRAYTOTEXT('Bilateral Assistance, MAIN DATA'!I$1:I$2206))&gt;0,1,""),0)</f>
        <v>0</v>
      </c>
      <c r="Q505" s="71">
        <f>IFERROR(IF(SEARCH(B505,_xlfn.ARRAYTOTEXT('Commercial Assistance'!I$1:I$1400))&gt;0,1,""),0)</f>
        <v>0</v>
      </c>
      <c r="R505" s="905" t="str">
        <f>IF(SUMIFS('Bilateral Assistance, MAIN DATA'!N:N,'Bilateral Assistance, MAIN DATA'!I:I,'Price List, Weapons &amp; Items'!B505)&gt;M505,1,".")</f>
        <v>.</v>
      </c>
    </row>
    <row r="506" spans="2:18" ht="15" customHeight="1">
      <c r="B506" s="915" t="s">
        <v>1564</v>
      </c>
      <c r="C506" s="898" t="s">
        <v>360</v>
      </c>
      <c r="D506" s="898" t="s">
        <v>360</v>
      </c>
      <c r="E506" s="900">
        <v>0</v>
      </c>
      <c r="F506" s="900">
        <f t="shared" si="47"/>
        <v>0</v>
      </c>
      <c r="G506" s="892">
        <v>317500</v>
      </c>
      <c r="H506" s="908" t="str">
        <f>IF(G506&lt;&gt;".","USD",".")</f>
        <v>USD</v>
      </c>
      <c r="I506" s="886" t="s">
        <v>5744</v>
      </c>
      <c r="J506" s="901" t="s">
        <v>5080</v>
      </c>
      <c r="K506" s="901" t="s">
        <v>5914</v>
      </c>
      <c r="L506" s="905">
        <f t="shared" si="46"/>
        <v>0</v>
      </c>
      <c r="M506" s="909">
        <f>SUMIFS('Bilateral Assistance, MAIN DATA'!M:M,'Bilateral Assistance, MAIN DATA'!I:I,'Price List, Weapons &amp; Items'!B506)</f>
        <v>1</v>
      </c>
      <c r="N506" s="71">
        <f>COUNTIFS('Bilateral Assistance, MAIN DATA'!M:M,"undisclosed",'Bilateral Assistance, MAIN DATA'!I:I,'Price List, Weapons &amp; Items'!B506)</f>
        <v>0</v>
      </c>
      <c r="O506" s="910">
        <f t="shared" si="45"/>
        <v>317500</v>
      </c>
      <c r="P506" s="71">
        <f>IFERROR(IF(SEARCH(B506,_xlfn.ARRAYTOTEXT('Bilateral Assistance, MAIN DATA'!I$1:I$2206))&gt;0,1,""),0)</f>
        <v>0</v>
      </c>
      <c r="Q506" s="71">
        <f>IFERROR(IF(SEARCH(B506,_xlfn.ARRAYTOTEXT('Commercial Assistance'!I$1:I$1400))&gt;0,1,""),0)</f>
        <v>0</v>
      </c>
      <c r="R506" s="905" t="str">
        <f>IF(SUMIFS('Bilateral Assistance, MAIN DATA'!N:N,'Bilateral Assistance, MAIN DATA'!I:I,'Price List, Weapons &amp; Items'!B506)&gt;M506,1,".")</f>
        <v>.</v>
      </c>
    </row>
    <row r="507" spans="2:18" ht="15" customHeight="1">
      <c r="B507" s="901" t="s">
        <v>1566</v>
      </c>
      <c r="C507" s="898" t="s">
        <v>360</v>
      </c>
      <c r="D507" s="898" t="s">
        <v>360</v>
      </c>
      <c r="E507" s="900">
        <v>0</v>
      </c>
      <c r="F507" s="900">
        <f t="shared" si="47"/>
        <v>0</v>
      </c>
      <c r="G507" s="892">
        <f>1250*1.1261</f>
        <v>1407.6250000000002</v>
      </c>
      <c r="H507" s="900" t="s">
        <v>456</v>
      </c>
      <c r="I507" s="885" t="s">
        <v>5915</v>
      </c>
      <c r="J507" s="913" t="s">
        <v>5086</v>
      </c>
      <c r="K507" s="901" t="s">
        <v>5916</v>
      </c>
      <c r="L507" s="905">
        <f t="shared" si="46"/>
        <v>0</v>
      </c>
      <c r="M507" s="909">
        <f>SUMIFS('Bilateral Assistance, MAIN DATA'!M:M,'Bilateral Assistance, MAIN DATA'!I:I,'Price List, Weapons &amp; Items'!B507)</f>
        <v>36</v>
      </c>
      <c r="N507" s="71">
        <f>COUNTIFS('Bilateral Assistance, MAIN DATA'!M:M,"undisclosed",'Bilateral Assistance, MAIN DATA'!I:I,'Price List, Weapons &amp; Items'!B507)</f>
        <v>0</v>
      </c>
      <c r="O507" s="910">
        <f t="shared" si="45"/>
        <v>50674.500000000007</v>
      </c>
      <c r="P507" s="71">
        <f>IFERROR(IF(SEARCH(B507,_xlfn.ARRAYTOTEXT('Bilateral Assistance, MAIN DATA'!I$1:I$2206))&gt;0,1,""),0)</f>
        <v>0</v>
      </c>
      <c r="Q507" s="71">
        <f>IFERROR(IF(SEARCH(B507,_xlfn.ARRAYTOTEXT('Commercial Assistance'!I$1:I$1400))&gt;0,1,""),0)</f>
        <v>0</v>
      </c>
      <c r="R507" s="905" t="str">
        <f>IF(SUMIFS('Bilateral Assistance, MAIN DATA'!N:N,'Bilateral Assistance, MAIN DATA'!I:I,'Price List, Weapons &amp; Items'!B507)&gt;M507,1,".")</f>
        <v>.</v>
      </c>
    </row>
    <row r="508" spans="2:18" ht="15" customHeight="1">
      <c r="B508" s="915" t="s">
        <v>1568</v>
      </c>
      <c r="C508" s="898" t="s">
        <v>360</v>
      </c>
      <c r="D508" s="898" t="s">
        <v>360</v>
      </c>
      <c r="E508" s="900">
        <v>0</v>
      </c>
      <c r="F508" s="900">
        <f t="shared" si="47"/>
        <v>0</v>
      </c>
      <c r="G508" s="892">
        <f>9*1.1261</f>
        <v>10.134900000000002</v>
      </c>
      <c r="H508" s="900" t="s">
        <v>456</v>
      </c>
      <c r="I508" s="885" t="s">
        <v>5917</v>
      </c>
      <c r="J508" s="913" t="s">
        <v>5086</v>
      </c>
      <c r="K508" s="901" t="s">
        <v>5918</v>
      </c>
      <c r="L508" s="905">
        <f t="shared" si="46"/>
        <v>0</v>
      </c>
      <c r="M508" s="909">
        <f>SUMIFS('Bilateral Assistance, MAIN DATA'!M:M,'Bilateral Assistance, MAIN DATA'!I:I,'Price List, Weapons &amp; Items'!B508)</f>
        <v>56000</v>
      </c>
      <c r="N508" s="71">
        <f>COUNTIFS('Bilateral Assistance, MAIN DATA'!M:M,"undisclosed",'Bilateral Assistance, MAIN DATA'!I:I,'Price List, Weapons &amp; Items'!B508)</f>
        <v>0</v>
      </c>
      <c r="O508" s="910">
        <f t="shared" si="45"/>
        <v>567554.40000000014</v>
      </c>
      <c r="P508" s="71">
        <f>IFERROR(IF(SEARCH(B508,_xlfn.ARRAYTOTEXT('Bilateral Assistance, MAIN DATA'!I$1:I$2206))&gt;0,1,""),0)</f>
        <v>0</v>
      </c>
      <c r="Q508" s="71">
        <f>IFERROR(IF(SEARCH(B508,_xlfn.ARRAYTOTEXT('Commercial Assistance'!I$1:I$1400))&gt;0,1,""),0)</f>
        <v>0</v>
      </c>
      <c r="R508" s="905" t="str">
        <f>IF(SUMIFS('Bilateral Assistance, MAIN DATA'!N:N,'Bilateral Assistance, MAIN DATA'!I:I,'Price List, Weapons &amp; Items'!B508)&gt;M508,1,".")</f>
        <v>.</v>
      </c>
    </row>
    <row r="509" spans="2:18" ht="15" customHeight="1">
      <c r="B509" s="915" t="s">
        <v>3129</v>
      </c>
      <c r="C509" s="898" t="s">
        <v>5070</v>
      </c>
      <c r="D509" s="71" t="s">
        <v>5919</v>
      </c>
      <c r="E509" s="900">
        <v>1</v>
      </c>
      <c r="F509" s="900">
        <f t="shared" si="47"/>
        <v>0</v>
      </c>
      <c r="G509" s="892">
        <f>(5200000+6500000)/2</f>
        <v>5850000</v>
      </c>
      <c r="H509" s="900" t="s">
        <v>456</v>
      </c>
      <c r="I509" s="885" t="s">
        <v>5920</v>
      </c>
      <c r="J509" s="901" t="s">
        <v>5080</v>
      </c>
      <c r="K509" s="901" t="s">
        <v>5921</v>
      </c>
      <c r="L509" s="905">
        <f t="shared" si="46"/>
        <v>2</v>
      </c>
      <c r="M509" s="909">
        <f>SUMIFS('Bilateral Assistance, MAIN DATA'!M:M,'Bilateral Assistance, MAIN DATA'!I:I,'Price List, Weapons &amp; Items'!B509)</f>
        <v>6</v>
      </c>
      <c r="N509" s="71">
        <f>COUNTIFS('Bilateral Assistance, MAIN DATA'!M:M,"undisclosed",'Bilateral Assistance, MAIN DATA'!I:I,'Price List, Weapons &amp; Items'!B509)</f>
        <v>0</v>
      </c>
      <c r="O509" s="910">
        <f t="shared" si="45"/>
        <v>35100000</v>
      </c>
      <c r="P509" s="71">
        <f>IFERROR(IF(SEARCH(B509,_xlfn.ARRAYTOTEXT('Bilateral Assistance, MAIN DATA'!I$1:I$2206))&gt;0,1,""),0)</f>
        <v>0</v>
      </c>
      <c r="Q509" s="71">
        <f>IFERROR(IF(SEARCH(B509,_xlfn.ARRAYTOTEXT('Commercial Assistance'!I$1:I$1400))&gt;0,1,""),0)</f>
        <v>0</v>
      </c>
      <c r="R509" s="905" t="str">
        <f>IF(SUMIFS('Bilateral Assistance, MAIN DATA'!N:N,'Bilateral Assistance, MAIN DATA'!I:I,'Price List, Weapons &amp; Items'!B509)&gt;M509,1,".")</f>
        <v>.</v>
      </c>
    </row>
    <row r="510" spans="2:18" ht="15" customHeight="1">
      <c r="B510" s="901" t="s">
        <v>3881</v>
      </c>
      <c r="C510" s="898" t="s">
        <v>5059</v>
      </c>
      <c r="D510" s="899" t="s">
        <v>5143</v>
      </c>
      <c r="E510" s="900">
        <v>0</v>
      </c>
      <c r="F510" s="900">
        <f t="shared" si="47"/>
        <v>0</v>
      </c>
      <c r="G510" s="892" t="s">
        <v>364</v>
      </c>
      <c r="H510" s="900" t="s">
        <v>456</v>
      </c>
      <c r="I510" s="913" t="s">
        <v>364</v>
      </c>
      <c r="J510" s="913" t="s">
        <v>364</v>
      </c>
      <c r="K510" s="901" t="s">
        <v>364</v>
      </c>
      <c r="L510" s="905">
        <f t="shared" si="46"/>
        <v>0</v>
      </c>
      <c r="M510" s="909">
        <f>SUMIFS('Bilateral Assistance, MAIN DATA'!M:M,'Bilateral Assistance, MAIN DATA'!I:I,'Price List, Weapons &amp; Items'!B510)</f>
        <v>1000</v>
      </c>
      <c r="N510" s="71">
        <f>COUNTIFS('Bilateral Assistance, MAIN DATA'!M:M,"undisclosed",'Bilateral Assistance, MAIN DATA'!I:I,'Price List, Weapons &amp; Items'!B510)</f>
        <v>1</v>
      </c>
      <c r="O510" s="910" t="str">
        <f t="shared" si="45"/>
        <v>no price</v>
      </c>
      <c r="P510" s="71">
        <f>IFERROR(IF(SEARCH(B510,_xlfn.ARRAYTOTEXT('Bilateral Assistance, MAIN DATA'!I$1:I$2206))&gt;0,1,""),0)</f>
        <v>0</v>
      </c>
      <c r="Q510" s="71">
        <f>IFERROR(IF(SEARCH(B510,_xlfn.ARRAYTOTEXT('Commercial Assistance'!I$1:I$1400))&gt;0,1,""),0)</f>
        <v>0</v>
      </c>
      <c r="R510" s="905" t="str">
        <f>IF(SUMIFS('Bilateral Assistance, MAIN DATA'!N:N,'Bilateral Assistance, MAIN DATA'!I:I,'Price List, Weapons &amp; Items'!B510)&gt;M510,1,".")</f>
        <v>.</v>
      </c>
    </row>
    <row r="511" spans="2:18" ht="15" customHeight="1">
      <c r="B511" s="901" t="s">
        <v>650</v>
      </c>
      <c r="C511" s="898" t="s">
        <v>5059</v>
      </c>
      <c r="D511" s="899" t="s">
        <v>5143</v>
      </c>
      <c r="E511" s="900">
        <v>0</v>
      </c>
      <c r="F511" s="900">
        <f t="shared" si="47"/>
        <v>0</v>
      </c>
      <c r="G511" s="892" t="s">
        <v>364</v>
      </c>
      <c r="H511" s="900" t="s">
        <v>364</v>
      </c>
      <c r="I511" s="935" t="s">
        <v>364</v>
      </c>
      <c r="J511" s="901" t="s">
        <v>364</v>
      </c>
      <c r="K511" s="901" t="s">
        <v>364</v>
      </c>
      <c r="L511" s="905">
        <f t="shared" si="46"/>
        <v>0</v>
      </c>
      <c r="M511" s="909">
        <f>SUMIFS('Bilateral Assistance, MAIN DATA'!M:M,'Bilateral Assistance, MAIN DATA'!I:I,'Price List, Weapons &amp; Items'!B511)</f>
        <v>200</v>
      </c>
      <c r="N511" s="71">
        <f>COUNTIFS('Bilateral Assistance, MAIN DATA'!M:M,"undisclosed",'Bilateral Assistance, MAIN DATA'!I:I,'Price List, Weapons &amp; Items'!B511)</f>
        <v>2</v>
      </c>
      <c r="O511" s="910" t="str">
        <f t="shared" si="45"/>
        <v>no price</v>
      </c>
      <c r="P511" s="71">
        <f>IFERROR(IF(SEARCH(B511,_xlfn.ARRAYTOTEXT('Bilateral Assistance, MAIN DATA'!I$1:I$2206))&gt;0,1,""),0)</f>
        <v>0</v>
      </c>
      <c r="Q511" s="71">
        <f>IFERROR(IF(SEARCH(B511,_xlfn.ARRAYTOTEXT('Commercial Assistance'!I$1:I$1400))&gt;0,1,""),0)</f>
        <v>0</v>
      </c>
      <c r="R511" s="905" t="str">
        <f>IF(SUMIFS('Bilateral Assistance, MAIN DATA'!N:N,'Bilateral Assistance, MAIN DATA'!I:I,'Price List, Weapons &amp; Items'!B511)&gt;M511,1,".")</f>
        <v>.</v>
      </c>
    </row>
    <row r="512" spans="2:18" ht="15" customHeight="1">
      <c r="B512" s="901" t="s">
        <v>3886</v>
      </c>
      <c r="C512" s="898" t="s">
        <v>5062</v>
      </c>
      <c r="D512" s="899" t="s">
        <v>5360</v>
      </c>
      <c r="E512" s="900">
        <v>0</v>
      </c>
      <c r="F512" s="900">
        <f t="shared" si="47"/>
        <v>0</v>
      </c>
      <c r="G512" s="892" t="s">
        <v>364</v>
      </c>
      <c r="H512" s="900" t="s">
        <v>364</v>
      </c>
      <c r="I512" s="913" t="s">
        <v>364</v>
      </c>
      <c r="J512" s="913" t="s">
        <v>364</v>
      </c>
      <c r="K512" s="901" t="s">
        <v>364</v>
      </c>
      <c r="L512" s="905">
        <f t="shared" si="46"/>
        <v>0</v>
      </c>
      <c r="M512" s="909">
        <f>SUMIFS('Bilateral Assistance, MAIN DATA'!M:M,'Bilateral Assistance, MAIN DATA'!I:I,'Price List, Weapons &amp; Items'!B512)</f>
        <v>125</v>
      </c>
      <c r="N512" s="71">
        <f>COUNTIFS('Bilateral Assistance, MAIN DATA'!M:M,"undisclosed",'Bilateral Assistance, MAIN DATA'!I:I,'Price List, Weapons &amp; Items'!B512)</f>
        <v>1</v>
      </c>
      <c r="O512" s="910" t="str">
        <f t="shared" si="45"/>
        <v>no price</v>
      </c>
      <c r="P512" s="71">
        <f>IFERROR(IF(SEARCH(B512,_xlfn.ARRAYTOTEXT('Bilateral Assistance, MAIN DATA'!I$1:I$2206))&gt;0,1,""),0)</f>
        <v>0</v>
      </c>
      <c r="Q512" s="71">
        <f>IFERROR(IF(SEARCH(B512,_xlfn.ARRAYTOTEXT('Commercial Assistance'!I$1:I$1400))&gt;0,1,""),0)</f>
        <v>0</v>
      </c>
      <c r="R512" s="905" t="str">
        <f>IF(SUMIFS('Bilateral Assistance, MAIN DATA'!N:N,'Bilateral Assistance, MAIN DATA'!I:I,'Price List, Weapons &amp; Items'!B512)&gt;M512,1,".")</f>
        <v>.</v>
      </c>
    </row>
    <row r="513" spans="2:18" ht="15" customHeight="1">
      <c r="B513" s="915" t="s">
        <v>4295</v>
      </c>
      <c r="C513" s="898" t="s">
        <v>1105</v>
      </c>
      <c r="D513" s="898" t="s">
        <v>1105</v>
      </c>
      <c r="E513" s="900">
        <v>0</v>
      </c>
      <c r="F513" s="900">
        <f t="shared" si="47"/>
        <v>0</v>
      </c>
      <c r="G513" s="892" t="s">
        <v>364</v>
      </c>
      <c r="H513" s="900" t="s">
        <v>456</v>
      </c>
      <c r="I513" s="913" t="s">
        <v>364</v>
      </c>
      <c r="J513" s="913" t="s">
        <v>364</v>
      </c>
      <c r="K513" s="913" t="s">
        <v>5922</v>
      </c>
      <c r="L513" s="905">
        <f t="shared" si="46"/>
        <v>0</v>
      </c>
      <c r="M513" s="909">
        <f>SUMIFS('Bilateral Assistance, MAIN DATA'!M:M,'Bilateral Assistance, MAIN DATA'!I:I,'Price List, Weapons &amp; Items'!B513)</f>
        <v>4</v>
      </c>
      <c r="N513" s="71">
        <f>COUNTIFS('Bilateral Assistance, MAIN DATA'!M:M,"undisclosed",'Bilateral Assistance, MAIN DATA'!I:I,'Price List, Weapons &amp; Items'!B513)</f>
        <v>0</v>
      </c>
      <c r="O513" s="910" t="str">
        <f t="shared" si="45"/>
        <v>no price</v>
      </c>
      <c r="P513" s="71">
        <f>IFERROR(IF(SEARCH(B513,_xlfn.ARRAYTOTEXT('Bilateral Assistance, MAIN DATA'!I$1:I$2206))&gt;0,1,""),0)</f>
        <v>0</v>
      </c>
      <c r="Q513" s="71">
        <f>IFERROR(IF(SEARCH(B513,_xlfn.ARRAYTOTEXT('Commercial Assistance'!I$1:I$1400))&gt;0,1,""),0)</f>
        <v>0</v>
      </c>
      <c r="R513" s="905" t="str">
        <f>IF(SUMIFS('Bilateral Assistance, MAIN DATA'!N:N,'Bilateral Assistance, MAIN DATA'!I:I,'Price List, Weapons &amp; Items'!B513)&gt;M513,1,".")</f>
        <v>.</v>
      </c>
    </row>
    <row r="514" spans="2:18" ht="15" customHeight="1">
      <c r="B514" s="916" t="s">
        <v>1898</v>
      </c>
      <c r="C514" s="898" t="s">
        <v>5923</v>
      </c>
      <c r="D514" s="898" t="s">
        <v>360</v>
      </c>
      <c r="E514" s="900">
        <v>0</v>
      </c>
      <c r="F514" s="900">
        <f t="shared" si="47"/>
        <v>0</v>
      </c>
      <c r="G514" s="892" t="s">
        <v>364</v>
      </c>
      <c r="H514" s="900" t="s">
        <v>456</v>
      </c>
      <c r="I514" s="913" t="s">
        <v>364</v>
      </c>
      <c r="J514" s="913" t="s">
        <v>364</v>
      </c>
      <c r="K514" s="901" t="s">
        <v>364</v>
      </c>
      <c r="L514" s="905">
        <f t="shared" si="46"/>
        <v>0</v>
      </c>
      <c r="M514" s="909">
        <f>SUMIFS('Bilateral Assistance, MAIN DATA'!M:M,'Bilateral Assistance, MAIN DATA'!I:I,'Price List, Weapons &amp; Items'!B514)</f>
        <v>240000</v>
      </c>
      <c r="N514" s="71">
        <f>COUNTIFS('Bilateral Assistance, MAIN DATA'!M:M,"undisclosed",'Bilateral Assistance, MAIN DATA'!I:I,'Price List, Weapons &amp; Items'!B514)</f>
        <v>0</v>
      </c>
      <c r="O514" s="910" t="str">
        <f t="shared" si="45"/>
        <v>no price</v>
      </c>
      <c r="P514" s="71">
        <f>IFERROR(IF(SEARCH(B514,_xlfn.ARRAYTOTEXT('Bilateral Assistance, MAIN DATA'!I$1:I$2206))&gt;0,1,""),0)</f>
        <v>0</v>
      </c>
      <c r="Q514" s="71">
        <f>IFERROR(IF(SEARCH(B514,_xlfn.ARRAYTOTEXT('Commercial Assistance'!I$1:I$1400))&gt;0,1,""),0)</f>
        <v>0</v>
      </c>
      <c r="R514" s="905" t="str">
        <f>IF(SUMIFS('Bilateral Assistance, MAIN DATA'!N:N,'Bilateral Assistance, MAIN DATA'!I:I,'Price List, Weapons &amp; Items'!B514)&gt;M514,1,".")</f>
        <v>.</v>
      </c>
    </row>
    <row r="515" spans="2:18" ht="15" customHeight="1">
      <c r="B515" s="916" t="s">
        <v>1896</v>
      </c>
      <c r="C515" s="898" t="s">
        <v>5923</v>
      </c>
      <c r="D515" s="898" t="s">
        <v>360</v>
      </c>
      <c r="E515" s="900">
        <v>0</v>
      </c>
      <c r="F515" s="900">
        <f t="shared" si="47"/>
        <v>0</v>
      </c>
      <c r="G515" s="892" t="s">
        <v>364</v>
      </c>
      <c r="H515" s="900" t="s">
        <v>456</v>
      </c>
      <c r="I515" s="913" t="s">
        <v>364</v>
      </c>
      <c r="J515" s="913" t="s">
        <v>364</v>
      </c>
      <c r="K515" s="901" t="s">
        <v>364</v>
      </c>
      <c r="L515" s="905">
        <f t="shared" si="46"/>
        <v>0</v>
      </c>
      <c r="M515" s="909">
        <f>SUMIFS('Bilateral Assistance, MAIN DATA'!M:M,'Bilateral Assistance, MAIN DATA'!I:I,'Price List, Weapons &amp; Items'!B515)</f>
        <v>116000</v>
      </c>
      <c r="N515" s="71">
        <f>COUNTIFS('Bilateral Assistance, MAIN DATA'!M:M,"undisclosed",'Bilateral Assistance, MAIN DATA'!I:I,'Price List, Weapons &amp; Items'!B515)</f>
        <v>0</v>
      </c>
      <c r="O515" s="910" t="str">
        <f t="shared" si="45"/>
        <v>no price</v>
      </c>
      <c r="P515" s="71">
        <f>IFERROR(IF(SEARCH(B515,_xlfn.ARRAYTOTEXT('Bilateral Assistance, MAIN DATA'!I$1:I$2206))&gt;0,1,""),0)</f>
        <v>0</v>
      </c>
      <c r="Q515" s="71">
        <f>IFERROR(IF(SEARCH(B515,_xlfn.ARRAYTOTEXT('Commercial Assistance'!I$1:I$1400))&gt;0,1,""),0)</f>
        <v>0</v>
      </c>
      <c r="R515" s="905" t="str">
        <f>IF(SUMIFS('Bilateral Assistance, MAIN DATA'!N:N,'Bilateral Assistance, MAIN DATA'!I:I,'Price List, Weapons &amp; Items'!B515)&gt;M515,1,".")</f>
        <v>.</v>
      </c>
    </row>
    <row r="516" spans="2:18" ht="15" customHeight="1">
      <c r="B516" s="916" t="s">
        <v>1897</v>
      </c>
      <c r="C516" s="898" t="s">
        <v>5923</v>
      </c>
      <c r="D516" s="898" t="s">
        <v>360</v>
      </c>
      <c r="E516" s="900">
        <v>0</v>
      </c>
      <c r="F516" s="900">
        <f t="shared" si="47"/>
        <v>0</v>
      </c>
      <c r="G516" s="892" t="s">
        <v>364</v>
      </c>
      <c r="H516" s="900" t="s">
        <v>456</v>
      </c>
      <c r="I516" s="913" t="s">
        <v>364</v>
      </c>
      <c r="J516" s="913" t="s">
        <v>364</v>
      </c>
      <c r="K516" s="901" t="s">
        <v>364</v>
      </c>
      <c r="L516" s="905">
        <f t="shared" si="46"/>
        <v>0</v>
      </c>
      <c r="M516" s="909">
        <f>SUMIFS('Bilateral Assistance, MAIN DATA'!M:M,'Bilateral Assistance, MAIN DATA'!I:I,'Price List, Weapons &amp; Items'!B516)</f>
        <v>80000</v>
      </c>
      <c r="N516" s="71">
        <f>COUNTIFS('Bilateral Assistance, MAIN DATA'!M:M,"undisclosed",'Bilateral Assistance, MAIN DATA'!I:I,'Price List, Weapons &amp; Items'!B516)</f>
        <v>0</v>
      </c>
      <c r="O516" s="910" t="str">
        <f t="shared" si="45"/>
        <v>no price</v>
      </c>
      <c r="P516" s="71">
        <f>IFERROR(IF(SEARCH(B516,_xlfn.ARRAYTOTEXT('Bilateral Assistance, MAIN DATA'!I$1:I$2206))&gt;0,1,""),0)</f>
        <v>0</v>
      </c>
      <c r="Q516" s="71">
        <f>IFERROR(IF(SEARCH(B516,_xlfn.ARRAYTOTEXT('Commercial Assistance'!I$1:I$1400))&gt;0,1,""),0)</f>
        <v>0</v>
      </c>
      <c r="R516" s="905" t="str">
        <f>IF(SUMIFS('Bilateral Assistance, MAIN DATA'!N:N,'Bilateral Assistance, MAIN DATA'!I:I,'Price List, Weapons &amp; Items'!B516)&gt;M516,1,".")</f>
        <v>.</v>
      </c>
    </row>
    <row r="517" spans="2:18" ht="15" customHeight="1">
      <c r="B517" s="916" t="s">
        <v>699</v>
      </c>
      <c r="C517" s="898" t="s">
        <v>360</v>
      </c>
      <c r="D517" s="898" t="s">
        <v>360</v>
      </c>
      <c r="E517" s="900">
        <v>0</v>
      </c>
      <c r="F517" s="900">
        <f t="shared" si="47"/>
        <v>0</v>
      </c>
      <c r="G517" s="892" t="s">
        <v>364</v>
      </c>
      <c r="H517" s="900" t="s">
        <v>364</v>
      </c>
      <c r="I517" s="913" t="s">
        <v>364</v>
      </c>
      <c r="J517" s="913" t="s">
        <v>364</v>
      </c>
      <c r="K517" s="901" t="s">
        <v>364</v>
      </c>
      <c r="L517" s="905">
        <f t="shared" si="46"/>
        <v>0</v>
      </c>
      <c r="M517" s="909">
        <f>SUMIFS('Bilateral Assistance, MAIN DATA'!M:M,'Bilateral Assistance, MAIN DATA'!I:I,'Price List, Weapons &amp; Items'!B517)</f>
        <v>5000</v>
      </c>
      <c r="N517" s="71">
        <f>COUNTIFS('Bilateral Assistance, MAIN DATA'!M:M,"undisclosed",'Bilateral Assistance, MAIN DATA'!I:I,'Price List, Weapons &amp; Items'!B517)</f>
        <v>0</v>
      </c>
      <c r="O517" s="910" t="str">
        <f t="shared" si="45"/>
        <v>no price</v>
      </c>
      <c r="P517" s="71">
        <f>IFERROR(IF(SEARCH(B517,_xlfn.ARRAYTOTEXT('Bilateral Assistance, MAIN DATA'!I$1:I$2206))&gt;0,1,""),0)</f>
        <v>0</v>
      </c>
      <c r="Q517" s="71">
        <f>IFERROR(IF(SEARCH(B517,_xlfn.ARRAYTOTEXT('Commercial Assistance'!I$1:I$1400))&gt;0,1,""),0)</f>
        <v>0</v>
      </c>
      <c r="R517" s="905" t="str">
        <f>IF(SUMIFS('Bilateral Assistance, MAIN DATA'!N:N,'Bilateral Assistance, MAIN DATA'!I:I,'Price List, Weapons &amp; Items'!B517)&gt;M517,1,".")</f>
        <v>.</v>
      </c>
    </row>
    <row r="518" spans="2:18" ht="15" customHeight="1">
      <c r="B518" s="916" t="s">
        <v>1929</v>
      </c>
      <c r="C518" s="898" t="s">
        <v>360</v>
      </c>
      <c r="D518" s="898" t="s">
        <v>360</v>
      </c>
      <c r="E518" s="900">
        <v>0</v>
      </c>
      <c r="F518" s="900">
        <f t="shared" si="47"/>
        <v>0</v>
      </c>
      <c r="G518" s="892" t="s">
        <v>364</v>
      </c>
      <c r="H518" s="908" t="str">
        <f t="shared" ref="H518:H523" si="48">IF(G518&lt;&gt;".","USD",".")</f>
        <v>.</v>
      </c>
      <c r="I518" s="913" t="s">
        <v>364</v>
      </c>
      <c r="J518" s="913" t="s">
        <v>364</v>
      </c>
      <c r="K518" s="901" t="s">
        <v>364</v>
      </c>
      <c r="L518" s="905">
        <f t="shared" si="46"/>
        <v>0</v>
      </c>
      <c r="M518" s="909">
        <f>SUMIFS('Bilateral Assistance, MAIN DATA'!M:M,'Bilateral Assistance, MAIN DATA'!I:I,'Price List, Weapons &amp; Items'!B518)</f>
        <v>0</v>
      </c>
      <c r="N518" s="71">
        <f>COUNTIFS('Bilateral Assistance, MAIN DATA'!M:M,"undisclosed",'Bilateral Assistance, MAIN DATA'!I:I,'Price List, Weapons &amp; Items'!B518)</f>
        <v>1</v>
      </c>
      <c r="O518" s="910" t="str">
        <f t="shared" si="45"/>
        <v>no price</v>
      </c>
      <c r="P518" s="71">
        <f>IFERROR(IF(SEARCH(B518,_xlfn.ARRAYTOTEXT('Bilateral Assistance, MAIN DATA'!I$1:I$2206))&gt;0,1,""),0)</f>
        <v>0</v>
      </c>
      <c r="Q518" s="71">
        <f>IFERROR(IF(SEARCH(B518,_xlfn.ARRAYTOTEXT('Commercial Assistance'!I$1:I$1400))&gt;0,1,""),0)</f>
        <v>0</v>
      </c>
      <c r="R518" s="905" t="str">
        <f>IF(SUMIFS('Bilateral Assistance, MAIN DATA'!N:N,'Bilateral Assistance, MAIN DATA'!I:I,'Price List, Weapons &amp; Items'!B518)&gt;M518,1,".")</f>
        <v>.</v>
      </c>
    </row>
    <row r="519" spans="2:18" ht="15" customHeight="1">
      <c r="B519" s="916" t="s">
        <v>1816</v>
      </c>
      <c r="C519" s="898" t="s">
        <v>1105</v>
      </c>
      <c r="D519" s="898" t="s">
        <v>1105</v>
      </c>
      <c r="E519" s="900">
        <v>0</v>
      </c>
      <c r="F519" s="900">
        <f t="shared" si="47"/>
        <v>0</v>
      </c>
      <c r="G519" s="892">
        <v>12000</v>
      </c>
      <c r="H519" s="908" t="s">
        <v>456</v>
      </c>
      <c r="I519" s="886" t="s">
        <v>5215</v>
      </c>
      <c r="J519" s="901" t="s">
        <v>5080</v>
      </c>
      <c r="K519" s="901" t="s">
        <v>5924</v>
      </c>
      <c r="L519" s="905">
        <f t="shared" si="46"/>
        <v>1</v>
      </c>
      <c r="M519" s="909">
        <f>SUMIFS('Bilateral Assistance, MAIN DATA'!M:M,'Bilateral Assistance, MAIN DATA'!I:I,'Price List, Weapons &amp; Items'!B519)</f>
        <v>12</v>
      </c>
      <c r="N519" s="71">
        <f>COUNTIFS('Bilateral Assistance, MAIN DATA'!M:M,"undisclosed",'Bilateral Assistance, MAIN DATA'!I:I,'Price List, Weapons &amp; Items'!B519)</f>
        <v>0</v>
      </c>
      <c r="O519" s="910">
        <f t="shared" si="45"/>
        <v>144000</v>
      </c>
      <c r="P519" s="71">
        <f>IFERROR(IF(SEARCH(B519,_xlfn.ARRAYTOTEXT('Bilateral Assistance, MAIN DATA'!I$1:I$2206))&gt;0,1,""),0)</f>
        <v>0</v>
      </c>
      <c r="Q519" s="71">
        <f>IFERROR(IF(SEARCH(B519,_xlfn.ARRAYTOTEXT('Commercial Assistance'!I$1:I$1400))&gt;0,1,""),0)</f>
        <v>0</v>
      </c>
      <c r="R519" s="905" t="str">
        <f>IF(SUMIFS('Bilateral Assistance, MAIN DATA'!N:N,'Bilateral Assistance, MAIN DATA'!I:I,'Price List, Weapons &amp; Items'!B519)&gt;M519,1,".")</f>
        <v>.</v>
      </c>
    </row>
    <row r="520" spans="2:18" ht="15" customHeight="1">
      <c r="B520" s="916" t="s">
        <v>1923</v>
      </c>
      <c r="C520" s="898" t="s">
        <v>5923</v>
      </c>
      <c r="D520" s="898" t="s">
        <v>360</v>
      </c>
      <c r="E520" s="900">
        <v>0</v>
      </c>
      <c r="F520" s="900">
        <f t="shared" si="47"/>
        <v>0</v>
      </c>
      <c r="G520" s="892" t="s">
        <v>364</v>
      </c>
      <c r="H520" s="908" t="str">
        <f t="shared" si="48"/>
        <v>.</v>
      </c>
      <c r="I520" s="913" t="s">
        <v>364</v>
      </c>
      <c r="J520" s="913" t="s">
        <v>364</v>
      </c>
      <c r="K520" s="901" t="s">
        <v>364</v>
      </c>
      <c r="L520" s="905">
        <f t="shared" si="46"/>
        <v>0</v>
      </c>
      <c r="M520" s="909">
        <f>SUMIFS('Bilateral Assistance, MAIN DATA'!M:M,'Bilateral Assistance, MAIN DATA'!I:I,'Price List, Weapons &amp; Items'!B520)</f>
        <v>0</v>
      </c>
      <c r="N520" s="71">
        <f>COUNTIFS('Bilateral Assistance, MAIN DATA'!M:M,"undisclosed",'Bilateral Assistance, MAIN DATA'!I:I,'Price List, Weapons &amp; Items'!B520)</f>
        <v>1</v>
      </c>
      <c r="O520" s="910" t="str">
        <f t="shared" si="45"/>
        <v>no price</v>
      </c>
      <c r="P520" s="71">
        <f>IFERROR(IF(SEARCH(B520,_xlfn.ARRAYTOTEXT('Bilateral Assistance, MAIN DATA'!I$1:I$2206))&gt;0,1,""),0)</f>
        <v>0</v>
      </c>
      <c r="Q520" s="71">
        <f>IFERROR(IF(SEARCH(B520,_xlfn.ARRAYTOTEXT('Commercial Assistance'!I$1:I$1400))&gt;0,1,""),0)</f>
        <v>0</v>
      </c>
      <c r="R520" s="905" t="str">
        <f>IF(SUMIFS('Bilateral Assistance, MAIN DATA'!N:N,'Bilateral Assistance, MAIN DATA'!I:I,'Price List, Weapons &amp; Items'!B520)&gt;M520,1,".")</f>
        <v>.</v>
      </c>
    </row>
    <row r="521" spans="2:18" ht="15" customHeight="1">
      <c r="B521" s="916" t="s">
        <v>601</v>
      </c>
      <c r="C521" s="898" t="s">
        <v>360</v>
      </c>
      <c r="D521" s="898" t="s">
        <v>360</v>
      </c>
      <c r="E521" s="900">
        <v>0</v>
      </c>
      <c r="F521" s="900">
        <f t="shared" si="47"/>
        <v>0</v>
      </c>
      <c r="G521" s="892">
        <v>300</v>
      </c>
      <c r="H521" s="908" t="s">
        <v>456</v>
      </c>
      <c r="I521" s="924" t="s">
        <v>5925</v>
      </c>
      <c r="J521" s="913" t="s">
        <v>5089</v>
      </c>
      <c r="K521" s="901" t="s">
        <v>5926</v>
      </c>
      <c r="L521" s="905">
        <f t="shared" si="46"/>
        <v>0</v>
      </c>
      <c r="M521" s="909">
        <f>SUMIFS('Bilateral Assistance, MAIN DATA'!M:M,'Bilateral Assistance, MAIN DATA'!I:I,'Price List, Weapons &amp; Items'!B521)</f>
        <v>1881</v>
      </c>
      <c r="N521" s="71">
        <f>COUNTIFS('Bilateral Assistance, MAIN DATA'!M:M,"undisclosed",'Bilateral Assistance, MAIN DATA'!I:I,'Price List, Weapons &amp; Items'!B521)</f>
        <v>1</v>
      </c>
      <c r="O521" s="910">
        <f t="shared" si="45"/>
        <v>564300</v>
      </c>
      <c r="P521" s="71">
        <f>IFERROR(IF(SEARCH(B521,_xlfn.ARRAYTOTEXT('Bilateral Assistance, MAIN DATA'!I$1:I$2206))&gt;0,1,""),0)</f>
        <v>0</v>
      </c>
      <c r="Q521" s="71">
        <f>IFERROR(IF(SEARCH(B521,_xlfn.ARRAYTOTEXT('Commercial Assistance'!I$1:I$1400))&gt;0,1,""),0)</f>
        <v>0</v>
      </c>
      <c r="R521" s="905" t="str">
        <f>IF(SUMIFS('Bilateral Assistance, MAIN DATA'!N:N,'Bilateral Assistance, MAIN DATA'!I:I,'Price List, Weapons &amp; Items'!B521)&gt;M521,1,".")</f>
        <v>.</v>
      </c>
    </row>
    <row r="522" spans="2:18" ht="15" customHeight="1">
      <c r="B522" s="916" t="s">
        <v>1916</v>
      </c>
      <c r="C522" s="898" t="s">
        <v>360</v>
      </c>
      <c r="D522" s="898" t="s">
        <v>360</v>
      </c>
      <c r="E522" s="900">
        <v>0</v>
      </c>
      <c r="F522" s="900">
        <f t="shared" si="47"/>
        <v>0</v>
      </c>
      <c r="G522" s="892" t="s">
        <v>364</v>
      </c>
      <c r="H522" s="908" t="str">
        <f t="shared" si="48"/>
        <v>.</v>
      </c>
      <c r="I522" s="913" t="s">
        <v>364</v>
      </c>
      <c r="J522" s="913" t="s">
        <v>364</v>
      </c>
      <c r="K522" s="901" t="s">
        <v>364</v>
      </c>
      <c r="L522" s="905">
        <f t="shared" si="46"/>
        <v>0</v>
      </c>
      <c r="M522" s="909">
        <f>SUMIFS('Bilateral Assistance, MAIN DATA'!M:M,'Bilateral Assistance, MAIN DATA'!I:I,'Price List, Weapons &amp; Items'!B522)</f>
        <v>18</v>
      </c>
      <c r="N522" s="71">
        <f>COUNTIFS('Bilateral Assistance, MAIN DATA'!M:M,"undisclosed",'Bilateral Assistance, MAIN DATA'!I:I,'Price List, Weapons &amp; Items'!B522)</f>
        <v>0</v>
      </c>
      <c r="O522" s="910" t="str">
        <f t="shared" ref="O522:O528" si="49">IFERROR(M522*G522,"no price")</f>
        <v>no price</v>
      </c>
      <c r="P522" s="71">
        <f>IFERROR(IF(SEARCH(B522,_xlfn.ARRAYTOTEXT('Bilateral Assistance, MAIN DATA'!I$1:I$2206))&gt;0,1,""),0)</f>
        <v>0</v>
      </c>
      <c r="Q522" s="71">
        <f>IFERROR(IF(SEARCH(B522,_xlfn.ARRAYTOTEXT('Commercial Assistance'!I$1:I$1400))&gt;0,1,""),0)</f>
        <v>0</v>
      </c>
      <c r="R522" s="905" t="str">
        <f>IF(SUMIFS('Bilateral Assistance, MAIN DATA'!N:N,'Bilateral Assistance, MAIN DATA'!I:I,'Price List, Weapons &amp; Items'!B522)&gt;M522,1,".")</f>
        <v>.</v>
      </c>
    </row>
    <row r="523" spans="2:18" ht="15" customHeight="1">
      <c r="B523" s="916" t="s">
        <v>1918</v>
      </c>
      <c r="C523" s="898" t="s">
        <v>360</v>
      </c>
      <c r="D523" s="898" t="s">
        <v>360</v>
      </c>
      <c r="E523" s="900">
        <v>0</v>
      </c>
      <c r="F523" s="900">
        <f t="shared" si="47"/>
        <v>0</v>
      </c>
      <c r="G523" s="892" t="s">
        <v>364</v>
      </c>
      <c r="H523" s="908" t="str">
        <f t="shared" si="48"/>
        <v>.</v>
      </c>
      <c r="I523" s="913" t="s">
        <v>364</v>
      </c>
      <c r="J523" s="913" t="s">
        <v>364</v>
      </c>
      <c r="K523" s="901" t="s">
        <v>364</v>
      </c>
      <c r="L523" s="905">
        <f t="shared" si="46"/>
        <v>0</v>
      </c>
      <c r="M523" s="909">
        <f>SUMIFS('Bilateral Assistance, MAIN DATA'!M:M,'Bilateral Assistance, MAIN DATA'!I:I,'Price List, Weapons &amp; Items'!B523)</f>
        <v>0</v>
      </c>
      <c r="N523" s="71">
        <f>COUNTIFS('Bilateral Assistance, MAIN DATA'!M:M,"undisclosed",'Bilateral Assistance, MAIN DATA'!I:I,'Price List, Weapons &amp; Items'!B523)</f>
        <v>1</v>
      </c>
      <c r="O523" s="910" t="str">
        <f t="shared" si="49"/>
        <v>no price</v>
      </c>
      <c r="P523" s="71">
        <f>IFERROR(IF(SEARCH(B523,_xlfn.ARRAYTOTEXT('Bilateral Assistance, MAIN DATA'!I$1:I$2206))&gt;0,1,""),0)</f>
        <v>0</v>
      </c>
      <c r="Q523" s="71">
        <f>IFERROR(IF(SEARCH(B523,_xlfn.ARRAYTOTEXT('Commercial Assistance'!I$1:I$1400))&gt;0,1,""),0)</f>
        <v>0</v>
      </c>
      <c r="R523" s="905" t="str">
        <f>IF(SUMIFS('Bilateral Assistance, MAIN DATA'!N:N,'Bilateral Assistance, MAIN DATA'!I:I,'Price List, Weapons &amp; Items'!B523)&gt;M523,1,".")</f>
        <v>.</v>
      </c>
    </row>
    <row r="524" spans="2:18" ht="15" customHeight="1">
      <c r="B524" s="916" t="s">
        <v>1830</v>
      </c>
      <c r="C524" s="898" t="s">
        <v>5923</v>
      </c>
      <c r="D524" s="898" t="s">
        <v>360</v>
      </c>
      <c r="E524" s="900">
        <v>0</v>
      </c>
      <c r="F524" s="900">
        <f t="shared" si="47"/>
        <v>0</v>
      </c>
      <c r="G524" s="892">
        <v>55</v>
      </c>
      <c r="H524" s="900" t="s">
        <v>456</v>
      </c>
      <c r="I524" s="890" t="s">
        <v>5927</v>
      </c>
      <c r="J524" s="913" t="s">
        <v>5895</v>
      </c>
      <c r="K524" s="901" t="s">
        <v>5928</v>
      </c>
      <c r="L524" s="905">
        <f t="shared" ref="L524:L580" si="50">IF(C524="Humanitarian",0,IF(M524&gt;0,IF(TYPE(O524)=1,IF(O524&gt;MEDIAN(O:O),2,1),0),"no price, 0 count"))</f>
        <v>0</v>
      </c>
      <c r="M524" s="909">
        <f>SUMIFS('Bilateral Assistance, MAIN DATA'!M:M,'Bilateral Assistance, MAIN DATA'!I:I,'Price List, Weapons &amp; Items'!B524)</f>
        <v>500</v>
      </c>
      <c r="N524" s="71">
        <f>COUNTIFS('Bilateral Assistance, MAIN DATA'!M:M,"undisclosed",'Bilateral Assistance, MAIN DATA'!I:I,'Price List, Weapons &amp; Items'!B524)</f>
        <v>0</v>
      </c>
      <c r="O524" s="910">
        <f t="shared" si="49"/>
        <v>27500</v>
      </c>
      <c r="P524" s="71">
        <f>IFERROR(IF(SEARCH(B524,_xlfn.ARRAYTOTEXT('Bilateral Assistance, MAIN DATA'!I$1:I$2206))&gt;0,1,""),0)</f>
        <v>0</v>
      </c>
      <c r="Q524" s="71">
        <f>IFERROR(IF(SEARCH(B524,_xlfn.ARRAYTOTEXT('Commercial Assistance'!I$1:I$1400))&gt;0,1,""),0)</f>
        <v>0</v>
      </c>
      <c r="R524" s="905" t="str">
        <f>IF(SUMIFS('Bilateral Assistance, MAIN DATA'!N:N,'Bilateral Assistance, MAIN DATA'!I:I,'Price List, Weapons &amp; Items'!B524)&gt;M524,1,".")</f>
        <v>.</v>
      </c>
    </row>
    <row r="525" spans="2:18" ht="15" customHeight="1">
      <c r="B525" s="916" t="s">
        <v>1927</v>
      </c>
      <c r="C525" s="898" t="s">
        <v>5923</v>
      </c>
      <c r="D525" s="898" t="s">
        <v>360</v>
      </c>
      <c r="E525" s="900">
        <v>0</v>
      </c>
      <c r="F525" s="900">
        <f t="shared" si="47"/>
        <v>0</v>
      </c>
      <c r="G525" s="892">
        <v>600000</v>
      </c>
      <c r="H525" s="900" t="s">
        <v>456</v>
      </c>
      <c r="I525" s="885" t="s">
        <v>5929</v>
      </c>
      <c r="J525" s="913" t="s">
        <v>5119</v>
      </c>
      <c r="K525" s="901" t="s">
        <v>5930</v>
      </c>
      <c r="L525" s="905">
        <f t="shared" si="50"/>
        <v>0</v>
      </c>
      <c r="M525" s="909">
        <f>SUMIFS('Bilateral Assistance, MAIN DATA'!M:M,'Bilateral Assistance, MAIN DATA'!I:I,'Price List, Weapons &amp; Items'!B525)</f>
        <v>1</v>
      </c>
      <c r="N525" s="71">
        <f>COUNTIFS('Bilateral Assistance, MAIN DATA'!M:M,"undisclosed",'Bilateral Assistance, MAIN DATA'!I:I,'Price List, Weapons &amp; Items'!B525)</f>
        <v>0</v>
      </c>
      <c r="O525" s="910">
        <f t="shared" si="49"/>
        <v>600000</v>
      </c>
      <c r="P525" s="71">
        <f>IFERROR(IF(SEARCH(B525,_xlfn.ARRAYTOTEXT('Bilateral Assistance, MAIN DATA'!I$1:I$2206))&gt;0,1,""),0)</f>
        <v>0</v>
      </c>
      <c r="Q525" s="71">
        <f>IFERROR(IF(SEARCH(B525,_xlfn.ARRAYTOTEXT('Commercial Assistance'!I$1:I$1400))&gt;0,1,""),0)</f>
        <v>0</v>
      </c>
      <c r="R525" s="905" t="str">
        <f>IF(SUMIFS('Bilateral Assistance, MAIN DATA'!N:N,'Bilateral Assistance, MAIN DATA'!I:I,'Price List, Weapons &amp; Items'!B525)&gt;M525,1,".")</f>
        <v>.</v>
      </c>
    </row>
    <row r="526" spans="2:18" ht="15" customHeight="1">
      <c r="B526" s="901" t="s">
        <v>1778</v>
      </c>
      <c r="C526" s="898" t="s">
        <v>5923</v>
      </c>
      <c r="D526" s="898" t="s">
        <v>360</v>
      </c>
      <c r="E526" s="900">
        <v>0</v>
      </c>
      <c r="F526" s="900">
        <f t="shared" si="47"/>
        <v>0</v>
      </c>
      <c r="G526" s="892">
        <v>1500</v>
      </c>
      <c r="H526" s="900" t="s">
        <v>456</v>
      </c>
      <c r="I526" s="885" t="s">
        <v>5931</v>
      </c>
      <c r="J526" s="913" t="s">
        <v>5075</v>
      </c>
      <c r="K526" s="901" t="s">
        <v>5932</v>
      </c>
      <c r="L526" s="905">
        <f t="shared" si="50"/>
        <v>0</v>
      </c>
      <c r="M526" s="909">
        <f>SUMIFS('Bilateral Assistance, MAIN DATA'!M:M,'Bilateral Assistance, MAIN DATA'!I:I,'Price List, Weapons &amp; Items'!B526)</f>
        <v>16570</v>
      </c>
      <c r="N526" s="71">
        <f>COUNTIFS('Bilateral Assistance, MAIN DATA'!M:M,"undisclosed",'Bilateral Assistance, MAIN DATA'!I:I,'Price List, Weapons &amp; Items'!B526)</f>
        <v>0</v>
      </c>
      <c r="O526" s="910">
        <f t="shared" si="49"/>
        <v>24855000</v>
      </c>
      <c r="P526" s="71">
        <f>IFERROR(IF(SEARCH(B526,_xlfn.ARRAYTOTEXT('Bilateral Assistance, MAIN DATA'!I$1:I$2206))&gt;0,1,""),0)</f>
        <v>0</v>
      </c>
      <c r="Q526" s="71">
        <f>IFERROR(IF(SEARCH(B526,_xlfn.ARRAYTOTEXT('Commercial Assistance'!I$1:I$1400))&gt;0,1,""),0)</f>
        <v>0</v>
      </c>
      <c r="R526" s="905" t="str">
        <f>IF(SUMIFS('Bilateral Assistance, MAIN DATA'!N:N,'Bilateral Assistance, MAIN DATA'!I:I,'Price List, Weapons &amp; Items'!B526)&gt;M526,1,".")</f>
        <v>.</v>
      </c>
    </row>
    <row r="527" spans="2:18" ht="15" customHeight="1">
      <c r="B527" s="901" t="s">
        <v>1924</v>
      </c>
      <c r="C527" s="898" t="s">
        <v>5923</v>
      </c>
      <c r="D527" s="898" t="s">
        <v>360</v>
      </c>
      <c r="E527" s="900">
        <v>0</v>
      </c>
      <c r="F527" s="900">
        <f t="shared" si="47"/>
        <v>0</v>
      </c>
      <c r="G527" s="892">
        <v>600000</v>
      </c>
      <c r="H527" s="900" t="s">
        <v>456</v>
      </c>
      <c r="I527" s="885" t="s">
        <v>5929</v>
      </c>
      <c r="J527" s="913" t="s">
        <v>5119</v>
      </c>
      <c r="K527" s="901" t="s">
        <v>5933</v>
      </c>
      <c r="L527" s="905">
        <f t="shared" si="50"/>
        <v>0</v>
      </c>
      <c r="M527" s="909">
        <f>SUMIFS('Bilateral Assistance, MAIN DATA'!M:M,'Bilateral Assistance, MAIN DATA'!I:I,'Price List, Weapons &amp; Items'!B527)</f>
        <v>6</v>
      </c>
      <c r="N527" s="71">
        <f>COUNTIFS('Bilateral Assistance, MAIN DATA'!M:M,"undisclosed",'Bilateral Assistance, MAIN DATA'!I:I,'Price List, Weapons &amp; Items'!B527)</f>
        <v>0</v>
      </c>
      <c r="O527" s="910">
        <f t="shared" si="49"/>
        <v>3600000</v>
      </c>
      <c r="P527" s="71">
        <f>IFERROR(IF(SEARCH(B527,_xlfn.ARRAYTOTEXT('Bilateral Assistance, MAIN DATA'!I$1:I$2206))&gt;0,1,""),0)</f>
        <v>0</v>
      </c>
      <c r="Q527" s="71">
        <f>IFERROR(IF(SEARCH(B527,_xlfn.ARRAYTOTEXT('Commercial Assistance'!I$1:I$1400))&gt;0,1,""),0)</f>
        <v>0</v>
      </c>
      <c r="R527" s="905" t="str">
        <f>IF(SUMIFS('Bilateral Assistance, MAIN DATA'!N:N,'Bilateral Assistance, MAIN DATA'!I:I,'Price List, Weapons &amp; Items'!B527)&gt;M527,1,".")</f>
        <v>.</v>
      </c>
    </row>
    <row r="528" spans="2:18" ht="15" customHeight="1">
      <c r="B528" s="916" t="s">
        <v>1754</v>
      </c>
      <c r="C528" s="898" t="s">
        <v>1105</v>
      </c>
      <c r="D528" s="899" t="s">
        <v>5298</v>
      </c>
      <c r="E528" s="900">
        <v>0</v>
      </c>
      <c r="F528" s="900">
        <f t="shared" si="47"/>
        <v>0</v>
      </c>
      <c r="G528" s="892">
        <v>31500</v>
      </c>
      <c r="H528" s="900" t="s">
        <v>456</v>
      </c>
      <c r="I528" s="929" t="s">
        <v>5934</v>
      </c>
      <c r="J528" s="913" t="s">
        <v>5086</v>
      </c>
      <c r="K528" s="901" t="s">
        <v>5935</v>
      </c>
      <c r="L528" s="905">
        <f t="shared" si="50"/>
        <v>2</v>
      </c>
      <c r="M528" s="909">
        <f>SUMIFS('Bilateral Assistance, MAIN DATA'!M:M,'Bilateral Assistance, MAIN DATA'!I:I,'Price List, Weapons &amp; Items'!B528)</f>
        <v>388</v>
      </c>
      <c r="N528" s="71">
        <f>COUNTIFS('Bilateral Assistance, MAIN DATA'!M:M,"undisclosed",'Bilateral Assistance, MAIN DATA'!I:I,'Price List, Weapons &amp; Items'!B528)</f>
        <v>0</v>
      </c>
      <c r="O528" s="910">
        <f t="shared" si="49"/>
        <v>12222000</v>
      </c>
      <c r="P528" s="71">
        <f>IFERROR(IF(SEARCH(B528,_xlfn.ARRAYTOTEXT('Bilateral Assistance, MAIN DATA'!I$1:I$2206))&gt;0,1,""),0)</f>
        <v>0</v>
      </c>
      <c r="Q528" s="71">
        <f>IFERROR(IF(SEARCH(B528,_xlfn.ARRAYTOTEXT('Commercial Assistance'!I$1:I$1400))&gt;0,1,""),0)</f>
        <v>0</v>
      </c>
      <c r="R528" s="905" t="str">
        <f>IF(SUMIFS('Bilateral Assistance, MAIN DATA'!N:N,'Bilateral Assistance, MAIN DATA'!I:I,'Price List, Weapons &amp; Items'!B528)&gt;M528,1,".")</f>
        <v>.</v>
      </c>
    </row>
    <row r="529" spans="1:18" ht="15" customHeight="1">
      <c r="A529" s="71" t="s">
        <v>38</v>
      </c>
      <c r="B529" s="71" t="s">
        <v>2928</v>
      </c>
      <c r="C529" s="71" t="s">
        <v>5099</v>
      </c>
      <c r="D529" s="71" t="s">
        <v>5198</v>
      </c>
      <c r="E529" s="900">
        <v>0</v>
      </c>
      <c r="F529" s="900">
        <f t="shared" si="47"/>
        <v>0</v>
      </c>
      <c r="G529" s="902">
        <v>17867.830000000002</v>
      </c>
      <c r="H529" s="903" t="s">
        <v>456</v>
      </c>
      <c r="I529" s="891" t="s">
        <v>5936</v>
      </c>
      <c r="J529" s="71" t="s">
        <v>5082</v>
      </c>
      <c r="K529" s="71" t="s">
        <v>5937</v>
      </c>
      <c r="L529" s="905" t="str">
        <f t="shared" si="50"/>
        <v>no price, 0 count</v>
      </c>
      <c r="M529" s="909">
        <f>SUMIFS('Bilateral Assistance, MAIN DATA'!M:M,'Bilateral Assistance, MAIN DATA'!I:I,'Price List, Weapons &amp; Items'!B529)</f>
        <v>0</v>
      </c>
      <c r="N529" s="71">
        <f>COUNTIFS('Bilateral Assistance, MAIN DATA'!M:M,"undisclosed",'Bilateral Assistance, MAIN DATA'!I:I,'Price List, Weapons &amp; Items'!B529)</f>
        <v>1</v>
      </c>
      <c r="O529" s="910">
        <f t="shared" ref="O529:O548" si="51">IFERROR(M529*G529,"no price")</f>
        <v>0</v>
      </c>
      <c r="P529" s="71">
        <f>IFERROR(IF(SEARCH(B529,_xlfn.ARRAYTOTEXT('Bilateral Assistance, MAIN DATA'!I$1:I$2206))&gt;0,1,""),0)</f>
        <v>0</v>
      </c>
      <c r="Q529" s="71">
        <f>IFERROR(IF(SEARCH(B529,_xlfn.ARRAYTOTEXT('Commercial Assistance'!I$1:I$1400))&gt;0,1,""),0)</f>
        <v>0</v>
      </c>
      <c r="R529" s="905" t="str">
        <f>IF(SUMIFS('Bilateral Assistance, MAIN DATA'!N:N,'Bilateral Assistance, MAIN DATA'!I:I,'Price List, Weapons &amp; Items'!B529)&gt;M529,1,".")</f>
        <v>.</v>
      </c>
    </row>
    <row r="530" spans="1:18" ht="15" customHeight="1">
      <c r="B530" s="916" t="s">
        <v>1122</v>
      </c>
      <c r="C530" s="898" t="s">
        <v>5938</v>
      </c>
      <c r="D530" s="899" t="s">
        <v>5366</v>
      </c>
      <c r="E530" s="900">
        <v>0</v>
      </c>
      <c r="F530" s="900">
        <f t="shared" si="47"/>
        <v>1</v>
      </c>
      <c r="G530" s="902" t="s">
        <v>364</v>
      </c>
      <c r="H530" s="903" t="s">
        <v>364</v>
      </c>
      <c r="I530" s="936" t="s">
        <v>364</v>
      </c>
      <c r="J530" s="901" t="s">
        <v>364</v>
      </c>
      <c r="K530" s="71" t="s">
        <v>364</v>
      </c>
      <c r="L530" s="905">
        <f t="shared" si="50"/>
        <v>0</v>
      </c>
      <c r="M530" s="909">
        <f>SUMIFS('Bilateral Assistance, MAIN DATA'!M:M,'Bilateral Assistance, MAIN DATA'!I:I,'Price List, Weapons &amp; Items'!B530)</f>
        <v>221</v>
      </c>
      <c r="N530" s="71">
        <f>COUNTIFS('Bilateral Assistance, MAIN DATA'!M:M,"undisclosed",'Bilateral Assistance, MAIN DATA'!I:I,'Price List, Weapons &amp; Items'!B530)</f>
        <v>0</v>
      </c>
      <c r="O530" s="910" t="str">
        <f t="shared" si="51"/>
        <v>no price</v>
      </c>
      <c r="P530" s="71">
        <f>IFERROR(IF(SEARCH(B530,_xlfn.ARRAYTOTEXT('Bilateral Assistance, MAIN DATA'!I$1:I$2206))&gt;0,1,""),0)</f>
        <v>0</v>
      </c>
      <c r="Q530" s="71">
        <f>IFERROR(IF(SEARCH(B530,_xlfn.ARRAYTOTEXT('Commercial Assistance'!I$1:I$1400))&gt;0,1,""),0)</f>
        <v>0</v>
      </c>
      <c r="R530" s="905" t="str">
        <f>IF(SUMIFS('Bilateral Assistance, MAIN DATA'!N:N,'Bilateral Assistance, MAIN DATA'!I:I,'Price List, Weapons &amp; Items'!B530)&gt;M530,1,".")</f>
        <v>.</v>
      </c>
    </row>
    <row r="531" spans="1:18" ht="15" customHeight="1">
      <c r="B531" s="901" t="s">
        <v>1367</v>
      </c>
      <c r="C531" s="898" t="s">
        <v>1105</v>
      </c>
      <c r="D531" s="899" t="s">
        <v>1105</v>
      </c>
      <c r="E531" s="900">
        <v>0</v>
      </c>
      <c r="F531" s="900">
        <f t="shared" si="47"/>
        <v>0</v>
      </c>
      <c r="G531" s="892" t="s">
        <v>364</v>
      </c>
      <c r="H531" s="900" t="s">
        <v>364</v>
      </c>
      <c r="I531" s="913" t="s">
        <v>364</v>
      </c>
      <c r="J531" s="913" t="s">
        <v>364</v>
      </c>
      <c r="K531" s="901" t="s">
        <v>364</v>
      </c>
      <c r="L531" s="905" t="str">
        <f t="shared" si="50"/>
        <v>no price, 0 count</v>
      </c>
      <c r="M531" s="909">
        <f>SUMIFS('Bilateral Assistance, MAIN DATA'!M:M,'Bilateral Assistance, MAIN DATA'!I:I,'Price List, Weapons &amp; Items'!B531)</f>
        <v>0</v>
      </c>
      <c r="N531" s="71">
        <f>COUNTIFS('Bilateral Assistance, MAIN DATA'!M:M,"undisclosed",'Bilateral Assistance, MAIN DATA'!I:I,'Price List, Weapons &amp; Items'!B531)</f>
        <v>1</v>
      </c>
      <c r="O531" s="910" t="str">
        <f t="shared" si="51"/>
        <v>no price</v>
      </c>
      <c r="P531" s="71">
        <f>IFERROR(IF(SEARCH(B531,_xlfn.ARRAYTOTEXT('Bilateral Assistance, MAIN DATA'!I$1:I$2206))&gt;0,1,""),0)</f>
        <v>0</v>
      </c>
      <c r="Q531" s="71">
        <f>IFERROR(IF(SEARCH(B531,_xlfn.ARRAYTOTEXT('Commercial Assistance'!I$1:I$1400))&gt;0,1,""),0)</f>
        <v>0</v>
      </c>
      <c r="R531" s="905" t="str">
        <f>IF(SUMIFS('Bilateral Assistance, MAIN DATA'!N:N,'Bilateral Assistance, MAIN DATA'!I:I,'Price List, Weapons &amp; Items'!B531)&gt;M531,1,".")</f>
        <v>.</v>
      </c>
    </row>
    <row r="532" spans="1:18" ht="15" customHeight="1">
      <c r="B532" s="901" t="s">
        <v>1694</v>
      </c>
      <c r="C532" s="898" t="s">
        <v>5062</v>
      </c>
      <c r="D532" s="899" t="s">
        <v>5939</v>
      </c>
      <c r="E532" s="900">
        <v>0</v>
      </c>
      <c r="F532" s="900">
        <f t="shared" si="47"/>
        <v>0</v>
      </c>
      <c r="G532" s="892">
        <v>4857353.4800000004</v>
      </c>
      <c r="H532" s="900" t="s">
        <v>456</v>
      </c>
      <c r="I532" s="893" t="s">
        <v>5074</v>
      </c>
      <c r="J532" s="913" t="s">
        <v>5075</v>
      </c>
      <c r="K532" s="901" t="s">
        <v>5940</v>
      </c>
      <c r="L532" s="905" t="str">
        <f t="shared" si="50"/>
        <v>no price, 0 count</v>
      </c>
      <c r="M532" s="909">
        <f>SUMIFS('Bilateral Assistance, MAIN DATA'!M:M,'Bilateral Assistance, MAIN DATA'!I:I,'Price List, Weapons &amp; Items'!B532)</f>
        <v>0</v>
      </c>
      <c r="N532" s="71">
        <f>COUNTIFS('Bilateral Assistance, MAIN DATA'!M:M,"undisclosed",'Bilateral Assistance, MAIN DATA'!I:I,'Price List, Weapons &amp; Items'!B532)</f>
        <v>2</v>
      </c>
      <c r="O532" s="910">
        <f t="shared" si="51"/>
        <v>0</v>
      </c>
      <c r="P532" s="71">
        <f>IFERROR(IF(SEARCH(B532,_xlfn.ARRAYTOTEXT('Bilateral Assistance, MAIN DATA'!I$1:I$2206))&gt;0,1,""),0)</f>
        <v>0</v>
      </c>
      <c r="Q532" s="71">
        <f>IFERROR(IF(SEARCH(B532,_xlfn.ARRAYTOTEXT('Commercial Assistance'!I$1:I$1400))&gt;0,1,""),0)</f>
        <v>0</v>
      </c>
      <c r="R532" s="905" t="str">
        <f>IF(SUMIFS('Bilateral Assistance, MAIN DATA'!N:N,'Bilateral Assistance, MAIN DATA'!I:I,'Price List, Weapons &amp; Items'!B532)&gt;M532,1,".")</f>
        <v>.</v>
      </c>
    </row>
    <row r="533" spans="1:18" ht="15" customHeight="1">
      <c r="B533" s="901" t="s">
        <v>2273</v>
      </c>
      <c r="C533" s="898" t="s">
        <v>5062</v>
      </c>
      <c r="D533" s="899" t="s">
        <v>5305</v>
      </c>
      <c r="E533" s="900">
        <v>0</v>
      </c>
      <c r="F533" s="900">
        <f t="shared" si="47"/>
        <v>0</v>
      </c>
      <c r="G533" s="892">
        <v>341770000</v>
      </c>
      <c r="H533" s="900" t="s">
        <v>456</v>
      </c>
      <c r="I533" s="893" t="s">
        <v>5074</v>
      </c>
      <c r="J533" s="913" t="s">
        <v>5075</v>
      </c>
      <c r="K533" s="901" t="s">
        <v>5940</v>
      </c>
      <c r="L533" s="905">
        <f t="shared" si="50"/>
        <v>2</v>
      </c>
      <c r="M533" s="909">
        <f>SUMIFS('Bilateral Assistance, MAIN DATA'!M:M,'Bilateral Assistance, MAIN DATA'!I:I,'Price List, Weapons &amp; Items'!B533)</f>
        <v>1</v>
      </c>
      <c r="N533" s="71">
        <f>COUNTIFS('Bilateral Assistance, MAIN DATA'!M:M,"undisclosed",'Bilateral Assistance, MAIN DATA'!I:I,'Price List, Weapons &amp; Items'!B533)</f>
        <v>0</v>
      </c>
      <c r="O533" s="910">
        <f t="shared" si="51"/>
        <v>341770000</v>
      </c>
      <c r="P533" s="71">
        <f>IFERROR(IF(SEARCH(B533,_xlfn.ARRAYTOTEXT('Bilateral Assistance, MAIN DATA'!I$1:I$2206))&gt;0,1,""),0)</f>
        <v>0</v>
      </c>
      <c r="Q533" s="71">
        <f>IFERROR(IF(SEARCH(B533,_xlfn.ARRAYTOTEXT('Commercial Assistance'!I$1:I$1400))&gt;0,1,""),0)</f>
        <v>0</v>
      </c>
      <c r="R533" s="905" t="str">
        <f>IF(SUMIFS('Bilateral Assistance, MAIN DATA'!N:N,'Bilateral Assistance, MAIN DATA'!I:I,'Price List, Weapons &amp; Items'!B533)&gt;M533,1,".")</f>
        <v>.</v>
      </c>
    </row>
    <row r="534" spans="1:18" ht="15" customHeight="1">
      <c r="B534" s="901" t="s">
        <v>1620</v>
      </c>
      <c r="C534" s="898" t="s">
        <v>360</v>
      </c>
      <c r="D534" s="899" t="s">
        <v>360</v>
      </c>
      <c r="E534" s="900">
        <v>0</v>
      </c>
      <c r="F534" s="900">
        <f t="shared" si="47"/>
        <v>0</v>
      </c>
      <c r="G534" s="892">
        <v>3.5</v>
      </c>
      <c r="H534" s="900" t="s">
        <v>456</v>
      </c>
      <c r="I534" s="924" t="s">
        <v>5941</v>
      </c>
      <c r="J534" s="913" t="s">
        <v>5089</v>
      </c>
      <c r="K534" s="901" t="s">
        <v>5942</v>
      </c>
      <c r="L534" s="905">
        <f t="shared" si="50"/>
        <v>0</v>
      </c>
      <c r="M534" s="909">
        <f>SUMIFS('Bilateral Assistance, MAIN DATA'!M:M,'Bilateral Assistance, MAIN DATA'!I:I,'Price List, Weapons &amp; Items'!B534)</f>
        <v>5000000</v>
      </c>
      <c r="N534" s="71">
        <f>COUNTIFS('Bilateral Assistance, MAIN DATA'!M:M,"undisclosed",'Bilateral Assistance, MAIN DATA'!I:I,'Price List, Weapons &amp; Items'!B534)</f>
        <v>1</v>
      </c>
      <c r="O534" s="910">
        <f t="shared" si="51"/>
        <v>17500000</v>
      </c>
      <c r="P534" s="71">
        <f>IFERROR(IF(SEARCH(B534,_xlfn.ARRAYTOTEXT('Bilateral Assistance, MAIN DATA'!I$1:I$2206))&gt;0,1,""),0)</f>
        <v>0</v>
      </c>
      <c r="Q534" s="71">
        <f>IFERROR(IF(SEARCH(B534,_xlfn.ARRAYTOTEXT('Commercial Assistance'!I$1:I$1400))&gt;0,1,""),0)</f>
        <v>0</v>
      </c>
      <c r="R534" s="905" t="str">
        <f>IF(SUMIFS('Bilateral Assistance, MAIN DATA'!N:N,'Bilateral Assistance, MAIN DATA'!I:I,'Price List, Weapons &amp; Items'!B534)&gt;M534,1,".")</f>
        <v>.</v>
      </c>
    </row>
    <row r="535" spans="1:18" ht="15" customHeight="1">
      <c r="B535" s="901" t="s">
        <v>3316</v>
      </c>
      <c r="C535" s="898" t="s">
        <v>1105</v>
      </c>
      <c r="D535" s="899" t="s">
        <v>5152</v>
      </c>
      <c r="E535" s="900">
        <v>0</v>
      </c>
      <c r="F535" s="900">
        <f t="shared" si="47"/>
        <v>1</v>
      </c>
      <c r="G535" s="892" t="s">
        <v>364</v>
      </c>
      <c r="H535" s="900" t="s">
        <v>364</v>
      </c>
      <c r="I535" s="913" t="s">
        <v>364</v>
      </c>
      <c r="J535" s="913" t="s">
        <v>364</v>
      </c>
      <c r="K535" s="901" t="s">
        <v>364</v>
      </c>
      <c r="L535" s="905" t="str">
        <f t="shared" si="50"/>
        <v>no price, 0 count</v>
      </c>
      <c r="M535" s="909">
        <f>SUMIFS('Bilateral Assistance, MAIN DATA'!M:M,'Bilateral Assistance, MAIN DATA'!I:I,'Price List, Weapons &amp; Items'!B535)</f>
        <v>0</v>
      </c>
      <c r="N535" s="71">
        <f>COUNTIFS('Bilateral Assistance, MAIN DATA'!M:M,"undisclosed",'Bilateral Assistance, MAIN DATA'!I:I,'Price List, Weapons &amp; Items'!B535)</f>
        <v>1</v>
      </c>
      <c r="O535" s="910" t="str">
        <f t="shared" si="51"/>
        <v>no price</v>
      </c>
      <c r="P535" s="71">
        <f>IFERROR(IF(SEARCH(B535,_xlfn.ARRAYTOTEXT('Bilateral Assistance, MAIN DATA'!I$1:I$2206))&gt;0,1,""),0)</f>
        <v>0</v>
      </c>
      <c r="Q535" s="71">
        <f>IFERROR(IF(SEARCH(B535,_xlfn.ARRAYTOTEXT('Commercial Assistance'!I$1:I$1400))&gt;0,1,""),0)</f>
        <v>0</v>
      </c>
      <c r="R535" s="905" t="str">
        <f>IF(SUMIFS('Bilateral Assistance, MAIN DATA'!N:N,'Bilateral Assistance, MAIN DATA'!I:I,'Price List, Weapons &amp; Items'!B535)&gt;M535,1,".")</f>
        <v>.</v>
      </c>
    </row>
    <row r="536" spans="1:18" ht="15" customHeight="1">
      <c r="B536" s="901" t="s">
        <v>3318</v>
      </c>
      <c r="C536" s="898" t="s">
        <v>631</v>
      </c>
      <c r="D536" s="899" t="s">
        <v>5943</v>
      </c>
      <c r="E536" s="900">
        <v>0</v>
      </c>
      <c r="F536" s="900">
        <f t="shared" si="47"/>
        <v>0</v>
      </c>
      <c r="G536" s="892" t="s">
        <v>364</v>
      </c>
      <c r="H536" s="900" t="s">
        <v>364</v>
      </c>
      <c r="I536" s="913" t="s">
        <v>364</v>
      </c>
      <c r="J536" s="913" t="s">
        <v>364</v>
      </c>
      <c r="K536" s="901" t="s">
        <v>364</v>
      </c>
      <c r="L536" s="905" t="str">
        <f t="shared" si="50"/>
        <v>no price, 0 count</v>
      </c>
      <c r="M536" s="909">
        <f>SUMIFS('Bilateral Assistance, MAIN DATA'!M:M,'Bilateral Assistance, MAIN DATA'!I:I,'Price List, Weapons &amp; Items'!B536)</f>
        <v>0</v>
      </c>
      <c r="N536" s="71">
        <f>COUNTIFS('Bilateral Assistance, MAIN DATA'!M:M,"undisclosed",'Bilateral Assistance, MAIN DATA'!I:I,'Price List, Weapons &amp; Items'!B536)</f>
        <v>1</v>
      </c>
      <c r="O536" s="910" t="str">
        <f t="shared" si="51"/>
        <v>no price</v>
      </c>
      <c r="P536" s="71">
        <f>IFERROR(IF(SEARCH(B536,_xlfn.ARRAYTOTEXT('Bilateral Assistance, MAIN DATA'!I$1:I$2206))&gt;0,1,""),0)</f>
        <v>0</v>
      </c>
      <c r="Q536" s="71">
        <f>IFERROR(IF(SEARCH(B536,_xlfn.ARRAYTOTEXT('Commercial Assistance'!I$1:I$1400))&gt;0,1,""),0)</f>
        <v>0</v>
      </c>
      <c r="R536" s="905" t="str">
        <f>IF(SUMIFS('Bilateral Assistance, MAIN DATA'!N:N,'Bilateral Assistance, MAIN DATA'!I:I,'Price List, Weapons &amp; Items'!B536)&gt;M536,1,".")</f>
        <v>.</v>
      </c>
    </row>
    <row r="537" spans="1:18" ht="15" customHeight="1">
      <c r="B537" s="901" t="s">
        <v>943</v>
      </c>
      <c r="C537" s="898" t="s">
        <v>360</v>
      </c>
      <c r="D537" s="899" t="s">
        <v>360</v>
      </c>
      <c r="E537" s="900">
        <v>0</v>
      </c>
      <c r="F537" s="900">
        <f t="shared" si="47"/>
        <v>0</v>
      </c>
      <c r="G537" s="892" t="s">
        <v>364</v>
      </c>
      <c r="H537" s="900" t="s">
        <v>364</v>
      </c>
      <c r="I537" s="913" t="s">
        <v>364</v>
      </c>
      <c r="J537" s="913" t="s">
        <v>364</v>
      </c>
      <c r="K537" s="71" t="s">
        <v>364</v>
      </c>
      <c r="L537" s="905">
        <f t="shared" si="50"/>
        <v>0</v>
      </c>
      <c r="M537" s="909">
        <f>SUMIFS('Bilateral Assistance, MAIN DATA'!M:M,'Bilateral Assistance, MAIN DATA'!I:I,'Price List, Weapons &amp; Items'!B537)</f>
        <v>317</v>
      </c>
      <c r="N537" s="71">
        <f>COUNTIFS('Bilateral Assistance, MAIN DATA'!M:M,"undisclosed",'Bilateral Assistance, MAIN DATA'!I:I,'Price List, Weapons &amp; Items'!B537)</f>
        <v>1</v>
      </c>
      <c r="O537" s="910" t="str">
        <f t="shared" si="51"/>
        <v>no price</v>
      </c>
      <c r="P537" s="71">
        <f>IFERROR(IF(SEARCH(B537,_xlfn.ARRAYTOTEXT('Bilateral Assistance, MAIN DATA'!I$1:I$2206))&gt;0,1,""),0)</f>
        <v>0</v>
      </c>
      <c r="Q537" s="71">
        <f>IFERROR(IF(SEARCH(B537,_xlfn.ARRAYTOTEXT('Commercial Assistance'!I$1:I$1400))&gt;0,1,""),0)</f>
        <v>0</v>
      </c>
      <c r="R537" s="905" t="str">
        <f>IF(SUMIFS('Bilateral Assistance, MAIN DATA'!N:N,'Bilateral Assistance, MAIN DATA'!I:I,'Price List, Weapons &amp; Items'!B537)&gt;M537,1,".")</f>
        <v>.</v>
      </c>
    </row>
    <row r="538" spans="1:18" ht="15" customHeight="1">
      <c r="A538" s="71" t="s">
        <v>38</v>
      </c>
      <c r="B538" s="71" t="s">
        <v>640</v>
      </c>
      <c r="C538" s="71" t="s">
        <v>1105</v>
      </c>
      <c r="D538" s="71" t="s">
        <v>1105</v>
      </c>
      <c r="E538" s="900">
        <v>0</v>
      </c>
      <c r="F538" s="900">
        <f t="shared" si="47"/>
        <v>0</v>
      </c>
      <c r="G538" s="902">
        <v>40000</v>
      </c>
      <c r="H538" s="903" t="s">
        <v>456</v>
      </c>
      <c r="I538" s="891" t="s">
        <v>5944</v>
      </c>
      <c r="J538" s="71" t="s">
        <v>5191</v>
      </c>
      <c r="K538" s="71" t="s">
        <v>5945</v>
      </c>
      <c r="L538" s="905">
        <f t="shared" si="50"/>
        <v>1</v>
      </c>
      <c r="M538" s="909">
        <f>SUMIFS('Bilateral Assistance, MAIN DATA'!M:M,'Bilateral Assistance, MAIN DATA'!I:I,'Price List, Weapons &amp; Items'!B538)</f>
        <v>10</v>
      </c>
      <c r="N538" s="71">
        <f>COUNTIFS('Bilateral Assistance, MAIN DATA'!M:M,"undisclosed",'Bilateral Assistance, MAIN DATA'!I:I,'Price List, Weapons &amp; Items'!B538)</f>
        <v>0</v>
      </c>
      <c r="O538" s="910">
        <f t="shared" si="51"/>
        <v>400000</v>
      </c>
      <c r="P538" s="71">
        <f>IFERROR(IF(SEARCH(B538,_xlfn.ARRAYTOTEXT('Bilateral Assistance, MAIN DATA'!I$1:I$2206))&gt;0,1,""),0)</f>
        <v>0</v>
      </c>
      <c r="Q538" s="71">
        <f>IFERROR(IF(SEARCH(B538,_xlfn.ARRAYTOTEXT('Commercial Assistance'!I$1:I$1400))&gt;0,1,""),0)</f>
        <v>0</v>
      </c>
      <c r="R538" s="905" t="str">
        <f>IF(SUMIFS('Bilateral Assistance, MAIN DATA'!N:N,'Bilateral Assistance, MAIN DATA'!I:I,'Price List, Weapons &amp; Items'!B538)&gt;M538,1,".")</f>
        <v>.</v>
      </c>
    </row>
    <row r="539" spans="1:18" ht="15" customHeight="1">
      <c r="A539" s="71" t="s">
        <v>38</v>
      </c>
      <c r="B539" s="71" t="s">
        <v>643</v>
      </c>
      <c r="C539" s="71" t="s">
        <v>1105</v>
      </c>
      <c r="D539" s="71" t="s">
        <v>5298</v>
      </c>
      <c r="E539" s="900">
        <v>0</v>
      </c>
      <c r="F539" s="900">
        <f t="shared" si="47"/>
        <v>0</v>
      </c>
      <c r="G539" s="902" t="s">
        <v>364</v>
      </c>
      <c r="H539" s="903" t="s">
        <v>456</v>
      </c>
      <c r="I539" s="891" t="s">
        <v>5744</v>
      </c>
      <c r="J539" s="71" t="s">
        <v>38</v>
      </c>
      <c r="K539" s="71" t="s">
        <v>5946</v>
      </c>
      <c r="L539" s="905">
        <f t="shared" si="50"/>
        <v>0</v>
      </c>
      <c r="M539" s="909">
        <f>SUMIFS('Bilateral Assistance, MAIN DATA'!M:M,'Bilateral Assistance, MAIN DATA'!I:I,'Price List, Weapons &amp; Items'!B539)</f>
        <v>2</v>
      </c>
      <c r="N539" s="71">
        <f>COUNTIFS('Bilateral Assistance, MAIN DATA'!M:M,"undisclosed",'Bilateral Assistance, MAIN DATA'!I:I,'Price List, Weapons &amp; Items'!B539)</f>
        <v>0</v>
      </c>
      <c r="O539" s="910" t="str">
        <f t="shared" si="51"/>
        <v>no price</v>
      </c>
      <c r="P539" s="71">
        <f>IFERROR(IF(SEARCH(B539,_xlfn.ARRAYTOTEXT('Bilateral Assistance, MAIN DATA'!I$1:I$2206))&gt;0,1,""),0)</f>
        <v>0</v>
      </c>
      <c r="Q539" s="71">
        <f>IFERROR(IF(SEARCH(B539,_xlfn.ARRAYTOTEXT('Commercial Assistance'!I$1:I$1400))&gt;0,1,""),0)</f>
        <v>0</v>
      </c>
      <c r="R539" s="905" t="str">
        <f>IF(SUMIFS('Bilateral Assistance, MAIN DATA'!N:N,'Bilateral Assistance, MAIN DATA'!I:I,'Price List, Weapons &amp; Items'!B539)&gt;M539,1,".")</f>
        <v>.</v>
      </c>
    </row>
    <row r="540" spans="1:18" ht="15" customHeight="1">
      <c r="A540" s="71" t="s">
        <v>38</v>
      </c>
      <c r="B540" s="71" t="s">
        <v>2634</v>
      </c>
      <c r="C540" s="71" t="s">
        <v>5099</v>
      </c>
      <c r="D540" s="71" t="s">
        <v>5198</v>
      </c>
      <c r="E540" s="900">
        <v>1</v>
      </c>
      <c r="F540" s="900">
        <f t="shared" si="47"/>
        <v>0</v>
      </c>
      <c r="G540" s="902">
        <v>207.68</v>
      </c>
      <c r="H540" s="903" t="s">
        <v>456</v>
      </c>
      <c r="I540" s="891" t="s">
        <v>5641</v>
      </c>
      <c r="J540" s="71" t="s">
        <v>5086</v>
      </c>
      <c r="K540" s="71" t="s">
        <v>5642</v>
      </c>
      <c r="L540" s="905">
        <f t="shared" si="50"/>
        <v>2</v>
      </c>
      <c r="M540" s="909">
        <f>SUMIFS('Bilateral Assistance, MAIN DATA'!M:M,'Bilateral Assistance, MAIN DATA'!I:I,'Price List, Weapons &amp; Items'!B540)</f>
        <v>12500</v>
      </c>
      <c r="N540" s="71">
        <f>COUNTIFS('Bilateral Assistance, MAIN DATA'!M:M,"undisclosed",'Bilateral Assistance, MAIN DATA'!I:I,'Price List, Weapons &amp; Items'!B540)</f>
        <v>0</v>
      </c>
      <c r="O540" s="910">
        <f t="shared" si="51"/>
        <v>2596000</v>
      </c>
      <c r="P540" s="71">
        <f>IFERROR(IF(SEARCH(B540,_xlfn.ARRAYTOTEXT('Bilateral Assistance, MAIN DATA'!I$1:I$2206))&gt;0,1,""),0)</f>
        <v>0</v>
      </c>
      <c r="Q540" s="71">
        <f>IFERROR(IF(SEARCH(B540,_xlfn.ARRAYTOTEXT('Commercial Assistance'!I$1:I$1400))&gt;0,1,""),0)</f>
        <v>0</v>
      </c>
      <c r="R540" s="905" t="str">
        <f>IF(SUMIFS('Bilateral Assistance, MAIN DATA'!N:N,'Bilateral Assistance, MAIN DATA'!I:I,'Price List, Weapons &amp; Items'!B540)&gt;M540,1,".")</f>
        <v>.</v>
      </c>
    </row>
    <row r="541" spans="1:18" ht="15" customHeight="1">
      <c r="A541" s="71" t="s">
        <v>38</v>
      </c>
      <c r="B541" s="71" t="s">
        <v>2636</v>
      </c>
      <c r="C541" s="71" t="s">
        <v>5070</v>
      </c>
      <c r="D541" s="71" t="s">
        <v>3126</v>
      </c>
      <c r="E541" s="900">
        <v>0</v>
      </c>
      <c r="F541" s="900">
        <f t="shared" si="47"/>
        <v>0</v>
      </c>
      <c r="G541" s="902">
        <v>875000</v>
      </c>
      <c r="H541" s="903" t="s">
        <v>456</v>
      </c>
      <c r="I541" s="891" t="s">
        <v>5947</v>
      </c>
      <c r="J541" s="71" t="s">
        <v>5075</v>
      </c>
      <c r="K541" s="71" t="s">
        <v>5948</v>
      </c>
      <c r="L541" s="905">
        <f t="shared" si="50"/>
        <v>2</v>
      </c>
      <c r="M541" s="909">
        <f>SUMIFS('Bilateral Assistance, MAIN DATA'!M:M,'Bilateral Assistance, MAIN DATA'!I:I,'Price List, Weapons &amp; Items'!B541)</f>
        <v>6</v>
      </c>
      <c r="N541" s="71">
        <f>COUNTIFS('Bilateral Assistance, MAIN DATA'!M:M,"undisclosed",'Bilateral Assistance, MAIN DATA'!I:I,'Price List, Weapons &amp; Items'!B541)</f>
        <v>0</v>
      </c>
      <c r="O541" s="910">
        <f t="shared" si="51"/>
        <v>5250000</v>
      </c>
      <c r="P541" s="71">
        <f>IFERROR(IF(SEARCH(B541,_xlfn.ARRAYTOTEXT('Bilateral Assistance, MAIN DATA'!I$1:I$2206))&gt;0,1,""),0)</f>
        <v>0</v>
      </c>
      <c r="Q541" s="71">
        <f>IFERROR(IF(SEARCH(B541,_xlfn.ARRAYTOTEXT('Commercial Assistance'!I$1:I$1400))&gt;0,1,""),0)</f>
        <v>0</v>
      </c>
      <c r="R541" s="905" t="str">
        <f>IF(SUMIFS('Bilateral Assistance, MAIN DATA'!N:N,'Bilateral Assistance, MAIN DATA'!I:I,'Price List, Weapons &amp; Items'!B541)&gt;M541,1,".")</f>
        <v>.</v>
      </c>
    </row>
    <row r="542" spans="1:18" ht="15" customHeight="1">
      <c r="A542" s="71" t="s">
        <v>38</v>
      </c>
      <c r="B542" s="71" t="s">
        <v>2638</v>
      </c>
      <c r="C542" s="71" t="s">
        <v>1105</v>
      </c>
      <c r="D542" s="71" t="s">
        <v>1105</v>
      </c>
      <c r="E542" s="900">
        <v>0</v>
      </c>
      <c r="F542" s="900">
        <f t="shared" si="47"/>
        <v>0</v>
      </c>
      <c r="G542" s="902" t="s">
        <v>5949</v>
      </c>
      <c r="H542" s="903" t="s">
        <v>456</v>
      </c>
      <c r="I542" s="71" t="s">
        <v>364</v>
      </c>
      <c r="J542" s="71" t="s">
        <v>364</v>
      </c>
      <c r="K542" s="71" t="s">
        <v>5946</v>
      </c>
      <c r="L542" s="905">
        <f t="shared" si="50"/>
        <v>0</v>
      </c>
      <c r="M542" s="909">
        <f>SUMIFS('Bilateral Assistance, MAIN DATA'!M:M,'Bilateral Assistance, MAIN DATA'!I:I,'Price List, Weapons &amp; Items'!B542)</f>
        <v>30</v>
      </c>
      <c r="N542" s="71">
        <f>COUNTIFS('Bilateral Assistance, MAIN DATA'!M:M,"undisclosed",'Bilateral Assistance, MAIN DATA'!I:I,'Price List, Weapons &amp; Items'!B542)</f>
        <v>0</v>
      </c>
      <c r="O542" s="910" t="str">
        <f t="shared" si="51"/>
        <v>no price</v>
      </c>
      <c r="P542" s="71">
        <f>IFERROR(IF(SEARCH(B542,_xlfn.ARRAYTOTEXT('Bilateral Assistance, MAIN DATA'!I$1:I$2206))&gt;0,1,""),0)</f>
        <v>0</v>
      </c>
      <c r="Q542" s="71">
        <f>IFERROR(IF(SEARCH(B542,_xlfn.ARRAYTOTEXT('Commercial Assistance'!I$1:I$1400))&gt;0,1,""),0)</f>
        <v>0</v>
      </c>
      <c r="R542" s="905" t="str">
        <f>IF(SUMIFS('Bilateral Assistance, MAIN DATA'!N:N,'Bilateral Assistance, MAIN DATA'!I:I,'Price List, Weapons &amp; Items'!B542)&gt;M542,1,".")</f>
        <v>.</v>
      </c>
    </row>
    <row r="543" spans="1:18" ht="15" customHeight="1">
      <c r="A543" s="71" t="s">
        <v>38</v>
      </c>
      <c r="B543" s="71" t="s">
        <v>5950</v>
      </c>
      <c r="C543" s="71" t="s">
        <v>1105</v>
      </c>
      <c r="D543" s="71" t="s">
        <v>1105</v>
      </c>
      <c r="E543" s="900">
        <v>0</v>
      </c>
      <c r="F543" s="900">
        <f t="shared" si="47"/>
        <v>0</v>
      </c>
      <c r="G543" s="902" t="s">
        <v>5949</v>
      </c>
      <c r="H543" s="903" t="s">
        <v>456</v>
      </c>
      <c r="I543" s="71" t="s">
        <v>364</v>
      </c>
      <c r="J543" s="71" t="s">
        <v>364</v>
      </c>
      <c r="K543" s="71" t="s">
        <v>5951</v>
      </c>
      <c r="L543" s="905">
        <f t="shared" si="50"/>
        <v>0</v>
      </c>
      <c r="M543" s="909">
        <f>SUMIFS('Bilateral Assistance, MAIN DATA'!M:M,'Bilateral Assistance, MAIN DATA'!I:I,'Price List, Weapons &amp; Items'!B543)</f>
        <v>10</v>
      </c>
      <c r="N543" s="71">
        <f>COUNTIFS('Bilateral Assistance, MAIN DATA'!M:M,"undisclosed",'Bilateral Assistance, MAIN DATA'!I:I,'Price List, Weapons &amp; Items'!B543)</f>
        <v>0</v>
      </c>
      <c r="O543" s="910" t="str">
        <f t="shared" si="51"/>
        <v>no price</v>
      </c>
      <c r="P543" s="71">
        <f>IFERROR(IF(SEARCH(B543,_xlfn.ARRAYTOTEXT('Bilateral Assistance, MAIN DATA'!I$1:I$2206))&gt;0,1,""),0)</f>
        <v>0</v>
      </c>
      <c r="Q543" s="71">
        <f>IFERROR(IF(SEARCH(B543,_xlfn.ARRAYTOTEXT('Commercial Assistance'!I$1:I$1400))&gt;0,1,""),0)</f>
        <v>0</v>
      </c>
      <c r="R543" s="905" t="str">
        <f>IF(SUMIFS('Bilateral Assistance, MAIN DATA'!N:N,'Bilateral Assistance, MAIN DATA'!I:I,'Price List, Weapons &amp; Items'!B543)&gt;M543,1,".")</f>
        <v>.</v>
      </c>
    </row>
    <row r="544" spans="1:18" ht="15" customHeight="1">
      <c r="A544" s="71" t="s">
        <v>38</v>
      </c>
      <c r="B544" s="71" t="s">
        <v>3894</v>
      </c>
      <c r="C544" s="71" t="s">
        <v>5070</v>
      </c>
      <c r="D544" s="71" t="s">
        <v>5919</v>
      </c>
      <c r="E544" s="900">
        <v>0</v>
      </c>
      <c r="F544" s="900">
        <f t="shared" si="47"/>
        <v>0</v>
      </c>
      <c r="G544" s="902">
        <v>4078192.55</v>
      </c>
      <c r="H544" s="903" t="s">
        <v>456</v>
      </c>
      <c r="I544" s="937" t="s">
        <v>5074</v>
      </c>
      <c r="J544" s="71" t="s">
        <v>5075</v>
      </c>
      <c r="K544" s="938" t="s">
        <v>5076</v>
      </c>
      <c r="L544" s="905">
        <f t="shared" si="50"/>
        <v>2</v>
      </c>
      <c r="M544" s="909">
        <f>SUMIFS('Bilateral Assistance, MAIN DATA'!M:M,'Bilateral Assistance, MAIN DATA'!I:I,'Price List, Weapons &amp; Items'!B544)</f>
        <v>3</v>
      </c>
      <c r="N544" s="71">
        <f>COUNTIFS('Bilateral Assistance, MAIN DATA'!M:M,"undisclosed",'Bilateral Assistance, MAIN DATA'!I:I,'Price List, Weapons &amp; Items'!B544)</f>
        <v>0</v>
      </c>
      <c r="O544" s="910">
        <f t="shared" si="51"/>
        <v>12234577.649999999</v>
      </c>
      <c r="P544" s="71">
        <f>IFERROR(IF(SEARCH(B544,_xlfn.ARRAYTOTEXT('Bilateral Assistance, MAIN DATA'!I$1:I$2206))&gt;0,1,""),0)</f>
        <v>0</v>
      </c>
      <c r="Q544" s="71">
        <f>IFERROR(IF(SEARCH(B544,_xlfn.ARRAYTOTEXT('Commercial Assistance'!I$1:I$1400))&gt;0,1,""),0)</f>
        <v>0</v>
      </c>
      <c r="R544" s="905" t="str">
        <f>IF(SUMIFS('Bilateral Assistance, MAIN DATA'!N:N,'Bilateral Assistance, MAIN DATA'!I:I,'Price List, Weapons &amp; Items'!B544)&gt;M544,1,".")</f>
        <v>.</v>
      </c>
    </row>
    <row r="545" spans="2:18" ht="15" customHeight="1">
      <c r="B545" s="915" t="s">
        <v>1931</v>
      </c>
      <c r="C545" s="898" t="s">
        <v>5062</v>
      </c>
      <c r="D545" s="899" t="s">
        <v>5305</v>
      </c>
      <c r="E545" s="900">
        <v>0</v>
      </c>
      <c r="F545" s="900">
        <f t="shared" si="47"/>
        <v>0</v>
      </c>
      <c r="G545" s="902">
        <v>400000000</v>
      </c>
      <c r="H545" s="903" t="s">
        <v>456</v>
      </c>
      <c r="I545" s="890" t="s">
        <v>5952</v>
      </c>
      <c r="J545" s="71" t="s">
        <v>5082</v>
      </c>
      <c r="K545" s="71" t="s">
        <v>5953</v>
      </c>
      <c r="L545" s="905">
        <f t="shared" si="50"/>
        <v>2</v>
      </c>
      <c r="M545" s="909">
        <f>SUMIFS('Bilateral Assistance, MAIN DATA'!M:M,'Bilateral Assistance, MAIN DATA'!I:I,'Price List, Weapons &amp; Items'!B545)</f>
        <v>4</v>
      </c>
      <c r="N545" s="71">
        <f>COUNTIFS('Bilateral Assistance, MAIN DATA'!M:M,"undisclosed",'Bilateral Assistance, MAIN DATA'!I:I,'Price List, Weapons &amp; Items'!B545)</f>
        <v>0</v>
      </c>
      <c r="O545" s="910">
        <f t="shared" si="51"/>
        <v>1600000000</v>
      </c>
      <c r="P545" s="71">
        <f>IFERROR(IF(SEARCH(B545,_xlfn.ARRAYTOTEXT('Bilateral Assistance, MAIN DATA'!I$1:I$2206))&gt;0,1,""),0)</f>
        <v>0</v>
      </c>
      <c r="Q545" s="71">
        <f>IFERROR(IF(SEARCH(B545,_xlfn.ARRAYTOTEXT('Commercial Assistance'!I$1:I$1400))&gt;0,1,""),0)</f>
        <v>0</v>
      </c>
      <c r="R545" s="905" t="str">
        <f>IF(SUMIFS('Bilateral Assistance, MAIN DATA'!N:N,'Bilateral Assistance, MAIN DATA'!I:I,'Price List, Weapons &amp; Items'!B545)&gt;M545,1,".")</f>
        <v>.</v>
      </c>
    </row>
    <row r="546" spans="2:18" ht="15" customHeight="1">
      <c r="B546" s="915" t="s">
        <v>1932</v>
      </c>
      <c r="C546" s="898" t="s">
        <v>5062</v>
      </c>
      <c r="D546" s="899" t="s">
        <v>5143</v>
      </c>
      <c r="E546" s="900">
        <v>0</v>
      </c>
      <c r="F546" s="900">
        <f t="shared" si="47"/>
        <v>0</v>
      </c>
      <c r="G546" s="902">
        <v>3000000</v>
      </c>
      <c r="H546" s="903" t="s">
        <v>456</v>
      </c>
      <c r="I546" s="890" t="s">
        <v>5954</v>
      </c>
      <c r="J546" s="901" t="s">
        <v>5080</v>
      </c>
      <c r="K546" s="71" t="s">
        <v>5955</v>
      </c>
      <c r="L546" s="905" t="str">
        <f t="shared" si="50"/>
        <v>no price, 0 count</v>
      </c>
      <c r="M546" s="909">
        <f>SUMIFS('Bilateral Assistance, MAIN DATA'!M:M,'Bilateral Assistance, MAIN DATA'!I:I,'Price List, Weapons &amp; Items'!B546)</f>
        <v>0</v>
      </c>
      <c r="N546" s="71">
        <f>COUNTIFS('Bilateral Assistance, MAIN DATA'!M:M,"undisclosed",'Bilateral Assistance, MAIN DATA'!I:I,'Price List, Weapons &amp; Items'!B546)</f>
        <v>5</v>
      </c>
      <c r="O546" s="910">
        <f t="shared" si="51"/>
        <v>0</v>
      </c>
      <c r="P546" s="71">
        <f>IFERROR(IF(SEARCH(B546,_xlfn.ARRAYTOTEXT('Bilateral Assistance, MAIN DATA'!I$1:I$2206))&gt;0,1,""),0)</f>
        <v>0</v>
      </c>
      <c r="Q546" s="71">
        <f>IFERROR(IF(SEARCH(B546,_xlfn.ARRAYTOTEXT('Commercial Assistance'!I$1:I$1400))&gt;0,1,""),0)</f>
        <v>0</v>
      </c>
      <c r="R546" s="905" t="str">
        <f>IF(SUMIFS('Bilateral Assistance, MAIN DATA'!N:N,'Bilateral Assistance, MAIN DATA'!I:I,'Price List, Weapons &amp; Items'!B546)&gt;M546,1,".")</f>
        <v>.</v>
      </c>
    </row>
    <row r="547" spans="2:18" ht="15" customHeight="1">
      <c r="B547" s="901" t="s">
        <v>4309</v>
      </c>
      <c r="C547" s="898" t="s">
        <v>5056</v>
      </c>
      <c r="D547" s="899" t="s">
        <v>5169</v>
      </c>
      <c r="E547" s="900">
        <v>0</v>
      </c>
      <c r="F547" s="900">
        <f t="shared" si="47"/>
        <v>0</v>
      </c>
      <c r="G547" s="892">
        <v>10658</v>
      </c>
      <c r="H547" s="908" t="str">
        <f t="shared" ref="H547" si="52">IF(G547&lt;&gt;".","USD",".")</f>
        <v>USD</v>
      </c>
      <c r="I547" s="885" t="s">
        <v>5170</v>
      </c>
      <c r="J547" s="901" t="s">
        <v>5082</v>
      </c>
      <c r="K547" s="901" t="s">
        <v>5171</v>
      </c>
      <c r="L547" s="905">
        <f t="shared" si="50"/>
        <v>1</v>
      </c>
      <c r="M547" s="909">
        <f>SUMIFS('Bilateral Assistance, MAIN DATA'!M:M,'Bilateral Assistance, MAIN DATA'!I:I,'Price List, Weapons &amp; Items'!B547)</f>
        <v>10</v>
      </c>
      <c r="N547" s="71">
        <f>COUNTIFS('Bilateral Assistance, MAIN DATA'!M:M,"undisclosed",'Bilateral Assistance, MAIN DATA'!I:I,'Price List, Weapons &amp; Items'!B547)</f>
        <v>1</v>
      </c>
      <c r="O547" s="910">
        <f t="shared" si="51"/>
        <v>106580</v>
      </c>
      <c r="P547" s="71">
        <f>IFERROR(IF(SEARCH(B547,_xlfn.ARRAYTOTEXT('Bilateral Assistance, MAIN DATA'!I$1:I$2206))&gt;0,1,""),0)</f>
        <v>0</v>
      </c>
      <c r="Q547" s="71">
        <f>IFERROR(IF(SEARCH(B547,_xlfn.ARRAYTOTEXT('Commercial Assistance'!I$1:I$1400))&gt;0,1,""),0)</f>
        <v>0</v>
      </c>
      <c r="R547" s="905" t="str">
        <f>IF(SUMIFS('Bilateral Assistance, MAIN DATA'!N:N,'Bilateral Assistance, MAIN DATA'!I:I,'Price List, Weapons &amp; Items'!B547)&gt;M547,1,".")</f>
        <v>.</v>
      </c>
    </row>
    <row r="548" spans="2:18" ht="15" customHeight="1">
      <c r="B548" s="901" t="s">
        <v>4308</v>
      </c>
      <c r="C548" s="898" t="s">
        <v>5056</v>
      </c>
      <c r="D548" s="899" t="s">
        <v>5169</v>
      </c>
      <c r="E548" s="900">
        <v>0</v>
      </c>
      <c r="F548" s="900">
        <f t="shared" si="47"/>
        <v>0</v>
      </c>
      <c r="G548" s="902">
        <v>24717</v>
      </c>
      <c r="H548" s="903" t="s">
        <v>456</v>
      </c>
      <c r="I548" s="890" t="s">
        <v>5956</v>
      </c>
      <c r="J548" s="901" t="s">
        <v>5082</v>
      </c>
      <c r="K548" s="71" t="s">
        <v>5957</v>
      </c>
      <c r="L548" s="905">
        <f t="shared" si="50"/>
        <v>1</v>
      </c>
      <c r="M548" s="909">
        <f>SUMIFS('Bilateral Assistance, MAIN DATA'!M:M,'Bilateral Assistance, MAIN DATA'!I:I,'Price List, Weapons &amp; Items'!B548)</f>
        <v>10</v>
      </c>
      <c r="N548" s="71">
        <f>COUNTIFS('Bilateral Assistance, MAIN DATA'!M:M,"undisclosed",'Bilateral Assistance, MAIN DATA'!I:I,'Price List, Weapons &amp; Items'!B548)</f>
        <v>2</v>
      </c>
      <c r="O548" s="910">
        <f t="shared" si="51"/>
        <v>247170</v>
      </c>
      <c r="P548" s="71">
        <f>IFERROR(IF(SEARCH(B548,_xlfn.ARRAYTOTEXT('Bilateral Assistance, MAIN DATA'!I$1:I$2206))&gt;0,1,""),0)</f>
        <v>0</v>
      </c>
      <c r="Q548" s="71">
        <f>IFERROR(IF(SEARCH(B548,_xlfn.ARRAYTOTEXT('Commercial Assistance'!I$1:I$1400))&gt;0,1,""),0)</f>
        <v>0</v>
      </c>
      <c r="R548" s="905" t="str">
        <f>IF(SUMIFS('Bilateral Assistance, MAIN DATA'!N:N,'Bilateral Assistance, MAIN DATA'!I:I,'Price List, Weapons &amp; Items'!B548)&gt;M548,1,".")</f>
        <v>.</v>
      </c>
    </row>
    <row r="549" spans="2:18" ht="15" customHeight="1">
      <c r="B549" s="915" t="s">
        <v>1851</v>
      </c>
      <c r="C549" s="898" t="s">
        <v>5938</v>
      </c>
      <c r="D549" s="71" t="s">
        <v>5198</v>
      </c>
      <c r="E549" s="900">
        <v>0</v>
      </c>
      <c r="F549" s="900">
        <f t="shared" si="47"/>
        <v>0</v>
      </c>
      <c r="G549" s="902" t="s">
        <v>364</v>
      </c>
      <c r="H549" s="903" t="s">
        <v>364</v>
      </c>
      <c r="I549" s="71" t="s">
        <v>364</v>
      </c>
      <c r="J549" s="71" t="s">
        <v>364</v>
      </c>
      <c r="K549" s="71" t="s">
        <v>364</v>
      </c>
      <c r="L549" s="905">
        <f t="shared" si="50"/>
        <v>0</v>
      </c>
      <c r="M549" s="909">
        <f>SUMIFS('Bilateral Assistance, MAIN DATA'!M:M,'Bilateral Assistance, MAIN DATA'!I:I,'Price List, Weapons &amp; Items'!B549)</f>
        <v>14</v>
      </c>
      <c r="N549" s="71">
        <f>COUNTIFS('Bilateral Assistance, MAIN DATA'!M:M,"undisclosed",'Bilateral Assistance, MAIN DATA'!I:I,'Price List, Weapons &amp; Items'!B549)</f>
        <v>0</v>
      </c>
      <c r="O549" s="910" t="str">
        <f t="shared" ref="O549:O573" si="53">IFERROR(M549*G549,"no price")</f>
        <v>no price</v>
      </c>
      <c r="P549" s="71">
        <f>IFERROR(IF(SEARCH(B549,_xlfn.ARRAYTOTEXT('Bilateral Assistance, MAIN DATA'!I$1:I$2206))&gt;0,1,""),0)</f>
        <v>0</v>
      </c>
      <c r="Q549" s="71">
        <f>IFERROR(IF(SEARCH(B549,_xlfn.ARRAYTOTEXT('Commercial Assistance'!I$1:I$1400))&gt;0,1,""),0)</f>
        <v>0</v>
      </c>
      <c r="R549" s="905" t="str">
        <f>IF(SUMIFS('Bilateral Assistance, MAIN DATA'!N:N,'Bilateral Assistance, MAIN DATA'!I:I,'Price List, Weapons &amp; Items'!B549)&gt;M549,1,".")</f>
        <v>.</v>
      </c>
    </row>
    <row r="550" spans="2:18" ht="15" customHeight="1">
      <c r="B550" s="915" t="s">
        <v>1852</v>
      </c>
      <c r="C550" s="898" t="s">
        <v>1105</v>
      </c>
      <c r="D550" s="71" t="s">
        <v>1105</v>
      </c>
      <c r="E550" s="900">
        <v>0</v>
      </c>
      <c r="F550" s="900">
        <f t="shared" si="47"/>
        <v>0</v>
      </c>
      <c r="G550" s="902" t="s">
        <v>364</v>
      </c>
      <c r="H550" s="903" t="s">
        <v>364</v>
      </c>
      <c r="I550" s="71" t="s">
        <v>364</v>
      </c>
      <c r="J550" s="71" t="s">
        <v>364</v>
      </c>
      <c r="K550" s="71" t="s">
        <v>364</v>
      </c>
      <c r="L550" s="905">
        <f t="shared" si="50"/>
        <v>0</v>
      </c>
      <c r="M550" s="909">
        <f>SUMIFS('Bilateral Assistance, MAIN DATA'!M:M,'Bilateral Assistance, MAIN DATA'!I:I,'Price List, Weapons &amp; Items'!B550)</f>
        <v>90</v>
      </c>
      <c r="N550" s="71">
        <f>COUNTIFS('Bilateral Assistance, MAIN DATA'!M:M,"undisclosed",'Bilateral Assistance, MAIN DATA'!I:I,'Price List, Weapons &amp; Items'!B550)</f>
        <v>1</v>
      </c>
      <c r="O550" s="910" t="str">
        <f t="shared" si="53"/>
        <v>no price</v>
      </c>
      <c r="P550" s="71">
        <f>IFERROR(IF(SEARCH(B550,_xlfn.ARRAYTOTEXT('Bilateral Assistance, MAIN DATA'!I$1:I$2206))&gt;0,1,""),0)</f>
        <v>0</v>
      </c>
      <c r="Q550" s="71">
        <f>IFERROR(IF(SEARCH(B550,_xlfn.ARRAYTOTEXT('Commercial Assistance'!I$1:I$1400))&gt;0,1,""),0)</f>
        <v>0</v>
      </c>
      <c r="R550" s="905" t="str">
        <f>IF(SUMIFS('Bilateral Assistance, MAIN DATA'!N:N,'Bilateral Assistance, MAIN DATA'!I:I,'Price List, Weapons &amp; Items'!B550)&gt;M550,1,".")</f>
        <v>.</v>
      </c>
    </row>
    <row r="551" spans="2:18" ht="15" customHeight="1">
      <c r="B551" s="915" t="s">
        <v>1853</v>
      </c>
      <c r="C551" s="898" t="s">
        <v>1105</v>
      </c>
      <c r="D551" s="71" t="s">
        <v>2472</v>
      </c>
      <c r="E551" s="900">
        <v>0</v>
      </c>
      <c r="F551" s="900">
        <f t="shared" si="47"/>
        <v>0</v>
      </c>
      <c r="G551" s="902" t="s">
        <v>364</v>
      </c>
      <c r="H551" s="903" t="s">
        <v>364</v>
      </c>
      <c r="I551" s="71" t="s">
        <v>364</v>
      </c>
      <c r="J551" s="71" t="s">
        <v>364</v>
      </c>
      <c r="K551" s="71" t="s">
        <v>364</v>
      </c>
      <c r="L551" s="905" t="str">
        <f t="shared" si="50"/>
        <v>no price, 0 count</v>
      </c>
      <c r="M551" s="909">
        <f>SUMIFS('Bilateral Assistance, MAIN DATA'!M:M,'Bilateral Assistance, MAIN DATA'!I:I,'Price List, Weapons &amp; Items'!B551)</f>
        <v>0</v>
      </c>
      <c r="N551" s="71">
        <f>COUNTIFS('Bilateral Assistance, MAIN DATA'!M:M,"undisclosed",'Bilateral Assistance, MAIN DATA'!I:I,'Price List, Weapons &amp; Items'!B551)</f>
        <v>1</v>
      </c>
      <c r="O551" s="910" t="str">
        <f t="shared" si="53"/>
        <v>no price</v>
      </c>
      <c r="P551" s="71">
        <f>IFERROR(IF(SEARCH(B551,_xlfn.ARRAYTOTEXT('Bilateral Assistance, MAIN DATA'!I$1:I$2206))&gt;0,1,""),0)</f>
        <v>0</v>
      </c>
      <c r="Q551" s="71">
        <f>IFERROR(IF(SEARCH(B551,_xlfn.ARRAYTOTEXT('Commercial Assistance'!I$1:I$1400))&gt;0,1,""),0)</f>
        <v>0</v>
      </c>
      <c r="R551" s="905" t="str">
        <f>IF(SUMIFS('Bilateral Assistance, MAIN DATA'!N:N,'Bilateral Assistance, MAIN DATA'!I:I,'Price List, Weapons &amp; Items'!B551)&gt;M551,1,".")</f>
        <v>.</v>
      </c>
    </row>
    <row r="552" spans="2:18" ht="15" customHeight="1">
      <c r="B552" s="915" t="s">
        <v>1854</v>
      </c>
      <c r="C552" s="898" t="s">
        <v>1105</v>
      </c>
      <c r="D552" s="71" t="s">
        <v>1105</v>
      </c>
      <c r="E552" s="900">
        <v>0</v>
      </c>
      <c r="F552" s="900">
        <f t="shared" si="47"/>
        <v>0</v>
      </c>
      <c r="G552" s="902" t="s">
        <v>364</v>
      </c>
      <c r="H552" s="903" t="s">
        <v>364</v>
      </c>
      <c r="I552" s="71" t="s">
        <v>364</v>
      </c>
      <c r="J552" s="71" t="s">
        <v>364</v>
      </c>
      <c r="K552" s="71" t="s">
        <v>364</v>
      </c>
      <c r="L552" s="905">
        <f t="shared" si="50"/>
        <v>0</v>
      </c>
      <c r="M552" s="909">
        <f>SUMIFS('Bilateral Assistance, MAIN DATA'!M:M,'Bilateral Assistance, MAIN DATA'!I:I,'Price List, Weapons &amp; Items'!B552)</f>
        <v>6000</v>
      </c>
      <c r="N552" s="71">
        <f>COUNTIFS('Bilateral Assistance, MAIN DATA'!M:M,"undisclosed",'Bilateral Assistance, MAIN DATA'!I:I,'Price List, Weapons &amp; Items'!B552)</f>
        <v>0</v>
      </c>
      <c r="O552" s="910" t="str">
        <f t="shared" si="53"/>
        <v>no price</v>
      </c>
      <c r="P552" s="71">
        <f>IFERROR(IF(SEARCH(B552,_xlfn.ARRAYTOTEXT('Bilateral Assistance, MAIN DATA'!I$1:I$2206))&gt;0,1,""),0)</f>
        <v>0</v>
      </c>
      <c r="Q552" s="71">
        <f>IFERROR(IF(SEARCH(B552,_xlfn.ARRAYTOTEXT('Commercial Assistance'!I$1:I$1400))&gt;0,1,""),0)</f>
        <v>0</v>
      </c>
      <c r="R552" s="905" t="str">
        <f>IF(SUMIFS('Bilateral Assistance, MAIN DATA'!N:N,'Bilateral Assistance, MAIN DATA'!I:I,'Price List, Weapons &amp; Items'!B552)&gt;M552,1,".")</f>
        <v>.</v>
      </c>
    </row>
    <row r="553" spans="2:18" ht="15" customHeight="1">
      <c r="B553" s="915" t="s">
        <v>1855</v>
      </c>
      <c r="C553" s="898" t="s">
        <v>5062</v>
      </c>
      <c r="D553" s="899" t="s">
        <v>4288</v>
      </c>
      <c r="E553" s="900">
        <v>0</v>
      </c>
      <c r="F553" s="900">
        <f t="shared" si="47"/>
        <v>1</v>
      </c>
      <c r="G553" s="902">
        <v>12000000</v>
      </c>
      <c r="H553" s="903" t="s">
        <v>456</v>
      </c>
      <c r="I553" s="890" t="s">
        <v>5958</v>
      </c>
      <c r="J553" s="901" t="s">
        <v>5080</v>
      </c>
      <c r="K553" s="71" t="s">
        <v>5959</v>
      </c>
      <c r="L553" s="905">
        <f t="shared" si="50"/>
        <v>2</v>
      </c>
      <c r="M553" s="909">
        <f>SUMIFS('Bilateral Assistance, MAIN DATA'!M:M,'Bilateral Assistance, MAIN DATA'!I:I,'Price List, Weapons &amp; Items'!B553)</f>
        <v>18</v>
      </c>
      <c r="N553" s="71">
        <f>COUNTIFS('Bilateral Assistance, MAIN DATA'!M:M,"undisclosed",'Bilateral Assistance, MAIN DATA'!I:I,'Price List, Weapons &amp; Items'!B553)</f>
        <v>0</v>
      </c>
      <c r="O553" s="910">
        <f t="shared" si="53"/>
        <v>216000000</v>
      </c>
      <c r="P553" s="71">
        <f>IFERROR(IF(SEARCH(B553,_xlfn.ARRAYTOTEXT('Bilateral Assistance, MAIN DATA'!I$1:I$2206))&gt;0,1,""),0)</f>
        <v>0</v>
      </c>
      <c r="Q553" s="71">
        <f>IFERROR(IF(SEARCH(B553,_xlfn.ARRAYTOTEXT('Commercial Assistance'!I$1:I$1400))&gt;0,1,""),0)</f>
        <v>0</v>
      </c>
      <c r="R553" s="905" t="str">
        <f>IF(SUMIFS('Bilateral Assistance, MAIN DATA'!N:N,'Bilateral Assistance, MAIN DATA'!I:I,'Price List, Weapons &amp; Items'!B553)&gt;M553,1,".")</f>
        <v>.</v>
      </c>
    </row>
    <row r="554" spans="2:18" ht="15" customHeight="1">
      <c r="B554" s="371" t="s">
        <v>1856</v>
      </c>
      <c r="C554" s="898" t="s">
        <v>1105</v>
      </c>
      <c r="D554" s="71" t="s">
        <v>1105</v>
      </c>
      <c r="E554" s="900">
        <v>0</v>
      </c>
      <c r="F554" s="900">
        <f t="shared" si="47"/>
        <v>0</v>
      </c>
      <c r="G554" s="902" t="s">
        <v>364</v>
      </c>
      <c r="H554" s="903" t="s">
        <v>364</v>
      </c>
      <c r="I554" s="71" t="s">
        <v>364</v>
      </c>
      <c r="J554" s="71" t="s">
        <v>364</v>
      </c>
      <c r="K554" s="71" t="s">
        <v>364</v>
      </c>
      <c r="L554" s="905">
        <f t="shared" si="50"/>
        <v>0</v>
      </c>
      <c r="M554" s="909">
        <f>SUMIFS('Bilateral Assistance, MAIN DATA'!M:M,'Bilateral Assistance, MAIN DATA'!I:I,'Price List, Weapons &amp; Items'!B554)</f>
        <v>8</v>
      </c>
      <c r="N554" s="71">
        <f>COUNTIFS('Bilateral Assistance, MAIN DATA'!M:M,"undisclosed",'Bilateral Assistance, MAIN DATA'!I:I,'Price List, Weapons &amp; Items'!B554)</f>
        <v>0</v>
      </c>
      <c r="O554" s="910" t="str">
        <f t="shared" si="53"/>
        <v>no price</v>
      </c>
      <c r="P554" s="71">
        <f>IFERROR(IF(SEARCH(B554,_xlfn.ARRAYTOTEXT('Bilateral Assistance, MAIN DATA'!I$1:I$2206))&gt;0,1,""),0)</f>
        <v>0</v>
      </c>
      <c r="Q554" s="71">
        <f>IFERROR(IF(SEARCH(B554,_xlfn.ARRAYTOTEXT('Commercial Assistance'!I$1:I$1400))&gt;0,1,""),0)</f>
        <v>0</v>
      </c>
      <c r="R554" s="905" t="str">
        <f>IF(SUMIFS('Bilateral Assistance, MAIN DATA'!N:N,'Bilateral Assistance, MAIN DATA'!I:I,'Price List, Weapons &amp; Items'!B554)&gt;M554,1,".")</f>
        <v>.</v>
      </c>
    </row>
    <row r="555" spans="2:18" ht="15" customHeight="1">
      <c r="B555" s="371" t="s">
        <v>1857</v>
      </c>
      <c r="C555" s="898" t="s">
        <v>1105</v>
      </c>
      <c r="D555" s="899" t="s">
        <v>5298</v>
      </c>
      <c r="E555" s="900">
        <v>0</v>
      </c>
      <c r="F555" s="900">
        <f t="shared" si="47"/>
        <v>0</v>
      </c>
      <c r="G555" s="892">
        <v>350000</v>
      </c>
      <c r="H555" s="908" t="str">
        <f t="shared" ref="H555" si="54">IF(G555&lt;&gt;".","USD",".")</f>
        <v>USD</v>
      </c>
      <c r="I555" s="886" t="s">
        <v>5392</v>
      </c>
      <c r="J555" s="901" t="s">
        <v>5080</v>
      </c>
      <c r="K555" s="917" t="s">
        <v>5393</v>
      </c>
      <c r="L555" s="905">
        <f t="shared" si="50"/>
        <v>2</v>
      </c>
      <c r="M555" s="909">
        <f>SUMIFS('Bilateral Assistance, MAIN DATA'!M:M,'Bilateral Assistance, MAIN DATA'!I:I,'Price List, Weapons &amp; Items'!B555)</f>
        <v>7</v>
      </c>
      <c r="N555" s="71">
        <f>COUNTIFS('Bilateral Assistance, MAIN DATA'!M:M,"undisclosed",'Bilateral Assistance, MAIN DATA'!I:I,'Price List, Weapons &amp; Items'!B555)</f>
        <v>0</v>
      </c>
      <c r="O555" s="910">
        <f t="shared" si="53"/>
        <v>2450000</v>
      </c>
      <c r="P555" s="71">
        <f>IFERROR(IF(SEARCH(B555,_xlfn.ARRAYTOTEXT('Bilateral Assistance, MAIN DATA'!I$1:I$2206))&gt;0,1,""),0)</f>
        <v>0</v>
      </c>
      <c r="Q555" s="71">
        <f>IFERROR(IF(SEARCH(B555,_xlfn.ARRAYTOTEXT('Commercial Assistance'!I$1:I$1400))&gt;0,1,""),0)</f>
        <v>0</v>
      </c>
      <c r="R555" s="905" t="str">
        <f>IF(SUMIFS('Bilateral Assistance, MAIN DATA'!N:N,'Bilateral Assistance, MAIN DATA'!I:I,'Price List, Weapons &amp; Items'!B555)&gt;M555,1,".")</f>
        <v>.</v>
      </c>
    </row>
    <row r="556" spans="2:18" ht="15" customHeight="1">
      <c r="B556" s="915" t="s">
        <v>1888</v>
      </c>
      <c r="C556" s="898" t="s">
        <v>1105</v>
      </c>
      <c r="D556" s="71" t="s">
        <v>1105</v>
      </c>
      <c r="E556" s="900">
        <v>0</v>
      </c>
      <c r="F556" s="900">
        <f t="shared" ref="F556:F596" si="55">IF(OR(D556="Armored Personnel Carrier (APC)",D556="Armored Recovery Vehicle (ARV)",D556="Armored Utility Vehicle (AUV)",D556="152mm howitzer ammunition",D556="155mm howitzer ammunition",D556="300mm MLRS ammunition",D556="155mm howitzer",D556="227mm MLRS ammunition",D556="Infantry fighting vehicle (IFV)",D556="152mm howitzer",D556="227mm MLRS",D556="Main Battle Tank (MBT)",D556="Protected Patrol Vehicle (PPV)",D556="127mm MLRS",D556="122mm MLRS",D556="122mm MLRS ammunition",D556="122mm MLRS",D556="127mm MLRS",D556="127mm MLRS ammunition")=TRUE,1,0)</f>
        <v>0</v>
      </c>
      <c r="G556" s="902">
        <v>85</v>
      </c>
      <c r="H556" s="903" t="s">
        <v>456</v>
      </c>
      <c r="I556" s="890" t="s">
        <v>5960</v>
      </c>
      <c r="J556" s="71" t="s">
        <v>5086</v>
      </c>
      <c r="K556" s="71" t="s">
        <v>5961</v>
      </c>
      <c r="L556" s="905">
        <f t="shared" si="50"/>
        <v>2</v>
      </c>
      <c r="M556" s="909">
        <f>SUMIFS('Bilateral Assistance, MAIN DATA'!M:M,'Bilateral Assistance, MAIN DATA'!I:I,'Price List, Weapons &amp; Items'!B556)</f>
        <v>36400</v>
      </c>
      <c r="N556" s="71">
        <f>COUNTIFS('Bilateral Assistance, MAIN DATA'!M:M,"undisclosed",'Bilateral Assistance, MAIN DATA'!I:I,'Price List, Weapons &amp; Items'!B556)</f>
        <v>0</v>
      </c>
      <c r="O556" s="910">
        <f t="shared" si="53"/>
        <v>3094000</v>
      </c>
      <c r="P556" s="71">
        <f>IFERROR(IF(SEARCH(B556,_xlfn.ARRAYTOTEXT('Bilateral Assistance, MAIN DATA'!I$1:I$2206))&gt;0,1,""),0)</f>
        <v>0</v>
      </c>
      <c r="Q556" s="71">
        <f>IFERROR(IF(SEARCH(B556,_xlfn.ARRAYTOTEXT('Commercial Assistance'!I$1:I$1400))&gt;0,1,""),0)</f>
        <v>0</v>
      </c>
      <c r="R556" s="905" t="str">
        <f>IF(SUMIFS('Bilateral Assistance, MAIN DATA'!N:N,'Bilateral Assistance, MAIN DATA'!I:I,'Price List, Weapons &amp; Items'!B556)&gt;M556,1,".")</f>
        <v>.</v>
      </c>
    </row>
    <row r="557" spans="2:18" ht="15" customHeight="1">
      <c r="B557" s="916" t="s">
        <v>1903</v>
      </c>
      <c r="C557" s="898" t="s">
        <v>1105</v>
      </c>
      <c r="D557" s="71" t="s">
        <v>1105</v>
      </c>
      <c r="E557" s="900">
        <v>0</v>
      </c>
      <c r="F557" s="900">
        <f t="shared" si="55"/>
        <v>0</v>
      </c>
      <c r="G557" s="902" t="s">
        <v>364</v>
      </c>
      <c r="H557" s="903" t="s">
        <v>364</v>
      </c>
      <c r="I557" s="71" t="s">
        <v>364</v>
      </c>
      <c r="J557" s="71" t="s">
        <v>364</v>
      </c>
      <c r="K557" s="71" t="s">
        <v>364</v>
      </c>
      <c r="L557" s="905">
        <f t="shared" si="50"/>
        <v>0</v>
      </c>
      <c r="M557" s="909">
        <f>SUMIFS('Bilateral Assistance, MAIN DATA'!M:M,'Bilateral Assistance, MAIN DATA'!I:I,'Price List, Weapons &amp; Items'!B557)</f>
        <v>900</v>
      </c>
      <c r="N557" s="71">
        <f>COUNTIFS('Bilateral Assistance, MAIN DATA'!M:M,"undisclosed",'Bilateral Assistance, MAIN DATA'!I:I,'Price List, Weapons &amp; Items'!B557)</f>
        <v>0</v>
      </c>
      <c r="O557" s="910" t="str">
        <f t="shared" si="53"/>
        <v>no price</v>
      </c>
      <c r="P557" s="71">
        <f>IFERROR(IF(SEARCH(B557,_xlfn.ARRAYTOTEXT('Bilateral Assistance, MAIN DATA'!I$1:I$2206))&gt;0,1,""),0)</f>
        <v>0</v>
      </c>
      <c r="Q557" s="71">
        <f>IFERROR(IF(SEARCH(B557,_xlfn.ARRAYTOTEXT('Commercial Assistance'!I$1:I$1400))&gt;0,1,""),0)</f>
        <v>0</v>
      </c>
      <c r="R557" s="905" t="str">
        <f>IF(SUMIFS('Bilateral Assistance, MAIN DATA'!N:N,'Bilateral Assistance, MAIN DATA'!I:I,'Price List, Weapons &amp; Items'!B557)&gt;M557,1,".")</f>
        <v>.</v>
      </c>
    </row>
    <row r="558" spans="2:18" ht="15" customHeight="1">
      <c r="B558" s="916" t="s">
        <v>1925</v>
      </c>
      <c r="C558" s="898" t="s">
        <v>1105</v>
      </c>
      <c r="D558" s="899" t="s">
        <v>5298</v>
      </c>
      <c r="E558" s="900">
        <v>0</v>
      </c>
      <c r="F558" s="900">
        <f t="shared" si="55"/>
        <v>0</v>
      </c>
      <c r="G558" s="892">
        <v>350000</v>
      </c>
      <c r="H558" s="908" t="str">
        <f t="shared" ref="H558" si="56">IF(G558&lt;&gt;".","USD",".")</f>
        <v>USD</v>
      </c>
      <c r="I558" s="886" t="s">
        <v>5392</v>
      </c>
      <c r="J558" s="901" t="s">
        <v>5080</v>
      </c>
      <c r="K558" s="917" t="s">
        <v>5393</v>
      </c>
      <c r="L558" s="905">
        <f t="shared" si="50"/>
        <v>2</v>
      </c>
      <c r="M558" s="909">
        <f>SUMIFS('Bilateral Assistance, MAIN DATA'!M:M,'Bilateral Assistance, MAIN DATA'!I:I,'Price List, Weapons &amp; Items'!B558)</f>
        <v>26</v>
      </c>
      <c r="N558" s="71">
        <f>COUNTIFS('Bilateral Assistance, MAIN DATA'!M:M,"undisclosed",'Bilateral Assistance, MAIN DATA'!I:I,'Price List, Weapons &amp; Items'!B558)</f>
        <v>0</v>
      </c>
      <c r="O558" s="910">
        <f t="shared" si="53"/>
        <v>9100000</v>
      </c>
      <c r="P558" s="71">
        <f>IFERROR(IF(SEARCH(B558,_xlfn.ARRAYTOTEXT('Bilateral Assistance, MAIN DATA'!I$1:I$2206))&gt;0,1,""),0)</f>
        <v>0</v>
      </c>
      <c r="Q558" s="71">
        <f>IFERROR(IF(SEARCH(B558,_xlfn.ARRAYTOTEXT('Commercial Assistance'!I$1:I$1400))&gt;0,1,""),0)</f>
        <v>0</v>
      </c>
      <c r="R558" s="905" t="str">
        <f>IF(SUMIFS('Bilateral Assistance, MAIN DATA'!N:N,'Bilateral Assistance, MAIN DATA'!I:I,'Price List, Weapons &amp; Items'!B558)&gt;M558,1,".")</f>
        <v>.</v>
      </c>
    </row>
    <row r="559" spans="2:18" ht="15" customHeight="1">
      <c r="B559" s="916" t="s">
        <v>5962</v>
      </c>
      <c r="C559" s="898" t="s">
        <v>1105</v>
      </c>
      <c r="D559" s="899" t="s">
        <v>5152</v>
      </c>
      <c r="E559" s="900">
        <v>0</v>
      </c>
      <c r="F559" s="900">
        <f t="shared" si="55"/>
        <v>1</v>
      </c>
      <c r="G559" s="902" t="s">
        <v>364</v>
      </c>
      <c r="H559" s="903" t="s">
        <v>364</v>
      </c>
      <c r="I559" s="71" t="s">
        <v>364</v>
      </c>
      <c r="J559" s="71" t="s">
        <v>364</v>
      </c>
      <c r="K559" s="71" t="s">
        <v>364</v>
      </c>
      <c r="L559" s="905" t="str">
        <f t="shared" si="50"/>
        <v>no price, 0 count</v>
      </c>
      <c r="M559" s="909">
        <f>SUMIFS('Bilateral Assistance, MAIN DATA'!M:M,'Bilateral Assistance, MAIN DATA'!I:I,'Price List, Weapons &amp; Items'!B559)</f>
        <v>0</v>
      </c>
      <c r="N559" s="71">
        <f>COUNTIFS('Bilateral Assistance, MAIN DATA'!M:M,"undisclosed",'Bilateral Assistance, MAIN DATA'!I:I,'Price List, Weapons &amp; Items'!B559)</f>
        <v>0</v>
      </c>
      <c r="O559" s="910" t="str">
        <f t="shared" si="53"/>
        <v>no price</v>
      </c>
      <c r="P559" s="71">
        <f>IFERROR(IF(SEARCH(B559,_xlfn.ARRAYTOTEXT('Bilateral Assistance, MAIN DATA'!I$1:I$2206))&gt;0,1,""),0)</f>
        <v>0</v>
      </c>
      <c r="Q559" s="71">
        <f>IFERROR(IF(SEARCH(B559,_xlfn.ARRAYTOTEXT('Commercial Assistance'!I$1:I$1400))&gt;0,1,""),0)</f>
        <v>0</v>
      </c>
      <c r="R559" s="905" t="str">
        <f>IF(SUMIFS('Bilateral Assistance, MAIN DATA'!N:N,'Bilateral Assistance, MAIN DATA'!I:I,'Price List, Weapons &amp; Items'!B559)&gt;M559,1,".")</f>
        <v>.</v>
      </c>
    </row>
    <row r="560" spans="2:18" ht="15" customHeight="1">
      <c r="B560" s="916" t="s">
        <v>1858</v>
      </c>
      <c r="C560" s="898" t="s">
        <v>1105</v>
      </c>
      <c r="D560" s="898" t="s">
        <v>4850</v>
      </c>
      <c r="E560" s="900">
        <v>0</v>
      </c>
      <c r="F560" s="900">
        <f t="shared" si="55"/>
        <v>1</v>
      </c>
      <c r="G560" s="902">
        <v>1530000</v>
      </c>
      <c r="H560" s="903" t="s">
        <v>456</v>
      </c>
      <c r="I560" s="890" t="s">
        <v>5963</v>
      </c>
      <c r="J560" s="901" t="s">
        <v>5080</v>
      </c>
      <c r="K560" s="71" t="s">
        <v>5964</v>
      </c>
      <c r="L560" s="905">
        <f t="shared" si="50"/>
        <v>2</v>
      </c>
      <c r="M560" s="909">
        <f>SUMIFS('Bilateral Assistance, MAIN DATA'!M:M,'Bilateral Assistance, MAIN DATA'!I:I,'Price List, Weapons &amp; Items'!B560)</f>
        <v>60</v>
      </c>
      <c r="N560" s="71">
        <f>COUNTIFS('Bilateral Assistance, MAIN DATA'!M:M,"undisclosed",'Bilateral Assistance, MAIN DATA'!I:I,'Price List, Weapons &amp; Items'!B560)</f>
        <v>0</v>
      </c>
      <c r="O560" s="910">
        <f t="shared" si="53"/>
        <v>91800000</v>
      </c>
      <c r="P560" s="71">
        <f>IFERROR(IF(SEARCH(B560,_xlfn.ARRAYTOTEXT('Bilateral Assistance, MAIN DATA'!I$1:I$2206))&gt;0,1,""),0)</f>
        <v>0</v>
      </c>
      <c r="Q560" s="71">
        <f>IFERROR(IF(SEARCH(B560,_xlfn.ARRAYTOTEXT('Commercial Assistance'!I$1:I$1400))&gt;0,1,""),0)</f>
        <v>0</v>
      </c>
      <c r="R560" s="905" t="str">
        <f>IF(SUMIFS('Bilateral Assistance, MAIN DATA'!N:N,'Bilateral Assistance, MAIN DATA'!I:I,'Price List, Weapons &amp; Items'!B560)&gt;M560,1,".")</f>
        <v>.</v>
      </c>
    </row>
    <row r="561" spans="2:18" ht="15" customHeight="1">
      <c r="B561" s="916" t="s">
        <v>1859</v>
      </c>
      <c r="C561" s="898" t="s">
        <v>1105</v>
      </c>
      <c r="D561" s="71" t="s">
        <v>1105</v>
      </c>
      <c r="E561" s="900">
        <v>0</v>
      </c>
      <c r="F561" s="900">
        <f t="shared" si="55"/>
        <v>0</v>
      </c>
      <c r="G561" s="902" t="s">
        <v>364</v>
      </c>
      <c r="H561" s="903" t="s">
        <v>364</v>
      </c>
      <c r="I561" s="71" t="s">
        <v>364</v>
      </c>
      <c r="J561" s="71" t="s">
        <v>364</v>
      </c>
      <c r="K561" s="71" t="s">
        <v>364</v>
      </c>
      <c r="L561" s="905" t="str">
        <f t="shared" si="50"/>
        <v>no price, 0 count</v>
      </c>
      <c r="M561" s="909">
        <f>SUMIFS('Bilateral Assistance, MAIN DATA'!M:M,'Bilateral Assistance, MAIN DATA'!I:I,'Price List, Weapons &amp; Items'!B561)</f>
        <v>0</v>
      </c>
      <c r="N561" s="71">
        <f>COUNTIFS('Bilateral Assistance, MAIN DATA'!M:M,"undisclosed",'Bilateral Assistance, MAIN DATA'!I:I,'Price List, Weapons &amp; Items'!B561)</f>
        <v>1</v>
      </c>
      <c r="O561" s="910" t="str">
        <f t="shared" si="53"/>
        <v>no price</v>
      </c>
      <c r="P561" s="71">
        <f>IFERROR(IF(SEARCH(B561,_xlfn.ARRAYTOTEXT('Bilateral Assistance, MAIN DATA'!I$1:I$2206))&gt;0,1,""),0)</f>
        <v>0</v>
      </c>
      <c r="Q561" s="71">
        <f>IFERROR(IF(SEARCH(B561,_xlfn.ARRAYTOTEXT('Commercial Assistance'!I$1:I$1400))&gt;0,1,""),0)</f>
        <v>0</v>
      </c>
      <c r="R561" s="905" t="str">
        <f>IF(SUMIFS('Bilateral Assistance, MAIN DATA'!N:N,'Bilateral Assistance, MAIN DATA'!I:I,'Price List, Weapons &amp; Items'!B561)&gt;M561,1,".")</f>
        <v>.</v>
      </c>
    </row>
    <row r="562" spans="2:18" ht="15" customHeight="1">
      <c r="B562" s="939" t="s">
        <v>3901</v>
      </c>
      <c r="C562" s="898" t="s">
        <v>5062</v>
      </c>
      <c r="D562" s="899" t="s">
        <v>5078</v>
      </c>
      <c r="E562" s="900">
        <v>0</v>
      </c>
      <c r="F562" s="900">
        <f t="shared" si="55"/>
        <v>1</v>
      </c>
      <c r="G562" s="892">
        <v>13644373.365967626</v>
      </c>
      <c r="H562" s="900" t="s">
        <v>456</v>
      </c>
      <c r="I562" s="887" t="s">
        <v>5074</v>
      </c>
      <c r="J562" s="901" t="s">
        <v>5075</v>
      </c>
      <c r="K562" s="1356" t="s">
        <v>5076</v>
      </c>
      <c r="L562" s="905">
        <f t="shared" si="50"/>
        <v>2</v>
      </c>
      <c r="M562" s="909">
        <f>SUMIFS('Bilateral Assistance, MAIN DATA'!M:M,'Bilateral Assistance, MAIN DATA'!I:I,'Price List, Weapons &amp; Items'!B562)</f>
        <v>14</v>
      </c>
      <c r="N562" s="71">
        <f>COUNTIFS('Bilateral Assistance, MAIN DATA'!M:M,"undisclosed",'Bilateral Assistance, MAIN DATA'!I:I,'Price List, Weapons &amp; Items'!B562)</f>
        <v>0</v>
      </c>
      <c r="O562" s="910">
        <f t="shared" si="53"/>
        <v>191021227.12354675</v>
      </c>
      <c r="P562" s="71">
        <f>IFERROR(IF(SEARCH(B562,_xlfn.ARRAYTOTEXT('Bilateral Assistance, MAIN DATA'!I$1:I$2206))&gt;0,1,""),0)</f>
        <v>0</v>
      </c>
      <c r="Q562" s="71">
        <f>IFERROR(IF(SEARCH(B562,_xlfn.ARRAYTOTEXT('Commercial Assistance'!I$1:I$1400))&gt;0,1,""),0)</f>
        <v>0</v>
      </c>
      <c r="R562" s="905" t="str">
        <f>IF(SUMIFS('Bilateral Assistance, MAIN DATA'!N:N,'Bilateral Assistance, MAIN DATA'!I:I,'Price List, Weapons &amp; Items'!B562)&gt;M562,1,".")</f>
        <v>.</v>
      </c>
    </row>
    <row r="563" spans="2:18" ht="15" customHeight="1">
      <c r="B563" s="939" t="s">
        <v>3905</v>
      </c>
      <c r="C563" s="898" t="s">
        <v>5062</v>
      </c>
      <c r="D563" s="899" t="s">
        <v>4288</v>
      </c>
      <c r="E563" s="900">
        <v>0</v>
      </c>
      <c r="F563" s="900">
        <f t="shared" si="55"/>
        <v>1</v>
      </c>
      <c r="G563" s="892">
        <v>13280047.844250571</v>
      </c>
      <c r="H563" s="900" t="s">
        <v>456</v>
      </c>
      <c r="I563" s="913" t="s">
        <v>364</v>
      </c>
      <c r="J563" s="913" t="s">
        <v>5075</v>
      </c>
      <c r="K563" s="901" t="s">
        <v>5965</v>
      </c>
      <c r="L563" s="905">
        <f t="shared" si="50"/>
        <v>2</v>
      </c>
      <c r="M563" s="909">
        <f>SUMIFS('Bilateral Assistance, MAIN DATA'!M:M,'Bilateral Assistance, MAIN DATA'!I:I,'Price List, Weapons &amp; Items'!B563)</f>
        <v>30</v>
      </c>
      <c r="N563" s="71">
        <f>COUNTIFS('Bilateral Assistance, MAIN DATA'!M:M,"undisclosed",'Bilateral Assistance, MAIN DATA'!I:I,'Price List, Weapons &amp; Items'!B563)</f>
        <v>0</v>
      </c>
      <c r="O563" s="910">
        <f t="shared" si="53"/>
        <v>398401435.32751715</v>
      </c>
      <c r="P563" s="71">
        <f>IFERROR(IF(SEARCH(B563,_xlfn.ARRAYTOTEXT('Bilateral Assistance, MAIN DATA'!I$1:I$2206))&gt;0,1,""),0)</f>
        <v>0</v>
      </c>
      <c r="Q563" s="71">
        <f>IFERROR(IF(SEARCH(B563,_xlfn.ARRAYTOTEXT('Commercial Assistance'!I$1:I$1400))&gt;0,1,""),0)</f>
        <v>0</v>
      </c>
      <c r="R563" s="905" t="str">
        <f>IF(SUMIFS('Bilateral Assistance, MAIN DATA'!N:N,'Bilateral Assistance, MAIN DATA'!I:I,'Price List, Weapons &amp; Items'!B563)&gt;M563,1,".")</f>
        <v>.</v>
      </c>
    </row>
    <row r="564" spans="2:18" ht="15" customHeight="1">
      <c r="B564" s="939" t="s">
        <v>3907</v>
      </c>
      <c r="C564" s="898" t="s">
        <v>5062</v>
      </c>
      <c r="D564" s="899" t="s">
        <v>5966</v>
      </c>
      <c r="E564" s="900">
        <v>0</v>
      </c>
      <c r="F564" s="900">
        <f t="shared" si="55"/>
        <v>0</v>
      </c>
      <c r="G564" s="892" t="s">
        <v>364</v>
      </c>
      <c r="H564" s="900" t="s">
        <v>456</v>
      </c>
      <c r="I564" s="913" t="s">
        <v>364</v>
      </c>
      <c r="J564" s="913" t="s">
        <v>364</v>
      </c>
      <c r="K564" s="901" t="s">
        <v>5951</v>
      </c>
      <c r="L564" s="905">
        <f t="shared" si="50"/>
        <v>0</v>
      </c>
      <c r="M564" s="909">
        <f>SUMIFS('Bilateral Assistance, MAIN DATA'!M:M,'Bilateral Assistance, MAIN DATA'!I:I,'Price List, Weapons &amp; Items'!B564)</f>
        <v>200</v>
      </c>
      <c r="N564" s="71">
        <f>COUNTIFS('Bilateral Assistance, MAIN DATA'!M:M,"undisclosed",'Bilateral Assistance, MAIN DATA'!I:I,'Price List, Weapons &amp; Items'!B564)</f>
        <v>0</v>
      </c>
      <c r="O564" s="910" t="str">
        <f t="shared" si="53"/>
        <v>no price</v>
      </c>
      <c r="P564" s="71">
        <f>IFERROR(IF(SEARCH(B564,_xlfn.ARRAYTOTEXT('Bilateral Assistance, MAIN DATA'!I$1:I$2206))&gt;0,1,""),0)</f>
        <v>0</v>
      </c>
      <c r="Q564" s="71">
        <f>IFERROR(IF(SEARCH(B564,_xlfn.ARRAYTOTEXT('Commercial Assistance'!I$1:I$1400))&gt;0,1,""),0)</f>
        <v>0</v>
      </c>
      <c r="R564" s="905" t="str">
        <f>IF(SUMIFS('Bilateral Assistance, MAIN DATA'!N:N,'Bilateral Assistance, MAIN DATA'!I:I,'Price List, Weapons &amp; Items'!B564)&gt;M564,1,".")</f>
        <v>.</v>
      </c>
    </row>
    <row r="565" spans="2:18" ht="15" customHeight="1">
      <c r="B565" s="939" t="s">
        <v>3908</v>
      </c>
      <c r="C565" s="898" t="s">
        <v>1105</v>
      </c>
      <c r="D565" s="898" t="s">
        <v>1105</v>
      </c>
      <c r="E565" s="900">
        <v>0</v>
      </c>
      <c r="F565" s="900">
        <f t="shared" si="55"/>
        <v>0</v>
      </c>
      <c r="G565" s="892">
        <f>28000000*1.2362</f>
        <v>34613600</v>
      </c>
      <c r="H565" s="900" t="s">
        <v>456</v>
      </c>
      <c r="I565" s="885" t="s">
        <v>3903</v>
      </c>
      <c r="J565" s="913" t="s">
        <v>5119</v>
      </c>
      <c r="K565" s="901" t="s">
        <v>5967</v>
      </c>
      <c r="L565" s="905" t="str">
        <f t="shared" si="50"/>
        <v>no price, 0 count</v>
      </c>
      <c r="M565" s="909">
        <f>SUMIFS('Bilateral Assistance, MAIN DATA'!M:M,'Bilateral Assistance, MAIN DATA'!I:I,'Price List, Weapons &amp; Items'!B565)</f>
        <v>0</v>
      </c>
      <c r="N565" s="71">
        <f>COUNTIFS('Bilateral Assistance, MAIN DATA'!M:M,"undisclosed",'Bilateral Assistance, MAIN DATA'!I:I,'Price List, Weapons &amp; Items'!B565)</f>
        <v>1</v>
      </c>
      <c r="O565" s="910">
        <f t="shared" si="53"/>
        <v>0</v>
      </c>
      <c r="P565" s="71">
        <f>IFERROR(IF(SEARCH(B565,_xlfn.ARRAYTOTEXT('Bilateral Assistance, MAIN DATA'!I$1:I$2206))&gt;0,1,""),0)</f>
        <v>0</v>
      </c>
      <c r="Q565" s="71">
        <f>IFERROR(IF(SEARCH(B565,_xlfn.ARRAYTOTEXT('Commercial Assistance'!I$1:I$1400))&gt;0,1,""),0)</f>
        <v>0</v>
      </c>
      <c r="R565" s="905" t="str">
        <f>IF(SUMIFS('Bilateral Assistance, MAIN DATA'!N:N,'Bilateral Assistance, MAIN DATA'!I:I,'Price List, Weapons &amp; Items'!B565)&gt;M565,1,".")</f>
        <v>.</v>
      </c>
    </row>
    <row r="566" spans="2:18" ht="15" customHeight="1">
      <c r="B566" s="939" t="s">
        <v>3909</v>
      </c>
      <c r="C566" s="898" t="s">
        <v>1105</v>
      </c>
      <c r="D566" s="898" t="s">
        <v>1105</v>
      </c>
      <c r="E566" s="900">
        <v>0</v>
      </c>
      <c r="F566" s="900">
        <f t="shared" si="55"/>
        <v>0</v>
      </c>
      <c r="G566" s="892">
        <f>20000000*1.2362</f>
        <v>24724000</v>
      </c>
      <c r="H566" s="900" t="s">
        <v>456</v>
      </c>
      <c r="I566" s="885" t="s">
        <v>3903</v>
      </c>
      <c r="J566" s="913" t="s">
        <v>5119</v>
      </c>
      <c r="K566" s="901" t="s">
        <v>5967</v>
      </c>
      <c r="L566" s="905" t="str">
        <f t="shared" si="50"/>
        <v>no price, 0 count</v>
      </c>
      <c r="M566" s="909">
        <f>SUMIFS('Bilateral Assistance, MAIN DATA'!M:M,'Bilateral Assistance, MAIN DATA'!I:I,'Price List, Weapons &amp; Items'!B566)</f>
        <v>0</v>
      </c>
      <c r="N566" s="71">
        <f>COUNTIFS('Bilateral Assistance, MAIN DATA'!M:M,"undisclosed",'Bilateral Assistance, MAIN DATA'!I:I,'Price List, Weapons &amp; Items'!B566)</f>
        <v>1</v>
      </c>
      <c r="O566" s="910">
        <f t="shared" si="53"/>
        <v>0</v>
      </c>
      <c r="P566" s="71">
        <f>IFERROR(IF(SEARCH(B566,_xlfn.ARRAYTOTEXT('Bilateral Assistance, MAIN DATA'!I$1:I$2206))&gt;0,1,""),0)</f>
        <v>0</v>
      </c>
      <c r="Q566" s="71">
        <f>IFERROR(IF(SEARCH(B566,_xlfn.ARRAYTOTEXT('Commercial Assistance'!I$1:I$1400))&gt;0,1,""),0)</f>
        <v>0</v>
      </c>
      <c r="R566" s="905" t="str">
        <f>IF(SUMIFS('Bilateral Assistance, MAIN DATA'!N:N,'Bilateral Assistance, MAIN DATA'!I:I,'Price List, Weapons &amp; Items'!B566)&gt;M566,1,".")</f>
        <v>.</v>
      </c>
    </row>
    <row r="567" spans="2:18" ht="15" customHeight="1">
      <c r="B567" s="939" t="s">
        <v>3910</v>
      </c>
      <c r="C567" s="898" t="s">
        <v>1105</v>
      </c>
      <c r="D567" s="898" t="s">
        <v>1105</v>
      </c>
      <c r="E567" s="900">
        <v>0</v>
      </c>
      <c r="F567" s="900">
        <f t="shared" si="55"/>
        <v>0</v>
      </c>
      <c r="G567" s="892" t="s">
        <v>364</v>
      </c>
      <c r="H567" s="900" t="s">
        <v>456</v>
      </c>
      <c r="I567" s="913" t="s">
        <v>364</v>
      </c>
      <c r="J567" s="913" t="s">
        <v>364</v>
      </c>
      <c r="K567" s="901" t="s">
        <v>5946</v>
      </c>
      <c r="L567" s="905">
        <f t="shared" si="50"/>
        <v>0</v>
      </c>
      <c r="M567" s="909">
        <f>SUMIFS('Bilateral Assistance, MAIN DATA'!M:M,'Bilateral Assistance, MAIN DATA'!I:I,'Price List, Weapons &amp; Items'!B567)</f>
        <v>100</v>
      </c>
      <c r="N567" s="71">
        <f>COUNTIFS('Bilateral Assistance, MAIN DATA'!M:M,"undisclosed",'Bilateral Assistance, MAIN DATA'!I:I,'Price List, Weapons &amp; Items'!B567)</f>
        <v>0</v>
      </c>
      <c r="O567" s="910" t="str">
        <f t="shared" si="53"/>
        <v>no price</v>
      </c>
      <c r="P567" s="71">
        <f>IFERROR(IF(SEARCH(B567,_xlfn.ARRAYTOTEXT('Bilateral Assistance, MAIN DATA'!I$1:I$2206))&gt;0,1,""),0)</f>
        <v>0</v>
      </c>
      <c r="Q567" s="71">
        <f>IFERROR(IF(SEARCH(B567,_xlfn.ARRAYTOTEXT('Commercial Assistance'!I$1:I$1400))&gt;0,1,""),0)</f>
        <v>0</v>
      </c>
      <c r="R567" s="905" t="str">
        <f>IF(SUMIFS('Bilateral Assistance, MAIN DATA'!N:N,'Bilateral Assistance, MAIN DATA'!I:I,'Price List, Weapons &amp; Items'!B567)&gt;M567,1,".")</f>
        <v>.</v>
      </c>
    </row>
    <row r="568" spans="2:18" ht="15" customHeight="1">
      <c r="B568" s="71" t="s">
        <v>3627</v>
      </c>
      <c r="C568" s="898" t="s">
        <v>5062</v>
      </c>
      <c r="D568" s="71" t="s">
        <v>4288</v>
      </c>
      <c r="E568" s="900">
        <v>0</v>
      </c>
      <c r="F568" s="900">
        <f t="shared" si="55"/>
        <v>1</v>
      </c>
      <c r="G568" s="902">
        <v>4000000</v>
      </c>
      <c r="H568" s="903" t="s">
        <v>456</v>
      </c>
      <c r="I568" s="890" t="s">
        <v>5968</v>
      </c>
      <c r="J568" s="901" t="s">
        <v>5080</v>
      </c>
      <c r="K568" s="71" t="s">
        <v>5969</v>
      </c>
      <c r="L568" s="905">
        <f t="shared" si="50"/>
        <v>2</v>
      </c>
      <c r="M568" s="909">
        <f>SUMIFS('Bilateral Assistance, MAIN DATA'!M:M,'Bilateral Assistance, MAIN DATA'!I:I,'Price List, Weapons &amp; Items'!B568)</f>
        <v>8</v>
      </c>
      <c r="N568" s="71">
        <f>COUNTIFS('Bilateral Assistance, MAIN DATA'!M:M,"undisclosed",'Bilateral Assistance, MAIN DATA'!I:I,'Price List, Weapons &amp; Items'!B568)</f>
        <v>0</v>
      </c>
      <c r="O568" s="910">
        <f t="shared" si="53"/>
        <v>32000000</v>
      </c>
      <c r="P568" s="71">
        <f>IFERROR(IF(SEARCH(B568,_xlfn.ARRAYTOTEXT('Bilateral Assistance, MAIN DATA'!I$1:I$2206))&gt;0,1,""),0)</f>
        <v>0</v>
      </c>
      <c r="Q568" s="71">
        <f>IFERROR(IF(SEARCH(B568,_xlfn.ARRAYTOTEXT('Commercial Assistance'!I$1:I$1400))&gt;0,1,""),0)</f>
        <v>0</v>
      </c>
      <c r="R568" s="905" t="str">
        <f>IF(SUMIFS('Bilateral Assistance, MAIN DATA'!N:N,'Bilateral Assistance, MAIN DATA'!I:I,'Price List, Weapons &amp; Items'!B568)&gt;M568,1,".")</f>
        <v>.</v>
      </c>
    </row>
    <row r="569" spans="2:18" ht="15" customHeight="1">
      <c r="B569" s="915" t="s">
        <v>4314</v>
      </c>
      <c r="C569" s="898" t="s">
        <v>5062</v>
      </c>
      <c r="D569" s="71" t="s">
        <v>4850</v>
      </c>
      <c r="E569" s="900">
        <v>0</v>
      </c>
      <c r="F569" s="900">
        <f t="shared" si="55"/>
        <v>1</v>
      </c>
      <c r="G569" s="902">
        <v>1900000</v>
      </c>
      <c r="H569" s="903" t="s">
        <v>456</v>
      </c>
      <c r="I569" s="887" t="s">
        <v>5074</v>
      </c>
      <c r="J569" s="901" t="s">
        <v>5075</v>
      </c>
      <c r="K569" s="71" t="s">
        <v>5076</v>
      </c>
      <c r="L569" s="905">
        <f t="shared" si="50"/>
        <v>2</v>
      </c>
      <c r="M569" s="909">
        <f>SUMIFS('Bilateral Assistance, MAIN DATA'!M:M,'Bilateral Assistance, MAIN DATA'!I:I,'Price List, Weapons &amp; Items'!B569)</f>
        <v>113</v>
      </c>
      <c r="N569" s="71">
        <f>COUNTIFS('Bilateral Assistance, MAIN DATA'!M:M,"undisclosed",'Bilateral Assistance, MAIN DATA'!I:I,'Price List, Weapons &amp; Items'!B569)</f>
        <v>0</v>
      </c>
      <c r="O569" s="910">
        <f t="shared" si="53"/>
        <v>214700000</v>
      </c>
      <c r="P569" s="71">
        <f>IFERROR(IF(SEARCH(B569,_xlfn.ARRAYTOTEXT('Bilateral Assistance, MAIN DATA'!I$1:I$2206))&gt;0,1,""),0)</f>
        <v>0</v>
      </c>
      <c r="Q569" s="71">
        <f>IFERROR(IF(SEARCH(B569,_xlfn.ARRAYTOTEXT('Commercial Assistance'!I$1:I$1400))&gt;0,1,""),0)</f>
        <v>0</v>
      </c>
      <c r="R569" s="905" t="str">
        <f>IF(SUMIFS('Bilateral Assistance, MAIN DATA'!N:N,'Bilateral Assistance, MAIN DATA'!I:I,'Price List, Weapons &amp; Items'!B569)&gt;M569,1,".")</f>
        <v>.</v>
      </c>
    </row>
    <row r="570" spans="2:18" ht="15" customHeight="1">
      <c r="B570" s="915" t="s">
        <v>4315</v>
      </c>
      <c r="C570" s="898" t="s">
        <v>5059</v>
      </c>
      <c r="D570" s="899" t="s">
        <v>5122</v>
      </c>
      <c r="E570" s="900">
        <v>0</v>
      </c>
      <c r="F570" s="900">
        <f t="shared" si="55"/>
        <v>0</v>
      </c>
      <c r="G570" s="902">
        <v>9000</v>
      </c>
      <c r="H570" s="903" t="s">
        <v>456</v>
      </c>
      <c r="I570" s="936" t="s">
        <v>5970</v>
      </c>
      <c r="J570" s="901" t="s">
        <v>5080</v>
      </c>
      <c r="K570" s="71" t="s">
        <v>5971</v>
      </c>
      <c r="L570" s="905">
        <f t="shared" si="50"/>
        <v>2</v>
      </c>
      <c r="M570" s="909">
        <f>SUMIFS('Bilateral Assistance, MAIN DATA'!M:M,'Bilateral Assistance, MAIN DATA'!I:I,'Price List, Weapons &amp; Items'!B570)</f>
        <v>1090</v>
      </c>
      <c r="N570" s="71">
        <f>COUNTIFS('Bilateral Assistance, MAIN DATA'!M:M,"undisclosed",'Bilateral Assistance, MAIN DATA'!I:I,'Price List, Weapons &amp; Items'!B570)</f>
        <v>0</v>
      </c>
      <c r="O570" s="910">
        <f t="shared" si="53"/>
        <v>9810000</v>
      </c>
      <c r="P570" s="71">
        <f>IFERROR(IF(SEARCH(B570,_xlfn.ARRAYTOTEXT('Bilateral Assistance, MAIN DATA'!I$1:I$2206))&gt;0,1,""),0)</f>
        <v>0</v>
      </c>
      <c r="Q570" s="71">
        <f>IFERROR(IF(SEARCH(B570,_xlfn.ARRAYTOTEXT('Commercial Assistance'!I$1:I$1400))&gt;0,1,""),0)</f>
        <v>0</v>
      </c>
      <c r="R570" s="905" t="str">
        <f>IF(SUMIFS('Bilateral Assistance, MAIN DATA'!N:N,'Bilateral Assistance, MAIN DATA'!I:I,'Price List, Weapons &amp; Items'!B570)&gt;M570,1,".")</f>
        <v>.</v>
      </c>
    </row>
    <row r="571" spans="2:18" ht="15" customHeight="1">
      <c r="B571" s="915" t="s">
        <v>4316</v>
      </c>
      <c r="C571" s="898" t="s">
        <v>631</v>
      </c>
      <c r="D571" s="71" t="s">
        <v>602</v>
      </c>
      <c r="E571" s="900">
        <v>0</v>
      </c>
      <c r="F571" s="900">
        <f t="shared" si="55"/>
        <v>0</v>
      </c>
      <c r="G571" s="932">
        <v>140.58000000000001</v>
      </c>
      <c r="H571" s="903" t="s">
        <v>456</v>
      </c>
      <c r="I571" s="936" t="s">
        <v>5972</v>
      </c>
      <c r="J571" s="913" t="s">
        <v>5082</v>
      </c>
      <c r="K571" s="71" t="s">
        <v>5973</v>
      </c>
      <c r="L571" s="905">
        <f t="shared" si="50"/>
        <v>2</v>
      </c>
      <c r="M571" s="909">
        <f>SUMIFS('Bilateral Assistance, MAIN DATA'!M:M,'Bilateral Assistance, MAIN DATA'!I:I,'Price List, Weapons &amp; Items'!B571)</f>
        <v>545000</v>
      </c>
      <c r="N571" s="71">
        <f>COUNTIFS('Bilateral Assistance, MAIN DATA'!M:M,"undisclosed",'Bilateral Assistance, MAIN DATA'!I:I,'Price List, Weapons &amp; Items'!B571)</f>
        <v>3</v>
      </c>
      <c r="O571" s="910">
        <f t="shared" si="53"/>
        <v>76616100</v>
      </c>
      <c r="P571" s="71">
        <f>IFERROR(IF(SEARCH(B571,_xlfn.ARRAYTOTEXT('Bilateral Assistance, MAIN DATA'!I$1:I$2206))&gt;0,1,""),0)</f>
        <v>0</v>
      </c>
      <c r="Q571" s="71">
        <f>IFERROR(IF(SEARCH(B571,_xlfn.ARRAYTOTEXT('Commercial Assistance'!I$1:I$1400))&gt;0,1,""),0)</f>
        <v>0</v>
      </c>
      <c r="R571" s="905" t="str">
        <f>IF(SUMIFS('Bilateral Assistance, MAIN DATA'!N:N,'Bilateral Assistance, MAIN DATA'!I:I,'Price List, Weapons &amp; Items'!B571)&gt;M571,1,".")</f>
        <v>.</v>
      </c>
    </row>
    <row r="572" spans="2:18" ht="15" customHeight="1">
      <c r="B572" s="915" t="s">
        <v>4319</v>
      </c>
      <c r="C572" s="898" t="s">
        <v>5059</v>
      </c>
      <c r="D572" s="899" t="s">
        <v>5122</v>
      </c>
      <c r="E572" s="900">
        <v>0</v>
      </c>
      <c r="F572" s="900">
        <f t="shared" si="55"/>
        <v>0</v>
      </c>
      <c r="G572" s="902">
        <v>165900</v>
      </c>
      <c r="H572" s="903" t="s">
        <v>456</v>
      </c>
      <c r="I572" s="936" t="s">
        <v>5974</v>
      </c>
      <c r="J572" s="901" t="s">
        <v>5080</v>
      </c>
      <c r="K572" s="71" t="s">
        <v>5975</v>
      </c>
      <c r="L572" s="905" t="str">
        <f t="shared" si="50"/>
        <v>no price, 0 count</v>
      </c>
      <c r="M572" s="909">
        <f>SUMIFS('Bilateral Assistance, MAIN DATA'!M:M,'Bilateral Assistance, MAIN DATA'!I:I,'Price List, Weapons &amp; Items'!B572)</f>
        <v>0</v>
      </c>
      <c r="N572" s="71">
        <f>COUNTIFS('Bilateral Assistance, MAIN DATA'!M:M,"undisclosed",'Bilateral Assistance, MAIN DATA'!I:I,'Price List, Weapons &amp; Items'!B572)</f>
        <v>1</v>
      </c>
      <c r="O572" s="910">
        <f t="shared" si="53"/>
        <v>0</v>
      </c>
      <c r="P572" s="71">
        <f>IFERROR(IF(SEARCH(B572,_xlfn.ARRAYTOTEXT('Bilateral Assistance, MAIN DATA'!I$1:I$2206))&gt;0,1,""),0)</f>
        <v>0</v>
      </c>
      <c r="Q572" s="71">
        <f>IFERROR(IF(SEARCH(B572,_xlfn.ARRAYTOTEXT('Commercial Assistance'!I$1:I$1400))&gt;0,1,""),0)</f>
        <v>0</v>
      </c>
      <c r="R572" s="905" t="str">
        <f>IF(SUMIFS('Bilateral Assistance, MAIN DATA'!N:N,'Bilateral Assistance, MAIN DATA'!I:I,'Price List, Weapons &amp; Items'!B572)&gt;M572,1,".")</f>
        <v>.</v>
      </c>
    </row>
    <row r="573" spans="2:18" ht="15" customHeight="1">
      <c r="B573" s="915" t="s">
        <v>4320</v>
      </c>
      <c r="C573" s="898" t="s">
        <v>5059</v>
      </c>
      <c r="D573" s="899" t="s">
        <v>5122</v>
      </c>
      <c r="E573" s="900">
        <v>0</v>
      </c>
      <c r="F573" s="900">
        <f t="shared" si="55"/>
        <v>0</v>
      </c>
      <c r="G573" s="902">
        <v>400</v>
      </c>
      <c r="H573" s="903" t="s">
        <v>456</v>
      </c>
      <c r="I573" s="936" t="s">
        <v>5976</v>
      </c>
      <c r="J573" s="901" t="s">
        <v>5080</v>
      </c>
      <c r="K573" s="71" t="s">
        <v>5977</v>
      </c>
      <c r="L573" s="905">
        <f t="shared" si="50"/>
        <v>1</v>
      </c>
      <c r="M573" s="909">
        <f>SUMIFS('Bilateral Assistance, MAIN DATA'!M:M,'Bilateral Assistance, MAIN DATA'!I:I,'Price List, Weapons &amp; Items'!B573)</f>
        <v>4000</v>
      </c>
      <c r="N573" s="71">
        <f>COUNTIFS('Bilateral Assistance, MAIN DATA'!M:M,"undisclosed",'Bilateral Assistance, MAIN DATA'!I:I,'Price List, Weapons &amp; Items'!B573)</f>
        <v>1</v>
      </c>
      <c r="O573" s="910">
        <f t="shared" si="53"/>
        <v>1600000</v>
      </c>
      <c r="P573" s="71">
        <f>IFERROR(IF(SEARCH(B573,_xlfn.ARRAYTOTEXT('Bilateral Assistance, MAIN DATA'!I$1:I$2206))&gt;0,1,""),0)</f>
        <v>0</v>
      </c>
      <c r="Q573" s="71">
        <f>IFERROR(IF(SEARCH(B573,_xlfn.ARRAYTOTEXT('Commercial Assistance'!I$1:I$1400))&gt;0,1,""),0)</f>
        <v>0</v>
      </c>
      <c r="R573" s="905" t="str">
        <f>IF(SUMIFS('Bilateral Assistance, MAIN DATA'!N:N,'Bilateral Assistance, MAIN DATA'!I:I,'Price List, Weapons &amp; Items'!B573)&gt;M573,1,".")</f>
        <v>.</v>
      </c>
    </row>
    <row r="574" spans="2:18" s="901" customFormat="1" ht="15" customHeight="1">
      <c r="B574" s="915" t="s">
        <v>635</v>
      </c>
      <c r="C574" s="898" t="s">
        <v>1105</v>
      </c>
      <c r="D574" s="899" t="s">
        <v>5298</v>
      </c>
      <c r="E574" s="900">
        <v>0</v>
      </c>
      <c r="F574" s="900">
        <f t="shared" si="55"/>
        <v>0</v>
      </c>
      <c r="G574" s="902">
        <f>AVERAGE(19500,21500)*VLOOKUP("USD",'Exchange Rates'!B:C,2,0)</f>
        <v>22279.4</v>
      </c>
      <c r="H574" s="903" t="s">
        <v>456</v>
      </c>
      <c r="I574" s="936" t="s">
        <v>5978</v>
      </c>
      <c r="J574" s="901" t="s">
        <v>5086</v>
      </c>
      <c r="K574" s="71" t="s">
        <v>5979</v>
      </c>
      <c r="L574" s="905">
        <f t="shared" si="50"/>
        <v>2</v>
      </c>
      <c r="M574" s="909">
        <f>SUMIFS('Bilateral Assistance, MAIN DATA'!M:M,'Bilateral Assistance, MAIN DATA'!I:I,'Price List, Weapons &amp; Items'!B574)</f>
        <v>167</v>
      </c>
      <c r="N574" s="71">
        <f>COUNTIFS('Bilateral Assistance, MAIN DATA'!M:M,"undisclosed",'Bilateral Assistance, MAIN DATA'!I:I,'Price List, Weapons &amp; Items'!B574)</f>
        <v>0</v>
      </c>
      <c r="O574" s="910">
        <f t="shared" ref="O574:O580" si="57">IFERROR(M574*G574,"no price")</f>
        <v>3720659.8000000003</v>
      </c>
      <c r="P574" s="71">
        <f>IFERROR(IF(SEARCH(B574,_xlfn.ARRAYTOTEXT('Bilateral Assistance, MAIN DATA'!I$1:I$2206))&gt;0,1,""),0)</f>
        <v>0</v>
      </c>
      <c r="Q574" s="71">
        <f>IFERROR(IF(SEARCH(B574,_xlfn.ARRAYTOTEXT('Commercial Assistance'!I$1:I$1400))&gt;0,1,""),0)</f>
        <v>0</v>
      </c>
      <c r="R574" s="905" t="str">
        <f>IF(SUMIFS('Bilateral Assistance, MAIN DATA'!N:N,'Bilateral Assistance, MAIN DATA'!I:I,'Price List, Weapons &amp; Items'!B574)&gt;M574,1,".")</f>
        <v>.</v>
      </c>
    </row>
    <row r="575" spans="2:18" s="901" customFormat="1" ht="15" customHeight="1">
      <c r="B575" s="915" t="s">
        <v>2471</v>
      </c>
      <c r="C575" s="898" t="s">
        <v>5070</v>
      </c>
      <c r="D575" s="899" t="s">
        <v>5323</v>
      </c>
      <c r="E575" s="900">
        <v>0</v>
      </c>
      <c r="F575" s="900">
        <f t="shared" si="55"/>
        <v>0</v>
      </c>
      <c r="G575" s="902" t="s">
        <v>364</v>
      </c>
      <c r="H575" s="903" t="s">
        <v>456</v>
      </c>
      <c r="I575" s="936" t="s">
        <v>364</v>
      </c>
      <c r="J575" s="901" t="s">
        <v>364</v>
      </c>
      <c r="K575" s="71" t="s">
        <v>364</v>
      </c>
      <c r="L575" s="905">
        <f t="shared" si="50"/>
        <v>0</v>
      </c>
      <c r="M575" s="909">
        <f>SUMIFS('Bilateral Assistance, MAIN DATA'!M:M,'Bilateral Assistance, MAIN DATA'!I:I,'Price List, Weapons &amp; Items'!B575)</f>
        <v>2</v>
      </c>
      <c r="N575" s="71">
        <f>COUNTIFS('Bilateral Assistance, MAIN DATA'!M:M,"undisclosed",'Bilateral Assistance, MAIN DATA'!I:I,'Price List, Weapons &amp; Items'!B575)</f>
        <v>0</v>
      </c>
      <c r="O575" s="910" t="str">
        <f t="shared" si="57"/>
        <v>no price</v>
      </c>
      <c r="P575" s="71">
        <f>IFERROR(IF(SEARCH(B575,_xlfn.ARRAYTOTEXT('Bilateral Assistance, MAIN DATA'!I$1:I$2206))&gt;0,1,""),0)</f>
        <v>0</v>
      </c>
      <c r="Q575" s="71">
        <f>IFERROR(IF(SEARCH(B575,_xlfn.ARRAYTOTEXT('Commercial Assistance'!I$1:I$1400))&gt;0,1,""),0)</f>
        <v>0</v>
      </c>
      <c r="R575" s="905" t="str">
        <f>IF(SUMIFS('Bilateral Assistance, MAIN DATA'!N:N,'Bilateral Assistance, MAIN DATA'!I:I,'Price List, Weapons &amp; Items'!B575)&gt;M575,1,".")</f>
        <v>.</v>
      </c>
    </row>
    <row r="576" spans="2:18" s="901" customFormat="1" ht="15" customHeight="1">
      <c r="B576" s="915" t="s">
        <v>2565</v>
      </c>
      <c r="C576" s="898" t="s">
        <v>5062</v>
      </c>
      <c r="D576" s="899" t="s">
        <v>5360</v>
      </c>
      <c r="E576" s="900">
        <v>0</v>
      </c>
      <c r="F576" s="900">
        <f t="shared" si="55"/>
        <v>0</v>
      </c>
      <c r="G576" s="902">
        <v>164939.43083244559</v>
      </c>
      <c r="H576" s="903" t="s">
        <v>456</v>
      </c>
      <c r="I576" s="936" t="s">
        <v>5980</v>
      </c>
      <c r="J576" s="901" t="s">
        <v>5119</v>
      </c>
      <c r="K576" s="71" t="s">
        <v>5981</v>
      </c>
      <c r="L576" s="905">
        <f t="shared" si="50"/>
        <v>2</v>
      </c>
      <c r="M576" s="909">
        <f>SUMIFS('Bilateral Assistance, MAIN DATA'!M:M,'Bilateral Assistance, MAIN DATA'!I:I,'Price List, Weapons &amp; Items'!B576)</f>
        <v>38</v>
      </c>
      <c r="N576" s="71">
        <f>COUNTIFS('Bilateral Assistance, MAIN DATA'!M:M,"undisclosed",'Bilateral Assistance, MAIN DATA'!I:I,'Price List, Weapons &amp; Items'!B576)</f>
        <v>0</v>
      </c>
      <c r="O576" s="910">
        <f t="shared" si="57"/>
        <v>6267698.3716329327</v>
      </c>
      <c r="P576" s="71">
        <f>IFERROR(IF(SEARCH(B576,_xlfn.ARRAYTOTEXT('Bilateral Assistance, MAIN DATA'!I$1:I$2206))&gt;0,1,""),0)</f>
        <v>0</v>
      </c>
      <c r="Q576" s="71">
        <f>IFERROR(IF(SEARCH(B576,_xlfn.ARRAYTOTEXT('Commercial Assistance'!I$1:I$1400))&gt;0,1,""),0)</f>
        <v>0</v>
      </c>
      <c r="R576" s="905" t="str">
        <f>IF(SUMIFS('Bilateral Assistance, MAIN DATA'!N:N,'Bilateral Assistance, MAIN DATA'!I:I,'Price List, Weapons &amp; Items'!B576)&gt;M576,1,".")</f>
        <v>.</v>
      </c>
    </row>
    <row r="577" spans="1:18" s="901" customFormat="1" ht="15" customHeight="1">
      <c r="B577" s="915" t="s">
        <v>958</v>
      </c>
      <c r="C577" s="898" t="s">
        <v>5070</v>
      </c>
      <c r="D577" s="899" t="s">
        <v>5374</v>
      </c>
      <c r="E577" s="900">
        <v>1</v>
      </c>
      <c r="F577" s="900">
        <f t="shared" si="55"/>
        <v>0</v>
      </c>
      <c r="G577" s="902">
        <v>4541936.9733591266</v>
      </c>
      <c r="H577" s="903" t="str">
        <f>IF(G577&lt;&gt;".","USD",".")</f>
        <v>USD</v>
      </c>
      <c r="I577" s="940" t="s">
        <v>5074</v>
      </c>
      <c r="J577" s="901" t="s">
        <v>5075</v>
      </c>
      <c r="K577" s="71" t="s">
        <v>5076</v>
      </c>
      <c r="L577" s="905">
        <f t="shared" si="50"/>
        <v>2</v>
      </c>
      <c r="M577" s="909">
        <f>SUMIFS('Bilateral Assistance, MAIN DATA'!M:M,'Bilateral Assistance, MAIN DATA'!I:I,'Price List, Weapons &amp; Items'!B577)</f>
        <v>16</v>
      </c>
      <c r="N577" s="71">
        <f>COUNTIFS('Bilateral Assistance, MAIN DATA'!M:M,"undisclosed",'Bilateral Assistance, MAIN DATA'!I:I,'Price List, Weapons &amp; Items'!B577)</f>
        <v>0</v>
      </c>
      <c r="O577" s="910">
        <f t="shared" si="57"/>
        <v>72670991.573746026</v>
      </c>
      <c r="P577" s="71">
        <f>IFERROR(IF(SEARCH(B577,_xlfn.ARRAYTOTEXT('Bilateral Assistance, MAIN DATA'!I$1:I$2206))&gt;0,1,""),0)</f>
        <v>0</v>
      </c>
      <c r="Q577" s="71">
        <f>IFERROR(IF(SEARCH(B577,_xlfn.ARRAYTOTEXT('Commercial Assistance'!I$1:I$1400))&gt;0,1,""),0)</f>
        <v>0</v>
      </c>
      <c r="R577" s="905" t="str">
        <f>IF(SUMIFS('Bilateral Assistance, MAIN DATA'!N:N,'Bilateral Assistance, MAIN DATA'!I:I,'Price List, Weapons &amp; Items'!B577)&gt;M577,1,".")</f>
        <v>.</v>
      </c>
    </row>
    <row r="578" spans="1:18" s="901" customFormat="1" ht="15" customHeight="1">
      <c r="B578" s="915" t="s">
        <v>2770</v>
      </c>
      <c r="C578" s="898" t="s">
        <v>5062</v>
      </c>
      <c r="D578" s="899" t="s">
        <v>5360</v>
      </c>
      <c r="E578" s="900">
        <v>0</v>
      </c>
      <c r="F578" s="900">
        <f t="shared" si="55"/>
        <v>0</v>
      </c>
      <c r="G578" s="902">
        <f>3780000/15</f>
        <v>252000</v>
      </c>
      <c r="H578" s="903" t="s">
        <v>456</v>
      </c>
      <c r="I578" s="936" t="s">
        <v>2769</v>
      </c>
      <c r="J578" s="901" t="s">
        <v>5191</v>
      </c>
      <c r="K578" s="71" t="s">
        <v>5982</v>
      </c>
      <c r="L578" s="905">
        <f t="shared" si="50"/>
        <v>2</v>
      </c>
      <c r="M578" s="909">
        <f>SUMIFS('Bilateral Assistance, MAIN DATA'!M:M,'Bilateral Assistance, MAIN DATA'!I:I,'Price List, Weapons &amp; Items'!B578)</f>
        <v>100</v>
      </c>
      <c r="N578" s="71">
        <f>COUNTIFS('Bilateral Assistance, MAIN DATA'!M:M,"undisclosed",'Bilateral Assistance, MAIN DATA'!I:I,'Price List, Weapons &amp; Items'!B578)</f>
        <v>0</v>
      </c>
      <c r="O578" s="910">
        <f t="shared" si="57"/>
        <v>25200000</v>
      </c>
      <c r="P578" s="71">
        <f>IFERROR(IF(SEARCH(B578,_xlfn.ARRAYTOTEXT('Bilateral Assistance, MAIN DATA'!I$1:I$2206))&gt;0,1,""),0)</f>
        <v>0</v>
      </c>
      <c r="Q578" s="71">
        <f>IFERROR(IF(SEARCH(B578,_xlfn.ARRAYTOTEXT('Commercial Assistance'!I$1:I$1400))&gt;0,1,""),0)</f>
        <v>0</v>
      </c>
      <c r="R578" s="905" t="str">
        <f>IF(SUMIFS('Bilateral Assistance, MAIN DATA'!N:N,'Bilateral Assistance, MAIN DATA'!I:I,'Price List, Weapons &amp; Items'!B578)&gt;M578,1,".")</f>
        <v>.</v>
      </c>
    </row>
    <row r="579" spans="1:18" ht="15" customHeight="1">
      <c r="B579" s="915" t="s">
        <v>874</v>
      </c>
      <c r="C579" s="898" t="s">
        <v>5062</v>
      </c>
      <c r="D579" s="899" t="s">
        <v>5078</v>
      </c>
      <c r="E579" s="900">
        <v>0</v>
      </c>
      <c r="F579" s="900">
        <f t="shared" si="55"/>
        <v>1</v>
      </c>
      <c r="G579" s="902">
        <v>2138073.4315492632</v>
      </c>
      <c r="H579" s="903" t="s">
        <v>456</v>
      </c>
      <c r="I579" s="936" t="s">
        <v>5074</v>
      </c>
      <c r="J579" s="901" t="s">
        <v>5075</v>
      </c>
      <c r="K579" s="71" t="s">
        <v>5076</v>
      </c>
      <c r="L579" s="905">
        <f t="shared" si="50"/>
        <v>2</v>
      </c>
      <c r="M579" s="909">
        <f>SUMIFS('Bilateral Assistance, MAIN DATA'!M:M,'Bilateral Assistance, MAIN DATA'!I:I,'Price List, Weapons &amp; Items'!B579)</f>
        <v>54</v>
      </c>
      <c r="N579" s="71">
        <f>COUNTIFS('Bilateral Assistance, MAIN DATA'!M:M,"undisclosed",'Bilateral Assistance, MAIN DATA'!I:I,'Price List, Weapons &amp; Items'!B579)</f>
        <v>0</v>
      </c>
      <c r="O579" s="910">
        <f t="shared" si="57"/>
        <v>115455965.30366021</v>
      </c>
      <c r="P579" s="71">
        <f>IFERROR(IF(SEARCH(B579,_xlfn.ARRAYTOTEXT('Bilateral Assistance, MAIN DATA'!I$1:I$2206))&gt;0,1,""),0)</f>
        <v>0</v>
      </c>
      <c r="Q579" s="71">
        <f>IFERROR(IF(SEARCH(B579,_xlfn.ARRAYTOTEXT('Commercial Assistance'!I$1:I$1400))&gt;0,1,""),0)</f>
        <v>0</v>
      </c>
      <c r="R579" s="905" t="str">
        <f>IF(SUMIFS('Bilateral Assistance, MAIN DATA'!N:N,'Bilateral Assistance, MAIN DATA'!I:I,'Price List, Weapons &amp; Items'!B579)&gt;M579,1,".")</f>
        <v>.</v>
      </c>
    </row>
    <row r="580" spans="1:18" ht="15" customHeight="1">
      <c r="B580" s="915" t="s">
        <v>879</v>
      </c>
      <c r="C580" s="898" t="s">
        <v>5062</v>
      </c>
      <c r="D580" s="899" t="s">
        <v>5366</v>
      </c>
      <c r="E580" s="900">
        <v>0</v>
      </c>
      <c r="F580" s="900">
        <f t="shared" si="55"/>
        <v>1</v>
      </c>
      <c r="G580" s="902">
        <v>5349979.1805631341</v>
      </c>
      <c r="H580" s="903" t="s">
        <v>456</v>
      </c>
      <c r="I580" s="936" t="s">
        <v>5983</v>
      </c>
      <c r="J580" s="901" t="s">
        <v>5191</v>
      </c>
      <c r="K580" s="71" t="s">
        <v>5984</v>
      </c>
      <c r="L580" s="905">
        <f t="shared" si="50"/>
        <v>2</v>
      </c>
      <c r="M580" s="909">
        <f>SUMIFS('Bilateral Assistance, MAIN DATA'!M:M,'Bilateral Assistance, MAIN DATA'!I:I,'Price List, Weapons &amp; Items'!B580)</f>
        <v>1</v>
      </c>
      <c r="N580" s="71">
        <f>COUNTIFS('Bilateral Assistance, MAIN DATA'!M:M,"undisclosed",'Bilateral Assistance, MAIN DATA'!I:I,'Price List, Weapons &amp; Items'!B580)</f>
        <v>0</v>
      </c>
      <c r="O580" s="910">
        <f t="shared" si="57"/>
        <v>5349979.1805631341</v>
      </c>
      <c r="P580" s="71">
        <f>IFERROR(IF(SEARCH(B580,_xlfn.ARRAYTOTEXT('Bilateral Assistance, MAIN DATA'!I$1:I$2206))&gt;0,1,""),0)</f>
        <v>0</v>
      </c>
      <c r="Q580" s="71">
        <f>IFERROR(IF(SEARCH(B580,_xlfn.ARRAYTOTEXT('Commercial Assistance'!I$1:I$1400))&gt;0,1,""),0)</f>
        <v>0</v>
      </c>
      <c r="R580" s="905" t="str">
        <f>IF(SUMIFS('Bilateral Assistance, MAIN DATA'!N:N,'Bilateral Assistance, MAIN DATA'!I:I,'Price List, Weapons &amp; Items'!B580)&gt;M580,1,".")</f>
        <v>.</v>
      </c>
    </row>
    <row r="581" spans="1:18" ht="15" customHeight="1">
      <c r="A581" s="71" t="s">
        <v>38</v>
      </c>
      <c r="B581" s="71" t="s">
        <v>3615</v>
      </c>
      <c r="C581" s="71" t="s">
        <v>5062</v>
      </c>
      <c r="D581" s="71" t="s">
        <v>4850</v>
      </c>
      <c r="E581" s="900">
        <v>0</v>
      </c>
      <c r="F581" s="900">
        <f t="shared" si="55"/>
        <v>1</v>
      </c>
      <c r="G581" s="941">
        <v>6822368</v>
      </c>
      <c r="H581" s="903" t="s">
        <v>456</v>
      </c>
      <c r="I581" s="894" t="s">
        <v>5985</v>
      </c>
      <c r="J581" s="71" t="s">
        <v>5986</v>
      </c>
      <c r="K581" s="71" t="s">
        <v>5987</v>
      </c>
      <c r="L581" s="71"/>
      <c r="M581" s="71" t="s">
        <v>38</v>
      </c>
      <c r="N581" s="71" t="s">
        <v>38</v>
      </c>
      <c r="O581" s="71" t="s">
        <v>38</v>
      </c>
      <c r="P581" s="71" t="s">
        <v>38</v>
      </c>
      <c r="Q581" s="71" t="s">
        <v>38</v>
      </c>
      <c r="R581" s="71" t="s">
        <v>38</v>
      </c>
    </row>
    <row r="582" spans="1:18" ht="15" customHeight="1">
      <c r="A582" s="71" t="s">
        <v>38</v>
      </c>
      <c r="B582" s="71" t="s">
        <v>3619</v>
      </c>
      <c r="C582" s="71" t="s">
        <v>5099</v>
      </c>
      <c r="D582" s="71" t="s">
        <v>5198</v>
      </c>
      <c r="E582" s="900">
        <v>0</v>
      </c>
      <c r="F582" s="900">
        <f t="shared" si="55"/>
        <v>0</v>
      </c>
      <c r="G582" s="941">
        <v>31500</v>
      </c>
      <c r="H582" s="903" t="s">
        <v>456</v>
      </c>
      <c r="I582" s="942" t="s">
        <v>5074</v>
      </c>
      <c r="J582" s="71" t="s">
        <v>5075</v>
      </c>
      <c r="K582" s="71" t="s">
        <v>5988</v>
      </c>
      <c r="L582" s="71"/>
      <c r="M582" s="71" t="s">
        <v>38</v>
      </c>
      <c r="N582" s="71" t="s">
        <v>38</v>
      </c>
      <c r="O582" s="71" t="s">
        <v>38</v>
      </c>
      <c r="P582" s="71" t="s">
        <v>38</v>
      </c>
      <c r="Q582" s="71" t="s">
        <v>38</v>
      </c>
      <c r="R582" s="71" t="s">
        <v>38</v>
      </c>
    </row>
    <row r="583" spans="1:18" ht="15" customHeight="1">
      <c r="B583" s="901" t="s">
        <v>5989</v>
      </c>
      <c r="C583" s="898" t="s">
        <v>5070</v>
      </c>
      <c r="D583" s="899" t="s">
        <v>5323</v>
      </c>
      <c r="E583" s="900">
        <v>1</v>
      </c>
      <c r="F583" s="900">
        <f t="shared" si="55"/>
        <v>0</v>
      </c>
      <c r="G583" s="892">
        <v>18400000</v>
      </c>
      <c r="H583" s="908" t="str">
        <f t="shared" ref="H583" si="58">IF(G583&lt;&gt;".","USD",".")</f>
        <v>USD</v>
      </c>
      <c r="I583" s="922" t="s">
        <v>5324</v>
      </c>
      <c r="J583" s="901" t="s">
        <v>5080</v>
      </c>
      <c r="K583" s="901" t="s">
        <v>5990</v>
      </c>
      <c r="L583" s="905" t="str">
        <f t="shared" ref="L583:L614" si="59">IF(C583="Humanitarian",0,IF(M583&gt;0,IF(TYPE(O583)=1,IF(O583&gt;MEDIAN(O:O),2,1),0),"no price, 0 count"))</f>
        <v>no price, 0 count</v>
      </c>
      <c r="M583" s="909">
        <f>SUMIFS('Bilateral Assistance, MAIN DATA'!M:M,'Bilateral Assistance, MAIN DATA'!I:I,'Price List, Weapons &amp; Items'!B583)</f>
        <v>0</v>
      </c>
      <c r="N583" s="71">
        <f>COUNTIFS('Bilateral Assistance, MAIN DATA'!M:M,"undisclosed",'Bilateral Assistance, MAIN DATA'!I:I,'Price List, Weapons &amp; Items'!B583)</f>
        <v>0</v>
      </c>
      <c r="O583" s="910">
        <f t="shared" ref="O583:O596" si="60">IFERROR(M583*G583,"no price")</f>
        <v>0</v>
      </c>
      <c r="P583" s="71">
        <f>IFERROR(IF(SEARCH(B583,_xlfn.ARRAYTOTEXT('Bilateral Assistance, MAIN DATA'!I$1:I$2206))&gt;0,1,""),0)</f>
        <v>0</v>
      </c>
      <c r="Q583" s="71">
        <f>IFERROR(IF(SEARCH(B583,_xlfn.ARRAYTOTEXT('Commercial Assistance'!I$1:I$1400))&gt;0,1,""),0)</f>
        <v>0</v>
      </c>
      <c r="R583" s="905" t="str">
        <f>IF(SUMIFS('Bilateral Assistance, MAIN DATA'!N:N,'Bilateral Assistance, MAIN DATA'!I:I,'Price List, Weapons &amp; Items'!B583)&gt;M583,1,".")</f>
        <v>.</v>
      </c>
    </row>
    <row r="584" spans="1:18" ht="15" customHeight="1">
      <c r="B584" s="915" t="s">
        <v>1678</v>
      </c>
      <c r="C584" s="898" t="s">
        <v>5938</v>
      </c>
      <c r="D584" s="899" t="s">
        <v>5146</v>
      </c>
      <c r="E584" s="900">
        <v>0</v>
      </c>
      <c r="F584" s="900">
        <f t="shared" si="55"/>
        <v>0</v>
      </c>
      <c r="G584" s="892">
        <v>20091706.469999999</v>
      </c>
      <c r="H584" s="908" t="s">
        <v>456</v>
      </c>
      <c r="I584" s="895" t="s">
        <v>5991</v>
      </c>
      <c r="J584" s="901" t="s">
        <v>5075</v>
      </c>
      <c r="K584" s="901" t="s">
        <v>5992</v>
      </c>
      <c r="L584" s="905">
        <f t="shared" si="59"/>
        <v>2</v>
      </c>
      <c r="M584" s="909">
        <f>SUMIFS('Bilateral Assistance, MAIN DATA'!M:M,'Bilateral Assistance, MAIN DATA'!I:I,'Price List, Weapons &amp; Items'!B584)</f>
        <v>1</v>
      </c>
      <c r="N584" s="71">
        <f>COUNTIFS('Bilateral Assistance, MAIN DATA'!M:M,"undisclosed",'Bilateral Assistance, MAIN DATA'!I:I,'Price List, Weapons &amp; Items'!B584)</f>
        <v>0</v>
      </c>
      <c r="O584" s="910">
        <f t="shared" si="60"/>
        <v>20091706.469999999</v>
      </c>
      <c r="P584" s="71">
        <f>IFERROR(IF(SEARCH(B584,_xlfn.ARRAYTOTEXT('Bilateral Assistance, MAIN DATA'!I$1:I$2206))&gt;0,1,""),0)</f>
        <v>0</v>
      </c>
      <c r="Q584" s="71">
        <f>IFERROR(IF(SEARCH(B584,_xlfn.ARRAYTOTEXT('Commercial Assistance'!I$1:I$1400))&gt;0,1,""),0)</f>
        <v>0</v>
      </c>
      <c r="R584" s="905" t="str">
        <f>IF(SUMIFS('Bilateral Assistance, MAIN DATA'!N:N,'Bilateral Assistance, MAIN DATA'!I:I,'Price List, Weapons &amp; Items'!B584)&gt;M584,1,".")</f>
        <v>.</v>
      </c>
    </row>
    <row r="585" spans="1:18" ht="15" customHeight="1">
      <c r="B585" s="916" t="s">
        <v>1860</v>
      </c>
      <c r="C585" s="898" t="s">
        <v>5938</v>
      </c>
      <c r="D585" s="899" t="s">
        <v>5146</v>
      </c>
      <c r="E585" s="900">
        <v>0</v>
      </c>
      <c r="F585" s="900">
        <f t="shared" si="55"/>
        <v>0</v>
      </c>
      <c r="G585" s="892" t="s">
        <v>364</v>
      </c>
      <c r="H585" s="908" t="s">
        <v>364</v>
      </c>
      <c r="I585" s="895" t="s">
        <v>364</v>
      </c>
      <c r="J585" s="901" t="s">
        <v>364</v>
      </c>
      <c r="K585" s="901" t="s">
        <v>364</v>
      </c>
      <c r="L585" s="905">
        <f t="shared" si="59"/>
        <v>0</v>
      </c>
      <c r="M585" s="909">
        <f>SUMIFS('Bilateral Assistance, MAIN DATA'!M:M,'Bilateral Assistance, MAIN DATA'!I:I,'Price List, Weapons &amp; Items'!B585)</f>
        <v>8</v>
      </c>
      <c r="N585" s="71">
        <f>COUNTIFS('Bilateral Assistance, MAIN DATA'!M:M,"undisclosed",'Bilateral Assistance, MAIN DATA'!I:I,'Price List, Weapons &amp; Items'!B585)</f>
        <v>0</v>
      </c>
      <c r="O585" s="910" t="str">
        <f t="shared" si="60"/>
        <v>no price</v>
      </c>
      <c r="P585" s="71">
        <f>IFERROR(IF(SEARCH(B585,_xlfn.ARRAYTOTEXT('Bilateral Assistance, MAIN DATA'!I$1:I$2206))&gt;0,1,""),0)</f>
        <v>0</v>
      </c>
      <c r="Q585" s="71">
        <f>IFERROR(IF(SEARCH(B585,_xlfn.ARRAYTOTEXT('Commercial Assistance'!I$1:I$1400))&gt;0,1,""),0)</f>
        <v>0</v>
      </c>
      <c r="R585" s="905" t="str">
        <f>IF(SUMIFS('Bilateral Assistance, MAIN DATA'!N:N,'Bilateral Assistance, MAIN DATA'!I:I,'Price List, Weapons &amp; Items'!B585)&gt;M585,1,".")</f>
        <v>.</v>
      </c>
    </row>
    <row r="586" spans="1:18" ht="15" customHeight="1">
      <c r="B586" s="916" t="s">
        <v>1861</v>
      </c>
      <c r="C586" s="898" t="s">
        <v>5938</v>
      </c>
      <c r="D586" s="899" t="s">
        <v>1105</v>
      </c>
      <c r="E586" s="900">
        <v>0</v>
      </c>
      <c r="F586" s="900">
        <f t="shared" si="55"/>
        <v>0</v>
      </c>
      <c r="G586" s="892" t="s">
        <v>364</v>
      </c>
      <c r="H586" s="908" t="s">
        <v>364</v>
      </c>
      <c r="I586" s="895" t="s">
        <v>364</v>
      </c>
      <c r="J586" s="901" t="s">
        <v>364</v>
      </c>
      <c r="K586" s="901" t="s">
        <v>364</v>
      </c>
      <c r="L586" s="905">
        <f t="shared" si="59"/>
        <v>0</v>
      </c>
      <c r="M586" s="909">
        <f>SUMIFS('Bilateral Assistance, MAIN DATA'!M:M,'Bilateral Assistance, MAIN DATA'!I:I,'Price List, Weapons &amp; Items'!B586)</f>
        <v>50</v>
      </c>
      <c r="N586" s="71">
        <f>COUNTIFS('Bilateral Assistance, MAIN DATA'!M:M,"undisclosed",'Bilateral Assistance, MAIN DATA'!I:I,'Price List, Weapons &amp; Items'!B586)</f>
        <v>0</v>
      </c>
      <c r="O586" s="910" t="str">
        <f t="shared" si="60"/>
        <v>no price</v>
      </c>
      <c r="P586" s="71">
        <f>IFERROR(IF(SEARCH(B586,_xlfn.ARRAYTOTEXT('Bilateral Assistance, MAIN DATA'!I$1:I$2206))&gt;0,1,""),0)</f>
        <v>0</v>
      </c>
      <c r="Q586" s="71">
        <f>IFERROR(IF(SEARCH(B586,_xlfn.ARRAYTOTEXT('Commercial Assistance'!I$1:I$1400))&gt;0,1,""),0)</f>
        <v>0</v>
      </c>
      <c r="R586" s="905" t="str">
        <f>IF(SUMIFS('Bilateral Assistance, MAIN DATA'!N:N,'Bilateral Assistance, MAIN DATA'!I:I,'Price List, Weapons &amp; Items'!B586)&gt;M586,1,".")</f>
        <v>.</v>
      </c>
    </row>
    <row r="587" spans="1:18" ht="15" customHeight="1">
      <c r="B587" s="916" t="s">
        <v>1864</v>
      </c>
      <c r="C587" s="898" t="s">
        <v>5938</v>
      </c>
      <c r="D587" s="899" t="s">
        <v>5152</v>
      </c>
      <c r="E587" s="900">
        <v>0</v>
      </c>
      <c r="F587" s="900">
        <f t="shared" si="55"/>
        <v>1</v>
      </c>
      <c r="G587" s="892">
        <v>160890.5</v>
      </c>
      <c r="H587" s="908" t="s">
        <v>456</v>
      </c>
      <c r="I587" s="895" t="s">
        <v>5993</v>
      </c>
      <c r="J587" s="901" t="s">
        <v>5080</v>
      </c>
      <c r="K587" s="901" t="s">
        <v>5994</v>
      </c>
      <c r="L587" s="905">
        <f t="shared" si="59"/>
        <v>2</v>
      </c>
      <c r="M587" s="909">
        <f>SUMIFS('Bilateral Assistance, MAIN DATA'!M:M,'Bilateral Assistance, MAIN DATA'!I:I,'Price List, Weapons &amp; Items'!B587)</f>
        <v>92</v>
      </c>
      <c r="N587" s="71">
        <f>COUNTIFS('Bilateral Assistance, MAIN DATA'!M:M,"undisclosed",'Bilateral Assistance, MAIN DATA'!I:I,'Price List, Weapons &amp; Items'!B587)</f>
        <v>0</v>
      </c>
      <c r="O587" s="910">
        <f t="shared" si="60"/>
        <v>14801926</v>
      </c>
      <c r="P587" s="71">
        <f>IFERROR(IF(SEARCH(B587,_xlfn.ARRAYTOTEXT('Bilateral Assistance, MAIN DATA'!I$1:I$2206))&gt;0,1,""),0)</f>
        <v>0</v>
      </c>
      <c r="Q587" s="71">
        <f>IFERROR(IF(SEARCH(B587,_xlfn.ARRAYTOTEXT('Commercial Assistance'!I$1:I$1400))&gt;0,1,""),0)</f>
        <v>0</v>
      </c>
      <c r="R587" s="905" t="str">
        <f>IF(SUMIFS('Bilateral Assistance, MAIN DATA'!N:N,'Bilateral Assistance, MAIN DATA'!I:I,'Price List, Weapons &amp; Items'!B587)&gt;M587,1,".")</f>
        <v>.</v>
      </c>
    </row>
    <row r="588" spans="1:18" ht="15" customHeight="1">
      <c r="B588" s="915" t="s">
        <v>1933</v>
      </c>
      <c r="C588" s="898" t="s">
        <v>5062</v>
      </c>
      <c r="D588" s="899" t="s">
        <v>5078</v>
      </c>
      <c r="E588" s="900">
        <v>0</v>
      </c>
      <c r="F588" s="900">
        <f t="shared" si="55"/>
        <v>1</v>
      </c>
      <c r="G588" s="892">
        <v>10000000</v>
      </c>
      <c r="H588" s="908" t="s">
        <v>456</v>
      </c>
      <c r="I588" s="895" t="s">
        <v>5074</v>
      </c>
      <c r="J588" s="901" t="s">
        <v>5075</v>
      </c>
      <c r="K588" s="901" t="s">
        <v>5995</v>
      </c>
      <c r="L588" s="905">
        <f t="shared" si="59"/>
        <v>2</v>
      </c>
      <c r="M588" s="909">
        <f>SUMIFS('Bilateral Assistance, MAIN DATA'!M:M,'Bilateral Assistance, MAIN DATA'!I:I,'Price List, Weapons &amp; Items'!B588)</f>
        <v>31</v>
      </c>
      <c r="N588" s="71">
        <f>COUNTIFS('Bilateral Assistance, MAIN DATA'!M:M,"undisclosed",'Bilateral Assistance, MAIN DATA'!I:I,'Price List, Weapons &amp; Items'!B588)</f>
        <v>0</v>
      </c>
      <c r="O588" s="910">
        <f t="shared" si="60"/>
        <v>310000000</v>
      </c>
      <c r="P588" s="71">
        <f>IFERROR(IF(SEARCH(B588,_xlfn.ARRAYTOTEXT('Bilateral Assistance, MAIN DATA'!I$1:I$2206))&gt;0,1,""),0)</f>
        <v>0</v>
      </c>
      <c r="Q588" s="71">
        <f>IFERROR(IF(SEARCH(B588,_xlfn.ARRAYTOTEXT('Commercial Assistance'!I$1:I$1400))&gt;0,1,""),0)</f>
        <v>0</v>
      </c>
      <c r="R588" s="905" t="str">
        <f>IF(SUMIFS('Bilateral Assistance, MAIN DATA'!N:N,'Bilateral Assistance, MAIN DATA'!I:I,'Price List, Weapons &amp; Items'!B588)&gt;M588,1,".")</f>
        <v>.</v>
      </c>
    </row>
    <row r="589" spans="1:18" ht="15" customHeight="1">
      <c r="B589" s="915" t="s">
        <v>1934</v>
      </c>
      <c r="C589" s="898" t="s">
        <v>5059</v>
      </c>
      <c r="D589" s="899" t="s">
        <v>4237</v>
      </c>
      <c r="E589" s="900">
        <v>0</v>
      </c>
      <c r="F589" s="900">
        <f t="shared" si="55"/>
        <v>0</v>
      </c>
      <c r="G589" s="892">
        <v>20001.25</v>
      </c>
      <c r="H589" s="908" t="s">
        <v>456</v>
      </c>
      <c r="I589" s="896" t="s">
        <v>5996</v>
      </c>
      <c r="J589" s="901" t="s">
        <v>5119</v>
      </c>
      <c r="K589" s="901" t="s">
        <v>5997</v>
      </c>
      <c r="L589" s="905" t="str">
        <f t="shared" si="59"/>
        <v>no price, 0 count</v>
      </c>
      <c r="M589" s="909">
        <f>SUMIFS('Bilateral Assistance, MAIN DATA'!M:M,'Bilateral Assistance, MAIN DATA'!I:I,'Price List, Weapons &amp; Items'!B589)</f>
        <v>0</v>
      </c>
      <c r="N589" s="71">
        <f>COUNTIFS('Bilateral Assistance, MAIN DATA'!M:M,"undisclosed",'Bilateral Assistance, MAIN DATA'!I:I,'Price List, Weapons &amp; Items'!B589)</f>
        <v>1</v>
      </c>
      <c r="O589" s="910">
        <f t="shared" si="60"/>
        <v>0</v>
      </c>
      <c r="P589" s="71">
        <f>IFERROR(IF(SEARCH(B589,_xlfn.ARRAYTOTEXT('Bilateral Assistance, MAIN DATA'!I$1:I$2206))&gt;0,1,""),0)</f>
        <v>0</v>
      </c>
      <c r="Q589" s="71">
        <f>IFERROR(IF(SEARCH(B589,_xlfn.ARRAYTOTEXT('Commercial Assistance'!I$1:I$1400))&gt;0,1,""),0)</f>
        <v>0</v>
      </c>
      <c r="R589" s="905" t="str">
        <f>IF(SUMIFS('Bilateral Assistance, MAIN DATA'!N:N,'Bilateral Assistance, MAIN DATA'!I:I,'Price List, Weapons &amp; Items'!B589)&gt;M589,1,".")</f>
        <v>.</v>
      </c>
    </row>
    <row r="590" spans="1:18" ht="15" customHeight="1">
      <c r="B590" s="916" t="s">
        <v>1865</v>
      </c>
      <c r="C590" s="898" t="s">
        <v>1105</v>
      </c>
      <c r="D590" s="899" t="s">
        <v>1105</v>
      </c>
      <c r="E590" s="900">
        <v>0</v>
      </c>
      <c r="F590" s="900">
        <f t="shared" si="55"/>
        <v>0</v>
      </c>
      <c r="G590" s="892">
        <v>8000</v>
      </c>
      <c r="H590" s="908" t="s">
        <v>456</v>
      </c>
      <c r="I590" s="895" t="s">
        <v>5998</v>
      </c>
      <c r="J590" s="901" t="s">
        <v>5080</v>
      </c>
      <c r="K590" s="901" t="s">
        <v>5999</v>
      </c>
      <c r="L590" s="905">
        <f t="shared" si="59"/>
        <v>1</v>
      </c>
      <c r="M590" s="909">
        <f>SUMIFS('Bilateral Assistance, MAIN DATA'!M:M,'Bilateral Assistance, MAIN DATA'!I:I,'Price List, Weapons &amp; Items'!B590)</f>
        <v>38</v>
      </c>
      <c r="N590" s="71">
        <f>COUNTIFS('Bilateral Assistance, MAIN DATA'!M:M,"undisclosed",'Bilateral Assistance, MAIN DATA'!I:I,'Price List, Weapons &amp; Items'!B590)</f>
        <v>0</v>
      </c>
      <c r="O590" s="910">
        <f t="shared" si="60"/>
        <v>304000</v>
      </c>
      <c r="P590" s="71">
        <f>IFERROR(IF(SEARCH(B590,_xlfn.ARRAYTOTEXT('Bilateral Assistance, MAIN DATA'!I$1:I$2206))&gt;0,1,""),0)</f>
        <v>0</v>
      </c>
      <c r="Q590" s="71">
        <f>IFERROR(IF(SEARCH(B590,_xlfn.ARRAYTOTEXT('Commercial Assistance'!I$1:I$1400))&gt;0,1,""),0)</f>
        <v>0</v>
      </c>
      <c r="R590" s="905" t="str">
        <f>IF(SUMIFS('Bilateral Assistance, MAIN DATA'!N:N,'Bilateral Assistance, MAIN DATA'!I:I,'Price List, Weapons &amp; Items'!B590)&gt;M590,1,".")</f>
        <v>.</v>
      </c>
    </row>
    <row r="591" spans="1:18" ht="15" customHeight="1">
      <c r="B591" s="915" t="s">
        <v>1276</v>
      </c>
      <c r="C591" s="898" t="s">
        <v>5062</v>
      </c>
      <c r="D591" s="899" t="s">
        <v>5078</v>
      </c>
      <c r="E591" s="900">
        <v>0</v>
      </c>
      <c r="F591" s="900">
        <f t="shared" si="55"/>
        <v>1</v>
      </c>
      <c r="G591" s="892">
        <v>582304.68000000005</v>
      </c>
      <c r="H591" s="908" t="s">
        <v>456</v>
      </c>
      <c r="I591" s="895" t="s">
        <v>5074</v>
      </c>
      <c r="J591" s="901" t="s">
        <v>5075</v>
      </c>
      <c r="K591" s="71" t="s">
        <v>5076</v>
      </c>
      <c r="L591" s="905">
        <f t="shared" si="59"/>
        <v>2</v>
      </c>
      <c r="M591" s="909">
        <f>SUMIFS('Bilateral Assistance, MAIN DATA'!M:M,'Bilateral Assistance, MAIN DATA'!I:I,'Price List, Weapons &amp; Items'!B591)</f>
        <v>110.33333333333331</v>
      </c>
      <c r="N591" s="71">
        <f>COUNTIFS('Bilateral Assistance, MAIN DATA'!M:M,"undisclosed",'Bilateral Assistance, MAIN DATA'!I:I,'Price List, Weapons &amp; Items'!B591)</f>
        <v>0</v>
      </c>
      <c r="O591" s="910">
        <f t="shared" si="60"/>
        <v>64247616.359999992</v>
      </c>
      <c r="P591" s="71">
        <f>IFERROR(IF(SEARCH(B591,_xlfn.ARRAYTOTEXT('Bilateral Assistance, MAIN DATA'!I$1:I$2206))&gt;0,1,""),0)</f>
        <v>0</v>
      </c>
      <c r="Q591" s="71">
        <f>IFERROR(IF(SEARCH(B591,_xlfn.ARRAYTOTEXT('Commercial Assistance'!I$1:I$1400))&gt;0,1,""),0)</f>
        <v>0</v>
      </c>
      <c r="R591" s="905" t="str">
        <f>IF(SUMIFS('Bilateral Assistance, MAIN DATA'!N:N,'Bilateral Assistance, MAIN DATA'!I:I,'Price List, Weapons &amp; Items'!B591)&gt;M591,1,".")</f>
        <v>.</v>
      </c>
    </row>
    <row r="592" spans="1:18" ht="15" customHeight="1">
      <c r="B592" s="901" t="s">
        <v>2280</v>
      </c>
      <c r="C592" s="898" t="s">
        <v>5062</v>
      </c>
      <c r="D592" s="899" t="s">
        <v>5305</v>
      </c>
      <c r="E592" s="900">
        <v>0</v>
      </c>
      <c r="F592" s="900">
        <f t="shared" si="55"/>
        <v>0</v>
      </c>
      <c r="G592" s="892">
        <v>415000000</v>
      </c>
      <c r="H592" s="908" t="s">
        <v>456</v>
      </c>
      <c r="I592" s="895" t="s">
        <v>5074</v>
      </c>
      <c r="J592" s="901" t="s">
        <v>5075</v>
      </c>
      <c r="K592" s="901" t="s">
        <v>6000</v>
      </c>
      <c r="L592" s="905" t="str">
        <f t="shared" si="59"/>
        <v>no price, 0 count</v>
      </c>
      <c r="M592" s="909">
        <f>SUMIFS('Bilateral Assistance, MAIN DATA'!M:M,'Bilateral Assistance, MAIN DATA'!I:I,'Price List, Weapons &amp; Items'!B592)</f>
        <v>0</v>
      </c>
      <c r="N592" s="71">
        <f>COUNTIFS('Bilateral Assistance, MAIN DATA'!M:M,"undisclosed",'Bilateral Assistance, MAIN DATA'!I:I,'Price List, Weapons &amp; Items'!B592)</f>
        <v>1</v>
      </c>
      <c r="O592" s="910">
        <f t="shared" si="60"/>
        <v>0</v>
      </c>
      <c r="P592" s="71">
        <f>IFERROR(IF(SEARCH(B592,_xlfn.ARRAYTOTEXT('Bilateral Assistance, MAIN DATA'!I$1:I$2206))&gt;0,1,""),0)</f>
        <v>0</v>
      </c>
      <c r="Q592" s="71">
        <f>IFERROR(IF(SEARCH(B592,_xlfn.ARRAYTOTEXT('Commercial Assistance'!I$1:I$1400))&gt;0,1,""),0)</f>
        <v>0</v>
      </c>
      <c r="R592" s="905" t="str">
        <f>IF(SUMIFS('Bilateral Assistance, MAIN DATA'!N:N,'Bilateral Assistance, MAIN DATA'!I:I,'Price List, Weapons &amp; Items'!B592)&gt;M592,1,".")</f>
        <v>.</v>
      </c>
    </row>
    <row r="593" spans="2:18" ht="15" customHeight="1">
      <c r="B593" s="901" t="s">
        <v>2285</v>
      </c>
      <c r="C593" s="898" t="s">
        <v>5062</v>
      </c>
      <c r="D593" s="899" t="s">
        <v>5305</v>
      </c>
      <c r="E593" s="900">
        <v>0</v>
      </c>
      <c r="F593" s="900">
        <f t="shared" si="55"/>
        <v>0</v>
      </c>
      <c r="G593" s="892">
        <v>4150000</v>
      </c>
      <c r="H593" s="908" t="s">
        <v>456</v>
      </c>
      <c r="I593" s="895" t="s">
        <v>5074</v>
      </c>
      <c r="J593" s="901" t="s">
        <v>5075</v>
      </c>
      <c r="K593" s="901" t="s">
        <v>6001</v>
      </c>
      <c r="L593" s="905" t="str">
        <f t="shared" si="59"/>
        <v>no price, 0 count</v>
      </c>
      <c r="M593" s="909">
        <f>SUMIFS('Bilateral Assistance, MAIN DATA'!M:M,'Bilateral Assistance, MAIN DATA'!I:I,'Price List, Weapons &amp; Items'!B593)</f>
        <v>0</v>
      </c>
      <c r="N593" s="71">
        <f>COUNTIFS('Bilateral Assistance, MAIN DATA'!M:M,"undisclosed",'Bilateral Assistance, MAIN DATA'!I:I,'Price List, Weapons &amp; Items'!B593)</f>
        <v>1</v>
      </c>
      <c r="O593" s="910">
        <f t="shared" si="60"/>
        <v>0</v>
      </c>
      <c r="P593" s="71">
        <f>IFERROR(IF(SEARCH(B593,_xlfn.ARRAYTOTEXT('Bilateral Assistance, MAIN DATA'!I$1:I$2206))&gt;0,1,""),0)</f>
        <v>0</v>
      </c>
      <c r="Q593" s="71">
        <f>IFERROR(IF(SEARCH(B593,_xlfn.ARRAYTOTEXT('Commercial Assistance'!I$1:I$1400))&gt;0,1,""),0)</f>
        <v>0</v>
      </c>
      <c r="R593" s="905" t="str">
        <f>IF(SUMIFS('Bilateral Assistance, MAIN DATA'!N:N,'Bilateral Assistance, MAIN DATA'!I:I,'Price List, Weapons &amp; Items'!B593)&gt;M593,1,".")</f>
        <v>.</v>
      </c>
    </row>
    <row r="594" spans="2:18" ht="15" customHeight="1">
      <c r="B594" s="912" t="s">
        <v>1937</v>
      </c>
      <c r="C594" s="898" t="s">
        <v>1105</v>
      </c>
      <c r="D594" s="899" t="s">
        <v>1105</v>
      </c>
      <c r="E594" s="900">
        <v>0</v>
      </c>
      <c r="F594" s="900">
        <f t="shared" si="55"/>
        <v>0</v>
      </c>
      <c r="G594" s="892" t="s">
        <v>364</v>
      </c>
      <c r="H594" s="908" t="s">
        <v>364</v>
      </c>
      <c r="I594" s="895"/>
      <c r="J594" s="901"/>
      <c r="L594" s="905">
        <f t="shared" si="59"/>
        <v>0</v>
      </c>
      <c r="M594" s="909">
        <f>SUMIFS('Bilateral Assistance, MAIN DATA'!M:M,'Bilateral Assistance, MAIN DATA'!I:I,'Price List, Weapons &amp; Items'!B594)</f>
        <v>10</v>
      </c>
      <c r="N594" s="71">
        <f>COUNTIFS('Bilateral Assistance, MAIN DATA'!M:M,"undisclosed",'Bilateral Assistance, MAIN DATA'!I:I,'Price List, Weapons &amp; Items'!B594)</f>
        <v>0</v>
      </c>
      <c r="O594" s="910" t="str">
        <f t="shared" si="60"/>
        <v>no price</v>
      </c>
      <c r="P594" s="71">
        <f>IFERROR(IF(SEARCH(B594,_xlfn.ARRAYTOTEXT('Bilateral Assistance, MAIN DATA'!I$1:I$2206))&gt;0,1,""),0)</f>
        <v>0</v>
      </c>
      <c r="Q594" s="71">
        <f>IFERROR(IF(SEARCH(B594,_xlfn.ARRAYTOTEXT('Commercial Assistance'!I$1:I$1400))&gt;0,1,""),0)</f>
        <v>0</v>
      </c>
      <c r="R594" s="905" t="str">
        <f>IF(SUMIFS('Bilateral Assistance, MAIN DATA'!N:N,'Bilateral Assistance, MAIN DATA'!I:I,'Price List, Weapons &amp; Items'!B594)&gt;M594,1,".")</f>
        <v>.</v>
      </c>
    </row>
    <row r="595" spans="2:18" ht="15" customHeight="1">
      <c r="B595" s="901" t="s">
        <v>1935</v>
      </c>
      <c r="C595" s="898" t="s">
        <v>5062</v>
      </c>
      <c r="D595" s="899" t="s">
        <v>5366</v>
      </c>
      <c r="E595" s="900">
        <v>0</v>
      </c>
      <c r="F595" s="900">
        <f t="shared" si="55"/>
        <v>1</v>
      </c>
      <c r="G595" s="892" t="s">
        <v>364</v>
      </c>
      <c r="H595" s="908" t="s">
        <v>364</v>
      </c>
      <c r="I595" s="895"/>
      <c r="J595" s="901"/>
      <c r="L595" s="905">
        <f t="shared" si="59"/>
        <v>0</v>
      </c>
      <c r="M595" s="909">
        <f>SUMIFS('Bilateral Assistance, MAIN DATA'!M:M,'Bilateral Assistance, MAIN DATA'!I:I,'Price List, Weapons &amp; Items'!B595)</f>
        <v>2</v>
      </c>
      <c r="N595" s="71">
        <f>COUNTIFS('Bilateral Assistance, MAIN DATA'!M:M,"undisclosed",'Bilateral Assistance, MAIN DATA'!I:I,'Price List, Weapons &amp; Items'!B595)</f>
        <v>0</v>
      </c>
      <c r="O595" s="910" t="str">
        <f t="shared" si="60"/>
        <v>no price</v>
      </c>
      <c r="P595" s="71">
        <f>IFERROR(IF(SEARCH(B595,_xlfn.ARRAYTOTEXT('Bilateral Assistance, MAIN DATA'!I$1:I$2206))&gt;0,1,""),0)</f>
        <v>0</v>
      </c>
      <c r="Q595" s="71">
        <f>IFERROR(IF(SEARCH(B595,_xlfn.ARRAYTOTEXT('Commercial Assistance'!I$1:I$1400))&gt;0,1,""),0)</f>
        <v>0</v>
      </c>
      <c r="R595" s="905" t="str">
        <f>IF(SUMIFS('Bilateral Assistance, MAIN DATA'!N:N,'Bilateral Assistance, MAIN DATA'!I:I,'Price List, Weapons &amp; Items'!B595)&gt;M595,1,".")</f>
        <v>.</v>
      </c>
    </row>
    <row r="596" spans="2:18" ht="15" customHeight="1">
      <c r="B596" s="901" t="s">
        <v>6002</v>
      </c>
      <c r="C596" s="898" t="s">
        <v>5059</v>
      </c>
      <c r="D596" s="899" t="s">
        <v>5122</v>
      </c>
      <c r="E596" s="900">
        <v>0</v>
      </c>
      <c r="F596" s="900">
        <f t="shared" si="55"/>
        <v>0</v>
      </c>
      <c r="G596" s="892">
        <v>3085714.28</v>
      </c>
      <c r="H596" s="908" t="s">
        <v>456</v>
      </c>
      <c r="I596" s="895" t="s">
        <v>6003</v>
      </c>
      <c r="J596" s="901" t="s">
        <v>5075</v>
      </c>
      <c r="K596" s="901" t="s">
        <v>6004</v>
      </c>
      <c r="L596" s="905" t="str">
        <f t="shared" si="59"/>
        <v>no price, 0 count</v>
      </c>
      <c r="M596" s="909">
        <f>SUMIFS('Bilateral Assistance, MAIN DATA'!M:M,'Bilateral Assistance, MAIN DATA'!I:I,'Price List, Weapons &amp; Items'!B596)</f>
        <v>0</v>
      </c>
      <c r="N596" s="71">
        <f>COUNTIFS('Bilateral Assistance, MAIN DATA'!M:M,"undisclosed",'Bilateral Assistance, MAIN DATA'!I:I,'Price List, Weapons &amp; Items'!B596)</f>
        <v>0</v>
      </c>
      <c r="O596" s="910">
        <f t="shared" si="60"/>
        <v>0</v>
      </c>
      <c r="P596" s="71">
        <f>IFERROR(IF(SEARCH(B596,_xlfn.ARRAYTOTEXT('Bilateral Assistance, MAIN DATA'!I$1:I$2206))&gt;0,1,""),0)</f>
        <v>0</v>
      </c>
      <c r="Q596" s="71">
        <f>IFERROR(IF(SEARCH(B596,_xlfn.ARRAYTOTEXT('Commercial Assistance'!I$1:I$1400))&gt;0,1,""),0)</f>
        <v>0</v>
      </c>
      <c r="R596" s="905" t="str">
        <f>IF(SUMIFS('Bilateral Assistance, MAIN DATA'!N:N,'Bilateral Assistance, MAIN DATA'!I:I,'Price List, Weapons &amp; Items'!B596)&gt;M596,1,".")</f>
        <v>.</v>
      </c>
    </row>
    <row r="597" spans="2:18" ht="15" customHeight="1">
      <c r="B597" s="71" t="s">
        <v>4369</v>
      </c>
      <c r="C597" s="898" t="s">
        <v>1105</v>
      </c>
      <c r="D597" s="898" t="s">
        <v>1105</v>
      </c>
      <c r="E597" s="900">
        <v>0</v>
      </c>
      <c r="F597" s="900">
        <v>0</v>
      </c>
      <c r="G597" s="902" t="s">
        <v>364</v>
      </c>
      <c r="H597" s="903" t="s">
        <v>456</v>
      </c>
      <c r="I597" s="943" t="s">
        <v>364</v>
      </c>
      <c r="J597" s="71" t="s">
        <v>364</v>
      </c>
      <c r="K597" s="71" t="s">
        <v>364</v>
      </c>
      <c r="L597" s="905" t="str">
        <f t="shared" si="59"/>
        <v>no price, 0 count</v>
      </c>
      <c r="M597" s="909">
        <f>SUMIFS('Bilateral Assistance, MAIN DATA'!M:M,'Bilateral Assistance, MAIN DATA'!I:I,'Price List, Weapons &amp; Items'!B597)</f>
        <v>0</v>
      </c>
      <c r="N597" s="71">
        <f>COUNTIFS('Bilateral Assistance, MAIN DATA'!M:M,"undisclosed",'Bilateral Assistance, MAIN DATA'!I:I,'Price List, Weapons &amp; Items'!B597)</f>
        <v>1</v>
      </c>
      <c r="O597" s="910" t="str">
        <f t="shared" ref="O597:O609" si="61">IFERROR(M597*G597,"no price")</f>
        <v>no price</v>
      </c>
      <c r="P597" s="71">
        <f>IFERROR(IF(SEARCH(B597,_xlfn.ARRAYTOTEXT('Bilateral Assistance, MAIN DATA'!I$1:I$2206))&gt;0,1,""),0)</f>
        <v>0</v>
      </c>
      <c r="Q597" s="71">
        <f>IFERROR(IF(SEARCH(B597,_xlfn.ARRAYTOTEXT('Commercial Assistance'!I$1:I$1400))&gt;0,1,""),0)</f>
        <v>0</v>
      </c>
      <c r="R597" s="905" t="str">
        <f>IF(SUMIFS('Bilateral Assistance, MAIN DATA'!N:N,'Bilateral Assistance, MAIN DATA'!I:I,'Price List, Weapons &amp; Items'!B597)&gt;M597,1,".")</f>
        <v>.</v>
      </c>
    </row>
    <row r="598" spans="2:18" ht="15" customHeight="1">
      <c r="B598" s="71" t="s">
        <v>4370</v>
      </c>
      <c r="C598" s="898" t="s">
        <v>1105</v>
      </c>
      <c r="D598" s="898" t="s">
        <v>1105</v>
      </c>
      <c r="E598" s="900">
        <v>0</v>
      </c>
      <c r="F598" s="900">
        <v>0</v>
      </c>
      <c r="G598" s="902" t="s">
        <v>364</v>
      </c>
      <c r="H598" s="903" t="s">
        <v>456</v>
      </c>
      <c r="I598" s="943" t="s">
        <v>364</v>
      </c>
      <c r="J598" s="71" t="s">
        <v>364</v>
      </c>
      <c r="K598" s="71" t="s">
        <v>364</v>
      </c>
      <c r="L598" s="905" t="str">
        <f t="shared" si="59"/>
        <v>no price, 0 count</v>
      </c>
      <c r="M598" s="909">
        <f>SUMIFS('Bilateral Assistance, MAIN DATA'!M:M,'Bilateral Assistance, MAIN DATA'!I:I,'Price List, Weapons &amp; Items'!B598)</f>
        <v>0</v>
      </c>
      <c r="N598" s="71">
        <f>COUNTIFS('Bilateral Assistance, MAIN DATA'!M:M,"undisclosed",'Bilateral Assistance, MAIN DATA'!I:I,'Price List, Weapons &amp; Items'!B598)</f>
        <v>1</v>
      </c>
      <c r="O598" s="910" t="str">
        <f t="shared" si="61"/>
        <v>no price</v>
      </c>
      <c r="P598" s="71">
        <f>IFERROR(IF(SEARCH(B598,_xlfn.ARRAYTOTEXT('Bilateral Assistance, MAIN DATA'!I$1:I$2206))&gt;0,1,""),0)</f>
        <v>0</v>
      </c>
      <c r="Q598" s="71">
        <f>IFERROR(IF(SEARCH(B598,_xlfn.ARRAYTOTEXT('Commercial Assistance'!I$1:I$1400))&gt;0,1,""),0)</f>
        <v>0</v>
      </c>
      <c r="R598" s="905" t="str">
        <f>IF(SUMIFS('Bilateral Assistance, MAIN DATA'!N:N,'Bilateral Assistance, MAIN DATA'!I:I,'Price List, Weapons &amp; Items'!B598)&gt;M598,1,".")</f>
        <v>.</v>
      </c>
    </row>
    <row r="599" spans="2:18" ht="15" customHeight="1">
      <c r="B599" s="71" t="s">
        <v>4371</v>
      </c>
      <c r="C599" s="898" t="s">
        <v>1105</v>
      </c>
      <c r="D599" s="898" t="s">
        <v>1105</v>
      </c>
      <c r="E599" s="900">
        <v>0</v>
      </c>
      <c r="F599" s="900">
        <v>0</v>
      </c>
      <c r="G599" s="902">
        <v>40171.4375</v>
      </c>
      <c r="H599" s="903" t="s">
        <v>456</v>
      </c>
      <c r="I599" s="940" t="s">
        <v>6005</v>
      </c>
      <c r="J599" s="71" t="s">
        <v>5119</v>
      </c>
      <c r="K599" s="71" t="s">
        <v>6006</v>
      </c>
      <c r="L599" s="905" t="str">
        <f t="shared" si="59"/>
        <v>no price, 0 count</v>
      </c>
      <c r="M599" s="909">
        <f>SUMIFS('Bilateral Assistance, MAIN DATA'!M:M,'Bilateral Assistance, MAIN DATA'!I:I,'Price List, Weapons &amp; Items'!B599)</f>
        <v>0</v>
      </c>
      <c r="N599" s="71">
        <f>COUNTIFS('Bilateral Assistance, MAIN DATA'!M:M,"undisclosed",'Bilateral Assistance, MAIN DATA'!I:I,'Price List, Weapons &amp; Items'!B599)</f>
        <v>1</v>
      </c>
      <c r="O599" s="910">
        <f t="shared" si="61"/>
        <v>0</v>
      </c>
      <c r="P599" s="71">
        <f>IFERROR(IF(SEARCH(B599,_xlfn.ARRAYTOTEXT('Bilateral Assistance, MAIN DATA'!I$1:I$2206))&gt;0,1,""),0)</f>
        <v>0</v>
      </c>
      <c r="Q599" s="71">
        <f>IFERROR(IF(SEARCH(B599,_xlfn.ARRAYTOTEXT('Commercial Assistance'!I$1:I$1400))&gt;0,1,""),0)</f>
        <v>0</v>
      </c>
      <c r="R599" s="905" t="str">
        <f>IF(SUMIFS('Bilateral Assistance, MAIN DATA'!N:N,'Bilateral Assistance, MAIN DATA'!I:I,'Price List, Weapons &amp; Items'!B599)&gt;M599,1,".")</f>
        <v>.</v>
      </c>
    </row>
    <row r="600" spans="2:18" ht="15" customHeight="1">
      <c r="B600" s="71" t="s">
        <v>4373</v>
      </c>
      <c r="C600" s="898" t="s">
        <v>1105</v>
      </c>
      <c r="D600" s="898" t="s">
        <v>1105</v>
      </c>
      <c r="E600" s="900">
        <v>0</v>
      </c>
      <c r="F600" s="900">
        <f t="shared" ref="F600:F630" si="62">IF(OR(D600="Armored Personnel Carrier (APC)",D600="Armored Recovery Vehicle (ARV)",D600="Armored Utility Vehicle (AUV)",D600="152mm howitzer ammunition",D600="155mm howitzer ammunition",D600="300mm MLRS ammunition",D600="155mm howitzer",D600="227mm MLRS ammunition",D600="Infantry fighting vehicle (IFV)",D600="152mm howitzer",D600="227mm MLRS",D600="Main Battle Tank (MBT)",D600="Protected Patrol Vehicle (PPV)",D600="127mm MLRS",D600="122mm MLRS",D600="122mm MLRS ammunition",D600="122mm MLRS",D600="127mm MLRS",D600="127mm MLRS ammunition")=TRUE,1,0)</f>
        <v>0</v>
      </c>
      <c r="G600" s="892">
        <v>5332000</v>
      </c>
      <c r="H600" s="908" t="str">
        <f t="shared" ref="H600" si="63">IF(G600&lt;&gt;".","USD",".")</f>
        <v>USD</v>
      </c>
      <c r="I600" s="897" t="s">
        <v>5706</v>
      </c>
      <c r="J600" s="71" t="s">
        <v>5119</v>
      </c>
      <c r="K600" s="917" t="s">
        <v>6007</v>
      </c>
      <c r="L600" s="905">
        <f t="shared" si="59"/>
        <v>2</v>
      </c>
      <c r="M600" s="909">
        <f>SUMIFS('Bilateral Assistance, MAIN DATA'!M:M,'Bilateral Assistance, MAIN DATA'!I:I,'Price List, Weapons &amp; Items'!B600)</f>
        <v>20</v>
      </c>
      <c r="N600" s="71">
        <f>COUNTIFS('Bilateral Assistance, MAIN DATA'!M:M,"undisclosed",'Bilateral Assistance, MAIN DATA'!I:I,'Price List, Weapons &amp; Items'!B600)</f>
        <v>0</v>
      </c>
      <c r="O600" s="910">
        <f t="shared" si="61"/>
        <v>106640000</v>
      </c>
      <c r="P600" s="71">
        <f>IFERROR(IF(SEARCH(B600,_xlfn.ARRAYTOTEXT('Bilateral Assistance, MAIN DATA'!I$1:I$2206))&gt;0,1,""),0)</f>
        <v>0</v>
      </c>
      <c r="Q600" s="71">
        <f>IFERROR(IF(SEARCH(B600,_xlfn.ARRAYTOTEXT('Commercial Assistance'!I$1:I$1400))&gt;0,1,""),0)</f>
        <v>0</v>
      </c>
      <c r="R600" s="905" t="str">
        <f>IF(SUMIFS('Bilateral Assistance, MAIN DATA'!N:N,'Bilateral Assistance, MAIN DATA'!I:I,'Price List, Weapons &amp; Items'!B600)&gt;M600,1,".")</f>
        <v>.</v>
      </c>
    </row>
    <row r="601" spans="2:18" ht="15" customHeight="1">
      <c r="B601" s="71" t="s">
        <v>4354</v>
      </c>
      <c r="C601" s="898" t="s">
        <v>5062</v>
      </c>
      <c r="D601" s="71" t="s">
        <v>602</v>
      </c>
      <c r="E601" s="900">
        <v>0</v>
      </c>
      <c r="F601" s="900">
        <f t="shared" si="62"/>
        <v>0</v>
      </c>
      <c r="G601" s="902">
        <f>49941000/30</f>
        <v>1664700</v>
      </c>
      <c r="H601" s="903" t="s">
        <v>456</v>
      </c>
      <c r="I601" s="897" t="s">
        <v>5706</v>
      </c>
      <c r="J601" s="71" t="s">
        <v>5119</v>
      </c>
      <c r="K601" s="71" t="s">
        <v>6008</v>
      </c>
      <c r="L601" s="905" t="str">
        <f t="shared" si="59"/>
        <v>no price, 0 count</v>
      </c>
      <c r="M601" s="909">
        <f>SUMIFS('Bilateral Assistance, MAIN DATA'!M:M,'Bilateral Assistance, MAIN DATA'!I:I,'Price List, Weapons &amp; Items'!B601)</f>
        <v>0</v>
      </c>
      <c r="N601" s="71">
        <f>COUNTIFS('Bilateral Assistance, MAIN DATA'!M:M,"undisclosed",'Bilateral Assistance, MAIN DATA'!I:I,'Price List, Weapons &amp; Items'!B601)</f>
        <v>5</v>
      </c>
      <c r="O601" s="910">
        <f t="shared" si="61"/>
        <v>0</v>
      </c>
      <c r="P601" s="71">
        <f>IFERROR(IF(SEARCH(B601,_xlfn.ARRAYTOTEXT('Bilateral Assistance, MAIN DATA'!I$1:I$2206))&gt;0,1,""),0)</f>
        <v>0</v>
      </c>
      <c r="Q601" s="71">
        <f>IFERROR(IF(SEARCH(B601,_xlfn.ARRAYTOTEXT('Commercial Assistance'!I$1:I$1400))&gt;0,1,""),0)</f>
        <v>0</v>
      </c>
      <c r="R601" s="905" t="str">
        <f>IF(SUMIFS('Bilateral Assistance, MAIN DATA'!N:N,'Bilateral Assistance, MAIN DATA'!I:I,'Price List, Weapons &amp; Items'!B601)&gt;M601,1,".")</f>
        <v>.</v>
      </c>
    </row>
    <row r="602" spans="2:18" ht="15" customHeight="1">
      <c r="B602" s="901" t="s">
        <v>4336</v>
      </c>
      <c r="C602" s="898" t="s">
        <v>5062</v>
      </c>
      <c r="D602" s="899" t="s">
        <v>5366</v>
      </c>
      <c r="E602" s="900">
        <v>0</v>
      </c>
      <c r="F602" s="900">
        <f t="shared" si="62"/>
        <v>1</v>
      </c>
      <c r="G602" s="902">
        <v>6654468.8715460701</v>
      </c>
      <c r="H602" s="903" t="s">
        <v>456</v>
      </c>
      <c r="I602" s="936" t="s">
        <v>5074</v>
      </c>
      <c r="J602" s="901" t="s">
        <v>5075</v>
      </c>
      <c r="K602" s="71" t="s">
        <v>6009</v>
      </c>
      <c r="L602" s="905">
        <f t="shared" si="59"/>
        <v>2</v>
      </c>
      <c r="M602" s="909">
        <f>SUMIFS('Bilateral Assistance, MAIN DATA'!M:M,'Bilateral Assistance, MAIN DATA'!I:I,'Price List, Weapons &amp; Items'!B602)</f>
        <v>28</v>
      </c>
      <c r="N602" s="71">
        <f>COUNTIFS('Bilateral Assistance, MAIN DATA'!M:M,"undisclosed",'Bilateral Assistance, MAIN DATA'!I:I,'Price List, Weapons &amp; Items'!B602)</f>
        <v>0</v>
      </c>
      <c r="O602" s="910">
        <f t="shared" si="61"/>
        <v>186325128.40328997</v>
      </c>
      <c r="P602" s="71">
        <f>IFERROR(IF(SEARCH(B602,_xlfn.ARRAYTOTEXT('Bilateral Assistance, MAIN DATA'!I$1:I$2206))&gt;0,1,""),0)</f>
        <v>0</v>
      </c>
      <c r="Q602" s="71">
        <f>IFERROR(IF(SEARCH(B602,_xlfn.ARRAYTOTEXT('Commercial Assistance'!I$1:I$1400))&gt;0,1,""),0)</f>
        <v>0</v>
      </c>
      <c r="R602" s="905" t="str">
        <f>IF(SUMIFS('Bilateral Assistance, MAIN DATA'!N:N,'Bilateral Assistance, MAIN DATA'!I:I,'Price List, Weapons &amp; Items'!B602)&gt;M602,1,".")</f>
        <v>.</v>
      </c>
    </row>
    <row r="603" spans="2:18" ht="15" customHeight="1">
      <c r="B603" s="901" t="s">
        <v>4326</v>
      </c>
      <c r="C603" s="898" t="s">
        <v>5062</v>
      </c>
      <c r="D603" s="71" t="s">
        <v>5152</v>
      </c>
      <c r="E603" s="900">
        <v>1</v>
      </c>
      <c r="F603" s="900">
        <f t="shared" si="62"/>
        <v>1</v>
      </c>
      <c r="G603" s="902">
        <v>2289116.94</v>
      </c>
      <c r="H603" s="903" t="s">
        <v>456</v>
      </c>
      <c r="I603" s="936" t="s">
        <v>5074</v>
      </c>
      <c r="J603" s="901" t="s">
        <v>5075</v>
      </c>
      <c r="K603" s="71" t="s">
        <v>6010</v>
      </c>
      <c r="L603" s="905">
        <f t="shared" si="59"/>
        <v>2</v>
      </c>
      <c r="M603" s="909">
        <f>SUMIFS('Bilateral Assistance, MAIN DATA'!M:M,'Bilateral Assistance, MAIN DATA'!I:I,'Price List, Weapons &amp; Items'!B603)</f>
        <v>12</v>
      </c>
      <c r="N603" s="71">
        <f>COUNTIFS('Bilateral Assistance, MAIN DATA'!M:M,"undisclosed",'Bilateral Assistance, MAIN DATA'!I:I,'Price List, Weapons &amp; Items'!B603)</f>
        <v>0</v>
      </c>
      <c r="O603" s="910">
        <f t="shared" si="61"/>
        <v>27469403.280000001</v>
      </c>
      <c r="P603" s="71">
        <f>IFERROR(IF(SEARCH(B603,_xlfn.ARRAYTOTEXT('Bilateral Assistance, MAIN DATA'!I$1:I$2206))&gt;0,1,""),0)</f>
        <v>0</v>
      </c>
      <c r="Q603" s="71">
        <f>IFERROR(IF(SEARCH(B603,_xlfn.ARRAYTOTEXT('Commercial Assistance'!I$1:I$1400))&gt;0,1,""),0)</f>
        <v>0</v>
      </c>
      <c r="R603" s="905" t="str">
        <f>IF(SUMIFS('Bilateral Assistance, MAIN DATA'!N:N,'Bilateral Assistance, MAIN DATA'!I:I,'Price List, Weapons &amp; Items'!B603)&gt;M603,1,".")</f>
        <v>.</v>
      </c>
    </row>
    <row r="604" spans="2:18" ht="15" customHeight="1">
      <c r="B604" s="901" t="s">
        <v>4323</v>
      </c>
      <c r="C604" s="898" t="s">
        <v>5062</v>
      </c>
      <c r="D604" s="899" t="s">
        <v>5157</v>
      </c>
      <c r="E604" s="900">
        <v>2</v>
      </c>
      <c r="F604" s="900">
        <f t="shared" si="62"/>
        <v>1</v>
      </c>
      <c r="G604" s="902">
        <v>2445376.7599999998</v>
      </c>
      <c r="H604" s="903" t="s">
        <v>456</v>
      </c>
      <c r="I604" s="936" t="s">
        <v>5074</v>
      </c>
      <c r="J604" s="901" t="s">
        <v>5075</v>
      </c>
      <c r="K604" s="71" t="s">
        <v>5076</v>
      </c>
      <c r="L604" s="905">
        <f t="shared" si="59"/>
        <v>2</v>
      </c>
      <c r="M604" s="909">
        <f>SUMIFS('Bilateral Assistance, MAIN DATA'!M:M,'Bilateral Assistance, MAIN DATA'!I:I,'Price List, Weapons &amp; Items'!B604)</f>
        <v>90</v>
      </c>
      <c r="N604" s="71">
        <f>COUNTIFS('Bilateral Assistance, MAIN DATA'!M:M,"undisclosed",'Bilateral Assistance, MAIN DATA'!I:I,'Price List, Weapons &amp; Items'!B604)</f>
        <v>0</v>
      </c>
      <c r="O604" s="910">
        <f t="shared" si="61"/>
        <v>220083908.39999998</v>
      </c>
      <c r="P604" s="71">
        <f>IFERROR(IF(SEARCH(B604,_xlfn.ARRAYTOTEXT('Bilateral Assistance, MAIN DATA'!I$1:I$2206))&gt;0,1,""),0)</f>
        <v>0</v>
      </c>
      <c r="Q604" s="71">
        <f>IFERROR(IF(SEARCH(B604,_xlfn.ARRAYTOTEXT('Commercial Assistance'!I$1:I$1400))&gt;0,1,""),0)</f>
        <v>0</v>
      </c>
      <c r="R604" s="905" t="str">
        <f>IF(SUMIFS('Bilateral Assistance, MAIN DATA'!N:N,'Bilateral Assistance, MAIN DATA'!I:I,'Price List, Weapons &amp; Items'!B604)&gt;M604,1,".")</f>
        <v>.</v>
      </c>
    </row>
    <row r="605" spans="2:18" ht="15" customHeight="1">
      <c r="B605" s="901" t="s">
        <v>6011</v>
      </c>
      <c r="C605" s="898" t="s">
        <v>1105</v>
      </c>
      <c r="D605" s="898" t="s">
        <v>1105</v>
      </c>
      <c r="E605" s="900">
        <v>0</v>
      </c>
      <c r="F605" s="900">
        <f t="shared" si="62"/>
        <v>0</v>
      </c>
      <c r="G605" s="892">
        <f>642743/32</f>
        <v>20085.71875</v>
      </c>
      <c r="H605" s="908" t="s">
        <v>456</v>
      </c>
      <c r="I605" s="897" t="s">
        <v>6012</v>
      </c>
      <c r="J605" s="901" t="s">
        <v>5119</v>
      </c>
      <c r="K605" s="901" t="s">
        <v>6013</v>
      </c>
      <c r="L605" s="905" t="str">
        <f t="shared" si="59"/>
        <v>no price, 0 count</v>
      </c>
      <c r="M605" s="909">
        <f>SUMIFS('Bilateral Assistance, MAIN DATA'!M:M,'Bilateral Assistance, MAIN DATA'!I:I,'Price List, Weapons &amp; Items'!B605)</f>
        <v>0</v>
      </c>
      <c r="N605" s="71">
        <f>COUNTIFS('Bilateral Assistance, MAIN DATA'!M:M,"undisclosed",'Bilateral Assistance, MAIN DATA'!I:I,'Price List, Weapons &amp; Items'!B605)</f>
        <v>0</v>
      </c>
      <c r="O605" s="910">
        <f t="shared" si="61"/>
        <v>0</v>
      </c>
      <c r="P605" s="71">
        <f>IFERROR(IF(SEARCH(B605,_xlfn.ARRAYTOTEXT('Bilateral Assistance, MAIN DATA'!I$1:I$2206))&gt;0,1,""),0)</f>
        <v>0</v>
      </c>
      <c r="Q605" s="71">
        <f>IFERROR(IF(SEARCH(B605,_xlfn.ARRAYTOTEXT('Commercial Assistance'!I$1:I$1400))&gt;0,1,""),0)</f>
        <v>0</v>
      </c>
      <c r="R605" s="905" t="str">
        <f>IF(SUMIFS('Bilateral Assistance, MAIN DATA'!N:N,'Bilateral Assistance, MAIN DATA'!I:I,'Price List, Weapons &amp; Items'!B605)&gt;M605,1,".")</f>
        <v>.</v>
      </c>
    </row>
    <row r="606" spans="2:18" ht="15" customHeight="1">
      <c r="B606" s="71" t="s">
        <v>3051</v>
      </c>
      <c r="C606" s="898" t="s">
        <v>5062</v>
      </c>
      <c r="D606" s="71" t="s">
        <v>5360</v>
      </c>
      <c r="E606" s="900">
        <v>1</v>
      </c>
      <c r="F606" s="900">
        <f t="shared" si="62"/>
        <v>0</v>
      </c>
      <c r="G606" s="902" t="s">
        <v>364</v>
      </c>
      <c r="H606" s="903" t="s">
        <v>456</v>
      </c>
      <c r="I606" s="943"/>
      <c r="J606" s="71"/>
      <c r="K606" s="71"/>
      <c r="L606" s="905" t="str">
        <f t="shared" si="59"/>
        <v>no price, 0 count</v>
      </c>
      <c r="M606" s="909">
        <f>SUMIFS('Bilateral Assistance, MAIN DATA'!M:M,'Bilateral Assistance, MAIN DATA'!I:I,'Price List, Weapons &amp; Items'!B606)</f>
        <v>0</v>
      </c>
      <c r="N606" s="71">
        <f>COUNTIFS('Bilateral Assistance, MAIN DATA'!M:M,"undisclosed",'Bilateral Assistance, MAIN DATA'!I:I,'Price List, Weapons &amp; Items'!B606)</f>
        <v>1</v>
      </c>
      <c r="O606" s="910" t="str">
        <f t="shared" si="61"/>
        <v>no price</v>
      </c>
      <c r="P606" s="71">
        <f>IFERROR(IF(SEARCH(B606,_xlfn.ARRAYTOTEXT('Bilateral Assistance, MAIN DATA'!I$1:I$2206))&gt;0,1,""),0)</f>
        <v>0</v>
      </c>
      <c r="Q606" s="71">
        <f>IFERROR(IF(SEARCH(B606,_xlfn.ARRAYTOTEXT('Commercial Assistance'!I$1:I$1400))&gt;0,1,""),0)</f>
        <v>0</v>
      </c>
      <c r="R606" s="905" t="str">
        <f>IF(SUMIFS('Bilateral Assistance, MAIN DATA'!N:N,'Bilateral Assistance, MAIN DATA'!I:I,'Price List, Weapons &amp; Items'!B606)&gt;M606,1,".")</f>
        <v>.</v>
      </c>
    </row>
    <row r="607" spans="2:18" ht="15" customHeight="1">
      <c r="B607" s="901" t="s">
        <v>3055</v>
      </c>
      <c r="C607" s="898" t="s">
        <v>5059</v>
      </c>
      <c r="D607" s="71" t="s">
        <v>5148</v>
      </c>
      <c r="E607" s="900">
        <v>1</v>
      </c>
      <c r="F607" s="900">
        <f t="shared" si="62"/>
        <v>0</v>
      </c>
      <c r="G607" s="902" t="s">
        <v>364</v>
      </c>
      <c r="H607" s="903" t="s">
        <v>456</v>
      </c>
      <c r="I607" s="943"/>
      <c r="J607" s="71"/>
      <c r="K607" s="71"/>
      <c r="L607" s="905">
        <f t="shared" si="59"/>
        <v>0</v>
      </c>
      <c r="M607" s="909">
        <f>SUMIFS('Bilateral Assistance, MAIN DATA'!M:M,'Bilateral Assistance, MAIN DATA'!I:I,'Price List, Weapons &amp; Items'!B607)</f>
        <v>70000</v>
      </c>
      <c r="N607" s="71">
        <f>COUNTIFS('Bilateral Assistance, MAIN DATA'!M:M,"undisclosed",'Bilateral Assistance, MAIN DATA'!I:I,'Price List, Weapons &amp; Items'!B607)</f>
        <v>0</v>
      </c>
      <c r="O607" s="910" t="str">
        <f t="shared" si="61"/>
        <v>no price</v>
      </c>
      <c r="P607" s="71">
        <f>IFERROR(IF(SEARCH(B607,_xlfn.ARRAYTOTEXT('Bilateral Assistance, MAIN DATA'!I$1:I$2206))&gt;0,1,""),0)</f>
        <v>0</v>
      </c>
      <c r="Q607" s="71">
        <f>IFERROR(IF(SEARCH(B607,_xlfn.ARRAYTOTEXT('Commercial Assistance'!I$1:I$1400))&gt;0,1,""),0)</f>
        <v>0</v>
      </c>
      <c r="R607" s="905" t="str">
        <f>IF(SUMIFS('Bilateral Assistance, MAIN DATA'!N:N,'Bilateral Assistance, MAIN DATA'!I:I,'Price List, Weapons &amp; Items'!B607)&gt;M607,1,".")</f>
        <v>.</v>
      </c>
    </row>
    <row r="608" spans="2:18" ht="15" customHeight="1">
      <c r="B608" s="901" t="s">
        <v>4237</v>
      </c>
      <c r="C608" s="898" t="s">
        <v>5059</v>
      </c>
      <c r="D608" s="899" t="s">
        <v>4237</v>
      </c>
      <c r="E608" s="900">
        <v>0</v>
      </c>
      <c r="F608" s="900">
        <f t="shared" si="62"/>
        <v>0</v>
      </c>
      <c r="G608" s="892">
        <v>20001.25</v>
      </c>
      <c r="H608" s="908" t="s">
        <v>456</v>
      </c>
      <c r="I608" s="896" t="s">
        <v>5996</v>
      </c>
      <c r="J608" s="901" t="s">
        <v>5119</v>
      </c>
      <c r="K608" s="901" t="s">
        <v>6014</v>
      </c>
      <c r="L608" s="905">
        <f t="shared" si="59"/>
        <v>2</v>
      </c>
      <c r="M608" s="909">
        <f>SUMIFS('Bilateral Assistance, MAIN DATA'!M:M,'Bilateral Assistance, MAIN DATA'!I:I,'Price List, Weapons &amp; Items'!B608)</f>
        <v>100000</v>
      </c>
      <c r="N608" s="71">
        <f>COUNTIFS('Bilateral Assistance, MAIN DATA'!M:M,"undisclosed",'Bilateral Assistance, MAIN DATA'!I:I,'Price List, Weapons &amp; Items'!B608)</f>
        <v>4</v>
      </c>
      <c r="O608" s="910">
        <f t="shared" si="61"/>
        <v>2000125000</v>
      </c>
      <c r="P608" s="71">
        <f>IFERROR(IF(SEARCH(B608,_xlfn.ARRAYTOTEXT('Bilateral Assistance, MAIN DATA'!I$1:I$2206))&gt;0,1,""),0)</f>
        <v>0</v>
      </c>
      <c r="Q608" s="71">
        <f>IFERROR(IF(SEARCH(B608,_xlfn.ARRAYTOTEXT('Commercial Assistance'!I$1:I$1400))&gt;0,1,""),0)</f>
        <v>0</v>
      </c>
      <c r="R608" s="905" t="str">
        <f>IF(SUMIFS('Bilateral Assistance, MAIN DATA'!N:N,'Bilateral Assistance, MAIN DATA'!I:I,'Price List, Weapons &amp; Items'!B608)&gt;M608,1,".")</f>
        <v>.</v>
      </c>
    </row>
    <row r="609" spans="2:18" ht="15" customHeight="1">
      <c r="B609" s="915" t="s">
        <v>4367</v>
      </c>
      <c r="C609" s="898" t="s">
        <v>5062</v>
      </c>
      <c r="D609" s="899" t="s">
        <v>5078</v>
      </c>
      <c r="E609" s="900">
        <v>0</v>
      </c>
      <c r="F609" s="900">
        <f t="shared" si="62"/>
        <v>1</v>
      </c>
      <c r="G609" s="902">
        <v>19000000</v>
      </c>
      <c r="H609" s="903" t="s">
        <v>456</v>
      </c>
      <c r="I609" s="944" t="s">
        <v>6015</v>
      </c>
      <c r="J609" s="71" t="s">
        <v>5080</v>
      </c>
      <c r="K609" s="71" t="s">
        <v>6016</v>
      </c>
      <c r="L609" s="905">
        <f t="shared" si="59"/>
        <v>2</v>
      </c>
      <c r="M609" s="909">
        <f>SUMIFS('Bilateral Assistance, MAIN DATA'!M:M,'Bilateral Assistance, MAIN DATA'!I:I,'Price List, Weapons &amp; Items'!B609)</f>
        <v>31</v>
      </c>
      <c r="N609" s="71">
        <f>COUNTIFS('Bilateral Assistance, MAIN DATA'!M:M,"undisclosed",'Bilateral Assistance, MAIN DATA'!I:I,'Price List, Weapons &amp; Items'!B609)</f>
        <v>0</v>
      </c>
      <c r="O609" s="910">
        <f t="shared" si="61"/>
        <v>589000000</v>
      </c>
      <c r="P609" s="71">
        <f>IFERROR(IF(SEARCH(B609,_xlfn.ARRAYTOTEXT('Bilateral Assistance, MAIN DATA'!I$1:I$2206))&gt;0,1,""),0)</f>
        <v>0</v>
      </c>
      <c r="Q609" s="71">
        <f>IFERROR(IF(SEARCH(B609,_xlfn.ARRAYTOTEXT('Commercial Assistance'!I$1:I$1400))&gt;0,1,""),0)</f>
        <v>0</v>
      </c>
      <c r="R609" s="905" t="str">
        <f>IF(SUMIFS('Bilateral Assistance, MAIN DATA'!N:N,'Bilateral Assistance, MAIN DATA'!I:I,'Price List, Weapons &amp; Items'!B609)&gt;M609,1,".")</f>
        <v>.</v>
      </c>
    </row>
    <row r="610" spans="2:18" ht="15" customHeight="1">
      <c r="B610" s="901" t="s">
        <v>1498</v>
      </c>
      <c r="C610" s="898" t="s">
        <v>1105</v>
      </c>
      <c r="D610" s="71" t="s">
        <v>5366</v>
      </c>
      <c r="E610" s="900">
        <v>0</v>
      </c>
      <c r="F610" s="900">
        <f t="shared" si="62"/>
        <v>1</v>
      </c>
      <c r="G610" s="902">
        <v>2138073.4315492632</v>
      </c>
      <c r="H610" s="903" t="s">
        <v>456</v>
      </c>
      <c r="I610" s="936" t="s">
        <v>5074</v>
      </c>
      <c r="J610" s="901" t="s">
        <v>5075</v>
      </c>
      <c r="K610" s="71" t="s">
        <v>6017</v>
      </c>
      <c r="L610" s="905">
        <f t="shared" si="59"/>
        <v>2</v>
      </c>
      <c r="M610" s="909">
        <f>SUMIFS('Bilateral Assistance, MAIN DATA'!M:M,'Bilateral Assistance, MAIN DATA'!I:I,'Price List, Weapons &amp; Items'!B610)</f>
        <v>6</v>
      </c>
      <c r="N610" s="71">
        <f>COUNTIFS('Bilateral Assistance, MAIN DATA'!M:M,"undisclosed",'Bilateral Assistance, MAIN DATA'!I:I,'Price List, Weapons &amp; Items'!B610)</f>
        <v>0</v>
      </c>
      <c r="O610" s="910">
        <f>IFERROR(M610*G610,"no price")</f>
        <v>12828440.589295579</v>
      </c>
      <c r="P610" s="71">
        <f>IFERROR(IF(SEARCH(B610,_xlfn.ARRAYTOTEXT('Bilateral Assistance, MAIN DATA'!I$1:I$2206))&gt;0,1,""),0)</f>
        <v>0</v>
      </c>
      <c r="Q610" s="71">
        <f>IFERROR(IF(SEARCH(B610,_xlfn.ARRAYTOTEXT('Commercial Assistance'!I$1:I$1400))&gt;0,1,""),0)</f>
        <v>0</v>
      </c>
      <c r="R610" s="905" t="str">
        <f>IF(SUMIFS('Bilateral Assistance, MAIN DATA'!N:N,'Bilateral Assistance, MAIN DATA'!I:I,'Price List, Weapons &amp; Items'!B610)&gt;M610,1,".")</f>
        <v>.</v>
      </c>
    </row>
    <row r="611" spans="2:18" ht="15" customHeight="1">
      <c r="B611" s="901" t="s">
        <v>1690</v>
      </c>
      <c r="C611" s="898" t="s">
        <v>5062</v>
      </c>
      <c r="D611" s="899" t="s">
        <v>5157</v>
      </c>
      <c r="E611" s="900">
        <v>0</v>
      </c>
      <c r="F611" s="900">
        <f t="shared" si="62"/>
        <v>1</v>
      </c>
      <c r="G611" s="902">
        <v>833000</v>
      </c>
      <c r="H611" s="903" t="s">
        <v>456</v>
      </c>
      <c r="I611" s="936" t="s">
        <v>5074</v>
      </c>
      <c r="J611" s="901" t="s">
        <v>5075</v>
      </c>
      <c r="K611" s="71" t="s">
        <v>6018</v>
      </c>
      <c r="L611" s="905" t="str">
        <f t="shared" si="59"/>
        <v>no price, 0 count</v>
      </c>
      <c r="M611" s="909">
        <f>SUMIFS('Bilateral Assistance, MAIN DATA'!M:M,'Bilateral Assistance, MAIN DATA'!I:I,'Price List, Weapons &amp; Items'!B611)</f>
        <v>0</v>
      </c>
      <c r="N611" s="71">
        <f>COUNTIFS('Bilateral Assistance, MAIN DATA'!M:M,"undisclosed",'Bilateral Assistance, MAIN DATA'!I:I,'Price List, Weapons &amp; Items'!B611)</f>
        <v>1</v>
      </c>
      <c r="O611" s="910">
        <f t="shared" ref="O611:O630" si="64">IFERROR(M611*G611,"no price")</f>
        <v>0</v>
      </c>
      <c r="P611" s="71">
        <f>IFERROR(IF(SEARCH(B611,_xlfn.ARRAYTOTEXT('Bilateral Assistance, MAIN DATA'!I$1:I$2206))&gt;0,1,""),0)</f>
        <v>0</v>
      </c>
      <c r="Q611" s="71">
        <f>IFERROR(IF(SEARCH(B611,_xlfn.ARRAYTOTEXT('Commercial Assistance'!I$1:I$1400))&gt;0,1,""),0)</f>
        <v>0</v>
      </c>
      <c r="R611" s="905" t="str">
        <f>IF(SUMIFS('Bilateral Assistance, MAIN DATA'!N:N,'Bilateral Assistance, MAIN DATA'!I:I,'Price List, Weapons &amp; Items'!B611)&gt;M611,1,".")</f>
        <v>.</v>
      </c>
    </row>
    <row r="612" spans="2:18" ht="15" customHeight="1">
      <c r="B612" s="901" t="s">
        <v>1700</v>
      </c>
      <c r="C612" s="898" t="s">
        <v>5059</v>
      </c>
      <c r="D612" s="71" t="s">
        <v>5122</v>
      </c>
      <c r="E612" s="900">
        <v>0</v>
      </c>
      <c r="F612" s="900">
        <f t="shared" si="62"/>
        <v>0</v>
      </c>
      <c r="G612" s="902">
        <v>2857000</v>
      </c>
      <c r="H612" s="903" t="s">
        <v>456</v>
      </c>
      <c r="I612" s="944" t="s">
        <v>6019</v>
      </c>
      <c r="J612" s="71" t="s">
        <v>5082</v>
      </c>
      <c r="K612" s="71" t="s">
        <v>6020</v>
      </c>
      <c r="L612" s="905" t="str">
        <f t="shared" si="59"/>
        <v>no price, 0 count</v>
      </c>
      <c r="M612" s="909">
        <f>SUMIFS('Bilateral Assistance, MAIN DATA'!M:M,'Bilateral Assistance, MAIN DATA'!I:I,'Price List, Weapons &amp; Items'!B612)</f>
        <v>0</v>
      </c>
      <c r="N612" s="71">
        <f>COUNTIFS('Bilateral Assistance, MAIN DATA'!M:M,"undisclosed",'Bilateral Assistance, MAIN DATA'!I:I,'Price List, Weapons &amp; Items'!B612)</f>
        <v>1</v>
      </c>
      <c r="O612" s="910">
        <f t="shared" si="64"/>
        <v>0</v>
      </c>
      <c r="P612" s="71">
        <f>IFERROR(IF(SEARCH(B612,_xlfn.ARRAYTOTEXT('Bilateral Assistance, MAIN DATA'!I$1:I$2206))&gt;0,1,""),0)</f>
        <v>0</v>
      </c>
      <c r="Q612" s="71">
        <f>IFERROR(IF(SEARCH(B612,_xlfn.ARRAYTOTEXT('Commercial Assistance'!I$1:I$1400))&gt;0,1,""),0)</f>
        <v>0</v>
      </c>
      <c r="R612" s="905" t="str">
        <f>IF(SUMIFS('Bilateral Assistance, MAIN DATA'!N:N,'Bilateral Assistance, MAIN DATA'!I:I,'Price List, Weapons &amp; Items'!B612)&gt;M612,1,".")</f>
        <v>.</v>
      </c>
    </row>
    <row r="613" spans="2:18" ht="15" customHeight="1">
      <c r="B613" s="901" t="s">
        <v>6021</v>
      </c>
      <c r="C613" s="898" t="s">
        <v>360</v>
      </c>
      <c r="D613" s="71" t="s">
        <v>360</v>
      </c>
      <c r="E613" s="900">
        <v>0</v>
      </c>
      <c r="F613" s="900">
        <f t="shared" si="62"/>
        <v>0</v>
      </c>
      <c r="G613" s="902">
        <v>190000</v>
      </c>
      <c r="H613" s="903" t="s">
        <v>456</v>
      </c>
      <c r="I613" s="943" t="s">
        <v>6022</v>
      </c>
      <c r="J613" s="913" t="s">
        <v>5089</v>
      </c>
      <c r="K613" s="71" t="s">
        <v>6023</v>
      </c>
      <c r="L613" s="905">
        <f t="shared" si="59"/>
        <v>0</v>
      </c>
      <c r="M613" s="909">
        <f>SUMIFS('Bilateral Assistance, MAIN DATA'!M:M,'Bilateral Assistance, MAIN DATA'!I:I,'Price List, Weapons &amp; Items'!B613)</f>
        <v>0</v>
      </c>
      <c r="N613" s="71">
        <f>COUNTIFS('Bilateral Assistance, MAIN DATA'!M:M,"undisclosed",'Bilateral Assistance, MAIN DATA'!I:I,'Price List, Weapons &amp; Items'!B613)</f>
        <v>1</v>
      </c>
      <c r="O613" s="910">
        <f t="shared" si="64"/>
        <v>0</v>
      </c>
      <c r="P613" s="71">
        <f>IFERROR(IF(SEARCH(B613,_xlfn.ARRAYTOTEXT('Bilateral Assistance, MAIN DATA'!I$1:I$2206))&gt;0,1,""),0)</f>
        <v>0</v>
      </c>
      <c r="Q613" s="71">
        <f>IFERROR(IF(SEARCH(B613,_xlfn.ARRAYTOTEXT('Commercial Assistance'!I$1:I$1400))&gt;0,1,""),0)</f>
        <v>0</v>
      </c>
      <c r="R613" s="905" t="str">
        <f>IF(SUMIFS('Bilateral Assistance, MAIN DATA'!N:N,'Bilateral Assistance, MAIN DATA'!I:I,'Price List, Weapons &amp; Items'!B613)&gt;M613,1,".")</f>
        <v>.</v>
      </c>
    </row>
    <row r="614" spans="2:18" ht="15" customHeight="1">
      <c r="B614" s="901" t="s">
        <v>3061</v>
      </c>
      <c r="C614" s="898" t="s">
        <v>5062</v>
      </c>
      <c r="D614" s="899" t="s">
        <v>5323</v>
      </c>
      <c r="E614" s="900">
        <v>1</v>
      </c>
      <c r="F614" s="900">
        <f t="shared" si="62"/>
        <v>0</v>
      </c>
      <c r="G614" s="1224">
        <v>12000000</v>
      </c>
      <c r="H614" s="903" t="s">
        <v>456</v>
      </c>
      <c r="I614" s="943" t="s">
        <v>5074</v>
      </c>
      <c r="J614" s="901" t="s">
        <v>5075</v>
      </c>
      <c r="K614" s="71" t="s">
        <v>5076</v>
      </c>
      <c r="L614" s="905">
        <f t="shared" si="59"/>
        <v>2</v>
      </c>
      <c r="M614" s="909">
        <f>SUMIFS('Bilateral Assistance, MAIN DATA'!M:M,'Bilateral Assistance, MAIN DATA'!I:I,'Price List, Weapons &amp; Items'!B614)</f>
        <v>27</v>
      </c>
      <c r="N614" s="71">
        <f>COUNTIFS('Bilateral Assistance, MAIN DATA'!M:M,"undisclosed",'Bilateral Assistance, MAIN DATA'!I:I,'Price List, Weapons &amp; Items'!B614)</f>
        <v>0</v>
      </c>
      <c r="O614" s="910">
        <f t="shared" si="64"/>
        <v>324000000</v>
      </c>
      <c r="P614" s="71">
        <f>IFERROR(IF(SEARCH(B614,_xlfn.ARRAYTOTEXT('Bilateral Assistance, MAIN DATA'!I$1:I$2206))&gt;0,1,""),0)</f>
        <v>0</v>
      </c>
      <c r="Q614" s="71">
        <f>IFERROR(IF(SEARCH(B614,_xlfn.ARRAYTOTEXT('Commercial Assistance'!I$1:I$1400))&gt;0,1,""),0)</f>
        <v>0</v>
      </c>
      <c r="R614" s="905" t="str">
        <f>IF(SUMIFS('Bilateral Assistance, MAIN DATA'!N:N,'Bilateral Assistance, MAIN DATA'!I:I,'Price List, Weapons &amp; Items'!B614)&gt;M614,1,".")</f>
        <v>.</v>
      </c>
    </row>
    <row r="615" spans="2:18" ht="15" customHeight="1">
      <c r="B615" s="2" t="s">
        <v>1137</v>
      </c>
      <c r="C615" s="898" t="s">
        <v>5062</v>
      </c>
      <c r="D615" s="899" t="s">
        <v>4696</v>
      </c>
      <c r="E615" s="900">
        <v>1</v>
      </c>
      <c r="F615" s="900">
        <f t="shared" si="62"/>
        <v>0</v>
      </c>
      <c r="G615" s="902">
        <v>25000000</v>
      </c>
      <c r="H615" s="903" t="s">
        <v>456</v>
      </c>
      <c r="I615" s="944" t="s">
        <v>6024</v>
      </c>
      <c r="J615" s="913" t="s">
        <v>5082</v>
      </c>
      <c r="K615" s="71" t="s">
        <v>6025</v>
      </c>
      <c r="L615" s="905">
        <f t="shared" ref="L615:L646" si="65">IF(C615="Humanitarian",0,IF(M615&gt;0,IF(TYPE(O615)=1,IF(O615&gt;MEDIAN(O:O),2,1),0),"no price, 0 count"))</f>
        <v>2</v>
      </c>
      <c r="M615" s="909">
        <f>SUMIFS('Bilateral Assistance, MAIN DATA'!M:M,'Bilateral Assistance, MAIN DATA'!I:I,'Price List, Weapons &amp; Items'!B615)</f>
        <v>4</v>
      </c>
      <c r="N615" s="71">
        <f>COUNTIFS('Bilateral Assistance, MAIN DATA'!M:M,"undisclosed",'Bilateral Assistance, MAIN DATA'!I:I,'Price List, Weapons &amp; Items'!B615)</f>
        <v>0</v>
      </c>
      <c r="O615" s="910">
        <f t="shared" si="64"/>
        <v>100000000</v>
      </c>
      <c r="P615" s="71">
        <f>IFERROR(IF(SEARCH(B615,_xlfn.ARRAYTOTEXT('Bilateral Assistance, MAIN DATA'!I$1:I$2206))&gt;0,1,""),0)</f>
        <v>0</v>
      </c>
      <c r="Q615" s="71">
        <f>IFERROR(IF(SEARCH(B615,_xlfn.ARRAYTOTEXT('Commercial Assistance'!I$1:I$1400))&gt;0,1,""),0)</f>
        <v>0</v>
      </c>
      <c r="R615" s="905" t="str">
        <f>IF(SUMIFS('Bilateral Assistance, MAIN DATA'!N:N,'Bilateral Assistance, MAIN DATA'!I:I,'Price List, Weapons &amp; Items'!B615)&gt;M615,1,".")</f>
        <v>.</v>
      </c>
    </row>
    <row r="616" spans="2:18" ht="15" customHeight="1">
      <c r="B616" s="901" t="s">
        <v>1868</v>
      </c>
      <c r="C616" s="898" t="s">
        <v>5056</v>
      </c>
      <c r="D616" s="899" t="s">
        <v>5069</v>
      </c>
      <c r="E616" s="900">
        <v>0</v>
      </c>
      <c r="F616" s="900">
        <f t="shared" si="62"/>
        <v>0</v>
      </c>
      <c r="G616" s="902">
        <v>963.06</v>
      </c>
      <c r="H616" s="903" t="s">
        <v>456</v>
      </c>
      <c r="I616" s="943" t="s">
        <v>6026</v>
      </c>
      <c r="J616" s="71" t="s">
        <v>5086</v>
      </c>
      <c r="K616" s="71" t="s">
        <v>6027</v>
      </c>
      <c r="L616" s="905">
        <f t="shared" si="65"/>
        <v>1</v>
      </c>
      <c r="M616" s="909">
        <f>SUMIFS('Bilateral Assistance, MAIN DATA'!M:M,'Bilateral Assistance, MAIN DATA'!I:I,'Price List, Weapons &amp; Items'!B616)</f>
        <v>500</v>
      </c>
      <c r="N616" s="71">
        <f>COUNTIFS('Bilateral Assistance, MAIN DATA'!M:M,"undisclosed",'Bilateral Assistance, MAIN DATA'!I:I,'Price List, Weapons &amp; Items'!B616)</f>
        <v>0</v>
      </c>
      <c r="O616" s="910">
        <f t="shared" si="64"/>
        <v>481530</v>
      </c>
      <c r="P616" s="71">
        <f>IFERROR(IF(SEARCH(B616,_xlfn.ARRAYTOTEXT('Bilateral Assistance, MAIN DATA'!I$1:I$2206))&gt;0,1,""),0)</f>
        <v>0</v>
      </c>
      <c r="Q616" s="71">
        <f>IFERROR(IF(SEARCH(B616,_xlfn.ARRAYTOTEXT('Commercial Assistance'!I$1:I$1400))&gt;0,1,""),0)</f>
        <v>0</v>
      </c>
      <c r="R616" s="905" t="str">
        <f>IF(SUMIFS('Bilateral Assistance, MAIN DATA'!N:N,'Bilateral Assistance, MAIN DATA'!I:I,'Price List, Weapons &amp; Items'!B616)&gt;M616,1,".")</f>
        <v>.</v>
      </c>
    </row>
    <row r="617" spans="2:18" ht="15" customHeight="1">
      <c r="B617" s="939" t="s">
        <v>1940</v>
      </c>
      <c r="C617" s="898" t="s">
        <v>1105</v>
      </c>
      <c r="D617" s="898" t="s">
        <v>1105</v>
      </c>
      <c r="E617" s="900">
        <v>0</v>
      </c>
      <c r="F617" s="900">
        <f t="shared" si="62"/>
        <v>0</v>
      </c>
      <c r="G617" s="892" t="s">
        <v>364</v>
      </c>
      <c r="H617" s="900" t="s">
        <v>456</v>
      </c>
      <c r="I617" s="913" t="s">
        <v>364</v>
      </c>
      <c r="J617" s="913" t="s">
        <v>364</v>
      </c>
      <c r="K617" s="901" t="s">
        <v>5946</v>
      </c>
      <c r="L617" s="905" t="str">
        <f t="shared" si="65"/>
        <v>no price, 0 count</v>
      </c>
      <c r="M617" s="909">
        <f>SUMIFS('Bilateral Assistance, MAIN DATA'!M:M,'Bilateral Assistance, MAIN DATA'!I:I,'Price List, Weapons &amp; Items'!B617)</f>
        <v>0</v>
      </c>
      <c r="N617" s="71">
        <f>COUNTIFS('Bilateral Assistance, MAIN DATA'!M:M,"undisclosed",'Bilateral Assistance, MAIN DATA'!I:I,'Price List, Weapons &amp; Items'!B617)</f>
        <v>1</v>
      </c>
      <c r="O617" s="910" t="str">
        <f t="shared" si="64"/>
        <v>no price</v>
      </c>
      <c r="P617" s="71">
        <f>IFERROR(IF(SEARCH(B617,_xlfn.ARRAYTOTEXT('Bilateral Assistance, MAIN DATA'!I$1:I$2206))&gt;0,1,""),0)</f>
        <v>0</v>
      </c>
      <c r="Q617" s="71">
        <f>IFERROR(IF(SEARCH(B617,_xlfn.ARRAYTOTEXT('Commercial Assistance'!I$1:I$1400))&gt;0,1,""),0)</f>
        <v>0</v>
      </c>
      <c r="R617" s="905" t="str">
        <f>IF(SUMIFS('Bilateral Assistance, MAIN DATA'!N:N,'Bilateral Assistance, MAIN DATA'!I:I,'Price List, Weapons &amp; Items'!B617)&gt;M617,1,".")</f>
        <v>.</v>
      </c>
    </row>
    <row r="618" spans="2:18" ht="15" customHeight="1">
      <c r="B618" s="901" t="s">
        <v>1942</v>
      </c>
      <c r="C618" s="898" t="s">
        <v>1105</v>
      </c>
      <c r="D618" s="898" t="s">
        <v>1105</v>
      </c>
      <c r="E618" s="900">
        <v>0</v>
      </c>
      <c r="F618" s="900">
        <f t="shared" si="62"/>
        <v>0</v>
      </c>
      <c r="G618" s="902">
        <v>30.99</v>
      </c>
      <c r="H618" s="903" t="s">
        <v>456</v>
      </c>
      <c r="I618" s="943" t="s">
        <v>6028</v>
      </c>
      <c r="J618" s="71" t="s">
        <v>5086</v>
      </c>
      <c r="K618" s="71" t="s">
        <v>6029</v>
      </c>
      <c r="L618" s="905">
        <f t="shared" si="65"/>
        <v>2</v>
      </c>
      <c r="M618" s="909">
        <f>SUMIFS('Bilateral Assistance, MAIN DATA'!M:M,'Bilateral Assistance, MAIN DATA'!I:I,'Price List, Weapons &amp; Items'!B618)</f>
        <v>103000</v>
      </c>
      <c r="N618" s="71">
        <f>COUNTIFS('Bilateral Assistance, MAIN DATA'!M:M,"undisclosed",'Bilateral Assistance, MAIN DATA'!I:I,'Price List, Weapons &amp; Items'!B618)</f>
        <v>0</v>
      </c>
      <c r="O618" s="910">
        <f t="shared" si="64"/>
        <v>3191970</v>
      </c>
      <c r="P618" s="71">
        <f>IFERROR(IF(SEARCH(B618,_xlfn.ARRAYTOTEXT('Bilateral Assistance, MAIN DATA'!I$1:I$2206))&gt;0,1,""),0)</f>
        <v>0</v>
      </c>
      <c r="Q618" s="71">
        <f>IFERROR(IF(SEARCH(B618,_xlfn.ARRAYTOTEXT('Commercial Assistance'!I$1:I$1400))&gt;0,1,""),0)</f>
        <v>0</v>
      </c>
      <c r="R618" s="905" t="str">
        <f>IF(SUMIFS('Bilateral Assistance, MAIN DATA'!N:N,'Bilateral Assistance, MAIN DATA'!I:I,'Price List, Weapons &amp; Items'!B618)&gt;M618,1,".")</f>
        <v>.</v>
      </c>
    </row>
    <row r="619" spans="2:18" ht="15" customHeight="1">
      <c r="B619" s="916" t="s">
        <v>888</v>
      </c>
      <c r="C619" s="898" t="s">
        <v>5059</v>
      </c>
      <c r="D619" s="71" t="s">
        <v>1105</v>
      </c>
      <c r="E619" s="900">
        <v>0</v>
      </c>
      <c r="F619" s="900">
        <f t="shared" si="62"/>
        <v>0</v>
      </c>
      <c r="G619" s="902" t="s">
        <v>364</v>
      </c>
      <c r="H619" s="903" t="s">
        <v>456</v>
      </c>
      <c r="I619" s="71" t="s">
        <v>364</v>
      </c>
      <c r="J619" s="71" t="s">
        <v>364</v>
      </c>
      <c r="K619" s="71" t="s">
        <v>364</v>
      </c>
      <c r="L619" s="905">
        <f t="shared" si="65"/>
        <v>0</v>
      </c>
      <c r="M619" s="909">
        <f>SUMIFS('Bilateral Assistance, MAIN DATA'!M:M,'Bilateral Assistance, MAIN DATA'!I:I,'Price List, Weapons &amp; Items'!B619)</f>
        <v>1800</v>
      </c>
      <c r="N619" s="71">
        <f>COUNTIFS('Bilateral Assistance, MAIN DATA'!M:M,"undisclosed",'Bilateral Assistance, MAIN DATA'!I:I,'Price List, Weapons &amp; Items'!B619)</f>
        <v>1</v>
      </c>
      <c r="O619" s="910" t="str">
        <f t="shared" si="64"/>
        <v>no price</v>
      </c>
      <c r="P619" s="71">
        <f>IFERROR(IF(SEARCH(B619,_xlfn.ARRAYTOTEXT('Bilateral Assistance, MAIN DATA'!I$1:I$2206))&gt;0,1,""),0)</f>
        <v>0</v>
      </c>
      <c r="Q619" s="71">
        <f>IFERROR(IF(SEARCH(B619,_xlfn.ARRAYTOTEXT('Commercial Assistance'!I$1:I$1400))&gt;0,1,""),0)</f>
        <v>0</v>
      </c>
      <c r="R619" s="905" t="str">
        <f>IF(SUMIFS('Bilateral Assistance, MAIN DATA'!N:N,'Bilateral Assistance, MAIN DATA'!I:I,'Price List, Weapons &amp; Items'!B619)&gt;M619,1,".")</f>
        <v>.</v>
      </c>
    </row>
    <row r="620" spans="2:18" ht="15" customHeight="1">
      <c r="B620" s="916" t="s">
        <v>1869</v>
      </c>
      <c r="C620" s="898" t="s">
        <v>5062</v>
      </c>
      <c r="D620" s="899" t="s">
        <v>4696</v>
      </c>
      <c r="E620" s="900">
        <v>0</v>
      </c>
      <c r="F620" s="900">
        <f t="shared" si="62"/>
        <v>0</v>
      </c>
      <c r="G620" s="892">
        <f>140000000*VLOOKUP("USD",'Exchange Rates'!B:C,2,0)</f>
        <v>152152000</v>
      </c>
      <c r="H620" s="908" t="s">
        <v>456</v>
      </c>
      <c r="I620" s="886" t="s">
        <v>5307</v>
      </c>
      <c r="J620" s="901" t="s">
        <v>5080</v>
      </c>
      <c r="K620" s="917" t="s">
        <v>6030</v>
      </c>
      <c r="L620" s="905">
        <f t="shared" si="65"/>
        <v>2</v>
      </c>
      <c r="M620" s="909">
        <f>SUMIFS('Bilateral Assistance, MAIN DATA'!M:M,'Bilateral Assistance, MAIN DATA'!I:I,'Price List, Weapons &amp; Items'!B620)</f>
        <v>12</v>
      </c>
      <c r="N620" s="71">
        <f>COUNTIFS('Bilateral Assistance, MAIN DATA'!M:M,"undisclosed",'Bilateral Assistance, MAIN DATA'!I:I,'Price List, Weapons &amp; Items'!B620)</f>
        <v>0</v>
      </c>
      <c r="O620" s="910">
        <f t="shared" si="64"/>
        <v>1825824000</v>
      </c>
      <c r="P620" s="71">
        <f>IFERROR(IF(SEARCH(B620,_xlfn.ARRAYTOTEXT('Bilateral Assistance, MAIN DATA'!I$1:I$2206))&gt;0,1,""),0)</f>
        <v>0</v>
      </c>
      <c r="Q620" s="71">
        <f>IFERROR(IF(SEARCH(B620,_xlfn.ARRAYTOTEXT('Commercial Assistance'!I$1:I$1400))&gt;0,1,""),0)</f>
        <v>0</v>
      </c>
      <c r="R620" s="905" t="str">
        <f>IF(SUMIFS('Bilateral Assistance, MAIN DATA'!N:N,'Bilateral Assistance, MAIN DATA'!I:I,'Price List, Weapons &amp; Items'!B620)&gt;M620,1,".")</f>
        <v>.</v>
      </c>
    </row>
    <row r="621" spans="2:18" ht="15" customHeight="1">
      <c r="B621" s="916" t="s">
        <v>1870</v>
      </c>
      <c r="C621" s="898" t="s">
        <v>5059</v>
      </c>
      <c r="D621" s="899" t="s">
        <v>5148</v>
      </c>
      <c r="E621" s="900">
        <v>0</v>
      </c>
      <c r="F621" s="900">
        <f t="shared" si="62"/>
        <v>0</v>
      </c>
      <c r="G621" s="892">
        <v>616680.63641107001</v>
      </c>
      <c r="H621" s="908" t="s">
        <v>456</v>
      </c>
      <c r="I621" s="891" t="s">
        <v>5074</v>
      </c>
      <c r="J621" s="901" t="s">
        <v>5075</v>
      </c>
      <c r="K621" s="901" t="s">
        <v>5144</v>
      </c>
      <c r="L621" s="905" t="str">
        <f t="shared" si="65"/>
        <v>no price, 0 count</v>
      </c>
      <c r="M621" s="909">
        <f>SUMIFS('Bilateral Assistance, MAIN DATA'!M:M,'Bilateral Assistance, MAIN DATA'!I:I,'Price List, Weapons &amp; Items'!B621)</f>
        <v>0</v>
      </c>
      <c r="N621" s="71">
        <f>COUNTIFS('Bilateral Assistance, MAIN DATA'!M:M,"undisclosed",'Bilateral Assistance, MAIN DATA'!I:I,'Price List, Weapons &amp; Items'!B621)</f>
        <v>1</v>
      </c>
      <c r="O621" s="910">
        <f t="shared" si="64"/>
        <v>0</v>
      </c>
      <c r="P621" s="71">
        <f>IFERROR(IF(SEARCH(B621,_xlfn.ARRAYTOTEXT('Bilateral Assistance, MAIN DATA'!I$1:I$2206))&gt;0,1,""),0)</f>
        <v>0</v>
      </c>
      <c r="Q621" s="71">
        <f>IFERROR(IF(SEARCH(B621,_xlfn.ARRAYTOTEXT('Commercial Assistance'!I$1:I$1400))&gt;0,1,""),0)</f>
        <v>0</v>
      </c>
      <c r="R621" s="905" t="str">
        <f>IF(SUMIFS('Bilateral Assistance, MAIN DATA'!N:N,'Bilateral Assistance, MAIN DATA'!I:I,'Price List, Weapons &amp; Items'!B621)&gt;M621,1,".")</f>
        <v>.</v>
      </c>
    </row>
    <row r="622" spans="2:18" ht="15" customHeight="1">
      <c r="B622" s="916" t="s">
        <v>1871</v>
      </c>
      <c r="C622" s="898" t="s">
        <v>1105</v>
      </c>
      <c r="D622" s="898" t="s">
        <v>1105</v>
      </c>
      <c r="E622" s="900">
        <v>0</v>
      </c>
      <c r="F622" s="900">
        <f t="shared" si="62"/>
        <v>0</v>
      </c>
      <c r="G622" s="892" t="s">
        <v>364</v>
      </c>
      <c r="H622" s="900" t="s">
        <v>456</v>
      </c>
      <c r="I622" s="913" t="s">
        <v>364</v>
      </c>
      <c r="J622" s="913" t="s">
        <v>364</v>
      </c>
      <c r="K622" s="901" t="s">
        <v>5946</v>
      </c>
      <c r="L622" s="905">
        <f t="shared" si="65"/>
        <v>0</v>
      </c>
      <c r="M622" s="909">
        <f>SUMIFS('Bilateral Assistance, MAIN DATA'!M:M,'Bilateral Assistance, MAIN DATA'!I:I,'Price List, Weapons &amp; Items'!B622)</f>
        <v>5</v>
      </c>
      <c r="N622" s="71">
        <f>COUNTIFS('Bilateral Assistance, MAIN DATA'!M:M,"undisclosed",'Bilateral Assistance, MAIN DATA'!I:I,'Price List, Weapons &amp; Items'!B622)</f>
        <v>0</v>
      </c>
      <c r="O622" s="910" t="str">
        <f t="shared" si="64"/>
        <v>no price</v>
      </c>
      <c r="P622" s="71">
        <f>IFERROR(IF(SEARCH(B622,_xlfn.ARRAYTOTEXT('Bilateral Assistance, MAIN DATA'!I$1:I$2206))&gt;0,1,""),0)</f>
        <v>0</v>
      </c>
      <c r="Q622" s="71">
        <f>IFERROR(IF(SEARCH(B622,_xlfn.ARRAYTOTEXT('Commercial Assistance'!I$1:I$1400))&gt;0,1,""),0)</f>
        <v>0</v>
      </c>
      <c r="R622" s="905" t="str">
        <f>IF(SUMIFS('Bilateral Assistance, MAIN DATA'!N:N,'Bilateral Assistance, MAIN DATA'!I:I,'Price List, Weapons &amp; Items'!B622)&gt;M622,1,".")</f>
        <v>.</v>
      </c>
    </row>
    <row r="623" spans="2:18" ht="15" customHeight="1">
      <c r="B623" s="901" t="s">
        <v>6031</v>
      </c>
      <c r="C623" s="898" t="s">
        <v>1105</v>
      </c>
      <c r="D623" s="898" t="s">
        <v>1105</v>
      </c>
      <c r="E623" s="900">
        <v>0</v>
      </c>
      <c r="F623" s="900">
        <f t="shared" si="62"/>
        <v>0</v>
      </c>
      <c r="G623" s="902">
        <v>50000</v>
      </c>
      <c r="H623" s="903" t="s">
        <v>456</v>
      </c>
      <c r="I623" s="943" t="s">
        <v>6032</v>
      </c>
      <c r="J623" s="901" t="s">
        <v>5086</v>
      </c>
      <c r="K623" s="901" t="s">
        <v>6033</v>
      </c>
      <c r="L623" s="905">
        <f t="shared" si="65"/>
        <v>2</v>
      </c>
      <c r="M623" s="909">
        <f>SUMIFS('Bilateral Assistance, MAIN DATA'!M:M,'Bilateral Assistance, MAIN DATA'!I:I,'Price List, Weapons &amp; Items'!B623)</f>
        <v>40</v>
      </c>
      <c r="N623" s="71">
        <f>COUNTIFS('Bilateral Assistance, MAIN DATA'!M:M,"undisclosed",'Bilateral Assistance, MAIN DATA'!I:I,'Price List, Weapons &amp; Items'!B623)</f>
        <v>0</v>
      </c>
      <c r="O623" s="910">
        <f t="shared" si="64"/>
        <v>2000000</v>
      </c>
      <c r="P623" s="71">
        <f>IFERROR(IF(SEARCH(B623,_xlfn.ARRAYTOTEXT('Bilateral Assistance, MAIN DATA'!I$1:I$2206))&gt;0,1,""),0)</f>
        <v>0</v>
      </c>
      <c r="Q623" s="71">
        <f>IFERROR(IF(SEARCH(B623,_xlfn.ARRAYTOTEXT('Commercial Assistance'!I$1:I$1400))&gt;0,1,""),0)</f>
        <v>0</v>
      </c>
      <c r="R623" s="905" t="str">
        <f>IF(SUMIFS('Bilateral Assistance, MAIN DATA'!N:N,'Bilateral Assistance, MAIN DATA'!I:I,'Price List, Weapons &amp; Items'!B623)&gt;M623,1,".")</f>
        <v>.</v>
      </c>
    </row>
    <row r="624" spans="2:18" ht="15" customHeight="1">
      <c r="B624" s="901" t="s">
        <v>1873</v>
      </c>
      <c r="C624" s="898" t="s">
        <v>1105</v>
      </c>
      <c r="D624" s="898" t="s">
        <v>1105</v>
      </c>
      <c r="E624" s="900">
        <v>0</v>
      </c>
      <c r="F624" s="900">
        <f t="shared" si="62"/>
        <v>0</v>
      </c>
      <c r="G624" s="902" t="s">
        <v>364</v>
      </c>
      <c r="H624" s="903" t="s">
        <v>456</v>
      </c>
      <c r="I624" s="943" t="s">
        <v>364</v>
      </c>
      <c r="J624" s="71" t="s">
        <v>364</v>
      </c>
      <c r="K624" s="901" t="s">
        <v>5946</v>
      </c>
      <c r="L624" s="905">
        <f t="shared" si="65"/>
        <v>0</v>
      </c>
      <c r="M624" s="909">
        <f>SUMIFS('Bilateral Assistance, MAIN DATA'!M:M,'Bilateral Assistance, MAIN DATA'!I:I,'Price List, Weapons &amp; Items'!B624)</f>
        <v>1</v>
      </c>
      <c r="N624" s="71">
        <f>COUNTIFS('Bilateral Assistance, MAIN DATA'!M:M,"undisclosed",'Bilateral Assistance, MAIN DATA'!I:I,'Price List, Weapons &amp; Items'!B624)</f>
        <v>0</v>
      </c>
      <c r="O624" s="910" t="str">
        <f t="shared" si="64"/>
        <v>no price</v>
      </c>
      <c r="P624" s="71">
        <f>IFERROR(IF(SEARCH(B624,_xlfn.ARRAYTOTEXT('Bilateral Assistance, MAIN DATA'!I$1:I$2206))&gt;0,1,""),0)</f>
        <v>0</v>
      </c>
      <c r="Q624" s="71">
        <f>IFERROR(IF(SEARCH(B624,_xlfn.ARRAYTOTEXT('Commercial Assistance'!I$1:I$1400))&gt;0,1,""),0)</f>
        <v>0</v>
      </c>
      <c r="R624" s="905" t="str">
        <f>IF(SUMIFS('Bilateral Assistance, MAIN DATA'!N:N,'Bilateral Assistance, MAIN DATA'!I:I,'Price List, Weapons &amp; Items'!B624)&gt;M624,1,".")</f>
        <v>.</v>
      </c>
    </row>
    <row r="625" spans="2:18" ht="15" customHeight="1">
      <c r="B625" s="901" t="s">
        <v>1878</v>
      </c>
      <c r="C625" s="898" t="s">
        <v>1105</v>
      </c>
      <c r="D625" s="898" t="s">
        <v>1105</v>
      </c>
      <c r="E625" s="900">
        <v>0</v>
      </c>
      <c r="F625" s="900">
        <f t="shared" si="62"/>
        <v>0</v>
      </c>
      <c r="G625" s="892">
        <v>16941.240000000002</v>
      </c>
      <c r="H625" s="900" t="s">
        <v>456</v>
      </c>
      <c r="I625" s="929" t="s">
        <v>6034</v>
      </c>
      <c r="J625" s="901" t="s">
        <v>5075</v>
      </c>
      <c r="K625" s="901" t="s">
        <v>6035</v>
      </c>
      <c r="L625" s="905">
        <f t="shared" si="65"/>
        <v>1</v>
      </c>
      <c r="M625" s="909">
        <f>SUMIFS('Bilateral Assistance, MAIN DATA'!M:M,'Bilateral Assistance, MAIN DATA'!I:I,'Price List, Weapons &amp; Items'!B625)</f>
        <v>100</v>
      </c>
      <c r="N625" s="71">
        <f>COUNTIFS('Bilateral Assistance, MAIN DATA'!M:M,"undisclosed",'Bilateral Assistance, MAIN DATA'!I:I,'Price List, Weapons &amp; Items'!B625)</f>
        <v>0</v>
      </c>
      <c r="O625" s="910">
        <f t="shared" si="64"/>
        <v>1694124.0000000002</v>
      </c>
      <c r="P625" s="71">
        <f>IFERROR(IF(SEARCH(B625,_xlfn.ARRAYTOTEXT('Bilateral Assistance, MAIN DATA'!I$1:I$2206))&gt;0,1,""),0)</f>
        <v>0</v>
      </c>
      <c r="Q625" s="71">
        <f>IFERROR(IF(SEARCH(B625,_xlfn.ARRAYTOTEXT('Commercial Assistance'!I$1:I$1400))&gt;0,1,""),0)</f>
        <v>0</v>
      </c>
      <c r="R625" s="905" t="str">
        <f>IF(SUMIFS('Bilateral Assistance, MAIN DATA'!N:N,'Bilateral Assistance, MAIN DATA'!I:I,'Price List, Weapons &amp; Items'!B625)&gt;M625,1,".")</f>
        <v>.</v>
      </c>
    </row>
    <row r="626" spans="2:18" ht="15" customHeight="1">
      <c r="B626" s="915" t="s">
        <v>1881</v>
      </c>
      <c r="C626" s="898" t="s">
        <v>5062</v>
      </c>
      <c r="D626" s="899" t="s">
        <v>5157</v>
      </c>
      <c r="E626" s="900">
        <v>0</v>
      </c>
      <c r="F626" s="900">
        <f t="shared" si="62"/>
        <v>1</v>
      </c>
      <c r="G626" s="892">
        <v>232000</v>
      </c>
      <c r="H626" s="908" t="str">
        <f t="shared" ref="H626" si="66">IF(G626&lt;&gt;".","USD",".")</f>
        <v>USD</v>
      </c>
      <c r="I626" s="1225" t="s">
        <v>6036</v>
      </c>
      <c r="J626" s="901" t="s">
        <v>5075</v>
      </c>
      <c r="K626" s="1356" t="s">
        <v>6037</v>
      </c>
      <c r="L626" s="905">
        <f t="shared" si="65"/>
        <v>2</v>
      </c>
      <c r="M626" s="909">
        <f>SUMIFS('Bilateral Assistance, MAIN DATA'!M:M,'Bilateral Assistance, MAIN DATA'!I:I,'Price List, Weapons &amp; Items'!B626)</f>
        <v>66</v>
      </c>
      <c r="N626" s="71">
        <f>COUNTIFS('Bilateral Assistance, MAIN DATA'!M:M,"undisclosed",'Bilateral Assistance, MAIN DATA'!I:I,'Price List, Weapons &amp; Items'!B626)</f>
        <v>0</v>
      </c>
      <c r="O626" s="910">
        <f t="shared" si="64"/>
        <v>15312000</v>
      </c>
      <c r="P626" s="71">
        <f>IFERROR(IF(SEARCH(B626,_xlfn.ARRAYTOTEXT('Bilateral Assistance, MAIN DATA'!I$1:I$2206))&gt;0,1,""),0)</f>
        <v>0</v>
      </c>
      <c r="Q626" s="71">
        <f>IFERROR(IF(SEARCH(B626,_xlfn.ARRAYTOTEXT('Commercial Assistance'!I$1:I$1400))&gt;0,1,""),0)</f>
        <v>0</v>
      </c>
      <c r="R626" s="905" t="str">
        <f>IF(SUMIFS('Bilateral Assistance, MAIN DATA'!N:N,'Bilateral Assistance, MAIN DATA'!I:I,'Price List, Weapons &amp; Items'!B626)&gt;M626,1,".")</f>
        <v>.</v>
      </c>
    </row>
    <row r="627" spans="2:18" ht="15" customHeight="1">
      <c r="B627" s="916" t="s">
        <v>1880</v>
      </c>
      <c r="C627" s="898" t="s">
        <v>1105</v>
      </c>
      <c r="D627" s="899" t="s">
        <v>5298</v>
      </c>
      <c r="E627" s="900">
        <v>0</v>
      </c>
      <c r="F627" s="900">
        <f t="shared" si="62"/>
        <v>0</v>
      </c>
      <c r="G627" s="892">
        <v>21400</v>
      </c>
      <c r="H627" s="900" t="s">
        <v>456</v>
      </c>
      <c r="I627" s="896" t="s">
        <v>6038</v>
      </c>
      <c r="J627" s="71" t="s">
        <v>5086</v>
      </c>
      <c r="K627" s="901" t="s">
        <v>6039</v>
      </c>
      <c r="L627" s="905">
        <f t="shared" si="65"/>
        <v>1</v>
      </c>
      <c r="M627" s="909">
        <f>SUMIFS('Bilateral Assistance, MAIN DATA'!M:M,'Bilateral Assistance, MAIN DATA'!I:I,'Price List, Weapons &amp; Items'!B627)</f>
        <v>64</v>
      </c>
      <c r="N627" s="71">
        <f>COUNTIFS('Bilateral Assistance, MAIN DATA'!M:M,"undisclosed",'Bilateral Assistance, MAIN DATA'!I:I,'Price List, Weapons &amp; Items'!B627)</f>
        <v>0</v>
      </c>
      <c r="O627" s="910">
        <f t="shared" si="64"/>
        <v>1369600</v>
      </c>
      <c r="P627" s="71">
        <f>IFERROR(IF(SEARCH(B627,_xlfn.ARRAYTOTEXT('Bilateral Assistance, MAIN DATA'!I$1:I$2206))&gt;0,1,""),0)</f>
        <v>0</v>
      </c>
      <c r="Q627" s="71">
        <f>IFERROR(IF(SEARCH(B627,_xlfn.ARRAYTOTEXT('Commercial Assistance'!I$1:I$1400))&gt;0,1,""),0)</f>
        <v>0</v>
      </c>
      <c r="R627" s="905" t="str">
        <f>IF(SUMIFS('Bilateral Assistance, MAIN DATA'!N:N,'Bilateral Assistance, MAIN DATA'!I:I,'Price List, Weapons &amp; Items'!B627)&gt;M627,1,".")</f>
        <v>.</v>
      </c>
    </row>
    <row r="628" spans="2:18" ht="15" customHeight="1">
      <c r="B628" s="901" t="s">
        <v>1876</v>
      </c>
      <c r="C628" s="898" t="s">
        <v>1105</v>
      </c>
      <c r="D628" s="898" t="s">
        <v>1105</v>
      </c>
      <c r="E628" s="900">
        <v>0</v>
      </c>
      <c r="F628" s="900">
        <f t="shared" si="62"/>
        <v>0</v>
      </c>
      <c r="G628" s="892">
        <v>350000</v>
      </c>
      <c r="H628" s="908" t="str">
        <f t="shared" ref="H628:H629" si="67">IF(G628&lt;&gt;".","USD",".")</f>
        <v>USD</v>
      </c>
      <c r="I628" s="886" t="s">
        <v>5392</v>
      </c>
      <c r="J628" s="901" t="s">
        <v>5080</v>
      </c>
      <c r="K628" s="917" t="s">
        <v>6040</v>
      </c>
      <c r="L628" s="905">
        <f t="shared" si="65"/>
        <v>2</v>
      </c>
      <c r="M628" s="909">
        <f>SUMIFS('Bilateral Assistance, MAIN DATA'!M:M,'Bilateral Assistance, MAIN DATA'!I:I,'Price List, Weapons &amp; Items'!B628)</f>
        <v>145</v>
      </c>
      <c r="N628" s="71">
        <f>COUNTIFS('Bilateral Assistance, MAIN DATA'!M:M,"undisclosed",'Bilateral Assistance, MAIN DATA'!I:I,'Price List, Weapons &amp; Items'!B628)</f>
        <v>0</v>
      </c>
      <c r="O628" s="910">
        <f t="shared" si="64"/>
        <v>50750000</v>
      </c>
      <c r="P628" s="71">
        <f>IFERROR(IF(SEARCH(B628,_xlfn.ARRAYTOTEXT('Bilateral Assistance, MAIN DATA'!I$1:I$2206))&gt;0,1,""),0)</f>
        <v>0</v>
      </c>
      <c r="Q628" s="71">
        <f>IFERROR(IF(SEARCH(B628,_xlfn.ARRAYTOTEXT('Commercial Assistance'!I$1:I$1400))&gt;0,1,""),0)</f>
        <v>0</v>
      </c>
      <c r="R628" s="905" t="str">
        <f>IF(SUMIFS('Bilateral Assistance, MAIN DATA'!N:N,'Bilateral Assistance, MAIN DATA'!I:I,'Price List, Weapons &amp; Items'!B628)&gt;M628,1,".")</f>
        <v>.</v>
      </c>
    </row>
    <row r="629" spans="2:18" ht="15" customHeight="1">
      <c r="B629" s="915" t="s">
        <v>1879</v>
      </c>
      <c r="C629" s="898" t="s">
        <v>5099</v>
      </c>
      <c r="D629" s="899" t="s">
        <v>5438</v>
      </c>
      <c r="E629" s="900">
        <v>0</v>
      </c>
      <c r="F629" s="900">
        <f t="shared" si="62"/>
        <v>0</v>
      </c>
      <c r="G629" s="892">
        <v>20000</v>
      </c>
      <c r="H629" s="908" t="str">
        <f t="shared" si="67"/>
        <v>USD</v>
      </c>
      <c r="I629" s="885" t="s">
        <v>5439</v>
      </c>
      <c r="J629" s="901" t="s">
        <v>5089</v>
      </c>
      <c r="K629" s="901" t="s">
        <v>6041</v>
      </c>
      <c r="L629" s="905">
        <f t="shared" si="65"/>
        <v>2</v>
      </c>
      <c r="M629" s="909">
        <f>SUMIFS('Bilateral Assistance, MAIN DATA'!M:M,'Bilateral Assistance, MAIN DATA'!I:I,'Price List, Weapons &amp; Items'!B629)</f>
        <v>100</v>
      </c>
      <c r="N629" s="71">
        <f>COUNTIFS('Bilateral Assistance, MAIN DATA'!M:M,"undisclosed",'Bilateral Assistance, MAIN DATA'!I:I,'Price List, Weapons &amp; Items'!B629)</f>
        <v>0</v>
      </c>
      <c r="O629" s="910">
        <f t="shared" si="64"/>
        <v>2000000</v>
      </c>
      <c r="P629" s="71">
        <f>IFERROR(IF(SEARCH(B629,_xlfn.ARRAYTOTEXT('Bilateral Assistance, MAIN DATA'!I$1:I$2206))&gt;0,1,""),0)</f>
        <v>0</v>
      </c>
      <c r="Q629" s="71">
        <f>IFERROR(IF(SEARCH(B629,_xlfn.ARRAYTOTEXT('Commercial Assistance'!I$1:I$1400))&gt;0,1,""),0)</f>
        <v>0</v>
      </c>
      <c r="R629" s="905" t="str">
        <f>IF(SUMIFS('Bilateral Assistance, MAIN DATA'!N:N,'Bilateral Assistance, MAIN DATA'!I:I,'Price List, Weapons &amp; Items'!B629)&gt;M629,1,".")</f>
        <v>.</v>
      </c>
    </row>
    <row r="630" spans="2:18" ht="15" customHeight="1">
      <c r="B630" s="901" t="s">
        <v>1874</v>
      </c>
      <c r="C630" s="898" t="s">
        <v>1105</v>
      </c>
      <c r="D630" s="898" t="s">
        <v>1105</v>
      </c>
      <c r="E630" s="900">
        <v>0</v>
      </c>
      <c r="F630" s="900">
        <f t="shared" si="62"/>
        <v>0</v>
      </c>
      <c r="G630" s="892">
        <v>1487.81</v>
      </c>
      <c r="H630" s="900" t="s">
        <v>456</v>
      </c>
      <c r="I630" s="896" t="s">
        <v>6042</v>
      </c>
      <c r="J630" s="71" t="s">
        <v>5086</v>
      </c>
      <c r="K630" s="913" t="s">
        <v>6043</v>
      </c>
      <c r="L630" s="905">
        <f t="shared" si="65"/>
        <v>2</v>
      </c>
      <c r="M630" s="909">
        <f>SUMIFS('Bilateral Assistance, MAIN DATA'!M:M,'Bilateral Assistance, MAIN DATA'!I:I,'Price List, Weapons &amp; Items'!B630)</f>
        <v>2000</v>
      </c>
      <c r="N630" s="71">
        <f>COUNTIFS('Bilateral Assistance, MAIN DATA'!M:M,"undisclosed",'Bilateral Assistance, MAIN DATA'!I:I,'Price List, Weapons &amp; Items'!B630)</f>
        <v>0</v>
      </c>
      <c r="O630" s="910">
        <f t="shared" si="64"/>
        <v>2975620</v>
      </c>
      <c r="P630" s="71">
        <f>IFERROR(IF(SEARCH(B630,_xlfn.ARRAYTOTEXT('Bilateral Assistance, MAIN DATA'!I$1:I$2206))&gt;0,1,""),0)</f>
        <v>0</v>
      </c>
      <c r="Q630" s="71">
        <f>IFERROR(IF(SEARCH(B630,_xlfn.ARRAYTOTEXT('Commercial Assistance'!I$1:I$1400))&gt;0,1,""),0)</f>
        <v>0</v>
      </c>
      <c r="R630" s="905" t="str">
        <f>IF(SUMIFS('Bilateral Assistance, MAIN DATA'!N:N,'Bilateral Assistance, MAIN DATA'!I:I,'Price List, Weapons &amp; Items'!B630)&gt;M630,1,".")</f>
        <v>.</v>
      </c>
    </row>
    <row r="631" spans="2:18" ht="15" customHeight="1">
      <c r="B631" s="1226" t="s">
        <v>2184</v>
      </c>
      <c r="C631" s="898" t="s">
        <v>360</v>
      </c>
      <c r="D631" s="899" t="s">
        <v>360</v>
      </c>
      <c r="E631" s="900">
        <v>0</v>
      </c>
      <c r="F631" s="900">
        <v>0</v>
      </c>
      <c r="G631" s="892">
        <v>1000000</v>
      </c>
      <c r="H631" s="900" t="s">
        <v>456</v>
      </c>
      <c r="I631" s="929"/>
      <c r="L631" s="905">
        <f t="shared" si="65"/>
        <v>0</v>
      </c>
      <c r="M631" s="909">
        <f>SUMIFS('Bilateral Assistance, MAIN DATA'!M:M,'Bilateral Assistance, MAIN DATA'!I:I,'Price List, Weapons &amp; Items'!B631)</f>
        <v>1</v>
      </c>
      <c r="N631" s="71">
        <f>COUNTIFS('Bilateral Assistance, MAIN DATA'!M:M,"undisclosed",'Bilateral Assistance, MAIN DATA'!I:I,'Price List, Weapons &amp; Items'!B631)</f>
        <v>0</v>
      </c>
      <c r="O631" s="910">
        <f t="shared" ref="O631:O661" si="68">IFERROR(M631*G631,"no price")</f>
        <v>1000000</v>
      </c>
      <c r="P631" s="71">
        <f>IFERROR(IF(SEARCH(B631,_xlfn.ARRAYTOTEXT('Bilateral Assistance, MAIN DATA'!I$1:I$2206))&gt;0,1,""),0)</f>
        <v>0</v>
      </c>
      <c r="Q631" s="71">
        <f>IFERROR(IF(SEARCH(B631,_xlfn.ARRAYTOTEXT('Commercial Assistance'!I$1:I$1400))&gt;0,1,""),0)</f>
        <v>0</v>
      </c>
      <c r="R631" s="905" t="str">
        <f>IF(SUMIFS('Bilateral Assistance, MAIN DATA'!N:N,'Bilateral Assistance, MAIN DATA'!I:I,'Price List, Weapons &amp; Items'!B631)&gt;M631,1,".")</f>
        <v>.</v>
      </c>
    </row>
    <row r="632" spans="2:18" ht="15" customHeight="1">
      <c r="B632" s="901" t="s">
        <v>4342</v>
      </c>
      <c r="C632" s="898" t="s">
        <v>1105</v>
      </c>
      <c r="D632" s="71" t="s">
        <v>5152</v>
      </c>
      <c r="E632" s="900">
        <v>0</v>
      </c>
      <c r="F632" s="900">
        <v>0</v>
      </c>
      <c r="G632" s="902">
        <v>135000</v>
      </c>
      <c r="H632" s="903" t="s">
        <v>456</v>
      </c>
      <c r="I632" s="1227" t="s">
        <v>6044</v>
      </c>
      <c r="J632" s="71" t="s">
        <v>5082</v>
      </c>
      <c r="K632" s="71" t="s">
        <v>6045</v>
      </c>
      <c r="L632" s="905">
        <f t="shared" si="65"/>
        <v>2</v>
      </c>
      <c r="M632" s="909">
        <f>SUMIFS('Bilateral Assistance, MAIN DATA'!M:M,'Bilateral Assistance, MAIN DATA'!I:I,'Price List, Weapons &amp; Items'!B632)</f>
        <v>69</v>
      </c>
      <c r="N632" s="71">
        <f>COUNTIFS('Bilateral Assistance, MAIN DATA'!M:M,"undisclosed",'Bilateral Assistance, MAIN DATA'!I:I,'Price List, Weapons &amp; Items'!B632)</f>
        <v>1</v>
      </c>
      <c r="O632" s="910">
        <f t="shared" si="68"/>
        <v>9315000</v>
      </c>
      <c r="P632" s="71">
        <f>IFERROR(IF(SEARCH(B632,_xlfn.ARRAYTOTEXT('Bilateral Assistance, MAIN DATA'!I$1:I$2206))&gt;0,1,""),0)</f>
        <v>0</v>
      </c>
      <c r="Q632" s="71">
        <f>IFERROR(IF(SEARCH(B632,_xlfn.ARRAYTOTEXT('Commercial Assistance'!I$1:I$1400))&gt;0,1,""),0)</f>
        <v>0</v>
      </c>
      <c r="R632" s="905" t="str">
        <f>IF(SUMIFS('Bilateral Assistance, MAIN DATA'!N:N,'Bilateral Assistance, MAIN DATA'!I:I,'Price List, Weapons &amp; Items'!B632)&gt;M632,1,".")</f>
        <v>.</v>
      </c>
    </row>
    <row r="633" spans="2:18" ht="15" customHeight="1">
      <c r="B633" s="71" t="s">
        <v>4345</v>
      </c>
      <c r="C633" s="898" t="s">
        <v>5059</v>
      </c>
      <c r="D633" s="71" t="s">
        <v>4345</v>
      </c>
      <c r="E633" s="900">
        <v>0</v>
      </c>
      <c r="F633" s="900">
        <v>0</v>
      </c>
      <c r="G633" s="902">
        <v>2344.1999999999998</v>
      </c>
      <c r="H633" s="903" t="s">
        <v>456</v>
      </c>
      <c r="I633" s="896" t="s">
        <v>5996</v>
      </c>
      <c r="J633" s="71" t="s">
        <v>5119</v>
      </c>
      <c r="K633" s="71" t="s">
        <v>6046</v>
      </c>
      <c r="L633" s="905" t="str">
        <f t="shared" si="65"/>
        <v>no price, 0 count</v>
      </c>
      <c r="M633" s="909">
        <f>SUMIFS('Bilateral Assistance, MAIN DATA'!M:M,'Bilateral Assistance, MAIN DATA'!I:I,'Price List, Weapons &amp; Items'!B633)</f>
        <v>0</v>
      </c>
      <c r="N633" s="71">
        <f>COUNTIFS('Bilateral Assistance, MAIN DATA'!M:M,"undisclosed",'Bilateral Assistance, MAIN DATA'!I:I,'Price List, Weapons &amp; Items'!B633)</f>
        <v>2</v>
      </c>
      <c r="O633" s="910">
        <f t="shared" si="68"/>
        <v>0</v>
      </c>
      <c r="P633" s="71">
        <f>IFERROR(IF(SEARCH(B633,_xlfn.ARRAYTOTEXT('Bilateral Assistance, MAIN DATA'!I$1:I$2206))&gt;0,1,""),0)</f>
        <v>0</v>
      </c>
      <c r="Q633" s="71">
        <f>IFERROR(IF(SEARCH(B633,_xlfn.ARRAYTOTEXT('Commercial Assistance'!I$1:I$1400))&gt;0,1,""),0)</f>
        <v>0</v>
      </c>
      <c r="R633" s="905" t="str">
        <f>IF(SUMIFS('Bilateral Assistance, MAIN DATA'!N:N,'Bilateral Assistance, MAIN DATA'!I:I,'Price List, Weapons &amp; Items'!B633)&gt;M633,1,".")</f>
        <v>.</v>
      </c>
    </row>
    <row r="634" spans="2:18" ht="15" customHeight="1">
      <c r="B634" s="912" t="s">
        <v>4350</v>
      </c>
      <c r="C634" s="898" t="s">
        <v>5065</v>
      </c>
      <c r="D634" s="899" t="s">
        <v>5193</v>
      </c>
      <c r="E634" s="900">
        <v>0</v>
      </c>
      <c r="F634" s="900">
        <f>IF(OR(D634="Armored Personnel Carrier (APC)",D634="Armored Recovery Vehicle (ARV)",D634="Armored Utility Vehicle (AUV)",D634="152mm howitzer ammunition",D634="155mm howitzer ammunition",D634="300mm MLRS ammunition",D634="155mm howitzer",D634="227mm MLRS ammunition",D634="Infantry fighting vehicle (IFV)",D634="152mm howitzer",D634="227mm MLRS",D634="Main Battle Tank (MBT)",D634="Protected Patrol Vehicle (PPV)",D634="127mm MLRS",D634="122mm MLRS",D634="122mm MLRS ammunition",D634="122mm MLRS",D634="127mm MLRS",D634="127mm MLRS ammunition")=TRUE,1,0)</f>
        <v>0</v>
      </c>
      <c r="G634" s="892">
        <v>329</v>
      </c>
      <c r="H634" s="908" t="str">
        <f t="shared" ref="H634" si="69">IF(G634&lt;&gt;".","USD",".")</f>
        <v>USD</v>
      </c>
      <c r="I634" s="886" t="s">
        <v>5590</v>
      </c>
      <c r="J634" s="901" t="s">
        <v>5082</v>
      </c>
      <c r="K634" s="917" t="s">
        <v>5591</v>
      </c>
      <c r="L634" s="905" t="str">
        <f t="shared" si="65"/>
        <v>no price, 0 count</v>
      </c>
      <c r="M634" s="909">
        <f>SUMIFS('Bilateral Assistance, MAIN DATA'!M:M,'Bilateral Assistance, MAIN DATA'!I:I,'Price List, Weapons &amp; Items'!B634)</f>
        <v>0</v>
      </c>
      <c r="N634" s="71">
        <f>COUNTIFS('Bilateral Assistance, MAIN DATA'!M:M,"undisclosed",'Bilateral Assistance, MAIN DATA'!I:I,'Price List, Weapons &amp; Items'!B634)</f>
        <v>2</v>
      </c>
      <c r="O634" s="910">
        <f t="shared" si="68"/>
        <v>0</v>
      </c>
      <c r="P634" s="71">
        <f>IFERROR(IF(SEARCH(B634,_xlfn.ARRAYTOTEXT('Bilateral Assistance, MAIN DATA'!I$1:I$2206))&gt;0,1,""),0)</f>
        <v>0</v>
      </c>
      <c r="Q634" s="71">
        <f>IFERROR(IF(SEARCH(B634,_xlfn.ARRAYTOTEXT('Commercial Assistance'!I$1:I$1400))&gt;0,1,""),0)</f>
        <v>0</v>
      </c>
      <c r="R634" s="905" t="str">
        <f>IF(SUMIFS('Bilateral Assistance, MAIN DATA'!N:N,'Bilateral Assistance, MAIN DATA'!I:I,'Price List, Weapons &amp; Items'!B634)&gt;M634,1,".")</f>
        <v>.</v>
      </c>
    </row>
    <row r="635" spans="2:18" ht="15" customHeight="1">
      <c r="B635" s="71" t="s">
        <v>6047</v>
      </c>
      <c r="C635" s="898" t="s">
        <v>5070</v>
      </c>
      <c r="D635" s="71" t="s">
        <v>6048</v>
      </c>
      <c r="E635" s="900">
        <v>0</v>
      </c>
      <c r="F635" s="900">
        <v>0</v>
      </c>
      <c r="G635" s="902" t="s">
        <v>364</v>
      </c>
      <c r="H635" s="903" t="s">
        <v>456</v>
      </c>
      <c r="I635" s="943" t="s">
        <v>364</v>
      </c>
      <c r="J635" s="71" t="s">
        <v>364</v>
      </c>
      <c r="K635" s="71" t="s">
        <v>364</v>
      </c>
      <c r="L635" s="905" t="str">
        <f t="shared" si="65"/>
        <v>no price, 0 count</v>
      </c>
      <c r="M635" s="909">
        <f>SUMIFS('Bilateral Assistance, MAIN DATA'!M:M,'Bilateral Assistance, MAIN DATA'!I:I,'Price List, Weapons &amp; Items'!B635)</f>
        <v>0</v>
      </c>
      <c r="N635" s="71">
        <f>COUNTIFS('Bilateral Assistance, MAIN DATA'!M:M,"undisclosed",'Bilateral Assistance, MAIN DATA'!I:I,'Price List, Weapons &amp; Items'!B635)</f>
        <v>1</v>
      </c>
      <c r="O635" s="910" t="str">
        <f t="shared" si="68"/>
        <v>no price</v>
      </c>
      <c r="P635" s="71">
        <f>IFERROR(IF(SEARCH(B635,_xlfn.ARRAYTOTEXT('Bilateral Assistance, MAIN DATA'!I$1:I$2206))&gt;0,1,""),0)</f>
        <v>0</v>
      </c>
      <c r="Q635" s="71">
        <f>IFERROR(IF(SEARCH(B635,_xlfn.ARRAYTOTEXT('Commercial Assistance'!I$1:I$1400))&gt;0,1,""),0)</f>
        <v>0</v>
      </c>
      <c r="R635" s="905" t="str">
        <f>IF(SUMIFS('Bilateral Assistance, MAIN DATA'!N:N,'Bilateral Assistance, MAIN DATA'!I:I,'Price List, Weapons &amp; Items'!B635)&gt;M635,1,".")</f>
        <v>.</v>
      </c>
    </row>
    <row r="636" spans="2:18" ht="15" customHeight="1">
      <c r="B636" s="71" t="s">
        <v>4351</v>
      </c>
      <c r="C636" s="898" t="s">
        <v>5059</v>
      </c>
      <c r="D636" s="71" t="s">
        <v>6049</v>
      </c>
      <c r="E636" s="900">
        <v>0</v>
      </c>
      <c r="F636" s="900">
        <v>0</v>
      </c>
      <c r="G636" s="902">
        <v>1000</v>
      </c>
      <c r="H636" s="903" t="s">
        <v>456</v>
      </c>
      <c r="I636" s="896" t="s">
        <v>5996</v>
      </c>
      <c r="J636" s="71" t="s">
        <v>5119</v>
      </c>
      <c r="K636" s="71" t="s">
        <v>6050</v>
      </c>
      <c r="L636" s="905" t="str">
        <f t="shared" si="65"/>
        <v>no price, 0 count</v>
      </c>
      <c r="M636" s="909">
        <f>SUMIFS('Bilateral Assistance, MAIN DATA'!M:M,'Bilateral Assistance, MAIN DATA'!I:I,'Price List, Weapons &amp; Items'!B636)</f>
        <v>0</v>
      </c>
      <c r="N636" s="71">
        <f>COUNTIFS('Bilateral Assistance, MAIN DATA'!M:M,"undisclosed",'Bilateral Assistance, MAIN DATA'!I:I,'Price List, Weapons &amp; Items'!B636)</f>
        <v>1</v>
      </c>
      <c r="O636" s="910">
        <f t="shared" si="68"/>
        <v>0</v>
      </c>
      <c r="P636" s="71">
        <f>IFERROR(IF(SEARCH(B636,_xlfn.ARRAYTOTEXT('Bilateral Assistance, MAIN DATA'!I$1:I$2206))&gt;0,1,""),0)</f>
        <v>0</v>
      </c>
      <c r="Q636" s="71">
        <f>IFERROR(IF(SEARCH(B636,_xlfn.ARRAYTOTEXT('Commercial Assistance'!I$1:I$1400))&gt;0,1,""),0)</f>
        <v>0</v>
      </c>
      <c r="R636" s="905" t="str">
        <f>IF(SUMIFS('Bilateral Assistance, MAIN DATA'!N:N,'Bilateral Assistance, MAIN DATA'!I:I,'Price List, Weapons &amp; Items'!B636)&gt;M636,1,".")</f>
        <v>.</v>
      </c>
    </row>
    <row r="637" spans="2:18" ht="15" customHeight="1">
      <c r="B637" s="71" t="s">
        <v>4357</v>
      </c>
      <c r="C637" s="898" t="s">
        <v>5059</v>
      </c>
      <c r="D637" s="71" t="s">
        <v>6049</v>
      </c>
      <c r="E637" s="900">
        <v>0</v>
      </c>
      <c r="F637" s="900">
        <v>0</v>
      </c>
      <c r="G637" s="902">
        <v>125000</v>
      </c>
      <c r="H637" s="903" t="s">
        <v>456</v>
      </c>
      <c r="I637" s="1227" t="s">
        <v>6051</v>
      </c>
      <c r="J637" s="71" t="s">
        <v>5082</v>
      </c>
      <c r="K637" s="71" t="s">
        <v>6052</v>
      </c>
      <c r="L637" s="905" t="str">
        <f t="shared" si="65"/>
        <v>no price, 0 count</v>
      </c>
      <c r="M637" s="909">
        <f>SUMIFS('Bilateral Assistance, MAIN DATA'!M:M,'Bilateral Assistance, MAIN DATA'!I:I,'Price List, Weapons &amp; Items'!B637)</f>
        <v>0</v>
      </c>
      <c r="N637" s="71">
        <f>COUNTIFS('Bilateral Assistance, MAIN DATA'!M:M,"undisclosed",'Bilateral Assistance, MAIN DATA'!I:I,'Price List, Weapons &amp; Items'!B637)</f>
        <v>1</v>
      </c>
      <c r="O637" s="910">
        <f t="shared" si="68"/>
        <v>0</v>
      </c>
      <c r="P637" s="71">
        <f>IFERROR(IF(SEARCH(B637,_xlfn.ARRAYTOTEXT('Bilateral Assistance, MAIN DATA'!I$1:I$2206))&gt;0,1,""),0)</f>
        <v>0</v>
      </c>
      <c r="Q637" s="71">
        <f>IFERROR(IF(SEARCH(B637,_xlfn.ARRAYTOTEXT('Commercial Assistance'!I$1:I$1400))&gt;0,1,""),0)</f>
        <v>0</v>
      </c>
      <c r="R637" s="905" t="str">
        <f>IF(SUMIFS('Bilateral Assistance, MAIN DATA'!N:N,'Bilateral Assistance, MAIN DATA'!I:I,'Price List, Weapons &amp; Items'!B637)&gt;M637,1,".")</f>
        <v>.</v>
      </c>
    </row>
    <row r="638" spans="2:18" ht="15" customHeight="1">
      <c r="B638" s="901" t="s">
        <v>4384</v>
      </c>
      <c r="C638" s="898" t="s">
        <v>5279</v>
      </c>
      <c r="D638" s="71" t="s">
        <v>6053</v>
      </c>
      <c r="E638" s="900">
        <v>0</v>
      </c>
      <c r="F638" s="900">
        <v>0</v>
      </c>
      <c r="G638" s="902">
        <v>87.32</v>
      </c>
      <c r="H638" s="903" t="s">
        <v>456</v>
      </c>
      <c r="I638" s="896" t="s">
        <v>5996</v>
      </c>
      <c r="J638" s="71" t="s">
        <v>5119</v>
      </c>
      <c r="K638" s="71" t="s">
        <v>6054</v>
      </c>
      <c r="L638" s="905" t="str">
        <f t="shared" si="65"/>
        <v>no price, 0 count</v>
      </c>
      <c r="M638" s="909">
        <f>SUMIFS('Bilateral Assistance, MAIN DATA'!M:M,'Bilateral Assistance, MAIN DATA'!I:I,'Price List, Weapons &amp; Items'!B638)</f>
        <v>0</v>
      </c>
      <c r="N638" s="71">
        <f>COUNTIFS('Bilateral Assistance, MAIN DATA'!M:M,"undisclosed",'Bilateral Assistance, MAIN DATA'!I:I,'Price List, Weapons &amp; Items'!B638)</f>
        <v>1</v>
      </c>
      <c r="O638" s="910">
        <f t="shared" si="68"/>
        <v>0</v>
      </c>
      <c r="P638" s="71">
        <f>IFERROR(IF(SEARCH(B638,_xlfn.ARRAYTOTEXT('Bilateral Assistance, MAIN DATA'!I$1:I$2206))&gt;0,1,""),0)</f>
        <v>0</v>
      </c>
      <c r="Q638" s="71">
        <f>IFERROR(IF(SEARCH(B638,_xlfn.ARRAYTOTEXT('Commercial Assistance'!I$1:I$1400))&gt;0,1,""),0)</f>
        <v>0</v>
      </c>
      <c r="R638" s="905" t="str">
        <f>IF(SUMIFS('Bilateral Assistance, MAIN DATA'!N:N,'Bilateral Assistance, MAIN DATA'!I:I,'Price List, Weapons &amp; Items'!B638)&gt;M638,1,".")</f>
        <v>.</v>
      </c>
    </row>
    <row r="639" spans="2:18" ht="15" customHeight="1">
      <c r="B639" s="1228" t="s">
        <v>4382</v>
      </c>
      <c r="C639" s="898" t="s">
        <v>5062</v>
      </c>
      <c r="D639" s="899" t="s">
        <v>5360</v>
      </c>
      <c r="E639" s="900">
        <v>0</v>
      </c>
      <c r="F639" s="900">
        <f>IF(OR(D639="Armored Personnel Carrier (APC)",D639="Armored Recovery Vehicle (ARV)",D639="Armored Utility Vehicle (AUV)",D639="152mm howitzer ammunition",D639="155mm howitzer ammunition",D639="300mm MLRS ammunition",D639="155mm howitzer",D639="227mm MLRS ammunition",D639="Infantry fighting vehicle (IFV)",D639="152mm howitzer",D639="227mm MLRS",D639="Main Battle Tank (MBT)",D639="Protected Patrol Vehicle (PPV)",D639="127mm MLRS",D639="122mm MLRS",D639="122mm MLRS ammunition",D639="122mm MLRS",D639="127mm MLRS",D639="127mm MLRS ammunition")=TRUE,1,0)</f>
        <v>0</v>
      </c>
      <c r="G639" s="892">
        <v>1190651.93</v>
      </c>
      <c r="H639" s="908" t="str">
        <f t="shared" ref="H639" si="70">IF(G639&lt;&gt;".","USD",".")</f>
        <v>USD</v>
      </c>
      <c r="I639" s="885" t="s">
        <v>5361</v>
      </c>
      <c r="J639" s="901" t="s">
        <v>5082</v>
      </c>
      <c r="K639" s="901" t="s">
        <v>6055</v>
      </c>
      <c r="L639" s="905">
        <f t="shared" si="65"/>
        <v>2</v>
      </c>
      <c r="M639" s="909">
        <f>SUMIFS('Bilateral Assistance, MAIN DATA'!M:M,'Bilateral Assistance, MAIN DATA'!I:I,'Price List, Weapons &amp; Items'!B639)</f>
        <v>9</v>
      </c>
      <c r="N639" s="71">
        <f>COUNTIFS('Bilateral Assistance, MAIN DATA'!M:M,"undisclosed",'Bilateral Assistance, MAIN DATA'!I:I,'Price List, Weapons &amp; Items'!B639)</f>
        <v>0</v>
      </c>
      <c r="O639" s="910">
        <f t="shared" si="68"/>
        <v>10715867.369999999</v>
      </c>
      <c r="P639" s="71">
        <f>IFERROR(IF(SEARCH(B639,_xlfn.ARRAYTOTEXT('Bilateral Assistance, MAIN DATA'!I$1:I$2206))&gt;0,1,""),0)</f>
        <v>0</v>
      </c>
      <c r="Q639" s="71">
        <f>IFERROR(IF(SEARCH(B639,_xlfn.ARRAYTOTEXT('Commercial Assistance'!I$1:I$1400))&gt;0,1,""),0)</f>
        <v>0</v>
      </c>
      <c r="R639" s="905" t="str">
        <f>IF(SUMIFS('Bilateral Assistance, MAIN DATA'!N:N,'Bilateral Assistance, MAIN DATA'!I:I,'Price List, Weapons &amp; Items'!B639)&gt;M639,1,".")</f>
        <v>.</v>
      </c>
    </row>
    <row r="640" spans="2:18" ht="15" customHeight="1">
      <c r="B640" s="1228" t="s">
        <v>4383</v>
      </c>
      <c r="C640" s="898" t="s">
        <v>5062</v>
      </c>
      <c r="D640" s="899" t="s">
        <v>5360</v>
      </c>
      <c r="E640" s="900">
        <v>0</v>
      </c>
      <c r="F640" s="900">
        <v>0</v>
      </c>
      <c r="G640" s="892">
        <v>22025</v>
      </c>
      <c r="H640" s="900" t="s">
        <v>456</v>
      </c>
      <c r="I640" s="1227" t="s">
        <v>5199</v>
      </c>
      <c r="J640" s="913" t="s">
        <v>5119</v>
      </c>
      <c r="K640" s="901" t="s">
        <v>6056</v>
      </c>
      <c r="L640" s="905">
        <f t="shared" si="65"/>
        <v>1</v>
      </c>
      <c r="M640" s="909">
        <f>SUMIFS('Bilateral Assistance, MAIN DATA'!M:M,'Bilateral Assistance, MAIN DATA'!I:I,'Price List, Weapons &amp; Items'!B640)</f>
        <v>10</v>
      </c>
      <c r="N640" s="71">
        <f>COUNTIFS('Bilateral Assistance, MAIN DATA'!M:M,"undisclosed",'Bilateral Assistance, MAIN DATA'!I:I,'Price List, Weapons &amp; Items'!B640)</f>
        <v>0</v>
      </c>
      <c r="O640" s="910">
        <f t="shared" si="68"/>
        <v>220250</v>
      </c>
      <c r="P640" s="71">
        <f>IFERROR(IF(SEARCH(B640,_xlfn.ARRAYTOTEXT('Bilateral Assistance, MAIN DATA'!I$1:I$2206))&gt;0,1,""),0)</f>
        <v>0</v>
      </c>
      <c r="Q640" s="71">
        <f>IFERROR(IF(SEARCH(B640,_xlfn.ARRAYTOTEXT('Commercial Assistance'!I$1:I$1400))&gt;0,1,""),0)</f>
        <v>0</v>
      </c>
      <c r="R640" s="905" t="str">
        <f>IF(SUMIFS('Bilateral Assistance, MAIN DATA'!N:N,'Bilateral Assistance, MAIN DATA'!I:I,'Price List, Weapons &amp; Items'!B640)&gt;M640,1,".")</f>
        <v>.</v>
      </c>
    </row>
    <row r="641" spans="2:18" ht="15" customHeight="1">
      <c r="B641" s="1228" t="s">
        <v>4385</v>
      </c>
      <c r="C641" s="898" t="s">
        <v>5059</v>
      </c>
      <c r="D641" s="899" t="s">
        <v>6057</v>
      </c>
      <c r="E641" s="900">
        <v>0</v>
      </c>
      <c r="F641" s="900">
        <v>0</v>
      </c>
      <c r="G641" s="892" t="s">
        <v>364</v>
      </c>
      <c r="H641" s="900" t="s">
        <v>456</v>
      </c>
      <c r="I641" s="929"/>
      <c r="L641" s="905" t="str">
        <f t="shared" si="65"/>
        <v>no price, 0 count</v>
      </c>
      <c r="M641" s="909">
        <f>SUMIFS('Bilateral Assistance, MAIN DATA'!M:M,'Bilateral Assistance, MAIN DATA'!I:I,'Price List, Weapons &amp; Items'!B641)</f>
        <v>0</v>
      </c>
      <c r="N641" s="71">
        <f>COUNTIFS('Bilateral Assistance, MAIN DATA'!M:M,"undisclosed",'Bilateral Assistance, MAIN DATA'!I:I,'Price List, Weapons &amp; Items'!B641)</f>
        <v>1</v>
      </c>
      <c r="O641" s="910" t="str">
        <f t="shared" si="68"/>
        <v>no price</v>
      </c>
      <c r="P641" s="71">
        <f>IFERROR(IF(SEARCH(B641,_xlfn.ARRAYTOTEXT('Bilateral Assistance, MAIN DATA'!I$1:I$2206))&gt;0,1,""),0)</f>
        <v>0</v>
      </c>
      <c r="Q641" s="71">
        <f>IFERROR(IF(SEARCH(B641,_xlfn.ARRAYTOTEXT('Commercial Assistance'!I$1:I$1400))&gt;0,1,""),0)</f>
        <v>0</v>
      </c>
      <c r="R641" s="905" t="str">
        <f>IF(SUMIFS('Bilateral Assistance, MAIN DATA'!N:N,'Bilateral Assistance, MAIN DATA'!I:I,'Price List, Weapons &amp; Items'!B641)&gt;M641,1,".")</f>
        <v>.</v>
      </c>
    </row>
    <row r="642" spans="2:18" ht="15" customHeight="1">
      <c r="B642" s="901" t="s">
        <v>4386</v>
      </c>
      <c r="C642" s="898" t="s">
        <v>5059</v>
      </c>
      <c r="D642" s="899" t="s">
        <v>6058</v>
      </c>
      <c r="E642" s="900">
        <v>0</v>
      </c>
      <c r="F642" s="900">
        <f t="shared" ref="F642:F677" si="71">IF(OR(D642="Armored Personnel Carrier (APC)",D642="Armored Recovery Vehicle (ARV)",D642="Armored Utility Vehicle (AUV)",D642="152mm howitzer ammunition",D642="155mm howitzer ammunition",D642="300mm MLRS ammunition",D642="155mm howitzer",D642="227mm MLRS ammunition",D642="Infantry fighting vehicle (IFV)",D642="152mm howitzer",D642="227mm MLRS",D642="Main Battle Tank (MBT)",D642="Protected Patrol Vehicle (PPV)",D642="127mm MLRS",D642="122mm MLRS",D642="122mm MLRS ammunition",D642="122mm MLRS",D642="127mm MLRS",D642="127mm MLRS ammunition")=TRUE,1,0)</f>
        <v>0</v>
      </c>
      <c r="G642" s="892">
        <v>3800</v>
      </c>
      <c r="H642" s="908" t="str">
        <f t="shared" ref="H642" si="72">IF(G642&lt;&gt;".","USD",".")</f>
        <v>USD</v>
      </c>
      <c r="I642" s="885" t="s">
        <v>5223</v>
      </c>
      <c r="J642" s="901" t="s">
        <v>5119</v>
      </c>
      <c r="K642" s="901" t="s">
        <v>6059</v>
      </c>
      <c r="L642" s="905" t="str">
        <f t="shared" si="65"/>
        <v>no price, 0 count</v>
      </c>
      <c r="M642" s="909">
        <f>SUMIFS('Bilateral Assistance, MAIN DATA'!M:M,'Bilateral Assistance, MAIN DATA'!I:I,'Price List, Weapons &amp; Items'!B642)</f>
        <v>0</v>
      </c>
      <c r="N642" s="71">
        <f>COUNTIFS('Bilateral Assistance, MAIN DATA'!M:M,"undisclosed",'Bilateral Assistance, MAIN DATA'!I:I,'Price List, Weapons &amp; Items'!B642)</f>
        <v>1</v>
      </c>
      <c r="O642" s="910">
        <f t="shared" si="68"/>
        <v>0</v>
      </c>
      <c r="P642" s="71">
        <f>IFERROR(IF(SEARCH(B642,_xlfn.ARRAYTOTEXT('Bilateral Assistance, MAIN DATA'!I$1:I$2206))&gt;0,1,""),0)</f>
        <v>0</v>
      </c>
      <c r="Q642" s="71">
        <f>IFERROR(IF(SEARCH(B642,_xlfn.ARRAYTOTEXT('Commercial Assistance'!I$1:I$1400))&gt;0,1,""),0)</f>
        <v>0</v>
      </c>
      <c r="R642" s="905" t="str">
        <f>IF(SUMIFS('Bilateral Assistance, MAIN DATA'!N:N,'Bilateral Assistance, MAIN DATA'!I:I,'Price List, Weapons &amp; Items'!B642)&gt;M642,1,".")</f>
        <v>.</v>
      </c>
    </row>
    <row r="643" spans="2:18" ht="15" customHeight="1">
      <c r="B643" s="901" t="s">
        <v>4387</v>
      </c>
      <c r="C643" s="898" t="s">
        <v>5059</v>
      </c>
      <c r="D643" s="899" t="s">
        <v>5229</v>
      </c>
      <c r="E643" s="900">
        <v>0</v>
      </c>
      <c r="F643" s="900">
        <f t="shared" si="71"/>
        <v>0</v>
      </c>
      <c r="G643" s="892">
        <v>3800</v>
      </c>
      <c r="H643" s="908" t="str">
        <f t="shared" ref="H643" si="73">IF(G643&lt;&gt;".","USD",".")</f>
        <v>USD</v>
      </c>
      <c r="I643" s="885" t="s">
        <v>5223</v>
      </c>
      <c r="J643" s="901" t="s">
        <v>5119</v>
      </c>
      <c r="K643" s="901" t="s">
        <v>6059</v>
      </c>
      <c r="L643" s="905" t="str">
        <f t="shared" si="65"/>
        <v>no price, 0 count</v>
      </c>
      <c r="M643" s="909">
        <f>SUMIFS('Bilateral Assistance, MAIN DATA'!M:M,'Bilateral Assistance, MAIN DATA'!I:I,'Price List, Weapons &amp; Items'!B643)</f>
        <v>0</v>
      </c>
      <c r="N643" s="71">
        <f>COUNTIFS('Bilateral Assistance, MAIN DATA'!M:M,"undisclosed",'Bilateral Assistance, MAIN DATA'!I:I,'Price List, Weapons &amp; Items'!B643)</f>
        <v>1</v>
      </c>
      <c r="O643" s="910">
        <f t="shared" si="68"/>
        <v>0</v>
      </c>
      <c r="P643" s="71">
        <f>IFERROR(IF(SEARCH(B643,_xlfn.ARRAYTOTEXT('Bilateral Assistance, MAIN DATA'!I$1:I$2206))&gt;0,1,""),0)</f>
        <v>0</v>
      </c>
      <c r="Q643" s="71">
        <f>IFERROR(IF(SEARCH(B643,_xlfn.ARRAYTOTEXT('Commercial Assistance'!I$1:I$1400))&gt;0,1,""),0)</f>
        <v>0</v>
      </c>
      <c r="R643" s="905" t="str">
        <f>IF(SUMIFS('Bilateral Assistance, MAIN DATA'!N:N,'Bilateral Assistance, MAIN DATA'!I:I,'Price List, Weapons &amp; Items'!B643)&gt;M643,1,".")</f>
        <v>.</v>
      </c>
    </row>
    <row r="644" spans="2:18" ht="15" customHeight="1">
      <c r="B644" s="1229" t="s">
        <v>4392</v>
      </c>
      <c r="C644" s="898" t="s">
        <v>5070</v>
      </c>
      <c r="D644" s="899" t="s">
        <v>6060</v>
      </c>
      <c r="E644" s="900">
        <v>0</v>
      </c>
      <c r="F644" s="900">
        <f t="shared" si="71"/>
        <v>0</v>
      </c>
      <c r="G644" s="892" t="s">
        <v>364</v>
      </c>
      <c r="H644" s="900" t="s">
        <v>456</v>
      </c>
      <c r="I644" s="929" t="s">
        <v>364</v>
      </c>
      <c r="J644" s="913" t="s">
        <v>364</v>
      </c>
      <c r="K644" s="901" t="s">
        <v>364</v>
      </c>
      <c r="L644" s="905" t="str">
        <f t="shared" si="65"/>
        <v>no price, 0 count</v>
      </c>
      <c r="M644" s="909">
        <f>SUMIFS('Bilateral Assistance, MAIN DATA'!M:M,'Bilateral Assistance, MAIN DATA'!I:I,'Price List, Weapons &amp; Items'!B644)</f>
        <v>0</v>
      </c>
      <c r="N644" s="71">
        <f>COUNTIFS('Bilateral Assistance, MAIN DATA'!M:M,"undisclosed",'Bilateral Assistance, MAIN DATA'!I:I,'Price List, Weapons &amp; Items'!B644)</f>
        <v>1</v>
      </c>
      <c r="O644" s="910" t="str">
        <f t="shared" si="68"/>
        <v>no price</v>
      </c>
      <c r="P644" s="71">
        <f>IFERROR(IF(SEARCH(B644,_xlfn.ARRAYTOTEXT('Bilateral Assistance, MAIN DATA'!I$1:I$2206))&gt;0,1,""),0)</f>
        <v>0</v>
      </c>
      <c r="Q644" s="71">
        <f>IFERROR(IF(SEARCH(B644,_xlfn.ARRAYTOTEXT('Commercial Assistance'!I$1:I$1400))&gt;0,1,""),0)</f>
        <v>0</v>
      </c>
      <c r="R644" s="905" t="str">
        <f>IF(SUMIFS('Bilateral Assistance, MAIN DATA'!N:N,'Bilateral Assistance, MAIN DATA'!I:I,'Price List, Weapons &amp; Items'!B644)&gt;M644,1,".")</f>
        <v>.</v>
      </c>
    </row>
    <row r="645" spans="2:18" ht="15" customHeight="1">
      <c r="B645" s="901" t="s">
        <v>2432</v>
      </c>
      <c r="C645" s="898" t="s">
        <v>360</v>
      </c>
      <c r="D645" s="71" t="s">
        <v>360</v>
      </c>
      <c r="E645" s="900">
        <v>0</v>
      </c>
      <c r="F645" s="900">
        <f t="shared" si="71"/>
        <v>0</v>
      </c>
      <c r="G645" s="902">
        <f>(18500/8)*'Exchange Rates'!C13</f>
        <v>2513.2249999999999</v>
      </c>
      <c r="H645" s="903" t="s">
        <v>456</v>
      </c>
      <c r="I645" s="1227" t="s">
        <v>2433</v>
      </c>
      <c r="J645" s="71" t="s">
        <v>5119</v>
      </c>
      <c r="K645" s="71" t="s">
        <v>6061</v>
      </c>
      <c r="L645" s="905">
        <f t="shared" si="65"/>
        <v>0</v>
      </c>
      <c r="M645" s="909">
        <f>SUMIFS('Bilateral Assistance, MAIN DATA'!M:M,'Bilateral Assistance, MAIN DATA'!I:I,'Price List, Weapons &amp; Items'!B645)</f>
        <v>58</v>
      </c>
      <c r="N645" s="71">
        <f>COUNTIFS('Bilateral Assistance, MAIN DATA'!M:M,"undisclosed",'Bilateral Assistance, MAIN DATA'!I:I,'Price List, Weapons &amp; Items'!B645)</f>
        <v>0</v>
      </c>
      <c r="O645" s="910">
        <f t="shared" si="68"/>
        <v>145767.04999999999</v>
      </c>
      <c r="P645" s="71">
        <f>IFERROR(IF(SEARCH(B645,_xlfn.ARRAYTOTEXT('Bilateral Assistance, MAIN DATA'!I$1:I$2206))&gt;0,1,""),0)</f>
        <v>0</v>
      </c>
      <c r="Q645" s="71">
        <f>IFERROR(IF(SEARCH(B645,_xlfn.ARRAYTOTEXT('Commercial Assistance'!I$1:I$1400))&gt;0,1,""),0)</f>
        <v>0</v>
      </c>
      <c r="R645" s="905" t="str">
        <f>IF(SUMIFS('Bilateral Assistance, MAIN DATA'!N:N,'Bilateral Assistance, MAIN DATA'!I:I,'Price List, Weapons &amp; Items'!B645)&gt;M645,1,".")</f>
        <v>.</v>
      </c>
    </row>
    <row r="646" spans="2:18" ht="15" customHeight="1">
      <c r="B646" s="901" t="s">
        <v>2439</v>
      </c>
      <c r="C646" s="898" t="s">
        <v>360</v>
      </c>
      <c r="D646" s="71" t="s">
        <v>360</v>
      </c>
      <c r="E646" s="900">
        <v>0</v>
      </c>
      <c r="F646" s="900">
        <f t="shared" si="71"/>
        <v>0</v>
      </c>
      <c r="G646" s="902">
        <v>3001</v>
      </c>
      <c r="H646" s="903" t="s">
        <v>456</v>
      </c>
      <c r="I646" s="1227" t="s">
        <v>6062</v>
      </c>
      <c r="J646" s="71" t="s">
        <v>5119</v>
      </c>
      <c r="K646" s="71" t="s">
        <v>6063</v>
      </c>
      <c r="L646" s="905">
        <f t="shared" si="65"/>
        <v>0</v>
      </c>
      <c r="M646" s="909">
        <f>SUMIFS('Bilateral Assistance, MAIN DATA'!M:M,'Bilateral Assistance, MAIN DATA'!I:I,'Price List, Weapons &amp; Items'!B646)</f>
        <v>1</v>
      </c>
      <c r="N646" s="71">
        <f>COUNTIFS('Bilateral Assistance, MAIN DATA'!M:M,"undisclosed",'Bilateral Assistance, MAIN DATA'!I:I,'Price List, Weapons &amp; Items'!B646)</f>
        <v>0</v>
      </c>
      <c r="O646" s="910">
        <f t="shared" si="68"/>
        <v>3001</v>
      </c>
      <c r="P646" s="71">
        <f>IFERROR(IF(SEARCH(B646,_xlfn.ARRAYTOTEXT('Bilateral Assistance, MAIN DATA'!I$1:I$2206))&gt;0,1,""),0)</f>
        <v>0</v>
      </c>
      <c r="Q646" s="71">
        <f>IFERROR(IF(SEARCH(B646,_xlfn.ARRAYTOTEXT('Commercial Assistance'!I$1:I$1400))&gt;0,1,""),0)</f>
        <v>0</v>
      </c>
      <c r="R646" s="905" t="str">
        <f>IF(SUMIFS('Bilateral Assistance, MAIN DATA'!N:N,'Bilateral Assistance, MAIN DATA'!I:I,'Price List, Weapons &amp; Items'!B646)&gt;M646,1,".")</f>
        <v>.</v>
      </c>
    </row>
    <row r="647" spans="2:18" ht="15" customHeight="1">
      <c r="B647" s="901" t="s">
        <v>2440</v>
      </c>
      <c r="C647" s="898" t="s">
        <v>1105</v>
      </c>
      <c r="D647" s="71" t="s">
        <v>1105</v>
      </c>
      <c r="E647" s="900">
        <v>0</v>
      </c>
      <c r="F647" s="900">
        <f t="shared" si="71"/>
        <v>0</v>
      </c>
      <c r="G647" s="902">
        <f>220*'Exchange Rates'!C13</f>
        <v>239.096</v>
      </c>
      <c r="H647" s="903" t="s">
        <v>456</v>
      </c>
      <c r="I647" s="1227" t="s">
        <v>6064</v>
      </c>
      <c r="J647" s="71" t="s">
        <v>5086</v>
      </c>
      <c r="K647" s="71" t="s">
        <v>6065</v>
      </c>
      <c r="L647" s="905">
        <f t="shared" ref="L647:L677" si="74">IF(C647="Humanitarian",0,IF(M647&gt;0,IF(TYPE(O647)=1,IF(O647&gt;MEDIAN(O:O),2,1),0),"no price, 0 count"))</f>
        <v>1</v>
      </c>
      <c r="M647" s="909">
        <f>SUMIFS('Bilateral Assistance, MAIN DATA'!M:M,'Bilateral Assistance, MAIN DATA'!I:I,'Price List, Weapons &amp; Items'!B647)</f>
        <v>567</v>
      </c>
      <c r="N647" s="71">
        <f>COUNTIFS('Bilateral Assistance, MAIN DATA'!M:M,"undisclosed",'Bilateral Assistance, MAIN DATA'!I:I,'Price List, Weapons &amp; Items'!B647)</f>
        <v>0</v>
      </c>
      <c r="O647" s="910">
        <f t="shared" si="68"/>
        <v>135567.432</v>
      </c>
      <c r="P647" s="71">
        <f>IFERROR(IF(SEARCH(B647,_xlfn.ARRAYTOTEXT('Bilateral Assistance, MAIN DATA'!I$1:I$2206))&gt;0,1,""),0)</f>
        <v>0</v>
      </c>
      <c r="Q647" s="71">
        <f>IFERROR(IF(SEARCH(B647,_xlfn.ARRAYTOTEXT('Commercial Assistance'!I$1:I$1400))&gt;0,1,""),0)</f>
        <v>0</v>
      </c>
      <c r="R647" s="905" t="str">
        <f>IF(SUMIFS('Bilateral Assistance, MAIN DATA'!N:N,'Bilateral Assistance, MAIN DATA'!I:I,'Price List, Weapons &amp; Items'!B647)&gt;M647,1,".")</f>
        <v>.</v>
      </c>
    </row>
    <row r="648" spans="2:18" ht="15" customHeight="1">
      <c r="B648" s="901" t="s">
        <v>2579</v>
      </c>
      <c r="C648" s="898" t="s">
        <v>1105</v>
      </c>
      <c r="D648" s="71" t="s">
        <v>5298</v>
      </c>
      <c r="E648" s="900">
        <v>0</v>
      </c>
      <c r="F648" s="900">
        <f t="shared" si="71"/>
        <v>0</v>
      </c>
      <c r="G648" s="902">
        <f>21573.03704*'Exchange Rates'!C13</f>
        <v>23445.576655072</v>
      </c>
      <c r="H648" s="903" t="s">
        <v>456</v>
      </c>
      <c r="I648" s="1227" t="s">
        <v>6066</v>
      </c>
      <c r="J648" s="71" t="s">
        <v>5086</v>
      </c>
      <c r="K648" s="71" t="s">
        <v>6067</v>
      </c>
      <c r="L648" s="905">
        <f t="shared" si="74"/>
        <v>1</v>
      </c>
      <c r="M648" s="909">
        <f>SUMIFS('Bilateral Assistance, MAIN DATA'!M:M,'Bilateral Assistance, MAIN DATA'!I:I,'Price List, Weapons &amp; Items'!B648)</f>
        <v>6</v>
      </c>
      <c r="N648" s="71">
        <f>COUNTIFS('Bilateral Assistance, MAIN DATA'!M:M,"undisclosed",'Bilateral Assistance, MAIN DATA'!I:I,'Price List, Weapons &amp; Items'!B648)</f>
        <v>0</v>
      </c>
      <c r="O648" s="910">
        <f t="shared" si="68"/>
        <v>140673.459930432</v>
      </c>
      <c r="P648" s="71">
        <f>IFERROR(IF(SEARCH(B648,_xlfn.ARRAYTOTEXT('Bilateral Assistance, MAIN DATA'!I$1:I$2206))&gt;0,1,""),0)</f>
        <v>0</v>
      </c>
      <c r="Q648" s="71">
        <f>IFERROR(IF(SEARCH(B648,_xlfn.ARRAYTOTEXT('Commercial Assistance'!I$1:I$1400))&gt;0,1,""),0)</f>
        <v>0</v>
      </c>
      <c r="R648" s="905" t="str">
        <f>IF(SUMIFS('Bilateral Assistance, MAIN DATA'!N:N,'Bilateral Assistance, MAIN DATA'!I:I,'Price List, Weapons &amp; Items'!B648)&gt;M648,1,".")</f>
        <v>.</v>
      </c>
    </row>
    <row r="649" spans="2:18" ht="15" customHeight="1">
      <c r="B649" s="1230" t="s">
        <v>2662</v>
      </c>
      <c r="C649" s="898" t="s">
        <v>5062</v>
      </c>
      <c r="D649" s="71" t="s">
        <v>5152</v>
      </c>
      <c r="E649" s="900">
        <v>0</v>
      </c>
      <c r="F649" s="900">
        <f t="shared" si="71"/>
        <v>1</v>
      </c>
      <c r="G649" s="1231">
        <v>942718.45081106445</v>
      </c>
      <c r="H649" s="903" t="s">
        <v>456</v>
      </c>
      <c r="I649" s="1227" t="s">
        <v>5074</v>
      </c>
      <c r="J649" s="71" t="s">
        <v>5075</v>
      </c>
      <c r="K649" s="71" t="s">
        <v>6068</v>
      </c>
      <c r="L649" s="905">
        <f t="shared" si="74"/>
        <v>2</v>
      </c>
      <c r="M649" s="909">
        <f>SUMIFS('Bilateral Assistance, MAIN DATA'!M:M,'Bilateral Assistance, MAIN DATA'!I:I,'Price List, Weapons &amp; Items'!B649)</f>
        <v>7</v>
      </c>
      <c r="N649" s="71">
        <f>COUNTIFS('Bilateral Assistance, MAIN DATA'!M:M,"undisclosed",'Bilateral Assistance, MAIN DATA'!I:I,'Price List, Weapons &amp; Items'!B649)</f>
        <v>0</v>
      </c>
      <c r="O649" s="910">
        <f t="shared" si="68"/>
        <v>6599029.1556774508</v>
      </c>
      <c r="P649" s="71">
        <f>IFERROR(IF(SEARCH(B649,_xlfn.ARRAYTOTEXT('Bilateral Assistance, MAIN DATA'!I$1:I$2206))&gt;0,1,""),0)</f>
        <v>0</v>
      </c>
      <c r="Q649" s="71">
        <f>IFERROR(IF(SEARCH(B649,_xlfn.ARRAYTOTEXT('Commercial Assistance'!I$1:I$1400))&gt;0,1,""),0)</f>
        <v>0</v>
      </c>
      <c r="R649" s="905" t="str">
        <f>IF(SUMIFS('Bilateral Assistance, MAIN DATA'!N:N,'Bilateral Assistance, MAIN DATA'!I:I,'Price List, Weapons &amp; Items'!B649)&gt;M649,1,".")</f>
        <v>.</v>
      </c>
    </row>
    <row r="650" spans="2:18" ht="15" customHeight="1">
      <c r="B650" s="1230" t="s">
        <v>2658</v>
      </c>
      <c r="C650" s="898" t="s">
        <v>5062</v>
      </c>
      <c r="D650" s="71" t="s">
        <v>5152</v>
      </c>
      <c r="E650" s="900">
        <v>0</v>
      </c>
      <c r="F650" s="900">
        <f t="shared" si="71"/>
        <v>1</v>
      </c>
      <c r="G650" s="1231">
        <v>942718.45081106445</v>
      </c>
      <c r="H650" s="903" t="s">
        <v>456</v>
      </c>
      <c r="I650" s="1227" t="s">
        <v>5074</v>
      </c>
      <c r="J650" s="71" t="s">
        <v>5075</v>
      </c>
      <c r="K650" s="71" t="s">
        <v>5076</v>
      </c>
      <c r="L650" s="905">
        <f t="shared" si="74"/>
        <v>2</v>
      </c>
      <c r="M650" s="909">
        <f>SUMIFS('Bilateral Assistance, MAIN DATA'!M:M,'Bilateral Assistance, MAIN DATA'!I:I,'Price List, Weapons &amp; Items'!B650)</f>
        <v>7</v>
      </c>
      <c r="N650" s="71">
        <f>COUNTIFS('Bilateral Assistance, MAIN DATA'!M:M,"undisclosed",'Bilateral Assistance, MAIN DATA'!I:I,'Price List, Weapons &amp; Items'!B650)</f>
        <v>0</v>
      </c>
      <c r="O650" s="910">
        <f t="shared" si="68"/>
        <v>6599029.1556774508</v>
      </c>
      <c r="P650" s="71">
        <f>IFERROR(IF(SEARCH(B650,_xlfn.ARRAYTOTEXT('Bilateral Assistance, MAIN DATA'!I$1:I$2206))&gt;0,1,""),0)</f>
        <v>0</v>
      </c>
      <c r="Q650" s="71">
        <f>IFERROR(IF(SEARCH(B650,_xlfn.ARRAYTOTEXT('Commercial Assistance'!I$1:I$1400))&gt;0,1,""),0)</f>
        <v>0</v>
      </c>
      <c r="R650" s="905" t="str">
        <f>IF(SUMIFS('Bilateral Assistance, MAIN DATA'!N:N,'Bilateral Assistance, MAIN DATA'!I:I,'Price List, Weapons &amp; Items'!B650)&gt;M650,1,".")</f>
        <v>.</v>
      </c>
    </row>
    <row r="651" spans="2:18" ht="15" customHeight="1">
      <c r="B651" s="1232" t="s">
        <v>2774</v>
      </c>
      <c r="C651" s="898" t="s">
        <v>5062</v>
      </c>
      <c r="D651" s="71" t="s">
        <v>6069</v>
      </c>
      <c r="E651" s="900">
        <v>0</v>
      </c>
      <c r="F651" s="900">
        <f t="shared" si="71"/>
        <v>0</v>
      </c>
      <c r="G651" s="902">
        <f>1600000*'Exchange Rates'!C13</f>
        <v>1738880</v>
      </c>
      <c r="H651" s="903" t="s">
        <v>456</v>
      </c>
      <c r="I651" s="1227" t="s">
        <v>6070</v>
      </c>
      <c r="J651" s="71" t="s">
        <v>5082</v>
      </c>
      <c r="K651" s="71" t="s">
        <v>6071</v>
      </c>
      <c r="L651" s="905" t="str">
        <f t="shared" si="74"/>
        <v>no price, 0 count</v>
      </c>
      <c r="M651" s="909">
        <f>SUMIFS('Bilateral Assistance, MAIN DATA'!M:M,'Bilateral Assistance, MAIN DATA'!I:I,'Price List, Weapons &amp; Items'!B651)</f>
        <v>0</v>
      </c>
      <c r="N651" s="71">
        <f>COUNTIFS('Bilateral Assistance, MAIN DATA'!M:M,"undisclosed",'Bilateral Assistance, MAIN DATA'!I:I,'Price List, Weapons &amp; Items'!B651)</f>
        <v>1</v>
      </c>
      <c r="O651" s="910">
        <f t="shared" si="68"/>
        <v>0</v>
      </c>
      <c r="P651" s="71">
        <f>IFERROR(IF(SEARCH(B651,_xlfn.ARRAYTOTEXT('Bilateral Assistance, MAIN DATA'!I$1:I$2206))&gt;0,1,""),0)</f>
        <v>0</v>
      </c>
      <c r="Q651" s="71">
        <f>IFERROR(IF(SEARCH(B651,_xlfn.ARRAYTOTEXT('Commercial Assistance'!I$1:I$1400))&gt;0,1,""),0)</f>
        <v>0</v>
      </c>
      <c r="R651" s="905" t="str">
        <f>IF(SUMIFS('Bilateral Assistance, MAIN DATA'!N:N,'Bilateral Assistance, MAIN DATA'!I:I,'Price List, Weapons &amp; Items'!B651)&gt;M651,1,".")</f>
        <v>.</v>
      </c>
    </row>
    <row r="652" spans="2:18" ht="15" customHeight="1">
      <c r="B652" s="1232" t="s">
        <v>2777</v>
      </c>
      <c r="C652" s="898" t="s">
        <v>5062</v>
      </c>
      <c r="D652" s="71" t="s">
        <v>5157</v>
      </c>
      <c r="E652" s="900">
        <v>0</v>
      </c>
      <c r="F652" s="900">
        <f t="shared" si="71"/>
        <v>1</v>
      </c>
      <c r="G652" s="902">
        <v>2440543.0099999998</v>
      </c>
      <c r="H652" s="903" t="s">
        <v>456</v>
      </c>
      <c r="I652" s="1227" t="s">
        <v>5074</v>
      </c>
      <c r="J652" s="71" t="s">
        <v>5075</v>
      </c>
      <c r="K652" s="71" t="s">
        <v>5076</v>
      </c>
      <c r="L652" s="905" t="str">
        <f t="shared" si="74"/>
        <v>no price, 0 count</v>
      </c>
      <c r="M652" s="909">
        <f>SUMIFS('Bilateral Assistance, MAIN DATA'!M:M,'Bilateral Assistance, MAIN DATA'!I:I,'Price List, Weapons &amp; Items'!B652)</f>
        <v>0</v>
      </c>
      <c r="N652" s="71">
        <f>COUNTIFS('Bilateral Assistance, MAIN DATA'!M:M,"undisclosed",'Bilateral Assistance, MAIN DATA'!I:I,'Price List, Weapons &amp; Items'!B652)</f>
        <v>1</v>
      </c>
      <c r="O652" s="910">
        <f t="shared" si="68"/>
        <v>0</v>
      </c>
      <c r="P652" s="71">
        <f>IFERROR(IF(SEARCH(B652,_xlfn.ARRAYTOTEXT('Bilateral Assistance, MAIN DATA'!I$1:I$2206))&gt;0,1,""),0)</f>
        <v>0</v>
      </c>
      <c r="Q652" s="71">
        <f>IFERROR(IF(SEARCH(B652,_xlfn.ARRAYTOTEXT('Commercial Assistance'!I$1:I$1400))&gt;0,1,""),0)</f>
        <v>0</v>
      </c>
      <c r="R652" s="905" t="str">
        <f>IF(SUMIFS('Bilateral Assistance, MAIN DATA'!N:N,'Bilateral Assistance, MAIN DATA'!I:I,'Price List, Weapons &amp; Items'!B652)&gt;M652,1,".")</f>
        <v>.</v>
      </c>
    </row>
    <row r="653" spans="2:18" ht="15" customHeight="1">
      <c r="B653" s="1232" t="s">
        <v>2778</v>
      </c>
      <c r="C653" s="898" t="s">
        <v>1105</v>
      </c>
      <c r="D653" s="71" t="s">
        <v>1105</v>
      </c>
      <c r="E653" s="900">
        <v>0</v>
      </c>
      <c r="F653" s="900">
        <f t="shared" si="71"/>
        <v>0</v>
      </c>
      <c r="G653" s="902">
        <f>(1.2362*25000)</f>
        <v>30905</v>
      </c>
      <c r="H653" s="903" t="s">
        <v>456</v>
      </c>
      <c r="I653" s="1227" t="s">
        <v>6072</v>
      </c>
      <c r="J653" s="71" t="s">
        <v>5086</v>
      </c>
      <c r="K653" s="71" t="s">
        <v>6073</v>
      </c>
      <c r="L653" s="905">
        <f t="shared" si="74"/>
        <v>1</v>
      </c>
      <c r="M653" s="909">
        <f>SUMIFS('Bilateral Assistance, MAIN DATA'!M:M,'Bilateral Assistance, MAIN DATA'!I:I,'Price List, Weapons &amp; Items'!B653)</f>
        <v>9</v>
      </c>
      <c r="N653" s="71">
        <f>COUNTIFS('Bilateral Assistance, MAIN DATA'!M:M,"undisclosed",'Bilateral Assistance, MAIN DATA'!I:I,'Price List, Weapons &amp; Items'!B653)</f>
        <v>0</v>
      </c>
      <c r="O653" s="910">
        <f t="shared" si="68"/>
        <v>278145</v>
      </c>
      <c r="P653" s="71">
        <f>IFERROR(IF(SEARCH(B653,_xlfn.ARRAYTOTEXT('Bilateral Assistance, MAIN DATA'!I$1:I$2206))&gt;0,1,""),0)</f>
        <v>0</v>
      </c>
      <c r="Q653" s="71">
        <f>IFERROR(IF(SEARCH(B653,_xlfn.ARRAYTOTEXT('Commercial Assistance'!I$1:I$1400))&gt;0,1,""),0)</f>
        <v>0</v>
      </c>
      <c r="R653" s="905" t="str">
        <f>IF(SUMIFS('Bilateral Assistance, MAIN DATA'!N:N,'Bilateral Assistance, MAIN DATA'!I:I,'Price List, Weapons &amp; Items'!B653)&gt;M653,1,".")</f>
        <v>.</v>
      </c>
    </row>
    <row r="654" spans="2:18" ht="15" customHeight="1">
      <c r="B654" s="1232" t="s">
        <v>2779</v>
      </c>
      <c r="C654" s="898" t="s">
        <v>1105</v>
      </c>
      <c r="D654" s="71" t="s">
        <v>1105</v>
      </c>
      <c r="E654" s="900">
        <v>0</v>
      </c>
      <c r="F654" s="900">
        <f t="shared" si="71"/>
        <v>0</v>
      </c>
      <c r="G654" s="902">
        <f>460000000/110</f>
        <v>4181818.1818181816</v>
      </c>
      <c r="H654" s="903" t="s">
        <v>456</v>
      </c>
      <c r="I654" s="1227" t="s">
        <v>6074</v>
      </c>
      <c r="J654" s="71" t="s">
        <v>5191</v>
      </c>
      <c r="K654" s="71" t="s">
        <v>6075</v>
      </c>
      <c r="L654" s="905">
        <f t="shared" si="74"/>
        <v>2</v>
      </c>
      <c r="M654" s="909">
        <f>SUMIFS('Bilateral Assistance, MAIN DATA'!M:M,'Bilateral Assistance, MAIN DATA'!I:I,'Price List, Weapons &amp; Items'!B654)</f>
        <v>15</v>
      </c>
      <c r="N654" s="71">
        <f>COUNTIFS('Bilateral Assistance, MAIN DATA'!M:M,"undisclosed",'Bilateral Assistance, MAIN DATA'!I:I,'Price List, Weapons &amp; Items'!B654)</f>
        <v>0</v>
      </c>
      <c r="O654" s="910">
        <f t="shared" si="68"/>
        <v>62727272.727272727</v>
      </c>
      <c r="P654" s="71">
        <f>IFERROR(IF(SEARCH(B654,_xlfn.ARRAYTOTEXT('Bilateral Assistance, MAIN DATA'!I$1:I$2206))&gt;0,1,""),0)</f>
        <v>0</v>
      </c>
      <c r="Q654" s="71">
        <f>IFERROR(IF(SEARCH(B654,_xlfn.ARRAYTOTEXT('Commercial Assistance'!I$1:I$1400))&gt;0,1,""),0)</f>
        <v>0</v>
      </c>
      <c r="R654" s="905" t="str">
        <f>IF(SUMIFS('Bilateral Assistance, MAIN DATA'!N:N,'Bilateral Assistance, MAIN DATA'!I:I,'Price List, Weapons &amp; Items'!B654)&gt;M654,1,".")</f>
        <v>.</v>
      </c>
    </row>
    <row r="655" spans="2:18" ht="15" customHeight="1">
      <c r="B655" s="1232" t="s">
        <v>2780</v>
      </c>
      <c r="C655" s="898" t="s">
        <v>1105</v>
      </c>
      <c r="D655" s="71" t="s">
        <v>5298</v>
      </c>
      <c r="E655" s="900">
        <v>0</v>
      </c>
      <c r="F655" s="900">
        <f t="shared" si="71"/>
        <v>0</v>
      </c>
      <c r="G655" s="902">
        <f>AVERAGE(317500,44390*'Exchange Rates'!C13,350000)</f>
        <v>238581.01733333335</v>
      </c>
      <c r="H655" s="903" t="s">
        <v>456</v>
      </c>
      <c r="I655" s="1227" t="s">
        <v>6076</v>
      </c>
      <c r="J655" s="71" t="s">
        <v>5086</v>
      </c>
      <c r="K655" s="71" t="s">
        <v>6077</v>
      </c>
      <c r="L655" s="905">
        <f t="shared" si="74"/>
        <v>2</v>
      </c>
      <c r="M655" s="909">
        <f>SUMIFS('Bilateral Assistance, MAIN DATA'!M:M,'Bilateral Assistance, MAIN DATA'!I:I,'Price List, Weapons &amp; Items'!B655)</f>
        <v>627</v>
      </c>
      <c r="N655" s="71">
        <f>COUNTIFS('Bilateral Assistance, MAIN DATA'!M:M,"undisclosed",'Bilateral Assistance, MAIN DATA'!I:I,'Price List, Weapons &amp; Items'!B655)</f>
        <v>0</v>
      </c>
      <c r="O655" s="910">
        <f t="shared" si="68"/>
        <v>149590297.868</v>
      </c>
      <c r="P655" s="71">
        <f>IFERROR(IF(SEARCH(B655,_xlfn.ARRAYTOTEXT('Bilateral Assistance, MAIN DATA'!I$1:I$2206))&gt;0,1,""),0)</f>
        <v>0</v>
      </c>
      <c r="Q655" s="71">
        <f>IFERROR(IF(SEARCH(B655,_xlfn.ARRAYTOTEXT('Commercial Assistance'!I$1:I$1400))&gt;0,1,""),0)</f>
        <v>0</v>
      </c>
      <c r="R655" s="905" t="str">
        <f>IF(SUMIFS('Bilateral Assistance, MAIN DATA'!N:N,'Bilateral Assistance, MAIN DATA'!I:I,'Price List, Weapons &amp; Items'!B655)&gt;M655,1,".")</f>
        <v>.</v>
      </c>
    </row>
    <row r="656" spans="2:18" ht="15" customHeight="1">
      <c r="B656" s="1232" t="s">
        <v>2781</v>
      </c>
      <c r="C656" s="898" t="s">
        <v>1105</v>
      </c>
      <c r="D656" s="71" t="s">
        <v>1105</v>
      </c>
      <c r="E656" s="900">
        <v>0</v>
      </c>
      <c r="F656" s="900">
        <f t="shared" si="71"/>
        <v>0</v>
      </c>
      <c r="G656" s="902">
        <f>1750000*'Exchange Rates'!C13</f>
        <v>1901900</v>
      </c>
      <c r="H656" s="903" t="s">
        <v>456</v>
      </c>
      <c r="I656" s="1227" t="s">
        <v>6078</v>
      </c>
      <c r="J656" s="71" t="s">
        <v>5191</v>
      </c>
      <c r="K656" s="71" t="s">
        <v>6079</v>
      </c>
      <c r="L656" s="905">
        <f t="shared" si="74"/>
        <v>1</v>
      </c>
      <c r="M656" s="909">
        <f>SUMIFS('Bilateral Assistance, MAIN DATA'!M:M,'Bilateral Assistance, MAIN DATA'!I:I,'Price List, Weapons &amp; Items'!B656)</f>
        <v>1</v>
      </c>
      <c r="N656" s="71">
        <f>COUNTIFS('Bilateral Assistance, MAIN DATA'!M:M,"undisclosed",'Bilateral Assistance, MAIN DATA'!I:I,'Price List, Weapons &amp; Items'!B656)</f>
        <v>0</v>
      </c>
      <c r="O656" s="910">
        <f t="shared" si="68"/>
        <v>1901900</v>
      </c>
      <c r="P656" s="71">
        <f>IFERROR(IF(SEARCH(B656,_xlfn.ARRAYTOTEXT('Bilateral Assistance, MAIN DATA'!I$1:I$2206))&gt;0,1,""),0)</f>
        <v>0</v>
      </c>
      <c r="Q656" s="71">
        <f>IFERROR(IF(SEARCH(B656,_xlfn.ARRAYTOTEXT('Commercial Assistance'!I$1:I$1400))&gt;0,1,""),0)</f>
        <v>0</v>
      </c>
      <c r="R656" s="905" t="str">
        <f>IF(SUMIFS('Bilateral Assistance, MAIN DATA'!N:N,'Bilateral Assistance, MAIN DATA'!I:I,'Price List, Weapons &amp; Items'!B656)&gt;M656,1,".")</f>
        <v>.</v>
      </c>
    </row>
    <row r="657" spans="2:18" ht="15" customHeight="1">
      <c r="B657" s="1232" t="s">
        <v>2782</v>
      </c>
      <c r="C657" s="898" t="s">
        <v>1105</v>
      </c>
      <c r="D657" s="71" t="s">
        <v>1105</v>
      </c>
      <c r="E657" s="900">
        <v>0</v>
      </c>
      <c r="F657" s="900">
        <f t="shared" si="71"/>
        <v>0</v>
      </c>
      <c r="G657" s="902">
        <f>1750000*'Exchange Rates'!C13</f>
        <v>1901900</v>
      </c>
      <c r="H657" s="903" t="s">
        <v>456</v>
      </c>
      <c r="I657" s="1227" t="s">
        <v>6078</v>
      </c>
      <c r="J657" s="71" t="s">
        <v>5191</v>
      </c>
      <c r="K657" s="71" t="s">
        <v>6080</v>
      </c>
      <c r="L657" s="905">
        <f t="shared" si="74"/>
        <v>2</v>
      </c>
      <c r="M657" s="909">
        <f>SUMIFS('Bilateral Assistance, MAIN DATA'!M:M,'Bilateral Assistance, MAIN DATA'!I:I,'Price List, Weapons &amp; Items'!B657)</f>
        <v>3</v>
      </c>
      <c r="N657" s="71">
        <f>COUNTIFS('Bilateral Assistance, MAIN DATA'!M:M,"undisclosed",'Bilateral Assistance, MAIN DATA'!I:I,'Price List, Weapons &amp; Items'!B657)</f>
        <v>0</v>
      </c>
      <c r="O657" s="910">
        <f t="shared" si="68"/>
        <v>5705700</v>
      </c>
      <c r="P657" s="71">
        <f>IFERROR(IF(SEARCH(B657,_xlfn.ARRAYTOTEXT('Bilateral Assistance, MAIN DATA'!I$1:I$2206))&gt;0,1,""),0)</f>
        <v>0</v>
      </c>
      <c r="Q657" s="71">
        <f>IFERROR(IF(SEARCH(B657,_xlfn.ARRAYTOTEXT('Commercial Assistance'!I$1:I$1400))&gt;0,1,""),0)</f>
        <v>0</v>
      </c>
      <c r="R657" s="905" t="str">
        <f>IF(SUMIFS('Bilateral Assistance, MAIN DATA'!N:N,'Bilateral Assistance, MAIN DATA'!I:I,'Price List, Weapons &amp; Items'!B657)&gt;M657,1,".")</f>
        <v>.</v>
      </c>
    </row>
    <row r="658" spans="2:18" ht="15" customHeight="1">
      <c r="B658" s="916" t="s">
        <v>2783</v>
      </c>
      <c r="C658" s="898" t="s">
        <v>1105</v>
      </c>
      <c r="D658" s="71" t="s">
        <v>1105</v>
      </c>
      <c r="E658" s="900">
        <v>0</v>
      </c>
      <c r="F658" s="900">
        <f t="shared" si="71"/>
        <v>0</v>
      </c>
      <c r="G658" s="902" t="s">
        <v>364</v>
      </c>
      <c r="H658" s="903" t="s">
        <v>364</v>
      </c>
      <c r="I658" s="943" t="s">
        <v>364</v>
      </c>
      <c r="J658" s="71" t="s">
        <v>364</v>
      </c>
      <c r="K658" s="71" t="s">
        <v>364</v>
      </c>
      <c r="L658" s="905" t="str">
        <f t="shared" si="74"/>
        <v>no price, 0 count</v>
      </c>
      <c r="M658" s="909">
        <f>SUMIFS('Bilateral Assistance, MAIN DATA'!M:M,'Bilateral Assistance, MAIN DATA'!I:I,'Price List, Weapons &amp; Items'!B658)</f>
        <v>0</v>
      </c>
      <c r="N658" s="71">
        <f>COUNTIFS('Bilateral Assistance, MAIN DATA'!M:M,"undisclosed",'Bilateral Assistance, MAIN DATA'!I:I,'Price List, Weapons &amp; Items'!B658)</f>
        <v>1</v>
      </c>
      <c r="O658" s="910" t="str">
        <f t="shared" si="68"/>
        <v>no price</v>
      </c>
      <c r="P658" s="71">
        <f>IFERROR(IF(SEARCH(B658,_xlfn.ARRAYTOTEXT('Bilateral Assistance, MAIN DATA'!I$1:I$2206))&gt;0,1,""),0)</f>
        <v>0</v>
      </c>
      <c r="Q658" s="71">
        <f>IFERROR(IF(SEARCH(B658,_xlfn.ARRAYTOTEXT('Commercial Assistance'!I$1:I$1400))&gt;0,1,""),0)</f>
        <v>0</v>
      </c>
      <c r="R658" s="905" t="str">
        <f>IF(SUMIFS('Bilateral Assistance, MAIN DATA'!N:N,'Bilateral Assistance, MAIN DATA'!I:I,'Price List, Weapons &amp; Items'!B658)&gt;M658,1,".")</f>
        <v>.</v>
      </c>
    </row>
    <row r="659" spans="2:18" ht="15" customHeight="1">
      <c r="B659" s="901" t="s">
        <v>2785</v>
      </c>
      <c r="C659" s="898" t="s">
        <v>360</v>
      </c>
      <c r="D659" s="899" t="s">
        <v>360</v>
      </c>
      <c r="E659" s="900">
        <v>0</v>
      </c>
      <c r="F659" s="900">
        <f t="shared" si="71"/>
        <v>0</v>
      </c>
      <c r="G659" s="892">
        <f>(7800000/10)*'Exchange Rates'!C45</f>
        <v>0</v>
      </c>
      <c r="H659" s="900" t="s">
        <v>456</v>
      </c>
      <c r="I659" s="1205" t="s">
        <v>6081</v>
      </c>
      <c r="J659" s="71" t="s">
        <v>5119</v>
      </c>
      <c r="K659" s="901" t="s">
        <v>6082</v>
      </c>
      <c r="L659" s="905">
        <f t="shared" si="74"/>
        <v>0</v>
      </c>
      <c r="M659" s="909">
        <f>SUMIFS('Bilateral Assistance, MAIN DATA'!M:M,'Bilateral Assistance, MAIN DATA'!I:I,'Price List, Weapons &amp; Items'!B659)</f>
        <v>3.3</v>
      </c>
      <c r="N659" s="71">
        <f>COUNTIFS('Bilateral Assistance, MAIN DATA'!M:M,"undisclosed",'Bilateral Assistance, MAIN DATA'!I:I,'Price List, Weapons &amp; Items'!B659)</f>
        <v>0</v>
      </c>
      <c r="O659" s="910">
        <f t="shared" si="68"/>
        <v>0</v>
      </c>
      <c r="P659" s="71">
        <f>IFERROR(IF(SEARCH(B659,_xlfn.ARRAYTOTEXT('Bilateral Assistance, MAIN DATA'!I$1:I$2206))&gt;0,1,""),0)</f>
        <v>0</v>
      </c>
      <c r="Q659" s="71">
        <f>IFERROR(IF(SEARCH(B659,_xlfn.ARRAYTOTEXT('Commercial Assistance'!I$1:I$1400))&gt;0,1,""),0)</f>
        <v>0</v>
      </c>
      <c r="R659" s="905" t="str">
        <f>IF(SUMIFS('Bilateral Assistance, MAIN DATA'!N:N,'Bilateral Assistance, MAIN DATA'!I:I,'Price List, Weapons &amp; Items'!B659)&gt;M659,1,".")</f>
        <v>.</v>
      </c>
    </row>
    <row r="660" spans="2:18" ht="15" customHeight="1">
      <c r="B660" s="916" t="s">
        <v>2787</v>
      </c>
      <c r="C660" s="898" t="s">
        <v>6083</v>
      </c>
      <c r="D660" s="899" t="s">
        <v>6084</v>
      </c>
      <c r="E660" s="900">
        <v>0</v>
      </c>
      <c r="F660" s="900">
        <f t="shared" si="71"/>
        <v>0</v>
      </c>
      <c r="G660" s="892">
        <f>260000000*'Exchange Rates'!C13</f>
        <v>282568000</v>
      </c>
      <c r="H660" s="900" t="s">
        <v>456</v>
      </c>
      <c r="I660" s="1205" t="s">
        <v>2788</v>
      </c>
      <c r="J660" s="71" t="s">
        <v>5119</v>
      </c>
      <c r="K660" s="901" t="s">
        <v>6085</v>
      </c>
      <c r="L660" s="905">
        <f t="shared" si="74"/>
        <v>2</v>
      </c>
      <c r="M660" s="909">
        <f>SUMIFS('Bilateral Assistance, MAIN DATA'!M:M,'Bilateral Assistance, MAIN DATA'!I:I,'Price List, Weapons &amp; Items'!B660)</f>
        <v>1</v>
      </c>
      <c r="N660" s="71">
        <f>COUNTIFS('Bilateral Assistance, MAIN DATA'!M:M,"undisclosed",'Bilateral Assistance, MAIN DATA'!I:I,'Price List, Weapons &amp; Items'!B660)</f>
        <v>0</v>
      </c>
      <c r="O660" s="910">
        <f t="shared" si="68"/>
        <v>282568000</v>
      </c>
      <c r="P660" s="71">
        <f>IFERROR(IF(SEARCH(B660,_xlfn.ARRAYTOTEXT('Bilateral Assistance, MAIN DATA'!I$1:I$2206))&gt;0,1,""),0)</f>
        <v>0</v>
      </c>
      <c r="Q660" s="71">
        <f>IFERROR(IF(SEARCH(B660,_xlfn.ARRAYTOTEXT('Commercial Assistance'!I$1:I$1400))&gt;0,1,""),0)</f>
        <v>0</v>
      </c>
      <c r="R660" s="905" t="str">
        <f>IF(SUMIFS('Bilateral Assistance, MAIN DATA'!N:N,'Bilateral Assistance, MAIN DATA'!I:I,'Price List, Weapons &amp; Items'!B660)&gt;M660,1,".")</f>
        <v>.</v>
      </c>
    </row>
    <row r="661" spans="2:18" ht="15" customHeight="1">
      <c r="B661" s="71" t="s">
        <v>3061</v>
      </c>
      <c r="C661" s="898" t="s">
        <v>5062</v>
      </c>
      <c r="D661" s="899" t="s">
        <v>5323</v>
      </c>
      <c r="E661" s="900">
        <v>1</v>
      </c>
      <c r="F661" s="900">
        <f t="shared" si="71"/>
        <v>0</v>
      </c>
      <c r="G661" s="892">
        <v>19056370.868857905</v>
      </c>
      <c r="H661" s="900" t="s">
        <v>456</v>
      </c>
      <c r="I661" s="1227" t="s">
        <v>5074</v>
      </c>
      <c r="J661" s="71" t="s">
        <v>5075</v>
      </c>
      <c r="K661" s="71" t="s">
        <v>6086</v>
      </c>
      <c r="L661" s="905">
        <f t="shared" si="74"/>
        <v>2</v>
      </c>
      <c r="M661" s="909">
        <f>SUMIFS('Bilateral Assistance, MAIN DATA'!M:M,'Bilateral Assistance, MAIN DATA'!I:I,'Price List, Weapons &amp; Items'!B661)</f>
        <v>27</v>
      </c>
      <c r="N661" s="71">
        <f>COUNTIFS('Bilateral Assistance, MAIN DATA'!M:M,"undisclosed",'Bilateral Assistance, MAIN DATA'!I:I,'Price List, Weapons &amp; Items'!B661)</f>
        <v>0</v>
      </c>
      <c r="O661" s="910">
        <f t="shared" si="68"/>
        <v>514522013.45916343</v>
      </c>
      <c r="P661" s="71">
        <f>IFERROR(IF(SEARCH(B661,_xlfn.ARRAYTOTEXT('Bilateral Assistance, MAIN DATA'!I$1:I$2206))&gt;0,1,""),0)</f>
        <v>0</v>
      </c>
      <c r="Q661" s="71">
        <f>IFERROR(IF(SEARCH(B661,_xlfn.ARRAYTOTEXT('Commercial Assistance'!I$1:I$1400))&gt;0,1,""),0)</f>
        <v>0</v>
      </c>
      <c r="R661" s="905" t="str">
        <f>IF(SUMIFS('Bilateral Assistance, MAIN DATA'!N:N,'Bilateral Assistance, MAIN DATA'!I:I,'Price List, Weapons &amp; Items'!B661)&gt;M661,1,".")</f>
        <v>.</v>
      </c>
    </row>
    <row r="662" spans="2:18" ht="15" customHeight="1">
      <c r="B662" s="901" t="s">
        <v>2423</v>
      </c>
      <c r="C662" s="898" t="s">
        <v>360</v>
      </c>
      <c r="D662" s="899" t="s">
        <v>360</v>
      </c>
      <c r="E662" s="900">
        <v>0</v>
      </c>
      <c r="F662" s="900">
        <f t="shared" si="71"/>
        <v>0</v>
      </c>
      <c r="G662" s="892">
        <f>126000*'Exchange Rates'!C13</f>
        <v>136936.79999999999</v>
      </c>
      <c r="H662" s="900" t="s">
        <v>456</v>
      </c>
      <c r="I662" s="1205" t="s">
        <v>6087</v>
      </c>
      <c r="J662" s="71" t="s">
        <v>5191</v>
      </c>
      <c r="K662" s="901" t="s">
        <v>6088</v>
      </c>
      <c r="L662" s="905">
        <f t="shared" si="74"/>
        <v>0</v>
      </c>
      <c r="M662" s="909">
        <f>SUMIFS('Bilateral Assistance, MAIN DATA'!M:M,'Bilateral Assistance, MAIN DATA'!I:I,'Price List, Weapons &amp; Items'!B662)</f>
        <v>43</v>
      </c>
      <c r="N662" s="71">
        <f>COUNTIFS('Bilateral Assistance, MAIN DATA'!M:M,"undisclosed",'Bilateral Assistance, MAIN DATA'!I:I,'Price List, Weapons &amp; Items'!B662)</f>
        <v>0</v>
      </c>
      <c r="O662" s="910">
        <f t="shared" ref="O662:O677" si="75">IFERROR(M662*G662,"no price")</f>
        <v>5888282.3999999994</v>
      </c>
      <c r="P662" s="71">
        <f>IFERROR(IF(SEARCH(B662,_xlfn.ARRAYTOTEXT('Bilateral Assistance, MAIN DATA'!I$1:I$2206))&gt;0,1,""),0)</f>
        <v>0</v>
      </c>
      <c r="Q662" s="71">
        <f>IFERROR(IF(SEARCH(B662,_xlfn.ARRAYTOTEXT('Commercial Assistance'!I$1:I$1400))&gt;0,1,""),0)</f>
        <v>0</v>
      </c>
      <c r="R662" s="905" t="str">
        <f>IF(SUMIFS('Bilateral Assistance, MAIN DATA'!N:N,'Bilateral Assistance, MAIN DATA'!I:I,'Price List, Weapons &amp; Items'!B662)&gt;M662,1,".")</f>
        <v>.</v>
      </c>
    </row>
    <row r="663" spans="2:18" ht="15" customHeight="1">
      <c r="B663" s="1233" t="s">
        <v>891</v>
      </c>
      <c r="C663" s="898" t="s">
        <v>5056</v>
      </c>
      <c r="D663" s="899" t="s">
        <v>5069</v>
      </c>
      <c r="E663" s="900">
        <v>0</v>
      </c>
      <c r="F663" s="900">
        <f t="shared" si="71"/>
        <v>0</v>
      </c>
      <c r="G663" s="892">
        <f>(2300/'Exchange Rates'!C14)*'Exchange Rates'!C13</f>
        <v>1701.9404915912032</v>
      </c>
      <c r="H663" s="900" t="s">
        <v>456</v>
      </c>
      <c r="I663" s="1205" t="s">
        <v>6089</v>
      </c>
      <c r="J663" s="913" t="s">
        <v>5086</v>
      </c>
      <c r="K663" s="901" t="s">
        <v>6090</v>
      </c>
      <c r="L663" s="905">
        <f t="shared" si="74"/>
        <v>2</v>
      </c>
      <c r="M663" s="909">
        <f>SUMIFS('Bilateral Assistance, MAIN DATA'!M:M,'Bilateral Assistance, MAIN DATA'!I:I,'Price List, Weapons &amp; Items'!B663)</f>
        <v>21000</v>
      </c>
      <c r="N663" s="71">
        <f>COUNTIFS('Bilateral Assistance, MAIN DATA'!M:M,"undisclosed",'Bilateral Assistance, MAIN DATA'!I:I,'Price List, Weapons &amp; Items'!B663)</f>
        <v>0</v>
      </c>
      <c r="O663" s="910">
        <f t="shared" si="75"/>
        <v>35740750.323415264</v>
      </c>
      <c r="P663" s="71">
        <f>IFERROR(IF(SEARCH(B663,_xlfn.ARRAYTOTEXT('Bilateral Assistance, MAIN DATA'!I$1:I$2206))&gt;0,1,""),0)</f>
        <v>0</v>
      </c>
      <c r="Q663" s="71">
        <f>IFERROR(IF(SEARCH(B663,_xlfn.ARRAYTOTEXT('Commercial Assistance'!I$1:I$1400))&gt;0,1,""),0)</f>
        <v>0</v>
      </c>
      <c r="R663" s="905" t="str">
        <f>IF(SUMIFS('Bilateral Assistance, MAIN DATA'!N:N,'Bilateral Assistance, MAIN DATA'!I:I,'Price List, Weapons &amp; Items'!B663)&gt;M663,1,".")</f>
        <v>.</v>
      </c>
    </row>
    <row r="664" spans="2:18" ht="15" customHeight="1">
      <c r="B664" s="1233" t="s">
        <v>894</v>
      </c>
      <c r="C664" s="898" t="s">
        <v>5056</v>
      </c>
      <c r="D664" s="899" t="s">
        <v>5069</v>
      </c>
      <c r="E664" s="900">
        <v>0</v>
      </c>
      <c r="F664" s="900">
        <f t="shared" si="71"/>
        <v>0</v>
      </c>
      <c r="G664" s="892">
        <f>AVERAGE(6600,9200)</f>
        <v>7900</v>
      </c>
      <c r="H664" s="900" t="s">
        <v>456</v>
      </c>
      <c r="I664" s="1205" t="s">
        <v>6091</v>
      </c>
      <c r="J664" s="913" t="s">
        <v>5082</v>
      </c>
      <c r="K664" s="901" t="s">
        <v>6092</v>
      </c>
      <c r="L664" s="905">
        <f t="shared" si="74"/>
        <v>1</v>
      </c>
      <c r="M664" s="909">
        <f>SUMIFS('Bilateral Assistance, MAIN DATA'!M:M,'Bilateral Assistance, MAIN DATA'!I:I,'Price List, Weapons &amp; Items'!B664)</f>
        <v>38</v>
      </c>
      <c r="N664" s="71">
        <f>COUNTIFS('Bilateral Assistance, MAIN DATA'!M:M,"undisclosed",'Bilateral Assistance, MAIN DATA'!I:I,'Price List, Weapons &amp; Items'!B664)</f>
        <v>0</v>
      </c>
      <c r="O664" s="910">
        <f t="shared" si="75"/>
        <v>300200</v>
      </c>
      <c r="P664" s="71">
        <f>IFERROR(IF(SEARCH(B664,_xlfn.ARRAYTOTEXT('Bilateral Assistance, MAIN DATA'!I$1:I$2206))&gt;0,1,""),0)</f>
        <v>0</v>
      </c>
      <c r="Q664" s="71">
        <f>IFERROR(IF(SEARCH(B664,_xlfn.ARRAYTOTEXT('Commercial Assistance'!I$1:I$1400))&gt;0,1,""),0)</f>
        <v>0</v>
      </c>
      <c r="R664" s="905" t="str">
        <f>IF(SUMIFS('Bilateral Assistance, MAIN DATA'!N:N,'Bilateral Assistance, MAIN DATA'!I:I,'Price List, Weapons &amp; Items'!B664)&gt;M664,1,".")</f>
        <v>.</v>
      </c>
    </row>
    <row r="665" spans="2:18" ht="15" customHeight="1">
      <c r="B665" s="1233" t="s">
        <v>899</v>
      </c>
      <c r="C665" s="898" t="s">
        <v>5056</v>
      </c>
      <c r="D665" s="899" t="s">
        <v>5069</v>
      </c>
      <c r="E665" s="900">
        <v>0</v>
      </c>
      <c r="F665" s="900">
        <f t="shared" si="71"/>
        <v>0</v>
      </c>
      <c r="G665" s="892">
        <f>((2500000/40)/'Exchange Rates'!C14)*'Exchange Rates'!C13</f>
        <v>46248.382923674006</v>
      </c>
      <c r="H665" s="900" t="s">
        <v>456</v>
      </c>
      <c r="I665" s="1205" t="s">
        <v>892</v>
      </c>
      <c r="J665" s="913" t="s">
        <v>5119</v>
      </c>
      <c r="K665" s="901" t="s">
        <v>6061</v>
      </c>
      <c r="L665" s="905">
        <f t="shared" si="74"/>
        <v>1</v>
      </c>
      <c r="M665" s="909">
        <f>SUMIFS('Bilateral Assistance, MAIN DATA'!M:M,'Bilateral Assistance, MAIN DATA'!I:I,'Price List, Weapons &amp; Items'!B665)</f>
        <v>40</v>
      </c>
      <c r="N665" s="71">
        <f>COUNTIFS('Bilateral Assistance, MAIN DATA'!M:M,"undisclosed",'Bilateral Assistance, MAIN DATA'!I:I,'Price List, Weapons &amp; Items'!B665)</f>
        <v>0</v>
      </c>
      <c r="O665" s="910">
        <f t="shared" si="75"/>
        <v>1849935.3169469603</v>
      </c>
      <c r="P665" s="71">
        <f>IFERROR(IF(SEARCH(B665,_xlfn.ARRAYTOTEXT('Bilateral Assistance, MAIN DATA'!I$1:I$2206))&gt;0,1,""),0)</f>
        <v>0</v>
      </c>
      <c r="Q665" s="71">
        <f>IFERROR(IF(SEARCH(B665,_xlfn.ARRAYTOTEXT('Commercial Assistance'!I$1:I$1400))&gt;0,1,""),0)</f>
        <v>0</v>
      </c>
      <c r="R665" s="905" t="str">
        <f>IF(SUMIFS('Bilateral Assistance, MAIN DATA'!N:N,'Bilateral Assistance, MAIN DATA'!I:I,'Price List, Weapons &amp; Items'!B665)&gt;M665,1,".")</f>
        <v>.</v>
      </c>
    </row>
    <row r="666" spans="2:18" ht="15" customHeight="1">
      <c r="B666" s="1233" t="s">
        <v>900</v>
      </c>
      <c r="C666" s="898" t="s">
        <v>360</v>
      </c>
      <c r="D666" s="899" t="s">
        <v>360</v>
      </c>
      <c r="E666" s="900">
        <v>0</v>
      </c>
      <c r="F666" s="900">
        <f t="shared" si="71"/>
        <v>0</v>
      </c>
      <c r="G666" s="892">
        <f>((2000000/16)/'Exchange Rates'!C14)*'Exchange Rates'!C13</f>
        <v>92496.765847348011</v>
      </c>
      <c r="H666" s="900" t="s">
        <v>456</v>
      </c>
      <c r="I666" s="1205" t="s">
        <v>892</v>
      </c>
      <c r="J666" s="913" t="s">
        <v>5119</v>
      </c>
      <c r="K666" s="901" t="s">
        <v>6061</v>
      </c>
      <c r="L666" s="905">
        <f t="shared" si="74"/>
        <v>0</v>
      </c>
      <c r="M666" s="909">
        <f>SUMIFS('Bilateral Assistance, MAIN DATA'!M:M,'Bilateral Assistance, MAIN DATA'!I:I,'Price List, Weapons &amp; Items'!B666)</f>
        <v>16</v>
      </c>
      <c r="N666" s="71">
        <f>COUNTIFS('Bilateral Assistance, MAIN DATA'!M:M,"undisclosed",'Bilateral Assistance, MAIN DATA'!I:I,'Price List, Weapons &amp; Items'!B666)</f>
        <v>0</v>
      </c>
      <c r="O666" s="910">
        <f t="shared" si="75"/>
        <v>1479948.2535575682</v>
      </c>
      <c r="P666" s="71">
        <f>IFERROR(IF(SEARCH(B666,_xlfn.ARRAYTOTEXT('Bilateral Assistance, MAIN DATA'!I$1:I$2206))&gt;0,1,""),0)</f>
        <v>0</v>
      </c>
      <c r="Q666" s="71">
        <f>IFERROR(IF(SEARCH(B666,_xlfn.ARRAYTOTEXT('Commercial Assistance'!I$1:I$1400))&gt;0,1,""),0)</f>
        <v>0</v>
      </c>
      <c r="R666" s="905" t="str">
        <f>IF(SUMIFS('Bilateral Assistance, MAIN DATA'!N:N,'Bilateral Assistance, MAIN DATA'!I:I,'Price List, Weapons &amp; Items'!B666)&gt;M666,1,".")</f>
        <v>.</v>
      </c>
    </row>
    <row r="667" spans="2:18" ht="15" customHeight="1">
      <c r="B667" s="1233" t="s">
        <v>903</v>
      </c>
      <c r="C667" s="898" t="s">
        <v>5059</v>
      </c>
      <c r="D667" s="899" t="s">
        <v>5136</v>
      </c>
      <c r="E667" s="900">
        <v>0</v>
      </c>
      <c r="F667" s="900">
        <f t="shared" si="71"/>
        <v>0</v>
      </c>
      <c r="G667" s="892">
        <v>454689.66</v>
      </c>
      <c r="H667" s="900" t="s">
        <v>456</v>
      </c>
      <c r="I667" s="1205" t="s">
        <v>6093</v>
      </c>
      <c r="J667" s="913" t="s">
        <v>5119</v>
      </c>
      <c r="K667" s="901" t="s">
        <v>6094</v>
      </c>
      <c r="L667" s="905">
        <f t="shared" si="74"/>
        <v>2</v>
      </c>
      <c r="M667" s="909">
        <f>SUMIFS('Bilateral Assistance, MAIN DATA'!M:M,'Bilateral Assistance, MAIN DATA'!I:I,'Price List, Weapons &amp; Items'!B667)</f>
        <v>43</v>
      </c>
      <c r="N667" s="71">
        <f>COUNTIFS('Bilateral Assistance, MAIN DATA'!M:M,"undisclosed",'Bilateral Assistance, MAIN DATA'!I:I,'Price List, Weapons &amp; Items'!B667)</f>
        <v>0</v>
      </c>
      <c r="O667" s="910">
        <f t="shared" si="75"/>
        <v>19551655.379999999</v>
      </c>
      <c r="P667" s="71">
        <f>IFERROR(IF(SEARCH(B667,_xlfn.ARRAYTOTEXT('Bilateral Assistance, MAIN DATA'!I$1:I$2206))&gt;0,1,""),0)</f>
        <v>0</v>
      </c>
      <c r="Q667" s="71">
        <f>IFERROR(IF(SEARCH(B667,_xlfn.ARRAYTOTEXT('Commercial Assistance'!I$1:I$1400))&gt;0,1,""),0)</f>
        <v>0</v>
      </c>
      <c r="R667" s="905" t="str">
        <f>IF(SUMIFS('Bilateral Assistance, MAIN DATA'!N:N,'Bilateral Assistance, MAIN DATA'!I:I,'Price List, Weapons &amp; Items'!B667)&gt;M667,1,".")</f>
        <v>.</v>
      </c>
    </row>
    <row r="668" spans="2:18" ht="15" customHeight="1">
      <c r="B668" s="901" t="s">
        <v>1380</v>
      </c>
      <c r="C668" s="898" t="s">
        <v>5056</v>
      </c>
      <c r="D668" s="899" t="s">
        <v>5069</v>
      </c>
      <c r="E668" s="900">
        <v>0</v>
      </c>
      <c r="F668" s="900">
        <f t="shared" si="71"/>
        <v>0</v>
      </c>
      <c r="G668" s="902">
        <v>4089.42</v>
      </c>
      <c r="H668" s="903" t="s">
        <v>456</v>
      </c>
      <c r="I668" s="1234" t="s">
        <v>6095</v>
      </c>
      <c r="J668" s="71" t="s">
        <v>5082</v>
      </c>
      <c r="K668" s="71" t="s">
        <v>6096</v>
      </c>
      <c r="L668" s="905" t="str">
        <f t="shared" si="74"/>
        <v>no price, 0 count</v>
      </c>
      <c r="M668" s="909">
        <f>SUMIFS('Bilateral Assistance, MAIN DATA'!M:M,'Bilateral Assistance, MAIN DATA'!I:I,'Price List, Weapons &amp; Items'!B668)</f>
        <v>0</v>
      </c>
      <c r="N668" s="71">
        <f>COUNTIFS('Bilateral Assistance, MAIN DATA'!M:M,"undisclosed",'Bilateral Assistance, MAIN DATA'!I:I,'Price List, Weapons &amp; Items'!B668)</f>
        <v>1</v>
      </c>
      <c r="O668" s="910">
        <f t="shared" si="75"/>
        <v>0</v>
      </c>
      <c r="P668" s="71">
        <f>IFERROR(IF(SEARCH(B668,_xlfn.ARRAYTOTEXT('Bilateral Assistance, MAIN DATA'!I$1:I$2206))&gt;0,1,""),0)</f>
        <v>0</v>
      </c>
      <c r="Q668" s="71">
        <f>IFERROR(IF(SEARCH(B668,_xlfn.ARRAYTOTEXT('Commercial Assistance'!I$1:I$1400))&gt;0,1,""),0)</f>
        <v>0</v>
      </c>
      <c r="R668" s="905" t="str">
        <f>IF(SUMIFS('Bilateral Assistance, MAIN DATA'!N:N,'Bilateral Assistance, MAIN DATA'!I:I,'Price List, Weapons &amp; Items'!B668)&gt;M668,1,".")</f>
        <v>.</v>
      </c>
    </row>
    <row r="669" spans="2:18" ht="15" customHeight="1">
      <c r="B669" s="901" t="s">
        <v>1395</v>
      </c>
      <c r="C669" s="898" t="s">
        <v>5056</v>
      </c>
      <c r="D669" s="899" t="s">
        <v>5069</v>
      </c>
      <c r="E669" s="900">
        <v>0</v>
      </c>
      <c r="F669" s="900">
        <f t="shared" si="71"/>
        <v>0</v>
      </c>
      <c r="G669" s="902">
        <v>6500</v>
      </c>
      <c r="H669" s="903" t="s">
        <v>456</v>
      </c>
      <c r="I669" s="1234" t="s">
        <v>6097</v>
      </c>
      <c r="J669" s="71" t="s">
        <v>5086</v>
      </c>
      <c r="K669" s="71" t="s">
        <v>6098</v>
      </c>
      <c r="L669" s="905" t="str">
        <f t="shared" si="74"/>
        <v>no price, 0 count</v>
      </c>
      <c r="M669" s="909">
        <f>SUMIFS('Bilateral Assistance, MAIN DATA'!M:M,'Bilateral Assistance, MAIN DATA'!I:I,'Price List, Weapons &amp; Items'!B669)</f>
        <v>0</v>
      </c>
      <c r="N669" s="71">
        <f>COUNTIFS('Bilateral Assistance, MAIN DATA'!M:M,"undisclosed",'Bilateral Assistance, MAIN DATA'!I:I,'Price List, Weapons &amp; Items'!B669)</f>
        <v>1</v>
      </c>
      <c r="O669" s="910">
        <f t="shared" si="75"/>
        <v>0</v>
      </c>
      <c r="P669" s="71">
        <f>IFERROR(IF(SEARCH(B669,_xlfn.ARRAYTOTEXT('Bilateral Assistance, MAIN DATA'!I$1:I$2206))&gt;0,1,""),0)</f>
        <v>0</v>
      </c>
      <c r="Q669" s="71">
        <f>IFERROR(IF(SEARCH(B669,_xlfn.ARRAYTOTEXT('Commercial Assistance'!I$1:I$1400))&gt;0,1,""),0)</f>
        <v>0</v>
      </c>
      <c r="R669" s="905" t="str">
        <f>IF(SUMIFS('Bilateral Assistance, MAIN DATA'!N:N,'Bilateral Assistance, MAIN DATA'!I:I,'Price List, Weapons &amp; Items'!B669)&gt;M669,1,".")</f>
        <v>.</v>
      </c>
    </row>
    <row r="670" spans="2:18" ht="15" customHeight="1">
      <c r="B670" s="1235" t="s">
        <v>6099</v>
      </c>
      <c r="C670" s="898" t="s">
        <v>5062</v>
      </c>
      <c r="D670" s="899" t="s">
        <v>5341</v>
      </c>
      <c r="E670" s="900">
        <v>1</v>
      </c>
      <c r="F670" s="900">
        <f t="shared" si="71"/>
        <v>1</v>
      </c>
      <c r="G670" s="892">
        <v>1637933.8716107793</v>
      </c>
      <c r="H670" s="918" t="str">
        <f t="shared" ref="H670" si="76">IF(G670&lt;&gt;".","USD",".")</f>
        <v>USD</v>
      </c>
      <c r="I670" s="922" t="s">
        <v>5074</v>
      </c>
      <c r="J670" s="901" t="s">
        <v>5075</v>
      </c>
      <c r="K670" s="899" t="s">
        <v>5342</v>
      </c>
      <c r="L670" s="905" t="str">
        <f t="shared" si="74"/>
        <v>no price, 0 count</v>
      </c>
      <c r="M670" s="909">
        <f>SUMIFS('Bilateral Assistance, MAIN DATA'!M:M,'Bilateral Assistance, MAIN DATA'!I:I,'Price List, Weapons &amp; Items'!B670)</f>
        <v>0</v>
      </c>
      <c r="N670" s="71">
        <f>COUNTIFS('Bilateral Assistance, MAIN DATA'!M:M,"undisclosed",'Bilateral Assistance, MAIN DATA'!I:I,'Price List, Weapons &amp; Items'!B670)</f>
        <v>0</v>
      </c>
      <c r="O670" s="910">
        <f t="shared" si="75"/>
        <v>0</v>
      </c>
      <c r="P670" s="71">
        <f>IFERROR(IF(SEARCH(B670,_xlfn.ARRAYTOTEXT('Bilateral Assistance, MAIN DATA'!I$1:I$2206))&gt;0,1,""),0)</f>
        <v>0</v>
      </c>
      <c r="Q670" s="71">
        <f>IFERROR(IF(SEARCH(B670,_xlfn.ARRAYTOTEXT('Commercial Assistance'!I$1:I$1400))&gt;0,1,""),0)</f>
        <v>0</v>
      </c>
      <c r="R670" s="905" t="str">
        <f>IF(SUMIFS('Bilateral Assistance, MAIN DATA'!N:N,'Bilateral Assistance, MAIN DATA'!I:I,'Price List, Weapons &amp; Items'!B670)&gt;M670,1,".")</f>
        <v>.</v>
      </c>
    </row>
    <row r="671" spans="2:18" ht="15" customHeight="1">
      <c r="B671" s="912" t="s">
        <v>6100</v>
      </c>
      <c r="C671" s="898" t="s">
        <v>5062</v>
      </c>
      <c r="D671" s="898" t="s">
        <v>4850</v>
      </c>
      <c r="E671" s="900">
        <v>0</v>
      </c>
      <c r="F671" s="900">
        <f t="shared" si="71"/>
        <v>1</v>
      </c>
      <c r="G671" s="902">
        <v>1450000</v>
      </c>
      <c r="H671" s="903" t="s">
        <v>456</v>
      </c>
      <c r="I671" s="1236" t="s">
        <v>6101</v>
      </c>
      <c r="J671" s="71" t="s">
        <v>5082</v>
      </c>
      <c r="K671" s="71" t="s">
        <v>6102</v>
      </c>
      <c r="L671" s="905" t="str">
        <f t="shared" si="74"/>
        <v>no price, 0 count</v>
      </c>
      <c r="M671" s="909">
        <f>SUMIFS('Bilateral Assistance, MAIN DATA'!M:M,'Bilateral Assistance, MAIN DATA'!I:I,'Price List, Weapons &amp; Items'!B671)</f>
        <v>0</v>
      </c>
      <c r="N671" s="71">
        <f>COUNTIFS('Bilateral Assistance, MAIN DATA'!M:M,"undisclosed",'Bilateral Assistance, MAIN DATA'!I:I,'Price List, Weapons &amp; Items'!B671)</f>
        <v>0</v>
      </c>
      <c r="O671" s="910">
        <f t="shared" si="75"/>
        <v>0</v>
      </c>
      <c r="P671" s="71">
        <f>IFERROR(IF(SEARCH(B671,_xlfn.ARRAYTOTEXT('Bilateral Assistance, MAIN DATA'!I$1:I$2206))&gt;0,1,""),0)</f>
        <v>0</v>
      </c>
      <c r="Q671" s="71">
        <f>IFERROR(IF(SEARCH(B671,_xlfn.ARRAYTOTEXT('Commercial Assistance'!I$1:I$1400))&gt;0,1,""),0)</f>
        <v>0</v>
      </c>
      <c r="R671" s="905" t="str">
        <f>IF(SUMIFS('Bilateral Assistance, MAIN DATA'!N:N,'Bilateral Assistance, MAIN DATA'!I:I,'Price List, Weapons &amp; Items'!B671)&gt;M671,1,".")</f>
        <v>.</v>
      </c>
    </row>
    <row r="672" spans="2:18" ht="15" customHeight="1">
      <c r="B672" s="1233" t="s">
        <v>3703</v>
      </c>
      <c r="C672" s="898" t="s">
        <v>360</v>
      </c>
      <c r="D672" s="898" t="s">
        <v>360</v>
      </c>
      <c r="E672" s="900">
        <v>0</v>
      </c>
      <c r="F672" s="900">
        <f t="shared" si="71"/>
        <v>0</v>
      </c>
      <c r="G672" s="892">
        <v>93.37</v>
      </c>
      <c r="H672" s="900" t="s">
        <v>456</v>
      </c>
      <c r="I672" s="1205" t="s">
        <v>6103</v>
      </c>
      <c r="J672" s="71" t="s">
        <v>5086</v>
      </c>
      <c r="K672" s="901" t="s">
        <v>6104</v>
      </c>
      <c r="L672" s="905">
        <f t="shared" si="74"/>
        <v>0</v>
      </c>
      <c r="M672" s="909">
        <f>SUMIFS('Bilateral Assistance, MAIN DATA'!M:M,'Bilateral Assistance, MAIN DATA'!I:I,'Price List, Weapons &amp; Items'!B672)</f>
        <v>15000</v>
      </c>
      <c r="N672" s="71">
        <f>COUNTIFS('Bilateral Assistance, MAIN DATA'!M:M,"undisclosed",'Bilateral Assistance, MAIN DATA'!I:I,'Price List, Weapons &amp; Items'!B672)</f>
        <v>0</v>
      </c>
      <c r="O672" s="910">
        <f t="shared" si="75"/>
        <v>1400550</v>
      </c>
      <c r="P672" s="71">
        <f>IFERROR(IF(SEARCH(B672,_xlfn.ARRAYTOTEXT('Bilateral Assistance, MAIN DATA'!I$1:I$2206))&gt;0,1,""),0)</f>
        <v>0</v>
      </c>
      <c r="Q672" s="71">
        <f>IFERROR(IF(SEARCH(B672,_xlfn.ARRAYTOTEXT('Commercial Assistance'!I$1:I$1400))&gt;0,1,""),0)</f>
        <v>0</v>
      </c>
      <c r="R672" s="905" t="str">
        <f>IF(SUMIFS('Bilateral Assistance, MAIN DATA'!N:N,'Bilateral Assistance, MAIN DATA'!I:I,'Price List, Weapons &amp; Items'!B672)&gt;M672,1,".")</f>
        <v>.</v>
      </c>
    </row>
    <row r="673" spans="2:18" ht="15" customHeight="1">
      <c r="B673" s="1233" t="s">
        <v>3704</v>
      </c>
      <c r="C673" s="898" t="s">
        <v>360</v>
      </c>
      <c r="D673" s="898" t="s">
        <v>360</v>
      </c>
      <c r="E673" s="900">
        <v>0</v>
      </c>
      <c r="F673" s="900">
        <f t="shared" si="71"/>
        <v>0</v>
      </c>
      <c r="G673" s="1237">
        <v>32</v>
      </c>
      <c r="H673" s="900" t="s">
        <v>456</v>
      </c>
      <c r="I673" s="1205" t="s">
        <v>6105</v>
      </c>
      <c r="J673" s="71" t="s">
        <v>5086</v>
      </c>
      <c r="K673" s="901" t="s">
        <v>6106</v>
      </c>
      <c r="L673" s="905">
        <f t="shared" si="74"/>
        <v>0</v>
      </c>
      <c r="M673" s="909">
        <f>SUMIFS('Bilateral Assistance, MAIN DATA'!M:M,'Bilateral Assistance, MAIN DATA'!I:I,'Price List, Weapons &amp; Items'!B673)</f>
        <v>1640</v>
      </c>
      <c r="N673" s="71">
        <f>COUNTIFS('Bilateral Assistance, MAIN DATA'!M:M,"undisclosed",'Bilateral Assistance, MAIN DATA'!I:I,'Price List, Weapons &amp; Items'!B673)</f>
        <v>0</v>
      </c>
      <c r="O673" s="910">
        <f t="shared" si="75"/>
        <v>52480</v>
      </c>
      <c r="P673" s="71">
        <f>IFERROR(IF(SEARCH(B673,_xlfn.ARRAYTOTEXT('Bilateral Assistance, MAIN DATA'!I$1:I$2206))&gt;0,1,""),0)</f>
        <v>0</v>
      </c>
      <c r="Q673" s="71">
        <f>IFERROR(IF(SEARCH(B673,_xlfn.ARRAYTOTEXT('Commercial Assistance'!I$1:I$1400))&gt;0,1,""),0)</f>
        <v>0</v>
      </c>
      <c r="R673" s="905" t="str">
        <f>IF(SUMIFS('Bilateral Assistance, MAIN DATA'!N:N,'Bilateral Assistance, MAIN DATA'!I:I,'Price List, Weapons &amp; Items'!B673)&gt;M673,1,".")</f>
        <v>.</v>
      </c>
    </row>
    <row r="674" spans="2:18" ht="15" customHeight="1">
      <c r="B674" s="1229" t="s">
        <v>4376</v>
      </c>
      <c r="C674" s="898" t="s">
        <v>5059</v>
      </c>
      <c r="D674" s="899" t="s">
        <v>5136</v>
      </c>
      <c r="E674" s="900">
        <v>0</v>
      </c>
      <c r="F674" s="900">
        <f t="shared" si="71"/>
        <v>0</v>
      </c>
      <c r="G674" s="892" t="s">
        <v>364</v>
      </c>
      <c r="H674" s="900" t="s">
        <v>456</v>
      </c>
      <c r="I674" s="929" t="s">
        <v>364</v>
      </c>
      <c r="J674" s="913" t="s">
        <v>364</v>
      </c>
      <c r="K674" s="901" t="s">
        <v>364</v>
      </c>
      <c r="L674" s="905" t="str">
        <f t="shared" si="74"/>
        <v>no price, 0 count</v>
      </c>
      <c r="M674" s="909">
        <f>SUMIFS('Bilateral Assistance, MAIN DATA'!M:M,'Bilateral Assistance, MAIN DATA'!I:I,'Price List, Weapons &amp; Items'!B674)</f>
        <v>0</v>
      </c>
      <c r="N674" s="71">
        <f>COUNTIFS('Bilateral Assistance, MAIN DATA'!M:M,"undisclosed",'Bilateral Assistance, MAIN DATA'!I:I,'Price List, Weapons &amp; Items'!B674)</f>
        <v>1</v>
      </c>
      <c r="O674" s="910" t="str">
        <f t="shared" si="75"/>
        <v>no price</v>
      </c>
      <c r="P674" s="71">
        <f>IFERROR(IF(SEARCH(B674,_xlfn.ARRAYTOTEXT('Bilateral Assistance, MAIN DATA'!I$1:I$2206))&gt;0,1,""),0)</f>
        <v>0</v>
      </c>
      <c r="Q674" s="71">
        <f>IFERROR(IF(SEARCH(B674,_xlfn.ARRAYTOTEXT('Commercial Assistance'!I$1:I$1400))&gt;0,1,""),0)</f>
        <v>0</v>
      </c>
      <c r="R674" s="905" t="str">
        <f>IF(SUMIFS('Bilateral Assistance, MAIN DATA'!N:N,'Bilateral Assistance, MAIN DATA'!I:I,'Price List, Weapons &amp; Items'!B674)&gt;M674,1,".")</f>
        <v>.</v>
      </c>
    </row>
    <row r="675" spans="2:18" ht="15" customHeight="1">
      <c r="B675" s="1229" t="s">
        <v>4377</v>
      </c>
      <c r="C675" s="898" t="s">
        <v>5070</v>
      </c>
      <c r="D675" s="899" t="s">
        <v>3126</v>
      </c>
      <c r="E675" s="900">
        <v>0</v>
      </c>
      <c r="F675" s="900">
        <f t="shared" si="71"/>
        <v>0</v>
      </c>
      <c r="G675" s="892">
        <v>11000</v>
      </c>
      <c r="H675" s="900" t="s">
        <v>456</v>
      </c>
      <c r="I675" s="1205" t="s">
        <v>6107</v>
      </c>
      <c r="J675" s="913" t="s">
        <v>5080</v>
      </c>
      <c r="K675" s="901" t="s">
        <v>6108</v>
      </c>
      <c r="L675" s="905" t="str">
        <f t="shared" si="74"/>
        <v>no price, 0 count</v>
      </c>
      <c r="M675" s="909">
        <f>SUMIFS('Bilateral Assistance, MAIN DATA'!M:M,'Bilateral Assistance, MAIN DATA'!I:I,'Price List, Weapons &amp; Items'!B675)</f>
        <v>0</v>
      </c>
      <c r="N675" s="71">
        <f>COUNTIFS('Bilateral Assistance, MAIN DATA'!M:M,"undisclosed",'Bilateral Assistance, MAIN DATA'!I:I,'Price List, Weapons &amp; Items'!B675)</f>
        <v>1</v>
      </c>
      <c r="O675" s="910">
        <f t="shared" si="75"/>
        <v>0</v>
      </c>
      <c r="P675" s="71">
        <f>IFERROR(IF(SEARCH(B675,_xlfn.ARRAYTOTEXT('Bilateral Assistance, MAIN DATA'!I$1:I$2206))&gt;0,1,""),0)</f>
        <v>0</v>
      </c>
      <c r="Q675" s="71">
        <f>IFERROR(IF(SEARCH(B675,_xlfn.ARRAYTOTEXT('Commercial Assistance'!I$1:I$1400))&gt;0,1,""),0)</f>
        <v>0</v>
      </c>
      <c r="R675" s="905" t="str">
        <f>IF(SUMIFS('Bilateral Assistance, MAIN DATA'!N:N,'Bilateral Assistance, MAIN DATA'!I:I,'Price List, Weapons &amp; Items'!B675)&gt;M675,1,".")</f>
        <v>.</v>
      </c>
    </row>
    <row r="676" spans="2:18" ht="15" customHeight="1">
      <c r="B676" s="1229" t="s">
        <v>4378</v>
      </c>
      <c r="C676" s="898" t="s">
        <v>5070</v>
      </c>
      <c r="D676" s="899" t="s">
        <v>3126</v>
      </c>
      <c r="E676" s="900">
        <v>0</v>
      </c>
      <c r="F676" s="900">
        <f t="shared" si="71"/>
        <v>0</v>
      </c>
      <c r="G676" s="892">
        <v>100000</v>
      </c>
      <c r="H676" s="900" t="s">
        <v>456</v>
      </c>
      <c r="I676" s="1205" t="s">
        <v>6109</v>
      </c>
      <c r="J676" s="913" t="s">
        <v>5080</v>
      </c>
      <c r="K676" s="901" t="s">
        <v>6110</v>
      </c>
      <c r="L676" s="905" t="str">
        <f t="shared" si="74"/>
        <v>no price, 0 count</v>
      </c>
      <c r="M676" s="909">
        <f>SUMIFS('Bilateral Assistance, MAIN DATA'!M:M,'Bilateral Assistance, MAIN DATA'!I:I,'Price List, Weapons &amp; Items'!B676)</f>
        <v>0</v>
      </c>
      <c r="N676" s="71">
        <f>COUNTIFS('Bilateral Assistance, MAIN DATA'!M:M,"undisclosed",'Bilateral Assistance, MAIN DATA'!I:I,'Price List, Weapons &amp; Items'!B676)</f>
        <v>1</v>
      </c>
      <c r="O676" s="910">
        <f t="shared" si="75"/>
        <v>0</v>
      </c>
      <c r="P676" s="71">
        <f>IFERROR(IF(SEARCH(B676,_xlfn.ARRAYTOTEXT('Bilateral Assistance, MAIN DATA'!I$1:I$2206))&gt;0,1,""),0)</f>
        <v>0</v>
      </c>
      <c r="Q676" s="71">
        <f>IFERROR(IF(SEARCH(B676,_xlfn.ARRAYTOTEXT('Commercial Assistance'!I$1:I$1400))&gt;0,1,""),0)</f>
        <v>0</v>
      </c>
      <c r="R676" s="905" t="str">
        <f>IF(SUMIFS('Bilateral Assistance, MAIN DATA'!N:N,'Bilateral Assistance, MAIN DATA'!I:I,'Price List, Weapons &amp; Items'!B676)&gt;M676,1,".")</f>
        <v>.</v>
      </c>
    </row>
    <row r="677" spans="2:18" ht="15" customHeight="1">
      <c r="B677" s="1229" t="s">
        <v>4379</v>
      </c>
      <c r="C677" s="898" t="s">
        <v>5070</v>
      </c>
      <c r="D677" s="899" t="s">
        <v>3126</v>
      </c>
      <c r="E677" s="900">
        <v>0</v>
      </c>
      <c r="F677" s="900">
        <f t="shared" si="71"/>
        <v>0</v>
      </c>
      <c r="G677" s="892">
        <v>8000000</v>
      </c>
      <c r="H677" s="900" t="s">
        <v>456</v>
      </c>
      <c r="I677" s="1205" t="s">
        <v>6111</v>
      </c>
      <c r="J677" s="913" t="s">
        <v>5082</v>
      </c>
      <c r="K677" s="901" t="s">
        <v>6112</v>
      </c>
      <c r="L677" s="905" t="str">
        <f t="shared" si="74"/>
        <v>no price, 0 count</v>
      </c>
      <c r="M677" s="909">
        <f>SUMIFS('Bilateral Assistance, MAIN DATA'!M:M,'Bilateral Assistance, MAIN DATA'!I:I,'Price List, Weapons &amp; Items'!B677)</f>
        <v>0</v>
      </c>
      <c r="N677" s="71">
        <f>COUNTIFS('Bilateral Assistance, MAIN DATA'!M:M,"undisclosed",'Bilateral Assistance, MAIN DATA'!I:I,'Price List, Weapons &amp; Items'!B677)</f>
        <v>1</v>
      </c>
      <c r="O677" s="910">
        <f t="shared" si="75"/>
        <v>0</v>
      </c>
      <c r="P677" s="71">
        <f>IFERROR(IF(SEARCH(B677,_xlfn.ARRAYTOTEXT('Bilateral Assistance, MAIN DATA'!I$1:I$2206))&gt;0,1,""),0)</f>
        <v>0</v>
      </c>
      <c r="Q677" s="71">
        <f>IFERROR(IF(SEARCH(B677,_xlfn.ARRAYTOTEXT('Commercial Assistance'!I$1:I$1400))&gt;0,1,""),0)</f>
        <v>0</v>
      </c>
      <c r="R677" s="905" t="str">
        <f>IF(SUMIFS('Bilateral Assistance, MAIN DATA'!N:N,'Bilateral Assistance, MAIN DATA'!I:I,'Price List, Weapons &amp; Items'!B677)&gt;M677,1,".")</f>
        <v>.</v>
      </c>
    </row>
    <row r="686" spans="2:18" ht="15" customHeight="1">
      <c r="I686" s="929"/>
    </row>
    <row r="687" spans="2:18" ht="15" customHeight="1">
      <c r="I687" s="929"/>
    </row>
    <row r="688" spans="2:18" ht="15" customHeight="1">
      <c r="I688" s="929"/>
    </row>
    <row r="1891" spans="9:9" ht="15" customHeight="1">
      <c r="I1891" s="929"/>
    </row>
    <row r="1893" spans="9:9" ht="15" customHeight="1">
      <c r="I1893" s="929"/>
    </row>
    <row r="1900" spans="9:9" ht="15" customHeight="1">
      <c r="I1900" s="929"/>
    </row>
    <row r="1901" spans="9:9" ht="15" customHeight="1">
      <c r="I1901" s="929"/>
    </row>
    <row r="1903" spans="9:9" ht="15" customHeight="1">
      <c r="I1903" s="929"/>
    </row>
    <row r="1905" spans="9:9" ht="15" customHeight="1">
      <c r="I1905" s="929"/>
    </row>
    <row r="1906" spans="9:9" ht="15" customHeight="1">
      <c r="I1906" s="929"/>
    </row>
    <row r="1907" spans="9:9" ht="15" customHeight="1">
      <c r="I1907" s="929"/>
    </row>
    <row r="1908" spans="9:9" ht="15" customHeight="1">
      <c r="I1908" s="929"/>
    </row>
    <row r="1909" spans="9:9" ht="15" customHeight="1">
      <c r="I1909" s="929"/>
    </row>
    <row r="1910" spans="9:9" ht="15" customHeight="1">
      <c r="I1910" s="929"/>
    </row>
    <row r="1915" spans="9:9" ht="15" customHeight="1">
      <c r="I1915" s="929"/>
    </row>
    <row r="1916" spans="9:9" ht="15" customHeight="1">
      <c r="I1916" s="929"/>
    </row>
    <row r="1917" spans="9:9" ht="15" customHeight="1">
      <c r="I1917" s="929"/>
    </row>
    <row r="1918" spans="9:9" ht="15" customHeight="1">
      <c r="I1918" s="929"/>
    </row>
    <row r="1919" spans="9:9" ht="15" customHeight="1">
      <c r="I1919" s="929"/>
    </row>
    <row r="1920" spans="9:9" ht="15" customHeight="1">
      <c r="I1920" s="929"/>
    </row>
    <row r="1921" spans="4:12" ht="15" customHeight="1">
      <c r="D1921" s="71"/>
      <c r="G1921" s="902"/>
      <c r="H1921" s="903"/>
      <c r="I1921" s="943"/>
      <c r="J1921" s="71"/>
      <c r="K1921" s="71"/>
      <c r="L1921" s="71"/>
    </row>
    <row r="1922" spans="4:12" ht="15" customHeight="1">
      <c r="D1922" s="71"/>
      <c r="G1922" s="902"/>
      <c r="H1922" s="903"/>
      <c r="I1922" s="943"/>
      <c r="J1922" s="71"/>
      <c r="K1922" s="71"/>
      <c r="L1922" s="71"/>
    </row>
    <row r="1923" spans="4:12" ht="15" customHeight="1">
      <c r="D1923" s="71"/>
      <c r="G1923" s="902"/>
      <c r="H1923" s="903"/>
      <c r="I1923" s="943"/>
      <c r="J1923" s="71"/>
      <c r="K1923" s="71"/>
      <c r="L1923" s="71"/>
    </row>
    <row r="1924" spans="4:12" ht="15" customHeight="1">
      <c r="D1924" s="71"/>
      <c r="G1924" s="902"/>
      <c r="H1924" s="903"/>
      <c r="I1924" s="943"/>
      <c r="J1924" s="71"/>
      <c r="K1924" s="71"/>
      <c r="L1924" s="71"/>
    </row>
    <row r="1925" spans="4:12" ht="15" customHeight="1">
      <c r="D1925" s="71"/>
      <c r="G1925" s="902"/>
      <c r="H1925" s="903"/>
      <c r="I1925" s="943"/>
      <c r="J1925" s="71"/>
      <c r="K1925" s="71"/>
      <c r="L1925" s="71"/>
    </row>
    <row r="1926" spans="4:12" ht="15" customHeight="1">
      <c r="D1926" s="71"/>
      <c r="G1926" s="902"/>
      <c r="H1926" s="903"/>
      <c r="I1926" s="943"/>
      <c r="J1926" s="71"/>
      <c r="K1926" s="71"/>
      <c r="L1926" s="71"/>
    </row>
    <row r="1927" spans="4:12" ht="15" customHeight="1">
      <c r="D1927" s="71"/>
      <c r="G1927" s="902"/>
      <c r="H1927" s="903"/>
      <c r="I1927" s="943"/>
      <c r="J1927" s="71"/>
      <c r="K1927" s="71"/>
      <c r="L1927" s="71"/>
    </row>
    <row r="1928" spans="4:12" ht="15" customHeight="1">
      <c r="D1928" s="71"/>
      <c r="G1928" s="902"/>
      <c r="H1928" s="903"/>
      <c r="I1928" s="943"/>
      <c r="J1928" s="71"/>
      <c r="K1928" s="71"/>
      <c r="L1928" s="71"/>
    </row>
    <row r="1929" spans="4:12" ht="15" customHeight="1">
      <c r="D1929" s="71"/>
      <c r="G1929" s="902"/>
      <c r="H1929" s="903"/>
      <c r="I1929" s="943"/>
      <c r="J1929" s="71"/>
      <c r="K1929" s="71"/>
      <c r="L1929" s="71"/>
    </row>
    <row r="1930" spans="4:12" ht="15" customHeight="1">
      <c r="D1930" s="71"/>
      <c r="G1930" s="902"/>
      <c r="H1930" s="903"/>
      <c r="I1930" s="943"/>
      <c r="J1930" s="71"/>
      <c r="K1930" s="71"/>
      <c r="L1930" s="71"/>
    </row>
    <row r="1931" spans="4:12" ht="15" customHeight="1">
      <c r="D1931" s="71"/>
      <c r="G1931" s="902"/>
      <c r="H1931" s="903"/>
      <c r="I1931" s="943"/>
      <c r="J1931" s="71"/>
      <c r="K1931" s="71"/>
      <c r="L1931" s="71"/>
    </row>
    <row r="1932" spans="4:12" ht="15" customHeight="1">
      <c r="D1932" s="71"/>
      <c r="G1932" s="902"/>
      <c r="H1932" s="903"/>
      <c r="I1932" s="943"/>
      <c r="J1932" s="71"/>
      <c r="K1932" s="71"/>
      <c r="L1932" s="71"/>
    </row>
    <row r="1933" spans="4:12" ht="15" customHeight="1">
      <c r="D1933" s="71"/>
      <c r="G1933" s="902"/>
      <c r="H1933" s="903"/>
      <c r="I1933" s="943"/>
      <c r="J1933" s="71"/>
      <c r="K1933" s="71"/>
      <c r="L1933" s="71"/>
    </row>
    <row r="1934" spans="4:12" ht="15" customHeight="1">
      <c r="D1934" s="71"/>
      <c r="G1934" s="902"/>
      <c r="H1934" s="903"/>
      <c r="I1934" s="943"/>
      <c r="J1934" s="71"/>
      <c r="K1934" s="71"/>
      <c r="L1934" s="71"/>
    </row>
    <row r="1935" spans="4:12" ht="15" customHeight="1">
      <c r="D1935" s="71"/>
      <c r="G1935" s="902"/>
      <c r="H1935" s="903"/>
      <c r="I1935" s="943"/>
      <c r="J1935" s="71"/>
      <c r="K1935" s="71"/>
      <c r="L1935" s="71"/>
    </row>
    <row r="1936" spans="4:12" ht="15" customHeight="1">
      <c r="D1936" s="71"/>
      <c r="G1936" s="902"/>
      <c r="H1936" s="903"/>
      <c r="I1936" s="943"/>
      <c r="J1936" s="71"/>
      <c r="K1936" s="71"/>
      <c r="L1936" s="71"/>
    </row>
    <row r="1937" spans="4:12" ht="15" customHeight="1">
      <c r="D1937" s="71"/>
      <c r="G1937" s="902"/>
      <c r="H1937" s="903"/>
      <c r="I1937" s="943"/>
      <c r="J1937" s="71"/>
      <c r="K1937" s="71"/>
      <c r="L1937" s="71"/>
    </row>
    <row r="1938" spans="4:12" ht="15" customHeight="1">
      <c r="D1938" s="71"/>
      <c r="G1938" s="902"/>
      <c r="H1938" s="903"/>
      <c r="I1938" s="943"/>
      <c r="J1938" s="71"/>
      <c r="K1938" s="71"/>
      <c r="L1938" s="71"/>
    </row>
    <row r="1939" spans="4:12" ht="15" customHeight="1">
      <c r="D1939" s="71"/>
      <c r="G1939" s="902"/>
      <c r="H1939" s="903"/>
      <c r="I1939" s="943"/>
      <c r="J1939" s="71"/>
      <c r="K1939" s="71"/>
      <c r="L1939" s="71"/>
    </row>
    <row r="1940" spans="4:12" ht="15" customHeight="1">
      <c r="D1940" s="71"/>
      <c r="G1940" s="902"/>
      <c r="H1940" s="903"/>
      <c r="I1940" s="943"/>
      <c r="J1940" s="71"/>
      <c r="K1940" s="71"/>
      <c r="L1940" s="71"/>
    </row>
    <row r="1941" spans="4:12" ht="15" customHeight="1">
      <c r="D1941" s="71"/>
      <c r="G1941" s="902"/>
      <c r="H1941" s="903"/>
      <c r="I1941" s="943"/>
      <c r="J1941" s="71"/>
      <c r="K1941" s="71"/>
      <c r="L1941" s="71"/>
    </row>
    <row r="1942" spans="4:12" ht="15" customHeight="1">
      <c r="D1942" s="71"/>
      <c r="G1942" s="902"/>
      <c r="H1942" s="903"/>
      <c r="I1942" s="943"/>
      <c r="J1942" s="71"/>
      <c r="K1942" s="71"/>
      <c r="L1942" s="71"/>
    </row>
    <row r="1943" spans="4:12" ht="15" customHeight="1">
      <c r="D1943" s="71"/>
      <c r="G1943" s="902"/>
      <c r="H1943" s="903"/>
      <c r="I1943" s="943"/>
      <c r="J1943" s="71"/>
      <c r="K1943" s="71"/>
      <c r="L1943" s="71"/>
    </row>
    <row r="1944" spans="4:12" ht="15" customHeight="1">
      <c r="D1944" s="71"/>
      <c r="G1944" s="902"/>
      <c r="H1944" s="903"/>
      <c r="I1944" s="943"/>
      <c r="J1944" s="71"/>
      <c r="K1944" s="71"/>
      <c r="L1944" s="71"/>
    </row>
    <row r="1945" spans="4:12" ht="15" customHeight="1">
      <c r="D1945" s="71"/>
      <c r="G1945" s="902"/>
      <c r="H1945" s="903"/>
      <c r="I1945" s="943"/>
      <c r="J1945" s="71"/>
      <c r="K1945" s="71"/>
      <c r="L1945" s="71"/>
    </row>
    <row r="1946" spans="4:12" ht="15" customHeight="1">
      <c r="D1946" s="71"/>
      <c r="G1946" s="902"/>
      <c r="H1946" s="903"/>
      <c r="I1946" s="943"/>
      <c r="J1946" s="71"/>
      <c r="K1946" s="71"/>
      <c r="L1946" s="71"/>
    </row>
    <row r="1947" spans="4:12" ht="15" customHeight="1">
      <c r="D1947" s="71"/>
      <c r="G1947" s="902"/>
      <c r="H1947" s="903"/>
      <c r="I1947" s="943"/>
      <c r="J1947" s="71"/>
      <c r="K1947" s="71"/>
      <c r="L1947" s="71"/>
    </row>
    <row r="1948" spans="4:12" ht="15" customHeight="1">
      <c r="D1948" s="71"/>
      <c r="G1948" s="902"/>
      <c r="H1948" s="903"/>
      <c r="I1948" s="943"/>
      <c r="J1948" s="71"/>
      <c r="K1948" s="71"/>
      <c r="L1948" s="71"/>
    </row>
    <row r="1949" spans="4:12" ht="15" customHeight="1">
      <c r="D1949" s="71"/>
      <c r="G1949" s="902"/>
      <c r="H1949" s="903"/>
      <c r="I1949" s="943"/>
      <c r="J1949" s="71"/>
      <c r="K1949" s="71"/>
      <c r="L1949" s="71"/>
    </row>
    <row r="1950" spans="4:12" ht="15" customHeight="1">
      <c r="D1950" s="71"/>
      <c r="G1950" s="902"/>
      <c r="H1950" s="903"/>
      <c r="I1950" s="943"/>
      <c r="J1950" s="71"/>
      <c r="K1950" s="71"/>
      <c r="L1950" s="71"/>
    </row>
    <row r="1951" spans="4:12" ht="15" customHeight="1">
      <c r="D1951" s="71"/>
      <c r="G1951" s="902"/>
      <c r="H1951" s="903"/>
      <c r="I1951" s="943"/>
      <c r="J1951" s="71"/>
      <c r="K1951" s="71"/>
      <c r="L1951" s="71"/>
    </row>
    <row r="1952" spans="4:12" ht="15" customHeight="1">
      <c r="D1952" s="71"/>
      <c r="G1952" s="902"/>
      <c r="H1952" s="903"/>
      <c r="I1952" s="943"/>
      <c r="J1952" s="71"/>
      <c r="K1952" s="71"/>
      <c r="L1952" s="71"/>
    </row>
    <row r="1953" spans="4:12" ht="15" customHeight="1">
      <c r="D1953" s="71"/>
      <c r="G1953" s="902"/>
      <c r="H1953" s="903"/>
      <c r="I1953" s="943"/>
      <c r="J1953" s="71"/>
      <c r="K1953" s="71"/>
      <c r="L1953" s="71"/>
    </row>
    <row r="1954" spans="4:12" ht="15" customHeight="1">
      <c r="D1954" s="71"/>
      <c r="G1954" s="902"/>
      <c r="H1954" s="903"/>
      <c r="I1954" s="943"/>
      <c r="J1954" s="71"/>
      <c r="K1954" s="71"/>
      <c r="L1954" s="71"/>
    </row>
    <row r="1955" spans="4:12" ht="15" customHeight="1">
      <c r="D1955" s="71"/>
      <c r="G1955" s="902"/>
      <c r="H1955" s="903"/>
      <c r="I1955" s="943"/>
      <c r="J1955" s="71"/>
      <c r="K1955" s="71"/>
      <c r="L1955" s="71"/>
    </row>
    <row r="1956" spans="4:12" ht="15" customHeight="1">
      <c r="D1956" s="71"/>
      <c r="G1956" s="902"/>
      <c r="H1956" s="903"/>
      <c r="I1956" s="943"/>
      <c r="J1956" s="71"/>
      <c r="K1956" s="71"/>
      <c r="L1956" s="71"/>
    </row>
    <row r="1957" spans="4:12" ht="15" customHeight="1">
      <c r="D1957" s="71"/>
      <c r="G1957" s="902"/>
      <c r="H1957" s="903"/>
      <c r="I1957" s="943"/>
      <c r="J1957" s="71"/>
      <c r="K1957" s="71"/>
      <c r="L1957" s="71"/>
    </row>
    <row r="1958" spans="4:12" ht="15" customHeight="1">
      <c r="D1958" s="71"/>
      <c r="G1958" s="902"/>
      <c r="H1958" s="903"/>
      <c r="I1958" s="943"/>
      <c r="J1958" s="71"/>
      <c r="K1958" s="71"/>
      <c r="L1958" s="71"/>
    </row>
    <row r="1959" spans="4:12" ht="15" customHeight="1">
      <c r="D1959" s="71"/>
      <c r="G1959" s="902"/>
      <c r="H1959" s="903"/>
      <c r="I1959" s="943"/>
      <c r="J1959" s="71"/>
      <c r="K1959" s="71"/>
      <c r="L1959" s="71"/>
    </row>
    <row r="1960" spans="4:12" ht="15" customHeight="1">
      <c r="D1960" s="71"/>
      <c r="G1960" s="902"/>
      <c r="H1960" s="903"/>
      <c r="I1960" s="943"/>
      <c r="J1960" s="71"/>
      <c r="K1960" s="71"/>
      <c r="L1960" s="71"/>
    </row>
    <row r="1961" spans="4:12" ht="15" customHeight="1">
      <c r="D1961" s="71"/>
      <c r="G1961" s="902"/>
      <c r="H1961" s="903"/>
      <c r="I1961" s="943"/>
      <c r="J1961" s="71"/>
      <c r="K1961" s="71"/>
      <c r="L1961" s="71"/>
    </row>
    <row r="1962" spans="4:12" ht="15" customHeight="1">
      <c r="D1962" s="71"/>
      <c r="G1962" s="902"/>
      <c r="H1962" s="903"/>
      <c r="I1962" s="943"/>
      <c r="J1962" s="71"/>
      <c r="K1962" s="71"/>
      <c r="L1962" s="71"/>
    </row>
    <row r="1963" spans="4:12" ht="15" customHeight="1">
      <c r="D1963" s="71"/>
      <c r="G1963" s="902"/>
      <c r="H1963" s="903"/>
      <c r="I1963" s="943"/>
      <c r="J1963" s="71"/>
      <c r="K1963" s="71"/>
      <c r="L1963" s="71"/>
    </row>
    <row r="1964" spans="4:12" ht="15" customHeight="1">
      <c r="D1964" s="71"/>
      <c r="G1964" s="902"/>
      <c r="H1964" s="903"/>
      <c r="I1964" s="943"/>
      <c r="J1964" s="71"/>
      <c r="K1964" s="71"/>
      <c r="L1964" s="71"/>
    </row>
    <row r="1965" spans="4:12" ht="15" customHeight="1">
      <c r="I1965" s="929"/>
    </row>
    <row r="1966" spans="4:12" ht="15" customHeight="1">
      <c r="I1966" s="929"/>
    </row>
    <row r="1967" spans="4:12" ht="15" customHeight="1">
      <c r="I1967" s="929"/>
    </row>
    <row r="1968" spans="4:12" ht="15" customHeight="1">
      <c r="I1968" s="929"/>
    </row>
    <row r="1969" spans="9:9" ht="15" customHeight="1">
      <c r="I1969" s="929"/>
    </row>
    <row r="1970" spans="9:9" ht="15" customHeight="1">
      <c r="I1970" s="929"/>
    </row>
    <row r="1971" spans="9:9" ht="15" customHeight="1">
      <c r="I1971" s="929"/>
    </row>
    <row r="1972" spans="9:9" ht="15" customHeight="1">
      <c r="I1972" s="929"/>
    </row>
    <row r="1973" spans="9:9" ht="15" customHeight="1">
      <c r="I1973" s="929"/>
    </row>
    <row r="1974" spans="9:9" ht="15" customHeight="1">
      <c r="I1974" s="929"/>
    </row>
    <row r="1975" spans="9:9" ht="15" customHeight="1">
      <c r="I1975" s="929"/>
    </row>
    <row r="1976" spans="9:9" ht="15" customHeight="1">
      <c r="I1976" s="929"/>
    </row>
    <row r="1977" spans="9:9" ht="15" customHeight="1">
      <c r="I1977" s="929"/>
    </row>
    <row r="1978" spans="9:9" ht="15" customHeight="1">
      <c r="I1978" s="929"/>
    </row>
    <row r="1979" spans="9:9" ht="15" customHeight="1">
      <c r="I1979" s="929"/>
    </row>
    <row r="1980" spans="9:9" ht="15" customHeight="1">
      <c r="I1980" s="929"/>
    </row>
    <row r="1981" spans="9:9" ht="15" customHeight="1">
      <c r="I1981" s="929"/>
    </row>
    <row r="1982" spans="9:9" ht="15" customHeight="1">
      <c r="I1982" s="929"/>
    </row>
    <row r="1983" spans="9:9" ht="15" customHeight="1">
      <c r="I1983" s="929"/>
    </row>
    <row r="1984" spans="9:9" ht="15" customHeight="1">
      <c r="I1984" s="929"/>
    </row>
    <row r="1985" spans="9:9" ht="15" customHeight="1">
      <c r="I1985" s="929"/>
    </row>
    <row r="1986" spans="9:9" ht="15" customHeight="1">
      <c r="I1986" s="929"/>
    </row>
    <row r="1987" spans="9:9" ht="15" customHeight="1">
      <c r="I1987" s="929"/>
    </row>
    <row r="1988" spans="9:9" ht="15" customHeight="1">
      <c r="I1988" s="929"/>
    </row>
  </sheetData>
  <mergeCells count="1">
    <mergeCell ref="B4:D9"/>
  </mergeCells>
  <hyperlinks>
    <hyperlink ref="I234" r:id="rId1" xr:uid="{00000000-0004-0000-2900-000000000000}"/>
    <hyperlink ref="I238" r:id="rId2" xr:uid="{00000000-0004-0000-2900-000001000000}"/>
    <hyperlink ref="I253" r:id="rId3" xr:uid="{00000000-0004-0000-2900-000002000000}"/>
    <hyperlink ref="I279" r:id="rId4" xr:uid="{00000000-0004-0000-2900-000003000000}"/>
    <hyperlink ref="I266" r:id="rId5" xr:uid="{00000000-0004-0000-2900-000004000000}"/>
    <hyperlink ref="I464" r:id="rId6" xr:uid="{00000000-0004-0000-2900-000005000000}"/>
    <hyperlink ref="I363" r:id="rId7" xr:uid="{00000000-0004-0000-2900-000006000000}"/>
    <hyperlink ref="I271" r:id="rId8" xr:uid="{00000000-0004-0000-2900-000007000000}"/>
    <hyperlink ref="I422" r:id="rId9" xr:uid="{00000000-0004-0000-2900-000008000000}"/>
    <hyperlink ref="I424" r:id="rId10" xr:uid="{00000000-0004-0000-2900-000009000000}"/>
    <hyperlink ref="I462" r:id="rId11" xr:uid="{00000000-0004-0000-2900-00000A000000}"/>
    <hyperlink ref="I418" r:id="rId12" xr:uid="{00000000-0004-0000-2900-00000B000000}"/>
    <hyperlink ref="I416" r:id="rId13" xr:uid="{00000000-0004-0000-2900-00000C000000}"/>
    <hyperlink ref="I417" r:id="rId14" xr:uid="{00000000-0004-0000-2900-00000D000000}"/>
    <hyperlink ref="I423" r:id="rId15" xr:uid="{00000000-0004-0000-2900-00000E000000}"/>
    <hyperlink ref="I467" r:id="rId16" xr:uid="{00000000-0004-0000-2900-00000F000000}"/>
    <hyperlink ref="I460" r:id="rId17" xr:uid="{00000000-0004-0000-2900-000010000000}"/>
    <hyperlink ref="I457" r:id="rId18" xr:uid="{00000000-0004-0000-2900-000011000000}"/>
    <hyperlink ref="I236" r:id="rId19" xr:uid="{00000000-0004-0000-2900-000012000000}"/>
    <hyperlink ref="I350" r:id="rId20" xr:uid="{00000000-0004-0000-2900-000013000000}"/>
    <hyperlink ref="I221" r:id="rId21" xr:uid="{00000000-0004-0000-2900-000014000000}"/>
    <hyperlink ref="I333" r:id="rId22" xr:uid="{00000000-0004-0000-2900-000015000000}"/>
    <hyperlink ref="I103" r:id="rId23" xr:uid="{00000000-0004-0000-2900-000016000000}"/>
    <hyperlink ref="I469" r:id="rId24" xr:uid="{00000000-0004-0000-2900-000017000000}"/>
    <hyperlink ref="I270" r:id="rId25" xr:uid="{00000000-0004-0000-2900-000018000000}"/>
    <hyperlink ref="I468" r:id="rId26" xr:uid="{00000000-0004-0000-2900-000019000000}"/>
    <hyperlink ref="I334" r:id="rId27" xr:uid="{00000000-0004-0000-2900-00001A000000}"/>
    <hyperlink ref="I438" r:id="rId28" xr:uid="{00000000-0004-0000-2900-00001B000000}"/>
    <hyperlink ref="I465" r:id="rId29" xr:uid="{00000000-0004-0000-2900-00001C000000}"/>
    <hyperlink ref="I360" r:id="rId30" xr:uid="{00000000-0004-0000-2900-00001D000000}"/>
    <hyperlink ref="I451" r:id="rId31" xr:uid="{00000000-0004-0000-2900-00001E000000}"/>
    <hyperlink ref="I273" r:id="rId32" xr:uid="{00000000-0004-0000-2900-00001F000000}"/>
    <hyperlink ref="I262" r:id="rId33" xr:uid="{00000000-0004-0000-2900-000020000000}"/>
    <hyperlink ref="I251" r:id="rId34" location=":~:text=Anyways%2C%20you%20can%20buy%20a,on%20a%20great%20little%20rifle" xr:uid="{00000000-0004-0000-2900-000021000000}"/>
    <hyperlink ref="I361" r:id="rId35" xr:uid="{00000000-0004-0000-2900-000022000000}"/>
    <hyperlink ref="I427" r:id="rId36" xr:uid="{00000000-0004-0000-2900-000023000000}"/>
    <hyperlink ref="I278" r:id="rId37" xr:uid="{00000000-0004-0000-2900-000024000000}"/>
    <hyperlink ref="I231" r:id="rId38" xr:uid="{00000000-0004-0000-2900-000025000000}"/>
    <hyperlink ref="I359" r:id="rId39" xr:uid="{00000000-0004-0000-2900-000026000000}"/>
    <hyperlink ref="I336" r:id="rId40" xr:uid="{00000000-0004-0000-2900-000027000000}"/>
    <hyperlink ref="K271" r:id="rId41" display="https://en.wikipedia.org/wiki/Comparison_of_the_AK-47_and_M16" xr:uid="{00000000-0004-0000-2900-000028000000}"/>
    <hyperlink ref="K422" r:id="rId42" display="https://hcpresources.medtronic.com/blog/high-acuity-ventilator-cost-guide" xr:uid="{00000000-0004-0000-2900-000029000000}"/>
    <hyperlink ref="I113" r:id="rId43" location=":~:text=It%20is%20estimated%20that%20there,them%20is%20%24300%20to%20%241000." xr:uid="{00000000-0004-0000-2900-00002A000000}"/>
    <hyperlink ref="I371" r:id="rId44" xr:uid="{00000000-0004-0000-2900-00002B000000}"/>
    <hyperlink ref="I107" r:id="rId45" location=":~:text=Der%20Einsatz%20von%20Linearladungen%20%28Sprengschnur%29%20stellt%20hier%20eine,Kosten%20von%2018%20Cent%20f%C3%BCr%20jeden%20vernichteten%20Datentr%C3%A4ger." xr:uid="{00000000-0004-0000-2900-00002C000000}"/>
    <hyperlink ref="I458" r:id="rId46" xr:uid="{00000000-0004-0000-2900-00002D000000}"/>
    <hyperlink ref="I402" r:id="rId47" xr:uid="{00000000-0004-0000-2900-00002E000000}"/>
    <hyperlink ref="I463" r:id="rId48" xr:uid="{00000000-0004-0000-2900-00002F000000}"/>
    <hyperlink ref="I215" r:id="rId49" xr:uid="{00000000-0004-0000-2900-000030000000}"/>
    <hyperlink ref="I346" r:id="rId50" xr:uid="{00000000-0004-0000-2900-000031000000}"/>
    <hyperlink ref="I267" r:id="rId51" xr:uid="{00000000-0004-0000-2900-000032000000}"/>
    <hyperlink ref="I351" r:id="rId52" xr:uid="{00000000-0004-0000-2900-000033000000}"/>
    <hyperlink ref="I247" r:id="rId53" xr:uid="{00000000-0004-0000-2900-000034000000}"/>
    <hyperlink ref="I268" r:id="rId54" xr:uid="{00000000-0004-0000-2900-000035000000}"/>
    <hyperlink ref="I358" r:id="rId55" xr:uid="{00000000-0004-0000-2900-000036000000}"/>
    <hyperlink ref="I160" r:id="rId56" xr:uid="{00000000-0004-0000-2900-000037000000}"/>
    <hyperlink ref="I171" r:id="rId57" xr:uid="{00000000-0004-0000-2900-000038000000}"/>
    <hyperlink ref="I74" r:id="rId58" xr:uid="{00000000-0004-0000-2900-000039000000}"/>
    <hyperlink ref="I226" r:id="rId59" xr:uid="{00000000-0004-0000-2900-00003A000000}"/>
    <hyperlink ref="I230" r:id="rId60" xr:uid="{00000000-0004-0000-2900-00003B000000}"/>
    <hyperlink ref="I108" r:id="rId61" xr:uid="{00000000-0004-0000-2900-00003C000000}"/>
    <hyperlink ref="I50" r:id="rId62" xr:uid="{00000000-0004-0000-2900-00003D000000}"/>
    <hyperlink ref="I45" r:id="rId63" xr:uid="{00000000-0004-0000-2900-00003E000000}"/>
    <hyperlink ref="I202" r:id="rId64" xr:uid="{00000000-0004-0000-2900-00003F000000}"/>
    <hyperlink ref="I106" r:id="rId65" location=":~:text=Fly%20Eye%20%E2%80%93%20%24149.99&amp;text=Trim%2Fstabilization%20adjustment.,-Camera%20%E2%80%93%20Wi%2DFi" xr:uid="{00000000-0004-0000-2900-000040000000}"/>
    <hyperlink ref="I82" r:id="rId66" xr:uid="{00000000-0004-0000-2900-000041000000}"/>
    <hyperlink ref="I213" r:id="rId67" location=":~:text=The%20unit%20cost%20of%20a,to%20A3%20costs%20%24160%20000" xr:uid="{00000000-0004-0000-2900-000042000000}"/>
    <hyperlink ref="I220" r:id="rId68" xr:uid="{00000000-0004-0000-2900-000043000000}"/>
    <hyperlink ref="I380" r:id="rId69" xr:uid="{00000000-0004-0000-2900-000044000000}"/>
    <hyperlink ref="I368" r:id="rId70" xr:uid="{00000000-0004-0000-2900-000045000000}"/>
    <hyperlink ref="I275" r:id="rId71" xr:uid="{00000000-0004-0000-2900-000046000000}"/>
    <hyperlink ref="I204" r:id="rId72" xr:uid="{00000000-0004-0000-2900-000047000000}"/>
    <hyperlink ref="I187" r:id="rId73" xr:uid="{00000000-0004-0000-2900-000048000000}"/>
    <hyperlink ref="I450" r:id="rId74" xr:uid="{00000000-0004-0000-2900-000049000000}"/>
    <hyperlink ref="I439" r:id="rId75" xr:uid="{00000000-0004-0000-2900-00004A000000}"/>
    <hyperlink ref="I445" r:id="rId76" xr:uid="{00000000-0004-0000-2900-00004B000000}"/>
    <hyperlink ref="I370" r:id="rId77" xr:uid="{00000000-0004-0000-2900-00004C000000}"/>
    <hyperlink ref="I413" r:id="rId78" location=":~:text=The%20average%20construction%20costs%20for,built%20in%20a%20larger%20city" xr:uid="{00000000-0004-0000-2900-00004D000000}"/>
    <hyperlink ref="I175" r:id="rId79" xr:uid="{00000000-0004-0000-2900-00004E000000}"/>
    <hyperlink ref="I188" r:id="rId80" xr:uid="{00000000-0004-0000-2900-00004F000000}"/>
    <hyperlink ref="I185" r:id="rId81" xr:uid="{00000000-0004-0000-2900-000050000000}"/>
    <hyperlink ref="I52" r:id="rId82" xr:uid="{00000000-0004-0000-2900-000051000000}"/>
    <hyperlink ref="I164" r:id="rId83" xr:uid="{00000000-0004-0000-2900-000052000000}"/>
    <hyperlink ref="I170" r:id="rId84" xr:uid="{00000000-0004-0000-2900-000053000000}"/>
    <hyperlink ref="I426" r:id="rId85" xr:uid="{00000000-0004-0000-2900-000054000000}"/>
    <hyperlink ref="I169" r:id="rId86" xr:uid="{00000000-0004-0000-2900-000055000000}"/>
    <hyperlink ref="I365" r:id="rId87" xr:uid="{00000000-0004-0000-2900-000056000000}"/>
    <hyperlink ref="I374" r:id="rId88" xr:uid="{00000000-0004-0000-2900-000057000000}"/>
    <hyperlink ref="I332" r:id="rId89" xr:uid="{00000000-0004-0000-2900-000058000000}"/>
    <hyperlink ref="I210" r:id="rId90" xr:uid="{00000000-0004-0000-2900-000059000000}"/>
    <hyperlink ref="I216" r:id="rId91" xr:uid="{00000000-0004-0000-2900-00005A000000}"/>
    <hyperlink ref="I335" r:id="rId92" location=":~:text=Unit%20cost%3A%20%24329%20(Fiscal%20Year%202002).&amp;text=The%20M766%2060mm%20mortar%20cartridge,the%2060mm%20mortar%20training%20strategy." xr:uid="{00000000-0004-0000-2900-00005B000000}"/>
    <hyperlink ref="I207" r:id="rId93" xr:uid="{00000000-0004-0000-2900-00005C000000}"/>
    <hyperlink ref="I244" r:id="rId94" xr:uid="{00000000-0004-0000-2900-00005D000000}"/>
    <hyperlink ref="I211" r:id="rId95" xr:uid="{00000000-0004-0000-2900-00005E000000}"/>
    <hyperlink ref="I264" r:id="rId96" xr:uid="{00000000-0004-0000-2900-00005F000000}"/>
    <hyperlink ref="I159" r:id="rId97" xr:uid="{00000000-0004-0000-2900-000060000000}"/>
    <hyperlink ref="I414" r:id="rId98" xr:uid="{00000000-0004-0000-2900-000061000000}"/>
    <hyperlink ref="I65" r:id="rId99" xr:uid="{00000000-0004-0000-2900-000062000000}"/>
    <hyperlink ref="I84" r:id="rId100" xr:uid="{00000000-0004-0000-2900-000063000000}"/>
    <hyperlink ref="I72" r:id="rId101" xr:uid="{00000000-0004-0000-2900-000064000000}"/>
    <hyperlink ref="I209" r:id="rId102" xr:uid="{00000000-0004-0000-2900-000065000000}"/>
    <hyperlink ref="I255" r:id="rId103" xr:uid="{00000000-0004-0000-2900-000066000000}"/>
    <hyperlink ref="I291" r:id="rId104" xr:uid="{00000000-0004-0000-2900-000067000000}"/>
    <hyperlink ref="I75" r:id="rId105" xr:uid="{00000000-0004-0000-2900-000068000000}"/>
    <hyperlink ref="I85" r:id="rId106" xr:uid="{00000000-0004-0000-2900-000069000000}"/>
    <hyperlink ref="I377" r:id="rId107" xr:uid="{00000000-0004-0000-2900-00006A000000}"/>
    <hyperlink ref="I114" r:id="rId108" xr:uid="{00000000-0004-0000-2900-00006B000000}"/>
    <hyperlink ref="I281" r:id="rId109" xr:uid="{00000000-0004-0000-2900-00006C000000}"/>
    <hyperlink ref="I420" r:id="rId110" xr:uid="{00000000-0004-0000-2900-00006D000000}"/>
    <hyperlink ref="I447" r:id="rId111" xr:uid="{00000000-0004-0000-2900-00006E000000}"/>
    <hyperlink ref="I100" r:id="rId112" xr:uid="{00000000-0004-0000-2900-00006F000000}"/>
    <hyperlink ref="I201" r:id="rId113" xr:uid="{00000000-0004-0000-2900-000070000000}"/>
    <hyperlink ref="I470" r:id="rId114" xr:uid="{00000000-0004-0000-2900-000071000000}"/>
    <hyperlink ref="I456" r:id="rId115" display="https://www.amazon.com/dp/B0B1GXZXPX/ref=sspa_dk_detail_0?psc=1&amp;pd_rd_i=B0B1GXZXPX&amp;pd_rd_w=8Luot&amp;content-id=amzn1.sym.46bad5f6-1f0a-4167-9a8b-c8a82fa48a54&amp;pf_rd_p=46bad5f6-1f0a-4167-9a8b-c8a82fa48a54&amp;pf_rd_r=KPTZZRY2RHA3S7A9N81M&amp;pd_rd_wg=0rtva&amp;pd_rd_r=2e01c8ed-97c3-43c5-85ac-23e35fef55bb&amp;s=hi&amp;sp_csd=d2lkZ2V0TmFtZT1zcF9kZXRhaWw" xr:uid="{00000000-0004-0000-2900-000072000000}"/>
    <hyperlink ref="I157" r:id="rId116" display="https://www.wiwo.de/politik/deutschland/140-millionen-euro-teures-luftabwehrsystem-ukraine-erwartet-im-oktober-erste-iris-t-lieferung/28393480.html. https://mil.in.ua/en/news/iris-t-slm-medium-range-air-defense-system-germany-released-an-updated-list-of-weapons-for-ukraine/ " xr:uid="{00000000-0004-0000-2900-000073000000}"/>
    <hyperlink ref="I214" r:id="rId117" xr:uid="{00000000-0004-0000-2900-000074000000}"/>
    <hyperlink ref="I257" r:id="rId118" location=":~:text=Regular%20artillery%20shells%20are%20estimated,up%20to%2040%20kilometres%20away" xr:uid="{00000000-0004-0000-2900-000075000000}"/>
    <hyperlink ref="I258" r:id="rId119" location=":~:text=Regular%20artillery%20shells%20are%20estimated,up%20to%2040%20kilometres%20away" xr:uid="{00000000-0004-0000-2900-000076000000}"/>
    <hyperlink ref="I73" r:id="rId120" location=":~:text=WARSAW%2C%20Poland%20%E2%80%94%20The%20Polish%20Ministry,systems%20for%20the%20country%27s%20military" xr:uid="{00000000-0004-0000-2900-000077000000}"/>
    <hyperlink ref="I217" r:id="rId121" xr:uid="{00000000-0004-0000-2900-000078000000}"/>
    <hyperlink ref="I69" r:id="rId122" location=":~:text=The%20cost%20of%20one%20RQ,NATO%20countries%20and%20their%20partners" xr:uid="{00000000-0004-0000-2900-000079000000}"/>
    <hyperlink ref="I442" r:id="rId123" xr:uid="{00000000-0004-0000-2900-00007A000000}"/>
    <hyperlink ref="I330" r:id="rId124" location=":~:text=The%20Mamba%204%C3%974,had%20developed%20at%20the%20time" xr:uid="{00000000-0004-0000-2900-00007B000000}"/>
    <hyperlink ref="I86" r:id="rId125" xr:uid="{00000000-0004-0000-2900-00007C000000}"/>
    <hyperlink ref="I110" r:id="rId126" xr:uid="{00000000-0004-0000-2900-00007D000000}"/>
    <hyperlink ref="I452" r:id="rId127" xr:uid="{00000000-0004-0000-2900-00007E000000}"/>
    <hyperlink ref="I459" r:id="rId128" xr:uid="{00000000-0004-0000-2900-00007F000000}"/>
    <hyperlink ref="I444" r:id="rId129" xr:uid="{00000000-0004-0000-2900-000080000000}"/>
    <hyperlink ref="I111" r:id="rId130" xr:uid="{00000000-0004-0000-2900-000081000000}"/>
    <hyperlink ref="I54" r:id="rId131" xr:uid="{00000000-0004-0000-2900-000082000000}"/>
    <hyperlink ref="I95" r:id="rId132" location="v=onepage&amp;q=66mm%20rocket%20cost&amp;f=false" xr:uid="{00000000-0004-0000-2900-000083000000}"/>
    <hyperlink ref="I471" r:id="rId133" xr:uid="{00000000-0004-0000-2900-000084000000}"/>
    <hyperlink ref="I440" r:id="rId134" xr:uid="{00000000-0004-0000-2900-000086000000}"/>
    <hyperlink ref="I430" r:id="rId135" xr:uid="{00000000-0004-0000-2900-000087000000}"/>
    <hyperlink ref="I434" r:id="rId136" xr:uid="{00000000-0004-0000-2900-000088000000}"/>
    <hyperlink ref="I449" r:id="rId137" xr:uid="{00000000-0004-0000-2900-000089000000}"/>
    <hyperlink ref="I421" r:id="rId138" location=":~:text=Single%2DWide%20or%20Single%2DSection%20Home,-As%20the%20smaller&amp;text=The%20Census%20Bureau%20reports%20that,was%20%2476%2C400%20in%20November%202021" xr:uid="{00000000-0004-0000-2900-00008A000000}"/>
    <hyperlink ref="I99" r:id="rId139" location=":~:text=The%20M72%20LAW%20is%20still,200%2C%20depending%20on%20the%20model" xr:uid="{00000000-0004-0000-2900-00008B000000}"/>
    <hyperlink ref="I83" r:id="rId140" xr:uid="{00000000-0004-0000-2900-00008C000000}"/>
    <hyperlink ref="I381" r:id="rId141" xr:uid="{00000000-0004-0000-2900-00008D000000}"/>
    <hyperlink ref="I436" r:id="rId142" location=":~:text=How%20much%20does%20a%20monitor,price%20is%20around%20%24200%20%2D%20%24300" xr:uid="{00000000-0004-0000-2900-00008E000000}"/>
    <hyperlink ref="I435" r:id="rId143" xr:uid="{00000000-0004-0000-2900-00008F000000}"/>
    <hyperlink ref="I342" r:id="rId144" xr:uid="{00000000-0004-0000-2900-000090000000}"/>
    <hyperlink ref="I105" r:id="rId145" xr:uid="{00000000-0004-0000-2900-000091000000}"/>
    <hyperlink ref="I354" r:id="rId146" xr:uid="{00000000-0004-0000-2900-000092000000}"/>
    <hyperlink ref="I289" r:id="rId147" xr:uid="{00000000-0004-0000-2900-000093000000}"/>
    <hyperlink ref="I378" r:id="rId148" xr:uid="{00000000-0004-0000-2900-000094000000}"/>
    <hyperlink ref="I290" r:id="rId149" xr:uid="{00000000-0004-0000-2900-000095000000}"/>
    <hyperlink ref="I454" r:id="rId150" xr:uid="{00000000-0004-0000-2900-000096000000}"/>
    <hyperlink ref="I379" r:id="rId151" xr:uid="{00000000-0004-0000-2900-000097000000}"/>
    <hyperlink ref="I90" r:id="rId152" xr:uid="{00000000-0004-0000-2900-000098000000}"/>
    <hyperlink ref="I432" r:id="rId153" location=":~:text=The%20average%20selling%20price%20of,U.S.%20dollars%20in%20constant%20currency" xr:uid="{00000000-0004-0000-2900-000099000000}"/>
    <hyperlink ref="I431" r:id="rId154" location=":~:text=The%20Average%20Cost%20of%20a%20Laptop,-Let%27s%20leave%20the&amp;text=For%20example%2C%20on%20average%2C%20the,Ultrabooks%20that%20satisfy%20your%20needs" xr:uid="{00000000-0004-0000-2900-00009A000000}"/>
    <hyperlink ref="I269" r:id="rId155" xr:uid="{00000000-0004-0000-2900-00009B000000}"/>
    <hyperlink ref="I252" r:id="rId156" xr:uid="{00000000-0004-0000-2900-00009C000000}"/>
    <hyperlink ref="I362" r:id="rId157" xr:uid="{00000000-0004-0000-2900-00009D000000}"/>
    <hyperlink ref="I366" r:id="rId158" xr:uid="{00000000-0004-0000-2900-00009E000000}"/>
    <hyperlink ref="I174" r:id="rId159" xr:uid="{00000000-0004-0000-2900-00009F000000}"/>
    <hyperlink ref="I31" r:id="rId160" xr:uid="{00000000-0004-0000-2900-0000A0000000}"/>
    <hyperlink ref="I355" r:id="rId161" xr:uid="{00000000-0004-0000-2900-0000A1000000}"/>
    <hyperlink ref="I98" r:id="rId162" location=":~:text=Regular%20artillery%20shells%20are%20estimated,up%20to%2040%20kilometres%20away" xr:uid="{00000000-0004-0000-2900-0000A2000000}"/>
    <hyperlink ref="I277" r:id="rId163" location="v=onepage&amp;q=oerlikon%2035%20mm%20ammunition%20cost&amp;f=false" display="https://books.google.de/books?id=8J43AAAAIAAJ&amp;pg=PA4558&amp;lpg=PA4558&amp;dq=oerlikon+35+mm+ammunition+cost&amp;source=bl&amp;ots=AckNN2-QzT&amp;sig=ACfU3U3R0hGRH6Ksb8A4zR7RyTB_hML2MA&amp;hl=en&amp;sa=X&amp;ved=2ahUKEwjhucjeza35AhXvMuwKHbDKC1YQ6AF6BAg_EAM#v=onepage&amp;q=oerlikon%2035%20mm%20ammunition%20cost&amp;f=false" xr:uid="{00000000-0004-0000-2900-0000A3000000}"/>
    <hyperlink ref="I191" r:id="rId164" location=":~:text=Bewaffnete%20Drohnen%20f%C3%BCr%20Bundeswehr%3A%20Heron,Munition%20%22Special%20Payload%22%20zu." xr:uid="{00000000-0004-0000-2900-0000A4000000}"/>
    <hyperlink ref="I353" r:id="rId165" display="https://www.praxisdienst.de/Einrichtung/Ablegen+und+lagern/Medikamentenkuehlschraenke/Liebherr+MKUv+1610+Medikamentenkuehlschrank+mit+Fachboeden.html?speed=1&amp;gclid=Cj0KCQjwntCVBhDdARIsAMEwACmOKJaqbtWlmkE3PwceLhHIP9m3qGdulBKn1kImSy42c3gxKcXCRD4aAhIXEALw_wcB" xr:uid="{00000000-0004-0000-2900-0000A5000000}"/>
    <hyperlink ref="I373" r:id="rId166" xr:uid="{00000000-0004-0000-2900-0000A6000000}"/>
    <hyperlink ref="I344" r:id="rId167" xr:uid="{00000000-0004-0000-2900-0000A7000000}"/>
    <hyperlink ref="I280" r:id="rId168" display="https://www.amazon.de/First-Boxes-Contents-according-13157/dp/B09JZKG84C/ref=sr_1_1_sspa?adgrpid=83827895404&amp;gclid=Cj0KCQjwntCVBhDdARIsAMEwACk2bt6E62FjoUVnx4hAM8fNlU9uHMkdNXGNk_yIBwENVDc98WeI9vkaAl0OEALw_wcB&amp;hvadid=394830971024&amp;hvdev=c&amp;hvlocphy=9061132&amp;hvnetw=g&amp;hvqmt=b&amp;hvrand=15040397051256604446&amp;hvtargid=kwd-14883146&amp;hydadcr=4261_1714685&amp;keywords=verbandskasten&amp;qid=1655989411&amp;sr=8-1-spons&amp;psc=1&amp;spLa=ZW5jcnlwdGVkUXVhbGlmaWVyPUFaVkYyNjI0RE1FT1QmZW5jcnlwdGVkSWQ9QTA0MTU0ODcxVkk2RjdJUTRWWVNJJmVuY3J5cHRlZEFkSWQ9QTA0NzgxOTQyMFYwMUw3R1M0QjBTJndpZGdldE5hbWU9c3BfYXRmJmFjdGlvbj1jbGlja1JlZGlyZWN0JmRvTm90TG9nQ2xpY2s9dHJ1ZQ==" xr:uid="{00000000-0004-0000-2900-0000A8000000}"/>
    <hyperlink ref="I448" r:id="rId169" xr:uid="{00000000-0004-0000-2900-0000A9000000}"/>
    <hyperlink ref="I29" r:id="rId170" xr:uid="{00000000-0004-0000-2900-0000AA000000}"/>
    <hyperlink ref="I168" r:id="rId171" location=":~:text=A%20Patrol%20Coastal%20boat%20has,cost%20around%20%2415%20million%20each" xr:uid="{00000000-0004-0000-2900-0000AB000000}"/>
    <hyperlink ref="I163" r:id="rId172" location=":~:text=A%20Patrol%20Coastal%20boat%20has,cost%20around%20%2415%20million%20each" xr:uid="{00000000-0004-0000-2900-0000AC000000}"/>
    <hyperlink ref="I165" r:id="rId173" xr:uid="{00000000-0004-0000-2900-0000AD000000}"/>
    <hyperlink ref="I199" r:id="rId174" xr:uid="{00000000-0004-0000-2900-0000AE000000}"/>
    <hyperlink ref="I49" r:id="rId175" xr:uid="{00000000-0004-0000-2900-0000AF000000}"/>
    <hyperlink ref="I183" r:id="rId176" xr:uid="{00000000-0004-0000-2900-0000B0000000}"/>
    <hyperlink ref="I162" r:id="rId177" xr:uid="{00000000-0004-0000-2900-0000B1000000}"/>
    <hyperlink ref="I177" r:id="rId178" xr:uid="{00000000-0004-0000-2900-0000B2000000}"/>
    <hyperlink ref="I197" r:id="rId179" xr:uid="{00000000-0004-0000-2900-0000B3000000}"/>
    <hyperlink ref="I343" r:id="rId180" xr:uid="{00000000-0004-0000-2900-0000B4000000}"/>
    <hyperlink ref="I433" r:id="rId181" xr:uid="{00000000-0004-0000-2900-0000B5000000}"/>
    <hyperlink ref="I376" r:id="rId182" xr:uid="{00000000-0004-0000-2900-0000B6000000}"/>
    <hyperlink ref="I446" r:id="rId183" xr:uid="{00000000-0004-0000-2900-0000B7000000}"/>
    <hyperlink ref="I437" r:id="rId184" xr:uid="{00000000-0004-0000-2900-0000B8000000}"/>
    <hyperlink ref="I357" r:id="rId185" xr:uid="{00000000-0004-0000-2900-0000B9000000}"/>
    <hyperlink ref="I250" r:id="rId186" xr:uid="{00000000-0004-0000-2900-0000BA000000}"/>
    <hyperlink ref="I67" r:id="rId187" xr:uid="{00000000-0004-0000-2900-0000BB000000}"/>
    <hyperlink ref="I205" r:id="rId188" xr:uid="{00000000-0004-0000-2900-0000BC000000}"/>
    <hyperlink ref="I206" r:id="rId189" xr:uid="{00000000-0004-0000-2900-0000BD000000}"/>
    <hyperlink ref="I102" r:id="rId190" xr:uid="{00000000-0004-0000-2900-0000BE000000}"/>
    <hyperlink ref="I101" r:id="rId191" xr:uid="{00000000-0004-0000-2900-0000BF000000}"/>
    <hyperlink ref="I64" r:id="rId192" xr:uid="{00000000-0004-0000-2900-0000C0000000}"/>
    <hyperlink ref="I224" r:id="rId193" xr:uid="{00000000-0004-0000-2900-0000C1000000}"/>
    <hyperlink ref="I225" r:id="rId194" xr:uid="{00000000-0004-0000-2900-0000C2000000}"/>
    <hyperlink ref="I219" r:id="rId195" xr:uid="{00000000-0004-0000-2900-0000C3000000}"/>
    <hyperlink ref="I274" r:id="rId196" xr:uid="{00000000-0004-0000-2900-0000C4000000}"/>
    <hyperlink ref="I94" r:id="rId197" xr:uid="{00000000-0004-0000-2900-0000C5000000}"/>
    <hyperlink ref="I227" r:id="rId198" xr:uid="{00000000-0004-0000-2900-0000C6000000}"/>
    <hyperlink ref="I115" r:id="rId199" xr:uid="{00000000-0004-0000-2900-0000C7000000}"/>
    <hyperlink ref="I340" r:id="rId200" xr:uid="{00000000-0004-0000-2900-0000C8000000}"/>
    <hyperlink ref="I364" r:id="rId201" xr:uid="{00000000-0004-0000-2900-0000C9000000}"/>
    <hyperlink ref="I461" r:id="rId202" xr:uid="{00000000-0004-0000-2900-0000CA000000}"/>
    <hyperlink ref="I441" r:id="rId203" xr:uid="{00000000-0004-0000-2900-0000CB000000}"/>
    <hyperlink ref="I425" r:id="rId204" display="https://www.ers.usda.gov/publications/pub-details/?pubid=43836 and source for medical supplies:https://economictimes.indiatimes.com/news/politics-and-nation/india-provided-15-tonnes-of-medical-supplies-worth-rs-2-11-crore-to-coronavirus-hit-china-government/articleshow/74693578.cms?from=mdr" xr:uid="{00000000-0004-0000-2900-0000CC000000}"/>
    <hyperlink ref="I429" r:id="rId205" xr:uid="{00000000-0004-0000-2900-0000CD000000}"/>
    <hyperlink ref="I443" r:id="rId206" xr:uid="{00000000-0004-0000-2900-0000CE000000}"/>
    <hyperlink ref="I415" r:id="rId207" xr:uid="{00000000-0004-0000-2900-0000CF000000}"/>
    <hyperlink ref="I223" r:id="rId208" xr:uid="{00000000-0004-0000-2900-0000D0000000}"/>
    <hyperlink ref="I237" r:id="rId209" xr:uid="{00000000-0004-0000-2900-0000D1000000}"/>
    <hyperlink ref="I248" r:id="rId210" xr:uid="{00000000-0004-0000-2900-0000D2000000}"/>
    <hyperlink ref="I352" r:id="rId211" xr:uid="{00000000-0004-0000-2900-0000D3000000}"/>
    <hyperlink ref="I356" r:id="rId212" xr:uid="{00000000-0004-0000-2900-0000D4000000}"/>
    <hyperlink ref="I263" r:id="rId213" location="Export_(Military/LE)" xr:uid="{00000000-0004-0000-2900-0000D5000000}"/>
    <hyperlink ref="I382" r:id="rId214" xr:uid="{00000000-0004-0000-2900-0000D6000000}"/>
    <hyperlink ref="I348" r:id="rId215" xr:uid="{00000000-0004-0000-2900-0000D7000000}"/>
    <hyperlink ref="I272" r:id="rId216" xr:uid="{00000000-0004-0000-2900-0000D8000000}"/>
    <hyperlink ref="I87" r:id="rId217" xr:uid="{00000000-0004-0000-2900-0000D9000000}"/>
    <hyperlink ref="I53" r:id="rId218" location=":~:text=According%20to%20Forecast%20International%2C%20the,in%202002%20was%20US%24594%2C000" xr:uid="{00000000-0004-0000-2900-0000DA000000}"/>
    <hyperlink ref="I28" r:id="rId219" xr:uid="{00000000-0004-0000-2900-0000DB000000}"/>
    <hyperlink ref="I195" r:id="rId220" xr:uid="{00000000-0004-0000-2900-0000DC000000}"/>
    <hyperlink ref="I200" r:id="rId221" xr:uid="{00000000-0004-0000-2900-0000DD000000}"/>
    <hyperlink ref="I109" r:id="rId222" xr:uid="{00000000-0004-0000-2900-0000DE000000}"/>
    <hyperlink ref="I254" r:id="rId223" location=":~:text=The%20AT4-CS%20will%20continue%20to%20be%20the%20U.S.,Classification%20Date%3A%203rd%20Quarter%20FY04.%20Unit%20cost%3A%20%242%2C700" xr:uid="{00000000-0004-0000-2900-0000DF000000}"/>
    <hyperlink ref="I256" r:id="rId224" xr:uid="{00000000-0004-0000-2900-0000E0000000}"/>
    <hyperlink ref="I203" r:id="rId225" xr:uid="{00000000-0004-0000-2900-0000E1000000}"/>
    <hyperlink ref="I166" r:id="rId226" xr:uid="{00000000-0004-0000-2900-0000E2000000}"/>
    <hyperlink ref="I245" r:id="rId227" xr:uid="{00000000-0004-0000-2900-0000E3000000}"/>
    <hyperlink ref="I66" r:id="rId228" xr:uid="{00000000-0004-0000-2900-0000E4000000}"/>
    <hyperlink ref="I453" r:id="rId229" xr:uid="{00000000-0004-0000-2900-0000E5000000}"/>
    <hyperlink ref="I240" r:id="rId230" xr:uid="{00000000-0004-0000-2900-0000E6000000}"/>
    <hyperlink ref="I76" r:id="rId231" xr:uid="{00000000-0004-0000-2900-0000E7000000}"/>
    <hyperlink ref="I193" r:id="rId232" xr:uid="{00000000-0004-0000-2900-0000E8000000}"/>
    <hyperlink ref="I198" r:id="rId233" xr:uid="{00000000-0004-0000-2900-0000E9000000}"/>
    <hyperlink ref="I186" r:id="rId234" xr:uid="{00000000-0004-0000-2900-0000EA000000}"/>
    <hyperlink ref="I192" r:id="rId235" xr:uid="{00000000-0004-0000-2900-0000EB000000}"/>
    <hyperlink ref="I189" r:id="rId236" xr:uid="{00000000-0004-0000-2900-0000EC000000}"/>
    <hyperlink ref="I179" r:id="rId237" xr:uid="{00000000-0004-0000-2900-0000ED000000}"/>
    <hyperlink ref="I112" r:id="rId238" xr:uid="{00000000-0004-0000-2900-0000EE000000}"/>
    <hyperlink ref="I222" r:id="rId239" xr:uid="{00000000-0004-0000-2900-0000EF000000}"/>
    <hyperlink ref="I63" r:id="rId240" xr:uid="{00000000-0004-0000-2900-0000F0000000}"/>
    <hyperlink ref="I194" r:id="rId241" xr:uid="{00000000-0004-0000-2900-0000F1000000}"/>
    <hyperlink ref="I208" r:id="rId242" xr:uid="{00000000-0004-0000-2900-0000F2000000}"/>
    <hyperlink ref="I71" r:id="rId243" xr:uid="{00000000-0004-0000-2900-0000F3000000}"/>
    <hyperlink ref="I80" r:id="rId244" xr:uid="{00000000-0004-0000-2900-0000F4000000}"/>
    <hyperlink ref="I93" r:id="rId245" xr:uid="{00000000-0004-0000-2900-0000F5000000}"/>
    <hyperlink ref="I92" r:id="rId246" xr:uid="{00000000-0004-0000-2900-0000F6000000}"/>
    <hyperlink ref="I91" r:id="rId247" xr:uid="{00000000-0004-0000-2900-0000F7000000}"/>
    <hyperlink ref="I77" r:id="rId248" location="v=onepage&amp;q&amp;f=false" xr:uid="{00000000-0004-0000-2900-0000F8000000}"/>
    <hyperlink ref="I96" r:id="rId249" location=":~:text=Regular%20artillery%20shells%20are%20estimated,up%20to%2040%20kilometres%20away" xr:uid="{00000000-0004-0000-2900-0000F9000000}"/>
    <hyperlink ref="I97" r:id="rId250" location=":~:text=Regular%20artillery%20shells%20are%20estimated,up%20to%2040%20kilometres%20away" xr:uid="{00000000-0004-0000-2900-0000FA000000}"/>
    <hyperlink ref="I55" r:id="rId251" xr:uid="{00000000-0004-0000-2900-0000FB000000}"/>
    <hyperlink ref="I30" r:id="rId252" xr:uid="{00000000-0004-0000-2900-0000FC000000}"/>
    <hyperlink ref="I383" r:id="rId253" xr:uid="{00000000-0004-0000-2900-0000FD000000}"/>
    <hyperlink ref="I375" r:id="rId254" xr:uid="{00000000-0004-0000-2900-0000FE000000}"/>
    <hyperlink ref="I337" r:id="rId255" xr:uid="{00000000-0004-0000-2900-0000FF000000}"/>
    <hyperlink ref="I167" r:id="rId256" xr:uid="{00000000-0004-0000-2900-000000010000}"/>
    <hyperlink ref="I156" r:id="rId257" xr:uid="{00000000-0004-0000-2900-000001010000}"/>
    <hyperlink ref="I218" r:id="rId258" xr:uid="{00000000-0004-0000-2900-000002010000}"/>
    <hyperlink ref="I196" r:id="rId259" xr:uid="{00000000-0004-0000-2900-000003010000}"/>
    <hyperlink ref="I172" r:id="rId260" xr:uid="{00000000-0004-0000-2900-000004010000}"/>
    <hyperlink ref="I176" r:id="rId261" xr:uid="{00000000-0004-0000-2900-000005010000}"/>
    <hyperlink ref="I180" r:id="rId262" xr:uid="{00000000-0004-0000-2900-000006010000}"/>
    <hyperlink ref="I178" r:id="rId263" xr:uid="{00000000-0004-0000-2900-000007010000}"/>
    <hyperlink ref="I292" r:id="rId264" location="v=onepage&amp;q=oerlikon%2035%20mm%20ammunition%20cost&amp;f=false" display="https://books.google.de/books?id=8J43AAAAIAAJ&amp;pg=PA4558&amp;lpg=PA4558&amp;dq=oerlikon+35+mm+ammunition+cost&amp;source=bl&amp;ots=AckNN2-QzT&amp;sig=ACfU3U3R0hGRH6Ksb8A4zR7RyTB_hML2MA&amp;hl=en&amp;sa=X&amp;ved=2ahUKEwjhucjeza35AhXvMuwKHbDKC1YQ6AF6BAg_EAM#v=onepage&amp;q=oerlikon%2035%20mm%20ammunition%20cost&amp;f=false" xr:uid="{00000000-0004-0000-2900-000008010000}"/>
    <hyperlink ref="I117" r:id="rId265" xr:uid="{00000000-0004-0000-2900-000009010000}"/>
    <hyperlink ref="I182" r:id="rId266" xr:uid="{00000000-0004-0000-2900-00000A010000}"/>
    <hyperlink ref="I116" r:id="rId267" xr:uid="{00000000-0004-0000-2900-00000B010000}"/>
    <hyperlink ref="I475" r:id="rId268" xr:uid="{00000000-0004-0000-2900-00000C010000}"/>
    <hyperlink ref="I476" r:id="rId269" xr:uid="{00000000-0004-0000-2900-00000D010000}"/>
    <hyperlink ref="I297" r:id="rId270" xr:uid="{00000000-0004-0000-2900-00000E010000}"/>
    <hyperlink ref="I32" r:id="rId271" xr:uid="{00000000-0004-0000-2900-00000F010000}"/>
    <hyperlink ref="I481" r:id="rId272" xr:uid="{00000000-0004-0000-2900-000010010000}"/>
    <hyperlink ref="I298" r:id="rId273" xr:uid="{00000000-0004-0000-2900-000011010000}"/>
    <hyperlink ref="I489" r:id="rId274" xr:uid="{00000000-0004-0000-2900-000012010000}"/>
    <hyperlink ref="I57" r:id="rId275" xr:uid="{00000000-0004-0000-2900-000013010000}"/>
    <hyperlink ref="I299" r:id="rId276" xr:uid="{00000000-0004-0000-2900-000014010000}"/>
    <hyperlink ref="I300" r:id="rId277" xr:uid="{00000000-0004-0000-2900-000015010000}"/>
    <hyperlink ref="I301" r:id="rId278" xr:uid="{00000000-0004-0000-2900-000016010000}"/>
    <hyperlink ref="I385" r:id="rId279" xr:uid="{00000000-0004-0000-2900-000017010000}"/>
    <hyperlink ref="I304" r:id="rId280" xr:uid="{00000000-0004-0000-2900-000018010000}"/>
    <hyperlink ref="I58" r:id="rId281" xr:uid="{00000000-0004-0000-2900-000019010000}"/>
    <hyperlink ref="I302" r:id="rId282" xr:uid="{00000000-0004-0000-2900-00001A010000}"/>
    <hyperlink ref="I308" r:id="rId283" xr:uid="{00000000-0004-0000-2900-00001B010000}"/>
    <hyperlink ref="I118" r:id="rId284" location=":~:text=La%20Junta%20de%20Contrataci%C3%B3n%20del,unitario%20de%202.099%2C35%20euros" xr:uid="{00000000-0004-0000-2900-00001C010000}"/>
    <hyperlink ref="I59" r:id="rId285" xr:uid="{00000000-0004-0000-2900-00001D010000}"/>
    <hyperlink ref="I310" r:id="rId286" location=":~:text=The%20Czech%20Republic%20yesterday%20signed,a%20cost%20of%20%24125m.&amp;text=The%20%24125m%20contract%20covers%20eight%20multi%2Dmission%20radars" xr:uid="{00000000-0004-0000-2900-00001E010000}"/>
    <hyperlink ref="I496" r:id="rId287" xr:uid="{00000000-0004-0000-2900-00001F010000}"/>
    <hyperlink ref="I497" r:id="rId288" xr:uid="{00000000-0004-0000-2900-000020010000}"/>
    <hyperlink ref="I485" r:id="rId289" xr:uid="{00000000-0004-0000-2900-000021010000}"/>
    <hyperlink ref="I502" r:id="rId290" xr:uid="{00000000-0004-0000-2900-000022010000}"/>
    <hyperlink ref="I40" r:id="rId291" xr:uid="{00000000-0004-0000-2900-000023010000}"/>
    <hyperlink ref="I311" r:id="rId292" xr:uid="{00000000-0004-0000-2900-000024010000}"/>
    <hyperlink ref="I56" r:id="rId293" xr:uid="{00000000-0004-0000-2900-000025010000}"/>
    <hyperlink ref="I35" r:id="rId294" xr:uid="{00000000-0004-0000-2900-000026010000}"/>
    <hyperlink ref="I36" r:id="rId295" xr:uid="{00000000-0004-0000-2900-000027010000}"/>
    <hyperlink ref="I305" r:id="rId296" xr:uid="{00000000-0004-0000-2900-000028010000}"/>
    <hyperlink ref="I309" r:id="rId297" xr:uid="{00000000-0004-0000-2900-000029010000}"/>
    <hyperlink ref="I181" r:id="rId298" xr:uid="{00000000-0004-0000-2900-00002A010000}"/>
    <hyperlink ref="I43" r:id="rId299" xr:uid="{00000000-0004-0000-2900-00002B010000}"/>
    <hyperlink ref="I48" r:id="rId300" xr:uid="{00000000-0004-0000-2900-00002C010000}"/>
    <hyperlink ref="I51" r:id="rId301" xr:uid="{00000000-0004-0000-2900-00002D010000}"/>
    <hyperlink ref="I68" r:id="rId302" xr:uid="{00000000-0004-0000-2900-00002E010000}"/>
    <hyperlink ref="I154" r:id="rId303" xr:uid="{00000000-0004-0000-2900-00002F010000}"/>
    <hyperlink ref="I158" r:id="rId304" xr:uid="{00000000-0004-0000-2900-000030010000}"/>
    <hyperlink ref="I173" r:id="rId305" xr:uid="{00000000-0004-0000-2900-000031010000}"/>
    <hyperlink ref="I212" r:id="rId306" xr:uid="{00000000-0004-0000-2900-000032010000}"/>
    <hyperlink ref="I70" r:id="rId307" location="11051744000014" xr:uid="{00000000-0004-0000-2900-000033010000}"/>
    <hyperlink ref="I419" r:id="rId308" xr:uid="{00000000-0004-0000-2900-000034010000}"/>
    <hyperlink ref="I228" r:id="rId309" xr:uid="{00000000-0004-0000-2900-000035010000}"/>
    <hyperlink ref="I303" r:id="rId310" xr:uid="{00000000-0004-0000-2900-000036010000}"/>
    <hyperlink ref="I501" r:id="rId311" display="https://www.amazon.com/GUARD-SHIELD-Medium-Purpose-Waterproof/dp/B0974LGBDM/ref=sxin_15_pa_sp_search_thematic_sspa?content-id=amzn1.sym.b5b80b36-fed9-4412-8be2-fe5bba09d25a%3Aamzn1.sym.b5b80b36-fed9-4412-8be2-fe5bba09d25a&amp;crid=1Y6ZMUK89WH8A&amp;cv_ct_cx=tarpaulin&amp;keywords=tarpaulin&amp;pd_rd_i=B0974LGBDM&amp;pd_rd_r=4ee90763-05e6-409c-bb1c-9075d3062221&amp;pd_rd_w=85ApN&amp;pd_rd_wg=UtiJn&amp;pf_rd_p=b5b80b36-fed9-4412-8be2-fe5bba09d25a&amp;pf_rd_r=3QEFJPT5JX03S1GD04F7&amp;qid=1667485169&amp;qu=eyJxc2MiOiI1LjM2IiwicXNhIjoiNS40NyIsInFzcCI6IjQuOTcifQ%3D%3D&amp;sprefix=tarpaulin%2Caps%2C198&amp;sr=1-1-a73d1c8c-2fd2-4f19-aa41-2df022bcb241-spons&amp;th=1" xr:uid="{00000000-0004-0000-2900-000037010000}"/>
    <hyperlink ref="I296" r:id="rId312" xr:uid="{00000000-0004-0000-2900-000038010000}"/>
    <hyperlink ref="I293" r:id="rId313" location=":~:text=The%20tactical%20rounds%20cost%20%2450,which%20will%20cost%20around%20%247" xr:uid="{00000000-0004-0000-2900-000039010000}"/>
    <hyperlink ref="I455" r:id="rId314" xr:uid="{00000000-0004-0000-2900-00003A010000}"/>
    <hyperlink ref="I282" r:id="rId315" xr:uid="{00000000-0004-0000-2900-00003B010000}"/>
    <hyperlink ref="I283" r:id="rId316" xr:uid="{00000000-0004-0000-2900-00003C010000}"/>
    <hyperlink ref="I285" r:id="rId317" xr:uid="{00000000-0004-0000-2900-00003D010000}"/>
    <hyperlink ref="I104" r:id="rId318" xr:uid="{00000000-0004-0000-2900-00003E010000}"/>
    <hyperlink ref="I276" r:id="rId319" xr:uid="{00000000-0004-0000-2900-00003F010000}"/>
    <hyperlink ref="I241" r:id="rId320" xr:uid="{00000000-0004-0000-2900-000040010000}"/>
    <hyperlink ref="I261" r:id="rId321" location=":~:text=The%20M72%20LAW%20is%20still,200%2C%20depending%20on%20the%20model" xr:uid="{00000000-0004-0000-2900-000041010000}"/>
    <hyperlink ref="I260" r:id="rId322" location=":~:text=The%20M72%20LAW%20is%20still,200%2C%20depending%20on%20the%20model" xr:uid="{00000000-0004-0000-2900-000042010000}"/>
    <hyperlink ref="I259" r:id="rId323" location=":~:text=The%20M72%20LAW%20is%20still,200%2C%20depending%20on%20the%20model" xr:uid="{00000000-0004-0000-2900-000043010000}"/>
    <hyperlink ref="I249" r:id="rId324" xr:uid="{00000000-0004-0000-2900-000044010000}"/>
    <hyperlink ref="I428" r:id="rId325" xr:uid="{00000000-0004-0000-2900-000045010000}"/>
    <hyperlink ref="I246" r:id="rId326" xr:uid="{00000000-0004-0000-2900-000046010000}"/>
    <hyperlink ref="I88" r:id="rId327" xr:uid="{00000000-0004-0000-2900-000047010000}"/>
    <hyperlink ref="I243" r:id="rId328" xr:uid="{00000000-0004-0000-2900-000048010000}"/>
    <hyperlink ref="I347" r:id="rId329" xr:uid="{00000000-0004-0000-2900-000049010000}"/>
    <hyperlink ref="I242" r:id="rId330" xr:uid="{00000000-0004-0000-2900-00004A010000}"/>
    <hyperlink ref="I345" r:id="rId331" xr:uid="{00000000-0004-0000-2900-00004B010000}"/>
    <hyperlink ref="I239" r:id="rId332" xr:uid="{00000000-0004-0000-2900-00004C010000}"/>
    <hyperlink ref="I81" r:id="rId333" xr:uid="{00000000-0004-0000-2900-00004D010000}"/>
    <hyperlink ref="I233" r:id="rId334" xr:uid="{00000000-0004-0000-2900-00004E010000}"/>
    <hyperlink ref="I79" r:id="rId335" xr:uid="{00000000-0004-0000-2900-00004F010000}"/>
    <hyperlink ref="I232" r:id="rId336" xr:uid="{00000000-0004-0000-2900-000050010000}"/>
    <hyperlink ref="I78" r:id="rId337" xr:uid="{00000000-0004-0000-2900-000051010000}"/>
    <hyperlink ref="I486" r:id="rId338" xr:uid="{00000000-0004-0000-2900-000052010000}"/>
    <hyperlink ref="I312" r:id="rId339" xr:uid="{00000000-0004-0000-2900-000053010000}"/>
    <hyperlink ref="I386" r:id="rId340" location=":~:text=Buying%20an%20armored%20car%20is,while%20others%20need%20special%20work" xr:uid="{00000000-0004-0000-2900-000054010000}"/>
    <hyperlink ref="I315" r:id="rId341" xr:uid="{00000000-0004-0000-2900-000055010000}"/>
    <hyperlink ref="I316" r:id="rId342" xr:uid="{00000000-0004-0000-2900-000056010000}"/>
    <hyperlink ref="I338" r:id="rId343" location=":~:text=Buying%20an%20armored%20car%20is,while%20others%20need%20special%20work" xr:uid="{00000000-0004-0000-2900-000057010000}"/>
    <hyperlink ref="I60" r:id="rId344" xr:uid="{00000000-0004-0000-2900-000059010000}"/>
    <hyperlink ref="I319" r:id="rId345" xr:uid="{00000000-0004-0000-2900-00005A010000}"/>
    <hyperlink ref="I479" r:id="rId346" xr:uid="{00000000-0004-0000-2900-00005B010000}"/>
    <hyperlink ref="I509" r:id="rId347" xr:uid="{00000000-0004-0000-2900-00005C010000}"/>
    <hyperlink ref="I320" r:id="rId348" xr:uid="{00000000-0004-0000-2900-00005D010000}"/>
    <hyperlink ref="I119" r:id="rId349" xr:uid="{00000000-0004-0000-2900-00005E010000}"/>
    <hyperlink ref="I321" r:id="rId350" xr:uid="{00000000-0004-0000-2900-00005F010000}"/>
    <hyperlink ref="I322" r:id="rId351" xr:uid="{00000000-0004-0000-2900-000060010000}"/>
    <hyperlink ref="I367" r:id="rId352" xr:uid="{00000000-0004-0000-2900-000061010000}"/>
    <hyperlink ref="I265" r:id="rId353" xr:uid="{00000000-0004-0000-2900-000062010000}"/>
    <hyperlink ref="I286" r:id="rId354" display="https://www.ebay.de/itm/261421940408" xr:uid="{00000000-0004-0000-2900-000063010000}"/>
    <hyperlink ref="I372" r:id="rId355" xr:uid="{00000000-0004-0000-2900-000064010000}"/>
    <hyperlink ref="I331" r:id="rId356" xr:uid="{00000000-0004-0000-2900-000065010000}"/>
    <hyperlink ref="I235" r:id="rId357" xr:uid="{00000000-0004-0000-2900-000066010000}"/>
    <hyperlink ref="I466" r:id="rId358" xr:uid="{00000000-0004-0000-2900-000067010000}"/>
    <hyperlink ref="I323" r:id="rId359" xr:uid="{00000000-0004-0000-2900-000068010000}"/>
    <hyperlink ref="I284" r:id="rId360" xr:uid="{00000000-0004-0000-2900-000069010000}"/>
    <hyperlink ref="I349" r:id="rId361" xr:uid="{00000000-0004-0000-2900-00006A010000}"/>
    <hyperlink ref="I369" r:id="rId362" xr:uid="{00000000-0004-0000-2900-00006B010000}"/>
    <hyperlink ref="I89" r:id="rId363" xr:uid="{00000000-0004-0000-2900-00006C010000}"/>
    <hyperlink ref="I229" r:id="rId364" xr:uid="{00000000-0004-0000-2900-00006D010000}"/>
    <hyperlink ref="I507" r:id="rId365" display="https://www.amazon.de/Bauschlauch-Feuerwehrschlauch-C-Storz-Schlauch-Industrieschlauch/dp/B07VS3J1FD/ref=asc_df_B07VS3J1FD/?tag=googshopde-21&amp;linkCode=df0&amp;hvadid=427668035407&amp;hvpos=&amp;hvnetw=g&amp;hvrand=1020688947190500949&amp;hvpone=&amp;hvptwo=&amp;hvqmt=&amp;hvdev=c&amp;hvdvcmdl=&amp;hvlocint=&amp;hvlocphy=1004113&amp;hvtargid=pla-1106289525352&amp;psc=1&amp;th=1&amp;psc=1&amp;tag=&amp;ref=&amp;adgrpid=99764524455&amp;hvpone=&amp;hvptwo=&amp;hvadid=427668035407&amp;hvpos=&amp;hvnetw=g&amp;hvrand=1020688947190500949&amp;hvqmt=&amp;hvdev=c&amp;hvdvcmdl=&amp;hvlocint=&amp;hvlocphy=1004113&amp;hvtargid=pla-1106289525352" xr:uid="{00000000-0004-0000-2900-00006E010000}"/>
    <hyperlink ref="I508" r:id="rId366" xr:uid="{00000000-0004-0000-2900-00006F010000}"/>
    <hyperlink ref="I506" r:id="rId367" xr:uid="{00000000-0004-0000-2900-000070010000}"/>
    <hyperlink ref="I524" r:id="rId368" display="https://www.amazon.de/Celox-Haemostatische-Mullwindel-Z-Falz-52/dp/B07RWLK5VK/ref=asc_df_B07RWLK5VK/?tag=googshopde-21&amp;linkCode=df0&amp;hvadid=427748981932&amp;hvpos=&amp;hvnetw=g&amp;hvrand=10208160552108135736&amp;hvpone=&amp;hvptwo=&amp;hvqmt=&amp;hvdev=c&amp;hvdvcmdl=&amp;hvlocint=&amp;hvlocphy=9043596&amp;hvtargid=pla-815670292745&amp;psc=1&amp;th=1&amp;psc=1&amp;tag=&amp;ref=&amp;adgrpid=106322596704&amp;hvpone=&amp;hvptwo=&amp;hvadid=427748981932&amp;hvpos=&amp;hvnetw=g&amp;hvrand=10208160552108135736&amp;hvqmt=&amp;hvdev=c&amp;hvdvcmdl=&amp;hvlocint=&amp;hvlocphy=9043596&amp;hvtargid=pla-815670292745" xr:uid="{00000000-0004-0000-2900-000071010000}"/>
    <hyperlink ref="I120" r:id="rId369" xr:uid="{00000000-0004-0000-2900-000072010000}"/>
    <hyperlink ref="I121" r:id="rId370" xr:uid="{00000000-0004-0000-2900-000073010000}"/>
    <hyperlink ref="I153" r:id="rId371" xr:uid="{00000000-0004-0000-2900-000074010000}"/>
    <hyperlink ref="I324" r:id="rId372" xr:uid="{00000000-0004-0000-2900-000075010000}"/>
    <hyperlink ref="I341" r:id="rId373" xr:uid="{00000000-0004-0000-2900-000076010000}"/>
    <hyperlink ref="I307" r:id="rId374" xr:uid="{00000000-0004-0000-2900-000077010000}"/>
    <hyperlink ref="I306" r:id="rId375" xr:uid="{00000000-0004-0000-2900-000078010000}"/>
    <hyperlink ref="I184" r:id="rId376" xr:uid="{00000000-0004-0000-2900-000079010000}"/>
    <hyperlink ref="I325" r:id="rId377" xr:uid="{00000000-0004-0000-2900-00007A010000}"/>
    <hyperlink ref="I190" r:id="rId378" location=":~:text=Bewaffnete%20Drohnen%20f%C3%BCr%20Bundeswehr%3A%20Heron,Munition%20%22Special%20Payload%22%20zu." xr:uid="{00000000-0004-0000-2900-00007B010000}"/>
    <hyperlink ref="I122" r:id="rId379" xr:uid="{00000000-0004-0000-2900-00007D010000}"/>
    <hyperlink ref="I314" r:id="rId380" xr:uid="{00000000-0004-0000-2900-00007E010000}"/>
    <hyperlink ref="I328" r:id="rId381" xr:uid="{00000000-0004-0000-2900-00007F010000}"/>
    <hyperlink ref="I526" r:id="rId382" xr:uid="{00000000-0004-0000-2900-000080010000}"/>
    <hyperlink ref="I152" r:id="rId383" xr:uid="{00000000-0004-0000-2900-000081010000}"/>
    <hyperlink ref="I161" r:id="rId384" xr:uid="{00000000-0004-0000-2900-000082010000}"/>
    <hyperlink ref="I62" r:id="rId385" xr:uid="{00000000-0004-0000-2900-000083010000}"/>
    <hyperlink ref="I294" r:id="rId386" xr:uid="{00000000-0004-0000-2900-000084010000}"/>
    <hyperlink ref="I295" r:id="rId387" xr:uid="{00000000-0004-0000-2900-000085010000}"/>
    <hyperlink ref="I155" r:id="rId388" xr:uid="{00000000-0004-0000-2900-000086010000}"/>
    <hyperlink ref="I326" r:id="rId389" xr:uid="{00000000-0004-0000-2900-000087010000}"/>
    <hyperlink ref="I327" r:id="rId390" xr:uid="{00000000-0004-0000-2900-000088010000}"/>
    <hyperlink ref="I61" r:id="rId391" xr:uid="{00000000-0004-0000-2900-000089010000}"/>
    <hyperlink ref="I527" r:id="rId392" xr:uid="{00000000-0004-0000-2900-00008A010000}"/>
    <hyperlink ref="I525" r:id="rId393" xr:uid="{00000000-0004-0000-2900-00008B010000}"/>
    <hyperlink ref="I519" r:id="rId394" xr:uid="{00000000-0004-0000-2900-00008C010000}"/>
    <hyperlink ref="I391" r:id="rId395" xr:uid="{00000000-0004-0000-2900-00008D010000}"/>
    <hyperlink ref="I472" r:id="rId396" xr:uid="{00000000-0004-0000-2900-00008E010000}"/>
    <hyperlink ref="I318" r:id="rId397" xr:uid="{00000000-0004-0000-2900-00008F010000}"/>
    <hyperlink ref="I384" r:id="rId398" xr:uid="{00000000-0004-0000-2900-000090010000}"/>
    <hyperlink ref="I529" r:id="rId399" xr:uid="{00000000-0004-0000-2900-000091010000}"/>
    <hyperlink ref="I538" r:id="rId400" xr:uid="{00000000-0004-0000-2900-000092010000}"/>
    <hyperlink ref="I539" r:id="rId401" xr:uid="{00000000-0004-0000-2900-000093010000}"/>
    <hyperlink ref="I540" r:id="rId402" xr:uid="{00000000-0004-0000-2900-000094010000}"/>
    <hyperlink ref="I541" r:id="rId403" xr:uid="{00000000-0004-0000-2900-000095010000}"/>
    <hyperlink ref="I544" r:id="rId404" xr:uid="{00000000-0004-0000-2900-000096010000}"/>
    <hyperlink ref="I47" r:id="rId405" xr:uid="{00000000-0004-0000-2900-000097010000}"/>
    <hyperlink ref="I545" r:id="rId406" xr:uid="{00000000-0004-0000-2900-000098010000}"/>
    <hyperlink ref="I546" r:id="rId407" xr:uid="{00000000-0004-0000-2900-000099010000}"/>
    <hyperlink ref="I547" r:id="rId408" xr:uid="{00000000-0004-0000-2900-00009A010000}"/>
    <hyperlink ref="I548" r:id="rId409" xr:uid="{00000000-0004-0000-2900-00009B010000}"/>
    <hyperlink ref="I562" r:id="rId410" xr:uid="{00000000-0004-0000-2900-00009C010000}"/>
    <hyperlink ref="I555" r:id="rId411" xr:uid="{00000000-0004-0000-2900-00009D010000}"/>
    <hyperlink ref="I558" r:id="rId412" xr:uid="{00000000-0004-0000-2900-00009E010000}"/>
    <hyperlink ref="I556" r:id="rId413" xr:uid="{00000000-0004-0000-2900-00009F010000}"/>
    <hyperlink ref="I553" r:id="rId414" xr:uid="{00000000-0004-0000-2900-0000A0010000}"/>
    <hyperlink ref="I560" r:id="rId415" xr:uid="{00000000-0004-0000-2900-0000A1010000}"/>
    <hyperlink ref="I565" r:id="rId416" xr:uid="{00000000-0004-0000-2900-0000A2010000}"/>
    <hyperlink ref="I566" r:id="rId417" xr:uid="{00000000-0004-0000-2900-0000A3010000}"/>
    <hyperlink ref="I568" r:id="rId418" xr:uid="{00000000-0004-0000-2900-0000A4010000}"/>
    <hyperlink ref="I572" r:id="rId419" xr:uid="{00000000-0004-0000-2900-0000A5010000}"/>
    <hyperlink ref="I573" r:id="rId420" location=":~:text=The%20Zuni%20was%20very%20inexpensive,1966%20by%20the%20U.S.%20Navy" xr:uid="{00000000-0004-0000-2900-0000A6010000}"/>
    <hyperlink ref="I570" r:id="rId421" xr:uid="{00000000-0004-0000-2900-0000A7010000}"/>
    <hyperlink ref="I569" r:id="rId422" xr:uid="{00000000-0004-0000-2900-0000A8010000}"/>
    <hyperlink ref="I390" r:id="rId423" xr:uid="{00000000-0004-0000-2900-0000A9010000}"/>
    <hyperlink ref="I488" r:id="rId424" xr:uid="{00000000-0004-0000-2900-0000AA010000}"/>
    <hyperlink ref="I490" r:id="rId425" xr:uid="{00000000-0004-0000-2900-0000AB010000}"/>
    <hyperlink ref="I491" r:id="rId426" xr:uid="{00000000-0004-0000-2900-0000AC010000}"/>
    <hyperlink ref="I411" r:id="rId427" xr:uid="{00000000-0004-0000-2900-0000AD010000}"/>
    <hyperlink ref="I493" r:id="rId428" xr:uid="{00000000-0004-0000-2900-0000AE010000}"/>
    <hyperlink ref="I395" r:id="rId429" xr:uid="{00000000-0004-0000-2900-0000AF010000}"/>
    <hyperlink ref="I397" r:id="rId430" xr:uid="{00000000-0004-0000-2900-0000B0010000}"/>
    <hyperlink ref="I403" r:id="rId431" xr:uid="{00000000-0004-0000-2900-0000B1010000}"/>
    <hyperlink ref="I571" r:id="rId432" xr:uid="{00000000-0004-0000-2900-0000B2010000}"/>
    <hyperlink ref="I521" r:id="rId433" xr:uid="{00000000-0004-0000-2900-0000B3010000}"/>
    <hyperlink ref="I534" r:id="rId434" xr:uid="{00000000-0004-0000-2900-0000B4010000}"/>
    <hyperlink ref="I533" r:id="rId435" xr:uid="{00000000-0004-0000-2900-0000B5010000}"/>
    <hyperlink ref="I574" r:id="rId436" xr:uid="{91555685-DE31-4A08-A569-E3A0B1427F80}"/>
    <hyperlink ref="I576" r:id="rId437" xr:uid="{E2FEC0B8-8D1E-47C8-AE93-0E1114C25911}"/>
    <hyperlink ref="I577" r:id="rId438" xr:uid="{C1CC164A-5D13-4886-86E6-77E13721FFBE}"/>
    <hyperlink ref="I578" r:id="rId439" xr:uid="{23A0A521-4C55-4236-8F7E-8B537E5C33F8}"/>
    <hyperlink ref="I579" r:id="rId440" xr:uid="{71FF633C-6B1F-4BF7-9818-4C35C547E16A}"/>
    <hyperlink ref="I580" r:id="rId441" xr:uid="{6BD342BF-24AF-4FAC-B29B-3FD0ED9A9F56}"/>
    <hyperlink ref="I581" r:id="rId442" xr:uid="{7F014A8C-1CB2-4338-85A3-76A0D123E116}"/>
    <hyperlink ref="I582" r:id="rId443" xr:uid="{F571A214-409A-4F79-8465-5166B53F54A8}"/>
    <hyperlink ref="I599" r:id="rId444" xr:uid="{2C107226-04F2-4B5D-B335-1312489A10F1}"/>
    <hyperlink ref="I584" r:id="rId445" xr:uid="{51EA96EA-D85B-4FCB-8CD3-1DFFC04C7F7A}"/>
    <hyperlink ref="I605" r:id="rId446" xr:uid="{4598AE18-7D6E-4F5D-B223-EC0B46BDA6AC}"/>
    <hyperlink ref="I600" r:id="rId447" xr:uid="{9931F841-F5D5-4A15-9218-70BD2EF3B3A6}"/>
    <hyperlink ref="I601" r:id="rId448" xr:uid="{CFC1356C-6E66-4A01-ACC4-9023C1FEAB2F}"/>
    <hyperlink ref="I602" r:id="rId449" xr:uid="{8A62CF9B-AC01-4B2E-9C3D-2B5F05BF9DAA}"/>
    <hyperlink ref="I590" r:id="rId450" xr:uid="{2C8284F6-3EC0-4B12-9C51-A09DC458F693}"/>
    <hyperlink ref="I587" r:id="rId451" xr:uid="{6FB2F65F-8121-4FEC-8180-0021E038407D}"/>
    <hyperlink ref="I603" r:id="rId452" xr:uid="{7FB9F389-DA9F-4AAB-8C24-99AEF4AC9F4D}"/>
    <hyperlink ref="I604" r:id="rId453" xr:uid="{63B89294-BB3C-4A54-9654-A5B817998EC4}"/>
    <hyperlink ref="I143" r:id="rId454" xr:uid="{F2DCE80A-832E-467F-84AC-242837A0A19B}"/>
    <hyperlink ref="I145" r:id="rId455" xr:uid="{A0FDCE3B-8AC7-4575-8696-8116147DBDD2}"/>
    <hyperlink ref="I404" r:id="rId456" xr:uid="{1FAC514F-2A5D-480B-AC31-FBB0297D1B91}"/>
    <hyperlink ref="I532" r:id="rId457" xr:uid="{F9734184-96C4-4809-9193-C1A8C9BDE0BC}"/>
    <hyperlink ref="I530" r:id="rId458" xr:uid="{54AF5922-0A17-4991-A26E-F1B48C70481D}"/>
    <hyperlink ref="I583" r:id="rId459" xr:uid="{F13C6790-479E-4831-99CC-03F04CDF8FF1}"/>
    <hyperlink ref="I588" r:id="rId460" xr:uid="{65A34D61-48F8-4BF3-ABBB-F6D006A4E633}"/>
    <hyperlink ref="I592" r:id="rId461" xr:uid="{D3012D73-0CAF-4E28-8B19-DF05668DA1A7}"/>
    <hyperlink ref="I593" r:id="rId462" xr:uid="{30A2F95E-BD13-4842-8BE0-C010AC5AF5B9}"/>
    <hyperlink ref="I591" r:id="rId463" xr:uid="{B535F407-C2D3-4A92-A5E9-BB067F2E3123}"/>
    <hyperlink ref="I596" r:id="rId464" xr:uid="{A9440B92-64C1-4CBE-9F19-74150263655B}"/>
    <hyperlink ref="I589" r:id="rId465" xr:uid="{09C86224-4AA9-4D02-B37E-5580B6980CC1}"/>
    <hyperlink ref="I608" r:id="rId466" xr:uid="{AB20DC00-C87A-43B1-A2D9-92FEC14E3F67}"/>
    <hyperlink ref="I609" r:id="rId467" xr:uid="{CAEE4D6D-A7F7-4A64-9EE4-B5877F54CEEC}"/>
    <hyperlink ref="I610" r:id="rId468" xr:uid="{6A21DA1B-52E1-49D9-9F0D-19B27B228D82}"/>
    <hyperlink ref="I611" r:id="rId469" xr:uid="{F39ADDC8-35B3-4A11-A0B3-077A46D9FA4D}"/>
    <hyperlink ref="I612" r:id="rId470" xr:uid="{8C4C2562-3081-4669-B10A-E0BA6A78CC49}"/>
    <hyperlink ref="I615" r:id="rId471" xr:uid="{3E6401A8-F5C5-4211-B6DF-6F19CB186926}"/>
    <hyperlink ref="I620" r:id="rId472" display="https://www.wiwo.de/politik/deutschland/140-millionen-euro-teures-luftabwehrsystem-ukraine-erwartet-im-oktober-erste-iris-t-lieferung/28393480.html. https://mil.in.ua/en/news/iris-t-slm-medium-range-air-defense-system-germany-released-an-updated-list-of-weapons-for-ukraine/ " xr:uid="{785803B6-F980-46D9-9BC5-BC1314AE56E3}"/>
    <hyperlink ref="I621" r:id="rId473" xr:uid="{D8E64793-9512-4F63-8658-B8BE26298445}"/>
    <hyperlink ref="I626" r:id="rId474" location=":~:text=By%20information%20Military%2C%20most%20likely,to%20be%20delivered%20in%20July. " xr:uid="{DB9598B2-427C-4857-A5A1-4FC9234A2D53}"/>
    <hyperlink ref="I627" r:id="rId475" xr:uid="{AC1EFC61-522B-455B-AE6A-A673F5D212FE}"/>
    <hyperlink ref="I628" r:id="rId476" xr:uid="{81162D23-5040-4EEA-BB4D-149DA50C23AA}"/>
    <hyperlink ref="I629" r:id="rId477" xr:uid="{3BFDC5D9-D027-4D8C-9E50-121A5C4023E3}"/>
    <hyperlink ref="I630" r:id="rId478" xr:uid="{1F5D164E-AA0D-48BE-BDA5-DB121D9291DF}"/>
    <hyperlink ref="I632" r:id="rId479" location=":~:text=The%20cost%20of%20a%20%27plain,technology%20demonstrator%20with%20hybrid%20powerplant." xr:uid="{F8F24DCA-2CF9-4FC1-89C5-C619F1E05A26}"/>
    <hyperlink ref="I633" r:id="rId480" xr:uid="{7CE0E14E-2FD6-43D3-BC4C-BCE2DFB703BE}"/>
    <hyperlink ref="I634" r:id="rId481" location=":~:text=Unit%20cost%3A%20%24329%20(Fiscal%20Year%202002).&amp;text=The%20M766%2060mm%20mortar%20cartridge,the%2060mm%20mortar%20training%20strategy." xr:uid="{B9F6C6BB-4199-4718-9527-665E32A875B7}"/>
    <hyperlink ref="I636" r:id="rId482" xr:uid="{38F03605-71DE-49F3-BAAC-2D7B875BD4E4}"/>
    <hyperlink ref="I637" r:id="rId483" xr:uid="{EAEEDFC2-CE2E-4347-86C7-42BA2E30A192}"/>
    <hyperlink ref="I638" r:id="rId484" xr:uid="{09DA2DFC-6FD2-4ACE-8EC1-1CA61DE4BEB3}"/>
    <hyperlink ref="I639" r:id="rId485" xr:uid="{540DDC84-0B80-4E2D-AC9F-DF70D2E63EF0}"/>
    <hyperlink ref="I640" r:id="rId486" xr:uid="{E4D559E2-C02F-4DE3-A9B8-5FEBC51DEAFB}"/>
    <hyperlink ref="I642" r:id="rId487" xr:uid="{6D77738E-64EF-4538-A219-C5E808D5D021}"/>
    <hyperlink ref="I643" r:id="rId488" xr:uid="{F8554CE7-9161-4F70-8F89-92AA2A2A47B5}"/>
    <hyperlink ref="I668" r:id="rId489" xr:uid="{FB4C34C5-1966-4C9C-996D-5CAD959E61CC}"/>
    <hyperlink ref="I669" r:id="rId490" xr:uid="{C0A87EB6-FEFD-4B94-9C5E-4444BE25AE8A}"/>
    <hyperlink ref="I671" r:id="rId491" xr:uid="{7FB5BC06-7ABD-445E-BC2F-B6E973792150}"/>
    <hyperlink ref="I670" r:id="rId492" xr:uid="{0EE9D210-6D78-4B5F-9995-D4EC92C5E697}"/>
    <hyperlink ref="I387" r:id="rId493" xr:uid="{E01EAA05-2DCC-45E2-B118-D8506349609E}"/>
    <hyperlink ref="I672" r:id="rId494" xr:uid="{44AA1650-1CC0-4306-BA98-E6DC15C366DF}"/>
    <hyperlink ref="I673" r:id="rId495" xr:uid="{E2681F1F-ED9A-4F0C-950A-1E2F21976944}"/>
    <hyperlink ref="I675" r:id="rId496" xr:uid="{71E76EE0-3181-4909-9C2D-FE92F4611841}"/>
    <hyperlink ref="I676" r:id="rId497" xr:uid="{0F23E28E-1ED1-4061-A86D-E1D95147BC29}"/>
    <hyperlink ref="I677" r:id="rId498" xr:uid="{7A163D5F-25A5-451B-A766-B99C42546461}"/>
    <hyperlink ref="I660" r:id="rId499" xr:uid="{05F5811C-851F-4EFB-B834-4EB5047EA504}"/>
    <hyperlink ref="I645" r:id="rId500" xr:uid="{77F80FFD-62A7-4FFA-962E-A96EA255F46B}"/>
    <hyperlink ref="I650" r:id="rId501" xr:uid="{4278BA05-77CE-41B5-9ACE-66527DD06756}"/>
    <hyperlink ref="I649" r:id="rId502" xr:uid="{D53937A8-2C81-48E3-AA1B-E2E9E9C1338C}"/>
    <hyperlink ref="I648" r:id="rId503" xr:uid="{FEDC8F66-33D2-428E-88B5-1E0E4BBD16BC}"/>
    <hyperlink ref="I651" r:id="rId504" xr:uid="{6A86F85C-94CC-4EB7-8E77-AEF5A6350FAC}"/>
    <hyperlink ref="I652" r:id="rId505" xr:uid="{F1B55EAA-EE29-4C60-A941-3A3AE13B03F2}"/>
    <hyperlink ref="I661" r:id="rId506" xr:uid="{2C09B6DC-84D2-47F3-9BC6-36540844472C}"/>
    <hyperlink ref="I656" r:id="rId507" location=":~:text=At%20present%20we%20can%20sell,control%20%E2%82%AC%20100k%20is%20added" xr:uid="{79BEE27B-AAA9-4492-A466-CFB357C3DB48}"/>
    <hyperlink ref="I657" r:id="rId508" location=":~:text=At%20present%20we%20can%20sell,control%20%E2%82%AC%20100k%20is%20added" xr:uid="{1EEAEB23-CE5A-4116-B5EC-565270B3A30D}"/>
    <hyperlink ref="I659" r:id="rId509" xr:uid="{0AB0CDAC-F07F-4A8B-8C4B-7CA496985E86}"/>
    <hyperlink ref="I654" r:id="rId510" xr:uid="{19EDEA8D-B401-452C-B164-D7B98291019E}"/>
    <hyperlink ref="I653" r:id="rId511" xr:uid="{97351FF7-6C26-487A-A34B-6B28B92471D4}"/>
    <hyperlink ref="I647" r:id="rId512" xr:uid="{C6041E21-558F-4711-885A-CA33F2B9102F}"/>
    <hyperlink ref="I655" r:id="rId513" xr:uid="{BB55C011-9E07-4681-A5C0-1BA0DCE4E2E9}"/>
    <hyperlink ref="I662" r:id="rId514" xr:uid="{771BCEDC-F863-471C-BBBB-5DF50D9095D2}"/>
    <hyperlink ref="I664" r:id="rId515" xr:uid="{77036DFD-3DDC-4F3F-A504-F9BC38C975ED}"/>
    <hyperlink ref="I665" r:id="rId516" xr:uid="{9A71E657-4069-49E1-80FD-252D9A24A643}"/>
    <hyperlink ref="I666" r:id="rId517" xr:uid="{E845497F-A8F9-434D-B01B-BF9324E0C378}"/>
    <hyperlink ref="I667" r:id="rId518" xr:uid="{2EABA642-4FEB-4808-BEB5-EB3FC5F92368}"/>
    <hyperlink ref="I646" r:id="rId519" xr:uid="{9DF54DCB-B793-4D09-BD7F-B7414EBC71D0}"/>
    <hyperlink ref="I663" r:id="rId520" xr:uid="{E322CAE7-4130-4824-ACDA-99B7045EC0CA}"/>
  </hyperlinks>
  <pageMargins left="0.7" right="0.7" top="0.78740157499999996" bottom="0.78740157499999996" header="0.3" footer="0.3"/>
  <pageSetup paperSize="9" orientation="portrait" r:id="rId52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5" tint="0.59999389629810485"/>
  </sheetPr>
  <dimension ref="B1:N33"/>
  <sheetViews>
    <sheetView showGridLines="0" zoomScaleNormal="100" workbookViewId="0"/>
  </sheetViews>
  <sheetFormatPr defaultColWidth="8.625" defaultRowHeight="15.95" customHeight="1"/>
  <cols>
    <col min="1" max="1" width="8.625" style="31" customWidth="1"/>
    <col min="2" max="2" width="25.5" style="31" customWidth="1"/>
    <col min="3" max="3" width="8.625" style="31" customWidth="1"/>
    <col min="4" max="16384" width="8.625" style="31"/>
  </cols>
  <sheetData>
    <row r="1" spans="2:14" s="35" customFormat="1" ht="15.95" customHeight="1">
      <c r="B1" s="39"/>
    </row>
    <row r="2" spans="2:14" s="39" customFormat="1" ht="24.75" customHeight="1">
      <c r="B2" s="369" t="s">
        <v>6113</v>
      </c>
    </row>
    <row r="3" spans="2:14" s="114" customFormat="1" ht="15.95" customHeight="1"/>
    <row r="4" spans="2:14" s="114" customFormat="1" ht="15.95" customHeight="1">
      <c r="B4" s="1437" t="s">
        <v>6114</v>
      </c>
      <c r="C4" s="1437"/>
      <c r="D4" s="1437"/>
      <c r="E4" s="1437"/>
      <c r="F4" s="1437"/>
      <c r="G4" s="1437"/>
      <c r="H4" s="1437"/>
      <c r="I4" s="1437"/>
      <c r="J4" s="1437"/>
      <c r="K4" s="1437"/>
      <c r="L4" s="1437"/>
      <c r="M4" s="1437"/>
      <c r="N4" s="1437"/>
    </row>
    <row r="5" spans="2:14" s="114" customFormat="1" ht="15.95" customHeight="1">
      <c r="B5" s="1437"/>
      <c r="C5" s="1437"/>
      <c r="D5" s="1437"/>
      <c r="E5" s="1437"/>
      <c r="F5" s="1437"/>
      <c r="G5" s="1437"/>
      <c r="H5" s="1437"/>
      <c r="I5" s="1437"/>
      <c r="J5" s="1437"/>
      <c r="K5" s="1437"/>
      <c r="L5" s="1437"/>
      <c r="M5" s="1437"/>
      <c r="N5" s="1437"/>
    </row>
    <row r="6" spans="2:14" s="114" customFormat="1" ht="15.95" customHeight="1">
      <c r="B6" s="1437"/>
      <c r="C6" s="1437"/>
      <c r="D6" s="1437"/>
      <c r="E6" s="1437"/>
      <c r="F6" s="1437"/>
      <c r="G6" s="1437"/>
      <c r="H6" s="1437"/>
      <c r="I6" s="1437"/>
      <c r="J6" s="1437"/>
      <c r="K6" s="1437"/>
      <c r="L6" s="1437"/>
      <c r="M6" s="1437"/>
      <c r="N6" s="1437"/>
    </row>
    <row r="7" spans="2:14" s="114" customFormat="1" ht="15.95" customHeight="1">
      <c r="B7" s="1437"/>
      <c r="C7" s="1437"/>
      <c r="D7" s="1437"/>
      <c r="E7" s="1437"/>
      <c r="F7" s="1437"/>
      <c r="G7" s="1437"/>
      <c r="H7" s="1437"/>
      <c r="I7" s="1437"/>
      <c r="J7" s="1437"/>
      <c r="K7" s="1437"/>
      <c r="L7" s="1437"/>
      <c r="M7" s="1437"/>
      <c r="N7" s="1437"/>
    </row>
    <row r="8" spans="2:14" s="114" customFormat="1" ht="15.95" customHeight="1">
      <c r="B8" s="1437"/>
      <c r="C8" s="1437"/>
      <c r="D8" s="1437"/>
      <c r="E8" s="1437"/>
      <c r="F8" s="1437"/>
      <c r="G8" s="1437"/>
      <c r="H8" s="1437"/>
      <c r="I8" s="1437"/>
      <c r="J8" s="1437"/>
      <c r="K8" s="1437"/>
      <c r="L8" s="1437"/>
      <c r="M8" s="1437"/>
      <c r="N8" s="1437"/>
    </row>
    <row r="9" spans="2:14" s="114" customFormat="1" ht="15.95" customHeight="1">
      <c r="B9" s="393"/>
      <c r="C9" s="393"/>
      <c r="D9" s="393"/>
      <c r="E9" s="393"/>
      <c r="F9" s="393"/>
      <c r="G9" s="393"/>
    </row>
    <row r="10" spans="2:14" ht="15.95" customHeight="1">
      <c r="B10" s="24"/>
    </row>
    <row r="11" spans="2:14" ht="24.75" customHeight="1">
      <c r="B11" s="367" t="s">
        <v>5045</v>
      </c>
      <c r="C11" s="351" t="s">
        <v>6115</v>
      </c>
      <c r="D11" s="31" t="s">
        <v>4626</v>
      </c>
    </row>
    <row r="12" spans="2:14" ht="15.95" customHeight="1">
      <c r="B12" s="19" t="s">
        <v>483</v>
      </c>
      <c r="C12" s="62">
        <v>1</v>
      </c>
      <c r="D12" s="32" t="s">
        <v>4626</v>
      </c>
      <c r="E12" s="32"/>
    </row>
    <row r="13" spans="2:14" ht="15.95" customHeight="1">
      <c r="B13" s="19" t="s">
        <v>456</v>
      </c>
      <c r="C13" s="134">
        <v>1.0868</v>
      </c>
      <c r="D13" s="32" t="s">
        <v>4626</v>
      </c>
      <c r="E13" s="32"/>
    </row>
    <row r="14" spans="2:14" ht="15.95" customHeight="1">
      <c r="B14" s="19" t="s">
        <v>716</v>
      </c>
      <c r="C14" s="134">
        <v>1.4686999999999999</v>
      </c>
      <c r="D14" s="32"/>
      <c r="E14" s="32"/>
    </row>
    <row r="15" spans="2:14" ht="15.95" customHeight="1">
      <c r="B15" s="19" t="s">
        <v>3750</v>
      </c>
      <c r="C15" s="134">
        <v>0.87039999999999995</v>
      </c>
      <c r="D15" s="32" t="s">
        <v>4626</v>
      </c>
      <c r="E15" s="32"/>
    </row>
    <row r="16" spans="2:14" ht="15.95" customHeight="1">
      <c r="B16" s="19" t="s">
        <v>3075</v>
      </c>
      <c r="C16" s="134">
        <v>4.5343999999999998</v>
      </c>
      <c r="D16" s="32" t="s">
        <v>4626</v>
      </c>
      <c r="E16" s="32"/>
    </row>
    <row r="17" spans="2:5" ht="15.95" customHeight="1">
      <c r="B17" s="19" t="s">
        <v>3224</v>
      </c>
      <c r="C17" s="134">
        <v>4.9477000000000002</v>
      </c>
      <c r="D17" s="32" t="s">
        <v>4626</v>
      </c>
      <c r="E17" s="32"/>
    </row>
    <row r="18" spans="2:5" ht="15.95" customHeight="1">
      <c r="B18" s="19" t="s">
        <v>3554</v>
      </c>
      <c r="C18" s="134">
        <v>11.3697</v>
      </c>
      <c r="D18" s="32" t="s">
        <v>4626</v>
      </c>
      <c r="E18" s="32"/>
    </row>
    <row r="19" spans="2:5" ht="15.95" customHeight="1">
      <c r="B19" s="19" t="s">
        <v>920</v>
      </c>
      <c r="C19" s="134">
        <v>7.54</v>
      </c>
      <c r="D19" s="32" t="s">
        <v>4626</v>
      </c>
      <c r="E19" s="32"/>
    </row>
    <row r="20" spans="2:5" ht="15.95" customHeight="1">
      <c r="B20" s="19" t="s">
        <v>1014</v>
      </c>
      <c r="C20" s="134">
        <v>23.594999999999999</v>
      </c>
      <c r="D20" s="32" t="s">
        <v>4626</v>
      </c>
      <c r="E20" s="32"/>
    </row>
    <row r="21" spans="2:5" ht="15.95" customHeight="1">
      <c r="B21" s="19" t="s">
        <v>1197</v>
      </c>
      <c r="C21" s="134">
        <v>7.4485000000000001</v>
      </c>
      <c r="D21" s="32" t="s">
        <v>4626</v>
      </c>
      <c r="E21" s="32"/>
    </row>
    <row r="22" spans="2:5" ht="15.95" customHeight="1">
      <c r="B22" s="30" t="s">
        <v>363</v>
      </c>
      <c r="C22" s="135">
        <v>1.6346000000000001</v>
      </c>
      <c r="D22" s="32"/>
      <c r="E22" s="32"/>
    </row>
    <row r="23" spans="2:5" ht="15.95" customHeight="1">
      <c r="B23" s="30" t="s">
        <v>2884</v>
      </c>
      <c r="C23" s="135">
        <v>11.733000000000001</v>
      </c>
      <c r="D23" s="32"/>
      <c r="E23" s="32"/>
    </row>
    <row r="24" spans="2:5" ht="15.95" customHeight="1">
      <c r="B24" s="30" t="s">
        <v>3651</v>
      </c>
      <c r="C24" s="135">
        <v>0.97509999999999997</v>
      </c>
      <c r="D24" s="32"/>
      <c r="E24" s="32"/>
    </row>
    <row r="25" spans="2:5" ht="15.95" customHeight="1">
      <c r="B25" s="30" t="s">
        <v>2834</v>
      </c>
      <c r="C25" s="135">
        <v>1.7481</v>
      </c>
      <c r="D25" s="32"/>
      <c r="E25" s="32"/>
    </row>
    <row r="26" spans="2:5" ht="15.95" customHeight="1">
      <c r="B26" s="19" t="s">
        <v>2047</v>
      </c>
      <c r="C26" s="136">
        <v>372.37</v>
      </c>
      <c r="D26" s="32"/>
      <c r="E26" s="32"/>
    </row>
    <row r="27" spans="2:5" ht="15.95" customHeight="1">
      <c r="B27" s="19" t="s">
        <v>689</v>
      </c>
      <c r="C27" s="136">
        <v>1.9558</v>
      </c>
      <c r="D27" s="32"/>
      <c r="E27" s="32"/>
    </row>
    <row r="28" spans="2:5" ht="15.95" customHeight="1">
      <c r="B28" s="30" t="s">
        <v>907</v>
      </c>
      <c r="C28" s="135">
        <v>7.5948000000000002</v>
      </c>
      <c r="D28" s="32"/>
      <c r="E28" s="32"/>
    </row>
    <row r="29" spans="2:5" ht="15.95" customHeight="1">
      <c r="B29" s="30" t="s">
        <v>2141</v>
      </c>
      <c r="C29" s="136">
        <v>150.47</v>
      </c>
      <c r="D29" s="32"/>
      <c r="E29" s="32"/>
    </row>
    <row r="30" spans="2:5" ht="15.95" customHeight="1">
      <c r="B30" s="33" t="s">
        <v>6116</v>
      </c>
      <c r="C30" s="137">
        <v>33.423999999999999</v>
      </c>
      <c r="D30" s="32"/>
      <c r="E30" s="32"/>
    </row>
    <row r="31" spans="2:5" ht="15.95" customHeight="1">
      <c r="C31" s="438"/>
      <c r="D31" s="32"/>
      <c r="E31" s="32"/>
    </row>
    <row r="33" spans="2:2" ht="15.95" customHeight="1">
      <c r="B33" s="419"/>
    </row>
  </sheetData>
  <mergeCells count="1">
    <mergeCell ref="B4:N8"/>
  </mergeCells>
  <hyperlinks>
    <hyperlink ref="C13" r:id="rId1" display="1.0624" xr:uid="{00000000-0004-0000-2A00-000000000000}"/>
    <hyperlink ref="C14" r:id="rId2" display="1.36" xr:uid="{00000000-0004-0000-2A00-000001000000}"/>
    <hyperlink ref="C15" r:id="rId3" display="0.83523" xr:uid="{00000000-0004-0000-2A00-000002000000}"/>
    <hyperlink ref="C16" r:id="rId4" display="4.63" xr:uid="{00000000-0004-0000-2A00-000003000000}"/>
    <hyperlink ref="C17" r:id="rId5" display="4.945" xr:uid="{00000000-0004-0000-2A00-000004000000}"/>
    <hyperlink ref="C19" r:id="rId6" display="7.54" xr:uid="{00000000-0004-0000-2A00-000005000000}"/>
    <hyperlink ref="C21" r:id="rId7" display="7.4403" xr:uid="{00000000-0004-0000-2A00-000006000000}"/>
    <hyperlink ref="C22" r:id="rId8" display="1.4913" xr:uid="{00000000-0004-0000-2A00-000007000000}"/>
    <hyperlink ref="C23" r:id="rId9" display="9.9248" xr:uid="{00000000-0004-0000-2A00-000008000000}"/>
    <hyperlink ref="C25" r:id="rId10" display="1.6366" xr:uid="{00000000-0004-0000-2A00-000009000000}"/>
    <hyperlink ref="C26" r:id="rId11" display="389.33" xr:uid="{00000000-0004-0000-2A00-00000A000000}"/>
    <hyperlink ref="C28" r:id="rId12" display="7.1216" xr:uid="{00000000-0004-0000-2A00-00000B000000}"/>
    <hyperlink ref="C30" r:id="rId13" display="33.424" xr:uid="{00000000-0004-0000-2A00-00000C000000}"/>
    <hyperlink ref="C18" r:id="rId14" display="10.2553" xr:uid="{00000000-0004-0000-2A00-00000D000000}"/>
    <hyperlink ref="C24" r:id="rId15" display="1.0253" xr:uid="{00000000-0004-0000-2A00-00000E000000}"/>
    <hyperlink ref="C20" r:id="rId16" display="https://www.ecb.europa.eu/stats/policy_and_exchange_rates/euro_reference_exchange_rates/html/eurofxref-graph-czk.en.html" xr:uid="{00000000-0004-0000-2A00-000010000000}"/>
    <hyperlink ref="C29" r:id="rId17" display="150,47" xr:uid="{F7A59251-9927-4A35-8D94-C68ACD158CF1}"/>
    <hyperlink ref="C27" r:id="rId18" display="https://www.ecb.europa.eu/stats/policy_and_exchange_rates/euro_reference_exchange_rates/html/eurofxref-graph-bgn.en.html" xr:uid="{00000000-0004-0000-2A00-00000F000000}"/>
  </hyperlinks>
  <pageMargins left="0.7" right="0.7" top="0.78740157499999996" bottom="0.78740157499999996"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8FDE7-28B1-474D-A239-7B48872DBAA2}">
  <sheetPr>
    <tabColor theme="5" tint="0.59999389629810485"/>
  </sheetPr>
  <dimension ref="B2:K1138"/>
  <sheetViews>
    <sheetView showGridLines="0" zoomScaleNormal="100" workbookViewId="0"/>
  </sheetViews>
  <sheetFormatPr defaultColWidth="8" defaultRowHeight="15.6"/>
  <cols>
    <col min="1" max="1" width="8" style="865"/>
    <col min="2" max="2" width="11.875" style="865" customWidth="1"/>
    <col min="3" max="3" width="4.75" style="865" bestFit="1" customWidth="1"/>
    <col min="4" max="4" width="11.75" style="868" bestFit="1" customWidth="1"/>
    <col min="5" max="5" width="11.625" style="815" customWidth="1"/>
    <col min="6" max="6" width="7.25" style="865" customWidth="1"/>
    <col min="7" max="7" width="14.375" style="865" customWidth="1"/>
    <col min="8" max="8" width="5.625" style="865" customWidth="1"/>
    <col min="9" max="9" width="24.875" style="865" bestFit="1" customWidth="1"/>
    <col min="10" max="10" width="27.5" style="865" bestFit="1" customWidth="1"/>
    <col min="11" max="16384" width="8" style="865"/>
  </cols>
  <sheetData>
    <row r="2" spans="2:11" ht="20.45">
      <c r="B2" s="813" t="s">
        <v>6117</v>
      </c>
      <c r="C2" s="814"/>
      <c r="D2" s="870"/>
      <c r="E2" s="871"/>
      <c r="F2" s="864"/>
      <c r="G2" s="864"/>
      <c r="H2" s="864"/>
    </row>
    <row r="3" spans="2:11">
      <c r="B3" s="864"/>
      <c r="C3" s="864"/>
      <c r="D3" s="870"/>
      <c r="E3" s="871"/>
      <c r="F3" s="864"/>
      <c r="G3" s="864"/>
      <c r="H3" s="864"/>
    </row>
    <row r="4" spans="2:11" ht="15" customHeight="1">
      <c r="B4" s="1491" t="s">
        <v>6118</v>
      </c>
      <c r="C4" s="1491"/>
      <c r="D4" s="1491"/>
      <c r="E4" s="1491"/>
      <c r="F4" s="1491"/>
      <c r="G4" s="1491"/>
      <c r="H4" s="1491"/>
    </row>
    <row r="5" spans="2:11">
      <c r="B5" s="1491"/>
      <c r="C5" s="1491"/>
      <c r="D5" s="1491"/>
      <c r="E5" s="1491"/>
      <c r="F5" s="1491"/>
      <c r="G5" s="1491"/>
      <c r="H5" s="1491"/>
    </row>
    <row r="6" spans="2:11">
      <c r="B6" s="1491"/>
      <c r="C6" s="1491"/>
      <c r="D6" s="1491"/>
      <c r="E6" s="1491"/>
      <c r="F6" s="1491"/>
      <c r="G6" s="1491"/>
      <c r="H6" s="1491"/>
    </row>
    <row r="7" spans="2:11">
      <c r="B7" s="1491"/>
      <c r="C7" s="1491"/>
      <c r="D7" s="1491"/>
      <c r="E7" s="1491"/>
      <c r="F7" s="1491"/>
      <c r="G7" s="1491"/>
      <c r="H7" s="1491"/>
    </row>
    <row r="8" spans="2:11">
      <c r="B8" s="1491"/>
      <c r="C8" s="1491"/>
      <c r="D8" s="1491"/>
      <c r="E8" s="1491"/>
      <c r="F8" s="1491"/>
      <c r="G8" s="1491"/>
      <c r="H8" s="1491"/>
    </row>
    <row r="9" spans="2:11">
      <c r="B9" s="1491"/>
      <c r="C9" s="1491"/>
      <c r="D9" s="1491"/>
      <c r="E9" s="1491"/>
      <c r="F9" s="1491"/>
      <c r="G9" s="1491"/>
      <c r="H9" s="1491"/>
      <c r="J9" s="872">
        <v>45077</v>
      </c>
    </row>
    <row r="10" spans="2:11">
      <c r="B10" s="864"/>
      <c r="C10" s="864"/>
      <c r="D10" s="870"/>
      <c r="E10" s="871"/>
      <c r="F10" s="864"/>
      <c r="G10" s="864"/>
      <c r="H10" s="864"/>
      <c r="J10" s="872">
        <f>WEEKNUM(J9)+53</f>
        <v>75</v>
      </c>
    </row>
    <row r="11" spans="2:11" ht="24.75" customHeight="1">
      <c r="B11" s="873" t="s">
        <v>4512</v>
      </c>
      <c r="C11" s="874" t="s">
        <v>6119</v>
      </c>
      <c r="D11" s="875" t="s">
        <v>6120</v>
      </c>
      <c r="E11" s="876" t="s">
        <v>6121</v>
      </c>
      <c r="F11" s="877" t="s">
        <v>4599</v>
      </c>
      <c r="G11" s="877" t="s">
        <v>6122</v>
      </c>
      <c r="H11" s="877" t="s">
        <v>6123</v>
      </c>
      <c r="I11" s="877" t="s">
        <v>6124</v>
      </c>
      <c r="J11" s="877" t="s">
        <v>6125</v>
      </c>
      <c r="K11" s="878"/>
    </row>
    <row r="12" spans="2:11">
      <c r="B12" s="817" t="s">
        <v>454</v>
      </c>
      <c r="C12" s="817" t="s">
        <v>6126</v>
      </c>
      <c r="D12" s="863">
        <v>44713</v>
      </c>
      <c r="E12" s="817">
        <v>68747</v>
      </c>
      <c r="F12" s="864">
        <f t="shared" ref="F12:F75" si="0">MONTH(D12)</f>
        <v>6</v>
      </c>
      <c r="G12" s="864">
        <f t="shared" ref="G12:G75" si="1">WEEKNUM(D12)</f>
        <v>23</v>
      </c>
      <c r="H12" s="864">
        <f t="shared" ref="H12:H75" si="2">YEAR(D12)</f>
        <v>2022</v>
      </c>
      <c r="I12" s="879">
        <f t="shared" ref="I12:I75" si="3">(H12-2022)*53+G12</f>
        <v>23</v>
      </c>
      <c r="J12" s="867" cm="1">
        <f t="array" ref="J12">INDEX($E:$E,MATCH($J$10,IF($B:$B=$B12,$I:$I),1))</f>
        <v>97047</v>
      </c>
    </row>
    <row r="13" spans="2:11">
      <c r="B13" s="817" t="s">
        <v>454</v>
      </c>
      <c r="C13" s="817" t="s">
        <v>6126</v>
      </c>
      <c r="D13" s="866">
        <v>44719</v>
      </c>
      <c r="E13" s="817">
        <v>70153</v>
      </c>
      <c r="F13" s="864">
        <f t="shared" si="0"/>
        <v>6</v>
      </c>
      <c r="G13" s="864">
        <f t="shared" si="1"/>
        <v>24</v>
      </c>
      <c r="H13" s="864">
        <f t="shared" si="2"/>
        <v>2022</v>
      </c>
      <c r="I13" s="879">
        <f t="shared" si="3"/>
        <v>24</v>
      </c>
      <c r="J13" s="867" cm="1">
        <f t="array" ref="J13">INDEX($E:$E,MATCH($J$10,IF($B:$B=$B13,$I:$I),1))</f>
        <v>97047</v>
      </c>
    </row>
    <row r="14" spans="2:11">
      <c r="B14" s="817" t="s">
        <v>454</v>
      </c>
      <c r="C14" s="817" t="s">
        <v>6126</v>
      </c>
      <c r="D14" s="863">
        <v>44726</v>
      </c>
      <c r="E14" s="817">
        <v>71422</v>
      </c>
      <c r="F14" s="864">
        <f t="shared" si="0"/>
        <v>6</v>
      </c>
      <c r="G14" s="864">
        <f t="shared" si="1"/>
        <v>25</v>
      </c>
      <c r="H14" s="864">
        <f t="shared" si="2"/>
        <v>2022</v>
      </c>
      <c r="I14" s="879">
        <f t="shared" si="3"/>
        <v>25</v>
      </c>
      <c r="J14" s="867" cm="1">
        <f t="array" ref="J14">INDEX($E:$E,MATCH($J$10,IF($B:$B=$B14,$I:$I),1))</f>
        <v>97047</v>
      </c>
    </row>
    <row r="15" spans="2:11">
      <c r="B15" s="817" t="s">
        <v>454</v>
      </c>
      <c r="C15" s="817" t="s">
        <v>6126</v>
      </c>
      <c r="D15" s="866">
        <v>44732</v>
      </c>
      <c r="E15" s="817">
        <v>72715</v>
      </c>
      <c r="F15" s="864">
        <f t="shared" si="0"/>
        <v>6</v>
      </c>
      <c r="G15" s="864">
        <f t="shared" si="1"/>
        <v>26</v>
      </c>
      <c r="H15" s="864">
        <f t="shared" si="2"/>
        <v>2022</v>
      </c>
      <c r="I15" s="879">
        <f t="shared" si="3"/>
        <v>26</v>
      </c>
      <c r="J15" s="867" cm="1">
        <f t="array" ref="J15">INDEX($E:$E,MATCH($J$10,IF($B:$B=$B15,$I:$I),1))</f>
        <v>97047</v>
      </c>
    </row>
    <row r="16" spans="2:11">
      <c r="B16" s="817" t="s">
        <v>454</v>
      </c>
      <c r="C16" s="817" t="s">
        <v>6126</v>
      </c>
      <c r="D16" s="863">
        <v>44739</v>
      </c>
      <c r="E16" s="817">
        <v>73768</v>
      </c>
      <c r="F16" s="864">
        <f t="shared" si="0"/>
        <v>6</v>
      </c>
      <c r="G16" s="864">
        <f t="shared" si="1"/>
        <v>27</v>
      </c>
      <c r="H16" s="864">
        <f t="shared" si="2"/>
        <v>2022</v>
      </c>
      <c r="I16" s="879">
        <f t="shared" si="3"/>
        <v>27</v>
      </c>
      <c r="J16" s="867" cm="1">
        <f t="array" ref="J16">INDEX($E:$E,MATCH($J$10,IF($B:$B=$B16,$I:$I),1))</f>
        <v>97047</v>
      </c>
    </row>
    <row r="17" spans="2:10">
      <c r="B17" s="817" t="s">
        <v>454</v>
      </c>
      <c r="C17" s="817" t="s">
        <v>6126</v>
      </c>
      <c r="D17" s="866">
        <v>44747</v>
      </c>
      <c r="E17" s="817">
        <v>74492</v>
      </c>
      <c r="F17" s="864">
        <f t="shared" si="0"/>
        <v>7</v>
      </c>
      <c r="G17" s="864">
        <f t="shared" si="1"/>
        <v>28</v>
      </c>
      <c r="H17" s="864">
        <f t="shared" si="2"/>
        <v>2022</v>
      </c>
      <c r="I17" s="879">
        <f t="shared" si="3"/>
        <v>28</v>
      </c>
      <c r="J17" s="867" cm="1">
        <f t="array" ref="J17">INDEX($E:$E,MATCH($J$10,IF($B:$B=$B17,$I:$I),1))</f>
        <v>97047</v>
      </c>
    </row>
    <row r="18" spans="2:10">
      <c r="B18" s="817" t="s">
        <v>454</v>
      </c>
      <c r="C18" s="817" t="s">
        <v>6126</v>
      </c>
      <c r="D18" s="863">
        <v>44761</v>
      </c>
      <c r="E18" s="817">
        <v>76210</v>
      </c>
      <c r="F18" s="864">
        <f t="shared" si="0"/>
        <v>7</v>
      </c>
      <c r="G18" s="864">
        <f t="shared" si="1"/>
        <v>30</v>
      </c>
      <c r="H18" s="864">
        <f t="shared" si="2"/>
        <v>2022</v>
      </c>
      <c r="I18" s="879">
        <f t="shared" si="3"/>
        <v>30</v>
      </c>
      <c r="J18" s="867" cm="1">
        <f t="array" ref="J18">INDEX($E:$E,MATCH($J$10,IF($B:$B=$B18,$I:$I),1))</f>
        <v>97047</v>
      </c>
    </row>
    <row r="19" spans="2:10">
      <c r="B19" s="817" t="s">
        <v>454</v>
      </c>
      <c r="C19" s="817" t="s">
        <v>6126</v>
      </c>
      <c r="D19" s="866">
        <v>44768</v>
      </c>
      <c r="E19" s="817">
        <v>75904</v>
      </c>
      <c r="F19" s="864">
        <f t="shared" si="0"/>
        <v>7</v>
      </c>
      <c r="G19" s="864">
        <f t="shared" si="1"/>
        <v>31</v>
      </c>
      <c r="H19" s="864">
        <f t="shared" si="2"/>
        <v>2022</v>
      </c>
      <c r="I19" s="879">
        <f t="shared" si="3"/>
        <v>31</v>
      </c>
      <c r="J19" s="867" cm="1">
        <f t="array" ref="J19">INDEX($E:$E,MATCH($J$10,IF($B:$B=$B19,$I:$I),1))</f>
        <v>97047</v>
      </c>
    </row>
    <row r="20" spans="2:10">
      <c r="B20" s="817" t="s">
        <v>454</v>
      </c>
      <c r="C20" s="817" t="s">
        <v>6126</v>
      </c>
      <c r="D20" s="863">
        <v>44775</v>
      </c>
      <c r="E20" s="817">
        <v>76672</v>
      </c>
      <c r="F20" s="864">
        <f t="shared" si="0"/>
        <v>8</v>
      </c>
      <c r="G20" s="864">
        <f t="shared" si="1"/>
        <v>32</v>
      </c>
      <c r="H20" s="864">
        <f t="shared" si="2"/>
        <v>2022</v>
      </c>
      <c r="I20" s="879">
        <f t="shared" si="3"/>
        <v>32</v>
      </c>
      <c r="J20" s="867" cm="1">
        <f t="array" ref="J20">INDEX($E:$E,MATCH($J$10,IF($B:$B=$B20,$I:$I),1))</f>
        <v>97047</v>
      </c>
    </row>
    <row r="21" spans="2:10">
      <c r="B21" s="817" t="s">
        <v>454</v>
      </c>
      <c r="C21" s="817" t="s">
        <v>6126</v>
      </c>
      <c r="D21" s="866">
        <v>44782</v>
      </c>
      <c r="E21" s="817">
        <v>77301</v>
      </c>
      <c r="F21" s="864">
        <f t="shared" si="0"/>
        <v>8</v>
      </c>
      <c r="G21" s="864">
        <f t="shared" si="1"/>
        <v>33</v>
      </c>
      <c r="H21" s="864">
        <f t="shared" si="2"/>
        <v>2022</v>
      </c>
      <c r="I21" s="879">
        <f t="shared" si="3"/>
        <v>33</v>
      </c>
      <c r="J21" s="867" cm="1">
        <f t="array" ref="J21">INDEX($E:$E,MATCH($J$10,IF($B:$B=$B21,$I:$I),1))</f>
        <v>97047</v>
      </c>
    </row>
    <row r="22" spans="2:10">
      <c r="B22" s="817" t="s">
        <v>454</v>
      </c>
      <c r="C22" s="817" t="s">
        <v>6126</v>
      </c>
      <c r="D22" s="863">
        <v>44789</v>
      </c>
      <c r="E22" s="817">
        <v>78158</v>
      </c>
      <c r="F22" s="864">
        <f t="shared" si="0"/>
        <v>8</v>
      </c>
      <c r="G22" s="864">
        <f t="shared" si="1"/>
        <v>34</v>
      </c>
      <c r="H22" s="864">
        <f t="shared" si="2"/>
        <v>2022</v>
      </c>
      <c r="I22" s="879">
        <f t="shared" si="3"/>
        <v>34</v>
      </c>
      <c r="J22" s="867" cm="1">
        <f t="array" ref="J22">INDEX($E:$E,MATCH($J$10,IF($B:$B=$B22,$I:$I),1))</f>
        <v>97047</v>
      </c>
    </row>
    <row r="23" spans="2:10">
      <c r="B23" s="817" t="s">
        <v>454</v>
      </c>
      <c r="C23" s="817" t="s">
        <v>6126</v>
      </c>
      <c r="D23" s="866">
        <v>44796</v>
      </c>
      <c r="E23" s="817">
        <v>78958</v>
      </c>
      <c r="F23" s="864">
        <f t="shared" si="0"/>
        <v>8</v>
      </c>
      <c r="G23" s="864">
        <f t="shared" si="1"/>
        <v>35</v>
      </c>
      <c r="H23" s="864">
        <f t="shared" si="2"/>
        <v>2022</v>
      </c>
      <c r="I23" s="879">
        <f t="shared" si="3"/>
        <v>35</v>
      </c>
      <c r="J23" s="867" cm="1">
        <f t="array" ref="J23">INDEX($E:$E,MATCH($J$10,IF($B:$B=$B23,$I:$I),1))</f>
        <v>97047</v>
      </c>
    </row>
    <row r="24" spans="2:10">
      <c r="B24" s="817" t="s">
        <v>454</v>
      </c>
      <c r="C24" s="817" t="s">
        <v>6126</v>
      </c>
      <c r="D24" s="863">
        <v>44803</v>
      </c>
      <c r="E24" s="817">
        <v>79728</v>
      </c>
      <c r="F24" s="864">
        <f t="shared" si="0"/>
        <v>8</v>
      </c>
      <c r="G24" s="864">
        <f t="shared" si="1"/>
        <v>36</v>
      </c>
      <c r="H24" s="864">
        <f t="shared" si="2"/>
        <v>2022</v>
      </c>
      <c r="I24" s="879">
        <f t="shared" si="3"/>
        <v>36</v>
      </c>
      <c r="J24" s="867" cm="1">
        <f t="array" ref="J24">INDEX($E:$E,MATCH($J$10,IF($B:$B=$B24,$I:$I),1))</f>
        <v>97047</v>
      </c>
    </row>
    <row r="25" spans="2:10">
      <c r="B25" s="817" t="s">
        <v>454</v>
      </c>
      <c r="C25" s="817" t="s">
        <v>6126</v>
      </c>
      <c r="D25" s="866">
        <v>44810</v>
      </c>
      <c r="E25" s="817">
        <v>80534</v>
      </c>
      <c r="F25" s="864">
        <f t="shared" si="0"/>
        <v>9</v>
      </c>
      <c r="G25" s="864">
        <f t="shared" si="1"/>
        <v>37</v>
      </c>
      <c r="H25" s="864">
        <f t="shared" si="2"/>
        <v>2022</v>
      </c>
      <c r="I25" s="879">
        <f t="shared" si="3"/>
        <v>37</v>
      </c>
      <c r="J25" s="867" cm="1">
        <f t="array" ref="J25">INDEX($E:$E,MATCH($J$10,IF($B:$B=$B25,$I:$I),1))</f>
        <v>97047</v>
      </c>
    </row>
    <row r="26" spans="2:10">
      <c r="B26" s="817" t="s">
        <v>454</v>
      </c>
      <c r="C26" s="817" t="s">
        <v>6126</v>
      </c>
      <c r="D26" s="863">
        <v>44817</v>
      </c>
      <c r="E26" s="817">
        <v>81261</v>
      </c>
      <c r="F26" s="864">
        <f t="shared" si="0"/>
        <v>9</v>
      </c>
      <c r="G26" s="864">
        <f t="shared" si="1"/>
        <v>38</v>
      </c>
      <c r="H26" s="864">
        <f t="shared" si="2"/>
        <v>2022</v>
      </c>
      <c r="I26" s="879">
        <f t="shared" si="3"/>
        <v>38</v>
      </c>
      <c r="J26" s="867" cm="1">
        <f t="array" ref="J26">INDEX($E:$E,MATCH($J$10,IF($B:$B=$B26,$I:$I),1))</f>
        <v>97047</v>
      </c>
    </row>
    <row r="27" spans="2:10">
      <c r="B27" s="817" t="s">
        <v>454</v>
      </c>
      <c r="C27" s="817" t="s">
        <v>6126</v>
      </c>
      <c r="D27" s="866">
        <v>44824</v>
      </c>
      <c r="E27" s="817">
        <v>81850</v>
      </c>
      <c r="F27" s="864">
        <f t="shared" si="0"/>
        <v>9</v>
      </c>
      <c r="G27" s="864">
        <f t="shared" si="1"/>
        <v>39</v>
      </c>
      <c r="H27" s="864">
        <f t="shared" si="2"/>
        <v>2022</v>
      </c>
      <c r="I27" s="879">
        <f t="shared" si="3"/>
        <v>39</v>
      </c>
      <c r="J27" s="867" cm="1">
        <f t="array" ref="J27">INDEX($E:$E,MATCH($J$10,IF($B:$B=$B27,$I:$I),1))</f>
        <v>97047</v>
      </c>
    </row>
    <row r="28" spans="2:10">
      <c r="B28" s="817" t="s">
        <v>454</v>
      </c>
      <c r="C28" s="817" t="s">
        <v>6126</v>
      </c>
      <c r="D28" s="863">
        <v>44831</v>
      </c>
      <c r="E28" s="817">
        <v>82446</v>
      </c>
      <c r="F28" s="864">
        <f t="shared" si="0"/>
        <v>9</v>
      </c>
      <c r="G28" s="864">
        <f t="shared" si="1"/>
        <v>40</v>
      </c>
      <c r="H28" s="864">
        <f t="shared" si="2"/>
        <v>2022</v>
      </c>
      <c r="I28" s="879">
        <f t="shared" si="3"/>
        <v>40</v>
      </c>
      <c r="J28" s="867" cm="1">
        <f t="array" ref="J28">INDEX($E:$E,MATCH($J$10,IF($B:$B=$B28,$I:$I),1))</f>
        <v>97047</v>
      </c>
    </row>
    <row r="29" spans="2:10">
      <c r="B29" s="817" t="s">
        <v>454</v>
      </c>
      <c r="C29" s="817" t="s">
        <v>6126</v>
      </c>
      <c r="D29" s="866">
        <v>44838</v>
      </c>
      <c r="E29" s="817">
        <v>83081</v>
      </c>
      <c r="F29" s="864">
        <f t="shared" si="0"/>
        <v>10</v>
      </c>
      <c r="G29" s="864">
        <f t="shared" si="1"/>
        <v>41</v>
      </c>
      <c r="H29" s="864">
        <f t="shared" si="2"/>
        <v>2022</v>
      </c>
      <c r="I29" s="879">
        <f t="shared" si="3"/>
        <v>41</v>
      </c>
      <c r="J29" s="867" cm="1">
        <f t="array" ref="J29">INDEX($E:$E,MATCH($J$10,IF($B:$B=$B29,$I:$I),1))</f>
        <v>97047</v>
      </c>
    </row>
    <row r="30" spans="2:10">
      <c r="B30" s="817" t="s">
        <v>454</v>
      </c>
      <c r="C30" s="817" t="s">
        <v>6126</v>
      </c>
      <c r="D30" s="863">
        <v>44844</v>
      </c>
      <c r="E30" s="817">
        <v>83684</v>
      </c>
      <c r="F30" s="864">
        <f t="shared" si="0"/>
        <v>10</v>
      </c>
      <c r="G30" s="864">
        <f t="shared" si="1"/>
        <v>42</v>
      </c>
      <c r="H30" s="864">
        <f t="shared" si="2"/>
        <v>2022</v>
      </c>
      <c r="I30" s="879">
        <f t="shared" si="3"/>
        <v>42</v>
      </c>
      <c r="J30" s="867" cm="1">
        <f t="array" ref="J30">INDEX($E:$E,MATCH($J$10,IF($B:$B=$B30,$I:$I),1))</f>
        <v>97047</v>
      </c>
    </row>
    <row r="31" spans="2:10">
      <c r="B31" s="817" t="s">
        <v>454</v>
      </c>
      <c r="C31" s="817" t="s">
        <v>6126</v>
      </c>
      <c r="D31" s="866">
        <v>44852</v>
      </c>
      <c r="E31" s="817">
        <v>84076</v>
      </c>
      <c r="F31" s="864">
        <f t="shared" si="0"/>
        <v>10</v>
      </c>
      <c r="G31" s="864">
        <f t="shared" si="1"/>
        <v>43</v>
      </c>
      <c r="H31" s="864">
        <f t="shared" si="2"/>
        <v>2022</v>
      </c>
      <c r="I31" s="879">
        <f t="shared" si="3"/>
        <v>43</v>
      </c>
      <c r="J31" s="867" cm="1">
        <f t="array" ref="J31">INDEX($E:$E,MATCH($J$10,IF($B:$B=$B31,$I:$I),1))</f>
        <v>97047</v>
      </c>
    </row>
    <row r="32" spans="2:10">
      <c r="B32" s="817" t="s">
        <v>454</v>
      </c>
      <c r="C32" s="817" t="s">
        <v>6126</v>
      </c>
      <c r="D32" s="863">
        <v>44859</v>
      </c>
      <c r="E32" s="817">
        <v>84756</v>
      </c>
      <c r="F32" s="864">
        <f t="shared" si="0"/>
        <v>10</v>
      </c>
      <c r="G32" s="864">
        <f t="shared" si="1"/>
        <v>44</v>
      </c>
      <c r="H32" s="864">
        <f t="shared" si="2"/>
        <v>2022</v>
      </c>
      <c r="I32" s="879">
        <f t="shared" si="3"/>
        <v>44</v>
      </c>
      <c r="J32" s="867" cm="1">
        <f t="array" ref="J32">INDEX($E:$E,MATCH($J$10,IF($B:$B=$B32,$I:$I),1))</f>
        <v>97047</v>
      </c>
    </row>
    <row r="33" spans="2:10">
      <c r="B33" s="817" t="s">
        <v>454</v>
      </c>
      <c r="C33" s="817" t="s">
        <v>6126</v>
      </c>
      <c r="D33" s="866">
        <v>44866</v>
      </c>
      <c r="E33" s="817">
        <v>85415</v>
      </c>
      <c r="F33" s="864">
        <f t="shared" si="0"/>
        <v>11</v>
      </c>
      <c r="G33" s="864">
        <f t="shared" si="1"/>
        <v>45</v>
      </c>
      <c r="H33" s="864">
        <f t="shared" si="2"/>
        <v>2022</v>
      </c>
      <c r="I33" s="879">
        <f t="shared" si="3"/>
        <v>45</v>
      </c>
      <c r="J33" s="867" cm="1">
        <f t="array" ref="J33">INDEX($E:$E,MATCH($J$10,IF($B:$B=$B33,$I:$I),1))</f>
        <v>97047</v>
      </c>
    </row>
    <row r="34" spans="2:10">
      <c r="B34" s="817" t="s">
        <v>454</v>
      </c>
      <c r="C34" s="817" t="s">
        <v>6126</v>
      </c>
      <c r="D34" s="863">
        <v>44873</v>
      </c>
      <c r="E34" s="817">
        <v>85868</v>
      </c>
      <c r="F34" s="864">
        <f t="shared" si="0"/>
        <v>11</v>
      </c>
      <c r="G34" s="864">
        <f t="shared" si="1"/>
        <v>46</v>
      </c>
      <c r="H34" s="864">
        <f t="shared" si="2"/>
        <v>2022</v>
      </c>
      <c r="I34" s="879">
        <f t="shared" si="3"/>
        <v>46</v>
      </c>
      <c r="J34" s="867" cm="1">
        <f t="array" ref="J34">INDEX($E:$E,MATCH($J$10,IF($B:$B=$B34,$I:$I),1))</f>
        <v>97047</v>
      </c>
    </row>
    <row r="35" spans="2:10">
      <c r="B35" s="817" t="s">
        <v>454</v>
      </c>
      <c r="C35" s="817" t="s">
        <v>6126</v>
      </c>
      <c r="D35" s="866">
        <v>44880</v>
      </c>
      <c r="E35" s="817">
        <v>86439</v>
      </c>
      <c r="F35" s="864">
        <f t="shared" si="0"/>
        <v>11</v>
      </c>
      <c r="G35" s="864">
        <f t="shared" si="1"/>
        <v>47</v>
      </c>
      <c r="H35" s="864">
        <f t="shared" si="2"/>
        <v>2022</v>
      </c>
      <c r="I35" s="879">
        <f t="shared" si="3"/>
        <v>47</v>
      </c>
      <c r="J35" s="867" cm="1">
        <f t="array" ref="J35">INDEX($E:$E,MATCH($J$10,IF($B:$B=$B35,$I:$I),1))</f>
        <v>97047</v>
      </c>
    </row>
    <row r="36" spans="2:10">
      <c r="B36" s="817" t="s">
        <v>454</v>
      </c>
      <c r="C36" s="817" t="s">
        <v>6126</v>
      </c>
      <c r="D36" s="863">
        <v>44887</v>
      </c>
      <c r="E36" s="817">
        <v>86903</v>
      </c>
      <c r="F36" s="864">
        <f t="shared" si="0"/>
        <v>11</v>
      </c>
      <c r="G36" s="864">
        <f t="shared" si="1"/>
        <v>48</v>
      </c>
      <c r="H36" s="864">
        <f t="shared" si="2"/>
        <v>2022</v>
      </c>
      <c r="I36" s="879">
        <f t="shared" si="3"/>
        <v>48</v>
      </c>
      <c r="J36" s="867" cm="1">
        <f t="array" ref="J36">INDEX($E:$E,MATCH($J$10,IF($B:$B=$B36,$I:$I),1))</f>
        <v>97047</v>
      </c>
    </row>
    <row r="37" spans="2:10">
      <c r="B37" s="817" t="s">
        <v>454</v>
      </c>
      <c r="C37" s="817" t="s">
        <v>6126</v>
      </c>
      <c r="D37" s="866">
        <v>44894</v>
      </c>
      <c r="E37" s="817">
        <v>88748</v>
      </c>
      <c r="F37" s="864">
        <f t="shared" si="0"/>
        <v>11</v>
      </c>
      <c r="G37" s="864">
        <f t="shared" si="1"/>
        <v>49</v>
      </c>
      <c r="H37" s="864">
        <f t="shared" si="2"/>
        <v>2022</v>
      </c>
      <c r="I37" s="879">
        <f t="shared" si="3"/>
        <v>49</v>
      </c>
      <c r="J37" s="867" cm="1">
        <f t="array" ref="J37">INDEX($E:$E,MATCH($J$10,IF($B:$B=$B37,$I:$I),1))</f>
        <v>97047</v>
      </c>
    </row>
    <row r="38" spans="2:10">
      <c r="B38" s="817" t="s">
        <v>454</v>
      </c>
      <c r="C38" s="817" t="s">
        <v>6126</v>
      </c>
      <c r="D38" s="863">
        <v>44901</v>
      </c>
      <c r="E38" s="817">
        <v>89244</v>
      </c>
      <c r="F38" s="864">
        <f t="shared" si="0"/>
        <v>12</v>
      </c>
      <c r="G38" s="864">
        <f t="shared" si="1"/>
        <v>50</v>
      </c>
      <c r="H38" s="864">
        <f t="shared" si="2"/>
        <v>2022</v>
      </c>
      <c r="I38" s="879">
        <f t="shared" si="3"/>
        <v>50</v>
      </c>
      <c r="J38" s="867" cm="1">
        <f t="array" ref="J38">INDEX($E:$E,MATCH($J$10,IF($B:$B=$B38,$I:$I),1))</f>
        <v>97047</v>
      </c>
    </row>
    <row r="39" spans="2:10">
      <c r="B39" s="817" t="s">
        <v>454</v>
      </c>
      <c r="C39" s="817" t="s">
        <v>6126</v>
      </c>
      <c r="D39" s="866">
        <v>44908</v>
      </c>
      <c r="E39" s="817">
        <v>89667</v>
      </c>
      <c r="F39" s="864">
        <f t="shared" si="0"/>
        <v>12</v>
      </c>
      <c r="G39" s="864">
        <f t="shared" si="1"/>
        <v>51</v>
      </c>
      <c r="H39" s="864">
        <f t="shared" si="2"/>
        <v>2022</v>
      </c>
      <c r="I39" s="879">
        <f t="shared" si="3"/>
        <v>51</v>
      </c>
      <c r="J39" s="867" cm="1">
        <f t="array" ref="J39">INDEX($E:$E,MATCH($J$10,IF($B:$B=$B39,$I:$I),1))</f>
        <v>97047</v>
      </c>
    </row>
    <row r="40" spans="2:10">
      <c r="B40" s="817" t="s">
        <v>454</v>
      </c>
      <c r="C40" s="817" t="s">
        <v>6126</v>
      </c>
      <c r="D40" s="863">
        <v>44915</v>
      </c>
      <c r="E40" s="817">
        <v>90126</v>
      </c>
      <c r="F40" s="864">
        <f t="shared" si="0"/>
        <v>12</v>
      </c>
      <c r="G40" s="864">
        <f t="shared" si="1"/>
        <v>52</v>
      </c>
      <c r="H40" s="864">
        <f t="shared" si="2"/>
        <v>2022</v>
      </c>
      <c r="I40" s="879">
        <f t="shared" si="3"/>
        <v>52</v>
      </c>
      <c r="J40" s="867" cm="1">
        <f t="array" ref="J40">INDEX($E:$E,MATCH($J$10,IF($B:$B=$B40,$I:$I),1))</f>
        <v>97047</v>
      </c>
    </row>
    <row r="41" spans="2:10">
      <c r="B41" s="817" t="s">
        <v>454</v>
      </c>
      <c r="C41" s="817" t="s">
        <v>6126</v>
      </c>
      <c r="D41" s="866">
        <v>44917</v>
      </c>
      <c r="E41" s="817">
        <v>90591</v>
      </c>
      <c r="F41" s="864">
        <f t="shared" si="0"/>
        <v>12</v>
      </c>
      <c r="G41" s="864">
        <f t="shared" si="1"/>
        <v>52</v>
      </c>
      <c r="H41" s="864">
        <f t="shared" si="2"/>
        <v>2022</v>
      </c>
      <c r="I41" s="879">
        <f t="shared" si="3"/>
        <v>52</v>
      </c>
      <c r="J41" s="867" cm="1">
        <f t="array" ref="J41">INDEX($E:$E,MATCH($J$10,IF($B:$B=$B41,$I:$I),1))</f>
        <v>97047</v>
      </c>
    </row>
    <row r="42" spans="2:10">
      <c r="B42" s="817" t="s">
        <v>454</v>
      </c>
      <c r="C42" s="817" t="s">
        <v>6126</v>
      </c>
      <c r="D42" s="863">
        <v>44928</v>
      </c>
      <c r="E42" s="817">
        <v>90994</v>
      </c>
      <c r="F42" s="864">
        <f t="shared" si="0"/>
        <v>1</v>
      </c>
      <c r="G42" s="864">
        <f t="shared" si="1"/>
        <v>1</v>
      </c>
      <c r="H42" s="864">
        <f t="shared" si="2"/>
        <v>2023</v>
      </c>
      <c r="I42" s="879">
        <f t="shared" si="3"/>
        <v>54</v>
      </c>
      <c r="J42" s="867" cm="1">
        <f t="array" ref="J42">INDEX($E:$E,MATCH($J$10,IF($B:$B=$B42,$I:$I),1))</f>
        <v>97047</v>
      </c>
    </row>
    <row r="43" spans="2:10">
      <c r="B43" s="817" t="s">
        <v>454</v>
      </c>
      <c r="C43" s="817" t="s">
        <v>6126</v>
      </c>
      <c r="D43" s="866">
        <v>44935</v>
      </c>
      <c r="E43" s="817">
        <v>91232</v>
      </c>
      <c r="F43" s="864">
        <f t="shared" si="0"/>
        <v>1</v>
      </c>
      <c r="G43" s="864">
        <f t="shared" si="1"/>
        <v>2</v>
      </c>
      <c r="H43" s="864">
        <f t="shared" si="2"/>
        <v>2023</v>
      </c>
      <c r="I43" s="879">
        <f t="shared" si="3"/>
        <v>55</v>
      </c>
      <c r="J43" s="867" cm="1">
        <f t="array" ref="J43">INDEX($E:$E,MATCH($J$10,IF($B:$B=$B43,$I:$I),1))</f>
        <v>97047</v>
      </c>
    </row>
    <row r="44" spans="2:10">
      <c r="B44" s="817" t="s">
        <v>454</v>
      </c>
      <c r="C44" s="817" t="s">
        <v>6126</v>
      </c>
      <c r="D44" s="863">
        <v>44943</v>
      </c>
      <c r="E44" s="817">
        <v>91631</v>
      </c>
      <c r="F44" s="864">
        <f t="shared" si="0"/>
        <v>1</v>
      </c>
      <c r="G44" s="864">
        <f t="shared" si="1"/>
        <v>3</v>
      </c>
      <c r="H44" s="864">
        <f t="shared" si="2"/>
        <v>2023</v>
      </c>
      <c r="I44" s="879">
        <f t="shared" si="3"/>
        <v>56</v>
      </c>
      <c r="J44" s="867" cm="1">
        <f t="array" ref="J44">INDEX($E:$E,MATCH($J$10,IF($B:$B=$B44,$I:$I),1))</f>
        <v>97047</v>
      </c>
    </row>
    <row r="45" spans="2:10">
      <c r="B45" s="817" t="s">
        <v>454</v>
      </c>
      <c r="C45" s="817" t="s">
        <v>6126</v>
      </c>
      <c r="D45" s="866">
        <v>44949</v>
      </c>
      <c r="E45" s="817">
        <v>92019</v>
      </c>
      <c r="F45" s="864">
        <f t="shared" si="0"/>
        <v>1</v>
      </c>
      <c r="G45" s="864">
        <f t="shared" si="1"/>
        <v>4</v>
      </c>
      <c r="H45" s="864">
        <f t="shared" si="2"/>
        <v>2023</v>
      </c>
      <c r="I45" s="879">
        <f t="shared" si="3"/>
        <v>57</v>
      </c>
      <c r="J45" s="867" cm="1">
        <f t="array" ref="J45">INDEX($E:$E,MATCH($J$10,IF($B:$B=$B45,$I:$I),1))</f>
        <v>97047</v>
      </c>
    </row>
    <row r="46" spans="2:10">
      <c r="B46" s="817" t="s">
        <v>454</v>
      </c>
      <c r="C46" s="817" t="s">
        <v>6126</v>
      </c>
      <c r="D46" s="863">
        <v>44956</v>
      </c>
      <c r="E46" s="817">
        <v>92436</v>
      </c>
      <c r="F46" s="864">
        <f t="shared" si="0"/>
        <v>1</v>
      </c>
      <c r="G46" s="864">
        <f t="shared" si="1"/>
        <v>5</v>
      </c>
      <c r="H46" s="864">
        <f t="shared" si="2"/>
        <v>2023</v>
      </c>
      <c r="I46" s="879">
        <f t="shared" si="3"/>
        <v>58</v>
      </c>
      <c r="J46" s="867" cm="1">
        <f t="array" ref="J46">INDEX($E:$E,MATCH($J$10,IF($B:$B=$B46,$I:$I),1))</f>
        <v>97047</v>
      </c>
    </row>
    <row r="47" spans="2:10">
      <c r="B47" s="817" t="s">
        <v>454</v>
      </c>
      <c r="C47" s="817" t="s">
        <v>6126</v>
      </c>
      <c r="D47" s="866">
        <v>44963</v>
      </c>
      <c r="E47" s="817">
        <v>92821</v>
      </c>
      <c r="F47" s="864">
        <f t="shared" si="0"/>
        <v>2</v>
      </c>
      <c r="G47" s="864">
        <f t="shared" si="1"/>
        <v>6</v>
      </c>
      <c r="H47" s="864">
        <f t="shared" si="2"/>
        <v>2023</v>
      </c>
      <c r="I47" s="879">
        <f t="shared" si="3"/>
        <v>59</v>
      </c>
      <c r="J47" s="867" cm="1">
        <f t="array" ref="J47">INDEX($E:$E,MATCH($J$10,IF($B:$B=$B47,$I:$I),1))</f>
        <v>97047</v>
      </c>
    </row>
    <row r="48" spans="2:10">
      <c r="B48" s="817" t="s">
        <v>454</v>
      </c>
      <c r="C48" s="817" t="s">
        <v>6126</v>
      </c>
      <c r="D48" s="863">
        <v>44970</v>
      </c>
      <c r="E48" s="817">
        <v>93171</v>
      </c>
      <c r="F48" s="864">
        <f t="shared" si="0"/>
        <v>2</v>
      </c>
      <c r="G48" s="864">
        <f t="shared" si="1"/>
        <v>7</v>
      </c>
      <c r="H48" s="864">
        <f t="shared" si="2"/>
        <v>2023</v>
      </c>
      <c r="I48" s="879">
        <f t="shared" si="3"/>
        <v>60</v>
      </c>
      <c r="J48" s="867" cm="1">
        <f t="array" ref="J48">INDEX($E:$E,MATCH($J$10,IF($B:$B=$B48,$I:$I),1))</f>
        <v>97047</v>
      </c>
    </row>
    <row r="49" spans="2:10">
      <c r="B49" s="817" t="s">
        <v>454</v>
      </c>
      <c r="C49" s="817" t="s">
        <v>6126</v>
      </c>
      <c r="D49" s="866">
        <v>44977</v>
      </c>
      <c r="E49" s="817">
        <v>93579</v>
      </c>
      <c r="F49" s="864">
        <f t="shared" si="0"/>
        <v>2</v>
      </c>
      <c r="G49" s="864">
        <f t="shared" si="1"/>
        <v>8</v>
      </c>
      <c r="H49" s="864">
        <f t="shared" si="2"/>
        <v>2023</v>
      </c>
      <c r="I49" s="879">
        <f t="shared" si="3"/>
        <v>61</v>
      </c>
      <c r="J49" s="867" cm="1">
        <f t="array" ref="J49">INDEX($E:$E,MATCH($J$10,IF($B:$B=$B49,$I:$I),1))</f>
        <v>97047</v>
      </c>
    </row>
    <row r="50" spans="2:10">
      <c r="B50" s="817" t="s">
        <v>454</v>
      </c>
      <c r="C50" s="817" t="s">
        <v>6126</v>
      </c>
      <c r="D50" s="863">
        <v>44991</v>
      </c>
      <c r="E50" s="817">
        <v>94343</v>
      </c>
      <c r="F50" s="864">
        <f t="shared" si="0"/>
        <v>3</v>
      </c>
      <c r="G50" s="864">
        <f t="shared" si="1"/>
        <v>10</v>
      </c>
      <c r="H50" s="864">
        <f t="shared" si="2"/>
        <v>2023</v>
      </c>
      <c r="I50" s="879">
        <f t="shared" si="3"/>
        <v>63</v>
      </c>
      <c r="J50" s="867" cm="1">
        <f t="array" ref="J50">INDEX($E:$E,MATCH($J$10,IF($B:$B=$B50,$I:$I),1))</f>
        <v>97047</v>
      </c>
    </row>
    <row r="51" spans="2:10">
      <c r="B51" s="817" t="s">
        <v>454</v>
      </c>
      <c r="C51" s="817" t="s">
        <v>6126</v>
      </c>
      <c r="D51" s="863">
        <v>44998</v>
      </c>
      <c r="E51" s="817">
        <v>94551</v>
      </c>
      <c r="F51" s="864">
        <f t="shared" si="0"/>
        <v>3</v>
      </c>
      <c r="G51" s="864">
        <f t="shared" si="1"/>
        <v>11</v>
      </c>
      <c r="H51" s="864">
        <f t="shared" si="2"/>
        <v>2023</v>
      </c>
      <c r="I51" s="879">
        <f t="shared" si="3"/>
        <v>64</v>
      </c>
      <c r="J51" s="867" cm="1">
        <f t="array" ref="J51">INDEX($E:$E,MATCH($J$10,IF($B:$B=$B51,$I:$I),1))</f>
        <v>97047</v>
      </c>
    </row>
    <row r="52" spans="2:10">
      <c r="B52" s="817" t="s">
        <v>454</v>
      </c>
      <c r="C52" s="817" t="s">
        <v>6126</v>
      </c>
      <c r="D52" s="863">
        <v>45005</v>
      </c>
      <c r="E52" s="817">
        <v>94984</v>
      </c>
      <c r="F52" s="864">
        <f t="shared" si="0"/>
        <v>3</v>
      </c>
      <c r="G52" s="864">
        <f t="shared" si="1"/>
        <v>12</v>
      </c>
      <c r="H52" s="864">
        <f t="shared" si="2"/>
        <v>2023</v>
      </c>
      <c r="I52" s="879">
        <f t="shared" si="3"/>
        <v>65</v>
      </c>
      <c r="J52" s="867" cm="1">
        <f t="array" ref="J52">INDEX($E:$E,MATCH($J$10,IF($B:$B=$B52,$I:$I),1))</f>
        <v>97047</v>
      </c>
    </row>
    <row r="53" spans="2:10">
      <c r="B53" s="817" t="s">
        <v>454</v>
      </c>
      <c r="C53" s="817" t="s">
        <v>6126</v>
      </c>
      <c r="D53" s="863">
        <v>45026</v>
      </c>
      <c r="E53" s="817">
        <v>95753</v>
      </c>
      <c r="F53" s="864">
        <f t="shared" si="0"/>
        <v>4</v>
      </c>
      <c r="G53" s="864">
        <f t="shared" si="1"/>
        <v>15</v>
      </c>
      <c r="H53" s="864">
        <f t="shared" si="2"/>
        <v>2023</v>
      </c>
      <c r="I53" s="879">
        <f t="shared" si="3"/>
        <v>68</v>
      </c>
      <c r="J53" s="867" cm="1">
        <f t="array" ref="J53">INDEX($E:$E,MATCH($J$10,IF($B:$B=$B53,$I:$I),1))</f>
        <v>97047</v>
      </c>
    </row>
    <row r="54" spans="2:10">
      <c r="B54" s="817" t="s">
        <v>454</v>
      </c>
      <c r="C54" s="817" t="s">
        <v>6126</v>
      </c>
      <c r="D54" s="863">
        <v>45033</v>
      </c>
      <c r="E54" s="817">
        <v>95993</v>
      </c>
      <c r="F54" s="864">
        <f t="shared" si="0"/>
        <v>4</v>
      </c>
      <c r="G54" s="864">
        <f t="shared" si="1"/>
        <v>16</v>
      </c>
      <c r="H54" s="864">
        <f t="shared" si="2"/>
        <v>2023</v>
      </c>
      <c r="I54" s="879">
        <f t="shared" si="3"/>
        <v>69</v>
      </c>
      <c r="J54" s="867" cm="1">
        <f t="array" ref="J54">INDEX($E:$E,MATCH($J$10,IF($B:$B=$B54,$I:$I),1))</f>
        <v>97047</v>
      </c>
    </row>
    <row r="55" spans="2:10">
      <c r="B55" s="817" t="s">
        <v>454</v>
      </c>
      <c r="C55" s="817" t="s">
        <v>6126</v>
      </c>
      <c r="D55" s="863">
        <v>45055</v>
      </c>
      <c r="E55" s="817">
        <v>96766</v>
      </c>
      <c r="F55" s="864">
        <f t="shared" si="0"/>
        <v>5</v>
      </c>
      <c r="G55" s="864">
        <f t="shared" si="1"/>
        <v>19</v>
      </c>
      <c r="H55" s="864">
        <f t="shared" si="2"/>
        <v>2023</v>
      </c>
      <c r="I55" s="879">
        <f t="shared" si="3"/>
        <v>72</v>
      </c>
      <c r="J55" s="867" cm="1">
        <f t="array" ref="J55">INDEX($E:$E,MATCH($J$10,IF($B:$B=$B55,$I:$I),1))</f>
        <v>97047</v>
      </c>
    </row>
    <row r="56" spans="2:10">
      <c r="B56" s="817" t="s">
        <v>454</v>
      </c>
      <c r="C56" s="817" t="s">
        <v>6126</v>
      </c>
      <c r="D56" s="863">
        <v>45061</v>
      </c>
      <c r="E56" s="817">
        <v>97047</v>
      </c>
      <c r="F56" s="864">
        <f t="shared" si="0"/>
        <v>5</v>
      </c>
      <c r="G56" s="864">
        <f t="shared" si="1"/>
        <v>20</v>
      </c>
      <c r="H56" s="864">
        <f t="shared" si="2"/>
        <v>2023</v>
      </c>
      <c r="I56" s="879">
        <f t="shared" si="3"/>
        <v>73</v>
      </c>
      <c r="J56" s="867" cm="1">
        <f t="array" ref="J56">INDEX($E:$E,MATCH($J$10,IF($B:$B=$B56,$I:$I),1))</f>
        <v>97047</v>
      </c>
    </row>
    <row r="57" spans="2:10">
      <c r="B57" s="817" t="s">
        <v>454</v>
      </c>
      <c r="C57" s="817" t="s">
        <v>6126</v>
      </c>
      <c r="D57" s="863">
        <v>45082</v>
      </c>
      <c r="E57" s="817">
        <v>90111</v>
      </c>
      <c r="F57" s="864">
        <f t="shared" si="0"/>
        <v>6</v>
      </c>
      <c r="G57" s="864">
        <f t="shared" si="1"/>
        <v>23</v>
      </c>
      <c r="H57" s="864">
        <f t="shared" si="2"/>
        <v>2023</v>
      </c>
      <c r="I57" s="879">
        <f t="shared" si="3"/>
        <v>76</v>
      </c>
      <c r="J57" s="867" cm="1">
        <f t="array" ref="J57">INDEX($E:$E,MATCH($J$10,IF($B:$B=$B57,$I:$I),1))</f>
        <v>97047</v>
      </c>
    </row>
    <row r="58" spans="2:10">
      <c r="B58" s="817" t="s">
        <v>558</v>
      </c>
      <c r="C58" s="817" t="s">
        <v>6127</v>
      </c>
      <c r="D58" s="863">
        <v>44711</v>
      </c>
      <c r="E58" s="817">
        <v>45227</v>
      </c>
      <c r="F58" s="864">
        <f t="shared" si="0"/>
        <v>5</v>
      </c>
      <c r="G58" s="864">
        <f t="shared" si="1"/>
        <v>23</v>
      </c>
      <c r="H58" s="864">
        <f t="shared" si="2"/>
        <v>2022</v>
      </c>
      <c r="I58" s="879">
        <f t="shared" si="3"/>
        <v>23</v>
      </c>
      <c r="J58" s="867" cm="1">
        <f t="array" ref="J58">INDEX($E:$E,MATCH($J$10,IF($B:$B=$B58,$I:$I),1))</f>
        <v>72397</v>
      </c>
    </row>
    <row r="59" spans="2:10">
      <c r="B59" s="817" t="s">
        <v>558</v>
      </c>
      <c r="C59" s="817" t="s">
        <v>6127</v>
      </c>
      <c r="D59" s="866">
        <v>44718</v>
      </c>
      <c r="E59" s="817">
        <v>45882</v>
      </c>
      <c r="F59" s="864">
        <f t="shared" si="0"/>
        <v>6</v>
      </c>
      <c r="G59" s="864">
        <f t="shared" si="1"/>
        <v>24</v>
      </c>
      <c r="H59" s="864">
        <f t="shared" si="2"/>
        <v>2022</v>
      </c>
      <c r="I59" s="879">
        <f t="shared" si="3"/>
        <v>24</v>
      </c>
      <c r="J59" s="867" cm="1">
        <f t="array" ref="J59">INDEX($E:$E,MATCH($J$10,IF($B:$B=$B59,$I:$I),1))</f>
        <v>72397</v>
      </c>
    </row>
    <row r="60" spans="2:10">
      <c r="B60" s="817" t="s">
        <v>558</v>
      </c>
      <c r="C60" s="817" t="s">
        <v>6127</v>
      </c>
      <c r="D60" s="863">
        <v>44726</v>
      </c>
      <c r="E60" s="817">
        <v>47477</v>
      </c>
      <c r="F60" s="864">
        <f t="shared" si="0"/>
        <v>6</v>
      </c>
      <c r="G60" s="864">
        <f t="shared" si="1"/>
        <v>25</v>
      </c>
      <c r="H60" s="864">
        <f t="shared" si="2"/>
        <v>2022</v>
      </c>
      <c r="I60" s="879">
        <f t="shared" si="3"/>
        <v>25</v>
      </c>
      <c r="J60" s="867" cm="1">
        <f t="array" ref="J60">INDEX($E:$E,MATCH($J$10,IF($B:$B=$B60,$I:$I),1))</f>
        <v>72397</v>
      </c>
    </row>
    <row r="61" spans="2:10">
      <c r="B61" s="817" t="s">
        <v>558</v>
      </c>
      <c r="C61" s="817" t="s">
        <v>6127</v>
      </c>
      <c r="D61" s="866">
        <v>44733</v>
      </c>
      <c r="E61" s="817">
        <v>48118</v>
      </c>
      <c r="F61" s="864">
        <f t="shared" si="0"/>
        <v>6</v>
      </c>
      <c r="G61" s="864">
        <f t="shared" si="1"/>
        <v>26</v>
      </c>
      <c r="H61" s="864">
        <f t="shared" si="2"/>
        <v>2022</v>
      </c>
      <c r="I61" s="879">
        <f t="shared" si="3"/>
        <v>26</v>
      </c>
      <c r="J61" s="867" cm="1">
        <f t="array" ref="J61">INDEX($E:$E,MATCH($J$10,IF($B:$B=$B61,$I:$I),1))</f>
        <v>72397</v>
      </c>
    </row>
    <row r="62" spans="2:10">
      <c r="B62" s="817" t="s">
        <v>558</v>
      </c>
      <c r="C62" s="817" t="s">
        <v>6127</v>
      </c>
      <c r="D62" s="863">
        <v>44740</v>
      </c>
      <c r="E62" s="817">
        <v>49000</v>
      </c>
      <c r="F62" s="864">
        <f t="shared" si="0"/>
        <v>6</v>
      </c>
      <c r="G62" s="864">
        <f t="shared" si="1"/>
        <v>27</v>
      </c>
      <c r="H62" s="864">
        <f t="shared" si="2"/>
        <v>2022</v>
      </c>
      <c r="I62" s="879">
        <f t="shared" si="3"/>
        <v>27</v>
      </c>
      <c r="J62" s="867" cm="1">
        <f t="array" ref="J62">INDEX($E:$E,MATCH($J$10,IF($B:$B=$B62,$I:$I),1))</f>
        <v>72397</v>
      </c>
    </row>
    <row r="63" spans="2:10">
      <c r="B63" s="817" t="s">
        <v>558</v>
      </c>
      <c r="C63" s="817" t="s">
        <v>6127</v>
      </c>
      <c r="D63" s="866">
        <v>44747</v>
      </c>
      <c r="E63" s="817">
        <v>50242</v>
      </c>
      <c r="F63" s="864">
        <f t="shared" si="0"/>
        <v>7</v>
      </c>
      <c r="G63" s="864">
        <f t="shared" si="1"/>
        <v>28</v>
      </c>
      <c r="H63" s="864">
        <f t="shared" si="2"/>
        <v>2022</v>
      </c>
      <c r="I63" s="879">
        <f t="shared" si="3"/>
        <v>28</v>
      </c>
      <c r="J63" s="867" cm="1">
        <f t="array" ref="J63">INDEX($E:$E,MATCH($J$10,IF($B:$B=$B63,$I:$I),1))</f>
        <v>72397</v>
      </c>
    </row>
    <row r="64" spans="2:10">
      <c r="B64" s="817" t="s">
        <v>558</v>
      </c>
      <c r="C64" s="817" t="s">
        <v>6127</v>
      </c>
      <c r="D64" s="863">
        <v>44754</v>
      </c>
      <c r="E64" s="817">
        <v>50789</v>
      </c>
      <c r="F64" s="864">
        <f t="shared" si="0"/>
        <v>7</v>
      </c>
      <c r="G64" s="864">
        <f t="shared" si="1"/>
        <v>29</v>
      </c>
      <c r="H64" s="864">
        <f t="shared" si="2"/>
        <v>2022</v>
      </c>
      <c r="I64" s="879">
        <f t="shared" si="3"/>
        <v>29</v>
      </c>
      <c r="J64" s="867" cm="1">
        <f t="array" ref="J64">INDEX($E:$E,MATCH($J$10,IF($B:$B=$B64,$I:$I),1))</f>
        <v>72397</v>
      </c>
    </row>
    <row r="65" spans="2:10">
      <c r="B65" s="817" t="s">
        <v>558</v>
      </c>
      <c r="C65" s="817" t="s">
        <v>6127</v>
      </c>
      <c r="D65" s="866">
        <v>44761</v>
      </c>
      <c r="E65" s="817">
        <v>51749</v>
      </c>
      <c r="F65" s="864">
        <f t="shared" si="0"/>
        <v>7</v>
      </c>
      <c r="G65" s="864">
        <f t="shared" si="1"/>
        <v>30</v>
      </c>
      <c r="H65" s="864">
        <f t="shared" si="2"/>
        <v>2022</v>
      </c>
      <c r="I65" s="879">
        <f t="shared" si="3"/>
        <v>30</v>
      </c>
      <c r="J65" s="867" cm="1">
        <f t="array" ref="J65">INDEX($E:$E,MATCH($J$10,IF($B:$B=$B65,$I:$I),1))</f>
        <v>72397</v>
      </c>
    </row>
    <row r="66" spans="2:10">
      <c r="B66" s="817" t="s">
        <v>558</v>
      </c>
      <c r="C66" s="817" t="s">
        <v>6127</v>
      </c>
      <c r="D66" s="863">
        <v>44768</v>
      </c>
      <c r="E66" s="817">
        <v>52038</v>
      </c>
      <c r="F66" s="864">
        <f t="shared" si="0"/>
        <v>7</v>
      </c>
      <c r="G66" s="864">
        <f t="shared" si="1"/>
        <v>31</v>
      </c>
      <c r="H66" s="864">
        <f t="shared" si="2"/>
        <v>2022</v>
      </c>
      <c r="I66" s="879">
        <f t="shared" si="3"/>
        <v>31</v>
      </c>
      <c r="J66" s="867" cm="1">
        <f t="array" ref="J66">INDEX($E:$E,MATCH($J$10,IF($B:$B=$B66,$I:$I),1))</f>
        <v>72397</v>
      </c>
    </row>
    <row r="67" spans="2:10">
      <c r="B67" s="817" t="s">
        <v>558</v>
      </c>
      <c r="C67" s="817" t="s">
        <v>6127</v>
      </c>
      <c r="D67" s="866">
        <v>44776</v>
      </c>
      <c r="E67" s="817">
        <v>53108</v>
      </c>
      <c r="F67" s="864">
        <f t="shared" si="0"/>
        <v>8</v>
      </c>
      <c r="G67" s="864">
        <f t="shared" si="1"/>
        <v>32</v>
      </c>
      <c r="H67" s="864">
        <f t="shared" si="2"/>
        <v>2022</v>
      </c>
      <c r="I67" s="879">
        <f t="shared" si="3"/>
        <v>32</v>
      </c>
      <c r="J67" s="867" cm="1">
        <f t="array" ref="J67">INDEX($E:$E,MATCH($J$10,IF($B:$B=$B67,$I:$I),1))</f>
        <v>72397</v>
      </c>
    </row>
    <row r="68" spans="2:10">
      <c r="B68" s="817" t="s">
        <v>558</v>
      </c>
      <c r="C68" s="817" t="s">
        <v>6127</v>
      </c>
      <c r="D68" s="863">
        <v>44782</v>
      </c>
      <c r="E68" s="817">
        <v>52557</v>
      </c>
      <c r="F68" s="864">
        <f t="shared" si="0"/>
        <v>8</v>
      </c>
      <c r="G68" s="864">
        <f t="shared" si="1"/>
        <v>33</v>
      </c>
      <c r="H68" s="864">
        <f t="shared" si="2"/>
        <v>2022</v>
      </c>
      <c r="I68" s="879">
        <f t="shared" si="3"/>
        <v>33</v>
      </c>
      <c r="J68" s="867" cm="1">
        <f t="array" ref="J68">INDEX($E:$E,MATCH($J$10,IF($B:$B=$B68,$I:$I),1))</f>
        <v>72397</v>
      </c>
    </row>
    <row r="69" spans="2:10">
      <c r="B69" s="817" t="s">
        <v>558</v>
      </c>
      <c r="C69" s="817" t="s">
        <v>6127</v>
      </c>
      <c r="D69" s="866">
        <v>44789</v>
      </c>
      <c r="E69" s="817">
        <v>52870</v>
      </c>
      <c r="F69" s="864">
        <f t="shared" si="0"/>
        <v>8</v>
      </c>
      <c r="G69" s="864">
        <f t="shared" si="1"/>
        <v>34</v>
      </c>
      <c r="H69" s="864">
        <f t="shared" si="2"/>
        <v>2022</v>
      </c>
      <c r="I69" s="879">
        <f t="shared" si="3"/>
        <v>34</v>
      </c>
      <c r="J69" s="867" cm="1">
        <f t="array" ref="J69">INDEX($E:$E,MATCH($J$10,IF($B:$B=$B69,$I:$I),1))</f>
        <v>72397</v>
      </c>
    </row>
    <row r="70" spans="2:10">
      <c r="B70" s="817" t="s">
        <v>558</v>
      </c>
      <c r="C70" s="817" t="s">
        <v>6127</v>
      </c>
      <c r="D70" s="863">
        <v>44796</v>
      </c>
      <c r="E70" s="817">
        <v>53579</v>
      </c>
      <c r="F70" s="864">
        <f t="shared" si="0"/>
        <v>8</v>
      </c>
      <c r="G70" s="864">
        <f t="shared" si="1"/>
        <v>35</v>
      </c>
      <c r="H70" s="864">
        <f t="shared" si="2"/>
        <v>2022</v>
      </c>
      <c r="I70" s="879">
        <f t="shared" si="3"/>
        <v>35</v>
      </c>
      <c r="J70" s="867" cm="1">
        <f t="array" ref="J70">INDEX($E:$E,MATCH($J$10,IF($B:$B=$B70,$I:$I),1))</f>
        <v>72397</v>
      </c>
    </row>
    <row r="71" spans="2:10">
      <c r="B71" s="817" t="s">
        <v>558</v>
      </c>
      <c r="C71" s="817" t="s">
        <v>6127</v>
      </c>
      <c r="D71" s="866">
        <v>44803</v>
      </c>
      <c r="E71" s="817">
        <v>54414</v>
      </c>
      <c r="F71" s="864">
        <f t="shared" si="0"/>
        <v>8</v>
      </c>
      <c r="G71" s="864">
        <f t="shared" si="1"/>
        <v>36</v>
      </c>
      <c r="H71" s="864">
        <f t="shared" si="2"/>
        <v>2022</v>
      </c>
      <c r="I71" s="879">
        <f t="shared" si="3"/>
        <v>36</v>
      </c>
      <c r="J71" s="867" cm="1">
        <f t="array" ref="J71">INDEX($E:$E,MATCH($J$10,IF($B:$B=$B71,$I:$I),1))</f>
        <v>72397</v>
      </c>
    </row>
    <row r="72" spans="2:10">
      <c r="B72" s="817" t="s">
        <v>558</v>
      </c>
      <c r="C72" s="817" t="s">
        <v>6127</v>
      </c>
      <c r="D72" s="863">
        <v>44810</v>
      </c>
      <c r="E72" s="817">
        <v>55130</v>
      </c>
      <c r="F72" s="864">
        <f t="shared" si="0"/>
        <v>9</v>
      </c>
      <c r="G72" s="864">
        <f t="shared" si="1"/>
        <v>37</v>
      </c>
      <c r="H72" s="864">
        <f t="shared" si="2"/>
        <v>2022</v>
      </c>
      <c r="I72" s="879">
        <f t="shared" si="3"/>
        <v>37</v>
      </c>
      <c r="J72" s="867" cm="1">
        <f t="array" ref="J72">INDEX($E:$E,MATCH($J$10,IF($B:$B=$B72,$I:$I),1))</f>
        <v>72397</v>
      </c>
    </row>
    <row r="73" spans="2:10">
      <c r="B73" s="817" t="s">
        <v>558</v>
      </c>
      <c r="C73" s="817" t="s">
        <v>6127</v>
      </c>
      <c r="D73" s="866">
        <v>44824</v>
      </c>
      <c r="E73" s="817">
        <v>56013</v>
      </c>
      <c r="F73" s="864">
        <f t="shared" si="0"/>
        <v>9</v>
      </c>
      <c r="G73" s="864">
        <f t="shared" si="1"/>
        <v>39</v>
      </c>
      <c r="H73" s="864">
        <f t="shared" si="2"/>
        <v>2022</v>
      </c>
      <c r="I73" s="879">
        <f t="shared" si="3"/>
        <v>39</v>
      </c>
      <c r="J73" s="867" cm="1">
        <f t="array" ref="J73">INDEX($E:$E,MATCH($J$10,IF($B:$B=$B73,$I:$I),1))</f>
        <v>72397</v>
      </c>
    </row>
    <row r="74" spans="2:10">
      <c r="B74" s="817" t="s">
        <v>558</v>
      </c>
      <c r="C74" s="817" t="s">
        <v>6127</v>
      </c>
      <c r="D74" s="863">
        <v>44830</v>
      </c>
      <c r="E74" s="817">
        <v>56464</v>
      </c>
      <c r="F74" s="864">
        <f t="shared" si="0"/>
        <v>9</v>
      </c>
      <c r="G74" s="864">
        <f t="shared" si="1"/>
        <v>40</v>
      </c>
      <c r="H74" s="864">
        <f t="shared" si="2"/>
        <v>2022</v>
      </c>
      <c r="I74" s="879">
        <f t="shared" si="3"/>
        <v>40</v>
      </c>
      <c r="J74" s="867" cm="1">
        <f t="array" ref="J74">INDEX($E:$E,MATCH($J$10,IF($B:$B=$B74,$I:$I),1))</f>
        <v>72397</v>
      </c>
    </row>
    <row r="75" spans="2:10">
      <c r="B75" s="817" t="s">
        <v>558</v>
      </c>
      <c r="C75" s="817" t="s">
        <v>6127</v>
      </c>
      <c r="D75" s="866">
        <v>44838</v>
      </c>
      <c r="E75" s="817">
        <v>56854</v>
      </c>
      <c r="F75" s="864">
        <f t="shared" si="0"/>
        <v>10</v>
      </c>
      <c r="G75" s="864">
        <f t="shared" si="1"/>
        <v>41</v>
      </c>
      <c r="H75" s="864">
        <f t="shared" si="2"/>
        <v>2022</v>
      </c>
      <c r="I75" s="879">
        <f t="shared" si="3"/>
        <v>41</v>
      </c>
      <c r="J75" s="867" cm="1">
        <f t="array" ref="J75">INDEX($E:$E,MATCH($J$10,IF($B:$B=$B75,$I:$I),1))</f>
        <v>72397</v>
      </c>
    </row>
    <row r="76" spans="2:10">
      <c r="B76" s="817" t="s">
        <v>558</v>
      </c>
      <c r="C76" s="817" t="s">
        <v>6127</v>
      </c>
      <c r="D76" s="863">
        <v>44845</v>
      </c>
      <c r="E76" s="817">
        <v>57423</v>
      </c>
      <c r="F76" s="864">
        <f t="shared" ref="F76:F139" si="4">MONTH(D76)</f>
        <v>10</v>
      </c>
      <c r="G76" s="864">
        <f t="shared" ref="G76:G139" si="5">WEEKNUM(D76)</f>
        <v>42</v>
      </c>
      <c r="H76" s="864">
        <f t="shared" ref="H76:H139" si="6">YEAR(D76)</f>
        <v>2022</v>
      </c>
      <c r="I76" s="879">
        <f t="shared" ref="I76:I139" si="7">(H76-2022)*53+G76</f>
        <v>42</v>
      </c>
      <c r="J76" s="867" cm="1">
        <f t="array" ref="J76">INDEX($E:$E,MATCH($J$10,IF($B:$B=$B76,$I:$I),1))</f>
        <v>72397</v>
      </c>
    </row>
    <row r="77" spans="2:10">
      <c r="B77" s="817" t="s">
        <v>558</v>
      </c>
      <c r="C77" s="817" t="s">
        <v>6127</v>
      </c>
      <c r="D77" s="866">
        <v>44851</v>
      </c>
      <c r="E77" s="817">
        <v>58019</v>
      </c>
      <c r="F77" s="864">
        <f t="shared" si="4"/>
        <v>10</v>
      </c>
      <c r="G77" s="864">
        <f t="shared" si="5"/>
        <v>43</v>
      </c>
      <c r="H77" s="864">
        <f t="shared" si="6"/>
        <v>2022</v>
      </c>
      <c r="I77" s="879">
        <f t="shared" si="7"/>
        <v>43</v>
      </c>
      <c r="J77" s="867" cm="1">
        <f t="array" ref="J77">INDEX($E:$E,MATCH($J$10,IF($B:$B=$B77,$I:$I),1))</f>
        <v>72397</v>
      </c>
    </row>
    <row r="78" spans="2:10">
      <c r="B78" s="817" t="s">
        <v>558</v>
      </c>
      <c r="C78" s="817" t="s">
        <v>6127</v>
      </c>
      <c r="D78" s="863">
        <v>44858</v>
      </c>
      <c r="E78" s="817">
        <v>58537</v>
      </c>
      <c r="F78" s="864">
        <f t="shared" si="4"/>
        <v>10</v>
      </c>
      <c r="G78" s="864">
        <f t="shared" si="5"/>
        <v>44</v>
      </c>
      <c r="H78" s="864">
        <f t="shared" si="6"/>
        <v>2022</v>
      </c>
      <c r="I78" s="879">
        <f t="shared" si="7"/>
        <v>44</v>
      </c>
      <c r="J78" s="867" cm="1">
        <f t="array" ref="J78">INDEX($E:$E,MATCH($J$10,IF($B:$B=$B78,$I:$I),1))</f>
        <v>72397</v>
      </c>
    </row>
    <row r="79" spans="2:10">
      <c r="B79" s="817" t="s">
        <v>558</v>
      </c>
      <c r="C79" s="817" t="s">
        <v>6127</v>
      </c>
      <c r="D79" s="866">
        <v>44880</v>
      </c>
      <c r="E79" s="817">
        <v>59818</v>
      </c>
      <c r="F79" s="864">
        <f t="shared" si="4"/>
        <v>11</v>
      </c>
      <c r="G79" s="864">
        <f t="shared" si="5"/>
        <v>47</v>
      </c>
      <c r="H79" s="864">
        <f t="shared" si="6"/>
        <v>2022</v>
      </c>
      <c r="I79" s="879">
        <f t="shared" si="7"/>
        <v>47</v>
      </c>
      <c r="J79" s="867" cm="1">
        <f t="array" ref="J79">INDEX($E:$E,MATCH($J$10,IF($B:$B=$B79,$I:$I),1))</f>
        <v>72397</v>
      </c>
    </row>
    <row r="80" spans="2:10">
      <c r="B80" s="817" t="s">
        <v>558</v>
      </c>
      <c r="C80" s="817" t="s">
        <v>6127</v>
      </c>
      <c r="D80" s="863">
        <v>44887</v>
      </c>
      <c r="E80" s="817">
        <v>60241</v>
      </c>
      <c r="F80" s="864">
        <f t="shared" si="4"/>
        <v>11</v>
      </c>
      <c r="G80" s="864">
        <f t="shared" si="5"/>
        <v>48</v>
      </c>
      <c r="H80" s="864">
        <f t="shared" si="6"/>
        <v>2022</v>
      </c>
      <c r="I80" s="879">
        <f t="shared" si="7"/>
        <v>48</v>
      </c>
      <c r="J80" s="867" cm="1">
        <f t="array" ref="J80">INDEX($E:$E,MATCH($J$10,IF($B:$B=$B80,$I:$I),1))</f>
        <v>72397</v>
      </c>
    </row>
    <row r="81" spans="2:10">
      <c r="B81" s="817" t="s">
        <v>558</v>
      </c>
      <c r="C81" s="817" t="s">
        <v>6127</v>
      </c>
      <c r="D81" s="866">
        <v>44894</v>
      </c>
      <c r="E81" s="817">
        <v>62181</v>
      </c>
      <c r="F81" s="864">
        <f t="shared" si="4"/>
        <v>11</v>
      </c>
      <c r="G81" s="864">
        <f t="shared" si="5"/>
        <v>49</v>
      </c>
      <c r="H81" s="864">
        <f t="shared" si="6"/>
        <v>2022</v>
      </c>
      <c r="I81" s="879">
        <f t="shared" si="7"/>
        <v>49</v>
      </c>
      <c r="J81" s="867" cm="1">
        <f t="array" ref="J81">INDEX($E:$E,MATCH($J$10,IF($B:$B=$B81,$I:$I),1))</f>
        <v>72397</v>
      </c>
    </row>
    <row r="82" spans="2:10">
      <c r="B82" s="817" t="s">
        <v>558</v>
      </c>
      <c r="C82" s="817" t="s">
        <v>6127</v>
      </c>
      <c r="D82" s="863">
        <v>44908</v>
      </c>
      <c r="E82" s="817">
        <v>64436</v>
      </c>
      <c r="F82" s="864">
        <f t="shared" si="4"/>
        <v>12</v>
      </c>
      <c r="G82" s="864">
        <f t="shared" si="5"/>
        <v>51</v>
      </c>
      <c r="H82" s="864">
        <f t="shared" si="6"/>
        <v>2022</v>
      </c>
      <c r="I82" s="879">
        <f t="shared" si="7"/>
        <v>51</v>
      </c>
      <c r="J82" s="867" cm="1">
        <f t="array" ref="J82">INDEX($E:$E,MATCH($J$10,IF($B:$B=$B82,$I:$I),1))</f>
        <v>72397</v>
      </c>
    </row>
    <row r="83" spans="2:10">
      <c r="B83" s="817" t="s">
        <v>558</v>
      </c>
      <c r="C83" s="817" t="s">
        <v>6127</v>
      </c>
      <c r="D83" s="866">
        <v>44929</v>
      </c>
      <c r="E83" s="817">
        <v>65658</v>
      </c>
      <c r="F83" s="864">
        <f t="shared" si="4"/>
        <v>1</v>
      </c>
      <c r="G83" s="864">
        <f t="shared" si="5"/>
        <v>1</v>
      </c>
      <c r="H83" s="864">
        <f t="shared" si="6"/>
        <v>2023</v>
      </c>
      <c r="I83" s="879">
        <f t="shared" si="7"/>
        <v>54</v>
      </c>
      <c r="J83" s="867" cm="1">
        <f t="array" ref="J83">INDEX($E:$E,MATCH($J$10,IF($B:$B=$B83,$I:$I),1))</f>
        <v>72397</v>
      </c>
    </row>
    <row r="84" spans="2:10">
      <c r="B84" s="817" t="s">
        <v>558</v>
      </c>
      <c r="C84" s="817" t="s">
        <v>6127</v>
      </c>
      <c r="D84" s="863">
        <v>44942</v>
      </c>
      <c r="E84" s="817">
        <v>66416</v>
      </c>
      <c r="F84" s="864">
        <f t="shared" si="4"/>
        <v>1</v>
      </c>
      <c r="G84" s="864">
        <f t="shared" si="5"/>
        <v>3</v>
      </c>
      <c r="H84" s="864">
        <f t="shared" si="6"/>
        <v>2023</v>
      </c>
      <c r="I84" s="879">
        <f t="shared" si="7"/>
        <v>56</v>
      </c>
      <c r="J84" s="867" cm="1">
        <f t="array" ref="J84">INDEX($E:$E,MATCH($J$10,IF($B:$B=$B84,$I:$I),1))</f>
        <v>72397</v>
      </c>
    </row>
    <row r="85" spans="2:10">
      <c r="B85" s="817" t="s">
        <v>558</v>
      </c>
      <c r="C85" s="817" t="s">
        <v>6127</v>
      </c>
      <c r="D85" s="866">
        <v>44949</v>
      </c>
      <c r="E85" s="817">
        <v>66717</v>
      </c>
      <c r="F85" s="864">
        <f t="shared" si="4"/>
        <v>1</v>
      </c>
      <c r="G85" s="864">
        <f t="shared" si="5"/>
        <v>4</v>
      </c>
      <c r="H85" s="864">
        <f t="shared" si="6"/>
        <v>2023</v>
      </c>
      <c r="I85" s="879">
        <f t="shared" si="7"/>
        <v>57</v>
      </c>
      <c r="J85" s="867" cm="1">
        <f t="array" ref="J85">INDEX($E:$E,MATCH($J$10,IF($B:$B=$B85,$I:$I),1))</f>
        <v>72397</v>
      </c>
    </row>
    <row r="86" spans="2:10">
      <c r="B86" s="817" t="s">
        <v>558</v>
      </c>
      <c r="C86" s="817" t="s">
        <v>6127</v>
      </c>
      <c r="D86" s="863">
        <v>44956</v>
      </c>
      <c r="E86" s="817">
        <v>67144</v>
      </c>
      <c r="F86" s="864">
        <f t="shared" si="4"/>
        <v>1</v>
      </c>
      <c r="G86" s="864">
        <f t="shared" si="5"/>
        <v>5</v>
      </c>
      <c r="H86" s="864">
        <f t="shared" si="6"/>
        <v>2023</v>
      </c>
      <c r="I86" s="879">
        <f t="shared" si="7"/>
        <v>58</v>
      </c>
      <c r="J86" s="867" cm="1">
        <f t="array" ref="J86">INDEX($E:$E,MATCH($J$10,IF($B:$B=$B86,$I:$I),1))</f>
        <v>72397</v>
      </c>
    </row>
    <row r="87" spans="2:10">
      <c r="B87" s="817" t="s">
        <v>558</v>
      </c>
      <c r="C87" s="817" t="s">
        <v>6127</v>
      </c>
      <c r="D87" s="866">
        <v>44963</v>
      </c>
      <c r="E87" s="817">
        <v>67511</v>
      </c>
      <c r="F87" s="864">
        <f t="shared" si="4"/>
        <v>2</v>
      </c>
      <c r="G87" s="864">
        <f t="shared" si="5"/>
        <v>6</v>
      </c>
      <c r="H87" s="864">
        <f t="shared" si="6"/>
        <v>2023</v>
      </c>
      <c r="I87" s="879">
        <f t="shared" si="7"/>
        <v>59</v>
      </c>
      <c r="J87" s="867" cm="1">
        <f t="array" ref="J87">INDEX($E:$E,MATCH($J$10,IF($B:$B=$B87,$I:$I),1))</f>
        <v>72397</v>
      </c>
    </row>
    <row r="88" spans="2:10">
      <c r="B88" s="817" t="s">
        <v>558</v>
      </c>
      <c r="C88" s="817" t="s">
        <v>6127</v>
      </c>
      <c r="D88" s="863">
        <v>44970</v>
      </c>
      <c r="E88" s="817">
        <v>67761</v>
      </c>
      <c r="F88" s="864">
        <f t="shared" si="4"/>
        <v>2</v>
      </c>
      <c r="G88" s="864">
        <f t="shared" si="5"/>
        <v>7</v>
      </c>
      <c r="H88" s="864">
        <f t="shared" si="6"/>
        <v>2023</v>
      </c>
      <c r="I88" s="879">
        <f t="shared" si="7"/>
        <v>60</v>
      </c>
      <c r="J88" s="867" cm="1">
        <f t="array" ref="J88">INDEX($E:$E,MATCH($J$10,IF($B:$B=$B88,$I:$I),1))</f>
        <v>72397</v>
      </c>
    </row>
    <row r="89" spans="2:10">
      <c r="B89" s="817" t="s">
        <v>558</v>
      </c>
      <c r="C89" s="817" t="s">
        <v>6127</v>
      </c>
      <c r="D89" s="866">
        <v>44977</v>
      </c>
      <c r="E89" s="817">
        <v>68304</v>
      </c>
      <c r="F89" s="864">
        <f t="shared" si="4"/>
        <v>2</v>
      </c>
      <c r="G89" s="864">
        <f t="shared" si="5"/>
        <v>8</v>
      </c>
      <c r="H89" s="864">
        <f t="shared" si="6"/>
        <v>2023</v>
      </c>
      <c r="I89" s="879">
        <f t="shared" si="7"/>
        <v>61</v>
      </c>
      <c r="J89" s="867" cm="1">
        <f t="array" ref="J89">INDEX($E:$E,MATCH($J$10,IF($B:$B=$B89,$I:$I),1))</f>
        <v>72397</v>
      </c>
    </row>
    <row r="90" spans="2:10">
      <c r="B90" s="817" t="s">
        <v>558</v>
      </c>
      <c r="C90" s="817" t="s">
        <v>6127</v>
      </c>
      <c r="D90" s="863">
        <v>44984</v>
      </c>
      <c r="E90" s="817">
        <v>68616</v>
      </c>
      <c r="F90" s="864">
        <f t="shared" si="4"/>
        <v>2</v>
      </c>
      <c r="G90" s="864">
        <f t="shared" si="5"/>
        <v>9</v>
      </c>
      <c r="H90" s="864">
        <f t="shared" si="6"/>
        <v>2023</v>
      </c>
      <c r="I90" s="879">
        <f t="shared" si="7"/>
        <v>62</v>
      </c>
      <c r="J90" s="867" cm="1">
        <f t="array" ref="J90">INDEX($E:$E,MATCH($J$10,IF($B:$B=$B90,$I:$I),1))</f>
        <v>72397</v>
      </c>
    </row>
    <row r="91" spans="2:10">
      <c r="B91" s="817" t="s">
        <v>558</v>
      </c>
      <c r="C91" s="817" t="s">
        <v>6127</v>
      </c>
      <c r="D91" s="866">
        <v>44991</v>
      </c>
      <c r="E91" s="817">
        <v>68869</v>
      </c>
      <c r="F91" s="864">
        <f t="shared" si="4"/>
        <v>3</v>
      </c>
      <c r="G91" s="864">
        <f t="shared" si="5"/>
        <v>10</v>
      </c>
      <c r="H91" s="864">
        <f t="shared" si="6"/>
        <v>2023</v>
      </c>
      <c r="I91" s="879">
        <f t="shared" si="7"/>
        <v>63</v>
      </c>
      <c r="J91" s="867" cm="1">
        <f t="array" ref="J91">INDEX($E:$E,MATCH($J$10,IF($B:$B=$B91,$I:$I),1))</f>
        <v>72397</v>
      </c>
    </row>
    <row r="92" spans="2:10">
      <c r="B92" s="817" t="s">
        <v>558</v>
      </c>
      <c r="C92" s="817" t="s">
        <v>6127</v>
      </c>
      <c r="D92" s="863">
        <v>45005</v>
      </c>
      <c r="E92" s="817">
        <v>69727</v>
      </c>
      <c r="F92" s="864">
        <f t="shared" si="4"/>
        <v>3</v>
      </c>
      <c r="G92" s="864">
        <f t="shared" si="5"/>
        <v>12</v>
      </c>
      <c r="H92" s="864">
        <f t="shared" si="6"/>
        <v>2023</v>
      </c>
      <c r="I92" s="879">
        <f t="shared" si="7"/>
        <v>65</v>
      </c>
      <c r="J92" s="867" cm="1">
        <f t="array" ref="J92">INDEX($E:$E,MATCH($J$10,IF($B:$B=$B92,$I:$I),1))</f>
        <v>72397</v>
      </c>
    </row>
    <row r="93" spans="2:10">
      <c r="B93" s="817" t="s">
        <v>558</v>
      </c>
      <c r="C93" s="817" t="s">
        <v>6127</v>
      </c>
      <c r="D93" s="863">
        <v>45013</v>
      </c>
      <c r="E93" s="817">
        <v>69996</v>
      </c>
      <c r="F93" s="864">
        <f t="shared" si="4"/>
        <v>3</v>
      </c>
      <c r="G93" s="864">
        <f t="shared" si="5"/>
        <v>13</v>
      </c>
      <c r="H93" s="864">
        <f t="shared" si="6"/>
        <v>2023</v>
      </c>
      <c r="I93" s="879">
        <f t="shared" si="7"/>
        <v>66</v>
      </c>
      <c r="J93" s="867" cm="1">
        <f t="array" ref="J93">INDEX($E:$E,MATCH($J$10,IF($B:$B=$B93,$I:$I),1))</f>
        <v>72397</v>
      </c>
    </row>
    <row r="94" spans="2:10">
      <c r="B94" s="817" t="s">
        <v>558</v>
      </c>
      <c r="C94" s="817" t="s">
        <v>6127</v>
      </c>
      <c r="D94" s="863">
        <v>45019</v>
      </c>
      <c r="E94" s="817">
        <v>70307</v>
      </c>
      <c r="F94" s="864">
        <f t="shared" si="4"/>
        <v>4</v>
      </c>
      <c r="G94" s="864">
        <f t="shared" si="5"/>
        <v>14</v>
      </c>
      <c r="H94" s="864">
        <f t="shared" si="6"/>
        <v>2023</v>
      </c>
      <c r="I94" s="879">
        <f t="shared" si="7"/>
        <v>67</v>
      </c>
      <c r="J94" s="867" cm="1">
        <f t="array" ref="J94">INDEX($E:$E,MATCH($J$10,IF($B:$B=$B94,$I:$I),1))</f>
        <v>72397</v>
      </c>
    </row>
    <row r="95" spans="2:10">
      <c r="B95" s="817" t="s">
        <v>558</v>
      </c>
      <c r="C95" s="817" t="s">
        <v>6127</v>
      </c>
      <c r="D95" s="863">
        <v>45027</v>
      </c>
      <c r="E95" s="817">
        <v>70917</v>
      </c>
      <c r="F95" s="864">
        <f t="shared" si="4"/>
        <v>4</v>
      </c>
      <c r="G95" s="864">
        <f t="shared" si="5"/>
        <v>15</v>
      </c>
      <c r="H95" s="864">
        <f t="shared" si="6"/>
        <v>2023</v>
      </c>
      <c r="I95" s="879">
        <f t="shared" si="7"/>
        <v>68</v>
      </c>
      <c r="J95" s="867" cm="1">
        <f t="array" ref="J95">INDEX($E:$E,MATCH($J$10,IF($B:$B=$B95,$I:$I),1))</f>
        <v>72397</v>
      </c>
    </row>
    <row r="96" spans="2:10">
      <c r="B96" s="817" t="s">
        <v>558</v>
      </c>
      <c r="C96" s="817" t="s">
        <v>6127</v>
      </c>
      <c r="D96" s="863">
        <v>45041</v>
      </c>
      <c r="E96" s="817">
        <v>71391</v>
      </c>
      <c r="F96" s="864">
        <f t="shared" si="4"/>
        <v>4</v>
      </c>
      <c r="G96" s="864">
        <f t="shared" si="5"/>
        <v>17</v>
      </c>
      <c r="H96" s="864">
        <f t="shared" si="6"/>
        <v>2023</v>
      </c>
      <c r="I96" s="879">
        <f t="shared" si="7"/>
        <v>70</v>
      </c>
      <c r="J96" s="867" cm="1">
        <f t="array" ref="J96">INDEX($E:$E,MATCH($J$10,IF($B:$B=$B96,$I:$I),1))</f>
        <v>72397</v>
      </c>
    </row>
    <row r="97" spans="2:10">
      <c r="B97" s="817" t="s">
        <v>558</v>
      </c>
      <c r="C97" s="817" t="s">
        <v>6127</v>
      </c>
      <c r="D97" s="863">
        <v>45048</v>
      </c>
      <c r="E97" s="817">
        <v>71446</v>
      </c>
      <c r="F97" s="864">
        <f t="shared" si="4"/>
        <v>5</v>
      </c>
      <c r="G97" s="864">
        <f t="shared" si="5"/>
        <v>18</v>
      </c>
      <c r="H97" s="864">
        <f t="shared" si="6"/>
        <v>2023</v>
      </c>
      <c r="I97" s="879">
        <f t="shared" si="7"/>
        <v>71</v>
      </c>
      <c r="J97" s="867" cm="1">
        <f t="array" ref="J97">INDEX($E:$E,MATCH($J$10,IF($B:$B=$B97,$I:$I),1))</f>
        <v>72397</v>
      </c>
    </row>
    <row r="98" spans="2:10">
      <c r="B98" s="817" t="s">
        <v>558</v>
      </c>
      <c r="C98" s="817" t="s">
        <v>6127</v>
      </c>
      <c r="D98" s="863">
        <v>45055</v>
      </c>
      <c r="E98" s="817">
        <v>72168</v>
      </c>
      <c r="F98" s="864">
        <f t="shared" si="4"/>
        <v>5</v>
      </c>
      <c r="G98" s="864">
        <f t="shared" si="5"/>
        <v>19</v>
      </c>
      <c r="H98" s="864">
        <f t="shared" si="6"/>
        <v>2023</v>
      </c>
      <c r="I98" s="879">
        <f t="shared" si="7"/>
        <v>72</v>
      </c>
      <c r="J98" s="867" cm="1">
        <f t="array" ref="J98">INDEX($E:$E,MATCH($J$10,IF($B:$B=$B98,$I:$I),1))</f>
        <v>72397</v>
      </c>
    </row>
    <row r="99" spans="2:10">
      <c r="B99" s="817" t="s">
        <v>558</v>
      </c>
      <c r="C99" s="817" t="s">
        <v>6127</v>
      </c>
      <c r="D99" s="863">
        <v>45069</v>
      </c>
      <c r="E99" s="817">
        <v>72397</v>
      </c>
      <c r="F99" s="864">
        <f t="shared" si="4"/>
        <v>5</v>
      </c>
      <c r="G99" s="864">
        <f t="shared" si="5"/>
        <v>21</v>
      </c>
      <c r="H99" s="864">
        <f t="shared" si="6"/>
        <v>2023</v>
      </c>
      <c r="I99" s="879">
        <f t="shared" si="7"/>
        <v>74</v>
      </c>
      <c r="J99" s="867" cm="1">
        <f t="array" ref="J99">INDEX($E:$E,MATCH($J$10,IF($B:$B=$B99,$I:$I),1))</f>
        <v>72397</v>
      </c>
    </row>
    <row r="100" spans="2:10">
      <c r="B100" s="817" t="s">
        <v>558</v>
      </c>
      <c r="C100" s="817" t="s">
        <v>6127</v>
      </c>
      <c r="D100" s="863">
        <v>45083</v>
      </c>
      <c r="E100" s="817">
        <v>70435</v>
      </c>
      <c r="F100" s="864">
        <f t="shared" si="4"/>
        <v>6</v>
      </c>
      <c r="G100" s="864">
        <f t="shared" si="5"/>
        <v>23</v>
      </c>
      <c r="H100" s="864">
        <f t="shared" si="6"/>
        <v>2023</v>
      </c>
      <c r="I100" s="879">
        <f t="shared" si="7"/>
        <v>76</v>
      </c>
      <c r="J100" s="867" cm="1">
        <f t="array" ref="J100">INDEX($E:$E,MATCH($J$10,IF($B:$B=$B100,$I:$I),1))</f>
        <v>72397</v>
      </c>
    </row>
    <row r="101" spans="2:10">
      <c r="B101" s="817" t="s">
        <v>673</v>
      </c>
      <c r="C101" s="817" t="s">
        <v>6128</v>
      </c>
      <c r="D101" s="866">
        <v>44713</v>
      </c>
      <c r="E101" s="817">
        <v>78714</v>
      </c>
      <c r="F101" s="864">
        <f t="shared" si="4"/>
        <v>6</v>
      </c>
      <c r="G101" s="864">
        <f t="shared" si="5"/>
        <v>23</v>
      </c>
      <c r="H101" s="864">
        <f t="shared" si="6"/>
        <v>2022</v>
      </c>
      <c r="I101" s="879">
        <f t="shared" si="7"/>
        <v>23</v>
      </c>
      <c r="J101" s="867" cm="1">
        <f t="array" ref="J101">INDEX($E:$E,MATCH($J$10,IF($B:$B=$B101,$I:$I),1))</f>
        <v>51365</v>
      </c>
    </row>
    <row r="102" spans="2:10">
      <c r="B102" s="817" t="s">
        <v>673</v>
      </c>
      <c r="C102" s="817" t="s">
        <v>6128</v>
      </c>
      <c r="D102" s="863">
        <v>44719</v>
      </c>
      <c r="E102" s="817">
        <v>78291</v>
      </c>
      <c r="F102" s="864">
        <f t="shared" si="4"/>
        <v>6</v>
      </c>
      <c r="G102" s="864">
        <f t="shared" si="5"/>
        <v>24</v>
      </c>
      <c r="H102" s="864">
        <f t="shared" si="6"/>
        <v>2022</v>
      </c>
      <c r="I102" s="879">
        <f t="shared" si="7"/>
        <v>24</v>
      </c>
      <c r="J102" s="867" cm="1">
        <f t="array" ref="J102">INDEX($E:$E,MATCH($J$10,IF($B:$B=$B102,$I:$I),1))</f>
        <v>51365</v>
      </c>
    </row>
    <row r="103" spans="2:10">
      <c r="B103" s="817" t="s">
        <v>673</v>
      </c>
      <c r="C103" s="817" t="s">
        <v>6128</v>
      </c>
      <c r="D103" s="866">
        <v>44726</v>
      </c>
      <c r="E103" s="817">
        <v>79196</v>
      </c>
      <c r="F103" s="864">
        <f t="shared" si="4"/>
        <v>6</v>
      </c>
      <c r="G103" s="864">
        <f t="shared" si="5"/>
        <v>25</v>
      </c>
      <c r="H103" s="864">
        <f t="shared" si="6"/>
        <v>2022</v>
      </c>
      <c r="I103" s="879">
        <f t="shared" si="7"/>
        <v>25</v>
      </c>
      <c r="J103" s="867" cm="1">
        <f t="array" ref="J103">INDEX($E:$E,MATCH($J$10,IF($B:$B=$B103,$I:$I),1))</f>
        <v>51365</v>
      </c>
    </row>
    <row r="104" spans="2:10">
      <c r="B104" s="817" t="s">
        <v>673</v>
      </c>
      <c r="C104" s="817" t="s">
        <v>6128</v>
      </c>
      <c r="D104" s="863">
        <v>44733</v>
      </c>
      <c r="E104" s="817">
        <v>82071</v>
      </c>
      <c r="F104" s="864">
        <f t="shared" si="4"/>
        <v>6</v>
      </c>
      <c r="G104" s="864">
        <f t="shared" si="5"/>
        <v>26</v>
      </c>
      <c r="H104" s="864">
        <f t="shared" si="6"/>
        <v>2022</v>
      </c>
      <c r="I104" s="879">
        <f t="shared" si="7"/>
        <v>26</v>
      </c>
      <c r="J104" s="867" cm="1">
        <f t="array" ref="J104">INDEX($E:$E,MATCH($J$10,IF($B:$B=$B104,$I:$I),1))</f>
        <v>51365</v>
      </c>
    </row>
    <row r="105" spans="2:10">
      <c r="B105" s="817" t="s">
        <v>673</v>
      </c>
      <c r="C105" s="817" t="s">
        <v>6128</v>
      </c>
      <c r="D105" s="866">
        <v>44740</v>
      </c>
      <c r="E105" s="817">
        <v>82432</v>
      </c>
      <c r="F105" s="864">
        <f t="shared" si="4"/>
        <v>6</v>
      </c>
      <c r="G105" s="864">
        <f t="shared" si="5"/>
        <v>27</v>
      </c>
      <c r="H105" s="864">
        <f t="shared" si="6"/>
        <v>2022</v>
      </c>
      <c r="I105" s="879">
        <f t="shared" si="7"/>
        <v>27</v>
      </c>
      <c r="J105" s="867" cm="1">
        <f t="array" ref="J105">INDEX($E:$E,MATCH($J$10,IF($B:$B=$B105,$I:$I),1))</f>
        <v>51365</v>
      </c>
    </row>
    <row r="106" spans="2:10">
      <c r="B106" s="817" t="s">
        <v>673</v>
      </c>
      <c r="C106" s="817" t="s">
        <v>6128</v>
      </c>
      <c r="D106" s="863">
        <v>44747</v>
      </c>
      <c r="E106" s="817">
        <v>84498</v>
      </c>
      <c r="F106" s="864">
        <f t="shared" si="4"/>
        <v>7</v>
      </c>
      <c r="G106" s="864">
        <f t="shared" si="5"/>
        <v>28</v>
      </c>
      <c r="H106" s="864">
        <f t="shared" si="6"/>
        <v>2022</v>
      </c>
      <c r="I106" s="879">
        <f t="shared" si="7"/>
        <v>28</v>
      </c>
      <c r="J106" s="867" cm="1">
        <f t="array" ref="J106">INDEX($E:$E,MATCH($J$10,IF($B:$B=$B106,$I:$I),1))</f>
        <v>51365</v>
      </c>
    </row>
    <row r="107" spans="2:10">
      <c r="B107" s="817" t="s">
        <v>673</v>
      </c>
      <c r="C107" s="817" t="s">
        <v>6128</v>
      </c>
      <c r="D107" s="866">
        <v>44753</v>
      </c>
      <c r="E107" s="817">
        <v>87510</v>
      </c>
      <c r="F107" s="864">
        <f t="shared" si="4"/>
        <v>7</v>
      </c>
      <c r="G107" s="864">
        <f t="shared" si="5"/>
        <v>29</v>
      </c>
      <c r="H107" s="864">
        <f t="shared" si="6"/>
        <v>2022</v>
      </c>
      <c r="I107" s="879">
        <f t="shared" si="7"/>
        <v>29</v>
      </c>
      <c r="J107" s="867" cm="1">
        <f t="array" ref="J107">INDEX($E:$E,MATCH($J$10,IF($B:$B=$B107,$I:$I),1))</f>
        <v>51365</v>
      </c>
    </row>
    <row r="108" spans="2:10">
      <c r="B108" s="817" t="s">
        <v>673</v>
      </c>
      <c r="C108" s="817" t="s">
        <v>6128</v>
      </c>
      <c r="D108" s="863">
        <v>44761</v>
      </c>
      <c r="E108" s="817">
        <v>86584</v>
      </c>
      <c r="F108" s="864">
        <f t="shared" si="4"/>
        <v>7</v>
      </c>
      <c r="G108" s="864">
        <f t="shared" si="5"/>
        <v>30</v>
      </c>
      <c r="H108" s="864">
        <f t="shared" si="6"/>
        <v>2022</v>
      </c>
      <c r="I108" s="879">
        <f t="shared" si="7"/>
        <v>30</v>
      </c>
      <c r="J108" s="867" cm="1">
        <f t="array" ref="J108">INDEX($E:$E,MATCH($J$10,IF($B:$B=$B108,$I:$I),1))</f>
        <v>51365</v>
      </c>
    </row>
    <row r="109" spans="2:10">
      <c r="B109" s="817" t="s">
        <v>673</v>
      </c>
      <c r="C109" s="817" t="s">
        <v>6128</v>
      </c>
      <c r="D109" s="866">
        <v>44768</v>
      </c>
      <c r="E109" s="817">
        <v>86950</v>
      </c>
      <c r="F109" s="864">
        <f t="shared" si="4"/>
        <v>7</v>
      </c>
      <c r="G109" s="864">
        <f t="shared" si="5"/>
        <v>31</v>
      </c>
      <c r="H109" s="864">
        <f t="shared" si="6"/>
        <v>2022</v>
      </c>
      <c r="I109" s="879">
        <f t="shared" si="7"/>
        <v>31</v>
      </c>
      <c r="J109" s="867" cm="1">
        <f t="array" ref="J109">INDEX($E:$E,MATCH($J$10,IF($B:$B=$B109,$I:$I),1))</f>
        <v>51365</v>
      </c>
    </row>
    <row r="110" spans="2:10">
      <c r="B110" s="817" t="s">
        <v>673</v>
      </c>
      <c r="C110" s="817" t="s">
        <v>6128</v>
      </c>
      <c r="D110" s="863">
        <v>44775</v>
      </c>
      <c r="E110" s="817">
        <v>85119</v>
      </c>
      <c r="F110" s="864">
        <f t="shared" si="4"/>
        <v>8</v>
      </c>
      <c r="G110" s="864">
        <f t="shared" si="5"/>
        <v>32</v>
      </c>
      <c r="H110" s="864">
        <f t="shared" si="6"/>
        <v>2022</v>
      </c>
      <c r="I110" s="879">
        <f t="shared" si="7"/>
        <v>32</v>
      </c>
      <c r="J110" s="867" cm="1">
        <f t="array" ref="J110">INDEX($E:$E,MATCH($J$10,IF($B:$B=$B110,$I:$I),1))</f>
        <v>51365</v>
      </c>
    </row>
    <row r="111" spans="2:10">
      <c r="B111" s="817" t="s">
        <v>673</v>
      </c>
      <c r="C111" s="817" t="s">
        <v>6128</v>
      </c>
      <c r="D111" s="866">
        <v>44782</v>
      </c>
      <c r="E111" s="817">
        <v>86489</v>
      </c>
      <c r="F111" s="864">
        <f t="shared" si="4"/>
        <v>8</v>
      </c>
      <c r="G111" s="864">
        <f t="shared" si="5"/>
        <v>33</v>
      </c>
      <c r="H111" s="864">
        <f t="shared" si="6"/>
        <v>2022</v>
      </c>
      <c r="I111" s="879">
        <f t="shared" si="7"/>
        <v>33</v>
      </c>
      <c r="J111" s="867" cm="1">
        <f t="array" ref="J111">INDEX($E:$E,MATCH($J$10,IF($B:$B=$B111,$I:$I),1))</f>
        <v>51365</v>
      </c>
    </row>
    <row r="112" spans="2:10">
      <c r="B112" s="817" t="s">
        <v>673</v>
      </c>
      <c r="C112" s="817" t="s">
        <v>6128</v>
      </c>
      <c r="D112" s="863">
        <v>44789</v>
      </c>
      <c r="E112" s="817">
        <v>86722</v>
      </c>
      <c r="F112" s="864">
        <f t="shared" si="4"/>
        <v>8</v>
      </c>
      <c r="G112" s="864">
        <f t="shared" si="5"/>
        <v>34</v>
      </c>
      <c r="H112" s="864">
        <f t="shared" si="6"/>
        <v>2022</v>
      </c>
      <c r="I112" s="879">
        <f t="shared" si="7"/>
        <v>34</v>
      </c>
      <c r="J112" s="867" cm="1">
        <f t="array" ref="J112">INDEX($E:$E,MATCH($J$10,IF($B:$B=$B112,$I:$I),1))</f>
        <v>51365</v>
      </c>
    </row>
    <row r="113" spans="2:10">
      <c r="B113" s="817" t="s">
        <v>673</v>
      </c>
      <c r="C113" s="817" t="s">
        <v>6128</v>
      </c>
      <c r="D113" s="866">
        <v>44796</v>
      </c>
      <c r="E113" s="817">
        <v>85281</v>
      </c>
      <c r="F113" s="864">
        <f t="shared" si="4"/>
        <v>8</v>
      </c>
      <c r="G113" s="864">
        <f t="shared" si="5"/>
        <v>35</v>
      </c>
      <c r="H113" s="864">
        <f t="shared" si="6"/>
        <v>2022</v>
      </c>
      <c r="I113" s="879">
        <f t="shared" si="7"/>
        <v>35</v>
      </c>
      <c r="J113" s="867" cm="1">
        <f t="array" ref="J113">INDEX($E:$E,MATCH($J$10,IF($B:$B=$B113,$I:$I),1))</f>
        <v>51365</v>
      </c>
    </row>
    <row r="114" spans="2:10">
      <c r="B114" s="817" t="s">
        <v>673</v>
      </c>
      <c r="C114" s="817" t="s">
        <v>6128</v>
      </c>
      <c r="D114" s="863">
        <v>44803</v>
      </c>
      <c r="E114" s="817">
        <v>77114</v>
      </c>
      <c r="F114" s="864">
        <f t="shared" si="4"/>
        <v>8</v>
      </c>
      <c r="G114" s="864">
        <f t="shared" si="5"/>
        <v>36</v>
      </c>
      <c r="H114" s="864">
        <f t="shared" si="6"/>
        <v>2022</v>
      </c>
      <c r="I114" s="879">
        <f t="shared" si="7"/>
        <v>36</v>
      </c>
      <c r="J114" s="867" cm="1">
        <f t="array" ref="J114">INDEX($E:$E,MATCH($J$10,IF($B:$B=$B114,$I:$I),1))</f>
        <v>51365</v>
      </c>
    </row>
    <row r="115" spans="2:10">
      <c r="B115" s="817" t="s">
        <v>673</v>
      </c>
      <c r="C115" s="817" t="s">
        <v>6128</v>
      </c>
      <c r="D115" s="866">
        <v>44810</v>
      </c>
      <c r="E115" s="817">
        <v>70503</v>
      </c>
      <c r="F115" s="864">
        <f t="shared" si="4"/>
        <v>9</v>
      </c>
      <c r="G115" s="864">
        <f t="shared" si="5"/>
        <v>37</v>
      </c>
      <c r="H115" s="864">
        <f t="shared" si="6"/>
        <v>2022</v>
      </c>
      <c r="I115" s="879">
        <f t="shared" si="7"/>
        <v>37</v>
      </c>
      <c r="J115" s="867" cm="1">
        <f t="array" ref="J115">INDEX($E:$E,MATCH($J$10,IF($B:$B=$B115,$I:$I),1))</f>
        <v>51365</v>
      </c>
    </row>
    <row r="116" spans="2:10">
      <c r="B116" s="817" t="s">
        <v>673</v>
      </c>
      <c r="C116" s="817" t="s">
        <v>6128</v>
      </c>
      <c r="D116" s="863">
        <v>44817</v>
      </c>
      <c r="E116" s="817">
        <v>67467</v>
      </c>
      <c r="F116" s="864">
        <f t="shared" si="4"/>
        <v>9</v>
      </c>
      <c r="G116" s="864">
        <f t="shared" si="5"/>
        <v>38</v>
      </c>
      <c r="H116" s="864">
        <f t="shared" si="6"/>
        <v>2022</v>
      </c>
      <c r="I116" s="879">
        <f t="shared" si="7"/>
        <v>38</v>
      </c>
      <c r="J116" s="867" cm="1">
        <f t="array" ref="J116">INDEX($E:$E,MATCH($J$10,IF($B:$B=$B116,$I:$I),1))</f>
        <v>51365</v>
      </c>
    </row>
    <row r="117" spans="2:10">
      <c r="B117" s="817" t="s">
        <v>673</v>
      </c>
      <c r="C117" s="817" t="s">
        <v>6128</v>
      </c>
      <c r="D117" s="866">
        <v>44824</v>
      </c>
      <c r="E117" s="817">
        <v>61070</v>
      </c>
      <c r="F117" s="864">
        <f t="shared" si="4"/>
        <v>9</v>
      </c>
      <c r="G117" s="864">
        <f t="shared" si="5"/>
        <v>39</v>
      </c>
      <c r="H117" s="864">
        <f t="shared" si="6"/>
        <v>2022</v>
      </c>
      <c r="I117" s="879">
        <f t="shared" si="7"/>
        <v>39</v>
      </c>
      <c r="J117" s="867" cm="1">
        <f t="array" ref="J117">INDEX($E:$E,MATCH($J$10,IF($B:$B=$B117,$I:$I),1))</f>
        <v>51365</v>
      </c>
    </row>
    <row r="118" spans="2:10">
      <c r="B118" s="817" t="s">
        <v>673</v>
      </c>
      <c r="C118" s="817" t="s">
        <v>6128</v>
      </c>
      <c r="D118" s="863">
        <v>44831</v>
      </c>
      <c r="E118" s="817">
        <v>56734</v>
      </c>
      <c r="F118" s="864">
        <f t="shared" si="4"/>
        <v>9</v>
      </c>
      <c r="G118" s="864">
        <f t="shared" si="5"/>
        <v>40</v>
      </c>
      <c r="H118" s="864">
        <f t="shared" si="6"/>
        <v>2022</v>
      </c>
      <c r="I118" s="879">
        <f t="shared" si="7"/>
        <v>40</v>
      </c>
      <c r="J118" s="867" cm="1">
        <f t="array" ref="J118">INDEX($E:$E,MATCH($J$10,IF($B:$B=$B118,$I:$I),1))</f>
        <v>51365</v>
      </c>
    </row>
    <row r="119" spans="2:10">
      <c r="B119" s="817" t="s">
        <v>673</v>
      </c>
      <c r="C119" s="817" t="s">
        <v>6128</v>
      </c>
      <c r="D119" s="866">
        <v>44845</v>
      </c>
      <c r="E119" s="817">
        <v>53057</v>
      </c>
      <c r="F119" s="864">
        <f t="shared" si="4"/>
        <v>10</v>
      </c>
      <c r="G119" s="864">
        <f t="shared" si="5"/>
        <v>42</v>
      </c>
      <c r="H119" s="864">
        <f t="shared" si="6"/>
        <v>2022</v>
      </c>
      <c r="I119" s="879">
        <f t="shared" si="7"/>
        <v>42</v>
      </c>
      <c r="J119" s="867" cm="1">
        <f t="array" ref="J119">INDEX($E:$E,MATCH($J$10,IF($B:$B=$B119,$I:$I),1))</f>
        <v>51365</v>
      </c>
    </row>
    <row r="120" spans="2:10">
      <c r="B120" s="817" t="s">
        <v>673</v>
      </c>
      <c r="C120" s="817" t="s">
        <v>6128</v>
      </c>
      <c r="D120" s="863">
        <v>44852</v>
      </c>
      <c r="E120" s="817">
        <v>54878</v>
      </c>
      <c r="F120" s="864">
        <f t="shared" si="4"/>
        <v>10</v>
      </c>
      <c r="G120" s="864">
        <f t="shared" si="5"/>
        <v>43</v>
      </c>
      <c r="H120" s="864">
        <f t="shared" si="6"/>
        <v>2022</v>
      </c>
      <c r="I120" s="879">
        <f t="shared" si="7"/>
        <v>43</v>
      </c>
      <c r="J120" s="867" cm="1">
        <f t="array" ref="J120">INDEX($E:$E,MATCH($J$10,IF($B:$B=$B120,$I:$I),1))</f>
        <v>51365</v>
      </c>
    </row>
    <row r="121" spans="2:10">
      <c r="B121" s="817" t="s">
        <v>673</v>
      </c>
      <c r="C121" s="817" t="s">
        <v>6128</v>
      </c>
      <c r="D121" s="866">
        <v>44859</v>
      </c>
      <c r="E121" s="817">
        <v>55257</v>
      </c>
      <c r="F121" s="864">
        <f t="shared" si="4"/>
        <v>10</v>
      </c>
      <c r="G121" s="864">
        <f t="shared" si="5"/>
        <v>44</v>
      </c>
      <c r="H121" s="864">
        <f t="shared" si="6"/>
        <v>2022</v>
      </c>
      <c r="I121" s="879">
        <f t="shared" si="7"/>
        <v>44</v>
      </c>
      <c r="J121" s="867" cm="1">
        <f t="array" ref="J121">INDEX($E:$E,MATCH($J$10,IF($B:$B=$B121,$I:$I),1))</f>
        <v>51365</v>
      </c>
    </row>
    <row r="122" spans="2:10">
      <c r="B122" s="817" t="s">
        <v>673</v>
      </c>
      <c r="C122" s="817" t="s">
        <v>6128</v>
      </c>
      <c r="D122" s="863">
        <v>44866</v>
      </c>
      <c r="E122" s="817">
        <v>55016</v>
      </c>
      <c r="F122" s="864">
        <f t="shared" si="4"/>
        <v>11</v>
      </c>
      <c r="G122" s="864">
        <f t="shared" si="5"/>
        <v>45</v>
      </c>
      <c r="H122" s="864">
        <f t="shared" si="6"/>
        <v>2022</v>
      </c>
      <c r="I122" s="879">
        <f t="shared" si="7"/>
        <v>45</v>
      </c>
      <c r="J122" s="867" cm="1">
        <f t="array" ref="J122">INDEX($E:$E,MATCH($J$10,IF($B:$B=$B122,$I:$I),1))</f>
        <v>51365</v>
      </c>
    </row>
    <row r="123" spans="2:10">
      <c r="B123" s="817" t="s">
        <v>673</v>
      </c>
      <c r="C123" s="817" t="s">
        <v>6128</v>
      </c>
      <c r="D123" s="866">
        <v>44880</v>
      </c>
      <c r="E123" s="817">
        <v>53095</v>
      </c>
      <c r="F123" s="864">
        <f t="shared" si="4"/>
        <v>11</v>
      </c>
      <c r="G123" s="864">
        <f t="shared" si="5"/>
        <v>47</v>
      </c>
      <c r="H123" s="864">
        <f t="shared" si="6"/>
        <v>2022</v>
      </c>
      <c r="I123" s="879">
        <f t="shared" si="7"/>
        <v>47</v>
      </c>
      <c r="J123" s="867" cm="1">
        <f t="array" ref="J123">INDEX($E:$E,MATCH($J$10,IF($B:$B=$B123,$I:$I),1))</f>
        <v>51365</v>
      </c>
    </row>
    <row r="124" spans="2:10">
      <c r="B124" s="817" t="s">
        <v>673</v>
      </c>
      <c r="C124" s="817" t="s">
        <v>6128</v>
      </c>
      <c r="D124" s="863">
        <v>44887</v>
      </c>
      <c r="E124" s="817">
        <v>51864</v>
      </c>
      <c r="F124" s="864">
        <f t="shared" si="4"/>
        <v>11</v>
      </c>
      <c r="G124" s="864">
        <f t="shared" si="5"/>
        <v>48</v>
      </c>
      <c r="H124" s="864">
        <f t="shared" si="6"/>
        <v>2022</v>
      </c>
      <c r="I124" s="879">
        <f t="shared" si="7"/>
        <v>48</v>
      </c>
      <c r="J124" s="867" cm="1">
        <f t="array" ref="J124">INDEX($E:$E,MATCH($J$10,IF($B:$B=$B124,$I:$I),1))</f>
        <v>51365</v>
      </c>
    </row>
    <row r="125" spans="2:10">
      <c r="B125" s="817" t="s">
        <v>673</v>
      </c>
      <c r="C125" s="817" t="s">
        <v>6128</v>
      </c>
      <c r="D125" s="866">
        <v>44894</v>
      </c>
      <c r="E125" s="817">
        <v>51516</v>
      </c>
      <c r="F125" s="864">
        <f t="shared" si="4"/>
        <v>11</v>
      </c>
      <c r="G125" s="864">
        <f t="shared" si="5"/>
        <v>49</v>
      </c>
      <c r="H125" s="864">
        <f t="shared" si="6"/>
        <v>2022</v>
      </c>
      <c r="I125" s="879">
        <f t="shared" si="7"/>
        <v>49</v>
      </c>
      <c r="J125" s="867" cm="1">
        <f t="array" ref="J125">INDEX($E:$E,MATCH($J$10,IF($B:$B=$B125,$I:$I),1))</f>
        <v>51365</v>
      </c>
    </row>
    <row r="126" spans="2:10">
      <c r="B126" s="817" t="s">
        <v>673</v>
      </c>
      <c r="C126" s="817" t="s">
        <v>6128</v>
      </c>
      <c r="D126" s="863">
        <v>44908</v>
      </c>
      <c r="E126" s="817">
        <v>51140</v>
      </c>
      <c r="F126" s="864">
        <f t="shared" si="4"/>
        <v>12</v>
      </c>
      <c r="G126" s="864">
        <f t="shared" si="5"/>
        <v>51</v>
      </c>
      <c r="H126" s="864">
        <f t="shared" si="6"/>
        <v>2022</v>
      </c>
      <c r="I126" s="879">
        <f t="shared" si="7"/>
        <v>51</v>
      </c>
      <c r="J126" s="867" cm="1">
        <f t="array" ref="J126">INDEX($E:$E,MATCH($J$10,IF($B:$B=$B126,$I:$I),1))</f>
        <v>51365</v>
      </c>
    </row>
    <row r="127" spans="2:10">
      <c r="B127" s="817" t="s">
        <v>673</v>
      </c>
      <c r="C127" s="817" t="s">
        <v>6128</v>
      </c>
      <c r="D127" s="866">
        <v>44936</v>
      </c>
      <c r="E127" s="817">
        <v>50601</v>
      </c>
      <c r="F127" s="864">
        <f t="shared" si="4"/>
        <v>1</v>
      </c>
      <c r="G127" s="864">
        <f t="shared" si="5"/>
        <v>2</v>
      </c>
      <c r="H127" s="864">
        <f t="shared" si="6"/>
        <v>2023</v>
      </c>
      <c r="I127" s="879">
        <f t="shared" si="7"/>
        <v>55</v>
      </c>
      <c r="J127" s="867" cm="1">
        <f t="array" ref="J127">INDEX($E:$E,MATCH($J$10,IF($B:$B=$B127,$I:$I),1))</f>
        <v>51365</v>
      </c>
    </row>
    <row r="128" spans="2:10">
      <c r="B128" s="817" t="s">
        <v>673</v>
      </c>
      <c r="C128" s="817" t="s">
        <v>6128</v>
      </c>
      <c r="D128" s="863">
        <v>44942</v>
      </c>
      <c r="E128" s="817">
        <v>50325</v>
      </c>
      <c r="F128" s="864">
        <f t="shared" si="4"/>
        <v>1</v>
      </c>
      <c r="G128" s="864">
        <f t="shared" si="5"/>
        <v>3</v>
      </c>
      <c r="H128" s="864">
        <f t="shared" si="6"/>
        <v>2023</v>
      </c>
      <c r="I128" s="879">
        <f t="shared" si="7"/>
        <v>56</v>
      </c>
      <c r="J128" s="867" cm="1">
        <f t="array" ref="J128">INDEX($E:$E,MATCH($J$10,IF($B:$B=$B128,$I:$I),1))</f>
        <v>51365</v>
      </c>
    </row>
    <row r="129" spans="2:10">
      <c r="B129" s="817" t="s">
        <v>673</v>
      </c>
      <c r="C129" s="817" t="s">
        <v>6128</v>
      </c>
      <c r="D129" s="866">
        <v>44947</v>
      </c>
      <c r="E129" s="817">
        <v>50219</v>
      </c>
      <c r="F129" s="864">
        <f t="shared" si="4"/>
        <v>1</v>
      </c>
      <c r="G129" s="864">
        <f t="shared" si="5"/>
        <v>3</v>
      </c>
      <c r="H129" s="864">
        <f t="shared" si="6"/>
        <v>2023</v>
      </c>
      <c r="I129" s="879">
        <f t="shared" si="7"/>
        <v>56</v>
      </c>
      <c r="J129" s="867" cm="1">
        <f t="array" ref="J129">INDEX($E:$E,MATCH($J$10,IF($B:$B=$B129,$I:$I),1))</f>
        <v>51365</v>
      </c>
    </row>
    <row r="130" spans="2:10">
      <c r="B130" s="817" t="s">
        <v>673</v>
      </c>
      <c r="C130" s="817" t="s">
        <v>6128</v>
      </c>
      <c r="D130" s="863">
        <v>44955</v>
      </c>
      <c r="E130" s="817">
        <v>49805</v>
      </c>
      <c r="F130" s="864">
        <f t="shared" si="4"/>
        <v>1</v>
      </c>
      <c r="G130" s="864">
        <f t="shared" si="5"/>
        <v>5</v>
      </c>
      <c r="H130" s="864">
        <f t="shared" si="6"/>
        <v>2023</v>
      </c>
      <c r="I130" s="879">
        <f t="shared" si="7"/>
        <v>58</v>
      </c>
      <c r="J130" s="867" cm="1">
        <f t="array" ref="J130">INDEX($E:$E,MATCH($J$10,IF($B:$B=$B130,$I:$I),1))</f>
        <v>51365</v>
      </c>
    </row>
    <row r="131" spans="2:10">
      <c r="B131" s="817" t="s">
        <v>673</v>
      </c>
      <c r="C131" s="817" t="s">
        <v>6128</v>
      </c>
      <c r="D131" s="866">
        <v>44963</v>
      </c>
      <c r="E131" s="817">
        <v>49897</v>
      </c>
      <c r="F131" s="864">
        <f t="shared" si="4"/>
        <v>2</v>
      </c>
      <c r="G131" s="864">
        <f t="shared" si="5"/>
        <v>6</v>
      </c>
      <c r="H131" s="864">
        <f t="shared" si="6"/>
        <v>2023</v>
      </c>
      <c r="I131" s="879">
        <f t="shared" si="7"/>
        <v>59</v>
      </c>
      <c r="J131" s="867" cm="1">
        <f t="array" ref="J131">INDEX($E:$E,MATCH($J$10,IF($B:$B=$B131,$I:$I),1))</f>
        <v>51365</v>
      </c>
    </row>
    <row r="132" spans="2:10">
      <c r="B132" s="817" t="s">
        <v>673</v>
      </c>
      <c r="C132" s="817" t="s">
        <v>6128</v>
      </c>
      <c r="D132" s="863">
        <v>44970</v>
      </c>
      <c r="E132" s="817">
        <v>50373</v>
      </c>
      <c r="F132" s="864">
        <f t="shared" si="4"/>
        <v>2</v>
      </c>
      <c r="G132" s="864">
        <f t="shared" si="5"/>
        <v>7</v>
      </c>
      <c r="H132" s="864">
        <f t="shared" si="6"/>
        <v>2023</v>
      </c>
      <c r="I132" s="879">
        <f t="shared" si="7"/>
        <v>60</v>
      </c>
      <c r="J132" s="867" cm="1">
        <f t="array" ref="J132">INDEX($E:$E,MATCH($J$10,IF($B:$B=$B132,$I:$I),1))</f>
        <v>51365</v>
      </c>
    </row>
    <row r="133" spans="2:10">
      <c r="B133" s="817" t="s">
        <v>673</v>
      </c>
      <c r="C133" s="817" t="s">
        <v>6128</v>
      </c>
      <c r="D133" s="866">
        <v>44978</v>
      </c>
      <c r="E133" s="817">
        <v>50676</v>
      </c>
      <c r="F133" s="864">
        <f t="shared" si="4"/>
        <v>2</v>
      </c>
      <c r="G133" s="864">
        <f t="shared" si="5"/>
        <v>8</v>
      </c>
      <c r="H133" s="864">
        <f t="shared" si="6"/>
        <v>2023</v>
      </c>
      <c r="I133" s="879">
        <f t="shared" si="7"/>
        <v>61</v>
      </c>
      <c r="J133" s="867" cm="1">
        <f t="array" ref="J133">INDEX($E:$E,MATCH($J$10,IF($B:$B=$B133,$I:$I),1))</f>
        <v>51365</v>
      </c>
    </row>
    <row r="134" spans="2:10">
      <c r="B134" s="817" t="s">
        <v>673</v>
      </c>
      <c r="C134" s="817" t="s">
        <v>6128</v>
      </c>
      <c r="D134" s="863">
        <v>44985</v>
      </c>
      <c r="E134" s="817">
        <v>50592</v>
      </c>
      <c r="F134" s="864">
        <f t="shared" si="4"/>
        <v>2</v>
      </c>
      <c r="G134" s="864">
        <f t="shared" si="5"/>
        <v>9</v>
      </c>
      <c r="H134" s="864">
        <f t="shared" si="6"/>
        <v>2023</v>
      </c>
      <c r="I134" s="879">
        <f t="shared" si="7"/>
        <v>62</v>
      </c>
      <c r="J134" s="867" cm="1">
        <f t="array" ref="J134">INDEX($E:$E,MATCH($J$10,IF($B:$B=$B134,$I:$I),1))</f>
        <v>51365</v>
      </c>
    </row>
    <row r="135" spans="2:10">
      <c r="B135" s="817" t="s">
        <v>673</v>
      </c>
      <c r="C135" s="817" t="s">
        <v>6128</v>
      </c>
      <c r="D135" s="866">
        <v>44992</v>
      </c>
      <c r="E135" s="817">
        <v>50112</v>
      </c>
      <c r="F135" s="864">
        <f t="shared" si="4"/>
        <v>3</v>
      </c>
      <c r="G135" s="864">
        <f t="shared" si="5"/>
        <v>10</v>
      </c>
      <c r="H135" s="864">
        <f t="shared" si="6"/>
        <v>2023</v>
      </c>
      <c r="I135" s="879">
        <f t="shared" si="7"/>
        <v>63</v>
      </c>
      <c r="J135" s="867" cm="1">
        <f t="array" ref="J135">INDEX($E:$E,MATCH($J$10,IF($B:$B=$B135,$I:$I),1))</f>
        <v>51365</v>
      </c>
    </row>
    <row r="136" spans="2:10">
      <c r="B136" s="817" t="s">
        <v>673</v>
      </c>
      <c r="C136" s="817" t="s">
        <v>6128</v>
      </c>
      <c r="D136" s="863">
        <v>44999</v>
      </c>
      <c r="E136" s="817">
        <v>49610</v>
      </c>
      <c r="F136" s="864">
        <f t="shared" si="4"/>
        <v>3</v>
      </c>
      <c r="G136" s="864">
        <f t="shared" si="5"/>
        <v>11</v>
      </c>
      <c r="H136" s="864">
        <f t="shared" si="6"/>
        <v>2023</v>
      </c>
      <c r="I136" s="879">
        <f t="shared" si="7"/>
        <v>64</v>
      </c>
      <c r="J136" s="867" cm="1">
        <f t="array" ref="J136">INDEX($E:$E,MATCH($J$10,IF($B:$B=$B136,$I:$I),1))</f>
        <v>51365</v>
      </c>
    </row>
    <row r="137" spans="2:10">
      <c r="B137" s="817" t="s">
        <v>673</v>
      </c>
      <c r="C137" s="817" t="s">
        <v>6128</v>
      </c>
      <c r="D137" s="863">
        <v>45012</v>
      </c>
      <c r="E137" s="817">
        <v>49400</v>
      </c>
      <c r="F137" s="864">
        <f t="shared" si="4"/>
        <v>3</v>
      </c>
      <c r="G137" s="864">
        <f t="shared" si="5"/>
        <v>13</v>
      </c>
      <c r="H137" s="864">
        <f t="shared" si="6"/>
        <v>2023</v>
      </c>
      <c r="I137" s="879">
        <f t="shared" si="7"/>
        <v>66</v>
      </c>
      <c r="J137" s="867" cm="1">
        <f t="array" ref="J137">INDEX($E:$E,MATCH($J$10,IF($B:$B=$B137,$I:$I),1))</f>
        <v>51365</v>
      </c>
    </row>
    <row r="138" spans="2:10">
      <c r="B138" s="817" t="s">
        <v>673</v>
      </c>
      <c r="C138" s="817" t="s">
        <v>6128</v>
      </c>
      <c r="D138" s="863">
        <v>45020</v>
      </c>
      <c r="E138" s="817">
        <v>48974</v>
      </c>
      <c r="F138" s="864">
        <f t="shared" si="4"/>
        <v>4</v>
      </c>
      <c r="G138" s="864">
        <f t="shared" si="5"/>
        <v>14</v>
      </c>
      <c r="H138" s="864">
        <f t="shared" si="6"/>
        <v>2023</v>
      </c>
      <c r="I138" s="879">
        <f t="shared" si="7"/>
        <v>67</v>
      </c>
      <c r="J138" s="867" cm="1">
        <f t="array" ref="J138">INDEX($E:$E,MATCH($J$10,IF($B:$B=$B138,$I:$I),1))</f>
        <v>51365</v>
      </c>
    </row>
    <row r="139" spans="2:10">
      <c r="B139" s="817" t="s">
        <v>673</v>
      </c>
      <c r="C139" s="817" t="s">
        <v>6128</v>
      </c>
      <c r="D139" s="863">
        <v>45027</v>
      </c>
      <c r="E139" s="817">
        <v>47911</v>
      </c>
      <c r="F139" s="864">
        <f t="shared" si="4"/>
        <v>4</v>
      </c>
      <c r="G139" s="864">
        <f t="shared" si="5"/>
        <v>15</v>
      </c>
      <c r="H139" s="864">
        <f t="shared" si="6"/>
        <v>2023</v>
      </c>
      <c r="I139" s="879">
        <f t="shared" si="7"/>
        <v>68</v>
      </c>
      <c r="J139" s="867" cm="1">
        <f t="array" ref="J139">INDEX($E:$E,MATCH($J$10,IF($B:$B=$B139,$I:$I),1))</f>
        <v>51365</v>
      </c>
    </row>
    <row r="140" spans="2:10">
      <c r="B140" s="817" t="s">
        <v>673</v>
      </c>
      <c r="C140" s="817" t="s">
        <v>6128</v>
      </c>
      <c r="D140" s="863">
        <v>45034</v>
      </c>
      <c r="E140" s="817">
        <v>47131</v>
      </c>
      <c r="F140" s="864">
        <f t="shared" ref="F140:F203" si="8">MONTH(D140)</f>
        <v>4</v>
      </c>
      <c r="G140" s="864">
        <f t="shared" ref="G140:G203" si="9">WEEKNUM(D140)</f>
        <v>16</v>
      </c>
      <c r="H140" s="864">
        <f t="shared" ref="H140:H203" si="10">YEAR(D140)</f>
        <v>2023</v>
      </c>
      <c r="I140" s="879">
        <f t="shared" ref="I140:I203" si="11">(H140-2022)*53+G140</f>
        <v>69</v>
      </c>
      <c r="J140" s="867" cm="1">
        <f t="array" ref="J140">INDEX($E:$E,MATCH($J$10,IF($B:$B=$B140,$I:$I),1))</f>
        <v>51365</v>
      </c>
    </row>
    <row r="141" spans="2:10">
      <c r="B141" s="817" t="s">
        <v>673</v>
      </c>
      <c r="C141" s="817" t="s">
        <v>6128</v>
      </c>
      <c r="D141" s="863">
        <v>45048</v>
      </c>
      <c r="E141" s="817">
        <v>49185</v>
      </c>
      <c r="F141" s="864">
        <f t="shared" si="8"/>
        <v>5</v>
      </c>
      <c r="G141" s="864">
        <f t="shared" si="9"/>
        <v>18</v>
      </c>
      <c r="H141" s="864">
        <f t="shared" si="10"/>
        <v>2023</v>
      </c>
      <c r="I141" s="879">
        <f t="shared" si="11"/>
        <v>71</v>
      </c>
      <c r="J141" s="867" cm="1">
        <f t="array" ref="J141">INDEX($E:$E,MATCH($J$10,IF($B:$B=$B141,$I:$I),1))</f>
        <v>51365</v>
      </c>
    </row>
    <row r="142" spans="2:10">
      <c r="B142" s="817" t="s">
        <v>673</v>
      </c>
      <c r="C142" s="817" t="s">
        <v>6128</v>
      </c>
      <c r="D142" s="863">
        <v>45055</v>
      </c>
      <c r="E142" s="817">
        <v>49826</v>
      </c>
      <c r="F142" s="864">
        <f t="shared" si="8"/>
        <v>5</v>
      </c>
      <c r="G142" s="864">
        <f t="shared" si="9"/>
        <v>19</v>
      </c>
      <c r="H142" s="864">
        <f t="shared" si="10"/>
        <v>2023</v>
      </c>
      <c r="I142" s="879">
        <f t="shared" si="11"/>
        <v>72</v>
      </c>
      <c r="J142" s="867" cm="1">
        <f t="array" ref="J142">INDEX($E:$E,MATCH($J$10,IF($B:$B=$B142,$I:$I),1))</f>
        <v>51365</v>
      </c>
    </row>
    <row r="143" spans="2:10">
      <c r="B143" s="817" t="s">
        <v>673</v>
      </c>
      <c r="C143" s="817" t="s">
        <v>6128</v>
      </c>
      <c r="D143" s="863">
        <v>45062</v>
      </c>
      <c r="E143" s="817">
        <v>50576</v>
      </c>
      <c r="F143" s="864">
        <f t="shared" si="8"/>
        <v>5</v>
      </c>
      <c r="G143" s="864">
        <f t="shared" si="9"/>
        <v>20</v>
      </c>
      <c r="H143" s="864">
        <f t="shared" si="10"/>
        <v>2023</v>
      </c>
      <c r="I143" s="879">
        <f t="shared" si="11"/>
        <v>73</v>
      </c>
      <c r="J143" s="867" cm="1">
        <f t="array" ref="J143">INDEX($E:$E,MATCH($J$10,IF($B:$B=$B143,$I:$I),1))</f>
        <v>51365</v>
      </c>
    </row>
    <row r="144" spans="2:10">
      <c r="B144" s="817" t="s">
        <v>673</v>
      </c>
      <c r="C144" s="817" t="s">
        <v>6128</v>
      </c>
      <c r="D144" s="863">
        <v>45069</v>
      </c>
      <c r="E144" s="817">
        <v>51365</v>
      </c>
      <c r="F144" s="864">
        <f t="shared" si="8"/>
        <v>5</v>
      </c>
      <c r="G144" s="864">
        <f t="shared" si="9"/>
        <v>21</v>
      </c>
      <c r="H144" s="864">
        <f t="shared" si="10"/>
        <v>2023</v>
      </c>
      <c r="I144" s="879">
        <f t="shared" si="11"/>
        <v>74</v>
      </c>
      <c r="J144" s="867" cm="1">
        <f t="array" ref="J144">INDEX($E:$E,MATCH($J$10,IF($B:$B=$B144,$I:$I),1))</f>
        <v>51365</v>
      </c>
    </row>
    <row r="145" spans="2:10">
      <c r="B145" s="817" t="s">
        <v>673</v>
      </c>
      <c r="C145" s="817" t="s">
        <v>6128</v>
      </c>
      <c r="D145" s="863">
        <v>45083</v>
      </c>
      <c r="E145" s="817">
        <v>160574</v>
      </c>
      <c r="F145" s="864">
        <f t="shared" si="8"/>
        <v>6</v>
      </c>
      <c r="G145" s="864">
        <f t="shared" si="9"/>
        <v>23</v>
      </c>
      <c r="H145" s="864">
        <f t="shared" si="10"/>
        <v>2023</v>
      </c>
      <c r="I145" s="879">
        <f t="shared" si="11"/>
        <v>76</v>
      </c>
      <c r="J145" s="867" cm="1">
        <f t="array" ref="J145">INDEX($E:$E,MATCH($J$10,IF($B:$B=$B145,$I:$I),1))</f>
        <v>51365</v>
      </c>
    </row>
    <row r="146" spans="2:10">
      <c r="B146" s="817" t="s">
        <v>918</v>
      </c>
      <c r="C146" s="817" t="s">
        <v>6129</v>
      </c>
      <c r="D146" s="863">
        <v>44712</v>
      </c>
      <c r="E146" s="817">
        <v>13375</v>
      </c>
      <c r="F146" s="864">
        <f t="shared" si="8"/>
        <v>5</v>
      </c>
      <c r="G146" s="864">
        <f t="shared" si="9"/>
        <v>23</v>
      </c>
      <c r="H146" s="864">
        <f t="shared" si="10"/>
        <v>2022</v>
      </c>
      <c r="I146" s="879">
        <f t="shared" si="11"/>
        <v>23</v>
      </c>
      <c r="J146" s="867" cm="1">
        <f t="array" ref="J146">INDEX($E:$E,MATCH($J$10,IF($B:$B=$B146,$I:$I),1))</f>
        <v>22829</v>
      </c>
    </row>
    <row r="147" spans="2:10">
      <c r="B147" s="817" t="s">
        <v>918</v>
      </c>
      <c r="C147" s="817" t="s">
        <v>6129</v>
      </c>
      <c r="D147" s="866">
        <v>44719</v>
      </c>
      <c r="E147" s="817">
        <v>13759</v>
      </c>
      <c r="F147" s="864">
        <f t="shared" si="8"/>
        <v>6</v>
      </c>
      <c r="G147" s="864">
        <f t="shared" si="9"/>
        <v>24</v>
      </c>
      <c r="H147" s="864">
        <f t="shared" si="10"/>
        <v>2022</v>
      </c>
      <c r="I147" s="879">
        <f t="shared" si="11"/>
        <v>24</v>
      </c>
      <c r="J147" s="867" cm="1">
        <f t="array" ref="J147">INDEX($E:$E,MATCH($J$10,IF($B:$B=$B147,$I:$I),1))</f>
        <v>22829</v>
      </c>
    </row>
    <row r="148" spans="2:10">
      <c r="B148" s="817" t="s">
        <v>918</v>
      </c>
      <c r="C148" s="817" t="s">
        <v>6129</v>
      </c>
      <c r="D148" s="863">
        <v>44726</v>
      </c>
      <c r="E148" s="817">
        <v>14259</v>
      </c>
      <c r="F148" s="864">
        <f t="shared" si="8"/>
        <v>6</v>
      </c>
      <c r="G148" s="864">
        <f t="shared" si="9"/>
        <v>25</v>
      </c>
      <c r="H148" s="864">
        <f t="shared" si="10"/>
        <v>2022</v>
      </c>
      <c r="I148" s="879">
        <f t="shared" si="11"/>
        <v>25</v>
      </c>
      <c r="J148" s="867" cm="1">
        <f t="array" ref="J148">INDEX($E:$E,MATCH($J$10,IF($B:$B=$B148,$I:$I),1))</f>
        <v>22829</v>
      </c>
    </row>
    <row r="149" spans="2:10">
      <c r="B149" s="817" t="s">
        <v>918</v>
      </c>
      <c r="C149" s="817" t="s">
        <v>6129</v>
      </c>
      <c r="D149" s="866">
        <v>44732</v>
      </c>
      <c r="E149" s="817">
        <v>14642</v>
      </c>
      <c r="F149" s="864">
        <f t="shared" si="8"/>
        <v>6</v>
      </c>
      <c r="G149" s="864">
        <f t="shared" si="9"/>
        <v>26</v>
      </c>
      <c r="H149" s="864">
        <f t="shared" si="10"/>
        <v>2022</v>
      </c>
      <c r="I149" s="879">
        <f t="shared" si="11"/>
        <v>26</v>
      </c>
      <c r="J149" s="867" cm="1">
        <f t="array" ref="J149">INDEX($E:$E,MATCH($J$10,IF($B:$B=$B149,$I:$I),1))</f>
        <v>22829</v>
      </c>
    </row>
    <row r="150" spans="2:10">
      <c r="B150" s="817" t="s">
        <v>918</v>
      </c>
      <c r="C150" s="817" t="s">
        <v>6129</v>
      </c>
      <c r="D150" s="863">
        <v>44740</v>
      </c>
      <c r="E150" s="817">
        <v>15005</v>
      </c>
      <c r="F150" s="864">
        <f t="shared" si="8"/>
        <v>6</v>
      </c>
      <c r="G150" s="864">
        <f t="shared" si="9"/>
        <v>27</v>
      </c>
      <c r="H150" s="864">
        <f t="shared" si="10"/>
        <v>2022</v>
      </c>
      <c r="I150" s="879">
        <f t="shared" si="11"/>
        <v>27</v>
      </c>
      <c r="J150" s="867" cm="1">
        <f t="array" ref="J150">INDEX($E:$E,MATCH($J$10,IF($B:$B=$B150,$I:$I),1))</f>
        <v>22829</v>
      </c>
    </row>
    <row r="151" spans="2:10">
      <c r="B151" s="817" t="s">
        <v>918</v>
      </c>
      <c r="C151" s="817" t="s">
        <v>6129</v>
      </c>
      <c r="D151" s="866">
        <v>44747</v>
      </c>
      <c r="E151" s="817">
        <v>15380</v>
      </c>
      <c r="F151" s="864">
        <f t="shared" si="8"/>
        <v>7</v>
      </c>
      <c r="G151" s="864">
        <f t="shared" si="9"/>
        <v>28</v>
      </c>
      <c r="H151" s="864">
        <f t="shared" si="10"/>
        <v>2022</v>
      </c>
      <c r="I151" s="879">
        <f t="shared" si="11"/>
        <v>28</v>
      </c>
      <c r="J151" s="867" cm="1">
        <f t="array" ref="J151">INDEX($E:$E,MATCH($J$10,IF($B:$B=$B151,$I:$I),1))</f>
        <v>22829</v>
      </c>
    </row>
    <row r="152" spans="2:10">
      <c r="B152" s="817" t="s">
        <v>918</v>
      </c>
      <c r="C152" s="817" t="s">
        <v>6129</v>
      </c>
      <c r="D152" s="863">
        <v>44761</v>
      </c>
      <c r="E152" s="817">
        <v>16093</v>
      </c>
      <c r="F152" s="864">
        <f t="shared" si="8"/>
        <v>7</v>
      </c>
      <c r="G152" s="864">
        <f t="shared" si="9"/>
        <v>30</v>
      </c>
      <c r="H152" s="864">
        <f t="shared" si="10"/>
        <v>2022</v>
      </c>
      <c r="I152" s="879">
        <f t="shared" si="11"/>
        <v>30</v>
      </c>
      <c r="J152" s="867" cm="1">
        <f t="array" ref="J152">INDEX($E:$E,MATCH($J$10,IF($B:$B=$B152,$I:$I),1))</f>
        <v>22829</v>
      </c>
    </row>
    <row r="153" spans="2:10">
      <c r="B153" s="817" t="s">
        <v>918</v>
      </c>
      <c r="C153" s="817" t="s">
        <v>6129</v>
      </c>
      <c r="D153" s="866">
        <v>44768</v>
      </c>
      <c r="E153" s="817">
        <v>15911</v>
      </c>
      <c r="F153" s="864">
        <f t="shared" si="8"/>
        <v>7</v>
      </c>
      <c r="G153" s="864">
        <f t="shared" si="9"/>
        <v>31</v>
      </c>
      <c r="H153" s="864">
        <f t="shared" si="10"/>
        <v>2022</v>
      </c>
      <c r="I153" s="879">
        <f t="shared" si="11"/>
        <v>31</v>
      </c>
      <c r="J153" s="867" cm="1">
        <f t="array" ref="J153">INDEX($E:$E,MATCH($J$10,IF($B:$B=$B153,$I:$I),1))</f>
        <v>22829</v>
      </c>
    </row>
    <row r="154" spans="2:10">
      <c r="B154" s="817" t="s">
        <v>918</v>
      </c>
      <c r="C154" s="817" t="s">
        <v>6129</v>
      </c>
      <c r="D154" s="863">
        <v>44782</v>
      </c>
      <c r="E154" s="817">
        <v>16829</v>
      </c>
      <c r="F154" s="864">
        <f t="shared" si="8"/>
        <v>8</v>
      </c>
      <c r="G154" s="864">
        <f t="shared" si="9"/>
        <v>33</v>
      </c>
      <c r="H154" s="864">
        <f t="shared" si="10"/>
        <v>2022</v>
      </c>
      <c r="I154" s="879">
        <f t="shared" si="11"/>
        <v>33</v>
      </c>
      <c r="J154" s="867" cm="1">
        <f t="array" ref="J154">INDEX($E:$E,MATCH($J$10,IF($B:$B=$B154,$I:$I),1))</f>
        <v>22829</v>
      </c>
    </row>
    <row r="155" spans="2:10">
      <c r="B155" s="817" t="s">
        <v>918</v>
      </c>
      <c r="C155" s="817" t="s">
        <v>6129</v>
      </c>
      <c r="D155" s="866">
        <v>44795</v>
      </c>
      <c r="E155" s="817">
        <v>17195</v>
      </c>
      <c r="F155" s="864">
        <f t="shared" si="8"/>
        <v>8</v>
      </c>
      <c r="G155" s="864">
        <f t="shared" si="9"/>
        <v>35</v>
      </c>
      <c r="H155" s="864">
        <f t="shared" si="10"/>
        <v>2022</v>
      </c>
      <c r="I155" s="879">
        <f t="shared" si="11"/>
        <v>35</v>
      </c>
      <c r="J155" s="867" cm="1">
        <f t="array" ref="J155">INDEX($E:$E,MATCH($J$10,IF($B:$B=$B155,$I:$I),1))</f>
        <v>22829</v>
      </c>
    </row>
    <row r="156" spans="2:10">
      <c r="B156" s="817" t="s">
        <v>918</v>
      </c>
      <c r="C156" s="817" t="s">
        <v>6129</v>
      </c>
      <c r="D156" s="863">
        <v>44803</v>
      </c>
      <c r="E156" s="817">
        <v>17487</v>
      </c>
      <c r="F156" s="864">
        <f t="shared" si="8"/>
        <v>8</v>
      </c>
      <c r="G156" s="864">
        <f t="shared" si="9"/>
        <v>36</v>
      </c>
      <c r="H156" s="864">
        <f t="shared" si="10"/>
        <v>2022</v>
      </c>
      <c r="I156" s="879">
        <f t="shared" si="11"/>
        <v>36</v>
      </c>
      <c r="J156" s="867" cm="1">
        <f t="array" ref="J156">INDEX($E:$E,MATCH($J$10,IF($B:$B=$B156,$I:$I),1))</f>
        <v>22829</v>
      </c>
    </row>
    <row r="157" spans="2:10">
      <c r="B157" s="817" t="s">
        <v>918</v>
      </c>
      <c r="C157" s="817" t="s">
        <v>6129</v>
      </c>
      <c r="D157" s="866">
        <v>44810</v>
      </c>
      <c r="E157" s="817">
        <v>17718</v>
      </c>
      <c r="F157" s="864">
        <f t="shared" si="8"/>
        <v>9</v>
      </c>
      <c r="G157" s="864">
        <f t="shared" si="9"/>
        <v>37</v>
      </c>
      <c r="H157" s="864">
        <f t="shared" si="10"/>
        <v>2022</v>
      </c>
      <c r="I157" s="879">
        <f t="shared" si="11"/>
        <v>37</v>
      </c>
      <c r="J157" s="867" cm="1">
        <f t="array" ref="J157">INDEX($E:$E,MATCH($J$10,IF($B:$B=$B157,$I:$I),1))</f>
        <v>22829</v>
      </c>
    </row>
    <row r="158" spans="2:10">
      <c r="B158" s="817" t="s">
        <v>918</v>
      </c>
      <c r="C158" s="817" t="s">
        <v>6129</v>
      </c>
      <c r="D158" s="863">
        <v>44817</v>
      </c>
      <c r="E158" s="817">
        <v>17718</v>
      </c>
      <c r="F158" s="864">
        <f t="shared" si="8"/>
        <v>9</v>
      </c>
      <c r="G158" s="864">
        <f t="shared" si="9"/>
        <v>38</v>
      </c>
      <c r="H158" s="864">
        <f t="shared" si="10"/>
        <v>2022</v>
      </c>
      <c r="I158" s="879">
        <f t="shared" si="11"/>
        <v>38</v>
      </c>
      <c r="J158" s="867" cm="1">
        <f t="array" ref="J158">INDEX($E:$E,MATCH($J$10,IF($B:$B=$B158,$I:$I),1))</f>
        <v>22829</v>
      </c>
    </row>
    <row r="159" spans="2:10">
      <c r="B159" s="817" t="s">
        <v>918</v>
      </c>
      <c r="C159" s="817" t="s">
        <v>6129</v>
      </c>
      <c r="D159" s="866">
        <v>44830</v>
      </c>
      <c r="E159" s="817">
        <v>18328</v>
      </c>
      <c r="F159" s="864">
        <f t="shared" si="8"/>
        <v>9</v>
      </c>
      <c r="G159" s="864">
        <f t="shared" si="9"/>
        <v>40</v>
      </c>
      <c r="H159" s="864">
        <f t="shared" si="10"/>
        <v>2022</v>
      </c>
      <c r="I159" s="879">
        <f t="shared" si="11"/>
        <v>40</v>
      </c>
      <c r="J159" s="867" cm="1">
        <f t="array" ref="J159">INDEX($E:$E,MATCH($J$10,IF($B:$B=$B159,$I:$I),1))</f>
        <v>22829</v>
      </c>
    </row>
    <row r="160" spans="2:10">
      <c r="B160" s="817" t="s">
        <v>918</v>
      </c>
      <c r="C160" s="817" t="s">
        <v>6129</v>
      </c>
      <c r="D160" s="863">
        <v>44837</v>
      </c>
      <c r="E160" s="817">
        <v>18500</v>
      </c>
      <c r="F160" s="864">
        <f t="shared" si="8"/>
        <v>10</v>
      </c>
      <c r="G160" s="864">
        <f t="shared" si="9"/>
        <v>41</v>
      </c>
      <c r="H160" s="864">
        <f t="shared" si="10"/>
        <v>2022</v>
      </c>
      <c r="I160" s="879">
        <f t="shared" si="11"/>
        <v>41</v>
      </c>
      <c r="J160" s="867" cm="1">
        <f t="array" ref="J160">INDEX($E:$E,MATCH($J$10,IF($B:$B=$B160,$I:$I),1))</f>
        <v>22829</v>
      </c>
    </row>
    <row r="161" spans="2:10">
      <c r="B161" s="817" t="s">
        <v>918</v>
      </c>
      <c r="C161" s="817" t="s">
        <v>6129</v>
      </c>
      <c r="D161" s="866">
        <v>44845</v>
      </c>
      <c r="E161" s="817">
        <v>18619</v>
      </c>
      <c r="F161" s="864">
        <f t="shared" si="8"/>
        <v>10</v>
      </c>
      <c r="G161" s="864">
        <f t="shared" si="9"/>
        <v>42</v>
      </c>
      <c r="H161" s="864">
        <f t="shared" si="10"/>
        <v>2022</v>
      </c>
      <c r="I161" s="879">
        <f t="shared" si="11"/>
        <v>42</v>
      </c>
      <c r="J161" s="867" cm="1">
        <f t="array" ref="J161">INDEX($E:$E,MATCH($J$10,IF($B:$B=$B161,$I:$I),1))</f>
        <v>22829</v>
      </c>
    </row>
    <row r="162" spans="2:10">
      <c r="B162" s="817" t="s">
        <v>918</v>
      </c>
      <c r="C162" s="817" t="s">
        <v>6129</v>
      </c>
      <c r="D162" s="863">
        <v>44852</v>
      </c>
      <c r="E162" s="817">
        <v>18400</v>
      </c>
      <c r="F162" s="864">
        <f t="shared" si="8"/>
        <v>10</v>
      </c>
      <c r="G162" s="864">
        <f t="shared" si="9"/>
        <v>43</v>
      </c>
      <c r="H162" s="864">
        <f t="shared" si="10"/>
        <v>2022</v>
      </c>
      <c r="I162" s="879">
        <f t="shared" si="11"/>
        <v>43</v>
      </c>
      <c r="J162" s="867" cm="1">
        <f t="array" ref="J162">INDEX($E:$E,MATCH($J$10,IF($B:$B=$B162,$I:$I),1))</f>
        <v>22829</v>
      </c>
    </row>
    <row r="163" spans="2:10">
      <c r="B163" s="817" t="s">
        <v>918</v>
      </c>
      <c r="C163" s="817" t="s">
        <v>6129</v>
      </c>
      <c r="D163" s="866">
        <v>44859</v>
      </c>
      <c r="E163" s="817">
        <v>18931</v>
      </c>
      <c r="F163" s="864">
        <f t="shared" si="8"/>
        <v>10</v>
      </c>
      <c r="G163" s="864">
        <f t="shared" si="9"/>
        <v>44</v>
      </c>
      <c r="H163" s="864">
        <f t="shared" si="10"/>
        <v>2022</v>
      </c>
      <c r="I163" s="879">
        <f t="shared" si="11"/>
        <v>44</v>
      </c>
      <c r="J163" s="867" cm="1">
        <f t="array" ref="J163">INDEX($E:$E,MATCH($J$10,IF($B:$B=$B163,$I:$I),1))</f>
        <v>22829</v>
      </c>
    </row>
    <row r="164" spans="2:10">
      <c r="B164" s="817" t="s">
        <v>918</v>
      </c>
      <c r="C164" s="817" t="s">
        <v>6129</v>
      </c>
      <c r="D164" s="863">
        <v>44866</v>
      </c>
      <c r="E164" s="817">
        <v>18990</v>
      </c>
      <c r="F164" s="864">
        <f t="shared" si="8"/>
        <v>11</v>
      </c>
      <c r="G164" s="864">
        <f t="shared" si="9"/>
        <v>45</v>
      </c>
      <c r="H164" s="864">
        <f t="shared" si="10"/>
        <v>2022</v>
      </c>
      <c r="I164" s="879">
        <f t="shared" si="11"/>
        <v>45</v>
      </c>
      <c r="J164" s="867" cm="1">
        <f t="array" ref="J164">INDEX($E:$E,MATCH($J$10,IF($B:$B=$B164,$I:$I),1))</f>
        <v>22829</v>
      </c>
    </row>
    <row r="165" spans="2:10">
      <c r="B165" s="817" t="s">
        <v>918</v>
      </c>
      <c r="C165" s="817" t="s">
        <v>6129</v>
      </c>
      <c r="D165" s="866">
        <v>44873</v>
      </c>
      <c r="E165" s="817">
        <v>19011</v>
      </c>
      <c r="F165" s="864">
        <f t="shared" si="8"/>
        <v>11</v>
      </c>
      <c r="G165" s="864">
        <f t="shared" si="9"/>
        <v>46</v>
      </c>
      <c r="H165" s="864">
        <f t="shared" si="10"/>
        <v>2022</v>
      </c>
      <c r="I165" s="879">
        <f t="shared" si="11"/>
        <v>46</v>
      </c>
      <c r="J165" s="867" cm="1">
        <f t="array" ref="J165">INDEX($E:$E,MATCH($J$10,IF($B:$B=$B165,$I:$I),1))</f>
        <v>22829</v>
      </c>
    </row>
    <row r="166" spans="2:10">
      <c r="B166" s="817" t="s">
        <v>918</v>
      </c>
      <c r="C166" s="817" t="s">
        <v>6129</v>
      </c>
      <c r="D166" s="863">
        <v>44880</v>
      </c>
      <c r="E166" s="817">
        <v>19050</v>
      </c>
      <c r="F166" s="864">
        <f t="shared" si="8"/>
        <v>11</v>
      </c>
      <c r="G166" s="864">
        <f t="shared" si="9"/>
        <v>47</v>
      </c>
      <c r="H166" s="864">
        <f t="shared" si="10"/>
        <v>2022</v>
      </c>
      <c r="I166" s="879">
        <f t="shared" si="11"/>
        <v>47</v>
      </c>
      <c r="J166" s="867" cm="1">
        <f t="array" ref="J166">INDEX($E:$E,MATCH($J$10,IF($B:$B=$B166,$I:$I),1))</f>
        <v>22829</v>
      </c>
    </row>
    <row r="167" spans="2:10">
      <c r="B167" s="817" t="s">
        <v>918</v>
      </c>
      <c r="C167" s="817" t="s">
        <v>6129</v>
      </c>
      <c r="D167" s="866">
        <v>44887</v>
      </c>
      <c r="E167" s="817">
        <v>19134</v>
      </c>
      <c r="F167" s="864">
        <f t="shared" si="8"/>
        <v>11</v>
      </c>
      <c r="G167" s="864">
        <f t="shared" si="9"/>
        <v>48</v>
      </c>
      <c r="H167" s="864">
        <f t="shared" si="10"/>
        <v>2022</v>
      </c>
      <c r="I167" s="879">
        <f t="shared" si="11"/>
        <v>48</v>
      </c>
      <c r="J167" s="867" cm="1">
        <f t="array" ref="J167">INDEX($E:$E,MATCH($J$10,IF($B:$B=$B167,$I:$I),1))</f>
        <v>22829</v>
      </c>
    </row>
    <row r="168" spans="2:10">
      <c r="B168" s="817" t="s">
        <v>918</v>
      </c>
      <c r="C168" s="817" t="s">
        <v>6129</v>
      </c>
      <c r="D168" s="863">
        <v>44894</v>
      </c>
      <c r="E168" s="817">
        <v>19259</v>
      </c>
      <c r="F168" s="864">
        <f t="shared" si="8"/>
        <v>11</v>
      </c>
      <c r="G168" s="864">
        <f t="shared" si="9"/>
        <v>49</v>
      </c>
      <c r="H168" s="864">
        <f t="shared" si="10"/>
        <v>2022</v>
      </c>
      <c r="I168" s="879">
        <f t="shared" si="11"/>
        <v>49</v>
      </c>
      <c r="J168" s="867" cm="1">
        <f t="array" ref="J168">INDEX($E:$E,MATCH($J$10,IF($B:$B=$B168,$I:$I),1))</f>
        <v>22829</v>
      </c>
    </row>
    <row r="169" spans="2:10">
      <c r="B169" s="817" t="s">
        <v>918</v>
      </c>
      <c r="C169" s="817" t="s">
        <v>6129</v>
      </c>
      <c r="D169" s="866">
        <v>44901</v>
      </c>
      <c r="E169" s="817">
        <v>19403</v>
      </c>
      <c r="F169" s="864">
        <f t="shared" si="8"/>
        <v>12</v>
      </c>
      <c r="G169" s="864">
        <f t="shared" si="9"/>
        <v>50</v>
      </c>
      <c r="H169" s="864">
        <f t="shared" si="10"/>
        <v>2022</v>
      </c>
      <c r="I169" s="879">
        <f t="shared" si="11"/>
        <v>50</v>
      </c>
      <c r="J169" s="867" cm="1">
        <f t="array" ref="J169">INDEX($E:$E,MATCH($J$10,IF($B:$B=$B169,$I:$I),1))</f>
        <v>22829</v>
      </c>
    </row>
    <row r="170" spans="2:10">
      <c r="B170" s="817" t="s">
        <v>918</v>
      </c>
      <c r="C170" s="817" t="s">
        <v>6129</v>
      </c>
      <c r="D170" s="863">
        <v>44908</v>
      </c>
      <c r="E170" s="817">
        <v>19510</v>
      </c>
      <c r="F170" s="864">
        <f t="shared" si="8"/>
        <v>12</v>
      </c>
      <c r="G170" s="864">
        <f t="shared" si="9"/>
        <v>51</v>
      </c>
      <c r="H170" s="864">
        <f t="shared" si="10"/>
        <v>2022</v>
      </c>
      <c r="I170" s="879">
        <f t="shared" si="11"/>
        <v>51</v>
      </c>
      <c r="J170" s="867" cm="1">
        <f t="array" ref="J170">INDEX($E:$E,MATCH($J$10,IF($B:$B=$B170,$I:$I),1))</f>
        <v>22829</v>
      </c>
    </row>
    <row r="171" spans="2:10">
      <c r="B171" s="817" t="s">
        <v>918</v>
      </c>
      <c r="C171" s="817" t="s">
        <v>6129</v>
      </c>
      <c r="D171" s="866">
        <v>44915</v>
      </c>
      <c r="E171" s="817">
        <v>19753</v>
      </c>
      <c r="F171" s="864">
        <f t="shared" si="8"/>
        <v>12</v>
      </c>
      <c r="G171" s="864">
        <f t="shared" si="9"/>
        <v>52</v>
      </c>
      <c r="H171" s="864">
        <f t="shared" si="10"/>
        <v>2022</v>
      </c>
      <c r="I171" s="879">
        <f t="shared" si="11"/>
        <v>52</v>
      </c>
      <c r="J171" s="867" cm="1">
        <f t="array" ref="J171">INDEX($E:$E,MATCH($J$10,IF($B:$B=$B171,$I:$I),1))</f>
        <v>22829</v>
      </c>
    </row>
    <row r="172" spans="2:10">
      <c r="B172" s="817" t="s">
        <v>918</v>
      </c>
      <c r="C172" s="817" t="s">
        <v>6129</v>
      </c>
      <c r="D172" s="863">
        <v>44920</v>
      </c>
      <c r="E172" s="817">
        <v>19968</v>
      </c>
      <c r="F172" s="864">
        <f t="shared" si="8"/>
        <v>12</v>
      </c>
      <c r="G172" s="864">
        <f t="shared" si="9"/>
        <v>53</v>
      </c>
      <c r="H172" s="864">
        <f t="shared" si="10"/>
        <v>2022</v>
      </c>
      <c r="I172" s="879">
        <f t="shared" si="11"/>
        <v>53</v>
      </c>
      <c r="J172" s="867" cm="1">
        <f t="array" ref="J172">INDEX($E:$E,MATCH($J$10,IF($B:$B=$B172,$I:$I),1))</f>
        <v>22829</v>
      </c>
    </row>
    <row r="173" spans="2:10">
      <c r="B173" s="817" t="s">
        <v>918</v>
      </c>
      <c r="C173" s="817" t="s">
        <v>6129</v>
      </c>
      <c r="D173" s="866">
        <v>44932</v>
      </c>
      <c r="E173" s="817">
        <v>20164</v>
      </c>
      <c r="F173" s="864">
        <f t="shared" si="8"/>
        <v>1</v>
      </c>
      <c r="G173" s="864">
        <f t="shared" si="9"/>
        <v>1</v>
      </c>
      <c r="H173" s="864">
        <f t="shared" si="10"/>
        <v>2023</v>
      </c>
      <c r="I173" s="879">
        <f t="shared" si="11"/>
        <v>54</v>
      </c>
      <c r="J173" s="867" cm="1">
        <f t="array" ref="J173">INDEX($E:$E,MATCH($J$10,IF($B:$B=$B173,$I:$I),1))</f>
        <v>22829</v>
      </c>
    </row>
    <row r="174" spans="2:10">
      <c r="B174" s="817" t="s">
        <v>918</v>
      </c>
      <c r="C174" s="817" t="s">
        <v>6129</v>
      </c>
      <c r="D174" s="863">
        <v>44946</v>
      </c>
      <c r="E174" s="817">
        <v>20377</v>
      </c>
      <c r="F174" s="864">
        <f t="shared" si="8"/>
        <v>1</v>
      </c>
      <c r="G174" s="864">
        <f t="shared" si="9"/>
        <v>3</v>
      </c>
      <c r="H174" s="864">
        <f t="shared" si="10"/>
        <v>2023</v>
      </c>
      <c r="I174" s="879">
        <f t="shared" si="11"/>
        <v>56</v>
      </c>
      <c r="J174" s="867" cm="1">
        <f t="array" ref="J174">INDEX($E:$E,MATCH($J$10,IF($B:$B=$B174,$I:$I),1))</f>
        <v>22829</v>
      </c>
    </row>
    <row r="175" spans="2:10">
      <c r="B175" s="817" t="s">
        <v>918</v>
      </c>
      <c r="C175" s="817" t="s">
        <v>6129</v>
      </c>
      <c r="D175" s="866">
        <v>44953</v>
      </c>
      <c r="E175" s="817">
        <v>20493</v>
      </c>
      <c r="F175" s="864">
        <f t="shared" si="8"/>
        <v>1</v>
      </c>
      <c r="G175" s="864">
        <f t="shared" si="9"/>
        <v>4</v>
      </c>
      <c r="H175" s="864">
        <f t="shared" si="10"/>
        <v>2023</v>
      </c>
      <c r="I175" s="879">
        <f t="shared" si="11"/>
        <v>57</v>
      </c>
      <c r="J175" s="867" cm="1">
        <f t="array" ref="J175">INDEX($E:$E,MATCH($J$10,IF($B:$B=$B175,$I:$I),1))</f>
        <v>22829</v>
      </c>
    </row>
    <row r="176" spans="2:10">
      <c r="B176" s="817" t="s">
        <v>918</v>
      </c>
      <c r="C176" s="817" t="s">
        <v>6129</v>
      </c>
      <c r="D176" s="863">
        <v>44960</v>
      </c>
      <c r="E176" s="817">
        <v>20627</v>
      </c>
      <c r="F176" s="864">
        <f t="shared" si="8"/>
        <v>2</v>
      </c>
      <c r="G176" s="864">
        <f t="shared" si="9"/>
        <v>5</v>
      </c>
      <c r="H176" s="864">
        <f t="shared" si="10"/>
        <v>2023</v>
      </c>
      <c r="I176" s="879">
        <f t="shared" si="11"/>
        <v>58</v>
      </c>
      <c r="J176" s="867" cm="1">
        <f t="array" ref="J176">INDEX($E:$E,MATCH($J$10,IF($B:$B=$B176,$I:$I),1))</f>
        <v>22829</v>
      </c>
    </row>
    <row r="177" spans="2:10">
      <c r="B177" s="817" t="s">
        <v>918</v>
      </c>
      <c r="C177" s="817" t="s">
        <v>6129</v>
      </c>
      <c r="D177" s="866">
        <v>44967</v>
      </c>
      <c r="E177" s="817">
        <v>20796</v>
      </c>
      <c r="F177" s="864">
        <f t="shared" si="8"/>
        <v>2</v>
      </c>
      <c r="G177" s="864">
        <f t="shared" si="9"/>
        <v>6</v>
      </c>
      <c r="H177" s="864">
        <f t="shared" si="10"/>
        <v>2023</v>
      </c>
      <c r="I177" s="879">
        <f t="shared" si="11"/>
        <v>59</v>
      </c>
      <c r="J177" s="867" cm="1">
        <f t="array" ref="J177">INDEX($E:$E,MATCH($J$10,IF($B:$B=$B177,$I:$I),1))</f>
        <v>22829</v>
      </c>
    </row>
    <row r="178" spans="2:10">
      <c r="B178" s="817" t="s">
        <v>918</v>
      </c>
      <c r="C178" s="817" t="s">
        <v>6129</v>
      </c>
      <c r="D178" s="863">
        <v>44988</v>
      </c>
      <c r="E178" s="817">
        <v>21115</v>
      </c>
      <c r="F178" s="864">
        <f t="shared" si="8"/>
        <v>3</v>
      </c>
      <c r="G178" s="864">
        <f t="shared" si="9"/>
        <v>9</v>
      </c>
      <c r="H178" s="864">
        <f t="shared" si="10"/>
        <v>2023</v>
      </c>
      <c r="I178" s="879">
        <f t="shared" si="11"/>
        <v>62</v>
      </c>
      <c r="J178" s="867" cm="1">
        <f t="array" ref="J178">INDEX($E:$E,MATCH($J$10,IF($B:$B=$B178,$I:$I),1))</f>
        <v>22829</v>
      </c>
    </row>
    <row r="179" spans="2:10">
      <c r="B179" s="817" t="s">
        <v>918</v>
      </c>
      <c r="C179" s="817" t="s">
        <v>6129</v>
      </c>
      <c r="D179" s="863">
        <v>44995</v>
      </c>
      <c r="E179" s="817">
        <v>21232</v>
      </c>
      <c r="F179" s="864">
        <f t="shared" si="8"/>
        <v>3</v>
      </c>
      <c r="G179" s="864">
        <f t="shared" si="9"/>
        <v>10</v>
      </c>
      <c r="H179" s="864">
        <f t="shared" si="10"/>
        <v>2023</v>
      </c>
      <c r="I179" s="879">
        <f t="shared" si="11"/>
        <v>63</v>
      </c>
      <c r="J179" s="867" cm="1">
        <f t="array" ref="J179">INDEX($E:$E,MATCH($J$10,IF($B:$B=$B179,$I:$I),1))</f>
        <v>22829</v>
      </c>
    </row>
    <row r="180" spans="2:10">
      <c r="B180" s="817" t="s">
        <v>918</v>
      </c>
      <c r="C180" s="817" t="s">
        <v>6129</v>
      </c>
      <c r="D180" s="863">
        <v>45005</v>
      </c>
      <c r="E180" s="817">
        <v>21352</v>
      </c>
      <c r="F180" s="864">
        <f t="shared" si="8"/>
        <v>3</v>
      </c>
      <c r="G180" s="864">
        <f t="shared" si="9"/>
        <v>12</v>
      </c>
      <c r="H180" s="864">
        <f t="shared" si="10"/>
        <v>2023</v>
      </c>
      <c r="I180" s="879">
        <f t="shared" si="11"/>
        <v>65</v>
      </c>
      <c r="J180" s="867" cm="1">
        <f t="array" ref="J180">INDEX($E:$E,MATCH($J$10,IF($B:$B=$B180,$I:$I),1))</f>
        <v>22829</v>
      </c>
    </row>
    <row r="181" spans="2:10">
      <c r="B181" s="817" t="s">
        <v>918</v>
      </c>
      <c r="C181" s="817" t="s">
        <v>6129</v>
      </c>
      <c r="D181" s="863">
        <v>45023</v>
      </c>
      <c r="E181" s="817">
        <v>21640</v>
      </c>
      <c r="F181" s="864">
        <f t="shared" si="8"/>
        <v>4</v>
      </c>
      <c r="G181" s="864">
        <f t="shared" si="9"/>
        <v>14</v>
      </c>
      <c r="H181" s="864">
        <f t="shared" si="10"/>
        <v>2023</v>
      </c>
      <c r="I181" s="879">
        <f t="shared" si="11"/>
        <v>67</v>
      </c>
      <c r="J181" s="867" cm="1">
        <f t="array" ref="J181">INDEX($E:$E,MATCH($J$10,IF($B:$B=$B181,$I:$I),1))</f>
        <v>22829</v>
      </c>
    </row>
    <row r="182" spans="2:10">
      <c r="B182" s="817" t="s">
        <v>918</v>
      </c>
      <c r="C182" s="817" t="s">
        <v>6129</v>
      </c>
      <c r="D182" s="863">
        <v>45058</v>
      </c>
      <c r="E182" s="817">
        <v>22382</v>
      </c>
      <c r="F182" s="864">
        <f t="shared" si="8"/>
        <v>5</v>
      </c>
      <c r="G182" s="864">
        <f t="shared" si="9"/>
        <v>19</v>
      </c>
      <c r="H182" s="864">
        <f t="shared" si="10"/>
        <v>2023</v>
      </c>
      <c r="I182" s="879">
        <f t="shared" si="11"/>
        <v>72</v>
      </c>
      <c r="J182" s="867" cm="1">
        <f t="array" ref="J182">INDEX($E:$E,MATCH($J$10,IF($B:$B=$B182,$I:$I),1))</f>
        <v>22829</v>
      </c>
    </row>
    <row r="183" spans="2:10">
      <c r="B183" s="817" t="s">
        <v>918</v>
      </c>
      <c r="C183" s="817" t="s">
        <v>6129</v>
      </c>
      <c r="D183" s="863">
        <v>45065</v>
      </c>
      <c r="E183" s="817">
        <v>22538</v>
      </c>
      <c r="F183" s="864">
        <f t="shared" si="8"/>
        <v>5</v>
      </c>
      <c r="G183" s="864">
        <f t="shared" si="9"/>
        <v>20</v>
      </c>
      <c r="H183" s="864">
        <f t="shared" si="10"/>
        <v>2023</v>
      </c>
      <c r="I183" s="879">
        <f t="shared" si="11"/>
        <v>73</v>
      </c>
      <c r="J183" s="867" cm="1">
        <f t="array" ref="J183">INDEX($E:$E,MATCH($J$10,IF($B:$B=$B183,$I:$I),1))</f>
        <v>22829</v>
      </c>
    </row>
    <row r="184" spans="2:10">
      <c r="B184" s="817" t="s">
        <v>918</v>
      </c>
      <c r="C184" s="817" t="s">
        <v>6129</v>
      </c>
      <c r="D184" s="863">
        <v>45079</v>
      </c>
      <c r="E184" s="817">
        <v>22829</v>
      </c>
      <c r="F184" s="864">
        <f t="shared" si="8"/>
        <v>6</v>
      </c>
      <c r="G184" s="864">
        <f t="shared" si="9"/>
        <v>22</v>
      </c>
      <c r="H184" s="864">
        <f t="shared" si="10"/>
        <v>2023</v>
      </c>
      <c r="I184" s="879">
        <f t="shared" si="11"/>
        <v>75</v>
      </c>
      <c r="J184" s="867" cm="1">
        <f t="array" ref="J184">INDEX($E:$E,MATCH($J$10,IF($B:$B=$B184,$I:$I),1))</f>
        <v>22829</v>
      </c>
    </row>
    <row r="185" spans="2:10">
      <c r="B185" s="817" t="s">
        <v>981</v>
      </c>
      <c r="C185" s="817" t="s">
        <v>6130</v>
      </c>
      <c r="D185" s="866">
        <v>44704</v>
      </c>
      <c r="E185" s="817">
        <v>14862</v>
      </c>
      <c r="F185" s="864">
        <f t="shared" si="8"/>
        <v>5</v>
      </c>
      <c r="G185" s="864">
        <f t="shared" si="9"/>
        <v>22</v>
      </c>
      <c r="H185" s="864">
        <f t="shared" si="10"/>
        <v>2022</v>
      </c>
      <c r="I185" s="879">
        <f t="shared" si="11"/>
        <v>22</v>
      </c>
      <c r="J185" s="867" cm="1">
        <f t="array" ref="J185">INDEX($E:$E,MATCH($J$10,IF($B:$B=$B185,$I:$I),1))</f>
        <v>18187</v>
      </c>
    </row>
    <row r="186" spans="2:10">
      <c r="B186" s="817" t="s">
        <v>981</v>
      </c>
      <c r="C186" s="817" t="s">
        <v>6130</v>
      </c>
      <c r="D186" s="863">
        <v>44718</v>
      </c>
      <c r="E186" s="817">
        <v>12500</v>
      </c>
      <c r="F186" s="864">
        <f t="shared" si="8"/>
        <v>6</v>
      </c>
      <c r="G186" s="864">
        <f t="shared" si="9"/>
        <v>24</v>
      </c>
      <c r="H186" s="864">
        <f t="shared" si="10"/>
        <v>2022</v>
      </c>
      <c r="I186" s="879">
        <f t="shared" si="11"/>
        <v>24</v>
      </c>
      <c r="J186" s="867" cm="1">
        <f t="array" ref="J186">INDEX($E:$E,MATCH($J$10,IF($B:$B=$B186,$I:$I),1))</f>
        <v>18187</v>
      </c>
    </row>
    <row r="187" spans="2:10">
      <c r="B187" s="817" t="s">
        <v>981</v>
      </c>
      <c r="C187" s="817" t="s">
        <v>6130</v>
      </c>
      <c r="D187" s="866">
        <v>44726</v>
      </c>
      <c r="E187" s="817">
        <v>13000</v>
      </c>
      <c r="F187" s="864">
        <f t="shared" si="8"/>
        <v>6</v>
      </c>
      <c r="G187" s="864">
        <f t="shared" si="9"/>
        <v>25</v>
      </c>
      <c r="H187" s="864">
        <f t="shared" si="10"/>
        <v>2022</v>
      </c>
      <c r="I187" s="879">
        <f t="shared" si="11"/>
        <v>25</v>
      </c>
      <c r="J187" s="867" cm="1">
        <f t="array" ref="J187">INDEX($E:$E,MATCH($J$10,IF($B:$B=$B187,$I:$I),1))</f>
        <v>18187</v>
      </c>
    </row>
    <row r="188" spans="2:10">
      <c r="B188" s="817" t="s">
        <v>981</v>
      </c>
      <c r="C188" s="817" t="s">
        <v>6130</v>
      </c>
      <c r="D188" s="863">
        <v>44731</v>
      </c>
      <c r="E188" s="817">
        <v>12478</v>
      </c>
      <c r="F188" s="864">
        <f t="shared" si="8"/>
        <v>6</v>
      </c>
      <c r="G188" s="864">
        <f t="shared" si="9"/>
        <v>26</v>
      </c>
      <c r="H188" s="864">
        <f t="shared" si="10"/>
        <v>2022</v>
      </c>
      <c r="I188" s="879">
        <f t="shared" si="11"/>
        <v>26</v>
      </c>
      <c r="J188" s="867" cm="1">
        <f t="array" ref="J188">INDEX($E:$E,MATCH($J$10,IF($B:$B=$B188,$I:$I),1))</f>
        <v>18187</v>
      </c>
    </row>
    <row r="189" spans="2:10">
      <c r="B189" s="817" t="s">
        <v>981</v>
      </c>
      <c r="C189" s="817" t="s">
        <v>6130</v>
      </c>
      <c r="D189" s="866">
        <v>44738</v>
      </c>
      <c r="E189" s="817">
        <v>12478</v>
      </c>
      <c r="F189" s="864">
        <f t="shared" si="8"/>
        <v>6</v>
      </c>
      <c r="G189" s="864">
        <f t="shared" si="9"/>
        <v>27</v>
      </c>
      <c r="H189" s="864">
        <f t="shared" si="10"/>
        <v>2022</v>
      </c>
      <c r="I189" s="879">
        <f t="shared" si="11"/>
        <v>27</v>
      </c>
      <c r="J189" s="867" cm="1">
        <f t="array" ref="J189">INDEX($E:$E,MATCH($J$10,IF($B:$B=$B189,$I:$I),1))</f>
        <v>18187</v>
      </c>
    </row>
    <row r="190" spans="2:10">
      <c r="B190" s="817" t="s">
        <v>981</v>
      </c>
      <c r="C190" s="817" t="s">
        <v>6130</v>
      </c>
      <c r="D190" s="863">
        <v>44747</v>
      </c>
      <c r="E190" s="817">
        <v>12492</v>
      </c>
      <c r="F190" s="864">
        <f t="shared" si="8"/>
        <v>7</v>
      </c>
      <c r="G190" s="864">
        <f t="shared" si="9"/>
        <v>28</v>
      </c>
      <c r="H190" s="864">
        <f t="shared" si="10"/>
        <v>2022</v>
      </c>
      <c r="I190" s="879">
        <f t="shared" si="11"/>
        <v>28</v>
      </c>
      <c r="J190" s="867" cm="1">
        <f t="array" ref="J190">INDEX($E:$E,MATCH($J$10,IF($B:$B=$B190,$I:$I),1))</f>
        <v>18187</v>
      </c>
    </row>
    <row r="191" spans="2:10">
      <c r="B191" s="817" t="s">
        <v>981</v>
      </c>
      <c r="C191" s="817" t="s">
        <v>6130</v>
      </c>
      <c r="D191" s="866">
        <v>44754</v>
      </c>
      <c r="E191" s="817">
        <v>12782</v>
      </c>
      <c r="F191" s="864">
        <f t="shared" si="8"/>
        <v>7</v>
      </c>
      <c r="G191" s="864">
        <f t="shared" si="9"/>
        <v>29</v>
      </c>
      <c r="H191" s="864">
        <f t="shared" si="10"/>
        <v>2022</v>
      </c>
      <c r="I191" s="879">
        <f t="shared" si="11"/>
        <v>29</v>
      </c>
      <c r="J191" s="867" cm="1">
        <f t="array" ref="J191">INDEX($E:$E,MATCH($J$10,IF($B:$B=$B191,$I:$I),1))</f>
        <v>18187</v>
      </c>
    </row>
    <row r="192" spans="2:10">
      <c r="B192" s="817" t="s">
        <v>981</v>
      </c>
      <c r="C192" s="817" t="s">
        <v>6130</v>
      </c>
      <c r="D192" s="863">
        <v>44761</v>
      </c>
      <c r="E192" s="817">
        <v>12768</v>
      </c>
      <c r="F192" s="864">
        <f t="shared" si="8"/>
        <v>7</v>
      </c>
      <c r="G192" s="864">
        <f t="shared" si="9"/>
        <v>30</v>
      </c>
      <c r="H192" s="864">
        <f t="shared" si="10"/>
        <v>2022</v>
      </c>
      <c r="I192" s="879">
        <f t="shared" si="11"/>
        <v>30</v>
      </c>
      <c r="J192" s="867" cm="1">
        <f t="array" ref="J192">INDEX($E:$E,MATCH($J$10,IF($B:$B=$B192,$I:$I),1))</f>
        <v>18187</v>
      </c>
    </row>
    <row r="193" spans="2:10">
      <c r="B193" s="817" t="s">
        <v>981</v>
      </c>
      <c r="C193" s="817" t="s">
        <v>6130</v>
      </c>
      <c r="D193" s="866">
        <v>44768</v>
      </c>
      <c r="E193" s="817">
        <v>12860</v>
      </c>
      <c r="F193" s="864">
        <f t="shared" si="8"/>
        <v>7</v>
      </c>
      <c r="G193" s="864">
        <f t="shared" si="9"/>
        <v>31</v>
      </c>
      <c r="H193" s="864">
        <f t="shared" si="10"/>
        <v>2022</v>
      </c>
      <c r="I193" s="879">
        <f t="shared" si="11"/>
        <v>31</v>
      </c>
      <c r="J193" s="867" cm="1">
        <f t="array" ref="J193">INDEX($E:$E,MATCH($J$10,IF($B:$B=$B193,$I:$I),1))</f>
        <v>18187</v>
      </c>
    </row>
    <row r="194" spans="2:10">
      <c r="B194" s="817" t="s">
        <v>981</v>
      </c>
      <c r="C194" s="817" t="s">
        <v>6130</v>
      </c>
      <c r="D194" s="863">
        <v>44775</v>
      </c>
      <c r="E194" s="817">
        <v>12846</v>
      </c>
      <c r="F194" s="864">
        <f t="shared" si="8"/>
        <v>8</v>
      </c>
      <c r="G194" s="864">
        <f t="shared" si="9"/>
        <v>32</v>
      </c>
      <c r="H194" s="864">
        <f t="shared" si="10"/>
        <v>2022</v>
      </c>
      <c r="I194" s="879">
        <f t="shared" si="11"/>
        <v>32</v>
      </c>
      <c r="J194" s="867" cm="1">
        <f t="array" ref="J194">INDEX($E:$E,MATCH($J$10,IF($B:$B=$B194,$I:$I),1))</f>
        <v>18187</v>
      </c>
    </row>
    <row r="195" spans="2:10">
      <c r="B195" s="817" t="s">
        <v>981</v>
      </c>
      <c r="C195" s="817" t="s">
        <v>6130</v>
      </c>
      <c r="D195" s="866">
        <v>44781</v>
      </c>
      <c r="E195" s="817">
        <v>13113</v>
      </c>
      <c r="F195" s="864">
        <f t="shared" si="8"/>
        <v>8</v>
      </c>
      <c r="G195" s="864">
        <f t="shared" si="9"/>
        <v>33</v>
      </c>
      <c r="H195" s="864">
        <f t="shared" si="10"/>
        <v>2022</v>
      </c>
      <c r="I195" s="879">
        <f t="shared" si="11"/>
        <v>33</v>
      </c>
      <c r="J195" s="867" cm="1">
        <f t="array" ref="J195">INDEX($E:$E,MATCH($J$10,IF($B:$B=$B195,$I:$I),1))</f>
        <v>18187</v>
      </c>
    </row>
    <row r="196" spans="2:10">
      <c r="B196" s="817" t="s">
        <v>981</v>
      </c>
      <c r="C196" s="817" t="s">
        <v>6130</v>
      </c>
      <c r="D196" s="863">
        <v>44794</v>
      </c>
      <c r="E196" s="817">
        <v>13035</v>
      </c>
      <c r="F196" s="864">
        <f t="shared" si="8"/>
        <v>8</v>
      </c>
      <c r="G196" s="864">
        <f t="shared" si="9"/>
        <v>35</v>
      </c>
      <c r="H196" s="864">
        <f t="shared" si="10"/>
        <v>2022</v>
      </c>
      <c r="I196" s="879">
        <f t="shared" si="11"/>
        <v>35</v>
      </c>
      <c r="J196" s="867" cm="1">
        <f t="array" ref="J196">INDEX($E:$E,MATCH($J$10,IF($B:$B=$B196,$I:$I),1))</f>
        <v>18187</v>
      </c>
    </row>
    <row r="197" spans="2:10">
      <c r="B197" s="817" t="s">
        <v>981</v>
      </c>
      <c r="C197" s="817" t="s">
        <v>6130</v>
      </c>
      <c r="D197" s="866">
        <v>44811</v>
      </c>
      <c r="E197" s="817">
        <v>13273</v>
      </c>
      <c r="F197" s="864">
        <f t="shared" si="8"/>
        <v>9</v>
      </c>
      <c r="G197" s="864">
        <f t="shared" si="9"/>
        <v>37</v>
      </c>
      <c r="H197" s="864">
        <f t="shared" si="10"/>
        <v>2022</v>
      </c>
      <c r="I197" s="879">
        <f t="shared" si="11"/>
        <v>37</v>
      </c>
      <c r="J197" s="867" cm="1">
        <f t="array" ref="J197">INDEX($E:$E,MATCH($J$10,IF($B:$B=$B197,$I:$I),1))</f>
        <v>18187</v>
      </c>
    </row>
    <row r="198" spans="2:10">
      <c r="B198" s="817" t="s">
        <v>981</v>
      </c>
      <c r="C198" s="817" t="s">
        <v>6130</v>
      </c>
      <c r="D198" s="863">
        <v>44817</v>
      </c>
      <c r="E198" s="817">
        <v>13642</v>
      </c>
      <c r="F198" s="864">
        <f t="shared" si="8"/>
        <v>9</v>
      </c>
      <c r="G198" s="864">
        <f t="shared" si="9"/>
        <v>38</v>
      </c>
      <c r="H198" s="864">
        <f t="shared" si="10"/>
        <v>2022</v>
      </c>
      <c r="I198" s="879">
        <f t="shared" si="11"/>
        <v>38</v>
      </c>
      <c r="J198" s="867" cm="1">
        <f t="array" ref="J198">INDEX($E:$E,MATCH($J$10,IF($B:$B=$B198,$I:$I),1))</f>
        <v>18187</v>
      </c>
    </row>
    <row r="199" spans="2:10">
      <c r="B199" s="817" t="s">
        <v>981</v>
      </c>
      <c r="C199" s="817" t="s">
        <v>6130</v>
      </c>
      <c r="D199" s="866">
        <v>44822</v>
      </c>
      <c r="E199" s="817">
        <v>13580</v>
      </c>
      <c r="F199" s="864">
        <f t="shared" si="8"/>
        <v>9</v>
      </c>
      <c r="G199" s="864">
        <f t="shared" si="9"/>
        <v>39</v>
      </c>
      <c r="H199" s="864">
        <f t="shared" si="10"/>
        <v>2022</v>
      </c>
      <c r="I199" s="879">
        <f t="shared" si="11"/>
        <v>39</v>
      </c>
      <c r="J199" s="867" cm="1">
        <f t="array" ref="J199">INDEX($E:$E,MATCH($J$10,IF($B:$B=$B199,$I:$I),1))</f>
        <v>18187</v>
      </c>
    </row>
    <row r="200" spans="2:10">
      <c r="B200" s="817" t="s">
        <v>981</v>
      </c>
      <c r="C200" s="817" t="s">
        <v>6130</v>
      </c>
      <c r="D200" s="863">
        <v>44829</v>
      </c>
      <c r="E200" s="817">
        <v>13852</v>
      </c>
      <c r="F200" s="864">
        <f t="shared" si="8"/>
        <v>9</v>
      </c>
      <c r="G200" s="864">
        <f t="shared" si="9"/>
        <v>40</v>
      </c>
      <c r="H200" s="864">
        <f t="shared" si="10"/>
        <v>2022</v>
      </c>
      <c r="I200" s="879">
        <f t="shared" si="11"/>
        <v>40</v>
      </c>
      <c r="J200" s="867" cm="1">
        <f t="array" ref="J200">INDEX($E:$E,MATCH($J$10,IF($B:$B=$B200,$I:$I),1))</f>
        <v>18187</v>
      </c>
    </row>
    <row r="201" spans="2:10">
      <c r="B201" s="817" t="s">
        <v>981</v>
      </c>
      <c r="C201" s="817" t="s">
        <v>6130</v>
      </c>
      <c r="D201" s="866">
        <v>44836</v>
      </c>
      <c r="E201" s="817">
        <v>14157</v>
      </c>
      <c r="F201" s="864">
        <f t="shared" si="8"/>
        <v>10</v>
      </c>
      <c r="G201" s="864">
        <f t="shared" si="9"/>
        <v>41</v>
      </c>
      <c r="H201" s="864">
        <f t="shared" si="10"/>
        <v>2022</v>
      </c>
      <c r="I201" s="879">
        <f t="shared" si="11"/>
        <v>41</v>
      </c>
      <c r="J201" s="867" cm="1">
        <f t="array" ref="J201">INDEX($E:$E,MATCH($J$10,IF($B:$B=$B201,$I:$I),1))</f>
        <v>18187</v>
      </c>
    </row>
    <row r="202" spans="2:10">
      <c r="B202" s="817" t="s">
        <v>981</v>
      </c>
      <c r="C202" s="817" t="s">
        <v>6130</v>
      </c>
      <c r="D202" s="863">
        <v>44845</v>
      </c>
      <c r="E202" s="817">
        <v>13946</v>
      </c>
      <c r="F202" s="864">
        <f t="shared" si="8"/>
        <v>10</v>
      </c>
      <c r="G202" s="864">
        <f t="shared" si="9"/>
        <v>42</v>
      </c>
      <c r="H202" s="864">
        <f t="shared" si="10"/>
        <v>2022</v>
      </c>
      <c r="I202" s="879">
        <f t="shared" si="11"/>
        <v>42</v>
      </c>
      <c r="J202" s="867" cm="1">
        <f t="array" ref="J202">INDEX($E:$E,MATCH($J$10,IF($B:$B=$B202,$I:$I),1))</f>
        <v>18187</v>
      </c>
    </row>
    <row r="203" spans="2:10">
      <c r="B203" s="817" t="s">
        <v>981</v>
      </c>
      <c r="C203" s="817" t="s">
        <v>6130</v>
      </c>
      <c r="D203" s="866">
        <v>44852</v>
      </c>
      <c r="E203" s="817">
        <v>14380</v>
      </c>
      <c r="F203" s="864">
        <f t="shared" si="8"/>
        <v>10</v>
      </c>
      <c r="G203" s="864">
        <f t="shared" si="9"/>
        <v>43</v>
      </c>
      <c r="H203" s="864">
        <f t="shared" si="10"/>
        <v>2022</v>
      </c>
      <c r="I203" s="879">
        <f t="shared" si="11"/>
        <v>43</v>
      </c>
      <c r="J203" s="867" cm="1">
        <f t="array" ref="J203">INDEX($E:$E,MATCH($J$10,IF($B:$B=$B203,$I:$I),1))</f>
        <v>18187</v>
      </c>
    </row>
    <row r="204" spans="2:10">
      <c r="B204" s="817" t="s">
        <v>981</v>
      </c>
      <c r="C204" s="817" t="s">
        <v>6130</v>
      </c>
      <c r="D204" s="863">
        <v>44859</v>
      </c>
      <c r="E204" s="817">
        <v>14404</v>
      </c>
      <c r="F204" s="864">
        <f t="shared" ref="F204:F267" si="12">MONTH(D204)</f>
        <v>10</v>
      </c>
      <c r="G204" s="864">
        <f t="shared" ref="G204:G267" si="13">WEEKNUM(D204)</f>
        <v>44</v>
      </c>
      <c r="H204" s="864">
        <f t="shared" ref="H204:H267" si="14">YEAR(D204)</f>
        <v>2022</v>
      </c>
      <c r="I204" s="879">
        <f t="shared" ref="I204:I267" si="15">(H204-2022)*53+G204</f>
        <v>44</v>
      </c>
      <c r="J204" s="867" cm="1">
        <f t="array" ref="J204">INDEX($E:$E,MATCH($J$10,IF($B:$B=$B204,$I:$I),1))</f>
        <v>18187</v>
      </c>
    </row>
    <row r="205" spans="2:10">
      <c r="B205" s="817" t="s">
        <v>981</v>
      </c>
      <c r="C205" s="817" t="s">
        <v>6130</v>
      </c>
      <c r="D205" s="866">
        <v>44864</v>
      </c>
      <c r="E205" s="817">
        <v>14523</v>
      </c>
      <c r="F205" s="864">
        <f t="shared" si="12"/>
        <v>10</v>
      </c>
      <c r="G205" s="864">
        <f t="shared" si="13"/>
        <v>45</v>
      </c>
      <c r="H205" s="864">
        <f t="shared" si="14"/>
        <v>2022</v>
      </c>
      <c r="I205" s="879">
        <f t="shared" si="15"/>
        <v>45</v>
      </c>
      <c r="J205" s="867" cm="1">
        <f t="array" ref="J205">INDEX($E:$E,MATCH($J$10,IF($B:$B=$B205,$I:$I),1))</f>
        <v>18187</v>
      </c>
    </row>
    <row r="206" spans="2:10">
      <c r="B206" s="817" t="s">
        <v>981</v>
      </c>
      <c r="C206" s="817" t="s">
        <v>6130</v>
      </c>
      <c r="D206" s="863">
        <v>44873</v>
      </c>
      <c r="E206" s="817">
        <v>14818</v>
      </c>
      <c r="F206" s="864">
        <f t="shared" si="12"/>
        <v>11</v>
      </c>
      <c r="G206" s="864">
        <f t="shared" si="13"/>
        <v>46</v>
      </c>
      <c r="H206" s="864">
        <f t="shared" si="14"/>
        <v>2022</v>
      </c>
      <c r="I206" s="879">
        <f t="shared" si="15"/>
        <v>46</v>
      </c>
      <c r="J206" s="867" cm="1">
        <f t="array" ref="J206">INDEX($E:$E,MATCH($J$10,IF($B:$B=$B206,$I:$I),1))</f>
        <v>18187</v>
      </c>
    </row>
    <row r="207" spans="2:10">
      <c r="B207" s="817" t="s">
        <v>981</v>
      </c>
      <c r="C207" s="817" t="s">
        <v>6130</v>
      </c>
      <c r="D207" s="866">
        <v>44880</v>
      </c>
      <c r="E207" s="817">
        <v>14336</v>
      </c>
      <c r="F207" s="864">
        <f t="shared" si="12"/>
        <v>11</v>
      </c>
      <c r="G207" s="864">
        <f t="shared" si="13"/>
        <v>47</v>
      </c>
      <c r="H207" s="864">
        <f t="shared" si="14"/>
        <v>2022</v>
      </c>
      <c r="I207" s="879">
        <f t="shared" si="15"/>
        <v>47</v>
      </c>
      <c r="J207" s="867" cm="1">
        <f t="array" ref="J207">INDEX($E:$E,MATCH($J$10,IF($B:$B=$B207,$I:$I),1))</f>
        <v>18187</v>
      </c>
    </row>
    <row r="208" spans="2:10">
      <c r="B208" s="817" t="s">
        <v>981</v>
      </c>
      <c r="C208" s="817" t="s">
        <v>6130</v>
      </c>
      <c r="D208" s="863">
        <v>44901</v>
      </c>
      <c r="E208" s="817">
        <v>14326</v>
      </c>
      <c r="F208" s="864">
        <f t="shared" si="12"/>
        <v>12</v>
      </c>
      <c r="G208" s="864">
        <f t="shared" si="13"/>
        <v>50</v>
      </c>
      <c r="H208" s="864">
        <f t="shared" si="14"/>
        <v>2022</v>
      </c>
      <c r="I208" s="879">
        <f t="shared" si="15"/>
        <v>50</v>
      </c>
      <c r="J208" s="867" cm="1">
        <f t="array" ref="J208">INDEX($E:$E,MATCH($J$10,IF($B:$B=$B208,$I:$I),1))</f>
        <v>18187</v>
      </c>
    </row>
    <row r="209" spans="2:10">
      <c r="B209" s="817" t="s">
        <v>981</v>
      </c>
      <c r="C209" s="817" t="s">
        <v>6130</v>
      </c>
      <c r="D209" s="866">
        <v>44908</v>
      </c>
      <c r="E209" s="817">
        <v>14551</v>
      </c>
      <c r="F209" s="864">
        <f t="shared" si="12"/>
        <v>12</v>
      </c>
      <c r="G209" s="864">
        <f t="shared" si="13"/>
        <v>51</v>
      </c>
      <c r="H209" s="864">
        <f t="shared" si="14"/>
        <v>2022</v>
      </c>
      <c r="I209" s="879">
        <f t="shared" si="15"/>
        <v>51</v>
      </c>
      <c r="J209" s="867" cm="1">
        <f t="array" ref="J209">INDEX($E:$E,MATCH($J$10,IF($B:$B=$B209,$I:$I),1))</f>
        <v>18187</v>
      </c>
    </row>
    <row r="210" spans="2:10">
      <c r="B210" s="817" t="s">
        <v>981</v>
      </c>
      <c r="C210" s="817" t="s">
        <v>6130</v>
      </c>
      <c r="D210" s="863">
        <v>44913</v>
      </c>
      <c r="E210" s="817">
        <v>14510</v>
      </c>
      <c r="F210" s="864">
        <f t="shared" si="12"/>
        <v>12</v>
      </c>
      <c r="G210" s="864">
        <f t="shared" si="13"/>
        <v>52</v>
      </c>
      <c r="H210" s="864">
        <f t="shared" si="14"/>
        <v>2022</v>
      </c>
      <c r="I210" s="879">
        <f t="shared" si="15"/>
        <v>52</v>
      </c>
      <c r="J210" s="867" cm="1">
        <f t="array" ref="J210">INDEX($E:$E,MATCH($J$10,IF($B:$B=$B210,$I:$I),1))</f>
        <v>18187</v>
      </c>
    </row>
    <row r="211" spans="2:10">
      <c r="B211" s="817" t="s">
        <v>981</v>
      </c>
      <c r="C211" s="817" t="s">
        <v>6130</v>
      </c>
      <c r="D211" s="866">
        <v>44934</v>
      </c>
      <c r="E211" s="817">
        <v>15158</v>
      </c>
      <c r="F211" s="864">
        <f t="shared" si="12"/>
        <v>1</v>
      </c>
      <c r="G211" s="864">
        <f t="shared" si="13"/>
        <v>2</v>
      </c>
      <c r="H211" s="864">
        <f t="shared" si="14"/>
        <v>2023</v>
      </c>
      <c r="I211" s="879">
        <f t="shared" si="15"/>
        <v>55</v>
      </c>
      <c r="J211" s="867" cm="1">
        <f t="array" ref="J211">INDEX($E:$E,MATCH($J$10,IF($B:$B=$B211,$I:$I),1))</f>
        <v>18187</v>
      </c>
    </row>
    <row r="212" spans="2:10">
      <c r="B212" s="817" t="s">
        <v>981</v>
      </c>
      <c r="C212" s="817" t="s">
        <v>6130</v>
      </c>
      <c r="D212" s="863">
        <v>44943</v>
      </c>
      <c r="E212" s="817">
        <v>15158</v>
      </c>
      <c r="F212" s="864">
        <f t="shared" si="12"/>
        <v>1</v>
      </c>
      <c r="G212" s="864">
        <f t="shared" si="13"/>
        <v>3</v>
      </c>
      <c r="H212" s="864">
        <f t="shared" si="14"/>
        <v>2023</v>
      </c>
      <c r="I212" s="879">
        <f t="shared" si="15"/>
        <v>56</v>
      </c>
      <c r="J212" s="867" cm="1">
        <f t="array" ref="J212">INDEX($E:$E,MATCH($J$10,IF($B:$B=$B212,$I:$I),1))</f>
        <v>18187</v>
      </c>
    </row>
    <row r="213" spans="2:10">
      <c r="B213" s="817" t="s">
        <v>981</v>
      </c>
      <c r="C213" s="817" t="s">
        <v>6130</v>
      </c>
      <c r="D213" s="866">
        <v>44948</v>
      </c>
      <c r="E213" s="817">
        <v>15451</v>
      </c>
      <c r="F213" s="864">
        <f t="shared" si="12"/>
        <v>1</v>
      </c>
      <c r="G213" s="864">
        <f t="shared" si="13"/>
        <v>4</v>
      </c>
      <c r="H213" s="864">
        <f t="shared" si="14"/>
        <v>2023</v>
      </c>
      <c r="I213" s="879">
        <f t="shared" si="15"/>
        <v>57</v>
      </c>
      <c r="J213" s="867" cm="1">
        <f t="array" ref="J213">INDEX($E:$E,MATCH($J$10,IF($B:$B=$B213,$I:$I),1))</f>
        <v>18187</v>
      </c>
    </row>
    <row r="214" spans="2:10">
      <c r="B214" s="817" t="s">
        <v>981</v>
      </c>
      <c r="C214" s="817" t="s">
        <v>6130</v>
      </c>
      <c r="D214" s="863">
        <v>44962</v>
      </c>
      <c r="E214" s="817">
        <v>15750</v>
      </c>
      <c r="F214" s="864">
        <f t="shared" si="12"/>
        <v>2</v>
      </c>
      <c r="G214" s="864">
        <f t="shared" si="13"/>
        <v>6</v>
      </c>
      <c r="H214" s="864">
        <f t="shared" si="14"/>
        <v>2023</v>
      </c>
      <c r="I214" s="879">
        <f t="shared" si="15"/>
        <v>59</v>
      </c>
      <c r="J214" s="867" cm="1">
        <f t="array" ref="J214">INDEX($E:$E,MATCH($J$10,IF($B:$B=$B214,$I:$I),1))</f>
        <v>18187</v>
      </c>
    </row>
    <row r="215" spans="2:10">
      <c r="B215" s="817" t="s">
        <v>981</v>
      </c>
      <c r="C215" s="817" t="s">
        <v>6130</v>
      </c>
      <c r="D215" s="866">
        <v>44976</v>
      </c>
      <c r="E215" s="817">
        <v>15992</v>
      </c>
      <c r="F215" s="864">
        <f t="shared" si="12"/>
        <v>2</v>
      </c>
      <c r="G215" s="864">
        <f t="shared" si="13"/>
        <v>8</v>
      </c>
      <c r="H215" s="864">
        <f t="shared" si="14"/>
        <v>2023</v>
      </c>
      <c r="I215" s="879">
        <f t="shared" si="15"/>
        <v>61</v>
      </c>
      <c r="J215" s="867" cm="1">
        <f t="array" ref="J215">INDEX($E:$E,MATCH($J$10,IF($B:$B=$B215,$I:$I),1))</f>
        <v>18187</v>
      </c>
    </row>
    <row r="216" spans="2:10">
      <c r="B216" s="817" t="s">
        <v>981</v>
      </c>
      <c r="C216" s="817" t="s">
        <v>6130</v>
      </c>
      <c r="D216" s="863">
        <v>44997</v>
      </c>
      <c r="E216" s="817">
        <v>16281</v>
      </c>
      <c r="F216" s="864">
        <f t="shared" si="12"/>
        <v>3</v>
      </c>
      <c r="G216" s="864">
        <f t="shared" si="13"/>
        <v>11</v>
      </c>
      <c r="H216" s="864">
        <f t="shared" si="14"/>
        <v>2023</v>
      </c>
      <c r="I216" s="879">
        <f t="shared" si="15"/>
        <v>64</v>
      </c>
      <c r="J216" s="867" cm="1">
        <f t="array" ref="J216">INDEX($E:$E,MATCH($J$10,IF($B:$B=$B216,$I:$I),1))</f>
        <v>18187</v>
      </c>
    </row>
    <row r="217" spans="2:10">
      <c r="B217" s="817" t="s">
        <v>981</v>
      </c>
      <c r="C217" s="817" t="s">
        <v>6130</v>
      </c>
      <c r="D217" s="863">
        <v>45060</v>
      </c>
      <c r="E217" s="817">
        <v>18187</v>
      </c>
      <c r="F217" s="864">
        <f t="shared" si="12"/>
        <v>5</v>
      </c>
      <c r="G217" s="864">
        <f t="shared" si="13"/>
        <v>20</v>
      </c>
      <c r="H217" s="864">
        <f t="shared" si="14"/>
        <v>2023</v>
      </c>
      <c r="I217" s="879">
        <f t="shared" si="15"/>
        <v>73</v>
      </c>
      <c r="J217" s="867" cm="1">
        <f t="array" ref="J217">INDEX($E:$E,MATCH($J$10,IF($B:$B=$B217,$I:$I),1))</f>
        <v>18187</v>
      </c>
    </row>
    <row r="218" spans="2:10">
      <c r="B218" s="817" t="s">
        <v>1012</v>
      </c>
      <c r="C218" s="817" t="s">
        <v>6131</v>
      </c>
      <c r="D218" s="863">
        <v>44713</v>
      </c>
      <c r="E218" s="817">
        <v>361560</v>
      </c>
      <c r="F218" s="864">
        <f t="shared" si="12"/>
        <v>6</v>
      </c>
      <c r="G218" s="864">
        <f t="shared" si="13"/>
        <v>23</v>
      </c>
      <c r="H218" s="864">
        <f t="shared" si="14"/>
        <v>2022</v>
      </c>
      <c r="I218" s="879">
        <f t="shared" si="15"/>
        <v>23</v>
      </c>
      <c r="J218" s="867" cm="1">
        <f t="array" ref="J218">INDEX($E:$E,MATCH($J$10,IF($B:$B=$B218,$I:$I),1))</f>
        <v>520234</v>
      </c>
    </row>
    <row r="219" spans="2:10">
      <c r="B219" s="817" t="s">
        <v>1012</v>
      </c>
      <c r="C219" s="817" t="s">
        <v>6131</v>
      </c>
      <c r="D219" s="866">
        <v>44719</v>
      </c>
      <c r="E219" s="817">
        <v>366632</v>
      </c>
      <c r="F219" s="864">
        <f t="shared" si="12"/>
        <v>6</v>
      </c>
      <c r="G219" s="864">
        <f t="shared" si="13"/>
        <v>24</v>
      </c>
      <c r="H219" s="864">
        <f t="shared" si="14"/>
        <v>2022</v>
      </c>
      <c r="I219" s="879">
        <f t="shared" si="15"/>
        <v>24</v>
      </c>
      <c r="J219" s="867" cm="1">
        <f t="array" ref="J219">INDEX($E:$E,MATCH($J$10,IF($B:$B=$B219,$I:$I),1))</f>
        <v>520234</v>
      </c>
    </row>
    <row r="220" spans="2:10">
      <c r="B220" s="817" t="s">
        <v>1012</v>
      </c>
      <c r="C220" s="817" t="s">
        <v>6131</v>
      </c>
      <c r="D220" s="863">
        <v>44726</v>
      </c>
      <c r="E220" s="817">
        <v>373965</v>
      </c>
      <c r="F220" s="864">
        <f t="shared" si="12"/>
        <v>6</v>
      </c>
      <c r="G220" s="864">
        <f t="shared" si="13"/>
        <v>25</v>
      </c>
      <c r="H220" s="864">
        <f t="shared" si="14"/>
        <v>2022</v>
      </c>
      <c r="I220" s="879">
        <f t="shared" si="15"/>
        <v>25</v>
      </c>
      <c r="J220" s="867" cm="1">
        <f t="array" ref="J220">INDEX($E:$E,MATCH($J$10,IF($B:$B=$B220,$I:$I),1))</f>
        <v>520234</v>
      </c>
    </row>
    <row r="221" spans="2:10">
      <c r="B221" s="817" t="s">
        <v>1012</v>
      </c>
      <c r="C221" s="817" t="s">
        <v>6131</v>
      </c>
      <c r="D221" s="866">
        <v>44733</v>
      </c>
      <c r="E221" s="817">
        <v>379669</v>
      </c>
      <c r="F221" s="864">
        <f t="shared" si="12"/>
        <v>6</v>
      </c>
      <c r="G221" s="864">
        <f t="shared" si="13"/>
        <v>26</v>
      </c>
      <c r="H221" s="864">
        <f t="shared" si="14"/>
        <v>2022</v>
      </c>
      <c r="I221" s="879">
        <f t="shared" si="15"/>
        <v>26</v>
      </c>
      <c r="J221" s="867" cm="1">
        <f t="array" ref="J221">INDEX($E:$E,MATCH($J$10,IF($B:$B=$B221,$I:$I),1))</f>
        <v>520234</v>
      </c>
    </row>
    <row r="222" spans="2:10">
      <c r="B222" s="817" t="s">
        <v>1012</v>
      </c>
      <c r="C222" s="817" t="s">
        <v>6131</v>
      </c>
      <c r="D222" s="863">
        <v>44740</v>
      </c>
      <c r="E222" s="817">
        <v>382768</v>
      </c>
      <c r="F222" s="864">
        <f t="shared" si="12"/>
        <v>6</v>
      </c>
      <c r="G222" s="864">
        <f t="shared" si="13"/>
        <v>27</v>
      </c>
      <c r="H222" s="864">
        <f t="shared" si="14"/>
        <v>2022</v>
      </c>
      <c r="I222" s="879">
        <f t="shared" si="15"/>
        <v>27</v>
      </c>
      <c r="J222" s="867" cm="1">
        <f t="array" ref="J222">INDEX($E:$E,MATCH($J$10,IF($B:$B=$B222,$I:$I),1))</f>
        <v>520234</v>
      </c>
    </row>
    <row r="223" spans="2:10">
      <c r="B223" s="817" t="s">
        <v>1012</v>
      </c>
      <c r="C223" s="817" t="s">
        <v>6131</v>
      </c>
      <c r="D223" s="866">
        <v>44747</v>
      </c>
      <c r="E223" s="817">
        <v>388097</v>
      </c>
      <c r="F223" s="864">
        <f t="shared" si="12"/>
        <v>7</v>
      </c>
      <c r="G223" s="864">
        <f t="shared" si="13"/>
        <v>28</v>
      </c>
      <c r="H223" s="864">
        <f t="shared" si="14"/>
        <v>2022</v>
      </c>
      <c r="I223" s="879">
        <f t="shared" si="15"/>
        <v>28</v>
      </c>
      <c r="J223" s="867" cm="1">
        <f t="array" ref="J223">INDEX($E:$E,MATCH($J$10,IF($B:$B=$B223,$I:$I),1))</f>
        <v>520234</v>
      </c>
    </row>
    <row r="224" spans="2:10">
      <c r="B224" s="817" t="s">
        <v>1012</v>
      </c>
      <c r="C224" s="817" t="s">
        <v>6131</v>
      </c>
      <c r="D224" s="863">
        <v>44754</v>
      </c>
      <c r="E224" s="817">
        <v>391856</v>
      </c>
      <c r="F224" s="864">
        <f t="shared" si="12"/>
        <v>7</v>
      </c>
      <c r="G224" s="864">
        <f t="shared" si="13"/>
        <v>29</v>
      </c>
      <c r="H224" s="864">
        <f t="shared" si="14"/>
        <v>2022</v>
      </c>
      <c r="I224" s="879">
        <f t="shared" si="15"/>
        <v>29</v>
      </c>
      <c r="J224" s="867" cm="1">
        <f t="array" ref="J224">INDEX($E:$E,MATCH($J$10,IF($B:$B=$B224,$I:$I),1))</f>
        <v>520234</v>
      </c>
    </row>
    <row r="225" spans="2:10">
      <c r="B225" s="817" t="s">
        <v>1012</v>
      </c>
      <c r="C225" s="817" t="s">
        <v>6131</v>
      </c>
      <c r="D225" s="866">
        <v>44761</v>
      </c>
      <c r="E225" s="817">
        <v>396334</v>
      </c>
      <c r="F225" s="864">
        <f t="shared" si="12"/>
        <v>7</v>
      </c>
      <c r="G225" s="864">
        <f t="shared" si="13"/>
        <v>30</v>
      </c>
      <c r="H225" s="864">
        <f t="shared" si="14"/>
        <v>2022</v>
      </c>
      <c r="I225" s="879">
        <f t="shared" si="15"/>
        <v>30</v>
      </c>
      <c r="J225" s="867" cm="1">
        <f t="array" ref="J225">INDEX($E:$E,MATCH($J$10,IF($B:$B=$B225,$I:$I),1))</f>
        <v>520234</v>
      </c>
    </row>
    <row r="226" spans="2:10">
      <c r="B226" s="817" t="s">
        <v>1012</v>
      </c>
      <c r="C226" s="817" t="s">
        <v>6131</v>
      </c>
      <c r="D226" s="863">
        <v>44768</v>
      </c>
      <c r="E226" s="817">
        <v>400559</v>
      </c>
      <c r="F226" s="864">
        <f t="shared" si="12"/>
        <v>7</v>
      </c>
      <c r="G226" s="864">
        <f t="shared" si="13"/>
        <v>31</v>
      </c>
      <c r="H226" s="864">
        <f t="shared" si="14"/>
        <v>2022</v>
      </c>
      <c r="I226" s="879">
        <f t="shared" si="15"/>
        <v>31</v>
      </c>
      <c r="J226" s="867" cm="1">
        <f t="array" ref="J226">INDEX($E:$E,MATCH($J$10,IF($B:$B=$B226,$I:$I),1))</f>
        <v>520234</v>
      </c>
    </row>
    <row r="227" spans="2:10">
      <c r="B227" s="817" t="s">
        <v>1012</v>
      </c>
      <c r="C227" s="817" t="s">
        <v>6131</v>
      </c>
      <c r="D227" s="866">
        <v>44775</v>
      </c>
      <c r="E227" s="817">
        <v>404839</v>
      </c>
      <c r="F227" s="864">
        <f t="shared" si="12"/>
        <v>8</v>
      </c>
      <c r="G227" s="864">
        <f t="shared" si="13"/>
        <v>32</v>
      </c>
      <c r="H227" s="864">
        <f t="shared" si="14"/>
        <v>2022</v>
      </c>
      <c r="I227" s="879">
        <f t="shared" si="15"/>
        <v>32</v>
      </c>
      <c r="J227" s="867" cm="1">
        <f t="array" ref="J227">INDEX($E:$E,MATCH($J$10,IF($B:$B=$B227,$I:$I),1))</f>
        <v>520234</v>
      </c>
    </row>
    <row r="228" spans="2:10">
      <c r="B228" s="817" t="s">
        <v>1012</v>
      </c>
      <c r="C228" s="817" t="s">
        <v>6131</v>
      </c>
      <c r="D228" s="863">
        <v>44782</v>
      </c>
      <c r="E228" s="817">
        <v>409008</v>
      </c>
      <c r="F228" s="864">
        <f t="shared" si="12"/>
        <v>8</v>
      </c>
      <c r="G228" s="864">
        <f t="shared" si="13"/>
        <v>33</v>
      </c>
      <c r="H228" s="864">
        <f t="shared" si="14"/>
        <v>2022</v>
      </c>
      <c r="I228" s="879">
        <f t="shared" si="15"/>
        <v>33</v>
      </c>
      <c r="J228" s="867" cm="1">
        <f t="array" ref="J228">INDEX($E:$E,MATCH($J$10,IF($B:$B=$B228,$I:$I),1))</f>
        <v>520234</v>
      </c>
    </row>
    <row r="229" spans="2:10">
      <c r="B229" s="817" t="s">
        <v>1012</v>
      </c>
      <c r="C229" s="817" t="s">
        <v>6131</v>
      </c>
      <c r="D229" s="866">
        <v>44789</v>
      </c>
      <c r="E229" s="817">
        <v>413121</v>
      </c>
      <c r="F229" s="864">
        <f t="shared" si="12"/>
        <v>8</v>
      </c>
      <c r="G229" s="864">
        <f t="shared" si="13"/>
        <v>34</v>
      </c>
      <c r="H229" s="864">
        <f t="shared" si="14"/>
        <v>2022</v>
      </c>
      <c r="I229" s="879">
        <f t="shared" si="15"/>
        <v>34</v>
      </c>
      <c r="J229" s="867" cm="1">
        <f t="array" ref="J229">INDEX($E:$E,MATCH($J$10,IF($B:$B=$B229,$I:$I),1))</f>
        <v>520234</v>
      </c>
    </row>
    <row r="230" spans="2:10">
      <c r="B230" s="817" t="s">
        <v>1012</v>
      </c>
      <c r="C230" s="817" t="s">
        <v>6131</v>
      </c>
      <c r="D230" s="863">
        <v>44795</v>
      </c>
      <c r="E230" s="817">
        <v>415859</v>
      </c>
      <c r="F230" s="864">
        <f t="shared" si="12"/>
        <v>8</v>
      </c>
      <c r="G230" s="864">
        <f t="shared" si="13"/>
        <v>35</v>
      </c>
      <c r="H230" s="864">
        <f t="shared" si="14"/>
        <v>2022</v>
      </c>
      <c r="I230" s="879">
        <f t="shared" si="15"/>
        <v>35</v>
      </c>
      <c r="J230" s="867" cm="1">
        <f t="array" ref="J230">INDEX($E:$E,MATCH($J$10,IF($B:$B=$B230,$I:$I),1))</f>
        <v>520234</v>
      </c>
    </row>
    <row r="231" spans="2:10">
      <c r="B231" s="817" t="s">
        <v>1012</v>
      </c>
      <c r="C231" s="817" t="s">
        <v>6131</v>
      </c>
      <c r="D231" s="866">
        <v>44803</v>
      </c>
      <c r="E231" s="817">
        <v>423374</v>
      </c>
      <c r="F231" s="864">
        <f t="shared" si="12"/>
        <v>8</v>
      </c>
      <c r="G231" s="864">
        <f t="shared" si="13"/>
        <v>36</v>
      </c>
      <c r="H231" s="864">
        <f t="shared" si="14"/>
        <v>2022</v>
      </c>
      <c r="I231" s="879">
        <f t="shared" si="15"/>
        <v>36</v>
      </c>
      <c r="J231" s="867" cm="1">
        <f t="array" ref="J231">INDEX($E:$E,MATCH($J$10,IF($B:$B=$B231,$I:$I),1))</f>
        <v>520234</v>
      </c>
    </row>
    <row r="232" spans="2:10">
      <c r="B232" s="817" t="s">
        <v>1012</v>
      </c>
      <c r="C232" s="817" t="s">
        <v>6131</v>
      </c>
      <c r="D232" s="863">
        <v>44810</v>
      </c>
      <c r="E232" s="817">
        <v>427696</v>
      </c>
      <c r="F232" s="864">
        <f t="shared" si="12"/>
        <v>9</v>
      </c>
      <c r="G232" s="864">
        <f t="shared" si="13"/>
        <v>37</v>
      </c>
      <c r="H232" s="864">
        <f t="shared" si="14"/>
        <v>2022</v>
      </c>
      <c r="I232" s="879">
        <f t="shared" si="15"/>
        <v>37</v>
      </c>
      <c r="J232" s="867" cm="1">
        <f t="array" ref="J232">INDEX($E:$E,MATCH($J$10,IF($B:$B=$B232,$I:$I),1))</f>
        <v>520234</v>
      </c>
    </row>
    <row r="233" spans="2:10">
      <c r="B233" s="817" t="s">
        <v>1012</v>
      </c>
      <c r="C233" s="817" t="s">
        <v>6131</v>
      </c>
      <c r="D233" s="866">
        <v>44817</v>
      </c>
      <c r="E233" s="817">
        <v>431462</v>
      </c>
      <c r="F233" s="864">
        <f t="shared" si="12"/>
        <v>9</v>
      </c>
      <c r="G233" s="864">
        <f t="shared" si="13"/>
        <v>38</v>
      </c>
      <c r="H233" s="864">
        <f t="shared" si="14"/>
        <v>2022</v>
      </c>
      <c r="I233" s="879">
        <f t="shared" si="15"/>
        <v>38</v>
      </c>
      <c r="J233" s="867" cm="1">
        <f t="array" ref="J233">INDEX($E:$E,MATCH($J$10,IF($B:$B=$B233,$I:$I),1))</f>
        <v>520234</v>
      </c>
    </row>
    <row r="234" spans="2:10">
      <c r="B234" s="817" t="s">
        <v>1012</v>
      </c>
      <c r="C234" s="817" t="s">
        <v>6131</v>
      </c>
      <c r="D234" s="863">
        <v>44823</v>
      </c>
      <c r="E234" s="817">
        <v>433488</v>
      </c>
      <c r="F234" s="864">
        <f t="shared" si="12"/>
        <v>9</v>
      </c>
      <c r="G234" s="864">
        <f t="shared" si="13"/>
        <v>39</v>
      </c>
      <c r="H234" s="864">
        <f t="shared" si="14"/>
        <v>2022</v>
      </c>
      <c r="I234" s="879">
        <f t="shared" si="15"/>
        <v>39</v>
      </c>
      <c r="J234" s="867" cm="1">
        <f t="array" ref="J234">INDEX($E:$E,MATCH($J$10,IF($B:$B=$B234,$I:$I),1))</f>
        <v>520234</v>
      </c>
    </row>
    <row r="235" spans="2:10">
      <c r="B235" s="817" t="s">
        <v>1012</v>
      </c>
      <c r="C235" s="817" t="s">
        <v>6131</v>
      </c>
      <c r="D235" s="866">
        <v>44831</v>
      </c>
      <c r="E235" s="817">
        <v>439043</v>
      </c>
      <c r="F235" s="864">
        <f t="shared" si="12"/>
        <v>9</v>
      </c>
      <c r="G235" s="864">
        <f t="shared" si="13"/>
        <v>40</v>
      </c>
      <c r="H235" s="864">
        <f t="shared" si="14"/>
        <v>2022</v>
      </c>
      <c r="I235" s="879">
        <f t="shared" si="15"/>
        <v>40</v>
      </c>
      <c r="J235" s="867" cm="1">
        <f t="array" ref="J235">INDEX($E:$E,MATCH($J$10,IF($B:$B=$B235,$I:$I),1))</f>
        <v>520234</v>
      </c>
    </row>
    <row r="236" spans="2:10">
      <c r="B236" s="817" t="s">
        <v>1012</v>
      </c>
      <c r="C236" s="817" t="s">
        <v>6131</v>
      </c>
      <c r="D236" s="863">
        <v>44838</v>
      </c>
      <c r="E236" s="817">
        <v>442443</v>
      </c>
      <c r="F236" s="864">
        <f t="shared" si="12"/>
        <v>10</v>
      </c>
      <c r="G236" s="864">
        <f t="shared" si="13"/>
        <v>41</v>
      </c>
      <c r="H236" s="864">
        <f t="shared" si="14"/>
        <v>2022</v>
      </c>
      <c r="I236" s="879">
        <f t="shared" si="15"/>
        <v>41</v>
      </c>
      <c r="J236" s="867" cm="1">
        <f t="array" ref="J236">INDEX($E:$E,MATCH($J$10,IF($B:$B=$B236,$I:$I),1))</f>
        <v>520234</v>
      </c>
    </row>
    <row r="237" spans="2:10">
      <c r="B237" s="817" t="s">
        <v>1012</v>
      </c>
      <c r="C237" s="817" t="s">
        <v>6131</v>
      </c>
      <c r="D237" s="866">
        <v>44845</v>
      </c>
      <c r="E237" s="817">
        <v>442440</v>
      </c>
      <c r="F237" s="864">
        <f t="shared" si="12"/>
        <v>10</v>
      </c>
      <c r="G237" s="864">
        <f t="shared" si="13"/>
        <v>42</v>
      </c>
      <c r="H237" s="864">
        <f t="shared" si="14"/>
        <v>2022</v>
      </c>
      <c r="I237" s="879">
        <f t="shared" si="15"/>
        <v>42</v>
      </c>
      <c r="J237" s="867" cm="1">
        <f t="array" ref="J237">INDEX($E:$E,MATCH($J$10,IF($B:$B=$B237,$I:$I),1))</f>
        <v>520234</v>
      </c>
    </row>
    <row r="238" spans="2:10">
      <c r="B238" s="817" t="s">
        <v>1012</v>
      </c>
      <c r="C238" s="817" t="s">
        <v>6131</v>
      </c>
      <c r="D238" s="863">
        <v>44852</v>
      </c>
      <c r="E238" s="817">
        <v>448807</v>
      </c>
      <c r="F238" s="864">
        <f t="shared" si="12"/>
        <v>10</v>
      </c>
      <c r="G238" s="864">
        <f t="shared" si="13"/>
        <v>43</v>
      </c>
      <c r="H238" s="864">
        <f t="shared" si="14"/>
        <v>2022</v>
      </c>
      <c r="I238" s="879">
        <f t="shared" si="15"/>
        <v>43</v>
      </c>
      <c r="J238" s="867" cm="1">
        <f t="array" ref="J238">INDEX($E:$E,MATCH($J$10,IF($B:$B=$B238,$I:$I),1))</f>
        <v>520234</v>
      </c>
    </row>
    <row r="239" spans="2:10">
      <c r="B239" s="817" t="s">
        <v>1012</v>
      </c>
      <c r="C239" s="817" t="s">
        <v>6131</v>
      </c>
      <c r="D239" s="866">
        <v>44859</v>
      </c>
      <c r="E239" s="817">
        <v>453103</v>
      </c>
      <c r="F239" s="864">
        <f t="shared" si="12"/>
        <v>10</v>
      </c>
      <c r="G239" s="864">
        <f t="shared" si="13"/>
        <v>44</v>
      </c>
      <c r="H239" s="864">
        <f t="shared" si="14"/>
        <v>2022</v>
      </c>
      <c r="I239" s="879">
        <f t="shared" si="15"/>
        <v>44</v>
      </c>
      <c r="J239" s="867" cm="1">
        <f t="array" ref="J239">INDEX($E:$E,MATCH($J$10,IF($B:$B=$B239,$I:$I),1))</f>
        <v>520234</v>
      </c>
    </row>
    <row r="240" spans="2:10">
      <c r="B240" s="817" t="s">
        <v>1012</v>
      </c>
      <c r="C240" s="817" t="s">
        <v>6131</v>
      </c>
      <c r="D240" s="863">
        <v>44865</v>
      </c>
      <c r="E240" s="817">
        <v>455731</v>
      </c>
      <c r="F240" s="864">
        <f t="shared" si="12"/>
        <v>10</v>
      </c>
      <c r="G240" s="864">
        <f t="shared" si="13"/>
        <v>45</v>
      </c>
      <c r="H240" s="864">
        <f t="shared" si="14"/>
        <v>2022</v>
      </c>
      <c r="I240" s="879">
        <f t="shared" si="15"/>
        <v>45</v>
      </c>
      <c r="J240" s="867" cm="1">
        <f t="array" ref="J240">INDEX($E:$E,MATCH($J$10,IF($B:$B=$B240,$I:$I),1))</f>
        <v>520234</v>
      </c>
    </row>
    <row r="241" spans="2:10">
      <c r="B241" s="817" t="s">
        <v>1012</v>
      </c>
      <c r="C241" s="817" t="s">
        <v>6131</v>
      </c>
      <c r="D241" s="866">
        <v>44873</v>
      </c>
      <c r="E241" s="817">
        <v>458679</v>
      </c>
      <c r="F241" s="864">
        <f t="shared" si="12"/>
        <v>11</v>
      </c>
      <c r="G241" s="864">
        <f t="shared" si="13"/>
        <v>46</v>
      </c>
      <c r="H241" s="864">
        <f t="shared" si="14"/>
        <v>2022</v>
      </c>
      <c r="I241" s="879">
        <f t="shared" si="15"/>
        <v>46</v>
      </c>
      <c r="J241" s="867" cm="1">
        <f t="array" ref="J241">INDEX($E:$E,MATCH($J$10,IF($B:$B=$B241,$I:$I),1))</f>
        <v>520234</v>
      </c>
    </row>
    <row r="242" spans="2:10">
      <c r="B242" s="817" t="s">
        <v>1012</v>
      </c>
      <c r="C242" s="817" t="s">
        <v>6131</v>
      </c>
      <c r="D242" s="863">
        <v>44880</v>
      </c>
      <c r="E242" s="817">
        <v>460415</v>
      </c>
      <c r="F242" s="864">
        <f t="shared" si="12"/>
        <v>11</v>
      </c>
      <c r="G242" s="864">
        <f t="shared" si="13"/>
        <v>47</v>
      </c>
      <c r="H242" s="864">
        <f t="shared" si="14"/>
        <v>2022</v>
      </c>
      <c r="I242" s="879">
        <f t="shared" si="15"/>
        <v>47</v>
      </c>
      <c r="J242" s="867" cm="1">
        <f t="array" ref="J242">INDEX($E:$E,MATCH($J$10,IF($B:$B=$B242,$I:$I),1))</f>
        <v>520234</v>
      </c>
    </row>
    <row r="243" spans="2:10">
      <c r="B243" s="817" t="s">
        <v>1012</v>
      </c>
      <c r="C243" s="817" t="s">
        <v>6131</v>
      </c>
      <c r="D243" s="866">
        <v>44887</v>
      </c>
      <c r="E243" s="817">
        <v>462622</v>
      </c>
      <c r="F243" s="864">
        <f t="shared" si="12"/>
        <v>11</v>
      </c>
      <c r="G243" s="864">
        <f t="shared" si="13"/>
        <v>48</v>
      </c>
      <c r="H243" s="864">
        <f t="shared" si="14"/>
        <v>2022</v>
      </c>
      <c r="I243" s="879">
        <f t="shared" si="15"/>
        <v>48</v>
      </c>
      <c r="J243" s="867" cm="1">
        <f t="array" ref="J243">INDEX($E:$E,MATCH($J$10,IF($B:$B=$B243,$I:$I),1))</f>
        <v>520234</v>
      </c>
    </row>
    <row r="244" spans="2:10">
      <c r="B244" s="817" t="s">
        <v>1012</v>
      </c>
      <c r="C244" s="817" t="s">
        <v>6131</v>
      </c>
      <c r="D244" s="863">
        <v>44894</v>
      </c>
      <c r="E244" s="817">
        <v>464910</v>
      </c>
      <c r="F244" s="864">
        <f t="shared" si="12"/>
        <v>11</v>
      </c>
      <c r="G244" s="864">
        <f t="shared" si="13"/>
        <v>49</v>
      </c>
      <c r="H244" s="864">
        <f t="shared" si="14"/>
        <v>2022</v>
      </c>
      <c r="I244" s="879">
        <f t="shared" si="15"/>
        <v>49</v>
      </c>
      <c r="J244" s="867" cm="1">
        <f t="array" ref="J244">INDEX($E:$E,MATCH($J$10,IF($B:$B=$B244,$I:$I),1))</f>
        <v>520234</v>
      </c>
    </row>
    <row r="245" spans="2:10">
      <c r="B245" s="817" t="s">
        <v>1012</v>
      </c>
      <c r="C245" s="817" t="s">
        <v>6131</v>
      </c>
      <c r="D245" s="866">
        <v>44895</v>
      </c>
      <c r="E245" s="817">
        <v>467862</v>
      </c>
      <c r="F245" s="864">
        <f t="shared" si="12"/>
        <v>11</v>
      </c>
      <c r="G245" s="864">
        <f t="shared" si="13"/>
        <v>49</v>
      </c>
      <c r="H245" s="864">
        <f t="shared" si="14"/>
        <v>2022</v>
      </c>
      <c r="I245" s="879">
        <f t="shared" si="15"/>
        <v>49</v>
      </c>
      <c r="J245" s="867" cm="1">
        <f t="array" ref="J245">INDEX($E:$E,MATCH($J$10,IF($B:$B=$B245,$I:$I),1))</f>
        <v>520234</v>
      </c>
    </row>
    <row r="246" spans="2:10">
      <c r="B246" s="817" t="s">
        <v>1012</v>
      </c>
      <c r="C246" s="817" t="s">
        <v>6131</v>
      </c>
      <c r="D246" s="863">
        <v>44908</v>
      </c>
      <c r="E246" s="817">
        <v>470224</v>
      </c>
      <c r="F246" s="864">
        <f t="shared" si="12"/>
        <v>12</v>
      </c>
      <c r="G246" s="864">
        <f t="shared" si="13"/>
        <v>51</v>
      </c>
      <c r="H246" s="864">
        <f t="shared" si="14"/>
        <v>2022</v>
      </c>
      <c r="I246" s="879">
        <f t="shared" si="15"/>
        <v>51</v>
      </c>
      <c r="J246" s="867" cm="1">
        <f t="array" ref="J246">INDEX($E:$E,MATCH($J$10,IF($B:$B=$B246,$I:$I),1))</f>
        <v>520234</v>
      </c>
    </row>
    <row r="247" spans="2:10">
      <c r="B247" s="817" t="s">
        <v>1012</v>
      </c>
      <c r="C247" s="817" t="s">
        <v>6131</v>
      </c>
      <c r="D247" s="866">
        <v>44915</v>
      </c>
      <c r="E247" s="817">
        <v>472473</v>
      </c>
      <c r="F247" s="864">
        <f t="shared" si="12"/>
        <v>12</v>
      </c>
      <c r="G247" s="864">
        <f t="shared" si="13"/>
        <v>52</v>
      </c>
      <c r="H247" s="864">
        <f t="shared" si="14"/>
        <v>2022</v>
      </c>
      <c r="I247" s="879">
        <f t="shared" si="15"/>
        <v>52</v>
      </c>
      <c r="J247" s="867" cm="1">
        <f t="array" ref="J247">INDEX($E:$E,MATCH($J$10,IF($B:$B=$B247,$I:$I),1))</f>
        <v>520234</v>
      </c>
    </row>
    <row r="248" spans="2:10">
      <c r="B248" s="817" t="s">
        <v>1012</v>
      </c>
      <c r="C248" s="817" t="s">
        <v>6131</v>
      </c>
      <c r="D248" s="863">
        <v>44918</v>
      </c>
      <c r="E248" s="817">
        <v>474731</v>
      </c>
      <c r="F248" s="864">
        <f t="shared" si="12"/>
        <v>12</v>
      </c>
      <c r="G248" s="864">
        <f t="shared" si="13"/>
        <v>52</v>
      </c>
      <c r="H248" s="864">
        <f t="shared" si="14"/>
        <v>2022</v>
      </c>
      <c r="I248" s="879">
        <f t="shared" si="15"/>
        <v>52</v>
      </c>
      <c r="J248" s="867" cm="1">
        <f t="array" ref="J248">INDEX($E:$E,MATCH($J$10,IF($B:$B=$B248,$I:$I),1))</f>
        <v>520234</v>
      </c>
    </row>
    <row r="249" spans="2:10">
      <c r="B249" s="817" t="s">
        <v>1012</v>
      </c>
      <c r="C249" s="817" t="s">
        <v>6131</v>
      </c>
      <c r="D249" s="866">
        <v>44927</v>
      </c>
      <c r="E249" s="817">
        <v>476025</v>
      </c>
      <c r="F249" s="864">
        <f t="shared" si="12"/>
        <v>1</v>
      </c>
      <c r="G249" s="864">
        <f t="shared" si="13"/>
        <v>1</v>
      </c>
      <c r="H249" s="864">
        <f t="shared" si="14"/>
        <v>2023</v>
      </c>
      <c r="I249" s="879">
        <f t="shared" si="15"/>
        <v>54</v>
      </c>
      <c r="J249" s="867" cm="1">
        <f t="array" ref="J249">INDEX($E:$E,MATCH($J$10,IF($B:$B=$B249,$I:$I),1))</f>
        <v>520234</v>
      </c>
    </row>
    <row r="250" spans="2:10">
      <c r="B250" s="817" t="s">
        <v>1012</v>
      </c>
      <c r="C250" s="817" t="s">
        <v>6131</v>
      </c>
      <c r="D250" s="863">
        <v>44934</v>
      </c>
      <c r="E250" s="817">
        <v>478614</v>
      </c>
      <c r="F250" s="864">
        <f t="shared" si="12"/>
        <v>1</v>
      </c>
      <c r="G250" s="864">
        <f t="shared" si="13"/>
        <v>2</v>
      </c>
      <c r="H250" s="864">
        <f t="shared" si="14"/>
        <v>2023</v>
      </c>
      <c r="I250" s="879">
        <f t="shared" si="15"/>
        <v>55</v>
      </c>
      <c r="J250" s="867" cm="1">
        <f t="array" ref="J250">INDEX($E:$E,MATCH($J$10,IF($B:$B=$B250,$I:$I),1))</f>
        <v>520234</v>
      </c>
    </row>
    <row r="251" spans="2:10">
      <c r="B251" s="817" t="s">
        <v>1012</v>
      </c>
      <c r="C251" s="817" t="s">
        <v>6131</v>
      </c>
      <c r="D251" s="866">
        <v>44942</v>
      </c>
      <c r="E251" s="817">
        <v>482049</v>
      </c>
      <c r="F251" s="864">
        <f t="shared" si="12"/>
        <v>1</v>
      </c>
      <c r="G251" s="864">
        <f t="shared" si="13"/>
        <v>3</v>
      </c>
      <c r="H251" s="864">
        <f t="shared" si="14"/>
        <v>2023</v>
      </c>
      <c r="I251" s="879">
        <f t="shared" si="15"/>
        <v>56</v>
      </c>
      <c r="J251" s="867" cm="1">
        <f t="array" ref="J251">INDEX($E:$E,MATCH($J$10,IF($B:$B=$B251,$I:$I),1))</f>
        <v>520234</v>
      </c>
    </row>
    <row r="252" spans="2:10">
      <c r="B252" s="817" t="s">
        <v>1012</v>
      </c>
      <c r="C252" s="817" t="s">
        <v>6131</v>
      </c>
      <c r="D252" s="863">
        <v>44948</v>
      </c>
      <c r="E252" s="817">
        <v>483620</v>
      </c>
      <c r="F252" s="864">
        <f t="shared" si="12"/>
        <v>1</v>
      </c>
      <c r="G252" s="864">
        <f t="shared" si="13"/>
        <v>4</v>
      </c>
      <c r="H252" s="864">
        <f t="shared" si="14"/>
        <v>2023</v>
      </c>
      <c r="I252" s="879">
        <f t="shared" si="15"/>
        <v>57</v>
      </c>
      <c r="J252" s="867" cm="1">
        <f t="array" ref="J252">INDEX($E:$E,MATCH($J$10,IF($B:$B=$B252,$I:$I),1))</f>
        <v>520234</v>
      </c>
    </row>
    <row r="253" spans="2:10">
      <c r="B253" s="817" t="s">
        <v>1012</v>
      </c>
      <c r="C253" s="817" t="s">
        <v>6131</v>
      </c>
      <c r="D253" s="866">
        <v>44955</v>
      </c>
      <c r="E253" s="817">
        <v>486133</v>
      </c>
      <c r="F253" s="864">
        <f t="shared" si="12"/>
        <v>1</v>
      </c>
      <c r="G253" s="864">
        <f t="shared" si="13"/>
        <v>5</v>
      </c>
      <c r="H253" s="864">
        <f t="shared" si="14"/>
        <v>2023</v>
      </c>
      <c r="I253" s="879">
        <f t="shared" si="15"/>
        <v>58</v>
      </c>
      <c r="J253" s="867" cm="1">
        <f t="array" ref="J253">INDEX($E:$E,MATCH($J$10,IF($B:$B=$B253,$I:$I),1))</f>
        <v>520234</v>
      </c>
    </row>
    <row r="254" spans="2:10">
      <c r="B254" s="817" t="s">
        <v>1012</v>
      </c>
      <c r="C254" s="817" t="s">
        <v>6131</v>
      </c>
      <c r="D254" s="863">
        <v>44963</v>
      </c>
      <c r="E254" s="817">
        <v>487393</v>
      </c>
      <c r="F254" s="864">
        <f t="shared" si="12"/>
        <v>2</v>
      </c>
      <c r="G254" s="864">
        <f t="shared" si="13"/>
        <v>6</v>
      </c>
      <c r="H254" s="864">
        <f t="shared" si="14"/>
        <v>2023</v>
      </c>
      <c r="I254" s="879">
        <f t="shared" si="15"/>
        <v>59</v>
      </c>
      <c r="J254" s="867" cm="1">
        <f t="array" ref="J254">INDEX($E:$E,MATCH($J$10,IF($B:$B=$B254,$I:$I),1))</f>
        <v>520234</v>
      </c>
    </row>
    <row r="255" spans="2:10">
      <c r="B255" s="817" t="s">
        <v>1012</v>
      </c>
      <c r="C255" s="817" t="s">
        <v>6131</v>
      </c>
      <c r="D255" s="866">
        <v>44969</v>
      </c>
      <c r="E255" s="817">
        <v>489865</v>
      </c>
      <c r="F255" s="864">
        <f t="shared" si="12"/>
        <v>2</v>
      </c>
      <c r="G255" s="864">
        <f t="shared" si="13"/>
        <v>7</v>
      </c>
      <c r="H255" s="864">
        <f t="shared" si="14"/>
        <v>2023</v>
      </c>
      <c r="I255" s="879">
        <f t="shared" si="15"/>
        <v>60</v>
      </c>
      <c r="J255" s="867" cm="1">
        <f t="array" ref="J255">INDEX($E:$E,MATCH($J$10,IF($B:$B=$B255,$I:$I),1))</f>
        <v>520234</v>
      </c>
    </row>
    <row r="256" spans="2:10">
      <c r="B256" s="817" t="s">
        <v>1012</v>
      </c>
      <c r="C256" s="817" t="s">
        <v>6131</v>
      </c>
      <c r="D256" s="863">
        <v>44972</v>
      </c>
      <c r="E256" s="817">
        <v>490802</v>
      </c>
      <c r="F256" s="864">
        <f t="shared" si="12"/>
        <v>2</v>
      </c>
      <c r="G256" s="864">
        <f t="shared" si="13"/>
        <v>7</v>
      </c>
      <c r="H256" s="864">
        <f t="shared" si="14"/>
        <v>2023</v>
      </c>
      <c r="I256" s="879">
        <f t="shared" si="15"/>
        <v>60</v>
      </c>
      <c r="J256" s="867" cm="1">
        <f t="array" ref="J256">INDEX($E:$E,MATCH($J$10,IF($B:$B=$B256,$I:$I),1))</f>
        <v>520234</v>
      </c>
    </row>
    <row r="257" spans="2:10">
      <c r="B257" s="817" t="s">
        <v>1012</v>
      </c>
      <c r="C257" s="817" t="s">
        <v>6131</v>
      </c>
      <c r="D257" s="866">
        <v>44983</v>
      </c>
      <c r="E257" s="817">
        <v>494793</v>
      </c>
      <c r="F257" s="864">
        <f t="shared" si="12"/>
        <v>2</v>
      </c>
      <c r="G257" s="864">
        <f t="shared" si="13"/>
        <v>9</v>
      </c>
      <c r="H257" s="864">
        <f t="shared" si="14"/>
        <v>2023</v>
      </c>
      <c r="I257" s="879">
        <f t="shared" si="15"/>
        <v>62</v>
      </c>
      <c r="J257" s="867" cm="1">
        <f t="array" ref="J257">INDEX($E:$E,MATCH($J$10,IF($B:$B=$B257,$I:$I),1))</f>
        <v>520234</v>
      </c>
    </row>
    <row r="258" spans="2:10">
      <c r="B258" s="817" t="s">
        <v>1012</v>
      </c>
      <c r="C258" s="817" t="s">
        <v>6131</v>
      </c>
      <c r="D258" s="863">
        <v>44991</v>
      </c>
      <c r="E258" s="817">
        <v>497217</v>
      </c>
      <c r="F258" s="864">
        <f t="shared" si="12"/>
        <v>3</v>
      </c>
      <c r="G258" s="864">
        <f t="shared" si="13"/>
        <v>10</v>
      </c>
      <c r="H258" s="864">
        <f t="shared" si="14"/>
        <v>2023</v>
      </c>
      <c r="I258" s="879">
        <f t="shared" si="15"/>
        <v>63</v>
      </c>
      <c r="J258" s="867" cm="1">
        <f t="array" ref="J258">INDEX($E:$E,MATCH($J$10,IF($B:$B=$B258,$I:$I),1))</f>
        <v>520234</v>
      </c>
    </row>
    <row r="259" spans="2:10">
      <c r="B259" s="817" t="s">
        <v>1012</v>
      </c>
      <c r="C259" s="817" t="s">
        <v>6131</v>
      </c>
      <c r="D259" s="863">
        <v>45004</v>
      </c>
      <c r="E259" s="817">
        <v>501540</v>
      </c>
      <c r="F259" s="864">
        <f t="shared" si="12"/>
        <v>3</v>
      </c>
      <c r="G259" s="864">
        <f t="shared" si="13"/>
        <v>12</v>
      </c>
      <c r="H259" s="864">
        <f t="shared" si="14"/>
        <v>2023</v>
      </c>
      <c r="I259" s="879">
        <f t="shared" si="15"/>
        <v>65</v>
      </c>
      <c r="J259" s="867" cm="1">
        <f t="array" ref="J259">INDEX($E:$E,MATCH($J$10,IF($B:$B=$B259,$I:$I),1))</f>
        <v>520234</v>
      </c>
    </row>
    <row r="260" spans="2:10">
      <c r="B260" s="817" t="s">
        <v>1012</v>
      </c>
      <c r="C260" s="817" t="s">
        <v>6131</v>
      </c>
      <c r="D260" s="863">
        <v>45011</v>
      </c>
      <c r="E260" s="817">
        <v>503698</v>
      </c>
      <c r="F260" s="864">
        <f t="shared" si="12"/>
        <v>3</v>
      </c>
      <c r="G260" s="864">
        <f t="shared" si="13"/>
        <v>13</v>
      </c>
      <c r="H260" s="864">
        <f t="shared" si="14"/>
        <v>2023</v>
      </c>
      <c r="I260" s="879">
        <f t="shared" si="15"/>
        <v>66</v>
      </c>
      <c r="J260" s="867" cm="1">
        <f t="array" ref="J260">INDEX($E:$E,MATCH($J$10,IF($B:$B=$B260,$I:$I),1))</f>
        <v>520234</v>
      </c>
    </row>
    <row r="261" spans="2:10">
      <c r="B261" s="817" t="s">
        <v>1012</v>
      </c>
      <c r="C261" s="817" t="s">
        <v>6131</v>
      </c>
      <c r="D261" s="863">
        <v>45018</v>
      </c>
      <c r="E261" s="817">
        <v>504352</v>
      </c>
      <c r="F261" s="864">
        <f t="shared" si="12"/>
        <v>4</v>
      </c>
      <c r="G261" s="864">
        <f t="shared" si="13"/>
        <v>14</v>
      </c>
      <c r="H261" s="864">
        <f t="shared" si="14"/>
        <v>2023</v>
      </c>
      <c r="I261" s="879">
        <f t="shared" si="15"/>
        <v>67</v>
      </c>
      <c r="J261" s="867" cm="1">
        <f t="array" ref="J261">INDEX($E:$E,MATCH($J$10,IF($B:$B=$B261,$I:$I),1))</f>
        <v>520234</v>
      </c>
    </row>
    <row r="262" spans="2:10">
      <c r="B262" s="817" t="s">
        <v>1012</v>
      </c>
      <c r="C262" s="817" t="s">
        <v>6131</v>
      </c>
      <c r="D262" s="863">
        <v>45046</v>
      </c>
      <c r="E262" s="817">
        <v>516100</v>
      </c>
      <c r="F262" s="864">
        <f t="shared" si="12"/>
        <v>4</v>
      </c>
      <c r="G262" s="864">
        <f t="shared" si="13"/>
        <v>18</v>
      </c>
      <c r="H262" s="864">
        <f t="shared" si="14"/>
        <v>2023</v>
      </c>
      <c r="I262" s="879">
        <f t="shared" si="15"/>
        <v>71</v>
      </c>
      <c r="J262" s="867" cm="1">
        <f t="array" ref="J262">INDEX($E:$E,MATCH($J$10,IF($B:$B=$B262,$I:$I),1))</f>
        <v>520234</v>
      </c>
    </row>
    <row r="263" spans="2:10">
      <c r="B263" s="817" t="s">
        <v>1012</v>
      </c>
      <c r="C263" s="817" t="s">
        <v>6131</v>
      </c>
      <c r="D263" s="863">
        <v>45060</v>
      </c>
      <c r="E263" s="817">
        <v>520234</v>
      </c>
      <c r="F263" s="864">
        <f t="shared" si="12"/>
        <v>5</v>
      </c>
      <c r="G263" s="864">
        <f t="shared" si="13"/>
        <v>20</v>
      </c>
      <c r="H263" s="864">
        <f t="shared" si="14"/>
        <v>2023</v>
      </c>
      <c r="I263" s="879">
        <f t="shared" si="15"/>
        <v>73</v>
      </c>
      <c r="J263" s="867" cm="1">
        <f t="array" ref="J263">INDEX($E:$E,MATCH($J$10,IF($B:$B=$B263,$I:$I),1))</f>
        <v>520234</v>
      </c>
    </row>
    <row r="264" spans="2:10">
      <c r="B264" s="817" t="s">
        <v>1012</v>
      </c>
      <c r="C264" s="817" t="s">
        <v>6131</v>
      </c>
      <c r="D264" s="863">
        <v>45081</v>
      </c>
      <c r="E264" s="817">
        <v>341744</v>
      </c>
      <c r="F264" s="864">
        <f t="shared" si="12"/>
        <v>6</v>
      </c>
      <c r="G264" s="864">
        <f t="shared" si="13"/>
        <v>23</v>
      </c>
      <c r="H264" s="864">
        <f t="shared" si="14"/>
        <v>2023</v>
      </c>
      <c r="I264" s="879">
        <f t="shared" si="15"/>
        <v>76</v>
      </c>
      <c r="J264" s="867" cm="1">
        <f t="array" ref="J264">INDEX($E:$E,MATCH($J$10,IF($B:$B=$B264,$I:$I),1))</f>
        <v>520234</v>
      </c>
    </row>
    <row r="265" spans="2:10">
      <c r="B265" s="817" t="s">
        <v>1194</v>
      </c>
      <c r="C265" s="817" t="s">
        <v>6132</v>
      </c>
      <c r="D265" s="866">
        <v>44703</v>
      </c>
      <c r="E265" s="817">
        <v>29191</v>
      </c>
      <c r="F265" s="864">
        <f t="shared" si="12"/>
        <v>5</v>
      </c>
      <c r="G265" s="864">
        <f t="shared" si="13"/>
        <v>22</v>
      </c>
      <c r="H265" s="864">
        <f t="shared" si="14"/>
        <v>2022</v>
      </c>
      <c r="I265" s="879">
        <f t="shared" si="15"/>
        <v>22</v>
      </c>
      <c r="J265" s="867" cm="1">
        <f t="array" ref="J265">INDEX($E:$E,MATCH($J$10,IF($B:$B=$B265,$I:$I),1))</f>
        <v>41157</v>
      </c>
    </row>
    <row r="266" spans="2:10">
      <c r="B266" s="817" t="s">
        <v>1194</v>
      </c>
      <c r="C266" s="817" t="s">
        <v>6132</v>
      </c>
      <c r="D266" s="863">
        <v>44721</v>
      </c>
      <c r="E266" s="817">
        <v>30286</v>
      </c>
      <c r="F266" s="864">
        <f t="shared" si="12"/>
        <v>6</v>
      </c>
      <c r="G266" s="864">
        <f t="shared" si="13"/>
        <v>24</v>
      </c>
      <c r="H266" s="864">
        <f t="shared" si="14"/>
        <v>2022</v>
      </c>
      <c r="I266" s="879">
        <f t="shared" si="15"/>
        <v>24</v>
      </c>
      <c r="J266" s="867" cm="1">
        <f t="array" ref="J266">INDEX($E:$E,MATCH($J$10,IF($B:$B=$B266,$I:$I),1))</f>
        <v>41157</v>
      </c>
    </row>
    <row r="267" spans="2:10">
      <c r="B267" s="817" t="s">
        <v>1194</v>
      </c>
      <c r="C267" s="817" t="s">
        <v>6132</v>
      </c>
      <c r="D267" s="866">
        <v>44731</v>
      </c>
      <c r="E267" s="817">
        <v>30608</v>
      </c>
      <c r="F267" s="864">
        <f t="shared" si="12"/>
        <v>6</v>
      </c>
      <c r="G267" s="864">
        <f t="shared" si="13"/>
        <v>26</v>
      </c>
      <c r="H267" s="864">
        <f t="shared" si="14"/>
        <v>2022</v>
      </c>
      <c r="I267" s="879">
        <f t="shared" si="15"/>
        <v>26</v>
      </c>
      <c r="J267" s="867" cm="1">
        <f t="array" ref="J267">INDEX($E:$E,MATCH($J$10,IF($B:$B=$B267,$I:$I),1))</f>
        <v>41157</v>
      </c>
    </row>
    <row r="268" spans="2:10">
      <c r="B268" s="817" t="s">
        <v>1194</v>
      </c>
      <c r="C268" s="817" t="s">
        <v>6132</v>
      </c>
      <c r="D268" s="863">
        <v>44738</v>
      </c>
      <c r="E268" s="817">
        <v>30900</v>
      </c>
      <c r="F268" s="864">
        <f t="shared" ref="F268:F331" si="16">MONTH(D268)</f>
        <v>6</v>
      </c>
      <c r="G268" s="864">
        <f t="shared" ref="G268:G331" si="17">WEEKNUM(D268)</f>
        <v>27</v>
      </c>
      <c r="H268" s="864">
        <f t="shared" ref="H268:H331" si="18">YEAR(D268)</f>
        <v>2022</v>
      </c>
      <c r="I268" s="879">
        <f t="shared" ref="I268:I331" si="19">(H268-2022)*53+G268</f>
        <v>27</v>
      </c>
      <c r="J268" s="867" cm="1">
        <f t="array" ref="J268">INDEX($E:$E,MATCH($J$10,IF($B:$B=$B268,$I:$I),1))</f>
        <v>41157</v>
      </c>
    </row>
    <row r="269" spans="2:10">
      <c r="B269" s="817" t="s">
        <v>1194</v>
      </c>
      <c r="C269" s="817" t="s">
        <v>6132</v>
      </c>
      <c r="D269" s="866">
        <v>44745</v>
      </c>
      <c r="E269" s="817">
        <v>31224</v>
      </c>
      <c r="F269" s="864">
        <f t="shared" si="16"/>
        <v>7</v>
      </c>
      <c r="G269" s="864">
        <f t="shared" si="17"/>
        <v>28</v>
      </c>
      <c r="H269" s="864">
        <f t="shared" si="18"/>
        <v>2022</v>
      </c>
      <c r="I269" s="879">
        <f t="shared" si="19"/>
        <v>28</v>
      </c>
      <c r="J269" s="867" cm="1">
        <f t="array" ref="J269">INDEX($E:$E,MATCH($J$10,IF($B:$B=$B269,$I:$I),1))</f>
        <v>41157</v>
      </c>
    </row>
    <row r="270" spans="2:10">
      <c r="B270" s="817" t="s">
        <v>1194</v>
      </c>
      <c r="C270" s="817" t="s">
        <v>6132</v>
      </c>
      <c r="D270" s="863">
        <v>44755</v>
      </c>
      <c r="E270" s="817">
        <v>31561</v>
      </c>
      <c r="F270" s="864">
        <f t="shared" si="16"/>
        <v>7</v>
      </c>
      <c r="G270" s="864">
        <f t="shared" si="17"/>
        <v>29</v>
      </c>
      <c r="H270" s="864">
        <f t="shared" si="18"/>
        <v>2022</v>
      </c>
      <c r="I270" s="879">
        <f t="shared" si="19"/>
        <v>29</v>
      </c>
      <c r="J270" s="867" cm="1">
        <f t="array" ref="J270">INDEX($E:$E,MATCH($J$10,IF($B:$B=$B270,$I:$I),1))</f>
        <v>41157</v>
      </c>
    </row>
    <row r="271" spans="2:10">
      <c r="B271" s="817" t="s">
        <v>1194</v>
      </c>
      <c r="C271" s="817" t="s">
        <v>6132</v>
      </c>
      <c r="D271" s="866">
        <v>44761</v>
      </c>
      <c r="E271" s="817">
        <v>31826</v>
      </c>
      <c r="F271" s="864">
        <f t="shared" si="16"/>
        <v>7</v>
      </c>
      <c r="G271" s="864">
        <f t="shared" si="17"/>
        <v>30</v>
      </c>
      <c r="H271" s="864">
        <f t="shared" si="18"/>
        <v>2022</v>
      </c>
      <c r="I271" s="879">
        <f t="shared" si="19"/>
        <v>30</v>
      </c>
      <c r="J271" s="867" cm="1">
        <f t="array" ref="J271">INDEX($E:$E,MATCH($J$10,IF($B:$B=$B271,$I:$I),1))</f>
        <v>41157</v>
      </c>
    </row>
    <row r="272" spans="2:10">
      <c r="B272" s="817" t="s">
        <v>1194</v>
      </c>
      <c r="C272" s="817" t="s">
        <v>6132</v>
      </c>
      <c r="D272" s="863">
        <v>44768</v>
      </c>
      <c r="E272" s="817">
        <v>32116</v>
      </c>
      <c r="F272" s="864">
        <f t="shared" si="16"/>
        <v>7</v>
      </c>
      <c r="G272" s="864">
        <f t="shared" si="17"/>
        <v>31</v>
      </c>
      <c r="H272" s="864">
        <f t="shared" si="18"/>
        <v>2022</v>
      </c>
      <c r="I272" s="879">
        <f t="shared" si="19"/>
        <v>31</v>
      </c>
      <c r="J272" s="867" cm="1">
        <f t="array" ref="J272">INDEX($E:$E,MATCH($J$10,IF($B:$B=$B272,$I:$I),1))</f>
        <v>41157</v>
      </c>
    </row>
    <row r="273" spans="2:10">
      <c r="B273" s="817" t="s">
        <v>1194</v>
      </c>
      <c r="C273" s="817" t="s">
        <v>6132</v>
      </c>
      <c r="D273" s="866">
        <v>44775</v>
      </c>
      <c r="E273" s="817">
        <v>32400</v>
      </c>
      <c r="F273" s="864">
        <f t="shared" si="16"/>
        <v>8</v>
      </c>
      <c r="G273" s="864">
        <f t="shared" si="17"/>
        <v>32</v>
      </c>
      <c r="H273" s="864">
        <f t="shared" si="18"/>
        <v>2022</v>
      </c>
      <c r="I273" s="879">
        <f t="shared" si="19"/>
        <v>32</v>
      </c>
      <c r="J273" s="867" cm="1">
        <f t="array" ref="J273">INDEX($E:$E,MATCH($J$10,IF($B:$B=$B273,$I:$I),1))</f>
        <v>41157</v>
      </c>
    </row>
    <row r="274" spans="2:10">
      <c r="B274" s="817" t="s">
        <v>1194</v>
      </c>
      <c r="C274" s="817" t="s">
        <v>6132</v>
      </c>
      <c r="D274" s="863">
        <v>44782</v>
      </c>
      <c r="E274" s="817">
        <v>32689</v>
      </c>
      <c r="F274" s="864">
        <f t="shared" si="16"/>
        <v>8</v>
      </c>
      <c r="G274" s="864">
        <f t="shared" si="17"/>
        <v>33</v>
      </c>
      <c r="H274" s="864">
        <f t="shared" si="18"/>
        <v>2022</v>
      </c>
      <c r="I274" s="879">
        <f t="shared" si="19"/>
        <v>33</v>
      </c>
      <c r="J274" s="867" cm="1">
        <f t="array" ref="J274">INDEX($E:$E,MATCH($J$10,IF($B:$B=$B274,$I:$I),1))</f>
        <v>41157</v>
      </c>
    </row>
    <row r="275" spans="2:10">
      <c r="B275" s="817" t="s">
        <v>1194</v>
      </c>
      <c r="C275" s="817" t="s">
        <v>6132</v>
      </c>
      <c r="D275" s="866">
        <v>44789</v>
      </c>
      <c r="E275" s="817">
        <v>33000</v>
      </c>
      <c r="F275" s="864">
        <f t="shared" si="16"/>
        <v>8</v>
      </c>
      <c r="G275" s="864">
        <f t="shared" si="17"/>
        <v>34</v>
      </c>
      <c r="H275" s="864">
        <f t="shared" si="18"/>
        <v>2022</v>
      </c>
      <c r="I275" s="879">
        <f t="shared" si="19"/>
        <v>34</v>
      </c>
      <c r="J275" s="867" cm="1">
        <f t="array" ref="J275">INDEX($E:$E,MATCH($J$10,IF($B:$B=$B275,$I:$I),1))</f>
        <v>41157</v>
      </c>
    </row>
    <row r="276" spans="2:10">
      <c r="B276" s="817" t="s">
        <v>1194</v>
      </c>
      <c r="C276" s="817" t="s">
        <v>6132</v>
      </c>
      <c r="D276" s="863">
        <v>44794</v>
      </c>
      <c r="E276" s="817">
        <v>33396</v>
      </c>
      <c r="F276" s="864">
        <f t="shared" si="16"/>
        <v>8</v>
      </c>
      <c r="G276" s="864">
        <f t="shared" si="17"/>
        <v>35</v>
      </c>
      <c r="H276" s="864">
        <f t="shared" si="18"/>
        <v>2022</v>
      </c>
      <c r="I276" s="879">
        <f t="shared" si="19"/>
        <v>35</v>
      </c>
      <c r="J276" s="867" cm="1">
        <f t="array" ref="J276">INDEX($E:$E,MATCH($J$10,IF($B:$B=$B276,$I:$I),1))</f>
        <v>41157</v>
      </c>
    </row>
    <row r="277" spans="2:10">
      <c r="B277" s="817" t="s">
        <v>1194</v>
      </c>
      <c r="C277" s="817" t="s">
        <v>6132</v>
      </c>
      <c r="D277" s="866">
        <v>44810</v>
      </c>
      <c r="E277" s="817">
        <v>34284</v>
      </c>
      <c r="F277" s="864">
        <f t="shared" si="16"/>
        <v>9</v>
      </c>
      <c r="G277" s="864">
        <f t="shared" si="17"/>
        <v>37</v>
      </c>
      <c r="H277" s="864">
        <f t="shared" si="18"/>
        <v>2022</v>
      </c>
      <c r="I277" s="879">
        <f t="shared" si="19"/>
        <v>37</v>
      </c>
      <c r="J277" s="867" cm="1">
        <f t="array" ref="J277">INDEX($E:$E,MATCH($J$10,IF($B:$B=$B277,$I:$I),1))</f>
        <v>41157</v>
      </c>
    </row>
    <row r="278" spans="2:10">
      <c r="B278" s="817" t="s">
        <v>1194</v>
      </c>
      <c r="C278" s="817" t="s">
        <v>6132</v>
      </c>
      <c r="D278" s="863">
        <v>44817</v>
      </c>
      <c r="E278" s="817">
        <v>34577</v>
      </c>
      <c r="F278" s="864">
        <f t="shared" si="16"/>
        <v>9</v>
      </c>
      <c r="G278" s="864">
        <f t="shared" si="17"/>
        <v>38</v>
      </c>
      <c r="H278" s="864">
        <f t="shared" si="18"/>
        <v>2022</v>
      </c>
      <c r="I278" s="879">
        <f t="shared" si="19"/>
        <v>38</v>
      </c>
      <c r="J278" s="867" cm="1">
        <f t="array" ref="J278">INDEX($E:$E,MATCH($J$10,IF($B:$B=$B278,$I:$I),1))</f>
        <v>41157</v>
      </c>
    </row>
    <row r="279" spans="2:10">
      <c r="B279" s="817" t="s">
        <v>1194</v>
      </c>
      <c r="C279" s="817" t="s">
        <v>6132</v>
      </c>
      <c r="D279" s="866">
        <v>44822</v>
      </c>
      <c r="E279" s="817">
        <v>34867</v>
      </c>
      <c r="F279" s="864">
        <f t="shared" si="16"/>
        <v>9</v>
      </c>
      <c r="G279" s="864">
        <f t="shared" si="17"/>
        <v>39</v>
      </c>
      <c r="H279" s="864">
        <f t="shared" si="18"/>
        <v>2022</v>
      </c>
      <c r="I279" s="879">
        <f t="shared" si="19"/>
        <v>39</v>
      </c>
      <c r="J279" s="867" cm="1">
        <f t="array" ref="J279">INDEX($E:$E,MATCH($J$10,IF($B:$B=$B279,$I:$I),1))</f>
        <v>41157</v>
      </c>
    </row>
    <row r="280" spans="2:10">
      <c r="B280" s="817" t="s">
        <v>1194</v>
      </c>
      <c r="C280" s="817" t="s">
        <v>6132</v>
      </c>
      <c r="D280" s="863">
        <v>44831</v>
      </c>
      <c r="E280" s="817">
        <v>35193</v>
      </c>
      <c r="F280" s="864">
        <f t="shared" si="16"/>
        <v>9</v>
      </c>
      <c r="G280" s="864">
        <f t="shared" si="17"/>
        <v>40</v>
      </c>
      <c r="H280" s="864">
        <f t="shared" si="18"/>
        <v>2022</v>
      </c>
      <c r="I280" s="879">
        <f t="shared" si="19"/>
        <v>40</v>
      </c>
      <c r="J280" s="867" cm="1">
        <f t="array" ref="J280">INDEX($E:$E,MATCH($J$10,IF($B:$B=$B280,$I:$I),1))</f>
        <v>41157</v>
      </c>
    </row>
    <row r="281" spans="2:10">
      <c r="B281" s="817" t="s">
        <v>1194</v>
      </c>
      <c r="C281" s="817" t="s">
        <v>6132</v>
      </c>
      <c r="D281" s="866">
        <v>44838</v>
      </c>
      <c r="E281" s="817">
        <v>35535</v>
      </c>
      <c r="F281" s="864">
        <f t="shared" si="16"/>
        <v>10</v>
      </c>
      <c r="G281" s="864">
        <f t="shared" si="17"/>
        <v>41</v>
      </c>
      <c r="H281" s="864">
        <f t="shared" si="18"/>
        <v>2022</v>
      </c>
      <c r="I281" s="879">
        <f t="shared" si="19"/>
        <v>41</v>
      </c>
      <c r="J281" s="867" cm="1">
        <f t="array" ref="J281">INDEX($E:$E,MATCH($J$10,IF($B:$B=$B281,$I:$I),1))</f>
        <v>41157</v>
      </c>
    </row>
    <row r="282" spans="2:10">
      <c r="B282" s="817" t="s">
        <v>1194</v>
      </c>
      <c r="C282" s="817" t="s">
        <v>6132</v>
      </c>
      <c r="D282" s="863">
        <v>44845</v>
      </c>
      <c r="E282" s="817">
        <v>35850</v>
      </c>
      <c r="F282" s="864">
        <f t="shared" si="16"/>
        <v>10</v>
      </c>
      <c r="G282" s="864">
        <f t="shared" si="17"/>
        <v>42</v>
      </c>
      <c r="H282" s="864">
        <f t="shared" si="18"/>
        <v>2022</v>
      </c>
      <c r="I282" s="879">
        <f t="shared" si="19"/>
        <v>42</v>
      </c>
      <c r="J282" s="867" cm="1">
        <f t="array" ref="J282">INDEX($E:$E,MATCH($J$10,IF($B:$B=$B282,$I:$I),1))</f>
        <v>41157</v>
      </c>
    </row>
    <row r="283" spans="2:10">
      <c r="B283" s="817" t="s">
        <v>1194</v>
      </c>
      <c r="C283" s="817" t="s">
        <v>6132</v>
      </c>
      <c r="D283" s="866">
        <v>44852</v>
      </c>
      <c r="E283" s="817">
        <v>36174</v>
      </c>
      <c r="F283" s="864">
        <f t="shared" si="16"/>
        <v>10</v>
      </c>
      <c r="G283" s="864">
        <f t="shared" si="17"/>
        <v>43</v>
      </c>
      <c r="H283" s="864">
        <f t="shared" si="18"/>
        <v>2022</v>
      </c>
      <c r="I283" s="879">
        <f t="shared" si="19"/>
        <v>43</v>
      </c>
      <c r="J283" s="867" cm="1">
        <f t="array" ref="J283">INDEX($E:$E,MATCH($J$10,IF($B:$B=$B283,$I:$I),1))</f>
        <v>41157</v>
      </c>
    </row>
    <row r="284" spans="2:10">
      <c r="B284" s="817" t="s">
        <v>1194</v>
      </c>
      <c r="C284" s="817" t="s">
        <v>6132</v>
      </c>
      <c r="D284" s="863">
        <v>44859</v>
      </c>
      <c r="E284" s="817">
        <v>36449</v>
      </c>
      <c r="F284" s="864">
        <f t="shared" si="16"/>
        <v>10</v>
      </c>
      <c r="G284" s="864">
        <f t="shared" si="17"/>
        <v>44</v>
      </c>
      <c r="H284" s="864">
        <f t="shared" si="18"/>
        <v>2022</v>
      </c>
      <c r="I284" s="879">
        <f t="shared" si="19"/>
        <v>44</v>
      </c>
      <c r="J284" s="867" cm="1">
        <f t="array" ref="J284">INDEX($E:$E,MATCH($J$10,IF($B:$B=$B284,$I:$I),1))</f>
        <v>41157</v>
      </c>
    </row>
    <row r="285" spans="2:10">
      <c r="B285" s="817" t="s">
        <v>1194</v>
      </c>
      <c r="C285" s="817" t="s">
        <v>6132</v>
      </c>
      <c r="D285" s="866">
        <v>44864</v>
      </c>
      <c r="E285" s="817">
        <v>36736</v>
      </c>
      <c r="F285" s="864">
        <f t="shared" si="16"/>
        <v>10</v>
      </c>
      <c r="G285" s="864">
        <f t="shared" si="17"/>
        <v>45</v>
      </c>
      <c r="H285" s="864">
        <f t="shared" si="18"/>
        <v>2022</v>
      </c>
      <c r="I285" s="879">
        <f t="shared" si="19"/>
        <v>45</v>
      </c>
      <c r="J285" s="867" cm="1">
        <f t="array" ref="J285">INDEX($E:$E,MATCH($J$10,IF($B:$B=$B285,$I:$I),1))</f>
        <v>41157</v>
      </c>
    </row>
    <row r="286" spans="2:10">
      <c r="B286" s="817" t="s">
        <v>1194</v>
      </c>
      <c r="C286" s="817" t="s">
        <v>6132</v>
      </c>
      <c r="D286" s="863">
        <v>44873</v>
      </c>
      <c r="E286" s="817">
        <v>36983</v>
      </c>
      <c r="F286" s="864">
        <f t="shared" si="16"/>
        <v>11</v>
      </c>
      <c r="G286" s="864">
        <f t="shared" si="17"/>
        <v>46</v>
      </c>
      <c r="H286" s="864">
        <f t="shared" si="18"/>
        <v>2022</v>
      </c>
      <c r="I286" s="879">
        <f t="shared" si="19"/>
        <v>46</v>
      </c>
      <c r="J286" s="867" cm="1">
        <f t="array" ref="J286">INDEX($E:$E,MATCH($J$10,IF($B:$B=$B286,$I:$I),1))</f>
        <v>41157</v>
      </c>
    </row>
    <row r="287" spans="2:10">
      <c r="B287" s="817" t="s">
        <v>1194</v>
      </c>
      <c r="C287" s="817" t="s">
        <v>6132</v>
      </c>
      <c r="D287" s="866">
        <v>44880</v>
      </c>
      <c r="E287" s="817">
        <v>36983</v>
      </c>
      <c r="F287" s="864">
        <f t="shared" si="16"/>
        <v>11</v>
      </c>
      <c r="G287" s="864">
        <f t="shared" si="17"/>
        <v>47</v>
      </c>
      <c r="H287" s="864">
        <f t="shared" si="18"/>
        <v>2022</v>
      </c>
      <c r="I287" s="879">
        <f t="shared" si="19"/>
        <v>47</v>
      </c>
      <c r="J287" s="867" cm="1">
        <f t="array" ref="J287">INDEX($E:$E,MATCH($J$10,IF($B:$B=$B287,$I:$I),1))</f>
        <v>41157</v>
      </c>
    </row>
    <row r="288" spans="2:10">
      <c r="B288" s="817" t="s">
        <v>1194</v>
      </c>
      <c r="C288" s="817" t="s">
        <v>6132</v>
      </c>
      <c r="D288" s="863">
        <v>44901</v>
      </c>
      <c r="E288" s="817">
        <v>38044</v>
      </c>
      <c r="F288" s="864">
        <f t="shared" si="16"/>
        <v>12</v>
      </c>
      <c r="G288" s="864">
        <f t="shared" si="17"/>
        <v>50</v>
      </c>
      <c r="H288" s="864">
        <f t="shared" si="18"/>
        <v>2022</v>
      </c>
      <c r="I288" s="879">
        <f t="shared" si="19"/>
        <v>50</v>
      </c>
      <c r="J288" s="867" cm="1">
        <f t="array" ref="J288">INDEX($E:$E,MATCH($J$10,IF($B:$B=$B288,$I:$I),1))</f>
        <v>41157</v>
      </c>
    </row>
    <row r="289" spans="2:10">
      <c r="B289" s="817" t="s">
        <v>1194</v>
      </c>
      <c r="C289" s="817" t="s">
        <v>6132</v>
      </c>
      <c r="D289" s="866">
        <v>44915</v>
      </c>
      <c r="E289" s="817">
        <v>38582</v>
      </c>
      <c r="F289" s="864">
        <f t="shared" si="16"/>
        <v>12</v>
      </c>
      <c r="G289" s="864">
        <f t="shared" si="17"/>
        <v>52</v>
      </c>
      <c r="H289" s="864">
        <f t="shared" si="18"/>
        <v>2022</v>
      </c>
      <c r="I289" s="879">
        <f t="shared" si="19"/>
        <v>52</v>
      </c>
      <c r="J289" s="867" cm="1">
        <f t="array" ref="J289">INDEX($E:$E,MATCH($J$10,IF($B:$B=$B289,$I:$I),1))</f>
        <v>41157</v>
      </c>
    </row>
    <row r="290" spans="2:10">
      <c r="B290" s="817" t="s">
        <v>1194</v>
      </c>
      <c r="C290" s="817" t="s">
        <v>6132</v>
      </c>
      <c r="D290" s="863">
        <v>44922</v>
      </c>
      <c r="E290" s="817">
        <v>39482</v>
      </c>
      <c r="F290" s="864">
        <f t="shared" si="16"/>
        <v>12</v>
      </c>
      <c r="G290" s="864">
        <f t="shared" si="17"/>
        <v>53</v>
      </c>
      <c r="H290" s="864">
        <f t="shared" si="18"/>
        <v>2022</v>
      </c>
      <c r="I290" s="879">
        <f t="shared" si="19"/>
        <v>53</v>
      </c>
      <c r="J290" s="867" cm="1">
        <f t="array" ref="J290">INDEX($E:$E,MATCH($J$10,IF($B:$B=$B290,$I:$I),1))</f>
        <v>41157</v>
      </c>
    </row>
    <row r="291" spans="2:10">
      <c r="B291" s="817" t="s">
        <v>1194</v>
      </c>
      <c r="C291" s="817" t="s">
        <v>6132</v>
      </c>
      <c r="D291" s="866">
        <v>44929</v>
      </c>
      <c r="E291" s="817">
        <v>39032</v>
      </c>
      <c r="F291" s="864">
        <f t="shared" si="16"/>
        <v>1</v>
      </c>
      <c r="G291" s="864">
        <f t="shared" si="17"/>
        <v>1</v>
      </c>
      <c r="H291" s="864">
        <f t="shared" si="18"/>
        <v>2023</v>
      </c>
      <c r="I291" s="879">
        <f t="shared" si="19"/>
        <v>54</v>
      </c>
      <c r="J291" s="867" cm="1">
        <f t="array" ref="J291">INDEX($E:$E,MATCH($J$10,IF($B:$B=$B291,$I:$I),1))</f>
        <v>41157</v>
      </c>
    </row>
    <row r="292" spans="2:10">
      <c r="B292" s="817" t="s">
        <v>1194</v>
      </c>
      <c r="C292" s="817" t="s">
        <v>6132</v>
      </c>
      <c r="D292" s="863">
        <v>44934</v>
      </c>
      <c r="E292" s="817">
        <v>39221</v>
      </c>
      <c r="F292" s="864">
        <f t="shared" si="16"/>
        <v>1</v>
      </c>
      <c r="G292" s="864">
        <f t="shared" si="17"/>
        <v>2</v>
      </c>
      <c r="H292" s="864">
        <f t="shared" si="18"/>
        <v>2023</v>
      </c>
      <c r="I292" s="879">
        <f t="shared" si="19"/>
        <v>55</v>
      </c>
      <c r="J292" s="867" cm="1">
        <f t="array" ref="J292">INDEX($E:$E,MATCH($J$10,IF($B:$B=$B292,$I:$I),1))</f>
        <v>41157</v>
      </c>
    </row>
    <row r="293" spans="2:10">
      <c r="B293" s="817" t="s">
        <v>1194</v>
      </c>
      <c r="C293" s="817" t="s">
        <v>6132</v>
      </c>
      <c r="D293" s="866">
        <v>44941</v>
      </c>
      <c r="E293" s="817">
        <v>39395</v>
      </c>
      <c r="F293" s="864">
        <f t="shared" si="16"/>
        <v>1</v>
      </c>
      <c r="G293" s="864">
        <f t="shared" si="17"/>
        <v>3</v>
      </c>
      <c r="H293" s="864">
        <f t="shared" si="18"/>
        <v>2023</v>
      </c>
      <c r="I293" s="879">
        <f t="shared" si="19"/>
        <v>56</v>
      </c>
      <c r="J293" s="867" cm="1">
        <f t="array" ref="J293">INDEX($E:$E,MATCH($J$10,IF($B:$B=$B293,$I:$I),1))</f>
        <v>41157</v>
      </c>
    </row>
    <row r="294" spans="2:10">
      <c r="B294" s="817" t="s">
        <v>1194</v>
      </c>
      <c r="C294" s="817" t="s">
        <v>6132</v>
      </c>
      <c r="D294" s="863">
        <v>44948</v>
      </c>
      <c r="E294" s="817">
        <v>39592</v>
      </c>
      <c r="F294" s="864">
        <f t="shared" si="16"/>
        <v>1</v>
      </c>
      <c r="G294" s="864">
        <f t="shared" si="17"/>
        <v>4</v>
      </c>
      <c r="H294" s="864">
        <f t="shared" si="18"/>
        <v>2023</v>
      </c>
      <c r="I294" s="879">
        <f t="shared" si="19"/>
        <v>57</v>
      </c>
      <c r="J294" s="867" cm="1">
        <f t="array" ref="J294">INDEX($E:$E,MATCH($J$10,IF($B:$B=$B294,$I:$I),1))</f>
        <v>41157</v>
      </c>
    </row>
    <row r="295" spans="2:10">
      <c r="B295" s="817" t="s">
        <v>1194</v>
      </c>
      <c r="C295" s="817" t="s">
        <v>6132</v>
      </c>
      <c r="D295" s="866">
        <v>44955</v>
      </c>
      <c r="E295" s="817">
        <v>39756</v>
      </c>
      <c r="F295" s="864">
        <f t="shared" si="16"/>
        <v>1</v>
      </c>
      <c r="G295" s="864">
        <f t="shared" si="17"/>
        <v>5</v>
      </c>
      <c r="H295" s="864">
        <f t="shared" si="18"/>
        <v>2023</v>
      </c>
      <c r="I295" s="879">
        <f t="shared" si="19"/>
        <v>58</v>
      </c>
      <c r="J295" s="867" cm="1">
        <f t="array" ref="J295">INDEX($E:$E,MATCH($J$10,IF($B:$B=$B295,$I:$I),1))</f>
        <v>41157</v>
      </c>
    </row>
    <row r="296" spans="2:10">
      <c r="B296" s="817" t="s">
        <v>1194</v>
      </c>
      <c r="C296" s="817" t="s">
        <v>6132</v>
      </c>
      <c r="D296" s="863">
        <v>44983</v>
      </c>
      <c r="E296" s="817">
        <v>40613</v>
      </c>
      <c r="F296" s="864">
        <f t="shared" si="16"/>
        <v>2</v>
      </c>
      <c r="G296" s="864">
        <f t="shared" si="17"/>
        <v>9</v>
      </c>
      <c r="H296" s="864">
        <f t="shared" si="18"/>
        <v>2023</v>
      </c>
      <c r="I296" s="879">
        <f t="shared" si="19"/>
        <v>62</v>
      </c>
      <c r="J296" s="867" cm="1">
        <f t="array" ref="J296">INDEX($E:$E,MATCH($J$10,IF($B:$B=$B296,$I:$I),1))</f>
        <v>41157</v>
      </c>
    </row>
    <row r="297" spans="2:10">
      <c r="B297" s="817" t="s">
        <v>1194</v>
      </c>
      <c r="C297" s="817" t="s">
        <v>6132</v>
      </c>
      <c r="D297" s="863">
        <v>45011</v>
      </c>
      <c r="E297" s="817">
        <v>41297</v>
      </c>
      <c r="F297" s="864">
        <f t="shared" si="16"/>
        <v>3</v>
      </c>
      <c r="G297" s="864">
        <f t="shared" si="17"/>
        <v>13</v>
      </c>
      <c r="H297" s="864">
        <f t="shared" si="18"/>
        <v>2023</v>
      </c>
      <c r="I297" s="879">
        <f t="shared" si="19"/>
        <v>66</v>
      </c>
      <c r="J297" s="867" cm="1">
        <f t="array" ref="J297">INDEX($E:$E,MATCH($J$10,IF($B:$B=$B297,$I:$I),1))</f>
        <v>41157</v>
      </c>
    </row>
    <row r="298" spans="2:10">
      <c r="B298" s="817" t="s">
        <v>1194</v>
      </c>
      <c r="C298" s="817" t="s">
        <v>6132</v>
      </c>
      <c r="D298" s="863">
        <v>45018</v>
      </c>
      <c r="E298" s="817">
        <v>41419</v>
      </c>
      <c r="F298" s="864">
        <f t="shared" si="16"/>
        <v>4</v>
      </c>
      <c r="G298" s="864">
        <f t="shared" si="17"/>
        <v>14</v>
      </c>
      <c r="H298" s="864">
        <f t="shared" si="18"/>
        <v>2023</v>
      </c>
      <c r="I298" s="879">
        <f t="shared" si="19"/>
        <v>67</v>
      </c>
      <c r="J298" s="867" cm="1">
        <f t="array" ref="J298">INDEX($E:$E,MATCH($J$10,IF($B:$B=$B298,$I:$I),1))</f>
        <v>41157</v>
      </c>
    </row>
    <row r="299" spans="2:10">
      <c r="B299" s="817" t="s">
        <v>1194</v>
      </c>
      <c r="C299" s="817" t="s">
        <v>6132</v>
      </c>
      <c r="D299" s="863">
        <v>45026</v>
      </c>
      <c r="E299" s="817">
        <v>41560</v>
      </c>
      <c r="F299" s="864">
        <f t="shared" si="16"/>
        <v>4</v>
      </c>
      <c r="G299" s="864">
        <f t="shared" si="17"/>
        <v>15</v>
      </c>
      <c r="H299" s="864">
        <f t="shared" si="18"/>
        <v>2023</v>
      </c>
      <c r="I299" s="879">
        <f t="shared" si="19"/>
        <v>68</v>
      </c>
      <c r="J299" s="867" cm="1">
        <f t="array" ref="J299">INDEX($E:$E,MATCH($J$10,IF($B:$B=$B299,$I:$I),1))</f>
        <v>41157</v>
      </c>
    </row>
    <row r="300" spans="2:10">
      <c r="B300" s="817" t="s">
        <v>1194</v>
      </c>
      <c r="C300" s="817" t="s">
        <v>6132</v>
      </c>
      <c r="D300" s="863">
        <v>45060</v>
      </c>
      <c r="E300" s="817">
        <v>42226</v>
      </c>
      <c r="F300" s="864">
        <f t="shared" si="16"/>
        <v>5</v>
      </c>
      <c r="G300" s="864">
        <f t="shared" si="17"/>
        <v>20</v>
      </c>
      <c r="H300" s="864">
        <f t="shared" si="18"/>
        <v>2023</v>
      </c>
      <c r="I300" s="879">
        <f t="shared" si="19"/>
        <v>73</v>
      </c>
      <c r="J300" s="867" cm="1">
        <f t="array" ref="J300">INDEX($E:$E,MATCH($J$10,IF($B:$B=$B300,$I:$I),1))</f>
        <v>41157</v>
      </c>
    </row>
    <row r="301" spans="2:10">
      <c r="B301" s="817" t="s">
        <v>1194</v>
      </c>
      <c r="C301" s="817" t="s">
        <v>6132</v>
      </c>
      <c r="D301" s="863">
        <v>45067</v>
      </c>
      <c r="E301" s="817">
        <v>41157</v>
      </c>
      <c r="F301" s="864">
        <f t="shared" si="16"/>
        <v>5</v>
      </c>
      <c r="G301" s="864">
        <f t="shared" si="17"/>
        <v>21</v>
      </c>
      <c r="H301" s="864">
        <f t="shared" si="18"/>
        <v>2023</v>
      </c>
      <c r="I301" s="879">
        <f t="shared" si="19"/>
        <v>74</v>
      </c>
      <c r="J301" s="867" cm="1">
        <f t="array" ref="J301">INDEX($E:$E,MATCH($J$10,IF($B:$B=$B301,$I:$I),1))</f>
        <v>41157</v>
      </c>
    </row>
    <row r="302" spans="2:10">
      <c r="B302" s="817" t="s">
        <v>1305</v>
      </c>
      <c r="C302" s="817" t="s">
        <v>6133</v>
      </c>
      <c r="D302" s="866">
        <v>44706</v>
      </c>
      <c r="E302" s="817">
        <v>39802</v>
      </c>
      <c r="F302" s="864">
        <f t="shared" si="16"/>
        <v>5</v>
      </c>
      <c r="G302" s="864">
        <f t="shared" si="17"/>
        <v>22</v>
      </c>
      <c r="H302" s="864">
        <f t="shared" si="18"/>
        <v>2022</v>
      </c>
      <c r="I302" s="879">
        <f t="shared" si="19"/>
        <v>22</v>
      </c>
      <c r="J302" s="867" cm="1">
        <f t="array" ref="J302">INDEX($E:$E,MATCH($J$10,IF($B:$B=$B302,$I:$I),1))</f>
        <v>71215</v>
      </c>
    </row>
    <row r="303" spans="2:10">
      <c r="B303" s="817" t="s">
        <v>1305</v>
      </c>
      <c r="C303" s="817" t="s">
        <v>6133</v>
      </c>
      <c r="D303" s="863">
        <v>44726</v>
      </c>
      <c r="E303" s="817">
        <v>42257</v>
      </c>
      <c r="F303" s="864">
        <f t="shared" si="16"/>
        <v>6</v>
      </c>
      <c r="G303" s="864">
        <f t="shared" si="17"/>
        <v>25</v>
      </c>
      <c r="H303" s="864">
        <f t="shared" si="18"/>
        <v>2022</v>
      </c>
      <c r="I303" s="879">
        <f t="shared" si="19"/>
        <v>25</v>
      </c>
      <c r="J303" s="867" cm="1">
        <f t="array" ref="J303">INDEX($E:$E,MATCH($J$10,IF($B:$B=$B303,$I:$I),1))</f>
        <v>71215</v>
      </c>
    </row>
    <row r="304" spans="2:10">
      <c r="B304" s="817" t="s">
        <v>1305</v>
      </c>
      <c r="C304" s="817" t="s">
        <v>6133</v>
      </c>
      <c r="D304" s="866">
        <v>44733</v>
      </c>
      <c r="E304" s="817">
        <v>43048</v>
      </c>
      <c r="F304" s="864">
        <f t="shared" si="16"/>
        <v>6</v>
      </c>
      <c r="G304" s="864">
        <f t="shared" si="17"/>
        <v>26</v>
      </c>
      <c r="H304" s="864">
        <f t="shared" si="18"/>
        <v>2022</v>
      </c>
      <c r="I304" s="879">
        <f t="shared" si="19"/>
        <v>26</v>
      </c>
      <c r="J304" s="867" cm="1">
        <f t="array" ref="J304">INDEX($E:$E,MATCH($J$10,IF($B:$B=$B304,$I:$I),1))</f>
        <v>71215</v>
      </c>
    </row>
    <row r="305" spans="2:10">
      <c r="B305" s="817" t="s">
        <v>1305</v>
      </c>
      <c r="C305" s="817" t="s">
        <v>6133</v>
      </c>
      <c r="D305" s="863">
        <v>44740</v>
      </c>
      <c r="E305" s="817">
        <v>43909</v>
      </c>
      <c r="F305" s="864">
        <f t="shared" si="16"/>
        <v>6</v>
      </c>
      <c r="G305" s="864">
        <f t="shared" si="17"/>
        <v>27</v>
      </c>
      <c r="H305" s="864">
        <f t="shared" si="18"/>
        <v>2022</v>
      </c>
      <c r="I305" s="879">
        <f t="shared" si="19"/>
        <v>27</v>
      </c>
      <c r="J305" s="867" cm="1">
        <f t="array" ref="J305">INDEX($E:$E,MATCH($J$10,IF($B:$B=$B305,$I:$I),1))</f>
        <v>71215</v>
      </c>
    </row>
    <row r="306" spans="2:10">
      <c r="B306" s="817" t="s">
        <v>1305</v>
      </c>
      <c r="C306" s="817" t="s">
        <v>6133</v>
      </c>
      <c r="D306" s="866">
        <v>44747</v>
      </c>
      <c r="E306" s="817">
        <v>44901</v>
      </c>
      <c r="F306" s="864">
        <f t="shared" si="16"/>
        <v>7</v>
      </c>
      <c r="G306" s="864">
        <f t="shared" si="17"/>
        <v>28</v>
      </c>
      <c r="H306" s="864">
        <f t="shared" si="18"/>
        <v>2022</v>
      </c>
      <c r="I306" s="879">
        <f t="shared" si="19"/>
        <v>28</v>
      </c>
      <c r="J306" s="867" cm="1">
        <f t="array" ref="J306">INDEX($E:$E,MATCH($J$10,IF($B:$B=$B306,$I:$I),1))</f>
        <v>71215</v>
      </c>
    </row>
    <row r="307" spans="2:10">
      <c r="B307" s="817" t="s">
        <v>1305</v>
      </c>
      <c r="C307" s="817" t="s">
        <v>6133</v>
      </c>
      <c r="D307" s="863">
        <v>44754</v>
      </c>
      <c r="E307" s="817">
        <v>45935</v>
      </c>
      <c r="F307" s="864">
        <f t="shared" si="16"/>
        <v>7</v>
      </c>
      <c r="G307" s="864">
        <f t="shared" si="17"/>
        <v>29</v>
      </c>
      <c r="H307" s="864">
        <f t="shared" si="18"/>
        <v>2022</v>
      </c>
      <c r="I307" s="879">
        <f t="shared" si="19"/>
        <v>29</v>
      </c>
      <c r="J307" s="867" cm="1">
        <f t="array" ref="J307">INDEX($E:$E,MATCH($J$10,IF($B:$B=$B307,$I:$I),1))</f>
        <v>71215</v>
      </c>
    </row>
    <row r="308" spans="2:10">
      <c r="B308" s="817" t="s">
        <v>1305</v>
      </c>
      <c r="C308" s="817" t="s">
        <v>6133</v>
      </c>
      <c r="D308" s="866">
        <v>44761</v>
      </c>
      <c r="E308" s="817">
        <v>46726</v>
      </c>
      <c r="F308" s="864">
        <f t="shared" si="16"/>
        <v>7</v>
      </c>
      <c r="G308" s="864">
        <f t="shared" si="17"/>
        <v>30</v>
      </c>
      <c r="H308" s="864">
        <f t="shared" si="18"/>
        <v>2022</v>
      </c>
      <c r="I308" s="879">
        <f t="shared" si="19"/>
        <v>30</v>
      </c>
      <c r="J308" s="867" cm="1">
        <f t="array" ref="J308">INDEX($E:$E,MATCH($J$10,IF($B:$B=$B308,$I:$I),1))</f>
        <v>71215</v>
      </c>
    </row>
    <row r="309" spans="2:10">
      <c r="B309" s="817" t="s">
        <v>1305</v>
      </c>
      <c r="C309" s="817" t="s">
        <v>6133</v>
      </c>
      <c r="D309" s="863">
        <v>44768</v>
      </c>
      <c r="E309" s="817">
        <v>47310</v>
      </c>
      <c r="F309" s="864">
        <f t="shared" si="16"/>
        <v>7</v>
      </c>
      <c r="G309" s="864">
        <f t="shared" si="17"/>
        <v>31</v>
      </c>
      <c r="H309" s="864">
        <f t="shared" si="18"/>
        <v>2022</v>
      </c>
      <c r="I309" s="879">
        <f t="shared" si="19"/>
        <v>31</v>
      </c>
      <c r="J309" s="867" cm="1">
        <f t="array" ref="J309">INDEX($E:$E,MATCH($J$10,IF($B:$B=$B309,$I:$I),1))</f>
        <v>71215</v>
      </c>
    </row>
    <row r="310" spans="2:10">
      <c r="B310" s="817" t="s">
        <v>1305</v>
      </c>
      <c r="C310" s="817" t="s">
        <v>6133</v>
      </c>
      <c r="D310" s="866">
        <v>44775</v>
      </c>
      <c r="E310" s="817">
        <v>48359</v>
      </c>
      <c r="F310" s="864">
        <f t="shared" si="16"/>
        <v>8</v>
      </c>
      <c r="G310" s="864">
        <f t="shared" si="17"/>
        <v>32</v>
      </c>
      <c r="H310" s="864">
        <f t="shared" si="18"/>
        <v>2022</v>
      </c>
      <c r="I310" s="879">
        <f t="shared" si="19"/>
        <v>32</v>
      </c>
      <c r="J310" s="867" cm="1">
        <f t="array" ref="J310">INDEX($E:$E,MATCH($J$10,IF($B:$B=$B310,$I:$I),1))</f>
        <v>71215</v>
      </c>
    </row>
    <row r="311" spans="2:10">
      <c r="B311" s="817" t="s">
        <v>1305</v>
      </c>
      <c r="C311" s="817" t="s">
        <v>6133</v>
      </c>
      <c r="D311" s="863">
        <v>44782</v>
      </c>
      <c r="E311" s="817">
        <v>49471</v>
      </c>
      <c r="F311" s="864">
        <f t="shared" si="16"/>
        <v>8</v>
      </c>
      <c r="G311" s="864">
        <f t="shared" si="17"/>
        <v>33</v>
      </c>
      <c r="H311" s="864">
        <f t="shared" si="18"/>
        <v>2022</v>
      </c>
      <c r="I311" s="879">
        <f t="shared" si="19"/>
        <v>33</v>
      </c>
      <c r="J311" s="867" cm="1">
        <f t="array" ref="J311">INDEX($E:$E,MATCH($J$10,IF($B:$B=$B311,$I:$I),1))</f>
        <v>71215</v>
      </c>
    </row>
    <row r="312" spans="2:10">
      <c r="B312" s="817" t="s">
        <v>1305</v>
      </c>
      <c r="C312" s="817" t="s">
        <v>6133</v>
      </c>
      <c r="D312" s="866">
        <v>44789</v>
      </c>
      <c r="E312" s="817">
        <v>50491</v>
      </c>
      <c r="F312" s="864">
        <f t="shared" si="16"/>
        <v>8</v>
      </c>
      <c r="G312" s="864">
        <f t="shared" si="17"/>
        <v>34</v>
      </c>
      <c r="H312" s="864">
        <f t="shared" si="18"/>
        <v>2022</v>
      </c>
      <c r="I312" s="879">
        <f t="shared" si="19"/>
        <v>34</v>
      </c>
      <c r="J312" s="867" cm="1">
        <f t="array" ref="J312">INDEX($E:$E,MATCH($J$10,IF($B:$B=$B312,$I:$I),1))</f>
        <v>71215</v>
      </c>
    </row>
    <row r="313" spans="2:10">
      <c r="B313" s="817" t="s">
        <v>1305</v>
      </c>
      <c r="C313" s="817" t="s">
        <v>6133</v>
      </c>
      <c r="D313" s="863">
        <v>44796</v>
      </c>
      <c r="E313" s="817">
        <v>51501</v>
      </c>
      <c r="F313" s="864">
        <f t="shared" si="16"/>
        <v>8</v>
      </c>
      <c r="G313" s="864">
        <f t="shared" si="17"/>
        <v>35</v>
      </c>
      <c r="H313" s="864">
        <f t="shared" si="18"/>
        <v>2022</v>
      </c>
      <c r="I313" s="879">
        <f t="shared" si="19"/>
        <v>35</v>
      </c>
      <c r="J313" s="867" cm="1">
        <f t="array" ref="J313">INDEX($E:$E,MATCH($J$10,IF($B:$B=$B313,$I:$I),1))</f>
        <v>71215</v>
      </c>
    </row>
    <row r="314" spans="2:10">
      <c r="B314" s="817" t="s">
        <v>1305</v>
      </c>
      <c r="C314" s="817" t="s">
        <v>6133</v>
      </c>
      <c r="D314" s="866">
        <v>44810</v>
      </c>
      <c r="E314" s="817">
        <v>53778</v>
      </c>
      <c r="F314" s="864">
        <f t="shared" si="16"/>
        <v>9</v>
      </c>
      <c r="G314" s="864">
        <f t="shared" si="17"/>
        <v>37</v>
      </c>
      <c r="H314" s="864">
        <f t="shared" si="18"/>
        <v>2022</v>
      </c>
      <c r="I314" s="879">
        <f t="shared" si="19"/>
        <v>37</v>
      </c>
      <c r="J314" s="867" cm="1">
        <f t="array" ref="J314">INDEX($E:$E,MATCH($J$10,IF($B:$B=$B314,$I:$I),1))</f>
        <v>71215</v>
      </c>
    </row>
    <row r="315" spans="2:10">
      <c r="B315" s="817" t="s">
        <v>1305</v>
      </c>
      <c r="C315" s="817" t="s">
        <v>6133</v>
      </c>
      <c r="D315" s="863">
        <v>44817</v>
      </c>
      <c r="E315" s="817">
        <v>54765</v>
      </c>
      <c r="F315" s="864">
        <f t="shared" si="16"/>
        <v>9</v>
      </c>
      <c r="G315" s="864">
        <f t="shared" si="17"/>
        <v>38</v>
      </c>
      <c r="H315" s="864">
        <f t="shared" si="18"/>
        <v>2022</v>
      </c>
      <c r="I315" s="879">
        <f t="shared" si="19"/>
        <v>38</v>
      </c>
      <c r="J315" s="867" cm="1">
        <f t="array" ref="J315">INDEX($E:$E,MATCH($J$10,IF($B:$B=$B315,$I:$I),1))</f>
        <v>71215</v>
      </c>
    </row>
    <row r="316" spans="2:10">
      <c r="B316" s="817" t="s">
        <v>1305</v>
      </c>
      <c r="C316" s="817" t="s">
        <v>6133</v>
      </c>
      <c r="D316" s="866">
        <v>44819</v>
      </c>
      <c r="E316" s="817">
        <v>55632</v>
      </c>
      <c r="F316" s="864">
        <f t="shared" si="16"/>
        <v>9</v>
      </c>
      <c r="G316" s="864">
        <f t="shared" si="17"/>
        <v>38</v>
      </c>
      <c r="H316" s="864">
        <f t="shared" si="18"/>
        <v>2022</v>
      </c>
      <c r="I316" s="879">
        <f t="shared" si="19"/>
        <v>38</v>
      </c>
      <c r="J316" s="867" cm="1">
        <f t="array" ref="J316">INDEX($E:$E,MATCH($J$10,IF($B:$B=$B316,$I:$I),1))</f>
        <v>71215</v>
      </c>
    </row>
    <row r="317" spans="2:10">
      <c r="B317" s="817" t="s">
        <v>1305</v>
      </c>
      <c r="C317" s="817" t="s">
        <v>6133</v>
      </c>
      <c r="D317" s="863">
        <v>44830</v>
      </c>
      <c r="E317" s="817">
        <v>57257</v>
      </c>
      <c r="F317" s="864">
        <f t="shared" si="16"/>
        <v>9</v>
      </c>
      <c r="G317" s="864">
        <f t="shared" si="17"/>
        <v>40</v>
      </c>
      <c r="H317" s="864">
        <f t="shared" si="18"/>
        <v>2022</v>
      </c>
      <c r="I317" s="879">
        <f t="shared" si="19"/>
        <v>40</v>
      </c>
      <c r="J317" s="867" cm="1">
        <f t="array" ref="J317">INDEX($E:$E,MATCH($J$10,IF($B:$B=$B317,$I:$I),1))</f>
        <v>71215</v>
      </c>
    </row>
    <row r="318" spans="2:10">
      <c r="B318" s="817" t="s">
        <v>1305</v>
      </c>
      <c r="C318" s="817" t="s">
        <v>6133</v>
      </c>
      <c r="D318" s="866">
        <v>44834</v>
      </c>
      <c r="E318" s="817">
        <v>58225</v>
      </c>
      <c r="F318" s="864">
        <f t="shared" si="16"/>
        <v>9</v>
      </c>
      <c r="G318" s="864">
        <f t="shared" si="17"/>
        <v>40</v>
      </c>
      <c r="H318" s="864">
        <f t="shared" si="18"/>
        <v>2022</v>
      </c>
      <c r="I318" s="879">
        <f t="shared" si="19"/>
        <v>40</v>
      </c>
      <c r="J318" s="867" cm="1">
        <f t="array" ref="J318">INDEX($E:$E,MATCH($J$10,IF($B:$B=$B318,$I:$I),1))</f>
        <v>71215</v>
      </c>
    </row>
    <row r="319" spans="2:10">
      <c r="B319" s="817" t="s">
        <v>1305</v>
      </c>
      <c r="C319" s="817" t="s">
        <v>6133</v>
      </c>
      <c r="D319" s="863">
        <v>44844</v>
      </c>
      <c r="E319" s="817">
        <v>60002</v>
      </c>
      <c r="F319" s="864">
        <f t="shared" si="16"/>
        <v>10</v>
      </c>
      <c r="G319" s="864">
        <f t="shared" si="17"/>
        <v>42</v>
      </c>
      <c r="H319" s="864">
        <f t="shared" si="18"/>
        <v>2022</v>
      </c>
      <c r="I319" s="879">
        <f t="shared" si="19"/>
        <v>42</v>
      </c>
      <c r="J319" s="867" cm="1">
        <f t="array" ref="J319">INDEX($E:$E,MATCH($J$10,IF($B:$B=$B319,$I:$I),1))</f>
        <v>71215</v>
      </c>
    </row>
    <row r="320" spans="2:10">
      <c r="B320" s="817" t="s">
        <v>1305</v>
      </c>
      <c r="C320" s="817" t="s">
        <v>6133</v>
      </c>
      <c r="D320" s="866">
        <v>44848</v>
      </c>
      <c r="E320" s="817">
        <v>60302</v>
      </c>
      <c r="F320" s="864">
        <f t="shared" si="16"/>
        <v>10</v>
      </c>
      <c r="G320" s="864">
        <f t="shared" si="17"/>
        <v>42</v>
      </c>
      <c r="H320" s="864">
        <f t="shared" si="18"/>
        <v>2022</v>
      </c>
      <c r="I320" s="879">
        <f t="shared" si="19"/>
        <v>42</v>
      </c>
      <c r="J320" s="867" cm="1">
        <f t="array" ref="J320">INDEX($E:$E,MATCH($J$10,IF($B:$B=$B320,$I:$I),1))</f>
        <v>71215</v>
      </c>
    </row>
    <row r="321" spans="2:10">
      <c r="B321" s="817" t="s">
        <v>1305</v>
      </c>
      <c r="C321" s="817" t="s">
        <v>6133</v>
      </c>
      <c r="D321" s="863">
        <v>44859</v>
      </c>
      <c r="E321" s="817">
        <v>60980</v>
      </c>
      <c r="F321" s="864">
        <f t="shared" si="16"/>
        <v>10</v>
      </c>
      <c r="G321" s="864">
        <f t="shared" si="17"/>
        <v>44</v>
      </c>
      <c r="H321" s="864">
        <f t="shared" si="18"/>
        <v>2022</v>
      </c>
      <c r="I321" s="879">
        <f t="shared" si="19"/>
        <v>44</v>
      </c>
      <c r="J321" s="867" cm="1">
        <f t="array" ref="J321">INDEX($E:$E,MATCH($J$10,IF($B:$B=$B321,$I:$I),1))</f>
        <v>71215</v>
      </c>
    </row>
    <row r="322" spans="2:10">
      <c r="B322" s="817" t="s">
        <v>1305</v>
      </c>
      <c r="C322" s="817" t="s">
        <v>6133</v>
      </c>
      <c r="D322" s="866">
        <v>44862</v>
      </c>
      <c r="E322" s="817">
        <v>61276</v>
      </c>
      <c r="F322" s="864">
        <f t="shared" si="16"/>
        <v>10</v>
      </c>
      <c r="G322" s="864">
        <f t="shared" si="17"/>
        <v>44</v>
      </c>
      <c r="H322" s="864">
        <f t="shared" si="18"/>
        <v>2022</v>
      </c>
      <c r="I322" s="879">
        <f t="shared" si="19"/>
        <v>44</v>
      </c>
      <c r="J322" s="867" cm="1">
        <f t="array" ref="J322">INDEX($E:$E,MATCH($J$10,IF($B:$B=$B322,$I:$I),1))</f>
        <v>71215</v>
      </c>
    </row>
    <row r="323" spans="2:10">
      <c r="B323" s="817" t="s">
        <v>1305</v>
      </c>
      <c r="C323" s="817" t="s">
        <v>6133</v>
      </c>
      <c r="D323" s="863">
        <v>44873</v>
      </c>
      <c r="E323" s="817">
        <v>62023</v>
      </c>
      <c r="F323" s="864">
        <f t="shared" si="16"/>
        <v>11</v>
      </c>
      <c r="G323" s="864">
        <f t="shared" si="17"/>
        <v>46</v>
      </c>
      <c r="H323" s="864">
        <f t="shared" si="18"/>
        <v>2022</v>
      </c>
      <c r="I323" s="879">
        <f t="shared" si="19"/>
        <v>46</v>
      </c>
      <c r="J323" s="867" cm="1">
        <f t="array" ref="J323">INDEX($E:$E,MATCH($J$10,IF($B:$B=$B323,$I:$I),1))</f>
        <v>71215</v>
      </c>
    </row>
    <row r="324" spans="2:10">
      <c r="B324" s="817" t="s">
        <v>1305</v>
      </c>
      <c r="C324" s="817" t="s">
        <v>6133</v>
      </c>
      <c r="D324" s="866">
        <v>44880</v>
      </c>
      <c r="E324" s="817">
        <v>62239</v>
      </c>
      <c r="F324" s="864">
        <f t="shared" si="16"/>
        <v>11</v>
      </c>
      <c r="G324" s="864">
        <f t="shared" si="17"/>
        <v>47</v>
      </c>
      <c r="H324" s="864">
        <f t="shared" si="18"/>
        <v>2022</v>
      </c>
      <c r="I324" s="879">
        <f t="shared" si="19"/>
        <v>47</v>
      </c>
      <c r="J324" s="867" cm="1">
        <f t="array" ref="J324">INDEX($E:$E,MATCH($J$10,IF($B:$B=$B324,$I:$I),1))</f>
        <v>71215</v>
      </c>
    </row>
    <row r="325" spans="2:10">
      <c r="B325" s="817" t="s">
        <v>1305</v>
      </c>
      <c r="C325" s="817" t="s">
        <v>6133</v>
      </c>
      <c r="D325" s="863">
        <v>44901</v>
      </c>
      <c r="E325" s="817">
        <v>63850</v>
      </c>
      <c r="F325" s="864">
        <f t="shared" si="16"/>
        <v>12</v>
      </c>
      <c r="G325" s="864">
        <f t="shared" si="17"/>
        <v>50</v>
      </c>
      <c r="H325" s="864">
        <f t="shared" si="18"/>
        <v>2022</v>
      </c>
      <c r="I325" s="879">
        <f t="shared" si="19"/>
        <v>50</v>
      </c>
      <c r="J325" s="867" cm="1">
        <f t="array" ref="J325">INDEX($E:$E,MATCH($J$10,IF($B:$B=$B325,$I:$I),1))</f>
        <v>71215</v>
      </c>
    </row>
    <row r="326" spans="2:10">
      <c r="B326" s="817" t="s">
        <v>1305</v>
      </c>
      <c r="C326" s="817" t="s">
        <v>6133</v>
      </c>
      <c r="D326" s="866">
        <v>44915</v>
      </c>
      <c r="E326" s="817">
        <v>64593</v>
      </c>
      <c r="F326" s="864">
        <f t="shared" si="16"/>
        <v>12</v>
      </c>
      <c r="G326" s="864">
        <f t="shared" si="17"/>
        <v>52</v>
      </c>
      <c r="H326" s="864">
        <f t="shared" si="18"/>
        <v>2022</v>
      </c>
      <c r="I326" s="879">
        <f t="shared" si="19"/>
        <v>52</v>
      </c>
      <c r="J326" s="867" cm="1">
        <f t="array" ref="J326">INDEX($E:$E,MATCH($J$10,IF($B:$B=$B326,$I:$I),1))</f>
        <v>71215</v>
      </c>
    </row>
    <row r="327" spans="2:10">
      <c r="B327" s="817" t="s">
        <v>1305</v>
      </c>
      <c r="C327" s="817" t="s">
        <v>6133</v>
      </c>
      <c r="D327" s="863">
        <v>44921</v>
      </c>
      <c r="E327" s="817">
        <v>65060</v>
      </c>
      <c r="F327" s="864">
        <f t="shared" si="16"/>
        <v>12</v>
      </c>
      <c r="G327" s="864">
        <f t="shared" si="17"/>
        <v>53</v>
      </c>
      <c r="H327" s="864">
        <f t="shared" si="18"/>
        <v>2022</v>
      </c>
      <c r="I327" s="879">
        <f t="shared" si="19"/>
        <v>53</v>
      </c>
      <c r="J327" s="867" cm="1">
        <f t="array" ref="J327">INDEX($E:$E,MATCH($J$10,IF($B:$B=$B327,$I:$I),1))</f>
        <v>71215</v>
      </c>
    </row>
    <row r="328" spans="2:10">
      <c r="B328" s="817" t="s">
        <v>1305</v>
      </c>
      <c r="C328" s="817" t="s">
        <v>6133</v>
      </c>
      <c r="D328" s="866">
        <v>44927</v>
      </c>
      <c r="E328" s="817">
        <v>65381</v>
      </c>
      <c r="F328" s="864">
        <f t="shared" si="16"/>
        <v>1</v>
      </c>
      <c r="G328" s="864">
        <f t="shared" si="17"/>
        <v>1</v>
      </c>
      <c r="H328" s="864">
        <f t="shared" si="18"/>
        <v>2023</v>
      </c>
      <c r="I328" s="879">
        <f t="shared" si="19"/>
        <v>54</v>
      </c>
      <c r="J328" s="867" cm="1">
        <f t="array" ref="J328">INDEX($E:$E,MATCH($J$10,IF($B:$B=$B328,$I:$I),1))</f>
        <v>71215</v>
      </c>
    </row>
    <row r="329" spans="2:10">
      <c r="B329" s="817" t="s">
        <v>1305</v>
      </c>
      <c r="C329" s="817" t="s">
        <v>6133</v>
      </c>
      <c r="D329" s="863">
        <v>44935</v>
      </c>
      <c r="E329" s="817">
        <v>65690</v>
      </c>
      <c r="F329" s="864">
        <f t="shared" si="16"/>
        <v>1</v>
      </c>
      <c r="G329" s="864">
        <f t="shared" si="17"/>
        <v>2</v>
      </c>
      <c r="H329" s="864">
        <f t="shared" si="18"/>
        <v>2023</v>
      </c>
      <c r="I329" s="879">
        <f t="shared" si="19"/>
        <v>55</v>
      </c>
      <c r="J329" s="867" cm="1">
        <f t="array" ref="J329">INDEX($E:$E,MATCH($J$10,IF($B:$B=$B329,$I:$I),1))</f>
        <v>71215</v>
      </c>
    </row>
    <row r="330" spans="2:10">
      <c r="B330" s="817" t="s">
        <v>1305</v>
      </c>
      <c r="C330" s="817" t="s">
        <v>6133</v>
      </c>
      <c r="D330" s="866">
        <v>44942</v>
      </c>
      <c r="E330" s="817">
        <v>66074</v>
      </c>
      <c r="F330" s="864">
        <f t="shared" si="16"/>
        <v>1</v>
      </c>
      <c r="G330" s="864">
        <f t="shared" si="17"/>
        <v>3</v>
      </c>
      <c r="H330" s="864">
        <f t="shared" si="18"/>
        <v>2023</v>
      </c>
      <c r="I330" s="879">
        <f t="shared" si="19"/>
        <v>56</v>
      </c>
      <c r="J330" s="867" cm="1">
        <f t="array" ref="J330">INDEX($E:$E,MATCH($J$10,IF($B:$B=$B330,$I:$I),1))</f>
        <v>71215</v>
      </c>
    </row>
    <row r="331" spans="2:10">
      <c r="B331" s="817" t="s">
        <v>1305</v>
      </c>
      <c r="C331" s="817" t="s">
        <v>6133</v>
      </c>
      <c r="D331" s="863">
        <v>44949</v>
      </c>
      <c r="E331" s="817">
        <v>66372</v>
      </c>
      <c r="F331" s="864">
        <f t="shared" si="16"/>
        <v>1</v>
      </c>
      <c r="G331" s="864">
        <f t="shared" si="17"/>
        <v>4</v>
      </c>
      <c r="H331" s="864">
        <f t="shared" si="18"/>
        <v>2023</v>
      </c>
      <c r="I331" s="879">
        <f t="shared" si="19"/>
        <v>57</v>
      </c>
      <c r="J331" s="867" cm="1">
        <f t="array" ref="J331">INDEX($E:$E,MATCH($J$10,IF($B:$B=$B331,$I:$I),1))</f>
        <v>71215</v>
      </c>
    </row>
    <row r="332" spans="2:10">
      <c r="B332" s="817" t="s">
        <v>1305</v>
      </c>
      <c r="C332" s="817" t="s">
        <v>6133</v>
      </c>
      <c r="D332" s="866">
        <v>44955</v>
      </c>
      <c r="E332" s="817">
        <v>66074</v>
      </c>
      <c r="F332" s="864">
        <f t="shared" ref="F332:F395" si="20">MONTH(D332)</f>
        <v>1</v>
      </c>
      <c r="G332" s="864">
        <f t="shared" ref="G332:G395" si="21">WEEKNUM(D332)</f>
        <v>5</v>
      </c>
      <c r="H332" s="864">
        <f t="shared" ref="H332:H395" si="22">YEAR(D332)</f>
        <v>2023</v>
      </c>
      <c r="I332" s="879">
        <f t="shared" ref="I332:I395" si="23">(H332-2022)*53+G332</f>
        <v>58</v>
      </c>
      <c r="J332" s="867" cm="1">
        <f t="array" ref="J332">INDEX($E:$E,MATCH($J$10,IF($B:$B=$B332,$I:$I),1))</f>
        <v>71215</v>
      </c>
    </row>
    <row r="333" spans="2:10">
      <c r="B333" s="817" t="s">
        <v>1305</v>
      </c>
      <c r="C333" s="817" t="s">
        <v>6133</v>
      </c>
      <c r="D333" s="863">
        <v>44970</v>
      </c>
      <c r="E333" s="817">
        <v>67243</v>
      </c>
      <c r="F333" s="864">
        <f t="shared" si="20"/>
        <v>2</v>
      </c>
      <c r="G333" s="864">
        <f t="shared" si="21"/>
        <v>7</v>
      </c>
      <c r="H333" s="864">
        <f t="shared" si="22"/>
        <v>2023</v>
      </c>
      <c r="I333" s="879">
        <f t="shared" si="23"/>
        <v>60</v>
      </c>
      <c r="J333" s="867" cm="1">
        <f t="array" ref="J333">INDEX($E:$E,MATCH($J$10,IF($B:$B=$B333,$I:$I),1))</f>
        <v>71215</v>
      </c>
    </row>
    <row r="334" spans="2:10">
      <c r="B334" s="817" t="s">
        <v>1305</v>
      </c>
      <c r="C334" s="817" t="s">
        <v>6133</v>
      </c>
      <c r="D334" s="866">
        <v>44984</v>
      </c>
      <c r="E334" s="817">
        <v>67601</v>
      </c>
      <c r="F334" s="864">
        <f t="shared" si="20"/>
        <v>2</v>
      </c>
      <c r="G334" s="864">
        <f t="shared" si="21"/>
        <v>9</v>
      </c>
      <c r="H334" s="864">
        <f t="shared" si="22"/>
        <v>2023</v>
      </c>
      <c r="I334" s="879">
        <f t="shared" si="23"/>
        <v>62</v>
      </c>
      <c r="J334" s="867" cm="1">
        <f t="array" ref="J334">INDEX($E:$E,MATCH($J$10,IF($B:$B=$B334,$I:$I),1))</f>
        <v>71215</v>
      </c>
    </row>
    <row r="335" spans="2:10">
      <c r="B335" s="817" t="s">
        <v>1305</v>
      </c>
      <c r="C335" s="817" t="s">
        <v>6133</v>
      </c>
      <c r="D335" s="863">
        <v>45004</v>
      </c>
      <c r="E335" s="817">
        <v>67601</v>
      </c>
      <c r="F335" s="864">
        <f t="shared" si="20"/>
        <v>3</v>
      </c>
      <c r="G335" s="864">
        <f t="shared" si="21"/>
        <v>12</v>
      </c>
      <c r="H335" s="864">
        <f t="shared" si="22"/>
        <v>2023</v>
      </c>
      <c r="I335" s="879">
        <f t="shared" si="23"/>
        <v>65</v>
      </c>
      <c r="J335" s="867" cm="1">
        <f t="array" ref="J335">INDEX($E:$E,MATCH($J$10,IF($B:$B=$B335,$I:$I),1))</f>
        <v>71215</v>
      </c>
    </row>
    <row r="336" spans="2:10">
      <c r="B336" s="817" t="s">
        <v>1305</v>
      </c>
      <c r="C336" s="817" t="s">
        <v>6133</v>
      </c>
      <c r="D336" s="863">
        <v>45012</v>
      </c>
      <c r="E336" s="817">
        <v>68930</v>
      </c>
      <c r="F336" s="864">
        <f t="shared" si="20"/>
        <v>3</v>
      </c>
      <c r="G336" s="864">
        <f t="shared" si="21"/>
        <v>13</v>
      </c>
      <c r="H336" s="864">
        <f t="shared" si="22"/>
        <v>2023</v>
      </c>
      <c r="I336" s="879">
        <f t="shared" si="23"/>
        <v>66</v>
      </c>
      <c r="J336" s="867" cm="1">
        <f t="array" ref="J336">INDEX($E:$E,MATCH($J$10,IF($B:$B=$B336,$I:$I),1))</f>
        <v>71215</v>
      </c>
    </row>
    <row r="337" spans="2:10">
      <c r="B337" s="817" t="s">
        <v>1305</v>
      </c>
      <c r="C337" s="817" t="s">
        <v>6133</v>
      </c>
      <c r="D337" s="863">
        <v>45019</v>
      </c>
      <c r="E337" s="817">
        <v>68930</v>
      </c>
      <c r="F337" s="864">
        <f t="shared" si="20"/>
        <v>4</v>
      </c>
      <c r="G337" s="864">
        <f t="shared" si="21"/>
        <v>14</v>
      </c>
      <c r="H337" s="864">
        <f t="shared" si="22"/>
        <v>2023</v>
      </c>
      <c r="I337" s="879">
        <f t="shared" si="23"/>
        <v>67</v>
      </c>
      <c r="J337" s="867" cm="1">
        <f t="array" ref="J337">INDEX($E:$E,MATCH($J$10,IF($B:$B=$B337,$I:$I),1))</f>
        <v>71215</v>
      </c>
    </row>
    <row r="338" spans="2:10">
      <c r="B338" s="817" t="s">
        <v>1305</v>
      </c>
      <c r="C338" s="817" t="s">
        <v>6133</v>
      </c>
      <c r="D338" s="863">
        <v>45026</v>
      </c>
      <c r="E338" s="817">
        <v>69616</v>
      </c>
      <c r="F338" s="864">
        <f t="shared" si="20"/>
        <v>4</v>
      </c>
      <c r="G338" s="864">
        <f t="shared" si="21"/>
        <v>15</v>
      </c>
      <c r="H338" s="864">
        <f t="shared" si="22"/>
        <v>2023</v>
      </c>
      <c r="I338" s="879">
        <f t="shared" si="23"/>
        <v>68</v>
      </c>
      <c r="J338" s="867" cm="1">
        <f t="array" ref="J338">INDEX($E:$E,MATCH($J$10,IF($B:$B=$B338,$I:$I),1))</f>
        <v>71215</v>
      </c>
    </row>
    <row r="339" spans="2:10">
      <c r="B339" s="817" t="s">
        <v>1305</v>
      </c>
      <c r="C339" s="817" t="s">
        <v>6133</v>
      </c>
      <c r="D339" s="863">
        <v>45061</v>
      </c>
      <c r="E339" s="817">
        <v>71215</v>
      </c>
      <c r="F339" s="864">
        <f t="shared" si="20"/>
        <v>5</v>
      </c>
      <c r="G339" s="864">
        <f t="shared" si="21"/>
        <v>20</v>
      </c>
      <c r="H339" s="864">
        <f t="shared" si="22"/>
        <v>2023</v>
      </c>
      <c r="I339" s="879">
        <f t="shared" si="23"/>
        <v>73</v>
      </c>
      <c r="J339" s="867" cm="1">
        <f t="array" ref="J339">INDEX($E:$E,MATCH($J$10,IF($B:$B=$B339,$I:$I),1))</f>
        <v>71215</v>
      </c>
    </row>
    <row r="340" spans="2:10">
      <c r="B340" s="817" t="s">
        <v>1305</v>
      </c>
      <c r="C340" s="817" t="s">
        <v>6133</v>
      </c>
      <c r="D340" s="863">
        <v>45067</v>
      </c>
      <c r="E340" s="817">
        <v>71215</v>
      </c>
      <c r="F340" s="864">
        <f t="shared" si="20"/>
        <v>5</v>
      </c>
      <c r="G340" s="864">
        <f t="shared" si="21"/>
        <v>21</v>
      </c>
      <c r="H340" s="864">
        <f t="shared" si="22"/>
        <v>2023</v>
      </c>
      <c r="I340" s="879">
        <f t="shared" si="23"/>
        <v>74</v>
      </c>
      <c r="J340" s="867" cm="1">
        <f t="array" ref="J340">INDEX($E:$E,MATCH($J$10,IF($B:$B=$B340,$I:$I),1))</f>
        <v>71215</v>
      </c>
    </row>
    <row r="341" spans="2:10">
      <c r="B341" s="817" t="s">
        <v>1305</v>
      </c>
      <c r="C341" s="817" t="s">
        <v>6133</v>
      </c>
      <c r="D341" s="863">
        <v>45082</v>
      </c>
      <c r="E341" s="817">
        <v>48592</v>
      </c>
      <c r="F341" s="864">
        <f t="shared" si="20"/>
        <v>6</v>
      </c>
      <c r="G341" s="864">
        <f t="shared" si="21"/>
        <v>23</v>
      </c>
      <c r="H341" s="864">
        <f t="shared" si="22"/>
        <v>2023</v>
      </c>
      <c r="I341" s="879">
        <f t="shared" si="23"/>
        <v>76</v>
      </c>
      <c r="J341" s="867" cm="1">
        <f t="array" ref="J341">INDEX($E:$E,MATCH($J$10,IF($B:$B=$B341,$I:$I),1))</f>
        <v>71215</v>
      </c>
    </row>
    <row r="342" spans="2:10">
      <c r="B342" s="817" t="s">
        <v>1432</v>
      </c>
      <c r="C342" s="817" t="s">
        <v>6134</v>
      </c>
      <c r="D342" s="863">
        <v>44706</v>
      </c>
      <c r="E342" s="817">
        <v>26196</v>
      </c>
      <c r="F342" s="864">
        <f t="shared" si="20"/>
        <v>5</v>
      </c>
      <c r="G342" s="864">
        <f t="shared" si="21"/>
        <v>22</v>
      </c>
      <c r="H342" s="864">
        <f t="shared" si="22"/>
        <v>2022</v>
      </c>
      <c r="I342" s="879">
        <f t="shared" si="23"/>
        <v>22</v>
      </c>
      <c r="J342" s="867" cm="1">
        <f t="array" ref="J342">INDEX($E:$E,MATCH($J$10,IF($B:$B=$B342,$I:$I),1))</f>
        <v>55602</v>
      </c>
    </row>
    <row r="343" spans="2:10">
      <c r="B343" s="817" t="s">
        <v>1432</v>
      </c>
      <c r="C343" s="817" t="s">
        <v>6134</v>
      </c>
      <c r="D343" s="866">
        <v>44721</v>
      </c>
      <c r="E343" s="817">
        <v>26629</v>
      </c>
      <c r="F343" s="864">
        <f t="shared" si="20"/>
        <v>6</v>
      </c>
      <c r="G343" s="864">
        <f t="shared" si="21"/>
        <v>24</v>
      </c>
      <c r="H343" s="864">
        <f t="shared" si="22"/>
        <v>2022</v>
      </c>
      <c r="I343" s="879">
        <f t="shared" si="23"/>
        <v>24</v>
      </c>
      <c r="J343" s="867" cm="1">
        <f t="array" ref="J343">INDEX($E:$E,MATCH($J$10,IF($B:$B=$B343,$I:$I),1))</f>
        <v>55602</v>
      </c>
    </row>
    <row r="344" spans="2:10">
      <c r="B344" s="817" t="s">
        <v>1432</v>
      </c>
      <c r="C344" s="817" t="s">
        <v>6134</v>
      </c>
      <c r="D344" s="863">
        <v>44732</v>
      </c>
      <c r="E344" s="817">
        <v>26629</v>
      </c>
      <c r="F344" s="864">
        <f t="shared" si="20"/>
        <v>6</v>
      </c>
      <c r="G344" s="864">
        <f t="shared" si="21"/>
        <v>26</v>
      </c>
      <c r="H344" s="864">
        <f t="shared" si="22"/>
        <v>2022</v>
      </c>
      <c r="I344" s="879">
        <f t="shared" si="23"/>
        <v>26</v>
      </c>
      <c r="J344" s="867" cm="1">
        <f t="array" ref="J344">INDEX($E:$E,MATCH($J$10,IF($B:$B=$B344,$I:$I),1))</f>
        <v>55602</v>
      </c>
    </row>
    <row r="345" spans="2:10">
      <c r="B345" s="817" t="s">
        <v>1432</v>
      </c>
      <c r="C345" s="817" t="s">
        <v>6134</v>
      </c>
      <c r="D345" s="866">
        <v>44738</v>
      </c>
      <c r="E345" s="817">
        <v>26629</v>
      </c>
      <c r="F345" s="864">
        <f t="shared" si="20"/>
        <v>6</v>
      </c>
      <c r="G345" s="864">
        <f t="shared" si="21"/>
        <v>27</v>
      </c>
      <c r="H345" s="864">
        <f t="shared" si="22"/>
        <v>2022</v>
      </c>
      <c r="I345" s="879">
        <f t="shared" si="23"/>
        <v>27</v>
      </c>
      <c r="J345" s="867" cm="1">
        <f t="array" ref="J345">INDEX($E:$E,MATCH($J$10,IF($B:$B=$B345,$I:$I),1))</f>
        <v>55602</v>
      </c>
    </row>
    <row r="346" spans="2:10">
      <c r="B346" s="817" t="s">
        <v>1432</v>
      </c>
      <c r="C346" s="817" t="s">
        <v>6134</v>
      </c>
      <c r="D346" s="863">
        <v>44745</v>
      </c>
      <c r="E346" s="817">
        <v>30955</v>
      </c>
      <c r="F346" s="864">
        <f t="shared" si="20"/>
        <v>7</v>
      </c>
      <c r="G346" s="864">
        <f t="shared" si="21"/>
        <v>28</v>
      </c>
      <c r="H346" s="864">
        <f t="shared" si="22"/>
        <v>2022</v>
      </c>
      <c r="I346" s="879">
        <f t="shared" si="23"/>
        <v>28</v>
      </c>
      <c r="J346" s="867" cm="1">
        <f t="array" ref="J346">INDEX($E:$E,MATCH($J$10,IF($B:$B=$B346,$I:$I),1))</f>
        <v>55602</v>
      </c>
    </row>
    <row r="347" spans="2:10">
      <c r="B347" s="817" t="s">
        <v>1432</v>
      </c>
      <c r="C347" s="817" t="s">
        <v>6134</v>
      </c>
      <c r="D347" s="866">
        <v>44754</v>
      </c>
      <c r="E347" s="817">
        <v>30372</v>
      </c>
      <c r="F347" s="864">
        <f t="shared" si="20"/>
        <v>7</v>
      </c>
      <c r="G347" s="864">
        <f t="shared" si="21"/>
        <v>29</v>
      </c>
      <c r="H347" s="864">
        <f t="shared" si="22"/>
        <v>2022</v>
      </c>
      <c r="I347" s="879">
        <f t="shared" si="23"/>
        <v>29</v>
      </c>
      <c r="J347" s="867" cm="1">
        <f t="array" ref="J347">INDEX($E:$E,MATCH($J$10,IF($B:$B=$B347,$I:$I),1))</f>
        <v>55602</v>
      </c>
    </row>
    <row r="348" spans="2:10">
      <c r="B348" s="817" t="s">
        <v>1432</v>
      </c>
      <c r="C348" s="817" t="s">
        <v>6134</v>
      </c>
      <c r="D348" s="863">
        <v>44761</v>
      </c>
      <c r="E348" s="817">
        <v>30372</v>
      </c>
      <c r="F348" s="864">
        <f t="shared" si="20"/>
        <v>7</v>
      </c>
      <c r="G348" s="864">
        <f t="shared" si="21"/>
        <v>30</v>
      </c>
      <c r="H348" s="864">
        <f t="shared" si="22"/>
        <v>2022</v>
      </c>
      <c r="I348" s="879">
        <f t="shared" si="23"/>
        <v>30</v>
      </c>
      <c r="J348" s="867" cm="1">
        <f t="array" ref="J348">INDEX($E:$E,MATCH($J$10,IF($B:$B=$B348,$I:$I),1))</f>
        <v>55602</v>
      </c>
    </row>
    <row r="349" spans="2:10">
      <c r="B349" s="817" t="s">
        <v>1432</v>
      </c>
      <c r="C349" s="817" t="s">
        <v>6134</v>
      </c>
      <c r="D349" s="866">
        <v>44768</v>
      </c>
      <c r="E349" s="817">
        <v>30372</v>
      </c>
      <c r="F349" s="864">
        <f t="shared" si="20"/>
        <v>7</v>
      </c>
      <c r="G349" s="864">
        <f t="shared" si="21"/>
        <v>31</v>
      </c>
      <c r="H349" s="864">
        <f t="shared" si="22"/>
        <v>2022</v>
      </c>
      <c r="I349" s="879">
        <f t="shared" si="23"/>
        <v>31</v>
      </c>
      <c r="J349" s="867" cm="1">
        <f t="array" ref="J349">INDEX($E:$E,MATCH($J$10,IF($B:$B=$B349,$I:$I),1))</f>
        <v>55602</v>
      </c>
    </row>
    <row r="350" spans="2:10">
      <c r="B350" s="817" t="s">
        <v>1432</v>
      </c>
      <c r="C350" s="817" t="s">
        <v>6134</v>
      </c>
      <c r="D350" s="863">
        <v>44775</v>
      </c>
      <c r="E350" s="817">
        <v>30372</v>
      </c>
      <c r="F350" s="864">
        <f t="shared" si="20"/>
        <v>8</v>
      </c>
      <c r="G350" s="864">
        <f t="shared" si="21"/>
        <v>32</v>
      </c>
      <c r="H350" s="864">
        <f t="shared" si="22"/>
        <v>2022</v>
      </c>
      <c r="I350" s="879">
        <f t="shared" si="23"/>
        <v>32</v>
      </c>
      <c r="J350" s="867" cm="1">
        <f t="array" ref="J350">INDEX($E:$E,MATCH($J$10,IF($B:$B=$B350,$I:$I),1))</f>
        <v>55602</v>
      </c>
    </row>
    <row r="351" spans="2:10">
      <c r="B351" s="817" t="s">
        <v>1432</v>
      </c>
      <c r="C351" s="817" t="s">
        <v>6134</v>
      </c>
      <c r="D351" s="866">
        <v>44782</v>
      </c>
      <c r="E351" s="817">
        <v>30372</v>
      </c>
      <c r="F351" s="864">
        <f t="shared" si="20"/>
        <v>8</v>
      </c>
      <c r="G351" s="864">
        <f t="shared" si="21"/>
        <v>33</v>
      </c>
      <c r="H351" s="864">
        <f t="shared" si="22"/>
        <v>2022</v>
      </c>
      <c r="I351" s="879">
        <f t="shared" si="23"/>
        <v>33</v>
      </c>
      <c r="J351" s="867" cm="1">
        <f t="array" ref="J351">INDEX($E:$E,MATCH($J$10,IF($B:$B=$B351,$I:$I),1))</f>
        <v>55602</v>
      </c>
    </row>
    <row r="352" spans="2:10">
      <c r="B352" s="817" t="s">
        <v>1432</v>
      </c>
      <c r="C352" s="817" t="s">
        <v>6134</v>
      </c>
      <c r="D352" s="863">
        <v>44789</v>
      </c>
      <c r="E352" s="817">
        <v>35240</v>
      </c>
      <c r="F352" s="864">
        <f t="shared" si="20"/>
        <v>8</v>
      </c>
      <c r="G352" s="864">
        <f t="shared" si="21"/>
        <v>34</v>
      </c>
      <c r="H352" s="864">
        <f t="shared" si="22"/>
        <v>2022</v>
      </c>
      <c r="I352" s="879">
        <f t="shared" si="23"/>
        <v>34</v>
      </c>
      <c r="J352" s="867" cm="1">
        <f t="array" ref="J352">INDEX($E:$E,MATCH($J$10,IF($B:$B=$B352,$I:$I),1))</f>
        <v>55602</v>
      </c>
    </row>
    <row r="353" spans="2:10">
      <c r="B353" s="817" t="s">
        <v>1432</v>
      </c>
      <c r="C353" s="817" t="s">
        <v>6134</v>
      </c>
      <c r="D353" s="866">
        <v>44794</v>
      </c>
      <c r="E353" s="817">
        <v>36652</v>
      </c>
      <c r="F353" s="864">
        <f t="shared" si="20"/>
        <v>8</v>
      </c>
      <c r="G353" s="864">
        <f t="shared" si="21"/>
        <v>35</v>
      </c>
      <c r="H353" s="864">
        <f t="shared" si="22"/>
        <v>2022</v>
      </c>
      <c r="I353" s="879">
        <f t="shared" si="23"/>
        <v>35</v>
      </c>
      <c r="J353" s="867" cm="1">
        <f t="array" ref="J353">INDEX($E:$E,MATCH($J$10,IF($B:$B=$B353,$I:$I),1))</f>
        <v>55602</v>
      </c>
    </row>
    <row r="354" spans="2:10">
      <c r="B354" s="817" t="s">
        <v>1432</v>
      </c>
      <c r="C354" s="817" t="s">
        <v>6134</v>
      </c>
      <c r="D354" s="863">
        <v>44810</v>
      </c>
      <c r="E354" s="817">
        <v>36866</v>
      </c>
      <c r="F354" s="864">
        <f t="shared" si="20"/>
        <v>9</v>
      </c>
      <c r="G354" s="864">
        <f t="shared" si="21"/>
        <v>37</v>
      </c>
      <c r="H354" s="864">
        <f t="shared" si="22"/>
        <v>2022</v>
      </c>
      <c r="I354" s="879">
        <f t="shared" si="23"/>
        <v>37</v>
      </c>
      <c r="J354" s="867" cm="1">
        <f t="array" ref="J354">INDEX($E:$E,MATCH($J$10,IF($B:$B=$B354,$I:$I),1))</f>
        <v>55602</v>
      </c>
    </row>
    <row r="355" spans="2:10">
      <c r="B355" s="817" t="s">
        <v>1432</v>
      </c>
      <c r="C355" s="817" t="s">
        <v>6134</v>
      </c>
      <c r="D355" s="866">
        <v>44817</v>
      </c>
      <c r="E355" s="817">
        <v>38588</v>
      </c>
      <c r="F355" s="864">
        <f t="shared" si="20"/>
        <v>9</v>
      </c>
      <c r="G355" s="864">
        <f t="shared" si="21"/>
        <v>38</v>
      </c>
      <c r="H355" s="864">
        <f t="shared" si="22"/>
        <v>2022</v>
      </c>
      <c r="I355" s="879">
        <f t="shared" si="23"/>
        <v>38</v>
      </c>
      <c r="J355" s="867" cm="1">
        <f t="array" ref="J355">INDEX($E:$E,MATCH($J$10,IF($B:$B=$B355,$I:$I),1))</f>
        <v>55602</v>
      </c>
    </row>
    <row r="356" spans="2:10">
      <c r="B356" s="817" t="s">
        <v>1432</v>
      </c>
      <c r="C356" s="817" t="s">
        <v>6134</v>
      </c>
      <c r="D356" s="863">
        <v>44822</v>
      </c>
      <c r="E356" s="817">
        <v>38588</v>
      </c>
      <c r="F356" s="864">
        <f t="shared" si="20"/>
        <v>9</v>
      </c>
      <c r="G356" s="864">
        <f t="shared" si="21"/>
        <v>39</v>
      </c>
      <c r="H356" s="864">
        <f t="shared" si="22"/>
        <v>2022</v>
      </c>
      <c r="I356" s="879">
        <f t="shared" si="23"/>
        <v>39</v>
      </c>
      <c r="J356" s="867" cm="1">
        <f t="array" ref="J356">INDEX($E:$E,MATCH($J$10,IF($B:$B=$B356,$I:$I),1))</f>
        <v>55602</v>
      </c>
    </row>
    <row r="357" spans="2:10">
      <c r="B357" s="817" t="s">
        <v>1432</v>
      </c>
      <c r="C357" s="817" t="s">
        <v>6134</v>
      </c>
      <c r="D357" s="866">
        <v>44829</v>
      </c>
      <c r="E357" s="817">
        <v>38588</v>
      </c>
      <c r="F357" s="864">
        <f t="shared" si="20"/>
        <v>9</v>
      </c>
      <c r="G357" s="864">
        <f t="shared" si="21"/>
        <v>40</v>
      </c>
      <c r="H357" s="864">
        <f t="shared" si="22"/>
        <v>2022</v>
      </c>
      <c r="I357" s="879">
        <f t="shared" si="23"/>
        <v>40</v>
      </c>
      <c r="J357" s="867" cm="1">
        <f t="array" ref="J357">INDEX($E:$E,MATCH($J$10,IF($B:$B=$B357,$I:$I),1))</f>
        <v>55602</v>
      </c>
    </row>
    <row r="358" spans="2:10">
      <c r="B358" s="817" t="s">
        <v>1432</v>
      </c>
      <c r="C358" s="817" t="s">
        <v>6134</v>
      </c>
      <c r="D358" s="863">
        <v>44836</v>
      </c>
      <c r="E358" s="817">
        <v>39083</v>
      </c>
      <c r="F358" s="864">
        <f t="shared" si="20"/>
        <v>10</v>
      </c>
      <c r="G358" s="864">
        <f t="shared" si="21"/>
        <v>41</v>
      </c>
      <c r="H358" s="864">
        <f t="shared" si="22"/>
        <v>2022</v>
      </c>
      <c r="I358" s="879">
        <f t="shared" si="23"/>
        <v>41</v>
      </c>
      <c r="J358" s="867" cm="1">
        <f t="array" ref="J358">INDEX($E:$E,MATCH($J$10,IF($B:$B=$B358,$I:$I),1))</f>
        <v>55602</v>
      </c>
    </row>
    <row r="359" spans="2:10">
      <c r="B359" s="817" t="s">
        <v>1432</v>
      </c>
      <c r="C359" s="817" t="s">
        <v>6134</v>
      </c>
      <c r="D359" s="866">
        <v>44843</v>
      </c>
      <c r="E359" s="817">
        <v>38588</v>
      </c>
      <c r="F359" s="864">
        <f t="shared" si="20"/>
        <v>10</v>
      </c>
      <c r="G359" s="864">
        <f t="shared" si="21"/>
        <v>42</v>
      </c>
      <c r="H359" s="864">
        <f t="shared" si="22"/>
        <v>2022</v>
      </c>
      <c r="I359" s="879">
        <f t="shared" si="23"/>
        <v>42</v>
      </c>
      <c r="J359" s="867" cm="1">
        <f t="array" ref="J359">INDEX($E:$E,MATCH($J$10,IF($B:$B=$B359,$I:$I),1))</f>
        <v>55602</v>
      </c>
    </row>
    <row r="360" spans="2:10">
      <c r="B360" s="817" t="s">
        <v>1432</v>
      </c>
      <c r="C360" s="817" t="s">
        <v>6134</v>
      </c>
      <c r="D360" s="863">
        <v>44850</v>
      </c>
      <c r="E360" s="817">
        <v>38588</v>
      </c>
      <c r="F360" s="864">
        <f t="shared" si="20"/>
        <v>10</v>
      </c>
      <c r="G360" s="864">
        <f t="shared" si="21"/>
        <v>43</v>
      </c>
      <c r="H360" s="864">
        <f t="shared" si="22"/>
        <v>2022</v>
      </c>
      <c r="I360" s="879">
        <f t="shared" si="23"/>
        <v>43</v>
      </c>
      <c r="J360" s="867" cm="1">
        <f t="array" ref="J360">INDEX($E:$E,MATCH($J$10,IF($B:$B=$B360,$I:$I),1))</f>
        <v>55602</v>
      </c>
    </row>
    <row r="361" spans="2:10">
      <c r="B361" s="817" t="s">
        <v>1432</v>
      </c>
      <c r="C361" s="817" t="s">
        <v>6134</v>
      </c>
      <c r="D361" s="866">
        <v>44859</v>
      </c>
      <c r="E361" s="817">
        <v>38588</v>
      </c>
      <c r="F361" s="864">
        <f t="shared" si="20"/>
        <v>10</v>
      </c>
      <c r="G361" s="864">
        <f t="shared" si="21"/>
        <v>44</v>
      </c>
      <c r="H361" s="864">
        <f t="shared" si="22"/>
        <v>2022</v>
      </c>
      <c r="I361" s="879">
        <f t="shared" si="23"/>
        <v>44</v>
      </c>
      <c r="J361" s="867" cm="1">
        <f t="array" ref="J361">INDEX($E:$E,MATCH($J$10,IF($B:$B=$B361,$I:$I),1))</f>
        <v>55602</v>
      </c>
    </row>
    <row r="362" spans="2:10">
      <c r="B362" s="817" t="s">
        <v>1432</v>
      </c>
      <c r="C362" s="817" t="s">
        <v>6134</v>
      </c>
      <c r="D362" s="863">
        <v>44860</v>
      </c>
      <c r="E362" s="817">
        <v>38588</v>
      </c>
      <c r="F362" s="864">
        <f t="shared" si="20"/>
        <v>10</v>
      </c>
      <c r="G362" s="864">
        <f t="shared" si="21"/>
        <v>44</v>
      </c>
      <c r="H362" s="864">
        <f t="shared" si="22"/>
        <v>2022</v>
      </c>
      <c r="I362" s="879">
        <f t="shared" si="23"/>
        <v>44</v>
      </c>
      <c r="J362" s="867" cm="1">
        <f t="array" ref="J362">INDEX($E:$E,MATCH($J$10,IF($B:$B=$B362,$I:$I),1))</f>
        <v>55602</v>
      </c>
    </row>
    <row r="363" spans="2:10">
      <c r="B363" s="817" t="s">
        <v>1432</v>
      </c>
      <c r="C363" s="817" t="s">
        <v>6134</v>
      </c>
      <c r="D363" s="866">
        <v>44873</v>
      </c>
      <c r="E363" s="817">
        <v>38588</v>
      </c>
      <c r="F363" s="864">
        <f t="shared" si="20"/>
        <v>11</v>
      </c>
      <c r="G363" s="864">
        <f t="shared" si="21"/>
        <v>46</v>
      </c>
      <c r="H363" s="864">
        <f t="shared" si="22"/>
        <v>2022</v>
      </c>
      <c r="I363" s="879">
        <f t="shared" si="23"/>
        <v>46</v>
      </c>
      <c r="J363" s="867" cm="1">
        <f t="array" ref="J363">INDEX($E:$E,MATCH($J$10,IF($B:$B=$B363,$I:$I),1))</f>
        <v>55602</v>
      </c>
    </row>
    <row r="364" spans="2:10">
      <c r="B364" s="817" t="s">
        <v>1432</v>
      </c>
      <c r="C364" s="817" t="s">
        <v>6134</v>
      </c>
      <c r="D364" s="863">
        <v>44880</v>
      </c>
      <c r="E364" s="817">
        <v>38588</v>
      </c>
      <c r="F364" s="864">
        <f t="shared" si="20"/>
        <v>11</v>
      </c>
      <c r="G364" s="864">
        <f t="shared" si="21"/>
        <v>47</v>
      </c>
      <c r="H364" s="864">
        <f t="shared" si="22"/>
        <v>2022</v>
      </c>
      <c r="I364" s="879">
        <f t="shared" si="23"/>
        <v>47</v>
      </c>
      <c r="J364" s="867" cm="1">
        <f t="array" ref="J364">INDEX($E:$E,MATCH($J$10,IF($B:$B=$B364,$I:$I),1))</f>
        <v>55602</v>
      </c>
    </row>
    <row r="365" spans="2:10">
      <c r="B365" s="817" t="s">
        <v>1432</v>
      </c>
      <c r="C365" s="817" t="s">
        <v>6134</v>
      </c>
      <c r="D365" s="866">
        <v>44901</v>
      </c>
      <c r="E365" s="817">
        <v>47067</v>
      </c>
      <c r="F365" s="864">
        <f t="shared" si="20"/>
        <v>12</v>
      </c>
      <c r="G365" s="864">
        <f t="shared" si="21"/>
        <v>50</v>
      </c>
      <c r="H365" s="864">
        <f t="shared" si="22"/>
        <v>2022</v>
      </c>
      <c r="I365" s="879">
        <f t="shared" si="23"/>
        <v>50</v>
      </c>
      <c r="J365" s="867" cm="1">
        <f t="array" ref="J365">INDEX($E:$E,MATCH($J$10,IF($B:$B=$B365,$I:$I),1))</f>
        <v>55602</v>
      </c>
    </row>
    <row r="366" spans="2:10">
      <c r="B366" s="817" t="s">
        <v>1432</v>
      </c>
      <c r="C366" s="817" t="s">
        <v>6134</v>
      </c>
      <c r="D366" s="863">
        <v>44915</v>
      </c>
      <c r="E366" s="817">
        <v>47067</v>
      </c>
      <c r="F366" s="864">
        <f t="shared" si="20"/>
        <v>12</v>
      </c>
      <c r="G366" s="864">
        <f t="shared" si="21"/>
        <v>52</v>
      </c>
      <c r="H366" s="864">
        <f t="shared" si="22"/>
        <v>2022</v>
      </c>
      <c r="I366" s="879">
        <f t="shared" si="23"/>
        <v>52</v>
      </c>
      <c r="J366" s="867" cm="1">
        <f t="array" ref="J366">INDEX($E:$E,MATCH($J$10,IF($B:$B=$B366,$I:$I),1))</f>
        <v>55602</v>
      </c>
    </row>
    <row r="367" spans="2:10">
      <c r="B367" s="817" t="s">
        <v>1432</v>
      </c>
      <c r="C367" s="817" t="s">
        <v>6134</v>
      </c>
      <c r="D367" s="866">
        <v>44922</v>
      </c>
      <c r="E367" s="817">
        <v>47111</v>
      </c>
      <c r="F367" s="864">
        <f t="shared" si="20"/>
        <v>12</v>
      </c>
      <c r="G367" s="864">
        <f t="shared" si="21"/>
        <v>53</v>
      </c>
      <c r="H367" s="864">
        <f t="shared" si="22"/>
        <v>2022</v>
      </c>
      <c r="I367" s="879">
        <f t="shared" si="23"/>
        <v>53</v>
      </c>
      <c r="J367" s="867" cm="1">
        <f t="array" ref="J367">INDEX($E:$E,MATCH($J$10,IF($B:$B=$B367,$I:$I),1))</f>
        <v>55602</v>
      </c>
    </row>
    <row r="368" spans="2:10">
      <c r="B368" s="817" t="s">
        <v>1432</v>
      </c>
      <c r="C368" s="817" t="s">
        <v>6134</v>
      </c>
      <c r="D368" s="863">
        <v>44923</v>
      </c>
      <c r="E368" s="817">
        <v>47138</v>
      </c>
      <c r="F368" s="864">
        <f t="shared" si="20"/>
        <v>12</v>
      </c>
      <c r="G368" s="864">
        <f t="shared" si="21"/>
        <v>53</v>
      </c>
      <c r="H368" s="864">
        <f t="shared" si="22"/>
        <v>2022</v>
      </c>
      <c r="I368" s="879">
        <f t="shared" si="23"/>
        <v>53</v>
      </c>
      <c r="J368" s="867" cm="1">
        <f t="array" ref="J368">INDEX($E:$E,MATCH($J$10,IF($B:$B=$B368,$I:$I),1))</f>
        <v>55602</v>
      </c>
    </row>
    <row r="369" spans="2:10">
      <c r="B369" s="817" t="s">
        <v>1432</v>
      </c>
      <c r="C369" s="817" t="s">
        <v>6134</v>
      </c>
      <c r="D369" s="866">
        <v>44935</v>
      </c>
      <c r="E369" s="817">
        <v>47067</v>
      </c>
      <c r="F369" s="864">
        <f t="shared" si="20"/>
        <v>1</v>
      </c>
      <c r="G369" s="864">
        <f t="shared" si="21"/>
        <v>2</v>
      </c>
      <c r="H369" s="864">
        <f t="shared" si="22"/>
        <v>2023</v>
      </c>
      <c r="I369" s="879">
        <f t="shared" si="23"/>
        <v>55</v>
      </c>
      <c r="J369" s="867" cm="1">
        <f t="array" ref="J369">INDEX($E:$E,MATCH($J$10,IF($B:$B=$B369,$I:$I),1))</f>
        <v>55602</v>
      </c>
    </row>
    <row r="370" spans="2:10">
      <c r="B370" s="817" t="s">
        <v>1432</v>
      </c>
      <c r="C370" s="817" t="s">
        <v>6134</v>
      </c>
      <c r="D370" s="863">
        <v>44942</v>
      </c>
      <c r="E370" s="817">
        <v>47067</v>
      </c>
      <c r="F370" s="864">
        <f t="shared" si="20"/>
        <v>1</v>
      </c>
      <c r="G370" s="864">
        <f t="shared" si="21"/>
        <v>3</v>
      </c>
      <c r="H370" s="864">
        <f t="shared" si="22"/>
        <v>2023</v>
      </c>
      <c r="I370" s="879">
        <f t="shared" si="23"/>
        <v>56</v>
      </c>
      <c r="J370" s="867" cm="1">
        <f t="array" ref="J370">INDEX($E:$E,MATCH($J$10,IF($B:$B=$B370,$I:$I),1))</f>
        <v>55602</v>
      </c>
    </row>
    <row r="371" spans="2:10">
      <c r="B371" s="817" t="s">
        <v>1432</v>
      </c>
      <c r="C371" s="817" t="s">
        <v>6134</v>
      </c>
      <c r="D371" s="866">
        <v>44949</v>
      </c>
      <c r="E371" s="817">
        <v>47067</v>
      </c>
      <c r="F371" s="864">
        <f t="shared" si="20"/>
        <v>1</v>
      </c>
      <c r="G371" s="864">
        <f t="shared" si="21"/>
        <v>4</v>
      </c>
      <c r="H371" s="864">
        <f t="shared" si="22"/>
        <v>2023</v>
      </c>
      <c r="I371" s="879">
        <f t="shared" si="23"/>
        <v>57</v>
      </c>
      <c r="J371" s="867" cm="1">
        <f t="array" ref="J371">INDEX($E:$E,MATCH($J$10,IF($B:$B=$B371,$I:$I),1))</f>
        <v>55602</v>
      </c>
    </row>
    <row r="372" spans="2:10">
      <c r="B372" s="817" t="s">
        <v>1432</v>
      </c>
      <c r="C372" s="817" t="s">
        <v>6134</v>
      </c>
      <c r="D372" s="863">
        <v>44956</v>
      </c>
      <c r="E372" s="817">
        <v>47067</v>
      </c>
      <c r="F372" s="864">
        <f t="shared" si="20"/>
        <v>1</v>
      </c>
      <c r="G372" s="864">
        <f t="shared" si="21"/>
        <v>5</v>
      </c>
      <c r="H372" s="864">
        <f t="shared" si="22"/>
        <v>2023</v>
      </c>
      <c r="I372" s="879">
        <f t="shared" si="23"/>
        <v>58</v>
      </c>
      <c r="J372" s="867" cm="1">
        <f t="array" ref="J372">INDEX($E:$E,MATCH($J$10,IF($B:$B=$B372,$I:$I),1))</f>
        <v>55602</v>
      </c>
    </row>
    <row r="373" spans="2:10">
      <c r="B373" s="817" t="s">
        <v>1432</v>
      </c>
      <c r="C373" s="817" t="s">
        <v>6134</v>
      </c>
      <c r="D373" s="866">
        <v>44963</v>
      </c>
      <c r="E373" s="817">
        <v>47067</v>
      </c>
      <c r="F373" s="864">
        <f t="shared" si="20"/>
        <v>2</v>
      </c>
      <c r="G373" s="864">
        <f t="shared" si="21"/>
        <v>6</v>
      </c>
      <c r="H373" s="864">
        <f t="shared" si="22"/>
        <v>2023</v>
      </c>
      <c r="I373" s="879">
        <f t="shared" si="23"/>
        <v>59</v>
      </c>
      <c r="J373" s="867" cm="1">
        <f t="array" ref="J373">INDEX($E:$E,MATCH($J$10,IF($B:$B=$B373,$I:$I),1))</f>
        <v>55602</v>
      </c>
    </row>
    <row r="374" spans="2:10">
      <c r="B374" s="817" t="s">
        <v>1432</v>
      </c>
      <c r="C374" s="817" t="s">
        <v>6134</v>
      </c>
      <c r="D374" s="863">
        <v>44977</v>
      </c>
      <c r="E374" s="817">
        <v>47067</v>
      </c>
      <c r="F374" s="864">
        <f t="shared" si="20"/>
        <v>2</v>
      </c>
      <c r="G374" s="864">
        <f t="shared" si="21"/>
        <v>8</v>
      </c>
      <c r="H374" s="864">
        <f t="shared" si="22"/>
        <v>2023</v>
      </c>
      <c r="I374" s="879">
        <f t="shared" si="23"/>
        <v>61</v>
      </c>
      <c r="J374" s="867" cm="1">
        <f t="array" ref="J374">INDEX($E:$E,MATCH($J$10,IF($B:$B=$B374,$I:$I),1))</f>
        <v>55602</v>
      </c>
    </row>
    <row r="375" spans="2:10">
      <c r="B375" s="817" t="s">
        <v>1432</v>
      </c>
      <c r="C375" s="817" t="s">
        <v>6134</v>
      </c>
      <c r="D375" s="863">
        <v>45006</v>
      </c>
      <c r="E375" s="817">
        <v>47067</v>
      </c>
      <c r="F375" s="864">
        <f t="shared" si="20"/>
        <v>3</v>
      </c>
      <c r="G375" s="864">
        <f t="shared" si="21"/>
        <v>12</v>
      </c>
      <c r="H375" s="864">
        <f t="shared" si="22"/>
        <v>2023</v>
      </c>
      <c r="I375" s="879">
        <f t="shared" si="23"/>
        <v>65</v>
      </c>
      <c r="J375" s="867" cm="1">
        <f t="array" ref="J375">INDEX($E:$E,MATCH($J$10,IF($B:$B=$B375,$I:$I),1))</f>
        <v>55602</v>
      </c>
    </row>
    <row r="376" spans="2:10">
      <c r="B376" s="817" t="s">
        <v>1432</v>
      </c>
      <c r="C376" s="817" t="s">
        <v>6134</v>
      </c>
      <c r="D376" s="863">
        <v>45012</v>
      </c>
      <c r="E376" s="817">
        <v>47067</v>
      </c>
      <c r="F376" s="864">
        <f t="shared" si="20"/>
        <v>3</v>
      </c>
      <c r="G376" s="864">
        <f t="shared" si="21"/>
        <v>13</v>
      </c>
      <c r="H376" s="864">
        <f t="shared" si="22"/>
        <v>2023</v>
      </c>
      <c r="I376" s="879">
        <f t="shared" si="23"/>
        <v>66</v>
      </c>
      <c r="J376" s="867" cm="1">
        <f t="array" ref="J376">INDEX($E:$E,MATCH($J$10,IF($B:$B=$B376,$I:$I),1))</f>
        <v>55602</v>
      </c>
    </row>
    <row r="377" spans="2:10">
      <c r="B377" s="817" t="s">
        <v>1432</v>
      </c>
      <c r="C377" s="817" t="s">
        <v>6134</v>
      </c>
      <c r="D377" s="863">
        <v>45026</v>
      </c>
      <c r="E377" s="817">
        <v>47067</v>
      </c>
      <c r="F377" s="864">
        <f t="shared" si="20"/>
        <v>4</v>
      </c>
      <c r="G377" s="864">
        <f t="shared" si="21"/>
        <v>15</v>
      </c>
      <c r="H377" s="864">
        <f t="shared" si="22"/>
        <v>2023</v>
      </c>
      <c r="I377" s="879">
        <f t="shared" si="23"/>
        <v>68</v>
      </c>
      <c r="J377" s="867" cm="1">
        <f t="array" ref="J377">INDEX($E:$E,MATCH($J$10,IF($B:$B=$B377,$I:$I),1))</f>
        <v>55602</v>
      </c>
    </row>
    <row r="378" spans="2:10">
      <c r="B378" s="817" t="s">
        <v>1432</v>
      </c>
      <c r="C378" s="817" t="s">
        <v>6134</v>
      </c>
      <c r="D378" s="863">
        <v>45069</v>
      </c>
      <c r="E378" s="817">
        <v>55602</v>
      </c>
      <c r="F378" s="864">
        <f t="shared" si="20"/>
        <v>5</v>
      </c>
      <c r="G378" s="864">
        <f t="shared" si="21"/>
        <v>21</v>
      </c>
      <c r="H378" s="864">
        <f t="shared" si="22"/>
        <v>2023</v>
      </c>
      <c r="I378" s="879">
        <f t="shared" si="23"/>
        <v>74</v>
      </c>
      <c r="J378" s="867" cm="1">
        <f t="array" ref="J378">INDEX($E:$E,MATCH($J$10,IF($B:$B=$B378,$I:$I),1))</f>
        <v>55602</v>
      </c>
    </row>
    <row r="379" spans="2:10">
      <c r="B379" s="817" t="s">
        <v>1523</v>
      </c>
      <c r="C379" s="817" t="s">
        <v>6135</v>
      </c>
      <c r="D379" s="866">
        <v>44678</v>
      </c>
      <c r="E379" s="817">
        <v>43300</v>
      </c>
      <c r="F379" s="864">
        <f t="shared" si="20"/>
        <v>4</v>
      </c>
      <c r="G379" s="864">
        <f t="shared" si="21"/>
        <v>18</v>
      </c>
      <c r="H379" s="864">
        <f t="shared" si="22"/>
        <v>2022</v>
      </c>
      <c r="I379" s="879">
        <f t="shared" si="23"/>
        <v>18</v>
      </c>
      <c r="J379" s="867" cm="1">
        <f t="array" ref="J379">INDEX($E:$E,MATCH($J$10,IF($B:$B=$B379,$I:$I),1))</f>
        <v>118994</v>
      </c>
    </row>
    <row r="380" spans="2:10">
      <c r="B380" s="817" t="s">
        <v>1523</v>
      </c>
      <c r="C380" s="817" t="s">
        <v>6135</v>
      </c>
      <c r="D380" s="863">
        <v>44725</v>
      </c>
      <c r="E380" s="817">
        <v>87972</v>
      </c>
      <c r="F380" s="864">
        <f t="shared" si="20"/>
        <v>6</v>
      </c>
      <c r="G380" s="864">
        <f t="shared" si="21"/>
        <v>25</v>
      </c>
      <c r="H380" s="864">
        <f t="shared" si="22"/>
        <v>2022</v>
      </c>
      <c r="I380" s="879">
        <f t="shared" si="23"/>
        <v>25</v>
      </c>
      <c r="J380" s="867" cm="1">
        <f t="array" ref="J380">INDEX($E:$E,MATCH($J$10,IF($B:$B=$B380,$I:$I),1))</f>
        <v>118994</v>
      </c>
    </row>
    <row r="381" spans="2:10">
      <c r="B381" s="817" t="s">
        <v>1523</v>
      </c>
      <c r="C381" s="817" t="s">
        <v>6135</v>
      </c>
      <c r="D381" s="866">
        <v>44746</v>
      </c>
      <c r="E381" s="817">
        <v>92156</v>
      </c>
      <c r="F381" s="864">
        <f t="shared" si="20"/>
        <v>7</v>
      </c>
      <c r="G381" s="864">
        <f t="shared" si="21"/>
        <v>28</v>
      </c>
      <c r="H381" s="864">
        <f t="shared" si="22"/>
        <v>2022</v>
      </c>
      <c r="I381" s="879">
        <f t="shared" si="23"/>
        <v>28</v>
      </c>
      <c r="J381" s="867" cm="1">
        <f t="array" ref="J381">INDEX($E:$E,MATCH($J$10,IF($B:$B=$B381,$I:$I),1))</f>
        <v>118994</v>
      </c>
    </row>
    <row r="382" spans="2:10">
      <c r="B382" s="817" t="s">
        <v>1523</v>
      </c>
      <c r="C382" s="817" t="s">
        <v>6135</v>
      </c>
      <c r="D382" s="863">
        <v>44760</v>
      </c>
      <c r="E382" s="817">
        <v>92156</v>
      </c>
      <c r="F382" s="864">
        <f t="shared" si="20"/>
        <v>7</v>
      </c>
      <c r="G382" s="864">
        <f t="shared" si="21"/>
        <v>30</v>
      </c>
      <c r="H382" s="864">
        <f t="shared" si="22"/>
        <v>2022</v>
      </c>
      <c r="I382" s="879">
        <f t="shared" si="23"/>
        <v>30</v>
      </c>
      <c r="J382" s="867" cm="1">
        <f t="array" ref="J382">INDEX($E:$E,MATCH($J$10,IF($B:$B=$B382,$I:$I),1))</f>
        <v>118994</v>
      </c>
    </row>
    <row r="383" spans="2:10">
      <c r="B383" s="817" t="s">
        <v>1523</v>
      </c>
      <c r="C383" s="817" t="s">
        <v>6135</v>
      </c>
      <c r="D383" s="866">
        <v>44782</v>
      </c>
      <c r="E383" s="817">
        <v>96520</v>
      </c>
      <c r="F383" s="864">
        <f t="shared" si="20"/>
        <v>8</v>
      </c>
      <c r="G383" s="864">
        <f t="shared" si="21"/>
        <v>33</v>
      </c>
      <c r="H383" s="864">
        <f t="shared" si="22"/>
        <v>2022</v>
      </c>
      <c r="I383" s="879">
        <f t="shared" si="23"/>
        <v>33</v>
      </c>
      <c r="J383" s="867" cm="1">
        <f t="array" ref="J383">INDEX($E:$E,MATCH($J$10,IF($B:$B=$B383,$I:$I),1))</f>
        <v>118994</v>
      </c>
    </row>
    <row r="384" spans="2:10">
      <c r="B384" s="817" t="s">
        <v>1523</v>
      </c>
      <c r="C384" s="817" t="s">
        <v>6135</v>
      </c>
      <c r="D384" s="863">
        <v>44802</v>
      </c>
      <c r="E384" s="817">
        <v>101369</v>
      </c>
      <c r="F384" s="864">
        <f t="shared" si="20"/>
        <v>8</v>
      </c>
      <c r="G384" s="864">
        <f t="shared" si="21"/>
        <v>36</v>
      </c>
      <c r="H384" s="864">
        <f t="shared" si="22"/>
        <v>2022</v>
      </c>
      <c r="I384" s="879">
        <f t="shared" si="23"/>
        <v>36</v>
      </c>
      <c r="J384" s="867" cm="1">
        <f t="array" ref="J384">INDEX($E:$E,MATCH($J$10,IF($B:$B=$B384,$I:$I),1))</f>
        <v>118994</v>
      </c>
    </row>
    <row r="385" spans="2:10">
      <c r="B385" s="817" t="s">
        <v>1523</v>
      </c>
      <c r="C385" s="817" t="s">
        <v>6135</v>
      </c>
      <c r="D385" s="866">
        <v>44830</v>
      </c>
      <c r="E385" s="817">
        <v>105000</v>
      </c>
      <c r="F385" s="864">
        <f t="shared" si="20"/>
        <v>9</v>
      </c>
      <c r="G385" s="864">
        <f t="shared" si="21"/>
        <v>40</v>
      </c>
      <c r="H385" s="864">
        <f t="shared" si="22"/>
        <v>2022</v>
      </c>
      <c r="I385" s="879">
        <f t="shared" si="23"/>
        <v>40</v>
      </c>
      <c r="J385" s="867" cm="1">
        <f t="array" ref="J385">INDEX($E:$E,MATCH($J$10,IF($B:$B=$B385,$I:$I),1))</f>
        <v>118994</v>
      </c>
    </row>
    <row r="386" spans="2:10">
      <c r="B386" s="817" t="s">
        <v>1523</v>
      </c>
      <c r="C386" s="817" t="s">
        <v>6135</v>
      </c>
      <c r="D386" s="863">
        <v>44865</v>
      </c>
      <c r="E386" s="817">
        <v>118994</v>
      </c>
      <c r="F386" s="864">
        <f t="shared" si="20"/>
        <v>10</v>
      </c>
      <c r="G386" s="864">
        <f t="shared" si="21"/>
        <v>45</v>
      </c>
      <c r="H386" s="864">
        <f t="shared" si="22"/>
        <v>2022</v>
      </c>
      <c r="I386" s="879">
        <f t="shared" si="23"/>
        <v>45</v>
      </c>
      <c r="J386" s="867" cm="1">
        <f t="array" ref="J386">INDEX($E:$E,MATCH($J$10,IF($B:$B=$B386,$I:$I),1))</f>
        <v>118994</v>
      </c>
    </row>
    <row r="387" spans="2:10">
      <c r="B387" s="817" t="s">
        <v>1711</v>
      </c>
      <c r="C387" s="817" t="s">
        <v>6136</v>
      </c>
      <c r="D387" s="863">
        <v>44702</v>
      </c>
      <c r="E387" s="817">
        <v>780000</v>
      </c>
      <c r="F387" s="864">
        <f t="shared" si="20"/>
        <v>5</v>
      </c>
      <c r="G387" s="864">
        <f t="shared" si="21"/>
        <v>21</v>
      </c>
      <c r="H387" s="864">
        <f t="shared" si="22"/>
        <v>2022</v>
      </c>
      <c r="I387" s="879">
        <f t="shared" si="23"/>
        <v>21</v>
      </c>
      <c r="J387" s="867" cm="1">
        <f t="array" ref="J387">INDEX($E:$E,MATCH($J$10,IF($B:$B=$B387,$I:$I),1))</f>
        <v>1067856</v>
      </c>
    </row>
    <row r="388" spans="2:10">
      <c r="B388" s="817" t="s">
        <v>1711</v>
      </c>
      <c r="C388" s="817" t="s">
        <v>6136</v>
      </c>
      <c r="D388" s="866">
        <v>44733</v>
      </c>
      <c r="E388" s="817">
        <v>867000</v>
      </c>
      <c r="F388" s="864">
        <f t="shared" si="20"/>
        <v>6</v>
      </c>
      <c r="G388" s="864">
        <f t="shared" si="21"/>
        <v>26</v>
      </c>
      <c r="H388" s="864">
        <f t="shared" si="22"/>
        <v>2022</v>
      </c>
      <c r="I388" s="879">
        <f t="shared" si="23"/>
        <v>26</v>
      </c>
      <c r="J388" s="867" cm="1">
        <f t="array" ref="J388">INDEX($E:$E,MATCH($J$10,IF($B:$B=$B388,$I:$I),1))</f>
        <v>1067856</v>
      </c>
    </row>
    <row r="389" spans="2:10">
      <c r="B389" s="817" t="s">
        <v>1711</v>
      </c>
      <c r="C389" s="817" t="s">
        <v>6136</v>
      </c>
      <c r="D389" s="863">
        <v>44754</v>
      </c>
      <c r="E389" s="817">
        <v>893000</v>
      </c>
      <c r="F389" s="864">
        <f t="shared" si="20"/>
        <v>7</v>
      </c>
      <c r="G389" s="864">
        <f t="shared" si="21"/>
        <v>29</v>
      </c>
      <c r="H389" s="864">
        <f t="shared" si="22"/>
        <v>2022</v>
      </c>
      <c r="I389" s="879">
        <f t="shared" si="23"/>
        <v>29</v>
      </c>
      <c r="J389" s="867" cm="1">
        <f t="array" ref="J389">INDEX($E:$E,MATCH($J$10,IF($B:$B=$B389,$I:$I),1))</f>
        <v>1067856</v>
      </c>
    </row>
    <row r="390" spans="2:10">
      <c r="B390" s="817" t="s">
        <v>1711</v>
      </c>
      <c r="C390" s="817" t="s">
        <v>6136</v>
      </c>
      <c r="D390" s="866">
        <v>44761</v>
      </c>
      <c r="E390" s="817">
        <v>893000</v>
      </c>
      <c r="F390" s="864">
        <f t="shared" si="20"/>
        <v>7</v>
      </c>
      <c r="G390" s="864">
        <f t="shared" si="21"/>
        <v>30</v>
      </c>
      <c r="H390" s="864">
        <f t="shared" si="22"/>
        <v>2022</v>
      </c>
      <c r="I390" s="879">
        <f t="shared" si="23"/>
        <v>30</v>
      </c>
      <c r="J390" s="867" cm="1">
        <f t="array" ref="J390">INDEX($E:$E,MATCH($J$10,IF($B:$B=$B390,$I:$I),1))</f>
        <v>1067856</v>
      </c>
    </row>
    <row r="391" spans="2:10">
      <c r="B391" s="817" t="s">
        <v>1711</v>
      </c>
      <c r="C391" s="817" t="s">
        <v>6136</v>
      </c>
      <c r="D391" s="863">
        <v>44768</v>
      </c>
      <c r="E391" s="817">
        <v>915000</v>
      </c>
      <c r="F391" s="864">
        <f t="shared" si="20"/>
        <v>7</v>
      </c>
      <c r="G391" s="864">
        <f t="shared" si="21"/>
        <v>31</v>
      </c>
      <c r="H391" s="864">
        <f t="shared" si="22"/>
        <v>2022</v>
      </c>
      <c r="I391" s="879">
        <f t="shared" si="23"/>
        <v>31</v>
      </c>
      <c r="J391" s="867" cm="1">
        <f t="array" ref="J391">INDEX($E:$E,MATCH($J$10,IF($B:$B=$B391,$I:$I),1))</f>
        <v>1067856</v>
      </c>
    </row>
    <row r="392" spans="2:10">
      <c r="B392" s="817" t="s">
        <v>1711</v>
      </c>
      <c r="C392" s="817" t="s">
        <v>6136</v>
      </c>
      <c r="D392" s="866">
        <v>44776</v>
      </c>
      <c r="E392" s="817">
        <v>915000</v>
      </c>
      <c r="F392" s="864">
        <f t="shared" si="20"/>
        <v>8</v>
      </c>
      <c r="G392" s="864">
        <f t="shared" si="21"/>
        <v>32</v>
      </c>
      <c r="H392" s="864">
        <f t="shared" si="22"/>
        <v>2022</v>
      </c>
      <c r="I392" s="879">
        <f t="shared" si="23"/>
        <v>32</v>
      </c>
      <c r="J392" s="867" cm="1">
        <f t="array" ref="J392">INDEX($E:$E,MATCH($J$10,IF($B:$B=$B392,$I:$I),1))</f>
        <v>1067856</v>
      </c>
    </row>
    <row r="393" spans="2:10">
      <c r="B393" s="817" t="s">
        <v>1711</v>
      </c>
      <c r="C393" s="817" t="s">
        <v>6136</v>
      </c>
      <c r="D393" s="863">
        <v>44783</v>
      </c>
      <c r="E393" s="817">
        <v>940000</v>
      </c>
      <c r="F393" s="864">
        <f t="shared" si="20"/>
        <v>8</v>
      </c>
      <c r="G393" s="864">
        <f t="shared" si="21"/>
        <v>33</v>
      </c>
      <c r="H393" s="864">
        <f t="shared" si="22"/>
        <v>2022</v>
      </c>
      <c r="I393" s="879">
        <f t="shared" si="23"/>
        <v>33</v>
      </c>
      <c r="J393" s="867" cm="1">
        <f t="array" ref="J393">INDEX($E:$E,MATCH($J$10,IF($B:$B=$B393,$I:$I),1))</f>
        <v>1067856</v>
      </c>
    </row>
    <row r="394" spans="2:10">
      <c r="B394" s="817" t="s">
        <v>1711</v>
      </c>
      <c r="C394" s="817" t="s">
        <v>6136</v>
      </c>
      <c r="D394" s="866">
        <v>44786</v>
      </c>
      <c r="E394" s="817">
        <v>971000</v>
      </c>
      <c r="F394" s="864">
        <f t="shared" si="20"/>
        <v>8</v>
      </c>
      <c r="G394" s="864">
        <f t="shared" si="21"/>
        <v>33</v>
      </c>
      <c r="H394" s="864">
        <f t="shared" si="22"/>
        <v>2022</v>
      </c>
      <c r="I394" s="879">
        <f t="shared" si="23"/>
        <v>33</v>
      </c>
      <c r="J394" s="867" cm="1">
        <f t="array" ref="J394">INDEX($E:$E,MATCH($J$10,IF($B:$B=$B394,$I:$I),1))</f>
        <v>1067856</v>
      </c>
    </row>
    <row r="395" spans="2:10">
      <c r="B395" s="817" t="s">
        <v>1711</v>
      </c>
      <c r="C395" s="817" t="s">
        <v>6136</v>
      </c>
      <c r="D395" s="863">
        <v>44795</v>
      </c>
      <c r="E395" s="817">
        <v>971000</v>
      </c>
      <c r="F395" s="864">
        <f t="shared" si="20"/>
        <v>8</v>
      </c>
      <c r="G395" s="864">
        <f t="shared" si="21"/>
        <v>35</v>
      </c>
      <c r="H395" s="864">
        <f t="shared" si="22"/>
        <v>2022</v>
      </c>
      <c r="I395" s="879">
        <f t="shared" si="23"/>
        <v>35</v>
      </c>
      <c r="J395" s="867" cm="1">
        <f t="array" ref="J395">INDEX($E:$E,MATCH($J$10,IF($B:$B=$B395,$I:$I),1))</f>
        <v>1067856</v>
      </c>
    </row>
    <row r="396" spans="2:10">
      <c r="B396" s="817" t="s">
        <v>1711</v>
      </c>
      <c r="C396" s="817" t="s">
        <v>6136</v>
      </c>
      <c r="D396" s="866">
        <v>44803</v>
      </c>
      <c r="E396" s="817">
        <v>971000</v>
      </c>
      <c r="F396" s="864">
        <f t="shared" ref="F396:F459" si="24">MONTH(D396)</f>
        <v>8</v>
      </c>
      <c r="G396" s="864">
        <f t="shared" ref="G396:G459" si="25">WEEKNUM(D396)</f>
        <v>36</v>
      </c>
      <c r="H396" s="864">
        <f t="shared" ref="H396:H459" si="26">YEAR(D396)</f>
        <v>2022</v>
      </c>
      <c r="I396" s="879">
        <f t="shared" ref="I396:I459" si="27">(H396-2022)*53+G396</f>
        <v>36</v>
      </c>
      <c r="J396" s="867" cm="1">
        <f t="array" ref="J396">INDEX($E:$E,MATCH($J$10,IF($B:$B=$B396,$I:$I),1))</f>
        <v>1067856</v>
      </c>
    </row>
    <row r="397" spans="2:10">
      <c r="B397" s="817" t="s">
        <v>1711</v>
      </c>
      <c r="C397" s="817" t="s">
        <v>6136</v>
      </c>
      <c r="D397" s="863">
        <v>44810</v>
      </c>
      <c r="E397" s="817">
        <v>997895</v>
      </c>
      <c r="F397" s="864">
        <f t="shared" si="24"/>
        <v>9</v>
      </c>
      <c r="G397" s="864">
        <f t="shared" si="25"/>
        <v>37</v>
      </c>
      <c r="H397" s="864">
        <f t="shared" si="26"/>
        <v>2022</v>
      </c>
      <c r="I397" s="879">
        <f t="shared" si="27"/>
        <v>37</v>
      </c>
      <c r="J397" s="867" cm="1">
        <f t="array" ref="J397">INDEX($E:$E,MATCH($J$10,IF($B:$B=$B397,$I:$I),1))</f>
        <v>1067856</v>
      </c>
    </row>
    <row r="398" spans="2:10">
      <c r="B398" s="817" t="s">
        <v>1711</v>
      </c>
      <c r="C398" s="817" t="s">
        <v>6136</v>
      </c>
      <c r="D398" s="866">
        <v>44824</v>
      </c>
      <c r="E398" s="817">
        <v>997895</v>
      </c>
      <c r="F398" s="864">
        <f t="shared" si="24"/>
        <v>9</v>
      </c>
      <c r="G398" s="864">
        <f t="shared" si="25"/>
        <v>39</v>
      </c>
      <c r="H398" s="864">
        <f t="shared" si="26"/>
        <v>2022</v>
      </c>
      <c r="I398" s="879">
        <f t="shared" si="27"/>
        <v>39</v>
      </c>
      <c r="J398" s="867" cm="1">
        <f t="array" ref="J398">INDEX($E:$E,MATCH($J$10,IF($B:$B=$B398,$I:$I),1))</f>
        <v>1067856</v>
      </c>
    </row>
    <row r="399" spans="2:10">
      <c r="B399" s="817" t="s">
        <v>1711</v>
      </c>
      <c r="C399" s="817" t="s">
        <v>6136</v>
      </c>
      <c r="D399" s="863">
        <v>44828</v>
      </c>
      <c r="E399" s="817">
        <v>997895</v>
      </c>
      <c r="F399" s="864">
        <f t="shared" si="24"/>
        <v>9</v>
      </c>
      <c r="G399" s="864">
        <f t="shared" si="25"/>
        <v>39</v>
      </c>
      <c r="H399" s="864">
        <f t="shared" si="26"/>
        <v>2022</v>
      </c>
      <c r="I399" s="879">
        <f t="shared" si="27"/>
        <v>39</v>
      </c>
      <c r="J399" s="867" cm="1">
        <f t="array" ref="J399">INDEX($E:$E,MATCH($J$10,IF($B:$B=$B399,$I:$I),1))</f>
        <v>1067856</v>
      </c>
    </row>
    <row r="400" spans="2:10">
      <c r="B400" s="817" t="s">
        <v>1711</v>
      </c>
      <c r="C400" s="817" t="s">
        <v>6136</v>
      </c>
      <c r="D400" s="866">
        <v>44838</v>
      </c>
      <c r="E400" s="817">
        <v>997895</v>
      </c>
      <c r="F400" s="864">
        <f t="shared" si="24"/>
        <v>10</v>
      </c>
      <c r="G400" s="864">
        <f t="shared" si="25"/>
        <v>41</v>
      </c>
      <c r="H400" s="864">
        <f t="shared" si="26"/>
        <v>2022</v>
      </c>
      <c r="I400" s="879">
        <f t="shared" si="27"/>
        <v>41</v>
      </c>
      <c r="J400" s="867" cm="1">
        <f t="array" ref="J400">INDEX($E:$E,MATCH($J$10,IF($B:$B=$B400,$I:$I),1))</f>
        <v>1067856</v>
      </c>
    </row>
    <row r="401" spans="2:10">
      <c r="B401" s="817" t="s">
        <v>1711</v>
      </c>
      <c r="C401" s="817" t="s">
        <v>6136</v>
      </c>
      <c r="D401" s="863">
        <v>44842</v>
      </c>
      <c r="E401" s="817">
        <v>1002668</v>
      </c>
      <c r="F401" s="864">
        <f t="shared" si="24"/>
        <v>10</v>
      </c>
      <c r="G401" s="864">
        <f t="shared" si="25"/>
        <v>41</v>
      </c>
      <c r="H401" s="864">
        <f t="shared" si="26"/>
        <v>2022</v>
      </c>
      <c r="I401" s="879">
        <f t="shared" si="27"/>
        <v>41</v>
      </c>
      <c r="J401" s="867" cm="1">
        <f t="array" ref="J401">INDEX($E:$E,MATCH($J$10,IF($B:$B=$B401,$I:$I),1))</f>
        <v>1067856</v>
      </c>
    </row>
    <row r="402" spans="2:10">
      <c r="B402" s="817" t="s">
        <v>1711</v>
      </c>
      <c r="C402" s="817" t="s">
        <v>6136</v>
      </c>
      <c r="D402" s="866">
        <v>44866</v>
      </c>
      <c r="E402" s="817">
        <v>1008935</v>
      </c>
      <c r="F402" s="864">
        <f t="shared" si="24"/>
        <v>11</v>
      </c>
      <c r="G402" s="864">
        <f t="shared" si="25"/>
        <v>45</v>
      </c>
      <c r="H402" s="864">
        <f t="shared" si="26"/>
        <v>2022</v>
      </c>
      <c r="I402" s="879">
        <f t="shared" si="27"/>
        <v>45</v>
      </c>
      <c r="J402" s="867" cm="1">
        <f t="array" ref="J402">INDEX($E:$E,MATCH($J$10,IF($B:$B=$B402,$I:$I),1))</f>
        <v>1067856</v>
      </c>
    </row>
    <row r="403" spans="2:10">
      <c r="B403" s="817" t="s">
        <v>1711</v>
      </c>
      <c r="C403" s="817" t="s">
        <v>6136</v>
      </c>
      <c r="D403" s="863">
        <v>44873</v>
      </c>
      <c r="E403" s="817">
        <v>1019789</v>
      </c>
      <c r="F403" s="864">
        <f t="shared" si="24"/>
        <v>11</v>
      </c>
      <c r="G403" s="864">
        <f t="shared" si="25"/>
        <v>46</v>
      </c>
      <c r="H403" s="864">
        <f t="shared" si="26"/>
        <v>2022</v>
      </c>
      <c r="I403" s="879">
        <f t="shared" si="27"/>
        <v>46</v>
      </c>
      <c r="J403" s="867" cm="1">
        <f t="array" ref="J403">INDEX($E:$E,MATCH($J$10,IF($B:$B=$B403,$I:$I),1))</f>
        <v>1067856</v>
      </c>
    </row>
    <row r="404" spans="2:10">
      <c r="B404" s="817" t="s">
        <v>1711</v>
      </c>
      <c r="C404" s="817" t="s">
        <v>6136</v>
      </c>
      <c r="D404" s="866">
        <v>44880</v>
      </c>
      <c r="E404" s="817">
        <v>1019789</v>
      </c>
      <c r="F404" s="864">
        <f t="shared" si="24"/>
        <v>11</v>
      </c>
      <c r="G404" s="864">
        <f t="shared" si="25"/>
        <v>47</v>
      </c>
      <c r="H404" s="864">
        <f t="shared" si="26"/>
        <v>2022</v>
      </c>
      <c r="I404" s="879">
        <f t="shared" si="27"/>
        <v>47</v>
      </c>
      <c r="J404" s="867" cm="1">
        <f t="array" ref="J404">INDEX($E:$E,MATCH($J$10,IF($B:$B=$B404,$I:$I),1))</f>
        <v>1067856</v>
      </c>
    </row>
    <row r="405" spans="2:10">
      <c r="B405" s="817" t="s">
        <v>1711</v>
      </c>
      <c r="C405" s="817" t="s">
        <v>6136</v>
      </c>
      <c r="D405" s="863">
        <v>44887</v>
      </c>
      <c r="E405" s="817">
        <v>1021667</v>
      </c>
      <c r="F405" s="864">
        <f t="shared" si="24"/>
        <v>11</v>
      </c>
      <c r="G405" s="864">
        <f t="shared" si="25"/>
        <v>48</v>
      </c>
      <c r="H405" s="864">
        <f t="shared" si="26"/>
        <v>2022</v>
      </c>
      <c r="I405" s="879">
        <f t="shared" si="27"/>
        <v>48</v>
      </c>
      <c r="J405" s="867" cm="1">
        <f t="array" ref="J405">INDEX($E:$E,MATCH($J$10,IF($B:$B=$B405,$I:$I),1))</f>
        <v>1067856</v>
      </c>
    </row>
    <row r="406" spans="2:10">
      <c r="B406" s="817" t="s">
        <v>1711</v>
      </c>
      <c r="C406" s="817" t="s">
        <v>6136</v>
      </c>
      <c r="D406" s="866">
        <v>44957</v>
      </c>
      <c r="E406" s="817">
        <v>1055323</v>
      </c>
      <c r="F406" s="864">
        <f t="shared" si="24"/>
        <v>1</v>
      </c>
      <c r="G406" s="864">
        <f t="shared" si="25"/>
        <v>5</v>
      </c>
      <c r="H406" s="864">
        <f t="shared" si="26"/>
        <v>2023</v>
      </c>
      <c r="I406" s="879">
        <f t="shared" si="27"/>
        <v>58</v>
      </c>
      <c r="J406" s="867" cm="1">
        <f t="array" ref="J406">INDEX($E:$E,MATCH($J$10,IF($B:$B=$B406,$I:$I),1))</f>
        <v>1067856</v>
      </c>
    </row>
    <row r="407" spans="2:10">
      <c r="B407" s="817" t="s">
        <v>1711</v>
      </c>
      <c r="C407" s="817" t="s">
        <v>6136</v>
      </c>
      <c r="D407" s="863">
        <v>45010</v>
      </c>
      <c r="E407" s="817">
        <v>1056628</v>
      </c>
      <c r="F407" s="864">
        <f t="shared" si="24"/>
        <v>3</v>
      </c>
      <c r="G407" s="864">
        <f t="shared" si="25"/>
        <v>12</v>
      </c>
      <c r="H407" s="864">
        <f t="shared" si="26"/>
        <v>2023</v>
      </c>
      <c r="I407" s="879">
        <f t="shared" si="27"/>
        <v>65</v>
      </c>
      <c r="J407" s="867" cm="1">
        <f t="array" ref="J407">INDEX($E:$E,MATCH($J$10,IF($B:$B=$B407,$I:$I),1))</f>
        <v>1067856</v>
      </c>
    </row>
    <row r="408" spans="2:10">
      <c r="B408" s="817" t="s">
        <v>1711</v>
      </c>
      <c r="C408" s="817" t="s">
        <v>6136</v>
      </c>
      <c r="D408" s="863">
        <v>45035</v>
      </c>
      <c r="E408" s="817">
        <v>1061623</v>
      </c>
      <c r="F408" s="864">
        <f t="shared" si="24"/>
        <v>4</v>
      </c>
      <c r="G408" s="864">
        <f t="shared" si="25"/>
        <v>16</v>
      </c>
      <c r="H408" s="864">
        <f t="shared" si="26"/>
        <v>2023</v>
      </c>
      <c r="I408" s="879">
        <f t="shared" si="27"/>
        <v>69</v>
      </c>
      <c r="J408" s="867" cm="1">
        <f t="array" ref="J408">INDEX($E:$E,MATCH($J$10,IF($B:$B=$B408,$I:$I),1))</f>
        <v>1067856</v>
      </c>
    </row>
    <row r="409" spans="2:10">
      <c r="B409" s="817" t="s">
        <v>1711</v>
      </c>
      <c r="C409" s="817" t="s">
        <v>6136</v>
      </c>
      <c r="D409" s="863">
        <v>45067</v>
      </c>
      <c r="E409" s="817">
        <v>1067856</v>
      </c>
      <c r="F409" s="864">
        <f t="shared" si="24"/>
        <v>5</v>
      </c>
      <c r="G409" s="864">
        <f t="shared" si="25"/>
        <v>21</v>
      </c>
      <c r="H409" s="864">
        <f t="shared" si="26"/>
        <v>2023</v>
      </c>
      <c r="I409" s="879">
        <f t="shared" si="27"/>
        <v>74</v>
      </c>
      <c r="J409" s="867" cm="1">
        <f t="array" ref="J409">INDEX($E:$E,MATCH($J$10,IF($B:$B=$B409,$I:$I),1))</f>
        <v>1067856</v>
      </c>
    </row>
    <row r="410" spans="2:10">
      <c r="B410" s="817" t="s">
        <v>1711</v>
      </c>
      <c r="C410" s="817" t="s">
        <v>6136</v>
      </c>
      <c r="D410" s="863">
        <v>45081</v>
      </c>
      <c r="E410" s="817">
        <v>1069729</v>
      </c>
      <c r="F410" s="864">
        <f t="shared" si="24"/>
        <v>6</v>
      </c>
      <c r="G410" s="864">
        <f t="shared" si="25"/>
        <v>23</v>
      </c>
      <c r="H410" s="864">
        <f t="shared" si="26"/>
        <v>2023</v>
      </c>
      <c r="I410" s="879">
        <f t="shared" si="27"/>
        <v>76</v>
      </c>
      <c r="J410" s="867" cm="1">
        <f t="array" ref="J410">INDEX($E:$E,MATCH($J$10,IF($B:$B=$B410,$I:$I),1))</f>
        <v>1067856</v>
      </c>
    </row>
    <row r="411" spans="2:10">
      <c r="B411" s="817" t="s">
        <v>1973</v>
      </c>
      <c r="C411" s="817" t="s">
        <v>6137</v>
      </c>
      <c r="D411" s="863">
        <v>44703</v>
      </c>
      <c r="E411" s="817">
        <v>13400</v>
      </c>
      <c r="F411" s="864">
        <f t="shared" si="24"/>
        <v>5</v>
      </c>
      <c r="G411" s="864">
        <f t="shared" si="25"/>
        <v>22</v>
      </c>
      <c r="H411" s="864">
        <f t="shared" si="26"/>
        <v>2022</v>
      </c>
      <c r="I411" s="879">
        <f t="shared" si="27"/>
        <v>22</v>
      </c>
      <c r="J411" s="867" cm="1">
        <f t="array" ref="J411">INDEX($E:$E,MATCH($J$10,IF($B:$B=$B411,$I:$I),1))</f>
        <v>23778</v>
      </c>
    </row>
    <row r="412" spans="2:10">
      <c r="B412" s="817" t="s">
        <v>1973</v>
      </c>
      <c r="C412" s="817" t="s">
        <v>6137</v>
      </c>
      <c r="D412" s="866">
        <v>44717</v>
      </c>
      <c r="E412" s="817">
        <v>14887</v>
      </c>
      <c r="F412" s="864">
        <f t="shared" si="24"/>
        <v>6</v>
      </c>
      <c r="G412" s="864">
        <f t="shared" si="25"/>
        <v>24</v>
      </c>
      <c r="H412" s="864">
        <f t="shared" si="26"/>
        <v>2022</v>
      </c>
      <c r="I412" s="879">
        <f t="shared" si="27"/>
        <v>24</v>
      </c>
      <c r="J412" s="867" cm="1">
        <f t="array" ref="J412">INDEX($E:$E,MATCH($J$10,IF($B:$B=$B412,$I:$I),1))</f>
        <v>23778</v>
      </c>
    </row>
    <row r="413" spans="2:10">
      <c r="B413" s="817" t="s">
        <v>1973</v>
      </c>
      <c r="C413" s="817" t="s">
        <v>6137</v>
      </c>
      <c r="D413" s="863">
        <v>44726</v>
      </c>
      <c r="E413" s="817">
        <v>15565</v>
      </c>
      <c r="F413" s="864">
        <f t="shared" si="24"/>
        <v>6</v>
      </c>
      <c r="G413" s="864">
        <f t="shared" si="25"/>
        <v>25</v>
      </c>
      <c r="H413" s="864">
        <f t="shared" si="26"/>
        <v>2022</v>
      </c>
      <c r="I413" s="879">
        <f t="shared" si="27"/>
        <v>25</v>
      </c>
      <c r="J413" s="867" cm="1">
        <f t="array" ref="J413">INDEX($E:$E,MATCH($J$10,IF($B:$B=$B413,$I:$I),1))</f>
        <v>23778</v>
      </c>
    </row>
    <row r="414" spans="2:10">
      <c r="B414" s="817" t="s">
        <v>1973</v>
      </c>
      <c r="C414" s="817" t="s">
        <v>6137</v>
      </c>
      <c r="D414" s="866">
        <v>44754</v>
      </c>
      <c r="E414" s="817">
        <v>16804</v>
      </c>
      <c r="F414" s="864">
        <f t="shared" si="24"/>
        <v>7</v>
      </c>
      <c r="G414" s="864">
        <f t="shared" si="25"/>
        <v>29</v>
      </c>
      <c r="H414" s="864">
        <f t="shared" si="26"/>
        <v>2022</v>
      </c>
      <c r="I414" s="879">
        <f t="shared" si="27"/>
        <v>29</v>
      </c>
      <c r="J414" s="867" cm="1">
        <f t="array" ref="J414">INDEX($E:$E,MATCH($J$10,IF($B:$B=$B414,$I:$I),1))</f>
        <v>23778</v>
      </c>
    </row>
    <row r="415" spans="2:10">
      <c r="B415" s="817" t="s">
        <v>1973</v>
      </c>
      <c r="C415" s="817" t="s">
        <v>6137</v>
      </c>
      <c r="D415" s="863">
        <v>44768</v>
      </c>
      <c r="E415" s="817">
        <v>16581</v>
      </c>
      <c r="F415" s="864">
        <f t="shared" si="24"/>
        <v>7</v>
      </c>
      <c r="G415" s="864">
        <f t="shared" si="25"/>
        <v>31</v>
      </c>
      <c r="H415" s="864">
        <f t="shared" si="26"/>
        <v>2022</v>
      </c>
      <c r="I415" s="879">
        <f t="shared" si="27"/>
        <v>31</v>
      </c>
      <c r="J415" s="867" cm="1">
        <f t="array" ref="J415">INDEX($E:$E,MATCH($J$10,IF($B:$B=$B415,$I:$I),1))</f>
        <v>23778</v>
      </c>
    </row>
    <row r="416" spans="2:10">
      <c r="B416" s="817" t="s">
        <v>1973</v>
      </c>
      <c r="C416" s="817" t="s">
        <v>6137</v>
      </c>
      <c r="D416" s="866">
        <v>44773</v>
      </c>
      <c r="E416" s="817">
        <v>18043</v>
      </c>
      <c r="F416" s="864">
        <f t="shared" si="24"/>
        <v>7</v>
      </c>
      <c r="G416" s="864">
        <f t="shared" si="25"/>
        <v>32</v>
      </c>
      <c r="H416" s="864">
        <f t="shared" si="26"/>
        <v>2022</v>
      </c>
      <c r="I416" s="879">
        <f t="shared" si="27"/>
        <v>32</v>
      </c>
      <c r="J416" s="867" cm="1">
        <f t="array" ref="J416">INDEX($E:$E,MATCH($J$10,IF($B:$B=$B416,$I:$I),1))</f>
        <v>23778</v>
      </c>
    </row>
    <row r="417" spans="2:10">
      <c r="B417" s="817" t="s">
        <v>1973</v>
      </c>
      <c r="C417" s="817" t="s">
        <v>6137</v>
      </c>
      <c r="D417" s="863">
        <v>44780</v>
      </c>
      <c r="E417" s="817">
        <v>18045</v>
      </c>
      <c r="F417" s="864">
        <f t="shared" si="24"/>
        <v>8</v>
      </c>
      <c r="G417" s="864">
        <f t="shared" si="25"/>
        <v>33</v>
      </c>
      <c r="H417" s="864">
        <f t="shared" si="26"/>
        <v>2022</v>
      </c>
      <c r="I417" s="879">
        <f t="shared" si="27"/>
        <v>33</v>
      </c>
      <c r="J417" s="867" cm="1">
        <f t="array" ref="J417">INDEX($E:$E,MATCH($J$10,IF($B:$B=$B417,$I:$I),1))</f>
        <v>23778</v>
      </c>
    </row>
    <row r="418" spans="2:10">
      <c r="B418" s="817" t="s">
        <v>1973</v>
      </c>
      <c r="C418" s="817" t="s">
        <v>6137</v>
      </c>
      <c r="D418" s="866">
        <v>44787</v>
      </c>
      <c r="E418" s="817">
        <v>18363</v>
      </c>
      <c r="F418" s="864">
        <f t="shared" si="24"/>
        <v>8</v>
      </c>
      <c r="G418" s="864">
        <f t="shared" si="25"/>
        <v>34</v>
      </c>
      <c r="H418" s="864">
        <f t="shared" si="26"/>
        <v>2022</v>
      </c>
      <c r="I418" s="879">
        <f t="shared" si="27"/>
        <v>34</v>
      </c>
      <c r="J418" s="867" cm="1">
        <f t="array" ref="J418">INDEX($E:$E,MATCH($J$10,IF($B:$B=$B418,$I:$I),1))</f>
        <v>23778</v>
      </c>
    </row>
    <row r="419" spans="2:10">
      <c r="B419" s="817" t="s">
        <v>1973</v>
      </c>
      <c r="C419" s="817" t="s">
        <v>6137</v>
      </c>
      <c r="D419" s="863">
        <v>44790</v>
      </c>
      <c r="E419" s="817">
        <v>18663</v>
      </c>
      <c r="F419" s="864">
        <f t="shared" si="24"/>
        <v>8</v>
      </c>
      <c r="G419" s="864">
        <f t="shared" si="25"/>
        <v>34</v>
      </c>
      <c r="H419" s="864">
        <f t="shared" si="26"/>
        <v>2022</v>
      </c>
      <c r="I419" s="879">
        <f t="shared" si="27"/>
        <v>34</v>
      </c>
      <c r="J419" s="867" cm="1">
        <f t="array" ref="J419">INDEX($E:$E,MATCH($J$10,IF($B:$B=$B419,$I:$I),1))</f>
        <v>23778</v>
      </c>
    </row>
    <row r="420" spans="2:10">
      <c r="B420" s="817" t="s">
        <v>1973</v>
      </c>
      <c r="C420" s="817" t="s">
        <v>6137</v>
      </c>
      <c r="D420" s="866">
        <v>44796</v>
      </c>
      <c r="E420" s="817">
        <v>18745</v>
      </c>
      <c r="F420" s="864">
        <f t="shared" si="24"/>
        <v>8</v>
      </c>
      <c r="G420" s="864">
        <f t="shared" si="25"/>
        <v>35</v>
      </c>
      <c r="H420" s="864">
        <f t="shared" si="26"/>
        <v>2022</v>
      </c>
      <c r="I420" s="879">
        <f t="shared" si="27"/>
        <v>35</v>
      </c>
      <c r="J420" s="867" cm="1">
        <f t="array" ref="J420">INDEX($E:$E,MATCH($J$10,IF($B:$B=$B420,$I:$I),1))</f>
        <v>23778</v>
      </c>
    </row>
    <row r="421" spans="2:10">
      <c r="B421" s="817" t="s">
        <v>1973</v>
      </c>
      <c r="C421" s="817" t="s">
        <v>6137</v>
      </c>
      <c r="D421" s="863">
        <v>44810</v>
      </c>
      <c r="E421" s="817">
        <v>18663</v>
      </c>
      <c r="F421" s="864">
        <f t="shared" si="24"/>
        <v>9</v>
      </c>
      <c r="G421" s="864">
        <f t="shared" si="25"/>
        <v>37</v>
      </c>
      <c r="H421" s="864">
        <f t="shared" si="26"/>
        <v>2022</v>
      </c>
      <c r="I421" s="879">
        <f t="shared" si="27"/>
        <v>37</v>
      </c>
      <c r="J421" s="867" cm="1">
        <f t="array" ref="J421">INDEX($E:$E,MATCH($J$10,IF($B:$B=$B421,$I:$I),1))</f>
        <v>23778</v>
      </c>
    </row>
    <row r="422" spans="2:10">
      <c r="B422" s="817" t="s">
        <v>1973</v>
      </c>
      <c r="C422" s="817" t="s">
        <v>6137</v>
      </c>
      <c r="D422" s="866">
        <v>44817</v>
      </c>
      <c r="E422" s="817">
        <v>18663</v>
      </c>
      <c r="F422" s="864">
        <f t="shared" si="24"/>
        <v>9</v>
      </c>
      <c r="G422" s="864">
        <f t="shared" si="25"/>
        <v>38</v>
      </c>
      <c r="H422" s="864">
        <f t="shared" si="26"/>
        <v>2022</v>
      </c>
      <c r="I422" s="879">
        <f t="shared" si="27"/>
        <v>38</v>
      </c>
      <c r="J422" s="867" cm="1">
        <f t="array" ref="J422">INDEX($E:$E,MATCH($J$10,IF($B:$B=$B422,$I:$I),1))</f>
        <v>23778</v>
      </c>
    </row>
    <row r="423" spans="2:10">
      <c r="B423" s="817" t="s">
        <v>1973</v>
      </c>
      <c r="C423" s="817" t="s">
        <v>6137</v>
      </c>
      <c r="D423" s="863">
        <v>44824</v>
      </c>
      <c r="E423" s="817">
        <v>19498</v>
      </c>
      <c r="F423" s="864">
        <f t="shared" si="24"/>
        <v>9</v>
      </c>
      <c r="G423" s="864">
        <f t="shared" si="25"/>
        <v>39</v>
      </c>
      <c r="H423" s="864">
        <f t="shared" si="26"/>
        <v>2022</v>
      </c>
      <c r="I423" s="879">
        <f t="shared" si="27"/>
        <v>39</v>
      </c>
      <c r="J423" s="867" cm="1">
        <f t="array" ref="J423">INDEX($E:$E,MATCH($J$10,IF($B:$B=$B423,$I:$I),1))</f>
        <v>23778</v>
      </c>
    </row>
    <row r="424" spans="2:10">
      <c r="B424" s="817" t="s">
        <v>1973</v>
      </c>
      <c r="C424" s="817" t="s">
        <v>6137</v>
      </c>
      <c r="D424" s="866">
        <v>44826</v>
      </c>
      <c r="E424" s="817">
        <v>19413</v>
      </c>
      <c r="F424" s="864">
        <f t="shared" si="24"/>
        <v>9</v>
      </c>
      <c r="G424" s="864">
        <f t="shared" si="25"/>
        <v>39</v>
      </c>
      <c r="H424" s="864">
        <f t="shared" si="26"/>
        <v>2022</v>
      </c>
      <c r="I424" s="879">
        <f t="shared" si="27"/>
        <v>39</v>
      </c>
      <c r="J424" s="867" cm="1">
        <f t="array" ref="J424">INDEX($E:$E,MATCH($J$10,IF($B:$B=$B424,$I:$I),1))</f>
        <v>23778</v>
      </c>
    </row>
    <row r="425" spans="2:10">
      <c r="B425" s="817" t="s">
        <v>1973</v>
      </c>
      <c r="C425" s="817" t="s">
        <v>6137</v>
      </c>
      <c r="D425" s="863">
        <v>44845</v>
      </c>
      <c r="E425" s="817">
        <v>19752</v>
      </c>
      <c r="F425" s="864">
        <f t="shared" si="24"/>
        <v>10</v>
      </c>
      <c r="G425" s="864">
        <f t="shared" si="25"/>
        <v>42</v>
      </c>
      <c r="H425" s="864">
        <f t="shared" si="26"/>
        <v>2022</v>
      </c>
      <c r="I425" s="879">
        <f t="shared" si="27"/>
        <v>42</v>
      </c>
      <c r="J425" s="867" cm="1">
        <f t="array" ref="J425">INDEX($E:$E,MATCH($J$10,IF($B:$B=$B425,$I:$I),1))</f>
        <v>23778</v>
      </c>
    </row>
    <row r="426" spans="2:10">
      <c r="B426" s="817" t="s">
        <v>1973</v>
      </c>
      <c r="C426" s="817" t="s">
        <v>6137</v>
      </c>
      <c r="D426" s="866">
        <v>44852</v>
      </c>
      <c r="E426" s="817">
        <v>19752</v>
      </c>
      <c r="F426" s="864">
        <f t="shared" si="24"/>
        <v>10</v>
      </c>
      <c r="G426" s="864">
        <f t="shared" si="25"/>
        <v>43</v>
      </c>
      <c r="H426" s="864">
        <f t="shared" si="26"/>
        <v>2022</v>
      </c>
      <c r="I426" s="879">
        <f t="shared" si="27"/>
        <v>43</v>
      </c>
      <c r="J426" s="867" cm="1">
        <f t="array" ref="J426">INDEX($E:$E,MATCH($J$10,IF($B:$B=$B426,$I:$I),1))</f>
        <v>23778</v>
      </c>
    </row>
    <row r="427" spans="2:10">
      <c r="B427" s="817" t="s">
        <v>1973</v>
      </c>
      <c r="C427" s="817" t="s">
        <v>6137</v>
      </c>
      <c r="D427" s="863">
        <v>44859</v>
      </c>
      <c r="E427" s="817">
        <v>19997</v>
      </c>
      <c r="F427" s="864">
        <f t="shared" si="24"/>
        <v>10</v>
      </c>
      <c r="G427" s="864">
        <f t="shared" si="25"/>
        <v>44</v>
      </c>
      <c r="H427" s="864">
        <f t="shared" si="26"/>
        <v>2022</v>
      </c>
      <c r="I427" s="879">
        <f t="shared" si="27"/>
        <v>44</v>
      </c>
      <c r="J427" s="867" cm="1">
        <f t="array" ref="J427">INDEX($E:$E,MATCH($J$10,IF($B:$B=$B427,$I:$I),1))</f>
        <v>23778</v>
      </c>
    </row>
    <row r="428" spans="2:10">
      <c r="B428" s="817" t="s">
        <v>1973</v>
      </c>
      <c r="C428" s="817" t="s">
        <v>6137</v>
      </c>
      <c r="D428" s="866">
        <v>44866</v>
      </c>
      <c r="E428" s="817">
        <v>19997</v>
      </c>
      <c r="F428" s="864">
        <f t="shared" si="24"/>
        <v>11</v>
      </c>
      <c r="G428" s="864">
        <f t="shared" si="25"/>
        <v>45</v>
      </c>
      <c r="H428" s="864">
        <f t="shared" si="26"/>
        <v>2022</v>
      </c>
      <c r="I428" s="879">
        <f t="shared" si="27"/>
        <v>45</v>
      </c>
      <c r="J428" s="867" cm="1">
        <f t="array" ref="J428">INDEX($E:$E,MATCH($J$10,IF($B:$B=$B428,$I:$I),1))</f>
        <v>23778</v>
      </c>
    </row>
    <row r="429" spans="2:10">
      <c r="B429" s="817" t="s">
        <v>1973</v>
      </c>
      <c r="C429" s="817" t="s">
        <v>6137</v>
      </c>
      <c r="D429" s="863">
        <v>44873</v>
      </c>
      <c r="E429" s="817">
        <v>19997</v>
      </c>
      <c r="F429" s="864">
        <f t="shared" si="24"/>
        <v>11</v>
      </c>
      <c r="G429" s="864">
        <f t="shared" si="25"/>
        <v>46</v>
      </c>
      <c r="H429" s="864">
        <f t="shared" si="26"/>
        <v>2022</v>
      </c>
      <c r="I429" s="879">
        <f t="shared" si="27"/>
        <v>46</v>
      </c>
      <c r="J429" s="867" cm="1">
        <f t="array" ref="J429">INDEX($E:$E,MATCH($J$10,IF($B:$B=$B429,$I:$I),1))</f>
        <v>23778</v>
      </c>
    </row>
    <row r="430" spans="2:10">
      <c r="B430" s="817" t="s">
        <v>1973</v>
      </c>
      <c r="C430" s="817" t="s">
        <v>6137</v>
      </c>
      <c r="D430" s="866">
        <v>44901</v>
      </c>
      <c r="E430" s="817">
        <v>20955</v>
      </c>
      <c r="F430" s="864">
        <f t="shared" si="24"/>
        <v>12</v>
      </c>
      <c r="G430" s="864">
        <f t="shared" si="25"/>
        <v>50</v>
      </c>
      <c r="H430" s="864">
        <f t="shared" si="26"/>
        <v>2022</v>
      </c>
      <c r="I430" s="879">
        <f t="shared" si="27"/>
        <v>50</v>
      </c>
      <c r="J430" s="867" cm="1">
        <f t="array" ref="J430">INDEX($E:$E,MATCH($J$10,IF($B:$B=$B430,$I:$I),1))</f>
        <v>23778</v>
      </c>
    </row>
    <row r="431" spans="2:10">
      <c r="B431" s="817" t="s">
        <v>1973</v>
      </c>
      <c r="C431" s="817" t="s">
        <v>6137</v>
      </c>
      <c r="D431" s="863">
        <v>45016</v>
      </c>
      <c r="E431" s="817">
        <v>22704</v>
      </c>
      <c r="F431" s="864">
        <f t="shared" si="24"/>
        <v>3</v>
      </c>
      <c r="G431" s="864">
        <f t="shared" si="25"/>
        <v>13</v>
      </c>
      <c r="H431" s="864">
        <f t="shared" si="26"/>
        <v>2023</v>
      </c>
      <c r="I431" s="879">
        <f t="shared" si="27"/>
        <v>66</v>
      </c>
      <c r="J431" s="867" cm="1">
        <f t="array" ref="J431">INDEX($E:$E,MATCH($J$10,IF($B:$B=$B431,$I:$I),1))</f>
        <v>23778</v>
      </c>
    </row>
    <row r="432" spans="2:10">
      <c r="B432" s="817" t="s">
        <v>1973</v>
      </c>
      <c r="C432" s="817" t="s">
        <v>6137</v>
      </c>
      <c r="D432" s="863">
        <v>45046</v>
      </c>
      <c r="E432" s="817">
        <v>23778</v>
      </c>
      <c r="F432" s="864">
        <f t="shared" si="24"/>
        <v>4</v>
      </c>
      <c r="G432" s="864">
        <f t="shared" si="25"/>
        <v>18</v>
      </c>
      <c r="H432" s="864">
        <f t="shared" si="26"/>
        <v>2023</v>
      </c>
      <c r="I432" s="879">
        <f t="shared" si="27"/>
        <v>71</v>
      </c>
      <c r="J432" s="867" cm="1">
        <f t="array" ref="J432">INDEX($E:$E,MATCH($J$10,IF($B:$B=$B432,$I:$I),1))</f>
        <v>23778</v>
      </c>
    </row>
    <row r="433" spans="2:10">
      <c r="B433" s="817" t="s">
        <v>2028</v>
      </c>
      <c r="C433" s="817" t="s">
        <v>6138</v>
      </c>
      <c r="D433" s="863">
        <v>44710</v>
      </c>
      <c r="E433" s="817">
        <v>23347</v>
      </c>
      <c r="F433" s="864">
        <f t="shared" si="24"/>
        <v>5</v>
      </c>
      <c r="G433" s="864">
        <f t="shared" si="25"/>
        <v>23</v>
      </c>
      <c r="H433" s="864">
        <f t="shared" si="26"/>
        <v>2022</v>
      </c>
      <c r="I433" s="879">
        <f t="shared" si="27"/>
        <v>23</v>
      </c>
      <c r="J433" s="867" cm="1">
        <f t="array" ref="J433">INDEX($E:$E,MATCH($J$10,IF($B:$B=$B433,$I:$I),1))</f>
        <v>52336</v>
      </c>
    </row>
    <row r="434" spans="2:10">
      <c r="B434" s="817" t="s">
        <v>2028</v>
      </c>
      <c r="C434" s="817" t="s">
        <v>6138</v>
      </c>
      <c r="D434" s="866">
        <v>44718</v>
      </c>
      <c r="E434" s="817">
        <v>24091</v>
      </c>
      <c r="F434" s="864">
        <f t="shared" si="24"/>
        <v>6</v>
      </c>
      <c r="G434" s="864">
        <f t="shared" si="25"/>
        <v>24</v>
      </c>
      <c r="H434" s="864">
        <f t="shared" si="26"/>
        <v>2022</v>
      </c>
      <c r="I434" s="879">
        <f t="shared" si="27"/>
        <v>24</v>
      </c>
      <c r="J434" s="867" cm="1">
        <f t="array" ref="J434">INDEX($E:$E,MATCH($J$10,IF($B:$B=$B434,$I:$I),1))</f>
        <v>52336</v>
      </c>
    </row>
    <row r="435" spans="2:10">
      <c r="B435" s="817" t="s">
        <v>2028</v>
      </c>
      <c r="C435" s="817" t="s">
        <v>6138</v>
      </c>
      <c r="D435" s="863">
        <v>44725</v>
      </c>
      <c r="E435" s="817">
        <v>24452</v>
      </c>
      <c r="F435" s="864">
        <f t="shared" si="24"/>
        <v>6</v>
      </c>
      <c r="G435" s="864">
        <f t="shared" si="25"/>
        <v>25</v>
      </c>
      <c r="H435" s="864">
        <f t="shared" si="26"/>
        <v>2022</v>
      </c>
      <c r="I435" s="879">
        <f t="shared" si="27"/>
        <v>25</v>
      </c>
      <c r="J435" s="867" cm="1">
        <f t="array" ref="J435">INDEX($E:$E,MATCH($J$10,IF($B:$B=$B435,$I:$I),1))</f>
        <v>52336</v>
      </c>
    </row>
    <row r="436" spans="2:10">
      <c r="B436" s="817" t="s">
        <v>2028</v>
      </c>
      <c r="C436" s="817" t="s">
        <v>6138</v>
      </c>
      <c r="D436" s="866">
        <v>44732</v>
      </c>
      <c r="E436" s="817">
        <v>25042</v>
      </c>
      <c r="F436" s="864">
        <f t="shared" si="24"/>
        <v>6</v>
      </c>
      <c r="G436" s="864">
        <f t="shared" si="25"/>
        <v>26</v>
      </c>
      <c r="H436" s="864">
        <f t="shared" si="26"/>
        <v>2022</v>
      </c>
      <c r="I436" s="879">
        <f t="shared" si="27"/>
        <v>26</v>
      </c>
      <c r="J436" s="867" cm="1">
        <f t="array" ref="J436">INDEX($E:$E,MATCH($J$10,IF($B:$B=$B436,$I:$I),1))</f>
        <v>52336</v>
      </c>
    </row>
    <row r="437" spans="2:10">
      <c r="B437" s="817" t="s">
        <v>2028</v>
      </c>
      <c r="C437" s="817" t="s">
        <v>6138</v>
      </c>
      <c r="D437" s="863">
        <v>44739</v>
      </c>
      <c r="E437" s="817">
        <v>25800</v>
      </c>
      <c r="F437" s="864">
        <f t="shared" si="24"/>
        <v>6</v>
      </c>
      <c r="G437" s="864">
        <f t="shared" si="25"/>
        <v>27</v>
      </c>
      <c r="H437" s="864">
        <f t="shared" si="26"/>
        <v>2022</v>
      </c>
      <c r="I437" s="879">
        <f t="shared" si="27"/>
        <v>27</v>
      </c>
      <c r="J437" s="867" cm="1">
        <f t="array" ref="J437">INDEX($E:$E,MATCH($J$10,IF($B:$B=$B437,$I:$I),1))</f>
        <v>52336</v>
      </c>
    </row>
    <row r="438" spans="2:10">
      <c r="B438" s="817" t="s">
        <v>2028</v>
      </c>
      <c r="C438" s="817" t="s">
        <v>6138</v>
      </c>
      <c r="D438" s="866">
        <v>44747</v>
      </c>
      <c r="E438" s="817">
        <v>26199</v>
      </c>
      <c r="F438" s="864">
        <f t="shared" si="24"/>
        <v>7</v>
      </c>
      <c r="G438" s="864">
        <f t="shared" si="25"/>
        <v>28</v>
      </c>
      <c r="H438" s="864">
        <f t="shared" si="26"/>
        <v>2022</v>
      </c>
      <c r="I438" s="879">
        <f t="shared" si="27"/>
        <v>28</v>
      </c>
      <c r="J438" s="867" cm="1">
        <f t="array" ref="J438">INDEX($E:$E,MATCH($J$10,IF($B:$B=$B438,$I:$I),1))</f>
        <v>52336</v>
      </c>
    </row>
    <row r="439" spans="2:10">
      <c r="B439" s="817" t="s">
        <v>2028</v>
      </c>
      <c r="C439" s="817" t="s">
        <v>6138</v>
      </c>
      <c r="D439" s="863">
        <v>44752</v>
      </c>
      <c r="E439" s="817">
        <v>26563</v>
      </c>
      <c r="F439" s="864">
        <f t="shared" si="24"/>
        <v>7</v>
      </c>
      <c r="G439" s="864">
        <f t="shared" si="25"/>
        <v>29</v>
      </c>
      <c r="H439" s="864">
        <f t="shared" si="26"/>
        <v>2022</v>
      </c>
      <c r="I439" s="879">
        <f t="shared" si="27"/>
        <v>29</v>
      </c>
      <c r="J439" s="867" cm="1">
        <f t="array" ref="J439">INDEX($E:$E,MATCH($J$10,IF($B:$B=$B439,$I:$I),1))</f>
        <v>52336</v>
      </c>
    </row>
    <row r="440" spans="2:10">
      <c r="B440" s="817" t="s">
        <v>2028</v>
      </c>
      <c r="C440" s="817" t="s">
        <v>6138</v>
      </c>
      <c r="D440" s="866">
        <v>44761</v>
      </c>
      <c r="E440" s="817">
        <v>26932</v>
      </c>
      <c r="F440" s="864">
        <f t="shared" si="24"/>
        <v>7</v>
      </c>
      <c r="G440" s="864">
        <f t="shared" si="25"/>
        <v>30</v>
      </c>
      <c r="H440" s="864">
        <f t="shared" si="26"/>
        <v>2022</v>
      </c>
      <c r="I440" s="879">
        <f t="shared" si="27"/>
        <v>30</v>
      </c>
      <c r="J440" s="867" cm="1">
        <f t="array" ref="J440">INDEX($E:$E,MATCH($J$10,IF($B:$B=$B440,$I:$I),1))</f>
        <v>52336</v>
      </c>
    </row>
    <row r="441" spans="2:10">
      <c r="B441" s="817" t="s">
        <v>2028</v>
      </c>
      <c r="C441" s="817" t="s">
        <v>6138</v>
      </c>
      <c r="D441" s="863">
        <v>44768</v>
      </c>
      <c r="E441" s="817">
        <v>27316</v>
      </c>
      <c r="F441" s="864">
        <f t="shared" si="24"/>
        <v>7</v>
      </c>
      <c r="G441" s="864">
        <f t="shared" si="25"/>
        <v>31</v>
      </c>
      <c r="H441" s="864">
        <f t="shared" si="26"/>
        <v>2022</v>
      </c>
      <c r="I441" s="879">
        <f t="shared" si="27"/>
        <v>31</v>
      </c>
      <c r="J441" s="867" cm="1">
        <f t="array" ref="J441">INDEX($E:$E,MATCH($J$10,IF($B:$B=$B441,$I:$I),1))</f>
        <v>52336</v>
      </c>
    </row>
    <row r="442" spans="2:10">
      <c r="B442" s="817" t="s">
        <v>2028</v>
      </c>
      <c r="C442" s="817" t="s">
        <v>6138</v>
      </c>
      <c r="D442" s="866">
        <v>44775</v>
      </c>
      <c r="E442" s="817">
        <v>27657</v>
      </c>
      <c r="F442" s="864">
        <f t="shared" si="24"/>
        <v>8</v>
      </c>
      <c r="G442" s="864">
        <f t="shared" si="25"/>
        <v>32</v>
      </c>
      <c r="H442" s="864">
        <f t="shared" si="26"/>
        <v>2022</v>
      </c>
      <c r="I442" s="879">
        <f t="shared" si="27"/>
        <v>32</v>
      </c>
      <c r="J442" s="867" cm="1">
        <f t="array" ref="J442">INDEX($E:$E,MATCH($J$10,IF($B:$B=$B442,$I:$I),1))</f>
        <v>52336</v>
      </c>
    </row>
    <row r="443" spans="2:10">
      <c r="B443" s="817" t="s">
        <v>2028</v>
      </c>
      <c r="C443" s="817" t="s">
        <v>6138</v>
      </c>
      <c r="D443" s="863">
        <v>44782</v>
      </c>
      <c r="E443" s="817">
        <v>27861</v>
      </c>
      <c r="F443" s="864">
        <f t="shared" si="24"/>
        <v>8</v>
      </c>
      <c r="G443" s="864">
        <f t="shared" si="25"/>
        <v>33</v>
      </c>
      <c r="H443" s="864">
        <f t="shared" si="26"/>
        <v>2022</v>
      </c>
      <c r="I443" s="879">
        <f t="shared" si="27"/>
        <v>33</v>
      </c>
      <c r="J443" s="867" cm="1">
        <f t="array" ref="J443">INDEX($E:$E,MATCH($J$10,IF($B:$B=$B443,$I:$I),1))</f>
        <v>52336</v>
      </c>
    </row>
    <row r="444" spans="2:10">
      <c r="B444" s="817" t="s">
        <v>2028</v>
      </c>
      <c r="C444" s="817" t="s">
        <v>6138</v>
      </c>
      <c r="D444" s="866">
        <v>44789</v>
      </c>
      <c r="E444" s="817">
        <v>28289</v>
      </c>
      <c r="F444" s="864">
        <f t="shared" si="24"/>
        <v>8</v>
      </c>
      <c r="G444" s="864">
        <f t="shared" si="25"/>
        <v>34</v>
      </c>
      <c r="H444" s="864">
        <f t="shared" si="26"/>
        <v>2022</v>
      </c>
      <c r="I444" s="879">
        <f t="shared" si="27"/>
        <v>34</v>
      </c>
      <c r="J444" s="867" cm="1">
        <f t="array" ref="J444">INDEX($E:$E,MATCH($J$10,IF($B:$B=$B444,$I:$I),1))</f>
        <v>52336</v>
      </c>
    </row>
    <row r="445" spans="2:10">
      <c r="B445" s="817" t="s">
        <v>2028</v>
      </c>
      <c r="C445" s="817" t="s">
        <v>6138</v>
      </c>
      <c r="D445" s="863">
        <v>44796</v>
      </c>
      <c r="E445" s="817">
        <v>28640</v>
      </c>
      <c r="F445" s="864">
        <f t="shared" si="24"/>
        <v>8</v>
      </c>
      <c r="G445" s="864">
        <f t="shared" si="25"/>
        <v>35</v>
      </c>
      <c r="H445" s="864">
        <f t="shared" si="26"/>
        <v>2022</v>
      </c>
      <c r="I445" s="879">
        <f t="shared" si="27"/>
        <v>35</v>
      </c>
      <c r="J445" s="867" cm="1">
        <f t="array" ref="J445">INDEX($E:$E,MATCH($J$10,IF($B:$B=$B445,$I:$I),1))</f>
        <v>52336</v>
      </c>
    </row>
    <row r="446" spans="2:10">
      <c r="B446" s="817" t="s">
        <v>2028</v>
      </c>
      <c r="C446" s="817" t="s">
        <v>6138</v>
      </c>
      <c r="D446" s="866">
        <v>44803</v>
      </c>
      <c r="E446" s="817">
        <v>29027</v>
      </c>
      <c r="F446" s="864">
        <f t="shared" si="24"/>
        <v>8</v>
      </c>
      <c r="G446" s="864">
        <f t="shared" si="25"/>
        <v>36</v>
      </c>
      <c r="H446" s="864">
        <f t="shared" si="26"/>
        <v>2022</v>
      </c>
      <c r="I446" s="879">
        <f t="shared" si="27"/>
        <v>36</v>
      </c>
      <c r="J446" s="867" cm="1">
        <f t="array" ref="J446">INDEX($E:$E,MATCH($J$10,IF($B:$B=$B446,$I:$I),1))</f>
        <v>52336</v>
      </c>
    </row>
    <row r="447" spans="2:10">
      <c r="B447" s="817" t="s">
        <v>2028</v>
      </c>
      <c r="C447" s="817" t="s">
        <v>6138</v>
      </c>
      <c r="D447" s="863">
        <v>44810</v>
      </c>
      <c r="E447" s="817">
        <v>29170</v>
      </c>
      <c r="F447" s="864">
        <f t="shared" si="24"/>
        <v>9</v>
      </c>
      <c r="G447" s="864">
        <f t="shared" si="25"/>
        <v>37</v>
      </c>
      <c r="H447" s="864">
        <f t="shared" si="26"/>
        <v>2022</v>
      </c>
      <c r="I447" s="879">
        <f t="shared" si="27"/>
        <v>37</v>
      </c>
      <c r="J447" s="867" cm="1">
        <f t="array" ref="J447">INDEX($E:$E,MATCH($J$10,IF($B:$B=$B447,$I:$I),1))</f>
        <v>52336</v>
      </c>
    </row>
    <row r="448" spans="2:10">
      <c r="B448" s="817" t="s">
        <v>2028</v>
      </c>
      <c r="C448" s="817" t="s">
        <v>6138</v>
      </c>
      <c r="D448" s="866">
        <v>44817</v>
      </c>
      <c r="E448" s="817">
        <v>29170</v>
      </c>
      <c r="F448" s="864">
        <f t="shared" si="24"/>
        <v>9</v>
      </c>
      <c r="G448" s="864">
        <f t="shared" si="25"/>
        <v>38</v>
      </c>
      <c r="H448" s="864">
        <f t="shared" si="26"/>
        <v>2022</v>
      </c>
      <c r="I448" s="879">
        <f t="shared" si="27"/>
        <v>38</v>
      </c>
      <c r="J448" s="867" cm="1">
        <f t="array" ref="J448">INDEX($E:$E,MATCH($J$10,IF($B:$B=$B448,$I:$I),1))</f>
        <v>52336</v>
      </c>
    </row>
    <row r="449" spans="2:10">
      <c r="B449" s="817" t="s">
        <v>2028</v>
      </c>
      <c r="C449" s="817" t="s">
        <v>6138</v>
      </c>
      <c r="D449" s="863">
        <v>44824</v>
      </c>
      <c r="E449" s="817">
        <v>29903</v>
      </c>
      <c r="F449" s="864">
        <f t="shared" si="24"/>
        <v>9</v>
      </c>
      <c r="G449" s="864">
        <f t="shared" si="25"/>
        <v>39</v>
      </c>
      <c r="H449" s="864">
        <f t="shared" si="26"/>
        <v>2022</v>
      </c>
      <c r="I449" s="879">
        <f t="shared" si="27"/>
        <v>39</v>
      </c>
      <c r="J449" s="867" cm="1">
        <f t="array" ref="J449">INDEX($E:$E,MATCH($J$10,IF($B:$B=$B449,$I:$I),1))</f>
        <v>52336</v>
      </c>
    </row>
    <row r="450" spans="2:10">
      <c r="B450" s="817" t="s">
        <v>2028</v>
      </c>
      <c r="C450" s="817" t="s">
        <v>6138</v>
      </c>
      <c r="D450" s="866">
        <v>44831</v>
      </c>
      <c r="E450" s="817">
        <v>30000</v>
      </c>
      <c r="F450" s="864">
        <f t="shared" si="24"/>
        <v>9</v>
      </c>
      <c r="G450" s="864">
        <f t="shared" si="25"/>
        <v>40</v>
      </c>
      <c r="H450" s="864">
        <f t="shared" si="26"/>
        <v>2022</v>
      </c>
      <c r="I450" s="879">
        <f t="shared" si="27"/>
        <v>40</v>
      </c>
      <c r="J450" s="867" cm="1">
        <f t="array" ref="J450">INDEX($E:$E,MATCH($J$10,IF($B:$B=$B450,$I:$I),1))</f>
        <v>52336</v>
      </c>
    </row>
    <row r="451" spans="2:10">
      <c r="B451" s="817" t="s">
        <v>2028</v>
      </c>
      <c r="C451" s="817" t="s">
        <v>6138</v>
      </c>
      <c r="D451" s="863">
        <v>44838</v>
      </c>
      <c r="E451" s="817">
        <v>30000</v>
      </c>
      <c r="F451" s="864">
        <f t="shared" si="24"/>
        <v>10</v>
      </c>
      <c r="G451" s="864">
        <f t="shared" si="25"/>
        <v>41</v>
      </c>
      <c r="H451" s="864">
        <f t="shared" si="26"/>
        <v>2022</v>
      </c>
      <c r="I451" s="879">
        <f t="shared" si="27"/>
        <v>41</v>
      </c>
      <c r="J451" s="867" cm="1">
        <f t="array" ref="J451">INDEX($E:$E,MATCH($J$10,IF($B:$B=$B451,$I:$I),1))</f>
        <v>52336</v>
      </c>
    </row>
    <row r="452" spans="2:10">
      <c r="B452" s="817" t="s">
        <v>2028</v>
      </c>
      <c r="C452" s="817" t="s">
        <v>6138</v>
      </c>
      <c r="D452" s="866">
        <v>44845</v>
      </c>
      <c r="E452" s="817">
        <v>30000</v>
      </c>
      <c r="F452" s="864">
        <f t="shared" si="24"/>
        <v>10</v>
      </c>
      <c r="G452" s="864">
        <f t="shared" si="25"/>
        <v>42</v>
      </c>
      <c r="H452" s="864">
        <f t="shared" si="26"/>
        <v>2022</v>
      </c>
      <c r="I452" s="879">
        <f t="shared" si="27"/>
        <v>42</v>
      </c>
      <c r="J452" s="867" cm="1">
        <f t="array" ref="J452">INDEX($E:$E,MATCH($J$10,IF($B:$B=$B452,$I:$I),1))</f>
        <v>52336</v>
      </c>
    </row>
    <row r="453" spans="2:10">
      <c r="B453" s="817" t="s">
        <v>2028</v>
      </c>
      <c r="C453" s="817" t="s">
        <v>6138</v>
      </c>
      <c r="D453" s="863">
        <v>44852</v>
      </c>
      <c r="E453" s="817">
        <v>30000</v>
      </c>
      <c r="F453" s="864">
        <f t="shared" si="24"/>
        <v>10</v>
      </c>
      <c r="G453" s="864">
        <f t="shared" si="25"/>
        <v>43</v>
      </c>
      <c r="H453" s="864">
        <f t="shared" si="26"/>
        <v>2022</v>
      </c>
      <c r="I453" s="879">
        <f t="shared" si="27"/>
        <v>43</v>
      </c>
      <c r="J453" s="867" cm="1">
        <f t="array" ref="J453">INDEX($E:$E,MATCH($J$10,IF($B:$B=$B453,$I:$I),1))</f>
        <v>52336</v>
      </c>
    </row>
    <row r="454" spans="2:10">
      <c r="B454" s="817" t="s">
        <v>2028</v>
      </c>
      <c r="C454" s="817" t="s">
        <v>6138</v>
      </c>
      <c r="D454" s="866">
        <v>44859</v>
      </c>
      <c r="E454" s="817">
        <v>31290</v>
      </c>
      <c r="F454" s="864">
        <f t="shared" si="24"/>
        <v>10</v>
      </c>
      <c r="G454" s="864">
        <f t="shared" si="25"/>
        <v>44</v>
      </c>
      <c r="H454" s="864">
        <f t="shared" si="26"/>
        <v>2022</v>
      </c>
      <c r="I454" s="879">
        <f t="shared" si="27"/>
        <v>44</v>
      </c>
      <c r="J454" s="867" cm="1">
        <f t="array" ref="J454">INDEX($E:$E,MATCH($J$10,IF($B:$B=$B454,$I:$I),1))</f>
        <v>52336</v>
      </c>
    </row>
    <row r="455" spans="2:10">
      <c r="B455" s="817" t="s">
        <v>2028</v>
      </c>
      <c r="C455" s="817" t="s">
        <v>6138</v>
      </c>
      <c r="D455" s="863">
        <v>44866</v>
      </c>
      <c r="E455" s="817">
        <v>31290</v>
      </c>
      <c r="F455" s="864">
        <f t="shared" si="24"/>
        <v>11</v>
      </c>
      <c r="G455" s="864">
        <f t="shared" si="25"/>
        <v>45</v>
      </c>
      <c r="H455" s="864">
        <f t="shared" si="26"/>
        <v>2022</v>
      </c>
      <c r="I455" s="879">
        <f t="shared" si="27"/>
        <v>45</v>
      </c>
      <c r="J455" s="867" cm="1">
        <f t="array" ref="J455">INDEX($E:$E,MATCH($J$10,IF($B:$B=$B455,$I:$I),1))</f>
        <v>52336</v>
      </c>
    </row>
    <row r="456" spans="2:10">
      <c r="B456" s="817" t="s">
        <v>2028</v>
      </c>
      <c r="C456" s="817" t="s">
        <v>6138</v>
      </c>
      <c r="D456" s="866">
        <v>44873</v>
      </c>
      <c r="E456" s="817">
        <v>31290</v>
      </c>
      <c r="F456" s="864">
        <f t="shared" si="24"/>
        <v>11</v>
      </c>
      <c r="G456" s="864">
        <f t="shared" si="25"/>
        <v>46</v>
      </c>
      <c r="H456" s="864">
        <f t="shared" si="26"/>
        <v>2022</v>
      </c>
      <c r="I456" s="879">
        <f t="shared" si="27"/>
        <v>46</v>
      </c>
      <c r="J456" s="867" cm="1">
        <f t="array" ref="J456">INDEX($E:$E,MATCH($J$10,IF($B:$B=$B456,$I:$I),1))</f>
        <v>52336</v>
      </c>
    </row>
    <row r="457" spans="2:10">
      <c r="B457" s="817" t="s">
        <v>2028</v>
      </c>
      <c r="C457" s="817" t="s">
        <v>6138</v>
      </c>
      <c r="D457" s="863">
        <v>44880</v>
      </c>
      <c r="E457" s="817">
        <v>31989</v>
      </c>
      <c r="F457" s="864">
        <f t="shared" si="24"/>
        <v>11</v>
      </c>
      <c r="G457" s="864">
        <f t="shared" si="25"/>
        <v>47</v>
      </c>
      <c r="H457" s="864">
        <f t="shared" si="26"/>
        <v>2022</v>
      </c>
      <c r="I457" s="879">
        <f t="shared" si="27"/>
        <v>47</v>
      </c>
      <c r="J457" s="867" cm="1">
        <f t="array" ref="J457">INDEX($E:$E,MATCH($J$10,IF($B:$B=$B457,$I:$I),1))</f>
        <v>52336</v>
      </c>
    </row>
    <row r="458" spans="2:10">
      <c r="B458" s="817" t="s">
        <v>2028</v>
      </c>
      <c r="C458" s="817" t="s">
        <v>6138</v>
      </c>
      <c r="D458" s="866">
        <v>44887</v>
      </c>
      <c r="E458" s="817">
        <v>32271</v>
      </c>
      <c r="F458" s="864">
        <f t="shared" si="24"/>
        <v>11</v>
      </c>
      <c r="G458" s="864">
        <f t="shared" si="25"/>
        <v>48</v>
      </c>
      <c r="H458" s="864">
        <f t="shared" si="26"/>
        <v>2022</v>
      </c>
      <c r="I458" s="879">
        <f t="shared" si="27"/>
        <v>48</v>
      </c>
      <c r="J458" s="867" cm="1">
        <f t="array" ref="J458">INDEX($E:$E,MATCH($J$10,IF($B:$B=$B458,$I:$I),1))</f>
        <v>52336</v>
      </c>
    </row>
    <row r="459" spans="2:10">
      <c r="B459" s="817" t="s">
        <v>2028</v>
      </c>
      <c r="C459" s="817" t="s">
        <v>6138</v>
      </c>
      <c r="D459" s="863">
        <v>44894</v>
      </c>
      <c r="E459" s="817">
        <v>32271</v>
      </c>
      <c r="F459" s="864">
        <f t="shared" si="24"/>
        <v>11</v>
      </c>
      <c r="G459" s="864">
        <f t="shared" si="25"/>
        <v>49</v>
      </c>
      <c r="H459" s="864">
        <f t="shared" si="26"/>
        <v>2022</v>
      </c>
      <c r="I459" s="879">
        <f t="shared" si="27"/>
        <v>49</v>
      </c>
      <c r="J459" s="867" cm="1">
        <f t="array" ref="J459">INDEX($E:$E,MATCH($J$10,IF($B:$B=$B459,$I:$I),1))</f>
        <v>52336</v>
      </c>
    </row>
    <row r="460" spans="2:10">
      <c r="B460" s="817" t="s">
        <v>2028</v>
      </c>
      <c r="C460" s="817" t="s">
        <v>6138</v>
      </c>
      <c r="D460" s="866">
        <v>44901</v>
      </c>
      <c r="E460" s="817">
        <v>32628</v>
      </c>
      <c r="F460" s="864">
        <f t="shared" ref="F460:F523" si="28">MONTH(D460)</f>
        <v>12</v>
      </c>
      <c r="G460" s="864">
        <f t="shared" ref="G460:G523" si="29">WEEKNUM(D460)</f>
        <v>50</v>
      </c>
      <c r="H460" s="864">
        <f t="shared" ref="H460:H523" si="30">YEAR(D460)</f>
        <v>2022</v>
      </c>
      <c r="I460" s="879">
        <f t="shared" ref="I460:I523" si="31">(H460-2022)*53+G460</f>
        <v>50</v>
      </c>
      <c r="J460" s="867" cm="1">
        <f t="array" ref="J460">INDEX($E:$E,MATCH($J$10,IF($B:$B=$B460,$I:$I),1))</f>
        <v>52336</v>
      </c>
    </row>
    <row r="461" spans="2:10">
      <c r="B461" s="817" t="s">
        <v>2028</v>
      </c>
      <c r="C461" s="817" t="s">
        <v>6138</v>
      </c>
      <c r="D461" s="863">
        <v>44908</v>
      </c>
      <c r="E461" s="817">
        <v>32850</v>
      </c>
      <c r="F461" s="864">
        <f t="shared" si="28"/>
        <v>12</v>
      </c>
      <c r="G461" s="864">
        <f t="shared" si="29"/>
        <v>51</v>
      </c>
      <c r="H461" s="864">
        <f t="shared" si="30"/>
        <v>2022</v>
      </c>
      <c r="I461" s="879">
        <f t="shared" si="31"/>
        <v>51</v>
      </c>
      <c r="J461" s="867" cm="1">
        <f t="array" ref="J461">INDEX($E:$E,MATCH($J$10,IF($B:$B=$B461,$I:$I),1))</f>
        <v>52336</v>
      </c>
    </row>
    <row r="462" spans="2:10">
      <c r="B462" s="817" t="s">
        <v>2028</v>
      </c>
      <c r="C462" s="817" t="s">
        <v>6138</v>
      </c>
      <c r="D462" s="866">
        <v>44915</v>
      </c>
      <c r="E462" s="817">
        <v>32850</v>
      </c>
      <c r="F462" s="864">
        <f t="shared" si="28"/>
        <v>12</v>
      </c>
      <c r="G462" s="864">
        <f t="shared" si="29"/>
        <v>52</v>
      </c>
      <c r="H462" s="864">
        <f t="shared" si="30"/>
        <v>2022</v>
      </c>
      <c r="I462" s="879">
        <f t="shared" si="31"/>
        <v>52</v>
      </c>
      <c r="J462" s="867" cm="1">
        <f t="array" ref="J462">INDEX($E:$E,MATCH($J$10,IF($B:$B=$B462,$I:$I),1))</f>
        <v>52336</v>
      </c>
    </row>
    <row r="463" spans="2:10">
      <c r="B463" s="817" t="s">
        <v>2028</v>
      </c>
      <c r="C463" s="817" t="s">
        <v>6138</v>
      </c>
      <c r="D463" s="863">
        <v>44916</v>
      </c>
      <c r="E463" s="817">
        <v>33218</v>
      </c>
      <c r="F463" s="864">
        <f t="shared" si="28"/>
        <v>12</v>
      </c>
      <c r="G463" s="864">
        <f t="shared" si="29"/>
        <v>52</v>
      </c>
      <c r="H463" s="864">
        <f t="shared" si="30"/>
        <v>2022</v>
      </c>
      <c r="I463" s="879">
        <f t="shared" si="31"/>
        <v>52</v>
      </c>
      <c r="J463" s="867" cm="1">
        <f t="array" ref="J463">INDEX($E:$E,MATCH($J$10,IF($B:$B=$B463,$I:$I),1))</f>
        <v>52336</v>
      </c>
    </row>
    <row r="464" spans="2:10">
      <c r="B464" s="817" t="s">
        <v>2028</v>
      </c>
      <c r="C464" s="817" t="s">
        <v>6138</v>
      </c>
      <c r="D464" s="866">
        <v>44929</v>
      </c>
      <c r="E464" s="817">
        <v>33316</v>
      </c>
      <c r="F464" s="864">
        <f t="shared" si="28"/>
        <v>1</v>
      </c>
      <c r="G464" s="864">
        <f t="shared" si="29"/>
        <v>1</v>
      </c>
      <c r="H464" s="864">
        <f t="shared" si="30"/>
        <v>2023</v>
      </c>
      <c r="I464" s="879">
        <f t="shared" si="31"/>
        <v>54</v>
      </c>
      <c r="J464" s="867" cm="1">
        <f t="array" ref="J464">INDEX($E:$E,MATCH($J$10,IF($B:$B=$B464,$I:$I),1))</f>
        <v>52336</v>
      </c>
    </row>
    <row r="465" spans="2:10">
      <c r="B465" s="817" t="s">
        <v>2028</v>
      </c>
      <c r="C465" s="817" t="s">
        <v>6138</v>
      </c>
      <c r="D465" s="863">
        <v>44936</v>
      </c>
      <c r="E465" s="817">
        <v>33446</v>
      </c>
      <c r="F465" s="864">
        <f t="shared" si="28"/>
        <v>1</v>
      </c>
      <c r="G465" s="864">
        <f t="shared" si="29"/>
        <v>2</v>
      </c>
      <c r="H465" s="864">
        <f t="shared" si="30"/>
        <v>2023</v>
      </c>
      <c r="I465" s="879">
        <f t="shared" si="31"/>
        <v>55</v>
      </c>
      <c r="J465" s="867" cm="1">
        <f t="array" ref="J465">INDEX($E:$E,MATCH($J$10,IF($B:$B=$B465,$I:$I),1))</f>
        <v>52336</v>
      </c>
    </row>
    <row r="466" spans="2:10">
      <c r="B466" s="817" t="s">
        <v>2028</v>
      </c>
      <c r="C466" s="817" t="s">
        <v>6138</v>
      </c>
      <c r="D466" s="866">
        <v>44943</v>
      </c>
      <c r="E466" s="817">
        <v>33603</v>
      </c>
      <c r="F466" s="864">
        <f t="shared" si="28"/>
        <v>1</v>
      </c>
      <c r="G466" s="864">
        <f t="shared" si="29"/>
        <v>3</v>
      </c>
      <c r="H466" s="864">
        <f t="shared" si="30"/>
        <v>2023</v>
      </c>
      <c r="I466" s="879">
        <f t="shared" si="31"/>
        <v>56</v>
      </c>
      <c r="J466" s="867" cm="1">
        <f t="array" ref="J466">INDEX($E:$E,MATCH($J$10,IF($B:$B=$B466,$I:$I),1))</f>
        <v>52336</v>
      </c>
    </row>
    <row r="467" spans="2:10">
      <c r="B467" s="817" t="s">
        <v>2028</v>
      </c>
      <c r="C467" s="817" t="s">
        <v>6138</v>
      </c>
      <c r="D467" s="863">
        <v>44950</v>
      </c>
      <c r="E467" s="817">
        <v>33603</v>
      </c>
      <c r="F467" s="864">
        <f t="shared" si="28"/>
        <v>1</v>
      </c>
      <c r="G467" s="864">
        <f t="shared" si="29"/>
        <v>4</v>
      </c>
      <c r="H467" s="864">
        <f t="shared" si="30"/>
        <v>2023</v>
      </c>
      <c r="I467" s="879">
        <f t="shared" si="31"/>
        <v>57</v>
      </c>
      <c r="J467" s="867" cm="1">
        <f t="array" ref="J467">INDEX($E:$E,MATCH($J$10,IF($B:$B=$B467,$I:$I),1))</f>
        <v>52336</v>
      </c>
    </row>
    <row r="468" spans="2:10">
      <c r="B468" s="817" t="s">
        <v>2028</v>
      </c>
      <c r="C468" s="817" t="s">
        <v>6138</v>
      </c>
      <c r="D468" s="866">
        <v>44962</v>
      </c>
      <c r="E468" s="817">
        <v>34248</v>
      </c>
      <c r="F468" s="864">
        <f t="shared" si="28"/>
        <v>2</v>
      </c>
      <c r="G468" s="864">
        <f t="shared" si="29"/>
        <v>6</v>
      </c>
      <c r="H468" s="864">
        <f t="shared" si="30"/>
        <v>2023</v>
      </c>
      <c r="I468" s="879">
        <f t="shared" si="31"/>
        <v>59</v>
      </c>
      <c r="J468" s="867" cm="1">
        <f t="array" ref="J468">INDEX($E:$E,MATCH($J$10,IF($B:$B=$B468,$I:$I),1))</f>
        <v>52336</v>
      </c>
    </row>
    <row r="469" spans="2:10">
      <c r="B469" s="817" t="s">
        <v>2028</v>
      </c>
      <c r="C469" s="817" t="s">
        <v>6138</v>
      </c>
      <c r="D469" s="863">
        <v>45046</v>
      </c>
      <c r="E469" s="817">
        <v>52336</v>
      </c>
      <c r="F469" s="864">
        <f t="shared" si="28"/>
        <v>4</v>
      </c>
      <c r="G469" s="864">
        <f t="shared" si="29"/>
        <v>18</v>
      </c>
      <c r="H469" s="864">
        <f t="shared" si="30"/>
        <v>2023</v>
      </c>
      <c r="I469" s="879">
        <f t="shared" si="31"/>
        <v>71</v>
      </c>
      <c r="J469" s="867" cm="1">
        <f t="array" ref="J469">INDEX($E:$E,MATCH($J$10,IF($B:$B=$B469,$I:$I),1))</f>
        <v>52336</v>
      </c>
    </row>
    <row r="470" spans="2:10">
      <c r="B470" s="817" t="s">
        <v>2139</v>
      </c>
      <c r="C470" s="817" t="s">
        <v>6139</v>
      </c>
      <c r="D470" s="863">
        <v>44706</v>
      </c>
      <c r="E470" s="817">
        <v>997</v>
      </c>
      <c r="F470" s="864">
        <f t="shared" si="28"/>
        <v>5</v>
      </c>
      <c r="G470" s="864">
        <f t="shared" si="29"/>
        <v>22</v>
      </c>
      <c r="H470" s="864">
        <f t="shared" si="30"/>
        <v>2022</v>
      </c>
      <c r="I470" s="879">
        <f t="shared" si="31"/>
        <v>22</v>
      </c>
      <c r="J470" s="867" cm="1">
        <f t="array" ref="J470">INDEX($E:$E,MATCH($J$10,IF($B:$B=$B470,$I:$I),1))</f>
        <v>3010</v>
      </c>
    </row>
    <row r="471" spans="2:10">
      <c r="B471" s="817" t="s">
        <v>2139</v>
      </c>
      <c r="C471" s="817" t="s">
        <v>6139</v>
      </c>
      <c r="D471" s="863">
        <v>44726</v>
      </c>
      <c r="E471" s="817">
        <v>997</v>
      </c>
      <c r="F471" s="864">
        <f t="shared" si="28"/>
        <v>6</v>
      </c>
      <c r="G471" s="864">
        <f t="shared" si="29"/>
        <v>25</v>
      </c>
      <c r="H471" s="864">
        <f t="shared" si="30"/>
        <v>2022</v>
      </c>
      <c r="I471" s="879">
        <f t="shared" si="31"/>
        <v>25</v>
      </c>
      <c r="J471" s="867" cm="1">
        <f t="array" ref="J471">INDEX($E:$E,MATCH($J$10,IF($B:$B=$B471,$I:$I),1))</f>
        <v>3010</v>
      </c>
    </row>
    <row r="472" spans="2:10">
      <c r="B472" s="817" t="s">
        <v>2139</v>
      </c>
      <c r="C472" s="817" t="s">
        <v>6139</v>
      </c>
      <c r="D472" s="863">
        <v>44733</v>
      </c>
      <c r="E472" s="817">
        <v>997</v>
      </c>
      <c r="F472" s="864">
        <f t="shared" si="28"/>
        <v>6</v>
      </c>
      <c r="G472" s="864">
        <f t="shared" si="29"/>
        <v>26</v>
      </c>
      <c r="H472" s="864">
        <f t="shared" si="30"/>
        <v>2022</v>
      </c>
      <c r="I472" s="879">
        <f t="shared" si="31"/>
        <v>26</v>
      </c>
      <c r="J472" s="867" cm="1">
        <f t="array" ref="J472">INDEX($E:$E,MATCH($J$10,IF($B:$B=$B472,$I:$I),1))</f>
        <v>3010</v>
      </c>
    </row>
    <row r="473" spans="2:10">
      <c r="B473" s="817" t="s">
        <v>2139</v>
      </c>
      <c r="C473" s="817" t="s">
        <v>6139</v>
      </c>
      <c r="D473" s="863">
        <v>44740</v>
      </c>
      <c r="E473" s="817">
        <v>1215</v>
      </c>
      <c r="F473" s="864">
        <f t="shared" si="28"/>
        <v>6</v>
      </c>
      <c r="G473" s="864">
        <f t="shared" si="29"/>
        <v>27</v>
      </c>
      <c r="H473" s="864">
        <f t="shared" si="30"/>
        <v>2022</v>
      </c>
      <c r="I473" s="879">
        <f t="shared" si="31"/>
        <v>27</v>
      </c>
      <c r="J473" s="867" cm="1">
        <f t="array" ref="J473">INDEX($E:$E,MATCH($J$10,IF($B:$B=$B473,$I:$I),1))</f>
        <v>3010</v>
      </c>
    </row>
    <row r="474" spans="2:10">
      <c r="B474" s="817" t="s">
        <v>2139</v>
      </c>
      <c r="C474" s="817" t="s">
        <v>6139</v>
      </c>
      <c r="D474" s="863">
        <v>44747</v>
      </c>
      <c r="E474" s="817">
        <v>1215</v>
      </c>
      <c r="F474" s="864">
        <f t="shared" si="28"/>
        <v>7</v>
      </c>
      <c r="G474" s="864">
        <f t="shared" si="29"/>
        <v>28</v>
      </c>
      <c r="H474" s="864">
        <f t="shared" si="30"/>
        <v>2022</v>
      </c>
      <c r="I474" s="879">
        <f t="shared" si="31"/>
        <v>28</v>
      </c>
      <c r="J474" s="867" cm="1">
        <f t="array" ref="J474">INDEX($E:$E,MATCH($J$10,IF($B:$B=$B474,$I:$I),1))</f>
        <v>3010</v>
      </c>
    </row>
    <row r="475" spans="2:10">
      <c r="B475" s="817" t="s">
        <v>2139</v>
      </c>
      <c r="C475" s="817" t="s">
        <v>6139</v>
      </c>
      <c r="D475" s="863">
        <v>44754</v>
      </c>
      <c r="E475" s="817">
        <v>1215</v>
      </c>
      <c r="F475" s="864">
        <f t="shared" si="28"/>
        <v>7</v>
      </c>
      <c r="G475" s="864">
        <f t="shared" si="29"/>
        <v>29</v>
      </c>
      <c r="H475" s="864">
        <f t="shared" si="30"/>
        <v>2022</v>
      </c>
      <c r="I475" s="879">
        <f t="shared" si="31"/>
        <v>29</v>
      </c>
      <c r="J475" s="867" cm="1">
        <f t="array" ref="J475">INDEX($E:$E,MATCH($J$10,IF($B:$B=$B475,$I:$I),1))</f>
        <v>3010</v>
      </c>
    </row>
    <row r="476" spans="2:10">
      <c r="B476" s="817" t="s">
        <v>2139</v>
      </c>
      <c r="C476" s="817" t="s">
        <v>6139</v>
      </c>
      <c r="D476" s="863">
        <v>44761</v>
      </c>
      <c r="E476" s="817">
        <v>1215</v>
      </c>
      <c r="F476" s="864">
        <f t="shared" si="28"/>
        <v>7</v>
      </c>
      <c r="G476" s="864">
        <f t="shared" si="29"/>
        <v>30</v>
      </c>
      <c r="H476" s="864">
        <f t="shared" si="30"/>
        <v>2022</v>
      </c>
      <c r="I476" s="879">
        <f t="shared" si="31"/>
        <v>30</v>
      </c>
      <c r="J476" s="867" cm="1">
        <f t="array" ref="J476">INDEX($E:$E,MATCH($J$10,IF($B:$B=$B476,$I:$I),1))</f>
        <v>3010</v>
      </c>
    </row>
    <row r="477" spans="2:10">
      <c r="B477" s="817" t="s">
        <v>2139</v>
      </c>
      <c r="C477" s="817" t="s">
        <v>6139</v>
      </c>
      <c r="D477" s="863">
        <v>44768</v>
      </c>
      <c r="E477" s="817">
        <v>1215</v>
      </c>
      <c r="F477" s="864">
        <f t="shared" si="28"/>
        <v>7</v>
      </c>
      <c r="G477" s="864">
        <f t="shared" si="29"/>
        <v>31</v>
      </c>
      <c r="H477" s="864">
        <f t="shared" si="30"/>
        <v>2022</v>
      </c>
      <c r="I477" s="879">
        <f t="shared" si="31"/>
        <v>31</v>
      </c>
      <c r="J477" s="867" cm="1">
        <f t="array" ref="J477">INDEX($E:$E,MATCH($J$10,IF($B:$B=$B477,$I:$I),1))</f>
        <v>3010</v>
      </c>
    </row>
    <row r="478" spans="2:10">
      <c r="B478" s="817" t="s">
        <v>2139</v>
      </c>
      <c r="C478" s="817" t="s">
        <v>6139</v>
      </c>
      <c r="D478" s="863">
        <v>44775</v>
      </c>
      <c r="E478" s="817">
        <v>1215</v>
      </c>
      <c r="F478" s="864">
        <f t="shared" si="28"/>
        <v>8</v>
      </c>
      <c r="G478" s="864">
        <f t="shared" si="29"/>
        <v>32</v>
      </c>
      <c r="H478" s="864">
        <f t="shared" si="30"/>
        <v>2022</v>
      </c>
      <c r="I478" s="879">
        <f t="shared" si="31"/>
        <v>32</v>
      </c>
      <c r="J478" s="867" cm="1">
        <f t="array" ref="J478">INDEX($E:$E,MATCH($J$10,IF($B:$B=$B478,$I:$I),1))</f>
        <v>3010</v>
      </c>
    </row>
    <row r="479" spans="2:10">
      <c r="B479" s="817" t="s">
        <v>2139</v>
      </c>
      <c r="C479" s="817" t="s">
        <v>6139</v>
      </c>
      <c r="D479" s="863">
        <v>44782</v>
      </c>
      <c r="E479" s="817">
        <v>1215</v>
      </c>
      <c r="F479" s="864">
        <f t="shared" si="28"/>
        <v>8</v>
      </c>
      <c r="G479" s="864">
        <f t="shared" si="29"/>
        <v>33</v>
      </c>
      <c r="H479" s="864">
        <f t="shared" si="30"/>
        <v>2022</v>
      </c>
      <c r="I479" s="879">
        <f t="shared" si="31"/>
        <v>33</v>
      </c>
      <c r="J479" s="867" cm="1">
        <f t="array" ref="J479">INDEX($E:$E,MATCH($J$10,IF($B:$B=$B479,$I:$I),1))</f>
        <v>3010</v>
      </c>
    </row>
    <row r="480" spans="2:10">
      <c r="B480" s="817" t="s">
        <v>2139</v>
      </c>
      <c r="C480" s="817" t="s">
        <v>6139</v>
      </c>
      <c r="D480" s="863">
        <v>44789</v>
      </c>
      <c r="E480" s="817">
        <v>1500</v>
      </c>
      <c r="F480" s="864">
        <f t="shared" si="28"/>
        <v>8</v>
      </c>
      <c r="G480" s="864">
        <f t="shared" si="29"/>
        <v>34</v>
      </c>
      <c r="H480" s="864">
        <f t="shared" si="30"/>
        <v>2022</v>
      </c>
      <c r="I480" s="879">
        <f t="shared" si="31"/>
        <v>34</v>
      </c>
      <c r="J480" s="867" cm="1">
        <f t="array" ref="J480">INDEX($E:$E,MATCH($J$10,IF($B:$B=$B480,$I:$I),1))</f>
        <v>3010</v>
      </c>
    </row>
    <row r="481" spans="2:10">
      <c r="B481" s="817" t="s">
        <v>2139</v>
      </c>
      <c r="C481" s="817" t="s">
        <v>6139</v>
      </c>
      <c r="D481" s="863">
        <v>44796</v>
      </c>
      <c r="E481" s="817">
        <v>1500</v>
      </c>
      <c r="F481" s="864">
        <f t="shared" si="28"/>
        <v>8</v>
      </c>
      <c r="G481" s="864">
        <f t="shared" si="29"/>
        <v>35</v>
      </c>
      <c r="H481" s="864">
        <f t="shared" si="30"/>
        <v>2022</v>
      </c>
      <c r="I481" s="879">
        <f t="shared" si="31"/>
        <v>35</v>
      </c>
      <c r="J481" s="867" cm="1">
        <f t="array" ref="J481">INDEX($E:$E,MATCH($J$10,IF($B:$B=$B481,$I:$I),1))</f>
        <v>3010</v>
      </c>
    </row>
    <row r="482" spans="2:10">
      <c r="B482" s="817" t="s">
        <v>2139</v>
      </c>
      <c r="C482" s="817" t="s">
        <v>6139</v>
      </c>
      <c r="D482" s="863">
        <v>44810</v>
      </c>
      <c r="E482" s="817">
        <v>1500</v>
      </c>
      <c r="F482" s="864">
        <f t="shared" si="28"/>
        <v>9</v>
      </c>
      <c r="G482" s="864">
        <f t="shared" si="29"/>
        <v>37</v>
      </c>
      <c r="H482" s="864">
        <f t="shared" si="30"/>
        <v>2022</v>
      </c>
      <c r="I482" s="879">
        <f t="shared" si="31"/>
        <v>37</v>
      </c>
      <c r="J482" s="867" cm="1">
        <f t="array" ref="J482">INDEX($E:$E,MATCH($J$10,IF($B:$B=$B482,$I:$I),1))</f>
        <v>3010</v>
      </c>
    </row>
    <row r="483" spans="2:10">
      <c r="B483" s="817" t="s">
        <v>2139</v>
      </c>
      <c r="C483" s="817" t="s">
        <v>6139</v>
      </c>
      <c r="D483" s="863">
        <v>44817</v>
      </c>
      <c r="E483" s="817">
        <v>1500</v>
      </c>
      <c r="F483" s="864">
        <f t="shared" si="28"/>
        <v>9</v>
      </c>
      <c r="G483" s="864">
        <f t="shared" si="29"/>
        <v>38</v>
      </c>
      <c r="H483" s="864">
        <f t="shared" si="30"/>
        <v>2022</v>
      </c>
      <c r="I483" s="879">
        <f t="shared" si="31"/>
        <v>38</v>
      </c>
      <c r="J483" s="867" cm="1">
        <f t="array" ref="J483">INDEX($E:$E,MATCH($J$10,IF($B:$B=$B483,$I:$I),1))</f>
        <v>3010</v>
      </c>
    </row>
    <row r="484" spans="2:10">
      <c r="B484" s="817" t="s">
        <v>2139</v>
      </c>
      <c r="C484" s="817" t="s">
        <v>6139</v>
      </c>
      <c r="D484" s="863">
        <v>44824</v>
      </c>
      <c r="E484" s="817">
        <v>1640</v>
      </c>
      <c r="F484" s="864">
        <f t="shared" si="28"/>
        <v>9</v>
      </c>
      <c r="G484" s="864">
        <f t="shared" si="29"/>
        <v>39</v>
      </c>
      <c r="H484" s="864">
        <f t="shared" si="30"/>
        <v>2022</v>
      </c>
      <c r="I484" s="879">
        <f t="shared" si="31"/>
        <v>39</v>
      </c>
      <c r="J484" s="867" cm="1">
        <f t="array" ref="J484">INDEX($E:$E,MATCH($J$10,IF($B:$B=$B484,$I:$I),1))</f>
        <v>3010</v>
      </c>
    </row>
    <row r="485" spans="2:10">
      <c r="B485" s="817" t="s">
        <v>2139</v>
      </c>
      <c r="C485" s="817" t="s">
        <v>6139</v>
      </c>
      <c r="D485" s="863">
        <v>44831</v>
      </c>
      <c r="E485" s="817">
        <v>1640</v>
      </c>
      <c r="F485" s="864">
        <f t="shared" si="28"/>
        <v>9</v>
      </c>
      <c r="G485" s="864">
        <f t="shared" si="29"/>
        <v>40</v>
      </c>
      <c r="H485" s="864">
        <f t="shared" si="30"/>
        <v>2022</v>
      </c>
      <c r="I485" s="879">
        <f t="shared" si="31"/>
        <v>40</v>
      </c>
      <c r="J485" s="867" cm="1">
        <f t="array" ref="J485">INDEX($E:$E,MATCH($J$10,IF($B:$B=$B485,$I:$I),1))</f>
        <v>3010</v>
      </c>
    </row>
    <row r="486" spans="2:10">
      <c r="B486" s="817" t="s">
        <v>2139</v>
      </c>
      <c r="C486" s="817" t="s">
        <v>6139</v>
      </c>
      <c r="D486" s="863">
        <v>44838</v>
      </c>
      <c r="E486" s="817">
        <v>1640</v>
      </c>
      <c r="F486" s="864">
        <f t="shared" si="28"/>
        <v>10</v>
      </c>
      <c r="G486" s="864">
        <f t="shared" si="29"/>
        <v>41</v>
      </c>
      <c r="H486" s="864">
        <f t="shared" si="30"/>
        <v>2022</v>
      </c>
      <c r="I486" s="879">
        <f t="shared" si="31"/>
        <v>41</v>
      </c>
      <c r="J486" s="867" cm="1">
        <f t="array" ref="J486">INDEX($E:$E,MATCH($J$10,IF($B:$B=$B486,$I:$I),1))</f>
        <v>3010</v>
      </c>
    </row>
    <row r="487" spans="2:10">
      <c r="B487" s="817" t="s">
        <v>2139</v>
      </c>
      <c r="C487" s="817" t="s">
        <v>6139</v>
      </c>
      <c r="D487" s="863">
        <v>44845</v>
      </c>
      <c r="E487" s="817">
        <v>1766</v>
      </c>
      <c r="F487" s="864">
        <f t="shared" si="28"/>
        <v>10</v>
      </c>
      <c r="G487" s="864">
        <f t="shared" si="29"/>
        <v>42</v>
      </c>
      <c r="H487" s="864">
        <f t="shared" si="30"/>
        <v>2022</v>
      </c>
      <c r="I487" s="879">
        <f t="shared" si="31"/>
        <v>42</v>
      </c>
      <c r="J487" s="867" cm="1">
        <f t="array" ref="J487">INDEX($E:$E,MATCH($J$10,IF($B:$B=$B487,$I:$I),1))</f>
        <v>3010</v>
      </c>
    </row>
    <row r="488" spans="2:10">
      <c r="B488" s="817" t="s">
        <v>2139</v>
      </c>
      <c r="C488" s="817" t="s">
        <v>6139</v>
      </c>
      <c r="D488" s="863">
        <v>44852</v>
      </c>
      <c r="E488" s="817">
        <v>1766</v>
      </c>
      <c r="F488" s="864">
        <f t="shared" si="28"/>
        <v>10</v>
      </c>
      <c r="G488" s="864">
        <f t="shared" si="29"/>
        <v>43</v>
      </c>
      <c r="H488" s="864">
        <f t="shared" si="30"/>
        <v>2022</v>
      </c>
      <c r="I488" s="879">
        <f t="shared" si="31"/>
        <v>43</v>
      </c>
      <c r="J488" s="867" cm="1">
        <f t="array" ref="J488">INDEX($E:$E,MATCH($J$10,IF($B:$B=$B488,$I:$I),1))</f>
        <v>3010</v>
      </c>
    </row>
    <row r="489" spans="2:10">
      <c r="B489" s="817" t="s">
        <v>2139</v>
      </c>
      <c r="C489" s="817" t="s">
        <v>6139</v>
      </c>
      <c r="D489" s="863">
        <v>44859</v>
      </c>
      <c r="E489" s="817">
        <v>1766</v>
      </c>
      <c r="F489" s="864">
        <f t="shared" si="28"/>
        <v>10</v>
      </c>
      <c r="G489" s="864">
        <f t="shared" si="29"/>
        <v>44</v>
      </c>
      <c r="H489" s="864">
        <f t="shared" si="30"/>
        <v>2022</v>
      </c>
      <c r="I489" s="879">
        <f t="shared" si="31"/>
        <v>44</v>
      </c>
      <c r="J489" s="867" cm="1">
        <f t="array" ref="J489">INDEX($E:$E,MATCH($J$10,IF($B:$B=$B489,$I:$I),1))</f>
        <v>3010</v>
      </c>
    </row>
    <row r="490" spans="2:10">
      <c r="B490" s="817" t="s">
        <v>2139</v>
      </c>
      <c r="C490" s="817" t="s">
        <v>6139</v>
      </c>
      <c r="D490" s="863">
        <v>44866</v>
      </c>
      <c r="E490" s="817">
        <v>1766</v>
      </c>
      <c r="F490" s="864">
        <f t="shared" si="28"/>
        <v>11</v>
      </c>
      <c r="G490" s="864">
        <f t="shared" si="29"/>
        <v>45</v>
      </c>
      <c r="H490" s="864">
        <f t="shared" si="30"/>
        <v>2022</v>
      </c>
      <c r="I490" s="879">
        <f t="shared" si="31"/>
        <v>45</v>
      </c>
      <c r="J490" s="867" cm="1">
        <f t="array" ref="J490">INDEX($E:$E,MATCH($J$10,IF($B:$B=$B490,$I:$I),1))</f>
        <v>3010</v>
      </c>
    </row>
    <row r="491" spans="2:10">
      <c r="B491" s="817" t="s">
        <v>2139</v>
      </c>
      <c r="C491" s="817" t="s">
        <v>6139</v>
      </c>
      <c r="D491" s="863">
        <v>44873</v>
      </c>
      <c r="E491" s="817">
        <v>1766</v>
      </c>
      <c r="F491" s="864">
        <f t="shared" si="28"/>
        <v>11</v>
      </c>
      <c r="G491" s="864">
        <f t="shared" si="29"/>
        <v>46</v>
      </c>
      <c r="H491" s="864">
        <f t="shared" si="30"/>
        <v>2022</v>
      </c>
      <c r="I491" s="879">
        <f t="shared" si="31"/>
        <v>46</v>
      </c>
      <c r="J491" s="867" cm="1">
        <f t="array" ref="J491">INDEX($E:$E,MATCH($J$10,IF($B:$B=$B491,$I:$I),1))</f>
        <v>3010</v>
      </c>
    </row>
    <row r="492" spans="2:10">
      <c r="B492" s="817" t="s">
        <v>2139</v>
      </c>
      <c r="C492" s="817" t="s">
        <v>6139</v>
      </c>
      <c r="D492" s="863">
        <v>44880</v>
      </c>
      <c r="E492" s="817">
        <v>1766</v>
      </c>
      <c r="F492" s="864">
        <f t="shared" si="28"/>
        <v>11</v>
      </c>
      <c r="G492" s="864">
        <f t="shared" si="29"/>
        <v>47</v>
      </c>
      <c r="H492" s="864">
        <f t="shared" si="30"/>
        <v>2022</v>
      </c>
      <c r="I492" s="879">
        <f t="shared" si="31"/>
        <v>47</v>
      </c>
      <c r="J492" s="867" cm="1">
        <f t="array" ref="J492">INDEX($E:$E,MATCH($J$10,IF($B:$B=$B492,$I:$I),1))</f>
        <v>3010</v>
      </c>
    </row>
    <row r="493" spans="2:10">
      <c r="B493" s="817" t="s">
        <v>2139</v>
      </c>
      <c r="C493" s="817" t="s">
        <v>6139</v>
      </c>
      <c r="D493" s="863">
        <v>44901</v>
      </c>
      <c r="E493" s="817">
        <v>1976</v>
      </c>
      <c r="F493" s="864">
        <f t="shared" si="28"/>
        <v>12</v>
      </c>
      <c r="G493" s="864">
        <f t="shared" si="29"/>
        <v>50</v>
      </c>
      <c r="H493" s="864">
        <f t="shared" si="30"/>
        <v>2022</v>
      </c>
      <c r="I493" s="879">
        <f t="shared" si="31"/>
        <v>50</v>
      </c>
      <c r="J493" s="867" cm="1">
        <f t="array" ref="J493">INDEX($E:$E,MATCH($J$10,IF($B:$B=$B493,$I:$I),1))</f>
        <v>3010</v>
      </c>
    </row>
    <row r="494" spans="2:10">
      <c r="B494" s="817" t="s">
        <v>2139</v>
      </c>
      <c r="C494" s="817" t="s">
        <v>6139</v>
      </c>
      <c r="D494" s="863">
        <v>44915</v>
      </c>
      <c r="E494" s="817">
        <v>2143</v>
      </c>
      <c r="F494" s="864">
        <f t="shared" si="28"/>
        <v>12</v>
      </c>
      <c r="G494" s="864">
        <f t="shared" si="29"/>
        <v>52</v>
      </c>
      <c r="H494" s="864">
        <f t="shared" si="30"/>
        <v>2022</v>
      </c>
      <c r="I494" s="879">
        <f t="shared" si="31"/>
        <v>52</v>
      </c>
      <c r="J494" s="867" cm="1">
        <f t="array" ref="J494">INDEX($E:$E,MATCH($J$10,IF($B:$B=$B494,$I:$I),1))</f>
        <v>3010</v>
      </c>
    </row>
    <row r="495" spans="2:10">
      <c r="B495" s="817" t="s">
        <v>2139</v>
      </c>
      <c r="C495" s="817" t="s">
        <v>6139</v>
      </c>
      <c r="D495" s="863">
        <v>44922</v>
      </c>
      <c r="E495" s="817">
        <v>2239</v>
      </c>
      <c r="F495" s="864">
        <f t="shared" si="28"/>
        <v>12</v>
      </c>
      <c r="G495" s="864">
        <f t="shared" si="29"/>
        <v>53</v>
      </c>
      <c r="H495" s="864">
        <f t="shared" si="30"/>
        <v>2022</v>
      </c>
      <c r="I495" s="879">
        <f t="shared" si="31"/>
        <v>53</v>
      </c>
      <c r="J495" s="867" cm="1">
        <f t="array" ref="J495">INDEX($E:$E,MATCH($J$10,IF($B:$B=$B495,$I:$I),1))</f>
        <v>3010</v>
      </c>
    </row>
    <row r="496" spans="2:10">
      <c r="B496" s="817" t="s">
        <v>2139</v>
      </c>
      <c r="C496" s="817" t="s">
        <v>6139</v>
      </c>
      <c r="D496" s="863">
        <v>44926</v>
      </c>
      <c r="E496" s="817">
        <v>2345</v>
      </c>
      <c r="F496" s="864">
        <f t="shared" si="28"/>
        <v>12</v>
      </c>
      <c r="G496" s="864">
        <f t="shared" si="29"/>
        <v>53</v>
      </c>
      <c r="H496" s="864">
        <f t="shared" si="30"/>
        <v>2022</v>
      </c>
      <c r="I496" s="879">
        <f t="shared" si="31"/>
        <v>53</v>
      </c>
      <c r="J496" s="867" cm="1">
        <f t="array" ref="J496">INDEX($E:$E,MATCH($J$10,IF($B:$B=$B496,$I:$I),1))</f>
        <v>3010</v>
      </c>
    </row>
    <row r="497" spans="2:10">
      <c r="B497" s="817" t="s">
        <v>2139</v>
      </c>
      <c r="C497" s="817" t="s">
        <v>6139</v>
      </c>
      <c r="D497" s="863">
        <v>44985</v>
      </c>
      <c r="E497" s="817">
        <v>2674</v>
      </c>
      <c r="F497" s="864">
        <f t="shared" si="28"/>
        <v>2</v>
      </c>
      <c r="G497" s="864">
        <f t="shared" si="29"/>
        <v>9</v>
      </c>
      <c r="H497" s="864">
        <f t="shared" si="30"/>
        <v>2023</v>
      </c>
      <c r="I497" s="879">
        <f t="shared" si="31"/>
        <v>62</v>
      </c>
      <c r="J497" s="867" cm="1">
        <f t="array" ref="J497">INDEX($E:$E,MATCH($J$10,IF($B:$B=$B497,$I:$I),1))</f>
        <v>3010</v>
      </c>
    </row>
    <row r="498" spans="2:10">
      <c r="B498" s="817" t="s">
        <v>2139</v>
      </c>
      <c r="C498" s="817" t="s">
        <v>6139</v>
      </c>
      <c r="D498" s="863">
        <v>45046</v>
      </c>
      <c r="E498" s="817">
        <v>3010</v>
      </c>
      <c r="F498" s="864">
        <f t="shared" si="28"/>
        <v>4</v>
      </c>
      <c r="G498" s="864">
        <f t="shared" si="29"/>
        <v>18</v>
      </c>
      <c r="H498" s="864">
        <f t="shared" si="30"/>
        <v>2023</v>
      </c>
      <c r="I498" s="879">
        <f t="shared" si="31"/>
        <v>71</v>
      </c>
      <c r="J498" s="867" cm="1">
        <f t="array" ref="J498">INDEX($E:$E,MATCH($J$10,IF($B:$B=$B498,$I:$I),1))</f>
        <v>3010</v>
      </c>
    </row>
    <row r="499" spans="2:10">
      <c r="B499" s="817" t="s">
        <v>2096</v>
      </c>
      <c r="C499" s="817" t="s">
        <v>6140</v>
      </c>
      <c r="D499" s="866">
        <v>44707</v>
      </c>
      <c r="E499" s="817">
        <v>32421</v>
      </c>
      <c r="F499" s="864">
        <f t="shared" si="28"/>
        <v>5</v>
      </c>
      <c r="G499" s="864">
        <f t="shared" si="29"/>
        <v>22</v>
      </c>
      <c r="H499" s="864">
        <f t="shared" si="30"/>
        <v>2022</v>
      </c>
      <c r="I499" s="879">
        <f t="shared" si="31"/>
        <v>22</v>
      </c>
      <c r="J499" s="867" cm="1">
        <f t="array" ref="J499">INDEX($E:$E,MATCH($J$10,IF($B:$B=$B499,$I:$I),1))</f>
        <v>84392</v>
      </c>
    </row>
    <row r="500" spans="2:10">
      <c r="B500" s="817" t="s">
        <v>2096</v>
      </c>
      <c r="C500" s="817" t="s">
        <v>6140</v>
      </c>
      <c r="D500" s="863">
        <v>44714</v>
      </c>
      <c r="E500" s="817">
        <v>33842</v>
      </c>
      <c r="F500" s="864">
        <f t="shared" si="28"/>
        <v>6</v>
      </c>
      <c r="G500" s="864">
        <f t="shared" si="29"/>
        <v>23</v>
      </c>
      <c r="H500" s="864">
        <f t="shared" si="30"/>
        <v>2022</v>
      </c>
      <c r="I500" s="879">
        <f t="shared" si="31"/>
        <v>23</v>
      </c>
      <c r="J500" s="867" cm="1">
        <f t="array" ref="J500">INDEX($E:$E,MATCH($J$10,IF($B:$B=$B500,$I:$I),1))</f>
        <v>84392</v>
      </c>
    </row>
    <row r="501" spans="2:10">
      <c r="B501" s="817" t="s">
        <v>2096</v>
      </c>
      <c r="C501" s="817" t="s">
        <v>6140</v>
      </c>
      <c r="D501" s="866">
        <v>44725</v>
      </c>
      <c r="E501" s="817">
        <v>35675</v>
      </c>
      <c r="F501" s="864">
        <f t="shared" si="28"/>
        <v>6</v>
      </c>
      <c r="G501" s="864">
        <f t="shared" si="29"/>
        <v>25</v>
      </c>
      <c r="H501" s="864">
        <f t="shared" si="30"/>
        <v>2022</v>
      </c>
      <c r="I501" s="879">
        <f t="shared" si="31"/>
        <v>25</v>
      </c>
      <c r="J501" s="867" cm="1">
        <f t="array" ref="J501">INDEX($E:$E,MATCH($J$10,IF($B:$B=$B501,$I:$I),1))</f>
        <v>84392</v>
      </c>
    </row>
    <row r="502" spans="2:10">
      <c r="B502" s="817" t="s">
        <v>2096</v>
      </c>
      <c r="C502" s="817" t="s">
        <v>6140</v>
      </c>
      <c r="D502" s="863">
        <v>44732</v>
      </c>
      <c r="E502" s="817">
        <v>36759</v>
      </c>
      <c r="F502" s="864">
        <f t="shared" si="28"/>
        <v>6</v>
      </c>
      <c r="G502" s="864">
        <f t="shared" si="29"/>
        <v>26</v>
      </c>
      <c r="H502" s="864">
        <f t="shared" si="30"/>
        <v>2022</v>
      </c>
      <c r="I502" s="879">
        <f t="shared" si="31"/>
        <v>26</v>
      </c>
      <c r="J502" s="867" cm="1">
        <f t="array" ref="J502">INDEX($E:$E,MATCH($J$10,IF($B:$B=$B502,$I:$I),1))</f>
        <v>84392</v>
      </c>
    </row>
    <row r="503" spans="2:10">
      <c r="B503" s="817" t="s">
        <v>2096</v>
      </c>
      <c r="C503" s="817" t="s">
        <v>6140</v>
      </c>
      <c r="D503" s="866">
        <v>44739</v>
      </c>
      <c r="E503" s="817">
        <v>38288</v>
      </c>
      <c r="F503" s="864">
        <f t="shared" si="28"/>
        <v>6</v>
      </c>
      <c r="G503" s="864">
        <f t="shared" si="29"/>
        <v>27</v>
      </c>
      <c r="H503" s="864">
        <f t="shared" si="30"/>
        <v>2022</v>
      </c>
      <c r="I503" s="879">
        <f t="shared" si="31"/>
        <v>27</v>
      </c>
      <c r="J503" s="867" cm="1">
        <f t="array" ref="J503">INDEX($E:$E,MATCH($J$10,IF($B:$B=$B503,$I:$I),1))</f>
        <v>84392</v>
      </c>
    </row>
    <row r="504" spans="2:10">
      <c r="B504" s="817" t="s">
        <v>2096</v>
      </c>
      <c r="C504" s="817" t="s">
        <v>6140</v>
      </c>
      <c r="D504" s="863">
        <v>44747</v>
      </c>
      <c r="E504" s="817">
        <v>39278</v>
      </c>
      <c r="F504" s="864">
        <f t="shared" si="28"/>
        <v>7</v>
      </c>
      <c r="G504" s="864">
        <f t="shared" si="29"/>
        <v>28</v>
      </c>
      <c r="H504" s="864">
        <f t="shared" si="30"/>
        <v>2022</v>
      </c>
      <c r="I504" s="879">
        <f t="shared" si="31"/>
        <v>28</v>
      </c>
      <c r="J504" s="867" cm="1">
        <f t="array" ref="J504">INDEX($E:$E,MATCH($J$10,IF($B:$B=$B504,$I:$I),1))</f>
        <v>84392</v>
      </c>
    </row>
    <row r="505" spans="2:10">
      <c r="B505" s="817" t="s">
        <v>2096</v>
      </c>
      <c r="C505" s="817" t="s">
        <v>6140</v>
      </c>
      <c r="D505" s="866">
        <v>44754</v>
      </c>
      <c r="E505" s="817">
        <v>40678</v>
      </c>
      <c r="F505" s="864">
        <f t="shared" si="28"/>
        <v>7</v>
      </c>
      <c r="G505" s="864">
        <f t="shared" si="29"/>
        <v>29</v>
      </c>
      <c r="H505" s="864">
        <f t="shared" si="30"/>
        <v>2022</v>
      </c>
      <c r="I505" s="879">
        <f t="shared" si="31"/>
        <v>29</v>
      </c>
      <c r="J505" s="867" cm="1">
        <f t="array" ref="J505">INDEX($E:$E,MATCH($J$10,IF($B:$B=$B505,$I:$I),1))</f>
        <v>84392</v>
      </c>
    </row>
    <row r="506" spans="2:10">
      <c r="B506" s="817" t="s">
        <v>2096</v>
      </c>
      <c r="C506" s="817" t="s">
        <v>6140</v>
      </c>
      <c r="D506" s="863">
        <v>44761</v>
      </c>
      <c r="E506" s="817">
        <v>41736</v>
      </c>
      <c r="F506" s="864">
        <f t="shared" si="28"/>
        <v>7</v>
      </c>
      <c r="G506" s="864">
        <f t="shared" si="29"/>
        <v>30</v>
      </c>
      <c r="H506" s="864">
        <f t="shared" si="30"/>
        <v>2022</v>
      </c>
      <c r="I506" s="879">
        <f t="shared" si="31"/>
        <v>30</v>
      </c>
      <c r="J506" s="867" cm="1">
        <f t="array" ref="J506">INDEX($E:$E,MATCH($J$10,IF($B:$B=$B506,$I:$I),1))</f>
        <v>84392</v>
      </c>
    </row>
    <row r="507" spans="2:10">
      <c r="B507" s="817" t="s">
        <v>2096</v>
      </c>
      <c r="C507" s="817" t="s">
        <v>6140</v>
      </c>
      <c r="D507" s="866">
        <v>44768</v>
      </c>
      <c r="E507" s="817">
        <v>42764</v>
      </c>
      <c r="F507" s="864">
        <f t="shared" si="28"/>
        <v>7</v>
      </c>
      <c r="G507" s="864">
        <f t="shared" si="29"/>
        <v>31</v>
      </c>
      <c r="H507" s="864">
        <f t="shared" si="30"/>
        <v>2022</v>
      </c>
      <c r="I507" s="879">
        <f t="shared" si="31"/>
        <v>31</v>
      </c>
      <c r="J507" s="867" cm="1">
        <f t="array" ref="J507">INDEX($E:$E,MATCH($J$10,IF($B:$B=$B507,$I:$I),1))</f>
        <v>84392</v>
      </c>
    </row>
    <row r="508" spans="2:10">
      <c r="B508" s="817" t="s">
        <v>2096</v>
      </c>
      <c r="C508" s="817" t="s">
        <v>6140</v>
      </c>
      <c r="D508" s="863">
        <v>44776</v>
      </c>
      <c r="E508" s="817">
        <v>43521</v>
      </c>
      <c r="F508" s="864">
        <f t="shared" si="28"/>
        <v>8</v>
      </c>
      <c r="G508" s="864">
        <f t="shared" si="29"/>
        <v>32</v>
      </c>
      <c r="H508" s="864">
        <f t="shared" si="30"/>
        <v>2022</v>
      </c>
      <c r="I508" s="879">
        <f t="shared" si="31"/>
        <v>32</v>
      </c>
      <c r="J508" s="867" cm="1">
        <f t="array" ref="J508">INDEX($E:$E,MATCH($J$10,IF($B:$B=$B508,$I:$I),1))</f>
        <v>84392</v>
      </c>
    </row>
    <row r="509" spans="2:10">
      <c r="B509" s="817" t="s">
        <v>2096</v>
      </c>
      <c r="C509" s="817" t="s">
        <v>6140</v>
      </c>
      <c r="D509" s="866">
        <v>44782</v>
      </c>
      <c r="E509" s="817">
        <v>44365</v>
      </c>
      <c r="F509" s="864">
        <f t="shared" si="28"/>
        <v>8</v>
      </c>
      <c r="G509" s="864">
        <f t="shared" si="29"/>
        <v>33</v>
      </c>
      <c r="H509" s="864">
        <f t="shared" si="30"/>
        <v>2022</v>
      </c>
      <c r="I509" s="879">
        <f t="shared" si="31"/>
        <v>33</v>
      </c>
      <c r="J509" s="867" cm="1">
        <f t="array" ref="J509">INDEX($E:$E,MATCH($J$10,IF($B:$B=$B509,$I:$I),1))</f>
        <v>84392</v>
      </c>
    </row>
    <row r="510" spans="2:10">
      <c r="B510" s="817" t="s">
        <v>2096</v>
      </c>
      <c r="C510" s="817" t="s">
        <v>6140</v>
      </c>
      <c r="D510" s="863">
        <v>44788</v>
      </c>
      <c r="E510" s="817">
        <v>45074</v>
      </c>
      <c r="F510" s="864">
        <f t="shared" si="28"/>
        <v>8</v>
      </c>
      <c r="G510" s="864">
        <f t="shared" si="29"/>
        <v>34</v>
      </c>
      <c r="H510" s="864">
        <f t="shared" si="30"/>
        <v>2022</v>
      </c>
      <c r="I510" s="879">
        <f t="shared" si="31"/>
        <v>34</v>
      </c>
      <c r="J510" s="867" cm="1">
        <f t="array" ref="J510">INDEX($E:$E,MATCH($J$10,IF($B:$B=$B510,$I:$I),1))</f>
        <v>84392</v>
      </c>
    </row>
    <row r="511" spans="2:10">
      <c r="B511" s="817" t="s">
        <v>2096</v>
      </c>
      <c r="C511" s="817" t="s">
        <v>6140</v>
      </c>
      <c r="D511" s="866">
        <v>44795</v>
      </c>
      <c r="E511" s="817">
        <v>45790</v>
      </c>
      <c r="F511" s="864">
        <f t="shared" si="28"/>
        <v>8</v>
      </c>
      <c r="G511" s="864">
        <f t="shared" si="29"/>
        <v>35</v>
      </c>
      <c r="H511" s="864">
        <f t="shared" si="30"/>
        <v>2022</v>
      </c>
      <c r="I511" s="879">
        <f t="shared" si="31"/>
        <v>35</v>
      </c>
      <c r="J511" s="867" cm="1">
        <f t="array" ref="J511">INDEX($E:$E,MATCH($J$10,IF($B:$B=$B511,$I:$I),1))</f>
        <v>84392</v>
      </c>
    </row>
    <row r="512" spans="2:10">
      <c r="B512" s="817" t="s">
        <v>2096</v>
      </c>
      <c r="C512" s="817" t="s">
        <v>6140</v>
      </c>
      <c r="D512" s="863">
        <v>44802</v>
      </c>
      <c r="E512" s="817">
        <v>46481</v>
      </c>
      <c r="F512" s="864">
        <f t="shared" si="28"/>
        <v>8</v>
      </c>
      <c r="G512" s="864">
        <f t="shared" si="29"/>
        <v>36</v>
      </c>
      <c r="H512" s="864">
        <f t="shared" si="30"/>
        <v>2022</v>
      </c>
      <c r="I512" s="879">
        <f t="shared" si="31"/>
        <v>36</v>
      </c>
      <c r="J512" s="867" cm="1">
        <f t="array" ref="J512">INDEX($E:$E,MATCH($J$10,IF($B:$B=$B512,$I:$I),1))</f>
        <v>84392</v>
      </c>
    </row>
    <row r="513" spans="2:10">
      <c r="B513" s="817" t="s">
        <v>2096</v>
      </c>
      <c r="C513" s="817" t="s">
        <v>6140</v>
      </c>
      <c r="D513" s="866">
        <v>44830</v>
      </c>
      <c r="E513" s="817">
        <v>49999</v>
      </c>
      <c r="F513" s="864">
        <f t="shared" si="28"/>
        <v>9</v>
      </c>
      <c r="G513" s="864">
        <f t="shared" si="29"/>
        <v>40</v>
      </c>
      <c r="H513" s="864">
        <f t="shared" si="30"/>
        <v>2022</v>
      </c>
      <c r="I513" s="879">
        <f t="shared" si="31"/>
        <v>40</v>
      </c>
      <c r="J513" s="867" cm="1">
        <f t="array" ref="J513">INDEX($E:$E,MATCH($J$10,IF($B:$B=$B513,$I:$I),1))</f>
        <v>84392</v>
      </c>
    </row>
    <row r="514" spans="2:10">
      <c r="B514" s="817" t="s">
        <v>2096</v>
      </c>
      <c r="C514" s="817" t="s">
        <v>6140</v>
      </c>
      <c r="D514" s="863">
        <v>44844</v>
      </c>
      <c r="E514" s="817">
        <v>51904</v>
      </c>
      <c r="F514" s="864">
        <f t="shared" si="28"/>
        <v>10</v>
      </c>
      <c r="G514" s="864">
        <f t="shared" si="29"/>
        <v>42</v>
      </c>
      <c r="H514" s="864">
        <f t="shared" si="30"/>
        <v>2022</v>
      </c>
      <c r="I514" s="879">
        <f t="shared" si="31"/>
        <v>42</v>
      </c>
      <c r="J514" s="867" cm="1">
        <f t="array" ref="J514">INDEX($E:$E,MATCH($J$10,IF($B:$B=$B514,$I:$I),1))</f>
        <v>84392</v>
      </c>
    </row>
    <row r="515" spans="2:10">
      <c r="B515" s="817" t="s">
        <v>2096</v>
      </c>
      <c r="C515" s="817" t="s">
        <v>6140</v>
      </c>
      <c r="D515" s="866">
        <v>44859</v>
      </c>
      <c r="E515" s="817">
        <v>55144</v>
      </c>
      <c r="F515" s="864">
        <f t="shared" si="28"/>
        <v>10</v>
      </c>
      <c r="G515" s="864">
        <f t="shared" si="29"/>
        <v>44</v>
      </c>
      <c r="H515" s="864">
        <f t="shared" si="30"/>
        <v>2022</v>
      </c>
      <c r="I515" s="879">
        <f t="shared" si="31"/>
        <v>44</v>
      </c>
      <c r="J515" s="867" cm="1">
        <f t="array" ref="J515">INDEX($E:$E,MATCH($J$10,IF($B:$B=$B515,$I:$I),1))</f>
        <v>84392</v>
      </c>
    </row>
    <row r="516" spans="2:10">
      <c r="B516" s="817" t="s">
        <v>2096</v>
      </c>
      <c r="C516" s="817" t="s">
        <v>6140</v>
      </c>
      <c r="D516" s="863">
        <v>44865</v>
      </c>
      <c r="E516" s="817">
        <v>56333</v>
      </c>
      <c r="F516" s="864">
        <f t="shared" si="28"/>
        <v>10</v>
      </c>
      <c r="G516" s="864">
        <f t="shared" si="29"/>
        <v>45</v>
      </c>
      <c r="H516" s="864">
        <f t="shared" si="30"/>
        <v>2022</v>
      </c>
      <c r="I516" s="879">
        <f t="shared" si="31"/>
        <v>45</v>
      </c>
      <c r="J516" s="867" cm="1">
        <f t="array" ref="J516">INDEX($E:$E,MATCH($J$10,IF($B:$B=$B516,$I:$I),1))</f>
        <v>84392</v>
      </c>
    </row>
    <row r="517" spans="2:10">
      <c r="B517" s="817" t="s">
        <v>2096</v>
      </c>
      <c r="C517" s="817" t="s">
        <v>6140</v>
      </c>
      <c r="D517" s="866">
        <v>44873</v>
      </c>
      <c r="E517" s="817">
        <v>56829</v>
      </c>
      <c r="F517" s="864">
        <f t="shared" si="28"/>
        <v>11</v>
      </c>
      <c r="G517" s="864">
        <f t="shared" si="29"/>
        <v>46</v>
      </c>
      <c r="H517" s="864">
        <f t="shared" si="30"/>
        <v>2022</v>
      </c>
      <c r="I517" s="879">
        <f t="shared" si="31"/>
        <v>46</v>
      </c>
      <c r="J517" s="867" cm="1">
        <f t="array" ref="J517">INDEX($E:$E,MATCH($J$10,IF($B:$B=$B517,$I:$I),1))</f>
        <v>84392</v>
      </c>
    </row>
    <row r="518" spans="2:10">
      <c r="B518" s="817" t="s">
        <v>2096</v>
      </c>
      <c r="C518" s="817" t="s">
        <v>6140</v>
      </c>
      <c r="D518" s="863">
        <v>44880</v>
      </c>
      <c r="E518" s="817">
        <v>57557</v>
      </c>
      <c r="F518" s="864">
        <f t="shared" si="28"/>
        <v>11</v>
      </c>
      <c r="G518" s="864">
        <f t="shared" si="29"/>
        <v>47</v>
      </c>
      <c r="H518" s="864">
        <f t="shared" si="30"/>
        <v>2022</v>
      </c>
      <c r="I518" s="879">
        <f t="shared" si="31"/>
        <v>47</v>
      </c>
      <c r="J518" s="867" cm="1">
        <f t="array" ref="J518">INDEX($E:$E,MATCH($J$10,IF($B:$B=$B518,$I:$I),1))</f>
        <v>84392</v>
      </c>
    </row>
    <row r="519" spans="2:10">
      <c r="B519" s="817" t="s">
        <v>2096</v>
      </c>
      <c r="C519" s="817" t="s">
        <v>6140</v>
      </c>
      <c r="D519" s="866">
        <v>44887</v>
      </c>
      <c r="E519" s="817">
        <v>58511</v>
      </c>
      <c r="F519" s="864">
        <f t="shared" si="28"/>
        <v>11</v>
      </c>
      <c r="G519" s="864">
        <f t="shared" si="29"/>
        <v>48</v>
      </c>
      <c r="H519" s="864">
        <f t="shared" si="30"/>
        <v>2022</v>
      </c>
      <c r="I519" s="879">
        <f t="shared" si="31"/>
        <v>48</v>
      </c>
      <c r="J519" s="867" cm="1">
        <f t="array" ref="J519">INDEX($E:$E,MATCH($J$10,IF($B:$B=$B519,$I:$I),1))</f>
        <v>84392</v>
      </c>
    </row>
    <row r="520" spans="2:10">
      <c r="B520" s="817" t="s">
        <v>2096</v>
      </c>
      <c r="C520" s="817" t="s">
        <v>6140</v>
      </c>
      <c r="D520" s="863">
        <v>44901</v>
      </c>
      <c r="E520" s="817">
        <v>58511</v>
      </c>
      <c r="F520" s="864">
        <f t="shared" si="28"/>
        <v>12</v>
      </c>
      <c r="G520" s="864">
        <f t="shared" si="29"/>
        <v>50</v>
      </c>
      <c r="H520" s="864">
        <f t="shared" si="30"/>
        <v>2022</v>
      </c>
      <c r="I520" s="879">
        <f t="shared" si="31"/>
        <v>50</v>
      </c>
      <c r="J520" s="867" cm="1">
        <f t="array" ref="J520">INDEX($E:$E,MATCH($J$10,IF($B:$B=$B520,$I:$I),1))</f>
        <v>84392</v>
      </c>
    </row>
    <row r="521" spans="2:10">
      <c r="B521" s="817" t="s">
        <v>2096</v>
      </c>
      <c r="C521" s="817" t="s">
        <v>6140</v>
      </c>
      <c r="D521" s="866">
        <v>44908</v>
      </c>
      <c r="E521" s="817">
        <v>58511</v>
      </c>
      <c r="F521" s="864">
        <f t="shared" si="28"/>
        <v>12</v>
      </c>
      <c r="G521" s="864">
        <f t="shared" si="29"/>
        <v>51</v>
      </c>
      <c r="H521" s="864">
        <f t="shared" si="30"/>
        <v>2022</v>
      </c>
      <c r="I521" s="879">
        <f t="shared" si="31"/>
        <v>51</v>
      </c>
      <c r="J521" s="867" cm="1">
        <f t="array" ref="J521">INDEX($E:$E,MATCH($J$10,IF($B:$B=$B521,$I:$I),1))</f>
        <v>84392</v>
      </c>
    </row>
    <row r="522" spans="2:10">
      <c r="B522" s="817" t="s">
        <v>2096</v>
      </c>
      <c r="C522" s="817" t="s">
        <v>6140</v>
      </c>
      <c r="D522" s="863">
        <v>44915</v>
      </c>
      <c r="E522" s="817">
        <v>58511</v>
      </c>
      <c r="F522" s="864">
        <f t="shared" si="28"/>
        <v>12</v>
      </c>
      <c r="G522" s="864">
        <f t="shared" si="29"/>
        <v>52</v>
      </c>
      <c r="H522" s="864">
        <f t="shared" si="30"/>
        <v>2022</v>
      </c>
      <c r="I522" s="879">
        <f t="shared" si="31"/>
        <v>52</v>
      </c>
      <c r="J522" s="867" cm="1">
        <f t="array" ref="J522">INDEX($E:$E,MATCH($J$10,IF($B:$B=$B522,$I:$I),1))</f>
        <v>84392</v>
      </c>
    </row>
    <row r="523" spans="2:10">
      <c r="B523" s="817" t="s">
        <v>2096</v>
      </c>
      <c r="C523" s="817" t="s">
        <v>6140</v>
      </c>
      <c r="D523" s="866">
        <v>44917</v>
      </c>
      <c r="E523" s="817">
        <v>70070</v>
      </c>
      <c r="F523" s="864">
        <f t="shared" si="28"/>
        <v>12</v>
      </c>
      <c r="G523" s="864">
        <f t="shared" si="29"/>
        <v>52</v>
      </c>
      <c r="H523" s="864">
        <f t="shared" si="30"/>
        <v>2022</v>
      </c>
      <c r="I523" s="879">
        <f t="shared" si="31"/>
        <v>52</v>
      </c>
      <c r="J523" s="867" cm="1">
        <f t="array" ref="J523">INDEX($E:$E,MATCH($J$10,IF($B:$B=$B523,$I:$I),1))</f>
        <v>84392</v>
      </c>
    </row>
    <row r="524" spans="2:10">
      <c r="B524" s="817" t="s">
        <v>2096</v>
      </c>
      <c r="C524" s="817" t="s">
        <v>6140</v>
      </c>
      <c r="D524" s="863">
        <v>44929</v>
      </c>
      <c r="E524" s="817">
        <v>70077</v>
      </c>
      <c r="F524" s="864">
        <f t="shared" ref="F524:F587" si="32">MONTH(D524)</f>
        <v>1</v>
      </c>
      <c r="G524" s="864">
        <f t="shared" ref="G524:G587" si="33">WEEKNUM(D524)</f>
        <v>1</v>
      </c>
      <c r="H524" s="864">
        <f t="shared" ref="H524:H587" si="34">YEAR(D524)</f>
        <v>2023</v>
      </c>
      <c r="I524" s="879">
        <f t="shared" ref="I524:I587" si="35">(H524-2022)*53+G524</f>
        <v>54</v>
      </c>
      <c r="J524" s="867" cm="1">
        <f t="array" ref="J524">INDEX($E:$E,MATCH($J$10,IF($B:$B=$B524,$I:$I),1))</f>
        <v>84392</v>
      </c>
    </row>
    <row r="525" spans="2:10">
      <c r="B525" s="817" t="s">
        <v>2096</v>
      </c>
      <c r="C525" s="817" t="s">
        <v>6140</v>
      </c>
      <c r="D525" s="866">
        <v>44931</v>
      </c>
      <c r="E525" s="817">
        <v>71130</v>
      </c>
      <c r="F525" s="864">
        <f t="shared" si="32"/>
        <v>1</v>
      </c>
      <c r="G525" s="864">
        <f t="shared" si="33"/>
        <v>1</v>
      </c>
      <c r="H525" s="864">
        <f t="shared" si="34"/>
        <v>2023</v>
      </c>
      <c r="I525" s="879">
        <f t="shared" si="35"/>
        <v>54</v>
      </c>
      <c r="J525" s="867" cm="1">
        <f t="array" ref="J525">INDEX($E:$E,MATCH($J$10,IF($B:$B=$B525,$I:$I),1))</f>
        <v>84392</v>
      </c>
    </row>
    <row r="526" spans="2:10">
      <c r="B526" s="817" t="s">
        <v>2096</v>
      </c>
      <c r="C526" s="817" t="s">
        <v>6140</v>
      </c>
      <c r="D526" s="863">
        <v>44938</v>
      </c>
      <c r="E526" s="817">
        <v>71597</v>
      </c>
      <c r="F526" s="864">
        <f t="shared" si="32"/>
        <v>1</v>
      </c>
      <c r="G526" s="864">
        <f t="shared" si="33"/>
        <v>2</v>
      </c>
      <c r="H526" s="864">
        <f t="shared" si="34"/>
        <v>2023</v>
      </c>
      <c r="I526" s="879">
        <f t="shared" si="35"/>
        <v>55</v>
      </c>
      <c r="J526" s="867" cm="1">
        <f t="array" ref="J526">INDEX($E:$E,MATCH($J$10,IF($B:$B=$B526,$I:$I),1))</f>
        <v>84392</v>
      </c>
    </row>
    <row r="527" spans="2:10">
      <c r="B527" s="817" t="s">
        <v>2096</v>
      </c>
      <c r="C527" s="817" t="s">
        <v>6140</v>
      </c>
      <c r="D527" s="866">
        <v>44945</v>
      </c>
      <c r="E527" s="817">
        <v>72232</v>
      </c>
      <c r="F527" s="864">
        <f t="shared" si="32"/>
        <v>1</v>
      </c>
      <c r="G527" s="864">
        <f t="shared" si="33"/>
        <v>3</v>
      </c>
      <c r="H527" s="864">
        <f t="shared" si="34"/>
        <v>2023</v>
      </c>
      <c r="I527" s="879">
        <f t="shared" si="35"/>
        <v>56</v>
      </c>
      <c r="J527" s="867" cm="1">
        <f t="array" ref="J527">INDEX($E:$E,MATCH($J$10,IF($B:$B=$B527,$I:$I),1))</f>
        <v>84392</v>
      </c>
    </row>
    <row r="528" spans="2:10">
      <c r="B528" s="817" t="s">
        <v>2096</v>
      </c>
      <c r="C528" s="817" t="s">
        <v>6140</v>
      </c>
      <c r="D528" s="863">
        <v>44952</v>
      </c>
      <c r="E528" s="817">
        <v>73002</v>
      </c>
      <c r="F528" s="864">
        <f t="shared" si="32"/>
        <v>1</v>
      </c>
      <c r="G528" s="864">
        <f t="shared" si="33"/>
        <v>4</v>
      </c>
      <c r="H528" s="864">
        <f t="shared" si="34"/>
        <v>2023</v>
      </c>
      <c r="I528" s="879">
        <f t="shared" si="35"/>
        <v>57</v>
      </c>
      <c r="J528" s="867" cm="1">
        <f t="array" ref="J528">INDEX($E:$E,MATCH($J$10,IF($B:$B=$B528,$I:$I),1))</f>
        <v>84392</v>
      </c>
    </row>
    <row r="529" spans="2:10">
      <c r="B529" s="817" t="s">
        <v>2096</v>
      </c>
      <c r="C529" s="817" t="s">
        <v>6140</v>
      </c>
      <c r="D529" s="866">
        <v>44970</v>
      </c>
      <c r="E529" s="817">
        <v>75260</v>
      </c>
      <c r="F529" s="864">
        <f t="shared" si="32"/>
        <v>2</v>
      </c>
      <c r="G529" s="864">
        <f t="shared" si="33"/>
        <v>7</v>
      </c>
      <c r="H529" s="864">
        <f t="shared" si="34"/>
        <v>2023</v>
      </c>
      <c r="I529" s="879">
        <f t="shared" si="35"/>
        <v>60</v>
      </c>
      <c r="J529" s="867" cm="1">
        <f t="array" ref="J529">INDEX($E:$E,MATCH($J$10,IF($B:$B=$B529,$I:$I),1))</f>
        <v>84392</v>
      </c>
    </row>
    <row r="530" spans="2:10">
      <c r="B530" s="817" t="s">
        <v>2096</v>
      </c>
      <c r="C530" s="817" t="s">
        <v>6140</v>
      </c>
      <c r="D530" s="863">
        <v>44994</v>
      </c>
      <c r="E530" s="817">
        <v>77721</v>
      </c>
      <c r="F530" s="864">
        <f t="shared" si="32"/>
        <v>3</v>
      </c>
      <c r="G530" s="864">
        <f t="shared" si="33"/>
        <v>10</v>
      </c>
      <c r="H530" s="864">
        <f t="shared" si="34"/>
        <v>2023</v>
      </c>
      <c r="I530" s="879">
        <f t="shared" si="35"/>
        <v>63</v>
      </c>
      <c r="J530" s="867" cm="1">
        <f t="array" ref="J530">INDEX($E:$E,MATCH($J$10,IF($B:$B=$B530,$I:$I),1))</f>
        <v>84392</v>
      </c>
    </row>
    <row r="531" spans="2:10">
      <c r="B531" s="817" t="s">
        <v>2096</v>
      </c>
      <c r="C531" s="817" t="s">
        <v>6140</v>
      </c>
      <c r="D531" s="863">
        <v>44999</v>
      </c>
      <c r="E531" s="817">
        <v>78121</v>
      </c>
      <c r="F531" s="864">
        <f t="shared" si="32"/>
        <v>3</v>
      </c>
      <c r="G531" s="864">
        <f t="shared" si="33"/>
        <v>11</v>
      </c>
      <c r="H531" s="864">
        <f t="shared" si="34"/>
        <v>2023</v>
      </c>
      <c r="I531" s="879">
        <f t="shared" si="35"/>
        <v>64</v>
      </c>
      <c r="J531" s="867" cm="1">
        <f t="array" ref="J531">INDEX($E:$E,MATCH($J$10,IF($B:$B=$B531,$I:$I),1))</f>
        <v>84392</v>
      </c>
    </row>
    <row r="532" spans="2:10">
      <c r="B532" s="817" t="s">
        <v>2096</v>
      </c>
      <c r="C532" s="817" t="s">
        <v>6140</v>
      </c>
      <c r="D532" s="863">
        <v>45004</v>
      </c>
      <c r="E532" s="817">
        <v>78462</v>
      </c>
      <c r="F532" s="864">
        <f t="shared" si="32"/>
        <v>3</v>
      </c>
      <c r="G532" s="864">
        <f t="shared" si="33"/>
        <v>12</v>
      </c>
      <c r="H532" s="864">
        <f t="shared" si="34"/>
        <v>2023</v>
      </c>
      <c r="I532" s="879">
        <f t="shared" si="35"/>
        <v>65</v>
      </c>
      <c r="J532" s="867" cm="1">
        <f t="array" ref="J532">INDEX($E:$E,MATCH($J$10,IF($B:$B=$B532,$I:$I),1))</f>
        <v>84392</v>
      </c>
    </row>
    <row r="533" spans="2:10">
      <c r="B533" s="817" t="s">
        <v>2096</v>
      </c>
      <c r="C533" s="817" t="s">
        <v>6140</v>
      </c>
      <c r="D533" s="863">
        <v>45025</v>
      </c>
      <c r="E533" s="817">
        <v>80540</v>
      </c>
      <c r="F533" s="864">
        <f t="shared" si="32"/>
        <v>4</v>
      </c>
      <c r="G533" s="864">
        <f t="shared" si="33"/>
        <v>15</v>
      </c>
      <c r="H533" s="864">
        <f t="shared" si="34"/>
        <v>2023</v>
      </c>
      <c r="I533" s="879">
        <f t="shared" si="35"/>
        <v>68</v>
      </c>
      <c r="J533" s="867" cm="1">
        <f t="array" ref="J533">INDEX($E:$E,MATCH($J$10,IF($B:$B=$B533,$I:$I),1))</f>
        <v>84392</v>
      </c>
    </row>
    <row r="534" spans="2:10">
      <c r="B534" s="817" t="s">
        <v>2096</v>
      </c>
      <c r="C534" s="817" t="s">
        <v>6140</v>
      </c>
      <c r="D534" s="863">
        <v>45037</v>
      </c>
      <c r="E534" s="817">
        <v>81769</v>
      </c>
      <c r="F534" s="864">
        <f t="shared" si="32"/>
        <v>4</v>
      </c>
      <c r="G534" s="864">
        <f t="shared" si="33"/>
        <v>16</v>
      </c>
      <c r="H534" s="864">
        <f t="shared" si="34"/>
        <v>2023</v>
      </c>
      <c r="I534" s="879">
        <f t="shared" si="35"/>
        <v>69</v>
      </c>
      <c r="J534" s="867" cm="1">
        <f t="array" ref="J534">INDEX($E:$E,MATCH($J$10,IF($B:$B=$B534,$I:$I),1))</f>
        <v>84392</v>
      </c>
    </row>
    <row r="535" spans="2:10">
      <c r="B535" s="817" t="s">
        <v>2096</v>
      </c>
      <c r="C535" s="817" t="s">
        <v>6140</v>
      </c>
      <c r="D535" s="863">
        <v>45053</v>
      </c>
      <c r="E535" s="817">
        <v>82834</v>
      </c>
      <c r="F535" s="864">
        <f t="shared" si="32"/>
        <v>5</v>
      </c>
      <c r="G535" s="864">
        <f t="shared" si="33"/>
        <v>19</v>
      </c>
      <c r="H535" s="864">
        <f t="shared" si="34"/>
        <v>2023</v>
      </c>
      <c r="I535" s="879">
        <f t="shared" si="35"/>
        <v>72</v>
      </c>
      <c r="J535" s="867" cm="1">
        <f t="array" ref="J535">INDEX($E:$E,MATCH($J$10,IF($B:$B=$B535,$I:$I),1))</f>
        <v>84392</v>
      </c>
    </row>
    <row r="536" spans="2:10">
      <c r="B536" s="817" t="s">
        <v>2096</v>
      </c>
      <c r="C536" s="817" t="s">
        <v>6140</v>
      </c>
      <c r="D536" s="863">
        <v>45060</v>
      </c>
      <c r="E536" s="817">
        <v>83380</v>
      </c>
      <c r="F536" s="864">
        <f t="shared" si="32"/>
        <v>5</v>
      </c>
      <c r="G536" s="864">
        <f t="shared" si="33"/>
        <v>20</v>
      </c>
      <c r="H536" s="864">
        <f t="shared" si="34"/>
        <v>2023</v>
      </c>
      <c r="I536" s="879">
        <f t="shared" si="35"/>
        <v>73</v>
      </c>
      <c r="J536" s="867" cm="1">
        <f t="array" ref="J536">INDEX($E:$E,MATCH($J$10,IF($B:$B=$B536,$I:$I),1))</f>
        <v>84392</v>
      </c>
    </row>
    <row r="537" spans="2:10">
      <c r="B537" s="817" t="s">
        <v>2096</v>
      </c>
      <c r="C537" s="817" t="s">
        <v>6140</v>
      </c>
      <c r="D537" s="863">
        <v>45067</v>
      </c>
      <c r="E537" s="817">
        <v>84392</v>
      </c>
      <c r="F537" s="864">
        <f t="shared" si="32"/>
        <v>5</v>
      </c>
      <c r="G537" s="864">
        <f t="shared" si="33"/>
        <v>21</v>
      </c>
      <c r="H537" s="864">
        <f t="shared" si="34"/>
        <v>2023</v>
      </c>
      <c r="I537" s="879">
        <f t="shared" si="35"/>
        <v>74</v>
      </c>
      <c r="J537" s="867" cm="1">
        <f t="array" ref="J537">INDEX($E:$E,MATCH($J$10,IF($B:$B=$B537,$I:$I),1))</f>
        <v>84392</v>
      </c>
    </row>
    <row r="538" spans="2:10">
      <c r="B538" s="817" t="s">
        <v>2096</v>
      </c>
      <c r="C538" s="817" t="s">
        <v>6140</v>
      </c>
      <c r="D538" s="863">
        <v>45081</v>
      </c>
      <c r="E538" s="817">
        <v>84523</v>
      </c>
      <c r="F538" s="864">
        <f t="shared" si="32"/>
        <v>6</v>
      </c>
      <c r="G538" s="864">
        <f t="shared" si="33"/>
        <v>23</v>
      </c>
      <c r="H538" s="864">
        <f t="shared" si="34"/>
        <v>2023</v>
      </c>
      <c r="I538" s="879">
        <f t="shared" si="35"/>
        <v>76</v>
      </c>
      <c r="J538" s="867" cm="1">
        <f t="array" ref="J538">INDEX($E:$E,MATCH($J$10,IF($B:$B=$B538,$I:$I),1))</f>
        <v>84392</v>
      </c>
    </row>
    <row r="539" spans="2:10">
      <c r="B539" s="817" t="s">
        <v>2204</v>
      </c>
      <c r="C539" s="817" t="s">
        <v>6141</v>
      </c>
      <c r="D539" s="863">
        <v>44712</v>
      </c>
      <c r="E539" s="817">
        <v>125907</v>
      </c>
      <c r="F539" s="864">
        <f t="shared" si="32"/>
        <v>5</v>
      </c>
      <c r="G539" s="864">
        <f t="shared" si="33"/>
        <v>23</v>
      </c>
      <c r="H539" s="864">
        <f t="shared" si="34"/>
        <v>2022</v>
      </c>
      <c r="I539" s="879">
        <f t="shared" si="35"/>
        <v>23</v>
      </c>
      <c r="J539" s="867" cm="1">
        <f t="array" ref="J539">INDEX($E:$E,MATCH($J$10,IF($B:$B=$B539,$I:$I),1))</f>
        <v>181534</v>
      </c>
    </row>
    <row r="540" spans="2:10">
      <c r="B540" s="817" t="s">
        <v>2204</v>
      </c>
      <c r="C540" s="817" t="s">
        <v>6141</v>
      </c>
      <c r="D540" s="866">
        <v>44719</v>
      </c>
      <c r="E540" s="817">
        <v>129623</v>
      </c>
      <c r="F540" s="864">
        <f t="shared" si="32"/>
        <v>6</v>
      </c>
      <c r="G540" s="864">
        <f t="shared" si="33"/>
        <v>24</v>
      </c>
      <c r="H540" s="864">
        <f t="shared" si="34"/>
        <v>2022</v>
      </c>
      <c r="I540" s="879">
        <f t="shared" si="35"/>
        <v>24</v>
      </c>
      <c r="J540" s="867" cm="1">
        <f t="array" ref="J540">INDEX($E:$E,MATCH($J$10,IF($B:$B=$B540,$I:$I),1))</f>
        <v>181534</v>
      </c>
    </row>
    <row r="541" spans="2:10">
      <c r="B541" s="817" t="s">
        <v>2204</v>
      </c>
      <c r="C541" s="817" t="s">
        <v>6141</v>
      </c>
      <c r="D541" s="863">
        <v>44733</v>
      </c>
      <c r="E541" s="817">
        <v>137385</v>
      </c>
      <c r="F541" s="864">
        <f t="shared" si="32"/>
        <v>6</v>
      </c>
      <c r="G541" s="864">
        <f t="shared" si="33"/>
        <v>26</v>
      </c>
      <c r="H541" s="864">
        <f t="shared" si="34"/>
        <v>2022</v>
      </c>
      <c r="I541" s="879">
        <f t="shared" si="35"/>
        <v>26</v>
      </c>
      <c r="J541" s="867" cm="1">
        <f t="array" ref="J541">INDEX($E:$E,MATCH($J$10,IF($B:$B=$B541,$I:$I),1))</f>
        <v>181534</v>
      </c>
    </row>
    <row r="542" spans="2:10">
      <c r="B542" s="817" t="s">
        <v>2204</v>
      </c>
      <c r="C542" s="817" t="s">
        <v>6141</v>
      </c>
      <c r="D542" s="866">
        <v>44740</v>
      </c>
      <c r="E542" s="817">
        <v>141562</v>
      </c>
      <c r="F542" s="864">
        <f t="shared" si="32"/>
        <v>6</v>
      </c>
      <c r="G542" s="864">
        <f t="shared" si="33"/>
        <v>27</v>
      </c>
      <c r="H542" s="864">
        <f t="shared" si="34"/>
        <v>2022</v>
      </c>
      <c r="I542" s="879">
        <f t="shared" si="35"/>
        <v>27</v>
      </c>
      <c r="J542" s="867" cm="1">
        <f t="array" ref="J542">INDEX($E:$E,MATCH($J$10,IF($B:$B=$B542,$I:$I),1))</f>
        <v>181534</v>
      </c>
    </row>
    <row r="543" spans="2:10">
      <c r="B543" s="817" t="s">
        <v>2204</v>
      </c>
      <c r="C543" s="817" t="s">
        <v>6141</v>
      </c>
      <c r="D543" s="863">
        <v>44748</v>
      </c>
      <c r="E543" s="817">
        <v>144838</v>
      </c>
      <c r="F543" s="864">
        <f t="shared" si="32"/>
        <v>7</v>
      </c>
      <c r="G543" s="864">
        <f t="shared" si="33"/>
        <v>28</v>
      </c>
      <c r="H543" s="864">
        <f t="shared" si="34"/>
        <v>2022</v>
      </c>
      <c r="I543" s="879">
        <f t="shared" si="35"/>
        <v>28</v>
      </c>
      <c r="J543" s="867" cm="1">
        <f t="array" ref="J543">INDEX($E:$E,MATCH($J$10,IF($B:$B=$B543,$I:$I),1))</f>
        <v>181534</v>
      </c>
    </row>
    <row r="544" spans="2:10">
      <c r="B544" s="817" t="s">
        <v>2204</v>
      </c>
      <c r="C544" s="817" t="s">
        <v>6141</v>
      </c>
      <c r="D544" s="866">
        <v>44755</v>
      </c>
      <c r="E544" s="817">
        <v>145829</v>
      </c>
      <c r="F544" s="864">
        <f t="shared" si="32"/>
        <v>7</v>
      </c>
      <c r="G544" s="864">
        <f t="shared" si="33"/>
        <v>29</v>
      </c>
      <c r="H544" s="864">
        <f t="shared" si="34"/>
        <v>2022</v>
      </c>
      <c r="I544" s="879">
        <f t="shared" si="35"/>
        <v>29</v>
      </c>
      <c r="J544" s="867" cm="1">
        <f t="array" ref="J544">INDEX($E:$E,MATCH($J$10,IF($B:$B=$B544,$I:$I),1))</f>
        <v>181534</v>
      </c>
    </row>
    <row r="545" spans="2:10">
      <c r="B545" s="817" t="s">
        <v>2204</v>
      </c>
      <c r="C545" s="817" t="s">
        <v>6141</v>
      </c>
      <c r="D545" s="863">
        <v>44762</v>
      </c>
      <c r="E545" s="817">
        <v>151863</v>
      </c>
      <c r="F545" s="864">
        <f t="shared" si="32"/>
        <v>7</v>
      </c>
      <c r="G545" s="864">
        <f t="shared" si="33"/>
        <v>30</v>
      </c>
      <c r="H545" s="864">
        <f t="shared" si="34"/>
        <v>2022</v>
      </c>
      <c r="I545" s="879">
        <f t="shared" si="35"/>
        <v>30</v>
      </c>
      <c r="J545" s="867" cm="1">
        <f t="array" ref="J545">INDEX($E:$E,MATCH($J$10,IF($B:$B=$B545,$I:$I),1))</f>
        <v>181534</v>
      </c>
    </row>
    <row r="546" spans="2:10">
      <c r="B546" s="817" t="s">
        <v>2204</v>
      </c>
      <c r="C546" s="817" t="s">
        <v>6141</v>
      </c>
      <c r="D546" s="866">
        <v>44767</v>
      </c>
      <c r="E546" s="817">
        <v>154710</v>
      </c>
      <c r="F546" s="864">
        <f t="shared" si="32"/>
        <v>7</v>
      </c>
      <c r="G546" s="864">
        <f t="shared" si="33"/>
        <v>31</v>
      </c>
      <c r="H546" s="864">
        <f t="shared" si="34"/>
        <v>2022</v>
      </c>
      <c r="I546" s="879">
        <f t="shared" si="35"/>
        <v>31</v>
      </c>
      <c r="J546" s="867" cm="1">
        <f t="array" ref="J546">INDEX($E:$E,MATCH($J$10,IF($B:$B=$B546,$I:$I),1))</f>
        <v>181534</v>
      </c>
    </row>
    <row r="547" spans="2:10">
      <c r="B547" s="817" t="s">
        <v>2204</v>
      </c>
      <c r="C547" s="817" t="s">
        <v>6141</v>
      </c>
      <c r="D547" s="863">
        <v>44774</v>
      </c>
      <c r="E547" s="817">
        <v>157309</v>
      </c>
      <c r="F547" s="864">
        <f t="shared" si="32"/>
        <v>8</v>
      </c>
      <c r="G547" s="864">
        <f t="shared" si="33"/>
        <v>32</v>
      </c>
      <c r="H547" s="864">
        <f t="shared" si="34"/>
        <v>2022</v>
      </c>
      <c r="I547" s="879">
        <f t="shared" si="35"/>
        <v>32</v>
      </c>
      <c r="J547" s="867" cm="1">
        <f t="array" ref="J547">INDEX($E:$E,MATCH($J$10,IF($B:$B=$B547,$I:$I),1))</f>
        <v>181534</v>
      </c>
    </row>
    <row r="548" spans="2:10">
      <c r="B548" s="817" t="s">
        <v>2204</v>
      </c>
      <c r="C548" s="817" t="s">
        <v>6141</v>
      </c>
      <c r="D548" s="866">
        <v>44782</v>
      </c>
      <c r="E548" s="817">
        <v>159968</v>
      </c>
      <c r="F548" s="864">
        <f t="shared" si="32"/>
        <v>8</v>
      </c>
      <c r="G548" s="864">
        <f t="shared" si="33"/>
        <v>33</v>
      </c>
      <c r="H548" s="864">
        <f t="shared" si="34"/>
        <v>2022</v>
      </c>
      <c r="I548" s="879">
        <f t="shared" si="35"/>
        <v>33</v>
      </c>
      <c r="J548" s="867" cm="1">
        <f t="array" ref="J548">INDEX($E:$E,MATCH($J$10,IF($B:$B=$B548,$I:$I),1))</f>
        <v>181534</v>
      </c>
    </row>
    <row r="549" spans="2:10">
      <c r="B549" s="817" t="s">
        <v>2204</v>
      </c>
      <c r="C549" s="817" t="s">
        <v>6141</v>
      </c>
      <c r="D549" s="863">
        <v>44789</v>
      </c>
      <c r="E549" s="817">
        <v>159968</v>
      </c>
      <c r="F549" s="864">
        <f t="shared" si="32"/>
        <v>8</v>
      </c>
      <c r="G549" s="864">
        <f t="shared" si="33"/>
        <v>34</v>
      </c>
      <c r="H549" s="864">
        <f t="shared" si="34"/>
        <v>2022</v>
      </c>
      <c r="I549" s="879">
        <f t="shared" si="35"/>
        <v>34</v>
      </c>
      <c r="J549" s="867" cm="1">
        <f t="array" ref="J549">INDEX($E:$E,MATCH($J$10,IF($B:$B=$B549,$I:$I),1))</f>
        <v>181534</v>
      </c>
    </row>
    <row r="550" spans="2:10">
      <c r="B550" s="817" t="s">
        <v>2204</v>
      </c>
      <c r="C550" s="817" t="s">
        <v>6141</v>
      </c>
      <c r="D550" s="866">
        <v>44797</v>
      </c>
      <c r="E550" s="817">
        <v>159968</v>
      </c>
      <c r="F550" s="864">
        <f t="shared" si="32"/>
        <v>8</v>
      </c>
      <c r="G550" s="864">
        <f t="shared" si="33"/>
        <v>35</v>
      </c>
      <c r="H550" s="864">
        <f t="shared" si="34"/>
        <v>2022</v>
      </c>
      <c r="I550" s="879">
        <f t="shared" si="35"/>
        <v>35</v>
      </c>
      <c r="J550" s="867" cm="1">
        <f t="array" ref="J550">INDEX($E:$E,MATCH($J$10,IF($B:$B=$B550,$I:$I),1))</f>
        <v>181534</v>
      </c>
    </row>
    <row r="551" spans="2:10">
      <c r="B551" s="817" t="s">
        <v>2204</v>
      </c>
      <c r="C551" s="817" t="s">
        <v>6141</v>
      </c>
      <c r="D551" s="863">
        <v>44803</v>
      </c>
      <c r="E551" s="817">
        <v>159968</v>
      </c>
      <c r="F551" s="864">
        <f t="shared" si="32"/>
        <v>8</v>
      </c>
      <c r="G551" s="864">
        <f t="shared" si="33"/>
        <v>36</v>
      </c>
      <c r="H551" s="864">
        <f t="shared" si="34"/>
        <v>2022</v>
      </c>
      <c r="I551" s="879">
        <f t="shared" si="35"/>
        <v>36</v>
      </c>
      <c r="J551" s="867" cm="1">
        <f t="array" ref="J551">INDEX($E:$E,MATCH($J$10,IF($B:$B=$B551,$I:$I),1))</f>
        <v>181534</v>
      </c>
    </row>
    <row r="552" spans="2:10">
      <c r="B552" s="817" t="s">
        <v>2204</v>
      </c>
      <c r="C552" s="817" t="s">
        <v>6141</v>
      </c>
      <c r="D552" s="866">
        <v>44811</v>
      </c>
      <c r="E552" s="817">
        <v>159968</v>
      </c>
      <c r="F552" s="864">
        <f t="shared" si="32"/>
        <v>9</v>
      </c>
      <c r="G552" s="864">
        <f t="shared" si="33"/>
        <v>37</v>
      </c>
      <c r="H552" s="864">
        <f t="shared" si="34"/>
        <v>2022</v>
      </c>
      <c r="I552" s="879">
        <f t="shared" si="35"/>
        <v>37</v>
      </c>
      <c r="J552" s="867" cm="1">
        <f t="array" ref="J552">INDEX($E:$E,MATCH($J$10,IF($B:$B=$B552,$I:$I),1))</f>
        <v>181534</v>
      </c>
    </row>
    <row r="553" spans="2:10">
      <c r="B553" s="817" t="s">
        <v>2204</v>
      </c>
      <c r="C553" s="817" t="s">
        <v>6141</v>
      </c>
      <c r="D553" s="863">
        <v>44817</v>
      </c>
      <c r="E553" s="817">
        <v>159968</v>
      </c>
      <c r="F553" s="864">
        <f t="shared" si="32"/>
        <v>9</v>
      </c>
      <c r="G553" s="864">
        <f t="shared" si="33"/>
        <v>38</v>
      </c>
      <c r="H553" s="864">
        <f t="shared" si="34"/>
        <v>2022</v>
      </c>
      <c r="I553" s="879">
        <f t="shared" si="35"/>
        <v>38</v>
      </c>
      <c r="J553" s="867" cm="1">
        <f t="array" ref="J553">INDEX($E:$E,MATCH($J$10,IF($B:$B=$B553,$I:$I),1))</f>
        <v>181534</v>
      </c>
    </row>
    <row r="554" spans="2:10">
      <c r="B554" s="817" t="s">
        <v>2204</v>
      </c>
      <c r="C554" s="817" t="s">
        <v>6141</v>
      </c>
      <c r="D554" s="866">
        <v>44827</v>
      </c>
      <c r="E554" s="817">
        <v>159968</v>
      </c>
      <c r="F554" s="864">
        <f t="shared" si="32"/>
        <v>9</v>
      </c>
      <c r="G554" s="864">
        <f t="shared" si="33"/>
        <v>39</v>
      </c>
      <c r="H554" s="864">
        <f t="shared" si="34"/>
        <v>2022</v>
      </c>
      <c r="I554" s="879">
        <f t="shared" si="35"/>
        <v>39</v>
      </c>
      <c r="J554" s="867" cm="1">
        <f t="array" ref="J554">INDEX($E:$E,MATCH($J$10,IF($B:$B=$B554,$I:$I),1))</f>
        <v>181534</v>
      </c>
    </row>
    <row r="555" spans="2:10">
      <c r="B555" s="817" t="s">
        <v>2204</v>
      </c>
      <c r="C555" s="817" t="s">
        <v>6141</v>
      </c>
      <c r="D555" s="863">
        <v>44831</v>
      </c>
      <c r="E555" s="817">
        <v>170646</v>
      </c>
      <c r="F555" s="864">
        <f t="shared" si="32"/>
        <v>9</v>
      </c>
      <c r="G555" s="864">
        <f t="shared" si="33"/>
        <v>40</v>
      </c>
      <c r="H555" s="864">
        <f t="shared" si="34"/>
        <v>2022</v>
      </c>
      <c r="I555" s="879">
        <f t="shared" si="35"/>
        <v>40</v>
      </c>
      <c r="J555" s="867" cm="1">
        <f t="array" ref="J555">INDEX($E:$E,MATCH($J$10,IF($B:$B=$B555,$I:$I),1))</f>
        <v>181534</v>
      </c>
    </row>
    <row r="556" spans="2:10">
      <c r="B556" s="817" t="s">
        <v>2204</v>
      </c>
      <c r="C556" s="817" t="s">
        <v>6141</v>
      </c>
      <c r="D556" s="866">
        <v>44848</v>
      </c>
      <c r="E556" s="817">
        <v>170646</v>
      </c>
      <c r="F556" s="864">
        <f t="shared" si="32"/>
        <v>10</v>
      </c>
      <c r="G556" s="864">
        <f t="shared" si="33"/>
        <v>42</v>
      </c>
      <c r="H556" s="864">
        <f t="shared" si="34"/>
        <v>2022</v>
      </c>
      <c r="I556" s="879">
        <f t="shared" si="35"/>
        <v>42</v>
      </c>
      <c r="J556" s="867" cm="1">
        <f t="array" ref="J556">INDEX($E:$E,MATCH($J$10,IF($B:$B=$B556,$I:$I),1))</f>
        <v>181534</v>
      </c>
    </row>
    <row r="557" spans="2:10">
      <c r="B557" s="817" t="s">
        <v>2204</v>
      </c>
      <c r="C557" s="817" t="s">
        <v>6141</v>
      </c>
      <c r="D557" s="863">
        <v>44853</v>
      </c>
      <c r="E557" s="817">
        <v>171546</v>
      </c>
      <c r="F557" s="864">
        <f t="shared" si="32"/>
        <v>10</v>
      </c>
      <c r="G557" s="864">
        <f t="shared" si="33"/>
        <v>43</v>
      </c>
      <c r="H557" s="864">
        <f t="shared" si="34"/>
        <v>2022</v>
      </c>
      <c r="I557" s="879">
        <f t="shared" si="35"/>
        <v>43</v>
      </c>
      <c r="J557" s="867" cm="1">
        <f t="array" ref="J557">INDEX($E:$E,MATCH($J$10,IF($B:$B=$B557,$I:$I),1))</f>
        <v>181534</v>
      </c>
    </row>
    <row r="558" spans="2:10">
      <c r="B558" s="817" t="s">
        <v>2204</v>
      </c>
      <c r="C558" s="817" t="s">
        <v>6141</v>
      </c>
      <c r="D558" s="866">
        <v>44865</v>
      </c>
      <c r="E558" s="817">
        <v>171546</v>
      </c>
      <c r="F558" s="864">
        <f t="shared" si="32"/>
        <v>10</v>
      </c>
      <c r="G558" s="864">
        <f t="shared" si="33"/>
        <v>45</v>
      </c>
      <c r="H558" s="864">
        <f t="shared" si="34"/>
        <v>2022</v>
      </c>
      <c r="I558" s="879">
        <f t="shared" si="35"/>
        <v>45</v>
      </c>
      <c r="J558" s="867" cm="1">
        <f t="array" ref="J558">INDEX($E:$E,MATCH($J$10,IF($B:$B=$B558,$I:$I),1))</f>
        <v>181534</v>
      </c>
    </row>
    <row r="559" spans="2:10">
      <c r="B559" s="817" t="s">
        <v>2204</v>
      </c>
      <c r="C559" s="817" t="s">
        <v>6141</v>
      </c>
      <c r="D559" s="863">
        <v>44880</v>
      </c>
      <c r="E559" s="817">
        <v>173231</v>
      </c>
      <c r="F559" s="864">
        <f t="shared" si="32"/>
        <v>11</v>
      </c>
      <c r="G559" s="864">
        <f t="shared" si="33"/>
        <v>47</v>
      </c>
      <c r="H559" s="864">
        <f t="shared" si="34"/>
        <v>2022</v>
      </c>
      <c r="I559" s="879">
        <f t="shared" si="35"/>
        <v>47</v>
      </c>
      <c r="J559" s="867" cm="1">
        <f t="array" ref="J559">INDEX($E:$E,MATCH($J$10,IF($B:$B=$B559,$I:$I),1))</f>
        <v>181534</v>
      </c>
    </row>
    <row r="560" spans="2:10">
      <c r="B560" s="817" t="s">
        <v>2204</v>
      </c>
      <c r="C560" s="817" t="s">
        <v>6141</v>
      </c>
      <c r="D560" s="866">
        <v>44887</v>
      </c>
      <c r="E560" s="817">
        <v>173231</v>
      </c>
      <c r="F560" s="864">
        <f t="shared" si="32"/>
        <v>11</v>
      </c>
      <c r="G560" s="864">
        <f t="shared" si="33"/>
        <v>48</v>
      </c>
      <c r="H560" s="864">
        <f t="shared" si="34"/>
        <v>2022</v>
      </c>
      <c r="I560" s="879">
        <f t="shared" si="35"/>
        <v>48</v>
      </c>
      <c r="J560" s="867" cm="1">
        <f t="array" ref="J560">INDEX($E:$E,MATCH($J$10,IF($B:$B=$B560,$I:$I),1))</f>
        <v>181534</v>
      </c>
    </row>
    <row r="561" spans="2:10">
      <c r="B561" s="817" t="s">
        <v>2204</v>
      </c>
      <c r="C561" s="817" t="s">
        <v>6141</v>
      </c>
      <c r="D561" s="863">
        <v>44894</v>
      </c>
      <c r="E561" s="817">
        <v>173231</v>
      </c>
      <c r="F561" s="864">
        <f t="shared" si="32"/>
        <v>11</v>
      </c>
      <c r="G561" s="864">
        <f t="shared" si="33"/>
        <v>49</v>
      </c>
      <c r="H561" s="864">
        <f t="shared" si="34"/>
        <v>2022</v>
      </c>
      <c r="I561" s="879">
        <f t="shared" si="35"/>
        <v>49</v>
      </c>
      <c r="J561" s="867" cm="1">
        <f t="array" ref="J561">INDEX($E:$E,MATCH($J$10,IF($B:$B=$B561,$I:$I),1))</f>
        <v>181534</v>
      </c>
    </row>
    <row r="562" spans="2:10">
      <c r="B562" s="817" t="s">
        <v>2204</v>
      </c>
      <c r="C562" s="817" t="s">
        <v>6141</v>
      </c>
      <c r="D562" s="866">
        <v>44901</v>
      </c>
      <c r="E562" s="817">
        <v>173231</v>
      </c>
      <c r="F562" s="864">
        <f t="shared" si="32"/>
        <v>12</v>
      </c>
      <c r="G562" s="864">
        <f t="shared" si="33"/>
        <v>50</v>
      </c>
      <c r="H562" s="864">
        <f t="shared" si="34"/>
        <v>2022</v>
      </c>
      <c r="I562" s="879">
        <f t="shared" si="35"/>
        <v>50</v>
      </c>
      <c r="J562" s="867" cm="1">
        <f t="array" ref="J562">INDEX($E:$E,MATCH($J$10,IF($B:$B=$B562,$I:$I),1))</f>
        <v>181534</v>
      </c>
    </row>
    <row r="563" spans="2:10">
      <c r="B563" s="817" t="s">
        <v>2204</v>
      </c>
      <c r="C563" s="817" t="s">
        <v>6141</v>
      </c>
      <c r="D563" s="863">
        <v>44908</v>
      </c>
      <c r="E563" s="817">
        <v>173231</v>
      </c>
      <c r="F563" s="864">
        <f t="shared" si="32"/>
        <v>12</v>
      </c>
      <c r="G563" s="864">
        <f t="shared" si="33"/>
        <v>51</v>
      </c>
      <c r="H563" s="864">
        <f t="shared" si="34"/>
        <v>2022</v>
      </c>
      <c r="I563" s="879">
        <f t="shared" si="35"/>
        <v>51</v>
      </c>
      <c r="J563" s="867" cm="1">
        <f t="array" ref="J563">INDEX($E:$E,MATCH($J$10,IF($B:$B=$B563,$I:$I),1))</f>
        <v>181534</v>
      </c>
    </row>
    <row r="564" spans="2:10">
      <c r="B564" s="817" t="s">
        <v>2204</v>
      </c>
      <c r="C564" s="817" t="s">
        <v>6141</v>
      </c>
      <c r="D564" s="866">
        <v>44915</v>
      </c>
      <c r="E564" s="817">
        <v>173231</v>
      </c>
      <c r="F564" s="864">
        <f t="shared" si="32"/>
        <v>12</v>
      </c>
      <c r="G564" s="864">
        <f t="shared" si="33"/>
        <v>52</v>
      </c>
      <c r="H564" s="864">
        <f t="shared" si="34"/>
        <v>2022</v>
      </c>
      <c r="I564" s="879">
        <f t="shared" si="35"/>
        <v>52</v>
      </c>
      <c r="J564" s="867" cm="1">
        <f t="array" ref="J564">INDEX($E:$E,MATCH($J$10,IF($B:$B=$B564,$I:$I),1))</f>
        <v>181534</v>
      </c>
    </row>
    <row r="565" spans="2:10">
      <c r="B565" s="817" t="s">
        <v>2204</v>
      </c>
      <c r="C565" s="817" t="s">
        <v>6141</v>
      </c>
      <c r="D565" s="863">
        <v>44922</v>
      </c>
      <c r="E565" s="817">
        <v>173231</v>
      </c>
      <c r="F565" s="864">
        <f t="shared" si="32"/>
        <v>12</v>
      </c>
      <c r="G565" s="864">
        <f t="shared" si="33"/>
        <v>53</v>
      </c>
      <c r="H565" s="864">
        <f t="shared" si="34"/>
        <v>2022</v>
      </c>
      <c r="I565" s="879">
        <f t="shared" si="35"/>
        <v>53</v>
      </c>
      <c r="J565" s="867" cm="1">
        <f t="array" ref="J565">INDEX($E:$E,MATCH($J$10,IF($B:$B=$B565,$I:$I),1))</f>
        <v>181534</v>
      </c>
    </row>
    <row r="566" spans="2:10">
      <c r="B566" s="817" t="s">
        <v>2204</v>
      </c>
      <c r="C566" s="817" t="s">
        <v>6141</v>
      </c>
      <c r="D566" s="866">
        <v>44925</v>
      </c>
      <c r="E566" s="817">
        <v>167925</v>
      </c>
      <c r="F566" s="864">
        <f t="shared" si="32"/>
        <v>12</v>
      </c>
      <c r="G566" s="864">
        <f t="shared" si="33"/>
        <v>53</v>
      </c>
      <c r="H566" s="864">
        <f t="shared" si="34"/>
        <v>2022</v>
      </c>
      <c r="I566" s="879">
        <f t="shared" si="35"/>
        <v>53</v>
      </c>
      <c r="J566" s="867" cm="1">
        <f t="array" ref="J566">INDEX($E:$E,MATCH($J$10,IF($B:$B=$B566,$I:$I),1))</f>
        <v>181534</v>
      </c>
    </row>
    <row r="567" spans="2:10">
      <c r="B567" s="817" t="s">
        <v>2204</v>
      </c>
      <c r="C567" s="817" t="s">
        <v>6141</v>
      </c>
      <c r="D567" s="863">
        <v>44943</v>
      </c>
      <c r="E567" s="817">
        <v>167925</v>
      </c>
      <c r="F567" s="864">
        <f t="shared" si="32"/>
        <v>1</v>
      </c>
      <c r="G567" s="864">
        <f t="shared" si="33"/>
        <v>3</v>
      </c>
      <c r="H567" s="864">
        <f t="shared" si="34"/>
        <v>2023</v>
      </c>
      <c r="I567" s="879">
        <f t="shared" si="35"/>
        <v>56</v>
      </c>
      <c r="J567" s="867" cm="1">
        <f t="array" ref="J567">INDEX($E:$E,MATCH($J$10,IF($B:$B=$B567,$I:$I),1))</f>
        <v>181534</v>
      </c>
    </row>
    <row r="568" spans="2:10">
      <c r="B568" s="817" t="s">
        <v>2204</v>
      </c>
      <c r="C568" s="817" t="s">
        <v>6141</v>
      </c>
      <c r="D568" s="866">
        <v>44946</v>
      </c>
      <c r="E568" s="817">
        <v>169306</v>
      </c>
      <c r="F568" s="864">
        <f t="shared" si="32"/>
        <v>1</v>
      </c>
      <c r="G568" s="864">
        <f t="shared" si="33"/>
        <v>3</v>
      </c>
      <c r="H568" s="864">
        <f t="shared" si="34"/>
        <v>2023</v>
      </c>
      <c r="I568" s="879">
        <f t="shared" si="35"/>
        <v>56</v>
      </c>
      <c r="J568" s="867" cm="1">
        <f t="array" ref="J568">INDEX($E:$E,MATCH($J$10,IF($B:$B=$B568,$I:$I),1))</f>
        <v>181534</v>
      </c>
    </row>
    <row r="569" spans="2:10">
      <c r="B569" s="817" t="s">
        <v>2204</v>
      </c>
      <c r="C569" s="817" t="s">
        <v>6141</v>
      </c>
      <c r="D569" s="863">
        <v>44953</v>
      </c>
      <c r="E569" s="817">
        <v>169837</v>
      </c>
      <c r="F569" s="864">
        <f t="shared" si="32"/>
        <v>1</v>
      </c>
      <c r="G569" s="864">
        <f t="shared" si="33"/>
        <v>4</v>
      </c>
      <c r="H569" s="864">
        <f t="shared" si="34"/>
        <v>2023</v>
      </c>
      <c r="I569" s="879">
        <f t="shared" si="35"/>
        <v>57</v>
      </c>
      <c r="J569" s="867" cm="1">
        <f t="array" ref="J569">INDEX($E:$E,MATCH($J$10,IF($B:$B=$B569,$I:$I),1))</f>
        <v>181534</v>
      </c>
    </row>
    <row r="570" spans="2:10">
      <c r="B570" s="817" t="s">
        <v>2204</v>
      </c>
      <c r="C570" s="817" t="s">
        <v>6141</v>
      </c>
      <c r="D570" s="866">
        <v>44981</v>
      </c>
      <c r="E570" s="817">
        <v>171739</v>
      </c>
      <c r="F570" s="864">
        <f t="shared" si="32"/>
        <v>2</v>
      </c>
      <c r="G570" s="864">
        <f t="shared" si="33"/>
        <v>8</v>
      </c>
      <c r="H570" s="864">
        <f t="shared" si="34"/>
        <v>2023</v>
      </c>
      <c r="I570" s="879">
        <f t="shared" si="35"/>
        <v>61</v>
      </c>
      <c r="J570" s="867" cm="1">
        <f t="array" ref="J570">INDEX($E:$E,MATCH($J$10,IF($B:$B=$B570,$I:$I),1))</f>
        <v>181534</v>
      </c>
    </row>
    <row r="571" spans="2:10">
      <c r="B571" s="817" t="s">
        <v>2204</v>
      </c>
      <c r="C571" s="817" t="s">
        <v>6141</v>
      </c>
      <c r="D571" s="863">
        <v>45002</v>
      </c>
      <c r="E571" s="817">
        <v>173213</v>
      </c>
      <c r="F571" s="864">
        <f t="shared" si="32"/>
        <v>3</v>
      </c>
      <c r="G571" s="864">
        <f t="shared" si="33"/>
        <v>11</v>
      </c>
      <c r="H571" s="864">
        <f t="shared" si="34"/>
        <v>2023</v>
      </c>
      <c r="I571" s="879">
        <f t="shared" si="35"/>
        <v>64</v>
      </c>
      <c r="J571" s="867" cm="1">
        <f t="array" ref="J571">INDEX($E:$E,MATCH($J$10,IF($B:$B=$B571,$I:$I),1))</f>
        <v>181534</v>
      </c>
    </row>
    <row r="572" spans="2:10">
      <c r="B572" s="817" t="s">
        <v>2204</v>
      </c>
      <c r="C572" s="817" t="s">
        <v>6141</v>
      </c>
      <c r="D572" s="863">
        <v>45037</v>
      </c>
      <c r="E572" s="817">
        <v>181534</v>
      </c>
      <c r="F572" s="864">
        <f t="shared" si="32"/>
        <v>4</v>
      </c>
      <c r="G572" s="864">
        <f t="shared" si="33"/>
        <v>16</v>
      </c>
      <c r="H572" s="864">
        <f t="shared" si="34"/>
        <v>2023</v>
      </c>
      <c r="I572" s="879">
        <f t="shared" si="35"/>
        <v>69</v>
      </c>
      <c r="J572" s="867" cm="1">
        <f t="array" ref="J572">INDEX($E:$E,MATCH($J$10,IF($B:$B=$B572,$I:$I),1))</f>
        <v>181534</v>
      </c>
    </row>
    <row r="573" spans="2:10">
      <c r="B573" s="817" t="s">
        <v>2392</v>
      </c>
      <c r="C573" s="817" t="s">
        <v>6142</v>
      </c>
      <c r="D573" s="863">
        <v>44706</v>
      </c>
      <c r="E573" s="817">
        <v>23382</v>
      </c>
      <c r="F573" s="864">
        <f t="shared" si="32"/>
        <v>5</v>
      </c>
      <c r="G573" s="864">
        <f t="shared" si="33"/>
        <v>22</v>
      </c>
      <c r="H573" s="864">
        <f t="shared" si="34"/>
        <v>2022</v>
      </c>
      <c r="I573" s="879">
        <f t="shared" si="35"/>
        <v>22</v>
      </c>
      <c r="J573" s="867" cm="1">
        <f t="array" ref="J573">INDEX($E:$E,MATCH($J$10,IF($B:$B=$B573,$I:$I),1))</f>
        <v>35243</v>
      </c>
    </row>
    <row r="574" spans="2:10">
      <c r="B574" s="817" t="s">
        <v>2392</v>
      </c>
      <c r="C574" s="817" t="s">
        <v>6142</v>
      </c>
      <c r="D574" s="866">
        <v>44725</v>
      </c>
      <c r="E574" s="817">
        <v>31561</v>
      </c>
      <c r="F574" s="864">
        <f t="shared" si="32"/>
        <v>6</v>
      </c>
      <c r="G574" s="864">
        <f t="shared" si="33"/>
        <v>25</v>
      </c>
      <c r="H574" s="864">
        <f t="shared" si="34"/>
        <v>2022</v>
      </c>
      <c r="I574" s="879">
        <f t="shared" si="35"/>
        <v>25</v>
      </c>
      <c r="J574" s="867" cm="1">
        <f t="array" ref="J574">INDEX($E:$E,MATCH($J$10,IF($B:$B=$B574,$I:$I),1))</f>
        <v>35243</v>
      </c>
    </row>
    <row r="575" spans="2:10">
      <c r="B575" s="817" t="s">
        <v>2392</v>
      </c>
      <c r="C575" s="817" t="s">
        <v>6142</v>
      </c>
      <c r="D575" s="863">
        <v>44733</v>
      </c>
      <c r="E575" s="817">
        <v>32810</v>
      </c>
      <c r="F575" s="864">
        <f t="shared" si="32"/>
        <v>6</v>
      </c>
      <c r="G575" s="864">
        <f t="shared" si="33"/>
        <v>26</v>
      </c>
      <c r="H575" s="864">
        <f t="shared" si="34"/>
        <v>2022</v>
      </c>
      <c r="I575" s="879">
        <f t="shared" si="35"/>
        <v>26</v>
      </c>
      <c r="J575" s="867" cm="1">
        <f t="array" ref="J575">INDEX($E:$E,MATCH($J$10,IF($B:$B=$B575,$I:$I),1))</f>
        <v>35243</v>
      </c>
    </row>
    <row r="576" spans="2:10">
      <c r="B576" s="817" t="s">
        <v>2392</v>
      </c>
      <c r="C576" s="817" t="s">
        <v>6142</v>
      </c>
      <c r="D576" s="866">
        <v>44740</v>
      </c>
      <c r="E576" s="817">
        <v>34259</v>
      </c>
      <c r="F576" s="864">
        <f t="shared" si="32"/>
        <v>6</v>
      </c>
      <c r="G576" s="864">
        <f t="shared" si="33"/>
        <v>27</v>
      </c>
      <c r="H576" s="864">
        <f t="shared" si="34"/>
        <v>2022</v>
      </c>
      <c r="I576" s="879">
        <f t="shared" si="35"/>
        <v>27</v>
      </c>
      <c r="J576" s="867" cm="1">
        <f t="array" ref="J576">INDEX($E:$E,MATCH($J$10,IF($B:$B=$B576,$I:$I),1))</f>
        <v>35243</v>
      </c>
    </row>
    <row r="577" spans="2:10">
      <c r="B577" s="817" t="s">
        <v>2392</v>
      </c>
      <c r="C577" s="817" t="s">
        <v>6142</v>
      </c>
      <c r="D577" s="863">
        <v>44747</v>
      </c>
      <c r="E577" s="817">
        <v>34201</v>
      </c>
      <c r="F577" s="864">
        <f t="shared" si="32"/>
        <v>7</v>
      </c>
      <c r="G577" s="864">
        <f t="shared" si="33"/>
        <v>28</v>
      </c>
      <c r="H577" s="864">
        <f t="shared" si="34"/>
        <v>2022</v>
      </c>
      <c r="I577" s="879">
        <f t="shared" si="35"/>
        <v>28</v>
      </c>
      <c r="J577" s="867" cm="1">
        <f t="array" ref="J577">INDEX($E:$E,MATCH($J$10,IF($B:$B=$B577,$I:$I),1))</f>
        <v>35243</v>
      </c>
    </row>
    <row r="578" spans="2:10">
      <c r="B578" s="817" t="s">
        <v>2392</v>
      </c>
      <c r="C578" s="817" t="s">
        <v>6142</v>
      </c>
      <c r="D578" s="866">
        <v>44754</v>
      </c>
      <c r="E578" s="817">
        <v>34738</v>
      </c>
      <c r="F578" s="864">
        <f t="shared" si="32"/>
        <v>7</v>
      </c>
      <c r="G578" s="864">
        <f t="shared" si="33"/>
        <v>29</v>
      </c>
      <c r="H578" s="864">
        <f t="shared" si="34"/>
        <v>2022</v>
      </c>
      <c r="I578" s="879">
        <f t="shared" si="35"/>
        <v>29</v>
      </c>
      <c r="J578" s="867" cm="1">
        <f t="array" ref="J578">INDEX($E:$E,MATCH($J$10,IF($B:$B=$B578,$I:$I),1))</f>
        <v>35243</v>
      </c>
    </row>
    <row r="579" spans="2:10">
      <c r="B579" s="817" t="s">
        <v>2392</v>
      </c>
      <c r="C579" s="817" t="s">
        <v>6142</v>
      </c>
      <c r="D579" s="863">
        <v>44761</v>
      </c>
      <c r="E579" s="817">
        <v>34983</v>
      </c>
      <c r="F579" s="864">
        <f t="shared" si="32"/>
        <v>7</v>
      </c>
      <c r="G579" s="864">
        <f t="shared" si="33"/>
        <v>30</v>
      </c>
      <c r="H579" s="864">
        <f t="shared" si="34"/>
        <v>2022</v>
      </c>
      <c r="I579" s="879">
        <f t="shared" si="35"/>
        <v>30</v>
      </c>
      <c r="J579" s="867" cm="1">
        <f t="array" ref="J579">INDEX($E:$E,MATCH($J$10,IF($B:$B=$B579,$I:$I),1))</f>
        <v>35243</v>
      </c>
    </row>
    <row r="580" spans="2:10">
      <c r="B580" s="817" t="s">
        <v>2392</v>
      </c>
      <c r="C580" s="817" t="s">
        <v>6142</v>
      </c>
      <c r="D580" s="866">
        <v>44768</v>
      </c>
      <c r="E580" s="817">
        <v>35205</v>
      </c>
      <c r="F580" s="864">
        <f t="shared" si="32"/>
        <v>7</v>
      </c>
      <c r="G580" s="864">
        <f t="shared" si="33"/>
        <v>31</v>
      </c>
      <c r="H580" s="864">
        <f t="shared" si="34"/>
        <v>2022</v>
      </c>
      <c r="I580" s="879">
        <f t="shared" si="35"/>
        <v>31</v>
      </c>
      <c r="J580" s="867" cm="1">
        <f t="array" ref="J580">INDEX($E:$E,MATCH($J$10,IF($B:$B=$B580,$I:$I),1))</f>
        <v>35243</v>
      </c>
    </row>
    <row r="581" spans="2:10">
      <c r="B581" s="817" t="s">
        <v>2392</v>
      </c>
      <c r="C581" s="817" t="s">
        <v>6142</v>
      </c>
      <c r="D581" s="863">
        <v>44775</v>
      </c>
      <c r="E581" s="817">
        <v>35730</v>
      </c>
      <c r="F581" s="864">
        <f t="shared" si="32"/>
        <v>8</v>
      </c>
      <c r="G581" s="864">
        <f t="shared" si="33"/>
        <v>32</v>
      </c>
      <c r="H581" s="864">
        <f t="shared" si="34"/>
        <v>2022</v>
      </c>
      <c r="I581" s="879">
        <f t="shared" si="35"/>
        <v>32</v>
      </c>
      <c r="J581" s="867" cm="1">
        <f t="array" ref="J581">INDEX($E:$E,MATCH($J$10,IF($B:$B=$B581,$I:$I),1))</f>
        <v>35243</v>
      </c>
    </row>
    <row r="582" spans="2:10">
      <c r="B582" s="817" t="s">
        <v>2392</v>
      </c>
      <c r="C582" s="817" t="s">
        <v>6142</v>
      </c>
      <c r="D582" s="866">
        <v>44782</v>
      </c>
      <c r="E582" s="817">
        <v>36161</v>
      </c>
      <c r="F582" s="864">
        <f t="shared" si="32"/>
        <v>8</v>
      </c>
      <c r="G582" s="864">
        <f t="shared" si="33"/>
        <v>33</v>
      </c>
      <c r="H582" s="864">
        <f t="shared" si="34"/>
        <v>2022</v>
      </c>
      <c r="I582" s="879">
        <f t="shared" si="35"/>
        <v>33</v>
      </c>
      <c r="J582" s="867" cm="1">
        <f t="array" ref="J582">INDEX($E:$E,MATCH($J$10,IF($B:$B=$B582,$I:$I),1))</f>
        <v>35243</v>
      </c>
    </row>
    <row r="583" spans="2:10">
      <c r="B583" s="817" t="s">
        <v>2392</v>
      </c>
      <c r="C583" s="817" t="s">
        <v>6142</v>
      </c>
      <c r="D583" s="863">
        <v>44789</v>
      </c>
      <c r="E583" s="817">
        <v>36449</v>
      </c>
      <c r="F583" s="864">
        <f t="shared" si="32"/>
        <v>8</v>
      </c>
      <c r="G583" s="864">
        <f t="shared" si="33"/>
        <v>34</v>
      </c>
      <c r="H583" s="864">
        <f t="shared" si="34"/>
        <v>2022</v>
      </c>
      <c r="I583" s="879">
        <f t="shared" si="35"/>
        <v>34</v>
      </c>
      <c r="J583" s="867" cm="1">
        <f t="array" ref="J583">INDEX($E:$E,MATCH($J$10,IF($B:$B=$B583,$I:$I),1))</f>
        <v>35243</v>
      </c>
    </row>
    <row r="584" spans="2:10">
      <c r="B584" s="817" t="s">
        <v>2392</v>
      </c>
      <c r="C584" s="817" t="s">
        <v>6142</v>
      </c>
      <c r="D584" s="866">
        <v>44795</v>
      </c>
      <c r="E584" s="817">
        <v>36912</v>
      </c>
      <c r="F584" s="864">
        <f t="shared" si="32"/>
        <v>8</v>
      </c>
      <c r="G584" s="864">
        <f t="shared" si="33"/>
        <v>35</v>
      </c>
      <c r="H584" s="864">
        <f t="shared" si="34"/>
        <v>2022</v>
      </c>
      <c r="I584" s="879">
        <f t="shared" si="35"/>
        <v>35</v>
      </c>
      <c r="J584" s="867" cm="1">
        <f t="array" ref="J584">INDEX($E:$E,MATCH($J$10,IF($B:$B=$B584,$I:$I),1))</f>
        <v>35243</v>
      </c>
    </row>
    <row r="585" spans="2:10">
      <c r="B585" s="817" t="s">
        <v>2392</v>
      </c>
      <c r="C585" s="817" t="s">
        <v>6142</v>
      </c>
      <c r="D585" s="863">
        <v>44810</v>
      </c>
      <c r="E585" s="817">
        <v>37601</v>
      </c>
      <c r="F585" s="864">
        <f t="shared" si="32"/>
        <v>9</v>
      </c>
      <c r="G585" s="864">
        <f t="shared" si="33"/>
        <v>37</v>
      </c>
      <c r="H585" s="864">
        <f t="shared" si="34"/>
        <v>2022</v>
      </c>
      <c r="I585" s="879">
        <f t="shared" si="35"/>
        <v>37</v>
      </c>
      <c r="J585" s="867" cm="1">
        <f t="array" ref="J585">INDEX($E:$E,MATCH($J$10,IF($B:$B=$B585,$I:$I),1))</f>
        <v>35243</v>
      </c>
    </row>
    <row r="586" spans="2:10">
      <c r="B586" s="817" t="s">
        <v>2392</v>
      </c>
      <c r="C586" s="817" t="s">
        <v>6142</v>
      </c>
      <c r="D586" s="866">
        <v>44817</v>
      </c>
      <c r="E586" s="817">
        <v>38104</v>
      </c>
      <c r="F586" s="864">
        <f t="shared" si="32"/>
        <v>9</v>
      </c>
      <c r="G586" s="864">
        <f t="shared" si="33"/>
        <v>38</v>
      </c>
      <c r="H586" s="864">
        <f t="shared" si="34"/>
        <v>2022</v>
      </c>
      <c r="I586" s="879">
        <f t="shared" si="35"/>
        <v>38</v>
      </c>
      <c r="J586" s="867" cm="1">
        <f t="array" ref="J586">INDEX($E:$E,MATCH($J$10,IF($B:$B=$B586,$I:$I),1))</f>
        <v>35243</v>
      </c>
    </row>
    <row r="587" spans="2:10">
      <c r="B587" s="817" t="s">
        <v>2392</v>
      </c>
      <c r="C587" s="817" t="s">
        <v>6142</v>
      </c>
      <c r="D587" s="863">
        <v>44824</v>
      </c>
      <c r="E587" s="817">
        <v>38657</v>
      </c>
      <c r="F587" s="864">
        <f t="shared" si="32"/>
        <v>9</v>
      </c>
      <c r="G587" s="864">
        <f t="shared" si="33"/>
        <v>39</v>
      </c>
      <c r="H587" s="864">
        <f t="shared" si="34"/>
        <v>2022</v>
      </c>
      <c r="I587" s="879">
        <f t="shared" si="35"/>
        <v>39</v>
      </c>
      <c r="J587" s="867" cm="1">
        <f t="array" ref="J587">INDEX($E:$E,MATCH($J$10,IF($B:$B=$B587,$I:$I),1))</f>
        <v>35243</v>
      </c>
    </row>
    <row r="588" spans="2:10">
      <c r="B588" s="817" t="s">
        <v>2392</v>
      </c>
      <c r="C588" s="817" t="s">
        <v>6142</v>
      </c>
      <c r="D588" s="866">
        <v>44830</v>
      </c>
      <c r="E588" s="817">
        <v>38915</v>
      </c>
      <c r="F588" s="864">
        <f t="shared" ref="F588:F651" si="36">MONTH(D588)</f>
        <v>9</v>
      </c>
      <c r="G588" s="864">
        <f t="shared" ref="G588:G651" si="37">WEEKNUM(D588)</f>
        <v>40</v>
      </c>
      <c r="H588" s="864">
        <f t="shared" ref="H588:H651" si="38">YEAR(D588)</f>
        <v>2022</v>
      </c>
      <c r="I588" s="879">
        <f t="shared" ref="I588:I651" si="39">(H588-2022)*53+G588</f>
        <v>40</v>
      </c>
      <c r="J588" s="867" cm="1">
        <f t="array" ref="J588">INDEX($E:$E,MATCH($J$10,IF($B:$B=$B588,$I:$I),1))</f>
        <v>35243</v>
      </c>
    </row>
    <row r="589" spans="2:10">
      <c r="B589" s="817" t="s">
        <v>2392</v>
      </c>
      <c r="C589" s="817" t="s">
        <v>6142</v>
      </c>
      <c r="D589" s="863">
        <v>44838</v>
      </c>
      <c r="E589" s="817">
        <v>39083</v>
      </c>
      <c r="F589" s="864">
        <f t="shared" si="36"/>
        <v>10</v>
      </c>
      <c r="G589" s="864">
        <f t="shared" si="37"/>
        <v>41</v>
      </c>
      <c r="H589" s="864">
        <f t="shared" si="38"/>
        <v>2022</v>
      </c>
      <c r="I589" s="879">
        <f t="shared" si="39"/>
        <v>41</v>
      </c>
      <c r="J589" s="867" cm="1">
        <f t="array" ref="J589">INDEX($E:$E,MATCH($J$10,IF($B:$B=$B589,$I:$I),1))</f>
        <v>35243</v>
      </c>
    </row>
    <row r="590" spans="2:10">
      <c r="B590" s="817" t="s">
        <v>2392</v>
      </c>
      <c r="C590" s="817" t="s">
        <v>6142</v>
      </c>
      <c r="D590" s="866">
        <v>44845</v>
      </c>
      <c r="E590" s="817">
        <v>39561</v>
      </c>
      <c r="F590" s="864">
        <f t="shared" si="36"/>
        <v>10</v>
      </c>
      <c r="G590" s="864">
        <f t="shared" si="37"/>
        <v>42</v>
      </c>
      <c r="H590" s="864">
        <f t="shared" si="38"/>
        <v>2022</v>
      </c>
      <c r="I590" s="879">
        <f t="shared" si="39"/>
        <v>42</v>
      </c>
      <c r="J590" s="867" cm="1">
        <f t="array" ref="J590">INDEX($E:$E,MATCH($J$10,IF($B:$B=$B590,$I:$I),1))</f>
        <v>35243</v>
      </c>
    </row>
    <row r="591" spans="2:10">
      <c r="B591" s="817" t="s">
        <v>2392</v>
      </c>
      <c r="C591" s="817" t="s">
        <v>6142</v>
      </c>
      <c r="D591" s="863">
        <v>44848</v>
      </c>
      <c r="E591" s="817">
        <v>39854</v>
      </c>
      <c r="F591" s="864">
        <f t="shared" si="36"/>
        <v>10</v>
      </c>
      <c r="G591" s="864">
        <f t="shared" si="37"/>
        <v>42</v>
      </c>
      <c r="H591" s="864">
        <f t="shared" si="38"/>
        <v>2022</v>
      </c>
      <c r="I591" s="879">
        <f t="shared" si="39"/>
        <v>42</v>
      </c>
      <c r="J591" s="867" cm="1">
        <f t="array" ref="J591">INDEX($E:$E,MATCH($J$10,IF($B:$B=$B591,$I:$I),1))</f>
        <v>35243</v>
      </c>
    </row>
    <row r="592" spans="2:10">
      <c r="B592" s="817" t="s">
        <v>2392</v>
      </c>
      <c r="C592" s="817" t="s">
        <v>6142</v>
      </c>
      <c r="D592" s="866">
        <v>44859</v>
      </c>
      <c r="E592" s="817">
        <v>40163</v>
      </c>
      <c r="F592" s="864">
        <f t="shared" si="36"/>
        <v>10</v>
      </c>
      <c r="G592" s="864">
        <f t="shared" si="37"/>
        <v>44</v>
      </c>
      <c r="H592" s="864">
        <f t="shared" si="38"/>
        <v>2022</v>
      </c>
      <c r="I592" s="879">
        <f t="shared" si="39"/>
        <v>44</v>
      </c>
      <c r="J592" s="867" cm="1">
        <f t="array" ref="J592">INDEX($E:$E,MATCH($J$10,IF($B:$B=$B592,$I:$I),1))</f>
        <v>35243</v>
      </c>
    </row>
    <row r="593" spans="2:10">
      <c r="B593" s="817" t="s">
        <v>2392</v>
      </c>
      <c r="C593" s="817" t="s">
        <v>6142</v>
      </c>
      <c r="D593" s="863">
        <v>44862</v>
      </c>
      <c r="E593" s="817">
        <v>40442</v>
      </c>
      <c r="F593" s="864">
        <f t="shared" si="36"/>
        <v>10</v>
      </c>
      <c r="G593" s="864">
        <f t="shared" si="37"/>
        <v>44</v>
      </c>
      <c r="H593" s="864">
        <f t="shared" si="38"/>
        <v>2022</v>
      </c>
      <c r="I593" s="879">
        <f t="shared" si="39"/>
        <v>44</v>
      </c>
      <c r="J593" s="867" cm="1">
        <f t="array" ref="J593">INDEX($E:$E,MATCH($J$10,IF($B:$B=$B593,$I:$I),1))</f>
        <v>35243</v>
      </c>
    </row>
    <row r="594" spans="2:10">
      <c r="B594" s="817" t="s">
        <v>2392</v>
      </c>
      <c r="C594" s="817" t="s">
        <v>6142</v>
      </c>
      <c r="D594" s="866">
        <v>44873</v>
      </c>
      <c r="E594" s="817">
        <v>35621</v>
      </c>
      <c r="F594" s="864">
        <f t="shared" si="36"/>
        <v>11</v>
      </c>
      <c r="G594" s="864">
        <f t="shared" si="37"/>
        <v>46</v>
      </c>
      <c r="H594" s="864">
        <f t="shared" si="38"/>
        <v>2022</v>
      </c>
      <c r="I594" s="879">
        <f t="shared" si="39"/>
        <v>46</v>
      </c>
      <c r="J594" s="867" cm="1">
        <f t="array" ref="J594">INDEX($E:$E,MATCH($J$10,IF($B:$B=$B594,$I:$I),1))</f>
        <v>35243</v>
      </c>
    </row>
    <row r="595" spans="2:10">
      <c r="B595" s="817" t="s">
        <v>2392</v>
      </c>
      <c r="C595" s="817" t="s">
        <v>6142</v>
      </c>
      <c r="D595" s="863">
        <v>44880</v>
      </c>
      <c r="E595" s="817">
        <v>35283</v>
      </c>
      <c r="F595" s="864">
        <f t="shared" si="36"/>
        <v>11</v>
      </c>
      <c r="G595" s="864">
        <f t="shared" si="37"/>
        <v>47</v>
      </c>
      <c r="H595" s="864">
        <f t="shared" si="38"/>
        <v>2022</v>
      </c>
      <c r="I595" s="879">
        <f t="shared" si="39"/>
        <v>47</v>
      </c>
      <c r="J595" s="867" cm="1">
        <f t="array" ref="J595">INDEX($E:$E,MATCH($J$10,IF($B:$B=$B595,$I:$I),1))</f>
        <v>35243</v>
      </c>
    </row>
    <row r="596" spans="2:10">
      <c r="B596" s="817" t="s">
        <v>2392</v>
      </c>
      <c r="C596" s="817" t="s">
        <v>6142</v>
      </c>
      <c r="D596" s="866">
        <v>44901</v>
      </c>
      <c r="E596" s="817">
        <v>34439</v>
      </c>
      <c r="F596" s="864">
        <f t="shared" si="36"/>
        <v>12</v>
      </c>
      <c r="G596" s="864">
        <f t="shared" si="37"/>
        <v>50</v>
      </c>
      <c r="H596" s="864">
        <f t="shared" si="38"/>
        <v>2022</v>
      </c>
      <c r="I596" s="879">
        <f t="shared" si="39"/>
        <v>50</v>
      </c>
      <c r="J596" s="867" cm="1">
        <f t="array" ref="J596">INDEX($E:$E,MATCH($J$10,IF($B:$B=$B596,$I:$I),1))</f>
        <v>35243</v>
      </c>
    </row>
    <row r="597" spans="2:10">
      <c r="B597" s="817" t="s">
        <v>2392</v>
      </c>
      <c r="C597" s="817" t="s">
        <v>6142</v>
      </c>
      <c r="D597" s="863">
        <v>44915</v>
      </c>
      <c r="E597" s="817">
        <v>34792</v>
      </c>
      <c r="F597" s="864">
        <f t="shared" si="36"/>
        <v>12</v>
      </c>
      <c r="G597" s="864">
        <f t="shared" si="37"/>
        <v>52</v>
      </c>
      <c r="H597" s="864">
        <f t="shared" si="38"/>
        <v>2022</v>
      </c>
      <c r="I597" s="879">
        <f t="shared" si="39"/>
        <v>52</v>
      </c>
      <c r="J597" s="867" cm="1">
        <f t="array" ref="J597">INDEX($E:$E,MATCH($J$10,IF($B:$B=$B597,$I:$I),1))</f>
        <v>35243</v>
      </c>
    </row>
    <row r="598" spans="2:10">
      <c r="B598" s="817" t="s">
        <v>2392</v>
      </c>
      <c r="C598" s="817" t="s">
        <v>6142</v>
      </c>
      <c r="D598" s="866">
        <v>44922</v>
      </c>
      <c r="E598" s="817">
        <v>34854</v>
      </c>
      <c r="F598" s="864">
        <f t="shared" si="36"/>
        <v>12</v>
      </c>
      <c r="G598" s="864">
        <f t="shared" si="37"/>
        <v>53</v>
      </c>
      <c r="H598" s="864">
        <f t="shared" si="38"/>
        <v>2022</v>
      </c>
      <c r="I598" s="879">
        <f t="shared" si="39"/>
        <v>53</v>
      </c>
      <c r="J598" s="867" cm="1">
        <f t="array" ref="J598">INDEX($E:$E,MATCH($J$10,IF($B:$B=$B598,$I:$I),1))</f>
        <v>35243</v>
      </c>
    </row>
    <row r="599" spans="2:10">
      <c r="B599" s="817" t="s">
        <v>2392</v>
      </c>
      <c r="C599" s="817" t="s">
        <v>6142</v>
      </c>
      <c r="D599" s="863">
        <v>44929</v>
      </c>
      <c r="E599" s="817">
        <v>34978</v>
      </c>
      <c r="F599" s="864">
        <f t="shared" si="36"/>
        <v>1</v>
      </c>
      <c r="G599" s="864">
        <f t="shared" si="37"/>
        <v>1</v>
      </c>
      <c r="H599" s="864">
        <f t="shared" si="38"/>
        <v>2023</v>
      </c>
      <c r="I599" s="879">
        <f t="shared" si="39"/>
        <v>54</v>
      </c>
      <c r="J599" s="867" cm="1">
        <f t="array" ref="J599">INDEX($E:$E,MATCH($J$10,IF($B:$B=$B599,$I:$I),1))</f>
        <v>35243</v>
      </c>
    </row>
    <row r="600" spans="2:10">
      <c r="B600" s="817" t="s">
        <v>2392</v>
      </c>
      <c r="C600" s="817" t="s">
        <v>6142</v>
      </c>
      <c r="D600" s="866">
        <v>44935</v>
      </c>
      <c r="E600" s="817">
        <v>35108</v>
      </c>
      <c r="F600" s="864">
        <f t="shared" si="36"/>
        <v>1</v>
      </c>
      <c r="G600" s="864">
        <f t="shared" si="37"/>
        <v>2</v>
      </c>
      <c r="H600" s="864">
        <f t="shared" si="38"/>
        <v>2023</v>
      </c>
      <c r="I600" s="879">
        <f t="shared" si="39"/>
        <v>55</v>
      </c>
      <c r="J600" s="867" cm="1">
        <f t="array" ref="J600">INDEX($E:$E,MATCH($J$10,IF($B:$B=$B600,$I:$I),1))</f>
        <v>35243</v>
      </c>
    </row>
    <row r="601" spans="2:10">
      <c r="B601" s="817" t="s">
        <v>2392</v>
      </c>
      <c r="C601" s="817" t="s">
        <v>6142</v>
      </c>
      <c r="D601" s="863">
        <v>44942</v>
      </c>
      <c r="E601" s="817">
        <v>35212</v>
      </c>
      <c r="F601" s="864">
        <f t="shared" si="36"/>
        <v>1</v>
      </c>
      <c r="G601" s="864">
        <f t="shared" si="37"/>
        <v>3</v>
      </c>
      <c r="H601" s="864">
        <f t="shared" si="38"/>
        <v>2023</v>
      </c>
      <c r="I601" s="879">
        <f t="shared" si="39"/>
        <v>56</v>
      </c>
      <c r="J601" s="867" cm="1">
        <f t="array" ref="J601">INDEX($E:$E,MATCH($J$10,IF($B:$B=$B601,$I:$I),1))</f>
        <v>35243</v>
      </c>
    </row>
    <row r="602" spans="2:10">
      <c r="B602" s="817" t="s">
        <v>2392</v>
      </c>
      <c r="C602" s="817" t="s">
        <v>6142</v>
      </c>
      <c r="D602" s="866">
        <v>44949</v>
      </c>
      <c r="E602" s="817">
        <v>35338</v>
      </c>
      <c r="F602" s="864">
        <f t="shared" si="36"/>
        <v>1</v>
      </c>
      <c r="G602" s="864">
        <f t="shared" si="37"/>
        <v>4</v>
      </c>
      <c r="H602" s="864">
        <f t="shared" si="38"/>
        <v>2023</v>
      </c>
      <c r="I602" s="879">
        <f t="shared" si="39"/>
        <v>57</v>
      </c>
      <c r="J602" s="867" cm="1">
        <f t="array" ref="J602">INDEX($E:$E,MATCH($J$10,IF($B:$B=$B602,$I:$I),1))</f>
        <v>35243</v>
      </c>
    </row>
    <row r="603" spans="2:10">
      <c r="B603" s="817" t="s">
        <v>2392</v>
      </c>
      <c r="C603" s="817" t="s">
        <v>6142</v>
      </c>
      <c r="D603" s="863">
        <v>44957</v>
      </c>
      <c r="E603" s="817">
        <v>35523</v>
      </c>
      <c r="F603" s="864">
        <f t="shared" si="36"/>
        <v>1</v>
      </c>
      <c r="G603" s="864">
        <f t="shared" si="37"/>
        <v>5</v>
      </c>
      <c r="H603" s="864">
        <f t="shared" si="38"/>
        <v>2023</v>
      </c>
      <c r="I603" s="879">
        <f t="shared" si="39"/>
        <v>58</v>
      </c>
      <c r="J603" s="867" cm="1">
        <f t="array" ref="J603">INDEX($E:$E,MATCH($J$10,IF($B:$B=$B603,$I:$I),1))</f>
        <v>35243</v>
      </c>
    </row>
    <row r="604" spans="2:10">
      <c r="B604" s="817" t="s">
        <v>2392</v>
      </c>
      <c r="C604" s="817" t="s">
        <v>6142</v>
      </c>
      <c r="D604" s="866">
        <v>44970</v>
      </c>
      <c r="E604" s="817">
        <v>35322</v>
      </c>
      <c r="F604" s="864">
        <f t="shared" si="36"/>
        <v>2</v>
      </c>
      <c r="G604" s="864">
        <f t="shared" si="37"/>
        <v>7</v>
      </c>
      <c r="H604" s="864">
        <f t="shared" si="38"/>
        <v>2023</v>
      </c>
      <c r="I604" s="879">
        <f t="shared" si="39"/>
        <v>60</v>
      </c>
      <c r="J604" s="867" cm="1">
        <f t="array" ref="J604">INDEX($E:$E,MATCH($J$10,IF($B:$B=$B604,$I:$I),1))</f>
        <v>35243</v>
      </c>
    </row>
    <row r="605" spans="2:10">
      <c r="B605" s="817" t="s">
        <v>2392</v>
      </c>
      <c r="C605" s="817" t="s">
        <v>6142</v>
      </c>
      <c r="D605" s="863">
        <v>44984</v>
      </c>
      <c r="E605" s="817">
        <v>35243</v>
      </c>
      <c r="F605" s="864">
        <f t="shared" si="36"/>
        <v>2</v>
      </c>
      <c r="G605" s="864">
        <f t="shared" si="37"/>
        <v>9</v>
      </c>
      <c r="H605" s="864">
        <f t="shared" si="38"/>
        <v>2023</v>
      </c>
      <c r="I605" s="879">
        <f t="shared" si="39"/>
        <v>62</v>
      </c>
      <c r="J605" s="867" cm="1">
        <f t="array" ref="J605">INDEX($E:$E,MATCH($J$10,IF($B:$B=$B605,$I:$I),1))</f>
        <v>35243</v>
      </c>
    </row>
    <row r="606" spans="2:10">
      <c r="B606" s="817" t="s">
        <v>2488</v>
      </c>
      <c r="C606" s="817" t="s">
        <v>6143</v>
      </c>
      <c r="D606" s="866">
        <v>44706</v>
      </c>
      <c r="E606" s="817">
        <v>53913</v>
      </c>
      <c r="F606" s="864">
        <f t="shared" si="36"/>
        <v>5</v>
      </c>
      <c r="G606" s="864">
        <f t="shared" si="37"/>
        <v>22</v>
      </c>
      <c r="H606" s="864">
        <f t="shared" si="38"/>
        <v>2022</v>
      </c>
      <c r="I606" s="879">
        <f t="shared" si="39"/>
        <v>22</v>
      </c>
      <c r="J606" s="867" cm="1">
        <f t="array" ref="J606">INDEX($E:$E,MATCH($J$10,IF($B:$B=$B606,$I:$I),1))</f>
        <v>77545</v>
      </c>
    </row>
    <row r="607" spans="2:10">
      <c r="B607" s="817" t="s">
        <v>2488</v>
      </c>
      <c r="C607" s="817" t="s">
        <v>6143</v>
      </c>
      <c r="D607" s="863">
        <v>44726</v>
      </c>
      <c r="E607" s="817">
        <v>56223</v>
      </c>
      <c r="F607" s="864">
        <f t="shared" si="36"/>
        <v>6</v>
      </c>
      <c r="G607" s="864">
        <f t="shared" si="37"/>
        <v>25</v>
      </c>
      <c r="H607" s="864">
        <f t="shared" si="38"/>
        <v>2022</v>
      </c>
      <c r="I607" s="879">
        <f t="shared" si="39"/>
        <v>25</v>
      </c>
      <c r="J607" s="867" cm="1">
        <f t="array" ref="J607">INDEX($E:$E,MATCH($J$10,IF($B:$B=$B607,$I:$I),1))</f>
        <v>77545</v>
      </c>
    </row>
    <row r="608" spans="2:10">
      <c r="B608" s="817" t="s">
        <v>2488</v>
      </c>
      <c r="C608" s="817" t="s">
        <v>6143</v>
      </c>
      <c r="D608" s="866">
        <v>44733</v>
      </c>
      <c r="E608" s="817">
        <v>57175</v>
      </c>
      <c r="F608" s="864">
        <f t="shared" si="36"/>
        <v>6</v>
      </c>
      <c r="G608" s="864">
        <f t="shared" si="37"/>
        <v>26</v>
      </c>
      <c r="H608" s="864">
        <f t="shared" si="38"/>
        <v>2022</v>
      </c>
      <c r="I608" s="879">
        <f t="shared" si="39"/>
        <v>26</v>
      </c>
      <c r="J608" s="867" cm="1">
        <f t="array" ref="J608">INDEX($E:$E,MATCH($J$10,IF($B:$B=$B608,$I:$I),1))</f>
        <v>77545</v>
      </c>
    </row>
    <row r="609" spans="2:10">
      <c r="B609" s="817" t="s">
        <v>2488</v>
      </c>
      <c r="C609" s="817" t="s">
        <v>6143</v>
      </c>
      <c r="D609" s="863">
        <v>44741</v>
      </c>
      <c r="E609" s="817">
        <v>57979</v>
      </c>
      <c r="F609" s="864">
        <f t="shared" si="36"/>
        <v>6</v>
      </c>
      <c r="G609" s="864">
        <f t="shared" si="37"/>
        <v>27</v>
      </c>
      <c r="H609" s="864">
        <f t="shared" si="38"/>
        <v>2022</v>
      </c>
      <c r="I609" s="879">
        <f t="shared" si="39"/>
        <v>27</v>
      </c>
      <c r="J609" s="867" cm="1">
        <f t="array" ref="J609">INDEX($E:$E,MATCH($J$10,IF($B:$B=$B609,$I:$I),1))</f>
        <v>77545</v>
      </c>
    </row>
    <row r="610" spans="2:10">
      <c r="B610" s="817" t="s">
        <v>2488</v>
      </c>
      <c r="C610" s="817" t="s">
        <v>6143</v>
      </c>
      <c r="D610" s="866">
        <v>44747</v>
      </c>
      <c r="E610" s="817">
        <v>58377</v>
      </c>
      <c r="F610" s="864">
        <f t="shared" si="36"/>
        <v>7</v>
      </c>
      <c r="G610" s="864">
        <f t="shared" si="37"/>
        <v>28</v>
      </c>
      <c r="H610" s="864">
        <f t="shared" si="38"/>
        <v>2022</v>
      </c>
      <c r="I610" s="879">
        <f t="shared" si="39"/>
        <v>28</v>
      </c>
      <c r="J610" s="867" cm="1">
        <f t="array" ref="J610">INDEX($E:$E,MATCH($J$10,IF($B:$B=$B610,$I:$I),1))</f>
        <v>77545</v>
      </c>
    </row>
    <row r="611" spans="2:10">
      <c r="B611" s="817" t="s">
        <v>2488</v>
      </c>
      <c r="C611" s="817" t="s">
        <v>6143</v>
      </c>
      <c r="D611" s="863">
        <v>44754</v>
      </c>
      <c r="E611" s="817">
        <v>58971</v>
      </c>
      <c r="F611" s="864">
        <f t="shared" si="36"/>
        <v>7</v>
      </c>
      <c r="G611" s="864">
        <f t="shared" si="37"/>
        <v>29</v>
      </c>
      <c r="H611" s="864">
        <f t="shared" si="38"/>
        <v>2022</v>
      </c>
      <c r="I611" s="879">
        <f t="shared" si="39"/>
        <v>29</v>
      </c>
      <c r="J611" s="867" cm="1">
        <f t="array" ref="J611">INDEX($E:$E,MATCH($J$10,IF($B:$B=$B611,$I:$I),1))</f>
        <v>77545</v>
      </c>
    </row>
    <row r="612" spans="2:10">
      <c r="B612" s="817" t="s">
        <v>2488</v>
      </c>
      <c r="C612" s="817" t="s">
        <v>6143</v>
      </c>
      <c r="D612" s="866">
        <v>44761</v>
      </c>
      <c r="E612" s="817">
        <v>59472</v>
      </c>
      <c r="F612" s="864">
        <f t="shared" si="36"/>
        <v>7</v>
      </c>
      <c r="G612" s="864">
        <f t="shared" si="37"/>
        <v>30</v>
      </c>
      <c r="H612" s="864">
        <f t="shared" si="38"/>
        <v>2022</v>
      </c>
      <c r="I612" s="879">
        <f t="shared" si="39"/>
        <v>30</v>
      </c>
      <c r="J612" s="867" cm="1">
        <f t="array" ref="J612">INDEX($E:$E,MATCH($J$10,IF($B:$B=$B612,$I:$I),1))</f>
        <v>77545</v>
      </c>
    </row>
    <row r="613" spans="2:10">
      <c r="B613" s="817" t="s">
        <v>2488</v>
      </c>
      <c r="C613" s="817" t="s">
        <v>6143</v>
      </c>
      <c r="D613" s="863">
        <v>44768</v>
      </c>
      <c r="E613" s="817">
        <v>60010</v>
      </c>
      <c r="F613" s="864">
        <f t="shared" si="36"/>
        <v>7</v>
      </c>
      <c r="G613" s="864">
        <f t="shared" si="37"/>
        <v>31</v>
      </c>
      <c r="H613" s="864">
        <f t="shared" si="38"/>
        <v>2022</v>
      </c>
      <c r="I613" s="879">
        <f t="shared" si="39"/>
        <v>31</v>
      </c>
      <c r="J613" s="867" cm="1">
        <f t="array" ref="J613">INDEX($E:$E,MATCH($J$10,IF($B:$B=$B613,$I:$I),1))</f>
        <v>77545</v>
      </c>
    </row>
    <row r="614" spans="2:10">
      <c r="B614" s="817" t="s">
        <v>2488</v>
      </c>
      <c r="C614" s="817" t="s">
        <v>6143</v>
      </c>
      <c r="D614" s="866">
        <v>44775</v>
      </c>
      <c r="E614" s="817">
        <v>60755</v>
      </c>
      <c r="F614" s="864">
        <f t="shared" si="36"/>
        <v>8</v>
      </c>
      <c r="G614" s="864">
        <f t="shared" si="37"/>
        <v>32</v>
      </c>
      <c r="H614" s="864">
        <f t="shared" si="38"/>
        <v>2022</v>
      </c>
      <c r="I614" s="879">
        <f t="shared" si="39"/>
        <v>32</v>
      </c>
      <c r="J614" s="867" cm="1">
        <f t="array" ref="J614">INDEX($E:$E,MATCH($J$10,IF($B:$B=$B614,$I:$I),1))</f>
        <v>77545</v>
      </c>
    </row>
    <row r="615" spans="2:10">
      <c r="B615" s="817" t="s">
        <v>2488</v>
      </c>
      <c r="C615" s="817" t="s">
        <v>6143</v>
      </c>
      <c r="D615" s="863">
        <v>44782</v>
      </c>
      <c r="E615" s="817">
        <v>61847</v>
      </c>
      <c r="F615" s="864">
        <f t="shared" si="36"/>
        <v>8</v>
      </c>
      <c r="G615" s="864">
        <f t="shared" si="37"/>
        <v>33</v>
      </c>
      <c r="H615" s="864">
        <f t="shared" si="38"/>
        <v>2022</v>
      </c>
      <c r="I615" s="879">
        <f t="shared" si="39"/>
        <v>33</v>
      </c>
      <c r="J615" s="867" cm="1">
        <f t="array" ref="J615">INDEX($E:$E,MATCH($J$10,IF($B:$B=$B615,$I:$I),1))</f>
        <v>77545</v>
      </c>
    </row>
    <row r="616" spans="2:10">
      <c r="B616" s="817" t="s">
        <v>2488</v>
      </c>
      <c r="C616" s="817" t="s">
        <v>6143</v>
      </c>
      <c r="D616" s="866">
        <v>44789</v>
      </c>
      <c r="E616" s="817">
        <v>62444</v>
      </c>
      <c r="F616" s="864">
        <f t="shared" si="36"/>
        <v>8</v>
      </c>
      <c r="G616" s="864">
        <f t="shared" si="37"/>
        <v>34</v>
      </c>
      <c r="H616" s="864">
        <f t="shared" si="38"/>
        <v>2022</v>
      </c>
      <c r="I616" s="879">
        <f t="shared" si="39"/>
        <v>34</v>
      </c>
      <c r="J616" s="867" cm="1">
        <f t="array" ref="J616">INDEX($E:$E,MATCH($J$10,IF($B:$B=$B616,$I:$I),1))</f>
        <v>77545</v>
      </c>
    </row>
    <row r="617" spans="2:10">
      <c r="B617" s="817" t="s">
        <v>2488</v>
      </c>
      <c r="C617" s="817" t="s">
        <v>6143</v>
      </c>
      <c r="D617" s="863">
        <v>44796</v>
      </c>
      <c r="E617" s="817">
        <v>63279</v>
      </c>
      <c r="F617" s="864">
        <f t="shared" si="36"/>
        <v>8</v>
      </c>
      <c r="G617" s="864">
        <f t="shared" si="37"/>
        <v>35</v>
      </c>
      <c r="H617" s="864">
        <f t="shared" si="38"/>
        <v>2022</v>
      </c>
      <c r="I617" s="879">
        <f t="shared" si="39"/>
        <v>35</v>
      </c>
      <c r="J617" s="867" cm="1">
        <f t="array" ref="J617">INDEX($E:$E,MATCH($J$10,IF($B:$B=$B617,$I:$I),1))</f>
        <v>77545</v>
      </c>
    </row>
    <row r="618" spans="2:10">
      <c r="B618" s="817" t="s">
        <v>2488</v>
      </c>
      <c r="C618" s="817" t="s">
        <v>6143</v>
      </c>
      <c r="D618" s="866">
        <v>44810</v>
      </c>
      <c r="E618" s="817">
        <v>64769</v>
      </c>
      <c r="F618" s="864">
        <f t="shared" si="36"/>
        <v>9</v>
      </c>
      <c r="G618" s="864">
        <f t="shared" si="37"/>
        <v>37</v>
      </c>
      <c r="H618" s="864">
        <f t="shared" si="38"/>
        <v>2022</v>
      </c>
      <c r="I618" s="879">
        <f t="shared" si="39"/>
        <v>37</v>
      </c>
      <c r="J618" s="867" cm="1">
        <f t="array" ref="J618">INDEX($E:$E,MATCH($J$10,IF($B:$B=$B618,$I:$I),1))</f>
        <v>77545</v>
      </c>
    </row>
    <row r="619" spans="2:10">
      <c r="B619" s="817" t="s">
        <v>2488</v>
      </c>
      <c r="C619" s="817" t="s">
        <v>6143</v>
      </c>
      <c r="D619" s="863">
        <v>44817</v>
      </c>
      <c r="E619" s="817">
        <v>64950</v>
      </c>
      <c r="F619" s="864">
        <f t="shared" si="36"/>
        <v>9</v>
      </c>
      <c r="G619" s="864">
        <f t="shared" si="37"/>
        <v>38</v>
      </c>
      <c r="H619" s="864">
        <f t="shared" si="38"/>
        <v>2022</v>
      </c>
      <c r="I619" s="879">
        <f t="shared" si="39"/>
        <v>38</v>
      </c>
      <c r="J619" s="867" cm="1">
        <f t="array" ref="J619">INDEX($E:$E,MATCH($J$10,IF($B:$B=$B619,$I:$I),1))</f>
        <v>77545</v>
      </c>
    </row>
    <row r="620" spans="2:10">
      <c r="B620" s="817" t="s">
        <v>2488</v>
      </c>
      <c r="C620" s="817" t="s">
        <v>6143</v>
      </c>
      <c r="D620" s="866">
        <v>44826</v>
      </c>
      <c r="E620" s="817">
        <v>65544</v>
      </c>
      <c r="F620" s="864">
        <f t="shared" si="36"/>
        <v>9</v>
      </c>
      <c r="G620" s="864">
        <f t="shared" si="37"/>
        <v>39</v>
      </c>
      <c r="H620" s="864">
        <f t="shared" si="38"/>
        <v>2022</v>
      </c>
      <c r="I620" s="879">
        <f t="shared" si="39"/>
        <v>39</v>
      </c>
      <c r="J620" s="867" cm="1">
        <f t="array" ref="J620">INDEX($E:$E,MATCH($J$10,IF($B:$B=$B620,$I:$I),1))</f>
        <v>77545</v>
      </c>
    </row>
    <row r="621" spans="2:10">
      <c r="B621" s="817" t="s">
        <v>2488</v>
      </c>
      <c r="C621" s="817" t="s">
        <v>6143</v>
      </c>
      <c r="D621" s="863">
        <v>44831</v>
      </c>
      <c r="E621" s="817">
        <v>66368</v>
      </c>
      <c r="F621" s="864">
        <f t="shared" si="36"/>
        <v>9</v>
      </c>
      <c r="G621" s="864">
        <f t="shared" si="37"/>
        <v>40</v>
      </c>
      <c r="H621" s="864">
        <f t="shared" si="38"/>
        <v>2022</v>
      </c>
      <c r="I621" s="879">
        <f t="shared" si="39"/>
        <v>40</v>
      </c>
      <c r="J621" s="867" cm="1">
        <f t="array" ref="J621">INDEX($E:$E,MATCH($J$10,IF($B:$B=$B621,$I:$I),1))</f>
        <v>77545</v>
      </c>
    </row>
    <row r="622" spans="2:10">
      <c r="B622" s="817" t="s">
        <v>2488</v>
      </c>
      <c r="C622" s="817" t="s">
        <v>6143</v>
      </c>
      <c r="D622" s="866">
        <v>44838</v>
      </c>
      <c r="E622" s="817">
        <v>67048</v>
      </c>
      <c r="F622" s="864">
        <f t="shared" si="36"/>
        <v>10</v>
      </c>
      <c r="G622" s="864">
        <f t="shared" si="37"/>
        <v>41</v>
      </c>
      <c r="H622" s="864">
        <f t="shared" si="38"/>
        <v>2022</v>
      </c>
      <c r="I622" s="879">
        <f t="shared" si="39"/>
        <v>41</v>
      </c>
      <c r="J622" s="867" cm="1">
        <f t="array" ref="J622">INDEX($E:$E,MATCH($J$10,IF($B:$B=$B622,$I:$I),1))</f>
        <v>77545</v>
      </c>
    </row>
    <row r="623" spans="2:10">
      <c r="B623" s="817" t="s">
        <v>2488</v>
      </c>
      <c r="C623" s="817" t="s">
        <v>6143</v>
      </c>
      <c r="D623" s="863">
        <v>44845</v>
      </c>
      <c r="E623" s="817">
        <v>67793</v>
      </c>
      <c r="F623" s="864">
        <f t="shared" si="36"/>
        <v>10</v>
      </c>
      <c r="G623" s="864">
        <f t="shared" si="37"/>
        <v>42</v>
      </c>
      <c r="H623" s="864">
        <f t="shared" si="38"/>
        <v>2022</v>
      </c>
      <c r="I623" s="879">
        <f t="shared" si="39"/>
        <v>42</v>
      </c>
      <c r="J623" s="867" cm="1">
        <f t="array" ref="J623">INDEX($E:$E,MATCH($J$10,IF($B:$B=$B623,$I:$I),1))</f>
        <v>77545</v>
      </c>
    </row>
    <row r="624" spans="2:10">
      <c r="B624" s="817" t="s">
        <v>2488</v>
      </c>
      <c r="C624" s="817" t="s">
        <v>6143</v>
      </c>
      <c r="D624" s="866">
        <v>44852</v>
      </c>
      <c r="E624" s="817">
        <v>68396</v>
      </c>
      <c r="F624" s="864">
        <f t="shared" si="36"/>
        <v>10</v>
      </c>
      <c r="G624" s="864">
        <f t="shared" si="37"/>
        <v>43</v>
      </c>
      <c r="H624" s="864">
        <f t="shared" si="38"/>
        <v>2022</v>
      </c>
      <c r="I624" s="879">
        <f t="shared" si="39"/>
        <v>43</v>
      </c>
      <c r="J624" s="867" cm="1">
        <f t="array" ref="J624">INDEX($E:$E,MATCH($J$10,IF($B:$B=$B624,$I:$I),1))</f>
        <v>77545</v>
      </c>
    </row>
    <row r="625" spans="2:10">
      <c r="B625" s="817" t="s">
        <v>2488</v>
      </c>
      <c r="C625" s="817" t="s">
        <v>6143</v>
      </c>
      <c r="D625" s="863">
        <v>44859</v>
      </c>
      <c r="E625" s="817">
        <v>68925</v>
      </c>
      <c r="F625" s="864">
        <f t="shared" si="36"/>
        <v>10</v>
      </c>
      <c r="G625" s="864">
        <f t="shared" si="37"/>
        <v>44</v>
      </c>
      <c r="H625" s="864">
        <f t="shared" si="38"/>
        <v>2022</v>
      </c>
      <c r="I625" s="879">
        <f t="shared" si="39"/>
        <v>44</v>
      </c>
      <c r="J625" s="867" cm="1">
        <f t="array" ref="J625">INDEX($E:$E,MATCH($J$10,IF($B:$B=$B625,$I:$I),1))</f>
        <v>77545</v>
      </c>
    </row>
    <row r="626" spans="2:10">
      <c r="B626" s="817" t="s">
        <v>2488</v>
      </c>
      <c r="C626" s="817" t="s">
        <v>6143</v>
      </c>
      <c r="D626" s="866">
        <v>44861</v>
      </c>
      <c r="E626" s="817">
        <v>69317</v>
      </c>
      <c r="F626" s="864">
        <f t="shared" si="36"/>
        <v>10</v>
      </c>
      <c r="G626" s="864">
        <f t="shared" si="37"/>
        <v>44</v>
      </c>
      <c r="H626" s="864">
        <f t="shared" si="38"/>
        <v>2022</v>
      </c>
      <c r="I626" s="879">
        <f t="shared" si="39"/>
        <v>44</v>
      </c>
      <c r="J626" s="867" cm="1">
        <f t="array" ref="J626">INDEX($E:$E,MATCH($J$10,IF($B:$B=$B626,$I:$I),1))</f>
        <v>77545</v>
      </c>
    </row>
    <row r="627" spans="2:10">
      <c r="B627" s="817" t="s">
        <v>2488</v>
      </c>
      <c r="C627" s="817" t="s">
        <v>6143</v>
      </c>
      <c r="D627" s="863">
        <v>44873</v>
      </c>
      <c r="E627" s="817">
        <v>69522</v>
      </c>
      <c r="F627" s="864">
        <f t="shared" si="36"/>
        <v>11</v>
      </c>
      <c r="G627" s="864">
        <f t="shared" si="37"/>
        <v>46</v>
      </c>
      <c r="H627" s="864">
        <f t="shared" si="38"/>
        <v>2022</v>
      </c>
      <c r="I627" s="879">
        <f t="shared" si="39"/>
        <v>46</v>
      </c>
      <c r="J627" s="867" cm="1">
        <f t="array" ref="J627">INDEX($E:$E,MATCH($J$10,IF($B:$B=$B627,$I:$I),1))</f>
        <v>77545</v>
      </c>
    </row>
    <row r="628" spans="2:10">
      <c r="B628" s="817" t="s">
        <v>2488</v>
      </c>
      <c r="C628" s="817" t="s">
        <v>6143</v>
      </c>
      <c r="D628" s="866">
        <v>44880</v>
      </c>
      <c r="E628" s="817">
        <v>70244</v>
      </c>
      <c r="F628" s="864">
        <f t="shared" si="36"/>
        <v>11</v>
      </c>
      <c r="G628" s="864">
        <f t="shared" si="37"/>
        <v>47</v>
      </c>
      <c r="H628" s="864">
        <f t="shared" si="38"/>
        <v>2022</v>
      </c>
      <c r="I628" s="879">
        <f t="shared" si="39"/>
        <v>47</v>
      </c>
      <c r="J628" s="867" cm="1">
        <f t="array" ref="J628">INDEX($E:$E,MATCH($J$10,IF($B:$B=$B628,$I:$I),1))</f>
        <v>77545</v>
      </c>
    </row>
    <row r="629" spans="2:10">
      <c r="B629" s="817" t="s">
        <v>2488</v>
      </c>
      <c r="C629" s="817" t="s">
        <v>6143</v>
      </c>
      <c r="D629" s="863">
        <v>44887</v>
      </c>
      <c r="E629" s="817">
        <v>70667</v>
      </c>
      <c r="F629" s="864">
        <f t="shared" si="36"/>
        <v>11</v>
      </c>
      <c r="G629" s="864">
        <f t="shared" si="37"/>
        <v>48</v>
      </c>
      <c r="H629" s="864">
        <f t="shared" si="38"/>
        <v>2022</v>
      </c>
      <c r="I629" s="879">
        <f t="shared" si="39"/>
        <v>48</v>
      </c>
      <c r="J629" s="867" cm="1">
        <f t="array" ref="J629">INDEX($E:$E,MATCH($J$10,IF($B:$B=$B629,$I:$I),1))</f>
        <v>77545</v>
      </c>
    </row>
    <row r="630" spans="2:10">
      <c r="B630" s="817" t="s">
        <v>2488</v>
      </c>
      <c r="C630" s="817" t="s">
        <v>6143</v>
      </c>
      <c r="D630" s="866">
        <v>44901</v>
      </c>
      <c r="E630" s="817">
        <v>71367</v>
      </c>
      <c r="F630" s="864">
        <f t="shared" si="36"/>
        <v>12</v>
      </c>
      <c r="G630" s="864">
        <f t="shared" si="37"/>
        <v>50</v>
      </c>
      <c r="H630" s="864">
        <f t="shared" si="38"/>
        <v>2022</v>
      </c>
      <c r="I630" s="879">
        <f t="shared" si="39"/>
        <v>50</v>
      </c>
      <c r="J630" s="867" cm="1">
        <f t="array" ref="J630">INDEX($E:$E,MATCH($J$10,IF($B:$B=$B630,$I:$I),1))</f>
        <v>77545</v>
      </c>
    </row>
    <row r="631" spans="2:10">
      <c r="B631" s="817" t="s">
        <v>2488</v>
      </c>
      <c r="C631" s="817" t="s">
        <v>6143</v>
      </c>
      <c r="D631" s="863">
        <v>44915</v>
      </c>
      <c r="E631" s="817">
        <v>72051</v>
      </c>
      <c r="F631" s="864">
        <f t="shared" si="36"/>
        <v>12</v>
      </c>
      <c r="G631" s="864">
        <f t="shared" si="37"/>
        <v>52</v>
      </c>
      <c r="H631" s="864">
        <f t="shared" si="38"/>
        <v>2022</v>
      </c>
      <c r="I631" s="879">
        <f t="shared" si="39"/>
        <v>52</v>
      </c>
      <c r="J631" s="867" cm="1">
        <f t="array" ref="J631">INDEX($E:$E,MATCH($J$10,IF($B:$B=$B631,$I:$I),1))</f>
        <v>77545</v>
      </c>
    </row>
    <row r="632" spans="2:10">
      <c r="B632" s="817" t="s">
        <v>2488</v>
      </c>
      <c r="C632" s="817" t="s">
        <v>6143</v>
      </c>
      <c r="D632" s="866">
        <v>44922</v>
      </c>
      <c r="E632" s="817">
        <v>72302</v>
      </c>
      <c r="F632" s="864">
        <f t="shared" si="36"/>
        <v>12</v>
      </c>
      <c r="G632" s="864">
        <f t="shared" si="37"/>
        <v>53</v>
      </c>
      <c r="H632" s="864">
        <f t="shared" si="38"/>
        <v>2022</v>
      </c>
      <c r="I632" s="879">
        <f t="shared" si="39"/>
        <v>53</v>
      </c>
      <c r="J632" s="867" cm="1">
        <f t="array" ref="J632">INDEX($E:$E,MATCH($J$10,IF($B:$B=$B632,$I:$I),1))</f>
        <v>77545</v>
      </c>
    </row>
    <row r="633" spans="2:10">
      <c r="B633" s="817" t="s">
        <v>2488</v>
      </c>
      <c r="C633" s="817" t="s">
        <v>6143</v>
      </c>
      <c r="D633" s="863">
        <v>44928</v>
      </c>
      <c r="E633" s="817">
        <v>72480</v>
      </c>
      <c r="F633" s="864">
        <f t="shared" si="36"/>
        <v>1</v>
      </c>
      <c r="G633" s="864">
        <f t="shared" si="37"/>
        <v>1</v>
      </c>
      <c r="H633" s="864">
        <f t="shared" si="38"/>
        <v>2023</v>
      </c>
      <c r="I633" s="879">
        <f t="shared" si="39"/>
        <v>54</v>
      </c>
      <c r="J633" s="867" cm="1">
        <f t="array" ref="J633">INDEX($E:$E,MATCH($J$10,IF($B:$B=$B633,$I:$I),1))</f>
        <v>77545</v>
      </c>
    </row>
    <row r="634" spans="2:10">
      <c r="B634" s="817" t="s">
        <v>2488</v>
      </c>
      <c r="C634" s="817" t="s">
        <v>6143</v>
      </c>
      <c r="D634" s="866">
        <v>44935</v>
      </c>
      <c r="E634" s="817">
        <v>72773</v>
      </c>
      <c r="F634" s="864">
        <f t="shared" si="36"/>
        <v>1</v>
      </c>
      <c r="G634" s="864">
        <f t="shared" si="37"/>
        <v>2</v>
      </c>
      <c r="H634" s="864">
        <f t="shared" si="38"/>
        <v>2023</v>
      </c>
      <c r="I634" s="879">
        <f t="shared" si="39"/>
        <v>55</v>
      </c>
      <c r="J634" s="867" cm="1">
        <f t="array" ref="J634">INDEX($E:$E,MATCH($J$10,IF($B:$B=$B634,$I:$I),1))</f>
        <v>77545</v>
      </c>
    </row>
    <row r="635" spans="2:10">
      <c r="B635" s="817" t="s">
        <v>2488</v>
      </c>
      <c r="C635" s="817" t="s">
        <v>6143</v>
      </c>
      <c r="D635" s="863">
        <v>44942</v>
      </c>
      <c r="E635" s="817">
        <v>73040</v>
      </c>
      <c r="F635" s="864">
        <f t="shared" si="36"/>
        <v>1</v>
      </c>
      <c r="G635" s="864">
        <f t="shared" si="37"/>
        <v>3</v>
      </c>
      <c r="H635" s="864">
        <f t="shared" si="38"/>
        <v>2023</v>
      </c>
      <c r="I635" s="879">
        <f t="shared" si="39"/>
        <v>56</v>
      </c>
      <c r="J635" s="867" cm="1">
        <f t="array" ref="J635">INDEX($E:$E,MATCH($J$10,IF($B:$B=$B635,$I:$I),1))</f>
        <v>77545</v>
      </c>
    </row>
    <row r="636" spans="2:10">
      <c r="B636" s="817" t="s">
        <v>2488</v>
      </c>
      <c r="C636" s="817" t="s">
        <v>6143</v>
      </c>
      <c r="D636" s="866">
        <v>44950</v>
      </c>
      <c r="E636" s="817">
        <v>73292</v>
      </c>
      <c r="F636" s="864">
        <f t="shared" si="36"/>
        <v>1</v>
      </c>
      <c r="G636" s="864">
        <f t="shared" si="37"/>
        <v>4</v>
      </c>
      <c r="H636" s="864">
        <f t="shared" si="38"/>
        <v>2023</v>
      </c>
      <c r="I636" s="879">
        <f t="shared" si="39"/>
        <v>57</v>
      </c>
      <c r="J636" s="867" cm="1">
        <f t="array" ref="J636">INDEX($E:$E,MATCH($J$10,IF($B:$B=$B636,$I:$I),1))</f>
        <v>77545</v>
      </c>
    </row>
    <row r="637" spans="2:10">
      <c r="B637" s="817" t="s">
        <v>2488</v>
      </c>
      <c r="C637" s="817" t="s">
        <v>6143</v>
      </c>
      <c r="D637" s="863">
        <v>44956</v>
      </c>
      <c r="E637" s="817">
        <v>73606</v>
      </c>
      <c r="F637" s="864">
        <f t="shared" si="36"/>
        <v>1</v>
      </c>
      <c r="G637" s="864">
        <f t="shared" si="37"/>
        <v>5</v>
      </c>
      <c r="H637" s="864">
        <f t="shared" si="38"/>
        <v>2023</v>
      </c>
      <c r="I637" s="879">
        <f t="shared" si="39"/>
        <v>58</v>
      </c>
      <c r="J637" s="867" cm="1">
        <f t="array" ref="J637">INDEX($E:$E,MATCH($J$10,IF($B:$B=$B637,$I:$I),1))</f>
        <v>77545</v>
      </c>
    </row>
    <row r="638" spans="2:10">
      <c r="B638" s="817" t="s">
        <v>2488</v>
      </c>
      <c r="C638" s="817" t="s">
        <v>6143</v>
      </c>
      <c r="D638" s="866">
        <v>44970</v>
      </c>
      <c r="E638" s="817">
        <v>74611</v>
      </c>
      <c r="F638" s="864">
        <f t="shared" si="36"/>
        <v>2</v>
      </c>
      <c r="G638" s="864">
        <f t="shared" si="37"/>
        <v>7</v>
      </c>
      <c r="H638" s="864">
        <f t="shared" si="38"/>
        <v>2023</v>
      </c>
      <c r="I638" s="879">
        <f t="shared" si="39"/>
        <v>60</v>
      </c>
      <c r="J638" s="867" cm="1">
        <f t="array" ref="J638">INDEX($E:$E,MATCH($J$10,IF($B:$B=$B638,$I:$I),1))</f>
        <v>77545</v>
      </c>
    </row>
    <row r="639" spans="2:10">
      <c r="B639" s="817" t="s">
        <v>2488</v>
      </c>
      <c r="C639" s="817" t="s">
        <v>6143</v>
      </c>
      <c r="D639" s="863">
        <v>44984</v>
      </c>
      <c r="E639" s="817">
        <v>75197</v>
      </c>
      <c r="F639" s="864">
        <f t="shared" si="36"/>
        <v>2</v>
      </c>
      <c r="G639" s="864">
        <f t="shared" si="37"/>
        <v>9</v>
      </c>
      <c r="H639" s="864">
        <f t="shared" si="38"/>
        <v>2023</v>
      </c>
      <c r="I639" s="879">
        <f t="shared" si="39"/>
        <v>62</v>
      </c>
      <c r="J639" s="867" cm="1">
        <f t="array" ref="J639">INDEX($E:$E,MATCH($J$10,IF($B:$B=$B639,$I:$I),1))</f>
        <v>77545</v>
      </c>
    </row>
    <row r="640" spans="2:10">
      <c r="B640" s="817" t="s">
        <v>2488</v>
      </c>
      <c r="C640" s="817" t="s">
        <v>6143</v>
      </c>
      <c r="D640" s="863">
        <v>45002</v>
      </c>
      <c r="E640" s="817">
        <v>75954</v>
      </c>
      <c r="F640" s="864">
        <f t="shared" si="36"/>
        <v>3</v>
      </c>
      <c r="G640" s="864">
        <f t="shared" si="37"/>
        <v>11</v>
      </c>
      <c r="H640" s="864">
        <f t="shared" si="38"/>
        <v>2023</v>
      </c>
      <c r="I640" s="879">
        <f t="shared" si="39"/>
        <v>64</v>
      </c>
      <c r="J640" s="867" cm="1">
        <f t="array" ref="J640">INDEX($E:$E,MATCH($J$10,IF($B:$B=$B640,$I:$I),1))</f>
        <v>77545</v>
      </c>
    </row>
    <row r="641" spans="2:10">
      <c r="B641" s="817" t="s">
        <v>2488</v>
      </c>
      <c r="C641" s="817" t="s">
        <v>6143</v>
      </c>
      <c r="D641" s="863">
        <v>45012</v>
      </c>
      <c r="E641" s="817">
        <v>76155</v>
      </c>
      <c r="F641" s="864">
        <f t="shared" si="36"/>
        <v>3</v>
      </c>
      <c r="G641" s="864">
        <f t="shared" si="37"/>
        <v>13</v>
      </c>
      <c r="H641" s="864">
        <f t="shared" si="38"/>
        <v>2023</v>
      </c>
      <c r="I641" s="879">
        <f t="shared" si="39"/>
        <v>66</v>
      </c>
      <c r="J641" s="867" cm="1">
        <f t="array" ref="J641">INDEX($E:$E,MATCH($J$10,IF($B:$B=$B641,$I:$I),1))</f>
        <v>77545</v>
      </c>
    </row>
    <row r="642" spans="2:10">
      <c r="B642" s="817" t="s">
        <v>2488</v>
      </c>
      <c r="C642" s="817" t="s">
        <v>6143</v>
      </c>
      <c r="D642" s="863">
        <v>45016</v>
      </c>
      <c r="E642" s="817">
        <v>76309</v>
      </c>
      <c r="F642" s="864">
        <f t="shared" si="36"/>
        <v>3</v>
      </c>
      <c r="G642" s="864">
        <f t="shared" si="37"/>
        <v>13</v>
      </c>
      <c r="H642" s="864">
        <f t="shared" si="38"/>
        <v>2023</v>
      </c>
      <c r="I642" s="879">
        <f t="shared" si="39"/>
        <v>66</v>
      </c>
      <c r="J642" s="867" cm="1">
        <f t="array" ref="J642">INDEX($E:$E,MATCH($J$10,IF($B:$B=$B642,$I:$I),1))</f>
        <v>77545</v>
      </c>
    </row>
    <row r="643" spans="2:10">
      <c r="B643" s="817" t="s">
        <v>2488</v>
      </c>
      <c r="C643" s="817" t="s">
        <v>6143</v>
      </c>
      <c r="D643" s="863">
        <v>45027</v>
      </c>
      <c r="E643" s="817">
        <v>76540</v>
      </c>
      <c r="F643" s="864">
        <f t="shared" si="36"/>
        <v>4</v>
      </c>
      <c r="G643" s="864">
        <f t="shared" si="37"/>
        <v>15</v>
      </c>
      <c r="H643" s="864">
        <f t="shared" si="38"/>
        <v>2023</v>
      </c>
      <c r="I643" s="879">
        <f t="shared" si="39"/>
        <v>68</v>
      </c>
      <c r="J643" s="867" cm="1">
        <f t="array" ref="J643">INDEX($E:$E,MATCH($J$10,IF($B:$B=$B643,$I:$I),1))</f>
        <v>77545</v>
      </c>
    </row>
    <row r="644" spans="2:10">
      <c r="B644" s="817" t="s">
        <v>2488</v>
      </c>
      <c r="C644" s="817" t="s">
        <v>6143</v>
      </c>
      <c r="D644" s="863">
        <v>45058</v>
      </c>
      <c r="E644" s="817">
        <v>77444</v>
      </c>
      <c r="F644" s="864">
        <f t="shared" si="36"/>
        <v>5</v>
      </c>
      <c r="G644" s="864">
        <f t="shared" si="37"/>
        <v>19</v>
      </c>
      <c r="H644" s="864">
        <f t="shared" si="38"/>
        <v>2023</v>
      </c>
      <c r="I644" s="879">
        <f t="shared" si="39"/>
        <v>72</v>
      </c>
      <c r="J644" s="867" cm="1">
        <f t="array" ref="J644">INDEX($E:$E,MATCH($J$10,IF($B:$B=$B644,$I:$I),1))</f>
        <v>77545</v>
      </c>
    </row>
    <row r="645" spans="2:10">
      <c r="B645" s="817" t="s">
        <v>2488</v>
      </c>
      <c r="C645" s="817" t="s">
        <v>6143</v>
      </c>
      <c r="D645" s="863">
        <v>45065</v>
      </c>
      <c r="E645" s="817">
        <v>77610</v>
      </c>
      <c r="F645" s="864">
        <f t="shared" si="36"/>
        <v>5</v>
      </c>
      <c r="G645" s="864">
        <f t="shared" si="37"/>
        <v>20</v>
      </c>
      <c r="H645" s="864">
        <f t="shared" si="38"/>
        <v>2023</v>
      </c>
      <c r="I645" s="879">
        <f t="shared" si="39"/>
        <v>73</v>
      </c>
      <c r="J645" s="867" cm="1">
        <f t="array" ref="J645">INDEX($E:$E,MATCH($J$10,IF($B:$B=$B645,$I:$I),1))</f>
        <v>77545</v>
      </c>
    </row>
    <row r="646" spans="2:10">
      <c r="B646" s="817" t="s">
        <v>2488</v>
      </c>
      <c r="C646" s="817" t="s">
        <v>6143</v>
      </c>
      <c r="D646" s="863">
        <v>45079</v>
      </c>
      <c r="E646" s="817">
        <v>77545</v>
      </c>
      <c r="F646" s="864">
        <f t="shared" si="36"/>
        <v>6</v>
      </c>
      <c r="G646" s="864">
        <f t="shared" si="37"/>
        <v>22</v>
      </c>
      <c r="H646" s="864">
        <f t="shared" si="38"/>
        <v>2023</v>
      </c>
      <c r="I646" s="879">
        <f t="shared" si="39"/>
        <v>75</v>
      </c>
      <c r="J646" s="867" cm="1">
        <f t="array" ref="J646">INDEX($E:$E,MATCH($J$10,IF($B:$B=$B646,$I:$I),1))</f>
        <v>77545</v>
      </c>
    </row>
    <row r="647" spans="2:10">
      <c r="B647" s="817" t="s">
        <v>2625</v>
      </c>
      <c r="C647" s="817" t="s">
        <v>6144</v>
      </c>
      <c r="D647" s="866">
        <v>44706</v>
      </c>
      <c r="E647" s="817">
        <v>5300</v>
      </c>
      <c r="F647" s="864">
        <f t="shared" si="36"/>
        <v>5</v>
      </c>
      <c r="G647" s="864">
        <f t="shared" si="37"/>
        <v>22</v>
      </c>
      <c r="H647" s="864">
        <f t="shared" si="38"/>
        <v>2022</v>
      </c>
      <c r="I647" s="879">
        <f t="shared" si="39"/>
        <v>22</v>
      </c>
      <c r="J647" s="867" cm="1">
        <f t="array" ref="J647">INDEX($E:$E,MATCH($J$10,IF($B:$B=$B647,$I:$I),1))</f>
        <v>5830</v>
      </c>
    </row>
    <row r="648" spans="2:10">
      <c r="B648" s="817" t="s">
        <v>2625</v>
      </c>
      <c r="C648" s="817" t="s">
        <v>6144</v>
      </c>
      <c r="D648" s="863">
        <v>44715</v>
      </c>
      <c r="E648" s="817">
        <v>5300</v>
      </c>
      <c r="F648" s="864">
        <f t="shared" si="36"/>
        <v>6</v>
      </c>
      <c r="G648" s="864">
        <f t="shared" si="37"/>
        <v>23</v>
      </c>
      <c r="H648" s="864">
        <f t="shared" si="38"/>
        <v>2022</v>
      </c>
      <c r="I648" s="879">
        <f t="shared" si="39"/>
        <v>23</v>
      </c>
      <c r="J648" s="867" cm="1">
        <f t="array" ref="J648">INDEX($E:$E,MATCH($J$10,IF($B:$B=$B648,$I:$I),1))</f>
        <v>5830</v>
      </c>
    </row>
    <row r="649" spans="2:10">
      <c r="B649" s="817" t="s">
        <v>2625</v>
      </c>
      <c r="C649" s="817" t="s">
        <v>6144</v>
      </c>
      <c r="D649" s="866">
        <v>44721</v>
      </c>
      <c r="E649" s="817">
        <v>5245</v>
      </c>
      <c r="F649" s="864">
        <f t="shared" si="36"/>
        <v>6</v>
      </c>
      <c r="G649" s="864">
        <f t="shared" si="37"/>
        <v>24</v>
      </c>
      <c r="H649" s="864">
        <f t="shared" si="38"/>
        <v>2022</v>
      </c>
      <c r="I649" s="879">
        <f t="shared" si="39"/>
        <v>24</v>
      </c>
      <c r="J649" s="867" cm="1">
        <f t="array" ref="J649">INDEX($E:$E,MATCH($J$10,IF($B:$B=$B649,$I:$I),1))</f>
        <v>5830</v>
      </c>
    </row>
    <row r="650" spans="2:10">
      <c r="B650" s="817" t="s">
        <v>2625</v>
      </c>
      <c r="C650" s="817" t="s">
        <v>6144</v>
      </c>
      <c r="D650" s="863">
        <v>44726</v>
      </c>
      <c r="E650" s="817">
        <v>5775</v>
      </c>
      <c r="F650" s="864">
        <f t="shared" si="36"/>
        <v>6</v>
      </c>
      <c r="G650" s="864">
        <f t="shared" si="37"/>
        <v>25</v>
      </c>
      <c r="H650" s="864">
        <f t="shared" si="38"/>
        <v>2022</v>
      </c>
      <c r="I650" s="879">
        <f t="shared" si="39"/>
        <v>25</v>
      </c>
      <c r="J650" s="867" cm="1">
        <f t="array" ref="J650">INDEX($E:$E,MATCH($J$10,IF($B:$B=$B650,$I:$I),1))</f>
        <v>5830</v>
      </c>
    </row>
    <row r="651" spans="2:10">
      <c r="B651" s="817" t="s">
        <v>2625</v>
      </c>
      <c r="C651" s="817" t="s">
        <v>6144</v>
      </c>
      <c r="D651" s="866">
        <v>44747</v>
      </c>
      <c r="E651" s="817">
        <v>5775</v>
      </c>
      <c r="F651" s="864">
        <f t="shared" si="36"/>
        <v>7</v>
      </c>
      <c r="G651" s="864">
        <f t="shared" si="37"/>
        <v>28</v>
      </c>
      <c r="H651" s="864">
        <f t="shared" si="38"/>
        <v>2022</v>
      </c>
      <c r="I651" s="879">
        <f t="shared" si="39"/>
        <v>28</v>
      </c>
      <c r="J651" s="867" cm="1">
        <f t="array" ref="J651">INDEX($E:$E,MATCH($J$10,IF($B:$B=$B651,$I:$I),1))</f>
        <v>5830</v>
      </c>
    </row>
    <row r="652" spans="2:10">
      <c r="B652" s="817" t="s">
        <v>2625</v>
      </c>
      <c r="C652" s="817" t="s">
        <v>6144</v>
      </c>
      <c r="D652" s="863">
        <v>44754</v>
      </c>
      <c r="E652" s="817">
        <v>5775</v>
      </c>
      <c r="F652" s="864">
        <f t="shared" ref="F652:F715" si="40">MONTH(D652)</f>
        <v>7</v>
      </c>
      <c r="G652" s="864">
        <f t="shared" ref="G652:G715" si="41">WEEKNUM(D652)</f>
        <v>29</v>
      </c>
      <c r="H652" s="864">
        <f t="shared" ref="H652:H715" si="42">YEAR(D652)</f>
        <v>2022</v>
      </c>
      <c r="I652" s="879">
        <f t="shared" ref="I652:I715" si="43">(H652-2022)*53+G652</f>
        <v>29</v>
      </c>
      <c r="J652" s="867" cm="1">
        <f t="array" ref="J652">INDEX($E:$E,MATCH($J$10,IF($B:$B=$B652,$I:$I),1))</f>
        <v>5830</v>
      </c>
    </row>
    <row r="653" spans="2:10">
      <c r="B653" s="817" t="s">
        <v>2625</v>
      </c>
      <c r="C653" s="817" t="s">
        <v>6144</v>
      </c>
      <c r="D653" s="866">
        <v>44761</v>
      </c>
      <c r="E653" s="817">
        <v>5775</v>
      </c>
      <c r="F653" s="864">
        <f t="shared" si="40"/>
        <v>7</v>
      </c>
      <c r="G653" s="864">
        <f t="shared" si="41"/>
        <v>30</v>
      </c>
      <c r="H653" s="864">
        <f t="shared" si="42"/>
        <v>2022</v>
      </c>
      <c r="I653" s="879">
        <f t="shared" si="43"/>
        <v>30</v>
      </c>
      <c r="J653" s="867" cm="1">
        <f t="array" ref="J653">INDEX($E:$E,MATCH($J$10,IF($B:$B=$B653,$I:$I),1))</f>
        <v>5830</v>
      </c>
    </row>
    <row r="654" spans="2:10">
      <c r="B654" s="817" t="s">
        <v>2625</v>
      </c>
      <c r="C654" s="817" t="s">
        <v>6144</v>
      </c>
      <c r="D654" s="863">
        <v>44768</v>
      </c>
      <c r="E654" s="817">
        <v>5984</v>
      </c>
      <c r="F654" s="864">
        <f t="shared" si="40"/>
        <v>7</v>
      </c>
      <c r="G654" s="864">
        <f t="shared" si="41"/>
        <v>31</v>
      </c>
      <c r="H654" s="864">
        <f t="shared" si="42"/>
        <v>2022</v>
      </c>
      <c r="I654" s="879">
        <f t="shared" si="43"/>
        <v>31</v>
      </c>
      <c r="J654" s="867" cm="1">
        <f t="array" ref="J654">INDEX($E:$E,MATCH($J$10,IF($B:$B=$B654,$I:$I),1))</f>
        <v>5830</v>
      </c>
    </row>
    <row r="655" spans="2:10">
      <c r="B655" s="817" t="s">
        <v>2625</v>
      </c>
      <c r="C655" s="817" t="s">
        <v>6144</v>
      </c>
      <c r="D655" s="866">
        <v>44776</v>
      </c>
      <c r="E655" s="817">
        <v>5984</v>
      </c>
      <c r="F655" s="864">
        <f t="shared" si="40"/>
        <v>8</v>
      </c>
      <c r="G655" s="864">
        <f t="shared" si="41"/>
        <v>32</v>
      </c>
      <c r="H655" s="864">
        <f t="shared" si="42"/>
        <v>2022</v>
      </c>
      <c r="I655" s="879">
        <f t="shared" si="43"/>
        <v>32</v>
      </c>
      <c r="J655" s="867" cm="1">
        <f t="array" ref="J655">INDEX($E:$E,MATCH($J$10,IF($B:$B=$B655,$I:$I),1))</f>
        <v>5830</v>
      </c>
    </row>
    <row r="656" spans="2:10">
      <c r="B656" s="817" t="s">
        <v>2625</v>
      </c>
      <c r="C656" s="817" t="s">
        <v>6144</v>
      </c>
      <c r="D656" s="863">
        <v>44782</v>
      </c>
      <c r="E656" s="817">
        <v>5984</v>
      </c>
      <c r="F656" s="864">
        <f t="shared" si="40"/>
        <v>8</v>
      </c>
      <c r="G656" s="864">
        <f t="shared" si="41"/>
        <v>33</v>
      </c>
      <c r="H656" s="864">
        <f t="shared" si="42"/>
        <v>2022</v>
      </c>
      <c r="I656" s="879">
        <f t="shared" si="43"/>
        <v>33</v>
      </c>
      <c r="J656" s="867" cm="1">
        <f t="array" ref="J656">INDEX($E:$E,MATCH($J$10,IF($B:$B=$B656,$I:$I),1))</f>
        <v>5830</v>
      </c>
    </row>
    <row r="657" spans="2:10">
      <c r="B657" s="817" t="s">
        <v>2625</v>
      </c>
      <c r="C657" s="817" t="s">
        <v>6144</v>
      </c>
      <c r="D657" s="866">
        <v>44789</v>
      </c>
      <c r="E657" s="817">
        <v>6263</v>
      </c>
      <c r="F657" s="864">
        <f t="shared" si="40"/>
        <v>8</v>
      </c>
      <c r="G657" s="864">
        <f t="shared" si="41"/>
        <v>34</v>
      </c>
      <c r="H657" s="864">
        <f t="shared" si="42"/>
        <v>2022</v>
      </c>
      <c r="I657" s="879">
        <f t="shared" si="43"/>
        <v>34</v>
      </c>
      <c r="J657" s="867" cm="1">
        <f t="array" ref="J657">INDEX($E:$E,MATCH($J$10,IF($B:$B=$B657,$I:$I),1))</f>
        <v>5830</v>
      </c>
    </row>
    <row r="658" spans="2:10">
      <c r="B658" s="817" t="s">
        <v>2625</v>
      </c>
      <c r="C658" s="817" t="s">
        <v>6144</v>
      </c>
      <c r="D658" s="863">
        <v>44803</v>
      </c>
      <c r="E658" s="817">
        <v>6263</v>
      </c>
      <c r="F658" s="864">
        <f t="shared" si="40"/>
        <v>8</v>
      </c>
      <c r="G658" s="864">
        <f t="shared" si="41"/>
        <v>36</v>
      </c>
      <c r="H658" s="864">
        <f t="shared" si="42"/>
        <v>2022</v>
      </c>
      <c r="I658" s="879">
        <f t="shared" si="43"/>
        <v>36</v>
      </c>
      <c r="J658" s="867" cm="1">
        <f t="array" ref="J658">INDEX($E:$E,MATCH($J$10,IF($B:$B=$B658,$I:$I),1))</f>
        <v>5830</v>
      </c>
    </row>
    <row r="659" spans="2:10">
      <c r="B659" s="817" t="s">
        <v>2625</v>
      </c>
      <c r="C659" s="817" t="s">
        <v>6144</v>
      </c>
      <c r="D659" s="866">
        <v>44810</v>
      </c>
      <c r="E659" s="817">
        <v>6263</v>
      </c>
      <c r="F659" s="864">
        <f t="shared" si="40"/>
        <v>9</v>
      </c>
      <c r="G659" s="864">
        <f t="shared" si="41"/>
        <v>37</v>
      </c>
      <c r="H659" s="864">
        <f t="shared" si="42"/>
        <v>2022</v>
      </c>
      <c r="I659" s="879">
        <f t="shared" si="43"/>
        <v>37</v>
      </c>
      <c r="J659" s="867" cm="1">
        <f t="array" ref="J659">INDEX($E:$E,MATCH($J$10,IF($B:$B=$B659,$I:$I),1))</f>
        <v>5830</v>
      </c>
    </row>
    <row r="660" spans="2:10">
      <c r="B660" s="817" t="s">
        <v>2625</v>
      </c>
      <c r="C660" s="817" t="s">
        <v>6144</v>
      </c>
      <c r="D660" s="863">
        <v>44817</v>
      </c>
      <c r="E660" s="817">
        <v>6561</v>
      </c>
      <c r="F660" s="864">
        <f t="shared" si="40"/>
        <v>9</v>
      </c>
      <c r="G660" s="864">
        <f t="shared" si="41"/>
        <v>38</v>
      </c>
      <c r="H660" s="864">
        <f t="shared" si="42"/>
        <v>2022</v>
      </c>
      <c r="I660" s="879">
        <f t="shared" si="43"/>
        <v>38</v>
      </c>
      <c r="J660" s="867" cm="1">
        <f t="array" ref="J660">INDEX($E:$E,MATCH($J$10,IF($B:$B=$B660,$I:$I),1))</f>
        <v>5830</v>
      </c>
    </row>
    <row r="661" spans="2:10">
      <c r="B661" s="817" t="s">
        <v>2625</v>
      </c>
      <c r="C661" s="817" t="s">
        <v>6144</v>
      </c>
      <c r="D661" s="866">
        <v>44824</v>
      </c>
      <c r="E661" s="817">
        <v>6561</v>
      </c>
      <c r="F661" s="864">
        <f t="shared" si="40"/>
        <v>9</v>
      </c>
      <c r="G661" s="864">
        <f t="shared" si="41"/>
        <v>39</v>
      </c>
      <c r="H661" s="864">
        <f t="shared" si="42"/>
        <v>2022</v>
      </c>
      <c r="I661" s="879">
        <f t="shared" si="43"/>
        <v>39</v>
      </c>
      <c r="J661" s="867" cm="1">
        <f t="array" ref="J661">INDEX($E:$E,MATCH($J$10,IF($B:$B=$B661,$I:$I),1))</f>
        <v>5830</v>
      </c>
    </row>
    <row r="662" spans="2:10">
      <c r="B662" s="817" t="s">
        <v>2625</v>
      </c>
      <c r="C662" s="817" t="s">
        <v>6144</v>
      </c>
      <c r="D662" s="863">
        <v>44838</v>
      </c>
      <c r="E662" s="817">
        <v>6561</v>
      </c>
      <c r="F662" s="864">
        <f t="shared" si="40"/>
        <v>10</v>
      </c>
      <c r="G662" s="864">
        <f t="shared" si="41"/>
        <v>41</v>
      </c>
      <c r="H662" s="864">
        <f t="shared" si="42"/>
        <v>2022</v>
      </c>
      <c r="I662" s="879">
        <f t="shared" si="43"/>
        <v>41</v>
      </c>
      <c r="J662" s="867" cm="1">
        <f t="array" ref="J662">INDEX($E:$E,MATCH($J$10,IF($B:$B=$B662,$I:$I),1))</f>
        <v>5830</v>
      </c>
    </row>
    <row r="663" spans="2:10">
      <c r="B663" s="817" t="s">
        <v>2625</v>
      </c>
      <c r="C663" s="817" t="s">
        <v>6144</v>
      </c>
      <c r="D663" s="866">
        <v>44845</v>
      </c>
      <c r="E663" s="817">
        <v>6756</v>
      </c>
      <c r="F663" s="864">
        <f t="shared" si="40"/>
        <v>10</v>
      </c>
      <c r="G663" s="864">
        <f t="shared" si="41"/>
        <v>42</v>
      </c>
      <c r="H663" s="864">
        <f t="shared" si="42"/>
        <v>2022</v>
      </c>
      <c r="I663" s="879">
        <f t="shared" si="43"/>
        <v>42</v>
      </c>
      <c r="J663" s="867" cm="1">
        <f t="array" ref="J663">INDEX($E:$E,MATCH($J$10,IF($B:$B=$B663,$I:$I),1))</f>
        <v>5830</v>
      </c>
    </row>
    <row r="664" spans="2:10">
      <c r="B664" s="817" t="s">
        <v>2625</v>
      </c>
      <c r="C664" s="817" t="s">
        <v>6144</v>
      </c>
      <c r="D664" s="863">
        <v>44852</v>
      </c>
      <c r="E664" s="817">
        <v>6756</v>
      </c>
      <c r="F664" s="864">
        <f t="shared" si="40"/>
        <v>10</v>
      </c>
      <c r="G664" s="864">
        <f t="shared" si="41"/>
        <v>43</v>
      </c>
      <c r="H664" s="864">
        <f t="shared" si="42"/>
        <v>2022</v>
      </c>
      <c r="I664" s="879">
        <f t="shared" si="43"/>
        <v>43</v>
      </c>
      <c r="J664" s="867" cm="1">
        <f t="array" ref="J664">INDEX($E:$E,MATCH($J$10,IF($B:$B=$B664,$I:$I),1))</f>
        <v>5830</v>
      </c>
    </row>
    <row r="665" spans="2:10">
      <c r="B665" s="817" t="s">
        <v>2625</v>
      </c>
      <c r="C665" s="817" t="s">
        <v>6144</v>
      </c>
      <c r="D665" s="866">
        <v>44859</v>
      </c>
      <c r="E665" s="817">
        <v>6756</v>
      </c>
      <c r="F665" s="864">
        <f t="shared" si="40"/>
        <v>10</v>
      </c>
      <c r="G665" s="864">
        <f t="shared" si="41"/>
        <v>44</v>
      </c>
      <c r="H665" s="864">
        <f t="shared" si="42"/>
        <v>2022</v>
      </c>
      <c r="I665" s="879">
        <f t="shared" si="43"/>
        <v>44</v>
      </c>
      <c r="J665" s="867" cm="1">
        <f t="array" ref="J665">INDEX($E:$E,MATCH($J$10,IF($B:$B=$B665,$I:$I),1))</f>
        <v>5830</v>
      </c>
    </row>
    <row r="666" spans="2:10">
      <c r="B666" s="817" t="s">
        <v>2625</v>
      </c>
      <c r="C666" s="817" t="s">
        <v>6144</v>
      </c>
      <c r="D666" s="863">
        <v>45043</v>
      </c>
      <c r="E666" s="817">
        <v>5746</v>
      </c>
      <c r="F666" s="864">
        <f t="shared" si="40"/>
        <v>4</v>
      </c>
      <c r="G666" s="864">
        <f t="shared" si="41"/>
        <v>17</v>
      </c>
      <c r="H666" s="864">
        <f t="shared" si="42"/>
        <v>2023</v>
      </c>
      <c r="I666" s="879">
        <f t="shared" si="43"/>
        <v>70</v>
      </c>
      <c r="J666" s="867" cm="1">
        <f t="array" ref="J666">INDEX($E:$E,MATCH($J$10,IF($B:$B=$B666,$I:$I),1))</f>
        <v>5830</v>
      </c>
    </row>
    <row r="667" spans="2:10">
      <c r="B667" s="817" t="s">
        <v>2625</v>
      </c>
      <c r="C667" s="817" t="s">
        <v>6144</v>
      </c>
      <c r="D667" s="863">
        <v>45078</v>
      </c>
      <c r="E667" s="817">
        <v>5830</v>
      </c>
      <c r="F667" s="864">
        <f t="shared" si="40"/>
        <v>6</v>
      </c>
      <c r="G667" s="864">
        <f t="shared" si="41"/>
        <v>22</v>
      </c>
      <c r="H667" s="864">
        <f t="shared" si="42"/>
        <v>2023</v>
      </c>
      <c r="I667" s="879">
        <f t="shared" si="43"/>
        <v>75</v>
      </c>
      <c r="J667" s="867" cm="1">
        <f t="array" ref="J667">INDEX($E:$E,MATCH($J$10,IF($B:$B=$B667,$I:$I),1))</f>
        <v>5830</v>
      </c>
    </row>
    <row r="668" spans="2:10">
      <c r="B668" s="817" t="s">
        <v>2678</v>
      </c>
      <c r="C668" s="817" t="s">
        <v>6145</v>
      </c>
      <c r="D668" s="863">
        <v>44706</v>
      </c>
      <c r="E668" s="817">
        <v>994</v>
      </c>
      <c r="F668" s="864">
        <f t="shared" si="40"/>
        <v>5</v>
      </c>
      <c r="G668" s="864">
        <f t="shared" si="41"/>
        <v>22</v>
      </c>
      <c r="H668" s="864">
        <f t="shared" si="42"/>
        <v>2022</v>
      </c>
      <c r="I668" s="879">
        <f t="shared" si="43"/>
        <v>22</v>
      </c>
      <c r="J668" s="867" cm="1">
        <f t="array" ref="J668">INDEX($E:$E,MATCH($J$10,IF($B:$B=$B668,$I:$I),1))</f>
        <v>1744</v>
      </c>
    </row>
    <row r="669" spans="2:10">
      <c r="B669" s="817" t="s">
        <v>2678</v>
      </c>
      <c r="C669" s="817" t="s">
        <v>6145</v>
      </c>
      <c r="D669" s="866">
        <v>44731</v>
      </c>
      <c r="E669" s="817">
        <v>1216</v>
      </c>
      <c r="F669" s="864">
        <f t="shared" si="40"/>
        <v>6</v>
      </c>
      <c r="G669" s="864">
        <f t="shared" si="41"/>
        <v>26</v>
      </c>
      <c r="H669" s="864">
        <f t="shared" si="42"/>
        <v>2022</v>
      </c>
      <c r="I669" s="879">
        <f t="shared" si="43"/>
        <v>26</v>
      </c>
      <c r="J669" s="867" cm="1">
        <f t="array" ref="J669">INDEX($E:$E,MATCH($J$10,IF($B:$B=$B669,$I:$I),1))</f>
        <v>1744</v>
      </c>
    </row>
    <row r="670" spans="2:10">
      <c r="B670" s="817" t="s">
        <v>2678</v>
      </c>
      <c r="C670" s="817" t="s">
        <v>6145</v>
      </c>
      <c r="D670" s="863">
        <v>44738</v>
      </c>
      <c r="E670" s="817">
        <v>1250</v>
      </c>
      <c r="F670" s="864">
        <f t="shared" si="40"/>
        <v>6</v>
      </c>
      <c r="G670" s="864">
        <f t="shared" si="41"/>
        <v>27</v>
      </c>
      <c r="H670" s="864">
        <f t="shared" si="42"/>
        <v>2022</v>
      </c>
      <c r="I670" s="879">
        <f t="shared" si="43"/>
        <v>27</v>
      </c>
      <c r="J670" s="867" cm="1">
        <f t="array" ref="J670">INDEX($E:$E,MATCH($J$10,IF($B:$B=$B670,$I:$I),1))</f>
        <v>1744</v>
      </c>
    </row>
    <row r="671" spans="2:10">
      <c r="B671" s="817" t="s">
        <v>2678</v>
      </c>
      <c r="C671" s="817" t="s">
        <v>6145</v>
      </c>
      <c r="D671" s="866">
        <v>44745</v>
      </c>
      <c r="E671" s="817">
        <v>1274</v>
      </c>
      <c r="F671" s="864">
        <f t="shared" si="40"/>
        <v>7</v>
      </c>
      <c r="G671" s="864">
        <f t="shared" si="41"/>
        <v>28</v>
      </c>
      <c r="H671" s="864">
        <f t="shared" si="42"/>
        <v>2022</v>
      </c>
      <c r="I671" s="879">
        <f t="shared" si="43"/>
        <v>28</v>
      </c>
      <c r="J671" s="867" cm="1">
        <f t="array" ref="J671">INDEX($E:$E,MATCH($J$10,IF($B:$B=$B671,$I:$I),1))</f>
        <v>1744</v>
      </c>
    </row>
    <row r="672" spans="2:10">
      <c r="B672" s="817" t="s">
        <v>2678</v>
      </c>
      <c r="C672" s="817" t="s">
        <v>6145</v>
      </c>
      <c r="D672" s="863">
        <v>44759</v>
      </c>
      <c r="E672" s="817">
        <v>1317</v>
      </c>
      <c r="F672" s="864">
        <f t="shared" si="40"/>
        <v>7</v>
      </c>
      <c r="G672" s="864">
        <f t="shared" si="41"/>
        <v>30</v>
      </c>
      <c r="H672" s="864">
        <f t="shared" si="42"/>
        <v>2022</v>
      </c>
      <c r="I672" s="879">
        <f t="shared" si="43"/>
        <v>30</v>
      </c>
      <c r="J672" s="867" cm="1">
        <f t="array" ref="J672">INDEX($E:$E,MATCH($J$10,IF($B:$B=$B672,$I:$I),1))</f>
        <v>1744</v>
      </c>
    </row>
    <row r="673" spans="2:10">
      <c r="B673" s="817" t="s">
        <v>2678</v>
      </c>
      <c r="C673" s="817" t="s">
        <v>6145</v>
      </c>
      <c r="D673" s="866">
        <v>44766</v>
      </c>
      <c r="E673" s="817">
        <v>1351</v>
      </c>
      <c r="F673" s="864">
        <f t="shared" si="40"/>
        <v>7</v>
      </c>
      <c r="G673" s="864">
        <f t="shared" si="41"/>
        <v>31</v>
      </c>
      <c r="H673" s="864">
        <f t="shared" si="42"/>
        <v>2022</v>
      </c>
      <c r="I673" s="879">
        <f t="shared" si="43"/>
        <v>31</v>
      </c>
      <c r="J673" s="867" cm="1">
        <f t="array" ref="J673">INDEX($E:$E,MATCH($J$10,IF($B:$B=$B673,$I:$I),1))</f>
        <v>1744</v>
      </c>
    </row>
    <row r="674" spans="2:10">
      <c r="B674" s="817" t="s">
        <v>2678</v>
      </c>
      <c r="C674" s="817" t="s">
        <v>6145</v>
      </c>
      <c r="D674" s="863">
        <v>44780</v>
      </c>
      <c r="E674" s="817">
        <v>1373</v>
      </c>
      <c r="F674" s="864">
        <f t="shared" si="40"/>
        <v>8</v>
      </c>
      <c r="G674" s="864">
        <f t="shared" si="41"/>
        <v>33</v>
      </c>
      <c r="H674" s="864">
        <f t="shared" si="42"/>
        <v>2022</v>
      </c>
      <c r="I674" s="879">
        <f t="shared" si="43"/>
        <v>33</v>
      </c>
      <c r="J674" s="867" cm="1">
        <f t="array" ref="J674">INDEX($E:$E,MATCH($J$10,IF($B:$B=$B674,$I:$I),1))</f>
        <v>1744</v>
      </c>
    </row>
    <row r="675" spans="2:10">
      <c r="B675" s="817" t="s">
        <v>2678</v>
      </c>
      <c r="C675" s="817" t="s">
        <v>6145</v>
      </c>
      <c r="D675" s="866">
        <v>44796</v>
      </c>
      <c r="E675" s="817">
        <v>1437</v>
      </c>
      <c r="F675" s="864">
        <f t="shared" si="40"/>
        <v>8</v>
      </c>
      <c r="G675" s="864">
        <f t="shared" si="41"/>
        <v>35</v>
      </c>
      <c r="H675" s="864">
        <f t="shared" si="42"/>
        <v>2022</v>
      </c>
      <c r="I675" s="879">
        <f t="shared" si="43"/>
        <v>35</v>
      </c>
      <c r="J675" s="867" cm="1">
        <f t="array" ref="J675">INDEX($E:$E,MATCH($J$10,IF($B:$B=$B675,$I:$I),1))</f>
        <v>1744</v>
      </c>
    </row>
    <row r="676" spans="2:10">
      <c r="B676" s="817" t="s">
        <v>2678</v>
      </c>
      <c r="C676" s="817" t="s">
        <v>6145</v>
      </c>
      <c r="D676" s="863">
        <v>44803</v>
      </c>
      <c r="E676" s="817">
        <v>1459</v>
      </c>
      <c r="F676" s="864">
        <f t="shared" si="40"/>
        <v>8</v>
      </c>
      <c r="G676" s="864">
        <f t="shared" si="41"/>
        <v>36</v>
      </c>
      <c r="H676" s="864">
        <f t="shared" si="42"/>
        <v>2022</v>
      </c>
      <c r="I676" s="879">
        <f t="shared" si="43"/>
        <v>36</v>
      </c>
      <c r="J676" s="867" cm="1">
        <f t="array" ref="J676">INDEX($E:$E,MATCH($J$10,IF($B:$B=$B676,$I:$I),1))</f>
        <v>1744</v>
      </c>
    </row>
    <row r="677" spans="2:10">
      <c r="B677" s="817" t="s">
        <v>2678</v>
      </c>
      <c r="C677" s="817" t="s">
        <v>6145</v>
      </c>
      <c r="D677" s="866">
        <v>44817</v>
      </c>
      <c r="E677" s="817">
        <v>1518</v>
      </c>
      <c r="F677" s="864">
        <f t="shared" si="40"/>
        <v>9</v>
      </c>
      <c r="G677" s="864">
        <f t="shared" si="41"/>
        <v>38</v>
      </c>
      <c r="H677" s="864">
        <f t="shared" si="42"/>
        <v>2022</v>
      </c>
      <c r="I677" s="879">
        <f t="shared" si="43"/>
        <v>38</v>
      </c>
      <c r="J677" s="867" cm="1">
        <f t="array" ref="J677">INDEX($E:$E,MATCH($J$10,IF($B:$B=$B677,$I:$I),1))</f>
        <v>1744</v>
      </c>
    </row>
    <row r="678" spans="2:10">
      <c r="B678" s="817" t="s">
        <v>2678</v>
      </c>
      <c r="C678" s="817" t="s">
        <v>6145</v>
      </c>
      <c r="D678" s="863">
        <v>44866</v>
      </c>
      <c r="E678" s="817">
        <v>1603</v>
      </c>
      <c r="F678" s="864">
        <f t="shared" si="40"/>
        <v>11</v>
      </c>
      <c r="G678" s="864">
        <f t="shared" si="41"/>
        <v>45</v>
      </c>
      <c r="H678" s="864">
        <f t="shared" si="42"/>
        <v>2022</v>
      </c>
      <c r="I678" s="879">
        <f t="shared" si="43"/>
        <v>45</v>
      </c>
      <c r="J678" s="867" cm="1">
        <f t="array" ref="J678">INDEX($E:$E,MATCH($J$10,IF($B:$B=$B678,$I:$I),1))</f>
        <v>1744</v>
      </c>
    </row>
    <row r="679" spans="2:10">
      <c r="B679" s="817" t="s">
        <v>2678</v>
      </c>
      <c r="C679" s="817" t="s">
        <v>6145</v>
      </c>
      <c r="D679" s="866">
        <v>44872</v>
      </c>
      <c r="E679" s="817">
        <v>1603</v>
      </c>
      <c r="F679" s="864">
        <f t="shared" si="40"/>
        <v>11</v>
      </c>
      <c r="G679" s="864">
        <f t="shared" si="41"/>
        <v>46</v>
      </c>
      <c r="H679" s="864">
        <f t="shared" si="42"/>
        <v>2022</v>
      </c>
      <c r="I679" s="879">
        <f t="shared" si="43"/>
        <v>46</v>
      </c>
      <c r="J679" s="867" cm="1">
        <f t="array" ref="J679">INDEX($E:$E,MATCH($J$10,IF($B:$B=$B679,$I:$I),1))</f>
        <v>1744</v>
      </c>
    </row>
    <row r="680" spans="2:10">
      <c r="B680" s="817" t="s">
        <v>2678</v>
      </c>
      <c r="C680" s="817" t="s">
        <v>6145</v>
      </c>
      <c r="D680" s="863">
        <v>44972</v>
      </c>
      <c r="E680" s="817">
        <v>1603</v>
      </c>
      <c r="F680" s="864">
        <f t="shared" si="40"/>
        <v>2</v>
      </c>
      <c r="G680" s="864">
        <f t="shared" si="41"/>
        <v>7</v>
      </c>
      <c r="H680" s="864">
        <f t="shared" si="42"/>
        <v>2023</v>
      </c>
      <c r="I680" s="879">
        <f t="shared" si="43"/>
        <v>60</v>
      </c>
      <c r="J680" s="867" cm="1">
        <f t="array" ref="J680">INDEX($E:$E,MATCH($J$10,IF($B:$B=$B680,$I:$I),1))</f>
        <v>1744</v>
      </c>
    </row>
    <row r="681" spans="2:10">
      <c r="B681" s="817" t="s">
        <v>2678</v>
      </c>
      <c r="C681" s="817" t="s">
        <v>6145</v>
      </c>
      <c r="D681" s="866">
        <v>44976</v>
      </c>
      <c r="E681" s="817">
        <v>1744</v>
      </c>
      <c r="F681" s="864">
        <f t="shared" si="40"/>
        <v>2</v>
      </c>
      <c r="G681" s="864">
        <f t="shared" si="41"/>
        <v>8</v>
      </c>
      <c r="H681" s="864">
        <f t="shared" si="42"/>
        <v>2023</v>
      </c>
      <c r="I681" s="879">
        <f t="shared" si="43"/>
        <v>61</v>
      </c>
      <c r="J681" s="867" cm="1">
        <f t="array" ref="J681">INDEX($E:$E,MATCH($J$10,IF($B:$B=$B681,$I:$I),1))</f>
        <v>1744</v>
      </c>
    </row>
    <row r="682" spans="2:10">
      <c r="B682" s="817" t="s">
        <v>2678</v>
      </c>
      <c r="C682" s="817" t="s">
        <v>6145</v>
      </c>
      <c r="D682" s="863">
        <v>45081</v>
      </c>
      <c r="E682" s="817">
        <v>2136</v>
      </c>
      <c r="F682" s="864">
        <f t="shared" si="40"/>
        <v>6</v>
      </c>
      <c r="G682" s="864">
        <f t="shared" si="41"/>
        <v>23</v>
      </c>
      <c r="H682" s="864">
        <f t="shared" si="42"/>
        <v>2023</v>
      </c>
      <c r="I682" s="879">
        <f t="shared" si="43"/>
        <v>76</v>
      </c>
      <c r="J682" s="867" cm="1">
        <f t="array" ref="J682">INDEX($E:$E,MATCH($J$10,IF($B:$B=$B682,$I:$I),1))</f>
        <v>1744</v>
      </c>
    </row>
    <row r="683" spans="2:10">
      <c r="B683" s="817" t="s">
        <v>2693</v>
      </c>
      <c r="C683" s="817" t="s">
        <v>6146</v>
      </c>
      <c r="D683" s="866">
        <v>44704</v>
      </c>
      <c r="E683" s="817">
        <v>60020</v>
      </c>
      <c r="F683" s="864">
        <f t="shared" si="40"/>
        <v>5</v>
      </c>
      <c r="G683" s="864">
        <f t="shared" si="41"/>
        <v>22</v>
      </c>
      <c r="H683" s="864">
        <f t="shared" si="42"/>
        <v>2022</v>
      </c>
      <c r="I683" s="879">
        <f t="shared" si="43"/>
        <v>22</v>
      </c>
      <c r="J683" s="867" cm="1">
        <f t="array" ref="J683">INDEX($E:$E,MATCH($J$10,IF($B:$B=$B683,$I:$I),1))</f>
        <v>94417</v>
      </c>
    </row>
    <row r="684" spans="2:10">
      <c r="B684" s="817" t="s">
        <v>2693</v>
      </c>
      <c r="C684" s="817" t="s">
        <v>6146</v>
      </c>
      <c r="D684" s="863">
        <v>44718</v>
      </c>
      <c r="E684" s="817">
        <v>62970</v>
      </c>
      <c r="F684" s="864">
        <f t="shared" si="40"/>
        <v>6</v>
      </c>
      <c r="G684" s="864">
        <f t="shared" si="41"/>
        <v>24</v>
      </c>
      <c r="H684" s="864">
        <f t="shared" si="42"/>
        <v>2022</v>
      </c>
      <c r="I684" s="879">
        <f t="shared" si="43"/>
        <v>24</v>
      </c>
      <c r="J684" s="867" cm="1">
        <f t="array" ref="J684">INDEX($E:$E,MATCH($J$10,IF($B:$B=$B684,$I:$I),1))</f>
        <v>94417</v>
      </c>
    </row>
    <row r="685" spans="2:10">
      <c r="B685" s="817" t="s">
        <v>2693</v>
      </c>
      <c r="C685" s="817" t="s">
        <v>6146</v>
      </c>
      <c r="D685" s="866">
        <v>44725</v>
      </c>
      <c r="E685" s="817">
        <v>64480</v>
      </c>
      <c r="F685" s="864">
        <f t="shared" si="40"/>
        <v>6</v>
      </c>
      <c r="G685" s="864">
        <f t="shared" si="41"/>
        <v>25</v>
      </c>
      <c r="H685" s="864">
        <f t="shared" si="42"/>
        <v>2022</v>
      </c>
      <c r="I685" s="879">
        <f t="shared" si="43"/>
        <v>25</v>
      </c>
      <c r="J685" s="867" cm="1">
        <f t="array" ref="J685">INDEX($E:$E,MATCH($J$10,IF($B:$B=$B685,$I:$I),1))</f>
        <v>94417</v>
      </c>
    </row>
    <row r="686" spans="2:10">
      <c r="B686" s="817" t="s">
        <v>2693</v>
      </c>
      <c r="C686" s="817" t="s">
        <v>6146</v>
      </c>
      <c r="D686" s="863">
        <v>44732</v>
      </c>
      <c r="E686" s="817">
        <v>65550</v>
      </c>
      <c r="F686" s="864">
        <f t="shared" si="40"/>
        <v>6</v>
      </c>
      <c r="G686" s="864">
        <f t="shared" si="41"/>
        <v>26</v>
      </c>
      <c r="H686" s="864">
        <f t="shared" si="42"/>
        <v>2022</v>
      </c>
      <c r="I686" s="879">
        <f t="shared" si="43"/>
        <v>26</v>
      </c>
      <c r="J686" s="867" cm="1">
        <f t="array" ref="J686">INDEX($E:$E,MATCH($J$10,IF($B:$B=$B686,$I:$I),1))</f>
        <v>94417</v>
      </c>
    </row>
    <row r="687" spans="2:10">
      <c r="B687" s="817" t="s">
        <v>2693</v>
      </c>
      <c r="C687" s="817" t="s">
        <v>6146</v>
      </c>
      <c r="D687" s="866">
        <v>44739</v>
      </c>
      <c r="E687" s="817">
        <v>66780</v>
      </c>
      <c r="F687" s="864">
        <f t="shared" si="40"/>
        <v>6</v>
      </c>
      <c r="G687" s="864">
        <f t="shared" si="41"/>
        <v>27</v>
      </c>
      <c r="H687" s="864">
        <f t="shared" si="42"/>
        <v>2022</v>
      </c>
      <c r="I687" s="879">
        <f t="shared" si="43"/>
        <v>27</v>
      </c>
      <c r="J687" s="867" cm="1">
        <f t="array" ref="J687">INDEX($E:$E,MATCH($J$10,IF($B:$B=$B687,$I:$I),1))</f>
        <v>94417</v>
      </c>
    </row>
    <row r="688" spans="2:10">
      <c r="B688" s="817" t="s">
        <v>2693</v>
      </c>
      <c r="C688" s="817" t="s">
        <v>6146</v>
      </c>
      <c r="D688" s="863">
        <v>44747</v>
      </c>
      <c r="E688" s="817">
        <v>68050</v>
      </c>
      <c r="F688" s="864">
        <f t="shared" si="40"/>
        <v>7</v>
      </c>
      <c r="G688" s="864">
        <f t="shared" si="41"/>
        <v>28</v>
      </c>
      <c r="H688" s="864">
        <f t="shared" si="42"/>
        <v>2022</v>
      </c>
      <c r="I688" s="879">
        <f t="shared" si="43"/>
        <v>28</v>
      </c>
      <c r="J688" s="867" cm="1">
        <f t="array" ref="J688">INDEX($E:$E,MATCH($J$10,IF($B:$B=$B688,$I:$I),1))</f>
        <v>94417</v>
      </c>
    </row>
    <row r="689" spans="2:10">
      <c r="B689" s="817" t="s">
        <v>2693</v>
      </c>
      <c r="C689" s="817" t="s">
        <v>6146</v>
      </c>
      <c r="D689" s="866">
        <v>44809</v>
      </c>
      <c r="E689" s="817">
        <v>76660</v>
      </c>
      <c r="F689" s="864">
        <f t="shared" si="40"/>
        <v>9</v>
      </c>
      <c r="G689" s="864">
        <f t="shared" si="41"/>
        <v>37</v>
      </c>
      <c r="H689" s="864">
        <f t="shared" si="42"/>
        <v>2022</v>
      </c>
      <c r="I689" s="879">
        <f t="shared" si="43"/>
        <v>37</v>
      </c>
      <c r="J689" s="867" cm="1">
        <f t="array" ref="J689">INDEX($E:$E,MATCH($J$10,IF($B:$B=$B689,$I:$I),1))</f>
        <v>94417</v>
      </c>
    </row>
    <row r="690" spans="2:10">
      <c r="B690" s="817" t="s">
        <v>2693</v>
      </c>
      <c r="C690" s="817" t="s">
        <v>6146</v>
      </c>
      <c r="D690" s="863">
        <v>44834</v>
      </c>
      <c r="E690" s="817">
        <v>79250</v>
      </c>
      <c r="F690" s="864">
        <f t="shared" si="40"/>
        <v>9</v>
      </c>
      <c r="G690" s="864">
        <f t="shared" si="41"/>
        <v>40</v>
      </c>
      <c r="H690" s="864">
        <f t="shared" si="42"/>
        <v>2022</v>
      </c>
      <c r="I690" s="879">
        <f t="shared" si="43"/>
        <v>40</v>
      </c>
      <c r="J690" s="867" cm="1">
        <f t="array" ref="J690">INDEX($E:$E,MATCH($J$10,IF($B:$B=$B690,$I:$I),1))</f>
        <v>94417</v>
      </c>
    </row>
    <row r="691" spans="2:10">
      <c r="B691" s="817" t="s">
        <v>2693</v>
      </c>
      <c r="C691" s="817" t="s">
        <v>6146</v>
      </c>
      <c r="D691" s="866">
        <v>44890</v>
      </c>
      <c r="E691" s="817">
        <v>85210</v>
      </c>
      <c r="F691" s="864">
        <f t="shared" si="40"/>
        <v>11</v>
      </c>
      <c r="G691" s="864">
        <f t="shared" si="41"/>
        <v>48</v>
      </c>
      <c r="H691" s="864">
        <f t="shared" si="42"/>
        <v>2022</v>
      </c>
      <c r="I691" s="879">
        <f t="shared" si="43"/>
        <v>48</v>
      </c>
      <c r="J691" s="867" cm="1">
        <f t="array" ref="J691">INDEX($E:$E,MATCH($J$10,IF($B:$B=$B691,$I:$I),1))</f>
        <v>94417</v>
      </c>
    </row>
    <row r="692" spans="2:10">
      <c r="B692" s="817" t="s">
        <v>2693</v>
      </c>
      <c r="C692" s="817" t="s">
        <v>6146</v>
      </c>
      <c r="D692" s="863">
        <v>44967</v>
      </c>
      <c r="E692" s="817">
        <v>89730</v>
      </c>
      <c r="F692" s="864">
        <f t="shared" si="40"/>
        <v>2</v>
      </c>
      <c r="G692" s="864">
        <f t="shared" si="41"/>
        <v>6</v>
      </c>
      <c r="H692" s="864">
        <f t="shared" si="42"/>
        <v>2023</v>
      </c>
      <c r="I692" s="879">
        <f t="shared" si="43"/>
        <v>59</v>
      </c>
      <c r="J692" s="867" cm="1">
        <f t="array" ref="J692">INDEX($E:$E,MATCH($J$10,IF($B:$B=$B692,$I:$I),1))</f>
        <v>94417</v>
      </c>
    </row>
    <row r="693" spans="2:10">
      <c r="B693" s="817" t="s">
        <v>2693</v>
      </c>
      <c r="C693" s="817" t="s">
        <v>6146</v>
      </c>
      <c r="D693" s="863">
        <v>45072</v>
      </c>
      <c r="E693" s="817">
        <v>94417</v>
      </c>
      <c r="F693" s="864">
        <f t="shared" si="40"/>
        <v>5</v>
      </c>
      <c r="G693" s="864">
        <f t="shared" si="41"/>
        <v>21</v>
      </c>
      <c r="H693" s="864">
        <f t="shared" si="42"/>
        <v>2023</v>
      </c>
      <c r="I693" s="879">
        <f t="shared" si="43"/>
        <v>74</v>
      </c>
      <c r="J693" s="867" cm="1">
        <f t="array" ref="J693">INDEX($E:$E,MATCH($J$10,IF($B:$B=$B693,$I:$I),1))</f>
        <v>94417</v>
      </c>
    </row>
    <row r="694" spans="2:10">
      <c r="B694" s="817" t="s">
        <v>2882</v>
      </c>
      <c r="C694" s="817" t="s">
        <v>6147</v>
      </c>
      <c r="D694" s="866">
        <v>44706</v>
      </c>
      <c r="E694" s="817">
        <v>16708</v>
      </c>
      <c r="F694" s="864">
        <f t="shared" si="40"/>
        <v>5</v>
      </c>
      <c r="G694" s="864">
        <f t="shared" si="41"/>
        <v>22</v>
      </c>
      <c r="H694" s="864">
        <f t="shared" si="42"/>
        <v>2022</v>
      </c>
      <c r="I694" s="879">
        <f t="shared" si="43"/>
        <v>22</v>
      </c>
      <c r="J694" s="867" cm="1">
        <f t="array" ref="J694">INDEX($E:$E,MATCH($J$10,IF($B:$B=$B694,$I:$I),1))</f>
        <v>47873</v>
      </c>
    </row>
    <row r="695" spans="2:10">
      <c r="B695" s="817" t="s">
        <v>2882</v>
      </c>
      <c r="C695" s="817" t="s">
        <v>6147</v>
      </c>
      <c r="D695" s="863">
        <v>44726</v>
      </c>
      <c r="E695" s="817">
        <v>18511</v>
      </c>
      <c r="F695" s="864">
        <f t="shared" si="40"/>
        <v>6</v>
      </c>
      <c r="G695" s="864">
        <f t="shared" si="41"/>
        <v>25</v>
      </c>
      <c r="H695" s="864">
        <f t="shared" si="42"/>
        <v>2022</v>
      </c>
      <c r="I695" s="879">
        <f t="shared" si="43"/>
        <v>25</v>
      </c>
      <c r="J695" s="867" cm="1">
        <f t="array" ref="J695">INDEX($E:$E,MATCH($J$10,IF($B:$B=$B695,$I:$I),1))</f>
        <v>47873</v>
      </c>
    </row>
    <row r="696" spans="2:10">
      <c r="B696" s="817" t="s">
        <v>2882</v>
      </c>
      <c r="C696" s="817" t="s">
        <v>6147</v>
      </c>
      <c r="D696" s="866">
        <v>44733</v>
      </c>
      <c r="E696" s="817">
        <v>18994</v>
      </c>
      <c r="F696" s="864">
        <f t="shared" si="40"/>
        <v>6</v>
      </c>
      <c r="G696" s="864">
        <f t="shared" si="41"/>
        <v>26</v>
      </c>
      <c r="H696" s="864">
        <f t="shared" si="42"/>
        <v>2022</v>
      </c>
      <c r="I696" s="879">
        <f t="shared" si="43"/>
        <v>26</v>
      </c>
      <c r="J696" s="867" cm="1">
        <f t="array" ref="J696">INDEX($E:$E,MATCH($J$10,IF($B:$B=$B696,$I:$I),1))</f>
        <v>47873</v>
      </c>
    </row>
    <row r="697" spans="2:10">
      <c r="B697" s="817" t="s">
        <v>2882</v>
      </c>
      <c r="C697" s="817" t="s">
        <v>6147</v>
      </c>
      <c r="D697" s="863">
        <v>44740</v>
      </c>
      <c r="E697" s="817">
        <v>19439</v>
      </c>
      <c r="F697" s="864">
        <f t="shared" si="40"/>
        <v>6</v>
      </c>
      <c r="G697" s="864">
        <f t="shared" si="41"/>
        <v>27</v>
      </c>
      <c r="H697" s="864">
        <f t="shared" si="42"/>
        <v>2022</v>
      </c>
      <c r="I697" s="879">
        <f t="shared" si="43"/>
        <v>27</v>
      </c>
      <c r="J697" s="867" cm="1">
        <f t="array" ref="J697">INDEX($E:$E,MATCH($J$10,IF($B:$B=$B697,$I:$I),1))</f>
        <v>47873</v>
      </c>
    </row>
    <row r="698" spans="2:10">
      <c r="B698" s="817" t="s">
        <v>2882</v>
      </c>
      <c r="C698" s="817" t="s">
        <v>6147</v>
      </c>
      <c r="D698" s="866">
        <v>44748</v>
      </c>
      <c r="E698" s="817">
        <v>20310</v>
      </c>
      <c r="F698" s="864">
        <f t="shared" si="40"/>
        <v>7</v>
      </c>
      <c r="G698" s="864">
        <f t="shared" si="41"/>
        <v>28</v>
      </c>
      <c r="H698" s="864">
        <f t="shared" si="42"/>
        <v>2022</v>
      </c>
      <c r="I698" s="879">
        <f t="shared" si="43"/>
        <v>28</v>
      </c>
      <c r="J698" s="867" cm="1">
        <f t="array" ref="J698">INDEX($E:$E,MATCH($J$10,IF($B:$B=$B698,$I:$I),1))</f>
        <v>47873</v>
      </c>
    </row>
    <row r="699" spans="2:10">
      <c r="B699" s="817" t="s">
        <v>2882</v>
      </c>
      <c r="C699" s="817" t="s">
        <v>6147</v>
      </c>
      <c r="D699" s="863">
        <v>44754</v>
      </c>
      <c r="E699" s="817">
        <v>20610</v>
      </c>
      <c r="F699" s="864">
        <f t="shared" si="40"/>
        <v>7</v>
      </c>
      <c r="G699" s="864">
        <f t="shared" si="41"/>
        <v>29</v>
      </c>
      <c r="H699" s="864">
        <f t="shared" si="42"/>
        <v>2022</v>
      </c>
      <c r="I699" s="879">
        <f t="shared" si="43"/>
        <v>29</v>
      </c>
      <c r="J699" s="867" cm="1">
        <f t="array" ref="J699">INDEX($E:$E,MATCH($J$10,IF($B:$B=$B699,$I:$I),1))</f>
        <v>47873</v>
      </c>
    </row>
    <row r="700" spans="2:10">
      <c r="B700" s="817" t="s">
        <v>2882</v>
      </c>
      <c r="C700" s="817" t="s">
        <v>6147</v>
      </c>
      <c r="D700" s="866">
        <v>44761</v>
      </c>
      <c r="E700" s="817">
        <v>21059</v>
      </c>
      <c r="F700" s="864">
        <f t="shared" si="40"/>
        <v>7</v>
      </c>
      <c r="G700" s="864">
        <f t="shared" si="41"/>
        <v>30</v>
      </c>
      <c r="H700" s="864">
        <f t="shared" si="42"/>
        <v>2022</v>
      </c>
      <c r="I700" s="879">
        <f t="shared" si="43"/>
        <v>30</v>
      </c>
      <c r="J700" s="867" cm="1">
        <f t="array" ref="J700">INDEX($E:$E,MATCH($J$10,IF($B:$B=$B700,$I:$I),1))</f>
        <v>47873</v>
      </c>
    </row>
    <row r="701" spans="2:10">
      <c r="B701" s="817" t="s">
        <v>2882</v>
      </c>
      <c r="C701" s="817" t="s">
        <v>6147</v>
      </c>
      <c r="D701" s="863">
        <v>44768</v>
      </c>
      <c r="E701" s="817">
        <v>21484</v>
      </c>
      <c r="F701" s="864">
        <f t="shared" si="40"/>
        <v>7</v>
      </c>
      <c r="G701" s="864">
        <f t="shared" si="41"/>
        <v>31</v>
      </c>
      <c r="H701" s="864">
        <f t="shared" si="42"/>
        <v>2022</v>
      </c>
      <c r="I701" s="879">
        <f t="shared" si="43"/>
        <v>31</v>
      </c>
      <c r="J701" s="867" cm="1">
        <f t="array" ref="J701">INDEX($E:$E,MATCH($J$10,IF($B:$B=$B701,$I:$I),1))</f>
        <v>47873</v>
      </c>
    </row>
    <row r="702" spans="2:10">
      <c r="B702" s="817" t="s">
        <v>2882</v>
      </c>
      <c r="C702" s="817" t="s">
        <v>6147</v>
      </c>
      <c r="D702" s="866">
        <v>44775</v>
      </c>
      <c r="E702" s="817">
        <v>22085</v>
      </c>
      <c r="F702" s="864">
        <f t="shared" si="40"/>
        <v>8</v>
      </c>
      <c r="G702" s="864">
        <f t="shared" si="41"/>
        <v>32</v>
      </c>
      <c r="H702" s="864">
        <f t="shared" si="42"/>
        <v>2022</v>
      </c>
      <c r="I702" s="879">
        <f t="shared" si="43"/>
        <v>32</v>
      </c>
      <c r="J702" s="867" cm="1">
        <f t="array" ref="J702">INDEX($E:$E,MATCH($J$10,IF($B:$B=$B702,$I:$I),1))</f>
        <v>47873</v>
      </c>
    </row>
    <row r="703" spans="2:10">
      <c r="B703" s="817" t="s">
        <v>2882</v>
      </c>
      <c r="C703" s="817" t="s">
        <v>6147</v>
      </c>
      <c r="D703" s="863">
        <v>44782</v>
      </c>
      <c r="E703" s="817">
        <v>22688</v>
      </c>
      <c r="F703" s="864">
        <f t="shared" si="40"/>
        <v>8</v>
      </c>
      <c r="G703" s="864">
        <f t="shared" si="41"/>
        <v>33</v>
      </c>
      <c r="H703" s="864">
        <f t="shared" si="42"/>
        <v>2022</v>
      </c>
      <c r="I703" s="879">
        <f t="shared" si="43"/>
        <v>33</v>
      </c>
      <c r="J703" s="867" cm="1">
        <f t="array" ref="J703">INDEX($E:$E,MATCH($J$10,IF($B:$B=$B703,$I:$I),1))</f>
        <v>47873</v>
      </c>
    </row>
    <row r="704" spans="2:10">
      <c r="B704" s="817" t="s">
        <v>2882</v>
      </c>
      <c r="C704" s="817" t="s">
        <v>6147</v>
      </c>
      <c r="D704" s="866">
        <v>44789</v>
      </c>
      <c r="E704" s="817">
        <v>23263</v>
      </c>
      <c r="F704" s="864">
        <f t="shared" si="40"/>
        <v>8</v>
      </c>
      <c r="G704" s="864">
        <f t="shared" si="41"/>
        <v>34</v>
      </c>
      <c r="H704" s="864">
        <f t="shared" si="42"/>
        <v>2022</v>
      </c>
      <c r="I704" s="879">
        <f t="shared" si="43"/>
        <v>34</v>
      </c>
      <c r="J704" s="867" cm="1">
        <f t="array" ref="J704">INDEX($E:$E,MATCH($J$10,IF($B:$B=$B704,$I:$I),1))</f>
        <v>47873</v>
      </c>
    </row>
    <row r="705" spans="2:10">
      <c r="B705" s="817" t="s">
        <v>2882</v>
      </c>
      <c r="C705" s="817" t="s">
        <v>6147</v>
      </c>
      <c r="D705" s="863">
        <v>44792</v>
      </c>
      <c r="E705" s="817">
        <v>23912</v>
      </c>
      <c r="F705" s="864">
        <f t="shared" si="40"/>
        <v>8</v>
      </c>
      <c r="G705" s="864">
        <f t="shared" si="41"/>
        <v>34</v>
      </c>
      <c r="H705" s="864">
        <f t="shared" si="42"/>
        <v>2022</v>
      </c>
      <c r="I705" s="879">
        <f t="shared" si="43"/>
        <v>34</v>
      </c>
      <c r="J705" s="867" cm="1">
        <f t="array" ref="J705">INDEX($E:$E,MATCH($J$10,IF($B:$B=$B705,$I:$I),1))</f>
        <v>47873</v>
      </c>
    </row>
    <row r="706" spans="2:10">
      <c r="B706" s="817" t="s">
        <v>2882</v>
      </c>
      <c r="C706" s="817" t="s">
        <v>6147</v>
      </c>
      <c r="D706" s="866">
        <v>44810</v>
      </c>
      <c r="E706" s="817">
        <v>25868</v>
      </c>
      <c r="F706" s="864">
        <f t="shared" si="40"/>
        <v>9</v>
      </c>
      <c r="G706" s="864">
        <f t="shared" si="41"/>
        <v>37</v>
      </c>
      <c r="H706" s="864">
        <f t="shared" si="42"/>
        <v>2022</v>
      </c>
      <c r="I706" s="879">
        <f t="shared" si="43"/>
        <v>37</v>
      </c>
      <c r="J706" s="867" cm="1">
        <f t="array" ref="J706">INDEX($E:$E,MATCH($J$10,IF($B:$B=$B706,$I:$I),1))</f>
        <v>47873</v>
      </c>
    </row>
    <row r="707" spans="2:10">
      <c r="B707" s="817" t="s">
        <v>2882</v>
      </c>
      <c r="C707" s="817" t="s">
        <v>6147</v>
      </c>
      <c r="D707" s="863">
        <v>44817</v>
      </c>
      <c r="E707" s="817">
        <v>26669</v>
      </c>
      <c r="F707" s="864">
        <f t="shared" si="40"/>
        <v>9</v>
      </c>
      <c r="G707" s="864">
        <f t="shared" si="41"/>
        <v>38</v>
      </c>
      <c r="H707" s="864">
        <f t="shared" si="42"/>
        <v>2022</v>
      </c>
      <c r="I707" s="879">
        <f t="shared" si="43"/>
        <v>38</v>
      </c>
      <c r="J707" s="867" cm="1">
        <f t="array" ref="J707">INDEX($E:$E,MATCH($J$10,IF($B:$B=$B707,$I:$I),1))</f>
        <v>47873</v>
      </c>
    </row>
    <row r="708" spans="2:10">
      <c r="B708" s="817" t="s">
        <v>2882</v>
      </c>
      <c r="C708" s="817" t="s">
        <v>6147</v>
      </c>
      <c r="D708" s="866">
        <v>44820</v>
      </c>
      <c r="E708" s="817">
        <v>27294</v>
      </c>
      <c r="F708" s="864">
        <f t="shared" si="40"/>
        <v>9</v>
      </c>
      <c r="G708" s="864">
        <f t="shared" si="41"/>
        <v>38</v>
      </c>
      <c r="H708" s="864">
        <f t="shared" si="42"/>
        <v>2022</v>
      </c>
      <c r="I708" s="879">
        <f t="shared" si="43"/>
        <v>38</v>
      </c>
      <c r="J708" s="867" cm="1">
        <f t="array" ref="J708">INDEX($E:$E,MATCH($J$10,IF($B:$B=$B708,$I:$I),1))</f>
        <v>47873</v>
      </c>
    </row>
    <row r="709" spans="2:10">
      <c r="B709" s="817" t="s">
        <v>2882</v>
      </c>
      <c r="C709" s="817" t="s">
        <v>6147</v>
      </c>
      <c r="D709" s="863">
        <v>44827</v>
      </c>
      <c r="E709" s="817">
        <v>27845</v>
      </c>
      <c r="F709" s="864">
        <f t="shared" si="40"/>
        <v>9</v>
      </c>
      <c r="G709" s="864">
        <f t="shared" si="41"/>
        <v>39</v>
      </c>
      <c r="H709" s="864">
        <f t="shared" si="42"/>
        <v>2022</v>
      </c>
      <c r="I709" s="879">
        <f t="shared" si="43"/>
        <v>39</v>
      </c>
      <c r="J709" s="867" cm="1">
        <f t="array" ref="J709">INDEX($E:$E,MATCH($J$10,IF($B:$B=$B709,$I:$I),1))</f>
        <v>47873</v>
      </c>
    </row>
    <row r="710" spans="2:10">
      <c r="B710" s="817" t="s">
        <v>2882</v>
      </c>
      <c r="C710" s="817" t="s">
        <v>6147</v>
      </c>
      <c r="D710" s="866">
        <v>44834</v>
      </c>
      <c r="E710" s="817">
        <v>28492</v>
      </c>
      <c r="F710" s="864">
        <f t="shared" si="40"/>
        <v>9</v>
      </c>
      <c r="G710" s="864">
        <f t="shared" si="41"/>
        <v>40</v>
      </c>
      <c r="H710" s="864">
        <f t="shared" si="42"/>
        <v>2022</v>
      </c>
      <c r="I710" s="879">
        <f t="shared" si="43"/>
        <v>40</v>
      </c>
      <c r="J710" s="867" cm="1">
        <f t="array" ref="J710">INDEX($E:$E,MATCH($J$10,IF($B:$B=$B710,$I:$I),1))</f>
        <v>47873</v>
      </c>
    </row>
    <row r="711" spans="2:10">
      <c r="B711" s="817" t="s">
        <v>2882</v>
      </c>
      <c r="C711" s="817" t="s">
        <v>6147</v>
      </c>
      <c r="D711" s="863">
        <v>44845</v>
      </c>
      <c r="E711" s="817">
        <v>29208</v>
      </c>
      <c r="F711" s="864">
        <f t="shared" si="40"/>
        <v>10</v>
      </c>
      <c r="G711" s="864">
        <f t="shared" si="41"/>
        <v>42</v>
      </c>
      <c r="H711" s="864">
        <f t="shared" si="42"/>
        <v>2022</v>
      </c>
      <c r="I711" s="879">
        <f t="shared" si="43"/>
        <v>42</v>
      </c>
      <c r="J711" s="867" cm="1">
        <f t="array" ref="J711">INDEX($E:$E,MATCH($J$10,IF($B:$B=$B711,$I:$I),1))</f>
        <v>47873</v>
      </c>
    </row>
    <row r="712" spans="2:10">
      <c r="B712" s="817" t="s">
        <v>2882</v>
      </c>
      <c r="C712" s="817" t="s">
        <v>6147</v>
      </c>
      <c r="D712" s="866">
        <v>44848</v>
      </c>
      <c r="E712" s="817">
        <v>29699</v>
      </c>
      <c r="F712" s="864">
        <f t="shared" si="40"/>
        <v>10</v>
      </c>
      <c r="G712" s="864">
        <f t="shared" si="41"/>
        <v>42</v>
      </c>
      <c r="H712" s="864">
        <f t="shared" si="42"/>
        <v>2022</v>
      </c>
      <c r="I712" s="879">
        <f t="shared" si="43"/>
        <v>42</v>
      </c>
      <c r="J712" s="867" cm="1">
        <f t="array" ref="J712">INDEX($E:$E,MATCH($J$10,IF($B:$B=$B712,$I:$I),1))</f>
        <v>47873</v>
      </c>
    </row>
    <row r="713" spans="2:10">
      <c r="B713" s="817" t="s">
        <v>2882</v>
      </c>
      <c r="C713" s="817" t="s">
        <v>6147</v>
      </c>
      <c r="D713" s="863">
        <v>44859</v>
      </c>
      <c r="E713" s="817">
        <v>30570</v>
      </c>
      <c r="F713" s="864">
        <f t="shared" si="40"/>
        <v>10</v>
      </c>
      <c r="G713" s="864">
        <f t="shared" si="41"/>
        <v>44</v>
      </c>
      <c r="H713" s="864">
        <f t="shared" si="42"/>
        <v>2022</v>
      </c>
      <c r="I713" s="879">
        <f t="shared" si="43"/>
        <v>44</v>
      </c>
      <c r="J713" s="867" cm="1">
        <f t="array" ref="J713">INDEX($E:$E,MATCH($J$10,IF($B:$B=$B713,$I:$I),1))</f>
        <v>47873</v>
      </c>
    </row>
    <row r="714" spans="2:10">
      <c r="B714" s="817" t="s">
        <v>2882</v>
      </c>
      <c r="C714" s="817" t="s">
        <v>6147</v>
      </c>
      <c r="D714" s="866">
        <v>44862</v>
      </c>
      <c r="E714" s="817">
        <v>30989</v>
      </c>
      <c r="F714" s="864">
        <f t="shared" si="40"/>
        <v>10</v>
      </c>
      <c r="G714" s="864">
        <f t="shared" si="41"/>
        <v>44</v>
      </c>
      <c r="H714" s="864">
        <f t="shared" si="42"/>
        <v>2022</v>
      </c>
      <c r="I714" s="879">
        <f t="shared" si="43"/>
        <v>44</v>
      </c>
      <c r="J714" s="867" cm="1">
        <f t="array" ref="J714">INDEX($E:$E,MATCH($J$10,IF($B:$B=$B714,$I:$I),1))</f>
        <v>47873</v>
      </c>
    </row>
    <row r="715" spans="2:10">
      <c r="B715" s="817" t="s">
        <v>2882</v>
      </c>
      <c r="C715" s="817" t="s">
        <v>6147</v>
      </c>
      <c r="D715" s="863">
        <v>44873</v>
      </c>
      <c r="E715" s="817">
        <v>31798</v>
      </c>
      <c r="F715" s="864">
        <f t="shared" si="40"/>
        <v>11</v>
      </c>
      <c r="G715" s="864">
        <f t="shared" si="41"/>
        <v>46</v>
      </c>
      <c r="H715" s="864">
        <f t="shared" si="42"/>
        <v>2022</v>
      </c>
      <c r="I715" s="879">
        <f t="shared" si="43"/>
        <v>46</v>
      </c>
      <c r="J715" s="867" cm="1">
        <f t="array" ref="J715">INDEX($E:$E,MATCH($J$10,IF($B:$B=$B715,$I:$I),1))</f>
        <v>47873</v>
      </c>
    </row>
    <row r="716" spans="2:10">
      <c r="B716" s="817" t="s">
        <v>2882</v>
      </c>
      <c r="C716" s="817" t="s">
        <v>6147</v>
      </c>
      <c r="D716" s="866">
        <v>44880</v>
      </c>
      <c r="E716" s="817">
        <v>32102</v>
      </c>
      <c r="F716" s="864">
        <f t="shared" ref="F716:F779" si="44">MONTH(D716)</f>
        <v>11</v>
      </c>
      <c r="G716" s="864">
        <f t="shared" ref="G716:G779" si="45">WEEKNUM(D716)</f>
        <v>47</v>
      </c>
      <c r="H716" s="864">
        <f t="shared" ref="H716:H779" si="46">YEAR(D716)</f>
        <v>2022</v>
      </c>
      <c r="I716" s="879">
        <f t="shared" ref="I716:I779" si="47">(H716-2022)*53+G716</f>
        <v>47</v>
      </c>
      <c r="J716" s="867" cm="1">
        <f t="array" ref="J716">INDEX($E:$E,MATCH($J$10,IF($B:$B=$B716,$I:$I),1))</f>
        <v>47873</v>
      </c>
    </row>
    <row r="717" spans="2:10">
      <c r="B717" s="817" t="s">
        <v>2882</v>
      </c>
      <c r="C717" s="817" t="s">
        <v>6147</v>
      </c>
      <c r="D717" s="863">
        <v>44901</v>
      </c>
      <c r="E717" s="817">
        <v>34005</v>
      </c>
      <c r="F717" s="864">
        <f t="shared" si="44"/>
        <v>12</v>
      </c>
      <c r="G717" s="864">
        <f t="shared" si="45"/>
        <v>50</v>
      </c>
      <c r="H717" s="864">
        <f t="shared" si="46"/>
        <v>2022</v>
      </c>
      <c r="I717" s="879">
        <f t="shared" si="47"/>
        <v>50</v>
      </c>
      <c r="J717" s="867" cm="1">
        <f t="array" ref="J717">INDEX($E:$E,MATCH($J$10,IF($B:$B=$B717,$I:$I),1))</f>
        <v>47873</v>
      </c>
    </row>
    <row r="718" spans="2:10">
      <c r="B718" s="817" t="s">
        <v>2882</v>
      </c>
      <c r="C718" s="817" t="s">
        <v>6147</v>
      </c>
      <c r="D718" s="866">
        <v>44915</v>
      </c>
      <c r="E718" s="817">
        <v>35321</v>
      </c>
      <c r="F718" s="864">
        <f t="shared" si="44"/>
        <v>12</v>
      </c>
      <c r="G718" s="864">
        <f t="shared" si="45"/>
        <v>52</v>
      </c>
      <c r="H718" s="864">
        <f t="shared" si="46"/>
        <v>2022</v>
      </c>
      <c r="I718" s="879">
        <f t="shared" si="47"/>
        <v>52</v>
      </c>
      <c r="J718" s="867" cm="1">
        <f t="array" ref="J718">INDEX($E:$E,MATCH($J$10,IF($B:$B=$B718,$I:$I),1))</f>
        <v>47873</v>
      </c>
    </row>
    <row r="719" spans="2:10">
      <c r="B719" s="817" t="s">
        <v>2882</v>
      </c>
      <c r="C719" s="817" t="s">
        <v>6147</v>
      </c>
      <c r="D719" s="863">
        <v>44918</v>
      </c>
      <c r="E719" s="817">
        <v>35649</v>
      </c>
      <c r="F719" s="864">
        <f t="shared" si="44"/>
        <v>12</v>
      </c>
      <c r="G719" s="864">
        <f t="shared" si="45"/>
        <v>52</v>
      </c>
      <c r="H719" s="864">
        <f t="shared" si="46"/>
        <v>2022</v>
      </c>
      <c r="I719" s="879">
        <f t="shared" si="47"/>
        <v>52</v>
      </c>
      <c r="J719" s="867" cm="1">
        <f t="array" ref="J719">INDEX($E:$E,MATCH($J$10,IF($B:$B=$B719,$I:$I),1))</f>
        <v>47873</v>
      </c>
    </row>
    <row r="720" spans="2:10">
      <c r="B720" s="817" t="s">
        <v>2882</v>
      </c>
      <c r="C720" s="817" t="s">
        <v>6147</v>
      </c>
      <c r="D720" s="866">
        <v>44926</v>
      </c>
      <c r="E720" s="817">
        <v>36582</v>
      </c>
      <c r="F720" s="864">
        <f t="shared" si="44"/>
        <v>12</v>
      </c>
      <c r="G720" s="864">
        <f t="shared" si="45"/>
        <v>53</v>
      </c>
      <c r="H720" s="864">
        <f t="shared" si="46"/>
        <v>2022</v>
      </c>
      <c r="I720" s="879">
        <f t="shared" si="47"/>
        <v>53</v>
      </c>
      <c r="J720" s="867" cm="1">
        <f t="array" ref="J720">INDEX($E:$E,MATCH($J$10,IF($B:$B=$B720,$I:$I),1))</f>
        <v>47873</v>
      </c>
    </row>
    <row r="721" spans="2:10">
      <c r="B721" s="817" t="s">
        <v>2882</v>
      </c>
      <c r="C721" s="817" t="s">
        <v>6147</v>
      </c>
      <c r="D721" s="863">
        <v>44932</v>
      </c>
      <c r="E721" s="817">
        <v>36925</v>
      </c>
      <c r="F721" s="864">
        <f t="shared" si="44"/>
        <v>1</v>
      </c>
      <c r="G721" s="864">
        <f t="shared" si="45"/>
        <v>1</v>
      </c>
      <c r="H721" s="864">
        <f t="shared" si="46"/>
        <v>2023</v>
      </c>
      <c r="I721" s="879">
        <f t="shared" si="47"/>
        <v>54</v>
      </c>
      <c r="J721" s="867" cm="1">
        <f t="array" ref="J721">INDEX($E:$E,MATCH($J$10,IF($B:$B=$B721,$I:$I),1))</f>
        <v>47873</v>
      </c>
    </row>
    <row r="722" spans="2:10">
      <c r="B722" s="817" t="s">
        <v>2882</v>
      </c>
      <c r="C722" s="817" t="s">
        <v>6147</v>
      </c>
      <c r="D722" s="866">
        <v>44942</v>
      </c>
      <c r="E722" s="817">
        <v>37394</v>
      </c>
      <c r="F722" s="864">
        <f t="shared" si="44"/>
        <v>1</v>
      </c>
      <c r="G722" s="864">
        <f t="shared" si="45"/>
        <v>3</v>
      </c>
      <c r="H722" s="864">
        <f t="shared" si="46"/>
        <v>2023</v>
      </c>
      <c r="I722" s="879">
        <f t="shared" si="47"/>
        <v>56</v>
      </c>
      <c r="J722" s="867" cm="1">
        <f t="array" ref="J722">INDEX($E:$E,MATCH($J$10,IF($B:$B=$B722,$I:$I),1))</f>
        <v>47873</v>
      </c>
    </row>
    <row r="723" spans="2:10">
      <c r="B723" s="817" t="s">
        <v>2882</v>
      </c>
      <c r="C723" s="817" t="s">
        <v>6147</v>
      </c>
      <c r="D723" s="863">
        <v>44949</v>
      </c>
      <c r="E723" s="817">
        <v>37971</v>
      </c>
      <c r="F723" s="864">
        <f t="shared" si="44"/>
        <v>1</v>
      </c>
      <c r="G723" s="864">
        <f t="shared" si="45"/>
        <v>4</v>
      </c>
      <c r="H723" s="864">
        <f t="shared" si="46"/>
        <v>2023</v>
      </c>
      <c r="I723" s="879">
        <f t="shared" si="47"/>
        <v>57</v>
      </c>
      <c r="J723" s="867" cm="1">
        <f t="array" ref="J723">INDEX($E:$E,MATCH($J$10,IF($B:$B=$B723,$I:$I),1))</f>
        <v>47873</v>
      </c>
    </row>
    <row r="724" spans="2:10">
      <c r="B724" s="817" t="s">
        <v>2882</v>
      </c>
      <c r="C724" s="817" t="s">
        <v>6147</v>
      </c>
      <c r="D724" s="866">
        <v>44956</v>
      </c>
      <c r="E724" s="817">
        <v>38581</v>
      </c>
      <c r="F724" s="864">
        <f t="shared" si="44"/>
        <v>1</v>
      </c>
      <c r="G724" s="864">
        <f t="shared" si="45"/>
        <v>5</v>
      </c>
      <c r="H724" s="864">
        <f t="shared" si="46"/>
        <v>2023</v>
      </c>
      <c r="I724" s="879">
        <f t="shared" si="47"/>
        <v>58</v>
      </c>
      <c r="J724" s="867" cm="1">
        <f t="array" ref="J724">INDEX($E:$E,MATCH($J$10,IF($B:$B=$B724,$I:$I),1))</f>
        <v>47873</v>
      </c>
    </row>
    <row r="725" spans="2:10">
      <c r="B725" s="817" t="s">
        <v>2882</v>
      </c>
      <c r="C725" s="817" t="s">
        <v>6147</v>
      </c>
      <c r="D725" s="863">
        <v>44967</v>
      </c>
      <c r="E725" s="817">
        <v>39931</v>
      </c>
      <c r="F725" s="864">
        <f t="shared" si="44"/>
        <v>2</v>
      </c>
      <c r="G725" s="864">
        <f t="shared" si="45"/>
        <v>6</v>
      </c>
      <c r="H725" s="864">
        <f t="shared" si="46"/>
        <v>2023</v>
      </c>
      <c r="I725" s="879">
        <f t="shared" si="47"/>
        <v>59</v>
      </c>
      <c r="J725" s="867" cm="1">
        <f t="array" ref="J725">INDEX($E:$E,MATCH($J$10,IF($B:$B=$B725,$I:$I),1))</f>
        <v>47873</v>
      </c>
    </row>
    <row r="726" spans="2:10">
      <c r="B726" s="817" t="s">
        <v>2882</v>
      </c>
      <c r="C726" s="817" t="s">
        <v>6147</v>
      </c>
      <c r="D726" s="866">
        <v>44984</v>
      </c>
      <c r="E726" s="817">
        <v>41519</v>
      </c>
      <c r="F726" s="864">
        <f t="shared" si="44"/>
        <v>2</v>
      </c>
      <c r="G726" s="864">
        <f t="shared" si="45"/>
        <v>9</v>
      </c>
      <c r="H726" s="864">
        <f t="shared" si="46"/>
        <v>2023</v>
      </c>
      <c r="I726" s="879">
        <f t="shared" si="47"/>
        <v>62</v>
      </c>
      <c r="J726" s="867" cm="1">
        <f t="array" ref="J726">INDEX($E:$E,MATCH($J$10,IF($B:$B=$B726,$I:$I),1))</f>
        <v>47873</v>
      </c>
    </row>
    <row r="727" spans="2:10">
      <c r="B727" s="817" t="s">
        <v>2882</v>
      </c>
      <c r="C727" s="817" t="s">
        <v>6147</v>
      </c>
      <c r="D727" s="863">
        <v>45012</v>
      </c>
      <c r="E727" s="817">
        <v>44014</v>
      </c>
      <c r="F727" s="864">
        <f t="shared" si="44"/>
        <v>3</v>
      </c>
      <c r="G727" s="864">
        <f t="shared" si="45"/>
        <v>13</v>
      </c>
      <c r="H727" s="864">
        <f t="shared" si="46"/>
        <v>2023</v>
      </c>
      <c r="I727" s="879">
        <f t="shared" si="47"/>
        <v>66</v>
      </c>
      <c r="J727" s="867" cm="1">
        <f t="array" ref="J727">INDEX($E:$E,MATCH($J$10,IF($B:$B=$B727,$I:$I),1))</f>
        <v>47873</v>
      </c>
    </row>
    <row r="728" spans="2:10">
      <c r="B728" s="817" t="s">
        <v>2882</v>
      </c>
      <c r="C728" s="817" t="s">
        <v>6147</v>
      </c>
      <c r="D728" s="863">
        <v>45019</v>
      </c>
      <c r="E728" s="817">
        <v>44798</v>
      </c>
      <c r="F728" s="864">
        <f t="shared" si="44"/>
        <v>4</v>
      </c>
      <c r="G728" s="864">
        <f t="shared" si="45"/>
        <v>14</v>
      </c>
      <c r="H728" s="864">
        <f t="shared" si="46"/>
        <v>2023</v>
      </c>
      <c r="I728" s="879">
        <f t="shared" si="47"/>
        <v>67</v>
      </c>
      <c r="J728" s="867" cm="1">
        <f t="array" ref="J728">INDEX($E:$E,MATCH($J$10,IF($B:$B=$B728,$I:$I),1))</f>
        <v>47873</v>
      </c>
    </row>
    <row r="729" spans="2:10">
      <c r="B729" s="817" t="s">
        <v>2882</v>
      </c>
      <c r="C729" s="817" t="s">
        <v>6147</v>
      </c>
      <c r="D729" s="863">
        <v>45027</v>
      </c>
      <c r="E729" s="817">
        <v>45238</v>
      </c>
      <c r="F729" s="864">
        <f t="shared" si="44"/>
        <v>4</v>
      </c>
      <c r="G729" s="864">
        <f t="shared" si="45"/>
        <v>15</v>
      </c>
      <c r="H729" s="864">
        <f t="shared" si="46"/>
        <v>2023</v>
      </c>
      <c r="I729" s="879">
        <f t="shared" si="47"/>
        <v>68</v>
      </c>
      <c r="J729" s="867" cm="1">
        <f t="array" ref="J729">INDEX($E:$E,MATCH($J$10,IF($B:$B=$B729,$I:$I),1))</f>
        <v>47873</v>
      </c>
    </row>
    <row r="730" spans="2:10">
      <c r="B730" s="817" t="s">
        <v>2882</v>
      </c>
      <c r="C730" s="817" t="s">
        <v>6147</v>
      </c>
      <c r="D730" s="863">
        <v>45058</v>
      </c>
      <c r="E730" s="817">
        <v>46985</v>
      </c>
      <c r="F730" s="864">
        <f t="shared" si="44"/>
        <v>5</v>
      </c>
      <c r="G730" s="864">
        <f t="shared" si="45"/>
        <v>19</v>
      </c>
      <c r="H730" s="864">
        <f t="shared" si="46"/>
        <v>2023</v>
      </c>
      <c r="I730" s="879">
        <f t="shared" si="47"/>
        <v>72</v>
      </c>
      <c r="J730" s="867" cm="1">
        <f t="array" ref="J730">INDEX($E:$E,MATCH($J$10,IF($B:$B=$B730,$I:$I),1))</f>
        <v>47873</v>
      </c>
    </row>
    <row r="731" spans="2:10">
      <c r="B731" s="817" t="s">
        <v>2882</v>
      </c>
      <c r="C731" s="817" t="s">
        <v>6147</v>
      </c>
      <c r="D731" s="863">
        <v>45069</v>
      </c>
      <c r="E731" s="817">
        <v>47873</v>
      </c>
      <c r="F731" s="864">
        <f t="shared" si="44"/>
        <v>5</v>
      </c>
      <c r="G731" s="864">
        <f t="shared" si="45"/>
        <v>21</v>
      </c>
      <c r="H731" s="864">
        <f t="shared" si="46"/>
        <v>2023</v>
      </c>
      <c r="I731" s="879">
        <f t="shared" si="47"/>
        <v>74</v>
      </c>
      <c r="J731" s="867" cm="1">
        <f t="array" ref="J731">INDEX($E:$E,MATCH($J$10,IF($B:$B=$B731,$I:$I),1))</f>
        <v>47873</v>
      </c>
    </row>
    <row r="732" spans="2:10">
      <c r="B732" s="817" t="s">
        <v>2989</v>
      </c>
      <c r="C732" s="817" t="s">
        <v>6148</v>
      </c>
      <c r="D732" s="863">
        <v>44712</v>
      </c>
      <c r="E732" s="817">
        <v>1142964</v>
      </c>
      <c r="F732" s="864">
        <f t="shared" si="44"/>
        <v>5</v>
      </c>
      <c r="G732" s="864">
        <f t="shared" si="45"/>
        <v>23</v>
      </c>
      <c r="H732" s="864">
        <f t="shared" si="46"/>
        <v>2022</v>
      </c>
      <c r="I732" s="879">
        <f t="shared" si="47"/>
        <v>23</v>
      </c>
      <c r="J732" s="867" cm="1">
        <f t="array" ref="J732">INDEX($E:$E,MATCH($J$10,IF($B:$B=$B732,$I:$I),1))</f>
        <v>1605738</v>
      </c>
    </row>
    <row r="733" spans="2:10">
      <c r="B733" s="817" t="s">
        <v>2989</v>
      </c>
      <c r="C733" s="817" t="s">
        <v>6148</v>
      </c>
      <c r="D733" s="866">
        <v>44717</v>
      </c>
      <c r="E733" s="817">
        <v>1152364</v>
      </c>
      <c r="F733" s="864">
        <f t="shared" si="44"/>
        <v>6</v>
      </c>
      <c r="G733" s="864">
        <f t="shared" si="45"/>
        <v>24</v>
      </c>
      <c r="H733" s="864">
        <f t="shared" si="46"/>
        <v>2022</v>
      </c>
      <c r="I733" s="879">
        <f t="shared" si="47"/>
        <v>24</v>
      </c>
      <c r="J733" s="867" cm="1">
        <f t="array" ref="J733">INDEX($E:$E,MATCH($J$10,IF($B:$B=$B733,$I:$I),1))</f>
        <v>1605738</v>
      </c>
    </row>
    <row r="734" spans="2:10">
      <c r="B734" s="817" t="s">
        <v>2989</v>
      </c>
      <c r="C734" s="817" t="s">
        <v>6148</v>
      </c>
      <c r="D734" s="863">
        <v>44725</v>
      </c>
      <c r="E734" s="817">
        <v>1169497</v>
      </c>
      <c r="F734" s="864">
        <f t="shared" si="44"/>
        <v>6</v>
      </c>
      <c r="G734" s="864">
        <f t="shared" si="45"/>
        <v>25</v>
      </c>
      <c r="H734" s="864">
        <f t="shared" si="46"/>
        <v>2022</v>
      </c>
      <c r="I734" s="879">
        <f t="shared" si="47"/>
        <v>25</v>
      </c>
      <c r="J734" s="867" cm="1">
        <f t="array" ref="J734">INDEX($E:$E,MATCH($J$10,IF($B:$B=$B734,$I:$I),1))</f>
        <v>1605738</v>
      </c>
    </row>
    <row r="735" spans="2:10">
      <c r="B735" s="817" t="s">
        <v>2989</v>
      </c>
      <c r="C735" s="817" t="s">
        <v>6148</v>
      </c>
      <c r="D735" s="866">
        <v>44732</v>
      </c>
      <c r="E735" s="817">
        <v>1180677</v>
      </c>
      <c r="F735" s="864">
        <f t="shared" si="44"/>
        <v>6</v>
      </c>
      <c r="G735" s="864">
        <f t="shared" si="45"/>
        <v>26</v>
      </c>
      <c r="H735" s="864">
        <f t="shared" si="46"/>
        <v>2022</v>
      </c>
      <c r="I735" s="879">
        <f t="shared" si="47"/>
        <v>26</v>
      </c>
      <c r="J735" s="867" cm="1">
        <f t="array" ref="J735">INDEX($E:$E,MATCH($J$10,IF($B:$B=$B735,$I:$I),1))</f>
        <v>1605738</v>
      </c>
    </row>
    <row r="736" spans="2:10">
      <c r="B736" s="817" t="s">
        <v>2989</v>
      </c>
      <c r="C736" s="817" t="s">
        <v>6148</v>
      </c>
      <c r="D736" s="863">
        <v>44739</v>
      </c>
      <c r="E736" s="817">
        <v>1194642</v>
      </c>
      <c r="F736" s="864">
        <f t="shared" si="44"/>
        <v>6</v>
      </c>
      <c r="G736" s="864">
        <f t="shared" si="45"/>
        <v>27</v>
      </c>
      <c r="H736" s="864">
        <f t="shared" si="46"/>
        <v>2022</v>
      </c>
      <c r="I736" s="879">
        <f t="shared" si="47"/>
        <v>27</v>
      </c>
      <c r="J736" s="867" cm="1">
        <f t="array" ref="J736">INDEX($E:$E,MATCH($J$10,IF($B:$B=$B736,$I:$I),1))</f>
        <v>1605738</v>
      </c>
    </row>
    <row r="737" spans="2:10">
      <c r="B737" s="817" t="s">
        <v>2989</v>
      </c>
      <c r="C737" s="817" t="s">
        <v>6148</v>
      </c>
      <c r="D737" s="866">
        <v>44746</v>
      </c>
      <c r="E737" s="817">
        <v>1207650</v>
      </c>
      <c r="F737" s="864">
        <f t="shared" si="44"/>
        <v>7</v>
      </c>
      <c r="G737" s="864">
        <f t="shared" si="45"/>
        <v>28</v>
      </c>
      <c r="H737" s="864">
        <f t="shared" si="46"/>
        <v>2022</v>
      </c>
      <c r="I737" s="879">
        <f t="shared" si="47"/>
        <v>28</v>
      </c>
      <c r="J737" s="867" cm="1">
        <f t="array" ref="J737">INDEX($E:$E,MATCH($J$10,IF($B:$B=$B737,$I:$I),1))</f>
        <v>1605738</v>
      </c>
    </row>
    <row r="738" spans="2:10">
      <c r="B738" s="817" t="s">
        <v>2989</v>
      </c>
      <c r="C738" s="817" t="s">
        <v>6148</v>
      </c>
      <c r="D738" s="863">
        <v>44753</v>
      </c>
      <c r="E738" s="817">
        <v>1221596</v>
      </c>
      <c r="F738" s="864">
        <f t="shared" si="44"/>
        <v>7</v>
      </c>
      <c r="G738" s="864">
        <f t="shared" si="45"/>
        <v>29</v>
      </c>
      <c r="H738" s="864">
        <f t="shared" si="46"/>
        <v>2022</v>
      </c>
      <c r="I738" s="879">
        <f t="shared" si="47"/>
        <v>29</v>
      </c>
      <c r="J738" s="867" cm="1">
        <f t="array" ref="J738">INDEX($E:$E,MATCH($J$10,IF($B:$B=$B738,$I:$I),1))</f>
        <v>1605738</v>
      </c>
    </row>
    <row r="739" spans="2:10">
      <c r="B739" s="817" t="s">
        <v>2989</v>
      </c>
      <c r="C739" s="817" t="s">
        <v>6148</v>
      </c>
      <c r="D739" s="866">
        <v>44760</v>
      </c>
      <c r="E739" s="817">
        <v>1234718</v>
      </c>
      <c r="F739" s="864">
        <f t="shared" si="44"/>
        <v>7</v>
      </c>
      <c r="G739" s="864">
        <f t="shared" si="45"/>
        <v>30</v>
      </c>
      <c r="H739" s="864">
        <f t="shared" si="46"/>
        <v>2022</v>
      </c>
      <c r="I739" s="879">
        <f t="shared" si="47"/>
        <v>30</v>
      </c>
      <c r="J739" s="867" cm="1">
        <f t="array" ref="J739">INDEX($E:$E,MATCH($J$10,IF($B:$B=$B739,$I:$I),1))</f>
        <v>1605738</v>
      </c>
    </row>
    <row r="740" spans="2:10">
      <c r="B740" s="817" t="s">
        <v>2989</v>
      </c>
      <c r="C740" s="817" t="s">
        <v>6148</v>
      </c>
      <c r="D740" s="863">
        <v>44768</v>
      </c>
      <c r="E740" s="817">
        <v>1246315</v>
      </c>
      <c r="F740" s="864">
        <f t="shared" si="44"/>
        <v>7</v>
      </c>
      <c r="G740" s="864">
        <f t="shared" si="45"/>
        <v>31</v>
      </c>
      <c r="H740" s="864">
        <f t="shared" si="46"/>
        <v>2022</v>
      </c>
      <c r="I740" s="879">
        <f t="shared" si="47"/>
        <v>31</v>
      </c>
      <c r="J740" s="867" cm="1">
        <f t="array" ref="J740">INDEX($E:$E,MATCH($J$10,IF($B:$B=$B740,$I:$I),1))</f>
        <v>1605738</v>
      </c>
    </row>
    <row r="741" spans="2:10">
      <c r="B741" s="817" t="s">
        <v>2989</v>
      </c>
      <c r="C741" s="817" t="s">
        <v>6148</v>
      </c>
      <c r="D741" s="866">
        <v>44774</v>
      </c>
      <c r="E741" s="817">
        <v>1256568</v>
      </c>
      <c r="F741" s="864">
        <f t="shared" si="44"/>
        <v>8</v>
      </c>
      <c r="G741" s="864">
        <f t="shared" si="45"/>
        <v>32</v>
      </c>
      <c r="H741" s="864">
        <f t="shared" si="46"/>
        <v>2022</v>
      </c>
      <c r="I741" s="879">
        <f t="shared" si="47"/>
        <v>32</v>
      </c>
      <c r="J741" s="867" cm="1">
        <f t="array" ref="J741">INDEX($E:$E,MATCH($J$10,IF($B:$B=$B741,$I:$I),1))</f>
        <v>1605738</v>
      </c>
    </row>
    <row r="742" spans="2:10">
      <c r="B742" s="817" t="s">
        <v>2989</v>
      </c>
      <c r="C742" s="817" t="s">
        <v>6148</v>
      </c>
      <c r="D742" s="863">
        <v>44782</v>
      </c>
      <c r="E742" s="817">
        <v>1274130</v>
      </c>
      <c r="F742" s="864">
        <f t="shared" si="44"/>
        <v>8</v>
      </c>
      <c r="G742" s="864">
        <f t="shared" si="45"/>
        <v>33</v>
      </c>
      <c r="H742" s="864">
        <f t="shared" si="46"/>
        <v>2022</v>
      </c>
      <c r="I742" s="879">
        <f t="shared" si="47"/>
        <v>33</v>
      </c>
      <c r="J742" s="867" cm="1">
        <f t="array" ref="J742">INDEX($E:$E,MATCH($J$10,IF($B:$B=$B742,$I:$I),1))</f>
        <v>1605738</v>
      </c>
    </row>
    <row r="743" spans="2:10">
      <c r="B743" s="817" t="s">
        <v>2989</v>
      </c>
      <c r="C743" s="817" t="s">
        <v>6148</v>
      </c>
      <c r="D743" s="866">
        <v>44789</v>
      </c>
      <c r="E743" s="817">
        <v>1321618</v>
      </c>
      <c r="F743" s="864">
        <f t="shared" si="44"/>
        <v>8</v>
      </c>
      <c r="G743" s="864">
        <f t="shared" si="45"/>
        <v>34</v>
      </c>
      <c r="H743" s="864">
        <f t="shared" si="46"/>
        <v>2022</v>
      </c>
      <c r="I743" s="879">
        <f t="shared" si="47"/>
        <v>34</v>
      </c>
      <c r="J743" s="867" cm="1">
        <f t="array" ref="J743">INDEX($E:$E,MATCH($J$10,IF($B:$B=$B743,$I:$I),1))</f>
        <v>1605738</v>
      </c>
    </row>
    <row r="744" spans="2:10">
      <c r="B744" s="817" t="s">
        <v>2989</v>
      </c>
      <c r="C744" s="817" t="s">
        <v>6148</v>
      </c>
      <c r="D744" s="863">
        <v>44795</v>
      </c>
      <c r="E744" s="817">
        <v>1338339</v>
      </c>
      <c r="F744" s="864">
        <f t="shared" si="44"/>
        <v>8</v>
      </c>
      <c r="G744" s="864">
        <f t="shared" si="45"/>
        <v>35</v>
      </c>
      <c r="H744" s="864">
        <f t="shared" si="46"/>
        <v>2022</v>
      </c>
      <c r="I744" s="879">
        <f t="shared" si="47"/>
        <v>35</v>
      </c>
      <c r="J744" s="867" cm="1">
        <f t="array" ref="J744">INDEX($E:$E,MATCH($J$10,IF($B:$B=$B744,$I:$I),1))</f>
        <v>1605738</v>
      </c>
    </row>
    <row r="745" spans="2:10">
      <c r="B745" s="817" t="s">
        <v>2989</v>
      </c>
      <c r="C745" s="817" t="s">
        <v>6148</v>
      </c>
      <c r="D745" s="866">
        <v>44802</v>
      </c>
      <c r="E745" s="817">
        <v>1353338</v>
      </c>
      <c r="F745" s="864">
        <f t="shared" si="44"/>
        <v>8</v>
      </c>
      <c r="G745" s="864">
        <f t="shared" si="45"/>
        <v>36</v>
      </c>
      <c r="H745" s="864">
        <f t="shared" si="46"/>
        <v>2022</v>
      </c>
      <c r="I745" s="879">
        <f t="shared" si="47"/>
        <v>36</v>
      </c>
      <c r="J745" s="867" cm="1">
        <f t="array" ref="J745">INDEX($E:$E,MATCH($J$10,IF($B:$B=$B745,$I:$I),1))</f>
        <v>1605738</v>
      </c>
    </row>
    <row r="746" spans="2:10">
      <c r="B746" s="817" t="s">
        <v>2989</v>
      </c>
      <c r="C746" s="817" t="s">
        <v>6148</v>
      </c>
      <c r="D746" s="863">
        <v>44809</v>
      </c>
      <c r="E746" s="817">
        <v>1365810</v>
      </c>
      <c r="F746" s="864">
        <f t="shared" si="44"/>
        <v>9</v>
      </c>
      <c r="G746" s="864">
        <f t="shared" si="45"/>
        <v>37</v>
      </c>
      <c r="H746" s="864">
        <f t="shared" si="46"/>
        <v>2022</v>
      </c>
      <c r="I746" s="879">
        <f t="shared" si="47"/>
        <v>37</v>
      </c>
      <c r="J746" s="867" cm="1">
        <f t="array" ref="J746">INDEX($E:$E,MATCH($J$10,IF($B:$B=$B746,$I:$I),1))</f>
        <v>1605738</v>
      </c>
    </row>
    <row r="747" spans="2:10">
      <c r="B747" s="817" t="s">
        <v>2989</v>
      </c>
      <c r="C747" s="817" t="s">
        <v>6148</v>
      </c>
      <c r="D747" s="866">
        <v>44816</v>
      </c>
      <c r="E747" s="817">
        <v>1379470</v>
      </c>
      <c r="F747" s="864">
        <f t="shared" si="44"/>
        <v>9</v>
      </c>
      <c r="G747" s="864">
        <f t="shared" si="45"/>
        <v>38</v>
      </c>
      <c r="H747" s="864">
        <f t="shared" si="46"/>
        <v>2022</v>
      </c>
      <c r="I747" s="879">
        <f t="shared" si="47"/>
        <v>38</v>
      </c>
      <c r="J747" s="867" cm="1">
        <f t="array" ref="J747">INDEX($E:$E,MATCH($J$10,IF($B:$B=$B747,$I:$I),1))</f>
        <v>1605738</v>
      </c>
    </row>
    <row r="748" spans="2:10">
      <c r="B748" s="817" t="s">
        <v>2989</v>
      </c>
      <c r="C748" s="817" t="s">
        <v>6148</v>
      </c>
      <c r="D748" s="863">
        <v>44823</v>
      </c>
      <c r="E748" s="817">
        <v>1391344</v>
      </c>
      <c r="F748" s="864">
        <f t="shared" si="44"/>
        <v>9</v>
      </c>
      <c r="G748" s="864">
        <f t="shared" si="45"/>
        <v>39</v>
      </c>
      <c r="H748" s="864">
        <f t="shared" si="46"/>
        <v>2022</v>
      </c>
      <c r="I748" s="879">
        <f t="shared" si="47"/>
        <v>39</v>
      </c>
      <c r="J748" s="867" cm="1">
        <f t="array" ref="J748">INDEX($E:$E,MATCH($J$10,IF($B:$B=$B748,$I:$I),1))</f>
        <v>1605738</v>
      </c>
    </row>
    <row r="749" spans="2:10">
      <c r="B749" s="817" t="s">
        <v>2989</v>
      </c>
      <c r="C749" s="817" t="s">
        <v>6148</v>
      </c>
      <c r="D749" s="866">
        <v>44830</v>
      </c>
      <c r="E749" s="817">
        <v>1409139</v>
      </c>
      <c r="F749" s="864">
        <f t="shared" si="44"/>
        <v>9</v>
      </c>
      <c r="G749" s="864">
        <f t="shared" si="45"/>
        <v>40</v>
      </c>
      <c r="H749" s="864">
        <f t="shared" si="46"/>
        <v>2022</v>
      </c>
      <c r="I749" s="879">
        <f t="shared" si="47"/>
        <v>40</v>
      </c>
      <c r="J749" s="867" cm="1">
        <f t="array" ref="J749">INDEX($E:$E,MATCH($J$10,IF($B:$B=$B749,$I:$I),1))</f>
        <v>1605738</v>
      </c>
    </row>
    <row r="750" spans="2:10">
      <c r="B750" s="817" t="s">
        <v>2989</v>
      </c>
      <c r="C750" s="817" t="s">
        <v>6148</v>
      </c>
      <c r="D750" s="863">
        <v>44837</v>
      </c>
      <c r="E750" s="817">
        <v>1422482</v>
      </c>
      <c r="F750" s="864">
        <f t="shared" si="44"/>
        <v>10</v>
      </c>
      <c r="G750" s="864">
        <f t="shared" si="45"/>
        <v>41</v>
      </c>
      <c r="H750" s="864">
        <f t="shared" si="46"/>
        <v>2022</v>
      </c>
      <c r="I750" s="879">
        <f t="shared" si="47"/>
        <v>41</v>
      </c>
      <c r="J750" s="867" cm="1">
        <f t="array" ref="J750">INDEX($E:$E,MATCH($J$10,IF($B:$B=$B750,$I:$I),1))</f>
        <v>1605738</v>
      </c>
    </row>
    <row r="751" spans="2:10">
      <c r="B751" s="817" t="s">
        <v>2989</v>
      </c>
      <c r="C751" s="817" t="s">
        <v>6148</v>
      </c>
      <c r="D751" s="866">
        <v>44844</v>
      </c>
      <c r="E751" s="817">
        <v>1436558</v>
      </c>
      <c r="F751" s="864">
        <f t="shared" si="44"/>
        <v>10</v>
      </c>
      <c r="G751" s="864">
        <f t="shared" si="45"/>
        <v>42</v>
      </c>
      <c r="H751" s="864">
        <f t="shared" si="46"/>
        <v>2022</v>
      </c>
      <c r="I751" s="879">
        <f t="shared" si="47"/>
        <v>42</v>
      </c>
      <c r="J751" s="867" cm="1">
        <f t="array" ref="J751">INDEX($E:$E,MATCH($J$10,IF($B:$B=$B751,$I:$I),1))</f>
        <v>1605738</v>
      </c>
    </row>
    <row r="752" spans="2:10">
      <c r="B752" s="817" t="s">
        <v>2989</v>
      </c>
      <c r="C752" s="817" t="s">
        <v>6148</v>
      </c>
      <c r="D752" s="863">
        <v>44851</v>
      </c>
      <c r="E752" s="817">
        <v>1449214</v>
      </c>
      <c r="F752" s="864">
        <f t="shared" si="44"/>
        <v>10</v>
      </c>
      <c r="G752" s="864">
        <f t="shared" si="45"/>
        <v>43</v>
      </c>
      <c r="H752" s="864">
        <f t="shared" si="46"/>
        <v>2022</v>
      </c>
      <c r="I752" s="879">
        <f t="shared" si="47"/>
        <v>43</v>
      </c>
      <c r="J752" s="867" cm="1">
        <f t="array" ref="J752">INDEX($E:$E,MATCH($J$10,IF($B:$B=$B752,$I:$I),1))</f>
        <v>1605738</v>
      </c>
    </row>
    <row r="753" spans="2:10">
      <c r="B753" s="817" t="s">
        <v>2989</v>
      </c>
      <c r="C753" s="817" t="s">
        <v>6148</v>
      </c>
      <c r="D753" s="866">
        <v>44858</v>
      </c>
      <c r="E753" s="817">
        <v>1469032</v>
      </c>
      <c r="F753" s="864">
        <f t="shared" si="44"/>
        <v>10</v>
      </c>
      <c r="G753" s="864">
        <f t="shared" si="45"/>
        <v>44</v>
      </c>
      <c r="H753" s="864">
        <f t="shared" si="46"/>
        <v>2022</v>
      </c>
      <c r="I753" s="879">
        <f t="shared" si="47"/>
        <v>44</v>
      </c>
      <c r="J753" s="867" cm="1">
        <f t="array" ref="J753">INDEX($E:$E,MATCH($J$10,IF($B:$B=$B753,$I:$I),1))</f>
        <v>1605738</v>
      </c>
    </row>
    <row r="754" spans="2:10">
      <c r="B754" s="817" t="s">
        <v>2989</v>
      </c>
      <c r="C754" s="817" t="s">
        <v>6148</v>
      </c>
      <c r="D754" s="863">
        <v>44873</v>
      </c>
      <c r="E754" s="817">
        <v>1489155</v>
      </c>
      <c r="F754" s="864">
        <f t="shared" si="44"/>
        <v>11</v>
      </c>
      <c r="G754" s="864">
        <f t="shared" si="45"/>
        <v>46</v>
      </c>
      <c r="H754" s="864">
        <f t="shared" si="46"/>
        <v>2022</v>
      </c>
      <c r="I754" s="879">
        <f t="shared" si="47"/>
        <v>46</v>
      </c>
      <c r="J754" s="867" cm="1">
        <f t="array" ref="J754">INDEX($E:$E,MATCH($J$10,IF($B:$B=$B754,$I:$I),1))</f>
        <v>1605738</v>
      </c>
    </row>
    <row r="755" spans="2:10">
      <c r="B755" s="817" t="s">
        <v>2989</v>
      </c>
      <c r="C755" s="817" t="s">
        <v>6148</v>
      </c>
      <c r="D755" s="866">
        <v>44880</v>
      </c>
      <c r="E755" s="817">
        <v>1497849</v>
      </c>
      <c r="F755" s="864">
        <f t="shared" si="44"/>
        <v>11</v>
      </c>
      <c r="G755" s="864">
        <f t="shared" si="45"/>
        <v>47</v>
      </c>
      <c r="H755" s="864">
        <f t="shared" si="46"/>
        <v>2022</v>
      </c>
      <c r="I755" s="879">
        <f t="shared" si="47"/>
        <v>47</v>
      </c>
      <c r="J755" s="867" cm="1">
        <f t="array" ref="J755">INDEX($E:$E,MATCH($J$10,IF($B:$B=$B755,$I:$I),1))</f>
        <v>1605738</v>
      </c>
    </row>
    <row r="756" spans="2:10">
      <c r="B756" s="817" t="s">
        <v>2989</v>
      </c>
      <c r="C756" s="817" t="s">
        <v>6148</v>
      </c>
      <c r="D756" s="863">
        <v>44887</v>
      </c>
      <c r="E756" s="817">
        <v>1507893</v>
      </c>
      <c r="F756" s="864">
        <f t="shared" si="44"/>
        <v>11</v>
      </c>
      <c r="G756" s="864">
        <f t="shared" si="45"/>
        <v>48</v>
      </c>
      <c r="H756" s="864">
        <f t="shared" si="46"/>
        <v>2022</v>
      </c>
      <c r="I756" s="879">
        <f t="shared" si="47"/>
        <v>48</v>
      </c>
      <c r="J756" s="867" cm="1">
        <f t="array" ref="J756">INDEX($E:$E,MATCH($J$10,IF($B:$B=$B756,$I:$I),1))</f>
        <v>1605738</v>
      </c>
    </row>
    <row r="757" spans="2:10">
      <c r="B757" s="817" t="s">
        <v>2989</v>
      </c>
      <c r="C757" s="817" t="s">
        <v>6148</v>
      </c>
      <c r="D757" s="866">
        <v>44894</v>
      </c>
      <c r="E757" s="817">
        <v>1521085</v>
      </c>
      <c r="F757" s="864">
        <f t="shared" si="44"/>
        <v>11</v>
      </c>
      <c r="G757" s="864">
        <f t="shared" si="45"/>
        <v>49</v>
      </c>
      <c r="H757" s="864">
        <f t="shared" si="46"/>
        <v>2022</v>
      </c>
      <c r="I757" s="879">
        <f t="shared" si="47"/>
        <v>49</v>
      </c>
      <c r="J757" s="867" cm="1">
        <f t="array" ref="J757">INDEX($E:$E,MATCH($J$10,IF($B:$B=$B757,$I:$I),1))</f>
        <v>1605738</v>
      </c>
    </row>
    <row r="758" spans="2:10">
      <c r="B758" s="817" t="s">
        <v>2989</v>
      </c>
      <c r="C758" s="817" t="s">
        <v>6148</v>
      </c>
      <c r="D758" s="863">
        <v>44901</v>
      </c>
      <c r="E758" s="817">
        <v>1529355</v>
      </c>
      <c r="F758" s="864">
        <f t="shared" si="44"/>
        <v>12</v>
      </c>
      <c r="G758" s="864">
        <f t="shared" si="45"/>
        <v>50</v>
      </c>
      <c r="H758" s="864">
        <f t="shared" si="46"/>
        <v>2022</v>
      </c>
      <c r="I758" s="879">
        <f t="shared" si="47"/>
        <v>50</v>
      </c>
      <c r="J758" s="867" cm="1">
        <f t="array" ref="J758">INDEX($E:$E,MATCH($J$10,IF($B:$B=$B758,$I:$I),1))</f>
        <v>1605738</v>
      </c>
    </row>
    <row r="759" spans="2:10">
      <c r="B759" s="817" t="s">
        <v>2989</v>
      </c>
      <c r="C759" s="817" t="s">
        <v>6148</v>
      </c>
      <c r="D759" s="866">
        <v>44908</v>
      </c>
      <c r="E759" s="817">
        <v>1537826</v>
      </c>
      <c r="F759" s="864">
        <f t="shared" si="44"/>
        <v>12</v>
      </c>
      <c r="G759" s="864">
        <f t="shared" si="45"/>
        <v>51</v>
      </c>
      <c r="H759" s="864">
        <f t="shared" si="46"/>
        <v>2022</v>
      </c>
      <c r="I759" s="879">
        <f t="shared" si="47"/>
        <v>51</v>
      </c>
      <c r="J759" s="867" cm="1">
        <f t="array" ref="J759">INDEX($E:$E,MATCH($J$10,IF($B:$B=$B759,$I:$I),1))</f>
        <v>1605738</v>
      </c>
    </row>
    <row r="760" spans="2:10">
      <c r="B760" s="817" t="s">
        <v>2989</v>
      </c>
      <c r="C760" s="817" t="s">
        <v>6148</v>
      </c>
      <c r="D760" s="863">
        <v>44915</v>
      </c>
      <c r="E760" s="817">
        <v>1544074</v>
      </c>
      <c r="F760" s="864">
        <f t="shared" si="44"/>
        <v>12</v>
      </c>
      <c r="G760" s="864">
        <f t="shared" si="45"/>
        <v>52</v>
      </c>
      <c r="H760" s="864">
        <f t="shared" si="46"/>
        <v>2022</v>
      </c>
      <c r="I760" s="879">
        <f t="shared" si="47"/>
        <v>52</v>
      </c>
      <c r="J760" s="867" cm="1">
        <f t="array" ref="J760">INDEX($E:$E,MATCH($J$10,IF($B:$B=$B760,$I:$I),1))</f>
        <v>1605738</v>
      </c>
    </row>
    <row r="761" spans="2:10">
      <c r="B761" s="817" t="s">
        <v>2989</v>
      </c>
      <c r="C761" s="817" t="s">
        <v>6148</v>
      </c>
      <c r="D761" s="866">
        <v>44921</v>
      </c>
      <c r="E761" s="817">
        <v>1546354</v>
      </c>
      <c r="F761" s="864">
        <f t="shared" si="44"/>
        <v>12</v>
      </c>
      <c r="G761" s="864">
        <f t="shared" si="45"/>
        <v>53</v>
      </c>
      <c r="H761" s="864">
        <f t="shared" si="46"/>
        <v>2022</v>
      </c>
      <c r="I761" s="879">
        <f t="shared" si="47"/>
        <v>53</v>
      </c>
      <c r="J761" s="867" cm="1">
        <f t="array" ref="J761">INDEX($E:$E,MATCH($J$10,IF($B:$B=$B761,$I:$I),1))</f>
        <v>1605738</v>
      </c>
    </row>
    <row r="762" spans="2:10">
      <c r="B762" s="817" t="s">
        <v>2989</v>
      </c>
      <c r="C762" s="817" t="s">
        <v>6148</v>
      </c>
      <c r="D762" s="863">
        <v>44926</v>
      </c>
      <c r="E762" s="817">
        <v>1553707</v>
      </c>
      <c r="F762" s="864">
        <f t="shared" si="44"/>
        <v>12</v>
      </c>
      <c r="G762" s="864">
        <f t="shared" si="45"/>
        <v>53</v>
      </c>
      <c r="H762" s="864">
        <f t="shared" si="46"/>
        <v>2022</v>
      </c>
      <c r="I762" s="879">
        <f t="shared" si="47"/>
        <v>53</v>
      </c>
      <c r="J762" s="867" cm="1">
        <f t="array" ref="J762">INDEX($E:$E,MATCH($J$10,IF($B:$B=$B762,$I:$I),1))</f>
        <v>1605738</v>
      </c>
    </row>
    <row r="763" spans="2:10">
      <c r="B763" s="817" t="s">
        <v>2989</v>
      </c>
      <c r="C763" s="817" t="s">
        <v>6148</v>
      </c>
      <c r="D763" s="866">
        <v>44936</v>
      </c>
      <c r="E763" s="817">
        <v>1563386</v>
      </c>
      <c r="F763" s="864">
        <f t="shared" si="44"/>
        <v>1</v>
      </c>
      <c r="G763" s="864">
        <f t="shared" si="45"/>
        <v>2</v>
      </c>
      <c r="H763" s="864">
        <f t="shared" si="46"/>
        <v>2023</v>
      </c>
      <c r="I763" s="879">
        <f t="shared" si="47"/>
        <v>55</v>
      </c>
      <c r="J763" s="867" cm="1">
        <f t="array" ref="J763">INDEX($E:$E,MATCH($J$10,IF($B:$B=$B763,$I:$I),1))</f>
        <v>1605738</v>
      </c>
    </row>
    <row r="764" spans="2:10">
      <c r="B764" s="817" t="s">
        <v>2989</v>
      </c>
      <c r="C764" s="817" t="s">
        <v>6148</v>
      </c>
      <c r="D764" s="863">
        <v>44991</v>
      </c>
      <c r="E764" s="817">
        <v>1564711</v>
      </c>
      <c r="F764" s="864">
        <f t="shared" si="44"/>
        <v>3</v>
      </c>
      <c r="G764" s="864">
        <f t="shared" si="45"/>
        <v>10</v>
      </c>
      <c r="H764" s="864">
        <f t="shared" si="46"/>
        <v>2023</v>
      </c>
      <c r="I764" s="879">
        <f t="shared" si="47"/>
        <v>63</v>
      </c>
      <c r="J764" s="867" cm="1">
        <f t="array" ref="J764">INDEX($E:$E,MATCH($J$10,IF($B:$B=$B764,$I:$I),1))</f>
        <v>1605738</v>
      </c>
    </row>
    <row r="765" spans="2:10">
      <c r="B765" s="817" t="s">
        <v>2989</v>
      </c>
      <c r="C765" s="817" t="s">
        <v>6148</v>
      </c>
      <c r="D765" s="863">
        <v>45005</v>
      </c>
      <c r="E765" s="817">
        <v>1573267</v>
      </c>
      <c r="F765" s="864">
        <f t="shared" si="44"/>
        <v>3</v>
      </c>
      <c r="G765" s="864">
        <f t="shared" si="45"/>
        <v>12</v>
      </c>
      <c r="H765" s="864">
        <f t="shared" si="46"/>
        <v>2023</v>
      </c>
      <c r="I765" s="879">
        <f t="shared" si="47"/>
        <v>65</v>
      </c>
      <c r="J765" s="867" cm="1">
        <f t="array" ref="J765">INDEX($E:$E,MATCH($J$10,IF($B:$B=$B765,$I:$I),1))</f>
        <v>1605738</v>
      </c>
    </row>
    <row r="766" spans="2:10">
      <c r="B766" s="817" t="s">
        <v>2989</v>
      </c>
      <c r="C766" s="817" t="s">
        <v>6148</v>
      </c>
      <c r="D766" s="863">
        <v>45012</v>
      </c>
      <c r="E766" s="817">
        <v>1577289</v>
      </c>
      <c r="F766" s="864">
        <f t="shared" si="44"/>
        <v>3</v>
      </c>
      <c r="G766" s="864">
        <f t="shared" si="45"/>
        <v>13</v>
      </c>
      <c r="H766" s="864">
        <f t="shared" si="46"/>
        <v>2023</v>
      </c>
      <c r="I766" s="879">
        <f t="shared" si="47"/>
        <v>66</v>
      </c>
      <c r="J766" s="867" cm="1">
        <f t="array" ref="J766">INDEX($E:$E,MATCH($J$10,IF($B:$B=$B766,$I:$I),1))</f>
        <v>1605738</v>
      </c>
    </row>
    <row r="767" spans="2:10">
      <c r="B767" s="817" t="s">
        <v>2989</v>
      </c>
      <c r="C767" s="817" t="s">
        <v>6148</v>
      </c>
      <c r="D767" s="863">
        <v>45019</v>
      </c>
      <c r="E767" s="817">
        <v>1581148</v>
      </c>
      <c r="F767" s="864">
        <f t="shared" si="44"/>
        <v>4</v>
      </c>
      <c r="G767" s="864">
        <f t="shared" si="45"/>
        <v>14</v>
      </c>
      <c r="H767" s="864">
        <f t="shared" si="46"/>
        <v>2023</v>
      </c>
      <c r="I767" s="879">
        <f t="shared" si="47"/>
        <v>67</v>
      </c>
      <c r="J767" s="867" cm="1">
        <f t="array" ref="J767">INDEX($E:$E,MATCH($J$10,IF($B:$B=$B767,$I:$I),1))</f>
        <v>1605738</v>
      </c>
    </row>
    <row r="768" spans="2:10">
      <c r="B768" s="817" t="s">
        <v>2989</v>
      </c>
      <c r="C768" s="817" t="s">
        <v>6148</v>
      </c>
      <c r="D768" s="863">
        <v>45026</v>
      </c>
      <c r="E768" s="817">
        <v>1583563</v>
      </c>
      <c r="F768" s="864">
        <f t="shared" si="44"/>
        <v>4</v>
      </c>
      <c r="G768" s="864">
        <f t="shared" si="45"/>
        <v>15</v>
      </c>
      <c r="H768" s="864">
        <f t="shared" si="46"/>
        <v>2023</v>
      </c>
      <c r="I768" s="879">
        <f t="shared" si="47"/>
        <v>68</v>
      </c>
      <c r="J768" s="867" cm="1">
        <f t="array" ref="J768">INDEX($E:$E,MATCH($J$10,IF($B:$B=$B768,$I:$I),1))</f>
        <v>1605738</v>
      </c>
    </row>
    <row r="769" spans="2:10">
      <c r="B769" s="817" t="s">
        <v>2989</v>
      </c>
      <c r="C769" s="817" t="s">
        <v>6148</v>
      </c>
      <c r="D769" s="863">
        <v>45047</v>
      </c>
      <c r="E769" s="817">
        <v>1593860</v>
      </c>
      <c r="F769" s="864">
        <f t="shared" si="44"/>
        <v>5</v>
      </c>
      <c r="G769" s="864">
        <f t="shared" si="45"/>
        <v>18</v>
      </c>
      <c r="H769" s="864">
        <f t="shared" si="46"/>
        <v>2023</v>
      </c>
      <c r="I769" s="879">
        <f t="shared" si="47"/>
        <v>71</v>
      </c>
      <c r="J769" s="867" cm="1">
        <f t="array" ref="J769">INDEX($E:$E,MATCH($J$10,IF($B:$B=$B769,$I:$I),1))</f>
        <v>1605738</v>
      </c>
    </row>
    <row r="770" spans="2:10">
      <c r="B770" s="817" t="s">
        <v>2989</v>
      </c>
      <c r="C770" s="817" t="s">
        <v>6148</v>
      </c>
      <c r="D770" s="863">
        <v>45061</v>
      </c>
      <c r="E770" s="817">
        <v>1602062</v>
      </c>
      <c r="F770" s="864">
        <f t="shared" si="44"/>
        <v>5</v>
      </c>
      <c r="G770" s="864">
        <f t="shared" si="45"/>
        <v>20</v>
      </c>
      <c r="H770" s="864">
        <f t="shared" si="46"/>
        <v>2023</v>
      </c>
      <c r="I770" s="879">
        <f t="shared" si="47"/>
        <v>73</v>
      </c>
      <c r="J770" s="867" cm="1">
        <f t="array" ref="J770">INDEX($E:$E,MATCH($J$10,IF($B:$B=$B770,$I:$I),1))</f>
        <v>1605738</v>
      </c>
    </row>
    <row r="771" spans="2:10">
      <c r="B771" s="817" t="s">
        <v>2989</v>
      </c>
      <c r="C771" s="817" t="s">
        <v>6148</v>
      </c>
      <c r="D771" s="863">
        <v>45068</v>
      </c>
      <c r="E771" s="817">
        <v>1605738</v>
      </c>
      <c r="F771" s="864">
        <f t="shared" si="44"/>
        <v>5</v>
      </c>
      <c r="G771" s="864">
        <f t="shared" si="45"/>
        <v>21</v>
      </c>
      <c r="H771" s="864">
        <f t="shared" si="46"/>
        <v>2023</v>
      </c>
      <c r="I771" s="879">
        <f t="shared" si="47"/>
        <v>74</v>
      </c>
      <c r="J771" s="867" cm="1">
        <f t="array" ref="J771">INDEX($E:$E,MATCH($J$10,IF($B:$B=$B771,$I:$I),1))</f>
        <v>1605738</v>
      </c>
    </row>
    <row r="772" spans="2:10">
      <c r="B772" s="817" t="s">
        <v>2989</v>
      </c>
      <c r="C772" s="817" t="s">
        <v>6148</v>
      </c>
      <c r="D772" s="863">
        <v>45082</v>
      </c>
      <c r="E772" s="817">
        <v>992669</v>
      </c>
      <c r="F772" s="864">
        <f t="shared" si="44"/>
        <v>6</v>
      </c>
      <c r="G772" s="864">
        <f t="shared" si="45"/>
        <v>23</v>
      </c>
      <c r="H772" s="864">
        <f t="shared" si="46"/>
        <v>2023</v>
      </c>
      <c r="I772" s="879">
        <f t="shared" si="47"/>
        <v>76</v>
      </c>
      <c r="J772" s="867" cm="1">
        <f t="array" ref="J772">INDEX($E:$E,MATCH($J$10,IF($B:$B=$B772,$I:$I),1))</f>
        <v>1605738</v>
      </c>
    </row>
    <row r="773" spans="2:10">
      <c r="B773" s="817" t="s">
        <v>3079</v>
      </c>
      <c r="C773" s="817" t="s">
        <v>6149</v>
      </c>
      <c r="D773" s="866">
        <v>44712</v>
      </c>
      <c r="E773" s="817">
        <v>39884</v>
      </c>
      <c r="F773" s="864">
        <f t="shared" si="44"/>
        <v>5</v>
      </c>
      <c r="G773" s="864">
        <f t="shared" si="45"/>
        <v>23</v>
      </c>
      <c r="H773" s="864">
        <f t="shared" si="46"/>
        <v>2022</v>
      </c>
      <c r="I773" s="879">
        <f t="shared" si="47"/>
        <v>23</v>
      </c>
      <c r="J773" s="867" cm="1">
        <f t="array" ref="J773">INDEX($E:$E,MATCH($J$10,IF($B:$B=$B773,$I:$I),1))</f>
        <v>58242</v>
      </c>
    </row>
    <row r="774" spans="2:10">
      <c r="B774" s="817" t="s">
        <v>3079</v>
      </c>
      <c r="C774" s="817" t="s">
        <v>6149</v>
      </c>
      <c r="D774" s="863">
        <v>44719</v>
      </c>
      <c r="E774" s="817">
        <v>41546</v>
      </c>
      <c r="F774" s="864">
        <f t="shared" si="44"/>
        <v>6</v>
      </c>
      <c r="G774" s="864">
        <f t="shared" si="45"/>
        <v>24</v>
      </c>
      <c r="H774" s="864">
        <f t="shared" si="46"/>
        <v>2022</v>
      </c>
      <c r="I774" s="879">
        <f t="shared" si="47"/>
        <v>24</v>
      </c>
      <c r="J774" s="867" cm="1">
        <f t="array" ref="J774">INDEX($E:$E,MATCH($J$10,IF($B:$B=$B774,$I:$I),1))</f>
        <v>58242</v>
      </c>
    </row>
    <row r="775" spans="2:10">
      <c r="B775" s="817" t="s">
        <v>3079</v>
      </c>
      <c r="C775" s="817" t="s">
        <v>6149</v>
      </c>
      <c r="D775" s="866">
        <v>44726</v>
      </c>
      <c r="E775" s="817">
        <v>42246</v>
      </c>
      <c r="F775" s="864">
        <f t="shared" si="44"/>
        <v>6</v>
      </c>
      <c r="G775" s="864">
        <f t="shared" si="45"/>
        <v>25</v>
      </c>
      <c r="H775" s="864">
        <f t="shared" si="46"/>
        <v>2022</v>
      </c>
      <c r="I775" s="879">
        <f t="shared" si="47"/>
        <v>25</v>
      </c>
      <c r="J775" s="867" cm="1">
        <f t="array" ref="J775">INDEX($E:$E,MATCH($J$10,IF($B:$B=$B775,$I:$I),1))</f>
        <v>58242</v>
      </c>
    </row>
    <row r="776" spans="2:10">
      <c r="B776" s="817" t="s">
        <v>3079</v>
      </c>
      <c r="C776" s="817" t="s">
        <v>6149</v>
      </c>
      <c r="D776" s="863">
        <v>44733</v>
      </c>
      <c r="E776" s="817">
        <v>44033</v>
      </c>
      <c r="F776" s="864">
        <f t="shared" si="44"/>
        <v>6</v>
      </c>
      <c r="G776" s="864">
        <f t="shared" si="45"/>
        <v>26</v>
      </c>
      <c r="H776" s="864">
        <f t="shared" si="46"/>
        <v>2022</v>
      </c>
      <c r="I776" s="879">
        <f t="shared" si="47"/>
        <v>26</v>
      </c>
      <c r="J776" s="867" cm="1">
        <f t="array" ref="J776">INDEX($E:$E,MATCH($J$10,IF($B:$B=$B776,$I:$I),1))</f>
        <v>58242</v>
      </c>
    </row>
    <row r="777" spans="2:10">
      <c r="B777" s="817" t="s">
        <v>3079</v>
      </c>
      <c r="C777" s="817" t="s">
        <v>6149</v>
      </c>
      <c r="D777" s="866">
        <v>44740</v>
      </c>
      <c r="E777" s="817">
        <v>45714</v>
      </c>
      <c r="F777" s="864">
        <f t="shared" si="44"/>
        <v>6</v>
      </c>
      <c r="G777" s="864">
        <f t="shared" si="45"/>
        <v>27</v>
      </c>
      <c r="H777" s="864">
        <f t="shared" si="46"/>
        <v>2022</v>
      </c>
      <c r="I777" s="879">
        <f t="shared" si="47"/>
        <v>27</v>
      </c>
      <c r="J777" s="867" cm="1">
        <f t="array" ref="J777">INDEX($E:$E,MATCH($J$10,IF($B:$B=$B777,$I:$I),1))</f>
        <v>58242</v>
      </c>
    </row>
    <row r="778" spans="2:10">
      <c r="B778" s="817" t="s">
        <v>3079</v>
      </c>
      <c r="C778" s="817" t="s">
        <v>6149</v>
      </c>
      <c r="D778" s="863">
        <v>44747</v>
      </c>
      <c r="E778" s="817">
        <v>46579</v>
      </c>
      <c r="F778" s="864">
        <f t="shared" si="44"/>
        <v>7</v>
      </c>
      <c r="G778" s="864">
        <f t="shared" si="45"/>
        <v>28</v>
      </c>
      <c r="H778" s="864">
        <f t="shared" si="46"/>
        <v>2022</v>
      </c>
      <c r="I778" s="879">
        <f t="shared" si="47"/>
        <v>28</v>
      </c>
      <c r="J778" s="867" cm="1">
        <f t="array" ref="J778">INDEX($E:$E,MATCH($J$10,IF($B:$B=$B778,$I:$I),1))</f>
        <v>58242</v>
      </c>
    </row>
    <row r="779" spans="2:10">
      <c r="B779" s="817" t="s">
        <v>3079</v>
      </c>
      <c r="C779" s="817" t="s">
        <v>6149</v>
      </c>
      <c r="D779" s="866">
        <v>44754</v>
      </c>
      <c r="E779" s="817">
        <v>47069</v>
      </c>
      <c r="F779" s="864">
        <f t="shared" si="44"/>
        <v>7</v>
      </c>
      <c r="G779" s="864">
        <f t="shared" si="45"/>
        <v>29</v>
      </c>
      <c r="H779" s="864">
        <f t="shared" si="46"/>
        <v>2022</v>
      </c>
      <c r="I779" s="879">
        <f t="shared" si="47"/>
        <v>29</v>
      </c>
      <c r="J779" s="867" cm="1">
        <f t="array" ref="J779">INDEX($E:$E,MATCH($J$10,IF($B:$B=$B779,$I:$I),1))</f>
        <v>58242</v>
      </c>
    </row>
    <row r="780" spans="2:10">
      <c r="B780" s="817" t="s">
        <v>3079</v>
      </c>
      <c r="C780" s="817" t="s">
        <v>6149</v>
      </c>
      <c r="D780" s="863">
        <v>44761</v>
      </c>
      <c r="E780" s="817">
        <v>47847</v>
      </c>
      <c r="F780" s="864">
        <f t="shared" ref="F780:F843" si="48">MONTH(D780)</f>
        <v>7</v>
      </c>
      <c r="G780" s="864">
        <f t="shared" ref="G780:G843" si="49">WEEKNUM(D780)</f>
        <v>30</v>
      </c>
      <c r="H780" s="864">
        <f t="shared" ref="H780:H843" si="50">YEAR(D780)</f>
        <v>2022</v>
      </c>
      <c r="I780" s="879">
        <f t="shared" ref="I780:I843" si="51">(H780-2022)*53+G780</f>
        <v>30</v>
      </c>
      <c r="J780" s="867" cm="1">
        <f t="array" ref="J780">INDEX($E:$E,MATCH($J$10,IF($B:$B=$B780,$I:$I),1))</f>
        <v>58242</v>
      </c>
    </row>
    <row r="781" spans="2:10">
      <c r="B781" s="817" t="s">
        <v>3079</v>
      </c>
      <c r="C781" s="817" t="s">
        <v>6149</v>
      </c>
      <c r="D781" s="866">
        <v>44783</v>
      </c>
      <c r="E781" s="817">
        <v>49718</v>
      </c>
      <c r="F781" s="864">
        <f t="shared" si="48"/>
        <v>8</v>
      </c>
      <c r="G781" s="864">
        <f t="shared" si="49"/>
        <v>33</v>
      </c>
      <c r="H781" s="864">
        <f t="shared" si="50"/>
        <v>2022</v>
      </c>
      <c r="I781" s="879">
        <f t="shared" si="51"/>
        <v>33</v>
      </c>
      <c r="J781" s="867" cm="1">
        <f t="array" ref="J781">INDEX($E:$E,MATCH($J$10,IF($B:$B=$B781,$I:$I),1))</f>
        <v>58242</v>
      </c>
    </row>
    <row r="782" spans="2:10">
      <c r="B782" s="817" t="s">
        <v>3079</v>
      </c>
      <c r="C782" s="817" t="s">
        <v>6149</v>
      </c>
      <c r="D782" s="863">
        <v>44830</v>
      </c>
      <c r="E782" s="817">
        <v>52819</v>
      </c>
      <c r="F782" s="864">
        <f t="shared" si="48"/>
        <v>9</v>
      </c>
      <c r="G782" s="864">
        <f t="shared" si="49"/>
        <v>40</v>
      </c>
      <c r="H782" s="864">
        <f t="shared" si="50"/>
        <v>2022</v>
      </c>
      <c r="I782" s="879">
        <f t="shared" si="51"/>
        <v>40</v>
      </c>
      <c r="J782" s="867" cm="1">
        <f t="array" ref="J782">INDEX($E:$E,MATCH($J$10,IF($B:$B=$B782,$I:$I),1))</f>
        <v>58242</v>
      </c>
    </row>
    <row r="783" spans="2:10">
      <c r="B783" s="817" t="s">
        <v>3079</v>
      </c>
      <c r="C783" s="817" t="s">
        <v>6149</v>
      </c>
      <c r="D783" s="866">
        <v>44837</v>
      </c>
      <c r="E783" s="817">
        <v>52970</v>
      </c>
      <c r="F783" s="864">
        <f t="shared" si="48"/>
        <v>10</v>
      </c>
      <c r="G783" s="864">
        <f t="shared" si="49"/>
        <v>41</v>
      </c>
      <c r="H783" s="864">
        <f t="shared" si="50"/>
        <v>2022</v>
      </c>
      <c r="I783" s="879">
        <f t="shared" si="51"/>
        <v>41</v>
      </c>
      <c r="J783" s="867" cm="1">
        <f t="array" ref="J783">INDEX($E:$E,MATCH($J$10,IF($B:$B=$B783,$I:$I),1))</f>
        <v>58242</v>
      </c>
    </row>
    <row r="784" spans="2:10">
      <c r="B784" s="817" t="s">
        <v>3079</v>
      </c>
      <c r="C784" s="817" t="s">
        <v>6149</v>
      </c>
      <c r="D784" s="863">
        <v>44915</v>
      </c>
      <c r="E784" s="817">
        <v>56236</v>
      </c>
      <c r="F784" s="864">
        <f t="shared" si="48"/>
        <v>12</v>
      </c>
      <c r="G784" s="864">
        <f t="shared" si="49"/>
        <v>52</v>
      </c>
      <c r="H784" s="864">
        <f t="shared" si="50"/>
        <v>2022</v>
      </c>
      <c r="I784" s="879">
        <f t="shared" si="51"/>
        <v>52</v>
      </c>
      <c r="J784" s="867" cm="1">
        <f t="array" ref="J784">INDEX($E:$E,MATCH($J$10,IF($B:$B=$B784,$I:$I),1))</f>
        <v>58242</v>
      </c>
    </row>
    <row r="785" spans="2:10">
      <c r="B785" s="817" t="s">
        <v>3079</v>
      </c>
      <c r="C785" s="817" t="s">
        <v>6149</v>
      </c>
      <c r="D785" s="866">
        <v>44936</v>
      </c>
      <c r="E785" s="817">
        <v>56904</v>
      </c>
      <c r="F785" s="864">
        <f t="shared" si="48"/>
        <v>1</v>
      </c>
      <c r="G785" s="864">
        <f t="shared" si="49"/>
        <v>2</v>
      </c>
      <c r="H785" s="864">
        <f t="shared" si="50"/>
        <v>2023</v>
      </c>
      <c r="I785" s="879">
        <f t="shared" si="51"/>
        <v>55</v>
      </c>
      <c r="J785" s="867" cm="1">
        <f t="array" ref="J785">INDEX($E:$E,MATCH($J$10,IF($B:$B=$B785,$I:$I),1))</f>
        <v>58242</v>
      </c>
    </row>
    <row r="786" spans="2:10">
      <c r="B786" s="817" t="s">
        <v>3079</v>
      </c>
      <c r="C786" s="817" t="s">
        <v>6149</v>
      </c>
      <c r="D786" s="863">
        <v>44943</v>
      </c>
      <c r="E786" s="817">
        <v>57109</v>
      </c>
      <c r="F786" s="864">
        <f t="shared" si="48"/>
        <v>1</v>
      </c>
      <c r="G786" s="864">
        <f t="shared" si="49"/>
        <v>3</v>
      </c>
      <c r="H786" s="864">
        <f t="shared" si="50"/>
        <v>2023</v>
      </c>
      <c r="I786" s="879">
        <f t="shared" si="51"/>
        <v>56</v>
      </c>
      <c r="J786" s="867" cm="1">
        <f t="array" ref="J786">INDEX($E:$E,MATCH($J$10,IF($B:$B=$B786,$I:$I),1))</f>
        <v>58242</v>
      </c>
    </row>
    <row r="787" spans="2:10">
      <c r="B787" s="817" t="s">
        <v>3079</v>
      </c>
      <c r="C787" s="817" t="s">
        <v>6149</v>
      </c>
      <c r="D787" s="866">
        <v>44969</v>
      </c>
      <c r="E787" s="817">
        <v>57859</v>
      </c>
      <c r="F787" s="864">
        <f t="shared" si="48"/>
        <v>2</v>
      </c>
      <c r="G787" s="864">
        <f t="shared" si="49"/>
        <v>7</v>
      </c>
      <c r="H787" s="864">
        <f t="shared" si="50"/>
        <v>2023</v>
      </c>
      <c r="I787" s="879">
        <f t="shared" si="51"/>
        <v>60</v>
      </c>
      <c r="J787" s="867" cm="1">
        <f t="array" ref="J787">INDEX($E:$E,MATCH($J$10,IF($B:$B=$B787,$I:$I),1))</f>
        <v>58242</v>
      </c>
    </row>
    <row r="788" spans="2:10">
      <c r="B788" s="817" t="s">
        <v>3079</v>
      </c>
      <c r="C788" s="817" t="s">
        <v>6149</v>
      </c>
      <c r="D788" s="863">
        <v>44976</v>
      </c>
      <c r="E788" s="817">
        <v>58043</v>
      </c>
      <c r="F788" s="864">
        <f t="shared" si="48"/>
        <v>2</v>
      </c>
      <c r="G788" s="864">
        <f t="shared" si="49"/>
        <v>8</v>
      </c>
      <c r="H788" s="864">
        <f t="shared" si="50"/>
        <v>2023</v>
      </c>
      <c r="I788" s="879">
        <f t="shared" si="51"/>
        <v>61</v>
      </c>
      <c r="J788" s="867" cm="1">
        <f t="array" ref="J788">INDEX($E:$E,MATCH($J$10,IF($B:$B=$B788,$I:$I),1))</f>
        <v>58242</v>
      </c>
    </row>
    <row r="789" spans="2:10">
      <c r="B789" s="817" t="s">
        <v>3079</v>
      </c>
      <c r="C789" s="817" t="s">
        <v>6149</v>
      </c>
      <c r="D789" s="866">
        <v>44983</v>
      </c>
      <c r="E789" s="817">
        <v>58242</v>
      </c>
      <c r="F789" s="864">
        <f t="shared" si="48"/>
        <v>2</v>
      </c>
      <c r="G789" s="864">
        <f t="shared" si="49"/>
        <v>9</v>
      </c>
      <c r="H789" s="864">
        <f t="shared" si="50"/>
        <v>2023</v>
      </c>
      <c r="I789" s="879">
        <f t="shared" si="51"/>
        <v>62</v>
      </c>
      <c r="J789" s="867" cm="1">
        <f t="array" ref="J789">INDEX($E:$E,MATCH($J$10,IF($B:$B=$B789,$I:$I),1))</f>
        <v>58242</v>
      </c>
    </row>
    <row r="790" spans="2:10">
      <c r="B790" s="817" t="s">
        <v>3079</v>
      </c>
      <c r="C790" s="817" t="s">
        <v>6149</v>
      </c>
      <c r="D790" s="863">
        <v>45081</v>
      </c>
      <c r="E790" s="817">
        <v>56993</v>
      </c>
      <c r="F790" s="864">
        <f t="shared" si="48"/>
        <v>6</v>
      </c>
      <c r="G790" s="864">
        <f t="shared" si="49"/>
        <v>23</v>
      </c>
      <c r="H790" s="864">
        <f t="shared" si="50"/>
        <v>2023</v>
      </c>
      <c r="I790" s="879">
        <f t="shared" si="51"/>
        <v>76</v>
      </c>
      <c r="J790" s="867" cm="1">
        <f t="array" ref="J790">INDEX($E:$E,MATCH($J$10,IF($B:$B=$B790,$I:$I),1))</f>
        <v>58242</v>
      </c>
    </row>
    <row r="791" spans="2:10">
      <c r="B791" s="817" t="s">
        <v>3214</v>
      </c>
      <c r="C791" s="817" t="s">
        <v>6150</v>
      </c>
      <c r="D791" s="863">
        <v>44713</v>
      </c>
      <c r="E791" s="817">
        <v>84470</v>
      </c>
      <c r="F791" s="864">
        <f t="shared" si="48"/>
        <v>6</v>
      </c>
      <c r="G791" s="864">
        <f t="shared" si="49"/>
        <v>23</v>
      </c>
      <c r="H791" s="864">
        <f t="shared" si="50"/>
        <v>2022</v>
      </c>
      <c r="I791" s="879">
        <f t="shared" si="51"/>
        <v>23</v>
      </c>
      <c r="J791" s="867" cm="1">
        <f t="array" ref="J791">INDEX($E:$E,MATCH($J$10,IF($B:$B=$B791,$I:$I),1))</f>
        <v>94179</v>
      </c>
    </row>
    <row r="792" spans="2:10">
      <c r="B792" s="817" t="s">
        <v>3214</v>
      </c>
      <c r="C792" s="817" t="s">
        <v>6150</v>
      </c>
      <c r="D792" s="866">
        <v>44717</v>
      </c>
      <c r="E792" s="817">
        <v>82344</v>
      </c>
      <c r="F792" s="864">
        <f t="shared" si="48"/>
        <v>6</v>
      </c>
      <c r="G792" s="864">
        <f t="shared" si="49"/>
        <v>24</v>
      </c>
      <c r="H792" s="864">
        <f t="shared" si="50"/>
        <v>2022</v>
      </c>
      <c r="I792" s="879">
        <f t="shared" si="51"/>
        <v>24</v>
      </c>
      <c r="J792" s="867" cm="1">
        <f t="array" ref="J792">INDEX($E:$E,MATCH($J$10,IF($B:$B=$B792,$I:$I),1))</f>
        <v>94179</v>
      </c>
    </row>
    <row r="793" spans="2:10">
      <c r="B793" s="817" t="s">
        <v>3214</v>
      </c>
      <c r="C793" s="817" t="s">
        <v>6150</v>
      </c>
      <c r="D793" s="863">
        <v>44718</v>
      </c>
      <c r="E793" s="817">
        <v>82179</v>
      </c>
      <c r="F793" s="864">
        <f t="shared" si="48"/>
        <v>6</v>
      </c>
      <c r="G793" s="864">
        <f t="shared" si="49"/>
        <v>24</v>
      </c>
      <c r="H793" s="864">
        <f t="shared" si="50"/>
        <v>2022</v>
      </c>
      <c r="I793" s="879">
        <f t="shared" si="51"/>
        <v>24</v>
      </c>
      <c r="J793" s="867" cm="1">
        <f t="array" ref="J793">INDEX($E:$E,MATCH($J$10,IF($B:$B=$B793,$I:$I),1))</f>
        <v>94179</v>
      </c>
    </row>
    <row r="794" spans="2:10">
      <c r="B794" s="817" t="s">
        <v>3214</v>
      </c>
      <c r="C794" s="817" t="s">
        <v>6150</v>
      </c>
      <c r="D794" s="866">
        <v>44719</v>
      </c>
      <c r="E794" s="817">
        <v>82315</v>
      </c>
      <c r="F794" s="864">
        <f t="shared" si="48"/>
        <v>6</v>
      </c>
      <c r="G794" s="864">
        <f t="shared" si="49"/>
        <v>24</v>
      </c>
      <c r="H794" s="864">
        <f t="shared" si="50"/>
        <v>2022</v>
      </c>
      <c r="I794" s="879">
        <f t="shared" si="51"/>
        <v>24</v>
      </c>
      <c r="J794" s="867" cm="1">
        <f t="array" ref="J794">INDEX($E:$E,MATCH($J$10,IF($B:$B=$B794,$I:$I),1))</f>
        <v>94179</v>
      </c>
    </row>
    <row r="795" spans="2:10">
      <c r="B795" s="817" t="s">
        <v>3214</v>
      </c>
      <c r="C795" s="817" t="s">
        <v>6150</v>
      </c>
      <c r="D795" s="863">
        <v>44720</v>
      </c>
      <c r="E795" s="817">
        <v>82315</v>
      </c>
      <c r="F795" s="864">
        <f t="shared" si="48"/>
        <v>6</v>
      </c>
      <c r="G795" s="864">
        <f t="shared" si="49"/>
        <v>24</v>
      </c>
      <c r="H795" s="864">
        <f t="shared" si="50"/>
        <v>2022</v>
      </c>
      <c r="I795" s="879">
        <f t="shared" si="51"/>
        <v>24</v>
      </c>
      <c r="J795" s="867" cm="1">
        <f t="array" ref="J795">INDEX($E:$E,MATCH($J$10,IF($B:$B=$B795,$I:$I),1))</f>
        <v>94179</v>
      </c>
    </row>
    <row r="796" spans="2:10">
      <c r="B796" s="817" t="s">
        <v>3214</v>
      </c>
      <c r="C796" s="817" t="s">
        <v>6150</v>
      </c>
      <c r="D796" s="866">
        <v>44721</v>
      </c>
      <c r="E796" s="817">
        <v>89784</v>
      </c>
      <c r="F796" s="864">
        <f t="shared" si="48"/>
        <v>6</v>
      </c>
      <c r="G796" s="864">
        <f t="shared" si="49"/>
        <v>24</v>
      </c>
      <c r="H796" s="864">
        <f t="shared" si="50"/>
        <v>2022</v>
      </c>
      <c r="I796" s="879">
        <f t="shared" si="51"/>
        <v>24</v>
      </c>
      <c r="J796" s="867" cm="1">
        <f t="array" ref="J796">INDEX($E:$E,MATCH($J$10,IF($B:$B=$B796,$I:$I),1))</f>
        <v>94179</v>
      </c>
    </row>
    <row r="797" spans="2:10">
      <c r="B797" s="817" t="s">
        <v>3214</v>
      </c>
      <c r="C797" s="817" t="s">
        <v>6150</v>
      </c>
      <c r="D797" s="863">
        <v>44725</v>
      </c>
      <c r="E797" s="817">
        <v>88438</v>
      </c>
      <c r="F797" s="864">
        <f t="shared" si="48"/>
        <v>6</v>
      </c>
      <c r="G797" s="864">
        <f t="shared" si="49"/>
        <v>25</v>
      </c>
      <c r="H797" s="864">
        <f t="shared" si="50"/>
        <v>2022</v>
      </c>
      <c r="I797" s="879">
        <f t="shared" si="51"/>
        <v>25</v>
      </c>
      <c r="J797" s="867" cm="1">
        <f t="array" ref="J797">INDEX($E:$E,MATCH($J$10,IF($B:$B=$B797,$I:$I),1))</f>
        <v>94179</v>
      </c>
    </row>
    <row r="798" spans="2:10">
      <c r="B798" s="817" t="s">
        <v>3214</v>
      </c>
      <c r="C798" s="817" t="s">
        <v>6150</v>
      </c>
      <c r="D798" s="866">
        <v>44726</v>
      </c>
      <c r="E798" s="817">
        <v>89382</v>
      </c>
      <c r="F798" s="864">
        <f t="shared" si="48"/>
        <v>6</v>
      </c>
      <c r="G798" s="864">
        <f t="shared" si="49"/>
        <v>25</v>
      </c>
      <c r="H798" s="864">
        <f t="shared" si="50"/>
        <v>2022</v>
      </c>
      <c r="I798" s="879">
        <f t="shared" si="51"/>
        <v>25</v>
      </c>
      <c r="J798" s="867" cm="1">
        <f t="array" ref="J798">INDEX($E:$E,MATCH($J$10,IF($B:$B=$B798,$I:$I),1))</f>
        <v>94179</v>
      </c>
    </row>
    <row r="799" spans="2:10">
      <c r="B799" s="817" t="s">
        <v>3214</v>
      </c>
      <c r="C799" s="817" t="s">
        <v>6150</v>
      </c>
      <c r="D799" s="863">
        <v>44727</v>
      </c>
      <c r="E799" s="817">
        <v>90297</v>
      </c>
      <c r="F799" s="864">
        <f t="shared" si="48"/>
        <v>6</v>
      </c>
      <c r="G799" s="864">
        <f t="shared" si="49"/>
        <v>25</v>
      </c>
      <c r="H799" s="864">
        <f t="shared" si="50"/>
        <v>2022</v>
      </c>
      <c r="I799" s="879">
        <f t="shared" si="51"/>
        <v>25</v>
      </c>
      <c r="J799" s="867" cm="1">
        <f t="array" ref="J799">INDEX($E:$E,MATCH($J$10,IF($B:$B=$B799,$I:$I),1))</f>
        <v>94179</v>
      </c>
    </row>
    <row r="800" spans="2:10">
      <c r="B800" s="817" t="s">
        <v>3214</v>
      </c>
      <c r="C800" s="817" t="s">
        <v>6150</v>
      </c>
      <c r="D800" s="866">
        <v>44732</v>
      </c>
      <c r="E800" s="817">
        <v>82733</v>
      </c>
      <c r="F800" s="864">
        <f t="shared" si="48"/>
        <v>6</v>
      </c>
      <c r="G800" s="864">
        <f t="shared" si="49"/>
        <v>26</v>
      </c>
      <c r="H800" s="864">
        <f t="shared" si="50"/>
        <v>2022</v>
      </c>
      <c r="I800" s="879">
        <f t="shared" si="51"/>
        <v>26</v>
      </c>
      <c r="J800" s="867" cm="1">
        <f t="array" ref="J800">INDEX($E:$E,MATCH($J$10,IF($B:$B=$B800,$I:$I),1))</f>
        <v>94179</v>
      </c>
    </row>
    <row r="801" spans="2:10">
      <c r="B801" s="817" t="s">
        <v>3214</v>
      </c>
      <c r="C801" s="817" t="s">
        <v>6150</v>
      </c>
      <c r="D801" s="863">
        <v>44739</v>
      </c>
      <c r="E801" s="817">
        <v>83321</v>
      </c>
      <c r="F801" s="864">
        <f t="shared" si="48"/>
        <v>6</v>
      </c>
      <c r="G801" s="864">
        <f t="shared" si="49"/>
        <v>27</v>
      </c>
      <c r="H801" s="864">
        <f t="shared" si="50"/>
        <v>2022</v>
      </c>
      <c r="I801" s="879">
        <f t="shared" si="51"/>
        <v>27</v>
      </c>
      <c r="J801" s="867" cm="1">
        <f t="array" ref="J801">INDEX($E:$E,MATCH($J$10,IF($B:$B=$B801,$I:$I),1))</f>
        <v>94179</v>
      </c>
    </row>
    <row r="802" spans="2:10">
      <c r="B802" s="817" t="s">
        <v>3214</v>
      </c>
      <c r="C802" s="817" t="s">
        <v>6150</v>
      </c>
      <c r="D802" s="866">
        <v>44746</v>
      </c>
      <c r="E802" s="817">
        <v>83704</v>
      </c>
      <c r="F802" s="864">
        <f t="shared" si="48"/>
        <v>7</v>
      </c>
      <c r="G802" s="864">
        <f t="shared" si="49"/>
        <v>28</v>
      </c>
      <c r="H802" s="864">
        <f t="shared" si="50"/>
        <v>2022</v>
      </c>
      <c r="I802" s="879">
        <f t="shared" si="51"/>
        <v>28</v>
      </c>
      <c r="J802" s="867" cm="1">
        <f t="array" ref="J802">INDEX($E:$E,MATCH($J$10,IF($B:$B=$B802,$I:$I),1))</f>
        <v>94179</v>
      </c>
    </row>
    <row r="803" spans="2:10">
      <c r="B803" s="817" t="s">
        <v>3214</v>
      </c>
      <c r="C803" s="817" t="s">
        <v>6150</v>
      </c>
      <c r="D803" s="863">
        <v>44753</v>
      </c>
      <c r="E803" s="817">
        <v>84393</v>
      </c>
      <c r="F803" s="864">
        <f t="shared" si="48"/>
        <v>7</v>
      </c>
      <c r="G803" s="864">
        <f t="shared" si="49"/>
        <v>29</v>
      </c>
      <c r="H803" s="864">
        <f t="shared" si="50"/>
        <v>2022</v>
      </c>
      <c r="I803" s="879">
        <f t="shared" si="51"/>
        <v>29</v>
      </c>
      <c r="J803" s="867" cm="1">
        <f t="array" ref="J803">INDEX($E:$E,MATCH($J$10,IF($B:$B=$B803,$I:$I),1))</f>
        <v>94179</v>
      </c>
    </row>
    <row r="804" spans="2:10">
      <c r="B804" s="817" t="s">
        <v>3214</v>
      </c>
      <c r="C804" s="817" t="s">
        <v>6150</v>
      </c>
      <c r="D804" s="866">
        <v>44759</v>
      </c>
      <c r="E804" s="817">
        <v>84527</v>
      </c>
      <c r="F804" s="864">
        <f t="shared" si="48"/>
        <v>7</v>
      </c>
      <c r="G804" s="864">
        <f t="shared" si="49"/>
        <v>30</v>
      </c>
      <c r="H804" s="864">
        <f t="shared" si="50"/>
        <v>2022</v>
      </c>
      <c r="I804" s="879">
        <f t="shared" si="51"/>
        <v>30</v>
      </c>
      <c r="J804" s="867" cm="1">
        <f t="array" ref="J804">INDEX($E:$E,MATCH($J$10,IF($B:$B=$B804,$I:$I),1))</f>
        <v>94179</v>
      </c>
    </row>
    <row r="805" spans="2:10">
      <c r="B805" s="817" t="s">
        <v>3214</v>
      </c>
      <c r="C805" s="817" t="s">
        <v>6150</v>
      </c>
      <c r="D805" s="863">
        <v>44766</v>
      </c>
      <c r="E805" s="817">
        <v>84384</v>
      </c>
      <c r="F805" s="864">
        <f t="shared" si="48"/>
        <v>7</v>
      </c>
      <c r="G805" s="864">
        <f t="shared" si="49"/>
        <v>31</v>
      </c>
      <c r="H805" s="864">
        <f t="shared" si="50"/>
        <v>2022</v>
      </c>
      <c r="I805" s="879">
        <f t="shared" si="51"/>
        <v>31</v>
      </c>
      <c r="J805" s="867" cm="1">
        <f t="array" ref="J805">INDEX($E:$E,MATCH($J$10,IF($B:$B=$B805,$I:$I),1))</f>
        <v>94179</v>
      </c>
    </row>
    <row r="806" spans="2:10">
      <c r="B806" s="817" t="s">
        <v>3214</v>
      </c>
      <c r="C806" s="817" t="s">
        <v>6150</v>
      </c>
      <c r="D806" s="866">
        <v>44773</v>
      </c>
      <c r="E806" s="817">
        <v>84357</v>
      </c>
      <c r="F806" s="864">
        <f t="shared" si="48"/>
        <v>7</v>
      </c>
      <c r="G806" s="864">
        <f t="shared" si="49"/>
        <v>32</v>
      </c>
      <c r="H806" s="864">
        <f t="shared" si="50"/>
        <v>2022</v>
      </c>
      <c r="I806" s="879">
        <f t="shared" si="51"/>
        <v>32</v>
      </c>
      <c r="J806" s="867" cm="1">
        <f t="array" ref="J806">INDEX($E:$E,MATCH($J$10,IF($B:$B=$B806,$I:$I),1))</f>
        <v>94179</v>
      </c>
    </row>
    <row r="807" spans="2:10">
      <c r="B807" s="817" t="s">
        <v>3214</v>
      </c>
      <c r="C807" s="817" t="s">
        <v>6150</v>
      </c>
      <c r="D807" s="863">
        <v>44781</v>
      </c>
      <c r="E807" s="817">
        <v>83827</v>
      </c>
      <c r="F807" s="864">
        <f t="shared" si="48"/>
        <v>8</v>
      </c>
      <c r="G807" s="864">
        <f t="shared" si="49"/>
        <v>33</v>
      </c>
      <c r="H807" s="864">
        <f t="shared" si="50"/>
        <v>2022</v>
      </c>
      <c r="I807" s="879">
        <f t="shared" si="51"/>
        <v>33</v>
      </c>
      <c r="J807" s="867" cm="1">
        <f t="array" ref="J807">INDEX($E:$E,MATCH($J$10,IF($B:$B=$B807,$I:$I),1))</f>
        <v>94179</v>
      </c>
    </row>
    <row r="808" spans="2:10">
      <c r="B808" s="817" t="s">
        <v>3214</v>
      </c>
      <c r="C808" s="817" t="s">
        <v>6150</v>
      </c>
      <c r="D808" s="866">
        <v>44788</v>
      </c>
      <c r="E808" s="817">
        <v>84662</v>
      </c>
      <c r="F808" s="864">
        <f t="shared" si="48"/>
        <v>8</v>
      </c>
      <c r="G808" s="864">
        <f t="shared" si="49"/>
        <v>34</v>
      </c>
      <c r="H808" s="864">
        <f t="shared" si="50"/>
        <v>2022</v>
      </c>
      <c r="I808" s="879">
        <f t="shared" si="51"/>
        <v>34</v>
      </c>
      <c r="J808" s="867" cm="1">
        <f t="array" ref="J808">INDEX($E:$E,MATCH($J$10,IF($B:$B=$B808,$I:$I),1))</f>
        <v>94179</v>
      </c>
    </row>
    <row r="809" spans="2:10">
      <c r="B809" s="817" t="s">
        <v>3214</v>
      </c>
      <c r="C809" s="817" t="s">
        <v>6150</v>
      </c>
      <c r="D809" s="863">
        <v>44795</v>
      </c>
      <c r="E809" s="817">
        <v>87066</v>
      </c>
      <c r="F809" s="864">
        <f t="shared" si="48"/>
        <v>8</v>
      </c>
      <c r="G809" s="864">
        <f t="shared" si="49"/>
        <v>35</v>
      </c>
      <c r="H809" s="864">
        <f t="shared" si="50"/>
        <v>2022</v>
      </c>
      <c r="I809" s="879">
        <f t="shared" si="51"/>
        <v>35</v>
      </c>
      <c r="J809" s="867" cm="1">
        <f t="array" ref="J809">INDEX($E:$E,MATCH($J$10,IF($B:$B=$B809,$I:$I),1))</f>
        <v>94179</v>
      </c>
    </row>
    <row r="810" spans="2:10">
      <c r="B810" s="817" t="s">
        <v>3214</v>
      </c>
      <c r="C810" s="817" t="s">
        <v>6150</v>
      </c>
      <c r="D810" s="866">
        <v>44801</v>
      </c>
      <c r="E810" s="817">
        <v>86178</v>
      </c>
      <c r="F810" s="864">
        <f t="shared" si="48"/>
        <v>8</v>
      </c>
      <c r="G810" s="864">
        <f t="shared" si="49"/>
        <v>36</v>
      </c>
      <c r="H810" s="864">
        <f t="shared" si="50"/>
        <v>2022</v>
      </c>
      <c r="I810" s="879">
        <f t="shared" si="51"/>
        <v>36</v>
      </c>
      <c r="J810" s="867" cm="1">
        <f t="array" ref="J810">INDEX($E:$E,MATCH($J$10,IF($B:$B=$B810,$I:$I),1))</f>
        <v>94179</v>
      </c>
    </row>
    <row r="811" spans="2:10">
      <c r="B811" s="817" t="s">
        <v>3214</v>
      </c>
      <c r="C811" s="817" t="s">
        <v>6150</v>
      </c>
      <c r="D811" s="863">
        <v>44808</v>
      </c>
      <c r="E811" s="817">
        <v>81158</v>
      </c>
      <c r="F811" s="864">
        <f t="shared" si="48"/>
        <v>9</v>
      </c>
      <c r="G811" s="864">
        <f t="shared" si="49"/>
        <v>37</v>
      </c>
      <c r="H811" s="864">
        <f t="shared" si="50"/>
        <v>2022</v>
      </c>
      <c r="I811" s="879">
        <f t="shared" si="51"/>
        <v>37</v>
      </c>
      <c r="J811" s="867" cm="1">
        <f t="array" ref="J811">INDEX($E:$E,MATCH($J$10,IF($B:$B=$B811,$I:$I),1))</f>
        <v>94179</v>
      </c>
    </row>
    <row r="812" spans="2:10">
      <c r="B812" s="817" t="s">
        <v>3214</v>
      </c>
      <c r="C812" s="817" t="s">
        <v>6150</v>
      </c>
      <c r="D812" s="866">
        <v>44815</v>
      </c>
      <c r="E812" s="817">
        <v>81621</v>
      </c>
      <c r="F812" s="864">
        <f t="shared" si="48"/>
        <v>9</v>
      </c>
      <c r="G812" s="864">
        <f t="shared" si="49"/>
        <v>38</v>
      </c>
      <c r="H812" s="864">
        <f t="shared" si="50"/>
        <v>2022</v>
      </c>
      <c r="I812" s="879">
        <f t="shared" si="51"/>
        <v>38</v>
      </c>
      <c r="J812" s="867" cm="1">
        <f t="array" ref="J812">INDEX($E:$E,MATCH($J$10,IF($B:$B=$B812,$I:$I),1))</f>
        <v>94179</v>
      </c>
    </row>
    <row r="813" spans="2:10">
      <c r="B813" s="817" t="s">
        <v>3214</v>
      </c>
      <c r="C813" s="817" t="s">
        <v>6150</v>
      </c>
      <c r="D813" s="863">
        <v>44822</v>
      </c>
      <c r="E813" s="817">
        <v>80498</v>
      </c>
      <c r="F813" s="864">
        <f t="shared" si="48"/>
        <v>9</v>
      </c>
      <c r="G813" s="864">
        <f t="shared" si="49"/>
        <v>39</v>
      </c>
      <c r="H813" s="864">
        <f t="shared" si="50"/>
        <v>2022</v>
      </c>
      <c r="I813" s="879">
        <f t="shared" si="51"/>
        <v>39</v>
      </c>
      <c r="J813" s="867" cm="1">
        <f t="array" ref="J813">INDEX($E:$E,MATCH($J$10,IF($B:$B=$B813,$I:$I),1))</f>
        <v>94179</v>
      </c>
    </row>
    <row r="814" spans="2:10">
      <c r="B814" s="817" t="s">
        <v>3214</v>
      </c>
      <c r="C814" s="817" t="s">
        <v>6150</v>
      </c>
      <c r="D814" s="866">
        <v>44843</v>
      </c>
      <c r="E814" s="817">
        <v>82127</v>
      </c>
      <c r="F814" s="864">
        <f t="shared" si="48"/>
        <v>10</v>
      </c>
      <c r="G814" s="864">
        <f t="shared" si="49"/>
        <v>42</v>
      </c>
      <c r="H814" s="864">
        <f t="shared" si="50"/>
        <v>2022</v>
      </c>
      <c r="I814" s="879">
        <f t="shared" si="51"/>
        <v>42</v>
      </c>
      <c r="J814" s="867" cm="1">
        <f t="array" ref="J814">INDEX($E:$E,MATCH($J$10,IF($B:$B=$B814,$I:$I),1))</f>
        <v>94179</v>
      </c>
    </row>
    <row r="815" spans="2:10">
      <c r="B815" s="817" t="s">
        <v>3214</v>
      </c>
      <c r="C815" s="817" t="s">
        <v>6150</v>
      </c>
      <c r="D815" s="863">
        <v>44850</v>
      </c>
      <c r="E815" s="817">
        <v>83748</v>
      </c>
      <c r="F815" s="864">
        <f t="shared" si="48"/>
        <v>10</v>
      </c>
      <c r="G815" s="864">
        <f t="shared" si="49"/>
        <v>43</v>
      </c>
      <c r="H815" s="864">
        <f t="shared" si="50"/>
        <v>2022</v>
      </c>
      <c r="I815" s="879">
        <f t="shared" si="51"/>
        <v>43</v>
      </c>
      <c r="J815" s="867" cm="1">
        <f t="array" ref="J815">INDEX($E:$E,MATCH($J$10,IF($B:$B=$B815,$I:$I),1))</f>
        <v>94179</v>
      </c>
    </row>
    <row r="816" spans="2:10">
      <c r="B816" s="817" t="s">
        <v>3214</v>
      </c>
      <c r="C816" s="817" t="s">
        <v>6150</v>
      </c>
      <c r="D816" s="866">
        <v>44857</v>
      </c>
      <c r="E816" s="817">
        <v>86206</v>
      </c>
      <c r="F816" s="864">
        <f t="shared" si="48"/>
        <v>10</v>
      </c>
      <c r="G816" s="864">
        <f t="shared" si="49"/>
        <v>44</v>
      </c>
      <c r="H816" s="864">
        <f t="shared" si="50"/>
        <v>2022</v>
      </c>
      <c r="I816" s="879">
        <f t="shared" si="51"/>
        <v>44</v>
      </c>
      <c r="J816" s="867" cm="1">
        <f t="array" ref="J816">INDEX($E:$E,MATCH($J$10,IF($B:$B=$B816,$I:$I),1))</f>
        <v>94179</v>
      </c>
    </row>
    <row r="817" spans="2:10">
      <c r="B817" s="817" t="s">
        <v>3214</v>
      </c>
      <c r="C817" s="817" t="s">
        <v>6150</v>
      </c>
      <c r="D817" s="863">
        <v>44864</v>
      </c>
      <c r="E817" s="817">
        <v>87853</v>
      </c>
      <c r="F817" s="864">
        <f t="shared" si="48"/>
        <v>10</v>
      </c>
      <c r="G817" s="864">
        <f t="shared" si="49"/>
        <v>45</v>
      </c>
      <c r="H817" s="864">
        <f t="shared" si="50"/>
        <v>2022</v>
      </c>
      <c r="I817" s="879">
        <f t="shared" si="51"/>
        <v>45</v>
      </c>
      <c r="J817" s="867" cm="1">
        <f t="array" ref="J817">INDEX($E:$E,MATCH($J$10,IF($B:$B=$B817,$I:$I),1))</f>
        <v>94179</v>
      </c>
    </row>
    <row r="818" spans="2:10">
      <c r="B818" s="817" t="s">
        <v>3214</v>
      </c>
      <c r="C818" s="817" t="s">
        <v>6150</v>
      </c>
      <c r="D818" s="866">
        <v>44871</v>
      </c>
      <c r="E818" s="817">
        <v>88831</v>
      </c>
      <c r="F818" s="864">
        <f t="shared" si="48"/>
        <v>11</v>
      </c>
      <c r="G818" s="864">
        <f t="shared" si="49"/>
        <v>46</v>
      </c>
      <c r="H818" s="864">
        <f t="shared" si="50"/>
        <v>2022</v>
      </c>
      <c r="I818" s="879">
        <f t="shared" si="51"/>
        <v>46</v>
      </c>
      <c r="J818" s="867" cm="1">
        <f t="array" ref="J818">INDEX($E:$E,MATCH($J$10,IF($B:$B=$B818,$I:$I),1))</f>
        <v>94179</v>
      </c>
    </row>
    <row r="819" spans="2:10">
      <c r="B819" s="817" t="s">
        <v>3214</v>
      </c>
      <c r="C819" s="817" t="s">
        <v>6150</v>
      </c>
      <c r="D819" s="863">
        <v>44878</v>
      </c>
      <c r="E819" s="817">
        <v>90106</v>
      </c>
      <c r="F819" s="864">
        <f t="shared" si="48"/>
        <v>11</v>
      </c>
      <c r="G819" s="864">
        <f t="shared" si="49"/>
        <v>47</v>
      </c>
      <c r="H819" s="864">
        <f t="shared" si="50"/>
        <v>2022</v>
      </c>
      <c r="I819" s="879">
        <f t="shared" si="51"/>
        <v>47</v>
      </c>
      <c r="J819" s="867" cm="1">
        <f t="array" ref="J819">INDEX($E:$E,MATCH($J$10,IF($B:$B=$B819,$I:$I),1))</f>
        <v>94179</v>
      </c>
    </row>
    <row r="820" spans="2:10">
      <c r="B820" s="817" t="s">
        <v>3214</v>
      </c>
      <c r="C820" s="817" t="s">
        <v>6150</v>
      </c>
      <c r="D820" s="866">
        <v>44885</v>
      </c>
      <c r="E820" s="817">
        <v>92076</v>
      </c>
      <c r="F820" s="864">
        <f t="shared" si="48"/>
        <v>11</v>
      </c>
      <c r="G820" s="864">
        <f t="shared" si="49"/>
        <v>48</v>
      </c>
      <c r="H820" s="864">
        <f t="shared" si="50"/>
        <v>2022</v>
      </c>
      <c r="I820" s="879">
        <f t="shared" si="51"/>
        <v>48</v>
      </c>
      <c r="J820" s="867" cm="1">
        <f t="array" ref="J820">INDEX($E:$E,MATCH($J$10,IF($B:$B=$B820,$I:$I),1))</f>
        <v>94179</v>
      </c>
    </row>
    <row r="821" spans="2:10">
      <c r="B821" s="817" t="s">
        <v>3214</v>
      </c>
      <c r="C821" s="817" t="s">
        <v>6150</v>
      </c>
      <c r="D821" s="863">
        <v>44892</v>
      </c>
      <c r="E821" s="817">
        <v>94526</v>
      </c>
      <c r="F821" s="864">
        <f t="shared" si="48"/>
        <v>11</v>
      </c>
      <c r="G821" s="864">
        <f t="shared" si="49"/>
        <v>49</v>
      </c>
      <c r="H821" s="864">
        <f t="shared" si="50"/>
        <v>2022</v>
      </c>
      <c r="I821" s="879">
        <f t="shared" si="51"/>
        <v>49</v>
      </c>
      <c r="J821" s="867" cm="1">
        <f t="array" ref="J821">INDEX($E:$E,MATCH($J$10,IF($B:$B=$B821,$I:$I),1))</f>
        <v>94179</v>
      </c>
    </row>
    <row r="822" spans="2:10">
      <c r="B822" s="817" t="s">
        <v>3214</v>
      </c>
      <c r="C822" s="817" t="s">
        <v>6150</v>
      </c>
      <c r="D822" s="866">
        <v>44899</v>
      </c>
      <c r="E822" s="817">
        <v>98103</v>
      </c>
      <c r="F822" s="864">
        <f t="shared" si="48"/>
        <v>12</v>
      </c>
      <c r="G822" s="864">
        <f t="shared" si="49"/>
        <v>50</v>
      </c>
      <c r="H822" s="864">
        <f t="shared" si="50"/>
        <v>2022</v>
      </c>
      <c r="I822" s="879">
        <f t="shared" si="51"/>
        <v>50</v>
      </c>
      <c r="J822" s="867" cm="1">
        <f t="array" ref="J822">INDEX($E:$E,MATCH($J$10,IF($B:$B=$B822,$I:$I),1))</f>
        <v>94179</v>
      </c>
    </row>
    <row r="823" spans="2:10">
      <c r="B823" s="817" t="s">
        <v>3214</v>
      </c>
      <c r="C823" s="817" t="s">
        <v>6150</v>
      </c>
      <c r="D823" s="863">
        <v>44905</v>
      </c>
      <c r="E823" s="817">
        <v>100822</v>
      </c>
      <c r="F823" s="864">
        <f t="shared" si="48"/>
        <v>12</v>
      </c>
      <c r="G823" s="864">
        <f t="shared" si="49"/>
        <v>50</v>
      </c>
      <c r="H823" s="864">
        <f t="shared" si="50"/>
        <v>2022</v>
      </c>
      <c r="I823" s="879">
        <f t="shared" si="51"/>
        <v>50</v>
      </c>
      <c r="J823" s="867" cm="1">
        <f t="array" ref="J823">INDEX($E:$E,MATCH($J$10,IF($B:$B=$B823,$I:$I),1))</f>
        <v>94179</v>
      </c>
    </row>
    <row r="824" spans="2:10">
      <c r="B824" s="817" t="s">
        <v>3214</v>
      </c>
      <c r="C824" s="817" t="s">
        <v>6150</v>
      </c>
      <c r="D824" s="866">
        <v>44913</v>
      </c>
      <c r="E824" s="817">
        <v>103167</v>
      </c>
      <c r="F824" s="864">
        <f t="shared" si="48"/>
        <v>12</v>
      </c>
      <c r="G824" s="864">
        <f t="shared" si="49"/>
        <v>52</v>
      </c>
      <c r="H824" s="864">
        <f t="shared" si="50"/>
        <v>2022</v>
      </c>
      <c r="I824" s="879">
        <f t="shared" si="51"/>
        <v>52</v>
      </c>
      <c r="J824" s="867" cm="1">
        <f t="array" ref="J824">INDEX($E:$E,MATCH($J$10,IF($B:$B=$B824,$I:$I),1))</f>
        <v>94179</v>
      </c>
    </row>
    <row r="825" spans="2:10">
      <c r="B825" s="817" t="s">
        <v>3214</v>
      </c>
      <c r="C825" s="817" t="s">
        <v>6150</v>
      </c>
      <c r="D825" s="863">
        <v>44920</v>
      </c>
      <c r="E825" s="817">
        <v>106629</v>
      </c>
      <c r="F825" s="864">
        <f t="shared" si="48"/>
        <v>12</v>
      </c>
      <c r="G825" s="864">
        <f t="shared" si="49"/>
        <v>53</v>
      </c>
      <c r="H825" s="864">
        <f t="shared" si="50"/>
        <v>2022</v>
      </c>
      <c r="I825" s="879">
        <f t="shared" si="51"/>
        <v>53</v>
      </c>
      <c r="J825" s="867" cm="1">
        <f t="array" ref="J825">INDEX($E:$E,MATCH($J$10,IF($B:$B=$B825,$I:$I),1))</f>
        <v>94179</v>
      </c>
    </row>
    <row r="826" spans="2:10">
      <c r="B826" s="817" t="s">
        <v>3214</v>
      </c>
      <c r="C826" s="817" t="s">
        <v>6150</v>
      </c>
      <c r="D826" s="866">
        <v>44927</v>
      </c>
      <c r="E826" s="817">
        <v>106786</v>
      </c>
      <c r="F826" s="864">
        <f t="shared" si="48"/>
        <v>1</v>
      </c>
      <c r="G826" s="864">
        <f t="shared" si="49"/>
        <v>1</v>
      </c>
      <c r="H826" s="864">
        <f t="shared" si="50"/>
        <v>2023</v>
      </c>
      <c r="I826" s="879">
        <f t="shared" si="51"/>
        <v>54</v>
      </c>
      <c r="J826" s="867" cm="1">
        <f t="array" ref="J826">INDEX($E:$E,MATCH($J$10,IF($B:$B=$B826,$I:$I),1))</f>
        <v>94179</v>
      </c>
    </row>
    <row r="827" spans="2:10">
      <c r="B827" s="817" t="s">
        <v>3214</v>
      </c>
      <c r="C827" s="817" t="s">
        <v>6150</v>
      </c>
      <c r="D827" s="863">
        <v>44936</v>
      </c>
      <c r="E827" s="817">
        <v>106987</v>
      </c>
      <c r="F827" s="864">
        <f t="shared" si="48"/>
        <v>1</v>
      </c>
      <c r="G827" s="864">
        <f t="shared" si="49"/>
        <v>2</v>
      </c>
      <c r="H827" s="864">
        <f t="shared" si="50"/>
        <v>2023</v>
      </c>
      <c r="I827" s="879">
        <f t="shared" si="51"/>
        <v>55</v>
      </c>
      <c r="J827" s="867" cm="1">
        <f t="array" ref="J827">INDEX($E:$E,MATCH($J$10,IF($B:$B=$B827,$I:$I),1))</f>
        <v>94179</v>
      </c>
    </row>
    <row r="828" spans="2:10">
      <c r="B828" s="817" t="s">
        <v>3214</v>
      </c>
      <c r="C828" s="817" t="s">
        <v>6150</v>
      </c>
      <c r="D828" s="866">
        <v>44941</v>
      </c>
      <c r="E828" s="817">
        <v>106644</v>
      </c>
      <c r="F828" s="864">
        <f t="shared" si="48"/>
        <v>1</v>
      </c>
      <c r="G828" s="864">
        <f t="shared" si="49"/>
        <v>3</v>
      </c>
      <c r="H828" s="864">
        <f t="shared" si="50"/>
        <v>2023</v>
      </c>
      <c r="I828" s="879">
        <f t="shared" si="51"/>
        <v>56</v>
      </c>
      <c r="J828" s="867" cm="1">
        <f t="array" ref="J828">INDEX($E:$E,MATCH($J$10,IF($B:$B=$B828,$I:$I),1))</f>
        <v>94179</v>
      </c>
    </row>
    <row r="829" spans="2:10">
      <c r="B829" s="817" t="s">
        <v>3214</v>
      </c>
      <c r="C829" s="817" t="s">
        <v>6150</v>
      </c>
      <c r="D829" s="863">
        <v>44947</v>
      </c>
      <c r="E829" s="817">
        <v>106835</v>
      </c>
      <c r="F829" s="864">
        <f t="shared" si="48"/>
        <v>1</v>
      </c>
      <c r="G829" s="864">
        <f t="shared" si="49"/>
        <v>3</v>
      </c>
      <c r="H829" s="864">
        <f t="shared" si="50"/>
        <v>2023</v>
      </c>
      <c r="I829" s="879">
        <f t="shared" si="51"/>
        <v>56</v>
      </c>
      <c r="J829" s="867" cm="1">
        <f t="array" ref="J829">INDEX($E:$E,MATCH($J$10,IF($B:$B=$B829,$I:$I),1))</f>
        <v>94179</v>
      </c>
    </row>
    <row r="830" spans="2:10">
      <c r="B830" s="817" t="s">
        <v>3214</v>
      </c>
      <c r="C830" s="817" t="s">
        <v>6150</v>
      </c>
      <c r="D830" s="866">
        <v>44954</v>
      </c>
      <c r="E830" s="817">
        <v>108663</v>
      </c>
      <c r="F830" s="864">
        <f t="shared" si="48"/>
        <v>1</v>
      </c>
      <c r="G830" s="864">
        <f t="shared" si="49"/>
        <v>4</v>
      </c>
      <c r="H830" s="864">
        <f t="shared" si="50"/>
        <v>2023</v>
      </c>
      <c r="I830" s="879">
        <f t="shared" si="51"/>
        <v>57</v>
      </c>
      <c r="J830" s="867" cm="1">
        <f t="array" ref="J830">INDEX($E:$E,MATCH($J$10,IF($B:$B=$B830,$I:$I),1))</f>
        <v>94179</v>
      </c>
    </row>
    <row r="831" spans="2:10">
      <c r="B831" s="817" t="s">
        <v>3214</v>
      </c>
      <c r="C831" s="817" t="s">
        <v>6150</v>
      </c>
      <c r="D831" s="863">
        <v>44961</v>
      </c>
      <c r="E831" s="817">
        <v>108840</v>
      </c>
      <c r="F831" s="864">
        <f t="shared" si="48"/>
        <v>2</v>
      </c>
      <c r="G831" s="864">
        <f t="shared" si="49"/>
        <v>5</v>
      </c>
      <c r="H831" s="864">
        <f t="shared" si="50"/>
        <v>2023</v>
      </c>
      <c r="I831" s="879">
        <f t="shared" si="51"/>
        <v>58</v>
      </c>
      <c r="J831" s="867" cm="1">
        <f t="array" ref="J831">INDEX($E:$E,MATCH($J$10,IF($B:$B=$B831,$I:$I),1))</f>
        <v>94179</v>
      </c>
    </row>
    <row r="832" spans="2:10">
      <c r="B832" s="817" t="s">
        <v>3214</v>
      </c>
      <c r="C832" s="817" t="s">
        <v>6150</v>
      </c>
      <c r="D832" s="866">
        <v>44967</v>
      </c>
      <c r="E832" s="817">
        <v>109871</v>
      </c>
      <c r="F832" s="864">
        <f t="shared" si="48"/>
        <v>2</v>
      </c>
      <c r="G832" s="864">
        <f t="shared" si="49"/>
        <v>6</v>
      </c>
      <c r="H832" s="864">
        <f t="shared" si="50"/>
        <v>2023</v>
      </c>
      <c r="I832" s="879">
        <f t="shared" si="51"/>
        <v>59</v>
      </c>
      <c r="J832" s="867" cm="1">
        <f t="array" ref="J832">INDEX($E:$E,MATCH($J$10,IF($B:$B=$B832,$I:$I),1))</f>
        <v>94179</v>
      </c>
    </row>
    <row r="833" spans="2:10">
      <c r="B833" s="817" t="s">
        <v>3214</v>
      </c>
      <c r="C833" s="817" t="s">
        <v>6150</v>
      </c>
      <c r="D833" s="863">
        <v>44976</v>
      </c>
      <c r="E833" s="817">
        <v>110470</v>
      </c>
      <c r="F833" s="864">
        <f t="shared" si="48"/>
        <v>2</v>
      </c>
      <c r="G833" s="864">
        <f t="shared" si="49"/>
        <v>8</v>
      </c>
      <c r="H833" s="864">
        <f t="shared" si="50"/>
        <v>2023</v>
      </c>
      <c r="I833" s="879">
        <f t="shared" si="51"/>
        <v>61</v>
      </c>
      <c r="J833" s="867" cm="1">
        <f t="array" ref="J833">INDEX($E:$E,MATCH($J$10,IF($B:$B=$B833,$I:$I),1))</f>
        <v>94179</v>
      </c>
    </row>
    <row r="834" spans="2:10">
      <c r="B834" s="817" t="s">
        <v>3214</v>
      </c>
      <c r="C834" s="817" t="s">
        <v>6150</v>
      </c>
      <c r="D834" s="866">
        <v>44982</v>
      </c>
      <c r="E834" s="817">
        <v>112575</v>
      </c>
      <c r="F834" s="864">
        <f t="shared" si="48"/>
        <v>2</v>
      </c>
      <c r="G834" s="864">
        <f t="shared" si="49"/>
        <v>8</v>
      </c>
      <c r="H834" s="864">
        <f t="shared" si="50"/>
        <v>2023</v>
      </c>
      <c r="I834" s="879">
        <f t="shared" si="51"/>
        <v>61</v>
      </c>
      <c r="J834" s="867" cm="1">
        <f t="array" ref="J834">INDEX($E:$E,MATCH($J$10,IF($B:$B=$B834,$I:$I),1))</f>
        <v>94179</v>
      </c>
    </row>
    <row r="835" spans="2:10">
      <c r="B835" s="817" t="s">
        <v>3214</v>
      </c>
      <c r="C835" s="817" t="s">
        <v>6150</v>
      </c>
      <c r="D835" s="863">
        <v>44990</v>
      </c>
      <c r="E835" s="817">
        <v>110921</v>
      </c>
      <c r="F835" s="864">
        <f t="shared" si="48"/>
        <v>3</v>
      </c>
      <c r="G835" s="864">
        <f t="shared" si="49"/>
        <v>10</v>
      </c>
      <c r="H835" s="864">
        <f t="shared" si="50"/>
        <v>2023</v>
      </c>
      <c r="I835" s="879">
        <f t="shared" si="51"/>
        <v>63</v>
      </c>
      <c r="J835" s="867" cm="1">
        <f t="array" ref="J835">INDEX($E:$E,MATCH($J$10,IF($B:$B=$B835,$I:$I),1))</f>
        <v>94179</v>
      </c>
    </row>
    <row r="836" spans="2:10">
      <c r="B836" s="817" t="s">
        <v>3214</v>
      </c>
      <c r="C836" s="817" t="s">
        <v>6150</v>
      </c>
      <c r="D836" s="863">
        <v>44995</v>
      </c>
      <c r="E836" s="817">
        <v>110106</v>
      </c>
      <c r="F836" s="864">
        <f t="shared" si="48"/>
        <v>3</v>
      </c>
      <c r="G836" s="864">
        <f t="shared" si="49"/>
        <v>10</v>
      </c>
      <c r="H836" s="864">
        <f t="shared" si="50"/>
        <v>2023</v>
      </c>
      <c r="I836" s="879">
        <f t="shared" si="51"/>
        <v>63</v>
      </c>
      <c r="J836" s="867" cm="1">
        <f t="array" ref="J836">INDEX($E:$E,MATCH($J$10,IF($B:$B=$B836,$I:$I),1))</f>
        <v>94179</v>
      </c>
    </row>
    <row r="837" spans="2:10">
      <c r="B837" s="817" t="s">
        <v>3214</v>
      </c>
      <c r="C837" s="817" t="s">
        <v>6150</v>
      </c>
      <c r="D837" s="863">
        <v>45003</v>
      </c>
      <c r="E837" s="817">
        <v>110012</v>
      </c>
      <c r="F837" s="864">
        <f t="shared" si="48"/>
        <v>3</v>
      </c>
      <c r="G837" s="864">
        <f t="shared" si="49"/>
        <v>11</v>
      </c>
      <c r="H837" s="864">
        <f t="shared" si="50"/>
        <v>2023</v>
      </c>
      <c r="I837" s="879">
        <f t="shared" si="51"/>
        <v>64</v>
      </c>
      <c r="J837" s="867" cm="1">
        <f t="array" ref="J837">INDEX($E:$E,MATCH($J$10,IF($B:$B=$B837,$I:$I),1))</f>
        <v>94179</v>
      </c>
    </row>
    <row r="838" spans="2:10">
      <c r="B838" s="817" t="s">
        <v>3214</v>
      </c>
      <c r="C838" s="817" t="s">
        <v>6150</v>
      </c>
      <c r="D838" s="863">
        <v>45009</v>
      </c>
      <c r="E838" s="817">
        <v>109559</v>
      </c>
      <c r="F838" s="864">
        <f t="shared" si="48"/>
        <v>3</v>
      </c>
      <c r="G838" s="864">
        <f t="shared" si="49"/>
        <v>12</v>
      </c>
      <c r="H838" s="864">
        <f t="shared" si="50"/>
        <v>2023</v>
      </c>
      <c r="I838" s="879">
        <f t="shared" si="51"/>
        <v>65</v>
      </c>
      <c r="J838" s="867" cm="1">
        <f t="array" ref="J838">INDEX($E:$E,MATCH($J$10,IF($B:$B=$B838,$I:$I),1))</f>
        <v>94179</v>
      </c>
    </row>
    <row r="839" spans="2:10">
      <c r="B839" s="817" t="s">
        <v>3214</v>
      </c>
      <c r="C839" s="817" t="s">
        <v>6150</v>
      </c>
      <c r="D839" s="863">
        <v>45016</v>
      </c>
      <c r="E839" s="817">
        <v>107706</v>
      </c>
      <c r="F839" s="864">
        <f t="shared" si="48"/>
        <v>3</v>
      </c>
      <c r="G839" s="864">
        <f t="shared" si="49"/>
        <v>13</v>
      </c>
      <c r="H839" s="864">
        <f t="shared" si="50"/>
        <v>2023</v>
      </c>
      <c r="I839" s="879">
        <f t="shared" si="51"/>
        <v>66</v>
      </c>
      <c r="J839" s="867" cm="1">
        <f t="array" ref="J839">INDEX($E:$E,MATCH($J$10,IF($B:$B=$B839,$I:$I),1))</f>
        <v>94179</v>
      </c>
    </row>
    <row r="840" spans="2:10">
      <c r="B840" s="817" t="s">
        <v>3214</v>
      </c>
      <c r="C840" s="817" t="s">
        <v>6150</v>
      </c>
      <c r="D840" s="863">
        <v>45024</v>
      </c>
      <c r="E840" s="817">
        <v>104823</v>
      </c>
      <c r="F840" s="864">
        <f t="shared" si="48"/>
        <v>4</v>
      </c>
      <c r="G840" s="864">
        <f t="shared" si="49"/>
        <v>14</v>
      </c>
      <c r="H840" s="864">
        <f t="shared" si="50"/>
        <v>2023</v>
      </c>
      <c r="I840" s="879">
        <f t="shared" si="51"/>
        <v>67</v>
      </c>
      <c r="J840" s="867" cm="1">
        <f t="array" ref="J840">INDEX($E:$E,MATCH($J$10,IF($B:$B=$B840,$I:$I),1))</f>
        <v>94179</v>
      </c>
    </row>
    <row r="841" spans="2:10">
      <c r="B841" s="817" t="s">
        <v>3214</v>
      </c>
      <c r="C841" s="817" t="s">
        <v>6150</v>
      </c>
      <c r="D841" s="863">
        <v>45035</v>
      </c>
      <c r="E841" s="817">
        <v>101888</v>
      </c>
      <c r="F841" s="864">
        <f t="shared" si="48"/>
        <v>4</v>
      </c>
      <c r="G841" s="864">
        <f t="shared" si="49"/>
        <v>16</v>
      </c>
      <c r="H841" s="864">
        <f t="shared" si="50"/>
        <v>2023</v>
      </c>
      <c r="I841" s="879">
        <f t="shared" si="51"/>
        <v>69</v>
      </c>
      <c r="J841" s="867" cm="1">
        <f t="array" ref="J841">INDEX($E:$E,MATCH($J$10,IF($B:$B=$B841,$I:$I),1))</f>
        <v>94179</v>
      </c>
    </row>
    <row r="842" spans="2:10">
      <c r="B842" s="817" t="s">
        <v>3214</v>
      </c>
      <c r="C842" s="817" t="s">
        <v>6150</v>
      </c>
      <c r="D842" s="863">
        <v>45045</v>
      </c>
      <c r="E842" s="817">
        <v>99027</v>
      </c>
      <c r="F842" s="864">
        <f t="shared" si="48"/>
        <v>4</v>
      </c>
      <c r="G842" s="864">
        <f t="shared" si="49"/>
        <v>17</v>
      </c>
      <c r="H842" s="864">
        <f t="shared" si="50"/>
        <v>2023</v>
      </c>
      <c r="I842" s="879">
        <f t="shared" si="51"/>
        <v>70</v>
      </c>
      <c r="J842" s="867" cm="1">
        <f t="array" ref="J842">INDEX($E:$E,MATCH($J$10,IF($B:$B=$B842,$I:$I),1))</f>
        <v>94179</v>
      </c>
    </row>
    <row r="843" spans="2:10">
      <c r="B843" s="817" t="s">
        <v>3214</v>
      </c>
      <c r="C843" s="817" t="s">
        <v>6150</v>
      </c>
      <c r="D843" s="863">
        <v>45052</v>
      </c>
      <c r="E843" s="817">
        <v>97085</v>
      </c>
      <c r="F843" s="864">
        <f t="shared" si="48"/>
        <v>5</v>
      </c>
      <c r="G843" s="864">
        <f t="shared" si="49"/>
        <v>18</v>
      </c>
      <c r="H843" s="864">
        <f t="shared" si="50"/>
        <v>2023</v>
      </c>
      <c r="I843" s="879">
        <f t="shared" si="51"/>
        <v>71</v>
      </c>
      <c r="J843" s="867" cm="1">
        <f t="array" ref="J843">INDEX($E:$E,MATCH($J$10,IF($B:$B=$B843,$I:$I),1))</f>
        <v>94179</v>
      </c>
    </row>
    <row r="844" spans="2:10">
      <c r="B844" s="817" t="s">
        <v>3214</v>
      </c>
      <c r="C844" s="817" t="s">
        <v>6150</v>
      </c>
      <c r="D844" s="863">
        <v>45058</v>
      </c>
      <c r="E844" s="817">
        <v>94952</v>
      </c>
      <c r="F844" s="864">
        <f t="shared" ref="F844:F907" si="52">MONTH(D844)</f>
        <v>5</v>
      </c>
      <c r="G844" s="864">
        <f t="shared" ref="G844:G907" si="53">WEEKNUM(D844)</f>
        <v>19</v>
      </c>
      <c r="H844" s="864">
        <f t="shared" ref="H844:H907" si="54">YEAR(D844)</f>
        <v>2023</v>
      </c>
      <c r="I844" s="879">
        <f t="shared" ref="I844:I907" si="55">(H844-2022)*53+G844</f>
        <v>72</v>
      </c>
      <c r="J844" s="867" cm="1">
        <f t="array" ref="J844">INDEX($E:$E,MATCH($J$10,IF($B:$B=$B844,$I:$I),1))</f>
        <v>94179</v>
      </c>
    </row>
    <row r="845" spans="2:10">
      <c r="B845" s="817" t="s">
        <v>3214</v>
      </c>
      <c r="C845" s="817" t="s">
        <v>6150</v>
      </c>
      <c r="D845" s="863">
        <v>45066</v>
      </c>
      <c r="E845" s="817">
        <v>94179</v>
      </c>
      <c r="F845" s="864">
        <f t="shared" si="52"/>
        <v>5</v>
      </c>
      <c r="G845" s="864">
        <f t="shared" si="53"/>
        <v>20</v>
      </c>
      <c r="H845" s="864">
        <f t="shared" si="54"/>
        <v>2023</v>
      </c>
      <c r="I845" s="879">
        <f t="shared" si="55"/>
        <v>73</v>
      </c>
      <c r="J845" s="867" cm="1">
        <f t="array" ref="J845">INDEX($E:$E,MATCH($J$10,IF($B:$B=$B845,$I:$I),1))</f>
        <v>94179</v>
      </c>
    </row>
    <row r="846" spans="2:10">
      <c r="B846" s="817" t="s">
        <v>3214</v>
      </c>
      <c r="C846" s="817" t="s">
        <v>6150</v>
      </c>
      <c r="D846" s="863">
        <v>45081</v>
      </c>
      <c r="E846" s="817">
        <v>134627</v>
      </c>
      <c r="F846" s="864">
        <f t="shared" si="52"/>
        <v>6</v>
      </c>
      <c r="G846" s="864">
        <f t="shared" si="53"/>
        <v>23</v>
      </c>
      <c r="H846" s="864">
        <f t="shared" si="54"/>
        <v>2023</v>
      </c>
      <c r="I846" s="879">
        <f t="shared" si="55"/>
        <v>76</v>
      </c>
      <c r="J846" s="867" cm="1">
        <f t="array" ref="J846">INDEX($E:$E,MATCH($J$10,IF($B:$B=$B846,$I:$I),1))</f>
        <v>94179</v>
      </c>
    </row>
    <row r="847" spans="2:10">
      <c r="B847" s="817" t="s">
        <v>3261</v>
      </c>
      <c r="C847" s="817" t="s">
        <v>6151</v>
      </c>
      <c r="D847" s="866">
        <v>44711</v>
      </c>
      <c r="E847" s="817">
        <v>78756</v>
      </c>
      <c r="F847" s="864">
        <f t="shared" si="52"/>
        <v>5</v>
      </c>
      <c r="G847" s="864">
        <f t="shared" si="53"/>
        <v>23</v>
      </c>
      <c r="H847" s="864">
        <f t="shared" si="54"/>
        <v>2022</v>
      </c>
      <c r="I847" s="879">
        <f t="shared" si="55"/>
        <v>23</v>
      </c>
      <c r="J847" s="867" cm="1">
        <f t="array" ref="J847">INDEX($E:$E,MATCH($J$10,IF($B:$B=$B847,$I:$I),1))</f>
        <v>102091</v>
      </c>
    </row>
    <row r="848" spans="2:10">
      <c r="B848" s="817" t="s">
        <v>3261</v>
      </c>
      <c r="C848" s="817" t="s">
        <v>6151</v>
      </c>
      <c r="D848" s="863">
        <v>44718</v>
      </c>
      <c r="E848" s="817">
        <v>77330</v>
      </c>
      <c r="F848" s="864">
        <f t="shared" si="52"/>
        <v>6</v>
      </c>
      <c r="G848" s="864">
        <f t="shared" si="53"/>
        <v>24</v>
      </c>
      <c r="H848" s="864">
        <f t="shared" si="54"/>
        <v>2022</v>
      </c>
      <c r="I848" s="879">
        <f t="shared" si="55"/>
        <v>24</v>
      </c>
      <c r="J848" s="867" cm="1">
        <f t="array" ref="J848">INDEX($E:$E,MATCH($J$10,IF($B:$B=$B848,$I:$I),1))</f>
        <v>102091</v>
      </c>
    </row>
    <row r="849" spans="2:10">
      <c r="B849" s="817" t="s">
        <v>3261</v>
      </c>
      <c r="C849" s="817" t="s">
        <v>6151</v>
      </c>
      <c r="D849" s="866">
        <v>44725</v>
      </c>
      <c r="E849" s="817">
        <v>78302</v>
      </c>
      <c r="F849" s="864">
        <f t="shared" si="52"/>
        <v>6</v>
      </c>
      <c r="G849" s="864">
        <f t="shared" si="53"/>
        <v>25</v>
      </c>
      <c r="H849" s="864">
        <f t="shared" si="54"/>
        <v>2022</v>
      </c>
      <c r="I849" s="879">
        <f t="shared" si="55"/>
        <v>25</v>
      </c>
      <c r="J849" s="867" cm="1">
        <f t="array" ref="J849">INDEX($E:$E,MATCH($J$10,IF($B:$B=$B849,$I:$I),1))</f>
        <v>102091</v>
      </c>
    </row>
    <row r="850" spans="2:10">
      <c r="B850" s="817" t="s">
        <v>3261</v>
      </c>
      <c r="C850" s="817" t="s">
        <v>6151</v>
      </c>
      <c r="D850" s="863">
        <v>44732</v>
      </c>
      <c r="E850" s="817">
        <v>78972</v>
      </c>
      <c r="F850" s="864">
        <f t="shared" si="52"/>
        <v>6</v>
      </c>
      <c r="G850" s="864">
        <f t="shared" si="53"/>
        <v>26</v>
      </c>
      <c r="H850" s="864">
        <f t="shared" si="54"/>
        <v>2022</v>
      </c>
      <c r="I850" s="879">
        <f t="shared" si="55"/>
        <v>26</v>
      </c>
      <c r="J850" s="867" cm="1">
        <f t="array" ref="J850">INDEX($E:$E,MATCH($J$10,IF($B:$B=$B850,$I:$I),1))</f>
        <v>102091</v>
      </c>
    </row>
    <row r="851" spans="2:10">
      <c r="B851" s="817" t="s">
        <v>3261</v>
      </c>
      <c r="C851" s="817" t="s">
        <v>6151</v>
      </c>
      <c r="D851" s="866">
        <v>44735</v>
      </c>
      <c r="E851" s="817">
        <v>79770</v>
      </c>
      <c r="F851" s="864">
        <f t="shared" si="52"/>
        <v>6</v>
      </c>
      <c r="G851" s="864">
        <f t="shared" si="53"/>
        <v>26</v>
      </c>
      <c r="H851" s="864">
        <f t="shared" si="54"/>
        <v>2022</v>
      </c>
      <c r="I851" s="879">
        <f t="shared" si="55"/>
        <v>26</v>
      </c>
      <c r="J851" s="867" cm="1">
        <f t="array" ref="J851">INDEX($E:$E,MATCH($J$10,IF($B:$B=$B851,$I:$I),1))</f>
        <v>102091</v>
      </c>
    </row>
    <row r="852" spans="2:10">
      <c r="B852" s="817" t="s">
        <v>3261</v>
      </c>
      <c r="C852" s="817" t="s">
        <v>6151</v>
      </c>
      <c r="D852" s="863">
        <v>44747</v>
      </c>
      <c r="E852" s="817">
        <v>80533</v>
      </c>
      <c r="F852" s="864">
        <f t="shared" si="52"/>
        <v>7</v>
      </c>
      <c r="G852" s="864">
        <f t="shared" si="53"/>
        <v>28</v>
      </c>
      <c r="H852" s="864">
        <f t="shared" si="54"/>
        <v>2022</v>
      </c>
      <c r="I852" s="879">
        <f t="shared" si="55"/>
        <v>28</v>
      </c>
      <c r="J852" s="867" cm="1">
        <f t="array" ref="J852">INDEX($E:$E,MATCH($J$10,IF($B:$B=$B852,$I:$I),1))</f>
        <v>102091</v>
      </c>
    </row>
    <row r="853" spans="2:10">
      <c r="B853" s="817" t="s">
        <v>3261</v>
      </c>
      <c r="C853" s="817" t="s">
        <v>6151</v>
      </c>
      <c r="D853" s="866">
        <v>44752</v>
      </c>
      <c r="E853" s="817">
        <v>81370</v>
      </c>
      <c r="F853" s="864">
        <f t="shared" si="52"/>
        <v>7</v>
      </c>
      <c r="G853" s="864">
        <f t="shared" si="53"/>
        <v>29</v>
      </c>
      <c r="H853" s="864">
        <f t="shared" si="54"/>
        <v>2022</v>
      </c>
      <c r="I853" s="879">
        <f t="shared" si="55"/>
        <v>29</v>
      </c>
      <c r="J853" s="867" cm="1">
        <f t="array" ref="J853">INDEX($E:$E,MATCH($J$10,IF($B:$B=$B853,$I:$I),1))</f>
        <v>102091</v>
      </c>
    </row>
    <row r="854" spans="2:10">
      <c r="B854" s="817" t="s">
        <v>3261</v>
      </c>
      <c r="C854" s="817" t="s">
        <v>6151</v>
      </c>
      <c r="D854" s="863">
        <v>44759</v>
      </c>
      <c r="E854" s="817">
        <v>85964</v>
      </c>
      <c r="F854" s="864">
        <f t="shared" si="52"/>
        <v>7</v>
      </c>
      <c r="G854" s="864">
        <f t="shared" si="53"/>
        <v>30</v>
      </c>
      <c r="H854" s="864">
        <f t="shared" si="54"/>
        <v>2022</v>
      </c>
      <c r="I854" s="879">
        <f t="shared" si="55"/>
        <v>30</v>
      </c>
      <c r="J854" s="867" cm="1">
        <f t="array" ref="J854">INDEX($E:$E,MATCH($J$10,IF($B:$B=$B854,$I:$I),1))</f>
        <v>102091</v>
      </c>
    </row>
    <row r="855" spans="2:10">
      <c r="B855" s="817" t="s">
        <v>3261</v>
      </c>
      <c r="C855" s="817" t="s">
        <v>6151</v>
      </c>
      <c r="D855" s="866">
        <v>44766</v>
      </c>
      <c r="E855" s="817">
        <v>87027</v>
      </c>
      <c r="F855" s="864">
        <f t="shared" si="52"/>
        <v>7</v>
      </c>
      <c r="G855" s="864">
        <f t="shared" si="53"/>
        <v>31</v>
      </c>
      <c r="H855" s="864">
        <f t="shared" si="54"/>
        <v>2022</v>
      </c>
      <c r="I855" s="879">
        <f t="shared" si="55"/>
        <v>31</v>
      </c>
      <c r="J855" s="867" cm="1">
        <f t="array" ref="J855">INDEX($E:$E,MATCH($J$10,IF($B:$B=$B855,$I:$I),1))</f>
        <v>102091</v>
      </c>
    </row>
    <row r="856" spans="2:10">
      <c r="B856" s="817" t="s">
        <v>3261</v>
      </c>
      <c r="C856" s="817" t="s">
        <v>6151</v>
      </c>
      <c r="D856" s="863">
        <v>44775</v>
      </c>
      <c r="E856" s="817">
        <v>87027</v>
      </c>
      <c r="F856" s="864">
        <f t="shared" si="52"/>
        <v>8</v>
      </c>
      <c r="G856" s="864">
        <f t="shared" si="53"/>
        <v>32</v>
      </c>
      <c r="H856" s="864">
        <f t="shared" si="54"/>
        <v>2022</v>
      </c>
      <c r="I856" s="879">
        <f t="shared" si="55"/>
        <v>32</v>
      </c>
      <c r="J856" s="867" cm="1">
        <f t="array" ref="J856">INDEX($E:$E,MATCH($J$10,IF($B:$B=$B856,$I:$I),1))</f>
        <v>102091</v>
      </c>
    </row>
    <row r="857" spans="2:10">
      <c r="B857" s="817" t="s">
        <v>3261</v>
      </c>
      <c r="C857" s="817" t="s">
        <v>6151</v>
      </c>
      <c r="D857" s="866">
        <v>44782</v>
      </c>
      <c r="E857" s="817">
        <v>87030</v>
      </c>
      <c r="F857" s="864">
        <f t="shared" si="52"/>
        <v>8</v>
      </c>
      <c r="G857" s="864">
        <f t="shared" si="53"/>
        <v>33</v>
      </c>
      <c r="H857" s="864">
        <f t="shared" si="54"/>
        <v>2022</v>
      </c>
      <c r="I857" s="879">
        <f t="shared" si="55"/>
        <v>33</v>
      </c>
      <c r="J857" s="867" cm="1">
        <f t="array" ref="J857">INDEX($E:$E,MATCH($J$10,IF($B:$B=$B857,$I:$I),1))</f>
        <v>102091</v>
      </c>
    </row>
    <row r="858" spans="2:10">
      <c r="B858" s="817" t="s">
        <v>3261</v>
      </c>
      <c r="C858" s="817" t="s">
        <v>6151</v>
      </c>
      <c r="D858" s="863">
        <v>44789</v>
      </c>
      <c r="E858" s="817">
        <v>87030</v>
      </c>
      <c r="F858" s="864">
        <f t="shared" si="52"/>
        <v>8</v>
      </c>
      <c r="G858" s="864">
        <f t="shared" si="53"/>
        <v>34</v>
      </c>
      <c r="H858" s="864">
        <f t="shared" si="54"/>
        <v>2022</v>
      </c>
      <c r="I858" s="879">
        <f t="shared" si="55"/>
        <v>34</v>
      </c>
      <c r="J858" s="867" cm="1">
        <f t="array" ref="J858">INDEX($E:$E,MATCH($J$10,IF($B:$B=$B858,$I:$I),1))</f>
        <v>102091</v>
      </c>
    </row>
    <row r="859" spans="2:10">
      <c r="B859" s="817" t="s">
        <v>3261</v>
      </c>
      <c r="C859" s="817" t="s">
        <v>6151</v>
      </c>
      <c r="D859" s="866">
        <v>44796</v>
      </c>
      <c r="E859" s="817">
        <v>90612</v>
      </c>
      <c r="F859" s="864">
        <f t="shared" si="52"/>
        <v>8</v>
      </c>
      <c r="G859" s="864">
        <f t="shared" si="53"/>
        <v>35</v>
      </c>
      <c r="H859" s="864">
        <f t="shared" si="54"/>
        <v>2022</v>
      </c>
      <c r="I859" s="879">
        <f t="shared" si="55"/>
        <v>35</v>
      </c>
      <c r="J859" s="867" cm="1">
        <f t="array" ref="J859">INDEX($E:$E,MATCH($J$10,IF($B:$B=$B859,$I:$I),1))</f>
        <v>102091</v>
      </c>
    </row>
    <row r="860" spans="2:10">
      <c r="B860" s="817" t="s">
        <v>3261</v>
      </c>
      <c r="C860" s="817" t="s">
        <v>6151</v>
      </c>
      <c r="D860" s="863">
        <v>44803</v>
      </c>
      <c r="E860" s="817">
        <v>90612</v>
      </c>
      <c r="F860" s="864">
        <f t="shared" si="52"/>
        <v>8</v>
      </c>
      <c r="G860" s="864">
        <f t="shared" si="53"/>
        <v>36</v>
      </c>
      <c r="H860" s="864">
        <f t="shared" si="54"/>
        <v>2022</v>
      </c>
      <c r="I860" s="879">
        <f t="shared" si="55"/>
        <v>36</v>
      </c>
      <c r="J860" s="867" cm="1">
        <f t="array" ref="J860">INDEX($E:$E,MATCH($J$10,IF($B:$B=$B860,$I:$I),1))</f>
        <v>102091</v>
      </c>
    </row>
    <row r="861" spans="2:10">
      <c r="B861" s="817" t="s">
        <v>3261</v>
      </c>
      <c r="C861" s="817" t="s">
        <v>6151</v>
      </c>
      <c r="D861" s="866">
        <v>44810</v>
      </c>
      <c r="E861" s="817">
        <v>92491</v>
      </c>
      <c r="F861" s="864">
        <f t="shared" si="52"/>
        <v>9</v>
      </c>
      <c r="G861" s="864">
        <f t="shared" si="53"/>
        <v>37</v>
      </c>
      <c r="H861" s="864">
        <f t="shared" si="54"/>
        <v>2022</v>
      </c>
      <c r="I861" s="879">
        <f t="shared" si="55"/>
        <v>37</v>
      </c>
      <c r="J861" s="867" cm="1">
        <f t="array" ref="J861">INDEX($E:$E,MATCH($J$10,IF($B:$B=$B861,$I:$I),1))</f>
        <v>102091</v>
      </c>
    </row>
    <row r="862" spans="2:10">
      <c r="B862" s="817" t="s">
        <v>3261</v>
      </c>
      <c r="C862" s="817" t="s">
        <v>6151</v>
      </c>
      <c r="D862" s="863">
        <v>44817</v>
      </c>
      <c r="E862" s="817">
        <v>93384</v>
      </c>
      <c r="F862" s="864">
        <f t="shared" si="52"/>
        <v>9</v>
      </c>
      <c r="G862" s="864">
        <f t="shared" si="53"/>
        <v>38</v>
      </c>
      <c r="H862" s="864">
        <f t="shared" si="54"/>
        <v>2022</v>
      </c>
      <c r="I862" s="879">
        <f t="shared" si="55"/>
        <v>38</v>
      </c>
      <c r="J862" s="867" cm="1">
        <f t="array" ref="J862">INDEX($E:$E,MATCH($J$10,IF($B:$B=$B862,$I:$I),1))</f>
        <v>102091</v>
      </c>
    </row>
    <row r="863" spans="2:10">
      <c r="B863" s="817" t="s">
        <v>3261</v>
      </c>
      <c r="C863" s="817" t="s">
        <v>6151</v>
      </c>
      <c r="D863" s="866">
        <v>44824</v>
      </c>
      <c r="E863" s="817">
        <v>94530</v>
      </c>
      <c r="F863" s="864">
        <f t="shared" si="52"/>
        <v>9</v>
      </c>
      <c r="G863" s="864">
        <f t="shared" si="53"/>
        <v>39</v>
      </c>
      <c r="H863" s="864">
        <f t="shared" si="54"/>
        <v>2022</v>
      </c>
      <c r="I863" s="879">
        <f t="shared" si="55"/>
        <v>39</v>
      </c>
      <c r="J863" s="867" cm="1">
        <f t="array" ref="J863">INDEX($E:$E,MATCH($J$10,IF($B:$B=$B863,$I:$I),1))</f>
        <v>102091</v>
      </c>
    </row>
    <row r="864" spans="2:10">
      <c r="B864" s="817" t="s">
        <v>3261</v>
      </c>
      <c r="C864" s="817" t="s">
        <v>6151</v>
      </c>
      <c r="D864" s="863">
        <v>44831</v>
      </c>
      <c r="E864" s="817">
        <v>95375</v>
      </c>
      <c r="F864" s="864">
        <f t="shared" si="52"/>
        <v>9</v>
      </c>
      <c r="G864" s="864">
        <f t="shared" si="53"/>
        <v>40</v>
      </c>
      <c r="H864" s="864">
        <f t="shared" si="54"/>
        <v>2022</v>
      </c>
      <c r="I864" s="879">
        <f t="shared" si="55"/>
        <v>40</v>
      </c>
      <c r="J864" s="867" cm="1">
        <f t="array" ref="J864">INDEX($E:$E,MATCH($J$10,IF($B:$B=$B864,$I:$I),1))</f>
        <v>102091</v>
      </c>
    </row>
    <row r="865" spans="2:10">
      <c r="B865" s="817" t="s">
        <v>3261</v>
      </c>
      <c r="C865" s="817" t="s">
        <v>6151</v>
      </c>
      <c r="D865" s="866">
        <v>44838</v>
      </c>
      <c r="E865" s="817">
        <v>96336</v>
      </c>
      <c r="F865" s="864">
        <f t="shared" si="52"/>
        <v>10</v>
      </c>
      <c r="G865" s="864">
        <f t="shared" si="53"/>
        <v>41</v>
      </c>
      <c r="H865" s="864">
        <f t="shared" si="54"/>
        <v>2022</v>
      </c>
      <c r="I865" s="879">
        <f t="shared" si="55"/>
        <v>41</v>
      </c>
      <c r="J865" s="867" cm="1">
        <f t="array" ref="J865">INDEX($E:$E,MATCH($J$10,IF($B:$B=$B865,$I:$I),1))</f>
        <v>102091</v>
      </c>
    </row>
    <row r="866" spans="2:10">
      <c r="B866" s="817" t="s">
        <v>3261</v>
      </c>
      <c r="C866" s="817" t="s">
        <v>6151</v>
      </c>
      <c r="D866" s="863">
        <v>44845</v>
      </c>
      <c r="E866" s="817">
        <v>97085</v>
      </c>
      <c r="F866" s="864">
        <f t="shared" si="52"/>
        <v>10</v>
      </c>
      <c r="G866" s="864">
        <f t="shared" si="53"/>
        <v>42</v>
      </c>
      <c r="H866" s="864">
        <f t="shared" si="54"/>
        <v>2022</v>
      </c>
      <c r="I866" s="879">
        <f t="shared" si="55"/>
        <v>42</v>
      </c>
      <c r="J866" s="867" cm="1">
        <f t="array" ref="J866">INDEX($E:$E,MATCH($J$10,IF($B:$B=$B866,$I:$I),1))</f>
        <v>102091</v>
      </c>
    </row>
    <row r="867" spans="2:10">
      <c r="B867" s="817" t="s">
        <v>3261</v>
      </c>
      <c r="C867" s="817" t="s">
        <v>6151</v>
      </c>
      <c r="D867" s="866">
        <v>44852</v>
      </c>
      <c r="E867" s="817">
        <v>97935</v>
      </c>
      <c r="F867" s="864">
        <f t="shared" si="52"/>
        <v>10</v>
      </c>
      <c r="G867" s="864">
        <f t="shared" si="53"/>
        <v>43</v>
      </c>
      <c r="H867" s="864">
        <f t="shared" si="54"/>
        <v>2022</v>
      </c>
      <c r="I867" s="879">
        <f t="shared" si="55"/>
        <v>43</v>
      </c>
      <c r="J867" s="867" cm="1">
        <f t="array" ref="J867">INDEX($E:$E,MATCH($J$10,IF($B:$B=$B867,$I:$I),1))</f>
        <v>102091</v>
      </c>
    </row>
    <row r="868" spans="2:10">
      <c r="B868" s="817" t="s">
        <v>3261</v>
      </c>
      <c r="C868" s="817" t="s">
        <v>6151</v>
      </c>
      <c r="D868" s="863">
        <v>44859</v>
      </c>
      <c r="E868" s="817">
        <v>98770</v>
      </c>
      <c r="F868" s="864">
        <f t="shared" si="52"/>
        <v>10</v>
      </c>
      <c r="G868" s="864">
        <f t="shared" si="53"/>
        <v>44</v>
      </c>
      <c r="H868" s="864">
        <f t="shared" si="54"/>
        <v>2022</v>
      </c>
      <c r="I868" s="879">
        <f t="shared" si="55"/>
        <v>44</v>
      </c>
      <c r="J868" s="867" cm="1">
        <f t="array" ref="J868">INDEX($E:$E,MATCH($J$10,IF($B:$B=$B868,$I:$I),1))</f>
        <v>102091</v>
      </c>
    </row>
    <row r="869" spans="2:10">
      <c r="B869" s="817" t="s">
        <v>3261</v>
      </c>
      <c r="C869" s="817" t="s">
        <v>6151</v>
      </c>
      <c r="D869" s="866">
        <v>44866</v>
      </c>
      <c r="E869" s="817">
        <v>99393</v>
      </c>
      <c r="F869" s="864">
        <f t="shared" si="52"/>
        <v>11</v>
      </c>
      <c r="G869" s="864">
        <f t="shared" si="53"/>
        <v>45</v>
      </c>
      <c r="H869" s="864">
        <f t="shared" si="54"/>
        <v>2022</v>
      </c>
      <c r="I869" s="879">
        <f t="shared" si="55"/>
        <v>45</v>
      </c>
      <c r="J869" s="867" cm="1">
        <f t="array" ref="J869">INDEX($E:$E,MATCH($J$10,IF($B:$B=$B869,$I:$I),1))</f>
        <v>102091</v>
      </c>
    </row>
    <row r="870" spans="2:10">
      <c r="B870" s="817" t="s">
        <v>3261</v>
      </c>
      <c r="C870" s="817" t="s">
        <v>6151</v>
      </c>
      <c r="D870" s="863">
        <v>44873</v>
      </c>
      <c r="E870" s="817">
        <v>100041</v>
      </c>
      <c r="F870" s="864">
        <f t="shared" si="52"/>
        <v>11</v>
      </c>
      <c r="G870" s="864">
        <f t="shared" si="53"/>
        <v>46</v>
      </c>
      <c r="H870" s="864">
        <f t="shared" si="54"/>
        <v>2022</v>
      </c>
      <c r="I870" s="879">
        <f t="shared" si="55"/>
        <v>46</v>
      </c>
      <c r="J870" s="867" cm="1">
        <f t="array" ref="J870">INDEX($E:$E,MATCH($J$10,IF($B:$B=$B870,$I:$I),1))</f>
        <v>102091</v>
      </c>
    </row>
    <row r="871" spans="2:10">
      <c r="B871" s="817" t="s">
        <v>3261</v>
      </c>
      <c r="C871" s="817" t="s">
        <v>6151</v>
      </c>
      <c r="D871" s="866">
        <v>44880</v>
      </c>
      <c r="E871" s="817">
        <v>100783</v>
      </c>
      <c r="F871" s="864">
        <f t="shared" si="52"/>
        <v>11</v>
      </c>
      <c r="G871" s="864">
        <f t="shared" si="53"/>
        <v>47</v>
      </c>
      <c r="H871" s="864">
        <f t="shared" si="54"/>
        <v>2022</v>
      </c>
      <c r="I871" s="879">
        <f t="shared" si="55"/>
        <v>47</v>
      </c>
      <c r="J871" s="867" cm="1">
        <f t="array" ref="J871">INDEX($E:$E,MATCH($J$10,IF($B:$B=$B871,$I:$I),1))</f>
        <v>102091</v>
      </c>
    </row>
    <row r="872" spans="2:10">
      <c r="B872" s="817" t="s">
        <v>3261</v>
      </c>
      <c r="C872" s="817" t="s">
        <v>6151</v>
      </c>
      <c r="D872" s="863">
        <v>44887</v>
      </c>
      <c r="E872" s="817">
        <v>101434</v>
      </c>
      <c r="F872" s="864">
        <f t="shared" si="52"/>
        <v>11</v>
      </c>
      <c r="G872" s="864">
        <f t="shared" si="53"/>
        <v>48</v>
      </c>
      <c r="H872" s="864">
        <f t="shared" si="54"/>
        <v>2022</v>
      </c>
      <c r="I872" s="879">
        <f t="shared" si="55"/>
        <v>48</v>
      </c>
      <c r="J872" s="867" cm="1">
        <f t="array" ref="J872">INDEX($E:$E,MATCH($J$10,IF($B:$B=$B872,$I:$I),1))</f>
        <v>102091</v>
      </c>
    </row>
    <row r="873" spans="2:10">
      <c r="B873" s="817" t="s">
        <v>3261</v>
      </c>
      <c r="C873" s="817" t="s">
        <v>6151</v>
      </c>
      <c r="D873" s="866">
        <v>44894</v>
      </c>
      <c r="E873" s="817">
        <v>102476</v>
      </c>
      <c r="F873" s="864">
        <f t="shared" si="52"/>
        <v>11</v>
      </c>
      <c r="G873" s="864">
        <f t="shared" si="53"/>
        <v>49</v>
      </c>
      <c r="H873" s="864">
        <f t="shared" si="54"/>
        <v>2022</v>
      </c>
      <c r="I873" s="879">
        <f t="shared" si="55"/>
        <v>49</v>
      </c>
      <c r="J873" s="867" cm="1">
        <f t="array" ref="J873">INDEX($E:$E,MATCH($J$10,IF($B:$B=$B873,$I:$I),1))</f>
        <v>102091</v>
      </c>
    </row>
    <row r="874" spans="2:10">
      <c r="B874" s="817" t="s">
        <v>3261</v>
      </c>
      <c r="C874" s="817" t="s">
        <v>6151</v>
      </c>
      <c r="D874" s="863">
        <v>44900</v>
      </c>
      <c r="E874" s="817">
        <v>102873</v>
      </c>
      <c r="F874" s="864">
        <f t="shared" si="52"/>
        <v>12</v>
      </c>
      <c r="G874" s="864">
        <f t="shared" si="53"/>
        <v>50</v>
      </c>
      <c r="H874" s="864">
        <f t="shared" si="54"/>
        <v>2022</v>
      </c>
      <c r="I874" s="879">
        <f t="shared" si="55"/>
        <v>50</v>
      </c>
      <c r="J874" s="867" cm="1">
        <f t="array" ref="J874">INDEX($E:$E,MATCH($J$10,IF($B:$B=$B874,$I:$I),1))</f>
        <v>102091</v>
      </c>
    </row>
    <row r="875" spans="2:10">
      <c r="B875" s="817" t="s">
        <v>3261</v>
      </c>
      <c r="C875" s="817" t="s">
        <v>6151</v>
      </c>
      <c r="D875" s="866">
        <v>44907</v>
      </c>
      <c r="E875" s="817">
        <v>103555</v>
      </c>
      <c r="F875" s="864">
        <f t="shared" si="52"/>
        <v>12</v>
      </c>
      <c r="G875" s="864">
        <f t="shared" si="53"/>
        <v>51</v>
      </c>
      <c r="H875" s="864">
        <f t="shared" si="54"/>
        <v>2022</v>
      </c>
      <c r="I875" s="879">
        <f t="shared" si="55"/>
        <v>51</v>
      </c>
      <c r="J875" s="867" cm="1">
        <f t="array" ref="J875">INDEX($E:$E,MATCH($J$10,IF($B:$B=$B875,$I:$I),1))</f>
        <v>102091</v>
      </c>
    </row>
    <row r="876" spans="2:10">
      <c r="B876" s="817" t="s">
        <v>3261</v>
      </c>
      <c r="C876" s="817" t="s">
        <v>6151</v>
      </c>
      <c r="D876" s="863">
        <v>44914</v>
      </c>
      <c r="E876" s="817">
        <v>104140</v>
      </c>
      <c r="F876" s="864">
        <f t="shared" si="52"/>
        <v>12</v>
      </c>
      <c r="G876" s="864">
        <f t="shared" si="53"/>
        <v>52</v>
      </c>
      <c r="H876" s="864">
        <f t="shared" si="54"/>
        <v>2022</v>
      </c>
      <c r="I876" s="879">
        <f t="shared" si="55"/>
        <v>52</v>
      </c>
      <c r="J876" s="867" cm="1">
        <f t="array" ref="J876">INDEX($E:$E,MATCH($J$10,IF($B:$B=$B876,$I:$I),1))</f>
        <v>102091</v>
      </c>
    </row>
    <row r="877" spans="2:10">
      <c r="B877" s="817" t="s">
        <v>3261</v>
      </c>
      <c r="C877" s="817" t="s">
        <v>6151</v>
      </c>
      <c r="D877" s="866">
        <v>44918</v>
      </c>
      <c r="E877" s="817">
        <v>104738</v>
      </c>
      <c r="F877" s="864">
        <f t="shared" si="52"/>
        <v>12</v>
      </c>
      <c r="G877" s="864">
        <f t="shared" si="53"/>
        <v>52</v>
      </c>
      <c r="H877" s="864">
        <f t="shared" si="54"/>
        <v>2022</v>
      </c>
      <c r="I877" s="879">
        <f t="shared" si="55"/>
        <v>52</v>
      </c>
      <c r="J877" s="867" cm="1">
        <f t="array" ref="J877">INDEX($E:$E,MATCH($J$10,IF($B:$B=$B877,$I:$I),1))</f>
        <v>102091</v>
      </c>
    </row>
    <row r="878" spans="2:10">
      <c r="B878" s="817" t="s">
        <v>3261</v>
      </c>
      <c r="C878" s="817" t="s">
        <v>6151</v>
      </c>
      <c r="D878" s="863">
        <v>44928</v>
      </c>
      <c r="E878" s="817">
        <v>105205</v>
      </c>
      <c r="F878" s="864">
        <f t="shared" si="52"/>
        <v>1</v>
      </c>
      <c r="G878" s="864">
        <f t="shared" si="53"/>
        <v>1</v>
      </c>
      <c r="H878" s="864">
        <f t="shared" si="54"/>
        <v>2023</v>
      </c>
      <c r="I878" s="879">
        <f t="shared" si="55"/>
        <v>54</v>
      </c>
      <c r="J878" s="867" cm="1">
        <f t="array" ref="J878">INDEX($E:$E,MATCH($J$10,IF($B:$B=$B878,$I:$I),1))</f>
        <v>102091</v>
      </c>
    </row>
    <row r="879" spans="2:10">
      <c r="B879" s="817" t="s">
        <v>3261</v>
      </c>
      <c r="C879" s="817" t="s">
        <v>6151</v>
      </c>
      <c r="D879" s="866">
        <v>44934</v>
      </c>
      <c r="E879" s="817">
        <v>105732</v>
      </c>
      <c r="F879" s="864">
        <f t="shared" si="52"/>
        <v>1</v>
      </c>
      <c r="G879" s="864">
        <f t="shared" si="53"/>
        <v>2</v>
      </c>
      <c r="H879" s="864">
        <f t="shared" si="54"/>
        <v>2023</v>
      </c>
      <c r="I879" s="879">
        <f t="shared" si="55"/>
        <v>55</v>
      </c>
      <c r="J879" s="867" cm="1">
        <f t="array" ref="J879">INDEX($E:$E,MATCH($J$10,IF($B:$B=$B879,$I:$I),1))</f>
        <v>102091</v>
      </c>
    </row>
    <row r="880" spans="2:10">
      <c r="B880" s="817" t="s">
        <v>3261</v>
      </c>
      <c r="C880" s="817" t="s">
        <v>6151</v>
      </c>
      <c r="D880" s="863">
        <v>44941</v>
      </c>
      <c r="E880" s="817">
        <v>106476</v>
      </c>
      <c r="F880" s="864">
        <f t="shared" si="52"/>
        <v>1</v>
      </c>
      <c r="G880" s="864">
        <f t="shared" si="53"/>
        <v>3</v>
      </c>
      <c r="H880" s="864">
        <f t="shared" si="54"/>
        <v>2023</v>
      </c>
      <c r="I880" s="879">
        <f t="shared" si="55"/>
        <v>56</v>
      </c>
      <c r="J880" s="867" cm="1">
        <f t="array" ref="J880">INDEX($E:$E,MATCH($J$10,IF($B:$B=$B880,$I:$I),1))</f>
        <v>102091</v>
      </c>
    </row>
    <row r="881" spans="2:10">
      <c r="B881" s="817" t="s">
        <v>3261</v>
      </c>
      <c r="C881" s="817" t="s">
        <v>6151</v>
      </c>
      <c r="D881" s="866">
        <v>44948</v>
      </c>
      <c r="E881" s="817">
        <v>107203</v>
      </c>
      <c r="F881" s="864">
        <f t="shared" si="52"/>
        <v>1</v>
      </c>
      <c r="G881" s="864">
        <f t="shared" si="53"/>
        <v>4</v>
      </c>
      <c r="H881" s="864">
        <f t="shared" si="54"/>
        <v>2023</v>
      </c>
      <c r="I881" s="879">
        <f t="shared" si="55"/>
        <v>57</v>
      </c>
      <c r="J881" s="867" cm="1">
        <f t="array" ref="J881">INDEX($E:$E,MATCH($J$10,IF($B:$B=$B881,$I:$I),1))</f>
        <v>102091</v>
      </c>
    </row>
    <row r="882" spans="2:10">
      <c r="B882" s="817" t="s">
        <v>3261</v>
      </c>
      <c r="C882" s="817" t="s">
        <v>6151</v>
      </c>
      <c r="D882" s="863">
        <v>44955</v>
      </c>
      <c r="E882" s="817">
        <v>107199</v>
      </c>
      <c r="F882" s="864">
        <f t="shared" si="52"/>
        <v>1</v>
      </c>
      <c r="G882" s="864">
        <f t="shared" si="53"/>
        <v>5</v>
      </c>
      <c r="H882" s="864">
        <f t="shared" si="54"/>
        <v>2023</v>
      </c>
      <c r="I882" s="879">
        <f t="shared" si="55"/>
        <v>58</v>
      </c>
      <c r="J882" s="867" cm="1">
        <f t="array" ref="J882">INDEX($E:$E,MATCH($J$10,IF($B:$B=$B882,$I:$I),1))</f>
        <v>102091</v>
      </c>
    </row>
    <row r="883" spans="2:10">
      <c r="B883" s="817" t="s">
        <v>3261</v>
      </c>
      <c r="C883" s="817" t="s">
        <v>6151</v>
      </c>
      <c r="D883" s="866">
        <v>44961</v>
      </c>
      <c r="E883" s="817">
        <v>108488</v>
      </c>
      <c r="F883" s="864">
        <f t="shared" si="52"/>
        <v>2</v>
      </c>
      <c r="G883" s="864">
        <f t="shared" si="53"/>
        <v>5</v>
      </c>
      <c r="H883" s="864">
        <f t="shared" si="54"/>
        <v>2023</v>
      </c>
      <c r="I883" s="879">
        <f t="shared" si="55"/>
        <v>58</v>
      </c>
      <c r="J883" s="867" cm="1">
        <f t="array" ref="J883">INDEX($E:$E,MATCH($J$10,IF($B:$B=$B883,$I:$I),1))</f>
        <v>102091</v>
      </c>
    </row>
    <row r="884" spans="2:10">
      <c r="B884" s="817" t="s">
        <v>3261</v>
      </c>
      <c r="C884" s="817" t="s">
        <v>6151</v>
      </c>
      <c r="D884" s="863">
        <v>44969</v>
      </c>
      <c r="E884" s="817">
        <v>109185</v>
      </c>
      <c r="F884" s="864">
        <f t="shared" si="52"/>
        <v>2</v>
      </c>
      <c r="G884" s="864">
        <f t="shared" si="53"/>
        <v>7</v>
      </c>
      <c r="H884" s="864">
        <f t="shared" si="54"/>
        <v>2023</v>
      </c>
      <c r="I884" s="879">
        <f t="shared" si="55"/>
        <v>60</v>
      </c>
      <c r="J884" s="867" cm="1">
        <f t="array" ref="J884">INDEX($E:$E,MATCH($J$10,IF($B:$B=$B884,$I:$I),1))</f>
        <v>102091</v>
      </c>
    </row>
    <row r="885" spans="2:10">
      <c r="B885" s="817" t="s">
        <v>3261</v>
      </c>
      <c r="C885" s="817" t="s">
        <v>6151</v>
      </c>
      <c r="D885" s="866">
        <v>44976</v>
      </c>
      <c r="E885" s="817">
        <v>109828</v>
      </c>
      <c r="F885" s="864">
        <f t="shared" si="52"/>
        <v>2</v>
      </c>
      <c r="G885" s="864">
        <f t="shared" si="53"/>
        <v>8</v>
      </c>
      <c r="H885" s="864">
        <f t="shared" si="54"/>
        <v>2023</v>
      </c>
      <c r="I885" s="879">
        <f t="shared" si="55"/>
        <v>61</v>
      </c>
      <c r="J885" s="867" cm="1">
        <f t="array" ref="J885">INDEX($E:$E,MATCH($J$10,IF($B:$B=$B885,$I:$I),1))</f>
        <v>102091</v>
      </c>
    </row>
    <row r="886" spans="2:10">
      <c r="B886" s="817" t="s">
        <v>3261</v>
      </c>
      <c r="C886" s="817" t="s">
        <v>6151</v>
      </c>
      <c r="D886" s="863">
        <v>44983</v>
      </c>
      <c r="E886" s="817">
        <v>110444</v>
      </c>
      <c r="F886" s="864">
        <f t="shared" si="52"/>
        <v>2</v>
      </c>
      <c r="G886" s="864">
        <f t="shared" si="53"/>
        <v>9</v>
      </c>
      <c r="H886" s="864">
        <f t="shared" si="54"/>
        <v>2023</v>
      </c>
      <c r="I886" s="879">
        <f t="shared" si="55"/>
        <v>62</v>
      </c>
      <c r="J886" s="867" cm="1">
        <f t="array" ref="J886">INDEX($E:$E,MATCH($J$10,IF($B:$B=$B886,$I:$I),1))</f>
        <v>102091</v>
      </c>
    </row>
    <row r="887" spans="2:10">
      <c r="B887" s="817" t="s">
        <v>3261</v>
      </c>
      <c r="C887" s="817" t="s">
        <v>6151</v>
      </c>
      <c r="D887" s="866">
        <v>44990</v>
      </c>
      <c r="E887" s="817">
        <v>111173</v>
      </c>
      <c r="F887" s="864">
        <f t="shared" si="52"/>
        <v>3</v>
      </c>
      <c r="G887" s="864">
        <f t="shared" si="53"/>
        <v>10</v>
      </c>
      <c r="H887" s="864">
        <f t="shared" si="54"/>
        <v>2023</v>
      </c>
      <c r="I887" s="879">
        <f t="shared" si="55"/>
        <v>63</v>
      </c>
      <c r="J887" s="867" cm="1">
        <f t="array" ref="J887">INDEX($E:$E,MATCH($J$10,IF($B:$B=$B887,$I:$I),1))</f>
        <v>102091</v>
      </c>
    </row>
    <row r="888" spans="2:10">
      <c r="B888" s="817" t="s">
        <v>3261</v>
      </c>
      <c r="C888" s="817" t="s">
        <v>6151</v>
      </c>
      <c r="D888" s="863">
        <v>44997</v>
      </c>
      <c r="E888" s="817">
        <v>111756</v>
      </c>
      <c r="F888" s="864">
        <f t="shared" si="52"/>
        <v>3</v>
      </c>
      <c r="G888" s="864">
        <f t="shared" si="53"/>
        <v>11</v>
      </c>
      <c r="H888" s="864">
        <f t="shared" si="54"/>
        <v>2023</v>
      </c>
      <c r="I888" s="879">
        <f t="shared" si="55"/>
        <v>64</v>
      </c>
      <c r="J888" s="867" cm="1">
        <f t="array" ref="J888">INDEX($E:$E,MATCH($J$10,IF($B:$B=$B888,$I:$I),1))</f>
        <v>102091</v>
      </c>
    </row>
    <row r="889" spans="2:10">
      <c r="B889" s="817" t="s">
        <v>3261</v>
      </c>
      <c r="C889" s="817" t="s">
        <v>6151</v>
      </c>
      <c r="D889" s="863">
        <v>45004</v>
      </c>
      <c r="E889" s="817">
        <v>112362</v>
      </c>
      <c r="F889" s="864">
        <f t="shared" si="52"/>
        <v>3</v>
      </c>
      <c r="G889" s="864">
        <f t="shared" si="53"/>
        <v>12</v>
      </c>
      <c r="H889" s="864">
        <f t="shared" si="54"/>
        <v>2023</v>
      </c>
      <c r="I889" s="879">
        <f t="shared" si="55"/>
        <v>65</v>
      </c>
      <c r="J889" s="867" cm="1">
        <f t="array" ref="J889">INDEX($E:$E,MATCH($J$10,IF($B:$B=$B889,$I:$I),1))</f>
        <v>102091</v>
      </c>
    </row>
    <row r="890" spans="2:10">
      <c r="B890" s="817" t="s">
        <v>3261</v>
      </c>
      <c r="C890" s="817" t="s">
        <v>6151</v>
      </c>
      <c r="D890" s="863">
        <v>45011</v>
      </c>
      <c r="E890" s="817">
        <v>112715</v>
      </c>
      <c r="F890" s="864">
        <f t="shared" si="52"/>
        <v>3</v>
      </c>
      <c r="G890" s="864">
        <f t="shared" si="53"/>
        <v>13</v>
      </c>
      <c r="H890" s="864">
        <f t="shared" si="54"/>
        <v>2023</v>
      </c>
      <c r="I890" s="879">
        <f t="shared" si="55"/>
        <v>66</v>
      </c>
      <c r="J890" s="867" cm="1">
        <f t="array" ref="J890">INDEX($E:$E,MATCH($J$10,IF($B:$B=$B890,$I:$I),1))</f>
        <v>102091</v>
      </c>
    </row>
    <row r="891" spans="2:10">
      <c r="B891" s="817" t="s">
        <v>3261</v>
      </c>
      <c r="C891" s="817" t="s">
        <v>6151</v>
      </c>
      <c r="D891" s="863">
        <v>45014</v>
      </c>
      <c r="E891" s="817">
        <v>113253</v>
      </c>
      <c r="F891" s="864">
        <f t="shared" si="52"/>
        <v>3</v>
      </c>
      <c r="G891" s="864">
        <f t="shared" si="53"/>
        <v>13</v>
      </c>
      <c r="H891" s="864">
        <f t="shared" si="54"/>
        <v>2023</v>
      </c>
      <c r="I891" s="879">
        <f t="shared" si="55"/>
        <v>66</v>
      </c>
      <c r="J891" s="867" cm="1">
        <f t="array" ref="J891">INDEX($E:$E,MATCH($J$10,IF($B:$B=$B891,$I:$I),1))</f>
        <v>102091</v>
      </c>
    </row>
    <row r="892" spans="2:10">
      <c r="B892" s="817" t="s">
        <v>3261</v>
      </c>
      <c r="C892" s="817" t="s">
        <v>6151</v>
      </c>
      <c r="D892" s="863">
        <v>45025</v>
      </c>
      <c r="E892" s="817">
        <v>113024</v>
      </c>
      <c r="F892" s="864">
        <f t="shared" si="52"/>
        <v>4</v>
      </c>
      <c r="G892" s="864">
        <f t="shared" si="53"/>
        <v>15</v>
      </c>
      <c r="H892" s="864">
        <f t="shared" si="54"/>
        <v>2023</v>
      </c>
      <c r="I892" s="879">
        <f t="shared" si="55"/>
        <v>68</v>
      </c>
      <c r="J892" s="867" cm="1">
        <f t="array" ref="J892">INDEX($E:$E,MATCH($J$10,IF($B:$B=$B892,$I:$I),1))</f>
        <v>102091</v>
      </c>
    </row>
    <row r="893" spans="2:10">
      <c r="B893" s="817" t="s">
        <v>3261</v>
      </c>
      <c r="C893" s="817" t="s">
        <v>6151</v>
      </c>
      <c r="D893" s="863">
        <v>45032</v>
      </c>
      <c r="E893" s="817">
        <v>113509</v>
      </c>
      <c r="F893" s="864">
        <f t="shared" si="52"/>
        <v>4</v>
      </c>
      <c r="G893" s="864">
        <f t="shared" si="53"/>
        <v>16</v>
      </c>
      <c r="H893" s="864">
        <f t="shared" si="54"/>
        <v>2023</v>
      </c>
      <c r="I893" s="879">
        <f t="shared" si="55"/>
        <v>69</v>
      </c>
      <c r="J893" s="867" cm="1">
        <f t="array" ref="J893">INDEX($E:$E,MATCH($J$10,IF($B:$B=$B893,$I:$I),1))</f>
        <v>102091</v>
      </c>
    </row>
    <row r="894" spans="2:10">
      <c r="B894" s="817" t="s">
        <v>3261</v>
      </c>
      <c r="C894" s="817" t="s">
        <v>6151</v>
      </c>
      <c r="D894" s="863">
        <v>45039</v>
      </c>
      <c r="E894" s="817">
        <v>114628</v>
      </c>
      <c r="F894" s="864">
        <f t="shared" si="52"/>
        <v>4</v>
      </c>
      <c r="G894" s="864">
        <f t="shared" si="53"/>
        <v>17</v>
      </c>
      <c r="H894" s="864">
        <f t="shared" si="54"/>
        <v>2023</v>
      </c>
      <c r="I894" s="879">
        <f t="shared" si="55"/>
        <v>70</v>
      </c>
      <c r="J894" s="867" cm="1">
        <f t="array" ref="J894">INDEX($E:$E,MATCH($J$10,IF($B:$B=$B894,$I:$I),1))</f>
        <v>102091</v>
      </c>
    </row>
    <row r="895" spans="2:10">
      <c r="B895" s="817" t="s">
        <v>3261</v>
      </c>
      <c r="C895" s="817" t="s">
        <v>6151</v>
      </c>
      <c r="D895" s="863">
        <v>45060</v>
      </c>
      <c r="E895" s="817">
        <v>116202</v>
      </c>
      <c r="F895" s="864">
        <f t="shared" si="52"/>
        <v>5</v>
      </c>
      <c r="G895" s="864">
        <f t="shared" si="53"/>
        <v>20</v>
      </c>
      <c r="H895" s="864">
        <f t="shared" si="54"/>
        <v>2023</v>
      </c>
      <c r="I895" s="879">
        <f t="shared" si="55"/>
        <v>73</v>
      </c>
      <c r="J895" s="867" cm="1">
        <f t="array" ref="J895">INDEX($E:$E,MATCH($J$10,IF($B:$B=$B895,$I:$I),1))</f>
        <v>102091</v>
      </c>
    </row>
    <row r="896" spans="2:10">
      <c r="B896" s="817" t="s">
        <v>3261</v>
      </c>
      <c r="C896" s="817" t="s">
        <v>6151</v>
      </c>
      <c r="D896" s="863">
        <v>45067</v>
      </c>
      <c r="E896" s="817">
        <v>116718</v>
      </c>
      <c r="F896" s="864">
        <f t="shared" si="52"/>
        <v>5</v>
      </c>
      <c r="G896" s="864">
        <f t="shared" si="53"/>
        <v>21</v>
      </c>
      <c r="H896" s="864">
        <f t="shared" si="54"/>
        <v>2023</v>
      </c>
      <c r="I896" s="879">
        <f t="shared" si="55"/>
        <v>74</v>
      </c>
      <c r="J896" s="867" cm="1">
        <f t="array" ref="J896">INDEX($E:$E,MATCH($J$10,IF($B:$B=$B896,$I:$I),1))</f>
        <v>102091</v>
      </c>
    </row>
    <row r="897" spans="2:10">
      <c r="B897" s="817" t="s">
        <v>3261</v>
      </c>
      <c r="C897" s="817" t="s">
        <v>6151</v>
      </c>
      <c r="D897" s="863">
        <v>45077</v>
      </c>
      <c r="E897" s="817">
        <v>102091</v>
      </c>
      <c r="F897" s="864">
        <f t="shared" si="52"/>
        <v>5</v>
      </c>
      <c r="G897" s="864">
        <f t="shared" si="53"/>
        <v>22</v>
      </c>
      <c r="H897" s="864">
        <f t="shared" si="54"/>
        <v>2023</v>
      </c>
      <c r="I897" s="879">
        <f t="shared" si="55"/>
        <v>75</v>
      </c>
      <c r="J897" s="867" cm="1">
        <f t="array" ref="J897">INDEX($E:$E,MATCH($J$10,IF($B:$B=$B897,$I:$I),1))</f>
        <v>102091</v>
      </c>
    </row>
    <row r="898" spans="2:10">
      <c r="B898" s="817" t="s">
        <v>3337</v>
      </c>
      <c r="C898" s="817" t="s">
        <v>6152</v>
      </c>
      <c r="D898" s="863">
        <v>44713</v>
      </c>
      <c r="E898" s="817">
        <v>6937</v>
      </c>
      <c r="F898" s="864">
        <f t="shared" si="52"/>
        <v>6</v>
      </c>
      <c r="G898" s="864">
        <f t="shared" si="53"/>
        <v>23</v>
      </c>
      <c r="H898" s="864">
        <f t="shared" si="54"/>
        <v>2022</v>
      </c>
      <c r="I898" s="879">
        <f t="shared" si="55"/>
        <v>23</v>
      </c>
      <c r="J898" s="867" cm="1">
        <f t="array" ref="J898">INDEX($E:$E,MATCH($J$10,IF($B:$B=$B898,$I:$I),1))</f>
        <v>9477</v>
      </c>
    </row>
    <row r="899" spans="2:10">
      <c r="B899" s="817" t="s">
        <v>3337</v>
      </c>
      <c r="C899" s="817" t="s">
        <v>6152</v>
      </c>
      <c r="D899" s="866">
        <v>44719</v>
      </c>
      <c r="E899" s="817">
        <v>7050</v>
      </c>
      <c r="F899" s="864">
        <f t="shared" si="52"/>
        <v>6</v>
      </c>
      <c r="G899" s="864">
        <f t="shared" si="53"/>
        <v>24</v>
      </c>
      <c r="H899" s="864">
        <f t="shared" si="54"/>
        <v>2022</v>
      </c>
      <c r="I899" s="879">
        <f t="shared" si="55"/>
        <v>24</v>
      </c>
      <c r="J899" s="867" cm="1">
        <f t="array" ref="J899">INDEX($E:$E,MATCH($J$10,IF($B:$B=$B899,$I:$I),1))</f>
        <v>9477</v>
      </c>
    </row>
    <row r="900" spans="2:10">
      <c r="B900" s="817" t="s">
        <v>3337</v>
      </c>
      <c r="C900" s="817" t="s">
        <v>6152</v>
      </c>
      <c r="D900" s="863">
        <v>44726</v>
      </c>
      <c r="E900" s="817">
        <v>7097</v>
      </c>
      <c r="F900" s="864">
        <f t="shared" si="52"/>
        <v>6</v>
      </c>
      <c r="G900" s="864">
        <f t="shared" si="53"/>
        <v>25</v>
      </c>
      <c r="H900" s="864">
        <f t="shared" si="54"/>
        <v>2022</v>
      </c>
      <c r="I900" s="879">
        <f t="shared" si="55"/>
        <v>25</v>
      </c>
      <c r="J900" s="867" cm="1">
        <f t="array" ref="J900">INDEX($E:$E,MATCH($J$10,IF($B:$B=$B900,$I:$I),1))</f>
        <v>9477</v>
      </c>
    </row>
    <row r="901" spans="2:10">
      <c r="B901" s="817" t="s">
        <v>3337</v>
      </c>
      <c r="C901" s="817" t="s">
        <v>6152</v>
      </c>
      <c r="D901" s="866">
        <v>44733</v>
      </c>
      <c r="E901" s="817">
        <v>7834</v>
      </c>
      <c r="F901" s="864">
        <f t="shared" si="52"/>
        <v>6</v>
      </c>
      <c r="G901" s="864">
        <f t="shared" si="53"/>
        <v>26</v>
      </c>
      <c r="H901" s="864">
        <f t="shared" si="54"/>
        <v>2022</v>
      </c>
      <c r="I901" s="879">
        <f t="shared" si="55"/>
        <v>26</v>
      </c>
      <c r="J901" s="867" cm="1">
        <f t="array" ref="J901">INDEX($E:$E,MATCH($J$10,IF($B:$B=$B901,$I:$I),1))</f>
        <v>9477</v>
      </c>
    </row>
    <row r="902" spans="2:10">
      <c r="B902" s="817" t="s">
        <v>3337</v>
      </c>
      <c r="C902" s="817" t="s">
        <v>6152</v>
      </c>
      <c r="D902" s="863">
        <v>44740</v>
      </c>
      <c r="E902" s="817">
        <v>6861</v>
      </c>
      <c r="F902" s="864">
        <f t="shared" si="52"/>
        <v>6</v>
      </c>
      <c r="G902" s="864">
        <f t="shared" si="53"/>
        <v>27</v>
      </c>
      <c r="H902" s="864">
        <f t="shared" si="54"/>
        <v>2022</v>
      </c>
      <c r="I902" s="879">
        <f t="shared" si="55"/>
        <v>27</v>
      </c>
      <c r="J902" s="867" cm="1">
        <f t="array" ref="J902">INDEX($E:$E,MATCH($J$10,IF($B:$B=$B902,$I:$I),1))</f>
        <v>9477</v>
      </c>
    </row>
    <row r="903" spans="2:10">
      <c r="B903" s="817" t="s">
        <v>3337</v>
      </c>
      <c r="C903" s="817" t="s">
        <v>6152</v>
      </c>
      <c r="D903" s="866">
        <v>44747</v>
      </c>
      <c r="E903" s="817">
        <v>6962</v>
      </c>
      <c r="F903" s="864">
        <f t="shared" si="52"/>
        <v>7</v>
      </c>
      <c r="G903" s="864">
        <f t="shared" si="53"/>
        <v>28</v>
      </c>
      <c r="H903" s="864">
        <f t="shared" si="54"/>
        <v>2022</v>
      </c>
      <c r="I903" s="879">
        <f t="shared" si="55"/>
        <v>28</v>
      </c>
      <c r="J903" s="867" cm="1">
        <f t="array" ref="J903">INDEX($E:$E,MATCH($J$10,IF($B:$B=$B903,$I:$I),1))</f>
        <v>9477</v>
      </c>
    </row>
    <row r="904" spans="2:10">
      <c r="B904" s="817" t="s">
        <v>3337</v>
      </c>
      <c r="C904" s="817" t="s">
        <v>6152</v>
      </c>
      <c r="D904" s="863">
        <v>44754</v>
      </c>
      <c r="E904" s="817">
        <v>6962</v>
      </c>
      <c r="F904" s="864">
        <f t="shared" si="52"/>
        <v>7</v>
      </c>
      <c r="G904" s="864">
        <f t="shared" si="53"/>
        <v>29</v>
      </c>
      <c r="H904" s="864">
        <f t="shared" si="54"/>
        <v>2022</v>
      </c>
      <c r="I904" s="879">
        <f t="shared" si="55"/>
        <v>29</v>
      </c>
      <c r="J904" s="867" cm="1">
        <f t="array" ref="J904">INDEX($E:$E,MATCH($J$10,IF($B:$B=$B904,$I:$I),1))</f>
        <v>9477</v>
      </c>
    </row>
    <row r="905" spans="2:10">
      <c r="B905" s="817" t="s">
        <v>3337</v>
      </c>
      <c r="C905" s="817" t="s">
        <v>6152</v>
      </c>
      <c r="D905" s="866">
        <v>44761</v>
      </c>
      <c r="E905" s="817">
        <v>6789</v>
      </c>
      <c r="F905" s="864">
        <f t="shared" si="52"/>
        <v>7</v>
      </c>
      <c r="G905" s="864">
        <f t="shared" si="53"/>
        <v>30</v>
      </c>
      <c r="H905" s="864">
        <f t="shared" si="54"/>
        <v>2022</v>
      </c>
      <c r="I905" s="879">
        <f t="shared" si="55"/>
        <v>30</v>
      </c>
      <c r="J905" s="867" cm="1">
        <f t="array" ref="J905">INDEX($E:$E,MATCH($J$10,IF($B:$B=$B905,$I:$I),1))</f>
        <v>9477</v>
      </c>
    </row>
    <row r="906" spans="2:10">
      <c r="B906" s="817" t="s">
        <v>3337</v>
      </c>
      <c r="C906" s="817" t="s">
        <v>6152</v>
      </c>
      <c r="D906" s="863">
        <v>44768</v>
      </c>
      <c r="E906" s="817">
        <v>6894</v>
      </c>
      <c r="F906" s="864">
        <f t="shared" si="52"/>
        <v>7</v>
      </c>
      <c r="G906" s="864">
        <f t="shared" si="53"/>
        <v>31</v>
      </c>
      <c r="H906" s="864">
        <f t="shared" si="54"/>
        <v>2022</v>
      </c>
      <c r="I906" s="879">
        <f t="shared" si="55"/>
        <v>31</v>
      </c>
      <c r="J906" s="867" cm="1">
        <f t="array" ref="J906">INDEX($E:$E,MATCH($J$10,IF($B:$B=$B906,$I:$I),1))</f>
        <v>9477</v>
      </c>
    </row>
    <row r="907" spans="2:10">
      <c r="B907" s="817" t="s">
        <v>3337</v>
      </c>
      <c r="C907" s="817" t="s">
        <v>6152</v>
      </c>
      <c r="D907" s="866">
        <v>44782</v>
      </c>
      <c r="E907" s="817">
        <v>7010</v>
      </c>
      <c r="F907" s="864">
        <f t="shared" si="52"/>
        <v>8</v>
      </c>
      <c r="G907" s="864">
        <f t="shared" si="53"/>
        <v>33</v>
      </c>
      <c r="H907" s="864">
        <f t="shared" si="54"/>
        <v>2022</v>
      </c>
      <c r="I907" s="879">
        <f t="shared" si="55"/>
        <v>33</v>
      </c>
      <c r="J907" s="867" cm="1">
        <f t="array" ref="J907">INDEX($E:$E,MATCH($J$10,IF($B:$B=$B907,$I:$I),1))</f>
        <v>9477</v>
      </c>
    </row>
    <row r="908" spans="2:10">
      <c r="B908" s="817" t="s">
        <v>3337</v>
      </c>
      <c r="C908" s="817" t="s">
        <v>6152</v>
      </c>
      <c r="D908" s="863">
        <v>44789</v>
      </c>
      <c r="E908" s="817">
        <v>7200</v>
      </c>
      <c r="F908" s="864">
        <f t="shared" ref="F908:F971" si="56">MONTH(D908)</f>
        <v>8</v>
      </c>
      <c r="G908" s="864">
        <f t="shared" ref="G908:G971" si="57">WEEKNUM(D908)</f>
        <v>34</v>
      </c>
      <c r="H908" s="864">
        <f t="shared" ref="H908:H971" si="58">YEAR(D908)</f>
        <v>2022</v>
      </c>
      <c r="I908" s="879">
        <f t="shared" ref="I908:I971" si="59">(H908-2022)*53+G908</f>
        <v>34</v>
      </c>
      <c r="J908" s="867" cm="1">
        <f t="array" ref="J908">INDEX($E:$E,MATCH($J$10,IF($B:$B=$B908,$I:$I),1))</f>
        <v>9477</v>
      </c>
    </row>
    <row r="909" spans="2:10">
      <c r="B909" s="817" t="s">
        <v>3337</v>
      </c>
      <c r="C909" s="817" t="s">
        <v>6152</v>
      </c>
      <c r="D909" s="866">
        <v>44795</v>
      </c>
      <c r="E909" s="817">
        <v>7279</v>
      </c>
      <c r="F909" s="864">
        <f t="shared" si="56"/>
        <v>8</v>
      </c>
      <c r="G909" s="864">
        <f t="shared" si="57"/>
        <v>35</v>
      </c>
      <c r="H909" s="864">
        <f t="shared" si="58"/>
        <v>2022</v>
      </c>
      <c r="I909" s="879">
        <f t="shared" si="59"/>
        <v>35</v>
      </c>
      <c r="J909" s="867" cm="1">
        <f t="array" ref="J909">INDEX($E:$E,MATCH($J$10,IF($B:$B=$B909,$I:$I),1))</f>
        <v>9477</v>
      </c>
    </row>
    <row r="910" spans="2:10">
      <c r="B910" s="817" t="s">
        <v>3337</v>
      </c>
      <c r="C910" s="817" t="s">
        <v>6152</v>
      </c>
      <c r="D910" s="863">
        <v>44803</v>
      </c>
      <c r="E910" s="817">
        <v>7279</v>
      </c>
      <c r="F910" s="864">
        <f t="shared" si="56"/>
        <v>8</v>
      </c>
      <c r="G910" s="864">
        <f t="shared" si="57"/>
        <v>36</v>
      </c>
      <c r="H910" s="864">
        <f t="shared" si="58"/>
        <v>2022</v>
      </c>
      <c r="I910" s="879">
        <f t="shared" si="59"/>
        <v>36</v>
      </c>
      <c r="J910" s="867" cm="1">
        <f t="array" ref="J910">INDEX($E:$E,MATCH($J$10,IF($B:$B=$B910,$I:$I),1))</f>
        <v>9477</v>
      </c>
    </row>
    <row r="911" spans="2:10">
      <c r="B911" s="817" t="s">
        <v>3337</v>
      </c>
      <c r="C911" s="817" t="s">
        <v>6152</v>
      </c>
      <c r="D911" s="866">
        <v>44810</v>
      </c>
      <c r="E911" s="817">
        <v>7279</v>
      </c>
      <c r="F911" s="864">
        <f t="shared" si="56"/>
        <v>9</v>
      </c>
      <c r="G911" s="864">
        <f t="shared" si="57"/>
        <v>37</v>
      </c>
      <c r="H911" s="864">
        <f t="shared" si="58"/>
        <v>2022</v>
      </c>
      <c r="I911" s="879">
        <f t="shared" si="59"/>
        <v>37</v>
      </c>
      <c r="J911" s="867" cm="1">
        <f t="array" ref="J911">INDEX($E:$E,MATCH($J$10,IF($B:$B=$B911,$I:$I),1))</f>
        <v>9477</v>
      </c>
    </row>
    <row r="912" spans="2:10">
      <c r="B912" s="817" t="s">
        <v>3337</v>
      </c>
      <c r="C912" s="817" t="s">
        <v>6152</v>
      </c>
      <c r="D912" s="863">
        <v>44817</v>
      </c>
      <c r="E912" s="817">
        <v>7604</v>
      </c>
      <c r="F912" s="864">
        <f t="shared" si="56"/>
        <v>9</v>
      </c>
      <c r="G912" s="864">
        <f t="shared" si="57"/>
        <v>38</v>
      </c>
      <c r="H912" s="864">
        <f t="shared" si="58"/>
        <v>2022</v>
      </c>
      <c r="I912" s="879">
        <f t="shared" si="59"/>
        <v>38</v>
      </c>
      <c r="J912" s="867" cm="1">
        <f t="array" ref="J912">INDEX($E:$E,MATCH($J$10,IF($B:$B=$B912,$I:$I),1))</f>
        <v>9477</v>
      </c>
    </row>
    <row r="913" spans="2:10">
      <c r="B913" s="817" t="s">
        <v>3337</v>
      </c>
      <c r="C913" s="817" t="s">
        <v>6152</v>
      </c>
      <c r="D913" s="866">
        <v>44824</v>
      </c>
      <c r="E913" s="817">
        <v>8105</v>
      </c>
      <c r="F913" s="864">
        <f t="shared" si="56"/>
        <v>9</v>
      </c>
      <c r="G913" s="864">
        <f t="shared" si="57"/>
        <v>39</v>
      </c>
      <c r="H913" s="864">
        <f t="shared" si="58"/>
        <v>2022</v>
      </c>
      <c r="I913" s="879">
        <f t="shared" si="59"/>
        <v>39</v>
      </c>
      <c r="J913" s="867" cm="1">
        <f t="array" ref="J913">INDEX($E:$E,MATCH($J$10,IF($B:$B=$B913,$I:$I),1))</f>
        <v>9477</v>
      </c>
    </row>
    <row r="914" spans="2:10">
      <c r="B914" s="817" t="s">
        <v>3337</v>
      </c>
      <c r="C914" s="817" t="s">
        <v>6152</v>
      </c>
      <c r="D914" s="863">
        <v>44830</v>
      </c>
      <c r="E914" s="817">
        <v>8171</v>
      </c>
      <c r="F914" s="864">
        <f t="shared" si="56"/>
        <v>9</v>
      </c>
      <c r="G914" s="864">
        <f t="shared" si="57"/>
        <v>40</v>
      </c>
      <c r="H914" s="864">
        <f t="shared" si="58"/>
        <v>2022</v>
      </c>
      <c r="I914" s="879">
        <f t="shared" si="59"/>
        <v>40</v>
      </c>
      <c r="J914" s="867" cm="1">
        <f t="array" ref="J914">INDEX($E:$E,MATCH($J$10,IF($B:$B=$B914,$I:$I),1))</f>
        <v>9477</v>
      </c>
    </row>
    <row r="915" spans="2:10">
      <c r="B915" s="817" t="s">
        <v>3337</v>
      </c>
      <c r="C915" s="817" t="s">
        <v>6152</v>
      </c>
      <c r="D915" s="866">
        <v>44838</v>
      </c>
      <c r="E915" s="817">
        <v>8801</v>
      </c>
      <c r="F915" s="864">
        <f t="shared" si="56"/>
        <v>10</v>
      </c>
      <c r="G915" s="864">
        <f t="shared" si="57"/>
        <v>41</v>
      </c>
      <c r="H915" s="864">
        <f t="shared" si="58"/>
        <v>2022</v>
      </c>
      <c r="I915" s="879">
        <f t="shared" si="59"/>
        <v>41</v>
      </c>
      <c r="J915" s="867" cm="1">
        <f t="array" ref="J915">INDEX($E:$E,MATCH($J$10,IF($B:$B=$B915,$I:$I),1))</f>
        <v>9477</v>
      </c>
    </row>
    <row r="916" spans="2:10">
      <c r="B916" s="817" t="s">
        <v>3337</v>
      </c>
      <c r="C916" s="817" t="s">
        <v>6152</v>
      </c>
      <c r="D916" s="863">
        <v>44845</v>
      </c>
      <c r="E916" s="817">
        <v>8255</v>
      </c>
      <c r="F916" s="864">
        <f t="shared" si="56"/>
        <v>10</v>
      </c>
      <c r="G916" s="864">
        <f t="shared" si="57"/>
        <v>42</v>
      </c>
      <c r="H916" s="864">
        <f t="shared" si="58"/>
        <v>2022</v>
      </c>
      <c r="I916" s="879">
        <f t="shared" si="59"/>
        <v>42</v>
      </c>
      <c r="J916" s="867" cm="1">
        <f t="array" ref="J916">INDEX($E:$E,MATCH($J$10,IF($B:$B=$B916,$I:$I),1))</f>
        <v>9477</v>
      </c>
    </row>
    <row r="917" spans="2:10">
      <c r="B917" s="817" t="s">
        <v>3337</v>
      </c>
      <c r="C917" s="817" t="s">
        <v>6152</v>
      </c>
      <c r="D917" s="866">
        <v>44852</v>
      </c>
      <c r="E917" s="817">
        <v>8302</v>
      </c>
      <c r="F917" s="864">
        <f t="shared" si="56"/>
        <v>10</v>
      </c>
      <c r="G917" s="864">
        <f t="shared" si="57"/>
        <v>43</v>
      </c>
      <c r="H917" s="864">
        <f t="shared" si="58"/>
        <v>2022</v>
      </c>
      <c r="I917" s="879">
        <f t="shared" si="59"/>
        <v>43</v>
      </c>
      <c r="J917" s="867" cm="1">
        <f t="array" ref="J917">INDEX($E:$E,MATCH($J$10,IF($B:$B=$B917,$I:$I),1))</f>
        <v>9477</v>
      </c>
    </row>
    <row r="918" spans="2:10">
      <c r="B918" s="817" t="s">
        <v>3337</v>
      </c>
      <c r="C918" s="817" t="s">
        <v>6152</v>
      </c>
      <c r="D918" s="863">
        <v>44859</v>
      </c>
      <c r="E918" s="817">
        <v>8308</v>
      </c>
      <c r="F918" s="864">
        <f t="shared" si="56"/>
        <v>10</v>
      </c>
      <c r="G918" s="864">
        <f t="shared" si="57"/>
        <v>44</v>
      </c>
      <c r="H918" s="864">
        <f t="shared" si="58"/>
        <v>2022</v>
      </c>
      <c r="I918" s="879">
        <f t="shared" si="59"/>
        <v>44</v>
      </c>
      <c r="J918" s="867" cm="1">
        <f t="array" ref="J918">INDEX($E:$E,MATCH($J$10,IF($B:$B=$B918,$I:$I),1))</f>
        <v>9477</v>
      </c>
    </row>
    <row r="919" spans="2:10">
      <c r="B919" s="817" t="s">
        <v>3337</v>
      </c>
      <c r="C919" s="817" t="s">
        <v>6152</v>
      </c>
      <c r="D919" s="866">
        <v>44866</v>
      </c>
      <c r="E919" s="817">
        <v>8404</v>
      </c>
      <c r="F919" s="864">
        <f t="shared" si="56"/>
        <v>11</v>
      </c>
      <c r="G919" s="864">
        <f t="shared" si="57"/>
        <v>45</v>
      </c>
      <c r="H919" s="864">
        <f t="shared" si="58"/>
        <v>2022</v>
      </c>
      <c r="I919" s="879">
        <f t="shared" si="59"/>
        <v>45</v>
      </c>
      <c r="J919" s="867" cm="1">
        <f t="array" ref="J919">INDEX($E:$E,MATCH($J$10,IF($B:$B=$B919,$I:$I),1))</f>
        <v>9477</v>
      </c>
    </row>
    <row r="920" spans="2:10">
      <c r="B920" s="817" t="s">
        <v>3337</v>
      </c>
      <c r="C920" s="817" t="s">
        <v>6152</v>
      </c>
      <c r="D920" s="863">
        <v>44873</v>
      </c>
      <c r="E920" s="817">
        <v>8439</v>
      </c>
      <c r="F920" s="864">
        <f t="shared" si="56"/>
        <v>11</v>
      </c>
      <c r="G920" s="864">
        <f t="shared" si="57"/>
        <v>46</v>
      </c>
      <c r="H920" s="864">
        <f t="shared" si="58"/>
        <v>2022</v>
      </c>
      <c r="I920" s="879">
        <f t="shared" si="59"/>
        <v>46</v>
      </c>
      <c r="J920" s="867" cm="1">
        <f t="array" ref="J920">INDEX($E:$E,MATCH($J$10,IF($B:$B=$B920,$I:$I),1))</f>
        <v>9477</v>
      </c>
    </row>
    <row r="921" spans="2:10">
      <c r="B921" s="817" t="s">
        <v>3337</v>
      </c>
      <c r="C921" s="817" t="s">
        <v>6152</v>
      </c>
      <c r="D921" s="866">
        <v>44880</v>
      </c>
      <c r="E921" s="817">
        <v>8439</v>
      </c>
      <c r="F921" s="864">
        <f t="shared" si="56"/>
        <v>11</v>
      </c>
      <c r="G921" s="864">
        <f t="shared" si="57"/>
        <v>47</v>
      </c>
      <c r="H921" s="864">
        <f t="shared" si="58"/>
        <v>2022</v>
      </c>
      <c r="I921" s="879">
        <f t="shared" si="59"/>
        <v>47</v>
      </c>
      <c r="J921" s="867" cm="1">
        <f t="array" ref="J921">INDEX($E:$E,MATCH($J$10,IF($B:$B=$B921,$I:$I),1))</f>
        <v>9477</v>
      </c>
    </row>
    <row r="922" spans="2:10">
      <c r="B922" s="817" t="s">
        <v>3337</v>
      </c>
      <c r="C922" s="817" t="s">
        <v>6152</v>
      </c>
      <c r="D922" s="863">
        <v>44887</v>
      </c>
      <c r="E922" s="817">
        <v>8490</v>
      </c>
      <c r="F922" s="864">
        <f t="shared" si="56"/>
        <v>11</v>
      </c>
      <c r="G922" s="864">
        <f t="shared" si="57"/>
        <v>48</v>
      </c>
      <c r="H922" s="864">
        <f t="shared" si="58"/>
        <v>2022</v>
      </c>
      <c r="I922" s="879">
        <f t="shared" si="59"/>
        <v>48</v>
      </c>
      <c r="J922" s="867" cm="1">
        <f t="array" ref="J922">INDEX($E:$E,MATCH($J$10,IF($B:$B=$B922,$I:$I),1))</f>
        <v>9477</v>
      </c>
    </row>
    <row r="923" spans="2:10">
      <c r="B923" s="817" t="s">
        <v>3337</v>
      </c>
      <c r="C923" s="817" t="s">
        <v>6152</v>
      </c>
      <c r="D923" s="866">
        <v>44894</v>
      </c>
      <c r="E923" s="817">
        <v>8655</v>
      </c>
      <c r="F923" s="864">
        <f t="shared" si="56"/>
        <v>11</v>
      </c>
      <c r="G923" s="864">
        <f t="shared" si="57"/>
        <v>49</v>
      </c>
      <c r="H923" s="864">
        <f t="shared" si="58"/>
        <v>2022</v>
      </c>
      <c r="I923" s="879">
        <f t="shared" si="59"/>
        <v>49</v>
      </c>
      <c r="J923" s="867" cm="1">
        <f t="array" ref="J923">INDEX($E:$E,MATCH($J$10,IF($B:$B=$B923,$I:$I),1))</f>
        <v>9477</v>
      </c>
    </row>
    <row r="924" spans="2:10">
      <c r="B924" s="817" t="s">
        <v>3337</v>
      </c>
      <c r="C924" s="817" t="s">
        <v>6152</v>
      </c>
      <c r="D924" s="863">
        <v>44908</v>
      </c>
      <c r="E924" s="817">
        <v>8661</v>
      </c>
      <c r="F924" s="864">
        <f t="shared" si="56"/>
        <v>12</v>
      </c>
      <c r="G924" s="864">
        <f t="shared" si="57"/>
        <v>51</v>
      </c>
      <c r="H924" s="864">
        <f t="shared" si="58"/>
        <v>2022</v>
      </c>
      <c r="I924" s="879">
        <f t="shared" si="59"/>
        <v>51</v>
      </c>
      <c r="J924" s="867" cm="1">
        <f t="array" ref="J924">INDEX($E:$E,MATCH($J$10,IF($B:$B=$B924,$I:$I),1))</f>
        <v>9477</v>
      </c>
    </row>
    <row r="925" spans="2:10">
      <c r="B925" s="817" t="s">
        <v>3337</v>
      </c>
      <c r="C925" s="817" t="s">
        <v>6152</v>
      </c>
      <c r="D925" s="866">
        <v>44915</v>
      </c>
      <c r="E925" s="817">
        <v>8821</v>
      </c>
      <c r="F925" s="864">
        <f t="shared" si="56"/>
        <v>12</v>
      </c>
      <c r="G925" s="864">
        <f t="shared" si="57"/>
        <v>52</v>
      </c>
      <c r="H925" s="864">
        <f t="shared" si="58"/>
        <v>2022</v>
      </c>
      <c r="I925" s="879">
        <f t="shared" si="59"/>
        <v>52</v>
      </c>
      <c r="J925" s="867" cm="1">
        <f t="array" ref="J925">INDEX($E:$E,MATCH($J$10,IF($B:$B=$B925,$I:$I),1))</f>
        <v>9477</v>
      </c>
    </row>
    <row r="926" spans="2:10">
      <c r="B926" s="817" t="s">
        <v>3337</v>
      </c>
      <c r="C926" s="817" t="s">
        <v>6152</v>
      </c>
      <c r="D926" s="863">
        <v>44922</v>
      </c>
      <c r="E926" s="817">
        <v>8821</v>
      </c>
      <c r="F926" s="864">
        <f t="shared" si="56"/>
        <v>12</v>
      </c>
      <c r="G926" s="864">
        <f t="shared" si="57"/>
        <v>53</v>
      </c>
      <c r="H926" s="864">
        <f t="shared" si="58"/>
        <v>2022</v>
      </c>
      <c r="I926" s="879">
        <f t="shared" si="59"/>
        <v>53</v>
      </c>
      <c r="J926" s="867" cm="1">
        <f t="array" ref="J926">INDEX($E:$E,MATCH($J$10,IF($B:$B=$B926,$I:$I),1))</f>
        <v>9477</v>
      </c>
    </row>
    <row r="927" spans="2:10">
      <c r="B927" s="817" t="s">
        <v>3337</v>
      </c>
      <c r="C927" s="817" t="s">
        <v>6152</v>
      </c>
      <c r="D927" s="866">
        <v>44929</v>
      </c>
      <c r="E927" s="817">
        <v>8824</v>
      </c>
      <c r="F927" s="864">
        <f t="shared" si="56"/>
        <v>1</v>
      </c>
      <c r="G927" s="864">
        <f t="shared" si="57"/>
        <v>1</v>
      </c>
      <c r="H927" s="864">
        <f t="shared" si="58"/>
        <v>2023</v>
      </c>
      <c r="I927" s="879">
        <f t="shared" si="59"/>
        <v>54</v>
      </c>
      <c r="J927" s="867" cm="1">
        <f t="array" ref="J927">INDEX($E:$E,MATCH($J$10,IF($B:$B=$B927,$I:$I),1))</f>
        <v>9477</v>
      </c>
    </row>
    <row r="928" spans="2:10">
      <c r="B928" s="817" t="s">
        <v>3337</v>
      </c>
      <c r="C928" s="817" t="s">
        <v>6152</v>
      </c>
      <c r="D928" s="863">
        <v>44936</v>
      </c>
      <c r="E928" s="817">
        <v>9081</v>
      </c>
      <c r="F928" s="864">
        <f t="shared" si="56"/>
        <v>1</v>
      </c>
      <c r="G928" s="864">
        <f t="shared" si="57"/>
        <v>2</v>
      </c>
      <c r="H928" s="864">
        <f t="shared" si="58"/>
        <v>2023</v>
      </c>
      <c r="I928" s="879">
        <f t="shared" si="59"/>
        <v>55</v>
      </c>
      <c r="J928" s="867" cm="1">
        <f t="array" ref="J928">INDEX($E:$E,MATCH($J$10,IF($B:$B=$B928,$I:$I),1))</f>
        <v>9477</v>
      </c>
    </row>
    <row r="929" spans="2:10">
      <c r="B929" s="817" t="s">
        <v>3337</v>
      </c>
      <c r="C929" s="817" t="s">
        <v>6152</v>
      </c>
      <c r="D929" s="866">
        <v>44964</v>
      </c>
      <c r="E929" s="817">
        <v>9076</v>
      </c>
      <c r="F929" s="864">
        <f t="shared" si="56"/>
        <v>2</v>
      </c>
      <c r="G929" s="864">
        <f t="shared" si="57"/>
        <v>6</v>
      </c>
      <c r="H929" s="864">
        <f t="shared" si="58"/>
        <v>2023</v>
      </c>
      <c r="I929" s="879">
        <f t="shared" si="59"/>
        <v>59</v>
      </c>
      <c r="J929" s="867" cm="1">
        <f t="array" ref="J929">INDEX($E:$E,MATCH($J$10,IF($B:$B=$B929,$I:$I),1))</f>
        <v>9477</v>
      </c>
    </row>
    <row r="930" spans="2:10">
      <c r="B930" s="817" t="s">
        <v>3337</v>
      </c>
      <c r="C930" s="817" t="s">
        <v>6152</v>
      </c>
      <c r="D930" s="863">
        <v>44976</v>
      </c>
      <c r="E930" s="817">
        <v>8874</v>
      </c>
      <c r="F930" s="864">
        <f t="shared" si="56"/>
        <v>2</v>
      </c>
      <c r="G930" s="864">
        <f t="shared" si="57"/>
        <v>8</v>
      </c>
      <c r="H930" s="864">
        <f t="shared" si="58"/>
        <v>2023</v>
      </c>
      <c r="I930" s="879">
        <f t="shared" si="59"/>
        <v>61</v>
      </c>
      <c r="J930" s="867" cm="1">
        <f t="array" ref="J930">INDEX($E:$E,MATCH($J$10,IF($B:$B=$B930,$I:$I),1))</f>
        <v>9477</v>
      </c>
    </row>
    <row r="931" spans="2:10">
      <c r="B931" s="817" t="s">
        <v>3337</v>
      </c>
      <c r="C931" s="817" t="s">
        <v>6152</v>
      </c>
      <c r="D931" s="866">
        <v>44984</v>
      </c>
      <c r="E931" s="817">
        <v>8965</v>
      </c>
      <c r="F931" s="864">
        <f t="shared" si="56"/>
        <v>2</v>
      </c>
      <c r="G931" s="864">
        <f t="shared" si="57"/>
        <v>9</v>
      </c>
      <c r="H931" s="864">
        <f t="shared" si="58"/>
        <v>2023</v>
      </c>
      <c r="I931" s="879">
        <f t="shared" si="59"/>
        <v>62</v>
      </c>
      <c r="J931" s="867" cm="1">
        <f t="array" ref="J931">INDEX($E:$E,MATCH($J$10,IF($B:$B=$B931,$I:$I),1))</f>
        <v>9477</v>
      </c>
    </row>
    <row r="932" spans="2:10">
      <c r="B932" s="817" t="s">
        <v>3337</v>
      </c>
      <c r="C932" s="817" t="s">
        <v>6152</v>
      </c>
      <c r="D932" s="863">
        <v>44992</v>
      </c>
      <c r="E932" s="817">
        <v>9061</v>
      </c>
      <c r="F932" s="864">
        <f t="shared" si="56"/>
        <v>3</v>
      </c>
      <c r="G932" s="864">
        <f t="shared" si="57"/>
        <v>10</v>
      </c>
      <c r="H932" s="864">
        <f t="shared" si="58"/>
        <v>2023</v>
      </c>
      <c r="I932" s="879">
        <f t="shared" si="59"/>
        <v>63</v>
      </c>
      <c r="J932" s="867" cm="1">
        <f t="array" ref="J932">INDEX($E:$E,MATCH($J$10,IF($B:$B=$B932,$I:$I),1))</f>
        <v>9477</v>
      </c>
    </row>
    <row r="933" spans="2:10">
      <c r="B933" s="817" t="s">
        <v>3337</v>
      </c>
      <c r="C933" s="817" t="s">
        <v>6152</v>
      </c>
      <c r="D933" s="863">
        <v>44998</v>
      </c>
      <c r="E933" s="817">
        <v>9075</v>
      </c>
      <c r="F933" s="864">
        <f t="shared" si="56"/>
        <v>3</v>
      </c>
      <c r="G933" s="864">
        <f t="shared" si="57"/>
        <v>11</v>
      </c>
      <c r="H933" s="864">
        <f t="shared" si="58"/>
        <v>2023</v>
      </c>
      <c r="I933" s="879">
        <f t="shared" si="59"/>
        <v>64</v>
      </c>
      <c r="J933" s="867" cm="1">
        <f t="array" ref="J933">INDEX($E:$E,MATCH($J$10,IF($B:$B=$B933,$I:$I),1))</f>
        <v>9477</v>
      </c>
    </row>
    <row r="934" spans="2:10">
      <c r="B934" s="817" t="s">
        <v>3337</v>
      </c>
      <c r="C934" s="817" t="s">
        <v>6152</v>
      </c>
      <c r="D934" s="863">
        <v>45004</v>
      </c>
      <c r="E934" s="817">
        <v>9119</v>
      </c>
      <c r="F934" s="864">
        <f t="shared" si="56"/>
        <v>3</v>
      </c>
      <c r="G934" s="864">
        <f t="shared" si="57"/>
        <v>12</v>
      </c>
      <c r="H934" s="864">
        <f t="shared" si="58"/>
        <v>2023</v>
      </c>
      <c r="I934" s="879">
        <f t="shared" si="59"/>
        <v>65</v>
      </c>
      <c r="J934" s="867" cm="1">
        <f t="array" ref="J934">INDEX($E:$E,MATCH($J$10,IF($B:$B=$B934,$I:$I),1))</f>
        <v>9477</v>
      </c>
    </row>
    <row r="935" spans="2:10">
      <c r="B935" s="817" t="s">
        <v>3337</v>
      </c>
      <c r="C935" s="817" t="s">
        <v>6152</v>
      </c>
      <c r="D935" s="863">
        <v>45012</v>
      </c>
      <c r="E935" s="817">
        <v>9156</v>
      </c>
      <c r="F935" s="864">
        <f t="shared" si="56"/>
        <v>3</v>
      </c>
      <c r="G935" s="864">
        <f t="shared" si="57"/>
        <v>13</v>
      </c>
      <c r="H935" s="864">
        <f t="shared" si="58"/>
        <v>2023</v>
      </c>
      <c r="I935" s="879">
        <f t="shared" si="59"/>
        <v>66</v>
      </c>
      <c r="J935" s="867" cm="1">
        <f t="array" ref="J935">INDEX($E:$E,MATCH($J$10,IF($B:$B=$B935,$I:$I),1))</f>
        <v>9477</v>
      </c>
    </row>
    <row r="936" spans="2:10">
      <c r="B936" s="817" t="s">
        <v>3337</v>
      </c>
      <c r="C936" s="817" t="s">
        <v>6152</v>
      </c>
      <c r="D936" s="863">
        <v>45018</v>
      </c>
      <c r="E936" s="817">
        <v>9222</v>
      </c>
      <c r="F936" s="864">
        <f t="shared" si="56"/>
        <v>4</v>
      </c>
      <c r="G936" s="864">
        <f t="shared" si="57"/>
        <v>14</v>
      </c>
      <c r="H936" s="864">
        <f t="shared" si="58"/>
        <v>2023</v>
      </c>
      <c r="I936" s="879">
        <f t="shared" si="59"/>
        <v>67</v>
      </c>
      <c r="J936" s="867" cm="1">
        <f t="array" ref="J936">INDEX($E:$E,MATCH($J$10,IF($B:$B=$B936,$I:$I),1))</f>
        <v>9477</v>
      </c>
    </row>
    <row r="937" spans="2:10">
      <c r="B937" s="817" t="s">
        <v>3337</v>
      </c>
      <c r="C937" s="817" t="s">
        <v>6152</v>
      </c>
      <c r="D937" s="863">
        <v>45027</v>
      </c>
      <c r="E937" s="817">
        <v>9461</v>
      </c>
      <c r="F937" s="864">
        <f t="shared" si="56"/>
        <v>4</v>
      </c>
      <c r="G937" s="864">
        <f t="shared" si="57"/>
        <v>15</v>
      </c>
      <c r="H937" s="864">
        <f t="shared" si="58"/>
        <v>2023</v>
      </c>
      <c r="I937" s="879">
        <f t="shared" si="59"/>
        <v>68</v>
      </c>
      <c r="J937" s="867" cm="1">
        <f t="array" ref="J937">INDEX($E:$E,MATCH($J$10,IF($B:$B=$B937,$I:$I),1))</f>
        <v>9477</v>
      </c>
    </row>
    <row r="938" spans="2:10">
      <c r="B938" s="817" t="s">
        <v>3337</v>
      </c>
      <c r="C938" s="817" t="s">
        <v>6152</v>
      </c>
      <c r="D938" s="863">
        <v>45053</v>
      </c>
      <c r="E938" s="817">
        <v>9397</v>
      </c>
      <c r="F938" s="864">
        <f t="shared" si="56"/>
        <v>5</v>
      </c>
      <c r="G938" s="864">
        <f t="shared" si="57"/>
        <v>19</v>
      </c>
      <c r="H938" s="864">
        <f t="shared" si="58"/>
        <v>2023</v>
      </c>
      <c r="I938" s="879">
        <f t="shared" si="59"/>
        <v>72</v>
      </c>
      <c r="J938" s="867" cm="1">
        <f t="array" ref="J938">INDEX($E:$E,MATCH($J$10,IF($B:$B=$B938,$I:$I),1))</f>
        <v>9477</v>
      </c>
    </row>
    <row r="939" spans="2:10">
      <c r="B939" s="817" t="s">
        <v>3337</v>
      </c>
      <c r="C939" s="817" t="s">
        <v>6152</v>
      </c>
      <c r="D939" s="863">
        <v>45061</v>
      </c>
      <c r="E939" s="817">
        <v>9312</v>
      </c>
      <c r="F939" s="864">
        <f t="shared" si="56"/>
        <v>5</v>
      </c>
      <c r="G939" s="864">
        <f t="shared" si="57"/>
        <v>20</v>
      </c>
      <c r="H939" s="864">
        <f t="shared" si="58"/>
        <v>2023</v>
      </c>
      <c r="I939" s="879">
        <f t="shared" si="59"/>
        <v>73</v>
      </c>
      <c r="J939" s="867" cm="1">
        <f t="array" ref="J939">INDEX($E:$E,MATCH($J$10,IF($B:$B=$B939,$I:$I),1))</f>
        <v>9477</v>
      </c>
    </row>
    <row r="940" spans="2:10">
      <c r="B940" s="817" t="s">
        <v>3337</v>
      </c>
      <c r="C940" s="817" t="s">
        <v>6152</v>
      </c>
      <c r="D940" s="863">
        <v>45068</v>
      </c>
      <c r="E940" s="817">
        <v>9477</v>
      </c>
      <c r="F940" s="864">
        <f t="shared" si="56"/>
        <v>5</v>
      </c>
      <c r="G940" s="864">
        <f t="shared" si="57"/>
        <v>21</v>
      </c>
      <c r="H940" s="864">
        <f t="shared" si="58"/>
        <v>2023</v>
      </c>
      <c r="I940" s="879">
        <f t="shared" si="59"/>
        <v>74</v>
      </c>
      <c r="J940" s="867" cm="1">
        <f t="array" ref="J940">INDEX($E:$E,MATCH($J$10,IF($B:$B=$B940,$I:$I),1))</f>
        <v>9477</v>
      </c>
    </row>
    <row r="941" spans="2:10">
      <c r="B941" s="817" t="s">
        <v>3337</v>
      </c>
      <c r="C941" s="817" t="s">
        <v>6152</v>
      </c>
      <c r="D941" s="863">
        <v>45082</v>
      </c>
      <c r="E941" s="817">
        <v>9353</v>
      </c>
      <c r="F941" s="864">
        <f t="shared" si="56"/>
        <v>6</v>
      </c>
      <c r="G941" s="864">
        <f t="shared" si="57"/>
        <v>23</v>
      </c>
      <c r="H941" s="864">
        <f t="shared" si="58"/>
        <v>2023</v>
      </c>
      <c r="I941" s="879">
        <f t="shared" si="59"/>
        <v>76</v>
      </c>
      <c r="J941" s="867" cm="1">
        <f t="array" ref="J941">INDEX($E:$E,MATCH($J$10,IF($B:$B=$B941,$I:$I),1))</f>
        <v>9477</v>
      </c>
    </row>
    <row r="942" spans="2:10">
      <c r="B942" s="817" t="s">
        <v>3412</v>
      </c>
      <c r="C942" s="817" t="s">
        <v>6153</v>
      </c>
      <c r="D942" s="866">
        <v>44705</v>
      </c>
      <c r="E942" s="817">
        <v>109541</v>
      </c>
      <c r="F942" s="864">
        <f t="shared" si="56"/>
        <v>5</v>
      </c>
      <c r="G942" s="864">
        <f t="shared" si="57"/>
        <v>22</v>
      </c>
      <c r="H942" s="864">
        <f t="shared" si="58"/>
        <v>2022</v>
      </c>
      <c r="I942" s="879">
        <f t="shared" si="59"/>
        <v>22</v>
      </c>
      <c r="J942" s="867" cm="1">
        <f t="array" ref="J942">INDEX($E:$E,MATCH($J$10,IF($B:$B=$B942,$I:$I),1))</f>
        <v>177228</v>
      </c>
    </row>
    <row r="943" spans="2:10">
      <c r="B943" s="817" t="s">
        <v>3412</v>
      </c>
      <c r="C943" s="817" t="s">
        <v>6153</v>
      </c>
      <c r="D943" s="863">
        <v>44717</v>
      </c>
      <c r="E943" s="817">
        <v>118199</v>
      </c>
      <c r="F943" s="864">
        <f t="shared" si="56"/>
        <v>6</v>
      </c>
      <c r="G943" s="864">
        <f t="shared" si="57"/>
        <v>24</v>
      </c>
      <c r="H943" s="864">
        <f t="shared" si="58"/>
        <v>2022</v>
      </c>
      <c r="I943" s="879">
        <f t="shared" si="59"/>
        <v>24</v>
      </c>
      <c r="J943" s="867" cm="1">
        <f t="array" ref="J943">INDEX($E:$E,MATCH($J$10,IF($B:$B=$B943,$I:$I),1))</f>
        <v>177228</v>
      </c>
    </row>
    <row r="944" spans="2:10">
      <c r="B944" s="817" t="s">
        <v>3412</v>
      </c>
      <c r="C944" s="817" t="s">
        <v>6153</v>
      </c>
      <c r="D944" s="866">
        <v>44724</v>
      </c>
      <c r="E944" s="817">
        <v>119820</v>
      </c>
      <c r="F944" s="864">
        <f t="shared" si="56"/>
        <v>6</v>
      </c>
      <c r="G944" s="864">
        <f t="shared" si="57"/>
        <v>25</v>
      </c>
      <c r="H944" s="864">
        <f t="shared" si="58"/>
        <v>2022</v>
      </c>
      <c r="I944" s="879">
        <f t="shared" si="59"/>
        <v>25</v>
      </c>
      <c r="J944" s="867" cm="1">
        <f t="array" ref="J944">INDEX($E:$E,MATCH($J$10,IF($B:$B=$B944,$I:$I),1))</f>
        <v>177228</v>
      </c>
    </row>
    <row r="945" spans="2:10">
      <c r="B945" s="817" t="s">
        <v>3412</v>
      </c>
      <c r="C945" s="817" t="s">
        <v>6153</v>
      </c>
      <c r="D945" s="863">
        <v>44732</v>
      </c>
      <c r="E945" s="817">
        <v>124052</v>
      </c>
      <c r="F945" s="864">
        <f t="shared" si="56"/>
        <v>6</v>
      </c>
      <c r="G945" s="864">
        <f t="shared" si="57"/>
        <v>26</v>
      </c>
      <c r="H945" s="864">
        <f t="shared" si="58"/>
        <v>2022</v>
      </c>
      <c r="I945" s="879">
        <f t="shared" si="59"/>
        <v>26</v>
      </c>
      <c r="J945" s="867" cm="1">
        <f t="array" ref="J945">INDEX($E:$E,MATCH($J$10,IF($B:$B=$B945,$I:$I),1))</f>
        <v>177228</v>
      </c>
    </row>
    <row r="946" spans="2:10">
      <c r="B946" s="817" t="s">
        <v>3412</v>
      </c>
      <c r="C946" s="817" t="s">
        <v>6153</v>
      </c>
      <c r="D946" s="866">
        <v>44738</v>
      </c>
      <c r="E946" s="817">
        <v>123888</v>
      </c>
      <c r="F946" s="864">
        <f t="shared" si="56"/>
        <v>6</v>
      </c>
      <c r="G946" s="864">
        <f t="shared" si="57"/>
        <v>27</v>
      </c>
      <c r="H946" s="864">
        <f t="shared" si="58"/>
        <v>2022</v>
      </c>
      <c r="I946" s="879">
        <f t="shared" si="59"/>
        <v>27</v>
      </c>
      <c r="J946" s="867" cm="1">
        <f t="array" ref="J946">INDEX($E:$E,MATCH($J$10,IF($B:$B=$B946,$I:$I),1))</f>
        <v>177228</v>
      </c>
    </row>
    <row r="947" spans="2:10">
      <c r="B947" s="817" t="s">
        <v>3412</v>
      </c>
      <c r="C947" s="817" t="s">
        <v>6153</v>
      </c>
      <c r="D947" s="863">
        <v>44746</v>
      </c>
      <c r="E947" s="817">
        <v>125757</v>
      </c>
      <c r="F947" s="864">
        <f t="shared" si="56"/>
        <v>7</v>
      </c>
      <c r="G947" s="864">
        <f t="shared" si="57"/>
        <v>28</v>
      </c>
      <c r="H947" s="864">
        <f t="shared" si="58"/>
        <v>2022</v>
      </c>
      <c r="I947" s="879">
        <f t="shared" si="59"/>
        <v>28</v>
      </c>
      <c r="J947" s="867" cm="1">
        <f t="array" ref="J947">INDEX($E:$E,MATCH($J$10,IF($B:$B=$B947,$I:$I),1))</f>
        <v>177228</v>
      </c>
    </row>
    <row r="948" spans="2:10">
      <c r="B948" s="817" t="s">
        <v>3412</v>
      </c>
      <c r="C948" s="817" t="s">
        <v>6153</v>
      </c>
      <c r="D948" s="866">
        <v>44754</v>
      </c>
      <c r="E948" s="817">
        <v>127750</v>
      </c>
      <c r="F948" s="864">
        <f t="shared" si="56"/>
        <v>7</v>
      </c>
      <c r="G948" s="864">
        <f t="shared" si="57"/>
        <v>29</v>
      </c>
      <c r="H948" s="864">
        <f t="shared" si="58"/>
        <v>2022</v>
      </c>
      <c r="I948" s="879">
        <f t="shared" si="59"/>
        <v>29</v>
      </c>
      <c r="J948" s="867" cm="1">
        <f t="array" ref="J948">INDEX($E:$E,MATCH($J$10,IF($B:$B=$B948,$I:$I),1))</f>
        <v>177228</v>
      </c>
    </row>
    <row r="949" spans="2:10">
      <c r="B949" s="817" t="s">
        <v>3412</v>
      </c>
      <c r="C949" s="817" t="s">
        <v>6153</v>
      </c>
      <c r="D949" s="863">
        <v>44761</v>
      </c>
      <c r="E949" s="817">
        <v>128982</v>
      </c>
      <c r="F949" s="864">
        <f t="shared" si="56"/>
        <v>7</v>
      </c>
      <c r="G949" s="864">
        <f t="shared" si="57"/>
        <v>30</v>
      </c>
      <c r="H949" s="864">
        <f t="shared" si="58"/>
        <v>2022</v>
      </c>
      <c r="I949" s="879">
        <f t="shared" si="59"/>
        <v>30</v>
      </c>
      <c r="J949" s="867" cm="1">
        <f t="array" ref="J949">INDEX($E:$E,MATCH($J$10,IF($B:$B=$B949,$I:$I),1))</f>
        <v>177228</v>
      </c>
    </row>
    <row r="950" spans="2:10">
      <c r="B950" s="817" t="s">
        <v>3412</v>
      </c>
      <c r="C950" s="817" t="s">
        <v>6153</v>
      </c>
      <c r="D950" s="866">
        <v>44767</v>
      </c>
      <c r="E950" s="817">
        <v>130160</v>
      </c>
      <c r="F950" s="864">
        <f t="shared" si="56"/>
        <v>7</v>
      </c>
      <c r="G950" s="864">
        <f t="shared" si="57"/>
        <v>31</v>
      </c>
      <c r="H950" s="864">
        <f t="shared" si="58"/>
        <v>2022</v>
      </c>
      <c r="I950" s="879">
        <f t="shared" si="59"/>
        <v>31</v>
      </c>
      <c r="J950" s="867" cm="1">
        <f t="array" ref="J950">INDEX($E:$E,MATCH($J$10,IF($B:$B=$B950,$I:$I),1))</f>
        <v>177228</v>
      </c>
    </row>
    <row r="951" spans="2:10">
      <c r="B951" s="817" t="s">
        <v>3412</v>
      </c>
      <c r="C951" s="817" t="s">
        <v>6153</v>
      </c>
      <c r="D951" s="863">
        <v>44773</v>
      </c>
      <c r="E951" s="817">
        <v>131771</v>
      </c>
      <c r="F951" s="864">
        <f t="shared" si="56"/>
        <v>7</v>
      </c>
      <c r="G951" s="864">
        <f t="shared" si="57"/>
        <v>32</v>
      </c>
      <c r="H951" s="864">
        <f t="shared" si="58"/>
        <v>2022</v>
      </c>
      <c r="I951" s="879">
        <f t="shared" si="59"/>
        <v>32</v>
      </c>
      <c r="J951" s="867" cm="1">
        <f t="array" ref="J951">INDEX($E:$E,MATCH($J$10,IF($B:$B=$B951,$I:$I),1))</f>
        <v>177228</v>
      </c>
    </row>
    <row r="952" spans="2:10">
      <c r="B952" s="817" t="s">
        <v>3412</v>
      </c>
      <c r="C952" s="817" t="s">
        <v>6153</v>
      </c>
      <c r="D952" s="866">
        <v>44781</v>
      </c>
      <c r="E952" s="817">
        <v>133007</v>
      </c>
      <c r="F952" s="864">
        <f t="shared" si="56"/>
        <v>8</v>
      </c>
      <c r="G952" s="864">
        <f t="shared" si="57"/>
        <v>33</v>
      </c>
      <c r="H952" s="864">
        <f t="shared" si="58"/>
        <v>2022</v>
      </c>
      <c r="I952" s="879">
        <f t="shared" si="59"/>
        <v>33</v>
      </c>
      <c r="J952" s="867" cm="1">
        <f t="array" ref="J952">INDEX($E:$E,MATCH($J$10,IF($B:$B=$B952,$I:$I),1))</f>
        <v>177228</v>
      </c>
    </row>
    <row r="953" spans="2:10">
      <c r="B953" s="817" t="s">
        <v>3412</v>
      </c>
      <c r="C953" s="817" t="s">
        <v>6153</v>
      </c>
      <c r="D953" s="863">
        <v>44788</v>
      </c>
      <c r="E953" s="817">
        <v>133913</v>
      </c>
      <c r="F953" s="864">
        <f t="shared" si="56"/>
        <v>8</v>
      </c>
      <c r="G953" s="864">
        <f t="shared" si="57"/>
        <v>34</v>
      </c>
      <c r="H953" s="864">
        <f t="shared" si="58"/>
        <v>2022</v>
      </c>
      <c r="I953" s="879">
        <f t="shared" si="59"/>
        <v>34</v>
      </c>
      <c r="J953" s="867" cm="1">
        <f t="array" ref="J953">INDEX($E:$E,MATCH($J$10,IF($B:$B=$B953,$I:$I),1))</f>
        <v>177228</v>
      </c>
    </row>
    <row r="954" spans="2:10">
      <c r="B954" s="817" t="s">
        <v>3412</v>
      </c>
      <c r="C954" s="817" t="s">
        <v>6153</v>
      </c>
      <c r="D954" s="866">
        <v>44793</v>
      </c>
      <c r="E954" s="817">
        <v>137637</v>
      </c>
      <c r="F954" s="864">
        <f t="shared" si="56"/>
        <v>8</v>
      </c>
      <c r="G954" s="864">
        <f t="shared" si="57"/>
        <v>34</v>
      </c>
      <c r="H954" s="864">
        <f t="shared" si="58"/>
        <v>2022</v>
      </c>
      <c r="I954" s="879">
        <f t="shared" si="59"/>
        <v>34</v>
      </c>
      <c r="J954" s="867" cm="1">
        <f t="array" ref="J954">INDEX($E:$E,MATCH($J$10,IF($B:$B=$B954,$I:$I),1))</f>
        <v>177228</v>
      </c>
    </row>
    <row r="955" spans="2:10">
      <c r="B955" s="817" t="s">
        <v>3412</v>
      </c>
      <c r="C955" s="817" t="s">
        <v>6153</v>
      </c>
      <c r="D955" s="863">
        <v>44802</v>
      </c>
      <c r="E955" s="817">
        <v>139116</v>
      </c>
      <c r="F955" s="864">
        <f t="shared" si="56"/>
        <v>8</v>
      </c>
      <c r="G955" s="864">
        <f t="shared" si="57"/>
        <v>36</v>
      </c>
      <c r="H955" s="864">
        <f t="shared" si="58"/>
        <v>2022</v>
      </c>
      <c r="I955" s="879">
        <f t="shared" si="59"/>
        <v>36</v>
      </c>
      <c r="J955" s="867" cm="1">
        <f t="array" ref="J955">INDEX($E:$E,MATCH($J$10,IF($B:$B=$B955,$I:$I),1))</f>
        <v>177228</v>
      </c>
    </row>
    <row r="956" spans="2:10">
      <c r="B956" s="817" t="s">
        <v>3412</v>
      </c>
      <c r="C956" s="817" t="s">
        <v>6153</v>
      </c>
      <c r="D956" s="866">
        <v>44808</v>
      </c>
      <c r="E956" s="817">
        <v>140391</v>
      </c>
      <c r="F956" s="864">
        <f t="shared" si="56"/>
        <v>9</v>
      </c>
      <c r="G956" s="864">
        <f t="shared" si="57"/>
        <v>37</v>
      </c>
      <c r="H956" s="864">
        <f t="shared" si="58"/>
        <v>2022</v>
      </c>
      <c r="I956" s="879">
        <f t="shared" si="59"/>
        <v>37</v>
      </c>
      <c r="J956" s="867" cm="1">
        <f t="array" ref="J956">INDEX($E:$E,MATCH($J$10,IF($B:$B=$B956,$I:$I),1))</f>
        <v>177228</v>
      </c>
    </row>
    <row r="957" spans="2:10">
      <c r="B957" s="817" t="s">
        <v>3412</v>
      </c>
      <c r="C957" s="817" t="s">
        <v>6153</v>
      </c>
      <c r="D957" s="863">
        <v>44815</v>
      </c>
      <c r="E957" s="817">
        <v>141846</v>
      </c>
      <c r="F957" s="864">
        <f t="shared" si="56"/>
        <v>9</v>
      </c>
      <c r="G957" s="864">
        <f t="shared" si="57"/>
        <v>38</v>
      </c>
      <c r="H957" s="864">
        <f t="shared" si="58"/>
        <v>2022</v>
      </c>
      <c r="I957" s="879">
        <f t="shared" si="59"/>
        <v>38</v>
      </c>
      <c r="J957" s="867" cm="1">
        <f t="array" ref="J957">INDEX($E:$E,MATCH($J$10,IF($B:$B=$B957,$I:$I),1))</f>
        <v>177228</v>
      </c>
    </row>
    <row r="958" spans="2:10">
      <c r="B958" s="817" t="s">
        <v>3412</v>
      </c>
      <c r="C958" s="817" t="s">
        <v>6153</v>
      </c>
      <c r="D958" s="866">
        <v>44822</v>
      </c>
      <c r="E958" s="817">
        <v>143345</v>
      </c>
      <c r="F958" s="864">
        <f t="shared" si="56"/>
        <v>9</v>
      </c>
      <c r="G958" s="864">
        <f t="shared" si="57"/>
        <v>39</v>
      </c>
      <c r="H958" s="864">
        <f t="shared" si="58"/>
        <v>2022</v>
      </c>
      <c r="I958" s="879">
        <f t="shared" si="59"/>
        <v>39</v>
      </c>
      <c r="J958" s="867" cm="1">
        <f t="array" ref="J958">INDEX($E:$E,MATCH($J$10,IF($B:$B=$B958,$I:$I),1))</f>
        <v>177228</v>
      </c>
    </row>
    <row r="959" spans="2:10">
      <c r="B959" s="817" t="s">
        <v>3412</v>
      </c>
      <c r="C959" s="817" t="s">
        <v>6153</v>
      </c>
      <c r="D959" s="863">
        <v>44829</v>
      </c>
      <c r="E959" s="817">
        <v>144668</v>
      </c>
      <c r="F959" s="864">
        <f t="shared" si="56"/>
        <v>9</v>
      </c>
      <c r="G959" s="864">
        <f t="shared" si="57"/>
        <v>40</v>
      </c>
      <c r="H959" s="864">
        <f t="shared" si="58"/>
        <v>2022</v>
      </c>
      <c r="I959" s="879">
        <f t="shared" si="59"/>
        <v>40</v>
      </c>
      <c r="J959" s="867" cm="1">
        <f t="array" ref="J959">INDEX($E:$E,MATCH($J$10,IF($B:$B=$B959,$I:$I),1))</f>
        <v>177228</v>
      </c>
    </row>
    <row r="960" spans="2:10">
      <c r="B960" s="817" t="s">
        <v>3412</v>
      </c>
      <c r="C960" s="817" t="s">
        <v>6153</v>
      </c>
      <c r="D960" s="866">
        <v>44836</v>
      </c>
      <c r="E960" s="817">
        <v>145838</v>
      </c>
      <c r="F960" s="864">
        <f t="shared" si="56"/>
        <v>10</v>
      </c>
      <c r="G960" s="864">
        <f t="shared" si="57"/>
        <v>41</v>
      </c>
      <c r="H960" s="864">
        <f t="shared" si="58"/>
        <v>2022</v>
      </c>
      <c r="I960" s="879">
        <f t="shared" si="59"/>
        <v>41</v>
      </c>
      <c r="J960" s="867" cm="1">
        <f t="array" ref="J960">INDEX($E:$E,MATCH($J$10,IF($B:$B=$B960,$I:$I),1))</f>
        <v>177228</v>
      </c>
    </row>
    <row r="961" spans="2:10">
      <c r="B961" s="817" t="s">
        <v>3412</v>
      </c>
      <c r="C961" s="817" t="s">
        <v>6153</v>
      </c>
      <c r="D961" s="863">
        <v>44844</v>
      </c>
      <c r="E961" s="817">
        <v>147113</v>
      </c>
      <c r="F961" s="864">
        <f t="shared" si="56"/>
        <v>10</v>
      </c>
      <c r="G961" s="864">
        <f t="shared" si="57"/>
        <v>42</v>
      </c>
      <c r="H961" s="864">
        <f t="shared" si="58"/>
        <v>2022</v>
      </c>
      <c r="I961" s="879">
        <f t="shared" si="59"/>
        <v>42</v>
      </c>
      <c r="J961" s="867" cm="1">
        <f t="array" ref="J961">INDEX($E:$E,MATCH($J$10,IF($B:$B=$B961,$I:$I),1))</f>
        <v>177228</v>
      </c>
    </row>
    <row r="962" spans="2:10">
      <c r="B962" s="817" t="s">
        <v>3412</v>
      </c>
      <c r="C962" s="817" t="s">
        <v>6153</v>
      </c>
      <c r="D962" s="866">
        <v>44851</v>
      </c>
      <c r="E962" s="817">
        <v>147930</v>
      </c>
      <c r="F962" s="864">
        <f t="shared" si="56"/>
        <v>10</v>
      </c>
      <c r="G962" s="864">
        <f t="shared" si="57"/>
        <v>43</v>
      </c>
      <c r="H962" s="864">
        <f t="shared" si="58"/>
        <v>2022</v>
      </c>
      <c r="I962" s="879">
        <f t="shared" si="59"/>
        <v>43</v>
      </c>
      <c r="J962" s="867" cm="1">
        <f t="array" ref="J962">INDEX($E:$E,MATCH($J$10,IF($B:$B=$B962,$I:$I),1))</f>
        <v>177228</v>
      </c>
    </row>
    <row r="963" spans="2:10">
      <c r="B963" s="817" t="s">
        <v>3412</v>
      </c>
      <c r="C963" s="817" t="s">
        <v>6153</v>
      </c>
      <c r="D963" s="863">
        <v>44858</v>
      </c>
      <c r="E963" s="817">
        <v>149213</v>
      </c>
      <c r="F963" s="864">
        <f t="shared" si="56"/>
        <v>10</v>
      </c>
      <c r="G963" s="864">
        <f t="shared" si="57"/>
        <v>44</v>
      </c>
      <c r="H963" s="864">
        <f t="shared" si="58"/>
        <v>2022</v>
      </c>
      <c r="I963" s="879">
        <f t="shared" si="59"/>
        <v>44</v>
      </c>
      <c r="J963" s="867" cm="1">
        <f t="array" ref="J963">INDEX($E:$E,MATCH($J$10,IF($B:$B=$B963,$I:$I),1))</f>
        <v>177228</v>
      </c>
    </row>
    <row r="964" spans="2:10">
      <c r="B964" s="817" t="s">
        <v>3412</v>
      </c>
      <c r="C964" s="817" t="s">
        <v>6153</v>
      </c>
      <c r="D964" s="866">
        <v>44865</v>
      </c>
      <c r="E964" s="817">
        <v>150460</v>
      </c>
      <c r="F964" s="864">
        <f t="shared" si="56"/>
        <v>10</v>
      </c>
      <c r="G964" s="864">
        <f t="shared" si="57"/>
        <v>45</v>
      </c>
      <c r="H964" s="864">
        <f t="shared" si="58"/>
        <v>2022</v>
      </c>
      <c r="I964" s="879">
        <f t="shared" si="59"/>
        <v>45</v>
      </c>
      <c r="J964" s="867" cm="1">
        <f t="array" ref="J964">INDEX($E:$E,MATCH($J$10,IF($B:$B=$B964,$I:$I),1))</f>
        <v>177228</v>
      </c>
    </row>
    <row r="965" spans="2:10">
      <c r="B965" s="817" t="s">
        <v>3412</v>
      </c>
      <c r="C965" s="817" t="s">
        <v>6153</v>
      </c>
      <c r="D965" s="863">
        <v>44872</v>
      </c>
      <c r="E965" s="817">
        <v>151786</v>
      </c>
      <c r="F965" s="864">
        <f t="shared" si="56"/>
        <v>11</v>
      </c>
      <c r="G965" s="864">
        <f t="shared" si="57"/>
        <v>46</v>
      </c>
      <c r="H965" s="864">
        <f t="shared" si="58"/>
        <v>2022</v>
      </c>
      <c r="I965" s="879">
        <f t="shared" si="59"/>
        <v>46</v>
      </c>
      <c r="J965" s="867" cm="1">
        <f t="array" ref="J965">INDEX($E:$E,MATCH($J$10,IF($B:$B=$B965,$I:$I),1))</f>
        <v>177228</v>
      </c>
    </row>
    <row r="966" spans="2:10">
      <c r="B966" s="817" t="s">
        <v>3412</v>
      </c>
      <c r="C966" s="817" t="s">
        <v>6153</v>
      </c>
      <c r="D966" s="866">
        <v>44879</v>
      </c>
      <c r="E966" s="817">
        <v>153054</v>
      </c>
      <c r="F966" s="864">
        <f t="shared" si="56"/>
        <v>11</v>
      </c>
      <c r="G966" s="864">
        <f t="shared" si="57"/>
        <v>47</v>
      </c>
      <c r="H966" s="864">
        <f t="shared" si="58"/>
        <v>2022</v>
      </c>
      <c r="I966" s="879">
        <f t="shared" si="59"/>
        <v>47</v>
      </c>
      <c r="J966" s="867" cm="1">
        <f t="array" ref="J966">INDEX($E:$E,MATCH($J$10,IF($B:$B=$B966,$I:$I),1))</f>
        <v>177228</v>
      </c>
    </row>
    <row r="967" spans="2:10">
      <c r="B967" s="817" t="s">
        <v>3412</v>
      </c>
      <c r="C967" s="817" t="s">
        <v>6153</v>
      </c>
      <c r="D967" s="863">
        <v>44886</v>
      </c>
      <c r="E967" s="817">
        <v>154457</v>
      </c>
      <c r="F967" s="864">
        <f t="shared" si="56"/>
        <v>11</v>
      </c>
      <c r="G967" s="864">
        <f t="shared" si="57"/>
        <v>48</v>
      </c>
      <c r="H967" s="864">
        <f t="shared" si="58"/>
        <v>2022</v>
      </c>
      <c r="I967" s="879">
        <f t="shared" si="59"/>
        <v>48</v>
      </c>
      <c r="J967" s="867" cm="1">
        <f t="array" ref="J967">INDEX($E:$E,MATCH($J$10,IF($B:$B=$B967,$I:$I),1))</f>
        <v>177228</v>
      </c>
    </row>
    <row r="968" spans="2:10">
      <c r="B968" s="817" t="s">
        <v>3412</v>
      </c>
      <c r="C968" s="817" t="s">
        <v>6153</v>
      </c>
      <c r="D968" s="866">
        <v>44892</v>
      </c>
      <c r="E968" s="817">
        <v>155473</v>
      </c>
      <c r="F968" s="864">
        <f t="shared" si="56"/>
        <v>11</v>
      </c>
      <c r="G968" s="864">
        <f t="shared" si="57"/>
        <v>49</v>
      </c>
      <c r="H968" s="864">
        <f t="shared" si="58"/>
        <v>2022</v>
      </c>
      <c r="I968" s="879">
        <f t="shared" si="59"/>
        <v>49</v>
      </c>
      <c r="J968" s="867" cm="1">
        <f t="array" ref="J968">INDEX($E:$E,MATCH($J$10,IF($B:$B=$B968,$I:$I),1))</f>
        <v>177228</v>
      </c>
    </row>
    <row r="969" spans="2:10">
      <c r="B969" s="817" t="s">
        <v>3412</v>
      </c>
      <c r="C969" s="817" t="s">
        <v>6153</v>
      </c>
      <c r="D969" s="863">
        <v>44901</v>
      </c>
      <c r="E969" s="817">
        <v>156753</v>
      </c>
      <c r="F969" s="864">
        <f t="shared" si="56"/>
        <v>12</v>
      </c>
      <c r="G969" s="864">
        <f t="shared" si="57"/>
        <v>50</v>
      </c>
      <c r="H969" s="864">
        <f t="shared" si="58"/>
        <v>2022</v>
      </c>
      <c r="I969" s="879">
        <f t="shared" si="59"/>
        <v>50</v>
      </c>
      <c r="J969" s="867" cm="1">
        <f t="array" ref="J969">INDEX($E:$E,MATCH($J$10,IF($B:$B=$B969,$I:$I),1))</f>
        <v>177228</v>
      </c>
    </row>
    <row r="970" spans="2:10">
      <c r="B970" s="817" t="s">
        <v>3412</v>
      </c>
      <c r="C970" s="817" t="s">
        <v>6153</v>
      </c>
      <c r="D970" s="866">
        <v>44908</v>
      </c>
      <c r="E970" s="817">
        <v>157429</v>
      </c>
      <c r="F970" s="864">
        <f t="shared" si="56"/>
        <v>12</v>
      </c>
      <c r="G970" s="864">
        <f t="shared" si="57"/>
        <v>51</v>
      </c>
      <c r="H970" s="864">
        <f t="shared" si="58"/>
        <v>2022</v>
      </c>
      <c r="I970" s="879">
        <f t="shared" si="59"/>
        <v>51</v>
      </c>
      <c r="J970" s="867" cm="1">
        <f t="array" ref="J970">INDEX($E:$E,MATCH($J$10,IF($B:$B=$B970,$I:$I),1))</f>
        <v>177228</v>
      </c>
    </row>
    <row r="971" spans="2:10">
      <c r="B971" s="817" t="s">
        <v>3412</v>
      </c>
      <c r="C971" s="817" t="s">
        <v>6153</v>
      </c>
      <c r="D971" s="863">
        <v>44915</v>
      </c>
      <c r="E971" s="817">
        <v>158789</v>
      </c>
      <c r="F971" s="864">
        <f t="shared" si="56"/>
        <v>12</v>
      </c>
      <c r="G971" s="864">
        <f t="shared" si="57"/>
        <v>52</v>
      </c>
      <c r="H971" s="864">
        <f t="shared" si="58"/>
        <v>2022</v>
      </c>
      <c r="I971" s="879">
        <f t="shared" si="59"/>
        <v>52</v>
      </c>
      <c r="J971" s="867" cm="1">
        <f t="array" ref="J971">INDEX($E:$E,MATCH($J$10,IF($B:$B=$B971,$I:$I),1))</f>
        <v>177228</v>
      </c>
    </row>
    <row r="972" spans="2:10">
      <c r="B972" s="817" t="s">
        <v>3412</v>
      </c>
      <c r="C972" s="817" t="s">
        <v>6153</v>
      </c>
      <c r="D972" s="866">
        <v>44921</v>
      </c>
      <c r="E972" s="817">
        <v>160287</v>
      </c>
      <c r="F972" s="864">
        <f t="shared" ref="F972:F1035" si="60">MONTH(D972)</f>
        <v>12</v>
      </c>
      <c r="G972" s="864">
        <f t="shared" ref="G972:G1035" si="61">WEEKNUM(D972)</f>
        <v>53</v>
      </c>
      <c r="H972" s="864">
        <f t="shared" ref="H972:H1035" si="62">YEAR(D972)</f>
        <v>2022</v>
      </c>
      <c r="I972" s="879">
        <f t="shared" ref="I972:I1035" si="63">(H972-2022)*53+G972</f>
        <v>53</v>
      </c>
      <c r="J972" s="867" cm="1">
        <f t="array" ref="J972">INDEX($E:$E,MATCH($J$10,IF($B:$B=$B972,$I:$I),1))</f>
        <v>177228</v>
      </c>
    </row>
    <row r="973" spans="2:10">
      <c r="B973" s="817" t="s">
        <v>3412</v>
      </c>
      <c r="C973" s="817" t="s">
        <v>6153</v>
      </c>
      <c r="D973" s="863">
        <v>44923</v>
      </c>
      <c r="E973" s="817">
        <v>161012</v>
      </c>
      <c r="F973" s="864">
        <f t="shared" si="60"/>
        <v>12</v>
      </c>
      <c r="G973" s="864">
        <f t="shared" si="61"/>
        <v>53</v>
      </c>
      <c r="H973" s="864">
        <f t="shared" si="62"/>
        <v>2022</v>
      </c>
      <c r="I973" s="879">
        <f t="shared" si="63"/>
        <v>53</v>
      </c>
      <c r="J973" s="867" cm="1">
        <f t="array" ref="J973">INDEX($E:$E,MATCH($J$10,IF($B:$B=$B973,$I:$I),1))</f>
        <v>177228</v>
      </c>
    </row>
    <row r="974" spans="2:10">
      <c r="B974" s="817" t="s">
        <v>3412</v>
      </c>
      <c r="C974" s="817" t="s">
        <v>6153</v>
      </c>
      <c r="D974" s="866">
        <v>44926</v>
      </c>
      <c r="E974" s="817">
        <v>161012</v>
      </c>
      <c r="F974" s="864">
        <f t="shared" si="60"/>
        <v>12</v>
      </c>
      <c r="G974" s="864">
        <f t="shared" si="61"/>
        <v>53</v>
      </c>
      <c r="H974" s="864">
        <f t="shared" si="62"/>
        <v>2022</v>
      </c>
      <c r="I974" s="879">
        <f t="shared" si="63"/>
        <v>53</v>
      </c>
      <c r="J974" s="867" cm="1">
        <f t="array" ref="J974">INDEX($E:$E,MATCH($J$10,IF($B:$B=$B974,$I:$I),1))</f>
        <v>177228</v>
      </c>
    </row>
    <row r="975" spans="2:10">
      <c r="B975" s="817" t="s">
        <v>3412</v>
      </c>
      <c r="C975" s="817" t="s">
        <v>6153</v>
      </c>
      <c r="D975" s="863">
        <v>44943</v>
      </c>
      <c r="E975" s="817">
        <v>161012</v>
      </c>
      <c r="F975" s="864">
        <f t="shared" si="60"/>
        <v>1</v>
      </c>
      <c r="G975" s="864">
        <f t="shared" si="61"/>
        <v>3</v>
      </c>
      <c r="H975" s="864">
        <f t="shared" si="62"/>
        <v>2023</v>
      </c>
      <c r="I975" s="879">
        <f t="shared" si="63"/>
        <v>56</v>
      </c>
      <c r="J975" s="867" cm="1">
        <f t="array" ref="J975">INDEX($E:$E,MATCH($J$10,IF($B:$B=$B975,$I:$I),1))</f>
        <v>177228</v>
      </c>
    </row>
    <row r="976" spans="2:10">
      <c r="B976" s="817" t="s">
        <v>3412</v>
      </c>
      <c r="C976" s="817" t="s">
        <v>6153</v>
      </c>
      <c r="D976" s="866">
        <v>44950</v>
      </c>
      <c r="E976" s="817">
        <v>161012</v>
      </c>
      <c r="F976" s="864">
        <f t="shared" si="60"/>
        <v>1</v>
      </c>
      <c r="G976" s="864">
        <f t="shared" si="61"/>
        <v>4</v>
      </c>
      <c r="H976" s="864">
        <f t="shared" si="62"/>
        <v>2023</v>
      </c>
      <c r="I976" s="879">
        <f t="shared" si="63"/>
        <v>57</v>
      </c>
      <c r="J976" s="867" cm="1">
        <f t="array" ref="J976">INDEX($E:$E,MATCH($J$10,IF($B:$B=$B976,$I:$I),1))</f>
        <v>177228</v>
      </c>
    </row>
    <row r="977" spans="2:10">
      <c r="B977" s="817" t="s">
        <v>3412</v>
      </c>
      <c r="C977" s="817" t="s">
        <v>6153</v>
      </c>
      <c r="D977" s="863">
        <v>44957</v>
      </c>
      <c r="E977" s="817">
        <v>161012</v>
      </c>
      <c r="F977" s="864">
        <f t="shared" si="60"/>
        <v>1</v>
      </c>
      <c r="G977" s="864">
        <f t="shared" si="61"/>
        <v>5</v>
      </c>
      <c r="H977" s="864">
        <f t="shared" si="62"/>
        <v>2023</v>
      </c>
      <c r="I977" s="879">
        <f t="shared" si="63"/>
        <v>58</v>
      </c>
      <c r="J977" s="867" cm="1">
        <f t="array" ref="J977">INDEX($E:$E,MATCH($J$10,IF($B:$B=$B977,$I:$I),1))</f>
        <v>177228</v>
      </c>
    </row>
    <row r="978" spans="2:10">
      <c r="B978" s="817" t="s">
        <v>3412</v>
      </c>
      <c r="C978" s="817" t="s">
        <v>6153</v>
      </c>
      <c r="D978" s="866">
        <v>44970</v>
      </c>
      <c r="E978" s="817">
        <v>166832</v>
      </c>
      <c r="F978" s="864">
        <f t="shared" si="60"/>
        <v>2</v>
      </c>
      <c r="G978" s="864">
        <f t="shared" si="61"/>
        <v>7</v>
      </c>
      <c r="H978" s="864">
        <f t="shared" si="62"/>
        <v>2023</v>
      </c>
      <c r="I978" s="879">
        <f t="shared" si="63"/>
        <v>60</v>
      </c>
      <c r="J978" s="867" cm="1">
        <f t="array" ref="J978">INDEX($E:$E,MATCH($J$10,IF($B:$B=$B978,$I:$I),1))</f>
        <v>177228</v>
      </c>
    </row>
    <row r="979" spans="2:10">
      <c r="B979" s="817" t="s">
        <v>3412</v>
      </c>
      <c r="C979" s="817" t="s">
        <v>6153</v>
      </c>
      <c r="D979" s="863">
        <v>44976</v>
      </c>
      <c r="E979" s="817">
        <v>167726</v>
      </c>
      <c r="F979" s="864">
        <f t="shared" si="60"/>
        <v>2</v>
      </c>
      <c r="G979" s="864">
        <f t="shared" si="61"/>
        <v>8</v>
      </c>
      <c r="H979" s="864">
        <f t="shared" si="62"/>
        <v>2023</v>
      </c>
      <c r="I979" s="879">
        <f t="shared" si="63"/>
        <v>61</v>
      </c>
      <c r="J979" s="867" cm="1">
        <f t="array" ref="J979">INDEX($E:$E,MATCH($J$10,IF($B:$B=$B979,$I:$I),1))</f>
        <v>177228</v>
      </c>
    </row>
    <row r="980" spans="2:10">
      <c r="B980" s="817" t="s">
        <v>3412</v>
      </c>
      <c r="C980" s="817" t="s">
        <v>6153</v>
      </c>
      <c r="D980" s="866">
        <v>44983</v>
      </c>
      <c r="E980" s="817">
        <v>168654</v>
      </c>
      <c r="F980" s="864">
        <f t="shared" si="60"/>
        <v>2</v>
      </c>
      <c r="G980" s="864">
        <f t="shared" si="61"/>
        <v>9</v>
      </c>
      <c r="H980" s="864">
        <f t="shared" si="62"/>
        <v>2023</v>
      </c>
      <c r="I980" s="879">
        <f t="shared" si="63"/>
        <v>62</v>
      </c>
      <c r="J980" s="867" cm="1">
        <f t="array" ref="J980">INDEX($E:$E,MATCH($J$10,IF($B:$B=$B980,$I:$I),1))</f>
        <v>177228</v>
      </c>
    </row>
    <row r="981" spans="2:10">
      <c r="B981" s="817" t="s">
        <v>3412</v>
      </c>
      <c r="C981" s="817" t="s">
        <v>6153</v>
      </c>
      <c r="D981" s="863">
        <v>44997</v>
      </c>
      <c r="E981" s="817">
        <v>170345</v>
      </c>
      <c r="F981" s="864">
        <f t="shared" si="60"/>
        <v>3</v>
      </c>
      <c r="G981" s="864">
        <f t="shared" si="61"/>
        <v>11</v>
      </c>
      <c r="H981" s="864">
        <f t="shared" si="62"/>
        <v>2023</v>
      </c>
      <c r="I981" s="879">
        <f t="shared" si="63"/>
        <v>64</v>
      </c>
      <c r="J981" s="867" cm="1">
        <f t="array" ref="J981">INDEX($E:$E,MATCH($J$10,IF($B:$B=$B981,$I:$I),1))</f>
        <v>177228</v>
      </c>
    </row>
    <row r="982" spans="2:10">
      <c r="B982" s="817" t="s">
        <v>3412</v>
      </c>
      <c r="C982" s="817" t="s">
        <v>6153</v>
      </c>
      <c r="D982" s="863">
        <v>45001</v>
      </c>
      <c r="E982" s="817">
        <v>170973</v>
      </c>
      <c r="F982" s="864">
        <f t="shared" si="60"/>
        <v>3</v>
      </c>
      <c r="G982" s="864">
        <f t="shared" si="61"/>
        <v>11</v>
      </c>
      <c r="H982" s="864">
        <f t="shared" si="62"/>
        <v>2023</v>
      </c>
      <c r="I982" s="879">
        <f t="shared" si="63"/>
        <v>64</v>
      </c>
      <c r="J982" s="867" cm="1">
        <f t="array" ref="J982">INDEX($E:$E,MATCH($J$10,IF($B:$B=$B982,$I:$I),1))</f>
        <v>177228</v>
      </c>
    </row>
    <row r="983" spans="2:10">
      <c r="B983" s="817" t="s">
        <v>3412</v>
      </c>
      <c r="C983" s="817" t="s">
        <v>6153</v>
      </c>
      <c r="D983" s="863">
        <v>45011</v>
      </c>
      <c r="E983" s="817">
        <v>171865</v>
      </c>
      <c r="F983" s="864">
        <f t="shared" si="60"/>
        <v>3</v>
      </c>
      <c r="G983" s="864">
        <f t="shared" si="61"/>
        <v>13</v>
      </c>
      <c r="H983" s="864">
        <f t="shared" si="62"/>
        <v>2023</v>
      </c>
      <c r="I983" s="879">
        <f t="shared" si="63"/>
        <v>66</v>
      </c>
      <c r="J983" s="867" cm="1">
        <f t="array" ref="J983">INDEX($E:$E,MATCH($J$10,IF($B:$B=$B983,$I:$I),1))</f>
        <v>177228</v>
      </c>
    </row>
    <row r="984" spans="2:10">
      <c r="B984" s="817" t="s">
        <v>3412</v>
      </c>
      <c r="C984" s="817" t="s">
        <v>6153</v>
      </c>
      <c r="D984" s="863">
        <v>45018</v>
      </c>
      <c r="E984" s="817">
        <v>172682</v>
      </c>
      <c r="F984" s="864">
        <f t="shared" si="60"/>
        <v>4</v>
      </c>
      <c r="G984" s="864">
        <f t="shared" si="61"/>
        <v>14</v>
      </c>
      <c r="H984" s="864">
        <f t="shared" si="62"/>
        <v>2023</v>
      </c>
      <c r="I984" s="879">
        <f t="shared" si="63"/>
        <v>67</v>
      </c>
      <c r="J984" s="867" cm="1">
        <f t="array" ref="J984">INDEX($E:$E,MATCH($J$10,IF($B:$B=$B984,$I:$I),1))</f>
        <v>177228</v>
      </c>
    </row>
    <row r="985" spans="2:10">
      <c r="B985" s="817" t="s">
        <v>3412</v>
      </c>
      <c r="C985" s="817" t="s">
        <v>6153</v>
      </c>
      <c r="D985" s="863">
        <v>45025</v>
      </c>
      <c r="E985" s="817">
        <v>173169</v>
      </c>
      <c r="F985" s="864">
        <f t="shared" si="60"/>
        <v>4</v>
      </c>
      <c r="G985" s="864">
        <f t="shared" si="61"/>
        <v>15</v>
      </c>
      <c r="H985" s="864">
        <f t="shared" si="62"/>
        <v>2023</v>
      </c>
      <c r="I985" s="879">
        <f t="shared" si="63"/>
        <v>68</v>
      </c>
      <c r="J985" s="867" cm="1">
        <f t="array" ref="J985">INDEX($E:$E,MATCH($J$10,IF($B:$B=$B985,$I:$I),1))</f>
        <v>177228</v>
      </c>
    </row>
    <row r="986" spans="2:10">
      <c r="B986" s="817" t="s">
        <v>3412</v>
      </c>
      <c r="C986" s="817" t="s">
        <v>6153</v>
      </c>
      <c r="D986" s="863">
        <v>45032</v>
      </c>
      <c r="E986" s="817">
        <v>173829</v>
      </c>
      <c r="F986" s="864">
        <f t="shared" si="60"/>
        <v>4</v>
      </c>
      <c r="G986" s="864">
        <f t="shared" si="61"/>
        <v>16</v>
      </c>
      <c r="H986" s="864">
        <f t="shared" si="62"/>
        <v>2023</v>
      </c>
      <c r="I986" s="879">
        <f t="shared" si="63"/>
        <v>69</v>
      </c>
      <c r="J986" s="867" cm="1">
        <f t="array" ref="J986">INDEX($E:$E,MATCH($J$10,IF($B:$B=$B986,$I:$I),1))</f>
        <v>177228</v>
      </c>
    </row>
    <row r="987" spans="2:10">
      <c r="B987" s="817" t="s">
        <v>3412</v>
      </c>
      <c r="C987" s="817" t="s">
        <v>6153</v>
      </c>
      <c r="D987" s="863">
        <v>45040</v>
      </c>
      <c r="E987" s="817">
        <v>174673</v>
      </c>
      <c r="F987" s="864">
        <f t="shared" si="60"/>
        <v>4</v>
      </c>
      <c r="G987" s="864">
        <f t="shared" si="61"/>
        <v>17</v>
      </c>
      <c r="H987" s="864">
        <f t="shared" si="62"/>
        <v>2023</v>
      </c>
      <c r="I987" s="879">
        <f t="shared" si="63"/>
        <v>70</v>
      </c>
      <c r="J987" s="867" cm="1">
        <f t="array" ref="J987">INDEX($E:$E,MATCH($J$10,IF($B:$B=$B987,$I:$I),1))</f>
        <v>177228</v>
      </c>
    </row>
    <row r="988" spans="2:10">
      <c r="B988" s="817" t="s">
        <v>3412</v>
      </c>
      <c r="C988" s="817" t="s">
        <v>6153</v>
      </c>
      <c r="D988" s="863">
        <v>45054</v>
      </c>
      <c r="E988" s="817">
        <v>175962</v>
      </c>
      <c r="F988" s="864">
        <f t="shared" si="60"/>
        <v>5</v>
      </c>
      <c r="G988" s="864">
        <f t="shared" si="61"/>
        <v>19</v>
      </c>
      <c r="H988" s="864">
        <f t="shared" si="62"/>
        <v>2023</v>
      </c>
      <c r="I988" s="879">
        <f t="shared" si="63"/>
        <v>72</v>
      </c>
      <c r="J988" s="867" cm="1">
        <f t="array" ref="J988">INDEX($E:$E,MATCH($J$10,IF($B:$B=$B988,$I:$I),1))</f>
        <v>177228</v>
      </c>
    </row>
    <row r="989" spans="2:10">
      <c r="B989" s="817" t="s">
        <v>3412</v>
      </c>
      <c r="C989" s="817" t="s">
        <v>6153</v>
      </c>
      <c r="D989" s="863">
        <v>45060</v>
      </c>
      <c r="E989" s="817">
        <v>179884</v>
      </c>
      <c r="F989" s="864">
        <f t="shared" si="60"/>
        <v>5</v>
      </c>
      <c r="G989" s="864">
        <f t="shared" si="61"/>
        <v>20</v>
      </c>
      <c r="H989" s="864">
        <f t="shared" si="62"/>
        <v>2023</v>
      </c>
      <c r="I989" s="879">
        <f t="shared" si="63"/>
        <v>73</v>
      </c>
      <c r="J989" s="867" cm="1">
        <f t="array" ref="J989">INDEX($E:$E,MATCH($J$10,IF($B:$B=$B989,$I:$I),1))</f>
        <v>177228</v>
      </c>
    </row>
    <row r="990" spans="2:10">
      <c r="B990" s="817" t="s">
        <v>3412</v>
      </c>
      <c r="C990" s="817" t="s">
        <v>6153</v>
      </c>
      <c r="D990" s="863">
        <v>45067</v>
      </c>
      <c r="E990" s="817">
        <v>177228</v>
      </c>
      <c r="F990" s="864">
        <f t="shared" si="60"/>
        <v>5</v>
      </c>
      <c r="G990" s="864">
        <f t="shared" si="61"/>
        <v>21</v>
      </c>
      <c r="H990" s="864">
        <f t="shared" si="62"/>
        <v>2023</v>
      </c>
      <c r="I990" s="879">
        <f t="shared" si="63"/>
        <v>74</v>
      </c>
      <c r="J990" s="867" cm="1">
        <f t="array" ref="J990">INDEX($E:$E,MATCH($J$10,IF($B:$B=$B990,$I:$I),1))</f>
        <v>177228</v>
      </c>
    </row>
    <row r="991" spans="2:10">
      <c r="B991" s="817" t="s">
        <v>3412</v>
      </c>
      <c r="C991" s="817" t="s">
        <v>6153</v>
      </c>
      <c r="D991" s="863">
        <v>45082</v>
      </c>
      <c r="E991" s="817">
        <v>182600</v>
      </c>
      <c r="F991" s="864">
        <f t="shared" si="60"/>
        <v>6</v>
      </c>
      <c r="G991" s="864">
        <f t="shared" si="61"/>
        <v>23</v>
      </c>
      <c r="H991" s="864">
        <f t="shared" si="62"/>
        <v>2023</v>
      </c>
      <c r="I991" s="879">
        <f t="shared" si="63"/>
        <v>76</v>
      </c>
      <c r="J991" s="867" cm="1">
        <f t="array" ref="J991">INDEX($E:$E,MATCH($J$10,IF($B:$B=$B991,$I:$I),1))</f>
        <v>177228</v>
      </c>
    </row>
    <row r="992" spans="2:10">
      <c r="B992" s="817" t="s">
        <v>3548</v>
      </c>
      <c r="C992" s="817" t="s">
        <v>6154</v>
      </c>
      <c r="D992" s="863">
        <v>44706</v>
      </c>
      <c r="E992" s="817">
        <v>39592</v>
      </c>
      <c r="F992" s="864">
        <f t="shared" si="60"/>
        <v>5</v>
      </c>
      <c r="G992" s="864">
        <f t="shared" si="61"/>
        <v>22</v>
      </c>
      <c r="H992" s="864">
        <f t="shared" si="62"/>
        <v>2022</v>
      </c>
      <c r="I992" s="879">
        <f t="shared" si="63"/>
        <v>22</v>
      </c>
      <c r="J992" s="867" cm="1">
        <f t="array" ref="J992">INDEX($E:$E,MATCH($J$10,IF($B:$B=$B992,$I:$I),1))</f>
        <v>52325</v>
      </c>
    </row>
    <row r="993" spans="2:10">
      <c r="B993" s="817" t="s">
        <v>3548</v>
      </c>
      <c r="C993" s="817" t="s">
        <v>6154</v>
      </c>
      <c r="D993" s="866">
        <v>44725</v>
      </c>
      <c r="E993" s="817">
        <v>39769</v>
      </c>
      <c r="F993" s="864">
        <f t="shared" si="60"/>
        <v>6</v>
      </c>
      <c r="G993" s="864">
        <f t="shared" si="61"/>
        <v>25</v>
      </c>
      <c r="H993" s="864">
        <f t="shared" si="62"/>
        <v>2022</v>
      </c>
      <c r="I993" s="879">
        <f t="shared" si="63"/>
        <v>25</v>
      </c>
      <c r="J993" s="867" cm="1">
        <f t="array" ref="J993">INDEX($E:$E,MATCH($J$10,IF($B:$B=$B993,$I:$I),1))</f>
        <v>52325</v>
      </c>
    </row>
    <row r="994" spans="2:10">
      <c r="B994" s="817" t="s">
        <v>3548</v>
      </c>
      <c r="C994" s="817" t="s">
        <v>6154</v>
      </c>
      <c r="D994" s="863">
        <v>44732</v>
      </c>
      <c r="E994" s="817">
        <v>40340</v>
      </c>
      <c r="F994" s="864">
        <f t="shared" si="60"/>
        <v>6</v>
      </c>
      <c r="G994" s="864">
        <f t="shared" si="61"/>
        <v>26</v>
      </c>
      <c r="H994" s="864">
        <f t="shared" si="62"/>
        <v>2022</v>
      </c>
      <c r="I994" s="879">
        <f t="shared" si="63"/>
        <v>26</v>
      </c>
      <c r="J994" s="867" cm="1">
        <f t="array" ref="J994">INDEX($E:$E,MATCH($J$10,IF($B:$B=$B994,$I:$I),1))</f>
        <v>52325</v>
      </c>
    </row>
    <row r="995" spans="2:10">
      <c r="B995" s="817" t="s">
        <v>3548</v>
      </c>
      <c r="C995" s="817" t="s">
        <v>6154</v>
      </c>
      <c r="D995" s="866">
        <v>44739</v>
      </c>
      <c r="E995" s="817">
        <v>40765</v>
      </c>
      <c r="F995" s="864">
        <f t="shared" si="60"/>
        <v>6</v>
      </c>
      <c r="G995" s="864">
        <f t="shared" si="61"/>
        <v>27</v>
      </c>
      <c r="H995" s="864">
        <f t="shared" si="62"/>
        <v>2022</v>
      </c>
      <c r="I995" s="879">
        <f t="shared" si="63"/>
        <v>27</v>
      </c>
      <c r="J995" s="867" cm="1">
        <f t="array" ref="J995">INDEX($E:$E,MATCH($J$10,IF($B:$B=$B995,$I:$I),1))</f>
        <v>52325</v>
      </c>
    </row>
    <row r="996" spans="2:10">
      <c r="B996" s="817" t="s">
        <v>3548</v>
      </c>
      <c r="C996" s="817" t="s">
        <v>6154</v>
      </c>
      <c r="D996" s="863">
        <v>44746</v>
      </c>
      <c r="E996" s="817">
        <v>41285</v>
      </c>
      <c r="F996" s="864">
        <f t="shared" si="60"/>
        <v>7</v>
      </c>
      <c r="G996" s="864">
        <f t="shared" si="61"/>
        <v>28</v>
      </c>
      <c r="H996" s="864">
        <f t="shared" si="62"/>
        <v>2022</v>
      </c>
      <c r="I996" s="879">
        <f t="shared" si="63"/>
        <v>28</v>
      </c>
      <c r="J996" s="867" cm="1">
        <f t="array" ref="J996">INDEX($E:$E,MATCH($J$10,IF($B:$B=$B996,$I:$I),1))</f>
        <v>52325</v>
      </c>
    </row>
    <row r="997" spans="2:10">
      <c r="B997" s="817" t="s">
        <v>3548</v>
      </c>
      <c r="C997" s="817" t="s">
        <v>6154</v>
      </c>
      <c r="D997" s="866">
        <v>44754</v>
      </c>
      <c r="E997" s="817">
        <v>41776</v>
      </c>
      <c r="F997" s="864">
        <f t="shared" si="60"/>
        <v>7</v>
      </c>
      <c r="G997" s="864">
        <f t="shared" si="61"/>
        <v>29</v>
      </c>
      <c r="H997" s="864">
        <f t="shared" si="62"/>
        <v>2022</v>
      </c>
      <c r="I997" s="879">
        <f t="shared" si="63"/>
        <v>29</v>
      </c>
      <c r="J997" s="867" cm="1">
        <f t="array" ref="J997">INDEX($E:$E,MATCH($J$10,IF($B:$B=$B997,$I:$I),1))</f>
        <v>52325</v>
      </c>
    </row>
    <row r="998" spans="2:10">
      <c r="B998" s="817" t="s">
        <v>3548</v>
      </c>
      <c r="C998" s="817" t="s">
        <v>6154</v>
      </c>
      <c r="D998" s="863">
        <v>44761</v>
      </c>
      <c r="E998" s="817">
        <v>42310</v>
      </c>
      <c r="F998" s="864">
        <f t="shared" si="60"/>
        <v>7</v>
      </c>
      <c r="G998" s="864">
        <f t="shared" si="61"/>
        <v>30</v>
      </c>
      <c r="H998" s="864">
        <f t="shared" si="62"/>
        <v>2022</v>
      </c>
      <c r="I998" s="879">
        <f t="shared" si="63"/>
        <v>30</v>
      </c>
      <c r="J998" s="867" cm="1">
        <f t="array" ref="J998">INDEX($E:$E,MATCH($J$10,IF($B:$B=$B998,$I:$I),1))</f>
        <v>52325</v>
      </c>
    </row>
    <row r="999" spans="2:10">
      <c r="B999" s="817" t="s">
        <v>3548</v>
      </c>
      <c r="C999" s="817" t="s">
        <v>6154</v>
      </c>
      <c r="D999" s="866">
        <v>44768</v>
      </c>
      <c r="E999" s="817">
        <v>42788</v>
      </c>
      <c r="F999" s="864">
        <f t="shared" si="60"/>
        <v>7</v>
      </c>
      <c r="G999" s="864">
        <f t="shared" si="61"/>
        <v>31</v>
      </c>
      <c r="H999" s="864">
        <f t="shared" si="62"/>
        <v>2022</v>
      </c>
      <c r="I999" s="879">
        <f t="shared" si="63"/>
        <v>31</v>
      </c>
      <c r="J999" s="867" cm="1">
        <f t="array" ref="J999">INDEX($E:$E,MATCH($J$10,IF($B:$B=$B999,$I:$I),1))</f>
        <v>52325</v>
      </c>
    </row>
    <row r="1000" spans="2:10">
      <c r="B1000" s="817" t="s">
        <v>3548</v>
      </c>
      <c r="C1000" s="817" t="s">
        <v>6154</v>
      </c>
      <c r="D1000" s="863">
        <v>44775</v>
      </c>
      <c r="E1000" s="817">
        <v>43273</v>
      </c>
      <c r="F1000" s="864">
        <f t="shared" si="60"/>
        <v>8</v>
      </c>
      <c r="G1000" s="864">
        <f t="shared" si="61"/>
        <v>32</v>
      </c>
      <c r="H1000" s="864">
        <f t="shared" si="62"/>
        <v>2022</v>
      </c>
      <c r="I1000" s="879">
        <f t="shared" si="63"/>
        <v>32</v>
      </c>
      <c r="J1000" s="867" cm="1">
        <f t="array" ref="J1000">INDEX($E:$E,MATCH($J$10,IF($B:$B=$B1000,$I:$I),1))</f>
        <v>52325</v>
      </c>
    </row>
    <row r="1001" spans="2:10">
      <c r="B1001" s="817" t="s">
        <v>3548</v>
      </c>
      <c r="C1001" s="817" t="s">
        <v>6154</v>
      </c>
      <c r="D1001" s="866">
        <v>44782</v>
      </c>
      <c r="E1001" s="817">
        <v>43609</v>
      </c>
      <c r="F1001" s="864">
        <f t="shared" si="60"/>
        <v>8</v>
      </c>
      <c r="G1001" s="864">
        <f t="shared" si="61"/>
        <v>33</v>
      </c>
      <c r="H1001" s="864">
        <f t="shared" si="62"/>
        <v>2022</v>
      </c>
      <c r="I1001" s="879">
        <f t="shared" si="63"/>
        <v>33</v>
      </c>
      <c r="J1001" s="867" cm="1">
        <f t="array" ref="J1001">INDEX($E:$E,MATCH($J$10,IF($B:$B=$B1001,$I:$I),1))</f>
        <v>52325</v>
      </c>
    </row>
    <row r="1002" spans="2:10">
      <c r="B1002" s="817" t="s">
        <v>3548</v>
      </c>
      <c r="C1002" s="817" t="s">
        <v>6154</v>
      </c>
      <c r="D1002" s="863">
        <v>44789</v>
      </c>
      <c r="E1002" s="817">
        <v>44107</v>
      </c>
      <c r="F1002" s="864">
        <f t="shared" si="60"/>
        <v>8</v>
      </c>
      <c r="G1002" s="864">
        <f t="shared" si="61"/>
        <v>34</v>
      </c>
      <c r="H1002" s="864">
        <f t="shared" si="62"/>
        <v>2022</v>
      </c>
      <c r="I1002" s="879">
        <f t="shared" si="63"/>
        <v>34</v>
      </c>
      <c r="J1002" s="867" cm="1">
        <f t="array" ref="J1002">INDEX($E:$E,MATCH($J$10,IF($B:$B=$B1002,$I:$I),1))</f>
        <v>52325</v>
      </c>
    </row>
    <row r="1003" spans="2:10">
      <c r="B1003" s="817" t="s">
        <v>3548</v>
      </c>
      <c r="C1003" s="817" t="s">
        <v>6154</v>
      </c>
      <c r="D1003" s="866">
        <v>44792</v>
      </c>
      <c r="E1003" s="817">
        <v>44546</v>
      </c>
      <c r="F1003" s="864">
        <f t="shared" si="60"/>
        <v>8</v>
      </c>
      <c r="G1003" s="864">
        <f t="shared" si="61"/>
        <v>34</v>
      </c>
      <c r="H1003" s="864">
        <f t="shared" si="62"/>
        <v>2022</v>
      </c>
      <c r="I1003" s="879">
        <f t="shared" si="63"/>
        <v>34</v>
      </c>
      <c r="J1003" s="867" cm="1">
        <f t="array" ref="J1003">INDEX($E:$E,MATCH($J$10,IF($B:$B=$B1003,$I:$I),1))</f>
        <v>52325</v>
      </c>
    </row>
    <row r="1004" spans="2:10">
      <c r="B1004" s="817" t="s">
        <v>3548</v>
      </c>
      <c r="C1004" s="817" t="s">
        <v>6154</v>
      </c>
      <c r="D1004" s="863">
        <v>44810</v>
      </c>
      <c r="E1004" s="817">
        <v>46468</v>
      </c>
      <c r="F1004" s="864">
        <f t="shared" si="60"/>
        <v>9</v>
      </c>
      <c r="G1004" s="864">
        <f t="shared" si="61"/>
        <v>37</v>
      </c>
      <c r="H1004" s="864">
        <f t="shared" si="62"/>
        <v>2022</v>
      </c>
      <c r="I1004" s="879">
        <f t="shared" si="63"/>
        <v>37</v>
      </c>
      <c r="J1004" s="867" cm="1">
        <f t="array" ref="J1004">INDEX($E:$E,MATCH($J$10,IF($B:$B=$B1004,$I:$I),1))</f>
        <v>52325</v>
      </c>
    </row>
    <row r="1005" spans="2:10">
      <c r="B1005" s="817" t="s">
        <v>3548</v>
      </c>
      <c r="C1005" s="817" t="s">
        <v>6154</v>
      </c>
      <c r="D1005" s="866">
        <v>44817</v>
      </c>
      <c r="E1005" s="817">
        <v>46938</v>
      </c>
      <c r="F1005" s="864">
        <f t="shared" si="60"/>
        <v>9</v>
      </c>
      <c r="G1005" s="864">
        <f t="shared" si="61"/>
        <v>38</v>
      </c>
      <c r="H1005" s="864">
        <f t="shared" si="62"/>
        <v>2022</v>
      </c>
      <c r="I1005" s="879">
        <f t="shared" si="63"/>
        <v>38</v>
      </c>
      <c r="J1005" s="867" cm="1">
        <f t="array" ref="J1005">INDEX($E:$E,MATCH($J$10,IF($B:$B=$B1005,$I:$I),1))</f>
        <v>52325</v>
      </c>
    </row>
    <row r="1006" spans="2:10">
      <c r="B1006" s="817" t="s">
        <v>3548</v>
      </c>
      <c r="C1006" s="817" t="s">
        <v>6154</v>
      </c>
      <c r="D1006" s="863">
        <v>44819</v>
      </c>
      <c r="E1006" s="817">
        <v>45452</v>
      </c>
      <c r="F1006" s="864">
        <f t="shared" si="60"/>
        <v>9</v>
      </c>
      <c r="G1006" s="864">
        <f t="shared" si="61"/>
        <v>38</v>
      </c>
      <c r="H1006" s="864">
        <f t="shared" si="62"/>
        <v>2022</v>
      </c>
      <c r="I1006" s="879">
        <f t="shared" si="63"/>
        <v>38</v>
      </c>
      <c r="J1006" s="867" cm="1">
        <f t="array" ref="J1006">INDEX($E:$E,MATCH($J$10,IF($B:$B=$B1006,$I:$I),1))</f>
        <v>52325</v>
      </c>
    </row>
    <row r="1007" spans="2:10">
      <c r="B1007" s="817" t="s">
        <v>3548</v>
      </c>
      <c r="C1007" s="817" t="s">
        <v>6154</v>
      </c>
      <c r="D1007" s="866">
        <v>44827</v>
      </c>
      <c r="E1007" s="817">
        <v>45895</v>
      </c>
      <c r="F1007" s="864">
        <f t="shared" si="60"/>
        <v>9</v>
      </c>
      <c r="G1007" s="864">
        <f t="shared" si="61"/>
        <v>39</v>
      </c>
      <c r="H1007" s="864">
        <f t="shared" si="62"/>
        <v>2022</v>
      </c>
      <c r="I1007" s="879">
        <f t="shared" si="63"/>
        <v>39</v>
      </c>
      <c r="J1007" s="867" cm="1">
        <f t="array" ref="J1007">INDEX($E:$E,MATCH($J$10,IF($B:$B=$B1007,$I:$I),1))</f>
        <v>52325</v>
      </c>
    </row>
    <row r="1008" spans="2:10">
      <c r="B1008" s="817" t="s">
        <v>3548</v>
      </c>
      <c r="C1008" s="817" t="s">
        <v>6154</v>
      </c>
      <c r="D1008" s="863">
        <v>44834</v>
      </c>
      <c r="E1008" s="817">
        <v>46236</v>
      </c>
      <c r="F1008" s="864">
        <f t="shared" si="60"/>
        <v>9</v>
      </c>
      <c r="G1008" s="864">
        <f t="shared" si="61"/>
        <v>40</v>
      </c>
      <c r="H1008" s="864">
        <f t="shared" si="62"/>
        <v>2022</v>
      </c>
      <c r="I1008" s="879">
        <f t="shared" si="63"/>
        <v>40</v>
      </c>
      <c r="J1008" s="867" cm="1">
        <f t="array" ref="J1008">INDEX($E:$E,MATCH($J$10,IF($B:$B=$B1008,$I:$I),1))</f>
        <v>52325</v>
      </c>
    </row>
    <row r="1009" spans="2:10">
      <c r="B1009" s="817" t="s">
        <v>3548</v>
      </c>
      <c r="C1009" s="817" t="s">
        <v>6154</v>
      </c>
      <c r="D1009" s="866">
        <v>44841</v>
      </c>
      <c r="E1009" s="817">
        <v>46579</v>
      </c>
      <c r="F1009" s="864">
        <f t="shared" si="60"/>
        <v>10</v>
      </c>
      <c r="G1009" s="864">
        <f t="shared" si="61"/>
        <v>41</v>
      </c>
      <c r="H1009" s="864">
        <f t="shared" si="62"/>
        <v>2022</v>
      </c>
      <c r="I1009" s="879">
        <f t="shared" si="63"/>
        <v>41</v>
      </c>
      <c r="J1009" s="867" cm="1">
        <f t="array" ref="J1009">INDEX($E:$E,MATCH($J$10,IF($B:$B=$B1009,$I:$I),1))</f>
        <v>52325</v>
      </c>
    </row>
    <row r="1010" spans="2:10">
      <c r="B1010" s="817" t="s">
        <v>3548</v>
      </c>
      <c r="C1010" s="817" t="s">
        <v>6154</v>
      </c>
      <c r="D1010" s="863">
        <v>44848</v>
      </c>
      <c r="E1010" s="817">
        <v>46983</v>
      </c>
      <c r="F1010" s="864">
        <f t="shared" si="60"/>
        <v>10</v>
      </c>
      <c r="G1010" s="864">
        <f t="shared" si="61"/>
        <v>42</v>
      </c>
      <c r="H1010" s="864">
        <f t="shared" si="62"/>
        <v>2022</v>
      </c>
      <c r="I1010" s="879">
        <f t="shared" si="63"/>
        <v>42</v>
      </c>
      <c r="J1010" s="867" cm="1">
        <f t="array" ref="J1010">INDEX($E:$E,MATCH($J$10,IF($B:$B=$B1010,$I:$I),1))</f>
        <v>52325</v>
      </c>
    </row>
    <row r="1011" spans="2:10">
      <c r="B1011" s="817" t="s">
        <v>3548</v>
      </c>
      <c r="C1011" s="817" t="s">
        <v>6154</v>
      </c>
      <c r="D1011" s="866">
        <v>44859</v>
      </c>
      <c r="E1011" s="817">
        <v>47376</v>
      </c>
      <c r="F1011" s="864">
        <f t="shared" si="60"/>
        <v>10</v>
      </c>
      <c r="G1011" s="864">
        <f t="shared" si="61"/>
        <v>44</v>
      </c>
      <c r="H1011" s="864">
        <f t="shared" si="62"/>
        <v>2022</v>
      </c>
      <c r="I1011" s="879">
        <f t="shared" si="63"/>
        <v>44</v>
      </c>
      <c r="J1011" s="867" cm="1">
        <f t="array" ref="J1011">INDEX($E:$E,MATCH($J$10,IF($B:$B=$B1011,$I:$I),1))</f>
        <v>52325</v>
      </c>
    </row>
    <row r="1012" spans="2:10">
      <c r="B1012" s="817" t="s">
        <v>3548</v>
      </c>
      <c r="C1012" s="817" t="s">
        <v>6154</v>
      </c>
      <c r="D1012" s="863">
        <v>44862</v>
      </c>
      <c r="E1012" s="817">
        <v>47690</v>
      </c>
      <c r="F1012" s="864">
        <f t="shared" si="60"/>
        <v>10</v>
      </c>
      <c r="G1012" s="864">
        <f t="shared" si="61"/>
        <v>44</v>
      </c>
      <c r="H1012" s="864">
        <f t="shared" si="62"/>
        <v>2022</v>
      </c>
      <c r="I1012" s="879">
        <f t="shared" si="63"/>
        <v>44</v>
      </c>
      <c r="J1012" s="867" cm="1">
        <f t="array" ref="J1012">INDEX($E:$E,MATCH($J$10,IF($B:$B=$B1012,$I:$I),1))</f>
        <v>52325</v>
      </c>
    </row>
    <row r="1013" spans="2:10">
      <c r="B1013" s="817" t="s">
        <v>3548</v>
      </c>
      <c r="C1013" s="817" t="s">
        <v>6154</v>
      </c>
      <c r="D1013" s="866">
        <v>44873</v>
      </c>
      <c r="E1013" s="817">
        <v>48087</v>
      </c>
      <c r="F1013" s="864">
        <f t="shared" si="60"/>
        <v>11</v>
      </c>
      <c r="G1013" s="864">
        <f t="shared" si="61"/>
        <v>46</v>
      </c>
      <c r="H1013" s="864">
        <f t="shared" si="62"/>
        <v>2022</v>
      </c>
      <c r="I1013" s="879">
        <f t="shared" si="63"/>
        <v>46</v>
      </c>
      <c r="J1013" s="867" cm="1">
        <f t="array" ref="J1013">INDEX($E:$E,MATCH($J$10,IF($B:$B=$B1013,$I:$I),1))</f>
        <v>52325</v>
      </c>
    </row>
    <row r="1014" spans="2:10">
      <c r="B1014" s="817" t="s">
        <v>3548</v>
      </c>
      <c r="C1014" s="817" t="s">
        <v>6154</v>
      </c>
      <c r="D1014" s="863">
        <v>44880</v>
      </c>
      <c r="E1014" s="817">
        <v>48360</v>
      </c>
      <c r="F1014" s="864">
        <f t="shared" si="60"/>
        <v>11</v>
      </c>
      <c r="G1014" s="864">
        <f t="shared" si="61"/>
        <v>47</v>
      </c>
      <c r="H1014" s="864">
        <f t="shared" si="62"/>
        <v>2022</v>
      </c>
      <c r="I1014" s="879">
        <f t="shared" si="63"/>
        <v>47</v>
      </c>
      <c r="J1014" s="867" cm="1">
        <f t="array" ref="J1014">INDEX($E:$E,MATCH($J$10,IF($B:$B=$B1014,$I:$I),1))</f>
        <v>52325</v>
      </c>
    </row>
    <row r="1015" spans="2:10">
      <c r="B1015" s="817" t="s">
        <v>3548</v>
      </c>
      <c r="C1015" s="817" t="s">
        <v>6154</v>
      </c>
      <c r="D1015" s="866">
        <v>44901</v>
      </c>
      <c r="E1015" s="817">
        <v>49181</v>
      </c>
      <c r="F1015" s="864">
        <f t="shared" si="60"/>
        <v>12</v>
      </c>
      <c r="G1015" s="864">
        <f t="shared" si="61"/>
        <v>50</v>
      </c>
      <c r="H1015" s="864">
        <f t="shared" si="62"/>
        <v>2022</v>
      </c>
      <c r="I1015" s="879">
        <f t="shared" si="63"/>
        <v>50</v>
      </c>
      <c r="J1015" s="867" cm="1">
        <f t="array" ref="J1015">INDEX($E:$E,MATCH($J$10,IF($B:$B=$B1015,$I:$I),1))</f>
        <v>52325</v>
      </c>
    </row>
    <row r="1016" spans="2:10">
      <c r="B1016" s="817" t="s">
        <v>3548</v>
      </c>
      <c r="C1016" s="817" t="s">
        <v>6154</v>
      </c>
      <c r="D1016" s="863">
        <v>44915</v>
      </c>
      <c r="E1016" s="817">
        <v>49789</v>
      </c>
      <c r="F1016" s="864">
        <f t="shared" si="60"/>
        <v>12</v>
      </c>
      <c r="G1016" s="864">
        <f t="shared" si="61"/>
        <v>52</v>
      </c>
      <c r="H1016" s="864">
        <f t="shared" si="62"/>
        <v>2022</v>
      </c>
      <c r="I1016" s="879">
        <f t="shared" si="63"/>
        <v>52</v>
      </c>
      <c r="J1016" s="867" cm="1">
        <f t="array" ref="J1016">INDEX($E:$E,MATCH($J$10,IF($B:$B=$B1016,$I:$I),1))</f>
        <v>52325</v>
      </c>
    </row>
    <row r="1017" spans="2:10">
      <c r="B1017" s="817" t="s">
        <v>3548</v>
      </c>
      <c r="C1017" s="817" t="s">
        <v>6154</v>
      </c>
      <c r="D1017" s="866">
        <v>44918</v>
      </c>
      <c r="E1017" s="817">
        <v>50040</v>
      </c>
      <c r="F1017" s="864">
        <f t="shared" si="60"/>
        <v>12</v>
      </c>
      <c r="G1017" s="864">
        <f t="shared" si="61"/>
        <v>52</v>
      </c>
      <c r="H1017" s="864">
        <f t="shared" si="62"/>
        <v>2022</v>
      </c>
      <c r="I1017" s="879">
        <f t="shared" si="63"/>
        <v>52</v>
      </c>
      <c r="J1017" s="867" cm="1">
        <f t="array" ref="J1017">INDEX($E:$E,MATCH($J$10,IF($B:$B=$B1017,$I:$I),1))</f>
        <v>52325</v>
      </c>
    </row>
    <row r="1018" spans="2:10">
      <c r="B1018" s="817" t="s">
        <v>3548</v>
      </c>
      <c r="C1018" s="817" t="s">
        <v>6154</v>
      </c>
      <c r="D1018" s="863">
        <v>44924</v>
      </c>
      <c r="E1018" s="817">
        <v>50357</v>
      </c>
      <c r="F1018" s="864">
        <f t="shared" si="60"/>
        <v>12</v>
      </c>
      <c r="G1018" s="864">
        <f t="shared" si="61"/>
        <v>53</v>
      </c>
      <c r="H1018" s="864">
        <f t="shared" si="62"/>
        <v>2022</v>
      </c>
      <c r="I1018" s="879">
        <f t="shared" si="63"/>
        <v>53</v>
      </c>
      <c r="J1018" s="867" cm="1">
        <f t="array" ref="J1018">INDEX($E:$E,MATCH($J$10,IF($B:$B=$B1018,$I:$I),1))</f>
        <v>52325</v>
      </c>
    </row>
    <row r="1019" spans="2:10">
      <c r="B1019" s="817" t="s">
        <v>3548</v>
      </c>
      <c r="C1019" s="817" t="s">
        <v>6154</v>
      </c>
      <c r="D1019" s="866">
        <v>44931</v>
      </c>
      <c r="E1019" s="817">
        <v>50530</v>
      </c>
      <c r="F1019" s="864">
        <f t="shared" si="60"/>
        <v>1</v>
      </c>
      <c r="G1019" s="864">
        <f t="shared" si="61"/>
        <v>1</v>
      </c>
      <c r="H1019" s="864">
        <f t="shared" si="62"/>
        <v>2023</v>
      </c>
      <c r="I1019" s="879">
        <f t="shared" si="63"/>
        <v>54</v>
      </c>
      <c r="J1019" s="867" cm="1">
        <f t="array" ref="J1019">INDEX($E:$E,MATCH($J$10,IF($B:$B=$B1019,$I:$I),1))</f>
        <v>52325</v>
      </c>
    </row>
    <row r="1020" spans="2:10">
      <c r="B1020" s="817" t="s">
        <v>3548</v>
      </c>
      <c r="C1020" s="817" t="s">
        <v>6154</v>
      </c>
      <c r="D1020" s="863">
        <v>44938</v>
      </c>
      <c r="E1020" s="817">
        <v>50795</v>
      </c>
      <c r="F1020" s="864">
        <f t="shared" si="60"/>
        <v>1</v>
      </c>
      <c r="G1020" s="864">
        <f t="shared" si="61"/>
        <v>2</v>
      </c>
      <c r="H1020" s="864">
        <f t="shared" si="62"/>
        <v>2023</v>
      </c>
      <c r="I1020" s="879">
        <f t="shared" si="63"/>
        <v>55</v>
      </c>
      <c r="J1020" s="867" cm="1">
        <f t="array" ref="J1020">INDEX($E:$E,MATCH($J$10,IF($B:$B=$B1020,$I:$I),1))</f>
        <v>52325</v>
      </c>
    </row>
    <row r="1021" spans="2:10">
      <c r="B1021" s="817" t="s">
        <v>3548</v>
      </c>
      <c r="C1021" s="817" t="s">
        <v>6154</v>
      </c>
      <c r="D1021" s="866">
        <v>44946</v>
      </c>
      <c r="E1021" s="817">
        <v>51029</v>
      </c>
      <c r="F1021" s="864">
        <f t="shared" si="60"/>
        <v>1</v>
      </c>
      <c r="G1021" s="864">
        <f t="shared" si="61"/>
        <v>3</v>
      </c>
      <c r="H1021" s="864">
        <f t="shared" si="62"/>
        <v>2023</v>
      </c>
      <c r="I1021" s="879">
        <f t="shared" si="63"/>
        <v>56</v>
      </c>
      <c r="J1021" s="867" cm="1">
        <f t="array" ref="J1021">INDEX($E:$E,MATCH($J$10,IF($B:$B=$B1021,$I:$I),1))</f>
        <v>52325</v>
      </c>
    </row>
    <row r="1022" spans="2:10">
      <c r="B1022" s="817" t="s">
        <v>3548</v>
      </c>
      <c r="C1022" s="817" t="s">
        <v>6154</v>
      </c>
      <c r="D1022" s="863">
        <v>44953</v>
      </c>
      <c r="E1022" s="817">
        <v>51230</v>
      </c>
      <c r="F1022" s="864">
        <f t="shared" si="60"/>
        <v>1</v>
      </c>
      <c r="G1022" s="864">
        <f t="shared" si="61"/>
        <v>4</v>
      </c>
      <c r="H1022" s="864">
        <f t="shared" si="62"/>
        <v>2023</v>
      </c>
      <c r="I1022" s="879">
        <f t="shared" si="63"/>
        <v>57</v>
      </c>
      <c r="J1022" s="867" cm="1">
        <f t="array" ref="J1022">INDEX($E:$E,MATCH($J$10,IF($B:$B=$B1022,$I:$I),1))</f>
        <v>52325</v>
      </c>
    </row>
    <row r="1023" spans="2:10">
      <c r="B1023" s="817" t="s">
        <v>3548</v>
      </c>
      <c r="C1023" s="817" t="s">
        <v>6154</v>
      </c>
      <c r="D1023" s="866">
        <v>44970</v>
      </c>
      <c r="E1023" s="817">
        <v>50740</v>
      </c>
      <c r="F1023" s="864">
        <f t="shared" si="60"/>
        <v>2</v>
      </c>
      <c r="G1023" s="864">
        <f t="shared" si="61"/>
        <v>7</v>
      </c>
      <c r="H1023" s="864">
        <f t="shared" si="62"/>
        <v>2023</v>
      </c>
      <c r="I1023" s="879">
        <f t="shared" si="63"/>
        <v>60</v>
      </c>
      <c r="J1023" s="867" cm="1">
        <f t="array" ref="J1023">INDEX($E:$E,MATCH($J$10,IF($B:$B=$B1023,$I:$I),1))</f>
        <v>52325</v>
      </c>
    </row>
    <row r="1024" spans="2:10">
      <c r="B1024" s="817" t="s">
        <v>3548</v>
      </c>
      <c r="C1024" s="817" t="s">
        <v>6154</v>
      </c>
      <c r="D1024" s="863">
        <v>44980</v>
      </c>
      <c r="E1024" s="817">
        <v>52325</v>
      </c>
      <c r="F1024" s="864">
        <f t="shared" si="60"/>
        <v>2</v>
      </c>
      <c r="G1024" s="864">
        <f t="shared" si="61"/>
        <v>8</v>
      </c>
      <c r="H1024" s="864">
        <f t="shared" si="62"/>
        <v>2023</v>
      </c>
      <c r="I1024" s="879">
        <f t="shared" si="63"/>
        <v>61</v>
      </c>
      <c r="J1024" s="867" cm="1">
        <f t="array" ref="J1024">INDEX($E:$E,MATCH($J$10,IF($B:$B=$B1024,$I:$I),1))</f>
        <v>52325</v>
      </c>
    </row>
    <row r="1025" spans="2:10">
      <c r="B1025" s="817" t="s">
        <v>3649</v>
      </c>
      <c r="C1025" s="817" t="s">
        <v>6155</v>
      </c>
      <c r="D1025" s="866">
        <v>44706</v>
      </c>
      <c r="E1025" s="817">
        <v>50103</v>
      </c>
      <c r="F1025" s="864">
        <f t="shared" si="60"/>
        <v>5</v>
      </c>
      <c r="G1025" s="864">
        <f t="shared" si="61"/>
        <v>22</v>
      </c>
      <c r="H1025" s="864">
        <f t="shared" si="62"/>
        <v>2022</v>
      </c>
      <c r="I1025" s="879">
        <f t="shared" si="63"/>
        <v>22</v>
      </c>
      <c r="J1025" s="867" cm="1">
        <f t="array" ref="J1025">INDEX($E:$E,MATCH($J$10,IF($B:$B=$B1025,$I:$I),1))</f>
        <v>65823</v>
      </c>
    </row>
    <row r="1026" spans="2:10">
      <c r="B1026" s="817" t="s">
        <v>3649</v>
      </c>
      <c r="C1026" s="817" t="s">
        <v>6155</v>
      </c>
      <c r="D1026" s="863">
        <v>44719</v>
      </c>
      <c r="E1026" s="817">
        <v>53120</v>
      </c>
      <c r="F1026" s="864">
        <f t="shared" si="60"/>
        <v>6</v>
      </c>
      <c r="G1026" s="864">
        <f t="shared" si="61"/>
        <v>24</v>
      </c>
      <c r="H1026" s="864">
        <f t="shared" si="62"/>
        <v>2022</v>
      </c>
      <c r="I1026" s="879">
        <f t="shared" si="63"/>
        <v>24</v>
      </c>
      <c r="J1026" s="867" cm="1">
        <f t="array" ref="J1026">INDEX($E:$E,MATCH($J$10,IF($B:$B=$B1026,$I:$I),1))</f>
        <v>65823</v>
      </c>
    </row>
    <row r="1027" spans="2:10">
      <c r="B1027" s="817" t="s">
        <v>3649</v>
      </c>
      <c r="C1027" s="817" t="s">
        <v>6155</v>
      </c>
      <c r="D1027" s="866">
        <v>44726</v>
      </c>
      <c r="E1027" s="817">
        <v>55921</v>
      </c>
      <c r="F1027" s="864">
        <f t="shared" si="60"/>
        <v>6</v>
      </c>
      <c r="G1027" s="864">
        <f t="shared" si="61"/>
        <v>25</v>
      </c>
      <c r="H1027" s="864">
        <f t="shared" si="62"/>
        <v>2022</v>
      </c>
      <c r="I1027" s="879">
        <f t="shared" si="63"/>
        <v>25</v>
      </c>
      <c r="J1027" s="867" cm="1">
        <f t="array" ref="J1027">INDEX($E:$E,MATCH($J$10,IF($B:$B=$B1027,$I:$I),1))</f>
        <v>65823</v>
      </c>
    </row>
    <row r="1028" spans="2:10">
      <c r="B1028" s="817" t="s">
        <v>3649</v>
      </c>
      <c r="C1028" s="817" t="s">
        <v>6155</v>
      </c>
      <c r="D1028" s="863">
        <v>44733</v>
      </c>
      <c r="E1028" s="817">
        <v>54796</v>
      </c>
      <c r="F1028" s="864">
        <f t="shared" si="60"/>
        <v>6</v>
      </c>
      <c r="G1028" s="864">
        <f t="shared" si="61"/>
        <v>26</v>
      </c>
      <c r="H1028" s="864">
        <f t="shared" si="62"/>
        <v>2022</v>
      </c>
      <c r="I1028" s="879">
        <f t="shared" si="63"/>
        <v>26</v>
      </c>
      <c r="J1028" s="867" cm="1">
        <f t="array" ref="J1028">INDEX($E:$E,MATCH($J$10,IF($B:$B=$B1028,$I:$I),1))</f>
        <v>65823</v>
      </c>
    </row>
    <row r="1029" spans="2:10">
      <c r="B1029" s="817" t="s">
        <v>3649</v>
      </c>
      <c r="C1029" s="817" t="s">
        <v>6155</v>
      </c>
      <c r="D1029" s="866">
        <v>44740</v>
      </c>
      <c r="E1029" s="817">
        <v>55336</v>
      </c>
      <c r="F1029" s="864">
        <f t="shared" si="60"/>
        <v>6</v>
      </c>
      <c r="G1029" s="864">
        <f t="shared" si="61"/>
        <v>27</v>
      </c>
      <c r="H1029" s="864">
        <f t="shared" si="62"/>
        <v>2022</v>
      </c>
      <c r="I1029" s="879">
        <f t="shared" si="63"/>
        <v>27</v>
      </c>
      <c r="J1029" s="867" cm="1">
        <f t="array" ref="J1029">INDEX($E:$E,MATCH($J$10,IF($B:$B=$B1029,$I:$I),1))</f>
        <v>65823</v>
      </c>
    </row>
    <row r="1030" spans="2:10">
      <c r="B1030" s="817" t="s">
        <v>3649</v>
      </c>
      <c r="C1030" s="817" t="s">
        <v>6155</v>
      </c>
      <c r="D1030" s="863">
        <v>44747</v>
      </c>
      <c r="E1030" s="817">
        <v>56722</v>
      </c>
      <c r="F1030" s="864">
        <f t="shared" si="60"/>
        <v>7</v>
      </c>
      <c r="G1030" s="864">
        <f t="shared" si="61"/>
        <v>28</v>
      </c>
      <c r="H1030" s="864">
        <f t="shared" si="62"/>
        <v>2022</v>
      </c>
      <c r="I1030" s="879">
        <f t="shared" si="63"/>
        <v>28</v>
      </c>
      <c r="J1030" s="867" cm="1">
        <f t="array" ref="J1030">INDEX($E:$E,MATCH($J$10,IF($B:$B=$B1030,$I:$I),1))</f>
        <v>65823</v>
      </c>
    </row>
    <row r="1031" spans="2:10">
      <c r="B1031" s="817" t="s">
        <v>3649</v>
      </c>
      <c r="C1031" s="817" t="s">
        <v>6155</v>
      </c>
      <c r="D1031" s="866">
        <v>44754</v>
      </c>
      <c r="E1031" s="817">
        <v>57380</v>
      </c>
      <c r="F1031" s="864">
        <f t="shared" si="60"/>
        <v>7</v>
      </c>
      <c r="G1031" s="864">
        <f t="shared" si="61"/>
        <v>29</v>
      </c>
      <c r="H1031" s="864">
        <f t="shared" si="62"/>
        <v>2022</v>
      </c>
      <c r="I1031" s="879">
        <f t="shared" si="63"/>
        <v>29</v>
      </c>
      <c r="J1031" s="867" cm="1">
        <f t="array" ref="J1031">INDEX($E:$E,MATCH($J$10,IF($B:$B=$B1031,$I:$I),1))</f>
        <v>65823</v>
      </c>
    </row>
    <row r="1032" spans="2:10">
      <c r="B1032" s="817" t="s">
        <v>3649</v>
      </c>
      <c r="C1032" s="817" t="s">
        <v>6155</v>
      </c>
      <c r="D1032" s="863">
        <v>44761</v>
      </c>
      <c r="E1032" s="817">
        <v>58007</v>
      </c>
      <c r="F1032" s="864">
        <f t="shared" si="60"/>
        <v>7</v>
      </c>
      <c r="G1032" s="864">
        <f t="shared" si="61"/>
        <v>30</v>
      </c>
      <c r="H1032" s="864">
        <f t="shared" si="62"/>
        <v>2022</v>
      </c>
      <c r="I1032" s="879">
        <f t="shared" si="63"/>
        <v>30</v>
      </c>
      <c r="J1032" s="867" cm="1">
        <f t="array" ref="J1032">INDEX($E:$E,MATCH($J$10,IF($B:$B=$B1032,$I:$I),1))</f>
        <v>65823</v>
      </c>
    </row>
    <row r="1033" spans="2:10">
      <c r="B1033" s="817" t="s">
        <v>3649</v>
      </c>
      <c r="C1033" s="817" t="s">
        <v>6155</v>
      </c>
      <c r="D1033" s="866">
        <v>44768</v>
      </c>
      <c r="E1033" s="817">
        <v>58643</v>
      </c>
      <c r="F1033" s="864">
        <f t="shared" si="60"/>
        <v>7</v>
      </c>
      <c r="G1033" s="864">
        <f t="shared" si="61"/>
        <v>31</v>
      </c>
      <c r="H1033" s="864">
        <f t="shared" si="62"/>
        <v>2022</v>
      </c>
      <c r="I1033" s="879">
        <f t="shared" si="63"/>
        <v>31</v>
      </c>
      <c r="J1033" s="867" cm="1">
        <f t="array" ref="J1033">INDEX($E:$E,MATCH($J$10,IF($B:$B=$B1033,$I:$I),1))</f>
        <v>65823</v>
      </c>
    </row>
    <row r="1034" spans="2:10">
      <c r="B1034" s="817" t="s">
        <v>3649</v>
      </c>
      <c r="C1034" s="817" t="s">
        <v>6155</v>
      </c>
      <c r="D1034" s="863">
        <v>44775</v>
      </c>
      <c r="E1034" s="817">
        <v>59244</v>
      </c>
      <c r="F1034" s="864">
        <f t="shared" si="60"/>
        <v>8</v>
      </c>
      <c r="G1034" s="864">
        <f t="shared" si="61"/>
        <v>32</v>
      </c>
      <c r="H1034" s="864">
        <f t="shared" si="62"/>
        <v>2022</v>
      </c>
      <c r="I1034" s="879">
        <f t="shared" si="63"/>
        <v>32</v>
      </c>
      <c r="J1034" s="867" cm="1">
        <f t="array" ref="J1034">INDEX($E:$E,MATCH($J$10,IF($B:$B=$B1034,$I:$I),1))</f>
        <v>65823</v>
      </c>
    </row>
    <row r="1035" spans="2:10">
      <c r="B1035" s="817" t="s">
        <v>3649</v>
      </c>
      <c r="C1035" s="817" t="s">
        <v>6155</v>
      </c>
      <c r="D1035" s="866">
        <v>44782</v>
      </c>
      <c r="E1035" s="817">
        <v>59834</v>
      </c>
      <c r="F1035" s="864">
        <f t="shared" si="60"/>
        <v>8</v>
      </c>
      <c r="G1035" s="864">
        <f t="shared" si="61"/>
        <v>33</v>
      </c>
      <c r="H1035" s="864">
        <f t="shared" si="62"/>
        <v>2022</v>
      </c>
      <c r="I1035" s="879">
        <f t="shared" si="63"/>
        <v>33</v>
      </c>
      <c r="J1035" s="867" cm="1">
        <f t="array" ref="J1035">INDEX($E:$E,MATCH($J$10,IF($B:$B=$B1035,$I:$I),1))</f>
        <v>65823</v>
      </c>
    </row>
    <row r="1036" spans="2:10">
      <c r="B1036" s="817" t="s">
        <v>3649</v>
      </c>
      <c r="C1036" s="817" t="s">
        <v>6155</v>
      </c>
      <c r="D1036" s="863">
        <v>44789</v>
      </c>
      <c r="E1036" s="817">
        <v>60461</v>
      </c>
      <c r="F1036" s="864">
        <f t="shared" ref="F1036:F1099" si="64">MONTH(D1036)</f>
        <v>8</v>
      </c>
      <c r="G1036" s="864">
        <f t="shared" ref="G1036:G1099" si="65">WEEKNUM(D1036)</f>
        <v>34</v>
      </c>
      <c r="H1036" s="864">
        <f t="shared" ref="H1036:H1099" si="66">YEAR(D1036)</f>
        <v>2022</v>
      </c>
      <c r="I1036" s="879">
        <f t="shared" ref="I1036:I1099" si="67">(H1036-2022)*53+G1036</f>
        <v>34</v>
      </c>
      <c r="J1036" s="867" cm="1">
        <f t="array" ref="J1036">INDEX($E:$E,MATCH($J$10,IF($B:$B=$B1036,$I:$I),1))</f>
        <v>65823</v>
      </c>
    </row>
    <row r="1037" spans="2:10">
      <c r="B1037" s="817" t="s">
        <v>3649</v>
      </c>
      <c r="C1037" s="817" t="s">
        <v>6155</v>
      </c>
      <c r="D1037" s="866">
        <v>44795</v>
      </c>
      <c r="E1037" s="817">
        <v>64053</v>
      </c>
      <c r="F1037" s="864">
        <f t="shared" si="64"/>
        <v>8</v>
      </c>
      <c r="G1037" s="864">
        <f t="shared" si="65"/>
        <v>35</v>
      </c>
      <c r="H1037" s="864">
        <f t="shared" si="66"/>
        <v>2022</v>
      </c>
      <c r="I1037" s="879">
        <f t="shared" si="67"/>
        <v>35</v>
      </c>
      <c r="J1037" s="867" cm="1">
        <f t="array" ref="J1037">INDEX($E:$E,MATCH($J$10,IF($B:$B=$B1037,$I:$I),1))</f>
        <v>65823</v>
      </c>
    </row>
    <row r="1038" spans="2:10">
      <c r="B1038" s="817" t="s">
        <v>3649</v>
      </c>
      <c r="C1038" s="817" t="s">
        <v>6155</v>
      </c>
      <c r="D1038" s="863">
        <v>44810</v>
      </c>
      <c r="E1038" s="817">
        <v>62432</v>
      </c>
      <c r="F1038" s="864">
        <f t="shared" si="64"/>
        <v>9</v>
      </c>
      <c r="G1038" s="864">
        <f t="shared" si="65"/>
        <v>37</v>
      </c>
      <c r="H1038" s="864">
        <f t="shared" si="66"/>
        <v>2022</v>
      </c>
      <c r="I1038" s="879">
        <f t="shared" si="67"/>
        <v>37</v>
      </c>
      <c r="J1038" s="867" cm="1">
        <f t="array" ref="J1038">INDEX($E:$E,MATCH($J$10,IF($B:$B=$B1038,$I:$I),1))</f>
        <v>65823</v>
      </c>
    </row>
    <row r="1039" spans="2:10">
      <c r="B1039" s="817" t="s">
        <v>3649</v>
      </c>
      <c r="C1039" s="817" t="s">
        <v>6155</v>
      </c>
      <c r="D1039" s="866">
        <v>44817</v>
      </c>
      <c r="E1039" s="817">
        <v>61239</v>
      </c>
      <c r="F1039" s="864">
        <f t="shared" si="64"/>
        <v>9</v>
      </c>
      <c r="G1039" s="864">
        <f t="shared" si="65"/>
        <v>38</v>
      </c>
      <c r="H1039" s="864">
        <f t="shared" si="66"/>
        <v>2022</v>
      </c>
      <c r="I1039" s="879">
        <f t="shared" si="67"/>
        <v>38</v>
      </c>
      <c r="J1039" s="867" cm="1">
        <f t="array" ref="J1039">INDEX($E:$E,MATCH($J$10,IF($B:$B=$B1039,$I:$I),1))</f>
        <v>65823</v>
      </c>
    </row>
    <row r="1040" spans="2:10">
      <c r="B1040" s="817" t="s">
        <v>3649</v>
      </c>
      <c r="C1040" s="817" t="s">
        <v>6155</v>
      </c>
      <c r="D1040" s="863">
        <v>44824</v>
      </c>
      <c r="E1040" s="817">
        <v>64553</v>
      </c>
      <c r="F1040" s="864">
        <f t="shared" si="64"/>
        <v>9</v>
      </c>
      <c r="G1040" s="864">
        <f t="shared" si="65"/>
        <v>39</v>
      </c>
      <c r="H1040" s="864">
        <f t="shared" si="66"/>
        <v>2022</v>
      </c>
      <c r="I1040" s="879">
        <f t="shared" si="67"/>
        <v>39</v>
      </c>
      <c r="J1040" s="867" cm="1">
        <f t="array" ref="J1040">INDEX($E:$E,MATCH($J$10,IF($B:$B=$B1040,$I:$I),1))</f>
        <v>65823</v>
      </c>
    </row>
    <row r="1041" spans="2:10">
      <c r="B1041" s="817" t="s">
        <v>3649</v>
      </c>
      <c r="C1041" s="817" t="s">
        <v>6155</v>
      </c>
      <c r="D1041" s="866">
        <v>44830</v>
      </c>
      <c r="E1041" s="817">
        <v>65098</v>
      </c>
      <c r="F1041" s="864">
        <f t="shared" si="64"/>
        <v>9</v>
      </c>
      <c r="G1041" s="864">
        <f t="shared" si="65"/>
        <v>40</v>
      </c>
      <c r="H1041" s="864">
        <f t="shared" si="66"/>
        <v>2022</v>
      </c>
      <c r="I1041" s="879">
        <f t="shared" si="67"/>
        <v>40</v>
      </c>
      <c r="J1041" s="867" cm="1">
        <f t="array" ref="J1041">INDEX($E:$E,MATCH($J$10,IF($B:$B=$B1041,$I:$I),1))</f>
        <v>65823</v>
      </c>
    </row>
    <row r="1042" spans="2:10">
      <c r="B1042" s="817" t="s">
        <v>3649</v>
      </c>
      <c r="C1042" s="817" t="s">
        <v>6155</v>
      </c>
      <c r="D1042" s="863">
        <v>44837</v>
      </c>
      <c r="E1042" s="817">
        <v>65618</v>
      </c>
      <c r="F1042" s="864">
        <f t="shared" si="64"/>
        <v>10</v>
      </c>
      <c r="G1042" s="864">
        <f t="shared" si="65"/>
        <v>41</v>
      </c>
      <c r="H1042" s="864">
        <f t="shared" si="66"/>
        <v>2022</v>
      </c>
      <c r="I1042" s="879">
        <f t="shared" si="67"/>
        <v>41</v>
      </c>
      <c r="J1042" s="867" cm="1">
        <f t="array" ref="J1042">INDEX($E:$E,MATCH($J$10,IF($B:$B=$B1042,$I:$I),1))</f>
        <v>65823</v>
      </c>
    </row>
    <row r="1043" spans="2:10">
      <c r="B1043" s="817" t="s">
        <v>3649</v>
      </c>
      <c r="C1043" s="817" t="s">
        <v>6155</v>
      </c>
      <c r="D1043" s="866">
        <v>44844</v>
      </c>
      <c r="E1043" s="817">
        <v>66252</v>
      </c>
      <c r="F1043" s="864">
        <f t="shared" si="64"/>
        <v>10</v>
      </c>
      <c r="G1043" s="864">
        <f t="shared" si="65"/>
        <v>42</v>
      </c>
      <c r="H1043" s="864">
        <f t="shared" si="66"/>
        <v>2022</v>
      </c>
      <c r="I1043" s="879">
        <f t="shared" si="67"/>
        <v>42</v>
      </c>
      <c r="J1043" s="867" cm="1">
        <f t="array" ref="J1043">INDEX($E:$E,MATCH($J$10,IF($B:$B=$B1043,$I:$I),1))</f>
        <v>65823</v>
      </c>
    </row>
    <row r="1044" spans="2:10">
      <c r="B1044" s="817" t="s">
        <v>3649</v>
      </c>
      <c r="C1044" s="817" t="s">
        <v>6155</v>
      </c>
      <c r="D1044" s="863">
        <v>44852</v>
      </c>
      <c r="E1044" s="817">
        <v>66812</v>
      </c>
      <c r="F1044" s="864">
        <f t="shared" si="64"/>
        <v>10</v>
      </c>
      <c r="G1044" s="864">
        <f t="shared" si="65"/>
        <v>43</v>
      </c>
      <c r="H1044" s="864">
        <f t="shared" si="66"/>
        <v>2022</v>
      </c>
      <c r="I1044" s="879">
        <f t="shared" si="67"/>
        <v>43</v>
      </c>
      <c r="J1044" s="867" cm="1">
        <f t="array" ref="J1044">INDEX($E:$E,MATCH($J$10,IF($B:$B=$B1044,$I:$I),1))</f>
        <v>65823</v>
      </c>
    </row>
    <row r="1045" spans="2:10">
      <c r="B1045" s="817" t="s">
        <v>3649</v>
      </c>
      <c r="C1045" s="817" t="s">
        <v>6155</v>
      </c>
      <c r="D1045" s="866">
        <v>44859</v>
      </c>
      <c r="E1045" s="817">
        <v>66812</v>
      </c>
      <c r="F1045" s="864">
        <f t="shared" si="64"/>
        <v>10</v>
      </c>
      <c r="G1045" s="864">
        <f t="shared" si="65"/>
        <v>44</v>
      </c>
      <c r="H1045" s="864">
        <f t="shared" si="66"/>
        <v>2022</v>
      </c>
      <c r="I1045" s="879">
        <f t="shared" si="67"/>
        <v>44</v>
      </c>
      <c r="J1045" s="867" cm="1">
        <f t="array" ref="J1045">INDEX($E:$E,MATCH($J$10,IF($B:$B=$B1045,$I:$I),1))</f>
        <v>65823</v>
      </c>
    </row>
    <row r="1046" spans="2:10">
      <c r="B1046" s="817" t="s">
        <v>3649</v>
      </c>
      <c r="C1046" s="817" t="s">
        <v>6155</v>
      </c>
      <c r="D1046" s="863">
        <v>44864</v>
      </c>
      <c r="E1046" s="817">
        <v>68086</v>
      </c>
      <c r="F1046" s="864">
        <f t="shared" si="64"/>
        <v>10</v>
      </c>
      <c r="G1046" s="864">
        <f t="shared" si="65"/>
        <v>45</v>
      </c>
      <c r="H1046" s="864">
        <f t="shared" si="66"/>
        <v>2022</v>
      </c>
      <c r="I1046" s="879">
        <f t="shared" si="67"/>
        <v>45</v>
      </c>
      <c r="J1046" s="867" cm="1">
        <f t="array" ref="J1046">INDEX($E:$E,MATCH($J$10,IF($B:$B=$B1046,$I:$I),1))</f>
        <v>65823</v>
      </c>
    </row>
    <row r="1047" spans="2:10">
      <c r="B1047" s="817" t="s">
        <v>3649</v>
      </c>
      <c r="C1047" s="817" t="s">
        <v>6155</v>
      </c>
      <c r="D1047" s="866">
        <v>44873</v>
      </c>
      <c r="E1047" s="817">
        <v>68620</v>
      </c>
      <c r="F1047" s="864">
        <f t="shared" si="64"/>
        <v>11</v>
      </c>
      <c r="G1047" s="864">
        <f t="shared" si="65"/>
        <v>46</v>
      </c>
      <c r="H1047" s="864">
        <f t="shared" si="66"/>
        <v>2022</v>
      </c>
      <c r="I1047" s="879">
        <f t="shared" si="67"/>
        <v>46</v>
      </c>
      <c r="J1047" s="867" cm="1">
        <f t="array" ref="J1047">INDEX($E:$E,MATCH($J$10,IF($B:$B=$B1047,$I:$I),1))</f>
        <v>65823</v>
      </c>
    </row>
    <row r="1048" spans="2:10">
      <c r="B1048" s="817" t="s">
        <v>3649</v>
      </c>
      <c r="C1048" s="817" t="s">
        <v>6155</v>
      </c>
      <c r="D1048" s="863">
        <v>44880</v>
      </c>
      <c r="E1048" s="817">
        <v>69162</v>
      </c>
      <c r="F1048" s="864">
        <f t="shared" si="64"/>
        <v>11</v>
      </c>
      <c r="G1048" s="864">
        <f t="shared" si="65"/>
        <v>47</v>
      </c>
      <c r="H1048" s="864">
        <f t="shared" si="66"/>
        <v>2022</v>
      </c>
      <c r="I1048" s="879">
        <f t="shared" si="67"/>
        <v>47</v>
      </c>
      <c r="J1048" s="867" cm="1">
        <f t="array" ref="J1048">INDEX($E:$E,MATCH($J$10,IF($B:$B=$B1048,$I:$I),1))</f>
        <v>65823</v>
      </c>
    </row>
    <row r="1049" spans="2:10">
      <c r="B1049" s="817" t="s">
        <v>3649</v>
      </c>
      <c r="C1049" s="817" t="s">
        <v>6155</v>
      </c>
      <c r="D1049" s="866">
        <v>44887</v>
      </c>
      <c r="E1049" s="817">
        <v>69607</v>
      </c>
      <c r="F1049" s="864">
        <f t="shared" si="64"/>
        <v>11</v>
      </c>
      <c r="G1049" s="864">
        <f t="shared" si="65"/>
        <v>48</v>
      </c>
      <c r="H1049" s="864">
        <f t="shared" si="66"/>
        <v>2022</v>
      </c>
      <c r="I1049" s="879">
        <f t="shared" si="67"/>
        <v>48</v>
      </c>
      <c r="J1049" s="867" cm="1">
        <f t="array" ref="J1049">INDEX($E:$E,MATCH($J$10,IF($B:$B=$B1049,$I:$I),1))</f>
        <v>65823</v>
      </c>
    </row>
    <row r="1050" spans="2:10">
      <c r="B1050" s="817" t="s">
        <v>3649</v>
      </c>
      <c r="C1050" s="817" t="s">
        <v>6155</v>
      </c>
      <c r="D1050" s="863">
        <v>44901</v>
      </c>
      <c r="E1050" s="817">
        <v>70730</v>
      </c>
      <c r="F1050" s="864">
        <f t="shared" si="64"/>
        <v>12</v>
      </c>
      <c r="G1050" s="864">
        <f t="shared" si="65"/>
        <v>50</v>
      </c>
      <c r="H1050" s="864">
        <f t="shared" si="66"/>
        <v>2022</v>
      </c>
      <c r="I1050" s="879">
        <f t="shared" si="67"/>
        <v>50</v>
      </c>
      <c r="J1050" s="867" cm="1">
        <f t="array" ref="J1050">INDEX($E:$E,MATCH($J$10,IF($B:$B=$B1050,$I:$I),1))</f>
        <v>65823</v>
      </c>
    </row>
    <row r="1051" spans="2:10">
      <c r="B1051" s="817" t="s">
        <v>3649</v>
      </c>
      <c r="C1051" s="817" t="s">
        <v>6155</v>
      </c>
      <c r="D1051" s="866">
        <v>44908</v>
      </c>
      <c r="E1051" s="817">
        <v>71342</v>
      </c>
      <c r="F1051" s="864">
        <f t="shared" si="64"/>
        <v>12</v>
      </c>
      <c r="G1051" s="864">
        <f t="shared" si="65"/>
        <v>51</v>
      </c>
      <c r="H1051" s="864">
        <f t="shared" si="66"/>
        <v>2022</v>
      </c>
      <c r="I1051" s="879">
        <f t="shared" si="67"/>
        <v>51</v>
      </c>
      <c r="J1051" s="867" cm="1">
        <f t="array" ref="J1051">INDEX($E:$E,MATCH($J$10,IF($B:$B=$B1051,$I:$I),1))</f>
        <v>65823</v>
      </c>
    </row>
    <row r="1052" spans="2:10">
      <c r="B1052" s="817" t="s">
        <v>3649</v>
      </c>
      <c r="C1052" s="817" t="s">
        <v>6155</v>
      </c>
      <c r="D1052" s="863">
        <v>44918</v>
      </c>
      <c r="E1052" s="817">
        <v>76432</v>
      </c>
      <c r="F1052" s="864">
        <f t="shared" si="64"/>
        <v>12</v>
      </c>
      <c r="G1052" s="864">
        <f t="shared" si="65"/>
        <v>52</v>
      </c>
      <c r="H1052" s="864">
        <f t="shared" si="66"/>
        <v>2022</v>
      </c>
      <c r="I1052" s="879">
        <f t="shared" si="67"/>
        <v>52</v>
      </c>
      <c r="J1052" s="867" cm="1">
        <f t="array" ref="J1052">INDEX($E:$E,MATCH($J$10,IF($B:$B=$B1052,$I:$I),1))</f>
        <v>65823</v>
      </c>
    </row>
    <row r="1053" spans="2:10">
      <c r="B1053" s="817" t="s">
        <v>3649</v>
      </c>
      <c r="C1053" s="817" t="s">
        <v>6155</v>
      </c>
      <c r="D1053" s="866">
        <v>44929</v>
      </c>
      <c r="E1053" s="817">
        <v>77045</v>
      </c>
      <c r="F1053" s="864">
        <f t="shared" si="64"/>
        <v>1</v>
      </c>
      <c r="G1053" s="864">
        <f t="shared" si="65"/>
        <v>1</v>
      </c>
      <c r="H1053" s="864">
        <f t="shared" si="66"/>
        <v>2023</v>
      </c>
      <c r="I1053" s="879">
        <f t="shared" si="67"/>
        <v>54</v>
      </c>
      <c r="J1053" s="867" cm="1">
        <f t="array" ref="J1053">INDEX($E:$E,MATCH($J$10,IF($B:$B=$B1053,$I:$I),1))</f>
        <v>65823</v>
      </c>
    </row>
    <row r="1054" spans="2:10">
      <c r="B1054" s="817" t="s">
        <v>3649</v>
      </c>
      <c r="C1054" s="817" t="s">
        <v>6155</v>
      </c>
      <c r="D1054" s="863">
        <v>44936</v>
      </c>
      <c r="E1054" s="817">
        <v>77450</v>
      </c>
      <c r="F1054" s="864">
        <f t="shared" si="64"/>
        <v>1</v>
      </c>
      <c r="G1054" s="864">
        <f t="shared" si="65"/>
        <v>2</v>
      </c>
      <c r="H1054" s="864">
        <f t="shared" si="66"/>
        <v>2023</v>
      </c>
      <c r="I1054" s="879">
        <f t="shared" si="67"/>
        <v>55</v>
      </c>
      <c r="J1054" s="867" cm="1">
        <f t="array" ref="J1054">INDEX($E:$E,MATCH($J$10,IF($B:$B=$B1054,$I:$I),1))</f>
        <v>65823</v>
      </c>
    </row>
    <row r="1055" spans="2:10">
      <c r="B1055" s="817" t="s">
        <v>3649</v>
      </c>
      <c r="C1055" s="817" t="s">
        <v>6155</v>
      </c>
      <c r="D1055" s="866">
        <v>44946</v>
      </c>
      <c r="E1055" s="817">
        <v>78467</v>
      </c>
      <c r="F1055" s="864">
        <f t="shared" si="64"/>
        <v>1</v>
      </c>
      <c r="G1055" s="864">
        <f t="shared" si="65"/>
        <v>3</v>
      </c>
      <c r="H1055" s="864">
        <f t="shared" si="66"/>
        <v>2023</v>
      </c>
      <c r="I1055" s="879">
        <f t="shared" si="67"/>
        <v>56</v>
      </c>
      <c r="J1055" s="867" cm="1">
        <f t="array" ref="J1055">INDEX($E:$E,MATCH($J$10,IF($B:$B=$B1055,$I:$I),1))</f>
        <v>65823</v>
      </c>
    </row>
    <row r="1056" spans="2:10">
      <c r="B1056" s="817" t="s">
        <v>3649</v>
      </c>
      <c r="C1056" s="817" t="s">
        <v>6155</v>
      </c>
      <c r="D1056" s="863">
        <v>44953</v>
      </c>
      <c r="E1056" s="817">
        <v>78888</v>
      </c>
      <c r="F1056" s="864">
        <f t="shared" si="64"/>
        <v>1</v>
      </c>
      <c r="G1056" s="864">
        <f t="shared" si="65"/>
        <v>4</v>
      </c>
      <c r="H1056" s="864">
        <f t="shared" si="66"/>
        <v>2023</v>
      </c>
      <c r="I1056" s="879">
        <f t="shared" si="67"/>
        <v>57</v>
      </c>
      <c r="J1056" s="867" cm="1">
        <f t="array" ref="J1056">INDEX($E:$E,MATCH($J$10,IF($B:$B=$B1056,$I:$I),1))</f>
        <v>65823</v>
      </c>
    </row>
    <row r="1057" spans="2:10">
      <c r="B1057" s="817" t="s">
        <v>3649</v>
      </c>
      <c r="C1057" s="817" t="s">
        <v>6155</v>
      </c>
      <c r="D1057" s="866">
        <v>44970</v>
      </c>
      <c r="E1057" s="817">
        <v>80324</v>
      </c>
      <c r="F1057" s="864">
        <f t="shared" si="64"/>
        <v>2</v>
      </c>
      <c r="G1057" s="864">
        <f t="shared" si="65"/>
        <v>7</v>
      </c>
      <c r="H1057" s="864">
        <f t="shared" si="66"/>
        <v>2023</v>
      </c>
      <c r="I1057" s="879">
        <f t="shared" si="67"/>
        <v>60</v>
      </c>
      <c r="J1057" s="867" cm="1">
        <f t="array" ref="J1057">INDEX($E:$E,MATCH($J$10,IF($B:$B=$B1057,$I:$I),1))</f>
        <v>65823</v>
      </c>
    </row>
    <row r="1058" spans="2:10">
      <c r="B1058" s="817" t="s">
        <v>3649</v>
      </c>
      <c r="C1058" s="817" t="s">
        <v>6155</v>
      </c>
      <c r="D1058" s="863">
        <v>44973</v>
      </c>
      <c r="E1058" s="817">
        <v>80773</v>
      </c>
      <c r="F1058" s="864">
        <f t="shared" si="64"/>
        <v>2</v>
      </c>
      <c r="G1058" s="864">
        <f t="shared" si="65"/>
        <v>7</v>
      </c>
      <c r="H1058" s="864">
        <f t="shared" si="66"/>
        <v>2023</v>
      </c>
      <c r="I1058" s="879">
        <f t="shared" si="67"/>
        <v>60</v>
      </c>
      <c r="J1058" s="867" cm="1">
        <f t="array" ref="J1058">INDEX($E:$E,MATCH($J$10,IF($B:$B=$B1058,$I:$I),1))</f>
        <v>65823</v>
      </c>
    </row>
    <row r="1059" spans="2:10">
      <c r="B1059" s="817" t="s">
        <v>3649</v>
      </c>
      <c r="C1059" s="817" t="s">
        <v>6155</v>
      </c>
      <c r="D1059" s="866">
        <v>44981</v>
      </c>
      <c r="E1059" s="817">
        <v>81436</v>
      </c>
      <c r="F1059" s="864">
        <f t="shared" si="64"/>
        <v>2</v>
      </c>
      <c r="G1059" s="864">
        <f t="shared" si="65"/>
        <v>8</v>
      </c>
      <c r="H1059" s="864">
        <f t="shared" si="66"/>
        <v>2023</v>
      </c>
      <c r="I1059" s="879">
        <f t="shared" si="67"/>
        <v>61</v>
      </c>
      <c r="J1059" s="867" cm="1">
        <f t="array" ref="J1059">INDEX($E:$E,MATCH($J$10,IF($B:$B=$B1059,$I:$I),1))</f>
        <v>65823</v>
      </c>
    </row>
    <row r="1060" spans="2:10">
      <c r="B1060" s="817" t="s">
        <v>3649</v>
      </c>
      <c r="C1060" s="817" t="s">
        <v>6155</v>
      </c>
      <c r="D1060" s="863">
        <v>44988</v>
      </c>
      <c r="E1060" s="817">
        <v>81862</v>
      </c>
      <c r="F1060" s="864">
        <f t="shared" si="64"/>
        <v>3</v>
      </c>
      <c r="G1060" s="864">
        <f t="shared" si="65"/>
        <v>9</v>
      </c>
      <c r="H1060" s="864">
        <f t="shared" si="66"/>
        <v>2023</v>
      </c>
      <c r="I1060" s="879">
        <f t="shared" si="67"/>
        <v>62</v>
      </c>
      <c r="J1060" s="867" cm="1">
        <f t="array" ref="J1060">INDEX($E:$E,MATCH($J$10,IF($B:$B=$B1060,$I:$I),1))</f>
        <v>65823</v>
      </c>
    </row>
    <row r="1061" spans="2:10">
      <c r="B1061" s="817" t="s">
        <v>3649</v>
      </c>
      <c r="C1061" s="817" t="s">
        <v>6155</v>
      </c>
      <c r="D1061" s="863">
        <v>44999</v>
      </c>
      <c r="E1061" s="817">
        <v>82628</v>
      </c>
      <c r="F1061" s="864">
        <f t="shared" si="64"/>
        <v>3</v>
      </c>
      <c r="G1061" s="864">
        <f t="shared" si="65"/>
        <v>11</v>
      </c>
      <c r="H1061" s="864">
        <f t="shared" si="66"/>
        <v>2023</v>
      </c>
      <c r="I1061" s="879">
        <f t="shared" si="67"/>
        <v>64</v>
      </c>
      <c r="J1061" s="867" cm="1">
        <f t="array" ref="J1061">INDEX($E:$E,MATCH($J$10,IF($B:$B=$B1061,$I:$I),1))</f>
        <v>65823</v>
      </c>
    </row>
    <row r="1062" spans="2:10">
      <c r="B1062" s="817" t="s">
        <v>3649</v>
      </c>
      <c r="C1062" s="817" t="s">
        <v>6155</v>
      </c>
      <c r="D1062" s="863">
        <v>45002</v>
      </c>
      <c r="E1062" s="817">
        <v>82952</v>
      </c>
      <c r="F1062" s="864">
        <f t="shared" si="64"/>
        <v>3</v>
      </c>
      <c r="G1062" s="864">
        <f t="shared" si="65"/>
        <v>11</v>
      </c>
      <c r="H1062" s="864">
        <f t="shared" si="66"/>
        <v>2023</v>
      </c>
      <c r="I1062" s="879">
        <f t="shared" si="67"/>
        <v>64</v>
      </c>
      <c r="J1062" s="867" cm="1">
        <f t="array" ref="J1062">INDEX($E:$E,MATCH($J$10,IF($B:$B=$B1062,$I:$I),1))</f>
        <v>65823</v>
      </c>
    </row>
    <row r="1063" spans="2:10">
      <c r="B1063" s="817" t="s">
        <v>3649</v>
      </c>
      <c r="C1063" s="817" t="s">
        <v>6155</v>
      </c>
      <c r="D1063" s="863">
        <v>45009</v>
      </c>
      <c r="E1063" s="817">
        <v>83428</v>
      </c>
      <c r="F1063" s="864">
        <f t="shared" si="64"/>
        <v>3</v>
      </c>
      <c r="G1063" s="864">
        <f t="shared" si="65"/>
        <v>12</v>
      </c>
      <c r="H1063" s="864">
        <f t="shared" si="66"/>
        <v>2023</v>
      </c>
      <c r="I1063" s="879">
        <f t="shared" si="67"/>
        <v>65</v>
      </c>
      <c r="J1063" s="867" cm="1">
        <f t="array" ref="J1063">INDEX($E:$E,MATCH($J$10,IF($B:$B=$B1063,$I:$I),1))</f>
        <v>65823</v>
      </c>
    </row>
    <row r="1064" spans="2:10">
      <c r="B1064" s="817" t="s">
        <v>3649</v>
      </c>
      <c r="C1064" s="817" t="s">
        <v>6155</v>
      </c>
      <c r="D1064" s="863">
        <v>45016</v>
      </c>
      <c r="E1064" s="817">
        <v>65818</v>
      </c>
      <c r="F1064" s="864">
        <f t="shared" si="64"/>
        <v>3</v>
      </c>
      <c r="G1064" s="864">
        <f t="shared" si="65"/>
        <v>13</v>
      </c>
      <c r="H1064" s="864">
        <f t="shared" si="66"/>
        <v>2023</v>
      </c>
      <c r="I1064" s="879">
        <f t="shared" si="67"/>
        <v>66</v>
      </c>
      <c r="J1064" s="867" cm="1">
        <f t="array" ref="J1064">INDEX($E:$E,MATCH($J$10,IF($B:$B=$B1064,$I:$I),1))</f>
        <v>65823</v>
      </c>
    </row>
    <row r="1065" spans="2:10">
      <c r="B1065" s="817" t="s">
        <v>3649</v>
      </c>
      <c r="C1065" s="817" t="s">
        <v>6155</v>
      </c>
      <c r="D1065" s="863">
        <v>45022</v>
      </c>
      <c r="E1065" s="817">
        <v>65744</v>
      </c>
      <c r="F1065" s="864">
        <f t="shared" si="64"/>
        <v>4</v>
      </c>
      <c r="G1065" s="864">
        <f t="shared" si="65"/>
        <v>14</v>
      </c>
      <c r="H1065" s="864">
        <f t="shared" si="66"/>
        <v>2023</v>
      </c>
      <c r="I1065" s="879">
        <f t="shared" si="67"/>
        <v>67</v>
      </c>
      <c r="J1065" s="867" cm="1">
        <f t="array" ref="J1065">INDEX($E:$E,MATCH($J$10,IF($B:$B=$B1065,$I:$I),1))</f>
        <v>65823</v>
      </c>
    </row>
    <row r="1066" spans="2:10">
      <c r="B1066" s="817" t="s">
        <v>3649</v>
      </c>
      <c r="C1066" s="817" t="s">
        <v>6155</v>
      </c>
      <c r="D1066" s="863">
        <v>45030</v>
      </c>
      <c r="E1066" s="817">
        <v>65763</v>
      </c>
      <c r="F1066" s="864">
        <f t="shared" si="64"/>
        <v>4</v>
      </c>
      <c r="G1066" s="864">
        <f t="shared" si="65"/>
        <v>15</v>
      </c>
      <c r="H1066" s="864">
        <f t="shared" si="66"/>
        <v>2023</v>
      </c>
      <c r="I1066" s="879">
        <f t="shared" si="67"/>
        <v>68</v>
      </c>
      <c r="J1066" s="867" cm="1">
        <f t="array" ref="J1066">INDEX($E:$E,MATCH($J$10,IF($B:$B=$B1066,$I:$I),1))</f>
        <v>65823</v>
      </c>
    </row>
    <row r="1067" spans="2:10">
      <c r="B1067" s="817" t="s">
        <v>3649</v>
      </c>
      <c r="C1067" s="817" t="s">
        <v>6155</v>
      </c>
      <c r="D1067" s="863">
        <v>45037</v>
      </c>
      <c r="E1067" s="817">
        <v>65820</v>
      </c>
      <c r="F1067" s="864">
        <f t="shared" si="64"/>
        <v>4</v>
      </c>
      <c r="G1067" s="864">
        <f t="shared" si="65"/>
        <v>16</v>
      </c>
      <c r="H1067" s="864">
        <f t="shared" si="66"/>
        <v>2023</v>
      </c>
      <c r="I1067" s="879">
        <f t="shared" si="67"/>
        <v>69</v>
      </c>
      <c r="J1067" s="867" cm="1">
        <f t="array" ref="J1067">INDEX($E:$E,MATCH($J$10,IF($B:$B=$B1067,$I:$I),1))</f>
        <v>65823</v>
      </c>
    </row>
    <row r="1068" spans="2:10">
      <c r="B1068" s="817" t="s">
        <v>3649</v>
      </c>
      <c r="C1068" s="817" t="s">
        <v>6155</v>
      </c>
      <c r="D1068" s="863">
        <v>45044</v>
      </c>
      <c r="E1068" s="817">
        <v>65655</v>
      </c>
      <c r="F1068" s="864">
        <f t="shared" si="64"/>
        <v>4</v>
      </c>
      <c r="G1068" s="864">
        <f t="shared" si="65"/>
        <v>17</v>
      </c>
      <c r="H1068" s="864">
        <f t="shared" si="66"/>
        <v>2023</v>
      </c>
      <c r="I1068" s="879">
        <f t="shared" si="67"/>
        <v>70</v>
      </c>
      <c r="J1068" s="867" cm="1">
        <f t="array" ref="J1068">INDEX($E:$E,MATCH($J$10,IF($B:$B=$B1068,$I:$I),1))</f>
        <v>65823</v>
      </c>
    </row>
    <row r="1069" spans="2:10">
      <c r="B1069" s="817" t="s">
        <v>3649</v>
      </c>
      <c r="C1069" s="817" t="s">
        <v>6155</v>
      </c>
      <c r="D1069" s="863">
        <v>45051</v>
      </c>
      <c r="E1069" s="817">
        <v>65601</v>
      </c>
      <c r="F1069" s="864">
        <f t="shared" si="64"/>
        <v>5</v>
      </c>
      <c r="G1069" s="864">
        <f t="shared" si="65"/>
        <v>18</v>
      </c>
      <c r="H1069" s="864">
        <f t="shared" si="66"/>
        <v>2023</v>
      </c>
      <c r="I1069" s="879">
        <f t="shared" si="67"/>
        <v>71</v>
      </c>
      <c r="J1069" s="867" cm="1">
        <f t="array" ref="J1069">INDEX($E:$E,MATCH($J$10,IF($B:$B=$B1069,$I:$I),1))</f>
        <v>65823</v>
      </c>
    </row>
    <row r="1070" spans="2:10">
      <c r="B1070" s="817" t="s">
        <v>3649</v>
      </c>
      <c r="C1070" s="817" t="s">
        <v>6155</v>
      </c>
      <c r="D1070" s="863">
        <v>45065</v>
      </c>
      <c r="E1070" s="817">
        <v>65601</v>
      </c>
      <c r="F1070" s="864">
        <f t="shared" si="64"/>
        <v>5</v>
      </c>
      <c r="G1070" s="864">
        <f t="shared" si="65"/>
        <v>20</v>
      </c>
      <c r="H1070" s="864">
        <f t="shared" si="66"/>
        <v>2023</v>
      </c>
      <c r="I1070" s="879">
        <f t="shared" si="67"/>
        <v>73</v>
      </c>
      <c r="J1070" s="867" cm="1">
        <f t="array" ref="J1070">INDEX($E:$E,MATCH($J$10,IF($B:$B=$B1070,$I:$I),1))</f>
        <v>65823</v>
      </c>
    </row>
    <row r="1071" spans="2:10">
      <c r="B1071" s="817" t="s">
        <v>3649</v>
      </c>
      <c r="C1071" s="817" t="s">
        <v>6155</v>
      </c>
      <c r="D1071" s="863">
        <v>45079</v>
      </c>
      <c r="E1071" s="817">
        <v>65823</v>
      </c>
      <c r="F1071" s="864">
        <f t="shared" si="64"/>
        <v>6</v>
      </c>
      <c r="G1071" s="864">
        <f t="shared" si="65"/>
        <v>22</v>
      </c>
      <c r="H1071" s="864">
        <f t="shared" si="66"/>
        <v>2023</v>
      </c>
      <c r="I1071" s="879">
        <f t="shared" si="67"/>
        <v>75</v>
      </c>
      <c r="J1071" s="867" cm="1">
        <f t="array" ref="J1071">INDEX($E:$E,MATCH($J$10,IF($B:$B=$B1071,$I:$I),1))</f>
        <v>65823</v>
      </c>
    </row>
    <row r="1072" spans="2:10">
      <c r="B1072" s="817" t="s">
        <v>3685</v>
      </c>
      <c r="C1072" s="817" t="s">
        <v>4681</v>
      </c>
      <c r="D1072" s="866">
        <v>44676</v>
      </c>
      <c r="E1072" s="817">
        <v>85000</v>
      </c>
      <c r="F1072" s="864">
        <f t="shared" si="64"/>
        <v>4</v>
      </c>
      <c r="G1072" s="864">
        <f t="shared" si="65"/>
        <v>18</v>
      </c>
      <c r="H1072" s="864">
        <f t="shared" si="66"/>
        <v>2022</v>
      </c>
      <c r="I1072" s="879">
        <f t="shared" si="67"/>
        <v>18</v>
      </c>
      <c r="J1072" s="867" cm="1">
        <f t="array" ref="J1072">INDEX($E:$E,MATCH($J$10,IF($B:$B=$B1072,$I:$I),1))</f>
        <v>46563</v>
      </c>
    </row>
    <row r="1073" spans="2:10">
      <c r="B1073" s="817" t="s">
        <v>3685</v>
      </c>
      <c r="C1073" s="817" t="s">
        <v>4681</v>
      </c>
      <c r="D1073" s="863">
        <v>44690</v>
      </c>
      <c r="E1073" s="817">
        <v>100000</v>
      </c>
      <c r="F1073" s="864">
        <f t="shared" si="64"/>
        <v>5</v>
      </c>
      <c r="G1073" s="864">
        <f t="shared" si="65"/>
        <v>20</v>
      </c>
      <c r="H1073" s="864">
        <f t="shared" si="66"/>
        <v>2022</v>
      </c>
      <c r="I1073" s="879">
        <f t="shared" si="67"/>
        <v>20</v>
      </c>
      <c r="J1073" s="867" cm="1">
        <f t="array" ref="J1073">INDEX($E:$E,MATCH($J$10,IF($B:$B=$B1073,$I:$I),1))</f>
        <v>46563</v>
      </c>
    </row>
    <row r="1074" spans="2:10">
      <c r="B1074" s="817" t="s">
        <v>3685</v>
      </c>
      <c r="C1074" s="817" t="s">
        <v>4681</v>
      </c>
      <c r="D1074" s="866">
        <v>44700</v>
      </c>
      <c r="E1074" s="817">
        <v>145000</v>
      </c>
      <c r="F1074" s="864">
        <f t="shared" si="64"/>
        <v>5</v>
      </c>
      <c r="G1074" s="864">
        <f t="shared" si="65"/>
        <v>21</v>
      </c>
      <c r="H1074" s="864">
        <f t="shared" si="66"/>
        <v>2022</v>
      </c>
      <c r="I1074" s="879">
        <f t="shared" si="67"/>
        <v>21</v>
      </c>
      <c r="J1074" s="867" cm="1">
        <f t="array" ref="J1074">INDEX($E:$E,MATCH($J$10,IF($B:$B=$B1074,$I:$I),1))</f>
        <v>46563</v>
      </c>
    </row>
    <row r="1075" spans="2:10">
      <c r="B1075" s="817" t="s">
        <v>3685</v>
      </c>
      <c r="C1075" s="817" t="s">
        <v>4681</v>
      </c>
      <c r="D1075" s="863">
        <v>44901</v>
      </c>
      <c r="E1075" s="817">
        <v>46739</v>
      </c>
      <c r="F1075" s="864">
        <f t="shared" si="64"/>
        <v>12</v>
      </c>
      <c r="G1075" s="864">
        <f t="shared" si="65"/>
        <v>50</v>
      </c>
      <c r="H1075" s="864">
        <f t="shared" si="66"/>
        <v>2022</v>
      </c>
      <c r="I1075" s="879">
        <f t="shared" si="67"/>
        <v>50</v>
      </c>
      <c r="J1075" s="867" cm="1">
        <f t="array" ref="J1075">INDEX($E:$E,MATCH($J$10,IF($B:$B=$B1075,$I:$I),1))</f>
        <v>46563</v>
      </c>
    </row>
    <row r="1076" spans="2:10">
      <c r="B1076" s="817" t="s">
        <v>3685</v>
      </c>
      <c r="C1076" s="817" t="s">
        <v>4681</v>
      </c>
      <c r="D1076" s="866">
        <v>44915</v>
      </c>
      <c r="E1076" s="817">
        <v>46739</v>
      </c>
      <c r="F1076" s="864">
        <f t="shared" si="64"/>
        <v>12</v>
      </c>
      <c r="G1076" s="864">
        <f t="shared" si="65"/>
        <v>52</v>
      </c>
      <c r="H1076" s="864">
        <f t="shared" si="66"/>
        <v>2022</v>
      </c>
      <c r="I1076" s="879">
        <f t="shared" si="67"/>
        <v>52</v>
      </c>
      <c r="J1076" s="867" cm="1">
        <f t="array" ref="J1076">INDEX($E:$E,MATCH($J$10,IF($B:$B=$B1076,$I:$I),1))</f>
        <v>46563</v>
      </c>
    </row>
    <row r="1077" spans="2:10">
      <c r="B1077" s="817" t="s">
        <v>3685</v>
      </c>
      <c r="C1077" s="817" t="s">
        <v>4681</v>
      </c>
      <c r="D1077" s="863">
        <v>44922</v>
      </c>
      <c r="E1077" s="817">
        <v>46739</v>
      </c>
      <c r="F1077" s="864">
        <f t="shared" si="64"/>
        <v>12</v>
      </c>
      <c r="G1077" s="864">
        <f t="shared" si="65"/>
        <v>53</v>
      </c>
      <c r="H1077" s="864">
        <f t="shared" si="66"/>
        <v>2022</v>
      </c>
      <c r="I1077" s="879">
        <f t="shared" si="67"/>
        <v>53</v>
      </c>
      <c r="J1077" s="867" cm="1">
        <f t="array" ref="J1077">INDEX($E:$E,MATCH($J$10,IF($B:$B=$B1077,$I:$I),1))</f>
        <v>46563</v>
      </c>
    </row>
    <row r="1078" spans="2:10">
      <c r="B1078" s="817" t="s">
        <v>3685</v>
      </c>
      <c r="C1078" s="817" t="s">
        <v>4681</v>
      </c>
      <c r="D1078" s="866">
        <v>44929</v>
      </c>
      <c r="E1078" s="817">
        <v>46739</v>
      </c>
      <c r="F1078" s="864">
        <f t="shared" si="64"/>
        <v>1</v>
      </c>
      <c r="G1078" s="864">
        <f t="shared" si="65"/>
        <v>1</v>
      </c>
      <c r="H1078" s="864">
        <f t="shared" si="66"/>
        <v>2023</v>
      </c>
      <c r="I1078" s="879">
        <f t="shared" si="67"/>
        <v>54</v>
      </c>
      <c r="J1078" s="867" cm="1">
        <f t="array" ref="J1078">INDEX($E:$E,MATCH($J$10,IF($B:$B=$B1078,$I:$I),1))</f>
        <v>46563</v>
      </c>
    </row>
    <row r="1079" spans="2:10">
      <c r="B1079" s="817" t="s">
        <v>3685</v>
      </c>
      <c r="C1079" s="817" t="s">
        <v>4681</v>
      </c>
      <c r="D1079" s="863">
        <v>44936</v>
      </c>
      <c r="E1079" s="817">
        <v>86545</v>
      </c>
      <c r="F1079" s="864">
        <f t="shared" si="64"/>
        <v>1</v>
      </c>
      <c r="G1079" s="864">
        <f t="shared" si="65"/>
        <v>2</v>
      </c>
      <c r="H1079" s="864">
        <f t="shared" si="66"/>
        <v>2023</v>
      </c>
      <c r="I1079" s="879">
        <f t="shared" si="67"/>
        <v>55</v>
      </c>
      <c r="J1079" s="867" cm="1">
        <f t="array" ref="J1079">INDEX($E:$E,MATCH($J$10,IF($B:$B=$B1079,$I:$I),1))</f>
        <v>46563</v>
      </c>
    </row>
    <row r="1080" spans="2:10">
      <c r="B1080" s="817" t="s">
        <v>3685</v>
      </c>
      <c r="C1080" s="817" t="s">
        <v>4681</v>
      </c>
      <c r="D1080" s="866">
        <v>44945</v>
      </c>
      <c r="E1080" s="817">
        <v>95772</v>
      </c>
      <c r="F1080" s="864">
        <f t="shared" si="64"/>
        <v>1</v>
      </c>
      <c r="G1080" s="864">
        <f t="shared" si="65"/>
        <v>3</v>
      </c>
      <c r="H1080" s="864">
        <f t="shared" si="66"/>
        <v>2023</v>
      </c>
      <c r="I1080" s="879">
        <f t="shared" si="67"/>
        <v>56</v>
      </c>
      <c r="J1080" s="867" cm="1">
        <f t="array" ref="J1080">INDEX($E:$E,MATCH($J$10,IF($B:$B=$B1080,$I:$I),1))</f>
        <v>46563</v>
      </c>
    </row>
    <row r="1081" spans="2:10">
      <c r="B1081" s="817" t="s">
        <v>3685</v>
      </c>
      <c r="C1081" s="817" t="s">
        <v>4681</v>
      </c>
      <c r="D1081" s="863">
        <v>44952</v>
      </c>
      <c r="E1081" s="817">
        <v>95874</v>
      </c>
      <c r="F1081" s="864">
        <f t="shared" si="64"/>
        <v>1</v>
      </c>
      <c r="G1081" s="864">
        <f t="shared" si="65"/>
        <v>4</v>
      </c>
      <c r="H1081" s="864">
        <f t="shared" si="66"/>
        <v>2023</v>
      </c>
      <c r="I1081" s="879">
        <f t="shared" si="67"/>
        <v>57</v>
      </c>
      <c r="J1081" s="867" cm="1">
        <f t="array" ref="J1081">INDEX($E:$E,MATCH($J$10,IF($B:$B=$B1081,$I:$I),1))</f>
        <v>46563</v>
      </c>
    </row>
    <row r="1082" spans="2:10">
      <c r="B1082" s="817" t="s">
        <v>3685</v>
      </c>
      <c r="C1082" s="817" t="s">
        <v>4681</v>
      </c>
      <c r="D1082" s="863">
        <v>45078</v>
      </c>
      <c r="E1082" s="817">
        <v>46563</v>
      </c>
      <c r="F1082" s="864">
        <f t="shared" si="64"/>
        <v>6</v>
      </c>
      <c r="G1082" s="864">
        <f t="shared" si="65"/>
        <v>22</v>
      </c>
      <c r="H1082" s="864">
        <f t="shared" si="66"/>
        <v>2023</v>
      </c>
      <c r="I1082" s="879">
        <f t="shared" si="67"/>
        <v>75</v>
      </c>
      <c r="J1082" s="867" cm="1">
        <f t="array" ref="J1082">INDEX($E:$E,MATCH($J$10,IF($B:$B=$B1082,$I:$I),1))</f>
        <v>46563</v>
      </c>
    </row>
    <row r="1083" spans="2:10">
      <c r="B1083" s="817" t="s">
        <v>3748</v>
      </c>
      <c r="C1083" s="817" t="s">
        <v>6156</v>
      </c>
      <c r="D1083" s="866">
        <v>44684</v>
      </c>
      <c r="E1083" s="817">
        <v>37400</v>
      </c>
      <c r="F1083" s="864">
        <f t="shared" si="64"/>
        <v>5</v>
      </c>
      <c r="G1083" s="864">
        <f t="shared" si="65"/>
        <v>19</v>
      </c>
      <c r="H1083" s="864">
        <f t="shared" si="66"/>
        <v>2022</v>
      </c>
      <c r="I1083" s="879">
        <f t="shared" si="67"/>
        <v>19</v>
      </c>
      <c r="J1083" s="867" cm="1">
        <f t="array" ref="J1083">INDEX($E:$E,MATCH($J$10,IF($B:$B=$B1083,$I:$I),1))</f>
        <v>202999</v>
      </c>
    </row>
    <row r="1084" spans="2:10">
      <c r="B1084" s="817" t="s">
        <v>3748</v>
      </c>
      <c r="C1084" s="817" t="s">
        <v>6156</v>
      </c>
      <c r="D1084" s="863">
        <v>44718</v>
      </c>
      <c r="E1084" s="817">
        <v>70500</v>
      </c>
      <c r="F1084" s="864">
        <f t="shared" si="64"/>
        <v>6</v>
      </c>
      <c r="G1084" s="864">
        <f t="shared" si="65"/>
        <v>24</v>
      </c>
      <c r="H1084" s="864">
        <f t="shared" si="66"/>
        <v>2022</v>
      </c>
      <c r="I1084" s="879">
        <f t="shared" si="67"/>
        <v>24</v>
      </c>
      <c r="J1084" s="867" cm="1">
        <f t="array" ref="J1084">INDEX($E:$E,MATCH($J$10,IF($B:$B=$B1084,$I:$I),1))</f>
        <v>202999</v>
      </c>
    </row>
    <row r="1085" spans="2:10">
      <c r="B1085" s="817" t="s">
        <v>3748</v>
      </c>
      <c r="C1085" s="817" t="s">
        <v>6156</v>
      </c>
      <c r="D1085" s="866">
        <v>44725</v>
      </c>
      <c r="E1085" s="817">
        <v>77200</v>
      </c>
      <c r="F1085" s="864">
        <f t="shared" si="64"/>
        <v>6</v>
      </c>
      <c r="G1085" s="864">
        <f t="shared" si="65"/>
        <v>25</v>
      </c>
      <c r="H1085" s="864">
        <f t="shared" si="66"/>
        <v>2022</v>
      </c>
      <c r="I1085" s="879">
        <f t="shared" si="67"/>
        <v>25</v>
      </c>
      <c r="J1085" s="867" cm="1">
        <f t="array" ref="J1085">INDEX($E:$E,MATCH($J$10,IF($B:$B=$B1085,$I:$I),1))</f>
        <v>202999</v>
      </c>
    </row>
    <row r="1086" spans="2:10">
      <c r="B1086" s="817" t="s">
        <v>3748</v>
      </c>
      <c r="C1086" s="817" t="s">
        <v>6156</v>
      </c>
      <c r="D1086" s="863">
        <v>44732</v>
      </c>
      <c r="E1086" s="817">
        <v>82100</v>
      </c>
      <c r="F1086" s="864">
        <f t="shared" si="64"/>
        <v>6</v>
      </c>
      <c r="G1086" s="864">
        <f t="shared" si="65"/>
        <v>26</v>
      </c>
      <c r="H1086" s="864">
        <f t="shared" si="66"/>
        <v>2022</v>
      </c>
      <c r="I1086" s="879">
        <f t="shared" si="67"/>
        <v>26</v>
      </c>
      <c r="J1086" s="867" cm="1">
        <f t="array" ref="J1086">INDEX($E:$E,MATCH($J$10,IF($B:$B=$B1086,$I:$I),1))</f>
        <v>202999</v>
      </c>
    </row>
    <row r="1087" spans="2:10">
      <c r="B1087" s="817" t="s">
        <v>3748</v>
      </c>
      <c r="C1087" s="817" t="s">
        <v>6156</v>
      </c>
      <c r="D1087" s="866">
        <v>44739</v>
      </c>
      <c r="E1087" s="817">
        <v>86600</v>
      </c>
      <c r="F1087" s="864">
        <f t="shared" si="64"/>
        <v>6</v>
      </c>
      <c r="G1087" s="864">
        <f t="shared" si="65"/>
        <v>27</v>
      </c>
      <c r="H1087" s="864">
        <f t="shared" si="66"/>
        <v>2022</v>
      </c>
      <c r="I1087" s="879">
        <f t="shared" si="67"/>
        <v>27</v>
      </c>
      <c r="J1087" s="867" cm="1">
        <f t="array" ref="J1087">INDEX($E:$E,MATCH($J$10,IF($B:$B=$B1087,$I:$I),1))</f>
        <v>202999</v>
      </c>
    </row>
    <row r="1088" spans="2:10">
      <c r="B1088" s="817" t="s">
        <v>3748</v>
      </c>
      <c r="C1088" s="817" t="s">
        <v>6156</v>
      </c>
      <c r="D1088" s="863">
        <v>44746</v>
      </c>
      <c r="E1088" s="817">
        <v>91000</v>
      </c>
      <c r="F1088" s="864">
        <f t="shared" si="64"/>
        <v>7</v>
      </c>
      <c r="G1088" s="864">
        <f t="shared" si="65"/>
        <v>28</v>
      </c>
      <c r="H1088" s="864">
        <f t="shared" si="66"/>
        <v>2022</v>
      </c>
      <c r="I1088" s="879">
        <f t="shared" si="67"/>
        <v>28</v>
      </c>
      <c r="J1088" s="867" cm="1">
        <f t="array" ref="J1088">INDEX($E:$E,MATCH($J$10,IF($B:$B=$B1088,$I:$I),1))</f>
        <v>202999</v>
      </c>
    </row>
    <row r="1089" spans="2:10">
      <c r="B1089" s="817" t="s">
        <v>3748</v>
      </c>
      <c r="C1089" s="817" t="s">
        <v>6156</v>
      </c>
      <c r="D1089" s="866">
        <v>44754</v>
      </c>
      <c r="E1089" s="817">
        <v>95400</v>
      </c>
      <c r="F1089" s="864">
        <f t="shared" si="64"/>
        <v>7</v>
      </c>
      <c r="G1089" s="864">
        <f t="shared" si="65"/>
        <v>29</v>
      </c>
      <c r="H1089" s="864">
        <f t="shared" si="66"/>
        <v>2022</v>
      </c>
      <c r="I1089" s="879">
        <f t="shared" si="67"/>
        <v>29</v>
      </c>
      <c r="J1089" s="867" cm="1">
        <f t="array" ref="J1089">INDEX($E:$E,MATCH($J$10,IF($B:$B=$B1089,$I:$I),1))</f>
        <v>202999</v>
      </c>
    </row>
    <row r="1090" spans="2:10">
      <c r="B1090" s="817" t="s">
        <v>3748</v>
      </c>
      <c r="C1090" s="817" t="s">
        <v>6156</v>
      </c>
      <c r="D1090" s="863">
        <v>44760</v>
      </c>
      <c r="E1090" s="817">
        <v>99700</v>
      </c>
      <c r="F1090" s="864">
        <f t="shared" si="64"/>
        <v>7</v>
      </c>
      <c r="G1090" s="864">
        <f t="shared" si="65"/>
        <v>30</v>
      </c>
      <c r="H1090" s="864">
        <f t="shared" si="66"/>
        <v>2022</v>
      </c>
      <c r="I1090" s="879">
        <f t="shared" si="67"/>
        <v>30</v>
      </c>
      <c r="J1090" s="867" cm="1">
        <f t="array" ref="J1090">INDEX($E:$E,MATCH($J$10,IF($B:$B=$B1090,$I:$I),1))</f>
        <v>202999</v>
      </c>
    </row>
    <row r="1091" spans="2:10">
      <c r="B1091" s="817" t="s">
        <v>3748</v>
      </c>
      <c r="C1091" s="817" t="s">
        <v>6156</v>
      </c>
      <c r="D1091" s="866">
        <v>44767</v>
      </c>
      <c r="E1091" s="817">
        <v>104000</v>
      </c>
      <c r="F1091" s="864">
        <f t="shared" si="64"/>
        <v>7</v>
      </c>
      <c r="G1091" s="864">
        <f t="shared" si="65"/>
        <v>31</v>
      </c>
      <c r="H1091" s="864">
        <f t="shared" si="66"/>
        <v>2022</v>
      </c>
      <c r="I1091" s="879">
        <f t="shared" si="67"/>
        <v>31</v>
      </c>
      <c r="J1091" s="867" cm="1">
        <f t="array" ref="J1091">INDEX($E:$E,MATCH($J$10,IF($B:$B=$B1091,$I:$I),1))</f>
        <v>202999</v>
      </c>
    </row>
    <row r="1092" spans="2:10">
      <c r="B1092" s="817" t="s">
        <v>3748</v>
      </c>
      <c r="C1092" s="817" t="s">
        <v>6156</v>
      </c>
      <c r="D1092" s="863">
        <v>44775</v>
      </c>
      <c r="E1092" s="817">
        <v>107900</v>
      </c>
      <c r="F1092" s="864">
        <f t="shared" si="64"/>
        <v>8</v>
      </c>
      <c r="G1092" s="864">
        <f t="shared" si="65"/>
        <v>32</v>
      </c>
      <c r="H1092" s="864">
        <f t="shared" si="66"/>
        <v>2022</v>
      </c>
      <c r="I1092" s="879">
        <f t="shared" si="67"/>
        <v>32</v>
      </c>
      <c r="J1092" s="867" cm="1">
        <f t="array" ref="J1092">INDEX($E:$E,MATCH($J$10,IF($B:$B=$B1092,$I:$I),1))</f>
        <v>202999</v>
      </c>
    </row>
    <row r="1093" spans="2:10">
      <c r="B1093" s="817" t="s">
        <v>3748</v>
      </c>
      <c r="C1093" s="817" t="s">
        <v>6156</v>
      </c>
      <c r="D1093" s="866">
        <v>44781</v>
      </c>
      <c r="E1093" s="817">
        <v>111900</v>
      </c>
      <c r="F1093" s="864">
        <f t="shared" si="64"/>
        <v>8</v>
      </c>
      <c r="G1093" s="864">
        <f t="shared" si="65"/>
        <v>33</v>
      </c>
      <c r="H1093" s="864">
        <f t="shared" si="66"/>
        <v>2022</v>
      </c>
      <c r="I1093" s="879">
        <f t="shared" si="67"/>
        <v>33</v>
      </c>
      <c r="J1093" s="867" cm="1">
        <f t="array" ref="J1093">INDEX($E:$E,MATCH($J$10,IF($B:$B=$B1093,$I:$I),1))</f>
        <v>202999</v>
      </c>
    </row>
    <row r="1094" spans="2:10">
      <c r="B1094" s="817" t="s">
        <v>3748</v>
      </c>
      <c r="C1094" s="817" t="s">
        <v>6156</v>
      </c>
      <c r="D1094" s="863">
        <v>44789</v>
      </c>
      <c r="E1094" s="817">
        <v>115200</v>
      </c>
      <c r="F1094" s="864">
        <f t="shared" si="64"/>
        <v>8</v>
      </c>
      <c r="G1094" s="864">
        <f t="shared" si="65"/>
        <v>34</v>
      </c>
      <c r="H1094" s="864">
        <f t="shared" si="66"/>
        <v>2022</v>
      </c>
      <c r="I1094" s="879">
        <f t="shared" si="67"/>
        <v>34</v>
      </c>
      <c r="J1094" s="867" cm="1">
        <f t="array" ref="J1094">INDEX($E:$E,MATCH($J$10,IF($B:$B=$B1094,$I:$I),1))</f>
        <v>202999</v>
      </c>
    </row>
    <row r="1095" spans="2:10">
      <c r="B1095" s="817" t="s">
        <v>3748</v>
      </c>
      <c r="C1095" s="817" t="s">
        <v>6156</v>
      </c>
      <c r="D1095" s="866">
        <v>44795</v>
      </c>
      <c r="E1095" s="817">
        <v>118000</v>
      </c>
      <c r="F1095" s="864">
        <f t="shared" si="64"/>
        <v>8</v>
      </c>
      <c r="G1095" s="864">
        <f t="shared" si="65"/>
        <v>35</v>
      </c>
      <c r="H1095" s="864">
        <f t="shared" si="66"/>
        <v>2022</v>
      </c>
      <c r="I1095" s="879">
        <f t="shared" si="67"/>
        <v>35</v>
      </c>
      <c r="J1095" s="867" cm="1">
        <f t="array" ref="J1095">INDEX($E:$E,MATCH($J$10,IF($B:$B=$B1095,$I:$I),1))</f>
        <v>202999</v>
      </c>
    </row>
    <row r="1096" spans="2:10">
      <c r="B1096" s="817" t="s">
        <v>3748</v>
      </c>
      <c r="C1096" s="817" t="s">
        <v>6156</v>
      </c>
      <c r="D1096" s="863">
        <v>44803</v>
      </c>
      <c r="E1096" s="817">
        <v>120600</v>
      </c>
      <c r="F1096" s="864">
        <f t="shared" si="64"/>
        <v>8</v>
      </c>
      <c r="G1096" s="864">
        <f t="shared" si="65"/>
        <v>36</v>
      </c>
      <c r="H1096" s="864">
        <f t="shared" si="66"/>
        <v>2022</v>
      </c>
      <c r="I1096" s="879">
        <f t="shared" si="67"/>
        <v>36</v>
      </c>
      <c r="J1096" s="867" cm="1">
        <f t="array" ref="J1096">INDEX($E:$E,MATCH($J$10,IF($B:$B=$B1096,$I:$I),1))</f>
        <v>202999</v>
      </c>
    </row>
    <row r="1097" spans="2:10">
      <c r="B1097" s="817" t="s">
        <v>3748</v>
      </c>
      <c r="C1097" s="817" t="s">
        <v>6156</v>
      </c>
      <c r="D1097" s="866">
        <v>44809</v>
      </c>
      <c r="E1097" s="817">
        <v>122900</v>
      </c>
      <c r="F1097" s="864">
        <f t="shared" si="64"/>
        <v>9</v>
      </c>
      <c r="G1097" s="864">
        <f t="shared" si="65"/>
        <v>37</v>
      </c>
      <c r="H1097" s="864">
        <f t="shared" si="66"/>
        <v>2022</v>
      </c>
      <c r="I1097" s="879">
        <f t="shared" si="67"/>
        <v>37</v>
      </c>
      <c r="J1097" s="867" cm="1">
        <f t="array" ref="J1097">INDEX($E:$E,MATCH($J$10,IF($B:$B=$B1097,$I:$I),1))</f>
        <v>202999</v>
      </c>
    </row>
    <row r="1098" spans="2:10">
      <c r="B1098" s="817" t="s">
        <v>3748</v>
      </c>
      <c r="C1098" s="817" t="s">
        <v>6156</v>
      </c>
      <c r="D1098" s="863">
        <v>44816</v>
      </c>
      <c r="E1098" s="817">
        <v>125900</v>
      </c>
      <c r="F1098" s="864">
        <f t="shared" si="64"/>
        <v>9</v>
      </c>
      <c r="G1098" s="864">
        <f t="shared" si="65"/>
        <v>38</v>
      </c>
      <c r="H1098" s="864">
        <f t="shared" si="66"/>
        <v>2022</v>
      </c>
      <c r="I1098" s="879">
        <f t="shared" si="67"/>
        <v>38</v>
      </c>
      <c r="J1098" s="867" cm="1">
        <f t="array" ref="J1098">INDEX($E:$E,MATCH($J$10,IF($B:$B=$B1098,$I:$I),1))</f>
        <v>202999</v>
      </c>
    </row>
    <row r="1099" spans="2:10">
      <c r="B1099" s="817" t="s">
        <v>3748</v>
      </c>
      <c r="C1099" s="817" t="s">
        <v>6156</v>
      </c>
      <c r="D1099" s="866">
        <v>44823</v>
      </c>
      <c r="E1099" s="817">
        <v>129000</v>
      </c>
      <c r="F1099" s="864">
        <f t="shared" si="64"/>
        <v>9</v>
      </c>
      <c r="G1099" s="864">
        <f t="shared" si="65"/>
        <v>39</v>
      </c>
      <c r="H1099" s="864">
        <f t="shared" si="66"/>
        <v>2022</v>
      </c>
      <c r="I1099" s="879">
        <f t="shared" si="67"/>
        <v>39</v>
      </c>
      <c r="J1099" s="867" cm="1">
        <f t="array" ref="J1099">INDEX($E:$E,MATCH($J$10,IF($B:$B=$B1099,$I:$I),1))</f>
        <v>202999</v>
      </c>
    </row>
    <row r="1100" spans="2:10">
      <c r="B1100" s="817" t="s">
        <v>3748</v>
      </c>
      <c r="C1100" s="817" t="s">
        <v>6156</v>
      </c>
      <c r="D1100" s="863">
        <v>44830</v>
      </c>
      <c r="E1100" s="817">
        <v>131700</v>
      </c>
      <c r="F1100" s="864">
        <f t="shared" ref="F1100:F1129" si="68">MONTH(D1100)</f>
        <v>9</v>
      </c>
      <c r="G1100" s="864">
        <f t="shared" ref="G1100:G1129" si="69">WEEKNUM(D1100)</f>
        <v>40</v>
      </c>
      <c r="H1100" s="864">
        <f t="shared" ref="H1100:H1129" si="70">YEAR(D1100)</f>
        <v>2022</v>
      </c>
      <c r="I1100" s="879">
        <f t="shared" ref="I1100:I1129" si="71">(H1100-2022)*53+G1100</f>
        <v>40</v>
      </c>
      <c r="J1100" s="867" cm="1">
        <f t="array" ref="J1100">INDEX($E:$E,MATCH($J$10,IF($B:$B=$B1100,$I:$I),1))</f>
        <v>202999</v>
      </c>
    </row>
    <row r="1101" spans="2:10">
      <c r="B1101" s="817" t="s">
        <v>3748</v>
      </c>
      <c r="C1101" s="817" t="s">
        <v>6156</v>
      </c>
      <c r="D1101" s="866">
        <v>44837</v>
      </c>
      <c r="E1101" s="817">
        <v>134200</v>
      </c>
      <c r="F1101" s="864">
        <f t="shared" si="68"/>
        <v>10</v>
      </c>
      <c r="G1101" s="864">
        <f t="shared" si="69"/>
        <v>41</v>
      </c>
      <c r="H1101" s="864">
        <f t="shared" si="70"/>
        <v>2022</v>
      </c>
      <c r="I1101" s="879">
        <f t="shared" si="71"/>
        <v>41</v>
      </c>
      <c r="J1101" s="867" cm="1">
        <f t="array" ref="J1101">INDEX($E:$E,MATCH($J$10,IF($B:$B=$B1101,$I:$I),1))</f>
        <v>202999</v>
      </c>
    </row>
    <row r="1102" spans="2:10">
      <c r="B1102" s="817" t="s">
        <v>3748</v>
      </c>
      <c r="C1102" s="817" t="s">
        <v>6156</v>
      </c>
      <c r="D1102" s="863">
        <v>44844</v>
      </c>
      <c r="E1102" s="817">
        <v>136600</v>
      </c>
      <c r="F1102" s="864">
        <f t="shared" si="68"/>
        <v>10</v>
      </c>
      <c r="G1102" s="864">
        <f t="shared" si="69"/>
        <v>42</v>
      </c>
      <c r="H1102" s="864">
        <f t="shared" si="70"/>
        <v>2022</v>
      </c>
      <c r="I1102" s="879">
        <f t="shared" si="71"/>
        <v>42</v>
      </c>
      <c r="J1102" s="867" cm="1">
        <f t="array" ref="J1102">INDEX($E:$E,MATCH($J$10,IF($B:$B=$B1102,$I:$I),1))</f>
        <v>202999</v>
      </c>
    </row>
    <row r="1103" spans="2:10">
      <c r="B1103" s="817" t="s">
        <v>3748</v>
      </c>
      <c r="C1103" s="817" t="s">
        <v>6156</v>
      </c>
      <c r="D1103" s="866">
        <v>44852</v>
      </c>
      <c r="E1103" s="817">
        <v>138400</v>
      </c>
      <c r="F1103" s="864">
        <f t="shared" si="68"/>
        <v>10</v>
      </c>
      <c r="G1103" s="864">
        <f t="shared" si="69"/>
        <v>43</v>
      </c>
      <c r="H1103" s="864">
        <f t="shared" si="70"/>
        <v>2022</v>
      </c>
      <c r="I1103" s="879">
        <f t="shared" si="71"/>
        <v>43</v>
      </c>
      <c r="J1103" s="867" cm="1">
        <f t="array" ref="J1103">INDEX($E:$E,MATCH($J$10,IF($B:$B=$B1103,$I:$I),1))</f>
        <v>202999</v>
      </c>
    </row>
    <row r="1104" spans="2:10">
      <c r="B1104" s="817" t="s">
        <v>3748</v>
      </c>
      <c r="C1104" s="817" t="s">
        <v>6156</v>
      </c>
      <c r="D1104" s="863">
        <v>44858</v>
      </c>
      <c r="E1104" s="817">
        <v>140300</v>
      </c>
      <c r="F1104" s="864">
        <f t="shared" si="68"/>
        <v>10</v>
      </c>
      <c r="G1104" s="864">
        <f t="shared" si="69"/>
        <v>44</v>
      </c>
      <c r="H1104" s="864">
        <f t="shared" si="70"/>
        <v>2022</v>
      </c>
      <c r="I1104" s="879">
        <f t="shared" si="71"/>
        <v>44</v>
      </c>
      <c r="J1104" s="867" cm="1">
        <f t="array" ref="J1104">INDEX($E:$E,MATCH($J$10,IF($B:$B=$B1104,$I:$I),1))</f>
        <v>202999</v>
      </c>
    </row>
    <row r="1105" spans="2:10">
      <c r="B1105" s="817" t="s">
        <v>3748</v>
      </c>
      <c r="C1105" s="817" t="s">
        <v>6156</v>
      </c>
      <c r="D1105" s="866">
        <v>44866</v>
      </c>
      <c r="E1105" s="817">
        <v>141500</v>
      </c>
      <c r="F1105" s="864">
        <f t="shared" si="68"/>
        <v>11</v>
      </c>
      <c r="G1105" s="864">
        <f t="shared" si="69"/>
        <v>45</v>
      </c>
      <c r="H1105" s="864">
        <f t="shared" si="70"/>
        <v>2022</v>
      </c>
      <c r="I1105" s="879">
        <f t="shared" si="71"/>
        <v>45</v>
      </c>
      <c r="J1105" s="867" cm="1">
        <f t="array" ref="J1105">INDEX($E:$E,MATCH($J$10,IF($B:$B=$B1105,$I:$I),1))</f>
        <v>202999</v>
      </c>
    </row>
    <row r="1106" spans="2:10">
      <c r="B1106" s="817" t="s">
        <v>3748</v>
      </c>
      <c r="C1106" s="817" t="s">
        <v>6156</v>
      </c>
      <c r="D1106" s="863">
        <v>44873</v>
      </c>
      <c r="E1106" s="817">
        <v>143100</v>
      </c>
      <c r="F1106" s="864">
        <f t="shared" si="68"/>
        <v>11</v>
      </c>
      <c r="G1106" s="864">
        <f t="shared" si="69"/>
        <v>46</v>
      </c>
      <c r="H1106" s="864">
        <f t="shared" si="70"/>
        <v>2022</v>
      </c>
      <c r="I1106" s="879">
        <f t="shared" si="71"/>
        <v>46</v>
      </c>
      <c r="J1106" s="867" cm="1">
        <f t="array" ref="J1106">INDEX($E:$E,MATCH($J$10,IF($B:$B=$B1106,$I:$I),1))</f>
        <v>202999</v>
      </c>
    </row>
    <row r="1107" spans="2:10">
      <c r="B1107" s="817" t="s">
        <v>3748</v>
      </c>
      <c r="C1107" s="817" t="s">
        <v>6156</v>
      </c>
      <c r="D1107" s="866">
        <v>44879</v>
      </c>
      <c r="E1107" s="817">
        <v>144600</v>
      </c>
      <c r="F1107" s="864">
        <f t="shared" si="68"/>
        <v>11</v>
      </c>
      <c r="G1107" s="864">
        <f t="shared" si="69"/>
        <v>47</v>
      </c>
      <c r="H1107" s="864">
        <f t="shared" si="70"/>
        <v>2022</v>
      </c>
      <c r="I1107" s="879">
        <f t="shared" si="71"/>
        <v>47</v>
      </c>
      <c r="J1107" s="867" cm="1">
        <f t="array" ref="J1107">INDEX($E:$E,MATCH($J$10,IF($B:$B=$B1107,$I:$I),1))</f>
        <v>202999</v>
      </c>
    </row>
    <row r="1108" spans="2:10">
      <c r="B1108" s="817" t="s">
        <v>3748</v>
      </c>
      <c r="C1108" s="817" t="s">
        <v>6156</v>
      </c>
      <c r="D1108" s="863">
        <v>44887</v>
      </c>
      <c r="E1108" s="817">
        <v>146200</v>
      </c>
      <c r="F1108" s="864">
        <f t="shared" si="68"/>
        <v>11</v>
      </c>
      <c r="G1108" s="864">
        <f t="shared" si="69"/>
        <v>48</v>
      </c>
      <c r="H1108" s="864">
        <f t="shared" si="70"/>
        <v>2022</v>
      </c>
      <c r="I1108" s="879">
        <f t="shared" si="71"/>
        <v>48</v>
      </c>
      <c r="J1108" s="867" cm="1">
        <f t="array" ref="J1108">INDEX($E:$E,MATCH($J$10,IF($B:$B=$B1108,$I:$I),1))</f>
        <v>202999</v>
      </c>
    </row>
    <row r="1109" spans="2:10">
      <c r="B1109" s="817" t="s">
        <v>3748</v>
      </c>
      <c r="C1109" s="817" t="s">
        <v>6156</v>
      </c>
      <c r="D1109" s="866">
        <v>44894</v>
      </c>
      <c r="E1109" s="817">
        <v>147800</v>
      </c>
      <c r="F1109" s="864">
        <f t="shared" si="68"/>
        <v>11</v>
      </c>
      <c r="G1109" s="864">
        <f t="shared" si="69"/>
        <v>49</v>
      </c>
      <c r="H1109" s="864">
        <f t="shared" si="70"/>
        <v>2022</v>
      </c>
      <c r="I1109" s="879">
        <f t="shared" si="71"/>
        <v>49</v>
      </c>
      <c r="J1109" s="867" cm="1">
        <f t="array" ref="J1109">INDEX($E:$E,MATCH($J$10,IF($B:$B=$B1109,$I:$I),1))</f>
        <v>202999</v>
      </c>
    </row>
    <row r="1110" spans="2:10">
      <c r="B1110" s="817" t="s">
        <v>3748</v>
      </c>
      <c r="C1110" s="817" t="s">
        <v>6156</v>
      </c>
      <c r="D1110" s="863">
        <v>44907</v>
      </c>
      <c r="E1110" s="817">
        <v>150600</v>
      </c>
      <c r="F1110" s="864">
        <f t="shared" si="68"/>
        <v>12</v>
      </c>
      <c r="G1110" s="864">
        <f t="shared" si="69"/>
        <v>51</v>
      </c>
      <c r="H1110" s="864">
        <f t="shared" si="70"/>
        <v>2022</v>
      </c>
      <c r="I1110" s="879">
        <f t="shared" si="71"/>
        <v>51</v>
      </c>
      <c r="J1110" s="867" cm="1">
        <f t="array" ref="J1110">INDEX($E:$E,MATCH($J$10,IF($B:$B=$B1110,$I:$I),1))</f>
        <v>202999</v>
      </c>
    </row>
    <row r="1111" spans="2:10">
      <c r="B1111" s="817" t="s">
        <v>3748</v>
      </c>
      <c r="C1111" s="817" t="s">
        <v>6156</v>
      </c>
      <c r="D1111" s="866">
        <v>44914</v>
      </c>
      <c r="E1111" s="817">
        <v>152200</v>
      </c>
      <c r="F1111" s="864">
        <f t="shared" si="68"/>
        <v>12</v>
      </c>
      <c r="G1111" s="864">
        <f t="shared" si="69"/>
        <v>52</v>
      </c>
      <c r="H1111" s="864">
        <f t="shared" si="70"/>
        <v>2022</v>
      </c>
      <c r="I1111" s="879">
        <f t="shared" si="71"/>
        <v>52</v>
      </c>
      <c r="J1111" s="867" cm="1">
        <f t="array" ref="J1111">INDEX($E:$E,MATCH($J$10,IF($B:$B=$B1111,$I:$I),1))</f>
        <v>202999</v>
      </c>
    </row>
    <row r="1112" spans="2:10">
      <c r="B1112" s="817" t="s">
        <v>3748</v>
      </c>
      <c r="C1112" s="817" t="s">
        <v>6156</v>
      </c>
      <c r="D1112" s="863">
        <v>44928</v>
      </c>
      <c r="E1112" s="817">
        <v>154600</v>
      </c>
      <c r="F1112" s="864">
        <f t="shared" si="68"/>
        <v>1</v>
      </c>
      <c r="G1112" s="864">
        <f t="shared" si="69"/>
        <v>1</v>
      </c>
      <c r="H1112" s="864">
        <f t="shared" si="70"/>
        <v>2023</v>
      </c>
      <c r="I1112" s="879">
        <f t="shared" si="71"/>
        <v>54</v>
      </c>
      <c r="J1112" s="867" cm="1">
        <f t="array" ref="J1112">INDEX($E:$E,MATCH($J$10,IF($B:$B=$B1112,$I:$I),1))</f>
        <v>202999</v>
      </c>
    </row>
    <row r="1113" spans="2:10">
      <c r="B1113" s="817" t="s">
        <v>3748</v>
      </c>
      <c r="C1113" s="817" t="s">
        <v>6156</v>
      </c>
      <c r="D1113" s="866">
        <v>44936</v>
      </c>
      <c r="E1113" s="817">
        <v>155500</v>
      </c>
      <c r="F1113" s="864">
        <f t="shared" si="68"/>
        <v>1</v>
      </c>
      <c r="G1113" s="864">
        <f t="shared" si="69"/>
        <v>2</v>
      </c>
      <c r="H1113" s="864">
        <f t="shared" si="70"/>
        <v>2023</v>
      </c>
      <c r="I1113" s="879">
        <f t="shared" si="71"/>
        <v>55</v>
      </c>
      <c r="J1113" s="867" cm="1">
        <f t="array" ref="J1113">INDEX($E:$E,MATCH($J$10,IF($B:$B=$B1113,$I:$I),1))</f>
        <v>202999</v>
      </c>
    </row>
    <row r="1114" spans="2:10">
      <c r="B1114" s="817" t="s">
        <v>3748</v>
      </c>
      <c r="C1114" s="817" t="s">
        <v>6156</v>
      </c>
      <c r="D1114" s="863">
        <v>44942</v>
      </c>
      <c r="E1114" s="817">
        <v>157300</v>
      </c>
      <c r="F1114" s="864">
        <f t="shared" si="68"/>
        <v>1</v>
      </c>
      <c r="G1114" s="864">
        <f t="shared" si="69"/>
        <v>3</v>
      </c>
      <c r="H1114" s="864">
        <f t="shared" si="70"/>
        <v>2023</v>
      </c>
      <c r="I1114" s="879">
        <f t="shared" si="71"/>
        <v>56</v>
      </c>
      <c r="J1114" s="867" cm="1">
        <f t="array" ref="J1114">INDEX($E:$E,MATCH($J$10,IF($B:$B=$B1114,$I:$I),1))</f>
        <v>202999</v>
      </c>
    </row>
    <row r="1115" spans="2:10">
      <c r="B1115" s="817" t="s">
        <v>3748</v>
      </c>
      <c r="C1115" s="817" t="s">
        <v>6156</v>
      </c>
      <c r="D1115" s="866">
        <v>44949</v>
      </c>
      <c r="E1115" s="817">
        <v>158800</v>
      </c>
      <c r="F1115" s="864">
        <f t="shared" si="68"/>
        <v>1</v>
      </c>
      <c r="G1115" s="864">
        <f t="shared" si="69"/>
        <v>4</v>
      </c>
      <c r="H1115" s="864">
        <f t="shared" si="70"/>
        <v>2023</v>
      </c>
      <c r="I1115" s="879">
        <f t="shared" si="71"/>
        <v>57</v>
      </c>
      <c r="J1115" s="867" cm="1">
        <f t="array" ref="J1115">INDEX($E:$E,MATCH($J$10,IF($B:$B=$B1115,$I:$I),1))</f>
        <v>202999</v>
      </c>
    </row>
    <row r="1116" spans="2:10">
      <c r="B1116" s="817" t="s">
        <v>3748</v>
      </c>
      <c r="C1116" s="817" t="s">
        <v>6156</v>
      </c>
      <c r="D1116" s="863">
        <v>44964</v>
      </c>
      <c r="E1116" s="817">
        <v>161400</v>
      </c>
      <c r="F1116" s="864">
        <f t="shared" si="68"/>
        <v>2</v>
      </c>
      <c r="G1116" s="864">
        <f t="shared" si="69"/>
        <v>6</v>
      </c>
      <c r="H1116" s="864">
        <f t="shared" si="70"/>
        <v>2023</v>
      </c>
      <c r="I1116" s="879">
        <f t="shared" si="71"/>
        <v>59</v>
      </c>
      <c r="J1116" s="867" cm="1">
        <f t="array" ref="J1116">INDEX($E:$E,MATCH($J$10,IF($B:$B=$B1116,$I:$I),1))</f>
        <v>202999</v>
      </c>
    </row>
    <row r="1117" spans="2:10">
      <c r="B1117" s="817" t="s">
        <v>3748</v>
      </c>
      <c r="C1117" s="817" t="s">
        <v>6156</v>
      </c>
      <c r="D1117" s="866">
        <v>44971</v>
      </c>
      <c r="E1117" s="817">
        <v>162700</v>
      </c>
      <c r="F1117" s="864">
        <f t="shared" si="68"/>
        <v>2</v>
      </c>
      <c r="G1117" s="864">
        <f t="shared" si="69"/>
        <v>7</v>
      </c>
      <c r="H1117" s="864">
        <f t="shared" si="70"/>
        <v>2023</v>
      </c>
      <c r="I1117" s="879">
        <f t="shared" si="71"/>
        <v>60</v>
      </c>
      <c r="J1117" s="867" cm="1">
        <f t="array" ref="J1117">INDEX($E:$E,MATCH($J$10,IF($B:$B=$B1117,$I:$I),1))</f>
        <v>202999</v>
      </c>
    </row>
    <row r="1118" spans="2:10">
      <c r="B1118" s="817" t="s">
        <v>3748</v>
      </c>
      <c r="C1118" s="817" t="s">
        <v>6156</v>
      </c>
      <c r="D1118" s="863">
        <v>44980</v>
      </c>
      <c r="E1118" s="817">
        <v>163500</v>
      </c>
      <c r="F1118" s="864">
        <f t="shared" si="68"/>
        <v>2</v>
      </c>
      <c r="G1118" s="864">
        <f t="shared" si="69"/>
        <v>8</v>
      </c>
      <c r="H1118" s="864">
        <f t="shared" si="70"/>
        <v>2023</v>
      </c>
      <c r="I1118" s="879">
        <f t="shared" si="71"/>
        <v>61</v>
      </c>
      <c r="J1118" s="867" cm="1">
        <f t="array" ref="J1118">INDEX($E:$E,MATCH($J$10,IF($B:$B=$B1118,$I:$I),1))</f>
        <v>202999</v>
      </c>
    </row>
    <row r="1119" spans="2:10">
      <c r="B1119" s="817" t="s">
        <v>3748</v>
      </c>
      <c r="C1119" s="817" t="s">
        <v>6156</v>
      </c>
      <c r="D1119" s="866">
        <v>44984</v>
      </c>
      <c r="E1119" s="817">
        <v>164500</v>
      </c>
      <c r="F1119" s="864">
        <f t="shared" si="68"/>
        <v>2</v>
      </c>
      <c r="G1119" s="864">
        <f t="shared" si="69"/>
        <v>9</v>
      </c>
      <c r="H1119" s="864">
        <f t="shared" si="70"/>
        <v>2023</v>
      </c>
      <c r="I1119" s="879">
        <f t="shared" si="71"/>
        <v>62</v>
      </c>
      <c r="J1119" s="867" cm="1">
        <f t="array" ref="J1119">INDEX($E:$E,MATCH($J$10,IF($B:$B=$B1119,$I:$I),1))</f>
        <v>202999</v>
      </c>
    </row>
    <row r="1120" spans="2:10">
      <c r="B1120" s="817" t="s">
        <v>3748</v>
      </c>
      <c r="C1120" s="817" t="s">
        <v>6156</v>
      </c>
      <c r="D1120" s="863">
        <v>44994</v>
      </c>
      <c r="E1120" s="817">
        <v>165700</v>
      </c>
      <c r="F1120" s="864">
        <f t="shared" si="68"/>
        <v>3</v>
      </c>
      <c r="G1120" s="864">
        <f t="shared" si="69"/>
        <v>10</v>
      </c>
      <c r="H1120" s="864">
        <f t="shared" si="70"/>
        <v>2023</v>
      </c>
      <c r="I1120" s="879">
        <f t="shared" si="71"/>
        <v>63</v>
      </c>
      <c r="J1120" s="867" cm="1">
        <f t="array" ref="J1120">INDEX($E:$E,MATCH($J$10,IF($B:$B=$B1120,$I:$I),1))</f>
        <v>202999</v>
      </c>
    </row>
    <row r="1121" spans="2:10">
      <c r="B1121" s="817" t="s">
        <v>3748</v>
      </c>
      <c r="C1121" s="817" t="s">
        <v>6156</v>
      </c>
      <c r="D1121" s="863">
        <v>44998</v>
      </c>
      <c r="E1121" s="817">
        <v>191000</v>
      </c>
      <c r="F1121" s="864">
        <f t="shared" si="68"/>
        <v>3</v>
      </c>
      <c r="G1121" s="864">
        <f t="shared" si="69"/>
        <v>11</v>
      </c>
      <c r="H1121" s="864">
        <f t="shared" si="70"/>
        <v>2023</v>
      </c>
      <c r="I1121" s="879">
        <f t="shared" si="71"/>
        <v>64</v>
      </c>
      <c r="J1121" s="867" cm="1">
        <f t="array" ref="J1121">INDEX($E:$E,MATCH($J$10,IF($B:$B=$B1121,$I:$I),1))</f>
        <v>202999</v>
      </c>
    </row>
    <row r="1122" spans="2:10">
      <c r="B1122" s="817" t="s">
        <v>3748</v>
      </c>
      <c r="C1122" s="817" t="s">
        <v>6156</v>
      </c>
      <c r="D1122" s="863">
        <v>45005</v>
      </c>
      <c r="E1122" s="817">
        <v>191900</v>
      </c>
      <c r="F1122" s="864">
        <f t="shared" si="68"/>
        <v>3</v>
      </c>
      <c r="G1122" s="864">
        <f t="shared" si="69"/>
        <v>12</v>
      </c>
      <c r="H1122" s="864">
        <f t="shared" si="70"/>
        <v>2023</v>
      </c>
      <c r="I1122" s="879">
        <f t="shared" si="71"/>
        <v>65</v>
      </c>
      <c r="J1122" s="867" cm="1">
        <f t="array" ref="J1122">INDEX($E:$E,MATCH($J$10,IF($B:$B=$B1122,$I:$I),1))</f>
        <v>202999</v>
      </c>
    </row>
    <row r="1123" spans="2:10">
      <c r="B1123" s="817" t="s">
        <v>3748</v>
      </c>
      <c r="C1123" s="817" t="s">
        <v>6156</v>
      </c>
      <c r="D1123" s="863">
        <v>45013</v>
      </c>
      <c r="E1123" s="817">
        <v>198700</v>
      </c>
      <c r="F1123" s="864">
        <f t="shared" si="68"/>
        <v>3</v>
      </c>
      <c r="G1123" s="864">
        <f t="shared" si="69"/>
        <v>13</v>
      </c>
      <c r="H1123" s="864">
        <f t="shared" si="70"/>
        <v>2023</v>
      </c>
      <c r="I1123" s="879">
        <f t="shared" si="71"/>
        <v>66</v>
      </c>
      <c r="J1123" s="867" cm="1">
        <f t="array" ref="J1123">INDEX($E:$E,MATCH($J$10,IF($B:$B=$B1123,$I:$I),1))</f>
        <v>202999</v>
      </c>
    </row>
    <row r="1124" spans="2:10">
      <c r="B1124" s="817" t="s">
        <v>3748</v>
      </c>
      <c r="C1124" s="817" t="s">
        <v>6156</v>
      </c>
      <c r="D1124" s="863">
        <v>45020</v>
      </c>
      <c r="E1124" s="817">
        <v>199900</v>
      </c>
      <c r="F1124" s="864">
        <f t="shared" si="68"/>
        <v>4</v>
      </c>
      <c r="G1124" s="864">
        <f t="shared" si="69"/>
        <v>14</v>
      </c>
      <c r="H1124" s="864">
        <f t="shared" si="70"/>
        <v>2023</v>
      </c>
      <c r="I1124" s="879">
        <f t="shared" si="71"/>
        <v>67</v>
      </c>
      <c r="J1124" s="867" cm="1">
        <f t="array" ref="J1124">INDEX($E:$E,MATCH($J$10,IF($B:$B=$B1124,$I:$I),1))</f>
        <v>202999</v>
      </c>
    </row>
    <row r="1125" spans="2:10">
      <c r="B1125" s="817" t="s">
        <v>3748</v>
      </c>
      <c r="C1125" s="817" t="s">
        <v>6156</v>
      </c>
      <c r="D1125" s="863">
        <v>45027</v>
      </c>
      <c r="E1125" s="817">
        <v>202800</v>
      </c>
      <c r="F1125" s="864">
        <f t="shared" si="68"/>
        <v>4</v>
      </c>
      <c r="G1125" s="864">
        <f t="shared" si="69"/>
        <v>15</v>
      </c>
      <c r="H1125" s="864">
        <f t="shared" si="70"/>
        <v>2023</v>
      </c>
      <c r="I1125" s="879">
        <f t="shared" si="71"/>
        <v>68</v>
      </c>
      <c r="J1125" s="867" cm="1">
        <f t="array" ref="J1125">INDEX($E:$E,MATCH($J$10,IF($B:$B=$B1125,$I:$I),1))</f>
        <v>202999</v>
      </c>
    </row>
    <row r="1126" spans="2:10">
      <c r="B1126" s="817" t="s">
        <v>3748</v>
      </c>
      <c r="C1126" s="817" t="s">
        <v>6156</v>
      </c>
      <c r="D1126" s="863">
        <v>45047</v>
      </c>
      <c r="E1126" s="817">
        <v>203700</v>
      </c>
      <c r="F1126" s="864">
        <f t="shared" si="68"/>
        <v>5</v>
      </c>
      <c r="G1126" s="864">
        <f t="shared" si="69"/>
        <v>18</v>
      </c>
      <c r="H1126" s="864">
        <f t="shared" si="70"/>
        <v>2023</v>
      </c>
      <c r="I1126" s="879">
        <f t="shared" si="71"/>
        <v>71</v>
      </c>
      <c r="J1126" s="867" cm="1">
        <f t="array" ref="J1126">INDEX($E:$E,MATCH($J$10,IF($B:$B=$B1126,$I:$I),1))</f>
        <v>202999</v>
      </c>
    </row>
    <row r="1127" spans="2:10">
      <c r="B1127" s="817" t="s">
        <v>3748</v>
      </c>
      <c r="C1127" s="817" t="s">
        <v>6156</v>
      </c>
      <c r="D1127" s="863">
        <v>45055</v>
      </c>
      <c r="E1127" s="817">
        <v>204700</v>
      </c>
      <c r="F1127" s="864">
        <f t="shared" si="68"/>
        <v>5</v>
      </c>
      <c r="G1127" s="864">
        <f t="shared" si="69"/>
        <v>19</v>
      </c>
      <c r="H1127" s="864">
        <f t="shared" si="70"/>
        <v>2023</v>
      </c>
      <c r="I1127" s="879">
        <f t="shared" si="71"/>
        <v>72</v>
      </c>
      <c r="J1127" s="867" cm="1">
        <f t="array" ref="J1127">INDEX($E:$E,MATCH($J$10,IF($B:$B=$B1127,$I:$I),1))</f>
        <v>202999</v>
      </c>
    </row>
    <row r="1128" spans="2:10">
      <c r="B1128" s="817" t="s">
        <v>3748</v>
      </c>
      <c r="C1128" s="817" t="s">
        <v>6156</v>
      </c>
      <c r="D1128" s="863">
        <v>45062</v>
      </c>
      <c r="E1128" s="817">
        <v>205800</v>
      </c>
      <c r="F1128" s="864">
        <f t="shared" si="68"/>
        <v>5</v>
      </c>
      <c r="G1128" s="864">
        <f t="shared" si="69"/>
        <v>20</v>
      </c>
      <c r="H1128" s="864">
        <f t="shared" si="70"/>
        <v>2023</v>
      </c>
      <c r="I1128" s="879">
        <f t="shared" si="71"/>
        <v>73</v>
      </c>
      <c r="J1128" s="867" cm="1">
        <f t="array" ref="J1128">INDEX($E:$E,MATCH($J$10,IF($B:$B=$B1128,$I:$I),1))</f>
        <v>202999</v>
      </c>
    </row>
    <row r="1129" spans="2:10">
      <c r="B1129" s="817" t="s">
        <v>3748</v>
      </c>
      <c r="C1129" s="817" t="s">
        <v>6156</v>
      </c>
      <c r="D1129" s="863">
        <v>45076</v>
      </c>
      <c r="E1129" s="817">
        <v>202999</v>
      </c>
      <c r="F1129" s="864">
        <f t="shared" si="68"/>
        <v>5</v>
      </c>
      <c r="G1129" s="864">
        <f t="shared" si="69"/>
        <v>22</v>
      </c>
      <c r="H1129" s="864">
        <f t="shared" si="70"/>
        <v>2023</v>
      </c>
      <c r="I1129" s="879">
        <f t="shared" si="71"/>
        <v>75</v>
      </c>
      <c r="J1129" s="867" cm="1">
        <f t="array" ref="J1129">INDEX($E:$E,MATCH($J$10,IF($B:$B=$B1129,$I:$I),1))</f>
        <v>202999</v>
      </c>
    </row>
    <row r="1130" spans="2:10">
      <c r="B1130" s="817" t="s">
        <v>3949</v>
      </c>
      <c r="C1130" s="867" t="s">
        <v>6157</v>
      </c>
      <c r="J1130" s="865">
        <v>0</v>
      </c>
    </row>
    <row r="1131" spans="2:10">
      <c r="B1131" s="37" t="s">
        <v>713</v>
      </c>
      <c r="C1131" s="867" t="s">
        <v>716</v>
      </c>
      <c r="J1131" s="865">
        <v>0</v>
      </c>
    </row>
    <row r="1132" spans="2:10">
      <c r="B1132" s="13" t="s">
        <v>905</v>
      </c>
      <c r="C1132" s="867" t="s">
        <v>6158</v>
      </c>
      <c r="J1132" s="865">
        <v>0</v>
      </c>
    </row>
    <row r="1133" spans="2:10">
      <c r="B1133" s="817" t="s">
        <v>2076</v>
      </c>
      <c r="C1133" s="867" t="s">
        <v>6159</v>
      </c>
      <c r="J1133" s="865">
        <v>0</v>
      </c>
    </row>
    <row r="1134" spans="2:10">
      <c r="B1134" s="817" t="s">
        <v>3162</v>
      </c>
      <c r="C1134" s="867" t="s">
        <v>6160</v>
      </c>
      <c r="J1134" s="865">
        <v>0</v>
      </c>
    </row>
    <row r="1135" spans="2:10">
      <c r="B1135" s="13" t="s">
        <v>2832</v>
      </c>
      <c r="C1135" s="867" t="s">
        <v>6161</v>
      </c>
      <c r="J1135" s="865">
        <v>0</v>
      </c>
    </row>
    <row r="1136" spans="2:10">
      <c r="B1136" s="13" t="s">
        <v>3713</v>
      </c>
      <c r="C1136" s="867" t="s">
        <v>6162</v>
      </c>
      <c r="J1136" s="865">
        <v>0</v>
      </c>
    </row>
    <row r="1137" spans="2:10">
      <c r="B1137" s="37" t="s">
        <v>359</v>
      </c>
      <c r="C1137" s="867" t="s">
        <v>6163</v>
      </c>
      <c r="J1137" s="865">
        <v>0</v>
      </c>
    </row>
    <row r="1138" spans="2:10">
      <c r="B1138" s="817" t="s">
        <v>2312</v>
      </c>
      <c r="C1138" s="867" t="s">
        <v>6164</v>
      </c>
      <c r="J1138" s="865">
        <v>0</v>
      </c>
    </row>
  </sheetData>
  <sortState xmlns:xlrd2="http://schemas.microsoft.com/office/spreadsheetml/2017/richdata2" ref="B12:J1129">
    <sortCondition ref="B12:B1129"/>
    <sortCondition ref="D12:D1129"/>
  </sortState>
  <mergeCells count="1">
    <mergeCell ref="B4:H9"/>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B59E0-9B90-463D-9D31-192936DAC843}">
  <sheetPr>
    <tabColor theme="5" tint="0.59999389629810485"/>
  </sheetPr>
  <dimension ref="B2:Z52"/>
  <sheetViews>
    <sheetView showGridLines="0" workbookViewId="0"/>
  </sheetViews>
  <sheetFormatPr defaultColWidth="11" defaultRowHeight="15.6"/>
  <cols>
    <col min="1" max="1" width="8.625" style="817" customWidth="1"/>
    <col min="2" max="2" width="13.375" style="817" bestFit="1" customWidth="1"/>
    <col min="3" max="3" width="31.875" style="817" customWidth="1"/>
    <col min="4" max="4" width="39.25" style="817" customWidth="1"/>
    <col min="5" max="5" width="26.125" style="817" customWidth="1"/>
    <col min="6" max="6" width="24.25" style="817" customWidth="1"/>
    <col min="7" max="7" width="32.875" style="817" customWidth="1"/>
    <col min="8" max="8" width="17.375" style="817" customWidth="1"/>
    <col min="9" max="9" width="14" style="817" customWidth="1"/>
    <col min="10" max="25" width="11" style="817"/>
    <col min="26" max="26" width="8.875" style="817" hidden="1" customWidth="1"/>
    <col min="27" max="27" width="10.375" style="817" bestFit="1" customWidth="1"/>
    <col min="28" max="29" width="21.25" style="817" bestFit="1" customWidth="1"/>
    <col min="30" max="30" width="21.875" style="817" bestFit="1" customWidth="1"/>
    <col min="31" max="31" width="22.875" style="817" bestFit="1" customWidth="1"/>
    <col min="32" max="16384" width="11" style="817"/>
  </cols>
  <sheetData>
    <row r="2" spans="2:26" ht="20.45">
      <c r="B2" s="816" t="s">
        <v>6165</v>
      </c>
    </row>
    <row r="4" spans="2:26">
      <c r="B4" s="1492" t="s">
        <v>6166</v>
      </c>
      <c r="C4" s="1492"/>
      <c r="D4" s="1492"/>
      <c r="E4" s="1492"/>
      <c r="F4" s="1492"/>
    </row>
    <row r="5" spans="2:26">
      <c r="B5" s="1492"/>
      <c r="C5" s="1492"/>
      <c r="D5" s="1492"/>
      <c r="E5" s="1492"/>
      <c r="F5" s="1492"/>
    </row>
    <row r="6" spans="2:26">
      <c r="B6" s="1492"/>
      <c r="C6" s="1492"/>
      <c r="D6" s="1492"/>
      <c r="E6" s="1492"/>
      <c r="F6" s="1492"/>
    </row>
    <row r="7" spans="2:26">
      <c r="B7" s="1492"/>
      <c r="C7" s="1492"/>
      <c r="D7" s="1492"/>
      <c r="E7" s="1492"/>
      <c r="F7" s="1492"/>
    </row>
    <row r="8" spans="2:26">
      <c r="B8" s="1492"/>
      <c r="C8" s="1492"/>
      <c r="D8" s="1492"/>
      <c r="E8" s="1492"/>
      <c r="F8" s="1492"/>
    </row>
    <row r="9" spans="2:26">
      <c r="B9" s="1492"/>
      <c r="C9" s="1492"/>
      <c r="D9" s="1492"/>
      <c r="E9" s="1492"/>
      <c r="F9" s="1492"/>
      <c r="I9" s="818" t="s">
        <v>6123</v>
      </c>
      <c r="J9" s="819">
        <v>2022</v>
      </c>
      <c r="K9" s="819">
        <v>2022</v>
      </c>
      <c r="L9" s="819">
        <v>2022</v>
      </c>
      <c r="M9" s="819">
        <v>2022</v>
      </c>
      <c r="N9" s="819">
        <v>2022</v>
      </c>
      <c r="O9" s="819">
        <v>2022</v>
      </c>
      <c r="P9" s="819">
        <v>2022</v>
      </c>
      <c r="Q9" s="819">
        <v>2022</v>
      </c>
      <c r="R9" s="819">
        <v>2022</v>
      </c>
      <c r="S9" s="819">
        <v>2022</v>
      </c>
      <c r="T9" s="819">
        <v>2023</v>
      </c>
      <c r="U9" s="819">
        <v>2023</v>
      </c>
      <c r="V9" s="819">
        <v>2023</v>
      </c>
      <c r="W9" s="819">
        <v>2023</v>
      </c>
      <c r="X9" s="819">
        <v>2023</v>
      </c>
      <c r="Y9" s="819">
        <v>2023</v>
      </c>
      <c r="Z9" s="819">
        <v>2023</v>
      </c>
    </row>
    <row r="10" spans="2:26">
      <c r="I10" s="820" t="s">
        <v>4599</v>
      </c>
      <c r="J10" s="821">
        <v>3</v>
      </c>
      <c r="K10" s="821">
        <v>4</v>
      </c>
      <c r="L10" s="821">
        <v>5</v>
      </c>
      <c r="M10" s="821">
        <v>6</v>
      </c>
      <c r="N10" s="821">
        <v>7</v>
      </c>
      <c r="O10" s="821">
        <v>8</v>
      </c>
      <c r="P10" s="821">
        <v>9</v>
      </c>
      <c r="Q10" s="821">
        <v>10</v>
      </c>
      <c r="R10" s="821">
        <v>11</v>
      </c>
      <c r="S10" s="821">
        <v>12</v>
      </c>
      <c r="T10" s="821">
        <v>1</v>
      </c>
      <c r="U10" s="821">
        <v>2</v>
      </c>
      <c r="V10" s="821">
        <v>3</v>
      </c>
      <c r="W10" s="821">
        <v>4</v>
      </c>
      <c r="X10" s="821">
        <v>5</v>
      </c>
      <c r="Y10" s="821">
        <v>6</v>
      </c>
      <c r="Z10" s="821">
        <v>3</v>
      </c>
    </row>
    <row r="11" spans="2:26" ht="24.75" customHeight="1">
      <c r="B11" s="822" t="s">
        <v>4512</v>
      </c>
      <c r="C11" s="823" t="s">
        <v>6167</v>
      </c>
      <c r="D11" s="823" t="s">
        <v>6168</v>
      </c>
      <c r="E11" s="823" t="s">
        <v>6169</v>
      </c>
      <c r="F11" s="823" t="s">
        <v>6170</v>
      </c>
      <c r="G11" s="823" t="s">
        <v>6171</v>
      </c>
      <c r="H11" s="824"/>
      <c r="I11" s="825" t="s">
        <v>6172</v>
      </c>
      <c r="J11" s="823" t="s">
        <v>4606</v>
      </c>
      <c r="K11" s="823" t="s">
        <v>4607</v>
      </c>
      <c r="L11" s="823" t="s">
        <v>4608</v>
      </c>
      <c r="M11" s="823" t="s">
        <v>4609</v>
      </c>
      <c r="N11" s="823" t="s">
        <v>4610</v>
      </c>
      <c r="O11" s="823" t="s">
        <v>4611</v>
      </c>
      <c r="P11" s="823" t="s">
        <v>4612</v>
      </c>
      <c r="Q11" s="823" t="s">
        <v>4613</v>
      </c>
      <c r="R11" s="823" t="s">
        <v>4614</v>
      </c>
      <c r="S11" s="823" t="s">
        <v>4615</v>
      </c>
      <c r="T11" s="823" t="s">
        <v>4815</v>
      </c>
      <c r="U11" s="823" t="s">
        <v>4605</v>
      </c>
      <c r="V11" s="823" t="s">
        <v>4606</v>
      </c>
      <c r="W11" s="823" t="s">
        <v>4607</v>
      </c>
      <c r="X11" s="823" t="s">
        <v>4608</v>
      </c>
      <c r="Y11" s="823" t="s">
        <v>4609</v>
      </c>
      <c r="Z11" s="823" t="s">
        <v>4606</v>
      </c>
    </row>
    <row r="12" spans="2:26">
      <c r="B12" s="817" t="s">
        <v>454</v>
      </c>
      <c r="C12" s="826">
        <f>G12*(SUM(J12:X12))/1000000000</f>
        <v>1.1540411741616718</v>
      </c>
      <c r="D12" s="826">
        <f>100*C12/VLOOKUP(B12,'Country Summary (€)'!B:S,8,0)</f>
        <v>0.26109376426791903</v>
      </c>
      <c r="E12" s="827">
        <v>592000000</v>
      </c>
      <c r="F12" s="828">
        <f>E12/K12</f>
        <v>9394.9861667292625</v>
      </c>
      <c r="G12" s="828">
        <f>F12/10</f>
        <v>939.49861667292623</v>
      </c>
      <c r="H12" s="828"/>
      <c r="I12" s="829" t="s">
        <v>6126</v>
      </c>
      <c r="J12" s="830">
        <f>K12+K12-L12</f>
        <v>58838.000000000015</v>
      </c>
      <c r="K12" s="830">
        <f>L12+L12-M12</f>
        <v>63012.333333333343</v>
      </c>
      <c r="L12" s="830">
        <f>M12+M12-N12</f>
        <v>67186.666666666672</v>
      </c>
      <c r="M12" s="831">
        <f>AVERAGEIFS('Refugees Recorded'!$E:$E,'Refugees Recorded'!$C:$C,'Refugee Cost Calculations'!$I12,'Refugees Recorded'!$F:$F,'Refugee Cost Calculations'!M$10,'Refugees Recorded'!$H:$H,'Refugee Cost Calculations'!M$9)</f>
        <v>71361</v>
      </c>
      <c r="N12" s="831">
        <f>AVERAGEIFS('Refugees Recorded'!$E:$E,'Refugees Recorded'!$C:$C,'Refugee Cost Calculations'!$I12,'Refugees Recorded'!$F:$F,'Refugee Cost Calculations'!N$10,'Refugees Recorded'!$H:$H,'Refugee Cost Calculations'!N$9)</f>
        <v>75535.333333333328</v>
      </c>
      <c r="O12" s="831">
        <f>AVERAGEIFS('Refugees Recorded'!$E:$E,'Refugees Recorded'!$C:$C,'Refugee Cost Calculations'!$I12,'Refugees Recorded'!$F:$F,'Refugee Cost Calculations'!O$10,'Refugees Recorded'!$H:$H,'Refugee Cost Calculations'!O$9)</f>
        <v>78163.399999999994</v>
      </c>
      <c r="P12" s="831">
        <f>AVERAGEIFS('Refugees Recorded'!$E:$E,'Refugees Recorded'!$C:$C,'Refugee Cost Calculations'!$I12,'Refugees Recorded'!$F:$F,'Refugee Cost Calculations'!P$10,'Refugees Recorded'!$H:$H,'Refugee Cost Calculations'!P$9)</f>
        <v>81522.75</v>
      </c>
      <c r="Q12" s="831">
        <f>AVERAGEIFS('Refugees Recorded'!$E:$E,'Refugees Recorded'!$C:$C,'Refugee Cost Calculations'!$I12,'Refugees Recorded'!$F:$F,'Refugee Cost Calculations'!Q$10,'Refugees Recorded'!$H:$H,'Refugee Cost Calculations'!Q$9)</f>
        <v>83899.25</v>
      </c>
      <c r="R12" s="831">
        <f>AVERAGEIFS('Refugees Recorded'!$E:$E,'Refugees Recorded'!$C:$C,'Refugee Cost Calculations'!$I12,'Refugees Recorded'!$F:$F,'Refugee Cost Calculations'!R$10,'Refugees Recorded'!$H:$H,'Refugee Cost Calculations'!R$9)</f>
        <v>86674.6</v>
      </c>
      <c r="S12" s="831">
        <f>AVERAGEIFS('Refugees Recorded'!$E:$E,'Refugees Recorded'!$C:$C,'Refugee Cost Calculations'!$I12,'Refugees Recorded'!$F:$F,'Refugee Cost Calculations'!S$10,'Refugees Recorded'!$H:$H,'Refugee Cost Calculations'!S$9)</f>
        <v>89907</v>
      </c>
      <c r="T12" s="831">
        <f>AVERAGEIFS('Refugees Recorded'!$E:$E,'Refugees Recorded'!$C:$C,'Refugee Cost Calculations'!$I12,'Refugees Recorded'!$F:$F,'Refugee Cost Calculations'!T$10,'Refugees Recorded'!$H:$H,'Refugee Cost Calculations'!T$9)</f>
        <v>91662.399999999994</v>
      </c>
      <c r="U12" s="831">
        <f>AVERAGEIFS('Refugees Recorded'!$E:$E,'Refugees Recorded'!$C:$C,'Refugee Cost Calculations'!$I12,'Refugees Recorded'!$F:$F,'Refugee Cost Calculations'!U$10,'Refugees Recorded'!$H:$H,'Refugee Cost Calculations'!U$9)</f>
        <v>93190.333333333328</v>
      </c>
      <c r="V12" s="831">
        <f>AVERAGEIFS('Refugees Recorded'!$E:$E,'Refugees Recorded'!$C:$C,'Refugee Cost Calculations'!$I12,'Refugees Recorded'!$F:$F,'Refugee Cost Calculations'!V$10,'Refugees Recorded'!$H:$H,'Refugee Cost Calculations'!V$9)</f>
        <v>94626</v>
      </c>
      <c r="W12" s="831">
        <f>AVERAGEIFS('Refugees Recorded'!$E:$E,'Refugees Recorded'!$C:$C,'Refugee Cost Calculations'!$I12,'Refugees Recorded'!$F:$F,'Refugee Cost Calculations'!W$10,'Refugees Recorded'!$H:$H,'Refugee Cost Calculations'!W$9)</f>
        <v>95873</v>
      </c>
      <c r="X12" s="831">
        <f>AVERAGEIFS('Refugees Recorded'!$E:$E,'Refugees Recorded'!$C:$C,'Refugee Cost Calculations'!$I12,'Refugees Recorded'!$F:$F,'Refugee Cost Calculations'!X$10,'Refugees Recorded'!$H:$H,'Refugee Cost Calculations'!X$9)</f>
        <v>96906.5</v>
      </c>
      <c r="Y12" s="831">
        <f>AVERAGEIFS('Refugees Recorded'!$E:$E,'Refugees Recorded'!$C:$C,'Refugee Cost Calculations'!$I12,'Refugees Recorded'!$F:$F,'Refugee Cost Calculations'!Y$10,'Refugees Recorded'!$H:$H,'Refugee Cost Calculations'!Y$9)</f>
        <v>90111</v>
      </c>
      <c r="Z12" s="831" t="e">
        <f>AVERAGEIFS('Refugees Recorded'!$E$174:$E$1129,'Refugees Recorded'!$C$174:$C$1129,'Refugee Cost Calculations'!$I12,'Refugees Recorded'!$F$174:$F$1129,'Refugee Cost Calculations'!Z$10,'Refugees Recorded'!$H$174:$H$1129,'Refugee Cost Calculations'!Z$9)</f>
        <v>#DIV/0!</v>
      </c>
    </row>
    <row r="13" spans="2:26">
      <c r="B13" s="817" t="s">
        <v>558</v>
      </c>
      <c r="C13" s="826">
        <f>G13*(SUM(J13:X13))/1000000000</f>
        <v>1.1912503658050217</v>
      </c>
      <c r="D13" s="826">
        <f>100*C13/VLOOKUP(B13,'Country Summary (€)'!B:S,8,0)</f>
        <v>0.21791647769902545</v>
      </c>
      <c r="E13" s="827">
        <v>589000000</v>
      </c>
      <c r="F13" s="828">
        <f>E13/K13</f>
        <v>13750.517978977348</v>
      </c>
      <c r="G13" s="828">
        <f t="shared" ref="G13" si="0">F13/10</f>
        <v>1375.0517978977348</v>
      </c>
      <c r="H13" s="828"/>
      <c r="I13" s="829" t="s">
        <v>6127</v>
      </c>
      <c r="J13" s="830">
        <f t="shared" ref="J13:K29" si="1">K13+K13-L13</f>
        <v>40442.5</v>
      </c>
      <c r="K13" s="830">
        <f t="shared" si="1"/>
        <v>42834.75</v>
      </c>
      <c r="L13" s="831">
        <f>AVERAGEIFS('Refugees Recorded'!$E:$E,'Refugees Recorded'!$C:$C,'Refugee Cost Calculations'!$I13,'Refugees Recorded'!$F:$F,'Refugee Cost Calculations'!L$10,'Refugees Recorded'!$H:$H,'Refugee Cost Calculations'!L$9)</f>
        <v>45227</v>
      </c>
      <c r="M13" s="831">
        <f>AVERAGEIFS('Refugees Recorded'!$E:$E,'Refugees Recorded'!$C:$C,'Refugee Cost Calculations'!$I13,'Refugees Recorded'!$F:$F,'Refugee Cost Calculations'!M$10,'Refugees Recorded'!$H:$H,'Refugee Cost Calculations'!M$9)</f>
        <v>47619.25</v>
      </c>
      <c r="N13" s="831">
        <f>AVERAGEIFS('Refugees Recorded'!$E:$E,'Refugees Recorded'!$C:$C,'Refugee Cost Calculations'!$I13,'Refugees Recorded'!$F:$F,'Refugee Cost Calculations'!N$10,'Refugees Recorded'!$H:$H,'Refugee Cost Calculations'!N$9)</f>
        <v>51204.5</v>
      </c>
      <c r="O13" s="831">
        <f>AVERAGEIFS('Refugees Recorded'!$E:$E,'Refugees Recorded'!$C:$C,'Refugee Cost Calculations'!$I13,'Refugees Recorded'!$F:$F,'Refugee Cost Calculations'!O$10,'Refugees Recorded'!$H:$H,'Refugee Cost Calculations'!O$9)</f>
        <v>53305.599999999999</v>
      </c>
      <c r="P13" s="831">
        <f>AVERAGEIFS('Refugees Recorded'!$E:$E,'Refugees Recorded'!$C:$C,'Refugee Cost Calculations'!$I13,'Refugees Recorded'!$F:$F,'Refugee Cost Calculations'!P$10,'Refugees Recorded'!$H:$H,'Refugee Cost Calculations'!P$9)</f>
        <v>55869</v>
      </c>
      <c r="Q13" s="831">
        <f>AVERAGEIFS('Refugees Recorded'!$E:$E,'Refugees Recorded'!$C:$C,'Refugee Cost Calculations'!$I13,'Refugees Recorded'!$F:$F,'Refugee Cost Calculations'!Q$10,'Refugees Recorded'!$H:$H,'Refugee Cost Calculations'!Q$9)</f>
        <v>57708.25</v>
      </c>
      <c r="R13" s="831">
        <f>AVERAGEIFS('Refugees Recorded'!$E:$E,'Refugees Recorded'!$C:$C,'Refugee Cost Calculations'!$I13,'Refugees Recorded'!$F:$F,'Refugee Cost Calculations'!R$10,'Refugees Recorded'!$H:$H,'Refugee Cost Calculations'!R$9)</f>
        <v>60746.666666666664</v>
      </c>
      <c r="S13" s="831">
        <f>AVERAGEIFS('Refugees Recorded'!$E:$E,'Refugees Recorded'!$C:$C,'Refugee Cost Calculations'!$I13,'Refugees Recorded'!$F:$F,'Refugee Cost Calculations'!S$10,'Refugees Recorded'!$H:$H,'Refugee Cost Calculations'!S$9)</f>
        <v>64436</v>
      </c>
      <c r="T13" s="831">
        <f>AVERAGEIFS('Refugees Recorded'!$E:$E,'Refugees Recorded'!$C:$C,'Refugee Cost Calculations'!$I13,'Refugees Recorded'!$F:$F,'Refugee Cost Calculations'!T$10,'Refugees Recorded'!$H:$H,'Refugee Cost Calculations'!T$9)</f>
        <v>66483.75</v>
      </c>
      <c r="U13" s="831">
        <f>AVERAGEIFS('Refugees Recorded'!$E:$E,'Refugees Recorded'!$C:$C,'Refugee Cost Calculations'!$I13,'Refugees Recorded'!$F:$F,'Refugee Cost Calculations'!U$10,'Refugees Recorded'!$H:$H,'Refugee Cost Calculations'!U$9)</f>
        <v>68048</v>
      </c>
      <c r="V13" s="831">
        <f>AVERAGEIFS('Refugees Recorded'!$E:$E,'Refugees Recorded'!$C:$C,'Refugee Cost Calculations'!$I13,'Refugees Recorded'!$F:$F,'Refugee Cost Calculations'!V$10,'Refugees Recorded'!$H:$H,'Refugee Cost Calculations'!V$9)</f>
        <v>69530.666666666672</v>
      </c>
      <c r="W13" s="831">
        <f>AVERAGEIFS('Refugees Recorded'!$E:$E,'Refugees Recorded'!$C:$C,'Refugee Cost Calculations'!$I13,'Refugees Recorded'!$F:$F,'Refugee Cost Calculations'!W$10,'Refugees Recorded'!$H:$H,'Refugee Cost Calculations'!W$9)</f>
        <v>70871.666666666672</v>
      </c>
      <c r="X13" s="831">
        <f>AVERAGEIFS('Refugees Recorded'!$E:$E,'Refugees Recorded'!$C:$C,'Refugee Cost Calculations'!$I13,'Refugees Recorded'!$F:$F,'Refugee Cost Calculations'!X$10,'Refugees Recorded'!$H:$H,'Refugee Cost Calculations'!X$9)</f>
        <v>72003.666666666672</v>
      </c>
      <c r="Y13" s="831">
        <f>AVERAGEIFS('Refugees Recorded'!$E:$E,'Refugees Recorded'!$C:$C,'Refugee Cost Calculations'!$I13,'Refugees Recorded'!$F:$F,'Refugee Cost Calculations'!Y$10,'Refugees Recorded'!$H:$H,'Refugee Cost Calculations'!Y$9)</f>
        <v>70435</v>
      </c>
      <c r="Z13" s="831" t="e">
        <f>AVERAGEIFS('Refugees Recorded'!$E$174:$E$1129,'Refugees Recorded'!$C$174:$C$1129,'Refugee Cost Calculations'!$I13,'Refugees Recorded'!$F$174:$F$1129,'Refugee Cost Calculations'!Z$10,'Refugees Recorded'!$H$174:$H$1129,'Refugee Cost Calculations'!Z$9)</f>
        <v>#DIV/0!</v>
      </c>
    </row>
    <row r="14" spans="2:26">
      <c r="B14" s="817" t="s">
        <v>673</v>
      </c>
      <c r="C14" s="826">
        <f t="shared" ref="C14:C43" si="2">G14*(SUM(J14:X14))/1000000000</f>
        <v>1.0629093328347565</v>
      </c>
      <c r="D14" s="826">
        <f>100*C14/VLOOKUP(B14,'Country Summary (€)'!B:S,8,0)</f>
        <v>1.3742809140060135</v>
      </c>
      <c r="E14" s="827" t="s">
        <v>5031</v>
      </c>
      <c r="F14" s="827" t="s">
        <v>5031</v>
      </c>
      <c r="G14" s="828">
        <v>1149.6482839762689</v>
      </c>
      <c r="H14" s="828"/>
      <c r="I14" s="829" t="s">
        <v>6128</v>
      </c>
      <c r="J14" s="830">
        <f t="shared" si="1"/>
        <v>61406.700000000012</v>
      </c>
      <c r="K14" s="830">
        <f t="shared" si="1"/>
        <v>67651.400000000009</v>
      </c>
      <c r="L14" s="830">
        <f>M14+M14-N14</f>
        <v>73896.100000000006</v>
      </c>
      <c r="M14" s="831">
        <f>AVERAGEIFS('Refugees Recorded'!$E:$E,'Refugees Recorded'!$C:$C,'Refugee Cost Calculations'!$I14,'Refugees Recorded'!$F:$F,'Refugee Cost Calculations'!M$10,'Refugees Recorded'!$H:$H,'Refugee Cost Calculations'!M$9)</f>
        <v>80140.800000000003</v>
      </c>
      <c r="N14" s="831">
        <f>AVERAGEIFS('Refugees Recorded'!$E:$E,'Refugees Recorded'!$C:$C,'Refugee Cost Calculations'!$I14,'Refugees Recorded'!$F:$F,'Refugee Cost Calculations'!N$10,'Refugees Recorded'!$H:$H,'Refugee Cost Calculations'!N$9)</f>
        <v>86385.5</v>
      </c>
      <c r="O14" s="831">
        <f>AVERAGEIFS('Refugees Recorded'!$E:$E,'Refugees Recorded'!$C:$C,'Refugee Cost Calculations'!$I14,'Refugees Recorded'!$F:$F,'Refugee Cost Calculations'!O$10,'Refugees Recorded'!$H:$H,'Refugee Cost Calculations'!O$9)</f>
        <v>84145</v>
      </c>
      <c r="P14" s="831">
        <f>AVERAGEIFS('Refugees Recorded'!$E:$E,'Refugees Recorded'!$C:$C,'Refugee Cost Calculations'!$I14,'Refugees Recorded'!$F:$F,'Refugee Cost Calculations'!P$10,'Refugees Recorded'!$H:$H,'Refugee Cost Calculations'!P$9)</f>
        <v>63943.5</v>
      </c>
      <c r="Q14" s="831">
        <f>AVERAGEIFS('Refugees Recorded'!$E:$E,'Refugees Recorded'!$C:$C,'Refugee Cost Calculations'!$I14,'Refugees Recorded'!$F:$F,'Refugee Cost Calculations'!Q$10,'Refugees Recorded'!$H:$H,'Refugee Cost Calculations'!Q$9)</f>
        <v>54397.333333333336</v>
      </c>
      <c r="R14" s="831">
        <f>AVERAGEIFS('Refugees Recorded'!$E:$E,'Refugees Recorded'!$C:$C,'Refugee Cost Calculations'!$I14,'Refugees Recorded'!$F:$F,'Refugee Cost Calculations'!R$10,'Refugees Recorded'!$H:$H,'Refugee Cost Calculations'!R$9)</f>
        <v>52872.75</v>
      </c>
      <c r="S14" s="831">
        <f>AVERAGEIFS('Refugees Recorded'!$E:$E,'Refugees Recorded'!$C:$C,'Refugee Cost Calculations'!$I14,'Refugees Recorded'!$F:$F,'Refugee Cost Calculations'!S$10,'Refugees Recorded'!$H:$H,'Refugee Cost Calculations'!S$9)</f>
        <v>51140</v>
      </c>
      <c r="T14" s="831">
        <f>AVERAGEIFS('Refugees Recorded'!$E:$E,'Refugees Recorded'!$C:$C,'Refugee Cost Calculations'!$I14,'Refugees Recorded'!$F:$F,'Refugee Cost Calculations'!T$10,'Refugees Recorded'!$H:$H,'Refugee Cost Calculations'!T$9)</f>
        <v>50237.5</v>
      </c>
      <c r="U14" s="831">
        <f>AVERAGEIFS('Refugees Recorded'!$E:$E,'Refugees Recorded'!$C:$C,'Refugee Cost Calculations'!$I14,'Refugees Recorded'!$F:$F,'Refugee Cost Calculations'!U$10,'Refugees Recorded'!$H:$H,'Refugee Cost Calculations'!U$9)</f>
        <v>50384.5</v>
      </c>
      <c r="V14" s="831">
        <f>AVERAGEIFS('Refugees Recorded'!$E:$E,'Refugees Recorded'!$C:$C,'Refugee Cost Calculations'!$I14,'Refugees Recorded'!$F:$F,'Refugee Cost Calculations'!V$10,'Refugees Recorded'!$H:$H,'Refugee Cost Calculations'!V$9)</f>
        <v>49707.333333333336</v>
      </c>
      <c r="W14" s="831">
        <f>AVERAGEIFS('Refugees Recorded'!$E:$E,'Refugees Recorded'!$C:$C,'Refugee Cost Calculations'!$I14,'Refugees Recorded'!$F:$F,'Refugee Cost Calculations'!W$10,'Refugees Recorded'!$H:$H,'Refugee Cost Calculations'!W$9)</f>
        <v>48005.333333333336</v>
      </c>
      <c r="X14" s="831">
        <f>AVERAGEIFS('Refugees Recorded'!$E:$E,'Refugees Recorded'!$C:$C,'Refugee Cost Calculations'!$I14,'Refugees Recorded'!$F:$F,'Refugee Cost Calculations'!X$10,'Refugees Recorded'!$H:$H,'Refugee Cost Calculations'!X$9)</f>
        <v>50238</v>
      </c>
      <c r="Y14" s="831">
        <f>AVERAGEIFS('Refugees Recorded'!$E:$E,'Refugees Recorded'!$C:$C,'Refugee Cost Calculations'!$I14,'Refugees Recorded'!$F:$F,'Refugee Cost Calculations'!Y$10,'Refugees Recorded'!$H:$H,'Refugee Cost Calculations'!Y$9)</f>
        <v>160574</v>
      </c>
      <c r="Z14" s="831" t="e">
        <f>AVERAGEIFS('Refugees Recorded'!$E$174:$E$1129,'Refugees Recorded'!$C$174:$C$1129,'Refugee Cost Calculations'!$I14,'Refugees Recorded'!$F$174:$F$1129,'Refugee Cost Calculations'!Z$10,'Refugees Recorded'!$H$174:$H$1129,'Refugee Cost Calculations'!Z$9)</f>
        <v>#DIV/0!</v>
      </c>
    </row>
    <row r="15" spans="2:26">
      <c r="B15" s="817" t="s">
        <v>918</v>
      </c>
      <c r="C15" s="826">
        <f t="shared" si="2"/>
        <v>0.18119740711462451</v>
      </c>
      <c r="D15" s="826">
        <f>100*C15/VLOOKUP(B15,'Country Summary (€)'!B:S,8,0)</f>
        <v>0.2855849528191956</v>
      </c>
      <c r="E15" s="827">
        <v>84000000</v>
      </c>
      <c r="F15" s="828">
        <f>E15/K15</f>
        <v>6810.5807236242017</v>
      </c>
      <c r="G15" s="828">
        <f t="shared" ref="G15" si="3">F15/10</f>
        <v>681.05807236242015</v>
      </c>
      <c r="H15" s="828"/>
      <c r="I15" s="829" t="s">
        <v>6129</v>
      </c>
      <c r="J15" s="830">
        <f t="shared" si="1"/>
        <v>11292.5</v>
      </c>
      <c r="K15" s="830">
        <f t="shared" si="1"/>
        <v>12333.75</v>
      </c>
      <c r="L15" s="831">
        <f>AVERAGEIFS('Refugees Recorded'!$E:$E,'Refugees Recorded'!$C:$C,'Refugee Cost Calculations'!$I15,'Refugees Recorded'!$F:$F,'Refugee Cost Calculations'!L$10,'Refugees Recorded'!$H:$H,'Refugee Cost Calculations'!L$9)</f>
        <v>13375</v>
      </c>
      <c r="M15" s="831">
        <f>AVERAGEIFS('Refugees Recorded'!$E:$E,'Refugees Recorded'!$C:$C,'Refugee Cost Calculations'!$I15,'Refugees Recorded'!$F:$F,'Refugee Cost Calculations'!M$10,'Refugees Recorded'!$H:$H,'Refugee Cost Calculations'!M$9)</f>
        <v>14416.25</v>
      </c>
      <c r="N15" s="831">
        <f>AVERAGEIFS('Refugees Recorded'!$E:$E,'Refugees Recorded'!$C:$C,'Refugee Cost Calculations'!$I15,'Refugees Recorded'!$F:$F,'Refugee Cost Calculations'!N$10,'Refugees Recorded'!$H:$H,'Refugee Cost Calculations'!N$9)</f>
        <v>15794.666666666666</v>
      </c>
      <c r="O15" s="831">
        <f>AVERAGEIFS('Refugees Recorded'!$E:$E,'Refugees Recorded'!$C:$C,'Refugee Cost Calculations'!$I15,'Refugees Recorded'!$F:$F,'Refugee Cost Calculations'!O$10,'Refugees Recorded'!$H:$H,'Refugee Cost Calculations'!O$9)</f>
        <v>17170.333333333332</v>
      </c>
      <c r="P15" s="831">
        <f>AVERAGEIFS('Refugees Recorded'!$E:$E,'Refugees Recorded'!$C:$C,'Refugee Cost Calculations'!$I15,'Refugees Recorded'!$F:$F,'Refugee Cost Calculations'!P$10,'Refugees Recorded'!$H:$H,'Refugee Cost Calculations'!P$9)</f>
        <v>17921.333333333332</v>
      </c>
      <c r="Q15" s="831">
        <f>AVERAGEIFS('Refugees Recorded'!$E:$E,'Refugees Recorded'!$C:$C,'Refugee Cost Calculations'!$I15,'Refugees Recorded'!$F:$F,'Refugee Cost Calculations'!Q$10,'Refugees Recorded'!$H:$H,'Refugee Cost Calculations'!Q$9)</f>
        <v>18612.5</v>
      </c>
      <c r="R15" s="831">
        <f>AVERAGEIFS('Refugees Recorded'!$E:$E,'Refugees Recorded'!$C:$C,'Refugee Cost Calculations'!$I15,'Refugees Recorded'!$F:$F,'Refugee Cost Calculations'!R$10,'Refugees Recorded'!$H:$H,'Refugee Cost Calculations'!R$9)</f>
        <v>19088.8</v>
      </c>
      <c r="S15" s="831">
        <f>AVERAGEIFS('Refugees Recorded'!$E:$E,'Refugees Recorded'!$C:$C,'Refugee Cost Calculations'!$I15,'Refugees Recorded'!$F:$F,'Refugee Cost Calculations'!S$10,'Refugees Recorded'!$H:$H,'Refugee Cost Calculations'!S$9)</f>
        <v>19658.5</v>
      </c>
      <c r="T15" s="831">
        <f>AVERAGEIFS('Refugees Recorded'!$E:$E,'Refugees Recorded'!$C:$C,'Refugee Cost Calculations'!$I15,'Refugees Recorded'!$F:$F,'Refugee Cost Calculations'!T$10,'Refugees Recorded'!$H:$H,'Refugee Cost Calculations'!T$9)</f>
        <v>20344.666666666668</v>
      </c>
      <c r="U15" s="831">
        <f>AVERAGEIFS('Refugees Recorded'!$E:$E,'Refugees Recorded'!$C:$C,'Refugee Cost Calculations'!$I15,'Refugees Recorded'!$F:$F,'Refugee Cost Calculations'!U$10,'Refugees Recorded'!$H:$H,'Refugee Cost Calculations'!U$9)</f>
        <v>20711.5</v>
      </c>
      <c r="V15" s="831">
        <f>AVERAGEIFS('Refugees Recorded'!$E:$E,'Refugees Recorded'!$C:$C,'Refugee Cost Calculations'!$I15,'Refugees Recorded'!$F:$F,'Refugee Cost Calculations'!V$10,'Refugees Recorded'!$H:$H,'Refugee Cost Calculations'!V$9)</f>
        <v>21233</v>
      </c>
      <c r="W15" s="831">
        <f>AVERAGEIFS('Refugees Recorded'!$E:$E,'Refugees Recorded'!$C:$C,'Refugee Cost Calculations'!$I15,'Refugees Recorded'!$F:$F,'Refugee Cost Calculations'!W$10,'Refugees Recorded'!$H:$H,'Refugee Cost Calculations'!W$9)</f>
        <v>21640</v>
      </c>
      <c r="X15" s="831">
        <f>AVERAGEIFS('Refugees Recorded'!$E:$E,'Refugees Recorded'!$C:$C,'Refugee Cost Calculations'!$I15,'Refugees Recorded'!$F:$F,'Refugee Cost Calculations'!X$10,'Refugees Recorded'!$H:$H,'Refugee Cost Calculations'!X$9)</f>
        <v>22460</v>
      </c>
      <c r="Y15" s="831">
        <f>AVERAGEIFS('Refugees Recorded'!$E:$E,'Refugees Recorded'!$C:$C,'Refugee Cost Calculations'!$I15,'Refugees Recorded'!$F:$F,'Refugee Cost Calculations'!Y$10,'Refugees Recorded'!$H:$H,'Refugee Cost Calculations'!Y$9)</f>
        <v>22829</v>
      </c>
      <c r="Z15" s="831">
        <f>AVERAGEIFS('Refugees Recorded'!$E$174:$E$1129,'Refugees Recorded'!$C$174:$C$1129,'Refugee Cost Calculations'!$I15,'Refugees Recorded'!$F$174:$F$1129,'Refugee Cost Calculations'!Z$10,'Refugees Recorded'!$H$174:$H$1129,'Refugee Cost Calculations'!Z$9)</f>
        <v>21233</v>
      </c>
    </row>
    <row r="16" spans="2:26">
      <c r="B16" s="817" t="s">
        <v>981</v>
      </c>
      <c r="C16" s="826">
        <f t="shared" si="2"/>
        <v>0.10592762878522398</v>
      </c>
      <c r="D16" s="826">
        <f>100*C16/VLOOKUP(B16,'Country Summary (€)'!B:S,8,0)</f>
        <v>0.40524740840185597</v>
      </c>
      <c r="E16" s="827" t="s">
        <v>5031</v>
      </c>
      <c r="F16" s="827" t="s">
        <v>5031</v>
      </c>
      <c r="G16" s="828">
        <v>461.75094308507352</v>
      </c>
      <c r="H16" s="828"/>
      <c r="I16" s="829" t="s">
        <v>6130</v>
      </c>
      <c r="J16" s="830">
        <f t="shared" si="1"/>
        <v>19358</v>
      </c>
      <c r="K16" s="830">
        <f t="shared" si="1"/>
        <v>17110</v>
      </c>
      <c r="L16" s="831">
        <f>AVERAGEIFS('Refugees Recorded'!$E:$E,'Refugees Recorded'!$C:$C,'Refugee Cost Calculations'!$I16,'Refugees Recorded'!$F:$F,'Refugee Cost Calculations'!L$10,'Refugees Recorded'!$H:$H,'Refugee Cost Calculations'!L$9)</f>
        <v>14862</v>
      </c>
      <c r="M16" s="831">
        <f>AVERAGEIFS('Refugees Recorded'!$E:$E,'Refugees Recorded'!$C:$C,'Refugee Cost Calculations'!$I16,'Refugees Recorded'!$F:$F,'Refugee Cost Calculations'!M$10,'Refugees Recorded'!$H:$H,'Refugee Cost Calculations'!M$9)</f>
        <v>12614</v>
      </c>
      <c r="N16" s="831">
        <f>AVERAGEIFS('Refugees Recorded'!$E:$E,'Refugees Recorded'!$C:$C,'Refugee Cost Calculations'!$I16,'Refugees Recorded'!$F:$F,'Refugee Cost Calculations'!N$10,'Refugees Recorded'!$H:$H,'Refugee Cost Calculations'!N$9)</f>
        <v>12725.5</v>
      </c>
      <c r="O16" s="831">
        <f>AVERAGEIFS('Refugees Recorded'!$E:$E,'Refugees Recorded'!$C:$C,'Refugee Cost Calculations'!$I16,'Refugees Recorded'!$F:$F,'Refugee Cost Calculations'!O$10,'Refugees Recorded'!$H:$H,'Refugee Cost Calculations'!O$9)</f>
        <v>12998</v>
      </c>
      <c r="P16" s="831">
        <f>AVERAGEIFS('Refugees Recorded'!$E:$E,'Refugees Recorded'!$C:$C,'Refugee Cost Calculations'!$I16,'Refugees Recorded'!$F:$F,'Refugee Cost Calculations'!P$10,'Refugees Recorded'!$H:$H,'Refugee Cost Calculations'!P$9)</f>
        <v>13586.75</v>
      </c>
      <c r="Q16" s="831">
        <f>AVERAGEIFS('Refugees Recorded'!$E:$E,'Refugees Recorded'!$C:$C,'Refugee Cost Calculations'!$I16,'Refugees Recorded'!$F:$F,'Refugee Cost Calculations'!Q$10,'Refugees Recorded'!$H:$H,'Refugee Cost Calculations'!Q$9)</f>
        <v>14282</v>
      </c>
      <c r="R16" s="831">
        <f>AVERAGEIFS('Refugees Recorded'!$E:$E,'Refugees Recorded'!$C:$C,'Refugee Cost Calculations'!$I16,'Refugees Recorded'!$F:$F,'Refugee Cost Calculations'!R$10,'Refugees Recorded'!$H:$H,'Refugee Cost Calculations'!R$9)</f>
        <v>14577</v>
      </c>
      <c r="S16" s="831">
        <f>AVERAGEIFS('Refugees Recorded'!$E:$E,'Refugees Recorded'!$C:$C,'Refugee Cost Calculations'!$I16,'Refugees Recorded'!$F:$F,'Refugee Cost Calculations'!S$10,'Refugees Recorded'!$H:$H,'Refugee Cost Calculations'!S$9)</f>
        <v>14462.333333333334</v>
      </c>
      <c r="T16" s="831">
        <f>AVERAGEIFS('Refugees Recorded'!$E:$E,'Refugees Recorded'!$C:$C,'Refugee Cost Calculations'!$I16,'Refugees Recorded'!$F:$F,'Refugee Cost Calculations'!T$10,'Refugees Recorded'!$H:$H,'Refugee Cost Calculations'!T$9)</f>
        <v>15255.666666666666</v>
      </c>
      <c r="U16" s="831">
        <f>AVERAGEIFS('Refugees Recorded'!$E:$E,'Refugees Recorded'!$C:$C,'Refugee Cost Calculations'!$I16,'Refugees Recorded'!$F:$F,'Refugee Cost Calculations'!U$10,'Refugees Recorded'!$H:$H,'Refugee Cost Calculations'!U$9)</f>
        <v>15871</v>
      </c>
      <c r="V16" s="831">
        <f>AVERAGEIFS('Refugees Recorded'!$E:$E,'Refugees Recorded'!$C:$C,'Refugee Cost Calculations'!$I16,'Refugees Recorded'!$F:$F,'Refugee Cost Calculations'!V$10,'Refugees Recorded'!$H:$H,'Refugee Cost Calculations'!V$9)</f>
        <v>16281</v>
      </c>
      <c r="W16" s="830">
        <f>V16+0.5*(X16-V16)</f>
        <v>17234</v>
      </c>
      <c r="X16" s="831">
        <f>AVERAGEIFS('Refugees Recorded'!$E:$E,'Refugees Recorded'!$C:$C,'Refugee Cost Calculations'!$I16,'Refugees Recorded'!$F:$F,'Refugee Cost Calculations'!X$10,'Refugees Recorded'!$H:$H,'Refugee Cost Calculations'!X$9)</f>
        <v>18187</v>
      </c>
      <c r="Y16" s="830">
        <f>X16+X16-W16</f>
        <v>19140</v>
      </c>
      <c r="Z16" s="831">
        <f>AVERAGEIFS('Refugees Recorded'!$E$174:$E$1129,'Refugees Recorded'!$C$174:$C$1129,'Refugee Cost Calculations'!$I16,'Refugees Recorded'!$F$174:$F$1129,'Refugee Cost Calculations'!Z$10,'Refugees Recorded'!$H$174:$H$1129,'Refugee Cost Calculations'!Z$9)</f>
        <v>16281</v>
      </c>
    </row>
    <row r="17" spans="2:26">
      <c r="B17" s="817" t="s">
        <v>1012</v>
      </c>
      <c r="C17" s="826">
        <f t="shared" si="2"/>
        <v>3.8457418680440227</v>
      </c>
      <c r="D17" s="826">
        <f>100*C17/VLOOKUP(B17,'Country Summary (€)'!B:S,8,0)</f>
        <v>1.4832790127313245</v>
      </c>
      <c r="E17" s="827">
        <v>1957000000</v>
      </c>
      <c r="F17" s="828">
        <f t="shared" ref="F17:F30" si="4">E17/K17</f>
        <v>5924.3176742043042</v>
      </c>
      <c r="G17" s="828">
        <f t="shared" ref="G17:G30" si="5">F17/10</f>
        <v>592.43176742043045</v>
      </c>
      <c r="H17" s="828"/>
      <c r="I17" s="829" t="s">
        <v>6131</v>
      </c>
      <c r="J17" s="830">
        <f t="shared" si="1"/>
        <v>309040.69999999995</v>
      </c>
      <c r="K17" s="830">
        <f t="shared" si="1"/>
        <v>330333.39999999997</v>
      </c>
      <c r="L17" s="830">
        <f>M17+M17-N17</f>
        <v>351626.1</v>
      </c>
      <c r="M17" s="831">
        <f>AVERAGEIFS('Refugees Recorded'!$E:$E,'Refugees Recorded'!$C:$C,'Refugee Cost Calculations'!$I17,'Refugees Recorded'!$F:$F,'Refugee Cost Calculations'!M$10,'Refugees Recorded'!$H:$H,'Refugee Cost Calculations'!M$9)</f>
        <v>372918.8</v>
      </c>
      <c r="N17" s="831">
        <f>AVERAGEIFS('Refugees Recorded'!$E:$E,'Refugees Recorded'!$C:$C,'Refugee Cost Calculations'!$I17,'Refugees Recorded'!$F:$F,'Refugee Cost Calculations'!N$10,'Refugees Recorded'!$H:$H,'Refugee Cost Calculations'!N$9)</f>
        <v>394211.5</v>
      </c>
      <c r="O17" s="831">
        <f>AVERAGEIFS('Refugees Recorded'!$E:$E,'Refugees Recorded'!$C:$C,'Refugee Cost Calculations'!$I17,'Refugees Recorded'!$F:$F,'Refugee Cost Calculations'!O$10,'Refugees Recorded'!$H:$H,'Refugee Cost Calculations'!O$9)</f>
        <v>413240.2</v>
      </c>
      <c r="P17" s="831">
        <f>AVERAGEIFS('Refugees Recorded'!$E:$E,'Refugees Recorded'!$C:$C,'Refugee Cost Calculations'!$I17,'Refugees Recorded'!$F:$F,'Refugee Cost Calculations'!P$10,'Refugees Recorded'!$H:$H,'Refugee Cost Calculations'!P$9)</f>
        <v>432922.25</v>
      </c>
      <c r="Q17" s="831">
        <f>AVERAGEIFS('Refugees Recorded'!$E:$E,'Refugees Recorded'!$C:$C,'Refugee Cost Calculations'!$I17,'Refugees Recorded'!$F:$F,'Refugee Cost Calculations'!Q$10,'Refugees Recorded'!$H:$H,'Refugee Cost Calculations'!Q$9)</f>
        <v>448504.8</v>
      </c>
      <c r="R17" s="831">
        <f>AVERAGEIFS('Refugees Recorded'!$E:$E,'Refugees Recorded'!$C:$C,'Refugee Cost Calculations'!$I17,'Refugees Recorded'!$F:$F,'Refugee Cost Calculations'!R$10,'Refugees Recorded'!$H:$H,'Refugee Cost Calculations'!R$9)</f>
        <v>462897.6</v>
      </c>
      <c r="S17" s="831">
        <f>AVERAGEIFS('Refugees Recorded'!$E:$E,'Refugees Recorded'!$C:$C,'Refugee Cost Calculations'!$I17,'Refugees Recorded'!$F:$F,'Refugee Cost Calculations'!S$10,'Refugees Recorded'!$H:$H,'Refugee Cost Calculations'!S$9)</f>
        <v>472476</v>
      </c>
      <c r="T17" s="831">
        <f>AVERAGEIFS('Refugees Recorded'!$E:$E,'Refugees Recorded'!$C:$C,'Refugee Cost Calculations'!$I17,'Refugees Recorded'!$F:$F,'Refugee Cost Calculations'!T$10,'Refugees Recorded'!$H:$H,'Refugee Cost Calculations'!T$9)</f>
        <v>481288.2</v>
      </c>
      <c r="U17" s="831">
        <f>AVERAGEIFS('Refugees Recorded'!$E:$E,'Refugees Recorded'!$C:$C,'Refugee Cost Calculations'!$I17,'Refugees Recorded'!$F:$F,'Refugee Cost Calculations'!U$10,'Refugees Recorded'!$H:$H,'Refugee Cost Calculations'!U$9)</f>
        <v>490713.25</v>
      </c>
      <c r="V17" s="831">
        <f>AVERAGEIFS('Refugees Recorded'!$E:$E,'Refugees Recorded'!$C:$C,'Refugee Cost Calculations'!$I17,'Refugees Recorded'!$F:$F,'Refugee Cost Calculations'!V$10,'Refugees Recorded'!$H:$H,'Refugee Cost Calculations'!V$9)</f>
        <v>500818.33333333331</v>
      </c>
      <c r="W17" s="831">
        <f>AVERAGEIFS('Refugees Recorded'!$E:$E,'Refugees Recorded'!$C:$C,'Refugee Cost Calculations'!$I17,'Refugees Recorded'!$F:$F,'Refugee Cost Calculations'!W$10,'Refugees Recorded'!$H:$H,'Refugee Cost Calculations'!W$9)</f>
        <v>510226</v>
      </c>
      <c r="X17" s="831">
        <f>AVERAGEIFS('Refugees Recorded'!$E:$E,'Refugees Recorded'!$C:$C,'Refugee Cost Calculations'!$I17,'Refugees Recorded'!$F:$F,'Refugee Cost Calculations'!X$10,'Refugees Recorded'!$H:$H,'Refugee Cost Calculations'!X$9)</f>
        <v>520234</v>
      </c>
      <c r="Y17" s="831">
        <f>AVERAGEIFS('Refugees Recorded'!$E:$E,'Refugees Recorded'!$C:$C,'Refugee Cost Calculations'!$I17,'Refugees Recorded'!$F:$F,'Refugee Cost Calculations'!Y$10,'Refugees Recorded'!$H:$H,'Refugee Cost Calculations'!Y$9)</f>
        <v>341744</v>
      </c>
      <c r="Z17" s="831">
        <f>AVERAGEIFS('Refugees Recorded'!$E$174:$E$1129,'Refugees Recorded'!$C$174:$C$1129,'Refugee Cost Calculations'!$I17,'Refugees Recorded'!$F$174:$F$1129,'Refugee Cost Calculations'!Z$10,'Refugees Recorded'!$H$174:$H$1129,'Refugee Cost Calculations'!Z$9)</f>
        <v>500818.33333333331</v>
      </c>
    </row>
    <row r="18" spans="2:26">
      <c r="B18" s="817" t="s">
        <v>1194</v>
      </c>
      <c r="C18" s="826">
        <f t="shared" si="2"/>
        <v>0.48983726095354646</v>
      </c>
      <c r="D18" s="826">
        <f>100*C18/VLOOKUP(B18,'Country Summary (€)'!B:S,8,0)</f>
        <v>0.13365572708189294</v>
      </c>
      <c r="E18" s="827">
        <v>257000000</v>
      </c>
      <c r="F18" s="828">
        <f t="shared" si="4"/>
        <v>9249.9280161243878</v>
      </c>
      <c r="G18" s="828">
        <f t="shared" si="5"/>
        <v>924.99280161243883</v>
      </c>
      <c r="H18" s="828"/>
      <c r="I18" s="829" t="s">
        <v>6132</v>
      </c>
      <c r="J18" s="830">
        <f t="shared" si="1"/>
        <v>26377</v>
      </c>
      <c r="K18" s="830">
        <f t="shared" si="1"/>
        <v>27784</v>
      </c>
      <c r="L18" s="831">
        <f>AVERAGEIFS('Refugees Recorded'!$E:$E,'Refugees Recorded'!$C:$C,'Refugee Cost Calculations'!$I18,'Refugees Recorded'!$F:$F,'Refugee Cost Calculations'!L$10,'Refugees Recorded'!$H:$H,'Refugee Cost Calculations'!L$9)</f>
        <v>29191</v>
      </c>
      <c r="M18" s="831">
        <f>AVERAGEIFS('Refugees Recorded'!$E:$E,'Refugees Recorded'!$C:$C,'Refugee Cost Calculations'!$I18,'Refugees Recorded'!$F:$F,'Refugee Cost Calculations'!M$10,'Refugees Recorded'!$H:$H,'Refugee Cost Calculations'!M$9)</f>
        <v>30598</v>
      </c>
      <c r="N18" s="831">
        <f>AVERAGEIFS('Refugees Recorded'!$E:$E,'Refugees Recorded'!$C:$C,'Refugee Cost Calculations'!$I18,'Refugees Recorded'!$F:$F,'Refugee Cost Calculations'!N$10,'Refugees Recorded'!$H:$H,'Refugee Cost Calculations'!N$9)</f>
        <v>31681.75</v>
      </c>
      <c r="O18" s="831">
        <f>AVERAGEIFS('Refugees Recorded'!$E:$E,'Refugees Recorded'!$C:$C,'Refugee Cost Calculations'!$I18,'Refugees Recorded'!$F:$F,'Refugee Cost Calculations'!O$10,'Refugees Recorded'!$H:$H,'Refugee Cost Calculations'!O$9)</f>
        <v>32871.25</v>
      </c>
      <c r="P18" s="831">
        <f>AVERAGEIFS('Refugees Recorded'!$E:$E,'Refugees Recorded'!$C:$C,'Refugee Cost Calculations'!$I18,'Refugees Recorded'!$F:$F,'Refugee Cost Calculations'!P$10,'Refugees Recorded'!$H:$H,'Refugee Cost Calculations'!P$9)</f>
        <v>34730.25</v>
      </c>
      <c r="Q18" s="831">
        <f>AVERAGEIFS('Refugees Recorded'!$E:$E,'Refugees Recorded'!$C:$C,'Refugee Cost Calculations'!$I18,'Refugees Recorded'!$F:$F,'Refugee Cost Calculations'!Q$10,'Refugees Recorded'!$H:$H,'Refugee Cost Calculations'!Q$9)</f>
        <v>36148.800000000003</v>
      </c>
      <c r="R18" s="831">
        <f>AVERAGEIFS('Refugees Recorded'!$E:$E,'Refugees Recorded'!$C:$C,'Refugee Cost Calculations'!$I18,'Refugees Recorded'!$F:$F,'Refugee Cost Calculations'!R$10,'Refugees Recorded'!$H:$H,'Refugee Cost Calculations'!R$9)</f>
        <v>36983</v>
      </c>
      <c r="S18" s="831">
        <f>AVERAGEIFS('Refugees Recorded'!$E:$E,'Refugees Recorded'!$C:$C,'Refugee Cost Calculations'!$I18,'Refugees Recorded'!$F:$F,'Refugee Cost Calculations'!S$10,'Refugees Recorded'!$H:$H,'Refugee Cost Calculations'!S$9)</f>
        <v>38702.666666666664</v>
      </c>
      <c r="T18" s="831">
        <f>AVERAGEIFS('Refugees Recorded'!$E:$E,'Refugees Recorded'!$C:$C,'Refugee Cost Calculations'!$I18,'Refugees Recorded'!$F:$F,'Refugee Cost Calculations'!T$10,'Refugees Recorded'!$H:$H,'Refugee Cost Calculations'!T$9)</f>
        <v>39399.199999999997</v>
      </c>
      <c r="U18" s="831">
        <f>AVERAGEIFS('Refugees Recorded'!$E:$E,'Refugees Recorded'!$C:$C,'Refugee Cost Calculations'!$I18,'Refugees Recorded'!$F:$F,'Refugee Cost Calculations'!U$10,'Refugees Recorded'!$H:$H,'Refugee Cost Calculations'!U$9)</f>
        <v>40613</v>
      </c>
      <c r="V18" s="831">
        <f>AVERAGEIFS('Refugees Recorded'!$E:$E,'Refugees Recorded'!$C:$C,'Refugee Cost Calculations'!$I18,'Refugees Recorded'!$F:$F,'Refugee Cost Calculations'!V$10,'Refugees Recorded'!$H:$H,'Refugee Cost Calculations'!V$9)</f>
        <v>41297</v>
      </c>
      <c r="W18" s="831">
        <f>AVERAGEIFS('Refugees Recorded'!$E:$E,'Refugees Recorded'!$C:$C,'Refugee Cost Calculations'!$I18,'Refugees Recorded'!$F:$F,'Refugee Cost Calculations'!W$10,'Refugees Recorded'!$H:$H,'Refugee Cost Calculations'!W$9)</f>
        <v>41489.5</v>
      </c>
      <c r="X18" s="831">
        <f>AVERAGEIFS('Refugees Recorded'!$E:$E,'Refugees Recorded'!$C:$C,'Refugee Cost Calculations'!$I18,'Refugees Recorded'!$F:$F,'Refugee Cost Calculations'!X$10,'Refugees Recorded'!$H:$H,'Refugee Cost Calculations'!X$9)</f>
        <v>41691.5</v>
      </c>
      <c r="Y18" s="830">
        <f>X18+X18-W18</f>
        <v>41893.5</v>
      </c>
      <c r="Z18" s="831">
        <f>AVERAGEIFS('Refugees Recorded'!$E$174:$E$1129,'Refugees Recorded'!$C$174:$C$1129,'Refugee Cost Calculations'!$I18,'Refugees Recorded'!$F$174:$F$1129,'Refugee Cost Calculations'!Z$10,'Refugees Recorded'!$H$174:$H$1129,'Refugee Cost Calculations'!Z$9)</f>
        <v>41297</v>
      </c>
    </row>
    <row r="19" spans="2:26">
      <c r="B19" s="817" t="s">
        <v>1305</v>
      </c>
      <c r="C19" s="826">
        <f t="shared" si="2"/>
        <v>0.37902305407032982</v>
      </c>
      <c r="D19" s="826">
        <f>100*C19/VLOOKUP(B19,'Country Summary (€)'!B:S,8,0)</f>
        <v>1.1075809063914073</v>
      </c>
      <c r="E19" s="827">
        <v>166000000</v>
      </c>
      <c r="F19" s="828">
        <f t="shared" si="4"/>
        <v>4543.878537929525</v>
      </c>
      <c r="G19" s="828">
        <f t="shared" si="5"/>
        <v>454.38785379295251</v>
      </c>
      <c r="H19" s="828"/>
      <c r="I19" s="829" t="s">
        <v>6133</v>
      </c>
      <c r="J19" s="830">
        <f t="shared" si="1"/>
        <v>33263.333333333328</v>
      </c>
      <c r="K19" s="830">
        <f t="shared" si="1"/>
        <v>36532.666666666664</v>
      </c>
      <c r="L19" s="831">
        <f>AVERAGEIFS('Refugees Recorded'!$E:$E,'Refugees Recorded'!$C:$C,'Refugee Cost Calculations'!$I19,'Refugees Recorded'!$F:$F,'Refugee Cost Calculations'!L$10,'Refugees Recorded'!$H:$H,'Refugee Cost Calculations'!L$9)</f>
        <v>39802</v>
      </c>
      <c r="M19" s="831">
        <f>AVERAGEIFS('Refugees Recorded'!$E:$E,'Refugees Recorded'!$C:$C,'Refugee Cost Calculations'!$I19,'Refugees Recorded'!$F:$F,'Refugee Cost Calculations'!M$10,'Refugees Recorded'!$H:$H,'Refugee Cost Calculations'!M$9)</f>
        <v>43071.333333333336</v>
      </c>
      <c r="N19" s="831">
        <f>AVERAGEIFS('Refugees Recorded'!$E:$E,'Refugees Recorded'!$C:$C,'Refugee Cost Calculations'!$I19,'Refugees Recorded'!$F:$F,'Refugee Cost Calculations'!N$10,'Refugees Recorded'!$H:$H,'Refugee Cost Calculations'!N$9)</f>
        <v>46218</v>
      </c>
      <c r="O19" s="831">
        <f>AVERAGEIFS('Refugees Recorded'!$E:$E,'Refugees Recorded'!$C:$C,'Refugee Cost Calculations'!$I19,'Refugees Recorded'!$F:$F,'Refugee Cost Calculations'!O$10,'Refugees Recorded'!$H:$H,'Refugee Cost Calculations'!O$9)</f>
        <v>49955.5</v>
      </c>
      <c r="P19" s="831">
        <f>AVERAGEIFS('Refugees Recorded'!$E:$E,'Refugees Recorded'!$C:$C,'Refugee Cost Calculations'!$I19,'Refugees Recorded'!$F:$F,'Refugee Cost Calculations'!P$10,'Refugees Recorded'!$H:$H,'Refugee Cost Calculations'!P$9)</f>
        <v>55931.4</v>
      </c>
      <c r="Q19" s="831">
        <f>AVERAGEIFS('Refugees Recorded'!$E:$E,'Refugees Recorded'!$C:$C,'Refugee Cost Calculations'!$I19,'Refugees Recorded'!$F:$F,'Refugee Cost Calculations'!Q$10,'Refugees Recorded'!$H:$H,'Refugee Cost Calculations'!Q$9)</f>
        <v>60640</v>
      </c>
      <c r="R19" s="831">
        <f>AVERAGEIFS('Refugees Recorded'!$E:$E,'Refugees Recorded'!$C:$C,'Refugee Cost Calculations'!$I19,'Refugees Recorded'!$F:$F,'Refugee Cost Calculations'!R$10,'Refugees Recorded'!$H:$H,'Refugee Cost Calculations'!R$9)</f>
        <v>62131</v>
      </c>
      <c r="S19" s="831">
        <f>AVERAGEIFS('Refugees Recorded'!$E:$E,'Refugees Recorded'!$C:$C,'Refugee Cost Calculations'!$I19,'Refugees Recorded'!$F:$F,'Refugee Cost Calculations'!S$10,'Refugees Recorded'!$H:$H,'Refugee Cost Calculations'!S$9)</f>
        <v>64501</v>
      </c>
      <c r="T19" s="831">
        <f>AVERAGEIFS('Refugees Recorded'!$E:$E,'Refugees Recorded'!$C:$C,'Refugee Cost Calculations'!$I19,'Refugees Recorded'!$F:$F,'Refugee Cost Calculations'!T$10,'Refugees Recorded'!$H:$H,'Refugee Cost Calculations'!T$9)</f>
        <v>65918.2</v>
      </c>
      <c r="U19" s="831">
        <f>AVERAGEIFS('Refugees Recorded'!$E:$E,'Refugees Recorded'!$C:$C,'Refugee Cost Calculations'!$I19,'Refugees Recorded'!$F:$F,'Refugee Cost Calculations'!U$10,'Refugees Recorded'!$H:$H,'Refugee Cost Calculations'!U$9)</f>
        <v>67422</v>
      </c>
      <c r="V19" s="831">
        <f>AVERAGEIFS('Refugees Recorded'!$E:$E,'Refugees Recorded'!$C:$C,'Refugee Cost Calculations'!$I19,'Refugees Recorded'!$F:$F,'Refugee Cost Calculations'!V$10,'Refugees Recorded'!$H:$H,'Refugee Cost Calculations'!V$9)</f>
        <v>68265.5</v>
      </c>
      <c r="W19" s="831">
        <f>AVERAGEIFS('Refugees Recorded'!$E:$E,'Refugees Recorded'!$C:$C,'Refugee Cost Calculations'!$I19,'Refugees Recorded'!$F:$F,'Refugee Cost Calculations'!W$10,'Refugees Recorded'!$H:$H,'Refugee Cost Calculations'!W$9)</f>
        <v>69273</v>
      </c>
      <c r="X19" s="831">
        <f>AVERAGEIFS('Refugees Recorded'!$E:$E,'Refugees Recorded'!$C:$C,'Refugee Cost Calculations'!$I19,'Refugees Recorded'!$F:$F,'Refugee Cost Calculations'!X$10,'Refugees Recorded'!$H:$H,'Refugee Cost Calculations'!X$9)</f>
        <v>71215</v>
      </c>
      <c r="Y19" s="831">
        <f>AVERAGEIFS('Refugees Recorded'!$E:$E,'Refugees Recorded'!$C:$C,'Refugee Cost Calculations'!$I19,'Refugees Recorded'!$F:$F,'Refugee Cost Calculations'!Y$10,'Refugees Recorded'!$H:$H,'Refugee Cost Calculations'!Y$9)</f>
        <v>48592</v>
      </c>
      <c r="Z19" s="831">
        <f>AVERAGEIFS('Refugees Recorded'!$E$174:$E$1129,'Refugees Recorded'!$C$174:$C$1129,'Refugee Cost Calculations'!$I19,'Refugees Recorded'!$F$174:$F$1129,'Refugee Cost Calculations'!Z$10,'Refugees Recorded'!$H$174:$H$1129,'Refugee Cost Calculations'!Z$9)</f>
        <v>68265.5</v>
      </c>
    </row>
    <row r="20" spans="2:26">
      <c r="B20" s="817" t="s">
        <v>1432</v>
      </c>
      <c r="C20" s="826">
        <f t="shared" si="2"/>
        <v>0.36984372161627144</v>
      </c>
      <c r="D20" s="826">
        <f>100*C20/VLOOKUP(B20,'Country Summary (€)'!B:S,8,0)</f>
        <v>0.13519798525633253</v>
      </c>
      <c r="E20" s="827">
        <v>166000000</v>
      </c>
      <c r="F20" s="828">
        <f t="shared" si="4"/>
        <v>6443.3489888599934</v>
      </c>
      <c r="G20" s="828">
        <f t="shared" si="5"/>
        <v>644.33489888599934</v>
      </c>
      <c r="H20" s="828"/>
      <c r="I20" s="829" t="s">
        <v>6134</v>
      </c>
      <c r="J20" s="830">
        <f t="shared" si="1"/>
        <v>25330</v>
      </c>
      <c r="K20" s="830">
        <f t="shared" si="1"/>
        <v>25763</v>
      </c>
      <c r="L20" s="831">
        <f>AVERAGEIFS('Refugees Recorded'!$E:$E,'Refugees Recorded'!$C:$C,'Refugee Cost Calculations'!$I20,'Refugees Recorded'!$F:$F,'Refugee Cost Calculations'!L$10,'Refugees Recorded'!$H:$H,'Refugee Cost Calculations'!L$9)</f>
        <v>26196</v>
      </c>
      <c r="M20" s="831">
        <f>AVERAGEIFS('Refugees Recorded'!$E:$E,'Refugees Recorded'!$C:$C,'Refugee Cost Calculations'!$I20,'Refugees Recorded'!$F:$F,'Refugee Cost Calculations'!M$10,'Refugees Recorded'!$H:$H,'Refugee Cost Calculations'!M$9)</f>
        <v>26629</v>
      </c>
      <c r="N20" s="831">
        <f>AVERAGEIFS('Refugees Recorded'!$E:$E,'Refugees Recorded'!$C:$C,'Refugee Cost Calculations'!$I20,'Refugees Recorded'!$F:$F,'Refugee Cost Calculations'!N$10,'Refugees Recorded'!$H:$H,'Refugee Cost Calculations'!N$9)</f>
        <v>30517.75</v>
      </c>
      <c r="O20" s="831">
        <f>AVERAGEIFS('Refugees Recorded'!$E:$E,'Refugees Recorded'!$C:$C,'Refugee Cost Calculations'!$I20,'Refugees Recorded'!$F:$F,'Refugee Cost Calculations'!O$10,'Refugees Recorded'!$H:$H,'Refugee Cost Calculations'!O$9)</f>
        <v>33159</v>
      </c>
      <c r="P20" s="831">
        <f>AVERAGEIFS('Refugees Recorded'!$E:$E,'Refugees Recorded'!$C:$C,'Refugee Cost Calculations'!$I20,'Refugees Recorded'!$F:$F,'Refugee Cost Calculations'!P$10,'Refugees Recorded'!$H:$H,'Refugee Cost Calculations'!P$9)</f>
        <v>38157.5</v>
      </c>
      <c r="Q20" s="831">
        <f>AVERAGEIFS('Refugees Recorded'!$E:$E,'Refugees Recorded'!$C:$C,'Refugee Cost Calculations'!$I20,'Refugees Recorded'!$F:$F,'Refugee Cost Calculations'!Q$10,'Refugees Recorded'!$H:$H,'Refugee Cost Calculations'!Q$9)</f>
        <v>38687</v>
      </c>
      <c r="R20" s="831">
        <f>AVERAGEIFS('Refugees Recorded'!$E:$E,'Refugees Recorded'!$C:$C,'Refugee Cost Calculations'!$I20,'Refugees Recorded'!$F:$F,'Refugee Cost Calculations'!R$10,'Refugees Recorded'!$H:$H,'Refugee Cost Calculations'!R$9)</f>
        <v>38588</v>
      </c>
      <c r="S20" s="831">
        <f>AVERAGEIFS('Refugees Recorded'!$E:$E,'Refugees Recorded'!$C:$C,'Refugee Cost Calculations'!$I20,'Refugees Recorded'!$F:$F,'Refugee Cost Calculations'!S$10,'Refugees Recorded'!$H:$H,'Refugee Cost Calculations'!S$9)</f>
        <v>47095.75</v>
      </c>
      <c r="T20" s="831">
        <f>AVERAGEIFS('Refugees Recorded'!$E:$E,'Refugees Recorded'!$C:$C,'Refugee Cost Calculations'!$I20,'Refugees Recorded'!$F:$F,'Refugee Cost Calculations'!T$10,'Refugees Recorded'!$H:$H,'Refugee Cost Calculations'!T$9)</f>
        <v>47067</v>
      </c>
      <c r="U20" s="831">
        <f>AVERAGEIFS('Refugees Recorded'!$E:$E,'Refugees Recorded'!$C:$C,'Refugee Cost Calculations'!$I20,'Refugees Recorded'!$F:$F,'Refugee Cost Calculations'!U$10,'Refugees Recorded'!$H:$H,'Refugee Cost Calculations'!U$9)</f>
        <v>47067</v>
      </c>
      <c r="V20" s="831">
        <f>AVERAGEIFS('Refugees Recorded'!$E:$E,'Refugees Recorded'!$C:$C,'Refugee Cost Calculations'!$I20,'Refugees Recorded'!$F:$F,'Refugee Cost Calculations'!V$10,'Refugees Recorded'!$H:$H,'Refugee Cost Calculations'!V$9)</f>
        <v>47067</v>
      </c>
      <c r="W20" s="831">
        <f>AVERAGEIFS('Refugees Recorded'!$E:$E,'Refugees Recorded'!$C:$C,'Refugee Cost Calculations'!$I20,'Refugees Recorded'!$F:$F,'Refugee Cost Calculations'!W$10,'Refugees Recorded'!$H:$H,'Refugee Cost Calculations'!W$9)</f>
        <v>47067</v>
      </c>
      <c r="X20" s="831">
        <f>AVERAGEIFS('Refugees Recorded'!$E:$E,'Refugees Recorded'!$C:$C,'Refugee Cost Calculations'!$I20,'Refugees Recorded'!$F:$F,'Refugee Cost Calculations'!X$10,'Refugees Recorded'!$H:$H,'Refugee Cost Calculations'!X$9)</f>
        <v>55602</v>
      </c>
      <c r="Y20" s="830">
        <f>X20+X20-W20</f>
        <v>64137</v>
      </c>
      <c r="Z20" s="831">
        <f>AVERAGEIFS('Refugees Recorded'!$E$174:$E$1129,'Refugees Recorded'!$C$174:$C$1129,'Refugee Cost Calculations'!$I20,'Refugees Recorded'!$F$174:$F$1129,'Refugee Cost Calculations'!Z$10,'Refugees Recorded'!$H$174:$H$1129,'Refugee Cost Calculations'!Z$9)</f>
        <v>47067</v>
      </c>
    </row>
    <row r="21" spans="2:26">
      <c r="B21" s="817" t="s">
        <v>1523</v>
      </c>
      <c r="C21" s="826">
        <f t="shared" si="2"/>
        <v>3.0290440854503466</v>
      </c>
      <c r="D21" s="826">
        <f>100*C21/VLOOKUP(B21,'Country Summary (€)'!B:S,8,0)</f>
        <v>0.11129475773170375</v>
      </c>
      <c r="E21" s="827">
        <v>706000000</v>
      </c>
      <c r="F21" s="828">
        <f t="shared" si="4"/>
        <v>16304.849884526559</v>
      </c>
      <c r="G21" s="828">
        <f t="shared" si="5"/>
        <v>1630.4849884526559</v>
      </c>
      <c r="H21" s="828"/>
      <c r="I21" s="832" t="s">
        <v>6135</v>
      </c>
      <c r="J21" s="830">
        <f t="shared" si="1"/>
        <v>20278</v>
      </c>
      <c r="K21" s="831">
        <f>AVERAGEIFS('Refugees Recorded'!$E:$E,'Refugees Recorded'!$C:$C,'Refugee Cost Calculations'!$I21,'Refugees Recorded'!$F:$F,'Refugee Cost Calculations'!K$10,'Refugees Recorded'!$H:$H,'Refugee Cost Calculations'!K$9)</f>
        <v>43300</v>
      </c>
      <c r="L21" s="830">
        <f>M21-0.5*K21</f>
        <v>66322</v>
      </c>
      <c r="M21" s="831">
        <f>AVERAGEIFS('Refugees Recorded'!$E:$E,'Refugees Recorded'!$C:$C,'Refugee Cost Calculations'!$I21,'Refugees Recorded'!$F:$F,'Refugee Cost Calculations'!M$10,'Refugees Recorded'!$H:$H,'Refugee Cost Calculations'!M$9)</f>
        <v>87972</v>
      </c>
      <c r="N21" s="831">
        <f>AVERAGEIFS('Refugees Recorded'!$E:$E,'Refugees Recorded'!$C:$C,'Refugee Cost Calculations'!$I21,'Refugees Recorded'!$F:$F,'Refugee Cost Calculations'!N$10,'Refugees Recorded'!$H:$H,'Refugee Cost Calculations'!N$9)</f>
        <v>92156</v>
      </c>
      <c r="O21" s="831">
        <f>AVERAGEIFS('Refugees Recorded'!$E:$E,'Refugees Recorded'!$C:$C,'Refugee Cost Calculations'!$I21,'Refugees Recorded'!$F:$F,'Refugee Cost Calculations'!O$10,'Refugees Recorded'!$H:$H,'Refugee Cost Calculations'!O$9)</f>
        <v>98944.5</v>
      </c>
      <c r="P21" s="831">
        <f>AVERAGEIFS('Refugees Recorded'!$E:$E,'Refugees Recorded'!$C:$C,'Refugee Cost Calculations'!$I21,'Refugees Recorded'!$F:$F,'Refugee Cost Calculations'!P$10,'Refugees Recorded'!$H:$H,'Refugee Cost Calculations'!P$9)</f>
        <v>105000</v>
      </c>
      <c r="Q21" s="831">
        <f>AVERAGEIFS('Refugees Recorded'!$E:$E,'Refugees Recorded'!$C:$C,'Refugee Cost Calculations'!$I21,'Refugees Recorded'!$F:$F,'Refugee Cost Calculations'!Q$10,'Refugees Recorded'!$H:$H,'Refugee Cost Calculations'!Q$9)</f>
        <v>118994</v>
      </c>
      <c r="R21" s="830">
        <f>Q21+Q21-P21</f>
        <v>132988</v>
      </c>
      <c r="S21" s="830">
        <f t="shared" ref="S21:Y21" si="6">R21+R21-Q21</f>
        <v>146982</v>
      </c>
      <c r="T21" s="830">
        <f t="shared" si="6"/>
        <v>160976</v>
      </c>
      <c r="U21" s="830">
        <f t="shared" si="6"/>
        <v>174970</v>
      </c>
      <c r="V21" s="830">
        <f t="shared" si="6"/>
        <v>188964</v>
      </c>
      <c r="W21" s="830">
        <f t="shared" si="6"/>
        <v>202958</v>
      </c>
      <c r="X21" s="830">
        <f t="shared" si="6"/>
        <v>216952</v>
      </c>
      <c r="Y21" s="830">
        <f t="shared" si="6"/>
        <v>230946</v>
      </c>
      <c r="Z21" s="831" t="e">
        <f>AVERAGEIFS('Refugees Recorded'!$E$174:$E$1129,'Refugees Recorded'!$C$174:$C$1129,'Refugee Cost Calculations'!$I21,'Refugees Recorded'!$F$174:$F$1129,'Refugee Cost Calculations'!Z$10,'Refugees Recorded'!$H$174:$H$1129,'Refugee Cost Calculations'!Z$9)</f>
        <v>#DIV/0!</v>
      </c>
    </row>
    <row r="22" spans="2:26">
      <c r="B22" s="817" t="s">
        <v>1711</v>
      </c>
      <c r="C22" s="826">
        <f t="shared" si="2"/>
        <v>13.899756883309282</v>
      </c>
      <c r="D22" s="826">
        <f>100*C22/VLOOKUP(B22,'Country Summary (€)'!B:S,8,0)</f>
        <v>0.35461236130297508</v>
      </c>
      <c r="E22" s="827">
        <v>6808000000</v>
      </c>
      <c r="F22" s="828">
        <f t="shared" si="4"/>
        <v>9823.9538239538233</v>
      </c>
      <c r="G22" s="828">
        <f t="shared" si="5"/>
        <v>982.39538239538228</v>
      </c>
      <c r="H22" s="828"/>
      <c r="I22" s="829" t="s">
        <v>6136</v>
      </c>
      <c r="J22" s="830">
        <f t="shared" si="1"/>
        <v>606000</v>
      </c>
      <c r="K22" s="830">
        <f t="shared" si="1"/>
        <v>693000</v>
      </c>
      <c r="L22" s="831">
        <f>AVERAGEIFS('Refugees Recorded'!$E:$E,'Refugees Recorded'!$C:$C,'Refugee Cost Calculations'!$I22,'Refugees Recorded'!$F:$F,'Refugee Cost Calculations'!L$10,'Refugees Recorded'!$H:$H,'Refugee Cost Calculations'!L$9)</f>
        <v>780000</v>
      </c>
      <c r="M22" s="831">
        <f>AVERAGEIFS('Refugees Recorded'!$E:$E,'Refugees Recorded'!$C:$C,'Refugee Cost Calculations'!$I22,'Refugees Recorded'!$F:$F,'Refugee Cost Calculations'!M$10,'Refugees Recorded'!$H:$H,'Refugee Cost Calculations'!M$9)</f>
        <v>867000</v>
      </c>
      <c r="N22" s="831">
        <f>AVERAGEIFS('Refugees Recorded'!$E:$E,'Refugees Recorded'!$C:$C,'Refugee Cost Calculations'!$I22,'Refugees Recorded'!$F:$F,'Refugee Cost Calculations'!N$10,'Refugees Recorded'!$H:$H,'Refugee Cost Calculations'!N$9)</f>
        <v>900333.33333333337</v>
      </c>
      <c r="O22" s="831">
        <f>AVERAGEIFS('Refugees Recorded'!$E:$E,'Refugees Recorded'!$C:$C,'Refugee Cost Calculations'!$I22,'Refugees Recorded'!$F:$F,'Refugee Cost Calculations'!O$10,'Refugees Recorded'!$H:$H,'Refugee Cost Calculations'!O$9)</f>
        <v>953600</v>
      </c>
      <c r="P22" s="831">
        <f>AVERAGEIFS('Refugees Recorded'!$E:$E,'Refugees Recorded'!$C:$C,'Refugee Cost Calculations'!$I22,'Refugees Recorded'!$F:$F,'Refugee Cost Calculations'!P$10,'Refugees Recorded'!$H:$H,'Refugee Cost Calculations'!P$9)</f>
        <v>997895</v>
      </c>
      <c r="Q22" s="831">
        <f>AVERAGEIFS('Refugees Recorded'!$E:$E,'Refugees Recorded'!$C:$C,'Refugee Cost Calculations'!$I22,'Refugees Recorded'!$F:$F,'Refugee Cost Calculations'!Q$10,'Refugees Recorded'!$H:$H,'Refugee Cost Calculations'!Q$9)</f>
        <v>1000281.5</v>
      </c>
      <c r="R22" s="831">
        <f>AVERAGEIFS('Refugees Recorded'!$E:$E,'Refugees Recorded'!$C:$C,'Refugee Cost Calculations'!$I22,'Refugees Recorded'!$F:$F,'Refugee Cost Calculations'!R$10,'Refugees Recorded'!$H:$H,'Refugee Cost Calculations'!R$9)</f>
        <v>1017545</v>
      </c>
      <c r="S22" s="830">
        <f>R22+0.5*(T22-R22)</f>
        <v>1036434</v>
      </c>
      <c r="T22" s="831">
        <f>AVERAGEIFS('Refugees Recorded'!$E:$E,'Refugees Recorded'!$C:$C,'Refugee Cost Calculations'!$I22,'Refugees Recorded'!$F:$F,'Refugee Cost Calculations'!T$10,'Refugees Recorded'!$H:$H,'Refugee Cost Calculations'!T$9)</f>
        <v>1055323</v>
      </c>
      <c r="U22" s="830">
        <f>S22+S22-R22</f>
        <v>1055323</v>
      </c>
      <c r="V22" s="831">
        <f>AVERAGEIFS('Refugees Recorded'!$E:$E,'Refugees Recorded'!$C:$C,'Refugee Cost Calculations'!$I22,'Refugees Recorded'!$F:$F,'Refugee Cost Calculations'!V$10,'Refugees Recorded'!$H:$H,'Refugee Cost Calculations'!V$9)</f>
        <v>1056628</v>
      </c>
      <c r="W22" s="831">
        <f>AVERAGEIFS('Refugees Recorded'!$E:$E,'Refugees Recorded'!$C:$C,'Refugee Cost Calculations'!$I22,'Refugees Recorded'!$F:$F,'Refugee Cost Calculations'!W$10,'Refugees Recorded'!$H:$H,'Refugee Cost Calculations'!W$9)</f>
        <v>1061623</v>
      </c>
      <c r="X22" s="831">
        <f>AVERAGEIFS('Refugees Recorded'!$E:$E,'Refugees Recorded'!$C:$C,'Refugee Cost Calculations'!$I22,'Refugees Recorded'!$F:$F,'Refugee Cost Calculations'!X$10,'Refugees Recorded'!$H:$H,'Refugee Cost Calculations'!X$9)</f>
        <v>1067856</v>
      </c>
      <c r="Y22" s="831">
        <f>AVERAGEIFS('Refugees Recorded'!$E:$E,'Refugees Recorded'!$C:$C,'Refugee Cost Calculations'!$I22,'Refugees Recorded'!$F:$F,'Refugee Cost Calculations'!Y$10,'Refugees Recorded'!$H:$H,'Refugee Cost Calculations'!Y$9)</f>
        <v>1069729</v>
      </c>
      <c r="Z22" s="831">
        <f>AVERAGEIFS('Refugees Recorded'!$E$174:$E$1129,'Refugees Recorded'!$C$174:$C$1129,'Refugee Cost Calculations'!$I22,'Refugees Recorded'!$F$174:$F$1129,'Refugee Cost Calculations'!Z$10,'Refugees Recorded'!$H$174:$H$1129,'Refugee Cost Calculations'!Z$9)</f>
        <v>1056628</v>
      </c>
    </row>
    <row r="23" spans="2:26">
      <c r="B23" s="817" t="s">
        <v>1973</v>
      </c>
      <c r="C23" s="826">
        <f t="shared" si="2"/>
        <v>0.18895663988249528</v>
      </c>
      <c r="D23" s="826">
        <f>100*C23/VLOOKUP(B23,'Country Summary (€)'!B:S,8,0)</f>
        <v>9.5571447019656766E-2</v>
      </c>
      <c r="E23" s="827">
        <v>78000000</v>
      </c>
      <c r="F23" s="828">
        <f t="shared" si="4"/>
        <v>6739.2431311560395</v>
      </c>
      <c r="G23" s="828">
        <f t="shared" si="5"/>
        <v>673.92431311560392</v>
      </c>
      <c r="H23" s="828"/>
      <c r="I23" s="829" t="s">
        <v>6137</v>
      </c>
      <c r="J23" s="830">
        <f t="shared" si="1"/>
        <v>9748</v>
      </c>
      <c r="K23" s="830">
        <f t="shared" si="1"/>
        <v>11574</v>
      </c>
      <c r="L23" s="831">
        <f>AVERAGEIFS('Refugees Recorded'!$E:$E,'Refugees Recorded'!$C:$C,'Refugee Cost Calculations'!$I23,'Refugees Recorded'!$F:$F,'Refugee Cost Calculations'!L$10,'Refugees Recorded'!$H:$H,'Refugee Cost Calculations'!L$9)</f>
        <v>13400</v>
      </c>
      <c r="M23" s="831">
        <f>AVERAGEIFS('Refugees Recorded'!$E:$E,'Refugees Recorded'!$C:$C,'Refugee Cost Calculations'!$I23,'Refugees Recorded'!$F:$F,'Refugee Cost Calculations'!M$10,'Refugees Recorded'!$H:$H,'Refugee Cost Calculations'!M$9)</f>
        <v>15226</v>
      </c>
      <c r="N23" s="831">
        <f>AVERAGEIFS('Refugees Recorded'!$E:$E,'Refugees Recorded'!$C:$C,'Refugee Cost Calculations'!$I23,'Refugees Recorded'!$F:$F,'Refugee Cost Calculations'!N$10,'Refugees Recorded'!$H:$H,'Refugee Cost Calculations'!N$9)</f>
        <v>17142.666666666668</v>
      </c>
      <c r="O23" s="831">
        <f>AVERAGEIFS('Refugees Recorded'!$E:$E,'Refugees Recorded'!$C:$C,'Refugee Cost Calculations'!$I23,'Refugees Recorded'!$F:$F,'Refugee Cost Calculations'!O$10,'Refugees Recorded'!$H:$H,'Refugee Cost Calculations'!O$9)</f>
        <v>18454</v>
      </c>
      <c r="P23" s="831">
        <f>AVERAGEIFS('Refugees Recorded'!$E:$E,'Refugees Recorded'!$C:$C,'Refugee Cost Calculations'!$I23,'Refugees Recorded'!$F:$F,'Refugee Cost Calculations'!P$10,'Refugees Recorded'!$H:$H,'Refugee Cost Calculations'!P$9)</f>
        <v>19059.25</v>
      </c>
      <c r="Q23" s="831">
        <f>AVERAGEIFS('Refugees Recorded'!$E:$E,'Refugees Recorded'!$C:$C,'Refugee Cost Calculations'!$I23,'Refugees Recorded'!$F:$F,'Refugee Cost Calculations'!Q$10,'Refugees Recorded'!$H:$H,'Refugee Cost Calculations'!Q$9)</f>
        <v>19833.666666666668</v>
      </c>
      <c r="R23" s="831">
        <f>AVERAGEIFS('Refugees Recorded'!$E:$E,'Refugees Recorded'!$C:$C,'Refugee Cost Calculations'!$I23,'Refugees Recorded'!$F:$F,'Refugee Cost Calculations'!R$10,'Refugees Recorded'!$H:$H,'Refugee Cost Calculations'!R$9)</f>
        <v>19997</v>
      </c>
      <c r="S23" s="831">
        <f>AVERAGEIFS('Refugees Recorded'!$E:$E,'Refugees Recorded'!$C:$C,'Refugee Cost Calculations'!$I23,'Refugees Recorded'!$F:$F,'Refugee Cost Calculations'!S$10,'Refugees Recorded'!$H:$H,'Refugee Cost Calculations'!S$9)</f>
        <v>20955</v>
      </c>
      <c r="T23" s="830">
        <f>S23+(V23-S23)*1/3</f>
        <v>21538</v>
      </c>
      <c r="U23" s="830">
        <f>S23+(V23-S23)*2/3</f>
        <v>22121</v>
      </c>
      <c r="V23" s="831">
        <f>AVERAGEIFS('Refugees Recorded'!$E:$E,'Refugees Recorded'!$C:$C,'Refugee Cost Calculations'!$I23,'Refugees Recorded'!$F:$F,'Refugee Cost Calculations'!V$10,'Refugees Recorded'!$H:$H,'Refugee Cost Calculations'!V$9)</f>
        <v>22704</v>
      </c>
      <c r="W23" s="831">
        <f>AVERAGEIFS('Refugees Recorded'!$E:$E,'Refugees Recorded'!$C:$C,'Refugee Cost Calculations'!$I23,'Refugees Recorded'!$F:$F,'Refugee Cost Calculations'!W$10,'Refugees Recorded'!$H:$H,'Refugee Cost Calculations'!W$9)</f>
        <v>23778</v>
      </c>
      <c r="X23" s="830">
        <f>W23+W23-V23</f>
        <v>24852</v>
      </c>
      <c r="Y23" s="830">
        <f>X23+X23-W23</f>
        <v>25926</v>
      </c>
      <c r="Z23" s="831">
        <f>AVERAGEIFS('Refugees Recorded'!$E$174:$E$1129,'Refugees Recorded'!$C$174:$C$1129,'Refugee Cost Calculations'!$I23,'Refugees Recorded'!$F$174:$F$1129,'Refugee Cost Calculations'!Z$10,'Refugees Recorded'!$H$174:$H$1129,'Refugee Cost Calculations'!Z$9)</f>
        <v>22704</v>
      </c>
    </row>
    <row r="24" spans="2:26">
      <c r="B24" s="817" t="s">
        <v>2028</v>
      </c>
      <c r="C24" s="826">
        <f t="shared" si="2"/>
        <v>0.84245265988488527</v>
      </c>
      <c r="D24" s="826">
        <f>100*C24/VLOOKUP(B24,'Country Summary (€)'!B:S,8,0)</f>
        <v>0.50348501980697491</v>
      </c>
      <c r="E24" s="827">
        <v>372000000</v>
      </c>
      <c r="F24" s="828">
        <f t="shared" si="4"/>
        <v>17026.924969390442</v>
      </c>
      <c r="G24" s="828">
        <f>F24/10</f>
        <v>1702.6924969390443</v>
      </c>
      <c r="H24" s="828"/>
      <c r="I24" s="829" t="s">
        <v>6138</v>
      </c>
      <c r="J24" s="830">
        <f t="shared" si="1"/>
        <v>20348.5</v>
      </c>
      <c r="K24" s="830">
        <f t="shared" si="1"/>
        <v>21847.75</v>
      </c>
      <c r="L24" s="831">
        <f>AVERAGEIFS('Refugees Recorded'!$E:$E,'Refugees Recorded'!$C:$C,'Refugee Cost Calculations'!$I24,'Refugees Recorded'!$F:$F,'Refugee Cost Calculations'!L$10,'Refugees Recorded'!$H:$H,'Refugee Cost Calculations'!L$9)</f>
        <v>23347</v>
      </c>
      <c r="M24" s="831">
        <f>AVERAGEIFS('Refugees Recorded'!$E:$E,'Refugees Recorded'!$C:$C,'Refugee Cost Calculations'!$I24,'Refugees Recorded'!$F:$F,'Refugee Cost Calculations'!M$10,'Refugees Recorded'!$H:$H,'Refugee Cost Calculations'!M$9)</f>
        <v>24846.25</v>
      </c>
      <c r="N24" s="831">
        <f>AVERAGEIFS('Refugees Recorded'!$E:$E,'Refugees Recorded'!$C:$C,'Refugee Cost Calculations'!$I24,'Refugees Recorded'!$F:$F,'Refugee Cost Calculations'!N$10,'Refugees Recorded'!$H:$H,'Refugee Cost Calculations'!N$9)</f>
        <v>26752.5</v>
      </c>
      <c r="O24" s="831">
        <f>AVERAGEIFS('Refugees Recorded'!$E:$E,'Refugees Recorded'!$C:$C,'Refugee Cost Calculations'!$I24,'Refugees Recorded'!$F:$F,'Refugee Cost Calculations'!O$10,'Refugees Recorded'!$H:$H,'Refugee Cost Calculations'!O$9)</f>
        <v>28294.799999999999</v>
      </c>
      <c r="P24" s="831">
        <f>AVERAGEIFS('Refugees Recorded'!$E:$E,'Refugees Recorded'!$C:$C,'Refugee Cost Calculations'!$I24,'Refugees Recorded'!$F:$F,'Refugee Cost Calculations'!P$10,'Refugees Recorded'!$H:$H,'Refugee Cost Calculations'!P$9)</f>
        <v>29560.75</v>
      </c>
      <c r="Q24" s="831">
        <f>AVERAGEIFS('Refugees Recorded'!$E:$E,'Refugees Recorded'!$C:$C,'Refugee Cost Calculations'!$I24,'Refugees Recorded'!$F:$F,'Refugee Cost Calculations'!Q$10,'Refugees Recorded'!$H:$H,'Refugee Cost Calculations'!Q$9)</f>
        <v>30322.5</v>
      </c>
      <c r="R24" s="831">
        <f>AVERAGEIFS('Refugees Recorded'!$E:$E,'Refugees Recorded'!$C:$C,'Refugee Cost Calculations'!$I24,'Refugees Recorded'!$F:$F,'Refugee Cost Calculations'!R$10,'Refugees Recorded'!$H:$H,'Refugee Cost Calculations'!R$9)</f>
        <v>31822.2</v>
      </c>
      <c r="S24" s="831">
        <f>AVERAGEIFS('Refugees Recorded'!$E:$E,'Refugees Recorded'!$C:$C,'Refugee Cost Calculations'!$I24,'Refugees Recorded'!$F:$F,'Refugee Cost Calculations'!S$10,'Refugees Recorded'!$H:$H,'Refugee Cost Calculations'!S$9)</f>
        <v>32886.5</v>
      </c>
      <c r="T24" s="831">
        <f>AVERAGEIFS('Refugees Recorded'!$E:$E,'Refugees Recorded'!$C:$C,'Refugee Cost Calculations'!$I24,'Refugees Recorded'!$F:$F,'Refugee Cost Calculations'!T$10,'Refugees Recorded'!$H:$H,'Refugee Cost Calculations'!T$9)</f>
        <v>33492</v>
      </c>
      <c r="U24" s="831">
        <f>AVERAGEIFS('Refugees Recorded'!$E:$E,'Refugees Recorded'!$C:$C,'Refugee Cost Calculations'!$I24,'Refugees Recorded'!$F:$F,'Refugee Cost Calculations'!U$10,'Refugees Recorded'!$H:$H,'Refugee Cost Calculations'!U$9)</f>
        <v>34248</v>
      </c>
      <c r="V24" s="830">
        <f>U24+0.5*(W24-U24)</f>
        <v>43292</v>
      </c>
      <c r="W24" s="831">
        <f>AVERAGEIFS('Refugees Recorded'!$E:$E,'Refugees Recorded'!$C:$C,'Refugee Cost Calculations'!$I24,'Refugees Recorded'!$F:$F,'Refugee Cost Calculations'!W$10,'Refugees Recorded'!$H:$H,'Refugee Cost Calculations'!W$9)</f>
        <v>52336</v>
      </c>
      <c r="X24" s="830">
        <f t="shared" ref="X24:Y25" si="7">W24+W24-V24</f>
        <v>61380</v>
      </c>
      <c r="Y24" s="830">
        <f t="shared" si="7"/>
        <v>70424</v>
      </c>
      <c r="Z24" s="831" t="e">
        <f>AVERAGEIFS('Refugees Recorded'!$E$174:$E$1129,'Refugees Recorded'!$C$174:$C$1129,'Refugee Cost Calculations'!$I24,'Refugees Recorded'!$F$174:$F$1129,'Refugee Cost Calculations'!Z$10,'Refugees Recorded'!$H$174:$H$1129,'Refugee Cost Calculations'!Z$9)</f>
        <v>#DIV/0!</v>
      </c>
    </row>
    <row r="25" spans="2:26">
      <c r="B25" s="817" t="s">
        <v>2139</v>
      </c>
      <c r="C25" s="826">
        <f t="shared" si="2"/>
        <v>2.5705819746376812E-2</v>
      </c>
      <c r="D25" s="826">
        <f>100*C25/VLOOKUP(B25,'Country Summary (€)'!B:S,8,0)</f>
        <v>0.10911892610946025</v>
      </c>
      <c r="E25" s="827" t="s">
        <v>5031</v>
      </c>
      <c r="F25" s="828">
        <v>9249.9280161243878</v>
      </c>
      <c r="G25" s="828">
        <f>F25/10</f>
        <v>924.99280161243883</v>
      </c>
      <c r="H25" s="828"/>
      <c r="I25" s="829" t="s">
        <v>6139</v>
      </c>
      <c r="J25" s="830">
        <f t="shared" ref="J25" si="8">K25+K25-L25</f>
        <v>851.66666666666652</v>
      </c>
      <c r="K25" s="830">
        <f t="shared" ref="K25" si="9">L25+L25-M25</f>
        <v>924.33333333333326</v>
      </c>
      <c r="L25" s="831">
        <f>AVERAGEIFS('Refugees Recorded'!$E:$E,'Refugees Recorded'!$C:$C,'Refugee Cost Calculations'!$I25,'Refugees Recorded'!$F:$F,'Refugee Cost Calculations'!L$10,'Refugees Recorded'!$H:$H,'Refugee Cost Calculations'!L$9)</f>
        <v>997</v>
      </c>
      <c r="M25" s="831">
        <f>AVERAGEIFS('Refugees Recorded'!$E:$E,'Refugees Recorded'!$C:$C,'Refugee Cost Calculations'!$I25,'Refugees Recorded'!$F:$F,'Refugee Cost Calculations'!M$10,'Refugees Recorded'!$H:$H,'Refugee Cost Calculations'!M$9)</f>
        <v>1069.6666666666667</v>
      </c>
      <c r="N25" s="831">
        <f>AVERAGEIFS('Refugees Recorded'!$E:$E,'Refugees Recorded'!$C:$C,'Refugee Cost Calculations'!$I25,'Refugees Recorded'!$F:$F,'Refugee Cost Calculations'!N$10,'Refugees Recorded'!$H:$H,'Refugee Cost Calculations'!N$9)</f>
        <v>1215</v>
      </c>
      <c r="O25" s="831">
        <f>AVERAGEIFS('Refugees Recorded'!$E:$E,'Refugees Recorded'!$C:$C,'Refugee Cost Calculations'!$I25,'Refugees Recorded'!$F:$F,'Refugee Cost Calculations'!O$10,'Refugees Recorded'!$H:$H,'Refugee Cost Calculations'!O$9)</f>
        <v>1357.5</v>
      </c>
      <c r="P25" s="831">
        <f>AVERAGEIFS('Refugees Recorded'!$E:$E,'Refugees Recorded'!$C:$C,'Refugee Cost Calculations'!$I25,'Refugees Recorded'!$F:$F,'Refugee Cost Calculations'!P$10,'Refugees Recorded'!$H:$H,'Refugee Cost Calculations'!P$9)</f>
        <v>1570</v>
      </c>
      <c r="Q25" s="831">
        <f>AVERAGEIFS('Refugees Recorded'!$E:$E,'Refugees Recorded'!$C:$C,'Refugee Cost Calculations'!$I25,'Refugees Recorded'!$F:$F,'Refugee Cost Calculations'!Q$10,'Refugees Recorded'!$H:$H,'Refugee Cost Calculations'!Q$9)</f>
        <v>1734.5</v>
      </c>
      <c r="R25" s="831">
        <f>AVERAGEIFS('Refugees Recorded'!$E:$E,'Refugees Recorded'!$C:$C,'Refugee Cost Calculations'!$I25,'Refugees Recorded'!$F:$F,'Refugee Cost Calculations'!R$10,'Refugees Recorded'!$H:$H,'Refugee Cost Calculations'!R$9)</f>
        <v>1766</v>
      </c>
      <c r="S25" s="831">
        <f>AVERAGEIFS('Refugees Recorded'!$E:$E,'Refugees Recorded'!$C:$C,'Refugee Cost Calculations'!$I25,'Refugees Recorded'!$F:$F,'Refugee Cost Calculations'!S$10,'Refugees Recorded'!$H:$H,'Refugee Cost Calculations'!S$9)</f>
        <v>2175.75</v>
      </c>
      <c r="T25" s="830">
        <f>S25+0.5*(U25-S25)</f>
        <v>2424.875</v>
      </c>
      <c r="U25" s="831">
        <f>AVERAGEIFS('Refugees Recorded'!$E:$E,'Refugees Recorded'!$C:$C,'Refugee Cost Calculations'!$I25,'Refugees Recorded'!$F:$F,'Refugee Cost Calculations'!U$10,'Refugees Recorded'!$H:$H,'Refugee Cost Calculations'!U$9)</f>
        <v>2674</v>
      </c>
      <c r="V25" s="830">
        <f>U25+0.5*(W25-U25)</f>
        <v>2842</v>
      </c>
      <c r="W25" s="831">
        <f>AVERAGEIFS('Refugees Recorded'!$E:$E,'Refugees Recorded'!$C:$C,'Refugee Cost Calculations'!$I25,'Refugees Recorded'!$F:$F,'Refugee Cost Calculations'!W$10,'Refugees Recorded'!$H:$H,'Refugee Cost Calculations'!W$9)</f>
        <v>3010</v>
      </c>
      <c r="X25" s="830">
        <f t="shared" si="7"/>
        <v>3178</v>
      </c>
      <c r="Y25" s="830">
        <f t="shared" si="7"/>
        <v>3346</v>
      </c>
      <c r="Z25" s="831"/>
    </row>
    <row r="26" spans="2:26">
      <c r="B26" s="817" t="s">
        <v>2096</v>
      </c>
      <c r="C26" s="826">
        <f t="shared" si="2"/>
        <v>0.85015138444653515</v>
      </c>
      <c r="D26" s="826">
        <f>100*C26/VLOOKUP(B26,'Country Summary (€)'!B:S,8,0)</f>
        <v>0.18325593120704076</v>
      </c>
      <c r="E26" s="827">
        <v>297000000</v>
      </c>
      <c r="F26" s="828">
        <f t="shared" si="4"/>
        <v>10348.071495766699</v>
      </c>
      <c r="G26" s="828">
        <f t="shared" si="5"/>
        <v>1034.8071495766699</v>
      </c>
      <c r="H26" s="828"/>
      <c r="I26" s="829" t="s">
        <v>6140</v>
      </c>
      <c r="J26" s="830">
        <f t="shared" si="1"/>
        <v>24981</v>
      </c>
      <c r="K26" s="830">
        <f t="shared" si="1"/>
        <v>28701</v>
      </c>
      <c r="L26" s="831">
        <f>AVERAGEIFS('Refugees Recorded'!$E:$E,'Refugees Recorded'!$C:$C,'Refugee Cost Calculations'!$I26,'Refugees Recorded'!$F:$F,'Refugee Cost Calculations'!L$10,'Refugees Recorded'!$H:$H,'Refugee Cost Calculations'!L$9)</f>
        <v>32421</v>
      </c>
      <c r="M26" s="831">
        <f>AVERAGEIFS('Refugees Recorded'!$E:$E,'Refugees Recorded'!$C:$C,'Refugee Cost Calculations'!$I26,'Refugees Recorded'!$F:$F,'Refugee Cost Calculations'!M$10,'Refugees Recorded'!$H:$H,'Refugee Cost Calculations'!M$9)</f>
        <v>36141</v>
      </c>
      <c r="N26" s="831">
        <f>AVERAGEIFS('Refugees Recorded'!$E:$E,'Refugees Recorded'!$C:$C,'Refugee Cost Calculations'!$I26,'Refugees Recorded'!$F:$F,'Refugee Cost Calculations'!N$10,'Refugees Recorded'!$H:$H,'Refugee Cost Calculations'!N$9)</f>
        <v>41114</v>
      </c>
      <c r="O26" s="831">
        <f>AVERAGEIFS('Refugees Recorded'!$E:$E,'Refugees Recorded'!$C:$C,'Refugee Cost Calculations'!$I26,'Refugees Recorded'!$F:$F,'Refugee Cost Calculations'!O$10,'Refugees Recorded'!$H:$H,'Refugee Cost Calculations'!O$9)</f>
        <v>45046.2</v>
      </c>
      <c r="P26" s="831">
        <f>AVERAGEIFS('Refugees Recorded'!$E:$E,'Refugees Recorded'!$C:$C,'Refugee Cost Calculations'!$I26,'Refugees Recorded'!$F:$F,'Refugee Cost Calculations'!P$10,'Refugees Recorded'!$H:$H,'Refugee Cost Calculations'!P$9)</f>
        <v>49999</v>
      </c>
      <c r="Q26" s="831">
        <f>AVERAGEIFS('Refugees Recorded'!$E:$E,'Refugees Recorded'!$C:$C,'Refugee Cost Calculations'!$I26,'Refugees Recorded'!$F:$F,'Refugee Cost Calculations'!Q$10,'Refugees Recorded'!$H:$H,'Refugee Cost Calculations'!Q$9)</f>
        <v>54460.333333333336</v>
      </c>
      <c r="R26" s="831">
        <f>AVERAGEIFS('Refugees Recorded'!$E:$E,'Refugees Recorded'!$C:$C,'Refugee Cost Calculations'!$I26,'Refugees Recorded'!$F:$F,'Refugee Cost Calculations'!R$10,'Refugees Recorded'!$H:$H,'Refugee Cost Calculations'!R$9)</f>
        <v>57632.333333333336</v>
      </c>
      <c r="S26" s="831">
        <f>AVERAGEIFS('Refugees Recorded'!$E:$E,'Refugees Recorded'!$C:$C,'Refugee Cost Calculations'!$I26,'Refugees Recorded'!$F:$F,'Refugee Cost Calculations'!S$10,'Refugees Recorded'!$H:$H,'Refugee Cost Calculations'!S$9)</f>
        <v>61400.75</v>
      </c>
      <c r="T26" s="831">
        <f>AVERAGEIFS('Refugees Recorded'!$E:$E,'Refugees Recorded'!$C:$C,'Refugee Cost Calculations'!$I26,'Refugees Recorded'!$F:$F,'Refugee Cost Calculations'!T$10,'Refugees Recorded'!$H:$H,'Refugee Cost Calculations'!T$9)</f>
        <v>71607.600000000006</v>
      </c>
      <c r="U26" s="831">
        <f>AVERAGEIFS('Refugees Recorded'!$E:$E,'Refugees Recorded'!$C:$C,'Refugee Cost Calculations'!$I26,'Refugees Recorded'!$F:$F,'Refugee Cost Calculations'!U$10,'Refugees Recorded'!$H:$H,'Refugee Cost Calculations'!U$9)</f>
        <v>75260</v>
      </c>
      <c r="V26" s="831">
        <f>AVERAGEIFS('Refugees Recorded'!$E:$E,'Refugees Recorded'!$C:$C,'Refugee Cost Calculations'!$I26,'Refugees Recorded'!$F:$F,'Refugee Cost Calculations'!V$10,'Refugees Recorded'!$H:$H,'Refugee Cost Calculations'!V$9)</f>
        <v>78101.333333333328</v>
      </c>
      <c r="W26" s="831">
        <f>AVERAGEIFS('Refugees Recorded'!$E:$E,'Refugees Recorded'!$C:$C,'Refugee Cost Calculations'!$I26,'Refugees Recorded'!$F:$F,'Refugee Cost Calculations'!W$10,'Refugees Recorded'!$H:$H,'Refugee Cost Calculations'!W$9)</f>
        <v>81154.5</v>
      </c>
      <c r="X26" s="831">
        <f>AVERAGEIFS('Refugees Recorded'!$E:$E,'Refugees Recorded'!$C:$C,'Refugee Cost Calculations'!$I26,'Refugees Recorded'!$F:$F,'Refugee Cost Calculations'!X$10,'Refugees Recorded'!$H:$H,'Refugee Cost Calculations'!X$9)</f>
        <v>83535.333333333328</v>
      </c>
      <c r="Y26" s="831">
        <f>AVERAGEIFS('Refugees Recorded'!$E:$E,'Refugees Recorded'!$C:$C,'Refugee Cost Calculations'!$I26,'Refugees Recorded'!$F:$F,'Refugee Cost Calculations'!Y$10,'Refugees Recorded'!$H:$H,'Refugee Cost Calculations'!Y$9)</f>
        <v>84523</v>
      </c>
      <c r="Z26" s="831">
        <f>AVERAGEIFS('Refugees Recorded'!$E$174:$E$1129,'Refugees Recorded'!$C$174:$C$1129,'Refugee Cost Calculations'!$I26,'Refugees Recorded'!$F$174:$F$1129,'Refugee Cost Calculations'!Z$10,'Refugees Recorded'!$H$174:$H$1129,'Refugee Cost Calculations'!Z$9)</f>
        <v>78101.333333333328</v>
      </c>
    </row>
    <row r="27" spans="2:26">
      <c r="B27" s="817" t="s">
        <v>2204</v>
      </c>
      <c r="C27" s="826">
        <f t="shared" si="2"/>
        <v>1.5020308887716507</v>
      </c>
      <c r="D27" s="826">
        <f>100*C27/VLOOKUP(B27,'Country Summary (€)'!B:S,8,0)</f>
        <v>7.7449588095128974E-2</v>
      </c>
      <c r="E27" s="827">
        <v>737000000</v>
      </c>
      <c r="F27" s="828">
        <f t="shared" si="4"/>
        <v>6374.1091814848132</v>
      </c>
      <c r="G27" s="828">
        <f t="shared" si="5"/>
        <v>637.4109181484813</v>
      </c>
      <c r="H27" s="828"/>
      <c r="I27" s="829" t="s">
        <v>6141</v>
      </c>
      <c r="J27" s="830">
        <f t="shared" si="1"/>
        <v>105341</v>
      </c>
      <c r="K27" s="830">
        <f t="shared" si="1"/>
        <v>115624</v>
      </c>
      <c r="L27" s="831">
        <f>AVERAGEIFS('Refugees Recorded'!$E:$E,'Refugees Recorded'!$C:$C,'Refugee Cost Calculations'!$I27,'Refugees Recorded'!$F:$F,'Refugee Cost Calculations'!L$10,'Refugees Recorded'!$H:$H,'Refugee Cost Calculations'!L$9)</f>
        <v>125907</v>
      </c>
      <c r="M27" s="831">
        <f>AVERAGEIFS('Refugees Recorded'!$E:$E,'Refugees Recorded'!$C:$C,'Refugee Cost Calculations'!$I27,'Refugees Recorded'!$F:$F,'Refugee Cost Calculations'!M$10,'Refugees Recorded'!$H:$H,'Refugee Cost Calculations'!M$9)</f>
        <v>136190</v>
      </c>
      <c r="N27" s="831">
        <f>AVERAGEIFS('Refugees Recorded'!$E:$E,'Refugees Recorded'!$C:$C,'Refugee Cost Calculations'!$I27,'Refugees Recorded'!$F:$F,'Refugee Cost Calculations'!N$10,'Refugees Recorded'!$H:$H,'Refugee Cost Calculations'!N$9)</f>
        <v>149310</v>
      </c>
      <c r="O27" s="831">
        <f>AVERAGEIFS('Refugees Recorded'!$E:$E,'Refugees Recorded'!$C:$C,'Refugee Cost Calculations'!$I27,'Refugees Recorded'!$F:$F,'Refugee Cost Calculations'!O$10,'Refugees Recorded'!$H:$H,'Refugee Cost Calculations'!O$9)</f>
        <v>159436.20000000001</v>
      </c>
      <c r="P27" s="831">
        <f>AVERAGEIFS('Refugees Recorded'!$E:$E,'Refugees Recorded'!$C:$C,'Refugee Cost Calculations'!$I27,'Refugees Recorded'!$F:$F,'Refugee Cost Calculations'!P$10,'Refugees Recorded'!$H:$H,'Refugee Cost Calculations'!P$9)</f>
        <v>162637.5</v>
      </c>
      <c r="Q27" s="831">
        <f>AVERAGEIFS('Refugees Recorded'!$E:$E,'Refugees Recorded'!$C:$C,'Refugee Cost Calculations'!$I27,'Refugees Recorded'!$F:$F,'Refugee Cost Calculations'!Q$10,'Refugees Recorded'!$H:$H,'Refugee Cost Calculations'!Q$9)</f>
        <v>171246</v>
      </c>
      <c r="R27" s="831">
        <f>AVERAGEIFS('Refugees Recorded'!$E:$E,'Refugees Recorded'!$C:$C,'Refugee Cost Calculations'!$I27,'Refugees Recorded'!$F:$F,'Refugee Cost Calculations'!R$10,'Refugees Recorded'!$H:$H,'Refugee Cost Calculations'!R$9)</f>
        <v>173231</v>
      </c>
      <c r="S27" s="831">
        <f>AVERAGEIFS('Refugees Recorded'!$E:$E,'Refugees Recorded'!$C:$C,'Refugee Cost Calculations'!$I27,'Refugees Recorded'!$F:$F,'Refugee Cost Calculations'!S$10,'Refugees Recorded'!$H:$H,'Refugee Cost Calculations'!S$9)</f>
        <v>172169.8</v>
      </c>
      <c r="T27" s="831">
        <f>AVERAGEIFS('Refugees Recorded'!$E:$E,'Refugees Recorded'!$C:$C,'Refugee Cost Calculations'!$I27,'Refugees Recorded'!$F:$F,'Refugee Cost Calculations'!T$10,'Refugees Recorded'!$H:$H,'Refugee Cost Calculations'!T$9)</f>
        <v>169022.66666666666</v>
      </c>
      <c r="U27" s="831">
        <f>AVERAGEIFS('Refugees Recorded'!$E:$E,'Refugees Recorded'!$C:$C,'Refugee Cost Calculations'!$I27,'Refugees Recorded'!$F:$F,'Refugee Cost Calculations'!U$10,'Refugees Recorded'!$H:$H,'Refugee Cost Calculations'!U$9)</f>
        <v>171739</v>
      </c>
      <c r="V27" s="831">
        <f>AVERAGEIFS('Refugees Recorded'!$E:$E,'Refugees Recorded'!$C:$C,'Refugee Cost Calculations'!$I27,'Refugees Recorded'!$F:$F,'Refugee Cost Calculations'!V$10,'Refugees Recorded'!$H:$H,'Refugee Cost Calculations'!V$9)</f>
        <v>173213</v>
      </c>
      <c r="W27" s="831">
        <f>AVERAGEIFS('Refugees Recorded'!$E:$E,'Refugees Recorded'!$C:$C,'Refugee Cost Calculations'!$I27,'Refugees Recorded'!$F:$F,'Refugee Cost Calculations'!W$10,'Refugees Recorded'!$H:$H,'Refugee Cost Calculations'!W$9)</f>
        <v>181534</v>
      </c>
      <c r="X27" s="830">
        <f>W27+W27-V27</f>
        <v>189855</v>
      </c>
      <c r="Y27" s="830">
        <f>X27+X27-W27</f>
        <v>198176</v>
      </c>
      <c r="Z27" s="831">
        <f>AVERAGEIFS('Refugees Recorded'!$E$174:$E$1129,'Refugees Recorded'!$C$174:$C$1129,'Refugee Cost Calculations'!$I27,'Refugees Recorded'!$F$174:$F$1129,'Refugee Cost Calculations'!Z$10,'Refugees Recorded'!$H$174:$H$1129,'Refugee Cost Calculations'!Z$9)</f>
        <v>173213</v>
      </c>
    </row>
    <row r="28" spans="2:26">
      <c r="B28" s="817" t="s">
        <v>2392</v>
      </c>
      <c r="C28" s="826">
        <f t="shared" si="2"/>
        <v>0.36258026883010902</v>
      </c>
      <c r="D28" s="826">
        <f>100*C28/VLOOKUP(B28,'Country Summary (€)'!B:S,8,0)</f>
        <v>0.9887518550291744</v>
      </c>
      <c r="E28" s="827">
        <v>107000000</v>
      </c>
      <c r="F28" s="828">
        <f t="shared" si="4"/>
        <v>7704.8629446497998</v>
      </c>
      <c r="G28" s="828">
        <f t="shared" si="5"/>
        <v>770.48629446498001</v>
      </c>
      <c r="H28" s="828"/>
      <c r="I28" s="829" t="s">
        <v>6142</v>
      </c>
      <c r="J28" s="830">
        <f t="shared" si="1"/>
        <v>4392.6666666666715</v>
      </c>
      <c r="K28" s="830">
        <f t="shared" si="1"/>
        <v>13887.333333333336</v>
      </c>
      <c r="L28" s="831">
        <f>AVERAGEIFS('Refugees Recorded'!$E:$E,'Refugees Recorded'!$C:$C,'Refugee Cost Calculations'!$I28,'Refugees Recorded'!$F:$F,'Refugee Cost Calculations'!L$10,'Refugees Recorded'!$H:$H,'Refugee Cost Calculations'!L$9)</f>
        <v>23382</v>
      </c>
      <c r="M28" s="831">
        <f>AVERAGEIFS('Refugees Recorded'!$E:$E,'Refugees Recorded'!$C:$C,'Refugee Cost Calculations'!$I28,'Refugees Recorded'!$F:$F,'Refugee Cost Calculations'!M$10,'Refugees Recorded'!$H:$H,'Refugee Cost Calculations'!M$9)</f>
        <v>32876.666666666664</v>
      </c>
      <c r="N28" s="831">
        <f>AVERAGEIFS('Refugees Recorded'!$E:$E,'Refugees Recorded'!$C:$C,'Refugee Cost Calculations'!$I28,'Refugees Recorded'!$F:$F,'Refugee Cost Calculations'!N$10,'Refugees Recorded'!$H:$H,'Refugee Cost Calculations'!N$9)</f>
        <v>34781.75</v>
      </c>
      <c r="O28" s="831">
        <f>AVERAGEIFS('Refugees Recorded'!$E:$E,'Refugees Recorded'!$C:$C,'Refugee Cost Calculations'!$I28,'Refugees Recorded'!$F:$F,'Refugee Cost Calculations'!O$10,'Refugees Recorded'!$H:$H,'Refugee Cost Calculations'!O$9)</f>
        <v>36313</v>
      </c>
      <c r="P28" s="831">
        <f>AVERAGEIFS('Refugees Recorded'!$E:$E,'Refugees Recorded'!$C:$C,'Refugee Cost Calculations'!$I28,'Refugees Recorded'!$F:$F,'Refugee Cost Calculations'!P$10,'Refugees Recorded'!$H:$H,'Refugee Cost Calculations'!P$9)</f>
        <v>38319.25</v>
      </c>
      <c r="Q28" s="831">
        <f>AVERAGEIFS('Refugees Recorded'!$E:$E,'Refugees Recorded'!$C:$C,'Refugee Cost Calculations'!$I28,'Refugees Recorded'!$F:$F,'Refugee Cost Calculations'!Q$10,'Refugees Recorded'!$H:$H,'Refugee Cost Calculations'!Q$9)</f>
        <v>39820.6</v>
      </c>
      <c r="R28" s="831">
        <f>AVERAGEIFS('Refugees Recorded'!$E:$E,'Refugees Recorded'!$C:$C,'Refugee Cost Calculations'!$I28,'Refugees Recorded'!$F:$F,'Refugee Cost Calculations'!R$10,'Refugees Recorded'!$H:$H,'Refugee Cost Calculations'!R$9)</f>
        <v>35452</v>
      </c>
      <c r="S28" s="831">
        <f>AVERAGEIFS('Refugees Recorded'!$E:$E,'Refugees Recorded'!$C:$C,'Refugee Cost Calculations'!$I28,'Refugees Recorded'!$F:$F,'Refugee Cost Calculations'!S$10,'Refugees Recorded'!$H:$H,'Refugee Cost Calculations'!S$9)</f>
        <v>34695</v>
      </c>
      <c r="T28" s="831">
        <f>AVERAGEIFS('Refugees Recorded'!$E:$E,'Refugees Recorded'!$C:$C,'Refugee Cost Calculations'!$I28,'Refugees Recorded'!$F:$F,'Refugee Cost Calculations'!T$10,'Refugees Recorded'!$H:$H,'Refugee Cost Calculations'!T$9)</f>
        <v>35231.800000000003</v>
      </c>
      <c r="U28" s="831">
        <f>AVERAGEIFS('Refugees Recorded'!$E:$E,'Refugees Recorded'!$C:$C,'Refugee Cost Calculations'!$I28,'Refugees Recorded'!$F:$F,'Refugee Cost Calculations'!U$10,'Refugees Recorded'!$H:$H,'Refugee Cost Calculations'!U$9)</f>
        <v>35282.5</v>
      </c>
      <c r="V28" s="830">
        <f>U28+U28-T28</f>
        <v>35333.199999999997</v>
      </c>
      <c r="W28" s="830">
        <f t="shared" ref="W28:Y28" si="10">V28+V28-U28</f>
        <v>35383.899999999994</v>
      </c>
      <c r="X28" s="830">
        <f t="shared" si="10"/>
        <v>35434.599999999991</v>
      </c>
      <c r="Y28" s="830">
        <f t="shared" si="10"/>
        <v>35485.299999999988</v>
      </c>
      <c r="Z28" s="831" t="e">
        <f>AVERAGEIFS('Refugees Recorded'!$E$174:$E$1129,'Refugees Recorded'!$C$174:$C$1129,'Refugee Cost Calculations'!$I28,'Refugees Recorded'!$F$174:$F$1129,'Refugee Cost Calculations'!Z$10,'Refugees Recorded'!$H$174:$H$1129,'Refugee Cost Calculations'!Z$9)</f>
        <v>#DIV/0!</v>
      </c>
    </row>
    <row r="29" spans="2:26">
      <c r="B29" s="817" t="s">
        <v>2488</v>
      </c>
      <c r="C29" s="826">
        <f t="shared" si="2"/>
        <v>0.43298596097330055</v>
      </c>
      <c r="D29" s="826">
        <f>100*C29/VLOOKUP(B29,'Country Summary (€)'!B:S,8,0)</f>
        <v>0.70820577204214463</v>
      </c>
      <c r="E29" s="827">
        <v>223000000</v>
      </c>
      <c r="F29" s="828">
        <f t="shared" si="4"/>
        <v>4398.3931729574424</v>
      </c>
      <c r="G29" s="828">
        <f t="shared" si="5"/>
        <v>439.83931729574425</v>
      </c>
      <c r="H29" s="828"/>
      <c r="I29" s="829" t="s">
        <v>6143</v>
      </c>
      <c r="J29" s="830">
        <f t="shared" si="1"/>
        <v>47487.666666666672</v>
      </c>
      <c r="K29" s="830">
        <f t="shared" si="1"/>
        <v>50700.333333333336</v>
      </c>
      <c r="L29" s="831">
        <f>AVERAGEIFS('Refugees Recorded'!$E:$E,'Refugees Recorded'!$C:$C,'Refugee Cost Calculations'!$I29,'Refugees Recorded'!$F:$F,'Refugee Cost Calculations'!L$10,'Refugees Recorded'!$H:$H,'Refugee Cost Calculations'!L$9)</f>
        <v>53913</v>
      </c>
      <c r="M29" s="831">
        <f>AVERAGEIFS('Refugees Recorded'!$E:$E,'Refugees Recorded'!$C:$C,'Refugee Cost Calculations'!$I29,'Refugees Recorded'!$F:$F,'Refugee Cost Calculations'!M$10,'Refugees Recorded'!$H:$H,'Refugee Cost Calculations'!M$9)</f>
        <v>57125.666666666664</v>
      </c>
      <c r="N29" s="831">
        <f>AVERAGEIFS('Refugees Recorded'!$E:$E,'Refugees Recorded'!$C:$C,'Refugee Cost Calculations'!$I29,'Refugees Recorded'!$F:$F,'Refugee Cost Calculations'!N$10,'Refugees Recorded'!$H:$H,'Refugee Cost Calculations'!N$9)</f>
        <v>59207.5</v>
      </c>
      <c r="O29" s="831">
        <f>AVERAGEIFS('Refugees Recorded'!$E:$E,'Refugees Recorded'!$C:$C,'Refugee Cost Calculations'!$I29,'Refugees Recorded'!$F:$F,'Refugee Cost Calculations'!O$10,'Refugees Recorded'!$H:$H,'Refugee Cost Calculations'!O$9)</f>
        <v>62081.25</v>
      </c>
      <c r="P29" s="831">
        <f>AVERAGEIFS('Refugees Recorded'!$E:$E,'Refugees Recorded'!$C:$C,'Refugee Cost Calculations'!$I29,'Refugees Recorded'!$F:$F,'Refugee Cost Calculations'!P$10,'Refugees Recorded'!$H:$H,'Refugee Cost Calculations'!P$9)</f>
        <v>65407.75</v>
      </c>
      <c r="Q29" s="831">
        <f>AVERAGEIFS('Refugees Recorded'!$E:$E,'Refugees Recorded'!$C:$C,'Refugee Cost Calculations'!$I29,'Refugees Recorded'!$F:$F,'Refugee Cost Calculations'!Q$10,'Refugees Recorded'!$H:$H,'Refugee Cost Calculations'!Q$9)</f>
        <v>68295.8</v>
      </c>
      <c r="R29" s="831">
        <f>AVERAGEIFS('Refugees Recorded'!$E:$E,'Refugees Recorded'!$C:$C,'Refugee Cost Calculations'!$I29,'Refugees Recorded'!$F:$F,'Refugee Cost Calculations'!R$10,'Refugees Recorded'!$H:$H,'Refugee Cost Calculations'!R$9)</f>
        <v>70144.333333333328</v>
      </c>
      <c r="S29" s="831">
        <f>AVERAGEIFS('Refugees Recorded'!$E:$E,'Refugees Recorded'!$C:$C,'Refugee Cost Calculations'!$I29,'Refugees Recorded'!$F:$F,'Refugee Cost Calculations'!S$10,'Refugees Recorded'!$H:$H,'Refugee Cost Calculations'!S$9)</f>
        <v>71906.666666666672</v>
      </c>
      <c r="T29" s="831">
        <f>AVERAGEIFS('Refugees Recorded'!$E:$E,'Refugees Recorded'!$C:$C,'Refugee Cost Calculations'!$I29,'Refugees Recorded'!$F:$F,'Refugee Cost Calculations'!T$10,'Refugees Recorded'!$H:$H,'Refugee Cost Calculations'!T$9)</f>
        <v>73038.2</v>
      </c>
      <c r="U29" s="831">
        <f>AVERAGEIFS('Refugees Recorded'!$E:$E,'Refugees Recorded'!$C:$C,'Refugee Cost Calculations'!$I29,'Refugees Recorded'!$F:$F,'Refugee Cost Calculations'!U$10,'Refugees Recorded'!$H:$H,'Refugee Cost Calculations'!U$9)</f>
        <v>74904</v>
      </c>
      <c r="V29" s="831">
        <f>AVERAGEIFS('Refugees Recorded'!$E:$E,'Refugees Recorded'!$C:$C,'Refugee Cost Calculations'!$I29,'Refugees Recorded'!$F:$F,'Refugee Cost Calculations'!V$10,'Refugees Recorded'!$H:$H,'Refugee Cost Calculations'!V$9)</f>
        <v>76139.333333333328</v>
      </c>
      <c r="W29" s="831">
        <f>AVERAGEIFS('Refugees Recorded'!$E:$E,'Refugees Recorded'!$C:$C,'Refugee Cost Calculations'!$I29,'Refugees Recorded'!$F:$F,'Refugee Cost Calculations'!W$10,'Refugees Recorded'!$H:$H,'Refugee Cost Calculations'!W$9)</f>
        <v>76540</v>
      </c>
      <c r="X29" s="831">
        <f>AVERAGEIFS('Refugees Recorded'!$E:$E,'Refugees Recorded'!$C:$C,'Refugee Cost Calculations'!$I29,'Refugees Recorded'!$F:$F,'Refugee Cost Calculations'!X$10,'Refugees Recorded'!$H:$H,'Refugee Cost Calculations'!X$9)</f>
        <v>77527</v>
      </c>
      <c r="Y29" s="831">
        <f>AVERAGEIFS('Refugees Recorded'!$E:$E,'Refugees Recorded'!$C:$C,'Refugee Cost Calculations'!$I29,'Refugees Recorded'!$F:$F,'Refugee Cost Calculations'!Y$10,'Refugees Recorded'!$H:$H,'Refugee Cost Calculations'!Y$9)</f>
        <v>77545</v>
      </c>
      <c r="Z29" s="831">
        <f>AVERAGEIFS('Refugees Recorded'!$E$174:$E$1129,'Refugees Recorded'!$C$174:$C$1129,'Refugee Cost Calculations'!$I29,'Refugees Recorded'!$F$174:$F$1129,'Refugee Cost Calculations'!Z$10,'Refugees Recorded'!$H$174:$H$1129,'Refugee Cost Calculations'!Z$9)</f>
        <v>76139.333333333328</v>
      </c>
    </row>
    <row r="30" spans="2:26">
      <c r="B30" s="817" t="s">
        <v>2625</v>
      </c>
      <c r="C30" s="826">
        <f t="shared" si="2"/>
        <v>0.10830480377906976</v>
      </c>
      <c r="D30" s="826">
        <f>100*C30/VLOOKUP(B30,'Country Summary (€)'!B:S,8,0)</f>
        <v>0.13765738672359989</v>
      </c>
      <c r="E30" s="827">
        <v>63000000</v>
      </c>
      <c r="F30" s="828">
        <f t="shared" si="4"/>
        <v>12209.302325581395</v>
      </c>
      <c r="G30" s="828">
        <f t="shared" si="5"/>
        <v>1220.9302325581396</v>
      </c>
      <c r="H30" s="828"/>
      <c r="I30" s="829" t="s">
        <v>6144</v>
      </c>
      <c r="J30" s="830">
        <f t="shared" ref="J30:K42" si="11">K30+K30-L30</f>
        <v>5020</v>
      </c>
      <c r="K30" s="830">
        <f t="shared" si="11"/>
        <v>5160</v>
      </c>
      <c r="L30" s="831">
        <f>AVERAGEIFS('Refugees Recorded'!$E:$E,'Refugees Recorded'!$C:$C,'Refugee Cost Calculations'!$I30,'Refugees Recorded'!$F:$F,'Refugee Cost Calculations'!L$10,'Refugees Recorded'!$H:$H,'Refugee Cost Calculations'!L$9)</f>
        <v>5300</v>
      </c>
      <c r="M30" s="831">
        <f>AVERAGEIFS('Refugees Recorded'!$E:$E,'Refugees Recorded'!$C:$C,'Refugee Cost Calculations'!$I30,'Refugees Recorded'!$F:$F,'Refugee Cost Calculations'!M$10,'Refugees Recorded'!$H:$H,'Refugee Cost Calculations'!M$9)</f>
        <v>5440</v>
      </c>
      <c r="N30" s="831">
        <f>AVERAGEIFS('Refugees Recorded'!$E:$E,'Refugees Recorded'!$C:$C,'Refugee Cost Calculations'!$I30,'Refugees Recorded'!$F:$F,'Refugee Cost Calculations'!N$10,'Refugees Recorded'!$H:$H,'Refugee Cost Calculations'!N$9)</f>
        <v>5827.25</v>
      </c>
      <c r="O30" s="831">
        <f>AVERAGEIFS('Refugees Recorded'!$E:$E,'Refugees Recorded'!$C:$C,'Refugee Cost Calculations'!$I30,'Refugees Recorded'!$F:$F,'Refugee Cost Calculations'!O$10,'Refugees Recorded'!$H:$H,'Refugee Cost Calculations'!O$9)</f>
        <v>6123.5</v>
      </c>
      <c r="P30" s="831">
        <f>AVERAGEIFS('Refugees Recorded'!$E:$E,'Refugees Recorded'!$C:$C,'Refugee Cost Calculations'!$I30,'Refugees Recorded'!$F:$F,'Refugee Cost Calculations'!P$10,'Refugees Recorded'!$H:$H,'Refugee Cost Calculations'!P$9)</f>
        <v>6461.666666666667</v>
      </c>
      <c r="Q30" s="831">
        <f>AVERAGEIFS('Refugees Recorded'!$E:$E,'Refugees Recorded'!$C:$C,'Refugee Cost Calculations'!$I30,'Refugees Recorded'!$F:$F,'Refugee Cost Calculations'!Q$10,'Refugees Recorded'!$H:$H,'Refugee Cost Calculations'!Q$9)</f>
        <v>6707.25</v>
      </c>
      <c r="R30" s="830">
        <f>Q30+(W30-Q30)*1/6</f>
        <v>6547.041666666667</v>
      </c>
      <c r="S30" s="830">
        <f>Q30+(W30-Q30)*2/6</f>
        <v>6386.833333333333</v>
      </c>
      <c r="T30" s="830">
        <f>Q30+(W30-Q30)*3/6</f>
        <v>6226.625</v>
      </c>
      <c r="U30" s="830">
        <f>Q30+(W30-Q30)*4/6</f>
        <v>6066.416666666667</v>
      </c>
      <c r="V30" s="830">
        <f>Q30+(W30-Q30)*5/6</f>
        <v>5906.208333333333</v>
      </c>
      <c r="W30" s="831">
        <f>AVERAGEIFS('Refugees Recorded'!$E:$E,'Refugees Recorded'!$C:$C,'Refugee Cost Calculations'!$I30,'Refugees Recorded'!$F:$F,'Refugee Cost Calculations'!W$10,'Refugees Recorded'!$H:$H,'Refugee Cost Calculations'!W$9)</f>
        <v>5746</v>
      </c>
      <c r="X30" s="830">
        <f>W30+0.5*(Y30-W30)</f>
        <v>5788</v>
      </c>
      <c r="Y30" s="831">
        <f>AVERAGEIFS('Refugees Recorded'!$E:$E,'Refugees Recorded'!$C:$C,'Refugee Cost Calculations'!$I30,'Refugees Recorded'!$F:$F,'Refugee Cost Calculations'!Y$10,'Refugees Recorded'!$H:$H,'Refugee Cost Calculations'!Y$9)</f>
        <v>5830</v>
      </c>
      <c r="Z30" s="831" t="e">
        <f>AVERAGEIFS('Refugees Recorded'!$E$174:$E$1129,'Refugees Recorded'!$C$174:$C$1129,'Refugee Cost Calculations'!$I30,'Refugees Recorded'!$F$174:$F$1129,'Refugee Cost Calculations'!Z$10,'Refugees Recorded'!$H$174:$H$1129,'Refugee Cost Calculations'!Z$9)</f>
        <v>#DIV/0!</v>
      </c>
    </row>
    <row r="31" spans="2:26">
      <c r="B31" s="817" t="s">
        <v>2678</v>
      </c>
      <c r="C31" s="826">
        <f t="shared" si="2"/>
        <v>3.0695856228337804E-2</v>
      </c>
      <c r="D31" s="826">
        <f>100*C31/VLOOKUP(B31,'Country Summary (€)'!B:S,8,0)</f>
        <v>0.19212261115939072</v>
      </c>
      <c r="E31" s="827" t="s">
        <v>5031</v>
      </c>
      <c r="F31" s="827" t="s">
        <v>5031</v>
      </c>
      <c r="G31" s="828">
        <v>1392.5286075482429</v>
      </c>
      <c r="H31" s="828"/>
      <c r="I31" s="829" t="s">
        <v>6145</v>
      </c>
      <c r="J31" s="830">
        <f t="shared" si="11"/>
        <v>516</v>
      </c>
      <c r="K31" s="830">
        <f t="shared" si="11"/>
        <v>755</v>
      </c>
      <c r="L31" s="831">
        <f>AVERAGEIFS('Refugees Recorded'!$E:$E,'Refugees Recorded'!$C:$C,'Refugee Cost Calculations'!$I31,'Refugees Recorded'!$F:$F,'Refugee Cost Calculations'!L$10,'Refugees Recorded'!$H:$H,'Refugee Cost Calculations'!L$9)</f>
        <v>994</v>
      </c>
      <c r="M31" s="831">
        <f>AVERAGEIFS('Refugees Recorded'!$E:$E,'Refugees Recorded'!$C:$C,'Refugee Cost Calculations'!$I31,'Refugees Recorded'!$F:$F,'Refugee Cost Calculations'!M$10,'Refugees Recorded'!$H:$H,'Refugee Cost Calculations'!M$9)</f>
        <v>1233</v>
      </c>
      <c r="N31" s="831">
        <f>AVERAGEIFS('Refugees Recorded'!$E:$E,'Refugees Recorded'!$C:$C,'Refugee Cost Calculations'!$I31,'Refugees Recorded'!$F:$F,'Refugee Cost Calculations'!N$10,'Refugees Recorded'!$H:$H,'Refugee Cost Calculations'!N$9)</f>
        <v>1314</v>
      </c>
      <c r="O31" s="831">
        <f>AVERAGEIFS('Refugees Recorded'!$E:$E,'Refugees Recorded'!$C:$C,'Refugee Cost Calculations'!$I31,'Refugees Recorded'!$F:$F,'Refugee Cost Calculations'!O$10,'Refugees Recorded'!$H:$H,'Refugee Cost Calculations'!O$9)</f>
        <v>1423</v>
      </c>
      <c r="P31" s="831">
        <f>AVERAGEIFS('Refugees Recorded'!$E:$E,'Refugees Recorded'!$C:$C,'Refugee Cost Calculations'!$I31,'Refugees Recorded'!$F:$F,'Refugee Cost Calculations'!P$10,'Refugees Recorded'!$H:$H,'Refugee Cost Calculations'!P$9)</f>
        <v>1518</v>
      </c>
      <c r="Q31" s="830">
        <f>P31+0.5*(R31-P31)</f>
        <v>1560.5</v>
      </c>
      <c r="R31" s="831">
        <f>AVERAGEIFS('Refugees Recorded'!$E:$E,'Refugees Recorded'!$C:$C,'Refugee Cost Calculations'!$I31,'Refugees Recorded'!$F:$F,'Refugee Cost Calculations'!R$10,'Refugees Recorded'!$H:$H,'Refugee Cost Calculations'!R$9)</f>
        <v>1603</v>
      </c>
      <c r="S31" s="830">
        <f>R31+(Y31-R31)/3</f>
        <v>1780.6666666666667</v>
      </c>
      <c r="T31" s="830">
        <f>R31+(Y31-R31)*2/3</f>
        <v>1958.3333333333333</v>
      </c>
      <c r="U31" s="831">
        <f>AVERAGEIFS('Refugees Recorded'!$E:$E,'Refugees Recorded'!$C:$C,'Refugee Cost Calculations'!$I31,'Refugees Recorded'!$F:$F,'Refugee Cost Calculations'!U$10,'Refugees Recorded'!$H:$H,'Refugee Cost Calculations'!U$9)</f>
        <v>1673.5</v>
      </c>
      <c r="V31" s="830">
        <f>U31+(Y31-U31)*1/4</f>
        <v>1789.125</v>
      </c>
      <c r="W31" s="830">
        <f>U31+(Y31-U31)*2/4</f>
        <v>1904.75</v>
      </c>
      <c r="X31" s="830">
        <f>U31+(Y31-U31)*3/4</f>
        <v>2020.375</v>
      </c>
      <c r="Y31" s="831">
        <f>AVERAGEIFS('Refugees Recorded'!$E:$E,'Refugees Recorded'!$C:$C,'Refugee Cost Calculations'!$I31,'Refugees Recorded'!$F:$F,'Refugee Cost Calculations'!Y$10,'Refugees Recorded'!$H:$H,'Refugee Cost Calculations'!Y$9)</f>
        <v>2136</v>
      </c>
      <c r="Z31" s="831" t="e">
        <f>AVERAGEIFS('Refugees Recorded'!$E$174:$E$1129,'Refugees Recorded'!$C$174:$C$1129,'Refugee Cost Calculations'!$I31,'Refugees Recorded'!$F$174:$F$1129,'Refugee Cost Calculations'!Z$10,'Refugees Recorded'!$H$174:$H$1129,'Refugee Cost Calculations'!Z$9)</f>
        <v>#DIV/0!</v>
      </c>
    </row>
    <row r="32" spans="2:26">
      <c r="B32" s="817" t="s">
        <v>2693</v>
      </c>
      <c r="C32" s="826">
        <f t="shared" si="2"/>
        <v>1.0268097504310736</v>
      </c>
      <c r="D32" s="826">
        <f>100*C32/VLOOKUP(B32,'Country Summary (€)'!B:S,8,0)</f>
        <v>0.11017825003383006</v>
      </c>
      <c r="E32" s="827">
        <v>488000000</v>
      </c>
      <c r="F32" s="828">
        <f t="shared" ref="F32:F41" si="12">E32/K32</f>
        <v>8857.4280787730277</v>
      </c>
      <c r="G32" s="828">
        <f t="shared" ref="G32:G41" si="13">F32/10</f>
        <v>885.74280787730277</v>
      </c>
      <c r="H32" s="828"/>
      <c r="I32" s="829" t="s">
        <v>6146</v>
      </c>
      <c r="J32" s="830">
        <f t="shared" si="11"/>
        <v>50170</v>
      </c>
      <c r="K32" s="830">
        <f t="shared" si="11"/>
        <v>55095</v>
      </c>
      <c r="L32" s="831">
        <f>AVERAGEIFS('Refugees Recorded'!$E:$E,'Refugees Recorded'!$C:$C,'Refugee Cost Calculations'!$I32,'Refugees Recorded'!$F:$F,'Refugee Cost Calculations'!L$10,'Refugees Recorded'!$H:$H,'Refugee Cost Calculations'!L$9)</f>
        <v>60020</v>
      </c>
      <c r="M32" s="831">
        <f>AVERAGEIFS('Refugees Recorded'!$E:$E,'Refugees Recorded'!$C:$C,'Refugee Cost Calculations'!$I32,'Refugees Recorded'!$F:$F,'Refugee Cost Calculations'!M$10,'Refugees Recorded'!$H:$H,'Refugee Cost Calculations'!M$9)</f>
        <v>64945</v>
      </c>
      <c r="N32" s="831">
        <f>AVERAGEIFS('Refugees Recorded'!$E:$E,'Refugees Recorded'!$C:$C,'Refugee Cost Calculations'!$I32,'Refugees Recorded'!$F:$F,'Refugee Cost Calculations'!N$10,'Refugees Recorded'!$H:$H,'Refugee Cost Calculations'!N$9)</f>
        <v>68050</v>
      </c>
      <c r="O32" s="830">
        <f>N32+0.5*(P32-N32)</f>
        <v>73002.5</v>
      </c>
      <c r="P32" s="831">
        <f>AVERAGEIFS('Refugees Recorded'!$E:$E,'Refugees Recorded'!$C:$C,'Refugee Cost Calculations'!$I32,'Refugees Recorded'!$F:$F,'Refugee Cost Calculations'!P$10,'Refugees Recorded'!$H:$H,'Refugee Cost Calculations'!P$9)</f>
        <v>77955</v>
      </c>
      <c r="Q32" s="830">
        <f>P32+0.5*(R32-P32)</f>
        <v>81582.5</v>
      </c>
      <c r="R32" s="831">
        <f>AVERAGEIFS('Refugees Recorded'!$E:$E,'Refugees Recorded'!$C:$C,'Refugee Cost Calculations'!$I32,'Refugees Recorded'!$F:$F,'Refugee Cost Calculations'!R$10,'Refugees Recorded'!$H:$H,'Refugee Cost Calculations'!R$9)</f>
        <v>85210</v>
      </c>
      <c r="S32" s="830">
        <f>R32+(U32-R32)*1/3</f>
        <v>86716.666666666672</v>
      </c>
      <c r="T32" s="830">
        <f>R32+(U32-R32)*2/3</f>
        <v>88223.333333333328</v>
      </c>
      <c r="U32" s="831">
        <f>AVERAGEIFS('Refugees Recorded'!$E:$E,'Refugees Recorded'!$C:$C,'Refugee Cost Calculations'!$I32,'Refugees Recorded'!$F:$F,'Refugee Cost Calculations'!U$10,'Refugees Recorded'!$H:$H,'Refugee Cost Calculations'!U$9)</f>
        <v>89730</v>
      </c>
      <c r="V32" s="830">
        <f>U32+(X32-U32)*1/3</f>
        <v>91292.333333333328</v>
      </c>
      <c r="W32" s="830">
        <f>U32+(X32-U32)*2/3</f>
        <v>92854.666666666672</v>
      </c>
      <c r="X32" s="831">
        <f>AVERAGEIFS('Refugees Recorded'!$E:$E,'Refugees Recorded'!$C:$C,'Refugee Cost Calculations'!$I32,'Refugees Recorded'!$F:$F,'Refugee Cost Calculations'!X$10,'Refugees Recorded'!$H:$H,'Refugee Cost Calculations'!X$9)</f>
        <v>94417</v>
      </c>
      <c r="Y32" s="830">
        <f>X32+X32-W32</f>
        <v>95979.333333333328</v>
      </c>
      <c r="Z32" s="831" t="e">
        <f>AVERAGEIFS('Refugees Recorded'!$E$174:$E$1129,'Refugees Recorded'!$C$174:$C$1129,'Refugee Cost Calculations'!$I32,'Refugees Recorded'!$F$174:$F$1129,'Refugee Cost Calculations'!Z$10,'Refugees Recorded'!$H$174:$H$1129,'Refugee Cost Calculations'!Z$9)</f>
        <v>#DIV/0!</v>
      </c>
    </row>
    <row r="33" spans="2:26">
      <c r="B33" s="817" t="s">
        <v>2882</v>
      </c>
      <c r="C33" s="826">
        <f t="shared" si="2"/>
        <v>0.72874948688342878</v>
      </c>
      <c r="D33" s="826">
        <f>100*C33/VLOOKUP(B33,'Country Summary (€)'!B:S,8,0)</f>
        <v>0.16425679086808309</v>
      </c>
      <c r="E33" s="827">
        <v>236000000</v>
      </c>
      <c r="F33" s="828">
        <f t="shared" si="12"/>
        <v>16349.52891187881</v>
      </c>
      <c r="G33" s="828">
        <f t="shared" si="13"/>
        <v>1634.9528911878811</v>
      </c>
      <c r="H33" s="828"/>
      <c r="I33" s="829" t="s">
        <v>6147</v>
      </c>
      <c r="J33" s="830">
        <f t="shared" si="11"/>
        <v>12161.333333333336</v>
      </c>
      <c r="K33" s="830">
        <f t="shared" si="11"/>
        <v>14434.666666666668</v>
      </c>
      <c r="L33" s="831">
        <f>AVERAGEIFS('Refugees Recorded'!$E:$E,'Refugees Recorded'!$C:$C,'Refugee Cost Calculations'!$I33,'Refugees Recorded'!$F:$F,'Refugee Cost Calculations'!L$10,'Refugees Recorded'!$H:$H,'Refugee Cost Calculations'!L$9)</f>
        <v>16708</v>
      </c>
      <c r="M33" s="831">
        <f>AVERAGEIFS('Refugees Recorded'!$E:$E,'Refugees Recorded'!$C:$C,'Refugee Cost Calculations'!$I33,'Refugees Recorded'!$F:$F,'Refugee Cost Calculations'!M$10,'Refugees Recorded'!$H:$H,'Refugee Cost Calculations'!M$9)</f>
        <v>18981.333333333332</v>
      </c>
      <c r="N33" s="831">
        <f>AVERAGEIFS('Refugees Recorded'!$E:$E,'Refugees Recorded'!$C:$C,'Refugee Cost Calculations'!$I33,'Refugees Recorded'!$F:$F,'Refugee Cost Calculations'!N$10,'Refugees Recorded'!$H:$H,'Refugee Cost Calculations'!N$9)</f>
        <v>20865.75</v>
      </c>
      <c r="O33" s="831">
        <f>AVERAGEIFS('Refugees Recorded'!$E:$E,'Refugees Recorded'!$C:$C,'Refugee Cost Calculations'!$I33,'Refugees Recorded'!$F:$F,'Refugee Cost Calculations'!O$10,'Refugees Recorded'!$H:$H,'Refugee Cost Calculations'!O$9)</f>
        <v>22987</v>
      </c>
      <c r="P33" s="831">
        <f>AVERAGEIFS('Refugees Recorded'!$E:$E,'Refugees Recorded'!$C:$C,'Refugee Cost Calculations'!$I33,'Refugees Recorded'!$F:$F,'Refugee Cost Calculations'!P$10,'Refugees Recorded'!$H:$H,'Refugee Cost Calculations'!P$9)</f>
        <v>27233.599999999999</v>
      </c>
      <c r="Q33" s="831">
        <f>AVERAGEIFS('Refugees Recorded'!$E:$E,'Refugees Recorded'!$C:$C,'Refugee Cost Calculations'!$I33,'Refugees Recorded'!$F:$F,'Refugee Cost Calculations'!Q$10,'Refugees Recorded'!$H:$H,'Refugee Cost Calculations'!Q$9)</f>
        <v>30116.5</v>
      </c>
      <c r="R33" s="831">
        <f>AVERAGEIFS('Refugees Recorded'!$E:$E,'Refugees Recorded'!$C:$C,'Refugee Cost Calculations'!$I33,'Refugees Recorded'!$F:$F,'Refugee Cost Calculations'!R$10,'Refugees Recorded'!$H:$H,'Refugee Cost Calculations'!R$9)</f>
        <v>31950</v>
      </c>
      <c r="S33" s="831">
        <f>AVERAGEIFS('Refugees Recorded'!$E:$E,'Refugees Recorded'!$C:$C,'Refugee Cost Calculations'!$I33,'Refugees Recorded'!$F:$F,'Refugee Cost Calculations'!S$10,'Refugees Recorded'!$H:$H,'Refugee Cost Calculations'!S$9)</f>
        <v>35389.25</v>
      </c>
      <c r="T33" s="831">
        <f>AVERAGEIFS('Refugees Recorded'!$E:$E,'Refugees Recorded'!$C:$C,'Refugee Cost Calculations'!$I33,'Refugees Recorded'!$F:$F,'Refugee Cost Calculations'!T$10,'Refugees Recorded'!$H:$H,'Refugee Cost Calculations'!T$9)</f>
        <v>37717.75</v>
      </c>
      <c r="U33" s="831">
        <f>AVERAGEIFS('Refugees Recorded'!$E:$E,'Refugees Recorded'!$C:$C,'Refugee Cost Calculations'!$I33,'Refugees Recorded'!$F:$F,'Refugee Cost Calculations'!U$10,'Refugees Recorded'!$H:$H,'Refugee Cost Calculations'!U$9)</f>
        <v>40725</v>
      </c>
      <c r="V33" s="831">
        <f>AVERAGEIFS('Refugees Recorded'!$E:$E,'Refugees Recorded'!$C:$C,'Refugee Cost Calculations'!$I33,'Refugees Recorded'!$F:$F,'Refugee Cost Calculations'!V$10,'Refugees Recorded'!$H:$H,'Refugee Cost Calculations'!V$9)</f>
        <v>44014</v>
      </c>
      <c r="W33" s="831">
        <f>AVERAGEIFS('Refugees Recorded'!$E:$E,'Refugees Recorded'!$C:$C,'Refugee Cost Calculations'!$I33,'Refugees Recorded'!$F:$F,'Refugee Cost Calculations'!W$10,'Refugees Recorded'!$H:$H,'Refugee Cost Calculations'!W$9)</f>
        <v>45018</v>
      </c>
      <c r="X33" s="831">
        <f>AVERAGEIFS('Refugees Recorded'!$E:$E,'Refugees Recorded'!$C:$C,'Refugee Cost Calculations'!$I33,'Refugees Recorded'!$F:$F,'Refugee Cost Calculations'!X$10,'Refugees Recorded'!$H:$H,'Refugee Cost Calculations'!X$9)</f>
        <v>47429</v>
      </c>
      <c r="Y33" s="830">
        <f>X33+X33-W33</f>
        <v>49840</v>
      </c>
      <c r="Z33" s="831">
        <f>AVERAGEIFS('Refugees Recorded'!$E$174:$E$1129,'Refugees Recorded'!$C$174:$C$1129,'Refugee Cost Calculations'!$I33,'Refugees Recorded'!$F$174:$F$1129,'Refugee Cost Calculations'!Z$10,'Refugees Recorded'!$H$174:$H$1129,'Refugee Cost Calculations'!Z$9)</f>
        <v>44014</v>
      </c>
    </row>
    <row r="34" spans="2:26">
      <c r="B34" s="817" t="s">
        <v>2989</v>
      </c>
      <c r="C34" s="826">
        <f t="shared" si="2"/>
        <v>15.423050158100741</v>
      </c>
      <c r="D34" s="826">
        <f>100*C34/VLOOKUP(B34,'Country Summary (€)'!B:S,8,0)</f>
        <v>2.4669804083149747</v>
      </c>
      <c r="E34" s="827">
        <v>8360000000</v>
      </c>
      <c r="F34" s="828">
        <f t="shared" si="12"/>
        <v>7520.4676363512062</v>
      </c>
      <c r="G34" s="828">
        <f t="shared" si="13"/>
        <v>752.04676363512067</v>
      </c>
      <c r="H34" s="828"/>
      <c r="I34" s="829" t="s">
        <v>6148</v>
      </c>
      <c r="J34" s="830">
        <f t="shared" si="11"/>
        <v>1080302</v>
      </c>
      <c r="K34" s="830">
        <f t="shared" si="11"/>
        <v>1111633</v>
      </c>
      <c r="L34" s="831">
        <f>AVERAGEIFS('Refugees Recorded'!$E:$E,'Refugees Recorded'!$C:$C,'Refugee Cost Calculations'!$I34,'Refugees Recorded'!$F:$F,'Refugee Cost Calculations'!L$10,'Refugees Recorded'!$H:$H,'Refugee Cost Calculations'!L$9)</f>
        <v>1142964</v>
      </c>
      <c r="M34" s="831">
        <f>AVERAGEIFS('Refugees Recorded'!$E:$E,'Refugees Recorded'!$C:$C,'Refugee Cost Calculations'!$I34,'Refugees Recorded'!$F:$F,'Refugee Cost Calculations'!M$10,'Refugees Recorded'!$H:$H,'Refugee Cost Calculations'!M$9)</f>
        <v>1174295</v>
      </c>
      <c r="N34" s="831">
        <f>AVERAGEIFS('Refugees Recorded'!$E:$E,'Refugees Recorded'!$C:$C,'Refugee Cost Calculations'!$I34,'Refugees Recorded'!$F:$F,'Refugee Cost Calculations'!N$10,'Refugees Recorded'!$H:$H,'Refugee Cost Calculations'!N$9)</f>
        <v>1227569.75</v>
      </c>
      <c r="O34" s="831">
        <f>AVERAGEIFS('Refugees Recorded'!$E:$E,'Refugees Recorded'!$C:$C,'Refugee Cost Calculations'!$I34,'Refugees Recorded'!$F:$F,'Refugee Cost Calculations'!O$10,'Refugees Recorded'!$H:$H,'Refugee Cost Calculations'!O$9)</f>
        <v>1308798.6000000001</v>
      </c>
      <c r="P34" s="831">
        <f>AVERAGEIFS('Refugees Recorded'!$E:$E,'Refugees Recorded'!$C:$C,'Refugee Cost Calculations'!$I34,'Refugees Recorded'!$F:$F,'Refugee Cost Calculations'!P$10,'Refugees Recorded'!$H:$H,'Refugee Cost Calculations'!P$9)</f>
        <v>1386440.75</v>
      </c>
      <c r="Q34" s="831">
        <f>AVERAGEIFS('Refugees Recorded'!$E:$E,'Refugees Recorded'!$C:$C,'Refugee Cost Calculations'!$I34,'Refugees Recorded'!$F:$F,'Refugee Cost Calculations'!Q$10,'Refugees Recorded'!$H:$H,'Refugee Cost Calculations'!Q$9)</f>
        <v>1444321.5</v>
      </c>
      <c r="R34" s="831">
        <f>AVERAGEIFS('Refugees Recorded'!$E:$E,'Refugees Recorded'!$C:$C,'Refugee Cost Calculations'!$I34,'Refugees Recorded'!$F:$F,'Refugee Cost Calculations'!R$10,'Refugees Recorded'!$H:$H,'Refugee Cost Calculations'!R$9)</f>
        <v>1503995.5</v>
      </c>
      <c r="S34" s="831">
        <f>AVERAGEIFS('Refugees Recorded'!$E:$E,'Refugees Recorded'!$C:$C,'Refugee Cost Calculations'!$I34,'Refugees Recorded'!$F:$F,'Refugee Cost Calculations'!S$10,'Refugees Recorded'!$H:$H,'Refugee Cost Calculations'!S$9)</f>
        <v>1542263.2</v>
      </c>
      <c r="T34" s="831">
        <f>AVERAGEIFS('Refugees Recorded'!$E:$E,'Refugees Recorded'!$C:$C,'Refugee Cost Calculations'!$I34,'Refugees Recorded'!$F:$F,'Refugee Cost Calculations'!T$10,'Refugees Recorded'!$H:$H,'Refugee Cost Calculations'!T$9)</f>
        <v>1563386</v>
      </c>
      <c r="U34" s="830">
        <f>S34+0.5*(Y34-S34)</f>
        <v>1267466.1000000001</v>
      </c>
      <c r="V34" s="831">
        <f>AVERAGEIFS('Refugees Recorded'!$E:$E,'Refugees Recorded'!$C:$C,'Refugee Cost Calculations'!$I34,'Refugees Recorded'!$F:$F,'Refugee Cost Calculations'!V$10,'Refugees Recorded'!$H:$H,'Refugee Cost Calculations'!V$9)</f>
        <v>1571755.6666666667</v>
      </c>
      <c r="W34" s="831">
        <f>AVERAGEIFS('Refugees Recorded'!$E:$E,'Refugees Recorded'!$C:$C,'Refugee Cost Calculations'!$I34,'Refugees Recorded'!$F:$F,'Refugee Cost Calculations'!W$10,'Refugees Recorded'!$H:$H,'Refugee Cost Calculations'!W$9)</f>
        <v>1582355.5</v>
      </c>
      <c r="X34" s="831">
        <f>AVERAGEIFS('Refugees Recorded'!$E:$E,'Refugees Recorded'!$C:$C,'Refugee Cost Calculations'!$I34,'Refugees Recorded'!$F:$F,'Refugee Cost Calculations'!X$10,'Refugees Recorded'!$H:$H,'Refugee Cost Calculations'!X$9)</f>
        <v>1600553.3333333333</v>
      </c>
      <c r="Y34" s="831">
        <f>AVERAGEIFS('Refugees Recorded'!$E:$E,'Refugees Recorded'!$C:$C,'Refugee Cost Calculations'!$I34,'Refugees Recorded'!$F:$F,'Refugee Cost Calculations'!Y$10,'Refugees Recorded'!$H:$H,'Refugee Cost Calculations'!Y$9)</f>
        <v>992669</v>
      </c>
      <c r="Z34" s="831">
        <f>AVERAGEIFS('Refugees Recorded'!$E$174:$E$1129,'Refugees Recorded'!$C$174:$C$1129,'Refugee Cost Calculations'!$I34,'Refugees Recorded'!$F$174:$F$1129,'Refugee Cost Calculations'!Z$10,'Refugees Recorded'!$H$174:$H$1129,'Refugee Cost Calculations'!Z$9)</f>
        <v>1571755.6666666667</v>
      </c>
    </row>
    <row r="35" spans="2:26">
      <c r="B35" s="817" t="s">
        <v>3079</v>
      </c>
      <c r="C35" s="826">
        <f t="shared" si="2"/>
        <v>0.34800390839191114</v>
      </c>
      <c r="D35" s="826">
        <f>100*C35/VLOOKUP(B35,'Country Summary (€)'!B:S,8,0)</f>
        <v>0.14909956598447635</v>
      </c>
      <c r="E35" s="827">
        <v>168000000</v>
      </c>
      <c r="F35" s="828">
        <f t="shared" si="12"/>
        <v>4617.509430850735</v>
      </c>
      <c r="G35" s="828">
        <f t="shared" si="13"/>
        <v>461.75094308507352</v>
      </c>
      <c r="H35" s="828"/>
      <c r="I35" s="829" t="s">
        <v>6149</v>
      </c>
      <c r="J35" s="830">
        <f t="shared" si="11"/>
        <v>32882.5</v>
      </c>
      <c r="K35" s="830">
        <f t="shared" si="11"/>
        <v>36383.25</v>
      </c>
      <c r="L35" s="831">
        <f>AVERAGEIFS('Refugees Recorded'!$E:$E,'Refugees Recorded'!$C:$C,'Refugee Cost Calculations'!$I35,'Refugees Recorded'!$F:$F,'Refugee Cost Calculations'!L$10,'Refugees Recorded'!$H:$H,'Refugee Cost Calculations'!L$9)</f>
        <v>39884</v>
      </c>
      <c r="M35" s="831">
        <f>AVERAGEIFS('Refugees Recorded'!$E:$E,'Refugees Recorded'!$C:$C,'Refugee Cost Calculations'!$I35,'Refugees Recorded'!$F:$F,'Refugee Cost Calculations'!M$10,'Refugees Recorded'!$H:$H,'Refugee Cost Calculations'!M$9)</f>
        <v>43384.75</v>
      </c>
      <c r="N35" s="831">
        <f>AVERAGEIFS('Refugees Recorded'!$E:$E,'Refugees Recorded'!$C:$C,'Refugee Cost Calculations'!$I35,'Refugees Recorded'!$F:$F,'Refugee Cost Calculations'!N$10,'Refugees Recorded'!$H:$H,'Refugee Cost Calculations'!N$9)</f>
        <v>47165</v>
      </c>
      <c r="O35" s="831">
        <f>AVERAGEIFS('Refugees Recorded'!$E:$E,'Refugees Recorded'!$C:$C,'Refugee Cost Calculations'!$I35,'Refugees Recorded'!$F:$F,'Refugee Cost Calculations'!O$10,'Refugees Recorded'!$H:$H,'Refugee Cost Calculations'!O$9)</f>
        <v>49718</v>
      </c>
      <c r="P35" s="831">
        <f>AVERAGEIFS('Refugees Recorded'!$E:$E,'Refugees Recorded'!$C:$C,'Refugee Cost Calculations'!$I35,'Refugees Recorded'!$F:$F,'Refugee Cost Calculations'!P$10,'Refugees Recorded'!$H:$H,'Refugee Cost Calculations'!P$9)</f>
        <v>52819</v>
      </c>
      <c r="Q35" s="831">
        <f>AVERAGEIFS('Refugees Recorded'!$E:$E,'Refugees Recorded'!$C:$C,'Refugee Cost Calculations'!$I35,'Refugees Recorded'!$F:$F,'Refugee Cost Calculations'!Q$10,'Refugees Recorded'!$H:$H,'Refugee Cost Calculations'!Q$9)</f>
        <v>52970</v>
      </c>
      <c r="R35" s="830">
        <f>Q35+0.5*(S35-Q35)</f>
        <v>54603</v>
      </c>
      <c r="S35" s="831">
        <f>AVERAGEIFS('Refugees Recorded'!$E:$E,'Refugees Recorded'!$C:$C,'Refugee Cost Calculations'!$I35,'Refugees Recorded'!$F:$F,'Refugee Cost Calculations'!S$10,'Refugees Recorded'!$H:$H,'Refugee Cost Calculations'!S$9)</f>
        <v>56236</v>
      </c>
      <c r="T35" s="831">
        <f>AVERAGEIFS('Refugees Recorded'!$E:$E,'Refugees Recorded'!$C:$C,'Refugee Cost Calculations'!$I35,'Refugees Recorded'!$F:$F,'Refugee Cost Calculations'!T$10,'Refugees Recorded'!$H:$H,'Refugee Cost Calculations'!T$9)</f>
        <v>57006.5</v>
      </c>
      <c r="U35" s="831">
        <f>AVERAGEIFS('Refugees Recorded'!$E:$E,'Refugees Recorded'!$C:$C,'Refugee Cost Calculations'!$I35,'Refugees Recorded'!$F:$F,'Refugee Cost Calculations'!U$10,'Refugees Recorded'!$H:$H,'Refugee Cost Calculations'!U$9)</f>
        <v>58048</v>
      </c>
      <c r="V35" s="830">
        <f>U35+(Y35-U35)*1/4</f>
        <v>57784.25</v>
      </c>
      <c r="W35" s="830">
        <f>U35+(Y35-U35)*2/4</f>
        <v>57520.5</v>
      </c>
      <c r="X35" s="830">
        <f>U35+(Y35-U35)*3/4</f>
        <v>57256.75</v>
      </c>
      <c r="Y35" s="831">
        <f>AVERAGEIFS('Refugees Recorded'!$E:$E,'Refugees Recorded'!$C:$C,'Refugee Cost Calculations'!$I35,'Refugees Recorded'!$F:$F,'Refugee Cost Calculations'!Y$10,'Refugees Recorded'!$H:$H,'Refugee Cost Calculations'!Y$9)</f>
        <v>56993</v>
      </c>
      <c r="Z35" s="831" t="e">
        <f>AVERAGEIFS('Refugees Recorded'!$E$174:$E$1129,'Refugees Recorded'!$C$174:$C$1129,'Refugee Cost Calculations'!$I35,'Refugees Recorded'!$F$174:$F$1129,'Refugee Cost Calculations'!Z$10,'Refugees Recorded'!$H$174:$H$1129,'Refugee Cost Calculations'!Z$9)</f>
        <v>#DIV/0!</v>
      </c>
    </row>
    <row r="36" spans="2:26">
      <c r="B36" s="817" t="s">
        <v>3214</v>
      </c>
      <c r="C36" s="826">
        <f t="shared" si="2"/>
        <v>1.6102589153649423</v>
      </c>
      <c r="D36" s="826">
        <f>100*C36/VLOOKUP(B36,'Country Summary (€)'!B:S,8,0)</f>
        <v>0.61601759909932441</v>
      </c>
      <c r="E36" s="827">
        <v>1002000000</v>
      </c>
      <c r="F36" s="828">
        <f t="shared" si="12"/>
        <v>11496.482839762688</v>
      </c>
      <c r="G36" s="828">
        <f t="shared" si="13"/>
        <v>1149.6482839762689</v>
      </c>
      <c r="H36" s="828"/>
      <c r="I36" s="829" t="s">
        <v>6150</v>
      </c>
      <c r="J36" s="830">
        <f t="shared" si="11"/>
        <v>88118.45454545453</v>
      </c>
      <c r="K36" s="830">
        <f t="shared" si="11"/>
        <v>87157.090909090897</v>
      </c>
      <c r="L36" s="830">
        <f>M36+M36-N36</f>
        <v>86195.727272727265</v>
      </c>
      <c r="M36" s="831">
        <f>AVERAGEIFS('Refugees Recorded'!$E:$E,'Refugees Recorded'!$C:$C,'Refugee Cost Calculations'!$I36,'Refugees Recorded'!$F:$F,'Refugee Cost Calculations'!M$10,'Refugees Recorded'!$H:$H,'Refugee Cost Calculations'!M$9)</f>
        <v>85234.363636363632</v>
      </c>
      <c r="N36" s="831">
        <f>AVERAGEIFS('Refugees Recorded'!$E:$E,'Refugees Recorded'!$C:$C,'Refugee Cost Calculations'!$I36,'Refugees Recorded'!$F:$F,'Refugee Cost Calculations'!N$10,'Refugees Recorded'!$H:$H,'Refugee Cost Calculations'!N$9)</f>
        <v>84273</v>
      </c>
      <c r="O36" s="831">
        <f>AVERAGEIFS('Refugees Recorded'!$E:$E,'Refugees Recorded'!$C:$C,'Refugee Cost Calculations'!$I36,'Refugees Recorded'!$F:$F,'Refugee Cost Calculations'!O$10,'Refugees Recorded'!$H:$H,'Refugee Cost Calculations'!O$9)</f>
        <v>85433.25</v>
      </c>
      <c r="P36" s="831">
        <f>AVERAGEIFS('Refugees Recorded'!$E:$E,'Refugees Recorded'!$C:$C,'Refugee Cost Calculations'!$I36,'Refugees Recorded'!$F:$F,'Refugee Cost Calculations'!P$10,'Refugees Recorded'!$H:$H,'Refugee Cost Calculations'!P$9)</f>
        <v>81092.333333333328</v>
      </c>
      <c r="Q36" s="831">
        <f>AVERAGEIFS('Refugees Recorded'!$E:$E,'Refugees Recorded'!$C:$C,'Refugee Cost Calculations'!$I36,'Refugees Recorded'!$F:$F,'Refugee Cost Calculations'!Q$10,'Refugees Recorded'!$H:$H,'Refugee Cost Calculations'!Q$9)</f>
        <v>84983.5</v>
      </c>
      <c r="R36" s="831">
        <f>AVERAGEIFS('Refugees Recorded'!$E:$E,'Refugees Recorded'!$C:$C,'Refugee Cost Calculations'!$I36,'Refugees Recorded'!$F:$F,'Refugee Cost Calculations'!R$10,'Refugees Recorded'!$H:$H,'Refugee Cost Calculations'!R$9)</f>
        <v>91384.75</v>
      </c>
      <c r="S36" s="831">
        <f>AVERAGEIFS('Refugees Recorded'!$E:$E,'Refugees Recorded'!$C:$C,'Refugee Cost Calculations'!$I36,'Refugees Recorded'!$F:$F,'Refugee Cost Calculations'!S$10,'Refugees Recorded'!$H:$H,'Refugee Cost Calculations'!S$9)</f>
        <v>102180.25</v>
      </c>
      <c r="T36" s="831">
        <f>AVERAGEIFS('Refugees Recorded'!$E:$E,'Refugees Recorded'!$C:$C,'Refugee Cost Calculations'!$I36,'Refugees Recorded'!$F:$F,'Refugee Cost Calculations'!T$10,'Refugees Recorded'!$H:$H,'Refugee Cost Calculations'!T$9)</f>
        <v>107183</v>
      </c>
      <c r="U36" s="831">
        <f>AVERAGEIFS('Refugees Recorded'!$E:$E,'Refugees Recorded'!$C:$C,'Refugee Cost Calculations'!$I36,'Refugees Recorded'!$F:$F,'Refugee Cost Calculations'!U$10,'Refugees Recorded'!$H:$H,'Refugee Cost Calculations'!U$9)</f>
        <v>110439</v>
      </c>
      <c r="V36" s="831">
        <f>AVERAGEIFS('Refugees Recorded'!$E:$E,'Refugees Recorded'!$C:$C,'Refugee Cost Calculations'!$I36,'Refugees Recorded'!$F:$F,'Refugee Cost Calculations'!V$10,'Refugees Recorded'!$H:$H,'Refugee Cost Calculations'!V$9)</f>
        <v>109660.8</v>
      </c>
      <c r="W36" s="831">
        <f>AVERAGEIFS('Refugees Recorded'!$E:$E,'Refugees Recorded'!$C:$C,'Refugee Cost Calculations'!$I36,'Refugees Recorded'!$F:$F,'Refugee Cost Calculations'!W$10,'Refugees Recorded'!$H:$H,'Refugee Cost Calculations'!W$9)</f>
        <v>101912.66666666667</v>
      </c>
      <c r="X36" s="831">
        <f>AVERAGEIFS('Refugees Recorded'!$E:$E,'Refugees Recorded'!$C:$C,'Refugee Cost Calculations'!$I36,'Refugees Recorded'!$F:$F,'Refugee Cost Calculations'!X$10,'Refugees Recorded'!$H:$H,'Refugee Cost Calculations'!X$9)</f>
        <v>95405.333333333328</v>
      </c>
      <c r="Y36" s="831">
        <f>AVERAGEIFS('Refugees Recorded'!$E:$E,'Refugees Recorded'!$C:$C,'Refugee Cost Calculations'!$I36,'Refugees Recorded'!$F:$F,'Refugee Cost Calculations'!Y$10,'Refugees Recorded'!$H:$H,'Refugee Cost Calculations'!Y$9)</f>
        <v>134627</v>
      </c>
      <c r="Z36" s="831">
        <f>AVERAGEIFS('Refugees Recorded'!$E$174:$E$1129,'Refugees Recorded'!$C$174:$C$1129,'Refugee Cost Calculations'!$I36,'Refugees Recorded'!$F$174:$F$1129,'Refugee Cost Calculations'!Z$10,'Refugees Recorded'!$H$174:$H$1129,'Refugee Cost Calculations'!Z$9)</f>
        <v>109660.8</v>
      </c>
    </row>
    <row r="37" spans="2:26">
      <c r="B37" s="817" t="s">
        <v>3261</v>
      </c>
      <c r="C37" s="826">
        <f t="shared" si="2"/>
        <v>1.1691218057869828</v>
      </c>
      <c r="D37" s="826">
        <f>100*C37/VLOOKUP(B37,'Country Summary (€)'!B:S,8,0)</f>
        <v>1.0903914767981575</v>
      </c>
      <c r="E37" s="827">
        <v>642000000</v>
      </c>
      <c r="F37" s="828">
        <f t="shared" si="12"/>
        <v>8134.9746890779725</v>
      </c>
      <c r="G37" s="828">
        <f t="shared" si="13"/>
        <v>813.49746890779727</v>
      </c>
      <c r="H37" s="828"/>
      <c r="I37" s="829" t="s">
        <v>6151</v>
      </c>
      <c r="J37" s="830">
        <f t="shared" si="11"/>
        <v>79081</v>
      </c>
      <c r="K37" s="830">
        <f t="shared" si="11"/>
        <v>78918.5</v>
      </c>
      <c r="L37" s="831">
        <f>AVERAGEIFS('Refugees Recorded'!$E:$E,'Refugees Recorded'!$C:$C,'Refugee Cost Calculations'!$I37,'Refugees Recorded'!$F:$F,'Refugee Cost Calculations'!L$10,'Refugees Recorded'!$H:$H,'Refugee Cost Calculations'!L$9)</f>
        <v>78756</v>
      </c>
      <c r="M37" s="831">
        <f>AVERAGEIFS('Refugees Recorded'!$E:$E,'Refugees Recorded'!$C:$C,'Refugee Cost Calculations'!$I37,'Refugees Recorded'!$F:$F,'Refugee Cost Calculations'!M$10,'Refugees Recorded'!$H:$H,'Refugee Cost Calculations'!M$9)</f>
        <v>78593.5</v>
      </c>
      <c r="N37" s="831">
        <f>AVERAGEIFS('Refugees Recorded'!$E:$E,'Refugees Recorded'!$C:$C,'Refugee Cost Calculations'!$I37,'Refugees Recorded'!$F:$F,'Refugee Cost Calculations'!N$10,'Refugees Recorded'!$H:$H,'Refugee Cost Calculations'!N$9)</f>
        <v>83723.5</v>
      </c>
      <c r="O37" s="831">
        <f>AVERAGEIFS('Refugees Recorded'!$E:$E,'Refugees Recorded'!$C:$C,'Refugee Cost Calculations'!$I37,'Refugees Recorded'!$F:$F,'Refugee Cost Calculations'!O$10,'Refugees Recorded'!$H:$H,'Refugee Cost Calculations'!O$9)</f>
        <v>88462.2</v>
      </c>
      <c r="P37" s="831">
        <f>AVERAGEIFS('Refugees Recorded'!$E:$E,'Refugees Recorded'!$C:$C,'Refugee Cost Calculations'!$I37,'Refugees Recorded'!$F:$F,'Refugee Cost Calculations'!P$10,'Refugees Recorded'!$H:$H,'Refugee Cost Calculations'!P$9)</f>
        <v>93945</v>
      </c>
      <c r="Q37" s="831">
        <f>AVERAGEIFS('Refugees Recorded'!$E:$E,'Refugees Recorded'!$C:$C,'Refugee Cost Calculations'!$I37,'Refugees Recorded'!$F:$F,'Refugee Cost Calculations'!Q$10,'Refugees Recorded'!$H:$H,'Refugee Cost Calculations'!Q$9)</f>
        <v>97531.5</v>
      </c>
      <c r="R37" s="831">
        <f>AVERAGEIFS('Refugees Recorded'!$E:$E,'Refugees Recorded'!$C:$C,'Refugee Cost Calculations'!$I37,'Refugees Recorded'!$F:$F,'Refugee Cost Calculations'!R$10,'Refugees Recorded'!$H:$H,'Refugee Cost Calculations'!R$9)</f>
        <v>100825.4</v>
      </c>
      <c r="S37" s="831">
        <f>AVERAGEIFS('Refugees Recorded'!$E:$E,'Refugees Recorded'!$C:$C,'Refugee Cost Calculations'!$I37,'Refugees Recorded'!$F:$F,'Refugee Cost Calculations'!S$10,'Refugees Recorded'!$H:$H,'Refugee Cost Calculations'!S$9)</f>
        <v>103826.5</v>
      </c>
      <c r="T37" s="831">
        <f>AVERAGEIFS('Refugees Recorded'!$E:$E,'Refugees Recorded'!$C:$C,'Refugee Cost Calculations'!$I37,'Refugees Recorded'!$F:$F,'Refugee Cost Calculations'!T$10,'Refugees Recorded'!$H:$H,'Refugee Cost Calculations'!T$9)</f>
        <v>106363</v>
      </c>
      <c r="U37" s="831">
        <f>AVERAGEIFS('Refugees Recorded'!$E:$E,'Refugees Recorded'!$C:$C,'Refugee Cost Calculations'!$I37,'Refugees Recorded'!$F:$F,'Refugee Cost Calculations'!U$10,'Refugees Recorded'!$H:$H,'Refugee Cost Calculations'!U$9)</f>
        <v>109486.25</v>
      </c>
      <c r="V37" s="831">
        <f>AVERAGEIFS('Refugees Recorded'!$E:$E,'Refugees Recorded'!$C:$C,'Refugee Cost Calculations'!$I37,'Refugees Recorded'!$F:$F,'Refugee Cost Calculations'!V$10,'Refugees Recorded'!$H:$H,'Refugee Cost Calculations'!V$9)</f>
        <v>112251.8</v>
      </c>
      <c r="W37" s="831">
        <f>AVERAGEIFS('Refugees Recorded'!$E:$E,'Refugees Recorded'!$C:$C,'Refugee Cost Calculations'!$I37,'Refugees Recorded'!$F:$F,'Refugee Cost Calculations'!W$10,'Refugees Recorded'!$H:$H,'Refugee Cost Calculations'!W$9)</f>
        <v>113720.33333333333</v>
      </c>
      <c r="X37" s="831">
        <f>AVERAGEIFS('Refugees Recorded'!$E:$E,'Refugees Recorded'!$C:$C,'Refugee Cost Calculations'!$I37,'Refugees Recorded'!$F:$F,'Refugee Cost Calculations'!X$10,'Refugees Recorded'!$H:$H,'Refugee Cost Calculations'!X$9)</f>
        <v>111670.33333333333</v>
      </c>
      <c r="Y37" s="830">
        <f>X37+X37-W37</f>
        <v>109620.33333333333</v>
      </c>
      <c r="Z37" s="831">
        <f>AVERAGEIFS('Refugees Recorded'!$E$174:$E$1129,'Refugees Recorded'!$C$174:$C$1129,'Refugee Cost Calculations'!$I37,'Refugees Recorded'!$F$174:$F$1129,'Refugee Cost Calculations'!Z$10,'Refugees Recorded'!$H$174:$H$1129,'Refugee Cost Calculations'!Z$9)</f>
        <v>112251.8</v>
      </c>
    </row>
    <row r="38" spans="2:26">
      <c r="B38" s="817" t="s">
        <v>3337</v>
      </c>
      <c r="C38" s="826">
        <f t="shared" si="2"/>
        <v>8.5382230761535671E-2</v>
      </c>
      <c r="D38" s="826">
        <f>100*C38/VLOOKUP(B38,'Country Summary (€)'!B:S,8,0)</f>
        <v>0.15027616598031743</v>
      </c>
      <c r="E38" s="827">
        <v>53000000</v>
      </c>
      <c r="F38" s="828">
        <f t="shared" si="12"/>
        <v>6915.5390858440214</v>
      </c>
      <c r="G38" s="828">
        <f t="shared" si="13"/>
        <v>691.55390858440217</v>
      </c>
      <c r="H38" s="828"/>
      <c r="I38" s="829" t="s">
        <v>6152</v>
      </c>
      <c r="J38" s="830">
        <f t="shared" si="11"/>
        <v>7917.9500000000007</v>
      </c>
      <c r="K38" s="830">
        <f t="shared" si="11"/>
        <v>7663.9000000000005</v>
      </c>
      <c r="L38" s="830">
        <f>M38+M38-N38</f>
        <v>7409.85</v>
      </c>
      <c r="M38" s="831">
        <f>AVERAGEIFS('Refugees Recorded'!$E:$E,'Refugees Recorded'!$C:$C,'Refugee Cost Calculations'!$I38,'Refugees Recorded'!$F:$F,'Refugee Cost Calculations'!M$10,'Refugees Recorded'!$H:$H,'Refugee Cost Calculations'!M$9)</f>
        <v>7155.8</v>
      </c>
      <c r="N38" s="831">
        <f>AVERAGEIFS('Refugees Recorded'!$E:$E,'Refugees Recorded'!$C:$C,'Refugee Cost Calculations'!$I38,'Refugees Recorded'!$F:$F,'Refugee Cost Calculations'!N$10,'Refugees Recorded'!$H:$H,'Refugee Cost Calculations'!N$9)</f>
        <v>6901.75</v>
      </c>
      <c r="O38" s="831">
        <f>AVERAGEIFS('Refugees Recorded'!$E:$E,'Refugees Recorded'!$C:$C,'Refugee Cost Calculations'!$I38,'Refugees Recorded'!$F:$F,'Refugee Cost Calculations'!O$10,'Refugees Recorded'!$H:$H,'Refugee Cost Calculations'!O$9)</f>
        <v>7192</v>
      </c>
      <c r="P38" s="831">
        <f>AVERAGEIFS('Refugees Recorded'!$E:$E,'Refugees Recorded'!$C:$C,'Refugee Cost Calculations'!$I38,'Refugees Recorded'!$F:$F,'Refugee Cost Calculations'!P$10,'Refugees Recorded'!$H:$H,'Refugee Cost Calculations'!P$9)</f>
        <v>7789.75</v>
      </c>
      <c r="Q38" s="831">
        <f>AVERAGEIFS('Refugees Recorded'!$E:$E,'Refugees Recorded'!$C:$C,'Refugee Cost Calculations'!$I38,'Refugees Recorded'!$F:$F,'Refugee Cost Calculations'!Q$10,'Refugees Recorded'!$H:$H,'Refugee Cost Calculations'!Q$9)</f>
        <v>8416.5</v>
      </c>
      <c r="R38" s="831">
        <f>AVERAGEIFS('Refugees Recorded'!$E:$E,'Refugees Recorded'!$C:$C,'Refugee Cost Calculations'!$I38,'Refugees Recorded'!$F:$F,'Refugee Cost Calculations'!R$10,'Refugees Recorded'!$H:$H,'Refugee Cost Calculations'!R$9)</f>
        <v>8485.4</v>
      </c>
      <c r="S38" s="831">
        <f>AVERAGEIFS('Refugees Recorded'!$E:$E,'Refugees Recorded'!$C:$C,'Refugee Cost Calculations'!$I38,'Refugees Recorded'!$F:$F,'Refugee Cost Calculations'!S$10,'Refugees Recorded'!$H:$H,'Refugee Cost Calculations'!S$9)</f>
        <v>8767.6666666666661</v>
      </c>
      <c r="T38" s="831">
        <f>AVERAGEIFS('Refugees Recorded'!$E:$E,'Refugees Recorded'!$C:$C,'Refugee Cost Calculations'!$I38,'Refugees Recorded'!$F:$F,'Refugee Cost Calculations'!T$10,'Refugees Recorded'!$H:$H,'Refugee Cost Calculations'!T$9)</f>
        <v>8952.5</v>
      </c>
      <c r="U38" s="831">
        <f>AVERAGEIFS('Refugees Recorded'!$E:$E,'Refugees Recorded'!$C:$C,'Refugee Cost Calculations'!$I38,'Refugees Recorded'!$F:$F,'Refugee Cost Calculations'!U$10,'Refugees Recorded'!$H:$H,'Refugee Cost Calculations'!U$9)</f>
        <v>8971.6666666666661</v>
      </c>
      <c r="V38" s="831">
        <f>AVERAGEIFS('Refugees Recorded'!$E:$E,'Refugees Recorded'!$C:$C,'Refugee Cost Calculations'!$I38,'Refugees Recorded'!$F:$F,'Refugee Cost Calculations'!V$10,'Refugees Recorded'!$H:$H,'Refugee Cost Calculations'!V$9)</f>
        <v>9102.75</v>
      </c>
      <c r="W38" s="831">
        <f>AVERAGEIFS('Refugees Recorded'!$E:$E,'Refugees Recorded'!$C:$C,'Refugee Cost Calculations'!$I38,'Refugees Recorded'!$F:$F,'Refugee Cost Calculations'!W$10,'Refugees Recorded'!$H:$H,'Refugee Cost Calculations'!W$9)</f>
        <v>9341.5</v>
      </c>
      <c r="X38" s="831">
        <f>AVERAGEIFS('Refugees Recorded'!$E:$E,'Refugees Recorded'!$C:$C,'Refugee Cost Calculations'!$I38,'Refugees Recorded'!$F:$F,'Refugee Cost Calculations'!X$10,'Refugees Recorded'!$H:$H,'Refugee Cost Calculations'!X$9)</f>
        <v>9395.3333333333339</v>
      </c>
      <c r="Y38" s="831">
        <f>AVERAGEIFS('Refugees Recorded'!$E:$E,'Refugees Recorded'!$C:$C,'Refugee Cost Calculations'!$I38,'Refugees Recorded'!$F:$F,'Refugee Cost Calculations'!Y$10,'Refugees Recorded'!$H:$H,'Refugee Cost Calculations'!Y$9)</f>
        <v>9353</v>
      </c>
      <c r="Z38" s="831">
        <f>AVERAGEIFS('Refugees Recorded'!$E$174:$E$1129,'Refugees Recorded'!$C$174:$C$1129,'Refugee Cost Calculations'!$I38,'Refugees Recorded'!$F$174:$F$1129,'Refugee Cost Calculations'!Z$10,'Refugees Recorded'!$H$174:$H$1129,'Refugee Cost Calculations'!Z$9)</f>
        <v>9102.75</v>
      </c>
    </row>
    <row r="39" spans="2:26">
      <c r="B39" s="817" t="s">
        <v>3412</v>
      </c>
      <c r="C39" s="826">
        <f t="shared" si="2"/>
        <v>2.9712913916832537</v>
      </c>
      <c r="D39" s="826">
        <f>100*C39/VLOOKUP(B39,'Country Summary (€)'!B:S,8,0)</f>
        <v>0.22623253395531928</v>
      </c>
      <c r="E39" s="827">
        <v>1359000000</v>
      </c>
      <c r="F39" s="828">
        <f t="shared" si="12"/>
        <v>13925.286075482429</v>
      </c>
      <c r="G39" s="828">
        <f t="shared" si="13"/>
        <v>1392.5286075482429</v>
      </c>
      <c r="H39" s="828"/>
      <c r="I39" s="829" t="s">
        <v>6153</v>
      </c>
      <c r="J39" s="830">
        <f t="shared" si="11"/>
        <v>85643.5</v>
      </c>
      <c r="K39" s="830">
        <f t="shared" si="11"/>
        <v>97592.25</v>
      </c>
      <c r="L39" s="831">
        <f>AVERAGEIFS('Refugees Recorded'!$E:$E,'Refugees Recorded'!$C:$C,'Refugee Cost Calculations'!$I39,'Refugees Recorded'!$F:$F,'Refugee Cost Calculations'!L$10,'Refugees Recorded'!$H:$H,'Refugee Cost Calculations'!L$9)</f>
        <v>109541</v>
      </c>
      <c r="M39" s="831">
        <f>AVERAGEIFS('Refugees Recorded'!$E:$E,'Refugees Recorded'!$C:$C,'Refugee Cost Calculations'!$I39,'Refugees Recorded'!$F:$F,'Refugee Cost Calculations'!M$10,'Refugees Recorded'!$H:$H,'Refugee Cost Calculations'!M$9)</f>
        <v>121489.75</v>
      </c>
      <c r="N39" s="831">
        <f>AVERAGEIFS('Refugees Recorded'!$E:$E,'Refugees Recorded'!$C:$C,'Refugee Cost Calculations'!$I39,'Refugees Recorded'!$F:$F,'Refugee Cost Calculations'!N$10,'Refugees Recorded'!$H:$H,'Refugee Cost Calculations'!N$9)</f>
        <v>128884</v>
      </c>
      <c r="O39" s="831">
        <f>AVERAGEIFS('Refugees Recorded'!$E:$E,'Refugees Recorded'!$C:$C,'Refugee Cost Calculations'!$I39,'Refugees Recorded'!$F:$F,'Refugee Cost Calculations'!O$10,'Refugees Recorded'!$H:$H,'Refugee Cost Calculations'!O$9)</f>
        <v>135918.25</v>
      </c>
      <c r="P39" s="831">
        <f>AVERAGEIFS('Refugees Recorded'!$E:$E,'Refugees Recorded'!$C:$C,'Refugee Cost Calculations'!$I39,'Refugees Recorded'!$F:$F,'Refugee Cost Calculations'!P$10,'Refugees Recorded'!$H:$H,'Refugee Cost Calculations'!P$9)</f>
        <v>142562.5</v>
      </c>
      <c r="Q39" s="831">
        <f>AVERAGEIFS('Refugees Recorded'!$E:$E,'Refugees Recorded'!$C:$C,'Refugee Cost Calculations'!$I39,'Refugees Recorded'!$F:$F,'Refugee Cost Calculations'!Q$10,'Refugees Recorded'!$H:$H,'Refugee Cost Calculations'!Q$9)</f>
        <v>148110.79999999999</v>
      </c>
      <c r="R39" s="831">
        <f>AVERAGEIFS('Refugees Recorded'!$E:$E,'Refugees Recorded'!$C:$C,'Refugee Cost Calculations'!$I39,'Refugees Recorded'!$F:$F,'Refugee Cost Calculations'!R$10,'Refugees Recorded'!$H:$H,'Refugee Cost Calculations'!R$9)</f>
        <v>153692.5</v>
      </c>
      <c r="S39" s="831">
        <f>AVERAGEIFS('Refugees Recorded'!$E:$E,'Refugees Recorded'!$C:$C,'Refugee Cost Calculations'!$I39,'Refugees Recorded'!$F:$F,'Refugee Cost Calculations'!S$10,'Refugees Recorded'!$H:$H,'Refugee Cost Calculations'!S$9)</f>
        <v>159213.66666666666</v>
      </c>
      <c r="T39" s="831">
        <f>AVERAGEIFS('Refugees Recorded'!$E:$E,'Refugees Recorded'!$C:$C,'Refugee Cost Calculations'!$I39,'Refugees Recorded'!$F:$F,'Refugee Cost Calculations'!T$10,'Refugees Recorded'!$H:$H,'Refugee Cost Calculations'!T$9)</f>
        <v>161012</v>
      </c>
      <c r="U39" s="831">
        <f>AVERAGEIFS('Refugees Recorded'!$E:$E,'Refugees Recorded'!$C:$C,'Refugee Cost Calculations'!$I39,'Refugees Recorded'!$F:$F,'Refugee Cost Calculations'!U$10,'Refugees Recorded'!$H:$H,'Refugee Cost Calculations'!U$9)</f>
        <v>167737.33333333334</v>
      </c>
      <c r="V39" s="831">
        <f>AVERAGEIFS('Refugees Recorded'!$E:$E,'Refugees Recorded'!$C:$C,'Refugee Cost Calculations'!$I39,'Refugees Recorded'!$F:$F,'Refugee Cost Calculations'!V$10,'Refugees Recorded'!$H:$H,'Refugee Cost Calculations'!V$9)</f>
        <v>171061</v>
      </c>
      <c r="W39" s="831">
        <f>AVERAGEIFS('Refugees Recorded'!$E:$E,'Refugees Recorded'!$C:$C,'Refugee Cost Calculations'!$I39,'Refugees Recorded'!$F:$F,'Refugee Cost Calculations'!W$10,'Refugees Recorded'!$H:$H,'Refugee Cost Calculations'!W$9)</f>
        <v>173588.25</v>
      </c>
      <c r="X39" s="831">
        <f>AVERAGEIFS('Refugees Recorded'!$E:$E,'Refugees Recorded'!$C:$C,'Refugee Cost Calculations'!$I39,'Refugees Recorded'!$F:$F,'Refugee Cost Calculations'!X$10,'Refugees Recorded'!$H:$H,'Refugee Cost Calculations'!X$9)</f>
        <v>177691.33333333334</v>
      </c>
      <c r="Y39" s="831">
        <f>AVERAGEIFS('Refugees Recorded'!$E:$E,'Refugees Recorded'!$C:$C,'Refugee Cost Calculations'!$I39,'Refugees Recorded'!$F:$F,'Refugee Cost Calculations'!Y$10,'Refugees Recorded'!$H:$H,'Refugee Cost Calculations'!Y$9)</f>
        <v>182600</v>
      </c>
      <c r="Z39" s="831">
        <f>AVERAGEIFS('Refugees Recorded'!$E$174:$E$1129,'Refugees Recorded'!$C$174:$C$1129,'Refugee Cost Calculations'!$I39,'Refugees Recorded'!$F$174:$F$1129,'Refugee Cost Calculations'!Z$10,'Refugees Recorded'!$H$174:$H$1129,'Refugee Cost Calculations'!Z$9)</f>
        <v>171061</v>
      </c>
    </row>
    <row r="40" spans="2:26">
      <c r="B40" s="817" t="s">
        <v>3548</v>
      </c>
      <c r="C40" s="826">
        <f t="shared" si="2"/>
        <v>0.58089694393973157</v>
      </c>
      <c r="D40" s="826">
        <f>100*C40/VLOOKUP(B40,'Country Summary (€)'!B:S,8,0)</f>
        <v>9.9316462173895975E-2</v>
      </c>
      <c r="E40" s="827">
        <v>325000000</v>
      </c>
      <c r="F40" s="828">
        <f t="shared" si="12"/>
        <v>8356.3310992646439</v>
      </c>
      <c r="G40" s="828">
        <f t="shared" si="13"/>
        <v>835.63310992646439</v>
      </c>
      <c r="H40" s="828"/>
      <c r="I40" s="829" t="s">
        <v>6154</v>
      </c>
      <c r="J40" s="830">
        <f t="shared" si="11"/>
        <v>38193.333333333328</v>
      </c>
      <c r="K40" s="830">
        <f t="shared" si="11"/>
        <v>38892.666666666664</v>
      </c>
      <c r="L40" s="831">
        <f>AVERAGEIFS('Refugees Recorded'!$E:$E,'Refugees Recorded'!$C:$C,'Refugee Cost Calculations'!$I40,'Refugees Recorded'!$F:$F,'Refugee Cost Calculations'!L$10,'Refugees Recorded'!$H:$H,'Refugee Cost Calculations'!L$9)</f>
        <v>39592</v>
      </c>
      <c r="M40" s="831">
        <f>AVERAGEIFS('Refugees Recorded'!$E:$E,'Refugees Recorded'!$C:$C,'Refugee Cost Calculations'!$I40,'Refugees Recorded'!$F:$F,'Refugee Cost Calculations'!M$10,'Refugees Recorded'!$H:$H,'Refugee Cost Calculations'!M$9)</f>
        <v>40291.333333333336</v>
      </c>
      <c r="N40" s="831">
        <f>AVERAGEIFS('Refugees Recorded'!$E:$E,'Refugees Recorded'!$C:$C,'Refugee Cost Calculations'!$I40,'Refugees Recorded'!$F:$F,'Refugee Cost Calculations'!N$10,'Refugees Recorded'!$H:$H,'Refugee Cost Calculations'!N$9)</f>
        <v>42039.75</v>
      </c>
      <c r="O40" s="831">
        <f>AVERAGEIFS('Refugees Recorded'!$E:$E,'Refugees Recorded'!$C:$C,'Refugee Cost Calculations'!$I40,'Refugees Recorded'!$F:$F,'Refugee Cost Calculations'!O$10,'Refugees Recorded'!$H:$H,'Refugee Cost Calculations'!O$9)</f>
        <v>43883.75</v>
      </c>
      <c r="P40" s="831">
        <f>AVERAGEIFS('Refugees Recorded'!$E:$E,'Refugees Recorded'!$C:$C,'Refugee Cost Calculations'!$I40,'Refugees Recorded'!$F:$F,'Refugee Cost Calculations'!P$10,'Refugees Recorded'!$H:$H,'Refugee Cost Calculations'!P$9)</f>
        <v>46197.8</v>
      </c>
      <c r="Q40" s="831">
        <f>AVERAGEIFS('Refugees Recorded'!$E:$E,'Refugees Recorded'!$C:$C,'Refugee Cost Calculations'!$I40,'Refugees Recorded'!$F:$F,'Refugee Cost Calculations'!Q$10,'Refugees Recorded'!$H:$H,'Refugee Cost Calculations'!Q$9)</f>
        <v>47157</v>
      </c>
      <c r="R40" s="831">
        <f>AVERAGEIFS('Refugees Recorded'!$E:$E,'Refugees Recorded'!$C:$C,'Refugee Cost Calculations'!$I40,'Refugees Recorded'!$F:$F,'Refugee Cost Calculations'!R$10,'Refugees Recorded'!$H:$H,'Refugee Cost Calculations'!R$9)</f>
        <v>48223.5</v>
      </c>
      <c r="S40" s="831">
        <f>AVERAGEIFS('Refugees Recorded'!$E:$E,'Refugees Recorded'!$C:$C,'Refugee Cost Calculations'!$I40,'Refugees Recorded'!$F:$F,'Refugee Cost Calculations'!S$10,'Refugees Recorded'!$H:$H,'Refugee Cost Calculations'!S$9)</f>
        <v>49841.75</v>
      </c>
      <c r="T40" s="831">
        <f>AVERAGEIFS('Refugees Recorded'!$E:$E,'Refugees Recorded'!$C:$C,'Refugee Cost Calculations'!$I40,'Refugees Recorded'!$F:$F,'Refugee Cost Calculations'!T$10,'Refugees Recorded'!$H:$H,'Refugee Cost Calculations'!T$9)</f>
        <v>50896</v>
      </c>
      <c r="U40" s="831">
        <f>AVERAGEIFS('Refugees Recorded'!$E:$E,'Refugees Recorded'!$C:$C,'Refugee Cost Calculations'!$I40,'Refugees Recorded'!$F:$F,'Refugee Cost Calculations'!U$10,'Refugees Recorded'!$H:$H,'Refugee Cost Calculations'!U$9)</f>
        <v>51532.5</v>
      </c>
      <c r="V40" s="830">
        <f>U40+U40-T40</f>
        <v>52169</v>
      </c>
      <c r="W40" s="830">
        <f t="shared" ref="W40:Y40" si="14">V40+V40-U40</f>
        <v>52805.5</v>
      </c>
      <c r="X40" s="830">
        <f t="shared" si="14"/>
        <v>53442</v>
      </c>
      <c r="Y40" s="830">
        <f t="shared" si="14"/>
        <v>54078.5</v>
      </c>
      <c r="Z40" s="831" t="e">
        <f>AVERAGEIFS('Refugees Recorded'!$E$174:$E$1129,'Refugees Recorded'!$C$174:$C$1129,'Refugee Cost Calculations'!$I40,'Refugees Recorded'!$F$174:$F$1129,'Refugee Cost Calculations'!Z$10,'Refugees Recorded'!$H$174:$H$1129,'Refugee Cost Calculations'!Z$9)</f>
        <v>#DIV/0!</v>
      </c>
    </row>
    <row r="41" spans="2:26">
      <c r="B41" s="817" t="s">
        <v>3649</v>
      </c>
      <c r="C41" s="826">
        <f t="shared" si="2"/>
        <v>1.4953931580888626</v>
      </c>
      <c r="D41" s="826">
        <f>100*C41/VLOOKUP(B41,'Country Summary (€)'!B:S,8,0)</f>
        <v>0.20298673171406068</v>
      </c>
      <c r="E41" s="827">
        <v>714000000</v>
      </c>
      <c r="F41" s="828">
        <f t="shared" si="12"/>
        <v>15722.456799026704</v>
      </c>
      <c r="G41" s="828">
        <f t="shared" si="13"/>
        <v>1572.2456799026704</v>
      </c>
      <c r="H41" s="828"/>
      <c r="I41" s="829" t="s">
        <v>6155</v>
      </c>
      <c r="J41" s="830">
        <f t="shared" si="11"/>
        <v>40722.5</v>
      </c>
      <c r="K41" s="830">
        <f t="shared" si="11"/>
        <v>45412.75</v>
      </c>
      <c r="L41" s="831">
        <f>AVERAGEIFS('Refugees Recorded'!$E:$E,'Refugees Recorded'!$C:$C,'Refugee Cost Calculations'!$I41,'Refugees Recorded'!$F:$F,'Refugee Cost Calculations'!L$10,'Refugees Recorded'!$H:$H,'Refugee Cost Calculations'!L$9)</f>
        <v>50103</v>
      </c>
      <c r="M41" s="831">
        <f>AVERAGEIFS('Refugees Recorded'!$E:$E,'Refugees Recorded'!$C:$C,'Refugee Cost Calculations'!$I41,'Refugees Recorded'!$F:$F,'Refugee Cost Calculations'!M$10,'Refugees Recorded'!$H:$H,'Refugee Cost Calculations'!M$9)</f>
        <v>54793.25</v>
      </c>
      <c r="N41" s="831">
        <f>AVERAGEIFS('Refugees Recorded'!$E:$E,'Refugees Recorded'!$C:$C,'Refugee Cost Calculations'!$I41,'Refugees Recorded'!$F:$F,'Refugee Cost Calculations'!N$10,'Refugees Recorded'!$H:$H,'Refugee Cost Calculations'!N$9)</f>
        <v>57688</v>
      </c>
      <c r="O41" s="831">
        <f>AVERAGEIFS('Refugees Recorded'!$E:$E,'Refugees Recorded'!$C:$C,'Refugee Cost Calculations'!$I41,'Refugees Recorded'!$F:$F,'Refugee Cost Calculations'!O$10,'Refugees Recorded'!$H:$H,'Refugee Cost Calculations'!O$9)</f>
        <v>60898</v>
      </c>
      <c r="P41" s="831">
        <f>AVERAGEIFS('Refugees Recorded'!$E:$E,'Refugees Recorded'!$C:$C,'Refugee Cost Calculations'!$I41,'Refugees Recorded'!$F:$F,'Refugee Cost Calculations'!P$10,'Refugees Recorded'!$H:$H,'Refugee Cost Calculations'!P$9)</f>
        <v>63330.5</v>
      </c>
      <c r="Q41" s="831">
        <f>AVERAGEIFS('Refugees Recorded'!$E:$E,'Refugees Recorded'!$C:$C,'Refugee Cost Calculations'!$I41,'Refugees Recorded'!$F:$F,'Refugee Cost Calculations'!Q$10,'Refugees Recorded'!$H:$H,'Refugee Cost Calculations'!Q$9)</f>
        <v>66716</v>
      </c>
      <c r="R41" s="831">
        <f>AVERAGEIFS('Refugees Recorded'!$E:$E,'Refugees Recorded'!$C:$C,'Refugee Cost Calculations'!$I41,'Refugees Recorded'!$F:$F,'Refugee Cost Calculations'!R$10,'Refugees Recorded'!$H:$H,'Refugee Cost Calculations'!R$9)</f>
        <v>69129.666666666672</v>
      </c>
      <c r="S41" s="831">
        <f>AVERAGEIFS('Refugees Recorded'!$E:$E,'Refugees Recorded'!$C:$C,'Refugee Cost Calculations'!$I41,'Refugees Recorded'!$F:$F,'Refugee Cost Calculations'!S$10,'Refugees Recorded'!$H:$H,'Refugee Cost Calculations'!S$9)</f>
        <v>72834.666666666672</v>
      </c>
      <c r="T41" s="831">
        <f>AVERAGEIFS('Refugees Recorded'!$E:$E,'Refugees Recorded'!$C:$C,'Refugee Cost Calculations'!$I41,'Refugees Recorded'!$F:$F,'Refugee Cost Calculations'!T$10,'Refugees Recorded'!$H:$H,'Refugee Cost Calculations'!T$9)</f>
        <v>77962.5</v>
      </c>
      <c r="U41" s="831">
        <f>AVERAGEIFS('Refugees Recorded'!$E:$E,'Refugees Recorded'!$C:$C,'Refugee Cost Calculations'!$I41,'Refugees Recorded'!$F:$F,'Refugee Cost Calculations'!U$10,'Refugees Recorded'!$H:$H,'Refugee Cost Calculations'!U$9)</f>
        <v>80844.333333333328</v>
      </c>
      <c r="V41" s="831">
        <f>AVERAGEIFS('Refugees Recorded'!$E:$E,'Refugees Recorded'!$C:$C,'Refugee Cost Calculations'!$I41,'Refugees Recorded'!$F:$F,'Refugee Cost Calculations'!V$10,'Refugees Recorded'!$H:$H,'Refugee Cost Calculations'!V$9)</f>
        <v>79337.600000000006</v>
      </c>
      <c r="W41" s="831">
        <f>AVERAGEIFS('Refugees Recorded'!$E:$E,'Refugees Recorded'!$C:$C,'Refugee Cost Calculations'!$I41,'Refugees Recorded'!$F:$F,'Refugee Cost Calculations'!W$10,'Refugees Recorded'!$H:$H,'Refugee Cost Calculations'!W$9)</f>
        <v>65745.5</v>
      </c>
      <c r="X41" s="831">
        <f>AVERAGEIFS('Refugees Recorded'!$E:$E,'Refugees Recorded'!$C:$C,'Refugee Cost Calculations'!$I41,'Refugees Recorded'!$F:$F,'Refugee Cost Calculations'!X$10,'Refugees Recorded'!$H:$H,'Refugee Cost Calculations'!X$9)</f>
        <v>65601</v>
      </c>
      <c r="Y41" s="831">
        <f>AVERAGEIFS('Refugees Recorded'!$E:$E,'Refugees Recorded'!$C:$C,'Refugee Cost Calculations'!$I41,'Refugees Recorded'!$F:$F,'Refugee Cost Calculations'!Y$10,'Refugees Recorded'!$H:$H,'Refugee Cost Calculations'!Y$9)</f>
        <v>65823</v>
      </c>
      <c r="Z41" s="831">
        <f>AVERAGEIFS('Refugees Recorded'!$E$174:$E$1129,'Refugees Recorded'!$C$174:$C$1129,'Refugee Cost Calculations'!$I41,'Refugees Recorded'!$F$174:$F$1129,'Refugee Cost Calculations'!Z$10,'Refugees Recorded'!$H$174:$H$1129,'Refugee Cost Calculations'!Z$9)</f>
        <v>79337.600000000006</v>
      </c>
    </row>
    <row r="42" spans="2:26">
      <c r="B42" s="817" t="s">
        <v>3685</v>
      </c>
      <c r="C42" s="826">
        <f t="shared" si="2"/>
        <v>1.3178182601321753</v>
      </c>
      <c r="D42" s="826">
        <f>100*C42/VLOOKUP(B42,'Country Summary (€)'!B:S,8,0)</f>
        <v>0.17486487942909032</v>
      </c>
      <c r="E42" s="827" t="s">
        <v>5031</v>
      </c>
      <c r="F42" s="827" t="s">
        <v>5031</v>
      </c>
      <c r="G42" s="828">
        <v>1149.6482839762689</v>
      </c>
      <c r="H42" s="828"/>
      <c r="I42" s="817" t="s">
        <v>4681</v>
      </c>
      <c r="J42" s="830">
        <f t="shared" si="11"/>
        <v>47500</v>
      </c>
      <c r="K42" s="831">
        <f>AVERAGEIFS('Refugees Recorded'!$E$174:$E$1129,'Refugees Recorded'!$C$174:$C$1129,'Refugee Cost Calculations'!$I42,'Refugees Recorded'!$F$174:$F$1129,'Refugee Cost Calculations'!K$10,'Refugees Recorded'!$H$174:$H$1129,'Refugee Cost Calculations'!K$9)</f>
        <v>85000</v>
      </c>
      <c r="L42" s="831">
        <f>AVERAGEIFS('Refugees Recorded'!$E:$E,'Refugees Recorded'!$C:$C,'Refugee Cost Calculations'!$I42,'Refugees Recorded'!$F:$F,'Refugee Cost Calculations'!L$10,'Refugees Recorded'!$H:$H,'Refugee Cost Calculations'!L$9)</f>
        <v>122500</v>
      </c>
      <c r="M42" s="830">
        <f>L42-(L42-S42)/7</f>
        <v>111677</v>
      </c>
      <c r="N42" s="830">
        <f>L42-(L42-S42)*2/7</f>
        <v>100854</v>
      </c>
      <c r="O42" s="830">
        <f>L42-(L42-S42)*3/7</f>
        <v>90031</v>
      </c>
      <c r="P42" s="830">
        <f>L42-(L42-S42)*4/7</f>
        <v>79208</v>
      </c>
      <c r="Q42" s="830">
        <f>L42-(L42-S42)*5/7</f>
        <v>68385</v>
      </c>
      <c r="R42" s="830">
        <f>L42-(L42-S42)*6/7</f>
        <v>57562</v>
      </c>
      <c r="S42" s="831">
        <f>AVERAGEIFS('Refugees Recorded'!$E:$E,'Refugees Recorded'!$C:$C,'Refugee Cost Calculations'!$I42,'Refugees Recorded'!$F:$F,'Refugee Cost Calculations'!S$10,'Refugees Recorded'!$H:$H,'Refugee Cost Calculations'!S$9)</f>
        <v>46739</v>
      </c>
      <c r="T42" s="831">
        <f>AVERAGEIFS('Refugees Recorded'!$E:$E,'Refugees Recorded'!$C:$C,'Refugee Cost Calculations'!$I42,'Refugees Recorded'!$F:$F,'Refugee Cost Calculations'!T$10,'Refugees Recorded'!$H:$H,'Refugee Cost Calculations'!T$9)</f>
        <v>81232.5</v>
      </c>
      <c r="U42" s="830">
        <f>T42+(Y42-T42)*1/5</f>
        <v>74298.600000000006</v>
      </c>
      <c r="V42" s="830">
        <f>T42+(Y42-T42)*2/5</f>
        <v>67364.7</v>
      </c>
      <c r="W42" s="830">
        <f>T42+(Y42-T42)*3/5</f>
        <v>60430.8</v>
      </c>
      <c r="X42" s="830">
        <f>T42+(Y42-T42)*4/5</f>
        <v>53496.9</v>
      </c>
      <c r="Y42" s="831">
        <f>AVERAGEIFS('Refugees Recorded'!$E:$E,'Refugees Recorded'!$C:$C,'Refugee Cost Calculations'!$I42,'Refugees Recorded'!$F:$F,'Refugee Cost Calculations'!Y$10,'Refugees Recorded'!$H:$H,'Refugee Cost Calculations'!Y$9)</f>
        <v>46563</v>
      </c>
      <c r="Z42" s="831" t="e">
        <f>AVERAGEIFS('Refugees Recorded'!$E$174:$E$1129,'Refugees Recorded'!$C$174:$C$1129,'Refugee Cost Calculations'!$I42,'Refugees Recorded'!$F$174:$F$1129,'Refugee Cost Calculations'!Z$10,'Refugees Recorded'!$H$174:$H$1129,'Refugee Cost Calculations'!Z$9)</f>
        <v>#DIV/0!</v>
      </c>
    </row>
    <row r="43" spans="2:26">
      <c r="B43" s="817" t="s">
        <v>3748</v>
      </c>
      <c r="C43" s="826">
        <f t="shared" si="2"/>
        <v>1.0385338054812834</v>
      </c>
      <c r="D43" s="826">
        <f>100*C43/VLOOKUP(B43,'Country Summary (€)'!B:S,8,0)</f>
        <v>3.6044151336835986E-2</v>
      </c>
      <c r="E43" s="827">
        <v>207000000</v>
      </c>
      <c r="F43" s="828">
        <f>E43/K43</f>
        <v>5534.7593582887703</v>
      </c>
      <c r="G43" s="828">
        <f t="shared" ref="G43:G44" si="15">F43/10</f>
        <v>553.47593582887703</v>
      </c>
      <c r="H43" s="828"/>
      <c r="I43" s="817" t="s">
        <v>6156</v>
      </c>
      <c r="J43" s="830">
        <v>37400</v>
      </c>
      <c r="K43" s="830">
        <v>37400</v>
      </c>
      <c r="L43" s="831">
        <f>AVERAGEIFS('Refugees Recorded'!$E:$E,'Refugees Recorded'!$C:$C,'Refugee Cost Calculations'!$I43,'Refugees Recorded'!$F:$F,'Refugee Cost Calculations'!L$10,'Refugees Recorded'!$H:$H,'Refugee Cost Calculations'!L$9)</f>
        <v>37400</v>
      </c>
      <c r="M43" s="831">
        <f>AVERAGEIFS('Refugees Recorded'!$E:$E,'Refugees Recorded'!$C:$C,'Refugee Cost Calculations'!$I43,'Refugees Recorded'!$F:$F,'Refugee Cost Calculations'!M$10,'Refugees Recorded'!$H:$H,'Refugee Cost Calculations'!M$9)</f>
        <v>79100</v>
      </c>
      <c r="N43" s="831">
        <f>AVERAGEIFS('Refugees Recorded'!$E:$E,'Refugees Recorded'!$C:$C,'Refugee Cost Calculations'!$I43,'Refugees Recorded'!$F:$F,'Refugee Cost Calculations'!N$10,'Refugees Recorded'!$H:$H,'Refugee Cost Calculations'!N$9)</f>
        <v>97525</v>
      </c>
      <c r="O43" s="831">
        <f>AVERAGEIFS('Refugees Recorded'!$E:$E,'Refugees Recorded'!$C:$C,'Refugee Cost Calculations'!$I43,'Refugees Recorded'!$F:$F,'Refugee Cost Calculations'!O$10,'Refugees Recorded'!$H:$H,'Refugee Cost Calculations'!O$9)</f>
        <v>114720</v>
      </c>
      <c r="P43" s="831">
        <f>AVERAGEIFS('Refugees Recorded'!$E:$E,'Refugees Recorded'!$C:$C,'Refugee Cost Calculations'!$I43,'Refugees Recorded'!$F:$F,'Refugee Cost Calculations'!P$10,'Refugees Recorded'!$H:$H,'Refugee Cost Calculations'!P$9)</f>
        <v>127375</v>
      </c>
      <c r="Q43" s="831">
        <f>AVERAGEIFS('Refugees Recorded'!$E:$E,'Refugees Recorded'!$C:$C,'Refugee Cost Calculations'!$I43,'Refugees Recorded'!$F:$F,'Refugee Cost Calculations'!Q$10,'Refugees Recorded'!$H:$H,'Refugee Cost Calculations'!Q$9)</f>
        <v>137375</v>
      </c>
      <c r="R43" s="831">
        <f>AVERAGEIFS('Refugees Recorded'!$E:$E,'Refugees Recorded'!$C:$C,'Refugee Cost Calculations'!$I43,'Refugees Recorded'!$F:$F,'Refugee Cost Calculations'!R$10,'Refugees Recorded'!$H:$H,'Refugee Cost Calculations'!R$9)</f>
        <v>144640</v>
      </c>
      <c r="S43" s="831">
        <f>AVERAGEIFS('Refugees Recorded'!$E:$E,'Refugees Recorded'!$C:$C,'Refugee Cost Calculations'!$I43,'Refugees Recorded'!$F:$F,'Refugee Cost Calculations'!S$10,'Refugees Recorded'!$H:$H,'Refugee Cost Calculations'!S$9)</f>
        <v>151400</v>
      </c>
      <c r="T43" s="831">
        <f>AVERAGEIFS('Refugees Recorded'!$E:$E,'Refugees Recorded'!$C:$C,'Refugee Cost Calculations'!$I43,'Refugees Recorded'!$F:$F,'Refugee Cost Calculations'!T$10,'Refugees Recorded'!$H:$H,'Refugee Cost Calculations'!T$9)</f>
        <v>156550</v>
      </c>
      <c r="U43" s="831">
        <f>AVERAGEIFS('Refugees Recorded'!$E:$E,'Refugees Recorded'!$C:$C,'Refugee Cost Calculations'!$I43,'Refugees Recorded'!$F:$F,'Refugee Cost Calculations'!U$10,'Refugees Recorded'!$H:$H,'Refugee Cost Calculations'!U$9)</f>
        <v>163025</v>
      </c>
      <c r="V43" s="831">
        <f>AVERAGEIFS('Refugees Recorded'!$E:$E,'Refugees Recorded'!$C:$C,'Refugee Cost Calculations'!$I43,'Refugees Recorded'!$F:$F,'Refugee Cost Calculations'!V$10,'Refugees Recorded'!$H:$H,'Refugee Cost Calculations'!V$9)</f>
        <v>186825</v>
      </c>
      <c r="W43" s="831">
        <f>AVERAGEIFS('Refugees Recorded'!$E:$E,'Refugees Recorded'!$C:$C,'Refugee Cost Calculations'!$I43,'Refugees Recorded'!$F:$F,'Refugee Cost Calculations'!W$10,'Refugees Recorded'!$H:$H,'Refugee Cost Calculations'!W$9)</f>
        <v>201350</v>
      </c>
      <c r="X43" s="831">
        <f>AVERAGEIFS('Refugees Recorded'!$E:$E,'Refugees Recorded'!$C:$C,'Refugee Cost Calculations'!$I43,'Refugees Recorded'!$F:$F,'Refugee Cost Calculations'!X$10,'Refugees Recorded'!$H:$H,'Refugee Cost Calculations'!X$9)</f>
        <v>204299.75</v>
      </c>
      <c r="Y43" s="830">
        <f t="shared" ref="Y43" si="16">X43+X43-W43</f>
        <v>207249.5</v>
      </c>
      <c r="Z43" s="831">
        <f>AVERAGEIFS('Refugees Recorded'!$E$174:$E$1129,'Refugees Recorded'!$C$174:$C$1129,'Refugee Cost Calculations'!$I43,'Refugees Recorded'!$F$174:$F$1129,'Refugee Cost Calculations'!Z$10,'Refugees Recorded'!$H$174:$H$1129,'Refugee Cost Calculations'!Z$9)</f>
        <v>186825</v>
      </c>
    </row>
    <row r="44" spans="2:26">
      <c r="B44" s="817" t="s">
        <v>3949</v>
      </c>
      <c r="C44" s="817">
        <v>0</v>
      </c>
      <c r="D44" s="817">
        <v>0</v>
      </c>
      <c r="E44" s="817">
        <v>0</v>
      </c>
      <c r="F44" s="817">
        <f>E44/K44</f>
        <v>0</v>
      </c>
      <c r="G44" s="817">
        <f t="shared" si="15"/>
        <v>0</v>
      </c>
      <c r="I44" s="833" t="s">
        <v>6173</v>
      </c>
      <c r="J44" s="834">
        <v>32</v>
      </c>
      <c r="K44" s="834">
        <v>30</v>
      </c>
      <c r="L44" s="834">
        <v>6</v>
      </c>
      <c r="M44" s="834">
        <v>1</v>
      </c>
      <c r="N44" s="834">
        <v>1</v>
      </c>
      <c r="O44" s="834">
        <v>2</v>
      </c>
      <c r="P44" s="834">
        <v>1</v>
      </c>
      <c r="Q44" s="834">
        <v>3</v>
      </c>
      <c r="R44" s="834">
        <v>4</v>
      </c>
      <c r="S44" s="834">
        <v>5</v>
      </c>
      <c r="T44" s="834">
        <v>6</v>
      </c>
      <c r="U44" s="834">
        <v>6</v>
      </c>
      <c r="V44" s="834">
        <v>10</v>
      </c>
      <c r="W44" s="834">
        <v>8</v>
      </c>
      <c r="X44" s="834">
        <v>11</v>
      </c>
      <c r="Y44" s="834">
        <v>14</v>
      </c>
      <c r="Z44" s="834"/>
    </row>
    <row r="45" spans="2:26">
      <c r="B45" s="37" t="s">
        <v>713</v>
      </c>
      <c r="C45" s="817">
        <v>0</v>
      </c>
      <c r="D45" s="817">
        <v>0</v>
      </c>
      <c r="E45" s="817">
        <v>0</v>
      </c>
      <c r="F45" s="817">
        <v>0</v>
      </c>
      <c r="G45" s="817">
        <v>0</v>
      </c>
    </row>
    <row r="46" spans="2:26">
      <c r="B46" s="13" t="s">
        <v>905</v>
      </c>
      <c r="C46" s="817">
        <v>0</v>
      </c>
      <c r="D46" s="817">
        <v>0</v>
      </c>
      <c r="E46" s="817">
        <v>0</v>
      </c>
      <c r="F46" s="817">
        <v>0</v>
      </c>
      <c r="G46" s="817">
        <v>0</v>
      </c>
    </row>
    <row r="47" spans="2:26">
      <c r="B47" s="817" t="s">
        <v>2076</v>
      </c>
      <c r="C47" s="817">
        <v>0</v>
      </c>
      <c r="D47" s="817">
        <v>0</v>
      </c>
      <c r="E47" s="817">
        <v>0</v>
      </c>
      <c r="F47" s="817">
        <v>0</v>
      </c>
      <c r="G47" s="817">
        <v>0</v>
      </c>
    </row>
    <row r="48" spans="2:26">
      <c r="B48" s="817" t="s">
        <v>3162</v>
      </c>
      <c r="C48" s="817">
        <v>0</v>
      </c>
      <c r="D48" s="817">
        <v>0</v>
      </c>
      <c r="E48" s="817">
        <v>0</v>
      </c>
      <c r="F48" s="817">
        <v>0</v>
      </c>
      <c r="G48" s="817">
        <v>0</v>
      </c>
    </row>
    <row r="49" spans="2:7">
      <c r="B49" s="13" t="s">
        <v>2832</v>
      </c>
      <c r="C49" s="817">
        <v>0</v>
      </c>
      <c r="D49" s="817">
        <v>0</v>
      </c>
      <c r="E49" s="817">
        <v>0</v>
      </c>
      <c r="F49" s="817">
        <v>0</v>
      </c>
      <c r="G49" s="817">
        <v>0</v>
      </c>
    </row>
    <row r="50" spans="2:7">
      <c r="B50" s="13" t="s">
        <v>3713</v>
      </c>
      <c r="C50" s="817">
        <v>0</v>
      </c>
      <c r="D50" s="817">
        <v>0</v>
      </c>
      <c r="E50" s="817">
        <v>0</v>
      </c>
      <c r="F50" s="817">
        <v>0</v>
      </c>
      <c r="G50" s="817">
        <f t="shared" ref="G50" si="17">F50/10</f>
        <v>0</v>
      </c>
    </row>
    <row r="51" spans="2:7">
      <c r="B51" s="37" t="s">
        <v>359</v>
      </c>
      <c r="C51" s="817">
        <v>0</v>
      </c>
      <c r="D51" s="817">
        <v>0</v>
      </c>
      <c r="E51" s="817">
        <v>0</v>
      </c>
      <c r="F51" s="817">
        <v>0</v>
      </c>
      <c r="G51" s="817">
        <v>0</v>
      </c>
    </row>
    <row r="52" spans="2:7">
      <c r="B52" s="817" t="s">
        <v>2312</v>
      </c>
      <c r="C52" s="817">
        <v>0</v>
      </c>
      <c r="D52" s="817">
        <v>0</v>
      </c>
      <c r="E52" s="817">
        <v>0</v>
      </c>
      <c r="F52" s="817">
        <v>0</v>
      </c>
      <c r="G52" s="817">
        <v>0</v>
      </c>
    </row>
  </sheetData>
  <mergeCells count="1">
    <mergeCell ref="B4:F9"/>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7E5A-21C0-4925-8ED1-90DFF2C08EB9}">
  <sheetPr>
    <tabColor rgb="FFA9D08E"/>
  </sheetPr>
  <dimension ref="A1:U166"/>
  <sheetViews>
    <sheetView showGridLines="0" zoomScaleNormal="100" workbookViewId="0"/>
  </sheetViews>
  <sheetFormatPr defaultColWidth="8.625" defaultRowHeight="15.95" customHeight="1"/>
  <cols>
    <col min="1" max="1" width="8.625" style="2" customWidth="1"/>
    <col min="2" max="2" width="25.5" style="24" customWidth="1"/>
    <col min="3" max="3" width="10.5" style="297" bestFit="1" customWidth="1"/>
    <col min="4" max="4" width="23.875" style="24" customWidth="1"/>
    <col min="5" max="5" width="26.625" style="24" customWidth="1"/>
    <col min="6" max="6" width="22.125" style="138" customWidth="1"/>
    <col min="7" max="7" width="26.625" style="138" customWidth="1"/>
    <col min="8" max="8" width="21" style="298" customWidth="1"/>
    <col min="9" max="9" width="15.5" style="299" customWidth="1"/>
    <col min="10" max="10" width="25.125" style="27" customWidth="1"/>
    <col min="11" max="11" width="23.125" style="24" bestFit="1" customWidth="1"/>
    <col min="12" max="12" width="24.125" style="24" bestFit="1" customWidth="1"/>
    <col min="13" max="13" width="23.875" style="24" bestFit="1" customWidth="1"/>
    <col min="14" max="14" width="26.5" style="24" bestFit="1" customWidth="1"/>
    <col min="15" max="15" width="26.5" style="300" bestFit="1" customWidth="1"/>
    <col min="16" max="16" width="29.125" style="37" bestFit="1" customWidth="1"/>
    <col min="17" max="17" width="29.125" style="301" bestFit="1" customWidth="1"/>
    <col min="18" max="18" width="28.625" style="24" bestFit="1" customWidth="1"/>
    <col min="19" max="19" width="40.125" style="24" bestFit="1" customWidth="1"/>
    <col min="20" max="20" width="8.625" style="24" customWidth="1"/>
    <col min="21" max="16384" width="8.625" style="24"/>
  </cols>
  <sheetData>
    <row r="1" spans="1:21" s="35" customFormat="1" ht="15.95" customHeight="1">
      <c r="B1" s="166"/>
      <c r="C1" s="166"/>
      <c r="D1" s="166"/>
      <c r="E1" s="166"/>
      <c r="F1" s="167"/>
      <c r="G1" s="166"/>
      <c r="H1" s="166"/>
      <c r="I1" s="166"/>
      <c r="J1" s="166"/>
      <c r="K1" s="166"/>
      <c r="L1" s="166"/>
      <c r="M1" s="166"/>
      <c r="N1" s="166"/>
      <c r="O1" s="166"/>
      <c r="P1" s="166"/>
      <c r="Q1" s="166"/>
      <c r="R1" s="166"/>
      <c r="S1" s="166"/>
    </row>
    <row r="2" spans="1:21" s="162" customFormat="1" ht="24.75" customHeight="1">
      <c r="A2" s="35"/>
      <c r="B2" s="364" t="s">
        <v>4510</v>
      </c>
      <c r="F2" s="429"/>
    </row>
    <row r="3" spans="1:21" s="162" customFormat="1" ht="15.95" customHeight="1">
      <c r="A3" s="35"/>
      <c r="B3" s="163"/>
      <c r="E3" s="164"/>
      <c r="F3" s="429"/>
    </row>
    <row r="4" spans="1:21" s="162" customFormat="1" ht="15.95" customHeight="1">
      <c r="A4" s="35"/>
      <c r="B4" s="1433" t="s">
        <v>4531</v>
      </c>
      <c r="C4" s="1434"/>
      <c r="D4" s="1434"/>
      <c r="E4" s="1434"/>
      <c r="F4" s="1434"/>
    </row>
    <row r="5" spans="1:21" s="162" customFormat="1" ht="15.95" customHeight="1">
      <c r="A5" s="35"/>
      <c r="B5" s="1434"/>
      <c r="C5" s="1434"/>
      <c r="D5" s="1434"/>
      <c r="E5" s="1434"/>
      <c r="F5" s="1434"/>
    </row>
    <row r="6" spans="1:21" s="162" customFormat="1" ht="15.95" customHeight="1">
      <c r="A6" s="35"/>
      <c r="B6" s="1434"/>
      <c r="C6" s="1434"/>
      <c r="D6" s="1434"/>
      <c r="E6" s="1434"/>
      <c r="F6" s="1434"/>
    </row>
    <row r="7" spans="1:21" s="162" customFormat="1" ht="15.95" customHeight="1">
      <c r="A7" s="35"/>
      <c r="B7" s="1434"/>
      <c r="C7" s="1434"/>
      <c r="D7" s="1434"/>
      <c r="E7" s="1434"/>
      <c r="F7" s="1434"/>
    </row>
    <row r="8" spans="1:21" s="162" customFormat="1" ht="15.95" customHeight="1">
      <c r="A8" s="35"/>
      <c r="B8" s="1434"/>
      <c r="C8" s="1434"/>
      <c r="D8" s="1434"/>
      <c r="E8" s="1434"/>
      <c r="F8" s="1434"/>
    </row>
    <row r="9" spans="1:21" s="43" customFormat="1" ht="15.95" customHeight="1">
      <c r="A9" s="35"/>
      <c r="B9" s="1434"/>
      <c r="C9" s="1434"/>
      <c r="D9" s="1434"/>
      <c r="E9" s="1434"/>
      <c r="F9" s="1434"/>
      <c r="H9" s="165"/>
    </row>
    <row r="10" spans="1:21" s="297" customFormat="1" ht="15.95" customHeight="1">
      <c r="A10" s="2"/>
      <c r="F10" s="277"/>
      <c r="G10" s="277"/>
      <c r="H10" s="303"/>
      <c r="I10" s="304"/>
      <c r="J10" s="305"/>
      <c r="O10" s="306"/>
      <c r="P10" s="307"/>
      <c r="Q10" s="308"/>
    </row>
    <row r="11" spans="1:21" s="310" customFormat="1" ht="15.95" customHeight="1">
      <c r="A11" s="2"/>
      <c r="B11" s="1429" t="s">
        <v>4512</v>
      </c>
      <c r="C11" s="1431" t="s">
        <v>4513</v>
      </c>
      <c r="D11" s="1348" t="s">
        <v>4514</v>
      </c>
      <c r="E11" s="1348" t="s">
        <v>4515</v>
      </c>
      <c r="F11" s="311" t="s">
        <v>4516</v>
      </c>
      <c r="G11" s="311" t="s">
        <v>4517</v>
      </c>
      <c r="H11" s="312" t="s">
        <v>4518</v>
      </c>
      <c r="I11" s="313" t="s">
        <v>4519</v>
      </c>
      <c r="J11" s="314" t="s">
        <v>4517</v>
      </c>
      <c r="K11" s="1348" t="s">
        <v>4520</v>
      </c>
      <c r="L11" s="1348" t="s">
        <v>4521</v>
      </c>
      <c r="M11" s="1348" t="s">
        <v>4522</v>
      </c>
      <c r="N11" s="1348" t="s">
        <v>4523</v>
      </c>
      <c r="O11" s="315" t="s">
        <v>4523</v>
      </c>
      <c r="P11" s="1348" t="s">
        <v>4524</v>
      </c>
      <c r="Q11" s="1348" t="s">
        <v>4524</v>
      </c>
      <c r="R11" s="316" t="s">
        <v>4525</v>
      </c>
      <c r="S11" s="1357" t="s">
        <v>4526</v>
      </c>
    </row>
    <row r="12" spans="1:21" s="310" customFormat="1" ht="15.95" customHeight="1">
      <c r="A12" s="2"/>
      <c r="B12" s="1430"/>
      <c r="C12" s="1432"/>
      <c r="D12" s="1349" t="s">
        <v>4532</v>
      </c>
      <c r="E12" s="1349" t="s">
        <v>4532</v>
      </c>
      <c r="F12" s="317" t="s">
        <v>4532</v>
      </c>
      <c r="G12" s="317" t="s">
        <v>4532</v>
      </c>
      <c r="H12" s="318" t="s">
        <v>4528</v>
      </c>
      <c r="I12" s="319" t="s">
        <v>4527</v>
      </c>
      <c r="J12" s="320" t="s">
        <v>4529</v>
      </c>
      <c r="K12" s="1349" t="s">
        <v>4532</v>
      </c>
      <c r="L12" s="1349" t="s">
        <v>4532</v>
      </c>
      <c r="M12" s="1349" t="s">
        <v>4532</v>
      </c>
      <c r="N12" s="1349" t="s">
        <v>4532</v>
      </c>
      <c r="O12" s="321" t="s">
        <v>4529</v>
      </c>
      <c r="P12" s="1349" t="s">
        <v>4532</v>
      </c>
      <c r="Q12" s="322" t="s">
        <v>4529</v>
      </c>
      <c r="R12" s="323" t="s">
        <v>4532</v>
      </c>
      <c r="S12" s="1358" t="s">
        <v>4532</v>
      </c>
    </row>
    <row r="13" spans="1:21" ht="15.95" customHeight="1">
      <c r="B13" s="2" t="s">
        <v>359</v>
      </c>
      <c r="C13" s="297">
        <v>0</v>
      </c>
      <c r="D13" s="261">
        <f>(SUMIFS('Bilateral Assistance, MAIN DATA'!S:S,'Bilateral Assistance, MAIN DATA'!D:D,"Financial",'Bilateral Assistance, MAIN DATA'!B:B,'Country Summary ($)'!B13)/1000000000)*VLOOKUP("USD",'Exchange Rates'!B:C,2,0)</f>
        <v>0</v>
      </c>
      <c r="E13" s="261">
        <f>SUMIFS('Bilateral Assistance, MAIN DATA'!S:S,'Bilateral Assistance, MAIN DATA'!D:D,"Humanitarian",'Bilateral Assistance, MAIN DATA'!B:B,'Country Summary ($)'!B13)/1000000000*VLOOKUP("USD",'Exchange Rates'!B:C,2,0)</f>
        <v>7.0875370121130543E-2</v>
      </c>
      <c r="F13" s="261">
        <f>SUMIFS('Bilateral Assistance, MAIN DATA'!S:S,'Bilateral Assistance, MAIN DATA'!D:D,"Military",'Bilateral Assistance, MAIN DATA'!B:B,'Country Summary ($)'!B13)/1000000000*VLOOKUP("USD",'Exchange Rates'!B:C,2,0)</f>
        <v>0.38981453566621804</v>
      </c>
      <c r="G13" s="264">
        <f>SUM(D13:F13)</f>
        <v>0.46068990578734859</v>
      </c>
      <c r="H13" s="324">
        <f>1552667363236.06/1000000000</f>
        <v>1552.6673632360601</v>
      </c>
      <c r="I13" s="299">
        <f>H13/VLOOKUP("USD",'Exchange Rates'!B:C,2,0)</f>
        <v>1428.6597011741444</v>
      </c>
      <c r="J13" s="325">
        <f>(G13/H13)*100</f>
        <v>2.9670869414501085E-2</v>
      </c>
      <c r="K13" s="138">
        <f>VLOOKUP(B13,'EU Aid Shares'!B:E,4,0)*VLOOKUP("USD",'Exchange Rates'!B:C,2,0)</f>
        <v>0</v>
      </c>
      <c r="L13" s="138">
        <f>VLOOKUP(B13,'EPF Aid Shares'!B:G,6,0)*VLOOKUP("USD",'Exchange Rates'!B:C,2,0)</f>
        <v>0</v>
      </c>
      <c r="M13" s="127">
        <f>VLOOKUP(B13,'EIB Aid Shares'!B:E,4,0)*VLOOKUP("USD",'Exchange Rates'!B:C,2,0)</f>
        <v>0</v>
      </c>
      <c r="N13" s="138">
        <f t="shared" ref="N13:N54" si="0">SUM(K13:M13)</f>
        <v>0</v>
      </c>
      <c r="O13" s="113">
        <f t="shared" ref="O13:O54" si="1">N13/(VLOOKUP(B13,B:I,7,0))*100</f>
        <v>0</v>
      </c>
      <c r="P13" s="266">
        <f t="shared" ref="P13:P54" si="2">N13+G13</f>
        <v>0.46068990578734859</v>
      </c>
      <c r="Q13" s="326">
        <f>(P13/H13)*100</f>
        <v>2.9670869414501085E-2</v>
      </c>
      <c r="R13" s="138">
        <f>SUMIFS('Bilateral Assistance, MAIN DATA'!S:S,'Bilateral Assistance, MAIN DATA'!AS:AS,1, 'Bilateral Assistance, MAIN DATA'!B:B,B13)/1000000000*VLOOKUP("USD",'Exchange Rates'!B:C,2,0)</f>
        <v>0.3840301480484522</v>
      </c>
      <c r="S13" s="261">
        <f>F13-R13</f>
        <v>5.7843876177658404E-3</v>
      </c>
    </row>
    <row r="14" spans="1:21" ht="15.95" customHeight="1">
      <c r="B14" s="24" t="s">
        <v>454</v>
      </c>
      <c r="C14" s="297">
        <v>1</v>
      </c>
      <c r="D14" s="261">
        <f>(SUMIFS('Bilateral Assistance, MAIN DATA'!S:S,'Bilateral Assistance, MAIN DATA'!D:D,"Financial",'Bilateral Assistance, MAIN DATA'!B:B,'Country Summary ($)'!B14)/1000000000)*VLOOKUP("USD",'Exchange Rates'!B:C,2,0)</f>
        <v>4.3472000000000004E-2</v>
      </c>
      <c r="E14" s="261">
        <f>SUMIFS('Bilateral Assistance, MAIN DATA'!S:S,'Bilateral Assistance, MAIN DATA'!D:D,"Humanitarian",'Bilateral Assistance, MAIN DATA'!B:B,'Country Summary ($)'!B14)/1000000000*VLOOKUP("USD",'Exchange Rates'!B:C,2,0)</f>
        <v>0.89407619949240003</v>
      </c>
      <c r="F14" s="261">
        <f>SUMIFS('Bilateral Assistance, MAIN DATA'!S:S,'Bilateral Assistance, MAIN DATA'!D:D,"Military",'Bilateral Assistance, MAIN DATA'!B:B,'Country Summary ($)'!B14)/1000000000*VLOOKUP("USD",'Exchange Rates'!B:C,2,0)</f>
        <v>3.5873740499999997E-3</v>
      </c>
      <c r="G14" s="264">
        <f t="shared" ref="G14:G54" si="3">SUM(D14:F14)</f>
        <v>0.94113557354239996</v>
      </c>
      <c r="H14" s="324">
        <f>(480368403893.364)/1000000000</f>
        <v>480.36840389336402</v>
      </c>
      <c r="I14" s="299">
        <f>H14/VLOOKUP("USD",'Exchange Rates'!B:C,2,0)</f>
        <v>442.0025799534082</v>
      </c>
      <c r="J14" s="325">
        <f t="shared" ref="J14:J54" si="4">(G14/H14)*100</f>
        <v>0.19591954131756772</v>
      </c>
      <c r="K14" s="138">
        <f>VLOOKUP(B14,'EU Aid Shares'!B:E,4,0)*VLOOKUP("USD",'Exchange Rates'!B:C,2,0)</f>
        <v>0.87446354123172021</v>
      </c>
      <c r="L14" s="138">
        <f>VLOOKUP(B14,'EPF Aid Shares'!B:G,6,0)*VLOOKUP("USD",'Exchange Rates'!B:C,2,0)</f>
        <v>0.17115377042467911</v>
      </c>
      <c r="M14" s="127">
        <f>VLOOKUP(B14,'EIB Aid Shares'!B:E,4,0)*VLOOKUP("USD",'Exchange Rates'!B:C,2,0)</f>
        <v>5.6237045141430367E-2</v>
      </c>
      <c r="N14" s="138">
        <f t="shared" si="0"/>
        <v>1.1018543567978298</v>
      </c>
      <c r="O14" s="113">
        <f t="shared" si="1"/>
        <v>0.22937694233578862</v>
      </c>
      <c r="P14" s="266">
        <f t="shared" si="2"/>
        <v>2.0429899303402297</v>
      </c>
      <c r="Q14" s="326">
        <f t="shared" ref="Q14:Q54" si="5">(P14/H14)*100</f>
        <v>0.42529648365335637</v>
      </c>
      <c r="R14" s="138">
        <f>SUMIFS('Bilateral Assistance, MAIN DATA'!S:S,'Bilateral Assistance, MAIN DATA'!AS:AS,1, 'Bilateral Assistance, MAIN DATA'!B:B,B14)/1000000000*VLOOKUP("USD",'Exchange Rates'!B:C,2,0)</f>
        <v>3.5873740499999997E-3</v>
      </c>
      <c r="S14" s="261">
        <f t="shared" ref="S14:S54" si="6">F14-R14</f>
        <v>0</v>
      </c>
    </row>
    <row r="15" spans="1:21" ht="15.95" customHeight="1">
      <c r="B15" s="24" t="s">
        <v>558</v>
      </c>
      <c r="C15" s="297">
        <v>1</v>
      </c>
      <c r="D15" s="261">
        <f>(SUMIFS('Bilateral Assistance, MAIN DATA'!S:S,'Bilateral Assistance, MAIN DATA'!D:D,"Financial",'Bilateral Assistance, MAIN DATA'!B:B,'Country Summary ($)'!B15)/1000000000)*VLOOKUP("USD",'Exchange Rates'!B:C,2,0)</f>
        <v>1.7454008E-2</v>
      </c>
      <c r="E15" s="261">
        <f>SUMIFS('Bilateral Assistance, MAIN DATA'!S:S,'Bilateral Assistance, MAIN DATA'!D:D,"Humanitarian",'Bilateral Assistance, MAIN DATA'!B:B,'Country Summary ($)'!B15)/1000000000*VLOOKUP("USD",'Exchange Rates'!B:C,2,0)</f>
        <v>9.7409884000000002E-2</v>
      </c>
      <c r="F15" s="261">
        <f>SUMIFS('Bilateral Assistance, MAIN DATA'!S:S,'Bilateral Assistance, MAIN DATA'!D:D,"Military",'Bilateral Assistance, MAIN DATA'!B:B,'Country Summary ($)'!B15)/1000000000*VLOOKUP("USD",'Exchange Rates'!B:C,2,0)</f>
        <v>0.41847400106511995</v>
      </c>
      <c r="G15" s="264">
        <f t="shared" si="3"/>
        <v>0.53333789306511992</v>
      </c>
      <c r="H15" s="324">
        <f>594104177539.525/1000000000</f>
        <v>594.10417753952504</v>
      </c>
      <c r="I15" s="299">
        <f>H15/VLOOKUP("USD",'Exchange Rates'!B:C,2,0)</f>
        <v>546.65456159323242</v>
      </c>
      <c r="J15" s="325">
        <f t="shared" si="4"/>
        <v>8.9771779635338042E-2</v>
      </c>
      <c r="K15" s="138">
        <f>VLOOKUP(B15,'EU Aid Shares'!B:E,4,0)*VLOOKUP("USD",'Exchange Rates'!B:C,2,0)</f>
        <v>1.0416987711114432</v>
      </c>
      <c r="L15" s="138">
        <f>VLOOKUP(B15,'EPF Aid Shares'!B:G,6,0)*VLOOKUP("USD",'Exchange Rates'!B:C,2,0)</f>
        <v>0.20989284450505127</v>
      </c>
      <c r="M15" s="127">
        <f>VLOOKUP(B15,'EIB Aid Shares'!B:E,4,0)*VLOOKUP("USD",'Exchange Rates'!B:C,2,0)</f>
        <v>0.11328871031044638</v>
      </c>
      <c r="N15" s="138">
        <f t="shared" si="0"/>
        <v>1.3648803259269406</v>
      </c>
      <c r="O15" s="113">
        <f t="shared" si="1"/>
        <v>0.2297375405740413</v>
      </c>
      <c r="P15" s="266">
        <f t="shared" si="2"/>
        <v>1.8982182189920604</v>
      </c>
      <c r="Q15" s="326">
        <f t="shared" si="5"/>
        <v>0.31950932020937933</v>
      </c>
      <c r="R15" s="138">
        <f>SUMIFS('Bilateral Assistance, MAIN DATA'!S:S,'Bilateral Assistance, MAIN DATA'!AS:AS,1, 'Bilateral Assistance, MAIN DATA'!B:B,B15)/1000000000*VLOOKUP("USD",'Exchange Rates'!B:C,2,0)</f>
        <v>0.41847400106511995</v>
      </c>
      <c r="S15" s="261">
        <f t="shared" si="6"/>
        <v>0</v>
      </c>
      <c r="T15" s="97"/>
      <c r="U15" s="97"/>
    </row>
    <row r="16" spans="1:21" ht="15.95" customHeight="1">
      <c r="B16" s="24" t="s">
        <v>673</v>
      </c>
      <c r="C16" s="297">
        <v>1</v>
      </c>
      <c r="D16" s="261">
        <f>(SUMIFS('Bilateral Assistance, MAIN DATA'!S:S,'Bilateral Assistance, MAIN DATA'!D:D,"Financial",'Bilateral Assistance, MAIN DATA'!B:B,'Country Summary ($)'!B16)/1000000000)*VLOOKUP("USD",'Exchange Rates'!B:C,2,0)</f>
        <v>0</v>
      </c>
      <c r="E16" s="261">
        <f>SUMIFS('Bilateral Assistance, MAIN DATA'!S:S,'Bilateral Assistance, MAIN DATA'!D:D,"Humanitarian",'Bilateral Assistance, MAIN DATA'!B:B,'Country Summary ($)'!B16)/1000000000*VLOOKUP("USD",'Exchange Rates'!B:C,2,0)</f>
        <v>7.6728080000000001E-4</v>
      </c>
      <c r="F16" s="261">
        <f>SUMIFS('Bilateral Assistance, MAIN DATA'!S:S,'Bilateral Assistance, MAIN DATA'!D:D,"Military",'Bilateral Assistance, MAIN DATA'!B:B,'Country Summary ($)'!B16)/1000000000*VLOOKUP("USD",'Exchange Rates'!B:C,2,0)</f>
        <v>0.26005849268841391</v>
      </c>
      <c r="G16" s="264">
        <f t="shared" si="3"/>
        <v>0.2608257734884139</v>
      </c>
      <c r="H16" s="299">
        <f>(84056312734.3089)/1000000000</f>
        <v>84.056312734308904</v>
      </c>
      <c r="I16" s="299">
        <f>H16/VLOOKUP("USD",'Exchange Rates'!B:C,2,0)</f>
        <v>77.342945099658536</v>
      </c>
      <c r="J16" s="325">
        <f t="shared" si="4"/>
        <v>0.31029885204797208</v>
      </c>
      <c r="K16" s="138">
        <f>VLOOKUP(B16,'EU Aid Shares'!B:E,4,0)*VLOOKUP("USD",'Exchange Rates'!B:C,2,0)</f>
        <v>0.18725394422724442</v>
      </c>
      <c r="L16" s="138">
        <f>VLOOKUP(B16,'EPF Aid Shares'!B:G,6,0)*VLOOKUP("USD",'Exchange Rates'!B:C,2,0)</f>
        <v>2.6512528127505951E-2</v>
      </c>
      <c r="M16" s="127">
        <f>VLOOKUP(B16,'EIB Aid Shares'!B:E,4,0)*VLOOKUP("USD",'Exchange Rates'!B:C,2,0)</f>
        <v>4.4615392738373881E-3</v>
      </c>
      <c r="N16" s="138">
        <f t="shared" si="0"/>
        <v>0.21822801162858776</v>
      </c>
      <c r="O16" s="113">
        <f t="shared" si="1"/>
        <v>0.25962120455887494</v>
      </c>
      <c r="P16" s="266">
        <f t="shared" si="2"/>
        <v>0.4790537851170017</v>
      </c>
      <c r="Q16" s="326">
        <f t="shared" si="5"/>
        <v>0.56992005660684708</v>
      </c>
      <c r="R16" s="138">
        <f>SUMIFS('Bilateral Assistance, MAIN DATA'!S:S,'Bilateral Assistance, MAIN DATA'!AS:AS,1, 'Bilateral Assistance, MAIN DATA'!B:B,B16)/1000000000*VLOOKUP("USD",'Exchange Rates'!B:C,2,0)</f>
        <v>0.26005849268841391</v>
      </c>
      <c r="S16" s="261">
        <f t="shared" si="6"/>
        <v>0</v>
      </c>
      <c r="T16" s="97"/>
      <c r="U16" s="97"/>
    </row>
    <row r="17" spans="2:21" ht="15.95" customHeight="1">
      <c r="B17" s="24" t="s">
        <v>713</v>
      </c>
      <c r="C17" s="297">
        <v>0</v>
      </c>
      <c r="D17" s="261">
        <f>(SUMIFS('Bilateral Assistance, MAIN DATA'!S:S,'Bilateral Assistance, MAIN DATA'!D:D,"Financial",'Bilateral Assistance, MAIN DATA'!B:B,'Country Summary ($)'!B17)/1000000000)*VLOOKUP("USD",'Exchange Rates'!B:C,2,0)</f>
        <v>3.7148916152652007</v>
      </c>
      <c r="E17" s="261">
        <f>SUMIFS('Bilateral Assistance, MAIN DATA'!S:S,'Bilateral Assistance, MAIN DATA'!D:D,"Humanitarian",'Bilateral Assistance, MAIN DATA'!B:B,'Country Summary ($)'!B17)/1000000000*VLOOKUP("USD",'Exchange Rates'!B:C,2,0)</f>
        <v>0.38160465717981895</v>
      </c>
      <c r="F17" s="261">
        <f>SUMIFS('Bilateral Assistance, MAIN DATA'!S:S,'Bilateral Assistance, MAIN DATA'!D:D,"Military",'Bilateral Assistance, MAIN DATA'!B:B,'Country Summary ($)'!B17)/1000000000*VLOOKUP("USD",'Exchange Rates'!B:C,2,0)</f>
        <v>1.6300067476376583</v>
      </c>
      <c r="G17" s="264">
        <f t="shared" si="3"/>
        <v>5.7265030200826779</v>
      </c>
      <c r="H17" s="324">
        <f>(1988336331717.42)/1000000000</f>
        <v>1988.3363317174199</v>
      </c>
      <c r="I17" s="299">
        <f>H17/VLOOKUP("USD",'Exchange Rates'!B:C,2,0)</f>
        <v>1829.5328779144459</v>
      </c>
      <c r="J17" s="325">
        <f t="shared" si="4"/>
        <v>0.28800474692007599</v>
      </c>
      <c r="K17" s="138">
        <f>VLOOKUP(B17,'EU Aid Shares'!B:E,4,0)*VLOOKUP("USD",'Exchange Rates'!B:C,2,0)</f>
        <v>0</v>
      </c>
      <c r="L17" s="138">
        <f>VLOOKUP(B17,'EPF Aid Shares'!B:G,6,0)*VLOOKUP("USD",'Exchange Rates'!B:C,2,0)</f>
        <v>0</v>
      </c>
      <c r="M17" s="127">
        <f>VLOOKUP(B17,'EIB Aid Shares'!B:E,4,0)*VLOOKUP("USD",'Exchange Rates'!B:C,2,0)</f>
        <v>0</v>
      </c>
      <c r="N17" s="138">
        <f t="shared" si="0"/>
        <v>0</v>
      </c>
      <c r="O17" s="113">
        <f t="shared" si="1"/>
        <v>0</v>
      </c>
      <c r="P17" s="266">
        <f t="shared" si="2"/>
        <v>5.7265030200826779</v>
      </c>
      <c r="Q17" s="326">
        <f t="shared" si="5"/>
        <v>0.28800474692007599</v>
      </c>
      <c r="R17" s="138">
        <f>SUMIFS('Bilateral Assistance, MAIN DATA'!S:S,'Bilateral Assistance, MAIN DATA'!AS:AS,1, 'Bilateral Assistance, MAIN DATA'!B:B,B17)/1000000000*VLOOKUP("USD",'Exchange Rates'!B:C,2,0)</f>
        <v>1.6300067476376583</v>
      </c>
      <c r="S17" s="261">
        <f t="shared" si="6"/>
        <v>0</v>
      </c>
      <c r="T17" s="97"/>
      <c r="U17" s="97"/>
    </row>
    <row r="18" spans="2:21" ht="15.95" customHeight="1">
      <c r="B18" s="24" t="s">
        <v>918</v>
      </c>
      <c r="C18" s="297">
        <v>1</v>
      </c>
      <c r="D18" s="261">
        <f>(SUMIFS('Bilateral Assistance, MAIN DATA'!S:S,'Bilateral Assistance, MAIN DATA'!D:D,"Financial",'Bilateral Assistance, MAIN DATA'!B:B,'Country Summary ($)'!B18)/1000000000)*VLOOKUP("USD",'Exchange Rates'!B:C,2,0)</f>
        <v>0</v>
      </c>
      <c r="E18" s="261">
        <f>SUMIFS('Bilateral Assistance, MAIN DATA'!S:S,'Bilateral Assistance, MAIN DATA'!D:D,"Humanitarian",'Bilateral Assistance, MAIN DATA'!B:B,'Country Summary ($)'!B18)/1000000000*VLOOKUP("USD",'Exchange Rates'!B:C,2,0)</f>
        <v>4.0442087088206895E-2</v>
      </c>
      <c r="F18" s="261">
        <f>SUMIFS('Bilateral Assistance, MAIN DATA'!S:S,'Bilateral Assistance, MAIN DATA'!D:D,"Military",'Bilateral Assistance, MAIN DATA'!B:B,'Country Summary ($)'!B18)/1000000000*VLOOKUP("USD",'Exchange Rates'!B:C,2,0)</f>
        <v>0.16604991340530365</v>
      </c>
      <c r="G18" s="264">
        <f t="shared" si="3"/>
        <v>0.20649200049351055</v>
      </c>
      <c r="H18" s="299">
        <f>68955083280.1922/1000000000</f>
        <v>68.955083280192198</v>
      </c>
      <c r="I18" s="299">
        <f>H18/VLOOKUP("USD",'Exchange Rates'!B:C,2,0)</f>
        <v>63.447813102863634</v>
      </c>
      <c r="J18" s="325">
        <f t="shared" si="4"/>
        <v>0.29945870655314943</v>
      </c>
      <c r="K18" s="138">
        <f>VLOOKUP(B18,'EU Aid Shares'!B:E,4,0)*VLOOKUP("USD",'Exchange Rates'!B:C,2,0)</f>
        <v>0.12502092606373352</v>
      </c>
      <c r="L18" s="138">
        <f>VLOOKUP(B18,'EPF Aid Shares'!B:G,6,0)*VLOOKUP("USD",'Exchange Rates'!B:C,2,0)</f>
        <v>2.3340372368162179E-2</v>
      </c>
      <c r="M18" s="127">
        <f>VLOOKUP(B18,'EIB Aid Shares'!B:E,4,0)*VLOOKUP("USD",'Exchange Rates'!B:C,2,0)</f>
        <v>9.2924825862123021E-3</v>
      </c>
      <c r="N18" s="138">
        <f t="shared" si="0"/>
        <v>0.15765378101810801</v>
      </c>
      <c r="O18" s="113">
        <f t="shared" si="1"/>
        <v>0.22863257285543021</v>
      </c>
      <c r="P18" s="266">
        <f t="shared" si="2"/>
        <v>0.36414578151161858</v>
      </c>
      <c r="Q18" s="326">
        <f t="shared" si="5"/>
        <v>0.52809127940857969</v>
      </c>
      <c r="R18" s="138">
        <f>SUMIFS('Bilateral Assistance, MAIN DATA'!S:S,'Bilateral Assistance, MAIN DATA'!AS:AS,1, 'Bilateral Assistance, MAIN DATA'!B:B,B18)/1000000000*VLOOKUP("USD",'Exchange Rates'!B:C,2,0)</f>
        <v>0.13315137430330365</v>
      </c>
      <c r="S18" s="261">
        <f t="shared" si="6"/>
        <v>3.2898539101999996E-2</v>
      </c>
      <c r="T18" s="97"/>
      <c r="U18" s="97"/>
    </row>
    <row r="19" spans="2:21" ht="15.95" customHeight="1">
      <c r="B19" s="24" t="s">
        <v>981</v>
      </c>
      <c r="C19" s="297">
        <v>1</v>
      </c>
      <c r="D19" s="261">
        <f>(SUMIFS('Bilateral Assistance, MAIN DATA'!S:S,'Bilateral Assistance, MAIN DATA'!D:D,"Financial",'Bilateral Assistance, MAIN DATA'!B:B,'Country Summary ($)'!B19)/1000000000)*VLOOKUP("USD",'Exchange Rates'!B:C,2,0)</f>
        <v>0</v>
      </c>
      <c r="E19" s="261">
        <f>SUMIFS('Bilateral Assistance, MAIN DATA'!S:S,'Bilateral Assistance, MAIN DATA'!D:D,"Humanitarian",'Bilateral Assistance, MAIN DATA'!B:B,'Country Summary ($)'!B19)/1000000000*VLOOKUP("USD",'Exchange Rates'!B:C,2,0)</f>
        <v>3.2604000000000001E-3</v>
      </c>
      <c r="F19" s="261">
        <f>SUMIFS('Bilateral Assistance, MAIN DATA'!S:S,'Bilateral Assistance, MAIN DATA'!D:D,"Military",'Bilateral Assistance, MAIN DATA'!B:B,'Country Summary ($)'!B19)/1000000000*VLOOKUP("USD",'Exchange Rates'!B:C,2,0)</f>
        <v>0</v>
      </c>
      <c r="G19" s="264">
        <f t="shared" si="3"/>
        <v>3.2604000000000001E-3</v>
      </c>
      <c r="H19" s="299">
        <f>28407867534.0035/1000000000</f>
        <v>28.407867534003501</v>
      </c>
      <c r="I19" s="299">
        <f>H19/VLOOKUP("USD",'Exchange Rates'!B:C,2,0)</f>
        <v>26.139002147592475</v>
      </c>
      <c r="J19" s="325">
        <f t="shared" si="4"/>
        <v>1.147710223619349E-2</v>
      </c>
      <c r="K19" s="138">
        <f>VLOOKUP(B19,'EU Aid Shares'!B:E,4,0)*VLOOKUP("USD",'Exchange Rates'!B:C,2,0)</f>
        <v>4.6802815100335897E-2</v>
      </c>
      <c r="L19" s="138">
        <f>VLOOKUP(B19,'EPF Aid Shares'!B:G,6,0)*VLOOKUP("USD",'Exchange Rates'!B:C,2,0)</f>
        <v>9.3836180651454305E-3</v>
      </c>
      <c r="M19" s="127">
        <f>VLOOKUP(B19,'EIB Aid Shares'!B:E,4,0)*VLOOKUP("USD",'Exchange Rates'!B:C,2,0)</f>
        <v>2.8123621584289389E-3</v>
      </c>
      <c r="N19" s="138">
        <f t="shared" si="0"/>
        <v>5.8998795323910266E-2</v>
      </c>
      <c r="O19" s="113">
        <f t="shared" si="1"/>
        <v>0.20768470302563258</v>
      </c>
      <c r="P19" s="266">
        <f t="shared" si="2"/>
        <v>6.2259195323910263E-2</v>
      </c>
      <c r="Q19" s="326">
        <f t="shared" si="5"/>
        <v>0.21916180526182608</v>
      </c>
      <c r="R19" s="138">
        <f>SUMIFS('Bilateral Assistance, MAIN DATA'!S:S,'Bilateral Assistance, MAIN DATA'!AS:AS,1, 'Bilateral Assistance, MAIN DATA'!B:B,B19)/1000000000*VLOOKUP("USD",'Exchange Rates'!B:C,2,0)</f>
        <v>0</v>
      </c>
      <c r="S19" s="261">
        <f t="shared" si="6"/>
        <v>0</v>
      </c>
    </row>
    <row r="20" spans="2:21" ht="15.95" customHeight="1">
      <c r="B20" s="24" t="s">
        <v>1012</v>
      </c>
      <c r="C20" s="297">
        <v>1</v>
      </c>
      <c r="D20" s="261">
        <f>(SUMIFS('Bilateral Assistance, MAIN DATA'!S:S,'Bilateral Assistance, MAIN DATA'!D:D,"Financial",'Bilateral Assistance, MAIN DATA'!B:B,'Country Summary ($)'!B20)/1000000000)*VLOOKUP("USD",'Exchange Rates'!B:C,2,0)</f>
        <v>0</v>
      </c>
      <c r="E20" s="261">
        <f>SUMIFS('Bilateral Assistance, MAIN DATA'!S:S,'Bilateral Assistance, MAIN DATA'!D:D,"Humanitarian",'Bilateral Assistance, MAIN DATA'!B:B,'Country Summary ($)'!B20)/1000000000*VLOOKUP("USD",'Exchange Rates'!B:C,2,0)</f>
        <v>0.4022379333333333</v>
      </c>
      <c r="F20" s="261">
        <f>SUMIFS('Bilateral Assistance, MAIN DATA'!S:S,'Bilateral Assistance, MAIN DATA'!D:D,"Military",'Bilateral Assistance, MAIN DATA'!B:B,'Country Summary ($)'!B20)/1000000000*VLOOKUP("USD",'Exchange Rates'!B:C,2,0)</f>
        <v>0.6145451665385856</v>
      </c>
      <c r="G20" s="264">
        <f t="shared" si="3"/>
        <v>1.0167830998719189</v>
      </c>
      <c r="H20" s="299">
        <f>281777887121.451/1000000000</f>
        <v>281.77788712145099</v>
      </c>
      <c r="I20" s="299">
        <f>H20/VLOOKUP("USD",'Exchange Rates'!B:C,2,0)</f>
        <v>259.2729914625055</v>
      </c>
      <c r="J20" s="325">
        <f t="shared" si="4"/>
        <v>0.36084559731036253</v>
      </c>
      <c r="K20" s="138">
        <f>VLOOKUP(B20,'EU Aid Shares'!B:E,4,0)*VLOOKUP("USD",'Exchange Rates'!B:C,2,0)</f>
        <v>0.43800007948207642</v>
      </c>
      <c r="L20" s="138">
        <f>VLOOKUP(B20,'EPF Aid Shares'!B:G,6,0)*VLOOKUP("USD",'Exchange Rates'!B:C,2,0)</f>
        <v>9.3734592493983818E-2</v>
      </c>
      <c r="M20" s="127">
        <f>VLOOKUP(B20,'EIB Aid Shares'!B:E,4,0)*VLOOKUP("USD",'Exchange Rates'!B:C,2,0)</f>
        <v>1.9304852848158419E-2</v>
      </c>
      <c r="N20" s="138">
        <f t="shared" si="0"/>
        <v>0.5510395248242187</v>
      </c>
      <c r="O20" s="113">
        <f t="shared" si="1"/>
        <v>0.19555811510032065</v>
      </c>
      <c r="P20" s="266">
        <f t="shared" si="2"/>
        <v>1.5678226246961375</v>
      </c>
      <c r="Q20" s="326">
        <f t="shared" si="5"/>
        <v>0.5564037124106832</v>
      </c>
      <c r="R20" s="138">
        <f>SUMIFS('Bilateral Assistance, MAIN DATA'!S:S,'Bilateral Assistance, MAIN DATA'!AS:AS,1, 'Bilateral Assistance, MAIN DATA'!B:B,B20)/1000000000*VLOOKUP("USD",'Exchange Rates'!B:C,2,0)</f>
        <v>0.56963607562949481</v>
      </c>
      <c r="S20" s="261">
        <f t="shared" si="6"/>
        <v>4.4909090909090787E-2</v>
      </c>
    </row>
    <row r="21" spans="2:21" ht="15.95" customHeight="1">
      <c r="B21" s="24" t="s">
        <v>1194</v>
      </c>
      <c r="C21" s="297">
        <v>1</v>
      </c>
      <c r="D21" s="261">
        <f>(SUMIFS('Bilateral Assistance, MAIN DATA'!S:S,'Bilateral Assistance, MAIN DATA'!D:D,"Financial",'Bilateral Assistance, MAIN DATA'!B:B,'Country Summary ($)'!B21)/1000000000)*VLOOKUP("USD",'Exchange Rates'!B:C,2,0)</f>
        <v>6.2491000000000005E-2</v>
      </c>
      <c r="E21" s="261">
        <f>SUMIFS('Bilateral Assistance, MAIN DATA'!S:S,'Bilateral Assistance, MAIN DATA'!D:D,"Humanitarian",'Bilateral Assistance, MAIN DATA'!B:B,'Country Summary ($)'!B21)/1000000000*VLOOKUP("USD",'Exchange Rates'!B:C,2,0)</f>
        <v>0.28283213828824594</v>
      </c>
      <c r="F21" s="261">
        <f>SUMIFS('Bilateral Assistance, MAIN DATA'!S:S,'Bilateral Assistance, MAIN DATA'!D:D,"Military",'Bilateral Assistance, MAIN DATA'!B:B,'Country Summary ($)'!B21)/1000000000*VLOOKUP("USD",'Exchange Rates'!B:C,2,0)</f>
        <v>1.7052744543787339</v>
      </c>
      <c r="G21" s="264">
        <f t="shared" si="3"/>
        <v>2.0505975926669797</v>
      </c>
      <c r="H21" s="299">
        <f>398303272764.46/1000000000</f>
        <v>398.30327276446002</v>
      </c>
      <c r="I21" s="299">
        <f>H21/VLOOKUP("USD",'Exchange Rates'!B:C,2,0)</f>
        <v>366.49178576045273</v>
      </c>
      <c r="J21" s="325">
        <f t="shared" si="4"/>
        <v>0.51483322706203771</v>
      </c>
      <c r="K21" s="138">
        <f>VLOOKUP(B21,'EU Aid Shares'!B:E,4,0)*VLOOKUP("USD",'Exchange Rates'!B:C,2,0)</f>
        <v>0.75765925165390979</v>
      </c>
      <c r="L21" s="138">
        <f>VLOOKUP(B21,'EPF Aid Shares'!B:G,6,0)*VLOOKUP("USD",'Exchange Rates'!B:C,2,0)</f>
        <v>0.14584299673194326</v>
      </c>
      <c r="M21" s="127">
        <f>VLOOKUP(B21,'EIB Aid Shares'!B:E,4,0)*VLOOKUP("USD",'Exchange Rates'!B:C,2,0)</f>
        <v>5.7361325784274261E-2</v>
      </c>
      <c r="N21" s="138">
        <f t="shared" si="0"/>
        <v>0.96086357417012724</v>
      </c>
      <c r="O21" s="113">
        <f t="shared" si="1"/>
        <v>0.24123918628666199</v>
      </c>
      <c r="P21" s="266">
        <f t="shared" si="2"/>
        <v>3.011461166837107</v>
      </c>
      <c r="Q21" s="326">
        <f t="shared" si="5"/>
        <v>0.75607241334869968</v>
      </c>
      <c r="R21" s="138">
        <f>SUMIFS('Bilateral Assistance, MAIN DATA'!S:S,'Bilateral Assistance, MAIN DATA'!AS:AS,1, 'Bilateral Assistance, MAIN DATA'!B:B,B21)/1000000000*VLOOKUP("USD",'Exchange Rates'!B:C,2,0)</f>
        <v>1.7052744543787339</v>
      </c>
      <c r="S21" s="261">
        <f t="shared" si="6"/>
        <v>0</v>
      </c>
    </row>
    <row r="22" spans="2:21" ht="15.95" customHeight="1">
      <c r="B22" s="24" t="s">
        <v>1305</v>
      </c>
      <c r="C22" s="297">
        <v>1</v>
      </c>
      <c r="D22" s="261">
        <f>(SUMIFS('Bilateral Assistance, MAIN DATA'!S:S,'Bilateral Assistance, MAIN DATA'!D:D,"Financial",'Bilateral Assistance, MAIN DATA'!B:B,'Country Summary ($)'!B22)/1000000000)*VLOOKUP("USD",'Exchange Rates'!B:C,2,0)</f>
        <v>0</v>
      </c>
      <c r="E22" s="261">
        <f>SUMIFS('Bilateral Assistance, MAIN DATA'!S:S,'Bilateral Assistance, MAIN DATA'!D:D,"Humanitarian",'Bilateral Assistance, MAIN DATA'!B:B,'Country Summary ($)'!B22)/1000000000*VLOOKUP("USD",'Exchange Rates'!B:C,2,0)</f>
        <v>1.0976679999999999E-2</v>
      </c>
      <c r="F22" s="261">
        <f>SUMIFS('Bilateral Assistance, MAIN DATA'!S:S,'Bilateral Assistance, MAIN DATA'!D:D,"Military",'Bilateral Assistance, MAIN DATA'!B:B,'Country Summary ($)'!B22)/1000000000*VLOOKUP("USD",'Exchange Rates'!B:C,2,0)</f>
        <v>0.45786264524000003</v>
      </c>
      <c r="G22" s="264">
        <f t="shared" si="3"/>
        <v>0.46883932524000005</v>
      </c>
      <c r="H22" s="299">
        <f>37191166151.98/1000000000</f>
        <v>37.191166151980006</v>
      </c>
      <c r="I22" s="299">
        <f>H22/VLOOKUP("USD",'Exchange Rates'!B:C,2,0)</f>
        <v>34.220800655115944</v>
      </c>
      <c r="J22" s="325">
        <f t="shared" si="4"/>
        <v>1.2606201250160038</v>
      </c>
      <c r="K22" s="138">
        <f>VLOOKUP(B22,'EU Aid Shares'!B:E,4,0)*VLOOKUP("USD",'Exchange Rates'!B:C,2,0)</f>
        <v>5.939454374110114E-2</v>
      </c>
      <c r="L22" s="138">
        <f>VLOOKUP(B22,'EPF Aid Shares'!B:G,6,0)*VLOOKUP("USD",'Exchange Rates'!B:C,2,0)</f>
        <v>1.2257456220767559E-2</v>
      </c>
      <c r="M22" s="127">
        <f>VLOOKUP(B22,'EIB Aid Shares'!B:E,4,0)*VLOOKUP("USD",'Exchange Rates'!B:C,2,0)</f>
        <v>1.8041377681832316E-3</v>
      </c>
      <c r="N22" s="138">
        <f t="shared" si="0"/>
        <v>7.345613773005194E-2</v>
      </c>
      <c r="O22" s="113">
        <f t="shared" si="1"/>
        <v>0.19750963825623746</v>
      </c>
      <c r="P22" s="266">
        <f t="shared" si="2"/>
        <v>0.54229546297005204</v>
      </c>
      <c r="Q22" s="326">
        <f t="shared" si="5"/>
        <v>1.4581297632722414</v>
      </c>
      <c r="R22" s="138">
        <f>SUMIFS('Bilateral Assistance, MAIN DATA'!S:S,'Bilateral Assistance, MAIN DATA'!AS:AS,1, 'Bilateral Assistance, MAIN DATA'!B:B,B22)/1000000000*VLOOKUP("USD",'Exchange Rates'!B:C,2,0)</f>
        <v>0.45786264524000003</v>
      </c>
      <c r="S22" s="261">
        <f t="shared" si="6"/>
        <v>0</v>
      </c>
    </row>
    <row r="23" spans="2:21" ht="15.95" customHeight="1">
      <c r="B23" s="37" t="s">
        <v>4406</v>
      </c>
      <c r="C23" s="297">
        <v>0</v>
      </c>
      <c r="D23" s="261">
        <f>(SUMIFS('Bilateral Assistance, MAIN DATA'!S:S,'Bilateral Assistance, MAIN DATA'!D:D,"Financial",'Bilateral Assistance, MAIN DATA'!B:B,'Country Summary ($)'!B23)/1000000000)*VLOOKUP("USD",'Exchange Rates'!B:C,2,0)</f>
        <v>27.517776000000001</v>
      </c>
      <c r="E23" s="261">
        <f>SUMIFS('Bilateral Assistance, MAIN DATA'!S:S,'Bilateral Assistance, MAIN DATA'!D:D,"Humanitarian",'Bilateral Assistance, MAIN DATA'!B:B,'Country Summary ($)'!B23)/1000000000*VLOOKUP("USD",'Exchange Rates'!B:C,2,0)</f>
        <v>2.325752</v>
      </c>
      <c r="F23" s="261">
        <f>SUMIFS('Bilateral Assistance, MAIN DATA'!S:S,'Bilateral Assistance, MAIN DATA'!D:D,"Military",'Bilateral Assistance, MAIN DATA'!B:B,'Country Summary ($)'!B23)/1000000000*VLOOKUP("USD",'Exchange Rates'!B:C,2,0)</f>
        <v>0</v>
      </c>
      <c r="G23" s="264">
        <f t="shared" si="3"/>
        <v>29.843528000000003</v>
      </c>
      <c r="H23" s="324">
        <f>17177419592825/1000000000</f>
        <v>17177.419592825001</v>
      </c>
      <c r="I23" s="299">
        <f>H23/VLOOKUP("USD",'Exchange Rates'!B:C,2,0)</f>
        <v>15805.502017689549</v>
      </c>
      <c r="J23" s="325">
        <f t="shared" si="4"/>
        <v>0.17373696810937558</v>
      </c>
      <c r="K23" s="138">
        <f>VLOOKUP(B23,'EU Aid Shares'!B:E,4,0)*VLOOKUP("USD",'Exchange Rates'!B:C,2,0)</f>
        <v>0</v>
      </c>
      <c r="L23" s="138">
        <f>VLOOKUP(B23,'EPF Aid Shares'!B:G,6,0)*VLOOKUP("USD",'Exchange Rates'!B:C,2,0)</f>
        <v>0</v>
      </c>
      <c r="M23" s="127">
        <f>VLOOKUP(B23,'EIB Aid Shares'!B:E,4,0)*VLOOKUP("USD",'Exchange Rates'!B:C,2,0)</f>
        <v>0</v>
      </c>
      <c r="N23" s="138">
        <f t="shared" si="0"/>
        <v>0</v>
      </c>
      <c r="O23" s="113">
        <f t="shared" si="1"/>
        <v>0</v>
      </c>
      <c r="P23" s="266">
        <f t="shared" si="2"/>
        <v>29.843528000000003</v>
      </c>
      <c r="Q23" s="326">
        <f t="shared" si="5"/>
        <v>0.17373696810937558</v>
      </c>
      <c r="R23" s="138">
        <f>SUMIFS('Bilateral Assistance, MAIN DATA'!S:S,'Bilateral Assistance, MAIN DATA'!AS:AS,1, 'Bilateral Assistance, MAIN DATA'!B:B,B23)/1000000000*VLOOKUP("USD",'Exchange Rates'!B:C,2,0)</f>
        <v>0</v>
      </c>
      <c r="S23" s="261">
        <f t="shared" si="6"/>
        <v>0</v>
      </c>
    </row>
    <row r="24" spans="2:21" ht="15.95" customHeight="1">
      <c r="B24" s="24" t="s">
        <v>1432</v>
      </c>
      <c r="C24" s="297">
        <v>1</v>
      </c>
      <c r="D24" s="261">
        <f>(SUMIFS('Bilateral Assistance, MAIN DATA'!S:S,'Bilateral Assistance, MAIN DATA'!D:D,"Financial",'Bilateral Assistance, MAIN DATA'!B:B,'Country Summary ($)'!B24)/1000000000)*VLOOKUP("USD",'Exchange Rates'!B:C,2,0)</f>
        <v>8.2053399999999999E-2</v>
      </c>
      <c r="E24" s="261">
        <f>SUMIFS('Bilateral Assistance, MAIN DATA'!S:S,'Bilateral Assistance, MAIN DATA'!D:D,"Humanitarian",'Bilateral Assistance, MAIN DATA'!B:B,'Country Summary ($)'!B24)/1000000000*VLOOKUP("USD",'Exchange Rates'!B:C,2,0)</f>
        <v>2.4996399999999998E-2</v>
      </c>
      <c r="F24" s="261">
        <f>SUMIFS('Bilateral Assistance, MAIN DATA'!S:S,'Bilateral Assistance, MAIN DATA'!D:D,"Military",'Bilateral Assistance, MAIN DATA'!B:B,'Country Summary ($)'!B24)/1000000000*VLOOKUP("USD",'Exchange Rates'!B:C,2,0)</f>
        <v>1.2114559600000001</v>
      </c>
      <c r="G24" s="264">
        <f t="shared" si="3"/>
        <v>1.3185057600000001</v>
      </c>
      <c r="H24" s="299">
        <f>297301883523.251/1000000000</f>
        <v>297.30188352325098</v>
      </c>
      <c r="I24" s="299">
        <f>H24/VLOOKUP("USD",'Exchange Rates'!B:C,2,0)</f>
        <v>273.55712506740059</v>
      </c>
      <c r="J24" s="325">
        <f t="shared" si="4"/>
        <v>0.44349055053897235</v>
      </c>
      <c r="K24" s="138">
        <f>VLOOKUP(B24,'EU Aid Shares'!B:E,4,0)*VLOOKUP("USD",'Exchange Rates'!B:C,2,0)</f>
        <v>0.50798021204660049</v>
      </c>
      <c r="L24" s="138">
        <f>VLOOKUP(B24,'EPF Aid Shares'!B:G,6,0)*VLOOKUP("USD",'Exchange Rates'!B:C,2,0)</f>
        <v>0.10931301098063273</v>
      </c>
      <c r="M24" s="127">
        <f>VLOOKUP(B24,'EIB Aid Shares'!B:E,4,0)*VLOOKUP("USD",'Exchange Rates'!B:C,2,0)</f>
        <v>3.2310327501822791E-2</v>
      </c>
      <c r="N24" s="138">
        <f t="shared" si="0"/>
        <v>0.64960355052905605</v>
      </c>
      <c r="O24" s="113">
        <f t="shared" si="1"/>
        <v>0.21849964178859727</v>
      </c>
      <c r="P24" s="266">
        <f t="shared" si="2"/>
        <v>1.9681093105290561</v>
      </c>
      <c r="Q24" s="326">
        <f t="shared" si="5"/>
        <v>0.66199019232756962</v>
      </c>
      <c r="R24" s="138">
        <f>SUMIFS('Bilateral Assistance, MAIN DATA'!S:S,'Bilateral Assistance, MAIN DATA'!AS:AS,1, 'Bilateral Assistance, MAIN DATA'!B:B,B24)/1000000000*VLOOKUP("USD",'Exchange Rates'!B:C,2,0)</f>
        <v>1.17885196</v>
      </c>
      <c r="S24" s="261">
        <f t="shared" si="6"/>
        <v>3.2604000000000077E-2</v>
      </c>
    </row>
    <row r="25" spans="2:21" ht="15.95" customHeight="1">
      <c r="B25" s="24" t="s">
        <v>1523</v>
      </c>
      <c r="C25" s="297">
        <v>1</v>
      </c>
      <c r="D25" s="261">
        <f>(SUMIFS('Bilateral Assistance, MAIN DATA'!S:S,'Bilateral Assistance, MAIN DATA'!D:D,"Financial",'Bilateral Assistance, MAIN DATA'!B:B,'Country Summary ($)'!B25)/1000000000)*VLOOKUP("USD",'Exchange Rates'!B:C,2,0)</f>
        <v>0.76010792000000005</v>
      </c>
      <c r="E25" s="261">
        <f>SUMIFS('Bilateral Assistance, MAIN DATA'!S:S,'Bilateral Assistance, MAIN DATA'!D:D,"Humanitarian",'Bilateral Assistance, MAIN DATA'!B:B,'Country Summary ($)'!B25)/1000000000*VLOOKUP("USD",'Exchange Rates'!B:C,2,0)</f>
        <v>0.34371791608399999</v>
      </c>
      <c r="F25" s="261">
        <f>SUMIFS('Bilateral Assistance, MAIN DATA'!S:S,'Bilateral Assistance, MAIN DATA'!D:D,"Military",'Bilateral Assistance, MAIN DATA'!B:B,'Country Summary ($)'!B25)/1000000000*VLOOKUP("USD",'Exchange Rates'!B:C,2,0)</f>
        <v>0.4844266611352836</v>
      </c>
      <c r="G25" s="264">
        <f t="shared" si="3"/>
        <v>1.5882524972192837</v>
      </c>
      <c r="H25" s="299">
        <f>2957879759263.52/1000000000</f>
        <v>2957.8797592635201</v>
      </c>
      <c r="I25" s="299">
        <f>H25/VLOOKUP("USD",'Exchange Rates'!B:C,2,0)</f>
        <v>2721.6412948688994</v>
      </c>
      <c r="J25" s="325">
        <f t="shared" si="4"/>
        <v>5.3695641016007399E-2</v>
      </c>
      <c r="K25" s="138">
        <f>VLOOKUP(B25,'EU Aid Shares'!B:E,4,0)*VLOOKUP("USD",'Exchange Rates'!B:C,2,0)</f>
        <v>5.0557711264837986</v>
      </c>
      <c r="L25" s="138">
        <f>VLOOKUP(B25,'EPF Aid Shares'!B:G,6,0)*VLOOKUP("USD",'Exchange Rates'!B:C,2,0)</f>
        <v>1.0563608277005307</v>
      </c>
      <c r="M25" s="127">
        <f>VLOOKUP(B25,'EIB Aid Shares'!B:E,4,0)*VLOOKUP("USD",'Exchange Rates'!B:C,2,0)</f>
        <v>0.40869968539227258</v>
      </c>
      <c r="N25" s="138">
        <f t="shared" si="0"/>
        <v>6.5208316395766017</v>
      </c>
      <c r="O25" s="113">
        <f t="shared" si="1"/>
        <v>0.22045627849322103</v>
      </c>
      <c r="P25" s="266">
        <f t="shared" si="2"/>
        <v>8.1090841367958859</v>
      </c>
      <c r="Q25" s="326">
        <f t="shared" si="5"/>
        <v>0.27415191950922846</v>
      </c>
      <c r="R25" s="138">
        <f>SUMIFS('Bilateral Assistance, MAIN DATA'!S:S,'Bilateral Assistance, MAIN DATA'!AS:AS,1, 'Bilateral Assistance, MAIN DATA'!B:B,B25)/1000000000*VLOOKUP("USD",'Exchange Rates'!B:C,2,0)</f>
        <v>0.4844266611352836</v>
      </c>
      <c r="S25" s="261">
        <f t="shared" si="6"/>
        <v>0</v>
      </c>
    </row>
    <row r="26" spans="2:21" ht="15.95" customHeight="1">
      <c r="B26" s="24" t="s">
        <v>1711</v>
      </c>
      <c r="C26" s="297">
        <v>1</v>
      </c>
      <c r="D26" s="261">
        <f>(SUMIFS('Bilateral Assistance, MAIN DATA'!S:S,'Bilateral Assistance, MAIN DATA'!D:D,"Financial",'Bilateral Assistance, MAIN DATA'!B:B,'Country Summary ($)'!B26)/1000000000)*VLOOKUP("USD",'Exchange Rates'!B:C,2,0)</f>
        <v>1.4128400000000001</v>
      </c>
      <c r="E26" s="261">
        <f>SUMIFS('Bilateral Assistance, MAIN DATA'!S:S,'Bilateral Assistance, MAIN DATA'!D:D,"Humanitarian",'Bilateral Assistance, MAIN DATA'!B:B,'Country Summary ($)'!B26)/1000000000*VLOOKUP("USD",'Exchange Rates'!B:C,2,0)</f>
        <v>2.04221245514</v>
      </c>
      <c r="F26" s="261">
        <f>SUMIFS('Bilateral Assistance, MAIN DATA'!S:S,'Bilateral Assistance, MAIN DATA'!D:D,"Military",'Bilateral Assistance, MAIN DATA'!B:B,'Country Summary ($)'!B26)/1000000000*VLOOKUP("USD",'Exchange Rates'!B:C,2,0)</f>
        <v>8.1534996399999997</v>
      </c>
      <c r="G26" s="264">
        <f t="shared" si="3"/>
        <v>11.60855209514</v>
      </c>
      <c r="H26" s="299">
        <f>4259934911821.64/1000000000</f>
        <v>4259.9349118216405</v>
      </c>
      <c r="I26" s="299">
        <f>H26/VLOOKUP("USD",'Exchange Rates'!B:C,2,0)</f>
        <v>3919.7045563320212</v>
      </c>
      <c r="J26" s="325">
        <f t="shared" si="4"/>
        <v>0.27250538647727673</v>
      </c>
      <c r="K26" s="138">
        <f>VLOOKUP(B26,'EU Aid Shares'!B:E,4,0)*VLOOKUP("USD",'Exchange Rates'!B:C,2,0)</f>
        <v>5.9894584761530165</v>
      </c>
      <c r="L26" s="138">
        <f>VLOOKUP(B26,'EPF Aid Shares'!B:G,6,0)*VLOOKUP("USD",'Exchange Rates'!B:C,2,0)</f>
        <v>1.5686999991272623</v>
      </c>
      <c r="M26" s="127">
        <f>VLOOKUP(B26,'EIB Aid Shares'!B:E,4,0)*VLOOKUP("USD",'Exchange Rates'!B:C,2,0)</f>
        <v>0.40869968539227258</v>
      </c>
      <c r="N26" s="138">
        <f t="shared" si="0"/>
        <v>7.966858160672551</v>
      </c>
      <c r="O26" s="113">
        <f t="shared" si="1"/>
        <v>0.1870183072178854</v>
      </c>
      <c r="P26" s="266">
        <f t="shared" si="2"/>
        <v>19.57541025581255</v>
      </c>
      <c r="Q26" s="326">
        <f t="shared" si="5"/>
        <v>0.45952369369516211</v>
      </c>
      <c r="R26" s="138">
        <f>SUMIFS('Bilateral Assistance, MAIN DATA'!S:S,'Bilateral Assistance, MAIN DATA'!AS:AS,1, 'Bilateral Assistance, MAIN DATA'!B:B,B26)/1000000000*VLOOKUP("USD",'Exchange Rates'!B:C,2,0)</f>
        <v>8.0705767999999996</v>
      </c>
      <c r="S26" s="261">
        <f t="shared" si="6"/>
        <v>8.2922840000000164E-2</v>
      </c>
    </row>
    <row r="27" spans="2:21" ht="15.95" customHeight="1">
      <c r="B27" s="24" t="s">
        <v>1973</v>
      </c>
      <c r="C27" s="297">
        <v>1</v>
      </c>
      <c r="D27" s="261">
        <f>(SUMIFS('Bilateral Assistance, MAIN DATA'!S:S,'Bilateral Assistance, MAIN DATA'!D:D,"Financial",'Bilateral Assistance, MAIN DATA'!B:B,'Country Summary ($)'!B27)/1000000000)*VLOOKUP("USD",'Exchange Rates'!B:C,2,0)</f>
        <v>0</v>
      </c>
      <c r="E27" s="261">
        <f>SUMIFS('Bilateral Assistance, MAIN DATA'!S:S,'Bilateral Assistance, MAIN DATA'!D:D,"Humanitarian",'Bilateral Assistance, MAIN DATA'!B:B,'Country Summary ($)'!B27)/1000000000*VLOOKUP("USD",'Exchange Rates'!B:C,2,0)</f>
        <v>0</v>
      </c>
      <c r="F27" s="261">
        <f>SUMIFS('Bilateral Assistance, MAIN DATA'!S:S,'Bilateral Assistance, MAIN DATA'!D:D,"Military",'Bilateral Assistance, MAIN DATA'!B:B,'Country Summary ($)'!B27)/1000000000*VLOOKUP("USD",'Exchange Rates'!B:C,2,0)</f>
        <v>0.203068259</v>
      </c>
      <c r="G27" s="264">
        <f t="shared" si="3"/>
        <v>0.203068259</v>
      </c>
      <c r="H27" s="299">
        <f>214873879833.648/1000000000</f>
        <v>214.873879833648</v>
      </c>
      <c r="I27" s="299">
        <f>H27/VLOOKUP("USD",'Exchange Rates'!B:C,2,0)</f>
        <v>197.71244003832169</v>
      </c>
      <c r="J27" s="325">
        <f t="shared" si="4"/>
        <v>9.4505790632724782E-2</v>
      </c>
      <c r="K27" s="138">
        <f>VLOOKUP(B27,'EU Aid Shares'!B:E,4,0)*VLOOKUP("USD",'Exchange Rates'!B:C,2,0)</f>
        <v>0.42880171500043257</v>
      </c>
      <c r="L27" s="138">
        <f>VLOOKUP(B27,'EPF Aid Shares'!B:G,6,0)*VLOOKUP("USD",'Exchange Rates'!B:C,2,0)</f>
        <v>7.6255676685022991E-2</v>
      </c>
      <c r="M27" s="127">
        <f>VLOOKUP(B27,'EIB Aid Shares'!B:E,4,0)*VLOOKUP("USD",'Exchange Rates'!B:C,2,0)</f>
        <v>3.072931388216919E-2</v>
      </c>
      <c r="N27" s="138">
        <f t="shared" si="0"/>
        <v>0.53578670556762475</v>
      </c>
      <c r="O27" s="113">
        <f t="shared" si="1"/>
        <v>0.24934938857269318</v>
      </c>
      <c r="P27" s="266">
        <f t="shared" si="2"/>
        <v>0.73885496456762478</v>
      </c>
      <c r="Q27" s="326">
        <f t="shared" si="5"/>
        <v>0.34385517920541792</v>
      </c>
      <c r="R27" s="138">
        <f>SUMIFS('Bilateral Assistance, MAIN DATA'!S:S,'Bilateral Assistance, MAIN DATA'!AS:AS,1, 'Bilateral Assistance, MAIN DATA'!B:B,B27)/1000000000*VLOOKUP("USD",'Exchange Rates'!B:C,2,0)</f>
        <v>0.203068259</v>
      </c>
      <c r="S27" s="261">
        <f t="shared" si="6"/>
        <v>0</v>
      </c>
    </row>
    <row r="28" spans="2:21" ht="15.95" customHeight="1">
      <c r="B28" s="24" t="s">
        <v>2028</v>
      </c>
      <c r="C28" s="297">
        <v>1</v>
      </c>
      <c r="D28" s="261">
        <f>(SUMIFS('Bilateral Assistance, MAIN DATA'!S:S,'Bilateral Assistance, MAIN DATA'!D:D,"Financial",'Bilateral Assistance, MAIN DATA'!B:B,'Country Summary ($)'!B28)/1000000000)*VLOOKUP("USD",'Exchange Rates'!B:C,2,0)</f>
        <v>0</v>
      </c>
      <c r="E28" s="261">
        <f>SUMIFS('Bilateral Assistance, MAIN DATA'!S:S,'Bilateral Assistance, MAIN DATA'!D:D,"Humanitarian",'Bilateral Assistance, MAIN DATA'!B:B,'Country Summary ($)'!B28)/1000000000*VLOOKUP("USD",'Exchange Rates'!B:C,2,0)</f>
        <v>5.1198934417022501E-2</v>
      </c>
      <c r="F28" s="261">
        <f>SUMIFS('Bilateral Assistance, MAIN DATA'!S:S,'Bilateral Assistance, MAIN DATA'!D:D,"Military",'Bilateral Assistance, MAIN DATA'!B:B,'Country Summary ($)'!B28)/1000000000*VLOOKUP("USD",'Exchange Rates'!B:C,2,0)</f>
        <v>0</v>
      </c>
      <c r="G28" s="264">
        <f t="shared" si="3"/>
        <v>5.1198934417022501E-2</v>
      </c>
      <c r="H28" s="299">
        <f>181848022233.89/1000000000</f>
        <v>181.84802223389002</v>
      </c>
      <c r="I28" s="299">
        <f>H28/VLOOKUP("USD",'Exchange Rates'!B:C,2,0)</f>
        <v>167.32427515080053</v>
      </c>
      <c r="J28" s="325">
        <f t="shared" si="4"/>
        <v>2.8154793100345764E-2</v>
      </c>
      <c r="K28" s="138">
        <f>VLOOKUP(B28,'EU Aid Shares'!B:E,4,0)*VLOOKUP("USD",'Exchange Rates'!B:C,2,0)</f>
        <v>0.35310194976518794</v>
      </c>
      <c r="L28" s="138">
        <f>VLOOKUP(B28,'EPF Aid Shares'!B:G,6,0)*VLOOKUP("USD",'Exchange Rates'!B:C,2,0)</f>
        <v>6.1497047662179838E-2</v>
      </c>
      <c r="M28" s="127">
        <f>VLOOKUP(B28,'EIB Aid Shares'!B:E,4,0)*VLOOKUP("USD",'Exchange Rates'!B:C,2,0)</f>
        <v>1.8263271419772874E-2</v>
      </c>
      <c r="N28" s="138">
        <f t="shared" si="0"/>
        <v>0.43286226884714063</v>
      </c>
      <c r="O28" s="113">
        <f t="shared" si="1"/>
        <v>0.23803518098778118</v>
      </c>
      <c r="P28" s="266">
        <f t="shared" si="2"/>
        <v>0.48406120326416313</v>
      </c>
      <c r="Q28" s="326">
        <f t="shared" si="5"/>
        <v>0.26618997408812695</v>
      </c>
      <c r="R28" s="138">
        <f>SUMIFS('Bilateral Assistance, MAIN DATA'!S:S,'Bilateral Assistance, MAIN DATA'!AS:AS,1, 'Bilateral Assistance, MAIN DATA'!B:B,B28)/1000000000*VLOOKUP("USD",'Exchange Rates'!B:C,2,0)</f>
        <v>0</v>
      </c>
      <c r="S28" s="261">
        <f t="shared" si="6"/>
        <v>0</v>
      </c>
    </row>
    <row r="29" spans="2:21" ht="15.95" customHeight="1">
      <c r="B29" s="24" t="s">
        <v>2139</v>
      </c>
      <c r="C29" s="297">
        <v>0</v>
      </c>
      <c r="D29" s="261">
        <f>(SUMIFS('Bilateral Assistance, MAIN DATA'!S:S,'Bilateral Assistance, MAIN DATA'!D:D,"Financial",'Bilateral Assistance, MAIN DATA'!B:B,'Country Summary ($)'!B29)/1000000000)*VLOOKUP("USD",'Exchange Rates'!B:C,2,0)</f>
        <v>1.0220123612680269E-2</v>
      </c>
      <c r="E29" s="261">
        <f>SUMIFS('Bilateral Assistance, MAIN DATA'!S:S,'Bilateral Assistance, MAIN DATA'!D:D,"Humanitarian",'Bilateral Assistance, MAIN DATA'!B:B,'Country Summary ($)'!B29)/1000000000*VLOOKUP("USD",'Exchange Rates'!B:C,2,0)</f>
        <v>1.1989685651624908E-2</v>
      </c>
      <c r="F29" s="261">
        <f>SUMIFS('Bilateral Assistance, MAIN DATA'!S:S,'Bilateral Assistance, MAIN DATA'!D:D,"Military",'Bilateral Assistance, MAIN DATA'!B:B,'Country Summary ($)'!B29)/1000000000*VLOOKUP("USD",'Exchange Rates'!B:C,2,0)</f>
        <v>9.9439349013092319E-3</v>
      </c>
      <c r="G29" s="264">
        <f t="shared" ref="G29" si="7">SUM(D29:F29)</f>
        <v>3.2153744165614409E-2</v>
      </c>
      <c r="H29" s="299">
        <f>25602419210.3374/1000000000</f>
        <v>25.602419210337398</v>
      </c>
      <c r="I29" s="299">
        <f>H29/VLOOKUP("USD",'Exchange Rates'!B:C,2,0)</f>
        <v>23.557617970498157</v>
      </c>
      <c r="J29" s="325">
        <f t="shared" ref="J29" si="8">(G29/H29)*100</f>
        <v>0.12558869496454383</v>
      </c>
      <c r="K29" s="138">
        <f>VLOOKUP(B29,'EU Aid Shares'!B:E,4,0)*VLOOKUP("USD",'Exchange Rates'!B:C,2,0)</f>
        <v>0</v>
      </c>
      <c r="L29" s="138">
        <f>VLOOKUP(B29,'EPF Aid Shares'!B:G,6,0)*VLOOKUP("USD",'Exchange Rates'!B:C,2,0)</f>
        <v>0</v>
      </c>
      <c r="M29" s="127">
        <f>VLOOKUP(B29,'EIB Aid Shares'!B:E,4,0)*VLOOKUP("USD",'Exchange Rates'!B:C,2,0)</f>
        <v>0</v>
      </c>
      <c r="N29" s="138">
        <f t="shared" ref="N29" si="9">SUM(K29:M29)</f>
        <v>0</v>
      </c>
      <c r="O29" s="113">
        <f t="shared" si="1"/>
        <v>0</v>
      </c>
      <c r="P29" s="266">
        <f t="shared" ref="P29" si="10">N29+G29</f>
        <v>3.2153744165614409E-2</v>
      </c>
      <c r="Q29" s="326">
        <f t="shared" ref="Q29" si="11">(P29/H29)*100</f>
        <v>0.12558869496454383</v>
      </c>
      <c r="R29" s="138">
        <f>SUMIFS('Bilateral Assistance, MAIN DATA'!S:S,'Bilateral Assistance, MAIN DATA'!AS:AS,1, 'Bilateral Assistance, MAIN DATA'!B:B,B29)/1000000000*VLOOKUP("USD",'Exchange Rates'!B:C,2,0)</f>
        <v>9.7265749013092321E-3</v>
      </c>
      <c r="S29" s="261">
        <f t="shared" ref="S29" si="12">F29-R29</f>
        <v>2.1735999999999978E-4</v>
      </c>
    </row>
    <row r="30" spans="2:21" ht="15.95" customHeight="1">
      <c r="B30" s="24" t="s">
        <v>2096</v>
      </c>
      <c r="C30" s="297">
        <v>1</v>
      </c>
      <c r="D30" s="261">
        <f>(SUMIFS('Bilateral Assistance, MAIN DATA'!S:S,'Bilateral Assistance, MAIN DATA'!D:D,"Financial",'Bilateral Assistance, MAIN DATA'!B:B,'Country Summary ($)'!B30)/1000000000)*VLOOKUP("USD",'Exchange Rates'!B:C,2,0)</f>
        <v>2.717E-2</v>
      </c>
      <c r="E30" s="261">
        <f>SUMIFS('Bilateral Assistance, MAIN DATA'!S:S,'Bilateral Assistance, MAIN DATA'!D:D,"Humanitarian",'Bilateral Assistance, MAIN DATA'!B:B,'Country Summary ($)'!B30)/1000000000*VLOOKUP("USD",'Exchange Rates'!B:C,2,0)</f>
        <v>6.6901075599999998E-2</v>
      </c>
      <c r="F30" s="261">
        <f>SUMIFS('Bilateral Assistance, MAIN DATA'!S:S,'Bilateral Assistance, MAIN DATA'!D:D,"Military",'Bilateral Assistance, MAIN DATA'!B:B,'Country Summary ($)'!B30)/1000000000*VLOOKUP("USD",'Exchange Rates'!B:C,2,0)</f>
        <v>4.18418E-3</v>
      </c>
      <c r="G30" s="264">
        <f t="shared" si="3"/>
        <v>9.8255255599999994E-2</v>
      </c>
      <c r="H30" s="327">
        <f>504182603275.542/1000000000</f>
        <v>504.18260327554196</v>
      </c>
      <c r="I30" s="299">
        <f>H30/VLOOKUP("USD",'Exchange Rates'!B:C,2,0)</f>
        <v>463.91479874451784</v>
      </c>
      <c r="J30" s="325">
        <f t="shared" si="4"/>
        <v>1.9488029726067776E-2</v>
      </c>
      <c r="K30" s="138">
        <f>VLOOKUP(B30,'EU Aid Shares'!B:E,4,0)*VLOOKUP("USD",'Exchange Rates'!B:C,2,0)</f>
        <v>0.60173523563792541</v>
      </c>
      <c r="L30" s="138">
        <f>VLOOKUP(B30,'EPF Aid Shares'!B:G,6,0)*VLOOKUP("USD",'Exchange Rates'!B:C,2,0)</f>
        <v>0.13011570088774616</v>
      </c>
      <c r="M30" s="127">
        <f>VLOOKUP(B30,'EIB Aid Shares'!B:E,4,0)*VLOOKUP("USD",'Exchange Rates'!B:C,2,0)</f>
        <v>1.4340319713605873E-2</v>
      </c>
      <c r="N30" s="138">
        <f t="shared" si="0"/>
        <v>0.7461912562392774</v>
      </c>
      <c r="O30" s="113">
        <f t="shared" si="1"/>
        <v>0.14800019901350597</v>
      </c>
      <c r="P30" s="266">
        <f t="shared" si="2"/>
        <v>0.84444651183927744</v>
      </c>
      <c r="Q30" s="326">
        <f t="shared" si="5"/>
        <v>0.16748822873957375</v>
      </c>
      <c r="R30" s="138">
        <f>SUMIFS('Bilateral Assistance, MAIN DATA'!S:S,'Bilateral Assistance, MAIN DATA'!AS:AS,1, 'Bilateral Assistance, MAIN DATA'!B:B,B30)/1000000000*VLOOKUP("USD",'Exchange Rates'!B:C,2,0)</f>
        <v>0</v>
      </c>
      <c r="S30" s="261">
        <f t="shared" si="6"/>
        <v>4.18418E-3</v>
      </c>
    </row>
    <row r="31" spans="2:21" ht="15.95" customHeight="1">
      <c r="B31" s="24" t="s">
        <v>2204</v>
      </c>
      <c r="C31" s="297">
        <v>1</v>
      </c>
      <c r="D31" s="261">
        <f>(SUMIFS('Bilateral Assistance, MAIN DATA'!S:S,'Bilateral Assistance, MAIN DATA'!D:D,"Financial",'Bilateral Assistance, MAIN DATA'!B:B,'Country Summary ($)'!B31)/1000000000)*VLOOKUP("USD",'Exchange Rates'!B:C,2,0)</f>
        <v>0.44558799999999998</v>
      </c>
      <c r="E31" s="261">
        <f>SUMIFS('Bilateral Assistance, MAIN DATA'!S:S,'Bilateral Assistance, MAIN DATA'!D:D,"Humanitarian",'Bilateral Assistance, MAIN DATA'!B:B,'Country Summary ($)'!B31)/1000000000*VLOOKUP("USD",'Exchange Rates'!B:C,2,0)</f>
        <v>0.24056708499999999</v>
      </c>
      <c r="F31" s="261">
        <f>SUMIFS('Bilateral Assistance, MAIN DATA'!S:S,'Bilateral Assistance, MAIN DATA'!D:D,"Military",'Bilateral Assistance, MAIN DATA'!B:B,'Country Summary ($)'!B31)/1000000000*VLOOKUP("USD",'Exchange Rates'!B:C,2,0)</f>
        <v>0.77484710145060609</v>
      </c>
      <c r="G31" s="264">
        <f t="shared" si="3"/>
        <v>1.4610021864506062</v>
      </c>
      <c r="H31" s="299">
        <f>2107702842669.73/1000000000</f>
        <v>2107.7028426697298</v>
      </c>
      <c r="I31" s="299">
        <f>H31/VLOOKUP("USD",'Exchange Rates'!B:C,2,0)</f>
        <v>1939.3658839434393</v>
      </c>
      <c r="J31" s="325">
        <f t="shared" si="4"/>
        <v>6.9317275513089985E-2</v>
      </c>
      <c r="K31" s="138">
        <f>VLOOKUP(B31,'EU Aid Shares'!B:E,4,0)*VLOOKUP("USD",'Exchange Rates'!B:C,2,0)</f>
        <v>3.6442170039410651</v>
      </c>
      <c r="L31" s="138">
        <f>VLOOKUP(B31,'EPF Aid Shares'!B:G,6,0)*VLOOKUP("USD",'Exchange Rates'!B:C,2,0)</f>
        <v>0.76354871440473582</v>
      </c>
      <c r="M31" s="127">
        <f>VLOOKUP(B31,'EIB Aid Shares'!B:E,4,0)*VLOOKUP("USD",'Exchange Rates'!B:C,2,0)</f>
        <v>0.40869968539227258</v>
      </c>
      <c r="N31" s="138">
        <f t="shared" si="0"/>
        <v>4.8164654037380732</v>
      </c>
      <c r="O31" s="113">
        <f t="shared" si="1"/>
        <v>0.2285172893555184</v>
      </c>
      <c r="P31" s="266">
        <f t="shared" si="2"/>
        <v>6.2774675901886798</v>
      </c>
      <c r="Q31" s="326">
        <f t="shared" si="5"/>
        <v>0.29783456486860843</v>
      </c>
      <c r="R31" s="138">
        <f>SUMIFS('Bilateral Assistance, MAIN DATA'!S:S,'Bilateral Assistance, MAIN DATA'!AS:AS,1, 'Bilateral Assistance, MAIN DATA'!B:B,B31)/1000000000*VLOOKUP("USD",'Exchange Rates'!B:C,2,0)</f>
        <v>0.77484710145060609</v>
      </c>
      <c r="S31" s="261">
        <f t="shared" si="6"/>
        <v>0</v>
      </c>
    </row>
    <row r="32" spans="2:21" ht="15.95" customHeight="1">
      <c r="B32" s="24" t="s">
        <v>2312</v>
      </c>
      <c r="C32" s="297">
        <v>0</v>
      </c>
      <c r="D32" s="261">
        <f>(SUMIFS('Bilateral Assistance, MAIN DATA'!S:S,'Bilateral Assistance, MAIN DATA'!D:D,"Financial",'Bilateral Assistance, MAIN DATA'!B:B,'Country Summary ($)'!B32)/1000000000)*VLOOKUP("USD",'Exchange Rates'!B:C,2,0)</f>
        <v>6.0715500000000002</v>
      </c>
      <c r="E32" s="261">
        <f>SUMIFS('Bilateral Assistance, MAIN DATA'!S:S,'Bilateral Assistance, MAIN DATA'!D:D,"Humanitarian",'Bilateral Assistance, MAIN DATA'!B:B,'Country Summary ($)'!B32)/1000000000*VLOOKUP("USD",'Exchange Rates'!B:C,2,0)</f>
        <v>1.0876403699999999</v>
      </c>
      <c r="F32" s="261">
        <f>SUMIFS('Bilateral Assistance, MAIN DATA'!S:S,'Bilateral Assistance, MAIN DATA'!D:D,"Military",'Bilateral Assistance, MAIN DATA'!B:B,'Country Summary ($)'!B32)/1000000000*VLOOKUP("USD",'Exchange Rates'!B:C,2,0)</f>
        <v>3.2452000000000002E-2</v>
      </c>
      <c r="G32" s="264">
        <f t="shared" si="3"/>
        <v>7.1916423700000003</v>
      </c>
      <c r="H32" s="299">
        <f>4940877780755.33/1000000000</f>
        <v>4940.8777807553297</v>
      </c>
      <c r="I32" s="299">
        <f>H32/VLOOKUP("USD",'Exchange Rates'!B:C,2,0)</f>
        <v>4546.2622200545911</v>
      </c>
      <c r="J32" s="325">
        <f t="shared" si="4"/>
        <v>0.14555394181194639</v>
      </c>
      <c r="K32" s="138">
        <f>VLOOKUP(B32,'EU Aid Shares'!B:E,4,0)*VLOOKUP("USD",'Exchange Rates'!B:C,2,0)</f>
        <v>0</v>
      </c>
      <c r="L32" s="138">
        <f>VLOOKUP(B32,'EPF Aid Shares'!B:G,6,0)*VLOOKUP("USD",'Exchange Rates'!B:C,2,0)</f>
        <v>0</v>
      </c>
      <c r="M32" s="127">
        <f>VLOOKUP(B32,'EIB Aid Shares'!B:E,4,0)*VLOOKUP("USD",'Exchange Rates'!B:C,2,0)</f>
        <v>0</v>
      </c>
      <c r="N32" s="138">
        <f t="shared" si="0"/>
        <v>0</v>
      </c>
      <c r="O32" s="113">
        <f t="shared" si="1"/>
        <v>0</v>
      </c>
      <c r="P32" s="266">
        <f t="shared" si="2"/>
        <v>7.1916423700000003</v>
      </c>
      <c r="Q32" s="326">
        <f t="shared" si="5"/>
        <v>0.14555394181194639</v>
      </c>
      <c r="R32" s="138">
        <f>SUMIFS('Bilateral Assistance, MAIN DATA'!S:S,'Bilateral Assistance, MAIN DATA'!AS:AS,1, 'Bilateral Assistance, MAIN DATA'!B:B,B32)/1000000000*VLOOKUP("USD",'Exchange Rates'!B:C,2,0)</f>
        <v>3.2452000000000002E-2</v>
      </c>
      <c r="S32" s="261">
        <f t="shared" si="6"/>
        <v>0</v>
      </c>
    </row>
    <row r="33" spans="2:19" ht="15.95" customHeight="1">
      <c r="B33" s="24" t="s">
        <v>2392</v>
      </c>
      <c r="C33" s="297">
        <v>1</v>
      </c>
      <c r="D33" s="261">
        <f>(SUMIFS('Bilateral Assistance, MAIN DATA'!S:S,'Bilateral Assistance, MAIN DATA'!D:D,"Financial",'Bilateral Assistance, MAIN DATA'!B:B,'Country Summary ($)'!B33)/1000000000)*VLOOKUP("USD",'Exchange Rates'!B:C,2,0)</f>
        <v>2.717E-2</v>
      </c>
      <c r="E33" s="261">
        <f>SUMIFS('Bilateral Assistance, MAIN DATA'!S:S,'Bilateral Assistance, MAIN DATA'!D:D,"Humanitarian",'Bilateral Assistance, MAIN DATA'!B:B,'Country Summary ($)'!B33)/1000000000*VLOOKUP("USD",'Exchange Rates'!B:C,2,0)</f>
        <v>5.6065137218375997E-3</v>
      </c>
      <c r="F33" s="261">
        <f>SUMIFS('Bilateral Assistance, MAIN DATA'!S:S,'Bilateral Assistance, MAIN DATA'!D:D,"Military",'Bilateral Assistance, MAIN DATA'!B:B,'Country Summary ($)'!B33)/1000000000*VLOOKUP("USD",'Exchange Rates'!B:C,2,0)</f>
        <v>0.40211599999999997</v>
      </c>
      <c r="G33" s="264">
        <f t="shared" si="3"/>
        <v>0.43489251372183757</v>
      </c>
      <c r="H33" s="299">
        <f>39853501579.8211/1000000000</f>
        <v>39.853501579821099</v>
      </c>
      <c r="I33" s="299">
        <f>H33/VLOOKUP("USD",'Exchange Rates'!B:C,2,0)</f>
        <v>36.670502005724238</v>
      </c>
      <c r="J33" s="325">
        <f t="shared" si="4"/>
        <v>1.0912278632551458</v>
      </c>
      <c r="K33" s="138">
        <f>VLOOKUP(B33,'EU Aid Shares'!B:E,4,0)*VLOOKUP("USD",'Exchange Rates'!B:C,2,0)</f>
        <v>6.0845793821731706E-2</v>
      </c>
      <c r="L33" s="138">
        <f>VLOOKUP(B33,'EPF Aid Shares'!B:G,6,0)*VLOOKUP("USD",'Exchange Rates'!B:C,2,0)</f>
        <v>1.3499046093605334E-2</v>
      </c>
      <c r="M33" s="127">
        <f>VLOOKUP(B33,'EIB Aid Shares'!B:E,4,0)*VLOOKUP("USD",'Exchange Rates'!B:C,2,0)</f>
        <v>2.3362239026342964E-3</v>
      </c>
      <c r="N33" s="138">
        <f t="shared" si="0"/>
        <v>7.6681063817971337E-2</v>
      </c>
      <c r="O33" s="113">
        <f t="shared" si="1"/>
        <v>0.19240734384252206</v>
      </c>
      <c r="P33" s="266">
        <f t="shared" si="2"/>
        <v>0.51157357753980892</v>
      </c>
      <c r="Q33" s="326">
        <f t="shared" si="5"/>
        <v>1.283635207097668</v>
      </c>
      <c r="R33" s="138">
        <f>SUMIFS('Bilateral Assistance, MAIN DATA'!S:S,'Bilateral Assistance, MAIN DATA'!AS:AS,1, 'Bilateral Assistance, MAIN DATA'!B:B,B33)/1000000000*VLOOKUP("USD",'Exchange Rates'!B:C,2,0)</f>
        <v>0.40211599999999997</v>
      </c>
      <c r="S33" s="261">
        <f t="shared" si="6"/>
        <v>0</v>
      </c>
    </row>
    <row r="34" spans="2:19" ht="15.95" customHeight="1">
      <c r="B34" s="24" t="s">
        <v>2488</v>
      </c>
      <c r="C34" s="297">
        <v>1</v>
      </c>
      <c r="D34" s="261">
        <f>(SUMIFS('Bilateral Assistance, MAIN DATA'!S:S,'Bilateral Assistance, MAIN DATA'!D:D,"Financial",'Bilateral Assistance, MAIN DATA'!B:B,'Country Summary ($)'!B34)/1000000000)*VLOOKUP("USD",'Exchange Rates'!B:C,2,0)</f>
        <v>3.2604000000000001E-2</v>
      </c>
      <c r="E34" s="261">
        <f>SUMIFS('Bilateral Assistance, MAIN DATA'!S:S,'Bilateral Assistance, MAIN DATA'!D:D,"Humanitarian",'Bilateral Assistance, MAIN DATA'!B:B,'Country Summary ($)'!B34)/1000000000*VLOOKUP("USD",'Exchange Rates'!B:C,2,0)</f>
        <v>6.6294800000000001E-2</v>
      </c>
      <c r="F34" s="261">
        <f>SUMIFS('Bilateral Assistance, MAIN DATA'!S:S,'Bilateral Assistance, MAIN DATA'!D:D,"Military",'Bilateral Assistance, MAIN DATA'!B:B,'Country Summary ($)'!B34)/1000000000*VLOOKUP("USD",'Exchange Rates'!B:C,2,0)</f>
        <v>0.53361879999999995</v>
      </c>
      <c r="G34" s="264">
        <f t="shared" si="3"/>
        <v>0.6325175999999999</v>
      </c>
      <c r="H34" s="299">
        <f>66445256585.3671/1000000000</f>
        <v>66.445256585367105</v>
      </c>
      <c r="I34" s="299">
        <f>H34/VLOOKUP("USD",'Exchange Rates'!B:C,2,0)</f>
        <v>61.13843999389686</v>
      </c>
      <c r="J34" s="325">
        <f t="shared" si="4"/>
        <v>0.95193792981649195</v>
      </c>
      <c r="K34" s="138">
        <f>VLOOKUP(B34,'EU Aid Shares'!B:E,4,0)*VLOOKUP("USD",'Exchange Rates'!B:C,2,0)</f>
        <v>9.7425832618802249E-2</v>
      </c>
      <c r="L34" s="138">
        <f>VLOOKUP(B34,'EPF Aid Shares'!B:G,6,0)*VLOOKUP("USD",'Exchange Rates'!B:C,2,0)</f>
        <v>2.1766576650501628E-2</v>
      </c>
      <c r="M34" s="127">
        <f>VLOOKUP(B34,'EIB Aid Shares'!B:E,4,0)*VLOOKUP("USD",'Exchange Rates'!B:C,2,0)</f>
        <v>3.8281567840966202E-3</v>
      </c>
      <c r="N34" s="138">
        <f t="shared" si="0"/>
        <v>0.1230205660534005</v>
      </c>
      <c r="O34" s="113">
        <f t="shared" si="1"/>
        <v>0.18514574610054663</v>
      </c>
      <c r="P34" s="266">
        <f t="shared" si="2"/>
        <v>0.75553816605340041</v>
      </c>
      <c r="Q34" s="326">
        <f t="shared" si="5"/>
        <v>1.1370836759170384</v>
      </c>
      <c r="R34" s="138">
        <f>SUMIFS('Bilateral Assistance, MAIN DATA'!S:S,'Bilateral Assistance, MAIN DATA'!AS:AS,1, 'Bilateral Assistance, MAIN DATA'!B:B,B34)/1000000000*VLOOKUP("USD",'Exchange Rates'!B:C,2,0)</f>
        <v>0.44901440000000004</v>
      </c>
      <c r="S34" s="261">
        <f t="shared" si="6"/>
        <v>8.4604399999999913E-2</v>
      </c>
    </row>
    <row r="35" spans="2:19" ht="15.95" customHeight="1">
      <c r="B35" s="24" t="s">
        <v>2625</v>
      </c>
      <c r="C35" s="297">
        <v>1</v>
      </c>
      <c r="D35" s="261">
        <f>(SUMIFS('Bilateral Assistance, MAIN DATA'!S:S,'Bilateral Assistance, MAIN DATA'!D:D,"Financial",'Bilateral Assistance, MAIN DATA'!B:B,'Country Summary ($)'!B35)/1000000000)*VLOOKUP("USD",'Exchange Rates'!B:C,2,0)</f>
        <v>0</v>
      </c>
      <c r="E35" s="261">
        <f>SUMIFS('Bilateral Assistance, MAIN DATA'!S:S,'Bilateral Assistance, MAIN DATA'!D:D,"Humanitarian",'Bilateral Assistance, MAIN DATA'!B:B,'Country Summary ($)'!B35)/1000000000*VLOOKUP("USD",'Exchange Rates'!B:C,2,0)</f>
        <v>4.3819775999999998E-3</v>
      </c>
      <c r="F35" s="261">
        <f>SUMIFS('Bilateral Assistance, MAIN DATA'!S:S,'Bilateral Assistance, MAIN DATA'!D:D,"Military",'Bilateral Assistance, MAIN DATA'!B:B,'Country Summary ($)'!B35)/1000000000*VLOOKUP("USD",'Exchange Rates'!B:C,2,0)</f>
        <v>9.9550879999999994E-2</v>
      </c>
      <c r="G35" s="264">
        <f t="shared" si="3"/>
        <v>0.1039328576</v>
      </c>
      <c r="H35" s="299">
        <f>85506243833.7816/1000000000</f>
        <v>85.506243833781596</v>
      </c>
      <c r="I35" s="299">
        <f>H35/VLOOKUP("USD",'Exchange Rates'!B:C,2,0)</f>
        <v>78.677073825709968</v>
      </c>
      <c r="J35" s="325">
        <f t="shared" si="4"/>
        <v>0.12155002130843041</v>
      </c>
      <c r="K35" s="138">
        <f>VLOOKUP(B35,'EU Aid Shares'!B:E,4,0)*VLOOKUP("USD",'Exchange Rates'!B:C,2,0)</f>
        <v>9.5505060453261792E-2</v>
      </c>
      <c r="L35" s="138">
        <f>VLOOKUP(B35,'EPF Aid Shares'!B:G,6,0)*VLOOKUP("USD",'Exchange Rates'!B:C,2,0)</f>
        <v>2.0297325944712851E-2</v>
      </c>
      <c r="M35" s="127">
        <f>VLOOKUP(B35,'EIB Aid Shares'!B:E,4,0)*VLOOKUP("USD",'Exchange Rates'!B:C,2,0)</f>
        <v>2.8680858409855614E-3</v>
      </c>
      <c r="N35" s="138">
        <f t="shared" si="0"/>
        <v>0.11867047223896021</v>
      </c>
      <c r="O35" s="113">
        <f t="shared" si="1"/>
        <v>0.13878573881650988</v>
      </c>
      <c r="P35" s="266">
        <f t="shared" si="2"/>
        <v>0.2226033298389602</v>
      </c>
      <c r="Q35" s="326">
        <f t="shared" si="5"/>
        <v>0.26033576012494031</v>
      </c>
      <c r="R35" s="138">
        <f>SUMIFS('Bilateral Assistance, MAIN DATA'!S:S,'Bilateral Assistance, MAIN DATA'!AS:AS,1, 'Bilateral Assistance, MAIN DATA'!B:B,B35)/1000000000*VLOOKUP("USD",'Exchange Rates'!B:C,2,0)</f>
        <v>9.9550879999999994E-2</v>
      </c>
      <c r="S35" s="261">
        <f t="shared" si="6"/>
        <v>0</v>
      </c>
    </row>
    <row r="36" spans="2:19" ht="15.95" customHeight="1">
      <c r="B36" s="24" t="s">
        <v>2678</v>
      </c>
      <c r="C36" s="297">
        <v>1</v>
      </c>
      <c r="D36" s="261">
        <f>(SUMIFS('Bilateral Assistance, MAIN DATA'!S:S,'Bilateral Assistance, MAIN DATA'!D:D,"Financial",'Bilateral Assistance, MAIN DATA'!B:B,'Country Summary ($)'!B36)/1000000000)*VLOOKUP("USD",'Exchange Rates'!B:C,2,0)</f>
        <v>0</v>
      </c>
      <c r="E36" s="261">
        <f>SUMIFS('Bilateral Assistance, MAIN DATA'!S:S,'Bilateral Assistance, MAIN DATA'!D:D,"Humanitarian",'Bilateral Assistance, MAIN DATA'!B:B,'Country Summary ($)'!B36)/1000000000*VLOOKUP("USD",'Exchange Rates'!B:C,2,0)</f>
        <v>2.2496759999999999E-3</v>
      </c>
      <c r="F36" s="261">
        <f>SUMIFS('Bilateral Assistance, MAIN DATA'!S:S,'Bilateral Assistance, MAIN DATA'!D:D,"Military",'Bilateral Assistance, MAIN DATA'!B:B,'Country Summary ($)'!B36)/1000000000*VLOOKUP("USD",'Exchange Rates'!B:C,2,0)</f>
        <v>0</v>
      </c>
      <c r="G36" s="264">
        <f t="shared" si="3"/>
        <v>2.2496759999999999E-3</v>
      </c>
      <c r="H36" s="299">
        <f>17364044943.8202/1000000000</f>
        <v>17.3640449438202</v>
      </c>
      <c r="I36" s="299">
        <f>H36/VLOOKUP("USD",'Exchange Rates'!B:C,2,0)</f>
        <v>15.977222068292418</v>
      </c>
      <c r="J36" s="325">
        <f t="shared" si="4"/>
        <v>1.2955944350977111E-2</v>
      </c>
      <c r="K36" s="138">
        <f>VLOOKUP(B36,'EU Aid Shares'!B:E,4,0)*VLOOKUP("USD",'Exchange Rates'!B:C,2,0)</f>
        <v>2.4863328587273741E-2</v>
      </c>
      <c r="L36" s="138">
        <f>VLOOKUP(B36,'EPF Aid Shares'!B:G,6,0)*VLOOKUP("USD",'Exchange Rates'!B:C,2,0)</f>
        <v>5.2895919628224786E-3</v>
      </c>
      <c r="M36" s="127">
        <f>VLOOKUP(B36,'EIB Aid Shares'!B:E,4,0)*VLOOKUP("USD",'Exchange Rates'!B:C,2,0)</f>
        <v>1.0705225031520762E-3</v>
      </c>
      <c r="N36" s="138">
        <f t="shared" si="0"/>
        <v>3.1223443053248295E-2</v>
      </c>
      <c r="O36" s="113">
        <f t="shared" si="1"/>
        <v>0.17981664499411817</v>
      </c>
      <c r="P36" s="266">
        <f t="shared" si="2"/>
        <v>3.3473119053248297E-2</v>
      </c>
      <c r="Q36" s="326">
        <f t="shared" si="5"/>
        <v>0.19277258934509528</v>
      </c>
      <c r="R36" s="138">
        <f>SUMIFS('Bilateral Assistance, MAIN DATA'!S:S,'Bilateral Assistance, MAIN DATA'!AS:AS,1, 'Bilateral Assistance, MAIN DATA'!B:B,B36)/1000000000*VLOOKUP("USD",'Exchange Rates'!B:C,2,0)</f>
        <v>0</v>
      </c>
      <c r="S36" s="261">
        <f t="shared" si="6"/>
        <v>0</v>
      </c>
    </row>
    <row r="37" spans="2:19" ht="15.95" customHeight="1">
      <c r="B37" s="24" t="s">
        <v>2693</v>
      </c>
      <c r="C37" s="297">
        <v>1</v>
      </c>
      <c r="D37" s="261">
        <f>(SUMIFS('Bilateral Assistance, MAIN DATA'!S:S,'Bilateral Assistance, MAIN DATA'!D:D,"Financial",'Bilateral Assistance, MAIN DATA'!B:B,'Country Summary ($)'!B37)/1000000000)*VLOOKUP("USD",'Exchange Rates'!B:C,2,0)</f>
        <v>1.0789998000000001</v>
      </c>
      <c r="E37" s="261">
        <f>SUMIFS('Bilateral Assistance, MAIN DATA'!S:S,'Bilateral Assistance, MAIN DATA'!D:D,"Humanitarian",'Bilateral Assistance, MAIN DATA'!B:B,'Country Summary ($)'!B37)/1000000000*VLOOKUP("USD",'Exchange Rates'!B:C,2,0)</f>
        <v>0.63775479999999996</v>
      </c>
      <c r="F37" s="261">
        <f>SUMIFS('Bilateral Assistance, MAIN DATA'!S:S,'Bilateral Assistance, MAIN DATA'!D:D,"Military",'Bilateral Assistance, MAIN DATA'!B:B,'Country Summary ($)'!B37)/1000000000*VLOOKUP("USD",'Exchange Rates'!B:C,2,0)</f>
        <v>2.6990677999999999</v>
      </c>
      <c r="G37" s="264">
        <f t="shared" si="3"/>
        <v>4.4158223999999997</v>
      </c>
      <c r="H37" s="299">
        <f>1012846760976.73/1000000000</f>
        <v>1012.84676097673</v>
      </c>
      <c r="I37" s="299">
        <f>H37/VLOOKUP("USD",'Exchange Rates'!B:C,2,0)</f>
        <v>931.95322136246784</v>
      </c>
      <c r="J37" s="325">
        <f t="shared" si="4"/>
        <v>0.43598129254435686</v>
      </c>
      <c r="K37" s="138">
        <f>VLOOKUP(B37,'EU Aid Shares'!B:E,4,0)*VLOOKUP("USD",'Exchange Rates'!B:C,2,0)</f>
        <v>2.3562112154684831</v>
      </c>
      <c r="L37" s="138">
        <f>VLOOKUP(B37,'EPF Aid Shares'!B:G,6,0)*VLOOKUP("USD",'Exchange Rates'!B:C,2,0)</f>
        <v>0.35358418168796901</v>
      </c>
      <c r="M37" s="127">
        <f>VLOOKUP(B37,'EIB Aid Shares'!B:E,4,0)*VLOOKUP("USD",'Exchange Rates'!B:C,2,0)</f>
        <v>0.11328871031044638</v>
      </c>
      <c r="N37" s="138">
        <f t="shared" si="0"/>
        <v>2.8230841074668986</v>
      </c>
      <c r="O37" s="113">
        <f t="shared" si="1"/>
        <v>0.27872766308147956</v>
      </c>
      <c r="P37" s="266">
        <f t="shared" si="2"/>
        <v>7.2389065074668988</v>
      </c>
      <c r="Q37" s="326">
        <f t="shared" si="5"/>
        <v>0.71470895562583636</v>
      </c>
      <c r="R37" s="138">
        <f>SUMIFS('Bilateral Assistance, MAIN DATA'!S:S,'Bilateral Assistance, MAIN DATA'!AS:AS,1, 'Bilateral Assistance, MAIN DATA'!B:B,B37)/1000000000*VLOOKUP("USD",'Exchange Rates'!B:C,2,0)</f>
        <v>2.5523498</v>
      </c>
      <c r="S37" s="261">
        <f t="shared" si="6"/>
        <v>0.1467179999999999</v>
      </c>
    </row>
    <row r="38" spans="2:19" ht="15.95" customHeight="1">
      <c r="B38" s="2" t="s">
        <v>2832</v>
      </c>
      <c r="C38" s="297">
        <v>0</v>
      </c>
      <c r="D38" s="261">
        <f>(SUMIFS('Bilateral Assistance, MAIN DATA'!S:S,'Bilateral Assistance, MAIN DATA'!D:D,"Financial",'Bilateral Assistance, MAIN DATA'!B:B,'Country Summary ($)'!B38)/1000000000)*VLOOKUP("USD",'Exchange Rates'!B:C,2,0)</f>
        <v>0</v>
      </c>
      <c r="E38" s="261">
        <f>SUMIFS('Bilateral Assistance, MAIN DATA'!S:S,'Bilateral Assistance, MAIN DATA'!D:D,"Humanitarian",'Bilateral Assistance, MAIN DATA'!B:B,'Country Summary ($)'!B38)/1000000000*VLOOKUP("USD",'Exchange Rates'!B:C,2,0)</f>
        <v>6.52788742062811E-3</v>
      </c>
      <c r="F38" s="261">
        <f>SUMIFS('Bilateral Assistance, MAIN DATA'!S:S,'Bilateral Assistance, MAIN DATA'!D:D,"Military",'Bilateral Assistance, MAIN DATA'!B:B,'Country Summary ($)'!B38)/1000000000*VLOOKUP("USD",'Exchange Rates'!B:C,2,0)</f>
        <v>2.0858154567816489E-2</v>
      </c>
      <c r="G38" s="264">
        <f t="shared" si="3"/>
        <v>2.7386041988444597E-2</v>
      </c>
      <c r="H38" s="324">
        <f>249885687029.634/1000000000</f>
        <v>249.885687029634</v>
      </c>
      <c r="I38" s="299">
        <f>H38/VLOOKUP("USD",'Exchange Rates'!B:C,2,0)</f>
        <v>229.92794169086676</v>
      </c>
      <c r="J38" s="325">
        <f t="shared" si="4"/>
        <v>1.0959428014457219E-2</v>
      </c>
      <c r="K38" s="138">
        <f>VLOOKUP(B38,'EU Aid Shares'!B:E,4,0)*VLOOKUP("USD",'Exchange Rates'!B:C,2,0)</f>
        <v>0</v>
      </c>
      <c r="L38" s="138">
        <f>VLOOKUP(B38,'EPF Aid Shares'!B:G,6,0)*VLOOKUP("USD",'Exchange Rates'!B:C,2,0)</f>
        <v>0</v>
      </c>
      <c r="M38" s="127">
        <f>VLOOKUP(B38,'EIB Aid Shares'!B:E,4,0)*VLOOKUP("USD",'Exchange Rates'!B:C,2,0)</f>
        <v>0</v>
      </c>
      <c r="N38" s="138">
        <f t="shared" si="0"/>
        <v>0</v>
      </c>
      <c r="O38" s="113">
        <f t="shared" si="1"/>
        <v>0</v>
      </c>
      <c r="P38" s="266">
        <f t="shared" si="2"/>
        <v>2.7386041988444597E-2</v>
      </c>
      <c r="Q38" s="326">
        <f t="shared" si="5"/>
        <v>1.0959428014457219E-2</v>
      </c>
      <c r="R38" s="138">
        <f>SUMIFS('Bilateral Assistance, MAIN DATA'!S:S,'Bilateral Assistance, MAIN DATA'!AS:AS,1, 'Bilateral Assistance, MAIN DATA'!B:B,B38)/1000000000*VLOOKUP("USD",'Exchange Rates'!B:C,2,0)</f>
        <v>6.8076540243693162E-3</v>
      </c>
      <c r="S38" s="261">
        <f t="shared" si="6"/>
        <v>1.4050500543447173E-2</v>
      </c>
    </row>
    <row r="39" spans="2:19" ht="15.95" customHeight="1">
      <c r="B39" s="2" t="s">
        <v>2882</v>
      </c>
      <c r="C39" s="297">
        <v>0</v>
      </c>
      <c r="D39" s="261">
        <f>(SUMIFS('Bilateral Assistance, MAIN DATA'!S:S,'Bilateral Assistance, MAIN DATA'!D:D,"Financial",'Bilateral Assistance, MAIN DATA'!B:B,'Country Summary ($)'!B39)/1000000000)*VLOOKUP("USD",'Exchange Rates'!B:C,2,0)</f>
        <v>0.96425364356941956</v>
      </c>
      <c r="E39" s="261">
        <f>SUMIFS('Bilateral Assistance, MAIN DATA'!S:S,'Bilateral Assistance, MAIN DATA'!D:D,"Humanitarian",'Bilateral Assistance, MAIN DATA'!B:B,'Country Summary ($)'!B39)/1000000000*VLOOKUP("USD",'Exchange Rates'!B:C,2,0)</f>
        <v>0.20519283966903604</v>
      </c>
      <c r="F39" s="261">
        <f>SUMIFS('Bilateral Assistance, MAIN DATA'!S:S,'Bilateral Assistance, MAIN DATA'!D:D,"Military",'Bilateral Assistance, MAIN DATA'!B:B,'Country Summary ($)'!B39)/1000000000*VLOOKUP("USD",'Exchange Rates'!B:C,2,0)</f>
        <v>1.1013425381402879</v>
      </c>
      <c r="G39" s="264">
        <f t="shared" si="3"/>
        <v>2.2707890213787438</v>
      </c>
      <c r="H39" s="324">
        <f>482174854481.956/1000000000</f>
        <v>482.174854481956</v>
      </c>
      <c r="I39" s="299">
        <f>H39/VLOOKUP("USD",'Exchange Rates'!B:C,2,0)</f>
        <v>443.66475384795365</v>
      </c>
      <c r="J39" s="325">
        <f t="shared" si="4"/>
        <v>0.47094720935177292</v>
      </c>
      <c r="K39" s="138">
        <f>VLOOKUP(B39,'EU Aid Shares'!B:E,4,0)*VLOOKUP("USD",'Exchange Rates'!B:C,2,0)</f>
        <v>0</v>
      </c>
      <c r="L39" s="138">
        <f>VLOOKUP(B39,'EPF Aid Shares'!B:G,6,0)*VLOOKUP("USD",'Exchange Rates'!B:C,2,0)</f>
        <v>0</v>
      </c>
      <c r="M39" s="127">
        <f>VLOOKUP(B39,'EIB Aid Shares'!B:E,4,0)*VLOOKUP("USD",'Exchange Rates'!B:C,2,0)</f>
        <v>0</v>
      </c>
      <c r="N39" s="138">
        <f t="shared" si="0"/>
        <v>0</v>
      </c>
      <c r="O39" s="113">
        <f t="shared" si="1"/>
        <v>0</v>
      </c>
      <c r="P39" s="266">
        <f t="shared" si="2"/>
        <v>2.2707890213787438</v>
      </c>
      <c r="Q39" s="326">
        <f t="shared" si="5"/>
        <v>0.47094720935177292</v>
      </c>
      <c r="R39" s="138">
        <f>SUMIFS('Bilateral Assistance, MAIN DATA'!S:S,'Bilateral Assistance, MAIN DATA'!AS:AS,1, 'Bilateral Assistance, MAIN DATA'!B:B,B39)/1000000000*VLOOKUP("USD",'Exchange Rates'!B:C,2,0)</f>
        <v>0.78640859115315775</v>
      </c>
      <c r="S39" s="261">
        <f t="shared" si="6"/>
        <v>0.31493394698713018</v>
      </c>
    </row>
    <row r="40" spans="2:19" ht="15.95" customHeight="1">
      <c r="B40" s="24" t="s">
        <v>2989</v>
      </c>
      <c r="C40" s="297">
        <v>1</v>
      </c>
      <c r="D40" s="261">
        <f>(SUMIFS('Bilateral Assistance, MAIN DATA'!S:S,'Bilateral Assistance, MAIN DATA'!D:D,"Financial",'Bilateral Assistance, MAIN DATA'!B:B,'Country Summary ($)'!B40)/1000000000)*VLOOKUP("USD",'Exchange Rates'!B:C,2,0)</f>
        <v>1.0071903669724771</v>
      </c>
      <c r="E40" s="261">
        <f>SUMIFS('Bilateral Assistance, MAIN DATA'!S:S,'Bilateral Assistance, MAIN DATA'!D:D,"Humanitarian",'Bilateral Assistance, MAIN DATA'!B:B,'Country Summary ($)'!B40)/1000000000*VLOOKUP("USD",'Exchange Rates'!B:C,2,0)</f>
        <v>0.36937334862385324</v>
      </c>
      <c r="F40" s="261">
        <f>SUMIFS('Bilateral Assistance, MAIN DATA'!S:S,'Bilateral Assistance, MAIN DATA'!D:D,"Military",'Bilateral Assistance, MAIN DATA'!B:B,'Country Summary ($)'!B40)/1000000000*VLOOKUP("USD",'Exchange Rates'!B:C,2,0)</f>
        <v>3.2603999999999997</v>
      </c>
      <c r="G40" s="264">
        <f t="shared" si="3"/>
        <v>4.6369637155963304</v>
      </c>
      <c r="H40" s="299">
        <f>679444832854.295/1000000000</f>
        <v>679.4448328542951</v>
      </c>
      <c r="I40" s="299">
        <f>H40/VLOOKUP("USD",'Exchange Rates'!B:C,2,0)</f>
        <v>625.17927204112539</v>
      </c>
      <c r="J40" s="325">
        <f t="shared" si="4"/>
        <v>0.68246360725370525</v>
      </c>
      <c r="K40" s="138">
        <f>VLOOKUP(B40,'EU Aid Shares'!B:E,4,0)*VLOOKUP("USD",'Exchange Rates'!B:C,2,0)</f>
        <v>1.2476055472573806</v>
      </c>
      <c r="L40" s="138">
        <f>VLOOKUP(B40,'EPF Aid Shares'!B:G,6,0)*VLOOKUP("USD",'Exchange Rates'!B:C,2,0)</f>
        <v>0.2296174362075902</v>
      </c>
      <c r="M40" s="127">
        <f>VLOOKUP(B40,'EIB Aid Shares'!B:E,4,0)*VLOOKUP("USD",'Exchange Rates'!B:C,2,0)</f>
        <v>9.942900058074261E-2</v>
      </c>
      <c r="N40" s="138">
        <f t="shared" si="0"/>
        <v>1.5766519840457134</v>
      </c>
      <c r="O40" s="113">
        <f t="shared" si="1"/>
        <v>0.23205003670751612</v>
      </c>
      <c r="P40" s="266">
        <f t="shared" si="2"/>
        <v>6.2136156996420437</v>
      </c>
      <c r="Q40" s="326">
        <f t="shared" si="5"/>
        <v>0.91451364396122126</v>
      </c>
      <c r="R40" s="138">
        <f>SUMIFS('Bilateral Assistance, MAIN DATA'!S:S,'Bilateral Assistance, MAIN DATA'!AS:AS,1, 'Bilateral Assistance, MAIN DATA'!B:B,B40)/1000000000*VLOOKUP("USD",'Exchange Rates'!B:C,2,0)</f>
        <v>3.2603999999999997</v>
      </c>
      <c r="S40" s="261">
        <f t="shared" si="6"/>
        <v>0</v>
      </c>
    </row>
    <row r="41" spans="2:19" ht="15.95" customHeight="1">
      <c r="B41" s="24" t="s">
        <v>3079</v>
      </c>
      <c r="C41" s="297">
        <v>1</v>
      </c>
      <c r="D41" s="261">
        <f>(SUMIFS('Bilateral Assistance, MAIN DATA'!S:S,'Bilateral Assistance, MAIN DATA'!D:D,"Financial",'Bilateral Assistance, MAIN DATA'!B:B,'Country Summary ($)'!B41)/1000000000)*VLOOKUP("USD",'Exchange Rates'!B:C,2,0)</f>
        <v>0.2717</v>
      </c>
      <c r="E41" s="261">
        <f>SUMIFS('Bilateral Assistance, MAIN DATA'!S:S,'Bilateral Assistance, MAIN DATA'!D:D,"Humanitarian",'Bilateral Assistance, MAIN DATA'!B:B,'Country Summary ($)'!B41)/1000000000*VLOOKUP("USD",'Exchange Rates'!B:C,2,0)</f>
        <v>1.8534999999999999E-3</v>
      </c>
      <c r="F41" s="261">
        <f>SUMIFS('Bilateral Assistance, MAIN DATA'!S:S,'Bilateral Assistance, MAIN DATA'!D:D,"Military",'Bilateral Assistance, MAIN DATA'!B:B,'Country Summary ($)'!B41)/1000000000*VLOOKUP("USD",'Exchange Rates'!B:C,2,0)</f>
        <v>8.2039307781191895E-2</v>
      </c>
      <c r="G41" s="264">
        <f t="shared" si="3"/>
        <v>0.3555928077811919</v>
      </c>
      <c r="H41" s="327">
        <f>253663144586.019/1000000000</f>
        <v>253.663144586019</v>
      </c>
      <c r="I41" s="299">
        <f>H41/VLOOKUP("USD",'Exchange Rates'!B:C,2,0)</f>
        <v>233.40370315239142</v>
      </c>
      <c r="J41" s="325">
        <f t="shared" si="4"/>
        <v>0.14018307955675754</v>
      </c>
      <c r="K41" s="138">
        <f>VLOOKUP(B41,'EU Aid Shares'!B:E,4,0)*VLOOKUP("USD",'Exchange Rates'!B:C,2,0)</f>
        <v>0.43198166003004962</v>
      </c>
      <c r="L41" s="138">
        <f>VLOOKUP(B41,'EPF Aid Shares'!B:G,6,0)*VLOOKUP("USD",'Exchange Rates'!B:C,2,0)</f>
        <v>8.9135795335369084E-2</v>
      </c>
      <c r="M41" s="127">
        <f>VLOOKUP(B41,'EIB Aid Shares'!B:E,4,0)*VLOOKUP("USD",'Exchange Rates'!B:C,2,0)</f>
        <v>1.9803295178151277E-2</v>
      </c>
      <c r="N41" s="138">
        <f t="shared" si="0"/>
        <v>0.54092075054357003</v>
      </c>
      <c r="O41" s="113">
        <f t="shared" si="1"/>
        <v>0.213243729760726</v>
      </c>
      <c r="P41" s="266">
        <f t="shared" si="2"/>
        <v>0.89651355832476187</v>
      </c>
      <c r="Q41" s="326">
        <f t="shared" si="5"/>
        <v>0.35342680931748349</v>
      </c>
      <c r="R41" s="138">
        <f>SUMIFS('Bilateral Assistance, MAIN DATA'!S:S,'Bilateral Assistance, MAIN DATA'!AS:AS,1, 'Bilateral Assistance, MAIN DATA'!B:B,B41)/1000000000*VLOOKUP("USD",'Exchange Rates'!B:C,2,0)</f>
        <v>8.2039307781191895E-2</v>
      </c>
      <c r="S41" s="261">
        <f t="shared" si="6"/>
        <v>0</v>
      </c>
    </row>
    <row r="42" spans="2:19" ht="15.95" customHeight="1">
      <c r="B42" s="2" t="s">
        <v>3162</v>
      </c>
      <c r="C42" s="297">
        <v>0</v>
      </c>
      <c r="D42" s="261">
        <f>(SUMIFS('Bilateral Assistance, MAIN DATA'!S:S,'Bilateral Assistance, MAIN DATA'!D:D,"Financial",'Bilateral Assistance, MAIN DATA'!B:B,'Country Summary ($)'!B42)/1000000000)*VLOOKUP("USD",'Exchange Rates'!B:C,2,0)</f>
        <v>0.43000000000000005</v>
      </c>
      <c r="E42" s="261">
        <f>SUMIFS('Bilateral Assistance, MAIN DATA'!S:S,'Bilateral Assistance, MAIN DATA'!D:D,"Humanitarian",'Bilateral Assistance, MAIN DATA'!B:B,'Country Summary ($)'!B42)/1000000000*VLOOKUP("USD",'Exchange Rates'!B:C,2,0)</f>
        <v>0.22999999999999995</v>
      </c>
      <c r="F42" s="261">
        <f>SUMIFS('Bilateral Assistance, MAIN DATA'!S:S,'Bilateral Assistance, MAIN DATA'!D:D,"Military",'Bilateral Assistance, MAIN DATA'!B:B,'Country Summary ($)'!B42)/1000000000*VLOOKUP("USD",'Exchange Rates'!B:C,2,0)</f>
        <v>3.5800000000000007E-3</v>
      </c>
      <c r="G42" s="264">
        <f t="shared" si="3"/>
        <v>0.66358000000000006</v>
      </c>
      <c r="H42" s="324">
        <f>1810955871380.98/1000000000</f>
        <v>1810.9558713809799</v>
      </c>
      <c r="I42" s="299">
        <f>H42/VLOOKUP("USD",'Exchange Rates'!B:C,2,0)</f>
        <v>1666.3193516571403</v>
      </c>
      <c r="J42" s="325">
        <f t="shared" si="4"/>
        <v>3.6642527324201118E-2</v>
      </c>
      <c r="K42" s="138">
        <f>VLOOKUP(B42,'EU Aid Shares'!B:E,4,0)*VLOOKUP("USD",'Exchange Rates'!B:C,2,0)</f>
        <v>0</v>
      </c>
      <c r="L42" s="138">
        <f>VLOOKUP(B42,'EPF Aid Shares'!B:G,6,0)*VLOOKUP("USD",'Exchange Rates'!B:C,2,0)</f>
        <v>0</v>
      </c>
      <c r="M42" s="127">
        <f>VLOOKUP(B42,'EIB Aid Shares'!B:E,4,0)*VLOOKUP("USD",'Exchange Rates'!B:C,2,0)</f>
        <v>0</v>
      </c>
      <c r="N42" s="138">
        <f t="shared" si="0"/>
        <v>0</v>
      </c>
      <c r="O42" s="113">
        <f t="shared" si="1"/>
        <v>0</v>
      </c>
      <c r="P42" s="266">
        <f t="shared" si="2"/>
        <v>0.66358000000000006</v>
      </c>
      <c r="Q42" s="326">
        <f t="shared" si="5"/>
        <v>3.6642527324201118E-2</v>
      </c>
      <c r="R42" s="138">
        <f>SUMIFS('Bilateral Assistance, MAIN DATA'!S:S,'Bilateral Assistance, MAIN DATA'!AS:AS,1, 'Bilateral Assistance, MAIN DATA'!B:B,B42)/1000000000*VLOOKUP("USD",'Exchange Rates'!B:C,2,0)</f>
        <v>3.5800000000000007E-3</v>
      </c>
      <c r="S42" s="261">
        <f t="shared" si="6"/>
        <v>0</v>
      </c>
    </row>
    <row r="43" spans="2:19" ht="15.95" customHeight="1">
      <c r="B43" s="24" t="s">
        <v>3214</v>
      </c>
      <c r="C43" s="297">
        <v>1</v>
      </c>
      <c r="D43" s="261">
        <f>(SUMIFS('Bilateral Assistance, MAIN DATA'!S:S,'Bilateral Assistance, MAIN DATA'!D:D,"Financial",'Bilateral Assistance, MAIN DATA'!B:B,'Country Summary ($)'!B43)/1000000000)*VLOOKUP("USD",'Exchange Rates'!B:C,2,0)</f>
        <v>0</v>
      </c>
      <c r="E43" s="261">
        <f>SUMIFS('Bilateral Assistance, MAIN DATA'!S:S,'Bilateral Assistance, MAIN DATA'!D:D,"Humanitarian",'Bilateral Assistance, MAIN DATA'!B:B,'Country Summary ($)'!B43)/1000000000*VLOOKUP("USD",'Exchange Rates'!B:C,2,0)</f>
        <v>0.13276065193154557</v>
      </c>
      <c r="F43" s="261">
        <f>SUMIFS('Bilateral Assistance, MAIN DATA'!S:S,'Bilateral Assistance, MAIN DATA'!D:D,"Military",'Bilateral Assistance, MAIN DATA'!B:B,'Country Summary ($)'!B43)/1000000000*VLOOKUP("USD",'Exchange Rates'!B:C,2,0)</f>
        <v>4.0904000000000001E-3</v>
      </c>
      <c r="G43" s="264">
        <f t="shared" si="3"/>
        <v>0.13685105193154556</v>
      </c>
      <c r="H43" s="299">
        <f>284087563695.798/1000000000</f>
        <v>284.087563695798</v>
      </c>
      <c r="I43" s="299">
        <f>H43/VLOOKUP("USD",'Exchange Rates'!B:C,2,0)</f>
        <v>261.39819994092568</v>
      </c>
      <c r="J43" s="325">
        <f t="shared" si="4"/>
        <v>4.8172137544917726E-2</v>
      </c>
      <c r="K43" s="138">
        <f>VLOOKUP(B43,'EU Aid Shares'!B:E,4,0)*VLOOKUP("USD",'Exchange Rates'!B:C,2,0)</f>
        <v>0.49476956793027227</v>
      </c>
      <c r="L43" s="138">
        <f>VLOOKUP(B43,'EPF Aid Shares'!B:G,6,0)*VLOOKUP("USD",'Exchange Rates'!B:C,2,0)</f>
        <v>9.6339094896726235E-2</v>
      </c>
      <c r="M43" s="127">
        <f>VLOOKUP(B43,'EIB Aid Shares'!B:E,4,0)*VLOOKUP("USD",'Exchange Rates'!B:C,2,0)</f>
        <v>1.4340319713605873E-2</v>
      </c>
      <c r="N43" s="138">
        <f t="shared" si="0"/>
        <v>0.60544898254060431</v>
      </c>
      <c r="O43" s="113">
        <f t="shared" si="1"/>
        <v>0.21312055151732068</v>
      </c>
      <c r="P43" s="266">
        <f t="shared" si="2"/>
        <v>0.74230003447214987</v>
      </c>
      <c r="Q43" s="326">
        <f t="shared" si="5"/>
        <v>0.2612926890622384</v>
      </c>
      <c r="R43" s="138">
        <f>SUMIFS('Bilateral Assistance, MAIN DATA'!S:S,'Bilateral Assistance, MAIN DATA'!AS:AS,1, 'Bilateral Assistance, MAIN DATA'!B:B,B43)/1000000000*VLOOKUP("USD",'Exchange Rates'!B:C,2,0)</f>
        <v>3.2604000000000001E-3</v>
      </c>
      <c r="S43" s="261">
        <f t="shared" si="6"/>
        <v>8.3000000000000001E-4</v>
      </c>
    </row>
    <row r="44" spans="2:19" ht="15.95" customHeight="1">
      <c r="B44" s="24" t="s">
        <v>3261</v>
      </c>
      <c r="C44" s="297">
        <v>1</v>
      </c>
      <c r="D44" s="261">
        <f>(SUMIFS('Bilateral Assistance, MAIN DATA'!S:S,'Bilateral Assistance, MAIN DATA'!D:D,"Financial",'Bilateral Assistance, MAIN DATA'!B:B,'Country Summary ($)'!B44)/1000000000)*VLOOKUP("USD",'Exchange Rates'!B:C,2,0)</f>
        <v>0</v>
      </c>
      <c r="E44" s="261">
        <f>SUMIFS('Bilateral Assistance, MAIN DATA'!S:S,'Bilateral Assistance, MAIN DATA'!D:D,"Humanitarian",'Bilateral Assistance, MAIN DATA'!B:B,'Country Summary ($)'!B44)/1000000000*VLOOKUP("USD",'Exchange Rates'!B:C,2,0)</f>
        <v>9.7811999999999986E-3</v>
      </c>
      <c r="F44" s="261">
        <f>SUMIFS('Bilateral Assistance, MAIN DATA'!S:S,'Bilateral Assistance, MAIN DATA'!D:D,"Military",'Bilateral Assistance, MAIN DATA'!B:B,'Country Summary ($)'!B44)/1000000000*VLOOKUP("USD",'Exchange Rates'!B:C,2,0)</f>
        <v>0.72598239979279999</v>
      </c>
      <c r="G44" s="264">
        <f t="shared" si="3"/>
        <v>0.73576359979280004</v>
      </c>
      <c r="H44" s="299">
        <f>116527101097.7/1000000000</f>
        <v>116.5271010977</v>
      </c>
      <c r="I44" s="299">
        <f>H44/VLOOKUP("USD",'Exchange Rates'!B:C,2,0)</f>
        <v>107.22037274355907</v>
      </c>
      <c r="J44" s="325">
        <f t="shared" si="4"/>
        <v>0.63140985475637346</v>
      </c>
      <c r="K44" s="138">
        <f>VLOOKUP(B44,'EU Aid Shares'!B:E,4,0)*VLOOKUP("USD",'Exchange Rates'!B:C,2,0)</f>
        <v>0.27712473966158752</v>
      </c>
      <c r="L44" s="138">
        <f>VLOOKUP(B44,'EPF Aid Shares'!B:G,6,0)*VLOOKUP("USD",'Exchange Rates'!B:C,2,0)</f>
        <v>4.0998062214077938E-2</v>
      </c>
      <c r="M44" s="127">
        <f>VLOOKUP(B44,'EIB Aid Shares'!B:E,4,0)*VLOOKUP("USD",'Exchange Rates'!B:C,2,0)</f>
        <v>6.5713700598629384E-3</v>
      </c>
      <c r="N44" s="138">
        <f t="shared" si="0"/>
        <v>0.32469417193552835</v>
      </c>
      <c r="O44" s="113">
        <f t="shared" si="1"/>
        <v>0.27864262379898608</v>
      </c>
      <c r="P44" s="266">
        <f t="shared" si="2"/>
        <v>1.0604577717283283</v>
      </c>
      <c r="Q44" s="326">
        <f t="shared" si="5"/>
        <v>0.91005247855535953</v>
      </c>
      <c r="R44" s="138">
        <f>SUMIFS('Bilateral Assistance, MAIN DATA'!S:S,'Bilateral Assistance, MAIN DATA'!AS:AS,1, 'Bilateral Assistance, MAIN DATA'!B:B,B44)/1000000000*VLOOKUP("USD",'Exchange Rates'!B:C,2,0)</f>
        <v>0.72598239979279999</v>
      </c>
      <c r="S44" s="261">
        <f t="shared" si="6"/>
        <v>0</v>
      </c>
    </row>
    <row r="45" spans="2:19" ht="15.95" customHeight="1">
      <c r="B45" s="24" t="s">
        <v>3337</v>
      </c>
      <c r="C45" s="297">
        <v>1</v>
      </c>
      <c r="D45" s="261">
        <f>(SUMIFS('Bilateral Assistance, MAIN DATA'!S:S,'Bilateral Assistance, MAIN DATA'!D:D,"Financial",'Bilateral Assistance, MAIN DATA'!B:B,'Country Summary ($)'!B45)/1000000000)*VLOOKUP("USD",'Exchange Rates'!B:C,2,0)</f>
        <v>0</v>
      </c>
      <c r="E45" s="261">
        <f>SUMIFS('Bilateral Assistance, MAIN DATA'!S:S,'Bilateral Assistance, MAIN DATA'!D:D,"Humanitarian",'Bilateral Assistance, MAIN DATA'!B:B,'Country Summary ($)'!B45)/1000000000*VLOOKUP("USD",'Exchange Rates'!B:C,2,0)</f>
        <v>5.1456730464000001E-3</v>
      </c>
      <c r="F45" s="261">
        <f>SUMIFS('Bilateral Assistance, MAIN DATA'!S:S,'Bilateral Assistance, MAIN DATA'!D:D,"Military",'Bilateral Assistance, MAIN DATA'!B:B,'Country Summary ($)'!B45)/1000000000*VLOOKUP("USD",'Exchange Rates'!B:C,2,0)</f>
        <v>6.128562902000001E-2</v>
      </c>
      <c r="G45" s="264">
        <f t="shared" si="3"/>
        <v>6.6431302066400008E-2</v>
      </c>
      <c r="H45" s="327">
        <f>61748586534.8672/1000000000</f>
        <v>61.748586534867201</v>
      </c>
      <c r="I45" s="299">
        <f>H45/VLOOKUP("USD",'Exchange Rates'!B:C,2,0)</f>
        <v>56.816881242976812</v>
      </c>
      <c r="J45" s="325">
        <f t="shared" si="4"/>
        <v>0.10758351857801417</v>
      </c>
      <c r="K45" s="138">
        <f>VLOOKUP(B45,'EU Aid Shares'!B:E,4,0)*VLOOKUP("USD",'Exchange Rates'!B:C,2,0)</f>
        <v>0.10739250596666219</v>
      </c>
      <c r="L45" s="138">
        <f>VLOOKUP(B45,'EPF Aid Shares'!B:G,6,0)*VLOOKUP("USD",'Exchange Rates'!B:C,2,0)</f>
        <v>2.1144619640396125E-2</v>
      </c>
      <c r="M45" s="127">
        <f>VLOOKUP(B45,'EIB Aid Shares'!B:E,4,0)*VLOOKUP("USD",'Exchange Rates'!B:C,2,0)</f>
        <v>6.1009251253762685E-3</v>
      </c>
      <c r="N45" s="138">
        <f t="shared" si="0"/>
        <v>0.13463805073243459</v>
      </c>
      <c r="O45" s="113">
        <f t="shared" si="1"/>
        <v>0.21804232013701133</v>
      </c>
      <c r="P45" s="266">
        <f t="shared" si="2"/>
        <v>0.20106935279883459</v>
      </c>
      <c r="Q45" s="326">
        <f t="shared" si="5"/>
        <v>0.32562583871502543</v>
      </c>
      <c r="R45" s="138">
        <f>SUMIFS('Bilateral Assistance, MAIN DATA'!S:S,'Bilateral Assistance, MAIN DATA'!AS:AS,1, 'Bilateral Assistance, MAIN DATA'!B:B,B45)/1000000000*VLOOKUP("USD",'Exchange Rates'!B:C,2,0)</f>
        <v>6.128562902000001E-2</v>
      </c>
      <c r="S45" s="261">
        <f t="shared" si="6"/>
        <v>0</v>
      </c>
    </row>
    <row r="46" spans="2:19" ht="15.95" customHeight="1">
      <c r="B46" s="24" t="s">
        <v>3412</v>
      </c>
      <c r="C46" s="297">
        <v>1</v>
      </c>
      <c r="D46" s="261">
        <f>(SUMIFS('Bilateral Assistance, MAIN DATA'!S:S,'Bilateral Assistance, MAIN DATA'!D:D,"Financial",'Bilateral Assistance, MAIN DATA'!B:B,'Country Summary ($)'!B46)/1000000000)*VLOOKUP("USD",'Exchange Rates'!B:C,2,0)</f>
        <v>0.49362455999999999</v>
      </c>
      <c r="E46" s="261">
        <f>SUMIFS('Bilateral Assistance, MAIN DATA'!S:S,'Bilateral Assistance, MAIN DATA'!D:D,"Humanitarian",'Bilateral Assistance, MAIN DATA'!B:B,'Country Summary ($)'!B46)/1000000000*VLOOKUP("USD",'Exchange Rates'!B:C,2,0)</f>
        <v>5.7554961445600003E-2</v>
      </c>
      <c r="F46" s="261">
        <f>SUMIFS('Bilateral Assistance, MAIN DATA'!S:S,'Bilateral Assistance, MAIN DATA'!D:D,"Military",'Bilateral Assistance, MAIN DATA'!B:B,'Country Summary ($)'!B46)/1000000000*VLOOKUP("USD",'Exchange Rates'!B:C,2,0)</f>
        <v>0.35687964178008041</v>
      </c>
      <c r="G46" s="264">
        <f t="shared" si="3"/>
        <v>0.90805916322568048</v>
      </c>
      <c r="H46" s="299">
        <f>1427380681294.55/1000000000</f>
        <v>1427.38068129455</v>
      </c>
      <c r="I46" s="299">
        <f>H46/VLOOKUP("USD",'Exchange Rates'!B:C,2,0)</f>
        <v>1313.3793534178781</v>
      </c>
      <c r="J46" s="325">
        <f t="shared" si="4"/>
        <v>6.361716780432565E-2</v>
      </c>
      <c r="K46" s="138">
        <f>VLOOKUP(B46,'EU Aid Shares'!B:E,4,0)*VLOOKUP("USD",'Exchange Rates'!B:C,2,0)</f>
        <v>3.5422453438638164</v>
      </c>
      <c r="L46" s="138">
        <f>VLOOKUP(B46,'EPF Aid Shares'!B:G,6,0)*VLOOKUP("USD",'Exchange Rates'!B:C,2,0)</f>
        <v>0.51435948251815367</v>
      </c>
      <c r="M46" s="127">
        <f>VLOOKUP(B46,'EIB Aid Shares'!B:E,4,0)*VLOOKUP("USD",'Exchange Rates'!B:C,2,0)</f>
        <v>0.24521981436343712</v>
      </c>
      <c r="N46" s="138">
        <f t="shared" si="0"/>
        <v>4.3018246407454068</v>
      </c>
      <c r="O46" s="113">
        <f t="shared" si="1"/>
        <v>0.30137893115128234</v>
      </c>
      <c r="P46" s="266">
        <f t="shared" si="2"/>
        <v>5.2098838039710875</v>
      </c>
      <c r="Q46" s="326">
        <f t="shared" si="5"/>
        <v>0.36499609895560803</v>
      </c>
      <c r="R46" s="138">
        <f>SUMIFS('Bilateral Assistance, MAIN DATA'!S:S,'Bilateral Assistance, MAIN DATA'!AS:AS,1, 'Bilateral Assistance, MAIN DATA'!B:B,B46)/1000000000*VLOOKUP("USD",'Exchange Rates'!B:C,2,0)</f>
        <v>0.35687964178008041</v>
      </c>
      <c r="S46" s="261">
        <f t="shared" si="6"/>
        <v>0</v>
      </c>
    </row>
    <row r="47" spans="2:19" ht="15.95" customHeight="1">
      <c r="B47" s="24" t="s">
        <v>3548</v>
      </c>
      <c r="C47" s="297">
        <v>1</v>
      </c>
      <c r="D47" s="261">
        <f>(SUMIFS('Bilateral Assistance, MAIN DATA'!S:S,'Bilateral Assistance, MAIN DATA'!D:D,"Financial",'Bilateral Assistance, MAIN DATA'!B:B,'Country Summary ($)'!B47)/1000000000)*VLOOKUP("USD",'Exchange Rates'!B:C,2,0)</f>
        <v>0.21634756926216167</v>
      </c>
      <c r="E47" s="261">
        <f>SUMIFS('Bilateral Assistance, MAIN DATA'!S:S,'Bilateral Assistance, MAIN DATA'!D:D,"Humanitarian",'Bilateral Assistance, MAIN DATA'!B:B,'Country Summary ($)'!B47)/1000000000*VLOOKUP("USD",'Exchange Rates'!B:C,2,0)</f>
        <v>0.15457127844710061</v>
      </c>
      <c r="F47" s="261">
        <f>SUMIFS('Bilateral Assistance, MAIN DATA'!S:S,'Bilateral Assistance, MAIN DATA'!D:D,"Military",'Bilateral Assistance, MAIN DATA'!B:B,'Country Summary ($)'!B47)/1000000000*VLOOKUP("USD",'Exchange Rates'!B:C,2,0)</f>
        <v>1.6156372604378304</v>
      </c>
      <c r="G47" s="264">
        <f t="shared" si="3"/>
        <v>1.9865561081470928</v>
      </c>
      <c r="H47" s="299">
        <f>635663801201.765/1000000000</f>
        <v>635.66380120176507</v>
      </c>
      <c r="I47" s="299">
        <f>H47/VLOOKUP("USD",'Exchange Rates'!B:C,2,0)</f>
        <v>584.89492197438813</v>
      </c>
      <c r="J47" s="325">
        <f t="shared" si="4"/>
        <v>0.31251679022643336</v>
      </c>
      <c r="K47" s="138">
        <f>VLOOKUP(B47,'EU Aid Shares'!B:E,4,0)*VLOOKUP("USD",'Exchange Rates'!B:C,2,0)</f>
        <v>0.99619781270108465</v>
      </c>
      <c r="L47" s="138">
        <f>VLOOKUP(B47,'EPF Aid Shares'!B:G,6,0)*VLOOKUP("USD",'Exchange Rates'!B:C,2,0)</f>
        <v>0.22213963046272511</v>
      </c>
      <c r="M47" s="127">
        <f>VLOOKUP(B47,'EIB Aid Shares'!B:E,4,0)*VLOOKUP("USD",'Exchange Rates'!B:C,2,0)</f>
        <v>7.5155831072349147E-2</v>
      </c>
      <c r="N47" s="138">
        <f t="shared" si="0"/>
        <v>1.2934932742361589</v>
      </c>
      <c r="O47" s="113">
        <f t="shared" si="1"/>
        <v>0.20348701181201809</v>
      </c>
      <c r="P47" s="266">
        <f t="shared" si="2"/>
        <v>3.2800493823832517</v>
      </c>
      <c r="Q47" s="326">
        <f t="shared" si="5"/>
        <v>0.51600380203845153</v>
      </c>
      <c r="R47" s="138">
        <f>SUMIFS('Bilateral Assistance, MAIN DATA'!S:S,'Bilateral Assistance, MAIN DATA'!AS:AS,1, 'Bilateral Assistance, MAIN DATA'!B:B,B47)/1000000000*VLOOKUP("USD",'Exchange Rates'!B:C,2,0)</f>
        <v>1.4516379675804991</v>
      </c>
      <c r="S47" s="261">
        <f t="shared" si="6"/>
        <v>0.16399929285733128</v>
      </c>
    </row>
    <row r="48" spans="2:19" ht="15.95" customHeight="1">
      <c r="B48" s="2" t="s">
        <v>3649</v>
      </c>
      <c r="C48" s="297">
        <v>0</v>
      </c>
      <c r="D48" s="261">
        <f>(SUMIFS('Bilateral Assistance, MAIN DATA'!S:S,'Bilateral Assistance, MAIN DATA'!D:D,"Financial",'Bilateral Assistance, MAIN DATA'!B:B,'Country Summary ($)'!B48)/1000000000)*VLOOKUP("USD",'Exchange Rates'!B:C,2,0)</f>
        <v>4.235298943698082E-2</v>
      </c>
      <c r="E48" s="261">
        <f>SUMIFS('Bilateral Assistance, MAIN DATA'!S:S,'Bilateral Assistance, MAIN DATA'!D:D,"Humanitarian",'Bilateral Assistance, MAIN DATA'!B:B,'Country Summary ($)'!B48)/1000000000*VLOOKUP("USD",'Exchange Rates'!B:C,2,0)</f>
        <v>0.38206854681571123</v>
      </c>
      <c r="F48" s="261">
        <f>SUMIFS('Bilateral Assistance, MAIN DATA'!S:S,'Bilateral Assistance, MAIN DATA'!D:D,"Military",'Bilateral Assistance, MAIN DATA'!B:B,'Country Summary ($)'!B48)/1000000000*VLOOKUP("USD",'Exchange Rates'!B:C,2,0)</f>
        <v>0</v>
      </c>
      <c r="G48" s="264">
        <f t="shared" si="3"/>
        <v>0.42442153625269208</v>
      </c>
      <c r="H48" s="324">
        <f>800640155387.26/1000000000</f>
        <v>800.64015538726005</v>
      </c>
      <c r="I48" s="299">
        <f>H48/VLOOKUP("USD",'Exchange Rates'!B:C,2,0)</f>
        <v>736.69502704017304</v>
      </c>
      <c r="J48" s="325">
        <f t="shared" si="4"/>
        <v>5.301027351637197E-2</v>
      </c>
      <c r="K48" s="138">
        <f>VLOOKUP(B48,'EU Aid Shares'!B:E,4,0)*VLOOKUP("USD",'Exchange Rates'!B:C,2,0)</f>
        <v>0</v>
      </c>
      <c r="L48" s="138">
        <f>VLOOKUP(B48,'EPF Aid Shares'!B:G,6,0)*VLOOKUP("USD",'Exchange Rates'!B:C,2,0)</f>
        <v>0</v>
      </c>
      <c r="M48" s="127">
        <f>VLOOKUP(B48,'EIB Aid Shares'!B:E,4,0)*VLOOKUP("USD",'Exchange Rates'!B:C,2,0)</f>
        <v>0</v>
      </c>
      <c r="N48" s="138">
        <f t="shared" si="0"/>
        <v>0</v>
      </c>
      <c r="O48" s="113">
        <f t="shared" si="1"/>
        <v>0</v>
      </c>
      <c r="P48" s="266">
        <f t="shared" si="2"/>
        <v>0.42442153625269208</v>
      </c>
      <c r="Q48" s="326">
        <f t="shared" si="5"/>
        <v>5.301027351637197E-2</v>
      </c>
      <c r="R48" s="138">
        <f>SUMIFS('Bilateral Assistance, MAIN DATA'!S:S,'Bilateral Assistance, MAIN DATA'!AS:AS,1, 'Bilateral Assistance, MAIN DATA'!B:B,B48)/1000000000*VLOOKUP("USD",'Exchange Rates'!B:C,2,0)</f>
        <v>0</v>
      </c>
      <c r="S48" s="261">
        <f t="shared" si="6"/>
        <v>0</v>
      </c>
    </row>
    <row r="49" spans="2:19" ht="15.95" customHeight="1">
      <c r="B49" s="2" t="s">
        <v>3685</v>
      </c>
      <c r="C49" s="297">
        <v>0</v>
      </c>
      <c r="D49" s="261">
        <f>(SUMIFS('Bilateral Assistance, MAIN DATA'!S:S,'Bilateral Assistance, MAIN DATA'!D:D,"Financial",'Bilateral Assistance, MAIN DATA'!B:B,'Country Summary ($)'!B49)/1000000000)*VLOOKUP("USD",'Exchange Rates'!B:C,2,0)</f>
        <v>0</v>
      </c>
      <c r="E49" s="261">
        <f>SUMIFS('Bilateral Assistance, MAIN DATA'!S:S,'Bilateral Assistance, MAIN DATA'!D:D,"Humanitarian",'Bilateral Assistance, MAIN DATA'!B:B,'Country Summary ($)'!B49)/1000000000*VLOOKUP("USD",'Exchange Rates'!B:C,2,0)</f>
        <v>5.0116820000000008E-3</v>
      </c>
      <c r="F49" s="261">
        <f>SUMIFS('Bilateral Assistance, MAIN DATA'!S:S,'Bilateral Assistance, MAIN DATA'!D:D,"Military",'Bilateral Assistance, MAIN DATA'!B:B,'Country Summary ($)'!B49)/1000000000*VLOOKUP("USD",'Exchange Rates'!B:C,2,0)</f>
        <v>6.7094000000000001E-2</v>
      </c>
      <c r="G49" s="264">
        <f t="shared" si="3"/>
        <v>7.2105682000000004E-2</v>
      </c>
      <c r="H49" s="324">
        <f>819035182929.585/1000000000</f>
        <v>819.03518292958495</v>
      </c>
      <c r="I49" s="299">
        <f>H49/VLOOKUP("USD",'Exchange Rates'!B:C,2,0)</f>
        <v>753.62088970333548</v>
      </c>
      <c r="J49" s="325">
        <f t="shared" si="4"/>
        <v>8.8037343819696648E-3</v>
      </c>
      <c r="K49" s="138">
        <f>VLOOKUP(B49,'EU Aid Shares'!B:E,4,0)*VLOOKUP("USD",'Exchange Rates'!B:C,2,0)</f>
        <v>0</v>
      </c>
      <c r="L49" s="138">
        <f>VLOOKUP(B49,'EPF Aid Shares'!B:G,6,0)*VLOOKUP("USD",'Exchange Rates'!B:C,2,0)</f>
        <v>0</v>
      </c>
      <c r="M49" s="127">
        <f>VLOOKUP(B49,'EIB Aid Shares'!B:E,4,0)*VLOOKUP("USD",'Exchange Rates'!B:C,2,0)</f>
        <v>0</v>
      </c>
      <c r="N49" s="138">
        <f t="shared" si="0"/>
        <v>0</v>
      </c>
      <c r="O49" s="113">
        <f t="shared" si="1"/>
        <v>0</v>
      </c>
      <c r="P49" s="266">
        <f t="shared" si="2"/>
        <v>7.2105682000000004E-2</v>
      </c>
      <c r="Q49" s="326">
        <f t="shared" si="5"/>
        <v>8.8037343819696648E-3</v>
      </c>
      <c r="R49" s="138">
        <f>SUMIFS('Bilateral Assistance, MAIN DATA'!S:S,'Bilateral Assistance, MAIN DATA'!AS:AS,1, 'Bilateral Assistance, MAIN DATA'!B:B,B49)/1000000000*VLOOKUP("USD",'Exchange Rates'!B:C,2,0)</f>
        <v>6.7094000000000001E-2</v>
      </c>
      <c r="S49" s="261">
        <f t="shared" si="6"/>
        <v>0</v>
      </c>
    </row>
    <row r="50" spans="2:19" ht="15.95" customHeight="1">
      <c r="B50" s="24" t="s">
        <v>3748</v>
      </c>
      <c r="C50" s="297">
        <v>0</v>
      </c>
      <c r="D50" s="261">
        <f>(SUMIFS('Bilateral Assistance, MAIN DATA'!S:S,'Bilateral Assistance, MAIN DATA'!D:D,"Financial",'Bilateral Assistance, MAIN DATA'!B:B,'Country Summary ($)'!B50)/1000000000)*VLOOKUP("USD",'Exchange Rates'!B:C,2,0)</f>
        <v>4.223974586397059</v>
      </c>
      <c r="E50" s="261">
        <f>SUMIFS('Bilateral Assistance, MAIN DATA'!S:S,'Bilateral Assistance, MAIN DATA'!D:D,"Humanitarian",'Bilateral Assistance, MAIN DATA'!B:B,'Country Summary ($)'!B50)/1000000000*VLOOKUP("USD",'Exchange Rates'!B:C,2,0)</f>
        <v>0.2932801470588236</v>
      </c>
      <c r="F50" s="261">
        <f>SUMIFS('Bilateral Assistance, MAIN DATA'!S:S,'Bilateral Assistance, MAIN DATA'!D:D,"Military",'Bilateral Assistance, MAIN DATA'!B:B,'Country Summary ($)'!B50)/1000000000*VLOOKUP("USD",'Exchange Rates'!B:C,2,0)</f>
        <v>7.149704778250312</v>
      </c>
      <c r="G50" s="264">
        <f t="shared" si="3"/>
        <v>11.666959511706196</v>
      </c>
      <c r="H50" s="299">
        <f>3131377762925.95/1000000000</f>
        <v>3131.3777629259503</v>
      </c>
      <c r="I50" s="299">
        <f>H50/VLOOKUP("USD",'Exchange Rates'!B:C,2,0)</f>
        <v>2881.2824465641797</v>
      </c>
      <c r="J50" s="325">
        <f t="shared" si="4"/>
        <v>0.37258230705466283</v>
      </c>
      <c r="K50" s="138">
        <f>VLOOKUP(B50,'EU Aid Shares'!B:E,4,0)*VLOOKUP("USD",'Exchange Rates'!B:C,2,0)</f>
        <v>0</v>
      </c>
      <c r="L50" s="138">
        <f>VLOOKUP(B50,'EPF Aid Shares'!B:G,6,0)*VLOOKUP("USD",'Exchange Rates'!B:C,2,0)</f>
        <v>0</v>
      </c>
      <c r="M50" s="127">
        <f>VLOOKUP(B50,'EIB Aid Shares'!B:E,4,0)*VLOOKUP("USD",'Exchange Rates'!B:C,2,0)</f>
        <v>0</v>
      </c>
      <c r="N50" s="138">
        <f t="shared" si="0"/>
        <v>0</v>
      </c>
      <c r="O50" s="113">
        <f t="shared" si="1"/>
        <v>0</v>
      </c>
      <c r="P50" s="266">
        <f t="shared" si="2"/>
        <v>11.666959511706196</v>
      </c>
      <c r="Q50" s="326">
        <f t="shared" si="5"/>
        <v>0.37258230705466283</v>
      </c>
      <c r="R50" s="138">
        <f>SUMIFS('Bilateral Assistance, MAIN DATA'!S:S,'Bilateral Assistance, MAIN DATA'!AS:AS,1, 'Bilateral Assistance, MAIN DATA'!B:B,B50)/1000000000*VLOOKUP("USD",'Exchange Rates'!B:C,2,0)</f>
        <v>7.149704778250312</v>
      </c>
      <c r="S50" s="261">
        <f t="shared" si="6"/>
        <v>0</v>
      </c>
    </row>
    <row r="51" spans="2:19" ht="15.95" customHeight="1">
      <c r="B51" s="24" t="s">
        <v>3949</v>
      </c>
      <c r="C51" s="297">
        <v>0</v>
      </c>
      <c r="D51" s="261">
        <f>(SUMIFS('Bilateral Assistance, MAIN DATA'!S:S,'Bilateral Assistance, MAIN DATA'!D:D,"Financial",'Bilateral Assistance, MAIN DATA'!B:B,'Country Summary ($)'!B51)/1000000000)*VLOOKUP("USD",'Exchange Rates'!B:C,2,0)</f>
        <v>26.37</v>
      </c>
      <c r="E51" s="261">
        <f>SUMIFS('Bilateral Assistance, MAIN DATA'!S:S,'Bilateral Assistance, MAIN DATA'!D:D,"Humanitarian",'Bilateral Assistance, MAIN DATA'!B:B,'Country Summary ($)'!B51)/1000000000*VLOOKUP("USD",'Exchange Rates'!B:C,2,0)</f>
        <v>3.9105189920000001</v>
      </c>
      <c r="F51" s="261">
        <f>SUMIFS('Bilateral Assistance, MAIN DATA'!S:S,'Bilateral Assistance, MAIN DATA'!D:D,"Military",'Bilateral Assistance, MAIN DATA'!B:B,'Country Summary ($)'!B51)/1000000000*VLOOKUP("USD",'Exchange Rates'!B:C,2,0)</f>
        <v>46.555</v>
      </c>
      <c r="G51" s="264">
        <f t="shared" si="3"/>
        <v>76.835518992000004</v>
      </c>
      <c r="H51" s="299">
        <f>23315080560000/1000000000</f>
        <v>23315.080559999999</v>
      </c>
      <c r="I51" s="299">
        <f>H51/VLOOKUP("USD",'Exchange Rates'!B:C,2,0)</f>
        <v>21452.963341921237</v>
      </c>
      <c r="J51" s="325">
        <f t="shared" si="4"/>
        <v>0.3295528779935728</v>
      </c>
      <c r="K51" s="138">
        <f>VLOOKUP(B51,'EU Aid Shares'!B:E,4,0)*VLOOKUP("USD",'Exchange Rates'!B:C,2,0)</f>
        <v>0</v>
      </c>
      <c r="L51" s="138">
        <f>VLOOKUP(B51,'EPF Aid Shares'!B:G,6,0)*VLOOKUP("USD",'Exchange Rates'!B:C,2,0)</f>
        <v>0</v>
      </c>
      <c r="M51" s="127">
        <f>VLOOKUP(B51,'EIB Aid Shares'!B:E,4,0)*VLOOKUP("USD",'Exchange Rates'!B:C,2,0)</f>
        <v>0</v>
      </c>
      <c r="N51" s="138">
        <f t="shared" si="0"/>
        <v>0</v>
      </c>
      <c r="O51" s="113">
        <f t="shared" si="1"/>
        <v>0</v>
      </c>
      <c r="P51" s="266">
        <f t="shared" si="2"/>
        <v>76.835518992000004</v>
      </c>
      <c r="Q51" s="326">
        <f t="shared" si="5"/>
        <v>0.3295528779935728</v>
      </c>
      <c r="R51" s="138">
        <f>SUMIFS('Bilateral Assistance, MAIN DATA'!S:S,'Bilateral Assistance, MAIN DATA'!AS:AS,1, 'Bilateral Assistance, MAIN DATA'!B:B,B51)/1000000000*VLOOKUP("USD",'Exchange Rates'!B:C,2,0)</f>
        <v>46.555</v>
      </c>
      <c r="S51" s="261">
        <f t="shared" si="6"/>
        <v>0</v>
      </c>
    </row>
    <row r="52" spans="2:19" ht="15.95" customHeight="1">
      <c r="B52" s="24" t="s">
        <v>905</v>
      </c>
      <c r="C52" s="297">
        <v>0</v>
      </c>
      <c r="D52" s="261">
        <f>(SUMIFS('Bilateral Assistance, MAIN DATA'!S:S,'Bilateral Assistance, MAIN DATA'!D:D,"Financial",'Bilateral Assistance, MAIN DATA'!B:B,'Country Summary ($)'!B52)/1000000000)*VLOOKUP("USD",'Exchange Rates'!B:C,2,0)</f>
        <v>0</v>
      </c>
      <c r="E52" s="261">
        <f>SUMIFS('Bilateral Assistance, MAIN DATA'!S:S,'Bilateral Assistance, MAIN DATA'!D:D,"Humanitarian",'Bilateral Assistance, MAIN DATA'!B:B,'Country Summary ($)'!B52)/1000000000*VLOOKUP("USD",'Exchange Rates'!B:C,2,0)</f>
        <v>2.3638286364354557E-3</v>
      </c>
      <c r="F52" s="261">
        <f>SUMIFS('Bilateral Assistance, MAIN DATA'!S:S,'Bilateral Assistance, MAIN DATA'!D:D,"Military",'Bilateral Assistance, MAIN DATA'!B:B,'Country Summary ($)'!B52)/1000000000*VLOOKUP("USD",'Exchange Rates'!B:C,2,0)</f>
        <v>0</v>
      </c>
      <c r="G52" s="264">
        <f t="shared" si="3"/>
        <v>2.3638286364354557E-3</v>
      </c>
      <c r="H52" s="299">
        <f>17734062645371.4/1000000000</f>
        <v>17734.062645371399</v>
      </c>
      <c r="I52" s="299">
        <f>H52/VLOOKUP("USD",'Exchange Rates'!B:C,2,0)</f>
        <v>16317.687380724512</v>
      </c>
      <c r="J52" s="325">
        <f t="shared" si="4"/>
        <v>1.3329312542224588E-5</v>
      </c>
      <c r="K52" s="138">
        <f>VLOOKUP(B52,'EU Aid Shares'!B:E,4,0)*VLOOKUP("USD",'Exchange Rates'!B:C,2,0)</f>
        <v>0</v>
      </c>
      <c r="L52" s="138">
        <f>VLOOKUP(B52,'EPF Aid Shares'!B:G,6,0)*VLOOKUP("USD",'Exchange Rates'!B:C,2,0)</f>
        <v>0</v>
      </c>
      <c r="M52" s="127">
        <f>VLOOKUP(B52,'EIB Aid Shares'!B:E,4,0)*VLOOKUP("USD",'Exchange Rates'!B:C,2,0)</f>
        <v>0</v>
      </c>
      <c r="N52" s="138">
        <f t="shared" si="0"/>
        <v>0</v>
      </c>
      <c r="O52" s="113">
        <f t="shared" si="1"/>
        <v>0</v>
      </c>
      <c r="P52" s="266">
        <f t="shared" si="2"/>
        <v>2.3638286364354557E-3</v>
      </c>
      <c r="Q52" s="326">
        <f t="shared" si="5"/>
        <v>1.3329312542224588E-5</v>
      </c>
      <c r="R52" s="138">
        <f>SUMIFS('Bilateral Assistance, MAIN DATA'!S:S,'Bilateral Assistance, MAIN DATA'!AS:AS,1, 'Bilateral Assistance, MAIN DATA'!B:B,B52)/1000000000*VLOOKUP("USD",'Exchange Rates'!B:C,2,0)</f>
        <v>0</v>
      </c>
      <c r="S52" s="261">
        <f t="shared" si="6"/>
        <v>0</v>
      </c>
    </row>
    <row r="53" spans="2:19" ht="15.95" customHeight="1">
      <c r="B53" s="24" t="s">
        <v>3713</v>
      </c>
      <c r="C53" s="297">
        <v>0</v>
      </c>
      <c r="D53" s="261">
        <f>(SUMIFS('Bilateral Assistance, MAIN DATA'!S:S,'Bilateral Assistance, MAIN DATA'!D:D,"Financial",'Bilateral Assistance, MAIN DATA'!B:B,'Country Summary ($)'!B53)/1000000000)*VLOOKUP("USD",'Exchange Rates'!B:C,2,0)</f>
        <v>0</v>
      </c>
      <c r="E53" s="261">
        <f>SUMIFS('Bilateral Assistance, MAIN DATA'!S:S,'Bilateral Assistance, MAIN DATA'!D:D,"Humanitarian",'Bilateral Assistance, MAIN DATA'!B:B,'Country Summary ($)'!B53)/1000000000*VLOOKUP("USD",'Exchange Rates'!B:C,2,0)</f>
        <v>6.8500000000000005E-2</v>
      </c>
      <c r="F53" s="261">
        <f>SUMIFS('Bilateral Assistance, MAIN DATA'!S:S,'Bilateral Assistance, MAIN DATA'!D:D,"Military",'Bilateral Assistance, MAIN DATA'!B:B,'Country Summary ($)'!B53)/1000000000*VLOOKUP("USD",'Exchange Rates'!B:C,2,0)</f>
        <v>0</v>
      </c>
      <c r="G53" s="264">
        <f t="shared" si="3"/>
        <v>6.8500000000000005E-2</v>
      </c>
      <c r="H53" s="299">
        <f>775000000000/1000000000</f>
        <v>775</v>
      </c>
      <c r="I53" s="299">
        <f>H53/VLOOKUP("USD",'Exchange Rates'!B:C,2,0)</f>
        <v>713.10268678689727</v>
      </c>
      <c r="J53" s="325">
        <f t="shared" si="4"/>
        <v>8.8387096774193551E-3</v>
      </c>
      <c r="K53" s="138">
        <f>VLOOKUP(B53,'EU Aid Shares'!B:E,4,0)*VLOOKUP("USD",'Exchange Rates'!B:C,2,0)</f>
        <v>0</v>
      </c>
      <c r="L53" s="138">
        <f>VLOOKUP(B53,'EPF Aid Shares'!B:G,6,0)*VLOOKUP("USD",'Exchange Rates'!B:C,2,0)</f>
        <v>0</v>
      </c>
      <c r="M53" s="127">
        <f>VLOOKUP(B53,'EIB Aid Shares'!B:E,4,0)*VLOOKUP("USD",'Exchange Rates'!B:C,2,0)</f>
        <v>0</v>
      </c>
      <c r="N53" s="138">
        <f t="shared" si="0"/>
        <v>0</v>
      </c>
      <c r="O53" s="113">
        <f t="shared" si="1"/>
        <v>0</v>
      </c>
      <c r="P53" s="266">
        <f t="shared" si="2"/>
        <v>6.8500000000000005E-2</v>
      </c>
      <c r="Q53" s="326">
        <f t="shared" si="5"/>
        <v>8.8387096774193551E-3</v>
      </c>
      <c r="R53" s="138">
        <f>SUMIFS('Bilateral Assistance, MAIN DATA'!S:S,'Bilateral Assistance, MAIN DATA'!AS:AS,1, 'Bilateral Assistance, MAIN DATA'!B:B,B53)/1000000000*VLOOKUP("USD",'Exchange Rates'!B:C,2,0)</f>
        <v>0</v>
      </c>
      <c r="S53" s="261">
        <f t="shared" si="6"/>
        <v>0</v>
      </c>
    </row>
    <row r="54" spans="2:19" ht="15.95" customHeight="1">
      <c r="B54" s="258" t="s">
        <v>2076</v>
      </c>
      <c r="C54" s="328">
        <v>0</v>
      </c>
      <c r="D54" s="261">
        <f>(SUMIFS('Bilateral Assistance, MAIN DATA'!S:S,'Bilateral Assistance, MAIN DATA'!D:D,"Financial",'Bilateral Assistance, MAIN DATA'!B:B,'Country Summary ($)'!B54)/1000000000)*VLOOKUP("USD",'Exchange Rates'!B:C,2,0)</f>
        <v>0</v>
      </c>
      <c r="E54" s="261">
        <f>SUMIFS('Bilateral Assistance, MAIN DATA'!S:S,'Bilateral Assistance, MAIN DATA'!D:D,"Humanitarian",'Bilateral Assistance, MAIN DATA'!B:B,'Country Summary ($)'!B54)/1000000000*VLOOKUP("USD",'Exchange Rates'!B:C,2,0)</f>
        <v>1.9472500000000002E-3</v>
      </c>
      <c r="F54" s="261">
        <f>SUMIFS('Bilateral Assistance, MAIN DATA'!S:S,'Bilateral Assistance, MAIN DATA'!D:D,"Military",'Bilateral Assistance, MAIN DATA'!B:B,'Country Summary ($)'!B54)/1000000000*VLOOKUP("USD",'Exchange Rates'!B:C,2,0)</f>
        <v>0</v>
      </c>
      <c r="G54" s="265">
        <f t="shared" si="3"/>
        <v>1.9472500000000002E-3</v>
      </c>
      <c r="H54" s="329">
        <f>3176295065497.24/1000000000</f>
        <v>3176.2950654972401</v>
      </c>
      <c r="I54" s="329">
        <f>H54/VLOOKUP("USD",'Exchange Rates'!B:C,2,0)</f>
        <v>2922.612316431027</v>
      </c>
      <c r="J54" s="325">
        <f t="shared" si="4"/>
        <v>6.1305702393715222E-5</v>
      </c>
      <c r="K54" s="138">
        <f>VLOOKUP(B54,'EU Aid Shares'!B:E,4,0)*VLOOKUP("USD",'Exchange Rates'!B:C,2,0)</f>
        <v>0</v>
      </c>
      <c r="L54" s="138">
        <f>VLOOKUP(B54,'EPF Aid Shares'!B:G,6,0)*VLOOKUP("USD",'Exchange Rates'!B:C,2,0)</f>
        <v>0</v>
      </c>
      <c r="M54" s="127">
        <f>VLOOKUP(B54,'EIB Aid Shares'!B:E,4,0)*VLOOKUP("USD",'Exchange Rates'!B:C,2,0)</f>
        <v>0</v>
      </c>
      <c r="N54" s="267">
        <f t="shared" si="0"/>
        <v>0</v>
      </c>
      <c r="O54" s="113">
        <f t="shared" si="1"/>
        <v>0</v>
      </c>
      <c r="P54" s="331">
        <f t="shared" si="2"/>
        <v>1.9472500000000002E-3</v>
      </c>
      <c r="Q54" s="326">
        <f t="shared" si="5"/>
        <v>6.1305702393715222E-5</v>
      </c>
      <c r="R54" s="138">
        <f>SUMIFS('Bilateral Assistance, MAIN DATA'!S:S,'Bilateral Assistance, MAIN DATA'!AS:AS,1, 'Bilateral Assistance, MAIN DATA'!B:B,B54)/1000000000*VLOOKUP("USD",'Exchange Rates'!B:C,2,0)</f>
        <v>0</v>
      </c>
      <c r="S54" s="261">
        <f t="shared" si="6"/>
        <v>0</v>
      </c>
    </row>
    <row r="55" spans="2:19" ht="15.95" customHeight="1">
      <c r="B55" s="65" t="s">
        <v>4530</v>
      </c>
      <c r="C55" s="332" t="s">
        <v>364</v>
      </c>
      <c r="D55" s="333">
        <f>SUM(D13:D54)</f>
        <v>75.323831582515993</v>
      </c>
      <c r="E55" s="333">
        <f>SUM(E13:E54)</f>
        <v>14.932198106612754</v>
      </c>
      <c r="F55" s="333">
        <f>SUM(F13:F54)</f>
        <v>81.257798656927548</v>
      </c>
      <c r="G55" s="333">
        <f t="shared" ref="G55:S55" si="13">SUM(G13:G54)</f>
        <v>171.51382834605636</v>
      </c>
      <c r="H55" s="334">
        <f t="shared" si="13"/>
        <v>95156.830865573153</v>
      </c>
      <c r="I55" s="334">
        <f t="shared" si="13"/>
        <v>87556.892588860122</v>
      </c>
      <c r="J55" s="650" t="s">
        <v>364</v>
      </c>
      <c r="K55" s="333">
        <f t="shared" si="13"/>
        <v>29.843527999999996</v>
      </c>
      <c r="L55" s="333">
        <f t="shared" si="13"/>
        <v>6.0860799999999982</v>
      </c>
      <c r="M55" s="333">
        <f t="shared" si="13"/>
        <v>2.1763169999999996</v>
      </c>
      <c r="N55" s="333">
        <f t="shared" si="13"/>
        <v>38.105924999999999</v>
      </c>
      <c r="O55" s="650" t="s">
        <v>364</v>
      </c>
      <c r="P55" s="333">
        <f t="shared" si="13"/>
        <v>209.61975334605631</v>
      </c>
      <c r="Q55" s="650" t="s">
        <v>364</v>
      </c>
      <c r="R55" s="333">
        <f t="shared" si="13"/>
        <v>80.329142118910781</v>
      </c>
      <c r="S55" s="333">
        <f t="shared" si="13"/>
        <v>0.9286565380167654</v>
      </c>
    </row>
    <row r="56" spans="2:19" ht="15.95" customHeight="1">
      <c r="B56" s="2"/>
      <c r="C56" s="335"/>
      <c r="G56" s="264"/>
      <c r="H56" s="324"/>
      <c r="J56" s="107"/>
      <c r="S56" s="336"/>
    </row>
    <row r="57" spans="2:19" ht="15.95" customHeight="1">
      <c r="G57" s="264"/>
      <c r="H57" s="299"/>
      <c r="J57" s="107"/>
      <c r="S57" s="2"/>
    </row>
    <row r="58" spans="2:19" ht="15.95" customHeight="1">
      <c r="G58" s="264"/>
      <c r="H58" s="299"/>
      <c r="S58" s="2"/>
    </row>
    <row r="59" spans="2:19" ht="15.95" customHeight="1">
      <c r="G59" s="264"/>
      <c r="H59" s="299"/>
      <c r="S59" s="2"/>
    </row>
    <row r="60" spans="2:19" ht="15.95" customHeight="1">
      <c r="H60" s="299"/>
      <c r="S60" s="2"/>
    </row>
    <row r="61" spans="2:19" ht="15.95" customHeight="1">
      <c r="H61" s="299"/>
      <c r="S61" s="2"/>
    </row>
    <row r="62" spans="2:19" ht="15.95" customHeight="1">
      <c r="B62" s="108"/>
      <c r="C62" s="338"/>
      <c r="H62" s="299"/>
      <c r="S62" s="2"/>
    </row>
    <row r="63" spans="2:19" ht="15.95" customHeight="1">
      <c r="H63" s="299"/>
      <c r="S63" s="2"/>
    </row>
    <row r="64" spans="2:19" ht="15.95" customHeight="1">
      <c r="B64" s="22"/>
      <c r="C64" s="339"/>
      <c r="G64" s="264"/>
      <c r="H64" s="299"/>
      <c r="S64" s="2"/>
    </row>
    <row r="65" spans="7:19" ht="15.95" customHeight="1">
      <c r="G65" s="261"/>
      <c r="H65" s="299"/>
      <c r="S65" s="2"/>
    </row>
    <row r="66" spans="7:19" ht="15.95" customHeight="1">
      <c r="G66" s="253"/>
      <c r="S66" s="2"/>
    </row>
    <row r="67" spans="7:19" ht="15.95" customHeight="1">
      <c r="G67" s="264"/>
      <c r="S67" s="2"/>
    </row>
    <row r="68" spans="7:19" ht="15.95" customHeight="1">
      <c r="G68" s="264"/>
      <c r="S68" s="2"/>
    </row>
    <row r="69" spans="7:19" ht="15.95" customHeight="1">
      <c r="S69" s="2"/>
    </row>
    <row r="70" spans="7:19" ht="15.95" customHeight="1">
      <c r="S70" s="2"/>
    </row>
    <row r="71" spans="7:19" ht="15.95" customHeight="1">
      <c r="S71" s="2"/>
    </row>
    <row r="72" spans="7:19" ht="15.95" customHeight="1">
      <c r="S72" s="2"/>
    </row>
    <row r="73" spans="7:19" ht="15.95" customHeight="1">
      <c r="S73" s="2"/>
    </row>
    <row r="74" spans="7:19" ht="15.95" customHeight="1">
      <c r="S74" s="2"/>
    </row>
    <row r="75" spans="7:19" ht="15.95" customHeight="1">
      <c r="S75" s="2"/>
    </row>
    <row r="76" spans="7:19" ht="15.95" customHeight="1">
      <c r="S76" s="2"/>
    </row>
    <row r="77" spans="7:19" ht="15.95" customHeight="1">
      <c r="S77" s="2"/>
    </row>
    <row r="78" spans="7:19" ht="15.95" customHeight="1">
      <c r="S78" s="2"/>
    </row>
    <row r="79" spans="7:19" ht="15.95" customHeight="1">
      <c r="S79" s="2"/>
    </row>
    <row r="80" spans="7:19" ht="15.95" customHeight="1">
      <c r="S80" s="2"/>
    </row>
    <row r="81" spans="19:19" ht="15.95" customHeight="1">
      <c r="S81" s="2"/>
    </row>
    <row r="82" spans="19:19" ht="15.95" customHeight="1">
      <c r="S82" s="2"/>
    </row>
    <row r="83" spans="19:19" ht="15.95" customHeight="1">
      <c r="S83" s="2"/>
    </row>
    <row r="84" spans="19:19" ht="15.95" customHeight="1">
      <c r="S84" s="2"/>
    </row>
    <row r="85" spans="19:19" ht="15.95" customHeight="1">
      <c r="S85" s="2"/>
    </row>
    <row r="86" spans="19:19" ht="15.95" customHeight="1">
      <c r="S86" s="2"/>
    </row>
    <row r="87" spans="19:19" ht="15.95" customHeight="1">
      <c r="S87" s="2"/>
    </row>
    <row r="88" spans="19:19" ht="15.95" customHeight="1">
      <c r="S88" s="2"/>
    </row>
    <row r="89" spans="19:19" ht="15.95" customHeight="1">
      <c r="S89" s="2"/>
    </row>
    <row r="90" spans="19:19" ht="15.95" customHeight="1">
      <c r="S90" s="2"/>
    </row>
    <row r="91" spans="19:19" ht="15.95" customHeight="1">
      <c r="S91" s="2"/>
    </row>
    <row r="92" spans="19:19" ht="15.95" customHeight="1">
      <c r="S92" s="2"/>
    </row>
    <row r="93" spans="19:19" ht="15.95" customHeight="1">
      <c r="S93" s="2"/>
    </row>
    <row r="94" spans="19:19" ht="15.95" customHeight="1">
      <c r="S94" s="2"/>
    </row>
    <row r="95" spans="19:19" ht="15.95" customHeight="1">
      <c r="S95" s="2"/>
    </row>
    <row r="96" spans="19:19" ht="15.95" customHeight="1">
      <c r="S96" s="2"/>
    </row>
    <row r="97" spans="19:19" ht="15.95" customHeight="1">
      <c r="S97" s="2"/>
    </row>
    <row r="98" spans="19:19" ht="15.95" customHeight="1">
      <c r="S98" s="2"/>
    </row>
    <row r="99" spans="19:19" ht="15.95" customHeight="1">
      <c r="S99" s="2"/>
    </row>
    <row r="100" spans="19:19" ht="15.95" customHeight="1">
      <c r="S100" s="2"/>
    </row>
    <row r="101" spans="19:19" ht="15.95" customHeight="1">
      <c r="S101" s="2"/>
    </row>
    <row r="102" spans="19:19" ht="15.95" customHeight="1">
      <c r="S102" s="2"/>
    </row>
    <row r="103" spans="19:19" ht="15.95" customHeight="1">
      <c r="S103" s="2"/>
    </row>
    <row r="104" spans="19:19" ht="15.95" customHeight="1">
      <c r="S104" s="2"/>
    </row>
    <row r="105" spans="19:19" ht="15.95" customHeight="1">
      <c r="S105" s="2"/>
    </row>
    <row r="106" spans="19:19" ht="15.95" customHeight="1">
      <c r="S106" s="2"/>
    </row>
    <row r="107" spans="19:19" ht="15.95" customHeight="1">
      <c r="S107" s="2"/>
    </row>
    <row r="108" spans="19:19" ht="15.95" customHeight="1">
      <c r="S108" s="2"/>
    </row>
    <row r="109" spans="19:19" ht="15.95" customHeight="1">
      <c r="S109" s="2"/>
    </row>
    <row r="110" spans="19:19" ht="15.95" customHeight="1">
      <c r="S110" s="2"/>
    </row>
    <row r="111" spans="19:19" ht="15.95" customHeight="1">
      <c r="S111" s="2"/>
    </row>
    <row r="112" spans="19:19" ht="15.95" customHeight="1">
      <c r="S112" s="2"/>
    </row>
    <row r="113" spans="19:19" ht="15.95" customHeight="1">
      <c r="S113" s="2"/>
    </row>
    <row r="114" spans="19:19" ht="15.95" customHeight="1">
      <c r="S114" s="2"/>
    </row>
    <row r="115" spans="19:19" ht="15.95" customHeight="1">
      <c r="S115" s="2"/>
    </row>
    <row r="116" spans="19:19" ht="15.95" customHeight="1">
      <c r="S116" s="2"/>
    </row>
    <row r="117" spans="19:19" ht="15.95" customHeight="1">
      <c r="S117" s="2"/>
    </row>
    <row r="118" spans="19:19" ht="15.95" customHeight="1">
      <c r="S118" s="2"/>
    </row>
    <row r="119" spans="19:19" ht="15.95" customHeight="1">
      <c r="S119" s="2"/>
    </row>
    <row r="120" spans="19:19" ht="15.95" customHeight="1">
      <c r="S120" s="2"/>
    </row>
    <row r="121" spans="19:19" ht="15.95" customHeight="1">
      <c r="S121" s="2"/>
    </row>
    <row r="122" spans="19:19" ht="15.95" customHeight="1">
      <c r="S122" s="2"/>
    </row>
    <row r="123" spans="19:19" ht="15.95" customHeight="1">
      <c r="S123" s="2"/>
    </row>
    <row r="124" spans="19:19" ht="15.95" customHeight="1">
      <c r="S124" s="2"/>
    </row>
    <row r="125" spans="19:19" ht="15.95" customHeight="1">
      <c r="S125" s="2"/>
    </row>
    <row r="126" spans="19:19" ht="15.95" customHeight="1">
      <c r="S126" s="2"/>
    </row>
    <row r="127" spans="19:19" ht="15.95" customHeight="1">
      <c r="S127" s="2"/>
    </row>
    <row r="128" spans="19:19" ht="15.95" customHeight="1">
      <c r="S128" s="2"/>
    </row>
    <row r="129" spans="19:19" ht="15.95" customHeight="1">
      <c r="S129" s="2"/>
    </row>
    <row r="130" spans="19:19" ht="15.95" customHeight="1">
      <c r="S130" s="2"/>
    </row>
    <row r="131" spans="19:19" ht="15.95" customHeight="1">
      <c r="S131" s="2"/>
    </row>
    <row r="133" spans="19:19" ht="15.95" customHeight="1">
      <c r="S133" s="2"/>
    </row>
    <row r="134" spans="19:19" ht="15.95" customHeight="1">
      <c r="S134" s="2"/>
    </row>
    <row r="135" spans="19:19" ht="15.95" customHeight="1">
      <c r="S135" s="2"/>
    </row>
    <row r="136" spans="19:19" ht="15.95" customHeight="1">
      <c r="S136" s="2"/>
    </row>
    <row r="137" spans="19:19" ht="15.95" customHeight="1">
      <c r="S137" s="2"/>
    </row>
    <row r="138" spans="19:19" ht="15.95" customHeight="1">
      <c r="S138" s="2"/>
    </row>
    <row r="139" spans="19:19" ht="15.95" customHeight="1">
      <c r="S139" s="2"/>
    </row>
    <row r="140" spans="19:19" ht="15.95" customHeight="1">
      <c r="S140" s="2"/>
    </row>
    <row r="141" spans="19:19" ht="15.95" customHeight="1">
      <c r="S141" s="2"/>
    </row>
    <row r="142" spans="19:19" ht="15.95" customHeight="1">
      <c r="S142" s="2"/>
    </row>
    <row r="143" spans="19:19" ht="15.95" customHeight="1">
      <c r="S143" s="2"/>
    </row>
    <row r="144" spans="19:19" ht="15.95" customHeight="1">
      <c r="S144" s="2"/>
    </row>
    <row r="145" spans="19:19" ht="15.95" customHeight="1">
      <c r="S145" s="2"/>
    </row>
    <row r="146" spans="19:19" ht="15.95" customHeight="1">
      <c r="S146" s="2"/>
    </row>
    <row r="147" spans="19:19" ht="15.95" customHeight="1">
      <c r="S147" s="2"/>
    </row>
    <row r="148" spans="19:19" ht="15.95" customHeight="1">
      <c r="S148" s="2"/>
    </row>
    <row r="149" spans="19:19" ht="15.95" customHeight="1">
      <c r="S149" s="2"/>
    </row>
    <row r="150" spans="19:19" ht="15.95" customHeight="1">
      <c r="S150" s="2"/>
    </row>
    <row r="151" spans="19:19" ht="15.95" customHeight="1">
      <c r="S151" s="2"/>
    </row>
    <row r="152" spans="19:19" ht="15.95" customHeight="1">
      <c r="S152" s="2"/>
    </row>
    <row r="153" spans="19:19" ht="15.95" customHeight="1">
      <c r="S153" s="2"/>
    </row>
    <row r="154" spans="19:19" ht="15.95" customHeight="1">
      <c r="S154" s="2"/>
    </row>
    <row r="155" spans="19:19" ht="15.95" customHeight="1">
      <c r="S155" s="2"/>
    </row>
    <row r="156" spans="19:19" ht="15.95" customHeight="1">
      <c r="S156" s="2"/>
    </row>
    <row r="157" spans="19:19" ht="15.95" customHeight="1">
      <c r="S157" s="2"/>
    </row>
    <row r="158" spans="19:19" ht="15.95" customHeight="1">
      <c r="S158" s="2"/>
    </row>
    <row r="159" spans="19:19" ht="15.95" customHeight="1">
      <c r="S159" s="2"/>
    </row>
    <row r="160" spans="19:19" ht="15.95" customHeight="1">
      <c r="S160" s="2"/>
    </row>
    <row r="161" spans="19:19" ht="15.95" customHeight="1">
      <c r="S161" s="2"/>
    </row>
    <row r="162" spans="19:19" ht="15.95" customHeight="1">
      <c r="S162" s="2"/>
    </row>
    <row r="163" spans="19:19" ht="15.95" customHeight="1">
      <c r="S163" s="2"/>
    </row>
    <row r="164" spans="19:19" ht="15.95" customHeight="1">
      <c r="S164" s="2"/>
    </row>
    <row r="165" spans="19:19" ht="15.95" customHeight="1">
      <c r="S165" s="2"/>
    </row>
    <row r="166" spans="19:19" ht="15.95" customHeight="1">
      <c r="S166" s="2"/>
    </row>
  </sheetData>
  <mergeCells count="3">
    <mergeCell ref="B4:F9"/>
    <mergeCell ref="B11:B12"/>
    <mergeCell ref="C11:C12"/>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261C4-F325-4B51-A650-7A4890D75F9E}">
  <sheetPr>
    <tabColor theme="5" tint="0.59999389629810485"/>
  </sheetPr>
  <dimension ref="A1:T45"/>
  <sheetViews>
    <sheetView showGridLines="0" zoomScaleNormal="100" workbookViewId="0"/>
  </sheetViews>
  <sheetFormatPr defaultColWidth="11.5" defaultRowHeight="15.75" customHeight="1"/>
  <cols>
    <col min="1" max="1" width="8.625" style="2" customWidth="1"/>
    <col min="2" max="2" width="45.625" style="166" customWidth="1"/>
    <col min="3" max="3" width="42.625" style="166" customWidth="1"/>
    <col min="4" max="4" width="46" style="166" customWidth="1"/>
    <col min="5" max="5" width="41.625" style="166" customWidth="1"/>
    <col min="6" max="6" width="40.625" style="167" customWidth="1"/>
    <col min="7" max="11" width="13.625" style="166" customWidth="1"/>
    <col min="12" max="12" width="14.5" style="166" customWidth="1"/>
    <col min="13" max="13" width="14.625" style="166" customWidth="1"/>
    <col min="14" max="14" width="12.5" style="166" customWidth="1"/>
    <col min="15" max="15" width="12.625" style="166" customWidth="1"/>
    <col min="16" max="16" width="12.125" style="166" customWidth="1"/>
    <col min="17" max="17" width="11.5" style="166" customWidth="1"/>
    <col min="18" max="16384" width="11.5" style="166"/>
  </cols>
  <sheetData>
    <row r="1" spans="1:20" ht="15.6">
      <c r="A1" s="35"/>
    </row>
    <row r="2" spans="1:20" s="467" customFormat="1" ht="24.75" customHeight="1">
      <c r="A2" s="465"/>
      <c r="B2" s="466" t="s">
        <v>6174</v>
      </c>
      <c r="F2" s="706"/>
    </row>
    <row r="3" spans="1:20" s="162" customFormat="1" ht="15.95" customHeight="1">
      <c r="A3" s="35"/>
      <c r="B3" s="163"/>
      <c r="E3" s="164"/>
      <c r="F3" s="707"/>
      <c r="G3" s="164"/>
      <c r="H3" s="164"/>
      <c r="I3" s="164"/>
      <c r="J3" s="164"/>
      <c r="K3" s="164"/>
    </row>
    <row r="4" spans="1:20" s="162" customFormat="1" ht="15.95" customHeight="1">
      <c r="A4" s="35"/>
      <c r="B4" s="1433" t="s">
        <v>6175</v>
      </c>
      <c r="C4" s="1433"/>
      <c r="D4" s="1433"/>
      <c r="E4" s="393"/>
      <c r="F4" s="708"/>
      <c r="G4" s="393"/>
      <c r="H4" s="393"/>
      <c r="I4" s="164"/>
      <c r="J4" s="164"/>
      <c r="K4" s="164"/>
    </row>
    <row r="5" spans="1:20" s="162" customFormat="1" ht="15.95" customHeight="1">
      <c r="A5" s="35"/>
      <c r="B5" s="1433"/>
      <c r="C5" s="1433"/>
      <c r="D5" s="1433"/>
      <c r="E5" s="393"/>
      <c r="F5" s="708"/>
      <c r="G5" s="393"/>
      <c r="H5" s="393"/>
      <c r="I5" s="164"/>
      <c r="J5" s="164"/>
      <c r="K5" s="164"/>
    </row>
    <row r="6" spans="1:20" s="162" customFormat="1" ht="15.95" customHeight="1">
      <c r="A6" s="35"/>
      <c r="B6" s="1433"/>
      <c r="C6" s="1433"/>
      <c r="D6" s="1433"/>
      <c r="E6" s="393"/>
      <c r="F6" s="708"/>
      <c r="G6" s="393"/>
      <c r="H6" s="393"/>
      <c r="I6" s="164"/>
      <c r="J6" s="164"/>
      <c r="K6" s="164"/>
    </row>
    <row r="7" spans="1:20" s="162" customFormat="1" ht="15.95" customHeight="1">
      <c r="A7" s="35"/>
      <c r="B7" s="1433"/>
      <c r="C7" s="1433"/>
      <c r="D7" s="1433"/>
      <c r="E7" s="393"/>
      <c r="F7" s="708"/>
      <c r="G7" s="393"/>
      <c r="H7" s="393"/>
      <c r="I7" s="164"/>
      <c r="J7" s="164"/>
      <c r="K7" s="164"/>
    </row>
    <row r="8" spans="1:20" s="162" customFormat="1" ht="15.95" customHeight="1">
      <c r="A8" s="35"/>
      <c r="B8" s="1433"/>
      <c r="C8" s="1433"/>
      <c r="D8" s="1433"/>
      <c r="E8" s="393"/>
      <c r="F8" s="708"/>
      <c r="G8" s="393"/>
      <c r="H8" s="393"/>
      <c r="I8" s="164"/>
      <c r="J8" s="164"/>
      <c r="K8" s="164"/>
    </row>
    <row r="9" spans="1:20" s="162" customFormat="1" ht="15.95" customHeight="1">
      <c r="A9" s="35"/>
      <c r="B9" s="1433"/>
      <c r="C9" s="1433"/>
      <c r="D9" s="1433"/>
      <c r="E9" s="393"/>
      <c r="F9" s="708"/>
      <c r="G9" s="393"/>
      <c r="H9" s="393"/>
      <c r="I9" s="164"/>
      <c r="J9" s="164"/>
      <c r="K9" s="164"/>
    </row>
    <row r="10" spans="1:20" s="162" customFormat="1" ht="15.95" customHeight="1">
      <c r="A10" s="35"/>
      <c r="B10" s="163"/>
      <c r="E10" s="164"/>
      <c r="F10" s="707"/>
      <c r="G10" s="164"/>
      <c r="H10" s="164"/>
      <c r="I10" s="164"/>
      <c r="J10" s="164"/>
      <c r="K10" s="164"/>
    </row>
    <row r="11" spans="1:20" s="374" customFormat="1" ht="24.75" customHeight="1">
      <c r="A11" s="371"/>
      <c r="B11" s="240" t="s">
        <v>4599</v>
      </c>
      <c r="C11" s="432" t="s">
        <v>4600</v>
      </c>
      <c r="D11" s="432" t="s">
        <v>4601</v>
      </c>
      <c r="E11" s="432" t="s">
        <v>4602</v>
      </c>
      <c r="F11" s="709" t="s">
        <v>4603</v>
      </c>
      <c r="G11" s="372"/>
      <c r="H11" s="373" t="s">
        <v>4604</v>
      </c>
      <c r="K11" s="375"/>
      <c r="L11" s="375"/>
      <c r="M11" s="375"/>
      <c r="N11" s="375"/>
      <c r="O11" s="375"/>
      <c r="P11" s="375"/>
      <c r="Q11" s="375"/>
      <c r="R11" s="375"/>
      <c r="S11" s="375"/>
      <c r="T11" s="375"/>
    </row>
    <row r="12" spans="1:20" s="375" customFormat="1" ht="16.5" customHeight="1">
      <c r="A12" s="1215">
        <v>1</v>
      </c>
      <c r="B12" s="375" t="s">
        <v>4815</v>
      </c>
      <c r="C12" s="167">
        <f>SUMIFS('Bilateral Assistance, MAIN DATA'!S:S,'Bilateral Assistance, MAIN DATA'!AG:AG,1,'Bilateral Assistance, MAIN DATA'!AH:AH,A12, 'Bilateral Assistance, MAIN DATA'!D:D,"Financial")/1000000000</f>
        <v>0</v>
      </c>
      <c r="D12" s="167">
        <f>SUMIFS('Bilateral Assistance, MAIN DATA'!S:S,'Bilateral Assistance, MAIN DATA'!AG:AG,1,'Bilateral Assistance, MAIN DATA'!AH:AH,A12, 'Bilateral Assistance, MAIN DATA'!D:D,"Humanitarian")/1000000000</f>
        <v>3.4043712126370258E-2</v>
      </c>
      <c r="E12" s="167">
        <f>(SUMIFS('Bilateral Assistance, MAIN DATA'!S:S,'Bilateral Assistance, MAIN DATA'!AG:AG,1,'Bilateral Assistance, MAIN DATA'!AH:AH,A12, 'Bilateral Assistance, MAIN DATA'!D:D,"Military")/1000000000)</f>
        <v>0.23149724245931777</v>
      </c>
      <c r="F12" s="167">
        <f t="shared" ref="F12:F28" si="0">SUM(C12:E12)</f>
        <v>0.26554095458568805</v>
      </c>
      <c r="G12" s="1213"/>
      <c r="H12" s="1214"/>
    </row>
    <row r="13" spans="1:20" ht="15.6" customHeight="1">
      <c r="A13" s="566">
        <v>2</v>
      </c>
      <c r="B13" s="561" t="s">
        <v>4605</v>
      </c>
      <c r="C13" s="167">
        <f>SUMIFS('Bilateral Assistance, MAIN DATA'!S:S,'Bilateral Assistance, MAIN DATA'!AG:AG,1,'Bilateral Assistance, MAIN DATA'!AH:AH,A13, 'Bilateral Assistance, MAIN DATA'!D:D,"Financial")/1000000000</f>
        <v>3.7461210909318057</v>
      </c>
      <c r="D13" s="167">
        <f>SUMIFS('Bilateral Assistance, MAIN DATA'!S:S,'Bilateral Assistance, MAIN DATA'!AG:AG,1,'Bilateral Assistance, MAIN DATA'!AH:AH,A13, 'Bilateral Assistance, MAIN DATA'!D:D,"Humanitarian")/1000000000</f>
        <v>0.2063351678746933</v>
      </c>
      <c r="E13" s="167">
        <f>(SUMIFS('Bilateral Assistance, MAIN DATA'!S:S,'Bilateral Assistance, MAIN DATA'!AG:AG,1,'Bilateral Assistance, MAIN DATA'!AH:AH,A13, 'Bilateral Assistance, MAIN DATA'!D:D,"Military")/1000000000)</f>
        <v>1.113243086216948</v>
      </c>
      <c r="F13" s="167">
        <f t="shared" si="0"/>
        <v>5.0656993450234467</v>
      </c>
      <c r="G13" s="167"/>
    </row>
    <row r="14" spans="1:20" ht="15.6" customHeight="1">
      <c r="A14" s="566">
        <v>3</v>
      </c>
      <c r="B14" s="561" t="s">
        <v>4606</v>
      </c>
      <c r="C14" s="167">
        <f>SUMIFS('Bilateral Assistance, MAIN DATA'!S:S,'Bilateral Assistance, MAIN DATA'!AG:AG,1,'Bilateral Assistance, MAIN DATA'!AH:AH,A14, 'Bilateral Assistance, MAIN DATA'!D:D,"Financial")/1000000000</f>
        <v>3.4557197510382403</v>
      </c>
      <c r="D14" s="167">
        <f>SUMIFS('Bilateral Assistance, MAIN DATA'!S:S,'Bilateral Assistance, MAIN DATA'!AG:AG,1,'Bilateral Assistance, MAIN DATA'!AH:AH,A14, 'Bilateral Assistance, MAIN DATA'!D:D,"Humanitarian")/1000000000</f>
        <v>1.2069601774141903</v>
      </c>
      <c r="E14" s="167">
        <f>(SUMIFS('Bilateral Assistance, MAIN DATA'!S:S,'Bilateral Assistance, MAIN DATA'!AG:AG,1,'Bilateral Assistance, MAIN DATA'!AH:AH,A14, 'Bilateral Assistance, MAIN DATA'!D:D,"Military")/1000000000)</f>
        <v>9.7481265940351882</v>
      </c>
      <c r="F14" s="167">
        <f t="shared" si="0"/>
        <v>14.410806522487619</v>
      </c>
      <c r="H14" s="168"/>
      <c r="I14" s="168"/>
      <c r="J14" s="168"/>
      <c r="K14" s="168"/>
      <c r="L14" s="168"/>
    </row>
    <row r="15" spans="1:20" ht="15.6">
      <c r="A15" s="566">
        <v>4</v>
      </c>
      <c r="B15" s="561" t="s">
        <v>4607</v>
      </c>
      <c r="C15" s="167">
        <f>SUMIFS('Bilateral Assistance, MAIN DATA'!S:S,'Bilateral Assistance, MAIN DATA'!AG:AG,1,'Bilateral Assistance, MAIN DATA'!AH:AH,A15, 'Bilateral Assistance, MAIN DATA'!D:D,"Financial")/1000000000</f>
        <v>2.282606613701359</v>
      </c>
      <c r="D15" s="167">
        <f>SUMIFS('Bilateral Assistance, MAIN DATA'!S:S,'Bilateral Assistance, MAIN DATA'!AG:AG,1,'Bilateral Assistance, MAIN DATA'!AH:AH,A15, 'Bilateral Assistance, MAIN DATA'!D:D,"Humanitarian")/1000000000</f>
        <v>1.3982216207924825</v>
      </c>
      <c r="E15" s="167">
        <f>(SUMIFS('Bilateral Assistance, MAIN DATA'!S:S,'Bilateral Assistance, MAIN DATA'!AG:AG,1,'Bilateral Assistance, MAIN DATA'!AH:AH,A15, 'Bilateral Assistance, MAIN DATA'!D:D,"Military")/1000000000)</f>
        <v>11.39221766410215</v>
      </c>
      <c r="F15" s="167">
        <f t="shared" si="0"/>
        <v>15.073045898595991</v>
      </c>
      <c r="J15" s="30"/>
    </row>
    <row r="16" spans="1:20" ht="15.6">
      <c r="A16" s="566">
        <v>5</v>
      </c>
      <c r="B16" s="561" t="s">
        <v>4608</v>
      </c>
      <c r="C16" s="167">
        <f>SUMIFS('Bilateral Assistance, MAIN DATA'!S:S,'Bilateral Assistance, MAIN DATA'!AG:AG,1,'Bilateral Assistance, MAIN DATA'!AH:AH,A16, 'Bilateral Assistance, MAIN DATA'!D:D,"Financial")/1000000000</f>
        <v>14.833953030910974</v>
      </c>
      <c r="D16" s="167">
        <f>SUMIFS('Bilateral Assistance, MAIN DATA'!S:S,'Bilateral Assistance, MAIN DATA'!AG:AG,1,'Bilateral Assistance, MAIN DATA'!AH:AH,A16, 'Bilateral Assistance, MAIN DATA'!D:D,"Humanitarian")/1000000000</f>
        <v>1.1922341683069444</v>
      </c>
      <c r="E16" s="167">
        <f>(SUMIFS('Bilateral Assistance, MAIN DATA'!S:S,'Bilateral Assistance, MAIN DATA'!AG:AG,1,'Bilateral Assistance, MAIN DATA'!AH:AH,A16, 'Bilateral Assistance, MAIN DATA'!D:D,"Military")/1000000000)</f>
        <v>2.6779986122087518</v>
      </c>
      <c r="F16" s="167">
        <f t="shared" si="0"/>
        <v>18.704185811426669</v>
      </c>
      <c r="G16" s="167"/>
      <c r="J16" s="30"/>
    </row>
    <row r="17" spans="1:10" ht="15.6">
      <c r="A17" s="566">
        <v>6</v>
      </c>
      <c r="B17" s="561" t="s">
        <v>4609</v>
      </c>
      <c r="C17" s="167">
        <f>SUMIFS('Bilateral Assistance, MAIN DATA'!S:S,'Bilateral Assistance, MAIN DATA'!AG:AG,1,'Bilateral Assistance, MAIN DATA'!AH:AH,A17, 'Bilateral Assistance, MAIN DATA'!D:D,"Financial")/1000000000</f>
        <v>0.16549763098615825</v>
      </c>
      <c r="D17" s="167">
        <f>SUMIFS('Bilateral Assistance, MAIN DATA'!S:S,'Bilateral Assistance, MAIN DATA'!AG:AG,1,'Bilateral Assistance, MAIN DATA'!AH:AH,A17, 'Bilateral Assistance, MAIN DATA'!D:D,"Humanitarian")/1000000000</f>
        <v>0.684534666329913</v>
      </c>
      <c r="E17" s="167">
        <f>(SUMIFS('Bilateral Assistance, MAIN DATA'!S:S,'Bilateral Assistance, MAIN DATA'!AG:AG,1,'Bilateral Assistance, MAIN DATA'!AH:AH,A17, 'Bilateral Assistance, MAIN DATA'!D:D,"Military")/1000000000)</f>
        <v>3.8340576114965792</v>
      </c>
      <c r="F17" s="167">
        <f t="shared" si="0"/>
        <v>4.6840899088126502</v>
      </c>
      <c r="J17" s="30"/>
    </row>
    <row r="18" spans="1:10" ht="15.6">
      <c r="A18" s="566">
        <v>7</v>
      </c>
      <c r="B18" s="561" t="s">
        <v>4610</v>
      </c>
      <c r="C18" s="167">
        <f>SUMIFS('Bilateral Assistance, MAIN DATA'!S:S,'Bilateral Assistance, MAIN DATA'!AG:AG,1,'Bilateral Assistance, MAIN DATA'!AH:AH,A18, 'Bilateral Assistance, MAIN DATA'!D:D,"Financial")/1000000000</f>
        <v>0.44969999999999999</v>
      </c>
      <c r="D18" s="167">
        <f>SUMIFS('Bilateral Assistance, MAIN DATA'!S:S,'Bilateral Assistance, MAIN DATA'!AG:AG,1,'Bilateral Assistance, MAIN DATA'!AH:AH,A18, 'Bilateral Assistance, MAIN DATA'!D:D,"Humanitarian")/1000000000</f>
        <v>0.87692280109599785</v>
      </c>
      <c r="E18" s="167">
        <f>(SUMIFS('Bilateral Assistance, MAIN DATA'!S:S,'Bilateral Assistance, MAIN DATA'!AG:AG,1,'Bilateral Assistance, MAIN DATA'!AH:AH,A18, 'Bilateral Assistance, MAIN DATA'!D:D,"Military")/1000000000)</f>
        <v>0.72209168253676292</v>
      </c>
      <c r="F18" s="167">
        <f t="shared" si="0"/>
        <v>2.0487144836327609</v>
      </c>
      <c r="G18" s="167"/>
    </row>
    <row r="19" spans="1:10" ht="15.6">
      <c r="A19" s="566">
        <v>8</v>
      </c>
      <c r="B19" s="561" t="s">
        <v>4611</v>
      </c>
      <c r="C19" s="167">
        <f>SUMIFS('Bilateral Assistance, MAIN DATA'!S:S,'Bilateral Assistance, MAIN DATA'!AG:AG,1,'Bilateral Assistance, MAIN DATA'!AH:AH,A19, 'Bilateral Assistance, MAIN DATA'!D:D,"Financial")/1000000000</f>
        <v>0.31819789995512338</v>
      </c>
      <c r="D19" s="167">
        <f>SUMIFS('Bilateral Assistance, MAIN DATA'!S:S,'Bilateral Assistance, MAIN DATA'!AG:AG,1,'Bilateral Assistance, MAIN DATA'!AH:AH,A19, 'Bilateral Assistance, MAIN DATA'!D:D,"Humanitarian")/1000000000</f>
        <v>8.7916681203332125E-2</v>
      </c>
      <c r="E19" s="167">
        <f>(SUMIFS('Bilateral Assistance, MAIN DATA'!S:S,'Bilateral Assistance, MAIN DATA'!AG:AG,1,'Bilateral Assistance, MAIN DATA'!AH:AH,A19, 'Bilateral Assistance, MAIN DATA'!D:D,"Military")/1000000000)</f>
        <v>0.77679538472841569</v>
      </c>
      <c r="F19" s="167">
        <f t="shared" si="0"/>
        <v>1.1829099658868711</v>
      </c>
    </row>
    <row r="20" spans="1:10" ht="15.6">
      <c r="A20" s="566">
        <v>9</v>
      </c>
      <c r="B20" s="561" t="s">
        <v>4612</v>
      </c>
      <c r="C20" s="167">
        <f>SUMIFS('Bilateral Assistance, MAIN DATA'!S:S,'Bilateral Assistance, MAIN DATA'!AG:AG,1,'Bilateral Assistance, MAIN DATA'!AH:AH,A20, 'Bilateral Assistance, MAIN DATA'!D:D,"Financial")/1000000000</f>
        <v>4.6531624953993376</v>
      </c>
      <c r="D20" s="167">
        <f>SUMIFS('Bilateral Assistance, MAIN DATA'!S:S,'Bilateral Assistance, MAIN DATA'!AG:AG,1,'Bilateral Assistance, MAIN DATA'!AH:AH,A20, 'Bilateral Assistance, MAIN DATA'!D:D,"Humanitarian")/1000000000</f>
        <v>0.74271723186648575</v>
      </c>
      <c r="E20" s="167">
        <f>(SUMIFS('Bilateral Assistance, MAIN DATA'!S:S,'Bilateral Assistance, MAIN DATA'!AG:AG,1,'Bilateral Assistance, MAIN DATA'!AH:AH,A20, 'Bilateral Assistance, MAIN DATA'!D:D,"Military")/1000000000)</f>
        <v>6.6700058112946117</v>
      </c>
      <c r="F20" s="167">
        <f t="shared" si="0"/>
        <v>12.065885538560435</v>
      </c>
      <c r="G20" s="169"/>
    </row>
    <row r="21" spans="1:10" ht="15.6">
      <c r="A21" s="566">
        <v>10</v>
      </c>
      <c r="B21" s="561" t="s">
        <v>4613</v>
      </c>
      <c r="C21" s="167">
        <f>SUMIFS('Bilateral Assistance, MAIN DATA'!S:S,'Bilateral Assistance, MAIN DATA'!AG:AG,1,'Bilateral Assistance, MAIN DATA'!AH:AH,A21, 'Bilateral Assistance, MAIN DATA'!D:D,"Financial")/1000000000</f>
        <v>0.63262620333989794</v>
      </c>
      <c r="D21" s="167">
        <f>SUMIFS('Bilateral Assistance, MAIN DATA'!S:S,'Bilateral Assistance, MAIN DATA'!AG:AG,1,'Bilateral Assistance, MAIN DATA'!AH:AH,A21, 'Bilateral Assistance, MAIN DATA'!D:D,"Humanitarian")/1000000000</f>
        <v>0.42035769946565443</v>
      </c>
      <c r="E21" s="167">
        <f>(SUMIFS('Bilateral Assistance, MAIN DATA'!S:S,'Bilateral Assistance, MAIN DATA'!AG:AG,1,'Bilateral Assistance, MAIN DATA'!AH:AH,A21, 'Bilateral Assistance, MAIN DATA'!D:D,"Military")/1000000000)</f>
        <v>1.6337914517488383</v>
      </c>
      <c r="F21" s="167">
        <f t="shared" si="0"/>
        <v>2.6867753545543906</v>
      </c>
    </row>
    <row r="22" spans="1:10" ht="15.6">
      <c r="A22" s="566">
        <v>11</v>
      </c>
      <c r="B22" s="561" t="s">
        <v>4614</v>
      </c>
      <c r="C22" s="167">
        <f>SUMIFS('Bilateral Assistance, MAIN DATA'!S:S,'Bilateral Assistance, MAIN DATA'!AG:AG,1,'Bilateral Assistance, MAIN DATA'!AH:AH,A22, 'Bilateral Assistance, MAIN DATA'!D:D,"Financial")/1000000000</f>
        <v>18.157273429553989</v>
      </c>
      <c r="D22" s="167">
        <f>SUMIFS('Bilateral Assistance, MAIN DATA'!S:S,'Bilateral Assistance, MAIN DATA'!AG:AG,1,'Bilateral Assistance, MAIN DATA'!AH:AH,A22, 'Bilateral Assistance, MAIN DATA'!D:D,"Humanitarian")/1000000000</f>
        <v>0.40502395956479198</v>
      </c>
      <c r="E22" s="167">
        <f>(SUMIFS('Bilateral Assistance, MAIN DATA'!S:S,'Bilateral Assistance, MAIN DATA'!AG:AG,1,'Bilateral Assistance, MAIN DATA'!AH:AH,A22, 'Bilateral Assistance, MAIN DATA'!D:D,"Military")/1000000000)</f>
        <v>1.2057871785529384</v>
      </c>
      <c r="F22" s="167">
        <f t="shared" si="0"/>
        <v>19.768084567671721</v>
      </c>
      <c r="G22" s="169"/>
    </row>
    <row r="23" spans="1:10" ht="15.6">
      <c r="A23" s="566">
        <v>12</v>
      </c>
      <c r="B23" s="561" t="s">
        <v>4615</v>
      </c>
      <c r="C23" s="167">
        <f>SUMIFS('Bilateral Assistance, MAIN DATA'!S:S,'Bilateral Assistance, MAIN DATA'!AG:AG,1,'Bilateral Assistance, MAIN DATA'!AH:AH,A23, 'Bilateral Assistance, MAIN DATA'!D:D,"Financial")/1000000000</f>
        <v>13.775211028870753</v>
      </c>
      <c r="D23" s="167">
        <f>SUMIFS('Bilateral Assistance, MAIN DATA'!S:S,'Bilateral Assistance, MAIN DATA'!AG:AG,1,'Bilateral Assistance, MAIN DATA'!AH:AH,A23, 'Bilateral Assistance, MAIN DATA'!D:D,"Humanitarian")/1000000000</f>
        <v>3.8008646686282979</v>
      </c>
      <c r="E23" s="167">
        <f>(SUMIFS('Bilateral Assistance, MAIN DATA'!S:S,'Bilateral Assistance, MAIN DATA'!AG:AG,1,'Bilateral Assistance, MAIN DATA'!AH:AH,A23, 'Bilateral Assistance, MAIN DATA'!D:D,"Military")/1000000000)</f>
        <v>23.437003598379327</v>
      </c>
      <c r="F23" s="167">
        <f t="shared" si="0"/>
        <v>41.013079295878377</v>
      </c>
      <c r="G23" s="169"/>
    </row>
    <row r="24" spans="1:10" ht="15.6">
      <c r="A24" s="566">
        <v>13</v>
      </c>
      <c r="B24" s="561" t="s">
        <v>4616</v>
      </c>
      <c r="C24" s="167">
        <f>SUMIFS('Bilateral Assistance, MAIN DATA'!S:S,'Bilateral Assistance, MAIN DATA'!AG:AG,1,'Bilateral Assistance, MAIN DATA'!AH:AH,A24, 'Bilateral Assistance, MAIN DATA'!D:D,"Financial")/1000000000</f>
        <v>4.4999999999999997E-3</v>
      </c>
      <c r="D24" s="167">
        <f>SUMIFS('Bilateral Assistance, MAIN DATA'!S:S,'Bilateral Assistance, MAIN DATA'!AG:AG,1,'Bilateral Assistance, MAIN DATA'!AH:AH,A24, 'Bilateral Assistance, MAIN DATA'!D:D,"Humanitarian")/1000000000</f>
        <v>6.4743928283651192E-2</v>
      </c>
      <c r="E24" s="167">
        <f>(SUMIFS('Bilateral Assistance, MAIN DATA'!S:S,'Bilateral Assistance, MAIN DATA'!AG:AG,1,'Bilateral Assistance, MAIN DATA'!AH:AH,A24, 'Bilateral Assistance, MAIN DATA'!D:D,"Military")/1000000000)</f>
        <v>6.8790172033181456</v>
      </c>
      <c r="F24" s="167">
        <f t="shared" si="0"/>
        <v>6.9482611316017966</v>
      </c>
      <c r="G24" s="169"/>
    </row>
    <row r="25" spans="1:10" ht="15.6">
      <c r="A25" s="566">
        <v>14</v>
      </c>
      <c r="B25" s="561" t="s">
        <v>4617</v>
      </c>
      <c r="C25" s="167">
        <f>SUMIFS('Bilateral Assistance, MAIN DATA'!S:S,'Bilateral Assistance, MAIN DATA'!AG:AG,1,'Bilateral Assistance, MAIN DATA'!AH:AH,A25, 'Bilateral Assistance, MAIN DATA'!D:D,"Financial")/1000000000</f>
        <v>5.2028902080931445</v>
      </c>
      <c r="D25" s="167">
        <f>SUMIFS('Bilateral Assistance, MAIN DATA'!S:S,'Bilateral Assistance, MAIN DATA'!AG:AG,1,'Bilateral Assistance, MAIN DATA'!AH:AH,A25, 'Bilateral Assistance, MAIN DATA'!D:D,"Humanitarian")/1000000000</f>
        <v>1.181240719388762</v>
      </c>
      <c r="E25" s="167">
        <f>(SUMIFS('Bilateral Assistance, MAIN DATA'!S:S,'Bilateral Assistance, MAIN DATA'!AG:AG,1,'Bilateral Assistance, MAIN DATA'!AH:AH,A25, 'Bilateral Assistance, MAIN DATA'!D:D,"Military")/1000000000)</f>
        <v>0.98444490744554258</v>
      </c>
      <c r="F25" s="167">
        <f t="shared" si="0"/>
        <v>7.3685758349274488</v>
      </c>
      <c r="G25" s="169"/>
    </row>
    <row r="26" spans="1:10" ht="15.6">
      <c r="A26" s="566">
        <v>15</v>
      </c>
      <c r="B26" s="561" t="s">
        <v>4618</v>
      </c>
      <c r="C26" s="167">
        <f>SUMIFS('Bilateral Assistance, MAIN DATA'!S:S,'Bilateral Assistance, MAIN DATA'!AG:AG,1,'Bilateral Assistance, MAIN DATA'!AH:AH,A26, 'Bilateral Assistance, MAIN DATA'!D:D,"Financial")/1000000000</f>
        <v>0.47709010811639418</v>
      </c>
      <c r="D26" s="167">
        <f>SUMIFS('Bilateral Assistance, MAIN DATA'!S:S,'Bilateral Assistance, MAIN DATA'!AG:AG,1,'Bilateral Assistance, MAIN DATA'!AH:AH,A26, 'Bilateral Assistance, MAIN DATA'!D:D,"Humanitarian")/1000000000</f>
        <v>0.68578862759653192</v>
      </c>
      <c r="E26" s="167">
        <f>(SUMIFS('Bilateral Assistance, MAIN DATA'!S:S,'Bilateral Assistance, MAIN DATA'!AG:AG,1,'Bilateral Assistance, MAIN DATA'!AH:AH,A26, 'Bilateral Assistance, MAIN DATA'!D:D,"Military")/1000000000)</f>
        <v>0.71305085307912297</v>
      </c>
      <c r="F26" s="167">
        <f t="shared" si="0"/>
        <v>1.8759295887920491</v>
      </c>
      <c r="G26" s="169"/>
    </row>
    <row r="27" spans="1:10" ht="15.6">
      <c r="A27" s="566">
        <v>16</v>
      </c>
      <c r="B27" s="561" t="s">
        <v>4619</v>
      </c>
      <c r="C27" s="167">
        <f>SUMIFS('Bilateral Assistance, MAIN DATA'!S:S,'Bilateral Assistance, MAIN DATA'!AG:AG,1,'Bilateral Assistance, MAIN DATA'!AH:AH,A27, 'Bilateral Assistance, MAIN DATA'!D:D,"Financial")/1000000000</f>
        <v>2.7475468386723239</v>
      </c>
      <c r="D27" s="167">
        <f>SUMIFS('Bilateral Assistance, MAIN DATA'!S:S,'Bilateral Assistance, MAIN DATA'!AG:AG,1,'Bilateral Assistance, MAIN DATA'!AH:AH,A27, 'Bilateral Assistance, MAIN DATA'!D:D,"Humanitarian")/1000000000</f>
        <v>0.39183420200266339</v>
      </c>
      <c r="E27" s="167">
        <f>(SUMIFS('Bilateral Assistance, MAIN DATA'!S:S,'Bilateral Assistance, MAIN DATA'!AG:AG,1,'Bilateral Assistance, MAIN DATA'!AH:AH,A27, 'Bilateral Assistance, MAIN DATA'!D:D,"Military")/1000000000)</f>
        <v>4.8413606831623746</v>
      </c>
      <c r="F27" s="167">
        <f t="shared" si="0"/>
        <v>7.9807417238373617</v>
      </c>
      <c r="G27" s="169"/>
    </row>
    <row r="28" spans="1:10" ht="15.6">
      <c r="A28" s="566">
        <v>17</v>
      </c>
      <c r="B28" s="561" t="s">
        <v>4620</v>
      </c>
      <c r="C28" s="167">
        <f>SUMIFS('Bilateral Assistance, MAIN DATA'!S:S,'Bilateral Assistance, MAIN DATA'!AG:AG,1,'Bilateral Assistance, MAIN DATA'!AH:AH,A28, 'Bilateral Assistance, MAIN DATA'!D:D,"Financial")/1000000000</f>
        <v>0.40830906472197448</v>
      </c>
      <c r="D28" s="167">
        <f>SUMIFS('Bilateral Assistance, MAIN DATA'!S:S,'Bilateral Assistance, MAIN DATA'!AG:AG,1,'Bilateral Assistance, MAIN DATA'!AH:AH,A28, 'Bilateral Assistance, MAIN DATA'!D:D,"Humanitarian")/1000000000</f>
        <v>0.2130595898484241</v>
      </c>
      <c r="E28" s="167">
        <f>SUMIFS('Bilateral Assistance, MAIN DATA'!S:S,'Bilateral Assistance, MAIN DATA'!AG:AG,1,'Bilateral Assistance, MAIN DATA'!AH:AH,A28, 'Bilateral Assistance, MAIN DATA'!D:D,"Military")/1000000000</f>
        <v>3.2557517393703876</v>
      </c>
      <c r="F28" s="167">
        <f t="shared" si="0"/>
        <v>3.8771203939407863</v>
      </c>
      <c r="G28" s="169"/>
    </row>
    <row r="29" spans="1:10" ht="15.6">
      <c r="B29" s="433" t="s">
        <v>4621</v>
      </c>
      <c r="C29" s="248">
        <f>SUM(C13:C28)</f>
        <v>71.310405394291479</v>
      </c>
      <c r="D29" s="248">
        <f>SUM(D13:D28)</f>
        <v>13.558755909662816</v>
      </c>
      <c r="E29" s="248">
        <f>SUM(E13:E28)</f>
        <v>79.884744061676102</v>
      </c>
      <c r="F29" s="248">
        <f>SUM(F13:F28)</f>
        <v>164.75390536563037</v>
      </c>
      <c r="G29" s="167"/>
    </row>
    <row r="30" spans="1:10" ht="15.6">
      <c r="B30" s="168" t="s">
        <v>4622</v>
      </c>
      <c r="C30" s="249"/>
      <c r="D30" s="249"/>
      <c r="E30" s="249"/>
      <c r="F30" s="249">
        <f>('Commitments per Month'!U55+'Commitments per Month'!V55)-'Commitments per Month'!D55</f>
        <v>165.15240654822651</v>
      </c>
      <c r="G30" s="167"/>
    </row>
    <row r="31" spans="1:10" ht="15.6">
      <c r="B31" s="394" t="s">
        <v>4623</v>
      </c>
      <c r="C31" s="250"/>
      <c r="D31" s="250"/>
      <c r="E31" s="250"/>
      <c r="F31" s="250">
        <f>F30-F29</f>
        <v>0.3985011825961351</v>
      </c>
    </row>
    <row r="32" spans="1:10" ht="15.6">
      <c r="B32" s="37"/>
      <c r="C32" s="167"/>
      <c r="F32" s="266"/>
    </row>
    <row r="33" spans="2:12" ht="15.6">
      <c r="B33" s="37"/>
      <c r="F33" s="266"/>
    </row>
    <row r="34" spans="2:12" ht="15.6">
      <c r="B34" s="37"/>
      <c r="F34" s="266"/>
    </row>
    <row r="35" spans="2:12" ht="15.6">
      <c r="B35" s="37"/>
      <c r="F35" s="266"/>
    </row>
    <row r="36" spans="2:12" ht="15.6">
      <c r="B36" s="37"/>
      <c r="F36" s="266"/>
    </row>
    <row r="37" spans="2:12" ht="15.6">
      <c r="B37" s="37"/>
      <c r="F37" s="266"/>
    </row>
    <row r="38" spans="2:12" ht="15.6">
      <c r="B38" s="37"/>
    </row>
    <row r="39" spans="2:12" ht="15.6">
      <c r="B39" s="37"/>
    </row>
    <row r="40" spans="2:12" ht="15.6">
      <c r="B40" s="37"/>
    </row>
    <row r="41" spans="2:12" ht="15.6">
      <c r="B41" s="37"/>
    </row>
    <row r="42" spans="2:12" ht="15.6">
      <c r="B42" s="37"/>
    </row>
    <row r="43" spans="2:12" ht="15.6">
      <c r="B43" s="37"/>
    </row>
    <row r="45" spans="2:12" ht="20.45">
      <c r="L45" s="366"/>
    </row>
  </sheetData>
  <mergeCells count="1">
    <mergeCell ref="B4:D9"/>
  </mergeCells>
  <pageMargins left="0.7" right="0.7" top="0.78740157499999996" bottom="0.78740157499999996" header="0.3" footer="0.3"/>
  <pageSetup paperSize="9"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8CBAD"/>
  </sheetPr>
  <dimension ref="A1:X175"/>
  <sheetViews>
    <sheetView showGridLines="0" zoomScaleNormal="100" workbookViewId="0"/>
  </sheetViews>
  <sheetFormatPr defaultColWidth="8.625" defaultRowHeight="15.95" customHeight="1"/>
  <cols>
    <col min="1" max="1" width="8.625" style="3" customWidth="1"/>
    <col min="2" max="2" width="25.5" style="24" customWidth="1"/>
    <col min="3" max="3" width="10.5" style="297" bestFit="1" customWidth="1"/>
    <col min="4" max="12" width="20.625" style="107" customWidth="1"/>
    <col min="13" max="13" width="20.625" style="302" customWidth="1"/>
    <col min="14" max="15" width="20.625" style="107" customWidth="1"/>
    <col min="16" max="20" width="20.625" style="138" customWidth="1"/>
    <col min="21" max="21" width="39.125" style="24" customWidth="1"/>
    <col min="22" max="22" width="39.125" style="138" customWidth="1"/>
    <col min="23" max="23" width="8.625" style="24" customWidth="1"/>
    <col min="24" max="16384" width="8.625" style="24"/>
  </cols>
  <sheetData>
    <row r="1" spans="1:24" s="35" customFormat="1" ht="15.75" customHeight="1">
      <c r="B1" s="166"/>
      <c r="C1" s="166"/>
      <c r="D1" s="166"/>
      <c r="E1" s="166"/>
      <c r="F1" s="166"/>
      <c r="G1" s="166"/>
      <c r="H1" s="166"/>
      <c r="I1" s="166"/>
      <c r="J1" s="166"/>
      <c r="K1" s="166"/>
      <c r="L1" s="166"/>
      <c r="M1" s="166"/>
      <c r="N1" s="166"/>
      <c r="O1" s="166"/>
      <c r="P1" s="167"/>
      <c r="Q1" s="167"/>
      <c r="R1" s="167"/>
      <c r="S1" s="167"/>
      <c r="T1" s="167"/>
      <c r="U1" s="166"/>
      <c r="V1" s="167"/>
    </row>
    <row r="2" spans="1:24" s="162" customFormat="1" ht="24.75" customHeight="1">
      <c r="A2" s="35"/>
      <c r="B2" s="364" t="s">
        <v>6176</v>
      </c>
      <c r="P2" s="429"/>
      <c r="Q2" s="429"/>
      <c r="R2" s="429"/>
      <c r="S2" s="429"/>
      <c r="T2" s="429"/>
      <c r="V2" s="429"/>
    </row>
    <row r="3" spans="1:24" s="162" customFormat="1" ht="15.95" customHeight="1">
      <c r="A3" s="35"/>
      <c r="B3" s="163"/>
      <c r="E3" s="164"/>
      <c r="P3" s="429"/>
      <c r="Q3" s="429"/>
      <c r="R3" s="429"/>
      <c r="S3" s="429"/>
      <c r="T3" s="429"/>
      <c r="V3" s="429"/>
    </row>
    <row r="4" spans="1:24" s="162" customFormat="1" ht="15.95" customHeight="1">
      <c r="A4" s="35"/>
      <c r="B4" s="1434" t="s">
        <v>6177</v>
      </c>
      <c r="C4" s="1434"/>
      <c r="D4" s="1434"/>
      <c r="E4" s="1434"/>
      <c r="F4" s="1434"/>
      <c r="P4" s="429"/>
      <c r="Q4" s="429"/>
      <c r="R4" s="429"/>
      <c r="S4" s="429"/>
      <c r="T4" s="429"/>
      <c r="V4" s="429"/>
    </row>
    <row r="5" spans="1:24" s="162" customFormat="1" ht="15.95" customHeight="1">
      <c r="A5" s="35"/>
      <c r="B5" s="1434"/>
      <c r="C5" s="1434"/>
      <c r="D5" s="1434"/>
      <c r="E5" s="1434"/>
      <c r="F5" s="1434"/>
      <c r="P5" s="429"/>
      <c r="Q5" s="429"/>
      <c r="R5" s="429"/>
      <c r="S5" s="429"/>
      <c r="T5" s="429"/>
      <c r="V5" s="429"/>
    </row>
    <row r="6" spans="1:24" s="162" customFormat="1" ht="15.95" customHeight="1">
      <c r="A6" s="35"/>
      <c r="B6" s="1434"/>
      <c r="C6" s="1434"/>
      <c r="D6" s="1434"/>
      <c r="E6" s="1434"/>
      <c r="F6" s="1434"/>
      <c r="P6" s="429"/>
      <c r="Q6" s="429"/>
      <c r="R6" s="429"/>
      <c r="S6" s="429"/>
      <c r="T6" s="429"/>
      <c r="V6" s="429"/>
    </row>
    <row r="7" spans="1:24" s="162" customFormat="1" ht="15.95" customHeight="1">
      <c r="A7" s="35"/>
      <c r="B7" s="1434"/>
      <c r="C7" s="1434"/>
      <c r="D7" s="1434"/>
      <c r="E7" s="1434"/>
      <c r="F7" s="1434"/>
      <c r="P7" s="429"/>
      <c r="Q7" s="429"/>
      <c r="R7" s="429"/>
      <c r="S7" s="429"/>
      <c r="T7" s="429"/>
      <c r="V7" s="429"/>
    </row>
    <row r="8" spans="1:24" s="162" customFormat="1" ht="15.95" customHeight="1">
      <c r="A8" s="35"/>
      <c r="B8" s="1434"/>
      <c r="C8" s="1434"/>
      <c r="D8" s="1434"/>
      <c r="E8" s="1434"/>
      <c r="F8" s="1434"/>
      <c r="P8" s="429"/>
      <c r="Q8" s="429"/>
      <c r="R8" s="429"/>
      <c r="S8" s="429"/>
      <c r="T8" s="429"/>
      <c r="V8" s="429"/>
    </row>
    <row r="9" spans="1:24" s="43" customFormat="1" ht="15.95" customHeight="1">
      <c r="A9" s="35"/>
      <c r="B9" s="1434"/>
      <c r="C9" s="1434"/>
      <c r="D9" s="1434"/>
      <c r="E9" s="1434"/>
      <c r="F9" s="1434"/>
      <c r="H9" s="165"/>
      <c r="P9" s="430"/>
      <c r="Q9" s="430"/>
      <c r="R9" s="430"/>
      <c r="S9" s="430"/>
      <c r="T9" s="430"/>
      <c r="V9" s="430"/>
    </row>
    <row r="10" spans="1:24" s="297" customFormat="1" ht="15.95" customHeight="1">
      <c r="A10" s="288"/>
      <c r="D10" s="309" t="s">
        <v>4815</v>
      </c>
      <c r="E10" s="309" t="s">
        <v>4605</v>
      </c>
      <c r="F10" s="309" t="s">
        <v>4606</v>
      </c>
      <c r="G10" s="309" t="s">
        <v>4607</v>
      </c>
      <c r="H10" s="309" t="s">
        <v>4608</v>
      </c>
      <c r="I10" s="309" t="s">
        <v>4609</v>
      </c>
      <c r="J10" s="309" t="s">
        <v>4610</v>
      </c>
      <c r="K10" s="309" t="s">
        <v>4611</v>
      </c>
      <c r="L10" s="309" t="s">
        <v>4612</v>
      </c>
      <c r="M10" s="309" t="s">
        <v>4613</v>
      </c>
      <c r="N10" s="309" t="s">
        <v>4614</v>
      </c>
      <c r="O10" s="309" t="s">
        <v>4615</v>
      </c>
      <c r="P10" s="431" t="s">
        <v>4616</v>
      </c>
      <c r="Q10" s="431" t="s">
        <v>4617</v>
      </c>
      <c r="R10" s="431" t="s">
        <v>4618</v>
      </c>
      <c r="S10" s="431" t="s">
        <v>4619</v>
      </c>
      <c r="T10" s="431" t="s">
        <v>4620</v>
      </c>
      <c r="V10" s="277"/>
    </row>
    <row r="11" spans="1:24" s="310" customFormat="1" ht="15.95" customHeight="1">
      <c r="A11" s="288"/>
      <c r="B11" s="1429" t="s">
        <v>4512</v>
      </c>
      <c r="C11" s="1431" t="s">
        <v>4513</v>
      </c>
      <c r="D11" s="1431">
        <v>1</v>
      </c>
      <c r="E11" s="1493">
        <v>2</v>
      </c>
      <c r="F11" s="1431">
        <v>3</v>
      </c>
      <c r="G11" s="1493">
        <v>4</v>
      </c>
      <c r="H11" s="1431">
        <v>5</v>
      </c>
      <c r="I11" s="1493">
        <v>6</v>
      </c>
      <c r="J11" s="1431">
        <v>7</v>
      </c>
      <c r="K11" s="1493">
        <v>8</v>
      </c>
      <c r="L11" s="1431">
        <v>9</v>
      </c>
      <c r="M11" s="1493">
        <v>10</v>
      </c>
      <c r="N11" s="1431">
        <v>11</v>
      </c>
      <c r="O11" s="1493">
        <v>12</v>
      </c>
      <c r="P11" s="1493">
        <v>13</v>
      </c>
      <c r="Q11" s="1493">
        <v>14</v>
      </c>
      <c r="R11" s="1493">
        <v>15</v>
      </c>
      <c r="S11" s="1493">
        <v>16</v>
      </c>
      <c r="T11" s="1493">
        <v>17</v>
      </c>
      <c r="U11" s="1348" t="s">
        <v>6178</v>
      </c>
      <c r="V11" s="311" t="s">
        <v>6179</v>
      </c>
    </row>
    <row r="12" spans="1:24" s="310" customFormat="1" ht="15.95" customHeight="1">
      <c r="A12" s="5"/>
      <c r="B12" s="1430"/>
      <c r="C12" s="1432"/>
      <c r="D12" s="1432"/>
      <c r="E12" s="1494"/>
      <c r="F12" s="1432"/>
      <c r="G12" s="1494"/>
      <c r="H12" s="1432"/>
      <c r="I12" s="1494"/>
      <c r="J12" s="1432"/>
      <c r="K12" s="1494"/>
      <c r="L12" s="1432"/>
      <c r="M12" s="1494"/>
      <c r="N12" s="1432"/>
      <c r="O12" s="1494"/>
      <c r="P12" s="1494"/>
      <c r="Q12" s="1494"/>
      <c r="R12" s="1494"/>
      <c r="S12" s="1494"/>
      <c r="T12" s="1494"/>
      <c r="U12" s="1349" t="s">
        <v>4527</v>
      </c>
      <c r="V12" s="317" t="s">
        <v>4527</v>
      </c>
    </row>
    <row r="13" spans="1:24" ht="15.95" customHeight="1">
      <c r="A13" s="5"/>
      <c r="B13" s="2" t="s">
        <v>359</v>
      </c>
      <c r="C13" s="297">
        <v>0</v>
      </c>
      <c r="D13" s="276">
        <f>SUMIFS('Bilateral Assistance, MAIN DATA'!S:S,'Bilateral Assistance, MAIN DATA'!B:B,'Commitments per Month'!B13,'Bilateral Assistance, MAIN DATA'!AG:AG,1,'Bilateral Assistance, MAIN DATA'!AH:AH,'Commitments per Month'!$D$11)/1000000000</f>
        <v>0</v>
      </c>
      <c r="E13" s="276">
        <f>SUMIFS('Bilateral Assistance, MAIN DATA'!S:S,'Bilateral Assistance, MAIN DATA'!B:B,'Commitments per Month'!B13,'Bilateral Assistance, MAIN DATA'!AG:AG,1,'Bilateral Assistance, MAIN DATA'!AH:AH,'Commitments per Month'!$E$11)/1000000000</f>
        <v>0</v>
      </c>
      <c r="F13" s="276">
        <f>SUMIFS('Bilateral Assistance, MAIN DATA'!S:S,'Bilateral Assistance, MAIN DATA'!B:B,'Commitments per Month'!B13,'Bilateral Assistance, MAIN DATA'!AG:AG,1,'Bilateral Assistance, MAIN DATA'!AH:AH,'Commitments per Month'!$F$11)/1000000000</f>
        <v>0.11966230270402543</v>
      </c>
      <c r="G13" s="276">
        <f>SUMIFS('Bilateral Assistance, MAIN DATA'!S:S,'Bilateral Assistance, MAIN DATA'!B:B,'Commitments per Month'!B13,'Bilateral Assistance, MAIN DATA'!AG:AG,1,'Bilateral Assistance, MAIN DATA'!AH:AH,'Commitments per Month'!$G$11)/1000000000</f>
        <v>6.2522941392389578E-2</v>
      </c>
      <c r="H13" s="276">
        <f>SUMIFS('Bilateral Assistance, MAIN DATA'!S:S,'Bilateral Assistance, MAIN DATA'!B:B,'Commitments per Month'!B13,'Bilateral Assistance, MAIN DATA'!AG:AG,1,'Bilateral Assistance, MAIN DATA'!AH:AH,'Commitments per Month'!$H$11)/1000000000</f>
        <v>3.72568212406705E-2</v>
      </c>
      <c r="I13" s="276">
        <f>SUMIFS('Bilateral Assistance, MAIN DATA'!S:S,'Bilateral Assistance, MAIN DATA'!B:B,'Commitments per Month'!B13,'Bilateral Assistance, MAIN DATA'!AG:AG,1,'Bilateral Assistance, MAIN DATA'!AH:AH,'Commitments per Month'!$I$11)/1000000000</f>
        <v>0</v>
      </c>
      <c r="J13" s="276">
        <f>SUMIFS('Bilateral Assistance, MAIN DATA'!S:S,'Bilateral Assistance, MAIN DATA'!B:B,'Commitments per Month'!B13,'Bilateral Assistance, MAIN DATA'!AG:AG,1,'Bilateral Assistance, MAIN DATA'!AH:AH,'Commitments per Month'!$J$11)/1000000000</f>
        <v>5.3958154900281413E-2</v>
      </c>
      <c r="K13" s="276">
        <f>SUMIFS('Bilateral Assistance, MAIN DATA'!S:S,'Bilateral Assistance, MAIN DATA'!B:B,'Commitments per Month'!B13,'Bilateral Assistance, MAIN DATA'!AG:AG,1,'Bilateral Assistance, MAIN DATA'!AH:AH,'Commitments per Month'!$K$11)/1000000000</f>
        <v>0</v>
      </c>
      <c r="L13" s="277">
        <f>SUMIFS('Bilateral Assistance, MAIN DATA'!S:S,'Bilateral Assistance, MAIN DATA'!B:B,'Commitments per Month'!B13,'Bilateral Assistance, MAIN DATA'!AG:AG,1,'Bilateral Assistance, MAIN DATA'!AH:AH,'Commitments per Month'!$L$11)/1000000000</f>
        <v>0</v>
      </c>
      <c r="M13" s="239">
        <f>SUMIFS('Bilateral Assistance, MAIN DATA'!S:S,'Bilateral Assistance, MAIN DATA'!B:B,'Commitments per Month'!B13,'Bilateral Assistance, MAIN DATA'!AG:AG,1,'Bilateral Assistance, MAIN DATA'!AH:AH,'Commitments per Month'!$M$11)/1000000000</f>
        <v>0.13030710877278845</v>
      </c>
      <c r="N13" s="277">
        <f>SUMIFS('Bilateral Assistance, MAIN DATA'!S:S,'Bilateral Assistance, MAIN DATA'!B:B,'Commitments per Month'!B13,'Bilateral Assistance, MAIN DATA'!AG:AG,1,'Bilateral Assistance, MAIN DATA'!AH:AH,'Commitments per Month'!$N$11)/1000000000</f>
        <v>0</v>
      </c>
      <c r="O13" s="277">
        <f>SUMIFS('Bilateral Assistance, MAIN DATA'!S:S,'Bilateral Assistance, MAIN DATA'!B:B,'Commitments per Month'!B13,'Bilateral Assistance, MAIN DATA'!AG:AG,1,'Bilateral Assistance, MAIN DATA'!AH:AH,'Commitments per Month'!$O$11)/1000000000</f>
        <v>0</v>
      </c>
      <c r="P13" s="1206">
        <f>SUMIFS('Bilateral Assistance, MAIN DATA'!S:S,'Bilateral Assistance, MAIN DATA'!B:B,'Commitments per Month'!B13,'Bilateral Assistance, MAIN DATA'!AG:AG,1,'Bilateral Assistance, MAIN DATA'!AH:AH,'Commitments per Month'!$P$11)/1000000000</f>
        <v>0</v>
      </c>
      <c r="Q13" s="1206">
        <f>SUMIFS('Bilateral Assistance, MAIN DATA'!S:S,'Bilateral Assistance, MAIN DATA'!B:B,'Commitments per Month'!B13,'Bilateral Assistance, MAIN DATA'!AG:AG,1,'Bilateral Assistance, MAIN DATA'!AH:AH,'Commitments per Month'!$Q$11)/1000000000</f>
        <v>2.0188425302826378E-2</v>
      </c>
      <c r="R13" s="1206">
        <f>SUMIFS('Bilateral Assistance, MAIN DATA'!S:S,'Bilateral Assistance, MAIN DATA'!B:B,'Commitments per Month'!B13,'Bilateral Assistance, MAIN DATA'!AG:AG,1,'Bilateral Assistance, MAIN DATA'!AH:AH,'Commitments per Month'!$R$11)/1000000000</f>
        <v>0</v>
      </c>
      <c r="S13" s="1206">
        <f>SUMIFS('Bilateral Assistance, MAIN DATA'!S:S,'Bilateral Assistance, MAIN DATA'!B:B,'Commitments per Month'!B13,'Bilateral Assistance, MAIN DATA'!AG:AG,1,'Bilateral Assistance, MAIN DATA'!AH:AH,'Commitments per Month'!$S$11)/1000000000</f>
        <v>0</v>
      </c>
      <c r="T13" s="1206">
        <f>SUMIFS('Bilateral Assistance, MAIN DATA'!S:S,'Bilateral Assistance, MAIN DATA'!B:B,'Commitments per Month'!B13,'Bilateral Assistance, MAIN DATA'!AG:AG,1,'Bilateral Assistance, MAIN DATA'!AH:AH,'Commitments per Month'!$T$11)/1000000000</f>
        <v>0</v>
      </c>
      <c r="U13" s="277">
        <f>SUM(D13:T13)</f>
        <v>0.42389575431298177</v>
      </c>
      <c r="V13" s="277">
        <f>SUMIFS('Bilateral Assistance, MAIN DATA'!S:S,'Bilateral Assistance, MAIN DATA'!B:B,'Commitments per Month'!B13,'Bilateral Assistance, MAIN DATA'!AG:AG,0)/1000000000</f>
        <v>0</v>
      </c>
    </row>
    <row r="14" spans="1:24" ht="15.95" customHeight="1">
      <c r="A14" s="5"/>
      <c r="B14" s="24" t="s">
        <v>454</v>
      </c>
      <c r="C14" s="297">
        <v>1</v>
      </c>
      <c r="D14" s="276">
        <f>SUMIFS('Bilateral Assistance, MAIN DATA'!S:S,'Bilateral Assistance, MAIN DATA'!B:B,'Commitments per Month'!B14,'Bilateral Assistance, MAIN DATA'!AG:AG,1,'Bilateral Assistance, MAIN DATA'!AH:AH,'Commitments per Month'!$D$11)/1000000000</f>
        <v>0</v>
      </c>
      <c r="E14" s="276">
        <f>SUMIFS('Bilateral Assistance, MAIN DATA'!S:S,'Bilateral Assistance, MAIN DATA'!B:B,'Commitments per Month'!B14,'Bilateral Assistance, MAIN DATA'!AG:AG,1,'Bilateral Assistance, MAIN DATA'!AH:AH,'Commitments per Month'!$E$11)/1000000000</f>
        <v>9.9480125138019879E-4</v>
      </c>
      <c r="F14" s="276">
        <f>SUMIFS('Bilateral Assistance, MAIN DATA'!S:S,'Bilateral Assistance, MAIN DATA'!B:B,'Commitments per Month'!B14,'Bilateral Assistance, MAIN DATA'!AG:AG,1,'Bilateral Assistance, MAIN DATA'!AH:AH,'Commitments per Month'!$F$11)/1000000000</f>
        <v>1.3300859449760765E-2</v>
      </c>
      <c r="G14" s="276">
        <f>SUMIFS('Bilateral Assistance, MAIN DATA'!S:S,'Bilateral Assistance, MAIN DATA'!B:B,'Commitments per Month'!B14,'Bilateral Assistance, MAIN DATA'!AG:AG,1,'Bilateral Assistance, MAIN DATA'!AH:AH,'Commitments per Month'!$G$11)/1000000000</f>
        <v>0</v>
      </c>
      <c r="H14" s="276">
        <f>SUMIFS('Bilateral Assistance, MAIN DATA'!S:S,'Bilateral Assistance, MAIN DATA'!B:B,'Commitments per Month'!B14,'Bilateral Assistance, MAIN DATA'!AG:AG,1,'Bilateral Assistance, MAIN DATA'!AH:AH,'Commitments per Month'!$H$11)/1000000000</f>
        <v>3.6900000000000002E-2</v>
      </c>
      <c r="I14" s="276">
        <f>SUMIFS('Bilateral Assistance, MAIN DATA'!S:S,'Bilateral Assistance, MAIN DATA'!B:B,'Commitments per Month'!B14,'Bilateral Assistance, MAIN DATA'!AG:AG,1,'Bilateral Assistance, MAIN DATA'!AH:AH,'Commitments per Month'!$I$11)/1000000000</f>
        <v>1.0517114464482885E-2</v>
      </c>
      <c r="J14" s="276">
        <f>SUMIFS('Bilateral Assistance, MAIN DATA'!S:S,'Bilateral Assistance, MAIN DATA'!B:B,'Commitments per Month'!B14,'Bilateral Assistance, MAIN DATA'!AG:AG,1,'Bilateral Assistance, MAIN DATA'!AH:AH,'Commitments per Month'!$J$11)/1000000000</f>
        <v>0</v>
      </c>
      <c r="K14" s="276">
        <f>SUMIFS('Bilateral Assistance, MAIN DATA'!S:S,'Bilateral Assistance, MAIN DATA'!B:B,'Commitments per Month'!B14,'Bilateral Assistance, MAIN DATA'!AG:AG,1,'Bilateral Assistance, MAIN DATA'!AH:AH,'Commitments per Month'!$K$11)/1000000000</f>
        <v>0</v>
      </c>
      <c r="L14" s="277">
        <f>SUMIFS('Bilateral Assistance, MAIN DATA'!S:S,'Bilateral Assistance, MAIN DATA'!B:B,'Commitments per Month'!B14,'Bilateral Assistance, MAIN DATA'!AG:AG,1,'Bilateral Assistance, MAIN DATA'!AH:AH,'Commitments per Month'!$L$11)/1000000000</f>
        <v>0.60167234081707766</v>
      </c>
      <c r="M14" s="239">
        <f>SUMIFS('Bilateral Assistance, MAIN DATA'!S:S,'Bilateral Assistance, MAIN DATA'!B:B,'Commitments per Month'!B14,'Bilateral Assistance, MAIN DATA'!AG:AG,1,'Bilateral Assistance, MAIN DATA'!AH:AH,'Commitments per Month'!$M$11)/1000000000</f>
        <v>0</v>
      </c>
      <c r="N14" s="277">
        <f>SUMIFS('Bilateral Assistance, MAIN DATA'!S:S,'Bilateral Assistance, MAIN DATA'!B:B,'Commitments per Month'!B14,'Bilateral Assistance, MAIN DATA'!AG:AG,1,'Bilateral Assistance, MAIN DATA'!AH:AH,'Commitments per Month'!$N$11)/1000000000</f>
        <v>4.6915743000000003E-2</v>
      </c>
      <c r="O14" s="277">
        <f>SUMIFS('Bilateral Assistance, MAIN DATA'!S:S,'Bilateral Assistance, MAIN DATA'!B:B,'Commitments per Month'!B14,'Bilateral Assistance, MAIN DATA'!AG:AG,1,'Bilateral Assistance, MAIN DATA'!AH:AH,'Commitments per Month'!$O$11)/1000000000</f>
        <v>2.5000000000000001E-2</v>
      </c>
      <c r="P14" s="1206">
        <f>SUMIFS('Bilateral Assistance, MAIN DATA'!S:S,'Bilateral Assistance, MAIN DATA'!B:B,'Commitments per Month'!B14,'Bilateral Assistance, MAIN DATA'!AG:AG,1,'Bilateral Assistance, MAIN DATA'!AH:AH,'Commitments per Month'!$P$11)/1000000000</f>
        <v>5.0000000000000001E-3</v>
      </c>
      <c r="Q14" s="1206">
        <f>SUMIFS('Bilateral Assistance, MAIN DATA'!S:S,'Bilateral Assistance, MAIN DATA'!B:B,'Commitments per Month'!B14,'Bilateral Assistance, MAIN DATA'!AG:AG,1,'Bilateral Assistance, MAIN DATA'!AH:AH,'Commitments per Month'!$Q$11)/1000000000</f>
        <v>2.7E-2</v>
      </c>
      <c r="R14" s="1206">
        <f>SUMIFS('Bilateral Assistance, MAIN DATA'!S:S,'Bilateral Assistance, MAIN DATA'!B:B,'Commitments per Month'!B14,'Bilateral Assistance, MAIN DATA'!AG:AG,1,'Bilateral Assistance, MAIN DATA'!AH:AH,'Commitments per Month'!$R$11)/1000000000</f>
        <v>9.7500000000000003E-2</v>
      </c>
      <c r="S14" s="1206">
        <f>SUMIFS('Bilateral Assistance, MAIN DATA'!S:S,'Bilateral Assistance, MAIN DATA'!B:B,'Commitments per Month'!B14,'Bilateral Assistance, MAIN DATA'!AG:AG,1,'Bilateral Assistance, MAIN DATA'!AH:AH,'Commitments per Month'!$S$11)/1000000000</f>
        <v>1.1685682738314317E-3</v>
      </c>
      <c r="T14" s="1206">
        <f>SUMIFS('Bilateral Assistance, MAIN DATA'!S:S,'Bilateral Assistance, MAIN DATA'!B:B,'Commitments per Month'!B14,'Bilateral Assistance, MAIN DATA'!AG:AG,1,'Bilateral Assistance, MAIN DATA'!AH:AH,'Commitments per Month'!$T$11)/1000000000</f>
        <v>0</v>
      </c>
      <c r="U14" s="277">
        <f t="shared" ref="U14:U55" si="0">SUM(D14:T14)</f>
        <v>0.86596942725653303</v>
      </c>
      <c r="V14" s="277">
        <f>SUMIFS('Bilateral Assistance, MAIN DATA'!S:S,'Bilateral Assistance, MAIN DATA'!B:B,'Commitments per Month'!B14,'Bilateral Assistance, MAIN DATA'!AG:AG,0)/1000000000</f>
        <v>0</v>
      </c>
    </row>
    <row r="15" spans="1:24" ht="15.95" customHeight="1">
      <c r="A15" s="5"/>
      <c r="B15" s="24" t="s">
        <v>558</v>
      </c>
      <c r="C15" s="297">
        <v>1</v>
      </c>
      <c r="D15" s="276">
        <f>SUMIFS('Bilateral Assistance, MAIN DATA'!S:S,'Bilateral Assistance, MAIN DATA'!B:B,'Commitments per Month'!B15,'Bilateral Assistance, MAIN DATA'!AG:AG,1,'Bilateral Assistance, MAIN DATA'!AH:AH,'Commitments per Month'!$D$11)/1000000000</f>
        <v>0</v>
      </c>
      <c r="E15" s="276">
        <f>SUMIFS('Bilateral Assistance, MAIN DATA'!S:S,'Bilateral Assistance, MAIN DATA'!B:B,'Commitments per Month'!B15,'Bilateral Assistance, MAIN DATA'!AG:AG,1,'Bilateral Assistance, MAIN DATA'!AH:AH,'Commitments per Month'!$E$11)/1000000000</f>
        <v>7.5999999999999998E-2</v>
      </c>
      <c r="F15" s="276">
        <f>SUMIFS('Bilateral Assistance, MAIN DATA'!S:S,'Bilateral Assistance, MAIN DATA'!B:B,'Commitments per Month'!B15,'Bilateral Assistance, MAIN DATA'!AG:AG,1,'Bilateral Assistance, MAIN DATA'!AH:AH,'Commitments per Month'!$F$11)/1000000000</f>
        <v>1.4630000000000001E-2</v>
      </c>
      <c r="G15" s="276">
        <f>SUMIFS('Bilateral Assistance, MAIN DATA'!S:S,'Bilateral Assistance, MAIN DATA'!B:B,'Commitments per Month'!B15,'Bilateral Assistance, MAIN DATA'!AG:AG,1,'Bilateral Assistance, MAIN DATA'!AH:AH,'Commitments per Month'!$G$11)/1000000000</f>
        <v>6.0600000000000001E-2</v>
      </c>
      <c r="H15" s="276">
        <f>SUMIFS('Bilateral Assistance, MAIN DATA'!S:S,'Bilateral Assistance, MAIN DATA'!B:B,'Commitments per Month'!B15,'Bilateral Assistance, MAIN DATA'!AG:AG,1,'Bilateral Assistance, MAIN DATA'!AH:AH,'Commitments per Month'!$H$11)/1000000000</f>
        <v>2.6464000000000001E-3</v>
      </c>
      <c r="I15" s="276">
        <f>SUMIFS('Bilateral Assistance, MAIN DATA'!S:S,'Bilateral Assistance, MAIN DATA'!B:B,'Commitments per Month'!B15,'Bilateral Assistance, MAIN DATA'!AG:AG,1,'Bilateral Assistance, MAIN DATA'!AH:AH,'Commitments per Month'!$I$11)/1000000000</f>
        <v>0</v>
      </c>
      <c r="J15" s="276">
        <f>SUMIFS('Bilateral Assistance, MAIN DATA'!S:S,'Bilateral Assistance, MAIN DATA'!B:B,'Commitments per Month'!B15,'Bilateral Assistance, MAIN DATA'!AG:AG,1,'Bilateral Assistance, MAIN DATA'!AH:AH,'Commitments per Month'!$J$11)/1000000000</f>
        <v>1.1439008000000001E-2</v>
      </c>
      <c r="K15" s="276">
        <f>SUMIFS('Bilateral Assistance, MAIN DATA'!S:S,'Bilateral Assistance, MAIN DATA'!B:B,'Commitments per Month'!B15,'Bilateral Assistance, MAIN DATA'!AG:AG,1,'Bilateral Assistance, MAIN DATA'!AH:AH,'Commitments per Month'!$K$11)/1000000000</f>
        <v>1.11E-2</v>
      </c>
      <c r="L15" s="277">
        <f>SUMIFS('Bilateral Assistance, MAIN DATA'!S:S,'Bilateral Assistance, MAIN DATA'!B:B,'Commitments per Month'!B15,'Bilateral Assistance, MAIN DATA'!AG:AG,1,'Bilateral Assistance, MAIN DATA'!AH:AH,'Commitments per Month'!$L$11)/1000000000</f>
        <v>2.6761099399999998E-2</v>
      </c>
      <c r="M15" s="239">
        <f>SUMIFS('Bilateral Assistance, MAIN DATA'!S:S,'Bilateral Assistance, MAIN DATA'!B:B,'Commitments per Month'!B15,'Bilateral Assistance, MAIN DATA'!AG:AG,1,'Bilateral Assistance, MAIN DATA'!AH:AH,'Commitments per Month'!$M$11)/1000000000</f>
        <v>3.2356989999999999E-3</v>
      </c>
      <c r="N15" s="277">
        <f>SUMIFS('Bilateral Assistance, MAIN DATA'!S:S,'Bilateral Assistance, MAIN DATA'!B:B,'Commitments per Month'!B15,'Bilateral Assistance, MAIN DATA'!AG:AG,1,'Bilateral Assistance, MAIN DATA'!AH:AH,'Commitments per Month'!$N$11)/1000000000</f>
        <v>1.2245280000000001E-2</v>
      </c>
      <c r="O15" s="277">
        <f>SUMIFS('Bilateral Assistance, MAIN DATA'!S:S,'Bilateral Assistance, MAIN DATA'!B:B,'Commitments per Month'!B15,'Bilateral Assistance, MAIN DATA'!AG:AG,1,'Bilateral Assistance, MAIN DATA'!AH:AH,'Commitments per Month'!$O$11)/1000000000</f>
        <v>1.4444E-3</v>
      </c>
      <c r="P15" s="1206">
        <f>SUMIFS('Bilateral Assistance, MAIN DATA'!S:S,'Bilateral Assistance, MAIN DATA'!B:B,'Commitments per Month'!B15,'Bilateral Assistance, MAIN DATA'!AG:AG,1,'Bilateral Assistance, MAIN DATA'!AH:AH,'Commitments per Month'!$P$11)/1000000000</f>
        <v>9.4639641999999996E-2</v>
      </c>
      <c r="Q15" s="1206">
        <f>SUMIFS('Bilateral Assistance, MAIN DATA'!S:S,'Bilateral Assistance, MAIN DATA'!B:B,'Commitments per Month'!B15,'Bilateral Assistance, MAIN DATA'!AG:AG,1,'Bilateral Assistance, MAIN DATA'!AH:AH,'Commitments per Month'!$Q$11)/1000000000</f>
        <v>0</v>
      </c>
      <c r="R15" s="1206">
        <f>SUMIFS('Bilateral Assistance, MAIN DATA'!S:S,'Bilateral Assistance, MAIN DATA'!B:B,'Commitments per Month'!B15,'Bilateral Assistance, MAIN DATA'!AG:AG,1,'Bilateral Assistance, MAIN DATA'!AH:AH,'Commitments per Month'!$R$11)/1000000000</f>
        <v>8.4000000000000005E-2</v>
      </c>
      <c r="S15" s="1206">
        <f>SUMIFS('Bilateral Assistance, MAIN DATA'!S:S,'Bilateral Assistance, MAIN DATA'!B:B,'Commitments per Month'!B15,'Bilateral Assistance, MAIN DATA'!AG:AG,1,'Bilateral Assistance, MAIN DATA'!AH:AH,'Commitments per Month'!$S$11)/1000000000</f>
        <v>0</v>
      </c>
      <c r="T15" s="1206">
        <f>SUMIFS('Bilateral Assistance, MAIN DATA'!S:S,'Bilateral Assistance, MAIN DATA'!B:B,'Commitments per Month'!B15,'Bilateral Assistance, MAIN DATA'!AG:AG,1,'Bilateral Assistance, MAIN DATA'!AH:AH,'Commitments per Month'!$T$11)/1000000000</f>
        <v>9.1999999999999998E-2</v>
      </c>
      <c r="U15" s="277">
        <f t="shared" si="0"/>
        <v>0.49074152840000007</v>
      </c>
      <c r="V15" s="277">
        <f>SUMIFS('Bilateral Assistance, MAIN DATA'!S:S,'Bilateral Assistance, MAIN DATA'!B:B,'Commitments per Month'!B15,'Bilateral Assistance, MAIN DATA'!AG:AG,0)/1000000000</f>
        <v>0</v>
      </c>
      <c r="W15" s="360"/>
      <c r="X15" s="360"/>
    </row>
    <row r="16" spans="1:24" ht="15.95" customHeight="1">
      <c r="A16" s="5"/>
      <c r="B16" s="24" t="s">
        <v>673</v>
      </c>
      <c r="C16" s="297">
        <v>1</v>
      </c>
      <c r="D16" s="276">
        <f>SUMIFS('Bilateral Assistance, MAIN DATA'!S:S,'Bilateral Assistance, MAIN DATA'!B:B,'Commitments per Month'!B16,'Bilateral Assistance, MAIN DATA'!AG:AG,1,'Bilateral Assistance, MAIN DATA'!AH:AH,'Commitments per Month'!$D$11)/1000000000</f>
        <v>0</v>
      </c>
      <c r="E16" s="276">
        <f>SUMIFS('Bilateral Assistance, MAIN DATA'!S:S,'Bilateral Assistance, MAIN DATA'!B:B,'Commitments per Month'!B16,'Bilateral Assistance, MAIN DATA'!AG:AG,1,'Bilateral Assistance, MAIN DATA'!AH:AH,'Commitments per Month'!$E$11)/1000000000</f>
        <v>0</v>
      </c>
      <c r="F16" s="276">
        <f>SUMIFS('Bilateral Assistance, MAIN DATA'!S:S,'Bilateral Assistance, MAIN DATA'!B:B,'Commitments per Month'!B16,'Bilateral Assistance, MAIN DATA'!AG:AG,1,'Bilateral Assistance, MAIN DATA'!AH:AH,'Commitments per Month'!$F$11)/1000000000</f>
        <v>0</v>
      </c>
      <c r="G16" s="276">
        <f>SUMIFS('Bilateral Assistance, MAIN DATA'!S:S,'Bilateral Assistance, MAIN DATA'!B:B,'Commitments per Month'!B16,'Bilateral Assistance, MAIN DATA'!AG:AG,1,'Bilateral Assistance, MAIN DATA'!AH:AH,'Commitments per Month'!$G$11)/1000000000</f>
        <v>0.22976827630637078</v>
      </c>
      <c r="H16" s="276">
        <f>SUMIFS('Bilateral Assistance, MAIN DATA'!S:S,'Bilateral Assistance, MAIN DATA'!B:B,'Commitments per Month'!B16,'Bilateral Assistance, MAIN DATA'!AG:AG,1,'Bilateral Assistance, MAIN DATA'!AH:AH,'Commitments per Month'!$H$11)/1000000000</f>
        <v>0</v>
      </c>
      <c r="I16" s="276">
        <f>SUMIFS('Bilateral Assistance, MAIN DATA'!S:S,'Bilateral Assistance, MAIN DATA'!B:B,'Commitments per Month'!B16,'Bilateral Assistance, MAIN DATA'!AG:AG,1,'Bilateral Assistance, MAIN DATA'!AH:AH,'Commitments per Month'!$I$11)/1000000000</f>
        <v>0</v>
      </c>
      <c r="J16" s="276">
        <f>SUMIFS('Bilateral Assistance, MAIN DATA'!S:S,'Bilateral Assistance, MAIN DATA'!B:B,'Commitments per Month'!B16,'Bilateral Assistance, MAIN DATA'!AG:AG,1,'Bilateral Assistance, MAIN DATA'!AH:AH,'Commitments per Month'!$J$11)/1000000000</f>
        <v>0</v>
      </c>
      <c r="K16" s="276">
        <f>SUMIFS('Bilateral Assistance, MAIN DATA'!S:S,'Bilateral Assistance, MAIN DATA'!B:B,'Commitments per Month'!B16,'Bilateral Assistance, MAIN DATA'!AG:AG,1,'Bilateral Assistance, MAIN DATA'!AH:AH,'Commitments per Month'!$K$11)/1000000000</f>
        <v>0</v>
      </c>
      <c r="L16" s="277">
        <f>SUMIFS('Bilateral Assistance, MAIN DATA'!S:S,'Bilateral Assistance, MAIN DATA'!B:B,'Commitments per Month'!B16,'Bilateral Assistance, MAIN DATA'!AG:AG,1,'Bilateral Assistance, MAIN DATA'!AH:AH,'Commitments per Month'!$L$11)/1000000000</f>
        <v>0</v>
      </c>
      <c r="M16" s="239">
        <f>SUMIFS('Bilateral Assistance, MAIN DATA'!S:S,'Bilateral Assistance, MAIN DATA'!B:B,'Commitments per Month'!B16,'Bilateral Assistance, MAIN DATA'!AG:AG,1,'Bilateral Assistance, MAIN DATA'!AH:AH,'Commitments per Month'!$M$11)/1000000000</f>
        <v>0</v>
      </c>
      <c r="N16" s="277">
        <f>SUMIFS('Bilateral Assistance, MAIN DATA'!S:S,'Bilateral Assistance, MAIN DATA'!B:B,'Commitments per Month'!B16,'Bilateral Assistance, MAIN DATA'!AG:AG,1,'Bilateral Assistance, MAIN DATA'!AH:AH,'Commitments per Month'!$N$11)/1000000000</f>
        <v>0</v>
      </c>
      <c r="O16" s="277">
        <f>SUMIFS('Bilateral Assistance, MAIN DATA'!S:S,'Bilateral Assistance, MAIN DATA'!B:B,'Commitments per Month'!B16,'Bilateral Assistance, MAIN DATA'!AG:AG,1,'Bilateral Assistance, MAIN DATA'!AH:AH,'Commitments per Month'!$O$11)/1000000000</f>
        <v>1.0225994477962982E-2</v>
      </c>
      <c r="P16" s="1206">
        <f>SUMIFS('Bilateral Assistance, MAIN DATA'!S:S,'Bilateral Assistance, MAIN DATA'!B:B,'Commitments per Month'!B16,'Bilateral Assistance, MAIN DATA'!AG:AG,1,'Bilateral Assistance, MAIN DATA'!AH:AH,'Commitments per Month'!$P$11)/1000000000</f>
        <v>0</v>
      </c>
      <c r="Q16" s="1206">
        <f>SUMIFS('Bilateral Assistance, MAIN DATA'!S:S,'Bilateral Assistance, MAIN DATA'!B:B,'Commitments per Month'!B16,'Bilateral Assistance, MAIN DATA'!AG:AG,1,'Bilateral Assistance, MAIN DATA'!AH:AH,'Commitments per Month'!$Q$11)/1000000000</f>
        <v>0</v>
      </c>
      <c r="R16" s="1206">
        <f>SUMIFS('Bilateral Assistance, MAIN DATA'!S:S,'Bilateral Assistance, MAIN DATA'!B:B,'Commitments per Month'!B16,'Bilateral Assistance, MAIN DATA'!AG:AG,1,'Bilateral Assistance, MAIN DATA'!AH:AH,'Commitments per Month'!$R$11)/1000000000</f>
        <v>0</v>
      </c>
      <c r="S16" s="1206">
        <f>SUMIFS('Bilateral Assistance, MAIN DATA'!S:S,'Bilateral Assistance, MAIN DATA'!B:B,'Commitments per Month'!B16,'Bilateral Assistance, MAIN DATA'!AG:AG,1,'Bilateral Assistance, MAIN DATA'!AH:AH,'Commitments per Month'!$S$11)/1000000000</f>
        <v>0</v>
      </c>
      <c r="T16" s="1206">
        <f>SUMIFS('Bilateral Assistance, MAIN DATA'!S:S,'Bilateral Assistance, MAIN DATA'!B:B,'Commitments per Month'!B16,'Bilateral Assistance, MAIN DATA'!AG:AG,1,'Bilateral Assistance, MAIN DATA'!AH:AH,'Commitments per Month'!$T$11)/1000000000</f>
        <v>0</v>
      </c>
      <c r="U16" s="277">
        <f t="shared" si="0"/>
        <v>0.23999427078433377</v>
      </c>
      <c r="V16" s="277">
        <f>SUMIFS('Bilateral Assistance, MAIN DATA'!S:S,'Bilateral Assistance, MAIN DATA'!B:B,'Commitments per Month'!B16,'Bilateral Assistance, MAIN DATA'!AG:AG,0)/1000000000</f>
        <v>0</v>
      </c>
      <c r="W16" s="360"/>
      <c r="X16" s="360"/>
    </row>
    <row r="17" spans="1:24" ht="15.95" customHeight="1">
      <c r="A17" s="5"/>
      <c r="B17" s="24" t="s">
        <v>713</v>
      </c>
      <c r="C17" s="297">
        <v>0</v>
      </c>
      <c r="D17" s="276">
        <f>SUMIFS('Bilateral Assistance, MAIN DATA'!S:S,'Bilateral Assistance, MAIN DATA'!B:B,'Commitments per Month'!B17,'Bilateral Assistance, MAIN DATA'!AG:AG,1,'Bilateral Assistance, MAIN DATA'!AH:AH,'Commitments per Month'!$D$11)/1000000000</f>
        <v>0.26554095458568805</v>
      </c>
      <c r="E17" s="276">
        <f>SUMIFS('Bilateral Assistance, MAIN DATA'!S:S,'Bilateral Assistance, MAIN DATA'!B:B,'Commitments per Month'!B17,'Bilateral Assistance, MAIN DATA'!AG:AG,1,'Bilateral Assistance, MAIN DATA'!AH:AH,'Commitments per Month'!$E$11)/1000000000</f>
        <v>0.37718999689826227</v>
      </c>
      <c r="F17" s="276">
        <f>SUMIFS('Bilateral Assistance, MAIN DATA'!S:S,'Bilateral Assistance, MAIN DATA'!B:B,'Commitments per Month'!B17,'Bilateral Assistance, MAIN DATA'!AG:AG,1,'Bilateral Assistance, MAIN DATA'!AH:AH,'Commitments per Month'!$F$11)/1000000000</f>
        <v>7.5186222676350001E-2</v>
      </c>
      <c r="G17" s="276">
        <f>SUMIFS('Bilateral Assistance, MAIN DATA'!S:S,'Bilateral Assistance, MAIN DATA'!B:B,'Commitments per Month'!B17,'Bilateral Assistance, MAIN DATA'!AG:AG,1,'Bilateral Assistance, MAIN DATA'!AH:AH,'Commitments per Month'!$G$11)/1000000000</f>
        <v>1.1084271281248201</v>
      </c>
      <c r="H17" s="276">
        <f>SUMIFS('Bilateral Assistance, MAIN DATA'!S:S,'Bilateral Assistance, MAIN DATA'!B:B,'Commitments per Month'!B17,'Bilateral Assistance, MAIN DATA'!AG:AG,1,'Bilateral Assistance, MAIN DATA'!AH:AH,'Commitments per Month'!$H$11)/1000000000</f>
        <v>0.20562402124327639</v>
      </c>
      <c r="I17" s="276">
        <f>SUMIFS('Bilateral Assistance, MAIN DATA'!S:S,'Bilateral Assistance, MAIN DATA'!B:B,'Commitments per Month'!B17,'Bilateral Assistance, MAIN DATA'!AG:AG,1,'Bilateral Assistance, MAIN DATA'!AH:AH,'Commitments per Month'!$I$11)/1000000000</f>
        <v>0.38523937764944477</v>
      </c>
      <c r="J17" s="276">
        <f>SUMIFS('Bilateral Assistance, MAIN DATA'!S:S,'Bilateral Assistance, MAIN DATA'!B:B,'Commitments per Month'!B17,'Bilateral Assistance, MAIN DATA'!AG:AG,1,'Bilateral Assistance, MAIN DATA'!AH:AH,'Commitments per Month'!$J$11)/1000000000</f>
        <v>0</v>
      </c>
      <c r="K17" s="276">
        <f>SUMIFS('Bilateral Assistance, MAIN DATA'!S:S,'Bilateral Assistance, MAIN DATA'!B:B,'Commitments per Month'!B17,'Bilateral Assistance, MAIN DATA'!AG:AG,1,'Bilateral Assistance, MAIN DATA'!AH:AH,'Commitments per Month'!$K$11)/1000000000</f>
        <v>2.62136583373051E-3</v>
      </c>
      <c r="L17" s="277">
        <f>SUMIFS('Bilateral Assistance, MAIN DATA'!S:S,'Bilateral Assistance, MAIN DATA'!B:B,'Commitments per Month'!B17,'Bilateral Assistance, MAIN DATA'!AG:AG,1,'Bilateral Assistance, MAIN DATA'!AH:AH,'Commitments per Month'!$L$11)/1000000000</f>
        <v>3.540546061142507E-2</v>
      </c>
      <c r="M17" s="239">
        <f>SUMIFS('Bilateral Assistance, MAIN DATA'!S:S,'Bilateral Assistance, MAIN DATA'!B:B,'Commitments per Month'!B17,'Bilateral Assistance, MAIN DATA'!AG:AG,1,'Bilateral Assistance, MAIN DATA'!AH:AH,'Commitments per Month'!$M$11)/1000000000</f>
        <v>0.40893821066249064</v>
      </c>
      <c r="N17" s="277">
        <f>SUMIFS('Bilateral Assistance, MAIN DATA'!S:S,'Bilateral Assistance, MAIN DATA'!B:B,'Commitments per Month'!B17,'Bilateral Assistance, MAIN DATA'!AG:AG,1,'Bilateral Assistance, MAIN DATA'!AH:AH,'Commitments per Month'!$N$11)/1000000000</f>
        <v>0.36971471369238107</v>
      </c>
      <c r="O17" s="277">
        <f>SUMIFS('Bilateral Assistance, MAIN DATA'!S:S,'Bilateral Assistance, MAIN DATA'!B:B,'Commitments per Month'!B17,'Bilateral Assistance, MAIN DATA'!AG:AG,1,'Bilateral Assistance, MAIN DATA'!AH:AH,'Commitments per Month'!$O$11)/1000000000</f>
        <v>0.15513160156382055</v>
      </c>
      <c r="P17" s="1206">
        <f>SUMIFS('Bilateral Assistance, MAIN DATA'!S:S,'Bilateral Assistance, MAIN DATA'!B:B,'Commitments per Month'!B17,'Bilateral Assistance, MAIN DATA'!AG:AG,1,'Bilateral Assistance, MAIN DATA'!AH:AH,'Commitments per Month'!$P$11)/1000000000</f>
        <v>7.0509673711672036E-2</v>
      </c>
      <c r="Q17" s="1206">
        <f>SUMIFS('Bilateral Assistance, MAIN DATA'!S:S,'Bilateral Assistance, MAIN DATA'!B:B,'Commitments per Month'!B17,'Bilateral Assistance, MAIN DATA'!AG:AG,1,'Bilateral Assistance, MAIN DATA'!AH:AH,'Commitments per Month'!$Q$11)/1000000000</f>
        <v>5.2062426355982037E-2</v>
      </c>
      <c r="R17" s="1206">
        <f>SUMIFS('Bilateral Assistance, MAIN DATA'!S:S,'Bilateral Assistance, MAIN DATA'!B:B,'Commitments per Month'!B17,'Bilateral Assistance, MAIN DATA'!AG:AG,1,'Bilateral Assistance, MAIN DATA'!AH:AH,'Commitments per Month'!$R$11)/1000000000</f>
        <v>4.3346217443014555E-2</v>
      </c>
      <c r="S17" s="1206">
        <f>SUMIFS('Bilateral Assistance, MAIN DATA'!S:S,'Bilateral Assistance, MAIN DATA'!B:B,'Commitments per Month'!B17,'Bilateral Assistance, MAIN DATA'!AG:AG,1,'Bilateral Assistance, MAIN DATA'!AH:AH,'Commitments per Month'!$S$11)/1000000000</f>
        <v>1.7008919452577107</v>
      </c>
      <c r="T17" s="1206">
        <f>SUMIFS('Bilateral Assistance, MAIN DATA'!S:S,'Bilateral Assistance, MAIN DATA'!B:B,'Commitments per Month'!B17,'Bilateral Assistance, MAIN DATA'!AG:AG,1,'Bilateral Assistance, MAIN DATA'!AH:AH,'Commitments per Month'!$T$11)/1000000000</f>
        <v>1.3312218547014367E-2</v>
      </c>
      <c r="U17" s="277">
        <f t="shared" si="0"/>
        <v>5.2691415348570825</v>
      </c>
      <c r="V17" s="277">
        <f>SUMIFS('Bilateral Assistance, MAIN DATA'!S:S,'Bilateral Assistance, MAIN DATA'!B:B,'Commitments per Month'!B17,'Bilateral Assistance, MAIN DATA'!AG:AG,0)/1000000000</f>
        <v>0</v>
      </c>
      <c r="W17" s="360"/>
      <c r="X17" s="360"/>
    </row>
    <row r="18" spans="1:24" ht="15.95" customHeight="1">
      <c r="A18" s="5"/>
      <c r="B18" s="24" t="s">
        <v>918</v>
      </c>
      <c r="C18" s="297">
        <v>1</v>
      </c>
      <c r="D18" s="276">
        <f>SUMIFS('Bilateral Assistance, MAIN DATA'!S:S,'Bilateral Assistance, MAIN DATA'!B:B,'Commitments per Month'!B18,'Bilateral Assistance, MAIN DATA'!AG:AG,1,'Bilateral Assistance, MAIN DATA'!AH:AH,'Commitments per Month'!$D$11)/1000000000</f>
        <v>0</v>
      </c>
      <c r="E18" s="276">
        <f>SUMIFS('Bilateral Assistance, MAIN DATA'!S:S,'Bilateral Assistance, MAIN DATA'!B:B,'Commitments per Month'!B18,'Bilateral Assistance, MAIN DATA'!AG:AG,1,'Bilateral Assistance, MAIN DATA'!AH:AH,'Commitments per Month'!$E$11)/1000000000</f>
        <v>1.7652519893899207E-2</v>
      </c>
      <c r="F18" s="276">
        <f>SUMIFS('Bilateral Assistance, MAIN DATA'!S:S,'Bilateral Assistance, MAIN DATA'!B:B,'Commitments per Month'!B18,'Bilateral Assistance, MAIN DATA'!AG:AG,1,'Bilateral Assistance, MAIN DATA'!AH:AH,'Commitments per Month'!$F$11)/1000000000</f>
        <v>0</v>
      </c>
      <c r="G18" s="276">
        <f>SUMIFS('Bilateral Assistance, MAIN DATA'!S:S,'Bilateral Assistance, MAIN DATA'!B:B,'Commitments per Month'!B18,'Bilateral Assistance, MAIN DATA'!AG:AG,1,'Bilateral Assistance, MAIN DATA'!AH:AH,'Commitments per Month'!$G$11)/1000000000</f>
        <v>2.0116710875331563E-4</v>
      </c>
      <c r="H18" s="276">
        <f>SUMIFS('Bilateral Assistance, MAIN DATA'!S:S,'Bilateral Assistance, MAIN DATA'!B:B,'Commitments per Month'!B18,'Bilateral Assistance, MAIN DATA'!AG:AG,1,'Bilateral Assistance, MAIN DATA'!AH:AH,'Commitments per Month'!$H$11)/1000000000</f>
        <v>5.0000000000000001E-3</v>
      </c>
      <c r="I18" s="276">
        <f>SUMIFS('Bilateral Assistance, MAIN DATA'!S:S,'Bilateral Assistance, MAIN DATA'!B:B,'Commitments per Month'!B18,'Bilateral Assistance, MAIN DATA'!AG:AG,1,'Bilateral Assistance, MAIN DATA'!AH:AH,'Commitments per Month'!$I$11)/1000000000</f>
        <v>3.3000000000000003E-5</v>
      </c>
      <c r="J18" s="276">
        <f>SUMIFS('Bilateral Assistance, MAIN DATA'!S:S,'Bilateral Assistance, MAIN DATA'!B:B,'Commitments per Month'!B18,'Bilateral Assistance, MAIN DATA'!AG:AG,1,'Bilateral Assistance, MAIN DATA'!AH:AH,'Commitments per Month'!$J$11)/1000000000</f>
        <v>0</v>
      </c>
      <c r="K18" s="276">
        <f>SUMIFS('Bilateral Assistance, MAIN DATA'!S:S,'Bilateral Assistance, MAIN DATA'!B:B,'Commitments per Month'!B18,'Bilateral Assistance, MAIN DATA'!AG:AG,1,'Bilateral Assistance, MAIN DATA'!AH:AH,'Commitments per Month'!$K$11)/1000000000</f>
        <v>0</v>
      </c>
      <c r="L18" s="277">
        <f>SUMIFS('Bilateral Assistance, MAIN DATA'!S:S,'Bilateral Assistance, MAIN DATA'!B:B,'Commitments per Month'!B18,'Bilateral Assistance, MAIN DATA'!AG:AG,1,'Bilateral Assistance, MAIN DATA'!AH:AH,'Commitments per Month'!$L$11)/1000000000</f>
        <v>0</v>
      </c>
      <c r="M18" s="239">
        <f>SUMIFS('Bilateral Assistance, MAIN DATA'!S:S,'Bilateral Assistance, MAIN DATA'!B:B,'Commitments per Month'!B18,'Bilateral Assistance, MAIN DATA'!AG:AG,1,'Bilateral Assistance, MAIN DATA'!AH:AH,'Commitments per Month'!$M$11)/1000000000</f>
        <v>0</v>
      </c>
      <c r="N18" s="277">
        <f>SUMIFS('Bilateral Assistance, MAIN DATA'!S:S,'Bilateral Assistance, MAIN DATA'!B:B,'Commitments per Month'!B18,'Bilateral Assistance, MAIN DATA'!AG:AG,1,'Bilateral Assistance, MAIN DATA'!AH:AH,'Commitments per Month'!$N$11)/1000000000</f>
        <v>5.8508573451442565E-2</v>
      </c>
      <c r="O18" s="277">
        <f>SUMIFS('Bilateral Assistance, MAIN DATA'!S:S,'Bilateral Assistance, MAIN DATA'!B:B,'Commitments per Month'!B18,'Bilateral Assistance, MAIN DATA'!AG:AG,1,'Bilateral Assistance, MAIN DATA'!AH:AH,'Commitments per Month'!$O$11)/1000000000</f>
        <v>3.0000000000000001E-3</v>
      </c>
      <c r="P18" s="1206">
        <f>SUMIFS('Bilateral Assistance, MAIN DATA'!S:S,'Bilateral Assistance, MAIN DATA'!B:B,'Commitments per Month'!B18,'Bilateral Assistance, MAIN DATA'!AG:AG,1,'Bilateral Assistance, MAIN DATA'!AH:AH,'Commitments per Month'!$P$11)/1000000000</f>
        <v>1E-3</v>
      </c>
      <c r="Q18" s="1206">
        <f>SUMIFS('Bilateral Assistance, MAIN DATA'!S:S,'Bilateral Assistance, MAIN DATA'!B:B,'Commitments per Month'!B18,'Bilateral Assistance, MAIN DATA'!AG:AG,1,'Bilateral Assistance, MAIN DATA'!AH:AH,'Commitments per Month'!$Q$11)/1000000000</f>
        <v>4.4562709999999998E-2</v>
      </c>
      <c r="R18" s="1206">
        <f>SUMIFS('Bilateral Assistance, MAIN DATA'!S:S,'Bilateral Assistance, MAIN DATA'!B:B,'Commitments per Month'!B18,'Bilateral Assistance, MAIN DATA'!AG:AG,1,'Bilateral Assistance, MAIN DATA'!AH:AH,'Commitments per Month'!$R$11)/1000000000</f>
        <v>5.0000000000000001E-4</v>
      </c>
      <c r="S18" s="1206">
        <f>SUMIFS('Bilateral Assistance, MAIN DATA'!S:S,'Bilateral Assistance, MAIN DATA'!B:B,'Commitments per Month'!B18,'Bilateral Assistance, MAIN DATA'!AG:AG,1,'Bilateral Assistance, MAIN DATA'!AH:AH,'Commitments per Month'!$S$11)/1000000000</f>
        <v>5.9542030000000003E-2</v>
      </c>
      <c r="T18" s="1206">
        <f>SUMIFS('Bilateral Assistance, MAIN DATA'!S:S,'Bilateral Assistance, MAIN DATA'!B:B,'Commitments per Month'!B18,'Bilateral Assistance, MAIN DATA'!AG:AG,1,'Bilateral Assistance, MAIN DATA'!AH:AH,'Commitments per Month'!$T$11)/1000000000</f>
        <v>0</v>
      </c>
      <c r="U18" s="277">
        <f t="shared" si="0"/>
        <v>0.1900000004540951</v>
      </c>
      <c r="V18" s="277">
        <f>SUMIFS('Bilateral Assistance, MAIN DATA'!S:S,'Bilateral Assistance, MAIN DATA'!B:B,'Commitments per Month'!B18,'Bilateral Assistance, MAIN DATA'!AG:AG,0)/1000000000</f>
        <v>0</v>
      </c>
      <c r="W18" s="360"/>
      <c r="X18" s="360"/>
    </row>
    <row r="19" spans="1:24" ht="15.95" customHeight="1">
      <c r="A19" s="5"/>
      <c r="B19" s="24" t="s">
        <v>981</v>
      </c>
      <c r="C19" s="297">
        <v>1</v>
      </c>
      <c r="D19" s="276">
        <f>SUMIFS('Bilateral Assistance, MAIN DATA'!S:S,'Bilateral Assistance, MAIN DATA'!B:B,'Commitments per Month'!B19,'Bilateral Assistance, MAIN DATA'!AG:AG,1,'Bilateral Assistance, MAIN DATA'!AH:AH,'Commitments per Month'!$D$11)/1000000000</f>
        <v>0</v>
      </c>
      <c r="E19" s="276">
        <f>SUMIFS('Bilateral Assistance, MAIN DATA'!S:S,'Bilateral Assistance, MAIN DATA'!B:B,'Commitments per Month'!B19,'Bilateral Assistance, MAIN DATA'!AG:AG,1,'Bilateral Assistance, MAIN DATA'!AH:AH,'Commitments per Month'!$E$11)/1000000000</f>
        <v>0</v>
      </c>
      <c r="F19" s="276">
        <f>SUMIFS('Bilateral Assistance, MAIN DATA'!S:S,'Bilateral Assistance, MAIN DATA'!B:B,'Commitments per Month'!B19,'Bilateral Assistance, MAIN DATA'!AG:AG,1,'Bilateral Assistance, MAIN DATA'!AH:AH,'Commitments per Month'!$F$11)/1000000000</f>
        <v>2E-3</v>
      </c>
      <c r="G19" s="276">
        <f>SUMIFS('Bilateral Assistance, MAIN DATA'!S:S,'Bilateral Assistance, MAIN DATA'!B:B,'Commitments per Month'!B19,'Bilateral Assistance, MAIN DATA'!AG:AG,1,'Bilateral Assistance, MAIN DATA'!AH:AH,'Commitments per Month'!$G$11)/1000000000</f>
        <v>0</v>
      </c>
      <c r="H19" s="276">
        <f>SUMIFS('Bilateral Assistance, MAIN DATA'!S:S,'Bilateral Assistance, MAIN DATA'!B:B,'Commitments per Month'!B19,'Bilateral Assistance, MAIN DATA'!AG:AG,1,'Bilateral Assistance, MAIN DATA'!AH:AH,'Commitments per Month'!$H$11)/1000000000</f>
        <v>0</v>
      </c>
      <c r="I19" s="276">
        <f>SUMIFS('Bilateral Assistance, MAIN DATA'!S:S,'Bilateral Assistance, MAIN DATA'!B:B,'Commitments per Month'!B19,'Bilateral Assistance, MAIN DATA'!AG:AG,1,'Bilateral Assistance, MAIN DATA'!AH:AH,'Commitments per Month'!$I$11)/1000000000</f>
        <v>5.0000000000000001E-4</v>
      </c>
      <c r="J19" s="276">
        <f>SUMIFS('Bilateral Assistance, MAIN DATA'!S:S,'Bilateral Assistance, MAIN DATA'!B:B,'Commitments per Month'!B19,'Bilateral Assistance, MAIN DATA'!AG:AG,1,'Bilateral Assistance, MAIN DATA'!AH:AH,'Commitments per Month'!$J$11)/1000000000</f>
        <v>0</v>
      </c>
      <c r="K19" s="276">
        <f>SUMIFS('Bilateral Assistance, MAIN DATA'!S:S,'Bilateral Assistance, MAIN DATA'!B:B,'Commitments per Month'!B19,'Bilateral Assistance, MAIN DATA'!AG:AG,1,'Bilateral Assistance, MAIN DATA'!AH:AH,'Commitments per Month'!$K$11)/1000000000</f>
        <v>0</v>
      </c>
      <c r="L19" s="277">
        <f>SUMIFS('Bilateral Assistance, MAIN DATA'!S:S,'Bilateral Assistance, MAIN DATA'!B:B,'Commitments per Month'!B19,'Bilateral Assistance, MAIN DATA'!AG:AG,1,'Bilateral Assistance, MAIN DATA'!AH:AH,'Commitments per Month'!$L$11)/1000000000</f>
        <v>0</v>
      </c>
      <c r="M19" s="239">
        <f>SUMIFS('Bilateral Assistance, MAIN DATA'!S:S,'Bilateral Assistance, MAIN DATA'!B:B,'Commitments per Month'!B19,'Bilateral Assistance, MAIN DATA'!AG:AG,1,'Bilateral Assistance, MAIN DATA'!AH:AH,'Commitments per Month'!$M$11)/1000000000</f>
        <v>0</v>
      </c>
      <c r="N19" s="277">
        <f>SUMIFS('Bilateral Assistance, MAIN DATA'!S:S,'Bilateral Assistance, MAIN DATA'!B:B,'Commitments per Month'!B19,'Bilateral Assistance, MAIN DATA'!AG:AG,1,'Bilateral Assistance, MAIN DATA'!AH:AH,'Commitments per Month'!$N$11)/1000000000</f>
        <v>0</v>
      </c>
      <c r="O19" s="277">
        <f>SUMIFS('Bilateral Assistance, MAIN DATA'!S:S,'Bilateral Assistance, MAIN DATA'!B:B,'Commitments per Month'!B19,'Bilateral Assistance, MAIN DATA'!AG:AG,1,'Bilateral Assistance, MAIN DATA'!AH:AH,'Commitments per Month'!$O$11)/1000000000</f>
        <v>5.0000000000000001E-4</v>
      </c>
      <c r="P19" s="1206">
        <f>SUMIFS('Bilateral Assistance, MAIN DATA'!S:S,'Bilateral Assistance, MAIN DATA'!B:B,'Commitments per Month'!B19,'Bilateral Assistance, MAIN DATA'!AG:AG,1,'Bilateral Assistance, MAIN DATA'!AH:AH,'Commitments per Month'!$P$11)/1000000000</f>
        <v>0</v>
      </c>
      <c r="Q19" s="1206">
        <f>SUMIFS('Bilateral Assistance, MAIN DATA'!S:S,'Bilateral Assistance, MAIN DATA'!B:B,'Commitments per Month'!B19,'Bilateral Assistance, MAIN DATA'!AG:AG,1,'Bilateral Assistance, MAIN DATA'!AH:AH,'Commitments per Month'!$Q$11)/1000000000</f>
        <v>0</v>
      </c>
      <c r="R19" s="1206">
        <f>SUMIFS('Bilateral Assistance, MAIN DATA'!S:S,'Bilateral Assistance, MAIN DATA'!B:B,'Commitments per Month'!B19,'Bilateral Assistance, MAIN DATA'!AG:AG,1,'Bilateral Assistance, MAIN DATA'!AH:AH,'Commitments per Month'!$R$11)/1000000000</f>
        <v>0</v>
      </c>
      <c r="S19" s="1206">
        <f>SUMIFS('Bilateral Assistance, MAIN DATA'!S:S,'Bilateral Assistance, MAIN DATA'!B:B,'Commitments per Month'!B19,'Bilateral Assistance, MAIN DATA'!AG:AG,1,'Bilateral Assistance, MAIN DATA'!AH:AH,'Commitments per Month'!$S$11)/1000000000</f>
        <v>0</v>
      </c>
      <c r="T19" s="1206">
        <f>SUMIFS('Bilateral Assistance, MAIN DATA'!S:S,'Bilateral Assistance, MAIN DATA'!B:B,'Commitments per Month'!B19,'Bilateral Assistance, MAIN DATA'!AG:AG,1,'Bilateral Assistance, MAIN DATA'!AH:AH,'Commitments per Month'!$T$11)/1000000000</f>
        <v>0</v>
      </c>
      <c r="U19" s="277">
        <f t="shared" si="0"/>
        <v>3.0000000000000001E-3</v>
      </c>
      <c r="V19" s="277">
        <f>SUMIFS('Bilateral Assistance, MAIN DATA'!S:S,'Bilateral Assistance, MAIN DATA'!B:B,'Commitments per Month'!B19,'Bilateral Assistance, MAIN DATA'!AG:AG,0)/1000000000</f>
        <v>0</v>
      </c>
    </row>
    <row r="20" spans="1:24" ht="15.95" customHeight="1">
      <c r="A20" s="5"/>
      <c r="B20" s="24" t="s">
        <v>1012</v>
      </c>
      <c r="C20" s="297">
        <v>1</v>
      </c>
      <c r="D20" s="276">
        <f>SUMIFS('Bilateral Assistance, MAIN DATA'!S:S,'Bilateral Assistance, MAIN DATA'!B:B,'Commitments per Month'!B20,'Bilateral Assistance, MAIN DATA'!AG:AG,1,'Bilateral Assistance, MAIN DATA'!AH:AH,'Commitments per Month'!$D$11)/1000000000</f>
        <v>0</v>
      </c>
      <c r="E20" s="276">
        <f>SUMIFS('Bilateral Assistance, MAIN DATA'!S:S,'Bilateral Assistance, MAIN DATA'!B:B,'Commitments per Month'!B20,'Bilateral Assistance, MAIN DATA'!AG:AG,1,'Bilateral Assistance, MAIN DATA'!AH:AH,'Commitments per Month'!$E$11)/1000000000</f>
        <v>3.9190784064420434E-2</v>
      </c>
      <c r="F20" s="276">
        <f>SUMIFS('Bilateral Assistance, MAIN DATA'!S:S,'Bilateral Assistance, MAIN DATA'!B:B,'Commitments per Month'!B20,'Bilateral Assistance, MAIN DATA'!AG:AG,1,'Bilateral Assistance, MAIN DATA'!AH:AH,'Commitments per Month'!$F$11)/1000000000</f>
        <v>4.0357592487257565E-2</v>
      </c>
      <c r="G20" s="276">
        <f>SUMIFS('Bilateral Assistance, MAIN DATA'!S:S,'Bilateral Assistance, MAIN DATA'!B:B,'Commitments per Month'!B20,'Bilateral Assistance, MAIN DATA'!AG:AG,1,'Bilateral Assistance, MAIN DATA'!AH:AH,'Commitments per Month'!$G$11)/1000000000</f>
        <v>0.29882211049880464</v>
      </c>
      <c r="H20" s="276">
        <f>SUMIFS('Bilateral Assistance, MAIN DATA'!S:S,'Bilateral Assistance, MAIN DATA'!B:B,'Commitments per Month'!B20,'Bilateral Assistance, MAIN DATA'!AG:AG,1,'Bilateral Assistance, MAIN DATA'!AH:AH,'Commitments per Month'!$H$11)/1000000000</f>
        <v>9.012168055230256E-2</v>
      </c>
      <c r="I20" s="276">
        <f>SUMIFS('Bilateral Assistance, MAIN DATA'!S:S,'Bilateral Assistance, MAIN DATA'!B:B,'Commitments per Month'!B20,'Bilateral Assistance, MAIN DATA'!AG:AG,1,'Bilateral Assistance, MAIN DATA'!AH:AH,'Commitments per Month'!$I$11)/1000000000</f>
        <v>6.6733585393872474E-2</v>
      </c>
      <c r="J20" s="276">
        <f>SUMIFS('Bilateral Assistance, MAIN DATA'!S:S,'Bilateral Assistance, MAIN DATA'!B:B,'Commitments per Month'!B20,'Bilateral Assistance, MAIN DATA'!AG:AG,1,'Bilateral Assistance, MAIN DATA'!AH:AH,'Commitments per Month'!$J$11)/1000000000</f>
        <v>0</v>
      </c>
      <c r="K20" s="276">
        <f>SUMIFS('Bilateral Assistance, MAIN DATA'!S:S,'Bilateral Assistance, MAIN DATA'!B:B,'Commitments per Month'!B20,'Bilateral Assistance, MAIN DATA'!AG:AG,1,'Bilateral Assistance, MAIN DATA'!AH:AH,'Commitments per Month'!$K$11)/1000000000</f>
        <v>0</v>
      </c>
      <c r="L20" s="277">
        <f>SUMIFS('Bilateral Assistance, MAIN DATA'!S:S,'Bilateral Assistance, MAIN DATA'!B:B,'Commitments per Month'!B20,'Bilateral Assistance, MAIN DATA'!AG:AG,1,'Bilateral Assistance, MAIN DATA'!AH:AH,'Commitments per Month'!$L$11)/1000000000</f>
        <v>0</v>
      </c>
      <c r="M20" s="239">
        <f>SUMIFS('Bilateral Assistance, MAIN DATA'!S:S,'Bilateral Assistance, MAIN DATA'!B:B,'Commitments per Month'!B20,'Bilateral Assistance, MAIN DATA'!AG:AG,1,'Bilateral Assistance, MAIN DATA'!AH:AH,'Commitments per Month'!$M$11)/1000000000</f>
        <v>1.7885145157872432E-2</v>
      </c>
      <c r="N20" s="277">
        <f>SUMIFS('Bilateral Assistance, MAIN DATA'!S:S,'Bilateral Assistance, MAIN DATA'!B:B,'Commitments per Month'!B20,'Bilateral Assistance, MAIN DATA'!AG:AG,1,'Bilateral Assistance, MAIN DATA'!AH:AH,'Commitments per Month'!$N$11)/1000000000</f>
        <v>4.1322314049586778E-2</v>
      </c>
      <c r="O20" s="277">
        <f>SUMIFS('Bilateral Assistance, MAIN DATA'!S:S,'Bilateral Assistance, MAIN DATA'!B:B,'Commitments per Month'!B20,'Bilateral Assistance, MAIN DATA'!AG:AG,1,'Bilateral Assistance, MAIN DATA'!AH:AH,'Commitments per Month'!$O$11)/1000000000</f>
        <v>8.5000000000000006E-3</v>
      </c>
      <c r="P20" s="1206">
        <f>SUMIFS('Bilateral Assistance, MAIN DATA'!S:S,'Bilateral Assistance, MAIN DATA'!B:B,'Commitments per Month'!B20,'Bilateral Assistance, MAIN DATA'!AG:AG,1,'Bilateral Assistance, MAIN DATA'!AH:AH,'Commitments per Month'!$P$11)/1000000000</f>
        <v>0</v>
      </c>
      <c r="Q20" s="1206">
        <f>SUMIFS('Bilateral Assistance, MAIN DATA'!S:S,'Bilateral Assistance, MAIN DATA'!B:B,'Commitments per Month'!B20,'Bilateral Assistance, MAIN DATA'!AG:AG,1,'Bilateral Assistance, MAIN DATA'!AH:AH,'Commitments per Month'!$Q$11)/1000000000</f>
        <v>0.25583029410780611</v>
      </c>
      <c r="R20" s="1206">
        <f>SUMIFS('Bilateral Assistance, MAIN DATA'!S:S,'Bilateral Assistance, MAIN DATA'!B:B,'Commitments per Month'!B20,'Bilateral Assistance, MAIN DATA'!AG:AG,1,'Bilateral Assistance, MAIN DATA'!AH:AH,'Commitments per Month'!$R$11)/1000000000</f>
        <v>0</v>
      </c>
      <c r="S20" s="1206">
        <f>SUMIFS('Bilateral Assistance, MAIN DATA'!S:S,'Bilateral Assistance, MAIN DATA'!B:B,'Commitments per Month'!B20,'Bilateral Assistance, MAIN DATA'!AG:AG,1,'Bilateral Assistance, MAIN DATA'!AH:AH,'Commitments per Month'!$S$11)/1000000000</f>
        <v>3.0805043441407078E-2</v>
      </c>
      <c r="T20" s="1206">
        <f>SUMIFS('Bilateral Assistance, MAIN DATA'!S:S,'Bilateral Assistance, MAIN DATA'!B:B,'Commitments per Month'!B20,'Bilateral Assistance, MAIN DATA'!AG:AG,1,'Bilateral Assistance, MAIN DATA'!AH:AH,'Commitments per Month'!$T$11)/1000000000</f>
        <v>4.6006624953993373E-2</v>
      </c>
      <c r="U20" s="277">
        <f t="shared" si="0"/>
        <v>0.93557517470732343</v>
      </c>
      <c r="V20" s="277">
        <f>SUMIFS('Bilateral Assistance, MAIN DATA'!S:S,'Bilateral Assistance, MAIN DATA'!B:B,'Commitments per Month'!B20,'Bilateral Assistance, MAIN DATA'!AG:AG,0)/1000000000</f>
        <v>0</v>
      </c>
    </row>
    <row r="21" spans="1:24" ht="15.95" customHeight="1">
      <c r="A21" s="5"/>
      <c r="B21" s="24" t="s">
        <v>1194</v>
      </c>
      <c r="C21" s="297">
        <v>1</v>
      </c>
      <c r="D21" s="276">
        <f>SUMIFS('Bilateral Assistance, MAIN DATA'!S:S,'Bilateral Assistance, MAIN DATA'!B:B,'Commitments per Month'!B21,'Bilateral Assistance, MAIN DATA'!AG:AG,1,'Bilateral Assistance, MAIN DATA'!AH:AH,'Commitments per Month'!$D$11)/1000000000</f>
        <v>0</v>
      </c>
      <c r="E21" s="276">
        <f>SUMIFS('Bilateral Assistance, MAIN DATA'!S:S,'Bilateral Assistance, MAIN DATA'!B:B,'Commitments per Month'!B21,'Bilateral Assistance, MAIN DATA'!AG:AG,1,'Bilateral Assistance, MAIN DATA'!AH:AH,'Commitments per Month'!$E$11)/1000000000</f>
        <v>0</v>
      </c>
      <c r="F21" s="276">
        <f>SUMIFS('Bilateral Assistance, MAIN DATA'!S:S,'Bilateral Assistance, MAIN DATA'!B:B,'Commitments per Month'!B21,'Bilateral Assistance, MAIN DATA'!AG:AG,1,'Bilateral Assistance, MAIN DATA'!AH:AH,'Commitments per Month'!$F$11)/1000000000</f>
        <v>3.8527220245687055E-2</v>
      </c>
      <c r="G21" s="276">
        <f>SUMIFS('Bilateral Assistance, MAIN DATA'!S:S,'Bilateral Assistance, MAIN DATA'!B:B,'Commitments per Month'!B21,'Bilateral Assistance, MAIN DATA'!AG:AG,1,'Bilateral Assistance, MAIN DATA'!AH:AH,'Commitments per Month'!$G$11)/1000000000</f>
        <v>0.13425521917164529</v>
      </c>
      <c r="H21" s="276">
        <f>SUMIFS('Bilateral Assistance, MAIN DATA'!S:S,'Bilateral Assistance, MAIN DATA'!B:B,'Commitments per Month'!B21,'Bilateral Assistance, MAIN DATA'!AG:AG,1,'Bilateral Assistance, MAIN DATA'!AH:AH,'Commitments per Month'!$H$11)/1000000000</f>
        <v>0.15506477814325031</v>
      </c>
      <c r="I21" s="276">
        <f>SUMIFS('Bilateral Assistance, MAIN DATA'!S:S,'Bilateral Assistance, MAIN DATA'!B:B,'Commitments per Month'!B21,'Bilateral Assistance, MAIN DATA'!AG:AG,1,'Bilateral Assistance, MAIN DATA'!AH:AH,'Commitments per Month'!$I$11)/1000000000</f>
        <v>0</v>
      </c>
      <c r="J21" s="276">
        <f>SUMIFS('Bilateral Assistance, MAIN DATA'!S:S,'Bilateral Assistance, MAIN DATA'!B:B,'Commitments per Month'!B21,'Bilateral Assistance, MAIN DATA'!AG:AG,1,'Bilateral Assistance, MAIN DATA'!AH:AH,'Commitments per Month'!$J$11)/1000000000</f>
        <v>0</v>
      </c>
      <c r="K21" s="276">
        <f>SUMIFS('Bilateral Assistance, MAIN DATA'!S:S,'Bilateral Assistance, MAIN DATA'!B:B,'Commitments per Month'!B21,'Bilateral Assistance, MAIN DATA'!AG:AG,1,'Bilateral Assistance, MAIN DATA'!AH:AH,'Commitments per Month'!$K$11)/1000000000</f>
        <v>0.12608927972074915</v>
      </c>
      <c r="L21" s="277">
        <f>SUMIFS('Bilateral Assistance, MAIN DATA'!S:S,'Bilateral Assistance, MAIN DATA'!B:B,'Commitments per Month'!B21,'Bilateral Assistance, MAIN DATA'!AG:AG,1,'Bilateral Assistance, MAIN DATA'!AH:AH,'Commitments per Month'!$L$11)/1000000000</f>
        <v>0.16826458347318249</v>
      </c>
      <c r="M21" s="239">
        <f>SUMIFS('Bilateral Assistance, MAIN DATA'!S:S,'Bilateral Assistance, MAIN DATA'!B:B,'Commitments per Month'!B21,'Bilateral Assistance, MAIN DATA'!AG:AG,1,'Bilateral Assistance, MAIN DATA'!AH:AH,'Commitments per Month'!$M$11)/1000000000</f>
        <v>1.8200000000000001E-2</v>
      </c>
      <c r="N21" s="277">
        <f>SUMIFS('Bilateral Assistance, MAIN DATA'!S:S,'Bilateral Assistance, MAIN DATA'!B:B,'Commitments per Month'!B21,'Bilateral Assistance, MAIN DATA'!AG:AG,1,'Bilateral Assistance, MAIN DATA'!AH:AH,'Commitments per Month'!$N$11)/1000000000</f>
        <v>0</v>
      </c>
      <c r="O21" s="277">
        <f>SUMIFS('Bilateral Assistance, MAIN DATA'!S:S,'Bilateral Assistance, MAIN DATA'!B:B,'Commitments per Month'!B21,'Bilateral Assistance, MAIN DATA'!AG:AG,1,'Bilateral Assistance, MAIN DATA'!AH:AH,'Commitments per Month'!$O$11)/1000000000</f>
        <v>7.8399999999999997E-2</v>
      </c>
      <c r="P21" s="1206">
        <f>SUMIFS('Bilateral Assistance, MAIN DATA'!S:S,'Bilateral Assistance, MAIN DATA'!B:B,'Commitments per Month'!B21,'Bilateral Assistance, MAIN DATA'!AG:AG,1,'Bilateral Assistance, MAIN DATA'!AH:AH,'Commitments per Month'!$P$11)/1000000000</f>
        <v>0</v>
      </c>
      <c r="Q21" s="1206">
        <f>SUMIFS('Bilateral Assistance, MAIN DATA'!S:S,'Bilateral Assistance, MAIN DATA'!B:B,'Commitments per Month'!B21,'Bilateral Assistance, MAIN DATA'!AG:AG,1,'Bilateral Assistance, MAIN DATA'!AH:AH,'Commitments per Month'!$Q$11)/1000000000</f>
        <v>0</v>
      </c>
      <c r="R21" s="1206">
        <f>SUMIFS('Bilateral Assistance, MAIN DATA'!S:S,'Bilateral Assistance, MAIN DATA'!B:B,'Commitments per Month'!B21,'Bilateral Assistance, MAIN DATA'!AG:AG,1,'Bilateral Assistance, MAIN DATA'!AH:AH,'Commitments per Month'!$R$11)/1000000000</f>
        <v>0</v>
      </c>
      <c r="S21" s="1206">
        <f>SUMIFS('Bilateral Assistance, MAIN DATA'!S:S,'Bilateral Assistance, MAIN DATA'!B:B,'Commitments per Month'!B21,'Bilateral Assistance, MAIN DATA'!AG:AG,1,'Bilateral Assistance, MAIN DATA'!AH:AH,'Commitments per Month'!$S$11)/1000000000</f>
        <v>0</v>
      </c>
      <c r="T21" s="1206">
        <f>SUMIFS('Bilateral Assistance, MAIN DATA'!S:S,'Bilateral Assistance, MAIN DATA'!B:B,'Commitments per Month'!B21,'Bilateral Assistance, MAIN DATA'!AG:AG,1,'Bilateral Assistance, MAIN DATA'!AH:AH,'Commitments per Month'!$T$11)/1000000000</f>
        <v>1.168020406793314</v>
      </c>
      <c r="U21" s="277">
        <f t="shared" si="0"/>
        <v>1.8868214875478282</v>
      </c>
      <c r="V21" s="277">
        <f>SUMIFS('Bilateral Assistance, MAIN DATA'!S:S,'Bilateral Assistance, MAIN DATA'!B:B,'Commitments per Month'!B21,'Bilateral Assistance, MAIN DATA'!AG:AG,0)/1000000000</f>
        <v>0</v>
      </c>
    </row>
    <row r="22" spans="1:24" ht="15.95" customHeight="1">
      <c r="A22" s="5"/>
      <c r="B22" s="24" t="s">
        <v>1305</v>
      </c>
      <c r="C22" s="297">
        <v>1</v>
      </c>
      <c r="D22" s="276">
        <f>SUMIFS('Bilateral Assistance, MAIN DATA'!S:S,'Bilateral Assistance, MAIN DATA'!B:B,'Commitments per Month'!B22,'Bilateral Assistance, MAIN DATA'!AG:AG,1,'Bilateral Assistance, MAIN DATA'!AH:AH,'Commitments per Month'!$D$11)/1000000000</f>
        <v>0</v>
      </c>
      <c r="E22" s="276">
        <f>SUMIFS('Bilateral Assistance, MAIN DATA'!S:S,'Bilateral Assistance, MAIN DATA'!B:B,'Commitments per Month'!B22,'Bilateral Assistance, MAIN DATA'!AG:AG,1,'Bilateral Assistance, MAIN DATA'!AH:AH,'Commitments per Month'!$E$11)/1000000000</f>
        <v>5.3E-3</v>
      </c>
      <c r="F22" s="276">
        <f>SUMIFS('Bilateral Assistance, MAIN DATA'!S:S,'Bilateral Assistance, MAIN DATA'!B:B,'Commitments per Month'!B22,'Bilateral Assistance, MAIN DATA'!AG:AG,1,'Bilateral Assistance, MAIN DATA'!AH:AH,'Commitments per Month'!$F$11)/1000000000</f>
        <v>0</v>
      </c>
      <c r="G22" s="276">
        <f>SUMIFS('Bilateral Assistance, MAIN DATA'!S:S,'Bilateral Assistance, MAIN DATA'!B:B,'Commitments per Month'!B22,'Bilateral Assistance, MAIN DATA'!AG:AG,1,'Bilateral Assistance, MAIN DATA'!AH:AH,'Commitments per Month'!$G$11)/1000000000</f>
        <v>5.0000000000000001E-3</v>
      </c>
      <c r="H22" s="276">
        <f>SUMIFS('Bilateral Assistance, MAIN DATA'!S:S,'Bilateral Assistance, MAIN DATA'!B:B,'Commitments per Month'!B22,'Bilateral Assistance, MAIN DATA'!AG:AG,1,'Bilateral Assistance, MAIN DATA'!AH:AH,'Commitments per Month'!$H$11)/1000000000</f>
        <v>0.2429</v>
      </c>
      <c r="I22" s="276">
        <f>SUMIFS('Bilateral Assistance, MAIN DATA'!S:S,'Bilateral Assistance, MAIN DATA'!B:B,'Commitments per Month'!B22,'Bilateral Assistance, MAIN DATA'!AG:AG,1,'Bilateral Assistance, MAIN DATA'!AH:AH,'Commitments per Month'!$I$11)/1000000000</f>
        <v>0</v>
      </c>
      <c r="J22" s="276">
        <f>SUMIFS('Bilateral Assistance, MAIN DATA'!S:S,'Bilateral Assistance, MAIN DATA'!B:B,'Commitments per Month'!B22,'Bilateral Assistance, MAIN DATA'!AG:AG,1,'Bilateral Assistance, MAIN DATA'!AH:AH,'Commitments per Month'!$J$11)/1000000000</f>
        <v>0</v>
      </c>
      <c r="K22" s="276">
        <f>SUMIFS('Bilateral Assistance, MAIN DATA'!S:S,'Bilateral Assistance, MAIN DATA'!B:B,'Commitments per Month'!B22,'Bilateral Assistance, MAIN DATA'!AG:AG,1,'Bilateral Assistance, MAIN DATA'!AH:AH,'Commitments per Month'!$K$11)/1000000000</f>
        <v>1.7819999999999999E-2</v>
      </c>
      <c r="L22" s="277">
        <f>SUMIFS('Bilateral Assistance, MAIN DATA'!S:S,'Bilateral Assistance, MAIN DATA'!B:B,'Commitments per Month'!B22,'Bilateral Assistance, MAIN DATA'!AG:AG,1,'Bilateral Assistance, MAIN DATA'!AH:AH,'Commitments per Month'!$L$11)/1000000000</f>
        <v>0</v>
      </c>
      <c r="M22" s="239">
        <f>SUMIFS('Bilateral Assistance, MAIN DATA'!S:S,'Bilateral Assistance, MAIN DATA'!B:B,'Commitments per Month'!B22,'Bilateral Assistance, MAIN DATA'!AG:AG,1,'Bilateral Assistance, MAIN DATA'!AH:AH,'Commitments per Month'!$M$11)/1000000000</f>
        <v>3.1879999999999999E-2</v>
      </c>
      <c r="N22" s="277">
        <f>SUMIFS('Bilateral Assistance, MAIN DATA'!S:S,'Bilateral Assistance, MAIN DATA'!B:B,'Commitments per Month'!B22,'Bilateral Assistance, MAIN DATA'!AG:AG,1,'Bilateral Assistance, MAIN DATA'!AH:AH,'Commitments per Month'!$N$11)/1000000000</f>
        <v>0</v>
      </c>
      <c r="O22" s="277">
        <f>SUMIFS('Bilateral Assistance, MAIN DATA'!S:S,'Bilateral Assistance, MAIN DATA'!B:B,'Commitments per Month'!B22,'Bilateral Assistance, MAIN DATA'!AG:AG,1,'Bilateral Assistance, MAIN DATA'!AH:AH,'Commitments per Month'!$O$11)/1000000000</f>
        <v>7.7999999999999996E-3</v>
      </c>
      <c r="P22" s="1206">
        <f>SUMIFS('Bilateral Assistance, MAIN DATA'!S:S,'Bilateral Assistance, MAIN DATA'!B:B,'Commitments per Month'!B22,'Bilateral Assistance, MAIN DATA'!AG:AG,1,'Bilateral Assistance, MAIN DATA'!AH:AH,'Commitments per Month'!$P$11)/1000000000</f>
        <v>0.113</v>
      </c>
      <c r="Q22" s="1206">
        <f>SUMIFS('Bilateral Assistance, MAIN DATA'!S:S,'Bilateral Assistance, MAIN DATA'!B:B,'Commitments per Month'!B22,'Bilateral Assistance, MAIN DATA'!AG:AG,1,'Bilateral Assistance, MAIN DATA'!AH:AH,'Commitments per Month'!$Q$11)/1000000000</f>
        <v>0</v>
      </c>
      <c r="R22" s="1206">
        <f>SUMIFS('Bilateral Assistance, MAIN DATA'!S:S,'Bilateral Assistance, MAIN DATA'!B:B,'Commitments per Month'!B22,'Bilateral Assistance, MAIN DATA'!AG:AG,1,'Bilateral Assistance, MAIN DATA'!AH:AH,'Commitments per Month'!$R$11)/1000000000</f>
        <v>4.9430000000000003E-4</v>
      </c>
      <c r="S22" s="1206">
        <f>SUMIFS('Bilateral Assistance, MAIN DATA'!S:S,'Bilateral Assistance, MAIN DATA'!B:B,'Commitments per Month'!B22,'Bilateral Assistance, MAIN DATA'!AG:AG,1,'Bilateral Assistance, MAIN DATA'!AH:AH,'Commitments per Month'!$S$11)/1000000000</f>
        <v>0</v>
      </c>
      <c r="T22" s="1206">
        <f>SUMIFS('Bilateral Assistance, MAIN DATA'!S:S,'Bilateral Assistance, MAIN DATA'!B:B,'Commitments per Month'!B22,'Bilateral Assistance, MAIN DATA'!AG:AG,1,'Bilateral Assistance, MAIN DATA'!AH:AH,'Commitments per Month'!$T$11)/1000000000</f>
        <v>0</v>
      </c>
      <c r="U22" s="277">
        <f t="shared" si="0"/>
        <v>0.42419429999999997</v>
      </c>
      <c r="V22" s="277">
        <f>SUMIFS('Bilateral Assistance, MAIN DATA'!S:S,'Bilateral Assistance, MAIN DATA'!B:B,'Commitments per Month'!B22,'Bilateral Assistance, MAIN DATA'!AG:AG,0)/1000000000</f>
        <v>7.1999999999999998E-3</v>
      </c>
    </row>
    <row r="23" spans="1:24" ht="15.95" customHeight="1">
      <c r="A23" s="289"/>
      <c r="B23" s="37" t="s">
        <v>4406</v>
      </c>
      <c r="C23" s="297">
        <v>0</v>
      </c>
      <c r="D23" s="276">
        <f>SUMIFS('Bilateral Assistance, MAIN DATA'!$S:$S,'Bilateral Assistance, MAIN DATA'!$B:$B,'Commitments per Month'!$B23,'Bilateral Assistance, MAIN DATA'!$AG:$AG,1,'Bilateral Assistance, MAIN DATA'!$AH:$AH,'Commitments per Month'!D$11)/1000000000 +SUMIFS('Bilateral Assistance, MAIN DATA'!$S:$S,'Bilateral Assistance, MAIN DATA'!$B:$B,"European Peace Facility",'Bilateral Assistance, MAIN DATA'!$AG:$AG,1,'Bilateral Assistance, MAIN DATA'!$AH:$AH,'Commitments per Month'!D$11)/1000000000 +SUMIFS('Bilateral Assistance, MAIN DATA'!$S:$S,'Bilateral Assistance, MAIN DATA'!$B:$B,"European Investment Bank",'Bilateral Assistance, MAIN DATA'!$AG:$AG,1,'Bilateral Assistance, MAIN DATA'!$AH:$AH,'Commitments per Month'!D$11)/1000000000</f>
        <v>0</v>
      </c>
      <c r="E23" s="276">
        <f>SUMIFS('Bilateral Assistance, MAIN DATA'!$S:$S,'Bilateral Assistance, MAIN DATA'!$B:$B,'Commitments per Month'!$B23,'Bilateral Assistance, MAIN DATA'!$AG:$AG,1,'Bilateral Assistance, MAIN DATA'!$AH:$AH,'Commitments per Month'!E$11)/1000000000 +SUMIFS('Bilateral Assistance, MAIN DATA'!$S:$S,'Bilateral Assistance, MAIN DATA'!$B:$B,"European Peace Facility",'Bilateral Assistance, MAIN DATA'!$AG:$AG,1,'Bilateral Assistance, MAIN DATA'!$AH:$AH,'Commitments per Month'!E$11)/1000000000 +SUMIFS('Bilateral Assistance, MAIN DATA'!$S:$S,'Bilateral Assistance, MAIN DATA'!$B:$B,"European Investment Bank",'Bilateral Assistance, MAIN DATA'!$AG:$AG,1,'Bilateral Assistance, MAIN DATA'!$AH:$AH,'Commitments per Month'!E$11)/1000000000</f>
        <v>1.7</v>
      </c>
      <c r="F23" s="276">
        <f>SUMIFS('Bilateral Assistance, MAIN DATA'!$S:$S,'Bilateral Assistance, MAIN DATA'!$B:$B,'Commitments per Month'!$B23,'Bilateral Assistance, MAIN DATA'!$AG:$AG,1,'Bilateral Assistance, MAIN DATA'!$AH:$AH,'Commitments per Month'!F$11)/1000000000 +SUMIFS('Bilateral Assistance, MAIN DATA'!$S:$S,'Bilateral Assistance, MAIN DATA'!$B:$B,"European Peace Facility",'Bilateral Assistance, MAIN DATA'!$AG:$AG,1,'Bilateral Assistance, MAIN DATA'!$AH:$AH,'Commitments per Month'!F$11)/1000000000 +SUMIFS('Bilateral Assistance, MAIN DATA'!$S:$S,'Bilateral Assistance, MAIN DATA'!$B:$B,"European Investment Bank",'Bilateral Assistance, MAIN DATA'!$AG:$AG,1,'Bilateral Assistance, MAIN DATA'!$AH:$AH,'Commitments per Month'!F$11)/1000000000</f>
        <v>2.9175</v>
      </c>
      <c r="G23" s="276">
        <f>SUMIFS('Bilateral Assistance, MAIN DATA'!$S:$S,'Bilateral Assistance, MAIN DATA'!$B:$B,'Commitments per Month'!$B23,'Bilateral Assistance, MAIN DATA'!$AG:$AG,1,'Bilateral Assistance, MAIN DATA'!$AH:$AH,'Commitments per Month'!G$11)/1000000000 +SUMIFS('Bilateral Assistance, MAIN DATA'!$S:$S,'Bilateral Assistance, MAIN DATA'!$B:$B,"European Peace Facility",'Bilateral Assistance, MAIN DATA'!$AG:$AG,1,'Bilateral Assistance, MAIN DATA'!$AH:$AH,'Commitments per Month'!G$11)/1000000000 +SUMIFS('Bilateral Assistance, MAIN DATA'!$S:$S,'Bilateral Assistance, MAIN DATA'!$B:$B,"European Investment Bank",'Bilateral Assistance, MAIN DATA'!$AG:$AG,1,'Bilateral Assistance, MAIN DATA'!$AH:$AH,'Commitments per Month'!G$11)/1000000000</f>
        <v>1.22</v>
      </c>
      <c r="H23" s="276">
        <f>SUMIFS('Bilateral Assistance, MAIN DATA'!$S:$S,'Bilateral Assistance, MAIN DATA'!$B:$B,'Commitments per Month'!$B23,'Bilateral Assistance, MAIN DATA'!$AG:$AG,1,'Bilateral Assistance, MAIN DATA'!$AH:$AH,'Commitments per Month'!H$11)/1000000000 +SUMIFS('Bilateral Assistance, MAIN DATA'!$S:$S,'Bilateral Assistance, MAIN DATA'!$B:$B,"European Peace Facility",'Bilateral Assistance, MAIN DATA'!$AG:$AG,1,'Bilateral Assistance, MAIN DATA'!$AH:$AH,'Commitments per Month'!H$11)/1000000000 +SUMIFS('Bilateral Assistance, MAIN DATA'!$S:$S,'Bilateral Assistance, MAIN DATA'!$B:$B,"European Investment Bank",'Bilateral Assistance, MAIN DATA'!$AG:$AG,1,'Bilateral Assistance, MAIN DATA'!$AH:$AH,'Commitments per Month'!H$11)/1000000000</f>
        <v>6.7</v>
      </c>
      <c r="I23" s="276">
        <f>SUMIFS('Bilateral Assistance, MAIN DATA'!$S:$S,'Bilateral Assistance, MAIN DATA'!$B:$B,'Commitments per Month'!$B23,'Bilateral Assistance, MAIN DATA'!$AG:$AG,1,'Bilateral Assistance, MAIN DATA'!$AH:$AH,'Commitments per Month'!I$11)/1000000000 +SUMIFS('Bilateral Assistance, MAIN DATA'!$S:$S,'Bilateral Assistance, MAIN DATA'!$B:$B,"European Peace Facility",'Bilateral Assistance, MAIN DATA'!$AG:$AG,1,'Bilateral Assistance, MAIN DATA'!$AH:$AH,'Commitments per Month'!I$11)/1000000000 +SUMIFS('Bilateral Assistance, MAIN DATA'!$S:$S,'Bilateral Assistance, MAIN DATA'!$B:$B,"European Investment Bank",'Bilateral Assistance, MAIN DATA'!$AG:$AG,1,'Bilateral Assistance, MAIN DATA'!$AH:$AH,'Commitments per Month'!I$11)/1000000000</f>
        <v>0.20499999999999999</v>
      </c>
      <c r="J23" s="276">
        <f>SUMIFS('Bilateral Assistance, MAIN DATA'!$S:$S,'Bilateral Assistance, MAIN DATA'!$B:$B,'Commitments per Month'!$B23,'Bilateral Assistance, MAIN DATA'!$AG:$AG,1,'Bilateral Assistance, MAIN DATA'!$AH:$AH,'Commitments per Month'!J$11)/1000000000 +SUMIFS('Bilateral Assistance, MAIN DATA'!$S:$S,'Bilateral Assistance, MAIN DATA'!$B:$B,"European Peace Facility",'Bilateral Assistance, MAIN DATA'!$AG:$AG,1,'Bilateral Assistance, MAIN DATA'!$AH:$AH,'Commitments per Month'!J$11)/1000000000 +SUMIFS('Bilateral Assistance, MAIN DATA'!$S:$S,'Bilateral Assistance, MAIN DATA'!$B:$B,"European Investment Bank",'Bilateral Assistance, MAIN DATA'!$AG:$AG,1,'Bilateral Assistance, MAIN DATA'!$AH:$AH,'Commitments per Month'!J$11)/1000000000</f>
        <v>0.5</v>
      </c>
      <c r="K23" s="276">
        <f>SUMIFS('Bilateral Assistance, MAIN DATA'!$S:$S,'Bilateral Assistance, MAIN DATA'!$B:$B,'Commitments per Month'!$B23,'Bilateral Assistance, MAIN DATA'!$AG:$AG,1,'Bilateral Assistance, MAIN DATA'!$AH:$AH,'Commitments per Month'!K$11)/1000000000 +SUMIFS('Bilateral Assistance, MAIN DATA'!$S:$S,'Bilateral Assistance, MAIN DATA'!$B:$B,"European Peace Facility",'Bilateral Assistance, MAIN DATA'!$AG:$AG,1,'Bilateral Assistance, MAIN DATA'!$AH:$AH,'Commitments per Month'!K$11)/1000000000 +SUMIFS('Bilateral Assistance, MAIN DATA'!$S:$S,'Bilateral Assistance, MAIN DATA'!$B:$B,"European Investment Bank",'Bilateral Assistance, MAIN DATA'!$AG:$AG,1,'Bilateral Assistance, MAIN DATA'!$AH:$AH,'Commitments per Month'!K$11)/1000000000</f>
        <v>0</v>
      </c>
      <c r="L23" s="276">
        <f>SUMIFS('Bilateral Assistance, MAIN DATA'!$S:$S,'Bilateral Assistance, MAIN DATA'!$B:$B,'Commitments per Month'!$B23,'Bilateral Assistance, MAIN DATA'!$AG:$AG,1,'Bilateral Assistance, MAIN DATA'!$AH:$AH,'Commitments per Month'!L$11)/1000000000 +SUMIFS('Bilateral Assistance, MAIN DATA'!$S:$S,'Bilateral Assistance, MAIN DATA'!$B:$B,"European Peace Facility",'Bilateral Assistance, MAIN DATA'!$AG:$AG,1,'Bilateral Assistance, MAIN DATA'!$AH:$AH,'Commitments per Month'!L$11)/1000000000 +SUMIFS('Bilateral Assistance, MAIN DATA'!$S:$S,'Bilateral Assistance, MAIN DATA'!$B:$B,"European Investment Bank",'Bilateral Assistance, MAIN DATA'!$AG:$AG,1,'Bilateral Assistance, MAIN DATA'!$AH:$AH,'Commitments per Month'!L$11)/1000000000</f>
        <v>0</v>
      </c>
      <c r="M23" s="276">
        <f>SUMIFS('Bilateral Assistance, MAIN DATA'!$S:$S,'Bilateral Assistance, MAIN DATA'!$B:$B,'Commitments per Month'!$B23,'Bilateral Assistance, MAIN DATA'!$AG:$AG,1,'Bilateral Assistance, MAIN DATA'!$AH:$AH,'Commitments per Month'!M$11)/1000000000 +SUMIFS('Bilateral Assistance, MAIN DATA'!$S:$S,'Bilateral Assistance, MAIN DATA'!$B:$B,"European Peace Facility",'Bilateral Assistance, MAIN DATA'!$AG:$AG,1,'Bilateral Assistance, MAIN DATA'!$AH:$AH,'Commitments per Month'!M$11)/1000000000 +SUMIFS('Bilateral Assistance, MAIN DATA'!$S:$S,'Bilateral Assistance, MAIN DATA'!$B:$B,"European Investment Bank",'Bilateral Assistance, MAIN DATA'!$AG:$AG,1,'Bilateral Assistance, MAIN DATA'!$AH:$AH,'Commitments per Month'!M$11)/1000000000</f>
        <v>0.75</v>
      </c>
      <c r="N23" s="276">
        <f>SUMIFS('Bilateral Assistance, MAIN DATA'!$S:$S,'Bilateral Assistance, MAIN DATA'!$B:$B,'Commitments per Month'!$B23,'Bilateral Assistance, MAIN DATA'!$AG:$AG,1,'Bilateral Assistance, MAIN DATA'!$AH:$AH,'Commitments per Month'!N$11)/1000000000 +SUMIFS('Bilateral Assistance, MAIN DATA'!$S:$S,'Bilateral Assistance, MAIN DATA'!$B:$B,"European Peace Facility",'Bilateral Assistance, MAIN DATA'!$AG:$AG,1,'Bilateral Assistance, MAIN DATA'!$AH:$AH,'Commitments per Month'!N$11)/1000000000 +SUMIFS('Bilateral Assistance, MAIN DATA'!$S:$S,'Bilateral Assistance, MAIN DATA'!$B:$B,"European Investment Bank",'Bilateral Assistance, MAIN DATA'!$AG:$AG,1,'Bilateral Assistance, MAIN DATA'!$AH:$AH,'Commitments per Month'!N$11)/1000000000</f>
        <v>18</v>
      </c>
      <c r="O23" s="276">
        <f>SUMIFS('Bilateral Assistance, MAIN DATA'!$S:$S,'Bilateral Assistance, MAIN DATA'!$B:$B,'Commitments per Month'!$B23,'Bilateral Assistance, MAIN DATA'!$AG:$AG,1,'Bilateral Assistance, MAIN DATA'!$AH:$AH,'Commitments per Month'!O$11)/1000000000 +SUMIFS('Bilateral Assistance, MAIN DATA'!$S:$S,'Bilateral Assistance, MAIN DATA'!$B:$B,"European Peace Facility",'Bilateral Assistance, MAIN DATA'!$AG:$AG,1,'Bilateral Assistance, MAIN DATA'!$AH:$AH,'Commitments per Month'!O$11)/1000000000 +SUMIFS('Bilateral Assistance, MAIN DATA'!$S:$S,'Bilateral Assistance, MAIN DATA'!$B:$B,"European Investment Bank",'Bilateral Assistance, MAIN DATA'!$AG:$AG,1,'Bilateral Assistance, MAIN DATA'!$AH:$AH,'Commitments per Month'!O$11)/1000000000</f>
        <v>0.03</v>
      </c>
      <c r="P23" s="276">
        <f>SUMIFS('Bilateral Assistance, MAIN DATA'!$S:$S,'Bilateral Assistance, MAIN DATA'!$B:$B,'Commitments per Month'!$B23,'Bilateral Assistance, MAIN DATA'!$AG:$AG,1,'Bilateral Assistance, MAIN DATA'!$AH:$AH,'Commitments per Month'!P$11)/1000000000 +SUMIFS('Bilateral Assistance, MAIN DATA'!$S:$S,'Bilateral Assistance, MAIN DATA'!$B:$B,"European Peace Facility",'Bilateral Assistance, MAIN DATA'!$AG:$AG,1,'Bilateral Assistance, MAIN DATA'!$AH:$AH,'Commitments per Month'!P$11)/1000000000 +SUMIFS('Bilateral Assistance, MAIN DATA'!$S:$S,'Bilateral Assistance, MAIN DATA'!$B:$B,"European Investment Bank",'Bilateral Assistance, MAIN DATA'!$AG:$AG,1,'Bilateral Assistance, MAIN DATA'!$AH:$AH,'Commitments per Month'!P$11)/1000000000</f>
        <v>0.5</v>
      </c>
      <c r="Q23" s="276">
        <f>SUMIFS('Bilateral Assistance, MAIN DATA'!$S:$S,'Bilateral Assistance, MAIN DATA'!$B:$B,'Commitments per Month'!$B23,'Bilateral Assistance, MAIN DATA'!$AG:$AG,1,'Bilateral Assistance, MAIN DATA'!$AH:$AH,'Commitments per Month'!Q$11)/1000000000 +SUMIFS('Bilateral Assistance, MAIN DATA'!$S:$S,'Bilateral Assistance, MAIN DATA'!$B:$B,"European Peace Facility",'Bilateral Assistance, MAIN DATA'!$AG:$AG,1,'Bilateral Assistance, MAIN DATA'!$AH:$AH,'Commitments per Month'!Q$11)/1000000000 +SUMIFS('Bilateral Assistance, MAIN DATA'!$S:$S,'Bilateral Assistance, MAIN DATA'!$B:$B,"European Investment Bank",'Bilateral Assistance, MAIN DATA'!$AG:$AG,1,'Bilateral Assistance, MAIN DATA'!$AH:$AH,'Commitments per Month'!Q$11)/1000000000</f>
        <v>0.48499999999999999</v>
      </c>
      <c r="R23" s="276">
        <f>SUMIFS('Bilateral Assistance, MAIN DATA'!$S:$S,'Bilateral Assistance, MAIN DATA'!$B:$B,'Commitments per Month'!$B23,'Bilateral Assistance, MAIN DATA'!$AG:$AG,1,'Bilateral Assistance, MAIN DATA'!$AH:$AH,'Commitments per Month'!R$11)/1000000000 +SUMIFS('Bilateral Assistance, MAIN DATA'!$S:$S,'Bilateral Assistance, MAIN DATA'!$B:$B,"European Peace Facility",'Bilateral Assistance, MAIN DATA'!$AG:$AG,1,'Bilateral Assistance, MAIN DATA'!$AH:$AH,'Commitments per Month'!R$11)/1000000000 +SUMIFS('Bilateral Assistance, MAIN DATA'!$S:$S,'Bilateral Assistance, MAIN DATA'!$B:$B,"European Investment Bank",'Bilateral Assistance, MAIN DATA'!$AG:$AG,1,'Bilateral Assistance, MAIN DATA'!$AH:$AH,'Commitments per Month'!R$11)/1000000000</f>
        <v>0</v>
      </c>
      <c r="S23" s="276">
        <f>SUMIFS('Bilateral Assistance, MAIN DATA'!$S:$S,'Bilateral Assistance, MAIN DATA'!$B:$B,'Commitments per Month'!$B23,'Bilateral Assistance, MAIN DATA'!$AG:$AG,1,'Bilateral Assistance, MAIN DATA'!$AH:$AH,'Commitments per Month'!S$11)/1000000000 +SUMIFS('Bilateral Assistance, MAIN DATA'!$S:$S,'Bilateral Assistance, MAIN DATA'!$B:$B,"European Peace Facility",'Bilateral Assistance, MAIN DATA'!$AG:$AG,1,'Bilateral Assistance, MAIN DATA'!$AH:$AH,'Commitments per Month'!S$11)/1000000000 +SUMIFS('Bilateral Assistance, MAIN DATA'!$S:$S,'Bilateral Assistance, MAIN DATA'!$B:$B,"European Investment Bank",'Bilateral Assistance, MAIN DATA'!$AG:$AG,1,'Bilateral Assistance, MAIN DATA'!$AH:$AH,'Commitments per Month'!S$11)/1000000000</f>
        <v>1.0549999999999999</v>
      </c>
      <c r="T23" s="276">
        <f>SUMIFS('Bilateral Assistance, MAIN DATA'!$S:$S,'Bilateral Assistance, MAIN DATA'!$B:$B,'Commitments per Month'!$B23,'Bilateral Assistance, MAIN DATA'!$AG:$AG,1,'Bilateral Assistance, MAIN DATA'!$AH:$AH,'Commitments per Month'!T$11)/1000000000 +SUMIFS('Bilateral Assistance, MAIN DATA'!$S:$S,'Bilateral Assistance, MAIN DATA'!$B:$B,"European Peace Facility",'Bilateral Assistance, MAIN DATA'!$AG:$AG,1,'Bilateral Assistance, MAIN DATA'!$AH:$AH,'Commitments per Month'!T$11)/1000000000 +SUMIFS('Bilateral Assistance, MAIN DATA'!$S:$S,'Bilateral Assistance, MAIN DATA'!$B:$B,"European Investment Bank",'Bilateral Assistance, MAIN DATA'!$AG:$AG,1,'Bilateral Assistance, MAIN DATA'!$AH:$AH,'Commitments per Month'!T$11)/1000000000</f>
        <v>1</v>
      </c>
      <c r="U23" s="277">
        <f t="shared" si="0"/>
        <v>35.0625</v>
      </c>
      <c r="V23" s="277">
        <f>SUMIFS('Bilateral Assistance, MAIN DATA'!S:S,'Bilateral Assistance, MAIN DATA'!B:B,'Commitments per Month'!B23,'Bilateral Assistance, MAIN DATA'!AG:AG,0)/1000000000</f>
        <v>0</v>
      </c>
    </row>
    <row r="24" spans="1:24" ht="15.95" customHeight="1">
      <c r="A24" s="289"/>
      <c r="B24" s="24" t="s">
        <v>1432</v>
      </c>
      <c r="C24" s="297">
        <v>1</v>
      </c>
      <c r="D24" s="276">
        <f>SUMIFS('Bilateral Assistance, MAIN DATA'!S:S,'Bilateral Assistance, MAIN DATA'!B:B,'Commitments per Month'!B24,'Bilateral Assistance, MAIN DATA'!AG:AG,1,'Bilateral Assistance, MAIN DATA'!AH:AH,'Commitments per Month'!$D$11)/1000000000</f>
        <v>0</v>
      </c>
      <c r="E24" s="276">
        <f>SUMIFS('Bilateral Assistance, MAIN DATA'!S:S,'Bilateral Assistance, MAIN DATA'!B:B,'Commitments per Month'!B24,'Bilateral Assistance, MAIN DATA'!AG:AG,1,'Bilateral Assistance, MAIN DATA'!AH:AH,'Commitments per Month'!$E$11)/1000000000</f>
        <v>3.1300000000000001E-2</v>
      </c>
      <c r="F24" s="276">
        <f>SUMIFS('Bilateral Assistance, MAIN DATA'!S:S,'Bilateral Assistance, MAIN DATA'!B:B,'Commitments per Month'!B24,'Bilateral Assistance, MAIN DATA'!AG:AG,1,'Bilateral Assistance, MAIN DATA'!AH:AH,'Commitments per Month'!$F$11)/1000000000</f>
        <v>0</v>
      </c>
      <c r="G24" s="276">
        <f>SUMIFS('Bilateral Assistance, MAIN DATA'!S:S,'Bilateral Assistance, MAIN DATA'!B:B,'Commitments per Month'!B24,'Bilateral Assistance, MAIN DATA'!AG:AG,1,'Bilateral Assistance, MAIN DATA'!AH:AH,'Commitments per Month'!$G$11)/1000000000</f>
        <v>4.65E-2</v>
      </c>
      <c r="H24" s="276">
        <f>SUMIFS('Bilateral Assistance, MAIN DATA'!S:S,'Bilateral Assistance, MAIN DATA'!B:B,'Commitments per Month'!B24,'Bilateral Assistance, MAIN DATA'!AG:AG,1,'Bilateral Assistance, MAIN DATA'!AH:AH,'Commitments per Month'!$H$11)/1000000000</f>
        <v>0</v>
      </c>
      <c r="I24" s="276">
        <f>SUMIFS('Bilateral Assistance, MAIN DATA'!S:S,'Bilateral Assistance, MAIN DATA'!B:B,'Commitments per Month'!B24,'Bilateral Assistance, MAIN DATA'!AG:AG,1,'Bilateral Assistance, MAIN DATA'!AH:AH,'Commitments per Month'!$I$11)/1000000000</f>
        <v>5.475E-2</v>
      </c>
      <c r="J24" s="276">
        <f>SUMIFS('Bilateral Assistance, MAIN DATA'!S:S,'Bilateral Assistance, MAIN DATA'!B:B,'Commitments per Month'!B24,'Bilateral Assistance, MAIN DATA'!AG:AG,1,'Bilateral Assistance, MAIN DATA'!AH:AH,'Commitments per Month'!$J$11)/1000000000</f>
        <v>0</v>
      </c>
      <c r="K24" s="276">
        <f>SUMIFS('Bilateral Assistance, MAIN DATA'!S:S,'Bilateral Assistance, MAIN DATA'!B:B,'Commitments per Month'!B24,'Bilateral Assistance, MAIN DATA'!AG:AG,1,'Bilateral Assistance, MAIN DATA'!AH:AH,'Commitments per Month'!$K$11)/1000000000</f>
        <v>0</v>
      </c>
      <c r="L24" s="277">
        <f>SUMIFS('Bilateral Assistance, MAIN DATA'!S:S,'Bilateral Assistance, MAIN DATA'!B:B,'Commitments per Month'!B24,'Bilateral Assistance, MAIN DATA'!AG:AG,1,'Bilateral Assistance, MAIN DATA'!AH:AH,'Commitments per Month'!$L$11)/1000000000</f>
        <v>3.125E-2</v>
      </c>
      <c r="M24" s="239">
        <f>SUMIFS('Bilateral Assistance, MAIN DATA'!S:S,'Bilateral Assistance, MAIN DATA'!B:B,'Commitments per Month'!B24,'Bilateral Assistance, MAIN DATA'!AG:AG,1,'Bilateral Assistance, MAIN DATA'!AH:AH,'Commitments per Month'!$M$11)/1000000000</f>
        <v>0.03</v>
      </c>
      <c r="N24" s="277">
        <f>SUMIFS('Bilateral Assistance, MAIN DATA'!S:S,'Bilateral Assistance, MAIN DATA'!B:B,'Commitments per Month'!B24,'Bilateral Assistance, MAIN DATA'!AG:AG,1,'Bilateral Assistance, MAIN DATA'!AH:AH,'Commitments per Month'!$N$11)/1000000000</f>
        <v>5.5599999999999997E-2</v>
      </c>
      <c r="O24" s="277">
        <f>SUMIFS('Bilateral Assistance, MAIN DATA'!S:S,'Bilateral Assistance, MAIN DATA'!B:B,'Commitments per Month'!B24,'Bilateral Assistance, MAIN DATA'!AG:AG,1,'Bilateral Assistance, MAIN DATA'!AH:AH,'Commitments per Month'!$O$11)/1000000000</f>
        <v>3.3799999999999997E-2</v>
      </c>
      <c r="P24" s="1206">
        <f>SUMIFS('Bilateral Assistance, MAIN DATA'!S:S,'Bilateral Assistance, MAIN DATA'!B:B,'Commitments per Month'!B24,'Bilateral Assistance, MAIN DATA'!AG:AG,1,'Bilateral Assistance, MAIN DATA'!AH:AH,'Commitments per Month'!$P$11)/1000000000</f>
        <v>0.4</v>
      </c>
      <c r="Q24" s="1206">
        <f>SUMIFS('Bilateral Assistance, MAIN DATA'!S:S,'Bilateral Assistance, MAIN DATA'!B:B,'Commitments per Month'!B24,'Bilateral Assistance, MAIN DATA'!AG:AG,1,'Bilateral Assistance, MAIN DATA'!AH:AH,'Commitments per Month'!$Q$11)/1000000000</f>
        <v>0.16</v>
      </c>
      <c r="R24" s="1206">
        <f>SUMIFS('Bilateral Assistance, MAIN DATA'!S:S,'Bilateral Assistance, MAIN DATA'!B:B,'Commitments per Month'!B24,'Bilateral Assistance, MAIN DATA'!AG:AG,1,'Bilateral Assistance, MAIN DATA'!AH:AH,'Commitments per Month'!$R$11)/1000000000</f>
        <v>0.17499999999999999</v>
      </c>
      <c r="S24" s="1206">
        <f>SUMIFS('Bilateral Assistance, MAIN DATA'!S:S,'Bilateral Assistance, MAIN DATA'!B:B,'Commitments per Month'!B24,'Bilateral Assistance, MAIN DATA'!AG:AG,1,'Bilateral Assistance, MAIN DATA'!AH:AH,'Commitments per Month'!$S$11)/1000000000</f>
        <v>7.8E-2</v>
      </c>
      <c r="T24" s="1206">
        <f>SUMIFS('Bilateral Assistance, MAIN DATA'!S:S,'Bilateral Assistance, MAIN DATA'!B:B,'Commitments per Month'!B24,'Bilateral Assistance, MAIN DATA'!AG:AG,1,'Bilateral Assistance, MAIN DATA'!AH:AH,'Commitments per Month'!$T$11)/1000000000</f>
        <v>0.11700000000000001</v>
      </c>
      <c r="U24" s="277">
        <f t="shared" si="0"/>
        <v>1.2132000000000001</v>
      </c>
      <c r="V24" s="277">
        <f>SUMIFS('Bilateral Assistance, MAIN DATA'!S:S,'Bilateral Assistance, MAIN DATA'!B:B,'Commitments per Month'!B24,'Bilateral Assistance, MAIN DATA'!AG:AG,0)/1000000000</f>
        <v>0</v>
      </c>
    </row>
    <row r="25" spans="1:24" ht="15.95" customHeight="1">
      <c r="A25" s="289"/>
      <c r="B25" s="24" t="s">
        <v>1523</v>
      </c>
      <c r="C25" s="297">
        <v>1</v>
      </c>
      <c r="D25" s="276">
        <f>SUMIFS('Bilateral Assistance, MAIN DATA'!S:S,'Bilateral Assistance, MAIN DATA'!B:B,'Commitments per Month'!B25,'Bilateral Assistance, MAIN DATA'!AG:AG,1,'Bilateral Assistance, MAIN DATA'!AH:AH,'Commitments per Month'!$D$11)/1000000000</f>
        <v>0</v>
      </c>
      <c r="E25" s="276">
        <f>SUMIFS('Bilateral Assistance, MAIN DATA'!S:S,'Bilateral Assistance, MAIN DATA'!B:B,'Commitments per Month'!B25,'Bilateral Assistance, MAIN DATA'!AG:AG,1,'Bilateral Assistance, MAIN DATA'!AH:AH,'Commitments per Month'!$E$11)/1000000000</f>
        <v>0.5</v>
      </c>
      <c r="F25" s="276">
        <f>SUMIFS('Bilateral Assistance, MAIN DATA'!S:S,'Bilateral Assistance, MAIN DATA'!B:B,'Commitments per Month'!B25,'Bilateral Assistance, MAIN DATA'!AG:AG,1,'Bilateral Assistance, MAIN DATA'!AH:AH,'Commitments per Month'!$F$11)/1000000000</f>
        <v>0.11812327935222672</v>
      </c>
      <c r="G25" s="276">
        <f>SUMIFS('Bilateral Assistance, MAIN DATA'!S:S,'Bilateral Assistance, MAIN DATA'!B:B,'Commitments per Month'!B25,'Bilateral Assistance, MAIN DATA'!AG:AG,1,'Bilateral Assistance, MAIN DATA'!AH:AH,'Commitments per Month'!$G$11)/1000000000</f>
        <v>0.1103790945896209</v>
      </c>
      <c r="H25" s="276">
        <f>SUMIFS('Bilateral Assistance, MAIN DATA'!S:S,'Bilateral Assistance, MAIN DATA'!B:B,'Commitments per Month'!B25,'Bilateral Assistance, MAIN DATA'!AG:AG,1,'Bilateral Assistance, MAIN DATA'!AH:AH,'Commitments per Month'!$H$11)/1000000000</f>
        <v>9.7908804747883701E-3</v>
      </c>
      <c r="I25" s="276">
        <f>SUMIFS('Bilateral Assistance, MAIN DATA'!S:S,'Bilateral Assistance, MAIN DATA'!B:B,'Commitments per Month'!B25,'Bilateral Assistance, MAIN DATA'!AG:AG,1,'Bilateral Assistance, MAIN DATA'!AH:AH,'Commitments per Month'!$I$11)/1000000000</f>
        <v>0.10273274284276872</v>
      </c>
      <c r="J25" s="276">
        <f>SUMIFS('Bilateral Assistance, MAIN DATA'!S:S,'Bilateral Assistance, MAIN DATA'!B:B,'Commitments per Month'!B25,'Bilateral Assistance, MAIN DATA'!AG:AG,1,'Bilateral Assistance, MAIN DATA'!AH:AH,'Commitments per Month'!$J$11)/1000000000</f>
        <v>0</v>
      </c>
      <c r="K25" s="276">
        <f>SUMIFS('Bilateral Assistance, MAIN DATA'!S:S,'Bilateral Assistance, MAIN DATA'!B:B,'Commitments per Month'!B25,'Bilateral Assistance, MAIN DATA'!AG:AG,1,'Bilateral Assistance, MAIN DATA'!AH:AH,'Commitments per Month'!$K$11)/1000000000</f>
        <v>0</v>
      </c>
      <c r="L25" s="277">
        <f>SUMIFS('Bilateral Assistance, MAIN DATA'!S:S,'Bilateral Assistance, MAIN DATA'!B:B,'Commitments per Month'!B25,'Bilateral Assistance, MAIN DATA'!AG:AG,1,'Bilateral Assistance, MAIN DATA'!AH:AH,'Commitments per Month'!$L$11)/1000000000</f>
        <v>8.9999999999999993E-3</v>
      </c>
      <c r="M25" s="239">
        <f>SUMIFS('Bilateral Assistance, MAIN DATA'!S:S,'Bilateral Assistance, MAIN DATA'!B:B,'Commitments per Month'!B25,'Bilateral Assistance, MAIN DATA'!AG:AG,1,'Bilateral Assistance, MAIN DATA'!AH:AH,'Commitments per Month'!$M$11)/1000000000</f>
        <v>0.2</v>
      </c>
      <c r="N25" s="277">
        <f>SUMIFS('Bilateral Assistance, MAIN DATA'!S:S,'Bilateral Assistance, MAIN DATA'!B:B,'Commitments per Month'!B25,'Bilateral Assistance, MAIN DATA'!AG:AG,1,'Bilateral Assistance, MAIN DATA'!AH:AH,'Commitments per Month'!$N$11)/1000000000</f>
        <v>0.14407674217681504</v>
      </c>
      <c r="O25" s="277">
        <f>SUMIFS('Bilateral Assistance, MAIN DATA'!S:S,'Bilateral Assistance, MAIN DATA'!B:B,'Commitments per Month'!B25,'Bilateral Assistance, MAIN DATA'!AG:AG,1,'Bilateral Assistance, MAIN DATA'!AH:AH,'Commitments per Month'!$O$11)/1000000000</f>
        <v>0.26529999999999998</v>
      </c>
      <c r="P25" s="1206">
        <f>SUMIFS('Bilateral Assistance, MAIN DATA'!S:S,'Bilateral Assistance, MAIN DATA'!B:B,'Commitments per Month'!B25,'Bilateral Assistance, MAIN DATA'!AG:AG,1,'Bilateral Assistance, MAIN DATA'!AH:AH,'Commitments per Month'!$P$11)/1000000000</f>
        <v>0</v>
      </c>
      <c r="Q25" s="1206">
        <f>SUMIFS('Bilateral Assistance, MAIN DATA'!S:S,'Bilateral Assistance, MAIN DATA'!B:B,'Commitments per Month'!B25,'Bilateral Assistance, MAIN DATA'!AG:AG,1,'Bilateral Assistance, MAIN DATA'!AH:AH,'Commitments per Month'!$Q$11)/1000000000</f>
        <v>0</v>
      </c>
      <c r="R25" s="1206">
        <f>SUMIFS('Bilateral Assistance, MAIN DATA'!S:S,'Bilateral Assistance, MAIN DATA'!B:B,'Commitments per Month'!B25,'Bilateral Assistance, MAIN DATA'!AG:AG,1,'Bilateral Assistance, MAIN DATA'!AH:AH,'Commitments per Month'!$R$11)/1000000000</f>
        <v>0</v>
      </c>
      <c r="S25" s="1206">
        <f>SUMIFS('Bilateral Assistance, MAIN DATA'!S:S,'Bilateral Assistance, MAIN DATA'!B:B,'Commitments per Month'!B25,'Bilateral Assistance, MAIN DATA'!AG:AG,1,'Bilateral Assistance, MAIN DATA'!AH:AH,'Commitments per Month'!$S$11)/1000000000</f>
        <v>0</v>
      </c>
      <c r="T25" s="1206">
        <f>SUMIFS('Bilateral Assistance, MAIN DATA'!S:S,'Bilateral Assistance, MAIN DATA'!B:B,'Commitments per Month'!B25,'Bilateral Assistance, MAIN DATA'!AG:AG,1,'Bilateral Assistance, MAIN DATA'!AH:AH,'Commitments per Month'!$T$11)/1000000000</f>
        <v>2E-3</v>
      </c>
      <c r="U25" s="277">
        <f t="shared" si="0"/>
        <v>1.4614027394362197</v>
      </c>
      <c r="V25" s="277">
        <f>SUMIFS('Bilateral Assistance, MAIN DATA'!S:S,'Bilateral Assistance, MAIN DATA'!B:B,'Commitments per Month'!B25,'Bilateral Assistance, MAIN DATA'!AG:AG,0)/1000000000</f>
        <v>0</v>
      </c>
    </row>
    <row r="26" spans="1:24" ht="15.95" customHeight="1">
      <c r="A26" s="19"/>
      <c r="B26" s="24" t="s">
        <v>1711</v>
      </c>
      <c r="C26" s="297">
        <v>1</v>
      </c>
      <c r="D26" s="276">
        <f>SUMIFS('Bilateral Assistance, MAIN DATA'!S:S,'Bilateral Assistance, MAIN DATA'!B:B,'Commitments per Month'!B26,'Bilateral Assistance, MAIN DATA'!AG:AG,1,'Bilateral Assistance, MAIN DATA'!AH:AH,'Commitments per Month'!$D$11)/1000000000</f>
        <v>0</v>
      </c>
      <c r="E26" s="276">
        <f>SUMIFS('Bilateral Assistance, MAIN DATA'!S:S,'Bilateral Assistance, MAIN DATA'!B:B,'Commitments per Month'!B26,'Bilateral Assistance, MAIN DATA'!AG:AG,1,'Bilateral Assistance, MAIN DATA'!AH:AH,'Commitments per Month'!$E$11)/1000000000</f>
        <v>0</v>
      </c>
      <c r="F26" s="276">
        <f>SUMIFS('Bilateral Assistance, MAIN DATA'!S:S,'Bilateral Assistance, MAIN DATA'!B:B,'Commitments per Month'!B26,'Bilateral Assistance, MAIN DATA'!AG:AG,1,'Bilateral Assistance, MAIN DATA'!AH:AH,'Commitments per Month'!$F$11)/1000000000</f>
        <v>0.15</v>
      </c>
      <c r="G26" s="276">
        <f>SUMIFS('Bilateral Assistance, MAIN DATA'!S:S,'Bilateral Assistance, MAIN DATA'!B:B,'Commitments per Month'!B26,'Bilateral Assistance, MAIN DATA'!AG:AG,1,'Bilateral Assistance, MAIN DATA'!AH:AH,'Commitments per Month'!$G$11)/1000000000</f>
        <v>0.44</v>
      </c>
      <c r="H26" s="276">
        <f>SUMIFS('Bilateral Assistance, MAIN DATA'!S:S,'Bilateral Assistance, MAIN DATA'!B:B,'Commitments per Month'!B26,'Bilateral Assistance, MAIN DATA'!AG:AG,1,'Bilateral Assistance, MAIN DATA'!AH:AH,'Commitments per Month'!$H$11)/1000000000</f>
        <v>1.46</v>
      </c>
      <c r="I26" s="276">
        <f>SUMIFS('Bilateral Assistance, MAIN DATA'!S:S,'Bilateral Assistance, MAIN DATA'!B:B,'Commitments per Month'!B26,'Bilateral Assistance, MAIN DATA'!AG:AG,1,'Bilateral Assistance, MAIN DATA'!AH:AH,'Commitments per Month'!$I$11)/1000000000</f>
        <v>2.16</v>
      </c>
      <c r="J26" s="276">
        <f>SUMIFS('Bilateral Assistance, MAIN DATA'!S:S,'Bilateral Assistance, MAIN DATA'!B:B,'Commitments per Month'!B26,'Bilateral Assistance, MAIN DATA'!AG:AG,1,'Bilateral Assistance, MAIN DATA'!AH:AH,'Commitments per Month'!$J$11)/1000000000</f>
        <v>0.40600000000000003</v>
      </c>
      <c r="K26" s="276">
        <f>SUMIFS('Bilateral Assistance, MAIN DATA'!S:S,'Bilateral Assistance, MAIN DATA'!B:B,'Commitments per Month'!B26,'Bilateral Assistance, MAIN DATA'!AG:AG,1,'Bilateral Assistance, MAIN DATA'!AH:AH,'Commitments per Month'!$K$11)/1000000000</f>
        <v>5.8599999999999999E-2</v>
      </c>
      <c r="L26" s="277">
        <f>SUMIFS('Bilateral Assistance, MAIN DATA'!S:S,'Bilateral Assistance, MAIN DATA'!B:B,'Commitments per Month'!B26,'Bilateral Assistance, MAIN DATA'!AG:AG,1,'Bilateral Assistance, MAIN DATA'!AH:AH,'Commitments per Month'!$L$11)/1000000000</f>
        <v>1.47E-2</v>
      </c>
      <c r="M26" s="239">
        <f>SUMIFS('Bilateral Assistance, MAIN DATA'!S:S,'Bilateral Assistance, MAIN DATA'!B:B,'Commitments per Month'!B26,'Bilateral Assistance, MAIN DATA'!AG:AG,1,'Bilateral Assistance, MAIN DATA'!AH:AH,'Commitments per Month'!$M$11)/1000000000</f>
        <v>8.0000000000000004E-4</v>
      </c>
      <c r="N26" s="277">
        <f>SUMIFS('Bilateral Assistance, MAIN DATA'!S:S,'Bilateral Assistance, MAIN DATA'!B:B,'Commitments per Month'!B26,'Bilateral Assistance, MAIN DATA'!AG:AG,1,'Bilateral Assistance, MAIN DATA'!AH:AH,'Commitments per Month'!$N$11)/1000000000</f>
        <v>4.6747999999999998E-2</v>
      </c>
      <c r="O26" s="277">
        <f>SUMIFS('Bilateral Assistance, MAIN DATA'!S:S,'Bilateral Assistance, MAIN DATA'!B:B,'Commitments per Month'!B26,'Bilateral Assistance, MAIN DATA'!AG:AG,1,'Bilateral Assistance, MAIN DATA'!AH:AH,'Commitments per Month'!$O$11)/1000000000</f>
        <v>0.18212999999999999</v>
      </c>
      <c r="P26" s="1206">
        <f>SUMIFS('Bilateral Assistance, MAIN DATA'!S:S,'Bilateral Assistance, MAIN DATA'!B:B,'Commitments per Month'!B26,'Bilateral Assistance, MAIN DATA'!AG:AG,1,'Bilateral Assistance, MAIN DATA'!AH:AH,'Commitments per Month'!$P$11)/1000000000</f>
        <v>2.0019999999999998</v>
      </c>
      <c r="Q26" s="1206">
        <f>SUMIFS('Bilateral Assistance, MAIN DATA'!S:S,'Bilateral Assistance, MAIN DATA'!B:B,'Commitments per Month'!B26,'Bilateral Assistance, MAIN DATA'!AG:AG,1,'Bilateral Assistance, MAIN DATA'!AH:AH,'Commitments per Month'!$Q$11)/1000000000</f>
        <v>0.112</v>
      </c>
      <c r="R26" s="1206">
        <f>SUMIFS('Bilateral Assistance, MAIN DATA'!S:S,'Bilateral Assistance, MAIN DATA'!B:B,'Commitments per Month'!B26,'Bilateral Assistance, MAIN DATA'!AG:AG,1,'Bilateral Assistance, MAIN DATA'!AH:AH,'Commitments per Month'!$R$11)/1000000000</f>
        <v>2.5000000000000001E-2</v>
      </c>
      <c r="S26" s="1206">
        <f>SUMIFS('Bilateral Assistance, MAIN DATA'!S:S,'Bilateral Assistance, MAIN DATA'!B:B,'Commitments per Month'!B26,'Bilateral Assistance, MAIN DATA'!AG:AG,1,'Bilateral Assistance, MAIN DATA'!AH:AH,'Commitments per Month'!$S$11)/1000000000</f>
        <v>3.4103819999999998</v>
      </c>
      <c r="T26" s="1206">
        <f>SUMIFS('Bilateral Assistance, MAIN DATA'!S:S,'Bilateral Assistance, MAIN DATA'!B:B,'Commitments per Month'!B26,'Bilateral Assistance, MAIN DATA'!AG:AG,1,'Bilateral Assistance, MAIN DATA'!AH:AH,'Commitments per Month'!$T$11)/1000000000</f>
        <v>0</v>
      </c>
      <c r="U26" s="277">
        <f t="shared" si="0"/>
        <v>10.468360000000001</v>
      </c>
      <c r="V26" s="277">
        <f>SUMIFS('Bilateral Assistance, MAIN DATA'!S:S,'Bilateral Assistance, MAIN DATA'!B:B,'Commitments per Month'!B26,'Bilateral Assistance, MAIN DATA'!AG:AG,0)/1000000000</f>
        <v>0.21304604999999999</v>
      </c>
    </row>
    <row r="27" spans="1:24" ht="15.95" customHeight="1">
      <c r="A27" s="19"/>
      <c r="B27" s="24" t="s">
        <v>1973</v>
      </c>
      <c r="C27" s="297">
        <v>1</v>
      </c>
      <c r="D27" s="276">
        <f>SUMIFS('Bilateral Assistance, MAIN DATA'!S:S,'Bilateral Assistance, MAIN DATA'!B:B,'Commitments per Month'!B27,'Bilateral Assistance, MAIN DATA'!AG:AG,1,'Bilateral Assistance, MAIN DATA'!AH:AH,'Commitments per Month'!$D$11)/1000000000</f>
        <v>0</v>
      </c>
      <c r="E27" s="276">
        <f>SUMIFS('Bilateral Assistance, MAIN DATA'!S:S,'Bilateral Assistance, MAIN DATA'!B:B,'Commitments per Month'!B27,'Bilateral Assistance, MAIN DATA'!AG:AG,1,'Bilateral Assistance, MAIN DATA'!AH:AH,'Commitments per Month'!$E$11)/1000000000</f>
        <v>0</v>
      </c>
      <c r="F27" s="276">
        <f>SUMIFS('Bilateral Assistance, MAIN DATA'!S:S,'Bilateral Assistance, MAIN DATA'!B:B,'Commitments per Month'!B27,'Bilateral Assistance, MAIN DATA'!AG:AG,1,'Bilateral Assistance, MAIN DATA'!AH:AH,'Commitments per Month'!$F$11)/1000000000</f>
        <v>1.5910249539933752E-2</v>
      </c>
      <c r="G27" s="276">
        <f>SUMIFS('Bilateral Assistance, MAIN DATA'!S:S,'Bilateral Assistance, MAIN DATA'!B:B,'Commitments per Month'!B27,'Bilateral Assistance, MAIN DATA'!AG:AG,1,'Bilateral Assistance, MAIN DATA'!AH:AH,'Commitments per Month'!$G$11)/1000000000</f>
        <v>0</v>
      </c>
      <c r="H27" s="276">
        <f>SUMIFS('Bilateral Assistance, MAIN DATA'!S:S,'Bilateral Assistance, MAIN DATA'!B:B,'Commitments per Month'!B27,'Bilateral Assistance, MAIN DATA'!AG:AG,1,'Bilateral Assistance, MAIN DATA'!AH:AH,'Commitments per Month'!$H$11)/1000000000</f>
        <v>0.13993784320942218</v>
      </c>
      <c r="I27" s="276">
        <f>SUMIFS('Bilateral Assistance, MAIN DATA'!S:S,'Bilateral Assistance, MAIN DATA'!B:B,'Commitments per Month'!B27,'Bilateral Assistance, MAIN DATA'!AG:AG,1,'Bilateral Assistance, MAIN DATA'!AH:AH,'Commitments per Month'!$I$11)/1000000000</f>
        <v>0</v>
      </c>
      <c r="J27" s="276">
        <f>SUMIFS('Bilateral Assistance, MAIN DATA'!S:S,'Bilateral Assistance, MAIN DATA'!B:B,'Commitments per Month'!B27,'Bilateral Assistance, MAIN DATA'!AG:AG,1,'Bilateral Assistance, MAIN DATA'!AH:AH,'Commitments per Month'!$J$11)/1000000000</f>
        <v>0</v>
      </c>
      <c r="K27" s="276">
        <f>SUMIFS('Bilateral Assistance, MAIN DATA'!S:S,'Bilateral Assistance, MAIN DATA'!B:B,'Commitments per Month'!B27,'Bilateral Assistance, MAIN DATA'!AG:AG,1,'Bilateral Assistance, MAIN DATA'!AH:AH,'Commitments per Month'!$K$11)/1000000000</f>
        <v>0</v>
      </c>
      <c r="L27" s="277">
        <f>SUMIFS('Bilateral Assistance, MAIN DATA'!S:S,'Bilateral Assistance, MAIN DATA'!B:B,'Commitments per Month'!B27,'Bilateral Assistance, MAIN DATA'!AG:AG,1,'Bilateral Assistance, MAIN DATA'!AH:AH,'Commitments per Month'!$L$11)/1000000000</f>
        <v>2.0667741258741264E-2</v>
      </c>
      <c r="M27" s="239">
        <f>SUMIFS('Bilateral Assistance, MAIN DATA'!S:S,'Bilateral Assistance, MAIN DATA'!B:B,'Commitments per Month'!B27,'Bilateral Assistance, MAIN DATA'!AG:AG,1,'Bilateral Assistance, MAIN DATA'!AH:AH,'Commitments per Month'!$M$11)/1000000000</f>
        <v>0</v>
      </c>
      <c r="N27" s="277">
        <f>SUMIFS('Bilateral Assistance, MAIN DATA'!S:S,'Bilateral Assistance, MAIN DATA'!B:B,'Commitments per Month'!B27,'Bilateral Assistance, MAIN DATA'!AG:AG,1,'Bilateral Assistance, MAIN DATA'!AH:AH,'Commitments per Month'!$N$11)/1000000000</f>
        <v>0</v>
      </c>
      <c r="O27" s="277">
        <f>SUMIFS('Bilateral Assistance, MAIN DATA'!S:S,'Bilateral Assistance, MAIN DATA'!B:B,'Commitments per Month'!B27,'Bilateral Assistance, MAIN DATA'!AG:AG,1,'Bilateral Assistance, MAIN DATA'!AH:AH,'Commitments per Month'!$O$11)/1000000000</f>
        <v>0</v>
      </c>
      <c r="P27" s="1206">
        <f>SUMIFS('Bilateral Assistance, MAIN DATA'!S:S,'Bilateral Assistance, MAIN DATA'!B:B,'Commitments per Month'!B27,'Bilateral Assistance, MAIN DATA'!AG:AG,1,'Bilateral Assistance, MAIN DATA'!AH:AH,'Commitments per Month'!$P$11)/1000000000</f>
        <v>0</v>
      </c>
      <c r="Q27" s="1206">
        <f>SUMIFS('Bilateral Assistance, MAIN DATA'!S:S,'Bilateral Assistance, MAIN DATA'!B:B,'Commitments per Month'!B27,'Bilateral Assistance, MAIN DATA'!AG:AG,1,'Bilateral Assistance, MAIN DATA'!AH:AH,'Commitments per Month'!$Q$11)/1000000000</f>
        <v>1.0333870629370632E-2</v>
      </c>
      <c r="R27" s="1206">
        <f>SUMIFS('Bilateral Assistance, MAIN DATA'!S:S,'Bilateral Assistance, MAIN DATA'!B:B,'Commitments per Month'!B27,'Bilateral Assistance, MAIN DATA'!AG:AG,1,'Bilateral Assistance, MAIN DATA'!AH:AH,'Commitments per Month'!$R$11)/1000000000</f>
        <v>0</v>
      </c>
      <c r="S27" s="1206">
        <f>SUMIFS('Bilateral Assistance, MAIN DATA'!S:S,'Bilateral Assistance, MAIN DATA'!B:B,'Commitments per Month'!B27,'Bilateral Assistance, MAIN DATA'!AG:AG,1,'Bilateral Assistance, MAIN DATA'!AH:AH,'Commitments per Month'!$S$11)/1000000000</f>
        <v>0</v>
      </c>
      <c r="T27" s="1206">
        <f>SUMIFS('Bilateral Assistance, MAIN DATA'!S:S,'Bilateral Assistance, MAIN DATA'!B:B,'Commitments per Month'!B27,'Bilateral Assistance, MAIN DATA'!AG:AG,1,'Bilateral Assistance, MAIN DATA'!AH:AH,'Commitments per Month'!$T$11)/1000000000</f>
        <v>0</v>
      </c>
      <c r="U27" s="277">
        <f t="shared" si="0"/>
        <v>0.18684970463746783</v>
      </c>
      <c r="V27" s="277">
        <f>SUMIFS('Bilateral Assistance, MAIN DATA'!S:S,'Bilateral Assistance, MAIN DATA'!B:B,'Commitments per Month'!B27,'Bilateral Assistance, MAIN DATA'!AG:AG,0)/1000000000</f>
        <v>0</v>
      </c>
    </row>
    <row r="28" spans="1:24" ht="15.95" customHeight="1">
      <c r="A28" s="19"/>
      <c r="B28" s="24" t="s">
        <v>2028</v>
      </c>
      <c r="C28" s="297">
        <v>1</v>
      </c>
      <c r="D28" s="276">
        <f>SUMIFS('Bilateral Assistance, MAIN DATA'!S:S,'Bilateral Assistance, MAIN DATA'!B:B,'Commitments per Month'!B28,'Bilateral Assistance, MAIN DATA'!AG:AG,1,'Bilateral Assistance, MAIN DATA'!AH:AH,'Commitments per Month'!$D$11)/1000000000</f>
        <v>0</v>
      </c>
      <c r="E28" s="276">
        <f>SUMIFS('Bilateral Assistance, MAIN DATA'!S:S,'Bilateral Assistance, MAIN DATA'!B:B,'Commitments per Month'!B28,'Bilateral Assistance, MAIN DATA'!AG:AG,1,'Bilateral Assistance, MAIN DATA'!AH:AH,'Commitments per Month'!$E$11)/1000000000</f>
        <v>1.8306956201693042E-4</v>
      </c>
      <c r="F28" s="276">
        <f>SUMIFS('Bilateral Assistance, MAIN DATA'!S:S,'Bilateral Assistance, MAIN DATA'!B:B,'Commitments per Month'!B28,'Bilateral Assistance, MAIN DATA'!AG:AG,1,'Bilateral Assistance, MAIN DATA'!AH:AH,'Commitments per Month'!$F$11)/1000000000</f>
        <v>6.2036508674173105E-3</v>
      </c>
      <c r="G28" s="276">
        <f>SUMIFS('Bilateral Assistance, MAIN DATA'!S:S,'Bilateral Assistance, MAIN DATA'!B:B,'Commitments per Month'!B28,'Bilateral Assistance, MAIN DATA'!AG:AG,1,'Bilateral Assistance, MAIN DATA'!AH:AH,'Commitments per Month'!$G$11)/1000000000</f>
        <v>0</v>
      </c>
      <c r="H28" s="276">
        <f>SUMIFS('Bilateral Assistance, MAIN DATA'!S:S,'Bilateral Assistance, MAIN DATA'!B:B,'Commitments per Month'!B28,'Bilateral Assistance, MAIN DATA'!AG:AG,1,'Bilateral Assistance, MAIN DATA'!AH:AH,'Commitments per Month'!$H$11)/1000000000</f>
        <v>3.7703601256814455E-2</v>
      </c>
      <c r="I28" s="276">
        <f>SUMIFS('Bilateral Assistance, MAIN DATA'!S:S,'Bilateral Assistance, MAIN DATA'!B:B,'Commitments per Month'!B28,'Bilateral Assistance, MAIN DATA'!AG:AG,1,'Bilateral Assistance, MAIN DATA'!AH:AH,'Commitments per Month'!$I$11)/1000000000</f>
        <v>0</v>
      </c>
      <c r="J28" s="276">
        <f>SUMIFS('Bilateral Assistance, MAIN DATA'!S:S,'Bilateral Assistance, MAIN DATA'!B:B,'Commitments per Month'!B28,'Bilateral Assistance, MAIN DATA'!AG:AG,1,'Bilateral Assistance, MAIN DATA'!AH:AH,'Commitments per Month'!$J$11)/1000000000</f>
        <v>0</v>
      </c>
      <c r="K28" s="276">
        <f>SUMIFS('Bilateral Assistance, MAIN DATA'!S:S,'Bilateral Assistance, MAIN DATA'!B:B,'Commitments per Month'!B28,'Bilateral Assistance, MAIN DATA'!AG:AG,1,'Bilateral Assistance, MAIN DATA'!AH:AH,'Commitments per Month'!$K$11)/1000000000</f>
        <v>0</v>
      </c>
      <c r="L28" s="277">
        <f>SUMIFS('Bilateral Assistance, MAIN DATA'!S:S,'Bilateral Assistance, MAIN DATA'!B:B,'Commitments per Month'!B28,'Bilateral Assistance, MAIN DATA'!AG:AG,1,'Bilateral Assistance, MAIN DATA'!AH:AH,'Commitments per Month'!$L$11)/1000000000</f>
        <v>0</v>
      </c>
      <c r="M28" s="239">
        <f>SUMIFS('Bilateral Assistance, MAIN DATA'!S:S,'Bilateral Assistance, MAIN DATA'!B:B,'Commitments per Month'!B28,'Bilateral Assistance, MAIN DATA'!AG:AG,1,'Bilateral Assistance, MAIN DATA'!AH:AH,'Commitments per Month'!$M$11)/1000000000</f>
        <v>0</v>
      </c>
      <c r="N28" s="277">
        <f>SUMIFS('Bilateral Assistance, MAIN DATA'!S:S,'Bilateral Assistance, MAIN DATA'!B:B,'Commitments per Month'!B28,'Bilateral Assistance, MAIN DATA'!AG:AG,1,'Bilateral Assistance, MAIN DATA'!AH:AH,'Commitments per Month'!$N$11)/1000000000</f>
        <v>1.0258613744394017E-3</v>
      </c>
      <c r="O28" s="277">
        <f>SUMIFS('Bilateral Assistance, MAIN DATA'!S:S,'Bilateral Assistance, MAIN DATA'!B:B,'Commitments per Month'!B28,'Bilateral Assistance, MAIN DATA'!AG:AG,1,'Bilateral Assistance, MAIN DATA'!AH:AH,'Commitments per Month'!$O$11)/1000000000</f>
        <v>0</v>
      </c>
      <c r="P28" s="1206">
        <f>SUMIFS('Bilateral Assistance, MAIN DATA'!S:S,'Bilateral Assistance, MAIN DATA'!B:B,'Commitments per Month'!B28,'Bilateral Assistance, MAIN DATA'!AG:AG,1,'Bilateral Assistance, MAIN DATA'!AH:AH,'Commitments per Month'!$P$11)/1000000000</f>
        <v>0</v>
      </c>
      <c r="Q28" s="1206">
        <f>SUMIFS('Bilateral Assistance, MAIN DATA'!S:S,'Bilateral Assistance, MAIN DATA'!B:B,'Commitments per Month'!B28,'Bilateral Assistance, MAIN DATA'!AG:AG,1,'Bilateral Assistance, MAIN DATA'!AH:AH,'Commitments per Month'!$Q$11)/1000000000</f>
        <v>0</v>
      </c>
      <c r="R28" s="1206">
        <f>SUMIFS('Bilateral Assistance, MAIN DATA'!S:S,'Bilateral Assistance, MAIN DATA'!B:B,'Commitments per Month'!B28,'Bilateral Assistance, MAIN DATA'!AG:AG,1,'Bilateral Assistance, MAIN DATA'!AH:AH,'Commitments per Month'!$R$11)/1000000000</f>
        <v>0</v>
      </c>
      <c r="S28" s="1206">
        <f>SUMIFS('Bilateral Assistance, MAIN DATA'!S:S,'Bilateral Assistance, MAIN DATA'!B:B,'Commitments per Month'!B28,'Bilateral Assistance, MAIN DATA'!AG:AG,1,'Bilateral Assistance, MAIN DATA'!AH:AH,'Commitments per Month'!$S$11)/1000000000</f>
        <v>0</v>
      </c>
      <c r="T28" s="1206">
        <f>SUMIFS('Bilateral Assistance, MAIN DATA'!S:S,'Bilateral Assistance, MAIN DATA'!B:B,'Commitments per Month'!B28,'Bilateral Assistance, MAIN DATA'!AG:AG,1,'Bilateral Assistance, MAIN DATA'!AH:AH,'Commitments per Month'!$T$11)/1000000000</f>
        <v>0</v>
      </c>
      <c r="U28" s="277">
        <f t="shared" si="0"/>
        <v>4.5116183060688098E-2</v>
      </c>
      <c r="V28" s="277">
        <f>SUMIFS('Bilateral Assistance, MAIN DATA'!S:S,'Bilateral Assistance, MAIN DATA'!B:B,'Commitments per Month'!B28,'Bilateral Assistance, MAIN DATA'!AG:AG,0)/1000000000</f>
        <v>1.9936204146730461E-3</v>
      </c>
    </row>
    <row r="29" spans="1:24" ht="15.95" customHeight="1">
      <c r="A29" s="19"/>
      <c r="B29" s="24" t="s">
        <v>2139</v>
      </c>
      <c r="C29" s="297">
        <v>0</v>
      </c>
      <c r="D29" s="276">
        <f>SUMIFS('Bilateral Assistance, MAIN DATA'!S:S,'Bilateral Assistance, MAIN DATA'!B:B,'Commitments per Month'!B29,'Bilateral Assistance, MAIN DATA'!AG:AG,1,'Bilateral Assistance, MAIN DATA'!AH:AH,'Commitments per Month'!$D$11)/1000000000</f>
        <v>0</v>
      </c>
      <c r="E29" s="276">
        <f>SUMIFS('Bilateral Assistance, MAIN DATA'!S:S,'Bilateral Assistance, MAIN DATA'!B:B,'Commitments per Month'!B29,'Bilateral Assistance, MAIN DATA'!AG:AG,1,'Bilateral Assistance, MAIN DATA'!AH:AH,'Commitments per Month'!$E$11)/1000000000</f>
        <v>9.6364723865222308E-4</v>
      </c>
      <c r="F29" s="276">
        <f>SUMIFS('Bilateral Assistance, MAIN DATA'!S:S,'Bilateral Assistance, MAIN DATA'!B:B,'Commitments per Month'!B29,'Bilateral Assistance, MAIN DATA'!AG:AG,1,'Bilateral Assistance, MAIN DATA'!AH:AH,'Commitments per Month'!$F$11)/1000000000</f>
        <v>1.3291686050375491E-3</v>
      </c>
      <c r="G29" s="276">
        <f>SUMIFS('Bilateral Assistance, MAIN DATA'!S:S,'Bilateral Assistance, MAIN DATA'!B:B,'Commitments per Month'!B29,'Bilateral Assistance, MAIN DATA'!AG:AG,1,'Bilateral Assistance, MAIN DATA'!AH:AH,'Commitments per Month'!$G$11)/1000000000</f>
        <v>1.0639595932744068E-3</v>
      </c>
      <c r="H29" s="276">
        <f>SUMIFS('Bilateral Assistance, MAIN DATA'!S:S,'Bilateral Assistance, MAIN DATA'!B:B,'Commitments per Month'!B29,'Bilateral Assistance, MAIN DATA'!AG:AG,1,'Bilateral Assistance, MAIN DATA'!AH:AH,'Commitments per Month'!$H$11)/1000000000</f>
        <v>2.8244832857047915E-3</v>
      </c>
      <c r="I29" s="276">
        <f>SUMIFS('Bilateral Assistance, MAIN DATA'!S:S,'Bilateral Assistance, MAIN DATA'!B:B,'Commitments per Month'!B29,'Bilateral Assistance, MAIN DATA'!AG:AG,1,'Bilateral Assistance, MAIN DATA'!AH:AH,'Commitments per Month'!$I$11)/1000000000</f>
        <v>0</v>
      </c>
      <c r="J29" s="276">
        <f>SUMIFS('Bilateral Assistance, MAIN DATA'!S:S,'Bilateral Assistance, MAIN DATA'!B:B,'Commitments per Month'!B29,'Bilateral Assistance, MAIN DATA'!AG:AG,1,'Bilateral Assistance, MAIN DATA'!AH:AH,'Commitments per Month'!$J$11)/1000000000</f>
        <v>0</v>
      </c>
      <c r="K29" s="276">
        <f>SUMIFS('Bilateral Assistance, MAIN DATA'!S:S,'Bilateral Assistance, MAIN DATA'!B:B,'Commitments per Month'!B29,'Bilateral Assistance, MAIN DATA'!AG:AG,1,'Bilateral Assistance, MAIN DATA'!AH:AH,'Commitments per Month'!$K$11)/1000000000</f>
        <v>0</v>
      </c>
      <c r="L29" s="277">
        <f>SUMIFS('Bilateral Assistance, MAIN DATA'!S:S,'Bilateral Assistance, MAIN DATA'!B:B,'Commitments per Month'!B29,'Bilateral Assistance, MAIN DATA'!AG:AG,1,'Bilateral Assistance, MAIN DATA'!AH:AH,'Commitments per Month'!$L$11)/1000000000</f>
        <v>0</v>
      </c>
      <c r="M29" s="239">
        <f>SUMIFS('Bilateral Assistance, MAIN DATA'!S:S,'Bilateral Assistance, MAIN DATA'!B:B,'Commitments per Month'!B29,'Bilateral Assistance, MAIN DATA'!AG:AG,1,'Bilateral Assistance, MAIN DATA'!AH:AH,'Commitments per Month'!$M$11)/1000000000</f>
        <v>0</v>
      </c>
      <c r="N29" s="277">
        <f>SUMIFS('Bilateral Assistance, MAIN DATA'!S:S,'Bilateral Assistance, MAIN DATA'!B:B,'Commitments per Month'!B29,'Bilateral Assistance, MAIN DATA'!AG:AG,1,'Bilateral Assistance, MAIN DATA'!AH:AH,'Commitments per Month'!$N$11)/1000000000</f>
        <v>0</v>
      </c>
      <c r="O29" s="277">
        <f>SUMIFS('Bilateral Assistance, MAIN DATA'!S:S,'Bilateral Assistance, MAIN DATA'!B:B,'Commitments per Month'!B29,'Bilateral Assistance, MAIN DATA'!AG:AG,1,'Bilateral Assistance, MAIN DATA'!AH:AH,'Commitments per Month'!$O$11)/1000000000</f>
        <v>6.5404858299595138E-4</v>
      </c>
      <c r="P29" s="1206">
        <f>SUMIFS('Bilateral Assistance, MAIN DATA'!S:S,'Bilateral Assistance, MAIN DATA'!B:B,'Commitments per Month'!B29,'Bilateral Assistance, MAIN DATA'!AG:AG,1,'Bilateral Assistance, MAIN DATA'!AH:AH,'Commitments per Month'!$P$11)/1000000000</f>
        <v>0</v>
      </c>
      <c r="Q29" s="1206">
        <f>SUMIFS('Bilateral Assistance, MAIN DATA'!S:S,'Bilateral Assistance, MAIN DATA'!B:B,'Commitments per Month'!B29,'Bilateral Assistance, MAIN DATA'!AG:AG,1,'Bilateral Assistance, MAIN DATA'!AH:AH,'Commitments per Month'!$Q$11)/1000000000</f>
        <v>1.4288562504153651E-3</v>
      </c>
      <c r="R29" s="1206">
        <f>SUMIFS('Bilateral Assistance, MAIN DATA'!S:S,'Bilateral Assistance, MAIN DATA'!B:B,'Commitments per Month'!B29,'Bilateral Assistance, MAIN DATA'!AG:AG,1,'Bilateral Assistance, MAIN DATA'!AH:AH,'Commitments per Month'!$R$11)/1000000000</f>
        <v>1.0399415165813785E-2</v>
      </c>
      <c r="S29" s="1206">
        <f>SUMIFS('Bilateral Assistance, MAIN DATA'!S:S,'Bilateral Assistance, MAIN DATA'!B:B,'Commitments per Month'!B29,'Bilateral Assistance, MAIN DATA'!AG:AG,1,'Bilateral Assistance, MAIN DATA'!AH:AH,'Commitments per Month'!$S$11)/1000000000</f>
        <v>0</v>
      </c>
      <c r="T29" s="1206">
        <f>SUMIFS('Bilateral Assistance, MAIN DATA'!S:S,'Bilateral Assistance, MAIN DATA'!B:B,'Commitments per Month'!B29,'Bilateral Assistance, MAIN DATA'!AG:AG,1,'Bilateral Assistance, MAIN DATA'!AH:AH,'Commitments per Month'!$T$11)/1000000000</f>
        <v>1.0922126251987423E-2</v>
      </c>
      <c r="U29" s="277">
        <f t="shared" si="0"/>
        <v>2.9585704973881494E-2</v>
      </c>
      <c r="V29" s="277">
        <f>SUMIFS('Bilateral Assistance, MAIN DATA'!S:S,'Bilateral Assistance, MAIN DATA'!B:B,'Commitments per Month'!B29,'Bilateral Assistance, MAIN DATA'!AG:AG,0)/1000000000</f>
        <v>0</v>
      </c>
    </row>
    <row r="30" spans="1:24" ht="15.95" customHeight="1">
      <c r="A30" s="19"/>
      <c r="B30" s="24" t="s">
        <v>2096</v>
      </c>
      <c r="C30" s="297">
        <v>1</v>
      </c>
      <c r="D30" s="276">
        <f>SUMIFS('Bilateral Assistance, MAIN DATA'!S:S,'Bilateral Assistance, MAIN DATA'!B:B,'Commitments per Month'!B30,'Bilateral Assistance, MAIN DATA'!AG:AG,1,'Bilateral Assistance, MAIN DATA'!AH:AH,'Commitments per Month'!$D$11)/1000000000</f>
        <v>0</v>
      </c>
      <c r="E30" s="276">
        <f>SUMIFS('Bilateral Assistance, MAIN DATA'!S:S,'Bilateral Assistance, MAIN DATA'!B:B,'Commitments per Month'!B30,'Bilateral Assistance, MAIN DATA'!AG:AG,1,'Bilateral Assistance, MAIN DATA'!AH:AH,'Commitments per Month'!$E$11)/1000000000</f>
        <v>1.9E-2</v>
      </c>
      <c r="F30" s="276">
        <f>SUMIFS('Bilateral Assistance, MAIN DATA'!S:S,'Bilateral Assistance, MAIN DATA'!B:B,'Commitments per Month'!B30,'Bilateral Assistance, MAIN DATA'!AG:AG,1,'Bilateral Assistance, MAIN DATA'!AH:AH,'Commitments per Month'!$F$11)/1000000000</f>
        <v>1.3157526683842471E-4</v>
      </c>
      <c r="G30" s="276">
        <f>SUMIFS('Bilateral Assistance, MAIN DATA'!S:S,'Bilateral Assistance, MAIN DATA'!B:B,'Commitments per Month'!B30,'Bilateral Assistance, MAIN DATA'!AG:AG,1,'Bilateral Assistance, MAIN DATA'!AH:AH,'Commitments per Month'!$G$11)/1000000000</f>
        <v>0</v>
      </c>
      <c r="H30" s="276">
        <f>SUMIFS('Bilateral Assistance, MAIN DATA'!S:S,'Bilateral Assistance, MAIN DATA'!B:B,'Commitments per Month'!B30,'Bilateral Assistance, MAIN DATA'!AG:AG,1,'Bilateral Assistance, MAIN DATA'!AH:AH,'Commitments per Month'!$H$11)/1000000000</f>
        <v>5.0000000000000001E-4</v>
      </c>
      <c r="I30" s="276">
        <f>SUMIFS('Bilateral Assistance, MAIN DATA'!S:S,'Bilateral Assistance, MAIN DATA'!B:B,'Commitments per Month'!B30,'Bilateral Assistance, MAIN DATA'!AG:AG,1,'Bilateral Assistance, MAIN DATA'!AH:AH,'Commitments per Month'!$I$11)/1000000000</f>
        <v>2.1970000000000002E-3</v>
      </c>
      <c r="J30" s="276">
        <f>SUMIFS('Bilateral Assistance, MAIN DATA'!S:S,'Bilateral Assistance, MAIN DATA'!B:B,'Commitments per Month'!B30,'Bilateral Assistance, MAIN DATA'!AG:AG,1,'Bilateral Assistance, MAIN DATA'!AH:AH,'Commitments per Month'!$J$11)/1000000000</f>
        <v>0</v>
      </c>
      <c r="K30" s="276">
        <f>SUMIFS('Bilateral Assistance, MAIN DATA'!S:S,'Bilateral Assistance, MAIN DATA'!B:B,'Commitments per Month'!B30,'Bilateral Assistance, MAIN DATA'!AG:AG,1,'Bilateral Assistance, MAIN DATA'!AH:AH,'Commitments per Month'!$K$11)/1000000000</f>
        <v>0</v>
      </c>
      <c r="L30" s="277">
        <f>SUMIFS('Bilateral Assistance, MAIN DATA'!S:S,'Bilateral Assistance, MAIN DATA'!B:B,'Commitments per Month'!B30,'Bilateral Assistance, MAIN DATA'!AG:AG,1,'Bilateral Assistance, MAIN DATA'!AH:AH,'Commitments per Month'!$L$11)/1000000000</f>
        <v>3.2000000000000001E-2</v>
      </c>
      <c r="M30" s="239">
        <f>SUMIFS('Bilateral Assistance, MAIN DATA'!S:S,'Bilateral Assistance, MAIN DATA'!B:B,'Commitments per Month'!B30,'Bilateral Assistance, MAIN DATA'!AG:AG,1,'Bilateral Assistance, MAIN DATA'!AH:AH,'Commitments per Month'!$M$11)/1000000000</f>
        <v>0</v>
      </c>
      <c r="N30" s="277">
        <f>SUMIFS('Bilateral Assistance, MAIN DATA'!S:S,'Bilateral Assistance, MAIN DATA'!B:B,'Commitments per Month'!B30,'Bilateral Assistance, MAIN DATA'!AG:AG,1,'Bilateral Assistance, MAIN DATA'!AH:AH,'Commitments per Month'!$N$11)/1000000000</f>
        <v>2.5000000000000001E-2</v>
      </c>
      <c r="O30" s="277">
        <f>SUMIFS('Bilateral Assistance, MAIN DATA'!S:S,'Bilateral Assistance, MAIN DATA'!B:B,'Commitments per Month'!B30,'Bilateral Assistance, MAIN DATA'!AG:AG,1,'Bilateral Assistance, MAIN DATA'!AH:AH,'Commitments per Month'!$O$11)/1000000000</f>
        <v>0</v>
      </c>
      <c r="P30" s="1206">
        <f>SUMIFS('Bilateral Assistance, MAIN DATA'!S:S,'Bilateral Assistance, MAIN DATA'!B:B,'Commitments per Month'!B30,'Bilateral Assistance, MAIN DATA'!AG:AG,1,'Bilateral Assistance, MAIN DATA'!AH:AH,'Commitments per Month'!$P$11)/1000000000</f>
        <v>0</v>
      </c>
      <c r="Q30" s="1206">
        <f>SUMIFS('Bilateral Assistance, MAIN DATA'!S:S,'Bilateral Assistance, MAIN DATA'!B:B,'Commitments per Month'!B30,'Bilateral Assistance, MAIN DATA'!AG:AG,1,'Bilateral Assistance, MAIN DATA'!AH:AH,'Commitments per Month'!$Q$11)/1000000000</f>
        <v>3.8500000000000001E-3</v>
      </c>
      <c r="R30" s="1206">
        <f>SUMIFS('Bilateral Assistance, MAIN DATA'!S:S,'Bilateral Assistance, MAIN DATA'!B:B,'Commitments per Month'!B30,'Bilateral Assistance, MAIN DATA'!AG:AG,1,'Bilateral Assistance, MAIN DATA'!AH:AH,'Commitments per Month'!$R$11)/1000000000</f>
        <v>5.1000000000000004E-3</v>
      </c>
      <c r="S30" s="1206">
        <f>SUMIFS('Bilateral Assistance, MAIN DATA'!S:S,'Bilateral Assistance, MAIN DATA'!B:B,'Commitments per Month'!B30,'Bilateral Assistance, MAIN DATA'!AG:AG,1,'Bilateral Assistance, MAIN DATA'!AH:AH,'Commitments per Month'!$S$11)/1000000000</f>
        <v>0</v>
      </c>
      <c r="T30" s="1206">
        <f>SUMIFS('Bilateral Assistance, MAIN DATA'!S:S,'Bilateral Assistance, MAIN DATA'!B:B,'Commitments per Month'!B30,'Bilateral Assistance, MAIN DATA'!AG:AG,1,'Bilateral Assistance, MAIN DATA'!AH:AH,'Commitments per Month'!$T$11)/1000000000</f>
        <v>0</v>
      </c>
      <c r="U30" s="277">
        <f t="shared" si="0"/>
        <v>8.7778575266838438E-2</v>
      </c>
      <c r="V30" s="277">
        <f>SUMIFS('Bilateral Assistance, MAIN DATA'!S:S,'Bilateral Assistance, MAIN DATA'!B:B,'Commitments per Month'!B30,'Bilateral Assistance, MAIN DATA'!AG:AG,0)/1000000000</f>
        <v>2.6292786161207214E-3</v>
      </c>
    </row>
    <row r="31" spans="1:24" ht="15.95" customHeight="1">
      <c r="A31" s="19"/>
      <c r="B31" s="24" t="s">
        <v>2204</v>
      </c>
      <c r="C31" s="297">
        <v>1</v>
      </c>
      <c r="D31" s="276">
        <f>SUMIFS('Bilateral Assistance, MAIN DATA'!S:S,'Bilateral Assistance, MAIN DATA'!B:B,'Commitments per Month'!B31,'Bilateral Assistance, MAIN DATA'!AG:AG,1,'Bilateral Assistance, MAIN DATA'!AH:AH,'Commitments per Month'!$D$11)/1000000000</f>
        <v>0</v>
      </c>
      <c r="E31" s="276">
        <f>SUMIFS('Bilateral Assistance, MAIN DATA'!S:S,'Bilateral Assistance, MAIN DATA'!B:B,'Commitments per Month'!B31,'Bilateral Assistance, MAIN DATA'!AG:AG,1,'Bilateral Assistance, MAIN DATA'!AH:AH,'Commitments per Month'!$E$11)/1000000000</f>
        <v>0.26100000000000001</v>
      </c>
      <c r="F31" s="276">
        <f>SUMIFS('Bilateral Assistance, MAIN DATA'!S:S,'Bilateral Assistance, MAIN DATA'!B:B,'Commitments per Month'!B31,'Bilateral Assistance, MAIN DATA'!AG:AG,1,'Bilateral Assistance, MAIN DATA'!AH:AH,'Commitments per Month'!$F$11)/1000000000</f>
        <v>7.7912081339712915E-3</v>
      </c>
      <c r="G31" s="276">
        <f>SUMIFS('Bilateral Assistance, MAIN DATA'!S:S,'Bilateral Assistance, MAIN DATA'!B:B,'Commitments per Month'!B31,'Bilateral Assistance, MAIN DATA'!AG:AG,1,'Bilateral Assistance, MAIN DATA'!AH:AH,'Commitments per Month'!$G$11)/1000000000</f>
        <v>3.2562384983437616E-2</v>
      </c>
      <c r="H31" s="276">
        <f>SUMIFS('Bilateral Assistance, MAIN DATA'!S:S,'Bilateral Assistance, MAIN DATA'!B:B,'Commitments per Month'!B31,'Bilateral Assistance, MAIN DATA'!AG:AG,1,'Bilateral Assistance, MAIN DATA'!AH:AH,'Commitments per Month'!$H$11)/1000000000</f>
        <v>0</v>
      </c>
      <c r="I31" s="276">
        <f>SUMIFS('Bilateral Assistance, MAIN DATA'!S:S,'Bilateral Assistance, MAIN DATA'!B:B,'Commitments per Month'!B31,'Bilateral Assistance, MAIN DATA'!AG:AG,1,'Bilateral Assistance, MAIN DATA'!AH:AH,'Commitments per Month'!$I$11)/1000000000</f>
        <v>0</v>
      </c>
      <c r="J31" s="276">
        <f>SUMIFS('Bilateral Assistance, MAIN DATA'!S:S,'Bilateral Assistance, MAIN DATA'!B:B,'Commitments per Month'!B31,'Bilateral Assistance, MAIN DATA'!AG:AG,1,'Bilateral Assistance, MAIN DATA'!AH:AH,'Commitments per Month'!$J$11)/1000000000</f>
        <v>0</v>
      </c>
      <c r="K31" s="276">
        <f>SUMIFS('Bilateral Assistance, MAIN DATA'!S:S,'Bilateral Assistance, MAIN DATA'!B:B,'Commitments per Month'!B31,'Bilateral Assistance, MAIN DATA'!AG:AG,1,'Bilateral Assistance, MAIN DATA'!AH:AH,'Commitments per Month'!$K$11)/1000000000</f>
        <v>0.2</v>
      </c>
      <c r="L31" s="277">
        <f>SUMIFS('Bilateral Assistance, MAIN DATA'!S:S,'Bilateral Assistance, MAIN DATA'!B:B,'Commitments per Month'!B31,'Bilateral Assistance, MAIN DATA'!AG:AG,1,'Bilateral Assistance, MAIN DATA'!AH:AH,'Commitments per Month'!$L$11)/1000000000</f>
        <v>0</v>
      </c>
      <c r="M31" s="239">
        <f>SUMIFS('Bilateral Assistance, MAIN DATA'!S:S,'Bilateral Assistance, MAIN DATA'!B:B,'Commitments per Month'!B31,'Bilateral Assistance, MAIN DATA'!AG:AG,1,'Bilateral Assistance, MAIN DATA'!AH:AH,'Commitments per Month'!$M$11)/1000000000</f>
        <v>0.16914838062565363</v>
      </c>
      <c r="N31" s="277">
        <f>SUMIFS('Bilateral Assistance, MAIN DATA'!S:S,'Bilateral Assistance, MAIN DATA'!B:B,'Commitments per Month'!B31,'Bilateral Assistance, MAIN DATA'!AG:AG,1,'Bilateral Assistance, MAIN DATA'!AH:AH,'Commitments per Month'!$N$11)/1000000000</f>
        <v>0</v>
      </c>
      <c r="O31" s="277">
        <f>SUMIFS('Bilateral Assistance, MAIN DATA'!S:S,'Bilateral Assistance, MAIN DATA'!B:B,'Commitments per Month'!B31,'Bilateral Assistance, MAIN DATA'!AG:AG,1,'Bilateral Assistance, MAIN DATA'!AH:AH,'Commitments per Month'!$O$11)/1000000000</f>
        <v>0.01</v>
      </c>
      <c r="P31" s="1206">
        <f>SUMIFS('Bilateral Assistance, MAIN DATA'!S:S,'Bilateral Assistance, MAIN DATA'!B:B,'Commitments per Month'!B31,'Bilateral Assistance, MAIN DATA'!AG:AG,1,'Bilateral Assistance, MAIN DATA'!AH:AH,'Commitments per Month'!$P$11)/1000000000</f>
        <v>0.34177000000000002</v>
      </c>
      <c r="Q31" s="1206">
        <f>SUMIFS('Bilateral Assistance, MAIN DATA'!S:S,'Bilateral Assistance, MAIN DATA'!B:B,'Commitments per Month'!B31,'Bilateral Assistance, MAIN DATA'!AG:AG,1,'Bilateral Assistance, MAIN DATA'!AH:AH,'Commitments per Month'!$Q$11)/1000000000</f>
        <v>0</v>
      </c>
      <c r="R31" s="1206">
        <f>SUMIFS('Bilateral Assistance, MAIN DATA'!S:S,'Bilateral Assistance, MAIN DATA'!B:B,'Commitments per Month'!B31,'Bilateral Assistance, MAIN DATA'!AG:AG,1,'Bilateral Assistance, MAIN DATA'!AH:AH,'Commitments per Month'!$R$11)/1000000000</f>
        <v>0</v>
      </c>
      <c r="S31" s="1206">
        <f>SUMIFS('Bilateral Assistance, MAIN DATA'!S:S,'Bilateral Assistance, MAIN DATA'!B:B,'Commitments per Month'!B31,'Bilateral Assistance, MAIN DATA'!AG:AG,1,'Bilateral Assistance, MAIN DATA'!AH:AH,'Commitments per Month'!$S$11)/1000000000</f>
        <v>0.32204361923688424</v>
      </c>
      <c r="T31" s="1206">
        <f>SUMIFS('Bilateral Assistance, MAIN DATA'!S:S,'Bilateral Assistance, MAIN DATA'!B:B,'Commitments per Month'!B31,'Bilateral Assistance, MAIN DATA'!AG:AG,1,'Bilateral Assistance, MAIN DATA'!AH:AH,'Commitments per Month'!$T$11)/1000000000</f>
        <v>0</v>
      </c>
      <c r="U31" s="277">
        <f t="shared" si="0"/>
        <v>1.3443155929799468</v>
      </c>
      <c r="V31" s="277">
        <f>SUMIFS('Bilateral Assistance, MAIN DATA'!S:S,'Bilateral Assistance, MAIN DATA'!B:B,'Commitments per Month'!B31,'Bilateral Assistance, MAIN DATA'!AG:AG,0)/1000000000</f>
        <v>0</v>
      </c>
    </row>
    <row r="32" spans="1:24" ht="15.95" customHeight="1">
      <c r="A32" s="19"/>
      <c r="B32" s="24" t="s">
        <v>2312</v>
      </c>
      <c r="C32" s="297">
        <v>0</v>
      </c>
      <c r="D32" s="276">
        <f>SUMIFS('Bilateral Assistance, MAIN DATA'!S:S,'Bilateral Assistance, MAIN DATA'!B:B,'Commitments per Month'!B32,'Bilateral Assistance, MAIN DATA'!AG:AG,1,'Bilateral Assistance, MAIN DATA'!AH:AH,'Commitments per Month'!$D$11)/1000000000</f>
        <v>0</v>
      </c>
      <c r="E32" s="276">
        <f>SUMIFS('Bilateral Assistance, MAIN DATA'!S:S,'Bilateral Assistance, MAIN DATA'!B:B,'Commitments per Month'!B32,'Bilateral Assistance, MAIN DATA'!AG:AG,1,'Bilateral Assistance, MAIN DATA'!AH:AH,'Commitments per Month'!$E$11)/1000000000</f>
        <v>5.456385719543614E-2</v>
      </c>
      <c r="F32" s="276">
        <f>SUMIFS('Bilateral Assistance, MAIN DATA'!S:S,'Bilateral Assistance, MAIN DATA'!B:B,'Commitments per Month'!B32,'Bilateral Assistance, MAIN DATA'!AG:AG,1,'Bilateral Assistance, MAIN DATA'!AH:AH,'Commitments per Month'!$F$11)/1000000000</f>
        <v>0.14360507913139492</v>
      </c>
      <c r="G32" s="276">
        <f>SUMIFS('Bilateral Assistance, MAIN DATA'!S:S,'Bilateral Assistance, MAIN DATA'!B:B,'Commitments per Month'!B32,'Bilateral Assistance, MAIN DATA'!AG:AG,1,'Bilateral Assistance, MAIN DATA'!AH:AH,'Commitments per Month'!$G$11)/1000000000</f>
        <v>0.18630842841369155</v>
      </c>
      <c r="H32" s="276">
        <f>SUMIFS('Bilateral Assistance, MAIN DATA'!S:S,'Bilateral Assistance, MAIN DATA'!B:B,'Commitments per Month'!B32,'Bilateral Assistance, MAIN DATA'!AG:AG,1,'Bilateral Assistance, MAIN DATA'!AH:AH,'Commitments per Month'!$H$11)/1000000000</f>
        <v>0.27756716967243283</v>
      </c>
      <c r="I32" s="276">
        <f>SUMIFS('Bilateral Assistance, MAIN DATA'!S:S,'Bilateral Assistance, MAIN DATA'!B:B,'Commitments per Month'!B32,'Bilateral Assistance, MAIN DATA'!AG:AG,1,'Bilateral Assistance, MAIN DATA'!AH:AH,'Commitments per Month'!$I$11)/1000000000</f>
        <v>0</v>
      </c>
      <c r="J32" s="276">
        <f>SUMIFS('Bilateral Assistance, MAIN DATA'!S:S,'Bilateral Assistance, MAIN DATA'!B:B,'Commitments per Month'!B32,'Bilateral Assistance, MAIN DATA'!AG:AG,1,'Bilateral Assistance, MAIN DATA'!AH:AH,'Commitments per Month'!$J$11)/1000000000</f>
        <v>0</v>
      </c>
      <c r="K32" s="276">
        <f>SUMIFS('Bilateral Assistance, MAIN DATA'!S:S,'Bilateral Assistance, MAIN DATA'!B:B,'Commitments per Month'!B32,'Bilateral Assistance, MAIN DATA'!AG:AG,1,'Bilateral Assistance, MAIN DATA'!AH:AH,'Commitments per Month'!$K$11)/1000000000</f>
        <v>6.6249539933750469E-5</v>
      </c>
      <c r="L32" s="277">
        <f>SUMIFS('Bilateral Assistance, MAIN DATA'!S:S,'Bilateral Assistance, MAIN DATA'!B:B,'Commitments per Month'!B32,'Bilateral Assistance, MAIN DATA'!AG:AG,1,'Bilateral Assistance, MAIN DATA'!AH:AH,'Commitments per Month'!$L$11)/1000000000</f>
        <v>0</v>
      </c>
      <c r="M32" s="239">
        <f>SUMIFS('Bilateral Assistance, MAIN DATA'!S:S,'Bilateral Assistance, MAIN DATA'!B:B,'Commitments per Month'!B32,'Bilateral Assistance, MAIN DATA'!AG:AG,1,'Bilateral Assistance, MAIN DATA'!AH:AH,'Commitments per Month'!$M$11)/1000000000</f>
        <v>0</v>
      </c>
      <c r="N32" s="277">
        <f>SUMIFS('Bilateral Assistance, MAIN DATA'!S:S,'Bilateral Assistance, MAIN DATA'!B:B,'Commitments per Month'!B32,'Bilateral Assistance, MAIN DATA'!AG:AG,1,'Bilateral Assistance, MAIN DATA'!AH:AH,'Commitments per Month'!$N$11)/1000000000</f>
        <v>2.3647405226352599E-3</v>
      </c>
      <c r="O32" s="277">
        <f>SUMIFS('Bilateral Assistance, MAIN DATA'!S:S,'Bilateral Assistance, MAIN DATA'!B:B,'Commitments per Month'!B32,'Bilateral Assistance, MAIN DATA'!AG:AG,1,'Bilateral Assistance, MAIN DATA'!AH:AH,'Commitments per Month'!$O$11)/1000000000</f>
        <v>0.45580637651821865</v>
      </c>
      <c r="P32" s="1206">
        <f>SUMIFS('Bilateral Assistance, MAIN DATA'!S:S,'Bilateral Assistance, MAIN DATA'!B:B,'Commitments per Month'!B32,'Bilateral Assistance, MAIN DATA'!AG:AG,1,'Bilateral Assistance, MAIN DATA'!AH:AH,'Commitments per Month'!$P$11)/1000000000</f>
        <v>2.3647405226352599E-3</v>
      </c>
      <c r="Q32" s="1206">
        <f>SUMIFS('Bilateral Assistance, MAIN DATA'!S:S,'Bilateral Assistance, MAIN DATA'!B:B,'Commitments per Month'!B32,'Bilateral Assistance, MAIN DATA'!AG:AG,1,'Bilateral Assistance, MAIN DATA'!AH:AH,'Commitments per Month'!$Q$11)/1000000000</f>
        <v>4.601168568273831</v>
      </c>
      <c r="R32" s="1206">
        <f>SUMIFS('Bilateral Assistance, MAIN DATA'!S:S,'Bilateral Assistance, MAIN DATA'!B:B,'Commitments per Month'!B32,'Bilateral Assistance, MAIN DATA'!AG:AG,1,'Bilateral Assistance, MAIN DATA'!AH:AH,'Commitments per Month'!$R$11)/1000000000</f>
        <v>0.46006624953993375</v>
      </c>
      <c r="S32" s="1206">
        <f>SUMIFS('Bilateral Assistance, MAIN DATA'!S:S,'Bilateral Assistance, MAIN DATA'!B:B,'Commitments per Month'!B32,'Bilateral Assistance, MAIN DATA'!AG:AG,1,'Bilateral Assistance, MAIN DATA'!AH:AH,'Commitments per Month'!$S$11)/1000000000</f>
        <v>0.43338240706661763</v>
      </c>
      <c r="T32" s="1206">
        <f>SUMIFS('Bilateral Assistance, MAIN DATA'!S:S,'Bilateral Assistance, MAIN DATA'!B:B,'Commitments per Month'!B32,'Bilateral Assistance, MAIN DATA'!AG:AG,1,'Bilateral Assistance, MAIN DATA'!AH:AH,'Commitments per Month'!$T$11)/1000000000</f>
        <v>0</v>
      </c>
      <c r="U32" s="277">
        <f t="shared" si="0"/>
        <v>6.6172638663967609</v>
      </c>
      <c r="V32" s="277">
        <f>SUMIFS('Bilateral Assistance, MAIN DATA'!S:S,'Bilateral Assistance, MAIN DATA'!B:B,'Commitments per Month'!B32,'Bilateral Assistance, MAIN DATA'!AG:AG,0)/1000000000</f>
        <v>0</v>
      </c>
    </row>
    <row r="33" spans="1:22" ht="15.95" customHeight="1">
      <c r="A33" s="19"/>
      <c r="B33" s="24" t="s">
        <v>2392</v>
      </c>
      <c r="C33" s="297">
        <v>1</v>
      </c>
      <c r="D33" s="276">
        <f>SUMIFS('Bilateral Assistance, MAIN DATA'!S:S,'Bilateral Assistance, MAIN DATA'!B:B,'Commitments per Month'!B33,'Bilateral Assistance, MAIN DATA'!AG:AG,1,'Bilateral Assistance, MAIN DATA'!AH:AH,'Commitments per Month'!$D$11)/1000000000</f>
        <v>0</v>
      </c>
      <c r="E33" s="276">
        <f>SUMIFS('Bilateral Assistance, MAIN DATA'!S:S,'Bilateral Assistance, MAIN DATA'!B:B,'Commitments per Month'!B33,'Bilateral Assistance, MAIN DATA'!AG:AG,1,'Bilateral Assistance, MAIN DATA'!AH:AH,'Commitments per Month'!$E$11)/1000000000</f>
        <v>0</v>
      </c>
      <c r="F33" s="276">
        <f>SUMIFS('Bilateral Assistance, MAIN DATA'!S:S,'Bilateral Assistance, MAIN DATA'!B:B,'Commitments per Month'!B33,'Bilateral Assistance, MAIN DATA'!AG:AG,1,'Bilateral Assistance, MAIN DATA'!AH:AH,'Commitments per Month'!$F$11)/1000000000</f>
        <v>5.7274170000000003E-3</v>
      </c>
      <c r="G33" s="276">
        <f>SUMIFS('Bilateral Assistance, MAIN DATA'!S:S,'Bilateral Assistance, MAIN DATA'!B:B,'Commitments per Month'!B33,'Bilateral Assistance, MAIN DATA'!AG:AG,1,'Bilateral Assistance, MAIN DATA'!AH:AH,'Commitments per Month'!$G$11)/1000000000</f>
        <v>0.218829996</v>
      </c>
      <c r="H33" s="276">
        <f>SUMIFS('Bilateral Assistance, MAIN DATA'!S:S,'Bilateral Assistance, MAIN DATA'!B:B,'Commitments per Month'!B33,'Bilateral Assistance, MAIN DATA'!AG:AG,1,'Bilateral Assistance, MAIN DATA'!AH:AH,'Commitments per Month'!$H$11)/1000000000</f>
        <v>1.0024E-2</v>
      </c>
      <c r="I33" s="276">
        <f>SUMIFS('Bilateral Assistance, MAIN DATA'!S:S,'Bilateral Assistance, MAIN DATA'!B:B,'Commitments per Month'!B33,'Bilateral Assistance, MAIN DATA'!AG:AG,1,'Bilateral Assistance, MAIN DATA'!AH:AH,'Commitments per Month'!$I$11)/1000000000</f>
        <v>0</v>
      </c>
      <c r="J33" s="276">
        <f>SUMIFS('Bilateral Assistance, MAIN DATA'!S:S,'Bilateral Assistance, MAIN DATA'!B:B,'Commitments per Month'!B33,'Bilateral Assistance, MAIN DATA'!AG:AG,1,'Bilateral Assistance, MAIN DATA'!AH:AH,'Commitments per Month'!$J$11)/1000000000</f>
        <v>3.1765000000000002E-2</v>
      </c>
      <c r="K33" s="276">
        <f>SUMIFS('Bilateral Assistance, MAIN DATA'!S:S,'Bilateral Assistance, MAIN DATA'!B:B,'Commitments per Month'!B33,'Bilateral Assistance, MAIN DATA'!AG:AG,1,'Bilateral Assistance, MAIN DATA'!AH:AH,'Commitments per Month'!$K$11)/1000000000</f>
        <v>4.463445330086202E-2</v>
      </c>
      <c r="L33" s="277">
        <f>SUMIFS('Bilateral Assistance, MAIN DATA'!S:S,'Bilateral Assistance, MAIN DATA'!B:B,'Commitments per Month'!B33,'Bilateral Assistance, MAIN DATA'!AG:AG,1,'Bilateral Assistance, MAIN DATA'!AH:AH,'Commitments per Month'!$L$11)/1000000000</f>
        <v>0</v>
      </c>
      <c r="M33" s="239">
        <f>SUMIFS('Bilateral Assistance, MAIN DATA'!S:S,'Bilateral Assistance, MAIN DATA'!B:B,'Commitments per Month'!B33,'Bilateral Assistance, MAIN DATA'!AG:AG,1,'Bilateral Assistance, MAIN DATA'!AH:AH,'Commitments per Month'!$M$11)/1000000000</f>
        <v>0</v>
      </c>
      <c r="N33" s="277">
        <f>SUMIFS('Bilateral Assistance, MAIN DATA'!S:S,'Bilateral Assistance, MAIN DATA'!B:B,'Commitments per Month'!B33,'Bilateral Assistance, MAIN DATA'!AG:AG,1,'Bilateral Assistance, MAIN DATA'!AH:AH,'Commitments per Month'!$N$11)/1000000000</f>
        <v>5.5964000000000003E-4</v>
      </c>
      <c r="O33" s="277">
        <f>SUMIFS('Bilateral Assistance, MAIN DATA'!S:S,'Bilateral Assistance, MAIN DATA'!B:B,'Commitments per Month'!B33,'Bilateral Assistance, MAIN DATA'!AG:AG,1,'Bilateral Assistance, MAIN DATA'!AH:AH,'Commitments per Month'!$O$11)/1000000000</f>
        <v>1.5063047999999998E-3</v>
      </c>
      <c r="P33" s="1206">
        <f>SUMIFS('Bilateral Assistance, MAIN DATA'!S:S,'Bilateral Assistance, MAIN DATA'!B:B,'Commitments per Month'!B33,'Bilateral Assistance, MAIN DATA'!AG:AG,1,'Bilateral Assistance, MAIN DATA'!AH:AH,'Commitments per Month'!$P$11)/1000000000</f>
        <v>7.6565546699137982E-2</v>
      </c>
      <c r="Q33" s="1206">
        <f>SUMIFS('Bilateral Assistance, MAIN DATA'!S:S,'Bilateral Assistance, MAIN DATA'!B:B,'Commitments per Month'!B33,'Bilateral Assistance, MAIN DATA'!AG:AG,1,'Bilateral Assistance, MAIN DATA'!AH:AH,'Commitments per Month'!$Q$11)/1000000000</f>
        <v>1.85E-4</v>
      </c>
      <c r="R33" s="1206">
        <f>SUMIFS('Bilateral Assistance, MAIN DATA'!S:S,'Bilateral Assistance, MAIN DATA'!B:B,'Commitments per Month'!B33,'Bilateral Assistance, MAIN DATA'!AG:AG,1,'Bilateral Assistance, MAIN DATA'!AH:AH,'Commitments per Month'!$R$11)/1000000000</f>
        <v>1.8499999999999999E-5</v>
      </c>
      <c r="S33" s="1206">
        <f>SUMIFS('Bilateral Assistance, MAIN DATA'!S:S,'Bilateral Assistance, MAIN DATA'!B:B,'Commitments per Month'!B33,'Bilateral Assistance, MAIN DATA'!AG:AG,1,'Bilateral Assistance, MAIN DATA'!AH:AH,'Commitments per Month'!$S$11)/1000000000</f>
        <v>1.0342877682E-2</v>
      </c>
      <c r="T33" s="1206">
        <f>SUMIFS('Bilateral Assistance, MAIN DATA'!S:S,'Bilateral Assistance, MAIN DATA'!B:B,'Commitments per Month'!B33,'Bilateral Assistance, MAIN DATA'!AG:AG,1,'Bilateral Assistance, MAIN DATA'!AH:AH,'Commitments per Month'!$T$11)/1000000000</f>
        <v>0</v>
      </c>
      <c r="U33" s="277">
        <f t="shared" si="0"/>
        <v>0.40015873548199998</v>
      </c>
      <c r="V33" s="277">
        <f>SUMIFS('Bilateral Assistance, MAIN DATA'!S:S,'Bilateral Assistance, MAIN DATA'!B:B,'Commitments per Month'!B33,'Bilateral Assistance, MAIN DATA'!AG:AG,0)/1000000000</f>
        <v>0</v>
      </c>
    </row>
    <row r="34" spans="1:22" ht="15.95" customHeight="1">
      <c r="A34" s="19"/>
      <c r="B34" s="24" t="s">
        <v>2488</v>
      </c>
      <c r="C34" s="297">
        <v>1</v>
      </c>
      <c r="D34" s="276">
        <f>SUMIFS('Bilateral Assistance, MAIN DATA'!S:S,'Bilateral Assistance, MAIN DATA'!B:B,'Commitments per Month'!B34,'Bilateral Assistance, MAIN DATA'!AG:AG,1,'Bilateral Assistance, MAIN DATA'!AH:AH,'Commitments per Month'!$D$11)/1000000000</f>
        <v>0</v>
      </c>
      <c r="E34" s="276">
        <f>SUMIFS('Bilateral Assistance, MAIN DATA'!S:S,'Bilateral Assistance, MAIN DATA'!B:B,'Commitments per Month'!B34,'Bilateral Assistance, MAIN DATA'!AG:AG,1,'Bilateral Assistance, MAIN DATA'!AH:AH,'Commitments per Month'!$E$11)/1000000000</f>
        <v>5.7999999999999996E-3</v>
      </c>
      <c r="F34" s="276">
        <f>SUMIFS('Bilateral Assistance, MAIN DATA'!S:S,'Bilateral Assistance, MAIN DATA'!B:B,'Commitments per Month'!B34,'Bilateral Assistance, MAIN DATA'!AG:AG,1,'Bilateral Assistance, MAIN DATA'!AH:AH,'Commitments per Month'!$F$11)/1000000000</f>
        <v>4.3999999999999997E-2</v>
      </c>
      <c r="G34" s="276">
        <f>SUMIFS('Bilateral Assistance, MAIN DATA'!S:S,'Bilateral Assistance, MAIN DATA'!B:B,'Commitments per Month'!B34,'Bilateral Assistance, MAIN DATA'!AG:AG,1,'Bilateral Assistance, MAIN DATA'!AH:AH,'Commitments per Month'!$G$11)/1000000000</f>
        <v>9.5200000000000007E-2</v>
      </c>
      <c r="H34" s="276">
        <f>SUMIFS('Bilateral Assistance, MAIN DATA'!S:S,'Bilateral Assistance, MAIN DATA'!B:B,'Commitments per Month'!B34,'Bilateral Assistance, MAIN DATA'!AG:AG,1,'Bilateral Assistance, MAIN DATA'!AH:AH,'Commitments per Month'!$H$11)/1000000000</f>
        <v>1.7500000000000002E-2</v>
      </c>
      <c r="I34" s="276">
        <f>SUMIFS('Bilateral Assistance, MAIN DATA'!S:S,'Bilateral Assistance, MAIN DATA'!B:B,'Commitments per Month'!B34,'Bilateral Assistance, MAIN DATA'!AG:AG,1,'Bilateral Assistance, MAIN DATA'!AH:AH,'Commitments per Month'!$I$11)/1000000000</f>
        <v>0.01</v>
      </c>
      <c r="J34" s="276">
        <f>SUMIFS('Bilateral Assistance, MAIN DATA'!S:S,'Bilateral Assistance, MAIN DATA'!B:B,'Commitments per Month'!B34,'Bilateral Assistance, MAIN DATA'!AG:AG,1,'Bilateral Assistance, MAIN DATA'!AH:AH,'Commitments per Month'!$J$11)/1000000000</f>
        <v>5.0630198748619799E-2</v>
      </c>
      <c r="K34" s="276">
        <f>SUMIFS('Bilateral Assistance, MAIN DATA'!S:S,'Bilateral Assistance, MAIN DATA'!B:B,'Commitments per Month'!B34,'Bilateral Assistance, MAIN DATA'!AG:AG,1,'Bilateral Assistance, MAIN DATA'!AH:AH,'Commitments per Month'!$K$11)/1000000000</f>
        <v>0</v>
      </c>
      <c r="L34" s="277">
        <f>SUMIFS('Bilateral Assistance, MAIN DATA'!S:S,'Bilateral Assistance, MAIN DATA'!B:B,'Commitments per Month'!B34,'Bilateral Assistance, MAIN DATA'!AG:AG,1,'Bilateral Assistance, MAIN DATA'!AH:AH,'Commitments per Month'!$L$11)/1000000000</f>
        <v>3.5869801251380201E-2</v>
      </c>
      <c r="M34" s="239">
        <f>SUMIFS('Bilateral Assistance, MAIN DATA'!S:S,'Bilateral Assistance, MAIN DATA'!B:B,'Commitments per Month'!B34,'Bilateral Assistance, MAIN DATA'!AG:AG,1,'Bilateral Assistance, MAIN DATA'!AH:AH,'Commitments per Month'!$M$11)/1000000000</f>
        <v>1.0152741994847258E-2</v>
      </c>
      <c r="N34" s="277">
        <f>SUMIFS('Bilateral Assistance, MAIN DATA'!S:S,'Bilateral Assistance, MAIN DATA'!B:B,'Commitments per Month'!B34,'Bilateral Assistance, MAIN DATA'!AG:AG,1,'Bilateral Assistance, MAIN DATA'!AH:AH,'Commitments per Month'!$N$11)/1000000000</f>
        <v>4.1847258005152731E-2</v>
      </c>
      <c r="O34" s="277">
        <f>SUMIFS('Bilateral Assistance, MAIN DATA'!S:S,'Bilateral Assistance, MAIN DATA'!B:B,'Commitments per Month'!B34,'Bilateral Assistance, MAIN DATA'!AG:AG,1,'Bilateral Assistance, MAIN DATA'!AH:AH,'Commitments per Month'!$O$11)/1000000000</f>
        <v>0.05</v>
      </c>
      <c r="P34" s="1206">
        <f>SUMIFS('Bilateral Assistance, MAIN DATA'!S:S,'Bilateral Assistance, MAIN DATA'!B:B,'Commitments per Month'!B34,'Bilateral Assistance, MAIN DATA'!AG:AG,1,'Bilateral Assistance, MAIN DATA'!AH:AH,'Commitments per Month'!$P$11)/1000000000</f>
        <v>0.125</v>
      </c>
      <c r="Q34" s="1206">
        <f>SUMIFS('Bilateral Assistance, MAIN DATA'!S:S,'Bilateral Assistance, MAIN DATA'!B:B,'Commitments per Month'!B34,'Bilateral Assistance, MAIN DATA'!AG:AG,1,'Bilateral Assistance, MAIN DATA'!AH:AH,'Commitments per Month'!$Q$11)/1000000000</f>
        <v>0</v>
      </c>
      <c r="R34" s="1206">
        <f>SUMIFS('Bilateral Assistance, MAIN DATA'!S:S,'Bilateral Assistance, MAIN DATA'!B:B,'Commitments per Month'!B34,'Bilateral Assistance, MAIN DATA'!AG:AG,1,'Bilateral Assistance, MAIN DATA'!AH:AH,'Commitments per Month'!$R$11)/1000000000</f>
        <v>4.4999999999999998E-2</v>
      </c>
      <c r="S34" s="1206">
        <f>SUMIFS('Bilateral Assistance, MAIN DATA'!S:S,'Bilateral Assistance, MAIN DATA'!B:B,'Commitments per Month'!B34,'Bilateral Assistance, MAIN DATA'!AG:AG,1,'Bilateral Assistance, MAIN DATA'!AH:AH,'Commitments per Month'!$S$11)/1000000000</f>
        <v>5.0999999999999997E-2</v>
      </c>
      <c r="T34" s="1206">
        <f>SUMIFS('Bilateral Assistance, MAIN DATA'!S:S,'Bilateral Assistance, MAIN DATA'!B:B,'Commitments per Month'!B34,'Bilateral Assistance, MAIN DATA'!AG:AG,1,'Bilateral Assistance, MAIN DATA'!AH:AH,'Commitments per Month'!$T$11)/1000000000</f>
        <v>0</v>
      </c>
      <c r="U34" s="277">
        <f t="shared" si="0"/>
        <v>0.58200000000000007</v>
      </c>
      <c r="V34" s="277">
        <f>SUMIFS('Bilateral Assistance, MAIN DATA'!S:S,'Bilateral Assistance, MAIN DATA'!B:B,'Commitments per Month'!B34,'Bilateral Assistance, MAIN DATA'!AG:AG,0)/1000000000</f>
        <v>0</v>
      </c>
    </row>
    <row r="35" spans="1:22" ht="15.95" customHeight="1">
      <c r="A35" s="19"/>
      <c r="B35" s="24" t="s">
        <v>2625</v>
      </c>
      <c r="C35" s="297">
        <v>1</v>
      </c>
      <c r="D35" s="276">
        <f>SUMIFS('Bilateral Assistance, MAIN DATA'!S:S,'Bilateral Assistance, MAIN DATA'!B:B,'Commitments per Month'!B35,'Bilateral Assistance, MAIN DATA'!AG:AG,1,'Bilateral Assistance, MAIN DATA'!AH:AH,'Commitments per Month'!$D$11)/1000000000</f>
        <v>0</v>
      </c>
      <c r="E35" s="276">
        <f>SUMIFS('Bilateral Assistance, MAIN DATA'!S:S,'Bilateral Assistance, MAIN DATA'!B:B,'Commitments per Month'!B35,'Bilateral Assistance, MAIN DATA'!AG:AG,1,'Bilateral Assistance, MAIN DATA'!AH:AH,'Commitments per Month'!$E$11)/1000000000</f>
        <v>0.05</v>
      </c>
      <c r="F35" s="276">
        <f>SUMIFS('Bilateral Assistance, MAIN DATA'!S:S,'Bilateral Assistance, MAIN DATA'!B:B,'Commitments per Month'!B35,'Bilateral Assistance, MAIN DATA'!AG:AG,1,'Bilateral Assistance, MAIN DATA'!AH:AH,'Commitments per Month'!$F$11)/1000000000</f>
        <v>5.5207949944792044E-4</v>
      </c>
      <c r="G35" s="276">
        <f>SUMIFS('Bilateral Assistance, MAIN DATA'!S:S,'Bilateral Assistance, MAIN DATA'!B:B,'Commitments per Month'!B35,'Bilateral Assistance, MAIN DATA'!AG:AG,1,'Bilateral Assistance, MAIN DATA'!AH:AH,'Commitments per Month'!$G$11)/1000000000</f>
        <v>0</v>
      </c>
      <c r="H35" s="276">
        <f>SUMIFS('Bilateral Assistance, MAIN DATA'!S:S,'Bilateral Assistance, MAIN DATA'!B:B,'Commitments per Month'!B35,'Bilateral Assistance, MAIN DATA'!AG:AG,1,'Bilateral Assistance, MAIN DATA'!AH:AH,'Commitments per Month'!$H$11)/1000000000</f>
        <v>1E-3</v>
      </c>
      <c r="I35" s="276">
        <f>SUMIFS('Bilateral Assistance, MAIN DATA'!S:S,'Bilateral Assistance, MAIN DATA'!B:B,'Commitments per Month'!B35,'Bilateral Assistance, MAIN DATA'!AG:AG,1,'Bilateral Assistance, MAIN DATA'!AH:AH,'Commitments per Month'!$I$11)/1000000000</f>
        <v>0</v>
      </c>
      <c r="J35" s="276">
        <f>SUMIFS('Bilateral Assistance, MAIN DATA'!S:S,'Bilateral Assistance, MAIN DATA'!B:B,'Commitments per Month'!B35,'Bilateral Assistance, MAIN DATA'!AG:AG,1,'Bilateral Assistance, MAIN DATA'!AH:AH,'Commitments per Month'!$J$11)/1000000000</f>
        <v>0</v>
      </c>
      <c r="K35" s="276">
        <f>SUMIFS('Bilateral Assistance, MAIN DATA'!S:S,'Bilateral Assistance, MAIN DATA'!B:B,'Commitments per Month'!B35,'Bilateral Assistance, MAIN DATA'!AG:AG,1,'Bilateral Assistance, MAIN DATA'!AH:AH,'Commitments per Month'!$K$11)/1000000000</f>
        <v>0</v>
      </c>
      <c r="L35" s="277">
        <f>SUMIFS('Bilateral Assistance, MAIN DATA'!S:S,'Bilateral Assistance, MAIN DATA'!B:B,'Commitments per Month'!B35,'Bilateral Assistance, MAIN DATA'!AG:AG,1,'Bilateral Assistance, MAIN DATA'!AH:AH,'Commitments per Month'!$L$11)/1000000000</f>
        <v>0</v>
      </c>
      <c r="M35" s="239">
        <f>SUMIFS('Bilateral Assistance, MAIN DATA'!S:S,'Bilateral Assistance, MAIN DATA'!B:B,'Commitments per Month'!B35,'Bilateral Assistance, MAIN DATA'!AG:AG,1,'Bilateral Assistance, MAIN DATA'!AH:AH,'Commitments per Month'!$M$11)/1000000000</f>
        <v>2.1447920500552074E-2</v>
      </c>
      <c r="N35" s="277">
        <f>SUMIFS('Bilateral Assistance, MAIN DATA'!S:S,'Bilateral Assistance, MAIN DATA'!B:B,'Commitments per Month'!B35,'Bilateral Assistance, MAIN DATA'!AG:AG,1,'Bilateral Assistance, MAIN DATA'!AH:AH,'Commitments per Month'!$N$11)/1000000000</f>
        <v>3.0000000000000001E-3</v>
      </c>
      <c r="O35" s="277">
        <f>SUMIFS('Bilateral Assistance, MAIN DATA'!S:S,'Bilateral Assistance, MAIN DATA'!B:B,'Commitments per Month'!B35,'Bilateral Assistance, MAIN DATA'!AG:AG,1,'Bilateral Assistance, MAIN DATA'!AH:AH,'Commitments per Month'!$O$11)/1000000000</f>
        <v>0</v>
      </c>
      <c r="P35" s="1206">
        <f>SUMIFS('Bilateral Assistance, MAIN DATA'!S:S,'Bilateral Assistance, MAIN DATA'!B:B,'Commitments per Month'!B35,'Bilateral Assistance, MAIN DATA'!AG:AG,1,'Bilateral Assistance, MAIN DATA'!AH:AH,'Commitments per Month'!$P$11)/1000000000</f>
        <v>0</v>
      </c>
      <c r="Q35" s="1206">
        <f>SUMIFS('Bilateral Assistance, MAIN DATA'!S:S,'Bilateral Assistance, MAIN DATA'!B:B,'Commitments per Month'!B35,'Bilateral Assistance, MAIN DATA'!AG:AG,1,'Bilateral Assistance, MAIN DATA'!AH:AH,'Commitments per Month'!$Q$11)/1000000000</f>
        <v>1.66E-2</v>
      </c>
      <c r="R35" s="1206">
        <f>SUMIFS('Bilateral Assistance, MAIN DATA'!S:S,'Bilateral Assistance, MAIN DATA'!B:B,'Commitments per Month'!B35,'Bilateral Assistance, MAIN DATA'!AG:AG,1,'Bilateral Assistance, MAIN DATA'!AH:AH,'Commitments per Month'!$R$11)/1000000000</f>
        <v>3.1999999999999999E-5</v>
      </c>
      <c r="S35" s="1206">
        <f>SUMIFS('Bilateral Assistance, MAIN DATA'!S:S,'Bilateral Assistance, MAIN DATA'!B:B,'Commitments per Month'!B35,'Bilateral Assistance, MAIN DATA'!AG:AG,1,'Bilateral Assistance, MAIN DATA'!AH:AH,'Commitments per Month'!$S$11)/1000000000</f>
        <v>0</v>
      </c>
      <c r="T35" s="1206">
        <f>SUMIFS('Bilateral Assistance, MAIN DATA'!S:S,'Bilateral Assistance, MAIN DATA'!B:B,'Commitments per Month'!B35,'Bilateral Assistance, MAIN DATA'!AG:AG,1,'Bilateral Assistance, MAIN DATA'!AH:AH,'Commitments per Month'!$T$11)/1000000000</f>
        <v>0</v>
      </c>
      <c r="U35" s="277">
        <f t="shared" si="0"/>
        <v>9.2632000000000006E-2</v>
      </c>
      <c r="V35" s="277">
        <f>SUMIFS('Bilateral Assistance, MAIN DATA'!S:S,'Bilateral Assistance, MAIN DATA'!B:B,'Commitments per Month'!B35,'Bilateral Assistance, MAIN DATA'!AG:AG,0)/1000000000</f>
        <v>3.0000000000000001E-3</v>
      </c>
    </row>
    <row r="36" spans="1:22" ht="15.95" customHeight="1">
      <c r="A36" s="19"/>
      <c r="B36" s="24" t="s">
        <v>2678</v>
      </c>
      <c r="C36" s="297">
        <v>1</v>
      </c>
      <c r="D36" s="276">
        <f>SUMIFS('Bilateral Assistance, MAIN DATA'!S:S,'Bilateral Assistance, MAIN DATA'!B:B,'Commitments per Month'!B36,'Bilateral Assistance, MAIN DATA'!AG:AG,1,'Bilateral Assistance, MAIN DATA'!AH:AH,'Commitments per Month'!$D$11)/1000000000</f>
        <v>0</v>
      </c>
      <c r="E36" s="276">
        <f>SUMIFS('Bilateral Assistance, MAIN DATA'!S:S,'Bilateral Assistance, MAIN DATA'!B:B,'Commitments per Month'!B36,'Bilateral Assistance, MAIN DATA'!AG:AG,1,'Bilateral Assistance, MAIN DATA'!AH:AH,'Commitments per Month'!$E$11)/1000000000</f>
        <v>0</v>
      </c>
      <c r="F36" s="276">
        <f>SUMIFS('Bilateral Assistance, MAIN DATA'!S:S,'Bilateral Assistance, MAIN DATA'!B:B,'Commitments per Month'!B36,'Bilateral Assistance, MAIN DATA'!AG:AG,1,'Bilateral Assistance, MAIN DATA'!AH:AH,'Commitments per Month'!$F$11)/1000000000</f>
        <v>1.15E-3</v>
      </c>
      <c r="G36" s="276">
        <f>SUMIFS('Bilateral Assistance, MAIN DATA'!S:S,'Bilateral Assistance, MAIN DATA'!B:B,'Commitments per Month'!B36,'Bilateral Assistance, MAIN DATA'!AG:AG,1,'Bilateral Assistance, MAIN DATA'!AH:AH,'Commitments per Month'!$G$11)/1000000000</f>
        <v>0</v>
      </c>
      <c r="H36" s="276">
        <f>SUMIFS('Bilateral Assistance, MAIN DATA'!S:S,'Bilateral Assistance, MAIN DATA'!B:B,'Commitments per Month'!B36,'Bilateral Assistance, MAIN DATA'!AG:AG,1,'Bilateral Assistance, MAIN DATA'!AH:AH,'Commitments per Month'!$H$11)/1000000000</f>
        <v>0</v>
      </c>
      <c r="I36" s="276">
        <f>SUMIFS('Bilateral Assistance, MAIN DATA'!S:S,'Bilateral Assistance, MAIN DATA'!B:B,'Commitments per Month'!B36,'Bilateral Assistance, MAIN DATA'!AG:AG,1,'Bilateral Assistance, MAIN DATA'!AH:AH,'Commitments per Month'!$I$11)/1000000000</f>
        <v>0</v>
      </c>
      <c r="J36" s="276">
        <f>SUMIFS('Bilateral Assistance, MAIN DATA'!S:S,'Bilateral Assistance, MAIN DATA'!B:B,'Commitments per Month'!B36,'Bilateral Assistance, MAIN DATA'!AG:AG,1,'Bilateral Assistance, MAIN DATA'!AH:AH,'Commitments per Month'!$J$11)/1000000000</f>
        <v>0</v>
      </c>
      <c r="K36" s="276">
        <f>SUMIFS('Bilateral Assistance, MAIN DATA'!S:S,'Bilateral Assistance, MAIN DATA'!B:B,'Commitments per Month'!B36,'Bilateral Assistance, MAIN DATA'!AG:AG,1,'Bilateral Assistance, MAIN DATA'!AH:AH,'Commitments per Month'!$K$11)/1000000000</f>
        <v>0</v>
      </c>
      <c r="L36" s="277">
        <f>SUMIFS('Bilateral Assistance, MAIN DATA'!S:S,'Bilateral Assistance, MAIN DATA'!B:B,'Commitments per Month'!B36,'Bilateral Assistance, MAIN DATA'!AG:AG,1,'Bilateral Assistance, MAIN DATA'!AH:AH,'Commitments per Month'!$L$11)/1000000000</f>
        <v>0</v>
      </c>
      <c r="M36" s="239">
        <f>SUMIFS('Bilateral Assistance, MAIN DATA'!S:S,'Bilateral Assistance, MAIN DATA'!B:B,'Commitments per Month'!B36,'Bilateral Assistance, MAIN DATA'!AG:AG,1,'Bilateral Assistance, MAIN DATA'!AH:AH,'Commitments per Month'!$M$11)/1000000000</f>
        <v>0</v>
      </c>
      <c r="N36" s="277">
        <f>SUMIFS('Bilateral Assistance, MAIN DATA'!S:S,'Bilateral Assistance, MAIN DATA'!B:B,'Commitments per Month'!B36,'Bilateral Assistance, MAIN DATA'!AG:AG,1,'Bilateral Assistance, MAIN DATA'!AH:AH,'Commitments per Month'!$N$11)/1000000000</f>
        <v>0</v>
      </c>
      <c r="O36" s="277">
        <f>SUMIFS('Bilateral Assistance, MAIN DATA'!S:S,'Bilateral Assistance, MAIN DATA'!B:B,'Commitments per Month'!B36,'Bilateral Assistance, MAIN DATA'!AG:AG,1,'Bilateral Assistance, MAIN DATA'!AH:AH,'Commitments per Month'!$O$11)/1000000000</f>
        <v>0</v>
      </c>
      <c r="P36" s="1206">
        <f>SUMIFS('Bilateral Assistance, MAIN DATA'!S:S,'Bilateral Assistance, MAIN DATA'!B:B,'Commitments per Month'!B36,'Bilateral Assistance, MAIN DATA'!AG:AG,1,'Bilateral Assistance, MAIN DATA'!AH:AH,'Commitments per Month'!$P$11)/1000000000</f>
        <v>3.6999999999999999E-4</v>
      </c>
      <c r="Q36" s="1206">
        <f>SUMIFS('Bilateral Assistance, MAIN DATA'!S:S,'Bilateral Assistance, MAIN DATA'!B:B,'Commitments per Month'!B36,'Bilateral Assistance, MAIN DATA'!AG:AG,1,'Bilateral Assistance, MAIN DATA'!AH:AH,'Commitments per Month'!$Q$11)/1000000000</f>
        <v>0</v>
      </c>
      <c r="R36" s="1206">
        <f>SUMIFS('Bilateral Assistance, MAIN DATA'!S:S,'Bilateral Assistance, MAIN DATA'!B:B,'Commitments per Month'!B36,'Bilateral Assistance, MAIN DATA'!AG:AG,1,'Bilateral Assistance, MAIN DATA'!AH:AH,'Commitments per Month'!$R$11)/1000000000</f>
        <v>0</v>
      </c>
      <c r="S36" s="1206">
        <f>SUMIFS('Bilateral Assistance, MAIN DATA'!S:S,'Bilateral Assistance, MAIN DATA'!B:B,'Commitments per Month'!B36,'Bilateral Assistance, MAIN DATA'!AG:AG,1,'Bilateral Assistance, MAIN DATA'!AH:AH,'Commitments per Month'!$S$11)/1000000000</f>
        <v>0</v>
      </c>
      <c r="T36" s="1206">
        <f>SUMIFS('Bilateral Assistance, MAIN DATA'!S:S,'Bilateral Assistance, MAIN DATA'!B:B,'Commitments per Month'!B36,'Bilateral Assistance, MAIN DATA'!AG:AG,1,'Bilateral Assistance, MAIN DATA'!AH:AH,'Commitments per Month'!$T$11)/1000000000</f>
        <v>0</v>
      </c>
      <c r="U36" s="277">
        <f t="shared" si="0"/>
        <v>1.5200000000000001E-3</v>
      </c>
      <c r="V36" s="277">
        <f>SUMIFS('Bilateral Assistance, MAIN DATA'!S:S,'Bilateral Assistance, MAIN DATA'!B:B,'Commitments per Month'!B36,'Bilateral Assistance, MAIN DATA'!AG:AG,0)/1000000000</f>
        <v>5.5000000000000003E-4</v>
      </c>
    </row>
    <row r="37" spans="1:22" ht="15.95" customHeight="1">
      <c r="A37" s="19"/>
      <c r="B37" s="24" t="s">
        <v>2693</v>
      </c>
      <c r="C37" s="297">
        <v>1</v>
      </c>
      <c r="D37" s="276">
        <f>SUMIFS('Bilateral Assistance, MAIN DATA'!S:S,'Bilateral Assistance, MAIN DATA'!B:B,'Commitments per Month'!B37,'Bilateral Assistance, MAIN DATA'!AG:AG,1,'Bilateral Assistance, MAIN DATA'!AH:AH,'Commitments per Month'!$D$11)/1000000000</f>
        <v>0</v>
      </c>
      <c r="E37" s="276">
        <f>SUMIFS('Bilateral Assistance, MAIN DATA'!S:S,'Bilateral Assistance, MAIN DATA'!B:B,'Commitments per Month'!B37,'Bilateral Assistance, MAIN DATA'!AG:AG,1,'Bilateral Assistance, MAIN DATA'!AH:AH,'Commitments per Month'!$E$11)/1000000000</f>
        <v>0.05</v>
      </c>
      <c r="F37" s="276">
        <f>SUMIFS('Bilateral Assistance, MAIN DATA'!S:S,'Bilateral Assistance, MAIN DATA'!B:B,'Commitments per Month'!B37,'Bilateral Assistance, MAIN DATA'!AG:AG,1,'Bilateral Assistance, MAIN DATA'!AH:AH,'Commitments per Month'!$F$11)/1000000000</f>
        <v>9.6852502760397488E-2</v>
      </c>
      <c r="G37" s="276">
        <f>SUMIFS('Bilateral Assistance, MAIN DATA'!S:S,'Bilateral Assistance, MAIN DATA'!B:B,'Commitments per Month'!B37,'Bilateral Assistance, MAIN DATA'!AG:AG,1,'Bilateral Assistance, MAIN DATA'!AH:AH,'Commitments per Month'!$G$11)/1000000000</f>
        <v>9.351249350617015E-2</v>
      </c>
      <c r="H37" s="276">
        <f>SUMIFS('Bilateral Assistance, MAIN DATA'!S:S,'Bilateral Assistance, MAIN DATA'!B:B,'Commitments per Month'!B37,'Bilateral Assistance, MAIN DATA'!AG:AG,1,'Bilateral Assistance, MAIN DATA'!AH:AH,'Commitments per Month'!$H$11)/1000000000</f>
        <v>9.9664151637835832E-3</v>
      </c>
      <c r="I37" s="276">
        <f>SUMIFS('Bilateral Assistance, MAIN DATA'!S:S,'Bilateral Assistance, MAIN DATA'!B:B,'Commitments per Month'!B37,'Bilateral Assistance, MAIN DATA'!AG:AG,1,'Bilateral Assistance, MAIN DATA'!AH:AH,'Commitments per Month'!$I$11)/1000000000</f>
        <v>5.7358043398512533E-2</v>
      </c>
      <c r="J37" s="276">
        <f>SUMIFS('Bilateral Assistance, MAIN DATA'!S:S,'Bilateral Assistance, MAIN DATA'!B:B,'Commitments per Month'!B37,'Bilateral Assistance, MAIN DATA'!AG:AG,1,'Bilateral Assistance, MAIN DATA'!AH:AH,'Commitments per Month'!$J$11)/1000000000</f>
        <v>0.2</v>
      </c>
      <c r="K37" s="276">
        <f>SUMIFS('Bilateral Assistance, MAIN DATA'!S:S,'Bilateral Assistance, MAIN DATA'!B:B,'Commitments per Month'!B37,'Bilateral Assistance, MAIN DATA'!AG:AG,1,'Bilateral Assistance, MAIN DATA'!AH:AH,'Commitments per Month'!$K$11)/1000000000</f>
        <v>0.42295224557599448</v>
      </c>
      <c r="L37" s="277">
        <f>SUMIFS('Bilateral Assistance, MAIN DATA'!S:S,'Bilateral Assistance, MAIN DATA'!B:B,'Commitments per Month'!B37,'Bilateral Assistance, MAIN DATA'!AG:AG,1,'Bilateral Assistance, MAIN DATA'!AH:AH,'Commitments per Month'!$L$11)/1000000000</f>
        <v>0</v>
      </c>
      <c r="M37" s="239">
        <f>SUMIFS('Bilateral Assistance, MAIN DATA'!S:S,'Bilateral Assistance, MAIN DATA'!B:B,'Commitments per Month'!B37,'Bilateral Assistance, MAIN DATA'!AG:AG,1,'Bilateral Assistance, MAIN DATA'!AH:AH,'Commitments per Month'!$M$11)/1000000000</f>
        <v>0.18</v>
      </c>
      <c r="N37" s="277">
        <f>SUMIFS('Bilateral Assistance, MAIN DATA'!S:S,'Bilateral Assistance, MAIN DATA'!B:B,'Commitments per Month'!B37,'Bilateral Assistance, MAIN DATA'!AG:AG,1,'Bilateral Assistance, MAIN DATA'!AH:AH,'Commitments per Month'!$N$11)/1000000000</f>
        <v>0.245</v>
      </c>
      <c r="O37" s="277">
        <f>SUMIFS('Bilateral Assistance, MAIN DATA'!S:S,'Bilateral Assistance, MAIN DATA'!B:B,'Commitments per Month'!B37,'Bilateral Assistance, MAIN DATA'!AG:AG,1,'Bilateral Assistance, MAIN DATA'!AH:AH,'Commitments per Month'!$O$11)/1000000000</f>
        <v>2.706</v>
      </c>
      <c r="P37" s="1206">
        <f>SUMIFS('Bilateral Assistance, MAIN DATA'!S:S,'Bilateral Assistance, MAIN DATA'!B:B,'Commitments per Month'!B37,'Bilateral Assistance, MAIN DATA'!AG:AG,1,'Bilateral Assistance, MAIN DATA'!AH:AH,'Commitments per Month'!$P$11)/1000000000</f>
        <v>0</v>
      </c>
      <c r="Q37" s="1206">
        <f>SUMIFS('Bilateral Assistance, MAIN DATA'!S:S,'Bilateral Assistance, MAIN DATA'!B:B,'Commitments per Month'!B37,'Bilateral Assistance, MAIN DATA'!AG:AG,1,'Bilateral Assistance, MAIN DATA'!AH:AH,'Commitments per Month'!$Q$11)/1000000000</f>
        <v>0</v>
      </c>
      <c r="R37" s="1206">
        <f>SUMIFS('Bilateral Assistance, MAIN DATA'!S:S,'Bilateral Assistance, MAIN DATA'!B:B,'Commitments per Month'!B37,'Bilateral Assistance, MAIN DATA'!AG:AG,1,'Bilateral Assistance, MAIN DATA'!AH:AH,'Commitments per Month'!$R$11)/1000000000</f>
        <v>0</v>
      </c>
      <c r="S37" s="1206">
        <f>SUMIFS('Bilateral Assistance, MAIN DATA'!S:S,'Bilateral Assistance, MAIN DATA'!B:B,'Commitments per Month'!B37,'Bilateral Assistance, MAIN DATA'!AG:AG,1,'Bilateral Assistance, MAIN DATA'!AH:AH,'Commitments per Month'!$S$11)/1000000000</f>
        <v>0</v>
      </c>
      <c r="T37" s="1206">
        <f>SUMIFS('Bilateral Assistance, MAIN DATA'!S:S,'Bilateral Assistance, MAIN DATA'!B:B,'Commitments per Month'!B37,'Bilateral Assistance, MAIN DATA'!AG:AG,1,'Bilateral Assistance, MAIN DATA'!AH:AH,'Commitments per Month'!$T$11)/1000000000</f>
        <v>0</v>
      </c>
      <c r="U37" s="277">
        <f t="shared" si="0"/>
        <v>4.0616417004048575</v>
      </c>
      <c r="V37" s="277">
        <f>SUMIFS('Bilateral Assistance, MAIN DATA'!S:S,'Bilateral Assistance, MAIN DATA'!B:B,'Commitments per Month'!B37,'Bilateral Assistance, MAIN DATA'!AG:AG,0)/1000000000</f>
        <v>1.5E-3</v>
      </c>
    </row>
    <row r="38" spans="1:22" ht="15.95" customHeight="1">
      <c r="A38" s="19"/>
      <c r="B38" s="2" t="s">
        <v>2832</v>
      </c>
      <c r="C38" s="297">
        <v>0</v>
      </c>
      <c r="D38" s="276">
        <f>SUMIFS('Bilateral Assistance, MAIN DATA'!S:S,'Bilateral Assistance, MAIN DATA'!B:B,'Commitments per Month'!B38,'Bilateral Assistance, MAIN DATA'!AG:AG,1,'Bilateral Assistance, MAIN DATA'!AH:AH,'Commitments per Month'!$D$11)/1000000000</f>
        <v>0</v>
      </c>
      <c r="E38" s="276">
        <f>SUMIFS('Bilateral Assistance, MAIN DATA'!S:S,'Bilateral Assistance, MAIN DATA'!B:B,'Commitments per Month'!B38,'Bilateral Assistance, MAIN DATA'!AG:AG,1,'Bilateral Assistance, MAIN DATA'!AH:AH,'Commitments per Month'!$E$11)/1000000000</f>
        <v>2.2881986156398373E-3</v>
      </c>
      <c r="F38" s="276">
        <f>SUMIFS('Bilateral Assistance, MAIN DATA'!S:S,'Bilateral Assistance, MAIN DATA'!B:B,'Commitments per Month'!B38,'Bilateral Assistance, MAIN DATA'!AG:AG,1,'Bilateral Assistance, MAIN DATA'!AH:AH,'Commitments per Month'!$F$11)/1000000000</f>
        <v>8.9239746009953658E-3</v>
      </c>
      <c r="G38" s="276">
        <f>SUMIFS('Bilateral Assistance, MAIN DATA'!S:S,'Bilateral Assistance, MAIN DATA'!B:B,'Commitments per Month'!B38,'Bilateral Assistance, MAIN DATA'!AG:AG,1,'Bilateral Assistance, MAIN DATA'!AH:AH,'Commitments per Month'!$G$11)/1000000000</f>
        <v>6.6357759853555289E-3</v>
      </c>
      <c r="H38" s="276">
        <f>SUMIFS('Bilateral Assistance, MAIN DATA'!S:S,'Bilateral Assistance, MAIN DATA'!B:B,'Commitments per Month'!B38,'Bilateral Assistance, MAIN DATA'!AG:AG,1,'Bilateral Assistance, MAIN DATA'!AH:AH,'Commitments per Month'!$H$11)/1000000000</f>
        <v>0</v>
      </c>
      <c r="I38" s="276">
        <f>SUMIFS('Bilateral Assistance, MAIN DATA'!S:S,'Bilateral Assistance, MAIN DATA'!B:B,'Commitments per Month'!B38,'Bilateral Assistance, MAIN DATA'!AG:AG,1,'Bilateral Assistance, MAIN DATA'!AH:AH,'Commitments per Month'!$I$11)/1000000000</f>
        <v>2.5742234425948172E-3</v>
      </c>
      <c r="J38" s="276">
        <f>SUMIFS('Bilateral Assistance, MAIN DATA'!S:S,'Bilateral Assistance, MAIN DATA'!B:B,'Commitments per Month'!B38,'Bilateral Assistance, MAIN DATA'!AG:AG,1,'Bilateral Assistance, MAIN DATA'!AH:AH,'Commitments per Month'!$J$11)/1000000000</f>
        <v>0</v>
      </c>
      <c r="K38" s="276">
        <f>SUMIFS('Bilateral Assistance, MAIN DATA'!S:S,'Bilateral Assistance, MAIN DATA'!B:B,'Commitments per Month'!B38,'Bilateral Assistance, MAIN DATA'!AG:AG,1,'Bilateral Assistance, MAIN DATA'!AH:AH,'Commitments per Month'!$K$11)/1000000000</f>
        <v>0</v>
      </c>
      <c r="L38" s="277">
        <f>SUMIFS('Bilateral Assistance, MAIN DATA'!S:S,'Bilateral Assistance, MAIN DATA'!B:B,'Commitments per Month'!B38,'Bilateral Assistance, MAIN DATA'!AG:AG,1,'Bilateral Assistance, MAIN DATA'!AH:AH,'Commitments per Month'!$L$11)/1000000000</f>
        <v>0</v>
      </c>
      <c r="M38" s="239">
        <f>SUMIFS('Bilateral Assistance, MAIN DATA'!S:S,'Bilateral Assistance, MAIN DATA'!B:B,'Commitments per Month'!B38,'Bilateral Assistance, MAIN DATA'!AG:AG,1,'Bilateral Assistance, MAIN DATA'!AH:AH,'Commitments per Month'!$M$11)/1000000000</f>
        <v>0</v>
      </c>
      <c r="N38" s="277">
        <f>SUMIFS('Bilateral Assistance, MAIN DATA'!S:S,'Bilateral Assistance, MAIN DATA'!B:B,'Commitments per Month'!B38,'Bilateral Assistance, MAIN DATA'!AG:AG,1,'Bilateral Assistance, MAIN DATA'!AH:AH,'Commitments per Month'!$N$11)/1000000000</f>
        <v>1.0582918597334249E-3</v>
      </c>
      <c r="O38" s="277">
        <f>SUMIFS('Bilateral Assistance, MAIN DATA'!S:S,'Bilateral Assistance, MAIN DATA'!B:B,'Commitments per Month'!B38,'Bilateral Assistance, MAIN DATA'!AG:AG,1,'Bilateral Assistance, MAIN DATA'!AH:AH,'Commitments per Month'!$O$11)/1000000000</f>
        <v>1.716148961729878E-3</v>
      </c>
      <c r="P38" s="1206">
        <f>SUMIFS('Bilateral Assistance, MAIN DATA'!S:S,'Bilateral Assistance, MAIN DATA'!B:B,'Commitments per Month'!B38,'Bilateral Assistance, MAIN DATA'!AG:AG,1,'Bilateral Assistance, MAIN DATA'!AH:AH,'Commitments per Month'!$P$11)/1000000000</f>
        <v>0</v>
      </c>
      <c r="Q38" s="1206">
        <f>SUMIFS('Bilateral Assistance, MAIN DATA'!S:S,'Bilateral Assistance, MAIN DATA'!B:B,'Commitments per Month'!B38,'Bilateral Assistance, MAIN DATA'!AG:AG,1,'Bilateral Assistance, MAIN DATA'!AH:AH,'Commitments per Month'!$Q$11)/1000000000</f>
        <v>0</v>
      </c>
      <c r="R38" s="1206">
        <f>SUMIFS('Bilateral Assistance, MAIN DATA'!S:S,'Bilateral Assistance, MAIN DATA'!B:B,'Commitments per Month'!B38,'Bilateral Assistance, MAIN DATA'!AG:AG,1,'Bilateral Assistance, MAIN DATA'!AH:AH,'Commitments per Month'!$R$11)/1000000000</f>
        <v>0</v>
      </c>
      <c r="S38" s="1206">
        <f>SUMIFS('Bilateral Assistance, MAIN DATA'!S:S,'Bilateral Assistance, MAIN DATA'!B:B,'Commitments per Month'!B38,'Bilateral Assistance, MAIN DATA'!AG:AG,1,'Bilateral Assistance, MAIN DATA'!AH:AH,'Commitments per Month'!$S$11)/1000000000</f>
        <v>0</v>
      </c>
      <c r="T38" s="1206">
        <f>SUMIFS('Bilateral Assistance, MAIN DATA'!S:S,'Bilateral Assistance, MAIN DATA'!B:B,'Commitments per Month'!B38,'Bilateral Assistance, MAIN DATA'!AG:AG,1,'Bilateral Assistance, MAIN DATA'!AH:AH,'Commitments per Month'!$T$11)/1000000000</f>
        <v>2.0021737886848578E-3</v>
      </c>
      <c r="U38" s="277">
        <f t="shared" si="0"/>
        <v>2.5198787254733707E-2</v>
      </c>
      <c r="V38" s="277">
        <f>SUMIFS('Bilateral Assistance, MAIN DATA'!S:S,'Bilateral Assistance, MAIN DATA'!B:B,'Commitments per Month'!B38,'Bilateral Assistance, MAIN DATA'!AG:AG,0)/1000000000</f>
        <v>0</v>
      </c>
    </row>
    <row r="39" spans="1:22" ht="15.95" customHeight="1">
      <c r="A39" s="19"/>
      <c r="B39" s="2" t="s">
        <v>2882</v>
      </c>
      <c r="C39" s="297">
        <v>0</v>
      </c>
      <c r="D39" s="276">
        <f>SUMIFS('Bilateral Assistance, MAIN DATA'!S:S,'Bilateral Assistance, MAIN DATA'!B:B,'Commitments per Month'!B39,'Bilateral Assistance, MAIN DATA'!AG:AG,1,'Bilateral Assistance, MAIN DATA'!AH:AH,'Commitments per Month'!$D$11)/1000000000</f>
        <v>0</v>
      </c>
      <c r="E39" s="276">
        <f>SUMIFS('Bilateral Assistance, MAIN DATA'!S:S,'Bilateral Assistance, MAIN DATA'!B:B,'Commitments per Month'!B39,'Bilateral Assistance, MAIN DATA'!AG:AG,1,'Bilateral Assistance, MAIN DATA'!AH:AH,'Commitments per Month'!$E$11)/1000000000</f>
        <v>0</v>
      </c>
      <c r="F39" s="276">
        <f>SUMIFS('Bilateral Assistance, MAIN DATA'!S:S,'Bilateral Assistance, MAIN DATA'!B:B,'Commitments per Month'!B39,'Bilateral Assistance, MAIN DATA'!AG:AG,1,'Bilateral Assistance, MAIN DATA'!AH:AH,'Commitments per Month'!$F$11)/1000000000</f>
        <v>0</v>
      </c>
      <c r="G39" s="276">
        <f>SUMIFS('Bilateral Assistance, MAIN DATA'!S:S,'Bilateral Assistance, MAIN DATA'!B:B,'Commitments per Month'!B39,'Bilateral Assistance, MAIN DATA'!AG:AG,1,'Bilateral Assistance, MAIN DATA'!AH:AH,'Commitments per Month'!$G$11)/1000000000</f>
        <v>6.5200715929429803E-2</v>
      </c>
      <c r="H39" s="276">
        <f>SUMIFS('Bilateral Assistance, MAIN DATA'!S:S,'Bilateral Assistance, MAIN DATA'!B:B,'Commitments per Month'!B39,'Bilateral Assistance, MAIN DATA'!AG:AG,1,'Bilateral Assistance, MAIN DATA'!AH:AH,'Commitments per Month'!$H$11)/1000000000</f>
        <v>2.9830392908889454E-2</v>
      </c>
      <c r="I39" s="276">
        <f>SUMIFS('Bilateral Assistance, MAIN DATA'!S:S,'Bilateral Assistance, MAIN DATA'!B:B,'Commitments per Month'!B39,'Bilateral Assistance, MAIN DATA'!AG:AG,1,'Bilateral Assistance, MAIN DATA'!AH:AH,'Commitments per Month'!$I$11)/1000000000</f>
        <v>2.6421205147873519E-2</v>
      </c>
      <c r="J39" s="276">
        <f>SUMIFS('Bilateral Assistance, MAIN DATA'!S:S,'Bilateral Assistance, MAIN DATA'!B:B,'Commitments per Month'!B39,'Bilateral Assistance, MAIN DATA'!AG:AG,1,'Bilateral Assistance, MAIN DATA'!AH:AH,'Commitments per Month'!$J$11)/1000000000</f>
        <v>9.3752663427938282E-2</v>
      </c>
      <c r="K39" s="276">
        <f>SUMIFS('Bilateral Assistance, MAIN DATA'!S:S,'Bilateral Assistance, MAIN DATA'!B:B,'Commitments per Month'!B39,'Bilateral Assistance, MAIN DATA'!AG:AG,1,'Bilateral Assistance, MAIN DATA'!AH:AH,'Commitments per Month'!$K$11)/1000000000</f>
        <v>8.4377397085144454E-2</v>
      </c>
      <c r="L39" s="277">
        <f>SUMIFS('Bilateral Assistance, MAIN DATA'!S:S,'Bilateral Assistance, MAIN DATA'!B:B,'Commitments per Month'!B39,'Bilateral Assistance, MAIN DATA'!AG:AG,1,'Bilateral Assistance, MAIN DATA'!AH:AH,'Commitments per Month'!$L$11)/1000000000</f>
        <v>0.25568908207619534</v>
      </c>
      <c r="M39" s="239">
        <f>SUMIFS('Bilateral Assistance, MAIN DATA'!S:S,'Bilateral Assistance, MAIN DATA'!B:B,'Commitments per Month'!B39,'Bilateral Assistance, MAIN DATA'!AG:AG,1,'Bilateral Assistance, MAIN DATA'!AH:AH,'Commitments per Month'!$M$11)/1000000000</f>
        <v>0.25568908207619534</v>
      </c>
      <c r="N39" s="277">
        <f>SUMIFS('Bilateral Assistance, MAIN DATA'!S:S,'Bilateral Assistance, MAIN DATA'!B:B,'Commitments per Month'!B39,'Bilateral Assistance, MAIN DATA'!AG:AG,1,'Bilateral Assistance, MAIN DATA'!AH:AH,'Commitments per Month'!$N$11)/1000000000</f>
        <v>0</v>
      </c>
      <c r="O39" s="277">
        <f>SUMIFS('Bilateral Assistance, MAIN DATA'!S:S,'Bilateral Assistance, MAIN DATA'!B:B,'Commitments per Month'!B39,'Bilateral Assistance, MAIN DATA'!AG:AG,1,'Bilateral Assistance, MAIN DATA'!AH:AH,'Commitments per Month'!$O$11)/1000000000</f>
        <v>0</v>
      </c>
      <c r="P39" s="1206">
        <f>SUMIFS('Bilateral Assistance, MAIN DATA'!S:S,'Bilateral Assistance, MAIN DATA'!B:B,'Commitments per Month'!B39,'Bilateral Assistance, MAIN DATA'!AG:AG,1,'Bilateral Assistance, MAIN DATA'!AH:AH,'Commitments per Month'!$P$11)/1000000000</f>
        <v>3.4091877610159375E-3</v>
      </c>
      <c r="Q39" s="1206">
        <f>SUMIFS('Bilateral Assistance, MAIN DATA'!S:S,'Bilateral Assistance, MAIN DATA'!B:B,'Commitments per Month'!B39,'Bilateral Assistance, MAIN DATA'!AG:AG,1,'Bilateral Assistance, MAIN DATA'!AH:AH,'Commitments per Month'!$Q$11)/1000000000</f>
        <v>1.2750570507116681</v>
      </c>
      <c r="R39" s="1206">
        <f>SUMIFS('Bilateral Assistance, MAIN DATA'!S:S,'Bilateral Assistance, MAIN DATA'!B:B,'Commitments per Month'!B39,'Bilateral Assistance, MAIN DATA'!AG:AG,1,'Bilateral Assistance, MAIN DATA'!AH:AH,'Commitments per Month'!$R$11)/1000000000</f>
        <v>0</v>
      </c>
      <c r="S39" s="1206">
        <f>SUMIFS('Bilateral Assistance, MAIN DATA'!S:S,'Bilateral Assistance, MAIN DATA'!B:B,'Commitments per Month'!B39,'Bilateral Assistance, MAIN DATA'!AG:AG,1,'Bilateral Assistance, MAIN DATA'!AH:AH,'Commitments per Month'!$S$11)/1000000000</f>
        <v>0</v>
      </c>
      <c r="T39" s="1206">
        <f>SUMIFS('Bilateral Assistance, MAIN DATA'!S:S,'Bilateral Assistance, MAIN DATA'!B:B,'Commitments per Month'!B39,'Bilateral Assistance, MAIN DATA'!AG:AG,1,'Bilateral Assistance, MAIN DATA'!AH:AH,'Commitments per Month'!$T$11)/1000000000</f>
        <v>0</v>
      </c>
      <c r="U39" s="277">
        <f t="shared" si="0"/>
        <v>2.0894267771243502</v>
      </c>
      <c r="V39" s="277">
        <f>SUMIFS('Bilateral Assistance, MAIN DATA'!S:S,'Bilateral Assistance, MAIN DATA'!B:B,'Commitments per Month'!B39,'Bilateral Assistance, MAIN DATA'!AG:AG,0)/1000000000</f>
        <v>0</v>
      </c>
    </row>
    <row r="40" spans="1:22" ht="15.95" customHeight="1">
      <c r="A40" s="19"/>
      <c r="B40" s="24" t="s">
        <v>2989</v>
      </c>
      <c r="C40" s="297">
        <v>1</v>
      </c>
      <c r="D40" s="276">
        <f>SUMIFS('Bilateral Assistance, MAIN DATA'!S:S,'Bilateral Assistance, MAIN DATA'!B:B,'Commitments per Month'!B40,'Bilateral Assistance, MAIN DATA'!AG:AG,1,'Bilateral Assistance, MAIN DATA'!AH:AH,'Commitments per Month'!$D$11)/1000000000</f>
        <v>0</v>
      </c>
      <c r="E40" s="276">
        <f>SUMIFS('Bilateral Assistance, MAIN DATA'!S:S,'Bilateral Assistance, MAIN DATA'!B:B,'Commitments per Month'!B40,'Bilateral Assistance, MAIN DATA'!AG:AG,1,'Bilateral Assistance, MAIN DATA'!AH:AH,'Commitments per Month'!$E$11)/1000000000</f>
        <v>0.92013249907986749</v>
      </c>
      <c r="F40" s="276">
        <f>SUMIFS('Bilateral Assistance, MAIN DATA'!S:S,'Bilateral Assistance, MAIN DATA'!B:B,'Commitments per Month'!B40,'Bilateral Assistance, MAIN DATA'!AG:AG,1,'Bilateral Assistance, MAIN DATA'!AH:AH,'Commitments per Month'!$F$11)/1000000000</f>
        <v>6.6160903316866623E-3</v>
      </c>
      <c r="G40" s="276">
        <f>SUMIFS('Bilateral Assistance, MAIN DATA'!S:S,'Bilateral Assistance, MAIN DATA'!B:B,'Commitments per Month'!B40,'Bilateral Assistance, MAIN DATA'!AG:AG,1,'Bilateral Assistance, MAIN DATA'!AH:AH,'Commitments per Month'!$G$11)/1000000000</f>
        <v>1.8604987118145013</v>
      </c>
      <c r="H40" s="276">
        <f>SUMIFS('Bilateral Assistance, MAIN DATA'!S:S,'Bilateral Assistance, MAIN DATA'!B:B,'Commitments per Month'!B40,'Bilateral Assistance, MAIN DATA'!AG:AG,1,'Bilateral Assistance, MAIN DATA'!AH:AH,'Commitments per Month'!$H$11)/1000000000</f>
        <v>0.1</v>
      </c>
      <c r="I40" s="276">
        <f>SUMIFS('Bilateral Assistance, MAIN DATA'!S:S,'Bilateral Assistance, MAIN DATA'!B:B,'Commitments per Month'!B40,'Bilateral Assistance, MAIN DATA'!AG:AG,1,'Bilateral Assistance, MAIN DATA'!AH:AH,'Commitments per Month'!$I$11)/1000000000</f>
        <v>0</v>
      </c>
      <c r="J40" s="276">
        <f>SUMIFS('Bilateral Assistance, MAIN DATA'!S:S,'Bilateral Assistance, MAIN DATA'!B:B,'Commitments per Month'!B40,'Bilateral Assistance, MAIN DATA'!AG:AG,1,'Bilateral Assistance, MAIN DATA'!AH:AH,'Commitments per Month'!$J$11)/1000000000</f>
        <v>3.0533038369525208E-2</v>
      </c>
      <c r="K40" s="276">
        <f>SUMIFS('Bilateral Assistance, MAIN DATA'!S:S,'Bilateral Assistance, MAIN DATA'!B:B,'Commitments per Month'!B40,'Bilateral Assistance, MAIN DATA'!AG:AG,1,'Bilateral Assistance, MAIN DATA'!AH:AH,'Commitments per Month'!$K$11)/1000000000</f>
        <v>6.9009937430990062E-3</v>
      </c>
      <c r="L40" s="277">
        <f>SUMIFS('Bilateral Assistance, MAIN DATA'!S:S,'Bilateral Assistance, MAIN DATA'!B:B,'Commitments per Month'!B40,'Bilateral Assistance, MAIN DATA'!AG:AG,1,'Bilateral Assistance, MAIN DATA'!AH:AH,'Commitments per Month'!$L$11)/1000000000</f>
        <v>0</v>
      </c>
      <c r="M40" s="239">
        <f>SUMIFS('Bilateral Assistance, MAIN DATA'!S:S,'Bilateral Assistance, MAIN DATA'!B:B,'Commitments per Month'!B40,'Bilateral Assistance, MAIN DATA'!AG:AG,1,'Bilateral Assistance, MAIN DATA'!AH:AH,'Commitments per Month'!$M$11)/1000000000</f>
        <v>0</v>
      </c>
      <c r="N40" s="277">
        <f>SUMIFS('Bilateral Assistance, MAIN DATA'!S:S,'Bilateral Assistance, MAIN DATA'!B:B,'Commitments per Month'!B40,'Bilateral Assistance, MAIN DATA'!AG:AG,1,'Bilateral Assistance, MAIN DATA'!AH:AH,'Commitments per Month'!$N$11)/1000000000</f>
        <v>0.17247271680516496</v>
      </c>
      <c r="O40" s="277">
        <f>SUMIFS('Bilateral Assistance, MAIN DATA'!S:S,'Bilateral Assistance, MAIN DATA'!B:B,'Commitments per Month'!B40,'Bilateral Assistance, MAIN DATA'!AG:AG,1,'Bilateral Assistance, MAIN DATA'!AH:AH,'Commitments per Month'!$O$11)/1000000000</f>
        <v>0.42337392896577108</v>
      </c>
      <c r="P40" s="1206">
        <f>SUMIFS('Bilateral Assistance, MAIN DATA'!S:S,'Bilateral Assistance, MAIN DATA'!B:B,'Commitments per Month'!B40,'Bilateral Assistance, MAIN DATA'!AG:AG,1,'Bilateral Assistance, MAIN DATA'!AH:AH,'Commitments per Month'!$P$11)/1000000000</f>
        <v>0.16375131121644909</v>
      </c>
      <c r="Q40" s="1206">
        <f>SUMIFS('Bilateral Assistance, MAIN DATA'!S:S,'Bilateral Assistance, MAIN DATA'!B:B,'Commitments per Month'!B40,'Bilateral Assistance, MAIN DATA'!AG:AG,1,'Bilateral Assistance, MAIN DATA'!AH:AH,'Commitments per Month'!$Q$11)/1000000000</f>
        <v>0</v>
      </c>
      <c r="R40" s="1206">
        <f>SUMIFS('Bilateral Assistance, MAIN DATA'!S:S,'Bilateral Assistance, MAIN DATA'!B:B,'Commitments per Month'!B40,'Bilateral Assistance, MAIN DATA'!AG:AG,1,'Bilateral Assistance, MAIN DATA'!AH:AH,'Commitments per Month'!$R$11)/1000000000</f>
        <v>0.15458225984541774</v>
      </c>
      <c r="S40" s="1206">
        <f>SUMIFS('Bilateral Assistance, MAIN DATA'!S:S,'Bilateral Assistance, MAIN DATA'!B:B,'Commitments per Month'!B40,'Bilateral Assistance, MAIN DATA'!AG:AG,1,'Bilateral Assistance, MAIN DATA'!AH:AH,'Commitments per Month'!$S$11)/1000000000</f>
        <v>0</v>
      </c>
      <c r="T40" s="1206">
        <f>SUMIFS('Bilateral Assistance, MAIN DATA'!S:S,'Bilateral Assistance, MAIN DATA'!B:B,'Commitments per Month'!B40,'Bilateral Assistance, MAIN DATA'!AG:AG,1,'Bilateral Assistance, MAIN DATA'!AH:AH,'Commitments per Month'!$T$11)/1000000000</f>
        <v>0.42775946160283662</v>
      </c>
      <c r="U40" s="277">
        <f t="shared" si="0"/>
        <v>4.2666210117743191</v>
      </c>
      <c r="V40" s="277">
        <f>SUMIFS('Bilateral Assistance, MAIN DATA'!S:S,'Bilateral Assistance, MAIN DATA'!B:B,'Commitments per Month'!B40,'Bilateral Assistance, MAIN DATA'!AG:AG,0)/1000000000</f>
        <v>0</v>
      </c>
    </row>
    <row r="41" spans="1:22" ht="15.95" customHeight="1">
      <c r="A41" s="19"/>
      <c r="B41" s="24" t="s">
        <v>3079</v>
      </c>
      <c r="C41" s="297">
        <v>1</v>
      </c>
      <c r="D41" s="276">
        <f>SUMIFS('Bilateral Assistance, MAIN DATA'!S:S,'Bilateral Assistance, MAIN DATA'!B:B,'Commitments per Month'!B41,'Bilateral Assistance, MAIN DATA'!AG:AG,1,'Bilateral Assistance, MAIN DATA'!AH:AH,'Commitments per Month'!$D$11)/1000000000</f>
        <v>0</v>
      </c>
      <c r="E41" s="276">
        <f>SUMIFS('Bilateral Assistance, MAIN DATA'!S:S,'Bilateral Assistance, MAIN DATA'!B:B,'Commitments per Month'!B41,'Bilateral Assistance, MAIN DATA'!AG:AG,1,'Bilateral Assistance, MAIN DATA'!AH:AH,'Commitments per Month'!$E$11)/1000000000</f>
        <v>0</v>
      </c>
      <c r="F41" s="276">
        <f>SUMIFS('Bilateral Assistance, MAIN DATA'!S:S,'Bilateral Assistance, MAIN DATA'!B:B,'Commitments per Month'!B41,'Bilateral Assistance, MAIN DATA'!AG:AG,1,'Bilateral Assistance, MAIN DATA'!AH:AH,'Commitments per Month'!$F$11)/1000000000</f>
        <v>1E-4</v>
      </c>
      <c r="G41" s="276">
        <f>SUMIFS('Bilateral Assistance, MAIN DATA'!S:S,'Bilateral Assistance, MAIN DATA'!B:B,'Commitments per Month'!B41,'Bilateral Assistance, MAIN DATA'!AG:AG,1,'Bilateral Assistance, MAIN DATA'!AH:AH,'Commitments per Month'!$G$11)/1000000000</f>
        <v>2.2292970187707032E-3</v>
      </c>
      <c r="H41" s="276">
        <f>SUMIFS('Bilateral Assistance, MAIN DATA'!S:S,'Bilateral Assistance, MAIN DATA'!B:B,'Commitments per Month'!B41,'Bilateral Assistance, MAIN DATA'!AG:AG,1,'Bilateral Assistance, MAIN DATA'!AH:AH,'Commitments per Month'!$H$11)/1000000000</f>
        <v>0.25894801599299955</v>
      </c>
      <c r="I41" s="276">
        <f>SUMIFS('Bilateral Assistance, MAIN DATA'!S:S,'Bilateral Assistance, MAIN DATA'!B:B,'Commitments per Month'!B41,'Bilateral Assistance, MAIN DATA'!AG:AG,1,'Bilateral Assistance, MAIN DATA'!AH:AH,'Commitments per Month'!$I$11)/1000000000</f>
        <v>0</v>
      </c>
      <c r="J41" s="276">
        <f>SUMIFS('Bilateral Assistance, MAIN DATA'!S:S,'Bilateral Assistance, MAIN DATA'!B:B,'Commitments per Month'!B41,'Bilateral Assistance, MAIN DATA'!AG:AG,1,'Bilateral Assistance, MAIN DATA'!AH:AH,'Commitments per Month'!$J$11)/1000000000</f>
        <v>0</v>
      </c>
      <c r="K41" s="276">
        <f>SUMIFS('Bilateral Assistance, MAIN DATA'!S:S,'Bilateral Assistance, MAIN DATA'!B:B,'Commitments per Month'!B41,'Bilateral Assistance, MAIN DATA'!AG:AG,1,'Bilateral Assistance, MAIN DATA'!AH:AH,'Commitments per Month'!$K$11)/1000000000</f>
        <v>3.3124769966875235E-5</v>
      </c>
      <c r="L41" s="277">
        <f>SUMIFS('Bilateral Assistance, MAIN DATA'!S:S,'Bilateral Assistance, MAIN DATA'!B:B,'Commitments per Month'!B41,'Bilateral Assistance, MAIN DATA'!AG:AG,1,'Bilateral Assistance, MAIN DATA'!AH:AH,'Commitments per Month'!$L$11)/1000000000</f>
        <v>0</v>
      </c>
      <c r="M41" s="239">
        <f>SUMIFS('Bilateral Assistance, MAIN DATA'!S:S,'Bilateral Assistance, MAIN DATA'!B:B,'Commitments per Month'!B41,'Bilateral Assistance, MAIN DATA'!AG:AG,1,'Bilateral Assistance, MAIN DATA'!AH:AH,'Commitments per Month'!$M$11)/1000000000</f>
        <v>3.2296650717703351E-2</v>
      </c>
      <c r="N41" s="277">
        <f>SUMIFS('Bilateral Assistance, MAIN DATA'!S:S,'Bilateral Assistance, MAIN DATA'!B:B,'Commitments per Month'!B41,'Bilateral Assistance, MAIN DATA'!AG:AG,1,'Bilateral Assistance, MAIN DATA'!AH:AH,'Commitments per Month'!$N$11)/1000000000</f>
        <v>0</v>
      </c>
      <c r="O41" s="277">
        <f>SUMIFS('Bilateral Assistance, MAIN DATA'!S:S,'Bilateral Assistance, MAIN DATA'!B:B,'Commitments per Month'!B41,'Bilateral Assistance, MAIN DATA'!AG:AG,1,'Bilateral Assistance, MAIN DATA'!AH:AH,'Commitments per Month'!$O$11)/1000000000</f>
        <v>5.0546558704453438E-4</v>
      </c>
      <c r="P41" s="1206">
        <f>SUMIFS('Bilateral Assistance, MAIN DATA'!S:S,'Bilateral Assistance, MAIN DATA'!B:B,'Commitments per Month'!B41,'Bilateral Assistance, MAIN DATA'!AG:AG,1,'Bilateral Assistance, MAIN DATA'!AH:AH,'Commitments per Month'!$P$11)/1000000000</f>
        <v>4.0464924549135075E-3</v>
      </c>
      <c r="Q41" s="1206">
        <f>SUMIFS('Bilateral Assistance, MAIN DATA'!S:S,'Bilateral Assistance, MAIN DATA'!B:B,'Commitments per Month'!B41,'Bilateral Assistance, MAIN DATA'!AG:AG,1,'Bilateral Assistance, MAIN DATA'!AH:AH,'Commitments per Month'!$Q$11)/1000000000</f>
        <v>2.7603974972396025E-2</v>
      </c>
      <c r="R41" s="1206">
        <f>SUMIFS('Bilateral Assistance, MAIN DATA'!S:S,'Bilateral Assistance, MAIN DATA'!B:B,'Commitments per Month'!B41,'Bilateral Assistance, MAIN DATA'!AG:AG,1,'Bilateral Assistance, MAIN DATA'!AH:AH,'Commitments per Month'!$R$11)/1000000000</f>
        <v>0</v>
      </c>
      <c r="S41" s="1206">
        <f>SUMIFS('Bilateral Assistance, MAIN DATA'!S:S,'Bilateral Assistance, MAIN DATA'!B:B,'Commitments per Month'!B41,'Bilateral Assistance, MAIN DATA'!AG:AG,1,'Bilateral Assistance, MAIN DATA'!AH:AH,'Commitments per Month'!$S$11)/1000000000</f>
        <v>1.4294773647405227E-3</v>
      </c>
      <c r="T41" s="1206">
        <f>SUMIFS('Bilateral Assistance, MAIN DATA'!S:S,'Bilateral Assistance, MAIN DATA'!B:B,'Commitments per Month'!B41,'Bilateral Assistance, MAIN DATA'!AG:AG,1,'Bilateral Assistance, MAIN DATA'!AH:AH,'Commitments per Month'!$T$11)/1000000000</f>
        <v>0</v>
      </c>
      <c r="U41" s="277">
        <f t="shared" si="0"/>
        <v>0.32719249887853508</v>
      </c>
      <c r="V41" s="277">
        <f>SUMIFS('Bilateral Assistance, MAIN DATA'!S:S,'Bilateral Assistance, MAIN DATA'!B:B,'Commitments per Month'!B41,'Bilateral Assistance, MAIN DATA'!AG:AG,0)/1000000000</f>
        <v>0</v>
      </c>
    </row>
    <row r="42" spans="1:22" ht="15.95" customHeight="1">
      <c r="B42" s="2" t="s">
        <v>3162</v>
      </c>
      <c r="C42" s="297">
        <v>0</v>
      </c>
      <c r="D42" s="276">
        <f>SUMIFS('Bilateral Assistance, MAIN DATA'!S:S,'Bilateral Assistance, MAIN DATA'!B:B,'Commitments per Month'!B42,'Bilateral Assistance, MAIN DATA'!AG:AG,1,'Bilateral Assistance, MAIN DATA'!AH:AH,'Commitments per Month'!$D$11)/1000000000</f>
        <v>0</v>
      </c>
      <c r="E42" s="276">
        <f>SUMIFS('Bilateral Assistance, MAIN DATA'!S:S,'Bilateral Assistance, MAIN DATA'!B:B,'Commitments per Month'!B42,'Bilateral Assistance, MAIN DATA'!AG:AG,1,'Bilateral Assistance, MAIN DATA'!AH:AH,'Commitments per Month'!$E$11)/1000000000</f>
        <v>9.2013249907986743E-3</v>
      </c>
      <c r="F42" s="276">
        <f>SUMIFS('Bilateral Assistance, MAIN DATA'!S:S,'Bilateral Assistance, MAIN DATA'!B:B,'Commitments per Month'!B42,'Bilateral Assistance, MAIN DATA'!AG:AG,1,'Bilateral Assistance, MAIN DATA'!AH:AH,'Commitments per Month'!$F$11)/1000000000</f>
        <v>7.361059992638941E-4</v>
      </c>
      <c r="G42" s="276">
        <f>SUMIFS('Bilateral Assistance, MAIN DATA'!S:S,'Bilateral Assistance, MAIN DATA'!B:B,'Commitments per Month'!B42,'Bilateral Assistance, MAIN DATA'!AG:AG,1,'Bilateral Assistance, MAIN DATA'!AH:AH,'Commitments per Month'!$G$11)/1000000000</f>
        <v>2.907618697092381E-2</v>
      </c>
      <c r="H42" s="276">
        <f>SUMIFS('Bilateral Assistance, MAIN DATA'!S:S,'Bilateral Assistance, MAIN DATA'!B:B,'Commitments per Month'!B42,'Bilateral Assistance, MAIN DATA'!AG:AG,1,'Bilateral Assistance, MAIN DATA'!AH:AH,'Commitments per Month'!$H$11)/1000000000</f>
        <v>1.0857563489142436E-3</v>
      </c>
      <c r="I42" s="276">
        <f>SUMIFS('Bilateral Assistance, MAIN DATA'!S:S,'Bilateral Assistance, MAIN DATA'!B:B,'Commitments per Month'!B42,'Bilateral Assistance, MAIN DATA'!AG:AG,1,'Bilateral Assistance, MAIN DATA'!AH:AH,'Commitments per Month'!$I$11)/1000000000</f>
        <v>4.7110783952889208E-2</v>
      </c>
      <c r="J42" s="276">
        <f>SUMIFS('Bilateral Assistance, MAIN DATA'!S:S,'Bilateral Assistance, MAIN DATA'!B:B,'Commitments per Month'!B42,'Bilateral Assistance, MAIN DATA'!AG:AG,1,'Bilateral Assistance, MAIN DATA'!AH:AH,'Commitments per Month'!$J$11)/1000000000</f>
        <v>0</v>
      </c>
      <c r="K42" s="276">
        <f>SUMIFS('Bilateral Assistance, MAIN DATA'!S:S,'Bilateral Assistance, MAIN DATA'!B:B,'Commitments per Month'!B42,'Bilateral Assistance, MAIN DATA'!AG:AG,1,'Bilateral Assistance, MAIN DATA'!AH:AH,'Commitments per Month'!$K$11)/1000000000</f>
        <v>0</v>
      </c>
      <c r="L42" s="277">
        <f>SUMIFS('Bilateral Assistance, MAIN DATA'!S:S,'Bilateral Assistance, MAIN DATA'!B:B,'Commitments per Month'!B42,'Bilateral Assistance, MAIN DATA'!AG:AG,1,'Bilateral Assistance, MAIN DATA'!AH:AH,'Commitments per Month'!$L$11)/1000000000</f>
        <v>0</v>
      </c>
      <c r="M42" s="239">
        <f>SUMIFS('Bilateral Assistance, MAIN DATA'!S:S,'Bilateral Assistance, MAIN DATA'!B:B,'Commitments per Month'!B42,'Bilateral Assistance, MAIN DATA'!AG:AG,1,'Bilateral Assistance, MAIN DATA'!AH:AH,'Commitments per Month'!$M$11)/1000000000</f>
        <v>0</v>
      </c>
      <c r="N42" s="277">
        <f>SUMIFS('Bilateral Assistance, MAIN DATA'!S:S,'Bilateral Assistance, MAIN DATA'!B:B,'Commitments per Month'!B42,'Bilateral Assistance, MAIN DATA'!AG:AG,1,'Bilateral Assistance, MAIN DATA'!AH:AH,'Commitments per Month'!$N$11)/1000000000</f>
        <v>0</v>
      </c>
      <c r="O42" s="277">
        <f>SUMIFS('Bilateral Assistance, MAIN DATA'!S:S,'Bilateral Assistance, MAIN DATA'!B:B,'Commitments per Month'!B42,'Bilateral Assistance, MAIN DATA'!AG:AG,1,'Bilateral Assistance, MAIN DATA'!AH:AH,'Commitments per Month'!$O$11)/1000000000</f>
        <v>8.0971659919028341E-3</v>
      </c>
      <c r="P42" s="1206">
        <f>SUMIFS('Bilateral Assistance, MAIN DATA'!S:S,'Bilateral Assistance, MAIN DATA'!B:B,'Commitments per Month'!B42,'Bilateral Assistance, MAIN DATA'!AG:AG,1,'Bilateral Assistance, MAIN DATA'!AH:AH,'Commitments per Month'!$P$11)/1000000000</f>
        <v>0</v>
      </c>
      <c r="Q42" s="1206">
        <f>SUMIFS('Bilateral Assistance, MAIN DATA'!S:S,'Bilateral Assistance, MAIN DATA'!B:B,'Commitments per Month'!B42,'Bilateral Assistance, MAIN DATA'!AG:AG,1,'Bilateral Assistance, MAIN DATA'!AH:AH,'Commitments per Month'!$Q$11)/1000000000</f>
        <v>0.11961722488038277</v>
      </c>
      <c r="R42" s="1206">
        <f>SUMIFS('Bilateral Assistance, MAIN DATA'!S:S,'Bilateral Assistance, MAIN DATA'!B:B,'Commitments per Month'!B42,'Bilateral Assistance, MAIN DATA'!AG:AG,1,'Bilateral Assistance, MAIN DATA'!AH:AH,'Commitments per Month'!$R$11)/1000000000</f>
        <v>0</v>
      </c>
      <c r="S42" s="1206">
        <f>SUMIFS('Bilateral Assistance, MAIN DATA'!S:S,'Bilateral Assistance, MAIN DATA'!B:B,'Commitments per Month'!B42,'Bilateral Assistance, MAIN DATA'!AG:AG,1,'Bilateral Assistance, MAIN DATA'!AH:AH,'Commitments per Month'!$S$11)/1000000000</f>
        <v>0</v>
      </c>
      <c r="T42" s="1206">
        <f>SUMIFS('Bilateral Assistance, MAIN DATA'!S:S,'Bilateral Assistance, MAIN DATA'!B:B,'Commitments per Month'!B42,'Bilateral Assistance, MAIN DATA'!AG:AG,1,'Bilateral Assistance, MAIN DATA'!AH:AH,'Commitments per Month'!$T$11)/1000000000</f>
        <v>0.39565697460434307</v>
      </c>
      <c r="U42" s="277">
        <f t="shared" si="0"/>
        <v>0.61058152373941854</v>
      </c>
      <c r="V42" s="277">
        <f>SUMIFS('Bilateral Assistance, MAIN DATA'!S:S,'Bilateral Assistance, MAIN DATA'!B:B,'Commitments per Month'!B42,'Bilateral Assistance, MAIN DATA'!AG:AG,0)/1000000000</f>
        <v>0</v>
      </c>
    </row>
    <row r="43" spans="1:22" ht="15.95" customHeight="1">
      <c r="B43" s="24" t="s">
        <v>3214</v>
      </c>
      <c r="C43" s="297">
        <v>1</v>
      </c>
      <c r="D43" s="276">
        <f>SUMIFS('Bilateral Assistance, MAIN DATA'!S:S,'Bilateral Assistance, MAIN DATA'!B:B,'Commitments per Month'!B43,'Bilateral Assistance, MAIN DATA'!AG:AG,1,'Bilateral Assistance, MAIN DATA'!AH:AH,'Commitments per Month'!$D$11)/1000000000</f>
        <v>0</v>
      </c>
      <c r="E43" s="276">
        <f>SUMIFS('Bilateral Assistance, MAIN DATA'!S:S,'Bilateral Assistance, MAIN DATA'!B:B,'Commitments per Month'!B43,'Bilateral Assistance, MAIN DATA'!AG:AG,1,'Bilateral Assistance, MAIN DATA'!AH:AH,'Commitments per Month'!$E$11)/1000000000</f>
        <v>3.1345546926757452E-3</v>
      </c>
      <c r="F43" s="276">
        <f>SUMIFS('Bilateral Assistance, MAIN DATA'!S:S,'Bilateral Assistance, MAIN DATA'!B:B,'Commitments per Month'!B43,'Bilateral Assistance, MAIN DATA'!AG:AG,1,'Bilateral Assistance, MAIN DATA'!AH:AH,'Commitments per Month'!$F$11)/1000000000</f>
        <v>1.0105705681427734E-3</v>
      </c>
      <c r="G43" s="276">
        <f>SUMIFS('Bilateral Assistance, MAIN DATA'!S:S,'Bilateral Assistance, MAIN DATA'!B:B,'Commitments per Month'!B43,'Bilateral Assistance, MAIN DATA'!AG:AG,1,'Bilateral Assistance, MAIN DATA'!AH:AH,'Commitments per Month'!$G$11)/1000000000</f>
        <v>3.2135627530364371E-3</v>
      </c>
      <c r="H43" s="276">
        <f>SUMIFS('Bilateral Assistance, MAIN DATA'!S:S,'Bilateral Assistance, MAIN DATA'!B:B,'Commitments per Month'!B43,'Bilateral Assistance, MAIN DATA'!AG:AG,1,'Bilateral Assistance, MAIN DATA'!AH:AH,'Commitments per Month'!$H$11)/1000000000</f>
        <v>3.2000000000000002E-3</v>
      </c>
      <c r="I43" s="276">
        <f>SUMIFS('Bilateral Assistance, MAIN DATA'!S:S,'Bilateral Assistance, MAIN DATA'!B:B,'Commitments per Month'!B43,'Bilateral Assistance, MAIN DATA'!AG:AG,1,'Bilateral Assistance, MAIN DATA'!AH:AH,'Commitments per Month'!$I$11)/1000000000</f>
        <v>0</v>
      </c>
      <c r="J43" s="276">
        <f>SUMIFS('Bilateral Assistance, MAIN DATA'!S:S,'Bilateral Assistance, MAIN DATA'!B:B,'Commitments per Month'!B43,'Bilateral Assistance, MAIN DATA'!AG:AG,1,'Bilateral Assistance, MAIN DATA'!AH:AH,'Commitments per Month'!$J$11)/1000000000</f>
        <v>0</v>
      </c>
      <c r="K43" s="276">
        <f>SUMIFS('Bilateral Assistance, MAIN DATA'!S:S,'Bilateral Assistance, MAIN DATA'!B:B,'Commitments per Month'!B43,'Bilateral Assistance, MAIN DATA'!AG:AG,1,'Bilateral Assistance, MAIN DATA'!AH:AH,'Commitments per Month'!$K$11)/1000000000</f>
        <v>0</v>
      </c>
      <c r="L43" s="277">
        <f>SUMIFS('Bilateral Assistance, MAIN DATA'!S:S,'Bilateral Assistance, MAIN DATA'!B:B,'Commitments per Month'!B43,'Bilateral Assistance, MAIN DATA'!AG:AG,1,'Bilateral Assistance, MAIN DATA'!AH:AH,'Commitments per Month'!$L$11)/1000000000</f>
        <v>0</v>
      </c>
      <c r="M43" s="239">
        <f>SUMIFS('Bilateral Assistance, MAIN DATA'!S:S,'Bilateral Assistance, MAIN DATA'!B:B,'Commitments per Month'!B43,'Bilateral Assistance, MAIN DATA'!AG:AG,1,'Bilateral Assistance, MAIN DATA'!AH:AH,'Commitments per Month'!$M$11)/1000000000</f>
        <v>0</v>
      </c>
      <c r="N43" s="277">
        <f>SUMIFS('Bilateral Assistance, MAIN DATA'!S:S,'Bilateral Assistance, MAIN DATA'!B:B,'Commitments per Month'!B43,'Bilateral Assistance, MAIN DATA'!AG:AG,1,'Bilateral Assistance, MAIN DATA'!AH:AH,'Commitments per Month'!$N$11)/1000000000</f>
        <v>0</v>
      </c>
      <c r="O43" s="277">
        <f>SUMIFS('Bilateral Assistance, MAIN DATA'!S:S,'Bilateral Assistance, MAIN DATA'!B:B,'Commitments per Month'!B43,'Bilateral Assistance, MAIN DATA'!AG:AG,1,'Bilateral Assistance, MAIN DATA'!AH:AH,'Commitments per Month'!$O$11)/1000000000</f>
        <v>0</v>
      </c>
      <c r="P43" s="1206">
        <f>SUMIFS('Bilateral Assistance, MAIN DATA'!S:S,'Bilateral Assistance, MAIN DATA'!B:B,'Commitments per Month'!B43,'Bilateral Assistance, MAIN DATA'!AG:AG,1,'Bilateral Assistance, MAIN DATA'!AH:AH,'Commitments per Month'!$P$11)/1000000000</f>
        <v>0</v>
      </c>
      <c r="Q43" s="1206">
        <f>SUMIFS('Bilateral Assistance, MAIN DATA'!S:S,'Bilateral Assistance, MAIN DATA'!B:B,'Commitments per Month'!B43,'Bilateral Assistance, MAIN DATA'!AG:AG,1,'Bilateral Assistance, MAIN DATA'!AH:AH,'Commitments per Month'!$Q$11)/1000000000</f>
        <v>1.0105705681427734E-3</v>
      </c>
      <c r="R43" s="1206">
        <f>SUMIFS('Bilateral Assistance, MAIN DATA'!S:S,'Bilateral Assistance, MAIN DATA'!B:B,'Commitments per Month'!B43,'Bilateral Assistance, MAIN DATA'!AG:AG,1,'Bilateral Assistance, MAIN DATA'!AH:AH,'Commitments per Month'!$R$11)/1000000000</f>
        <v>0.11358813185924772</v>
      </c>
      <c r="S43" s="1206">
        <f>SUMIFS('Bilateral Assistance, MAIN DATA'!S:S,'Bilateral Assistance, MAIN DATA'!B:B,'Commitments per Month'!B43,'Bilateral Assistance, MAIN DATA'!AG:AG,1,'Bilateral Assistance, MAIN DATA'!AH:AH,'Commitments per Month'!$S$11)/1000000000</f>
        <v>7.6370997423629006E-4</v>
      </c>
      <c r="T43" s="1206">
        <f>SUMIFS('Bilateral Assistance, MAIN DATA'!S:S,'Bilateral Assistance, MAIN DATA'!B:B,'Commitments per Month'!B43,'Bilateral Assistance, MAIN DATA'!AG:AG,1,'Bilateral Assistance, MAIN DATA'!AH:AH,'Commitments per Month'!$T$11)/1000000000</f>
        <v>0</v>
      </c>
      <c r="U43" s="277">
        <f t="shared" si="0"/>
        <v>0.12592110041548174</v>
      </c>
      <c r="V43" s="277">
        <f>SUMIFS('Bilateral Assistance, MAIN DATA'!S:S,'Bilateral Assistance, MAIN DATA'!B:B,'Commitments per Month'!B43,'Bilateral Assistance, MAIN DATA'!AG:AG,0)/1000000000</f>
        <v>0</v>
      </c>
    </row>
    <row r="44" spans="1:22" ht="15.95" customHeight="1">
      <c r="B44" s="24" t="s">
        <v>3261</v>
      </c>
      <c r="C44" s="297">
        <v>1</v>
      </c>
      <c r="D44" s="276">
        <f>SUMIFS('Bilateral Assistance, MAIN DATA'!S:S,'Bilateral Assistance, MAIN DATA'!B:B,'Commitments per Month'!B44,'Bilateral Assistance, MAIN DATA'!AG:AG,1,'Bilateral Assistance, MAIN DATA'!AH:AH,'Commitments per Month'!$D$11)/1000000000</f>
        <v>0</v>
      </c>
      <c r="E44" s="276">
        <f>SUMIFS('Bilateral Assistance, MAIN DATA'!S:S,'Bilateral Assistance, MAIN DATA'!B:B,'Commitments per Month'!B44,'Bilateral Assistance, MAIN DATA'!AG:AG,1,'Bilateral Assistance, MAIN DATA'!AH:AH,'Commitments per Month'!$E$11)/1000000000</f>
        <v>1.72E-2</v>
      </c>
      <c r="F44" s="276">
        <f>SUMIFS('Bilateral Assistance, MAIN DATA'!S:S,'Bilateral Assistance, MAIN DATA'!B:B,'Commitments per Month'!B44,'Bilateral Assistance, MAIN DATA'!AG:AG,1,'Bilateral Assistance, MAIN DATA'!AH:AH,'Commitments per Month'!$F$11)/1000000000</f>
        <v>3.2199999999999999E-2</v>
      </c>
      <c r="G44" s="276">
        <f>SUMIFS('Bilateral Assistance, MAIN DATA'!S:S,'Bilateral Assistance, MAIN DATA'!B:B,'Commitments per Month'!B44,'Bilateral Assistance, MAIN DATA'!AG:AG,1,'Bilateral Assistance, MAIN DATA'!AH:AH,'Commitments per Month'!$G$11)/1000000000</f>
        <v>7.2999999999999995E-2</v>
      </c>
      <c r="H44" s="276">
        <f>SUMIFS('Bilateral Assistance, MAIN DATA'!S:S,'Bilateral Assistance, MAIN DATA'!B:B,'Commitments per Month'!B44,'Bilateral Assistance, MAIN DATA'!AG:AG,1,'Bilateral Assistance, MAIN DATA'!AH:AH,'Commitments per Month'!$H$11)/1000000000</f>
        <v>0</v>
      </c>
      <c r="I44" s="276">
        <f>SUMIFS('Bilateral Assistance, MAIN DATA'!S:S,'Bilateral Assistance, MAIN DATA'!B:B,'Commitments per Month'!B44,'Bilateral Assistance, MAIN DATA'!AG:AG,1,'Bilateral Assistance, MAIN DATA'!AH:AH,'Commitments per Month'!$I$11)/1000000000</f>
        <v>7.0160103054839898E-2</v>
      </c>
      <c r="J44" s="276">
        <f>SUMIFS('Bilateral Assistance, MAIN DATA'!S:S,'Bilateral Assistance, MAIN DATA'!B:B,'Commitments per Month'!B44,'Bilateral Assistance, MAIN DATA'!AG:AG,1,'Bilateral Assistance, MAIN DATA'!AH:AH,'Commitments per Month'!$J$11)/1000000000</f>
        <v>0</v>
      </c>
      <c r="K44" s="276">
        <f>SUMIFS('Bilateral Assistance, MAIN DATA'!S:S,'Bilateral Assistance, MAIN DATA'!B:B,'Commitments per Month'!B44,'Bilateral Assistance, MAIN DATA'!AG:AG,1,'Bilateral Assistance, MAIN DATA'!AH:AH,'Commitments per Month'!$K$11)/1000000000</f>
        <v>1.5500805944055946E-2</v>
      </c>
      <c r="L44" s="277">
        <f>SUMIFS('Bilateral Assistance, MAIN DATA'!S:S,'Bilateral Assistance, MAIN DATA'!B:B,'Commitments per Month'!B44,'Bilateral Assistance, MAIN DATA'!AG:AG,1,'Bilateral Assistance, MAIN DATA'!AH:AH,'Commitments per Month'!$L$11)/1000000000</f>
        <v>0</v>
      </c>
      <c r="M44" s="239">
        <f>SUMIFS('Bilateral Assistance, MAIN DATA'!S:S,'Bilateral Assistance, MAIN DATA'!B:B,'Commitments per Month'!B44,'Bilateral Assistance, MAIN DATA'!AG:AG,1,'Bilateral Assistance, MAIN DATA'!AH:AH,'Commitments per Month'!$M$11)/1000000000</f>
        <v>0</v>
      </c>
      <c r="N44" s="277">
        <f>SUMIFS('Bilateral Assistance, MAIN DATA'!S:S,'Bilateral Assistance, MAIN DATA'!B:B,'Commitments per Month'!B44,'Bilateral Assistance, MAIN DATA'!AG:AG,1,'Bilateral Assistance, MAIN DATA'!AH:AH,'Commitments per Month'!$N$11)/1000000000</f>
        <v>0</v>
      </c>
      <c r="O44" s="277">
        <f>SUMIFS('Bilateral Assistance, MAIN DATA'!S:S,'Bilateral Assistance, MAIN DATA'!B:B,'Commitments per Month'!B44,'Bilateral Assistance, MAIN DATA'!AG:AG,1,'Bilateral Assistance, MAIN DATA'!AH:AH,'Commitments per Month'!$O$11)/1000000000</f>
        <v>1.2999999999999999E-2</v>
      </c>
      <c r="P44" s="1206">
        <f>SUMIFS('Bilateral Assistance, MAIN DATA'!S:S,'Bilateral Assistance, MAIN DATA'!B:B,'Commitments per Month'!B44,'Bilateral Assistance, MAIN DATA'!AG:AG,1,'Bilateral Assistance, MAIN DATA'!AH:AH,'Commitments per Month'!$P$11)/1000000000</f>
        <v>0</v>
      </c>
      <c r="Q44" s="1206">
        <f>SUMIFS('Bilateral Assistance, MAIN DATA'!S:S,'Bilateral Assistance, MAIN DATA'!B:B,'Commitments per Month'!B44,'Bilateral Assistance, MAIN DATA'!AG:AG,1,'Bilateral Assistance, MAIN DATA'!AH:AH,'Commitments per Month'!$Q$11)/1000000000</f>
        <v>4.4999999999999997E-3</v>
      </c>
      <c r="R44" s="1206">
        <f>SUMIFS('Bilateral Assistance, MAIN DATA'!S:S,'Bilateral Assistance, MAIN DATA'!B:B,'Commitments per Month'!B44,'Bilateral Assistance, MAIN DATA'!AG:AG,1,'Bilateral Assistance, MAIN DATA'!AH:AH,'Commitments per Month'!$R$11)/1000000000</f>
        <v>0.18954729481045271</v>
      </c>
      <c r="S44" s="1206">
        <f>SUMIFS('Bilateral Assistance, MAIN DATA'!S:S,'Bilateral Assistance, MAIN DATA'!B:B,'Commitments per Month'!B44,'Bilateral Assistance, MAIN DATA'!AG:AG,1,'Bilateral Assistance, MAIN DATA'!AH:AH,'Commitments per Month'!$S$11)/1000000000</f>
        <v>0.26189179600000001</v>
      </c>
      <c r="T44" s="1206">
        <f>SUMIFS('Bilateral Assistance, MAIN DATA'!S:S,'Bilateral Assistance, MAIN DATA'!B:B,'Commitments per Month'!B44,'Bilateral Assistance, MAIN DATA'!AG:AG,1,'Bilateral Assistance, MAIN DATA'!AH:AH,'Commitments per Month'!$T$11)/1000000000</f>
        <v>0</v>
      </c>
      <c r="U44" s="277">
        <f t="shared" si="0"/>
        <v>0.67699999980934855</v>
      </c>
      <c r="V44" s="277">
        <f>SUMIFS('Bilateral Assistance, MAIN DATA'!S:S,'Bilateral Assistance, MAIN DATA'!B:B,'Commitments per Month'!B44,'Bilateral Assistance, MAIN DATA'!AG:AG,0)/1000000000</f>
        <v>0</v>
      </c>
    </row>
    <row r="45" spans="1:22" ht="15.95" customHeight="1">
      <c r="B45" s="24" t="s">
        <v>3337</v>
      </c>
      <c r="C45" s="297">
        <v>1</v>
      </c>
      <c r="D45" s="276">
        <f>SUMIFS('Bilateral Assistance, MAIN DATA'!S:S,'Bilateral Assistance, MAIN DATA'!B:B,'Commitments per Month'!B45,'Bilateral Assistance, MAIN DATA'!AG:AG,1,'Bilateral Assistance, MAIN DATA'!AH:AH,'Commitments per Month'!$D$11)/1000000000</f>
        <v>0</v>
      </c>
      <c r="E45" s="276">
        <f>SUMIFS('Bilateral Assistance, MAIN DATA'!S:S,'Bilateral Assistance, MAIN DATA'!B:B,'Commitments per Month'!B45,'Bilateral Assistance, MAIN DATA'!AG:AG,1,'Bilateral Assistance, MAIN DATA'!AH:AH,'Commitments per Month'!$E$11)/1000000000</f>
        <v>2.63E-4</v>
      </c>
      <c r="F45" s="276">
        <f>SUMIFS('Bilateral Assistance, MAIN DATA'!S:S,'Bilateral Assistance, MAIN DATA'!B:B,'Commitments per Month'!B45,'Bilateral Assistance, MAIN DATA'!AG:AG,1,'Bilateral Assistance, MAIN DATA'!AH:AH,'Commitments per Month'!$F$11)/1000000000</f>
        <v>3.6805299963194705E-4</v>
      </c>
      <c r="G45" s="276">
        <f>SUMIFS('Bilateral Assistance, MAIN DATA'!S:S,'Bilateral Assistance, MAIN DATA'!B:B,'Commitments per Month'!B45,'Bilateral Assistance, MAIN DATA'!AG:AG,1,'Bilateral Assistance, MAIN DATA'!AH:AH,'Commitments per Month'!$G$11)/1000000000</f>
        <v>1.82E-3</v>
      </c>
      <c r="H45" s="276">
        <f>SUMIFS('Bilateral Assistance, MAIN DATA'!S:S,'Bilateral Assistance, MAIN DATA'!B:B,'Commitments per Month'!B45,'Bilateral Assistance, MAIN DATA'!AG:AG,1,'Bilateral Assistance, MAIN DATA'!AH:AH,'Commitments per Month'!$H$11)/1000000000</f>
        <v>0</v>
      </c>
      <c r="I45" s="276">
        <f>SUMIFS('Bilateral Assistance, MAIN DATA'!S:S,'Bilateral Assistance, MAIN DATA'!B:B,'Commitments per Month'!B45,'Bilateral Assistance, MAIN DATA'!AG:AG,1,'Bilateral Assistance, MAIN DATA'!AH:AH,'Commitments per Month'!$I$11)/1000000000</f>
        <v>2.2834211494295181E-2</v>
      </c>
      <c r="J45" s="276">
        <f>SUMIFS('Bilateral Assistance, MAIN DATA'!S:S,'Bilateral Assistance, MAIN DATA'!B:B,'Commitments per Month'!B45,'Bilateral Assistance, MAIN DATA'!AG:AG,1,'Bilateral Assistance, MAIN DATA'!AH:AH,'Commitments per Month'!$J$11)/1000000000</f>
        <v>0</v>
      </c>
      <c r="K45" s="276">
        <f>SUMIFS('Bilateral Assistance, MAIN DATA'!S:S,'Bilateral Assistance, MAIN DATA'!B:B,'Commitments per Month'!B45,'Bilateral Assistance, MAIN DATA'!AG:AG,1,'Bilateral Assistance, MAIN DATA'!AH:AH,'Commitments per Month'!$K$11)/1000000000</f>
        <v>0</v>
      </c>
      <c r="L45" s="277">
        <f>SUMIFS('Bilateral Assistance, MAIN DATA'!S:S,'Bilateral Assistance, MAIN DATA'!B:B,'Commitments per Month'!B45,'Bilateral Assistance, MAIN DATA'!AG:AG,1,'Bilateral Assistance, MAIN DATA'!AH:AH,'Commitments per Month'!$L$11)/1000000000</f>
        <v>2.7115759999999999E-2</v>
      </c>
      <c r="M45" s="239">
        <f>SUMIFS('Bilateral Assistance, MAIN DATA'!S:S,'Bilateral Assistance, MAIN DATA'!B:B,'Commitments per Month'!B45,'Bilateral Assistance, MAIN DATA'!AG:AG,1,'Bilateral Assistance, MAIN DATA'!AH:AH,'Commitments per Month'!$M$11)/1000000000</f>
        <v>0</v>
      </c>
      <c r="N45" s="277">
        <f>SUMIFS('Bilateral Assistance, MAIN DATA'!S:S,'Bilateral Assistance, MAIN DATA'!B:B,'Commitments per Month'!B45,'Bilateral Assistance, MAIN DATA'!AG:AG,1,'Bilateral Assistance, MAIN DATA'!AH:AH,'Commitments per Month'!$N$11)/1000000000</f>
        <v>1.3393899999999999E-4</v>
      </c>
      <c r="O45" s="277">
        <f>SUMIFS('Bilateral Assistance, MAIN DATA'!S:S,'Bilateral Assistance, MAIN DATA'!B:B,'Commitments per Month'!B45,'Bilateral Assistance, MAIN DATA'!AG:AG,1,'Bilateral Assistance, MAIN DATA'!AH:AH,'Commitments per Month'!$O$11)/1000000000</f>
        <v>2.1497090000000001E-3</v>
      </c>
      <c r="P45" s="1206">
        <f>SUMIFS('Bilateral Assistance, MAIN DATA'!S:S,'Bilateral Assistance, MAIN DATA'!B:B,'Commitments per Month'!B45,'Bilateral Assistance, MAIN DATA'!AG:AG,1,'Bilateral Assistance, MAIN DATA'!AH:AH,'Commitments per Month'!$P$11)/1000000000</f>
        <v>0</v>
      </c>
      <c r="Q45" s="1206">
        <f>SUMIFS('Bilateral Assistance, MAIN DATA'!S:S,'Bilateral Assistance, MAIN DATA'!B:B,'Commitments per Month'!B45,'Bilateral Assistance, MAIN DATA'!AG:AG,1,'Bilateral Assistance, MAIN DATA'!AH:AH,'Commitments per Month'!$Q$11)/1000000000</f>
        <v>0</v>
      </c>
      <c r="R45" s="1206">
        <f>SUMIFS('Bilateral Assistance, MAIN DATA'!S:S,'Bilateral Assistance, MAIN DATA'!B:B,'Commitments per Month'!B45,'Bilateral Assistance, MAIN DATA'!AG:AG,1,'Bilateral Assistance, MAIN DATA'!AH:AH,'Commitments per Month'!$R$11)/1000000000</f>
        <v>0</v>
      </c>
      <c r="S45" s="1206">
        <f>SUMIFS('Bilateral Assistance, MAIN DATA'!S:S,'Bilateral Assistance, MAIN DATA'!B:B,'Commitments per Month'!B45,'Bilateral Assistance, MAIN DATA'!AG:AG,1,'Bilateral Assistance, MAIN DATA'!AH:AH,'Commitments per Month'!$S$11)/1000000000</f>
        <v>0</v>
      </c>
      <c r="T45" s="1206">
        <f>SUMIFS('Bilateral Assistance, MAIN DATA'!S:S,'Bilateral Assistance, MAIN DATA'!B:B,'Commitments per Month'!B45,'Bilateral Assistance, MAIN DATA'!AG:AG,1,'Bilateral Assistance, MAIN DATA'!AH:AH,'Commitments per Month'!$T$11)/1000000000</f>
        <v>0</v>
      </c>
      <c r="U45" s="277">
        <f t="shared" si="0"/>
        <v>5.4684672493927125E-2</v>
      </c>
      <c r="V45" s="277">
        <f>SUMIFS('Bilateral Assistance, MAIN DATA'!S:S,'Bilateral Assistance, MAIN DATA'!B:B,'Commitments per Month'!B45,'Bilateral Assistance, MAIN DATA'!AG:AG,0)/1000000000</f>
        <v>6.4409274935590729E-3</v>
      </c>
    </row>
    <row r="46" spans="1:22" ht="15.95" customHeight="1">
      <c r="B46" s="24" t="s">
        <v>3412</v>
      </c>
      <c r="C46" s="297">
        <v>1</v>
      </c>
      <c r="D46" s="276">
        <f>SUMIFS('Bilateral Assistance, MAIN DATA'!S:S,'Bilateral Assistance, MAIN DATA'!B:B,'Commitments per Month'!B46,'Bilateral Assistance, MAIN DATA'!AG:AG,1,'Bilateral Assistance, MAIN DATA'!AH:AH,'Commitments per Month'!$D$11)/1000000000</f>
        <v>0</v>
      </c>
      <c r="E46" s="276">
        <f>SUMIFS('Bilateral Assistance, MAIN DATA'!S:S,'Bilateral Assistance, MAIN DATA'!B:B,'Commitments per Month'!B46,'Bilateral Assistance, MAIN DATA'!AG:AG,1,'Bilateral Assistance, MAIN DATA'!AH:AH,'Commitments per Month'!$E$11)/1000000000</f>
        <v>1.4999999999999999E-4</v>
      </c>
      <c r="F46" s="276">
        <f>SUMIFS('Bilateral Assistance, MAIN DATA'!S:S,'Bilateral Assistance, MAIN DATA'!B:B,'Commitments per Month'!B46,'Bilateral Assistance, MAIN DATA'!AG:AG,1,'Bilateral Assistance, MAIN DATA'!AH:AH,'Commitments per Month'!$F$11)/1000000000</f>
        <v>7.3506256900993744E-2</v>
      </c>
      <c r="G46" s="276">
        <f>SUMIFS('Bilateral Assistance, MAIN DATA'!S:S,'Bilateral Assistance, MAIN DATA'!B:B,'Commitments per Month'!B46,'Bilateral Assistance, MAIN DATA'!AG:AG,1,'Bilateral Assistance, MAIN DATA'!AH:AH,'Commitments per Month'!$G$11)/1000000000</f>
        <v>2.4599374309900626E-2</v>
      </c>
      <c r="H46" s="276">
        <f>SUMIFS('Bilateral Assistance, MAIN DATA'!S:S,'Bilateral Assistance, MAIN DATA'!B:B,'Commitments per Month'!B46,'Bilateral Assistance, MAIN DATA'!AG:AG,1,'Bilateral Assistance, MAIN DATA'!AH:AH,'Commitments per Month'!$H$11)/1000000000</f>
        <v>0</v>
      </c>
      <c r="I46" s="276">
        <f>SUMIFS('Bilateral Assistance, MAIN DATA'!S:S,'Bilateral Assistance, MAIN DATA'!B:B,'Commitments per Month'!B46,'Bilateral Assistance, MAIN DATA'!AG:AG,1,'Bilateral Assistance, MAIN DATA'!AH:AH,'Commitments per Month'!$I$11)/1000000000</f>
        <v>0</v>
      </c>
      <c r="J46" s="276">
        <f>SUMIFS('Bilateral Assistance, MAIN DATA'!S:S,'Bilateral Assistance, MAIN DATA'!B:B,'Commitments per Month'!B46,'Bilateral Assistance, MAIN DATA'!AG:AG,1,'Bilateral Assistance, MAIN DATA'!AH:AH,'Commitments per Month'!$J$11)/1000000000</f>
        <v>0.25522079499447919</v>
      </c>
      <c r="K46" s="276">
        <f>SUMIFS('Bilateral Assistance, MAIN DATA'!S:S,'Bilateral Assistance, MAIN DATA'!B:B,'Commitments per Month'!B46,'Bilateral Assistance, MAIN DATA'!AG:AG,1,'Bilateral Assistance, MAIN DATA'!AH:AH,'Commitments per Month'!$K$11)/1000000000</f>
        <v>9.8099247770515909E-3</v>
      </c>
      <c r="L46" s="277">
        <f>SUMIFS('Bilateral Assistance, MAIN DATA'!S:S,'Bilateral Assistance, MAIN DATA'!B:B,'Commitments per Month'!B46,'Bilateral Assistance, MAIN DATA'!AG:AG,1,'Bilateral Assistance, MAIN DATA'!AH:AH,'Commitments per Month'!$L$11)/1000000000</f>
        <v>0</v>
      </c>
      <c r="M46" s="239">
        <f>SUMIFS('Bilateral Assistance, MAIN DATA'!S:S,'Bilateral Assistance, MAIN DATA'!B:B,'Commitments per Month'!B46,'Bilateral Assistance, MAIN DATA'!AG:AG,1,'Bilateral Assistance, MAIN DATA'!AH:AH,'Commitments per Month'!$M$11)/1000000000</f>
        <v>6.9883226814257279E-2</v>
      </c>
      <c r="N46" s="277">
        <f>SUMIFS('Bilateral Assistance, MAIN DATA'!S:S,'Bilateral Assistance, MAIN DATA'!B:B,'Commitments per Month'!B46,'Bilateral Assistance, MAIN DATA'!AG:AG,1,'Bilateral Assistance, MAIN DATA'!AH:AH,'Commitments per Month'!$N$11)/1000000000</f>
        <v>8.2186075836890721E-3</v>
      </c>
      <c r="O46" s="277">
        <f>SUMIFS('Bilateral Assistance, MAIN DATA'!S:S,'Bilateral Assistance, MAIN DATA'!B:B,'Commitments per Month'!B46,'Bilateral Assistance, MAIN DATA'!AG:AG,1,'Bilateral Assistance, MAIN DATA'!AH:AH,'Commitments per Month'!$O$11)/1000000000</f>
        <v>0.1</v>
      </c>
      <c r="P46" s="1206">
        <f>SUMIFS('Bilateral Assistance, MAIN DATA'!S:S,'Bilateral Assistance, MAIN DATA'!B:B,'Commitments per Month'!B46,'Bilateral Assistance, MAIN DATA'!AG:AG,1,'Bilateral Assistance, MAIN DATA'!AH:AH,'Commitments per Month'!$P$11)/1000000000</f>
        <v>2.4173108497876912E-2</v>
      </c>
      <c r="Q46" s="1206">
        <f>SUMIFS('Bilateral Assistance, MAIN DATA'!S:S,'Bilateral Assistance, MAIN DATA'!B:B,'Commitments per Month'!B46,'Bilateral Assistance, MAIN DATA'!AG:AG,1,'Bilateral Assistance, MAIN DATA'!AH:AH,'Commitments per Month'!$Q$11)/1000000000</f>
        <v>5.5207949944792055E-3</v>
      </c>
      <c r="R46" s="1206">
        <f>SUMIFS('Bilateral Assistance, MAIN DATA'!S:S,'Bilateral Assistance, MAIN DATA'!B:B,'Commitments per Month'!B46,'Bilateral Assistance, MAIN DATA'!AG:AG,1,'Bilateral Assistance, MAIN DATA'!AH:AH,'Commitments per Month'!$R$11)/1000000000</f>
        <v>0</v>
      </c>
      <c r="S46" s="1206">
        <f>SUMIFS('Bilateral Assistance, MAIN DATA'!S:S,'Bilateral Assistance, MAIN DATA'!B:B,'Commitments per Month'!B46,'Bilateral Assistance, MAIN DATA'!AG:AG,1,'Bilateral Assistance, MAIN DATA'!AH:AH,'Commitments per Month'!$S$11)/1000000000</f>
        <v>0.104032</v>
      </c>
      <c r="T46" s="1206">
        <f>SUMIFS('Bilateral Assistance, MAIN DATA'!S:S,'Bilateral Assistance, MAIN DATA'!B:B,'Commitments per Month'!B46,'Bilateral Assistance, MAIN DATA'!AG:AG,1,'Bilateral Assistance, MAIN DATA'!AH:AH,'Commitments per Month'!$T$11)/1000000000</f>
        <v>0</v>
      </c>
      <c r="U46" s="277">
        <f t="shared" si="0"/>
        <v>0.67511408887272772</v>
      </c>
      <c r="V46" s="277">
        <f>SUMIFS('Bilateral Assistance, MAIN DATA'!S:S,'Bilateral Assistance, MAIN DATA'!B:B,'Commitments per Month'!B46,'Bilateral Assistance, MAIN DATA'!AG:AG,0)/1000000000</f>
        <v>0.160420658298491</v>
      </c>
    </row>
    <row r="47" spans="1:22" ht="15.95" customHeight="1">
      <c r="B47" s="24" t="s">
        <v>3548</v>
      </c>
      <c r="C47" s="297">
        <v>1</v>
      </c>
      <c r="D47" s="276">
        <f>SUMIFS('Bilateral Assistance, MAIN DATA'!S:S,'Bilateral Assistance, MAIN DATA'!B:B,'Commitments per Month'!B47,'Bilateral Assistance, MAIN DATA'!AG:AG,1,'Bilateral Assistance, MAIN DATA'!AH:AH,'Commitments per Month'!$D$11)/1000000000</f>
        <v>0</v>
      </c>
      <c r="E47" s="276">
        <f>SUMIFS('Bilateral Assistance, MAIN DATA'!S:S,'Bilateral Assistance, MAIN DATA'!B:B,'Commitments per Month'!B47,'Bilateral Assistance, MAIN DATA'!AG:AG,1,'Bilateral Assistance, MAIN DATA'!AH:AH,'Commitments per Month'!$E$11)/1000000000</f>
        <v>7.9157761418507083E-2</v>
      </c>
      <c r="F47" s="276">
        <f>SUMIFS('Bilateral Assistance, MAIN DATA'!S:S,'Bilateral Assistance, MAIN DATA'!B:B,'Commitments per Month'!B47,'Bilateral Assistance, MAIN DATA'!AG:AG,1,'Bilateral Assistance, MAIN DATA'!AH:AH,'Commitments per Month'!$F$11)/1000000000</f>
        <v>4.6006624953993373E-2</v>
      </c>
      <c r="G47" s="276">
        <f>SUMIFS('Bilateral Assistance, MAIN DATA'!S:S,'Bilateral Assistance, MAIN DATA'!B:B,'Commitments per Month'!B47,'Bilateral Assistance, MAIN DATA'!AG:AG,1,'Bilateral Assistance, MAIN DATA'!AH:AH,'Commitments per Month'!$G$11)/1000000000</f>
        <v>4.3999999999999997E-2</v>
      </c>
      <c r="H47" s="276">
        <f>SUMIFS('Bilateral Assistance, MAIN DATA'!S:S,'Bilateral Assistance, MAIN DATA'!B:B,'Commitments per Month'!B47,'Bilateral Assistance, MAIN DATA'!AG:AG,1,'Bilateral Assistance, MAIN DATA'!AH:AH,'Commitments per Month'!$H$11)/1000000000</f>
        <v>7.0362454594228518E-2</v>
      </c>
      <c r="I47" s="276">
        <f>SUMIFS('Bilateral Assistance, MAIN DATA'!S:S,'Bilateral Assistance, MAIN DATA'!B:B,'Commitments per Month'!B47,'Bilateral Assistance, MAIN DATA'!AG:AG,1,'Bilateral Assistance, MAIN DATA'!AH:AH,'Commitments per Month'!$I$11)/1000000000</f>
        <v>8.7953068242785648E-2</v>
      </c>
      <c r="J47" s="276">
        <f>SUMIFS('Bilateral Assistance, MAIN DATA'!S:S,'Bilateral Assistance, MAIN DATA'!B:B,'Commitments per Month'!B47,'Bilateral Assistance, MAIN DATA'!AG:AG,1,'Bilateral Assistance, MAIN DATA'!AH:AH,'Commitments per Month'!$J$11)/1000000000</f>
        <v>5.0810487523857271E-2</v>
      </c>
      <c r="K47" s="276">
        <f>SUMIFS('Bilateral Assistance, MAIN DATA'!S:S,'Bilateral Assistance, MAIN DATA'!B:B,'Commitments per Month'!B47,'Bilateral Assistance, MAIN DATA'!AG:AG,1,'Bilateral Assistance, MAIN DATA'!AH:AH,'Commitments per Month'!$K$11)/1000000000</f>
        <v>8.7953068242785648E-2</v>
      </c>
      <c r="L47" s="277">
        <f>SUMIFS('Bilateral Assistance, MAIN DATA'!S:S,'Bilateral Assistance, MAIN DATA'!B:B,'Commitments per Month'!B47,'Bilateral Assistance, MAIN DATA'!AG:AG,1,'Bilateral Assistance, MAIN DATA'!AH:AH,'Commitments per Month'!$L$11)/1000000000</f>
        <v>8.9712918660287081E-3</v>
      </c>
      <c r="M47" s="239">
        <f>SUMIFS('Bilateral Assistance, MAIN DATA'!S:S,'Bilateral Assistance, MAIN DATA'!B:B,'Commitments per Month'!B47,'Bilateral Assistance, MAIN DATA'!AG:AG,1,'Bilateral Assistance, MAIN DATA'!AH:AH,'Commitments per Month'!$M$11)/1000000000</f>
        <v>0</v>
      </c>
      <c r="N47" s="277">
        <f>SUMIFS('Bilateral Assistance, MAIN DATA'!S:S,'Bilateral Assistance, MAIN DATA'!B:B,'Commitments per Month'!B47,'Bilateral Assistance, MAIN DATA'!AG:AG,1,'Bilateral Assistance, MAIN DATA'!AH:AH,'Commitments per Month'!$N$11)/1000000000</f>
        <v>0.29112465588362052</v>
      </c>
      <c r="O47" s="277">
        <f>SUMIFS('Bilateral Assistance, MAIN DATA'!S:S,'Bilateral Assistance, MAIN DATA'!B:B,'Commitments per Month'!B47,'Bilateral Assistance, MAIN DATA'!AG:AG,1,'Bilateral Assistance, MAIN DATA'!AH:AH,'Commitments per Month'!$O$11)/1000000000</f>
        <v>5.2771840945671389E-2</v>
      </c>
      <c r="P47" s="1206">
        <f>SUMIFS('Bilateral Assistance, MAIN DATA'!S:S,'Bilateral Assistance, MAIN DATA'!B:B,'Commitments per Month'!B47,'Bilateral Assistance, MAIN DATA'!AG:AG,1,'Bilateral Assistance, MAIN DATA'!AH:AH,'Commitments per Month'!$P$11)/1000000000</f>
        <v>0.37819819344397831</v>
      </c>
      <c r="Q47" s="1206">
        <f>SUMIFS('Bilateral Assistance, MAIN DATA'!S:S,'Bilateral Assistance, MAIN DATA'!B:B,'Commitments per Month'!B47,'Bilateral Assistance, MAIN DATA'!AG:AG,1,'Bilateral Assistance, MAIN DATA'!AH:AH,'Commitments per Month'!$Q$11)/1000000000</f>
        <v>2.8144981837691409E-2</v>
      </c>
      <c r="R47" s="1206">
        <f>SUMIFS('Bilateral Assistance, MAIN DATA'!S:S,'Bilateral Assistance, MAIN DATA'!B:B,'Commitments per Month'!B47,'Bilateral Assistance, MAIN DATA'!AG:AG,1,'Bilateral Assistance, MAIN DATA'!AH:AH,'Commitments per Month'!$R$11)/1000000000</f>
        <v>0</v>
      </c>
      <c r="S47" s="1206">
        <f>SUMIFS('Bilateral Assistance, MAIN DATA'!S:S,'Bilateral Assistance, MAIN DATA'!B:B,'Commitments per Month'!B47,'Bilateral Assistance, MAIN DATA'!AG:AG,1,'Bilateral Assistance, MAIN DATA'!AH:AH,'Commitments per Month'!$S$11)/1000000000</f>
        <v>0</v>
      </c>
      <c r="T47" s="1206">
        <f>SUMIFS('Bilateral Assistance, MAIN DATA'!S:S,'Bilateral Assistance, MAIN DATA'!B:B,'Commitments per Month'!B47,'Bilateral Assistance, MAIN DATA'!AG:AG,1,'Bilateral Assistance, MAIN DATA'!AH:AH,'Commitments per Month'!$T$11)/1000000000</f>
        <v>0.60244040739861215</v>
      </c>
      <c r="U47" s="277">
        <f t="shared" si="0"/>
        <v>1.82789483635176</v>
      </c>
      <c r="V47" s="277">
        <f>SUMIFS('Bilateral Assistance, MAIN DATA'!S:S,'Bilateral Assistance, MAIN DATA'!B:B,'Commitments per Month'!B47,'Bilateral Assistance, MAIN DATA'!AG:AG,0)/1000000000</f>
        <v>0</v>
      </c>
    </row>
    <row r="48" spans="1:22" ht="15.95" customHeight="1">
      <c r="B48" s="2" t="s">
        <v>3649</v>
      </c>
      <c r="C48" s="297">
        <v>0</v>
      </c>
      <c r="D48" s="276">
        <f>SUMIFS('Bilateral Assistance, MAIN DATA'!S:S,'Bilateral Assistance, MAIN DATA'!B:B,'Commitments per Month'!B48,'Bilateral Assistance, MAIN DATA'!AG:AG,1,'Bilateral Assistance, MAIN DATA'!AH:AH,'Commitments per Month'!$D$11)/1000000000</f>
        <v>0</v>
      </c>
      <c r="E48" s="276">
        <f>SUMIFS('Bilateral Assistance, MAIN DATA'!S:S,'Bilateral Assistance, MAIN DATA'!B:B,'Commitments per Month'!B48,'Bilateral Assistance, MAIN DATA'!AG:AG,1,'Bilateral Assistance, MAIN DATA'!AH:AH,'Commitments per Month'!$E$11)/1000000000</f>
        <v>0</v>
      </c>
      <c r="F48" s="276">
        <f>SUMIFS('Bilateral Assistance, MAIN DATA'!S:S,'Bilateral Assistance, MAIN DATA'!B:B,'Commitments per Month'!B48,'Bilateral Assistance, MAIN DATA'!AG:AG,1,'Bilateral Assistance, MAIN DATA'!AH:AH,'Commitments per Month'!$F$11)/1000000000</f>
        <v>6.1532150548661679E-2</v>
      </c>
      <c r="G48" s="276">
        <f>SUMIFS('Bilateral Assistance, MAIN DATA'!S:S,'Bilateral Assistance, MAIN DATA'!B:B,'Commitments per Month'!B48,'Bilateral Assistance, MAIN DATA'!AG:AG,1,'Bilateral Assistance, MAIN DATA'!AH:AH,'Commitments per Month'!$G$11)/1000000000</f>
        <v>0</v>
      </c>
      <c r="H48" s="276">
        <f>SUMIFS('Bilateral Assistance, MAIN DATA'!S:S,'Bilateral Assistance, MAIN DATA'!B:B,'Commitments per Month'!B48,'Bilateral Assistance, MAIN DATA'!AG:AG,1,'Bilateral Assistance, MAIN DATA'!AH:AH,'Commitments per Month'!$H$11)/1000000000</f>
        <v>0</v>
      </c>
      <c r="I48" s="276">
        <f>SUMIFS('Bilateral Assistance, MAIN DATA'!S:S,'Bilateral Assistance, MAIN DATA'!B:B,'Commitments per Month'!B48,'Bilateral Assistance, MAIN DATA'!AG:AG,1,'Bilateral Assistance, MAIN DATA'!AH:AH,'Commitments per Month'!$I$11)/1000000000</f>
        <v>0</v>
      </c>
      <c r="J48" s="276">
        <f>SUMIFS('Bilateral Assistance, MAIN DATA'!S:S,'Bilateral Assistance, MAIN DATA'!B:B,'Commitments per Month'!B48,'Bilateral Assistance, MAIN DATA'!AG:AG,1,'Bilateral Assistance, MAIN DATA'!AH:AH,'Commitments per Month'!$J$11)/1000000000</f>
        <v>0</v>
      </c>
      <c r="K48" s="276">
        <f>SUMIFS('Bilateral Assistance, MAIN DATA'!S:S,'Bilateral Assistance, MAIN DATA'!B:B,'Commitments per Month'!B48,'Bilateral Assistance, MAIN DATA'!AG:AG,1,'Bilateral Assistance, MAIN DATA'!AH:AH,'Commitments per Month'!$K$11)/1000000000</f>
        <v>2.1843913444774897E-2</v>
      </c>
      <c r="L48" s="277">
        <f>SUMIFS('Bilateral Assistance, MAIN DATA'!S:S,'Bilateral Assistance, MAIN DATA'!B:B,'Commitments per Month'!B48,'Bilateral Assistance, MAIN DATA'!AG:AG,1,'Bilateral Assistance, MAIN DATA'!AH:AH,'Commitments per Month'!$L$11)/1000000000</f>
        <v>0</v>
      </c>
      <c r="M48" s="239">
        <f>SUMIFS('Bilateral Assistance, MAIN DATA'!S:S,'Bilateral Assistance, MAIN DATA'!B:B,'Commitments per Month'!B48,'Bilateral Assistance, MAIN DATA'!AG:AG,1,'Bilateral Assistance, MAIN DATA'!AH:AH,'Commitments per Month'!$M$11)/1000000000</f>
        <v>0</v>
      </c>
      <c r="N48" s="277">
        <f>SUMIFS('Bilateral Assistance, MAIN DATA'!S:S,'Bilateral Assistance, MAIN DATA'!B:B,'Commitments per Month'!B48,'Bilateral Assistance, MAIN DATA'!AG:AG,1,'Bilateral Assistance, MAIN DATA'!AH:AH,'Commitments per Month'!$N$11)/1000000000</f>
        <v>0.10255358424776946</v>
      </c>
      <c r="O48" s="277">
        <f>SUMIFS('Bilateral Assistance, MAIN DATA'!S:S,'Bilateral Assistance, MAIN DATA'!B:B,'Commitments per Month'!B48,'Bilateral Assistance, MAIN DATA'!AG:AG,1,'Bilateral Assistance, MAIN DATA'!AH:AH,'Commitments per Month'!$O$11)/1000000000</f>
        <v>8.7683314531842887E-2</v>
      </c>
      <c r="P48" s="1206">
        <f>SUMIFS('Bilateral Assistance, MAIN DATA'!S:S,'Bilateral Assistance, MAIN DATA'!B:B,'Commitments per Month'!B48,'Bilateral Assistance, MAIN DATA'!AG:AG,1,'Bilateral Assistance, MAIN DATA'!AH:AH,'Commitments per Month'!$P$11)/1000000000</f>
        <v>0</v>
      </c>
      <c r="Q48" s="1206">
        <f>SUMIFS('Bilateral Assistance, MAIN DATA'!S:S,'Bilateral Assistance, MAIN DATA'!B:B,'Commitments per Month'!B48,'Bilateral Assistance, MAIN DATA'!AG:AG,1,'Bilateral Assistance, MAIN DATA'!AH:AH,'Commitments per Month'!$Q$11)/1000000000</f>
        <v>0.11691108604245719</v>
      </c>
      <c r="R48" s="1206">
        <f>SUMIFS('Bilateral Assistance, MAIN DATA'!S:S,'Bilateral Assistance, MAIN DATA'!B:B,'Commitments per Month'!B48,'Bilateral Assistance, MAIN DATA'!AG:AG,1,'Bilateral Assistance, MAIN DATA'!AH:AH,'Commitments per Month'!$R$11)/1000000000</f>
        <v>0</v>
      </c>
      <c r="S48" s="1206">
        <f>SUMIFS('Bilateral Assistance, MAIN DATA'!S:S,'Bilateral Assistance, MAIN DATA'!B:B,'Commitments per Month'!B48,'Bilateral Assistance, MAIN DATA'!AG:AG,1,'Bilateral Assistance, MAIN DATA'!AH:AH,'Commitments per Month'!$S$11)/1000000000</f>
        <v>0</v>
      </c>
      <c r="T48" s="1206">
        <f>SUMIFS('Bilateral Assistance, MAIN DATA'!S:S,'Bilateral Assistance, MAIN DATA'!B:B,'Commitments per Month'!B48,'Bilateral Assistance, MAIN DATA'!AG:AG,1,'Bilateral Assistance, MAIN DATA'!AH:AH,'Commitments per Month'!$T$11)/1000000000</f>
        <v>0</v>
      </c>
      <c r="U48" s="277">
        <f t="shared" si="0"/>
        <v>0.39052404881550612</v>
      </c>
      <c r="V48" s="277">
        <f>SUMIFS('Bilateral Assistance, MAIN DATA'!S:S,'Bilateral Assistance, MAIN DATA'!B:B,'Commitments per Month'!B48,'Bilateral Assistance, MAIN DATA'!AG:AG,0)/1000000000</f>
        <v>0</v>
      </c>
    </row>
    <row r="49" spans="1:24" ht="15.95" customHeight="1">
      <c r="B49" s="2" t="s">
        <v>3685</v>
      </c>
      <c r="C49" s="297">
        <v>0</v>
      </c>
      <c r="D49" s="276">
        <f>SUMIFS('Bilateral Assistance, MAIN DATA'!S:S,'Bilateral Assistance, MAIN DATA'!B:B,'Commitments per Month'!B49,'Bilateral Assistance, MAIN DATA'!AG:AG,1,'Bilateral Assistance, MAIN DATA'!AH:AH,'Commitments per Month'!$D$11)/1000000000</f>
        <v>0</v>
      </c>
      <c r="E49" s="276">
        <f>SUMIFS('Bilateral Assistance, MAIN DATA'!S:S,'Bilateral Assistance, MAIN DATA'!B:B,'Commitments per Month'!B49,'Bilateral Assistance, MAIN DATA'!AG:AG,1,'Bilateral Assistance, MAIN DATA'!AH:AH,'Commitments per Month'!$E$11)/1000000000</f>
        <v>2.282223040117777E-4</v>
      </c>
      <c r="F49" s="276">
        <f>SUMIFS('Bilateral Assistance, MAIN DATA'!S:S,'Bilateral Assistance, MAIN DATA'!B:B,'Commitments per Month'!B49,'Bilateral Assistance, MAIN DATA'!AG:AG,1,'Bilateral Assistance, MAIN DATA'!AH:AH,'Commitments per Month'!$F$11)/1000000000</f>
        <v>4.3831891792418106E-3</v>
      </c>
      <c r="G49" s="276">
        <f>SUMIFS('Bilateral Assistance, MAIN DATA'!S:S,'Bilateral Assistance, MAIN DATA'!B:B,'Commitments per Month'!B49,'Bilateral Assistance, MAIN DATA'!AG:AG,1,'Bilateral Assistance, MAIN DATA'!AH:AH,'Commitments per Month'!$G$11)/1000000000</f>
        <v>0</v>
      </c>
      <c r="H49" s="276">
        <f>SUMIFS('Bilateral Assistance, MAIN DATA'!S:S,'Bilateral Assistance, MAIN DATA'!B:B,'Commitments per Month'!B49,'Bilateral Assistance, MAIN DATA'!AG:AG,1,'Bilateral Assistance, MAIN DATA'!AH:AH,'Commitments per Month'!$H$11)/1000000000</f>
        <v>0</v>
      </c>
      <c r="I49" s="276">
        <f>SUMIFS('Bilateral Assistance, MAIN DATA'!S:S,'Bilateral Assistance, MAIN DATA'!B:B,'Commitments per Month'!B49,'Bilateral Assistance, MAIN DATA'!AG:AG,1,'Bilateral Assistance, MAIN DATA'!AH:AH,'Commitments per Month'!$I$11)/1000000000</f>
        <v>0</v>
      </c>
      <c r="J49" s="276">
        <f>SUMIFS('Bilateral Assistance, MAIN DATA'!S:S,'Bilateral Assistance, MAIN DATA'!B:B,'Commitments per Month'!B49,'Bilateral Assistance, MAIN DATA'!AG:AG,1,'Bilateral Assistance, MAIN DATA'!AH:AH,'Commitments per Month'!$J$11)/1000000000</f>
        <v>0</v>
      </c>
      <c r="K49" s="276">
        <f>SUMIFS('Bilateral Assistance, MAIN DATA'!S:S,'Bilateral Assistance, MAIN DATA'!B:B,'Commitments per Month'!B49,'Bilateral Assistance, MAIN DATA'!AG:AG,1,'Bilateral Assistance, MAIN DATA'!AH:AH,'Commitments per Month'!$K$11)/1000000000</f>
        <v>6.1735369893264627E-2</v>
      </c>
      <c r="L49" s="277">
        <f>SUMIFS('Bilateral Assistance, MAIN DATA'!S:S,'Bilateral Assistance, MAIN DATA'!B:B,'Commitments per Month'!B49,'Bilateral Assistance, MAIN DATA'!AG:AG,1,'Bilateral Assistance, MAIN DATA'!AH:AH,'Commitments per Month'!$L$11)/1000000000</f>
        <v>0</v>
      </c>
      <c r="M49" s="239">
        <f>SUMIFS('Bilateral Assistance, MAIN DATA'!S:S,'Bilateral Assistance, MAIN DATA'!B:B,'Commitments per Month'!B49,'Bilateral Assistance, MAIN DATA'!AG:AG,1,'Bilateral Assistance, MAIN DATA'!AH:AH,'Commitments per Month'!$M$11)/1000000000</f>
        <v>0</v>
      </c>
      <c r="N49" s="277">
        <f>SUMIFS('Bilateral Assistance, MAIN DATA'!S:S,'Bilateral Assistance, MAIN DATA'!B:B,'Commitments per Month'!B49,'Bilateral Assistance, MAIN DATA'!AG:AG,1,'Bilateral Assistance, MAIN DATA'!AH:AH,'Commitments per Month'!$N$11)/1000000000</f>
        <v>0</v>
      </c>
      <c r="O49" s="277">
        <f>SUMIFS('Bilateral Assistance, MAIN DATA'!S:S,'Bilateral Assistance, MAIN DATA'!B:B,'Commitments per Month'!B49,'Bilateral Assistance, MAIN DATA'!AG:AG,1,'Bilateral Assistance, MAIN DATA'!AH:AH,'Commitments per Month'!$O$11)/1000000000</f>
        <v>0</v>
      </c>
      <c r="P49" s="1206">
        <f>SUMIFS('Bilateral Assistance, MAIN DATA'!S:S,'Bilateral Assistance, MAIN DATA'!B:B,'Commitments per Month'!B49,'Bilateral Assistance, MAIN DATA'!AG:AG,1,'Bilateral Assistance, MAIN DATA'!AH:AH,'Commitments per Month'!$P$11)/1000000000</f>
        <v>0</v>
      </c>
      <c r="Q49" s="1206">
        <f>SUMIFS('Bilateral Assistance, MAIN DATA'!S:S,'Bilateral Assistance, MAIN DATA'!B:B,'Commitments per Month'!B49,'Bilateral Assistance, MAIN DATA'!AG:AG,1,'Bilateral Assistance, MAIN DATA'!AH:AH,'Commitments per Month'!$Q$11)/1000000000</f>
        <v>0</v>
      </c>
      <c r="R49" s="1206">
        <f>SUMIFS('Bilateral Assistance, MAIN DATA'!S:S,'Bilateral Assistance, MAIN DATA'!B:B,'Commitments per Month'!B49,'Bilateral Assistance, MAIN DATA'!AG:AG,1,'Bilateral Assistance, MAIN DATA'!AH:AH,'Commitments per Month'!$R$11)/1000000000</f>
        <v>0</v>
      </c>
      <c r="S49" s="1206">
        <f>SUMIFS('Bilateral Assistance, MAIN DATA'!S:S,'Bilateral Assistance, MAIN DATA'!B:B,'Commitments per Month'!B49,'Bilateral Assistance, MAIN DATA'!AG:AG,1,'Bilateral Assistance, MAIN DATA'!AH:AH,'Commitments per Month'!$S$11)/1000000000</f>
        <v>0</v>
      </c>
      <c r="T49" s="1206">
        <f>SUMIFS('Bilateral Assistance, MAIN DATA'!S:S,'Bilateral Assistance, MAIN DATA'!B:B,'Commitments per Month'!B49,'Bilateral Assistance, MAIN DATA'!AG:AG,1,'Bilateral Assistance, MAIN DATA'!AH:AH,'Commitments per Month'!$T$11)/1000000000</f>
        <v>0</v>
      </c>
      <c r="U49" s="277">
        <f t="shared" si="0"/>
        <v>6.6346781376518213E-2</v>
      </c>
      <c r="V49" s="277">
        <f>SUMIFS('Bilateral Assistance, MAIN DATA'!S:S,'Bilateral Assistance, MAIN DATA'!B:B,'Commitments per Month'!B49,'Bilateral Assistance, MAIN DATA'!AG:AG,0)/1000000000</f>
        <v>0</v>
      </c>
    </row>
    <row r="50" spans="1:24" ht="15.95" customHeight="1">
      <c r="B50" s="24" t="s">
        <v>3748</v>
      </c>
      <c r="C50" s="297">
        <v>0</v>
      </c>
      <c r="D50" s="276">
        <f>SUMIFS('Bilateral Assistance, MAIN DATA'!S:S,'Bilateral Assistance, MAIN DATA'!B:B,'Commitments per Month'!B50,'Bilateral Assistance, MAIN DATA'!AG:AG,1,'Bilateral Assistance, MAIN DATA'!AH:AH,'Commitments per Month'!$D$11)/1000000000</f>
        <v>0</v>
      </c>
      <c r="E50" s="276">
        <f>SUMIFS('Bilateral Assistance, MAIN DATA'!S:S,'Bilateral Assistance, MAIN DATA'!B:B,'Commitments per Month'!B50,'Bilateral Assistance, MAIN DATA'!AG:AG,1,'Bilateral Assistance, MAIN DATA'!AH:AH,'Commitments per Month'!$E$11)/1000000000</f>
        <v>0.79511795286756592</v>
      </c>
      <c r="F50" s="276">
        <f>SUMIFS('Bilateral Assistance, MAIN DATA'!S:S,'Bilateral Assistance, MAIN DATA'!B:B,'Commitments per Month'!B50,'Bilateral Assistance, MAIN DATA'!AG:AG,1,'Bilateral Assistance, MAIN DATA'!AH:AH,'Commitments per Month'!$F$11)/1000000000</f>
        <v>0.94486583825423809</v>
      </c>
      <c r="G50" s="276">
        <f>SUMIFS('Bilateral Assistance, MAIN DATA'!S:S,'Bilateral Assistance, MAIN DATA'!B:B,'Commitments per Month'!B50,'Bilateral Assistance, MAIN DATA'!AG:AG,1,'Bilateral Assistance, MAIN DATA'!AH:AH,'Commitments per Month'!$G$11)/1000000000</f>
        <v>1.3911782938527342</v>
      </c>
      <c r="H50" s="276">
        <f>SUMIFS('Bilateral Assistance, MAIN DATA'!S:S,'Bilateral Assistance, MAIN DATA'!B:B,'Commitments per Month'!B50,'Bilateral Assistance, MAIN DATA'!AG:AG,1,'Bilateral Assistance, MAIN DATA'!AH:AH,'Commitments per Month'!$H$11)/1000000000</f>
        <v>1.539661134144493</v>
      </c>
      <c r="I50" s="276">
        <f>SUMIFS('Bilateral Assistance, MAIN DATA'!S:S,'Bilateral Assistance, MAIN DATA'!B:B,'Commitments per Month'!B50,'Bilateral Assistance, MAIN DATA'!AG:AG,1,'Bilateral Assistance, MAIN DATA'!AH:AH,'Commitments per Month'!$I$11)/1000000000</f>
        <v>1.1603860294117649</v>
      </c>
      <c r="J50" s="276">
        <f>SUMIFS('Bilateral Assistance, MAIN DATA'!S:S,'Bilateral Assistance, MAIN DATA'!B:B,'Commitments per Month'!B50,'Bilateral Assistance, MAIN DATA'!AG:AG,1,'Bilateral Assistance, MAIN DATA'!AH:AH,'Commitments per Month'!$J$11)/1000000000</f>
        <v>5.7444852941176475E-3</v>
      </c>
      <c r="K50" s="276">
        <f>SUMIFS('Bilateral Assistance, MAIN DATA'!S:S,'Bilateral Assistance, MAIN DATA'!B:B,'Commitments per Month'!B50,'Bilateral Assistance, MAIN DATA'!AG:AG,1,'Bilateral Assistance, MAIN DATA'!AH:AH,'Commitments per Month'!$K$11)/1000000000</f>
        <v>0</v>
      </c>
      <c r="L50" s="277">
        <f>SUMIFS('Bilateral Assistance, MAIN DATA'!S:S,'Bilateral Assistance, MAIN DATA'!B:B,'Commitments per Month'!B50,'Bilateral Assistance, MAIN DATA'!AG:AG,1,'Bilateral Assistance, MAIN DATA'!AH:AH,'Commitments per Month'!$L$11)/1000000000</f>
        <v>0.46006624953993375</v>
      </c>
      <c r="M50" s="239">
        <f>SUMIFS('Bilateral Assistance, MAIN DATA'!S:S,'Bilateral Assistance, MAIN DATA'!B:B,'Commitments per Month'!B50,'Bilateral Assistance, MAIN DATA'!AG:AG,1,'Bilateral Assistance, MAIN DATA'!AH:AH,'Commitments per Month'!$M$11)/1000000000</f>
        <v>0.30538376828355784</v>
      </c>
      <c r="N50" s="277">
        <f>SUMIFS('Bilateral Assistance, MAIN DATA'!S:S,'Bilateral Assistance, MAIN DATA'!B:B,'Commitments per Month'!B50,'Bilateral Assistance, MAIN DATA'!AG:AG,1,'Bilateral Assistance, MAIN DATA'!AH:AH,'Commitments per Month'!$N$11)/1000000000</f>
        <v>9.8593906019290301E-2</v>
      </c>
      <c r="O50" s="277">
        <f>SUMIFS('Bilateral Assistance, MAIN DATA'!S:S,'Bilateral Assistance, MAIN DATA'!B:B,'Commitments per Month'!B50,'Bilateral Assistance, MAIN DATA'!AG:AG,1,'Bilateral Assistance, MAIN DATA'!AH:AH,'Commitments per Month'!$O$11)/1000000000</f>
        <v>0.46006624953993375</v>
      </c>
      <c r="P50" s="1206">
        <f>SUMIFS('Bilateral Assistance, MAIN DATA'!S:S,'Bilateral Assistance, MAIN DATA'!B:B,'Commitments per Month'!B50,'Bilateral Assistance, MAIN DATA'!AG:AG,1,'Bilateral Assistance, MAIN DATA'!AH:AH,'Commitments per Month'!$P$11)/1000000000</f>
        <v>2.6424632352941178</v>
      </c>
      <c r="Q50" s="1206">
        <f>SUMIFS('Bilateral Assistance, MAIN DATA'!S:S,'Bilateral Assistance, MAIN DATA'!B:B,'Commitments per Month'!B50,'Bilateral Assistance, MAIN DATA'!AG:AG,1,'Bilateral Assistance, MAIN DATA'!AH:AH,'Commitments per Month'!$Q$11)/1000000000</f>
        <v>0</v>
      </c>
      <c r="R50" s="1206">
        <f>SUMIFS('Bilateral Assistance, MAIN DATA'!S:S,'Bilateral Assistance, MAIN DATA'!B:B,'Commitments per Month'!B50,'Bilateral Assistance, MAIN DATA'!AG:AG,1,'Bilateral Assistance, MAIN DATA'!AH:AH,'Commitments per Month'!$R$11)/1000000000</f>
        <v>0.47155522012816908</v>
      </c>
      <c r="S50" s="1206">
        <f>SUMIFS('Bilateral Assistance, MAIN DATA'!S:S,'Bilateral Assistance, MAIN DATA'!B:B,'Commitments per Month'!B50,'Bilateral Assistance, MAIN DATA'!AG:AG,1,'Bilateral Assistance, MAIN DATA'!AH:AH,'Commitments per Month'!$S$11)/1000000000</f>
        <v>0.46006624953993375</v>
      </c>
      <c r="T50" s="1206">
        <f>SUMIFS('Bilateral Assistance, MAIN DATA'!S:S,'Bilateral Assistance, MAIN DATA'!B:B,'Commitments per Month'!B50,'Bilateral Assistance, MAIN DATA'!AG:AG,1,'Bilateral Assistance, MAIN DATA'!AH:AH,'Commitments per Month'!$T$11)/1000000000</f>
        <v>0</v>
      </c>
      <c r="U50" s="277">
        <f t="shared" si="0"/>
        <v>10.735148612169848</v>
      </c>
      <c r="V50" s="277">
        <f>SUMIFS('Bilateral Assistance, MAIN DATA'!S:S,'Bilateral Assistance, MAIN DATA'!B:B,'Commitments per Month'!B50,'Bilateral Assistance, MAIN DATA'!AG:AG,0)/1000000000</f>
        <v>0</v>
      </c>
    </row>
    <row r="51" spans="1:24" ht="15.95" customHeight="1">
      <c r="B51" s="24" t="s">
        <v>3949</v>
      </c>
      <c r="C51" s="297">
        <v>0</v>
      </c>
      <c r="D51" s="276">
        <f>SUMIFS('Bilateral Assistance, MAIN DATA'!S:S,'Bilateral Assistance, MAIN DATA'!B:B,'Commitments per Month'!B51,'Bilateral Assistance, MAIN DATA'!AG:AG,1,'Bilateral Assistance, MAIN DATA'!AH:AH,'Commitments per Month'!$D$11)/1000000000</f>
        <v>0</v>
      </c>
      <c r="E51" s="276">
        <f>SUMIFS('Bilateral Assistance, MAIN DATA'!S:S,'Bilateral Assistance, MAIN DATA'!B:B,'Commitments per Month'!B51,'Bilateral Assistance, MAIN DATA'!AG:AG,1,'Bilateral Assistance, MAIN DATA'!AH:AH,'Commitments per Month'!$E$11)/1000000000</f>
        <v>4.9687154950312847E-2</v>
      </c>
      <c r="F51" s="276">
        <f>SUMIFS('Bilateral Assistance, MAIN DATA'!S:S,'Bilateral Assistance, MAIN DATA'!B:B,'Commitments per Month'!B51,'Bilateral Assistance, MAIN DATA'!AG:AG,1,'Bilateral Assistance, MAIN DATA'!AH:AH,'Commitments per Month'!$F$11)/1000000000</f>
        <v>9.4160422248803837</v>
      </c>
      <c r="G51" s="276">
        <f>SUMIFS('Bilateral Assistance, MAIN DATA'!S:S,'Bilateral Assistance, MAIN DATA'!B:B,'Commitments per Month'!B51,'Bilateral Assistance, MAIN DATA'!AG:AG,1,'Bilateral Assistance, MAIN DATA'!AH:AH,'Commitments per Month'!$G$11)/1000000000</f>
        <v>7.22027972027972</v>
      </c>
      <c r="H51" s="276">
        <f>SUMIFS('Bilateral Assistance, MAIN DATA'!S:S,'Bilateral Assistance, MAIN DATA'!B:B,'Commitments per Month'!B51,'Bilateral Assistance, MAIN DATA'!AG:AG,1,'Bilateral Assistance, MAIN DATA'!AH:AH,'Commitments per Month'!$H$11)/1000000000</f>
        <v>7.2587699631947</v>
      </c>
      <c r="I51" s="276">
        <f>SUMIFS('Bilateral Assistance, MAIN DATA'!S:S,'Bilateral Assistance, MAIN DATA'!B:B,'Commitments per Month'!B51,'Bilateral Assistance, MAIN DATA'!AG:AG,1,'Bilateral Assistance, MAIN DATA'!AH:AH,'Commitments per Month'!$I$11)/1000000000</f>
        <v>0.20744882407066617</v>
      </c>
      <c r="J51" s="276">
        <f>SUMIFS('Bilateral Assistance, MAIN DATA'!S:S,'Bilateral Assistance, MAIN DATA'!B:B,'Commitments per Month'!B51,'Bilateral Assistance, MAIN DATA'!AG:AG,1,'Bilateral Assistance, MAIN DATA'!AH:AH,'Commitments per Month'!$J$11)/1000000000</f>
        <v>0.35886065237394182</v>
      </c>
      <c r="K51" s="276">
        <f>SUMIFS('Bilateral Assistance, MAIN DATA'!S:S,'Bilateral Assistance, MAIN DATA'!B:B,'Commitments per Month'!B51,'Bilateral Assistance, MAIN DATA'!AG:AG,1,'Bilateral Assistance, MAIN DATA'!AH:AH,'Commitments per Month'!$K$11)/1000000000</f>
        <v>1.0871774015458226E-2</v>
      </c>
      <c r="L51" s="277">
        <f>SUMIFS('Bilateral Assistance, MAIN DATA'!S:S,'Bilateral Assistance, MAIN DATA'!B:B,'Commitments per Month'!B51,'Bilateral Assistance, MAIN DATA'!AG:AG,1,'Bilateral Assistance, MAIN DATA'!AH:AH,'Commitments per Month'!$L$11)/1000000000</f>
        <v>10.338381048030916</v>
      </c>
      <c r="M51" s="239">
        <f>SUMIFS('Bilateral Assistance, MAIN DATA'!S:S,'Bilateral Assistance, MAIN DATA'!B:B,'Commitments per Month'!B51,'Bilateral Assistance, MAIN DATA'!AG:AG,1,'Bilateral Assistance, MAIN DATA'!AH:AH,'Commitments per Month'!$M$11)/1000000000</f>
        <v>0</v>
      </c>
      <c r="N51" s="277">
        <f>SUMIFS('Bilateral Assistance, MAIN DATA'!S:S,'Bilateral Assistance, MAIN DATA'!B:B,'Commitments per Month'!B51,'Bilateral Assistance, MAIN DATA'!AG:AG,1,'Bilateral Assistance, MAIN DATA'!AH:AH,'Commitments per Month'!$N$11)/1000000000</f>
        <v>0</v>
      </c>
      <c r="O51" s="277">
        <f>SUMIFS('Bilateral Assistance, MAIN DATA'!S:S,'Bilateral Assistance, MAIN DATA'!B:B,'Commitments per Month'!B51,'Bilateral Assistance, MAIN DATA'!AG:AG,1,'Bilateral Assistance, MAIN DATA'!AH:AH,'Commitments per Month'!$O$11)/1000000000</f>
        <v>35.838516746411486</v>
      </c>
      <c r="P51" s="1206">
        <f>SUMIFS('Bilateral Assistance, MAIN DATA'!S:S,'Bilateral Assistance, MAIN DATA'!B:B,'Commitments per Month'!B51,'Bilateral Assistance, MAIN DATA'!AG:AG,1,'Bilateral Assistance, MAIN DATA'!AH:AH,'Commitments per Month'!$P$11)/1000000000</f>
        <v>0</v>
      </c>
      <c r="Q51" s="1206">
        <f>SUMIFS('Bilateral Assistance, MAIN DATA'!S:S,'Bilateral Assistance, MAIN DATA'!B:B,'Commitments per Month'!B51,'Bilateral Assistance, MAIN DATA'!AG:AG,1,'Bilateral Assistance, MAIN DATA'!AH:AH,'Commitments per Month'!$Q$11)/1000000000</f>
        <v>0</v>
      </c>
      <c r="R51" s="1206">
        <f>SUMIFS('Bilateral Assistance, MAIN DATA'!S:S,'Bilateral Assistance, MAIN DATA'!B:B,'Commitments per Month'!B51,'Bilateral Assistance, MAIN DATA'!AG:AG,1,'Bilateral Assistance, MAIN DATA'!AH:AH,'Commitments per Month'!$R$11)/1000000000</f>
        <v>0</v>
      </c>
      <c r="S51" s="1206">
        <f>SUMIFS('Bilateral Assistance, MAIN DATA'!S:S,'Bilateral Assistance, MAIN DATA'!B:B,'Commitments per Month'!B51,'Bilateral Assistance, MAIN DATA'!AG:AG,1,'Bilateral Assistance, MAIN DATA'!AH:AH,'Commitments per Month'!$S$11)/1000000000</f>
        <v>0</v>
      </c>
      <c r="T51" s="1206">
        <f>SUMIFS('Bilateral Assistance, MAIN DATA'!S:S,'Bilateral Assistance, MAIN DATA'!B:B,'Commitments per Month'!B51,'Bilateral Assistance, MAIN DATA'!AG:AG,1,'Bilateral Assistance, MAIN DATA'!AH:AH,'Commitments per Month'!$T$11)/1000000000</f>
        <v>0</v>
      </c>
      <c r="U51" s="277">
        <f t="shared" si="0"/>
        <v>70.698858108207588</v>
      </c>
      <c r="V51" s="277">
        <f>SUMIFS('Bilateral Assistance, MAIN DATA'!S:S,'Bilateral Assistance, MAIN DATA'!B:B,'Commitments per Month'!B51,'Bilateral Assistance, MAIN DATA'!AG:AG,0)/1000000000</f>
        <v>0</v>
      </c>
    </row>
    <row r="52" spans="1:24" ht="15.95" customHeight="1">
      <c r="B52" s="24" t="s">
        <v>905</v>
      </c>
      <c r="C52" s="297">
        <v>0</v>
      </c>
      <c r="D52" s="276">
        <f>SUMIFS('Bilateral Assistance, MAIN DATA'!S:S,'Bilateral Assistance, MAIN DATA'!B:B,'Commitments per Month'!B52,'Bilateral Assistance, MAIN DATA'!AG:AG,1,'Bilateral Assistance, MAIN DATA'!AH:AH,'Commitments per Month'!$D$11)/1000000000</f>
        <v>0</v>
      </c>
      <c r="E52" s="276">
        <f>SUMIFS('Bilateral Assistance, MAIN DATA'!S:S,'Bilateral Assistance, MAIN DATA'!B:B,'Commitments per Month'!B52,'Bilateral Assistance, MAIN DATA'!AG:AG,1,'Bilateral Assistance, MAIN DATA'!AH:AH,'Commitments per Month'!$E$11)/1000000000</f>
        <v>0</v>
      </c>
      <c r="F52" s="276">
        <f>SUMIFS('Bilateral Assistance, MAIN DATA'!S:S,'Bilateral Assistance, MAIN DATA'!B:B,'Commitments per Month'!B52,'Bilateral Assistance, MAIN DATA'!AG:AG,1,'Bilateral Assistance, MAIN DATA'!AH:AH,'Commitments per Month'!$F$11)/1000000000</f>
        <v>1.9750355506399117E-3</v>
      </c>
      <c r="G52" s="276">
        <f>SUMIFS('Bilateral Assistance, MAIN DATA'!S:S,'Bilateral Assistance, MAIN DATA'!B:B,'Commitments per Month'!B52,'Bilateral Assistance, MAIN DATA'!AG:AG,1,'Bilateral Assistance, MAIN DATA'!AH:AH,'Commitments per Month'!$G$11)/1000000000</f>
        <v>0</v>
      </c>
      <c r="H52" s="276">
        <f>SUMIFS('Bilateral Assistance, MAIN DATA'!S:S,'Bilateral Assistance, MAIN DATA'!B:B,'Commitments per Month'!B52,'Bilateral Assistance, MAIN DATA'!AG:AG,1,'Bilateral Assistance, MAIN DATA'!AH:AH,'Commitments per Month'!$H$11)/1000000000</f>
        <v>0</v>
      </c>
      <c r="I52" s="276">
        <f>SUMIFS('Bilateral Assistance, MAIN DATA'!S:S,'Bilateral Assistance, MAIN DATA'!B:B,'Commitments per Month'!B52,'Bilateral Assistance, MAIN DATA'!AG:AG,1,'Bilateral Assistance, MAIN DATA'!AH:AH,'Commitments per Month'!$I$11)/1000000000</f>
        <v>0</v>
      </c>
      <c r="J52" s="276">
        <f>SUMIFS('Bilateral Assistance, MAIN DATA'!S:S,'Bilateral Assistance, MAIN DATA'!B:B,'Commitments per Month'!B52,'Bilateral Assistance, MAIN DATA'!AG:AG,1,'Bilateral Assistance, MAIN DATA'!AH:AH,'Commitments per Month'!$J$11)/1000000000</f>
        <v>0</v>
      </c>
      <c r="K52" s="276">
        <f>SUMIFS('Bilateral Assistance, MAIN DATA'!S:S,'Bilateral Assistance, MAIN DATA'!B:B,'Commitments per Month'!B52,'Bilateral Assistance, MAIN DATA'!AG:AG,1,'Bilateral Assistance, MAIN DATA'!AH:AH,'Commitments per Month'!$K$11)/1000000000</f>
        <v>0</v>
      </c>
      <c r="L52" s="277">
        <f>SUMIFS('Bilateral Assistance, MAIN DATA'!S:S,'Bilateral Assistance, MAIN DATA'!B:B,'Commitments per Month'!B52,'Bilateral Assistance, MAIN DATA'!AG:AG,1,'Bilateral Assistance, MAIN DATA'!AH:AH,'Commitments per Month'!$L$11)/1000000000</f>
        <v>0</v>
      </c>
      <c r="M52" s="239">
        <f>SUMIFS('Bilateral Assistance, MAIN DATA'!S:S,'Bilateral Assistance, MAIN DATA'!B:B,'Commitments per Month'!B52,'Bilateral Assistance, MAIN DATA'!AG:AG,1,'Bilateral Assistance, MAIN DATA'!AH:AH,'Commitments per Month'!$M$11)/1000000000</f>
        <v>0</v>
      </c>
      <c r="N52" s="277">
        <f>SUMIFS('Bilateral Assistance, MAIN DATA'!S:S,'Bilateral Assistance, MAIN DATA'!B:B,'Commitments per Month'!B52,'Bilateral Assistance, MAIN DATA'!AG:AG,1,'Bilateral Assistance, MAIN DATA'!AH:AH,'Commitments per Month'!$N$11)/1000000000</f>
        <v>0</v>
      </c>
      <c r="O52" s="277">
        <f>SUMIFS('Bilateral Assistance, MAIN DATA'!S:S,'Bilateral Assistance, MAIN DATA'!B:B,'Commitments per Month'!B52,'Bilateral Assistance, MAIN DATA'!AG:AG,1,'Bilateral Assistance, MAIN DATA'!AH:AH,'Commitments per Month'!$O$11)/1000000000</f>
        <v>0</v>
      </c>
      <c r="P52" s="1206">
        <f>SUMIFS('Bilateral Assistance, MAIN DATA'!S:S,'Bilateral Assistance, MAIN DATA'!B:B,'Commitments per Month'!B52,'Bilateral Assistance, MAIN DATA'!AG:AG,1,'Bilateral Assistance, MAIN DATA'!AH:AH,'Commitments per Month'!$P$11)/1000000000</f>
        <v>0</v>
      </c>
      <c r="Q52" s="1206">
        <f>SUMIFS('Bilateral Assistance, MAIN DATA'!S:S,'Bilateral Assistance, MAIN DATA'!B:B,'Commitments per Month'!B52,'Bilateral Assistance, MAIN DATA'!AG:AG,1,'Bilateral Assistance, MAIN DATA'!AH:AH,'Commitments per Month'!$Q$11)/1000000000</f>
        <v>0</v>
      </c>
      <c r="R52" s="1206">
        <f>SUMIFS('Bilateral Assistance, MAIN DATA'!S:S,'Bilateral Assistance, MAIN DATA'!B:B,'Commitments per Month'!B52,'Bilateral Assistance, MAIN DATA'!AG:AG,1,'Bilateral Assistance, MAIN DATA'!AH:AH,'Commitments per Month'!$R$11)/1000000000</f>
        <v>2.0000000000000001E-4</v>
      </c>
      <c r="S52" s="1206">
        <f>SUMIFS('Bilateral Assistance, MAIN DATA'!S:S,'Bilateral Assistance, MAIN DATA'!B:B,'Commitments per Month'!B52,'Bilateral Assistance, MAIN DATA'!AG:AG,1,'Bilateral Assistance, MAIN DATA'!AH:AH,'Commitments per Month'!$S$11)/1000000000</f>
        <v>0</v>
      </c>
      <c r="T52" s="1206">
        <f>SUMIFS('Bilateral Assistance, MAIN DATA'!S:S,'Bilateral Assistance, MAIN DATA'!B:B,'Commitments per Month'!B52,'Bilateral Assistance, MAIN DATA'!AG:AG,1,'Bilateral Assistance, MAIN DATA'!AH:AH,'Commitments per Month'!$T$11)/1000000000</f>
        <v>0</v>
      </c>
      <c r="U52" s="277">
        <f t="shared" si="0"/>
        <v>2.1750355506399118E-3</v>
      </c>
      <c r="V52" s="277">
        <f>SUMIFS('Bilateral Assistance, MAIN DATA'!S:S,'Bilateral Assistance, MAIN DATA'!B:B,'Commitments per Month'!B52,'Bilateral Assistance, MAIN DATA'!AG:AG,0)/1000000000</f>
        <v>0</v>
      </c>
    </row>
    <row r="53" spans="1:24" ht="15.95" customHeight="1">
      <c r="B53" s="24" t="s">
        <v>3713</v>
      </c>
      <c r="C53" s="297">
        <v>0</v>
      </c>
      <c r="D53" s="276">
        <f>SUMIFS('Bilateral Assistance, MAIN DATA'!S:S,'Bilateral Assistance, MAIN DATA'!B:B,'Commitments per Month'!B53,'Bilateral Assistance, MAIN DATA'!AG:AG,1,'Bilateral Assistance, MAIN DATA'!AH:AH,'Commitments per Month'!$D$11)/1000000000</f>
        <v>0</v>
      </c>
      <c r="E53" s="276">
        <f>SUMIFS('Bilateral Assistance, MAIN DATA'!S:S,'Bilateral Assistance, MAIN DATA'!B:B,'Commitments per Month'!B53,'Bilateral Assistance, MAIN DATA'!AG:AG,1,'Bilateral Assistance, MAIN DATA'!AH:AH,'Commitments per Month'!$E$11)/1000000000</f>
        <v>0</v>
      </c>
      <c r="F53" s="276">
        <f>SUMIFS('Bilateral Assistance, MAIN DATA'!S:S,'Bilateral Assistance, MAIN DATA'!B:B,'Commitments per Month'!B53,'Bilateral Assistance, MAIN DATA'!AG:AG,1,'Bilateral Assistance, MAIN DATA'!AH:AH,'Commitments per Month'!$F$11)/1000000000</f>
        <v>0</v>
      </c>
      <c r="G53" s="276">
        <f>SUMIFS('Bilateral Assistance, MAIN DATA'!S:S,'Bilateral Assistance, MAIN DATA'!B:B,'Commitments per Month'!B53,'Bilateral Assistance, MAIN DATA'!AG:AG,1,'Bilateral Assistance, MAIN DATA'!AH:AH,'Commitments per Month'!$G$11)/1000000000</f>
        <v>7.3610599926389403E-3</v>
      </c>
      <c r="H53" s="276">
        <f>SUMIFS('Bilateral Assistance, MAIN DATA'!S:S,'Bilateral Assistance, MAIN DATA'!B:B,'Commitments per Month'!B53,'Bilateral Assistance, MAIN DATA'!AG:AG,1,'Bilateral Assistance, MAIN DATA'!AH:AH,'Commitments per Month'!$H$11)/1000000000</f>
        <v>0</v>
      </c>
      <c r="I53" s="276">
        <f>SUMIFS('Bilateral Assistance, MAIN DATA'!S:S,'Bilateral Assistance, MAIN DATA'!B:B,'Commitments per Month'!B53,'Bilateral Assistance, MAIN DATA'!AG:AG,1,'Bilateral Assistance, MAIN DATA'!AH:AH,'Commitments per Month'!$I$11)/1000000000</f>
        <v>4.140596245859403E-3</v>
      </c>
      <c r="J53" s="276">
        <f>SUMIFS('Bilateral Assistance, MAIN DATA'!S:S,'Bilateral Assistance, MAIN DATA'!B:B,'Commitments per Month'!B53,'Bilateral Assistance, MAIN DATA'!AG:AG,1,'Bilateral Assistance, MAIN DATA'!AH:AH,'Commitments per Month'!$J$11)/1000000000</f>
        <v>0</v>
      </c>
      <c r="K53" s="276">
        <f>SUMIFS('Bilateral Assistance, MAIN DATA'!S:S,'Bilateral Assistance, MAIN DATA'!B:B,'Commitments per Month'!B53,'Bilateral Assistance, MAIN DATA'!AG:AG,1,'Bilateral Assistance, MAIN DATA'!AH:AH,'Commitments per Month'!$K$11)/1000000000</f>
        <v>0</v>
      </c>
      <c r="L53" s="277">
        <f>SUMIFS('Bilateral Assistance, MAIN DATA'!S:S,'Bilateral Assistance, MAIN DATA'!B:B,'Commitments per Month'!B53,'Bilateral Assistance, MAIN DATA'!AG:AG,1,'Bilateral Assistance, MAIN DATA'!AH:AH,'Commitments per Month'!$L$11)/1000000000</f>
        <v>0</v>
      </c>
      <c r="M53" s="239">
        <f>SUMIFS('Bilateral Assistance, MAIN DATA'!S:S,'Bilateral Assistance, MAIN DATA'!B:B,'Commitments per Month'!B53,'Bilateral Assistance, MAIN DATA'!AG:AG,1,'Bilateral Assistance, MAIN DATA'!AH:AH,'Commitments per Month'!$M$11)/1000000000</f>
        <v>5.1527419948472583E-2</v>
      </c>
      <c r="N53" s="277">
        <f>SUMIFS('Bilateral Assistance, MAIN DATA'!S:S,'Bilateral Assistance, MAIN DATA'!B:B,'Commitments per Month'!B53,'Bilateral Assistance, MAIN DATA'!AG:AG,1,'Bilateral Assistance, MAIN DATA'!AH:AH,'Commitments per Month'!$N$11)/1000000000</f>
        <v>0</v>
      </c>
      <c r="O53" s="277">
        <f>SUMIFS('Bilateral Assistance, MAIN DATA'!S:S,'Bilateral Assistance, MAIN DATA'!B:B,'Commitments per Month'!B53,'Bilateral Assistance, MAIN DATA'!AG:AG,1,'Bilateral Assistance, MAIN DATA'!AH:AH,'Commitments per Month'!$O$11)/1000000000</f>
        <v>0</v>
      </c>
      <c r="P53" s="1206">
        <f>SUMIFS('Bilateral Assistance, MAIN DATA'!S:S,'Bilateral Assistance, MAIN DATA'!B:B,'Commitments per Month'!B53,'Bilateral Assistance, MAIN DATA'!AG:AG,1,'Bilateral Assistance, MAIN DATA'!AH:AH,'Commitments per Month'!$P$11)/1000000000</f>
        <v>0</v>
      </c>
      <c r="Q53" s="1206">
        <f>SUMIFS('Bilateral Assistance, MAIN DATA'!S:S,'Bilateral Assistance, MAIN DATA'!B:B,'Commitments per Month'!B53,'Bilateral Assistance, MAIN DATA'!AG:AG,1,'Bilateral Assistance, MAIN DATA'!AH:AH,'Commitments per Month'!$Q$11)/1000000000</f>
        <v>0</v>
      </c>
      <c r="R53" s="1206">
        <f>SUMIFS('Bilateral Assistance, MAIN DATA'!S:S,'Bilateral Assistance, MAIN DATA'!B:B,'Commitments per Month'!B53,'Bilateral Assistance, MAIN DATA'!AG:AG,1,'Bilateral Assistance, MAIN DATA'!AH:AH,'Commitments per Month'!$R$11)/1000000000</f>
        <v>0</v>
      </c>
      <c r="S53" s="1206">
        <f>SUMIFS('Bilateral Assistance, MAIN DATA'!S:S,'Bilateral Assistance, MAIN DATA'!B:B,'Commitments per Month'!B53,'Bilateral Assistance, MAIN DATA'!AG:AG,1,'Bilateral Assistance, MAIN DATA'!AH:AH,'Commitments per Month'!$S$11)/1000000000</f>
        <v>0</v>
      </c>
      <c r="T53" s="1206">
        <f>SUMIFS('Bilateral Assistance, MAIN DATA'!S:S,'Bilateral Assistance, MAIN DATA'!B:B,'Commitments per Month'!B53,'Bilateral Assistance, MAIN DATA'!AG:AG,1,'Bilateral Assistance, MAIN DATA'!AH:AH,'Commitments per Month'!$T$11)/1000000000</f>
        <v>0</v>
      </c>
      <c r="U53" s="277">
        <f t="shared" si="0"/>
        <v>6.3029076186970928E-2</v>
      </c>
      <c r="V53" s="277">
        <f>SUMIFS('Bilateral Assistance, MAIN DATA'!S:S,'Bilateral Assistance, MAIN DATA'!B:B,'Commitments per Month'!B53,'Bilateral Assistance, MAIN DATA'!AG:AG,0)/1000000000</f>
        <v>0</v>
      </c>
    </row>
    <row r="54" spans="1:24" ht="15.95" customHeight="1">
      <c r="B54" s="258" t="s">
        <v>2076</v>
      </c>
      <c r="C54" s="328">
        <v>0</v>
      </c>
      <c r="D54" s="276">
        <f>SUMIFS('Bilateral Assistance, MAIN DATA'!S:S,'Bilateral Assistance, MAIN DATA'!B:B,'Commitments per Month'!B54,'Bilateral Assistance, MAIN DATA'!AG:AG,1,'Bilateral Assistance, MAIN DATA'!AH:AH,'Commitments per Month'!$D$11)/1000000000</f>
        <v>0</v>
      </c>
      <c r="E54" s="276">
        <f>SUMIFS('Bilateral Assistance, MAIN DATA'!S:S,'Bilateral Assistance, MAIN DATA'!B:B,'Commitments per Month'!B54,'Bilateral Assistance, MAIN DATA'!AG:AG,1,'Bilateral Assistance, MAIN DATA'!AH:AH,'Commitments per Month'!$E$11)/1000000000</f>
        <v>0</v>
      </c>
      <c r="F54" s="276">
        <f>SUMIFS('Bilateral Assistance, MAIN DATA'!S:S,'Bilateral Assistance, MAIN DATA'!B:B,'Commitments per Month'!B54,'Bilateral Assistance, MAIN DATA'!AG:AG,1,'Bilateral Assistance, MAIN DATA'!AH:AH,'Commitments per Month'!$F$11)/1000000000</f>
        <v>0</v>
      </c>
      <c r="G54" s="276">
        <f>SUMIFS('Bilateral Assistance, MAIN DATA'!S:S,'Bilateral Assistance, MAIN DATA'!B:B,'Commitments per Month'!B54,'Bilateral Assistance, MAIN DATA'!AG:AG,1,'Bilateral Assistance, MAIN DATA'!AH:AH,'Commitments per Month'!$G$11)/1000000000</f>
        <v>0</v>
      </c>
      <c r="H54" s="276">
        <f>SUMIFS('Bilateral Assistance, MAIN DATA'!S:S,'Bilateral Assistance, MAIN DATA'!B:B,'Commitments per Month'!B54,'Bilateral Assistance, MAIN DATA'!AG:AG,1,'Bilateral Assistance, MAIN DATA'!AH:AH,'Commitments per Month'!$H$11)/1000000000</f>
        <v>0</v>
      </c>
      <c r="I54" s="276">
        <f>SUMIFS('Bilateral Assistance, MAIN DATA'!S:S,'Bilateral Assistance, MAIN DATA'!B:B,'Commitments per Month'!B54,'Bilateral Assistance, MAIN DATA'!AG:AG,1,'Bilateral Assistance, MAIN DATA'!AH:AH,'Commitments per Month'!$I$11)/1000000000</f>
        <v>0</v>
      </c>
      <c r="J54" s="276">
        <f>SUMIFS('Bilateral Assistance, MAIN DATA'!S:S,'Bilateral Assistance, MAIN DATA'!B:B,'Commitments per Month'!B54,'Bilateral Assistance, MAIN DATA'!AG:AG,1,'Bilateral Assistance, MAIN DATA'!AH:AH,'Commitments per Month'!$J$11)/1000000000</f>
        <v>0</v>
      </c>
      <c r="K54" s="276">
        <f>SUMIFS('Bilateral Assistance, MAIN DATA'!S:S,'Bilateral Assistance, MAIN DATA'!B:B,'Commitments per Month'!B54,'Bilateral Assistance, MAIN DATA'!AG:AG,1,'Bilateral Assistance, MAIN DATA'!AH:AH,'Commitments per Month'!$K$11)/1000000000</f>
        <v>0</v>
      </c>
      <c r="L54" s="277">
        <f>SUMIFS('Bilateral Assistance, MAIN DATA'!S:S,'Bilateral Assistance, MAIN DATA'!B:B,'Commitments per Month'!B54,'Bilateral Assistance, MAIN DATA'!AG:AG,1,'Bilateral Assistance, MAIN DATA'!AH:AH,'Commitments per Month'!$L$11)/1000000000</f>
        <v>7.1080235553919757E-5</v>
      </c>
      <c r="M54" s="239">
        <f>SUMIFS('Bilateral Assistance, MAIN DATA'!S:S,'Bilateral Assistance, MAIN DATA'!B:B,'Commitments per Month'!B54,'Bilateral Assistance, MAIN DATA'!AG:AG,1,'Bilateral Assistance, MAIN DATA'!AH:AH,'Commitments per Month'!$M$11)/1000000000</f>
        <v>0</v>
      </c>
      <c r="N54" s="277">
        <f>SUMIFS('Bilateral Assistance, MAIN DATA'!S:S,'Bilateral Assistance, MAIN DATA'!B:B,'Commitments per Month'!B54,'Bilateral Assistance, MAIN DATA'!AG:AG,1,'Bilateral Assistance, MAIN DATA'!AH:AH,'Commitments per Month'!$N$11)/1000000000</f>
        <v>0</v>
      </c>
      <c r="O54" s="277">
        <f>SUMIFS('Bilateral Assistance, MAIN DATA'!S:S,'Bilateral Assistance, MAIN DATA'!B:B,'Commitments per Month'!B54,'Bilateral Assistance, MAIN DATA'!AG:AG,1,'Bilateral Assistance, MAIN DATA'!AH:AH,'Commitments per Month'!$O$11)/1000000000</f>
        <v>0</v>
      </c>
      <c r="P54" s="1206">
        <f>SUMIFS('Bilateral Assistance, MAIN DATA'!S:S,'Bilateral Assistance, MAIN DATA'!B:B,'Commitments per Month'!B54,'Bilateral Assistance, MAIN DATA'!AG:AG,1,'Bilateral Assistance, MAIN DATA'!AH:AH,'Commitments per Month'!$P$11)/1000000000</f>
        <v>0</v>
      </c>
      <c r="Q54" s="1206">
        <f>SUMIFS('Bilateral Assistance, MAIN DATA'!S:S,'Bilateral Assistance, MAIN DATA'!B:B,'Commitments per Month'!B54,'Bilateral Assistance, MAIN DATA'!AG:AG,1,'Bilateral Assistance, MAIN DATA'!AH:AH,'Commitments per Month'!$Q$11)/1000000000</f>
        <v>0</v>
      </c>
      <c r="R54" s="1206">
        <f>SUMIFS('Bilateral Assistance, MAIN DATA'!S:S,'Bilateral Assistance, MAIN DATA'!B:B,'Commitments per Month'!B54,'Bilateral Assistance, MAIN DATA'!AG:AG,1,'Bilateral Assistance, MAIN DATA'!AH:AH,'Commitments per Month'!$R$11)/1000000000</f>
        <v>0</v>
      </c>
      <c r="S54" s="1206">
        <f>SUMIFS('Bilateral Assistance, MAIN DATA'!S:S,'Bilateral Assistance, MAIN DATA'!B:B,'Commitments per Month'!B54,'Bilateral Assistance, MAIN DATA'!AG:AG,1,'Bilateral Assistance, MAIN DATA'!AH:AH,'Commitments per Month'!$S$11)/1000000000</f>
        <v>0</v>
      </c>
      <c r="T54" s="1206">
        <f>SUMIFS('Bilateral Assistance, MAIN DATA'!S:S,'Bilateral Assistance, MAIN DATA'!B:B,'Commitments per Month'!B54,'Bilateral Assistance, MAIN DATA'!AG:AG,1,'Bilateral Assistance, MAIN DATA'!AH:AH,'Commitments per Month'!$T$11)/1000000000</f>
        <v>0</v>
      </c>
      <c r="U54" s="277">
        <f t="shared" si="0"/>
        <v>7.1080235553919757E-5</v>
      </c>
      <c r="V54" s="277">
        <f>SUMIFS('Bilateral Assistance, MAIN DATA'!S:S,'Bilateral Assistance, MAIN DATA'!B:B,'Commitments per Month'!B54,'Bilateral Assistance, MAIN DATA'!AG:AG,0)/1000000000</f>
        <v>1.7206477732793523E-3</v>
      </c>
    </row>
    <row r="55" spans="1:24" ht="15.95" customHeight="1">
      <c r="B55" s="65" t="s">
        <v>4530</v>
      </c>
      <c r="C55" s="332" t="s">
        <v>364</v>
      </c>
      <c r="D55" s="443">
        <f t="shared" ref="D55:V55" si="1">SUM(D13:D54)</f>
        <v>0.26554095458568805</v>
      </c>
      <c r="E55" s="443">
        <f t="shared" si="1"/>
        <v>5.0656993450234458</v>
      </c>
      <c r="F55" s="443">
        <f t="shared" si="1"/>
        <v>14.41080652248762</v>
      </c>
      <c r="G55" s="443">
        <f t="shared" si="1"/>
        <v>15.073045898595989</v>
      </c>
      <c r="H55" s="443">
        <f t="shared" si="1"/>
        <v>18.704185811426669</v>
      </c>
      <c r="I55" s="443">
        <f t="shared" si="1"/>
        <v>4.6840899088126493</v>
      </c>
      <c r="J55" s="443">
        <f t="shared" si="1"/>
        <v>2.0487144836327604</v>
      </c>
      <c r="K55" s="443">
        <f t="shared" si="1"/>
        <v>1.1829099658868711</v>
      </c>
      <c r="L55" s="443">
        <f t="shared" si="1"/>
        <v>12.065885538560433</v>
      </c>
      <c r="M55" s="443">
        <f t="shared" si="1"/>
        <v>2.6867753545543902</v>
      </c>
      <c r="N55" s="443">
        <f t="shared" si="1"/>
        <v>19.768084567671721</v>
      </c>
      <c r="O55" s="443">
        <f t="shared" si="1"/>
        <v>41.013079295878377</v>
      </c>
      <c r="P55" s="443">
        <f t="shared" si="1"/>
        <v>6.9482611316017966</v>
      </c>
      <c r="Q55" s="443">
        <f t="shared" si="1"/>
        <v>7.3685758349274497</v>
      </c>
      <c r="R55" s="443">
        <f t="shared" si="1"/>
        <v>1.8759295887920495</v>
      </c>
      <c r="S55" s="443">
        <f t="shared" si="1"/>
        <v>7.9807417238373608</v>
      </c>
      <c r="T55" s="443">
        <f t="shared" si="1"/>
        <v>3.8771203939407859</v>
      </c>
      <c r="U55" s="1178">
        <f t="shared" si="0"/>
        <v>165.01944632021605</v>
      </c>
      <c r="V55" s="443">
        <f t="shared" si="1"/>
        <v>0.39850118259612316</v>
      </c>
    </row>
    <row r="56" spans="1:24" ht="15.95" customHeight="1">
      <c r="B56" s="2"/>
      <c r="C56" s="335"/>
      <c r="G56" s="337"/>
      <c r="H56" s="337"/>
      <c r="I56" s="337"/>
      <c r="J56" s="337"/>
      <c r="K56" s="337"/>
      <c r="U56" s="277"/>
    </row>
    <row r="57" spans="1:24" s="107" customFormat="1" ht="15.95" customHeight="1">
      <c r="A57" s="3"/>
      <c r="B57" s="24"/>
      <c r="C57" s="297"/>
      <c r="D57" s="337"/>
      <c r="E57" s="337"/>
      <c r="F57" s="337"/>
      <c r="G57" s="337"/>
      <c r="H57" s="337"/>
      <c r="I57" s="337"/>
      <c r="J57" s="337"/>
      <c r="K57" s="337"/>
      <c r="M57" s="302"/>
      <c r="P57" s="138"/>
      <c r="Q57" s="138"/>
      <c r="R57" s="138"/>
      <c r="S57" s="138"/>
      <c r="T57" s="138"/>
      <c r="U57" s="24"/>
      <c r="V57" s="138"/>
      <c r="W57" s="24"/>
      <c r="X57" s="24"/>
    </row>
    <row r="58" spans="1:24" s="107" customFormat="1" ht="15.95" customHeight="1">
      <c r="A58" s="3"/>
      <c r="B58" s="24"/>
      <c r="C58" s="297"/>
      <c r="D58" s="337"/>
      <c r="E58" s="337"/>
      <c r="F58" s="337"/>
      <c r="G58" s="337"/>
      <c r="H58" s="337"/>
      <c r="I58" s="337"/>
      <c r="J58" s="337"/>
      <c r="K58" s="337"/>
      <c r="M58" s="302"/>
      <c r="P58" s="138"/>
      <c r="Q58" s="138"/>
      <c r="R58" s="138"/>
      <c r="S58" s="138"/>
      <c r="T58" s="138"/>
      <c r="U58" s="24"/>
      <c r="V58" s="138"/>
      <c r="W58" s="24"/>
      <c r="X58" s="24"/>
    </row>
    <row r="59" spans="1:24" s="107" customFormat="1" ht="15.95" customHeight="1">
      <c r="A59" s="3"/>
      <c r="B59" s="24"/>
      <c r="C59" s="297"/>
      <c r="D59" s="337"/>
      <c r="E59" s="337"/>
      <c r="F59" s="337"/>
      <c r="G59" s="337"/>
      <c r="H59" s="337"/>
      <c r="I59" s="337"/>
      <c r="J59" s="337"/>
      <c r="K59" s="337"/>
      <c r="M59" s="302"/>
      <c r="P59" s="138"/>
      <c r="Q59" s="138"/>
      <c r="R59" s="138"/>
      <c r="S59" s="138"/>
      <c r="T59" s="138"/>
      <c r="U59" s="24"/>
      <c r="V59" s="138"/>
      <c r="W59" s="24"/>
      <c r="X59" s="24"/>
    </row>
    <row r="60" spans="1:24" s="107" customFormat="1" ht="15.95" customHeight="1">
      <c r="A60" s="3"/>
      <c r="B60" s="24"/>
      <c r="C60" s="297"/>
      <c r="D60" s="337"/>
      <c r="E60" s="337"/>
      <c r="F60" s="337"/>
      <c r="G60" s="337"/>
      <c r="H60" s="337"/>
      <c r="I60" s="337"/>
      <c r="J60" s="337"/>
      <c r="K60" s="337"/>
      <c r="M60" s="302"/>
      <c r="U60" s="24"/>
      <c r="V60" s="138"/>
      <c r="W60" s="24"/>
      <c r="X60" s="24"/>
    </row>
    <row r="61" spans="1:24" s="107" customFormat="1" ht="15.95" customHeight="1">
      <c r="A61" s="3"/>
      <c r="B61" s="24"/>
      <c r="C61" s="297"/>
      <c r="D61" s="337"/>
      <c r="E61" s="337"/>
      <c r="F61" s="337"/>
      <c r="G61" s="337"/>
      <c r="H61" s="337"/>
      <c r="I61" s="337"/>
      <c r="J61" s="337"/>
      <c r="K61" s="337"/>
      <c r="M61" s="302"/>
      <c r="P61" s="138"/>
      <c r="Q61" s="138"/>
      <c r="R61" s="138"/>
      <c r="S61" s="138"/>
      <c r="T61" s="138"/>
      <c r="U61" s="24"/>
      <c r="V61" s="138"/>
      <c r="W61" s="24"/>
      <c r="X61" s="24"/>
    </row>
    <row r="62" spans="1:24" s="107" customFormat="1" ht="15.95" customHeight="1">
      <c r="A62" s="3"/>
      <c r="B62" s="108"/>
      <c r="C62" s="338"/>
      <c r="D62" s="337"/>
      <c r="E62" s="337"/>
      <c r="F62" s="337"/>
      <c r="G62" s="337"/>
      <c r="H62" s="337"/>
      <c r="I62" s="337"/>
      <c r="J62" s="337"/>
      <c r="K62" s="337"/>
      <c r="M62" s="302"/>
      <c r="P62" s="138"/>
      <c r="Q62" s="138"/>
      <c r="R62" s="138"/>
      <c r="S62" s="138"/>
      <c r="T62" s="138"/>
      <c r="U62" s="24"/>
      <c r="V62" s="138"/>
      <c r="W62" s="24"/>
      <c r="X62" s="24"/>
    </row>
    <row r="63" spans="1:24" s="107" customFormat="1" ht="15.95" customHeight="1">
      <c r="A63" s="3"/>
      <c r="B63" s="24"/>
      <c r="C63" s="297"/>
      <c r="D63" s="337"/>
      <c r="E63" s="337"/>
      <c r="F63" s="337"/>
      <c r="G63" s="337"/>
      <c r="H63" s="337"/>
      <c r="I63" s="337"/>
      <c r="J63" s="337"/>
      <c r="K63" s="337"/>
      <c r="M63" s="302"/>
      <c r="P63" s="138"/>
      <c r="Q63" s="138"/>
      <c r="R63" s="138"/>
      <c r="S63" s="138"/>
      <c r="T63" s="138"/>
      <c r="U63" s="24"/>
      <c r="V63" s="138"/>
      <c r="W63" s="24"/>
      <c r="X63" s="24"/>
    </row>
    <row r="64" spans="1:24" s="107" customFormat="1" ht="15.95" customHeight="1">
      <c r="A64" s="3"/>
      <c r="B64" s="22"/>
      <c r="C64" s="339"/>
      <c r="D64" s="337"/>
      <c r="E64" s="337"/>
      <c r="F64" s="337"/>
      <c r="G64" s="337"/>
      <c r="H64" s="337"/>
      <c r="I64" s="337"/>
      <c r="J64" s="337"/>
      <c r="K64" s="337"/>
      <c r="M64" s="302"/>
      <c r="P64" s="138"/>
      <c r="Q64" s="138"/>
      <c r="R64" s="138"/>
      <c r="S64" s="138"/>
      <c r="T64" s="138"/>
      <c r="U64" s="24"/>
      <c r="V64" s="138"/>
      <c r="W64" s="24"/>
      <c r="X64" s="24"/>
    </row>
    <row r="65" spans="1:24" s="107" customFormat="1" ht="15.95" customHeight="1">
      <c r="A65" s="3"/>
      <c r="B65" s="24"/>
      <c r="C65" s="297"/>
      <c r="D65" s="337"/>
      <c r="E65" s="337"/>
      <c r="F65" s="337"/>
      <c r="G65" s="337"/>
      <c r="H65" s="337"/>
      <c r="I65" s="337"/>
      <c r="J65" s="337"/>
      <c r="K65" s="337"/>
      <c r="M65" s="302"/>
      <c r="P65" s="138"/>
      <c r="Q65" s="138"/>
      <c r="R65" s="138"/>
      <c r="S65" s="138"/>
      <c r="T65" s="138"/>
      <c r="U65" s="24"/>
      <c r="V65" s="138"/>
      <c r="W65" s="24"/>
      <c r="X65" s="24"/>
    </row>
    <row r="66" spans="1:24" s="107" customFormat="1" ht="15.95" customHeight="1">
      <c r="A66" s="3"/>
      <c r="B66" s="24"/>
      <c r="C66" s="297"/>
      <c r="D66" s="337"/>
      <c r="E66" s="337"/>
      <c r="F66" s="337"/>
      <c r="G66" s="337"/>
      <c r="H66" s="337"/>
      <c r="I66" s="337"/>
      <c r="J66" s="337"/>
      <c r="K66" s="337"/>
      <c r="M66" s="302"/>
      <c r="P66" s="138"/>
      <c r="Q66" s="812"/>
      <c r="R66" s="812"/>
      <c r="S66" s="812"/>
      <c r="T66" s="812"/>
      <c r="U66" s="24"/>
      <c r="V66" s="138"/>
      <c r="W66" s="24"/>
      <c r="X66" s="24"/>
    </row>
    <row r="67" spans="1:24" s="107" customFormat="1" ht="15.95" customHeight="1">
      <c r="A67" s="3"/>
      <c r="B67" s="24"/>
      <c r="C67" s="297"/>
      <c r="D67" s="337"/>
      <c r="E67" s="337"/>
      <c r="F67" s="337"/>
      <c r="G67" s="337"/>
      <c r="H67" s="337"/>
      <c r="I67" s="337"/>
      <c r="J67" s="337"/>
      <c r="K67" s="337"/>
      <c r="M67" s="302"/>
      <c r="P67" s="138"/>
      <c r="Q67" s="138"/>
      <c r="R67" s="138"/>
      <c r="S67" s="138"/>
      <c r="T67" s="138"/>
      <c r="U67" s="24"/>
      <c r="V67" s="138"/>
      <c r="W67" s="24"/>
      <c r="X67" s="24"/>
    </row>
    <row r="68" spans="1:24" s="107" customFormat="1" ht="15.95" customHeight="1">
      <c r="A68" s="3"/>
      <c r="B68" s="24"/>
      <c r="C68" s="297"/>
      <c r="D68" s="337"/>
      <c r="E68" s="337"/>
      <c r="F68" s="337"/>
      <c r="G68" s="337"/>
      <c r="H68" s="337"/>
      <c r="I68" s="337"/>
      <c r="J68" s="337"/>
      <c r="K68" s="337"/>
      <c r="M68" s="302"/>
      <c r="P68" s="138"/>
      <c r="Q68" s="138"/>
      <c r="R68" s="138"/>
      <c r="S68" s="138"/>
      <c r="T68" s="138"/>
      <c r="U68" s="24"/>
      <c r="V68" s="138"/>
      <c r="W68" s="24"/>
      <c r="X68" s="24"/>
    </row>
    <row r="69" spans="1:24" s="107" customFormat="1" ht="15.95" customHeight="1">
      <c r="A69" s="3"/>
      <c r="B69" s="24"/>
      <c r="C69" s="297"/>
      <c r="D69" s="337"/>
      <c r="E69" s="337"/>
      <c r="F69" s="337"/>
      <c r="G69" s="337"/>
      <c r="H69" s="337"/>
      <c r="I69" s="337"/>
      <c r="J69" s="337"/>
      <c r="K69" s="337"/>
      <c r="M69" s="302"/>
      <c r="P69" s="138"/>
      <c r="Q69" s="138"/>
      <c r="R69" s="138"/>
      <c r="S69" s="138"/>
      <c r="T69" s="138"/>
      <c r="U69" s="24"/>
      <c r="V69" s="138"/>
      <c r="W69" s="24"/>
      <c r="X69" s="24"/>
    </row>
    <row r="70" spans="1:24" s="107" customFormat="1" ht="15.95" customHeight="1">
      <c r="A70" s="3"/>
      <c r="B70" s="24"/>
      <c r="C70" s="297"/>
      <c r="D70" s="337"/>
      <c r="E70" s="337"/>
      <c r="F70" s="337"/>
      <c r="G70" s="337"/>
      <c r="H70" s="337"/>
      <c r="I70" s="337"/>
      <c r="J70" s="337"/>
      <c r="K70" s="337"/>
      <c r="M70" s="302"/>
      <c r="P70" s="138"/>
      <c r="Q70" s="138"/>
      <c r="R70" s="138"/>
      <c r="S70" s="138"/>
      <c r="T70" s="138"/>
      <c r="U70" s="24"/>
      <c r="V70" s="138"/>
      <c r="W70" s="24"/>
      <c r="X70" s="24"/>
    </row>
    <row r="71" spans="1:24" s="107" customFormat="1" ht="15.95" customHeight="1">
      <c r="A71" s="3"/>
      <c r="B71" s="24"/>
      <c r="C71" s="297"/>
      <c r="D71" s="337"/>
      <c r="E71" s="337"/>
      <c r="F71" s="337"/>
      <c r="G71" s="337"/>
      <c r="H71" s="337"/>
      <c r="I71" s="337"/>
      <c r="J71" s="337"/>
      <c r="K71" s="337"/>
      <c r="M71" s="302"/>
      <c r="P71" s="138"/>
      <c r="Q71" s="138"/>
      <c r="R71" s="138"/>
      <c r="S71" s="138"/>
      <c r="T71" s="138"/>
      <c r="U71" s="24"/>
      <c r="V71" s="138"/>
      <c r="W71" s="24"/>
      <c r="X71" s="24"/>
    </row>
    <row r="72" spans="1:24" s="107" customFormat="1" ht="15.95" customHeight="1">
      <c r="A72" s="3"/>
      <c r="B72" s="24"/>
      <c r="C72" s="297"/>
      <c r="D72" s="337"/>
      <c r="E72" s="337"/>
      <c r="F72" s="337"/>
      <c r="G72" s="337"/>
      <c r="H72" s="337"/>
      <c r="I72" s="337"/>
      <c r="J72" s="337"/>
      <c r="K72" s="337"/>
      <c r="M72" s="302"/>
      <c r="P72" s="138"/>
      <c r="Q72" s="138"/>
      <c r="R72" s="138"/>
      <c r="S72" s="138"/>
      <c r="T72" s="138"/>
      <c r="U72" s="24"/>
      <c r="V72" s="138"/>
      <c r="W72" s="24"/>
      <c r="X72" s="24"/>
    </row>
    <row r="73" spans="1:24" s="107" customFormat="1" ht="15.95" customHeight="1">
      <c r="A73" s="3"/>
      <c r="B73" s="24"/>
      <c r="C73" s="297"/>
      <c r="D73" s="337"/>
      <c r="E73" s="337"/>
      <c r="F73" s="337"/>
      <c r="G73" s="337"/>
      <c r="H73" s="337"/>
      <c r="I73" s="337"/>
      <c r="J73" s="337"/>
      <c r="K73" s="337"/>
      <c r="M73" s="302"/>
      <c r="P73" s="138"/>
      <c r="Q73" s="138"/>
      <c r="R73" s="138"/>
      <c r="S73" s="138"/>
      <c r="T73" s="138"/>
      <c r="U73" s="24"/>
      <c r="V73" s="138"/>
      <c r="W73" s="24"/>
      <c r="X73" s="24"/>
    </row>
    <row r="74" spans="1:24" s="107" customFormat="1" ht="15.95" customHeight="1">
      <c r="A74" s="3"/>
      <c r="B74" s="24"/>
      <c r="C74" s="297"/>
      <c r="D74" s="337"/>
      <c r="E74" s="337"/>
      <c r="F74" s="337"/>
      <c r="G74" s="337"/>
      <c r="H74" s="337"/>
      <c r="I74" s="337"/>
      <c r="J74" s="337"/>
      <c r="K74" s="337"/>
      <c r="M74" s="302"/>
      <c r="P74" s="138"/>
      <c r="Q74" s="138"/>
      <c r="R74" s="138"/>
      <c r="S74" s="138"/>
      <c r="T74" s="138"/>
      <c r="U74" s="24"/>
      <c r="V74" s="138"/>
      <c r="W74" s="24"/>
      <c r="X74" s="24"/>
    </row>
    <row r="75" spans="1:24" s="107" customFormat="1" ht="15.95" customHeight="1">
      <c r="A75" s="3"/>
      <c r="B75" s="24"/>
      <c r="C75" s="297"/>
      <c r="D75" s="337"/>
      <c r="E75" s="337"/>
      <c r="F75" s="337"/>
      <c r="G75" s="337"/>
      <c r="H75" s="337"/>
      <c r="I75" s="337"/>
      <c r="J75" s="337"/>
      <c r="K75" s="337"/>
      <c r="M75" s="302"/>
      <c r="P75" s="138"/>
      <c r="Q75" s="138"/>
      <c r="R75" s="138"/>
      <c r="S75" s="138"/>
      <c r="T75" s="138"/>
      <c r="U75" s="24"/>
      <c r="V75" s="138"/>
      <c r="W75" s="24"/>
      <c r="X75" s="24"/>
    </row>
    <row r="76" spans="1:24" s="107" customFormat="1" ht="15.95" customHeight="1">
      <c r="A76" s="3"/>
      <c r="B76" s="24"/>
      <c r="C76" s="297"/>
      <c r="D76" s="337"/>
      <c r="E76" s="337"/>
      <c r="F76" s="337"/>
      <c r="G76" s="337"/>
      <c r="H76" s="337"/>
      <c r="I76" s="337"/>
      <c r="J76" s="337"/>
      <c r="K76" s="337"/>
      <c r="M76" s="302"/>
      <c r="P76" s="138"/>
      <c r="Q76" s="138"/>
      <c r="R76" s="138"/>
      <c r="S76" s="138"/>
      <c r="T76" s="138"/>
      <c r="U76" s="24"/>
      <c r="V76" s="138"/>
      <c r="W76" s="24"/>
      <c r="X76" s="24"/>
    </row>
    <row r="77" spans="1:24" s="107" customFormat="1" ht="15.95" customHeight="1">
      <c r="A77" s="3"/>
      <c r="B77" s="24"/>
      <c r="C77" s="297"/>
      <c r="D77" s="337"/>
      <c r="E77" s="337"/>
      <c r="F77" s="337"/>
      <c r="G77" s="337"/>
      <c r="H77" s="337"/>
      <c r="I77" s="337"/>
      <c r="J77" s="337"/>
      <c r="K77" s="337"/>
      <c r="M77" s="302"/>
      <c r="P77" s="138"/>
      <c r="Q77" s="138"/>
      <c r="R77" s="138"/>
      <c r="S77" s="138"/>
      <c r="T77" s="138"/>
      <c r="U77" s="24"/>
      <c r="V77" s="138"/>
      <c r="W77" s="24"/>
      <c r="X77" s="24"/>
    </row>
    <row r="78" spans="1:24" s="107" customFormat="1" ht="15.95" customHeight="1">
      <c r="A78" s="3"/>
      <c r="B78" s="24"/>
      <c r="C78" s="297"/>
      <c r="D78" s="337"/>
      <c r="E78" s="337"/>
      <c r="F78" s="337"/>
      <c r="G78" s="337"/>
      <c r="H78" s="337"/>
      <c r="I78" s="337"/>
      <c r="J78" s="337"/>
      <c r="K78" s="337"/>
      <c r="M78" s="302"/>
      <c r="P78" s="138"/>
      <c r="Q78" s="138"/>
      <c r="R78" s="138"/>
      <c r="S78" s="138"/>
      <c r="T78" s="138"/>
      <c r="U78" s="24"/>
      <c r="V78" s="138"/>
      <c r="W78" s="24"/>
      <c r="X78" s="24"/>
    </row>
    <row r="79" spans="1:24" s="107" customFormat="1" ht="15.95" customHeight="1">
      <c r="A79" s="3"/>
      <c r="B79" s="24"/>
      <c r="C79" s="297"/>
      <c r="D79" s="337"/>
      <c r="E79" s="337"/>
      <c r="F79" s="337"/>
      <c r="G79" s="337"/>
      <c r="H79" s="337"/>
      <c r="I79" s="337"/>
      <c r="J79" s="337"/>
      <c r="K79" s="337"/>
      <c r="M79" s="302"/>
      <c r="P79" s="138"/>
      <c r="Q79" s="138"/>
      <c r="R79" s="138"/>
      <c r="S79" s="138"/>
      <c r="T79" s="138"/>
      <c r="U79" s="24"/>
      <c r="V79" s="138"/>
      <c r="W79" s="24"/>
      <c r="X79" s="24"/>
    </row>
    <row r="80" spans="1:24" s="107" customFormat="1" ht="15.95" customHeight="1">
      <c r="A80" s="3"/>
      <c r="B80" s="24"/>
      <c r="C80" s="297"/>
      <c r="D80" s="337"/>
      <c r="E80" s="337"/>
      <c r="F80" s="337"/>
      <c r="G80" s="337"/>
      <c r="H80" s="337"/>
      <c r="I80" s="337"/>
      <c r="J80" s="337"/>
      <c r="K80" s="337"/>
      <c r="M80" s="302"/>
      <c r="P80" s="138"/>
      <c r="Q80" s="138"/>
      <c r="R80" s="138"/>
      <c r="S80" s="138"/>
      <c r="T80" s="138"/>
      <c r="U80" s="24"/>
      <c r="V80" s="138"/>
      <c r="W80" s="24"/>
      <c r="X80" s="24"/>
    </row>
    <row r="81" spans="1:24" s="107" customFormat="1" ht="15.95" customHeight="1">
      <c r="A81" s="3"/>
      <c r="B81" s="24"/>
      <c r="C81" s="297"/>
      <c r="D81" s="337"/>
      <c r="E81" s="337"/>
      <c r="F81" s="337"/>
      <c r="G81" s="337"/>
      <c r="H81" s="337"/>
      <c r="I81" s="337"/>
      <c r="J81" s="337"/>
      <c r="K81" s="337"/>
      <c r="M81" s="302"/>
      <c r="P81" s="138"/>
      <c r="Q81" s="138"/>
      <c r="R81" s="138"/>
      <c r="S81" s="138"/>
      <c r="T81" s="138"/>
      <c r="U81" s="24"/>
      <c r="V81" s="138"/>
      <c r="W81" s="24"/>
      <c r="X81" s="24"/>
    </row>
    <row r="82" spans="1:24" s="107" customFormat="1" ht="15.95" customHeight="1">
      <c r="A82" s="3"/>
      <c r="B82" s="24"/>
      <c r="C82" s="297"/>
      <c r="D82" s="337"/>
      <c r="E82" s="337"/>
      <c r="F82" s="337"/>
      <c r="G82" s="337"/>
      <c r="H82" s="337"/>
      <c r="I82" s="337"/>
      <c r="J82" s="337"/>
      <c r="K82" s="337"/>
      <c r="M82" s="302"/>
      <c r="P82" s="138"/>
      <c r="Q82" s="138"/>
      <c r="R82" s="138"/>
      <c r="S82" s="138"/>
      <c r="T82" s="138"/>
      <c r="U82" s="24"/>
      <c r="V82" s="138"/>
      <c r="W82" s="24"/>
      <c r="X82" s="24"/>
    </row>
    <row r="83" spans="1:24" s="107" customFormat="1" ht="15.95" customHeight="1">
      <c r="A83" s="3"/>
      <c r="B83" s="24"/>
      <c r="C83" s="297"/>
      <c r="D83" s="337"/>
      <c r="E83" s="337"/>
      <c r="F83" s="337"/>
      <c r="G83" s="337"/>
      <c r="H83" s="337"/>
      <c r="I83" s="337"/>
      <c r="J83" s="337"/>
      <c r="K83" s="337"/>
      <c r="M83" s="302"/>
      <c r="P83" s="138"/>
      <c r="Q83" s="138"/>
      <c r="R83" s="138"/>
      <c r="S83" s="138"/>
      <c r="T83" s="138"/>
      <c r="U83" s="24"/>
      <c r="V83" s="138"/>
      <c r="W83" s="24"/>
      <c r="X83" s="24"/>
    </row>
    <row r="84" spans="1:24" s="107" customFormat="1" ht="15.95" customHeight="1">
      <c r="A84" s="3"/>
      <c r="B84" s="24"/>
      <c r="C84" s="297"/>
      <c r="D84" s="337"/>
      <c r="E84" s="337"/>
      <c r="F84" s="337"/>
      <c r="G84" s="337"/>
      <c r="H84" s="337"/>
      <c r="I84" s="337"/>
      <c r="J84" s="337"/>
      <c r="K84" s="337"/>
      <c r="M84" s="302"/>
      <c r="P84" s="138"/>
      <c r="Q84" s="138"/>
      <c r="R84" s="138"/>
      <c r="S84" s="138"/>
      <c r="T84" s="138"/>
      <c r="U84" s="24"/>
      <c r="V84" s="138"/>
      <c r="W84" s="24"/>
      <c r="X84" s="24"/>
    </row>
    <row r="85" spans="1:24" s="107" customFormat="1" ht="15.95" customHeight="1">
      <c r="A85" s="3"/>
      <c r="B85" s="24"/>
      <c r="C85" s="297"/>
      <c r="D85" s="337"/>
      <c r="E85" s="337"/>
      <c r="F85" s="337"/>
      <c r="G85" s="337"/>
      <c r="H85" s="337"/>
      <c r="I85" s="337"/>
      <c r="J85" s="337"/>
      <c r="K85" s="337"/>
      <c r="M85" s="302"/>
      <c r="P85" s="138"/>
      <c r="Q85" s="138"/>
      <c r="R85" s="138"/>
      <c r="S85" s="138"/>
      <c r="T85" s="138"/>
      <c r="U85" s="24"/>
      <c r="V85" s="138"/>
      <c r="W85" s="24"/>
      <c r="X85" s="24"/>
    </row>
    <row r="86" spans="1:24" s="107" customFormat="1" ht="15.95" customHeight="1">
      <c r="A86" s="3"/>
      <c r="B86" s="24"/>
      <c r="C86" s="297"/>
      <c r="D86" s="337"/>
      <c r="E86" s="337"/>
      <c r="F86" s="337"/>
      <c r="G86" s="337"/>
      <c r="H86" s="337"/>
      <c r="I86" s="337"/>
      <c r="J86" s="337"/>
      <c r="K86" s="337"/>
      <c r="M86" s="302"/>
      <c r="P86" s="138"/>
      <c r="Q86" s="138"/>
      <c r="R86" s="138"/>
      <c r="S86" s="138"/>
      <c r="T86" s="138"/>
      <c r="U86" s="24"/>
      <c r="V86" s="138"/>
      <c r="W86" s="24"/>
      <c r="X86" s="24"/>
    </row>
    <row r="87" spans="1:24" s="107" customFormat="1" ht="15.95" customHeight="1">
      <c r="A87" s="3"/>
      <c r="B87" s="24"/>
      <c r="C87" s="297"/>
      <c r="D87" s="337"/>
      <c r="E87" s="337"/>
      <c r="F87" s="337"/>
      <c r="G87" s="337"/>
      <c r="H87" s="337"/>
      <c r="I87" s="337"/>
      <c r="J87" s="337"/>
      <c r="K87" s="337"/>
      <c r="M87" s="302"/>
      <c r="P87" s="138"/>
      <c r="Q87" s="138"/>
      <c r="R87" s="138"/>
      <c r="S87" s="138"/>
      <c r="T87" s="138"/>
      <c r="U87" s="24"/>
      <c r="V87" s="138"/>
      <c r="W87" s="24"/>
      <c r="X87" s="24"/>
    </row>
    <row r="88" spans="1:24" s="107" customFormat="1" ht="15.95" customHeight="1">
      <c r="A88" s="3"/>
      <c r="B88" s="24"/>
      <c r="C88" s="297"/>
      <c r="D88" s="337"/>
      <c r="E88" s="337"/>
      <c r="F88" s="337"/>
      <c r="G88" s="337"/>
      <c r="H88" s="337"/>
      <c r="I88" s="337"/>
      <c r="J88" s="337"/>
      <c r="K88" s="337"/>
      <c r="M88" s="302"/>
      <c r="P88" s="138"/>
      <c r="Q88" s="138"/>
      <c r="R88" s="138"/>
      <c r="S88" s="138"/>
      <c r="T88" s="138"/>
      <c r="U88" s="24"/>
      <c r="V88" s="138"/>
      <c r="W88" s="24"/>
      <c r="X88" s="24"/>
    </row>
    <row r="89" spans="1:24" s="107" customFormat="1" ht="15.95" customHeight="1">
      <c r="A89" s="3"/>
      <c r="B89" s="24"/>
      <c r="C89" s="297"/>
      <c r="D89" s="337"/>
      <c r="E89" s="337"/>
      <c r="F89" s="337"/>
      <c r="G89" s="337"/>
      <c r="H89" s="337"/>
      <c r="I89" s="337"/>
      <c r="J89" s="337"/>
      <c r="K89" s="337"/>
      <c r="M89" s="302"/>
      <c r="P89" s="138"/>
      <c r="Q89" s="138"/>
      <c r="R89" s="138"/>
      <c r="S89" s="138"/>
      <c r="T89" s="138"/>
      <c r="U89" s="24"/>
      <c r="V89" s="138"/>
      <c r="W89" s="24"/>
      <c r="X89" s="24"/>
    </row>
    <row r="90" spans="1:24" s="107" customFormat="1" ht="15.95" customHeight="1">
      <c r="A90" s="3"/>
      <c r="B90" s="24"/>
      <c r="C90" s="297"/>
      <c r="D90" s="337"/>
      <c r="E90" s="337"/>
      <c r="F90" s="337"/>
      <c r="G90" s="337"/>
      <c r="H90" s="337"/>
      <c r="I90" s="337"/>
      <c r="J90" s="337"/>
      <c r="K90" s="337"/>
      <c r="M90" s="302"/>
      <c r="P90" s="138"/>
      <c r="Q90" s="138"/>
      <c r="R90" s="138"/>
      <c r="S90" s="138"/>
      <c r="T90" s="138"/>
      <c r="U90" s="24"/>
      <c r="V90" s="138"/>
      <c r="W90" s="24"/>
      <c r="X90" s="24"/>
    </row>
    <row r="91" spans="1:24" s="107" customFormat="1" ht="15.95" customHeight="1">
      <c r="A91" s="3"/>
      <c r="B91" s="24"/>
      <c r="C91" s="297"/>
      <c r="D91" s="337"/>
      <c r="E91" s="337"/>
      <c r="F91" s="337"/>
      <c r="G91" s="337"/>
      <c r="H91" s="337"/>
      <c r="I91" s="337"/>
      <c r="J91" s="337"/>
      <c r="K91" s="337"/>
      <c r="M91" s="302"/>
      <c r="P91" s="138"/>
      <c r="Q91" s="138"/>
      <c r="R91" s="138"/>
      <c r="S91" s="138"/>
      <c r="T91" s="138"/>
      <c r="U91" s="24"/>
      <c r="V91" s="138"/>
      <c r="W91" s="24"/>
      <c r="X91" s="24"/>
    </row>
    <row r="92" spans="1:24" s="107" customFormat="1" ht="15.95" customHeight="1">
      <c r="A92" s="3"/>
      <c r="B92" s="24"/>
      <c r="C92" s="297"/>
      <c r="D92" s="337"/>
      <c r="E92" s="337"/>
      <c r="F92" s="337"/>
      <c r="G92" s="337"/>
      <c r="H92" s="337"/>
      <c r="I92" s="337"/>
      <c r="J92" s="337"/>
      <c r="K92" s="337"/>
      <c r="M92" s="302"/>
      <c r="P92" s="138"/>
      <c r="Q92" s="138"/>
      <c r="R92" s="138"/>
      <c r="S92" s="138"/>
      <c r="T92" s="138"/>
      <c r="U92" s="24"/>
      <c r="V92" s="138"/>
      <c r="W92" s="24"/>
      <c r="X92" s="24"/>
    </row>
    <row r="93" spans="1:24" s="107" customFormat="1" ht="15.95" customHeight="1">
      <c r="A93" s="3"/>
      <c r="B93" s="24"/>
      <c r="C93" s="297"/>
      <c r="D93" s="337"/>
      <c r="E93" s="337"/>
      <c r="F93" s="337"/>
      <c r="G93" s="337"/>
      <c r="H93" s="337"/>
      <c r="I93" s="337"/>
      <c r="J93" s="337"/>
      <c r="K93" s="337"/>
      <c r="M93" s="302"/>
      <c r="P93" s="138"/>
      <c r="Q93" s="138"/>
      <c r="R93" s="138"/>
      <c r="S93" s="138"/>
      <c r="T93" s="138"/>
      <c r="U93" s="24"/>
      <c r="V93" s="138"/>
      <c r="W93" s="24"/>
      <c r="X93" s="24"/>
    </row>
    <row r="94" spans="1:24" s="107" customFormat="1" ht="15.95" customHeight="1">
      <c r="A94" s="3"/>
      <c r="B94" s="24"/>
      <c r="C94" s="297"/>
      <c r="D94" s="337"/>
      <c r="E94" s="337"/>
      <c r="F94" s="337"/>
      <c r="G94" s="337"/>
      <c r="H94" s="337"/>
      <c r="I94" s="337"/>
      <c r="J94" s="337"/>
      <c r="K94" s="337"/>
      <c r="M94" s="302"/>
      <c r="P94" s="138"/>
      <c r="Q94" s="138"/>
      <c r="R94" s="138"/>
      <c r="S94" s="138"/>
      <c r="T94" s="138"/>
      <c r="U94" s="24"/>
      <c r="V94" s="138"/>
      <c r="W94" s="24"/>
      <c r="X94" s="24"/>
    </row>
    <row r="95" spans="1:24" s="107" customFormat="1" ht="15.95" customHeight="1">
      <c r="A95" s="3"/>
      <c r="B95" s="24"/>
      <c r="C95" s="297"/>
      <c r="D95" s="337"/>
      <c r="E95" s="337"/>
      <c r="F95" s="337"/>
      <c r="G95" s="337"/>
      <c r="H95" s="337"/>
      <c r="I95" s="337"/>
      <c r="J95" s="337"/>
      <c r="K95" s="337"/>
      <c r="M95" s="302"/>
      <c r="P95" s="138"/>
      <c r="Q95" s="138"/>
      <c r="R95" s="138"/>
      <c r="S95" s="138"/>
      <c r="T95" s="138"/>
      <c r="U95" s="24"/>
      <c r="V95" s="138"/>
      <c r="W95" s="24"/>
      <c r="X95" s="24"/>
    </row>
    <row r="96" spans="1:24" s="107" customFormat="1" ht="15.95" customHeight="1">
      <c r="A96" s="3"/>
      <c r="B96" s="24"/>
      <c r="C96" s="297"/>
      <c r="D96" s="337"/>
      <c r="E96" s="337"/>
      <c r="F96" s="337"/>
      <c r="G96" s="337"/>
      <c r="H96" s="337"/>
      <c r="I96" s="337"/>
      <c r="J96" s="337"/>
      <c r="K96" s="337"/>
      <c r="M96" s="302"/>
      <c r="P96" s="138"/>
      <c r="Q96" s="138"/>
      <c r="R96" s="138"/>
      <c r="S96" s="138"/>
      <c r="T96" s="138"/>
      <c r="U96" s="24"/>
      <c r="V96" s="138"/>
      <c r="W96" s="24"/>
      <c r="X96" s="24"/>
    </row>
    <row r="97" spans="1:24" s="107" customFormat="1" ht="15.95" customHeight="1">
      <c r="A97" s="3"/>
      <c r="B97" s="24"/>
      <c r="C97" s="297"/>
      <c r="D97" s="337"/>
      <c r="E97" s="337"/>
      <c r="F97" s="337"/>
      <c r="G97" s="337"/>
      <c r="H97" s="337"/>
      <c r="I97" s="337"/>
      <c r="J97" s="337"/>
      <c r="K97" s="337"/>
      <c r="M97" s="302"/>
      <c r="P97" s="138"/>
      <c r="Q97" s="138"/>
      <c r="R97" s="138"/>
      <c r="S97" s="138"/>
      <c r="T97" s="138"/>
      <c r="U97" s="24"/>
      <c r="V97" s="138"/>
      <c r="W97" s="24"/>
      <c r="X97" s="24"/>
    </row>
    <row r="98" spans="1:24" s="107" customFormat="1" ht="15.95" customHeight="1">
      <c r="A98" s="3"/>
      <c r="B98" s="24"/>
      <c r="C98" s="297"/>
      <c r="D98" s="337"/>
      <c r="E98" s="337"/>
      <c r="F98" s="337"/>
      <c r="G98" s="337"/>
      <c r="H98" s="337"/>
      <c r="I98" s="337"/>
      <c r="J98" s="337"/>
      <c r="K98" s="337"/>
      <c r="M98" s="302"/>
      <c r="P98" s="138"/>
      <c r="Q98" s="138"/>
      <c r="R98" s="138"/>
      <c r="S98" s="138"/>
      <c r="T98" s="138"/>
      <c r="U98" s="24"/>
      <c r="V98" s="138"/>
      <c r="W98" s="24"/>
      <c r="X98" s="24"/>
    </row>
    <row r="99" spans="1:24" s="107" customFormat="1" ht="15.95" customHeight="1">
      <c r="A99" s="3"/>
      <c r="B99" s="24"/>
      <c r="C99" s="297"/>
      <c r="D99" s="337"/>
      <c r="E99" s="337"/>
      <c r="F99" s="337"/>
      <c r="G99" s="337"/>
      <c r="H99" s="337"/>
      <c r="I99" s="337"/>
      <c r="J99" s="337"/>
      <c r="K99" s="337"/>
      <c r="M99" s="302"/>
      <c r="P99" s="138"/>
      <c r="Q99" s="138"/>
      <c r="R99" s="138"/>
      <c r="S99" s="138"/>
      <c r="T99" s="138"/>
      <c r="U99" s="24"/>
      <c r="V99" s="138"/>
      <c r="W99" s="24"/>
      <c r="X99" s="24"/>
    </row>
    <row r="100" spans="1:24" s="107" customFormat="1" ht="15.95" customHeight="1">
      <c r="A100" s="3"/>
      <c r="B100" s="24"/>
      <c r="C100" s="297"/>
      <c r="D100" s="337"/>
      <c r="E100" s="337"/>
      <c r="F100" s="337"/>
      <c r="G100" s="337"/>
      <c r="H100" s="337"/>
      <c r="I100" s="337"/>
      <c r="J100" s="337"/>
      <c r="K100" s="337"/>
      <c r="M100" s="302"/>
      <c r="P100" s="138"/>
      <c r="Q100" s="138"/>
      <c r="R100" s="138"/>
      <c r="S100" s="138"/>
      <c r="T100" s="138"/>
      <c r="U100" s="24"/>
      <c r="V100" s="138"/>
      <c r="W100" s="24"/>
      <c r="X100" s="24"/>
    </row>
    <row r="101" spans="1:24" s="107" customFormat="1" ht="15.95" customHeight="1">
      <c r="A101" s="3"/>
      <c r="B101" s="24"/>
      <c r="C101" s="297"/>
      <c r="D101" s="337"/>
      <c r="E101" s="337"/>
      <c r="F101" s="337"/>
      <c r="G101" s="337"/>
      <c r="H101" s="337"/>
      <c r="I101" s="337"/>
      <c r="J101" s="337"/>
      <c r="K101" s="337"/>
      <c r="M101" s="302"/>
      <c r="P101" s="138"/>
      <c r="Q101" s="138"/>
      <c r="R101" s="138"/>
      <c r="S101" s="138"/>
      <c r="T101" s="138"/>
      <c r="U101" s="24"/>
      <c r="V101" s="138"/>
      <c r="W101" s="24"/>
      <c r="X101" s="24"/>
    </row>
    <row r="102" spans="1:24" s="107" customFormat="1" ht="15.95" customHeight="1">
      <c r="A102" s="3"/>
      <c r="B102" s="24"/>
      <c r="C102" s="297"/>
      <c r="D102" s="337"/>
      <c r="E102" s="337"/>
      <c r="F102" s="337"/>
      <c r="G102" s="337"/>
      <c r="H102" s="337"/>
      <c r="I102" s="337"/>
      <c r="J102" s="337"/>
      <c r="K102" s="337"/>
      <c r="M102" s="302"/>
      <c r="P102" s="138"/>
      <c r="Q102" s="138"/>
      <c r="R102" s="138"/>
      <c r="S102" s="138"/>
      <c r="T102" s="138"/>
      <c r="U102" s="24"/>
      <c r="V102" s="138"/>
      <c r="W102" s="24"/>
      <c r="X102" s="24"/>
    </row>
    <row r="103" spans="1:24" s="107" customFormat="1" ht="15.95" customHeight="1">
      <c r="A103" s="3"/>
      <c r="B103" s="24"/>
      <c r="C103" s="297"/>
      <c r="D103" s="337"/>
      <c r="E103" s="337"/>
      <c r="F103" s="337"/>
      <c r="G103" s="337"/>
      <c r="H103" s="337"/>
      <c r="I103" s="337"/>
      <c r="J103" s="337"/>
      <c r="K103" s="337"/>
      <c r="M103" s="302"/>
      <c r="P103" s="138"/>
      <c r="Q103" s="138"/>
      <c r="R103" s="138"/>
      <c r="S103" s="138"/>
      <c r="T103" s="138"/>
      <c r="U103" s="24"/>
      <c r="V103" s="138"/>
      <c r="W103" s="24"/>
      <c r="X103" s="24"/>
    </row>
    <row r="104" spans="1:24" s="107" customFormat="1" ht="15.95" customHeight="1">
      <c r="A104" s="3"/>
      <c r="B104" s="24"/>
      <c r="C104" s="297"/>
      <c r="D104" s="337"/>
      <c r="E104" s="337"/>
      <c r="F104" s="337"/>
      <c r="G104" s="337"/>
      <c r="H104" s="337"/>
      <c r="I104" s="337"/>
      <c r="J104" s="337"/>
      <c r="K104" s="337"/>
      <c r="M104" s="302"/>
      <c r="P104" s="138"/>
      <c r="Q104" s="138"/>
      <c r="R104" s="138"/>
      <c r="S104" s="138"/>
      <c r="T104" s="138"/>
      <c r="U104" s="24"/>
      <c r="V104" s="138"/>
      <c r="W104" s="24"/>
      <c r="X104" s="24"/>
    </row>
    <row r="105" spans="1:24" s="107" customFormat="1" ht="15.95" customHeight="1">
      <c r="A105" s="3"/>
      <c r="B105" s="24"/>
      <c r="C105" s="297"/>
      <c r="D105" s="337"/>
      <c r="E105" s="337"/>
      <c r="F105" s="337"/>
      <c r="G105" s="337"/>
      <c r="H105" s="337"/>
      <c r="I105" s="337"/>
      <c r="J105" s="337"/>
      <c r="K105" s="337"/>
      <c r="M105" s="302"/>
      <c r="P105" s="138"/>
      <c r="Q105" s="138"/>
      <c r="R105" s="138"/>
      <c r="S105" s="138"/>
      <c r="T105" s="138"/>
      <c r="U105" s="24"/>
      <c r="V105" s="138"/>
      <c r="W105" s="24"/>
      <c r="X105" s="24"/>
    </row>
    <row r="106" spans="1:24" s="107" customFormat="1" ht="15.95" customHeight="1">
      <c r="A106" s="3"/>
      <c r="B106" s="24"/>
      <c r="C106" s="297"/>
      <c r="D106" s="337"/>
      <c r="E106" s="337"/>
      <c r="F106" s="337"/>
      <c r="G106" s="337"/>
      <c r="H106" s="337"/>
      <c r="I106" s="337"/>
      <c r="J106" s="337"/>
      <c r="K106" s="337"/>
      <c r="M106" s="302"/>
      <c r="P106" s="138"/>
      <c r="Q106" s="138"/>
      <c r="R106" s="138"/>
      <c r="S106" s="138"/>
      <c r="T106" s="138"/>
      <c r="U106" s="24"/>
      <c r="V106" s="138"/>
      <c r="W106" s="24"/>
      <c r="X106" s="24"/>
    </row>
    <row r="107" spans="1:24" s="107" customFormat="1" ht="15.95" customHeight="1">
      <c r="A107" s="3"/>
      <c r="B107" s="24"/>
      <c r="C107" s="297"/>
      <c r="D107" s="337"/>
      <c r="E107" s="337"/>
      <c r="F107" s="337"/>
      <c r="G107" s="337"/>
      <c r="H107" s="337"/>
      <c r="I107" s="337"/>
      <c r="J107" s="337"/>
      <c r="K107" s="337"/>
      <c r="M107" s="302"/>
      <c r="P107" s="138"/>
      <c r="Q107" s="138"/>
      <c r="R107" s="138"/>
      <c r="S107" s="138"/>
      <c r="T107" s="138"/>
      <c r="U107" s="24"/>
      <c r="V107" s="138"/>
      <c r="W107" s="24"/>
      <c r="X107" s="24"/>
    </row>
    <row r="108" spans="1:24" s="107" customFormat="1" ht="15.95" customHeight="1">
      <c r="A108" s="3"/>
      <c r="B108" s="24"/>
      <c r="C108" s="297"/>
      <c r="D108" s="337"/>
      <c r="E108" s="337"/>
      <c r="F108" s="337"/>
      <c r="G108" s="337"/>
      <c r="H108" s="337"/>
      <c r="I108" s="337"/>
      <c r="J108" s="337"/>
      <c r="K108" s="337"/>
      <c r="M108" s="302"/>
      <c r="P108" s="138"/>
      <c r="Q108" s="138"/>
      <c r="R108" s="138"/>
      <c r="S108" s="138"/>
      <c r="T108" s="138"/>
      <c r="U108" s="24"/>
      <c r="V108" s="138"/>
      <c r="W108" s="24"/>
      <c r="X108" s="24"/>
    </row>
    <row r="109" spans="1:24" s="107" customFormat="1" ht="15.95" customHeight="1">
      <c r="A109" s="3"/>
      <c r="B109" s="24"/>
      <c r="C109" s="297"/>
      <c r="D109" s="337"/>
      <c r="E109" s="337"/>
      <c r="F109" s="337"/>
      <c r="G109" s="337"/>
      <c r="H109" s="337"/>
      <c r="I109" s="337"/>
      <c r="J109" s="337"/>
      <c r="K109" s="337"/>
      <c r="M109" s="302"/>
      <c r="P109" s="138"/>
      <c r="Q109" s="138"/>
      <c r="R109" s="138"/>
      <c r="S109" s="138"/>
      <c r="T109" s="138"/>
      <c r="U109" s="24"/>
      <c r="V109" s="138"/>
      <c r="W109" s="24"/>
      <c r="X109" s="24"/>
    </row>
    <row r="110" spans="1:24" s="107" customFormat="1" ht="15.95" customHeight="1">
      <c r="A110" s="3"/>
      <c r="B110" s="24"/>
      <c r="C110" s="297"/>
      <c r="D110" s="337"/>
      <c r="E110" s="337"/>
      <c r="F110" s="337"/>
      <c r="G110" s="337"/>
      <c r="H110" s="337"/>
      <c r="I110" s="337"/>
      <c r="J110" s="337"/>
      <c r="K110" s="337"/>
      <c r="M110" s="302"/>
      <c r="P110" s="138"/>
      <c r="Q110" s="138"/>
      <c r="R110" s="138"/>
      <c r="S110" s="138"/>
      <c r="T110" s="138"/>
      <c r="U110" s="24"/>
      <c r="V110" s="138"/>
      <c r="W110" s="24"/>
      <c r="X110" s="24"/>
    </row>
    <row r="111" spans="1:24" s="107" customFormat="1" ht="15.95" customHeight="1">
      <c r="A111" s="3"/>
      <c r="B111" s="24"/>
      <c r="C111" s="297"/>
      <c r="D111" s="337"/>
      <c r="E111" s="337"/>
      <c r="F111" s="337"/>
      <c r="G111" s="337"/>
      <c r="H111" s="337"/>
      <c r="I111" s="337"/>
      <c r="J111" s="337"/>
      <c r="K111" s="337"/>
      <c r="M111" s="302"/>
      <c r="P111" s="138"/>
      <c r="Q111" s="138"/>
      <c r="R111" s="138"/>
      <c r="S111" s="138"/>
      <c r="T111" s="138"/>
      <c r="U111" s="24"/>
      <c r="V111" s="138"/>
      <c r="W111" s="24"/>
      <c r="X111" s="24"/>
    </row>
    <row r="112" spans="1:24" s="107" customFormat="1" ht="15.95" customHeight="1">
      <c r="A112" s="3"/>
      <c r="B112" s="24"/>
      <c r="C112" s="297"/>
      <c r="D112" s="337"/>
      <c r="E112" s="337"/>
      <c r="F112" s="337"/>
      <c r="G112" s="337"/>
      <c r="H112" s="337"/>
      <c r="I112" s="337"/>
      <c r="J112" s="337"/>
      <c r="K112" s="337"/>
      <c r="M112" s="302"/>
      <c r="P112" s="138"/>
      <c r="Q112" s="138"/>
      <c r="R112" s="138"/>
      <c r="S112" s="138"/>
      <c r="T112" s="138"/>
      <c r="U112" s="24"/>
      <c r="V112" s="138"/>
      <c r="W112" s="24"/>
      <c r="X112" s="24"/>
    </row>
    <row r="113" spans="1:24" s="107" customFormat="1" ht="15.95" customHeight="1">
      <c r="A113" s="3"/>
      <c r="B113" s="24"/>
      <c r="C113" s="297"/>
      <c r="D113" s="337"/>
      <c r="E113" s="337"/>
      <c r="F113" s="337"/>
      <c r="G113" s="337"/>
      <c r="H113" s="337"/>
      <c r="I113" s="337"/>
      <c r="J113" s="337"/>
      <c r="K113" s="337"/>
      <c r="M113" s="302"/>
      <c r="P113" s="138"/>
      <c r="Q113" s="138"/>
      <c r="R113" s="138"/>
      <c r="S113" s="138"/>
      <c r="T113" s="138"/>
      <c r="U113" s="24"/>
      <c r="V113" s="138"/>
      <c r="W113" s="24"/>
      <c r="X113" s="24"/>
    </row>
    <row r="114" spans="1:24" s="107" customFormat="1" ht="15.95" customHeight="1">
      <c r="A114" s="3"/>
      <c r="B114" s="24"/>
      <c r="C114" s="297"/>
      <c r="D114" s="337"/>
      <c r="E114" s="337"/>
      <c r="F114" s="337"/>
      <c r="G114" s="337"/>
      <c r="H114" s="337"/>
      <c r="I114" s="337"/>
      <c r="J114" s="337"/>
      <c r="K114" s="337"/>
      <c r="M114" s="302"/>
      <c r="P114" s="138"/>
      <c r="Q114" s="138"/>
      <c r="R114" s="138"/>
      <c r="S114" s="138"/>
      <c r="T114" s="138"/>
      <c r="U114" s="24"/>
      <c r="V114" s="138"/>
      <c r="W114" s="24"/>
      <c r="X114" s="24"/>
    </row>
    <row r="115" spans="1:24" s="107" customFormat="1" ht="15.95" customHeight="1">
      <c r="A115" s="3"/>
      <c r="B115" s="24"/>
      <c r="C115" s="297"/>
      <c r="D115" s="337"/>
      <c r="E115" s="337"/>
      <c r="F115" s="337"/>
      <c r="G115" s="337"/>
      <c r="H115" s="337"/>
      <c r="I115" s="337"/>
      <c r="J115" s="337"/>
      <c r="K115" s="337"/>
      <c r="M115" s="302"/>
      <c r="P115" s="138"/>
      <c r="Q115" s="138"/>
      <c r="R115" s="138"/>
      <c r="S115" s="138"/>
      <c r="T115" s="138"/>
      <c r="U115" s="24"/>
      <c r="V115" s="138"/>
      <c r="W115" s="24"/>
      <c r="X115" s="24"/>
    </row>
    <row r="116" spans="1:24" s="107" customFormat="1" ht="15.95" customHeight="1">
      <c r="A116" s="3"/>
      <c r="B116" s="24"/>
      <c r="C116" s="297"/>
      <c r="D116" s="337"/>
      <c r="E116" s="337"/>
      <c r="F116" s="337"/>
      <c r="G116" s="337"/>
      <c r="H116" s="337"/>
      <c r="I116" s="337"/>
      <c r="J116" s="337"/>
      <c r="K116" s="337"/>
      <c r="M116" s="302"/>
      <c r="P116" s="138"/>
      <c r="Q116" s="138"/>
      <c r="R116" s="138"/>
      <c r="S116" s="138"/>
      <c r="T116" s="138"/>
      <c r="U116" s="24"/>
      <c r="V116" s="138"/>
      <c r="W116" s="24"/>
      <c r="X116" s="24"/>
    </row>
    <row r="117" spans="1:24" s="107" customFormat="1" ht="15.95" customHeight="1">
      <c r="A117" s="3"/>
      <c r="B117" s="24"/>
      <c r="C117" s="297"/>
      <c r="D117" s="337"/>
      <c r="E117" s="337"/>
      <c r="F117" s="337"/>
      <c r="G117" s="337"/>
      <c r="H117" s="337"/>
      <c r="I117" s="337"/>
      <c r="J117" s="337"/>
      <c r="K117" s="337"/>
      <c r="M117" s="302"/>
      <c r="P117" s="138"/>
      <c r="Q117" s="138"/>
      <c r="R117" s="138"/>
      <c r="S117" s="138"/>
      <c r="T117" s="138"/>
      <c r="U117" s="24"/>
      <c r="V117" s="138"/>
      <c r="W117" s="24"/>
      <c r="X117" s="24"/>
    </row>
    <row r="118" spans="1:24" s="107" customFormat="1" ht="15.95" customHeight="1">
      <c r="A118" s="3"/>
      <c r="B118" s="24"/>
      <c r="C118" s="297"/>
      <c r="D118" s="337"/>
      <c r="E118" s="337"/>
      <c r="F118" s="337"/>
      <c r="G118" s="337"/>
      <c r="H118" s="337"/>
      <c r="I118" s="337"/>
      <c r="J118" s="337"/>
      <c r="K118" s="337"/>
      <c r="M118" s="302"/>
      <c r="P118" s="138"/>
      <c r="Q118" s="138"/>
      <c r="R118" s="138"/>
      <c r="S118" s="138"/>
      <c r="T118" s="138"/>
      <c r="U118" s="24"/>
      <c r="V118" s="138"/>
      <c r="W118" s="24"/>
      <c r="X118" s="24"/>
    </row>
    <row r="119" spans="1:24" s="107" customFormat="1" ht="15.95" customHeight="1">
      <c r="A119" s="3"/>
      <c r="B119" s="24"/>
      <c r="C119" s="297"/>
      <c r="D119" s="337"/>
      <c r="E119" s="337"/>
      <c r="F119" s="337"/>
      <c r="G119" s="337"/>
      <c r="H119" s="337"/>
      <c r="I119" s="337"/>
      <c r="J119" s="337"/>
      <c r="K119" s="337"/>
      <c r="M119" s="302"/>
      <c r="P119" s="138"/>
      <c r="Q119" s="138"/>
      <c r="R119" s="138"/>
      <c r="S119" s="138"/>
      <c r="T119" s="138"/>
      <c r="U119" s="24"/>
      <c r="V119" s="138"/>
      <c r="W119" s="24"/>
      <c r="X119" s="24"/>
    </row>
    <row r="120" spans="1:24" s="107" customFormat="1" ht="15.95" customHeight="1">
      <c r="A120" s="3"/>
      <c r="B120" s="24"/>
      <c r="C120" s="297"/>
      <c r="D120" s="337"/>
      <c r="E120" s="337"/>
      <c r="F120" s="337"/>
      <c r="G120" s="337"/>
      <c r="H120" s="337"/>
      <c r="I120" s="337"/>
      <c r="J120" s="337"/>
      <c r="K120" s="337"/>
      <c r="M120" s="302"/>
      <c r="P120" s="138"/>
      <c r="Q120" s="138"/>
      <c r="R120" s="138"/>
      <c r="S120" s="138"/>
      <c r="T120" s="138"/>
      <c r="U120" s="24"/>
      <c r="V120" s="138"/>
      <c r="W120" s="24"/>
      <c r="X120" s="24"/>
    </row>
    <row r="121" spans="1:24" s="107" customFormat="1" ht="15.95" customHeight="1">
      <c r="A121" s="3"/>
      <c r="B121" s="24"/>
      <c r="C121" s="297"/>
      <c r="D121" s="337"/>
      <c r="E121" s="337"/>
      <c r="F121" s="337"/>
      <c r="G121" s="337"/>
      <c r="H121" s="337"/>
      <c r="I121" s="337"/>
      <c r="J121" s="337"/>
      <c r="K121" s="337"/>
      <c r="M121" s="302"/>
      <c r="P121" s="138"/>
      <c r="Q121" s="138"/>
      <c r="R121" s="138"/>
      <c r="S121" s="138"/>
      <c r="T121" s="138"/>
      <c r="U121" s="24"/>
      <c r="V121" s="138"/>
      <c r="W121" s="24"/>
      <c r="X121" s="24"/>
    </row>
    <row r="122" spans="1:24" s="107" customFormat="1" ht="15.95" customHeight="1">
      <c r="A122" s="3"/>
      <c r="B122" s="24"/>
      <c r="C122" s="297"/>
      <c r="D122" s="337"/>
      <c r="E122" s="337"/>
      <c r="F122" s="337"/>
      <c r="G122" s="337"/>
      <c r="H122" s="337"/>
      <c r="I122" s="337"/>
      <c r="J122" s="337"/>
      <c r="K122" s="337"/>
      <c r="M122" s="302"/>
      <c r="P122" s="138"/>
      <c r="Q122" s="138"/>
      <c r="R122" s="138"/>
      <c r="S122" s="138"/>
      <c r="T122" s="138"/>
      <c r="U122" s="24"/>
      <c r="V122" s="138"/>
      <c r="W122" s="24"/>
      <c r="X122" s="24"/>
    </row>
    <row r="123" spans="1:24" s="107" customFormat="1" ht="15.95" customHeight="1">
      <c r="A123" s="3"/>
      <c r="B123" s="24"/>
      <c r="C123" s="297"/>
      <c r="D123" s="337"/>
      <c r="E123" s="337"/>
      <c r="F123" s="340"/>
      <c r="G123" s="337"/>
      <c r="H123" s="337"/>
      <c r="I123" s="337"/>
      <c r="J123" s="337"/>
      <c r="K123" s="337"/>
      <c r="M123" s="302"/>
      <c r="P123" s="138"/>
      <c r="Q123" s="138"/>
      <c r="R123" s="138"/>
      <c r="S123" s="138"/>
      <c r="T123" s="138"/>
      <c r="U123" s="24"/>
      <c r="V123" s="138"/>
      <c r="W123" s="24"/>
      <c r="X123" s="24"/>
    </row>
    <row r="124" spans="1:24" s="107" customFormat="1" ht="15.95" customHeight="1">
      <c r="A124" s="3"/>
      <c r="B124" s="24"/>
      <c r="C124" s="297"/>
      <c r="D124" s="337"/>
      <c r="E124" s="337"/>
      <c r="F124" s="337"/>
      <c r="G124" s="337"/>
      <c r="H124" s="337"/>
      <c r="I124" s="337"/>
      <c r="J124" s="337"/>
      <c r="K124" s="337"/>
      <c r="M124" s="302"/>
      <c r="P124" s="138"/>
      <c r="Q124" s="138"/>
      <c r="R124" s="138"/>
      <c r="S124" s="138"/>
      <c r="T124" s="138"/>
      <c r="U124" s="24"/>
      <c r="V124" s="138"/>
      <c r="W124" s="24"/>
      <c r="X124" s="24"/>
    </row>
    <row r="125" spans="1:24" s="107" customFormat="1" ht="15.95" customHeight="1">
      <c r="A125" s="3"/>
      <c r="B125" s="24"/>
      <c r="C125" s="297"/>
      <c r="D125" s="337"/>
      <c r="E125" s="337"/>
      <c r="F125" s="337"/>
      <c r="G125" s="337"/>
      <c r="H125" s="337"/>
      <c r="I125" s="337"/>
      <c r="J125" s="337"/>
      <c r="K125" s="337"/>
      <c r="M125" s="302"/>
      <c r="P125" s="138"/>
      <c r="Q125" s="138"/>
      <c r="R125" s="138"/>
      <c r="S125" s="138"/>
      <c r="T125" s="138"/>
      <c r="U125" s="24"/>
      <c r="V125" s="138"/>
      <c r="W125" s="24"/>
      <c r="X125" s="24"/>
    </row>
    <row r="126" spans="1:24" s="107" customFormat="1" ht="15.95" customHeight="1">
      <c r="A126" s="3"/>
      <c r="B126" s="24"/>
      <c r="C126" s="297"/>
      <c r="D126" s="337"/>
      <c r="E126" s="337"/>
      <c r="F126" s="337"/>
      <c r="G126" s="337"/>
      <c r="H126" s="337"/>
      <c r="I126" s="337"/>
      <c r="J126" s="337"/>
      <c r="K126" s="337"/>
      <c r="M126" s="302"/>
      <c r="P126" s="138"/>
      <c r="Q126" s="138"/>
      <c r="R126" s="138"/>
      <c r="S126" s="138"/>
      <c r="T126" s="138"/>
      <c r="U126" s="24"/>
      <c r="V126" s="138"/>
      <c r="W126" s="24"/>
      <c r="X126" s="24"/>
    </row>
    <row r="127" spans="1:24" s="107" customFormat="1" ht="15.95" customHeight="1">
      <c r="A127" s="3"/>
      <c r="B127" s="24"/>
      <c r="C127" s="297"/>
      <c r="D127" s="337"/>
      <c r="E127" s="337"/>
      <c r="F127" s="337"/>
      <c r="G127" s="337"/>
      <c r="H127" s="337"/>
      <c r="I127" s="337"/>
      <c r="J127" s="337"/>
      <c r="K127" s="337"/>
      <c r="M127" s="302"/>
      <c r="P127" s="138"/>
      <c r="Q127" s="138"/>
      <c r="R127" s="138"/>
      <c r="S127" s="138"/>
      <c r="T127" s="138"/>
      <c r="U127" s="24"/>
      <c r="V127" s="138"/>
      <c r="W127" s="24"/>
      <c r="X127" s="24"/>
    </row>
    <row r="128" spans="1:24" s="107" customFormat="1" ht="15.95" customHeight="1">
      <c r="A128" s="3"/>
      <c r="B128" s="24"/>
      <c r="C128" s="297"/>
      <c r="D128" s="337"/>
      <c r="E128" s="337"/>
      <c r="F128" s="341"/>
      <c r="G128" s="337"/>
      <c r="H128" s="337"/>
      <c r="I128" s="337"/>
      <c r="J128" s="337"/>
      <c r="K128" s="337"/>
      <c r="M128" s="302"/>
      <c r="P128" s="138"/>
      <c r="Q128" s="138"/>
      <c r="R128" s="138"/>
      <c r="S128" s="138"/>
      <c r="T128" s="138"/>
      <c r="U128" s="24"/>
      <c r="V128" s="138"/>
      <c r="W128" s="24"/>
      <c r="X128" s="24"/>
    </row>
    <row r="129" spans="1:24" s="107" customFormat="1" ht="15.95" customHeight="1">
      <c r="A129" s="3"/>
      <c r="B129" s="24"/>
      <c r="C129" s="297"/>
      <c r="D129" s="337"/>
      <c r="E129" s="337"/>
      <c r="F129" s="337"/>
      <c r="G129" s="337"/>
      <c r="H129" s="337"/>
      <c r="I129" s="337"/>
      <c r="J129" s="337"/>
      <c r="K129" s="337"/>
      <c r="M129" s="302"/>
      <c r="P129" s="138"/>
      <c r="Q129" s="138"/>
      <c r="R129" s="138"/>
      <c r="S129" s="138"/>
      <c r="T129" s="138"/>
      <c r="U129" s="24"/>
      <c r="V129" s="138"/>
      <c r="W129" s="24"/>
      <c r="X129" s="24"/>
    </row>
    <row r="130" spans="1:24" s="107" customFormat="1" ht="15.95" customHeight="1">
      <c r="A130" s="3"/>
      <c r="B130" s="24"/>
      <c r="C130" s="297"/>
      <c r="D130" s="337"/>
      <c r="E130" s="337"/>
      <c r="F130" s="337"/>
      <c r="G130" s="337"/>
      <c r="H130" s="337"/>
      <c r="I130" s="337"/>
      <c r="J130" s="337"/>
      <c r="K130" s="337"/>
      <c r="M130" s="302"/>
      <c r="P130" s="138"/>
      <c r="Q130" s="138"/>
      <c r="R130" s="138"/>
      <c r="S130" s="138"/>
      <c r="T130" s="138"/>
      <c r="U130" s="24"/>
      <c r="V130" s="138"/>
      <c r="W130" s="24"/>
      <c r="X130" s="24"/>
    </row>
    <row r="131" spans="1:24" s="107" customFormat="1" ht="15.95" customHeight="1">
      <c r="A131" s="3"/>
      <c r="B131" s="24"/>
      <c r="C131" s="297"/>
      <c r="D131" s="337"/>
      <c r="E131" s="337"/>
      <c r="F131" s="337"/>
      <c r="G131" s="337"/>
      <c r="H131" s="337"/>
      <c r="I131" s="337"/>
      <c r="J131" s="337"/>
      <c r="K131" s="337"/>
      <c r="M131" s="302"/>
      <c r="P131" s="138"/>
      <c r="Q131" s="138"/>
      <c r="R131" s="138"/>
      <c r="S131" s="138"/>
      <c r="T131" s="138"/>
      <c r="U131" s="24"/>
      <c r="V131" s="138"/>
      <c r="W131" s="24"/>
      <c r="X131" s="24"/>
    </row>
    <row r="132" spans="1:24" s="107" customFormat="1" ht="15.95" customHeight="1">
      <c r="A132" s="3"/>
      <c r="B132" s="24"/>
      <c r="C132" s="297"/>
      <c r="G132" s="337"/>
      <c r="H132" s="337"/>
      <c r="I132" s="337"/>
      <c r="J132" s="337"/>
      <c r="K132" s="337"/>
      <c r="M132" s="302"/>
      <c r="P132" s="138"/>
      <c r="Q132" s="138"/>
      <c r="R132" s="138"/>
      <c r="S132" s="138"/>
      <c r="T132" s="138"/>
      <c r="U132" s="24"/>
      <c r="V132" s="138"/>
      <c r="W132" s="24"/>
      <c r="X132" s="24"/>
    </row>
    <row r="133" spans="1:24" s="107" customFormat="1" ht="15.95" customHeight="1">
      <c r="A133" s="3"/>
      <c r="B133" s="24"/>
      <c r="C133" s="297"/>
      <c r="D133" s="337"/>
      <c r="E133" s="337"/>
      <c r="F133" s="337"/>
      <c r="G133" s="337"/>
      <c r="H133" s="337"/>
      <c r="I133" s="337"/>
      <c r="J133" s="337"/>
      <c r="K133" s="337"/>
      <c r="M133" s="302"/>
      <c r="P133" s="138"/>
      <c r="Q133" s="138"/>
      <c r="R133" s="138"/>
      <c r="S133" s="138"/>
      <c r="T133" s="138"/>
      <c r="U133" s="24"/>
      <c r="V133" s="138"/>
      <c r="W133" s="24"/>
      <c r="X133" s="24"/>
    </row>
    <row r="134" spans="1:24" s="107" customFormat="1" ht="15.95" customHeight="1">
      <c r="A134" s="3"/>
      <c r="B134" s="24"/>
      <c r="C134" s="297"/>
      <c r="D134" s="337"/>
      <c r="E134" s="337"/>
      <c r="F134" s="337"/>
      <c r="G134" s="337"/>
      <c r="H134" s="337"/>
      <c r="I134" s="337"/>
      <c r="J134" s="337"/>
      <c r="K134" s="337"/>
      <c r="M134" s="302"/>
      <c r="P134" s="138"/>
      <c r="Q134" s="138"/>
      <c r="R134" s="138"/>
      <c r="S134" s="138"/>
      <c r="T134" s="138"/>
      <c r="U134" s="24"/>
      <c r="V134" s="138"/>
      <c r="W134" s="24"/>
      <c r="X134" s="24"/>
    </row>
    <row r="135" spans="1:24" s="107" customFormat="1" ht="15.95" customHeight="1">
      <c r="A135" s="3"/>
      <c r="B135" s="24"/>
      <c r="C135" s="297"/>
      <c r="D135" s="337"/>
      <c r="E135" s="337"/>
      <c r="F135" s="337"/>
      <c r="G135" s="337"/>
      <c r="H135" s="337"/>
      <c r="I135" s="337"/>
      <c r="J135" s="337"/>
      <c r="K135" s="337"/>
      <c r="M135" s="302"/>
      <c r="P135" s="138"/>
      <c r="Q135" s="138"/>
      <c r="R135" s="138"/>
      <c r="S135" s="138"/>
      <c r="T135" s="138"/>
      <c r="U135" s="24"/>
      <c r="V135" s="138"/>
      <c r="W135" s="24"/>
      <c r="X135" s="24"/>
    </row>
    <row r="136" spans="1:24" s="107" customFormat="1" ht="15.95" customHeight="1">
      <c r="A136" s="3"/>
      <c r="B136" s="24"/>
      <c r="C136" s="297"/>
      <c r="D136" s="337"/>
      <c r="E136" s="337"/>
      <c r="F136" s="337"/>
      <c r="G136" s="337"/>
      <c r="H136" s="337"/>
      <c r="I136" s="337"/>
      <c r="J136" s="337"/>
      <c r="K136" s="337"/>
      <c r="M136" s="302"/>
      <c r="P136" s="138"/>
      <c r="Q136" s="138"/>
      <c r="R136" s="138"/>
      <c r="S136" s="138"/>
      <c r="T136" s="138"/>
      <c r="U136" s="24"/>
      <c r="V136" s="138"/>
      <c r="W136" s="24"/>
      <c r="X136" s="24"/>
    </row>
    <row r="137" spans="1:24" s="107" customFormat="1" ht="15.95" customHeight="1">
      <c r="A137" s="3"/>
      <c r="B137" s="24"/>
      <c r="C137" s="297"/>
      <c r="D137" s="337"/>
      <c r="E137" s="337"/>
      <c r="F137" s="337"/>
      <c r="G137" s="337"/>
      <c r="H137" s="337"/>
      <c r="I137" s="337"/>
      <c r="J137" s="337"/>
      <c r="K137" s="337"/>
      <c r="M137" s="302"/>
      <c r="P137" s="138"/>
      <c r="Q137" s="138"/>
      <c r="R137" s="138"/>
      <c r="S137" s="138"/>
      <c r="T137" s="138"/>
      <c r="U137" s="24"/>
      <c r="V137" s="138"/>
      <c r="W137" s="24"/>
      <c r="X137" s="24"/>
    </row>
    <row r="138" spans="1:24" s="107" customFormat="1" ht="15.95" customHeight="1">
      <c r="A138" s="3"/>
      <c r="B138" s="24"/>
      <c r="C138" s="297"/>
      <c r="D138" s="337"/>
      <c r="E138" s="337"/>
      <c r="F138" s="337"/>
      <c r="G138" s="337"/>
      <c r="H138" s="337"/>
      <c r="I138" s="337"/>
      <c r="J138" s="337"/>
      <c r="K138" s="337"/>
      <c r="M138" s="302"/>
      <c r="P138" s="138"/>
      <c r="Q138" s="138"/>
      <c r="R138" s="138"/>
      <c r="S138" s="138"/>
      <c r="T138" s="138"/>
      <c r="U138" s="24"/>
      <c r="V138" s="138"/>
      <c r="W138" s="24"/>
      <c r="X138" s="24"/>
    </row>
    <row r="139" spans="1:24" s="107" customFormat="1" ht="15.95" customHeight="1">
      <c r="A139" s="3"/>
      <c r="B139" s="24"/>
      <c r="C139" s="297"/>
      <c r="D139" s="337"/>
      <c r="E139" s="337"/>
      <c r="F139" s="337"/>
      <c r="G139" s="337"/>
      <c r="H139" s="337"/>
      <c r="I139" s="337"/>
      <c r="J139" s="337"/>
      <c r="K139" s="337"/>
      <c r="M139" s="302"/>
      <c r="P139" s="138"/>
      <c r="Q139" s="138"/>
      <c r="R139" s="138"/>
      <c r="S139" s="138"/>
      <c r="T139" s="138"/>
      <c r="U139" s="24"/>
      <c r="V139" s="138"/>
      <c r="W139" s="24"/>
      <c r="X139" s="24"/>
    </row>
    <row r="140" spans="1:24" s="107" customFormat="1" ht="15.95" customHeight="1">
      <c r="A140" s="3"/>
      <c r="B140" s="24"/>
      <c r="C140" s="297"/>
      <c r="D140" s="337"/>
      <c r="E140" s="337"/>
      <c r="F140" s="337"/>
      <c r="G140" s="337"/>
      <c r="H140" s="337"/>
      <c r="I140" s="337"/>
      <c r="J140" s="337"/>
      <c r="K140" s="337"/>
      <c r="M140" s="302"/>
      <c r="P140" s="138"/>
      <c r="Q140" s="138"/>
      <c r="R140" s="138"/>
      <c r="S140" s="138"/>
      <c r="T140" s="138"/>
      <c r="U140" s="24"/>
      <c r="V140" s="138"/>
      <c r="W140" s="24"/>
      <c r="X140" s="24"/>
    </row>
    <row r="141" spans="1:24" s="107" customFormat="1" ht="15.95" customHeight="1">
      <c r="A141" s="3"/>
      <c r="B141" s="24"/>
      <c r="C141" s="297"/>
      <c r="D141" s="337"/>
      <c r="E141" s="337"/>
      <c r="F141" s="337"/>
      <c r="G141" s="337"/>
      <c r="H141" s="337"/>
      <c r="I141" s="337"/>
      <c r="J141" s="337"/>
      <c r="K141" s="337"/>
      <c r="M141" s="302"/>
      <c r="P141" s="138"/>
      <c r="Q141" s="138"/>
      <c r="R141" s="138"/>
      <c r="S141" s="138"/>
      <c r="T141" s="138"/>
      <c r="U141" s="24"/>
      <c r="V141" s="138"/>
      <c r="W141" s="24"/>
      <c r="X141" s="24"/>
    </row>
    <row r="142" spans="1:24" s="107" customFormat="1" ht="15.95" customHeight="1">
      <c r="A142" s="3"/>
      <c r="B142" s="24"/>
      <c r="C142" s="297"/>
      <c r="D142" s="337"/>
      <c r="E142" s="337"/>
      <c r="F142" s="337"/>
      <c r="G142" s="337"/>
      <c r="H142" s="337"/>
      <c r="I142" s="337"/>
      <c r="J142" s="337"/>
      <c r="K142" s="337"/>
      <c r="M142" s="302"/>
      <c r="P142" s="138"/>
      <c r="Q142" s="138"/>
      <c r="R142" s="138"/>
      <c r="S142" s="138"/>
      <c r="T142" s="138"/>
      <c r="U142" s="24"/>
      <c r="V142" s="138"/>
      <c r="W142" s="24"/>
      <c r="X142" s="24"/>
    </row>
    <row r="143" spans="1:24" s="107" customFormat="1" ht="15.95" customHeight="1">
      <c r="A143" s="3"/>
      <c r="B143" s="24"/>
      <c r="C143" s="297"/>
      <c r="D143" s="337"/>
      <c r="E143" s="337"/>
      <c r="F143" s="337"/>
      <c r="G143" s="337"/>
      <c r="H143" s="337"/>
      <c r="I143" s="337"/>
      <c r="J143" s="337"/>
      <c r="K143" s="337"/>
      <c r="M143" s="302"/>
      <c r="P143" s="138"/>
      <c r="Q143" s="138"/>
      <c r="R143" s="138"/>
      <c r="S143" s="138"/>
      <c r="T143" s="138"/>
      <c r="U143" s="24"/>
      <c r="V143" s="138"/>
      <c r="W143" s="24"/>
      <c r="X143" s="24"/>
    </row>
    <row r="144" spans="1:24" s="107" customFormat="1" ht="15.95" customHeight="1">
      <c r="A144" s="3"/>
      <c r="B144" s="24"/>
      <c r="C144" s="297"/>
      <c r="D144" s="337"/>
      <c r="E144" s="337"/>
      <c r="F144" s="337"/>
      <c r="G144" s="337"/>
      <c r="H144" s="337"/>
      <c r="I144" s="337"/>
      <c r="J144" s="337"/>
      <c r="K144" s="337"/>
      <c r="M144" s="302"/>
      <c r="P144" s="138"/>
      <c r="Q144" s="138"/>
      <c r="R144" s="138"/>
      <c r="S144" s="138"/>
      <c r="T144" s="138"/>
      <c r="U144" s="24"/>
      <c r="V144" s="138"/>
      <c r="W144" s="24"/>
      <c r="X144" s="24"/>
    </row>
    <row r="145" spans="1:24" s="107" customFormat="1" ht="15.95" customHeight="1">
      <c r="A145" s="3"/>
      <c r="B145" s="24"/>
      <c r="C145" s="297"/>
      <c r="D145" s="337"/>
      <c r="E145" s="337"/>
      <c r="F145" s="337"/>
      <c r="G145" s="337"/>
      <c r="H145" s="337"/>
      <c r="I145" s="337"/>
      <c r="J145" s="337"/>
      <c r="K145" s="337"/>
      <c r="M145" s="302"/>
      <c r="P145" s="138"/>
      <c r="Q145" s="138"/>
      <c r="R145" s="138"/>
      <c r="S145" s="138"/>
      <c r="T145" s="138"/>
      <c r="U145" s="24"/>
      <c r="V145" s="138"/>
      <c r="W145" s="24"/>
      <c r="X145" s="24"/>
    </row>
    <row r="146" spans="1:24" s="107" customFormat="1" ht="15.95" customHeight="1">
      <c r="A146" s="3"/>
      <c r="B146" s="24"/>
      <c r="C146" s="297"/>
      <c r="D146" s="337"/>
      <c r="E146" s="337"/>
      <c r="F146" s="337"/>
      <c r="G146" s="337"/>
      <c r="H146" s="337"/>
      <c r="I146" s="337"/>
      <c r="J146" s="337"/>
      <c r="K146" s="337"/>
      <c r="M146" s="302"/>
      <c r="P146" s="138"/>
      <c r="Q146" s="138"/>
      <c r="R146" s="138"/>
      <c r="S146" s="138"/>
      <c r="T146" s="138"/>
      <c r="U146" s="24"/>
      <c r="V146" s="138"/>
      <c r="W146" s="24"/>
      <c r="X146" s="24"/>
    </row>
    <row r="147" spans="1:24" s="107" customFormat="1" ht="15.95" customHeight="1">
      <c r="A147" s="3"/>
      <c r="B147" s="24"/>
      <c r="C147" s="297"/>
      <c r="D147" s="337"/>
      <c r="E147" s="337"/>
      <c r="F147" s="337"/>
      <c r="G147" s="337"/>
      <c r="H147" s="337"/>
      <c r="I147" s="337"/>
      <c r="J147" s="337"/>
      <c r="K147" s="337"/>
      <c r="M147" s="302"/>
      <c r="P147" s="138"/>
      <c r="Q147" s="138"/>
      <c r="R147" s="138"/>
      <c r="S147" s="138"/>
      <c r="T147" s="138"/>
      <c r="U147" s="24"/>
      <c r="V147" s="138"/>
      <c r="W147" s="24"/>
      <c r="X147" s="24"/>
    </row>
    <row r="148" spans="1:24" s="107" customFormat="1" ht="15.95" customHeight="1">
      <c r="A148" s="3"/>
      <c r="B148" s="24"/>
      <c r="C148" s="297"/>
      <c r="D148" s="337"/>
      <c r="E148" s="337"/>
      <c r="F148" s="337"/>
      <c r="G148" s="337"/>
      <c r="H148" s="337"/>
      <c r="I148" s="337"/>
      <c r="J148" s="337"/>
      <c r="K148" s="337"/>
      <c r="M148" s="302"/>
      <c r="P148" s="138"/>
      <c r="Q148" s="138"/>
      <c r="R148" s="138"/>
      <c r="S148" s="138"/>
      <c r="T148" s="138"/>
      <c r="U148" s="24"/>
      <c r="V148" s="138"/>
      <c r="W148" s="24"/>
      <c r="X148" s="24"/>
    </row>
    <row r="149" spans="1:24" s="107" customFormat="1" ht="15.95" customHeight="1">
      <c r="A149" s="3"/>
      <c r="B149" s="24"/>
      <c r="C149" s="297"/>
      <c r="D149" s="337"/>
      <c r="E149" s="337"/>
      <c r="F149" s="337"/>
      <c r="G149" s="337"/>
      <c r="H149" s="337"/>
      <c r="I149" s="337"/>
      <c r="J149" s="337"/>
      <c r="K149" s="337"/>
      <c r="M149" s="302"/>
      <c r="P149" s="138"/>
      <c r="Q149" s="138"/>
      <c r="R149" s="138"/>
      <c r="S149" s="138"/>
      <c r="T149" s="138"/>
      <c r="U149" s="24"/>
      <c r="V149" s="138"/>
      <c r="W149" s="24"/>
      <c r="X149" s="24"/>
    </row>
    <row r="150" spans="1:24" s="107" customFormat="1" ht="15.95" customHeight="1">
      <c r="A150" s="3"/>
      <c r="B150" s="24"/>
      <c r="C150" s="297"/>
      <c r="D150" s="337"/>
      <c r="E150" s="337"/>
      <c r="F150" s="337"/>
      <c r="G150" s="337"/>
      <c r="H150" s="337"/>
      <c r="I150" s="337"/>
      <c r="J150" s="337"/>
      <c r="K150" s="337"/>
      <c r="M150" s="302"/>
      <c r="P150" s="138"/>
      <c r="Q150" s="138"/>
      <c r="R150" s="138"/>
      <c r="S150" s="138"/>
      <c r="T150" s="138"/>
      <c r="U150" s="24"/>
      <c r="V150" s="138"/>
      <c r="W150" s="24"/>
      <c r="X150" s="24"/>
    </row>
    <row r="151" spans="1:24" s="107" customFormat="1" ht="15.95" customHeight="1">
      <c r="A151" s="3"/>
      <c r="B151" s="24"/>
      <c r="C151" s="297"/>
      <c r="D151" s="337"/>
      <c r="E151" s="337"/>
      <c r="F151" s="337"/>
      <c r="G151" s="337"/>
      <c r="H151" s="337"/>
      <c r="I151" s="337"/>
      <c r="J151" s="337"/>
      <c r="K151" s="337"/>
      <c r="M151" s="302"/>
      <c r="P151" s="138"/>
      <c r="Q151" s="138"/>
      <c r="R151" s="138"/>
      <c r="S151" s="138"/>
      <c r="T151" s="138"/>
      <c r="U151" s="24"/>
      <c r="V151" s="138"/>
      <c r="W151" s="24"/>
      <c r="X151" s="24"/>
    </row>
    <row r="152" spans="1:24" s="107" customFormat="1" ht="15.95" customHeight="1">
      <c r="A152" s="3"/>
      <c r="B152" s="24"/>
      <c r="C152" s="297"/>
      <c r="D152" s="337"/>
      <c r="E152" s="337"/>
      <c r="F152" s="337"/>
      <c r="G152" s="337"/>
      <c r="H152" s="337"/>
      <c r="I152" s="337"/>
      <c r="J152" s="337"/>
      <c r="K152" s="337"/>
      <c r="M152" s="302"/>
      <c r="P152" s="138"/>
      <c r="Q152" s="138"/>
      <c r="R152" s="138"/>
      <c r="S152" s="138"/>
      <c r="T152" s="138"/>
      <c r="U152" s="24"/>
      <c r="V152" s="138"/>
      <c r="W152" s="24"/>
      <c r="X152" s="24"/>
    </row>
    <row r="153" spans="1:24" s="107" customFormat="1" ht="15.95" customHeight="1">
      <c r="A153" s="3"/>
      <c r="B153" s="24"/>
      <c r="C153" s="297"/>
      <c r="D153" s="337"/>
      <c r="E153" s="337"/>
      <c r="F153" s="337"/>
      <c r="G153" s="337"/>
      <c r="H153" s="337"/>
      <c r="I153" s="337"/>
      <c r="J153" s="337"/>
      <c r="K153" s="337"/>
      <c r="M153" s="302"/>
      <c r="P153" s="138"/>
      <c r="Q153" s="138"/>
      <c r="R153" s="138"/>
      <c r="S153" s="138"/>
      <c r="T153" s="138"/>
      <c r="U153" s="24"/>
      <c r="V153" s="138"/>
      <c r="W153" s="24"/>
      <c r="X153" s="24"/>
    </row>
    <row r="154" spans="1:24" s="107" customFormat="1" ht="15.95" customHeight="1">
      <c r="A154" s="3"/>
      <c r="B154" s="24"/>
      <c r="C154" s="297"/>
      <c r="D154" s="337"/>
      <c r="E154" s="337"/>
      <c r="F154" s="337"/>
      <c r="G154" s="337"/>
      <c r="H154" s="337"/>
      <c r="I154" s="337"/>
      <c r="J154" s="337"/>
      <c r="K154" s="337"/>
      <c r="M154" s="302"/>
      <c r="P154" s="138"/>
      <c r="Q154" s="138"/>
      <c r="R154" s="138"/>
      <c r="S154" s="138"/>
      <c r="T154" s="138"/>
      <c r="U154" s="24"/>
      <c r="V154" s="138"/>
      <c r="W154" s="24"/>
      <c r="X154" s="24"/>
    </row>
    <row r="155" spans="1:24" s="107" customFormat="1" ht="15.95" customHeight="1">
      <c r="A155" s="3"/>
      <c r="B155" s="24"/>
      <c r="C155" s="297"/>
      <c r="D155" s="337"/>
      <c r="E155" s="337"/>
      <c r="F155" s="337"/>
      <c r="G155" s="337"/>
      <c r="H155" s="337"/>
      <c r="I155" s="337"/>
      <c r="J155" s="337"/>
      <c r="K155" s="337"/>
      <c r="M155" s="302"/>
      <c r="P155" s="138"/>
      <c r="Q155" s="138"/>
      <c r="R155" s="138"/>
      <c r="S155" s="138"/>
      <c r="T155" s="138"/>
      <c r="U155" s="24"/>
      <c r="V155" s="138"/>
      <c r="W155" s="24"/>
      <c r="X155" s="24"/>
    </row>
    <row r="156" spans="1:24" s="107" customFormat="1" ht="15.95" customHeight="1">
      <c r="A156" s="3"/>
      <c r="B156" s="24"/>
      <c r="C156" s="297"/>
      <c r="D156" s="337"/>
      <c r="E156" s="337"/>
      <c r="F156" s="337"/>
      <c r="G156" s="337"/>
      <c r="H156" s="337"/>
      <c r="I156" s="337"/>
      <c r="J156" s="337"/>
      <c r="K156" s="337"/>
      <c r="M156" s="302"/>
      <c r="P156" s="138"/>
      <c r="Q156" s="138"/>
      <c r="R156" s="138"/>
      <c r="S156" s="138"/>
      <c r="T156" s="138"/>
      <c r="U156" s="24"/>
      <c r="V156" s="138"/>
      <c r="W156" s="24"/>
      <c r="X156" s="24"/>
    </row>
    <row r="157" spans="1:24" s="107" customFormat="1" ht="15.95" customHeight="1">
      <c r="A157" s="3"/>
      <c r="B157" s="24"/>
      <c r="C157" s="297"/>
      <c r="D157" s="337"/>
      <c r="E157" s="337"/>
      <c r="F157" s="337"/>
      <c r="G157" s="337"/>
      <c r="H157" s="337"/>
      <c r="I157" s="337"/>
      <c r="J157" s="337"/>
      <c r="K157" s="337"/>
      <c r="M157" s="302"/>
      <c r="P157" s="138"/>
      <c r="Q157" s="138"/>
      <c r="R157" s="138"/>
      <c r="S157" s="138"/>
      <c r="T157" s="138"/>
      <c r="U157" s="24"/>
      <c r="V157" s="138"/>
      <c r="W157" s="24"/>
      <c r="X157" s="24"/>
    </row>
    <row r="158" spans="1:24" s="107" customFormat="1" ht="15.95" customHeight="1">
      <c r="A158" s="3"/>
      <c r="B158" s="24"/>
      <c r="C158" s="297"/>
      <c r="D158" s="337"/>
      <c r="E158" s="337"/>
      <c r="F158" s="337"/>
      <c r="G158" s="337"/>
      <c r="H158" s="337"/>
      <c r="I158" s="337"/>
      <c r="J158" s="337"/>
      <c r="K158" s="337"/>
      <c r="M158" s="302"/>
      <c r="P158" s="138"/>
      <c r="Q158" s="138"/>
      <c r="R158" s="138"/>
      <c r="S158" s="138"/>
      <c r="T158" s="138"/>
      <c r="U158" s="24"/>
      <c r="V158" s="138"/>
      <c r="W158" s="24"/>
      <c r="X158" s="24"/>
    </row>
    <row r="159" spans="1:24" s="107" customFormat="1" ht="15.95" customHeight="1">
      <c r="A159" s="3"/>
      <c r="B159" s="24"/>
      <c r="C159" s="297"/>
      <c r="D159" s="337"/>
      <c r="E159" s="337"/>
      <c r="F159" s="337"/>
      <c r="G159" s="337"/>
      <c r="H159" s="337"/>
      <c r="I159" s="337"/>
      <c r="J159" s="337"/>
      <c r="K159" s="337"/>
      <c r="M159" s="302"/>
      <c r="P159" s="138"/>
      <c r="Q159" s="138"/>
      <c r="R159" s="138"/>
      <c r="S159" s="138"/>
      <c r="T159" s="138"/>
      <c r="U159" s="24"/>
      <c r="V159" s="138"/>
      <c r="W159" s="24"/>
      <c r="X159" s="24"/>
    </row>
    <row r="160" spans="1:24" s="107" customFormat="1" ht="15.95" customHeight="1">
      <c r="A160" s="3"/>
      <c r="B160" s="24"/>
      <c r="C160" s="297"/>
      <c r="D160" s="337"/>
      <c r="E160" s="337"/>
      <c r="F160" s="337"/>
      <c r="G160" s="337"/>
      <c r="H160" s="337"/>
      <c r="I160" s="337"/>
      <c r="J160" s="337"/>
      <c r="K160" s="337"/>
      <c r="M160" s="302"/>
      <c r="P160" s="138"/>
      <c r="Q160" s="138"/>
      <c r="R160" s="138"/>
      <c r="S160" s="138"/>
      <c r="T160" s="138"/>
      <c r="U160" s="24"/>
      <c r="V160" s="138"/>
      <c r="W160" s="24"/>
      <c r="X160" s="24"/>
    </row>
    <row r="161" spans="1:24" s="107" customFormat="1" ht="15.95" customHeight="1">
      <c r="A161" s="3"/>
      <c r="B161" s="24"/>
      <c r="C161" s="297"/>
      <c r="D161" s="337"/>
      <c r="E161" s="337"/>
      <c r="F161" s="337"/>
      <c r="G161" s="337"/>
      <c r="H161" s="337"/>
      <c r="I161" s="337"/>
      <c r="J161" s="337"/>
      <c r="K161" s="337"/>
      <c r="M161" s="302"/>
      <c r="P161" s="138"/>
      <c r="Q161" s="138"/>
      <c r="R161" s="138"/>
      <c r="S161" s="138"/>
      <c r="T161" s="138"/>
      <c r="U161" s="24"/>
      <c r="V161" s="138"/>
      <c r="W161" s="24"/>
      <c r="X161" s="24"/>
    </row>
    <row r="162" spans="1:24" s="107" customFormat="1" ht="15.95" customHeight="1">
      <c r="A162" s="3"/>
      <c r="B162" s="24"/>
      <c r="C162" s="297"/>
      <c r="D162" s="337"/>
      <c r="E162" s="337"/>
      <c r="F162" s="337"/>
      <c r="G162" s="337"/>
      <c r="H162" s="337"/>
      <c r="I162" s="337"/>
      <c r="J162" s="337"/>
      <c r="K162" s="337"/>
      <c r="M162" s="302"/>
      <c r="P162" s="138"/>
      <c r="Q162" s="138"/>
      <c r="R162" s="138"/>
      <c r="S162" s="138"/>
      <c r="T162" s="138"/>
      <c r="U162" s="24"/>
      <c r="V162" s="138"/>
      <c r="W162" s="24"/>
      <c r="X162" s="24"/>
    </row>
    <row r="163" spans="1:24" s="107" customFormat="1" ht="15.95" customHeight="1">
      <c r="A163" s="3"/>
      <c r="B163" s="24"/>
      <c r="C163" s="297"/>
      <c r="D163" s="337"/>
      <c r="E163" s="337"/>
      <c r="F163" s="337"/>
      <c r="G163" s="337"/>
      <c r="H163" s="337"/>
      <c r="I163" s="337"/>
      <c r="J163" s="337"/>
      <c r="K163" s="337"/>
      <c r="M163" s="302"/>
      <c r="P163" s="138"/>
      <c r="Q163" s="138"/>
      <c r="R163" s="138"/>
      <c r="S163" s="138"/>
      <c r="T163" s="138"/>
      <c r="U163" s="24"/>
      <c r="V163" s="138"/>
      <c r="W163" s="24"/>
      <c r="X163" s="24"/>
    </row>
    <row r="164" spans="1:24" s="107" customFormat="1" ht="15.95" customHeight="1">
      <c r="A164" s="3"/>
      <c r="B164" s="24"/>
      <c r="C164" s="297"/>
      <c r="D164" s="337"/>
      <c r="E164" s="337"/>
      <c r="F164" s="337"/>
      <c r="G164" s="337"/>
      <c r="H164" s="337"/>
      <c r="I164" s="337"/>
      <c r="J164" s="337"/>
      <c r="K164" s="337"/>
      <c r="M164" s="302"/>
      <c r="P164" s="138"/>
      <c r="Q164" s="138"/>
      <c r="R164" s="138"/>
      <c r="S164" s="138"/>
      <c r="T164" s="138"/>
      <c r="U164" s="24"/>
      <c r="V164" s="138"/>
      <c r="W164" s="24"/>
      <c r="X164" s="24"/>
    </row>
    <row r="165" spans="1:24" s="107" customFormat="1" ht="15.95" customHeight="1">
      <c r="A165" s="3"/>
      <c r="B165" s="24"/>
      <c r="C165" s="297"/>
      <c r="D165" s="337"/>
      <c r="E165" s="337"/>
      <c r="F165" s="337"/>
      <c r="G165" s="337"/>
      <c r="H165" s="337"/>
      <c r="I165" s="337"/>
      <c r="J165" s="337"/>
      <c r="K165" s="337"/>
      <c r="M165" s="302"/>
      <c r="P165" s="138"/>
      <c r="Q165" s="138"/>
      <c r="R165" s="138"/>
      <c r="S165" s="138"/>
      <c r="T165" s="138"/>
      <c r="U165" s="24"/>
      <c r="V165" s="138"/>
      <c r="W165" s="24"/>
      <c r="X165" s="24"/>
    </row>
    <row r="166" spans="1:24" s="107" customFormat="1" ht="15.95" customHeight="1">
      <c r="A166" s="3"/>
      <c r="B166" s="24"/>
      <c r="C166" s="297"/>
      <c r="D166" s="337"/>
      <c r="E166" s="337"/>
      <c r="F166" s="337"/>
      <c r="G166" s="337"/>
      <c r="H166" s="337"/>
      <c r="I166" s="337"/>
      <c r="J166" s="337"/>
      <c r="K166" s="337"/>
      <c r="M166" s="302"/>
      <c r="P166" s="138"/>
      <c r="Q166" s="138"/>
      <c r="R166" s="138"/>
      <c r="S166" s="138"/>
      <c r="T166" s="138"/>
      <c r="U166" s="24"/>
      <c r="V166" s="138"/>
      <c r="W166" s="24"/>
      <c r="X166" s="24"/>
    </row>
    <row r="167" spans="1:24" s="107" customFormat="1" ht="15.95" customHeight="1">
      <c r="A167" s="3"/>
      <c r="B167" s="24"/>
      <c r="C167" s="297"/>
      <c r="G167" s="337"/>
      <c r="H167" s="337"/>
      <c r="I167" s="337"/>
      <c r="J167" s="337"/>
      <c r="K167" s="337"/>
      <c r="M167" s="302"/>
      <c r="P167" s="138"/>
      <c r="Q167" s="138"/>
      <c r="R167" s="138"/>
      <c r="S167" s="138"/>
      <c r="T167" s="138"/>
      <c r="U167" s="24"/>
      <c r="V167" s="138"/>
      <c r="W167" s="24"/>
      <c r="X167" s="24"/>
    </row>
    <row r="168" spans="1:24" s="107" customFormat="1" ht="15.95" customHeight="1">
      <c r="A168" s="3"/>
      <c r="B168" s="24"/>
      <c r="C168" s="297"/>
      <c r="G168" s="337"/>
      <c r="H168" s="337"/>
      <c r="I168" s="337"/>
      <c r="J168" s="337"/>
      <c r="K168" s="337"/>
      <c r="M168" s="302"/>
      <c r="P168" s="138"/>
      <c r="Q168" s="138"/>
      <c r="R168" s="138"/>
      <c r="S168" s="138"/>
      <c r="T168" s="138"/>
      <c r="U168" s="24"/>
      <c r="V168" s="138"/>
      <c r="W168" s="24"/>
      <c r="X168" s="24"/>
    </row>
    <row r="169" spans="1:24" s="107" customFormat="1" ht="15.95" customHeight="1">
      <c r="A169" s="3"/>
      <c r="B169" s="24"/>
      <c r="C169" s="297"/>
      <c r="G169" s="337"/>
      <c r="H169" s="337"/>
      <c r="I169" s="337"/>
      <c r="J169" s="337"/>
      <c r="K169" s="337"/>
      <c r="M169" s="302"/>
      <c r="P169" s="138"/>
      <c r="Q169" s="138"/>
      <c r="R169" s="138"/>
      <c r="S169" s="138"/>
      <c r="T169" s="138"/>
      <c r="U169" s="24"/>
      <c r="V169" s="138"/>
      <c r="W169" s="24"/>
      <c r="X169" s="24"/>
    </row>
    <row r="170" spans="1:24" s="107" customFormat="1" ht="15.95" customHeight="1">
      <c r="A170" s="3"/>
      <c r="B170" s="24"/>
      <c r="C170" s="297"/>
      <c r="G170" s="337"/>
      <c r="H170" s="337"/>
      <c r="I170" s="337"/>
      <c r="J170" s="337"/>
      <c r="K170" s="337"/>
      <c r="M170" s="302"/>
      <c r="P170" s="138"/>
      <c r="Q170" s="138"/>
      <c r="R170" s="138"/>
      <c r="S170" s="138"/>
      <c r="T170" s="138"/>
      <c r="U170" s="24"/>
      <c r="V170" s="138"/>
      <c r="W170" s="24"/>
      <c r="X170" s="24"/>
    </row>
    <row r="171" spans="1:24" s="107" customFormat="1" ht="15.95" customHeight="1">
      <c r="A171" s="3"/>
      <c r="B171" s="24"/>
      <c r="C171" s="297"/>
      <c r="G171" s="337"/>
      <c r="H171" s="337"/>
      <c r="I171" s="337"/>
      <c r="J171" s="337"/>
      <c r="K171" s="337"/>
      <c r="M171" s="302"/>
      <c r="P171" s="138"/>
      <c r="Q171" s="138"/>
      <c r="R171" s="138"/>
      <c r="S171" s="138"/>
      <c r="T171" s="138"/>
      <c r="U171" s="24"/>
      <c r="V171" s="138"/>
      <c r="W171" s="24"/>
      <c r="X171" s="24"/>
    </row>
    <row r="172" spans="1:24" s="107" customFormat="1" ht="15.95" customHeight="1">
      <c r="A172" s="3"/>
      <c r="B172" s="24"/>
      <c r="C172" s="297"/>
      <c r="G172" s="337"/>
      <c r="H172" s="337"/>
      <c r="I172" s="337"/>
      <c r="J172" s="337"/>
      <c r="K172" s="337"/>
      <c r="M172" s="302"/>
      <c r="P172" s="138"/>
      <c r="Q172" s="138"/>
      <c r="R172" s="138"/>
      <c r="S172" s="138"/>
      <c r="T172" s="138"/>
      <c r="U172" s="24"/>
      <c r="V172" s="138"/>
      <c r="W172" s="24"/>
      <c r="X172" s="24"/>
    </row>
    <row r="173" spans="1:24" s="107" customFormat="1" ht="15.95" customHeight="1">
      <c r="A173" s="3"/>
      <c r="B173" s="24"/>
      <c r="C173" s="297"/>
      <c r="G173" s="337"/>
      <c r="H173" s="337"/>
      <c r="I173" s="337"/>
      <c r="J173" s="337"/>
      <c r="K173" s="337"/>
      <c r="M173" s="302"/>
      <c r="P173" s="138"/>
      <c r="Q173" s="138"/>
      <c r="R173" s="138"/>
      <c r="S173" s="138"/>
      <c r="T173" s="138"/>
      <c r="U173" s="24"/>
      <c r="V173" s="138"/>
      <c r="W173" s="24"/>
      <c r="X173" s="24"/>
    </row>
    <row r="174" spans="1:24" s="107" customFormat="1" ht="15.95" customHeight="1">
      <c r="A174" s="3"/>
      <c r="B174" s="24"/>
      <c r="C174" s="297"/>
      <c r="G174" s="337"/>
      <c r="H174" s="337"/>
      <c r="I174" s="337"/>
      <c r="J174" s="337"/>
      <c r="K174" s="337"/>
      <c r="M174" s="302"/>
      <c r="P174" s="138"/>
      <c r="Q174" s="138"/>
      <c r="R174" s="138"/>
      <c r="S174" s="138"/>
      <c r="T174" s="138"/>
      <c r="U174" s="24"/>
      <c r="V174" s="138"/>
      <c r="W174" s="24"/>
      <c r="X174" s="24"/>
    </row>
    <row r="175" spans="1:24" s="107" customFormat="1" ht="15.95" customHeight="1">
      <c r="A175" s="3"/>
      <c r="B175" s="24"/>
      <c r="C175" s="297"/>
      <c r="G175" s="337"/>
      <c r="H175" s="337"/>
      <c r="I175" s="337"/>
      <c r="J175" s="337"/>
      <c r="K175" s="337"/>
      <c r="M175" s="302"/>
      <c r="P175" s="138"/>
      <c r="Q175" s="138"/>
      <c r="R175" s="138"/>
      <c r="S175" s="138"/>
      <c r="T175" s="138"/>
      <c r="U175" s="24"/>
      <c r="V175" s="138"/>
      <c r="W175" s="24"/>
      <c r="X175" s="24"/>
    </row>
  </sheetData>
  <mergeCells count="20">
    <mergeCell ref="L11:L12"/>
    <mergeCell ref="M11:M12"/>
    <mergeCell ref="R11:R12"/>
    <mergeCell ref="S11:S12"/>
    <mergeCell ref="T11:T12"/>
    <mergeCell ref="Q11:Q12"/>
    <mergeCell ref="P11:P12"/>
    <mergeCell ref="N11:N12"/>
    <mergeCell ref="O11:O12"/>
    <mergeCell ref="H11:H12"/>
    <mergeCell ref="I11:I12"/>
    <mergeCell ref="J11:J12"/>
    <mergeCell ref="K11:K12"/>
    <mergeCell ref="B4:F9"/>
    <mergeCell ref="G11:G12"/>
    <mergeCell ref="B11:B12"/>
    <mergeCell ref="C11:C12"/>
    <mergeCell ref="D11:D12"/>
    <mergeCell ref="E11:E12"/>
    <mergeCell ref="F11:F12"/>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8CBAD"/>
  </sheetPr>
  <dimension ref="A1:S175"/>
  <sheetViews>
    <sheetView showGridLines="0" zoomScaleNormal="100" workbookViewId="0"/>
  </sheetViews>
  <sheetFormatPr defaultColWidth="8.5" defaultRowHeight="15.95" customHeight="1"/>
  <cols>
    <col min="1" max="1" width="8.625" style="3" customWidth="1"/>
    <col min="2" max="2" width="25.5" style="24" customWidth="1"/>
    <col min="3" max="3" width="10.5" style="297" bestFit="1" customWidth="1"/>
    <col min="4" max="4" width="22.375" style="297" customWidth="1"/>
    <col min="5" max="13" width="20.625" style="107" customWidth="1"/>
    <col min="14" max="14" width="20.625" style="302" customWidth="1"/>
    <col min="15" max="16" width="20.625" style="107" customWidth="1"/>
    <col min="17" max="18" width="20.625" style="24" customWidth="1"/>
    <col min="19" max="19" width="8.375" style="24" bestFit="1" customWidth="1"/>
    <col min="20" max="16384" width="8.5" style="24"/>
  </cols>
  <sheetData>
    <row r="1" spans="1:19" s="402" customFormat="1" ht="15.6">
      <c r="A1" s="401"/>
    </row>
    <row r="2" spans="1:19" s="404" customFormat="1" ht="24.75" customHeight="1">
      <c r="A2" s="401"/>
      <c r="B2" s="403" t="s">
        <v>6180</v>
      </c>
    </row>
    <row r="3" spans="1:19" s="404" customFormat="1" ht="15.95" customHeight="1">
      <c r="A3" s="401"/>
      <c r="B3" s="405"/>
      <c r="F3" s="406"/>
    </row>
    <row r="4" spans="1:19" s="407" customFormat="1" ht="15.95" customHeight="1">
      <c r="A4" s="401"/>
      <c r="B4" s="1434" t="s">
        <v>6181</v>
      </c>
      <c r="C4" s="1434"/>
      <c r="D4" s="1434"/>
      <c r="E4" s="1434"/>
      <c r="F4" s="1434"/>
      <c r="G4" s="1434"/>
      <c r="I4" s="408"/>
    </row>
    <row r="5" spans="1:19" s="407" customFormat="1" ht="15.95" customHeight="1">
      <c r="A5" s="401"/>
      <c r="B5" s="1434"/>
      <c r="C5" s="1434"/>
      <c r="D5" s="1434"/>
      <c r="E5" s="1434"/>
      <c r="F5" s="1434"/>
      <c r="G5" s="1434"/>
      <c r="I5" s="408"/>
    </row>
    <row r="6" spans="1:19" s="407" customFormat="1" ht="15.95" customHeight="1">
      <c r="A6" s="401"/>
      <c r="B6" s="1434"/>
      <c r="C6" s="1434"/>
      <c r="D6" s="1434"/>
      <c r="E6" s="1434"/>
      <c r="F6" s="1434"/>
      <c r="G6" s="1434"/>
      <c r="I6" s="408"/>
    </row>
    <row r="7" spans="1:19" s="407" customFormat="1" ht="15.95" customHeight="1">
      <c r="A7" s="401"/>
      <c r="B7" s="1434"/>
      <c r="C7" s="1434"/>
      <c r="D7" s="1434"/>
      <c r="E7" s="1434"/>
      <c r="F7" s="1434"/>
      <c r="G7" s="1434"/>
      <c r="I7" s="408"/>
    </row>
    <row r="8" spans="1:19" s="407" customFormat="1" ht="15.95" customHeight="1">
      <c r="A8" s="401"/>
      <c r="B8" s="1434"/>
      <c r="C8" s="1434"/>
      <c r="D8" s="1434"/>
      <c r="E8" s="1434"/>
      <c r="F8" s="1434"/>
      <c r="G8" s="1434"/>
      <c r="I8" s="408"/>
    </row>
    <row r="9" spans="1:19" s="407" customFormat="1" ht="15.95" customHeight="1">
      <c r="A9" s="401"/>
      <c r="B9" s="1351"/>
      <c r="C9" s="1351"/>
      <c r="D9" s="1351"/>
      <c r="E9" s="1351"/>
      <c r="F9" s="1351"/>
      <c r="G9" s="1351"/>
      <c r="I9" s="408"/>
    </row>
    <row r="10" spans="1:19" s="297" customFormat="1" ht="15.95" customHeight="1">
      <c r="A10" s="288"/>
      <c r="E10" s="309" t="s">
        <v>4815</v>
      </c>
      <c r="F10" s="309" t="s">
        <v>4605</v>
      </c>
      <c r="G10" s="309" t="s">
        <v>4606</v>
      </c>
      <c r="H10" s="309" t="s">
        <v>4607</v>
      </c>
      <c r="I10" s="309" t="s">
        <v>4608</v>
      </c>
      <c r="J10" s="309" t="s">
        <v>4609</v>
      </c>
      <c r="K10" s="309" t="s">
        <v>4610</v>
      </c>
      <c r="L10" s="309" t="s">
        <v>4611</v>
      </c>
      <c r="M10" s="309" t="s">
        <v>4612</v>
      </c>
      <c r="N10" s="309" t="s">
        <v>4613</v>
      </c>
      <c r="O10" s="309" t="s">
        <v>4614</v>
      </c>
      <c r="P10" s="309" t="s">
        <v>4615</v>
      </c>
      <c r="Q10" s="309" t="s">
        <v>4815</v>
      </c>
      <c r="R10" s="309" t="s">
        <v>4605</v>
      </c>
      <c r="S10" s="339" t="s">
        <v>6182</v>
      </c>
    </row>
    <row r="11" spans="1:19" s="310" customFormat="1" ht="15.95" customHeight="1">
      <c r="A11" s="288"/>
      <c r="B11" s="1429" t="s">
        <v>4512</v>
      </c>
      <c r="C11" s="1431" t="s">
        <v>4513</v>
      </c>
      <c r="D11" s="1431" t="s">
        <v>354</v>
      </c>
      <c r="E11" s="1431">
        <v>1</v>
      </c>
      <c r="F11" s="1493">
        <v>2</v>
      </c>
      <c r="G11" s="1431">
        <v>3</v>
      </c>
      <c r="H11" s="1493">
        <v>4</v>
      </c>
      <c r="I11" s="1431">
        <v>5</v>
      </c>
      <c r="J11" s="1493">
        <v>6</v>
      </c>
      <c r="K11" s="1431">
        <v>7</v>
      </c>
      <c r="L11" s="1493">
        <v>8</v>
      </c>
      <c r="M11" s="1431">
        <v>9</v>
      </c>
      <c r="N11" s="1493">
        <v>10</v>
      </c>
      <c r="O11" s="1431">
        <v>11</v>
      </c>
      <c r="P11" s="1493">
        <v>12</v>
      </c>
      <c r="Q11" s="1493">
        <v>13</v>
      </c>
      <c r="R11" s="1495">
        <v>14</v>
      </c>
      <c r="S11" s="1497"/>
    </row>
    <row r="12" spans="1:19" s="310" customFormat="1" ht="15.95" customHeight="1">
      <c r="A12" s="5"/>
      <c r="B12" s="1430"/>
      <c r="C12" s="1432"/>
      <c r="D12" s="1432"/>
      <c r="E12" s="1432"/>
      <c r="F12" s="1494"/>
      <c r="G12" s="1432"/>
      <c r="H12" s="1494"/>
      <c r="I12" s="1432"/>
      <c r="J12" s="1494"/>
      <c r="K12" s="1432"/>
      <c r="L12" s="1494"/>
      <c r="M12" s="1432"/>
      <c r="N12" s="1494"/>
      <c r="O12" s="1432"/>
      <c r="P12" s="1494"/>
      <c r="Q12" s="1494"/>
      <c r="R12" s="1496"/>
      <c r="S12" s="1498"/>
    </row>
    <row r="13" spans="1:19" ht="15.95" customHeight="1">
      <c r="A13" s="5"/>
      <c r="B13" s="2" t="s">
        <v>359</v>
      </c>
      <c r="C13" s="297">
        <v>0</v>
      </c>
      <c r="D13" s="297">
        <v>0</v>
      </c>
      <c r="E13" s="276">
        <f>(SUMIFS('Bilateral Assistance, MAIN DATA'!$P:$P,'Bilateral Assistance, MAIN DATA'!$B:$B,'Comm. per Month (Heavy Weapons)'!$B13,'Bilateral Assistance, MAIN DATA'!$AG:$AG,1,'Bilateral Assistance, MAIN DATA'!$AH:$AH,'Comm. per Month (Heavy Weapons)'!E$11, 'Bilateral Assistance, MAIN DATA'!$J:$J,"Heavy weapon")/VLOOKUP("USD",'Exchange Rates'!$B:$C,2,0))/1000000000</f>
        <v>0</v>
      </c>
      <c r="F13" s="276">
        <f>(SUMIFS('Bilateral Assistance, MAIN DATA'!$P:$P,'Bilateral Assistance, MAIN DATA'!$B:$B,'Comm. per Month (Heavy Weapons)'!$B13,'Bilateral Assistance, MAIN DATA'!$AG:$AG,1,'Bilateral Assistance, MAIN DATA'!$AH:$AH,'Comm. per Month (Heavy Weapons)'!F$11, 'Bilateral Assistance, MAIN DATA'!$J:$J,"Heavy weapon")/VLOOKUP("USD",'Exchange Rates'!$B:$C,2,0))/1000000000</f>
        <v>0</v>
      </c>
      <c r="G13" s="276">
        <f>(SUMIFS('Bilateral Assistance, MAIN DATA'!$P:$P,'Bilateral Assistance, MAIN DATA'!$B:$B,'Comm. per Month (Heavy Weapons)'!$B13,'Bilateral Assistance, MAIN DATA'!$AG:$AG,1,'Bilateral Assistance, MAIN DATA'!$AH:$AH,'Comm. per Month (Heavy Weapons)'!G$11, 'Bilateral Assistance, MAIN DATA'!$J:$J,"Heavy weapon")/VLOOKUP("USD",'Exchange Rates'!$B:$C,2,0))/1000000000</f>
        <v>0</v>
      </c>
      <c r="H13" s="276">
        <f>(SUMIFS('Bilateral Assistance, MAIN DATA'!$P:$P,'Bilateral Assistance, MAIN DATA'!$B:$B,'Comm. per Month (Heavy Weapons)'!$B13,'Bilateral Assistance, MAIN DATA'!$AG:$AG,1,'Bilateral Assistance, MAIN DATA'!$AH:$AH,'Comm. per Month (Heavy Weapons)'!H$11, 'Bilateral Assistance, MAIN DATA'!$J:$J,"Heavy weapon")/VLOOKUP("USD",'Exchange Rates'!$B:$C,2,0))/1000000000</f>
        <v>5.8906882591093113E-2</v>
      </c>
      <c r="I13" s="276">
        <f>(SUMIFS('Bilateral Assistance, MAIN DATA'!$P:$P,'Bilateral Assistance, MAIN DATA'!$B:$B,'Comm. per Month (Heavy Weapons)'!$B13,'Bilateral Assistance, MAIN DATA'!$AG:$AG,1,'Bilateral Assistance, MAIN DATA'!$AH:$AH,'Comm. per Month (Heavy Weapons)'!I$11, 'Bilateral Assistance, MAIN DATA'!$J:$J,"Heavy weapon")/VLOOKUP("USD",'Exchange Rates'!$B:$C,2,0))/1000000000</f>
        <v>3.4228928965771073E-2</v>
      </c>
      <c r="J13" s="276">
        <f>(SUMIFS('Bilateral Assistance, MAIN DATA'!$P:$P,'Bilateral Assistance, MAIN DATA'!$B:$B,'Comm. per Month (Heavy Weapons)'!$B13,'Bilateral Assistance, MAIN DATA'!$AG:$AG,1,'Bilateral Assistance, MAIN DATA'!$AH:$AH,'Comm. per Month (Heavy Weapons)'!J$11, 'Bilateral Assistance, MAIN DATA'!$J:$J,"Heavy weapon")/VLOOKUP("USD",'Exchange Rates'!$B:$C,2,0))/1000000000</f>
        <v>0</v>
      </c>
      <c r="K13" s="276">
        <f>(SUMIFS('Bilateral Assistance, MAIN DATA'!$P:$P,'Bilateral Assistance, MAIN DATA'!$B:$B,'Comm. per Month (Heavy Weapons)'!$B13,'Bilateral Assistance, MAIN DATA'!$AG:$AG,1,'Bilateral Assistance, MAIN DATA'!$AH:$AH,'Comm. per Month (Heavy Weapons)'!K$11, 'Bilateral Assistance, MAIN DATA'!$J:$J,"Heavy weapon")/VLOOKUP("USD",'Exchange Rates'!$B:$C,2,0))/1000000000</f>
        <v>3.4228928965771073E-2</v>
      </c>
      <c r="L13" s="276">
        <f>(SUMIFS('Bilateral Assistance, MAIN DATA'!$P:$P,'Bilateral Assistance, MAIN DATA'!$B:$B,'Comm. per Month (Heavy Weapons)'!$B13,'Bilateral Assistance, MAIN DATA'!$AG:$AG,1,'Bilateral Assistance, MAIN DATA'!$AH:$AH,'Comm. per Month (Heavy Weapons)'!L$11, 'Bilateral Assistance, MAIN DATA'!$J:$J,"Heavy weapon")/VLOOKUP("USD",'Exchange Rates'!$B:$C,2,0))/1000000000</f>
        <v>0</v>
      </c>
      <c r="M13" s="276">
        <f>(SUMIFS('Bilateral Assistance, MAIN DATA'!$P:$P,'Bilateral Assistance, MAIN DATA'!$B:$B,'Comm. per Month (Heavy Weapons)'!$B13,'Bilateral Assistance, MAIN DATA'!$AG:$AG,1,'Bilateral Assistance, MAIN DATA'!$AH:$AH,'Comm. per Month (Heavy Weapons)'!M$11, 'Bilateral Assistance, MAIN DATA'!$J:$J,"Heavy weapon")/VLOOKUP("USD",'Exchange Rates'!$B:$C,2,0))/1000000000</f>
        <v>0</v>
      </c>
      <c r="N13" s="276">
        <f>(SUMIFS('Bilateral Assistance, MAIN DATA'!$P:$P,'Bilateral Assistance, MAIN DATA'!$B:$B,'Comm. per Month (Heavy Weapons)'!$B13,'Bilateral Assistance, MAIN DATA'!$AG:$AG,1,'Bilateral Assistance, MAIN DATA'!$AH:$AH,'Comm. per Month (Heavy Weapons)'!N$11, 'Bilateral Assistance, MAIN DATA'!$J:$J,"Heavy weapon")/VLOOKUP("USD",'Exchange Rates'!$B:$C,2,0))/1000000000</f>
        <v>4.5546558704453441E-2</v>
      </c>
      <c r="O13" s="276">
        <f>(SUMIFS('Bilateral Assistance, MAIN DATA'!$P:$P,'Bilateral Assistance, MAIN DATA'!$B:$B,'Comm. per Month (Heavy Weapons)'!$B13,'Bilateral Assistance, MAIN DATA'!$AG:$AG,1,'Bilateral Assistance, MAIN DATA'!$AH:$AH,'Comm. per Month (Heavy Weapons)'!O$11, 'Bilateral Assistance, MAIN DATA'!$J:$J,"Heavy weapon")/VLOOKUP("USD",'Exchange Rates'!$B:$C,2,0))/1000000000</f>
        <v>0</v>
      </c>
      <c r="P13" s="276">
        <f>(SUMIFS('Bilateral Assistance, MAIN DATA'!$P:$P,'Bilateral Assistance, MAIN DATA'!$B:$B,'Comm. per Month (Heavy Weapons)'!$B13,'Bilateral Assistance, MAIN DATA'!$AG:$AG,1,'Bilateral Assistance, MAIN DATA'!$AH:$AH,'Comm. per Month (Heavy Weapons)'!P$11, 'Bilateral Assistance, MAIN DATA'!$J:$J,"Heavy weapon")/VLOOKUP("USD",'Exchange Rates'!$B:$C,2,0))/1000000000</f>
        <v>0</v>
      </c>
      <c r="Q13" s="276">
        <f>(SUMIFS('Bilateral Assistance, MAIN DATA'!$P:$P,'Bilateral Assistance, MAIN DATA'!$B:$B,'Comm. per Month (Heavy Weapons)'!$B13,'Bilateral Assistance, MAIN DATA'!$AG:$AG,1,'Bilateral Assistance, MAIN DATA'!$AH:$AH,'Comm. per Month (Heavy Weapons)'!Q$11, 'Bilateral Assistance, MAIN DATA'!$J:$J,"Heavy weapon")/VLOOKUP("USD",'Exchange Rates'!$B:$C,2,0))/1000000000</f>
        <v>0</v>
      </c>
      <c r="R13" s="276">
        <f>(SUMIFS('Bilateral Assistance, MAIN DATA'!$P:$P,'Bilateral Assistance, MAIN DATA'!$B:$B,'Comm. per Month (Heavy Weapons)'!$B13,'Bilateral Assistance, MAIN DATA'!$AG:$AG,1,'Bilateral Assistance, MAIN DATA'!$AH:$AH,'Comm. per Month (Heavy Weapons)'!R$11, 'Bilateral Assistance, MAIN DATA'!$J:$J,"Heavy weapon")/VLOOKUP("USD",'Exchange Rates'!$B:$C,2,0))/1000000000</f>
        <v>0</v>
      </c>
      <c r="S13" s="138">
        <f>SUM(E13:Q13)</f>
        <v>0.1729112992270887</v>
      </c>
    </row>
    <row r="14" spans="1:19" ht="15.95" customHeight="1">
      <c r="A14" s="5"/>
      <c r="B14" s="24" t="s">
        <v>454</v>
      </c>
      <c r="C14" s="297">
        <v>1</v>
      </c>
      <c r="D14" s="297">
        <v>0</v>
      </c>
      <c r="E14" s="276">
        <f>(SUMIFS('Bilateral Assistance, MAIN DATA'!$P:$P,'Bilateral Assistance, MAIN DATA'!$B:$B,'Comm. per Month (Heavy Weapons)'!$B14,'Bilateral Assistance, MAIN DATA'!$AG:$AG,1,'Bilateral Assistance, MAIN DATA'!$AH:$AH,'Comm. per Month (Heavy Weapons)'!E$11, 'Bilateral Assistance, MAIN DATA'!$J:$J,"Heavy weapon")/VLOOKUP("USD",'Exchange Rates'!$B:$C,2,0))/1000000000</f>
        <v>0</v>
      </c>
      <c r="F14" s="276">
        <f>(SUMIFS('Bilateral Assistance, MAIN DATA'!$P:$P,'Bilateral Assistance, MAIN DATA'!$B:$B,'Comm. per Month (Heavy Weapons)'!$B14,'Bilateral Assistance, MAIN DATA'!$AG:$AG,1,'Bilateral Assistance, MAIN DATA'!$AH:$AH,'Comm. per Month (Heavy Weapons)'!F$11, 'Bilateral Assistance, MAIN DATA'!$J:$J,"Heavy weapon")/VLOOKUP("USD",'Exchange Rates'!$B:$C,2,0))/1000000000</f>
        <v>0</v>
      </c>
      <c r="G14" s="276">
        <f>(SUMIFS('Bilateral Assistance, MAIN DATA'!$P:$P,'Bilateral Assistance, MAIN DATA'!$B:$B,'Comm. per Month (Heavy Weapons)'!$B14,'Bilateral Assistance, MAIN DATA'!$AG:$AG,1,'Bilateral Assistance, MAIN DATA'!$AH:$AH,'Comm. per Month (Heavy Weapons)'!G$11, 'Bilateral Assistance, MAIN DATA'!$J:$J,"Heavy weapon")/VLOOKUP("USD",'Exchange Rates'!$B:$C,2,0))/1000000000</f>
        <v>0</v>
      </c>
      <c r="H14" s="276">
        <f>(SUMIFS('Bilateral Assistance, MAIN DATA'!$P:$P,'Bilateral Assistance, MAIN DATA'!$B:$B,'Comm. per Month (Heavy Weapons)'!$B14,'Bilateral Assistance, MAIN DATA'!$AG:$AG,1,'Bilateral Assistance, MAIN DATA'!$AH:$AH,'Comm. per Month (Heavy Weapons)'!H$11, 'Bilateral Assistance, MAIN DATA'!$J:$J,"Heavy weapon")/VLOOKUP("USD",'Exchange Rates'!$B:$C,2,0))/1000000000</f>
        <v>0</v>
      </c>
      <c r="I14" s="276">
        <f>(SUMIFS('Bilateral Assistance, MAIN DATA'!$P:$P,'Bilateral Assistance, MAIN DATA'!$B:$B,'Comm. per Month (Heavy Weapons)'!$B14,'Bilateral Assistance, MAIN DATA'!$AG:$AG,1,'Bilateral Assistance, MAIN DATA'!$AH:$AH,'Comm. per Month (Heavy Weapons)'!I$11, 'Bilateral Assistance, MAIN DATA'!$J:$J,"Heavy weapon")/VLOOKUP("USD",'Exchange Rates'!$B:$C,2,0))/1000000000</f>
        <v>0</v>
      </c>
      <c r="J14" s="276">
        <f>(SUMIFS('Bilateral Assistance, MAIN DATA'!$P:$P,'Bilateral Assistance, MAIN DATA'!$B:$B,'Comm. per Month (Heavy Weapons)'!$B14,'Bilateral Assistance, MAIN DATA'!$AG:$AG,1,'Bilateral Assistance, MAIN DATA'!$AH:$AH,'Comm. per Month (Heavy Weapons)'!J$11, 'Bilateral Assistance, MAIN DATA'!$J:$J,"Heavy weapon")/VLOOKUP("USD",'Exchange Rates'!$B:$C,2,0))/1000000000</f>
        <v>0</v>
      </c>
      <c r="K14" s="276">
        <f>(SUMIFS('Bilateral Assistance, MAIN DATA'!$P:$P,'Bilateral Assistance, MAIN DATA'!$B:$B,'Comm. per Month (Heavy Weapons)'!$B14,'Bilateral Assistance, MAIN DATA'!$AG:$AG,1,'Bilateral Assistance, MAIN DATA'!$AH:$AH,'Comm. per Month (Heavy Weapons)'!K$11, 'Bilateral Assistance, MAIN DATA'!$J:$J,"Heavy weapon")/VLOOKUP("USD",'Exchange Rates'!$B:$C,2,0))/1000000000</f>
        <v>0</v>
      </c>
      <c r="L14" s="276">
        <f>(SUMIFS('Bilateral Assistance, MAIN DATA'!$P:$P,'Bilateral Assistance, MAIN DATA'!$B:$B,'Comm. per Month (Heavy Weapons)'!$B14,'Bilateral Assistance, MAIN DATA'!$AG:$AG,1,'Bilateral Assistance, MAIN DATA'!$AH:$AH,'Comm. per Month (Heavy Weapons)'!L$11, 'Bilateral Assistance, MAIN DATA'!$J:$J,"Heavy weapon")/VLOOKUP("USD",'Exchange Rates'!$B:$C,2,0))/1000000000</f>
        <v>0</v>
      </c>
      <c r="M14" s="276">
        <f>(SUMIFS('Bilateral Assistance, MAIN DATA'!$P:$P,'Bilateral Assistance, MAIN DATA'!$B:$B,'Comm. per Month (Heavy Weapons)'!$B14,'Bilateral Assistance, MAIN DATA'!$AG:$AG,1,'Bilateral Assistance, MAIN DATA'!$AH:$AH,'Comm. per Month (Heavy Weapons)'!M$11, 'Bilateral Assistance, MAIN DATA'!$J:$J,"Heavy weapon")/VLOOKUP("USD",'Exchange Rates'!$B:$C,2,0))/1000000000</f>
        <v>0</v>
      </c>
      <c r="N14" s="276">
        <f>(SUMIFS('Bilateral Assistance, MAIN DATA'!$P:$P,'Bilateral Assistance, MAIN DATA'!$B:$B,'Comm. per Month (Heavy Weapons)'!$B14,'Bilateral Assistance, MAIN DATA'!$AG:$AG,1,'Bilateral Assistance, MAIN DATA'!$AH:$AH,'Comm. per Month (Heavy Weapons)'!N$11, 'Bilateral Assistance, MAIN DATA'!$J:$J,"Heavy weapon")/VLOOKUP("USD",'Exchange Rates'!$B:$C,2,0))/1000000000</f>
        <v>0</v>
      </c>
      <c r="O14" s="276">
        <f>(SUMIFS('Bilateral Assistance, MAIN DATA'!$P:$P,'Bilateral Assistance, MAIN DATA'!$B:$B,'Comm. per Month (Heavy Weapons)'!$B14,'Bilateral Assistance, MAIN DATA'!$AG:$AG,1,'Bilateral Assistance, MAIN DATA'!$AH:$AH,'Comm. per Month (Heavy Weapons)'!O$11, 'Bilateral Assistance, MAIN DATA'!$J:$J,"Heavy weapon")/VLOOKUP("USD",'Exchange Rates'!$B:$C,2,0))/1000000000</f>
        <v>0</v>
      </c>
      <c r="P14" s="276">
        <f>(SUMIFS('Bilateral Assistance, MAIN DATA'!$P:$P,'Bilateral Assistance, MAIN DATA'!$B:$B,'Comm. per Month (Heavy Weapons)'!$B14,'Bilateral Assistance, MAIN DATA'!$AG:$AG,1,'Bilateral Assistance, MAIN DATA'!$AH:$AH,'Comm. per Month (Heavy Weapons)'!P$11, 'Bilateral Assistance, MAIN DATA'!$J:$J,"Heavy weapon")/VLOOKUP("USD",'Exchange Rates'!$B:$C,2,0))/1000000000</f>
        <v>0</v>
      </c>
      <c r="Q14" s="276">
        <f>(SUMIFS('Bilateral Assistance, MAIN DATA'!$P:$P,'Bilateral Assistance, MAIN DATA'!$B:$B,'Comm. per Month (Heavy Weapons)'!$B14,'Bilateral Assistance, MAIN DATA'!$AG:$AG,1,'Bilateral Assistance, MAIN DATA'!$AH:$AH,'Comm. per Month (Heavy Weapons)'!Q$11, 'Bilateral Assistance, MAIN DATA'!$J:$J,"Heavy weapon")/VLOOKUP("USD",'Exchange Rates'!$B:$C,2,0))/1000000000</f>
        <v>0</v>
      </c>
      <c r="R14" s="276">
        <f>(SUMIFS('Bilateral Assistance, MAIN DATA'!$P:$P,'Bilateral Assistance, MAIN DATA'!$B:$B,'Comm. per Month (Heavy Weapons)'!$B14,'Bilateral Assistance, MAIN DATA'!$AG:$AG,1,'Bilateral Assistance, MAIN DATA'!$AH:$AH,'Comm. per Month (Heavy Weapons)'!R$11, 'Bilateral Assistance, MAIN DATA'!$J:$J,"Heavy weapon")/VLOOKUP("USD",'Exchange Rates'!$B:$C,2,0))/1000000000</f>
        <v>0</v>
      </c>
      <c r="S14" s="138">
        <f t="shared" ref="S14:S55" si="0">SUM(E14:Q14)</f>
        <v>0</v>
      </c>
    </row>
    <row r="15" spans="1:19" ht="15.95" customHeight="1">
      <c r="A15" s="5"/>
      <c r="B15" s="24" t="s">
        <v>558</v>
      </c>
      <c r="C15" s="297">
        <v>1</v>
      </c>
      <c r="D15" s="297">
        <v>0</v>
      </c>
      <c r="E15" s="276">
        <f>(SUMIFS('Bilateral Assistance, MAIN DATA'!$P:$P,'Bilateral Assistance, MAIN DATA'!$B:$B,'Comm. per Month (Heavy Weapons)'!$B15,'Bilateral Assistance, MAIN DATA'!$AG:$AG,1,'Bilateral Assistance, MAIN DATA'!$AH:$AH,'Comm. per Month (Heavy Weapons)'!E$11, 'Bilateral Assistance, MAIN DATA'!$J:$J,"Heavy weapon")/VLOOKUP("USD",'Exchange Rates'!$B:$C,2,0))/1000000000</f>
        <v>0</v>
      </c>
      <c r="F15" s="276">
        <f>(SUMIFS('Bilateral Assistance, MAIN DATA'!$P:$P,'Bilateral Assistance, MAIN DATA'!$B:$B,'Comm. per Month (Heavy Weapons)'!$B15,'Bilateral Assistance, MAIN DATA'!$AG:$AG,1,'Bilateral Assistance, MAIN DATA'!$AH:$AH,'Comm. per Month (Heavy Weapons)'!F$11, 'Bilateral Assistance, MAIN DATA'!$J:$J,"Heavy weapon")/VLOOKUP("USD",'Exchange Rates'!$B:$C,2,0))/1000000000</f>
        <v>0</v>
      </c>
      <c r="G15" s="276">
        <f>(SUMIFS('Bilateral Assistance, MAIN DATA'!$P:$P,'Bilateral Assistance, MAIN DATA'!$B:$B,'Comm. per Month (Heavy Weapons)'!$B15,'Bilateral Assistance, MAIN DATA'!$AG:$AG,1,'Bilateral Assistance, MAIN DATA'!$AH:$AH,'Comm. per Month (Heavy Weapons)'!G$11, 'Bilateral Assistance, MAIN DATA'!$J:$J,"Heavy weapon")/VLOOKUP("USD",'Exchange Rates'!$B:$C,2,0))/1000000000</f>
        <v>0</v>
      </c>
      <c r="H15" s="276">
        <f>(SUMIFS('Bilateral Assistance, MAIN DATA'!$P:$P,'Bilateral Assistance, MAIN DATA'!$B:$B,'Comm. per Month (Heavy Weapons)'!$B15,'Bilateral Assistance, MAIN DATA'!$AG:$AG,1,'Bilateral Assistance, MAIN DATA'!$AH:$AH,'Comm. per Month (Heavy Weapons)'!H$11, 'Bilateral Assistance, MAIN DATA'!$J:$J,"Heavy weapon")/VLOOKUP("USD",'Exchange Rates'!$B:$C,2,0))/1000000000</f>
        <v>0</v>
      </c>
      <c r="I15" s="276">
        <f>(SUMIFS('Bilateral Assistance, MAIN DATA'!$P:$P,'Bilateral Assistance, MAIN DATA'!$B:$B,'Comm. per Month (Heavy Weapons)'!$B15,'Bilateral Assistance, MAIN DATA'!$AG:$AG,1,'Bilateral Assistance, MAIN DATA'!$AH:$AH,'Comm. per Month (Heavy Weapons)'!I$11, 'Bilateral Assistance, MAIN DATA'!$J:$J,"Heavy weapon")/VLOOKUP("USD",'Exchange Rates'!$B:$C,2,0))/1000000000</f>
        <v>0</v>
      </c>
      <c r="J15" s="276">
        <f>(SUMIFS('Bilateral Assistance, MAIN DATA'!$P:$P,'Bilateral Assistance, MAIN DATA'!$B:$B,'Comm. per Month (Heavy Weapons)'!$B15,'Bilateral Assistance, MAIN DATA'!$AG:$AG,1,'Bilateral Assistance, MAIN DATA'!$AH:$AH,'Comm. per Month (Heavy Weapons)'!J$11, 'Bilateral Assistance, MAIN DATA'!$J:$J,"Heavy weapon")/VLOOKUP("USD",'Exchange Rates'!$B:$C,2,0))/1000000000</f>
        <v>0</v>
      </c>
      <c r="K15" s="276">
        <f>(SUMIFS('Bilateral Assistance, MAIN DATA'!$P:$P,'Bilateral Assistance, MAIN DATA'!$B:$B,'Comm. per Month (Heavy Weapons)'!$B15,'Bilateral Assistance, MAIN DATA'!$AG:$AG,1,'Bilateral Assistance, MAIN DATA'!$AH:$AH,'Comm. per Month (Heavy Weapons)'!K$11, 'Bilateral Assistance, MAIN DATA'!$J:$J,"Heavy weapon")/VLOOKUP("USD",'Exchange Rates'!$B:$C,2,0))/1000000000</f>
        <v>0</v>
      </c>
      <c r="L15" s="276">
        <f>(SUMIFS('Bilateral Assistance, MAIN DATA'!$P:$P,'Bilateral Assistance, MAIN DATA'!$B:$B,'Comm. per Month (Heavy Weapons)'!$B15,'Bilateral Assistance, MAIN DATA'!$AG:$AG,1,'Bilateral Assistance, MAIN DATA'!$AH:$AH,'Comm. per Month (Heavy Weapons)'!L$11, 'Bilateral Assistance, MAIN DATA'!$J:$J,"Heavy weapon")/VLOOKUP("USD",'Exchange Rates'!$B:$C,2,0))/1000000000</f>
        <v>0</v>
      </c>
      <c r="M15" s="276">
        <f>(SUMIFS('Bilateral Assistance, MAIN DATA'!$P:$P,'Bilateral Assistance, MAIN DATA'!$B:$B,'Comm. per Month (Heavy Weapons)'!$B15,'Bilateral Assistance, MAIN DATA'!$AG:$AG,1,'Bilateral Assistance, MAIN DATA'!$AH:$AH,'Comm. per Month (Heavy Weapons)'!M$11, 'Bilateral Assistance, MAIN DATA'!$J:$J,"Heavy weapon")/VLOOKUP("USD",'Exchange Rates'!$B:$C,2,0))/1000000000</f>
        <v>0</v>
      </c>
      <c r="N15" s="276">
        <f>(SUMIFS('Bilateral Assistance, MAIN DATA'!$P:$P,'Bilateral Assistance, MAIN DATA'!$B:$B,'Comm. per Month (Heavy Weapons)'!$B15,'Bilateral Assistance, MAIN DATA'!$AG:$AG,1,'Bilateral Assistance, MAIN DATA'!$AH:$AH,'Comm. per Month (Heavy Weapons)'!N$11, 'Bilateral Assistance, MAIN DATA'!$J:$J,"Heavy weapon")/VLOOKUP("USD",'Exchange Rates'!$B:$C,2,0))/1000000000</f>
        <v>0</v>
      </c>
      <c r="O15" s="276">
        <f>(SUMIFS('Bilateral Assistance, MAIN DATA'!$P:$P,'Bilateral Assistance, MAIN DATA'!$B:$B,'Comm. per Month (Heavy Weapons)'!$B15,'Bilateral Assistance, MAIN DATA'!$AG:$AG,1,'Bilateral Assistance, MAIN DATA'!$AH:$AH,'Comm. per Month (Heavy Weapons)'!O$11, 'Bilateral Assistance, MAIN DATA'!$J:$J,"Heavy weapon")/VLOOKUP("USD",'Exchange Rates'!$B:$C,2,0))/1000000000</f>
        <v>0</v>
      </c>
      <c r="P15" s="276">
        <f>(SUMIFS('Bilateral Assistance, MAIN DATA'!$P:$P,'Bilateral Assistance, MAIN DATA'!$B:$B,'Comm. per Month (Heavy Weapons)'!$B15,'Bilateral Assistance, MAIN DATA'!$AG:$AG,1,'Bilateral Assistance, MAIN DATA'!$AH:$AH,'Comm. per Month (Heavy Weapons)'!P$11, 'Bilateral Assistance, MAIN DATA'!$J:$J,"Heavy weapon")/VLOOKUP("USD",'Exchange Rates'!$B:$C,2,0))/1000000000</f>
        <v>0</v>
      </c>
      <c r="Q15" s="276">
        <f>(SUMIFS('Bilateral Assistance, MAIN DATA'!$P:$P,'Bilateral Assistance, MAIN DATA'!$B:$B,'Comm. per Month (Heavy Weapons)'!$B15,'Bilateral Assistance, MAIN DATA'!$AG:$AG,1,'Bilateral Assistance, MAIN DATA'!$AH:$AH,'Comm. per Month (Heavy Weapons)'!Q$11, 'Bilateral Assistance, MAIN DATA'!$J:$J,"Heavy weapon")/VLOOKUP("USD",'Exchange Rates'!$B:$C,2,0))/1000000000</f>
        <v>3.9241810820758186E-2</v>
      </c>
      <c r="R15" s="276">
        <f>(SUMIFS('Bilateral Assistance, MAIN DATA'!$P:$P,'Bilateral Assistance, MAIN DATA'!$B:$B,'Comm. per Month (Heavy Weapons)'!$B15,'Bilateral Assistance, MAIN DATA'!$AG:$AG,1,'Bilateral Assistance, MAIN DATA'!$AH:$AH,'Comm. per Month (Heavy Weapons)'!R$11, 'Bilateral Assistance, MAIN DATA'!$J:$J,"Heavy weapon")/VLOOKUP("USD",'Exchange Rates'!$B:$C,2,0))/1000000000</f>
        <v>0</v>
      </c>
      <c r="S15" s="138">
        <f t="shared" si="0"/>
        <v>3.9241810820758186E-2</v>
      </c>
    </row>
    <row r="16" spans="1:19" ht="15.95" customHeight="1">
      <c r="A16" s="5"/>
      <c r="B16" s="24" t="s">
        <v>673</v>
      </c>
      <c r="C16" s="297">
        <v>1</v>
      </c>
      <c r="D16" s="297">
        <v>0</v>
      </c>
      <c r="E16" s="276">
        <f>(SUMIFS('Bilateral Assistance, MAIN DATA'!$P:$P,'Bilateral Assistance, MAIN DATA'!$B:$B,'Comm. per Month (Heavy Weapons)'!$B16,'Bilateral Assistance, MAIN DATA'!$AG:$AG,1,'Bilateral Assistance, MAIN DATA'!$AH:$AH,'Comm. per Month (Heavy Weapons)'!E$11, 'Bilateral Assistance, MAIN DATA'!$J:$J,"Heavy weapon")/VLOOKUP("USD",'Exchange Rates'!$B:$C,2,0))/1000000000</f>
        <v>0</v>
      </c>
      <c r="F16" s="276">
        <f>(SUMIFS('Bilateral Assistance, MAIN DATA'!$P:$P,'Bilateral Assistance, MAIN DATA'!$B:$B,'Comm. per Month (Heavy Weapons)'!$B16,'Bilateral Assistance, MAIN DATA'!$AG:$AG,1,'Bilateral Assistance, MAIN DATA'!$AH:$AH,'Comm. per Month (Heavy Weapons)'!F$11, 'Bilateral Assistance, MAIN DATA'!$J:$J,"Heavy weapon")/VLOOKUP("USD",'Exchange Rates'!$B:$C,2,0))/1000000000</f>
        <v>0</v>
      </c>
      <c r="G16" s="276">
        <f>(SUMIFS('Bilateral Assistance, MAIN DATA'!$P:$P,'Bilateral Assistance, MAIN DATA'!$B:$B,'Comm. per Month (Heavy Weapons)'!$B16,'Bilateral Assistance, MAIN DATA'!$AG:$AG,1,'Bilateral Assistance, MAIN DATA'!$AH:$AH,'Comm. per Month (Heavy Weapons)'!G$11, 'Bilateral Assistance, MAIN DATA'!$J:$J,"Heavy weapon")/VLOOKUP("USD",'Exchange Rates'!$B:$C,2,0))/1000000000</f>
        <v>0</v>
      </c>
      <c r="H16" s="276">
        <f>(SUMIFS('Bilateral Assistance, MAIN DATA'!$P:$P,'Bilateral Assistance, MAIN DATA'!$B:$B,'Comm. per Month (Heavy Weapons)'!$B16,'Bilateral Assistance, MAIN DATA'!$AG:$AG,1,'Bilateral Assistance, MAIN DATA'!$AH:$AH,'Comm. per Month (Heavy Weapons)'!H$11, 'Bilateral Assistance, MAIN DATA'!$J:$J,"Heavy weapon")/VLOOKUP("USD",'Exchange Rates'!$B:$C,2,0))/1000000000</f>
        <v>0</v>
      </c>
      <c r="I16" s="276">
        <f>(SUMIFS('Bilateral Assistance, MAIN DATA'!$P:$P,'Bilateral Assistance, MAIN DATA'!$B:$B,'Comm. per Month (Heavy Weapons)'!$B16,'Bilateral Assistance, MAIN DATA'!$AG:$AG,1,'Bilateral Assistance, MAIN DATA'!$AH:$AH,'Comm. per Month (Heavy Weapons)'!I$11, 'Bilateral Assistance, MAIN DATA'!$J:$J,"Heavy weapon")/VLOOKUP("USD",'Exchange Rates'!$B:$C,2,0))/1000000000</f>
        <v>0</v>
      </c>
      <c r="J16" s="276">
        <f>(SUMIFS('Bilateral Assistance, MAIN DATA'!$P:$P,'Bilateral Assistance, MAIN DATA'!$B:$B,'Comm. per Month (Heavy Weapons)'!$B16,'Bilateral Assistance, MAIN DATA'!$AG:$AG,1,'Bilateral Assistance, MAIN DATA'!$AH:$AH,'Comm. per Month (Heavy Weapons)'!J$11, 'Bilateral Assistance, MAIN DATA'!$J:$J,"Heavy weapon")/VLOOKUP("USD",'Exchange Rates'!$B:$C,2,0))/1000000000</f>
        <v>0</v>
      </c>
      <c r="K16" s="276">
        <f>(SUMIFS('Bilateral Assistance, MAIN DATA'!$P:$P,'Bilateral Assistance, MAIN DATA'!$B:$B,'Comm. per Month (Heavy Weapons)'!$B16,'Bilateral Assistance, MAIN DATA'!$AG:$AG,1,'Bilateral Assistance, MAIN DATA'!$AH:$AH,'Comm. per Month (Heavy Weapons)'!K$11, 'Bilateral Assistance, MAIN DATA'!$J:$J,"Heavy weapon")/VLOOKUP("USD",'Exchange Rates'!$B:$C,2,0))/1000000000</f>
        <v>0</v>
      </c>
      <c r="L16" s="276">
        <f>(SUMIFS('Bilateral Assistance, MAIN DATA'!$P:$P,'Bilateral Assistance, MAIN DATA'!$B:$B,'Comm. per Month (Heavy Weapons)'!$B16,'Bilateral Assistance, MAIN DATA'!$AG:$AG,1,'Bilateral Assistance, MAIN DATA'!$AH:$AH,'Comm. per Month (Heavy Weapons)'!L$11, 'Bilateral Assistance, MAIN DATA'!$J:$J,"Heavy weapon")/VLOOKUP("USD",'Exchange Rates'!$B:$C,2,0))/1000000000</f>
        <v>0</v>
      </c>
      <c r="M16" s="276">
        <f>(SUMIFS('Bilateral Assistance, MAIN DATA'!$P:$P,'Bilateral Assistance, MAIN DATA'!$B:$B,'Comm. per Month (Heavy Weapons)'!$B16,'Bilateral Assistance, MAIN DATA'!$AG:$AG,1,'Bilateral Assistance, MAIN DATA'!$AH:$AH,'Comm. per Month (Heavy Weapons)'!M$11, 'Bilateral Assistance, MAIN DATA'!$J:$J,"Heavy weapon")/VLOOKUP("USD",'Exchange Rates'!$B:$C,2,0))/1000000000</f>
        <v>0</v>
      </c>
      <c r="N16" s="276">
        <f>(SUMIFS('Bilateral Assistance, MAIN DATA'!$P:$P,'Bilateral Assistance, MAIN DATA'!$B:$B,'Comm. per Month (Heavy Weapons)'!$B16,'Bilateral Assistance, MAIN DATA'!$AG:$AG,1,'Bilateral Assistance, MAIN DATA'!$AH:$AH,'Comm. per Month (Heavy Weapons)'!N$11, 'Bilateral Assistance, MAIN DATA'!$J:$J,"Heavy weapon")/VLOOKUP("USD",'Exchange Rates'!$B:$C,2,0))/1000000000</f>
        <v>0</v>
      </c>
      <c r="O16" s="276">
        <f>(SUMIFS('Bilateral Assistance, MAIN DATA'!$P:$P,'Bilateral Assistance, MAIN DATA'!$B:$B,'Comm. per Month (Heavy Weapons)'!$B16,'Bilateral Assistance, MAIN DATA'!$AG:$AG,1,'Bilateral Assistance, MAIN DATA'!$AH:$AH,'Comm. per Month (Heavy Weapons)'!O$11, 'Bilateral Assistance, MAIN DATA'!$J:$J,"Heavy weapon")/VLOOKUP("USD",'Exchange Rates'!$B:$C,2,0))/1000000000</f>
        <v>0</v>
      </c>
      <c r="P16" s="276">
        <f>(SUMIFS('Bilateral Assistance, MAIN DATA'!$P:$P,'Bilateral Assistance, MAIN DATA'!$B:$B,'Comm. per Month (Heavy Weapons)'!$B16,'Bilateral Assistance, MAIN DATA'!$AG:$AG,1,'Bilateral Assistance, MAIN DATA'!$AH:$AH,'Comm. per Month (Heavy Weapons)'!P$11, 'Bilateral Assistance, MAIN DATA'!$J:$J,"Heavy weapon")/VLOOKUP("USD",'Exchange Rates'!$B:$C,2,0))/1000000000</f>
        <v>0</v>
      </c>
      <c r="Q16" s="276">
        <f>(SUMIFS('Bilateral Assistance, MAIN DATA'!$P:$P,'Bilateral Assistance, MAIN DATA'!$B:$B,'Comm. per Month (Heavy Weapons)'!$B16,'Bilateral Assistance, MAIN DATA'!$AG:$AG,1,'Bilateral Assistance, MAIN DATA'!$AH:$AH,'Comm. per Month (Heavy Weapons)'!Q$11, 'Bilateral Assistance, MAIN DATA'!$J:$J,"Heavy weapon")/VLOOKUP("USD",'Exchange Rates'!$B:$C,2,0))/1000000000</f>
        <v>0</v>
      </c>
      <c r="R16" s="276">
        <f>(SUMIFS('Bilateral Assistance, MAIN DATA'!$P:$P,'Bilateral Assistance, MAIN DATA'!$B:$B,'Comm. per Month (Heavy Weapons)'!$B16,'Bilateral Assistance, MAIN DATA'!$AG:$AG,1,'Bilateral Assistance, MAIN DATA'!$AH:$AH,'Comm. per Month (Heavy Weapons)'!R$11, 'Bilateral Assistance, MAIN DATA'!$J:$J,"Heavy weapon")/VLOOKUP("USD",'Exchange Rates'!$B:$C,2,0))/1000000000</f>
        <v>0</v>
      </c>
      <c r="S16" s="138">
        <f t="shared" si="0"/>
        <v>0</v>
      </c>
    </row>
    <row r="17" spans="1:19" ht="15.95" customHeight="1">
      <c r="A17" s="5"/>
      <c r="B17" s="24" t="s">
        <v>713</v>
      </c>
      <c r="C17" s="297">
        <v>0</v>
      </c>
      <c r="D17" s="297">
        <v>1</v>
      </c>
      <c r="E17" s="276">
        <f>(SUMIFS('Bilateral Assistance, MAIN DATA'!$P:$P,'Bilateral Assistance, MAIN DATA'!$B:$B,'Comm. per Month (Heavy Weapons)'!$B17,'Bilateral Assistance, MAIN DATA'!$AG:$AG,1,'Bilateral Assistance, MAIN DATA'!$AH:$AH,'Comm. per Month (Heavy Weapons)'!E$11, 'Bilateral Assistance, MAIN DATA'!$J:$J,"Heavy weapon")/VLOOKUP("USD",'Exchange Rates'!$B:$C,2,0))/1000000000</f>
        <v>0</v>
      </c>
      <c r="F17" s="276">
        <f>(SUMIFS('Bilateral Assistance, MAIN DATA'!$P:$P,'Bilateral Assistance, MAIN DATA'!$B:$B,'Comm. per Month (Heavy Weapons)'!$B17,'Bilateral Assistance, MAIN DATA'!$AG:$AG,1,'Bilateral Assistance, MAIN DATA'!$AH:$AH,'Comm. per Month (Heavy Weapons)'!F$11, 'Bilateral Assistance, MAIN DATA'!$J:$J,"Heavy weapon")/VLOOKUP("USD",'Exchange Rates'!$B:$C,2,0))/1000000000</f>
        <v>0</v>
      </c>
      <c r="G17" s="276">
        <f>(SUMIFS('Bilateral Assistance, MAIN DATA'!$P:$P,'Bilateral Assistance, MAIN DATA'!$B:$B,'Comm. per Month (Heavy Weapons)'!$B17,'Bilateral Assistance, MAIN DATA'!$AG:$AG,1,'Bilateral Assistance, MAIN DATA'!$AH:$AH,'Comm. per Month (Heavy Weapons)'!G$11, 'Bilateral Assistance, MAIN DATA'!$J:$J,"Heavy weapon")/VLOOKUP("USD",'Exchange Rates'!$B:$C,2,0))/1000000000</f>
        <v>0</v>
      </c>
      <c r="H17" s="276">
        <f>(SUMIFS('Bilateral Assistance, MAIN DATA'!$P:$P,'Bilateral Assistance, MAIN DATA'!$B:$B,'Comm. per Month (Heavy Weapons)'!$B17,'Bilateral Assistance, MAIN DATA'!$AG:$AG,1,'Bilateral Assistance, MAIN DATA'!$AH:$AH,'Comm. per Month (Heavy Weapons)'!H$11, 'Bilateral Assistance, MAIN DATA'!$J:$J,"Heavy weapon")/VLOOKUP("USD",'Exchange Rates'!$B:$C,2,0))/1000000000</f>
        <v>2.1604711078395289E-2</v>
      </c>
      <c r="I17" s="276">
        <f>(SUMIFS('Bilateral Assistance, MAIN DATA'!$P:$P,'Bilateral Assistance, MAIN DATA'!$B:$B,'Comm. per Month (Heavy Weapons)'!$B17,'Bilateral Assistance, MAIN DATA'!$AG:$AG,1,'Bilateral Assistance, MAIN DATA'!$AH:$AH,'Comm. per Month (Heavy Weapons)'!I$11, 'Bilateral Assistance, MAIN DATA'!$J:$J,"Heavy weapon")/VLOOKUP("USD",'Exchange Rates'!$B:$C,2,0))/1000000000</f>
        <v>0</v>
      </c>
      <c r="J17" s="276">
        <f>(SUMIFS('Bilateral Assistance, MAIN DATA'!$P:$P,'Bilateral Assistance, MAIN DATA'!$B:$B,'Comm. per Month (Heavy Weapons)'!$B17,'Bilateral Assistance, MAIN DATA'!$AG:$AG,1,'Bilateral Assistance, MAIN DATA'!$AH:$AH,'Comm. per Month (Heavy Weapons)'!J$11, 'Bilateral Assistance, MAIN DATA'!$J:$J,"Heavy weapon")/VLOOKUP("USD",'Exchange Rates'!$B:$C,2,0))/1000000000</f>
        <v>0.15597797860047846</v>
      </c>
      <c r="K17" s="276">
        <f>(SUMIFS('Bilateral Assistance, MAIN DATA'!$P:$P,'Bilateral Assistance, MAIN DATA'!$B:$B,'Comm. per Month (Heavy Weapons)'!$B17,'Bilateral Assistance, MAIN DATA'!$AG:$AG,1,'Bilateral Assistance, MAIN DATA'!$AH:$AH,'Comm. per Month (Heavy Weapons)'!K$11, 'Bilateral Assistance, MAIN DATA'!$J:$J,"Heavy weapon")/VLOOKUP("USD",'Exchange Rates'!$B:$C,2,0))/1000000000</f>
        <v>0</v>
      </c>
      <c r="L17" s="276">
        <f>(SUMIFS('Bilateral Assistance, MAIN DATA'!$P:$P,'Bilateral Assistance, MAIN DATA'!$B:$B,'Comm. per Month (Heavy Weapons)'!$B17,'Bilateral Assistance, MAIN DATA'!$AG:$AG,1,'Bilateral Assistance, MAIN DATA'!$AH:$AH,'Comm. per Month (Heavy Weapons)'!L$11, 'Bilateral Assistance, MAIN DATA'!$J:$J,"Heavy weapon")/VLOOKUP("USD",'Exchange Rates'!$B:$C,2,0))/1000000000</f>
        <v>0</v>
      </c>
      <c r="M17" s="276">
        <f>(SUMIFS('Bilateral Assistance, MAIN DATA'!$P:$P,'Bilateral Assistance, MAIN DATA'!$B:$B,'Comm. per Month (Heavy Weapons)'!$B17,'Bilateral Assistance, MAIN DATA'!$AG:$AG,1,'Bilateral Assistance, MAIN DATA'!$AH:$AH,'Comm. per Month (Heavy Weapons)'!M$11, 'Bilateral Assistance, MAIN DATA'!$J:$J,"Heavy weapon")/VLOOKUP("USD",'Exchange Rates'!$B:$C,2,0))/1000000000</f>
        <v>0</v>
      </c>
      <c r="N17" s="276">
        <f>(SUMIFS('Bilateral Assistance, MAIN DATA'!$P:$P,'Bilateral Assistance, MAIN DATA'!$B:$B,'Comm. per Month (Heavy Weapons)'!$B17,'Bilateral Assistance, MAIN DATA'!$AG:$AG,1,'Bilateral Assistance, MAIN DATA'!$AH:$AH,'Comm. per Month (Heavy Weapons)'!N$11, 'Bilateral Assistance, MAIN DATA'!$J:$J,"Heavy weapon")/VLOOKUP("USD",'Exchange Rates'!$B:$C,2,0))/1000000000</f>
        <v>0</v>
      </c>
      <c r="O17" s="276">
        <f>(SUMIFS('Bilateral Assistance, MAIN DATA'!$P:$P,'Bilateral Assistance, MAIN DATA'!$B:$B,'Comm. per Month (Heavy Weapons)'!$B17,'Bilateral Assistance, MAIN DATA'!$AG:$AG,1,'Bilateral Assistance, MAIN DATA'!$AH:$AH,'Comm. per Month (Heavy Weapons)'!O$11, 'Bilateral Assistance, MAIN DATA'!$J:$J,"Heavy weapon")/VLOOKUP("USD",'Exchange Rates'!$B:$C,2,0))/1000000000</f>
        <v>4.6006624953993373E-2</v>
      </c>
      <c r="P17" s="276">
        <f>(SUMIFS('Bilateral Assistance, MAIN DATA'!$P:$P,'Bilateral Assistance, MAIN DATA'!$B:$B,'Comm. per Month (Heavy Weapons)'!$B17,'Bilateral Assistance, MAIN DATA'!$AG:$AG,1,'Bilateral Assistance, MAIN DATA'!$AH:$AH,'Comm. per Month (Heavy Weapons)'!P$11, 'Bilateral Assistance, MAIN DATA'!$J:$J,"Heavy weapon")/VLOOKUP("USD",'Exchange Rates'!$B:$C,2,0))/1000000000</f>
        <v>0</v>
      </c>
      <c r="Q17" s="276">
        <f>(SUMIFS('Bilateral Assistance, MAIN DATA'!$P:$P,'Bilateral Assistance, MAIN DATA'!$B:$B,'Comm. per Month (Heavy Weapons)'!$B17,'Bilateral Assistance, MAIN DATA'!$AG:$AG,1,'Bilateral Assistance, MAIN DATA'!$AH:$AH,'Comm. per Month (Heavy Weapons)'!Q$11, 'Bilateral Assistance, MAIN DATA'!$J:$J,"Heavy weapon")/VLOOKUP("USD",'Exchange Rates'!$B:$C,2,0))/1000000000</f>
        <v>7.2278518334741484E-2</v>
      </c>
      <c r="R17" s="276">
        <f>(SUMIFS('Bilateral Assistance, MAIN DATA'!$P:$P,'Bilateral Assistance, MAIN DATA'!$B:$B,'Comm. per Month (Heavy Weapons)'!$B17,'Bilateral Assistance, MAIN DATA'!$AG:$AG,1,'Bilateral Assistance, MAIN DATA'!$AH:$AH,'Comm. per Month (Heavy Weapons)'!R$11, 'Bilateral Assistance, MAIN DATA'!$J:$J,"Heavy weapon")/VLOOKUP("USD",'Exchange Rates'!$B:$C,2,0))/1000000000</f>
        <v>1.2791933112587583E-2</v>
      </c>
      <c r="S17" s="138">
        <f t="shared" si="0"/>
        <v>0.2958678329676086</v>
      </c>
    </row>
    <row r="18" spans="1:19" ht="15.95" customHeight="1">
      <c r="A18" s="5"/>
      <c r="B18" s="24" t="s">
        <v>918</v>
      </c>
      <c r="C18" s="297">
        <v>1</v>
      </c>
      <c r="D18" s="297">
        <v>0</v>
      </c>
      <c r="E18" s="276">
        <f>(SUMIFS('Bilateral Assistance, MAIN DATA'!$P:$P,'Bilateral Assistance, MAIN DATA'!$B:$B,'Comm. per Month (Heavy Weapons)'!$B18,'Bilateral Assistance, MAIN DATA'!$AG:$AG,1,'Bilateral Assistance, MAIN DATA'!$AH:$AH,'Comm. per Month (Heavy Weapons)'!E$11, 'Bilateral Assistance, MAIN DATA'!$J:$J,"Heavy weapon")/VLOOKUP("USD",'Exchange Rates'!$B:$C,2,0))/1000000000</f>
        <v>0</v>
      </c>
      <c r="F18" s="276">
        <f>(SUMIFS('Bilateral Assistance, MAIN DATA'!$P:$P,'Bilateral Assistance, MAIN DATA'!$B:$B,'Comm. per Month (Heavy Weapons)'!$B18,'Bilateral Assistance, MAIN DATA'!$AG:$AG,1,'Bilateral Assistance, MAIN DATA'!$AH:$AH,'Comm. per Month (Heavy Weapons)'!F$11, 'Bilateral Assistance, MAIN DATA'!$J:$J,"Heavy weapon")/VLOOKUP("USD",'Exchange Rates'!$B:$C,2,0))/1000000000</f>
        <v>0</v>
      </c>
      <c r="G18" s="276">
        <f>(SUMIFS('Bilateral Assistance, MAIN DATA'!$P:$P,'Bilateral Assistance, MAIN DATA'!$B:$B,'Comm. per Month (Heavy Weapons)'!$B18,'Bilateral Assistance, MAIN DATA'!$AG:$AG,1,'Bilateral Assistance, MAIN DATA'!$AH:$AH,'Comm. per Month (Heavy Weapons)'!G$11, 'Bilateral Assistance, MAIN DATA'!$J:$J,"Heavy weapon")/VLOOKUP("USD",'Exchange Rates'!$B:$C,2,0))/1000000000</f>
        <v>0</v>
      </c>
      <c r="H18" s="276">
        <f>(SUMIFS('Bilateral Assistance, MAIN DATA'!$P:$P,'Bilateral Assistance, MAIN DATA'!$B:$B,'Comm. per Month (Heavy Weapons)'!$B18,'Bilateral Assistance, MAIN DATA'!$AG:$AG,1,'Bilateral Assistance, MAIN DATA'!$AH:$AH,'Comm. per Month (Heavy Weapons)'!H$11, 'Bilateral Assistance, MAIN DATA'!$J:$J,"Heavy weapon")/VLOOKUP("USD",'Exchange Rates'!$B:$C,2,0))/1000000000</f>
        <v>0</v>
      </c>
      <c r="I18" s="276">
        <f>(SUMIFS('Bilateral Assistance, MAIN DATA'!$P:$P,'Bilateral Assistance, MAIN DATA'!$B:$B,'Comm. per Month (Heavy Weapons)'!$B18,'Bilateral Assistance, MAIN DATA'!$AG:$AG,1,'Bilateral Assistance, MAIN DATA'!$AH:$AH,'Comm. per Month (Heavy Weapons)'!I$11, 'Bilateral Assistance, MAIN DATA'!$J:$J,"Heavy weapon")/VLOOKUP("USD",'Exchange Rates'!$B:$C,2,0))/1000000000</f>
        <v>0</v>
      </c>
      <c r="J18" s="276">
        <f>(SUMIFS('Bilateral Assistance, MAIN DATA'!$P:$P,'Bilateral Assistance, MAIN DATA'!$B:$B,'Comm. per Month (Heavy Weapons)'!$B18,'Bilateral Assistance, MAIN DATA'!$AG:$AG,1,'Bilateral Assistance, MAIN DATA'!$AH:$AH,'Comm. per Month (Heavy Weapons)'!J$11, 'Bilateral Assistance, MAIN DATA'!$J:$J,"Heavy weapon")/VLOOKUP("USD",'Exchange Rates'!$B:$C,2,0))/1000000000</f>
        <v>0</v>
      </c>
      <c r="K18" s="276">
        <f>(SUMIFS('Bilateral Assistance, MAIN DATA'!$P:$P,'Bilateral Assistance, MAIN DATA'!$B:$B,'Comm. per Month (Heavy Weapons)'!$B18,'Bilateral Assistance, MAIN DATA'!$AG:$AG,1,'Bilateral Assistance, MAIN DATA'!$AH:$AH,'Comm. per Month (Heavy Weapons)'!K$11, 'Bilateral Assistance, MAIN DATA'!$J:$J,"Heavy weapon")/VLOOKUP("USD",'Exchange Rates'!$B:$C,2,0))/1000000000</f>
        <v>0</v>
      </c>
      <c r="L18" s="276">
        <f>(SUMIFS('Bilateral Assistance, MAIN DATA'!$P:$P,'Bilateral Assistance, MAIN DATA'!$B:$B,'Comm. per Month (Heavy Weapons)'!$B18,'Bilateral Assistance, MAIN DATA'!$AG:$AG,1,'Bilateral Assistance, MAIN DATA'!$AH:$AH,'Comm. per Month (Heavy Weapons)'!L$11, 'Bilateral Assistance, MAIN DATA'!$J:$J,"Heavy weapon")/VLOOKUP("USD",'Exchange Rates'!$B:$C,2,0))/1000000000</f>
        <v>0</v>
      </c>
      <c r="M18" s="276">
        <f>(SUMIFS('Bilateral Assistance, MAIN DATA'!$P:$P,'Bilateral Assistance, MAIN DATA'!$B:$B,'Comm. per Month (Heavy Weapons)'!$B18,'Bilateral Assistance, MAIN DATA'!$AG:$AG,1,'Bilateral Assistance, MAIN DATA'!$AH:$AH,'Comm. per Month (Heavy Weapons)'!M$11, 'Bilateral Assistance, MAIN DATA'!$J:$J,"Heavy weapon")/VLOOKUP("USD",'Exchange Rates'!$B:$C,2,0))/1000000000</f>
        <v>0</v>
      </c>
      <c r="N18" s="276">
        <f>(SUMIFS('Bilateral Assistance, MAIN DATA'!$P:$P,'Bilateral Assistance, MAIN DATA'!$B:$B,'Comm. per Month (Heavy Weapons)'!$B18,'Bilateral Assistance, MAIN DATA'!$AG:$AG,1,'Bilateral Assistance, MAIN DATA'!$AH:$AH,'Comm. per Month (Heavy Weapons)'!N$11, 'Bilateral Assistance, MAIN DATA'!$J:$J,"Heavy weapon")/VLOOKUP("USD",'Exchange Rates'!$B:$C,2,0))/1000000000</f>
        <v>0</v>
      </c>
      <c r="O18" s="276">
        <f>(SUMIFS('Bilateral Assistance, MAIN DATA'!$P:$P,'Bilateral Assistance, MAIN DATA'!$B:$B,'Comm. per Month (Heavy Weapons)'!$B18,'Bilateral Assistance, MAIN DATA'!$AG:$AG,1,'Bilateral Assistance, MAIN DATA'!$AH:$AH,'Comm. per Month (Heavy Weapons)'!O$11, 'Bilateral Assistance, MAIN DATA'!$J:$J,"Heavy weapon")/VLOOKUP("USD",'Exchange Rates'!$B:$C,2,0))/1000000000</f>
        <v>0</v>
      </c>
      <c r="P18" s="276">
        <f>(SUMIFS('Bilateral Assistance, MAIN DATA'!$P:$P,'Bilateral Assistance, MAIN DATA'!$B:$B,'Comm. per Month (Heavy Weapons)'!$B18,'Bilateral Assistance, MAIN DATA'!$AG:$AG,1,'Bilateral Assistance, MAIN DATA'!$AH:$AH,'Comm. per Month (Heavy Weapons)'!P$11, 'Bilateral Assistance, MAIN DATA'!$J:$J,"Heavy weapon")/VLOOKUP("USD",'Exchange Rates'!$B:$C,2,0))/1000000000</f>
        <v>0</v>
      </c>
      <c r="Q18" s="276">
        <f>(SUMIFS('Bilateral Assistance, MAIN DATA'!$P:$P,'Bilateral Assistance, MAIN DATA'!$B:$B,'Comm. per Month (Heavy Weapons)'!$B18,'Bilateral Assistance, MAIN DATA'!$AG:$AG,1,'Bilateral Assistance, MAIN DATA'!$AH:$AH,'Comm. per Month (Heavy Weapons)'!Q$11, 'Bilateral Assistance, MAIN DATA'!$J:$J,"Heavy weapon")/VLOOKUP("USD",'Exchange Rates'!$B:$C,2,0))/1000000000</f>
        <v>0</v>
      </c>
      <c r="R18" s="276">
        <f>(SUMIFS('Bilateral Assistance, MAIN DATA'!$P:$P,'Bilateral Assistance, MAIN DATA'!$B:$B,'Comm. per Month (Heavy Weapons)'!$B18,'Bilateral Assistance, MAIN DATA'!$AG:$AG,1,'Bilateral Assistance, MAIN DATA'!$AH:$AH,'Comm. per Month (Heavy Weapons)'!R$11, 'Bilateral Assistance, MAIN DATA'!$J:$J,"Heavy weapon")/VLOOKUP("USD",'Exchange Rates'!$B:$C,2,0))/1000000000</f>
        <v>0</v>
      </c>
      <c r="S18" s="138">
        <f t="shared" si="0"/>
        <v>0</v>
      </c>
    </row>
    <row r="19" spans="1:19" ht="15.95" customHeight="1">
      <c r="A19" s="5"/>
      <c r="B19" s="24" t="s">
        <v>981</v>
      </c>
      <c r="C19" s="297">
        <v>1</v>
      </c>
      <c r="D19" s="297">
        <v>0</v>
      </c>
      <c r="E19" s="276">
        <f>(SUMIFS('Bilateral Assistance, MAIN DATA'!$P:$P,'Bilateral Assistance, MAIN DATA'!$B:$B,'Comm. per Month (Heavy Weapons)'!$B19,'Bilateral Assistance, MAIN DATA'!$AG:$AG,1,'Bilateral Assistance, MAIN DATA'!$AH:$AH,'Comm. per Month (Heavy Weapons)'!E$11, 'Bilateral Assistance, MAIN DATA'!$J:$J,"Heavy weapon")/VLOOKUP("USD",'Exchange Rates'!$B:$C,2,0))/1000000000</f>
        <v>0</v>
      </c>
      <c r="F19" s="276">
        <f>(SUMIFS('Bilateral Assistance, MAIN DATA'!$P:$P,'Bilateral Assistance, MAIN DATA'!$B:$B,'Comm. per Month (Heavy Weapons)'!$B19,'Bilateral Assistance, MAIN DATA'!$AG:$AG,1,'Bilateral Assistance, MAIN DATA'!$AH:$AH,'Comm. per Month (Heavy Weapons)'!F$11, 'Bilateral Assistance, MAIN DATA'!$J:$J,"Heavy weapon")/VLOOKUP("USD",'Exchange Rates'!$B:$C,2,0))/1000000000</f>
        <v>0</v>
      </c>
      <c r="G19" s="276">
        <f>(SUMIFS('Bilateral Assistance, MAIN DATA'!$P:$P,'Bilateral Assistance, MAIN DATA'!$B:$B,'Comm. per Month (Heavy Weapons)'!$B19,'Bilateral Assistance, MAIN DATA'!$AG:$AG,1,'Bilateral Assistance, MAIN DATA'!$AH:$AH,'Comm. per Month (Heavy Weapons)'!G$11, 'Bilateral Assistance, MAIN DATA'!$J:$J,"Heavy weapon")/VLOOKUP("USD",'Exchange Rates'!$B:$C,2,0))/1000000000</f>
        <v>0</v>
      </c>
      <c r="H19" s="276">
        <f>(SUMIFS('Bilateral Assistance, MAIN DATA'!$P:$P,'Bilateral Assistance, MAIN DATA'!$B:$B,'Comm. per Month (Heavy Weapons)'!$B19,'Bilateral Assistance, MAIN DATA'!$AG:$AG,1,'Bilateral Assistance, MAIN DATA'!$AH:$AH,'Comm. per Month (Heavy Weapons)'!H$11, 'Bilateral Assistance, MAIN DATA'!$J:$J,"Heavy weapon")/VLOOKUP("USD",'Exchange Rates'!$B:$C,2,0))/1000000000</f>
        <v>0</v>
      </c>
      <c r="I19" s="276">
        <f>(SUMIFS('Bilateral Assistance, MAIN DATA'!$P:$P,'Bilateral Assistance, MAIN DATA'!$B:$B,'Comm. per Month (Heavy Weapons)'!$B19,'Bilateral Assistance, MAIN DATA'!$AG:$AG,1,'Bilateral Assistance, MAIN DATA'!$AH:$AH,'Comm. per Month (Heavy Weapons)'!I$11, 'Bilateral Assistance, MAIN DATA'!$J:$J,"Heavy weapon")/VLOOKUP("USD",'Exchange Rates'!$B:$C,2,0))/1000000000</f>
        <v>0</v>
      </c>
      <c r="J19" s="276">
        <f>(SUMIFS('Bilateral Assistance, MAIN DATA'!$P:$P,'Bilateral Assistance, MAIN DATA'!$B:$B,'Comm. per Month (Heavy Weapons)'!$B19,'Bilateral Assistance, MAIN DATA'!$AG:$AG,1,'Bilateral Assistance, MAIN DATA'!$AH:$AH,'Comm. per Month (Heavy Weapons)'!J$11, 'Bilateral Assistance, MAIN DATA'!$J:$J,"Heavy weapon")/VLOOKUP("USD",'Exchange Rates'!$B:$C,2,0))/1000000000</f>
        <v>0</v>
      </c>
      <c r="K19" s="276">
        <f>(SUMIFS('Bilateral Assistance, MAIN DATA'!$P:$P,'Bilateral Assistance, MAIN DATA'!$B:$B,'Comm. per Month (Heavy Weapons)'!$B19,'Bilateral Assistance, MAIN DATA'!$AG:$AG,1,'Bilateral Assistance, MAIN DATA'!$AH:$AH,'Comm. per Month (Heavy Weapons)'!K$11, 'Bilateral Assistance, MAIN DATA'!$J:$J,"Heavy weapon")/VLOOKUP("USD",'Exchange Rates'!$B:$C,2,0))/1000000000</f>
        <v>0</v>
      </c>
      <c r="L19" s="276">
        <f>(SUMIFS('Bilateral Assistance, MAIN DATA'!$P:$P,'Bilateral Assistance, MAIN DATA'!$B:$B,'Comm. per Month (Heavy Weapons)'!$B19,'Bilateral Assistance, MAIN DATA'!$AG:$AG,1,'Bilateral Assistance, MAIN DATA'!$AH:$AH,'Comm. per Month (Heavy Weapons)'!L$11, 'Bilateral Assistance, MAIN DATA'!$J:$J,"Heavy weapon")/VLOOKUP("USD",'Exchange Rates'!$B:$C,2,0))/1000000000</f>
        <v>0</v>
      </c>
      <c r="M19" s="276">
        <f>(SUMIFS('Bilateral Assistance, MAIN DATA'!$P:$P,'Bilateral Assistance, MAIN DATA'!$B:$B,'Comm. per Month (Heavy Weapons)'!$B19,'Bilateral Assistance, MAIN DATA'!$AG:$AG,1,'Bilateral Assistance, MAIN DATA'!$AH:$AH,'Comm. per Month (Heavy Weapons)'!M$11, 'Bilateral Assistance, MAIN DATA'!$J:$J,"Heavy weapon")/VLOOKUP("USD",'Exchange Rates'!$B:$C,2,0))/1000000000</f>
        <v>0</v>
      </c>
      <c r="N19" s="276">
        <f>(SUMIFS('Bilateral Assistance, MAIN DATA'!$P:$P,'Bilateral Assistance, MAIN DATA'!$B:$B,'Comm. per Month (Heavy Weapons)'!$B19,'Bilateral Assistance, MAIN DATA'!$AG:$AG,1,'Bilateral Assistance, MAIN DATA'!$AH:$AH,'Comm. per Month (Heavy Weapons)'!N$11, 'Bilateral Assistance, MAIN DATA'!$J:$J,"Heavy weapon")/VLOOKUP("USD",'Exchange Rates'!$B:$C,2,0))/1000000000</f>
        <v>0</v>
      </c>
      <c r="O19" s="276">
        <f>(SUMIFS('Bilateral Assistance, MAIN DATA'!$P:$P,'Bilateral Assistance, MAIN DATA'!$B:$B,'Comm. per Month (Heavy Weapons)'!$B19,'Bilateral Assistance, MAIN DATA'!$AG:$AG,1,'Bilateral Assistance, MAIN DATA'!$AH:$AH,'Comm. per Month (Heavy Weapons)'!O$11, 'Bilateral Assistance, MAIN DATA'!$J:$J,"Heavy weapon")/VLOOKUP("USD",'Exchange Rates'!$B:$C,2,0))/1000000000</f>
        <v>0</v>
      </c>
      <c r="P19" s="276">
        <f>(SUMIFS('Bilateral Assistance, MAIN DATA'!$P:$P,'Bilateral Assistance, MAIN DATA'!$B:$B,'Comm. per Month (Heavy Weapons)'!$B19,'Bilateral Assistance, MAIN DATA'!$AG:$AG,1,'Bilateral Assistance, MAIN DATA'!$AH:$AH,'Comm. per Month (Heavy Weapons)'!P$11, 'Bilateral Assistance, MAIN DATA'!$J:$J,"Heavy weapon")/VLOOKUP("USD",'Exchange Rates'!$B:$C,2,0))/1000000000</f>
        <v>0</v>
      </c>
      <c r="Q19" s="276">
        <f>(SUMIFS('Bilateral Assistance, MAIN DATA'!$P:$P,'Bilateral Assistance, MAIN DATA'!$B:$B,'Comm. per Month (Heavy Weapons)'!$B19,'Bilateral Assistance, MAIN DATA'!$AG:$AG,1,'Bilateral Assistance, MAIN DATA'!$AH:$AH,'Comm. per Month (Heavy Weapons)'!Q$11, 'Bilateral Assistance, MAIN DATA'!$J:$J,"Heavy weapon")/VLOOKUP("USD",'Exchange Rates'!$B:$C,2,0))/1000000000</f>
        <v>0</v>
      </c>
      <c r="R19" s="276">
        <f>(SUMIFS('Bilateral Assistance, MAIN DATA'!$P:$P,'Bilateral Assistance, MAIN DATA'!$B:$B,'Comm. per Month (Heavy Weapons)'!$B19,'Bilateral Assistance, MAIN DATA'!$AG:$AG,1,'Bilateral Assistance, MAIN DATA'!$AH:$AH,'Comm. per Month (Heavy Weapons)'!R$11, 'Bilateral Assistance, MAIN DATA'!$J:$J,"Heavy weapon")/VLOOKUP("USD",'Exchange Rates'!$B:$C,2,0))/1000000000</f>
        <v>0</v>
      </c>
      <c r="S19" s="138">
        <f t="shared" si="0"/>
        <v>0</v>
      </c>
    </row>
    <row r="20" spans="1:19" ht="15.95" customHeight="1">
      <c r="A20" s="5"/>
      <c r="B20" s="24" t="s">
        <v>1012</v>
      </c>
      <c r="C20" s="297">
        <v>1</v>
      </c>
      <c r="D20" s="297">
        <v>0</v>
      </c>
      <c r="E20" s="276">
        <f>(SUMIFS('Bilateral Assistance, MAIN DATA'!$P:$P,'Bilateral Assistance, MAIN DATA'!$B:$B,'Comm. per Month (Heavy Weapons)'!$B20,'Bilateral Assistance, MAIN DATA'!$AG:$AG,1,'Bilateral Assistance, MAIN DATA'!$AH:$AH,'Comm. per Month (Heavy Weapons)'!E$11, 'Bilateral Assistance, MAIN DATA'!$J:$J,"Heavy weapon")/VLOOKUP("USD",'Exchange Rates'!$B:$C,2,0))/1000000000</f>
        <v>0</v>
      </c>
      <c r="F20" s="276">
        <f>(SUMIFS('Bilateral Assistance, MAIN DATA'!$P:$P,'Bilateral Assistance, MAIN DATA'!$B:$B,'Comm. per Month (Heavy Weapons)'!$B20,'Bilateral Assistance, MAIN DATA'!$AG:$AG,1,'Bilateral Assistance, MAIN DATA'!$AH:$AH,'Comm. per Month (Heavy Weapons)'!F$11, 'Bilateral Assistance, MAIN DATA'!$J:$J,"Heavy weapon")/VLOOKUP("USD",'Exchange Rates'!$B:$C,2,0))/1000000000</f>
        <v>0</v>
      </c>
      <c r="G20" s="276">
        <f>(SUMIFS('Bilateral Assistance, MAIN DATA'!$P:$P,'Bilateral Assistance, MAIN DATA'!$B:$B,'Comm. per Month (Heavy Weapons)'!$B20,'Bilateral Assistance, MAIN DATA'!$AG:$AG,1,'Bilateral Assistance, MAIN DATA'!$AH:$AH,'Comm. per Month (Heavy Weapons)'!G$11, 'Bilateral Assistance, MAIN DATA'!$J:$J,"Heavy weapon")/VLOOKUP("USD",'Exchange Rates'!$B:$C,2,0))/1000000000</f>
        <v>0</v>
      </c>
      <c r="H20" s="276">
        <f>(SUMIFS('Bilateral Assistance, MAIN DATA'!$P:$P,'Bilateral Assistance, MAIN DATA'!$B:$B,'Comm. per Month (Heavy Weapons)'!$B20,'Bilateral Assistance, MAIN DATA'!$AG:$AG,1,'Bilateral Assistance, MAIN DATA'!$AH:$AH,'Comm. per Month (Heavy Weapons)'!H$11, 'Bilateral Assistance, MAIN DATA'!$J:$J,"Heavy weapon")/VLOOKUP("USD",'Exchange Rates'!$B:$C,2,0))/1000000000</f>
        <v>0.23719330867861529</v>
      </c>
      <c r="I20" s="276">
        <f>(SUMIFS('Bilateral Assistance, MAIN DATA'!$P:$P,'Bilateral Assistance, MAIN DATA'!$B:$B,'Comm. per Month (Heavy Weapons)'!$B20,'Bilateral Assistance, MAIN DATA'!$AG:$AG,1,'Bilateral Assistance, MAIN DATA'!$AH:$AH,'Comm. per Month (Heavy Weapons)'!I$11, 'Bilateral Assistance, MAIN DATA'!$J:$J,"Heavy weapon")/VLOOKUP("USD",'Exchange Rates'!$B:$C,2,0))/1000000000</f>
        <v>4.4166359955833644E-2</v>
      </c>
      <c r="J20" s="276">
        <f>(SUMIFS('Bilateral Assistance, MAIN DATA'!$P:$P,'Bilateral Assistance, MAIN DATA'!$B:$B,'Comm. per Month (Heavy Weapons)'!$B20,'Bilateral Assistance, MAIN DATA'!$AG:$AG,1,'Bilateral Assistance, MAIN DATA'!$AH:$AH,'Comm. per Month (Heavy Weapons)'!J$11, 'Bilateral Assistance, MAIN DATA'!$J:$J,"Heavy weapon")/VLOOKUP("USD",'Exchange Rates'!$B:$C,2,0))/1000000000</f>
        <v>0</v>
      </c>
      <c r="K20" s="276">
        <f>(SUMIFS('Bilateral Assistance, MAIN DATA'!$P:$P,'Bilateral Assistance, MAIN DATA'!$B:$B,'Comm. per Month (Heavy Weapons)'!$B20,'Bilateral Assistance, MAIN DATA'!$AG:$AG,1,'Bilateral Assistance, MAIN DATA'!$AH:$AH,'Comm. per Month (Heavy Weapons)'!K$11, 'Bilateral Assistance, MAIN DATA'!$J:$J,"Heavy weapon")/VLOOKUP("USD",'Exchange Rates'!$B:$C,2,0))/1000000000</f>
        <v>0</v>
      </c>
      <c r="L20" s="276">
        <f>(SUMIFS('Bilateral Assistance, MAIN DATA'!$P:$P,'Bilateral Assistance, MAIN DATA'!$B:$B,'Comm. per Month (Heavy Weapons)'!$B20,'Bilateral Assistance, MAIN DATA'!$AG:$AG,1,'Bilateral Assistance, MAIN DATA'!$AH:$AH,'Comm. per Month (Heavy Weapons)'!L$11, 'Bilateral Assistance, MAIN DATA'!$J:$J,"Heavy weapon")/VLOOKUP("USD",'Exchange Rates'!$B:$C,2,0))/1000000000</f>
        <v>0</v>
      </c>
      <c r="M20" s="276">
        <f>(SUMIFS('Bilateral Assistance, MAIN DATA'!$P:$P,'Bilateral Assistance, MAIN DATA'!$B:$B,'Comm. per Month (Heavy Weapons)'!$B20,'Bilateral Assistance, MAIN DATA'!$AG:$AG,1,'Bilateral Assistance, MAIN DATA'!$AH:$AH,'Comm. per Month (Heavy Weapons)'!M$11, 'Bilateral Assistance, MAIN DATA'!$J:$J,"Heavy weapon")/VLOOKUP("USD",'Exchange Rates'!$B:$C,2,0))/1000000000</f>
        <v>0</v>
      </c>
      <c r="N20" s="276">
        <f>(SUMIFS('Bilateral Assistance, MAIN DATA'!$P:$P,'Bilateral Assistance, MAIN DATA'!$B:$B,'Comm. per Month (Heavy Weapons)'!$B20,'Bilateral Assistance, MAIN DATA'!$AG:$AG,1,'Bilateral Assistance, MAIN DATA'!$AH:$AH,'Comm. per Month (Heavy Weapons)'!N$11, 'Bilateral Assistance, MAIN DATA'!$J:$J,"Heavy weapon")/VLOOKUP("USD",'Exchange Rates'!$B:$C,2,0))/1000000000</f>
        <v>0</v>
      </c>
      <c r="O20" s="276">
        <f>(SUMIFS('Bilateral Assistance, MAIN DATA'!$P:$P,'Bilateral Assistance, MAIN DATA'!$B:$B,'Comm. per Month (Heavy Weapons)'!$B20,'Bilateral Assistance, MAIN DATA'!$AG:$AG,1,'Bilateral Assistance, MAIN DATA'!$AH:$AH,'Comm. per Month (Heavy Weapons)'!O$11, 'Bilateral Assistance, MAIN DATA'!$J:$J,"Heavy weapon")/VLOOKUP("USD",'Exchange Rates'!$B:$C,2,0))/1000000000</f>
        <v>0</v>
      </c>
      <c r="P20" s="276">
        <f>(SUMIFS('Bilateral Assistance, MAIN DATA'!$P:$P,'Bilateral Assistance, MAIN DATA'!$B:$B,'Comm. per Month (Heavy Weapons)'!$B20,'Bilateral Assistance, MAIN DATA'!$AG:$AG,1,'Bilateral Assistance, MAIN DATA'!$AH:$AH,'Comm. per Month (Heavy Weapons)'!P$11, 'Bilateral Assistance, MAIN DATA'!$J:$J,"Heavy weapon")/VLOOKUP("USD",'Exchange Rates'!$B:$C,2,0))/1000000000</f>
        <v>0</v>
      </c>
      <c r="Q20" s="276">
        <f>(SUMIFS('Bilateral Assistance, MAIN DATA'!$P:$P,'Bilateral Assistance, MAIN DATA'!$B:$B,'Comm. per Month (Heavy Weapons)'!$B20,'Bilateral Assistance, MAIN DATA'!$AG:$AG,1,'Bilateral Assistance, MAIN DATA'!$AH:$AH,'Comm. per Month (Heavy Weapons)'!Q$11, 'Bilateral Assistance, MAIN DATA'!$J:$J,"Heavy weapon")/VLOOKUP("USD",'Exchange Rates'!$B:$C,2,0))/1000000000</f>
        <v>0</v>
      </c>
      <c r="R20" s="276">
        <f>(SUMIFS('Bilateral Assistance, MAIN DATA'!$P:$P,'Bilateral Assistance, MAIN DATA'!$B:$B,'Comm. per Month (Heavy Weapons)'!$B20,'Bilateral Assistance, MAIN DATA'!$AG:$AG,1,'Bilateral Assistance, MAIN DATA'!$AH:$AH,'Comm. per Month (Heavy Weapons)'!R$11, 'Bilateral Assistance, MAIN DATA'!$J:$J,"Heavy weapon")/VLOOKUP("USD",'Exchange Rates'!$B:$C,2,0))/1000000000</f>
        <v>0</v>
      </c>
      <c r="S20" s="138">
        <f t="shared" si="0"/>
        <v>0.28135966863444895</v>
      </c>
    </row>
    <row r="21" spans="1:19" ht="15.95" customHeight="1">
      <c r="A21" s="5"/>
      <c r="B21" s="24" t="s">
        <v>1194</v>
      </c>
      <c r="C21" s="297">
        <v>1</v>
      </c>
      <c r="D21" s="297">
        <v>0</v>
      </c>
      <c r="E21" s="276">
        <f>(SUMIFS('Bilateral Assistance, MAIN DATA'!$P:$P,'Bilateral Assistance, MAIN DATA'!$B:$B,'Comm. per Month (Heavy Weapons)'!$B21,'Bilateral Assistance, MAIN DATA'!$AG:$AG,1,'Bilateral Assistance, MAIN DATA'!$AH:$AH,'Comm. per Month (Heavy Weapons)'!E$11, 'Bilateral Assistance, MAIN DATA'!$J:$J,"Heavy weapon")/VLOOKUP("USD",'Exchange Rates'!$B:$C,2,0))/1000000000</f>
        <v>0</v>
      </c>
      <c r="F21" s="276">
        <f>(SUMIFS('Bilateral Assistance, MAIN DATA'!$P:$P,'Bilateral Assistance, MAIN DATA'!$B:$B,'Comm. per Month (Heavy Weapons)'!$B21,'Bilateral Assistance, MAIN DATA'!$AG:$AG,1,'Bilateral Assistance, MAIN DATA'!$AH:$AH,'Comm. per Month (Heavy Weapons)'!F$11, 'Bilateral Assistance, MAIN DATA'!$J:$J,"Heavy weapon")/VLOOKUP("USD",'Exchange Rates'!$B:$C,2,0))/1000000000</f>
        <v>0</v>
      </c>
      <c r="G21" s="276">
        <f>(SUMIFS('Bilateral Assistance, MAIN DATA'!$P:$P,'Bilateral Assistance, MAIN DATA'!$B:$B,'Comm. per Month (Heavy Weapons)'!$B21,'Bilateral Assistance, MAIN DATA'!$AG:$AG,1,'Bilateral Assistance, MAIN DATA'!$AH:$AH,'Comm. per Month (Heavy Weapons)'!G$11, 'Bilateral Assistance, MAIN DATA'!$J:$J,"Heavy weapon")/VLOOKUP("USD",'Exchange Rates'!$B:$C,2,0))/1000000000</f>
        <v>0</v>
      </c>
      <c r="H21" s="276">
        <f>(SUMIFS('Bilateral Assistance, MAIN DATA'!$P:$P,'Bilateral Assistance, MAIN DATA'!$B:$B,'Comm. per Month (Heavy Weapons)'!$B21,'Bilateral Assistance, MAIN DATA'!$AG:$AG,1,'Bilateral Assistance, MAIN DATA'!$AH:$AH,'Comm. per Month (Heavy Weapons)'!H$11, 'Bilateral Assistance, MAIN DATA'!$J:$J,"Heavy weapon")/VLOOKUP("USD",'Exchange Rates'!$B:$C,2,0))/1000000000</f>
        <v>1.3801987486198012E-2</v>
      </c>
      <c r="I21" s="276">
        <f>(SUMIFS('Bilateral Assistance, MAIN DATA'!$P:$P,'Bilateral Assistance, MAIN DATA'!$B:$B,'Comm. per Month (Heavy Weapons)'!$B21,'Bilateral Assistance, MAIN DATA'!$AG:$AG,1,'Bilateral Assistance, MAIN DATA'!$AH:$AH,'Comm. per Month (Heavy Weapons)'!I$11, 'Bilateral Assistance, MAIN DATA'!$J:$J,"Heavy weapon")/VLOOKUP("USD",'Exchange Rates'!$B:$C,2,0))/1000000000</f>
        <v>3.2583143752300335E-2</v>
      </c>
      <c r="J21" s="276">
        <f>(SUMIFS('Bilateral Assistance, MAIN DATA'!$P:$P,'Bilateral Assistance, MAIN DATA'!$B:$B,'Comm. per Month (Heavy Weapons)'!$B21,'Bilateral Assistance, MAIN DATA'!$AG:$AG,1,'Bilateral Assistance, MAIN DATA'!$AH:$AH,'Comm. per Month (Heavy Weapons)'!J$11, 'Bilateral Assistance, MAIN DATA'!$J:$J,"Heavy weapon")/VLOOKUP("USD",'Exchange Rates'!$B:$C,2,0))/1000000000</f>
        <v>0</v>
      </c>
      <c r="K21" s="276">
        <f>(SUMIFS('Bilateral Assistance, MAIN DATA'!$P:$P,'Bilateral Assistance, MAIN DATA'!$B:$B,'Comm. per Month (Heavy Weapons)'!$B21,'Bilateral Assistance, MAIN DATA'!$AG:$AG,1,'Bilateral Assistance, MAIN DATA'!$AH:$AH,'Comm. per Month (Heavy Weapons)'!K$11, 'Bilateral Assistance, MAIN DATA'!$J:$J,"Heavy weapon")/VLOOKUP("USD",'Exchange Rates'!$B:$C,2,0))/1000000000</f>
        <v>0</v>
      </c>
      <c r="L21" s="276">
        <f>(SUMIFS('Bilateral Assistance, MAIN DATA'!$P:$P,'Bilateral Assistance, MAIN DATA'!$B:$B,'Comm. per Month (Heavy Weapons)'!$B21,'Bilateral Assistance, MAIN DATA'!$AG:$AG,1,'Bilateral Assistance, MAIN DATA'!$AH:$AH,'Comm. per Month (Heavy Weapons)'!L$11, 'Bilateral Assistance, MAIN DATA'!$J:$J,"Heavy weapon")/VLOOKUP("USD",'Exchange Rates'!$B:$C,2,0))/1000000000</f>
        <v>4.2504617598735535E-2</v>
      </c>
      <c r="M21" s="276">
        <f>(SUMIFS('Bilateral Assistance, MAIN DATA'!$P:$P,'Bilateral Assistance, MAIN DATA'!$B:$B,'Comm. per Month (Heavy Weapons)'!$B21,'Bilateral Assistance, MAIN DATA'!$AG:$AG,1,'Bilateral Assistance, MAIN DATA'!$AH:$AH,'Comm. per Month (Heavy Weapons)'!M$11, 'Bilateral Assistance, MAIN DATA'!$J:$J,"Heavy weapon")/VLOOKUP("USD",'Exchange Rates'!$B:$C,2,0))/1000000000</f>
        <v>0</v>
      </c>
      <c r="N21" s="276">
        <f>(SUMIFS('Bilateral Assistance, MAIN DATA'!$P:$P,'Bilateral Assistance, MAIN DATA'!$B:$B,'Comm. per Month (Heavy Weapons)'!$B21,'Bilateral Assistance, MAIN DATA'!$AG:$AG,1,'Bilateral Assistance, MAIN DATA'!$AH:$AH,'Comm. per Month (Heavy Weapons)'!N$11, 'Bilateral Assistance, MAIN DATA'!$J:$J,"Heavy weapon")/VLOOKUP("USD",'Exchange Rates'!$B:$C,2,0))/1000000000</f>
        <v>0</v>
      </c>
      <c r="O21" s="276">
        <f>(SUMIFS('Bilateral Assistance, MAIN DATA'!$P:$P,'Bilateral Assistance, MAIN DATA'!$B:$B,'Comm. per Month (Heavy Weapons)'!$B21,'Bilateral Assistance, MAIN DATA'!$AG:$AG,1,'Bilateral Assistance, MAIN DATA'!$AH:$AH,'Comm. per Month (Heavy Weapons)'!O$11, 'Bilateral Assistance, MAIN DATA'!$J:$J,"Heavy weapon")/VLOOKUP("USD",'Exchange Rates'!$B:$C,2,0))/1000000000</f>
        <v>0</v>
      </c>
      <c r="P21" s="276">
        <f>(SUMIFS('Bilateral Assistance, MAIN DATA'!$P:$P,'Bilateral Assistance, MAIN DATA'!$B:$B,'Comm. per Month (Heavy Weapons)'!$B21,'Bilateral Assistance, MAIN DATA'!$AG:$AG,1,'Bilateral Assistance, MAIN DATA'!$AH:$AH,'Comm. per Month (Heavy Weapons)'!P$11, 'Bilateral Assistance, MAIN DATA'!$J:$J,"Heavy weapon")/VLOOKUP("USD",'Exchange Rates'!$B:$C,2,0))/1000000000</f>
        <v>0</v>
      </c>
      <c r="Q21" s="276">
        <f>(SUMIFS('Bilateral Assistance, MAIN DATA'!$P:$P,'Bilateral Assistance, MAIN DATA'!$B:$B,'Comm. per Month (Heavy Weapons)'!$B21,'Bilateral Assistance, MAIN DATA'!$AG:$AG,1,'Bilateral Assistance, MAIN DATA'!$AH:$AH,'Comm. per Month (Heavy Weapons)'!Q$11, 'Bilateral Assistance, MAIN DATA'!$J:$J,"Heavy weapon")/VLOOKUP("USD",'Exchange Rates'!$B:$C,2,0))/1000000000</f>
        <v>0.13058416777280388</v>
      </c>
      <c r="R21" s="276">
        <f>(SUMIFS('Bilateral Assistance, MAIN DATA'!$P:$P,'Bilateral Assistance, MAIN DATA'!$B:$B,'Comm. per Month (Heavy Weapons)'!$B21,'Bilateral Assistance, MAIN DATA'!$AG:$AG,1,'Bilateral Assistance, MAIN DATA'!$AH:$AH,'Comm. per Month (Heavy Weapons)'!R$11, 'Bilateral Assistance, MAIN DATA'!$J:$J,"Heavy weapon")/VLOOKUP("USD",'Exchange Rates'!$B:$C,2,0))/1000000000</f>
        <v>0</v>
      </c>
      <c r="S21" s="138">
        <f t="shared" si="0"/>
        <v>0.21947391661003776</v>
      </c>
    </row>
    <row r="22" spans="1:19" ht="15.95" customHeight="1">
      <c r="A22" s="5"/>
      <c r="B22" s="24" t="s">
        <v>1305</v>
      </c>
      <c r="C22" s="297">
        <v>1</v>
      </c>
      <c r="D22" s="297">
        <v>0</v>
      </c>
      <c r="E22" s="276">
        <f>(SUMIFS('Bilateral Assistance, MAIN DATA'!$P:$P,'Bilateral Assistance, MAIN DATA'!$B:$B,'Comm. per Month (Heavy Weapons)'!$B22,'Bilateral Assistance, MAIN DATA'!$AG:$AG,1,'Bilateral Assistance, MAIN DATA'!$AH:$AH,'Comm. per Month (Heavy Weapons)'!E$11, 'Bilateral Assistance, MAIN DATA'!$J:$J,"Heavy weapon")/VLOOKUP("USD",'Exchange Rates'!$B:$C,2,0))/1000000000</f>
        <v>0</v>
      </c>
      <c r="F22" s="276">
        <f>(SUMIFS('Bilateral Assistance, MAIN DATA'!$P:$P,'Bilateral Assistance, MAIN DATA'!$B:$B,'Comm. per Month (Heavy Weapons)'!$B22,'Bilateral Assistance, MAIN DATA'!$AG:$AG,1,'Bilateral Assistance, MAIN DATA'!$AH:$AH,'Comm. per Month (Heavy Weapons)'!F$11, 'Bilateral Assistance, MAIN DATA'!$J:$J,"Heavy weapon")/VLOOKUP("USD",'Exchange Rates'!$B:$C,2,0))/1000000000</f>
        <v>0</v>
      </c>
      <c r="G22" s="276">
        <f>(SUMIFS('Bilateral Assistance, MAIN DATA'!$P:$P,'Bilateral Assistance, MAIN DATA'!$B:$B,'Comm. per Month (Heavy Weapons)'!$B22,'Bilateral Assistance, MAIN DATA'!$AG:$AG,1,'Bilateral Assistance, MAIN DATA'!$AH:$AH,'Comm. per Month (Heavy Weapons)'!G$11, 'Bilateral Assistance, MAIN DATA'!$J:$J,"Heavy weapon")/VLOOKUP("USD",'Exchange Rates'!$B:$C,2,0))/1000000000</f>
        <v>0</v>
      </c>
      <c r="H22" s="276">
        <f>(SUMIFS('Bilateral Assistance, MAIN DATA'!$P:$P,'Bilateral Assistance, MAIN DATA'!$B:$B,'Comm. per Month (Heavy Weapons)'!$B22,'Bilateral Assistance, MAIN DATA'!$AG:$AG,1,'Bilateral Assistance, MAIN DATA'!$AH:$AH,'Comm. per Month (Heavy Weapons)'!H$11, 'Bilateral Assistance, MAIN DATA'!$J:$J,"Heavy weapon")/VLOOKUP("USD",'Exchange Rates'!$B:$C,2,0))/1000000000</f>
        <v>0</v>
      </c>
      <c r="I22" s="276">
        <f>(SUMIFS('Bilateral Assistance, MAIN DATA'!$P:$P,'Bilateral Assistance, MAIN DATA'!$B:$B,'Comm. per Month (Heavy Weapons)'!$B22,'Bilateral Assistance, MAIN DATA'!$AG:$AG,1,'Bilateral Assistance, MAIN DATA'!$AH:$AH,'Comm. per Month (Heavy Weapons)'!I$11, 'Bilateral Assistance, MAIN DATA'!$J:$J,"Heavy weapon")/VLOOKUP("USD",'Exchange Rates'!$B:$C,2,0))/1000000000</f>
        <v>6.0842289289657716E-4</v>
      </c>
      <c r="J22" s="276">
        <f>(SUMIFS('Bilateral Assistance, MAIN DATA'!$P:$P,'Bilateral Assistance, MAIN DATA'!$B:$B,'Comm. per Month (Heavy Weapons)'!$B22,'Bilateral Assistance, MAIN DATA'!$AG:$AG,1,'Bilateral Assistance, MAIN DATA'!$AH:$AH,'Comm. per Month (Heavy Weapons)'!J$11, 'Bilateral Assistance, MAIN DATA'!$J:$J,"Heavy weapon")/VLOOKUP("USD",'Exchange Rates'!$B:$C,2,0))/1000000000</f>
        <v>0</v>
      </c>
      <c r="K22" s="276">
        <f>(SUMIFS('Bilateral Assistance, MAIN DATA'!$P:$P,'Bilateral Assistance, MAIN DATA'!$B:$B,'Comm. per Month (Heavy Weapons)'!$B22,'Bilateral Assistance, MAIN DATA'!$AG:$AG,1,'Bilateral Assistance, MAIN DATA'!$AH:$AH,'Comm. per Month (Heavy Weapons)'!K$11, 'Bilateral Assistance, MAIN DATA'!$J:$J,"Heavy weapon")/VLOOKUP("USD",'Exchange Rates'!$B:$C,2,0))/1000000000</f>
        <v>0</v>
      </c>
      <c r="L22" s="276">
        <f>(SUMIFS('Bilateral Assistance, MAIN DATA'!$P:$P,'Bilateral Assistance, MAIN DATA'!$B:$B,'Comm. per Month (Heavy Weapons)'!$B22,'Bilateral Assistance, MAIN DATA'!$AG:$AG,1,'Bilateral Assistance, MAIN DATA'!$AH:$AH,'Comm. per Month (Heavy Weapons)'!L$11, 'Bilateral Assistance, MAIN DATA'!$J:$J,"Heavy weapon")/VLOOKUP("USD",'Exchange Rates'!$B:$C,2,0))/1000000000</f>
        <v>0</v>
      </c>
      <c r="M22" s="276">
        <f>(SUMIFS('Bilateral Assistance, MAIN DATA'!$P:$P,'Bilateral Assistance, MAIN DATA'!$B:$B,'Comm. per Month (Heavy Weapons)'!$B22,'Bilateral Assistance, MAIN DATA'!$AG:$AG,1,'Bilateral Assistance, MAIN DATA'!$AH:$AH,'Comm. per Month (Heavy Weapons)'!M$11, 'Bilateral Assistance, MAIN DATA'!$J:$J,"Heavy weapon")/VLOOKUP("USD",'Exchange Rates'!$B:$C,2,0))/1000000000</f>
        <v>0</v>
      </c>
      <c r="N22" s="276">
        <f>(SUMIFS('Bilateral Assistance, MAIN DATA'!$P:$P,'Bilateral Assistance, MAIN DATA'!$B:$B,'Comm. per Month (Heavy Weapons)'!$B22,'Bilateral Assistance, MAIN DATA'!$AG:$AG,1,'Bilateral Assistance, MAIN DATA'!$AH:$AH,'Comm. per Month (Heavy Weapons)'!N$11, 'Bilateral Assistance, MAIN DATA'!$J:$J,"Heavy weapon")/VLOOKUP("USD",'Exchange Rates'!$B:$C,2,0))/1000000000</f>
        <v>0</v>
      </c>
      <c r="O22" s="276">
        <f>(SUMIFS('Bilateral Assistance, MAIN DATA'!$P:$P,'Bilateral Assistance, MAIN DATA'!$B:$B,'Comm. per Month (Heavy Weapons)'!$B22,'Bilateral Assistance, MAIN DATA'!$AG:$AG,1,'Bilateral Assistance, MAIN DATA'!$AH:$AH,'Comm. per Month (Heavy Weapons)'!O$11, 'Bilateral Assistance, MAIN DATA'!$J:$J,"Heavy weapon")/VLOOKUP("USD",'Exchange Rates'!$B:$C,2,0))/1000000000</f>
        <v>0</v>
      </c>
      <c r="P22" s="276">
        <f>(SUMIFS('Bilateral Assistance, MAIN DATA'!$P:$P,'Bilateral Assistance, MAIN DATA'!$B:$B,'Comm. per Month (Heavy Weapons)'!$B22,'Bilateral Assistance, MAIN DATA'!$AG:$AG,1,'Bilateral Assistance, MAIN DATA'!$AH:$AH,'Comm. per Month (Heavy Weapons)'!P$11, 'Bilateral Assistance, MAIN DATA'!$J:$J,"Heavy weapon")/VLOOKUP("USD",'Exchange Rates'!$B:$C,2,0))/1000000000</f>
        <v>0</v>
      </c>
      <c r="Q22" s="276">
        <f>(SUMIFS('Bilateral Assistance, MAIN DATA'!$P:$P,'Bilateral Assistance, MAIN DATA'!$B:$B,'Comm. per Month (Heavy Weapons)'!$B22,'Bilateral Assistance, MAIN DATA'!$AG:$AG,1,'Bilateral Assistance, MAIN DATA'!$AH:$AH,'Comm. per Month (Heavy Weapons)'!Q$11, 'Bilateral Assistance, MAIN DATA'!$J:$J,"Heavy weapon")/VLOOKUP("USD",'Exchange Rates'!$B:$C,2,0))/1000000000</f>
        <v>2.1543112845049686E-2</v>
      </c>
      <c r="R22" s="276">
        <f>(SUMIFS('Bilateral Assistance, MAIN DATA'!$P:$P,'Bilateral Assistance, MAIN DATA'!$B:$B,'Comm. per Month (Heavy Weapons)'!$B22,'Bilateral Assistance, MAIN DATA'!$AG:$AG,1,'Bilateral Assistance, MAIN DATA'!$AH:$AH,'Comm. per Month (Heavy Weapons)'!R$11, 'Bilateral Assistance, MAIN DATA'!$J:$J,"Heavy weapon")/VLOOKUP("USD",'Exchange Rates'!$B:$C,2,0))/1000000000</f>
        <v>0</v>
      </c>
      <c r="S22" s="138">
        <f t="shared" si="0"/>
        <v>2.2151535737946263E-2</v>
      </c>
    </row>
    <row r="23" spans="1:19" ht="15.95" customHeight="1">
      <c r="A23" s="289"/>
      <c r="B23" s="37" t="s">
        <v>4406</v>
      </c>
      <c r="C23" s="297">
        <v>1</v>
      </c>
      <c r="D23" s="297">
        <v>1</v>
      </c>
      <c r="E23" s="276">
        <f>(SUMIFS('Bilateral Assistance, MAIN DATA'!$P:$P,'Bilateral Assistance, MAIN DATA'!$B:$B,'Comm. per Month (Heavy Weapons)'!$B23,'Bilateral Assistance, MAIN DATA'!$AG:$AG,1,'Bilateral Assistance, MAIN DATA'!$AH:$AH,'Comm. per Month (Heavy Weapons)'!E$11, 'Bilateral Assistance, MAIN DATA'!$J:$J,"Heavy weapon")/VLOOKUP("USD",'Exchange Rates'!$B:$C,2,0))/1000000000</f>
        <v>0</v>
      </c>
      <c r="F23" s="276">
        <f>(SUMIFS('Bilateral Assistance, MAIN DATA'!$P:$P,'Bilateral Assistance, MAIN DATA'!$B:$B,'Comm. per Month (Heavy Weapons)'!$B23,'Bilateral Assistance, MAIN DATA'!$AG:$AG,1,'Bilateral Assistance, MAIN DATA'!$AH:$AH,'Comm. per Month (Heavy Weapons)'!F$11, 'Bilateral Assistance, MAIN DATA'!$J:$J,"Heavy weapon")/VLOOKUP("USD",'Exchange Rates'!$B:$C,2,0))/1000000000</f>
        <v>0</v>
      </c>
      <c r="G23" s="276">
        <f>(SUMIFS('Bilateral Assistance, MAIN DATA'!$P:$P,'Bilateral Assistance, MAIN DATA'!$B:$B,'Comm. per Month (Heavy Weapons)'!$B23,'Bilateral Assistance, MAIN DATA'!$AG:$AG,1,'Bilateral Assistance, MAIN DATA'!$AH:$AH,'Comm. per Month (Heavy Weapons)'!G$11, 'Bilateral Assistance, MAIN DATA'!$J:$J,"Heavy weapon")/VLOOKUP("USD",'Exchange Rates'!$B:$C,2,0))/1000000000</f>
        <v>0</v>
      </c>
      <c r="H23" s="276">
        <f>(SUMIFS('Bilateral Assistance, MAIN DATA'!$P:$P,'Bilateral Assistance, MAIN DATA'!$B:$B,'Comm. per Month (Heavy Weapons)'!$B23,'Bilateral Assistance, MAIN DATA'!$AG:$AG,1,'Bilateral Assistance, MAIN DATA'!$AH:$AH,'Comm. per Month (Heavy Weapons)'!H$11, 'Bilateral Assistance, MAIN DATA'!$J:$J,"Heavy weapon")/VLOOKUP("USD",'Exchange Rates'!$B:$C,2,0))/1000000000</f>
        <v>0</v>
      </c>
      <c r="I23" s="276">
        <f>(SUMIFS('Bilateral Assistance, MAIN DATA'!$P:$P,'Bilateral Assistance, MAIN DATA'!$B:$B,'Comm. per Month (Heavy Weapons)'!$B23,'Bilateral Assistance, MAIN DATA'!$AG:$AG,1,'Bilateral Assistance, MAIN DATA'!$AH:$AH,'Comm. per Month (Heavy Weapons)'!I$11, 'Bilateral Assistance, MAIN DATA'!$J:$J,"Heavy weapon")/VLOOKUP("USD",'Exchange Rates'!$B:$C,2,0))/1000000000</f>
        <v>0</v>
      </c>
      <c r="J23" s="276">
        <f>(SUMIFS('Bilateral Assistance, MAIN DATA'!$P:$P,'Bilateral Assistance, MAIN DATA'!$B:$B,'Comm. per Month (Heavy Weapons)'!$B23,'Bilateral Assistance, MAIN DATA'!$AG:$AG,1,'Bilateral Assistance, MAIN DATA'!$AH:$AH,'Comm. per Month (Heavy Weapons)'!J$11, 'Bilateral Assistance, MAIN DATA'!$J:$J,"Heavy weapon")/VLOOKUP("USD",'Exchange Rates'!$B:$C,2,0))/1000000000</f>
        <v>0</v>
      </c>
      <c r="K23" s="276">
        <f>(SUMIFS('Bilateral Assistance, MAIN DATA'!$P:$P,'Bilateral Assistance, MAIN DATA'!$B:$B,'Comm. per Month (Heavy Weapons)'!$B23,'Bilateral Assistance, MAIN DATA'!$AG:$AG,1,'Bilateral Assistance, MAIN DATA'!$AH:$AH,'Comm. per Month (Heavy Weapons)'!K$11, 'Bilateral Assistance, MAIN DATA'!$J:$J,"Heavy weapon")/VLOOKUP("USD",'Exchange Rates'!$B:$C,2,0))/1000000000</f>
        <v>0</v>
      </c>
      <c r="L23" s="276">
        <f>(SUMIFS('Bilateral Assistance, MAIN DATA'!$P:$P,'Bilateral Assistance, MAIN DATA'!$B:$B,'Comm. per Month (Heavy Weapons)'!$B23,'Bilateral Assistance, MAIN DATA'!$AG:$AG,1,'Bilateral Assistance, MAIN DATA'!$AH:$AH,'Comm. per Month (Heavy Weapons)'!L$11, 'Bilateral Assistance, MAIN DATA'!$J:$J,"Heavy weapon")/VLOOKUP("USD",'Exchange Rates'!$B:$C,2,0))/1000000000</f>
        <v>0</v>
      </c>
      <c r="M23" s="276">
        <f>(SUMIFS('Bilateral Assistance, MAIN DATA'!$P:$P,'Bilateral Assistance, MAIN DATA'!$B:$B,'Comm. per Month (Heavy Weapons)'!$B23,'Bilateral Assistance, MAIN DATA'!$AG:$AG,1,'Bilateral Assistance, MAIN DATA'!$AH:$AH,'Comm. per Month (Heavy Weapons)'!M$11, 'Bilateral Assistance, MAIN DATA'!$J:$J,"Heavy weapon")/VLOOKUP("USD",'Exchange Rates'!$B:$C,2,0))/1000000000</f>
        <v>0</v>
      </c>
      <c r="N23" s="276">
        <f>(SUMIFS('Bilateral Assistance, MAIN DATA'!$P:$P,'Bilateral Assistance, MAIN DATA'!$B:$B,'Comm. per Month (Heavy Weapons)'!$B23,'Bilateral Assistance, MAIN DATA'!$AG:$AG,1,'Bilateral Assistance, MAIN DATA'!$AH:$AH,'Comm. per Month (Heavy Weapons)'!N$11, 'Bilateral Assistance, MAIN DATA'!$J:$J,"Heavy weapon")/VLOOKUP("USD",'Exchange Rates'!$B:$C,2,0))/1000000000</f>
        <v>0</v>
      </c>
      <c r="O23" s="276">
        <f>(SUMIFS('Bilateral Assistance, MAIN DATA'!$P:$P,'Bilateral Assistance, MAIN DATA'!$B:$B,'Comm. per Month (Heavy Weapons)'!$B23,'Bilateral Assistance, MAIN DATA'!$AG:$AG,1,'Bilateral Assistance, MAIN DATA'!$AH:$AH,'Comm. per Month (Heavy Weapons)'!O$11, 'Bilateral Assistance, MAIN DATA'!$J:$J,"Heavy weapon")/VLOOKUP("USD",'Exchange Rates'!$B:$C,2,0))/1000000000</f>
        <v>0</v>
      </c>
      <c r="P23" s="276">
        <f>(SUMIFS('Bilateral Assistance, MAIN DATA'!$P:$P,'Bilateral Assistance, MAIN DATA'!$B:$B,'Comm. per Month (Heavy Weapons)'!$B23,'Bilateral Assistance, MAIN DATA'!$AG:$AG,1,'Bilateral Assistance, MAIN DATA'!$AH:$AH,'Comm. per Month (Heavy Weapons)'!P$11, 'Bilateral Assistance, MAIN DATA'!$J:$J,"Heavy weapon")/VLOOKUP("USD",'Exchange Rates'!$B:$C,2,0))/1000000000</f>
        <v>0</v>
      </c>
      <c r="Q23" s="276">
        <f>(SUMIFS('Bilateral Assistance, MAIN DATA'!$P:$P,'Bilateral Assistance, MAIN DATA'!$B:$B,'Comm. per Month (Heavy Weapons)'!$B23,'Bilateral Assistance, MAIN DATA'!$AG:$AG,1,'Bilateral Assistance, MAIN DATA'!$AH:$AH,'Comm. per Month (Heavy Weapons)'!Q$11, 'Bilateral Assistance, MAIN DATA'!$J:$J,"Heavy weapon")/VLOOKUP("USD",'Exchange Rates'!$B:$C,2,0))/1000000000</f>
        <v>0</v>
      </c>
      <c r="R23" s="276">
        <f>(SUMIFS('Bilateral Assistance, MAIN DATA'!$P:$P,'Bilateral Assistance, MAIN DATA'!$B:$B,'Comm. per Month (Heavy Weapons)'!$B23,'Bilateral Assistance, MAIN DATA'!$AG:$AG,1,'Bilateral Assistance, MAIN DATA'!$AH:$AH,'Comm. per Month (Heavy Weapons)'!R$11, 'Bilateral Assistance, MAIN DATA'!$J:$J,"Heavy weapon")/VLOOKUP("USD",'Exchange Rates'!$B:$C,2,0))/1000000000</f>
        <v>0</v>
      </c>
      <c r="S23" s="138">
        <f t="shared" si="0"/>
        <v>0</v>
      </c>
    </row>
    <row r="24" spans="1:19" ht="15.95" customHeight="1">
      <c r="A24" s="289"/>
      <c r="B24" s="24" t="s">
        <v>1432</v>
      </c>
      <c r="C24" s="297">
        <v>1</v>
      </c>
      <c r="D24" s="297">
        <v>0</v>
      </c>
      <c r="E24" s="276">
        <f>(SUMIFS('Bilateral Assistance, MAIN DATA'!$P:$P,'Bilateral Assistance, MAIN DATA'!$B:$B,'Comm. per Month (Heavy Weapons)'!$B24,'Bilateral Assistance, MAIN DATA'!$AG:$AG,1,'Bilateral Assistance, MAIN DATA'!$AH:$AH,'Comm. per Month (Heavy Weapons)'!E$11, 'Bilateral Assistance, MAIN DATA'!$J:$J,"Heavy weapon")/VLOOKUP("USD",'Exchange Rates'!$B:$C,2,0))/1000000000</f>
        <v>0</v>
      </c>
      <c r="F24" s="276">
        <f>(SUMIFS('Bilateral Assistance, MAIN DATA'!$P:$P,'Bilateral Assistance, MAIN DATA'!$B:$B,'Comm. per Month (Heavy Weapons)'!$B24,'Bilateral Assistance, MAIN DATA'!$AG:$AG,1,'Bilateral Assistance, MAIN DATA'!$AH:$AH,'Comm. per Month (Heavy Weapons)'!F$11, 'Bilateral Assistance, MAIN DATA'!$J:$J,"Heavy weapon")/VLOOKUP("USD",'Exchange Rates'!$B:$C,2,0))/1000000000</f>
        <v>0</v>
      </c>
      <c r="G24" s="276">
        <f>(SUMIFS('Bilateral Assistance, MAIN DATA'!$P:$P,'Bilateral Assistance, MAIN DATA'!$B:$B,'Comm. per Month (Heavy Weapons)'!$B24,'Bilateral Assistance, MAIN DATA'!$AG:$AG,1,'Bilateral Assistance, MAIN DATA'!$AH:$AH,'Comm. per Month (Heavy Weapons)'!G$11, 'Bilateral Assistance, MAIN DATA'!$J:$J,"Heavy weapon")/VLOOKUP("USD",'Exchange Rates'!$B:$C,2,0))/1000000000</f>
        <v>0</v>
      </c>
      <c r="H24" s="276">
        <f>(SUMIFS('Bilateral Assistance, MAIN DATA'!$P:$P,'Bilateral Assistance, MAIN DATA'!$B:$B,'Comm. per Month (Heavy Weapons)'!$B24,'Bilateral Assistance, MAIN DATA'!$AG:$AG,1,'Bilateral Assistance, MAIN DATA'!$AH:$AH,'Comm. per Month (Heavy Weapons)'!H$11, 'Bilateral Assistance, MAIN DATA'!$J:$J,"Heavy weapon")/VLOOKUP("USD",'Exchange Rates'!$B:$C,2,0))/1000000000</f>
        <v>0</v>
      </c>
      <c r="I24" s="276">
        <f>(SUMIFS('Bilateral Assistance, MAIN DATA'!$P:$P,'Bilateral Assistance, MAIN DATA'!$B:$B,'Comm. per Month (Heavy Weapons)'!$B24,'Bilateral Assistance, MAIN DATA'!$AG:$AG,1,'Bilateral Assistance, MAIN DATA'!$AH:$AH,'Comm. per Month (Heavy Weapons)'!I$11, 'Bilateral Assistance, MAIN DATA'!$J:$J,"Heavy weapon")/VLOOKUP("USD",'Exchange Rates'!$B:$C,2,0))/1000000000</f>
        <v>0</v>
      </c>
      <c r="J24" s="276">
        <f>(SUMIFS('Bilateral Assistance, MAIN DATA'!$P:$P,'Bilateral Assistance, MAIN DATA'!$B:$B,'Comm. per Month (Heavy Weapons)'!$B24,'Bilateral Assistance, MAIN DATA'!$AG:$AG,1,'Bilateral Assistance, MAIN DATA'!$AH:$AH,'Comm. per Month (Heavy Weapons)'!J$11, 'Bilateral Assistance, MAIN DATA'!$J:$J,"Heavy weapon")/VLOOKUP("USD",'Exchange Rates'!$B:$C,2,0))/1000000000</f>
        <v>0</v>
      </c>
      <c r="K24" s="276">
        <f>(SUMIFS('Bilateral Assistance, MAIN DATA'!$P:$P,'Bilateral Assistance, MAIN DATA'!$B:$B,'Comm. per Month (Heavy Weapons)'!$B24,'Bilateral Assistance, MAIN DATA'!$AG:$AG,1,'Bilateral Assistance, MAIN DATA'!$AH:$AH,'Comm. per Month (Heavy Weapons)'!K$11, 'Bilateral Assistance, MAIN DATA'!$J:$J,"Heavy weapon")/VLOOKUP("USD",'Exchange Rates'!$B:$C,2,0))/1000000000</f>
        <v>0</v>
      </c>
      <c r="L24" s="276">
        <f>(SUMIFS('Bilateral Assistance, MAIN DATA'!$P:$P,'Bilateral Assistance, MAIN DATA'!$B:$B,'Comm. per Month (Heavy Weapons)'!$B24,'Bilateral Assistance, MAIN DATA'!$AG:$AG,1,'Bilateral Assistance, MAIN DATA'!$AH:$AH,'Comm. per Month (Heavy Weapons)'!L$11, 'Bilateral Assistance, MAIN DATA'!$J:$J,"Heavy weapon")/VLOOKUP("USD",'Exchange Rates'!$B:$C,2,0))/1000000000</f>
        <v>0</v>
      </c>
      <c r="M24" s="276">
        <f>(SUMIFS('Bilateral Assistance, MAIN DATA'!$P:$P,'Bilateral Assistance, MAIN DATA'!$B:$B,'Comm. per Month (Heavy Weapons)'!$B24,'Bilateral Assistance, MAIN DATA'!$AG:$AG,1,'Bilateral Assistance, MAIN DATA'!$AH:$AH,'Comm. per Month (Heavy Weapons)'!M$11, 'Bilateral Assistance, MAIN DATA'!$J:$J,"Heavy weapon")/VLOOKUP("USD",'Exchange Rates'!$B:$C,2,0))/1000000000</f>
        <v>0</v>
      </c>
      <c r="N24" s="276">
        <f>(SUMIFS('Bilateral Assistance, MAIN DATA'!$P:$P,'Bilateral Assistance, MAIN DATA'!$B:$B,'Comm. per Month (Heavy Weapons)'!$B24,'Bilateral Assistance, MAIN DATA'!$AG:$AG,1,'Bilateral Assistance, MAIN DATA'!$AH:$AH,'Comm. per Month (Heavy Weapons)'!N$11, 'Bilateral Assistance, MAIN DATA'!$J:$J,"Heavy weapon")/VLOOKUP("USD",'Exchange Rates'!$B:$C,2,0))/1000000000</f>
        <v>0</v>
      </c>
      <c r="O24" s="276">
        <f>(SUMIFS('Bilateral Assistance, MAIN DATA'!$P:$P,'Bilateral Assistance, MAIN DATA'!$B:$B,'Comm. per Month (Heavy Weapons)'!$B24,'Bilateral Assistance, MAIN DATA'!$AG:$AG,1,'Bilateral Assistance, MAIN DATA'!$AH:$AH,'Comm. per Month (Heavy Weapons)'!O$11, 'Bilateral Assistance, MAIN DATA'!$J:$J,"Heavy weapon")/VLOOKUP("USD",'Exchange Rates'!$B:$C,2,0))/1000000000</f>
        <v>0</v>
      </c>
      <c r="P24" s="276">
        <f>(SUMIFS('Bilateral Assistance, MAIN DATA'!$P:$P,'Bilateral Assistance, MAIN DATA'!$B:$B,'Comm. per Month (Heavy Weapons)'!$B24,'Bilateral Assistance, MAIN DATA'!$AG:$AG,1,'Bilateral Assistance, MAIN DATA'!$AH:$AH,'Comm. per Month (Heavy Weapons)'!P$11, 'Bilateral Assistance, MAIN DATA'!$J:$J,"Heavy weapon")/VLOOKUP("USD",'Exchange Rates'!$B:$C,2,0))/1000000000</f>
        <v>0</v>
      </c>
      <c r="Q24" s="276">
        <f>(SUMIFS('Bilateral Assistance, MAIN DATA'!$P:$P,'Bilateral Assistance, MAIN DATA'!$B:$B,'Comm. per Month (Heavy Weapons)'!$B24,'Bilateral Assistance, MAIN DATA'!$AG:$AG,1,'Bilateral Assistance, MAIN DATA'!$AH:$AH,'Comm. per Month (Heavy Weapons)'!Q$11, 'Bilateral Assistance, MAIN DATA'!$J:$J,"Heavy weapon")/VLOOKUP("USD",'Exchange Rates'!$B:$C,2,0))/1000000000</f>
        <v>0</v>
      </c>
      <c r="R24" s="276">
        <f>(SUMIFS('Bilateral Assistance, MAIN DATA'!$P:$P,'Bilateral Assistance, MAIN DATA'!$B:$B,'Comm. per Month (Heavy Weapons)'!$B24,'Bilateral Assistance, MAIN DATA'!$AG:$AG,1,'Bilateral Assistance, MAIN DATA'!$AH:$AH,'Comm. per Month (Heavy Weapons)'!R$11, 'Bilateral Assistance, MAIN DATA'!$J:$J,"Heavy weapon")/VLOOKUP("USD",'Exchange Rates'!$B:$C,2,0))/1000000000</f>
        <v>0</v>
      </c>
      <c r="S24" s="138">
        <f t="shared" si="0"/>
        <v>0</v>
      </c>
    </row>
    <row r="25" spans="1:19" ht="15.95" customHeight="1">
      <c r="A25" s="289"/>
      <c r="B25" s="24" t="s">
        <v>1523</v>
      </c>
      <c r="C25" s="297">
        <v>1</v>
      </c>
      <c r="D25" s="297">
        <v>0</v>
      </c>
      <c r="E25" s="276">
        <f>(SUMIFS('Bilateral Assistance, MAIN DATA'!$P:$P,'Bilateral Assistance, MAIN DATA'!$B:$B,'Comm. per Month (Heavy Weapons)'!$B25,'Bilateral Assistance, MAIN DATA'!$AG:$AG,1,'Bilateral Assistance, MAIN DATA'!$AH:$AH,'Comm. per Month (Heavy Weapons)'!E$11, 'Bilateral Assistance, MAIN DATA'!$J:$J,"Heavy weapon")/VLOOKUP("USD",'Exchange Rates'!$B:$C,2,0))/1000000000</f>
        <v>0</v>
      </c>
      <c r="F25" s="276">
        <f>(SUMIFS('Bilateral Assistance, MAIN DATA'!$P:$P,'Bilateral Assistance, MAIN DATA'!$B:$B,'Comm. per Month (Heavy Weapons)'!$B25,'Bilateral Assistance, MAIN DATA'!$AG:$AG,1,'Bilateral Assistance, MAIN DATA'!$AH:$AH,'Comm. per Month (Heavy Weapons)'!F$11, 'Bilateral Assistance, MAIN DATA'!$J:$J,"Heavy weapon")/VLOOKUP("USD",'Exchange Rates'!$B:$C,2,0))/1000000000</f>
        <v>0</v>
      </c>
      <c r="G25" s="276">
        <f>(SUMIFS('Bilateral Assistance, MAIN DATA'!$P:$P,'Bilateral Assistance, MAIN DATA'!$B:$B,'Comm. per Month (Heavy Weapons)'!$B25,'Bilateral Assistance, MAIN DATA'!$AG:$AG,1,'Bilateral Assistance, MAIN DATA'!$AH:$AH,'Comm. per Month (Heavy Weapons)'!G$11, 'Bilateral Assistance, MAIN DATA'!$J:$J,"Heavy weapon")/VLOOKUP("USD",'Exchange Rates'!$B:$C,2,0))/1000000000</f>
        <v>0</v>
      </c>
      <c r="H25" s="276">
        <f>(SUMIFS('Bilateral Assistance, MAIN DATA'!$P:$P,'Bilateral Assistance, MAIN DATA'!$B:$B,'Comm. per Month (Heavy Weapons)'!$B25,'Bilateral Assistance, MAIN DATA'!$AG:$AG,1,'Bilateral Assistance, MAIN DATA'!$AH:$AH,'Comm. per Month (Heavy Weapons)'!H$11, 'Bilateral Assistance, MAIN DATA'!$J:$J,"Heavy weapon")/VLOOKUP("USD",'Exchange Rates'!$B:$C,2,0))/1000000000</f>
        <v>7.0066270035923875E-2</v>
      </c>
      <c r="I25" s="276">
        <f>(SUMIFS('Bilateral Assistance, MAIN DATA'!$P:$P,'Bilateral Assistance, MAIN DATA'!$B:$B,'Comm. per Month (Heavy Weapons)'!$B25,'Bilateral Assistance, MAIN DATA'!$AG:$AG,1,'Bilateral Assistance, MAIN DATA'!$AH:$AH,'Comm. per Month (Heavy Weapons)'!I$11, 'Bilateral Assistance, MAIN DATA'!$J:$J,"Heavy weapon")/VLOOKUP("USD",'Exchange Rates'!$B:$C,2,0))/1000000000</f>
        <v>0</v>
      </c>
      <c r="J25" s="276">
        <f>(SUMIFS('Bilateral Assistance, MAIN DATA'!$P:$P,'Bilateral Assistance, MAIN DATA'!$B:$B,'Comm. per Month (Heavy Weapons)'!$B25,'Bilateral Assistance, MAIN DATA'!$AG:$AG,1,'Bilateral Assistance, MAIN DATA'!$AH:$AH,'Comm. per Month (Heavy Weapons)'!J$11, 'Bilateral Assistance, MAIN DATA'!$J:$J,"Heavy weapon")/VLOOKUP("USD",'Exchange Rates'!$B:$C,2,0))/1000000000</f>
        <v>0.1016599721545096</v>
      </c>
      <c r="K25" s="276">
        <f>(SUMIFS('Bilateral Assistance, MAIN DATA'!$P:$P,'Bilateral Assistance, MAIN DATA'!$B:$B,'Comm. per Month (Heavy Weapons)'!$B25,'Bilateral Assistance, MAIN DATA'!$AG:$AG,1,'Bilateral Assistance, MAIN DATA'!$AH:$AH,'Comm. per Month (Heavy Weapons)'!K$11, 'Bilateral Assistance, MAIN DATA'!$J:$J,"Heavy weapon")/VLOOKUP("USD",'Exchange Rates'!$B:$C,2,0))/1000000000</f>
        <v>0</v>
      </c>
      <c r="L25" s="276">
        <f>(SUMIFS('Bilateral Assistance, MAIN DATA'!$P:$P,'Bilateral Assistance, MAIN DATA'!$B:$B,'Comm. per Month (Heavy Weapons)'!$B25,'Bilateral Assistance, MAIN DATA'!$AG:$AG,1,'Bilateral Assistance, MAIN DATA'!$AH:$AH,'Comm. per Month (Heavy Weapons)'!L$11, 'Bilateral Assistance, MAIN DATA'!$J:$J,"Heavy weapon")/VLOOKUP("USD",'Exchange Rates'!$B:$C,2,0))/1000000000</f>
        <v>0</v>
      </c>
      <c r="M25" s="276">
        <f>(SUMIFS('Bilateral Assistance, MAIN DATA'!$P:$P,'Bilateral Assistance, MAIN DATA'!$B:$B,'Comm. per Month (Heavy Weapons)'!$B25,'Bilateral Assistance, MAIN DATA'!$AG:$AG,1,'Bilateral Assistance, MAIN DATA'!$AH:$AH,'Comm. per Month (Heavy Weapons)'!M$11, 'Bilateral Assistance, MAIN DATA'!$J:$J,"Heavy weapon")/VLOOKUP("USD",'Exchange Rates'!$B:$C,2,0))/1000000000</f>
        <v>0</v>
      </c>
      <c r="N25" s="276">
        <f>(SUMIFS('Bilateral Assistance, MAIN DATA'!$P:$P,'Bilateral Assistance, MAIN DATA'!$B:$B,'Comm. per Month (Heavy Weapons)'!$B25,'Bilateral Assistance, MAIN DATA'!$AG:$AG,1,'Bilateral Assistance, MAIN DATA'!$AH:$AH,'Comm. per Month (Heavy Weapons)'!N$11, 'Bilateral Assistance, MAIN DATA'!$J:$J,"Heavy weapon")/VLOOKUP("USD",'Exchange Rates'!$B:$C,2,0))/1000000000</f>
        <v>0</v>
      </c>
      <c r="O25" s="276">
        <f>(SUMIFS('Bilateral Assistance, MAIN DATA'!$P:$P,'Bilateral Assistance, MAIN DATA'!$B:$B,'Comm. per Month (Heavy Weapons)'!$B25,'Bilateral Assistance, MAIN DATA'!$AG:$AG,1,'Bilateral Assistance, MAIN DATA'!$AH:$AH,'Comm. per Month (Heavy Weapons)'!O$11, 'Bilateral Assistance, MAIN DATA'!$J:$J,"Heavy weapon")/VLOOKUP("USD",'Exchange Rates'!$B:$C,2,0))/1000000000</f>
        <v>4.407674217681503E-2</v>
      </c>
      <c r="P25" s="276">
        <f>(SUMIFS('Bilateral Assistance, MAIN DATA'!$P:$P,'Bilateral Assistance, MAIN DATA'!$B:$B,'Comm. per Month (Heavy Weapons)'!$B25,'Bilateral Assistance, MAIN DATA'!$AG:$AG,1,'Bilateral Assistance, MAIN DATA'!$AH:$AH,'Comm. per Month (Heavy Weapons)'!P$11, 'Bilateral Assistance, MAIN DATA'!$J:$J,"Heavy weapon")/VLOOKUP("USD",'Exchange Rates'!$B:$C,2,0))/1000000000</f>
        <v>7.0066270035923875E-2</v>
      </c>
      <c r="Q25" s="276">
        <f>(SUMIFS('Bilateral Assistance, MAIN DATA'!$P:$P,'Bilateral Assistance, MAIN DATA'!$B:$B,'Comm. per Month (Heavy Weapons)'!$B25,'Bilateral Assistance, MAIN DATA'!$AG:$AG,1,'Bilateral Assistance, MAIN DATA'!$AH:$AH,'Comm. per Month (Heavy Weapons)'!Q$11, 'Bilateral Assistance, MAIN DATA'!$J:$J,"Heavy weapon")/VLOOKUP("USD",'Exchange Rates'!$B:$C,2,0))/1000000000</f>
        <v>0</v>
      </c>
      <c r="R25" s="276">
        <f>(SUMIFS('Bilateral Assistance, MAIN DATA'!$P:$P,'Bilateral Assistance, MAIN DATA'!$B:$B,'Comm. per Month (Heavy Weapons)'!$B25,'Bilateral Assistance, MAIN DATA'!$AG:$AG,1,'Bilateral Assistance, MAIN DATA'!$AH:$AH,'Comm. per Month (Heavy Weapons)'!R$11, 'Bilateral Assistance, MAIN DATA'!$J:$J,"Heavy weapon")/VLOOKUP("USD",'Exchange Rates'!$B:$C,2,0))/1000000000</f>
        <v>0</v>
      </c>
      <c r="S25" s="138">
        <f t="shared" si="0"/>
        <v>0.2858692544031724</v>
      </c>
    </row>
    <row r="26" spans="1:19" ht="15.95" customHeight="1">
      <c r="A26" s="19"/>
      <c r="B26" s="24" t="s">
        <v>1711</v>
      </c>
      <c r="C26" s="297">
        <v>1</v>
      </c>
      <c r="D26" s="297">
        <v>0</v>
      </c>
      <c r="E26" s="276">
        <f>(SUMIFS('Bilateral Assistance, MAIN DATA'!$P:$P,'Bilateral Assistance, MAIN DATA'!$B:$B,'Comm. per Month (Heavy Weapons)'!$B26,'Bilateral Assistance, MAIN DATA'!$AG:$AG,1,'Bilateral Assistance, MAIN DATA'!$AH:$AH,'Comm. per Month (Heavy Weapons)'!E$11, 'Bilateral Assistance, MAIN DATA'!$J:$J,"Heavy weapon")/VLOOKUP("USD",'Exchange Rates'!$B:$C,2,0))/1000000000</f>
        <v>0</v>
      </c>
      <c r="F26" s="276">
        <f>(SUMIFS('Bilateral Assistance, MAIN DATA'!$P:$P,'Bilateral Assistance, MAIN DATA'!$B:$B,'Comm. per Month (Heavy Weapons)'!$B26,'Bilateral Assistance, MAIN DATA'!$AG:$AG,1,'Bilateral Assistance, MAIN DATA'!$AH:$AH,'Comm. per Month (Heavy Weapons)'!F$11, 'Bilateral Assistance, MAIN DATA'!$J:$J,"Heavy weapon")/VLOOKUP("USD",'Exchange Rates'!$B:$C,2,0))/1000000000</f>
        <v>0</v>
      </c>
      <c r="G26" s="276">
        <f>(SUMIFS('Bilateral Assistance, MAIN DATA'!$P:$P,'Bilateral Assistance, MAIN DATA'!$B:$B,'Comm. per Month (Heavy Weapons)'!$B26,'Bilateral Assistance, MAIN DATA'!$AG:$AG,1,'Bilateral Assistance, MAIN DATA'!$AH:$AH,'Comm. per Month (Heavy Weapons)'!G$11, 'Bilateral Assistance, MAIN DATA'!$J:$J,"Heavy weapon")/VLOOKUP("USD",'Exchange Rates'!$B:$C,2,0))/1000000000</f>
        <v>0</v>
      </c>
      <c r="H26" s="276">
        <f>(SUMIFS('Bilateral Assistance, MAIN DATA'!$P:$P,'Bilateral Assistance, MAIN DATA'!$B:$B,'Comm. per Month (Heavy Weapons)'!$B26,'Bilateral Assistance, MAIN DATA'!$AG:$AG,1,'Bilateral Assistance, MAIN DATA'!$AH:$AH,'Comm. per Month (Heavy Weapons)'!H$11, 'Bilateral Assistance, MAIN DATA'!$J:$J,"Heavy weapon")/VLOOKUP("USD",'Exchange Rates'!$B:$C,2,0))/1000000000</f>
        <v>0.12161566821817078</v>
      </c>
      <c r="I26" s="276">
        <f>(SUMIFS('Bilateral Assistance, MAIN DATA'!$P:$P,'Bilateral Assistance, MAIN DATA'!$B:$B,'Comm. per Month (Heavy Weapons)'!$B26,'Bilateral Assistance, MAIN DATA'!$AG:$AG,1,'Bilateral Assistance, MAIN DATA'!$AH:$AH,'Comm. per Month (Heavy Weapons)'!I$11, 'Bilateral Assistance, MAIN DATA'!$J:$J,"Heavy weapon")/VLOOKUP("USD",'Exchange Rates'!$B:$C,2,0))/1000000000</f>
        <v>0</v>
      </c>
      <c r="J26" s="276">
        <f>(SUMIFS('Bilateral Assistance, MAIN DATA'!$P:$P,'Bilateral Assistance, MAIN DATA'!$B:$B,'Comm. per Month (Heavy Weapons)'!$B26,'Bilateral Assistance, MAIN DATA'!$AG:$AG,1,'Bilateral Assistance, MAIN DATA'!$AH:$AH,'Comm. per Month (Heavy Weapons)'!J$11, 'Bilateral Assistance, MAIN DATA'!$J:$J,"Heavy weapon")/VLOOKUP("USD",'Exchange Rates'!$B:$C,2,0))/1000000000</f>
        <v>5.7370345831799778E-2</v>
      </c>
      <c r="K26" s="276">
        <f>(SUMIFS('Bilateral Assistance, MAIN DATA'!$P:$P,'Bilateral Assistance, MAIN DATA'!$B:$B,'Comm. per Month (Heavy Weapons)'!$B26,'Bilateral Assistance, MAIN DATA'!$AG:$AG,1,'Bilateral Assistance, MAIN DATA'!$AH:$AH,'Comm. per Month (Heavy Weapons)'!K$11, 'Bilateral Assistance, MAIN DATA'!$J:$J,"Heavy weapon")/VLOOKUP("USD",'Exchange Rates'!$B:$C,2,0))/1000000000</f>
        <v>0.1036866073017146</v>
      </c>
      <c r="L26" s="276">
        <f>(SUMIFS('Bilateral Assistance, MAIN DATA'!$P:$P,'Bilateral Assistance, MAIN DATA'!$B:$B,'Comm. per Month (Heavy Weapons)'!$B26,'Bilateral Assistance, MAIN DATA'!$AG:$AG,1,'Bilateral Assistance, MAIN DATA'!$AH:$AH,'Comm. per Month (Heavy Weapons)'!L$11, 'Bilateral Assistance, MAIN DATA'!$J:$J,"Heavy weapon")/VLOOKUP("USD",'Exchange Rates'!$B:$C,2,0))/1000000000</f>
        <v>4.7539733860875961E-2</v>
      </c>
      <c r="M26" s="276">
        <f>(SUMIFS('Bilateral Assistance, MAIN DATA'!$P:$P,'Bilateral Assistance, MAIN DATA'!$B:$B,'Comm. per Month (Heavy Weapons)'!$B26,'Bilateral Assistance, MAIN DATA'!$AG:$AG,1,'Bilateral Assistance, MAIN DATA'!$AH:$AH,'Comm. per Month (Heavy Weapons)'!M$11, 'Bilateral Assistance, MAIN DATA'!$J:$J,"Heavy weapon")/VLOOKUP("USD",'Exchange Rates'!$B:$C,2,0))/1000000000</f>
        <v>0.67196389092197695</v>
      </c>
      <c r="N26" s="276">
        <f>(SUMIFS('Bilateral Assistance, MAIN DATA'!$P:$P,'Bilateral Assistance, MAIN DATA'!$B:$B,'Comm. per Month (Heavy Weapons)'!$B26,'Bilateral Assistance, MAIN DATA'!$AG:$AG,1,'Bilateral Assistance, MAIN DATA'!$AH:$AH,'Comm. per Month (Heavy Weapons)'!N$11, 'Bilateral Assistance, MAIN DATA'!$J:$J,"Heavy weapon")/VLOOKUP("USD",'Exchange Rates'!$B:$C,2,0))/1000000000</f>
        <v>4.2504617598735535E-2</v>
      </c>
      <c r="O26" s="276">
        <f>(SUMIFS('Bilateral Assistance, MAIN DATA'!$P:$P,'Bilateral Assistance, MAIN DATA'!$B:$B,'Comm. per Month (Heavy Weapons)'!$B26,'Bilateral Assistance, MAIN DATA'!$AG:$AG,1,'Bilateral Assistance, MAIN DATA'!$AH:$AH,'Comm. per Month (Heavy Weapons)'!O$11, 'Bilateral Assistance, MAIN DATA'!$J:$J,"Heavy weapon")/VLOOKUP("USD",'Exchange Rates'!$B:$C,2,0))/1000000000</f>
        <v>0</v>
      </c>
      <c r="P26" s="276">
        <f>(SUMIFS('Bilateral Assistance, MAIN DATA'!$P:$P,'Bilateral Assistance, MAIN DATA'!$B:$B,'Comm. per Month (Heavy Weapons)'!$B26,'Bilateral Assistance, MAIN DATA'!$AG:$AG,1,'Bilateral Assistance, MAIN DATA'!$AH:$AH,'Comm. per Month (Heavy Weapons)'!P$11, 'Bilateral Assistance, MAIN DATA'!$J:$J,"Heavy weapon")/VLOOKUP("USD",'Exchange Rates'!$B:$C,2,0))/1000000000</f>
        <v>0.22285088559072505</v>
      </c>
      <c r="Q26" s="276">
        <f>(SUMIFS('Bilateral Assistance, MAIN DATA'!$P:$P,'Bilateral Assistance, MAIN DATA'!$B:$B,'Comm. per Month (Heavy Weapons)'!$B26,'Bilateral Assistance, MAIN DATA'!$AG:$AG,1,'Bilateral Assistance, MAIN DATA'!$AH:$AH,'Comm. per Month (Heavy Weapons)'!Q$11, 'Bilateral Assistance, MAIN DATA'!$J:$J,"Heavy weapon")/VLOOKUP("USD",'Exchange Rates'!$B:$C,2,0))/1000000000</f>
        <v>0.49687154950312845</v>
      </c>
      <c r="R26" s="276">
        <f>(SUMIFS('Bilateral Assistance, MAIN DATA'!$P:$P,'Bilateral Assistance, MAIN DATA'!$B:$B,'Comm. per Month (Heavy Weapons)'!$B26,'Bilateral Assistance, MAIN DATA'!$AG:$AG,1,'Bilateral Assistance, MAIN DATA'!$AH:$AH,'Comm. per Month (Heavy Weapons)'!R$11, 'Bilateral Assistance, MAIN DATA'!$J:$J,"Heavy weapon")/VLOOKUP("USD",'Exchange Rates'!$B:$C,2,0))/1000000000</f>
        <v>6.2335358998895841E-2</v>
      </c>
      <c r="S26" s="138">
        <f t="shared" si="0"/>
        <v>1.764403298827127</v>
      </c>
    </row>
    <row r="27" spans="1:19" ht="15.95" customHeight="1">
      <c r="A27" s="19"/>
      <c r="B27" s="24" t="s">
        <v>1973</v>
      </c>
      <c r="C27" s="297">
        <v>1</v>
      </c>
      <c r="D27" s="297">
        <v>0</v>
      </c>
      <c r="E27" s="276">
        <f>(SUMIFS('Bilateral Assistance, MAIN DATA'!$P:$P,'Bilateral Assistance, MAIN DATA'!$B:$B,'Comm. per Month (Heavy Weapons)'!$B27,'Bilateral Assistance, MAIN DATA'!$AG:$AG,1,'Bilateral Assistance, MAIN DATA'!$AH:$AH,'Comm. per Month (Heavy Weapons)'!E$11, 'Bilateral Assistance, MAIN DATA'!$J:$J,"Heavy weapon")/VLOOKUP("USD",'Exchange Rates'!$B:$C,2,0))/1000000000</f>
        <v>0</v>
      </c>
      <c r="F27" s="276">
        <f>(SUMIFS('Bilateral Assistance, MAIN DATA'!$P:$P,'Bilateral Assistance, MAIN DATA'!$B:$B,'Comm. per Month (Heavy Weapons)'!$B27,'Bilateral Assistance, MAIN DATA'!$AG:$AG,1,'Bilateral Assistance, MAIN DATA'!$AH:$AH,'Comm. per Month (Heavy Weapons)'!F$11, 'Bilateral Assistance, MAIN DATA'!$J:$J,"Heavy weapon")/VLOOKUP("USD",'Exchange Rates'!$B:$C,2,0))/1000000000</f>
        <v>0</v>
      </c>
      <c r="G27" s="276">
        <f>(SUMIFS('Bilateral Assistance, MAIN DATA'!$P:$P,'Bilateral Assistance, MAIN DATA'!$B:$B,'Comm. per Month (Heavy Weapons)'!$B27,'Bilateral Assistance, MAIN DATA'!$AG:$AG,1,'Bilateral Assistance, MAIN DATA'!$AH:$AH,'Comm. per Month (Heavy Weapons)'!G$11, 'Bilateral Assistance, MAIN DATA'!$J:$J,"Heavy weapon")/VLOOKUP("USD",'Exchange Rates'!$B:$C,2,0))/1000000000</f>
        <v>0</v>
      </c>
      <c r="H27" s="276">
        <f>(SUMIFS('Bilateral Assistance, MAIN DATA'!$P:$P,'Bilateral Assistance, MAIN DATA'!$B:$B,'Comm. per Month (Heavy Weapons)'!$B27,'Bilateral Assistance, MAIN DATA'!$AG:$AG,1,'Bilateral Assistance, MAIN DATA'!$AH:$AH,'Comm. per Month (Heavy Weapons)'!H$11, 'Bilateral Assistance, MAIN DATA'!$J:$J,"Heavy weapon")/VLOOKUP("USD",'Exchange Rates'!$B:$C,2,0))/1000000000</f>
        <v>0</v>
      </c>
      <c r="I27" s="276">
        <f>(SUMIFS('Bilateral Assistance, MAIN DATA'!$P:$P,'Bilateral Assistance, MAIN DATA'!$B:$B,'Comm. per Month (Heavy Weapons)'!$B27,'Bilateral Assistance, MAIN DATA'!$AG:$AG,1,'Bilateral Assistance, MAIN DATA'!$AH:$AH,'Comm. per Month (Heavy Weapons)'!I$11, 'Bilateral Assistance, MAIN DATA'!$J:$J,"Heavy weapon")/VLOOKUP("USD",'Exchange Rates'!$B:$C,2,0))/1000000000</f>
        <v>0</v>
      </c>
      <c r="J27" s="276">
        <f>(SUMIFS('Bilateral Assistance, MAIN DATA'!$P:$P,'Bilateral Assistance, MAIN DATA'!$B:$B,'Comm. per Month (Heavy Weapons)'!$B27,'Bilateral Assistance, MAIN DATA'!$AG:$AG,1,'Bilateral Assistance, MAIN DATA'!$AH:$AH,'Comm. per Month (Heavy Weapons)'!J$11, 'Bilateral Assistance, MAIN DATA'!$J:$J,"Heavy weapon")/VLOOKUP("USD",'Exchange Rates'!$B:$C,2,0))/1000000000</f>
        <v>0</v>
      </c>
      <c r="K27" s="276">
        <f>(SUMIFS('Bilateral Assistance, MAIN DATA'!$P:$P,'Bilateral Assistance, MAIN DATA'!$B:$B,'Comm. per Month (Heavy Weapons)'!$B27,'Bilateral Assistance, MAIN DATA'!$AG:$AG,1,'Bilateral Assistance, MAIN DATA'!$AH:$AH,'Comm. per Month (Heavy Weapons)'!K$11, 'Bilateral Assistance, MAIN DATA'!$J:$J,"Heavy weapon")/VLOOKUP("USD",'Exchange Rates'!$B:$C,2,0))/1000000000</f>
        <v>0</v>
      </c>
      <c r="L27" s="276">
        <f>(SUMIFS('Bilateral Assistance, MAIN DATA'!$P:$P,'Bilateral Assistance, MAIN DATA'!$B:$B,'Comm. per Month (Heavy Weapons)'!$B27,'Bilateral Assistance, MAIN DATA'!$AG:$AG,1,'Bilateral Assistance, MAIN DATA'!$AH:$AH,'Comm. per Month (Heavy Weapons)'!L$11, 'Bilateral Assistance, MAIN DATA'!$J:$J,"Heavy weapon")/VLOOKUP("USD",'Exchange Rates'!$B:$C,2,0))/1000000000</f>
        <v>0</v>
      </c>
      <c r="M27" s="276">
        <f>(SUMIFS('Bilateral Assistance, MAIN DATA'!$P:$P,'Bilateral Assistance, MAIN DATA'!$B:$B,'Comm. per Month (Heavy Weapons)'!$B27,'Bilateral Assistance, MAIN DATA'!$AG:$AG,1,'Bilateral Assistance, MAIN DATA'!$AH:$AH,'Comm. per Month (Heavy Weapons)'!M$11, 'Bilateral Assistance, MAIN DATA'!$J:$J,"Heavy weapon")/VLOOKUP("USD",'Exchange Rates'!$B:$C,2,0))/1000000000</f>
        <v>2.0667741258741264E-2</v>
      </c>
      <c r="N27" s="276">
        <f>(SUMIFS('Bilateral Assistance, MAIN DATA'!$P:$P,'Bilateral Assistance, MAIN DATA'!$B:$B,'Comm. per Month (Heavy Weapons)'!$B27,'Bilateral Assistance, MAIN DATA'!$AG:$AG,1,'Bilateral Assistance, MAIN DATA'!$AH:$AH,'Comm. per Month (Heavy Weapons)'!N$11, 'Bilateral Assistance, MAIN DATA'!$J:$J,"Heavy weapon")/VLOOKUP("USD",'Exchange Rates'!$B:$C,2,0))/1000000000</f>
        <v>0</v>
      </c>
      <c r="O27" s="276">
        <f>(SUMIFS('Bilateral Assistance, MAIN DATA'!$P:$P,'Bilateral Assistance, MAIN DATA'!$B:$B,'Comm. per Month (Heavy Weapons)'!$B27,'Bilateral Assistance, MAIN DATA'!$AG:$AG,1,'Bilateral Assistance, MAIN DATA'!$AH:$AH,'Comm. per Month (Heavy Weapons)'!O$11, 'Bilateral Assistance, MAIN DATA'!$J:$J,"Heavy weapon")/VLOOKUP("USD",'Exchange Rates'!$B:$C,2,0))/1000000000</f>
        <v>0</v>
      </c>
      <c r="P27" s="276">
        <f>(SUMIFS('Bilateral Assistance, MAIN DATA'!$P:$P,'Bilateral Assistance, MAIN DATA'!$B:$B,'Comm. per Month (Heavy Weapons)'!$B27,'Bilateral Assistance, MAIN DATA'!$AG:$AG,1,'Bilateral Assistance, MAIN DATA'!$AH:$AH,'Comm. per Month (Heavy Weapons)'!P$11, 'Bilateral Assistance, MAIN DATA'!$J:$J,"Heavy weapon")/VLOOKUP("USD",'Exchange Rates'!$B:$C,2,0))/1000000000</f>
        <v>0</v>
      </c>
      <c r="Q27" s="276">
        <f>(SUMIFS('Bilateral Assistance, MAIN DATA'!$P:$P,'Bilateral Assistance, MAIN DATA'!$B:$B,'Comm. per Month (Heavy Weapons)'!$B27,'Bilateral Assistance, MAIN DATA'!$AG:$AG,1,'Bilateral Assistance, MAIN DATA'!$AH:$AH,'Comm. per Month (Heavy Weapons)'!Q$11, 'Bilateral Assistance, MAIN DATA'!$J:$J,"Heavy weapon")/VLOOKUP("USD",'Exchange Rates'!$B:$C,2,0))/1000000000</f>
        <v>0</v>
      </c>
      <c r="R27" s="276">
        <f>(SUMIFS('Bilateral Assistance, MAIN DATA'!$P:$P,'Bilateral Assistance, MAIN DATA'!$B:$B,'Comm. per Month (Heavy Weapons)'!$B27,'Bilateral Assistance, MAIN DATA'!$AG:$AG,1,'Bilateral Assistance, MAIN DATA'!$AH:$AH,'Comm. per Month (Heavy Weapons)'!R$11, 'Bilateral Assistance, MAIN DATA'!$J:$J,"Heavy weapon")/VLOOKUP("USD",'Exchange Rates'!$B:$C,2,0))/1000000000</f>
        <v>1.0333870629370632E-2</v>
      </c>
      <c r="S27" s="138">
        <f t="shared" si="0"/>
        <v>2.0667741258741264E-2</v>
      </c>
    </row>
    <row r="28" spans="1:19" ht="15.95" customHeight="1">
      <c r="A28" s="19"/>
      <c r="B28" s="24" t="s">
        <v>2028</v>
      </c>
      <c r="C28" s="297">
        <v>1</v>
      </c>
      <c r="D28" s="297">
        <v>0</v>
      </c>
      <c r="E28" s="276">
        <f>(SUMIFS('Bilateral Assistance, MAIN DATA'!$P:$P,'Bilateral Assistance, MAIN DATA'!$B:$B,'Comm. per Month (Heavy Weapons)'!$B28,'Bilateral Assistance, MAIN DATA'!$AG:$AG,1,'Bilateral Assistance, MAIN DATA'!$AH:$AH,'Comm. per Month (Heavy Weapons)'!E$11, 'Bilateral Assistance, MAIN DATA'!$J:$J,"Heavy weapon")/VLOOKUP("USD",'Exchange Rates'!$B:$C,2,0))/1000000000</f>
        <v>0</v>
      </c>
      <c r="F28" s="276">
        <f>(SUMIFS('Bilateral Assistance, MAIN DATA'!$P:$P,'Bilateral Assistance, MAIN DATA'!$B:$B,'Comm. per Month (Heavy Weapons)'!$B28,'Bilateral Assistance, MAIN DATA'!$AG:$AG,1,'Bilateral Assistance, MAIN DATA'!$AH:$AH,'Comm. per Month (Heavy Weapons)'!F$11, 'Bilateral Assistance, MAIN DATA'!$J:$J,"Heavy weapon")/VLOOKUP("USD",'Exchange Rates'!$B:$C,2,0))/1000000000</f>
        <v>0</v>
      </c>
      <c r="G28" s="276">
        <f>(SUMIFS('Bilateral Assistance, MAIN DATA'!$P:$P,'Bilateral Assistance, MAIN DATA'!$B:$B,'Comm. per Month (Heavy Weapons)'!$B28,'Bilateral Assistance, MAIN DATA'!$AG:$AG,1,'Bilateral Assistance, MAIN DATA'!$AH:$AH,'Comm. per Month (Heavy Weapons)'!G$11, 'Bilateral Assistance, MAIN DATA'!$J:$J,"Heavy weapon")/VLOOKUP("USD",'Exchange Rates'!$B:$C,2,0))/1000000000</f>
        <v>0</v>
      </c>
      <c r="H28" s="276">
        <f>(SUMIFS('Bilateral Assistance, MAIN DATA'!$P:$P,'Bilateral Assistance, MAIN DATA'!$B:$B,'Comm. per Month (Heavy Weapons)'!$B28,'Bilateral Assistance, MAIN DATA'!$AG:$AG,1,'Bilateral Assistance, MAIN DATA'!$AH:$AH,'Comm. per Month (Heavy Weapons)'!H$11, 'Bilateral Assistance, MAIN DATA'!$J:$J,"Heavy weapon")/VLOOKUP("USD",'Exchange Rates'!$B:$C,2,0))/1000000000</f>
        <v>0</v>
      </c>
      <c r="I28" s="276">
        <f>(SUMIFS('Bilateral Assistance, MAIN DATA'!$P:$P,'Bilateral Assistance, MAIN DATA'!$B:$B,'Comm. per Month (Heavy Weapons)'!$B28,'Bilateral Assistance, MAIN DATA'!$AG:$AG,1,'Bilateral Assistance, MAIN DATA'!$AH:$AH,'Comm. per Month (Heavy Weapons)'!I$11, 'Bilateral Assistance, MAIN DATA'!$J:$J,"Heavy weapon")/VLOOKUP("USD",'Exchange Rates'!$B:$C,2,0))/1000000000</f>
        <v>0</v>
      </c>
      <c r="J28" s="276">
        <f>(SUMIFS('Bilateral Assistance, MAIN DATA'!$P:$P,'Bilateral Assistance, MAIN DATA'!$B:$B,'Comm. per Month (Heavy Weapons)'!$B28,'Bilateral Assistance, MAIN DATA'!$AG:$AG,1,'Bilateral Assistance, MAIN DATA'!$AH:$AH,'Comm. per Month (Heavy Weapons)'!J$11, 'Bilateral Assistance, MAIN DATA'!$J:$J,"Heavy weapon")/VLOOKUP("USD",'Exchange Rates'!$B:$C,2,0))/1000000000</f>
        <v>0</v>
      </c>
      <c r="K28" s="276">
        <f>(SUMIFS('Bilateral Assistance, MAIN DATA'!$P:$P,'Bilateral Assistance, MAIN DATA'!$B:$B,'Comm. per Month (Heavy Weapons)'!$B28,'Bilateral Assistance, MAIN DATA'!$AG:$AG,1,'Bilateral Assistance, MAIN DATA'!$AH:$AH,'Comm. per Month (Heavy Weapons)'!K$11, 'Bilateral Assistance, MAIN DATA'!$J:$J,"Heavy weapon")/VLOOKUP("USD",'Exchange Rates'!$B:$C,2,0))/1000000000</f>
        <v>0</v>
      </c>
      <c r="L28" s="276">
        <f>(SUMIFS('Bilateral Assistance, MAIN DATA'!$P:$P,'Bilateral Assistance, MAIN DATA'!$B:$B,'Comm. per Month (Heavy Weapons)'!$B28,'Bilateral Assistance, MAIN DATA'!$AG:$AG,1,'Bilateral Assistance, MAIN DATA'!$AH:$AH,'Comm. per Month (Heavy Weapons)'!L$11, 'Bilateral Assistance, MAIN DATA'!$J:$J,"Heavy weapon")/VLOOKUP("USD",'Exchange Rates'!$B:$C,2,0))/1000000000</f>
        <v>0</v>
      </c>
      <c r="M28" s="276">
        <f>(SUMIFS('Bilateral Assistance, MAIN DATA'!$P:$P,'Bilateral Assistance, MAIN DATA'!$B:$B,'Comm. per Month (Heavy Weapons)'!$B28,'Bilateral Assistance, MAIN DATA'!$AG:$AG,1,'Bilateral Assistance, MAIN DATA'!$AH:$AH,'Comm. per Month (Heavy Weapons)'!M$11, 'Bilateral Assistance, MAIN DATA'!$J:$J,"Heavy weapon")/VLOOKUP("USD",'Exchange Rates'!$B:$C,2,0))/1000000000</f>
        <v>0</v>
      </c>
      <c r="N28" s="276">
        <f>(SUMIFS('Bilateral Assistance, MAIN DATA'!$P:$P,'Bilateral Assistance, MAIN DATA'!$B:$B,'Comm. per Month (Heavy Weapons)'!$B28,'Bilateral Assistance, MAIN DATA'!$AG:$AG,1,'Bilateral Assistance, MAIN DATA'!$AH:$AH,'Comm. per Month (Heavy Weapons)'!N$11, 'Bilateral Assistance, MAIN DATA'!$J:$J,"Heavy weapon")/VLOOKUP("USD",'Exchange Rates'!$B:$C,2,0))/1000000000</f>
        <v>0</v>
      </c>
      <c r="O28" s="276">
        <f>(SUMIFS('Bilateral Assistance, MAIN DATA'!$P:$P,'Bilateral Assistance, MAIN DATA'!$B:$B,'Comm. per Month (Heavy Weapons)'!$B28,'Bilateral Assistance, MAIN DATA'!$AG:$AG,1,'Bilateral Assistance, MAIN DATA'!$AH:$AH,'Comm. per Month (Heavy Weapons)'!O$11, 'Bilateral Assistance, MAIN DATA'!$J:$J,"Heavy weapon")/VLOOKUP("USD",'Exchange Rates'!$B:$C,2,0))/1000000000</f>
        <v>0</v>
      </c>
      <c r="P28" s="276">
        <f>(SUMIFS('Bilateral Assistance, MAIN DATA'!$P:$P,'Bilateral Assistance, MAIN DATA'!$B:$B,'Comm. per Month (Heavy Weapons)'!$B28,'Bilateral Assistance, MAIN DATA'!$AG:$AG,1,'Bilateral Assistance, MAIN DATA'!$AH:$AH,'Comm. per Month (Heavy Weapons)'!P$11, 'Bilateral Assistance, MAIN DATA'!$J:$J,"Heavy weapon")/VLOOKUP("USD",'Exchange Rates'!$B:$C,2,0))/1000000000</f>
        <v>0</v>
      </c>
      <c r="Q28" s="276">
        <f>(SUMIFS('Bilateral Assistance, MAIN DATA'!$P:$P,'Bilateral Assistance, MAIN DATA'!$B:$B,'Comm. per Month (Heavy Weapons)'!$B28,'Bilateral Assistance, MAIN DATA'!$AG:$AG,1,'Bilateral Assistance, MAIN DATA'!$AH:$AH,'Comm. per Month (Heavy Weapons)'!Q$11, 'Bilateral Assistance, MAIN DATA'!$J:$J,"Heavy weapon")/VLOOKUP("USD",'Exchange Rates'!$B:$C,2,0))/1000000000</f>
        <v>0</v>
      </c>
      <c r="R28" s="276">
        <f>(SUMIFS('Bilateral Assistance, MAIN DATA'!$P:$P,'Bilateral Assistance, MAIN DATA'!$B:$B,'Comm. per Month (Heavy Weapons)'!$B28,'Bilateral Assistance, MAIN DATA'!$AG:$AG,1,'Bilateral Assistance, MAIN DATA'!$AH:$AH,'Comm. per Month (Heavy Weapons)'!R$11, 'Bilateral Assistance, MAIN DATA'!$J:$J,"Heavy weapon")/VLOOKUP("USD",'Exchange Rates'!$B:$C,2,0))/1000000000</f>
        <v>0</v>
      </c>
      <c r="S28" s="138">
        <f t="shared" si="0"/>
        <v>0</v>
      </c>
    </row>
    <row r="29" spans="1:19" ht="15.95" customHeight="1">
      <c r="A29" s="19"/>
      <c r="B29" s="24" t="s">
        <v>2139</v>
      </c>
      <c r="C29" s="297">
        <v>0</v>
      </c>
      <c r="D29" s="297">
        <v>1</v>
      </c>
      <c r="E29" s="276">
        <f>(SUMIFS('Bilateral Assistance, MAIN DATA'!$P:$P,'Bilateral Assistance, MAIN DATA'!$B:$B,'Comm. per Month (Heavy Weapons)'!$B29,'Bilateral Assistance, MAIN DATA'!$AG:$AG,1,'Bilateral Assistance, MAIN DATA'!$AH:$AH,'Comm. per Month (Heavy Weapons)'!E$11, 'Bilateral Assistance, MAIN DATA'!$J:$J,"Heavy weapon")/VLOOKUP("USD",'Exchange Rates'!$B:$C,2,0))/1000000000</f>
        <v>0</v>
      </c>
      <c r="F29" s="276">
        <f>(SUMIFS('Bilateral Assistance, MAIN DATA'!$P:$P,'Bilateral Assistance, MAIN DATA'!$B:$B,'Comm. per Month (Heavy Weapons)'!$B29,'Bilateral Assistance, MAIN DATA'!$AG:$AG,1,'Bilateral Assistance, MAIN DATA'!$AH:$AH,'Comm. per Month (Heavy Weapons)'!F$11, 'Bilateral Assistance, MAIN DATA'!$J:$J,"Heavy weapon")/VLOOKUP("USD",'Exchange Rates'!$B:$C,2,0))/1000000000</f>
        <v>0</v>
      </c>
      <c r="G29" s="276">
        <f>(SUMIFS('Bilateral Assistance, MAIN DATA'!$P:$P,'Bilateral Assistance, MAIN DATA'!$B:$B,'Comm. per Month (Heavy Weapons)'!$B29,'Bilateral Assistance, MAIN DATA'!$AG:$AG,1,'Bilateral Assistance, MAIN DATA'!$AH:$AH,'Comm. per Month (Heavy Weapons)'!G$11, 'Bilateral Assistance, MAIN DATA'!$J:$J,"Heavy weapon")/VLOOKUP("USD",'Exchange Rates'!$B:$C,2,0))/1000000000</f>
        <v>0</v>
      </c>
      <c r="H29" s="276">
        <f>(SUMIFS('Bilateral Assistance, MAIN DATA'!$P:$P,'Bilateral Assistance, MAIN DATA'!$B:$B,'Comm. per Month (Heavy Weapons)'!$B29,'Bilateral Assistance, MAIN DATA'!$AG:$AG,1,'Bilateral Assistance, MAIN DATA'!$AH:$AH,'Comm. per Month (Heavy Weapons)'!H$11, 'Bilateral Assistance, MAIN DATA'!$J:$J,"Heavy weapon")/VLOOKUP("USD",'Exchange Rates'!$B:$C,2,0))/1000000000</f>
        <v>0</v>
      </c>
      <c r="I29" s="276">
        <f>(SUMIFS('Bilateral Assistance, MAIN DATA'!$P:$P,'Bilateral Assistance, MAIN DATA'!$B:$B,'Comm. per Month (Heavy Weapons)'!$B29,'Bilateral Assistance, MAIN DATA'!$AG:$AG,1,'Bilateral Assistance, MAIN DATA'!$AH:$AH,'Comm. per Month (Heavy Weapons)'!I$11, 'Bilateral Assistance, MAIN DATA'!$J:$J,"Heavy weapon")/VLOOKUP("USD",'Exchange Rates'!$B:$C,2,0))/1000000000</f>
        <v>0</v>
      </c>
      <c r="J29" s="276">
        <f>(SUMIFS('Bilateral Assistance, MAIN DATA'!$P:$P,'Bilateral Assistance, MAIN DATA'!$B:$B,'Comm. per Month (Heavy Weapons)'!$B29,'Bilateral Assistance, MAIN DATA'!$AG:$AG,1,'Bilateral Assistance, MAIN DATA'!$AH:$AH,'Comm. per Month (Heavy Weapons)'!J$11, 'Bilateral Assistance, MAIN DATA'!$J:$J,"Heavy weapon")/VLOOKUP("USD",'Exchange Rates'!$B:$C,2,0))/1000000000</f>
        <v>0</v>
      </c>
      <c r="K29" s="276">
        <f>(SUMIFS('Bilateral Assistance, MAIN DATA'!$P:$P,'Bilateral Assistance, MAIN DATA'!$B:$B,'Comm. per Month (Heavy Weapons)'!$B29,'Bilateral Assistance, MAIN DATA'!$AG:$AG,1,'Bilateral Assistance, MAIN DATA'!$AH:$AH,'Comm. per Month (Heavy Weapons)'!K$11, 'Bilateral Assistance, MAIN DATA'!$J:$J,"Heavy weapon")/VLOOKUP("USD",'Exchange Rates'!$B:$C,2,0))/1000000000</f>
        <v>0</v>
      </c>
      <c r="L29" s="276">
        <f>(SUMIFS('Bilateral Assistance, MAIN DATA'!$P:$P,'Bilateral Assistance, MAIN DATA'!$B:$B,'Comm. per Month (Heavy Weapons)'!$B29,'Bilateral Assistance, MAIN DATA'!$AG:$AG,1,'Bilateral Assistance, MAIN DATA'!$AH:$AH,'Comm. per Month (Heavy Weapons)'!L$11, 'Bilateral Assistance, MAIN DATA'!$J:$J,"Heavy weapon")/VLOOKUP("USD",'Exchange Rates'!$B:$C,2,0))/1000000000</f>
        <v>0</v>
      </c>
      <c r="M29" s="276">
        <f>(SUMIFS('Bilateral Assistance, MAIN DATA'!$P:$P,'Bilateral Assistance, MAIN DATA'!$B:$B,'Comm. per Month (Heavy Weapons)'!$B29,'Bilateral Assistance, MAIN DATA'!$AG:$AG,1,'Bilateral Assistance, MAIN DATA'!$AH:$AH,'Comm. per Month (Heavy Weapons)'!M$11, 'Bilateral Assistance, MAIN DATA'!$J:$J,"Heavy weapon")/VLOOKUP("USD",'Exchange Rates'!$B:$C,2,0))/1000000000</f>
        <v>0</v>
      </c>
      <c r="N29" s="276">
        <f>(SUMIFS('Bilateral Assistance, MAIN DATA'!$P:$P,'Bilateral Assistance, MAIN DATA'!$B:$B,'Comm. per Month (Heavy Weapons)'!$B29,'Bilateral Assistance, MAIN DATA'!$AG:$AG,1,'Bilateral Assistance, MAIN DATA'!$AH:$AH,'Comm. per Month (Heavy Weapons)'!N$11, 'Bilateral Assistance, MAIN DATA'!$J:$J,"Heavy weapon")/VLOOKUP("USD",'Exchange Rates'!$B:$C,2,0))/1000000000</f>
        <v>0</v>
      </c>
      <c r="O29" s="276">
        <f>(SUMIFS('Bilateral Assistance, MAIN DATA'!$P:$P,'Bilateral Assistance, MAIN DATA'!$B:$B,'Comm. per Month (Heavy Weapons)'!$B29,'Bilateral Assistance, MAIN DATA'!$AG:$AG,1,'Bilateral Assistance, MAIN DATA'!$AH:$AH,'Comm. per Month (Heavy Weapons)'!O$11, 'Bilateral Assistance, MAIN DATA'!$J:$J,"Heavy weapon")/VLOOKUP("USD",'Exchange Rates'!$B:$C,2,0))/1000000000</f>
        <v>0</v>
      </c>
      <c r="P29" s="276">
        <f>(SUMIFS('Bilateral Assistance, MAIN DATA'!$P:$P,'Bilateral Assistance, MAIN DATA'!$B:$B,'Comm. per Month (Heavy Weapons)'!$B29,'Bilateral Assistance, MAIN DATA'!$AG:$AG,1,'Bilateral Assistance, MAIN DATA'!$AH:$AH,'Comm. per Month (Heavy Weapons)'!P$11, 'Bilateral Assistance, MAIN DATA'!$J:$J,"Heavy weapon")/VLOOKUP("USD",'Exchange Rates'!$B:$C,2,0))/1000000000</f>
        <v>0</v>
      </c>
      <c r="Q29" s="276">
        <f>(SUMIFS('Bilateral Assistance, MAIN DATA'!$P:$P,'Bilateral Assistance, MAIN DATA'!$B:$B,'Comm. per Month (Heavy Weapons)'!$B29,'Bilateral Assistance, MAIN DATA'!$AG:$AG,1,'Bilateral Assistance, MAIN DATA'!$AH:$AH,'Comm. per Month (Heavy Weapons)'!Q$11, 'Bilateral Assistance, MAIN DATA'!$J:$J,"Heavy weapon")/VLOOKUP("USD",'Exchange Rates'!$B:$C,2,0))/1000000000</f>
        <v>0</v>
      </c>
      <c r="R29" s="276">
        <f>(SUMIFS('Bilateral Assistance, MAIN DATA'!$P:$P,'Bilateral Assistance, MAIN DATA'!$B:$B,'Comm. per Month (Heavy Weapons)'!$B29,'Bilateral Assistance, MAIN DATA'!$AG:$AG,1,'Bilateral Assistance, MAIN DATA'!$AH:$AH,'Comm. per Month (Heavy Weapons)'!R$11, 'Bilateral Assistance, MAIN DATA'!$J:$J,"Heavy weapon")/VLOOKUP("USD",'Exchange Rates'!$B:$C,2,0))/1000000000</f>
        <v>0</v>
      </c>
      <c r="S29" s="138">
        <f t="shared" ref="S29" si="1">SUM(E29:Q29)</f>
        <v>0</v>
      </c>
    </row>
    <row r="30" spans="1:19" ht="15.95" customHeight="1">
      <c r="A30" s="19"/>
      <c r="B30" s="24" t="s">
        <v>2096</v>
      </c>
      <c r="C30" s="297">
        <v>1</v>
      </c>
      <c r="D30" s="297">
        <v>0</v>
      </c>
      <c r="E30" s="276">
        <f>(SUMIFS('Bilateral Assistance, MAIN DATA'!$P:$P,'Bilateral Assistance, MAIN DATA'!$B:$B,'Comm. per Month (Heavy Weapons)'!$B30,'Bilateral Assistance, MAIN DATA'!$AG:$AG,1,'Bilateral Assistance, MAIN DATA'!$AH:$AH,'Comm. per Month (Heavy Weapons)'!E$11, 'Bilateral Assistance, MAIN DATA'!$J:$J,"Heavy weapon")/VLOOKUP("USD",'Exchange Rates'!$B:$C,2,0))/1000000000</f>
        <v>0</v>
      </c>
      <c r="F30" s="276">
        <f>(SUMIFS('Bilateral Assistance, MAIN DATA'!$P:$P,'Bilateral Assistance, MAIN DATA'!$B:$B,'Comm. per Month (Heavy Weapons)'!$B30,'Bilateral Assistance, MAIN DATA'!$AG:$AG,1,'Bilateral Assistance, MAIN DATA'!$AH:$AH,'Comm. per Month (Heavy Weapons)'!F$11, 'Bilateral Assistance, MAIN DATA'!$J:$J,"Heavy weapon")/VLOOKUP("USD",'Exchange Rates'!$B:$C,2,0))/1000000000</f>
        <v>0</v>
      </c>
      <c r="G30" s="276">
        <f>(SUMIFS('Bilateral Assistance, MAIN DATA'!$P:$P,'Bilateral Assistance, MAIN DATA'!$B:$B,'Comm. per Month (Heavy Weapons)'!$B30,'Bilateral Assistance, MAIN DATA'!$AG:$AG,1,'Bilateral Assistance, MAIN DATA'!$AH:$AH,'Comm. per Month (Heavy Weapons)'!G$11, 'Bilateral Assistance, MAIN DATA'!$J:$J,"Heavy weapon")/VLOOKUP("USD",'Exchange Rates'!$B:$C,2,0))/1000000000</f>
        <v>0</v>
      </c>
      <c r="H30" s="276">
        <f>(SUMIFS('Bilateral Assistance, MAIN DATA'!$P:$P,'Bilateral Assistance, MAIN DATA'!$B:$B,'Comm. per Month (Heavy Weapons)'!$B30,'Bilateral Assistance, MAIN DATA'!$AG:$AG,1,'Bilateral Assistance, MAIN DATA'!$AH:$AH,'Comm. per Month (Heavy Weapons)'!H$11, 'Bilateral Assistance, MAIN DATA'!$J:$J,"Heavy weapon")/VLOOKUP("USD",'Exchange Rates'!$B:$C,2,0))/1000000000</f>
        <v>0</v>
      </c>
      <c r="I30" s="276">
        <f>(SUMIFS('Bilateral Assistance, MAIN DATA'!$P:$P,'Bilateral Assistance, MAIN DATA'!$B:$B,'Comm. per Month (Heavy Weapons)'!$B30,'Bilateral Assistance, MAIN DATA'!$AG:$AG,1,'Bilateral Assistance, MAIN DATA'!$AH:$AH,'Comm. per Month (Heavy Weapons)'!I$11, 'Bilateral Assistance, MAIN DATA'!$J:$J,"Heavy weapon")/VLOOKUP("USD",'Exchange Rates'!$B:$C,2,0))/1000000000</f>
        <v>0</v>
      </c>
      <c r="J30" s="276">
        <f>(SUMIFS('Bilateral Assistance, MAIN DATA'!$P:$P,'Bilateral Assistance, MAIN DATA'!$B:$B,'Comm. per Month (Heavy Weapons)'!$B30,'Bilateral Assistance, MAIN DATA'!$AG:$AG,1,'Bilateral Assistance, MAIN DATA'!$AH:$AH,'Comm. per Month (Heavy Weapons)'!J$11, 'Bilateral Assistance, MAIN DATA'!$J:$J,"Heavy weapon")/VLOOKUP("USD",'Exchange Rates'!$B:$C,2,0))/1000000000</f>
        <v>0</v>
      </c>
      <c r="K30" s="276">
        <f>(SUMIFS('Bilateral Assistance, MAIN DATA'!$P:$P,'Bilateral Assistance, MAIN DATA'!$B:$B,'Comm. per Month (Heavy Weapons)'!$B30,'Bilateral Assistance, MAIN DATA'!$AG:$AG,1,'Bilateral Assistance, MAIN DATA'!$AH:$AH,'Comm. per Month (Heavy Weapons)'!K$11, 'Bilateral Assistance, MAIN DATA'!$J:$J,"Heavy weapon")/VLOOKUP("USD",'Exchange Rates'!$B:$C,2,0))/1000000000</f>
        <v>0</v>
      </c>
      <c r="L30" s="276">
        <f>(SUMIFS('Bilateral Assistance, MAIN DATA'!$P:$P,'Bilateral Assistance, MAIN DATA'!$B:$B,'Comm. per Month (Heavy Weapons)'!$B30,'Bilateral Assistance, MAIN DATA'!$AG:$AG,1,'Bilateral Assistance, MAIN DATA'!$AH:$AH,'Comm. per Month (Heavy Weapons)'!L$11, 'Bilateral Assistance, MAIN DATA'!$J:$J,"Heavy weapon")/VLOOKUP("USD",'Exchange Rates'!$B:$C,2,0))/1000000000</f>
        <v>0</v>
      </c>
      <c r="M30" s="276">
        <f>(SUMIFS('Bilateral Assistance, MAIN DATA'!$P:$P,'Bilateral Assistance, MAIN DATA'!$B:$B,'Comm. per Month (Heavy Weapons)'!$B30,'Bilateral Assistance, MAIN DATA'!$AG:$AG,1,'Bilateral Assistance, MAIN DATA'!$AH:$AH,'Comm. per Month (Heavy Weapons)'!M$11, 'Bilateral Assistance, MAIN DATA'!$J:$J,"Heavy weapon")/VLOOKUP("USD",'Exchange Rates'!$B:$C,2,0))/1000000000</f>
        <v>0</v>
      </c>
      <c r="N30" s="276">
        <f>(SUMIFS('Bilateral Assistance, MAIN DATA'!$P:$P,'Bilateral Assistance, MAIN DATA'!$B:$B,'Comm. per Month (Heavy Weapons)'!$B30,'Bilateral Assistance, MAIN DATA'!$AG:$AG,1,'Bilateral Assistance, MAIN DATA'!$AH:$AH,'Comm. per Month (Heavy Weapons)'!N$11, 'Bilateral Assistance, MAIN DATA'!$J:$J,"Heavy weapon")/VLOOKUP("USD",'Exchange Rates'!$B:$C,2,0))/1000000000</f>
        <v>0</v>
      </c>
      <c r="O30" s="276">
        <f>(SUMIFS('Bilateral Assistance, MAIN DATA'!$P:$P,'Bilateral Assistance, MAIN DATA'!$B:$B,'Comm. per Month (Heavy Weapons)'!$B30,'Bilateral Assistance, MAIN DATA'!$AG:$AG,1,'Bilateral Assistance, MAIN DATA'!$AH:$AH,'Comm. per Month (Heavy Weapons)'!O$11, 'Bilateral Assistance, MAIN DATA'!$J:$J,"Heavy weapon")/VLOOKUP("USD",'Exchange Rates'!$B:$C,2,0))/1000000000</f>
        <v>0</v>
      </c>
      <c r="P30" s="276">
        <f>(SUMIFS('Bilateral Assistance, MAIN DATA'!$P:$P,'Bilateral Assistance, MAIN DATA'!$B:$B,'Comm. per Month (Heavy Weapons)'!$B30,'Bilateral Assistance, MAIN DATA'!$AG:$AG,1,'Bilateral Assistance, MAIN DATA'!$AH:$AH,'Comm. per Month (Heavy Weapons)'!P$11, 'Bilateral Assistance, MAIN DATA'!$J:$J,"Heavy weapon")/VLOOKUP("USD",'Exchange Rates'!$B:$C,2,0))/1000000000</f>
        <v>0</v>
      </c>
      <c r="Q30" s="276">
        <f>(SUMIFS('Bilateral Assistance, MAIN DATA'!$P:$P,'Bilateral Assistance, MAIN DATA'!$B:$B,'Comm. per Month (Heavy Weapons)'!$B30,'Bilateral Assistance, MAIN DATA'!$AG:$AG,1,'Bilateral Assistance, MAIN DATA'!$AH:$AH,'Comm. per Month (Heavy Weapons)'!Q$11, 'Bilateral Assistance, MAIN DATA'!$J:$J,"Heavy weapon")/VLOOKUP("USD",'Exchange Rates'!$B:$C,2,0))/1000000000</f>
        <v>0</v>
      </c>
      <c r="R30" s="276">
        <f>(SUMIFS('Bilateral Assistance, MAIN DATA'!$P:$P,'Bilateral Assistance, MAIN DATA'!$B:$B,'Comm. per Month (Heavy Weapons)'!$B30,'Bilateral Assistance, MAIN DATA'!$AG:$AG,1,'Bilateral Assistance, MAIN DATA'!$AH:$AH,'Comm. per Month (Heavy Weapons)'!R$11, 'Bilateral Assistance, MAIN DATA'!$J:$J,"Heavy weapon")/VLOOKUP("USD",'Exchange Rates'!$B:$C,2,0))/1000000000</f>
        <v>0</v>
      </c>
      <c r="S30" s="138">
        <f t="shared" si="0"/>
        <v>0</v>
      </c>
    </row>
    <row r="31" spans="1:19" ht="15.95" customHeight="1">
      <c r="A31" s="19"/>
      <c r="B31" s="24" t="s">
        <v>2204</v>
      </c>
      <c r="C31" s="297">
        <v>1</v>
      </c>
      <c r="D31" s="297">
        <v>0</v>
      </c>
      <c r="E31" s="276">
        <f>(SUMIFS('Bilateral Assistance, MAIN DATA'!$P:$P,'Bilateral Assistance, MAIN DATA'!$B:$B,'Comm. per Month (Heavy Weapons)'!$B31,'Bilateral Assistance, MAIN DATA'!$AG:$AG,1,'Bilateral Assistance, MAIN DATA'!$AH:$AH,'Comm. per Month (Heavy Weapons)'!E$11, 'Bilateral Assistance, MAIN DATA'!$J:$J,"Heavy weapon")/VLOOKUP("USD",'Exchange Rates'!$B:$C,2,0))/1000000000</f>
        <v>0</v>
      </c>
      <c r="F31" s="276">
        <f>(SUMIFS('Bilateral Assistance, MAIN DATA'!$P:$P,'Bilateral Assistance, MAIN DATA'!$B:$B,'Comm. per Month (Heavy Weapons)'!$B31,'Bilateral Assistance, MAIN DATA'!$AG:$AG,1,'Bilateral Assistance, MAIN DATA'!$AH:$AH,'Comm. per Month (Heavy Weapons)'!F$11, 'Bilateral Assistance, MAIN DATA'!$J:$J,"Heavy weapon")/VLOOKUP("USD",'Exchange Rates'!$B:$C,2,0))/1000000000</f>
        <v>0</v>
      </c>
      <c r="G31" s="276">
        <f>(SUMIFS('Bilateral Assistance, MAIN DATA'!$P:$P,'Bilateral Assistance, MAIN DATA'!$B:$B,'Comm. per Month (Heavy Weapons)'!$B31,'Bilateral Assistance, MAIN DATA'!$AG:$AG,1,'Bilateral Assistance, MAIN DATA'!$AH:$AH,'Comm. per Month (Heavy Weapons)'!G$11, 'Bilateral Assistance, MAIN DATA'!$J:$J,"Heavy weapon")/VLOOKUP("USD",'Exchange Rates'!$B:$C,2,0))/1000000000</f>
        <v>0</v>
      </c>
      <c r="H31" s="276">
        <f>(SUMIFS('Bilateral Assistance, MAIN DATA'!$P:$P,'Bilateral Assistance, MAIN DATA'!$B:$B,'Comm. per Month (Heavy Weapons)'!$B31,'Bilateral Assistance, MAIN DATA'!$AG:$AG,1,'Bilateral Assistance, MAIN DATA'!$AH:$AH,'Comm. per Month (Heavy Weapons)'!H$11, 'Bilateral Assistance, MAIN DATA'!$J:$J,"Heavy weapon")/VLOOKUP("USD",'Exchange Rates'!$B:$C,2,0))/1000000000</f>
        <v>0</v>
      </c>
      <c r="I31" s="276">
        <f>(SUMIFS('Bilateral Assistance, MAIN DATA'!$P:$P,'Bilateral Assistance, MAIN DATA'!$B:$B,'Comm. per Month (Heavy Weapons)'!$B31,'Bilateral Assistance, MAIN DATA'!$AG:$AG,1,'Bilateral Assistance, MAIN DATA'!$AH:$AH,'Comm. per Month (Heavy Weapons)'!I$11, 'Bilateral Assistance, MAIN DATA'!$J:$J,"Heavy weapon")/VLOOKUP("USD",'Exchange Rates'!$B:$C,2,0))/1000000000</f>
        <v>0</v>
      </c>
      <c r="J31" s="276">
        <f>(SUMIFS('Bilateral Assistance, MAIN DATA'!$P:$P,'Bilateral Assistance, MAIN DATA'!$B:$B,'Comm. per Month (Heavy Weapons)'!$B31,'Bilateral Assistance, MAIN DATA'!$AG:$AG,1,'Bilateral Assistance, MAIN DATA'!$AH:$AH,'Comm. per Month (Heavy Weapons)'!J$11, 'Bilateral Assistance, MAIN DATA'!$J:$J,"Heavy weapon")/VLOOKUP("USD",'Exchange Rates'!$B:$C,2,0))/1000000000</f>
        <v>0</v>
      </c>
      <c r="K31" s="276">
        <f>(SUMIFS('Bilateral Assistance, MAIN DATA'!$P:$P,'Bilateral Assistance, MAIN DATA'!$B:$B,'Comm. per Month (Heavy Weapons)'!$B31,'Bilateral Assistance, MAIN DATA'!$AG:$AG,1,'Bilateral Assistance, MAIN DATA'!$AH:$AH,'Comm. per Month (Heavy Weapons)'!K$11, 'Bilateral Assistance, MAIN DATA'!$J:$J,"Heavy weapon")/VLOOKUP("USD",'Exchange Rates'!$B:$C,2,0))/1000000000</f>
        <v>0</v>
      </c>
      <c r="L31" s="276">
        <f>(SUMIFS('Bilateral Assistance, MAIN DATA'!$P:$P,'Bilateral Assistance, MAIN DATA'!$B:$B,'Comm. per Month (Heavy Weapons)'!$B31,'Bilateral Assistance, MAIN DATA'!$AG:$AG,1,'Bilateral Assistance, MAIN DATA'!$AH:$AH,'Comm. per Month (Heavy Weapons)'!L$11, 'Bilateral Assistance, MAIN DATA'!$J:$J,"Heavy weapon")/VLOOKUP("USD",'Exchange Rates'!$B:$C,2,0))/1000000000</f>
        <v>0</v>
      </c>
      <c r="M31" s="276">
        <f>(SUMIFS('Bilateral Assistance, MAIN DATA'!$P:$P,'Bilateral Assistance, MAIN DATA'!$B:$B,'Comm. per Month (Heavy Weapons)'!$B31,'Bilateral Assistance, MAIN DATA'!$AG:$AG,1,'Bilateral Assistance, MAIN DATA'!$AH:$AH,'Comm. per Month (Heavy Weapons)'!M$11, 'Bilateral Assistance, MAIN DATA'!$J:$J,"Heavy weapon")/VLOOKUP("USD",'Exchange Rates'!$B:$C,2,0))/1000000000</f>
        <v>0</v>
      </c>
      <c r="N31" s="276">
        <f>(SUMIFS('Bilateral Assistance, MAIN DATA'!$P:$P,'Bilateral Assistance, MAIN DATA'!$B:$B,'Comm. per Month (Heavy Weapons)'!$B31,'Bilateral Assistance, MAIN DATA'!$AG:$AG,1,'Bilateral Assistance, MAIN DATA'!$AH:$AH,'Comm. per Month (Heavy Weapons)'!N$11, 'Bilateral Assistance, MAIN DATA'!$J:$J,"Heavy weapon")/VLOOKUP("USD",'Exchange Rates'!$B:$C,2,0))/1000000000</f>
        <v>0.15563892218039529</v>
      </c>
      <c r="O31" s="276">
        <f>(SUMIFS('Bilateral Assistance, MAIN DATA'!$P:$P,'Bilateral Assistance, MAIN DATA'!$B:$B,'Comm. per Month (Heavy Weapons)'!$B31,'Bilateral Assistance, MAIN DATA'!$AG:$AG,1,'Bilateral Assistance, MAIN DATA'!$AH:$AH,'Comm. per Month (Heavy Weapons)'!O$11, 'Bilateral Assistance, MAIN DATA'!$J:$J,"Heavy weapon")/VLOOKUP("USD",'Exchange Rates'!$B:$C,2,0))/1000000000</f>
        <v>0</v>
      </c>
      <c r="P31" s="276">
        <f>(SUMIFS('Bilateral Assistance, MAIN DATA'!$P:$P,'Bilateral Assistance, MAIN DATA'!$B:$B,'Comm. per Month (Heavy Weapons)'!$B31,'Bilateral Assistance, MAIN DATA'!$AG:$AG,1,'Bilateral Assistance, MAIN DATA'!$AH:$AH,'Comm. per Month (Heavy Weapons)'!P$11, 'Bilateral Assistance, MAIN DATA'!$J:$J,"Heavy weapon")/VLOOKUP("USD",'Exchange Rates'!$B:$C,2,0))/1000000000</f>
        <v>0</v>
      </c>
      <c r="Q31" s="276">
        <f>(SUMIFS('Bilateral Assistance, MAIN DATA'!$P:$P,'Bilateral Assistance, MAIN DATA'!$B:$B,'Comm. per Month (Heavy Weapons)'!$B31,'Bilateral Assistance, MAIN DATA'!$AG:$AG,1,'Bilateral Assistance, MAIN DATA'!$AH:$AH,'Comm. per Month (Heavy Weapons)'!Q$11, 'Bilateral Assistance, MAIN DATA'!$J:$J,"Heavy weapon")/VLOOKUP("USD",'Exchange Rates'!$B:$C,2,0))/1000000000</f>
        <v>0.31447368421052635</v>
      </c>
      <c r="R31" s="276">
        <f>(SUMIFS('Bilateral Assistance, MAIN DATA'!$P:$P,'Bilateral Assistance, MAIN DATA'!$B:$B,'Comm. per Month (Heavy Weapons)'!$B31,'Bilateral Assistance, MAIN DATA'!$AG:$AG,1,'Bilateral Assistance, MAIN DATA'!$AH:$AH,'Comm. per Month (Heavy Weapons)'!R$11, 'Bilateral Assistance, MAIN DATA'!$J:$J,"Heavy weapon")/VLOOKUP("USD",'Exchange Rates'!$B:$C,2,0))/1000000000</f>
        <v>0</v>
      </c>
      <c r="S31" s="138">
        <f t="shared" si="0"/>
        <v>0.47011260639092167</v>
      </c>
    </row>
    <row r="32" spans="1:19" ht="15.95" customHeight="1">
      <c r="A32" s="19"/>
      <c r="B32" s="24" t="s">
        <v>2312</v>
      </c>
      <c r="C32" s="297">
        <v>0</v>
      </c>
      <c r="D32" s="297">
        <v>0</v>
      </c>
      <c r="E32" s="276">
        <f>(SUMIFS('Bilateral Assistance, MAIN DATA'!$P:$P,'Bilateral Assistance, MAIN DATA'!$B:$B,'Comm. per Month (Heavy Weapons)'!$B32,'Bilateral Assistance, MAIN DATA'!$AG:$AG,1,'Bilateral Assistance, MAIN DATA'!$AH:$AH,'Comm. per Month (Heavy Weapons)'!E$11, 'Bilateral Assistance, MAIN DATA'!$J:$J,"Heavy weapon")/VLOOKUP("USD",'Exchange Rates'!$B:$C,2,0))/1000000000</f>
        <v>0</v>
      </c>
      <c r="F32" s="276">
        <f>(SUMIFS('Bilateral Assistance, MAIN DATA'!$P:$P,'Bilateral Assistance, MAIN DATA'!$B:$B,'Comm. per Month (Heavy Weapons)'!$B32,'Bilateral Assistance, MAIN DATA'!$AG:$AG,1,'Bilateral Assistance, MAIN DATA'!$AH:$AH,'Comm. per Month (Heavy Weapons)'!F$11, 'Bilateral Assistance, MAIN DATA'!$J:$J,"Heavy weapon")/VLOOKUP("USD",'Exchange Rates'!$B:$C,2,0))/1000000000</f>
        <v>0</v>
      </c>
      <c r="G32" s="276">
        <f>(SUMIFS('Bilateral Assistance, MAIN DATA'!$P:$P,'Bilateral Assistance, MAIN DATA'!$B:$B,'Comm. per Month (Heavy Weapons)'!$B32,'Bilateral Assistance, MAIN DATA'!$AG:$AG,1,'Bilateral Assistance, MAIN DATA'!$AH:$AH,'Comm. per Month (Heavy Weapons)'!G$11, 'Bilateral Assistance, MAIN DATA'!$J:$J,"Heavy weapon")/VLOOKUP("USD",'Exchange Rates'!$B:$C,2,0))/1000000000</f>
        <v>0</v>
      </c>
      <c r="H32" s="276">
        <f>(SUMIFS('Bilateral Assistance, MAIN DATA'!$P:$P,'Bilateral Assistance, MAIN DATA'!$B:$B,'Comm. per Month (Heavy Weapons)'!$B32,'Bilateral Assistance, MAIN DATA'!$AG:$AG,1,'Bilateral Assistance, MAIN DATA'!$AH:$AH,'Comm. per Month (Heavy Weapons)'!H$11, 'Bilateral Assistance, MAIN DATA'!$J:$J,"Heavy weapon")/VLOOKUP("USD",'Exchange Rates'!$B:$C,2,0))/1000000000</f>
        <v>0</v>
      </c>
      <c r="I32" s="276">
        <f>(SUMIFS('Bilateral Assistance, MAIN DATA'!$P:$P,'Bilateral Assistance, MAIN DATA'!$B:$B,'Comm. per Month (Heavy Weapons)'!$B32,'Bilateral Assistance, MAIN DATA'!$AG:$AG,1,'Bilateral Assistance, MAIN DATA'!$AH:$AH,'Comm. per Month (Heavy Weapons)'!I$11, 'Bilateral Assistance, MAIN DATA'!$J:$J,"Heavy weapon")/VLOOKUP("USD",'Exchange Rates'!$B:$C,2,0))/1000000000</f>
        <v>0</v>
      </c>
      <c r="J32" s="276">
        <f>(SUMIFS('Bilateral Assistance, MAIN DATA'!$P:$P,'Bilateral Assistance, MAIN DATA'!$B:$B,'Comm. per Month (Heavy Weapons)'!$B32,'Bilateral Assistance, MAIN DATA'!$AG:$AG,1,'Bilateral Assistance, MAIN DATA'!$AH:$AH,'Comm. per Month (Heavy Weapons)'!J$11, 'Bilateral Assistance, MAIN DATA'!$J:$J,"Heavy weapon")/VLOOKUP("USD",'Exchange Rates'!$B:$C,2,0))/1000000000</f>
        <v>0</v>
      </c>
      <c r="K32" s="276">
        <f>(SUMIFS('Bilateral Assistance, MAIN DATA'!$P:$P,'Bilateral Assistance, MAIN DATA'!$B:$B,'Comm. per Month (Heavy Weapons)'!$B32,'Bilateral Assistance, MAIN DATA'!$AG:$AG,1,'Bilateral Assistance, MAIN DATA'!$AH:$AH,'Comm. per Month (Heavy Weapons)'!K$11, 'Bilateral Assistance, MAIN DATA'!$J:$J,"Heavy weapon")/VLOOKUP("USD",'Exchange Rates'!$B:$C,2,0))/1000000000</f>
        <v>0</v>
      </c>
      <c r="L32" s="276">
        <f>(SUMIFS('Bilateral Assistance, MAIN DATA'!$P:$P,'Bilateral Assistance, MAIN DATA'!$B:$B,'Comm. per Month (Heavy Weapons)'!$B32,'Bilateral Assistance, MAIN DATA'!$AG:$AG,1,'Bilateral Assistance, MAIN DATA'!$AH:$AH,'Comm. per Month (Heavy Weapons)'!L$11, 'Bilateral Assistance, MAIN DATA'!$J:$J,"Heavy weapon")/VLOOKUP("USD",'Exchange Rates'!$B:$C,2,0))/1000000000</f>
        <v>0</v>
      </c>
      <c r="M32" s="276">
        <f>(SUMIFS('Bilateral Assistance, MAIN DATA'!$P:$P,'Bilateral Assistance, MAIN DATA'!$B:$B,'Comm. per Month (Heavy Weapons)'!$B32,'Bilateral Assistance, MAIN DATA'!$AG:$AG,1,'Bilateral Assistance, MAIN DATA'!$AH:$AH,'Comm. per Month (Heavy Weapons)'!M$11, 'Bilateral Assistance, MAIN DATA'!$J:$J,"Heavy weapon")/VLOOKUP("USD",'Exchange Rates'!$B:$C,2,0))/1000000000</f>
        <v>0</v>
      </c>
      <c r="N32" s="276">
        <f>(SUMIFS('Bilateral Assistance, MAIN DATA'!$P:$P,'Bilateral Assistance, MAIN DATA'!$B:$B,'Comm. per Month (Heavy Weapons)'!$B32,'Bilateral Assistance, MAIN DATA'!$AG:$AG,1,'Bilateral Assistance, MAIN DATA'!$AH:$AH,'Comm. per Month (Heavy Weapons)'!N$11, 'Bilateral Assistance, MAIN DATA'!$J:$J,"Heavy weapon")/VLOOKUP("USD",'Exchange Rates'!$B:$C,2,0))/1000000000</f>
        <v>0</v>
      </c>
      <c r="O32" s="276">
        <f>(SUMIFS('Bilateral Assistance, MAIN DATA'!$P:$P,'Bilateral Assistance, MAIN DATA'!$B:$B,'Comm. per Month (Heavy Weapons)'!$B32,'Bilateral Assistance, MAIN DATA'!$AG:$AG,1,'Bilateral Assistance, MAIN DATA'!$AH:$AH,'Comm. per Month (Heavy Weapons)'!O$11, 'Bilateral Assistance, MAIN DATA'!$J:$J,"Heavy weapon")/VLOOKUP("USD",'Exchange Rates'!$B:$C,2,0))/1000000000</f>
        <v>0</v>
      </c>
      <c r="P32" s="276">
        <f>(SUMIFS('Bilateral Assistance, MAIN DATA'!$P:$P,'Bilateral Assistance, MAIN DATA'!$B:$B,'Comm. per Month (Heavy Weapons)'!$B32,'Bilateral Assistance, MAIN DATA'!$AG:$AG,1,'Bilateral Assistance, MAIN DATA'!$AH:$AH,'Comm. per Month (Heavy Weapons)'!P$11, 'Bilateral Assistance, MAIN DATA'!$J:$J,"Heavy weapon")/VLOOKUP("USD",'Exchange Rates'!$B:$C,2,0))/1000000000</f>
        <v>0</v>
      </c>
      <c r="Q32" s="276">
        <f>(SUMIFS('Bilateral Assistance, MAIN DATA'!$P:$P,'Bilateral Assistance, MAIN DATA'!$B:$B,'Comm. per Month (Heavy Weapons)'!$B32,'Bilateral Assistance, MAIN DATA'!$AG:$AG,1,'Bilateral Assistance, MAIN DATA'!$AH:$AH,'Comm. per Month (Heavy Weapons)'!Q$11, 'Bilateral Assistance, MAIN DATA'!$J:$J,"Heavy weapon")/VLOOKUP("USD",'Exchange Rates'!$B:$C,2,0))/1000000000</f>
        <v>0</v>
      </c>
      <c r="R32" s="276">
        <f>(SUMIFS('Bilateral Assistance, MAIN DATA'!$P:$P,'Bilateral Assistance, MAIN DATA'!$B:$B,'Comm. per Month (Heavy Weapons)'!$B32,'Bilateral Assistance, MAIN DATA'!$AG:$AG,1,'Bilateral Assistance, MAIN DATA'!$AH:$AH,'Comm. per Month (Heavy Weapons)'!R$11, 'Bilateral Assistance, MAIN DATA'!$J:$J,"Heavy weapon")/VLOOKUP("USD",'Exchange Rates'!$B:$C,2,0))/1000000000</f>
        <v>0</v>
      </c>
      <c r="S32" s="138">
        <f t="shared" si="0"/>
        <v>0</v>
      </c>
    </row>
    <row r="33" spans="1:19" ht="15.95" customHeight="1">
      <c r="A33" s="19"/>
      <c r="B33" s="24" t="s">
        <v>2392</v>
      </c>
      <c r="C33" s="297">
        <v>1</v>
      </c>
      <c r="D33" s="297">
        <v>0</v>
      </c>
      <c r="E33" s="276">
        <f>(SUMIFS('Bilateral Assistance, MAIN DATA'!$P:$P,'Bilateral Assistance, MAIN DATA'!$B:$B,'Comm. per Month (Heavy Weapons)'!$B33,'Bilateral Assistance, MAIN DATA'!$AG:$AG,1,'Bilateral Assistance, MAIN DATA'!$AH:$AH,'Comm. per Month (Heavy Weapons)'!E$11, 'Bilateral Assistance, MAIN DATA'!$J:$J,"Heavy weapon")/VLOOKUP("USD",'Exchange Rates'!$B:$C,2,0))/1000000000</f>
        <v>0</v>
      </c>
      <c r="F33" s="276">
        <f>(SUMIFS('Bilateral Assistance, MAIN DATA'!$P:$P,'Bilateral Assistance, MAIN DATA'!$B:$B,'Comm. per Month (Heavy Weapons)'!$B33,'Bilateral Assistance, MAIN DATA'!$AG:$AG,1,'Bilateral Assistance, MAIN DATA'!$AH:$AH,'Comm. per Month (Heavy Weapons)'!F$11, 'Bilateral Assistance, MAIN DATA'!$J:$J,"Heavy weapon")/VLOOKUP("USD",'Exchange Rates'!$B:$C,2,0))/1000000000</f>
        <v>0</v>
      </c>
      <c r="G33" s="276">
        <f>(SUMIFS('Bilateral Assistance, MAIN DATA'!$P:$P,'Bilateral Assistance, MAIN DATA'!$B:$B,'Comm. per Month (Heavy Weapons)'!$B33,'Bilateral Assistance, MAIN DATA'!$AG:$AG,1,'Bilateral Assistance, MAIN DATA'!$AH:$AH,'Comm. per Month (Heavy Weapons)'!G$11, 'Bilateral Assistance, MAIN DATA'!$J:$J,"Heavy weapon")/VLOOKUP("USD",'Exchange Rates'!$B:$C,2,0))/1000000000</f>
        <v>0</v>
      </c>
      <c r="H33" s="276">
        <f>(SUMIFS('Bilateral Assistance, MAIN DATA'!$P:$P,'Bilateral Assistance, MAIN DATA'!$B:$B,'Comm. per Month (Heavy Weapons)'!$B33,'Bilateral Assistance, MAIN DATA'!$AG:$AG,1,'Bilateral Assistance, MAIN DATA'!$AH:$AH,'Comm. per Month (Heavy Weapons)'!H$11, 'Bilateral Assistance, MAIN DATA'!$J:$J,"Heavy weapon")/VLOOKUP("USD",'Exchange Rates'!$B:$C,2,0))/1000000000</f>
        <v>0</v>
      </c>
      <c r="I33" s="276">
        <f>(SUMIFS('Bilateral Assistance, MAIN DATA'!$P:$P,'Bilateral Assistance, MAIN DATA'!$B:$B,'Comm. per Month (Heavy Weapons)'!$B33,'Bilateral Assistance, MAIN DATA'!$AG:$AG,1,'Bilateral Assistance, MAIN DATA'!$AH:$AH,'Comm. per Month (Heavy Weapons)'!I$11, 'Bilateral Assistance, MAIN DATA'!$J:$J,"Heavy weapon")/VLOOKUP("USD",'Exchange Rates'!$B:$C,2,0))/1000000000</f>
        <v>0</v>
      </c>
      <c r="J33" s="276">
        <f>(SUMIFS('Bilateral Assistance, MAIN DATA'!$P:$P,'Bilateral Assistance, MAIN DATA'!$B:$B,'Comm. per Month (Heavy Weapons)'!$B33,'Bilateral Assistance, MAIN DATA'!$AG:$AG,1,'Bilateral Assistance, MAIN DATA'!$AH:$AH,'Comm. per Month (Heavy Weapons)'!J$11, 'Bilateral Assistance, MAIN DATA'!$J:$J,"Heavy weapon")/VLOOKUP("USD",'Exchange Rates'!$B:$C,2,0))/1000000000</f>
        <v>0</v>
      </c>
      <c r="K33" s="276">
        <f>(SUMIFS('Bilateral Assistance, MAIN DATA'!$P:$P,'Bilateral Assistance, MAIN DATA'!$B:$B,'Comm. per Month (Heavy Weapons)'!$B33,'Bilateral Assistance, MAIN DATA'!$AG:$AG,1,'Bilateral Assistance, MAIN DATA'!$AH:$AH,'Comm. per Month (Heavy Weapons)'!K$11, 'Bilateral Assistance, MAIN DATA'!$J:$J,"Heavy weapon")/VLOOKUP("USD",'Exchange Rates'!$B:$C,2,0))/1000000000</f>
        <v>0</v>
      </c>
      <c r="L33" s="276">
        <f>(SUMIFS('Bilateral Assistance, MAIN DATA'!$P:$P,'Bilateral Assistance, MAIN DATA'!$B:$B,'Comm. per Month (Heavy Weapons)'!$B33,'Bilateral Assistance, MAIN DATA'!$AG:$AG,1,'Bilateral Assistance, MAIN DATA'!$AH:$AH,'Comm. per Month (Heavy Weapons)'!L$11, 'Bilateral Assistance, MAIN DATA'!$J:$J,"Heavy weapon")/VLOOKUP("USD",'Exchange Rates'!$B:$C,2,0))/1000000000</f>
        <v>4.4634453300862013E-2</v>
      </c>
      <c r="M33" s="276">
        <f>(SUMIFS('Bilateral Assistance, MAIN DATA'!$P:$P,'Bilateral Assistance, MAIN DATA'!$B:$B,'Comm. per Month (Heavy Weapons)'!$B33,'Bilateral Assistance, MAIN DATA'!$AG:$AG,1,'Bilateral Assistance, MAIN DATA'!$AH:$AH,'Comm. per Month (Heavy Weapons)'!M$11, 'Bilateral Assistance, MAIN DATA'!$J:$J,"Heavy weapon")/VLOOKUP("USD",'Exchange Rates'!$B:$C,2,0))/1000000000</f>
        <v>0</v>
      </c>
      <c r="N33" s="276">
        <f>(SUMIFS('Bilateral Assistance, MAIN DATA'!$P:$P,'Bilateral Assistance, MAIN DATA'!$B:$B,'Comm. per Month (Heavy Weapons)'!$B33,'Bilateral Assistance, MAIN DATA'!$AG:$AG,1,'Bilateral Assistance, MAIN DATA'!$AH:$AH,'Comm. per Month (Heavy Weapons)'!N$11, 'Bilateral Assistance, MAIN DATA'!$J:$J,"Heavy weapon")/VLOOKUP("USD",'Exchange Rates'!$B:$C,2,0))/1000000000</f>
        <v>0</v>
      </c>
      <c r="O33" s="276">
        <f>(SUMIFS('Bilateral Assistance, MAIN DATA'!$P:$P,'Bilateral Assistance, MAIN DATA'!$B:$B,'Comm. per Month (Heavy Weapons)'!$B33,'Bilateral Assistance, MAIN DATA'!$AG:$AG,1,'Bilateral Assistance, MAIN DATA'!$AH:$AH,'Comm. per Month (Heavy Weapons)'!O$11, 'Bilateral Assistance, MAIN DATA'!$J:$J,"Heavy weapon")/VLOOKUP("USD",'Exchange Rates'!$B:$C,2,0))/1000000000</f>
        <v>0</v>
      </c>
      <c r="P33" s="276">
        <f>(SUMIFS('Bilateral Assistance, MAIN DATA'!$P:$P,'Bilateral Assistance, MAIN DATA'!$B:$B,'Comm. per Month (Heavy Weapons)'!$B33,'Bilateral Assistance, MAIN DATA'!$AG:$AG,1,'Bilateral Assistance, MAIN DATA'!$AH:$AH,'Comm. per Month (Heavy Weapons)'!P$11, 'Bilateral Assistance, MAIN DATA'!$J:$J,"Heavy weapon")/VLOOKUP("USD",'Exchange Rates'!$B:$C,2,0))/1000000000</f>
        <v>0</v>
      </c>
      <c r="Q33" s="276">
        <f>(SUMIFS('Bilateral Assistance, MAIN DATA'!$P:$P,'Bilateral Assistance, MAIN DATA'!$B:$B,'Comm. per Month (Heavy Weapons)'!$B33,'Bilateral Assistance, MAIN DATA'!$AG:$AG,1,'Bilateral Assistance, MAIN DATA'!$AH:$AH,'Comm. per Month (Heavy Weapons)'!Q$11, 'Bilateral Assistance, MAIN DATA'!$J:$J,"Heavy weapon")/VLOOKUP("USD",'Exchange Rates'!$B:$C,2,0))/1000000000</f>
        <v>0</v>
      </c>
      <c r="R33" s="276">
        <f>(SUMIFS('Bilateral Assistance, MAIN DATA'!$P:$P,'Bilateral Assistance, MAIN DATA'!$B:$B,'Comm. per Month (Heavy Weapons)'!$B33,'Bilateral Assistance, MAIN DATA'!$AG:$AG,1,'Bilateral Assistance, MAIN DATA'!$AH:$AH,'Comm. per Month (Heavy Weapons)'!R$11, 'Bilateral Assistance, MAIN DATA'!$J:$J,"Heavy weapon")/VLOOKUP("USD",'Exchange Rates'!$B:$C,2,0))/1000000000</f>
        <v>0</v>
      </c>
      <c r="S33" s="138">
        <f t="shared" si="0"/>
        <v>4.4634453300862013E-2</v>
      </c>
    </row>
    <row r="34" spans="1:19" ht="15.95" customHeight="1">
      <c r="A34" s="19"/>
      <c r="B34" s="24" t="s">
        <v>2488</v>
      </c>
      <c r="C34" s="297">
        <v>1</v>
      </c>
      <c r="D34" s="297">
        <v>0</v>
      </c>
      <c r="E34" s="276">
        <f>(SUMIFS('Bilateral Assistance, MAIN DATA'!$P:$P,'Bilateral Assistance, MAIN DATA'!$B:$B,'Comm. per Month (Heavy Weapons)'!$B34,'Bilateral Assistance, MAIN DATA'!$AG:$AG,1,'Bilateral Assistance, MAIN DATA'!$AH:$AH,'Comm. per Month (Heavy Weapons)'!E$11, 'Bilateral Assistance, MAIN DATA'!$J:$J,"Heavy weapon")/VLOOKUP("USD",'Exchange Rates'!$B:$C,2,0))/1000000000</f>
        <v>0</v>
      </c>
      <c r="F34" s="276">
        <f>(SUMIFS('Bilateral Assistance, MAIN DATA'!$P:$P,'Bilateral Assistance, MAIN DATA'!$B:$B,'Comm. per Month (Heavy Weapons)'!$B34,'Bilateral Assistance, MAIN DATA'!$AG:$AG,1,'Bilateral Assistance, MAIN DATA'!$AH:$AH,'Comm. per Month (Heavy Weapons)'!F$11, 'Bilateral Assistance, MAIN DATA'!$J:$J,"Heavy weapon")/VLOOKUP("USD",'Exchange Rates'!$B:$C,2,0))/1000000000</f>
        <v>0</v>
      </c>
      <c r="G34" s="276">
        <f>(SUMIFS('Bilateral Assistance, MAIN DATA'!$P:$P,'Bilateral Assistance, MAIN DATA'!$B:$B,'Comm. per Month (Heavy Weapons)'!$B34,'Bilateral Assistance, MAIN DATA'!$AG:$AG,1,'Bilateral Assistance, MAIN DATA'!$AH:$AH,'Comm. per Month (Heavy Weapons)'!G$11, 'Bilateral Assistance, MAIN DATA'!$J:$J,"Heavy weapon")/VLOOKUP("USD",'Exchange Rates'!$B:$C,2,0))/1000000000</f>
        <v>0</v>
      </c>
      <c r="H34" s="276">
        <f>(SUMIFS('Bilateral Assistance, MAIN DATA'!$P:$P,'Bilateral Assistance, MAIN DATA'!$B:$B,'Comm. per Month (Heavy Weapons)'!$B34,'Bilateral Assistance, MAIN DATA'!$AG:$AG,1,'Bilateral Assistance, MAIN DATA'!$AH:$AH,'Comm. per Month (Heavy Weapons)'!H$11, 'Bilateral Assistance, MAIN DATA'!$J:$J,"Heavy weapon")/VLOOKUP("USD",'Exchange Rates'!$B:$C,2,0))/1000000000</f>
        <v>0</v>
      </c>
      <c r="I34" s="276">
        <f>(SUMIFS('Bilateral Assistance, MAIN DATA'!$P:$P,'Bilateral Assistance, MAIN DATA'!$B:$B,'Comm. per Month (Heavy Weapons)'!$B34,'Bilateral Assistance, MAIN DATA'!$AG:$AG,1,'Bilateral Assistance, MAIN DATA'!$AH:$AH,'Comm. per Month (Heavy Weapons)'!I$11, 'Bilateral Assistance, MAIN DATA'!$J:$J,"Heavy weapon")/VLOOKUP("USD",'Exchange Rates'!$B:$C,2,0))/1000000000</f>
        <v>5.5207949944792055E-3</v>
      </c>
      <c r="J34" s="276">
        <f>(SUMIFS('Bilateral Assistance, MAIN DATA'!$P:$P,'Bilateral Assistance, MAIN DATA'!$B:$B,'Comm. per Month (Heavy Weapons)'!$B34,'Bilateral Assistance, MAIN DATA'!$AG:$AG,1,'Bilateral Assistance, MAIN DATA'!$AH:$AH,'Comm. per Month (Heavy Weapons)'!J$11, 'Bilateral Assistance, MAIN DATA'!$J:$J,"Heavy weapon")/VLOOKUP("USD",'Exchange Rates'!$B:$C,2,0))/1000000000</f>
        <v>0</v>
      </c>
      <c r="K34" s="276">
        <f>(SUMIFS('Bilateral Assistance, MAIN DATA'!$P:$P,'Bilateral Assistance, MAIN DATA'!$B:$B,'Comm. per Month (Heavy Weapons)'!$B34,'Bilateral Assistance, MAIN DATA'!$AG:$AG,1,'Bilateral Assistance, MAIN DATA'!$AH:$AH,'Comm. per Month (Heavy Weapons)'!K$11, 'Bilateral Assistance, MAIN DATA'!$J:$J,"Heavy weapon")/VLOOKUP("USD",'Exchange Rates'!$B:$C,2,0))/1000000000</f>
        <v>8.2811924917188078E-3</v>
      </c>
      <c r="L34" s="276">
        <f>(SUMIFS('Bilateral Assistance, MAIN DATA'!$P:$P,'Bilateral Assistance, MAIN DATA'!$B:$B,'Comm. per Month (Heavy Weapons)'!$B34,'Bilateral Assistance, MAIN DATA'!$AG:$AG,1,'Bilateral Assistance, MAIN DATA'!$AH:$AH,'Comm. per Month (Heavy Weapons)'!L$11, 'Bilateral Assistance, MAIN DATA'!$J:$J,"Heavy weapon")/VLOOKUP("USD",'Exchange Rates'!$B:$C,2,0))/1000000000</f>
        <v>0</v>
      </c>
      <c r="M34" s="276">
        <f>(SUMIFS('Bilateral Assistance, MAIN DATA'!$P:$P,'Bilateral Assistance, MAIN DATA'!$B:$B,'Comm. per Month (Heavy Weapons)'!$B34,'Bilateral Assistance, MAIN DATA'!$AG:$AG,1,'Bilateral Assistance, MAIN DATA'!$AH:$AH,'Comm. per Month (Heavy Weapons)'!M$11, 'Bilateral Assistance, MAIN DATA'!$J:$J,"Heavy weapon")/VLOOKUP("USD",'Exchange Rates'!$B:$C,2,0))/1000000000</f>
        <v>0</v>
      </c>
      <c r="N34" s="276">
        <f>(SUMIFS('Bilateral Assistance, MAIN DATA'!$P:$P,'Bilateral Assistance, MAIN DATA'!$B:$B,'Comm. per Month (Heavy Weapons)'!$B34,'Bilateral Assistance, MAIN DATA'!$AG:$AG,1,'Bilateral Assistance, MAIN DATA'!$AH:$AH,'Comm. per Month (Heavy Weapons)'!N$11, 'Bilateral Assistance, MAIN DATA'!$J:$J,"Heavy weapon")/VLOOKUP("USD",'Exchange Rates'!$B:$C,2,0))/1000000000</f>
        <v>6.8871917556128084E-3</v>
      </c>
      <c r="O34" s="276">
        <f>(SUMIFS('Bilateral Assistance, MAIN DATA'!$P:$P,'Bilateral Assistance, MAIN DATA'!$B:$B,'Comm. per Month (Heavy Weapons)'!$B34,'Bilateral Assistance, MAIN DATA'!$AG:$AG,1,'Bilateral Assistance, MAIN DATA'!$AH:$AH,'Comm. per Month (Heavy Weapons)'!O$11, 'Bilateral Assistance, MAIN DATA'!$J:$J,"Heavy weapon")/VLOOKUP("USD",'Exchange Rates'!$B:$C,2,0))/1000000000</f>
        <v>0</v>
      </c>
      <c r="P34" s="276">
        <f>(SUMIFS('Bilateral Assistance, MAIN DATA'!$P:$P,'Bilateral Assistance, MAIN DATA'!$B:$B,'Comm. per Month (Heavy Weapons)'!$B34,'Bilateral Assistance, MAIN DATA'!$AG:$AG,1,'Bilateral Assistance, MAIN DATA'!$AH:$AH,'Comm. per Month (Heavy Weapons)'!P$11, 'Bilateral Assistance, MAIN DATA'!$J:$J,"Heavy weapon")/VLOOKUP("USD",'Exchange Rates'!$B:$C,2,0))/1000000000</f>
        <v>0</v>
      </c>
      <c r="Q34" s="276">
        <f>(SUMIFS('Bilateral Assistance, MAIN DATA'!$P:$P,'Bilateral Assistance, MAIN DATA'!$B:$B,'Comm. per Month (Heavy Weapons)'!$B34,'Bilateral Assistance, MAIN DATA'!$AG:$AG,1,'Bilateral Assistance, MAIN DATA'!$AH:$AH,'Comm. per Month (Heavy Weapons)'!Q$11, 'Bilateral Assistance, MAIN DATA'!$J:$J,"Heavy weapon")/VLOOKUP("USD",'Exchange Rates'!$B:$C,2,0))/1000000000</f>
        <v>3.6423871365280584E-3</v>
      </c>
      <c r="R34" s="276">
        <f>(SUMIFS('Bilateral Assistance, MAIN DATA'!$P:$P,'Bilateral Assistance, MAIN DATA'!$B:$B,'Comm. per Month (Heavy Weapons)'!$B34,'Bilateral Assistance, MAIN DATA'!$AG:$AG,1,'Bilateral Assistance, MAIN DATA'!$AH:$AH,'Comm. per Month (Heavy Weapons)'!R$11, 'Bilateral Assistance, MAIN DATA'!$J:$J,"Heavy weapon")/VLOOKUP("USD",'Exchange Rates'!$B:$C,2,0))/1000000000</f>
        <v>0</v>
      </c>
      <c r="S34" s="138">
        <f t="shared" si="0"/>
        <v>2.433156637833888E-2</v>
      </c>
    </row>
    <row r="35" spans="1:19" ht="15.95" customHeight="1">
      <c r="A35" s="19"/>
      <c r="B35" s="24" t="s">
        <v>2625</v>
      </c>
      <c r="C35" s="297">
        <v>1</v>
      </c>
      <c r="D35" s="297">
        <v>0</v>
      </c>
      <c r="E35" s="276">
        <f>(SUMIFS('Bilateral Assistance, MAIN DATA'!$P:$P,'Bilateral Assistance, MAIN DATA'!$B:$B,'Comm. per Month (Heavy Weapons)'!$B35,'Bilateral Assistance, MAIN DATA'!$AG:$AG,1,'Bilateral Assistance, MAIN DATA'!$AH:$AH,'Comm. per Month (Heavy Weapons)'!E$11, 'Bilateral Assistance, MAIN DATA'!$J:$J,"Heavy weapon")/VLOOKUP("USD",'Exchange Rates'!$B:$C,2,0))/1000000000</f>
        <v>0</v>
      </c>
      <c r="F35" s="276">
        <f>(SUMIFS('Bilateral Assistance, MAIN DATA'!$P:$P,'Bilateral Assistance, MAIN DATA'!$B:$B,'Comm. per Month (Heavy Weapons)'!$B35,'Bilateral Assistance, MAIN DATA'!$AG:$AG,1,'Bilateral Assistance, MAIN DATA'!$AH:$AH,'Comm. per Month (Heavy Weapons)'!F$11, 'Bilateral Assistance, MAIN DATA'!$J:$J,"Heavy weapon")/VLOOKUP("USD",'Exchange Rates'!$B:$C,2,0))/1000000000</f>
        <v>0</v>
      </c>
      <c r="G35" s="276">
        <f>(SUMIFS('Bilateral Assistance, MAIN DATA'!$P:$P,'Bilateral Assistance, MAIN DATA'!$B:$B,'Comm. per Month (Heavy Weapons)'!$B35,'Bilateral Assistance, MAIN DATA'!$AG:$AG,1,'Bilateral Assistance, MAIN DATA'!$AH:$AH,'Comm. per Month (Heavy Weapons)'!G$11, 'Bilateral Assistance, MAIN DATA'!$J:$J,"Heavy weapon")/VLOOKUP("USD",'Exchange Rates'!$B:$C,2,0))/1000000000</f>
        <v>6.5624549135075453E-3</v>
      </c>
      <c r="H35" s="276">
        <f>(SUMIFS('Bilateral Assistance, MAIN DATA'!$P:$P,'Bilateral Assistance, MAIN DATA'!$B:$B,'Comm. per Month (Heavy Weapons)'!$B35,'Bilateral Assistance, MAIN DATA'!$AG:$AG,1,'Bilateral Assistance, MAIN DATA'!$AH:$AH,'Comm. per Month (Heavy Weapons)'!H$11, 'Bilateral Assistance, MAIN DATA'!$J:$J,"Heavy weapon")/VLOOKUP("USD",'Exchange Rates'!$B:$C,2,0))/1000000000</f>
        <v>0</v>
      </c>
      <c r="I35" s="276">
        <f>(SUMIFS('Bilateral Assistance, MAIN DATA'!$P:$P,'Bilateral Assistance, MAIN DATA'!$B:$B,'Comm. per Month (Heavy Weapons)'!$B35,'Bilateral Assistance, MAIN DATA'!$AG:$AG,1,'Bilateral Assistance, MAIN DATA'!$AH:$AH,'Comm. per Month (Heavy Weapons)'!I$11, 'Bilateral Assistance, MAIN DATA'!$J:$J,"Heavy weapon")/VLOOKUP("USD",'Exchange Rates'!$B:$C,2,0))/1000000000</f>
        <v>0</v>
      </c>
      <c r="J35" s="276">
        <f>(SUMIFS('Bilateral Assistance, MAIN DATA'!$P:$P,'Bilateral Assistance, MAIN DATA'!$B:$B,'Comm. per Month (Heavy Weapons)'!$B35,'Bilateral Assistance, MAIN DATA'!$AG:$AG,1,'Bilateral Assistance, MAIN DATA'!$AH:$AH,'Comm. per Month (Heavy Weapons)'!J$11, 'Bilateral Assistance, MAIN DATA'!$J:$J,"Heavy weapon")/VLOOKUP("USD",'Exchange Rates'!$B:$C,2,0))/1000000000</f>
        <v>0</v>
      </c>
      <c r="K35" s="276">
        <f>(SUMIFS('Bilateral Assistance, MAIN DATA'!$P:$P,'Bilateral Assistance, MAIN DATA'!$B:$B,'Comm. per Month (Heavy Weapons)'!$B35,'Bilateral Assistance, MAIN DATA'!$AG:$AG,1,'Bilateral Assistance, MAIN DATA'!$AH:$AH,'Comm. per Month (Heavy Weapons)'!K$11, 'Bilateral Assistance, MAIN DATA'!$J:$J,"Heavy weapon")/VLOOKUP("USD",'Exchange Rates'!$B:$C,2,0))/1000000000</f>
        <v>0</v>
      </c>
      <c r="L35" s="276">
        <f>(SUMIFS('Bilateral Assistance, MAIN DATA'!$P:$P,'Bilateral Assistance, MAIN DATA'!$B:$B,'Comm. per Month (Heavy Weapons)'!$B35,'Bilateral Assistance, MAIN DATA'!$AG:$AG,1,'Bilateral Assistance, MAIN DATA'!$AH:$AH,'Comm. per Month (Heavy Weapons)'!L$11, 'Bilateral Assistance, MAIN DATA'!$J:$J,"Heavy weapon")/VLOOKUP("USD",'Exchange Rates'!$B:$C,2,0))/1000000000</f>
        <v>0</v>
      </c>
      <c r="M35" s="276">
        <f>(SUMIFS('Bilateral Assistance, MAIN DATA'!$P:$P,'Bilateral Assistance, MAIN DATA'!$B:$B,'Comm. per Month (Heavy Weapons)'!$B35,'Bilateral Assistance, MAIN DATA'!$AG:$AG,1,'Bilateral Assistance, MAIN DATA'!$AH:$AH,'Comm. per Month (Heavy Weapons)'!M$11, 'Bilateral Assistance, MAIN DATA'!$J:$J,"Heavy weapon")/VLOOKUP("USD",'Exchange Rates'!$B:$C,2,0))/1000000000</f>
        <v>0</v>
      </c>
      <c r="N35" s="276">
        <f>(SUMIFS('Bilateral Assistance, MAIN DATA'!$P:$P,'Bilateral Assistance, MAIN DATA'!$B:$B,'Comm. per Month (Heavy Weapons)'!$B35,'Bilateral Assistance, MAIN DATA'!$AG:$AG,1,'Bilateral Assistance, MAIN DATA'!$AH:$AH,'Comm. per Month (Heavy Weapons)'!N$11, 'Bilateral Assistance, MAIN DATA'!$J:$J,"Heavy weapon")/VLOOKUP("USD",'Exchange Rates'!$B:$C,2,0))/1000000000</f>
        <v>0</v>
      </c>
      <c r="O35" s="276">
        <f>(SUMIFS('Bilateral Assistance, MAIN DATA'!$P:$P,'Bilateral Assistance, MAIN DATA'!$B:$B,'Comm. per Month (Heavy Weapons)'!$B35,'Bilateral Assistance, MAIN DATA'!$AG:$AG,1,'Bilateral Assistance, MAIN DATA'!$AH:$AH,'Comm. per Month (Heavy Weapons)'!O$11, 'Bilateral Assistance, MAIN DATA'!$J:$J,"Heavy weapon")/VLOOKUP("USD",'Exchange Rates'!$B:$C,2,0))/1000000000</f>
        <v>0</v>
      </c>
      <c r="P35" s="276">
        <f>(SUMIFS('Bilateral Assistance, MAIN DATA'!$P:$P,'Bilateral Assistance, MAIN DATA'!$B:$B,'Comm. per Month (Heavy Weapons)'!$B35,'Bilateral Assistance, MAIN DATA'!$AG:$AG,1,'Bilateral Assistance, MAIN DATA'!$AH:$AH,'Comm. per Month (Heavy Weapons)'!P$11, 'Bilateral Assistance, MAIN DATA'!$J:$J,"Heavy weapon")/VLOOKUP("USD",'Exchange Rates'!$B:$C,2,0))/1000000000</f>
        <v>0</v>
      </c>
      <c r="Q35" s="276">
        <f>(SUMIFS('Bilateral Assistance, MAIN DATA'!$P:$P,'Bilateral Assistance, MAIN DATA'!$B:$B,'Comm. per Month (Heavy Weapons)'!$B35,'Bilateral Assistance, MAIN DATA'!$AG:$AG,1,'Bilateral Assistance, MAIN DATA'!$AH:$AH,'Comm. per Month (Heavy Weapons)'!Q$11, 'Bilateral Assistance, MAIN DATA'!$J:$J,"Heavy weapon")/VLOOKUP("USD",'Exchange Rates'!$B:$C,2,0))/1000000000</f>
        <v>0</v>
      </c>
      <c r="R35" s="276">
        <f>(SUMIFS('Bilateral Assistance, MAIN DATA'!$P:$P,'Bilateral Assistance, MAIN DATA'!$B:$B,'Comm. per Month (Heavy Weapons)'!$B35,'Bilateral Assistance, MAIN DATA'!$AG:$AG,1,'Bilateral Assistance, MAIN DATA'!$AH:$AH,'Comm. per Month (Heavy Weapons)'!R$11, 'Bilateral Assistance, MAIN DATA'!$J:$J,"Heavy weapon")/VLOOKUP("USD",'Exchange Rates'!$B:$C,2,0))/1000000000</f>
        <v>1.2143962377028802E-2</v>
      </c>
      <c r="S35" s="138">
        <f t="shared" si="0"/>
        <v>6.5624549135075453E-3</v>
      </c>
    </row>
    <row r="36" spans="1:19" ht="15.95" customHeight="1">
      <c r="A36" s="19"/>
      <c r="B36" s="24" t="s">
        <v>2678</v>
      </c>
      <c r="C36" s="297">
        <v>1</v>
      </c>
      <c r="D36" s="297">
        <v>0</v>
      </c>
      <c r="E36" s="276">
        <f>(SUMIFS('Bilateral Assistance, MAIN DATA'!$P:$P,'Bilateral Assistance, MAIN DATA'!$B:$B,'Comm. per Month (Heavy Weapons)'!$B36,'Bilateral Assistance, MAIN DATA'!$AG:$AG,1,'Bilateral Assistance, MAIN DATA'!$AH:$AH,'Comm. per Month (Heavy Weapons)'!E$11, 'Bilateral Assistance, MAIN DATA'!$J:$J,"Heavy weapon")/VLOOKUP("USD",'Exchange Rates'!$B:$C,2,0))/1000000000</f>
        <v>0</v>
      </c>
      <c r="F36" s="276">
        <f>(SUMIFS('Bilateral Assistance, MAIN DATA'!$P:$P,'Bilateral Assistance, MAIN DATA'!$B:$B,'Comm. per Month (Heavy Weapons)'!$B36,'Bilateral Assistance, MAIN DATA'!$AG:$AG,1,'Bilateral Assistance, MAIN DATA'!$AH:$AH,'Comm. per Month (Heavy Weapons)'!F$11, 'Bilateral Assistance, MAIN DATA'!$J:$J,"Heavy weapon")/VLOOKUP("USD",'Exchange Rates'!$B:$C,2,0))/1000000000</f>
        <v>0</v>
      </c>
      <c r="G36" s="276">
        <f>(SUMIFS('Bilateral Assistance, MAIN DATA'!$P:$P,'Bilateral Assistance, MAIN DATA'!$B:$B,'Comm. per Month (Heavy Weapons)'!$B36,'Bilateral Assistance, MAIN DATA'!$AG:$AG,1,'Bilateral Assistance, MAIN DATA'!$AH:$AH,'Comm. per Month (Heavy Weapons)'!G$11, 'Bilateral Assistance, MAIN DATA'!$J:$J,"Heavy weapon")/VLOOKUP("USD",'Exchange Rates'!$B:$C,2,0))/1000000000</f>
        <v>0</v>
      </c>
      <c r="H36" s="276">
        <f>(SUMIFS('Bilateral Assistance, MAIN DATA'!$P:$P,'Bilateral Assistance, MAIN DATA'!$B:$B,'Comm. per Month (Heavy Weapons)'!$B36,'Bilateral Assistance, MAIN DATA'!$AG:$AG,1,'Bilateral Assistance, MAIN DATA'!$AH:$AH,'Comm. per Month (Heavy Weapons)'!H$11, 'Bilateral Assistance, MAIN DATA'!$J:$J,"Heavy weapon")/VLOOKUP("USD",'Exchange Rates'!$B:$C,2,0))/1000000000</f>
        <v>0</v>
      </c>
      <c r="I36" s="276">
        <f>(SUMIFS('Bilateral Assistance, MAIN DATA'!$P:$P,'Bilateral Assistance, MAIN DATA'!$B:$B,'Comm. per Month (Heavy Weapons)'!$B36,'Bilateral Assistance, MAIN DATA'!$AG:$AG,1,'Bilateral Assistance, MAIN DATA'!$AH:$AH,'Comm. per Month (Heavy Weapons)'!I$11, 'Bilateral Assistance, MAIN DATA'!$J:$J,"Heavy weapon")/VLOOKUP("USD",'Exchange Rates'!$B:$C,2,0))/1000000000</f>
        <v>0</v>
      </c>
      <c r="J36" s="276">
        <f>(SUMIFS('Bilateral Assistance, MAIN DATA'!$P:$P,'Bilateral Assistance, MAIN DATA'!$B:$B,'Comm. per Month (Heavy Weapons)'!$B36,'Bilateral Assistance, MAIN DATA'!$AG:$AG,1,'Bilateral Assistance, MAIN DATA'!$AH:$AH,'Comm. per Month (Heavy Weapons)'!J$11, 'Bilateral Assistance, MAIN DATA'!$J:$J,"Heavy weapon")/VLOOKUP("USD",'Exchange Rates'!$B:$C,2,0))/1000000000</f>
        <v>0</v>
      </c>
      <c r="K36" s="276">
        <f>(SUMIFS('Bilateral Assistance, MAIN DATA'!$P:$P,'Bilateral Assistance, MAIN DATA'!$B:$B,'Comm. per Month (Heavy Weapons)'!$B36,'Bilateral Assistance, MAIN DATA'!$AG:$AG,1,'Bilateral Assistance, MAIN DATA'!$AH:$AH,'Comm. per Month (Heavy Weapons)'!K$11, 'Bilateral Assistance, MAIN DATA'!$J:$J,"Heavy weapon")/VLOOKUP("USD",'Exchange Rates'!$B:$C,2,0))/1000000000</f>
        <v>0</v>
      </c>
      <c r="L36" s="276">
        <f>(SUMIFS('Bilateral Assistance, MAIN DATA'!$P:$P,'Bilateral Assistance, MAIN DATA'!$B:$B,'Comm. per Month (Heavy Weapons)'!$B36,'Bilateral Assistance, MAIN DATA'!$AG:$AG,1,'Bilateral Assistance, MAIN DATA'!$AH:$AH,'Comm. per Month (Heavy Weapons)'!L$11, 'Bilateral Assistance, MAIN DATA'!$J:$J,"Heavy weapon")/VLOOKUP("USD",'Exchange Rates'!$B:$C,2,0))/1000000000</f>
        <v>0</v>
      </c>
      <c r="M36" s="276">
        <f>(SUMIFS('Bilateral Assistance, MAIN DATA'!$P:$P,'Bilateral Assistance, MAIN DATA'!$B:$B,'Comm. per Month (Heavy Weapons)'!$B36,'Bilateral Assistance, MAIN DATA'!$AG:$AG,1,'Bilateral Assistance, MAIN DATA'!$AH:$AH,'Comm. per Month (Heavy Weapons)'!M$11, 'Bilateral Assistance, MAIN DATA'!$J:$J,"Heavy weapon")/VLOOKUP("USD",'Exchange Rates'!$B:$C,2,0))/1000000000</f>
        <v>0</v>
      </c>
      <c r="N36" s="276">
        <f>(SUMIFS('Bilateral Assistance, MAIN DATA'!$P:$P,'Bilateral Assistance, MAIN DATA'!$B:$B,'Comm. per Month (Heavy Weapons)'!$B36,'Bilateral Assistance, MAIN DATA'!$AG:$AG,1,'Bilateral Assistance, MAIN DATA'!$AH:$AH,'Comm. per Month (Heavy Weapons)'!N$11, 'Bilateral Assistance, MAIN DATA'!$J:$J,"Heavy weapon")/VLOOKUP("USD",'Exchange Rates'!$B:$C,2,0))/1000000000</f>
        <v>0</v>
      </c>
      <c r="O36" s="276">
        <f>(SUMIFS('Bilateral Assistance, MAIN DATA'!$P:$P,'Bilateral Assistance, MAIN DATA'!$B:$B,'Comm. per Month (Heavy Weapons)'!$B36,'Bilateral Assistance, MAIN DATA'!$AG:$AG,1,'Bilateral Assistance, MAIN DATA'!$AH:$AH,'Comm. per Month (Heavy Weapons)'!O$11, 'Bilateral Assistance, MAIN DATA'!$J:$J,"Heavy weapon")/VLOOKUP("USD",'Exchange Rates'!$B:$C,2,0))/1000000000</f>
        <v>0</v>
      </c>
      <c r="P36" s="276">
        <f>(SUMIFS('Bilateral Assistance, MAIN DATA'!$P:$P,'Bilateral Assistance, MAIN DATA'!$B:$B,'Comm. per Month (Heavy Weapons)'!$B36,'Bilateral Assistance, MAIN DATA'!$AG:$AG,1,'Bilateral Assistance, MAIN DATA'!$AH:$AH,'Comm. per Month (Heavy Weapons)'!P$11, 'Bilateral Assistance, MAIN DATA'!$J:$J,"Heavy weapon")/VLOOKUP("USD",'Exchange Rates'!$B:$C,2,0))/1000000000</f>
        <v>0</v>
      </c>
      <c r="Q36" s="276">
        <f>(SUMIFS('Bilateral Assistance, MAIN DATA'!$P:$P,'Bilateral Assistance, MAIN DATA'!$B:$B,'Comm. per Month (Heavy Weapons)'!$B36,'Bilateral Assistance, MAIN DATA'!$AG:$AG,1,'Bilateral Assistance, MAIN DATA'!$AH:$AH,'Comm. per Month (Heavy Weapons)'!Q$11, 'Bilateral Assistance, MAIN DATA'!$J:$J,"Heavy weapon")/VLOOKUP("USD",'Exchange Rates'!$B:$C,2,0))/1000000000</f>
        <v>0</v>
      </c>
      <c r="R36" s="276">
        <f>(SUMIFS('Bilateral Assistance, MAIN DATA'!$P:$P,'Bilateral Assistance, MAIN DATA'!$B:$B,'Comm. per Month (Heavy Weapons)'!$B36,'Bilateral Assistance, MAIN DATA'!$AG:$AG,1,'Bilateral Assistance, MAIN DATA'!$AH:$AH,'Comm. per Month (Heavy Weapons)'!R$11, 'Bilateral Assistance, MAIN DATA'!$J:$J,"Heavy weapon")/VLOOKUP("USD",'Exchange Rates'!$B:$C,2,0))/1000000000</f>
        <v>0</v>
      </c>
      <c r="S36" s="138">
        <f t="shared" si="0"/>
        <v>0</v>
      </c>
    </row>
    <row r="37" spans="1:19" ht="15.95" customHeight="1">
      <c r="A37" s="19"/>
      <c r="B37" s="24" t="s">
        <v>2693</v>
      </c>
      <c r="C37" s="297">
        <v>1</v>
      </c>
      <c r="D37" s="297">
        <v>0</v>
      </c>
      <c r="E37" s="276">
        <f>(SUMIFS('Bilateral Assistance, MAIN DATA'!$P:$P,'Bilateral Assistance, MAIN DATA'!$B:$B,'Comm. per Month (Heavy Weapons)'!$B37,'Bilateral Assistance, MAIN DATA'!$AG:$AG,1,'Bilateral Assistance, MAIN DATA'!$AH:$AH,'Comm. per Month (Heavy Weapons)'!E$11, 'Bilateral Assistance, MAIN DATA'!$J:$J,"Heavy weapon")/VLOOKUP("USD",'Exchange Rates'!$B:$C,2,0))/1000000000</f>
        <v>0</v>
      </c>
      <c r="F37" s="276">
        <f>(SUMIFS('Bilateral Assistance, MAIN DATA'!$P:$P,'Bilateral Assistance, MAIN DATA'!$B:$B,'Comm. per Month (Heavy Weapons)'!$B37,'Bilateral Assistance, MAIN DATA'!$AG:$AG,1,'Bilateral Assistance, MAIN DATA'!$AH:$AH,'Comm. per Month (Heavy Weapons)'!F$11, 'Bilateral Assistance, MAIN DATA'!$J:$J,"Heavy weapon")/VLOOKUP("USD",'Exchange Rates'!$B:$C,2,0))/1000000000</f>
        <v>0</v>
      </c>
      <c r="G37" s="276">
        <f>(SUMIFS('Bilateral Assistance, MAIN DATA'!$P:$P,'Bilateral Assistance, MAIN DATA'!$B:$B,'Comm. per Month (Heavy Weapons)'!$B37,'Bilateral Assistance, MAIN DATA'!$AG:$AG,1,'Bilateral Assistance, MAIN DATA'!$AH:$AH,'Comm. per Month (Heavy Weapons)'!G$11, 'Bilateral Assistance, MAIN DATA'!$J:$J,"Heavy weapon")/VLOOKUP("USD",'Exchange Rates'!$B:$C,2,0))/1000000000</f>
        <v>0</v>
      </c>
      <c r="H37" s="276">
        <f>(SUMIFS('Bilateral Assistance, MAIN DATA'!$P:$P,'Bilateral Assistance, MAIN DATA'!$B:$B,'Comm. per Month (Heavy Weapons)'!$B37,'Bilateral Assistance, MAIN DATA'!$AG:$AG,1,'Bilateral Assistance, MAIN DATA'!$AH:$AH,'Comm. per Month (Heavy Weapons)'!H$11, 'Bilateral Assistance, MAIN DATA'!$J:$J,"Heavy weapon")/VLOOKUP("USD",'Exchange Rates'!$B:$C,2,0))/1000000000</f>
        <v>0.12363288548261475</v>
      </c>
      <c r="I37" s="276">
        <f>(SUMIFS('Bilateral Assistance, MAIN DATA'!$P:$P,'Bilateral Assistance, MAIN DATA'!$B:$B,'Comm. per Month (Heavy Weapons)'!$B37,'Bilateral Assistance, MAIN DATA'!$AG:$AG,1,'Bilateral Assistance, MAIN DATA'!$AH:$AH,'Comm. per Month (Heavy Weapons)'!I$11, 'Bilateral Assistance, MAIN DATA'!$J:$J,"Heavy weapon")/VLOOKUP("USD",'Exchange Rates'!$B:$C,2,0))/1000000000</f>
        <v>0</v>
      </c>
      <c r="J37" s="276">
        <f>(SUMIFS('Bilateral Assistance, MAIN DATA'!$P:$P,'Bilateral Assistance, MAIN DATA'!$B:$B,'Comm. per Month (Heavy Weapons)'!$B37,'Bilateral Assistance, MAIN DATA'!$AG:$AG,1,'Bilateral Assistance, MAIN DATA'!$AH:$AH,'Comm. per Month (Heavy Weapons)'!J$11, 'Bilateral Assistance, MAIN DATA'!$J:$J,"Heavy weapon")/VLOOKUP("USD",'Exchange Rates'!$B:$C,2,0))/1000000000</f>
        <v>3.8035260917835316E-2</v>
      </c>
      <c r="K37" s="276">
        <f>(SUMIFS('Bilateral Assistance, MAIN DATA'!$P:$P,'Bilateral Assistance, MAIN DATA'!$B:$B,'Comm. per Month (Heavy Weapons)'!$B37,'Bilateral Assistance, MAIN DATA'!$AG:$AG,1,'Bilateral Assistance, MAIN DATA'!$AH:$AH,'Comm. per Month (Heavy Weapons)'!K$11, 'Bilateral Assistance, MAIN DATA'!$J:$J,"Heavy weapon")/VLOOKUP("USD",'Exchange Rates'!$B:$C,2,0))/1000000000</f>
        <v>0</v>
      </c>
      <c r="L37" s="276">
        <f>(SUMIFS('Bilateral Assistance, MAIN DATA'!$P:$P,'Bilateral Assistance, MAIN DATA'!$B:$B,'Comm. per Month (Heavy Weapons)'!$B37,'Bilateral Assistance, MAIN DATA'!$AG:$AG,1,'Bilateral Assistance, MAIN DATA'!$AH:$AH,'Comm. per Month (Heavy Weapons)'!L$11, 'Bilateral Assistance, MAIN DATA'!$J:$J,"Heavy weapon")/VLOOKUP("USD",'Exchange Rates'!$B:$C,2,0))/1000000000</f>
        <v>0</v>
      </c>
      <c r="M37" s="276">
        <f>(SUMIFS('Bilateral Assistance, MAIN DATA'!$P:$P,'Bilateral Assistance, MAIN DATA'!$B:$B,'Comm. per Month (Heavy Weapons)'!$B37,'Bilateral Assistance, MAIN DATA'!$AG:$AG,1,'Bilateral Assistance, MAIN DATA'!$AH:$AH,'Comm. per Month (Heavy Weapons)'!M$11, 'Bilateral Assistance, MAIN DATA'!$J:$J,"Heavy weapon")/VLOOKUP("USD",'Exchange Rates'!$B:$C,2,0))/1000000000</f>
        <v>0</v>
      </c>
      <c r="N37" s="276">
        <f>(SUMIFS('Bilateral Assistance, MAIN DATA'!$P:$P,'Bilateral Assistance, MAIN DATA'!$B:$B,'Comm. per Month (Heavy Weapons)'!$B37,'Bilateral Assistance, MAIN DATA'!$AG:$AG,1,'Bilateral Assistance, MAIN DATA'!$AH:$AH,'Comm. per Month (Heavy Weapons)'!N$11, 'Bilateral Assistance, MAIN DATA'!$J:$J,"Heavy weapon")/VLOOKUP("USD",'Exchange Rates'!$B:$C,2,0))/1000000000</f>
        <v>0</v>
      </c>
      <c r="O37" s="276">
        <f>(SUMIFS('Bilateral Assistance, MAIN DATA'!$P:$P,'Bilateral Assistance, MAIN DATA'!$B:$B,'Comm. per Month (Heavy Weapons)'!$B37,'Bilateral Assistance, MAIN DATA'!$AG:$AG,1,'Bilateral Assistance, MAIN DATA'!$AH:$AH,'Comm. per Month (Heavy Weapons)'!O$11, 'Bilateral Assistance, MAIN DATA'!$J:$J,"Heavy weapon")/VLOOKUP("USD",'Exchange Rates'!$B:$C,2,0))/1000000000</f>
        <v>4.1405962458594042E-2</v>
      </c>
      <c r="P37" s="276">
        <f>(SUMIFS('Bilateral Assistance, MAIN DATA'!$P:$P,'Bilateral Assistance, MAIN DATA'!$B:$B,'Comm. per Month (Heavy Weapons)'!$B37,'Bilateral Assistance, MAIN DATA'!$AG:$AG,1,'Bilateral Assistance, MAIN DATA'!$AH:$AH,'Comm. per Month (Heavy Weapons)'!P$11, 'Bilateral Assistance, MAIN DATA'!$J:$J,"Heavy weapon")/VLOOKUP("USD",'Exchange Rates'!$B:$C,2,0))/1000000000</f>
        <v>0</v>
      </c>
      <c r="Q37" s="276">
        <f>(SUMIFS('Bilateral Assistance, MAIN DATA'!$P:$P,'Bilateral Assistance, MAIN DATA'!$B:$B,'Comm. per Month (Heavy Weapons)'!$B37,'Bilateral Assistance, MAIN DATA'!$AG:$AG,1,'Bilateral Assistance, MAIN DATA'!$AH:$AH,'Comm. per Month (Heavy Weapons)'!Q$11, 'Bilateral Assistance, MAIN DATA'!$J:$J,"Heavy weapon")/VLOOKUP("USD",'Exchange Rates'!$B:$C,2,0))/1000000000</f>
        <v>0.75929333824070666</v>
      </c>
      <c r="R37" s="276">
        <f>(SUMIFS('Bilateral Assistance, MAIN DATA'!$P:$P,'Bilateral Assistance, MAIN DATA'!$B:$B,'Comm. per Month (Heavy Weapons)'!$B37,'Bilateral Assistance, MAIN DATA'!$AG:$AG,1,'Bilateral Assistance, MAIN DATA'!$AH:$AH,'Comm. per Month (Heavy Weapons)'!R$11, 'Bilateral Assistance, MAIN DATA'!$J:$J,"Heavy weapon")/VLOOKUP("USD",'Exchange Rates'!$B:$C,2,0))/1000000000</f>
        <v>1.9645906882591095E-2</v>
      </c>
      <c r="S37" s="138">
        <f t="shared" si="0"/>
        <v>0.96236744709975075</v>
      </c>
    </row>
    <row r="38" spans="1:19" ht="15.95" customHeight="1">
      <c r="A38" s="19"/>
      <c r="B38" s="2" t="s">
        <v>2832</v>
      </c>
      <c r="C38" s="297">
        <v>0</v>
      </c>
      <c r="D38" s="297">
        <v>0</v>
      </c>
      <c r="E38" s="276">
        <f>(SUMIFS('Bilateral Assistance, MAIN DATA'!$P:$P,'Bilateral Assistance, MAIN DATA'!$B:$B,'Comm. per Month (Heavy Weapons)'!$B38,'Bilateral Assistance, MAIN DATA'!$AG:$AG,1,'Bilateral Assistance, MAIN DATA'!$AH:$AH,'Comm. per Month (Heavy Weapons)'!E$11, 'Bilateral Assistance, MAIN DATA'!$J:$J,"Heavy weapon")/VLOOKUP("USD",'Exchange Rates'!$B:$C,2,0))/1000000000</f>
        <v>0</v>
      </c>
      <c r="F38" s="276">
        <f>(SUMIFS('Bilateral Assistance, MAIN DATA'!$P:$P,'Bilateral Assistance, MAIN DATA'!$B:$B,'Comm. per Month (Heavy Weapons)'!$B38,'Bilateral Assistance, MAIN DATA'!$AG:$AG,1,'Bilateral Assistance, MAIN DATA'!$AH:$AH,'Comm. per Month (Heavy Weapons)'!F$11, 'Bilateral Assistance, MAIN DATA'!$J:$J,"Heavy weapon")/VLOOKUP("USD",'Exchange Rates'!$B:$C,2,0))/1000000000</f>
        <v>0</v>
      </c>
      <c r="G38" s="276">
        <f>(SUMIFS('Bilateral Assistance, MAIN DATA'!$P:$P,'Bilateral Assistance, MAIN DATA'!$B:$B,'Comm. per Month (Heavy Weapons)'!$B38,'Bilateral Assistance, MAIN DATA'!$AG:$AG,1,'Bilateral Assistance, MAIN DATA'!$AH:$AH,'Comm. per Month (Heavy Weapons)'!G$11, 'Bilateral Assistance, MAIN DATA'!$J:$J,"Heavy weapon")/VLOOKUP("USD",'Exchange Rates'!$B:$C,2,0))/1000000000</f>
        <v>0</v>
      </c>
      <c r="H38" s="276">
        <f>(SUMIFS('Bilateral Assistance, MAIN DATA'!$P:$P,'Bilateral Assistance, MAIN DATA'!$B:$B,'Comm. per Month (Heavy Weapons)'!$B38,'Bilateral Assistance, MAIN DATA'!$AG:$AG,1,'Bilateral Assistance, MAIN DATA'!$AH:$AH,'Comm. per Month (Heavy Weapons)'!H$11, 'Bilateral Assistance, MAIN DATA'!$J:$J,"Heavy weapon")/VLOOKUP("USD",'Exchange Rates'!$B:$C,2,0))/1000000000</f>
        <v>0</v>
      </c>
      <c r="I38" s="276">
        <f>(SUMIFS('Bilateral Assistance, MAIN DATA'!$P:$P,'Bilateral Assistance, MAIN DATA'!$B:$B,'Comm. per Month (Heavy Weapons)'!$B38,'Bilateral Assistance, MAIN DATA'!$AG:$AG,1,'Bilateral Assistance, MAIN DATA'!$AH:$AH,'Comm. per Month (Heavy Weapons)'!I$11, 'Bilateral Assistance, MAIN DATA'!$J:$J,"Heavy weapon")/VLOOKUP("USD",'Exchange Rates'!$B:$C,2,0))/1000000000</f>
        <v>0</v>
      </c>
      <c r="J38" s="276">
        <f>(SUMIFS('Bilateral Assistance, MAIN DATA'!$P:$P,'Bilateral Assistance, MAIN DATA'!$B:$B,'Comm. per Month (Heavy Weapons)'!$B38,'Bilateral Assistance, MAIN DATA'!$AG:$AG,1,'Bilateral Assistance, MAIN DATA'!$AH:$AH,'Comm. per Month (Heavy Weapons)'!J$11, 'Bilateral Assistance, MAIN DATA'!$J:$J,"Heavy weapon")/VLOOKUP("USD",'Exchange Rates'!$B:$C,2,0))/1000000000</f>
        <v>0</v>
      </c>
      <c r="K38" s="276">
        <f>(SUMIFS('Bilateral Assistance, MAIN DATA'!$P:$P,'Bilateral Assistance, MAIN DATA'!$B:$B,'Comm. per Month (Heavy Weapons)'!$B38,'Bilateral Assistance, MAIN DATA'!$AG:$AG,1,'Bilateral Assistance, MAIN DATA'!$AH:$AH,'Comm. per Month (Heavy Weapons)'!K$11, 'Bilateral Assistance, MAIN DATA'!$J:$J,"Heavy weapon")/VLOOKUP("USD",'Exchange Rates'!$B:$C,2,0))/1000000000</f>
        <v>0</v>
      </c>
      <c r="L38" s="276">
        <f>(SUMIFS('Bilateral Assistance, MAIN DATA'!$P:$P,'Bilateral Assistance, MAIN DATA'!$B:$B,'Comm. per Month (Heavy Weapons)'!$B38,'Bilateral Assistance, MAIN DATA'!$AG:$AG,1,'Bilateral Assistance, MAIN DATA'!$AH:$AH,'Comm. per Month (Heavy Weapons)'!L$11, 'Bilateral Assistance, MAIN DATA'!$J:$J,"Heavy weapon")/VLOOKUP("USD",'Exchange Rates'!$B:$C,2,0))/1000000000</f>
        <v>0</v>
      </c>
      <c r="M38" s="276">
        <f>(SUMIFS('Bilateral Assistance, MAIN DATA'!$P:$P,'Bilateral Assistance, MAIN DATA'!$B:$B,'Comm. per Month (Heavy Weapons)'!$B38,'Bilateral Assistance, MAIN DATA'!$AG:$AG,1,'Bilateral Assistance, MAIN DATA'!$AH:$AH,'Comm. per Month (Heavy Weapons)'!M$11, 'Bilateral Assistance, MAIN DATA'!$J:$J,"Heavy weapon")/VLOOKUP("USD",'Exchange Rates'!$B:$C,2,0))/1000000000</f>
        <v>0</v>
      </c>
      <c r="N38" s="276">
        <f>(SUMIFS('Bilateral Assistance, MAIN DATA'!$P:$P,'Bilateral Assistance, MAIN DATA'!$B:$B,'Comm. per Month (Heavy Weapons)'!$B38,'Bilateral Assistance, MAIN DATA'!$AG:$AG,1,'Bilateral Assistance, MAIN DATA'!$AH:$AH,'Comm. per Month (Heavy Weapons)'!N$11, 'Bilateral Assistance, MAIN DATA'!$J:$J,"Heavy weapon")/VLOOKUP("USD",'Exchange Rates'!$B:$C,2,0))/1000000000</f>
        <v>0</v>
      </c>
      <c r="O38" s="276">
        <f>(SUMIFS('Bilateral Assistance, MAIN DATA'!$P:$P,'Bilateral Assistance, MAIN DATA'!$B:$B,'Comm. per Month (Heavy Weapons)'!$B38,'Bilateral Assistance, MAIN DATA'!$AG:$AG,1,'Bilateral Assistance, MAIN DATA'!$AH:$AH,'Comm. per Month (Heavy Weapons)'!O$11, 'Bilateral Assistance, MAIN DATA'!$J:$J,"Heavy weapon")/VLOOKUP("USD",'Exchange Rates'!$B:$C,2,0))/1000000000</f>
        <v>0</v>
      </c>
      <c r="P38" s="276">
        <f>(SUMIFS('Bilateral Assistance, MAIN DATA'!$P:$P,'Bilateral Assistance, MAIN DATA'!$B:$B,'Comm. per Month (Heavy Weapons)'!$B38,'Bilateral Assistance, MAIN DATA'!$AG:$AG,1,'Bilateral Assistance, MAIN DATA'!$AH:$AH,'Comm. per Month (Heavy Weapons)'!P$11, 'Bilateral Assistance, MAIN DATA'!$J:$J,"Heavy weapon")/VLOOKUP("USD",'Exchange Rates'!$B:$C,2,0))/1000000000</f>
        <v>0</v>
      </c>
      <c r="Q38" s="276">
        <f>(SUMIFS('Bilateral Assistance, MAIN DATA'!$P:$P,'Bilateral Assistance, MAIN DATA'!$B:$B,'Comm. per Month (Heavy Weapons)'!$B38,'Bilateral Assistance, MAIN DATA'!$AG:$AG,1,'Bilateral Assistance, MAIN DATA'!$AH:$AH,'Comm. per Month (Heavy Weapons)'!Q$11, 'Bilateral Assistance, MAIN DATA'!$J:$J,"Heavy weapon")/VLOOKUP("USD",'Exchange Rates'!$B:$C,2,0))/1000000000</f>
        <v>0</v>
      </c>
      <c r="R38" s="276">
        <f>(SUMIFS('Bilateral Assistance, MAIN DATA'!$P:$P,'Bilateral Assistance, MAIN DATA'!$B:$B,'Comm. per Month (Heavy Weapons)'!$B38,'Bilateral Assistance, MAIN DATA'!$AG:$AG,1,'Bilateral Assistance, MAIN DATA'!$AH:$AH,'Comm. per Month (Heavy Weapons)'!R$11, 'Bilateral Assistance, MAIN DATA'!$J:$J,"Heavy weapon")/VLOOKUP("USD",'Exchange Rates'!$B:$C,2,0))/1000000000</f>
        <v>0</v>
      </c>
      <c r="S38" s="138">
        <f t="shared" si="0"/>
        <v>0</v>
      </c>
    </row>
    <row r="39" spans="1:19" ht="15.95" customHeight="1">
      <c r="A39" s="19"/>
      <c r="B39" s="2" t="s">
        <v>2882</v>
      </c>
      <c r="C39" s="297">
        <v>0</v>
      </c>
      <c r="D39" s="297">
        <v>1</v>
      </c>
      <c r="E39" s="276">
        <f>(SUMIFS('Bilateral Assistance, MAIN DATA'!$P:$P,'Bilateral Assistance, MAIN DATA'!$B:$B,'Comm. per Month (Heavy Weapons)'!$B39,'Bilateral Assistance, MAIN DATA'!$AG:$AG,1,'Bilateral Assistance, MAIN DATA'!$AH:$AH,'Comm. per Month (Heavy Weapons)'!E$11, 'Bilateral Assistance, MAIN DATA'!$J:$J,"Heavy weapon")/VLOOKUP("USD",'Exchange Rates'!$B:$C,2,0))/1000000000</f>
        <v>0</v>
      </c>
      <c r="F39" s="276">
        <f>(SUMIFS('Bilateral Assistance, MAIN DATA'!$P:$P,'Bilateral Assistance, MAIN DATA'!$B:$B,'Comm. per Month (Heavy Weapons)'!$B39,'Bilateral Assistance, MAIN DATA'!$AG:$AG,1,'Bilateral Assistance, MAIN DATA'!$AH:$AH,'Comm. per Month (Heavy Weapons)'!F$11, 'Bilateral Assistance, MAIN DATA'!$J:$J,"Heavy weapon")/VLOOKUP("USD",'Exchange Rates'!$B:$C,2,0))/1000000000</f>
        <v>0</v>
      </c>
      <c r="G39" s="276">
        <f>(SUMIFS('Bilateral Assistance, MAIN DATA'!$P:$P,'Bilateral Assistance, MAIN DATA'!$B:$B,'Comm. per Month (Heavy Weapons)'!$B39,'Bilateral Assistance, MAIN DATA'!$AG:$AG,1,'Bilateral Assistance, MAIN DATA'!$AH:$AH,'Comm. per Month (Heavy Weapons)'!G$11, 'Bilateral Assistance, MAIN DATA'!$J:$J,"Heavy weapon")/VLOOKUP("USD",'Exchange Rates'!$B:$C,2,0))/1000000000</f>
        <v>0</v>
      </c>
      <c r="H39" s="276">
        <f>(SUMIFS('Bilateral Assistance, MAIN DATA'!$P:$P,'Bilateral Assistance, MAIN DATA'!$B:$B,'Comm. per Month (Heavy Weapons)'!$B39,'Bilateral Assistance, MAIN DATA'!$AG:$AG,1,'Bilateral Assistance, MAIN DATA'!$AH:$AH,'Comm. per Month (Heavy Weapons)'!H$11, 'Bilateral Assistance, MAIN DATA'!$J:$J,"Heavy weapon")/VLOOKUP("USD",'Exchange Rates'!$B:$C,2,0))/1000000000</f>
        <v>5.9808612440191387E-2</v>
      </c>
      <c r="I39" s="276">
        <f>(SUMIFS('Bilateral Assistance, MAIN DATA'!$P:$P,'Bilateral Assistance, MAIN DATA'!$B:$B,'Comm. per Month (Heavy Weapons)'!$B39,'Bilateral Assistance, MAIN DATA'!$AG:$AG,1,'Bilateral Assistance, MAIN DATA'!$AH:$AH,'Comm. per Month (Heavy Weapons)'!I$11, 'Bilateral Assistance, MAIN DATA'!$J:$J,"Heavy weapon")/VLOOKUP("USD",'Exchange Rates'!$B:$C,2,0))/1000000000</f>
        <v>0</v>
      </c>
      <c r="J39" s="276">
        <f>(SUMIFS('Bilateral Assistance, MAIN DATA'!$P:$P,'Bilateral Assistance, MAIN DATA'!$B:$B,'Comm. per Month (Heavy Weapons)'!$B39,'Bilateral Assistance, MAIN DATA'!$AG:$AG,1,'Bilateral Assistance, MAIN DATA'!$AH:$AH,'Comm. per Month (Heavy Weapons)'!J$11, 'Bilateral Assistance, MAIN DATA'!$J:$J,"Heavy weapon")/VLOOKUP("USD",'Exchange Rates'!$B:$C,2,0))/1000000000</f>
        <v>4.3932491547400698E-2</v>
      </c>
      <c r="K39" s="276">
        <f>(SUMIFS('Bilateral Assistance, MAIN DATA'!$P:$P,'Bilateral Assistance, MAIN DATA'!$B:$B,'Comm. per Month (Heavy Weapons)'!$B39,'Bilateral Assistance, MAIN DATA'!$AG:$AG,1,'Bilateral Assistance, MAIN DATA'!$AH:$AH,'Comm. per Month (Heavy Weapons)'!K$11, 'Bilateral Assistance, MAIN DATA'!$J:$J,"Heavy weapon")/VLOOKUP("USD",'Exchange Rates'!$B:$C,2,0))/1000000000</f>
        <v>1.5295429996319469E-2</v>
      </c>
      <c r="L39" s="276">
        <f>(SUMIFS('Bilateral Assistance, MAIN DATA'!$P:$P,'Bilateral Assistance, MAIN DATA'!$B:$B,'Comm. per Month (Heavy Weapons)'!$B39,'Bilateral Assistance, MAIN DATA'!$AG:$AG,1,'Bilateral Assistance, MAIN DATA'!$AH:$AH,'Comm. per Month (Heavy Weapons)'!L$11, 'Bilateral Assistance, MAIN DATA'!$J:$J,"Heavy weapon")/VLOOKUP("USD",'Exchange Rates'!$B:$C,2,0))/1000000000</f>
        <v>0</v>
      </c>
      <c r="M39" s="276">
        <f>(SUMIFS('Bilateral Assistance, MAIN DATA'!$P:$P,'Bilateral Assistance, MAIN DATA'!$B:$B,'Comm. per Month (Heavy Weapons)'!$B39,'Bilateral Assistance, MAIN DATA'!$AG:$AG,1,'Bilateral Assistance, MAIN DATA'!$AH:$AH,'Comm. per Month (Heavy Weapons)'!M$11, 'Bilateral Assistance, MAIN DATA'!$J:$J,"Heavy weapon")/VLOOKUP("USD",'Exchange Rates'!$B:$C,2,0))/1000000000</f>
        <v>0</v>
      </c>
      <c r="N39" s="276">
        <f>(SUMIFS('Bilateral Assistance, MAIN DATA'!$P:$P,'Bilateral Assistance, MAIN DATA'!$B:$B,'Comm. per Month (Heavy Weapons)'!$B39,'Bilateral Assistance, MAIN DATA'!$AG:$AG,1,'Bilateral Assistance, MAIN DATA'!$AH:$AH,'Comm. per Month (Heavy Weapons)'!N$11, 'Bilateral Assistance, MAIN DATA'!$J:$J,"Heavy weapon")/VLOOKUP("USD",'Exchange Rates'!$B:$C,2,0))/1000000000</f>
        <v>4.2504617598735535E-2</v>
      </c>
      <c r="O39" s="276">
        <f>(SUMIFS('Bilateral Assistance, MAIN DATA'!$P:$P,'Bilateral Assistance, MAIN DATA'!$B:$B,'Comm. per Month (Heavy Weapons)'!$B39,'Bilateral Assistance, MAIN DATA'!$AG:$AG,1,'Bilateral Assistance, MAIN DATA'!$AH:$AH,'Comm. per Month (Heavy Weapons)'!O$11, 'Bilateral Assistance, MAIN DATA'!$J:$J,"Heavy weapon")/VLOOKUP("USD",'Exchange Rates'!$B:$C,2,0))/1000000000</f>
        <v>0</v>
      </c>
      <c r="P39" s="276">
        <f>(SUMIFS('Bilateral Assistance, MAIN DATA'!$P:$P,'Bilateral Assistance, MAIN DATA'!$B:$B,'Comm. per Month (Heavy Weapons)'!$B39,'Bilateral Assistance, MAIN DATA'!$AG:$AG,1,'Bilateral Assistance, MAIN DATA'!$AH:$AH,'Comm. per Month (Heavy Weapons)'!P$11, 'Bilateral Assistance, MAIN DATA'!$J:$J,"Heavy weapon")/VLOOKUP("USD",'Exchange Rates'!$B:$C,2,0))/1000000000</f>
        <v>0</v>
      </c>
      <c r="Q39" s="276">
        <f>(SUMIFS('Bilateral Assistance, MAIN DATA'!$P:$P,'Bilateral Assistance, MAIN DATA'!$B:$B,'Comm. per Month (Heavy Weapons)'!$B39,'Bilateral Assistance, MAIN DATA'!$AG:$AG,1,'Bilateral Assistance, MAIN DATA'!$AH:$AH,'Comm. per Month (Heavy Weapons)'!Q$11, 'Bilateral Assistance, MAIN DATA'!$J:$J,"Heavy weapon")/VLOOKUP("USD",'Exchange Rates'!$B:$C,2,0))/1000000000</f>
        <v>0</v>
      </c>
      <c r="R39" s="276">
        <f>(SUMIFS('Bilateral Assistance, MAIN DATA'!$P:$P,'Bilateral Assistance, MAIN DATA'!$B:$B,'Comm. per Month (Heavy Weapons)'!$B39,'Bilateral Assistance, MAIN DATA'!$AG:$AG,1,'Bilateral Assistance, MAIN DATA'!$AH:$AH,'Comm. per Month (Heavy Weapons)'!R$11, 'Bilateral Assistance, MAIN DATA'!$J:$J,"Heavy weapon")/VLOOKUP("USD",'Exchange Rates'!$B:$C,2,0))/1000000000</f>
        <v>2.5044552716593765E-2</v>
      </c>
      <c r="S39" s="138">
        <f t="shared" si="0"/>
        <v>0.16154115158264709</v>
      </c>
    </row>
    <row r="40" spans="1:19" ht="15.95" customHeight="1">
      <c r="A40" s="19"/>
      <c r="B40" s="24" t="s">
        <v>2989</v>
      </c>
      <c r="C40" s="297">
        <v>1</v>
      </c>
      <c r="D40" s="297">
        <v>0</v>
      </c>
      <c r="E40" s="276">
        <f>(SUMIFS('Bilateral Assistance, MAIN DATA'!$P:$P,'Bilateral Assistance, MAIN DATA'!$B:$B,'Comm. per Month (Heavy Weapons)'!$B40,'Bilateral Assistance, MAIN DATA'!$AG:$AG,1,'Bilateral Assistance, MAIN DATA'!$AH:$AH,'Comm. per Month (Heavy Weapons)'!E$11, 'Bilateral Assistance, MAIN DATA'!$J:$J,"Heavy weapon")/VLOOKUP("USD",'Exchange Rates'!$B:$C,2,0))/1000000000</f>
        <v>0</v>
      </c>
      <c r="F40" s="276">
        <f>(SUMIFS('Bilateral Assistance, MAIN DATA'!$P:$P,'Bilateral Assistance, MAIN DATA'!$B:$B,'Comm. per Month (Heavy Weapons)'!$B40,'Bilateral Assistance, MAIN DATA'!$AG:$AG,1,'Bilateral Assistance, MAIN DATA'!$AH:$AH,'Comm. per Month (Heavy Weapons)'!F$11, 'Bilateral Assistance, MAIN DATA'!$J:$J,"Heavy weapon")/VLOOKUP("USD",'Exchange Rates'!$B:$C,2,0))/1000000000</f>
        <v>0</v>
      </c>
      <c r="G40" s="276">
        <f>(SUMIFS('Bilateral Assistance, MAIN DATA'!$P:$P,'Bilateral Assistance, MAIN DATA'!$B:$B,'Comm. per Month (Heavy Weapons)'!$B40,'Bilateral Assistance, MAIN DATA'!$AG:$AG,1,'Bilateral Assistance, MAIN DATA'!$AH:$AH,'Comm. per Month (Heavy Weapons)'!G$11, 'Bilateral Assistance, MAIN DATA'!$J:$J,"Heavy weapon")/VLOOKUP("USD",'Exchange Rates'!$B:$C,2,0))/1000000000</f>
        <v>0</v>
      </c>
      <c r="H40" s="276">
        <f>(SUMIFS('Bilateral Assistance, MAIN DATA'!$P:$P,'Bilateral Assistance, MAIN DATA'!$B:$B,'Comm. per Month (Heavy Weapons)'!$B40,'Bilateral Assistance, MAIN DATA'!$AG:$AG,1,'Bilateral Assistance, MAIN DATA'!$AH:$AH,'Comm. per Month (Heavy Weapons)'!H$11, 'Bilateral Assistance, MAIN DATA'!$J:$J,"Heavy weapon")/VLOOKUP("USD",'Exchange Rates'!$B:$C,2,0))/1000000000</f>
        <v>0.5902668464913301</v>
      </c>
      <c r="I40" s="276">
        <f>(SUMIFS('Bilateral Assistance, MAIN DATA'!$P:$P,'Bilateral Assistance, MAIN DATA'!$B:$B,'Comm. per Month (Heavy Weapons)'!$B40,'Bilateral Assistance, MAIN DATA'!$AG:$AG,1,'Bilateral Assistance, MAIN DATA'!$AH:$AH,'Comm. per Month (Heavy Weapons)'!I$11, 'Bilateral Assistance, MAIN DATA'!$J:$J,"Heavy weapon")/VLOOKUP("USD",'Exchange Rates'!$B:$C,2,0))/1000000000</f>
        <v>0</v>
      </c>
      <c r="J40" s="276">
        <f>(SUMIFS('Bilateral Assistance, MAIN DATA'!$P:$P,'Bilateral Assistance, MAIN DATA'!$B:$B,'Comm. per Month (Heavy Weapons)'!$B40,'Bilateral Assistance, MAIN DATA'!$AG:$AG,1,'Bilateral Assistance, MAIN DATA'!$AH:$AH,'Comm. per Month (Heavy Weapons)'!J$11, 'Bilateral Assistance, MAIN DATA'!$J:$J,"Heavy weapon")/VLOOKUP("USD",'Exchange Rates'!$B:$C,2,0))/1000000000</f>
        <v>0</v>
      </c>
      <c r="K40" s="276">
        <f>(SUMIFS('Bilateral Assistance, MAIN DATA'!$P:$P,'Bilateral Assistance, MAIN DATA'!$B:$B,'Comm. per Month (Heavy Weapons)'!$B40,'Bilateral Assistance, MAIN DATA'!$AG:$AG,1,'Bilateral Assistance, MAIN DATA'!$AH:$AH,'Comm. per Month (Heavy Weapons)'!K$11, 'Bilateral Assistance, MAIN DATA'!$J:$J,"Heavy weapon")/VLOOKUP("USD",'Exchange Rates'!$B:$C,2,0))/1000000000</f>
        <v>3.0533038369525208E-2</v>
      </c>
      <c r="L40" s="276">
        <f>(SUMIFS('Bilateral Assistance, MAIN DATA'!$P:$P,'Bilateral Assistance, MAIN DATA'!$B:$B,'Comm. per Month (Heavy Weapons)'!$B40,'Bilateral Assistance, MAIN DATA'!$AG:$AG,1,'Bilateral Assistance, MAIN DATA'!$AH:$AH,'Comm. per Month (Heavy Weapons)'!L$11, 'Bilateral Assistance, MAIN DATA'!$J:$J,"Heavy weapon")/VLOOKUP("USD",'Exchange Rates'!$B:$C,2,0))/1000000000</f>
        <v>0</v>
      </c>
      <c r="M40" s="276">
        <f>(SUMIFS('Bilateral Assistance, MAIN DATA'!$P:$P,'Bilateral Assistance, MAIN DATA'!$B:$B,'Comm. per Month (Heavy Weapons)'!$B40,'Bilateral Assistance, MAIN DATA'!$AG:$AG,1,'Bilateral Assistance, MAIN DATA'!$AH:$AH,'Comm. per Month (Heavy Weapons)'!M$11, 'Bilateral Assistance, MAIN DATA'!$J:$J,"Heavy weapon")/VLOOKUP("USD",'Exchange Rates'!$B:$C,2,0))/1000000000</f>
        <v>0</v>
      </c>
      <c r="N40" s="276">
        <f>(SUMIFS('Bilateral Assistance, MAIN DATA'!$P:$P,'Bilateral Assistance, MAIN DATA'!$B:$B,'Comm. per Month (Heavy Weapons)'!$B40,'Bilateral Assistance, MAIN DATA'!$AG:$AG,1,'Bilateral Assistance, MAIN DATA'!$AH:$AH,'Comm. per Month (Heavy Weapons)'!N$11, 'Bilateral Assistance, MAIN DATA'!$J:$J,"Heavy weapon")/VLOOKUP("USD",'Exchange Rates'!$B:$C,2,0))/1000000000</f>
        <v>0</v>
      </c>
      <c r="O40" s="276">
        <f>(SUMIFS('Bilateral Assistance, MAIN DATA'!$P:$P,'Bilateral Assistance, MAIN DATA'!$B:$B,'Comm. per Month (Heavy Weapons)'!$B40,'Bilateral Assistance, MAIN DATA'!$AG:$AG,1,'Bilateral Assistance, MAIN DATA'!$AH:$AH,'Comm. per Month (Heavy Weapons)'!O$11, 'Bilateral Assistance, MAIN DATA'!$J:$J,"Heavy weapon")/VLOOKUP("USD",'Exchange Rates'!$B:$C,2,0))/1000000000</f>
        <v>0</v>
      </c>
      <c r="P40" s="276">
        <f>(SUMIFS('Bilateral Assistance, MAIN DATA'!$P:$P,'Bilateral Assistance, MAIN DATA'!$B:$B,'Comm. per Month (Heavy Weapons)'!$B40,'Bilateral Assistance, MAIN DATA'!$AG:$AG,1,'Bilateral Assistance, MAIN DATA'!$AH:$AH,'Comm. per Month (Heavy Weapons)'!P$11, 'Bilateral Assistance, MAIN DATA'!$J:$J,"Heavy weapon")/VLOOKUP("USD",'Exchange Rates'!$B:$C,2,0))/1000000000</f>
        <v>0.42337392896577108</v>
      </c>
      <c r="Q40" s="276">
        <f>(SUMIFS('Bilateral Assistance, MAIN DATA'!$P:$P,'Bilateral Assistance, MAIN DATA'!$B:$B,'Comm. per Month (Heavy Weapons)'!$B40,'Bilateral Assistance, MAIN DATA'!$AG:$AG,1,'Bilateral Assistance, MAIN DATA'!$AH:$AH,'Comm. per Month (Heavy Weapons)'!Q$11, 'Bilateral Assistance, MAIN DATA'!$J:$J,"Heavy weapon")/VLOOKUP("USD",'Exchange Rates'!$B:$C,2,0))/1000000000</f>
        <v>0.16375131121644909</v>
      </c>
      <c r="R40" s="276">
        <f>(SUMIFS('Bilateral Assistance, MAIN DATA'!$P:$P,'Bilateral Assistance, MAIN DATA'!$B:$B,'Comm. per Month (Heavy Weapons)'!$B40,'Bilateral Assistance, MAIN DATA'!$AG:$AG,1,'Bilateral Assistance, MAIN DATA'!$AH:$AH,'Comm. per Month (Heavy Weapons)'!R$11, 'Bilateral Assistance, MAIN DATA'!$J:$J,"Heavy weapon")/VLOOKUP("USD",'Exchange Rates'!$B:$C,2,0))/1000000000</f>
        <v>0</v>
      </c>
      <c r="S40" s="138">
        <f t="shared" si="0"/>
        <v>1.2079251250430754</v>
      </c>
    </row>
    <row r="41" spans="1:19" ht="15.95" customHeight="1">
      <c r="A41" s="19"/>
      <c r="B41" s="24" t="s">
        <v>3079</v>
      </c>
      <c r="C41" s="297">
        <v>1</v>
      </c>
      <c r="D41" s="297">
        <v>0</v>
      </c>
      <c r="E41" s="276">
        <f>(SUMIFS('Bilateral Assistance, MAIN DATA'!$P:$P,'Bilateral Assistance, MAIN DATA'!$B:$B,'Comm. per Month (Heavy Weapons)'!$B41,'Bilateral Assistance, MAIN DATA'!$AG:$AG,1,'Bilateral Assistance, MAIN DATA'!$AH:$AH,'Comm. per Month (Heavy Weapons)'!E$11, 'Bilateral Assistance, MAIN DATA'!$J:$J,"Heavy weapon")/VLOOKUP("USD",'Exchange Rates'!$B:$C,2,0))/1000000000</f>
        <v>0</v>
      </c>
      <c r="F41" s="276">
        <f>(SUMIFS('Bilateral Assistance, MAIN DATA'!$P:$P,'Bilateral Assistance, MAIN DATA'!$B:$B,'Comm. per Month (Heavy Weapons)'!$B41,'Bilateral Assistance, MAIN DATA'!$AG:$AG,1,'Bilateral Assistance, MAIN DATA'!$AH:$AH,'Comm. per Month (Heavy Weapons)'!F$11, 'Bilateral Assistance, MAIN DATA'!$J:$J,"Heavy weapon")/VLOOKUP("USD",'Exchange Rates'!$B:$C,2,0))/1000000000</f>
        <v>0</v>
      </c>
      <c r="G41" s="276">
        <f>(SUMIFS('Bilateral Assistance, MAIN DATA'!$P:$P,'Bilateral Assistance, MAIN DATA'!$B:$B,'Comm. per Month (Heavy Weapons)'!$B41,'Bilateral Assistance, MAIN DATA'!$AG:$AG,1,'Bilateral Assistance, MAIN DATA'!$AH:$AH,'Comm. per Month (Heavy Weapons)'!G$11, 'Bilateral Assistance, MAIN DATA'!$J:$J,"Heavy weapon")/VLOOKUP("USD",'Exchange Rates'!$B:$C,2,0))/1000000000</f>
        <v>0</v>
      </c>
      <c r="H41" s="276">
        <f>(SUMIFS('Bilateral Assistance, MAIN DATA'!$P:$P,'Bilateral Assistance, MAIN DATA'!$B:$B,'Comm. per Month (Heavy Weapons)'!$B41,'Bilateral Assistance, MAIN DATA'!$AG:$AG,1,'Bilateral Assistance, MAIN DATA'!$AH:$AH,'Comm. per Month (Heavy Weapons)'!H$11, 'Bilateral Assistance, MAIN DATA'!$J:$J,"Heavy weapon")/VLOOKUP("USD",'Exchange Rates'!$B:$C,2,0))/1000000000</f>
        <v>0</v>
      </c>
      <c r="I41" s="276">
        <f>(SUMIFS('Bilateral Assistance, MAIN DATA'!$P:$P,'Bilateral Assistance, MAIN DATA'!$B:$B,'Comm. per Month (Heavy Weapons)'!$B41,'Bilateral Assistance, MAIN DATA'!$AG:$AG,1,'Bilateral Assistance, MAIN DATA'!$AH:$AH,'Comm. per Month (Heavy Weapons)'!I$11, 'Bilateral Assistance, MAIN DATA'!$J:$J,"Heavy weapon")/VLOOKUP("USD",'Exchange Rates'!$B:$C,2,0))/1000000000</f>
        <v>7.8480159929995505E-3</v>
      </c>
      <c r="J41" s="276">
        <f>(SUMIFS('Bilateral Assistance, MAIN DATA'!$P:$P,'Bilateral Assistance, MAIN DATA'!$B:$B,'Comm. per Month (Heavy Weapons)'!$B41,'Bilateral Assistance, MAIN DATA'!$AG:$AG,1,'Bilateral Assistance, MAIN DATA'!$AH:$AH,'Comm. per Month (Heavy Weapons)'!J$11, 'Bilateral Assistance, MAIN DATA'!$J:$J,"Heavy weapon")/VLOOKUP("USD",'Exchange Rates'!$B:$C,2,0))/1000000000</f>
        <v>0</v>
      </c>
      <c r="K41" s="276">
        <f>(SUMIFS('Bilateral Assistance, MAIN DATA'!$P:$P,'Bilateral Assistance, MAIN DATA'!$B:$B,'Comm. per Month (Heavy Weapons)'!$B41,'Bilateral Assistance, MAIN DATA'!$AG:$AG,1,'Bilateral Assistance, MAIN DATA'!$AH:$AH,'Comm. per Month (Heavy Weapons)'!K$11, 'Bilateral Assistance, MAIN DATA'!$J:$J,"Heavy weapon")/VLOOKUP("USD",'Exchange Rates'!$B:$C,2,0))/1000000000</f>
        <v>0</v>
      </c>
      <c r="L41" s="276">
        <f>(SUMIFS('Bilateral Assistance, MAIN DATA'!$P:$P,'Bilateral Assistance, MAIN DATA'!$B:$B,'Comm. per Month (Heavy Weapons)'!$B41,'Bilateral Assistance, MAIN DATA'!$AG:$AG,1,'Bilateral Assistance, MAIN DATA'!$AH:$AH,'Comm. per Month (Heavy Weapons)'!L$11, 'Bilateral Assistance, MAIN DATA'!$J:$J,"Heavy weapon")/VLOOKUP("USD",'Exchange Rates'!$B:$C,2,0))/1000000000</f>
        <v>0</v>
      </c>
      <c r="M41" s="276">
        <f>(SUMIFS('Bilateral Assistance, MAIN DATA'!$P:$P,'Bilateral Assistance, MAIN DATA'!$B:$B,'Comm. per Month (Heavy Weapons)'!$B41,'Bilateral Assistance, MAIN DATA'!$AG:$AG,1,'Bilateral Assistance, MAIN DATA'!$AH:$AH,'Comm. per Month (Heavy Weapons)'!M$11, 'Bilateral Assistance, MAIN DATA'!$J:$J,"Heavy weapon")/VLOOKUP("USD",'Exchange Rates'!$B:$C,2,0))/1000000000</f>
        <v>0</v>
      </c>
      <c r="N41" s="276">
        <f>(SUMIFS('Bilateral Assistance, MAIN DATA'!$P:$P,'Bilateral Assistance, MAIN DATA'!$B:$B,'Comm. per Month (Heavy Weapons)'!$B41,'Bilateral Assistance, MAIN DATA'!$AG:$AG,1,'Bilateral Assistance, MAIN DATA'!$AH:$AH,'Comm. per Month (Heavy Weapons)'!N$11, 'Bilateral Assistance, MAIN DATA'!$J:$J,"Heavy weapon")/VLOOKUP("USD",'Exchange Rates'!$B:$C,2,0))/1000000000</f>
        <v>0</v>
      </c>
      <c r="O41" s="276">
        <f>(SUMIFS('Bilateral Assistance, MAIN DATA'!$P:$P,'Bilateral Assistance, MAIN DATA'!$B:$B,'Comm. per Month (Heavy Weapons)'!$B41,'Bilateral Assistance, MAIN DATA'!$AG:$AG,1,'Bilateral Assistance, MAIN DATA'!$AH:$AH,'Comm. per Month (Heavy Weapons)'!O$11, 'Bilateral Assistance, MAIN DATA'!$J:$J,"Heavy weapon")/VLOOKUP("USD",'Exchange Rates'!$B:$C,2,0))/1000000000</f>
        <v>0</v>
      </c>
      <c r="P41" s="276">
        <f>(SUMIFS('Bilateral Assistance, MAIN DATA'!$P:$P,'Bilateral Assistance, MAIN DATA'!$B:$B,'Comm. per Month (Heavy Weapons)'!$B41,'Bilateral Assistance, MAIN DATA'!$AG:$AG,1,'Bilateral Assistance, MAIN DATA'!$AH:$AH,'Comm. per Month (Heavy Weapons)'!P$11, 'Bilateral Assistance, MAIN DATA'!$J:$J,"Heavy weapon")/VLOOKUP("USD",'Exchange Rates'!$B:$C,2,0))/1000000000</f>
        <v>0</v>
      </c>
      <c r="Q41" s="276">
        <f>(SUMIFS('Bilateral Assistance, MAIN DATA'!$P:$P,'Bilateral Assistance, MAIN DATA'!$B:$B,'Comm. per Month (Heavy Weapons)'!$B41,'Bilateral Assistance, MAIN DATA'!$AG:$AG,1,'Bilateral Assistance, MAIN DATA'!$AH:$AH,'Comm. per Month (Heavy Weapons)'!Q$11, 'Bilateral Assistance, MAIN DATA'!$J:$J,"Heavy weapon")/VLOOKUP("USD",'Exchange Rates'!$B:$C,2,0))/1000000000</f>
        <v>3.8645564961354434E-3</v>
      </c>
      <c r="R41" s="276">
        <f>(SUMIFS('Bilateral Assistance, MAIN DATA'!$P:$P,'Bilateral Assistance, MAIN DATA'!$B:$B,'Comm. per Month (Heavy Weapons)'!$B41,'Bilateral Assistance, MAIN DATA'!$AG:$AG,1,'Bilateral Assistance, MAIN DATA'!$AH:$AH,'Comm. per Month (Heavy Weapons)'!R$11, 'Bilateral Assistance, MAIN DATA'!$J:$J,"Heavy weapon")/VLOOKUP("USD",'Exchange Rates'!$B:$C,2,0))/1000000000</f>
        <v>2.7603974972396025E-2</v>
      </c>
      <c r="S41" s="138">
        <f t="shared" si="0"/>
        <v>1.1712572489134994E-2</v>
      </c>
    </row>
    <row r="42" spans="1:19" ht="15.95" customHeight="1">
      <c r="B42" s="2" t="s">
        <v>3162</v>
      </c>
      <c r="C42" s="297">
        <v>0</v>
      </c>
      <c r="D42" s="297">
        <v>0</v>
      </c>
      <c r="E42" s="276">
        <f>(SUMIFS('Bilateral Assistance, MAIN DATA'!$P:$P,'Bilateral Assistance, MAIN DATA'!$B:$B,'Comm. per Month (Heavy Weapons)'!$B42,'Bilateral Assistance, MAIN DATA'!$AG:$AG,1,'Bilateral Assistance, MAIN DATA'!$AH:$AH,'Comm. per Month (Heavy Weapons)'!E$11, 'Bilateral Assistance, MAIN DATA'!$J:$J,"Heavy weapon")/VLOOKUP("USD",'Exchange Rates'!$B:$C,2,0))/1000000000</f>
        <v>0</v>
      </c>
      <c r="F42" s="276">
        <f>(SUMIFS('Bilateral Assistance, MAIN DATA'!$P:$P,'Bilateral Assistance, MAIN DATA'!$B:$B,'Comm. per Month (Heavy Weapons)'!$B42,'Bilateral Assistance, MAIN DATA'!$AG:$AG,1,'Bilateral Assistance, MAIN DATA'!$AH:$AH,'Comm. per Month (Heavy Weapons)'!F$11, 'Bilateral Assistance, MAIN DATA'!$J:$J,"Heavy weapon")/VLOOKUP("USD",'Exchange Rates'!$B:$C,2,0))/1000000000</f>
        <v>0</v>
      </c>
      <c r="G42" s="276">
        <f>(SUMIFS('Bilateral Assistance, MAIN DATA'!$P:$P,'Bilateral Assistance, MAIN DATA'!$B:$B,'Comm. per Month (Heavy Weapons)'!$B42,'Bilateral Assistance, MAIN DATA'!$AG:$AG,1,'Bilateral Assistance, MAIN DATA'!$AH:$AH,'Comm. per Month (Heavy Weapons)'!G$11, 'Bilateral Assistance, MAIN DATA'!$J:$J,"Heavy weapon")/VLOOKUP("USD",'Exchange Rates'!$B:$C,2,0))/1000000000</f>
        <v>0</v>
      </c>
      <c r="H42" s="276">
        <f>(SUMIFS('Bilateral Assistance, MAIN DATA'!$P:$P,'Bilateral Assistance, MAIN DATA'!$B:$B,'Comm. per Month (Heavy Weapons)'!$B42,'Bilateral Assistance, MAIN DATA'!$AG:$AG,1,'Bilateral Assistance, MAIN DATA'!$AH:$AH,'Comm. per Month (Heavy Weapons)'!H$11, 'Bilateral Assistance, MAIN DATA'!$J:$J,"Heavy weapon")/VLOOKUP("USD",'Exchange Rates'!$B:$C,2,0))/1000000000</f>
        <v>0</v>
      </c>
      <c r="I42" s="276">
        <f>(SUMIFS('Bilateral Assistance, MAIN DATA'!$P:$P,'Bilateral Assistance, MAIN DATA'!$B:$B,'Comm. per Month (Heavy Weapons)'!$B42,'Bilateral Assistance, MAIN DATA'!$AG:$AG,1,'Bilateral Assistance, MAIN DATA'!$AH:$AH,'Comm. per Month (Heavy Weapons)'!I$11, 'Bilateral Assistance, MAIN DATA'!$J:$J,"Heavy weapon")/VLOOKUP("USD",'Exchange Rates'!$B:$C,2,0))/1000000000</f>
        <v>0</v>
      </c>
      <c r="J42" s="276">
        <f>(SUMIFS('Bilateral Assistance, MAIN DATA'!$P:$P,'Bilateral Assistance, MAIN DATA'!$B:$B,'Comm. per Month (Heavy Weapons)'!$B42,'Bilateral Assistance, MAIN DATA'!$AG:$AG,1,'Bilateral Assistance, MAIN DATA'!$AH:$AH,'Comm. per Month (Heavy Weapons)'!J$11, 'Bilateral Assistance, MAIN DATA'!$J:$J,"Heavy weapon")/VLOOKUP("USD",'Exchange Rates'!$B:$C,2,0))/1000000000</f>
        <v>0</v>
      </c>
      <c r="K42" s="276">
        <f>(SUMIFS('Bilateral Assistance, MAIN DATA'!$P:$P,'Bilateral Assistance, MAIN DATA'!$B:$B,'Comm. per Month (Heavy Weapons)'!$B42,'Bilateral Assistance, MAIN DATA'!$AG:$AG,1,'Bilateral Assistance, MAIN DATA'!$AH:$AH,'Comm. per Month (Heavy Weapons)'!K$11, 'Bilateral Assistance, MAIN DATA'!$J:$J,"Heavy weapon")/VLOOKUP("USD",'Exchange Rates'!$B:$C,2,0))/1000000000</f>
        <v>0</v>
      </c>
      <c r="L42" s="276">
        <f>(SUMIFS('Bilateral Assistance, MAIN DATA'!$P:$P,'Bilateral Assistance, MAIN DATA'!$B:$B,'Comm. per Month (Heavy Weapons)'!$B42,'Bilateral Assistance, MAIN DATA'!$AG:$AG,1,'Bilateral Assistance, MAIN DATA'!$AH:$AH,'Comm. per Month (Heavy Weapons)'!L$11, 'Bilateral Assistance, MAIN DATA'!$J:$J,"Heavy weapon")/VLOOKUP("USD",'Exchange Rates'!$B:$C,2,0))/1000000000</f>
        <v>0</v>
      </c>
      <c r="M42" s="276">
        <f>(SUMIFS('Bilateral Assistance, MAIN DATA'!$P:$P,'Bilateral Assistance, MAIN DATA'!$B:$B,'Comm. per Month (Heavy Weapons)'!$B42,'Bilateral Assistance, MAIN DATA'!$AG:$AG,1,'Bilateral Assistance, MAIN DATA'!$AH:$AH,'Comm. per Month (Heavy Weapons)'!M$11, 'Bilateral Assistance, MAIN DATA'!$J:$J,"Heavy weapon")/VLOOKUP("USD",'Exchange Rates'!$B:$C,2,0))/1000000000</f>
        <v>0</v>
      </c>
      <c r="N42" s="276">
        <f>(SUMIFS('Bilateral Assistance, MAIN DATA'!$P:$P,'Bilateral Assistance, MAIN DATA'!$B:$B,'Comm. per Month (Heavy Weapons)'!$B42,'Bilateral Assistance, MAIN DATA'!$AG:$AG,1,'Bilateral Assistance, MAIN DATA'!$AH:$AH,'Comm. per Month (Heavy Weapons)'!N$11, 'Bilateral Assistance, MAIN DATA'!$J:$J,"Heavy weapon")/VLOOKUP("USD",'Exchange Rates'!$B:$C,2,0))/1000000000</f>
        <v>0</v>
      </c>
      <c r="O42" s="276">
        <f>(SUMIFS('Bilateral Assistance, MAIN DATA'!$P:$P,'Bilateral Assistance, MAIN DATA'!$B:$B,'Comm. per Month (Heavy Weapons)'!$B42,'Bilateral Assistance, MAIN DATA'!$AG:$AG,1,'Bilateral Assistance, MAIN DATA'!$AH:$AH,'Comm. per Month (Heavy Weapons)'!O$11, 'Bilateral Assistance, MAIN DATA'!$J:$J,"Heavy weapon")/VLOOKUP("USD",'Exchange Rates'!$B:$C,2,0))/1000000000</f>
        <v>0</v>
      </c>
      <c r="P42" s="276">
        <f>(SUMIFS('Bilateral Assistance, MAIN DATA'!$P:$P,'Bilateral Assistance, MAIN DATA'!$B:$B,'Comm. per Month (Heavy Weapons)'!$B42,'Bilateral Assistance, MAIN DATA'!$AG:$AG,1,'Bilateral Assistance, MAIN DATA'!$AH:$AH,'Comm. per Month (Heavy Weapons)'!P$11, 'Bilateral Assistance, MAIN DATA'!$J:$J,"Heavy weapon")/VLOOKUP("USD",'Exchange Rates'!$B:$C,2,0))/1000000000</f>
        <v>0</v>
      </c>
      <c r="Q42" s="276">
        <f>(SUMIFS('Bilateral Assistance, MAIN DATA'!$P:$P,'Bilateral Assistance, MAIN DATA'!$B:$B,'Comm. per Month (Heavy Weapons)'!$B42,'Bilateral Assistance, MAIN DATA'!$AG:$AG,1,'Bilateral Assistance, MAIN DATA'!$AH:$AH,'Comm. per Month (Heavy Weapons)'!Q$11, 'Bilateral Assistance, MAIN DATA'!$J:$J,"Heavy weapon")/VLOOKUP("USD",'Exchange Rates'!$B:$C,2,0))/1000000000</f>
        <v>0</v>
      </c>
      <c r="R42" s="276">
        <f>(SUMIFS('Bilateral Assistance, MAIN DATA'!$P:$P,'Bilateral Assistance, MAIN DATA'!$B:$B,'Comm. per Month (Heavy Weapons)'!$B42,'Bilateral Assistance, MAIN DATA'!$AG:$AG,1,'Bilateral Assistance, MAIN DATA'!$AH:$AH,'Comm. per Month (Heavy Weapons)'!R$11, 'Bilateral Assistance, MAIN DATA'!$J:$J,"Heavy weapon")/VLOOKUP("USD",'Exchange Rates'!$B:$C,2,0))/1000000000</f>
        <v>0</v>
      </c>
      <c r="S42" s="138">
        <f t="shared" si="0"/>
        <v>0</v>
      </c>
    </row>
    <row r="43" spans="1:19" ht="15.95" customHeight="1">
      <c r="B43" s="24" t="s">
        <v>3214</v>
      </c>
      <c r="C43" s="297">
        <v>1</v>
      </c>
      <c r="D43" s="297">
        <v>0</v>
      </c>
      <c r="E43" s="276">
        <f>(SUMIFS('Bilateral Assistance, MAIN DATA'!$P:$P,'Bilateral Assistance, MAIN DATA'!$B:$B,'Comm. per Month (Heavy Weapons)'!$B43,'Bilateral Assistance, MAIN DATA'!$AG:$AG,1,'Bilateral Assistance, MAIN DATA'!$AH:$AH,'Comm. per Month (Heavy Weapons)'!E$11, 'Bilateral Assistance, MAIN DATA'!$J:$J,"Heavy weapon")/VLOOKUP("USD",'Exchange Rates'!$B:$C,2,0))/1000000000</f>
        <v>0</v>
      </c>
      <c r="F43" s="276">
        <f>(SUMIFS('Bilateral Assistance, MAIN DATA'!$P:$P,'Bilateral Assistance, MAIN DATA'!$B:$B,'Comm. per Month (Heavy Weapons)'!$B43,'Bilateral Assistance, MAIN DATA'!$AG:$AG,1,'Bilateral Assistance, MAIN DATA'!$AH:$AH,'Comm. per Month (Heavy Weapons)'!F$11, 'Bilateral Assistance, MAIN DATA'!$J:$J,"Heavy weapon")/VLOOKUP("USD",'Exchange Rates'!$B:$C,2,0))/1000000000</f>
        <v>0</v>
      </c>
      <c r="G43" s="276">
        <f>(SUMIFS('Bilateral Assistance, MAIN DATA'!$P:$P,'Bilateral Assistance, MAIN DATA'!$B:$B,'Comm. per Month (Heavy Weapons)'!$B43,'Bilateral Assistance, MAIN DATA'!$AG:$AG,1,'Bilateral Assistance, MAIN DATA'!$AH:$AH,'Comm. per Month (Heavy Weapons)'!G$11, 'Bilateral Assistance, MAIN DATA'!$J:$J,"Heavy weapon")/VLOOKUP("USD",'Exchange Rates'!$B:$C,2,0))/1000000000</f>
        <v>0</v>
      </c>
      <c r="H43" s="276">
        <f>(SUMIFS('Bilateral Assistance, MAIN DATA'!$P:$P,'Bilateral Assistance, MAIN DATA'!$B:$B,'Comm. per Month (Heavy Weapons)'!$B43,'Bilateral Assistance, MAIN DATA'!$AG:$AG,1,'Bilateral Assistance, MAIN DATA'!$AH:$AH,'Comm. per Month (Heavy Weapons)'!H$11, 'Bilateral Assistance, MAIN DATA'!$J:$J,"Heavy weapon")/VLOOKUP("USD",'Exchange Rates'!$B:$C,2,0))/1000000000</f>
        <v>0</v>
      </c>
      <c r="I43" s="276">
        <f>(SUMIFS('Bilateral Assistance, MAIN DATA'!$P:$P,'Bilateral Assistance, MAIN DATA'!$B:$B,'Comm. per Month (Heavy Weapons)'!$B43,'Bilateral Assistance, MAIN DATA'!$AG:$AG,1,'Bilateral Assistance, MAIN DATA'!$AH:$AH,'Comm. per Month (Heavy Weapons)'!I$11, 'Bilateral Assistance, MAIN DATA'!$J:$J,"Heavy weapon")/VLOOKUP("USD",'Exchange Rates'!$B:$C,2,0))/1000000000</f>
        <v>0</v>
      </c>
      <c r="J43" s="276">
        <f>(SUMIFS('Bilateral Assistance, MAIN DATA'!$P:$P,'Bilateral Assistance, MAIN DATA'!$B:$B,'Comm. per Month (Heavy Weapons)'!$B43,'Bilateral Assistance, MAIN DATA'!$AG:$AG,1,'Bilateral Assistance, MAIN DATA'!$AH:$AH,'Comm. per Month (Heavy Weapons)'!J$11, 'Bilateral Assistance, MAIN DATA'!$J:$J,"Heavy weapon")/VLOOKUP("USD",'Exchange Rates'!$B:$C,2,0))/1000000000</f>
        <v>0</v>
      </c>
      <c r="K43" s="276">
        <f>(SUMIFS('Bilateral Assistance, MAIN DATA'!$P:$P,'Bilateral Assistance, MAIN DATA'!$B:$B,'Comm. per Month (Heavy Weapons)'!$B43,'Bilateral Assistance, MAIN DATA'!$AG:$AG,1,'Bilateral Assistance, MAIN DATA'!$AH:$AH,'Comm. per Month (Heavy Weapons)'!K$11, 'Bilateral Assistance, MAIN DATA'!$J:$J,"Heavy weapon")/VLOOKUP("USD",'Exchange Rates'!$B:$C,2,0))/1000000000</f>
        <v>0</v>
      </c>
      <c r="L43" s="276">
        <f>(SUMIFS('Bilateral Assistance, MAIN DATA'!$P:$P,'Bilateral Assistance, MAIN DATA'!$B:$B,'Comm. per Month (Heavy Weapons)'!$B43,'Bilateral Assistance, MAIN DATA'!$AG:$AG,1,'Bilateral Assistance, MAIN DATA'!$AH:$AH,'Comm. per Month (Heavy Weapons)'!L$11, 'Bilateral Assistance, MAIN DATA'!$J:$J,"Heavy weapon")/VLOOKUP("USD",'Exchange Rates'!$B:$C,2,0))/1000000000</f>
        <v>0</v>
      </c>
      <c r="M43" s="276">
        <f>(SUMIFS('Bilateral Assistance, MAIN DATA'!$P:$P,'Bilateral Assistance, MAIN DATA'!$B:$B,'Comm. per Month (Heavy Weapons)'!$B43,'Bilateral Assistance, MAIN DATA'!$AG:$AG,1,'Bilateral Assistance, MAIN DATA'!$AH:$AH,'Comm. per Month (Heavy Weapons)'!M$11, 'Bilateral Assistance, MAIN DATA'!$J:$J,"Heavy weapon")/VLOOKUP("USD",'Exchange Rates'!$B:$C,2,0))/1000000000</f>
        <v>0</v>
      </c>
      <c r="N43" s="276">
        <f>(SUMIFS('Bilateral Assistance, MAIN DATA'!$P:$P,'Bilateral Assistance, MAIN DATA'!$B:$B,'Comm. per Month (Heavy Weapons)'!$B43,'Bilateral Assistance, MAIN DATA'!$AG:$AG,1,'Bilateral Assistance, MAIN DATA'!$AH:$AH,'Comm. per Month (Heavy Weapons)'!N$11, 'Bilateral Assistance, MAIN DATA'!$J:$J,"Heavy weapon")/VLOOKUP("USD",'Exchange Rates'!$B:$C,2,0))/1000000000</f>
        <v>0</v>
      </c>
      <c r="O43" s="276">
        <f>(SUMIFS('Bilateral Assistance, MAIN DATA'!$P:$P,'Bilateral Assistance, MAIN DATA'!$B:$B,'Comm. per Month (Heavy Weapons)'!$B43,'Bilateral Assistance, MAIN DATA'!$AG:$AG,1,'Bilateral Assistance, MAIN DATA'!$AH:$AH,'Comm. per Month (Heavy Weapons)'!O$11, 'Bilateral Assistance, MAIN DATA'!$J:$J,"Heavy weapon")/VLOOKUP("USD",'Exchange Rates'!$B:$C,2,0))/1000000000</f>
        <v>0</v>
      </c>
      <c r="P43" s="276">
        <f>(SUMIFS('Bilateral Assistance, MAIN DATA'!$P:$P,'Bilateral Assistance, MAIN DATA'!$B:$B,'Comm. per Month (Heavy Weapons)'!$B43,'Bilateral Assistance, MAIN DATA'!$AG:$AG,1,'Bilateral Assistance, MAIN DATA'!$AH:$AH,'Comm. per Month (Heavy Weapons)'!P$11, 'Bilateral Assistance, MAIN DATA'!$J:$J,"Heavy weapon")/VLOOKUP("USD",'Exchange Rates'!$B:$C,2,0))/1000000000</f>
        <v>0</v>
      </c>
      <c r="Q43" s="276">
        <f>(SUMIFS('Bilateral Assistance, MAIN DATA'!$P:$P,'Bilateral Assistance, MAIN DATA'!$B:$B,'Comm. per Month (Heavy Weapons)'!$B43,'Bilateral Assistance, MAIN DATA'!$AG:$AG,1,'Bilateral Assistance, MAIN DATA'!$AH:$AH,'Comm. per Month (Heavy Weapons)'!Q$11, 'Bilateral Assistance, MAIN DATA'!$J:$J,"Heavy weapon")/VLOOKUP("USD",'Exchange Rates'!$B:$C,2,0))/1000000000</f>
        <v>0</v>
      </c>
      <c r="R43" s="276">
        <f>(SUMIFS('Bilateral Assistance, MAIN DATA'!$P:$P,'Bilateral Assistance, MAIN DATA'!$B:$B,'Comm. per Month (Heavy Weapons)'!$B43,'Bilateral Assistance, MAIN DATA'!$AG:$AG,1,'Bilateral Assistance, MAIN DATA'!$AH:$AH,'Comm. per Month (Heavy Weapons)'!R$11, 'Bilateral Assistance, MAIN DATA'!$J:$J,"Heavy weapon")/VLOOKUP("USD",'Exchange Rates'!$B:$C,2,0))/1000000000</f>
        <v>0</v>
      </c>
      <c r="S43" s="138">
        <f t="shared" si="0"/>
        <v>0</v>
      </c>
    </row>
    <row r="44" spans="1:19" ht="15.95" customHeight="1">
      <c r="B44" s="24" t="s">
        <v>3261</v>
      </c>
      <c r="C44" s="297">
        <v>1</v>
      </c>
      <c r="D44" s="297">
        <v>0</v>
      </c>
      <c r="E44" s="276">
        <f>(SUMIFS('Bilateral Assistance, MAIN DATA'!$P:$P,'Bilateral Assistance, MAIN DATA'!$B:$B,'Comm. per Month (Heavy Weapons)'!$B44,'Bilateral Assistance, MAIN DATA'!$AG:$AG,1,'Bilateral Assistance, MAIN DATA'!$AH:$AH,'Comm. per Month (Heavy Weapons)'!E$11, 'Bilateral Assistance, MAIN DATA'!$J:$J,"Heavy weapon")/VLOOKUP("USD",'Exchange Rates'!$B:$C,2,0))/1000000000</f>
        <v>0</v>
      </c>
      <c r="F44" s="276">
        <f>(SUMIFS('Bilateral Assistance, MAIN DATA'!$P:$P,'Bilateral Assistance, MAIN DATA'!$B:$B,'Comm. per Month (Heavy Weapons)'!$B44,'Bilateral Assistance, MAIN DATA'!$AG:$AG,1,'Bilateral Assistance, MAIN DATA'!$AH:$AH,'Comm. per Month (Heavy Weapons)'!F$11, 'Bilateral Assistance, MAIN DATA'!$J:$J,"Heavy weapon")/VLOOKUP("USD",'Exchange Rates'!$B:$C,2,0))/1000000000</f>
        <v>0</v>
      </c>
      <c r="G44" s="276">
        <f>(SUMIFS('Bilateral Assistance, MAIN DATA'!$P:$P,'Bilateral Assistance, MAIN DATA'!$B:$B,'Comm. per Month (Heavy Weapons)'!$B44,'Bilateral Assistance, MAIN DATA'!$AG:$AG,1,'Bilateral Assistance, MAIN DATA'!$AH:$AH,'Comm. per Month (Heavy Weapons)'!G$11, 'Bilateral Assistance, MAIN DATA'!$J:$J,"Heavy weapon")/VLOOKUP("USD",'Exchange Rates'!$B:$C,2,0))/1000000000</f>
        <v>0</v>
      </c>
      <c r="H44" s="276">
        <f>(SUMIFS('Bilateral Assistance, MAIN DATA'!$P:$P,'Bilateral Assistance, MAIN DATA'!$B:$B,'Comm. per Month (Heavy Weapons)'!$B44,'Bilateral Assistance, MAIN DATA'!$AG:$AG,1,'Bilateral Assistance, MAIN DATA'!$AH:$AH,'Comm. per Month (Heavy Weapons)'!H$11, 'Bilateral Assistance, MAIN DATA'!$J:$J,"Heavy weapon")/VLOOKUP("USD",'Exchange Rates'!$B:$C,2,0))/1000000000</f>
        <v>0.19213985933934485</v>
      </c>
      <c r="I44" s="276">
        <f>(SUMIFS('Bilateral Assistance, MAIN DATA'!$P:$P,'Bilateral Assistance, MAIN DATA'!$B:$B,'Comm. per Month (Heavy Weapons)'!$B44,'Bilateral Assistance, MAIN DATA'!$AG:$AG,1,'Bilateral Assistance, MAIN DATA'!$AH:$AH,'Comm. per Month (Heavy Weapons)'!I$11, 'Bilateral Assistance, MAIN DATA'!$J:$J,"Heavy weapon")/VLOOKUP("USD",'Exchange Rates'!$B:$C,2,0))/1000000000</f>
        <v>0</v>
      </c>
      <c r="J44" s="276">
        <f>(SUMIFS('Bilateral Assistance, MAIN DATA'!$P:$P,'Bilateral Assistance, MAIN DATA'!$B:$B,'Comm. per Month (Heavy Weapons)'!$B44,'Bilateral Assistance, MAIN DATA'!$AG:$AG,1,'Bilateral Assistance, MAIN DATA'!$AH:$AH,'Comm. per Month (Heavy Weapons)'!J$11, 'Bilateral Assistance, MAIN DATA'!$J:$J,"Heavy weapon")/VLOOKUP("USD",'Exchange Rates'!$B:$C,2,0))/1000000000</f>
        <v>6.8319838056680154E-2</v>
      </c>
      <c r="K44" s="276">
        <f>(SUMIFS('Bilateral Assistance, MAIN DATA'!$P:$P,'Bilateral Assistance, MAIN DATA'!$B:$B,'Comm. per Month (Heavy Weapons)'!$B44,'Bilateral Assistance, MAIN DATA'!$AG:$AG,1,'Bilateral Assistance, MAIN DATA'!$AH:$AH,'Comm. per Month (Heavy Weapons)'!K$11, 'Bilateral Assistance, MAIN DATA'!$J:$J,"Heavy weapon")/VLOOKUP("USD",'Exchange Rates'!$B:$C,2,0))/1000000000</f>
        <v>0</v>
      </c>
      <c r="L44" s="276">
        <f>(SUMIFS('Bilateral Assistance, MAIN DATA'!$P:$P,'Bilateral Assistance, MAIN DATA'!$B:$B,'Comm. per Month (Heavy Weapons)'!$B44,'Bilateral Assistance, MAIN DATA'!$AG:$AG,1,'Bilateral Assistance, MAIN DATA'!$AH:$AH,'Comm. per Month (Heavy Weapons)'!L$11, 'Bilateral Assistance, MAIN DATA'!$J:$J,"Heavy weapon")/VLOOKUP("USD",'Exchange Rates'!$B:$C,2,0))/1000000000</f>
        <v>1.5500805944055946E-2</v>
      </c>
      <c r="M44" s="276">
        <f>(SUMIFS('Bilateral Assistance, MAIN DATA'!$P:$P,'Bilateral Assistance, MAIN DATA'!$B:$B,'Comm. per Month (Heavy Weapons)'!$B44,'Bilateral Assistance, MAIN DATA'!$AG:$AG,1,'Bilateral Assistance, MAIN DATA'!$AH:$AH,'Comm. per Month (Heavy Weapons)'!M$11, 'Bilateral Assistance, MAIN DATA'!$J:$J,"Heavy weapon")/VLOOKUP("USD",'Exchange Rates'!$B:$C,2,0))/1000000000</f>
        <v>0</v>
      </c>
      <c r="N44" s="276">
        <f>(SUMIFS('Bilateral Assistance, MAIN DATA'!$P:$P,'Bilateral Assistance, MAIN DATA'!$B:$B,'Comm. per Month (Heavy Weapons)'!$B44,'Bilateral Assistance, MAIN DATA'!$AG:$AG,1,'Bilateral Assistance, MAIN DATA'!$AH:$AH,'Comm. per Month (Heavy Weapons)'!N$11, 'Bilateral Assistance, MAIN DATA'!$J:$J,"Heavy weapon")/VLOOKUP("USD",'Exchange Rates'!$B:$C,2,0))/1000000000</f>
        <v>0</v>
      </c>
      <c r="O44" s="276">
        <f>(SUMIFS('Bilateral Assistance, MAIN DATA'!$P:$P,'Bilateral Assistance, MAIN DATA'!$B:$B,'Comm. per Month (Heavy Weapons)'!$B44,'Bilateral Assistance, MAIN DATA'!$AG:$AG,1,'Bilateral Assistance, MAIN DATA'!$AH:$AH,'Comm. per Month (Heavy Weapons)'!O$11, 'Bilateral Assistance, MAIN DATA'!$J:$J,"Heavy weapon")/VLOOKUP("USD",'Exchange Rates'!$B:$C,2,0))/1000000000</f>
        <v>0</v>
      </c>
      <c r="P44" s="276">
        <f>(SUMIFS('Bilateral Assistance, MAIN DATA'!$P:$P,'Bilateral Assistance, MAIN DATA'!$B:$B,'Comm. per Month (Heavy Weapons)'!$B44,'Bilateral Assistance, MAIN DATA'!$AG:$AG,1,'Bilateral Assistance, MAIN DATA'!$AH:$AH,'Comm. per Month (Heavy Weapons)'!P$11, 'Bilateral Assistance, MAIN DATA'!$J:$J,"Heavy weapon")/VLOOKUP("USD",'Exchange Rates'!$B:$C,2,0))/1000000000</f>
        <v>0</v>
      </c>
      <c r="Q44" s="276">
        <f>(SUMIFS('Bilateral Assistance, MAIN DATA'!$P:$P,'Bilateral Assistance, MAIN DATA'!$B:$B,'Comm. per Month (Heavy Weapons)'!$B44,'Bilateral Assistance, MAIN DATA'!$AG:$AG,1,'Bilateral Assistance, MAIN DATA'!$AH:$AH,'Comm. per Month (Heavy Weapons)'!Q$11, 'Bilateral Assistance, MAIN DATA'!$J:$J,"Heavy weapon")/VLOOKUP("USD",'Exchange Rates'!$B:$C,2,0))/1000000000</f>
        <v>0</v>
      </c>
      <c r="R44" s="276">
        <f>(SUMIFS('Bilateral Assistance, MAIN DATA'!$P:$P,'Bilateral Assistance, MAIN DATA'!$B:$B,'Comm. per Month (Heavy Weapons)'!$B44,'Bilateral Assistance, MAIN DATA'!$AG:$AG,1,'Bilateral Assistance, MAIN DATA'!$AH:$AH,'Comm. per Month (Heavy Weapons)'!R$11, 'Bilateral Assistance, MAIN DATA'!$J:$J,"Heavy weapon")/VLOOKUP("USD",'Exchange Rates'!$B:$C,2,0))/1000000000</f>
        <v>0</v>
      </c>
      <c r="S44" s="138">
        <f t="shared" si="0"/>
        <v>0.27596050334008099</v>
      </c>
    </row>
    <row r="45" spans="1:19" ht="15.95" customHeight="1">
      <c r="B45" s="24" t="s">
        <v>3337</v>
      </c>
      <c r="C45" s="297">
        <v>1</v>
      </c>
      <c r="D45" s="297">
        <v>0</v>
      </c>
      <c r="E45" s="276">
        <f>(SUMIFS('Bilateral Assistance, MAIN DATA'!$P:$P,'Bilateral Assistance, MAIN DATA'!$B:$B,'Comm. per Month (Heavy Weapons)'!$B45,'Bilateral Assistance, MAIN DATA'!$AG:$AG,1,'Bilateral Assistance, MAIN DATA'!$AH:$AH,'Comm. per Month (Heavy Weapons)'!E$11, 'Bilateral Assistance, MAIN DATA'!$J:$J,"Heavy weapon")/VLOOKUP("USD",'Exchange Rates'!$B:$C,2,0))/1000000000</f>
        <v>0</v>
      </c>
      <c r="F45" s="276">
        <f>(SUMIFS('Bilateral Assistance, MAIN DATA'!$P:$P,'Bilateral Assistance, MAIN DATA'!$B:$B,'Comm. per Month (Heavy Weapons)'!$B45,'Bilateral Assistance, MAIN DATA'!$AG:$AG,1,'Bilateral Assistance, MAIN DATA'!$AH:$AH,'Comm. per Month (Heavy Weapons)'!F$11, 'Bilateral Assistance, MAIN DATA'!$J:$J,"Heavy weapon")/VLOOKUP("USD",'Exchange Rates'!$B:$C,2,0))/1000000000</f>
        <v>0</v>
      </c>
      <c r="G45" s="276">
        <f>(SUMIFS('Bilateral Assistance, MAIN DATA'!$P:$P,'Bilateral Assistance, MAIN DATA'!$B:$B,'Comm. per Month (Heavy Weapons)'!$B45,'Bilateral Assistance, MAIN DATA'!$AG:$AG,1,'Bilateral Assistance, MAIN DATA'!$AH:$AH,'Comm. per Month (Heavy Weapons)'!G$11, 'Bilateral Assistance, MAIN DATA'!$J:$J,"Heavy weapon")/VLOOKUP("USD",'Exchange Rates'!$B:$C,2,0))/1000000000</f>
        <v>0</v>
      </c>
      <c r="H45" s="276">
        <f>(SUMIFS('Bilateral Assistance, MAIN DATA'!$P:$P,'Bilateral Assistance, MAIN DATA'!$B:$B,'Comm. per Month (Heavy Weapons)'!$B45,'Bilateral Assistance, MAIN DATA'!$AG:$AG,1,'Bilateral Assistance, MAIN DATA'!$AH:$AH,'Comm. per Month (Heavy Weapons)'!H$11, 'Bilateral Assistance, MAIN DATA'!$J:$J,"Heavy weapon")/VLOOKUP("USD",'Exchange Rates'!$B:$C,2,0))/1000000000</f>
        <v>0</v>
      </c>
      <c r="I45" s="276">
        <f>(SUMIFS('Bilateral Assistance, MAIN DATA'!$P:$P,'Bilateral Assistance, MAIN DATA'!$B:$B,'Comm. per Month (Heavy Weapons)'!$B45,'Bilateral Assistance, MAIN DATA'!$AG:$AG,1,'Bilateral Assistance, MAIN DATA'!$AH:$AH,'Comm. per Month (Heavy Weapons)'!I$11, 'Bilateral Assistance, MAIN DATA'!$J:$J,"Heavy weapon")/VLOOKUP("USD",'Exchange Rates'!$B:$C,2,0))/1000000000</f>
        <v>0</v>
      </c>
      <c r="J45" s="276">
        <f>(SUMIFS('Bilateral Assistance, MAIN DATA'!$P:$P,'Bilateral Assistance, MAIN DATA'!$B:$B,'Comm. per Month (Heavy Weapons)'!$B45,'Bilateral Assistance, MAIN DATA'!$AG:$AG,1,'Bilateral Assistance, MAIN DATA'!$AH:$AH,'Comm. per Month (Heavy Weapons)'!J$11, 'Bilateral Assistance, MAIN DATA'!$J:$J,"Heavy weapon")/VLOOKUP("USD",'Exchange Rates'!$B:$C,2,0))/1000000000</f>
        <v>2.2834211494295181E-2</v>
      </c>
      <c r="K45" s="276">
        <f>(SUMIFS('Bilateral Assistance, MAIN DATA'!$P:$P,'Bilateral Assistance, MAIN DATA'!$B:$B,'Comm. per Month (Heavy Weapons)'!$B45,'Bilateral Assistance, MAIN DATA'!$AG:$AG,1,'Bilateral Assistance, MAIN DATA'!$AH:$AH,'Comm. per Month (Heavy Weapons)'!K$11, 'Bilateral Assistance, MAIN DATA'!$J:$J,"Heavy weapon")/VLOOKUP("USD",'Exchange Rates'!$B:$C,2,0))/1000000000</f>
        <v>0</v>
      </c>
      <c r="L45" s="276">
        <f>(SUMIFS('Bilateral Assistance, MAIN DATA'!$P:$P,'Bilateral Assistance, MAIN DATA'!$B:$B,'Comm. per Month (Heavy Weapons)'!$B45,'Bilateral Assistance, MAIN DATA'!$AG:$AG,1,'Bilateral Assistance, MAIN DATA'!$AH:$AH,'Comm. per Month (Heavy Weapons)'!L$11, 'Bilateral Assistance, MAIN DATA'!$J:$J,"Heavy weapon")/VLOOKUP("USD",'Exchange Rates'!$B:$C,2,0))/1000000000</f>
        <v>0</v>
      </c>
      <c r="M45" s="276">
        <f>(SUMIFS('Bilateral Assistance, MAIN DATA'!$P:$P,'Bilateral Assistance, MAIN DATA'!$B:$B,'Comm. per Month (Heavy Weapons)'!$B45,'Bilateral Assistance, MAIN DATA'!$AG:$AG,1,'Bilateral Assistance, MAIN DATA'!$AH:$AH,'Comm. per Month (Heavy Weapons)'!M$11, 'Bilateral Assistance, MAIN DATA'!$J:$J,"Heavy weapon")/VLOOKUP("USD",'Exchange Rates'!$B:$C,2,0))/1000000000</f>
        <v>2.4950092013249908E-2</v>
      </c>
      <c r="N45" s="276">
        <f>(SUMIFS('Bilateral Assistance, MAIN DATA'!$P:$P,'Bilateral Assistance, MAIN DATA'!$B:$B,'Comm. per Month (Heavy Weapons)'!$B45,'Bilateral Assistance, MAIN DATA'!$AG:$AG,1,'Bilateral Assistance, MAIN DATA'!$AH:$AH,'Comm. per Month (Heavy Weapons)'!N$11, 'Bilateral Assistance, MAIN DATA'!$J:$J,"Heavy weapon")/VLOOKUP("USD",'Exchange Rates'!$B:$C,2,0))/1000000000</f>
        <v>0</v>
      </c>
      <c r="O45" s="276">
        <f>(SUMIFS('Bilateral Assistance, MAIN DATA'!$P:$P,'Bilateral Assistance, MAIN DATA'!$B:$B,'Comm. per Month (Heavy Weapons)'!$B45,'Bilateral Assistance, MAIN DATA'!$AG:$AG,1,'Bilateral Assistance, MAIN DATA'!$AH:$AH,'Comm. per Month (Heavy Weapons)'!O$11, 'Bilateral Assistance, MAIN DATA'!$J:$J,"Heavy weapon")/VLOOKUP("USD",'Exchange Rates'!$B:$C,2,0))/1000000000</f>
        <v>0</v>
      </c>
      <c r="P45" s="276">
        <f>(SUMIFS('Bilateral Assistance, MAIN DATA'!$P:$P,'Bilateral Assistance, MAIN DATA'!$B:$B,'Comm. per Month (Heavy Weapons)'!$B45,'Bilateral Assistance, MAIN DATA'!$AG:$AG,1,'Bilateral Assistance, MAIN DATA'!$AH:$AH,'Comm. per Month (Heavy Weapons)'!P$11, 'Bilateral Assistance, MAIN DATA'!$J:$J,"Heavy weapon")/VLOOKUP("USD",'Exchange Rates'!$B:$C,2,0))/1000000000</f>
        <v>0</v>
      </c>
      <c r="Q45" s="276">
        <f>(SUMIFS('Bilateral Assistance, MAIN DATA'!$P:$P,'Bilateral Assistance, MAIN DATA'!$B:$B,'Comm. per Month (Heavy Weapons)'!$B45,'Bilateral Assistance, MAIN DATA'!$AG:$AG,1,'Bilateral Assistance, MAIN DATA'!$AH:$AH,'Comm. per Month (Heavy Weapons)'!Q$11, 'Bilateral Assistance, MAIN DATA'!$J:$J,"Heavy weapon")/VLOOKUP("USD",'Exchange Rates'!$B:$C,2,0))/1000000000</f>
        <v>0</v>
      </c>
      <c r="R45" s="276">
        <f>(SUMIFS('Bilateral Assistance, MAIN DATA'!$P:$P,'Bilateral Assistance, MAIN DATA'!$B:$B,'Comm. per Month (Heavy Weapons)'!$B45,'Bilateral Assistance, MAIN DATA'!$AG:$AG,1,'Bilateral Assistance, MAIN DATA'!$AH:$AH,'Comm. per Month (Heavy Weapons)'!R$11, 'Bilateral Assistance, MAIN DATA'!$J:$J,"Heavy weapon")/VLOOKUP("USD",'Exchange Rates'!$B:$C,2,0))/1000000000</f>
        <v>0</v>
      </c>
      <c r="S45" s="138">
        <f t="shared" si="0"/>
        <v>4.7784303507545089E-2</v>
      </c>
    </row>
    <row r="46" spans="1:19" ht="15.95" customHeight="1">
      <c r="B46" s="24" t="s">
        <v>3412</v>
      </c>
      <c r="C46" s="297">
        <v>1</v>
      </c>
      <c r="D46" s="297">
        <v>0</v>
      </c>
      <c r="E46" s="276">
        <f>(SUMIFS('Bilateral Assistance, MAIN DATA'!$P:$P,'Bilateral Assistance, MAIN DATA'!$B:$B,'Comm. per Month (Heavy Weapons)'!$B46,'Bilateral Assistance, MAIN DATA'!$AG:$AG,1,'Bilateral Assistance, MAIN DATA'!$AH:$AH,'Comm. per Month (Heavy Weapons)'!E$11, 'Bilateral Assistance, MAIN DATA'!$J:$J,"Heavy weapon")/VLOOKUP("USD",'Exchange Rates'!$B:$C,2,0))/1000000000</f>
        <v>0</v>
      </c>
      <c r="F46" s="276">
        <f>(SUMIFS('Bilateral Assistance, MAIN DATA'!$P:$P,'Bilateral Assistance, MAIN DATA'!$B:$B,'Comm. per Month (Heavy Weapons)'!$B46,'Bilateral Assistance, MAIN DATA'!$AG:$AG,1,'Bilateral Assistance, MAIN DATA'!$AH:$AH,'Comm. per Month (Heavy Weapons)'!F$11, 'Bilateral Assistance, MAIN DATA'!$J:$J,"Heavy weapon")/VLOOKUP("USD",'Exchange Rates'!$B:$C,2,0))/1000000000</f>
        <v>0</v>
      </c>
      <c r="G46" s="276">
        <f>(SUMIFS('Bilateral Assistance, MAIN DATA'!$P:$P,'Bilateral Assistance, MAIN DATA'!$B:$B,'Comm. per Month (Heavy Weapons)'!$B46,'Bilateral Assistance, MAIN DATA'!$AG:$AG,1,'Bilateral Assistance, MAIN DATA'!$AH:$AH,'Comm. per Month (Heavy Weapons)'!G$11, 'Bilateral Assistance, MAIN DATA'!$J:$J,"Heavy weapon")/VLOOKUP("USD",'Exchange Rates'!$B:$C,2,0))/1000000000</f>
        <v>0</v>
      </c>
      <c r="H46" s="276">
        <f>(SUMIFS('Bilateral Assistance, MAIN DATA'!$P:$P,'Bilateral Assistance, MAIN DATA'!$B:$B,'Comm. per Month (Heavy Weapons)'!$B46,'Bilateral Assistance, MAIN DATA'!$AG:$AG,1,'Bilateral Assistance, MAIN DATA'!$AH:$AH,'Comm. per Month (Heavy Weapons)'!H$11, 'Bilateral Assistance, MAIN DATA'!$J:$J,"Heavy weapon")/VLOOKUP("USD",'Exchange Rates'!$B:$C,2,0))/1000000000</f>
        <v>8.4970555760029449E-3</v>
      </c>
      <c r="I46" s="276">
        <f>(SUMIFS('Bilateral Assistance, MAIN DATA'!$P:$P,'Bilateral Assistance, MAIN DATA'!$B:$B,'Comm. per Month (Heavy Weapons)'!$B46,'Bilateral Assistance, MAIN DATA'!$AG:$AG,1,'Bilateral Assistance, MAIN DATA'!$AH:$AH,'Comm. per Month (Heavy Weapons)'!I$11, 'Bilateral Assistance, MAIN DATA'!$J:$J,"Heavy weapon")/VLOOKUP("USD",'Exchange Rates'!$B:$C,2,0))/1000000000</f>
        <v>0</v>
      </c>
      <c r="J46" s="276">
        <f>(SUMIFS('Bilateral Assistance, MAIN DATA'!$P:$P,'Bilateral Assistance, MAIN DATA'!$B:$B,'Comm. per Month (Heavy Weapons)'!$B46,'Bilateral Assistance, MAIN DATA'!$AG:$AG,1,'Bilateral Assistance, MAIN DATA'!$AH:$AH,'Comm. per Month (Heavy Weapons)'!J$11, 'Bilateral Assistance, MAIN DATA'!$J:$J,"Heavy weapon")/VLOOKUP("USD",'Exchange Rates'!$B:$C,2,0))/1000000000</f>
        <v>0</v>
      </c>
      <c r="K46" s="276">
        <f>(SUMIFS('Bilateral Assistance, MAIN DATA'!$P:$P,'Bilateral Assistance, MAIN DATA'!$B:$B,'Comm. per Month (Heavy Weapons)'!$B46,'Bilateral Assistance, MAIN DATA'!$AG:$AG,1,'Bilateral Assistance, MAIN DATA'!$AH:$AH,'Comm. per Month (Heavy Weapons)'!K$11, 'Bilateral Assistance, MAIN DATA'!$J:$J,"Heavy weapon")/VLOOKUP("USD",'Exchange Rates'!$B:$C,2,0))/1000000000</f>
        <v>5.5207949944792055E-3</v>
      </c>
      <c r="L46" s="276">
        <f>(SUMIFS('Bilateral Assistance, MAIN DATA'!$P:$P,'Bilateral Assistance, MAIN DATA'!$B:$B,'Comm. per Month (Heavy Weapons)'!$B46,'Bilateral Assistance, MAIN DATA'!$AG:$AG,1,'Bilateral Assistance, MAIN DATA'!$AH:$AH,'Comm. per Month (Heavy Weapons)'!L$11, 'Bilateral Assistance, MAIN DATA'!$J:$J,"Heavy weapon")/VLOOKUP("USD",'Exchange Rates'!$B:$C,2,0))/1000000000</f>
        <v>0</v>
      </c>
      <c r="M46" s="276">
        <f>(SUMIFS('Bilateral Assistance, MAIN DATA'!$P:$P,'Bilateral Assistance, MAIN DATA'!$B:$B,'Comm. per Month (Heavy Weapons)'!$B46,'Bilateral Assistance, MAIN DATA'!$AG:$AG,1,'Bilateral Assistance, MAIN DATA'!$AH:$AH,'Comm. per Month (Heavy Weapons)'!M$11, 'Bilateral Assistance, MAIN DATA'!$J:$J,"Heavy weapon")/VLOOKUP("USD",'Exchange Rates'!$B:$C,2,0))/1000000000</f>
        <v>0</v>
      </c>
      <c r="N46" s="276">
        <f>(SUMIFS('Bilateral Assistance, MAIN DATA'!$P:$P,'Bilateral Assistance, MAIN DATA'!$B:$B,'Comm. per Month (Heavy Weapons)'!$B46,'Bilateral Assistance, MAIN DATA'!$AG:$AG,1,'Bilateral Assistance, MAIN DATA'!$AH:$AH,'Comm. per Month (Heavy Weapons)'!N$11, 'Bilateral Assistance, MAIN DATA'!$J:$J,"Heavy weapon")/VLOOKUP("USD",'Exchange Rates'!$B:$C,2,0))/1000000000</f>
        <v>6.5312008558828488E-2</v>
      </c>
      <c r="O46" s="276">
        <f>(SUMIFS('Bilateral Assistance, MAIN DATA'!$P:$P,'Bilateral Assistance, MAIN DATA'!$B:$B,'Comm. per Month (Heavy Weapons)'!$B46,'Bilateral Assistance, MAIN DATA'!$AG:$AG,1,'Bilateral Assistance, MAIN DATA'!$AH:$AH,'Comm. per Month (Heavy Weapons)'!O$11, 'Bilateral Assistance, MAIN DATA'!$J:$J,"Heavy weapon")/VLOOKUP("USD",'Exchange Rates'!$B:$C,2,0))/1000000000</f>
        <v>8.2186075836890721E-3</v>
      </c>
      <c r="P46" s="276">
        <f>(SUMIFS('Bilateral Assistance, MAIN DATA'!$P:$P,'Bilateral Assistance, MAIN DATA'!$B:$B,'Comm. per Month (Heavy Weapons)'!$B46,'Bilateral Assistance, MAIN DATA'!$AG:$AG,1,'Bilateral Assistance, MAIN DATA'!$AH:$AH,'Comm. per Month (Heavy Weapons)'!P$11, 'Bilateral Assistance, MAIN DATA'!$J:$J,"Heavy weapon")/VLOOKUP("USD",'Exchange Rates'!$B:$C,2,0))/1000000000</f>
        <v>0</v>
      </c>
      <c r="Q46" s="276">
        <f>(SUMIFS('Bilateral Assistance, MAIN DATA'!$P:$P,'Bilateral Assistance, MAIN DATA'!$B:$B,'Comm. per Month (Heavy Weapons)'!$B46,'Bilateral Assistance, MAIN DATA'!$AG:$AG,1,'Bilateral Assistance, MAIN DATA'!$AH:$AH,'Comm. per Month (Heavy Weapons)'!Q$11, 'Bilateral Assistance, MAIN DATA'!$J:$J,"Heavy weapon")/VLOOKUP("USD",'Exchange Rates'!$B:$C,2,0))/1000000000</f>
        <v>1.9673108497876911E-2</v>
      </c>
      <c r="R46" s="276">
        <f>(SUMIFS('Bilateral Assistance, MAIN DATA'!$P:$P,'Bilateral Assistance, MAIN DATA'!$B:$B,'Comm. per Month (Heavy Weapons)'!$B46,'Bilateral Assistance, MAIN DATA'!$AG:$AG,1,'Bilateral Assistance, MAIN DATA'!$AH:$AH,'Comm. per Month (Heavy Weapons)'!R$11, 'Bilateral Assistance, MAIN DATA'!$J:$J,"Heavy weapon")/VLOOKUP("USD",'Exchange Rates'!$B:$C,2,0))/1000000000</f>
        <v>5.5207949944792055E-3</v>
      </c>
      <c r="S46" s="138">
        <f t="shared" si="0"/>
        <v>0.10722157521087662</v>
      </c>
    </row>
    <row r="47" spans="1:19" ht="15.95" customHeight="1">
      <c r="B47" s="24" t="s">
        <v>3548</v>
      </c>
      <c r="C47" s="297">
        <v>1</v>
      </c>
      <c r="D47" s="297">
        <v>0</v>
      </c>
      <c r="E47" s="276">
        <f>(SUMIFS('Bilateral Assistance, MAIN DATA'!$P:$P,'Bilateral Assistance, MAIN DATA'!$B:$B,'Comm. per Month (Heavy Weapons)'!$B47,'Bilateral Assistance, MAIN DATA'!$AG:$AG,1,'Bilateral Assistance, MAIN DATA'!$AH:$AH,'Comm. per Month (Heavy Weapons)'!E$11, 'Bilateral Assistance, MAIN DATA'!$J:$J,"Heavy weapon")/VLOOKUP("USD",'Exchange Rates'!$B:$C,2,0))/1000000000</f>
        <v>0</v>
      </c>
      <c r="F47" s="276">
        <f>(SUMIFS('Bilateral Assistance, MAIN DATA'!$P:$P,'Bilateral Assistance, MAIN DATA'!$B:$B,'Comm. per Month (Heavy Weapons)'!$B47,'Bilateral Assistance, MAIN DATA'!$AG:$AG,1,'Bilateral Assistance, MAIN DATA'!$AH:$AH,'Comm. per Month (Heavy Weapons)'!F$11, 'Bilateral Assistance, MAIN DATA'!$J:$J,"Heavy weapon")/VLOOKUP("USD",'Exchange Rates'!$B:$C,2,0))/1000000000</f>
        <v>0</v>
      </c>
      <c r="G47" s="276">
        <f>(SUMIFS('Bilateral Assistance, MAIN DATA'!$P:$P,'Bilateral Assistance, MAIN DATA'!$B:$B,'Comm. per Month (Heavy Weapons)'!$B47,'Bilateral Assistance, MAIN DATA'!$AG:$AG,1,'Bilateral Assistance, MAIN DATA'!$AH:$AH,'Comm. per Month (Heavy Weapons)'!G$11, 'Bilateral Assistance, MAIN DATA'!$J:$J,"Heavy weapon")/VLOOKUP("USD",'Exchange Rates'!$B:$C,2,0))/1000000000</f>
        <v>0</v>
      </c>
      <c r="H47" s="276">
        <f>(SUMIFS('Bilateral Assistance, MAIN DATA'!$P:$P,'Bilateral Assistance, MAIN DATA'!$B:$B,'Comm. per Month (Heavy Weapons)'!$B47,'Bilateral Assistance, MAIN DATA'!$AG:$AG,1,'Bilateral Assistance, MAIN DATA'!$AH:$AH,'Comm. per Month (Heavy Weapons)'!H$11, 'Bilateral Assistance, MAIN DATA'!$J:$J,"Heavy weapon")/VLOOKUP("USD",'Exchange Rates'!$B:$C,2,0))/1000000000</f>
        <v>0</v>
      </c>
      <c r="I47" s="276">
        <f>(SUMIFS('Bilateral Assistance, MAIN DATA'!$P:$P,'Bilateral Assistance, MAIN DATA'!$B:$B,'Comm. per Month (Heavy Weapons)'!$B47,'Bilateral Assistance, MAIN DATA'!$AG:$AG,1,'Bilateral Assistance, MAIN DATA'!$AH:$AH,'Comm. per Month (Heavy Weapons)'!I$11, 'Bilateral Assistance, MAIN DATA'!$J:$J,"Heavy weapon")/VLOOKUP("USD",'Exchange Rates'!$B:$C,2,0))/1000000000</f>
        <v>0</v>
      </c>
      <c r="J47" s="276">
        <f>(SUMIFS('Bilateral Assistance, MAIN DATA'!$P:$P,'Bilateral Assistance, MAIN DATA'!$B:$B,'Comm. per Month (Heavy Weapons)'!$B47,'Bilateral Assistance, MAIN DATA'!$AG:$AG,1,'Bilateral Assistance, MAIN DATA'!$AH:$AH,'Comm. per Month (Heavy Weapons)'!J$11, 'Bilateral Assistance, MAIN DATA'!$J:$J,"Heavy weapon")/VLOOKUP("USD",'Exchange Rates'!$B:$C,2,0))/1000000000</f>
        <v>8.5655134339344857E-5</v>
      </c>
      <c r="K47" s="276">
        <f>(SUMIFS('Bilateral Assistance, MAIN DATA'!$P:$P,'Bilateral Assistance, MAIN DATA'!$B:$B,'Comm. per Month (Heavy Weapons)'!$B47,'Bilateral Assistance, MAIN DATA'!$AG:$AG,1,'Bilateral Assistance, MAIN DATA'!$AH:$AH,'Comm. per Month (Heavy Weapons)'!K$11, 'Bilateral Assistance, MAIN DATA'!$J:$J,"Heavy weapon")/VLOOKUP("USD",'Exchange Rates'!$B:$C,2,0))/1000000000</f>
        <v>0</v>
      </c>
      <c r="L47" s="276">
        <f>(SUMIFS('Bilateral Assistance, MAIN DATA'!$P:$P,'Bilateral Assistance, MAIN DATA'!$B:$B,'Comm. per Month (Heavy Weapons)'!$B47,'Bilateral Assistance, MAIN DATA'!$AG:$AG,1,'Bilateral Assistance, MAIN DATA'!$AH:$AH,'Comm. per Month (Heavy Weapons)'!L$11, 'Bilateral Assistance, MAIN DATA'!$J:$J,"Heavy weapon")/VLOOKUP("USD",'Exchange Rates'!$B:$C,2,0))/1000000000</f>
        <v>0</v>
      </c>
      <c r="M47" s="276">
        <f>(SUMIFS('Bilateral Assistance, MAIN DATA'!$P:$P,'Bilateral Assistance, MAIN DATA'!$B:$B,'Comm. per Month (Heavy Weapons)'!$B47,'Bilateral Assistance, MAIN DATA'!$AG:$AG,1,'Bilateral Assistance, MAIN DATA'!$AH:$AH,'Comm. per Month (Heavy Weapons)'!M$11, 'Bilateral Assistance, MAIN DATA'!$J:$J,"Heavy weapon")/VLOOKUP("USD",'Exchange Rates'!$B:$C,2,0))/1000000000</f>
        <v>0</v>
      </c>
      <c r="N47" s="276">
        <f>(SUMIFS('Bilateral Assistance, MAIN DATA'!$P:$P,'Bilateral Assistance, MAIN DATA'!$B:$B,'Comm. per Month (Heavy Weapons)'!$B47,'Bilateral Assistance, MAIN DATA'!$AG:$AG,1,'Bilateral Assistance, MAIN DATA'!$AH:$AH,'Comm. per Month (Heavy Weapons)'!N$11, 'Bilateral Assistance, MAIN DATA'!$J:$J,"Heavy weapon")/VLOOKUP("USD",'Exchange Rates'!$B:$C,2,0))/1000000000</f>
        <v>0</v>
      </c>
      <c r="O47" s="276">
        <f>(SUMIFS('Bilateral Assistance, MAIN DATA'!$P:$P,'Bilateral Assistance, MAIN DATA'!$B:$B,'Comm. per Month (Heavy Weapons)'!$B47,'Bilateral Assistance, MAIN DATA'!$AG:$AG,1,'Bilateral Assistance, MAIN DATA'!$AH:$AH,'Comm. per Month (Heavy Weapons)'!O$11, 'Bilateral Assistance, MAIN DATA'!$J:$J,"Heavy weapon")/VLOOKUP("USD",'Exchange Rates'!$B:$C,2,0))/1000000000</f>
        <v>0</v>
      </c>
      <c r="P47" s="276">
        <f>(SUMIFS('Bilateral Assistance, MAIN DATA'!$P:$P,'Bilateral Assistance, MAIN DATA'!$B:$B,'Comm. per Month (Heavy Weapons)'!$B47,'Bilateral Assistance, MAIN DATA'!$AG:$AG,1,'Bilateral Assistance, MAIN DATA'!$AH:$AH,'Comm. per Month (Heavy Weapons)'!P$11, 'Bilateral Assistance, MAIN DATA'!$J:$J,"Heavy weapon")/VLOOKUP("USD",'Exchange Rates'!$B:$C,2,0))/1000000000</f>
        <v>0</v>
      </c>
      <c r="Q47" s="276">
        <f>(SUMIFS('Bilateral Assistance, MAIN DATA'!$P:$P,'Bilateral Assistance, MAIN DATA'!$B:$B,'Comm. per Month (Heavy Weapons)'!$B47,'Bilateral Assistance, MAIN DATA'!$AG:$AG,1,'Bilateral Assistance, MAIN DATA'!$AH:$AH,'Comm. per Month (Heavy Weapons)'!Q$11, 'Bilateral Assistance, MAIN DATA'!$J:$J,"Heavy weapon")/VLOOKUP("USD",'Exchange Rates'!$B:$C,2,0))/1000000000</f>
        <v>0.34331836584468162</v>
      </c>
      <c r="R47" s="276">
        <f>(SUMIFS('Bilateral Assistance, MAIN DATA'!$P:$P,'Bilateral Assistance, MAIN DATA'!$B:$B,'Comm. per Month (Heavy Weapons)'!$B47,'Bilateral Assistance, MAIN DATA'!$AG:$AG,1,'Bilateral Assistance, MAIN DATA'!$AH:$AH,'Comm. per Month (Heavy Weapons)'!R$11, 'Bilateral Assistance, MAIN DATA'!$J:$J,"Heavy weapon")/VLOOKUP("USD",'Exchange Rates'!$B:$C,2,0))/1000000000</f>
        <v>9.2013249907986747E-2</v>
      </c>
      <c r="S47" s="138">
        <f t="shared" si="0"/>
        <v>0.34340402097902095</v>
      </c>
    </row>
    <row r="48" spans="1:19" ht="15.95" customHeight="1">
      <c r="B48" s="2" t="s">
        <v>3649</v>
      </c>
      <c r="C48" s="297">
        <v>0</v>
      </c>
      <c r="D48" s="297">
        <v>0</v>
      </c>
      <c r="E48" s="276">
        <f>(SUMIFS('Bilateral Assistance, MAIN DATA'!$P:$P,'Bilateral Assistance, MAIN DATA'!$B:$B,'Comm. per Month (Heavy Weapons)'!$B48,'Bilateral Assistance, MAIN DATA'!$AG:$AG,1,'Bilateral Assistance, MAIN DATA'!$AH:$AH,'Comm. per Month (Heavy Weapons)'!E$11, 'Bilateral Assistance, MAIN DATA'!$J:$J,"Heavy weapon")/VLOOKUP("USD",'Exchange Rates'!$B:$C,2,0))/1000000000</f>
        <v>0</v>
      </c>
      <c r="F48" s="276">
        <f>(SUMIFS('Bilateral Assistance, MAIN DATA'!$P:$P,'Bilateral Assistance, MAIN DATA'!$B:$B,'Comm. per Month (Heavy Weapons)'!$B48,'Bilateral Assistance, MAIN DATA'!$AG:$AG,1,'Bilateral Assistance, MAIN DATA'!$AH:$AH,'Comm. per Month (Heavy Weapons)'!F$11, 'Bilateral Assistance, MAIN DATA'!$J:$J,"Heavy weapon")/VLOOKUP("USD",'Exchange Rates'!$B:$C,2,0))/1000000000</f>
        <v>0</v>
      </c>
      <c r="G48" s="276">
        <f>(SUMIFS('Bilateral Assistance, MAIN DATA'!$P:$P,'Bilateral Assistance, MAIN DATA'!$B:$B,'Comm. per Month (Heavy Weapons)'!$B48,'Bilateral Assistance, MAIN DATA'!$AG:$AG,1,'Bilateral Assistance, MAIN DATA'!$AH:$AH,'Comm. per Month (Heavy Weapons)'!G$11, 'Bilateral Assistance, MAIN DATA'!$J:$J,"Heavy weapon")/VLOOKUP("USD",'Exchange Rates'!$B:$C,2,0))/1000000000</f>
        <v>0</v>
      </c>
      <c r="H48" s="276">
        <f>(SUMIFS('Bilateral Assistance, MAIN DATA'!$P:$P,'Bilateral Assistance, MAIN DATA'!$B:$B,'Comm. per Month (Heavy Weapons)'!$B48,'Bilateral Assistance, MAIN DATA'!$AG:$AG,1,'Bilateral Assistance, MAIN DATA'!$AH:$AH,'Comm. per Month (Heavy Weapons)'!H$11, 'Bilateral Assistance, MAIN DATA'!$J:$J,"Heavy weapon")/VLOOKUP("USD",'Exchange Rates'!$B:$C,2,0))/1000000000</f>
        <v>0</v>
      </c>
      <c r="I48" s="276">
        <f>(SUMIFS('Bilateral Assistance, MAIN DATA'!$P:$P,'Bilateral Assistance, MAIN DATA'!$B:$B,'Comm. per Month (Heavy Weapons)'!$B48,'Bilateral Assistance, MAIN DATA'!$AG:$AG,1,'Bilateral Assistance, MAIN DATA'!$AH:$AH,'Comm. per Month (Heavy Weapons)'!I$11, 'Bilateral Assistance, MAIN DATA'!$J:$J,"Heavy weapon")/VLOOKUP("USD",'Exchange Rates'!$B:$C,2,0))/1000000000</f>
        <v>0</v>
      </c>
      <c r="J48" s="276">
        <f>(SUMIFS('Bilateral Assistance, MAIN DATA'!$P:$P,'Bilateral Assistance, MAIN DATA'!$B:$B,'Comm. per Month (Heavy Weapons)'!$B48,'Bilateral Assistance, MAIN DATA'!$AG:$AG,1,'Bilateral Assistance, MAIN DATA'!$AH:$AH,'Comm. per Month (Heavy Weapons)'!J$11, 'Bilateral Assistance, MAIN DATA'!$J:$J,"Heavy weapon")/VLOOKUP("USD",'Exchange Rates'!$B:$C,2,0))/1000000000</f>
        <v>0</v>
      </c>
      <c r="K48" s="276">
        <f>(SUMIFS('Bilateral Assistance, MAIN DATA'!$P:$P,'Bilateral Assistance, MAIN DATA'!$B:$B,'Comm. per Month (Heavy Weapons)'!$B48,'Bilateral Assistance, MAIN DATA'!$AG:$AG,1,'Bilateral Assistance, MAIN DATA'!$AH:$AH,'Comm. per Month (Heavy Weapons)'!K$11, 'Bilateral Assistance, MAIN DATA'!$J:$J,"Heavy weapon")/VLOOKUP("USD",'Exchange Rates'!$B:$C,2,0))/1000000000</f>
        <v>0</v>
      </c>
      <c r="L48" s="276">
        <f>(SUMIFS('Bilateral Assistance, MAIN DATA'!$P:$P,'Bilateral Assistance, MAIN DATA'!$B:$B,'Comm. per Month (Heavy Weapons)'!$B48,'Bilateral Assistance, MAIN DATA'!$AG:$AG,1,'Bilateral Assistance, MAIN DATA'!$AH:$AH,'Comm. per Month (Heavy Weapons)'!L$11, 'Bilateral Assistance, MAIN DATA'!$J:$J,"Heavy weapon")/VLOOKUP("USD",'Exchange Rates'!$B:$C,2,0))/1000000000</f>
        <v>0</v>
      </c>
      <c r="M48" s="276">
        <f>(SUMIFS('Bilateral Assistance, MAIN DATA'!$P:$P,'Bilateral Assistance, MAIN DATA'!$B:$B,'Comm. per Month (Heavy Weapons)'!$B48,'Bilateral Assistance, MAIN DATA'!$AG:$AG,1,'Bilateral Assistance, MAIN DATA'!$AH:$AH,'Comm. per Month (Heavy Weapons)'!M$11, 'Bilateral Assistance, MAIN DATA'!$J:$J,"Heavy weapon")/VLOOKUP("USD",'Exchange Rates'!$B:$C,2,0))/1000000000</f>
        <v>0</v>
      </c>
      <c r="N48" s="276">
        <f>(SUMIFS('Bilateral Assistance, MAIN DATA'!$P:$P,'Bilateral Assistance, MAIN DATA'!$B:$B,'Comm. per Month (Heavy Weapons)'!$B48,'Bilateral Assistance, MAIN DATA'!$AG:$AG,1,'Bilateral Assistance, MAIN DATA'!$AH:$AH,'Comm. per Month (Heavy Weapons)'!N$11, 'Bilateral Assistance, MAIN DATA'!$J:$J,"Heavy weapon")/VLOOKUP("USD",'Exchange Rates'!$B:$C,2,0))/1000000000</f>
        <v>0</v>
      </c>
      <c r="O48" s="276">
        <f>(SUMIFS('Bilateral Assistance, MAIN DATA'!$P:$P,'Bilateral Assistance, MAIN DATA'!$B:$B,'Comm. per Month (Heavy Weapons)'!$B48,'Bilateral Assistance, MAIN DATA'!$AG:$AG,1,'Bilateral Assistance, MAIN DATA'!$AH:$AH,'Comm. per Month (Heavy Weapons)'!O$11, 'Bilateral Assistance, MAIN DATA'!$J:$J,"Heavy weapon")/VLOOKUP("USD",'Exchange Rates'!$B:$C,2,0))/1000000000</f>
        <v>0</v>
      </c>
      <c r="P48" s="276">
        <f>(SUMIFS('Bilateral Assistance, MAIN DATA'!$P:$P,'Bilateral Assistance, MAIN DATA'!$B:$B,'Comm. per Month (Heavy Weapons)'!$B48,'Bilateral Assistance, MAIN DATA'!$AG:$AG,1,'Bilateral Assistance, MAIN DATA'!$AH:$AH,'Comm. per Month (Heavy Weapons)'!P$11, 'Bilateral Assistance, MAIN DATA'!$J:$J,"Heavy weapon")/VLOOKUP("USD",'Exchange Rates'!$B:$C,2,0))/1000000000</f>
        <v>0</v>
      </c>
      <c r="Q48" s="276">
        <f>(SUMIFS('Bilateral Assistance, MAIN DATA'!$P:$P,'Bilateral Assistance, MAIN DATA'!$B:$B,'Comm. per Month (Heavy Weapons)'!$B48,'Bilateral Assistance, MAIN DATA'!$AG:$AG,1,'Bilateral Assistance, MAIN DATA'!$AH:$AH,'Comm. per Month (Heavy Weapons)'!Q$11, 'Bilateral Assistance, MAIN DATA'!$J:$J,"Heavy weapon")/VLOOKUP("USD",'Exchange Rates'!$B:$C,2,0))/1000000000</f>
        <v>0</v>
      </c>
      <c r="R48" s="276">
        <f>(SUMIFS('Bilateral Assistance, MAIN DATA'!$P:$P,'Bilateral Assistance, MAIN DATA'!$B:$B,'Comm. per Month (Heavy Weapons)'!$B48,'Bilateral Assistance, MAIN DATA'!$AG:$AG,1,'Bilateral Assistance, MAIN DATA'!$AH:$AH,'Comm. per Month (Heavy Weapons)'!R$11, 'Bilateral Assistance, MAIN DATA'!$J:$J,"Heavy weapon")/VLOOKUP("USD",'Exchange Rates'!$B:$C,2,0))/1000000000</f>
        <v>0</v>
      </c>
      <c r="S48" s="138">
        <f t="shared" si="0"/>
        <v>0</v>
      </c>
    </row>
    <row r="49" spans="1:19" ht="15.95" customHeight="1">
      <c r="B49" s="2" t="s">
        <v>3685</v>
      </c>
      <c r="C49" s="297">
        <v>0</v>
      </c>
      <c r="D49" s="297">
        <v>1</v>
      </c>
      <c r="E49" s="276">
        <f>(SUMIFS('Bilateral Assistance, MAIN DATA'!$P:$P,'Bilateral Assistance, MAIN DATA'!$B:$B,'Comm. per Month (Heavy Weapons)'!$B49,'Bilateral Assistance, MAIN DATA'!$AG:$AG,1,'Bilateral Assistance, MAIN DATA'!$AH:$AH,'Comm. per Month (Heavy Weapons)'!E$11, 'Bilateral Assistance, MAIN DATA'!$J:$J,"Heavy weapon")/VLOOKUP("USD",'Exchange Rates'!$B:$C,2,0))/1000000000</f>
        <v>0</v>
      </c>
      <c r="F49" s="276">
        <f>(SUMIFS('Bilateral Assistance, MAIN DATA'!$P:$P,'Bilateral Assistance, MAIN DATA'!$B:$B,'Comm. per Month (Heavy Weapons)'!$B49,'Bilateral Assistance, MAIN DATA'!$AG:$AG,1,'Bilateral Assistance, MAIN DATA'!$AH:$AH,'Comm. per Month (Heavy Weapons)'!F$11, 'Bilateral Assistance, MAIN DATA'!$J:$J,"Heavy weapon")/VLOOKUP("USD",'Exchange Rates'!$B:$C,2,0))/1000000000</f>
        <v>0</v>
      </c>
      <c r="G49" s="276">
        <f>(SUMIFS('Bilateral Assistance, MAIN DATA'!$P:$P,'Bilateral Assistance, MAIN DATA'!$B:$B,'Comm. per Month (Heavy Weapons)'!$B49,'Bilateral Assistance, MAIN DATA'!$AG:$AG,1,'Bilateral Assistance, MAIN DATA'!$AH:$AH,'Comm. per Month (Heavy Weapons)'!G$11, 'Bilateral Assistance, MAIN DATA'!$J:$J,"Heavy weapon")/VLOOKUP("USD",'Exchange Rates'!$B:$C,2,0))/1000000000</f>
        <v>0</v>
      </c>
      <c r="H49" s="276">
        <f>(SUMIFS('Bilateral Assistance, MAIN DATA'!$P:$P,'Bilateral Assistance, MAIN DATA'!$B:$B,'Comm. per Month (Heavy Weapons)'!$B49,'Bilateral Assistance, MAIN DATA'!$AG:$AG,1,'Bilateral Assistance, MAIN DATA'!$AH:$AH,'Comm. per Month (Heavy Weapons)'!H$11, 'Bilateral Assistance, MAIN DATA'!$J:$J,"Heavy weapon")/VLOOKUP("USD",'Exchange Rates'!$B:$C,2,0))/1000000000</f>
        <v>0</v>
      </c>
      <c r="I49" s="276">
        <f>(SUMIFS('Bilateral Assistance, MAIN DATA'!$P:$P,'Bilateral Assistance, MAIN DATA'!$B:$B,'Comm. per Month (Heavy Weapons)'!$B49,'Bilateral Assistance, MAIN DATA'!$AG:$AG,1,'Bilateral Assistance, MAIN DATA'!$AH:$AH,'Comm. per Month (Heavy Weapons)'!I$11, 'Bilateral Assistance, MAIN DATA'!$J:$J,"Heavy weapon")/VLOOKUP("USD",'Exchange Rates'!$B:$C,2,0))/1000000000</f>
        <v>0</v>
      </c>
      <c r="J49" s="276">
        <f>(SUMIFS('Bilateral Assistance, MAIN DATA'!$P:$P,'Bilateral Assistance, MAIN DATA'!$B:$B,'Comm. per Month (Heavy Weapons)'!$B49,'Bilateral Assistance, MAIN DATA'!$AG:$AG,1,'Bilateral Assistance, MAIN DATA'!$AH:$AH,'Comm. per Month (Heavy Weapons)'!J$11, 'Bilateral Assistance, MAIN DATA'!$J:$J,"Heavy weapon")/VLOOKUP("USD",'Exchange Rates'!$B:$C,2,0))/1000000000</f>
        <v>0</v>
      </c>
      <c r="K49" s="276">
        <f>(SUMIFS('Bilateral Assistance, MAIN DATA'!$P:$P,'Bilateral Assistance, MAIN DATA'!$B:$B,'Comm. per Month (Heavy Weapons)'!$B49,'Bilateral Assistance, MAIN DATA'!$AG:$AG,1,'Bilateral Assistance, MAIN DATA'!$AH:$AH,'Comm. per Month (Heavy Weapons)'!K$11, 'Bilateral Assistance, MAIN DATA'!$J:$J,"Heavy weapon")/VLOOKUP("USD",'Exchange Rates'!$B:$C,2,0))/1000000000</f>
        <v>0</v>
      </c>
      <c r="L49" s="276">
        <f>(SUMIFS('Bilateral Assistance, MAIN DATA'!$P:$P,'Bilateral Assistance, MAIN DATA'!$B:$B,'Comm. per Month (Heavy Weapons)'!$B49,'Bilateral Assistance, MAIN DATA'!$AG:$AG,1,'Bilateral Assistance, MAIN DATA'!$AH:$AH,'Comm. per Month (Heavy Weapons)'!L$11, 'Bilateral Assistance, MAIN DATA'!$J:$J,"Heavy weapon")/VLOOKUP("USD",'Exchange Rates'!$B:$C,2,0))/1000000000</f>
        <v>6.1735369893264627E-2</v>
      </c>
      <c r="M49" s="276">
        <f>(SUMIFS('Bilateral Assistance, MAIN DATA'!$P:$P,'Bilateral Assistance, MAIN DATA'!$B:$B,'Comm. per Month (Heavy Weapons)'!$B49,'Bilateral Assistance, MAIN DATA'!$AG:$AG,1,'Bilateral Assistance, MAIN DATA'!$AH:$AH,'Comm. per Month (Heavy Weapons)'!M$11, 'Bilateral Assistance, MAIN DATA'!$J:$J,"Heavy weapon")/VLOOKUP("USD",'Exchange Rates'!$B:$C,2,0))/1000000000</f>
        <v>0</v>
      </c>
      <c r="N49" s="276">
        <f>(SUMIFS('Bilateral Assistance, MAIN DATA'!$P:$P,'Bilateral Assistance, MAIN DATA'!$B:$B,'Comm. per Month (Heavy Weapons)'!$B49,'Bilateral Assistance, MAIN DATA'!$AG:$AG,1,'Bilateral Assistance, MAIN DATA'!$AH:$AH,'Comm. per Month (Heavy Weapons)'!N$11, 'Bilateral Assistance, MAIN DATA'!$J:$J,"Heavy weapon")/VLOOKUP("USD",'Exchange Rates'!$B:$C,2,0))/1000000000</f>
        <v>0</v>
      </c>
      <c r="O49" s="276">
        <f>(SUMIFS('Bilateral Assistance, MAIN DATA'!$P:$P,'Bilateral Assistance, MAIN DATA'!$B:$B,'Comm. per Month (Heavy Weapons)'!$B49,'Bilateral Assistance, MAIN DATA'!$AG:$AG,1,'Bilateral Assistance, MAIN DATA'!$AH:$AH,'Comm. per Month (Heavy Weapons)'!O$11, 'Bilateral Assistance, MAIN DATA'!$J:$J,"Heavy weapon")/VLOOKUP("USD",'Exchange Rates'!$B:$C,2,0))/1000000000</f>
        <v>0</v>
      </c>
      <c r="P49" s="276">
        <f>(SUMIFS('Bilateral Assistance, MAIN DATA'!$P:$P,'Bilateral Assistance, MAIN DATA'!$B:$B,'Comm. per Month (Heavy Weapons)'!$B49,'Bilateral Assistance, MAIN DATA'!$AG:$AG,1,'Bilateral Assistance, MAIN DATA'!$AH:$AH,'Comm. per Month (Heavy Weapons)'!P$11, 'Bilateral Assistance, MAIN DATA'!$J:$J,"Heavy weapon")/VLOOKUP("USD",'Exchange Rates'!$B:$C,2,0))/1000000000</f>
        <v>0</v>
      </c>
      <c r="Q49" s="276">
        <f>(SUMIFS('Bilateral Assistance, MAIN DATA'!$P:$P,'Bilateral Assistance, MAIN DATA'!$B:$B,'Comm. per Month (Heavy Weapons)'!$B49,'Bilateral Assistance, MAIN DATA'!$AG:$AG,1,'Bilateral Assistance, MAIN DATA'!$AH:$AH,'Comm. per Month (Heavy Weapons)'!Q$11, 'Bilateral Assistance, MAIN DATA'!$J:$J,"Heavy weapon")/VLOOKUP("USD",'Exchange Rates'!$B:$C,2,0))/1000000000</f>
        <v>0</v>
      </c>
      <c r="R49" s="276">
        <f>(SUMIFS('Bilateral Assistance, MAIN DATA'!$P:$P,'Bilateral Assistance, MAIN DATA'!$B:$B,'Comm. per Month (Heavy Weapons)'!$B49,'Bilateral Assistance, MAIN DATA'!$AG:$AG,1,'Bilateral Assistance, MAIN DATA'!$AH:$AH,'Comm. per Month (Heavy Weapons)'!R$11, 'Bilateral Assistance, MAIN DATA'!$J:$J,"Heavy weapon")/VLOOKUP("USD",'Exchange Rates'!$B:$C,2,0))/1000000000</f>
        <v>0</v>
      </c>
      <c r="S49" s="138">
        <f t="shared" si="0"/>
        <v>6.1735369893264627E-2</v>
      </c>
    </row>
    <row r="50" spans="1:19" ht="15.95" customHeight="1">
      <c r="B50" s="24" t="s">
        <v>3748</v>
      </c>
      <c r="C50" s="297">
        <v>0</v>
      </c>
      <c r="D50" s="297">
        <v>1</v>
      </c>
      <c r="E50" s="276">
        <f>(SUMIFS('Bilateral Assistance, MAIN DATA'!$P:$P,'Bilateral Assistance, MAIN DATA'!$B:$B,'Comm. per Month (Heavy Weapons)'!$B50,'Bilateral Assistance, MAIN DATA'!$AG:$AG,1,'Bilateral Assistance, MAIN DATA'!$AH:$AH,'Comm. per Month (Heavy Weapons)'!E$11, 'Bilateral Assistance, MAIN DATA'!$J:$J,"Heavy weapon")/VLOOKUP("USD",'Exchange Rates'!$B:$C,2,0))/1000000000</f>
        <v>0</v>
      </c>
      <c r="F50" s="276">
        <f>(SUMIFS('Bilateral Assistance, MAIN DATA'!$P:$P,'Bilateral Assistance, MAIN DATA'!$B:$B,'Comm. per Month (Heavy Weapons)'!$B50,'Bilateral Assistance, MAIN DATA'!$AG:$AG,1,'Bilateral Assistance, MAIN DATA'!$AH:$AH,'Comm. per Month (Heavy Weapons)'!F$11, 'Bilateral Assistance, MAIN DATA'!$J:$J,"Heavy weapon")/VLOOKUP("USD",'Exchange Rates'!$B:$C,2,0))/1000000000</f>
        <v>0</v>
      </c>
      <c r="G50" s="276">
        <f>(SUMIFS('Bilateral Assistance, MAIN DATA'!$P:$P,'Bilateral Assistance, MAIN DATA'!$B:$B,'Comm. per Month (Heavy Weapons)'!$B50,'Bilateral Assistance, MAIN DATA'!$AG:$AG,1,'Bilateral Assistance, MAIN DATA'!$AH:$AH,'Comm. per Month (Heavy Weapons)'!G$11, 'Bilateral Assistance, MAIN DATA'!$J:$J,"Heavy weapon")/VLOOKUP("USD",'Exchange Rates'!$B:$C,2,0))/1000000000</f>
        <v>0</v>
      </c>
      <c r="H50" s="276">
        <f>(SUMIFS('Bilateral Assistance, MAIN DATA'!$P:$P,'Bilateral Assistance, MAIN DATA'!$B:$B,'Comm. per Month (Heavy Weapons)'!$B50,'Bilateral Assistance, MAIN DATA'!$AG:$AG,1,'Bilateral Assistance, MAIN DATA'!$AH:$AH,'Comm. per Month (Heavy Weapons)'!H$11, 'Bilateral Assistance, MAIN DATA'!$J:$J,"Heavy weapon")/VLOOKUP("USD",'Exchange Rates'!$B:$C,2,0))/1000000000</f>
        <v>5.8457705617439994E-2</v>
      </c>
      <c r="I50" s="276">
        <f>(SUMIFS('Bilateral Assistance, MAIN DATA'!$P:$P,'Bilateral Assistance, MAIN DATA'!$B:$B,'Comm. per Month (Heavy Weapons)'!$B50,'Bilateral Assistance, MAIN DATA'!$AG:$AG,1,'Bilateral Assistance, MAIN DATA'!$AH:$AH,'Comm. per Month (Heavy Weapons)'!I$11, 'Bilateral Assistance, MAIN DATA'!$J:$J,"Heavy weapon")/VLOOKUP("USD",'Exchange Rates'!$B:$C,2,0))/1000000000</f>
        <v>8.8332719911667288E-5</v>
      </c>
      <c r="J50" s="276">
        <f>(SUMIFS('Bilateral Assistance, MAIN DATA'!$P:$P,'Bilateral Assistance, MAIN DATA'!$B:$B,'Comm. per Month (Heavy Weapons)'!$B50,'Bilateral Assistance, MAIN DATA'!$AG:$AG,1,'Bilateral Assistance, MAIN DATA'!$AH:$AH,'Comm. per Month (Heavy Weapons)'!J$11, 'Bilateral Assistance, MAIN DATA'!$J:$J,"Heavy weapon")/VLOOKUP("USD",'Exchange Rates'!$B:$C,2,0))/1000000000</f>
        <v>0.12442987112976416</v>
      </c>
      <c r="K50" s="276">
        <f>(SUMIFS('Bilateral Assistance, MAIN DATA'!$P:$P,'Bilateral Assistance, MAIN DATA'!$B:$B,'Comm. per Month (Heavy Weapons)'!$B50,'Bilateral Assistance, MAIN DATA'!$AG:$AG,1,'Bilateral Assistance, MAIN DATA'!$AH:$AH,'Comm. per Month (Heavy Weapons)'!K$11, 'Bilateral Assistance, MAIN DATA'!$J:$J,"Heavy weapon")/VLOOKUP("USD",'Exchange Rates'!$B:$C,2,0))/1000000000</f>
        <v>0</v>
      </c>
      <c r="L50" s="276">
        <f>(SUMIFS('Bilateral Assistance, MAIN DATA'!$P:$P,'Bilateral Assistance, MAIN DATA'!$B:$B,'Comm. per Month (Heavy Weapons)'!$B50,'Bilateral Assistance, MAIN DATA'!$AG:$AG,1,'Bilateral Assistance, MAIN DATA'!$AH:$AH,'Comm. per Month (Heavy Weapons)'!L$11, 'Bilateral Assistance, MAIN DATA'!$J:$J,"Heavy weapon")/VLOOKUP("USD",'Exchange Rates'!$B:$C,2,0))/1000000000</f>
        <v>3.7584631382631448E-2</v>
      </c>
      <c r="M50" s="276">
        <f>(SUMIFS('Bilateral Assistance, MAIN DATA'!$P:$P,'Bilateral Assistance, MAIN DATA'!$B:$B,'Comm. per Month (Heavy Weapons)'!$B50,'Bilateral Assistance, MAIN DATA'!$AG:$AG,1,'Bilateral Assistance, MAIN DATA'!$AH:$AH,'Comm. per Month (Heavy Weapons)'!M$11, 'Bilateral Assistance, MAIN DATA'!$J:$J,"Heavy weapon")/VLOOKUP("USD",'Exchange Rates'!$B:$C,2,0))/1000000000</f>
        <v>0</v>
      </c>
      <c r="N50" s="276">
        <f>(SUMIFS('Bilateral Assistance, MAIN DATA'!$P:$P,'Bilateral Assistance, MAIN DATA'!$B:$B,'Comm. per Month (Heavy Weapons)'!$B50,'Bilateral Assistance, MAIN DATA'!$AG:$AG,1,'Bilateral Assistance, MAIN DATA'!$AH:$AH,'Comm. per Month (Heavy Weapons)'!N$11, 'Bilateral Assistance, MAIN DATA'!$J:$J,"Heavy weapon")/VLOOKUP("USD",'Exchange Rates'!$B:$C,2,0))/1000000000</f>
        <v>4.2150682679510408E-2</v>
      </c>
      <c r="O50" s="276">
        <f>(SUMIFS('Bilateral Assistance, MAIN DATA'!$P:$P,'Bilateral Assistance, MAIN DATA'!$B:$B,'Comm. per Month (Heavy Weapons)'!$B50,'Bilateral Assistance, MAIN DATA'!$AG:$AG,1,'Bilateral Assistance, MAIN DATA'!$AH:$AH,'Comm. per Month (Heavy Weapons)'!O$11, 'Bilateral Assistance, MAIN DATA'!$J:$J,"Heavy weapon")/VLOOKUP("USD",'Exchange Rates'!$B:$C,2,0))/1000000000</f>
        <v>0</v>
      </c>
      <c r="P50" s="276">
        <f>(SUMIFS('Bilateral Assistance, MAIN DATA'!$P:$P,'Bilateral Assistance, MAIN DATA'!$B:$B,'Comm. per Month (Heavy Weapons)'!$B50,'Bilateral Assistance, MAIN DATA'!$AG:$AG,1,'Bilateral Assistance, MAIN DATA'!$AH:$AH,'Comm. per Month (Heavy Weapons)'!P$11, 'Bilateral Assistance, MAIN DATA'!$J:$J,"Heavy weapon")/VLOOKUP("USD",'Exchange Rates'!$B:$C,2,0))/1000000000</f>
        <v>0</v>
      </c>
      <c r="Q50" s="276">
        <f>(SUMIFS('Bilateral Assistance, MAIN DATA'!$P:$P,'Bilateral Assistance, MAIN DATA'!$B:$B,'Comm. per Month (Heavy Weapons)'!$B50,'Bilateral Assistance, MAIN DATA'!$AG:$AG,1,'Bilateral Assistance, MAIN DATA'!$AH:$AH,'Comm. per Month (Heavy Weapons)'!Q$11, 'Bilateral Assistance, MAIN DATA'!$J:$J,"Heavy weapon")/VLOOKUP("USD",'Exchange Rates'!$B:$C,2,0))/1000000000</f>
        <v>0.54234694741540657</v>
      </c>
      <c r="R50" s="276">
        <f>(SUMIFS('Bilateral Assistance, MAIN DATA'!$P:$P,'Bilateral Assistance, MAIN DATA'!$B:$B,'Comm. per Month (Heavy Weapons)'!$B50,'Bilateral Assistance, MAIN DATA'!$AG:$AG,1,'Bilateral Assistance, MAIN DATA'!$AH:$AH,'Comm. per Month (Heavy Weapons)'!R$11, 'Bilateral Assistance, MAIN DATA'!$J:$J,"Heavy weapon")/VLOOKUP("USD",'Exchange Rates'!$B:$C,2,0))/1000000000</f>
        <v>0</v>
      </c>
      <c r="S50" s="138">
        <f t="shared" si="0"/>
        <v>0.80505817094466425</v>
      </c>
    </row>
    <row r="51" spans="1:19" ht="15.95" customHeight="1">
      <c r="B51" s="24" t="s">
        <v>3949</v>
      </c>
      <c r="C51" s="297">
        <v>0</v>
      </c>
      <c r="D51" s="297">
        <v>1</v>
      </c>
      <c r="E51" s="276">
        <f>(SUMIFS('Bilateral Assistance, MAIN DATA'!$P:$P,'Bilateral Assistance, MAIN DATA'!$B:$B,'Comm. per Month (Heavy Weapons)'!$B51,'Bilateral Assistance, MAIN DATA'!$AG:$AG,1,'Bilateral Assistance, MAIN DATA'!$AH:$AH,'Comm. per Month (Heavy Weapons)'!E$11, 'Bilateral Assistance, MAIN DATA'!$J:$J,"Heavy weapon")/VLOOKUP("USD",'Exchange Rates'!$B:$C,2,0))/1000000000</f>
        <v>0</v>
      </c>
      <c r="F51" s="276">
        <f>(SUMIFS('Bilateral Assistance, MAIN DATA'!$P:$P,'Bilateral Assistance, MAIN DATA'!$B:$B,'Comm. per Month (Heavy Weapons)'!$B51,'Bilateral Assistance, MAIN DATA'!$AG:$AG,1,'Bilateral Assistance, MAIN DATA'!$AH:$AH,'Comm. per Month (Heavy Weapons)'!F$11, 'Bilateral Assistance, MAIN DATA'!$J:$J,"Heavy weapon")/VLOOKUP("USD",'Exchange Rates'!$B:$C,2,0))/1000000000</f>
        <v>0</v>
      </c>
      <c r="G51" s="276">
        <f>(SUMIFS('Bilateral Assistance, MAIN DATA'!$P:$P,'Bilateral Assistance, MAIN DATA'!$B:$B,'Comm. per Month (Heavy Weapons)'!$B51,'Bilateral Assistance, MAIN DATA'!$AG:$AG,1,'Bilateral Assistance, MAIN DATA'!$AH:$AH,'Comm. per Month (Heavy Weapons)'!G$11, 'Bilateral Assistance, MAIN DATA'!$J:$J,"Heavy weapon")/VLOOKUP("USD",'Exchange Rates'!$B:$C,2,0))/1000000000</f>
        <v>0</v>
      </c>
      <c r="H51" s="276">
        <f>(SUMIFS('Bilateral Assistance, MAIN DATA'!$P:$P,'Bilateral Assistance, MAIN DATA'!$B:$B,'Comm. per Month (Heavy Weapons)'!$B51,'Bilateral Assistance, MAIN DATA'!$AG:$AG,1,'Bilateral Assistance, MAIN DATA'!$AH:$AH,'Comm. per Month (Heavy Weapons)'!H$11, 'Bilateral Assistance, MAIN DATA'!$J:$J,"Heavy weapon")/VLOOKUP("USD",'Exchange Rates'!$B:$C,2,0))/1000000000</f>
        <v>0.8356643384247332</v>
      </c>
      <c r="I51" s="276">
        <f>(SUMIFS('Bilateral Assistance, MAIN DATA'!$P:$P,'Bilateral Assistance, MAIN DATA'!$B:$B,'Comm. per Month (Heavy Weapons)'!$B51,'Bilateral Assistance, MAIN DATA'!$AG:$AG,1,'Bilateral Assistance, MAIN DATA'!$AH:$AH,'Comm. per Month (Heavy Weapons)'!I$11, 'Bilateral Assistance, MAIN DATA'!$J:$J,"Heavy weapon")/VLOOKUP("USD",'Exchange Rates'!$B:$C,2,0))/1000000000</f>
        <v>0.37162561764814134</v>
      </c>
      <c r="J51" s="276">
        <f>(SUMIFS('Bilateral Assistance, MAIN DATA'!$P:$P,'Bilateral Assistance, MAIN DATA'!$B:$B,'Comm. per Month (Heavy Weapons)'!$B51,'Bilateral Assistance, MAIN DATA'!$AG:$AG,1,'Bilateral Assistance, MAIN DATA'!$AH:$AH,'Comm. per Month (Heavy Weapons)'!J$11, 'Bilateral Assistance, MAIN DATA'!$J:$J,"Heavy weapon")/VLOOKUP("USD",'Exchange Rates'!$B:$C,2,0))/1000000000</f>
        <v>1.1433074720818597</v>
      </c>
      <c r="K51" s="276">
        <f>(SUMIFS('Bilateral Assistance, MAIN DATA'!$P:$P,'Bilateral Assistance, MAIN DATA'!$B:$B,'Comm. per Month (Heavy Weapons)'!$B51,'Bilateral Assistance, MAIN DATA'!$AG:$AG,1,'Bilateral Assistance, MAIN DATA'!$AH:$AH,'Comm. per Month (Heavy Weapons)'!K$11, 'Bilateral Assistance, MAIN DATA'!$J:$J,"Heavy weapon")/VLOOKUP("USD",'Exchange Rates'!$B:$C,2,0))/1000000000</f>
        <v>0.23981192292970188</v>
      </c>
      <c r="L51" s="276">
        <f>(SUMIFS('Bilateral Assistance, MAIN DATA'!$P:$P,'Bilateral Assistance, MAIN DATA'!$B:$B,'Comm. per Month (Heavy Weapons)'!$B51,'Bilateral Assistance, MAIN DATA'!$AG:$AG,1,'Bilateral Assistance, MAIN DATA'!$AH:$AH,'Comm. per Month (Heavy Weapons)'!L$11, 'Bilateral Assistance, MAIN DATA'!$J:$J,"Heavy weapon")/VLOOKUP("USD",'Exchange Rates'!$B:$C,2,0))/1000000000</f>
        <v>1.5411753307103799</v>
      </c>
      <c r="M51" s="276">
        <f>(SUMIFS('Bilateral Assistance, MAIN DATA'!$P:$P,'Bilateral Assistance, MAIN DATA'!$B:$B,'Comm. per Month (Heavy Weapons)'!$B51,'Bilateral Assistance, MAIN DATA'!$AG:$AG,1,'Bilateral Assistance, MAIN DATA'!$AH:$AH,'Comm. per Month (Heavy Weapons)'!M$11, 'Bilateral Assistance, MAIN DATA'!$J:$J,"Heavy weapon")/VLOOKUP("USD",'Exchange Rates'!$B:$C,2,0))/1000000000</f>
        <v>0.81312605506441871</v>
      </c>
      <c r="N51" s="276">
        <f>(SUMIFS('Bilateral Assistance, MAIN DATA'!$P:$P,'Bilateral Assistance, MAIN DATA'!$B:$B,'Comm. per Month (Heavy Weapons)'!$B51,'Bilateral Assistance, MAIN DATA'!$AG:$AG,1,'Bilateral Assistance, MAIN DATA'!$AH:$AH,'Comm. per Month (Heavy Weapons)'!N$11, 'Bilateral Assistance, MAIN DATA'!$J:$J,"Heavy weapon")/VLOOKUP("USD",'Exchange Rates'!$B:$C,2,0))/1000000000</f>
        <v>0.30113543755616567</v>
      </c>
      <c r="O51" s="276">
        <f>(SUMIFS('Bilateral Assistance, MAIN DATA'!$P:$P,'Bilateral Assistance, MAIN DATA'!$B:$B,'Comm. per Month (Heavy Weapons)'!$B51,'Bilateral Assistance, MAIN DATA'!$AG:$AG,1,'Bilateral Assistance, MAIN DATA'!$AH:$AH,'Comm. per Month (Heavy Weapons)'!O$11, 'Bilateral Assistance, MAIN DATA'!$J:$J,"Heavy weapon")/VLOOKUP("USD",'Exchange Rates'!$B:$C,2,0))/1000000000</f>
        <v>1.5760150044968453</v>
      </c>
      <c r="P51" s="276">
        <f>(SUMIFS('Bilateral Assistance, MAIN DATA'!$P:$P,'Bilateral Assistance, MAIN DATA'!$B:$B,'Comm. per Month (Heavy Weapons)'!$B51,'Bilateral Assistance, MAIN DATA'!$AG:$AG,1,'Bilateral Assistance, MAIN DATA'!$AH:$AH,'Comm. per Month (Heavy Weapons)'!P$11, 'Bilateral Assistance, MAIN DATA'!$J:$J,"Heavy weapon")/VLOOKUP("USD",'Exchange Rates'!$B:$C,2,0))/1000000000</f>
        <v>0.4269180336768495</v>
      </c>
      <c r="Q51" s="276">
        <f>(SUMIFS('Bilateral Assistance, MAIN DATA'!$P:$P,'Bilateral Assistance, MAIN DATA'!$B:$B,'Comm. per Month (Heavy Weapons)'!$B51,'Bilateral Assistance, MAIN DATA'!$AG:$AG,1,'Bilateral Assistance, MAIN DATA'!$AH:$AH,'Comm. per Month (Heavy Weapons)'!Q$11, 'Bilateral Assistance, MAIN DATA'!$J:$J,"Heavy weapon")/VLOOKUP("USD",'Exchange Rates'!$B:$C,2,0))/1000000000</f>
        <v>1.3348801162705222</v>
      </c>
      <c r="R51" s="276">
        <f>(SUMIFS('Bilateral Assistance, MAIN DATA'!$P:$P,'Bilateral Assistance, MAIN DATA'!$B:$B,'Comm. per Month (Heavy Weapons)'!$B51,'Bilateral Assistance, MAIN DATA'!$AG:$AG,1,'Bilateral Assistance, MAIN DATA'!$AH:$AH,'Comm. per Month (Heavy Weapons)'!R$11, 'Bilateral Assistance, MAIN DATA'!$J:$J,"Heavy weapon")/VLOOKUP("USD",'Exchange Rates'!$B:$C,2,0))/1000000000</f>
        <v>0.6026509719442027</v>
      </c>
      <c r="S51" s="138">
        <f t="shared" si="0"/>
        <v>8.5836593288596177</v>
      </c>
    </row>
    <row r="52" spans="1:19" ht="15.95" customHeight="1">
      <c r="B52" s="24" t="s">
        <v>905</v>
      </c>
      <c r="C52" s="297">
        <v>0</v>
      </c>
      <c r="D52" s="297">
        <v>0</v>
      </c>
      <c r="E52" s="276">
        <f>(SUMIFS('Bilateral Assistance, MAIN DATA'!$P:$P,'Bilateral Assistance, MAIN DATA'!$B:$B,'Comm. per Month (Heavy Weapons)'!$B52,'Bilateral Assistance, MAIN DATA'!$AG:$AG,1,'Bilateral Assistance, MAIN DATA'!$AH:$AH,'Comm. per Month (Heavy Weapons)'!E$11, 'Bilateral Assistance, MAIN DATA'!$J:$J,"Heavy weapon")/VLOOKUP("USD",'Exchange Rates'!$B:$C,2,0))/1000000000</f>
        <v>0</v>
      </c>
      <c r="F52" s="276">
        <f>(SUMIFS('Bilateral Assistance, MAIN DATA'!$P:$P,'Bilateral Assistance, MAIN DATA'!$B:$B,'Comm. per Month (Heavy Weapons)'!$B52,'Bilateral Assistance, MAIN DATA'!$AG:$AG,1,'Bilateral Assistance, MAIN DATA'!$AH:$AH,'Comm. per Month (Heavy Weapons)'!F$11, 'Bilateral Assistance, MAIN DATA'!$J:$J,"Heavy weapon")/VLOOKUP("USD",'Exchange Rates'!$B:$C,2,0))/1000000000</f>
        <v>0</v>
      </c>
      <c r="G52" s="276">
        <f>(SUMIFS('Bilateral Assistance, MAIN DATA'!$P:$P,'Bilateral Assistance, MAIN DATA'!$B:$B,'Comm. per Month (Heavy Weapons)'!$B52,'Bilateral Assistance, MAIN DATA'!$AG:$AG,1,'Bilateral Assistance, MAIN DATA'!$AH:$AH,'Comm. per Month (Heavy Weapons)'!G$11, 'Bilateral Assistance, MAIN DATA'!$J:$J,"Heavy weapon")/VLOOKUP("USD",'Exchange Rates'!$B:$C,2,0))/1000000000</f>
        <v>0</v>
      </c>
      <c r="H52" s="276">
        <f>(SUMIFS('Bilateral Assistance, MAIN DATA'!$P:$P,'Bilateral Assistance, MAIN DATA'!$B:$B,'Comm. per Month (Heavy Weapons)'!$B52,'Bilateral Assistance, MAIN DATA'!$AG:$AG,1,'Bilateral Assistance, MAIN DATA'!$AH:$AH,'Comm. per Month (Heavy Weapons)'!H$11, 'Bilateral Assistance, MAIN DATA'!$J:$J,"Heavy weapon")/VLOOKUP("USD",'Exchange Rates'!$B:$C,2,0))/1000000000</f>
        <v>0</v>
      </c>
      <c r="I52" s="276">
        <f>(SUMIFS('Bilateral Assistance, MAIN DATA'!$P:$P,'Bilateral Assistance, MAIN DATA'!$B:$B,'Comm. per Month (Heavy Weapons)'!$B52,'Bilateral Assistance, MAIN DATA'!$AG:$AG,1,'Bilateral Assistance, MAIN DATA'!$AH:$AH,'Comm. per Month (Heavy Weapons)'!I$11, 'Bilateral Assistance, MAIN DATA'!$J:$J,"Heavy weapon")/VLOOKUP("USD",'Exchange Rates'!$B:$C,2,0))/1000000000</f>
        <v>0</v>
      </c>
      <c r="J52" s="276">
        <f>(SUMIFS('Bilateral Assistance, MAIN DATA'!$P:$P,'Bilateral Assistance, MAIN DATA'!$B:$B,'Comm. per Month (Heavy Weapons)'!$B52,'Bilateral Assistance, MAIN DATA'!$AG:$AG,1,'Bilateral Assistance, MAIN DATA'!$AH:$AH,'Comm. per Month (Heavy Weapons)'!J$11, 'Bilateral Assistance, MAIN DATA'!$J:$J,"Heavy weapon")/VLOOKUP("USD",'Exchange Rates'!$B:$C,2,0))/1000000000</f>
        <v>0</v>
      </c>
      <c r="K52" s="276">
        <f>(SUMIFS('Bilateral Assistance, MAIN DATA'!$P:$P,'Bilateral Assistance, MAIN DATA'!$B:$B,'Comm. per Month (Heavy Weapons)'!$B52,'Bilateral Assistance, MAIN DATA'!$AG:$AG,1,'Bilateral Assistance, MAIN DATA'!$AH:$AH,'Comm. per Month (Heavy Weapons)'!K$11, 'Bilateral Assistance, MAIN DATA'!$J:$J,"Heavy weapon")/VLOOKUP("USD",'Exchange Rates'!$B:$C,2,0))/1000000000</f>
        <v>0</v>
      </c>
      <c r="L52" s="276">
        <f>(SUMIFS('Bilateral Assistance, MAIN DATA'!$P:$P,'Bilateral Assistance, MAIN DATA'!$B:$B,'Comm. per Month (Heavy Weapons)'!$B52,'Bilateral Assistance, MAIN DATA'!$AG:$AG,1,'Bilateral Assistance, MAIN DATA'!$AH:$AH,'Comm. per Month (Heavy Weapons)'!L$11, 'Bilateral Assistance, MAIN DATA'!$J:$J,"Heavy weapon")/VLOOKUP("USD",'Exchange Rates'!$B:$C,2,0))/1000000000</f>
        <v>0</v>
      </c>
      <c r="M52" s="276">
        <f>(SUMIFS('Bilateral Assistance, MAIN DATA'!$P:$P,'Bilateral Assistance, MAIN DATA'!$B:$B,'Comm. per Month (Heavy Weapons)'!$B52,'Bilateral Assistance, MAIN DATA'!$AG:$AG,1,'Bilateral Assistance, MAIN DATA'!$AH:$AH,'Comm. per Month (Heavy Weapons)'!M$11, 'Bilateral Assistance, MAIN DATA'!$J:$J,"Heavy weapon")/VLOOKUP("USD",'Exchange Rates'!$B:$C,2,0))/1000000000</f>
        <v>0</v>
      </c>
      <c r="N52" s="276">
        <f>(SUMIFS('Bilateral Assistance, MAIN DATA'!$P:$P,'Bilateral Assistance, MAIN DATA'!$B:$B,'Comm. per Month (Heavy Weapons)'!$B52,'Bilateral Assistance, MAIN DATA'!$AG:$AG,1,'Bilateral Assistance, MAIN DATA'!$AH:$AH,'Comm. per Month (Heavy Weapons)'!N$11, 'Bilateral Assistance, MAIN DATA'!$J:$J,"Heavy weapon")/VLOOKUP("USD",'Exchange Rates'!$B:$C,2,0))/1000000000</f>
        <v>0</v>
      </c>
      <c r="O52" s="276">
        <f>(SUMIFS('Bilateral Assistance, MAIN DATA'!$P:$P,'Bilateral Assistance, MAIN DATA'!$B:$B,'Comm. per Month (Heavy Weapons)'!$B52,'Bilateral Assistance, MAIN DATA'!$AG:$AG,1,'Bilateral Assistance, MAIN DATA'!$AH:$AH,'Comm. per Month (Heavy Weapons)'!O$11, 'Bilateral Assistance, MAIN DATA'!$J:$J,"Heavy weapon")/VLOOKUP("USD",'Exchange Rates'!$B:$C,2,0))/1000000000</f>
        <v>0</v>
      </c>
      <c r="P52" s="276">
        <f>(SUMIFS('Bilateral Assistance, MAIN DATA'!$P:$P,'Bilateral Assistance, MAIN DATA'!$B:$B,'Comm. per Month (Heavy Weapons)'!$B52,'Bilateral Assistance, MAIN DATA'!$AG:$AG,1,'Bilateral Assistance, MAIN DATA'!$AH:$AH,'Comm. per Month (Heavy Weapons)'!P$11, 'Bilateral Assistance, MAIN DATA'!$J:$J,"Heavy weapon")/VLOOKUP("USD",'Exchange Rates'!$B:$C,2,0))/1000000000</f>
        <v>0</v>
      </c>
      <c r="Q52" s="276">
        <f>(SUMIFS('Bilateral Assistance, MAIN DATA'!$P:$P,'Bilateral Assistance, MAIN DATA'!$B:$B,'Comm. per Month (Heavy Weapons)'!$B52,'Bilateral Assistance, MAIN DATA'!$AG:$AG,1,'Bilateral Assistance, MAIN DATA'!$AH:$AH,'Comm. per Month (Heavy Weapons)'!Q$11, 'Bilateral Assistance, MAIN DATA'!$J:$J,"Heavy weapon")/VLOOKUP("USD",'Exchange Rates'!$B:$C,2,0))/1000000000</f>
        <v>0</v>
      </c>
      <c r="R52" s="276">
        <f>(SUMIFS('Bilateral Assistance, MAIN DATA'!$P:$P,'Bilateral Assistance, MAIN DATA'!$B:$B,'Comm. per Month (Heavy Weapons)'!$B52,'Bilateral Assistance, MAIN DATA'!$AG:$AG,1,'Bilateral Assistance, MAIN DATA'!$AH:$AH,'Comm. per Month (Heavy Weapons)'!R$11, 'Bilateral Assistance, MAIN DATA'!$J:$J,"Heavy weapon")/VLOOKUP("USD",'Exchange Rates'!$B:$C,2,0))/1000000000</f>
        <v>0</v>
      </c>
      <c r="S52" s="138">
        <f t="shared" si="0"/>
        <v>0</v>
      </c>
    </row>
    <row r="53" spans="1:19" ht="15.95" customHeight="1">
      <c r="B53" s="24" t="s">
        <v>3713</v>
      </c>
      <c r="C53" s="297">
        <v>0</v>
      </c>
      <c r="D53" s="297">
        <v>0</v>
      </c>
      <c r="E53" s="276">
        <f>(SUMIFS('Bilateral Assistance, MAIN DATA'!$P:$P,'Bilateral Assistance, MAIN DATA'!$B:$B,'Comm. per Month (Heavy Weapons)'!$B53,'Bilateral Assistance, MAIN DATA'!$AG:$AG,1,'Bilateral Assistance, MAIN DATA'!$AH:$AH,'Comm. per Month (Heavy Weapons)'!E$11, 'Bilateral Assistance, MAIN DATA'!$J:$J,"Heavy weapon")/VLOOKUP("USD",'Exchange Rates'!$B:$C,2,0))/1000000000</f>
        <v>0</v>
      </c>
      <c r="F53" s="276">
        <f>(SUMIFS('Bilateral Assistance, MAIN DATA'!$P:$P,'Bilateral Assistance, MAIN DATA'!$B:$B,'Comm. per Month (Heavy Weapons)'!$B53,'Bilateral Assistance, MAIN DATA'!$AG:$AG,1,'Bilateral Assistance, MAIN DATA'!$AH:$AH,'Comm. per Month (Heavy Weapons)'!F$11, 'Bilateral Assistance, MAIN DATA'!$J:$J,"Heavy weapon")/VLOOKUP("USD",'Exchange Rates'!$B:$C,2,0))/1000000000</f>
        <v>0</v>
      </c>
      <c r="G53" s="276">
        <f>(SUMIFS('Bilateral Assistance, MAIN DATA'!$P:$P,'Bilateral Assistance, MAIN DATA'!$B:$B,'Comm. per Month (Heavy Weapons)'!$B53,'Bilateral Assistance, MAIN DATA'!$AG:$AG,1,'Bilateral Assistance, MAIN DATA'!$AH:$AH,'Comm. per Month (Heavy Weapons)'!G$11, 'Bilateral Assistance, MAIN DATA'!$J:$J,"Heavy weapon")/VLOOKUP("USD",'Exchange Rates'!$B:$C,2,0))/1000000000</f>
        <v>0</v>
      </c>
      <c r="H53" s="276">
        <f>(SUMIFS('Bilateral Assistance, MAIN DATA'!$P:$P,'Bilateral Assistance, MAIN DATA'!$B:$B,'Comm. per Month (Heavy Weapons)'!$B53,'Bilateral Assistance, MAIN DATA'!$AG:$AG,1,'Bilateral Assistance, MAIN DATA'!$AH:$AH,'Comm. per Month (Heavy Weapons)'!H$11, 'Bilateral Assistance, MAIN DATA'!$J:$J,"Heavy weapon")/VLOOKUP("USD",'Exchange Rates'!$B:$C,2,0))/1000000000</f>
        <v>0</v>
      </c>
      <c r="I53" s="276">
        <f>(SUMIFS('Bilateral Assistance, MAIN DATA'!$P:$P,'Bilateral Assistance, MAIN DATA'!$B:$B,'Comm. per Month (Heavy Weapons)'!$B53,'Bilateral Assistance, MAIN DATA'!$AG:$AG,1,'Bilateral Assistance, MAIN DATA'!$AH:$AH,'Comm. per Month (Heavy Weapons)'!I$11, 'Bilateral Assistance, MAIN DATA'!$J:$J,"Heavy weapon")/VLOOKUP("USD",'Exchange Rates'!$B:$C,2,0))/1000000000</f>
        <v>0</v>
      </c>
      <c r="J53" s="276">
        <f>(SUMIFS('Bilateral Assistance, MAIN DATA'!$P:$P,'Bilateral Assistance, MAIN DATA'!$B:$B,'Comm. per Month (Heavy Weapons)'!$B53,'Bilateral Assistance, MAIN DATA'!$AG:$AG,1,'Bilateral Assistance, MAIN DATA'!$AH:$AH,'Comm. per Month (Heavy Weapons)'!J$11, 'Bilateral Assistance, MAIN DATA'!$J:$J,"Heavy weapon")/VLOOKUP("USD",'Exchange Rates'!$B:$C,2,0))/1000000000</f>
        <v>0</v>
      </c>
      <c r="K53" s="276">
        <f>(SUMIFS('Bilateral Assistance, MAIN DATA'!$P:$P,'Bilateral Assistance, MAIN DATA'!$B:$B,'Comm. per Month (Heavy Weapons)'!$B53,'Bilateral Assistance, MAIN DATA'!$AG:$AG,1,'Bilateral Assistance, MAIN DATA'!$AH:$AH,'Comm. per Month (Heavy Weapons)'!K$11, 'Bilateral Assistance, MAIN DATA'!$J:$J,"Heavy weapon")/VLOOKUP("USD",'Exchange Rates'!$B:$C,2,0))/1000000000</f>
        <v>0</v>
      </c>
      <c r="L53" s="276">
        <f>(SUMIFS('Bilateral Assistance, MAIN DATA'!$P:$P,'Bilateral Assistance, MAIN DATA'!$B:$B,'Comm. per Month (Heavy Weapons)'!$B53,'Bilateral Assistance, MAIN DATA'!$AG:$AG,1,'Bilateral Assistance, MAIN DATA'!$AH:$AH,'Comm. per Month (Heavy Weapons)'!L$11, 'Bilateral Assistance, MAIN DATA'!$J:$J,"Heavy weapon")/VLOOKUP("USD",'Exchange Rates'!$B:$C,2,0))/1000000000</f>
        <v>0</v>
      </c>
      <c r="M53" s="276">
        <f>(SUMIFS('Bilateral Assistance, MAIN DATA'!$P:$P,'Bilateral Assistance, MAIN DATA'!$B:$B,'Comm. per Month (Heavy Weapons)'!$B53,'Bilateral Assistance, MAIN DATA'!$AG:$AG,1,'Bilateral Assistance, MAIN DATA'!$AH:$AH,'Comm. per Month (Heavy Weapons)'!M$11, 'Bilateral Assistance, MAIN DATA'!$J:$J,"Heavy weapon")/VLOOKUP("USD",'Exchange Rates'!$B:$C,2,0))/1000000000</f>
        <v>0</v>
      </c>
      <c r="N53" s="276">
        <f>(SUMIFS('Bilateral Assistance, MAIN DATA'!$P:$P,'Bilateral Assistance, MAIN DATA'!$B:$B,'Comm. per Month (Heavy Weapons)'!$B53,'Bilateral Assistance, MAIN DATA'!$AG:$AG,1,'Bilateral Assistance, MAIN DATA'!$AH:$AH,'Comm. per Month (Heavy Weapons)'!N$11, 'Bilateral Assistance, MAIN DATA'!$J:$J,"Heavy weapon")/VLOOKUP("USD",'Exchange Rates'!$B:$C,2,0))/1000000000</f>
        <v>0</v>
      </c>
      <c r="O53" s="276">
        <f>(SUMIFS('Bilateral Assistance, MAIN DATA'!$P:$P,'Bilateral Assistance, MAIN DATA'!$B:$B,'Comm. per Month (Heavy Weapons)'!$B53,'Bilateral Assistance, MAIN DATA'!$AG:$AG,1,'Bilateral Assistance, MAIN DATA'!$AH:$AH,'Comm. per Month (Heavy Weapons)'!O$11, 'Bilateral Assistance, MAIN DATA'!$J:$J,"Heavy weapon")/VLOOKUP("USD",'Exchange Rates'!$B:$C,2,0))/1000000000</f>
        <v>0</v>
      </c>
      <c r="P53" s="276">
        <f>(SUMIFS('Bilateral Assistance, MAIN DATA'!$P:$P,'Bilateral Assistance, MAIN DATA'!$B:$B,'Comm. per Month (Heavy Weapons)'!$B53,'Bilateral Assistance, MAIN DATA'!$AG:$AG,1,'Bilateral Assistance, MAIN DATA'!$AH:$AH,'Comm. per Month (Heavy Weapons)'!P$11, 'Bilateral Assistance, MAIN DATA'!$J:$J,"Heavy weapon")/VLOOKUP("USD",'Exchange Rates'!$B:$C,2,0))/1000000000</f>
        <v>0</v>
      </c>
      <c r="Q53" s="276">
        <f>(SUMIFS('Bilateral Assistance, MAIN DATA'!$P:$P,'Bilateral Assistance, MAIN DATA'!$B:$B,'Comm. per Month (Heavy Weapons)'!$B53,'Bilateral Assistance, MAIN DATA'!$AG:$AG,1,'Bilateral Assistance, MAIN DATA'!$AH:$AH,'Comm. per Month (Heavy Weapons)'!Q$11, 'Bilateral Assistance, MAIN DATA'!$J:$J,"Heavy weapon")/VLOOKUP("USD",'Exchange Rates'!$B:$C,2,0))/1000000000</f>
        <v>0</v>
      </c>
      <c r="R53" s="276">
        <f>(SUMIFS('Bilateral Assistance, MAIN DATA'!$P:$P,'Bilateral Assistance, MAIN DATA'!$B:$B,'Comm. per Month (Heavy Weapons)'!$B53,'Bilateral Assistance, MAIN DATA'!$AG:$AG,1,'Bilateral Assistance, MAIN DATA'!$AH:$AH,'Comm. per Month (Heavy Weapons)'!R$11, 'Bilateral Assistance, MAIN DATA'!$J:$J,"Heavy weapon")/VLOOKUP("USD",'Exchange Rates'!$B:$C,2,0))/1000000000</f>
        <v>0</v>
      </c>
      <c r="S53" s="138">
        <f t="shared" si="0"/>
        <v>0</v>
      </c>
    </row>
    <row r="54" spans="1:19" ht="15.95" customHeight="1">
      <c r="B54" s="258" t="s">
        <v>2076</v>
      </c>
      <c r="C54" s="328">
        <v>0</v>
      </c>
      <c r="D54" s="297">
        <v>0</v>
      </c>
      <c r="E54" s="276">
        <f>(SUMIFS('Bilateral Assistance, MAIN DATA'!$P:$P,'Bilateral Assistance, MAIN DATA'!$B:$B,'Comm. per Month (Heavy Weapons)'!$B54,'Bilateral Assistance, MAIN DATA'!$AG:$AG,1,'Bilateral Assistance, MAIN DATA'!$AH:$AH,'Comm. per Month (Heavy Weapons)'!E$11, 'Bilateral Assistance, MAIN DATA'!$J:$J,"Heavy weapon")/VLOOKUP("USD",'Exchange Rates'!$B:$C,2,0))/1000000000</f>
        <v>0</v>
      </c>
      <c r="F54" s="276">
        <f>(SUMIFS('Bilateral Assistance, MAIN DATA'!$P:$P,'Bilateral Assistance, MAIN DATA'!$B:$B,'Comm. per Month (Heavy Weapons)'!$B54,'Bilateral Assistance, MAIN DATA'!$AG:$AG,1,'Bilateral Assistance, MAIN DATA'!$AH:$AH,'Comm. per Month (Heavy Weapons)'!F$11, 'Bilateral Assistance, MAIN DATA'!$J:$J,"Heavy weapon")/VLOOKUP("USD",'Exchange Rates'!$B:$C,2,0))/1000000000</f>
        <v>0</v>
      </c>
      <c r="G54" s="276">
        <f>(SUMIFS('Bilateral Assistance, MAIN DATA'!$P:$P,'Bilateral Assistance, MAIN DATA'!$B:$B,'Comm. per Month (Heavy Weapons)'!$B54,'Bilateral Assistance, MAIN DATA'!$AG:$AG,1,'Bilateral Assistance, MAIN DATA'!$AH:$AH,'Comm. per Month (Heavy Weapons)'!G$11, 'Bilateral Assistance, MAIN DATA'!$J:$J,"Heavy weapon")/VLOOKUP("USD",'Exchange Rates'!$B:$C,2,0))/1000000000</f>
        <v>0</v>
      </c>
      <c r="H54" s="276">
        <f>(SUMIFS('Bilateral Assistance, MAIN DATA'!$P:$P,'Bilateral Assistance, MAIN DATA'!$B:$B,'Comm. per Month (Heavy Weapons)'!$B54,'Bilateral Assistance, MAIN DATA'!$AG:$AG,1,'Bilateral Assistance, MAIN DATA'!$AH:$AH,'Comm. per Month (Heavy Weapons)'!H$11, 'Bilateral Assistance, MAIN DATA'!$J:$J,"Heavy weapon")/VLOOKUP("USD",'Exchange Rates'!$B:$C,2,0))/1000000000</f>
        <v>0</v>
      </c>
      <c r="I54" s="276">
        <f>(SUMIFS('Bilateral Assistance, MAIN DATA'!$P:$P,'Bilateral Assistance, MAIN DATA'!$B:$B,'Comm. per Month (Heavy Weapons)'!$B54,'Bilateral Assistance, MAIN DATA'!$AG:$AG,1,'Bilateral Assistance, MAIN DATA'!$AH:$AH,'Comm. per Month (Heavy Weapons)'!I$11, 'Bilateral Assistance, MAIN DATA'!$J:$J,"Heavy weapon")/VLOOKUP("USD",'Exchange Rates'!$B:$C,2,0))/1000000000</f>
        <v>0</v>
      </c>
      <c r="J54" s="276">
        <f>(SUMIFS('Bilateral Assistance, MAIN DATA'!$P:$P,'Bilateral Assistance, MAIN DATA'!$B:$B,'Comm. per Month (Heavy Weapons)'!$B54,'Bilateral Assistance, MAIN DATA'!$AG:$AG,1,'Bilateral Assistance, MAIN DATA'!$AH:$AH,'Comm. per Month (Heavy Weapons)'!J$11, 'Bilateral Assistance, MAIN DATA'!$J:$J,"Heavy weapon")/VLOOKUP("USD",'Exchange Rates'!$B:$C,2,0))/1000000000</f>
        <v>0</v>
      </c>
      <c r="K54" s="276">
        <f>(SUMIFS('Bilateral Assistance, MAIN DATA'!$P:$P,'Bilateral Assistance, MAIN DATA'!$B:$B,'Comm. per Month (Heavy Weapons)'!$B54,'Bilateral Assistance, MAIN DATA'!$AG:$AG,1,'Bilateral Assistance, MAIN DATA'!$AH:$AH,'Comm. per Month (Heavy Weapons)'!K$11, 'Bilateral Assistance, MAIN DATA'!$J:$J,"Heavy weapon")/VLOOKUP("USD",'Exchange Rates'!$B:$C,2,0))/1000000000</f>
        <v>0</v>
      </c>
      <c r="L54" s="276">
        <f>(SUMIFS('Bilateral Assistance, MAIN DATA'!$P:$P,'Bilateral Assistance, MAIN DATA'!$B:$B,'Comm. per Month (Heavy Weapons)'!$B54,'Bilateral Assistance, MAIN DATA'!$AG:$AG,1,'Bilateral Assistance, MAIN DATA'!$AH:$AH,'Comm. per Month (Heavy Weapons)'!L$11, 'Bilateral Assistance, MAIN DATA'!$J:$J,"Heavy weapon")/VLOOKUP("USD",'Exchange Rates'!$B:$C,2,0))/1000000000</f>
        <v>0</v>
      </c>
      <c r="M54" s="276">
        <f>(SUMIFS('Bilateral Assistance, MAIN DATA'!$P:$P,'Bilateral Assistance, MAIN DATA'!$B:$B,'Comm. per Month (Heavy Weapons)'!$B54,'Bilateral Assistance, MAIN DATA'!$AG:$AG,1,'Bilateral Assistance, MAIN DATA'!$AH:$AH,'Comm. per Month (Heavy Weapons)'!M$11, 'Bilateral Assistance, MAIN DATA'!$J:$J,"Heavy weapon")/VLOOKUP("USD",'Exchange Rates'!$B:$C,2,0))/1000000000</f>
        <v>0</v>
      </c>
      <c r="N54" s="276">
        <f>(SUMIFS('Bilateral Assistance, MAIN DATA'!$P:$P,'Bilateral Assistance, MAIN DATA'!$B:$B,'Comm. per Month (Heavy Weapons)'!$B54,'Bilateral Assistance, MAIN DATA'!$AG:$AG,1,'Bilateral Assistance, MAIN DATA'!$AH:$AH,'Comm. per Month (Heavy Weapons)'!N$11, 'Bilateral Assistance, MAIN DATA'!$J:$J,"Heavy weapon")/VLOOKUP("USD",'Exchange Rates'!$B:$C,2,0))/1000000000</f>
        <v>0</v>
      </c>
      <c r="O54" s="276">
        <f>(SUMIFS('Bilateral Assistance, MAIN DATA'!$P:$P,'Bilateral Assistance, MAIN DATA'!$B:$B,'Comm. per Month (Heavy Weapons)'!$B54,'Bilateral Assistance, MAIN DATA'!$AG:$AG,1,'Bilateral Assistance, MAIN DATA'!$AH:$AH,'Comm. per Month (Heavy Weapons)'!O$11, 'Bilateral Assistance, MAIN DATA'!$J:$J,"Heavy weapon")/VLOOKUP("USD",'Exchange Rates'!$B:$C,2,0))/1000000000</f>
        <v>0</v>
      </c>
      <c r="P54" s="276">
        <f>(SUMIFS('Bilateral Assistance, MAIN DATA'!$P:$P,'Bilateral Assistance, MAIN DATA'!$B:$B,'Comm. per Month (Heavy Weapons)'!$B54,'Bilateral Assistance, MAIN DATA'!$AG:$AG,1,'Bilateral Assistance, MAIN DATA'!$AH:$AH,'Comm. per Month (Heavy Weapons)'!P$11, 'Bilateral Assistance, MAIN DATA'!$J:$J,"Heavy weapon")/VLOOKUP("USD",'Exchange Rates'!$B:$C,2,0))/1000000000</f>
        <v>0</v>
      </c>
      <c r="Q54" s="276">
        <f>(SUMIFS('Bilateral Assistance, MAIN DATA'!$P:$P,'Bilateral Assistance, MAIN DATA'!$B:$B,'Comm. per Month (Heavy Weapons)'!$B54,'Bilateral Assistance, MAIN DATA'!$AG:$AG,1,'Bilateral Assistance, MAIN DATA'!$AH:$AH,'Comm. per Month (Heavy Weapons)'!Q$11, 'Bilateral Assistance, MAIN DATA'!$J:$J,"Heavy weapon")/VLOOKUP("USD",'Exchange Rates'!$B:$C,2,0))/1000000000</f>
        <v>0</v>
      </c>
      <c r="R54" s="276">
        <f>(SUMIFS('Bilateral Assistance, MAIN DATA'!$P:$P,'Bilateral Assistance, MAIN DATA'!$B:$B,'Comm. per Month (Heavy Weapons)'!$B54,'Bilateral Assistance, MAIN DATA'!$AG:$AG,1,'Bilateral Assistance, MAIN DATA'!$AH:$AH,'Comm. per Month (Heavy Weapons)'!R$11, 'Bilateral Assistance, MAIN DATA'!$J:$J,"Heavy weapon")/VLOOKUP("USD",'Exchange Rates'!$B:$C,2,0))/1000000000</f>
        <v>0</v>
      </c>
      <c r="S54" s="138">
        <f t="shared" si="0"/>
        <v>0</v>
      </c>
    </row>
    <row r="55" spans="1:19" ht="15.95" customHeight="1">
      <c r="B55" s="65" t="s">
        <v>4530</v>
      </c>
      <c r="C55" s="332" t="s">
        <v>364</v>
      </c>
      <c r="D55" s="332" t="s">
        <v>364</v>
      </c>
      <c r="E55" s="443">
        <f t="shared" ref="E55:P55" si="2">SUM(E13:E54)</f>
        <v>0</v>
      </c>
      <c r="F55" s="443">
        <f t="shared" si="2"/>
        <v>0</v>
      </c>
      <c r="G55" s="443">
        <f t="shared" si="2"/>
        <v>6.5624549135075453E-3</v>
      </c>
      <c r="H55" s="443">
        <f t="shared" si="2"/>
        <v>2.3916561314600537</v>
      </c>
      <c r="I55" s="443">
        <f t="shared" si="2"/>
        <v>0.49666961692233336</v>
      </c>
      <c r="J55" s="443">
        <f t="shared" si="2"/>
        <v>1.7559530969489625</v>
      </c>
      <c r="K55" s="443">
        <f t="shared" si="2"/>
        <v>0.43735791504923027</v>
      </c>
      <c r="L55" s="443">
        <f t="shared" si="2"/>
        <v>1.7906749426908055</v>
      </c>
      <c r="M55" s="443">
        <f t="shared" si="2"/>
        <v>1.5307077792583867</v>
      </c>
      <c r="N55" s="443">
        <f t="shared" si="2"/>
        <v>0.70168003663243717</v>
      </c>
      <c r="O55" s="443">
        <f t="shared" si="2"/>
        <v>1.7157229416699369</v>
      </c>
      <c r="P55" s="443">
        <f t="shared" si="2"/>
        <v>1.1432091182692694</v>
      </c>
      <c r="Q55" s="443">
        <f t="shared" ref="Q55:R55" si="3">SUM(Q13:Q54)</f>
        <v>4.2457629746053147</v>
      </c>
      <c r="R55" s="443">
        <f t="shared" si="3"/>
        <v>0.87008457653613247</v>
      </c>
      <c r="S55" s="861">
        <f t="shared" si="0"/>
        <v>16.215957008420236</v>
      </c>
    </row>
    <row r="56" spans="1:19" ht="15.95" customHeight="1">
      <c r="B56" s="2"/>
      <c r="C56" s="335"/>
      <c r="D56" s="335"/>
      <c r="H56" s="337"/>
      <c r="I56" s="337"/>
      <c r="J56" s="337"/>
      <c r="K56" s="337"/>
      <c r="L56" s="337"/>
    </row>
    <row r="57" spans="1:19" s="107" customFormat="1" ht="15.95" customHeight="1">
      <c r="A57" s="3"/>
      <c r="B57" s="24"/>
      <c r="C57" s="297"/>
      <c r="D57" s="297"/>
      <c r="E57" s="337"/>
      <c r="F57" s="337"/>
      <c r="G57" s="337"/>
      <c r="H57" s="337"/>
      <c r="I57" s="337"/>
      <c r="J57" s="337"/>
      <c r="K57" s="337"/>
      <c r="L57" s="337"/>
      <c r="N57" s="302"/>
      <c r="Q57" s="24"/>
      <c r="R57" s="24"/>
      <c r="S57" s="24"/>
    </row>
    <row r="58" spans="1:19" s="107" customFormat="1" ht="15.95" customHeight="1">
      <c r="A58" s="3"/>
      <c r="B58" s="24"/>
      <c r="C58" s="297"/>
      <c r="D58" s="297"/>
      <c r="E58" s="337"/>
      <c r="F58" s="337"/>
      <c r="G58" s="337"/>
      <c r="H58" s="337"/>
      <c r="I58" s="337"/>
      <c r="J58" s="337"/>
      <c r="K58" s="337"/>
      <c r="L58" s="337"/>
      <c r="N58" s="302"/>
      <c r="Q58" s="24"/>
      <c r="R58" s="24"/>
      <c r="S58" s="24"/>
    </row>
    <row r="59" spans="1:19" s="107" customFormat="1" ht="15.95" customHeight="1">
      <c r="A59" s="3"/>
      <c r="B59" s="24"/>
      <c r="C59" s="297"/>
      <c r="D59" s="297"/>
      <c r="E59" s="337"/>
      <c r="F59" s="337"/>
      <c r="G59" s="337"/>
      <c r="H59" s="337"/>
      <c r="I59" s="337"/>
      <c r="J59" s="337"/>
      <c r="K59" s="337"/>
      <c r="L59" s="337"/>
      <c r="N59" s="302"/>
      <c r="Q59" s="24"/>
      <c r="R59" s="24"/>
      <c r="S59" s="24"/>
    </row>
    <row r="60" spans="1:19" s="107" customFormat="1" ht="15.95" customHeight="1">
      <c r="A60" s="3"/>
      <c r="B60" s="24"/>
      <c r="C60" s="297"/>
      <c r="D60" s="297"/>
      <c r="E60" s="337"/>
      <c r="F60" s="337"/>
      <c r="G60" s="337"/>
      <c r="H60" s="337"/>
      <c r="I60" s="337"/>
      <c r="J60" s="337"/>
      <c r="K60" s="337"/>
      <c r="L60" s="337"/>
      <c r="N60" s="302"/>
      <c r="Q60" s="24"/>
      <c r="R60" s="24"/>
      <c r="S60" s="24"/>
    </row>
    <row r="61" spans="1:19" s="107" customFormat="1" ht="15.95" customHeight="1">
      <c r="A61" s="3"/>
      <c r="B61" s="24"/>
      <c r="C61" s="297"/>
      <c r="D61" s="297"/>
      <c r="E61" s="337"/>
      <c r="F61" s="337"/>
      <c r="G61" s="337"/>
      <c r="H61" s="337"/>
      <c r="I61" s="337"/>
      <c r="J61" s="337"/>
      <c r="K61" s="337"/>
      <c r="L61" s="337"/>
      <c r="N61" s="302"/>
      <c r="Q61" s="24"/>
      <c r="R61" s="24"/>
      <c r="S61" s="24"/>
    </row>
    <row r="62" spans="1:19" s="107" customFormat="1" ht="15.95" customHeight="1">
      <c r="A62" s="3"/>
      <c r="B62" s="108"/>
      <c r="C62" s="338"/>
      <c r="D62" s="338"/>
      <c r="E62" s="337"/>
      <c r="F62" s="337"/>
      <c r="G62" s="337"/>
      <c r="H62" s="337"/>
      <c r="I62" s="337"/>
      <c r="J62" s="337"/>
      <c r="K62" s="337"/>
      <c r="L62" s="337"/>
      <c r="N62" s="302"/>
      <c r="Q62" s="24"/>
      <c r="R62" s="24"/>
      <c r="S62" s="24"/>
    </row>
    <row r="63" spans="1:19" s="107" customFormat="1" ht="15.95" customHeight="1">
      <c r="A63" s="3"/>
      <c r="B63" s="24"/>
      <c r="C63" s="297"/>
      <c r="D63" s="297"/>
      <c r="E63" s="337"/>
      <c r="F63" s="337"/>
      <c r="G63" s="337"/>
      <c r="H63" s="337"/>
      <c r="I63" s="337"/>
      <c r="J63" s="337"/>
      <c r="K63" s="337"/>
      <c r="L63" s="337"/>
      <c r="N63" s="302"/>
      <c r="Q63" s="24"/>
      <c r="R63" s="24"/>
      <c r="S63" s="24"/>
    </row>
    <row r="64" spans="1:19" s="107" customFormat="1" ht="15.95" customHeight="1">
      <c r="A64" s="3"/>
      <c r="B64" s="22"/>
      <c r="C64" s="339"/>
      <c r="D64" s="339"/>
      <c r="E64" s="337"/>
      <c r="F64" s="337"/>
      <c r="G64" s="337"/>
      <c r="H64" s="337"/>
      <c r="I64" s="337"/>
      <c r="J64" s="337"/>
      <c r="K64" s="337"/>
      <c r="L64" s="337"/>
      <c r="N64" s="302"/>
      <c r="Q64" s="24"/>
      <c r="R64" s="24"/>
      <c r="S64" s="24"/>
    </row>
    <row r="65" spans="1:19" s="107" customFormat="1" ht="15.95" customHeight="1">
      <c r="A65" s="3"/>
      <c r="B65" s="24"/>
      <c r="C65" s="297"/>
      <c r="D65" s="297"/>
      <c r="E65" s="337"/>
      <c r="F65" s="337"/>
      <c r="G65" s="337"/>
      <c r="H65" s="337"/>
      <c r="I65" s="337"/>
      <c r="J65" s="337"/>
      <c r="K65" s="337"/>
      <c r="L65" s="337"/>
      <c r="N65" s="302"/>
      <c r="Q65" s="24"/>
      <c r="R65" s="24"/>
      <c r="S65" s="24"/>
    </row>
    <row r="66" spans="1:19" s="107" customFormat="1" ht="15.95" customHeight="1">
      <c r="A66" s="3"/>
      <c r="B66" s="24"/>
      <c r="C66" s="297"/>
      <c r="D66" s="297"/>
      <c r="E66" s="337"/>
      <c r="F66" s="337"/>
      <c r="G66" s="337"/>
      <c r="H66" s="337"/>
      <c r="I66" s="337"/>
      <c r="J66" s="337"/>
      <c r="K66" s="337"/>
      <c r="L66" s="337"/>
      <c r="N66" s="302"/>
      <c r="Q66" s="24"/>
      <c r="R66" s="24"/>
      <c r="S66" s="24"/>
    </row>
    <row r="67" spans="1:19" s="107" customFormat="1" ht="15.95" customHeight="1">
      <c r="A67" s="3"/>
      <c r="B67" s="24"/>
      <c r="C67" s="297"/>
      <c r="D67" s="297"/>
      <c r="E67" s="337"/>
      <c r="F67" s="337"/>
      <c r="G67" s="337"/>
      <c r="H67" s="337"/>
      <c r="I67" s="337"/>
      <c r="J67" s="337"/>
      <c r="K67" s="337"/>
      <c r="L67" s="337"/>
      <c r="N67" s="302"/>
      <c r="Q67" s="24"/>
      <c r="R67" s="24"/>
      <c r="S67" s="24"/>
    </row>
    <row r="68" spans="1:19" s="107" customFormat="1" ht="15.95" customHeight="1">
      <c r="A68" s="3"/>
      <c r="B68" s="24"/>
      <c r="C68" s="297"/>
      <c r="D68" s="297"/>
      <c r="E68" s="337"/>
      <c r="F68" s="337"/>
      <c r="G68" s="337"/>
      <c r="H68" s="337"/>
      <c r="I68" s="337"/>
      <c r="J68" s="337"/>
      <c r="K68" s="337"/>
      <c r="L68" s="337"/>
      <c r="N68" s="302"/>
      <c r="Q68" s="24"/>
      <c r="R68" s="24"/>
      <c r="S68" s="24"/>
    </row>
    <row r="69" spans="1:19" s="107" customFormat="1" ht="15.95" customHeight="1">
      <c r="A69" s="3"/>
      <c r="B69" s="24"/>
      <c r="C69" s="297"/>
      <c r="D69" s="297"/>
      <c r="E69" s="337"/>
      <c r="F69" s="337"/>
      <c r="G69" s="337"/>
      <c r="H69" s="337"/>
      <c r="I69" s="337"/>
      <c r="J69" s="337"/>
      <c r="K69" s="337"/>
      <c r="L69" s="337"/>
      <c r="N69" s="302"/>
      <c r="Q69" s="24"/>
      <c r="R69" s="24"/>
      <c r="S69" s="24"/>
    </row>
    <row r="70" spans="1:19" s="107" customFormat="1" ht="15.95" customHeight="1">
      <c r="A70" s="3"/>
      <c r="B70" s="24"/>
      <c r="C70" s="297"/>
      <c r="D70" s="297"/>
      <c r="E70" s="337"/>
      <c r="F70" s="337"/>
      <c r="G70" s="337"/>
      <c r="H70" s="337"/>
      <c r="I70" s="337"/>
      <c r="J70" s="337"/>
      <c r="K70" s="337"/>
      <c r="L70" s="337"/>
      <c r="N70" s="302"/>
      <c r="Q70" s="24"/>
      <c r="R70" s="24"/>
      <c r="S70" s="24"/>
    </row>
    <row r="71" spans="1:19" s="107" customFormat="1" ht="15.95" customHeight="1">
      <c r="A71" s="3"/>
      <c r="B71" s="24"/>
      <c r="C71" s="297"/>
      <c r="D71" s="297"/>
      <c r="E71" s="337"/>
      <c r="F71" s="337"/>
      <c r="G71" s="337"/>
      <c r="H71" s="337"/>
      <c r="I71" s="337"/>
      <c r="J71" s="337"/>
      <c r="K71" s="337"/>
      <c r="L71" s="337"/>
      <c r="N71" s="302"/>
      <c r="Q71" s="24"/>
      <c r="R71" s="24"/>
      <c r="S71" s="24"/>
    </row>
    <row r="72" spans="1:19" s="107" customFormat="1" ht="15.95" customHeight="1">
      <c r="A72" s="3"/>
      <c r="B72" s="24"/>
      <c r="C72" s="297"/>
      <c r="D72" s="297"/>
      <c r="E72" s="337"/>
      <c r="F72" s="337"/>
      <c r="G72" s="337"/>
      <c r="H72" s="337"/>
      <c r="I72" s="337"/>
      <c r="J72" s="337"/>
      <c r="K72" s="337"/>
      <c r="L72" s="337"/>
      <c r="N72" s="302"/>
      <c r="Q72" s="24"/>
      <c r="R72" s="24"/>
      <c r="S72" s="24"/>
    </row>
    <row r="73" spans="1:19" s="107" customFormat="1" ht="15.95" customHeight="1">
      <c r="A73" s="3"/>
      <c r="B73" s="24"/>
      <c r="C73" s="297"/>
      <c r="D73" s="297"/>
      <c r="E73" s="337"/>
      <c r="F73" s="337"/>
      <c r="G73" s="337"/>
      <c r="H73" s="337"/>
      <c r="I73" s="337"/>
      <c r="J73" s="337"/>
      <c r="K73" s="337"/>
      <c r="L73" s="337"/>
      <c r="N73" s="302"/>
      <c r="Q73" s="24"/>
      <c r="R73" s="24"/>
      <c r="S73" s="24"/>
    </row>
    <row r="74" spans="1:19" s="107" customFormat="1" ht="15.95" customHeight="1">
      <c r="A74" s="3"/>
      <c r="B74" s="24"/>
      <c r="C74" s="297"/>
      <c r="D74" s="297"/>
      <c r="E74" s="337"/>
      <c r="F74" s="337"/>
      <c r="G74" s="337"/>
      <c r="H74" s="337"/>
      <c r="I74" s="337"/>
      <c r="J74" s="337"/>
      <c r="K74" s="337"/>
      <c r="L74" s="337"/>
      <c r="N74" s="302"/>
      <c r="Q74" s="24"/>
      <c r="R74" s="24"/>
      <c r="S74" s="24"/>
    </row>
    <row r="75" spans="1:19" s="107" customFormat="1" ht="15.95" customHeight="1">
      <c r="A75" s="3"/>
      <c r="B75" s="24"/>
      <c r="C75" s="297"/>
      <c r="D75" s="297"/>
      <c r="E75" s="337"/>
      <c r="F75" s="337"/>
      <c r="G75" s="337"/>
      <c r="H75" s="337"/>
      <c r="I75" s="337"/>
      <c r="J75" s="337"/>
      <c r="K75" s="337"/>
      <c r="L75" s="337"/>
      <c r="N75" s="302"/>
      <c r="Q75" s="24"/>
      <c r="R75" s="24"/>
      <c r="S75" s="24"/>
    </row>
    <row r="76" spans="1:19" s="107" customFormat="1" ht="15.95" customHeight="1">
      <c r="A76" s="3"/>
      <c r="B76" s="24"/>
      <c r="C76" s="297"/>
      <c r="D76" s="297"/>
      <c r="E76" s="337"/>
      <c r="F76" s="337"/>
      <c r="G76" s="337"/>
      <c r="H76" s="337"/>
      <c r="I76" s="337"/>
      <c r="J76" s="337"/>
      <c r="K76" s="337"/>
      <c r="L76" s="337"/>
      <c r="N76" s="302"/>
      <c r="Q76" s="24"/>
      <c r="R76" s="24"/>
      <c r="S76" s="24"/>
    </row>
    <row r="77" spans="1:19" s="107" customFormat="1" ht="15.95" customHeight="1">
      <c r="A77" s="3"/>
      <c r="B77" s="24"/>
      <c r="C77" s="297"/>
      <c r="D77" s="297"/>
      <c r="E77" s="337"/>
      <c r="F77" s="337"/>
      <c r="G77" s="337"/>
      <c r="H77" s="337"/>
      <c r="I77" s="337"/>
      <c r="J77" s="337"/>
      <c r="K77" s="337"/>
      <c r="L77" s="337"/>
      <c r="N77" s="302"/>
      <c r="Q77" s="24"/>
      <c r="R77" s="24"/>
      <c r="S77" s="24"/>
    </row>
    <row r="78" spans="1:19" s="107" customFormat="1" ht="15.95" customHeight="1">
      <c r="A78" s="3"/>
      <c r="B78" s="24"/>
      <c r="C78" s="297"/>
      <c r="D78" s="297"/>
      <c r="E78" s="337"/>
      <c r="F78" s="337"/>
      <c r="G78" s="337"/>
      <c r="H78" s="337"/>
      <c r="I78" s="337"/>
      <c r="J78" s="337"/>
      <c r="K78" s="337"/>
      <c r="L78" s="337"/>
      <c r="N78" s="302"/>
      <c r="Q78" s="24"/>
      <c r="R78" s="24"/>
      <c r="S78" s="24"/>
    </row>
    <row r="79" spans="1:19" s="107" customFormat="1" ht="15.95" customHeight="1">
      <c r="A79" s="3"/>
      <c r="B79" s="24"/>
      <c r="C79" s="297"/>
      <c r="D79" s="297"/>
      <c r="E79" s="337"/>
      <c r="F79" s="337"/>
      <c r="G79" s="337"/>
      <c r="H79" s="337"/>
      <c r="I79" s="337"/>
      <c r="J79" s="337"/>
      <c r="K79" s="337"/>
      <c r="L79" s="337"/>
      <c r="N79" s="302"/>
      <c r="Q79" s="24"/>
      <c r="R79" s="24"/>
      <c r="S79" s="24"/>
    </row>
    <row r="80" spans="1:19" s="107" customFormat="1" ht="15.95" customHeight="1">
      <c r="A80" s="3"/>
      <c r="B80" s="24"/>
      <c r="C80" s="297"/>
      <c r="D80" s="297"/>
      <c r="E80" s="337"/>
      <c r="F80" s="337"/>
      <c r="G80" s="337"/>
      <c r="H80" s="337"/>
      <c r="I80" s="337"/>
      <c r="J80" s="337"/>
      <c r="K80" s="337"/>
      <c r="L80" s="337"/>
      <c r="N80" s="302"/>
      <c r="Q80" s="24"/>
      <c r="R80" s="24"/>
      <c r="S80" s="24"/>
    </row>
    <row r="81" spans="1:19" s="107" customFormat="1" ht="15.95" customHeight="1">
      <c r="A81" s="3"/>
      <c r="B81" s="24"/>
      <c r="C81" s="297"/>
      <c r="D81" s="297"/>
      <c r="E81" s="337"/>
      <c r="F81" s="337"/>
      <c r="G81" s="337"/>
      <c r="H81" s="337"/>
      <c r="I81" s="337"/>
      <c r="J81" s="337"/>
      <c r="K81" s="337"/>
      <c r="L81" s="337"/>
      <c r="N81" s="302"/>
      <c r="Q81" s="24"/>
      <c r="R81" s="24"/>
      <c r="S81" s="24"/>
    </row>
    <row r="82" spans="1:19" s="107" customFormat="1" ht="15.95" customHeight="1">
      <c r="A82" s="3"/>
      <c r="B82" s="24"/>
      <c r="C82" s="297"/>
      <c r="D82" s="297"/>
      <c r="E82" s="337"/>
      <c r="F82" s="337"/>
      <c r="G82" s="337"/>
      <c r="H82" s="337"/>
      <c r="I82" s="337"/>
      <c r="J82" s="337"/>
      <c r="K82" s="337"/>
      <c r="L82" s="337"/>
      <c r="N82" s="302"/>
      <c r="Q82" s="24"/>
      <c r="R82" s="24"/>
      <c r="S82" s="24"/>
    </row>
    <row r="83" spans="1:19" s="107" customFormat="1" ht="15.95" customHeight="1">
      <c r="A83" s="3"/>
      <c r="B83" s="24"/>
      <c r="C83" s="297"/>
      <c r="D83" s="297"/>
      <c r="E83" s="337"/>
      <c r="F83" s="337"/>
      <c r="G83" s="337"/>
      <c r="H83" s="337"/>
      <c r="I83" s="337"/>
      <c r="J83" s="337"/>
      <c r="K83" s="337"/>
      <c r="L83" s="337"/>
      <c r="N83" s="302"/>
      <c r="Q83" s="24"/>
      <c r="R83" s="24"/>
      <c r="S83" s="24"/>
    </row>
    <row r="84" spans="1:19" s="107" customFormat="1" ht="15.95" customHeight="1">
      <c r="A84" s="3"/>
      <c r="B84" s="24"/>
      <c r="C84" s="297"/>
      <c r="D84" s="297"/>
      <c r="E84" s="337"/>
      <c r="F84" s="337"/>
      <c r="G84" s="337"/>
      <c r="H84" s="337"/>
      <c r="I84" s="337"/>
      <c r="J84" s="337"/>
      <c r="K84" s="337"/>
      <c r="L84" s="337"/>
      <c r="N84" s="302"/>
      <c r="Q84" s="24"/>
      <c r="R84" s="24"/>
      <c r="S84" s="24"/>
    </row>
    <row r="85" spans="1:19" s="107" customFormat="1" ht="15.95" customHeight="1">
      <c r="A85" s="3"/>
      <c r="B85" s="24"/>
      <c r="C85" s="297"/>
      <c r="D85" s="297"/>
      <c r="E85" s="337"/>
      <c r="F85" s="337"/>
      <c r="G85" s="337"/>
      <c r="H85" s="337"/>
      <c r="I85" s="337"/>
      <c r="J85" s="337"/>
      <c r="K85" s="337"/>
      <c r="L85" s="337"/>
      <c r="N85" s="302"/>
      <c r="Q85" s="24"/>
      <c r="R85" s="24"/>
      <c r="S85" s="24"/>
    </row>
    <row r="86" spans="1:19" s="107" customFormat="1" ht="15.95" customHeight="1">
      <c r="A86" s="3"/>
      <c r="B86" s="24"/>
      <c r="C86" s="297"/>
      <c r="D86" s="297"/>
      <c r="E86" s="337"/>
      <c r="F86" s="337"/>
      <c r="G86" s="337"/>
      <c r="H86" s="337"/>
      <c r="I86" s="337"/>
      <c r="J86" s="337"/>
      <c r="K86" s="337"/>
      <c r="L86" s="337"/>
      <c r="N86" s="302"/>
      <c r="Q86" s="24"/>
      <c r="R86" s="24"/>
      <c r="S86" s="24"/>
    </row>
    <row r="87" spans="1:19" s="107" customFormat="1" ht="15.95" customHeight="1">
      <c r="A87" s="3"/>
      <c r="B87" s="24"/>
      <c r="C87" s="297"/>
      <c r="D87" s="297"/>
      <c r="E87" s="337"/>
      <c r="F87" s="337"/>
      <c r="G87" s="337"/>
      <c r="H87" s="337"/>
      <c r="I87" s="337"/>
      <c r="J87" s="337"/>
      <c r="K87" s="337"/>
      <c r="L87" s="337"/>
      <c r="N87" s="302"/>
      <c r="Q87" s="24"/>
      <c r="R87" s="24"/>
      <c r="S87" s="24"/>
    </row>
    <row r="88" spans="1:19" s="107" customFormat="1" ht="15.95" customHeight="1">
      <c r="A88" s="3"/>
      <c r="B88" s="24"/>
      <c r="C88" s="297"/>
      <c r="D88" s="297"/>
      <c r="E88" s="337"/>
      <c r="F88" s="337"/>
      <c r="G88" s="337"/>
      <c r="H88" s="337"/>
      <c r="I88" s="337"/>
      <c r="J88" s="337"/>
      <c r="K88" s="337"/>
      <c r="L88" s="337"/>
      <c r="N88" s="302"/>
      <c r="Q88" s="24"/>
      <c r="R88" s="24"/>
      <c r="S88" s="24"/>
    </row>
    <row r="89" spans="1:19" s="107" customFormat="1" ht="15.95" customHeight="1">
      <c r="A89" s="3"/>
      <c r="B89" s="24"/>
      <c r="C89" s="297"/>
      <c r="D89" s="297"/>
      <c r="E89" s="337"/>
      <c r="F89" s="337"/>
      <c r="G89" s="337"/>
      <c r="H89" s="337"/>
      <c r="I89" s="337"/>
      <c r="J89" s="337"/>
      <c r="K89" s="337"/>
      <c r="L89" s="337"/>
      <c r="N89" s="302"/>
      <c r="Q89" s="24"/>
      <c r="R89" s="24"/>
      <c r="S89" s="24"/>
    </row>
    <row r="90" spans="1:19" s="107" customFormat="1" ht="15.95" customHeight="1">
      <c r="A90" s="3"/>
      <c r="B90" s="24"/>
      <c r="C90" s="297"/>
      <c r="D90" s="297"/>
      <c r="E90" s="337"/>
      <c r="F90" s="337"/>
      <c r="G90" s="337"/>
      <c r="H90" s="337"/>
      <c r="I90" s="337"/>
      <c r="J90" s="337"/>
      <c r="K90" s="337"/>
      <c r="L90" s="337"/>
      <c r="N90" s="302"/>
      <c r="Q90" s="24"/>
      <c r="R90" s="24"/>
      <c r="S90" s="24"/>
    </row>
    <row r="91" spans="1:19" s="107" customFormat="1" ht="15.95" customHeight="1">
      <c r="A91" s="3"/>
      <c r="B91" s="24"/>
      <c r="C91" s="297"/>
      <c r="D91" s="297"/>
      <c r="E91" s="337"/>
      <c r="F91" s="337"/>
      <c r="G91" s="337"/>
      <c r="H91" s="337"/>
      <c r="I91" s="337"/>
      <c r="J91" s="337"/>
      <c r="K91" s="337"/>
      <c r="L91" s="337"/>
      <c r="N91" s="302"/>
      <c r="Q91" s="24"/>
      <c r="R91" s="24"/>
      <c r="S91" s="24"/>
    </row>
    <row r="92" spans="1:19" s="107" customFormat="1" ht="15.95" customHeight="1">
      <c r="A92" s="3"/>
      <c r="B92" s="24"/>
      <c r="C92" s="297"/>
      <c r="D92" s="297"/>
      <c r="E92" s="337"/>
      <c r="F92" s="337"/>
      <c r="G92" s="337"/>
      <c r="H92" s="337"/>
      <c r="I92" s="337"/>
      <c r="J92" s="337"/>
      <c r="K92" s="337"/>
      <c r="L92" s="337"/>
      <c r="N92" s="302"/>
      <c r="Q92" s="24"/>
      <c r="R92" s="24"/>
      <c r="S92" s="24"/>
    </row>
    <row r="93" spans="1:19" s="107" customFormat="1" ht="15.95" customHeight="1">
      <c r="A93" s="3"/>
      <c r="B93" s="24"/>
      <c r="C93" s="297"/>
      <c r="D93" s="297"/>
      <c r="E93" s="337"/>
      <c r="F93" s="337"/>
      <c r="G93" s="337"/>
      <c r="H93" s="337"/>
      <c r="I93" s="337"/>
      <c r="J93" s="337"/>
      <c r="K93" s="337"/>
      <c r="L93" s="337"/>
      <c r="N93" s="302"/>
      <c r="Q93" s="24"/>
      <c r="R93" s="24"/>
      <c r="S93" s="24"/>
    </row>
    <row r="94" spans="1:19" s="107" customFormat="1" ht="15.95" customHeight="1">
      <c r="A94" s="3"/>
      <c r="B94" s="24"/>
      <c r="C94" s="297"/>
      <c r="D94" s="297"/>
      <c r="E94" s="337"/>
      <c r="F94" s="337"/>
      <c r="G94" s="337"/>
      <c r="H94" s="337"/>
      <c r="I94" s="337"/>
      <c r="J94" s="337"/>
      <c r="K94" s="337"/>
      <c r="L94" s="337"/>
      <c r="N94" s="302"/>
      <c r="Q94" s="24"/>
      <c r="R94" s="24"/>
      <c r="S94" s="24"/>
    </row>
    <row r="95" spans="1:19" s="107" customFormat="1" ht="15.95" customHeight="1">
      <c r="A95" s="3"/>
      <c r="B95" s="24"/>
      <c r="C95" s="297"/>
      <c r="D95" s="297"/>
      <c r="E95" s="337"/>
      <c r="F95" s="337"/>
      <c r="G95" s="337"/>
      <c r="H95" s="337"/>
      <c r="I95" s="337"/>
      <c r="J95" s="337"/>
      <c r="K95" s="337"/>
      <c r="L95" s="337"/>
      <c r="N95" s="302"/>
      <c r="Q95" s="24"/>
      <c r="R95" s="24"/>
      <c r="S95" s="24"/>
    </row>
    <row r="96" spans="1:19" s="107" customFormat="1" ht="15.95" customHeight="1">
      <c r="A96" s="3"/>
      <c r="B96" s="24"/>
      <c r="C96" s="297"/>
      <c r="D96" s="297"/>
      <c r="E96" s="337"/>
      <c r="F96" s="337"/>
      <c r="G96" s="337"/>
      <c r="H96" s="337"/>
      <c r="I96" s="337"/>
      <c r="J96" s="337"/>
      <c r="K96" s="337"/>
      <c r="L96" s="337"/>
      <c r="N96" s="302"/>
      <c r="Q96" s="24"/>
      <c r="R96" s="24"/>
      <c r="S96" s="24"/>
    </row>
    <row r="97" spans="1:19" s="107" customFormat="1" ht="15.95" customHeight="1">
      <c r="A97" s="3"/>
      <c r="B97" s="24"/>
      <c r="C97" s="297"/>
      <c r="D97" s="297"/>
      <c r="E97" s="337"/>
      <c r="F97" s="337"/>
      <c r="G97" s="337"/>
      <c r="H97" s="337"/>
      <c r="I97" s="337"/>
      <c r="J97" s="337"/>
      <c r="K97" s="337"/>
      <c r="L97" s="337"/>
      <c r="N97" s="302"/>
      <c r="Q97" s="24"/>
      <c r="R97" s="24"/>
      <c r="S97" s="24"/>
    </row>
    <row r="98" spans="1:19" s="107" customFormat="1" ht="15.95" customHeight="1">
      <c r="A98" s="3"/>
      <c r="B98" s="24"/>
      <c r="C98" s="297"/>
      <c r="D98" s="297"/>
      <c r="E98" s="337"/>
      <c r="F98" s="337"/>
      <c r="G98" s="337"/>
      <c r="H98" s="337"/>
      <c r="I98" s="337"/>
      <c r="J98" s="337"/>
      <c r="K98" s="337"/>
      <c r="L98" s="337"/>
      <c r="N98" s="302"/>
      <c r="Q98" s="24"/>
      <c r="R98" s="24"/>
      <c r="S98" s="24"/>
    </row>
    <row r="99" spans="1:19" s="107" customFormat="1" ht="15.95" customHeight="1">
      <c r="A99" s="3"/>
      <c r="B99" s="24"/>
      <c r="C99" s="297"/>
      <c r="D99" s="297"/>
      <c r="E99" s="337"/>
      <c r="F99" s="337"/>
      <c r="G99" s="337"/>
      <c r="H99" s="337"/>
      <c r="I99" s="337"/>
      <c r="J99" s="337"/>
      <c r="K99" s="337"/>
      <c r="L99" s="337"/>
      <c r="N99" s="302"/>
      <c r="Q99" s="24"/>
      <c r="R99" s="24"/>
      <c r="S99" s="24"/>
    </row>
    <row r="100" spans="1:19" s="107" customFormat="1" ht="15.95" customHeight="1">
      <c r="A100" s="3"/>
      <c r="B100" s="24"/>
      <c r="C100" s="297"/>
      <c r="D100" s="297"/>
      <c r="E100" s="337"/>
      <c r="F100" s="337"/>
      <c r="G100" s="337"/>
      <c r="H100" s="337"/>
      <c r="I100" s="337"/>
      <c r="J100" s="337"/>
      <c r="K100" s="337"/>
      <c r="L100" s="337"/>
      <c r="N100" s="302"/>
      <c r="Q100" s="24"/>
      <c r="R100" s="24"/>
      <c r="S100" s="24"/>
    </row>
    <row r="101" spans="1:19" s="107" customFormat="1" ht="15.95" customHeight="1">
      <c r="A101" s="3"/>
      <c r="B101" s="24"/>
      <c r="C101" s="297"/>
      <c r="D101" s="297"/>
      <c r="E101" s="337"/>
      <c r="F101" s="337"/>
      <c r="G101" s="337"/>
      <c r="H101" s="337"/>
      <c r="I101" s="337"/>
      <c r="J101" s="337"/>
      <c r="K101" s="337"/>
      <c r="L101" s="337"/>
      <c r="N101" s="302"/>
      <c r="Q101" s="24"/>
      <c r="R101" s="24"/>
      <c r="S101" s="24"/>
    </row>
    <row r="102" spans="1:19" s="107" customFormat="1" ht="15.95" customHeight="1">
      <c r="A102" s="3"/>
      <c r="B102" s="24"/>
      <c r="C102" s="297"/>
      <c r="D102" s="297"/>
      <c r="E102" s="337"/>
      <c r="F102" s="337"/>
      <c r="G102" s="337"/>
      <c r="H102" s="337"/>
      <c r="I102" s="337"/>
      <c r="J102" s="337"/>
      <c r="K102" s="337"/>
      <c r="L102" s="337"/>
      <c r="N102" s="302"/>
      <c r="Q102" s="24"/>
      <c r="R102" s="24"/>
      <c r="S102" s="24"/>
    </row>
    <row r="103" spans="1:19" s="107" customFormat="1" ht="15.95" customHeight="1">
      <c r="A103" s="3"/>
      <c r="B103" s="24"/>
      <c r="C103" s="297"/>
      <c r="D103" s="297"/>
      <c r="E103" s="337"/>
      <c r="F103" s="337"/>
      <c r="G103" s="337"/>
      <c r="H103" s="337"/>
      <c r="I103" s="337"/>
      <c r="J103" s="337"/>
      <c r="K103" s="337"/>
      <c r="L103" s="337"/>
      <c r="N103" s="302"/>
      <c r="Q103" s="24"/>
      <c r="R103" s="24"/>
      <c r="S103" s="24"/>
    </row>
    <row r="104" spans="1:19" s="107" customFormat="1" ht="15.95" customHeight="1">
      <c r="A104" s="3"/>
      <c r="B104" s="24"/>
      <c r="C104" s="297"/>
      <c r="D104" s="297"/>
      <c r="E104" s="337"/>
      <c r="F104" s="337"/>
      <c r="G104" s="337"/>
      <c r="H104" s="337"/>
      <c r="I104" s="337"/>
      <c r="J104" s="337"/>
      <c r="K104" s="337"/>
      <c r="L104" s="337"/>
      <c r="N104" s="302"/>
      <c r="Q104" s="24"/>
      <c r="R104" s="24"/>
      <c r="S104" s="24"/>
    </row>
    <row r="105" spans="1:19" s="107" customFormat="1" ht="15.95" customHeight="1">
      <c r="A105" s="3"/>
      <c r="B105" s="24"/>
      <c r="C105" s="297"/>
      <c r="D105" s="297"/>
      <c r="E105" s="337"/>
      <c r="F105" s="337"/>
      <c r="G105" s="337"/>
      <c r="H105" s="337"/>
      <c r="I105" s="337"/>
      <c r="J105" s="337"/>
      <c r="K105" s="337"/>
      <c r="L105" s="337"/>
      <c r="N105" s="302"/>
      <c r="Q105" s="24"/>
      <c r="R105" s="24"/>
      <c r="S105" s="24"/>
    </row>
    <row r="106" spans="1:19" s="107" customFormat="1" ht="15.95" customHeight="1">
      <c r="A106" s="3"/>
      <c r="B106" s="24"/>
      <c r="C106" s="297"/>
      <c r="D106" s="297"/>
      <c r="E106" s="337"/>
      <c r="F106" s="337"/>
      <c r="G106" s="337"/>
      <c r="H106" s="337"/>
      <c r="I106" s="337"/>
      <c r="J106" s="337"/>
      <c r="K106" s="337"/>
      <c r="L106" s="337"/>
      <c r="N106" s="302"/>
      <c r="Q106" s="24"/>
      <c r="R106" s="24"/>
      <c r="S106" s="24"/>
    </row>
    <row r="107" spans="1:19" s="107" customFormat="1" ht="15.95" customHeight="1">
      <c r="A107" s="3"/>
      <c r="B107" s="24"/>
      <c r="C107" s="297"/>
      <c r="D107" s="297"/>
      <c r="E107" s="337"/>
      <c r="F107" s="337"/>
      <c r="G107" s="337"/>
      <c r="H107" s="337"/>
      <c r="I107" s="337"/>
      <c r="J107" s="337"/>
      <c r="K107" s="337"/>
      <c r="L107" s="337"/>
      <c r="N107" s="302"/>
      <c r="Q107" s="24"/>
      <c r="R107" s="24"/>
      <c r="S107" s="24"/>
    </row>
    <row r="108" spans="1:19" s="107" customFormat="1" ht="15.95" customHeight="1">
      <c r="A108" s="3"/>
      <c r="B108" s="24"/>
      <c r="C108" s="297"/>
      <c r="D108" s="297"/>
      <c r="E108" s="337"/>
      <c r="F108" s="337"/>
      <c r="G108" s="337"/>
      <c r="H108" s="337"/>
      <c r="I108" s="337"/>
      <c r="J108" s="337"/>
      <c r="K108" s="337"/>
      <c r="L108" s="337"/>
      <c r="N108" s="302"/>
      <c r="Q108" s="24"/>
      <c r="R108" s="24"/>
      <c r="S108" s="24"/>
    </row>
    <row r="109" spans="1:19" s="107" customFormat="1" ht="15.95" customHeight="1">
      <c r="A109" s="3"/>
      <c r="B109" s="24"/>
      <c r="C109" s="297"/>
      <c r="D109" s="297"/>
      <c r="E109" s="337"/>
      <c r="F109" s="337"/>
      <c r="G109" s="337"/>
      <c r="H109" s="337"/>
      <c r="I109" s="337"/>
      <c r="J109" s="337"/>
      <c r="K109" s="337"/>
      <c r="L109" s="337"/>
      <c r="N109" s="302"/>
      <c r="Q109" s="24"/>
      <c r="R109" s="24"/>
      <c r="S109" s="24"/>
    </row>
    <row r="110" spans="1:19" s="107" customFormat="1" ht="15.95" customHeight="1">
      <c r="A110" s="3"/>
      <c r="B110" s="24"/>
      <c r="C110" s="297"/>
      <c r="D110" s="297"/>
      <c r="E110" s="337"/>
      <c r="F110" s="337"/>
      <c r="G110" s="337"/>
      <c r="H110" s="337"/>
      <c r="I110" s="337"/>
      <c r="J110" s="337"/>
      <c r="K110" s="337"/>
      <c r="L110" s="337"/>
      <c r="N110" s="302"/>
      <c r="Q110" s="24"/>
      <c r="R110" s="24"/>
      <c r="S110" s="24"/>
    </row>
    <row r="111" spans="1:19" s="107" customFormat="1" ht="15.95" customHeight="1">
      <c r="A111" s="3"/>
      <c r="B111" s="24"/>
      <c r="C111" s="297"/>
      <c r="D111" s="297"/>
      <c r="E111" s="337"/>
      <c r="F111" s="337"/>
      <c r="G111" s="337"/>
      <c r="H111" s="337"/>
      <c r="I111" s="337"/>
      <c r="J111" s="337"/>
      <c r="K111" s="337"/>
      <c r="L111" s="337"/>
      <c r="N111" s="302"/>
      <c r="Q111" s="24"/>
      <c r="R111" s="24"/>
      <c r="S111" s="24"/>
    </row>
    <row r="112" spans="1:19" s="107" customFormat="1" ht="15.95" customHeight="1">
      <c r="A112" s="3"/>
      <c r="B112" s="24"/>
      <c r="C112" s="297"/>
      <c r="D112" s="297"/>
      <c r="E112" s="337"/>
      <c r="F112" s="337"/>
      <c r="G112" s="337"/>
      <c r="H112" s="337"/>
      <c r="I112" s="337"/>
      <c r="J112" s="337"/>
      <c r="K112" s="337"/>
      <c r="L112" s="337"/>
      <c r="N112" s="302"/>
      <c r="Q112" s="24"/>
      <c r="R112" s="24"/>
      <c r="S112" s="24"/>
    </row>
    <row r="113" spans="1:19" s="107" customFormat="1" ht="15.95" customHeight="1">
      <c r="A113" s="3"/>
      <c r="B113" s="24"/>
      <c r="C113" s="297"/>
      <c r="D113" s="297"/>
      <c r="E113" s="337"/>
      <c r="F113" s="337"/>
      <c r="G113" s="337"/>
      <c r="H113" s="337"/>
      <c r="I113" s="337"/>
      <c r="J113" s="337"/>
      <c r="K113" s="337"/>
      <c r="L113" s="337"/>
      <c r="N113" s="302"/>
      <c r="Q113" s="24"/>
      <c r="R113" s="24"/>
      <c r="S113" s="24"/>
    </row>
    <row r="114" spans="1:19" s="107" customFormat="1" ht="15.95" customHeight="1">
      <c r="A114" s="3"/>
      <c r="B114" s="24"/>
      <c r="C114" s="297"/>
      <c r="D114" s="297"/>
      <c r="E114" s="337"/>
      <c r="F114" s="337"/>
      <c r="G114" s="337"/>
      <c r="H114" s="337"/>
      <c r="I114" s="337"/>
      <c r="J114" s="337"/>
      <c r="K114" s="337"/>
      <c r="L114" s="337"/>
      <c r="N114" s="302"/>
      <c r="Q114" s="24"/>
      <c r="R114" s="24"/>
      <c r="S114" s="24"/>
    </row>
    <row r="115" spans="1:19" s="107" customFormat="1" ht="15.95" customHeight="1">
      <c r="A115" s="3"/>
      <c r="B115" s="24"/>
      <c r="C115" s="297"/>
      <c r="D115" s="297"/>
      <c r="E115" s="337"/>
      <c r="F115" s="337"/>
      <c r="G115" s="337"/>
      <c r="H115" s="337"/>
      <c r="I115" s="337"/>
      <c r="J115" s="337"/>
      <c r="K115" s="337"/>
      <c r="L115" s="337"/>
      <c r="N115" s="302"/>
      <c r="Q115" s="24"/>
      <c r="R115" s="24"/>
      <c r="S115" s="24"/>
    </row>
    <row r="116" spans="1:19" s="107" customFormat="1" ht="15.95" customHeight="1">
      <c r="A116" s="3"/>
      <c r="B116" s="24"/>
      <c r="C116" s="297"/>
      <c r="D116" s="297"/>
      <c r="E116" s="337"/>
      <c r="F116" s="337"/>
      <c r="G116" s="337"/>
      <c r="H116" s="337"/>
      <c r="I116" s="337"/>
      <c r="J116" s="337"/>
      <c r="K116" s="337"/>
      <c r="L116" s="337"/>
      <c r="N116" s="302"/>
      <c r="Q116" s="24"/>
      <c r="R116" s="24"/>
      <c r="S116" s="24"/>
    </row>
    <row r="117" spans="1:19" s="107" customFormat="1" ht="15.95" customHeight="1">
      <c r="A117" s="3"/>
      <c r="B117" s="24"/>
      <c r="C117" s="297"/>
      <c r="D117" s="297"/>
      <c r="E117" s="337"/>
      <c r="F117" s="337"/>
      <c r="G117" s="337"/>
      <c r="H117" s="337"/>
      <c r="I117" s="337"/>
      <c r="J117" s="337"/>
      <c r="K117" s="337"/>
      <c r="L117" s="337"/>
      <c r="N117" s="302"/>
      <c r="Q117" s="24"/>
      <c r="R117" s="24"/>
      <c r="S117" s="24"/>
    </row>
    <row r="118" spans="1:19" s="107" customFormat="1" ht="15.95" customHeight="1">
      <c r="A118" s="3"/>
      <c r="B118" s="24"/>
      <c r="C118" s="297"/>
      <c r="D118" s="297"/>
      <c r="E118" s="337"/>
      <c r="F118" s="337"/>
      <c r="G118" s="337"/>
      <c r="H118" s="337"/>
      <c r="I118" s="337"/>
      <c r="J118" s="337"/>
      <c r="K118" s="337"/>
      <c r="L118" s="337"/>
      <c r="N118" s="302"/>
      <c r="Q118" s="24"/>
      <c r="R118" s="24"/>
      <c r="S118" s="24"/>
    </row>
    <row r="119" spans="1:19" s="107" customFormat="1" ht="15.95" customHeight="1">
      <c r="A119" s="3"/>
      <c r="B119" s="24"/>
      <c r="C119" s="297"/>
      <c r="D119" s="297"/>
      <c r="E119" s="337"/>
      <c r="F119" s="337"/>
      <c r="G119" s="337"/>
      <c r="H119" s="337"/>
      <c r="I119" s="337"/>
      <c r="J119" s="337"/>
      <c r="K119" s="337"/>
      <c r="L119" s="337"/>
      <c r="N119" s="302"/>
      <c r="Q119" s="24"/>
      <c r="R119" s="24"/>
      <c r="S119" s="24"/>
    </row>
    <row r="120" spans="1:19" s="107" customFormat="1" ht="15.95" customHeight="1">
      <c r="A120" s="3"/>
      <c r="B120" s="24"/>
      <c r="C120" s="297"/>
      <c r="D120" s="297"/>
      <c r="E120" s="337"/>
      <c r="F120" s="337"/>
      <c r="G120" s="337"/>
      <c r="H120" s="337"/>
      <c r="I120" s="337"/>
      <c r="J120" s="337"/>
      <c r="K120" s="337"/>
      <c r="L120" s="337"/>
      <c r="N120" s="302"/>
      <c r="Q120" s="24"/>
      <c r="R120" s="24"/>
      <c r="S120" s="24"/>
    </row>
    <row r="121" spans="1:19" s="107" customFormat="1" ht="15.95" customHeight="1">
      <c r="A121" s="3"/>
      <c r="B121" s="24"/>
      <c r="C121" s="297"/>
      <c r="D121" s="297"/>
      <c r="E121" s="337"/>
      <c r="F121" s="337"/>
      <c r="G121" s="337"/>
      <c r="H121" s="337"/>
      <c r="I121" s="337"/>
      <c r="J121" s="337"/>
      <c r="K121" s="337"/>
      <c r="L121" s="337"/>
      <c r="N121" s="302"/>
      <c r="Q121" s="24"/>
      <c r="R121" s="24"/>
      <c r="S121" s="24"/>
    </row>
    <row r="122" spans="1:19" s="107" customFormat="1" ht="15.95" customHeight="1">
      <c r="A122" s="3"/>
      <c r="B122" s="24"/>
      <c r="C122" s="297"/>
      <c r="D122" s="297"/>
      <c r="E122" s="337"/>
      <c r="F122" s="337"/>
      <c r="G122" s="337"/>
      <c r="H122" s="337"/>
      <c r="I122" s="337"/>
      <c r="J122" s="337"/>
      <c r="K122" s="337"/>
      <c r="L122" s="337"/>
      <c r="N122" s="302"/>
      <c r="Q122" s="24"/>
      <c r="R122" s="24"/>
      <c r="S122" s="24"/>
    </row>
    <row r="123" spans="1:19" s="107" customFormat="1" ht="15.95" customHeight="1">
      <c r="A123" s="3"/>
      <c r="B123" s="24"/>
      <c r="C123" s="297"/>
      <c r="D123" s="297"/>
      <c r="E123" s="337"/>
      <c r="F123" s="337"/>
      <c r="G123" s="340"/>
      <c r="H123" s="337"/>
      <c r="I123" s="337"/>
      <c r="J123" s="337"/>
      <c r="K123" s="337"/>
      <c r="L123" s="337"/>
      <c r="N123" s="302"/>
      <c r="Q123" s="24"/>
      <c r="R123" s="24"/>
      <c r="S123" s="24"/>
    </row>
    <row r="124" spans="1:19" s="107" customFormat="1" ht="15.95" customHeight="1">
      <c r="A124" s="3"/>
      <c r="B124" s="24"/>
      <c r="C124" s="297"/>
      <c r="D124" s="297"/>
      <c r="E124" s="337"/>
      <c r="F124" s="337"/>
      <c r="G124" s="337"/>
      <c r="H124" s="337"/>
      <c r="I124" s="337"/>
      <c r="J124" s="337"/>
      <c r="K124" s="337"/>
      <c r="L124" s="337"/>
      <c r="N124" s="302"/>
      <c r="Q124" s="24"/>
      <c r="R124" s="24"/>
      <c r="S124" s="24"/>
    </row>
    <row r="125" spans="1:19" s="107" customFormat="1" ht="15.95" customHeight="1">
      <c r="A125" s="3"/>
      <c r="B125" s="24"/>
      <c r="C125" s="297"/>
      <c r="D125" s="297"/>
      <c r="E125" s="337"/>
      <c r="F125" s="337"/>
      <c r="G125" s="337"/>
      <c r="H125" s="337"/>
      <c r="I125" s="337"/>
      <c r="J125" s="337"/>
      <c r="K125" s="337"/>
      <c r="L125" s="337"/>
      <c r="N125" s="302"/>
      <c r="Q125" s="24"/>
      <c r="R125" s="24"/>
      <c r="S125" s="24"/>
    </row>
    <row r="126" spans="1:19" s="107" customFormat="1" ht="15.95" customHeight="1">
      <c r="A126" s="3"/>
      <c r="B126" s="24"/>
      <c r="C126" s="297"/>
      <c r="D126" s="297"/>
      <c r="E126" s="337"/>
      <c r="F126" s="337"/>
      <c r="G126" s="337"/>
      <c r="H126" s="337"/>
      <c r="I126" s="337"/>
      <c r="J126" s="337"/>
      <c r="K126" s="337"/>
      <c r="L126" s="337"/>
      <c r="N126" s="302"/>
      <c r="Q126" s="24"/>
      <c r="R126" s="24"/>
      <c r="S126" s="24"/>
    </row>
    <row r="127" spans="1:19" s="107" customFormat="1" ht="15.95" customHeight="1">
      <c r="A127" s="3"/>
      <c r="B127" s="24"/>
      <c r="C127" s="297"/>
      <c r="D127" s="297"/>
      <c r="E127" s="337"/>
      <c r="F127" s="337"/>
      <c r="G127" s="337"/>
      <c r="H127" s="337"/>
      <c r="I127" s="337"/>
      <c r="J127" s="337"/>
      <c r="K127" s="337"/>
      <c r="L127" s="337"/>
      <c r="N127" s="302"/>
      <c r="Q127" s="24"/>
      <c r="R127" s="24"/>
      <c r="S127" s="24"/>
    </row>
    <row r="128" spans="1:19" s="107" customFormat="1" ht="15.95" customHeight="1">
      <c r="A128" s="3"/>
      <c r="B128" s="24"/>
      <c r="C128" s="297"/>
      <c r="D128" s="297"/>
      <c r="E128" s="337"/>
      <c r="F128" s="337"/>
      <c r="G128" s="341"/>
      <c r="H128" s="337"/>
      <c r="I128" s="337"/>
      <c r="J128" s="337"/>
      <c r="K128" s="337"/>
      <c r="L128" s="337"/>
      <c r="N128" s="302"/>
      <c r="Q128" s="24"/>
      <c r="R128" s="24"/>
      <c r="S128" s="24"/>
    </row>
    <row r="129" spans="1:19" s="107" customFormat="1" ht="15.95" customHeight="1">
      <c r="A129" s="3"/>
      <c r="B129" s="24"/>
      <c r="C129" s="297"/>
      <c r="D129" s="297"/>
      <c r="E129" s="337"/>
      <c r="F129" s="337"/>
      <c r="G129" s="337"/>
      <c r="H129" s="337"/>
      <c r="I129" s="337"/>
      <c r="J129" s="337"/>
      <c r="K129" s="337"/>
      <c r="L129" s="337"/>
      <c r="N129" s="302"/>
      <c r="Q129" s="24"/>
      <c r="R129" s="24"/>
      <c r="S129" s="24"/>
    </row>
    <row r="130" spans="1:19" s="107" customFormat="1" ht="15.95" customHeight="1">
      <c r="A130" s="3"/>
      <c r="B130" s="24"/>
      <c r="C130" s="297"/>
      <c r="D130" s="297"/>
      <c r="E130" s="337"/>
      <c r="F130" s="337"/>
      <c r="G130" s="337"/>
      <c r="H130" s="337"/>
      <c r="I130" s="337"/>
      <c r="J130" s="337"/>
      <c r="K130" s="337"/>
      <c r="L130" s="337"/>
      <c r="N130" s="302"/>
      <c r="Q130" s="24"/>
      <c r="R130" s="24"/>
      <c r="S130" s="24"/>
    </row>
    <row r="131" spans="1:19" s="107" customFormat="1" ht="15.95" customHeight="1">
      <c r="A131" s="3"/>
      <c r="B131" s="24"/>
      <c r="C131" s="297"/>
      <c r="D131" s="297"/>
      <c r="E131" s="337"/>
      <c r="F131" s="337"/>
      <c r="G131" s="337"/>
      <c r="H131" s="337"/>
      <c r="I131" s="337"/>
      <c r="J131" s="337"/>
      <c r="K131" s="337"/>
      <c r="L131" s="337"/>
      <c r="N131" s="302"/>
      <c r="Q131" s="24"/>
      <c r="R131" s="24"/>
      <c r="S131" s="24"/>
    </row>
    <row r="132" spans="1:19" s="107" customFormat="1" ht="15.95" customHeight="1">
      <c r="A132" s="3"/>
      <c r="B132" s="24"/>
      <c r="C132" s="297"/>
      <c r="D132" s="297"/>
      <c r="H132" s="337"/>
      <c r="I132" s="337"/>
      <c r="J132" s="337"/>
      <c r="K132" s="337"/>
      <c r="L132" s="337"/>
      <c r="N132" s="302"/>
      <c r="Q132" s="24"/>
      <c r="R132" s="24"/>
      <c r="S132" s="24"/>
    </row>
    <row r="133" spans="1:19" s="107" customFormat="1" ht="15.95" customHeight="1">
      <c r="A133" s="3"/>
      <c r="B133" s="24"/>
      <c r="C133" s="297"/>
      <c r="D133" s="297"/>
      <c r="E133" s="337"/>
      <c r="F133" s="337"/>
      <c r="G133" s="337"/>
      <c r="H133" s="337"/>
      <c r="I133" s="337"/>
      <c r="J133" s="337"/>
      <c r="K133" s="337"/>
      <c r="L133" s="337"/>
      <c r="N133" s="302"/>
      <c r="Q133" s="24"/>
      <c r="R133" s="24"/>
      <c r="S133" s="24"/>
    </row>
    <row r="134" spans="1:19" s="107" customFormat="1" ht="15.95" customHeight="1">
      <c r="A134" s="3"/>
      <c r="B134" s="24"/>
      <c r="C134" s="297"/>
      <c r="D134" s="297"/>
      <c r="E134" s="337"/>
      <c r="F134" s="337"/>
      <c r="G134" s="337"/>
      <c r="H134" s="337"/>
      <c r="I134" s="337"/>
      <c r="J134" s="337"/>
      <c r="K134" s="337"/>
      <c r="L134" s="337"/>
      <c r="N134" s="302"/>
      <c r="Q134" s="24"/>
      <c r="R134" s="24"/>
      <c r="S134" s="24"/>
    </row>
    <row r="135" spans="1:19" s="107" customFormat="1" ht="15.95" customHeight="1">
      <c r="A135" s="3"/>
      <c r="B135" s="24"/>
      <c r="C135" s="297"/>
      <c r="D135" s="297"/>
      <c r="E135" s="337"/>
      <c r="F135" s="337"/>
      <c r="G135" s="337"/>
      <c r="H135" s="337"/>
      <c r="I135" s="337"/>
      <c r="J135" s="337"/>
      <c r="K135" s="337"/>
      <c r="L135" s="337"/>
      <c r="N135" s="302"/>
      <c r="Q135" s="24"/>
      <c r="R135" s="24"/>
      <c r="S135" s="24"/>
    </row>
    <row r="136" spans="1:19" s="107" customFormat="1" ht="15.95" customHeight="1">
      <c r="A136" s="3"/>
      <c r="B136" s="24"/>
      <c r="C136" s="297"/>
      <c r="D136" s="297"/>
      <c r="E136" s="337"/>
      <c r="F136" s="337"/>
      <c r="G136" s="337"/>
      <c r="H136" s="337"/>
      <c r="I136" s="337"/>
      <c r="J136" s="337"/>
      <c r="K136" s="337"/>
      <c r="L136" s="337"/>
      <c r="N136" s="302"/>
      <c r="Q136" s="24"/>
      <c r="R136" s="24"/>
      <c r="S136" s="24"/>
    </row>
    <row r="137" spans="1:19" s="107" customFormat="1" ht="15.95" customHeight="1">
      <c r="A137" s="3"/>
      <c r="B137" s="24"/>
      <c r="C137" s="297"/>
      <c r="D137" s="297"/>
      <c r="E137" s="337"/>
      <c r="F137" s="337"/>
      <c r="G137" s="337"/>
      <c r="H137" s="337"/>
      <c r="I137" s="337"/>
      <c r="J137" s="337"/>
      <c r="K137" s="337"/>
      <c r="L137" s="337"/>
      <c r="N137" s="302"/>
      <c r="Q137" s="24"/>
      <c r="R137" s="24"/>
      <c r="S137" s="24"/>
    </row>
    <row r="138" spans="1:19" s="107" customFormat="1" ht="15.95" customHeight="1">
      <c r="A138" s="3"/>
      <c r="B138" s="24"/>
      <c r="C138" s="297"/>
      <c r="D138" s="297"/>
      <c r="E138" s="337"/>
      <c r="F138" s="337"/>
      <c r="G138" s="337"/>
      <c r="H138" s="337"/>
      <c r="I138" s="337"/>
      <c r="J138" s="337"/>
      <c r="K138" s="337"/>
      <c r="L138" s="337"/>
      <c r="N138" s="302"/>
      <c r="Q138" s="24"/>
      <c r="R138" s="24"/>
      <c r="S138" s="24"/>
    </row>
    <row r="139" spans="1:19" s="107" customFormat="1" ht="15.95" customHeight="1">
      <c r="A139" s="3"/>
      <c r="B139" s="24"/>
      <c r="C139" s="297"/>
      <c r="D139" s="297"/>
      <c r="E139" s="337"/>
      <c r="F139" s="337"/>
      <c r="G139" s="337"/>
      <c r="H139" s="337"/>
      <c r="I139" s="337"/>
      <c r="J139" s="337"/>
      <c r="K139" s="337"/>
      <c r="L139" s="337"/>
      <c r="N139" s="302"/>
      <c r="Q139" s="24"/>
      <c r="R139" s="24"/>
      <c r="S139" s="24"/>
    </row>
    <row r="140" spans="1:19" s="107" customFormat="1" ht="15.95" customHeight="1">
      <c r="A140" s="3"/>
      <c r="B140" s="24"/>
      <c r="C140" s="297"/>
      <c r="D140" s="297"/>
      <c r="E140" s="337"/>
      <c r="F140" s="337"/>
      <c r="G140" s="337"/>
      <c r="H140" s="337"/>
      <c r="I140" s="337"/>
      <c r="J140" s="337"/>
      <c r="K140" s="337"/>
      <c r="L140" s="337"/>
      <c r="N140" s="302"/>
      <c r="Q140" s="24"/>
      <c r="R140" s="24"/>
      <c r="S140" s="24"/>
    </row>
    <row r="141" spans="1:19" s="107" customFormat="1" ht="15.95" customHeight="1">
      <c r="A141" s="3"/>
      <c r="B141" s="24"/>
      <c r="C141" s="297"/>
      <c r="D141" s="297"/>
      <c r="E141" s="337"/>
      <c r="F141" s="337"/>
      <c r="G141" s="337"/>
      <c r="H141" s="337"/>
      <c r="I141" s="337"/>
      <c r="J141" s="337"/>
      <c r="K141" s="337"/>
      <c r="L141" s="337"/>
      <c r="N141" s="302"/>
      <c r="Q141" s="24"/>
      <c r="R141" s="24"/>
      <c r="S141" s="24"/>
    </row>
    <row r="142" spans="1:19" s="107" customFormat="1" ht="15.95" customHeight="1">
      <c r="A142" s="3"/>
      <c r="B142" s="24"/>
      <c r="C142" s="297"/>
      <c r="D142" s="297"/>
      <c r="E142" s="337"/>
      <c r="F142" s="337"/>
      <c r="G142" s="337"/>
      <c r="H142" s="337"/>
      <c r="I142" s="337"/>
      <c r="J142" s="337"/>
      <c r="K142" s="337"/>
      <c r="L142" s="337"/>
      <c r="N142" s="302"/>
      <c r="Q142" s="24"/>
      <c r="R142" s="24"/>
      <c r="S142" s="24"/>
    </row>
    <row r="143" spans="1:19" s="107" customFormat="1" ht="15.95" customHeight="1">
      <c r="A143" s="3"/>
      <c r="B143" s="24"/>
      <c r="C143" s="297"/>
      <c r="D143" s="297"/>
      <c r="E143" s="337"/>
      <c r="F143" s="337"/>
      <c r="G143" s="337"/>
      <c r="H143" s="337"/>
      <c r="I143" s="337"/>
      <c r="J143" s="337"/>
      <c r="K143" s="337"/>
      <c r="L143" s="337"/>
      <c r="N143" s="302"/>
      <c r="Q143" s="24"/>
      <c r="R143" s="24"/>
      <c r="S143" s="24"/>
    </row>
    <row r="144" spans="1:19" s="107" customFormat="1" ht="15.95" customHeight="1">
      <c r="A144" s="3"/>
      <c r="B144" s="24"/>
      <c r="C144" s="297"/>
      <c r="D144" s="297"/>
      <c r="E144" s="337"/>
      <c r="F144" s="337"/>
      <c r="G144" s="337"/>
      <c r="H144" s="337"/>
      <c r="I144" s="337"/>
      <c r="J144" s="337"/>
      <c r="K144" s="337"/>
      <c r="L144" s="337"/>
      <c r="N144" s="302"/>
      <c r="Q144" s="24"/>
      <c r="R144" s="24"/>
      <c r="S144" s="24"/>
    </row>
    <row r="145" spans="1:19" s="107" customFormat="1" ht="15.95" customHeight="1">
      <c r="A145" s="3"/>
      <c r="B145" s="24"/>
      <c r="C145" s="297"/>
      <c r="D145" s="297"/>
      <c r="E145" s="337"/>
      <c r="F145" s="337"/>
      <c r="G145" s="337"/>
      <c r="H145" s="337"/>
      <c r="I145" s="337"/>
      <c r="J145" s="337"/>
      <c r="K145" s="337"/>
      <c r="L145" s="337"/>
      <c r="N145" s="302"/>
      <c r="Q145" s="24"/>
      <c r="R145" s="24"/>
      <c r="S145" s="24"/>
    </row>
    <row r="146" spans="1:19" s="107" customFormat="1" ht="15.95" customHeight="1">
      <c r="A146" s="3"/>
      <c r="B146" s="24"/>
      <c r="C146" s="297"/>
      <c r="D146" s="297"/>
      <c r="E146" s="337"/>
      <c r="F146" s="337"/>
      <c r="G146" s="337"/>
      <c r="H146" s="337"/>
      <c r="I146" s="337"/>
      <c r="J146" s="337"/>
      <c r="K146" s="337"/>
      <c r="L146" s="337"/>
      <c r="N146" s="302"/>
      <c r="Q146" s="24"/>
      <c r="R146" s="24"/>
      <c r="S146" s="24"/>
    </row>
    <row r="147" spans="1:19" s="107" customFormat="1" ht="15.95" customHeight="1">
      <c r="A147" s="3"/>
      <c r="B147" s="24"/>
      <c r="C147" s="297"/>
      <c r="D147" s="297"/>
      <c r="E147" s="337"/>
      <c r="F147" s="337"/>
      <c r="G147" s="337"/>
      <c r="H147" s="337"/>
      <c r="I147" s="337"/>
      <c r="J147" s="337"/>
      <c r="K147" s="337"/>
      <c r="L147" s="337"/>
      <c r="N147" s="302"/>
      <c r="Q147" s="24"/>
      <c r="R147" s="24"/>
      <c r="S147" s="24"/>
    </row>
    <row r="148" spans="1:19" s="107" customFormat="1" ht="15.95" customHeight="1">
      <c r="A148" s="3"/>
      <c r="B148" s="24"/>
      <c r="C148" s="297"/>
      <c r="D148" s="297"/>
      <c r="E148" s="337"/>
      <c r="F148" s="337"/>
      <c r="G148" s="337"/>
      <c r="H148" s="337"/>
      <c r="I148" s="337"/>
      <c r="J148" s="337"/>
      <c r="K148" s="337"/>
      <c r="L148" s="337"/>
      <c r="N148" s="302"/>
      <c r="Q148" s="24"/>
      <c r="R148" s="24"/>
      <c r="S148" s="24"/>
    </row>
    <row r="149" spans="1:19" s="107" customFormat="1" ht="15.95" customHeight="1">
      <c r="A149" s="3"/>
      <c r="B149" s="24"/>
      <c r="C149" s="297"/>
      <c r="D149" s="297"/>
      <c r="E149" s="337"/>
      <c r="F149" s="337"/>
      <c r="G149" s="337"/>
      <c r="H149" s="337"/>
      <c r="I149" s="337"/>
      <c r="J149" s="337"/>
      <c r="K149" s="337"/>
      <c r="L149" s="337"/>
      <c r="N149" s="302"/>
      <c r="Q149" s="24"/>
      <c r="R149" s="24"/>
      <c r="S149" s="24"/>
    </row>
    <row r="150" spans="1:19" s="107" customFormat="1" ht="15.95" customHeight="1">
      <c r="A150" s="3"/>
      <c r="B150" s="24"/>
      <c r="C150" s="297"/>
      <c r="D150" s="297"/>
      <c r="E150" s="337"/>
      <c r="F150" s="337"/>
      <c r="G150" s="337"/>
      <c r="H150" s="337"/>
      <c r="I150" s="337"/>
      <c r="J150" s="337"/>
      <c r="K150" s="337"/>
      <c r="L150" s="337"/>
      <c r="N150" s="302"/>
      <c r="Q150" s="24"/>
      <c r="R150" s="24"/>
      <c r="S150" s="24"/>
    </row>
    <row r="151" spans="1:19" s="107" customFormat="1" ht="15.95" customHeight="1">
      <c r="A151" s="3"/>
      <c r="B151" s="24"/>
      <c r="C151" s="297"/>
      <c r="D151" s="297"/>
      <c r="E151" s="337"/>
      <c r="F151" s="337"/>
      <c r="G151" s="337"/>
      <c r="H151" s="337"/>
      <c r="I151" s="337"/>
      <c r="J151" s="337"/>
      <c r="K151" s="337"/>
      <c r="L151" s="337"/>
      <c r="N151" s="302"/>
      <c r="Q151" s="24"/>
      <c r="R151" s="24"/>
      <c r="S151" s="24"/>
    </row>
    <row r="152" spans="1:19" s="107" customFormat="1" ht="15.95" customHeight="1">
      <c r="A152" s="3"/>
      <c r="B152" s="24"/>
      <c r="C152" s="297"/>
      <c r="D152" s="297"/>
      <c r="E152" s="337"/>
      <c r="F152" s="337"/>
      <c r="G152" s="337"/>
      <c r="H152" s="337"/>
      <c r="I152" s="337"/>
      <c r="J152" s="337"/>
      <c r="K152" s="337"/>
      <c r="L152" s="337"/>
      <c r="N152" s="302"/>
      <c r="Q152" s="24"/>
      <c r="R152" s="24"/>
      <c r="S152" s="24"/>
    </row>
    <row r="153" spans="1:19" s="107" customFormat="1" ht="15.95" customHeight="1">
      <c r="A153" s="3"/>
      <c r="B153" s="24"/>
      <c r="C153" s="297"/>
      <c r="D153" s="297"/>
      <c r="E153" s="337"/>
      <c r="F153" s="337"/>
      <c r="G153" s="337"/>
      <c r="H153" s="337"/>
      <c r="I153" s="337"/>
      <c r="J153" s="337"/>
      <c r="K153" s="337"/>
      <c r="L153" s="337"/>
      <c r="N153" s="302"/>
      <c r="Q153" s="24"/>
      <c r="R153" s="24"/>
      <c r="S153" s="24"/>
    </row>
    <row r="154" spans="1:19" s="107" customFormat="1" ht="15.95" customHeight="1">
      <c r="A154" s="3"/>
      <c r="B154" s="24"/>
      <c r="C154" s="297"/>
      <c r="D154" s="297"/>
      <c r="E154" s="337"/>
      <c r="F154" s="337"/>
      <c r="G154" s="337"/>
      <c r="H154" s="337"/>
      <c r="I154" s="337"/>
      <c r="J154" s="337"/>
      <c r="K154" s="337"/>
      <c r="L154" s="337"/>
      <c r="N154" s="302"/>
      <c r="Q154" s="24"/>
      <c r="R154" s="24"/>
      <c r="S154" s="24"/>
    </row>
    <row r="155" spans="1:19" s="107" customFormat="1" ht="15.95" customHeight="1">
      <c r="A155" s="3"/>
      <c r="B155" s="24"/>
      <c r="C155" s="297"/>
      <c r="D155" s="297"/>
      <c r="E155" s="337"/>
      <c r="F155" s="337"/>
      <c r="G155" s="337"/>
      <c r="H155" s="337"/>
      <c r="I155" s="337"/>
      <c r="J155" s="337"/>
      <c r="K155" s="337"/>
      <c r="L155" s="337"/>
      <c r="N155" s="302"/>
      <c r="Q155" s="24"/>
      <c r="R155" s="24"/>
      <c r="S155" s="24"/>
    </row>
    <row r="156" spans="1:19" s="107" customFormat="1" ht="15.95" customHeight="1">
      <c r="A156" s="3"/>
      <c r="B156" s="24"/>
      <c r="C156" s="297"/>
      <c r="D156" s="297"/>
      <c r="E156" s="337"/>
      <c r="F156" s="337"/>
      <c r="G156" s="337"/>
      <c r="H156" s="337"/>
      <c r="I156" s="337"/>
      <c r="J156" s="337"/>
      <c r="K156" s="337"/>
      <c r="L156" s="337"/>
      <c r="N156" s="302"/>
      <c r="Q156" s="24"/>
      <c r="R156" s="24"/>
      <c r="S156" s="24"/>
    </row>
    <row r="157" spans="1:19" s="107" customFormat="1" ht="15.95" customHeight="1">
      <c r="A157" s="3"/>
      <c r="B157" s="24"/>
      <c r="C157" s="297"/>
      <c r="D157" s="297"/>
      <c r="E157" s="337"/>
      <c r="F157" s="337"/>
      <c r="G157" s="337"/>
      <c r="H157" s="337"/>
      <c r="I157" s="337"/>
      <c r="J157" s="337"/>
      <c r="K157" s="337"/>
      <c r="L157" s="337"/>
      <c r="N157" s="302"/>
      <c r="Q157" s="24"/>
      <c r="R157" s="24"/>
      <c r="S157" s="24"/>
    </row>
    <row r="158" spans="1:19" s="107" customFormat="1" ht="15.95" customHeight="1">
      <c r="A158" s="3"/>
      <c r="B158" s="24"/>
      <c r="C158" s="297"/>
      <c r="D158" s="297"/>
      <c r="E158" s="337"/>
      <c r="F158" s="337"/>
      <c r="G158" s="337"/>
      <c r="H158" s="337"/>
      <c r="I158" s="337"/>
      <c r="J158" s="337"/>
      <c r="K158" s="337"/>
      <c r="L158" s="337"/>
      <c r="N158" s="302"/>
      <c r="Q158" s="24"/>
      <c r="R158" s="24"/>
      <c r="S158" s="24"/>
    </row>
    <row r="159" spans="1:19" s="107" customFormat="1" ht="15.95" customHeight="1">
      <c r="A159" s="3"/>
      <c r="B159" s="24"/>
      <c r="C159" s="297"/>
      <c r="D159" s="297"/>
      <c r="E159" s="337"/>
      <c r="F159" s="337"/>
      <c r="G159" s="337"/>
      <c r="H159" s="337"/>
      <c r="I159" s="337"/>
      <c r="J159" s="337"/>
      <c r="K159" s="337"/>
      <c r="L159" s="337"/>
      <c r="N159" s="302"/>
      <c r="Q159" s="24"/>
      <c r="R159" s="24"/>
      <c r="S159" s="24"/>
    </row>
    <row r="160" spans="1:19" s="107" customFormat="1" ht="15.95" customHeight="1">
      <c r="A160" s="3"/>
      <c r="B160" s="24"/>
      <c r="C160" s="297"/>
      <c r="D160" s="297"/>
      <c r="E160" s="337"/>
      <c r="F160" s="337"/>
      <c r="G160" s="337"/>
      <c r="H160" s="337"/>
      <c r="I160" s="337"/>
      <c r="J160" s="337"/>
      <c r="K160" s="337"/>
      <c r="L160" s="337"/>
      <c r="N160" s="302"/>
      <c r="Q160" s="24"/>
      <c r="R160" s="24"/>
      <c r="S160" s="24"/>
    </row>
    <row r="161" spans="1:19" s="107" customFormat="1" ht="15.95" customHeight="1">
      <c r="A161" s="3"/>
      <c r="B161" s="24"/>
      <c r="C161" s="297"/>
      <c r="D161" s="297"/>
      <c r="E161" s="337"/>
      <c r="F161" s="337"/>
      <c r="G161" s="337"/>
      <c r="H161" s="337"/>
      <c r="I161" s="337"/>
      <c r="J161" s="337"/>
      <c r="K161" s="337"/>
      <c r="L161" s="337"/>
      <c r="N161" s="302"/>
      <c r="Q161" s="24"/>
      <c r="R161" s="24"/>
      <c r="S161" s="24"/>
    </row>
    <row r="162" spans="1:19" s="107" customFormat="1" ht="15.95" customHeight="1">
      <c r="A162" s="3"/>
      <c r="B162" s="24"/>
      <c r="C162" s="297"/>
      <c r="D162" s="297"/>
      <c r="E162" s="337"/>
      <c r="F162" s="337"/>
      <c r="G162" s="337"/>
      <c r="H162" s="337"/>
      <c r="I162" s="337"/>
      <c r="J162" s="337"/>
      <c r="K162" s="337"/>
      <c r="L162" s="337"/>
      <c r="N162" s="302"/>
      <c r="Q162" s="24"/>
      <c r="R162" s="24"/>
      <c r="S162" s="24"/>
    </row>
    <row r="163" spans="1:19" s="107" customFormat="1" ht="15.95" customHeight="1">
      <c r="A163" s="3"/>
      <c r="B163" s="24"/>
      <c r="C163" s="297"/>
      <c r="D163" s="297"/>
      <c r="E163" s="337"/>
      <c r="F163" s="337"/>
      <c r="G163" s="337"/>
      <c r="H163" s="337"/>
      <c r="I163" s="337"/>
      <c r="J163" s="337"/>
      <c r="K163" s="337"/>
      <c r="L163" s="337"/>
      <c r="N163" s="302"/>
      <c r="Q163" s="24"/>
      <c r="R163" s="24"/>
      <c r="S163" s="24"/>
    </row>
    <row r="164" spans="1:19" s="107" customFormat="1" ht="15.95" customHeight="1">
      <c r="A164" s="3"/>
      <c r="B164" s="24"/>
      <c r="C164" s="297"/>
      <c r="D164" s="297"/>
      <c r="E164" s="337"/>
      <c r="F164" s="337"/>
      <c r="G164" s="337"/>
      <c r="H164" s="337"/>
      <c r="I164" s="337"/>
      <c r="J164" s="337"/>
      <c r="K164" s="337"/>
      <c r="L164" s="337"/>
      <c r="N164" s="302"/>
      <c r="Q164" s="24"/>
      <c r="R164" s="24"/>
      <c r="S164" s="24"/>
    </row>
    <row r="165" spans="1:19" s="107" customFormat="1" ht="15.95" customHeight="1">
      <c r="A165" s="3"/>
      <c r="B165" s="24"/>
      <c r="C165" s="297"/>
      <c r="D165" s="297"/>
      <c r="E165" s="337"/>
      <c r="F165" s="337"/>
      <c r="G165" s="337"/>
      <c r="H165" s="337"/>
      <c r="I165" s="337"/>
      <c r="J165" s="337"/>
      <c r="K165" s="337"/>
      <c r="L165" s="337"/>
      <c r="N165" s="302"/>
      <c r="Q165" s="24"/>
      <c r="R165" s="24"/>
      <c r="S165" s="24"/>
    </row>
    <row r="166" spans="1:19" s="107" customFormat="1" ht="15.95" customHeight="1">
      <c r="A166" s="3"/>
      <c r="B166" s="24"/>
      <c r="C166" s="297"/>
      <c r="D166" s="297"/>
      <c r="E166" s="337"/>
      <c r="F166" s="337"/>
      <c r="G166" s="337"/>
      <c r="H166" s="337"/>
      <c r="I166" s="337"/>
      <c r="J166" s="337"/>
      <c r="K166" s="337"/>
      <c r="L166" s="337"/>
      <c r="N166" s="302"/>
      <c r="Q166" s="24"/>
      <c r="R166" s="24"/>
      <c r="S166" s="24"/>
    </row>
    <row r="167" spans="1:19" s="107" customFormat="1" ht="15.95" customHeight="1">
      <c r="A167" s="3"/>
      <c r="B167" s="24"/>
      <c r="C167" s="297"/>
      <c r="D167" s="297"/>
      <c r="H167" s="337"/>
      <c r="I167" s="337"/>
      <c r="J167" s="337"/>
      <c r="K167" s="337"/>
      <c r="L167" s="337"/>
      <c r="N167" s="302"/>
      <c r="Q167" s="24"/>
      <c r="R167" s="24"/>
      <c r="S167" s="24"/>
    </row>
    <row r="168" spans="1:19" s="107" customFormat="1" ht="15.95" customHeight="1">
      <c r="A168" s="3"/>
      <c r="B168" s="24"/>
      <c r="C168" s="297"/>
      <c r="D168" s="297"/>
      <c r="H168" s="337"/>
      <c r="I168" s="337"/>
      <c r="J168" s="337"/>
      <c r="K168" s="337"/>
      <c r="L168" s="337"/>
      <c r="N168" s="302"/>
      <c r="Q168" s="24"/>
      <c r="R168" s="24"/>
      <c r="S168" s="24"/>
    </row>
    <row r="169" spans="1:19" s="107" customFormat="1" ht="15.95" customHeight="1">
      <c r="A169" s="3"/>
      <c r="B169" s="24"/>
      <c r="C169" s="297"/>
      <c r="D169" s="297"/>
      <c r="H169" s="337"/>
      <c r="I169" s="337"/>
      <c r="J169" s="337"/>
      <c r="K169" s="337"/>
      <c r="L169" s="337"/>
      <c r="N169" s="302"/>
      <c r="Q169" s="24"/>
      <c r="R169" s="24"/>
      <c r="S169" s="24"/>
    </row>
    <row r="170" spans="1:19" s="107" customFormat="1" ht="15.95" customHeight="1">
      <c r="A170" s="3"/>
      <c r="B170" s="24"/>
      <c r="C170" s="297"/>
      <c r="D170" s="297"/>
      <c r="H170" s="337"/>
      <c r="I170" s="337"/>
      <c r="J170" s="337"/>
      <c r="K170" s="337"/>
      <c r="L170" s="337"/>
      <c r="N170" s="302"/>
      <c r="Q170" s="24"/>
      <c r="R170" s="24"/>
      <c r="S170" s="24"/>
    </row>
    <row r="171" spans="1:19" s="107" customFormat="1" ht="15.95" customHeight="1">
      <c r="A171" s="3"/>
      <c r="B171" s="24"/>
      <c r="C171" s="297"/>
      <c r="D171" s="297"/>
      <c r="H171" s="337"/>
      <c r="I171" s="337"/>
      <c r="J171" s="337"/>
      <c r="K171" s="337"/>
      <c r="L171" s="337"/>
      <c r="N171" s="302"/>
      <c r="Q171" s="24"/>
      <c r="R171" s="24"/>
      <c r="S171" s="24"/>
    </row>
    <row r="172" spans="1:19" s="107" customFormat="1" ht="15.95" customHeight="1">
      <c r="A172" s="3"/>
      <c r="B172" s="24"/>
      <c r="C172" s="297"/>
      <c r="D172" s="297"/>
      <c r="H172" s="337"/>
      <c r="I172" s="337"/>
      <c r="J172" s="337"/>
      <c r="K172" s="337"/>
      <c r="L172" s="337"/>
      <c r="N172" s="302"/>
      <c r="Q172" s="24"/>
      <c r="R172" s="24"/>
      <c r="S172" s="24"/>
    </row>
    <row r="173" spans="1:19" s="107" customFormat="1" ht="15.95" customHeight="1">
      <c r="A173" s="3"/>
      <c r="B173" s="24"/>
      <c r="C173" s="297"/>
      <c r="D173" s="297"/>
      <c r="H173" s="337"/>
      <c r="I173" s="337"/>
      <c r="J173" s="337"/>
      <c r="K173" s="337"/>
      <c r="L173" s="337"/>
      <c r="N173" s="302"/>
      <c r="Q173" s="24"/>
      <c r="R173" s="24"/>
      <c r="S173" s="24"/>
    </row>
    <row r="174" spans="1:19" s="107" customFormat="1" ht="15.95" customHeight="1">
      <c r="A174" s="3"/>
      <c r="B174" s="24"/>
      <c r="C174" s="297"/>
      <c r="D174" s="297"/>
      <c r="H174" s="337"/>
      <c r="I174" s="337"/>
      <c r="J174" s="337"/>
      <c r="K174" s="337"/>
      <c r="L174" s="337"/>
      <c r="N174" s="302"/>
      <c r="Q174" s="24"/>
      <c r="R174" s="24"/>
      <c r="S174" s="24"/>
    </row>
    <row r="175" spans="1:19" s="107" customFormat="1" ht="15.95" customHeight="1">
      <c r="A175" s="3"/>
      <c r="B175" s="24"/>
      <c r="C175" s="297"/>
      <c r="D175" s="297"/>
      <c r="H175" s="337"/>
      <c r="I175" s="337"/>
      <c r="J175" s="337"/>
      <c r="K175" s="337"/>
      <c r="L175" s="337"/>
      <c r="N175" s="302"/>
      <c r="Q175" s="24"/>
      <c r="R175" s="24"/>
      <c r="S175" s="24"/>
    </row>
  </sheetData>
  <mergeCells count="19">
    <mergeCell ref="R11:R12"/>
    <mergeCell ref="S11:S12"/>
    <mergeCell ref="Q11:Q12"/>
    <mergeCell ref="D11:D12"/>
    <mergeCell ref="N11:N12"/>
    <mergeCell ref="O11:O12"/>
    <mergeCell ref="P11:P12"/>
    <mergeCell ref="H11:H12"/>
    <mergeCell ref="I11:I12"/>
    <mergeCell ref="J11:J12"/>
    <mergeCell ref="K11:K12"/>
    <mergeCell ref="L11:L12"/>
    <mergeCell ref="M11:M12"/>
    <mergeCell ref="B4:G8"/>
    <mergeCell ref="B11:B12"/>
    <mergeCell ref="C11:C12"/>
    <mergeCell ref="E11:E12"/>
    <mergeCell ref="F11:F12"/>
    <mergeCell ref="G11:G12"/>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5" tint="0.59999389629810485"/>
  </sheetPr>
  <dimension ref="A1:AG69"/>
  <sheetViews>
    <sheetView zoomScaleNormal="100" workbookViewId="0"/>
  </sheetViews>
  <sheetFormatPr defaultColWidth="8.625" defaultRowHeight="15.95" customHeight="1"/>
  <cols>
    <col min="1" max="1" width="8.625" style="349" customWidth="1"/>
    <col min="2" max="2" width="16.875" style="1382" bestFit="1" customWidth="1"/>
    <col min="3" max="3" width="25.5" style="349" customWidth="1"/>
    <col min="4" max="4" width="22.5" style="349" customWidth="1"/>
    <col min="5" max="5" width="17.75" style="349" customWidth="1"/>
    <col min="6" max="6" width="22.5" style="349" customWidth="1"/>
    <col min="7" max="7" width="8.625" style="349" customWidth="1"/>
    <col min="8" max="8" width="16.875" style="1382" bestFit="1" customWidth="1"/>
    <col min="9" max="9" width="25.5" style="349" customWidth="1"/>
    <col min="10" max="12" width="22.5" style="349" customWidth="1"/>
    <col min="13" max="13" width="8.625" style="349" customWidth="1"/>
    <col min="14" max="14" width="16.875" style="1382" bestFit="1" customWidth="1"/>
    <col min="15" max="15" width="26" style="349" bestFit="1" customWidth="1"/>
    <col min="16" max="18" width="22.5" style="349" customWidth="1"/>
    <col min="19" max="19" width="8.625" style="349" customWidth="1"/>
    <col min="20" max="20" width="16.875" style="1382" customWidth="1"/>
    <col min="21" max="21" width="26.5" style="349" customWidth="1"/>
    <col min="22" max="24" width="22.5" style="349" customWidth="1"/>
    <col min="25" max="25" width="8.625" style="349"/>
    <col min="26" max="26" width="16.875" style="1382" bestFit="1" customWidth="1"/>
    <col min="27" max="27" width="26.5" style="349" customWidth="1"/>
    <col min="28" max="30" width="22.5" style="349" customWidth="1"/>
    <col min="31" max="31" width="8.625" style="349"/>
    <col min="32" max="32" width="27.125" style="349" bestFit="1" customWidth="1"/>
    <col min="33" max="33" width="17.75" style="349" bestFit="1" customWidth="1"/>
    <col min="34" max="16384" width="8.625" style="349"/>
  </cols>
  <sheetData>
    <row r="1" spans="1:33" s="1367" customFormat="1" ht="15.95" customHeight="1">
      <c r="B1" s="1385"/>
      <c r="C1" s="1362"/>
      <c r="D1" s="1362"/>
      <c r="E1" s="1362"/>
      <c r="F1" s="1362"/>
      <c r="H1" s="1385"/>
      <c r="I1" s="1362"/>
      <c r="J1" s="1362"/>
      <c r="K1" s="1362"/>
      <c r="L1" s="1362"/>
      <c r="N1" s="1385"/>
      <c r="O1" s="1362"/>
      <c r="P1" s="1362"/>
      <c r="Q1" s="1362"/>
      <c r="R1" s="1362"/>
      <c r="T1" s="1385"/>
      <c r="Z1" s="1385"/>
    </row>
    <row r="2" spans="1:33" s="1362" customFormat="1" ht="24.75" customHeight="1">
      <c r="B2" s="1387" t="s">
        <v>6183</v>
      </c>
      <c r="H2" s="1386"/>
      <c r="N2" s="1386"/>
      <c r="T2" s="1386"/>
      <c r="Z2" s="1386"/>
    </row>
    <row r="3" spans="1:33" s="1363" customFormat="1" ht="15.95" customHeight="1">
      <c r="B3" s="1388"/>
      <c r="H3" s="1388"/>
      <c r="N3" s="1388"/>
      <c r="T3" s="1388"/>
      <c r="Z3" s="1388"/>
    </row>
    <row r="4" spans="1:33" s="1363" customFormat="1" ht="15.95" customHeight="1">
      <c r="B4" s="1482" t="s">
        <v>6184</v>
      </c>
      <c r="C4" s="1482"/>
      <c r="D4" s="1482"/>
      <c r="E4" s="1482"/>
      <c r="F4" s="1482"/>
      <c r="G4" s="1482"/>
      <c r="H4" s="1482"/>
      <c r="I4" s="1397"/>
      <c r="J4" s="1397"/>
      <c r="N4" s="1388"/>
      <c r="T4" s="1388"/>
      <c r="Z4" s="1388"/>
    </row>
    <row r="5" spans="1:33" s="1363" customFormat="1" ht="15.95" customHeight="1">
      <c r="B5" s="1482"/>
      <c r="C5" s="1482"/>
      <c r="D5" s="1482"/>
      <c r="E5" s="1482"/>
      <c r="F5" s="1482"/>
      <c r="G5" s="1482"/>
      <c r="H5" s="1482"/>
      <c r="I5" s="1397"/>
      <c r="J5" s="1397"/>
      <c r="N5" s="1388"/>
      <c r="T5" s="1388"/>
      <c r="Z5" s="1388"/>
    </row>
    <row r="6" spans="1:33" s="1363" customFormat="1" ht="15.95" customHeight="1">
      <c r="B6" s="1482"/>
      <c r="C6" s="1482"/>
      <c r="D6" s="1482"/>
      <c r="E6" s="1482"/>
      <c r="F6" s="1482"/>
      <c r="G6" s="1482"/>
      <c r="H6" s="1482"/>
      <c r="I6" s="1397"/>
      <c r="J6" s="1397"/>
      <c r="N6" s="1388"/>
      <c r="T6" s="1388"/>
      <c r="Z6" s="1388"/>
    </row>
    <row r="7" spans="1:33" s="1363" customFormat="1" ht="15.95" customHeight="1">
      <c r="B7" s="1482"/>
      <c r="C7" s="1482"/>
      <c r="D7" s="1482"/>
      <c r="E7" s="1482"/>
      <c r="F7" s="1482"/>
      <c r="G7" s="1482"/>
      <c r="H7" s="1482"/>
      <c r="I7" s="1397"/>
      <c r="J7" s="1397"/>
      <c r="N7" s="1388"/>
      <c r="T7" s="1388"/>
      <c r="Z7" s="1388"/>
    </row>
    <row r="8" spans="1:33" s="1363" customFormat="1" ht="15.95" customHeight="1">
      <c r="B8" s="1482"/>
      <c r="C8" s="1482"/>
      <c r="D8" s="1482"/>
      <c r="E8" s="1482"/>
      <c r="F8" s="1482"/>
      <c r="G8" s="1482"/>
      <c r="H8" s="1482"/>
      <c r="I8" s="1397"/>
      <c r="J8" s="1397"/>
      <c r="N8" s="1388"/>
      <c r="T8" s="1388"/>
      <c r="Z8" s="1388"/>
    </row>
    <row r="9" spans="1:33" s="1363" customFormat="1" ht="15.95" customHeight="1">
      <c r="B9" s="1482"/>
      <c r="C9" s="1482"/>
      <c r="D9" s="1482"/>
      <c r="E9" s="1482"/>
      <c r="F9" s="1482"/>
      <c r="G9" s="1482"/>
      <c r="H9" s="1482"/>
      <c r="I9" s="1397"/>
      <c r="J9" s="1397"/>
      <c r="N9" s="1388"/>
      <c r="T9" s="1388"/>
      <c r="Z9" s="1388"/>
      <c r="AF9" s="25"/>
      <c r="AG9" s="25"/>
    </row>
    <row r="10" spans="1:33" s="1363" customFormat="1" ht="15.95" customHeight="1">
      <c r="B10" s="1389"/>
      <c r="C10" s="1389"/>
      <c r="D10" s="1389"/>
      <c r="E10" s="1389"/>
      <c r="F10" s="1389"/>
      <c r="G10" s="1389"/>
      <c r="H10" s="1389"/>
      <c r="I10" s="1397"/>
      <c r="J10" s="1397"/>
      <c r="N10" s="1388"/>
      <c r="T10" s="1388"/>
      <c r="Z10" s="1388"/>
      <c r="AF10" s="25"/>
      <c r="AG10" s="25"/>
    </row>
    <row r="11" spans="1:33" s="1363" customFormat="1" ht="15.95" customHeight="1">
      <c r="B11" s="1388"/>
      <c r="C11" s="1389"/>
      <c r="D11" s="1483" t="s">
        <v>4848</v>
      </c>
      <c r="E11" s="1483"/>
      <c r="F11" s="1483"/>
      <c r="G11" s="1389"/>
      <c r="H11" s="1389"/>
      <c r="I11" s="1389"/>
      <c r="J11" s="1483" t="s">
        <v>4640</v>
      </c>
      <c r="K11" s="1483"/>
      <c r="L11" s="1483"/>
      <c r="N11" s="1388"/>
      <c r="P11" s="1483" t="s">
        <v>4691</v>
      </c>
      <c r="Q11" s="1483"/>
      <c r="R11" s="1483"/>
      <c r="T11" s="1388"/>
      <c r="V11" s="1483" t="s">
        <v>4849</v>
      </c>
      <c r="W11" s="1483"/>
      <c r="X11" s="1483"/>
      <c r="Z11" s="1388"/>
      <c r="AB11" s="1483" t="s">
        <v>4850</v>
      </c>
      <c r="AC11" s="1483"/>
      <c r="AD11" s="1483"/>
      <c r="AF11" s="25"/>
      <c r="AG11" s="25"/>
    </row>
    <row r="12" spans="1:33" s="1363" customFormat="1" ht="15.95" customHeight="1" thickBot="1">
      <c r="B12" s="1388"/>
      <c r="C12" s="1390"/>
      <c r="D12" s="1391" t="s">
        <v>4648</v>
      </c>
      <c r="E12" s="1391" t="s">
        <v>4650</v>
      </c>
      <c r="F12" s="1384" t="s">
        <v>4851</v>
      </c>
      <c r="G12" s="1389"/>
      <c r="H12" s="1389"/>
      <c r="I12" s="1390"/>
      <c r="J12" s="1391" t="s">
        <v>4648</v>
      </c>
      <c r="K12" s="1391" t="s">
        <v>4650</v>
      </c>
      <c r="L12" s="1384" t="s">
        <v>4851</v>
      </c>
      <c r="N12" s="1388"/>
      <c r="O12" s="1392"/>
      <c r="P12" s="1391" t="s">
        <v>4648</v>
      </c>
      <c r="Q12" s="1391" t="s">
        <v>4650</v>
      </c>
      <c r="R12" s="1384" t="s">
        <v>4851</v>
      </c>
      <c r="T12" s="1388"/>
      <c r="U12" s="1392"/>
      <c r="V12" s="1391" t="s">
        <v>4648</v>
      </c>
      <c r="W12" s="1391" t="s">
        <v>4650</v>
      </c>
      <c r="X12" s="1384" t="s">
        <v>4851</v>
      </c>
      <c r="Z12" s="1388"/>
      <c r="AA12" s="1392"/>
      <c r="AB12" s="1391" t="s">
        <v>4648</v>
      </c>
      <c r="AC12" s="1391" t="s">
        <v>4650</v>
      </c>
      <c r="AD12" s="1384" t="s">
        <v>4851</v>
      </c>
      <c r="AF12" s="25"/>
      <c r="AG12" s="25"/>
    </row>
    <row r="13" spans="1:33" s="25" customFormat="1" ht="15.95" customHeight="1">
      <c r="B13" s="1373"/>
      <c r="C13" s="1393" t="s">
        <v>4530</v>
      </c>
      <c r="D13" s="25">
        <f>SUM(D20:D61)</f>
        <v>556</v>
      </c>
      <c r="E13" s="25">
        <f>SUM(E20:E61)</f>
        <v>379</v>
      </c>
      <c r="F13" s="25">
        <f>E13/D13*100</f>
        <v>68.165467625899282</v>
      </c>
      <c r="H13" s="1373"/>
      <c r="I13" s="1393" t="s">
        <v>4530</v>
      </c>
      <c r="J13" s="25">
        <f>SUM(J20:J61)</f>
        <v>89</v>
      </c>
      <c r="K13" s="25">
        <f>SUM(K20:K61)</f>
        <v>66</v>
      </c>
      <c r="L13" s="25">
        <f>K13/J13*100</f>
        <v>74.157303370786522</v>
      </c>
      <c r="N13" s="1373"/>
      <c r="O13" s="1393" t="s">
        <v>4530</v>
      </c>
      <c r="P13" s="25">
        <f>SUM(P20:P61)</f>
        <v>757.33333333333326</v>
      </c>
      <c r="Q13" s="25">
        <f>SUM(Q20:Q61)</f>
        <v>471</v>
      </c>
      <c r="R13" s="25">
        <f>Q13/P13*100</f>
        <v>62.191901408450711</v>
      </c>
      <c r="T13" s="1373"/>
      <c r="U13" s="1393" t="s">
        <v>4530</v>
      </c>
      <c r="V13" s="25">
        <f>SUM(V20:V61)</f>
        <v>51</v>
      </c>
      <c r="W13" s="25">
        <f>SUM(W20:W61)</f>
        <v>24</v>
      </c>
      <c r="X13" s="25">
        <f>W13/V13*100</f>
        <v>47.058823529411761</v>
      </c>
      <c r="Z13" s="1373"/>
      <c r="AA13" s="1393" t="s">
        <v>4530</v>
      </c>
      <c r="AB13" s="25">
        <f>SUM(AB20:AB61)</f>
        <v>590</v>
      </c>
      <c r="AC13" s="25">
        <f>SUM(AC20:AC61)</f>
        <v>407</v>
      </c>
      <c r="AD13" s="25">
        <f>AC13/AB13*100</f>
        <v>68.983050847457633</v>
      </c>
    </row>
    <row r="14" spans="1:33" s="25" customFormat="1" ht="15.95" customHeight="1">
      <c r="B14" s="1373"/>
      <c r="H14" s="1373"/>
      <c r="N14" s="1373"/>
      <c r="T14" s="1373"/>
      <c r="Z14" s="1373"/>
    </row>
    <row r="15" spans="1:33" s="1372" customFormat="1" ht="15.95" customHeight="1">
      <c r="B15" s="1379"/>
      <c r="C15" s="1368" t="s">
        <v>4852</v>
      </c>
      <c r="D15" s="1368">
        <f>SUMIFS(D20:D61,$B$20:$B$61,1)</f>
        <v>433.99999999999994</v>
      </c>
      <c r="E15" s="1368">
        <f>SUMIFS(E20:E61,$B$20:$B$61,1)</f>
        <v>281</v>
      </c>
      <c r="F15" s="25">
        <f t="shared" ref="F15:F16" si="0">E15/D15*100</f>
        <v>64.746543778801851</v>
      </c>
      <c r="H15" s="1379"/>
      <c r="I15" s="1368" t="s">
        <v>4852</v>
      </c>
      <c r="J15" s="1368">
        <f>SUMIFS(J20:J61,$H$20:$H$61,1)</f>
        <v>56</v>
      </c>
      <c r="K15" s="1368">
        <f>SUMIFS(K20:K61,$H$20:$H$61,1)</f>
        <v>33</v>
      </c>
      <c r="L15" s="25">
        <f t="shared" ref="L15:L16" si="1">K15/J15*100</f>
        <v>58.928571428571431</v>
      </c>
      <c r="N15" s="1379"/>
      <c r="O15" s="1368" t="s">
        <v>4852</v>
      </c>
      <c r="P15" s="1368">
        <f>SUMIFS(P20:P61,$N$20:$N$61,1)</f>
        <v>316.33333333333331</v>
      </c>
      <c r="Q15" s="1368">
        <f>SUMIFS(Q20:Q61,$N$20:$N$61,1)</f>
        <v>90</v>
      </c>
      <c r="R15" s="25">
        <f t="shared" ref="R15:R16" si="2">Q15/P15*100</f>
        <v>28.451001053740782</v>
      </c>
      <c r="T15" s="1379"/>
      <c r="U15" s="1368" t="s">
        <v>4852</v>
      </c>
      <c r="V15" s="1368">
        <f>SUMIFS(V20:V61,$T$20:$T$61,1)</f>
        <v>46</v>
      </c>
      <c r="W15" s="1368">
        <f>SUMIFS(W20:W61,$T$20:$T$61,1)</f>
        <v>21</v>
      </c>
      <c r="X15" s="25">
        <f t="shared" ref="X15:X16" si="3">W15/V15*100</f>
        <v>45.652173913043477</v>
      </c>
      <c r="Z15" s="1379"/>
      <c r="AA15" s="1368" t="s">
        <v>4852</v>
      </c>
      <c r="AB15" s="1368">
        <f>SUMIFS(AB20:AB61,$Z$20:$Z$61,1)</f>
        <v>479</v>
      </c>
      <c r="AC15" s="1368">
        <f>SUMIFS(AC20:AC61,$Z$20:$Z$61,1)</f>
        <v>296</v>
      </c>
      <c r="AD15" s="25">
        <f t="shared" ref="AD15:AD16" si="4">AC15/AB15*100</f>
        <v>61.795407098121082</v>
      </c>
    </row>
    <row r="16" spans="1:33" s="1372" customFormat="1" ht="15.95" customHeight="1">
      <c r="A16" s="1369"/>
      <c r="B16" s="1379"/>
      <c r="C16" s="1368" t="s">
        <v>4853</v>
      </c>
      <c r="D16" s="1368">
        <f>SUMIFS(D20:D61,$B$20:$B$61,0)</f>
        <v>122</v>
      </c>
      <c r="E16" s="1368">
        <f>SUMIFS(E20:E61,$B$20:$B$61,0)</f>
        <v>98</v>
      </c>
      <c r="F16" s="25">
        <f t="shared" si="0"/>
        <v>80.327868852459019</v>
      </c>
      <c r="G16" s="1369"/>
      <c r="H16" s="1379"/>
      <c r="I16" s="1368" t="s">
        <v>4853</v>
      </c>
      <c r="J16" s="1368">
        <f>SUMIFS(J20:J61,$H$20:$H$61,0)</f>
        <v>33</v>
      </c>
      <c r="K16" s="1368">
        <f>SUMIFS(K20:K61,$H$20:$H$61,0)</f>
        <v>33</v>
      </c>
      <c r="L16" s="25">
        <f t="shared" si="1"/>
        <v>100</v>
      </c>
      <c r="M16" s="1369"/>
      <c r="N16" s="1379"/>
      <c r="O16" s="1368" t="s">
        <v>4853</v>
      </c>
      <c r="P16" s="1368">
        <f>SUMIFS(P20:P61,$N$20:$N$61,0)</f>
        <v>441</v>
      </c>
      <c r="Q16" s="1368">
        <f>SUMIFS(Q20:Q61,$N$20:$N$61,0)</f>
        <v>381</v>
      </c>
      <c r="R16" s="25">
        <f t="shared" si="2"/>
        <v>86.394557823129247</v>
      </c>
      <c r="S16" s="1369"/>
      <c r="T16" s="1379"/>
      <c r="U16" s="1368" t="s">
        <v>4853</v>
      </c>
      <c r="V16" s="1368">
        <f>SUMIFS(V20:V61,$T$20:$T$61,0)</f>
        <v>5</v>
      </c>
      <c r="W16" s="1368">
        <f>SUMIFS(W20:W61,$T$20:$T$61,0)</f>
        <v>3</v>
      </c>
      <c r="X16" s="25">
        <f t="shared" si="3"/>
        <v>60</v>
      </c>
      <c r="Z16" s="1379"/>
      <c r="AA16" s="1368" t="s">
        <v>4853</v>
      </c>
      <c r="AB16" s="1368">
        <f>SUMIFS(AB20:AB61,$Z$20:$Z$61,0)</f>
        <v>111</v>
      </c>
      <c r="AC16" s="1368">
        <f>SUMIFS(AC20:AC61,$Z$20:$Z$61,0)</f>
        <v>111</v>
      </c>
      <c r="AD16" s="25">
        <f t="shared" si="4"/>
        <v>100</v>
      </c>
      <c r="AF16" s="1369"/>
    </row>
    <row r="17" spans="2:33" s="1369" customFormat="1" ht="15.95" customHeight="1">
      <c r="B17" s="1379"/>
      <c r="C17" s="1371"/>
      <c r="D17" s="25"/>
      <c r="E17" s="25"/>
      <c r="F17" s="25"/>
      <c r="G17" s="1376"/>
      <c r="H17" s="1379"/>
      <c r="I17" s="1371"/>
      <c r="J17" s="25"/>
      <c r="K17" s="25"/>
      <c r="L17" s="1377"/>
      <c r="N17" s="1379"/>
      <c r="O17" s="1371"/>
      <c r="P17" s="25"/>
      <c r="Q17" s="25"/>
      <c r="R17" s="1377"/>
      <c r="T17" s="1379"/>
      <c r="U17" s="1371"/>
      <c r="V17" s="25"/>
      <c r="W17" s="25"/>
      <c r="X17" s="1377"/>
      <c r="Z17" s="1379"/>
      <c r="AA17" s="1371"/>
      <c r="AB17" s="25"/>
      <c r="AC17" s="25"/>
      <c r="AD17" s="1377"/>
      <c r="AF17" s="1371"/>
      <c r="AG17" s="1377"/>
    </row>
    <row r="18" spans="2:33" s="1375" customFormat="1" ht="15.95" customHeight="1">
      <c r="B18" s="1476" t="s">
        <v>4854</v>
      </c>
      <c r="C18" s="1478" t="s">
        <v>4512</v>
      </c>
      <c r="D18" s="1484" t="s">
        <v>4848</v>
      </c>
      <c r="E18" s="1484"/>
      <c r="F18" s="1484"/>
      <c r="G18" s="1374"/>
      <c r="H18" s="1476" t="s">
        <v>4854</v>
      </c>
      <c r="I18" s="1478" t="s">
        <v>4512</v>
      </c>
      <c r="J18" s="1484" t="s">
        <v>4640</v>
      </c>
      <c r="K18" s="1484"/>
      <c r="L18" s="1485"/>
      <c r="N18" s="1476" t="s">
        <v>4854</v>
      </c>
      <c r="O18" s="1478" t="s">
        <v>4512</v>
      </c>
      <c r="P18" s="1484" t="s">
        <v>4691</v>
      </c>
      <c r="Q18" s="1484"/>
      <c r="R18" s="1485"/>
      <c r="T18" s="1476" t="s">
        <v>4854</v>
      </c>
      <c r="U18" s="1478" t="s">
        <v>4512</v>
      </c>
      <c r="V18" s="1484" t="s">
        <v>4849</v>
      </c>
      <c r="W18" s="1484"/>
      <c r="X18" s="1485"/>
      <c r="Z18" s="1476" t="s">
        <v>4854</v>
      </c>
      <c r="AA18" s="1478" t="s">
        <v>4512</v>
      </c>
      <c r="AB18" s="1484" t="s">
        <v>4850</v>
      </c>
      <c r="AC18" s="1484"/>
      <c r="AD18" s="1485"/>
      <c r="AF18" s="1478" t="s">
        <v>4512</v>
      </c>
      <c r="AG18" s="1480" t="s">
        <v>4855</v>
      </c>
    </row>
    <row r="19" spans="2:33" s="1375" customFormat="1" ht="15.95" customHeight="1">
      <c r="B19" s="1477"/>
      <c r="C19" s="1479"/>
      <c r="D19" s="1394" t="s">
        <v>4648</v>
      </c>
      <c r="E19" s="1394" t="s">
        <v>4650</v>
      </c>
      <c r="F19" s="1364" t="s">
        <v>4851</v>
      </c>
      <c r="G19" s="1374"/>
      <c r="H19" s="1477"/>
      <c r="I19" s="1479"/>
      <c r="J19" s="1394" t="s">
        <v>4648</v>
      </c>
      <c r="K19" s="1394" t="s">
        <v>4650</v>
      </c>
      <c r="L19" s="1383" t="s">
        <v>4851</v>
      </c>
      <c r="N19" s="1477"/>
      <c r="O19" s="1479"/>
      <c r="P19" s="1394" t="s">
        <v>4648</v>
      </c>
      <c r="Q19" s="1394" t="s">
        <v>4650</v>
      </c>
      <c r="R19" s="1366" t="s">
        <v>4851</v>
      </c>
      <c r="T19" s="1477"/>
      <c r="U19" s="1479"/>
      <c r="V19" s="1394" t="s">
        <v>4648</v>
      </c>
      <c r="W19" s="1394" t="s">
        <v>4650</v>
      </c>
      <c r="X19" s="1366" t="s">
        <v>4851</v>
      </c>
      <c r="Z19" s="1477"/>
      <c r="AA19" s="1479"/>
      <c r="AB19" s="1394" t="s">
        <v>4648</v>
      </c>
      <c r="AC19" s="1394" t="s">
        <v>4650</v>
      </c>
      <c r="AD19" s="1366" t="s">
        <v>4851</v>
      </c>
      <c r="AF19" s="1479"/>
      <c r="AG19" s="1481"/>
    </row>
    <row r="20" spans="2:33" ht="15.95" customHeight="1">
      <c r="B20" s="1380">
        <f t="shared" ref="B20:B61" si="5">VLOOKUP(C20,AF:AG,2,0)</f>
        <v>1</v>
      </c>
      <c r="C20" s="349" t="s">
        <v>3949</v>
      </c>
      <c r="D20" s="350">
        <f>VLOOKUP(C20,'Share, Heavy Weapons to Ukraine'!B:AX,COLUMN('Share, Heavy Weapons to Ukraine'!AR12)-1,FALSE)</f>
        <v>160</v>
      </c>
      <c r="E20" s="350">
        <f>VLOOKUP(C20,'Share, Heavy Weapons to Ukraine'!B:BF,COLUMN('Share, Heavy Weapons to Ukraine'!BF12)-1,FALSE)</f>
        <v>126</v>
      </c>
      <c r="F20" s="1365">
        <f>IF(AND(D20=0,E20=0),".",E20/D20*100)</f>
        <v>78.75</v>
      </c>
      <c r="H20" s="1380">
        <f t="shared" ref="H20:H61" si="6">VLOOKUP(I20,AF:AG,2,0)</f>
        <v>1</v>
      </c>
      <c r="I20" s="349" t="s">
        <v>3949</v>
      </c>
      <c r="J20" s="349">
        <f>VLOOKUP(I20,'Share, Heavy Weapons to Ukraine'!B:AX,COLUMN('Share, Heavy Weapons to Ukraine'!AS13)-1,FALSE)</f>
        <v>38</v>
      </c>
      <c r="K20" s="349">
        <f>VLOOKUP(I20,'Share, Heavy Weapons to Ukraine'!B:BG,COLUMN('Share, Heavy Weapons to Ukraine'!BG13)-1,FALSE)</f>
        <v>20</v>
      </c>
      <c r="L20" s="1365">
        <f>IF(AND(J20=0,K20=0),".",K20/J20*100)</f>
        <v>52.631578947368418</v>
      </c>
      <c r="N20" s="1380">
        <f t="shared" ref="N20:N61" si="7">VLOOKUP(O20,AF:AG,2,0)</f>
        <v>0</v>
      </c>
      <c r="O20" s="349" t="s">
        <v>2989</v>
      </c>
      <c r="P20" s="349">
        <f>VLOOKUP(O20,'Share, Heavy Weapons to Ukraine'!B:AX,COLUMN('Share, Heavy Weapons to Ukraine'!AL19)-1,FALSE)</f>
        <v>324</v>
      </c>
      <c r="Q20" s="349">
        <f>VLOOKUP(O20,'Share, Heavy Weapons to Ukraine'!B:AZ,COLUMN('Share, Heavy Weapons to Ukraine'!AZ19)-1,FALSE)</f>
        <v>264</v>
      </c>
      <c r="R20" s="1365">
        <f>IF(AND(P20=0,Q20=0),".",Q20/P20*100)</f>
        <v>81.481481481481481</v>
      </c>
      <c r="T20" s="1380">
        <f t="shared" ref="T20:T61" si="8">VLOOKUP(U20,AF:AG,2,0)</f>
        <v>1</v>
      </c>
      <c r="U20" s="349" t="s">
        <v>1711</v>
      </c>
      <c r="V20" s="349">
        <f>VLOOKUP(U20,'Share, Heavy Weapons to Ukraine'!B:AU,COLUMN('Share, Heavy Weapons to Ukraine'!AU14)-1,FALSE)+VLOOKUP(U20,'Share, Heavy Weapons to Ukraine'!B:AV,COLUMN('Share, Heavy Weapons to Ukraine'!AV14)-1,FALSE)+VLOOKUP(U20,'Share, Heavy Weapons to Ukraine'!B:AW,COLUMN('Share, Heavy Weapons to Ukraine'!AW14)-1,FALSE)</f>
        <v>21</v>
      </c>
      <c r="W20" s="349">
        <f>VLOOKUP(U20,'Share, Heavy Weapons to Ukraine'!B:BI,COLUMN('Share, Heavy Weapons to Ukraine'!BI14)-1,FALSE)+VLOOKUP(U20,'Share, Heavy Weapons to Ukraine'!B:BJ,COLUMN('Share, Heavy Weapons to Ukraine'!BJ14)-1,FALSE)+VLOOKUP(U20,'Share, Heavy Weapons to Ukraine'!B:BK,COLUMN('Share, Heavy Weapons to Ukraine'!BK14)-1,FALSE)</f>
        <v>3</v>
      </c>
      <c r="X20" s="1365">
        <f>IF(AND(V20=0,W20=0),".",W20/V20*100)</f>
        <v>14.285714285714285</v>
      </c>
      <c r="Z20" s="1380">
        <f t="shared" ref="Z20:Z61" si="9">VLOOKUP(AA20,AF:AG,2,0)</f>
        <v>1</v>
      </c>
      <c r="AA20" s="349" t="s">
        <v>2693</v>
      </c>
      <c r="AB20" s="349">
        <f>VLOOKUP(AA20,'Share, Heavy Weapons to Ukraine'!B:AP,COLUMN('Share, Heavy Weapons to Ukraine'!AP16)-1,FALSE)</f>
        <v>196</v>
      </c>
      <c r="AC20" s="349">
        <f>VLOOKUP(AA20,'Share, Heavy Weapons to Ukraine'!B:BD,COLUMN('Share, Heavy Weapons to Ukraine'!BD16)-1,FALSE)</f>
        <v>196</v>
      </c>
      <c r="AD20" s="1365">
        <f>IF(AND(AB20=0,AC20=0),".",AC20/AB20*100)</f>
        <v>100</v>
      </c>
      <c r="AF20" s="349" t="s">
        <v>3949</v>
      </c>
      <c r="AG20" s="350">
        <v>1</v>
      </c>
    </row>
    <row r="21" spans="2:33" ht="15.95" customHeight="1">
      <c r="B21" s="1380">
        <f t="shared" si="5"/>
        <v>1</v>
      </c>
      <c r="C21" s="349" t="s">
        <v>2204</v>
      </c>
      <c r="D21" s="350">
        <f>VLOOKUP(C21,'Share, Heavy Weapons to Ukraine'!B:AX,COLUMN('Share, Heavy Weapons to Ukraine'!AR23)-1,FALSE)</f>
        <v>66</v>
      </c>
      <c r="E21" s="350">
        <f>VLOOKUP(C21,'Share, Heavy Weapons to Ukraine'!B:BF,COLUMN('Share, Heavy Weapons to Ukraine'!BF17)-1,FALSE)</f>
        <v>36</v>
      </c>
      <c r="F21" s="1365">
        <f t="shared" ref="F21:F61" si="10">IF(AND(D21=0,E21=0),".",E21/D21*100)</f>
        <v>54.54545454545454</v>
      </c>
      <c r="H21" s="1380">
        <f t="shared" si="6"/>
        <v>0</v>
      </c>
      <c r="I21" s="349" t="s">
        <v>1012</v>
      </c>
      <c r="J21" s="349">
        <f>VLOOKUP(I21,'Share, Heavy Weapons to Ukraine'!B:AX,COLUMN('Share, Heavy Weapons to Ukraine'!AS12)-1,FALSE)</f>
        <v>33</v>
      </c>
      <c r="K21" s="349">
        <f>VLOOKUP(I21,'Share, Heavy Weapons to Ukraine'!B:BG,COLUMN('Share, Heavy Weapons to Ukraine'!BG14)-1,FALSE)</f>
        <v>33</v>
      </c>
      <c r="L21" s="1365">
        <f t="shared" ref="L21:L61" si="11">IF(AND(J21=0,K21=0),".",K21/J21*100)</f>
        <v>100</v>
      </c>
      <c r="N21" s="1380">
        <f t="shared" si="7"/>
        <v>0</v>
      </c>
      <c r="O21" s="349" t="s">
        <v>1012</v>
      </c>
      <c r="P21" s="349">
        <f>VLOOKUP(O21,'Share, Heavy Weapons to Ukraine'!B:AX,COLUMN('Share, Heavy Weapons to Ukraine'!AL18)-1,FALSE)</f>
        <v>89</v>
      </c>
      <c r="Q21" s="349">
        <f>VLOOKUP(O21,'Share, Heavy Weapons to Ukraine'!B:AZ,COLUMN('Share, Heavy Weapons to Ukraine'!AZ20)-1,FALSE)</f>
        <v>89</v>
      </c>
      <c r="R21" s="1365">
        <f t="shared" ref="R21:R61" si="12">IF(AND(P21=0,Q21=0),".",Q21/P21*100)</f>
        <v>100</v>
      </c>
      <c r="T21" s="1380">
        <f t="shared" si="8"/>
        <v>1</v>
      </c>
      <c r="U21" s="349" t="s">
        <v>3949</v>
      </c>
      <c r="V21" s="349">
        <f>VLOOKUP(U21,'Share, Heavy Weapons to Ukraine'!B:AU,COLUMN('Share, Heavy Weapons to Ukraine'!AU16)-1,FALSE)+VLOOKUP(U21,'Share, Heavy Weapons to Ukraine'!B:AV,COLUMN('Share, Heavy Weapons to Ukraine'!AV16)-1,FALSE)+VLOOKUP(U21,'Share, Heavy Weapons to Ukraine'!B:AW,COLUMN('Share, Heavy Weapons to Ukraine'!AW16)-1,FALSE)</f>
        <v>11</v>
      </c>
      <c r="W21" s="349">
        <f>VLOOKUP(U21,'Share, Heavy Weapons to Ukraine'!B:BI,COLUMN('Share, Heavy Weapons to Ukraine'!BI16)-1,FALSE)+VLOOKUP(U21,'Share, Heavy Weapons to Ukraine'!B:BJ,COLUMN('Share, Heavy Weapons to Ukraine'!BJ16)-1,FALSE)+VLOOKUP(U21,'Share, Heavy Weapons to Ukraine'!B:BK,COLUMN('Share, Heavy Weapons to Ukraine'!BK16)-1,FALSE)</f>
        <v>8</v>
      </c>
      <c r="X21" s="1365">
        <f t="shared" ref="X21:X61" si="13">IF(AND(V21=0,W21=0),".",W21/V21*100)</f>
        <v>72.727272727272734</v>
      </c>
      <c r="Z21" s="1380">
        <f t="shared" si="9"/>
        <v>1</v>
      </c>
      <c r="AA21" s="349" t="s">
        <v>3949</v>
      </c>
      <c r="AB21" s="349">
        <f>VLOOKUP(AA21,'Share, Heavy Weapons to Ukraine'!B:AP,COLUMN('Share, Heavy Weapons to Ukraine'!AP15)-1,FALSE)</f>
        <v>113</v>
      </c>
      <c r="AC21" s="349">
        <f>VLOOKUP(AA21,'Share, Heavy Weapons to Ukraine'!B:BD,COLUMN('Share, Heavy Weapons to Ukraine'!BD15)-1,FALSE)</f>
        <v>0</v>
      </c>
      <c r="AD21" s="1365">
        <f t="shared" ref="AD21:AD61" si="14">IF(AND(AB21=0,AC21=0),".",AC21/AB21*100)</f>
        <v>0</v>
      </c>
      <c r="AF21" s="349" t="s">
        <v>1012</v>
      </c>
      <c r="AG21" s="349">
        <v>0</v>
      </c>
    </row>
    <row r="22" spans="2:33" ht="15.95" customHeight="1">
      <c r="B22" s="1380">
        <f t="shared" si="5"/>
        <v>1</v>
      </c>
      <c r="C22" s="349" t="s">
        <v>3748</v>
      </c>
      <c r="D22" s="350">
        <f>VLOOKUP(C22,'Share, Heavy Weapons to Ukraine'!B:AX,COLUMN('Share, Heavy Weapons to Ukraine'!AR14)-1,FALSE)</f>
        <v>58</v>
      </c>
      <c r="E22" s="350">
        <f>VLOOKUP(C22,'Share, Heavy Weapons to Ukraine'!B:BF,COLUMN('Share, Heavy Weapons to Ukraine'!BF13)-1,FALSE)</f>
        <v>28</v>
      </c>
      <c r="F22" s="1365">
        <f t="shared" si="10"/>
        <v>48.275862068965516</v>
      </c>
      <c r="H22" s="1380">
        <f t="shared" si="6"/>
        <v>1</v>
      </c>
      <c r="I22" s="349" t="s">
        <v>3748</v>
      </c>
      <c r="J22" s="349">
        <f>VLOOKUP(I22,'Share, Heavy Weapons to Ukraine'!B:AX,COLUMN('Share, Heavy Weapons to Ukraine'!AS15)-1,FALSE)</f>
        <v>6</v>
      </c>
      <c r="K22" s="349">
        <f>VLOOKUP(I22,'Share, Heavy Weapons to Ukraine'!B:BG,COLUMN('Share, Heavy Weapons to Ukraine'!BG15)-1,FALSE)</f>
        <v>3</v>
      </c>
      <c r="L22" s="1365">
        <f t="shared" si="11"/>
        <v>50</v>
      </c>
      <c r="N22" s="1380">
        <f t="shared" si="7"/>
        <v>1</v>
      </c>
      <c r="O22" s="349" t="s">
        <v>2693</v>
      </c>
      <c r="P22" s="349">
        <f>VLOOKUP(O22,'Share, Heavy Weapons to Ukraine'!B:AX,COLUMN('Share, Heavy Weapons to Ukraine'!AL15)-1,FALSE)</f>
        <v>88.666666666666657</v>
      </c>
      <c r="Q22" s="349">
        <f>VLOOKUP(O22,'Share, Heavy Weapons to Ukraine'!B:AZ,COLUMN('Share, Heavy Weapons to Ukraine'!AZ22)-1,FALSE)</f>
        <v>18.5</v>
      </c>
      <c r="R22" s="1365">
        <f t="shared" si="12"/>
        <v>20.86466165413534</v>
      </c>
      <c r="T22" s="1380">
        <f t="shared" si="8"/>
        <v>1</v>
      </c>
      <c r="U22" s="349" t="s">
        <v>3412</v>
      </c>
      <c r="V22" s="349">
        <f>VLOOKUP(U22,'Share, Heavy Weapons to Ukraine'!B:AU,COLUMN('Share, Heavy Weapons to Ukraine'!AU21)-1,FALSE)+VLOOKUP(U22,'Share, Heavy Weapons to Ukraine'!B:AV,COLUMN('Share, Heavy Weapons to Ukraine'!AV21)-1,FALSE)+VLOOKUP(U22,'Share, Heavy Weapons to Ukraine'!B:AW,COLUMN('Share, Heavy Weapons to Ukraine'!AW21)-1,FALSE)</f>
        <v>7</v>
      </c>
      <c r="W22" s="349">
        <f>VLOOKUP(U22,'Share, Heavy Weapons to Ukraine'!B:BI,COLUMN('Share, Heavy Weapons to Ukraine'!BI21)-1,FALSE)+VLOOKUP(U22,'Share, Heavy Weapons to Ukraine'!B:BJ,COLUMN('Share, Heavy Weapons to Ukraine'!BJ21)-1,FALSE)+VLOOKUP(U22,'Share, Heavy Weapons to Ukraine'!B:BK,COLUMN('Share, Heavy Weapons to Ukraine'!BK21)-1,FALSE)</f>
        <v>7</v>
      </c>
      <c r="X22" s="1365">
        <f t="shared" si="13"/>
        <v>100</v>
      </c>
      <c r="Z22" s="1380">
        <f t="shared" si="9"/>
        <v>1</v>
      </c>
      <c r="AA22" s="349" t="s">
        <v>1711</v>
      </c>
      <c r="AB22" s="349">
        <f>VLOOKUP(AA22,'Share, Heavy Weapons to Ukraine'!B:AP,COLUMN('Share, Heavy Weapons to Ukraine'!AP13)-1,FALSE)</f>
        <v>60</v>
      </c>
      <c r="AC22" s="349">
        <f>VLOOKUP(AA22,'Share, Heavy Weapons to Ukraine'!B:BD,COLUMN('Share, Heavy Weapons to Ukraine'!BD13)-1,FALSE)</f>
        <v>40</v>
      </c>
      <c r="AD22" s="1365">
        <f t="shared" si="14"/>
        <v>66.666666666666657</v>
      </c>
      <c r="AF22" s="349" t="s">
        <v>3748</v>
      </c>
      <c r="AG22" s="349">
        <v>1</v>
      </c>
    </row>
    <row r="23" spans="2:33" ht="15.95" customHeight="1">
      <c r="B23" s="1380">
        <f t="shared" si="5"/>
        <v>0</v>
      </c>
      <c r="C23" s="349" t="s">
        <v>2989</v>
      </c>
      <c r="D23" s="350">
        <f>VLOOKUP(C23,'Share, Heavy Weapons to Ukraine'!B:AX,COLUMN('Share, Heavy Weapons to Ukraine'!AR17)-1,FALSE)</f>
        <v>54</v>
      </c>
      <c r="E23" s="350">
        <f>VLOOKUP(C23,'Share, Heavy Weapons to Ukraine'!B:BF,COLUMN('Share, Heavy Weapons to Ukraine'!BF14)-1,FALSE)</f>
        <v>54</v>
      </c>
      <c r="F23" s="1365">
        <f t="shared" si="10"/>
        <v>100</v>
      </c>
      <c r="H23" s="1380">
        <f t="shared" si="6"/>
        <v>1</v>
      </c>
      <c r="I23" s="349" t="s">
        <v>1711</v>
      </c>
      <c r="J23" s="349">
        <f>VLOOKUP(I23,'Share, Heavy Weapons to Ukraine'!B:AX,COLUMN('Share, Heavy Weapons to Ukraine'!AS14)-1,FALSE)</f>
        <v>5</v>
      </c>
      <c r="K23" s="349">
        <f>VLOOKUP(I23,'Share, Heavy Weapons to Ukraine'!B:BG,COLUMN('Share, Heavy Weapons to Ukraine'!BG16)-1,FALSE)</f>
        <v>5</v>
      </c>
      <c r="L23" s="1365">
        <f t="shared" si="11"/>
        <v>100</v>
      </c>
      <c r="N23" s="1380">
        <f t="shared" si="7"/>
        <v>1</v>
      </c>
      <c r="O23" s="349" t="s">
        <v>3949</v>
      </c>
      <c r="P23" s="349">
        <f>VLOOKUP(O23,'Share, Heavy Weapons to Ukraine'!B:AX,COLUMN('Share, Heavy Weapons to Ukraine'!AL27)-1,FALSE)</f>
        <v>76</v>
      </c>
      <c r="Q23" s="349">
        <f>VLOOKUP(O23,'Share, Heavy Weapons to Ukraine'!B:AZ,COLUMN('Share, Heavy Weapons to Ukraine'!AZ21)-1,FALSE)</f>
        <v>18.5</v>
      </c>
      <c r="R23" s="1365">
        <f t="shared" si="12"/>
        <v>24.342105263157894</v>
      </c>
      <c r="T23" s="1380">
        <f t="shared" si="8"/>
        <v>0</v>
      </c>
      <c r="U23" s="349" t="s">
        <v>3261</v>
      </c>
      <c r="V23" s="349">
        <f>VLOOKUP(U23,'Share, Heavy Weapons to Ukraine'!B:AU,COLUMN('Share, Heavy Weapons to Ukraine'!AU38)-1,FALSE)+VLOOKUP(U23,'Share, Heavy Weapons to Ukraine'!B:AV,COLUMN('Share, Heavy Weapons to Ukraine'!AV38)-1,FALSE)+VLOOKUP(U23,'Share, Heavy Weapons to Ukraine'!B:AW,COLUMN('Share, Heavy Weapons to Ukraine'!AW38)-1,FALSE)</f>
        <v>3</v>
      </c>
      <c r="W23" s="349">
        <f>VLOOKUP(U23,'Share, Heavy Weapons to Ukraine'!B:BI,COLUMN('Share, Heavy Weapons to Ukraine'!BI38)-1,FALSE)+VLOOKUP(U23,'Share, Heavy Weapons to Ukraine'!B:BJ,COLUMN('Share, Heavy Weapons to Ukraine'!BJ38)-1,FALSE)+VLOOKUP(U23,'Share, Heavy Weapons to Ukraine'!B:BK,COLUMN('Share, Heavy Weapons to Ukraine'!BK38)-1,FALSE)</f>
        <v>3</v>
      </c>
      <c r="X23" s="1365">
        <f t="shared" si="13"/>
        <v>100</v>
      </c>
      <c r="Z23" s="1380">
        <f t="shared" si="9"/>
        <v>1</v>
      </c>
      <c r="AA23" s="349" t="s">
        <v>1973</v>
      </c>
      <c r="AB23" s="349">
        <f>VLOOKUP(AA23,'Share, Heavy Weapons to Ukraine'!B:AP,COLUMN('Share, Heavy Weapons to Ukraine'!AP30)-1,FALSE)</f>
        <v>60</v>
      </c>
      <c r="AC23" s="349">
        <f>VLOOKUP(AA23,'Share, Heavy Weapons to Ukraine'!B:BD,COLUMN('Share, Heavy Weapons to Ukraine'!BD30)-1,FALSE)</f>
        <v>60</v>
      </c>
      <c r="AD23" s="1365">
        <f t="shared" si="14"/>
        <v>100</v>
      </c>
      <c r="AF23" s="349" t="s">
        <v>1711</v>
      </c>
      <c r="AG23" s="349">
        <v>1</v>
      </c>
    </row>
    <row r="24" spans="2:33" ht="15.95" customHeight="1">
      <c r="B24" s="1380">
        <f t="shared" si="5"/>
        <v>0</v>
      </c>
      <c r="C24" s="349" t="s">
        <v>1012</v>
      </c>
      <c r="D24" s="350">
        <f>VLOOKUP(C24,'Share, Heavy Weapons to Ukraine'!B:AX,COLUMN('Share, Heavy Weapons to Ukraine'!AR30)-1,FALSE)</f>
        <v>38</v>
      </c>
      <c r="E24" s="350">
        <f>VLOOKUP(C24,'Share, Heavy Weapons to Ukraine'!B:BF,COLUMN('Share, Heavy Weapons to Ukraine'!BF15)-1,FALSE)</f>
        <v>38</v>
      </c>
      <c r="F24" s="1365">
        <f t="shared" si="10"/>
        <v>100</v>
      </c>
      <c r="H24" s="1380">
        <f t="shared" si="6"/>
        <v>1</v>
      </c>
      <c r="I24" s="349" t="s">
        <v>2882</v>
      </c>
      <c r="J24" s="349">
        <f>VLOOKUP(I24,'Share, Heavy Weapons to Ukraine'!B:AX,COLUMN('Share, Heavy Weapons to Ukraine'!AS16)-1,FALSE)</f>
        <v>3</v>
      </c>
      <c r="K24" s="349">
        <f>VLOOKUP(I24,'Share, Heavy Weapons to Ukraine'!B:BG,COLUMN('Share, Heavy Weapons to Ukraine'!BG17)-1,FALSE)</f>
        <v>3</v>
      </c>
      <c r="L24" s="1365">
        <f t="shared" si="11"/>
        <v>100</v>
      </c>
      <c r="N24" s="1380">
        <f t="shared" si="7"/>
        <v>1</v>
      </c>
      <c r="O24" s="349" t="s">
        <v>1711</v>
      </c>
      <c r="P24" s="349">
        <f>VLOOKUP(O24,'Share, Heavy Weapons to Ukraine'!B:AX,COLUMN('Share, Heavy Weapons to Ukraine'!AL29)-1,FALSE)</f>
        <v>55</v>
      </c>
      <c r="Q24" s="349">
        <f>VLOOKUP(O24,'Share, Heavy Weapons to Ukraine'!B:AZ,COLUMN('Share, Heavy Weapons to Ukraine'!AZ24)-1,FALSE)</f>
        <v>18</v>
      </c>
      <c r="R24" s="1365">
        <f t="shared" si="12"/>
        <v>32.727272727272727</v>
      </c>
      <c r="T24" s="1380">
        <f t="shared" si="8"/>
        <v>0</v>
      </c>
      <c r="U24" s="349" t="s">
        <v>1012</v>
      </c>
      <c r="V24" s="349">
        <f>VLOOKUP(U24,'Share, Heavy Weapons to Ukraine'!B:AU,COLUMN('Share, Heavy Weapons to Ukraine'!AU15)-1,FALSE)+VLOOKUP(U24,'Share, Heavy Weapons to Ukraine'!B:AV,COLUMN('Share, Heavy Weapons to Ukraine'!AV15)-1,FALSE)+VLOOKUP(U24,'Share, Heavy Weapons to Ukraine'!B:AW,COLUMN('Share, Heavy Weapons to Ukraine'!AW15)-1,FALSE)</f>
        <v>2</v>
      </c>
      <c r="W24" s="349">
        <f>VLOOKUP(U24,'Share, Heavy Weapons to Ukraine'!B:BI,COLUMN('Share, Heavy Weapons to Ukraine'!BI15)-1,FALSE)+VLOOKUP(U24,'Share, Heavy Weapons to Ukraine'!B:BJ,COLUMN('Share, Heavy Weapons to Ukraine'!BJ15)-1,FALSE)+VLOOKUP(U24,'Share, Heavy Weapons to Ukraine'!B:BK,COLUMN('Share, Heavy Weapons to Ukraine'!BK15)-1,FALSE)</f>
        <v>0</v>
      </c>
      <c r="X24" s="1365">
        <f t="shared" si="13"/>
        <v>0</v>
      </c>
      <c r="Z24" s="1380">
        <f t="shared" si="9"/>
        <v>1</v>
      </c>
      <c r="AA24" s="349" t="s">
        <v>3548</v>
      </c>
      <c r="AB24" s="349">
        <f>VLOOKUP(AA24,'Share, Heavy Weapons to Ukraine'!B:AP,COLUMN('Share, Heavy Weapons to Ukraine'!AP19)-1,FALSE)</f>
        <v>50</v>
      </c>
      <c r="AC24" s="349">
        <f>VLOOKUP(AA24,'Share, Heavy Weapons to Ukraine'!B:BD,COLUMN('Share, Heavy Weapons to Ukraine'!BD19)-1,FALSE)</f>
        <v>0</v>
      </c>
      <c r="AD24" s="1365">
        <f t="shared" si="14"/>
        <v>0</v>
      </c>
      <c r="AF24" s="349" t="s">
        <v>2882</v>
      </c>
      <c r="AG24" s="349">
        <v>1</v>
      </c>
    </row>
    <row r="25" spans="2:33" ht="15.95" customHeight="1">
      <c r="B25" s="1380">
        <f t="shared" si="5"/>
        <v>1</v>
      </c>
      <c r="C25" s="349" t="s">
        <v>1711</v>
      </c>
      <c r="D25" s="350">
        <f>VLOOKUP(C25,'Share, Heavy Weapons to Ukraine'!B:AX,COLUMN('Share, Heavy Weapons to Ukraine'!AR13)-1,FALSE)</f>
        <v>37.333333333333329</v>
      </c>
      <c r="E25" s="350">
        <f>VLOOKUP(C25,'Share, Heavy Weapons to Ukraine'!B:BF,COLUMN('Share, Heavy Weapons to Ukraine'!BF16)-1,FALSE)</f>
        <v>14</v>
      </c>
      <c r="F25" s="1365">
        <f t="shared" si="10"/>
        <v>37.500000000000007</v>
      </c>
      <c r="H25" s="1380">
        <f t="shared" si="6"/>
        <v>1</v>
      </c>
      <c r="I25" s="349" t="s">
        <v>1523</v>
      </c>
      <c r="J25" s="349">
        <f>VLOOKUP(I25,'Share, Heavy Weapons to Ukraine'!B:AX,COLUMN('Share, Heavy Weapons to Ukraine'!AS17)-1,FALSE)</f>
        <v>2</v>
      </c>
      <c r="K25" s="349">
        <f>VLOOKUP(I25,'Share, Heavy Weapons to Ukraine'!B:BG,COLUMN('Share, Heavy Weapons to Ukraine'!BG18)-1,FALSE)</f>
        <v>2</v>
      </c>
      <c r="L25" s="1365">
        <f t="shared" si="11"/>
        <v>100</v>
      </c>
      <c r="N25" s="1380">
        <f t="shared" si="7"/>
        <v>1</v>
      </c>
      <c r="O25" s="349" t="s">
        <v>1194</v>
      </c>
      <c r="P25" s="349">
        <f>VLOOKUP(O25,'Share, Heavy Weapons to Ukraine'!B:AX,COLUMN('Share, Heavy Weapons to Ukraine'!AL41)-1,FALSE)</f>
        <v>43.666666666666664</v>
      </c>
      <c r="Q25" s="349">
        <f>VLOOKUP(O25,'Share, Heavy Weapons to Ukraine'!B:AZ,COLUMN('Share, Heavy Weapons to Ukraine'!AZ40)-1,FALSE)</f>
        <v>0</v>
      </c>
      <c r="R25" s="1365">
        <f t="shared" si="12"/>
        <v>0</v>
      </c>
      <c r="T25" s="1380">
        <f t="shared" si="8"/>
        <v>1</v>
      </c>
      <c r="U25" s="349" t="s">
        <v>2693</v>
      </c>
      <c r="V25" s="349">
        <f>VLOOKUP(U25,'Share, Heavy Weapons to Ukraine'!B:AU,COLUMN('Share, Heavy Weapons to Ukraine'!AU17)-1,FALSE)+VLOOKUP(U25,'Share, Heavy Weapons to Ukraine'!B:AV,COLUMN('Share, Heavy Weapons to Ukraine'!AV17)-1,FALSE)+VLOOKUP(U25,'Share, Heavy Weapons to Ukraine'!B:AW,COLUMN('Share, Heavy Weapons to Ukraine'!AW17)-1,FALSE)</f>
        <v>2</v>
      </c>
      <c r="W25" s="349">
        <f>VLOOKUP(U25,'Share, Heavy Weapons to Ukraine'!B:BI,COLUMN('Share, Heavy Weapons to Ukraine'!BI17)-1,FALSE)+VLOOKUP(U25,'Share, Heavy Weapons to Ukraine'!B:BJ,COLUMN('Share, Heavy Weapons to Ukraine'!BJ17)-1,FALSE)+VLOOKUP(U25,'Share, Heavy Weapons to Ukraine'!B:BK,COLUMN('Share, Heavy Weapons to Ukraine'!BK17)-1,FALSE)</f>
        <v>0</v>
      </c>
      <c r="X25" s="1365">
        <f t="shared" si="13"/>
        <v>0</v>
      </c>
      <c r="Z25" s="1380">
        <f t="shared" si="9"/>
        <v>0</v>
      </c>
      <c r="AA25" s="349" t="s">
        <v>2989</v>
      </c>
      <c r="AB25" s="349">
        <f>VLOOKUP(AA25,'Share, Heavy Weapons to Ukraine'!B:AP,COLUMN('Share, Heavy Weapons to Ukraine'!AP12)-1,FALSE)</f>
        <v>42</v>
      </c>
      <c r="AC25" s="349">
        <f>VLOOKUP(AA25,'Share, Heavy Weapons to Ukraine'!B:BD,COLUMN('Share, Heavy Weapons to Ukraine'!BD12)-1,FALSE)</f>
        <v>42</v>
      </c>
      <c r="AD25" s="1365">
        <f t="shared" si="14"/>
        <v>100</v>
      </c>
      <c r="AF25" s="349" t="s">
        <v>1523</v>
      </c>
      <c r="AG25" s="349">
        <v>1</v>
      </c>
    </row>
    <row r="26" spans="2:33" ht="15.95" customHeight="1">
      <c r="B26" s="1380">
        <f t="shared" si="5"/>
        <v>1</v>
      </c>
      <c r="C26" s="349" t="s">
        <v>1523</v>
      </c>
      <c r="D26" s="350">
        <f>VLOOKUP(C26,'Share, Heavy Weapons to Ukraine'!B:AX,COLUMN('Share, Heavy Weapons to Ukraine'!AR15)-1,FALSE)</f>
        <v>30</v>
      </c>
      <c r="E26" s="350">
        <f>VLOOKUP(C26,'Share, Heavy Weapons to Ukraine'!B:BF,COLUMN('Share, Heavy Weapons to Ukraine'!BF18)-1,FALSE)</f>
        <v>18</v>
      </c>
      <c r="F26" s="1365">
        <f t="shared" si="10"/>
        <v>60</v>
      </c>
      <c r="H26" s="1380">
        <f t="shared" si="6"/>
        <v>1</v>
      </c>
      <c r="I26" s="349" t="s">
        <v>2204</v>
      </c>
      <c r="J26" s="349">
        <f>VLOOKUP(I26,'Share, Heavy Weapons to Ukraine'!B:AX,COLUMN('Share, Heavy Weapons to Ukraine'!AS20)-1,FALSE)</f>
        <v>2</v>
      </c>
      <c r="K26" s="349">
        <f>VLOOKUP(I26,'Share, Heavy Weapons to Ukraine'!B:BG,COLUMN('Share, Heavy Weapons to Ukraine'!BG19)-1,FALSE)</f>
        <v>0</v>
      </c>
      <c r="L26" s="1365">
        <f t="shared" si="11"/>
        <v>0</v>
      </c>
      <c r="N26" s="1380">
        <f t="shared" si="7"/>
        <v>0</v>
      </c>
      <c r="O26" s="349" t="s">
        <v>3337</v>
      </c>
      <c r="P26" s="349">
        <f>VLOOKUP(O26,'Share, Heavy Weapons to Ukraine'!B:AX,COLUMN('Share, Heavy Weapons to Ukraine'!AL20)-1,FALSE)</f>
        <v>28</v>
      </c>
      <c r="Q26" s="349">
        <f>VLOOKUP(O26,'Share, Heavy Weapons to Ukraine'!B:AZ,COLUMN('Share, Heavy Weapons to Ukraine'!AZ23)-1,FALSE)</f>
        <v>28</v>
      </c>
      <c r="R26" s="1365">
        <f t="shared" si="12"/>
        <v>100</v>
      </c>
      <c r="T26" s="1380">
        <f t="shared" si="8"/>
        <v>1</v>
      </c>
      <c r="U26" s="349" t="s">
        <v>2882</v>
      </c>
      <c r="V26" s="349">
        <f>VLOOKUP(U26,'Share, Heavy Weapons to Ukraine'!B:AU,COLUMN('Share, Heavy Weapons to Ukraine'!AU23)-1,FALSE)+VLOOKUP(U26,'Share, Heavy Weapons to Ukraine'!B:AV,COLUMN('Share, Heavy Weapons to Ukraine'!AV23)-1,FALSE)+VLOOKUP(U26,'Share, Heavy Weapons to Ukraine'!B:AW,COLUMN('Share, Heavy Weapons to Ukraine'!AW23)-1,FALSE)</f>
        <v>2</v>
      </c>
      <c r="W26" s="349">
        <f>VLOOKUP(U26,'Share, Heavy Weapons to Ukraine'!B:BI,COLUMN('Share, Heavy Weapons to Ukraine'!BI23)-1,FALSE)+VLOOKUP(U26,'Share, Heavy Weapons to Ukraine'!B:BJ,COLUMN('Share, Heavy Weapons to Ukraine'!BJ23)-1,FALSE)+VLOOKUP(U26,'Share, Heavy Weapons to Ukraine'!B:BK,COLUMN('Share, Heavy Weapons to Ukraine'!BK23)-1,FALSE)</f>
        <v>0</v>
      </c>
      <c r="X26" s="1365">
        <f t="shared" si="13"/>
        <v>0</v>
      </c>
      <c r="Z26" s="1380">
        <f t="shared" si="9"/>
        <v>0</v>
      </c>
      <c r="AA26" s="349" t="s">
        <v>3337</v>
      </c>
      <c r="AB26" s="349">
        <f>VLOOKUP(AA26,'Share, Heavy Weapons to Ukraine'!B:AP,COLUMN('Share, Heavy Weapons to Ukraine'!AP17)-1,FALSE)</f>
        <v>35</v>
      </c>
      <c r="AC26" s="349">
        <f>VLOOKUP(AA26,'Share, Heavy Weapons to Ukraine'!B:BD,COLUMN('Share, Heavy Weapons to Ukraine'!BD17)-1,FALSE)</f>
        <v>35</v>
      </c>
      <c r="AD26" s="1365">
        <f t="shared" si="14"/>
        <v>100</v>
      </c>
      <c r="AF26" s="349" t="s">
        <v>2204</v>
      </c>
      <c r="AG26" s="349">
        <v>1</v>
      </c>
    </row>
    <row r="27" spans="2:33" ht="15.95" customHeight="1">
      <c r="B27" s="1380">
        <f t="shared" si="5"/>
        <v>1</v>
      </c>
      <c r="C27" s="349" t="s">
        <v>2882</v>
      </c>
      <c r="D27" s="350">
        <f>VLOOKUP(C27,'Share, Heavy Weapons to Ukraine'!B:AX,COLUMN('Share, Heavy Weapons to Ukraine'!AR16)-1,FALSE)</f>
        <v>27.333333333333332</v>
      </c>
      <c r="E27" s="350">
        <f>VLOOKUP(C27,'Share, Heavy Weapons to Ukraine'!B:BF,COLUMN('Share, Heavy Weapons to Ukraine'!BF19)-1,FALSE)</f>
        <v>22</v>
      </c>
      <c r="F27" s="1365">
        <f t="shared" si="10"/>
        <v>80.487804878048792</v>
      </c>
      <c r="H27" s="1380">
        <f t="shared" si="6"/>
        <v>1</v>
      </c>
      <c r="I27" s="349" t="s">
        <v>3162</v>
      </c>
      <c r="J27" s="349">
        <f>VLOOKUP(I27,'Share, Heavy Weapons to Ukraine'!B:AX,COLUMN('Share, Heavy Weapons to Ukraine'!AS18)-1,FALSE)</f>
        <v>0</v>
      </c>
      <c r="K27" s="349">
        <f>VLOOKUP(I27,'Share, Heavy Weapons to Ukraine'!B:BG,COLUMN('Share, Heavy Weapons to Ukraine'!BG20)-1,FALSE)</f>
        <v>0</v>
      </c>
      <c r="L27" s="1365" t="str">
        <f t="shared" si="11"/>
        <v>.</v>
      </c>
      <c r="N27" s="1380">
        <f t="shared" si="7"/>
        <v>1</v>
      </c>
      <c r="O27" s="349" t="s">
        <v>3748</v>
      </c>
      <c r="P27" s="349">
        <f>VLOOKUP(O27,'Share, Heavy Weapons to Ukraine'!B:AX,COLUMN('Share, Heavy Weapons to Ukraine'!AL23)-1,FALSE)</f>
        <v>14</v>
      </c>
      <c r="Q27" s="349">
        <f>VLOOKUP(O27,'Share, Heavy Weapons to Ukraine'!B:AZ,COLUMN('Share, Heavy Weapons to Ukraine'!AZ25)-1,FALSE)</f>
        <v>14</v>
      </c>
      <c r="R27" s="1365">
        <f t="shared" si="12"/>
        <v>100</v>
      </c>
      <c r="T27" s="1380">
        <f t="shared" si="8"/>
        <v>1</v>
      </c>
      <c r="U27" s="349" t="s">
        <v>1523</v>
      </c>
      <c r="V27" s="349">
        <f>VLOOKUP(U27,'Share, Heavy Weapons to Ukraine'!B:AU,COLUMN('Share, Heavy Weapons to Ukraine'!AU26)-1,FALSE)+VLOOKUP(U27,'Share, Heavy Weapons to Ukraine'!B:AV,COLUMN('Share, Heavy Weapons to Ukraine'!AV26)-1,FALSE)+VLOOKUP(U27,'Share, Heavy Weapons to Ukraine'!B:AW,COLUMN('Share, Heavy Weapons to Ukraine'!AW26)-1,FALSE)</f>
        <v>2</v>
      </c>
      <c r="W27" s="349">
        <f>VLOOKUP(U27,'Share, Heavy Weapons to Ukraine'!B:BI,COLUMN('Share, Heavy Weapons to Ukraine'!BI26)-1,FALSE)+VLOOKUP(U27,'Share, Heavy Weapons to Ukraine'!B:BJ,COLUMN('Share, Heavy Weapons to Ukraine'!BJ26)-1,FALSE)+VLOOKUP(U27,'Share, Heavy Weapons to Ukraine'!B:BK,COLUMN('Share, Heavy Weapons to Ukraine'!BK26)-1,FALSE)</f>
        <v>2</v>
      </c>
      <c r="X27" s="1365">
        <f t="shared" si="13"/>
        <v>100</v>
      </c>
      <c r="Z27" s="1380">
        <f t="shared" si="9"/>
        <v>0</v>
      </c>
      <c r="AA27" s="349" t="s">
        <v>3261</v>
      </c>
      <c r="AB27" s="349">
        <f>VLOOKUP(AA27,'Share, Heavy Weapons to Ukraine'!B:AP,COLUMN('Share, Heavy Weapons to Ukraine'!AP37)-1,FALSE)</f>
        <v>30</v>
      </c>
      <c r="AC27" s="349">
        <f>VLOOKUP(AA27,'Share, Heavy Weapons to Ukraine'!B:BD,COLUMN('Share, Heavy Weapons to Ukraine'!BD37)-1,FALSE)</f>
        <v>30</v>
      </c>
      <c r="AD27" s="1365">
        <f t="shared" si="14"/>
        <v>100</v>
      </c>
      <c r="AF27" s="349" t="s">
        <v>3162</v>
      </c>
      <c r="AG27" s="349">
        <v>1</v>
      </c>
    </row>
    <row r="28" spans="2:33" ht="15.95" customHeight="1">
      <c r="B28" s="1380">
        <f t="shared" si="5"/>
        <v>1</v>
      </c>
      <c r="C28" s="349" t="s">
        <v>1194</v>
      </c>
      <c r="D28" s="350">
        <f>VLOOKUP(C28,'Share, Heavy Weapons to Ukraine'!B:AX,COLUMN('Share, Heavy Weapons to Ukraine'!AR19)-1,FALSE)</f>
        <v>24.333333333333332</v>
      </c>
      <c r="E28" s="350">
        <f>VLOOKUP(C28,'Share, Heavy Weapons to Ukraine'!B:BF,COLUMN('Share, Heavy Weapons to Ukraine'!BF20)-1,FALSE)</f>
        <v>19</v>
      </c>
      <c r="F28" s="1365">
        <f t="shared" si="10"/>
        <v>78.082191780821915</v>
      </c>
      <c r="H28" s="1380">
        <f t="shared" si="6"/>
        <v>1</v>
      </c>
      <c r="I28" s="349" t="s">
        <v>359</v>
      </c>
      <c r="J28" s="349">
        <f>VLOOKUP(I28,'Share, Heavy Weapons to Ukraine'!B:AX,COLUMN('Share, Heavy Weapons to Ukraine'!AS19)-1,FALSE)</f>
        <v>0</v>
      </c>
      <c r="K28" s="349">
        <f>VLOOKUP(I28,'Share, Heavy Weapons to Ukraine'!B:BG,COLUMN('Share, Heavy Weapons to Ukraine'!BG21)-1,FALSE)</f>
        <v>0</v>
      </c>
      <c r="L28" s="1365" t="str">
        <f t="shared" si="11"/>
        <v>.</v>
      </c>
      <c r="N28" s="1380">
        <f t="shared" si="7"/>
        <v>1</v>
      </c>
      <c r="O28" s="349" t="s">
        <v>3548</v>
      </c>
      <c r="P28" s="349">
        <f>VLOOKUP(O28,'Share, Heavy Weapons to Ukraine'!B:AX,COLUMN('Share, Heavy Weapons to Ukraine'!AL35)-1,FALSE)</f>
        <v>10</v>
      </c>
      <c r="Q28" s="349">
        <f>VLOOKUP(O28,'Share, Heavy Weapons to Ukraine'!B:AZ,COLUMN('Share, Heavy Weapons to Ukraine'!AZ26)-1,FALSE)</f>
        <v>0</v>
      </c>
      <c r="R28" s="1365">
        <f t="shared" si="12"/>
        <v>0</v>
      </c>
      <c r="T28" s="1380">
        <f t="shared" si="8"/>
        <v>1</v>
      </c>
      <c r="U28" s="349" t="s">
        <v>2204</v>
      </c>
      <c r="V28" s="349">
        <f>VLOOKUP(U28,'Share, Heavy Weapons to Ukraine'!B:AU,COLUMN('Share, Heavy Weapons to Ukraine'!AU29)-1,FALSE)+VLOOKUP(U28,'Share, Heavy Weapons to Ukraine'!B:AV,COLUMN('Share, Heavy Weapons to Ukraine'!AV29)-1,FALSE)+VLOOKUP(U28,'Share, Heavy Weapons to Ukraine'!B:AW,COLUMN('Share, Heavy Weapons to Ukraine'!AW29)-1,FALSE)</f>
        <v>1</v>
      </c>
      <c r="W28" s="349">
        <f>VLOOKUP(U28,'Share, Heavy Weapons to Ukraine'!B:BI,COLUMN('Share, Heavy Weapons to Ukraine'!BI29)-1,FALSE)+VLOOKUP(U28,'Share, Heavy Weapons to Ukraine'!B:BJ,COLUMN('Share, Heavy Weapons to Ukraine'!BJ29)-1,FALSE)+VLOOKUP(U28,'Share, Heavy Weapons to Ukraine'!B:BK,COLUMN('Share, Heavy Weapons to Ukraine'!BK29)-1,FALSE)</f>
        <v>1</v>
      </c>
      <c r="X28" s="1365">
        <f t="shared" si="13"/>
        <v>100</v>
      </c>
      <c r="Z28" s="1380">
        <f t="shared" si="9"/>
        <v>0</v>
      </c>
      <c r="AA28" s="349" t="s">
        <v>1012</v>
      </c>
      <c r="AB28" s="349">
        <f>VLOOKUP(AA28,'Share, Heavy Weapons to Ukraine'!B:AP,COLUMN('Share, Heavy Weapons to Ukraine'!AP14)-1,FALSE)</f>
        <v>4</v>
      </c>
      <c r="AC28" s="349">
        <f>VLOOKUP(AA28,'Share, Heavy Weapons to Ukraine'!B:BD,COLUMN('Share, Heavy Weapons to Ukraine'!BD14)-1,FALSE)</f>
        <v>4</v>
      </c>
      <c r="AD28" s="1365">
        <f t="shared" si="14"/>
        <v>100</v>
      </c>
      <c r="AF28" s="349" t="s">
        <v>359</v>
      </c>
      <c r="AG28" s="349">
        <v>1</v>
      </c>
    </row>
    <row r="29" spans="2:33" ht="15.95" customHeight="1">
      <c r="B29" s="1380">
        <f t="shared" si="5"/>
        <v>0</v>
      </c>
      <c r="C29" s="349" t="s">
        <v>1305</v>
      </c>
      <c r="D29" s="350">
        <f>VLOOKUP(C29,'Share, Heavy Weapons to Ukraine'!B:AX,COLUMN('Share, Heavy Weapons to Ukraine'!AR41)-1,FALSE)</f>
        <v>24</v>
      </c>
      <c r="E29" s="350">
        <f>VLOOKUP(C29,'Share, Heavy Weapons to Ukraine'!B:BF,COLUMN('Share, Heavy Weapons to Ukraine'!BF21)-1,FALSE)</f>
        <v>0</v>
      </c>
      <c r="F29" s="1365">
        <f t="shared" si="10"/>
        <v>0</v>
      </c>
      <c r="H29" s="1380">
        <f t="shared" si="6"/>
        <v>1</v>
      </c>
      <c r="I29" s="349" t="s">
        <v>713</v>
      </c>
      <c r="J29" s="349">
        <f>VLOOKUP(I29,'Share, Heavy Weapons to Ukraine'!B:AX,COLUMN('Share, Heavy Weapons to Ukraine'!AS21)-1,FALSE)</f>
        <v>0</v>
      </c>
      <c r="K29" s="349">
        <f>VLOOKUP(I29,'Share, Heavy Weapons to Ukraine'!B:BG,COLUMN('Share, Heavy Weapons to Ukraine'!BG22)-1,FALSE)</f>
        <v>0</v>
      </c>
      <c r="L29" s="1365" t="str">
        <f t="shared" si="11"/>
        <v>.</v>
      </c>
      <c r="N29" s="1380">
        <f t="shared" si="7"/>
        <v>1</v>
      </c>
      <c r="O29" s="349" t="s">
        <v>3412</v>
      </c>
      <c r="P29" s="349">
        <f>VLOOKUP(O29,'Share, Heavy Weapons to Ukraine'!B:AX,COLUMN('Share, Heavy Weapons to Ukraine'!AL34)-1,FALSE)</f>
        <v>10</v>
      </c>
      <c r="Q29" s="349">
        <f>VLOOKUP(O29,'Share, Heavy Weapons to Ukraine'!B:AZ,COLUMN('Share, Heavy Weapons to Ukraine'!AZ27)-1,FALSE)</f>
        <v>10</v>
      </c>
      <c r="R29" s="1365">
        <f t="shared" si="12"/>
        <v>100</v>
      </c>
      <c r="T29" s="1380">
        <f t="shared" si="8"/>
        <v>0</v>
      </c>
      <c r="U29" s="349" t="s">
        <v>2989</v>
      </c>
      <c r="V29" s="349">
        <f>VLOOKUP(U29,'Share, Heavy Weapons to Ukraine'!B:AU,COLUMN('Share, Heavy Weapons to Ukraine'!AU13)-1,FALSE)+VLOOKUP(U29,'Share, Heavy Weapons to Ukraine'!B:AV,COLUMN('Share, Heavy Weapons to Ukraine'!AV13)-1,FALSE)+VLOOKUP(U29,'Share, Heavy Weapons to Ukraine'!B:AW,COLUMN('Share, Heavy Weapons to Ukraine'!AW13)-1,FALSE)</f>
        <v>0</v>
      </c>
      <c r="W29" s="349">
        <f>VLOOKUP(U29,'Share, Heavy Weapons to Ukraine'!B:BI,COLUMN('Share, Heavy Weapons to Ukraine'!BI13)-1,FALSE)+VLOOKUP(U29,'Share, Heavy Weapons to Ukraine'!B:BJ,COLUMN('Share, Heavy Weapons to Ukraine'!BJ13)-1,FALSE)+VLOOKUP(U29,'Share, Heavy Weapons to Ukraine'!B:BK,COLUMN('Share, Heavy Weapons to Ukraine'!BK13)-1,FALSE)</f>
        <v>0</v>
      </c>
      <c r="X29" s="1365" t="str">
        <f t="shared" si="13"/>
        <v>.</v>
      </c>
      <c r="Z29" s="1380">
        <f t="shared" si="9"/>
        <v>1</v>
      </c>
      <c r="AA29" s="349" t="s">
        <v>3748</v>
      </c>
      <c r="AB29" s="349">
        <f>VLOOKUP(AA29,'Share, Heavy Weapons to Ukraine'!B:AP,COLUMN('Share, Heavy Weapons to Ukraine'!AP18)-1,FALSE)</f>
        <v>0</v>
      </c>
      <c r="AC29" s="349">
        <f>VLOOKUP(AA29,'Share, Heavy Weapons to Ukraine'!B:BD,COLUMN('Share, Heavy Weapons to Ukraine'!BD18)-1,FALSE)</f>
        <v>0</v>
      </c>
      <c r="AD29" s="1365" t="str">
        <f t="shared" si="14"/>
        <v>.</v>
      </c>
      <c r="AF29" s="349" t="s">
        <v>713</v>
      </c>
      <c r="AG29" s="349">
        <v>1</v>
      </c>
    </row>
    <row r="30" spans="2:33" ht="15.95" customHeight="1">
      <c r="B30" s="1380">
        <f t="shared" si="5"/>
        <v>1</v>
      </c>
      <c r="C30" s="349" t="s">
        <v>2693</v>
      </c>
      <c r="D30" s="350">
        <f>VLOOKUP(C30,'Share, Heavy Weapons to Ukraine'!B:AX,COLUMN('Share, Heavy Weapons to Ukraine'!AR31)-1,FALSE)</f>
        <v>8</v>
      </c>
      <c r="E30" s="350">
        <f>VLOOKUP(C30,'Share, Heavy Weapons to Ukraine'!B:BF,COLUMN('Share, Heavy Weapons to Ukraine'!BF22)-1,FALSE)</f>
        <v>8</v>
      </c>
      <c r="F30" s="1365">
        <f t="shared" si="10"/>
        <v>100</v>
      </c>
      <c r="H30" s="1380">
        <f t="shared" si="6"/>
        <v>1</v>
      </c>
      <c r="I30" s="349" t="s">
        <v>2693</v>
      </c>
      <c r="J30" s="349">
        <f>VLOOKUP(I30,'Share, Heavy Weapons to Ukraine'!B:AX,COLUMN('Share, Heavy Weapons to Ukraine'!AS22)-1,FALSE)</f>
        <v>0</v>
      </c>
      <c r="K30" s="349">
        <f>VLOOKUP(I30,'Share, Heavy Weapons to Ukraine'!B:BG,COLUMN('Share, Heavy Weapons to Ukraine'!BG23)-1,FALSE)</f>
        <v>0</v>
      </c>
      <c r="L30" s="1365" t="str">
        <f t="shared" si="11"/>
        <v>.</v>
      </c>
      <c r="N30" s="1380">
        <f t="shared" si="7"/>
        <v>1</v>
      </c>
      <c r="O30" s="349" t="s">
        <v>713</v>
      </c>
      <c r="P30" s="349">
        <f>VLOOKUP(O30,'Share, Heavy Weapons to Ukraine'!B:AX,COLUMN('Share, Heavy Weapons to Ukraine'!AL33)-1,FALSE)</f>
        <v>8</v>
      </c>
      <c r="Q30" s="349">
        <f>VLOOKUP(O30,'Share, Heavy Weapons to Ukraine'!B:AZ,COLUMN('Share, Heavy Weapons to Ukraine'!AZ28)-1,FALSE)</f>
        <v>8</v>
      </c>
      <c r="R30" s="1365">
        <f t="shared" si="12"/>
        <v>100</v>
      </c>
      <c r="T30" s="1380">
        <f t="shared" si="8"/>
        <v>0</v>
      </c>
      <c r="U30" s="349" t="s">
        <v>3337</v>
      </c>
      <c r="V30" s="349">
        <f>VLOOKUP(U30,'Share, Heavy Weapons to Ukraine'!B:AU,COLUMN('Share, Heavy Weapons to Ukraine'!AU18)-1,FALSE)+VLOOKUP(U30,'Share, Heavy Weapons to Ukraine'!B:AV,COLUMN('Share, Heavy Weapons to Ukraine'!AV18)-1,FALSE)+VLOOKUP(U30,'Share, Heavy Weapons to Ukraine'!B:AW,COLUMN('Share, Heavy Weapons to Ukraine'!AW18)-1,FALSE)</f>
        <v>0</v>
      </c>
      <c r="W30" s="349">
        <f>VLOOKUP(U30,'Share, Heavy Weapons to Ukraine'!B:BI,COLUMN('Share, Heavy Weapons to Ukraine'!BI18)-1,FALSE)+VLOOKUP(U30,'Share, Heavy Weapons to Ukraine'!B:BJ,COLUMN('Share, Heavy Weapons to Ukraine'!BJ18)-1,FALSE)+VLOOKUP(U30,'Share, Heavy Weapons to Ukraine'!B:BK,COLUMN('Share, Heavy Weapons to Ukraine'!BK18)-1,FALSE)</f>
        <v>0</v>
      </c>
      <c r="X30" s="1365" t="str">
        <f t="shared" si="13"/>
        <v>.</v>
      </c>
      <c r="Z30" s="1380">
        <f t="shared" si="9"/>
        <v>1</v>
      </c>
      <c r="AA30" s="349" t="s">
        <v>3412</v>
      </c>
      <c r="AB30" s="349">
        <f>VLOOKUP(AA30,'Share, Heavy Weapons to Ukraine'!B:AP,COLUMN('Share, Heavy Weapons to Ukraine'!AP20)-1,FALSE)</f>
        <v>0</v>
      </c>
      <c r="AC30" s="349">
        <f>VLOOKUP(AA30,'Share, Heavy Weapons to Ukraine'!B:BD,COLUMN('Share, Heavy Weapons to Ukraine'!BD20)-1,FALSE)</f>
        <v>0</v>
      </c>
      <c r="AD30" s="1365" t="str">
        <f t="shared" si="14"/>
        <v>.</v>
      </c>
      <c r="AF30" s="349" t="s">
        <v>2693</v>
      </c>
      <c r="AG30" s="349">
        <v>1</v>
      </c>
    </row>
    <row r="31" spans="2:33" ht="15.95" customHeight="1">
      <c r="B31" s="1380">
        <f t="shared" si="5"/>
        <v>1</v>
      </c>
      <c r="C31" s="349" t="s">
        <v>3548</v>
      </c>
      <c r="D31" s="350">
        <f>VLOOKUP(C31,'Share, Heavy Weapons to Ukraine'!B:AX,COLUMN('Share, Heavy Weapons to Ukraine'!AR25)-1,FALSE)</f>
        <v>8</v>
      </c>
      <c r="E31" s="350">
        <f>VLOOKUP(C31,'Share, Heavy Weapons to Ukraine'!B:BF,COLUMN('Share, Heavy Weapons to Ukraine'!BF30)-1,FALSE)</f>
        <v>0</v>
      </c>
      <c r="F31" s="1365">
        <f t="shared" si="10"/>
        <v>0</v>
      </c>
      <c r="H31" s="1380">
        <f t="shared" si="6"/>
        <v>1</v>
      </c>
      <c r="I31" s="349" t="s">
        <v>3412</v>
      </c>
      <c r="J31" s="349">
        <f>VLOOKUP(I31,'Share, Heavy Weapons to Ukraine'!B:AX,COLUMN('Share, Heavy Weapons to Ukraine'!AS23)-1,FALSE)</f>
        <v>0</v>
      </c>
      <c r="K31" s="349">
        <f>VLOOKUP(I31,'Share, Heavy Weapons to Ukraine'!B:BG,COLUMN('Share, Heavy Weapons to Ukraine'!BG24)-1,FALSE)</f>
        <v>0</v>
      </c>
      <c r="L31" s="1365" t="str">
        <f t="shared" si="11"/>
        <v>.</v>
      </c>
      <c r="N31" s="1380">
        <f t="shared" si="7"/>
        <v>1</v>
      </c>
      <c r="O31" s="349" t="s">
        <v>2882</v>
      </c>
      <c r="P31" s="349">
        <f>VLOOKUP(O31,'Share, Heavy Weapons to Ukraine'!B:AX,COLUMN('Share, Heavy Weapons to Ukraine'!AL31)-1,FALSE)</f>
        <v>8</v>
      </c>
      <c r="Q31" s="349">
        <f>VLOOKUP(O31,'Share, Heavy Weapons to Ukraine'!B:AZ,COLUMN('Share, Heavy Weapons to Ukraine'!AZ29)-1,FALSE)</f>
        <v>0</v>
      </c>
      <c r="R31" s="1365">
        <f t="shared" si="12"/>
        <v>0</v>
      </c>
      <c r="T31" s="1380">
        <f t="shared" si="8"/>
        <v>1</v>
      </c>
      <c r="U31" s="349" t="s">
        <v>3748</v>
      </c>
      <c r="V31" s="349">
        <f>VLOOKUP(U31,'Share, Heavy Weapons to Ukraine'!B:AU,COLUMN('Share, Heavy Weapons to Ukraine'!AU19)-1,FALSE)+VLOOKUP(U31,'Share, Heavy Weapons to Ukraine'!B:AV,COLUMN('Share, Heavy Weapons to Ukraine'!AV19)-1,FALSE)+VLOOKUP(U31,'Share, Heavy Weapons to Ukraine'!B:AW,COLUMN('Share, Heavy Weapons to Ukraine'!AW19)-1,FALSE)</f>
        <v>0</v>
      </c>
      <c r="W31" s="349">
        <f>VLOOKUP(U31,'Share, Heavy Weapons to Ukraine'!B:BI,COLUMN('Share, Heavy Weapons to Ukraine'!BI19)-1,FALSE)+VLOOKUP(U31,'Share, Heavy Weapons to Ukraine'!B:BJ,COLUMN('Share, Heavy Weapons to Ukraine'!BJ19)-1,FALSE)+VLOOKUP(U31,'Share, Heavy Weapons to Ukraine'!B:BK,COLUMN('Share, Heavy Weapons to Ukraine'!BK19)-1,FALSE)</f>
        <v>0</v>
      </c>
      <c r="X31" s="1365" t="str">
        <f t="shared" si="13"/>
        <v>.</v>
      </c>
      <c r="Z31" s="1380">
        <f t="shared" si="9"/>
        <v>1</v>
      </c>
      <c r="AA31" s="349" t="s">
        <v>713</v>
      </c>
      <c r="AB31" s="349">
        <f>VLOOKUP(AA31,'Share, Heavy Weapons to Ukraine'!B:AP,COLUMN('Share, Heavy Weapons to Ukraine'!AP21)-1,FALSE)</f>
        <v>0</v>
      </c>
      <c r="AC31" s="349">
        <f>VLOOKUP(AA31,'Share, Heavy Weapons to Ukraine'!B:BD,COLUMN('Share, Heavy Weapons to Ukraine'!BD21)-1,FALSE)</f>
        <v>0</v>
      </c>
      <c r="AD31" s="1365" t="str">
        <f t="shared" si="14"/>
        <v>.</v>
      </c>
      <c r="AF31" s="349" t="s">
        <v>3412</v>
      </c>
      <c r="AG31" s="349">
        <v>1</v>
      </c>
    </row>
    <row r="32" spans="2:33" ht="15.95" customHeight="1">
      <c r="B32" s="1380">
        <f t="shared" si="5"/>
        <v>1</v>
      </c>
      <c r="C32" s="349" t="s">
        <v>359</v>
      </c>
      <c r="D32" s="350">
        <f>VLOOKUP(C32,'Share, Heavy Weapons to Ukraine'!B:AX,COLUMN('Share, Heavy Weapons to Ukraine'!AR42)-1,FALSE)</f>
        <v>6</v>
      </c>
      <c r="E32" s="350">
        <f>VLOOKUP(C32,'Share, Heavy Weapons to Ukraine'!B:BF,COLUMN('Share, Heavy Weapons to Ukraine'!BF23)-1,FALSE)</f>
        <v>6</v>
      </c>
      <c r="F32" s="1365">
        <f t="shared" si="10"/>
        <v>100</v>
      </c>
      <c r="H32" s="1380">
        <f t="shared" si="6"/>
        <v>0</v>
      </c>
      <c r="I32" s="349" t="s">
        <v>2989</v>
      </c>
      <c r="J32" s="349">
        <f>VLOOKUP(I32,'Share, Heavy Weapons to Ukraine'!B:AX,COLUMN('Share, Heavy Weapons to Ukraine'!AS24)-1,FALSE)</f>
        <v>0</v>
      </c>
      <c r="K32" s="349">
        <f>VLOOKUP(I32,'Share, Heavy Weapons to Ukraine'!B:BG,COLUMN('Share, Heavy Weapons to Ukraine'!BG25)-1,FALSE)</f>
        <v>0</v>
      </c>
      <c r="L32" s="1365" t="str">
        <f t="shared" si="11"/>
        <v>.</v>
      </c>
      <c r="N32" s="1380">
        <f t="shared" si="7"/>
        <v>1</v>
      </c>
      <c r="O32" s="349" t="s">
        <v>3079</v>
      </c>
      <c r="P32" s="349">
        <f>VLOOKUP(O32,'Share, Heavy Weapons to Ukraine'!B:AX,COLUMN('Share, Heavy Weapons to Ukraine'!AL44)-1,FALSE)</f>
        <v>3</v>
      </c>
      <c r="Q32" s="349">
        <f>VLOOKUP(O32,'Share, Heavy Weapons to Ukraine'!B:AZ,COLUMN('Share, Heavy Weapons to Ukraine'!AZ30)-1,FALSE)</f>
        <v>3</v>
      </c>
      <c r="R32" s="1365">
        <f t="shared" si="12"/>
        <v>100</v>
      </c>
      <c r="T32" s="1380">
        <f t="shared" si="8"/>
        <v>1</v>
      </c>
      <c r="U32" s="349" t="s">
        <v>3548</v>
      </c>
      <c r="V32" s="349">
        <f>VLOOKUP(U32,'Share, Heavy Weapons to Ukraine'!B:AU,COLUMN('Share, Heavy Weapons to Ukraine'!AU20)-1,FALSE)+VLOOKUP(U32,'Share, Heavy Weapons to Ukraine'!B:AV,COLUMN('Share, Heavy Weapons to Ukraine'!AV20)-1,FALSE)+VLOOKUP(U32,'Share, Heavy Weapons to Ukraine'!B:AW,COLUMN('Share, Heavy Weapons to Ukraine'!AW20)-1,FALSE)</f>
        <v>0</v>
      </c>
      <c r="W32" s="349">
        <f>VLOOKUP(U32,'Share, Heavy Weapons to Ukraine'!B:BI,COLUMN('Share, Heavy Weapons to Ukraine'!BI20)-1,FALSE)+VLOOKUP(U32,'Share, Heavy Weapons to Ukraine'!B:BJ,COLUMN('Share, Heavy Weapons to Ukraine'!BJ20)-1,FALSE)+VLOOKUP(U32,'Share, Heavy Weapons to Ukraine'!B:BK,COLUMN('Share, Heavy Weapons to Ukraine'!BK20)-1,FALSE)</f>
        <v>0</v>
      </c>
      <c r="X32" s="1365" t="str">
        <f t="shared" si="13"/>
        <v>.</v>
      </c>
      <c r="Z32" s="1380">
        <f t="shared" si="9"/>
        <v>1</v>
      </c>
      <c r="AA32" s="349" t="s">
        <v>2882</v>
      </c>
      <c r="AB32" s="349">
        <f>VLOOKUP(AA32,'Share, Heavy Weapons to Ukraine'!B:AP,COLUMN('Share, Heavy Weapons to Ukraine'!AP22)-1,FALSE)</f>
        <v>0</v>
      </c>
      <c r="AC32" s="349">
        <f>VLOOKUP(AA32,'Share, Heavy Weapons to Ukraine'!B:BD,COLUMN('Share, Heavy Weapons to Ukraine'!BD22)-1,FALSE)</f>
        <v>0</v>
      </c>
      <c r="AD32" s="1365" t="str">
        <f t="shared" si="14"/>
        <v>.</v>
      </c>
      <c r="AF32" s="349" t="s">
        <v>2989</v>
      </c>
      <c r="AG32" s="349">
        <v>0</v>
      </c>
    </row>
    <row r="33" spans="2:33" ht="15.95" customHeight="1">
      <c r="B33" s="1380">
        <f t="shared" si="5"/>
        <v>0</v>
      </c>
      <c r="C33" s="349" t="s">
        <v>2392</v>
      </c>
      <c r="D33" s="350">
        <f>VLOOKUP(C33,'Share, Heavy Weapons to Ukraine'!B:AX,COLUMN('Share, Heavy Weapons to Ukraine'!AR18)-1,FALSE)</f>
        <v>6</v>
      </c>
      <c r="E33" s="350">
        <f>VLOOKUP(C33,'Share, Heavy Weapons to Ukraine'!B:BF,COLUMN('Share, Heavy Weapons to Ukraine'!BF24)-1,FALSE)</f>
        <v>6</v>
      </c>
      <c r="F33" s="1365">
        <f t="shared" si="10"/>
        <v>100</v>
      </c>
      <c r="H33" s="1380">
        <f t="shared" si="6"/>
        <v>0</v>
      </c>
      <c r="I33" s="349" t="s">
        <v>3685</v>
      </c>
      <c r="J33" s="349">
        <f>VLOOKUP(I33,'Share, Heavy Weapons to Ukraine'!B:AX,COLUMN('Share, Heavy Weapons to Ukraine'!AS25)-1,FALSE)</f>
        <v>0</v>
      </c>
      <c r="K33" s="349">
        <f>VLOOKUP(I33,'Share, Heavy Weapons to Ukraine'!B:BG,COLUMN('Share, Heavy Weapons to Ukraine'!BG26)-1,FALSE)</f>
        <v>0</v>
      </c>
      <c r="L33" s="1365" t="str">
        <f t="shared" si="11"/>
        <v>.</v>
      </c>
      <c r="N33" s="1380">
        <f t="shared" si="7"/>
        <v>1</v>
      </c>
      <c r="O33" s="349" t="s">
        <v>1432</v>
      </c>
      <c r="P33" s="349">
        <f>VLOOKUP(O33,'Share, Heavy Weapons to Ukraine'!B:AX,COLUMN('Share, Heavy Weapons to Ukraine'!AL37)-1,FALSE)</f>
        <v>0</v>
      </c>
      <c r="Q33" s="349">
        <f>VLOOKUP(O33,'Share, Heavy Weapons to Ukraine'!B:AZ,COLUMN('Share, Heavy Weapons to Ukraine'!AZ31)-1,FALSE)</f>
        <v>0</v>
      </c>
      <c r="R33" s="1365" t="str">
        <f t="shared" si="12"/>
        <v>.</v>
      </c>
      <c r="T33" s="1380">
        <f t="shared" si="8"/>
        <v>1</v>
      </c>
      <c r="U33" s="349" t="s">
        <v>713</v>
      </c>
      <c r="V33" s="349">
        <f>VLOOKUP(U33,'Share, Heavy Weapons to Ukraine'!B:AU,COLUMN('Share, Heavy Weapons to Ukraine'!AU22)-1,FALSE)+VLOOKUP(U33,'Share, Heavy Weapons to Ukraine'!B:AV,COLUMN('Share, Heavy Weapons to Ukraine'!AV22)-1,FALSE)+VLOOKUP(U33,'Share, Heavy Weapons to Ukraine'!B:AW,COLUMN('Share, Heavy Weapons to Ukraine'!AW22)-1,FALSE)</f>
        <v>0</v>
      </c>
      <c r="W33" s="349">
        <f>VLOOKUP(U33,'Share, Heavy Weapons to Ukraine'!B:BI,COLUMN('Share, Heavy Weapons to Ukraine'!BI22)-1,FALSE)+VLOOKUP(U33,'Share, Heavy Weapons to Ukraine'!B:BJ,COLUMN('Share, Heavy Weapons to Ukraine'!BJ22)-1,FALSE)+VLOOKUP(U33,'Share, Heavy Weapons to Ukraine'!B:BK,COLUMN('Share, Heavy Weapons to Ukraine'!BK22)-1,FALSE)</f>
        <v>0</v>
      </c>
      <c r="X33" s="1365" t="str">
        <f t="shared" si="13"/>
        <v>.</v>
      </c>
      <c r="Z33" s="1380">
        <f t="shared" si="9"/>
        <v>1</v>
      </c>
      <c r="AA33" s="349" t="s">
        <v>3079</v>
      </c>
      <c r="AB33" s="349">
        <f>VLOOKUP(AA33,'Share, Heavy Weapons to Ukraine'!B:AP,COLUMN('Share, Heavy Weapons to Ukraine'!AP23)-1,FALSE)</f>
        <v>0</v>
      </c>
      <c r="AC33" s="349">
        <f>VLOOKUP(AA33,'Share, Heavy Weapons to Ukraine'!B:BD,COLUMN('Share, Heavy Weapons to Ukraine'!BD23)-1,FALSE)</f>
        <v>0</v>
      </c>
      <c r="AD33" s="1365" t="str">
        <f t="shared" si="14"/>
        <v>.</v>
      </c>
      <c r="AF33" s="349" t="s">
        <v>3685</v>
      </c>
      <c r="AG33" s="349">
        <v>0</v>
      </c>
    </row>
    <row r="34" spans="2:33" ht="15.95" customHeight="1">
      <c r="B34" s="1380">
        <f t="shared" si="5"/>
        <v>1</v>
      </c>
      <c r="C34" s="349" t="s">
        <v>3079</v>
      </c>
      <c r="D34" s="350">
        <f>VLOOKUP(C34,'Share, Heavy Weapons to Ukraine'!B:AX,COLUMN('Share, Heavy Weapons to Ukraine'!AR20)-1,FALSE)</f>
        <v>5</v>
      </c>
      <c r="E34" s="350">
        <f>VLOOKUP(C34,'Share, Heavy Weapons to Ukraine'!B:BF,COLUMN('Share, Heavy Weapons to Ukraine'!BF25)-1,FALSE)</f>
        <v>0</v>
      </c>
      <c r="F34" s="1365">
        <f t="shared" si="10"/>
        <v>0</v>
      </c>
      <c r="H34" s="1380">
        <f t="shared" si="6"/>
        <v>1</v>
      </c>
      <c r="I34" s="349" t="s">
        <v>3548</v>
      </c>
      <c r="J34" s="349">
        <f>VLOOKUP(I34,'Share, Heavy Weapons to Ukraine'!B:AX,COLUMN('Share, Heavy Weapons to Ukraine'!AS26)-1,FALSE)</f>
        <v>0</v>
      </c>
      <c r="K34" s="349">
        <f>VLOOKUP(I34,'Share, Heavy Weapons to Ukraine'!B:BG,COLUMN('Share, Heavy Weapons to Ukraine'!BG27)-1,FALSE)</f>
        <v>0</v>
      </c>
      <c r="L34" s="1365" t="str">
        <f t="shared" si="11"/>
        <v>.</v>
      </c>
      <c r="N34" s="1380">
        <f t="shared" si="7"/>
        <v>1</v>
      </c>
      <c r="O34" s="349" t="s">
        <v>1523</v>
      </c>
      <c r="P34" s="349">
        <f>VLOOKUP(O34,'Share, Heavy Weapons to Ukraine'!B:AX,COLUMN('Share, Heavy Weapons to Ukraine'!AL21)-1,FALSE)</f>
        <v>0</v>
      </c>
      <c r="Q34" s="349">
        <f>VLOOKUP(O34,'Share, Heavy Weapons to Ukraine'!B:AZ,COLUMN('Share, Heavy Weapons to Ukraine'!AZ32)-1,FALSE)</f>
        <v>0</v>
      </c>
      <c r="R34" s="1365" t="str">
        <f t="shared" si="12"/>
        <v>.</v>
      </c>
      <c r="T34" s="1380">
        <f t="shared" si="8"/>
        <v>1</v>
      </c>
      <c r="U34" s="349" t="s">
        <v>3079</v>
      </c>
      <c r="V34" s="349">
        <f>VLOOKUP(U34,'Share, Heavy Weapons to Ukraine'!B:AU,COLUMN('Share, Heavy Weapons to Ukraine'!AU24)-1,FALSE)+VLOOKUP(U34,'Share, Heavy Weapons to Ukraine'!B:AV,COLUMN('Share, Heavy Weapons to Ukraine'!AV24)-1,FALSE)+VLOOKUP(U34,'Share, Heavy Weapons to Ukraine'!B:AW,COLUMN('Share, Heavy Weapons to Ukraine'!AW24)-1,FALSE)</f>
        <v>0</v>
      </c>
      <c r="W34" s="349">
        <f>VLOOKUP(U34,'Share, Heavy Weapons to Ukraine'!B:BI,COLUMN('Share, Heavy Weapons to Ukraine'!BI24)-1,FALSE)+VLOOKUP(U34,'Share, Heavy Weapons to Ukraine'!B:BJ,COLUMN('Share, Heavy Weapons to Ukraine'!BJ24)-1,FALSE)+VLOOKUP(U34,'Share, Heavy Weapons to Ukraine'!B:BK,COLUMN('Share, Heavy Weapons to Ukraine'!BK24)-1,FALSE)</f>
        <v>0</v>
      </c>
      <c r="X34" s="1365" t="str">
        <f t="shared" si="13"/>
        <v>.</v>
      </c>
      <c r="Z34" s="1380">
        <f t="shared" si="9"/>
        <v>1</v>
      </c>
      <c r="AA34" s="349" t="s">
        <v>1432</v>
      </c>
      <c r="AB34" s="349">
        <f>VLOOKUP(AA34,'Share, Heavy Weapons to Ukraine'!B:AP,COLUMN('Share, Heavy Weapons to Ukraine'!AP24)-1,FALSE)</f>
        <v>0</v>
      </c>
      <c r="AC34" s="349">
        <f>VLOOKUP(AA34,'Share, Heavy Weapons to Ukraine'!B:BD,COLUMN('Share, Heavy Weapons to Ukraine'!BD24)-1,FALSE)</f>
        <v>0</v>
      </c>
      <c r="AD34" s="1365" t="str">
        <f t="shared" si="14"/>
        <v>.</v>
      </c>
      <c r="AF34" s="349" t="s">
        <v>3548</v>
      </c>
      <c r="AG34" s="349">
        <v>1</v>
      </c>
    </row>
    <row r="35" spans="2:33" ht="15.95" customHeight="1">
      <c r="B35" s="1380">
        <f t="shared" si="5"/>
        <v>1</v>
      </c>
      <c r="C35" s="349" t="s">
        <v>713</v>
      </c>
      <c r="D35" s="350">
        <f>VLOOKUP(C35,'Share, Heavy Weapons to Ukraine'!B:AX,COLUMN('Share, Heavy Weapons to Ukraine'!AR35)-1,FALSE)</f>
        <v>4</v>
      </c>
      <c r="E35" s="350">
        <f>VLOOKUP(C35,'Share, Heavy Weapons to Ukraine'!B:BF,COLUMN('Share, Heavy Weapons to Ukraine'!BF26)-1,FALSE)</f>
        <v>4</v>
      </c>
      <c r="F35" s="1365">
        <f t="shared" si="10"/>
        <v>100</v>
      </c>
      <c r="H35" s="1380">
        <f t="shared" si="6"/>
        <v>1</v>
      </c>
      <c r="I35" s="349" t="s">
        <v>1973</v>
      </c>
      <c r="J35" s="349">
        <f>VLOOKUP(I35,'Share, Heavy Weapons to Ukraine'!B:AX,COLUMN('Share, Heavy Weapons to Ukraine'!AS27)-1,FALSE)</f>
        <v>0</v>
      </c>
      <c r="K35" s="349">
        <f>VLOOKUP(I35,'Share, Heavy Weapons to Ukraine'!B:BG,COLUMN('Share, Heavy Weapons to Ukraine'!BG28)-1,FALSE)</f>
        <v>0</v>
      </c>
      <c r="L35" s="1365" t="str">
        <f t="shared" si="11"/>
        <v>.</v>
      </c>
      <c r="N35" s="1380">
        <f t="shared" si="7"/>
        <v>1</v>
      </c>
      <c r="O35" s="349" t="s">
        <v>3162</v>
      </c>
      <c r="P35" s="349">
        <f>VLOOKUP(O35,'Share, Heavy Weapons to Ukraine'!B:AX,COLUMN('Share, Heavy Weapons to Ukraine'!AL38)-1,FALSE)</f>
        <v>0</v>
      </c>
      <c r="Q35" s="349">
        <f>VLOOKUP(O35,'Share, Heavy Weapons to Ukraine'!B:AZ,COLUMN('Share, Heavy Weapons to Ukraine'!AZ33)-1,FALSE)</f>
        <v>0</v>
      </c>
      <c r="R35" s="1365" t="str">
        <f t="shared" si="12"/>
        <v>.</v>
      </c>
      <c r="T35" s="1380">
        <f t="shared" si="8"/>
        <v>1</v>
      </c>
      <c r="U35" s="349" t="s">
        <v>1432</v>
      </c>
      <c r="V35" s="349">
        <f>VLOOKUP(U35,'Share, Heavy Weapons to Ukraine'!B:AU,COLUMN('Share, Heavy Weapons to Ukraine'!AU25)-1,FALSE)+VLOOKUP(U35,'Share, Heavy Weapons to Ukraine'!B:AV,COLUMN('Share, Heavy Weapons to Ukraine'!AV25)-1,FALSE)+VLOOKUP(U35,'Share, Heavy Weapons to Ukraine'!B:AW,COLUMN('Share, Heavy Weapons to Ukraine'!AW25)-1,FALSE)</f>
        <v>0</v>
      </c>
      <c r="W35" s="349">
        <f>VLOOKUP(U35,'Share, Heavy Weapons to Ukraine'!B:BI,COLUMN('Share, Heavy Weapons to Ukraine'!BI25)-1,FALSE)+VLOOKUP(U35,'Share, Heavy Weapons to Ukraine'!B:BJ,COLUMN('Share, Heavy Weapons to Ukraine'!BJ25)-1,FALSE)+VLOOKUP(U35,'Share, Heavy Weapons to Ukraine'!B:BK,COLUMN('Share, Heavy Weapons to Ukraine'!BK25)-1,FALSE)</f>
        <v>0</v>
      </c>
      <c r="X35" s="1365" t="str">
        <f t="shared" si="13"/>
        <v>.</v>
      </c>
      <c r="Z35" s="1380">
        <f t="shared" si="9"/>
        <v>1</v>
      </c>
      <c r="AA35" s="349" t="s">
        <v>1523</v>
      </c>
      <c r="AB35" s="349">
        <f>VLOOKUP(AA35,'Share, Heavy Weapons to Ukraine'!B:AP,COLUMN('Share, Heavy Weapons to Ukraine'!AP25)-1,FALSE)</f>
        <v>0</v>
      </c>
      <c r="AC35" s="349">
        <f>VLOOKUP(AA35,'Share, Heavy Weapons to Ukraine'!B:BD,COLUMN('Share, Heavy Weapons to Ukraine'!BD25)-1,FALSE)</f>
        <v>0</v>
      </c>
      <c r="AD35" s="1365" t="str">
        <f t="shared" si="14"/>
        <v>.</v>
      </c>
      <c r="AF35" s="349" t="s">
        <v>1973</v>
      </c>
      <c r="AG35" s="349">
        <v>1</v>
      </c>
    </row>
    <row r="36" spans="2:33" ht="15.95" customHeight="1">
      <c r="B36" s="1380">
        <f t="shared" si="5"/>
        <v>1</v>
      </c>
      <c r="C36" s="349" t="s">
        <v>3162</v>
      </c>
      <c r="D36" s="350">
        <f>VLOOKUP(C36,'Share, Heavy Weapons to Ukraine'!B:AX,COLUMN('Share, Heavy Weapons to Ukraine'!AR21)-1,FALSE)</f>
        <v>0</v>
      </c>
      <c r="E36" s="350">
        <f>VLOOKUP(C36,'Share, Heavy Weapons to Ukraine'!B:BF,COLUMN('Share, Heavy Weapons to Ukraine'!BF27)-1,FALSE)</f>
        <v>0</v>
      </c>
      <c r="F36" s="1365" t="str">
        <f t="shared" si="10"/>
        <v>.</v>
      </c>
      <c r="H36" s="1380">
        <f t="shared" si="6"/>
        <v>1</v>
      </c>
      <c r="I36" s="349" t="s">
        <v>558</v>
      </c>
      <c r="J36" s="349">
        <f>VLOOKUP(I36,'Share, Heavy Weapons to Ukraine'!B:AX,COLUMN('Share, Heavy Weapons to Ukraine'!AS28)-1,FALSE)</f>
        <v>0</v>
      </c>
      <c r="K36" s="349">
        <f>VLOOKUP(I36,'Share, Heavy Weapons to Ukraine'!B:BG,COLUMN('Share, Heavy Weapons to Ukraine'!BG29)-1,FALSE)</f>
        <v>0</v>
      </c>
      <c r="L36" s="1365" t="str">
        <f t="shared" si="11"/>
        <v>.</v>
      </c>
      <c r="N36" s="1380">
        <f t="shared" si="7"/>
        <v>1</v>
      </c>
      <c r="O36" s="349" t="s">
        <v>359</v>
      </c>
      <c r="P36" s="349">
        <f>VLOOKUP(O36,'Share, Heavy Weapons to Ukraine'!B:AX,COLUMN('Share, Heavy Weapons to Ukraine'!AL40)-1,FALSE)</f>
        <v>0</v>
      </c>
      <c r="Q36" s="349">
        <f>VLOOKUP(O36,'Share, Heavy Weapons to Ukraine'!B:AZ,COLUMN('Share, Heavy Weapons to Ukraine'!AZ34)-1,FALSE)</f>
        <v>0</v>
      </c>
      <c r="R36" s="1365" t="str">
        <f t="shared" si="12"/>
        <v>.</v>
      </c>
      <c r="T36" s="1380">
        <f t="shared" si="8"/>
        <v>1</v>
      </c>
      <c r="U36" s="349" t="s">
        <v>3162</v>
      </c>
      <c r="V36" s="349">
        <f>VLOOKUP(U36,'Share, Heavy Weapons to Ukraine'!B:AU,COLUMN('Share, Heavy Weapons to Ukraine'!AU27)-1,FALSE)+VLOOKUP(U36,'Share, Heavy Weapons to Ukraine'!B:AV,COLUMN('Share, Heavy Weapons to Ukraine'!AV27)-1,FALSE)+VLOOKUP(U36,'Share, Heavy Weapons to Ukraine'!B:AW,COLUMN('Share, Heavy Weapons to Ukraine'!AW27)-1,FALSE)</f>
        <v>0</v>
      </c>
      <c r="W36" s="349">
        <f>VLOOKUP(U36,'Share, Heavy Weapons to Ukraine'!B:BI,COLUMN('Share, Heavy Weapons to Ukraine'!BI27)-1,FALSE)+VLOOKUP(U36,'Share, Heavy Weapons to Ukraine'!B:BJ,COLUMN('Share, Heavy Weapons to Ukraine'!BJ27)-1,FALSE)+VLOOKUP(U36,'Share, Heavy Weapons to Ukraine'!B:BK,COLUMN('Share, Heavy Weapons to Ukraine'!BK27)-1,FALSE)</f>
        <v>0</v>
      </c>
      <c r="X36" s="1365" t="str">
        <f t="shared" si="13"/>
        <v>.</v>
      </c>
      <c r="Z36" s="1380">
        <f t="shared" si="9"/>
        <v>1</v>
      </c>
      <c r="AA36" s="349" t="s">
        <v>3162</v>
      </c>
      <c r="AB36" s="349">
        <f>VLOOKUP(AA36,'Share, Heavy Weapons to Ukraine'!B:AP,COLUMN('Share, Heavy Weapons to Ukraine'!AP26)-1,FALSE)</f>
        <v>0</v>
      </c>
      <c r="AC36" s="349">
        <f>VLOOKUP(AA36,'Share, Heavy Weapons to Ukraine'!B:BD,COLUMN('Share, Heavy Weapons to Ukraine'!BD26)-1,FALSE)</f>
        <v>0</v>
      </c>
      <c r="AD36" s="1365" t="str">
        <f t="shared" si="14"/>
        <v>.</v>
      </c>
      <c r="AF36" s="349" t="s">
        <v>558</v>
      </c>
      <c r="AG36" s="349">
        <v>1</v>
      </c>
    </row>
    <row r="37" spans="2:33" ht="15.95" customHeight="1">
      <c r="B37" s="1380">
        <f t="shared" si="5"/>
        <v>1</v>
      </c>
      <c r="C37" s="349" t="s">
        <v>3412</v>
      </c>
      <c r="D37" s="350">
        <f>VLOOKUP(C37,'Share, Heavy Weapons to Ukraine'!B:AX,COLUMN('Share, Heavy Weapons to Ukraine'!AR22)-1,FALSE)</f>
        <v>0</v>
      </c>
      <c r="E37" s="350">
        <f>VLOOKUP(C37,'Share, Heavy Weapons to Ukraine'!B:BF,COLUMN('Share, Heavy Weapons to Ukraine'!BF28)-1,FALSE)</f>
        <v>0</v>
      </c>
      <c r="F37" s="1365" t="str">
        <f t="shared" si="10"/>
        <v>.</v>
      </c>
      <c r="H37" s="1380">
        <f t="shared" si="6"/>
        <v>1</v>
      </c>
      <c r="I37" s="349" t="s">
        <v>1432</v>
      </c>
      <c r="J37" s="349">
        <f>VLOOKUP(I37,'Share, Heavy Weapons to Ukraine'!B:AX,COLUMN('Share, Heavy Weapons to Ukraine'!AS29)-1,FALSE)</f>
        <v>0</v>
      </c>
      <c r="K37" s="349">
        <f>VLOOKUP(I37,'Share, Heavy Weapons to Ukraine'!B:BG,COLUMN('Share, Heavy Weapons to Ukraine'!BG30)-1,FALSE)</f>
        <v>0</v>
      </c>
      <c r="L37" s="1365" t="str">
        <f t="shared" si="11"/>
        <v>.</v>
      </c>
      <c r="N37" s="1380">
        <f t="shared" si="7"/>
        <v>1</v>
      </c>
      <c r="O37" s="349" t="s">
        <v>2204</v>
      </c>
      <c r="P37" s="349">
        <f>VLOOKUP(O37,'Share, Heavy Weapons to Ukraine'!B:AX,COLUMN('Share, Heavy Weapons to Ukraine'!AL45)-1,FALSE)</f>
        <v>0</v>
      </c>
      <c r="Q37" s="349">
        <f>VLOOKUP(O37,'Share, Heavy Weapons to Ukraine'!B:AZ,COLUMN('Share, Heavy Weapons to Ukraine'!AZ35)-1,FALSE)</f>
        <v>0</v>
      </c>
      <c r="R37" s="1365" t="str">
        <f t="shared" si="12"/>
        <v>.</v>
      </c>
      <c r="T37" s="1380">
        <f t="shared" si="8"/>
        <v>1</v>
      </c>
      <c r="U37" s="349" t="s">
        <v>359</v>
      </c>
      <c r="V37" s="349">
        <f>VLOOKUP(U37,'Share, Heavy Weapons to Ukraine'!B:AU,COLUMN('Share, Heavy Weapons to Ukraine'!AU28)-1,FALSE)+VLOOKUP(U37,'Share, Heavy Weapons to Ukraine'!B:AV,COLUMN('Share, Heavy Weapons to Ukraine'!AV28)-1,FALSE)+VLOOKUP(U37,'Share, Heavy Weapons to Ukraine'!B:AW,COLUMN('Share, Heavy Weapons to Ukraine'!AW28)-1,FALSE)</f>
        <v>0</v>
      </c>
      <c r="W37" s="349">
        <f>VLOOKUP(U37,'Share, Heavy Weapons to Ukraine'!B:BI,COLUMN('Share, Heavy Weapons to Ukraine'!BI28)-1,FALSE)+VLOOKUP(U37,'Share, Heavy Weapons to Ukraine'!B:BJ,COLUMN('Share, Heavy Weapons to Ukraine'!BJ28)-1,FALSE)+VLOOKUP(U37,'Share, Heavy Weapons to Ukraine'!B:BK,COLUMN('Share, Heavy Weapons to Ukraine'!BK28)-1,FALSE)</f>
        <v>0</v>
      </c>
      <c r="X37" s="1365" t="str">
        <f t="shared" si="13"/>
        <v>.</v>
      </c>
      <c r="Z37" s="1380">
        <f t="shared" si="9"/>
        <v>1</v>
      </c>
      <c r="AA37" s="349" t="s">
        <v>359</v>
      </c>
      <c r="AB37" s="349">
        <f>VLOOKUP(AA37,'Share, Heavy Weapons to Ukraine'!B:AP,COLUMN('Share, Heavy Weapons to Ukraine'!AP27)-1,FALSE)</f>
        <v>0</v>
      </c>
      <c r="AC37" s="349">
        <f>VLOOKUP(AA37,'Share, Heavy Weapons to Ukraine'!B:BD,COLUMN('Share, Heavy Weapons to Ukraine'!BD27)-1,FALSE)</f>
        <v>0</v>
      </c>
      <c r="AD37" s="1365" t="str">
        <f t="shared" si="14"/>
        <v>.</v>
      </c>
      <c r="AF37" s="349" t="s">
        <v>1432</v>
      </c>
      <c r="AG37" s="349">
        <v>1</v>
      </c>
    </row>
    <row r="38" spans="2:33" ht="15.95" customHeight="1">
      <c r="B38" s="1380">
        <f t="shared" si="5"/>
        <v>0</v>
      </c>
      <c r="C38" s="349" t="s">
        <v>3685</v>
      </c>
      <c r="D38" s="350">
        <f>VLOOKUP(C38,'Share, Heavy Weapons to Ukraine'!B:AX,COLUMN('Share, Heavy Weapons to Ukraine'!AR24)-1,FALSE)</f>
        <v>0</v>
      </c>
      <c r="E38" s="350">
        <f>VLOOKUP(C38,'Share, Heavy Weapons to Ukraine'!B:BF,COLUMN('Share, Heavy Weapons to Ukraine'!BF29)-1,FALSE)</f>
        <v>0</v>
      </c>
      <c r="F38" s="1365" t="str">
        <f t="shared" si="10"/>
        <v>.</v>
      </c>
      <c r="H38" s="1380">
        <f t="shared" si="6"/>
        <v>0</v>
      </c>
      <c r="I38" s="349" t="s">
        <v>3214</v>
      </c>
      <c r="J38" s="349">
        <f>VLOOKUP(I38,'Share, Heavy Weapons to Ukraine'!B:AX,COLUMN('Share, Heavy Weapons to Ukraine'!AS30)-1,FALSE)</f>
        <v>0</v>
      </c>
      <c r="K38" s="349">
        <f>VLOOKUP(I38,'Share, Heavy Weapons to Ukraine'!B:BG,COLUMN('Share, Heavy Weapons to Ukraine'!BG31)-1,FALSE)</f>
        <v>0</v>
      </c>
      <c r="L38" s="1365" t="str">
        <f t="shared" si="11"/>
        <v>.</v>
      </c>
      <c r="N38" s="1380">
        <f t="shared" si="7"/>
        <v>0</v>
      </c>
      <c r="O38" s="349" t="s">
        <v>3685</v>
      </c>
      <c r="P38" s="349">
        <f>VLOOKUP(O38,'Share, Heavy Weapons to Ukraine'!B:AX,COLUMN('Share, Heavy Weapons to Ukraine'!AL22)-1,FALSE)</f>
        <v>0</v>
      </c>
      <c r="Q38" s="349">
        <f>VLOOKUP(O38,'Share, Heavy Weapons to Ukraine'!B:AZ,COLUMN('Share, Heavy Weapons to Ukraine'!AZ36)-1,FALSE)</f>
        <v>0</v>
      </c>
      <c r="R38" s="1365" t="str">
        <f t="shared" si="12"/>
        <v>.</v>
      </c>
      <c r="T38" s="1380">
        <f t="shared" si="8"/>
        <v>0</v>
      </c>
      <c r="U38" s="349" t="s">
        <v>3685</v>
      </c>
      <c r="V38" s="349">
        <f>VLOOKUP(U38,'Share, Heavy Weapons to Ukraine'!B:AU,COLUMN('Share, Heavy Weapons to Ukraine'!AU30)-1,FALSE)+VLOOKUP(U38,'Share, Heavy Weapons to Ukraine'!B:AV,COLUMN('Share, Heavy Weapons to Ukraine'!AV30)-1,FALSE)+VLOOKUP(U38,'Share, Heavy Weapons to Ukraine'!B:AW,COLUMN('Share, Heavy Weapons to Ukraine'!AW30)-1,FALSE)</f>
        <v>0</v>
      </c>
      <c r="W38" s="349">
        <f>VLOOKUP(U38,'Share, Heavy Weapons to Ukraine'!B:BI,COLUMN('Share, Heavy Weapons to Ukraine'!BI30)-1,FALSE)+VLOOKUP(U38,'Share, Heavy Weapons to Ukraine'!B:BJ,COLUMN('Share, Heavy Weapons to Ukraine'!BJ30)-1,FALSE)+VLOOKUP(U38,'Share, Heavy Weapons to Ukraine'!B:BK,COLUMN('Share, Heavy Weapons to Ukraine'!BK30)-1,FALSE)</f>
        <v>0</v>
      </c>
      <c r="X38" s="1365" t="str">
        <f t="shared" si="13"/>
        <v>.</v>
      </c>
      <c r="Z38" s="1380">
        <f t="shared" si="9"/>
        <v>1</v>
      </c>
      <c r="AA38" s="349" t="s">
        <v>2204</v>
      </c>
      <c r="AB38" s="349">
        <f>VLOOKUP(AA38,'Share, Heavy Weapons to Ukraine'!B:AP,COLUMN('Share, Heavy Weapons to Ukraine'!AP28)-1,FALSE)</f>
        <v>0</v>
      </c>
      <c r="AC38" s="349">
        <f>VLOOKUP(AA38,'Share, Heavy Weapons to Ukraine'!B:BD,COLUMN('Share, Heavy Weapons to Ukraine'!BD28)-1,FALSE)</f>
        <v>0</v>
      </c>
      <c r="AD38" s="1365" t="str">
        <f t="shared" si="14"/>
        <v>.</v>
      </c>
      <c r="AF38" s="349" t="s">
        <v>3214</v>
      </c>
      <c r="AG38" s="349">
        <v>0</v>
      </c>
    </row>
    <row r="39" spans="2:33" ht="15.95" customHeight="1">
      <c r="B39" s="1380">
        <f t="shared" si="5"/>
        <v>1</v>
      </c>
      <c r="C39" s="349" t="s">
        <v>1973</v>
      </c>
      <c r="D39" s="350">
        <f>VLOOKUP(C39,'Share, Heavy Weapons to Ukraine'!B:AX,COLUMN('Share, Heavy Weapons to Ukraine'!AR26)-1,FALSE)</f>
        <v>0</v>
      </c>
      <c r="E39" s="350">
        <f>VLOOKUP(C39,'Share, Heavy Weapons to Ukraine'!B:BF,COLUMN('Share, Heavy Weapons to Ukraine'!BF31)-1,FALSE)</f>
        <v>0</v>
      </c>
      <c r="F39" s="1365" t="str">
        <f t="shared" si="10"/>
        <v>.</v>
      </c>
      <c r="H39" s="1380">
        <f t="shared" si="6"/>
        <v>1</v>
      </c>
      <c r="I39" s="349" t="s">
        <v>1194</v>
      </c>
      <c r="J39" s="349">
        <f>VLOOKUP(I39,'Share, Heavy Weapons to Ukraine'!B:AX,COLUMN('Share, Heavy Weapons to Ukraine'!AS31)-1,FALSE)</f>
        <v>0</v>
      </c>
      <c r="K39" s="349">
        <f>VLOOKUP(I39,'Share, Heavy Weapons to Ukraine'!B:BG,COLUMN('Share, Heavy Weapons to Ukraine'!BG32)-1,FALSE)</f>
        <v>0</v>
      </c>
      <c r="L39" s="1365" t="str">
        <f t="shared" si="11"/>
        <v>.</v>
      </c>
      <c r="N39" s="1380">
        <f t="shared" si="7"/>
        <v>1</v>
      </c>
      <c r="O39" s="349" t="s">
        <v>1973</v>
      </c>
      <c r="P39" s="349">
        <f>VLOOKUP(O39,'Share, Heavy Weapons to Ukraine'!B:AX,COLUMN('Share, Heavy Weapons to Ukraine'!AL26)-1,FALSE)</f>
        <v>0</v>
      </c>
      <c r="Q39" s="349">
        <f>VLOOKUP(O39,'Share, Heavy Weapons to Ukraine'!B:AZ,COLUMN('Share, Heavy Weapons to Ukraine'!AZ37)-1,FALSE)</f>
        <v>0</v>
      </c>
      <c r="R39" s="1365" t="str">
        <f t="shared" si="12"/>
        <v>.</v>
      </c>
      <c r="T39" s="1380">
        <f t="shared" si="8"/>
        <v>1</v>
      </c>
      <c r="U39" s="349" t="s">
        <v>1973</v>
      </c>
      <c r="V39" s="349">
        <f>VLOOKUP(U39,'Share, Heavy Weapons to Ukraine'!B:AU,COLUMN('Share, Heavy Weapons to Ukraine'!AU31)-1,FALSE)+VLOOKUP(U39,'Share, Heavy Weapons to Ukraine'!B:AV,COLUMN('Share, Heavy Weapons to Ukraine'!AV31)-1,FALSE)+VLOOKUP(U39,'Share, Heavy Weapons to Ukraine'!B:AW,COLUMN('Share, Heavy Weapons to Ukraine'!AW31)-1,FALSE)</f>
        <v>0</v>
      </c>
      <c r="W39" s="349">
        <f>VLOOKUP(U39,'Share, Heavy Weapons to Ukraine'!B:BI,COLUMN('Share, Heavy Weapons to Ukraine'!BI31)-1,FALSE)+VLOOKUP(U39,'Share, Heavy Weapons to Ukraine'!B:BJ,COLUMN('Share, Heavy Weapons to Ukraine'!BJ31)-1,FALSE)+VLOOKUP(U39,'Share, Heavy Weapons to Ukraine'!B:BK,COLUMN('Share, Heavy Weapons to Ukraine'!BK31)-1,FALSE)</f>
        <v>0</v>
      </c>
      <c r="X39" s="1365" t="str">
        <f t="shared" si="13"/>
        <v>.</v>
      </c>
      <c r="Z39" s="1380">
        <f t="shared" si="9"/>
        <v>0</v>
      </c>
      <c r="AA39" s="349" t="s">
        <v>3685</v>
      </c>
      <c r="AB39" s="349">
        <f>VLOOKUP(AA39,'Share, Heavy Weapons to Ukraine'!B:AP,COLUMN('Share, Heavy Weapons to Ukraine'!AP29)-1,FALSE)</f>
        <v>0</v>
      </c>
      <c r="AC39" s="349">
        <f>VLOOKUP(AA39,'Share, Heavy Weapons to Ukraine'!B:BD,COLUMN('Share, Heavy Weapons to Ukraine'!BD29)-1,FALSE)</f>
        <v>0</v>
      </c>
      <c r="AD39" s="1365" t="str">
        <f t="shared" si="14"/>
        <v>.</v>
      </c>
      <c r="AF39" s="349" t="s">
        <v>1194</v>
      </c>
      <c r="AG39" s="349">
        <v>1</v>
      </c>
    </row>
    <row r="40" spans="2:33" ht="15.95" customHeight="1">
      <c r="B40" s="1380">
        <f t="shared" si="5"/>
        <v>1</v>
      </c>
      <c r="C40" s="349" t="s">
        <v>558</v>
      </c>
      <c r="D40" s="350">
        <f>VLOOKUP(C40,'Share, Heavy Weapons to Ukraine'!B:AX,COLUMN('Share, Heavy Weapons to Ukraine'!AR27)-1,FALSE)</f>
        <v>0</v>
      </c>
      <c r="E40" s="350">
        <f>VLOOKUP(C40,'Share, Heavy Weapons to Ukraine'!B:BF,COLUMN('Share, Heavy Weapons to Ukraine'!BF32)-1,FALSE)</f>
        <v>0</v>
      </c>
      <c r="F40" s="1365" t="str">
        <f t="shared" si="10"/>
        <v>.</v>
      </c>
      <c r="H40" s="1380">
        <f t="shared" si="6"/>
        <v>1</v>
      </c>
      <c r="I40" s="349" t="s">
        <v>454</v>
      </c>
      <c r="J40" s="349">
        <f>VLOOKUP(I40,'Share, Heavy Weapons to Ukraine'!B:AX,COLUMN('Share, Heavy Weapons to Ukraine'!AS32)-1,FALSE)</f>
        <v>0</v>
      </c>
      <c r="K40" s="349">
        <f>VLOOKUP(I40,'Share, Heavy Weapons to Ukraine'!B:BG,COLUMN('Share, Heavy Weapons to Ukraine'!BG33)-1,FALSE)</f>
        <v>0</v>
      </c>
      <c r="L40" s="1365" t="str">
        <f t="shared" si="11"/>
        <v>.</v>
      </c>
      <c r="N40" s="1380">
        <f t="shared" si="7"/>
        <v>1</v>
      </c>
      <c r="O40" s="349" t="s">
        <v>558</v>
      </c>
      <c r="P40" s="349">
        <f>VLOOKUP(O40,'Share, Heavy Weapons to Ukraine'!B:AX,COLUMN('Share, Heavy Weapons to Ukraine'!AL36)-1,FALSE)</f>
        <v>0</v>
      </c>
      <c r="Q40" s="349">
        <f>VLOOKUP(O40,'Share, Heavy Weapons to Ukraine'!B:AZ,COLUMN('Share, Heavy Weapons to Ukraine'!AZ38)-1,FALSE)</f>
        <v>0</v>
      </c>
      <c r="R40" s="1365" t="str">
        <f t="shared" si="12"/>
        <v>.</v>
      </c>
      <c r="T40" s="1380">
        <f t="shared" si="8"/>
        <v>1</v>
      </c>
      <c r="U40" s="349" t="s">
        <v>558</v>
      </c>
      <c r="V40" s="349">
        <f>VLOOKUP(U40,'Share, Heavy Weapons to Ukraine'!B:AU,COLUMN('Share, Heavy Weapons to Ukraine'!AU32)-1,FALSE)+VLOOKUP(U40,'Share, Heavy Weapons to Ukraine'!B:AV,COLUMN('Share, Heavy Weapons to Ukraine'!AV32)-1,FALSE)+VLOOKUP(U40,'Share, Heavy Weapons to Ukraine'!B:AW,COLUMN('Share, Heavy Weapons to Ukraine'!AW32)-1,FALSE)</f>
        <v>0</v>
      </c>
      <c r="W40" s="349">
        <f>VLOOKUP(U40,'Share, Heavy Weapons to Ukraine'!B:BI,COLUMN('Share, Heavy Weapons to Ukraine'!BI32)-1,FALSE)+VLOOKUP(U40,'Share, Heavy Weapons to Ukraine'!B:BJ,COLUMN('Share, Heavy Weapons to Ukraine'!BJ32)-1,FALSE)+VLOOKUP(U40,'Share, Heavy Weapons to Ukraine'!B:BK,COLUMN('Share, Heavy Weapons to Ukraine'!BK32)-1,FALSE)</f>
        <v>0</v>
      </c>
      <c r="X40" s="1365" t="str">
        <f t="shared" si="13"/>
        <v>.</v>
      </c>
      <c r="Z40" s="1380">
        <f t="shared" si="9"/>
        <v>1</v>
      </c>
      <c r="AA40" s="349" t="s">
        <v>558</v>
      </c>
      <c r="AB40" s="349">
        <f>VLOOKUP(AA40,'Share, Heavy Weapons to Ukraine'!B:AP,COLUMN('Share, Heavy Weapons to Ukraine'!AP31)-1,FALSE)</f>
        <v>0</v>
      </c>
      <c r="AC40" s="349">
        <f>VLOOKUP(AA40,'Share, Heavy Weapons to Ukraine'!B:BD,COLUMN('Share, Heavy Weapons to Ukraine'!BD31)-1,FALSE)</f>
        <v>0</v>
      </c>
      <c r="AD40" s="1365" t="str">
        <f t="shared" si="14"/>
        <v>.</v>
      </c>
      <c r="AF40" s="349" t="s">
        <v>454</v>
      </c>
      <c r="AG40" s="349">
        <v>1</v>
      </c>
    </row>
    <row r="41" spans="2:33" ht="15.95" customHeight="1">
      <c r="B41" s="1380">
        <f t="shared" si="5"/>
        <v>1</v>
      </c>
      <c r="C41" s="349" t="s">
        <v>1432</v>
      </c>
      <c r="D41" s="350">
        <f>VLOOKUP(C41,'Share, Heavy Weapons to Ukraine'!B:AX,COLUMN('Share, Heavy Weapons to Ukraine'!AR28)-1,FALSE)</f>
        <v>0</v>
      </c>
      <c r="E41" s="350">
        <f>VLOOKUP(C41,'Share, Heavy Weapons to Ukraine'!B:BF,COLUMN('Share, Heavy Weapons to Ukraine'!BF33)-1,FALSE)</f>
        <v>0</v>
      </c>
      <c r="F41" s="1365" t="str">
        <f t="shared" si="10"/>
        <v>.</v>
      </c>
      <c r="H41" s="1380">
        <f t="shared" si="6"/>
        <v>1</v>
      </c>
      <c r="I41" s="349" t="s">
        <v>2832</v>
      </c>
      <c r="J41" s="349">
        <f>VLOOKUP(I41,'Share, Heavy Weapons to Ukraine'!B:AX,COLUMN('Share, Heavy Weapons to Ukraine'!AS33)-1,FALSE)</f>
        <v>0</v>
      </c>
      <c r="K41" s="349">
        <f>VLOOKUP(I41,'Share, Heavy Weapons to Ukraine'!B:BG,COLUMN('Share, Heavy Weapons to Ukraine'!BG34)-1,FALSE)</f>
        <v>0</v>
      </c>
      <c r="L41" s="1365" t="str">
        <f t="shared" si="11"/>
        <v>.</v>
      </c>
      <c r="N41" s="1380">
        <f t="shared" si="7"/>
        <v>0</v>
      </c>
      <c r="O41" s="349" t="s">
        <v>3214</v>
      </c>
      <c r="P41" s="349">
        <f>VLOOKUP(O41,'Share, Heavy Weapons to Ukraine'!B:AX,COLUMN('Share, Heavy Weapons to Ukraine'!AL39)-1,FALSE)</f>
        <v>0</v>
      </c>
      <c r="Q41" s="349">
        <f>VLOOKUP(O41,'Share, Heavy Weapons to Ukraine'!B:AZ,COLUMN('Share, Heavy Weapons to Ukraine'!AZ39)-1,FALSE)</f>
        <v>0</v>
      </c>
      <c r="R41" s="1365" t="str">
        <f t="shared" si="12"/>
        <v>.</v>
      </c>
      <c r="T41" s="1380">
        <f t="shared" si="8"/>
        <v>0</v>
      </c>
      <c r="U41" s="349" t="s">
        <v>3214</v>
      </c>
      <c r="V41" s="349">
        <f>VLOOKUP(U41,'Share, Heavy Weapons to Ukraine'!B:AU,COLUMN('Share, Heavy Weapons to Ukraine'!AU33)-1,FALSE)+VLOOKUP(U41,'Share, Heavy Weapons to Ukraine'!B:AV,COLUMN('Share, Heavy Weapons to Ukraine'!AV33)-1,FALSE)+VLOOKUP(U41,'Share, Heavy Weapons to Ukraine'!B:AW,COLUMN('Share, Heavy Weapons to Ukraine'!AW33)-1,FALSE)</f>
        <v>0</v>
      </c>
      <c r="W41" s="349">
        <f>VLOOKUP(U41,'Share, Heavy Weapons to Ukraine'!B:BI,COLUMN('Share, Heavy Weapons to Ukraine'!BI33)-1,FALSE)+VLOOKUP(U41,'Share, Heavy Weapons to Ukraine'!B:BJ,COLUMN('Share, Heavy Weapons to Ukraine'!BJ33)-1,FALSE)+VLOOKUP(U41,'Share, Heavy Weapons to Ukraine'!B:BK,COLUMN('Share, Heavy Weapons to Ukraine'!BK33)-1,FALSE)</f>
        <v>0</v>
      </c>
      <c r="X41" s="1365" t="str">
        <f t="shared" si="13"/>
        <v>.</v>
      </c>
      <c r="Z41" s="1380">
        <f t="shared" si="9"/>
        <v>0</v>
      </c>
      <c r="AA41" s="349" t="s">
        <v>3214</v>
      </c>
      <c r="AB41" s="349">
        <f>VLOOKUP(AA41,'Share, Heavy Weapons to Ukraine'!B:AP,COLUMN('Share, Heavy Weapons to Ukraine'!AP32)-1,FALSE)</f>
        <v>0</v>
      </c>
      <c r="AC41" s="349">
        <f>VLOOKUP(AA41,'Share, Heavy Weapons to Ukraine'!B:BD,COLUMN('Share, Heavy Weapons to Ukraine'!BD32)-1,FALSE)</f>
        <v>0</v>
      </c>
      <c r="AD41" s="1365" t="str">
        <f t="shared" si="14"/>
        <v>.</v>
      </c>
      <c r="AF41" s="349" t="s">
        <v>2832</v>
      </c>
      <c r="AG41" s="349">
        <v>1</v>
      </c>
    </row>
    <row r="42" spans="2:33" ht="15.95" customHeight="1">
      <c r="B42" s="1380">
        <f t="shared" si="5"/>
        <v>0</v>
      </c>
      <c r="C42" s="349" t="s">
        <v>3214</v>
      </c>
      <c r="D42" s="350">
        <f>VLOOKUP(C42,'Share, Heavy Weapons to Ukraine'!B:AX,COLUMN('Share, Heavy Weapons to Ukraine'!AR29)-1,FALSE)</f>
        <v>0</v>
      </c>
      <c r="E42" s="350">
        <f>VLOOKUP(C42,'Share, Heavy Weapons to Ukraine'!B:BF,COLUMN('Share, Heavy Weapons to Ukraine'!BF34)-1,FALSE)</f>
        <v>0</v>
      </c>
      <c r="F42" s="1365" t="str">
        <f t="shared" si="10"/>
        <v>.</v>
      </c>
      <c r="H42" s="1380">
        <f t="shared" si="6"/>
        <v>1</v>
      </c>
      <c r="I42" s="349" t="s">
        <v>3079</v>
      </c>
      <c r="J42" s="349">
        <f>VLOOKUP(I42,'Share, Heavy Weapons to Ukraine'!B:AX,COLUMN('Share, Heavy Weapons to Ukraine'!AS34)-1,FALSE)</f>
        <v>0</v>
      </c>
      <c r="K42" s="349">
        <f>VLOOKUP(I42,'Share, Heavy Weapons to Ukraine'!B:BG,COLUMN('Share, Heavy Weapons to Ukraine'!BG35)-1,FALSE)</f>
        <v>0</v>
      </c>
      <c r="L42" s="1365" t="str">
        <f t="shared" si="11"/>
        <v>.</v>
      </c>
      <c r="N42" s="1380">
        <f t="shared" si="7"/>
        <v>1</v>
      </c>
      <c r="O42" s="349" t="s">
        <v>454</v>
      </c>
      <c r="P42" s="349">
        <f>VLOOKUP(O42,'Share, Heavy Weapons to Ukraine'!B:AX,COLUMN('Share, Heavy Weapons to Ukraine'!AL42)-1,FALSE)</f>
        <v>0</v>
      </c>
      <c r="Q42" s="349">
        <f>VLOOKUP(O42,'Share, Heavy Weapons to Ukraine'!B:AZ,COLUMN('Share, Heavy Weapons to Ukraine'!AZ41)-1,FALSE)</f>
        <v>0</v>
      </c>
      <c r="R42" s="1365" t="str">
        <f t="shared" si="12"/>
        <v>.</v>
      </c>
      <c r="T42" s="1380">
        <f t="shared" si="8"/>
        <v>1</v>
      </c>
      <c r="U42" s="349" t="s">
        <v>1194</v>
      </c>
      <c r="V42" s="349">
        <f>VLOOKUP(U42,'Share, Heavy Weapons to Ukraine'!B:AU,COLUMN('Share, Heavy Weapons to Ukraine'!AU34)-1,FALSE)+VLOOKUP(U42,'Share, Heavy Weapons to Ukraine'!B:AV,COLUMN('Share, Heavy Weapons to Ukraine'!AV34)-1,FALSE)+VLOOKUP(U42,'Share, Heavy Weapons to Ukraine'!B:AW,COLUMN('Share, Heavy Weapons to Ukraine'!AW34)-1,FALSE)</f>
        <v>0</v>
      </c>
      <c r="W42" s="349">
        <f>VLOOKUP(U42,'Share, Heavy Weapons to Ukraine'!B:BI,COLUMN('Share, Heavy Weapons to Ukraine'!BI34)-1,FALSE)+VLOOKUP(U42,'Share, Heavy Weapons to Ukraine'!B:BJ,COLUMN('Share, Heavy Weapons to Ukraine'!BJ34)-1,FALSE)+VLOOKUP(U42,'Share, Heavy Weapons to Ukraine'!B:BK,COLUMN('Share, Heavy Weapons to Ukraine'!BK34)-1,FALSE)</f>
        <v>0</v>
      </c>
      <c r="X42" s="1365" t="str">
        <f t="shared" si="13"/>
        <v>.</v>
      </c>
      <c r="Z42" s="1380">
        <f t="shared" si="9"/>
        <v>1</v>
      </c>
      <c r="AA42" s="349" t="s">
        <v>1194</v>
      </c>
      <c r="AB42" s="349">
        <f>VLOOKUP(AA42,'Share, Heavy Weapons to Ukraine'!B:AP,COLUMN('Share, Heavy Weapons to Ukraine'!AP33)-1,FALSE)</f>
        <v>0</v>
      </c>
      <c r="AC42" s="349">
        <f>VLOOKUP(AA42,'Share, Heavy Weapons to Ukraine'!B:BD,COLUMN('Share, Heavy Weapons to Ukraine'!BD33)-1,FALSE)</f>
        <v>0</v>
      </c>
      <c r="AD42" s="1365" t="str">
        <f t="shared" si="14"/>
        <v>.</v>
      </c>
      <c r="AF42" s="349" t="s">
        <v>3079</v>
      </c>
      <c r="AG42" s="349">
        <v>1</v>
      </c>
    </row>
    <row r="43" spans="2:33" ht="15.95" customHeight="1">
      <c r="B43" s="1380">
        <f t="shared" si="5"/>
        <v>1</v>
      </c>
      <c r="C43" s="349" t="s">
        <v>454</v>
      </c>
      <c r="D43" s="350">
        <f>VLOOKUP(C43,'Share, Heavy Weapons to Ukraine'!B:AX,COLUMN('Share, Heavy Weapons to Ukraine'!AR32)-1,FALSE)</f>
        <v>0</v>
      </c>
      <c r="E43" s="350">
        <f>VLOOKUP(C43,'Share, Heavy Weapons to Ukraine'!B:BF,COLUMN('Share, Heavy Weapons to Ukraine'!BF35)-1,FALSE)</f>
        <v>0</v>
      </c>
      <c r="F43" s="1365" t="str">
        <f t="shared" si="10"/>
        <v>.</v>
      </c>
      <c r="H43" s="1380">
        <f t="shared" si="6"/>
        <v>0</v>
      </c>
      <c r="I43" s="349" t="s">
        <v>2028</v>
      </c>
      <c r="J43" s="349">
        <f>VLOOKUP(I43,'Share, Heavy Weapons to Ukraine'!B:AX,COLUMN('Share, Heavy Weapons to Ukraine'!AS35)-1,FALSE)</f>
        <v>0</v>
      </c>
      <c r="K43" s="349">
        <f>VLOOKUP(I43,'Share, Heavy Weapons to Ukraine'!B:BG,COLUMN('Share, Heavy Weapons to Ukraine'!BG36)-1,FALSE)</f>
        <v>0</v>
      </c>
      <c r="L43" s="1365" t="str">
        <f t="shared" si="11"/>
        <v>.</v>
      </c>
      <c r="N43" s="1380">
        <f t="shared" si="7"/>
        <v>1</v>
      </c>
      <c r="O43" s="349" t="s">
        <v>2832</v>
      </c>
      <c r="P43" s="349">
        <f>VLOOKUP(O43,'Share, Heavy Weapons to Ukraine'!B:AX,COLUMN('Share, Heavy Weapons to Ukraine'!AL43)-1,FALSE)</f>
        <v>0</v>
      </c>
      <c r="Q43" s="349">
        <f>VLOOKUP(O43,'Share, Heavy Weapons to Ukraine'!B:AZ,COLUMN('Share, Heavy Weapons to Ukraine'!AZ42)-1,FALSE)</f>
        <v>0</v>
      </c>
      <c r="R43" s="1365" t="str">
        <f t="shared" si="12"/>
        <v>.</v>
      </c>
      <c r="T43" s="1380">
        <f t="shared" si="8"/>
        <v>1</v>
      </c>
      <c r="U43" s="349" t="s">
        <v>454</v>
      </c>
      <c r="V43" s="349">
        <f>VLOOKUP(U43,'Share, Heavy Weapons to Ukraine'!B:AU,COLUMN('Share, Heavy Weapons to Ukraine'!AU35)-1,FALSE)+VLOOKUP(U43,'Share, Heavy Weapons to Ukraine'!B:AV,COLUMN('Share, Heavy Weapons to Ukraine'!AV35)-1,FALSE)+VLOOKUP(U43,'Share, Heavy Weapons to Ukraine'!B:AW,COLUMN('Share, Heavy Weapons to Ukraine'!AW35)-1,FALSE)</f>
        <v>0</v>
      </c>
      <c r="W43" s="349">
        <f>VLOOKUP(U43,'Share, Heavy Weapons to Ukraine'!B:BI,COLUMN('Share, Heavy Weapons to Ukraine'!BI35)-1,FALSE)+VLOOKUP(U43,'Share, Heavy Weapons to Ukraine'!B:BJ,COLUMN('Share, Heavy Weapons to Ukraine'!BJ35)-1,FALSE)+VLOOKUP(U43,'Share, Heavy Weapons to Ukraine'!B:BK,COLUMN('Share, Heavy Weapons to Ukraine'!BK35)-1,FALSE)</f>
        <v>0</v>
      </c>
      <c r="X43" s="1365" t="str">
        <f t="shared" si="13"/>
        <v>.</v>
      </c>
      <c r="Z43" s="1380">
        <f t="shared" si="9"/>
        <v>1</v>
      </c>
      <c r="AA43" s="349" t="s">
        <v>454</v>
      </c>
      <c r="AB43" s="349">
        <f>VLOOKUP(AA43,'Share, Heavy Weapons to Ukraine'!B:AP,COLUMN('Share, Heavy Weapons to Ukraine'!AP34)-1,FALSE)</f>
        <v>0</v>
      </c>
      <c r="AC43" s="349">
        <f>VLOOKUP(AA43,'Share, Heavy Weapons to Ukraine'!B:BD,COLUMN('Share, Heavy Weapons to Ukraine'!BD34)-1,FALSE)</f>
        <v>0</v>
      </c>
      <c r="AD43" s="1365" t="str">
        <f t="shared" si="14"/>
        <v>.</v>
      </c>
      <c r="AF43" s="349" t="s">
        <v>2028</v>
      </c>
      <c r="AG43" s="349">
        <v>0</v>
      </c>
    </row>
    <row r="44" spans="2:33" ht="15.95" customHeight="1">
      <c r="B44" s="1380">
        <f t="shared" si="5"/>
        <v>1</v>
      </c>
      <c r="C44" s="349" t="s">
        <v>2832</v>
      </c>
      <c r="D44" s="350">
        <f>VLOOKUP(C44,'Share, Heavy Weapons to Ukraine'!B:AX,COLUMN('Share, Heavy Weapons to Ukraine'!AR33)-1,FALSE)</f>
        <v>0</v>
      </c>
      <c r="E44" s="350">
        <f>VLOOKUP(C44,'Share, Heavy Weapons to Ukraine'!B:BF,COLUMN('Share, Heavy Weapons to Ukraine'!BF36)-1,FALSE)</f>
        <v>0</v>
      </c>
      <c r="F44" s="1365" t="str">
        <f t="shared" si="10"/>
        <v>.</v>
      </c>
      <c r="H44" s="1380">
        <f t="shared" si="6"/>
        <v>0</v>
      </c>
      <c r="I44" s="349" t="s">
        <v>3261</v>
      </c>
      <c r="J44" s="349">
        <f>VLOOKUP(I44,'Share, Heavy Weapons to Ukraine'!B:AX,COLUMN('Share, Heavy Weapons to Ukraine'!AS36)-1,FALSE)</f>
        <v>0</v>
      </c>
      <c r="K44" s="349">
        <f>VLOOKUP(I44,'Share, Heavy Weapons to Ukraine'!B:BG,COLUMN('Share, Heavy Weapons to Ukraine'!BG37)-1,FALSE)</f>
        <v>0</v>
      </c>
      <c r="L44" s="1365" t="str">
        <f t="shared" si="11"/>
        <v>.</v>
      </c>
      <c r="N44" s="1380">
        <f t="shared" si="7"/>
        <v>0</v>
      </c>
      <c r="O44" s="349" t="s">
        <v>2028</v>
      </c>
      <c r="P44" s="349">
        <f>VLOOKUP(O44,'Share, Heavy Weapons to Ukraine'!B:AX,COLUMN('Share, Heavy Weapons to Ukraine'!AL46)-1,FALSE)</f>
        <v>0</v>
      </c>
      <c r="Q44" s="349">
        <f>VLOOKUP(O44,'Share, Heavy Weapons to Ukraine'!B:AZ,COLUMN('Share, Heavy Weapons to Ukraine'!AZ43)-1,FALSE)</f>
        <v>0</v>
      </c>
      <c r="R44" s="1365" t="str">
        <f t="shared" si="12"/>
        <v>.</v>
      </c>
      <c r="T44" s="1380">
        <f t="shared" si="8"/>
        <v>1</v>
      </c>
      <c r="U44" s="349" t="s">
        <v>2832</v>
      </c>
      <c r="V44" s="349">
        <f>VLOOKUP(U44,'Share, Heavy Weapons to Ukraine'!B:AU,COLUMN('Share, Heavy Weapons to Ukraine'!AU36)-1,FALSE)+VLOOKUP(U44,'Share, Heavy Weapons to Ukraine'!B:AV,COLUMN('Share, Heavy Weapons to Ukraine'!AV36)-1,FALSE)+VLOOKUP(U44,'Share, Heavy Weapons to Ukraine'!B:AW,COLUMN('Share, Heavy Weapons to Ukraine'!AW36)-1,FALSE)</f>
        <v>0</v>
      </c>
      <c r="W44" s="349">
        <f>VLOOKUP(U44,'Share, Heavy Weapons to Ukraine'!B:BI,COLUMN('Share, Heavy Weapons to Ukraine'!BI36)-1,FALSE)+VLOOKUP(U44,'Share, Heavy Weapons to Ukraine'!B:BJ,COLUMN('Share, Heavy Weapons to Ukraine'!BJ36)-1,FALSE)+VLOOKUP(U44,'Share, Heavy Weapons to Ukraine'!B:BK,COLUMN('Share, Heavy Weapons to Ukraine'!BK36)-1,FALSE)</f>
        <v>0</v>
      </c>
      <c r="X44" s="1365" t="str">
        <f t="shared" si="13"/>
        <v>.</v>
      </c>
      <c r="Z44" s="1380">
        <f t="shared" si="9"/>
        <v>1</v>
      </c>
      <c r="AA44" s="349" t="s">
        <v>2832</v>
      </c>
      <c r="AB44" s="349">
        <f>VLOOKUP(AA44,'Share, Heavy Weapons to Ukraine'!B:AP,COLUMN('Share, Heavy Weapons to Ukraine'!AP35)-1,FALSE)</f>
        <v>0</v>
      </c>
      <c r="AC44" s="349">
        <f>VLOOKUP(AA44,'Share, Heavy Weapons to Ukraine'!B:BD,COLUMN('Share, Heavy Weapons to Ukraine'!BD35)-1,FALSE)</f>
        <v>0</v>
      </c>
      <c r="AD44" s="1365" t="str">
        <f t="shared" si="14"/>
        <v>.</v>
      </c>
      <c r="AF44" s="349" t="s">
        <v>3261</v>
      </c>
      <c r="AG44" s="349">
        <v>0</v>
      </c>
    </row>
    <row r="45" spans="2:33" ht="15.95" customHeight="1">
      <c r="B45" s="1380">
        <f t="shared" si="5"/>
        <v>0</v>
      </c>
      <c r="C45" s="349" t="s">
        <v>2028</v>
      </c>
      <c r="D45" s="350">
        <f>VLOOKUP(C45,'Share, Heavy Weapons to Ukraine'!B:AX,COLUMN('Share, Heavy Weapons to Ukraine'!AR34)-1,FALSE)</f>
        <v>0</v>
      </c>
      <c r="E45" s="350">
        <f>VLOOKUP(C45,'Share, Heavy Weapons to Ukraine'!B:BF,COLUMN('Share, Heavy Weapons to Ukraine'!BF37)-1,FALSE)</f>
        <v>0</v>
      </c>
      <c r="F45" s="1365" t="str">
        <f t="shared" si="10"/>
        <v>.</v>
      </c>
      <c r="H45" s="1380">
        <f t="shared" si="6"/>
        <v>0</v>
      </c>
      <c r="I45" s="349" t="s">
        <v>673</v>
      </c>
      <c r="J45" s="349">
        <f>VLOOKUP(I45,'Share, Heavy Weapons to Ukraine'!B:AX,COLUMN('Share, Heavy Weapons to Ukraine'!AS37)-1,FALSE)</f>
        <v>0</v>
      </c>
      <c r="K45" s="349">
        <f>VLOOKUP(I45,'Share, Heavy Weapons to Ukraine'!B:BG,COLUMN('Share, Heavy Weapons to Ukraine'!BG38)-1,FALSE)</f>
        <v>0</v>
      </c>
      <c r="L45" s="1365" t="str">
        <f t="shared" si="11"/>
        <v>.</v>
      </c>
      <c r="N45" s="1380">
        <f t="shared" si="7"/>
        <v>0</v>
      </c>
      <c r="O45" s="349" t="s">
        <v>3261</v>
      </c>
      <c r="P45" s="349">
        <f>VLOOKUP(O45,'Share, Heavy Weapons to Ukraine'!B:AX,COLUMN('Share, Heavy Weapons to Ukraine'!AL47)-1,FALSE)</f>
        <v>0</v>
      </c>
      <c r="Q45" s="349">
        <f>VLOOKUP(O45,'Share, Heavy Weapons to Ukraine'!B:AZ,COLUMN('Share, Heavy Weapons to Ukraine'!AZ44)-1,FALSE)</f>
        <v>0</v>
      </c>
      <c r="R45" s="1365" t="str">
        <f t="shared" si="12"/>
        <v>.</v>
      </c>
      <c r="T45" s="1380">
        <f t="shared" si="8"/>
        <v>0</v>
      </c>
      <c r="U45" s="349" t="s">
        <v>2028</v>
      </c>
      <c r="V45" s="349">
        <f>VLOOKUP(U45,'Share, Heavy Weapons to Ukraine'!B:AU,COLUMN('Share, Heavy Weapons to Ukraine'!AU37)-1,FALSE)+VLOOKUP(U45,'Share, Heavy Weapons to Ukraine'!B:AV,COLUMN('Share, Heavy Weapons to Ukraine'!AV37)-1,FALSE)+VLOOKUP(U45,'Share, Heavy Weapons to Ukraine'!B:AW,COLUMN('Share, Heavy Weapons to Ukraine'!AW37)-1,FALSE)</f>
        <v>0</v>
      </c>
      <c r="W45" s="349">
        <f>VLOOKUP(U45,'Share, Heavy Weapons to Ukraine'!B:BI,COLUMN('Share, Heavy Weapons to Ukraine'!BI37)-1,FALSE)+VLOOKUP(U45,'Share, Heavy Weapons to Ukraine'!B:BJ,COLUMN('Share, Heavy Weapons to Ukraine'!BJ37)-1,FALSE)+VLOOKUP(U45,'Share, Heavy Weapons to Ukraine'!B:BK,COLUMN('Share, Heavy Weapons to Ukraine'!BK37)-1,FALSE)</f>
        <v>0</v>
      </c>
      <c r="X45" s="1365" t="str">
        <f t="shared" si="13"/>
        <v>.</v>
      </c>
      <c r="Z45" s="1380">
        <f t="shared" si="9"/>
        <v>0</v>
      </c>
      <c r="AA45" s="349" t="s">
        <v>2028</v>
      </c>
      <c r="AB45" s="349">
        <f>VLOOKUP(AA45,'Share, Heavy Weapons to Ukraine'!B:AP,COLUMN('Share, Heavy Weapons to Ukraine'!AP36)-1,FALSE)</f>
        <v>0</v>
      </c>
      <c r="AC45" s="349">
        <f>VLOOKUP(AA45,'Share, Heavy Weapons to Ukraine'!B:BD,COLUMN('Share, Heavy Weapons to Ukraine'!BD36)-1,FALSE)</f>
        <v>0</v>
      </c>
      <c r="AD45" s="1365" t="str">
        <f t="shared" si="14"/>
        <v>.</v>
      </c>
      <c r="AF45" s="349" t="s">
        <v>673</v>
      </c>
      <c r="AG45" s="349">
        <v>0</v>
      </c>
    </row>
    <row r="46" spans="2:33" ht="15.95" customHeight="1">
      <c r="B46" s="1380">
        <f t="shared" si="5"/>
        <v>0</v>
      </c>
      <c r="C46" s="349" t="s">
        <v>3261</v>
      </c>
      <c r="D46" s="350">
        <f>VLOOKUP(C46,'Share, Heavy Weapons to Ukraine'!B:AX,COLUMN('Share, Heavy Weapons to Ukraine'!AR36)-1,FALSE)</f>
        <v>0</v>
      </c>
      <c r="E46" s="350">
        <f>VLOOKUP(C46,'Share, Heavy Weapons to Ukraine'!B:BF,COLUMN('Share, Heavy Weapons to Ukraine'!BF38)-1,FALSE)</f>
        <v>0</v>
      </c>
      <c r="F46" s="1365" t="str">
        <f t="shared" si="10"/>
        <v>.</v>
      </c>
      <c r="H46" s="1380">
        <f t="shared" si="6"/>
        <v>1</v>
      </c>
      <c r="I46" s="349" t="s">
        <v>2096</v>
      </c>
      <c r="J46" s="349">
        <f>VLOOKUP(I46,'Share, Heavy Weapons to Ukraine'!B:AX,COLUMN('Share, Heavy Weapons to Ukraine'!AS38)-1,FALSE)</f>
        <v>0</v>
      </c>
      <c r="K46" s="349">
        <f>VLOOKUP(I46,'Share, Heavy Weapons to Ukraine'!B:BG,COLUMN('Share, Heavy Weapons to Ukraine'!BG39)-1,FALSE)</f>
        <v>0</v>
      </c>
      <c r="L46" s="1365" t="str">
        <f t="shared" si="11"/>
        <v>.</v>
      </c>
      <c r="N46" s="1380">
        <f t="shared" si="7"/>
        <v>0</v>
      </c>
      <c r="O46" s="349" t="s">
        <v>673</v>
      </c>
      <c r="P46" s="349">
        <f>VLOOKUP(O46,'Share, Heavy Weapons to Ukraine'!B:AX,COLUMN('Share, Heavy Weapons to Ukraine'!AL48)-1,FALSE)</f>
        <v>0</v>
      </c>
      <c r="Q46" s="349">
        <f>VLOOKUP(O46,'Share, Heavy Weapons to Ukraine'!B:AZ,COLUMN('Share, Heavy Weapons to Ukraine'!AZ45)-1,FALSE)</f>
        <v>0</v>
      </c>
      <c r="R46" s="1365" t="str">
        <f t="shared" si="12"/>
        <v>.</v>
      </c>
      <c r="T46" s="1380">
        <f t="shared" si="8"/>
        <v>0</v>
      </c>
      <c r="U46" s="349" t="s">
        <v>673</v>
      </c>
      <c r="V46" s="349">
        <f>VLOOKUP(U46,'Share, Heavy Weapons to Ukraine'!B:AU,COLUMN('Share, Heavy Weapons to Ukraine'!AU39)-1,FALSE)+VLOOKUP(U46,'Share, Heavy Weapons to Ukraine'!B:AV,COLUMN('Share, Heavy Weapons to Ukraine'!AV39)-1,FALSE)+VLOOKUP(U46,'Share, Heavy Weapons to Ukraine'!B:AW,COLUMN('Share, Heavy Weapons to Ukraine'!AW39)-1,FALSE)</f>
        <v>0</v>
      </c>
      <c r="W46" s="349">
        <f>VLOOKUP(U46,'Share, Heavy Weapons to Ukraine'!B:BI,COLUMN('Share, Heavy Weapons to Ukraine'!BI39)-1,FALSE)+VLOOKUP(U46,'Share, Heavy Weapons to Ukraine'!B:BJ,COLUMN('Share, Heavy Weapons to Ukraine'!BJ39)-1,FALSE)+VLOOKUP(U46,'Share, Heavy Weapons to Ukraine'!B:BK,COLUMN('Share, Heavy Weapons to Ukraine'!BK39)-1,FALSE)</f>
        <v>0</v>
      </c>
      <c r="X46" s="1365" t="str">
        <f t="shared" si="13"/>
        <v>.</v>
      </c>
      <c r="Z46" s="1380">
        <f t="shared" si="9"/>
        <v>0</v>
      </c>
      <c r="AA46" s="349" t="s">
        <v>673</v>
      </c>
      <c r="AB46" s="349">
        <f>VLOOKUP(AA46,'Share, Heavy Weapons to Ukraine'!B:AP,COLUMN('Share, Heavy Weapons to Ukraine'!AP38)-1,FALSE)</f>
        <v>0</v>
      </c>
      <c r="AC46" s="349">
        <f>VLOOKUP(AA46,'Share, Heavy Weapons to Ukraine'!B:BD,COLUMN('Share, Heavy Weapons to Ukraine'!BD38)-1,FALSE)</f>
        <v>0</v>
      </c>
      <c r="AD46" s="1365" t="str">
        <f t="shared" si="14"/>
        <v>.</v>
      </c>
      <c r="AF46" s="349" t="s">
        <v>2096</v>
      </c>
      <c r="AG46" s="349">
        <v>1</v>
      </c>
    </row>
    <row r="47" spans="2:33" ht="15.95" customHeight="1">
      <c r="B47" s="1380">
        <f t="shared" si="5"/>
        <v>0</v>
      </c>
      <c r="C47" s="349" t="s">
        <v>673</v>
      </c>
      <c r="D47" s="350">
        <f>VLOOKUP(C47,'Share, Heavy Weapons to Ukraine'!B:AX,COLUMN('Share, Heavy Weapons to Ukraine'!AR37)-1,FALSE)</f>
        <v>0</v>
      </c>
      <c r="E47" s="350">
        <f>VLOOKUP(C47,'Share, Heavy Weapons to Ukraine'!B:BF,COLUMN('Share, Heavy Weapons to Ukraine'!BF39)-1,FALSE)</f>
        <v>0</v>
      </c>
      <c r="F47" s="1365" t="str">
        <f t="shared" si="10"/>
        <v>.</v>
      </c>
      <c r="H47" s="1380">
        <f t="shared" si="6"/>
        <v>0</v>
      </c>
      <c r="I47" s="349" t="s">
        <v>2488</v>
      </c>
      <c r="J47" s="349">
        <f>VLOOKUP(I47,'Share, Heavy Weapons to Ukraine'!B:AX,COLUMN('Share, Heavy Weapons to Ukraine'!AS39)-1,FALSE)</f>
        <v>0</v>
      </c>
      <c r="K47" s="349">
        <f>VLOOKUP(I47,'Share, Heavy Weapons to Ukraine'!B:BG,COLUMN('Share, Heavy Weapons to Ukraine'!BG40)-1,FALSE)</f>
        <v>0</v>
      </c>
      <c r="L47" s="1365" t="str">
        <f t="shared" si="11"/>
        <v>.</v>
      </c>
      <c r="N47" s="1380">
        <f t="shared" si="7"/>
        <v>1</v>
      </c>
      <c r="O47" s="349" t="s">
        <v>2096</v>
      </c>
      <c r="P47" s="349">
        <f>VLOOKUP(O47,'Share, Heavy Weapons to Ukraine'!B:AX,COLUMN('Share, Heavy Weapons to Ukraine'!AL17)-1,FALSE)</f>
        <v>0</v>
      </c>
      <c r="Q47" s="349">
        <f>VLOOKUP(O47,'Share, Heavy Weapons to Ukraine'!B:AZ,COLUMN('Share, Heavy Weapons to Ukraine'!AZ46)-1,FALSE)</f>
        <v>0</v>
      </c>
      <c r="R47" s="1365" t="str">
        <f t="shared" si="12"/>
        <v>.</v>
      </c>
      <c r="T47" s="1380">
        <f t="shared" si="8"/>
        <v>1</v>
      </c>
      <c r="U47" s="349" t="s">
        <v>2096</v>
      </c>
      <c r="V47" s="349">
        <f>VLOOKUP(U47,'Share, Heavy Weapons to Ukraine'!B:AU,COLUMN('Share, Heavy Weapons to Ukraine'!AU40)-1,FALSE)+VLOOKUP(U47,'Share, Heavy Weapons to Ukraine'!B:AV,COLUMN('Share, Heavy Weapons to Ukraine'!AV40)-1,FALSE)+VLOOKUP(U47,'Share, Heavy Weapons to Ukraine'!B:AW,COLUMN('Share, Heavy Weapons to Ukraine'!AW40)-1,FALSE)</f>
        <v>0</v>
      </c>
      <c r="W47" s="349">
        <f>VLOOKUP(U47,'Share, Heavy Weapons to Ukraine'!B:BI,COLUMN('Share, Heavy Weapons to Ukraine'!BI40)-1,FALSE)+VLOOKUP(U47,'Share, Heavy Weapons to Ukraine'!B:BJ,COLUMN('Share, Heavy Weapons to Ukraine'!BJ40)-1,FALSE)+VLOOKUP(U47,'Share, Heavy Weapons to Ukraine'!B:BK,COLUMN('Share, Heavy Weapons to Ukraine'!BK40)-1,FALSE)</f>
        <v>0</v>
      </c>
      <c r="X47" s="1365" t="str">
        <f t="shared" si="13"/>
        <v>.</v>
      </c>
      <c r="Z47" s="1380">
        <f t="shared" si="9"/>
        <v>1</v>
      </c>
      <c r="AA47" s="349" t="s">
        <v>2096</v>
      </c>
      <c r="AB47" s="349">
        <f>VLOOKUP(AA47,'Share, Heavy Weapons to Ukraine'!B:AP,COLUMN('Share, Heavy Weapons to Ukraine'!AP39)-1,FALSE)</f>
        <v>0</v>
      </c>
      <c r="AC47" s="349">
        <f>VLOOKUP(AA47,'Share, Heavy Weapons to Ukraine'!B:BD,COLUMN('Share, Heavy Weapons to Ukraine'!BD39)-1,FALSE)</f>
        <v>0</v>
      </c>
      <c r="AD47" s="1365" t="str">
        <f t="shared" si="14"/>
        <v>.</v>
      </c>
      <c r="AF47" s="349" t="s">
        <v>2488</v>
      </c>
      <c r="AG47" s="349">
        <v>0</v>
      </c>
    </row>
    <row r="48" spans="2:33" ht="15.95" customHeight="1">
      <c r="B48" s="1380">
        <f t="shared" si="5"/>
        <v>1</v>
      </c>
      <c r="C48" s="349" t="s">
        <v>2096</v>
      </c>
      <c r="D48" s="350">
        <f>VLOOKUP(C48,'Share, Heavy Weapons to Ukraine'!B:AX,COLUMN('Share, Heavy Weapons to Ukraine'!AR38)-1,FALSE)</f>
        <v>0</v>
      </c>
      <c r="E48" s="350">
        <f>VLOOKUP(C48,'Share, Heavy Weapons to Ukraine'!B:BF,COLUMN('Share, Heavy Weapons to Ukraine'!BF40)-1,FALSE)</f>
        <v>0</v>
      </c>
      <c r="F48" s="1365" t="str">
        <f t="shared" si="10"/>
        <v>.</v>
      </c>
      <c r="H48" s="1380">
        <f t="shared" si="6"/>
        <v>0</v>
      </c>
      <c r="I48" s="349" t="s">
        <v>918</v>
      </c>
      <c r="J48" s="349">
        <f>VLOOKUP(I48,'Share, Heavy Weapons to Ukraine'!B:AX,COLUMN('Share, Heavy Weapons to Ukraine'!AS40)-1,FALSE)</f>
        <v>0</v>
      </c>
      <c r="K48" s="349">
        <f>VLOOKUP(I48,'Share, Heavy Weapons to Ukraine'!B:BG,COLUMN('Share, Heavy Weapons to Ukraine'!BG41)-1,FALSE)</f>
        <v>0</v>
      </c>
      <c r="L48" s="1365" t="str">
        <f t="shared" si="11"/>
        <v>.</v>
      </c>
      <c r="N48" s="1380">
        <f t="shared" si="7"/>
        <v>0</v>
      </c>
      <c r="O48" s="349" t="s">
        <v>2488</v>
      </c>
      <c r="P48" s="349">
        <f>VLOOKUP(O48,'Share, Heavy Weapons to Ukraine'!B:AX,COLUMN('Share, Heavy Weapons to Ukraine'!AL32)-1,FALSE)</f>
        <v>0</v>
      </c>
      <c r="Q48" s="349">
        <f>VLOOKUP(O48,'Share, Heavy Weapons to Ukraine'!B:AZ,COLUMN('Share, Heavy Weapons to Ukraine'!AZ47)-1,FALSE)</f>
        <v>0</v>
      </c>
      <c r="R48" s="1365" t="str">
        <f t="shared" si="12"/>
        <v>.</v>
      </c>
      <c r="T48" s="1380">
        <f t="shared" si="8"/>
        <v>0</v>
      </c>
      <c r="U48" s="349" t="s">
        <v>2488</v>
      </c>
      <c r="V48" s="349">
        <f>VLOOKUP(U48,'Share, Heavy Weapons to Ukraine'!B:AU,COLUMN('Share, Heavy Weapons to Ukraine'!AU41)-1,FALSE)+VLOOKUP(U48,'Share, Heavy Weapons to Ukraine'!B:AV,COLUMN('Share, Heavy Weapons to Ukraine'!AV41)-1,FALSE)+VLOOKUP(U48,'Share, Heavy Weapons to Ukraine'!B:AW,COLUMN('Share, Heavy Weapons to Ukraine'!AW41)-1,FALSE)</f>
        <v>0</v>
      </c>
      <c r="W48" s="349">
        <f>VLOOKUP(U48,'Share, Heavy Weapons to Ukraine'!B:BI,COLUMN('Share, Heavy Weapons to Ukraine'!BI41)-1,FALSE)+VLOOKUP(U48,'Share, Heavy Weapons to Ukraine'!B:BJ,COLUMN('Share, Heavy Weapons to Ukraine'!BJ41)-1,FALSE)+VLOOKUP(U48,'Share, Heavy Weapons to Ukraine'!B:BK,COLUMN('Share, Heavy Weapons to Ukraine'!BK41)-1,FALSE)</f>
        <v>0</v>
      </c>
      <c r="X48" s="1365" t="str">
        <f t="shared" si="13"/>
        <v>.</v>
      </c>
      <c r="Z48" s="1380">
        <f t="shared" si="9"/>
        <v>0</v>
      </c>
      <c r="AA48" s="349" t="s">
        <v>2488</v>
      </c>
      <c r="AB48" s="349">
        <f>VLOOKUP(AA48,'Share, Heavy Weapons to Ukraine'!B:AP,COLUMN('Share, Heavy Weapons to Ukraine'!AP40)-1,FALSE)</f>
        <v>0</v>
      </c>
      <c r="AC48" s="349">
        <f>VLOOKUP(AA48,'Share, Heavy Weapons to Ukraine'!B:BD,COLUMN('Share, Heavy Weapons to Ukraine'!BD40)-1,FALSE)</f>
        <v>0</v>
      </c>
      <c r="AD48" s="1365" t="str">
        <f t="shared" si="14"/>
        <v>.</v>
      </c>
      <c r="AF48" s="349" t="s">
        <v>918</v>
      </c>
      <c r="AG48" s="349">
        <v>0</v>
      </c>
    </row>
    <row r="49" spans="1:33" ht="15.95" customHeight="1">
      <c r="B49" s="1380">
        <f t="shared" si="5"/>
        <v>0</v>
      </c>
      <c r="C49" s="349" t="s">
        <v>905</v>
      </c>
      <c r="D49" s="350">
        <v>0</v>
      </c>
      <c r="E49" s="350">
        <v>0</v>
      </c>
      <c r="F49" s="1365" t="str">
        <f t="shared" si="10"/>
        <v>.</v>
      </c>
      <c r="H49" s="1380">
        <f t="shared" si="6"/>
        <v>0</v>
      </c>
      <c r="I49" s="349" t="s">
        <v>905</v>
      </c>
      <c r="J49" s="349">
        <v>0</v>
      </c>
      <c r="K49" s="349">
        <v>0</v>
      </c>
      <c r="L49" s="1365" t="str">
        <f t="shared" si="11"/>
        <v>.</v>
      </c>
      <c r="N49" s="1380">
        <f t="shared" si="7"/>
        <v>0</v>
      </c>
      <c r="O49" s="349" t="s">
        <v>905</v>
      </c>
      <c r="P49" s="349">
        <v>0</v>
      </c>
      <c r="Q49" s="349">
        <v>0</v>
      </c>
      <c r="R49" s="1365" t="str">
        <f t="shared" si="12"/>
        <v>.</v>
      </c>
      <c r="T49" s="1380">
        <f t="shared" si="8"/>
        <v>0</v>
      </c>
      <c r="U49" s="349" t="s">
        <v>905</v>
      </c>
      <c r="V49" s="349">
        <v>0</v>
      </c>
      <c r="W49" s="349">
        <v>0</v>
      </c>
      <c r="X49" s="1365" t="str">
        <f t="shared" si="13"/>
        <v>.</v>
      </c>
      <c r="Z49" s="1380">
        <f t="shared" si="9"/>
        <v>0</v>
      </c>
      <c r="AA49" s="349" t="s">
        <v>905</v>
      </c>
      <c r="AB49" s="349">
        <v>0</v>
      </c>
      <c r="AC49" s="349">
        <v>0</v>
      </c>
      <c r="AD49" s="1365" t="str">
        <f t="shared" si="14"/>
        <v>.</v>
      </c>
      <c r="AF49" s="349" t="s">
        <v>905</v>
      </c>
      <c r="AG49" s="349">
        <v>0</v>
      </c>
    </row>
    <row r="50" spans="1:33" ht="15.95" customHeight="1">
      <c r="B50" s="1380">
        <f t="shared" si="5"/>
        <v>0</v>
      </c>
      <c r="C50" s="349" t="s">
        <v>2076</v>
      </c>
      <c r="D50" s="350">
        <v>0</v>
      </c>
      <c r="E50" s="350">
        <v>0</v>
      </c>
      <c r="F50" s="1365" t="str">
        <f t="shared" si="10"/>
        <v>.</v>
      </c>
      <c r="H50" s="1380">
        <f t="shared" si="6"/>
        <v>0</v>
      </c>
      <c r="I50" s="349" t="s">
        <v>2076</v>
      </c>
      <c r="J50" s="349">
        <v>0</v>
      </c>
      <c r="K50" s="349">
        <v>0</v>
      </c>
      <c r="L50" s="1365" t="str">
        <f t="shared" si="11"/>
        <v>.</v>
      </c>
      <c r="N50" s="1380">
        <f t="shared" si="7"/>
        <v>0</v>
      </c>
      <c r="O50" s="349" t="s">
        <v>2076</v>
      </c>
      <c r="P50" s="349">
        <v>0</v>
      </c>
      <c r="Q50" s="349">
        <v>0</v>
      </c>
      <c r="R50" s="1365" t="str">
        <f t="shared" si="12"/>
        <v>.</v>
      </c>
      <c r="T50" s="1380">
        <f t="shared" si="8"/>
        <v>0</v>
      </c>
      <c r="U50" s="349" t="s">
        <v>2076</v>
      </c>
      <c r="V50" s="349">
        <v>0</v>
      </c>
      <c r="W50" s="349">
        <v>0</v>
      </c>
      <c r="X50" s="1365" t="str">
        <f t="shared" si="13"/>
        <v>.</v>
      </c>
      <c r="Z50" s="1380">
        <f t="shared" si="9"/>
        <v>0</v>
      </c>
      <c r="AA50" s="349" t="s">
        <v>2076</v>
      </c>
      <c r="AB50" s="349">
        <v>0</v>
      </c>
      <c r="AC50" s="349">
        <v>0</v>
      </c>
      <c r="AD50" s="1365" t="str">
        <f t="shared" si="14"/>
        <v>.</v>
      </c>
      <c r="AF50" s="349" t="s">
        <v>2076</v>
      </c>
      <c r="AG50" s="349">
        <v>0</v>
      </c>
    </row>
    <row r="51" spans="1:33" ht="15.95" customHeight="1">
      <c r="B51" s="1380">
        <f t="shared" si="5"/>
        <v>0</v>
      </c>
      <c r="C51" s="349" t="s">
        <v>3713</v>
      </c>
      <c r="D51" s="350">
        <v>0</v>
      </c>
      <c r="E51" s="350">
        <v>0</v>
      </c>
      <c r="F51" s="1365" t="str">
        <f t="shared" si="10"/>
        <v>.</v>
      </c>
      <c r="H51" s="1380">
        <f t="shared" si="6"/>
        <v>0</v>
      </c>
      <c r="I51" s="349" t="s">
        <v>3713</v>
      </c>
      <c r="J51" s="349">
        <v>0</v>
      </c>
      <c r="K51" s="349">
        <v>0</v>
      </c>
      <c r="L51" s="1365" t="str">
        <f t="shared" si="11"/>
        <v>.</v>
      </c>
      <c r="N51" s="1380">
        <f t="shared" si="7"/>
        <v>0</v>
      </c>
      <c r="O51" s="349" t="s">
        <v>3713</v>
      </c>
      <c r="P51" s="349">
        <v>0</v>
      </c>
      <c r="Q51" s="349">
        <v>0</v>
      </c>
      <c r="R51" s="1365" t="str">
        <f t="shared" si="12"/>
        <v>.</v>
      </c>
      <c r="T51" s="1380">
        <f t="shared" si="8"/>
        <v>0</v>
      </c>
      <c r="U51" s="349" t="s">
        <v>3713</v>
      </c>
      <c r="V51" s="349">
        <v>0</v>
      </c>
      <c r="W51" s="349">
        <v>0</v>
      </c>
      <c r="X51" s="1365" t="str">
        <f t="shared" si="13"/>
        <v>.</v>
      </c>
      <c r="Z51" s="1380">
        <f t="shared" si="9"/>
        <v>0</v>
      </c>
      <c r="AA51" s="349" t="s">
        <v>3713</v>
      </c>
      <c r="AB51" s="349">
        <v>0</v>
      </c>
      <c r="AC51" s="349">
        <v>0</v>
      </c>
      <c r="AD51" s="1365" t="str">
        <f t="shared" si="14"/>
        <v>.</v>
      </c>
      <c r="AF51" s="349" t="s">
        <v>3713</v>
      </c>
      <c r="AG51" s="349">
        <v>0</v>
      </c>
    </row>
    <row r="52" spans="1:33" ht="15.95" customHeight="1">
      <c r="B52" s="1380">
        <f t="shared" si="5"/>
        <v>1</v>
      </c>
      <c r="C52" s="349" t="s">
        <v>2139</v>
      </c>
      <c r="D52" s="350">
        <v>0</v>
      </c>
      <c r="E52" s="350">
        <v>0</v>
      </c>
      <c r="F52" s="1365" t="str">
        <f t="shared" si="10"/>
        <v>.</v>
      </c>
      <c r="H52" s="1380">
        <f t="shared" si="6"/>
        <v>1</v>
      </c>
      <c r="I52" s="349" t="s">
        <v>2139</v>
      </c>
      <c r="J52" s="349">
        <v>0</v>
      </c>
      <c r="K52" s="349">
        <v>0</v>
      </c>
      <c r="L52" s="1365" t="str">
        <f t="shared" si="11"/>
        <v>.</v>
      </c>
      <c r="N52" s="1380">
        <f t="shared" si="7"/>
        <v>1</v>
      </c>
      <c r="O52" s="349" t="s">
        <v>2139</v>
      </c>
      <c r="P52" s="349">
        <v>0</v>
      </c>
      <c r="Q52" s="349">
        <v>0</v>
      </c>
      <c r="R52" s="1365" t="str">
        <f t="shared" si="12"/>
        <v>.</v>
      </c>
      <c r="T52" s="1380">
        <f t="shared" si="8"/>
        <v>1</v>
      </c>
      <c r="U52" s="349" t="s">
        <v>2139</v>
      </c>
      <c r="V52" s="349">
        <v>0</v>
      </c>
      <c r="W52" s="349">
        <v>0</v>
      </c>
      <c r="X52" s="1365" t="str">
        <f t="shared" si="13"/>
        <v>.</v>
      </c>
      <c r="Z52" s="1380">
        <f t="shared" si="9"/>
        <v>1</v>
      </c>
      <c r="AA52" s="349" t="s">
        <v>2139</v>
      </c>
      <c r="AB52" s="349">
        <v>0</v>
      </c>
      <c r="AC52" s="349">
        <v>0</v>
      </c>
      <c r="AD52" s="1365" t="str">
        <f t="shared" si="14"/>
        <v>.</v>
      </c>
      <c r="AF52" s="349" t="s">
        <v>2139</v>
      </c>
      <c r="AG52" s="349">
        <v>1</v>
      </c>
    </row>
    <row r="53" spans="1:33" ht="15.95" customHeight="1">
      <c r="B53" s="1380">
        <f t="shared" si="5"/>
        <v>1</v>
      </c>
      <c r="C53" s="349" t="s">
        <v>2312</v>
      </c>
      <c r="D53" s="350">
        <v>0</v>
      </c>
      <c r="E53" s="350">
        <v>0</v>
      </c>
      <c r="F53" s="1365" t="str">
        <f t="shared" si="10"/>
        <v>.</v>
      </c>
      <c r="H53" s="1380">
        <f t="shared" si="6"/>
        <v>1</v>
      </c>
      <c r="I53" s="349" t="s">
        <v>2312</v>
      </c>
      <c r="J53" s="349">
        <v>0</v>
      </c>
      <c r="K53" s="349">
        <v>0</v>
      </c>
      <c r="L53" s="1365" t="str">
        <f t="shared" si="11"/>
        <v>.</v>
      </c>
      <c r="N53" s="1380">
        <f t="shared" si="7"/>
        <v>1</v>
      </c>
      <c r="O53" s="349" t="s">
        <v>2312</v>
      </c>
      <c r="P53" s="349">
        <v>0</v>
      </c>
      <c r="Q53" s="349">
        <v>0</v>
      </c>
      <c r="R53" s="1365" t="str">
        <f t="shared" si="12"/>
        <v>.</v>
      </c>
      <c r="T53" s="1380">
        <f t="shared" si="8"/>
        <v>1</v>
      </c>
      <c r="U53" s="349" t="s">
        <v>2312</v>
      </c>
      <c r="V53" s="349">
        <v>0</v>
      </c>
      <c r="W53" s="349">
        <v>0</v>
      </c>
      <c r="X53" s="1365" t="str">
        <f t="shared" si="13"/>
        <v>.</v>
      </c>
      <c r="Z53" s="1380">
        <f t="shared" si="9"/>
        <v>1</v>
      </c>
      <c r="AA53" s="349" t="s">
        <v>2312</v>
      </c>
      <c r="AB53" s="349">
        <v>0</v>
      </c>
      <c r="AC53" s="349">
        <v>0</v>
      </c>
      <c r="AD53" s="1365" t="str">
        <f t="shared" si="14"/>
        <v>.</v>
      </c>
      <c r="AF53" s="349" t="s">
        <v>2312</v>
      </c>
      <c r="AG53" s="349">
        <v>1</v>
      </c>
    </row>
    <row r="54" spans="1:33" ht="15.95" customHeight="1">
      <c r="B54" s="1380">
        <f t="shared" si="5"/>
        <v>0</v>
      </c>
      <c r="C54" s="349" t="s">
        <v>2488</v>
      </c>
      <c r="D54" s="350">
        <f>VLOOKUP(C54,'Share, Heavy Weapons to Ukraine'!B:AX,COLUMN('Share, Heavy Weapons to Ukraine'!AR39)-1,FALSE)</f>
        <v>0</v>
      </c>
      <c r="E54" s="350">
        <f>VLOOKUP(C54,'Share, Heavy Weapons to Ukraine'!B:BF,COLUMN('Share, Heavy Weapons to Ukraine'!BF41)-1,FALSE)</f>
        <v>0</v>
      </c>
      <c r="F54" s="1365" t="str">
        <f t="shared" si="10"/>
        <v>.</v>
      </c>
      <c r="H54" s="1380">
        <f t="shared" si="6"/>
        <v>0</v>
      </c>
      <c r="I54" s="349" t="s">
        <v>2392</v>
      </c>
      <c r="J54" s="349">
        <f>VLOOKUP(I54,'Share, Heavy Weapons to Ukraine'!B:AX,COLUMN('Share, Heavy Weapons to Ukraine'!AS41)-1,FALSE)</f>
        <v>0</v>
      </c>
      <c r="K54" s="349">
        <f>VLOOKUP(I54,'Share, Heavy Weapons to Ukraine'!B:BG,COLUMN('Share, Heavy Weapons to Ukraine'!BG42)-1,FALSE)</f>
        <v>0</v>
      </c>
      <c r="L54" s="1365" t="str">
        <f t="shared" si="11"/>
        <v>.</v>
      </c>
      <c r="N54" s="1380">
        <f t="shared" si="7"/>
        <v>0</v>
      </c>
      <c r="O54" s="349" t="s">
        <v>918</v>
      </c>
      <c r="P54" s="349">
        <f>VLOOKUP(O54,'Share, Heavy Weapons to Ukraine'!B:AX,COLUMN('Share, Heavy Weapons to Ukraine'!AL30)-1,FALSE)</f>
        <v>0</v>
      </c>
      <c r="Q54" s="349">
        <f>VLOOKUP(O54,'Share, Heavy Weapons to Ukraine'!B:AZ,COLUMN('Share, Heavy Weapons to Ukraine'!AZ48)-1,FALSE)</f>
        <v>0</v>
      </c>
      <c r="R54" s="1365" t="str">
        <f t="shared" si="12"/>
        <v>.</v>
      </c>
      <c r="T54" s="1380">
        <f t="shared" si="8"/>
        <v>0</v>
      </c>
      <c r="U54" s="349" t="s">
        <v>918</v>
      </c>
      <c r="V54" s="349">
        <f>VLOOKUP(U54,'Share, Heavy Weapons to Ukraine'!B:AU,COLUMN('Share, Heavy Weapons to Ukraine'!AU42)-1,FALSE)+VLOOKUP(U54,'Share, Heavy Weapons to Ukraine'!B:AV,COLUMN('Share, Heavy Weapons to Ukraine'!AV42)-1,FALSE)+VLOOKUP(U54,'Share, Heavy Weapons to Ukraine'!B:AW,COLUMN('Share, Heavy Weapons to Ukraine'!AW42)-1,FALSE)</f>
        <v>0</v>
      </c>
      <c r="W54" s="349">
        <f>VLOOKUP(U54,'Share, Heavy Weapons to Ukraine'!B:BI,COLUMN('Share, Heavy Weapons to Ukraine'!BI42)-1,FALSE)+VLOOKUP(U54,'Share, Heavy Weapons to Ukraine'!B:BJ,COLUMN('Share, Heavy Weapons to Ukraine'!BJ42)-1,FALSE)+VLOOKUP(U54,'Share, Heavy Weapons to Ukraine'!B:BK,COLUMN('Share, Heavy Weapons to Ukraine'!BK42)-1,FALSE)</f>
        <v>0</v>
      </c>
      <c r="X54" s="1365" t="str">
        <f t="shared" si="13"/>
        <v>.</v>
      </c>
      <c r="Z54" s="1380">
        <f t="shared" si="9"/>
        <v>0</v>
      </c>
      <c r="AA54" s="349" t="s">
        <v>918</v>
      </c>
      <c r="AB54" s="349">
        <f>VLOOKUP(AA54,'Share, Heavy Weapons to Ukraine'!B:AP,COLUMN('Share, Heavy Weapons to Ukraine'!AP41)-1,FALSE)</f>
        <v>0</v>
      </c>
      <c r="AC54" s="349">
        <f>VLOOKUP(AA54,'Share, Heavy Weapons to Ukraine'!B:BD,COLUMN('Share, Heavy Weapons to Ukraine'!BD41)-1,FALSE)</f>
        <v>0</v>
      </c>
      <c r="AD54" s="1365" t="str">
        <f t="shared" si="14"/>
        <v>.</v>
      </c>
      <c r="AF54" s="349" t="s">
        <v>2392</v>
      </c>
      <c r="AG54" s="349">
        <v>0</v>
      </c>
    </row>
    <row r="55" spans="1:33" ht="15.95" customHeight="1">
      <c r="B55" s="1380">
        <f t="shared" si="5"/>
        <v>0</v>
      </c>
      <c r="C55" s="349" t="s">
        <v>918</v>
      </c>
      <c r="D55" s="350">
        <f>VLOOKUP(C55,'Share, Heavy Weapons to Ukraine'!B:AX,COLUMN('Share, Heavy Weapons to Ukraine'!AR40)-1,FALSE)</f>
        <v>0</v>
      </c>
      <c r="E55" s="350">
        <f>VLOOKUP(C55,'Share, Heavy Weapons to Ukraine'!B:BF,COLUMN('Share, Heavy Weapons to Ukraine'!BF42)-1,FALSE)</f>
        <v>0</v>
      </c>
      <c r="F55" s="1365" t="str">
        <f t="shared" si="10"/>
        <v>.</v>
      </c>
      <c r="H55" s="1380">
        <f t="shared" si="6"/>
        <v>0</v>
      </c>
      <c r="I55" s="349" t="s">
        <v>1305</v>
      </c>
      <c r="J55" s="349">
        <f>VLOOKUP(I55,'Share, Heavy Weapons to Ukraine'!B:AX,COLUMN('Share, Heavy Weapons to Ukraine'!AS42)-1,FALSE)</f>
        <v>0</v>
      </c>
      <c r="K55" s="349">
        <f>VLOOKUP(I55,'Share, Heavy Weapons to Ukraine'!B:BG,COLUMN('Share, Heavy Weapons to Ukraine'!BG43)-1,FALSE)</f>
        <v>0</v>
      </c>
      <c r="L55" s="1365" t="str">
        <f t="shared" si="11"/>
        <v>.</v>
      </c>
      <c r="N55" s="1380">
        <f t="shared" si="7"/>
        <v>0</v>
      </c>
      <c r="O55" s="349" t="s">
        <v>2392</v>
      </c>
      <c r="P55" s="349">
        <f>VLOOKUP(O55,'Share, Heavy Weapons to Ukraine'!B:AX,COLUMN('Share, Heavy Weapons to Ukraine'!AL25)-1,FALSE)</f>
        <v>0</v>
      </c>
      <c r="Q55" s="349">
        <f>VLOOKUP(O55,'Share, Heavy Weapons to Ukraine'!B:AZ,COLUMN('Share, Heavy Weapons to Ukraine'!AZ49)-1,FALSE)</f>
        <v>0</v>
      </c>
      <c r="R55" s="1365" t="str">
        <f t="shared" si="12"/>
        <v>.</v>
      </c>
      <c r="T55" s="1380">
        <f t="shared" si="8"/>
        <v>0</v>
      </c>
      <c r="U55" s="349" t="s">
        <v>2392</v>
      </c>
      <c r="V55" s="349">
        <f>VLOOKUP(U55,'Share, Heavy Weapons to Ukraine'!B:AU,COLUMN('Share, Heavy Weapons to Ukraine'!AU43)-1,FALSE)+VLOOKUP(U55,'Share, Heavy Weapons to Ukraine'!B:AV,COLUMN('Share, Heavy Weapons to Ukraine'!AV43)-1,FALSE)+VLOOKUP(U55,'Share, Heavy Weapons to Ukraine'!B:AW,COLUMN('Share, Heavy Weapons to Ukraine'!AW43)-1,FALSE)</f>
        <v>0</v>
      </c>
      <c r="W55" s="349">
        <f>VLOOKUP(U55,'Share, Heavy Weapons to Ukraine'!B:BI,COLUMN('Share, Heavy Weapons to Ukraine'!BI43)-1,FALSE)+VLOOKUP(U55,'Share, Heavy Weapons to Ukraine'!B:BJ,COLUMN('Share, Heavy Weapons to Ukraine'!BJ43)-1,FALSE)+VLOOKUP(U55,'Share, Heavy Weapons to Ukraine'!B:BK,COLUMN('Share, Heavy Weapons to Ukraine'!BK43)-1,FALSE)</f>
        <v>0</v>
      </c>
      <c r="X55" s="1365" t="str">
        <f t="shared" si="13"/>
        <v>.</v>
      </c>
      <c r="Z55" s="1380">
        <f t="shared" si="9"/>
        <v>0</v>
      </c>
      <c r="AA55" s="349" t="s">
        <v>2392</v>
      </c>
      <c r="AB55" s="349">
        <f>VLOOKUP(AA55,'Share, Heavy Weapons to Ukraine'!B:AP,COLUMN('Share, Heavy Weapons to Ukraine'!AP42)-1,FALSE)</f>
        <v>0</v>
      </c>
      <c r="AC55" s="349">
        <f>VLOOKUP(AA55,'Share, Heavy Weapons to Ukraine'!B:BD,COLUMN('Share, Heavy Weapons to Ukraine'!BD42)-1,FALSE)</f>
        <v>0</v>
      </c>
      <c r="AD55" s="1365" t="str">
        <f t="shared" si="14"/>
        <v>.</v>
      </c>
      <c r="AF55" s="349" t="s">
        <v>1305</v>
      </c>
      <c r="AG55" s="349">
        <v>0</v>
      </c>
    </row>
    <row r="56" spans="1:33" ht="15.95" customHeight="1">
      <c r="B56" s="1380">
        <f t="shared" si="5"/>
        <v>0</v>
      </c>
      <c r="C56" s="349" t="s">
        <v>3337</v>
      </c>
      <c r="D56" s="350">
        <f>VLOOKUP(C56,'Share, Heavy Weapons to Ukraine'!B:AX,COLUMN('Share, Heavy Weapons to Ukraine'!AR43)-1,FALSE)</f>
        <v>0</v>
      </c>
      <c r="E56" s="350">
        <f>VLOOKUP(C56,'Share, Heavy Weapons to Ukraine'!B:BF,COLUMN('Share, Heavy Weapons to Ukraine'!BF43)-1,FALSE)</f>
        <v>0</v>
      </c>
      <c r="F56" s="1365" t="str">
        <f t="shared" si="10"/>
        <v>.</v>
      </c>
      <c r="H56" s="1380">
        <f t="shared" si="6"/>
        <v>0</v>
      </c>
      <c r="I56" s="349" t="s">
        <v>3337</v>
      </c>
      <c r="J56" s="349">
        <f>VLOOKUP(I56,'Share, Heavy Weapons to Ukraine'!B:AX,COLUMN('Share, Heavy Weapons to Ukraine'!AS43)-1,FALSE)</f>
        <v>0</v>
      </c>
      <c r="K56" s="349">
        <f>VLOOKUP(I56,'Share, Heavy Weapons to Ukraine'!B:BG,COLUMN('Share, Heavy Weapons to Ukraine'!BG44)-1,FALSE)</f>
        <v>0</v>
      </c>
      <c r="L56" s="1365" t="str">
        <f t="shared" si="11"/>
        <v>.</v>
      </c>
      <c r="N56" s="1380">
        <f t="shared" si="7"/>
        <v>0</v>
      </c>
      <c r="O56" s="349" t="s">
        <v>1305</v>
      </c>
      <c r="P56" s="349">
        <f>VLOOKUP(O56,'Share, Heavy Weapons to Ukraine'!B:AX,COLUMN('Share, Heavy Weapons to Ukraine'!AL24)-1,FALSE)</f>
        <v>0</v>
      </c>
      <c r="Q56" s="349">
        <f>VLOOKUP(O56,'Share, Heavy Weapons to Ukraine'!B:AZ,COLUMN('Share, Heavy Weapons to Ukraine'!AZ50)-1,FALSE)</f>
        <v>0</v>
      </c>
      <c r="R56" s="1365" t="str">
        <f t="shared" si="12"/>
        <v>.</v>
      </c>
      <c r="T56" s="1380">
        <f t="shared" si="8"/>
        <v>0</v>
      </c>
      <c r="U56" s="349" t="s">
        <v>1305</v>
      </c>
      <c r="V56" s="349">
        <f>VLOOKUP(U56,'Share, Heavy Weapons to Ukraine'!B:AU,COLUMN('Share, Heavy Weapons to Ukraine'!AU44)-1,FALSE)+VLOOKUP(U56,'Share, Heavy Weapons to Ukraine'!B:AV,COLUMN('Share, Heavy Weapons to Ukraine'!AV44)-1,FALSE)+VLOOKUP(U56,'Share, Heavy Weapons to Ukraine'!B:AW,COLUMN('Share, Heavy Weapons to Ukraine'!AW44)-1,FALSE)</f>
        <v>0</v>
      </c>
      <c r="W56" s="349">
        <f>VLOOKUP(U56,'Share, Heavy Weapons to Ukraine'!B:BI,COLUMN('Share, Heavy Weapons to Ukraine'!BI44)-1,FALSE)+VLOOKUP(U56,'Share, Heavy Weapons to Ukraine'!B:BJ,COLUMN('Share, Heavy Weapons to Ukraine'!BJ44)-1,FALSE)+VLOOKUP(U56,'Share, Heavy Weapons to Ukraine'!B:BK,COLUMN('Share, Heavy Weapons to Ukraine'!BK44)-1,FALSE)</f>
        <v>0</v>
      </c>
      <c r="X56" s="1365" t="str">
        <f t="shared" si="13"/>
        <v>.</v>
      </c>
      <c r="Z56" s="1380">
        <f t="shared" si="9"/>
        <v>0</v>
      </c>
      <c r="AA56" s="349" t="s">
        <v>1305</v>
      </c>
      <c r="AB56" s="349">
        <f>VLOOKUP(AA56,'Share, Heavy Weapons to Ukraine'!B:AP,COLUMN('Share, Heavy Weapons to Ukraine'!AP43)-1,FALSE)</f>
        <v>0</v>
      </c>
      <c r="AC56" s="349">
        <f>VLOOKUP(AA56,'Share, Heavy Weapons to Ukraine'!B:BD,COLUMN('Share, Heavy Weapons to Ukraine'!BD43)-1,FALSE)</f>
        <v>0</v>
      </c>
      <c r="AD56" s="1365" t="str">
        <f t="shared" si="14"/>
        <v>.</v>
      </c>
      <c r="AF56" s="349" t="s">
        <v>3337</v>
      </c>
      <c r="AG56" s="349">
        <v>0</v>
      </c>
    </row>
    <row r="57" spans="1:33" ht="15.95" customHeight="1">
      <c r="B57" s="1380">
        <f t="shared" si="5"/>
        <v>1</v>
      </c>
      <c r="C57" s="349" t="s">
        <v>981</v>
      </c>
      <c r="D57" s="350">
        <f>VLOOKUP(C57,'Share, Heavy Weapons to Ukraine'!B:AX,COLUMN('Share, Heavy Weapons to Ukraine'!AR44)-1,FALSE)</f>
        <v>0</v>
      </c>
      <c r="E57" s="350">
        <f>VLOOKUP(C57,'Share, Heavy Weapons to Ukraine'!B:BF,COLUMN('Share, Heavy Weapons to Ukraine'!BF44)-1,FALSE)</f>
        <v>0</v>
      </c>
      <c r="F57" s="1365" t="str">
        <f t="shared" si="10"/>
        <v>.</v>
      </c>
      <c r="H57" s="1380">
        <f t="shared" si="6"/>
        <v>1</v>
      </c>
      <c r="I57" s="349" t="s">
        <v>981</v>
      </c>
      <c r="J57" s="349">
        <f>VLOOKUP(I57,'Share, Heavy Weapons to Ukraine'!B:AX,COLUMN('Share, Heavy Weapons to Ukraine'!AS44)-1,FALSE)</f>
        <v>0</v>
      </c>
      <c r="K57" s="349">
        <f>VLOOKUP(I57,'Share, Heavy Weapons to Ukraine'!B:BG,COLUMN('Share, Heavy Weapons to Ukraine'!BG45)-1,FALSE)</f>
        <v>0</v>
      </c>
      <c r="L57" s="1365" t="str">
        <f t="shared" si="11"/>
        <v>.</v>
      </c>
      <c r="N57" s="1380">
        <f t="shared" si="7"/>
        <v>1</v>
      </c>
      <c r="O57" s="349" t="s">
        <v>981</v>
      </c>
      <c r="P57" s="349">
        <f>VLOOKUP(O57,'Share, Heavy Weapons to Ukraine'!B:AX,COLUMN('Share, Heavy Weapons to Ukraine'!AL16)-1,FALSE)</f>
        <v>0</v>
      </c>
      <c r="Q57" s="349">
        <f>VLOOKUP(O57,'Share, Heavy Weapons to Ukraine'!B:AZ,COLUMN('Share, Heavy Weapons to Ukraine'!AZ51)-1,FALSE)</f>
        <v>0</v>
      </c>
      <c r="R57" s="1365" t="str">
        <f t="shared" si="12"/>
        <v>.</v>
      </c>
      <c r="T57" s="1380">
        <f t="shared" si="8"/>
        <v>1</v>
      </c>
      <c r="U57" s="349" t="s">
        <v>981</v>
      </c>
      <c r="V57" s="349">
        <f>VLOOKUP(U57,'Share, Heavy Weapons to Ukraine'!B:AU,COLUMN('Share, Heavy Weapons to Ukraine'!AU45)-1,FALSE)+VLOOKUP(U57,'Share, Heavy Weapons to Ukraine'!B:AV,COLUMN('Share, Heavy Weapons to Ukraine'!AV45)-1,FALSE)+VLOOKUP(U57,'Share, Heavy Weapons to Ukraine'!B:AW,COLUMN('Share, Heavy Weapons to Ukraine'!AW45)-1,FALSE)</f>
        <v>0</v>
      </c>
      <c r="W57" s="349">
        <f>VLOOKUP(U57,'Share, Heavy Weapons to Ukraine'!B:BI,COLUMN('Share, Heavy Weapons to Ukraine'!BI45)-1,FALSE)+VLOOKUP(U57,'Share, Heavy Weapons to Ukraine'!B:BJ,COLUMN('Share, Heavy Weapons to Ukraine'!BJ45)-1,FALSE)+VLOOKUP(U57,'Share, Heavy Weapons to Ukraine'!B:BK,COLUMN('Share, Heavy Weapons to Ukraine'!BK45)-1,FALSE)</f>
        <v>0</v>
      </c>
      <c r="X57" s="1365" t="str">
        <f t="shared" si="13"/>
        <v>.</v>
      </c>
      <c r="Z57" s="1380">
        <f t="shared" si="9"/>
        <v>1</v>
      </c>
      <c r="AA57" s="349" t="s">
        <v>981</v>
      </c>
      <c r="AB57" s="349">
        <f>VLOOKUP(AA57,'Share, Heavy Weapons to Ukraine'!B:AP,COLUMN('Share, Heavy Weapons to Ukraine'!AP44)-1,FALSE)</f>
        <v>0</v>
      </c>
      <c r="AC57" s="349">
        <f>VLOOKUP(AA57,'Share, Heavy Weapons to Ukraine'!B:BD,COLUMN('Share, Heavy Weapons to Ukraine'!BD44)-1,FALSE)</f>
        <v>0</v>
      </c>
      <c r="AD57" s="1365" t="str">
        <f t="shared" si="14"/>
        <v>.</v>
      </c>
      <c r="AF57" s="349" t="s">
        <v>981</v>
      </c>
      <c r="AG57" s="349">
        <v>1</v>
      </c>
    </row>
    <row r="58" spans="1:33" ht="15.95" customHeight="1">
      <c r="B58" s="1380">
        <f t="shared" si="5"/>
        <v>1</v>
      </c>
      <c r="C58" s="349" t="s">
        <v>2625</v>
      </c>
      <c r="D58" s="350">
        <f>VLOOKUP(C58,'Share, Heavy Weapons to Ukraine'!B:AX,COLUMN('Share, Heavy Weapons to Ukraine'!AR45)-1,FALSE)</f>
        <v>0</v>
      </c>
      <c r="E58" s="350">
        <f>VLOOKUP(C58,'Share, Heavy Weapons to Ukraine'!B:BF,COLUMN('Share, Heavy Weapons to Ukraine'!BF45)-1,FALSE)</f>
        <v>0</v>
      </c>
      <c r="F58" s="1365" t="str">
        <f t="shared" si="10"/>
        <v>.</v>
      </c>
      <c r="H58" s="1380">
        <f t="shared" si="6"/>
        <v>1</v>
      </c>
      <c r="I58" s="349" t="s">
        <v>2625</v>
      </c>
      <c r="J58" s="349">
        <f>VLOOKUP(I58,'Share, Heavy Weapons to Ukraine'!B:AX,COLUMN('Share, Heavy Weapons to Ukraine'!AS45)-1,FALSE)</f>
        <v>0</v>
      </c>
      <c r="K58" s="349">
        <f>VLOOKUP(I58,'Share, Heavy Weapons to Ukraine'!B:BG,COLUMN('Share, Heavy Weapons to Ukraine'!BG46)-1,FALSE)</f>
        <v>0</v>
      </c>
      <c r="L58" s="1365" t="str">
        <f t="shared" si="11"/>
        <v>.</v>
      </c>
      <c r="N58" s="1380">
        <f t="shared" si="7"/>
        <v>1</v>
      </c>
      <c r="O58" s="349" t="s">
        <v>2625</v>
      </c>
      <c r="P58" s="349">
        <f>VLOOKUP(O58,'Share, Heavy Weapons to Ukraine'!B:AX,COLUMN('Share, Heavy Weapons to Ukraine'!AL28)-1,FALSE)</f>
        <v>0</v>
      </c>
      <c r="Q58" s="349">
        <f>VLOOKUP(O58,'Share, Heavy Weapons to Ukraine'!B:AZ,COLUMN('Share, Heavy Weapons to Ukraine'!AZ52)-1,FALSE)</f>
        <v>0</v>
      </c>
      <c r="R58" s="1365" t="str">
        <f t="shared" si="12"/>
        <v>.</v>
      </c>
      <c r="T58" s="1380">
        <f t="shared" si="8"/>
        <v>1</v>
      </c>
      <c r="U58" s="349" t="s">
        <v>2625</v>
      </c>
      <c r="V58" s="349">
        <f>VLOOKUP(U58,'Share, Heavy Weapons to Ukraine'!B:AU,COLUMN('Share, Heavy Weapons to Ukraine'!AU46)-1,FALSE)+VLOOKUP(U58,'Share, Heavy Weapons to Ukraine'!B:AV,COLUMN('Share, Heavy Weapons to Ukraine'!AV46)-1,FALSE)+VLOOKUP(U58,'Share, Heavy Weapons to Ukraine'!B:AW,COLUMN('Share, Heavy Weapons to Ukraine'!AW46)-1,FALSE)</f>
        <v>0</v>
      </c>
      <c r="W58" s="349">
        <f>VLOOKUP(U58,'Share, Heavy Weapons to Ukraine'!B:BI,COLUMN('Share, Heavy Weapons to Ukraine'!BI46)-1,FALSE)+VLOOKUP(U58,'Share, Heavy Weapons to Ukraine'!B:BJ,COLUMN('Share, Heavy Weapons to Ukraine'!BJ46)-1,FALSE)+VLOOKUP(U58,'Share, Heavy Weapons to Ukraine'!B:BK,COLUMN('Share, Heavy Weapons to Ukraine'!BK46)-1,FALSE)</f>
        <v>0</v>
      </c>
      <c r="X58" s="1365" t="str">
        <f t="shared" si="13"/>
        <v>.</v>
      </c>
      <c r="Z58" s="1380">
        <f t="shared" si="9"/>
        <v>1</v>
      </c>
      <c r="AA58" s="349" t="s">
        <v>2625</v>
      </c>
      <c r="AB58" s="349">
        <f>VLOOKUP(AA58,'Share, Heavy Weapons to Ukraine'!B:AP,COLUMN('Share, Heavy Weapons to Ukraine'!AP45)-1,FALSE)</f>
        <v>0</v>
      </c>
      <c r="AC58" s="349">
        <f>VLOOKUP(AA58,'Share, Heavy Weapons to Ukraine'!B:BD,COLUMN('Share, Heavy Weapons to Ukraine'!BD45)-1,FALSE)</f>
        <v>0</v>
      </c>
      <c r="AD58" s="1365" t="str">
        <f t="shared" si="14"/>
        <v>.</v>
      </c>
      <c r="AF58" s="349" t="s">
        <v>2625</v>
      </c>
      <c r="AG58" s="349">
        <v>1</v>
      </c>
    </row>
    <row r="59" spans="1:33" ht="15.95" customHeight="1">
      <c r="B59" s="1380">
        <f t="shared" si="5"/>
        <v>0</v>
      </c>
      <c r="C59" s="349" t="s">
        <v>4866</v>
      </c>
      <c r="D59" s="350">
        <f>VLOOKUP(C59,'Share, Heavy Weapons to Ukraine'!B:AX,COLUMN('Share, Heavy Weapons to Ukraine'!AR46)-1,FALSE)</f>
        <v>0</v>
      </c>
      <c r="E59" s="350">
        <f>VLOOKUP(C59,'Share, Heavy Weapons to Ukraine'!B:BF,COLUMN('Share, Heavy Weapons to Ukraine'!BF46)-1,FALSE)</f>
        <v>0</v>
      </c>
      <c r="F59" s="1365" t="str">
        <f t="shared" si="10"/>
        <v>.</v>
      </c>
      <c r="H59" s="1380">
        <f t="shared" si="6"/>
        <v>0</v>
      </c>
      <c r="I59" s="349" t="s">
        <v>4866</v>
      </c>
      <c r="J59" s="349">
        <f>VLOOKUP(I59,'Share, Heavy Weapons to Ukraine'!B:AX,COLUMN('Share, Heavy Weapons to Ukraine'!AS46)-1,FALSE)</f>
        <v>0</v>
      </c>
      <c r="K59" s="349">
        <f>VLOOKUP(I59,'Share, Heavy Weapons to Ukraine'!B:BG,COLUMN('Share, Heavy Weapons to Ukraine'!BG47)-1,FALSE)</f>
        <v>0</v>
      </c>
      <c r="L59" s="1365" t="str">
        <f t="shared" si="11"/>
        <v>.</v>
      </c>
      <c r="N59" s="1380">
        <f t="shared" si="7"/>
        <v>0</v>
      </c>
      <c r="O59" s="349" t="s">
        <v>4866</v>
      </c>
      <c r="P59" s="349">
        <f>VLOOKUP(O59,'Share, Heavy Weapons to Ukraine'!B:AX,COLUMN('Share, Heavy Weapons to Ukraine'!AL14)-1,FALSE)</f>
        <v>0</v>
      </c>
      <c r="Q59" s="349">
        <f>VLOOKUP(O59,'Share, Heavy Weapons to Ukraine'!B:AZ,COLUMN('Share, Heavy Weapons to Ukraine'!AZ53)-1,FALSE)</f>
        <v>0</v>
      </c>
      <c r="R59" s="1365" t="str">
        <f t="shared" si="12"/>
        <v>.</v>
      </c>
      <c r="T59" s="1380">
        <f t="shared" si="8"/>
        <v>0</v>
      </c>
      <c r="U59" s="349" t="s">
        <v>4866</v>
      </c>
      <c r="V59" s="349">
        <f>VLOOKUP(U59,'Share, Heavy Weapons to Ukraine'!B:AU,COLUMN('Share, Heavy Weapons to Ukraine'!AU47)-1,FALSE)+VLOOKUP(U59,'Share, Heavy Weapons to Ukraine'!B:AV,COLUMN('Share, Heavy Weapons to Ukraine'!AV47)-1,FALSE)+VLOOKUP(U59,'Share, Heavy Weapons to Ukraine'!B:AW,COLUMN('Share, Heavy Weapons to Ukraine'!AW47)-1,FALSE)</f>
        <v>0</v>
      </c>
      <c r="W59" s="349">
        <f>VLOOKUP(U59,'Share, Heavy Weapons to Ukraine'!B:BI,COLUMN('Share, Heavy Weapons to Ukraine'!BI47)-1,FALSE)+VLOOKUP(U59,'Share, Heavy Weapons to Ukraine'!B:BJ,COLUMN('Share, Heavy Weapons to Ukraine'!BJ47)-1,FALSE)+VLOOKUP(U59,'Share, Heavy Weapons to Ukraine'!B:BK,COLUMN('Share, Heavy Weapons to Ukraine'!BK47)-1,FALSE)</f>
        <v>0</v>
      </c>
      <c r="X59" s="1365" t="str">
        <f t="shared" si="13"/>
        <v>.</v>
      </c>
      <c r="Z59" s="1380">
        <f t="shared" si="9"/>
        <v>0</v>
      </c>
      <c r="AA59" s="349" t="s">
        <v>4866</v>
      </c>
      <c r="AB59" s="349">
        <f>VLOOKUP(AA59,'Share, Heavy Weapons to Ukraine'!B:AP,COLUMN('Share, Heavy Weapons to Ukraine'!AP46)-1,FALSE)</f>
        <v>0</v>
      </c>
      <c r="AC59" s="349">
        <f>VLOOKUP(AA59,'Share, Heavy Weapons to Ukraine'!B:BD,COLUMN('Share, Heavy Weapons to Ukraine'!BD46)-1,FALSE)</f>
        <v>0</v>
      </c>
      <c r="AD59" s="1365" t="str">
        <f t="shared" si="14"/>
        <v>.</v>
      </c>
      <c r="AF59" s="349" t="s">
        <v>4866</v>
      </c>
      <c r="AG59" s="349">
        <v>0</v>
      </c>
    </row>
    <row r="60" spans="1:33" ht="15.95" customHeight="1">
      <c r="B60" s="1380">
        <f t="shared" si="5"/>
        <v>0</v>
      </c>
      <c r="C60" s="349" t="s">
        <v>4867</v>
      </c>
      <c r="D60" s="350">
        <f>VLOOKUP(C60,'Share, Heavy Weapons to Ukraine'!B:AX,COLUMN('Share, Heavy Weapons to Ukraine'!AR47)-1,FALSE)</f>
        <v>0</v>
      </c>
      <c r="E60" s="350">
        <f>VLOOKUP(C60,'Share, Heavy Weapons to Ukraine'!B:BF,COLUMN('Share, Heavy Weapons to Ukraine'!BF47)-1,FALSE)</f>
        <v>0</v>
      </c>
      <c r="F60" s="1365" t="str">
        <f t="shared" si="10"/>
        <v>.</v>
      </c>
      <c r="H60" s="1380">
        <f t="shared" si="6"/>
        <v>0</v>
      </c>
      <c r="I60" s="349" t="s">
        <v>4867</v>
      </c>
      <c r="J60" s="349">
        <f>VLOOKUP(I60,'Share, Heavy Weapons to Ukraine'!B:AX,COLUMN('Share, Heavy Weapons to Ukraine'!AS47)-1,FALSE)</f>
        <v>0</v>
      </c>
      <c r="K60" s="349">
        <f>VLOOKUP(I60,'Share, Heavy Weapons to Ukraine'!B:BG,COLUMN('Share, Heavy Weapons to Ukraine'!BG48)-1,FALSE)</f>
        <v>0</v>
      </c>
      <c r="L60" s="1365" t="str">
        <f t="shared" si="11"/>
        <v>.</v>
      </c>
      <c r="N60" s="1380">
        <f t="shared" si="7"/>
        <v>0</v>
      </c>
      <c r="O60" s="349" t="s">
        <v>4867</v>
      </c>
      <c r="P60" s="349">
        <f>VLOOKUP(O60,'Share, Heavy Weapons to Ukraine'!B:AX,COLUMN('Share, Heavy Weapons to Ukraine'!AL13)-1,FALSE)</f>
        <v>0</v>
      </c>
      <c r="Q60" s="349">
        <f>VLOOKUP(O60,'Share, Heavy Weapons to Ukraine'!B:AZ,COLUMN('Share, Heavy Weapons to Ukraine'!AZ54)-1,FALSE)</f>
        <v>0</v>
      </c>
      <c r="R60" s="1365" t="str">
        <f t="shared" si="12"/>
        <v>.</v>
      </c>
      <c r="T60" s="1380">
        <f t="shared" si="8"/>
        <v>0</v>
      </c>
      <c r="U60" s="349" t="s">
        <v>4867</v>
      </c>
      <c r="V60" s="349">
        <f>VLOOKUP(U60,'Share, Heavy Weapons to Ukraine'!B:AU,COLUMN('Share, Heavy Weapons to Ukraine'!AU48)-1,FALSE)+VLOOKUP(U60,'Share, Heavy Weapons to Ukraine'!B:AV,COLUMN('Share, Heavy Weapons to Ukraine'!AV48)-1,FALSE)+VLOOKUP(U60,'Share, Heavy Weapons to Ukraine'!B:AW,COLUMN('Share, Heavy Weapons to Ukraine'!AW48)-1,FALSE)</f>
        <v>0</v>
      </c>
      <c r="W60" s="349">
        <f>VLOOKUP(U60,'Share, Heavy Weapons to Ukraine'!B:BI,COLUMN('Share, Heavy Weapons to Ukraine'!BI48)-1,FALSE)+VLOOKUP(U60,'Share, Heavy Weapons to Ukraine'!B:BJ,COLUMN('Share, Heavy Weapons to Ukraine'!BJ48)-1,FALSE)+VLOOKUP(U60,'Share, Heavy Weapons to Ukraine'!B:BK,COLUMN('Share, Heavy Weapons to Ukraine'!BK48)-1,FALSE)</f>
        <v>0</v>
      </c>
      <c r="X60" s="1365" t="str">
        <f t="shared" si="13"/>
        <v>.</v>
      </c>
      <c r="Z60" s="1380">
        <f t="shared" si="9"/>
        <v>0</v>
      </c>
      <c r="AA60" s="349" t="s">
        <v>4867</v>
      </c>
      <c r="AB60" s="349">
        <f>VLOOKUP(AA60,'Share, Heavy Weapons to Ukraine'!B:AP,COLUMN('Share, Heavy Weapons to Ukraine'!AP47)-1,FALSE)</f>
        <v>0</v>
      </c>
      <c r="AC60" s="349">
        <f>VLOOKUP(AA60,'Share, Heavy Weapons to Ukraine'!B:BD,COLUMN('Share, Heavy Weapons to Ukraine'!BD47)-1,FALSE)</f>
        <v>0</v>
      </c>
      <c r="AD60" s="1365" t="str">
        <f t="shared" si="14"/>
        <v>.</v>
      </c>
      <c r="AF60" s="349" t="s">
        <v>4867</v>
      </c>
      <c r="AG60" s="349">
        <v>0</v>
      </c>
    </row>
    <row r="61" spans="1:33" ht="15.95" customHeight="1" thickBot="1">
      <c r="B61" s="1381">
        <f t="shared" si="5"/>
        <v>0</v>
      </c>
      <c r="C61" s="456" t="s">
        <v>4868</v>
      </c>
      <c r="D61" s="456">
        <f>VLOOKUP(C61,'Share, Heavy Weapons to Ukraine'!B:AX,COLUMN('Share, Heavy Weapons to Ukraine'!AR48)-1,FALSE)</f>
        <v>0</v>
      </c>
      <c r="E61" s="456">
        <f>VLOOKUP(C61,'Share, Heavy Weapons to Ukraine'!B:BF,COLUMN('Share, Heavy Weapons to Ukraine'!BF48)-1,FALSE)</f>
        <v>0</v>
      </c>
      <c r="F61" s="1378" t="str">
        <f t="shared" si="10"/>
        <v>.</v>
      </c>
      <c r="H61" s="1381">
        <f t="shared" si="6"/>
        <v>0</v>
      </c>
      <c r="I61" s="456" t="s">
        <v>4868</v>
      </c>
      <c r="J61" s="456">
        <f>VLOOKUP(I61,'Share, Heavy Weapons to Ukraine'!B:AX,COLUMN('Share, Heavy Weapons to Ukraine'!AS48)-1,FALSE)</f>
        <v>0</v>
      </c>
      <c r="K61" s="456">
        <f>VLOOKUP(I61,'Share, Heavy Weapons to Ukraine'!B:BG,COLUMN('Share, Heavy Weapons to Ukraine'!BG49)-1,FALSE)</f>
        <v>0</v>
      </c>
      <c r="L61" s="1378" t="str">
        <f t="shared" si="11"/>
        <v>.</v>
      </c>
      <c r="N61" s="1381">
        <f t="shared" si="7"/>
        <v>0</v>
      </c>
      <c r="O61" s="456" t="s">
        <v>4868</v>
      </c>
      <c r="P61" s="791">
        <f>VLOOKUP(O61,'Share, Heavy Weapons to Ukraine'!B:AX,COLUMN('Share, Heavy Weapons to Ukraine'!AL12)-1,FALSE)</f>
        <v>0</v>
      </c>
      <c r="Q61" s="791">
        <f>VLOOKUP(O61,'Share, Heavy Weapons to Ukraine'!B:AZ,COLUMN('Share, Heavy Weapons to Ukraine'!AZ55)-1,FALSE)</f>
        <v>0</v>
      </c>
      <c r="R61" s="1378" t="str">
        <f t="shared" si="12"/>
        <v>.</v>
      </c>
      <c r="S61" s="1203"/>
      <c r="T61" s="1381">
        <f t="shared" si="8"/>
        <v>0</v>
      </c>
      <c r="U61" s="456" t="s">
        <v>4868</v>
      </c>
      <c r="V61" s="456">
        <f>VLOOKUP(U61,'Share, Heavy Weapons to Ukraine'!B:AU,COLUMN('Share, Heavy Weapons to Ukraine'!AU49)-1,FALSE)+VLOOKUP(U61,'Share, Heavy Weapons to Ukraine'!B:AV,COLUMN('Share, Heavy Weapons to Ukraine'!AV49)-1,FALSE)+VLOOKUP(U61,'Share, Heavy Weapons to Ukraine'!B:AW,COLUMN('Share, Heavy Weapons to Ukraine'!AW49)-1,FALSE)</f>
        <v>0</v>
      </c>
      <c r="W61" s="456">
        <f>VLOOKUP(U61,'Share, Heavy Weapons to Ukraine'!B:BI,COLUMN('Share, Heavy Weapons to Ukraine'!BI49)-1,FALSE)+VLOOKUP(U61,'Share, Heavy Weapons to Ukraine'!B:BJ,COLUMN('Share, Heavy Weapons to Ukraine'!BJ49)-1,FALSE)+VLOOKUP(U61,'Share, Heavy Weapons to Ukraine'!B:BK,COLUMN('Share, Heavy Weapons to Ukraine'!BK49)-1,FALSE)</f>
        <v>0</v>
      </c>
      <c r="X61" s="1378" t="str">
        <f t="shared" si="13"/>
        <v>.</v>
      </c>
      <c r="Z61" s="1381">
        <f t="shared" si="9"/>
        <v>0</v>
      </c>
      <c r="AA61" s="456" t="s">
        <v>4868</v>
      </c>
      <c r="AB61" s="456">
        <f>VLOOKUP(AA61,'Share, Heavy Weapons to Ukraine'!B:AP,COLUMN('Share, Heavy Weapons to Ukraine'!AP48)-1,FALSE)</f>
        <v>0</v>
      </c>
      <c r="AC61" s="456">
        <f>VLOOKUP(AA61,'Share, Heavy Weapons to Ukraine'!B:BD,COLUMN('Share, Heavy Weapons to Ukraine'!BD48)-1,FALSE)</f>
        <v>0</v>
      </c>
      <c r="AD61" s="1378" t="str">
        <f t="shared" si="14"/>
        <v>.</v>
      </c>
      <c r="AF61" s="456" t="s">
        <v>4868</v>
      </c>
      <c r="AG61" s="1395">
        <v>0</v>
      </c>
    </row>
    <row r="62" spans="1:33" s="1372" customFormat="1" ht="15.95" customHeight="1">
      <c r="A62" s="1369"/>
      <c r="B62" s="1380"/>
      <c r="G62" s="1369"/>
      <c r="H62" s="1380"/>
      <c r="M62" s="1369"/>
      <c r="N62" s="1380"/>
      <c r="S62" s="1369"/>
      <c r="T62" s="1380"/>
      <c r="Z62" s="1380"/>
      <c r="AF62" s="1369"/>
    </row>
    <row r="63" spans="1:33" ht="15.95" customHeight="1">
      <c r="AF63" s="1369"/>
      <c r="AG63" s="1372"/>
    </row>
    <row r="64" spans="1:33" ht="15.95" customHeight="1">
      <c r="C64" s="1396"/>
    </row>
    <row r="65" spans="3:3" ht="15.95" customHeight="1">
      <c r="C65" s="1396"/>
    </row>
    <row r="66" spans="3:3" ht="15.95" customHeight="1">
      <c r="C66" s="1396"/>
    </row>
    <row r="67" spans="3:3" ht="15.95" customHeight="1">
      <c r="C67" s="1396"/>
    </row>
    <row r="68" spans="3:3" ht="15.95" customHeight="1">
      <c r="C68" s="1396"/>
    </row>
    <row r="69" spans="3:3" ht="15.95" customHeight="1">
      <c r="C69" s="1396"/>
    </row>
  </sheetData>
  <sortState xmlns:xlrd2="http://schemas.microsoft.com/office/spreadsheetml/2017/richdata2" ref="O20:R61">
    <sortCondition descending="1" ref="P20:P61"/>
  </sortState>
  <mergeCells count="23">
    <mergeCell ref="B4:H9"/>
    <mergeCell ref="AF18:AF19"/>
    <mergeCell ref="AG18:AG19"/>
    <mergeCell ref="B18:B19"/>
    <mergeCell ref="H18:H19"/>
    <mergeCell ref="T18:T19"/>
    <mergeCell ref="Z18:Z19"/>
    <mergeCell ref="N18:N19"/>
    <mergeCell ref="C18:C19"/>
    <mergeCell ref="I18:I19"/>
    <mergeCell ref="U18:U19"/>
    <mergeCell ref="V18:X18"/>
    <mergeCell ref="D11:F11"/>
    <mergeCell ref="J11:L11"/>
    <mergeCell ref="P11:R11"/>
    <mergeCell ref="V11:X11"/>
    <mergeCell ref="AB11:AD11"/>
    <mergeCell ref="AA18:AA19"/>
    <mergeCell ref="AB18:AD18"/>
    <mergeCell ref="D18:F18"/>
    <mergeCell ref="J18:L18"/>
    <mergeCell ref="P18:R18"/>
    <mergeCell ref="O18:O19"/>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8CBAD"/>
  </sheetPr>
  <dimension ref="B1:PJ49"/>
  <sheetViews>
    <sheetView zoomScaleNormal="100" workbookViewId="0"/>
  </sheetViews>
  <sheetFormatPr defaultColWidth="8.5" defaultRowHeight="15.75" customHeight="1"/>
  <cols>
    <col min="1" max="1" width="8.625" style="422" customWidth="1"/>
    <col min="2" max="2" width="27.125" style="422" customWidth="1"/>
    <col min="3" max="203" width="8.5" style="422" customWidth="1"/>
    <col min="204" max="204" width="12" style="422" customWidth="1"/>
    <col min="205" max="239" width="8.5" style="422" customWidth="1"/>
    <col min="240" max="240" width="8.5" style="422"/>
    <col min="241" max="282" width="8.5" style="422" customWidth="1"/>
    <col min="283" max="286" width="8" style="422" customWidth="1"/>
    <col min="287" max="288" width="8.5" style="422" customWidth="1"/>
    <col min="289" max="301" width="8" style="422" customWidth="1"/>
    <col min="302" max="324" width="8.5" style="422" customWidth="1"/>
    <col min="325" max="325" width="8.5" style="424" customWidth="1"/>
    <col min="326" max="362" width="8.5" style="424"/>
    <col min="363" max="368" width="8" style="424" customWidth="1"/>
    <col min="369" max="375" width="8.5" style="424"/>
    <col min="376" max="386" width="8" style="424" customWidth="1"/>
    <col min="387" max="389" width="8.5" style="424"/>
    <col min="390" max="397" width="8" style="424" customWidth="1"/>
    <col min="398" max="399" width="8.5" style="424"/>
    <col min="400" max="417" width="8.5" style="422"/>
    <col min="418" max="418" width="8.5" style="424"/>
    <col min="419" max="16384" width="8.5" style="422"/>
  </cols>
  <sheetData>
    <row r="1" spans="2:426" ht="15.75" customHeight="1">
      <c r="LM1" s="422"/>
      <c r="LN1" s="422"/>
      <c r="LO1" s="422"/>
      <c r="LP1" s="422"/>
      <c r="LQ1" s="422"/>
      <c r="LR1" s="422"/>
      <c r="LS1" s="422"/>
      <c r="LT1" s="422"/>
      <c r="LU1" s="422"/>
      <c r="LV1" s="422"/>
      <c r="LW1" s="422"/>
      <c r="LX1" s="422"/>
      <c r="LY1" s="422"/>
      <c r="LZ1" s="422"/>
      <c r="MA1" s="422"/>
      <c r="MB1" s="422"/>
      <c r="MC1" s="422"/>
      <c r="MD1" s="422"/>
      <c r="ME1" s="422"/>
      <c r="MF1" s="422"/>
      <c r="MG1" s="422"/>
      <c r="MH1" s="422"/>
      <c r="MI1" s="422"/>
      <c r="MJ1" s="422"/>
      <c r="MK1" s="422"/>
      <c r="ML1" s="422"/>
      <c r="MM1" s="422"/>
      <c r="MN1" s="422"/>
      <c r="MO1" s="422"/>
      <c r="MP1" s="422"/>
      <c r="MQ1" s="422"/>
      <c r="MR1" s="422"/>
      <c r="MS1" s="422"/>
      <c r="MT1" s="422"/>
      <c r="MU1" s="422"/>
      <c r="MV1" s="422"/>
      <c r="MW1" s="422"/>
      <c r="MX1" s="422"/>
      <c r="MY1" s="422"/>
      <c r="MZ1" s="422"/>
      <c r="NA1" s="422"/>
      <c r="NB1" s="422"/>
      <c r="NC1" s="422"/>
      <c r="ND1" s="422"/>
      <c r="NE1" s="422"/>
      <c r="NF1" s="422"/>
      <c r="NG1" s="422"/>
      <c r="NH1" s="422"/>
      <c r="NI1" s="422"/>
      <c r="NJ1" s="422"/>
      <c r="NK1" s="422"/>
      <c r="NL1" s="422"/>
      <c r="NM1" s="422"/>
      <c r="NN1" s="422"/>
      <c r="NO1" s="422"/>
      <c r="NP1" s="422"/>
      <c r="NQ1" s="422"/>
      <c r="NR1" s="422"/>
      <c r="NS1" s="422"/>
      <c r="NT1" s="422"/>
      <c r="NU1" s="422"/>
      <c r="NV1" s="422"/>
      <c r="NW1" s="422"/>
      <c r="NX1" s="422"/>
      <c r="NY1" s="422"/>
      <c r="NZ1" s="422"/>
      <c r="OA1" s="422"/>
      <c r="OB1" s="422"/>
      <c r="OC1" s="422"/>
      <c r="OD1" s="422"/>
      <c r="OE1" s="422"/>
      <c r="OF1" s="422"/>
      <c r="OG1" s="422"/>
      <c r="OH1" s="422"/>
      <c r="OI1" s="422"/>
      <c r="PB1" s="422"/>
    </row>
    <row r="2" spans="2:426" ht="24.75" customHeight="1">
      <c r="B2" s="427" t="s">
        <v>6185</v>
      </c>
      <c r="LM2" s="422"/>
      <c r="LN2" s="422"/>
      <c r="LO2" s="422"/>
      <c r="LP2" s="422"/>
      <c r="LQ2" s="422"/>
      <c r="LR2" s="422"/>
      <c r="LS2" s="422"/>
      <c r="LT2" s="422"/>
      <c r="LU2" s="422"/>
      <c r="LV2" s="422"/>
      <c r="LW2" s="422"/>
      <c r="LX2" s="422"/>
      <c r="LY2" s="422"/>
      <c r="LZ2" s="422"/>
      <c r="MA2" s="422"/>
      <c r="MB2" s="422"/>
      <c r="MC2" s="422"/>
      <c r="MD2" s="422"/>
      <c r="ME2" s="422"/>
      <c r="MF2" s="422"/>
      <c r="MG2" s="422"/>
      <c r="MH2" s="422"/>
      <c r="MI2" s="422"/>
      <c r="MJ2" s="422"/>
      <c r="MK2" s="422"/>
      <c r="ML2" s="422"/>
      <c r="MM2" s="422"/>
      <c r="MN2" s="422"/>
      <c r="MO2" s="422"/>
      <c r="MP2" s="422"/>
      <c r="MQ2" s="422"/>
      <c r="MR2" s="422"/>
      <c r="MS2" s="422"/>
      <c r="MT2" s="422"/>
      <c r="MU2" s="422"/>
      <c r="MV2" s="422"/>
      <c r="MW2" s="422"/>
      <c r="MX2" s="422"/>
      <c r="MY2" s="422"/>
      <c r="MZ2" s="422"/>
      <c r="NA2" s="422"/>
      <c r="NB2" s="422"/>
      <c r="NC2" s="422"/>
      <c r="ND2" s="422"/>
      <c r="NE2" s="422"/>
      <c r="NF2" s="422"/>
      <c r="NG2" s="422"/>
      <c r="NH2" s="422"/>
      <c r="NI2" s="422"/>
      <c r="NJ2" s="422"/>
      <c r="NK2" s="422"/>
      <c r="NL2" s="422"/>
      <c r="NM2" s="422"/>
      <c r="NN2" s="422"/>
      <c r="NO2" s="422"/>
      <c r="NP2" s="422"/>
      <c r="NQ2" s="422"/>
      <c r="NR2" s="422"/>
      <c r="NS2" s="422"/>
      <c r="NT2" s="422"/>
      <c r="NU2" s="422"/>
      <c r="NV2" s="422"/>
      <c r="NW2" s="422"/>
      <c r="NX2" s="422"/>
      <c r="NY2" s="422"/>
      <c r="NZ2" s="422"/>
      <c r="OA2" s="422"/>
      <c r="OB2" s="422"/>
      <c r="OC2" s="422"/>
      <c r="OD2" s="422"/>
      <c r="OE2" s="422"/>
      <c r="OF2" s="422"/>
      <c r="OG2" s="422"/>
      <c r="OH2" s="422"/>
      <c r="OI2" s="422"/>
      <c r="PB2" s="422"/>
    </row>
    <row r="3" spans="2:426" ht="15.75" customHeight="1">
      <c r="LM3" s="422"/>
      <c r="LN3" s="422"/>
      <c r="LO3" s="422"/>
      <c r="LP3" s="422"/>
      <c r="LQ3" s="422"/>
      <c r="LR3" s="422"/>
      <c r="LS3" s="422"/>
      <c r="LT3" s="422"/>
      <c r="LU3" s="422"/>
      <c r="LV3" s="422"/>
      <c r="LW3" s="422"/>
      <c r="LX3" s="422"/>
      <c r="LY3" s="422"/>
      <c r="LZ3" s="422"/>
      <c r="MA3" s="422"/>
      <c r="MB3" s="422"/>
      <c r="MC3" s="422"/>
      <c r="MD3" s="422"/>
      <c r="ME3" s="422"/>
      <c r="MF3" s="422"/>
      <c r="MG3" s="422"/>
      <c r="MH3" s="422"/>
      <c r="MI3" s="422"/>
      <c r="MJ3" s="422"/>
      <c r="MK3" s="422"/>
      <c r="ML3" s="422"/>
      <c r="MM3" s="422"/>
      <c r="MN3" s="422"/>
      <c r="MO3" s="422"/>
      <c r="MP3" s="422"/>
      <c r="MQ3" s="422"/>
      <c r="MR3" s="422"/>
      <c r="MS3" s="422"/>
      <c r="MT3" s="422"/>
      <c r="MU3" s="422"/>
      <c r="MV3" s="422"/>
      <c r="MW3" s="422"/>
      <c r="MX3" s="422"/>
      <c r="MY3" s="422"/>
      <c r="MZ3" s="422"/>
      <c r="NA3" s="422"/>
      <c r="NB3" s="422"/>
      <c r="NC3" s="422"/>
      <c r="ND3" s="422"/>
      <c r="NE3" s="422"/>
      <c r="NF3" s="422"/>
      <c r="NG3" s="422"/>
      <c r="NH3" s="422"/>
      <c r="NI3" s="422"/>
      <c r="NJ3" s="422"/>
      <c r="NK3" s="422"/>
      <c r="NL3" s="422"/>
      <c r="NM3" s="422"/>
      <c r="NN3" s="422"/>
      <c r="NO3" s="422"/>
      <c r="NP3" s="422"/>
      <c r="NQ3" s="422"/>
      <c r="NR3" s="422"/>
      <c r="NS3" s="422"/>
      <c r="NT3" s="422"/>
      <c r="NU3" s="422"/>
      <c r="NV3" s="422"/>
      <c r="NW3" s="422"/>
      <c r="NX3" s="422"/>
      <c r="NY3" s="422"/>
      <c r="NZ3" s="422"/>
      <c r="OA3" s="422"/>
      <c r="OB3" s="422"/>
      <c r="OC3" s="422"/>
      <c r="OD3" s="422"/>
      <c r="OE3" s="422"/>
      <c r="OF3" s="422"/>
      <c r="OG3" s="422"/>
      <c r="OH3" s="422"/>
      <c r="OI3" s="422"/>
      <c r="PB3" s="422"/>
    </row>
    <row r="4" spans="2:426" ht="15.75" customHeight="1">
      <c r="B4" s="1499" t="s">
        <v>6186</v>
      </c>
      <c r="C4" s="1499"/>
      <c r="D4" s="1499"/>
      <c r="E4" s="1499"/>
      <c r="F4" s="1499"/>
      <c r="G4" s="1499"/>
      <c r="H4" s="1499"/>
      <c r="I4" s="1499"/>
      <c r="J4" s="1499"/>
      <c r="K4" s="1499"/>
      <c r="L4" s="1499"/>
      <c r="M4" s="1499"/>
      <c r="LM4" s="422"/>
      <c r="LN4" s="422"/>
      <c r="LO4" s="422"/>
      <c r="LP4" s="422"/>
      <c r="LQ4" s="422"/>
      <c r="LR4" s="422"/>
      <c r="LS4" s="422"/>
      <c r="LT4" s="422"/>
      <c r="LU4" s="422"/>
      <c r="LV4" s="422"/>
      <c r="LW4" s="422"/>
      <c r="LX4" s="422"/>
      <c r="LY4" s="422"/>
      <c r="LZ4" s="422"/>
      <c r="MA4" s="422"/>
      <c r="MB4" s="422"/>
      <c r="MC4" s="422"/>
      <c r="MD4" s="422"/>
      <c r="ME4" s="422"/>
      <c r="MF4" s="422"/>
      <c r="MG4" s="422"/>
      <c r="MH4" s="422"/>
      <c r="MI4" s="422"/>
      <c r="MJ4" s="422"/>
      <c r="MK4" s="422"/>
      <c r="ML4" s="422"/>
      <c r="MM4" s="422"/>
      <c r="MN4" s="422"/>
      <c r="MO4" s="422"/>
      <c r="MP4" s="422"/>
      <c r="MQ4" s="422"/>
      <c r="MR4" s="422"/>
      <c r="MS4" s="422"/>
      <c r="MT4" s="422"/>
      <c r="MU4" s="422"/>
      <c r="MV4" s="422"/>
      <c r="MW4" s="422"/>
      <c r="MX4" s="422"/>
      <c r="MY4" s="422"/>
      <c r="MZ4" s="422"/>
      <c r="NA4" s="422"/>
      <c r="NB4" s="422"/>
      <c r="NC4" s="422"/>
      <c r="ND4" s="422"/>
      <c r="NE4" s="422"/>
      <c r="NF4" s="422"/>
      <c r="NG4" s="422"/>
      <c r="NH4" s="422"/>
      <c r="NI4" s="422"/>
      <c r="NJ4" s="422"/>
      <c r="NK4" s="422"/>
      <c r="NL4" s="422"/>
      <c r="NM4" s="422"/>
      <c r="NN4" s="422"/>
      <c r="NO4" s="422"/>
      <c r="NP4" s="422"/>
      <c r="NQ4" s="422"/>
      <c r="NR4" s="422"/>
      <c r="NS4" s="422"/>
      <c r="NT4" s="422"/>
      <c r="NU4" s="422"/>
      <c r="NV4" s="422"/>
      <c r="NW4" s="422"/>
      <c r="NX4" s="422"/>
      <c r="NY4" s="422"/>
      <c r="NZ4" s="422"/>
      <c r="OA4" s="422"/>
      <c r="OB4" s="422"/>
      <c r="OC4" s="422"/>
      <c r="OD4" s="422"/>
      <c r="OE4" s="422"/>
      <c r="OF4" s="422"/>
      <c r="OG4" s="422"/>
      <c r="OH4" s="422"/>
      <c r="OI4" s="422"/>
      <c r="PB4" s="422"/>
    </row>
    <row r="5" spans="2:426" ht="15.75" customHeight="1">
      <c r="B5" s="1499"/>
      <c r="C5" s="1499"/>
      <c r="D5" s="1499"/>
      <c r="E5" s="1499"/>
      <c r="F5" s="1499"/>
      <c r="G5" s="1499"/>
      <c r="H5" s="1499"/>
      <c r="I5" s="1499"/>
      <c r="J5" s="1499"/>
      <c r="K5" s="1499"/>
      <c r="L5" s="1499"/>
      <c r="M5" s="1499"/>
      <c r="LM5" s="422"/>
      <c r="LN5" s="422"/>
      <c r="LO5" s="422"/>
      <c r="LP5" s="422"/>
      <c r="LQ5" s="422"/>
      <c r="LR5" s="422"/>
      <c r="LS5" s="422"/>
      <c r="LT5" s="422"/>
      <c r="LU5" s="422"/>
      <c r="LV5" s="422"/>
      <c r="LW5" s="422"/>
      <c r="LX5" s="422"/>
      <c r="LY5" s="422"/>
      <c r="LZ5" s="422"/>
      <c r="MA5" s="422"/>
      <c r="MB5" s="422"/>
      <c r="MC5" s="422"/>
      <c r="MD5" s="422"/>
      <c r="ME5" s="422"/>
      <c r="MF5" s="422"/>
      <c r="MG5" s="422"/>
      <c r="MH5" s="422"/>
      <c r="MI5" s="422"/>
      <c r="MJ5" s="422"/>
      <c r="MK5" s="422"/>
      <c r="ML5" s="422"/>
      <c r="MM5" s="422"/>
      <c r="MN5" s="422"/>
      <c r="MO5" s="422"/>
      <c r="MP5" s="422"/>
      <c r="MQ5" s="422"/>
      <c r="MR5" s="422"/>
      <c r="MS5" s="422"/>
      <c r="MT5" s="422"/>
      <c r="MU5" s="422"/>
      <c r="MV5" s="422"/>
      <c r="MW5" s="422"/>
      <c r="MX5" s="422"/>
      <c r="MY5" s="422"/>
      <c r="MZ5" s="422"/>
      <c r="NA5" s="422"/>
      <c r="NB5" s="422"/>
      <c r="NC5" s="422"/>
      <c r="ND5" s="422"/>
      <c r="NE5" s="422"/>
      <c r="NF5" s="422"/>
      <c r="NG5" s="422"/>
      <c r="NH5" s="422"/>
      <c r="NI5" s="422"/>
      <c r="NJ5" s="422"/>
      <c r="NK5" s="422"/>
      <c r="NL5" s="422"/>
      <c r="NM5" s="422"/>
      <c r="NN5" s="422"/>
      <c r="NO5" s="422"/>
      <c r="NP5" s="422"/>
      <c r="NQ5" s="422"/>
      <c r="NR5" s="422"/>
      <c r="NS5" s="422"/>
      <c r="NT5" s="422"/>
      <c r="NU5" s="422"/>
      <c r="NV5" s="422"/>
      <c r="NW5" s="422"/>
      <c r="NX5" s="422"/>
      <c r="NY5" s="422"/>
      <c r="NZ5" s="422"/>
      <c r="OA5" s="422"/>
      <c r="OB5" s="422"/>
      <c r="OC5" s="422"/>
      <c r="OD5" s="422"/>
      <c r="OE5" s="422"/>
      <c r="OF5" s="422"/>
      <c r="OG5" s="422"/>
      <c r="OH5" s="422"/>
      <c r="OI5" s="422"/>
      <c r="PB5" s="422"/>
    </row>
    <row r="6" spans="2:426" ht="15.75" customHeight="1">
      <c r="B6" s="1499"/>
      <c r="C6" s="1499"/>
      <c r="D6" s="1499"/>
      <c r="E6" s="1499"/>
      <c r="F6" s="1499"/>
      <c r="G6" s="1499"/>
      <c r="H6" s="1499"/>
      <c r="I6" s="1499"/>
      <c r="J6" s="1499"/>
      <c r="K6" s="1499"/>
      <c r="L6" s="1499"/>
      <c r="M6" s="1499"/>
      <c r="LM6" s="422"/>
      <c r="LN6" s="422"/>
      <c r="LO6" s="422"/>
      <c r="LP6" s="422"/>
      <c r="LQ6" s="422"/>
      <c r="LR6" s="422"/>
      <c r="LS6" s="422"/>
      <c r="LT6" s="422"/>
      <c r="LU6" s="422"/>
      <c r="LV6" s="422"/>
      <c r="LW6" s="422"/>
      <c r="LX6" s="422"/>
      <c r="LY6" s="422"/>
      <c r="LZ6" s="422"/>
      <c r="MA6" s="422"/>
      <c r="MB6" s="422"/>
      <c r="MC6" s="422"/>
      <c r="MD6" s="422"/>
      <c r="ME6" s="422"/>
      <c r="MF6" s="422"/>
      <c r="MG6" s="422"/>
      <c r="MH6" s="422"/>
      <c r="MI6" s="422"/>
      <c r="MJ6" s="422"/>
      <c r="MK6" s="422"/>
      <c r="ML6" s="422"/>
      <c r="MM6" s="422"/>
      <c r="MN6" s="422"/>
      <c r="MO6" s="422"/>
      <c r="MP6" s="422"/>
      <c r="MQ6" s="422"/>
      <c r="MR6" s="422"/>
      <c r="MS6" s="422"/>
      <c r="MT6" s="422"/>
      <c r="MU6" s="422"/>
      <c r="MV6" s="422"/>
      <c r="MW6" s="422"/>
      <c r="MX6" s="422"/>
      <c r="MY6" s="422"/>
      <c r="MZ6" s="422"/>
      <c r="NA6" s="422"/>
      <c r="NB6" s="422"/>
      <c r="NC6" s="422"/>
      <c r="ND6" s="422"/>
      <c r="NE6" s="422"/>
      <c r="NF6" s="422"/>
      <c r="NG6" s="422"/>
      <c r="NH6" s="422"/>
      <c r="NI6" s="422"/>
      <c r="NJ6" s="422"/>
      <c r="NK6" s="422"/>
      <c r="NL6" s="422"/>
      <c r="NM6" s="422"/>
      <c r="NN6" s="422"/>
      <c r="NO6" s="422"/>
      <c r="NP6" s="422"/>
      <c r="NQ6" s="422"/>
      <c r="NR6" s="422"/>
      <c r="NS6" s="422"/>
      <c r="NT6" s="422"/>
      <c r="NU6" s="422"/>
      <c r="NV6" s="422"/>
      <c r="NW6" s="422"/>
      <c r="NX6" s="422"/>
      <c r="NY6" s="422"/>
      <c r="NZ6" s="422"/>
      <c r="OA6" s="422"/>
      <c r="OB6" s="422"/>
      <c r="OC6" s="422"/>
      <c r="OD6" s="422"/>
      <c r="OE6" s="422"/>
      <c r="OF6" s="422"/>
      <c r="OG6" s="422"/>
      <c r="OH6" s="422"/>
      <c r="OI6" s="422"/>
      <c r="PB6" s="422"/>
    </row>
    <row r="7" spans="2:426" ht="15.75" customHeight="1">
      <c r="B7" s="1499"/>
      <c r="C7" s="1499"/>
      <c r="D7" s="1499"/>
      <c r="E7" s="1499"/>
      <c r="F7" s="1499"/>
      <c r="G7" s="1499"/>
      <c r="H7" s="1499"/>
      <c r="I7" s="1499"/>
      <c r="J7" s="1499"/>
      <c r="K7" s="1499"/>
      <c r="L7" s="1499"/>
      <c r="M7" s="1499"/>
      <c r="LM7" s="422"/>
      <c r="LN7" s="422"/>
      <c r="LO7" s="422"/>
      <c r="LP7" s="422"/>
      <c r="LQ7" s="422"/>
      <c r="LR7" s="422"/>
      <c r="LS7" s="422"/>
      <c r="LT7" s="422"/>
      <c r="LU7" s="422"/>
      <c r="LV7" s="422"/>
      <c r="LW7" s="422"/>
      <c r="LX7" s="422"/>
      <c r="LY7" s="422"/>
      <c r="LZ7" s="422"/>
      <c r="MA7" s="422"/>
      <c r="MB7" s="422"/>
      <c r="MC7" s="422"/>
      <c r="MD7" s="422"/>
      <c r="ME7" s="422"/>
      <c r="MF7" s="422"/>
      <c r="MG7" s="422"/>
      <c r="MH7" s="422"/>
      <c r="MI7" s="422"/>
      <c r="MJ7" s="422"/>
      <c r="MK7" s="422"/>
      <c r="ML7" s="422"/>
      <c r="MM7" s="422"/>
      <c r="MN7" s="422"/>
      <c r="MO7" s="422"/>
      <c r="MP7" s="422"/>
      <c r="MQ7" s="422"/>
      <c r="MR7" s="422"/>
      <c r="MS7" s="422"/>
      <c r="MT7" s="422"/>
      <c r="MU7" s="422"/>
      <c r="MV7" s="422"/>
      <c r="MW7" s="422"/>
      <c r="MX7" s="422"/>
      <c r="MY7" s="422"/>
      <c r="MZ7" s="422"/>
      <c r="NA7" s="422"/>
      <c r="NB7" s="422"/>
      <c r="NC7" s="422"/>
      <c r="ND7" s="422"/>
      <c r="NE7" s="422"/>
      <c r="NF7" s="422"/>
      <c r="NG7" s="422"/>
      <c r="NH7" s="422"/>
      <c r="NI7" s="422"/>
      <c r="NJ7" s="422"/>
      <c r="NK7" s="422"/>
      <c r="NL7" s="422"/>
      <c r="NM7" s="422"/>
      <c r="NN7" s="422"/>
      <c r="NO7" s="422"/>
      <c r="NP7" s="422"/>
      <c r="NQ7" s="422"/>
      <c r="NR7" s="422"/>
      <c r="NS7" s="422"/>
      <c r="NT7" s="422"/>
      <c r="NU7" s="422"/>
      <c r="NV7" s="422"/>
      <c r="NW7" s="422"/>
      <c r="NX7" s="422"/>
      <c r="NY7" s="422"/>
      <c r="NZ7" s="422"/>
      <c r="OA7" s="422"/>
      <c r="OB7" s="422"/>
      <c r="OC7" s="422"/>
      <c r="OD7" s="422"/>
      <c r="OE7" s="422"/>
      <c r="OF7" s="422"/>
      <c r="OG7" s="422"/>
      <c r="OH7" s="422"/>
      <c r="OI7" s="422"/>
      <c r="PB7" s="422"/>
    </row>
    <row r="8" spans="2:426" ht="15.75" customHeight="1">
      <c r="B8" s="1499"/>
      <c r="C8" s="1499"/>
      <c r="D8" s="1499"/>
      <c r="E8" s="1499"/>
      <c r="F8" s="1499"/>
      <c r="G8" s="1499"/>
      <c r="H8" s="1499"/>
      <c r="I8" s="1499"/>
      <c r="J8" s="1499"/>
      <c r="K8" s="1499"/>
      <c r="L8" s="1499"/>
      <c r="M8" s="1499"/>
      <c r="LM8" s="422"/>
      <c r="LN8" s="422"/>
      <c r="LO8" s="422"/>
      <c r="LP8" s="422"/>
      <c r="LQ8" s="422"/>
      <c r="LR8" s="422"/>
      <c r="LS8" s="422"/>
      <c r="LT8" s="422"/>
      <c r="LU8" s="422"/>
      <c r="LV8" s="422"/>
      <c r="LW8" s="422"/>
      <c r="LX8" s="422"/>
      <c r="LY8" s="422"/>
      <c r="LZ8" s="422"/>
      <c r="MA8" s="422"/>
      <c r="MB8" s="422"/>
      <c r="MC8" s="422"/>
      <c r="MD8" s="422"/>
      <c r="ME8" s="422"/>
      <c r="MF8" s="422"/>
      <c r="MG8" s="422"/>
      <c r="MH8" s="422"/>
      <c r="MI8" s="422"/>
      <c r="MJ8" s="422"/>
      <c r="MK8" s="422"/>
      <c r="ML8" s="422"/>
      <c r="MM8" s="422"/>
      <c r="MN8" s="422"/>
      <c r="MO8" s="422"/>
      <c r="MP8" s="422"/>
      <c r="MQ8" s="422"/>
      <c r="MR8" s="422"/>
      <c r="MS8" s="422"/>
      <c r="MT8" s="422"/>
      <c r="MU8" s="422"/>
      <c r="MV8" s="422"/>
      <c r="MW8" s="422"/>
      <c r="MX8" s="422"/>
      <c r="MY8" s="422"/>
      <c r="MZ8" s="422"/>
      <c r="NA8" s="422"/>
      <c r="NB8" s="422"/>
      <c r="NC8" s="422"/>
      <c r="ND8" s="422"/>
      <c r="NE8" s="422"/>
      <c r="NF8" s="422"/>
      <c r="NG8" s="422"/>
      <c r="NH8" s="422"/>
      <c r="NI8" s="422"/>
      <c r="NJ8" s="422"/>
      <c r="NK8" s="422"/>
      <c r="NL8" s="422"/>
      <c r="NM8" s="422"/>
      <c r="NN8" s="422"/>
      <c r="NO8" s="422"/>
      <c r="NP8" s="422"/>
      <c r="NQ8" s="422"/>
      <c r="NR8" s="422"/>
      <c r="NS8" s="422"/>
      <c r="NT8" s="422"/>
      <c r="NU8" s="422"/>
      <c r="NV8" s="422"/>
      <c r="NW8" s="422"/>
      <c r="NX8" s="422"/>
      <c r="NY8" s="422"/>
      <c r="NZ8" s="422"/>
      <c r="OA8" s="422"/>
      <c r="OB8" s="422"/>
      <c r="OC8" s="422"/>
      <c r="OD8" s="422"/>
      <c r="OE8" s="422"/>
      <c r="OF8" s="422"/>
      <c r="OG8" s="422"/>
      <c r="OH8" s="422"/>
      <c r="OI8" s="422"/>
      <c r="PB8" s="422"/>
    </row>
    <row r="9" spans="2:426" ht="15.75" customHeight="1">
      <c r="B9" s="1499"/>
      <c r="C9" s="1499"/>
      <c r="D9" s="1499"/>
      <c r="E9" s="1499"/>
      <c r="F9" s="1499"/>
      <c r="G9" s="1499"/>
      <c r="H9" s="1499"/>
      <c r="I9" s="1499"/>
      <c r="J9" s="1499"/>
      <c r="K9" s="1499"/>
      <c r="L9" s="1499"/>
      <c r="M9" s="1499"/>
      <c r="LM9" s="422"/>
      <c r="LN9" s="422"/>
      <c r="LO9" s="422"/>
      <c r="LP9" s="422"/>
      <c r="LQ9" s="422"/>
      <c r="LR9" s="422"/>
      <c r="LS9" s="422"/>
      <c r="LT9" s="422"/>
      <c r="LU9" s="422"/>
      <c r="LV9" s="422"/>
      <c r="LW9" s="422"/>
      <c r="LX9" s="422"/>
      <c r="LY9" s="422"/>
      <c r="LZ9" s="422"/>
      <c r="MA9" s="422"/>
      <c r="MB9" s="422"/>
      <c r="MC9" s="422"/>
      <c r="MD9" s="422"/>
      <c r="ME9" s="422"/>
      <c r="MF9" s="422"/>
      <c r="MG9" s="422"/>
      <c r="MH9" s="422"/>
      <c r="MI9" s="422"/>
      <c r="MJ9" s="422"/>
      <c r="MK9" s="422"/>
      <c r="ML9" s="422"/>
      <c r="MM9" s="422"/>
      <c r="MN9" s="422"/>
      <c r="MO9" s="422"/>
      <c r="MP9" s="422"/>
      <c r="MQ9" s="422"/>
      <c r="MR9" s="422"/>
      <c r="MS9" s="422"/>
      <c r="MT9" s="422"/>
      <c r="MU9" s="422"/>
      <c r="MV9" s="422"/>
      <c r="MW9" s="422"/>
      <c r="MX9" s="422"/>
      <c r="MY9" s="422"/>
      <c r="MZ9" s="422"/>
      <c r="NA9" s="422"/>
      <c r="NB9" s="422"/>
      <c r="NC9" s="422"/>
      <c r="ND9" s="422"/>
      <c r="NE9" s="422"/>
      <c r="NF9" s="422"/>
      <c r="NG9" s="422"/>
      <c r="NH9" s="422"/>
      <c r="NI9" s="422"/>
      <c r="NJ9" s="422"/>
      <c r="NK9" s="422"/>
      <c r="NL9" s="422"/>
      <c r="NM9" s="422"/>
      <c r="NN9" s="422"/>
      <c r="NO9" s="422"/>
      <c r="NP9" s="422"/>
      <c r="NQ9" s="422"/>
      <c r="NR9" s="422"/>
      <c r="NS9" s="422"/>
      <c r="NT9" s="422"/>
      <c r="NU9" s="422"/>
      <c r="NV9" s="422"/>
      <c r="NW9" s="422"/>
      <c r="NX9" s="422"/>
      <c r="NY9" s="422"/>
      <c r="NZ9" s="422"/>
      <c r="OA9" s="422"/>
      <c r="OB9" s="422"/>
      <c r="OC9" s="422"/>
      <c r="OD9" s="422"/>
      <c r="OE9" s="422"/>
      <c r="OF9" s="422"/>
      <c r="OG9" s="422"/>
      <c r="OH9" s="422"/>
      <c r="OI9" s="422"/>
      <c r="PB9" s="422"/>
    </row>
    <row r="10" spans="2:426" ht="15.75" customHeight="1">
      <c r="LM10" s="422"/>
      <c r="LN10" s="422"/>
      <c r="LO10" s="422"/>
      <c r="LP10" s="422"/>
      <c r="LQ10" s="422"/>
      <c r="LR10" s="422"/>
      <c r="LS10" s="422"/>
      <c r="LT10" s="422"/>
      <c r="LU10" s="422"/>
      <c r="LV10" s="422"/>
      <c r="LW10" s="422"/>
      <c r="LX10" s="422"/>
      <c r="LY10" s="422"/>
      <c r="LZ10" s="422"/>
      <c r="MA10" s="422"/>
      <c r="MB10" s="422"/>
      <c r="MC10" s="422"/>
      <c r="MD10" s="422"/>
      <c r="ME10" s="422"/>
      <c r="MF10" s="422"/>
      <c r="MG10" s="422"/>
      <c r="MH10" s="422"/>
      <c r="MI10" s="422"/>
      <c r="MJ10" s="422"/>
      <c r="MK10" s="422"/>
      <c r="ML10" s="422"/>
      <c r="MM10" s="422"/>
      <c r="MN10" s="422"/>
      <c r="MO10" s="422"/>
      <c r="MP10" s="422"/>
      <c r="MQ10" s="422"/>
      <c r="MR10" s="422"/>
      <c r="MS10" s="422"/>
      <c r="MT10" s="422"/>
      <c r="MU10" s="422"/>
      <c r="MV10" s="422"/>
      <c r="MW10" s="422"/>
      <c r="MX10" s="422"/>
      <c r="MY10" s="422"/>
      <c r="MZ10" s="422"/>
      <c r="NA10" s="422"/>
      <c r="NB10" s="422"/>
      <c r="NC10" s="422"/>
      <c r="ND10" s="422"/>
      <c r="NE10" s="422"/>
      <c r="NF10" s="422"/>
      <c r="NG10" s="422"/>
      <c r="NH10" s="422"/>
      <c r="NI10" s="422"/>
      <c r="NJ10" s="422"/>
      <c r="NK10" s="422"/>
      <c r="NL10" s="422"/>
      <c r="NM10" s="422"/>
      <c r="NN10" s="422"/>
      <c r="NO10" s="422"/>
      <c r="NP10" s="422"/>
      <c r="NQ10" s="422"/>
      <c r="NR10" s="422"/>
      <c r="NS10" s="422"/>
      <c r="NT10" s="422"/>
      <c r="NU10" s="422"/>
      <c r="NV10" s="422"/>
      <c r="NW10" s="422"/>
      <c r="NX10" s="422"/>
      <c r="NY10" s="422"/>
      <c r="NZ10" s="422"/>
      <c r="OA10" s="422"/>
      <c r="OB10" s="422"/>
      <c r="OC10" s="422"/>
      <c r="OD10" s="422"/>
      <c r="OE10" s="422"/>
      <c r="OF10" s="422"/>
      <c r="OG10" s="422"/>
      <c r="OH10" s="422"/>
      <c r="OI10" s="422"/>
      <c r="PB10" s="422"/>
    </row>
    <row r="11" spans="2:426" s="426" customFormat="1" ht="24.75" customHeight="1">
      <c r="B11" s="567" t="s">
        <v>4512</v>
      </c>
      <c r="C11" s="567" t="s">
        <v>5078</v>
      </c>
      <c r="D11" s="567" t="s">
        <v>874</v>
      </c>
      <c r="E11" s="567" t="s">
        <v>6187</v>
      </c>
      <c r="F11" s="567" t="s">
        <v>6188</v>
      </c>
      <c r="G11" s="567" t="s">
        <v>6189</v>
      </c>
      <c r="H11" s="567" t="s">
        <v>6190</v>
      </c>
      <c r="I11" s="567" t="s">
        <v>6191</v>
      </c>
      <c r="J11" s="567" t="s">
        <v>6192</v>
      </c>
      <c r="K11" s="567" t="s">
        <v>6193</v>
      </c>
      <c r="L11" s="567" t="s">
        <v>6194</v>
      </c>
      <c r="M11" s="567" t="s">
        <v>6195</v>
      </c>
      <c r="N11" s="567" t="s">
        <v>6196</v>
      </c>
      <c r="O11" s="567" t="s">
        <v>6197</v>
      </c>
      <c r="P11" s="567" t="s">
        <v>6198</v>
      </c>
      <c r="Q11" s="567" t="s">
        <v>6199</v>
      </c>
      <c r="R11" s="567" t="s">
        <v>6200</v>
      </c>
      <c r="S11" s="567" t="s">
        <v>6201</v>
      </c>
      <c r="T11" s="567" t="s">
        <v>6202</v>
      </c>
      <c r="U11" s="567" t="s">
        <v>6203</v>
      </c>
      <c r="V11" s="567" t="s">
        <v>6204</v>
      </c>
      <c r="W11" s="567" t="s">
        <v>6205</v>
      </c>
      <c r="X11" s="567" t="s">
        <v>6206</v>
      </c>
      <c r="Y11" s="567" t="s">
        <v>6207</v>
      </c>
      <c r="Z11" s="567" t="s">
        <v>6208</v>
      </c>
      <c r="AA11" s="567" t="s">
        <v>6209</v>
      </c>
      <c r="AB11" s="567" t="s">
        <v>6210</v>
      </c>
      <c r="AC11" s="567" t="s">
        <v>6211</v>
      </c>
      <c r="AD11" s="567" t="s">
        <v>6212</v>
      </c>
      <c r="AE11" s="567" t="s">
        <v>6213</v>
      </c>
      <c r="AF11" s="567" t="s">
        <v>6214</v>
      </c>
      <c r="AG11" s="567" t="s">
        <v>6215</v>
      </c>
      <c r="AH11" s="567" t="s">
        <v>6216</v>
      </c>
      <c r="AI11" s="567" t="s">
        <v>6217</v>
      </c>
      <c r="AJ11" s="567" t="s">
        <v>6218</v>
      </c>
      <c r="AK11" s="567" t="s">
        <v>6219</v>
      </c>
      <c r="AL11" s="567" t="s">
        <v>6220</v>
      </c>
      <c r="AM11" s="567" t="s">
        <v>6221</v>
      </c>
      <c r="AN11" s="567" t="s">
        <v>6222</v>
      </c>
      <c r="AO11" s="567" t="s">
        <v>6223</v>
      </c>
      <c r="AP11" s="567" t="s">
        <v>6224</v>
      </c>
      <c r="AQ11" s="567" t="s">
        <v>5157</v>
      </c>
      <c r="AR11" s="567" t="s">
        <v>6225</v>
      </c>
      <c r="AS11" s="567" t="s">
        <v>6226</v>
      </c>
      <c r="AT11" s="567" t="s">
        <v>6227</v>
      </c>
      <c r="AU11" s="567" t="s">
        <v>6228</v>
      </c>
      <c r="AV11" s="567" t="s">
        <v>6229</v>
      </c>
      <c r="AW11" s="567" t="s">
        <v>6230</v>
      </c>
      <c r="AX11" s="567" t="s">
        <v>6231</v>
      </c>
      <c r="AY11" s="567" t="s">
        <v>6232</v>
      </c>
      <c r="AZ11" s="567" t="s">
        <v>6233</v>
      </c>
      <c r="BA11" s="567" t="s">
        <v>6234</v>
      </c>
      <c r="BB11" s="567" t="s">
        <v>6235</v>
      </c>
      <c r="BC11" s="567" t="s">
        <v>6236</v>
      </c>
      <c r="BD11" s="567" t="s">
        <v>6237</v>
      </c>
      <c r="BE11" s="567" t="s">
        <v>6238</v>
      </c>
      <c r="BF11" s="567" t="s">
        <v>6239</v>
      </c>
      <c r="BG11" s="567" t="s">
        <v>6240</v>
      </c>
      <c r="BH11" s="567" t="s">
        <v>6241</v>
      </c>
      <c r="BI11" s="567" t="s">
        <v>6242</v>
      </c>
      <c r="BJ11" s="567" t="s">
        <v>6243</v>
      </c>
      <c r="BK11" s="567" t="s">
        <v>6244</v>
      </c>
      <c r="BL11" s="567" t="s">
        <v>6245</v>
      </c>
      <c r="BM11" s="567" t="s">
        <v>6246</v>
      </c>
      <c r="BN11" s="567" t="s">
        <v>6247</v>
      </c>
      <c r="BO11" s="567" t="s">
        <v>6248</v>
      </c>
      <c r="BP11" s="567" t="s">
        <v>6249</v>
      </c>
      <c r="BQ11" s="567" t="s">
        <v>6250</v>
      </c>
      <c r="BR11" s="567" t="s">
        <v>6251</v>
      </c>
      <c r="BS11" s="567" t="s">
        <v>6252</v>
      </c>
      <c r="BT11" s="567" t="s">
        <v>6253</v>
      </c>
      <c r="BU11" s="567" t="s">
        <v>6254</v>
      </c>
      <c r="BV11" s="567" t="s">
        <v>6255</v>
      </c>
      <c r="BW11" s="567" t="s">
        <v>6256</v>
      </c>
      <c r="BX11" s="567" t="s">
        <v>6257</v>
      </c>
      <c r="BY11" s="567" t="s">
        <v>6258</v>
      </c>
      <c r="BZ11" s="567" t="s">
        <v>6259</v>
      </c>
      <c r="CA11" s="567" t="s">
        <v>6260</v>
      </c>
      <c r="CB11" s="567" t="s">
        <v>6261</v>
      </c>
      <c r="CC11" s="567" t="s">
        <v>6262</v>
      </c>
      <c r="CD11" s="567" t="s">
        <v>6263</v>
      </c>
      <c r="CE11" s="567" t="s">
        <v>6264</v>
      </c>
      <c r="CF11" s="567" t="s">
        <v>6265</v>
      </c>
      <c r="CG11" s="567" t="s">
        <v>6266</v>
      </c>
      <c r="CH11" s="567" t="s">
        <v>6267</v>
      </c>
      <c r="CI11" s="567" t="s">
        <v>6268</v>
      </c>
      <c r="CJ11" s="567" t="s">
        <v>6269</v>
      </c>
      <c r="CK11" s="567" t="s">
        <v>6270</v>
      </c>
      <c r="CL11" s="567" t="s">
        <v>6271</v>
      </c>
      <c r="CM11" s="567" t="s">
        <v>6272</v>
      </c>
      <c r="CN11" s="567" t="s">
        <v>6273</v>
      </c>
      <c r="CO11" s="567" t="s">
        <v>6274</v>
      </c>
      <c r="CP11" s="567" t="s">
        <v>6275</v>
      </c>
      <c r="CQ11" s="567" t="s">
        <v>6276</v>
      </c>
      <c r="CR11" s="567" t="s">
        <v>6277</v>
      </c>
      <c r="CS11" s="567" t="s">
        <v>6278</v>
      </c>
      <c r="CT11" s="567" t="s">
        <v>6279</v>
      </c>
      <c r="CU11" s="567" t="s">
        <v>1690</v>
      </c>
      <c r="CV11" s="567" t="s">
        <v>6280</v>
      </c>
      <c r="CW11" s="567" t="s">
        <v>6281</v>
      </c>
      <c r="CX11" s="567" t="s">
        <v>6282</v>
      </c>
      <c r="CY11" s="567" t="s">
        <v>6283</v>
      </c>
      <c r="CZ11" s="567" t="s">
        <v>6284</v>
      </c>
      <c r="DA11" s="567" t="s">
        <v>6285</v>
      </c>
      <c r="DB11" s="567" t="s">
        <v>6286</v>
      </c>
      <c r="DC11" s="567" t="s">
        <v>6287</v>
      </c>
      <c r="DD11" s="567" t="s">
        <v>6288</v>
      </c>
      <c r="DE11" s="567" t="s">
        <v>6289</v>
      </c>
      <c r="DF11" s="567" t="s">
        <v>6290</v>
      </c>
      <c r="DG11" s="567" t="s">
        <v>6291</v>
      </c>
      <c r="DH11" s="567" t="s">
        <v>6292</v>
      </c>
      <c r="DI11" s="567" t="s">
        <v>6293</v>
      </c>
      <c r="DJ11" s="567" t="s">
        <v>6294</v>
      </c>
      <c r="DK11" s="567" t="s">
        <v>5073</v>
      </c>
      <c r="DL11" s="567" t="s">
        <v>6295</v>
      </c>
      <c r="DM11" s="567" t="s">
        <v>6296</v>
      </c>
      <c r="DN11" s="567" t="s">
        <v>6297</v>
      </c>
      <c r="DO11" s="567" t="s">
        <v>6298</v>
      </c>
      <c r="DP11" s="567" t="s">
        <v>6299</v>
      </c>
      <c r="DQ11" s="567" t="s">
        <v>6300</v>
      </c>
      <c r="DR11" s="567" t="s">
        <v>6301</v>
      </c>
      <c r="DS11" s="567" t="s">
        <v>6302</v>
      </c>
      <c r="DT11" s="567" t="s">
        <v>6303</v>
      </c>
      <c r="DU11" s="567" t="s">
        <v>6304</v>
      </c>
      <c r="DV11" s="567" t="s">
        <v>6305</v>
      </c>
      <c r="DW11" s="567" t="s">
        <v>6306</v>
      </c>
      <c r="DX11" s="567" t="s">
        <v>6307</v>
      </c>
      <c r="DY11" s="567" t="s">
        <v>5152</v>
      </c>
      <c r="DZ11" s="567" t="s">
        <v>6308</v>
      </c>
      <c r="EA11" s="567" t="s">
        <v>6309</v>
      </c>
      <c r="EB11" s="567" t="s">
        <v>6310</v>
      </c>
      <c r="EC11" s="567" t="s">
        <v>6311</v>
      </c>
      <c r="ED11" s="567" t="s">
        <v>6312</v>
      </c>
      <c r="EE11" s="567" t="s">
        <v>3829</v>
      </c>
      <c r="EF11" s="567" t="s">
        <v>6313</v>
      </c>
      <c r="EG11" s="567" t="s">
        <v>6314</v>
      </c>
      <c r="EH11" s="567" t="s">
        <v>6315</v>
      </c>
      <c r="EI11" s="567" t="s">
        <v>6316</v>
      </c>
      <c r="EJ11" s="567" t="s">
        <v>6317</v>
      </c>
      <c r="EK11" s="567" t="s">
        <v>6318</v>
      </c>
      <c r="EL11" s="567" t="s">
        <v>6319</v>
      </c>
      <c r="EM11" s="567" t="s">
        <v>6320</v>
      </c>
      <c r="EN11" s="567" t="s">
        <v>6321</v>
      </c>
      <c r="EO11" s="567" t="s">
        <v>6322</v>
      </c>
      <c r="EP11" s="567" t="s">
        <v>6323</v>
      </c>
      <c r="EQ11" s="567" t="s">
        <v>6324</v>
      </c>
      <c r="ER11" s="567" t="s">
        <v>6325</v>
      </c>
      <c r="ES11" s="567" t="s">
        <v>6326</v>
      </c>
      <c r="ET11" s="567" t="s">
        <v>6327</v>
      </c>
      <c r="EU11" s="567" t="s">
        <v>6328</v>
      </c>
      <c r="EV11" s="567" t="s">
        <v>6329</v>
      </c>
      <c r="EW11" s="567" t="s">
        <v>6330</v>
      </c>
      <c r="EX11" s="567" t="s">
        <v>6331</v>
      </c>
      <c r="EY11" s="567" t="s">
        <v>6262</v>
      </c>
      <c r="EZ11" s="567" t="s">
        <v>6332</v>
      </c>
      <c r="FA11" s="567" t="s">
        <v>4850</v>
      </c>
      <c r="FB11" s="567" t="s">
        <v>6333</v>
      </c>
      <c r="FC11" s="567" t="s">
        <v>2009</v>
      </c>
      <c r="FD11" s="567" t="s">
        <v>6334</v>
      </c>
      <c r="FE11" s="567" t="s">
        <v>6335</v>
      </c>
      <c r="FF11" s="567" t="s">
        <v>6336</v>
      </c>
      <c r="FG11" s="567" t="s">
        <v>6337</v>
      </c>
      <c r="FH11" s="567" t="s">
        <v>6338</v>
      </c>
      <c r="FI11" s="567" t="s">
        <v>6339</v>
      </c>
      <c r="FJ11" s="567" t="s">
        <v>6340</v>
      </c>
      <c r="FK11" s="567" t="s">
        <v>6341</v>
      </c>
      <c r="FL11" s="567" t="s">
        <v>6342</v>
      </c>
      <c r="FM11" s="567" t="s">
        <v>6343</v>
      </c>
      <c r="FN11" s="567" t="s">
        <v>6344</v>
      </c>
      <c r="FO11" s="567" t="s">
        <v>6345</v>
      </c>
      <c r="FP11" s="567" t="s">
        <v>6346</v>
      </c>
      <c r="FQ11" s="567" t="s">
        <v>6347</v>
      </c>
      <c r="FR11" s="567" t="s">
        <v>6348</v>
      </c>
      <c r="FS11" s="567" t="s">
        <v>6349</v>
      </c>
      <c r="FT11" s="567" t="s">
        <v>6350</v>
      </c>
      <c r="FU11" s="567" t="s">
        <v>6351</v>
      </c>
      <c r="FV11" s="567" t="s">
        <v>6352</v>
      </c>
      <c r="FW11" s="567" t="s">
        <v>6353</v>
      </c>
      <c r="FX11" s="567" t="s">
        <v>6354</v>
      </c>
      <c r="FY11" s="567" t="s">
        <v>6355</v>
      </c>
      <c r="FZ11" s="567" t="s">
        <v>6356</v>
      </c>
      <c r="GA11" s="567" t="s">
        <v>6357</v>
      </c>
      <c r="GB11" s="567" t="s">
        <v>6358</v>
      </c>
      <c r="GC11" s="567" t="s">
        <v>6359</v>
      </c>
      <c r="GD11" s="567" t="s">
        <v>6360</v>
      </c>
      <c r="GE11" s="567" t="s">
        <v>6361</v>
      </c>
      <c r="GF11" s="567" t="s">
        <v>6362</v>
      </c>
      <c r="GG11" s="567" t="s">
        <v>6363</v>
      </c>
      <c r="GH11" s="567" t="s">
        <v>6364</v>
      </c>
      <c r="GI11" s="567" t="s">
        <v>6365</v>
      </c>
      <c r="GJ11" s="567" t="s">
        <v>6366</v>
      </c>
      <c r="GK11" s="567" t="s">
        <v>6367</v>
      </c>
      <c r="GL11" s="567" t="s">
        <v>6368</v>
      </c>
      <c r="GM11" s="567" t="s">
        <v>6369</v>
      </c>
      <c r="GN11" s="567" t="s">
        <v>6370</v>
      </c>
      <c r="GO11" s="567" t="s">
        <v>6371</v>
      </c>
      <c r="GP11" s="567" t="s">
        <v>6372</v>
      </c>
      <c r="GQ11" s="567" t="s">
        <v>6373</v>
      </c>
      <c r="GR11" s="567" t="s">
        <v>6374</v>
      </c>
      <c r="GS11" s="567" t="s">
        <v>6375</v>
      </c>
      <c r="GT11" s="567" t="s">
        <v>6376</v>
      </c>
      <c r="GU11" s="567" t="s">
        <v>6377</v>
      </c>
      <c r="GV11" s="567" t="s">
        <v>4288</v>
      </c>
      <c r="GW11" s="567" t="s">
        <v>6378</v>
      </c>
      <c r="GX11" s="567" t="s">
        <v>6379</v>
      </c>
      <c r="GY11" s="567" t="s">
        <v>6380</v>
      </c>
      <c r="GZ11" s="567" t="s">
        <v>6381</v>
      </c>
      <c r="HA11" s="567" t="s">
        <v>6382</v>
      </c>
      <c r="HB11" s="567" t="s">
        <v>6383</v>
      </c>
      <c r="HC11" s="567" t="s">
        <v>6384</v>
      </c>
      <c r="HD11" s="567" t="s">
        <v>6385</v>
      </c>
      <c r="HE11" s="567" t="s">
        <v>6386</v>
      </c>
      <c r="HF11" s="567" t="s">
        <v>6387</v>
      </c>
      <c r="HG11" s="567" t="s">
        <v>6388</v>
      </c>
      <c r="HH11" s="567" t="s">
        <v>6389</v>
      </c>
      <c r="HI11" s="567" t="s">
        <v>6390</v>
      </c>
      <c r="HJ11" s="567" t="s">
        <v>6391</v>
      </c>
      <c r="HK11" s="567" t="s">
        <v>6392</v>
      </c>
      <c r="HL11" s="567" t="s">
        <v>6393</v>
      </c>
      <c r="HM11" s="567" t="s">
        <v>6394</v>
      </c>
      <c r="HN11" s="567" t="s">
        <v>6395</v>
      </c>
      <c r="HO11" s="567" t="s">
        <v>6396</v>
      </c>
      <c r="HP11" s="567" t="s">
        <v>6397</v>
      </c>
      <c r="HQ11" s="567" t="s">
        <v>6398</v>
      </c>
      <c r="HR11" s="567" t="s">
        <v>6399</v>
      </c>
      <c r="HS11" s="567" t="s">
        <v>6400</v>
      </c>
      <c r="HT11" s="567" t="s">
        <v>6401</v>
      </c>
      <c r="HU11" s="567" t="s">
        <v>6402</v>
      </c>
      <c r="HV11" s="567" t="s">
        <v>6403</v>
      </c>
      <c r="HW11" s="567" t="s">
        <v>6404</v>
      </c>
      <c r="HX11" s="567" t="s">
        <v>6405</v>
      </c>
      <c r="HY11" s="567" t="s">
        <v>5357</v>
      </c>
      <c r="HZ11" s="567" t="s">
        <v>6406</v>
      </c>
      <c r="IA11" s="567" t="s">
        <v>6407</v>
      </c>
      <c r="IB11" s="567" t="s">
        <v>6408</v>
      </c>
      <c r="IC11" s="567" t="s">
        <v>6409</v>
      </c>
      <c r="ID11" s="567" t="s">
        <v>6410</v>
      </c>
      <c r="IE11" s="567" t="s">
        <v>6411</v>
      </c>
      <c r="IF11" s="567" t="s">
        <v>4693</v>
      </c>
      <c r="IG11" s="567" t="s">
        <v>6412</v>
      </c>
      <c r="IH11" s="567" t="s">
        <v>6413</v>
      </c>
      <c r="II11" s="567" t="s">
        <v>6414</v>
      </c>
      <c r="IJ11" s="567" t="s">
        <v>6415</v>
      </c>
      <c r="IK11" s="567" t="s">
        <v>6416</v>
      </c>
      <c r="IL11" s="567" t="s">
        <v>6417</v>
      </c>
      <c r="IM11" s="567" t="s">
        <v>6418</v>
      </c>
      <c r="IN11" s="567" t="s">
        <v>6419</v>
      </c>
      <c r="IO11" s="567" t="s">
        <v>6420</v>
      </c>
      <c r="IP11" s="567" t="s">
        <v>6421</v>
      </c>
      <c r="IQ11" s="567" t="s">
        <v>6422</v>
      </c>
      <c r="IR11" s="567" t="s">
        <v>6423</v>
      </c>
      <c r="IS11" s="567" t="s">
        <v>6424</v>
      </c>
      <c r="IT11" s="567" t="s">
        <v>6425</v>
      </c>
      <c r="IU11" s="567" t="s">
        <v>6426</v>
      </c>
      <c r="IV11" s="567" t="s">
        <v>6427</v>
      </c>
      <c r="IW11" s="567" t="s">
        <v>6428</v>
      </c>
      <c r="IX11" s="567" t="s">
        <v>6429</v>
      </c>
      <c r="IY11" s="567" t="s">
        <v>6430</v>
      </c>
      <c r="IZ11" s="567" t="s">
        <v>6431</v>
      </c>
      <c r="JA11" s="567" t="s">
        <v>6432</v>
      </c>
      <c r="JB11" s="567" t="s">
        <v>6433</v>
      </c>
      <c r="JC11" s="567" t="s">
        <v>6434</v>
      </c>
      <c r="JD11" s="567" t="s">
        <v>6435</v>
      </c>
      <c r="JE11" s="567" t="s">
        <v>6436</v>
      </c>
      <c r="JF11" s="567" t="s">
        <v>6437</v>
      </c>
      <c r="JG11" s="567" t="s">
        <v>6438</v>
      </c>
      <c r="JH11" s="567" t="s">
        <v>6439</v>
      </c>
      <c r="JI11" s="567" t="s">
        <v>6440</v>
      </c>
      <c r="JJ11" s="567" t="s">
        <v>6441</v>
      </c>
      <c r="JK11" s="567" t="s">
        <v>6442</v>
      </c>
      <c r="JL11" s="567" t="s">
        <v>6443</v>
      </c>
      <c r="JM11" s="567" t="s">
        <v>6444</v>
      </c>
      <c r="JN11" s="567" t="s">
        <v>6445</v>
      </c>
      <c r="JO11" s="567" t="s">
        <v>6446</v>
      </c>
      <c r="JP11" s="567" t="s">
        <v>6447</v>
      </c>
      <c r="JQ11" s="567" t="s">
        <v>6448</v>
      </c>
      <c r="JR11" s="567" t="s">
        <v>6449</v>
      </c>
      <c r="JS11" s="567" t="s">
        <v>6450</v>
      </c>
      <c r="JT11" s="567" t="s">
        <v>6451</v>
      </c>
      <c r="JU11" s="567" t="s">
        <v>6452</v>
      </c>
      <c r="JV11" s="567" t="s">
        <v>6453</v>
      </c>
      <c r="JW11" s="567" t="s">
        <v>6454</v>
      </c>
      <c r="JX11" s="567" t="s">
        <v>6455</v>
      </c>
      <c r="JY11" s="567" t="s">
        <v>6456</v>
      </c>
      <c r="JZ11" s="567" t="s">
        <v>6457</v>
      </c>
      <c r="KA11" s="567" t="s">
        <v>6458</v>
      </c>
      <c r="KB11" s="567" t="s">
        <v>6459</v>
      </c>
      <c r="KC11" s="567" t="s">
        <v>6460</v>
      </c>
      <c r="KD11" s="567" t="s">
        <v>6461</v>
      </c>
      <c r="KE11" s="567" t="s">
        <v>6462</v>
      </c>
      <c r="KF11" s="567" t="s">
        <v>6463</v>
      </c>
      <c r="KG11" s="567" t="s">
        <v>6464</v>
      </c>
      <c r="KH11" s="567" t="s">
        <v>6465</v>
      </c>
      <c r="KI11" s="567" t="s">
        <v>6466</v>
      </c>
      <c r="KJ11" s="567" t="s">
        <v>6467</v>
      </c>
      <c r="KK11" s="567" t="s">
        <v>6468</v>
      </c>
      <c r="KL11" s="567" t="s">
        <v>6469</v>
      </c>
      <c r="KM11" s="567" t="s">
        <v>6470</v>
      </c>
      <c r="KN11" s="567" t="s">
        <v>6471</v>
      </c>
      <c r="KO11" s="567" t="s">
        <v>6472</v>
      </c>
      <c r="KP11" s="567" t="s">
        <v>6473</v>
      </c>
      <c r="KQ11" s="567" t="s">
        <v>6474</v>
      </c>
      <c r="KR11" s="567" t="s">
        <v>6475</v>
      </c>
      <c r="KS11" s="567" t="s">
        <v>6476</v>
      </c>
      <c r="KT11" s="567" t="s">
        <v>6477</v>
      </c>
      <c r="KU11" s="567" t="s">
        <v>6478</v>
      </c>
      <c r="KV11" s="567" t="s">
        <v>6479</v>
      </c>
      <c r="KW11" s="567" t="s">
        <v>6480</v>
      </c>
      <c r="KX11" s="567" t="s">
        <v>6481</v>
      </c>
      <c r="KY11" s="567" t="s">
        <v>6482</v>
      </c>
      <c r="KZ11" s="567" t="s">
        <v>6483</v>
      </c>
      <c r="LA11" s="567" t="s">
        <v>6484</v>
      </c>
      <c r="LB11" s="567" t="s">
        <v>6485</v>
      </c>
      <c r="LC11" s="567" t="s">
        <v>6486</v>
      </c>
      <c r="LD11" s="567" t="s">
        <v>6487</v>
      </c>
      <c r="LE11" s="567" t="s">
        <v>6488</v>
      </c>
      <c r="LF11" s="567" t="s">
        <v>6489</v>
      </c>
      <c r="LG11" s="567" t="s">
        <v>6490</v>
      </c>
      <c r="LH11" s="567" t="s">
        <v>6491</v>
      </c>
      <c r="LI11" s="567" t="s">
        <v>6492</v>
      </c>
      <c r="LJ11" s="567" t="s">
        <v>6493</v>
      </c>
      <c r="LK11" s="567" t="s">
        <v>6494</v>
      </c>
      <c r="LL11" s="567" t="s">
        <v>6495</v>
      </c>
      <c r="LM11" s="568" t="s">
        <v>6496</v>
      </c>
      <c r="LN11" s="568" t="s">
        <v>6497</v>
      </c>
      <c r="LO11" s="568" t="s">
        <v>6498</v>
      </c>
      <c r="LP11" s="568" t="s">
        <v>6499</v>
      </c>
      <c r="LQ11" s="568" t="s">
        <v>6500</v>
      </c>
      <c r="LR11" s="568" t="s">
        <v>6501</v>
      </c>
      <c r="LS11" s="568" t="s">
        <v>6502</v>
      </c>
      <c r="LT11" s="568" t="s">
        <v>6503</v>
      </c>
      <c r="LU11" s="568" t="s">
        <v>6504</v>
      </c>
      <c r="LV11" s="568" t="s">
        <v>6505</v>
      </c>
      <c r="LW11" s="568" t="s">
        <v>6506</v>
      </c>
      <c r="LX11" s="568" t="s">
        <v>6507</v>
      </c>
      <c r="LY11" s="568" t="s">
        <v>6508</v>
      </c>
      <c r="LZ11" s="568" t="s">
        <v>6509</v>
      </c>
      <c r="MA11" s="568" t="s">
        <v>6510</v>
      </c>
      <c r="MB11" s="568" t="s">
        <v>6511</v>
      </c>
      <c r="MC11" s="568" t="s">
        <v>6512</v>
      </c>
      <c r="MD11" s="568" t="s">
        <v>6513</v>
      </c>
      <c r="ME11" s="568" t="s">
        <v>6514</v>
      </c>
      <c r="MF11" s="568" t="s">
        <v>6515</v>
      </c>
      <c r="MG11" s="568" t="s">
        <v>6516</v>
      </c>
      <c r="MH11" s="568" t="s">
        <v>6517</v>
      </c>
      <c r="MI11" s="568" t="s">
        <v>6518</v>
      </c>
      <c r="MJ11" s="568" t="s">
        <v>6519</v>
      </c>
      <c r="MK11" s="568" t="s">
        <v>6520</v>
      </c>
      <c r="ML11" s="568" t="s">
        <v>6521</v>
      </c>
      <c r="MM11" s="568" t="s">
        <v>6522</v>
      </c>
      <c r="MN11" s="568" t="s">
        <v>6523</v>
      </c>
      <c r="MO11" s="568" t="s">
        <v>6524</v>
      </c>
      <c r="MP11" s="568" t="s">
        <v>6525</v>
      </c>
      <c r="MQ11" s="568" t="s">
        <v>6526</v>
      </c>
      <c r="MR11" s="568" t="s">
        <v>6527</v>
      </c>
      <c r="MS11" s="568" t="s">
        <v>6528</v>
      </c>
      <c r="MT11" s="568" t="s">
        <v>6529</v>
      </c>
      <c r="MU11" s="568" t="s">
        <v>6530</v>
      </c>
      <c r="MV11" s="568" t="s">
        <v>6531</v>
      </c>
      <c r="MW11" s="568" t="s">
        <v>6532</v>
      </c>
      <c r="MX11" s="568" t="s">
        <v>6533</v>
      </c>
      <c r="MY11" s="568" t="s">
        <v>6534</v>
      </c>
      <c r="MZ11" s="568" t="s">
        <v>6535</v>
      </c>
      <c r="NA11" s="568" t="s">
        <v>6536</v>
      </c>
      <c r="NB11" s="568" t="s">
        <v>6537</v>
      </c>
      <c r="NC11" s="568" t="s">
        <v>6538</v>
      </c>
      <c r="ND11" s="568" t="s">
        <v>6539</v>
      </c>
      <c r="NE11" s="568" t="s">
        <v>6540</v>
      </c>
      <c r="NF11" s="568" t="s">
        <v>6541</v>
      </c>
      <c r="NG11" s="568" t="s">
        <v>6542</v>
      </c>
      <c r="NH11" s="568" t="s">
        <v>6543</v>
      </c>
      <c r="NI11" s="568" t="s">
        <v>6544</v>
      </c>
      <c r="NJ11" s="568" t="s">
        <v>6545</v>
      </c>
      <c r="NK11" s="568" t="s">
        <v>6546</v>
      </c>
      <c r="NL11" s="568" t="s">
        <v>6547</v>
      </c>
      <c r="NM11" s="568" t="s">
        <v>6548</v>
      </c>
      <c r="NN11" s="568" t="s">
        <v>6549</v>
      </c>
      <c r="NO11" s="568" t="s">
        <v>6550</v>
      </c>
      <c r="NP11" s="568" t="s">
        <v>6551</v>
      </c>
      <c r="NQ11" s="568" t="s">
        <v>6552</v>
      </c>
      <c r="NR11" s="568" t="s">
        <v>6553</v>
      </c>
      <c r="NS11" s="568" t="s">
        <v>6554</v>
      </c>
      <c r="NT11" s="568" t="s">
        <v>6555</v>
      </c>
      <c r="NU11" s="568" t="s">
        <v>6556</v>
      </c>
      <c r="NV11" s="568" t="s">
        <v>6557</v>
      </c>
      <c r="NW11" s="568" t="s">
        <v>6558</v>
      </c>
      <c r="NX11" s="568" t="s">
        <v>6559</v>
      </c>
      <c r="NY11" s="568" t="s">
        <v>6560</v>
      </c>
      <c r="NZ11" s="568" t="s">
        <v>6561</v>
      </c>
      <c r="OA11" s="568" t="s">
        <v>6562</v>
      </c>
      <c r="OB11" s="568" t="s">
        <v>6563</v>
      </c>
      <c r="OC11" s="568" t="s">
        <v>6564</v>
      </c>
      <c r="OD11" s="568" t="s">
        <v>6565</v>
      </c>
      <c r="OE11" s="568" t="s">
        <v>6566</v>
      </c>
      <c r="OF11" s="568" t="s">
        <v>6567</v>
      </c>
      <c r="OG11" s="568" t="s">
        <v>6568</v>
      </c>
      <c r="OH11" s="568" t="s">
        <v>6569</v>
      </c>
      <c r="OI11" s="568" t="s">
        <v>6570</v>
      </c>
      <c r="OJ11" s="568" t="s">
        <v>6571</v>
      </c>
      <c r="OK11" s="568" t="s">
        <v>6572</v>
      </c>
      <c r="OL11" s="568" t="s">
        <v>6573</v>
      </c>
      <c r="OM11" s="568" t="s">
        <v>6574</v>
      </c>
      <c r="ON11" s="568" t="s">
        <v>6575</v>
      </c>
      <c r="OO11" s="568" t="s">
        <v>6576</v>
      </c>
      <c r="OP11" s="568" t="s">
        <v>6577</v>
      </c>
      <c r="OQ11" s="568" t="s">
        <v>6578</v>
      </c>
      <c r="OR11" s="568" t="s">
        <v>6579</v>
      </c>
      <c r="OS11" s="568" t="s">
        <v>6580</v>
      </c>
      <c r="OT11" s="568" t="s">
        <v>6581</v>
      </c>
      <c r="OU11" s="568" t="s">
        <v>6582</v>
      </c>
      <c r="OV11" s="568" t="s">
        <v>6583</v>
      </c>
      <c r="OW11" s="568" t="s">
        <v>6584</v>
      </c>
      <c r="OX11" s="568" t="s">
        <v>6585</v>
      </c>
      <c r="OY11" s="568" t="s">
        <v>6586</v>
      </c>
      <c r="OZ11" s="568" t="s">
        <v>6587</v>
      </c>
      <c r="PA11" s="568" t="s">
        <v>6588</v>
      </c>
      <c r="PB11" s="568" t="s">
        <v>6589</v>
      </c>
      <c r="PC11" s="568" t="s">
        <v>6590</v>
      </c>
      <c r="PD11" s="568" t="s">
        <v>6591</v>
      </c>
      <c r="PE11" s="568" t="s">
        <v>6592</v>
      </c>
      <c r="PF11" s="568" t="s">
        <v>6593</v>
      </c>
      <c r="PG11" s="567" t="s">
        <v>6594</v>
      </c>
      <c r="PH11" s="568" t="s">
        <v>6595</v>
      </c>
      <c r="PI11" s="567" t="s">
        <v>6596</v>
      </c>
      <c r="PJ11" s="567" t="s">
        <v>6597</v>
      </c>
    </row>
    <row r="12" spans="2:426" ht="15.6">
      <c r="B12" s="426" t="s">
        <v>3949</v>
      </c>
      <c r="C12" s="422">
        <f>SUM(D12:AP12)</f>
        <v>6095</v>
      </c>
      <c r="D12" s="422" t="s">
        <v>364</v>
      </c>
      <c r="E12" s="422" t="s">
        <v>364</v>
      </c>
      <c r="F12" s="422" t="s">
        <v>364</v>
      </c>
      <c r="G12" s="422" t="s">
        <v>364</v>
      </c>
      <c r="H12" s="422" t="s">
        <v>364</v>
      </c>
      <c r="I12" s="422" t="s">
        <v>364</v>
      </c>
      <c r="J12" s="422" t="s">
        <v>364</v>
      </c>
      <c r="K12" s="422" t="s">
        <v>364</v>
      </c>
      <c r="L12" s="422" t="s">
        <v>364</v>
      </c>
      <c r="M12" s="422" t="s">
        <v>364</v>
      </c>
      <c r="N12" s="422" t="s">
        <v>364</v>
      </c>
      <c r="O12" s="422" t="s">
        <v>364</v>
      </c>
      <c r="P12" s="422" t="s">
        <v>364</v>
      </c>
      <c r="Q12" s="422" t="s">
        <v>364</v>
      </c>
      <c r="R12" s="422" t="s">
        <v>364</v>
      </c>
      <c r="S12" s="422" t="s">
        <v>364</v>
      </c>
      <c r="T12" s="422" t="s">
        <v>364</v>
      </c>
      <c r="U12" s="422" t="s">
        <v>364</v>
      </c>
      <c r="V12" s="422" t="s">
        <v>364</v>
      </c>
      <c r="W12" s="422" t="s">
        <v>364</v>
      </c>
      <c r="X12" s="422" t="s">
        <v>364</v>
      </c>
      <c r="Y12" s="422" t="s">
        <v>364</v>
      </c>
      <c r="Z12" s="422" t="s">
        <v>364</v>
      </c>
      <c r="AA12" s="422" t="s">
        <v>364</v>
      </c>
      <c r="AB12" s="422" t="s">
        <v>364</v>
      </c>
      <c r="AC12" s="422" t="s">
        <v>364</v>
      </c>
      <c r="AD12" s="422" t="s">
        <v>364</v>
      </c>
      <c r="AE12" s="422" t="s">
        <v>364</v>
      </c>
      <c r="AF12" s="422" t="s">
        <v>364</v>
      </c>
      <c r="AG12" s="422" t="s">
        <v>364</v>
      </c>
      <c r="AH12" s="422" t="s">
        <v>364</v>
      </c>
      <c r="AI12" s="422" t="s">
        <v>364</v>
      </c>
      <c r="AJ12" s="422">
        <v>650</v>
      </c>
      <c r="AK12" s="422">
        <v>1605</v>
      </c>
      <c r="AL12" s="422">
        <v>390</v>
      </c>
      <c r="AM12" s="422">
        <v>3450</v>
      </c>
      <c r="AN12" s="422" t="s">
        <v>364</v>
      </c>
      <c r="AO12" s="422" t="s">
        <v>364</v>
      </c>
      <c r="AP12" s="422" t="s">
        <v>364</v>
      </c>
      <c r="AQ12" s="422">
        <f t="shared" ref="AQ12:AQ49" si="0">SUM(AR12:DJ12)</f>
        <v>15908</v>
      </c>
      <c r="AR12" s="422" t="s">
        <v>364</v>
      </c>
      <c r="AS12" s="422" t="s">
        <v>364</v>
      </c>
      <c r="AT12" s="422" t="s">
        <v>364</v>
      </c>
      <c r="AU12" s="422" t="s">
        <v>364</v>
      </c>
      <c r="AV12" s="422" t="s">
        <v>364</v>
      </c>
      <c r="AW12" s="422">
        <v>12</v>
      </c>
      <c r="AX12" s="422" t="s">
        <v>364</v>
      </c>
      <c r="AY12" s="422" t="s">
        <v>364</v>
      </c>
      <c r="AZ12" s="422" t="s">
        <v>364</v>
      </c>
      <c r="BA12" s="422" t="s">
        <v>364</v>
      </c>
      <c r="BB12" s="422" t="s">
        <v>364</v>
      </c>
      <c r="BC12" s="422" t="s">
        <v>364</v>
      </c>
      <c r="BD12" s="422" t="s">
        <v>364</v>
      </c>
      <c r="BE12" s="422" t="s">
        <v>364</v>
      </c>
      <c r="BF12" s="422" t="s">
        <v>364</v>
      </c>
      <c r="BG12" s="422" t="s">
        <v>364</v>
      </c>
      <c r="BH12" s="422" t="s">
        <v>364</v>
      </c>
      <c r="BI12" s="422" t="s">
        <v>364</v>
      </c>
      <c r="BJ12" s="422" t="s">
        <v>364</v>
      </c>
      <c r="BK12" s="422" t="s">
        <v>364</v>
      </c>
      <c r="BL12" s="422" t="s">
        <v>364</v>
      </c>
      <c r="BM12" s="422" t="s">
        <v>364</v>
      </c>
      <c r="BN12" s="422" t="s">
        <v>364</v>
      </c>
      <c r="BO12" s="422">
        <v>13000</v>
      </c>
      <c r="BP12" s="422" t="s">
        <v>364</v>
      </c>
      <c r="BQ12" s="422" t="s">
        <v>364</v>
      </c>
      <c r="BR12" s="422" t="s">
        <v>364</v>
      </c>
      <c r="BS12" s="422" t="s">
        <v>364</v>
      </c>
      <c r="BT12" s="422" t="s">
        <v>364</v>
      </c>
      <c r="BU12" s="422" t="s">
        <v>364</v>
      </c>
      <c r="BV12" s="422" t="s">
        <v>364</v>
      </c>
      <c r="BW12" s="422" t="s">
        <v>364</v>
      </c>
      <c r="BX12" s="422" t="s">
        <v>364</v>
      </c>
      <c r="BY12" s="422" t="s">
        <v>364</v>
      </c>
      <c r="BZ12" s="422" t="s">
        <v>364</v>
      </c>
      <c r="CA12" s="422" t="s">
        <v>364</v>
      </c>
      <c r="CB12" s="422" t="s">
        <v>364</v>
      </c>
      <c r="CC12" s="422" t="s">
        <v>364</v>
      </c>
      <c r="CD12" s="422" t="s">
        <v>364</v>
      </c>
      <c r="CE12" s="422" t="s">
        <v>364</v>
      </c>
      <c r="CF12" s="422" t="s">
        <v>364</v>
      </c>
      <c r="CG12" s="422" t="s">
        <v>364</v>
      </c>
      <c r="CH12" s="422" t="s">
        <v>364</v>
      </c>
      <c r="CI12" s="422" t="s">
        <v>364</v>
      </c>
      <c r="CJ12" s="422" t="s">
        <v>364</v>
      </c>
      <c r="CK12" s="422" t="s">
        <v>364</v>
      </c>
      <c r="CL12" s="422" t="s">
        <v>364</v>
      </c>
      <c r="CM12" s="422" t="s">
        <v>364</v>
      </c>
      <c r="CN12" s="422" t="s">
        <v>364</v>
      </c>
      <c r="CO12" s="422" t="s">
        <v>364</v>
      </c>
      <c r="CP12" s="422" t="s">
        <v>364</v>
      </c>
      <c r="CQ12" s="422" t="s">
        <v>364</v>
      </c>
      <c r="CR12" s="422" t="s">
        <v>364</v>
      </c>
      <c r="CS12" s="422" t="s">
        <v>364</v>
      </c>
      <c r="CT12" s="422" t="s">
        <v>364</v>
      </c>
      <c r="CU12" s="422" t="s">
        <v>364</v>
      </c>
      <c r="CV12" s="422" t="s">
        <v>364</v>
      </c>
      <c r="CW12" s="422" t="s">
        <v>364</v>
      </c>
      <c r="CX12" s="422" t="s">
        <v>364</v>
      </c>
      <c r="CY12" s="422">
        <v>60</v>
      </c>
      <c r="CZ12" s="422">
        <v>1483</v>
      </c>
      <c r="DA12" s="422">
        <v>296</v>
      </c>
      <c r="DB12" s="422">
        <v>167</v>
      </c>
      <c r="DC12" s="422">
        <v>258</v>
      </c>
      <c r="DD12" s="422">
        <v>21</v>
      </c>
      <c r="DE12" s="422">
        <v>46</v>
      </c>
      <c r="DF12" s="422">
        <v>52</v>
      </c>
      <c r="DG12" s="422">
        <v>306</v>
      </c>
      <c r="DH12" s="422">
        <v>207</v>
      </c>
      <c r="DI12" s="422" t="s">
        <v>364</v>
      </c>
      <c r="DJ12" s="422" t="s">
        <v>364</v>
      </c>
      <c r="DK12" s="422">
        <f>SUM(DL12:DX12)</f>
        <v>2934</v>
      </c>
      <c r="DL12" s="422">
        <v>2934</v>
      </c>
      <c r="DM12" s="422" t="s">
        <v>364</v>
      </c>
      <c r="DN12" s="422" t="s">
        <v>364</v>
      </c>
      <c r="DO12" s="422" t="s">
        <v>364</v>
      </c>
      <c r="DP12" s="422" t="s">
        <v>364</v>
      </c>
      <c r="DQ12" s="422" t="s">
        <v>364</v>
      </c>
      <c r="DR12" s="422" t="s">
        <v>364</v>
      </c>
      <c r="DS12" s="422" t="s">
        <v>364</v>
      </c>
      <c r="DT12" s="422" t="s">
        <v>364</v>
      </c>
      <c r="DU12" s="422" t="s">
        <v>364</v>
      </c>
      <c r="DV12" s="422" t="s">
        <v>364</v>
      </c>
      <c r="DW12" s="422" t="s">
        <v>364</v>
      </c>
      <c r="DX12" s="422" t="s">
        <v>364</v>
      </c>
      <c r="DY12" s="422">
        <f>SUM(DZ12:EZ12)</f>
        <v>26285</v>
      </c>
      <c r="DZ12" s="422" t="s">
        <v>364</v>
      </c>
      <c r="EA12" s="422" t="s">
        <v>364</v>
      </c>
      <c r="EB12" s="422" t="s">
        <v>364</v>
      </c>
      <c r="EC12" s="422" t="s">
        <v>364</v>
      </c>
      <c r="ED12" s="422" t="s">
        <v>364</v>
      </c>
      <c r="EE12" s="422" t="s">
        <v>364</v>
      </c>
      <c r="EF12" s="422" t="s">
        <v>364</v>
      </c>
      <c r="EG12" s="422" t="s">
        <v>364</v>
      </c>
      <c r="EH12" s="422" t="s">
        <v>364</v>
      </c>
      <c r="EI12" s="422" t="s">
        <v>364</v>
      </c>
      <c r="EJ12" s="422" t="s">
        <v>364</v>
      </c>
      <c r="EK12" s="422">
        <v>2900</v>
      </c>
      <c r="EL12" s="422" t="s">
        <v>364</v>
      </c>
      <c r="EM12" s="422">
        <v>6995</v>
      </c>
      <c r="EN12" s="422" t="s">
        <v>364</v>
      </c>
      <c r="EO12" s="422" t="s">
        <v>364</v>
      </c>
      <c r="EP12" s="422" t="s">
        <v>364</v>
      </c>
      <c r="EQ12" s="422" t="s">
        <v>364</v>
      </c>
      <c r="ER12" s="422" t="s">
        <v>364</v>
      </c>
      <c r="ES12" s="422" t="s">
        <v>364</v>
      </c>
      <c r="ET12" s="422">
        <v>1725</v>
      </c>
      <c r="EU12" s="422" t="s">
        <v>364</v>
      </c>
      <c r="EV12" s="422" t="s">
        <v>364</v>
      </c>
      <c r="EW12" s="422" t="s">
        <v>364</v>
      </c>
      <c r="EX12" s="422" t="s">
        <v>364</v>
      </c>
      <c r="EY12" s="422">
        <v>14200</v>
      </c>
      <c r="EZ12" s="422">
        <v>465</v>
      </c>
      <c r="FA12" s="422">
        <f>SUM(FB12:GU12)</f>
        <v>5419</v>
      </c>
      <c r="FB12" s="422" t="s">
        <v>364</v>
      </c>
      <c r="FC12" s="422" t="s">
        <v>364</v>
      </c>
      <c r="FD12" s="422" t="s">
        <v>364</v>
      </c>
      <c r="FE12" s="422" t="s">
        <v>364</v>
      </c>
      <c r="FF12" s="422" t="s">
        <v>364</v>
      </c>
      <c r="FG12" s="422" t="s">
        <v>364</v>
      </c>
      <c r="FH12" s="422" t="s">
        <v>364</v>
      </c>
      <c r="FI12" s="422" t="s">
        <v>364</v>
      </c>
      <c r="FJ12" s="422" t="s">
        <v>364</v>
      </c>
      <c r="FK12" s="422" t="s">
        <v>364</v>
      </c>
      <c r="FL12" s="422" t="s">
        <v>364</v>
      </c>
      <c r="FM12" s="422" t="s">
        <v>364</v>
      </c>
      <c r="FN12" s="422" t="s">
        <v>364</v>
      </c>
      <c r="FO12" s="422" t="s">
        <v>364</v>
      </c>
      <c r="FP12" s="422" t="s">
        <v>364</v>
      </c>
      <c r="FQ12" s="422" t="s">
        <v>364</v>
      </c>
      <c r="FR12" s="422" t="s">
        <v>364</v>
      </c>
      <c r="FS12" s="422" t="s">
        <v>364</v>
      </c>
      <c r="FT12" s="422" t="s">
        <v>364</v>
      </c>
      <c r="FU12" s="422" t="s">
        <v>364</v>
      </c>
      <c r="FV12" s="422" t="s">
        <v>364</v>
      </c>
      <c r="FW12" s="422" t="s">
        <v>364</v>
      </c>
      <c r="FX12" s="422" t="s">
        <v>364</v>
      </c>
      <c r="FY12" s="422" t="s">
        <v>364</v>
      </c>
      <c r="FZ12" s="422" t="s">
        <v>364</v>
      </c>
      <c r="GA12" s="422" t="s">
        <v>364</v>
      </c>
      <c r="GB12" s="422" t="s">
        <v>364</v>
      </c>
      <c r="GC12" s="422" t="s">
        <v>364</v>
      </c>
      <c r="GD12" s="422" t="s">
        <v>364</v>
      </c>
      <c r="GE12" s="422" t="s">
        <v>364</v>
      </c>
      <c r="GF12" s="422" t="s">
        <v>364</v>
      </c>
      <c r="GG12" s="422" t="s">
        <v>364</v>
      </c>
      <c r="GH12" s="422" t="s">
        <v>364</v>
      </c>
      <c r="GI12" s="422" t="s">
        <v>364</v>
      </c>
      <c r="GJ12" s="422" t="s">
        <v>364</v>
      </c>
      <c r="GK12" s="422" t="s">
        <v>364</v>
      </c>
      <c r="GL12" s="422" t="s">
        <v>364</v>
      </c>
      <c r="GM12" s="422" t="s">
        <v>364</v>
      </c>
      <c r="GN12" s="422" t="s">
        <v>364</v>
      </c>
      <c r="GO12" s="422" t="s">
        <v>364</v>
      </c>
      <c r="GP12" s="422">
        <v>502</v>
      </c>
      <c r="GQ12" s="422">
        <v>2500</v>
      </c>
      <c r="GR12" s="422">
        <v>334</v>
      </c>
      <c r="GS12" s="422">
        <v>83</v>
      </c>
      <c r="GT12" s="422">
        <v>2000</v>
      </c>
      <c r="GU12" s="422" t="s">
        <v>364</v>
      </c>
      <c r="GV12" s="422">
        <f>SUM(GW12:HX12)</f>
        <v>2538</v>
      </c>
      <c r="GW12" s="422" t="s">
        <v>364</v>
      </c>
      <c r="GX12" s="422">
        <v>1539</v>
      </c>
      <c r="GY12" s="422" t="s">
        <v>364</v>
      </c>
      <c r="GZ12" s="422" t="s">
        <v>364</v>
      </c>
      <c r="HA12" s="422" t="s">
        <v>364</v>
      </c>
      <c r="HB12" s="422" t="s">
        <v>364</v>
      </c>
      <c r="HC12" s="422" t="s">
        <v>364</v>
      </c>
      <c r="HD12" s="422" t="s">
        <v>364</v>
      </c>
      <c r="HE12" s="422" t="s">
        <v>364</v>
      </c>
      <c r="HF12" s="422" t="s">
        <v>364</v>
      </c>
      <c r="HG12" s="422" t="s">
        <v>364</v>
      </c>
      <c r="HH12" s="422" t="s">
        <v>364</v>
      </c>
      <c r="HI12" s="422" t="s">
        <v>364</v>
      </c>
      <c r="HJ12" s="422" t="s">
        <v>364</v>
      </c>
      <c r="HK12" s="422" t="s">
        <v>364</v>
      </c>
      <c r="HL12" s="422" t="s">
        <v>364</v>
      </c>
      <c r="HM12" s="422" t="s">
        <v>364</v>
      </c>
      <c r="HN12" s="422" t="s">
        <v>364</v>
      </c>
      <c r="HO12" s="422" t="s">
        <v>364</v>
      </c>
      <c r="HP12" s="422" t="s">
        <v>364</v>
      </c>
      <c r="HQ12" s="422" t="s">
        <v>364</v>
      </c>
      <c r="HR12" s="422" t="s">
        <v>364</v>
      </c>
      <c r="HS12" s="422" t="s">
        <v>364</v>
      </c>
      <c r="HT12" s="422" t="s">
        <v>364</v>
      </c>
      <c r="HU12" s="422" t="s">
        <v>364</v>
      </c>
      <c r="HV12" s="422" t="s">
        <v>364</v>
      </c>
      <c r="HW12" s="422">
        <v>999</v>
      </c>
      <c r="HX12" s="422" t="s">
        <v>364</v>
      </c>
      <c r="HY12" s="422">
        <f>SUM(HZ12:IE12)</f>
        <v>0</v>
      </c>
      <c r="HZ12" s="422" t="s">
        <v>364</v>
      </c>
      <c r="IA12" s="422" t="s">
        <v>364</v>
      </c>
      <c r="IB12" s="422" t="s">
        <v>364</v>
      </c>
      <c r="IC12" s="422" t="s">
        <v>364</v>
      </c>
      <c r="ID12" s="422" t="s">
        <v>364</v>
      </c>
      <c r="IE12" s="422" t="s">
        <v>364</v>
      </c>
      <c r="IF12" s="422">
        <f>SUM(IG12:IY12)</f>
        <v>635</v>
      </c>
      <c r="IG12" s="422">
        <v>225</v>
      </c>
      <c r="IH12" s="422" t="s">
        <v>364</v>
      </c>
      <c r="II12" s="422" t="s">
        <v>364</v>
      </c>
      <c r="IJ12" s="422" t="s">
        <v>364</v>
      </c>
      <c r="IK12" s="422" t="s">
        <v>364</v>
      </c>
      <c r="IL12" s="422" t="s">
        <v>364</v>
      </c>
      <c r="IM12" s="422">
        <v>410</v>
      </c>
      <c r="IN12" s="422" t="s">
        <v>364</v>
      </c>
      <c r="IO12" s="422" t="s">
        <v>364</v>
      </c>
      <c r="IP12" s="422" t="s">
        <v>364</v>
      </c>
      <c r="IQ12" s="422" t="s">
        <v>364</v>
      </c>
      <c r="IR12" s="422" t="s">
        <v>364</v>
      </c>
      <c r="IS12" s="422" t="s">
        <v>364</v>
      </c>
      <c r="IT12" s="422" t="s">
        <v>364</v>
      </c>
      <c r="IU12" s="422" t="s">
        <v>364</v>
      </c>
      <c r="IV12" s="422" t="s">
        <v>364</v>
      </c>
      <c r="IW12" s="422" t="s">
        <v>364</v>
      </c>
      <c r="IX12" s="422" t="s">
        <v>364</v>
      </c>
      <c r="IY12" s="422" t="s">
        <v>364</v>
      </c>
      <c r="IZ12" s="422">
        <f>SUM(JA12:JV12)</f>
        <v>418</v>
      </c>
      <c r="JA12" s="422" t="s">
        <v>364</v>
      </c>
      <c r="JB12" s="422" t="s">
        <v>364</v>
      </c>
      <c r="JC12" s="422" t="s">
        <v>364</v>
      </c>
      <c r="JD12" s="422" t="s">
        <v>364</v>
      </c>
      <c r="JE12" s="422" t="s">
        <v>364</v>
      </c>
      <c r="JF12" s="422" t="s">
        <v>364</v>
      </c>
      <c r="JG12" s="422" t="s">
        <v>364</v>
      </c>
      <c r="JH12" s="422" t="s">
        <v>364</v>
      </c>
      <c r="JI12" s="422" t="s">
        <v>364</v>
      </c>
      <c r="JJ12" s="422" t="s">
        <v>364</v>
      </c>
      <c r="JK12" s="422" t="s">
        <v>364</v>
      </c>
      <c r="JL12" s="422" t="s">
        <v>364</v>
      </c>
      <c r="JM12" s="422" t="s">
        <v>364</v>
      </c>
      <c r="JN12" s="422" t="s">
        <v>364</v>
      </c>
      <c r="JO12" s="422" t="s">
        <v>364</v>
      </c>
      <c r="JP12" s="422" t="s">
        <v>364</v>
      </c>
      <c r="JQ12" s="422" t="s">
        <v>364</v>
      </c>
      <c r="JR12" s="422">
        <v>209</v>
      </c>
      <c r="JS12" s="422">
        <v>24</v>
      </c>
      <c r="JT12" s="422">
        <v>185</v>
      </c>
      <c r="JU12" s="422" t="s">
        <v>364</v>
      </c>
      <c r="JV12" s="422" t="s">
        <v>364</v>
      </c>
      <c r="JW12" s="422">
        <f>SUM(JX12:LL12)</f>
        <v>2502</v>
      </c>
      <c r="JX12" s="422" t="s">
        <v>364</v>
      </c>
      <c r="JY12" s="422" t="s">
        <v>364</v>
      </c>
      <c r="JZ12" s="422" t="s">
        <v>364</v>
      </c>
      <c r="KA12" s="422">
        <v>10</v>
      </c>
      <c r="KB12" s="422">
        <v>4</v>
      </c>
      <c r="KC12" s="422">
        <v>305</v>
      </c>
      <c r="KD12" s="422">
        <v>112</v>
      </c>
      <c r="KE12" s="422">
        <v>50</v>
      </c>
      <c r="KF12" s="422" t="s">
        <v>364</v>
      </c>
      <c r="KG12" s="422" t="s">
        <v>364</v>
      </c>
      <c r="KH12" s="422" t="s">
        <v>364</v>
      </c>
      <c r="KI12" s="422" t="s">
        <v>364</v>
      </c>
      <c r="KJ12" s="422" t="s">
        <v>364</v>
      </c>
      <c r="KK12" s="422" t="s">
        <v>364</v>
      </c>
      <c r="KL12" s="422" t="s">
        <v>364</v>
      </c>
      <c r="KM12" s="422" t="s">
        <v>364</v>
      </c>
      <c r="KN12" s="422">
        <v>10</v>
      </c>
      <c r="KO12" s="422">
        <v>5</v>
      </c>
      <c r="KP12" s="422">
        <v>87</v>
      </c>
      <c r="KQ12" s="422">
        <v>54</v>
      </c>
      <c r="KR12" s="422">
        <v>279</v>
      </c>
      <c r="KS12" s="422">
        <v>319</v>
      </c>
      <c r="KT12" s="422" t="s">
        <v>364</v>
      </c>
      <c r="KU12" s="422" t="s">
        <v>364</v>
      </c>
      <c r="KV12" s="422" t="s">
        <v>364</v>
      </c>
      <c r="KW12" s="422" t="s">
        <v>364</v>
      </c>
      <c r="KX12" s="422" t="s">
        <v>364</v>
      </c>
      <c r="KY12" s="422" t="s">
        <v>364</v>
      </c>
      <c r="KZ12" s="422" t="s">
        <v>364</v>
      </c>
      <c r="LA12" s="422" t="s">
        <v>364</v>
      </c>
      <c r="LB12" s="422" t="s">
        <v>364</v>
      </c>
      <c r="LC12" s="422" t="s">
        <v>364</v>
      </c>
      <c r="LD12" s="422" t="s">
        <v>364</v>
      </c>
      <c r="LE12" s="422">
        <v>95</v>
      </c>
      <c r="LF12" s="422">
        <v>13</v>
      </c>
      <c r="LG12" s="422">
        <v>218</v>
      </c>
      <c r="LH12" s="422">
        <v>2</v>
      </c>
      <c r="LI12" s="422">
        <v>780</v>
      </c>
      <c r="LJ12" s="422">
        <v>159</v>
      </c>
      <c r="LK12" s="422" t="s">
        <v>364</v>
      </c>
      <c r="LL12" s="422" t="s">
        <v>364</v>
      </c>
      <c r="LM12" s="424" t="s">
        <v>364</v>
      </c>
      <c r="LN12" s="424">
        <f>SUM(LO12:LW12)</f>
        <v>480</v>
      </c>
      <c r="LO12" s="424" t="s">
        <v>364</v>
      </c>
      <c r="LP12" s="424" t="s">
        <v>364</v>
      </c>
      <c r="LQ12" s="424" t="s">
        <v>364</v>
      </c>
      <c r="LR12" s="424">
        <v>480</v>
      </c>
      <c r="LS12" s="424" t="s">
        <v>364</v>
      </c>
      <c r="LT12" s="424" t="s">
        <v>364</v>
      </c>
      <c r="LU12" s="424" t="s">
        <v>364</v>
      </c>
      <c r="LV12" s="424" t="s">
        <v>364</v>
      </c>
      <c r="LW12" s="424" t="s">
        <v>364</v>
      </c>
      <c r="LX12" s="424">
        <f>SUM(LY12:MD12)</f>
        <v>0</v>
      </c>
      <c r="LY12" s="424" t="s">
        <v>364</v>
      </c>
      <c r="LZ12" s="424" t="s">
        <v>364</v>
      </c>
      <c r="MA12" s="424" t="s">
        <v>364</v>
      </c>
      <c r="MB12" s="424" t="s">
        <v>364</v>
      </c>
      <c r="MC12" s="424" t="s">
        <v>364</v>
      </c>
      <c r="MD12" s="424" t="s">
        <v>364</v>
      </c>
      <c r="ME12" s="424">
        <f t="shared" ref="ME12:ME49" si="1">SUM(MF12:MW12)</f>
        <v>81</v>
      </c>
      <c r="MF12" s="424" t="s">
        <v>364</v>
      </c>
      <c r="MG12" s="424" t="s">
        <v>364</v>
      </c>
      <c r="MH12" s="424" t="s">
        <v>364</v>
      </c>
      <c r="MI12" s="424" t="s">
        <v>364</v>
      </c>
      <c r="MJ12" s="424" t="s">
        <v>364</v>
      </c>
      <c r="MK12" s="424" t="s">
        <v>6598</v>
      </c>
      <c r="ML12" s="424" t="s">
        <v>364</v>
      </c>
      <c r="MM12" s="424">
        <v>81</v>
      </c>
      <c r="MN12" s="424" t="s">
        <v>364</v>
      </c>
      <c r="MO12" s="424" t="s">
        <v>364</v>
      </c>
      <c r="MP12" s="424" t="s">
        <v>364</v>
      </c>
      <c r="MQ12" s="424" t="s">
        <v>364</v>
      </c>
      <c r="MR12" s="424" t="s">
        <v>364</v>
      </c>
      <c r="MS12" s="424" t="s">
        <v>364</v>
      </c>
      <c r="MT12" s="424" t="s">
        <v>364</v>
      </c>
      <c r="MU12" s="424" t="s">
        <v>6598</v>
      </c>
      <c r="MV12" s="424" t="s">
        <v>364</v>
      </c>
      <c r="MW12" s="424" t="s">
        <v>364</v>
      </c>
      <c r="MX12" s="424">
        <f>SUM(MY12:NJ12)</f>
        <v>0</v>
      </c>
      <c r="MY12" s="424" t="s">
        <v>364</v>
      </c>
      <c r="MZ12" s="424" t="s">
        <v>364</v>
      </c>
      <c r="NA12" s="424" t="s">
        <v>364</v>
      </c>
      <c r="NB12" s="424" t="s">
        <v>364</v>
      </c>
      <c r="NC12" s="424" t="s">
        <v>364</v>
      </c>
      <c r="ND12" s="424" t="s">
        <v>364</v>
      </c>
      <c r="NE12" s="424" t="s">
        <v>364</v>
      </c>
      <c r="NF12" s="424" t="s">
        <v>364</v>
      </c>
      <c r="NG12" s="424" t="s">
        <v>6598</v>
      </c>
      <c r="NH12" s="424" t="s">
        <v>364</v>
      </c>
      <c r="NI12" s="424" t="s">
        <v>364</v>
      </c>
      <c r="NJ12" s="424" t="s">
        <v>364</v>
      </c>
      <c r="NK12" s="424">
        <f t="shared" ref="NK12:NK49" si="2">SUM(NL12,NZ12)</f>
        <v>457</v>
      </c>
      <c r="NL12" s="424">
        <f>SUM(NM12:NY12)</f>
        <v>457</v>
      </c>
      <c r="NM12" s="424" t="s">
        <v>364</v>
      </c>
      <c r="NN12" s="424" t="s">
        <v>364</v>
      </c>
      <c r="NO12" s="424" t="s">
        <v>364</v>
      </c>
      <c r="NP12" s="424" t="s">
        <v>364</v>
      </c>
      <c r="NQ12" s="424" t="s">
        <v>364</v>
      </c>
      <c r="NR12" s="424" t="s">
        <v>364</v>
      </c>
      <c r="NS12" s="424" t="s">
        <v>364</v>
      </c>
      <c r="NT12" s="424" t="s">
        <v>364</v>
      </c>
      <c r="NU12" s="424" t="s">
        <v>364</v>
      </c>
      <c r="NV12" s="424" t="s">
        <v>364</v>
      </c>
      <c r="NW12" s="424">
        <v>4</v>
      </c>
      <c r="NX12" s="424">
        <v>453</v>
      </c>
      <c r="NY12" s="424" t="s">
        <v>364</v>
      </c>
      <c r="NZ12" s="424">
        <f>SUM(OA12:OG12)</f>
        <v>0</v>
      </c>
      <c r="OA12" s="424" t="s">
        <v>364</v>
      </c>
      <c r="OB12" s="424" t="s">
        <v>364</v>
      </c>
      <c r="OC12" s="424" t="s">
        <v>364</v>
      </c>
      <c r="OD12" s="424" t="s">
        <v>364</v>
      </c>
      <c r="OE12" s="424" t="s">
        <v>364</v>
      </c>
      <c r="OF12" s="424" t="s">
        <v>364</v>
      </c>
      <c r="OG12" s="424" t="s">
        <v>364</v>
      </c>
      <c r="OH12" s="424">
        <f>SUM(PB12,OI12)</f>
        <v>0</v>
      </c>
      <c r="OI12" s="424">
        <f>SUM(OJ12:PA12)</f>
        <v>0</v>
      </c>
      <c r="OJ12" s="422" t="s">
        <v>364</v>
      </c>
      <c r="OK12" s="422" t="s">
        <v>364</v>
      </c>
      <c r="OL12" s="422" t="s">
        <v>364</v>
      </c>
      <c r="OM12" s="422" t="s">
        <v>364</v>
      </c>
      <c r="ON12" s="422" t="s">
        <v>364</v>
      </c>
      <c r="OO12" s="422" t="s">
        <v>364</v>
      </c>
      <c r="OP12" s="422" t="s">
        <v>364</v>
      </c>
      <c r="OQ12" s="422" t="s">
        <v>364</v>
      </c>
      <c r="OR12" s="422" t="s">
        <v>364</v>
      </c>
      <c r="OS12" s="422" t="s">
        <v>364</v>
      </c>
      <c r="OT12" s="422" t="s">
        <v>364</v>
      </c>
      <c r="OU12" s="422" t="s">
        <v>364</v>
      </c>
      <c r="OV12" s="422" t="s">
        <v>364</v>
      </c>
      <c r="OW12" s="422" t="s">
        <v>364</v>
      </c>
      <c r="OX12" s="422" t="s">
        <v>364</v>
      </c>
      <c r="OY12" s="422" t="s">
        <v>6598</v>
      </c>
      <c r="OZ12" s="422" t="s">
        <v>364</v>
      </c>
      <c r="PA12" s="422" t="s">
        <v>364</v>
      </c>
      <c r="PB12" s="424">
        <f>SUM(PC12:PJ12)</f>
        <v>0</v>
      </c>
      <c r="PC12" s="422" t="s">
        <v>364</v>
      </c>
      <c r="PD12" s="422" t="s">
        <v>364</v>
      </c>
      <c r="PE12" s="422" t="s">
        <v>364</v>
      </c>
      <c r="PF12" s="422" t="s">
        <v>364</v>
      </c>
      <c r="PG12" s="422" t="s">
        <v>364</v>
      </c>
      <c r="PH12" s="422" t="s">
        <v>364</v>
      </c>
      <c r="PI12" s="422" t="s">
        <v>364</v>
      </c>
      <c r="PJ12" s="422" t="s">
        <v>364</v>
      </c>
    </row>
    <row r="13" spans="2:426" ht="15.6">
      <c r="B13" s="426" t="s">
        <v>3748</v>
      </c>
      <c r="C13" s="422">
        <f t="shared" ref="C13:C49" si="3">SUM(D13:AP13)</f>
        <v>227</v>
      </c>
      <c r="D13" s="422" t="s">
        <v>364</v>
      </c>
      <c r="E13" s="422" t="s">
        <v>364</v>
      </c>
      <c r="F13" s="422" t="s">
        <v>364</v>
      </c>
      <c r="G13" s="422" t="s">
        <v>364</v>
      </c>
      <c r="H13" s="422" t="s">
        <v>364</v>
      </c>
      <c r="I13" s="422" t="s">
        <v>364</v>
      </c>
      <c r="J13" s="422" t="s">
        <v>364</v>
      </c>
      <c r="K13" s="422" t="s">
        <v>364</v>
      </c>
      <c r="L13" s="422" t="s">
        <v>364</v>
      </c>
      <c r="M13" s="422" t="s">
        <v>364</v>
      </c>
      <c r="N13" s="422" t="s">
        <v>364</v>
      </c>
      <c r="O13" s="422" t="s">
        <v>364</v>
      </c>
      <c r="P13" s="422" t="s">
        <v>364</v>
      </c>
      <c r="Q13" s="422" t="s">
        <v>364</v>
      </c>
      <c r="R13" s="422" t="s">
        <v>364</v>
      </c>
      <c r="S13" s="422" t="s">
        <v>364</v>
      </c>
      <c r="T13" s="422" t="s">
        <v>364</v>
      </c>
      <c r="U13" s="422" t="s">
        <v>364</v>
      </c>
      <c r="V13" s="422" t="s">
        <v>364</v>
      </c>
      <c r="W13" s="422" t="s">
        <v>364</v>
      </c>
      <c r="X13" s="422" t="s">
        <v>364</v>
      </c>
      <c r="Y13" s="422" t="s">
        <v>364</v>
      </c>
      <c r="Z13" s="422" t="s">
        <v>364</v>
      </c>
      <c r="AA13" s="422" t="s">
        <v>364</v>
      </c>
      <c r="AB13" s="422" t="s">
        <v>364</v>
      </c>
      <c r="AC13" s="422" t="s">
        <v>364</v>
      </c>
      <c r="AD13" s="422" t="s">
        <v>364</v>
      </c>
      <c r="AE13" s="422" t="s">
        <v>364</v>
      </c>
      <c r="AF13" s="422" t="s">
        <v>364</v>
      </c>
      <c r="AG13" s="422" t="s">
        <v>364</v>
      </c>
      <c r="AH13" s="422">
        <v>227</v>
      </c>
      <c r="AI13" s="422" t="s">
        <v>364</v>
      </c>
      <c r="AJ13" s="422" t="s">
        <v>364</v>
      </c>
      <c r="AK13" s="422" t="s">
        <v>364</v>
      </c>
      <c r="AL13" s="422" t="s">
        <v>364</v>
      </c>
      <c r="AM13" s="422" t="s">
        <v>364</v>
      </c>
      <c r="AN13" s="422" t="s">
        <v>364</v>
      </c>
      <c r="AO13" s="422" t="s">
        <v>364</v>
      </c>
      <c r="AP13" s="422" t="s">
        <v>364</v>
      </c>
      <c r="AQ13" s="422">
        <f t="shared" si="0"/>
        <v>409</v>
      </c>
      <c r="AR13" s="422" t="s">
        <v>364</v>
      </c>
      <c r="AS13" s="422" t="s">
        <v>364</v>
      </c>
      <c r="AT13" s="422" t="s">
        <v>364</v>
      </c>
      <c r="AU13" s="422" t="s">
        <v>364</v>
      </c>
      <c r="AV13" s="422" t="s">
        <v>364</v>
      </c>
      <c r="AW13" s="422" t="s">
        <v>364</v>
      </c>
      <c r="AX13" s="422" t="s">
        <v>364</v>
      </c>
      <c r="AY13" s="422" t="s">
        <v>364</v>
      </c>
      <c r="AZ13" s="422" t="s">
        <v>364</v>
      </c>
      <c r="BA13" s="422" t="s">
        <v>364</v>
      </c>
      <c r="BB13" s="422" t="s">
        <v>364</v>
      </c>
      <c r="BC13" s="422" t="s">
        <v>364</v>
      </c>
      <c r="BD13" s="422" t="s">
        <v>364</v>
      </c>
      <c r="BE13" s="422" t="s">
        <v>364</v>
      </c>
      <c r="BF13" s="422" t="s">
        <v>364</v>
      </c>
      <c r="BG13" s="422" t="s">
        <v>364</v>
      </c>
      <c r="BH13" s="422" t="s">
        <v>364</v>
      </c>
      <c r="BI13" s="422" t="s">
        <v>364</v>
      </c>
      <c r="BJ13" s="422" t="s">
        <v>364</v>
      </c>
      <c r="BK13" s="422" t="s">
        <v>364</v>
      </c>
      <c r="BL13" s="422" t="s">
        <v>364</v>
      </c>
      <c r="BM13" s="422" t="s">
        <v>364</v>
      </c>
      <c r="BN13" s="422" t="s">
        <v>364</v>
      </c>
      <c r="BO13" s="422" t="s">
        <v>364</v>
      </c>
      <c r="BP13" s="422" t="s">
        <v>364</v>
      </c>
      <c r="BQ13" s="422" t="s">
        <v>364</v>
      </c>
      <c r="BR13" s="422" t="s">
        <v>364</v>
      </c>
      <c r="BS13" s="422" t="s">
        <v>364</v>
      </c>
      <c r="BT13" s="422" t="s">
        <v>364</v>
      </c>
      <c r="BU13" s="422" t="s">
        <v>364</v>
      </c>
      <c r="BV13" s="422" t="s">
        <v>364</v>
      </c>
      <c r="BW13" s="422" t="s">
        <v>364</v>
      </c>
      <c r="BX13" s="422" t="s">
        <v>364</v>
      </c>
      <c r="BY13" s="422" t="s">
        <v>364</v>
      </c>
      <c r="BZ13" s="422" t="s">
        <v>364</v>
      </c>
      <c r="CA13" s="422" t="s">
        <v>364</v>
      </c>
      <c r="CB13" s="422" t="s">
        <v>364</v>
      </c>
      <c r="CC13" s="422" t="s">
        <v>364</v>
      </c>
      <c r="CD13" s="422" t="s">
        <v>364</v>
      </c>
      <c r="CE13" s="422" t="s">
        <v>364</v>
      </c>
      <c r="CF13" s="422" t="s">
        <v>364</v>
      </c>
      <c r="CG13" s="422" t="s">
        <v>364</v>
      </c>
      <c r="CH13" s="422" t="s">
        <v>364</v>
      </c>
      <c r="CI13" s="422" t="s">
        <v>364</v>
      </c>
      <c r="CJ13" s="422" t="s">
        <v>364</v>
      </c>
      <c r="CK13" s="422" t="s">
        <v>364</v>
      </c>
      <c r="CL13" s="422" t="s">
        <v>364</v>
      </c>
      <c r="CM13" s="422" t="s">
        <v>364</v>
      </c>
      <c r="CN13" s="422" t="s">
        <v>364</v>
      </c>
      <c r="CO13" s="422" t="s">
        <v>364</v>
      </c>
      <c r="CP13" s="422" t="s">
        <v>364</v>
      </c>
      <c r="CQ13" s="422" t="s">
        <v>364</v>
      </c>
      <c r="CR13" s="422" t="s">
        <v>364</v>
      </c>
      <c r="CS13" s="422" t="s">
        <v>364</v>
      </c>
      <c r="CT13" s="422" t="s">
        <v>364</v>
      </c>
      <c r="CU13" s="422" t="s">
        <v>364</v>
      </c>
      <c r="CV13" s="422" t="s">
        <v>364</v>
      </c>
      <c r="CW13" s="422">
        <v>409</v>
      </c>
      <c r="CX13" s="422" t="s">
        <v>364</v>
      </c>
      <c r="CY13" s="422" t="s">
        <v>364</v>
      </c>
      <c r="CZ13" s="422" t="s">
        <v>364</v>
      </c>
      <c r="DA13" s="422" t="s">
        <v>364</v>
      </c>
      <c r="DB13" s="422" t="s">
        <v>364</v>
      </c>
      <c r="DC13" s="422" t="s">
        <v>364</v>
      </c>
      <c r="DD13" s="422" t="s">
        <v>364</v>
      </c>
      <c r="DE13" s="422" t="s">
        <v>364</v>
      </c>
      <c r="DF13" s="422" t="s">
        <v>364</v>
      </c>
      <c r="DG13" s="422" t="s">
        <v>364</v>
      </c>
      <c r="DH13" s="422" t="s">
        <v>364</v>
      </c>
      <c r="DI13" s="422" t="s">
        <v>364</v>
      </c>
      <c r="DJ13" s="422" t="s">
        <v>364</v>
      </c>
      <c r="DK13" s="422">
        <f t="shared" ref="DK13:DK49" si="4">SUM(DL13:DX13)</f>
        <v>396</v>
      </c>
      <c r="DL13" s="422" t="s">
        <v>364</v>
      </c>
      <c r="DM13" s="422" t="s">
        <v>364</v>
      </c>
      <c r="DN13" s="422" t="s">
        <v>364</v>
      </c>
      <c r="DO13" s="422" t="s">
        <v>364</v>
      </c>
      <c r="DP13" s="422" t="s">
        <v>364</v>
      </c>
      <c r="DQ13" s="422" t="s">
        <v>364</v>
      </c>
      <c r="DR13" s="422" t="s">
        <v>364</v>
      </c>
      <c r="DS13" s="422" t="s">
        <v>364</v>
      </c>
      <c r="DT13" s="422" t="s">
        <v>364</v>
      </c>
      <c r="DU13" s="422">
        <v>396</v>
      </c>
      <c r="DV13" s="422" t="s">
        <v>364</v>
      </c>
      <c r="DW13" s="422" t="s">
        <v>364</v>
      </c>
      <c r="DX13" s="422" t="s">
        <v>364</v>
      </c>
      <c r="DY13" s="422">
        <f t="shared" ref="DY13:DY49" si="5">SUM(DZ13:EZ13)</f>
        <v>1262</v>
      </c>
      <c r="DZ13" s="422" t="s">
        <v>364</v>
      </c>
      <c r="EA13" s="422" t="s">
        <v>364</v>
      </c>
      <c r="EB13" s="422" t="s">
        <v>364</v>
      </c>
      <c r="EC13" s="422" t="s">
        <v>364</v>
      </c>
      <c r="ED13" s="422">
        <v>399</v>
      </c>
      <c r="EE13" s="422">
        <v>252</v>
      </c>
      <c r="EF13" s="422">
        <v>23</v>
      </c>
      <c r="EG13" s="422">
        <v>396</v>
      </c>
      <c r="EH13" s="422">
        <v>168</v>
      </c>
      <c r="EI13" s="422">
        <v>24</v>
      </c>
      <c r="EJ13" s="422" t="s">
        <v>364</v>
      </c>
      <c r="EK13" s="422" t="s">
        <v>364</v>
      </c>
      <c r="EL13" s="422" t="s">
        <v>364</v>
      </c>
      <c r="EM13" s="422" t="s">
        <v>364</v>
      </c>
      <c r="EN13" s="422" t="s">
        <v>364</v>
      </c>
      <c r="EO13" s="422" t="s">
        <v>364</v>
      </c>
      <c r="EP13" s="422" t="s">
        <v>364</v>
      </c>
      <c r="EQ13" s="422" t="s">
        <v>364</v>
      </c>
      <c r="ER13" s="422" t="s">
        <v>364</v>
      </c>
      <c r="ES13" s="422" t="s">
        <v>364</v>
      </c>
      <c r="ET13" s="422" t="s">
        <v>364</v>
      </c>
      <c r="EU13" s="422" t="s">
        <v>364</v>
      </c>
      <c r="EV13" s="422" t="s">
        <v>364</v>
      </c>
      <c r="EW13" s="422" t="s">
        <v>364</v>
      </c>
      <c r="EX13" s="422" t="s">
        <v>364</v>
      </c>
      <c r="EY13" s="422" t="s">
        <v>364</v>
      </c>
      <c r="EZ13" s="422" t="s">
        <v>364</v>
      </c>
      <c r="FA13" s="422">
        <f t="shared" ref="FA13:FA49" si="6">SUM(FB13:GU13)</f>
        <v>388</v>
      </c>
      <c r="FB13" s="422" t="s">
        <v>364</v>
      </c>
      <c r="FC13" s="422" t="s">
        <v>364</v>
      </c>
      <c r="FD13" s="422" t="s">
        <v>364</v>
      </c>
      <c r="FE13" s="422" t="s">
        <v>364</v>
      </c>
      <c r="FF13" s="422" t="s">
        <v>364</v>
      </c>
      <c r="FG13" s="422" t="s">
        <v>364</v>
      </c>
      <c r="FH13" s="422" t="s">
        <v>364</v>
      </c>
      <c r="FI13" s="422" t="s">
        <v>364</v>
      </c>
      <c r="FJ13" s="422" t="s">
        <v>364</v>
      </c>
      <c r="FK13" s="422" t="s">
        <v>364</v>
      </c>
      <c r="FL13" s="422" t="s">
        <v>364</v>
      </c>
      <c r="FM13" s="422" t="s">
        <v>364</v>
      </c>
      <c r="FN13" s="422" t="s">
        <v>364</v>
      </c>
      <c r="FO13" s="422" t="s">
        <v>364</v>
      </c>
      <c r="FP13" s="422" t="s">
        <v>364</v>
      </c>
      <c r="FQ13" s="422" t="s">
        <v>364</v>
      </c>
      <c r="FR13" s="422" t="s">
        <v>364</v>
      </c>
      <c r="FS13" s="422" t="s">
        <v>364</v>
      </c>
      <c r="FT13" s="422" t="s">
        <v>364</v>
      </c>
      <c r="FU13" s="422" t="s">
        <v>364</v>
      </c>
      <c r="FV13" s="422" t="s">
        <v>364</v>
      </c>
      <c r="FW13" s="422" t="s">
        <v>364</v>
      </c>
      <c r="FX13" s="422" t="s">
        <v>364</v>
      </c>
      <c r="FY13" s="422" t="s">
        <v>364</v>
      </c>
      <c r="FZ13" s="422" t="s">
        <v>364</v>
      </c>
      <c r="GA13" s="422" t="s">
        <v>364</v>
      </c>
      <c r="GB13" s="422" t="s">
        <v>364</v>
      </c>
      <c r="GC13" s="422" t="s">
        <v>364</v>
      </c>
      <c r="GD13" s="422" t="s">
        <v>364</v>
      </c>
      <c r="GE13" s="422" t="s">
        <v>364</v>
      </c>
      <c r="GF13" s="422" t="s">
        <v>364</v>
      </c>
      <c r="GG13" s="422">
        <v>388</v>
      </c>
      <c r="GH13" s="422" t="s">
        <v>6598</v>
      </c>
      <c r="GI13" s="422" t="s">
        <v>6598</v>
      </c>
      <c r="GJ13" s="422" t="s">
        <v>6598</v>
      </c>
      <c r="GK13" s="422" t="s">
        <v>364</v>
      </c>
      <c r="GL13" s="422" t="s">
        <v>364</v>
      </c>
      <c r="GM13" s="422" t="s">
        <v>364</v>
      </c>
      <c r="GN13" s="422" t="s">
        <v>364</v>
      </c>
      <c r="GO13" s="422" t="s">
        <v>364</v>
      </c>
      <c r="GP13" s="422" t="s">
        <v>364</v>
      </c>
      <c r="GQ13" s="422" t="s">
        <v>364</v>
      </c>
      <c r="GR13" s="422" t="s">
        <v>364</v>
      </c>
      <c r="GS13" s="422" t="s">
        <v>364</v>
      </c>
      <c r="GT13" s="422" t="s">
        <v>364</v>
      </c>
      <c r="GU13" s="422" t="s">
        <v>364</v>
      </c>
      <c r="GV13" s="422">
        <f t="shared" ref="GV13:GV49" si="7">SUM(GW13:HX13)</f>
        <v>89</v>
      </c>
      <c r="GW13" s="422" t="s">
        <v>364</v>
      </c>
      <c r="GX13" s="422" t="s">
        <v>364</v>
      </c>
      <c r="GY13" s="422" t="s">
        <v>364</v>
      </c>
      <c r="GZ13" s="422" t="s">
        <v>364</v>
      </c>
      <c r="HA13" s="422" t="s">
        <v>364</v>
      </c>
      <c r="HB13" s="422" t="s">
        <v>364</v>
      </c>
      <c r="HC13" s="422" t="s">
        <v>364</v>
      </c>
      <c r="HD13" s="422" t="s">
        <v>364</v>
      </c>
      <c r="HE13" s="422" t="s">
        <v>364</v>
      </c>
      <c r="HF13" s="422" t="s">
        <v>364</v>
      </c>
      <c r="HG13" s="422" t="s">
        <v>364</v>
      </c>
      <c r="HH13" s="422" t="s">
        <v>364</v>
      </c>
      <c r="HI13" s="422" t="s">
        <v>364</v>
      </c>
      <c r="HJ13" s="422" t="s">
        <v>364</v>
      </c>
      <c r="HK13" s="422" t="s">
        <v>364</v>
      </c>
      <c r="HL13" s="422" t="s">
        <v>364</v>
      </c>
      <c r="HM13" s="422" t="s">
        <v>364</v>
      </c>
      <c r="HN13" s="422" t="s">
        <v>364</v>
      </c>
      <c r="HO13" s="422" t="s">
        <v>364</v>
      </c>
      <c r="HP13" s="422" t="s">
        <v>364</v>
      </c>
      <c r="HQ13" s="422" t="s">
        <v>364</v>
      </c>
      <c r="HR13" s="422" t="s">
        <v>364</v>
      </c>
      <c r="HS13" s="422" t="s">
        <v>364</v>
      </c>
      <c r="HT13" s="422" t="s">
        <v>364</v>
      </c>
      <c r="HU13" s="422" t="s">
        <v>364</v>
      </c>
      <c r="HV13" s="422">
        <v>89</v>
      </c>
      <c r="HW13" s="422" t="s">
        <v>364</v>
      </c>
      <c r="HX13" s="422" t="s">
        <v>364</v>
      </c>
      <c r="HY13" s="422">
        <f t="shared" ref="HY13:HY49" si="8">SUM(HZ13:IE13)</f>
        <v>0</v>
      </c>
      <c r="HZ13" s="422" t="s">
        <v>364</v>
      </c>
      <c r="IA13" s="422" t="s">
        <v>364</v>
      </c>
      <c r="IB13" s="422" t="s">
        <v>364</v>
      </c>
      <c r="IC13" s="422" t="s">
        <v>364</v>
      </c>
      <c r="ID13" s="422" t="s">
        <v>364</v>
      </c>
      <c r="IE13" s="422" t="s">
        <v>364</v>
      </c>
      <c r="IF13" s="422">
        <f t="shared" ref="IF13:IF49" si="9">SUM(IG13:IY13)</f>
        <v>35</v>
      </c>
      <c r="IG13" s="422" t="s">
        <v>364</v>
      </c>
      <c r="IH13" s="422">
        <v>35</v>
      </c>
      <c r="II13" s="422" t="s">
        <v>364</v>
      </c>
      <c r="IJ13" s="422" t="s">
        <v>364</v>
      </c>
      <c r="IK13" s="422" t="s">
        <v>364</v>
      </c>
      <c r="IL13" s="422" t="s">
        <v>364</v>
      </c>
      <c r="IM13" s="422" t="s">
        <v>364</v>
      </c>
      <c r="IN13" s="422" t="s">
        <v>364</v>
      </c>
      <c r="IO13" s="422" t="s">
        <v>364</v>
      </c>
      <c r="IP13" s="422" t="s">
        <v>364</v>
      </c>
      <c r="IQ13" s="422" t="s">
        <v>364</v>
      </c>
      <c r="IR13" s="422" t="s">
        <v>364</v>
      </c>
      <c r="IS13" s="422" t="s">
        <v>364</v>
      </c>
      <c r="IT13" s="422" t="s">
        <v>364</v>
      </c>
      <c r="IU13" s="422" t="s">
        <v>364</v>
      </c>
      <c r="IV13" s="422" t="s">
        <v>364</v>
      </c>
      <c r="IW13" s="422" t="s">
        <v>364</v>
      </c>
      <c r="IX13" s="422" t="s">
        <v>364</v>
      </c>
      <c r="IY13" s="422" t="s">
        <v>364</v>
      </c>
      <c r="IZ13" s="422">
        <f t="shared" ref="IZ13:IZ49" si="10">SUM(JA13:JV13)</f>
        <v>0</v>
      </c>
      <c r="JA13" s="422" t="s">
        <v>364</v>
      </c>
      <c r="JB13" s="422" t="s">
        <v>364</v>
      </c>
      <c r="JC13" s="422" t="s">
        <v>364</v>
      </c>
      <c r="JD13" s="422" t="s">
        <v>364</v>
      </c>
      <c r="JE13" s="422" t="s">
        <v>364</v>
      </c>
      <c r="JF13" s="422" t="s">
        <v>364</v>
      </c>
      <c r="JG13" s="422" t="s">
        <v>364</v>
      </c>
      <c r="JH13" s="422" t="s">
        <v>364</v>
      </c>
      <c r="JI13" s="422" t="s">
        <v>364</v>
      </c>
      <c r="JJ13" s="422" t="s">
        <v>364</v>
      </c>
      <c r="JK13" s="422" t="s">
        <v>364</v>
      </c>
      <c r="JL13" s="422" t="s">
        <v>364</v>
      </c>
      <c r="JM13" s="422" t="s">
        <v>364</v>
      </c>
      <c r="JN13" s="422" t="s">
        <v>364</v>
      </c>
      <c r="JO13" s="422" t="s">
        <v>364</v>
      </c>
      <c r="JP13" s="422" t="s">
        <v>364</v>
      </c>
      <c r="JQ13" s="422" t="s">
        <v>364</v>
      </c>
      <c r="JR13" s="422" t="s">
        <v>364</v>
      </c>
      <c r="JS13" s="422" t="s">
        <v>364</v>
      </c>
      <c r="JT13" s="422" t="s">
        <v>364</v>
      </c>
      <c r="JU13" s="422" t="s">
        <v>364</v>
      </c>
      <c r="JV13" s="422" t="s">
        <v>364</v>
      </c>
      <c r="JW13" s="422">
        <f t="shared" ref="JW13:JW49" si="11">SUM(JX13:LL13)</f>
        <v>167</v>
      </c>
      <c r="JX13" s="422" t="s">
        <v>364</v>
      </c>
      <c r="JY13" s="422" t="s">
        <v>364</v>
      </c>
      <c r="JZ13" s="422" t="s">
        <v>364</v>
      </c>
      <c r="KA13" s="422" t="s">
        <v>364</v>
      </c>
      <c r="KB13" s="422" t="s">
        <v>364</v>
      </c>
      <c r="KC13" s="422" t="s">
        <v>364</v>
      </c>
      <c r="KD13" s="422">
        <v>23</v>
      </c>
      <c r="KE13" s="422" t="s">
        <v>364</v>
      </c>
      <c r="KF13" s="422">
        <v>138</v>
      </c>
      <c r="KG13" s="422">
        <v>6</v>
      </c>
      <c r="KH13" s="422" t="s">
        <v>364</v>
      </c>
      <c r="KI13" s="422" t="s">
        <v>364</v>
      </c>
      <c r="KJ13" s="422" t="s">
        <v>364</v>
      </c>
      <c r="KK13" s="422" t="s">
        <v>364</v>
      </c>
      <c r="KL13" s="422" t="s">
        <v>364</v>
      </c>
      <c r="KM13" s="422" t="s">
        <v>364</v>
      </c>
      <c r="KN13" s="422" t="s">
        <v>364</v>
      </c>
      <c r="KO13" s="422" t="s">
        <v>364</v>
      </c>
      <c r="KP13" s="422" t="s">
        <v>364</v>
      </c>
      <c r="KQ13" s="422" t="s">
        <v>364</v>
      </c>
      <c r="KR13" s="422" t="s">
        <v>364</v>
      </c>
      <c r="KS13" s="422" t="s">
        <v>364</v>
      </c>
      <c r="KT13" s="422" t="s">
        <v>364</v>
      </c>
      <c r="KU13" s="422" t="s">
        <v>364</v>
      </c>
      <c r="KV13" s="422" t="s">
        <v>364</v>
      </c>
      <c r="KW13" s="422" t="s">
        <v>364</v>
      </c>
      <c r="KX13" s="422" t="s">
        <v>364</v>
      </c>
      <c r="KY13" s="422" t="s">
        <v>364</v>
      </c>
      <c r="KZ13" s="422" t="s">
        <v>364</v>
      </c>
      <c r="LA13" s="422" t="s">
        <v>364</v>
      </c>
      <c r="LB13" s="422" t="s">
        <v>364</v>
      </c>
      <c r="LC13" s="422" t="s">
        <v>364</v>
      </c>
      <c r="LD13" s="422" t="s">
        <v>364</v>
      </c>
      <c r="LE13" s="422" t="s">
        <v>364</v>
      </c>
      <c r="LF13" s="422" t="s">
        <v>364</v>
      </c>
      <c r="LG13" s="422" t="s">
        <v>364</v>
      </c>
      <c r="LH13" s="422" t="s">
        <v>364</v>
      </c>
      <c r="LI13" s="422" t="s">
        <v>364</v>
      </c>
      <c r="LJ13" s="422" t="s">
        <v>364</v>
      </c>
      <c r="LK13" s="422" t="s">
        <v>364</v>
      </c>
      <c r="LL13" s="422" t="s">
        <v>364</v>
      </c>
      <c r="LM13" s="424" t="s">
        <v>364</v>
      </c>
      <c r="LN13" s="424">
        <v>0</v>
      </c>
      <c r="LO13" s="424" t="s">
        <v>364</v>
      </c>
      <c r="LP13" s="424" t="s">
        <v>364</v>
      </c>
      <c r="LQ13" s="424" t="s">
        <v>364</v>
      </c>
      <c r="LR13" s="424" t="s">
        <v>364</v>
      </c>
      <c r="LS13" s="424" t="s">
        <v>364</v>
      </c>
      <c r="LT13" s="424" t="s">
        <v>364</v>
      </c>
      <c r="LU13" s="424" t="s">
        <v>364</v>
      </c>
      <c r="LV13" s="424" t="s">
        <v>364</v>
      </c>
      <c r="LW13" s="424" t="s">
        <v>364</v>
      </c>
      <c r="LX13" s="424">
        <f t="shared" ref="LX13:LX49" si="12">SUM(LY13:MD13)</f>
        <v>0</v>
      </c>
      <c r="LY13" s="424" t="s">
        <v>364</v>
      </c>
      <c r="LZ13" s="424" t="s">
        <v>364</v>
      </c>
      <c r="MA13" s="424" t="s">
        <v>364</v>
      </c>
      <c r="MB13" s="424" t="s">
        <v>364</v>
      </c>
      <c r="MC13" s="424" t="s">
        <v>364</v>
      </c>
      <c r="MD13" s="424" t="s">
        <v>364</v>
      </c>
      <c r="ME13" s="424">
        <f t="shared" si="1"/>
        <v>0</v>
      </c>
      <c r="MF13" s="424" t="s">
        <v>364</v>
      </c>
      <c r="MG13" s="424" t="s">
        <v>364</v>
      </c>
      <c r="MH13" s="424" t="s">
        <v>364</v>
      </c>
      <c r="MI13" s="424" t="s">
        <v>364</v>
      </c>
      <c r="MJ13" s="424" t="s">
        <v>364</v>
      </c>
      <c r="MK13" s="424" t="s">
        <v>364</v>
      </c>
      <c r="ML13" s="424" t="s">
        <v>364</v>
      </c>
      <c r="MM13" s="424" t="s">
        <v>364</v>
      </c>
      <c r="MN13" s="424" t="s">
        <v>364</v>
      </c>
      <c r="MO13" s="424" t="s">
        <v>364</v>
      </c>
      <c r="MP13" s="424" t="s">
        <v>364</v>
      </c>
      <c r="MQ13" s="424" t="s">
        <v>364</v>
      </c>
      <c r="MR13" s="424" t="s">
        <v>364</v>
      </c>
      <c r="MS13" s="424" t="s">
        <v>364</v>
      </c>
      <c r="MT13" s="424" t="s">
        <v>6598</v>
      </c>
      <c r="MU13" s="424" t="s">
        <v>364</v>
      </c>
      <c r="MV13" s="424" t="s">
        <v>364</v>
      </c>
      <c r="MW13" s="424" t="s">
        <v>364</v>
      </c>
      <c r="MX13" s="424">
        <f t="shared" ref="MX13:MX49" si="13">SUM(MY13:NJ13)</f>
        <v>0</v>
      </c>
      <c r="MY13" s="424" t="s">
        <v>364</v>
      </c>
      <c r="MZ13" s="424" t="s">
        <v>364</v>
      </c>
      <c r="NA13" s="424" t="s">
        <v>364</v>
      </c>
      <c r="NB13" s="424" t="s">
        <v>364</v>
      </c>
      <c r="NC13" s="424" t="s">
        <v>364</v>
      </c>
      <c r="ND13" s="424" t="s">
        <v>364</v>
      </c>
      <c r="NE13" s="424" t="s">
        <v>364</v>
      </c>
      <c r="NF13" s="424" t="s">
        <v>364</v>
      </c>
      <c r="NG13" s="424" t="s">
        <v>364</v>
      </c>
      <c r="NH13" s="424" t="s">
        <v>364</v>
      </c>
      <c r="NI13" s="424" t="s">
        <v>364</v>
      </c>
      <c r="NJ13" s="424" t="s">
        <v>364</v>
      </c>
      <c r="NK13" s="424">
        <f t="shared" si="2"/>
        <v>74</v>
      </c>
      <c r="NL13" s="424">
        <f t="shared" ref="NL13:NL49" si="14">SUM(NM13:NY13)</f>
        <v>60</v>
      </c>
      <c r="NM13" s="424" t="s">
        <v>364</v>
      </c>
      <c r="NN13" s="424" t="s">
        <v>364</v>
      </c>
      <c r="NO13" s="424" t="s">
        <v>364</v>
      </c>
      <c r="NP13" s="424" t="s">
        <v>364</v>
      </c>
      <c r="NQ13" s="424" t="s">
        <v>364</v>
      </c>
      <c r="NR13" s="424" t="s">
        <v>364</v>
      </c>
      <c r="NS13" s="424" t="s">
        <v>364</v>
      </c>
      <c r="NT13" s="424" t="s">
        <v>364</v>
      </c>
      <c r="NU13" s="424">
        <v>60</v>
      </c>
      <c r="NV13" s="424" t="s">
        <v>364</v>
      </c>
      <c r="NW13" s="424" t="s">
        <v>364</v>
      </c>
      <c r="NX13" s="424" t="s">
        <v>364</v>
      </c>
      <c r="NY13" s="424" t="s">
        <v>364</v>
      </c>
      <c r="NZ13" s="424">
        <f t="shared" ref="NZ13:NZ49" si="15">SUM(OA13:OG13)</f>
        <v>14</v>
      </c>
      <c r="OA13" s="424" t="s">
        <v>364</v>
      </c>
      <c r="OB13" s="424" t="s">
        <v>364</v>
      </c>
      <c r="OC13" s="424" t="s">
        <v>364</v>
      </c>
      <c r="OD13" s="424">
        <v>14</v>
      </c>
      <c r="OE13" s="424" t="s">
        <v>6598</v>
      </c>
      <c r="OF13" s="424" t="s">
        <v>364</v>
      </c>
      <c r="OG13" s="424" t="s">
        <v>364</v>
      </c>
      <c r="OH13" s="424">
        <f t="shared" ref="OH13:OH49" si="16">SUM(PB13,OI13)</f>
        <v>0</v>
      </c>
      <c r="OI13" s="424">
        <f t="shared" ref="OI13:OI49" si="17">SUM(OJ13:PA13)</f>
        <v>0</v>
      </c>
      <c r="OJ13" s="422" t="s">
        <v>364</v>
      </c>
      <c r="OK13" s="422" t="s">
        <v>364</v>
      </c>
      <c r="OL13" s="422" t="s">
        <v>364</v>
      </c>
      <c r="OM13" s="422" t="s">
        <v>364</v>
      </c>
      <c r="ON13" s="422" t="s">
        <v>364</v>
      </c>
      <c r="OO13" s="422" t="s">
        <v>364</v>
      </c>
      <c r="OP13" s="422" t="s">
        <v>364</v>
      </c>
      <c r="OQ13" s="422" t="s">
        <v>364</v>
      </c>
      <c r="OR13" s="422" t="s">
        <v>364</v>
      </c>
      <c r="OS13" s="422" t="s">
        <v>364</v>
      </c>
      <c r="OT13" s="422" t="s">
        <v>364</v>
      </c>
      <c r="OU13" s="422" t="s">
        <v>364</v>
      </c>
      <c r="OV13" s="422" t="s">
        <v>364</v>
      </c>
      <c r="OW13" s="422" t="s">
        <v>364</v>
      </c>
      <c r="OX13" s="422" t="s">
        <v>364</v>
      </c>
      <c r="OY13" s="422" t="s">
        <v>364</v>
      </c>
      <c r="OZ13" s="422" t="s">
        <v>364</v>
      </c>
      <c r="PA13" s="422" t="s">
        <v>364</v>
      </c>
      <c r="PB13" s="424">
        <f t="shared" ref="PB13:PB49" si="18">SUM(PC13:PJ13)</f>
        <v>0</v>
      </c>
      <c r="PC13" s="422" t="s">
        <v>364</v>
      </c>
      <c r="PD13" s="422" t="s">
        <v>364</v>
      </c>
      <c r="PE13" s="422" t="s">
        <v>364</v>
      </c>
      <c r="PF13" s="422" t="s">
        <v>364</v>
      </c>
      <c r="PG13" s="422" t="s">
        <v>364</v>
      </c>
      <c r="PH13" s="422" t="s">
        <v>364</v>
      </c>
      <c r="PI13" s="422" t="s">
        <v>364</v>
      </c>
      <c r="PJ13" s="422" t="s">
        <v>364</v>
      </c>
    </row>
    <row r="14" spans="2:426" ht="15.6">
      <c r="B14" s="426" t="s">
        <v>1523</v>
      </c>
      <c r="C14" s="422">
        <f t="shared" si="3"/>
        <v>222</v>
      </c>
      <c r="D14" s="422" t="s">
        <v>364</v>
      </c>
      <c r="E14" s="422" t="s">
        <v>364</v>
      </c>
      <c r="F14" s="422" t="s">
        <v>364</v>
      </c>
      <c r="G14" s="422" t="s">
        <v>364</v>
      </c>
      <c r="H14" s="422" t="s">
        <v>364</v>
      </c>
      <c r="I14" s="422" t="s">
        <v>364</v>
      </c>
      <c r="J14" s="422" t="s">
        <v>364</v>
      </c>
      <c r="K14" s="422" t="s">
        <v>364</v>
      </c>
      <c r="L14" s="422" t="s">
        <v>364</v>
      </c>
      <c r="M14" s="422" t="s">
        <v>364</v>
      </c>
      <c r="N14" s="422" t="s">
        <v>364</v>
      </c>
      <c r="O14" s="422" t="s">
        <v>364</v>
      </c>
      <c r="P14" s="422" t="s">
        <v>364</v>
      </c>
      <c r="Q14" s="422" t="s">
        <v>364</v>
      </c>
      <c r="R14" s="422" t="s">
        <v>364</v>
      </c>
      <c r="S14" s="422" t="s">
        <v>364</v>
      </c>
      <c r="T14" s="422" t="s">
        <v>364</v>
      </c>
      <c r="U14" s="422" t="s">
        <v>364</v>
      </c>
      <c r="V14" s="422" t="s">
        <v>364</v>
      </c>
      <c r="W14" s="422" t="s">
        <v>364</v>
      </c>
      <c r="X14" s="422" t="s">
        <v>364</v>
      </c>
      <c r="Y14" s="422" t="s">
        <v>364</v>
      </c>
      <c r="Z14" s="422" t="s">
        <v>364</v>
      </c>
      <c r="AA14" s="422">
        <v>222</v>
      </c>
      <c r="AB14" s="422" t="s">
        <v>364</v>
      </c>
      <c r="AC14" s="422" t="s">
        <v>364</v>
      </c>
      <c r="AD14" s="422" t="s">
        <v>364</v>
      </c>
      <c r="AE14" s="422" t="s">
        <v>364</v>
      </c>
      <c r="AF14" s="422" t="s">
        <v>364</v>
      </c>
      <c r="AG14" s="422" t="s">
        <v>364</v>
      </c>
      <c r="AH14" s="422" t="s">
        <v>364</v>
      </c>
      <c r="AI14" s="422" t="s">
        <v>364</v>
      </c>
      <c r="AJ14" s="422" t="s">
        <v>364</v>
      </c>
      <c r="AK14" s="422" t="s">
        <v>364</v>
      </c>
      <c r="AL14" s="422" t="s">
        <v>364</v>
      </c>
      <c r="AM14" s="422" t="s">
        <v>364</v>
      </c>
      <c r="AN14" s="422" t="s">
        <v>364</v>
      </c>
      <c r="AO14" s="422" t="s">
        <v>364</v>
      </c>
      <c r="AP14" s="422" t="s">
        <v>364</v>
      </c>
      <c r="AQ14" s="422">
        <f t="shared" si="0"/>
        <v>2596</v>
      </c>
      <c r="AR14" s="422">
        <v>49</v>
      </c>
      <c r="AS14" s="422" t="s">
        <v>364</v>
      </c>
      <c r="AT14" s="422">
        <v>339</v>
      </c>
      <c r="AU14" s="422">
        <v>2151</v>
      </c>
      <c r="AV14" s="422">
        <v>57</v>
      </c>
      <c r="AW14" s="422" t="s">
        <v>364</v>
      </c>
      <c r="AX14" s="422" t="s">
        <v>364</v>
      </c>
      <c r="AY14" s="422" t="s">
        <v>364</v>
      </c>
      <c r="AZ14" s="422" t="s">
        <v>364</v>
      </c>
      <c r="BA14" s="422" t="s">
        <v>364</v>
      </c>
      <c r="BB14" s="422" t="s">
        <v>364</v>
      </c>
      <c r="BC14" s="422" t="s">
        <v>364</v>
      </c>
      <c r="BD14" s="422" t="s">
        <v>364</v>
      </c>
      <c r="BE14" s="422" t="s">
        <v>364</v>
      </c>
      <c r="BF14" s="422" t="s">
        <v>364</v>
      </c>
      <c r="BG14" s="422" t="s">
        <v>364</v>
      </c>
      <c r="BH14" s="422" t="s">
        <v>364</v>
      </c>
      <c r="BI14" s="422" t="s">
        <v>364</v>
      </c>
      <c r="BJ14" s="422" t="s">
        <v>364</v>
      </c>
      <c r="BK14" s="422" t="s">
        <v>364</v>
      </c>
      <c r="BL14" s="422" t="s">
        <v>364</v>
      </c>
      <c r="BM14" s="422" t="s">
        <v>364</v>
      </c>
      <c r="BN14" s="422" t="s">
        <v>364</v>
      </c>
      <c r="BO14" s="422" t="s">
        <v>364</v>
      </c>
      <c r="BP14" s="422" t="s">
        <v>364</v>
      </c>
      <c r="BQ14" s="422" t="s">
        <v>364</v>
      </c>
      <c r="BR14" s="422" t="s">
        <v>364</v>
      </c>
      <c r="BS14" s="422" t="s">
        <v>364</v>
      </c>
      <c r="BT14" s="422" t="s">
        <v>364</v>
      </c>
      <c r="BU14" s="422" t="s">
        <v>364</v>
      </c>
      <c r="BV14" s="422" t="s">
        <v>364</v>
      </c>
      <c r="BW14" s="422" t="s">
        <v>364</v>
      </c>
      <c r="BX14" s="422" t="s">
        <v>364</v>
      </c>
      <c r="BY14" s="422" t="s">
        <v>364</v>
      </c>
      <c r="BZ14" s="422" t="s">
        <v>364</v>
      </c>
      <c r="CA14" s="422" t="s">
        <v>364</v>
      </c>
      <c r="CB14" s="422" t="s">
        <v>364</v>
      </c>
      <c r="CC14" s="422" t="s">
        <v>364</v>
      </c>
      <c r="CD14" s="422" t="s">
        <v>364</v>
      </c>
      <c r="CE14" s="422" t="s">
        <v>364</v>
      </c>
      <c r="CF14" s="422" t="s">
        <v>364</v>
      </c>
      <c r="CG14" s="422" t="s">
        <v>364</v>
      </c>
      <c r="CH14" s="422" t="s">
        <v>364</v>
      </c>
      <c r="CI14" s="422" t="s">
        <v>364</v>
      </c>
      <c r="CJ14" s="422" t="s">
        <v>364</v>
      </c>
      <c r="CK14" s="422" t="s">
        <v>364</v>
      </c>
      <c r="CL14" s="422" t="s">
        <v>364</v>
      </c>
      <c r="CM14" s="422" t="s">
        <v>364</v>
      </c>
      <c r="CN14" s="422" t="s">
        <v>364</v>
      </c>
      <c r="CO14" s="422" t="s">
        <v>364</v>
      </c>
      <c r="CP14" s="422" t="s">
        <v>364</v>
      </c>
      <c r="CQ14" s="422" t="s">
        <v>364</v>
      </c>
      <c r="CR14" s="422" t="s">
        <v>364</v>
      </c>
      <c r="CS14" s="422" t="s">
        <v>364</v>
      </c>
      <c r="CT14" s="422" t="s">
        <v>364</v>
      </c>
      <c r="CU14" s="422" t="s">
        <v>364</v>
      </c>
      <c r="CV14" s="422" t="s">
        <v>364</v>
      </c>
      <c r="CW14" s="422" t="s">
        <v>364</v>
      </c>
      <c r="CX14" s="422" t="s">
        <v>364</v>
      </c>
      <c r="CY14" s="422" t="s">
        <v>364</v>
      </c>
      <c r="CZ14" s="422" t="s">
        <v>364</v>
      </c>
      <c r="DA14" s="422" t="s">
        <v>364</v>
      </c>
      <c r="DB14" s="422" t="s">
        <v>364</v>
      </c>
      <c r="DC14" s="422" t="s">
        <v>364</v>
      </c>
      <c r="DD14" s="422" t="s">
        <v>364</v>
      </c>
      <c r="DE14" s="422" t="s">
        <v>364</v>
      </c>
      <c r="DF14" s="422" t="s">
        <v>364</v>
      </c>
      <c r="DG14" s="422" t="s">
        <v>364</v>
      </c>
      <c r="DH14" s="422" t="s">
        <v>364</v>
      </c>
      <c r="DI14" s="422" t="s">
        <v>364</v>
      </c>
      <c r="DJ14" s="422" t="s">
        <v>364</v>
      </c>
      <c r="DK14" s="422">
        <f t="shared" si="4"/>
        <v>20</v>
      </c>
      <c r="DL14" s="422" t="s">
        <v>364</v>
      </c>
      <c r="DM14" s="422" t="s">
        <v>364</v>
      </c>
      <c r="DN14" s="422" t="s">
        <v>364</v>
      </c>
      <c r="DO14" s="422" t="s">
        <v>364</v>
      </c>
      <c r="DP14" s="422" t="s">
        <v>364</v>
      </c>
      <c r="DQ14" s="422" t="s">
        <v>364</v>
      </c>
      <c r="DR14" s="422" t="s">
        <v>364</v>
      </c>
      <c r="DS14" s="422" t="s">
        <v>364</v>
      </c>
      <c r="DT14" s="422" t="s">
        <v>364</v>
      </c>
      <c r="DU14" s="422" t="s">
        <v>364</v>
      </c>
      <c r="DV14" s="422" t="s">
        <v>364</v>
      </c>
      <c r="DW14" s="422">
        <v>20</v>
      </c>
      <c r="DX14" s="422" t="s">
        <v>364</v>
      </c>
      <c r="DY14" s="422">
        <f t="shared" si="5"/>
        <v>0</v>
      </c>
      <c r="DZ14" s="422" t="s">
        <v>364</v>
      </c>
      <c r="EA14" s="422" t="s">
        <v>364</v>
      </c>
      <c r="EB14" s="422" t="s">
        <v>364</v>
      </c>
      <c r="EC14" s="422" t="s">
        <v>364</v>
      </c>
      <c r="ED14" s="422" t="s">
        <v>364</v>
      </c>
      <c r="EE14" s="422" t="s">
        <v>364</v>
      </c>
      <c r="EF14" s="422" t="s">
        <v>364</v>
      </c>
      <c r="EG14" s="422" t="s">
        <v>364</v>
      </c>
      <c r="EH14" s="422" t="s">
        <v>364</v>
      </c>
      <c r="EI14" s="422" t="s">
        <v>364</v>
      </c>
      <c r="EJ14" s="422" t="s">
        <v>364</v>
      </c>
      <c r="EK14" s="422" t="s">
        <v>364</v>
      </c>
      <c r="EL14" s="422" t="s">
        <v>364</v>
      </c>
      <c r="EM14" s="422" t="s">
        <v>364</v>
      </c>
      <c r="EN14" s="422" t="s">
        <v>364</v>
      </c>
      <c r="EO14" s="422" t="s">
        <v>364</v>
      </c>
      <c r="EP14" s="422" t="s">
        <v>364</v>
      </c>
      <c r="EQ14" s="422" t="s">
        <v>364</v>
      </c>
      <c r="ER14" s="422" t="s">
        <v>364</v>
      </c>
      <c r="ES14" s="422" t="s">
        <v>364</v>
      </c>
      <c r="ET14" s="422" t="s">
        <v>364</v>
      </c>
      <c r="EU14" s="422" t="s">
        <v>364</v>
      </c>
      <c r="EV14" s="422" t="s">
        <v>364</v>
      </c>
      <c r="EW14" s="422" t="s">
        <v>364</v>
      </c>
      <c r="EX14" s="422" t="s">
        <v>364</v>
      </c>
      <c r="EY14" s="422" t="s">
        <v>364</v>
      </c>
      <c r="EZ14" s="422" t="s">
        <v>364</v>
      </c>
      <c r="FA14" s="422">
        <f t="shared" si="6"/>
        <v>706</v>
      </c>
      <c r="FB14" s="422" t="s">
        <v>364</v>
      </c>
      <c r="FC14" s="422" t="s">
        <v>364</v>
      </c>
      <c r="FD14" s="422" t="s">
        <v>364</v>
      </c>
      <c r="FE14" s="422" t="s">
        <v>364</v>
      </c>
      <c r="FF14" s="422" t="s">
        <v>364</v>
      </c>
      <c r="FG14" s="422" t="s">
        <v>364</v>
      </c>
      <c r="FH14" s="422" t="s">
        <v>364</v>
      </c>
      <c r="FI14" s="422" t="s">
        <v>364</v>
      </c>
      <c r="FJ14" s="422" t="s">
        <v>364</v>
      </c>
      <c r="FK14" s="422" t="s">
        <v>364</v>
      </c>
      <c r="FL14" s="422" t="s">
        <v>364</v>
      </c>
      <c r="FM14" s="422" t="s">
        <v>364</v>
      </c>
      <c r="FN14" s="422" t="s">
        <v>364</v>
      </c>
      <c r="FO14" s="422" t="s">
        <v>364</v>
      </c>
      <c r="FP14" s="422" t="s">
        <v>364</v>
      </c>
      <c r="FQ14" s="422">
        <v>599</v>
      </c>
      <c r="FR14" s="422">
        <v>107</v>
      </c>
      <c r="FS14" s="422" t="s">
        <v>364</v>
      </c>
      <c r="FT14" s="422" t="s">
        <v>364</v>
      </c>
      <c r="FU14" s="422" t="s">
        <v>364</v>
      </c>
      <c r="FV14" s="422" t="s">
        <v>364</v>
      </c>
      <c r="FW14" s="422" t="s">
        <v>364</v>
      </c>
      <c r="FX14" s="422" t="s">
        <v>364</v>
      </c>
      <c r="FY14" s="422" t="s">
        <v>364</v>
      </c>
      <c r="FZ14" s="422" t="s">
        <v>364</v>
      </c>
      <c r="GA14" s="422" t="s">
        <v>364</v>
      </c>
      <c r="GB14" s="422" t="s">
        <v>364</v>
      </c>
      <c r="GC14" s="422" t="s">
        <v>364</v>
      </c>
      <c r="GD14" s="422" t="s">
        <v>364</v>
      </c>
      <c r="GE14" s="422" t="s">
        <v>364</v>
      </c>
      <c r="GF14" s="422" t="s">
        <v>364</v>
      </c>
      <c r="GG14" s="422" t="s">
        <v>364</v>
      </c>
      <c r="GH14" s="422" t="s">
        <v>364</v>
      </c>
      <c r="GI14" s="422" t="s">
        <v>364</v>
      </c>
      <c r="GJ14" s="422" t="s">
        <v>364</v>
      </c>
      <c r="GK14" s="422" t="s">
        <v>364</v>
      </c>
      <c r="GL14" s="422" t="s">
        <v>364</v>
      </c>
      <c r="GM14" s="422" t="s">
        <v>364</v>
      </c>
      <c r="GN14" s="422" t="s">
        <v>364</v>
      </c>
      <c r="GO14" s="422" t="s">
        <v>364</v>
      </c>
      <c r="GP14" s="422" t="s">
        <v>364</v>
      </c>
      <c r="GQ14" s="422" t="s">
        <v>364</v>
      </c>
      <c r="GR14" s="422" t="s">
        <v>364</v>
      </c>
      <c r="GS14" s="422" t="s">
        <v>364</v>
      </c>
      <c r="GT14" s="422" t="s">
        <v>364</v>
      </c>
      <c r="GU14" s="422" t="s">
        <v>364</v>
      </c>
      <c r="GV14" s="422">
        <f t="shared" si="7"/>
        <v>120</v>
      </c>
      <c r="GW14" s="422" t="s">
        <v>364</v>
      </c>
      <c r="GX14" s="422" t="s">
        <v>364</v>
      </c>
      <c r="GY14" s="422" t="s">
        <v>364</v>
      </c>
      <c r="GZ14" s="422" t="s">
        <v>364</v>
      </c>
      <c r="HA14" s="422" t="s">
        <v>364</v>
      </c>
      <c r="HB14" s="422" t="s">
        <v>364</v>
      </c>
      <c r="HC14" s="422" t="s">
        <v>364</v>
      </c>
      <c r="HD14" s="422">
        <v>12</v>
      </c>
      <c r="HE14" s="422">
        <v>76</v>
      </c>
      <c r="HF14" s="422" t="s">
        <v>364</v>
      </c>
      <c r="HG14" s="422">
        <v>32</v>
      </c>
      <c r="HH14" s="422" t="s">
        <v>364</v>
      </c>
      <c r="HI14" s="422" t="s">
        <v>364</v>
      </c>
      <c r="HJ14" s="422" t="s">
        <v>364</v>
      </c>
      <c r="HK14" s="422" t="s">
        <v>364</v>
      </c>
      <c r="HL14" s="422" t="s">
        <v>364</v>
      </c>
      <c r="HM14" s="422" t="s">
        <v>364</v>
      </c>
      <c r="HN14" s="422" t="s">
        <v>364</v>
      </c>
      <c r="HO14" s="422" t="s">
        <v>364</v>
      </c>
      <c r="HP14" s="422" t="s">
        <v>364</v>
      </c>
      <c r="HQ14" s="422" t="s">
        <v>364</v>
      </c>
      <c r="HR14" s="422" t="s">
        <v>364</v>
      </c>
      <c r="HS14" s="422" t="s">
        <v>364</v>
      </c>
      <c r="HT14" s="422" t="s">
        <v>364</v>
      </c>
      <c r="HU14" s="422" t="s">
        <v>364</v>
      </c>
      <c r="HV14" s="422" t="s">
        <v>364</v>
      </c>
      <c r="HW14" s="422" t="s">
        <v>364</v>
      </c>
      <c r="HX14" s="422" t="s">
        <v>364</v>
      </c>
      <c r="HY14" s="422">
        <f t="shared" si="8"/>
        <v>0</v>
      </c>
      <c r="HZ14" s="422" t="s">
        <v>364</v>
      </c>
      <c r="IA14" s="422" t="s">
        <v>364</v>
      </c>
      <c r="IB14" s="422" t="s">
        <v>364</v>
      </c>
      <c r="IC14" s="422" t="s">
        <v>364</v>
      </c>
      <c r="ID14" s="422" t="s">
        <v>364</v>
      </c>
      <c r="IE14" s="422" t="s">
        <v>364</v>
      </c>
      <c r="IF14" s="422">
        <f t="shared" si="9"/>
        <v>13</v>
      </c>
      <c r="IG14" s="422">
        <v>13</v>
      </c>
      <c r="IH14" s="422" t="s">
        <v>364</v>
      </c>
      <c r="II14" s="422" t="s">
        <v>364</v>
      </c>
      <c r="IJ14" s="422" t="s">
        <v>364</v>
      </c>
      <c r="IK14" s="422" t="s">
        <v>364</v>
      </c>
      <c r="IL14" s="422" t="s">
        <v>364</v>
      </c>
      <c r="IM14" s="422" t="s">
        <v>364</v>
      </c>
      <c r="IN14" s="422" t="s">
        <v>364</v>
      </c>
      <c r="IO14" s="422" t="s">
        <v>364</v>
      </c>
      <c r="IP14" s="422" t="s">
        <v>364</v>
      </c>
      <c r="IQ14" s="422" t="s">
        <v>364</v>
      </c>
      <c r="IR14" s="422" t="s">
        <v>364</v>
      </c>
      <c r="IS14" s="422" t="s">
        <v>364</v>
      </c>
      <c r="IT14" s="422" t="s">
        <v>364</v>
      </c>
      <c r="IU14" s="422" t="s">
        <v>364</v>
      </c>
      <c r="IV14" s="422" t="s">
        <v>364</v>
      </c>
      <c r="IW14" s="422" t="s">
        <v>364</v>
      </c>
      <c r="IX14" s="422" t="s">
        <v>364</v>
      </c>
      <c r="IY14" s="422" t="s">
        <v>364</v>
      </c>
      <c r="IZ14" s="422">
        <f t="shared" si="10"/>
        <v>47</v>
      </c>
      <c r="JA14" s="422" t="s">
        <v>364</v>
      </c>
      <c r="JB14" s="422" t="s">
        <v>364</v>
      </c>
      <c r="JC14" s="422" t="s">
        <v>364</v>
      </c>
      <c r="JD14" s="422" t="s">
        <v>364</v>
      </c>
      <c r="JE14" s="422" t="s">
        <v>364</v>
      </c>
      <c r="JF14" s="422" t="s">
        <v>364</v>
      </c>
      <c r="JG14" s="422" t="s">
        <v>364</v>
      </c>
      <c r="JH14" s="422" t="s">
        <v>364</v>
      </c>
      <c r="JI14" s="422" t="s">
        <v>364</v>
      </c>
      <c r="JJ14" s="422" t="s">
        <v>364</v>
      </c>
      <c r="JK14" s="422" t="s">
        <v>364</v>
      </c>
      <c r="JL14" s="422" t="s">
        <v>364</v>
      </c>
      <c r="JM14" s="422" t="s">
        <v>364</v>
      </c>
      <c r="JN14" s="422" t="s">
        <v>364</v>
      </c>
      <c r="JO14" s="422">
        <v>12</v>
      </c>
      <c r="JP14" s="422">
        <v>28</v>
      </c>
      <c r="JQ14" s="422">
        <v>7</v>
      </c>
      <c r="JR14" s="422" t="s">
        <v>364</v>
      </c>
      <c r="JS14" s="422" t="s">
        <v>364</v>
      </c>
      <c r="JT14" s="422" t="s">
        <v>364</v>
      </c>
      <c r="JU14" s="422" t="s">
        <v>364</v>
      </c>
      <c r="JV14" s="422" t="s">
        <v>364</v>
      </c>
      <c r="JW14" s="422">
        <f t="shared" si="11"/>
        <v>203</v>
      </c>
      <c r="JX14" s="422" t="s">
        <v>364</v>
      </c>
      <c r="JY14" s="422" t="s">
        <v>364</v>
      </c>
      <c r="JZ14" s="422" t="s">
        <v>364</v>
      </c>
      <c r="KA14" s="422" t="s">
        <v>364</v>
      </c>
      <c r="KB14" s="422" t="s">
        <v>364</v>
      </c>
      <c r="KC14" s="422" t="s">
        <v>364</v>
      </c>
      <c r="KD14" s="422" t="s">
        <v>364</v>
      </c>
      <c r="KE14" s="422" t="s">
        <v>364</v>
      </c>
      <c r="KF14" s="422" t="s">
        <v>364</v>
      </c>
      <c r="KG14" s="422" t="s">
        <v>364</v>
      </c>
      <c r="KH14" s="422" t="s">
        <v>364</v>
      </c>
      <c r="KI14" s="422" t="s">
        <v>364</v>
      </c>
      <c r="KJ14" s="422" t="s">
        <v>364</v>
      </c>
      <c r="KK14" s="422" t="s">
        <v>364</v>
      </c>
      <c r="KL14" s="422" t="s">
        <v>364</v>
      </c>
      <c r="KM14" s="422" t="s">
        <v>364</v>
      </c>
      <c r="KN14" s="422" t="s">
        <v>364</v>
      </c>
      <c r="KO14" s="422" t="s">
        <v>364</v>
      </c>
      <c r="KP14" s="422" t="s">
        <v>364</v>
      </c>
      <c r="KQ14" s="422" t="s">
        <v>364</v>
      </c>
      <c r="KR14" s="422" t="s">
        <v>364</v>
      </c>
      <c r="KS14" s="422" t="s">
        <v>364</v>
      </c>
      <c r="KT14" s="422">
        <v>42</v>
      </c>
      <c r="KU14" s="422">
        <v>53</v>
      </c>
      <c r="KV14" s="422">
        <v>43</v>
      </c>
      <c r="KW14" s="422">
        <v>65</v>
      </c>
      <c r="KX14" s="422" t="s">
        <v>364</v>
      </c>
      <c r="KY14" s="422" t="s">
        <v>364</v>
      </c>
      <c r="KZ14" s="422" t="s">
        <v>364</v>
      </c>
      <c r="LA14" s="422" t="s">
        <v>364</v>
      </c>
      <c r="LB14" s="422" t="s">
        <v>364</v>
      </c>
      <c r="LC14" s="422" t="s">
        <v>364</v>
      </c>
      <c r="LD14" s="422" t="s">
        <v>364</v>
      </c>
      <c r="LE14" s="422" t="s">
        <v>364</v>
      </c>
      <c r="LF14" s="422" t="s">
        <v>364</v>
      </c>
      <c r="LG14" s="422" t="s">
        <v>364</v>
      </c>
      <c r="LH14" s="422" t="s">
        <v>364</v>
      </c>
      <c r="LI14" s="422" t="s">
        <v>364</v>
      </c>
      <c r="LJ14" s="422" t="s">
        <v>364</v>
      </c>
      <c r="LK14" s="422" t="s">
        <v>364</v>
      </c>
      <c r="LL14" s="422" t="s">
        <v>364</v>
      </c>
      <c r="LM14" s="424" t="s">
        <v>364</v>
      </c>
      <c r="LN14" s="424">
        <v>40</v>
      </c>
      <c r="LO14" s="424" t="s">
        <v>364</v>
      </c>
      <c r="LP14" s="424">
        <v>40</v>
      </c>
      <c r="LQ14" s="424" t="s">
        <v>364</v>
      </c>
      <c r="LR14" s="424" t="s">
        <v>364</v>
      </c>
      <c r="LS14" s="424" t="s">
        <v>364</v>
      </c>
      <c r="LT14" s="424" t="s">
        <v>364</v>
      </c>
      <c r="LU14" s="424" t="s">
        <v>364</v>
      </c>
      <c r="LV14" s="424" t="s">
        <v>364</v>
      </c>
      <c r="LW14" s="424" t="s">
        <v>364</v>
      </c>
      <c r="LX14" s="424">
        <f t="shared" si="12"/>
        <v>0</v>
      </c>
      <c r="LY14" s="424" t="s">
        <v>364</v>
      </c>
      <c r="LZ14" s="424" t="s">
        <v>364</v>
      </c>
      <c r="MA14" s="424" t="s">
        <v>364</v>
      </c>
      <c r="MB14" s="424" t="s">
        <v>364</v>
      </c>
      <c r="MC14" s="424" t="s">
        <v>364</v>
      </c>
      <c r="MD14" s="424" t="s">
        <v>364</v>
      </c>
      <c r="ME14" s="424">
        <f t="shared" si="1"/>
        <v>24</v>
      </c>
      <c r="MF14" s="424" t="s">
        <v>364</v>
      </c>
      <c r="MG14" s="424" t="s">
        <v>364</v>
      </c>
      <c r="MH14" s="424" t="s">
        <v>364</v>
      </c>
      <c r="MI14" s="424" t="s">
        <v>364</v>
      </c>
      <c r="MJ14" s="424">
        <v>24</v>
      </c>
      <c r="MK14" s="424" t="s">
        <v>364</v>
      </c>
      <c r="ML14" s="424" t="s">
        <v>364</v>
      </c>
      <c r="MM14" s="424" t="s">
        <v>364</v>
      </c>
      <c r="MN14" s="424" t="s">
        <v>364</v>
      </c>
      <c r="MO14" s="424" t="s">
        <v>364</v>
      </c>
      <c r="MP14" s="424" t="s">
        <v>364</v>
      </c>
      <c r="MQ14" s="424" t="s">
        <v>364</v>
      </c>
      <c r="MR14" s="424" t="s">
        <v>364</v>
      </c>
      <c r="MS14" s="424" t="s">
        <v>364</v>
      </c>
      <c r="MT14" s="424" t="s">
        <v>364</v>
      </c>
      <c r="MU14" s="424" t="s">
        <v>364</v>
      </c>
      <c r="MV14" s="424" t="s">
        <v>364</v>
      </c>
      <c r="MW14" s="424" t="s">
        <v>364</v>
      </c>
      <c r="MX14" s="424">
        <f t="shared" si="13"/>
        <v>0</v>
      </c>
      <c r="MY14" s="424" t="s">
        <v>364</v>
      </c>
      <c r="MZ14" s="424" t="s">
        <v>364</v>
      </c>
      <c r="NA14" s="424" t="s">
        <v>364</v>
      </c>
      <c r="NB14" s="424" t="s">
        <v>364</v>
      </c>
      <c r="NC14" s="424" t="s">
        <v>364</v>
      </c>
      <c r="ND14" s="424" t="s">
        <v>364</v>
      </c>
      <c r="NE14" s="424" t="s">
        <v>364</v>
      </c>
      <c r="NF14" s="424" t="s">
        <v>364</v>
      </c>
      <c r="NG14" s="424" t="s">
        <v>364</v>
      </c>
      <c r="NH14" s="424" t="s">
        <v>364</v>
      </c>
      <c r="NI14" s="424" t="s">
        <v>364</v>
      </c>
      <c r="NJ14" s="424" t="s">
        <v>364</v>
      </c>
      <c r="NK14" s="424">
        <f t="shared" si="2"/>
        <v>0</v>
      </c>
      <c r="NL14" s="424">
        <f t="shared" si="14"/>
        <v>0</v>
      </c>
      <c r="NM14" s="424" t="s">
        <v>364</v>
      </c>
      <c r="NN14" s="424" t="s">
        <v>364</v>
      </c>
      <c r="NO14" s="424" t="s">
        <v>364</v>
      </c>
      <c r="NP14" s="424" t="s">
        <v>364</v>
      </c>
      <c r="NQ14" s="424" t="s">
        <v>364</v>
      </c>
      <c r="NR14" s="424" t="s">
        <v>364</v>
      </c>
      <c r="NS14" s="424" t="s">
        <v>364</v>
      </c>
      <c r="NT14" s="424" t="s">
        <v>364</v>
      </c>
      <c r="NU14" s="424" t="s">
        <v>364</v>
      </c>
      <c r="NV14" s="424" t="s">
        <v>364</v>
      </c>
      <c r="NW14" s="424" t="s">
        <v>364</v>
      </c>
      <c r="NX14" s="424" t="s">
        <v>364</v>
      </c>
      <c r="NY14" s="424" t="s">
        <v>364</v>
      </c>
      <c r="NZ14" s="424">
        <f t="shared" si="15"/>
        <v>0</v>
      </c>
      <c r="OA14" s="424" t="s">
        <v>364</v>
      </c>
      <c r="OB14" s="424" t="s">
        <v>364</v>
      </c>
      <c r="OC14" s="424" t="s">
        <v>364</v>
      </c>
      <c r="OD14" s="424" t="s">
        <v>364</v>
      </c>
      <c r="OE14" s="424" t="s">
        <v>364</v>
      </c>
      <c r="OF14" s="424" t="s">
        <v>6598</v>
      </c>
      <c r="OG14" s="424" t="s">
        <v>364</v>
      </c>
      <c r="OH14" s="424">
        <f t="shared" si="16"/>
        <v>0</v>
      </c>
      <c r="OI14" s="424">
        <f t="shared" si="17"/>
        <v>0</v>
      </c>
      <c r="OJ14" s="422" t="s">
        <v>364</v>
      </c>
      <c r="OK14" s="422" t="s">
        <v>364</v>
      </c>
      <c r="OL14" s="422" t="s">
        <v>364</v>
      </c>
      <c r="OM14" s="422" t="s">
        <v>364</v>
      </c>
      <c r="ON14" s="422" t="s">
        <v>364</v>
      </c>
      <c r="OO14" s="422" t="s">
        <v>364</v>
      </c>
      <c r="OP14" s="422" t="s">
        <v>364</v>
      </c>
      <c r="OQ14" s="422" t="s">
        <v>364</v>
      </c>
      <c r="OR14" s="422" t="s">
        <v>364</v>
      </c>
      <c r="OS14" s="422" t="s">
        <v>364</v>
      </c>
      <c r="OT14" s="422" t="s">
        <v>364</v>
      </c>
      <c r="OU14" s="422" t="s">
        <v>364</v>
      </c>
      <c r="OV14" s="422" t="s">
        <v>364</v>
      </c>
      <c r="OW14" s="422" t="s">
        <v>364</v>
      </c>
      <c r="OX14" s="422" t="s">
        <v>364</v>
      </c>
      <c r="OY14" s="422" t="s">
        <v>364</v>
      </c>
      <c r="OZ14" s="422" t="s">
        <v>364</v>
      </c>
      <c r="PA14" s="422" t="s">
        <v>364</v>
      </c>
      <c r="PB14" s="424">
        <f t="shared" si="18"/>
        <v>0</v>
      </c>
      <c r="PC14" s="422" t="s">
        <v>364</v>
      </c>
      <c r="PD14" s="422" t="s">
        <v>364</v>
      </c>
      <c r="PE14" s="422" t="s">
        <v>364</v>
      </c>
      <c r="PF14" s="422" t="s">
        <v>364</v>
      </c>
      <c r="PG14" s="422" t="s">
        <v>364</v>
      </c>
      <c r="PH14" s="422" t="s">
        <v>364</v>
      </c>
      <c r="PI14" s="422" t="s">
        <v>364</v>
      </c>
      <c r="PJ14" s="422" t="s">
        <v>364</v>
      </c>
    </row>
    <row r="15" spans="2:426" ht="15.6">
      <c r="B15" s="426" t="s">
        <v>1711</v>
      </c>
      <c r="C15" s="422">
        <f t="shared" si="3"/>
        <v>339</v>
      </c>
      <c r="D15" s="422">
        <v>55</v>
      </c>
      <c r="E15" s="422" t="s">
        <v>364</v>
      </c>
      <c r="F15" s="422">
        <v>225</v>
      </c>
      <c r="G15" s="422" t="s">
        <v>364</v>
      </c>
      <c r="H15" s="422" t="s">
        <v>364</v>
      </c>
      <c r="I15" s="422">
        <v>59</v>
      </c>
      <c r="J15" s="422" t="s">
        <v>364</v>
      </c>
      <c r="K15" s="422" t="s">
        <v>364</v>
      </c>
      <c r="L15" s="422" t="s">
        <v>364</v>
      </c>
      <c r="M15" s="422" t="s">
        <v>364</v>
      </c>
      <c r="N15" s="422" t="s">
        <v>364</v>
      </c>
      <c r="O15" s="422" t="s">
        <v>364</v>
      </c>
      <c r="P15" s="422" t="s">
        <v>364</v>
      </c>
      <c r="Q15" s="422" t="s">
        <v>364</v>
      </c>
      <c r="R15" s="422" t="s">
        <v>364</v>
      </c>
      <c r="S15" s="422" t="s">
        <v>364</v>
      </c>
      <c r="T15" s="422" t="s">
        <v>364</v>
      </c>
      <c r="U15" s="422" t="s">
        <v>364</v>
      </c>
      <c r="V15" s="422" t="s">
        <v>364</v>
      </c>
      <c r="W15" s="422" t="s">
        <v>364</v>
      </c>
      <c r="X15" s="422" t="s">
        <v>364</v>
      </c>
      <c r="Y15" s="422" t="s">
        <v>364</v>
      </c>
      <c r="Z15" s="422" t="s">
        <v>364</v>
      </c>
      <c r="AA15" s="422" t="s">
        <v>364</v>
      </c>
      <c r="AB15" s="422" t="s">
        <v>364</v>
      </c>
      <c r="AC15" s="422" t="s">
        <v>364</v>
      </c>
      <c r="AD15" s="422" t="s">
        <v>364</v>
      </c>
      <c r="AE15" s="422" t="s">
        <v>364</v>
      </c>
      <c r="AF15" s="422" t="s">
        <v>364</v>
      </c>
      <c r="AG15" s="422" t="s">
        <v>364</v>
      </c>
      <c r="AH15" s="422" t="s">
        <v>364</v>
      </c>
      <c r="AI15" s="422" t="s">
        <v>364</v>
      </c>
      <c r="AJ15" s="422" t="s">
        <v>364</v>
      </c>
      <c r="AK15" s="422" t="s">
        <v>364</v>
      </c>
      <c r="AL15" s="422" t="s">
        <v>364</v>
      </c>
      <c r="AM15" s="422" t="s">
        <v>364</v>
      </c>
      <c r="AN15" s="422" t="s">
        <v>364</v>
      </c>
      <c r="AO15" s="422" t="s">
        <v>364</v>
      </c>
      <c r="AP15" s="422" t="s">
        <v>364</v>
      </c>
      <c r="AQ15" s="422">
        <f t="shared" si="0"/>
        <v>728</v>
      </c>
      <c r="AR15" s="422" t="s">
        <v>364</v>
      </c>
      <c r="AS15" s="422">
        <v>75</v>
      </c>
      <c r="AT15" s="422" t="s">
        <v>364</v>
      </c>
      <c r="AU15" s="422" t="s">
        <v>364</v>
      </c>
      <c r="AV15" s="422" t="s">
        <v>364</v>
      </c>
      <c r="AW15" s="422" t="s">
        <v>364</v>
      </c>
      <c r="AX15" s="422" t="s">
        <v>364</v>
      </c>
      <c r="AY15" s="422" t="s">
        <v>364</v>
      </c>
      <c r="AZ15" s="422" t="s">
        <v>364</v>
      </c>
      <c r="BA15" s="422" t="s">
        <v>364</v>
      </c>
      <c r="BB15" s="422" t="s">
        <v>364</v>
      </c>
      <c r="BC15" s="422" t="s">
        <v>364</v>
      </c>
      <c r="BD15" s="422" t="s">
        <v>364</v>
      </c>
      <c r="BE15" s="422" t="s">
        <v>364</v>
      </c>
      <c r="BF15" s="422" t="s">
        <v>364</v>
      </c>
      <c r="BG15" s="422" t="s">
        <v>364</v>
      </c>
      <c r="BH15" s="422" t="s">
        <v>364</v>
      </c>
      <c r="BI15" s="422" t="s">
        <v>364</v>
      </c>
      <c r="BJ15" s="422" t="s">
        <v>364</v>
      </c>
      <c r="BK15" s="422" t="s">
        <v>364</v>
      </c>
      <c r="BL15" s="422" t="s">
        <v>364</v>
      </c>
      <c r="BM15" s="422" t="s">
        <v>364</v>
      </c>
      <c r="BN15" s="422" t="s">
        <v>364</v>
      </c>
      <c r="BO15" s="422">
        <v>37</v>
      </c>
      <c r="BP15" s="422" t="s">
        <v>364</v>
      </c>
      <c r="BQ15" s="422" t="s">
        <v>364</v>
      </c>
      <c r="BR15" s="422" t="s">
        <v>364</v>
      </c>
      <c r="BS15" s="422" t="s">
        <v>364</v>
      </c>
      <c r="BT15" s="422" t="s">
        <v>364</v>
      </c>
      <c r="BU15" s="422" t="s">
        <v>364</v>
      </c>
      <c r="BV15" s="422" t="s">
        <v>364</v>
      </c>
      <c r="BW15" s="422" t="s">
        <v>364</v>
      </c>
      <c r="BX15" s="422">
        <v>257</v>
      </c>
      <c r="BY15" s="422">
        <v>359</v>
      </c>
      <c r="BZ15" s="422" t="s">
        <v>364</v>
      </c>
      <c r="CA15" s="422" t="s">
        <v>364</v>
      </c>
      <c r="CB15" s="422" t="s">
        <v>364</v>
      </c>
      <c r="CC15" s="422" t="s">
        <v>364</v>
      </c>
      <c r="CD15" s="422" t="s">
        <v>364</v>
      </c>
      <c r="CE15" s="422" t="s">
        <v>364</v>
      </c>
      <c r="CF15" s="422" t="s">
        <v>364</v>
      </c>
      <c r="CG15" s="422" t="s">
        <v>364</v>
      </c>
      <c r="CH15" s="422" t="s">
        <v>364</v>
      </c>
      <c r="CI15" s="422" t="s">
        <v>364</v>
      </c>
      <c r="CJ15" s="422" t="s">
        <v>364</v>
      </c>
      <c r="CK15" s="422" t="s">
        <v>364</v>
      </c>
      <c r="CL15" s="422" t="s">
        <v>364</v>
      </c>
      <c r="CM15" s="422" t="s">
        <v>364</v>
      </c>
      <c r="CN15" s="422" t="s">
        <v>364</v>
      </c>
      <c r="CO15" s="422" t="s">
        <v>364</v>
      </c>
      <c r="CP15" s="422" t="s">
        <v>364</v>
      </c>
      <c r="CQ15" s="422" t="s">
        <v>364</v>
      </c>
      <c r="CR15" s="422" t="s">
        <v>364</v>
      </c>
      <c r="CS15" s="422" t="s">
        <v>364</v>
      </c>
      <c r="CT15" s="422" t="s">
        <v>364</v>
      </c>
      <c r="CU15" s="422" t="s">
        <v>364</v>
      </c>
      <c r="CV15" s="422" t="s">
        <v>364</v>
      </c>
      <c r="CW15" s="422" t="s">
        <v>364</v>
      </c>
      <c r="CX15" s="422" t="s">
        <v>364</v>
      </c>
      <c r="CY15" s="422" t="s">
        <v>364</v>
      </c>
      <c r="CZ15" s="422" t="s">
        <v>364</v>
      </c>
      <c r="DA15" s="422" t="s">
        <v>364</v>
      </c>
      <c r="DB15" s="422" t="s">
        <v>364</v>
      </c>
      <c r="DC15" s="422" t="s">
        <v>364</v>
      </c>
      <c r="DD15" s="422" t="s">
        <v>364</v>
      </c>
      <c r="DE15" s="422" t="s">
        <v>364</v>
      </c>
      <c r="DF15" s="422" t="s">
        <v>364</v>
      </c>
      <c r="DG15" s="422" t="s">
        <v>364</v>
      </c>
      <c r="DH15" s="422" t="s">
        <v>364</v>
      </c>
      <c r="DI15" s="422" t="s">
        <v>364</v>
      </c>
      <c r="DJ15" s="422" t="s">
        <v>364</v>
      </c>
      <c r="DK15" s="422">
        <f t="shared" si="4"/>
        <v>0</v>
      </c>
      <c r="DL15" s="422" t="s">
        <v>364</v>
      </c>
      <c r="DM15" s="422" t="s">
        <v>364</v>
      </c>
      <c r="DN15" s="422" t="s">
        <v>364</v>
      </c>
      <c r="DO15" s="422" t="s">
        <v>364</v>
      </c>
      <c r="DP15" s="422" t="s">
        <v>364</v>
      </c>
      <c r="DQ15" s="422" t="s">
        <v>364</v>
      </c>
      <c r="DR15" s="422" t="s">
        <v>364</v>
      </c>
      <c r="DS15" s="422" t="s">
        <v>364</v>
      </c>
      <c r="DT15" s="422" t="s">
        <v>364</v>
      </c>
      <c r="DU15" s="422" t="s">
        <v>364</v>
      </c>
      <c r="DV15" s="422" t="s">
        <v>364</v>
      </c>
      <c r="DW15" s="422" t="s">
        <v>364</v>
      </c>
      <c r="DX15" s="422" t="s">
        <v>364</v>
      </c>
      <c r="DY15" s="422">
        <f t="shared" si="5"/>
        <v>683</v>
      </c>
      <c r="DZ15" s="422" t="s">
        <v>364</v>
      </c>
      <c r="EA15" s="422" t="s">
        <v>364</v>
      </c>
      <c r="EB15" s="422" t="s">
        <v>364</v>
      </c>
      <c r="EC15" s="422" t="s">
        <v>364</v>
      </c>
      <c r="ED15" s="422" t="s">
        <v>364</v>
      </c>
      <c r="EE15" s="422" t="s">
        <v>364</v>
      </c>
      <c r="EF15" s="422" t="s">
        <v>364</v>
      </c>
      <c r="EG15" s="422" t="s">
        <v>364</v>
      </c>
      <c r="EH15" s="422" t="s">
        <v>364</v>
      </c>
      <c r="EI15" s="422" t="s">
        <v>364</v>
      </c>
      <c r="EJ15" s="422">
        <v>247</v>
      </c>
      <c r="EK15" s="422" t="s">
        <v>364</v>
      </c>
      <c r="EL15" s="422" t="s">
        <v>364</v>
      </c>
      <c r="EM15" s="422" t="s">
        <v>364</v>
      </c>
      <c r="EN15" s="422" t="s">
        <v>364</v>
      </c>
      <c r="EO15" s="422" t="s">
        <v>364</v>
      </c>
      <c r="EP15" s="422" t="s">
        <v>364</v>
      </c>
      <c r="EQ15" s="422">
        <v>363</v>
      </c>
      <c r="ER15" s="422" t="s">
        <v>364</v>
      </c>
      <c r="ES15" s="422">
        <v>73</v>
      </c>
      <c r="ET15" s="422" t="s">
        <v>364</v>
      </c>
      <c r="EU15" s="422" t="s">
        <v>364</v>
      </c>
      <c r="EV15" s="422" t="s">
        <v>364</v>
      </c>
      <c r="EW15" s="422" t="s">
        <v>364</v>
      </c>
      <c r="EX15" s="422" t="s">
        <v>364</v>
      </c>
      <c r="EY15" s="422" t="s">
        <v>364</v>
      </c>
      <c r="EZ15" s="422" t="s">
        <v>364</v>
      </c>
      <c r="FA15" s="422">
        <f t="shared" si="6"/>
        <v>674</v>
      </c>
      <c r="FB15" s="422" t="s">
        <v>364</v>
      </c>
      <c r="FC15" s="422" t="s">
        <v>364</v>
      </c>
      <c r="FD15" s="422" t="s">
        <v>364</v>
      </c>
      <c r="FE15" s="422" t="s">
        <v>364</v>
      </c>
      <c r="FF15" s="422" t="s">
        <v>364</v>
      </c>
      <c r="FG15" s="422" t="s">
        <v>364</v>
      </c>
      <c r="FH15" s="422" t="s">
        <v>364</v>
      </c>
      <c r="FI15" s="422" t="s">
        <v>364</v>
      </c>
      <c r="FJ15" s="422" t="s">
        <v>364</v>
      </c>
      <c r="FK15" s="422" t="s">
        <v>364</v>
      </c>
      <c r="FL15" s="422" t="s">
        <v>364</v>
      </c>
      <c r="FM15" s="422" t="s">
        <v>364</v>
      </c>
      <c r="FN15" s="422" t="s">
        <v>364</v>
      </c>
      <c r="FO15" s="422" t="s">
        <v>364</v>
      </c>
      <c r="FP15" s="422" t="s">
        <v>364</v>
      </c>
      <c r="FQ15" s="422" t="s">
        <v>364</v>
      </c>
      <c r="FR15" s="422" t="s">
        <v>364</v>
      </c>
      <c r="FS15" s="422">
        <v>253</v>
      </c>
      <c r="FT15" s="422">
        <v>71</v>
      </c>
      <c r="FU15" s="422">
        <v>350</v>
      </c>
      <c r="FV15" s="422" t="s">
        <v>364</v>
      </c>
      <c r="FW15" s="422" t="s">
        <v>364</v>
      </c>
      <c r="FX15" s="422" t="s">
        <v>364</v>
      </c>
      <c r="FY15" s="422" t="s">
        <v>364</v>
      </c>
      <c r="FZ15" s="422" t="s">
        <v>364</v>
      </c>
      <c r="GA15" s="422" t="s">
        <v>364</v>
      </c>
      <c r="GB15" s="422" t="s">
        <v>364</v>
      </c>
      <c r="GC15" s="422" t="s">
        <v>364</v>
      </c>
      <c r="GD15" s="422" t="s">
        <v>364</v>
      </c>
      <c r="GE15" s="422" t="s">
        <v>364</v>
      </c>
      <c r="GF15" s="422" t="s">
        <v>364</v>
      </c>
      <c r="GG15" s="422" t="s">
        <v>364</v>
      </c>
      <c r="GH15" s="422" t="s">
        <v>364</v>
      </c>
      <c r="GI15" s="422" t="s">
        <v>364</v>
      </c>
      <c r="GJ15" s="422" t="s">
        <v>364</v>
      </c>
      <c r="GK15" s="422" t="s">
        <v>364</v>
      </c>
      <c r="GL15" s="422" t="s">
        <v>364</v>
      </c>
      <c r="GM15" s="422" t="s">
        <v>364</v>
      </c>
      <c r="GN15" s="422" t="s">
        <v>364</v>
      </c>
      <c r="GO15" s="422" t="s">
        <v>364</v>
      </c>
      <c r="GP15" s="422" t="s">
        <v>364</v>
      </c>
      <c r="GQ15" s="422" t="s">
        <v>364</v>
      </c>
      <c r="GR15" s="422" t="s">
        <v>364</v>
      </c>
      <c r="GS15" s="422" t="s">
        <v>364</v>
      </c>
      <c r="GT15" s="422" t="s">
        <v>364</v>
      </c>
      <c r="GU15" s="422" t="s">
        <v>364</v>
      </c>
      <c r="GV15" s="422">
        <f t="shared" si="7"/>
        <v>121</v>
      </c>
      <c r="GW15" s="422" t="s">
        <v>364</v>
      </c>
      <c r="GX15" s="422" t="s">
        <v>364</v>
      </c>
      <c r="GY15" s="422" t="s">
        <v>364</v>
      </c>
      <c r="GZ15" s="422">
        <v>121</v>
      </c>
      <c r="HA15" s="422" t="s">
        <v>364</v>
      </c>
      <c r="HB15" s="422" t="s">
        <v>364</v>
      </c>
      <c r="HC15" s="422" t="s">
        <v>364</v>
      </c>
      <c r="HD15" s="422" t="s">
        <v>364</v>
      </c>
      <c r="HE15" s="422" t="s">
        <v>364</v>
      </c>
      <c r="HF15" s="422" t="s">
        <v>364</v>
      </c>
      <c r="HG15" s="422" t="s">
        <v>364</v>
      </c>
      <c r="HH15" s="422" t="s">
        <v>364</v>
      </c>
      <c r="HI15" s="422" t="s">
        <v>364</v>
      </c>
      <c r="HJ15" s="422" t="s">
        <v>364</v>
      </c>
      <c r="HK15" s="422" t="s">
        <v>364</v>
      </c>
      <c r="HL15" s="422" t="s">
        <v>364</v>
      </c>
      <c r="HM15" s="422" t="s">
        <v>364</v>
      </c>
      <c r="HN15" s="422" t="s">
        <v>364</v>
      </c>
      <c r="HO15" s="422" t="s">
        <v>364</v>
      </c>
      <c r="HP15" s="422" t="s">
        <v>364</v>
      </c>
      <c r="HQ15" s="422" t="s">
        <v>364</v>
      </c>
      <c r="HR15" s="422" t="s">
        <v>364</v>
      </c>
      <c r="HS15" s="422" t="s">
        <v>364</v>
      </c>
      <c r="HT15" s="422" t="s">
        <v>364</v>
      </c>
      <c r="HU15" s="422" t="s">
        <v>364</v>
      </c>
      <c r="HV15" s="422" t="s">
        <v>364</v>
      </c>
      <c r="HW15" s="422" t="s">
        <v>364</v>
      </c>
      <c r="HX15" s="422" t="s">
        <v>364</v>
      </c>
      <c r="HY15" s="422">
        <f t="shared" si="8"/>
        <v>0</v>
      </c>
      <c r="HZ15" s="422" t="s">
        <v>364</v>
      </c>
      <c r="IA15" s="422" t="s">
        <v>364</v>
      </c>
      <c r="IB15" s="422" t="s">
        <v>364</v>
      </c>
      <c r="IC15" s="422" t="s">
        <v>364</v>
      </c>
      <c r="ID15" s="422" t="s">
        <v>364</v>
      </c>
      <c r="IE15" s="422" t="s">
        <v>364</v>
      </c>
      <c r="IF15" s="422">
        <f t="shared" si="9"/>
        <v>41</v>
      </c>
      <c r="IG15" s="422">
        <v>41</v>
      </c>
      <c r="IH15" s="422" t="s">
        <v>364</v>
      </c>
      <c r="II15" s="422" t="s">
        <v>364</v>
      </c>
      <c r="IJ15" s="422" t="s">
        <v>364</v>
      </c>
      <c r="IK15" s="422" t="s">
        <v>364</v>
      </c>
      <c r="IL15" s="422" t="s">
        <v>364</v>
      </c>
      <c r="IM15" s="422" t="s">
        <v>364</v>
      </c>
      <c r="IN15" s="422" t="s">
        <v>364</v>
      </c>
      <c r="IO15" s="422" t="s">
        <v>364</v>
      </c>
      <c r="IP15" s="422" t="s">
        <v>364</v>
      </c>
      <c r="IQ15" s="422" t="s">
        <v>364</v>
      </c>
      <c r="IR15" s="422" t="s">
        <v>364</v>
      </c>
      <c r="IS15" s="422" t="s">
        <v>364</v>
      </c>
      <c r="IT15" s="422" t="s">
        <v>364</v>
      </c>
      <c r="IU15" s="422" t="s">
        <v>364</v>
      </c>
      <c r="IV15" s="422" t="s">
        <v>364</v>
      </c>
      <c r="IW15" s="422" t="s">
        <v>364</v>
      </c>
      <c r="IX15" s="422" t="s">
        <v>364</v>
      </c>
      <c r="IY15" s="422" t="s">
        <v>364</v>
      </c>
      <c r="IZ15" s="422">
        <f t="shared" si="10"/>
        <v>138</v>
      </c>
      <c r="JA15" s="422">
        <v>138</v>
      </c>
      <c r="JB15" s="422" t="s">
        <v>364</v>
      </c>
      <c r="JC15" s="422" t="s">
        <v>364</v>
      </c>
      <c r="JD15" s="422" t="s">
        <v>364</v>
      </c>
      <c r="JE15" s="422" t="s">
        <v>364</v>
      </c>
      <c r="JF15" s="422" t="s">
        <v>364</v>
      </c>
      <c r="JG15" s="422" t="s">
        <v>364</v>
      </c>
      <c r="JH15" s="422" t="s">
        <v>364</v>
      </c>
      <c r="JI15" s="422" t="s">
        <v>364</v>
      </c>
      <c r="JJ15" s="422" t="s">
        <v>364</v>
      </c>
      <c r="JK15" s="422" t="s">
        <v>364</v>
      </c>
      <c r="JL15" s="422" t="s">
        <v>364</v>
      </c>
      <c r="JM15" s="422" t="s">
        <v>364</v>
      </c>
      <c r="JN15" s="422" t="s">
        <v>364</v>
      </c>
      <c r="JO15" s="422" t="s">
        <v>364</v>
      </c>
      <c r="JP15" s="422" t="s">
        <v>364</v>
      </c>
      <c r="JQ15" s="422" t="s">
        <v>364</v>
      </c>
      <c r="JR15" s="422" t="s">
        <v>364</v>
      </c>
      <c r="JS15" s="422" t="s">
        <v>364</v>
      </c>
      <c r="JT15" s="422" t="s">
        <v>364</v>
      </c>
      <c r="JU15" s="422" t="s">
        <v>364</v>
      </c>
      <c r="JV15" s="422" t="s">
        <v>364</v>
      </c>
      <c r="JW15" s="422">
        <f t="shared" si="11"/>
        <v>0</v>
      </c>
      <c r="JX15" s="422" t="s">
        <v>364</v>
      </c>
      <c r="JY15" s="422" t="s">
        <v>364</v>
      </c>
      <c r="JZ15" s="422" t="s">
        <v>364</v>
      </c>
      <c r="KA15" s="422" t="s">
        <v>364</v>
      </c>
      <c r="KB15" s="422" t="s">
        <v>364</v>
      </c>
      <c r="KC15" s="422" t="s">
        <v>364</v>
      </c>
      <c r="KD15" s="422" t="s">
        <v>364</v>
      </c>
      <c r="KE15" s="422" t="s">
        <v>364</v>
      </c>
      <c r="KF15" s="422" t="s">
        <v>364</v>
      </c>
      <c r="KG15" s="422" t="s">
        <v>364</v>
      </c>
      <c r="KH15" s="422" t="s">
        <v>364</v>
      </c>
      <c r="KI15" s="422" t="s">
        <v>364</v>
      </c>
      <c r="KJ15" s="422" t="s">
        <v>364</v>
      </c>
      <c r="KK15" s="422" t="s">
        <v>364</v>
      </c>
      <c r="KL15" s="422" t="s">
        <v>364</v>
      </c>
      <c r="KM15" s="422" t="s">
        <v>364</v>
      </c>
      <c r="KN15" s="422" t="s">
        <v>364</v>
      </c>
      <c r="KO15" s="422" t="s">
        <v>364</v>
      </c>
      <c r="KP15" s="422" t="s">
        <v>364</v>
      </c>
      <c r="KQ15" s="422" t="s">
        <v>364</v>
      </c>
      <c r="KR15" s="422" t="s">
        <v>364</v>
      </c>
      <c r="KS15" s="422" t="s">
        <v>364</v>
      </c>
      <c r="KT15" s="422" t="s">
        <v>364</v>
      </c>
      <c r="KU15" s="422" t="s">
        <v>364</v>
      </c>
      <c r="KV15" s="422" t="s">
        <v>364</v>
      </c>
      <c r="KW15" s="422" t="s">
        <v>364</v>
      </c>
      <c r="KX15" s="422" t="s">
        <v>364</v>
      </c>
      <c r="KY15" s="422" t="s">
        <v>364</v>
      </c>
      <c r="KZ15" s="422" t="s">
        <v>364</v>
      </c>
      <c r="LA15" s="422" t="s">
        <v>364</v>
      </c>
      <c r="LB15" s="422" t="s">
        <v>364</v>
      </c>
      <c r="LC15" s="422" t="s">
        <v>364</v>
      </c>
      <c r="LD15" s="422" t="s">
        <v>364</v>
      </c>
      <c r="LE15" s="422" t="s">
        <v>364</v>
      </c>
      <c r="LF15" s="422" t="s">
        <v>364</v>
      </c>
      <c r="LG15" s="422" t="s">
        <v>364</v>
      </c>
      <c r="LH15" s="422" t="s">
        <v>364</v>
      </c>
      <c r="LI15" s="422" t="s">
        <v>364</v>
      </c>
      <c r="LJ15" s="422" t="s">
        <v>364</v>
      </c>
      <c r="LK15" s="422" t="s">
        <v>364</v>
      </c>
      <c r="LL15" s="422" t="s">
        <v>364</v>
      </c>
      <c r="LM15" s="424" t="s">
        <v>364</v>
      </c>
      <c r="LN15" s="424">
        <v>30</v>
      </c>
      <c r="LO15" s="424" t="s">
        <v>364</v>
      </c>
      <c r="LP15" s="424" t="s">
        <v>364</v>
      </c>
      <c r="LQ15" s="424" t="s">
        <v>364</v>
      </c>
      <c r="LR15" s="424">
        <v>30</v>
      </c>
      <c r="LS15" s="424" t="s">
        <v>364</v>
      </c>
      <c r="LT15" s="424" t="s">
        <v>364</v>
      </c>
      <c r="LU15" s="424" t="s">
        <v>364</v>
      </c>
      <c r="LV15" s="424" t="s">
        <v>364</v>
      </c>
      <c r="LW15" s="424" t="s">
        <v>364</v>
      </c>
      <c r="LX15" s="424">
        <f t="shared" si="12"/>
        <v>0</v>
      </c>
      <c r="LY15" s="424" t="s">
        <v>364</v>
      </c>
      <c r="LZ15" s="424" t="s">
        <v>364</v>
      </c>
      <c r="MA15" s="424" t="s">
        <v>364</v>
      </c>
      <c r="MB15" s="424" t="s">
        <v>364</v>
      </c>
      <c r="MC15" s="424" t="s">
        <v>364</v>
      </c>
      <c r="MD15" s="424" t="s">
        <v>364</v>
      </c>
      <c r="ME15" s="424">
        <f t="shared" si="1"/>
        <v>0</v>
      </c>
      <c r="MF15" s="424" t="s">
        <v>364</v>
      </c>
      <c r="MG15" s="424" t="s">
        <v>364</v>
      </c>
      <c r="MH15" s="424" t="s">
        <v>364</v>
      </c>
      <c r="MI15" s="424" t="s">
        <v>364</v>
      </c>
      <c r="MJ15" s="424" t="s">
        <v>364</v>
      </c>
      <c r="MK15" s="424" t="s">
        <v>364</v>
      </c>
      <c r="ML15" s="424" t="s">
        <v>364</v>
      </c>
      <c r="MM15" s="424" t="s">
        <v>364</v>
      </c>
      <c r="MN15" s="424" t="s">
        <v>364</v>
      </c>
      <c r="MO15" s="424" t="s">
        <v>364</v>
      </c>
      <c r="MP15" s="424" t="s">
        <v>364</v>
      </c>
      <c r="MQ15" s="424" t="s">
        <v>364</v>
      </c>
      <c r="MR15" s="424" t="s">
        <v>364</v>
      </c>
      <c r="MS15" s="424" t="s">
        <v>364</v>
      </c>
      <c r="MT15" s="424" t="s">
        <v>364</v>
      </c>
      <c r="MU15" s="424" t="s">
        <v>364</v>
      </c>
      <c r="MV15" s="424" t="s">
        <v>364</v>
      </c>
      <c r="MW15" s="424" t="s">
        <v>364</v>
      </c>
      <c r="MX15" s="424">
        <f t="shared" si="13"/>
        <v>0</v>
      </c>
      <c r="MY15" s="424" t="s">
        <v>364</v>
      </c>
      <c r="MZ15" s="424" t="s">
        <v>364</v>
      </c>
      <c r="NA15" s="424" t="s">
        <v>364</v>
      </c>
      <c r="NB15" s="424" t="s">
        <v>364</v>
      </c>
      <c r="NC15" s="424" t="s">
        <v>364</v>
      </c>
      <c r="ND15" s="424" t="s">
        <v>364</v>
      </c>
      <c r="NE15" s="424" t="s">
        <v>364</v>
      </c>
      <c r="NF15" s="424" t="s">
        <v>364</v>
      </c>
      <c r="NG15" s="424" t="s">
        <v>364</v>
      </c>
      <c r="NH15" s="424" t="s">
        <v>364</v>
      </c>
      <c r="NI15" s="424" t="s">
        <v>364</v>
      </c>
      <c r="NJ15" s="424" t="s">
        <v>364</v>
      </c>
      <c r="NK15" s="424">
        <f t="shared" si="2"/>
        <v>20</v>
      </c>
      <c r="NL15" s="424">
        <f t="shared" si="14"/>
        <v>0</v>
      </c>
      <c r="NM15" s="424" t="s">
        <v>364</v>
      </c>
      <c r="NN15" s="424" t="s">
        <v>364</v>
      </c>
      <c r="NO15" s="424" t="s">
        <v>364</v>
      </c>
      <c r="NP15" s="424" t="s">
        <v>364</v>
      </c>
      <c r="NQ15" s="424" t="s">
        <v>364</v>
      </c>
      <c r="NR15" s="424" t="s">
        <v>364</v>
      </c>
      <c r="NS15" s="424" t="s">
        <v>364</v>
      </c>
      <c r="NT15" s="424" t="s">
        <v>364</v>
      </c>
      <c r="NU15" s="424" t="s">
        <v>364</v>
      </c>
      <c r="NV15" s="424" t="s">
        <v>364</v>
      </c>
      <c r="NW15" s="424" t="s">
        <v>364</v>
      </c>
      <c r="NX15" s="424" t="s">
        <v>364</v>
      </c>
      <c r="NY15" s="424" t="s">
        <v>364</v>
      </c>
      <c r="NZ15" s="424">
        <f t="shared" si="15"/>
        <v>20</v>
      </c>
      <c r="OA15" s="424">
        <v>20</v>
      </c>
      <c r="OB15" s="424" t="s">
        <v>364</v>
      </c>
      <c r="OC15" s="424" t="s">
        <v>364</v>
      </c>
      <c r="OD15" s="424" t="s">
        <v>364</v>
      </c>
      <c r="OE15" s="424" t="s">
        <v>364</v>
      </c>
      <c r="OF15" s="424" t="s">
        <v>364</v>
      </c>
      <c r="OG15" s="424" t="s">
        <v>364</v>
      </c>
      <c r="OH15" s="424">
        <f t="shared" si="16"/>
        <v>12</v>
      </c>
      <c r="OI15" s="424">
        <f t="shared" si="17"/>
        <v>12</v>
      </c>
      <c r="OJ15" s="422" t="s">
        <v>364</v>
      </c>
      <c r="OK15" s="422" t="s">
        <v>364</v>
      </c>
      <c r="OL15" s="422" t="s">
        <v>364</v>
      </c>
      <c r="OM15" s="422" t="s">
        <v>364</v>
      </c>
      <c r="ON15" s="422" t="s">
        <v>364</v>
      </c>
      <c r="OO15" s="422" t="s">
        <v>364</v>
      </c>
      <c r="OP15" s="422" t="s">
        <v>364</v>
      </c>
      <c r="OQ15" s="422" t="s">
        <v>364</v>
      </c>
      <c r="OR15" s="422" t="s">
        <v>364</v>
      </c>
      <c r="OS15" s="422" t="s">
        <v>364</v>
      </c>
      <c r="OT15" s="422">
        <v>12</v>
      </c>
      <c r="OU15" s="422" t="s">
        <v>364</v>
      </c>
      <c r="OV15" s="422" t="s">
        <v>364</v>
      </c>
      <c r="OW15" s="422" t="s">
        <v>364</v>
      </c>
      <c r="OX15" s="422" t="s">
        <v>364</v>
      </c>
      <c r="OY15" s="422" t="s">
        <v>364</v>
      </c>
      <c r="OZ15" s="422" t="s">
        <v>364</v>
      </c>
      <c r="PA15" s="422" t="s">
        <v>364</v>
      </c>
      <c r="PB15" s="424">
        <f t="shared" si="18"/>
        <v>0</v>
      </c>
      <c r="PC15" s="422" t="s">
        <v>364</v>
      </c>
      <c r="PD15" s="422" t="s">
        <v>364</v>
      </c>
      <c r="PE15" s="422" t="s">
        <v>364</v>
      </c>
      <c r="PF15" s="422" t="s">
        <v>364</v>
      </c>
      <c r="PG15" s="422" t="s">
        <v>364</v>
      </c>
      <c r="PH15" s="422" t="s">
        <v>364</v>
      </c>
      <c r="PI15" s="422" t="s">
        <v>364</v>
      </c>
      <c r="PJ15" s="422" t="s">
        <v>364</v>
      </c>
    </row>
    <row r="16" spans="2:426" ht="15.6">
      <c r="B16" s="426" t="s">
        <v>3162</v>
      </c>
      <c r="C16" s="422">
        <f t="shared" si="3"/>
        <v>2174</v>
      </c>
      <c r="D16" s="422" t="s">
        <v>364</v>
      </c>
      <c r="E16" s="422" t="s">
        <v>364</v>
      </c>
      <c r="F16" s="422" t="s">
        <v>364</v>
      </c>
      <c r="G16" s="422" t="s">
        <v>364</v>
      </c>
      <c r="H16" s="422" t="s">
        <v>364</v>
      </c>
      <c r="I16" s="422" t="s">
        <v>364</v>
      </c>
      <c r="J16" s="422" t="s">
        <v>364</v>
      </c>
      <c r="K16" s="422" t="s">
        <v>364</v>
      </c>
      <c r="L16" s="422" t="s">
        <v>364</v>
      </c>
      <c r="M16" s="422" t="s">
        <v>364</v>
      </c>
      <c r="N16" s="422" t="s">
        <v>364</v>
      </c>
      <c r="O16" s="422" t="s">
        <v>364</v>
      </c>
      <c r="P16" s="422" t="s">
        <v>364</v>
      </c>
      <c r="Q16" s="422">
        <v>400</v>
      </c>
      <c r="R16" s="422">
        <v>50</v>
      </c>
      <c r="S16" s="422" t="s">
        <v>364</v>
      </c>
      <c r="T16" s="422" t="s">
        <v>364</v>
      </c>
      <c r="U16" s="422" t="s">
        <v>364</v>
      </c>
      <c r="V16" s="422" t="s">
        <v>364</v>
      </c>
      <c r="W16" s="422">
        <v>40</v>
      </c>
      <c r="X16" s="422" t="s">
        <v>364</v>
      </c>
      <c r="Y16" s="422" t="s">
        <v>364</v>
      </c>
      <c r="Z16" s="422" t="s">
        <v>364</v>
      </c>
      <c r="AA16" s="422" t="s">
        <v>364</v>
      </c>
      <c r="AB16" s="422" t="s">
        <v>364</v>
      </c>
      <c r="AC16" s="422" t="s">
        <v>364</v>
      </c>
      <c r="AD16" s="422" t="s">
        <v>364</v>
      </c>
      <c r="AE16" s="422" t="s">
        <v>364</v>
      </c>
      <c r="AF16" s="422" t="s">
        <v>364</v>
      </c>
      <c r="AG16" s="422" t="s">
        <v>364</v>
      </c>
      <c r="AH16" s="422" t="s">
        <v>364</v>
      </c>
      <c r="AI16" s="422" t="s">
        <v>364</v>
      </c>
      <c r="AJ16" s="422" t="s">
        <v>364</v>
      </c>
      <c r="AK16" s="422" t="s">
        <v>364</v>
      </c>
      <c r="AL16" s="422" t="s">
        <v>364</v>
      </c>
      <c r="AM16" s="422" t="s">
        <v>364</v>
      </c>
      <c r="AN16" s="422">
        <v>1000</v>
      </c>
      <c r="AO16" s="422">
        <v>534</v>
      </c>
      <c r="AP16" s="422">
        <v>150</v>
      </c>
      <c r="AQ16" s="422">
        <f t="shared" si="0"/>
        <v>2480</v>
      </c>
      <c r="AR16" s="422" t="s">
        <v>364</v>
      </c>
      <c r="AS16" s="422" t="s">
        <v>364</v>
      </c>
      <c r="AT16" s="422" t="s">
        <v>364</v>
      </c>
      <c r="AU16" s="422" t="s">
        <v>364</v>
      </c>
      <c r="AV16" s="422" t="s">
        <v>364</v>
      </c>
      <c r="AW16" s="422" t="s">
        <v>364</v>
      </c>
      <c r="AX16" s="422" t="s">
        <v>364</v>
      </c>
      <c r="AY16" s="422" t="s">
        <v>364</v>
      </c>
      <c r="AZ16" s="422" t="s">
        <v>364</v>
      </c>
      <c r="BA16" s="422" t="s">
        <v>364</v>
      </c>
      <c r="BB16" s="422" t="s">
        <v>364</v>
      </c>
      <c r="BC16" s="422" t="s">
        <v>364</v>
      </c>
      <c r="BD16" s="422" t="s">
        <v>364</v>
      </c>
      <c r="BE16" s="422" t="s">
        <v>364</v>
      </c>
      <c r="BF16" s="422" t="s">
        <v>364</v>
      </c>
      <c r="BG16" s="422">
        <v>20</v>
      </c>
      <c r="BH16" s="422" t="s">
        <v>364</v>
      </c>
      <c r="BI16" s="422" t="s">
        <v>364</v>
      </c>
      <c r="BJ16" s="422" t="s">
        <v>364</v>
      </c>
      <c r="BK16" s="422" t="s">
        <v>364</v>
      </c>
      <c r="BL16" s="422" t="s">
        <v>364</v>
      </c>
      <c r="BM16" s="422" t="s">
        <v>364</v>
      </c>
      <c r="BN16" s="422" t="s">
        <v>364</v>
      </c>
      <c r="BO16" s="422">
        <v>420</v>
      </c>
      <c r="BP16" s="422" t="s">
        <v>364</v>
      </c>
      <c r="BQ16" s="422" t="s">
        <v>364</v>
      </c>
      <c r="BR16" s="422" t="s">
        <v>364</v>
      </c>
      <c r="BS16" s="422" t="s">
        <v>364</v>
      </c>
      <c r="BT16" s="422" t="s">
        <v>364</v>
      </c>
      <c r="BU16" s="422" t="s">
        <v>364</v>
      </c>
      <c r="BV16" s="422" t="s">
        <v>364</v>
      </c>
      <c r="BW16" s="422" t="s">
        <v>364</v>
      </c>
      <c r="BX16" s="422" t="s">
        <v>364</v>
      </c>
      <c r="BY16" s="422" t="s">
        <v>364</v>
      </c>
      <c r="BZ16" s="422">
        <v>140</v>
      </c>
      <c r="CA16" s="422" t="s">
        <v>364</v>
      </c>
      <c r="CB16" s="422" t="s">
        <v>364</v>
      </c>
      <c r="CC16" s="422" t="s">
        <v>364</v>
      </c>
      <c r="CD16" s="422" t="s">
        <v>364</v>
      </c>
      <c r="CE16" s="422" t="s">
        <v>364</v>
      </c>
      <c r="CF16" s="422" t="s">
        <v>364</v>
      </c>
      <c r="CG16" s="422" t="s">
        <v>364</v>
      </c>
      <c r="CH16" s="422" t="s">
        <v>364</v>
      </c>
      <c r="CI16" s="422" t="s">
        <v>364</v>
      </c>
      <c r="CJ16" s="422" t="s">
        <v>364</v>
      </c>
      <c r="CK16" s="422" t="s">
        <v>364</v>
      </c>
      <c r="CL16" s="422" t="s">
        <v>364</v>
      </c>
      <c r="CM16" s="422" t="s">
        <v>364</v>
      </c>
      <c r="CN16" s="422" t="s">
        <v>364</v>
      </c>
      <c r="CO16" s="422" t="s">
        <v>364</v>
      </c>
      <c r="CP16" s="422" t="s">
        <v>364</v>
      </c>
      <c r="CQ16" s="422" t="s">
        <v>364</v>
      </c>
      <c r="CR16" s="422" t="s">
        <v>364</v>
      </c>
      <c r="CS16" s="422" t="s">
        <v>364</v>
      </c>
      <c r="CT16" s="422" t="s">
        <v>364</v>
      </c>
      <c r="CU16" s="422" t="s">
        <v>364</v>
      </c>
      <c r="CV16" s="422" t="s">
        <v>364</v>
      </c>
      <c r="CW16" s="422" t="s">
        <v>364</v>
      </c>
      <c r="CX16" s="422" t="s">
        <v>364</v>
      </c>
      <c r="CY16" s="422" t="s">
        <v>364</v>
      </c>
      <c r="CZ16" s="422" t="s">
        <v>364</v>
      </c>
      <c r="DA16" s="422" t="s">
        <v>364</v>
      </c>
      <c r="DB16" s="422" t="s">
        <v>364</v>
      </c>
      <c r="DC16" s="422" t="s">
        <v>364</v>
      </c>
      <c r="DD16" s="422" t="s">
        <v>364</v>
      </c>
      <c r="DE16" s="422" t="s">
        <v>364</v>
      </c>
      <c r="DF16" s="422" t="s">
        <v>364</v>
      </c>
      <c r="DG16" s="422" t="s">
        <v>364</v>
      </c>
      <c r="DH16" s="422" t="s">
        <v>364</v>
      </c>
      <c r="DI16" s="422">
        <v>1700</v>
      </c>
      <c r="DJ16" s="422">
        <v>200</v>
      </c>
      <c r="DK16" s="422">
        <f t="shared" si="4"/>
        <v>10</v>
      </c>
      <c r="DL16" s="422">
        <v>10</v>
      </c>
      <c r="DM16" s="422" t="s">
        <v>364</v>
      </c>
      <c r="DN16" s="422" t="s">
        <v>364</v>
      </c>
      <c r="DO16" s="422" t="s">
        <v>364</v>
      </c>
      <c r="DP16" s="422" t="s">
        <v>364</v>
      </c>
      <c r="DQ16" s="422" t="s">
        <v>364</v>
      </c>
      <c r="DR16" s="422" t="s">
        <v>364</v>
      </c>
      <c r="DS16" s="422" t="s">
        <v>364</v>
      </c>
      <c r="DT16" s="422" t="s">
        <v>364</v>
      </c>
      <c r="DU16" s="422" t="s">
        <v>364</v>
      </c>
      <c r="DV16" s="422" t="s">
        <v>364</v>
      </c>
      <c r="DW16" s="422" t="s">
        <v>364</v>
      </c>
      <c r="DX16" s="422" t="s">
        <v>364</v>
      </c>
      <c r="DY16" s="422">
        <f t="shared" si="5"/>
        <v>0</v>
      </c>
      <c r="DZ16" s="422" t="s">
        <v>364</v>
      </c>
      <c r="EA16" s="422" t="s">
        <v>364</v>
      </c>
      <c r="EB16" s="422" t="s">
        <v>364</v>
      </c>
      <c r="EC16" s="422" t="s">
        <v>364</v>
      </c>
      <c r="ED16" s="422" t="s">
        <v>364</v>
      </c>
      <c r="EE16" s="422" t="s">
        <v>364</v>
      </c>
      <c r="EF16" s="422" t="s">
        <v>364</v>
      </c>
      <c r="EG16" s="422" t="s">
        <v>364</v>
      </c>
      <c r="EH16" s="422" t="s">
        <v>364</v>
      </c>
      <c r="EI16" s="422" t="s">
        <v>364</v>
      </c>
      <c r="EJ16" s="422" t="s">
        <v>364</v>
      </c>
      <c r="EK16" s="422" t="s">
        <v>364</v>
      </c>
      <c r="EL16" s="422" t="s">
        <v>364</v>
      </c>
      <c r="EM16" s="422" t="s">
        <v>364</v>
      </c>
      <c r="EN16" s="422" t="s">
        <v>364</v>
      </c>
      <c r="EO16" s="422" t="s">
        <v>364</v>
      </c>
      <c r="EP16" s="422" t="s">
        <v>364</v>
      </c>
      <c r="EQ16" s="422" t="s">
        <v>364</v>
      </c>
      <c r="ER16" s="422" t="s">
        <v>364</v>
      </c>
      <c r="ES16" s="422" t="s">
        <v>364</v>
      </c>
      <c r="ET16" s="422" t="s">
        <v>364</v>
      </c>
      <c r="EU16" s="422" t="s">
        <v>364</v>
      </c>
      <c r="EV16" s="422" t="s">
        <v>364</v>
      </c>
      <c r="EW16" s="422" t="s">
        <v>364</v>
      </c>
      <c r="EX16" s="422" t="s">
        <v>364</v>
      </c>
      <c r="EY16" s="422" t="s">
        <v>364</v>
      </c>
      <c r="EZ16" s="422" t="s">
        <v>364</v>
      </c>
      <c r="FA16" s="422">
        <f t="shared" si="6"/>
        <v>540</v>
      </c>
      <c r="FB16" s="422" t="s">
        <v>364</v>
      </c>
      <c r="FC16" s="422" t="s">
        <v>364</v>
      </c>
      <c r="FD16" s="422" t="s">
        <v>364</v>
      </c>
      <c r="FE16" s="422" t="s">
        <v>364</v>
      </c>
      <c r="FF16" s="422" t="s">
        <v>364</v>
      </c>
      <c r="FG16" s="422">
        <v>40</v>
      </c>
      <c r="FH16" s="422" t="s">
        <v>364</v>
      </c>
      <c r="FI16" s="422" t="s">
        <v>364</v>
      </c>
      <c r="FJ16" s="422" t="s">
        <v>364</v>
      </c>
      <c r="FK16" s="422" t="s">
        <v>364</v>
      </c>
      <c r="FL16" s="422" t="s">
        <v>364</v>
      </c>
      <c r="FM16" s="422" t="s">
        <v>364</v>
      </c>
      <c r="FN16" s="422" t="s">
        <v>364</v>
      </c>
      <c r="FO16" s="422" t="s">
        <v>364</v>
      </c>
      <c r="FP16" s="422" t="s">
        <v>364</v>
      </c>
      <c r="FQ16" s="422" t="s">
        <v>364</v>
      </c>
      <c r="FR16" s="422" t="s">
        <v>364</v>
      </c>
      <c r="FS16" s="422" t="s">
        <v>364</v>
      </c>
      <c r="FT16" s="422" t="s">
        <v>364</v>
      </c>
      <c r="FU16" s="422" t="s">
        <v>364</v>
      </c>
      <c r="FV16" s="422" t="s">
        <v>364</v>
      </c>
      <c r="FW16" s="422" t="s">
        <v>364</v>
      </c>
      <c r="FX16" s="422" t="s">
        <v>364</v>
      </c>
      <c r="FY16" s="422" t="s">
        <v>364</v>
      </c>
      <c r="FZ16" s="422" t="s">
        <v>364</v>
      </c>
      <c r="GA16" s="422" t="s">
        <v>364</v>
      </c>
      <c r="GB16" s="422" t="s">
        <v>364</v>
      </c>
      <c r="GC16" s="422" t="s">
        <v>364</v>
      </c>
      <c r="GD16" s="422" t="s">
        <v>364</v>
      </c>
      <c r="GE16" s="422" t="s">
        <v>364</v>
      </c>
      <c r="GF16" s="422" t="s">
        <v>364</v>
      </c>
      <c r="GG16" s="422" t="s">
        <v>364</v>
      </c>
      <c r="GH16" s="422" t="s">
        <v>364</v>
      </c>
      <c r="GI16" s="422" t="s">
        <v>364</v>
      </c>
      <c r="GJ16" s="422" t="s">
        <v>364</v>
      </c>
      <c r="GK16" s="422" t="s">
        <v>364</v>
      </c>
      <c r="GL16" s="422" t="s">
        <v>364</v>
      </c>
      <c r="GM16" s="422" t="s">
        <v>364</v>
      </c>
      <c r="GN16" s="422" t="s">
        <v>364</v>
      </c>
      <c r="GO16" s="422" t="s">
        <v>364</v>
      </c>
      <c r="GP16" s="422" t="s">
        <v>364</v>
      </c>
      <c r="GQ16" s="422" t="s">
        <v>364</v>
      </c>
      <c r="GR16" s="422" t="s">
        <v>364</v>
      </c>
      <c r="GS16" s="422" t="s">
        <v>364</v>
      </c>
      <c r="GT16" s="422" t="s">
        <v>364</v>
      </c>
      <c r="GU16" s="422">
        <v>500</v>
      </c>
      <c r="GV16" s="422">
        <f t="shared" si="7"/>
        <v>4280</v>
      </c>
      <c r="GW16" s="422" t="s">
        <v>364</v>
      </c>
      <c r="GX16" s="422">
        <f>1040+20</f>
        <v>1060</v>
      </c>
      <c r="GY16" s="422">
        <v>1800</v>
      </c>
      <c r="GZ16" s="422" t="s">
        <v>364</v>
      </c>
      <c r="HA16" s="422" t="s">
        <v>364</v>
      </c>
      <c r="HB16" s="422" t="s">
        <v>364</v>
      </c>
      <c r="HC16" s="422" t="s">
        <v>364</v>
      </c>
      <c r="HD16" s="422" t="s">
        <v>364</v>
      </c>
      <c r="HE16" s="422" t="s">
        <v>364</v>
      </c>
      <c r="HF16" s="422" t="s">
        <v>364</v>
      </c>
      <c r="HG16" s="422" t="s">
        <v>364</v>
      </c>
      <c r="HH16" s="422" t="s">
        <v>364</v>
      </c>
      <c r="HI16" s="422">
        <f>1240+60</f>
        <v>1300</v>
      </c>
      <c r="HJ16" s="422" t="s">
        <v>364</v>
      </c>
      <c r="HK16" s="422" t="s">
        <v>364</v>
      </c>
      <c r="HL16" s="422" t="s">
        <v>364</v>
      </c>
      <c r="HM16" s="422" t="s">
        <v>364</v>
      </c>
      <c r="HN16" s="422" t="s">
        <v>364</v>
      </c>
      <c r="HO16" s="422" t="s">
        <v>364</v>
      </c>
      <c r="HP16" s="422" t="s">
        <v>364</v>
      </c>
      <c r="HQ16" s="422" t="s">
        <v>364</v>
      </c>
      <c r="HR16" s="422" t="s">
        <v>364</v>
      </c>
      <c r="HS16" s="422" t="s">
        <v>364</v>
      </c>
      <c r="HT16" s="422" t="s">
        <v>364</v>
      </c>
      <c r="HU16" s="422" t="s">
        <v>364</v>
      </c>
      <c r="HV16" s="422" t="s">
        <v>364</v>
      </c>
      <c r="HW16" s="422" t="s">
        <v>364</v>
      </c>
      <c r="HX16" s="422">
        <v>120</v>
      </c>
      <c r="HY16" s="422">
        <f t="shared" si="8"/>
        <v>0</v>
      </c>
      <c r="HZ16" s="422" t="s">
        <v>364</v>
      </c>
      <c r="IA16" s="422" t="s">
        <v>364</v>
      </c>
      <c r="IB16" s="422" t="s">
        <v>364</v>
      </c>
      <c r="IC16" s="422" t="s">
        <v>364</v>
      </c>
      <c r="ID16" s="422" t="s">
        <v>364</v>
      </c>
      <c r="IE16" s="422" t="s">
        <v>364</v>
      </c>
      <c r="IF16" s="422">
        <f t="shared" si="9"/>
        <v>316</v>
      </c>
      <c r="IG16" s="422">
        <v>58</v>
      </c>
      <c r="IH16" s="422" t="s">
        <v>364</v>
      </c>
      <c r="II16" s="422" t="s">
        <v>364</v>
      </c>
      <c r="IJ16" s="422" t="s">
        <v>364</v>
      </c>
      <c r="IK16" s="422" t="s">
        <v>364</v>
      </c>
      <c r="IL16" s="422" t="s">
        <v>364</v>
      </c>
      <c r="IM16" s="422" t="s">
        <v>364</v>
      </c>
      <c r="IN16" s="422" t="s">
        <v>364</v>
      </c>
      <c r="IO16" s="422" t="s">
        <v>364</v>
      </c>
      <c r="IP16" s="422" t="s">
        <v>364</v>
      </c>
      <c r="IQ16" s="422" t="s">
        <v>364</v>
      </c>
      <c r="IR16" s="422" t="s">
        <v>364</v>
      </c>
      <c r="IS16" s="422" t="s">
        <v>364</v>
      </c>
      <c r="IT16" s="422" t="s">
        <v>364</v>
      </c>
      <c r="IU16" s="422" t="s">
        <v>364</v>
      </c>
      <c r="IV16" s="422" t="s">
        <v>364</v>
      </c>
      <c r="IW16" s="422" t="s">
        <v>364</v>
      </c>
      <c r="IX16" s="422">
        <v>40</v>
      </c>
      <c r="IY16" s="422">
        <v>218</v>
      </c>
      <c r="IZ16" s="422">
        <f t="shared" si="10"/>
        <v>174</v>
      </c>
      <c r="JA16" s="422" t="s">
        <v>364</v>
      </c>
      <c r="JB16" s="422" t="s">
        <v>364</v>
      </c>
      <c r="JC16" s="422" t="s">
        <v>364</v>
      </c>
      <c r="JD16" s="422" t="s">
        <v>364</v>
      </c>
      <c r="JE16" s="422" t="s">
        <v>364</v>
      </c>
      <c r="JF16" s="422" t="s">
        <v>364</v>
      </c>
      <c r="JG16" s="422" t="s">
        <v>364</v>
      </c>
      <c r="JH16" s="422" t="s">
        <v>364</v>
      </c>
      <c r="JI16" s="422" t="s">
        <v>364</v>
      </c>
      <c r="JJ16" s="422" t="s">
        <v>364</v>
      </c>
      <c r="JK16" s="422" t="s">
        <v>364</v>
      </c>
      <c r="JL16" s="422" t="s">
        <v>364</v>
      </c>
      <c r="JM16" s="422" t="s">
        <v>364</v>
      </c>
      <c r="JN16" s="422" t="s">
        <v>364</v>
      </c>
      <c r="JO16" s="422" t="s">
        <v>364</v>
      </c>
      <c r="JP16" s="422" t="s">
        <v>364</v>
      </c>
      <c r="JQ16" s="422" t="s">
        <v>364</v>
      </c>
      <c r="JR16" s="422" t="s">
        <v>364</v>
      </c>
      <c r="JS16" s="422" t="s">
        <v>364</v>
      </c>
      <c r="JT16" s="422" t="s">
        <v>364</v>
      </c>
      <c r="JU16" s="422">
        <v>142</v>
      </c>
      <c r="JV16" s="422">
        <v>32</v>
      </c>
      <c r="JW16" s="422">
        <f t="shared" si="11"/>
        <v>347</v>
      </c>
      <c r="JX16" s="422" t="s">
        <v>364</v>
      </c>
      <c r="JY16" s="422">
        <v>30</v>
      </c>
      <c r="JZ16" s="422" t="s">
        <v>364</v>
      </c>
      <c r="KA16" s="422" t="s">
        <v>364</v>
      </c>
      <c r="KB16" s="422" t="s">
        <v>364</v>
      </c>
      <c r="KC16" s="422">
        <v>36</v>
      </c>
      <c r="KD16" s="422" t="s">
        <v>364</v>
      </c>
      <c r="KE16" s="422" t="s">
        <v>364</v>
      </c>
      <c r="KF16" s="422" t="s">
        <v>364</v>
      </c>
      <c r="KG16" s="422" t="s">
        <v>364</v>
      </c>
      <c r="KH16" s="422" t="s">
        <v>364</v>
      </c>
      <c r="KI16" s="422" t="s">
        <v>364</v>
      </c>
      <c r="KJ16" s="422" t="s">
        <v>364</v>
      </c>
      <c r="KK16" s="422" t="s">
        <v>364</v>
      </c>
      <c r="KL16" s="422" t="s">
        <v>364</v>
      </c>
      <c r="KM16" s="422" t="s">
        <v>364</v>
      </c>
      <c r="KN16" s="422" t="s">
        <v>364</v>
      </c>
      <c r="KO16" s="422" t="s">
        <v>364</v>
      </c>
      <c r="KP16" s="422" t="s">
        <v>364</v>
      </c>
      <c r="KQ16" s="422" t="s">
        <v>364</v>
      </c>
      <c r="KR16" s="422" t="s">
        <v>364</v>
      </c>
      <c r="KS16" s="422" t="s">
        <v>364</v>
      </c>
      <c r="KT16" s="422" t="s">
        <v>364</v>
      </c>
      <c r="KU16" s="422" t="s">
        <v>364</v>
      </c>
      <c r="KV16" s="422" t="s">
        <v>364</v>
      </c>
      <c r="KW16" s="422" t="s">
        <v>364</v>
      </c>
      <c r="KX16" s="422" t="s">
        <v>364</v>
      </c>
      <c r="KY16" s="422" t="s">
        <v>364</v>
      </c>
      <c r="KZ16" s="422" t="s">
        <v>364</v>
      </c>
      <c r="LA16" s="422" t="s">
        <v>364</v>
      </c>
      <c r="LB16" s="422" t="s">
        <v>364</v>
      </c>
      <c r="LC16" s="422" t="s">
        <v>364</v>
      </c>
      <c r="LD16" s="422" t="s">
        <v>364</v>
      </c>
      <c r="LE16" s="422" t="s">
        <v>364</v>
      </c>
      <c r="LF16" s="422" t="s">
        <v>364</v>
      </c>
      <c r="LG16" s="422" t="s">
        <v>364</v>
      </c>
      <c r="LH16" s="422" t="s">
        <v>364</v>
      </c>
      <c r="LI16" s="422">
        <v>118</v>
      </c>
      <c r="LJ16" s="422">
        <v>44</v>
      </c>
      <c r="LK16" s="422">
        <v>59</v>
      </c>
      <c r="LL16" s="422">
        <v>60</v>
      </c>
      <c r="LM16" s="424" t="s">
        <v>364</v>
      </c>
      <c r="LN16" s="424">
        <v>48</v>
      </c>
      <c r="LO16" s="424" t="s">
        <v>364</v>
      </c>
      <c r="LP16" s="424" t="s">
        <v>364</v>
      </c>
      <c r="LQ16" s="424" t="s">
        <v>364</v>
      </c>
      <c r="LR16" s="424">
        <v>48</v>
      </c>
      <c r="LS16" s="424" t="s">
        <v>364</v>
      </c>
      <c r="LT16" s="424" t="s">
        <v>364</v>
      </c>
      <c r="LU16" s="424" t="s">
        <v>364</v>
      </c>
      <c r="LV16" s="424" t="s">
        <v>364</v>
      </c>
      <c r="LW16" s="424" t="s">
        <v>364</v>
      </c>
      <c r="LX16" s="424">
        <f t="shared" si="12"/>
        <v>72</v>
      </c>
      <c r="LY16" s="424" t="s">
        <v>364</v>
      </c>
      <c r="LZ16" s="424" t="s">
        <v>364</v>
      </c>
      <c r="MA16" s="424" t="s">
        <v>364</v>
      </c>
      <c r="MB16" s="424" t="s">
        <v>364</v>
      </c>
      <c r="MC16" s="424" t="s">
        <v>364</v>
      </c>
      <c r="MD16" s="424">
        <v>72</v>
      </c>
      <c r="ME16" s="424">
        <f t="shared" si="1"/>
        <v>0</v>
      </c>
      <c r="MF16" s="424" t="s">
        <v>364</v>
      </c>
      <c r="MG16" s="424" t="s">
        <v>364</v>
      </c>
      <c r="MH16" s="424" t="s">
        <v>364</v>
      </c>
      <c r="MI16" s="424" t="s">
        <v>364</v>
      </c>
      <c r="MJ16" s="424" t="s">
        <v>364</v>
      </c>
      <c r="MK16" s="424" t="s">
        <v>364</v>
      </c>
      <c r="ML16" s="424" t="s">
        <v>364</v>
      </c>
      <c r="MM16" s="424" t="s">
        <v>364</v>
      </c>
      <c r="MN16" s="424" t="s">
        <v>364</v>
      </c>
      <c r="MO16" s="424" t="s">
        <v>364</v>
      </c>
      <c r="MP16" s="424" t="s">
        <v>364</v>
      </c>
      <c r="MQ16" s="424" t="s">
        <v>364</v>
      </c>
      <c r="MR16" s="424" t="s">
        <v>364</v>
      </c>
      <c r="MS16" s="424" t="s">
        <v>364</v>
      </c>
      <c r="MT16" s="424" t="s">
        <v>364</v>
      </c>
      <c r="MU16" s="424" t="s">
        <v>364</v>
      </c>
      <c r="MV16" s="424" t="s">
        <v>364</v>
      </c>
      <c r="MW16" s="424" t="s">
        <v>364</v>
      </c>
      <c r="MX16" s="424">
        <f t="shared" si="13"/>
        <v>0</v>
      </c>
      <c r="MY16" s="424" t="s">
        <v>364</v>
      </c>
      <c r="MZ16" s="424" t="s">
        <v>6598</v>
      </c>
      <c r="NA16" s="424" t="s">
        <v>364</v>
      </c>
      <c r="NB16" s="424" t="s">
        <v>364</v>
      </c>
      <c r="NC16" s="424" t="s">
        <v>364</v>
      </c>
      <c r="ND16" s="424" t="s">
        <v>364</v>
      </c>
      <c r="NE16" s="424" t="s">
        <v>364</v>
      </c>
      <c r="NF16" s="424" t="s">
        <v>364</v>
      </c>
      <c r="NG16" s="424" t="s">
        <v>6598</v>
      </c>
      <c r="NH16" s="424" t="s">
        <v>364</v>
      </c>
      <c r="NI16" s="424" t="s">
        <v>364</v>
      </c>
      <c r="NJ16" s="424" t="s">
        <v>6598</v>
      </c>
      <c r="NK16" s="424">
        <f t="shared" si="2"/>
        <v>0</v>
      </c>
      <c r="NL16" s="424">
        <f t="shared" si="14"/>
        <v>0</v>
      </c>
      <c r="NM16" s="424" t="s">
        <v>364</v>
      </c>
      <c r="NN16" s="424" t="s">
        <v>364</v>
      </c>
      <c r="NO16" s="424" t="s">
        <v>364</v>
      </c>
      <c r="NP16" s="424" t="s">
        <v>364</v>
      </c>
      <c r="NQ16" s="424" t="s">
        <v>364</v>
      </c>
      <c r="NR16" s="424" t="s">
        <v>364</v>
      </c>
      <c r="NS16" s="424" t="s">
        <v>364</v>
      </c>
      <c r="NT16" s="424" t="s">
        <v>364</v>
      </c>
      <c r="NU16" s="424" t="s">
        <v>364</v>
      </c>
      <c r="NV16" s="424" t="s">
        <v>364</v>
      </c>
      <c r="NW16" s="424" t="s">
        <v>364</v>
      </c>
      <c r="NX16" s="424" t="s">
        <v>364</v>
      </c>
      <c r="NY16" s="424" t="s">
        <v>6598</v>
      </c>
      <c r="NZ16" s="424">
        <f t="shared" si="15"/>
        <v>0</v>
      </c>
      <c r="OA16" s="424" t="s">
        <v>364</v>
      </c>
      <c r="OB16" s="424" t="s">
        <v>364</v>
      </c>
      <c r="OC16" s="424" t="s">
        <v>364</v>
      </c>
      <c r="OD16" s="424" t="s">
        <v>364</v>
      </c>
      <c r="OE16" s="424" t="s">
        <v>364</v>
      </c>
      <c r="OF16" s="424" t="s">
        <v>6598</v>
      </c>
      <c r="OG16" s="424" t="s">
        <v>364</v>
      </c>
      <c r="OH16" s="424">
        <f t="shared" si="16"/>
        <v>477</v>
      </c>
      <c r="OI16" s="424">
        <f t="shared" si="17"/>
        <v>160</v>
      </c>
      <c r="OJ16" s="422" t="s">
        <v>364</v>
      </c>
      <c r="OK16" s="422" t="s">
        <v>364</v>
      </c>
      <c r="OL16" s="422">
        <v>40</v>
      </c>
      <c r="OM16" s="422">
        <v>40</v>
      </c>
      <c r="ON16" s="422" t="s">
        <v>364</v>
      </c>
      <c r="OO16" s="422" t="s">
        <v>364</v>
      </c>
      <c r="OP16" s="422" t="s">
        <v>364</v>
      </c>
      <c r="OQ16" s="422" t="s">
        <v>364</v>
      </c>
      <c r="OR16" s="422" t="s">
        <v>364</v>
      </c>
      <c r="OS16" s="422" t="s">
        <v>364</v>
      </c>
      <c r="OT16" s="422" t="s">
        <v>364</v>
      </c>
      <c r="OU16" s="422" t="s">
        <v>364</v>
      </c>
      <c r="OV16" s="422" t="s">
        <v>364</v>
      </c>
      <c r="OW16" s="422" t="s">
        <v>364</v>
      </c>
      <c r="OX16" s="422">
        <v>20</v>
      </c>
      <c r="OY16" s="422" t="s">
        <v>364</v>
      </c>
      <c r="OZ16" s="422">
        <v>60</v>
      </c>
      <c r="PA16" s="422" t="s">
        <v>364</v>
      </c>
      <c r="PB16" s="424">
        <f t="shared" si="18"/>
        <v>317</v>
      </c>
      <c r="PC16" s="422" t="s">
        <v>364</v>
      </c>
      <c r="PD16" s="422" t="s">
        <v>364</v>
      </c>
      <c r="PE16" s="422" t="s">
        <v>364</v>
      </c>
      <c r="PF16" s="422">
        <v>150</v>
      </c>
      <c r="PG16" s="422">
        <v>167</v>
      </c>
      <c r="PH16" s="422" t="s">
        <v>364</v>
      </c>
      <c r="PI16" s="422" t="s">
        <v>364</v>
      </c>
      <c r="PJ16" s="422" t="s">
        <v>364</v>
      </c>
    </row>
    <row r="17" spans="2:426" ht="15.6">
      <c r="B17" s="426" t="s">
        <v>359</v>
      </c>
      <c r="C17" s="422">
        <f t="shared" si="3"/>
        <v>59</v>
      </c>
      <c r="D17" s="422" t="s">
        <v>364</v>
      </c>
      <c r="E17" s="422" t="s">
        <v>364</v>
      </c>
      <c r="F17" s="422" t="s">
        <v>364</v>
      </c>
      <c r="G17" s="422" t="s">
        <v>364</v>
      </c>
      <c r="H17" s="422" t="s">
        <v>364</v>
      </c>
      <c r="I17" s="422" t="s">
        <v>364</v>
      </c>
      <c r="J17" s="422" t="s">
        <v>364</v>
      </c>
      <c r="K17" s="422" t="s">
        <v>364</v>
      </c>
      <c r="L17" s="422" t="s">
        <v>364</v>
      </c>
      <c r="M17" s="422" t="s">
        <v>364</v>
      </c>
      <c r="N17" s="422" t="s">
        <v>364</v>
      </c>
      <c r="O17" s="422" t="s">
        <v>364</v>
      </c>
      <c r="P17" s="422" t="s">
        <v>364</v>
      </c>
      <c r="Q17" s="422" t="s">
        <v>364</v>
      </c>
      <c r="R17" s="422" t="s">
        <v>364</v>
      </c>
      <c r="S17" s="422" t="s">
        <v>364</v>
      </c>
      <c r="T17" s="422" t="s">
        <v>364</v>
      </c>
      <c r="U17" s="422" t="s">
        <v>364</v>
      </c>
      <c r="V17" s="422" t="s">
        <v>364</v>
      </c>
      <c r="W17" s="422" t="s">
        <v>364</v>
      </c>
      <c r="X17" s="422" t="s">
        <v>364</v>
      </c>
      <c r="Y17" s="422" t="s">
        <v>364</v>
      </c>
      <c r="Z17" s="422" t="s">
        <v>364</v>
      </c>
      <c r="AA17" s="422" t="s">
        <v>364</v>
      </c>
      <c r="AB17" s="422" t="s">
        <v>364</v>
      </c>
      <c r="AC17" s="422" t="s">
        <v>364</v>
      </c>
      <c r="AD17" s="422" t="s">
        <v>364</v>
      </c>
      <c r="AE17" s="422" t="s">
        <v>364</v>
      </c>
      <c r="AF17" s="422" t="s">
        <v>364</v>
      </c>
      <c r="AG17" s="422" t="s">
        <v>364</v>
      </c>
      <c r="AH17" s="422" t="s">
        <v>364</v>
      </c>
      <c r="AI17" s="422">
        <v>59</v>
      </c>
      <c r="AJ17" s="422" t="s">
        <v>364</v>
      </c>
      <c r="AK17" s="422" t="s">
        <v>364</v>
      </c>
      <c r="AL17" s="422" t="s">
        <v>364</v>
      </c>
      <c r="AM17" s="422" t="s">
        <v>364</v>
      </c>
      <c r="AN17" s="422" t="s">
        <v>364</v>
      </c>
      <c r="AO17" s="422" t="s">
        <v>364</v>
      </c>
      <c r="AP17" s="422" t="s">
        <v>364</v>
      </c>
      <c r="AQ17" s="422">
        <f t="shared" si="0"/>
        <v>431</v>
      </c>
      <c r="AR17" s="422" t="s">
        <v>364</v>
      </c>
      <c r="AS17" s="422" t="s">
        <v>364</v>
      </c>
      <c r="AT17" s="422" t="s">
        <v>364</v>
      </c>
      <c r="AU17" s="422" t="s">
        <v>364</v>
      </c>
      <c r="AV17" s="422" t="s">
        <v>364</v>
      </c>
      <c r="AW17" s="422" t="s">
        <v>364</v>
      </c>
      <c r="AX17" s="422" t="s">
        <v>364</v>
      </c>
      <c r="AY17" s="422" t="s">
        <v>364</v>
      </c>
      <c r="AZ17" s="422" t="s">
        <v>364</v>
      </c>
      <c r="BA17" s="422" t="s">
        <v>364</v>
      </c>
      <c r="BB17" s="422" t="s">
        <v>364</v>
      </c>
      <c r="BC17" s="422" t="s">
        <v>364</v>
      </c>
      <c r="BD17" s="422" t="s">
        <v>364</v>
      </c>
      <c r="BE17" s="422" t="s">
        <v>364</v>
      </c>
      <c r="BF17" s="422" t="s">
        <v>364</v>
      </c>
      <c r="BG17" s="422" t="s">
        <v>364</v>
      </c>
      <c r="BH17" s="422" t="s">
        <v>364</v>
      </c>
      <c r="BI17" s="422" t="s">
        <v>364</v>
      </c>
      <c r="BJ17" s="422" t="s">
        <v>364</v>
      </c>
      <c r="BK17" s="422" t="s">
        <v>364</v>
      </c>
      <c r="BL17" s="422" t="s">
        <v>364</v>
      </c>
      <c r="BM17" s="422" t="s">
        <v>364</v>
      </c>
      <c r="BN17" s="422" t="s">
        <v>364</v>
      </c>
      <c r="BO17" s="422">
        <v>431</v>
      </c>
      <c r="BP17" s="422" t="s">
        <v>364</v>
      </c>
      <c r="BQ17" s="422" t="s">
        <v>364</v>
      </c>
      <c r="BR17" s="422" t="s">
        <v>364</v>
      </c>
      <c r="BS17" s="422" t="s">
        <v>364</v>
      </c>
      <c r="BT17" s="422" t="s">
        <v>364</v>
      </c>
      <c r="BU17" s="422" t="s">
        <v>364</v>
      </c>
      <c r="BV17" s="422" t="s">
        <v>364</v>
      </c>
      <c r="BW17" s="422" t="s">
        <v>364</v>
      </c>
      <c r="BX17" s="422" t="s">
        <v>364</v>
      </c>
      <c r="BY17" s="422" t="s">
        <v>364</v>
      </c>
      <c r="BZ17" s="422" t="s">
        <v>364</v>
      </c>
      <c r="CA17" s="422" t="s">
        <v>364</v>
      </c>
      <c r="CB17" s="422" t="s">
        <v>364</v>
      </c>
      <c r="CC17" s="422" t="s">
        <v>364</v>
      </c>
      <c r="CD17" s="422" t="s">
        <v>364</v>
      </c>
      <c r="CE17" s="422" t="s">
        <v>364</v>
      </c>
      <c r="CF17" s="422" t="s">
        <v>364</v>
      </c>
      <c r="CG17" s="422" t="s">
        <v>364</v>
      </c>
      <c r="CH17" s="422" t="s">
        <v>364</v>
      </c>
      <c r="CI17" s="422" t="s">
        <v>364</v>
      </c>
      <c r="CJ17" s="422" t="s">
        <v>364</v>
      </c>
      <c r="CK17" s="422" t="s">
        <v>364</v>
      </c>
      <c r="CL17" s="422" t="s">
        <v>364</v>
      </c>
      <c r="CM17" s="422" t="s">
        <v>364</v>
      </c>
      <c r="CN17" s="422" t="s">
        <v>364</v>
      </c>
      <c r="CO17" s="422" t="s">
        <v>364</v>
      </c>
      <c r="CP17" s="422" t="s">
        <v>364</v>
      </c>
      <c r="CQ17" s="422" t="s">
        <v>364</v>
      </c>
      <c r="CR17" s="422" t="s">
        <v>364</v>
      </c>
      <c r="CS17" s="422" t="s">
        <v>364</v>
      </c>
      <c r="CT17" s="422" t="s">
        <v>364</v>
      </c>
      <c r="CU17" s="422" t="s">
        <v>364</v>
      </c>
      <c r="CV17" s="422" t="s">
        <v>364</v>
      </c>
      <c r="CW17" s="422" t="s">
        <v>364</v>
      </c>
      <c r="CX17" s="422" t="s">
        <v>364</v>
      </c>
      <c r="CY17" s="422" t="s">
        <v>364</v>
      </c>
      <c r="CZ17" s="422" t="s">
        <v>364</v>
      </c>
      <c r="DA17" s="422" t="s">
        <v>364</v>
      </c>
      <c r="DB17" s="422" t="s">
        <v>364</v>
      </c>
      <c r="DC17" s="422" t="s">
        <v>364</v>
      </c>
      <c r="DD17" s="422" t="s">
        <v>364</v>
      </c>
      <c r="DE17" s="422" t="s">
        <v>364</v>
      </c>
      <c r="DF17" s="422" t="s">
        <v>364</v>
      </c>
      <c r="DG17" s="422" t="s">
        <v>364</v>
      </c>
      <c r="DH17" s="422" t="s">
        <v>364</v>
      </c>
      <c r="DI17" s="422" t="s">
        <v>364</v>
      </c>
      <c r="DJ17" s="422" t="s">
        <v>364</v>
      </c>
      <c r="DK17" s="422">
        <f t="shared" si="4"/>
        <v>0</v>
      </c>
      <c r="DL17" s="422" t="s">
        <v>364</v>
      </c>
      <c r="DM17" s="422" t="s">
        <v>364</v>
      </c>
      <c r="DN17" s="422" t="s">
        <v>364</v>
      </c>
      <c r="DO17" s="422" t="s">
        <v>364</v>
      </c>
      <c r="DP17" s="422" t="s">
        <v>364</v>
      </c>
      <c r="DQ17" s="422" t="s">
        <v>364</v>
      </c>
      <c r="DR17" s="422" t="s">
        <v>364</v>
      </c>
      <c r="DS17" s="422" t="s">
        <v>364</v>
      </c>
      <c r="DT17" s="422" t="s">
        <v>364</v>
      </c>
      <c r="DU17" s="422" t="s">
        <v>364</v>
      </c>
      <c r="DV17" s="422" t="s">
        <v>364</v>
      </c>
      <c r="DW17" s="422" t="s">
        <v>364</v>
      </c>
      <c r="DX17" s="422" t="s">
        <v>364</v>
      </c>
      <c r="DY17" s="422">
        <f t="shared" si="5"/>
        <v>1120</v>
      </c>
      <c r="DZ17" s="422" t="s">
        <v>364</v>
      </c>
      <c r="EA17" s="422" t="s">
        <v>364</v>
      </c>
      <c r="EB17" s="422" t="s">
        <v>364</v>
      </c>
      <c r="EC17" s="422" t="s">
        <v>364</v>
      </c>
      <c r="ED17" s="422" t="s">
        <v>364</v>
      </c>
      <c r="EE17" s="422" t="s">
        <v>364</v>
      </c>
      <c r="EF17" s="422" t="s">
        <v>364</v>
      </c>
      <c r="EG17" s="422" t="s">
        <v>364</v>
      </c>
      <c r="EH17" s="422" t="s">
        <v>364</v>
      </c>
      <c r="EI17" s="422">
        <v>1020</v>
      </c>
      <c r="EJ17" s="422" t="s">
        <v>364</v>
      </c>
      <c r="EK17" s="422" t="s">
        <v>364</v>
      </c>
      <c r="EL17" s="422" t="s">
        <v>364</v>
      </c>
      <c r="EM17" s="422" t="s">
        <v>364</v>
      </c>
      <c r="EN17" s="422" t="s">
        <v>364</v>
      </c>
      <c r="EO17" s="422" t="s">
        <v>364</v>
      </c>
      <c r="EP17" s="422" t="s">
        <v>364</v>
      </c>
      <c r="EQ17" s="422" t="s">
        <v>364</v>
      </c>
      <c r="ER17" s="422" t="s">
        <v>364</v>
      </c>
      <c r="ES17" s="422" t="s">
        <v>364</v>
      </c>
      <c r="ET17" s="422" t="s">
        <v>364</v>
      </c>
      <c r="EU17" s="422" t="s">
        <v>364</v>
      </c>
      <c r="EV17" s="422" t="s">
        <v>364</v>
      </c>
      <c r="EW17" s="422">
        <v>100</v>
      </c>
      <c r="EX17" s="422" t="s">
        <v>364</v>
      </c>
      <c r="EY17" s="422" t="s">
        <v>364</v>
      </c>
      <c r="EZ17" s="422" t="s">
        <v>364</v>
      </c>
      <c r="FA17" s="422">
        <f t="shared" si="6"/>
        <v>253</v>
      </c>
      <c r="FB17" s="422" t="s">
        <v>364</v>
      </c>
      <c r="FC17" s="422" t="s">
        <v>364</v>
      </c>
      <c r="FD17" s="422" t="s">
        <v>364</v>
      </c>
      <c r="FE17" s="422" t="s">
        <v>364</v>
      </c>
      <c r="FF17" s="422" t="s">
        <v>364</v>
      </c>
      <c r="FG17" s="422" t="s">
        <v>364</v>
      </c>
      <c r="FH17" s="422" t="s">
        <v>364</v>
      </c>
      <c r="FI17" s="422" t="s">
        <v>364</v>
      </c>
      <c r="FJ17" s="422" t="s">
        <v>364</v>
      </c>
      <c r="FK17" s="422" t="s">
        <v>364</v>
      </c>
      <c r="FL17" s="422" t="s">
        <v>364</v>
      </c>
      <c r="FM17" s="422" t="s">
        <v>364</v>
      </c>
      <c r="FN17" s="422" t="s">
        <v>364</v>
      </c>
      <c r="FO17" s="422" t="s">
        <v>364</v>
      </c>
      <c r="FP17" s="422" t="s">
        <v>364</v>
      </c>
      <c r="FQ17" s="422" t="s">
        <v>364</v>
      </c>
      <c r="FR17" s="422" t="s">
        <v>364</v>
      </c>
      <c r="FS17" s="422" t="s">
        <v>364</v>
      </c>
      <c r="FT17" s="422" t="s">
        <v>364</v>
      </c>
      <c r="FU17" s="422" t="s">
        <v>364</v>
      </c>
      <c r="FV17" s="422" t="s">
        <v>364</v>
      </c>
      <c r="FW17" s="422" t="s">
        <v>364</v>
      </c>
      <c r="FX17" s="422" t="s">
        <v>364</v>
      </c>
      <c r="FY17" s="422" t="s">
        <v>364</v>
      </c>
      <c r="FZ17" s="422" t="s">
        <v>364</v>
      </c>
      <c r="GA17" s="422" t="s">
        <v>364</v>
      </c>
      <c r="GB17" s="422" t="s">
        <v>364</v>
      </c>
      <c r="GC17" s="422" t="s">
        <v>364</v>
      </c>
      <c r="GD17" s="422" t="s">
        <v>364</v>
      </c>
      <c r="GE17" s="422" t="s">
        <v>364</v>
      </c>
      <c r="GF17" s="422" t="s">
        <v>364</v>
      </c>
      <c r="GG17" s="422" t="s">
        <v>364</v>
      </c>
      <c r="GH17" s="422" t="s">
        <v>364</v>
      </c>
      <c r="GI17" s="422" t="s">
        <v>364</v>
      </c>
      <c r="GJ17" s="422" t="s">
        <v>364</v>
      </c>
      <c r="GK17" s="422" t="s">
        <v>364</v>
      </c>
      <c r="GL17" s="422" t="s">
        <v>364</v>
      </c>
      <c r="GM17" s="422" t="s">
        <v>364</v>
      </c>
      <c r="GN17" s="422">
        <v>253</v>
      </c>
      <c r="GO17" s="422" t="s">
        <v>364</v>
      </c>
      <c r="GP17" s="422" t="s">
        <v>364</v>
      </c>
      <c r="GQ17" s="422" t="s">
        <v>364</v>
      </c>
      <c r="GR17" s="422" t="s">
        <v>364</v>
      </c>
      <c r="GS17" s="422" t="s">
        <v>364</v>
      </c>
      <c r="GT17" s="422" t="s">
        <v>364</v>
      </c>
      <c r="GU17" s="422" t="s">
        <v>364</v>
      </c>
      <c r="GV17" s="422">
        <f t="shared" si="7"/>
        <v>54</v>
      </c>
      <c r="GW17" s="422" t="s">
        <v>364</v>
      </c>
      <c r="GX17" s="422" t="s">
        <v>364</v>
      </c>
      <c r="GY17" s="422" t="s">
        <v>364</v>
      </c>
      <c r="GZ17" s="422" t="s">
        <v>364</v>
      </c>
      <c r="HA17" s="422" t="s">
        <v>364</v>
      </c>
      <c r="HB17" s="422" t="s">
        <v>364</v>
      </c>
      <c r="HC17" s="422" t="s">
        <v>364</v>
      </c>
      <c r="HD17" s="422" t="s">
        <v>364</v>
      </c>
      <c r="HE17" s="422" t="s">
        <v>364</v>
      </c>
      <c r="HF17" s="422" t="s">
        <v>364</v>
      </c>
      <c r="HG17" s="422" t="s">
        <v>364</v>
      </c>
      <c r="HH17" s="422" t="s">
        <v>364</v>
      </c>
      <c r="HI17" s="422" t="s">
        <v>364</v>
      </c>
      <c r="HJ17" s="422" t="s">
        <v>364</v>
      </c>
      <c r="HK17" s="422" t="s">
        <v>364</v>
      </c>
      <c r="HL17" s="422" t="s">
        <v>364</v>
      </c>
      <c r="HM17" s="422" t="s">
        <v>364</v>
      </c>
      <c r="HN17" s="422" t="s">
        <v>364</v>
      </c>
      <c r="HO17" s="422" t="s">
        <v>364</v>
      </c>
      <c r="HP17" s="422" t="s">
        <v>364</v>
      </c>
      <c r="HQ17" s="422" t="s">
        <v>364</v>
      </c>
      <c r="HR17" s="422" t="s">
        <v>364</v>
      </c>
      <c r="HS17" s="422" t="s">
        <v>364</v>
      </c>
      <c r="HT17" s="422" t="s">
        <v>364</v>
      </c>
      <c r="HU17" s="422" t="s">
        <v>364</v>
      </c>
      <c r="HV17" s="422" t="s">
        <v>364</v>
      </c>
      <c r="HW17" s="422">
        <v>54</v>
      </c>
      <c r="HX17" s="422" t="s">
        <v>364</v>
      </c>
      <c r="HY17" s="422">
        <f t="shared" si="8"/>
        <v>0</v>
      </c>
      <c r="HZ17" s="422" t="s">
        <v>364</v>
      </c>
      <c r="IA17" s="422" t="s">
        <v>364</v>
      </c>
      <c r="IB17" s="422" t="s">
        <v>364</v>
      </c>
      <c r="IC17" s="422" t="s">
        <v>364</v>
      </c>
      <c r="ID17" s="422" t="s">
        <v>364</v>
      </c>
      <c r="IE17" s="422" t="s">
        <v>364</v>
      </c>
      <c r="IF17" s="422">
        <f t="shared" si="9"/>
        <v>0</v>
      </c>
      <c r="IG17" s="422" t="s">
        <v>364</v>
      </c>
      <c r="IH17" s="422" t="s">
        <v>364</v>
      </c>
      <c r="II17" s="422" t="s">
        <v>364</v>
      </c>
      <c r="IJ17" s="422" t="s">
        <v>364</v>
      </c>
      <c r="IK17" s="422" t="s">
        <v>364</v>
      </c>
      <c r="IL17" s="422" t="s">
        <v>364</v>
      </c>
      <c r="IM17" s="422" t="s">
        <v>364</v>
      </c>
      <c r="IN17" s="422" t="s">
        <v>364</v>
      </c>
      <c r="IO17" s="422" t="s">
        <v>364</v>
      </c>
      <c r="IP17" s="422" t="s">
        <v>364</v>
      </c>
      <c r="IQ17" s="422" t="s">
        <v>364</v>
      </c>
      <c r="IR17" s="422" t="s">
        <v>364</v>
      </c>
      <c r="IS17" s="422" t="s">
        <v>364</v>
      </c>
      <c r="IT17" s="422" t="s">
        <v>364</v>
      </c>
      <c r="IU17" s="422" t="s">
        <v>364</v>
      </c>
      <c r="IV17" s="422" t="s">
        <v>364</v>
      </c>
      <c r="IW17" s="422" t="s">
        <v>364</v>
      </c>
      <c r="IX17" s="422" t="s">
        <v>364</v>
      </c>
      <c r="IY17" s="422" t="s">
        <v>364</v>
      </c>
      <c r="IZ17" s="422">
        <f t="shared" si="10"/>
        <v>0</v>
      </c>
      <c r="JA17" s="422" t="s">
        <v>364</v>
      </c>
      <c r="JB17" s="422" t="s">
        <v>364</v>
      </c>
      <c r="JC17" s="422" t="s">
        <v>364</v>
      </c>
      <c r="JD17" s="422" t="s">
        <v>364</v>
      </c>
      <c r="JE17" s="422" t="s">
        <v>364</v>
      </c>
      <c r="JF17" s="422" t="s">
        <v>364</v>
      </c>
      <c r="JG17" s="422" t="s">
        <v>364</v>
      </c>
      <c r="JH17" s="422" t="s">
        <v>364</v>
      </c>
      <c r="JI17" s="422" t="s">
        <v>364</v>
      </c>
      <c r="JJ17" s="422" t="s">
        <v>364</v>
      </c>
      <c r="JK17" s="422" t="s">
        <v>364</v>
      </c>
      <c r="JL17" s="422" t="s">
        <v>364</v>
      </c>
      <c r="JM17" s="422" t="s">
        <v>364</v>
      </c>
      <c r="JN17" s="422" t="s">
        <v>364</v>
      </c>
      <c r="JO17" s="422" t="s">
        <v>364</v>
      </c>
      <c r="JP17" s="422" t="s">
        <v>364</v>
      </c>
      <c r="JQ17" s="422" t="s">
        <v>364</v>
      </c>
      <c r="JR17" s="422" t="s">
        <v>364</v>
      </c>
      <c r="JS17" s="422" t="s">
        <v>364</v>
      </c>
      <c r="JT17" s="422" t="s">
        <v>364</v>
      </c>
      <c r="JU17" s="422" t="s">
        <v>364</v>
      </c>
      <c r="JV17" s="422" t="s">
        <v>364</v>
      </c>
      <c r="JW17" s="422">
        <f t="shared" si="11"/>
        <v>68</v>
      </c>
      <c r="JX17" s="422" t="s">
        <v>364</v>
      </c>
      <c r="JY17" s="422" t="s">
        <v>364</v>
      </c>
      <c r="JZ17" s="422" t="s">
        <v>364</v>
      </c>
      <c r="KA17" s="422" t="s">
        <v>364</v>
      </c>
      <c r="KB17" s="422" t="s">
        <v>364</v>
      </c>
      <c r="KC17" s="422">
        <v>44</v>
      </c>
      <c r="KD17" s="422" t="s">
        <v>364</v>
      </c>
      <c r="KE17" s="422" t="s">
        <v>364</v>
      </c>
      <c r="KF17" s="422" t="s">
        <v>364</v>
      </c>
      <c r="KG17" s="422" t="s">
        <v>364</v>
      </c>
      <c r="KH17" s="422" t="s">
        <v>364</v>
      </c>
      <c r="KI17" s="422" t="s">
        <v>364</v>
      </c>
      <c r="KJ17" s="422" t="s">
        <v>364</v>
      </c>
      <c r="KK17" s="422" t="s">
        <v>364</v>
      </c>
      <c r="KL17" s="422" t="s">
        <v>364</v>
      </c>
      <c r="KM17" s="422" t="s">
        <v>364</v>
      </c>
      <c r="KN17" s="422" t="s">
        <v>364</v>
      </c>
      <c r="KO17" s="422" t="s">
        <v>364</v>
      </c>
      <c r="KP17" s="422" t="s">
        <v>364</v>
      </c>
      <c r="KQ17" s="422" t="s">
        <v>364</v>
      </c>
      <c r="KR17" s="422">
        <v>24</v>
      </c>
      <c r="KS17" s="422" t="s">
        <v>364</v>
      </c>
      <c r="KT17" s="422" t="s">
        <v>364</v>
      </c>
      <c r="KU17" s="422" t="s">
        <v>364</v>
      </c>
      <c r="KV17" s="422" t="s">
        <v>364</v>
      </c>
      <c r="KW17" s="422" t="s">
        <v>364</v>
      </c>
      <c r="KX17" s="422" t="s">
        <v>364</v>
      </c>
      <c r="KY17" s="422" t="s">
        <v>364</v>
      </c>
      <c r="KZ17" s="422" t="s">
        <v>364</v>
      </c>
      <c r="LA17" s="422" t="s">
        <v>364</v>
      </c>
      <c r="LB17" s="422" t="s">
        <v>364</v>
      </c>
      <c r="LC17" s="422" t="s">
        <v>364</v>
      </c>
      <c r="LD17" s="422" t="s">
        <v>364</v>
      </c>
      <c r="LE17" s="422" t="s">
        <v>364</v>
      </c>
      <c r="LF17" s="422" t="s">
        <v>364</v>
      </c>
      <c r="LG17" s="422" t="s">
        <v>364</v>
      </c>
      <c r="LH17" s="422" t="s">
        <v>364</v>
      </c>
      <c r="LI17" s="422" t="s">
        <v>364</v>
      </c>
      <c r="LJ17" s="422" t="s">
        <v>364</v>
      </c>
      <c r="LK17" s="422" t="s">
        <v>364</v>
      </c>
      <c r="LL17" s="422" t="s">
        <v>364</v>
      </c>
      <c r="LM17" s="424" t="s">
        <v>364</v>
      </c>
      <c r="LN17" s="424">
        <v>0</v>
      </c>
      <c r="LO17" s="424" t="s">
        <v>364</v>
      </c>
      <c r="LP17" s="424" t="s">
        <v>364</v>
      </c>
      <c r="LQ17" s="424" t="s">
        <v>364</v>
      </c>
      <c r="LR17" s="424" t="s">
        <v>364</v>
      </c>
      <c r="LS17" s="424" t="s">
        <v>364</v>
      </c>
      <c r="LT17" s="424" t="s">
        <v>364</v>
      </c>
      <c r="LU17" s="424" t="s">
        <v>364</v>
      </c>
      <c r="LV17" s="424" t="s">
        <v>364</v>
      </c>
      <c r="LW17" s="424" t="s">
        <v>364</v>
      </c>
      <c r="LX17" s="424">
        <f t="shared" si="12"/>
        <v>0</v>
      </c>
      <c r="LY17" s="424" t="s">
        <v>364</v>
      </c>
      <c r="LZ17" s="424" t="s">
        <v>364</v>
      </c>
      <c r="MA17" s="424" t="s">
        <v>364</v>
      </c>
      <c r="MB17" s="424" t="s">
        <v>364</v>
      </c>
      <c r="MC17" s="424" t="s">
        <v>364</v>
      </c>
      <c r="MD17" s="424" t="s">
        <v>364</v>
      </c>
      <c r="ME17" s="424">
        <f t="shared" si="1"/>
        <v>0</v>
      </c>
      <c r="MF17" s="424" t="s">
        <v>364</v>
      </c>
      <c r="MG17" s="424" t="s">
        <v>364</v>
      </c>
      <c r="MH17" s="424" t="s">
        <v>364</v>
      </c>
      <c r="MI17" s="424" t="s">
        <v>364</v>
      </c>
      <c r="MJ17" s="424" t="s">
        <v>364</v>
      </c>
      <c r="MK17" s="424" t="s">
        <v>364</v>
      </c>
      <c r="ML17" s="424" t="s">
        <v>364</v>
      </c>
      <c r="MM17" s="424" t="s">
        <v>364</v>
      </c>
      <c r="MN17" s="424" t="s">
        <v>364</v>
      </c>
      <c r="MO17" s="424" t="s">
        <v>364</v>
      </c>
      <c r="MP17" s="424" t="s">
        <v>364</v>
      </c>
      <c r="MQ17" s="424" t="s">
        <v>364</v>
      </c>
      <c r="MR17" s="424" t="s">
        <v>364</v>
      </c>
      <c r="MS17" s="424" t="s">
        <v>364</v>
      </c>
      <c r="MT17" s="424" t="s">
        <v>364</v>
      </c>
      <c r="MU17" s="424" t="s">
        <v>364</v>
      </c>
      <c r="MV17" s="424" t="s">
        <v>364</v>
      </c>
      <c r="MW17" s="424" t="s">
        <v>364</v>
      </c>
      <c r="MX17" s="424">
        <f t="shared" si="13"/>
        <v>0</v>
      </c>
      <c r="MY17" s="424" t="s">
        <v>364</v>
      </c>
      <c r="MZ17" s="424" t="s">
        <v>364</v>
      </c>
      <c r="NA17" s="424" t="s">
        <v>364</v>
      </c>
      <c r="NB17" s="424" t="s">
        <v>364</v>
      </c>
      <c r="NC17" s="424" t="s">
        <v>364</v>
      </c>
      <c r="ND17" s="424" t="s">
        <v>364</v>
      </c>
      <c r="NE17" s="424" t="s">
        <v>364</v>
      </c>
      <c r="NF17" s="424" t="s">
        <v>6598</v>
      </c>
      <c r="NG17" s="424" t="s">
        <v>364</v>
      </c>
      <c r="NH17" s="424" t="s">
        <v>364</v>
      </c>
      <c r="NI17" s="424" t="s">
        <v>364</v>
      </c>
      <c r="NJ17" s="424" t="s">
        <v>364</v>
      </c>
      <c r="NK17" s="424">
        <f t="shared" si="2"/>
        <v>0</v>
      </c>
      <c r="NL17" s="424">
        <f t="shared" si="14"/>
        <v>0</v>
      </c>
      <c r="NM17" s="424" t="s">
        <v>364</v>
      </c>
      <c r="NN17" s="424" t="s">
        <v>364</v>
      </c>
      <c r="NO17" s="424" t="s">
        <v>364</v>
      </c>
      <c r="NP17" s="424" t="s">
        <v>364</v>
      </c>
      <c r="NQ17" s="424" t="s">
        <v>364</v>
      </c>
      <c r="NR17" s="424" t="s">
        <v>364</v>
      </c>
      <c r="NS17" s="424" t="s">
        <v>364</v>
      </c>
      <c r="NT17" s="424" t="s">
        <v>364</v>
      </c>
      <c r="NU17" s="424" t="s">
        <v>364</v>
      </c>
      <c r="NV17" s="424" t="s">
        <v>364</v>
      </c>
      <c r="NW17" s="424" t="s">
        <v>364</v>
      </c>
      <c r="NX17" s="424" t="s">
        <v>364</v>
      </c>
      <c r="NY17" s="424" t="s">
        <v>364</v>
      </c>
      <c r="NZ17" s="424">
        <f t="shared" si="15"/>
        <v>0</v>
      </c>
      <c r="OA17" s="424" t="s">
        <v>364</v>
      </c>
      <c r="OB17" s="424" t="s">
        <v>364</v>
      </c>
      <c r="OC17" s="424" t="s">
        <v>364</v>
      </c>
      <c r="OD17" s="424" t="s">
        <v>364</v>
      </c>
      <c r="OE17" s="424" t="s">
        <v>364</v>
      </c>
      <c r="OF17" s="424" t="s">
        <v>364</v>
      </c>
      <c r="OG17" s="424" t="s">
        <v>364</v>
      </c>
      <c r="OH17" s="424">
        <f t="shared" si="16"/>
        <v>0</v>
      </c>
      <c r="OI17" s="424">
        <f t="shared" si="17"/>
        <v>0</v>
      </c>
      <c r="OJ17" s="422" t="s">
        <v>364</v>
      </c>
      <c r="OK17" s="422" t="s">
        <v>364</v>
      </c>
      <c r="OL17" s="422" t="s">
        <v>364</v>
      </c>
      <c r="OM17" s="422" t="s">
        <v>364</v>
      </c>
      <c r="ON17" s="422" t="s">
        <v>364</v>
      </c>
      <c r="OO17" s="422" t="s">
        <v>364</v>
      </c>
      <c r="OP17" s="422" t="s">
        <v>364</v>
      </c>
      <c r="OQ17" s="422" t="s">
        <v>364</v>
      </c>
      <c r="OR17" s="422" t="s">
        <v>364</v>
      </c>
      <c r="OS17" s="422" t="s">
        <v>364</v>
      </c>
      <c r="OT17" s="422" t="s">
        <v>364</v>
      </c>
      <c r="OU17" s="422" t="s">
        <v>364</v>
      </c>
      <c r="OV17" s="422" t="s">
        <v>364</v>
      </c>
      <c r="OW17" s="422" t="s">
        <v>364</v>
      </c>
      <c r="OX17" s="422" t="s">
        <v>364</v>
      </c>
      <c r="OY17" s="422" t="s">
        <v>364</v>
      </c>
      <c r="OZ17" s="422" t="s">
        <v>364</v>
      </c>
      <c r="PA17" s="422" t="s">
        <v>364</v>
      </c>
      <c r="PB17" s="424">
        <f t="shared" si="18"/>
        <v>0</v>
      </c>
      <c r="PC17" s="422" t="s">
        <v>364</v>
      </c>
      <c r="PD17" s="422" t="s">
        <v>364</v>
      </c>
      <c r="PE17" s="422" t="s">
        <v>364</v>
      </c>
      <c r="PF17" s="422" t="s">
        <v>364</v>
      </c>
      <c r="PG17" s="422" t="s">
        <v>364</v>
      </c>
      <c r="PH17" s="422" t="s">
        <v>364</v>
      </c>
      <c r="PI17" s="422" t="s">
        <v>364</v>
      </c>
      <c r="PJ17" s="422" t="s">
        <v>364</v>
      </c>
    </row>
    <row r="18" spans="2:426" ht="15.6">
      <c r="B18" s="426" t="s">
        <v>2204</v>
      </c>
      <c r="C18" s="422">
        <f t="shared" si="3"/>
        <v>150</v>
      </c>
      <c r="D18" s="422" t="s">
        <v>364</v>
      </c>
      <c r="E18" s="422" t="s">
        <v>364</v>
      </c>
      <c r="F18" s="422" t="s">
        <v>364</v>
      </c>
      <c r="G18" s="422" t="s">
        <v>364</v>
      </c>
      <c r="H18" s="422" t="s">
        <v>364</v>
      </c>
      <c r="I18" s="422" t="s">
        <v>364</v>
      </c>
      <c r="J18" s="422" t="s">
        <v>364</v>
      </c>
      <c r="K18" s="422" t="s">
        <v>364</v>
      </c>
      <c r="L18" s="422" t="s">
        <v>364</v>
      </c>
      <c r="M18" s="422" t="s">
        <v>364</v>
      </c>
      <c r="N18" s="422" t="s">
        <v>364</v>
      </c>
      <c r="O18" s="422" t="s">
        <v>364</v>
      </c>
      <c r="P18" s="422" t="s">
        <v>364</v>
      </c>
      <c r="Q18" s="422" t="s">
        <v>364</v>
      </c>
      <c r="R18" s="422" t="s">
        <v>364</v>
      </c>
      <c r="S18" s="422" t="s">
        <v>364</v>
      </c>
      <c r="T18" s="422">
        <v>150</v>
      </c>
      <c r="U18" s="422" t="s">
        <v>364</v>
      </c>
      <c r="V18" s="422" t="s">
        <v>364</v>
      </c>
      <c r="W18" s="422" t="s">
        <v>364</v>
      </c>
      <c r="X18" s="422" t="s">
        <v>364</v>
      </c>
      <c r="Y18" s="422" t="s">
        <v>364</v>
      </c>
      <c r="Z18" s="422" t="s">
        <v>364</v>
      </c>
      <c r="AA18" s="422" t="s">
        <v>364</v>
      </c>
      <c r="AB18" s="422" t="s">
        <v>364</v>
      </c>
      <c r="AC18" s="422" t="s">
        <v>364</v>
      </c>
      <c r="AD18" s="422" t="s">
        <v>364</v>
      </c>
      <c r="AE18" s="422" t="s">
        <v>364</v>
      </c>
      <c r="AF18" s="422" t="s">
        <v>364</v>
      </c>
      <c r="AG18" s="422" t="s">
        <v>364</v>
      </c>
      <c r="AH18" s="422" t="s">
        <v>364</v>
      </c>
      <c r="AI18" s="422" t="s">
        <v>364</v>
      </c>
      <c r="AJ18" s="422" t="s">
        <v>364</v>
      </c>
      <c r="AK18" s="422" t="s">
        <v>364</v>
      </c>
      <c r="AL18" s="422" t="s">
        <v>364</v>
      </c>
      <c r="AM18" s="422" t="s">
        <v>364</v>
      </c>
      <c r="AN18" s="422" t="s">
        <v>364</v>
      </c>
      <c r="AO18" s="422" t="s">
        <v>364</v>
      </c>
      <c r="AP18" s="422" t="s">
        <v>364</v>
      </c>
      <c r="AQ18" s="422">
        <f t="shared" si="0"/>
        <v>346</v>
      </c>
      <c r="AR18" s="422" t="s">
        <v>364</v>
      </c>
      <c r="AS18" s="422">
        <v>148</v>
      </c>
      <c r="AT18" s="422" t="s">
        <v>364</v>
      </c>
      <c r="AU18" s="422" t="s">
        <v>364</v>
      </c>
      <c r="AV18" s="422" t="s">
        <v>364</v>
      </c>
      <c r="AW18" s="422" t="s">
        <v>364</v>
      </c>
      <c r="AX18" s="422" t="s">
        <v>364</v>
      </c>
      <c r="AY18" s="422" t="s">
        <v>364</v>
      </c>
      <c r="AZ18" s="422" t="s">
        <v>364</v>
      </c>
      <c r="BA18" s="422" t="s">
        <v>364</v>
      </c>
      <c r="BB18" s="422" t="s">
        <v>364</v>
      </c>
      <c r="BC18" s="422" t="s">
        <v>364</v>
      </c>
      <c r="BD18" s="422" t="s">
        <v>364</v>
      </c>
      <c r="BE18" s="422" t="s">
        <v>364</v>
      </c>
      <c r="BF18" s="422" t="s">
        <v>364</v>
      </c>
      <c r="BG18" s="422" t="s">
        <v>364</v>
      </c>
      <c r="BH18" s="422" t="s">
        <v>364</v>
      </c>
      <c r="BI18" s="422" t="s">
        <v>364</v>
      </c>
      <c r="BJ18" s="422" t="s">
        <v>364</v>
      </c>
      <c r="BK18" s="422" t="s">
        <v>364</v>
      </c>
      <c r="BL18" s="422" t="s">
        <v>364</v>
      </c>
      <c r="BM18" s="422" t="s">
        <v>364</v>
      </c>
      <c r="BN18" s="422" t="s">
        <v>364</v>
      </c>
      <c r="BO18" s="422" t="s">
        <v>364</v>
      </c>
      <c r="BP18" s="422" t="s">
        <v>364</v>
      </c>
      <c r="BQ18" s="422" t="s">
        <v>364</v>
      </c>
      <c r="BR18" s="422" t="s">
        <v>364</v>
      </c>
      <c r="BS18" s="422" t="s">
        <v>364</v>
      </c>
      <c r="BT18" s="422" t="s">
        <v>364</v>
      </c>
      <c r="BU18" s="422" t="s">
        <v>364</v>
      </c>
      <c r="BV18" s="422" t="s">
        <v>364</v>
      </c>
      <c r="BW18" s="422" t="s">
        <v>364</v>
      </c>
      <c r="BX18" s="422" t="s">
        <v>364</v>
      </c>
      <c r="BY18" s="422" t="s">
        <v>364</v>
      </c>
      <c r="BZ18" s="422" t="s">
        <v>364</v>
      </c>
      <c r="CA18" s="422" t="s">
        <v>364</v>
      </c>
      <c r="CB18" s="422">
        <v>198</v>
      </c>
      <c r="CC18" s="422" t="s">
        <v>364</v>
      </c>
      <c r="CD18" s="422" t="s">
        <v>364</v>
      </c>
      <c r="CE18" s="422" t="s">
        <v>364</v>
      </c>
      <c r="CF18" s="422" t="s">
        <v>364</v>
      </c>
      <c r="CG18" s="422" t="s">
        <v>364</v>
      </c>
      <c r="CH18" s="422" t="s">
        <v>364</v>
      </c>
      <c r="CI18" s="422" t="s">
        <v>364</v>
      </c>
      <c r="CJ18" s="422" t="s">
        <v>364</v>
      </c>
      <c r="CK18" s="422" t="s">
        <v>364</v>
      </c>
      <c r="CL18" s="422" t="s">
        <v>364</v>
      </c>
      <c r="CM18" s="422" t="s">
        <v>364</v>
      </c>
      <c r="CN18" s="422" t="s">
        <v>364</v>
      </c>
      <c r="CO18" s="422" t="s">
        <v>364</v>
      </c>
      <c r="CP18" s="422" t="s">
        <v>364</v>
      </c>
      <c r="CQ18" s="422" t="s">
        <v>364</v>
      </c>
      <c r="CR18" s="422" t="s">
        <v>364</v>
      </c>
      <c r="CS18" s="422" t="s">
        <v>364</v>
      </c>
      <c r="CT18" s="422" t="s">
        <v>364</v>
      </c>
      <c r="CU18" s="422" t="s">
        <v>364</v>
      </c>
      <c r="CV18" s="422" t="s">
        <v>364</v>
      </c>
      <c r="CW18" s="422" t="s">
        <v>364</v>
      </c>
      <c r="CX18" s="422" t="s">
        <v>364</v>
      </c>
      <c r="CY18" s="422" t="s">
        <v>364</v>
      </c>
      <c r="CZ18" s="422" t="s">
        <v>364</v>
      </c>
      <c r="DA18" s="422" t="s">
        <v>364</v>
      </c>
      <c r="DB18" s="422" t="s">
        <v>364</v>
      </c>
      <c r="DC18" s="422" t="s">
        <v>364</v>
      </c>
      <c r="DD18" s="422" t="s">
        <v>364</v>
      </c>
      <c r="DE18" s="422" t="s">
        <v>364</v>
      </c>
      <c r="DF18" s="422" t="s">
        <v>364</v>
      </c>
      <c r="DG18" s="422" t="s">
        <v>364</v>
      </c>
      <c r="DH18" s="422" t="s">
        <v>364</v>
      </c>
      <c r="DI18" s="422" t="s">
        <v>364</v>
      </c>
      <c r="DJ18" s="422" t="s">
        <v>364</v>
      </c>
      <c r="DK18" s="422">
        <f t="shared" si="4"/>
        <v>33</v>
      </c>
      <c r="DL18" s="422" t="s">
        <v>364</v>
      </c>
      <c r="DM18" s="422" t="s">
        <v>364</v>
      </c>
      <c r="DN18" s="422" t="s">
        <v>364</v>
      </c>
      <c r="DO18" s="422" t="s">
        <v>364</v>
      </c>
      <c r="DP18" s="422" t="s">
        <v>364</v>
      </c>
      <c r="DQ18" s="422" t="s">
        <v>364</v>
      </c>
      <c r="DR18" s="422" t="s">
        <v>364</v>
      </c>
      <c r="DS18" s="422" t="s">
        <v>364</v>
      </c>
      <c r="DT18" s="422" t="s">
        <v>364</v>
      </c>
      <c r="DU18" s="422" t="s">
        <v>364</v>
      </c>
      <c r="DV18" s="422" t="s">
        <v>364</v>
      </c>
      <c r="DW18" s="422" t="s">
        <v>364</v>
      </c>
      <c r="DX18" s="422">
        <v>33</v>
      </c>
      <c r="DY18" s="422">
        <f t="shared" si="5"/>
        <v>1884</v>
      </c>
      <c r="DZ18" s="422">
        <v>1868</v>
      </c>
      <c r="EA18" s="422">
        <v>16</v>
      </c>
      <c r="EB18" s="422" t="s">
        <v>364</v>
      </c>
      <c r="EC18" s="422" t="s">
        <v>364</v>
      </c>
      <c r="ED18" s="422" t="s">
        <v>364</v>
      </c>
      <c r="EE18" s="422" t="s">
        <v>364</v>
      </c>
      <c r="EF18" s="422" t="s">
        <v>364</v>
      </c>
      <c r="EG18" s="422" t="s">
        <v>364</v>
      </c>
      <c r="EH18" s="422" t="s">
        <v>364</v>
      </c>
      <c r="EI18" s="422" t="s">
        <v>364</v>
      </c>
      <c r="EJ18" s="422" t="s">
        <v>364</v>
      </c>
      <c r="EK18" s="422" t="s">
        <v>364</v>
      </c>
      <c r="EL18" s="422" t="s">
        <v>364</v>
      </c>
      <c r="EM18" s="422" t="s">
        <v>364</v>
      </c>
      <c r="EN18" s="422" t="s">
        <v>364</v>
      </c>
      <c r="EO18" s="422" t="s">
        <v>364</v>
      </c>
      <c r="EP18" s="422" t="s">
        <v>364</v>
      </c>
      <c r="EQ18" s="422" t="s">
        <v>364</v>
      </c>
      <c r="ER18" s="422" t="s">
        <v>364</v>
      </c>
      <c r="ES18" s="422" t="s">
        <v>364</v>
      </c>
      <c r="ET18" s="422" t="s">
        <v>364</v>
      </c>
      <c r="EU18" s="422" t="s">
        <v>364</v>
      </c>
      <c r="EV18" s="422" t="s">
        <v>364</v>
      </c>
      <c r="EW18" s="422" t="s">
        <v>364</v>
      </c>
      <c r="EX18" s="422" t="s">
        <v>364</v>
      </c>
      <c r="EY18" s="422" t="s">
        <v>364</v>
      </c>
      <c r="EZ18" s="422" t="s">
        <v>364</v>
      </c>
      <c r="FA18" s="422">
        <f t="shared" si="6"/>
        <v>426</v>
      </c>
      <c r="FB18" s="422" t="s">
        <v>364</v>
      </c>
      <c r="FC18" s="422" t="s">
        <v>364</v>
      </c>
      <c r="FD18" s="422" t="s">
        <v>364</v>
      </c>
      <c r="FE18" s="422" t="s">
        <v>364</v>
      </c>
      <c r="FF18" s="422" t="s">
        <v>364</v>
      </c>
      <c r="FG18" s="422" t="s">
        <v>364</v>
      </c>
      <c r="FH18" s="422" t="s">
        <v>364</v>
      </c>
      <c r="FI18" s="422" t="s">
        <v>364</v>
      </c>
      <c r="FJ18" s="422">
        <v>165</v>
      </c>
      <c r="FK18" s="422">
        <v>261</v>
      </c>
      <c r="FL18" s="422" t="s">
        <v>364</v>
      </c>
      <c r="FM18" s="422" t="s">
        <v>364</v>
      </c>
      <c r="FN18" s="422" t="s">
        <v>364</v>
      </c>
      <c r="FO18" s="422" t="s">
        <v>364</v>
      </c>
      <c r="FP18" s="422" t="s">
        <v>364</v>
      </c>
      <c r="FQ18" s="422" t="s">
        <v>364</v>
      </c>
      <c r="FR18" s="422" t="s">
        <v>364</v>
      </c>
      <c r="FS18" s="422" t="s">
        <v>364</v>
      </c>
      <c r="FT18" s="422" t="s">
        <v>364</v>
      </c>
      <c r="FU18" s="422" t="s">
        <v>364</v>
      </c>
      <c r="FV18" s="422" t="s">
        <v>364</v>
      </c>
      <c r="FW18" s="422" t="s">
        <v>364</v>
      </c>
      <c r="FX18" s="422" t="s">
        <v>364</v>
      </c>
      <c r="FY18" s="422" t="s">
        <v>364</v>
      </c>
      <c r="FZ18" s="422" t="s">
        <v>364</v>
      </c>
      <c r="GA18" s="422" t="s">
        <v>364</v>
      </c>
      <c r="GB18" s="422" t="s">
        <v>364</v>
      </c>
      <c r="GC18" s="422" t="s">
        <v>364</v>
      </c>
      <c r="GD18" s="422" t="s">
        <v>364</v>
      </c>
      <c r="GE18" s="422" t="s">
        <v>364</v>
      </c>
      <c r="GF18" s="422" t="s">
        <v>364</v>
      </c>
      <c r="GG18" s="422" t="s">
        <v>364</v>
      </c>
      <c r="GH18" s="422" t="s">
        <v>364</v>
      </c>
      <c r="GI18" s="422" t="s">
        <v>364</v>
      </c>
      <c r="GJ18" s="422" t="s">
        <v>364</v>
      </c>
      <c r="GK18" s="422" t="s">
        <v>364</v>
      </c>
      <c r="GL18" s="422" t="s">
        <v>364</v>
      </c>
      <c r="GM18" s="422" t="s">
        <v>364</v>
      </c>
      <c r="GN18" s="422" t="s">
        <v>364</v>
      </c>
      <c r="GO18" s="422" t="s">
        <v>364</v>
      </c>
      <c r="GP18" s="422" t="s">
        <v>364</v>
      </c>
      <c r="GQ18" s="422" t="s">
        <v>364</v>
      </c>
      <c r="GR18" s="422" t="s">
        <v>364</v>
      </c>
      <c r="GS18" s="422" t="s">
        <v>364</v>
      </c>
      <c r="GT18" s="422" t="s">
        <v>364</v>
      </c>
      <c r="GU18" s="422" t="s">
        <v>364</v>
      </c>
      <c r="GV18" s="422">
        <f t="shared" si="7"/>
        <v>233</v>
      </c>
      <c r="GW18" s="422" t="s">
        <v>364</v>
      </c>
      <c r="GX18" s="422" t="s">
        <v>364</v>
      </c>
      <c r="GY18" s="422" t="s">
        <v>364</v>
      </c>
      <c r="GZ18" s="422">
        <v>70</v>
      </c>
      <c r="HA18" s="422" t="s">
        <v>364</v>
      </c>
      <c r="HB18" s="422" t="s">
        <v>364</v>
      </c>
      <c r="HC18" s="422" t="s">
        <v>364</v>
      </c>
      <c r="HD18" s="422" t="s">
        <v>364</v>
      </c>
      <c r="HE18" s="422" t="s">
        <v>364</v>
      </c>
      <c r="HF18" s="422" t="s">
        <v>364</v>
      </c>
      <c r="HG18" s="422" t="s">
        <v>364</v>
      </c>
      <c r="HH18" s="422">
        <v>163</v>
      </c>
      <c r="HI18" s="422" t="s">
        <v>364</v>
      </c>
      <c r="HJ18" s="422" t="s">
        <v>364</v>
      </c>
      <c r="HK18" s="422" t="s">
        <v>364</v>
      </c>
      <c r="HL18" s="422" t="s">
        <v>364</v>
      </c>
      <c r="HM18" s="422" t="s">
        <v>364</v>
      </c>
      <c r="HN18" s="422" t="s">
        <v>364</v>
      </c>
      <c r="HO18" s="422" t="s">
        <v>364</v>
      </c>
      <c r="HP18" s="422" t="s">
        <v>364</v>
      </c>
      <c r="HQ18" s="422" t="s">
        <v>364</v>
      </c>
      <c r="HR18" s="422" t="s">
        <v>364</v>
      </c>
      <c r="HS18" s="422" t="s">
        <v>364</v>
      </c>
      <c r="HT18" s="422" t="s">
        <v>364</v>
      </c>
      <c r="HU18" s="422" t="s">
        <v>364</v>
      </c>
      <c r="HV18" s="422" t="s">
        <v>364</v>
      </c>
      <c r="HW18" s="422" t="s">
        <v>364</v>
      </c>
      <c r="HX18" s="422" t="s">
        <v>364</v>
      </c>
      <c r="HY18" s="422">
        <f t="shared" si="8"/>
        <v>0</v>
      </c>
      <c r="HZ18" s="422" t="s">
        <v>364</v>
      </c>
      <c r="IA18" s="422" t="s">
        <v>364</v>
      </c>
      <c r="IB18" s="422" t="s">
        <v>364</v>
      </c>
      <c r="IC18" s="422" t="s">
        <v>364</v>
      </c>
      <c r="ID18" s="422" t="s">
        <v>364</v>
      </c>
      <c r="IE18" s="422" t="s">
        <v>364</v>
      </c>
      <c r="IF18" s="422">
        <f t="shared" si="9"/>
        <v>22</v>
      </c>
      <c r="IG18" s="422" t="s">
        <v>364</v>
      </c>
      <c r="IH18" s="422" t="s">
        <v>364</v>
      </c>
      <c r="II18" s="422" t="s">
        <v>364</v>
      </c>
      <c r="IJ18" s="422" t="s">
        <v>364</v>
      </c>
      <c r="IK18" s="422">
        <v>22</v>
      </c>
      <c r="IL18" s="422" t="s">
        <v>364</v>
      </c>
      <c r="IM18" s="422" t="s">
        <v>364</v>
      </c>
      <c r="IN18" s="422" t="s">
        <v>364</v>
      </c>
      <c r="IO18" s="422" t="s">
        <v>364</v>
      </c>
      <c r="IP18" s="422" t="s">
        <v>364</v>
      </c>
      <c r="IQ18" s="422" t="s">
        <v>364</v>
      </c>
      <c r="IR18" s="422" t="s">
        <v>364</v>
      </c>
      <c r="IS18" s="422" t="s">
        <v>364</v>
      </c>
      <c r="IT18" s="422" t="s">
        <v>364</v>
      </c>
      <c r="IU18" s="422" t="s">
        <v>364</v>
      </c>
      <c r="IV18" s="422" t="s">
        <v>364</v>
      </c>
      <c r="IW18" s="422" t="s">
        <v>364</v>
      </c>
      <c r="IX18" s="422" t="s">
        <v>364</v>
      </c>
      <c r="IY18" s="422" t="s">
        <v>364</v>
      </c>
      <c r="IZ18" s="422">
        <f t="shared" si="10"/>
        <v>94</v>
      </c>
      <c r="JA18" s="422">
        <v>94</v>
      </c>
      <c r="JB18" s="422" t="s">
        <v>364</v>
      </c>
      <c r="JC18" s="422" t="s">
        <v>364</v>
      </c>
      <c r="JD18" s="422" t="s">
        <v>364</v>
      </c>
      <c r="JE18" s="422" t="s">
        <v>364</v>
      </c>
      <c r="JF18" s="422" t="s">
        <v>364</v>
      </c>
      <c r="JG18" s="422" t="s">
        <v>364</v>
      </c>
      <c r="JH18" s="422" t="s">
        <v>364</v>
      </c>
      <c r="JI18" s="422" t="s">
        <v>364</v>
      </c>
      <c r="JJ18" s="422" t="s">
        <v>364</v>
      </c>
      <c r="JK18" s="422" t="s">
        <v>364</v>
      </c>
      <c r="JL18" s="422" t="s">
        <v>364</v>
      </c>
      <c r="JM18" s="422" t="s">
        <v>364</v>
      </c>
      <c r="JN18" s="422" t="s">
        <v>364</v>
      </c>
      <c r="JO18" s="422" t="s">
        <v>364</v>
      </c>
      <c r="JP18" s="422" t="s">
        <v>364</v>
      </c>
      <c r="JQ18" s="422" t="s">
        <v>364</v>
      </c>
      <c r="JR18" s="422" t="s">
        <v>364</v>
      </c>
      <c r="JS18" s="422" t="s">
        <v>364</v>
      </c>
      <c r="JT18" s="422" t="s">
        <v>364</v>
      </c>
      <c r="JU18" s="422" t="s">
        <v>364</v>
      </c>
      <c r="JV18" s="422" t="s">
        <v>364</v>
      </c>
      <c r="JW18" s="422">
        <f t="shared" si="11"/>
        <v>54</v>
      </c>
      <c r="JX18" s="422" t="s">
        <v>364</v>
      </c>
      <c r="JY18" s="422" t="s">
        <v>364</v>
      </c>
      <c r="JZ18" s="422" t="s">
        <v>364</v>
      </c>
      <c r="KA18" s="422" t="s">
        <v>364</v>
      </c>
      <c r="KB18" s="422" t="s">
        <v>364</v>
      </c>
      <c r="KC18" s="422">
        <v>14</v>
      </c>
      <c r="KD18" s="422">
        <v>1</v>
      </c>
      <c r="KE18" s="422" t="s">
        <v>364</v>
      </c>
      <c r="KF18" s="422" t="s">
        <v>364</v>
      </c>
      <c r="KG18" s="422" t="s">
        <v>364</v>
      </c>
      <c r="KH18" s="422" t="s">
        <v>364</v>
      </c>
      <c r="KI18" s="422" t="s">
        <v>364</v>
      </c>
      <c r="KJ18" s="422" t="s">
        <v>364</v>
      </c>
      <c r="KK18" s="422" t="s">
        <v>364</v>
      </c>
      <c r="KL18" s="422" t="s">
        <v>364</v>
      </c>
      <c r="KM18" s="422" t="s">
        <v>364</v>
      </c>
      <c r="KN18" s="422" t="s">
        <v>364</v>
      </c>
      <c r="KO18" s="422" t="s">
        <v>364</v>
      </c>
      <c r="KP18" s="422" t="s">
        <v>364</v>
      </c>
      <c r="KQ18" s="422" t="s">
        <v>364</v>
      </c>
      <c r="KR18" s="422" t="s">
        <v>364</v>
      </c>
      <c r="KS18" s="422" t="s">
        <v>364</v>
      </c>
      <c r="KT18" s="422" t="s">
        <v>364</v>
      </c>
      <c r="KU18" s="422" t="s">
        <v>364</v>
      </c>
      <c r="KV18" s="422" t="s">
        <v>364</v>
      </c>
      <c r="KW18" s="422" t="s">
        <v>364</v>
      </c>
      <c r="KX18" s="422">
        <v>31</v>
      </c>
      <c r="KY18" s="422">
        <v>8</v>
      </c>
      <c r="KZ18" s="422" t="s">
        <v>364</v>
      </c>
      <c r="LA18" s="422" t="s">
        <v>364</v>
      </c>
      <c r="LB18" s="422" t="s">
        <v>364</v>
      </c>
      <c r="LC18" s="422" t="s">
        <v>364</v>
      </c>
      <c r="LD18" s="422" t="s">
        <v>364</v>
      </c>
      <c r="LE18" s="422" t="s">
        <v>364</v>
      </c>
      <c r="LF18" s="422" t="s">
        <v>364</v>
      </c>
      <c r="LG18" s="422" t="s">
        <v>364</v>
      </c>
      <c r="LH18" s="422" t="s">
        <v>364</v>
      </c>
      <c r="LI18" s="422" t="s">
        <v>364</v>
      </c>
      <c r="LJ18" s="422" t="s">
        <v>364</v>
      </c>
      <c r="LK18" s="422" t="s">
        <v>364</v>
      </c>
      <c r="LL18" s="422" t="s">
        <v>364</v>
      </c>
      <c r="LM18" s="424" t="s">
        <v>364</v>
      </c>
      <c r="LN18" s="424">
        <v>20</v>
      </c>
      <c r="LO18" s="424" t="s">
        <v>364</v>
      </c>
      <c r="LP18" s="424">
        <v>20</v>
      </c>
      <c r="LQ18" s="424" t="s">
        <v>364</v>
      </c>
      <c r="LR18" s="424" t="s">
        <v>364</v>
      </c>
      <c r="LS18" s="424" t="s">
        <v>364</v>
      </c>
      <c r="LT18" s="424" t="s">
        <v>364</v>
      </c>
      <c r="LU18" s="424" t="s">
        <v>364</v>
      </c>
      <c r="LV18" s="424" t="s">
        <v>364</v>
      </c>
      <c r="LW18" s="424" t="s">
        <v>364</v>
      </c>
      <c r="LX18" s="424">
        <f t="shared" si="12"/>
        <v>0</v>
      </c>
      <c r="LY18" s="424" t="s">
        <v>364</v>
      </c>
      <c r="LZ18" s="424" t="s">
        <v>364</v>
      </c>
      <c r="MA18" s="424" t="s">
        <v>364</v>
      </c>
      <c r="MB18" s="424" t="s">
        <v>364</v>
      </c>
      <c r="MC18" s="424" t="s">
        <v>364</v>
      </c>
      <c r="MD18" s="424" t="s">
        <v>364</v>
      </c>
      <c r="ME18" s="424">
        <f t="shared" si="1"/>
        <v>32</v>
      </c>
      <c r="MF18" s="424" t="s">
        <v>364</v>
      </c>
      <c r="MG18" s="424" t="s">
        <v>364</v>
      </c>
      <c r="MH18" s="424">
        <v>32</v>
      </c>
      <c r="MI18" s="424" t="s">
        <v>364</v>
      </c>
      <c r="MJ18" s="424" t="s">
        <v>364</v>
      </c>
      <c r="MK18" s="424" t="s">
        <v>364</v>
      </c>
      <c r="ML18" s="424" t="s">
        <v>364</v>
      </c>
      <c r="MM18" s="424" t="s">
        <v>364</v>
      </c>
      <c r="MN18" s="424" t="s">
        <v>364</v>
      </c>
      <c r="MO18" s="424" t="s">
        <v>364</v>
      </c>
      <c r="MP18" s="424" t="s">
        <v>364</v>
      </c>
      <c r="MQ18" s="424" t="s">
        <v>364</v>
      </c>
      <c r="MR18" s="424" t="s">
        <v>364</v>
      </c>
      <c r="MS18" s="424" t="s">
        <v>364</v>
      </c>
      <c r="MT18" s="424" t="s">
        <v>364</v>
      </c>
      <c r="MU18" s="424" t="s">
        <v>364</v>
      </c>
      <c r="MV18" s="424" t="s">
        <v>6598</v>
      </c>
      <c r="MW18" s="424" t="s">
        <v>364</v>
      </c>
      <c r="MX18" s="424">
        <f t="shared" si="13"/>
        <v>0</v>
      </c>
      <c r="MY18" s="424" t="s">
        <v>364</v>
      </c>
      <c r="MZ18" s="424" t="s">
        <v>364</v>
      </c>
      <c r="NA18" s="424" t="s">
        <v>364</v>
      </c>
      <c r="NB18" s="424" t="s">
        <v>364</v>
      </c>
      <c r="NC18" s="424" t="s">
        <v>364</v>
      </c>
      <c r="ND18" s="424" t="s">
        <v>364</v>
      </c>
      <c r="NE18" s="424" t="s">
        <v>364</v>
      </c>
      <c r="NF18" s="424" t="s">
        <v>364</v>
      </c>
      <c r="NG18" s="424" t="s">
        <v>6598</v>
      </c>
      <c r="NH18" s="424" t="s">
        <v>364</v>
      </c>
      <c r="NI18" s="424" t="s">
        <v>364</v>
      </c>
      <c r="NJ18" s="424" t="s">
        <v>364</v>
      </c>
      <c r="NK18" s="424">
        <f t="shared" si="2"/>
        <v>0</v>
      </c>
      <c r="NL18" s="424">
        <f t="shared" si="14"/>
        <v>0</v>
      </c>
      <c r="NM18" s="424" t="s">
        <v>364</v>
      </c>
      <c r="NN18" s="424" t="s">
        <v>364</v>
      </c>
      <c r="NO18" s="424" t="s">
        <v>364</v>
      </c>
      <c r="NP18" s="424" t="s">
        <v>364</v>
      </c>
      <c r="NQ18" s="424" t="s">
        <v>364</v>
      </c>
      <c r="NR18" s="424" t="s">
        <v>364</v>
      </c>
      <c r="NS18" s="424" t="s">
        <v>364</v>
      </c>
      <c r="NT18" s="424" t="s">
        <v>364</v>
      </c>
      <c r="NU18" s="424" t="s">
        <v>364</v>
      </c>
      <c r="NV18" s="424" t="s">
        <v>364</v>
      </c>
      <c r="NW18" s="424" t="s">
        <v>364</v>
      </c>
      <c r="NX18" s="424" t="s">
        <v>364</v>
      </c>
      <c r="NY18" s="424" t="s">
        <v>364</v>
      </c>
      <c r="NZ18" s="424">
        <f t="shared" si="15"/>
        <v>0</v>
      </c>
      <c r="OA18" s="424" t="s">
        <v>364</v>
      </c>
      <c r="OB18" s="424" t="s">
        <v>364</v>
      </c>
      <c r="OC18" s="424" t="s">
        <v>364</v>
      </c>
      <c r="OD18" s="424" t="s">
        <v>364</v>
      </c>
      <c r="OE18" s="424" t="s">
        <v>364</v>
      </c>
      <c r="OF18" s="424" t="s">
        <v>364</v>
      </c>
      <c r="OG18" s="424" t="s">
        <v>364</v>
      </c>
      <c r="OH18" s="424">
        <f t="shared" si="16"/>
        <v>0</v>
      </c>
      <c r="OI18" s="424">
        <f t="shared" si="17"/>
        <v>0</v>
      </c>
      <c r="OJ18" s="422" t="s">
        <v>364</v>
      </c>
      <c r="OK18" s="422" t="s">
        <v>364</v>
      </c>
      <c r="OL18" s="422" t="s">
        <v>364</v>
      </c>
      <c r="OM18" s="422" t="s">
        <v>364</v>
      </c>
      <c r="ON18" s="422" t="s">
        <v>364</v>
      </c>
      <c r="OO18" s="422" t="s">
        <v>364</v>
      </c>
      <c r="OP18" s="422" t="s">
        <v>364</v>
      </c>
      <c r="OQ18" s="422" t="s">
        <v>364</v>
      </c>
      <c r="OR18" s="422" t="s">
        <v>364</v>
      </c>
      <c r="OS18" s="422" t="s">
        <v>364</v>
      </c>
      <c r="OT18" s="422" t="s">
        <v>364</v>
      </c>
      <c r="OU18" s="422" t="s">
        <v>364</v>
      </c>
      <c r="OV18" s="422" t="s">
        <v>364</v>
      </c>
      <c r="OW18" s="422" t="s">
        <v>364</v>
      </c>
      <c r="OX18" s="422" t="s">
        <v>364</v>
      </c>
      <c r="OY18" s="422" t="s">
        <v>364</v>
      </c>
      <c r="OZ18" s="422" t="s">
        <v>364</v>
      </c>
      <c r="PA18" s="422" t="s">
        <v>364</v>
      </c>
      <c r="PB18" s="424">
        <f t="shared" si="18"/>
        <v>0</v>
      </c>
      <c r="PC18" s="422" t="s">
        <v>364</v>
      </c>
      <c r="PD18" s="422" t="s">
        <v>364</v>
      </c>
      <c r="PE18" s="422" t="s">
        <v>364</v>
      </c>
      <c r="PF18" s="422" t="s">
        <v>364</v>
      </c>
      <c r="PG18" s="422" t="s">
        <v>364</v>
      </c>
      <c r="PH18" s="422" t="s">
        <v>364</v>
      </c>
      <c r="PI18" s="422" t="s">
        <v>364</v>
      </c>
      <c r="PJ18" s="422" t="s">
        <v>364</v>
      </c>
    </row>
    <row r="19" spans="2:426" ht="15.6">
      <c r="B19" s="426" t="s">
        <v>713</v>
      </c>
      <c r="C19" s="422">
        <f t="shared" si="3"/>
        <v>134</v>
      </c>
      <c r="D19" s="422">
        <v>42</v>
      </c>
      <c r="E19" s="422">
        <v>20</v>
      </c>
      <c r="F19" s="422" t="s">
        <v>364</v>
      </c>
      <c r="G19" s="422" t="s">
        <v>364</v>
      </c>
      <c r="H19" s="422">
        <v>20</v>
      </c>
      <c r="I19" s="422" t="s">
        <v>364</v>
      </c>
      <c r="J19" s="422" t="s">
        <v>364</v>
      </c>
      <c r="K19" s="422" t="s">
        <v>364</v>
      </c>
      <c r="L19" s="422" t="s">
        <v>364</v>
      </c>
      <c r="M19" s="422">
        <v>52</v>
      </c>
      <c r="N19" s="422" t="s">
        <v>364</v>
      </c>
      <c r="O19" s="422" t="s">
        <v>364</v>
      </c>
      <c r="P19" s="422" t="s">
        <v>364</v>
      </c>
      <c r="Q19" s="422" t="s">
        <v>364</v>
      </c>
      <c r="R19" s="422" t="s">
        <v>364</v>
      </c>
      <c r="S19" s="422" t="s">
        <v>364</v>
      </c>
      <c r="T19" s="422" t="s">
        <v>364</v>
      </c>
      <c r="U19" s="422" t="s">
        <v>364</v>
      </c>
      <c r="V19" s="422" t="s">
        <v>364</v>
      </c>
      <c r="W19" s="422" t="s">
        <v>364</v>
      </c>
      <c r="X19" s="422" t="s">
        <v>364</v>
      </c>
      <c r="Y19" s="422" t="s">
        <v>364</v>
      </c>
      <c r="Z19" s="422" t="s">
        <v>364</v>
      </c>
      <c r="AA19" s="422" t="s">
        <v>364</v>
      </c>
      <c r="AB19" s="422" t="s">
        <v>364</v>
      </c>
      <c r="AC19" s="422" t="s">
        <v>364</v>
      </c>
      <c r="AD19" s="422" t="s">
        <v>364</v>
      </c>
      <c r="AE19" s="422" t="s">
        <v>364</v>
      </c>
      <c r="AF19" s="422" t="s">
        <v>364</v>
      </c>
      <c r="AG19" s="422" t="s">
        <v>364</v>
      </c>
      <c r="AH19" s="422" t="s">
        <v>364</v>
      </c>
      <c r="AI19" s="422" t="s">
        <v>364</v>
      </c>
      <c r="AJ19" s="422" t="s">
        <v>364</v>
      </c>
      <c r="AK19" s="422" t="s">
        <v>364</v>
      </c>
      <c r="AL19" s="422" t="s">
        <v>364</v>
      </c>
      <c r="AM19" s="422" t="s">
        <v>364</v>
      </c>
      <c r="AN19" s="422" t="s">
        <v>364</v>
      </c>
      <c r="AO19" s="422" t="s">
        <v>364</v>
      </c>
      <c r="AP19" s="422" t="s">
        <v>364</v>
      </c>
      <c r="AQ19" s="422">
        <f t="shared" si="0"/>
        <v>443</v>
      </c>
      <c r="AR19" s="422" t="s">
        <v>364</v>
      </c>
      <c r="AS19" s="422" t="s">
        <v>364</v>
      </c>
      <c r="AT19" s="422" t="s">
        <v>364</v>
      </c>
      <c r="AU19" s="422" t="s">
        <v>364</v>
      </c>
      <c r="AV19" s="422" t="s">
        <v>364</v>
      </c>
      <c r="AW19" s="422" t="s">
        <v>364</v>
      </c>
      <c r="AX19" s="422" t="s">
        <v>364</v>
      </c>
      <c r="AY19" s="422" t="s">
        <v>364</v>
      </c>
      <c r="AZ19" s="422" t="s">
        <v>364</v>
      </c>
      <c r="BA19" s="422" t="s">
        <v>364</v>
      </c>
      <c r="BB19" s="422" t="s">
        <v>364</v>
      </c>
      <c r="BC19" s="422" t="s">
        <v>364</v>
      </c>
      <c r="BD19" s="422" t="s">
        <v>364</v>
      </c>
      <c r="BE19" s="422" t="s">
        <v>364</v>
      </c>
      <c r="BF19" s="422" t="s">
        <v>364</v>
      </c>
      <c r="BG19" s="422" t="s">
        <v>364</v>
      </c>
      <c r="BH19" s="422" t="s">
        <v>364</v>
      </c>
      <c r="BI19" s="422" t="s">
        <v>364</v>
      </c>
      <c r="BJ19" s="422" t="s">
        <v>364</v>
      </c>
      <c r="BK19" s="422" t="s">
        <v>364</v>
      </c>
      <c r="BL19" s="422" t="s">
        <v>364</v>
      </c>
      <c r="BM19" s="422" t="s">
        <v>364</v>
      </c>
      <c r="BN19" s="422" t="s">
        <v>364</v>
      </c>
      <c r="BO19" s="422">
        <v>235</v>
      </c>
      <c r="BP19" s="422" t="s">
        <v>364</v>
      </c>
      <c r="BQ19" s="422" t="s">
        <v>364</v>
      </c>
      <c r="BR19" s="422" t="s">
        <v>364</v>
      </c>
      <c r="BS19" s="422" t="s">
        <v>364</v>
      </c>
      <c r="BT19" s="422" t="s">
        <v>364</v>
      </c>
      <c r="BU19" s="422" t="s">
        <v>364</v>
      </c>
      <c r="BV19" s="422" t="s">
        <v>364</v>
      </c>
      <c r="BW19" s="422" t="s">
        <v>364</v>
      </c>
      <c r="BX19" s="422" t="s">
        <v>364</v>
      </c>
      <c r="BY19" s="422" t="s">
        <v>364</v>
      </c>
      <c r="BZ19" s="422">
        <v>33</v>
      </c>
      <c r="CA19" s="422" t="s">
        <v>364</v>
      </c>
      <c r="CB19" s="422" t="s">
        <v>364</v>
      </c>
      <c r="CC19" s="422" t="s">
        <v>364</v>
      </c>
      <c r="CD19" s="422" t="s">
        <v>364</v>
      </c>
      <c r="CE19" s="422" t="s">
        <v>364</v>
      </c>
      <c r="CF19" s="422" t="s">
        <v>364</v>
      </c>
      <c r="CG19" s="422" t="s">
        <v>364</v>
      </c>
      <c r="CH19" s="422" t="s">
        <v>364</v>
      </c>
      <c r="CI19" s="422" t="s">
        <v>364</v>
      </c>
      <c r="CJ19" s="422" t="s">
        <v>364</v>
      </c>
      <c r="CK19" s="422" t="s">
        <v>364</v>
      </c>
      <c r="CL19" s="422" t="s">
        <v>364</v>
      </c>
      <c r="CM19" s="422" t="s">
        <v>364</v>
      </c>
      <c r="CN19" s="422" t="s">
        <v>364</v>
      </c>
      <c r="CO19" s="422" t="s">
        <v>364</v>
      </c>
      <c r="CP19" s="422" t="s">
        <v>364</v>
      </c>
      <c r="CQ19" s="422" t="s">
        <v>364</v>
      </c>
      <c r="CR19" s="422" t="s">
        <v>364</v>
      </c>
      <c r="CS19" s="422" t="s">
        <v>364</v>
      </c>
      <c r="CT19" s="422" t="s">
        <v>364</v>
      </c>
      <c r="CU19" s="422" t="s">
        <v>364</v>
      </c>
      <c r="CV19" s="422" t="s">
        <v>364</v>
      </c>
      <c r="CW19" s="422" t="s">
        <v>364</v>
      </c>
      <c r="CX19" s="422">
        <v>175</v>
      </c>
      <c r="CY19" s="422" t="s">
        <v>364</v>
      </c>
      <c r="CZ19" s="422" t="s">
        <v>364</v>
      </c>
      <c r="DA19" s="422" t="s">
        <v>364</v>
      </c>
      <c r="DB19" s="422" t="s">
        <v>364</v>
      </c>
      <c r="DC19" s="422" t="s">
        <v>364</v>
      </c>
      <c r="DD19" s="422" t="s">
        <v>364</v>
      </c>
      <c r="DE19" s="422" t="s">
        <v>364</v>
      </c>
      <c r="DF19" s="422" t="s">
        <v>364</v>
      </c>
      <c r="DG19" s="422" t="s">
        <v>364</v>
      </c>
      <c r="DH19" s="422" t="s">
        <v>364</v>
      </c>
      <c r="DI19" s="422" t="s">
        <v>364</v>
      </c>
      <c r="DJ19" s="422" t="s">
        <v>364</v>
      </c>
      <c r="DK19" s="422">
        <f t="shared" si="4"/>
        <v>0</v>
      </c>
      <c r="DL19" s="422" t="s">
        <v>364</v>
      </c>
      <c r="DM19" s="422" t="s">
        <v>364</v>
      </c>
      <c r="DN19" s="422" t="s">
        <v>364</v>
      </c>
      <c r="DO19" s="422" t="s">
        <v>364</v>
      </c>
      <c r="DP19" s="422" t="s">
        <v>364</v>
      </c>
      <c r="DQ19" s="422" t="s">
        <v>364</v>
      </c>
      <c r="DR19" s="422" t="s">
        <v>364</v>
      </c>
      <c r="DS19" s="422" t="s">
        <v>364</v>
      </c>
      <c r="DT19" s="422" t="s">
        <v>364</v>
      </c>
      <c r="DU19" s="422" t="s">
        <v>364</v>
      </c>
      <c r="DV19" s="422" t="s">
        <v>364</v>
      </c>
      <c r="DW19" s="422" t="s">
        <v>364</v>
      </c>
      <c r="DX19" s="422" t="s">
        <v>364</v>
      </c>
      <c r="DY19" s="422">
        <f t="shared" si="5"/>
        <v>507</v>
      </c>
      <c r="DZ19" s="422" t="s">
        <v>364</v>
      </c>
      <c r="EA19" s="422" t="s">
        <v>364</v>
      </c>
      <c r="EB19" s="422" t="s">
        <v>364</v>
      </c>
      <c r="EC19" s="422" t="s">
        <v>364</v>
      </c>
      <c r="ED19" s="422" t="s">
        <v>364</v>
      </c>
      <c r="EE19" s="422" t="s">
        <v>364</v>
      </c>
      <c r="EF19" s="422" t="s">
        <v>364</v>
      </c>
      <c r="EG19" s="422" t="s">
        <v>364</v>
      </c>
      <c r="EH19" s="422" t="s">
        <v>364</v>
      </c>
      <c r="EI19" s="422" t="s">
        <v>364</v>
      </c>
      <c r="EJ19" s="422" t="s">
        <v>364</v>
      </c>
      <c r="EK19" s="422" t="s">
        <v>364</v>
      </c>
      <c r="EL19" s="422" t="s">
        <v>364</v>
      </c>
      <c r="EM19" s="422" t="s">
        <v>364</v>
      </c>
      <c r="EN19" s="422" t="s">
        <v>364</v>
      </c>
      <c r="EO19" s="422" t="s">
        <v>364</v>
      </c>
      <c r="EP19" s="422" t="s">
        <v>364</v>
      </c>
      <c r="EQ19" s="422" t="s">
        <v>364</v>
      </c>
      <c r="ER19" s="422" t="s">
        <v>364</v>
      </c>
      <c r="ES19" s="422" t="s">
        <v>364</v>
      </c>
      <c r="ET19" s="422">
        <v>7</v>
      </c>
      <c r="EU19" s="422" t="s">
        <v>364</v>
      </c>
      <c r="EV19" s="422" t="s">
        <v>364</v>
      </c>
      <c r="EW19" s="422" t="s">
        <v>364</v>
      </c>
      <c r="EX19" s="422">
        <v>500</v>
      </c>
      <c r="EY19" s="422" t="s">
        <v>364</v>
      </c>
      <c r="EZ19" s="422" t="s">
        <v>364</v>
      </c>
      <c r="FA19" s="422">
        <f t="shared" si="6"/>
        <v>550</v>
      </c>
      <c r="FB19" s="422" t="s">
        <v>364</v>
      </c>
      <c r="FC19" s="422" t="s">
        <v>364</v>
      </c>
      <c r="FD19" s="422" t="s">
        <v>364</v>
      </c>
      <c r="FE19" s="422" t="s">
        <v>364</v>
      </c>
      <c r="FF19" s="422" t="s">
        <v>364</v>
      </c>
      <c r="FG19" s="422" t="s">
        <v>364</v>
      </c>
      <c r="FH19" s="422" t="s">
        <v>364</v>
      </c>
      <c r="FI19" s="422" t="s">
        <v>364</v>
      </c>
      <c r="FJ19" s="422" t="s">
        <v>364</v>
      </c>
      <c r="FK19" s="422" t="s">
        <v>364</v>
      </c>
      <c r="FL19" s="422" t="s">
        <v>364</v>
      </c>
      <c r="FM19" s="422" t="s">
        <v>364</v>
      </c>
      <c r="FN19" s="422" t="s">
        <v>364</v>
      </c>
      <c r="FO19" s="422" t="s">
        <v>364</v>
      </c>
      <c r="FP19" s="422" t="s">
        <v>364</v>
      </c>
      <c r="FQ19" s="422" t="s">
        <v>364</v>
      </c>
      <c r="FR19" s="422" t="s">
        <v>364</v>
      </c>
      <c r="FS19" s="422" t="s">
        <v>364</v>
      </c>
      <c r="FT19" s="422" t="s">
        <v>364</v>
      </c>
      <c r="FU19" s="422" t="s">
        <v>364</v>
      </c>
      <c r="FV19" s="422" t="s">
        <v>364</v>
      </c>
      <c r="FW19" s="422" t="s">
        <v>364</v>
      </c>
      <c r="FX19" s="422" t="s">
        <v>364</v>
      </c>
      <c r="FY19" s="422" t="s">
        <v>364</v>
      </c>
      <c r="FZ19" s="422" t="s">
        <v>364</v>
      </c>
      <c r="GA19" s="422" t="s">
        <v>364</v>
      </c>
      <c r="GB19" s="422" t="s">
        <v>364</v>
      </c>
      <c r="GC19" s="422" t="s">
        <v>364</v>
      </c>
      <c r="GD19" s="422" t="s">
        <v>364</v>
      </c>
      <c r="GE19" s="422" t="s">
        <v>364</v>
      </c>
      <c r="GF19" s="422" t="s">
        <v>364</v>
      </c>
      <c r="GG19" s="422" t="s">
        <v>364</v>
      </c>
      <c r="GH19" s="422" t="s">
        <v>364</v>
      </c>
      <c r="GI19" s="422" t="s">
        <v>364</v>
      </c>
      <c r="GJ19" s="422" t="s">
        <v>364</v>
      </c>
      <c r="GK19" s="422" t="s">
        <v>364</v>
      </c>
      <c r="GL19" s="422" t="s">
        <v>364</v>
      </c>
      <c r="GM19" s="422" t="s">
        <v>364</v>
      </c>
      <c r="GN19" s="422" t="s">
        <v>364</v>
      </c>
      <c r="GO19" s="422">
        <v>550</v>
      </c>
      <c r="GP19" s="422" t="s">
        <v>364</v>
      </c>
      <c r="GQ19" s="422" t="s">
        <v>364</v>
      </c>
      <c r="GR19" s="422" t="s">
        <v>364</v>
      </c>
      <c r="GS19" s="422" t="s">
        <v>364</v>
      </c>
      <c r="GT19" s="422" t="s">
        <v>364</v>
      </c>
      <c r="GU19" s="422" t="s">
        <v>364</v>
      </c>
      <c r="GV19" s="422">
        <f t="shared" si="7"/>
        <v>37</v>
      </c>
      <c r="GW19" s="422" t="s">
        <v>364</v>
      </c>
      <c r="GX19" s="422" t="s">
        <v>364</v>
      </c>
      <c r="GY19" s="422" t="s">
        <v>364</v>
      </c>
      <c r="GZ19" s="422" t="s">
        <v>364</v>
      </c>
      <c r="HA19" s="422" t="s">
        <v>364</v>
      </c>
      <c r="HB19" s="422" t="s">
        <v>364</v>
      </c>
      <c r="HC19" s="422" t="s">
        <v>364</v>
      </c>
      <c r="HD19" s="422" t="s">
        <v>364</v>
      </c>
      <c r="HE19" s="422" t="s">
        <v>364</v>
      </c>
      <c r="HF19" s="422" t="s">
        <v>364</v>
      </c>
      <c r="HG19" s="422" t="s">
        <v>364</v>
      </c>
      <c r="HH19" s="422" t="s">
        <v>364</v>
      </c>
      <c r="HI19" s="422" t="s">
        <v>364</v>
      </c>
      <c r="HJ19" s="422" t="s">
        <v>364</v>
      </c>
      <c r="HK19" s="422" t="s">
        <v>364</v>
      </c>
      <c r="HL19" s="422" t="s">
        <v>364</v>
      </c>
      <c r="HM19" s="422" t="s">
        <v>364</v>
      </c>
      <c r="HN19" s="422" t="s">
        <v>364</v>
      </c>
      <c r="HO19" s="422" t="s">
        <v>364</v>
      </c>
      <c r="HP19" s="422" t="s">
        <v>364</v>
      </c>
      <c r="HQ19" s="422" t="s">
        <v>364</v>
      </c>
      <c r="HR19" s="422" t="s">
        <v>364</v>
      </c>
      <c r="HS19" s="422" t="s">
        <v>364</v>
      </c>
      <c r="HT19" s="422" t="s">
        <v>364</v>
      </c>
      <c r="HU19" s="422" t="s">
        <v>364</v>
      </c>
      <c r="HV19" s="422" t="s">
        <v>364</v>
      </c>
      <c r="HW19" s="422">
        <v>37</v>
      </c>
      <c r="HX19" s="422" t="s">
        <v>364</v>
      </c>
      <c r="HY19" s="422">
        <f t="shared" si="8"/>
        <v>0</v>
      </c>
      <c r="HZ19" s="422" t="s">
        <v>364</v>
      </c>
      <c r="IA19" s="422" t="s">
        <v>364</v>
      </c>
      <c r="IB19" s="422" t="s">
        <v>364</v>
      </c>
      <c r="IC19" s="422" t="s">
        <v>364</v>
      </c>
      <c r="ID19" s="422" t="s">
        <v>364</v>
      </c>
      <c r="IE19" s="422" t="s">
        <v>364</v>
      </c>
      <c r="IF19" s="422">
        <f t="shared" si="9"/>
        <v>0</v>
      </c>
      <c r="IG19" s="422" t="s">
        <v>364</v>
      </c>
      <c r="IH19" s="422" t="s">
        <v>364</v>
      </c>
      <c r="II19" s="422" t="s">
        <v>364</v>
      </c>
      <c r="IJ19" s="422" t="s">
        <v>364</v>
      </c>
      <c r="IK19" s="422" t="s">
        <v>364</v>
      </c>
      <c r="IL19" s="422" t="s">
        <v>364</v>
      </c>
      <c r="IM19" s="422" t="s">
        <v>364</v>
      </c>
      <c r="IN19" s="422" t="s">
        <v>364</v>
      </c>
      <c r="IO19" s="422" t="s">
        <v>364</v>
      </c>
      <c r="IP19" s="422" t="s">
        <v>364</v>
      </c>
      <c r="IQ19" s="422" t="s">
        <v>364</v>
      </c>
      <c r="IR19" s="422" t="s">
        <v>364</v>
      </c>
      <c r="IS19" s="422" t="s">
        <v>364</v>
      </c>
      <c r="IT19" s="422" t="s">
        <v>364</v>
      </c>
      <c r="IU19" s="422" t="s">
        <v>364</v>
      </c>
      <c r="IV19" s="422" t="s">
        <v>364</v>
      </c>
      <c r="IW19" s="422" t="s">
        <v>364</v>
      </c>
      <c r="IX19" s="422" t="s">
        <v>364</v>
      </c>
      <c r="IY19" s="422" t="s">
        <v>364</v>
      </c>
      <c r="IZ19" s="422">
        <f t="shared" si="10"/>
        <v>0</v>
      </c>
      <c r="JA19" s="422" t="s">
        <v>364</v>
      </c>
      <c r="JB19" s="422" t="s">
        <v>364</v>
      </c>
      <c r="JC19" s="422" t="s">
        <v>364</v>
      </c>
      <c r="JD19" s="422" t="s">
        <v>364</v>
      </c>
      <c r="JE19" s="422" t="s">
        <v>364</v>
      </c>
      <c r="JF19" s="422" t="s">
        <v>364</v>
      </c>
      <c r="JG19" s="422" t="s">
        <v>364</v>
      </c>
      <c r="JH19" s="422" t="s">
        <v>364</v>
      </c>
      <c r="JI19" s="422" t="s">
        <v>364</v>
      </c>
      <c r="JJ19" s="422" t="s">
        <v>364</v>
      </c>
      <c r="JK19" s="422" t="s">
        <v>364</v>
      </c>
      <c r="JL19" s="422" t="s">
        <v>364</v>
      </c>
      <c r="JM19" s="422" t="s">
        <v>364</v>
      </c>
      <c r="JN19" s="422" t="s">
        <v>364</v>
      </c>
      <c r="JO19" s="422" t="s">
        <v>364</v>
      </c>
      <c r="JP19" s="422" t="s">
        <v>364</v>
      </c>
      <c r="JQ19" s="422" t="s">
        <v>364</v>
      </c>
      <c r="JR19" s="422" t="s">
        <v>364</v>
      </c>
      <c r="JS19" s="422" t="s">
        <v>364</v>
      </c>
      <c r="JT19" s="422" t="s">
        <v>364</v>
      </c>
      <c r="JU19" s="422" t="s">
        <v>364</v>
      </c>
      <c r="JV19" s="422" t="s">
        <v>364</v>
      </c>
      <c r="JW19" s="422">
        <f t="shared" si="11"/>
        <v>96</v>
      </c>
      <c r="JX19" s="422" t="s">
        <v>364</v>
      </c>
      <c r="JY19" s="422" t="s">
        <v>364</v>
      </c>
      <c r="JZ19" s="422" t="s">
        <v>364</v>
      </c>
      <c r="KA19" s="422" t="s">
        <v>364</v>
      </c>
      <c r="KB19" s="422" t="s">
        <v>364</v>
      </c>
      <c r="KC19" s="422" t="s">
        <v>364</v>
      </c>
      <c r="KD19" s="422" t="s">
        <v>364</v>
      </c>
      <c r="KE19" s="422" t="s">
        <v>364</v>
      </c>
      <c r="KF19" s="422" t="s">
        <v>364</v>
      </c>
      <c r="KG19" s="422" t="s">
        <v>364</v>
      </c>
      <c r="KH19" s="422" t="s">
        <v>364</v>
      </c>
      <c r="KI19" s="422" t="s">
        <v>364</v>
      </c>
      <c r="KJ19" s="422" t="s">
        <v>364</v>
      </c>
      <c r="KK19" s="422" t="s">
        <v>364</v>
      </c>
      <c r="KL19" s="422" t="s">
        <v>364</v>
      </c>
      <c r="KM19" s="422" t="s">
        <v>364</v>
      </c>
      <c r="KN19" s="422">
        <v>71</v>
      </c>
      <c r="KO19" s="422">
        <v>25</v>
      </c>
      <c r="KP19" s="422" t="s">
        <v>364</v>
      </c>
      <c r="KQ19" s="422" t="s">
        <v>364</v>
      </c>
      <c r="KR19" s="422" t="s">
        <v>364</v>
      </c>
      <c r="KS19" s="422" t="s">
        <v>364</v>
      </c>
      <c r="KT19" s="422" t="s">
        <v>364</v>
      </c>
      <c r="KU19" s="422" t="s">
        <v>364</v>
      </c>
      <c r="KV19" s="422" t="s">
        <v>364</v>
      </c>
      <c r="KW19" s="422" t="s">
        <v>364</v>
      </c>
      <c r="KX19" s="422" t="s">
        <v>364</v>
      </c>
      <c r="KY19" s="422" t="s">
        <v>364</v>
      </c>
      <c r="KZ19" s="422" t="s">
        <v>364</v>
      </c>
      <c r="LA19" s="422" t="s">
        <v>364</v>
      </c>
      <c r="LB19" s="422" t="s">
        <v>364</v>
      </c>
      <c r="LC19" s="422" t="s">
        <v>364</v>
      </c>
      <c r="LD19" s="422" t="s">
        <v>364</v>
      </c>
      <c r="LE19" s="422" t="s">
        <v>364</v>
      </c>
      <c r="LF19" s="422" t="s">
        <v>364</v>
      </c>
      <c r="LG19" s="422" t="s">
        <v>364</v>
      </c>
      <c r="LH19" s="422" t="s">
        <v>364</v>
      </c>
      <c r="LI19" s="422" t="s">
        <v>364</v>
      </c>
      <c r="LJ19" s="422" t="s">
        <v>364</v>
      </c>
      <c r="LK19" s="422" t="s">
        <v>364</v>
      </c>
      <c r="LL19" s="422" t="s">
        <v>364</v>
      </c>
      <c r="LM19" s="424" t="s">
        <v>364</v>
      </c>
      <c r="LN19" s="424">
        <v>0</v>
      </c>
      <c r="LO19" s="424" t="s">
        <v>364</v>
      </c>
      <c r="LP19" s="424" t="s">
        <v>364</v>
      </c>
      <c r="LQ19" s="424" t="s">
        <v>364</v>
      </c>
      <c r="LR19" s="424" t="s">
        <v>364</v>
      </c>
      <c r="LS19" s="424" t="s">
        <v>364</v>
      </c>
      <c r="LT19" s="424" t="s">
        <v>364</v>
      </c>
      <c r="LU19" s="424" t="s">
        <v>364</v>
      </c>
      <c r="LV19" s="424" t="s">
        <v>364</v>
      </c>
      <c r="LW19" s="424" t="s">
        <v>364</v>
      </c>
      <c r="LX19" s="424">
        <f t="shared" si="12"/>
        <v>0</v>
      </c>
      <c r="LY19" s="424" t="s">
        <v>364</v>
      </c>
      <c r="LZ19" s="424" t="s">
        <v>364</v>
      </c>
      <c r="MA19" s="424" t="s">
        <v>364</v>
      </c>
      <c r="MB19" s="424" t="s">
        <v>364</v>
      </c>
      <c r="MC19" s="424" t="s">
        <v>364</v>
      </c>
      <c r="MD19" s="424" t="s">
        <v>364</v>
      </c>
      <c r="ME19" s="424">
        <f t="shared" si="1"/>
        <v>0</v>
      </c>
      <c r="MF19" s="424" t="s">
        <v>364</v>
      </c>
      <c r="MG19" s="424" t="s">
        <v>364</v>
      </c>
      <c r="MH19" s="424" t="s">
        <v>364</v>
      </c>
      <c r="MI19" s="424" t="s">
        <v>364</v>
      </c>
      <c r="MJ19" s="424" t="s">
        <v>364</v>
      </c>
      <c r="MK19" s="424" t="s">
        <v>364</v>
      </c>
      <c r="ML19" s="424" t="s">
        <v>364</v>
      </c>
      <c r="MM19" s="424" t="s">
        <v>364</v>
      </c>
      <c r="MN19" s="424" t="s">
        <v>364</v>
      </c>
      <c r="MO19" s="424" t="s">
        <v>364</v>
      </c>
      <c r="MP19" s="424" t="s">
        <v>364</v>
      </c>
      <c r="MQ19" s="424" t="s">
        <v>364</v>
      </c>
      <c r="MR19" s="424" t="s">
        <v>364</v>
      </c>
      <c r="MS19" s="424" t="s">
        <v>364</v>
      </c>
      <c r="MT19" s="424" t="s">
        <v>364</v>
      </c>
      <c r="MU19" s="424" t="s">
        <v>364</v>
      </c>
      <c r="MV19" s="424" t="s">
        <v>364</v>
      </c>
      <c r="MW19" s="424" t="s">
        <v>364</v>
      </c>
      <c r="MX19" s="424">
        <f t="shared" si="13"/>
        <v>0</v>
      </c>
      <c r="MY19" s="424" t="s">
        <v>364</v>
      </c>
      <c r="MZ19" s="424" t="s">
        <v>364</v>
      </c>
      <c r="NA19" s="424" t="s">
        <v>364</v>
      </c>
      <c r="NB19" s="424" t="s">
        <v>364</v>
      </c>
      <c r="NC19" s="424" t="s">
        <v>364</v>
      </c>
      <c r="ND19" s="424" t="s">
        <v>364</v>
      </c>
      <c r="NE19" s="424" t="s">
        <v>364</v>
      </c>
      <c r="NF19" s="424" t="s">
        <v>364</v>
      </c>
      <c r="NG19" s="424" t="s">
        <v>364</v>
      </c>
      <c r="NH19" s="424" t="s">
        <v>364</v>
      </c>
      <c r="NI19" s="424" t="s">
        <v>364</v>
      </c>
      <c r="NJ19" s="424" t="s">
        <v>364</v>
      </c>
      <c r="NK19" s="424">
        <f t="shared" si="2"/>
        <v>0</v>
      </c>
      <c r="NL19" s="424">
        <f t="shared" si="14"/>
        <v>0</v>
      </c>
      <c r="NM19" s="424" t="s">
        <v>364</v>
      </c>
      <c r="NN19" s="424" t="s">
        <v>364</v>
      </c>
      <c r="NO19" s="424" t="s">
        <v>364</v>
      </c>
      <c r="NP19" s="424" t="s">
        <v>364</v>
      </c>
      <c r="NQ19" s="424" t="s">
        <v>364</v>
      </c>
      <c r="NR19" s="424" t="s">
        <v>364</v>
      </c>
      <c r="NS19" s="424" t="s">
        <v>364</v>
      </c>
      <c r="NT19" s="424" t="s">
        <v>364</v>
      </c>
      <c r="NU19" s="424" t="s">
        <v>364</v>
      </c>
      <c r="NV19" s="424" t="s">
        <v>364</v>
      </c>
      <c r="NW19" s="424" t="s">
        <v>364</v>
      </c>
      <c r="NX19" s="424" t="s">
        <v>364</v>
      </c>
      <c r="NY19" s="424" t="s">
        <v>364</v>
      </c>
      <c r="NZ19" s="424">
        <f t="shared" si="15"/>
        <v>0</v>
      </c>
      <c r="OA19" s="424" t="s">
        <v>364</v>
      </c>
      <c r="OB19" s="424" t="s">
        <v>364</v>
      </c>
      <c r="OC19" s="424" t="s">
        <v>364</v>
      </c>
      <c r="OD19" s="424" t="s">
        <v>364</v>
      </c>
      <c r="OE19" s="424" t="s">
        <v>364</v>
      </c>
      <c r="OF19" s="424" t="s">
        <v>364</v>
      </c>
      <c r="OG19" s="424" t="s">
        <v>364</v>
      </c>
      <c r="OH19" s="424">
        <f t="shared" si="16"/>
        <v>0</v>
      </c>
      <c r="OI19" s="424">
        <f t="shared" si="17"/>
        <v>0</v>
      </c>
      <c r="OJ19" s="422" t="s">
        <v>364</v>
      </c>
      <c r="OK19" s="422" t="s">
        <v>364</v>
      </c>
      <c r="OL19" s="422" t="s">
        <v>364</v>
      </c>
      <c r="OM19" s="422" t="s">
        <v>364</v>
      </c>
      <c r="ON19" s="422" t="s">
        <v>364</v>
      </c>
      <c r="OO19" s="422" t="s">
        <v>364</v>
      </c>
      <c r="OP19" s="422" t="s">
        <v>364</v>
      </c>
      <c r="OQ19" s="422" t="s">
        <v>364</v>
      </c>
      <c r="OR19" s="422" t="s">
        <v>364</v>
      </c>
      <c r="OS19" s="422" t="s">
        <v>364</v>
      </c>
      <c r="OT19" s="422" t="s">
        <v>364</v>
      </c>
      <c r="OU19" s="422" t="s">
        <v>364</v>
      </c>
      <c r="OV19" s="422" t="s">
        <v>364</v>
      </c>
      <c r="OW19" s="422" t="s">
        <v>364</v>
      </c>
      <c r="OX19" s="422" t="s">
        <v>364</v>
      </c>
      <c r="OY19" s="422" t="s">
        <v>364</v>
      </c>
      <c r="OZ19" s="422" t="s">
        <v>364</v>
      </c>
      <c r="PA19" s="422" t="s">
        <v>364</v>
      </c>
      <c r="PB19" s="424">
        <f t="shared" si="18"/>
        <v>0</v>
      </c>
      <c r="PC19" s="422" t="s">
        <v>364</v>
      </c>
      <c r="PD19" s="422" t="s">
        <v>364</v>
      </c>
      <c r="PE19" s="422" t="s">
        <v>364</v>
      </c>
      <c r="PF19" s="422" t="s">
        <v>364</v>
      </c>
      <c r="PG19" s="422" t="s">
        <v>364</v>
      </c>
      <c r="PH19" s="422" t="s">
        <v>364</v>
      </c>
      <c r="PI19" s="422" t="s">
        <v>364</v>
      </c>
      <c r="PJ19" s="422" t="s">
        <v>364</v>
      </c>
    </row>
    <row r="20" spans="2:426" ht="15.6">
      <c r="B20" s="426" t="s">
        <v>2693</v>
      </c>
      <c r="C20" s="422">
        <f t="shared" si="3"/>
        <v>0</v>
      </c>
      <c r="D20" s="422" t="s">
        <v>364</v>
      </c>
      <c r="E20" s="422" t="s">
        <v>364</v>
      </c>
      <c r="F20" s="422" t="s">
        <v>364</v>
      </c>
      <c r="G20" s="422" t="s">
        <v>364</v>
      </c>
      <c r="H20" s="422" t="s">
        <v>364</v>
      </c>
      <c r="I20" s="422" t="s">
        <v>364</v>
      </c>
      <c r="J20" s="422" t="s">
        <v>364</v>
      </c>
      <c r="K20" s="422" t="s">
        <v>364</v>
      </c>
      <c r="L20" s="422" t="s">
        <v>364</v>
      </c>
      <c r="M20" s="422" t="s">
        <v>364</v>
      </c>
      <c r="N20" s="422" t="s">
        <v>364</v>
      </c>
      <c r="O20" s="422" t="s">
        <v>364</v>
      </c>
      <c r="P20" s="422" t="s">
        <v>364</v>
      </c>
      <c r="Q20" s="422" t="s">
        <v>364</v>
      </c>
      <c r="R20" s="422" t="s">
        <v>364</v>
      </c>
      <c r="S20" s="422" t="s">
        <v>364</v>
      </c>
      <c r="T20" s="422" t="s">
        <v>364</v>
      </c>
      <c r="U20" s="422" t="s">
        <v>364</v>
      </c>
      <c r="V20" s="422" t="s">
        <v>364</v>
      </c>
      <c r="W20" s="422" t="s">
        <v>364</v>
      </c>
      <c r="X20" s="422" t="s">
        <v>364</v>
      </c>
      <c r="Y20" s="422" t="s">
        <v>364</v>
      </c>
      <c r="Z20" s="422" t="s">
        <v>364</v>
      </c>
      <c r="AA20" s="422" t="s">
        <v>364</v>
      </c>
      <c r="AB20" s="422" t="s">
        <v>364</v>
      </c>
      <c r="AC20" s="422" t="s">
        <v>364</v>
      </c>
      <c r="AD20" s="422" t="s">
        <v>364</v>
      </c>
      <c r="AE20" s="422" t="s">
        <v>364</v>
      </c>
      <c r="AF20" s="422" t="s">
        <v>364</v>
      </c>
      <c r="AG20" s="422" t="s">
        <v>364</v>
      </c>
      <c r="AH20" s="422" t="s">
        <v>364</v>
      </c>
      <c r="AI20" s="422" t="s">
        <v>364</v>
      </c>
      <c r="AJ20" s="422" t="s">
        <v>364</v>
      </c>
      <c r="AK20" s="422" t="s">
        <v>364</v>
      </c>
      <c r="AL20" s="422" t="s">
        <v>364</v>
      </c>
      <c r="AM20" s="422" t="s">
        <v>364</v>
      </c>
      <c r="AN20" s="422" t="s">
        <v>364</v>
      </c>
      <c r="AO20" s="422" t="s">
        <v>364</v>
      </c>
      <c r="AP20" s="422" t="s">
        <v>364</v>
      </c>
      <c r="AQ20" s="422">
        <f t="shared" si="0"/>
        <v>265</v>
      </c>
      <c r="AR20" s="422" t="s">
        <v>364</v>
      </c>
      <c r="AS20" s="422" t="s">
        <v>364</v>
      </c>
      <c r="AT20" s="422" t="s">
        <v>364</v>
      </c>
      <c r="AU20" s="422" t="s">
        <v>364</v>
      </c>
      <c r="AV20" s="422" t="s">
        <v>364</v>
      </c>
      <c r="AW20" s="422" t="s">
        <v>364</v>
      </c>
      <c r="AX20" s="422" t="s">
        <v>364</v>
      </c>
      <c r="AY20" s="422" t="s">
        <v>364</v>
      </c>
      <c r="AZ20" s="422" t="s">
        <v>364</v>
      </c>
      <c r="BA20" s="422" t="s">
        <v>364</v>
      </c>
      <c r="BB20" s="422" t="s">
        <v>364</v>
      </c>
      <c r="BC20" s="422" t="s">
        <v>364</v>
      </c>
      <c r="BD20" s="422" t="s">
        <v>364</v>
      </c>
      <c r="BE20" s="422" t="s">
        <v>364</v>
      </c>
      <c r="BF20" s="422" t="s">
        <v>364</v>
      </c>
      <c r="BG20" s="422" t="s">
        <v>364</v>
      </c>
      <c r="BH20" s="422" t="s">
        <v>364</v>
      </c>
      <c r="BI20" s="422" t="s">
        <v>364</v>
      </c>
      <c r="BJ20" s="422" t="s">
        <v>364</v>
      </c>
      <c r="BK20" s="422" t="s">
        <v>364</v>
      </c>
      <c r="BL20" s="422" t="s">
        <v>364</v>
      </c>
      <c r="BM20" s="422" t="s">
        <v>364</v>
      </c>
      <c r="BN20" s="422" t="s">
        <v>364</v>
      </c>
      <c r="BO20" s="422" t="s">
        <v>364</v>
      </c>
      <c r="BP20" s="422" t="s">
        <v>364</v>
      </c>
      <c r="BQ20" s="422" t="s">
        <v>364</v>
      </c>
      <c r="BR20" s="422" t="s">
        <v>364</v>
      </c>
      <c r="BS20" s="422" t="s">
        <v>364</v>
      </c>
      <c r="BT20" s="422" t="s">
        <v>364</v>
      </c>
      <c r="BU20" s="422" t="s">
        <v>364</v>
      </c>
      <c r="BV20" s="422" t="s">
        <v>364</v>
      </c>
      <c r="BW20" s="422" t="s">
        <v>364</v>
      </c>
      <c r="BX20" s="422">
        <v>200</v>
      </c>
      <c r="BY20" s="422" t="s">
        <v>364</v>
      </c>
      <c r="BZ20" s="422" t="s">
        <v>364</v>
      </c>
      <c r="CA20" s="422" t="s">
        <v>364</v>
      </c>
      <c r="CB20" s="422" t="s">
        <v>364</v>
      </c>
      <c r="CC20" s="422" t="s">
        <v>364</v>
      </c>
      <c r="CD20" s="422">
        <v>65</v>
      </c>
      <c r="CE20" s="422" t="s">
        <v>364</v>
      </c>
      <c r="CF20" s="422" t="s">
        <v>364</v>
      </c>
      <c r="CG20" s="422" t="s">
        <v>364</v>
      </c>
      <c r="CH20" s="422" t="s">
        <v>364</v>
      </c>
      <c r="CI20" s="422" t="s">
        <v>364</v>
      </c>
      <c r="CJ20" s="422" t="s">
        <v>364</v>
      </c>
      <c r="CK20" s="422" t="s">
        <v>364</v>
      </c>
      <c r="CL20" s="422" t="s">
        <v>364</v>
      </c>
      <c r="CM20" s="422" t="s">
        <v>364</v>
      </c>
      <c r="CN20" s="422" t="s">
        <v>364</v>
      </c>
      <c r="CO20" s="422" t="s">
        <v>364</v>
      </c>
      <c r="CP20" s="422" t="s">
        <v>364</v>
      </c>
      <c r="CQ20" s="422" t="s">
        <v>364</v>
      </c>
      <c r="CR20" s="422" t="s">
        <v>364</v>
      </c>
      <c r="CS20" s="422" t="s">
        <v>364</v>
      </c>
      <c r="CT20" s="422" t="s">
        <v>364</v>
      </c>
      <c r="CU20" s="422" t="s">
        <v>364</v>
      </c>
      <c r="CV20" s="422" t="s">
        <v>364</v>
      </c>
      <c r="CW20" s="422" t="s">
        <v>364</v>
      </c>
      <c r="CX20" s="422" t="s">
        <v>364</v>
      </c>
      <c r="CY20" s="422" t="s">
        <v>364</v>
      </c>
      <c r="CZ20" s="422" t="s">
        <v>364</v>
      </c>
      <c r="DA20" s="422" t="s">
        <v>364</v>
      </c>
      <c r="DB20" s="422" t="s">
        <v>364</v>
      </c>
      <c r="DC20" s="422" t="s">
        <v>364</v>
      </c>
      <c r="DD20" s="422" t="s">
        <v>364</v>
      </c>
      <c r="DE20" s="422" t="s">
        <v>364</v>
      </c>
      <c r="DF20" s="422" t="s">
        <v>364</v>
      </c>
      <c r="DG20" s="422" t="s">
        <v>364</v>
      </c>
      <c r="DH20" s="422" t="s">
        <v>364</v>
      </c>
      <c r="DI20" s="422" t="s">
        <v>364</v>
      </c>
      <c r="DJ20" s="422" t="s">
        <v>364</v>
      </c>
      <c r="DK20" s="422">
        <f t="shared" si="4"/>
        <v>0</v>
      </c>
      <c r="DL20" s="422" t="s">
        <v>364</v>
      </c>
      <c r="DM20" s="422" t="s">
        <v>364</v>
      </c>
      <c r="DN20" s="422" t="s">
        <v>364</v>
      </c>
      <c r="DO20" s="422" t="s">
        <v>364</v>
      </c>
      <c r="DP20" s="422" t="s">
        <v>364</v>
      </c>
      <c r="DQ20" s="422" t="s">
        <v>364</v>
      </c>
      <c r="DR20" s="422" t="s">
        <v>364</v>
      </c>
      <c r="DS20" s="422" t="s">
        <v>364</v>
      </c>
      <c r="DT20" s="422" t="s">
        <v>364</v>
      </c>
      <c r="DU20" s="422" t="s">
        <v>364</v>
      </c>
      <c r="DV20" s="422" t="s">
        <v>364</v>
      </c>
      <c r="DW20" s="422" t="s">
        <v>364</v>
      </c>
      <c r="DX20" s="422" t="s">
        <v>364</v>
      </c>
      <c r="DY20" s="422">
        <f t="shared" si="5"/>
        <v>248</v>
      </c>
      <c r="DZ20" s="422" t="s">
        <v>364</v>
      </c>
      <c r="EA20" s="422" t="s">
        <v>364</v>
      </c>
      <c r="EB20" s="422" t="s">
        <v>364</v>
      </c>
      <c r="EC20" s="422" t="s">
        <v>364</v>
      </c>
      <c r="ED20" s="422" t="s">
        <v>364</v>
      </c>
      <c r="EE20" s="422" t="s">
        <v>364</v>
      </c>
      <c r="EF20" s="422" t="s">
        <v>364</v>
      </c>
      <c r="EG20" s="422" t="s">
        <v>364</v>
      </c>
      <c r="EH20" s="422" t="s">
        <v>364</v>
      </c>
      <c r="EI20" s="422">
        <v>98</v>
      </c>
      <c r="EJ20" s="422" t="s">
        <v>364</v>
      </c>
      <c r="EK20" s="422" t="s">
        <v>364</v>
      </c>
      <c r="EL20" s="422" t="s">
        <v>364</v>
      </c>
      <c r="EM20" s="422" t="s">
        <v>364</v>
      </c>
      <c r="EN20" s="422" t="s">
        <v>364</v>
      </c>
      <c r="EO20" s="422" t="s">
        <v>364</v>
      </c>
      <c r="EP20" s="422" t="s">
        <v>364</v>
      </c>
      <c r="EQ20" s="422" t="s">
        <v>364</v>
      </c>
      <c r="ER20" s="422" t="s">
        <v>364</v>
      </c>
      <c r="ES20" s="422" t="s">
        <v>364</v>
      </c>
      <c r="ET20" s="422" t="s">
        <v>364</v>
      </c>
      <c r="EU20" s="422">
        <v>150</v>
      </c>
      <c r="EV20" s="422" t="s">
        <v>364</v>
      </c>
      <c r="EW20" s="422" t="s">
        <v>364</v>
      </c>
      <c r="EX20" s="422" t="s">
        <v>364</v>
      </c>
      <c r="EY20" s="422" t="s">
        <v>364</v>
      </c>
      <c r="EZ20" s="422" t="s">
        <v>364</v>
      </c>
      <c r="FA20" s="422">
        <f t="shared" si="6"/>
        <v>149</v>
      </c>
      <c r="FB20" s="422" t="s">
        <v>364</v>
      </c>
      <c r="FC20" s="422" t="s">
        <v>364</v>
      </c>
      <c r="FD20" s="422" t="s">
        <v>364</v>
      </c>
      <c r="FE20" s="422" t="s">
        <v>364</v>
      </c>
      <c r="FF20" s="422" t="s">
        <v>364</v>
      </c>
      <c r="FG20" s="422" t="s">
        <v>364</v>
      </c>
      <c r="FH20" s="422" t="s">
        <v>364</v>
      </c>
      <c r="FI20" s="422" t="s">
        <v>364</v>
      </c>
      <c r="FJ20" s="422" t="s">
        <v>364</v>
      </c>
      <c r="FK20" s="422" t="s">
        <v>364</v>
      </c>
      <c r="FL20" s="422" t="s">
        <v>364</v>
      </c>
      <c r="FM20" s="422" t="s">
        <v>364</v>
      </c>
      <c r="FN20" s="422" t="s">
        <v>364</v>
      </c>
      <c r="FO20" s="422">
        <v>149</v>
      </c>
      <c r="FP20" s="422" t="s">
        <v>364</v>
      </c>
      <c r="FQ20" s="422" t="s">
        <v>364</v>
      </c>
      <c r="FR20" s="422" t="s">
        <v>364</v>
      </c>
      <c r="FS20" s="422" t="s">
        <v>364</v>
      </c>
      <c r="FT20" s="422" t="s">
        <v>364</v>
      </c>
      <c r="FU20" s="422" t="s">
        <v>364</v>
      </c>
      <c r="FV20" s="422" t="s">
        <v>364</v>
      </c>
      <c r="FW20" s="422" t="s">
        <v>364</v>
      </c>
      <c r="FX20" s="422" t="s">
        <v>364</v>
      </c>
      <c r="FY20" s="422" t="s">
        <v>364</v>
      </c>
      <c r="FZ20" s="422" t="s">
        <v>364</v>
      </c>
      <c r="GA20" s="422" t="s">
        <v>364</v>
      </c>
      <c r="GB20" s="422" t="s">
        <v>364</v>
      </c>
      <c r="GC20" s="422" t="s">
        <v>364</v>
      </c>
      <c r="GD20" s="422" t="s">
        <v>364</v>
      </c>
      <c r="GE20" s="422" t="s">
        <v>364</v>
      </c>
      <c r="GF20" s="422" t="s">
        <v>364</v>
      </c>
      <c r="GG20" s="422" t="s">
        <v>364</v>
      </c>
      <c r="GH20" s="422" t="s">
        <v>364</v>
      </c>
      <c r="GI20" s="422" t="s">
        <v>364</v>
      </c>
      <c r="GJ20" s="422" t="s">
        <v>364</v>
      </c>
      <c r="GK20" s="422" t="s">
        <v>364</v>
      </c>
      <c r="GL20" s="422" t="s">
        <v>364</v>
      </c>
      <c r="GM20" s="422" t="s">
        <v>364</v>
      </c>
      <c r="GN20" s="422" t="s">
        <v>364</v>
      </c>
      <c r="GO20" s="422" t="s">
        <v>364</v>
      </c>
      <c r="GP20" s="422" t="s">
        <v>364</v>
      </c>
      <c r="GQ20" s="422" t="s">
        <v>364</v>
      </c>
      <c r="GR20" s="422" t="s">
        <v>364</v>
      </c>
      <c r="GS20" s="422" t="s">
        <v>364</v>
      </c>
      <c r="GT20" s="422" t="s">
        <v>364</v>
      </c>
      <c r="GU20" s="422" t="s">
        <v>364</v>
      </c>
      <c r="GV20" s="422">
        <f t="shared" si="7"/>
        <v>56</v>
      </c>
      <c r="GW20" s="422" t="s">
        <v>364</v>
      </c>
      <c r="GX20" s="422" t="s">
        <v>364</v>
      </c>
      <c r="GY20" s="422" t="s">
        <v>364</v>
      </c>
      <c r="GZ20" s="422">
        <v>56</v>
      </c>
      <c r="HA20" s="422" t="s">
        <v>364</v>
      </c>
      <c r="HB20" s="422" t="s">
        <v>364</v>
      </c>
      <c r="HC20" s="422" t="s">
        <v>364</v>
      </c>
      <c r="HD20" s="422" t="s">
        <v>364</v>
      </c>
      <c r="HE20" s="422" t="s">
        <v>364</v>
      </c>
      <c r="HF20" s="422" t="s">
        <v>364</v>
      </c>
      <c r="HG20" s="422" t="s">
        <v>364</v>
      </c>
      <c r="HH20" s="422" t="s">
        <v>364</v>
      </c>
      <c r="HI20" s="422" t="s">
        <v>364</v>
      </c>
      <c r="HJ20" s="422" t="s">
        <v>364</v>
      </c>
      <c r="HK20" s="422" t="s">
        <v>364</v>
      </c>
      <c r="HL20" s="422" t="s">
        <v>364</v>
      </c>
      <c r="HM20" s="422" t="s">
        <v>364</v>
      </c>
      <c r="HN20" s="422" t="s">
        <v>364</v>
      </c>
      <c r="HO20" s="422" t="s">
        <v>364</v>
      </c>
      <c r="HP20" s="422" t="s">
        <v>364</v>
      </c>
      <c r="HQ20" s="422" t="s">
        <v>364</v>
      </c>
      <c r="HR20" s="422" t="s">
        <v>364</v>
      </c>
      <c r="HS20" s="422" t="s">
        <v>364</v>
      </c>
      <c r="HT20" s="422" t="s">
        <v>364</v>
      </c>
      <c r="HU20" s="422" t="s">
        <v>364</v>
      </c>
      <c r="HV20" s="422" t="s">
        <v>364</v>
      </c>
      <c r="HW20" s="422" t="s">
        <v>364</v>
      </c>
      <c r="HX20" s="422" t="s">
        <v>364</v>
      </c>
      <c r="HY20" s="422">
        <f t="shared" si="8"/>
        <v>0</v>
      </c>
      <c r="HZ20" s="422" t="s">
        <v>364</v>
      </c>
      <c r="IA20" s="422" t="s">
        <v>364</v>
      </c>
      <c r="IB20" s="422" t="s">
        <v>364</v>
      </c>
      <c r="IC20" s="422" t="s">
        <v>364</v>
      </c>
      <c r="ID20" s="422" t="s">
        <v>364</v>
      </c>
      <c r="IE20" s="422" t="s">
        <v>364</v>
      </c>
      <c r="IF20" s="422">
        <f t="shared" si="9"/>
        <v>0</v>
      </c>
      <c r="IG20" s="422" t="s">
        <v>364</v>
      </c>
      <c r="IH20" s="422" t="s">
        <v>364</v>
      </c>
      <c r="II20" s="422" t="s">
        <v>364</v>
      </c>
      <c r="IJ20" s="422" t="s">
        <v>364</v>
      </c>
      <c r="IK20" s="422" t="s">
        <v>364</v>
      </c>
      <c r="IL20" s="422" t="s">
        <v>364</v>
      </c>
      <c r="IM20" s="422" t="s">
        <v>364</v>
      </c>
      <c r="IN20" s="422" t="s">
        <v>364</v>
      </c>
      <c r="IO20" s="422" t="s">
        <v>364</v>
      </c>
      <c r="IP20" s="422" t="s">
        <v>364</v>
      </c>
      <c r="IQ20" s="422" t="s">
        <v>364</v>
      </c>
      <c r="IR20" s="422" t="s">
        <v>364</v>
      </c>
      <c r="IS20" s="422" t="s">
        <v>364</v>
      </c>
      <c r="IT20" s="422" t="s">
        <v>364</v>
      </c>
      <c r="IU20" s="422" t="s">
        <v>364</v>
      </c>
      <c r="IV20" s="422" t="s">
        <v>364</v>
      </c>
      <c r="IW20" s="422" t="s">
        <v>364</v>
      </c>
      <c r="IX20" s="422" t="s">
        <v>364</v>
      </c>
      <c r="IY20" s="422" t="s">
        <v>364</v>
      </c>
      <c r="IZ20" s="422">
        <f t="shared" si="10"/>
        <v>61</v>
      </c>
      <c r="JA20" s="422" t="s">
        <v>364</v>
      </c>
      <c r="JB20" s="422" t="s">
        <v>364</v>
      </c>
      <c r="JC20" s="422" t="s">
        <v>364</v>
      </c>
      <c r="JD20" s="422">
        <v>61</v>
      </c>
      <c r="JE20" s="422" t="s">
        <v>364</v>
      </c>
      <c r="JF20" s="422" t="s">
        <v>364</v>
      </c>
      <c r="JG20" s="422" t="s">
        <v>364</v>
      </c>
      <c r="JH20" s="422" t="s">
        <v>364</v>
      </c>
      <c r="JI20" s="422" t="s">
        <v>364</v>
      </c>
      <c r="JJ20" s="422" t="s">
        <v>364</v>
      </c>
      <c r="JK20" s="422" t="s">
        <v>364</v>
      </c>
      <c r="JL20" s="422" t="s">
        <v>364</v>
      </c>
      <c r="JM20" s="422" t="s">
        <v>364</v>
      </c>
      <c r="JN20" s="422" t="s">
        <v>364</v>
      </c>
      <c r="JO20" s="422" t="s">
        <v>364</v>
      </c>
      <c r="JP20" s="422" t="s">
        <v>364</v>
      </c>
      <c r="JQ20" s="422" t="s">
        <v>364</v>
      </c>
      <c r="JR20" s="422" t="s">
        <v>364</v>
      </c>
      <c r="JS20" s="422" t="s">
        <v>364</v>
      </c>
      <c r="JT20" s="422" t="s">
        <v>364</v>
      </c>
      <c r="JU20" s="422" t="s">
        <v>364</v>
      </c>
      <c r="JV20" s="422" t="s">
        <v>364</v>
      </c>
      <c r="JW20" s="422">
        <f t="shared" si="11"/>
        <v>0</v>
      </c>
      <c r="JX20" s="422" t="s">
        <v>364</v>
      </c>
      <c r="JY20" s="422" t="s">
        <v>364</v>
      </c>
      <c r="JZ20" s="422" t="s">
        <v>364</v>
      </c>
      <c r="KA20" s="422" t="s">
        <v>364</v>
      </c>
      <c r="KB20" s="422" t="s">
        <v>364</v>
      </c>
      <c r="KC20" s="422" t="s">
        <v>364</v>
      </c>
      <c r="KD20" s="422" t="s">
        <v>364</v>
      </c>
      <c r="KE20" s="422" t="s">
        <v>364</v>
      </c>
      <c r="KF20" s="422" t="s">
        <v>364</v>
      </c>
      <c r="KG20" s="422" t="s">
        <v>364</v>
      </c>
      <c r="KH20" s="422" t="s">
        <v>364</v>
      </c>
      <c r="KI20" s="422" t="s">
        <v>364</v>
      </c>
      <c r="KJ20" s="422" t="s">
        <v>364</v>
      </c>
      <c r="KK20" s="422" t="s">
        <v>364</v>
      </c>
      <c r="KL20" s="422" t="s">
        <v>364</v>
      </c>
      <c r="KM20" s="422" t="s">
        <v>364</v>
      </c>
      <c r="KN20" s="422" t="s">
        <v>364</v>
      </c>
      <c r="KO20" s="422" t="s">
        <v>364</v>
      </c>
      <c r="KP20" s="422" t="s">
        <v>364</v>
      </c>
      <c r="KQ20" s="422" t="s">
        <v>364</v>
      </c>
      <c r="KR20" s="422" t="s">
        <v>364</v>
      </c>
      <c r="KS20" s="422" t="s">
        <v>364</v>
      </c>
      <c r="KT20" s="422" t="s">
        <v>364</v>
      </c>
      <c r="KU20" s="422" t="s">
        <v>364</v>
      </c>
      <c r="KV20" s="422" t="s">
        <v>364</v>
      </c>
      <c r="KW20" s="422" t="s">
        <v>364</v>
      </c>
      <c r="KX20" s="422" t="s">
        <v>364</v>
      </c>
      <c r="KY20" s="422" t="s">
        <v>364</v>
      </c>
      <c r="KZ20" s="422" t="s">
        <v>364</v>
      </c>
      <c r="LA20" s="422" t="s">
        <v>364</v>
      </c>
      <c r="LB20" s="422" t="s">
        <v>364</v>
      </c>
      <c r="LC20" s="422" t="s">
        <v>364</v>
      </c>
      <c r="LD20" s="422" t="s">
        <v>364</v>
      </c>
      <c r="LE20" s="422" t="s">
        <v>364</v>
      </c>
      <c r="LF20" s="422" t="s">
        <v>364</v>
      </c>
      <c r="LG20" s="422" t="s">
        <v>364</v>
      </c>
      <c r="LH20" s="422" t="s">
        <v>364</v>
      </c>
      <c r="LI20" s="422" t="s">
        <v>364</v>
      </c>
      <c r="LJ20" s="422" t="s">
        <v>364</v>
      </c>
      <c r="LK20" s="422" t="s">
        <v>364</v>
      </c>
      <c r="LL20" s="422" t="s">
        <v>364</v>
      </c>
      <c r="LM20" s="424" t="s">
        <v>364</v>
      </c>
      <c r="LN20" s="424">
        <v>18</v>
      </c>
      <c r="LO20" s="424" t="s">
        <v>364</v>
      </c>
      <c r="LP20" s="424" t="s">
        <v>364</v>
      </c>
      <c r="LQ20" s="424" t="s">
        <v>364</v>
      </c>
      <c r="LR20" s="424">
        <v>18</v>
      </c>
      <c r="LS20" s="424" t="s">
        <v>364</v>
      </c>
      <c r="LT20" s="424" t="s">
        <v>364</v>
      </c>
      <c r="LU20" s="424" t="s">
        <v>364</v>
      </c>
      <c r="LV20" s="424" t="s">
        <v>364</v>
      </c>
      <c r="LW20" s="424" t="s">
        <v>364</v>
      </c>
      <c r="LX20" s="424">
        <f t="shared" si="12"/>
        <v>0</v>
      </c>
      <c r="LY20" s="424" t="s">
        <v>364</v>
      </c>
      <c r="LZ20" s="424" t="s">
        <v>364</v>
      </c>
      <c r="MA20" s="424" t="s">
        <v>364</v>
      </c>
      <c r="MB20" s="424" t="s">
        <v>364</v>
      </c>
      <c r="MC20" s="424" t="s">
        <v>364</v>
      </c>
      <c r="MD20" s="424" t="s">
        <v>364</v>
      </c>
      <c r="ME20" s="424">
        <f t="shared" si="1"/>
        <v>6</v>
      </c>
      <c r="MF20" s="424" t="s">
        <v>364</v>
      </c>
      <c r="MG20" s="424" t="s">
        <v>364</v>
      </c>
      <c r="MH20" s="424" t="s">
        <v>364</v>
      </c>
      <c r="MI20" s="424" t="s">
        <v>364</v>
      </c>
      <c r="MJ20" s="424" t="s">
        <v>364</v>
      </c>
      <c r="MK20" s="424" t="s">
        <v>364</v>
      </c>
      <c r="ML20" s="424" t="s">
        <v>364</v>
      </c>
      <c r="MM20" s="424" t="s">
        <v>364</v>
      </c>
      <c r="MN20" s="424">
        <v>6</v>
      </c>
      <c r="MO20" s="424" t="s">
        <v>364</v>
      </c>
      <c r="MP20" s="424" t="s">
        <v>364</v>
      </c>
      <c r="MQ20" s="424" t="s">
        <v>364</v>
      </c>
      <c r="MR20" s="424" t="s">
        <v>364</v>
      </c>
      <c r="MS20" s="424" t="s">
        <v>364</v>
      </c>
      <c r="MT20" s="424" t="s">
        <v>364</v>
      </c>
      <c r="MU20" s="424" t="s">
        <v>364</v>
      </c>
      <c r="MV20" s="424" t="s">
        <v>364</v>
      </c>
      <c r="MW20" s="424" t="s">
        <v>364</v>
      </c>
      <c r="MX20" s="424">
        <f t="shared" si="13"/>
        <v>0</v>
      </c>
      <c r="MY20" s="424" t="s">
        <v>364</v>
      </c>
      <c r="MZ20" s="424" t="s">
        <v>364</v>
      </c>
      <c r="NA20" s="424" t="s">
        <v>364</v>
      </c>
      <c r="NB20" s="424" t="s">
        <v>364</v>
      </c>
      <c r="NC20" s="424" t="s">
        <v>364</v>
      </c>
      <c r="ND20" s="424" t="s">
        <v>364</v>
      </c>
      <c r="NE20" s="424" t="s">
        <v>364</v>
      </c>
      <c r="NF20" s="424" t="s">
        <v>364</v>
      </c>
      <c r="NG20" s="424" t="s">
        <v>6598</v>
      </c>
      <c r="NH20" s="424" t="s">
        <v>364</v>
      </c>
      <c r="NI20" s="424" t="s">
        <v>364</v>
      </c>
      <c r="NJ20" s="424" t="s">
        <v>364</v>
      </c>
      <c r="NK20" s="424">
        <f t="shared" si="2"/>
        <v>18</v>
      </c>
      <c r="NL20" s="424">
        <f t="shared" si="14"/>
        <v>18</v>
      </c>
      <c r="NM20" s="424" t="s">
        <v>364</v>
      </c>
      <c r="NN20" s="424" t="s">
        <v>364</v>
      </c>
      <c r="NO20" s="424" t="s">
        <v>364</v>
      </c>
      <c r="NP20" s="424" t="s">
        <v>364</v>
      </c>
      <c r="NQ20" s="424" t="s">
        <v>364</v>
      </c>
      <c r="NR20" s="424" t="s">
        <v>364</v>
      </c>
      <c r="NS20" s="424" t="s">
        <v>364</v>
      </c>
      <c r="NT20" s="424" t="s">
        <v>364</v>
      </c>
      <c r="NU20" s="424" t="s">
        <v>364</v>
      </c>
      <c r="NV20" s="424">
        <v>18</v>
      </c>
      <c r="NW20" s="424" t="s">
        <v>364</v>
      </c>
      <c r="NX20" s="424" t="s">
        <v>364</v>
      </c>
      <c r="NY20" s="424" t="s">
        <v>364</v>
      </c>
      <c r="NZ20" s="424">
        <f t="shared" si="15"/>
        <v>0</v>
      </c>
      <c r="OA20" s="424" t="s">
        <v>364</v>
      </c>
      <c r="OB20" s="424" t="s">
        <v>364</v>
      </c>
      <c r="OC20" s="424" t="s">
        <v>364</v>
      </c>
      <c r="OD20" s="424" t="s">
        <v>364</v>
      </c>
      <c r="OE20" s="424" t="s">
        <v>364</v>
      </c>
      <c r="OF20" s="424" t="s">
        <v>364</v>
      </c>
      <c r="OG20" s="424" t="s">
        <v>364</v>
      </c>
      <c r="OH20" s="424">
        <f t="shared" si="16"/>
        <v>0</v>
      </c>
      <c r="OI20" s="424">
        <f t="shared" si="17"/>
        <v>0</v>
      </c>
      <c r="OJ20" s="422" t="s">
        <v>364</v>
      </c>
      <c r="OK20" s="422" t="s">
        <v>364</v>
      </c>
      <c r="OL20" s="422" t="s">
        <v>364</v>
      </c>
      <c r="OM20" s="422" t="s">
        <v>364</v>
      </c>
      <c r="ON20" s="422" t="s">
        <v>364</v>
      </c>
      <c r="OO20" s="422" t="s">
        <v>364</v>
      </c>
      <c r="OP20" s="422" t="s">
        <v>364</v>
      </c>
      <c r="OQ20" s="422" t="s">
        <v>364</v>
      </c>
      <c r="OR20" s="422" t="s">
        <v>364</v>
      </c>
      <c r="OS20" s="422" t="s">
        <v>364</v>
      </c>
      <c r="OT20" s="422" t="s">
        <v>364</v>
      </c>
      <c r="OU20" s="422" t="s">
        <v>364</v>
      </c>
      <c r="OV20" s="422" t="s">
        <v>364</v>
      </c>
      <c r="OW20" s="422" t="s">
        <v>364</v>
      </c>
      <c r="OX20" s="422" t="s">
        <v>364</v>
      </c>
      <c r="OY20" s="422" t="s">
        <v>364</v>
      </c>
      <c r="OZ20" s="422" t="s">
        <v>364</v>
      </c>
      <c r="PA20" s="422" t="s">
        <v>364</v>
      </c>
      <c r="PB20" s="424">
        <f t="shared" si="18"/>
        <v>0</v>
      </c>
      <c r="PC20" s="422" t="s">
        <v>364</v>
      </c>
      <c r="PD20" s="422" t="s">
        <v>364</v>
      </c>
      <c r="PE20" s="422" t="s">
        <v>364</v>
      </c>
      <c r="PF20" s="422" t="s">
        <v>364</v>
      </c>
      <c r="PG20" s="422" t="s">
        <v>364</v>
      </c>
      <c r="PH20" s="422" t="s">
        <v>364</v>
      </c>
      <c r="PI20" s="422" t="s">
        <v>364</v>
      </c>
      <c r="PJ20" s="422" t="s">
        <v>364</v>
      </c>
    </row>
    <row r="21" spans="2:426" ht="15.6">
      <c r="B21" s="426" t="s">
        <v>3412</v>
      </c>
      <c r="C21" s="422">
        <f t="shared" si="3"/>
        <v>327</v>
      </c>
      <c r="D21" s="422">
        <v>108</v>
      </c>
      <c r="E21" s="422" t="s">
        <v>364</v>
      </c>
      <c r="F21" s="422" t="s">
        <v>364</v>
      </c>
      <c r="G21" s="422" t="s">
        <v>364</v>
      </c>
      <c r="H21" s="422" t="s">
        <v>364</v>
      </c>
      <c r="I21" s="422" t="s">
        <v>364</v>
      </c>
      <c r="J21" s="422" t="s">
        <v>364</v>
      </c>
      <c r="K21" s="422" t="s">
        <v>364</v>
      </c>
      <c r="L21" s="422" t="s">
        <v>364</v>
      </c>
      <c r="M21" s="422" t="s">
        <v>364</v>
      </c>
      <c r="N21" s="422" t="s">
        <v>364</v>
      </c>
      <c r="O21" s="422">
        <v>219</v>
      </c>
      <c r="P21" s="422" t="s">
        <v>364</v>
      </c>
      <c r="Q21" s="422" t="s">
        <v>364</v>
      </c>
      <c r="R21" s="422" t="s">
        <v>364</v>
      </c>
      <c r="S21" s="422" t="s">
        <v>364</v>
      </c>
      <c r="T21" s="422" t="s">
        <v>364</v>
      </c>
      <c r="U21" s="422" t="s">
        <v>364</v>
      </c>
      <c r="V21" s="422" t="s">
        <v>364</v>
      </c>
      <c r="W21" s="422" t="s">
        <v>364</v>
      </c>
      <c r="X21" s="422" t="s">
        <v>364</v>
      </c>
      <c r="Y21" s="422" t="s">
        <v>364</v>
      </c>
      <c r="Z21" s="422" t="s">
        <v>364</v>
      </c>
      <c r="AA21" s="422" t="s">
        <v>364</v>
      </c>
      <c r="AB21" s="422" t="s">
        <v>364</v>
      </c>
      <c r="AC21" s="422" t="s">
        <v>364</v>
      </c>
      <c r="AD21" s="422" t="s">
        <v>364</v>
      </c>
      <c r="AE21" s="422" t="s">
        <v>364</v>
      </c>
      <c r="AF21" s="422" t="s">
        <v>364</v>
      </c>
      <c r="AG21" s="422" t="s">
        <v>364</v>
      </c>
      <c r="AH21" s="422" t="s">
        <v>364</v>
      </c>
      <c r="AI21" s="422" t="s">
        <v>364</v>
      </c>
      <c r="AJ21" s="422" t="s">
        <v>364</v>
      </c>
      <c r="AK21" s="422" t="s">
        <v>364</v>
      </c>
      <c r="AL21" s="422" t="s">
        <v>364</v>
      </c>
      <c r="AM21" s="422" t="s">
        <v>364</v>
      </c>
      <c r="AN21" s="422" t="s">
        <v>364</v>
      </c>
      <c r="AO21" s="422" t="s">
        <v>364</v>
      </c>
      <c r="AP21" s="422" t="s">
        <v>364</v>
      </c>
      <c r="AQ21" s="422">
        <f t="shared" si="0"/>
        <v>793</v>
      </c>
      <c r="AR21" s="422" t="s">
        <v>364</v>
      </c>
      <c r="AS21" s="422">
        <v>20</v>
      </c>
      <c r="AT21" s="422" t="s">
        <v>364</v>
      </c>
      <c r="AU21" s="422" t="s">
        <v>364</v>
      </c>
      <c r="AV21" s="422" t="s">
        <v>364</v>
      </c>
      <c r="AW21" s="422" t="s">
        <v>364</v>
      </c>
      <c r="AX21" s="422" t="s">
        <v>364</v>
      </c>
      <c r="AY21" s="422" t="s">
        <v>364</v>
      </c>
      <c r="AZ21" s="422" t="s">
        <v>364</v>
      </c>
      <c r="BA21" s="422" t="s">
        <v>364</v>
      </c>
      <c r="BB21" s="422" t="s">
        <v>364</v>
      </c>
      <c r="BC21" s="422" t="s">
        <v>364</v>
      </c>
      <c r="BD21" s="422" t="s">
        <v>364</v>
      </c>
      <c r="BE21" s="422" t="s">
        <v>364</v>
      </c>
      <c r="BF21" s="422" t="s">
        <v>364</v>
      </c>
      <c r="BG21" s="422" t="s">
        <v>364</v>
      </c>
      <c r="BH21" s="422" t="s">
        <v>364</v>
      </c>
      <c r="BI21" s="422" t="s">
        <v>364</v>
      </c>
      <c r="BJ21" s="422" t="s">
        <v>364</v>
      </c>
      <c r="BK21" s="422" t="s">
        <v>364</v>
      </c>
      <c r="BL21" s="422" t="s">
        <v>364</v>
      </c>
      <c r="BM21" s="422" t="s">
        <v>364</v>
      </c>
      <c r="BN21" s="422" t="s">
        <v>364</v>
      </c>
      <c r="BO21" s="422">
        <v>453</v>
      </c>
      <c r="BP21" s="422" t="s">
        <v>364</v>
      </c>
      <c r="BQ21" s="422" t="s">
        <v>364</v>
      </c>
      <c r="BR21" s="422" t="s">
        <v>364</v>
      </c>
      <c r="BS21" s="422" t="s">
        <v>364</v>
      </c>
      <c r="BT21" s="422" t="s">
        <v>364</v>
      </c>
      <c r="BU21" s="422" t="s">
        <v>364</v>
      </c>
      <c r="BV21" s="422" t="s">
        <v>364</v>
      </c>
      <c r="BW21" s="422" t="s">
        <v>364</v>
      </c>
      <c r="BX21" s="422" t="s">
        <v>364</v>
      </c>
      <c r="BY21" s="422" t="s">
        <v>364</v>
      </c>
      <c r="BZ21" s="422" t="s">
        <v>364</v>
      </c>
      <c r="CA21" s="422" t="s">
        <v>364</v>
      </c>
      <c r="CB21" s="422" t="s">
        <v>364</v>
      </c>
      <c r="CC21" s="422" t="s">
        <v>364</v>
      </c>
      <c r="CD21" s="422" t="s">
        <v>364</v>
      </c>
      <c r="CE21" s="422" t="s">
        <v>364</v>
      </c>
      <c r="CF21" s="422" t="s">
        <v>364</v>
      </c>
      <c r="CG21" s="422" t="s">
        <v>364</v>
      </c>
      <c r="CH21" s="422" t="s">
        <v>364</v>
      </c>
      <c r="CI21" s="422" t="s">
        <v>364</v>
      </c>
      <c r="CJ21" s="422" t="s">
        <v>364</v>
      </c>
      <c r="CK21" s="422" t="s">
        <v>364</v>
      </c>
      <c r="CL21" s="422" t="s">
        <v>364</v>
      </c>
      <c r="CM21" s="422" t="s">
        <v>364</v>
      </c>
      <c r="CN21" s="422" t="s">
        <v>364</v>
      </c>
      <c r="CO21" s="422" t="s">
        <v>364</v>
      </c>
      <c r="CP21" s="422" t="s">
        <v>364</v>
      </c>
      <c r="CQ21" s="422" t="s">
        <v>364</v>
      </c>
      <c r="CR21" s="422" t="s">
        <v>364</v>
      </c>
      <c r="CS21" s="422">
        <v>320</v>
      </c>
      <c r="CT21" s="422" t="s">
        <v>364</v>
      </c>
      <c r="CU21" s="422" t="s">
        <v>364</v>
      </c>
      <c r="CV21" s="422" t="s">
        <v>364</v>
      </c>
      <c r="CW21" s="422" t="s">
        <v>364</v>
      </c>
      <c r="CX21" s="422" t="s">
        <v>364</v>
      </c>
      <c r="CY21" s="422" t="s">
        <v>364</v>
      </c>
      <c r="CZ21" s="422" t="s">
        <v>364</v>
      </c>
      <c r="DA21" s="422" t="s">
        <v>364</v>
      </c>
      <c r="DB21" s="422" t="s">
        <v>364</v>
      </c>
      <c r="DC21" s="422" t="s">
        <v>364</v>
      </c>
      <c r="DD21" s="422" t="s">
        <v>364</v>
      </c>
      <c r="DE21" s="422" t="s">
        <v>364</v>
      </c>
      <c r="DF21" s="422" t="s">
        <v>364</v>
      </c>
      <c r="DG21" s="422" t="s">
        <v>364</v>
      </c>
      <c r="DH21" s="422" t="s">
        <v>364</v>
      </c>
      <c r="DI21" s="422" t="s">
        <v>364</v>
      </c>
      <c r="DJ21" s="422" t="s">
        <v>364</v>
      </c>
      <c r="DK21" s="422">
        <f t="shared" si="4"/>
        <v>110</v>
      </c>
      <c r="DL21" s="422" t="s">
        <v>364</v>
      </c>
      <c r="DM21" s="422" t="s">
        <v>364</v>
      </c>
      <c r="DN21" s="422" t="s">
        <v>364</v>
      </c>
      <c r="DO21" s="422" t="s">
        <v>364</v>
      </c>
      <c r="DP21" s="422">
        <v>110</v>
      </c>
      <c r="DQ21" s="422" t="s">
        <v>364</v>
      </c>
      <c r="DR21" s="422" t="s">
        <v>364</v>
      </c>
      <c r="DS21" s="422" t="s">
        <v>364</v>
      </c>
      <c r="DT21" s="422" t="s">
        <v>364</v>
      </c>
      <c r="DU21" s="422" t="s">
        <v>364</v>
      </c>
      <c r="DV21" s="422" t="s">
        <v>364</v>
      </c>
      <c r="DW21" s="422" t="s">
        <v>364</v>
      </c>
      <c r="DX21" s="422" t="s">
        <v>364</v>
      </c>
      <c r="DY21" s="422">
        <f t="shared" si="5"/>
        <v>260</v>
      </c>
      <c r="DZ21" s="422">
        <v>260</v>
      </c>
      <c r="EA21" s="422" t="s">
        <v>364</v>
      </c>
      <c r="EB21" s="422" t="s">
        <v>364</v>
      </c>
      <c r="EC21" s="422" t="s">
        <v>364</v>
      </c>
      <c r="ED21" s="422" t="s">
        <v>364</v>
      </c>
      <c r="EE21" s="422" t="s">
        <v>364</v>
      </c>
      <c r="EF21" s="422" t="s">
        <v>364</v>
      </c>
      <c r="EG21" s="422" t="s">
        <v>364</v>
      </c>
      <c r="EH21" s="422" t="s">
        <v>364</v>
      </c>
      <c r="EI21" s="422" t="s">
        <v>364</v>
      </c>
      <c r="EJ21" s="422" t="s">
        <v>364</v>
      </c>
      <c r="EK21" s="422" t="s">
        <v>364</v>
      </c>
      <c r="EL21" s="422" t="s">
        <v>364</v>
      </c>
      <c r="EM21" s="422" t="s">
        <v>364</v>
      </c>
      <c r="EN21" s="422" t="s">
        <v>364</v>
      </c>
      <c r="EO21" s="422" t="s">
        <v>364</v>
      </c>
      <c r="EP21" s="422" t="s">
        <v>364</v>
      </c>
      <c r="EQ21" s="422" t="s">
        <v>364</v>
      </c>
      <c r="ER21" s="422" t="s">
        <v>364</v>
      </c>
      <c r="ES21" s="422" t="s">
        <v>364</v>
      </c>
      <c r="ET21" s="422" t="s">
        <v>364</v>
      </c>
      <c r="EU21" s="422" t="s">
        <v>364</v>
      </c>
      <c r="EV21" s="422" t="s">
        <v>364</v>
      </c>
      <c r="EW21" s="422" t="s">
        <v>364</v>
      </c>
      <c r="EX21" s="422" t="s">
        <v>364</v>
      </c>
      <c r="EY21" s="422" t="s">
        <v>364</v>
      </c>
      <c r="EZ21" s="422" t="s">
        <v>364</v>
      </c>
      <c r="FA21" s="422">
        <f t="shared" si="6"/>
        <v>225</v>
      </c>
      <c r="FB21" s="422" t="s">
        <v>364</v>
      </c>
      <c r="FC21" s="422" t="s">
        <v>364</v>
      </c>
      <c r="FD21" s="422" t="s">
        <v>364</v>
      </c>
      <c r="FE21" s="422" t="s">
        <v>364</v>
      </c>
      <c r="FF21" s="422" t="s">
        <v>364</v>
      </c>
      <c r="FG21" s="422" t="s">
        <v>364</v>
      </c>
      <c r="FH21" s="422" t="s">
        <v>364</v>
      </c>
      <c r="FI21" s="422" t="s">
        <v>364</v>
      </c>
      <c r="FJ21" s="422" t="s">
        <v>364</v>
      </c>
      <c r="FK21" s="422" t="s">
        <v>364</v>
      </c>
      <c r="FL21" s="422" t="s">
        <v>364</v>
      </c>
      <c r="FM21" s="422" t="s">
        <v>364</v>
      </c>
      <c r="FN21" s="422" t="s">
        <v>364</v>
      </c>
      <c r="FO21" s="422" t="s">
        <v>364</v>
      </c>
      <c r="FP21" s="422" t="s">
        <v>364</v>
      </c>
      <c r="FQ21" s="422" t="s">
        <v>364</v>
      </c>
      <c r="FR21" s="422" t="s">
        <v>364</v>
      </c>
      <c r="FS21" s="422" t="s">
        <v>364</v>
      </c>
      <c r="FT21" s="422" t="s">
        <v>364</v>
      </c>
      <c r="FU21" s="422" t="s">
        <v>364</v>
      </c>
      <c r="FV21" s="422" t="s">
        <v>364</v>
      </c>
      <c r="FW21" s="422" t="s">
        <v>364</v>
      </c>
      <c r="FX21" s="422" t="s">
        <v>364</v>
      </c>
      <c r="FY21" s="422" t="s">
        <v>364</v>
      </c>
      <c r="FZ21" s="422" t="s">
        <v>364</v>
      </c>
      <c r="GA21" s="422" t="s">
        <v>364</v>
      </c>
      <c r="GB21" s="422" t="s">
        <v>364</v>
      </c>
      <c r="GC21" s="422">
        <v>204</v>
      </c>
      <c r="GD21" s="422">
        <v>21</v>
      </c>
      <c r="GE21" s="422" t="s">
        <v>364</v>
      </c>
      <c r="GF21" s="422" t="s">
        <v>364</v>
      </c>
      <c r="GG21" s="422" t="s">
        <v>364</v>
      </c>
      <c r="GH21" s="422" t="s">
        <v>364</v>
      </c>
      <c r="GI21" s="422" t="s">
        <v>364</v>
      </c>
      <c r="GJ21" s="422" t="s">
        <v>364</v>
      </c>
      <c r="GK21" s="422" t="s">
        <v>364</v>
      </c>
      <c r="GL21" s="422" t="s">
        <v>364</v>
      </c>
      <c r="GM21" s="422" t="s">
        <v>364</v>
      </c>
      <c r="GN21" s="422" t="s">
        <v>364</v>
      </c>
      <c r="GO21" s="422" t="s">
        <v>364</v>
      </c>
      <c r="GP21" s="422" t="s">
        <v>364</v>
      </c>
      <c r="GQ21" s="422" t="s">
        <v>364</v>
      </c>
      <c r="GR21" s="422" t="s">
        <v>364</v>
      </c>
      <c r="GS21" s="422" t="s">
        <v>364</v>
      </c>
      <c r="GT21" s="422" t="s">
        <v>364</v>
      </c>
      <c r="GU21" s="422" t="s">
        <v>364</v>
      </c>
      <c r="GV21" s="422">
        <f t="shared" si="7"/>
        <v>184</v>
      </c>
      <c r="GW21" s="422" t="s">
        <v>364</v>
      </c>
      <c r="GX21" s="422">
        <f>95+6</f>
        <v>101</v>
      </c>
      <c r="GY21" s="422" t="s">
        <v>364</v>
      </c>
      <c r="GZ21" s="422" t="s">
        <v>364</v>
      </c>
      <c r="HA21" s="422" t="s">
        <v>364</v>
      </c>
      <c r="HB21" s="422" t="s">
        <v>364</v>
      </c>
      <c r="HC21" s="422" t="s">
        <v>364</v>
      </c>
      <c r="HD21" s="422" t="s">
        <v>364</v>
      </c>
      <c r="HE21" s="422" t="s">
        <v>364</v>
      </c>
      <c r="HF21" s="422" t="s">
        <v>364</v>
      </c>
      <c r="HG21" s="422" t="s">
        <v>364</v>
      </c>
      <c r="HH21" s="422" t="s">
        <v>364</v>
      </c>
      <c r="HI21" s="422" t="s">
        <v>364</v>
      </c>
      <c r="HJ21" s="422" t="s">
        <v>364</v>
      </c>
      <c r="HK21" s="422" t="s">
        <v>364</v>
      </c>
      <c r="HL21" s="422" t="s">
        <v>364</v>
      </c>
      <c r="HM21" s="422" t="s">
        <v>364</v>
      </c>
      <c r="HN21" s="422">
        <f>64+19</f>
        <v>83</v>
      </c>
      <c r="HO21" s="422" t="s">
        <v>364</v>
      </c>
      <c r="HP21" s="422" t="s">
        <v>364</v>
      </c>
      <c r="HQ21" s="422" t="s">
        <v>364</v>
      </c>
      <c r="HR21" s="422" t="s">
        <v>364</v>
      </c>
      <c r="HS21" s="422" t="s">
        <v>364</v>
      </c>
      <c r="HT21" s="422" t="s">
        <v>364</v>
      </c>
      <c r="HU21" s="422" t="s">
        <v>364</v>
      </c>
      <c r="HV21" s="422" t="s">
        <v>364</v>
      </c>
      <c r="HW21" s="422" t="s">
        <v>364</v>
      </c>
      <c r="HX21" s="422" t="s">
        <v>364</v>
      </c>
      <c r="HY21" s="422">
        <f t="shared" si="8"/>
        <v>0</v>
      </c>
      <c r="HZ21" s="422" t="s">
        <v>364</v>
      </c>
      <c r="IA21" s="422" t="s">
        <v>364</v>
      </c>
      <c r="IB21" s="422" t="s">
        <v>364</v>
      </c>
      <c r="IC21" s="422" t="s">
        <v>364</v>
      </c>
      <c r="ID21" s="422" t="s">
        <v>364</v>
      </c>
      <c r="IE21" s="422" t="s">
        <v>364</v>
      </c>
      <c r="IF21" s="422">
        <f t="shared" si="9"/>
        <v>0</v>
      </c>
      <c r="IG21" s="422" t="s">
        <v>364</v>
      </c>
      <c r="IH21" s="422" t="s">
        <v>364</v>
      </c>
      <c r="II21" s="422" t="s">
        <v>364</v>
      </c>
      <c r="IJ21" s="422" t="s">
        <v>364</v>
      </c>
      <c r="IK21" s="422" t="s">
        <v>364</v>
      </c>
      <c r="IL21" s="422" t="s">
        <v>364</v>
      </c>
      <c r="IM21" s="422" t="s">
        <v>364</v>
      </c>
      <c r="IN21" s="422" t="s">
        <v>364</v>
      </c>
      <c r="IO21" s="422" t="s">
        <v>364</v>
      </c>
      <c r="IP21" s="422" t="s">
        <v>364</v>
      </c>
      <c r="IQ21" s="422" t="s">
        <v>364</v>
      </c>
      <c r="IR21" s="422" t="s">
        <v>364</v>
      </c>
      <c r="IS21" s="422" t="s">
        <v>364</v>
      </c>
      <c r="IT21" s="422" t="s">
        <v>364</v>
      </c>
      <c r="IU21" s="422" t="s">
        <v>364</v>
      </c>
      <c r="IV21" s="422" t="s">
        <v>364</v>
      </c>
      <c r="IW21" s="422" t="s">
        <v>364</v>
      </c>
      <c r="IX21" s="422" t="s">
        <v>364</v>
      </c>
      <c r="IY21" s="422" t="s">
        <v>364</v>
      </c>
      <c r="IZ21" s="422">
        <f t="shared" si="10"/>
        <v>88</v>
      </c>
      <c r="JA21" s="422">
        <v>69</v>
      </c>
      <c r="JB21" s="422" t="s">
        <v>364</v>
      </c>
      <c r="JC21" s="422" t="s">
        <v>364</v>
      </c>
      <c r="JD21" s="422" t="s">
        <v>364</v>
      </c>
      <c r="JE21" s="422" t="s">
        <v>364</v>
      </c>
      <c r="JF21" s="422" t="s">
        <v>364</v>
      </c>
      <c r="JG21" s="422" t="s">
        <v>364</v>
      </c>
      <c r="JH21" s="422" t="s">
        <v>364</v>
      </c>
      <c r="JI21" s="422" t="s">
        <v>364</v>
      </c>
      <c r="JJ21" s="422" t="s">
        <v>364</v>
      </c>
      <c r="JK21" s="422" t="s">
        <v>364</v>
      </c>
      <c r="JL21" s="422">
        <v>19</v>
      </c>
      <c r="JM21" s="422" t="s">
        <v>364</v>
      </c>
      <c r="JN21" s="422" t="s">
        <v>364</v>
      </c>
      <c r="JO21" s="422" t="s">
        <v>364</v>
      </c>
      <c r="JP21" s="422" t="s">
        <v>364</v>
      </c>
      <c r="JQ21" s="422" t="s">
        <v>364</v>
      </c>
      <c r="JR21" s="422" t="s">
        <v>364</v>
      </c>
      <c r="JS21" s="422" t="s">
        <v>364</v>
      </c>
      <c r="JT21" s="422" t="s">
        <v>364</v>
      </c>
      <c r="JU21" s="422" t="s">
        <v>364</v>
      </c>
      <c r="JV21" s="422" t="s">
        <v>364</v>
      </c>
      <c r="JW21" s="422">
        <f t="shared" si="11"/>
        <v>84</v>
      </c>
      <c r="JX21" s="422" t="s">
        <v>364</v>
      </c>
      <c r="JY21" s="422" t="s">
        <v>364</v>
      </c>
      <c r="JZ21" s="422" t="s">
        <v>364</v>
      </c>
      <c r="KA21" s="422" t="s">
        <v>364</v>
      </c>
      <c r="KB21" s="422" t="s">
        <v>364</v>
      </c>
      <c r="KC21" s="422" t="s">
        <v>364</v>
      </c>
      <c r="KD21" s="422" t="s">
        <v>364</v>
      </c>
      <c r="KE21" s="422" t="s">
        <v>364</v>
      </c>
      <c r="KF21" s="422" t="s">
        <v>364</v>
      </c>
      <c r="KG21" s="422" t="s">
        <v>364</v>
      </c>
      <c r="KH21" s="422" t="s">
        <v>364</v>
      </c>
      <c r="KI21" s="422" t="s">
        <v>364</v>
      </c>
      <c r="KJ21" s="422" t="s">
        <v>364</v>
      </c>
      <c r="KK21" s="422" t="s">
        <v>364</v>
      </c>
      <c r="KL21" s="422" t="s">
        <v>364</v>
      </c>
      <c r="KM21" s="422" t="s">
        <v>364</v>
      </c>
      <c r="KN21" s="422">
        <v>20</v>
      </c>
      <c r="KO21" s="422" t="s">
        <v>364</v>
      </c>
      <c r="KP21" s="422" t="s">
        <v>364</v>
      </c>
      <c r="KQ21" s="422" t="s">
        <v>364</v>
      </c>
      <c r="KR21" s="422" t="s">
        <v>364</v>
      </c>
      <c r="KS21" s="422" t="s">
        <v>364</v>
      </c>
      <c r="KT21" s="422" t="s">
        <v>364</v>
      </c>
      <c r="KU21" s="422" t="s">
        <v>364</v>
      </c>
      <c r="KV21" s="422" t="s">
        <v>364</v>
      </c>
      <c r="KW21" s="422" t="s">
        <v>364</v>
      </c>
      <c r="KX21" s="422" t="s">
        <v>364</v>
      </c>
      <c r="KY21" s="422" t="s">
        <v>364</v>
      </c>
      <c r="KZ21" s="422" t="s">
        <v>364</v>
      </c>
      <c r="LA21" s="422" t="s">
        <v>364</v>
      </c>
      <c r="LB21" s="422" t="s">
        <v>364</v>
      </c>
      <c r="LC21" s="422">
        <v>52</v>
      </c>
      <c r="LD21" s="422">
        <v>12</v>
      </c>
      <c r="LE21" s="422" t="s">
        <v>364</v>
      </c>
      <c r="LF21" s="422" t="s">
        <v>364</v>
      </c>
      <c r="LG21" s="422" t="s">
        <v>364</v>
      </c>
      <c r="LH21" s="422" t="s">
        <v>364</v>
      </c>
      <c r="LI21" s="422" t="s">
        <v>364</v>
      </c>
      <c r="LJ21" s="422" t="s">
        <v>364</v>
      </c>
      <c r="LK21" s="422" t="s">
        <v>364</v>
      </c>
      <c r="LL21" s="422" t="s">
        <v>364</v>
      </c>
      <c r="LM21" s="424" t="s">
        <v>364</v>
      </c>
      <c r="LN21" s="424">
        <v>18</v>
      </c>
      <c r="LO21" s="424" t="s">
        <v>364</v>
      </c>
      <c r="LP21" s="424" t="s">
        <v>364</v>
      </c>
      <c r="LQ21" s="424" t="s">
        <v>364</v>
      </c>
      <c r="LR21" s="424" t="s">
        <v>364</v>
      </c>
      <c r="LS21" s="424">
        <v>18</v>
      </c>
      <c r="LT21" s="424" t="s">
        <v>364</v>
      </c>
      <c r="LU21" s="424" t="s">
        <v>364</v>
      </c>
      <c r="LV21" s="424" t="s">
        <v>364</v>
      </c>
      <c r="LW21" s="424" t="s">
        <v>364</v>
      </c>
      <c r="LX21" s="424">
        <f t="shared" si="12"/>
        <v>38</v>
      </c>
      <c r="LY21" s="424" t="s">
        <v>364</v>
      </c>
      <c r="LZ21" s="424">
        <v>38</v>
      </c>
      <c r="MA21" s="424" t="s">
        <v>364</v>
      </c>
      <c r="MB21" s="424" t="s">
        <v>364</v>
      </c>
      <c r="MC21" s="424" t="s">
        <v>364</v>
      </c>
      <c r="MD21" s="424" t="s">
        <v>364</v>
      </c>
      <c r="ME21" s="424">
        <f t="shared" si="1"/>
        <v>21</v>
      </c>
      <c r="MF21" s="424" t="s">
        <v>364</v>
      </c>
      <c r="MG21" s="424" t="s">
        <v>364</v>
      </c>
      <c r="MH21" s="424" t="s">
        <v>364</v>
      </c>
      <c r="MI21" s="424" t="s">
        <v>364</v>
      </c>
      <c r="MJ21" s="424" t="s">
        <v>364</v>
      </c>
      <c r="MK21" s="424">
        <v>8</v>
      </c>
      <c r="ML21" s="424" t="s">
        <v>364</v>
      </c>
      <c r="MM21" s="424" t="s">
        <v>364</v>
      </c>
      <c r="MN21" s="424" t="s">
        <v>364</v>
      </c>
      <c r="MO21" s="424" t="s">
        <v>364</v>
      </c>
      <c r="MP21" s="424">
        <v>13</v>
      </c>
      <c r="MQ21" s="424" t="s">
        <v>364</v>
      </c>
      <c r="MR21" s="424" t="s">
        <v>364</v>
      </c>
      <c r="MS21" s="424" t="s">
        <v>364</v>
      </c>
      <c r="MT21" s="424" t="s">
        <v>364</v>
      </c>
      <c r="MU21" s="424" t="s">
        <v>364</v>
      </c>
      <c r="MV21" s="424" t="s">
        <v>364</v>
      </c>
      <c r="MW21" s="424" t="s">
        <v>364</v>
      </c>
      <c r="MX21" s="424">
        <f t="shared" si="13"/>
        <v>0</v>
      </c>
      <c r="MY21" s="424" t="s">
        <v>364</v>
      </c>
      <c r="MZ21" s="424" t="s">
        <v>364</v>
      </c>
      <c r="NA21" s="424" t="s">
        <v>364</v>
      </c>
      <c r="NB21" s="424" t="s">
        <v>364</v>
      </c>
      <c r="NC21" s="424" t="s">
        <v>364</v>
      </c>
      <c r="ND21" s="424" t="s">
        <v>364</v>
      </c>
      <c r="NE21" s="424" t="s">
        <v>364</v>
      </c>
      <c r="NF21" s="424" t="s">
        <v>364</v>
      </c>
      <c r="NG21" s="424" t="s">
        <v>364</v>
      </c>
      <c r="NH21" s="424" t="s">
        <v>364</v>
      </c>
      <c r="NI21" s="424" t="s">
        <v>364</v>
      </c>
      <c r="NJ21" s="424" t="s">
        <v>364</v>
      </c>
      <c r="NK21" s="424">
        <f t="shared" si="2"/>
        <v>0</v>
      </c>
      <c r="NL21" s="424">
        <f t="shared" si="14"/>
        <v>0</v>
      </c>
      <c r="NM21" s="424" t="s">
        <v>364</v>
      </c>
      <c r="NN21" s="424" t="s">
        <v>364</v>
      </c>
      <c r="NO21" s="424" t="s">
        <v>364</v>
      </c>
      <c r="NP21" s="424" t="s">
        <v>364</v>
      </c>
      <c r="NQ21" s="424" t="s">
        <v>364</v>
      </c>
      <c r="NR21" s="424" t="s">
        <v>364</v>
      </c>
      <c r="NS21" s="424" t="s">
        <v>364</v>
      </c>
      <c r="NT21" s="424" t="s">
        <v>364</v>
      </c>
      <c r="NU21" s="424" t="s">
        <v>364</v>
      </c>
      <c r="NV21" s="424" t="s">
        <v>364</v>
      </c>
      <c r="NW21" s="424" t="s">
        <v>364</v>
      </c>
      <c r="NX21" s="424" t="s">
        <v>364</v>
      </c>
      <c r="NY21" s="424" t="s">
        <v>364</v>
      </c>
      <c r="NZ21" s="424">
        <f t="shared" si="15"/>
        <v>0</v>
      </c>
      <c r="OA21" s="424" t="s">
        <v>364</v>
      </c>
      <c r="OB21" s="424" t="s">
        <v>364</v>
      </c>
      <c r="OC21" s="424" t="s">
        <v>364</v>
      </c>
      <c r="OD21" s="424" t="s">
        <v>364</v>
      </c>
      <c r="OE21" s="424" t="s">
        <v>364</v>
      </c>
      <c r="OF21" s="424" t="s">
        <v>6598</v>
      </c>
      <c r="OG21" s="424" t="s">
        <v>364</v>
      </c>
      <c r="OH21" s="424">
        <f t="shared" si="16"/>
        <v>67</v>
      </c>
      <c r="OI21" s="424">
        <f t="shared" si="17"/>
        <v>67</v>
      </c>
      <c r="OJ21" s="422">
        <v>19</v>
      </c>
      <c r="OK21" s="422">
        <v>48</v>
      </c>
      <c r="OL21" s="422" t="s">
        <v>364</v>
      </c>
      <c r="OM21" s="422" t="s">
        <v>364</v>
      </c>
      <c r="ON21" s="422" t="s">
        <v>364</v>
      </c>
      <c r="OO21" s="422" t="s">
        <v>364</v>
      </c>
      <c r="OP21" s="422" t="s">
        <v>364</v>
      </c>
      <c r="OQ21" s="422" t="s">
        <v>364</v>
      </c>
      <c r="OR21" s="422" t="s">
        <v>364</v>
      </c>
      <c r="OS21" s="422" t="s">
        <v>364</v>
      </c>
      <c r="OT21" s="422" t="s">
        <v>364</v>
      </c>
      <c r="OU21" s="422" t="s">
        <v>364</v>
      </c>
      <c r="OV21" s="422" t="s">
        <v>364</v>
      </c>
      <c r="OW21" s="422" t="s">
        <v>364</v>
      </c>
      <c r="OX21" s="422" t="s">
        <v>364</v>
      </c>
      <c r="OY21" s="422" t="s">
        <v>364</v>
      </c>
      <c r="OZ21" s="422" t="s">
        <v>364</v>
      </c>
      <c r="PA21" s="422" t="s">
        <v>364</v>
      </c>
      <c r="PB21" s="424">
        <f t="shared" si="18"/>
        <v>0</v>
      </c>
      <c r="PC21" s="422" t="s">
        <v>364</v>
      </c>
      <c r="PD21" s="422" t="s">
        <v>364</v>
      </c>
      <c r="PE21" s="422" t="s">
        <v>364</v>
      </c>
      <c r="PF21" s="422" t="s">
        <v>364</v>
      </c>
      <c r="PG21" s="422" t="s">
        <v>364</v>
      </c>
      <c r="PH21" s="422" t="s">
        <v>364</v>
      </c>
      <c r="PI21" s="422" t="s">
        <v>364</v>
      </c>
      <c r="PJ21" s="422" t="s">
        <v>364</v>
      </c>
    </row>
    <row r="22" spans="2:426" ht="15.6">
      <c r="B22" s="426" t="s">
        <v>2989</v>
      </c>
      <c r="C22" s="422">
        <f t="shared" si="3"/>
        <v>797</v>
      </c>
      <c r="D22" s="422">
        <v>126</v>
      </c>
      <c r="E22" s="422" t="s">
        <v>364</v>
      </c>
      <c r="F22" s="422">
        <v>105</v>
      </c>
      <c r="G22" s="422" t="s">
        <v>364</v>
      </c>
      <c r="H22" s="422" t="s">
        <v>364</v>
      </c>
      <c r="I22" s="422" t="s">
        <v>364</v>
      </c>
      <c r="J22" s="422" t="s">
        <v>364</v>
      </c>
      <c r="K22" s="422" t="s">
        <v>364</v>
      </c>
      <c r="L22" s="422" t="s">
        <v>364</v>
      </c>
      <c r="M22" s="422" t="s">
        <v>364</v>
      </c>
      <c r="N22" s="422">
        <v>16</v>
      </c>
      <c r="O22" s="422" t="s">
        <v>364</v>
      </c>
      <c r="P22" s="422">
        <v>232</v>
      </c>
      <c r="Q22" s="422" t="s">
        <v>364</v>
      </c>
      <c r="R22" s="422" t="s">
        <v>364</v>
      </c>
      <c r="S22" s="422" t="s">
        <v>364</v>
      </c>
      <c r="T22" s="422" t="s">
        <v>364</v>
      </c>
      <c r="U22" s="422">
        <v>318</v>
      </c>
      <c r="V22" s="422" t="s">
        <v>364</v>
      </c>
      <c r="W22" s="422" t="s">
        <v>364</v>
      </c>
      <c r="X22" s="422" t="s">
        <v>364</v>
      </c>
      <c r="Y22" s="422" t="s">
        <v>364</v>
      </c>
      <c r="Z22" s="422" t="s">
        <v>364</v>
      </c>
      <c r="AA22" s="422" t="s">
        <v>364</v>
      </c>
      <c r="AB22" s="422" t="s">
        <v>364</v>
      </c>
      <c r="AC22" s="422" t="s">
        <v>364</v>
      </c>
      <c r="AD22" s="422" t="s">
        <v>364</v>
      </c>
      <c r="AE22" s="422" t="s">
        <v>364</v>
      </c>
      <c r="AF22" s="422" t="s">
        <v>364</v>
      </c>
      <c r="AG22" s="422" t="s">
        <v>364</v>
      </c>
      <c r="AH22" s="422" t="s">
        <v>364</v>
      </c>
      <c r="AI22" s="422" t="s">
        <v>364</v>
      </c>
      <c r="AJ22" s="422" t="s">
        <v>364</v>
      </c>
      <c r="AK22" s="422" t="s">
        <v>364</v>
      </c>
      <c r="AL22" s="422" t="s">
        <v>364</v>
      </c>
      <c r="AM22" s="422" t="s">
        <v>364</v>
      </c>
      <c r="AN22" s="422" t="s">
        <v>364</v>
      </c>
      <c r="AO22" s="422" t="s">
        <v>364</v>
      </c>
      <c r="AP22" s="422" t="s">
        <v>364</v>
      </c>
      <c r="AQ22" s="422">
        <f t="shared" si="0"/>
        <v>342</v>
      </c>
      <c r="AR22" s="422" t="s">
        <v>364</v>
      </c>
      <c r="AS22" s="422" t="s">
        <v>364</v>
      </c>
      <c r="AT22" s="422" t="s">
        <v>364</v>
      </c>
      <c r="AU22" s="422" t="s">
        <v>364</v>
      </c>
      <c r="AV22" s="422" t="s">
        <v>364</v>
      </c>
      <c r="AW22" s="422" t="s">
        <v>364</v>
      </c>
      <c r="AX22" s="422" t="s">
        <v>364</v>
      </c>
      <c r="AY22" s="422" t="s">
        <v>364</v>
      </c>
      <c r="AZ22" s="422" t="s">
        <v>364</v>
      </c>
      <c r="BA22" s="422" t="s">
        <v>364</v>
      </c>
      <c r="BB22" s="422" t="s">
        <v>364</v>
      </c>
      <c r="BC22" s="422" t="s">
        <v>364</v>
      </c>
      <c r="BD22" s="422" t="s">
        <v>364</v>
      </c>
      <c r="BE22" s="422" t="s">
        <v>364</v>
      </c>
      <c r="BF22" s="422" t="s">
        <v>364</v>
      </c>
      <c r="BG22" s="422" t="s">
        <v>364</v>
      </c>
      <c r="BH22" s="422" t="s">
        <v>364</v>
      </c>
      <c r="BI22" s="422" t="s">
        <v>364</v>
      </c>
      <c r="BJ22" s="422" t="s">
        <v>364</v>
      </c>
      <c r="BK22" s="422" t="s">
        <v>364</v>
      </c>
      <c r="BL22" s="422" t="s">
        <v>364</v>
      </c>
      <c r="BM22" s="422" t="s">
        <v>364</v>
      </c>
      <c r="BN22" s="422" t="s">
        <v>364</v>
      </c>
      <c r="BO22" s="422" t="s">
        <v>364</v>
      </c>
      <c r="BP22" s="422" t="s">
        <v>364</v>
      </c>
      <c r="BQ22" s="422" t="s">
        <v>364</v>
      </c>
      <c r="BR22" s="422" t="s">
        <v>364</v>
      </c>
      <c r="BS22" s="422" t="s">
        <v>364</v>
      </c>
      <c r="BT22" s="422" t="s">
        <v>364</v>
      </c>
      <c r="BU22" s="422" t="s">
        <v>364</v>
      </c>
      <c r="BV22" s="422" t="s">
        <v>364</v>
      </c>
      <c r="BW22" s="422" t="s">
        <v>364</v>
      </c>
      <c r="BX22" s="422" t="s">
        <v>364</v>
      </c>
      <c r="BY22" s="422" t="s">
        <v>364</v>
      </c>
      <c r="BZ22" s="422" t="s">
        <v>364</v>
      </c>
      <c r="CA22" s="422" t="s">
        <v>364</v>
      </c>
      <c r="CB22" s="422" t="s">
        <v>364</v>
      </c>
      <c r="CC22" s="422" t="s">
        <v>364</v>
      </c>
      <c r="CD22" s="422" t="s">
        <v>364</v>
      </c>
      <c r="CE22" s="422">
        <v>6</v>
      </c>
      <c r="CF22" s="422">
        <v>300</v>
      </c>
      <c r="CG22" s="422">
        <v>36</v>
      </c>
      <c r="CH22" s="422" t="s">
        <v>364</v>
      </c>
      <c r="CI22" s="422" t="s">
        <v>364</v>
      </c>
      <c r="CJ22" s="422" t="s">
        <v>364</v>
      </c>
      <c r="CK22" s="422" t="s">
        <v>364</v>
      </c>
      <c r="CL22" s="422" t="s">
        <v>364</v>
      </c>
      <c r="CM22" s="422" t="s">
        <v>364</v>
      </c>
      <c r="CN22" s="422" t="s">
        <v>364</v>
      </c>
      <c r="CO22" s="422" t="s">
        <v>364</v>
      </c>
      <c r="CP22" s="422" t="s">
        <v>364</v>
      </c>
      <c r="CQ22" s="422" t="s">
        <v>364</v>
      </c>
      <c r="CR22" s="422" t="s">
        <v>364</v>
      </c>
      <c r="CS22" s="422" t="s">
        <v>364</v>
      </c>
      <c r="CT22" s="422" t="s">
        <v>364</v>
      </c>
      <c r="CU22" s="422" t="s">
        <v>364</v>
      </c>
      <c r="CV22" s="422" t="s">
        <v>364</v>
      </c>
      <c r="CW22" s="422" t="s">
        <v>364</v>
      </c>
      <c r="CX22" s="422" t="s">
        <v>364</v>
      </c>
      <c r="CY22" s="422" t="s">
        <v>364</v>
      </c>
      <c r="CZ22" s="422" t="s">
        <v>364</v>
      </c>
      <c r="DA22" s="422" t="s">
        <v>364</v>
      </c>
      <c r="DB22" s="422" t="s">
        <v>364</v>
      </c>
      <c r="DC22" s="422" t="s">
        <v>364</v>
      </c>
      <c r="DD22" s="422" t="s">
        <v>364</v>
      </c>
      <c r="DE22" s="422" t="s">
        <v>364</v>
      </c>
      <c r="DF22" s="422" t="s">
        <v>364</v>
      </c>
      <c r="DG22" s="422" t="s">
        <v>364</v>
      </c>
      <c r="DH22" s="422" t="s">
        <v>364</v>
      </c>
      <c r="DI22" s="422" t="s">
        <v>364</v>
      </c>
      <c r="DJ22" s="422" t="s">
        <v>364</v>
      </c>
      <c r="DK22" s="422">
        <f t="shared" si="4"/>
        <v>30</v>
      </c>
      <c r="DL22" s="422">
        <v>30</v>
      </c>
      <c r="DM22" s="422" t="s">
        <v>364</v>
      </c>
      <c r="DN22" s="422" t="s">
        <v>364</v>
      </c>
      <c r="DO22" s="422" t="s">
        <v>364</v>
      </c>
      <c r="DP22" s="422" t="s">
        <v>364</v>
      </c>
      <c r="DQ22" s="422" t="s">
        <v>364</v>
      </c>
      <c r="DR22" s="422" t="s">
        <v>364</v>
      </c>
      <c r="DS22" s="422" t="s">
        <v>364</v>
      </c>
      <c r="DT22" s="422" t="s">
        <v>364</v>
      </c>
      <c r="DU22" s="422" t="s">
        <v>364</v>
      </c>
      <c r="DV22" s="422" t="s">
        <v>364</v>
      </c>
      <c r="DW22" s="422" t="s">
        <v>364</v>
      </c>
      <c r="DX22" s="422" t="s">
        <v>364</v>
      </c>
      <c r="DY22" s="422">
        <f t="shared" si="5"/>
        <v>85</v>
      </c>
      <c r="DZ22" s="422" t="s">
        <v>364</v>
      </c>
      <c r="EA22" s="422" t="s">
        <v>364</v>
      </c>
      <c r="EB22" s="422" t="s">
        <v>364</v>
      </c>
      <c r="EC22" s="422" t="s">
        <v>364</v>
      </c>
      <c r="ED22" s="422" t="s">
        <v>364</v>
      </c>
      <c r="EE22" s="422" t="s">
        <v>364</v>
      </c>
      <c r="EF22" s="422" t="s">
        <v>364</v>
      </c>
      <c r="EG22" s="422" t="s">
        <v>364</v>
      </c>
      <c r="EH22" s="422" t="s">
        <v>364</v>
      </c>
      <c r="EI22" s="422" t="s">
        <v>364</v>
      </c>
      <c r="EJ22" s="422" t="s">
        <v>364</v>
      </c>
      <c r="EK22" s="422" t="s">
        <v>364</v>
      </c>
      <c r="EL22" s="422" t="s">
        <v>364</v>
      </c>
      <c r="EM22" s="422">
        <v>45</v>
      </c>
      <c r="EN22" s="422" t="s">
        <v>364</v>
      </c>
      <c r="EO22" s="422" t="s">
        <v>364</v>
      </c>
      <c r="EP22" s="422" t="s">
        <v>364</v>
      </c>
      <c r="EQ22" s="422" t="s">
        <v>364</v>
      </c>
      <c r="ER22" s="422" t="s">
        <v>364</v>
      </c>
      <c r="ES22" s="422" t="s">
        <v>364</v>
      </c>
      <c r="ET22" s="422">
        <v>40</v>
      </c>
      <c r="EU22" s="422" t="s">
        <v>364</v>
      </c>
      <c r="EV22" s="422" t="s">
        <v>364</v>
      </c>
      <c r="EW22" s="422" t="s">
        <v>364</v>
      </c>
      <c r="EX22" s="422" t="s">
        <v>364</v>
      </c>
      <c r="EY22" s="422" t="s">
        <v>364</v>
      </c>
      <c r="EZ22" s="422" t="s">
        <v>364</v>
      </c>
      <c r="FA22" s="422">
        <f t="shared" si="6"/>
        <v>1611</v>
      </c>
      <c r="FB22" s="422" t="s">
        <v>364</v>
      </c>
      <c r="FC22" s="422">
        <v>1252</v>
      </c>
      <c r="FD22" s="422" t="s">
        <v>364</v>
      </c>
      <c r="FE22" s="422" t="s">
        <v>364</v>
      </c>
      <c r="FF22" s="422" t="s">
        <v>364</v>
      </c>
      <c r="FG22" s="422" t="s">
        <v>364</v>
      </c>
      <c r="FH22" s="422" t="s">
        <v>364</v>
      </c>
      <c r="FI22" s="422" t="s">
        <v>364</v>
      </c>
      <c r="FJ22" s="422" t="s">
        <v>364</v>
      </c>
      <c r="FK22" s="422" t="s">
        <v>364</v>
      </c>
      <c r="FL22" s="422" t="s">
        <v>364</v>
      </c>
      <c r="FM22" s="422" t="s">
        <v>364</v>
      </c>
      <c r="FN22" s="422" t="s">
        <v>364</v>
      </c>
      <c r="FO22" s="422" t="s">
        <v>364</v>
      </c>
      <c r="FP22" s="422" t="s">
        <v>364</v>
      </c>
      <c r="FQ22" s="422" t="s">
        <v>364</v>
      </c>
      <c r="FR22" s="422" t="s">
        <v>364</v>
      </c>
      <c r="FS22" s="422" t="s">
        <v>364</v>
      </c>
      <c r="FT22" s="422" t="s">
        <v>364</v>
      </c>
      <c r="FU22" s="422" t="s">
        <v>364</v>
      </c>
      <c r="FV22" s="422" t="s">
        <v>364</v>
      </c>
      <c r="FW22" s="422">
        <v>359</v>
      </c>
      <c r="FX22" s="422" t="s">
        <v>364</v>
      </c>
      <c r="FY22" s="422" t="s">
        <v>364</v>
      </c>
      <c r="FZ22" s="422" t="s">
        <v>364</v>
      </c>
      <c r="GA22" s="422" t="s">
        <v>364</v>
      </c>
      <c r="GB22" s="422" t="s">
        <v>364</v>
      </c>
      <c r="GC22" s="422" t="s">
        <v>364</v>
      </c>
      <c r="GD22" s="422" t="s">
        <v>364</v>
      </c>
      <c r="GE22" s="422" t="s">
        <v>364</v>
      </c>
      <c r="GF22" s="422" t="s">
        <v>364</v>
      </c>
      <c r="GG22" s="422" t="s">
        <v>364</v>
      </c>
      <c r="GH22" s="422" t="s">
        <v>364</v>
      </c>
      <c r="GI22" s="422" t="s">
        <v>364</v>
      </c>
      <c r="GJ22" s="422" t="s">
        <v>364</v>
      </c>
      <c r="GK22" s="422" t="s">
        <v>364</v>
      </c>
      <c r="GL22" s="422" t="s">
        <v>364</v>
      </c>
      <c r="GM22" s="422" t="s">
        <v>364</v>
      </c>
      <c r="GN22" s="422" t="s">
        <v>364</v>
      </c>
      <c r="GO22" s="422" t="s">
        <v>364</v>
      </c>
      <c r="GP22" s="422" t="s">
        <v>364</v>
      </c>
      <c r="GQ22" s="422" t="s">
        <v>364</v>
      </c>
      <c r="GR22" s="422" t="s">
        <v>364</v>
      </c>
      <c r="GS22" s="422" t="s">
        <v>364</v>
      </c>
      <c r="GT22" s="422" t="s">
        <v>364</v>
      </c>
      <c r="GU22" s="422" t="s">
        <v>364</v>
      </c>
      <c r="GV22" s="422">
        <f t="shared" si="7"/>
        <v>72</v>
      </c>
      <c r="GW22" s="422" t="s">
        <v>364</v>
      </c>
      <c r="GX22" s="422" t="s">
        <v>364</v>
      </c>
      <c r="GY22" s="422" t="s">
        <v>364</v>
      </c>
      <c r="GZ22" s="422" t="s">
        <v>364</v>
      </c>
      <c r="HA22" s="422" t="s">
        <v>364</v>
      </c>
      <c r="HB22" s="422" t="s">
        <v>364</v>
      </c>
      <c r="HC22" s="422" t="s">
        <v>364</v>
      </c>
      <c r="HD22" s="422" t="s">
        <v>364</v>
      </c>
      <c r="HE22" s="422" t="s">
        <v>364</v>
      </c>
      <c r="HF22" s="422" t="s">
        <v>364</v>
      </c>
      <c r="HG22" s="422" t="s">
        <v>364</v>
      </c>
      <c r="HH22" s="422" t="s">
        <v>364</v>
      </c>
      <c r="HI22" s="422" t="s">
        <v>364</v>
      </c>
      <c r="HJ22" s="422">
        <v>72</v>
      </c>
      <c r="HK22" s="422" t="s">
        <v>364</v>
      </c>
      <c r="HL22" s="422" t="s">
        <v>364</v>
      </c>
      <c r="HM22" s="422" t="s">
        <v>364</v>
      </c>
      <c r="HN22" s="422" t="s">
        <v>364</v>
      </c>
      <c r="HO22" s="422" t="s">
        <v>364</v>
      </c>
      <c r="HP22" s="422" t="s">
        <v>364</v>
      </c>
      <c r="HQ22" s="422" t="s">
        <v>364</v>
      </c>
      <c r="HR22" s="422" t="s">
        <v>364</v>
      </c>
      <c r="HS22" s="422" t="s">
        <v>364</v>
      </c>
      <c r="HT22" s="422" t="s">
        <v>364</v>
      </c>
      <c r="HU22" s="422" t="s">
        <v>364</v>
      </c>
      <c r="HV22" s="422" t="s">
        <v>364</v>
      </c>
      <c r="HW22" s="422" t="s">
        <v>364</v>
      </c>
      <c r="HX22" s="422" t="s">
        <v>364</v>
      </c>
      <c r="HY22" s="422">
        <f t="shared" si="8"/>
        <v>111</v>
      </c>
      <c r="HZ22" s="422" t="s">
        <v>364</v>
      </c>
      <c r="IA22" s="422">
        <v>111</v>
      </c>
      <c r="IB22" s="422" t="s">
        <v>364</v>
      </c>
      <c r="IC22" s="422" t="s">
        <v>364</v>
      </c>
      <c r="ID22" s="422" t="s">
        <v>364</v>
      </c>
      <c r="IE22" s="422" t="s">
        <v>364</v>
      </c>
      <c r="IF22" s="422">
        <f t="shared" si="9"/>
        <v>179</v>
      </c>
      <c r="IG22" s="422" t="s">
        <v>364</v>
      </c>
      <c r="IH22" s="422" t="s">
        <v>364</v>
      </c>
      <c r="II22" s="422">
        <v>29</v>
      </c>
      <c r="IJ22" s="422" t="s">
        <v>364</v>
      </c>
      <c r="IK22" s="422" t="s">
        <v>364</v>
      </c>
      <c r="IL22" s="422">
        <v>75</v>
      </c>
      <c r="IM22" s="422" t="s">
        <v>364</v>
      </c>
      <c r="IN22" s="422" t="s">
        <v>364</v>
      </c>
      <c r="IO22" s="422" t="s">
        <v>364</v>
      </c>
      <c r="IP22" s="422" t="s">
        <v>364</v>
      </c>
      <c r="IQ22" s="422" t="s">
        <v>364</v>
      </c>
      <c r="IR22" s="422" t="s">
        <v>364</v>
      </c>
      <c r="IS22" s="422" t="s">
        <v>364</v>
      </c>
      <c r="IT22" s="422" t="s">
        <v>364</v>
      </c>
      <c r="IU22" s="422" t="s">
        <v>364</v>
      </c>
      <c r="IV22" s="422">
        <v>75</v>
      </c>
      <c r="IW22" s="422" t="s">
        <v>364</v>
      </c>
      <c r="IX22" s="422" t="s">
        <v>364</v>
      </c>
      <c r="IY22" s="422" t="s">
        <v>364</v>
      </c>
      <c r="IZ22" s="422">
        <f t="shared" si="10"/>
        <v>0</v>
      </c>
      <c r="JA22" s="422" t="s">
        <v>364</v>
      </c>
      <c r="JB22" s="422" t="s">
        <v>364</v>
      </c>
      <c r="JC22" s="422" t="s">
        <v>364</v>
      </c>
      <c r="JD22" s="422" t="s">
        <v>364</v>
      </c>
      <c r="JE22" s="422" t="s">
        <v>364</v>
      </c>
      <c r="JF22" s="422" t="s">
        <v>364</v>
      </c>
      <c r="JG22" s="422" t="s">
        <v>364</v>
      </c>
      <c r="JH22" s="422" t="s">
        <v>364</v>
      </c>
      <c r="JI22" s="422" t="s">
        <v>364</v>
      </c>
      <c r="JJ22" s="422" t="s">
        <v>364</v>
      </c>
      <c r="JK22" s="422" t="s">
        <v>364</v>
      </c>
      <c r="JL22" s="422" t="s">
        <v>364</v>
      </c>
      <c r="JM22" s="422" t="s">
        <v>364</v>
      </c>
      <c r="JN22" s="422" t="s">
        <v>364</v>
      </c>
      <c r="JO22" s="422" t="s">
        <v>364</v>
      </c>
      <c r="JP22" s="422" t="s">
        <v>364</v>
      </c>
      <c r="JQ22" s="422" t="s">
        <v>364</v>
      </c>
      <c r="JR22" s="422" t="s">
        <v>364</v>
      </c>
      <c r="JS22" s="422" t="s">
        <v>364</v>
      </c>
      <c r="JT22" s="422" t="s">
        <v>364</v>
      </c>
      <c r="JU22" s="422" t="s">
        <v>364</v>
      </c>
      <c r="JV22" s="422" t="s">
        <v>364</v>
      </c>
      <c r="JW22" s="422">
        <f t="shared" si="11"/>
        <v>66</v>
      </c>
      <c r="JX22" s="422" t="s">
        <v>364</v>
      </c>
      <c r="JY22" s="422" t="s">
        <v>364</v>
      </c>
      <c r="JZ22" s="422">
        <v>48</v>
      </c>
      <c r="KA22" s="422" t="s">
        <v>364</v>
      </c>
      <c r="KB22" s="422" t="s">
        <v>364</v>
      </c>
      <c r="KC22" s="422" t="s">
        <v>364</v>
      </c>
      <c r="KD22" s="422" t="s">
        <v>364</v>
      </c>
      <c r="KE22" s="422" t="s">
        <v>364</v>
      </c>
      <c r="KF22" s="422" t="s">
        <v>364</v>
      </c>
      <c r="KG22" s="422" t="s">
        <v>364</v>
      </c>
      <c r="KH22" s="422" t="s">
        <v>364</v>
      </c>
      <c r="KI22" s="422" t="s">
        <v>364</v>
      </c>
      <c r="KJ22" s="422" t="s">
        <v>364</v>
      </c>
      <c r="KK22" s="422" t="s">
        <v>364</v>
      </c>
      <c r="KL22" s="422" t="s">
        <v>364</v>
      </c>
      <c r="KM22" s="422" t="s">
        <v>364</v>
      </c>
      <c r="KN22" s="422" t="s">
        <v>364</v>
      </c>
      <c r="KO22" s="422" t="s">
        <v>364</v>
      </c>
      <c r="KP22" s="422" t="s">
        <v>364</v>
      </c>
      <c r="KQ22" s="422" t="s">
        <v>364</v>
      </c>
      <c r="KR22" s="422" t="s">
        <v>364</v>
      </c>
      <c r="KS22" s="422" t="s">
        <v>364</v>
      </c>
      <c r="KT22" s="422" t="s">
        <v>364</v>
      </c>
      <c r="KU22" s="422" t="s">
        <v>364</v>
      </c>
      <c r="KV22" s="422" t="s">
        <v>364</v>
      </c>
      <c r="KW22" s="422" t="s">
        <v>364</v>
      </c>
      <c r="KX22" s="422" t="s">
        <v>364</v>
      </c>
      <c r="KY22" s="422" t="s">
        <v>364</v>
      </c>
      <c r="KZ22" s="422">
        <v>12</v>
      </c>
      <c r="LA22" s="422">
        <v>6</v>
      </c>
      <c r="LB22" s="422" t="s">
        <v>364</v>
      </c>
      <c r="LC22" s="422" t="s">
        <v>364</v>
      </c>
      <c r="LD22" s="422" t="s">
        <v>364</v>
      </c>
      <c r="LE22" s="422" t="s">
        <v>364</v>
      </c>
      <c r="LF22" s="422" t="s">
        <v>364</v>
      </c>
      <c r="LG22" s="422" t="s">
        <v>364</v>
      </c>
      <c r="LH22" s="422" t="s">
        <v>364</v>
      </c>
      <c r="LI22" s="422" t="s">
        <v>364</v>
      </c>
      <c r="LJ22" s="422" t="s">
        <v>364</v>
      </c>
      <c r="LK22" s="422" t="s">
        <v>364</v>
      </c>
      <c r="LL22" s="422" t="s">
        <v>364</v>
      </c>
      <c r="LM22" s="424" t="s">
        <v>364</v>
      </c>
      <c r="LN22" s="424">
        <v>1</v>
      </c>
      <c r="LO22" s="424">
        <v>1</v>
      </c>
      <c r="LP22" s="424" t="s">
        <v>364</v>
      </c>
      <c r="LQ22" s="424" t="s">
        <v>364</v>
      </c>
      <c r="LR22" s="424" t="s">
        <v>364</v>
      </c>
      <c r="LS22" s="424" t="s">
        <v>364</v>
      </c>
      <c r="LT22" s="424" t="s">
        <v>364</v>
      </c>
      <c r="LU22" s="424" t="s">
        <v>364</v>
      </c>
      <c r="LV22" s="424" t="s">
        <v>364</v>
      </c>
      <c r="LW22" s="424" t="s">
        <v>364</v>
      </c>
      <c r="LX22" s="424">
        <f t="shared" si="12"/>
        <v>0</v>
      </c>
      <c r="LY22" s="424" t="s">
        <v>364</v>
      </c>
      <c r="LZ22" s="424" t="s">
        <v>364</v>
      </c>
      <c r="MA22" s="424" t="s">
        <v>364</v>
      </c>
      <c r="MB22" s="424" t="s">
        <v>364</v>
      </c>
      <c r="MC22" s="424" t="s">
        <v>364</v>
      </c>
      <c r="MD22" s="424" t="s">
        <v>364</v>
      </c>
      <c r="ME22" s="424">
        <f t="shared" si="1"/>
        <v>37</v>
      </c>
      <c r="MF22" s="424">
        <v>20</v>
      </c>
      <c r="MG22" s="424">
        <v>17</v>
      </c>
      <c r="MH22" s="424" t="s">
        <v>364</v>
      </c>
      <c r="MI22" s="424" t="s">
        <v>364</v>
      </c>
      <c r="MJ22" s="424" t="s">
        <v>364</v>
      </c>
      <c r="MK22" s="424" t="s">
        <v>364</v>
      </c>
      <c r="ML22" s="424" t="s">
        <v>364</v>
      </c>
      <c r="MM22" s="424" t="s">
        <v>364</v>
      </c>
      <c r="MN22" s="424" t="s">
        <v>364</v>
      </c>
      <c r="MO22" s="424" t="s">
        <v>364</v>
      </c>
      <c r="MP22" s="424" t="s">
        <v>364</v>
      </c>
      <c r="MQ22" s="424" t="s">
        <v>364</v>
      </c>
      <c r="MR22" s="424" t="s">
        <v>364</v>
      </c>
      <c r="MS22" s="424" t="s">
        <v>364</v>
      </c>
      <c r="MT22" s="424" t="s">
        <v>364</v>
      </c>
      <c r="MU22" s="424" t="s">
        <v>364</v>
      </c>
      <c r="MV22" s="424" t="s">
        <v>364</v>
      </c>
      <c r="MW22" s="424" t="s">
        <v>364</v>
      </c>
      <c r="MX22" s="424">
        <f t="shared" si="13"/>
        <v>0</v>
      </c>
      <c r="MY22" s="424" t="s">
        <v>364</v>
      </c>
      <c r="MZ22" s="424" t="s">
        <v>364</v>
      </c>
      <c r="NA22" s="424" t="s">
        <v>364</v>
      </c>
      <c r="NB22" s="424" t="s">
        <v>364</v>
      </c>
      <c r="NC22" s="424" t="s">
        <v>364</v>
      </c>
      <c r="ND22" s="424" t="s">
        <v>364</v>
      </c>
      <c r="NE22" s="424" t="s">
        <v>364</v>
      </c>
      <c r="NF22" s="424" t="s">
        <v>364</v>
      </c>
      <c r="NG22" s="424" t="s">
        <v>364</v>
      </c>
      <c r="NH22" s="424" t="s">
        <v>6598</v>
      </c>
      <c r="NI22" s="424" t="s">
        <v>6598</v>
      </c>
      <c r="NJ22" s="424" t="s">
        <v>364</v>
      </c>
      <c r="NK22" s="424">
        <f t="shared" si="2"/>
        <v>228</v>
      </c>
      <c r="NL22" s="424">
        <f t="shared" si="14"/>
        <v>147</v>
      </c>
      <c r="NM22" s="424">
        <v>64</v>
      </c>
      <c r="NN22" s="424">
        <v>20</v>
      </c>
      <c r="NO22" s="424">
        <v>63</v>
      </c>
      <c r="NP22" s="424" t="s">
        <v>364</v>
      </c>
      <c r="NQ22" s="424" t="s">
        <v>364</v>
      </c>
      <c r="NR22" s="424" t="s">
        <v>364</v>
      </c>
      <c r="NS22" s="424" t="s">
        <v>364</v>
      </c>
      <c r="NT22" s="424" t="s">
        <v>364</v>
      </c>
      <c r="NU22" s="424" t="s">
        <v>364</v>
      </c>
      <c r="NV22" s="424" t="s">
        <v>364</v>
      </c>
      <c r="NW22" s="424" t="s">
        <v>364</v>
      </c>
      <c r="NX22" s="424" t="s">
        <v>364</v>
      </c>
      <c r="NY22" s="424" t="s">
        <v>364</v>
      </c>
      <c r="NZ22" s="424">
        <f t="shared" si="15"/>
        <v>81</v>
      </c>
      <c r="OA22" s="424" t="s">
        <v>364</v>
      </c>
      <c r="OB22" s="424">
        <v>75</v>
      </c>
      <c r="OC22" s="424">
        <v>6</v>
      </c>
      <c r="OD22" s="424" t="s">
        <v>364</v>
      </c>
      <c r="OE22" s="424" t="s">
        <v>364</v>
      </c>
      <c r="OF22" s="424" t="s">
        <v>364</v>
      </c>
      <c r="OG22" s="424" t="s">
        <v>364</v>
      </c>
      <c r="OH22" s="424">
        <f t="shared" si="16"/>
        <v>270</v>
      </c>
      <c r="OI22" s="424">
        <f t="shared" si="17"/>
        <v>268</v>
      </c>
      <c r="OJ22" s="422" t="s">
        <v>364</v>
      </c>
      <c r="OK22" s="422" t="s">
        <v>364</v>
      </c>
      <c r="OL22" s="422" t="s">
        <v>364</v>
      </c>
      <c r="OM22" s="422" t="s">
        <v>364</v>
      </c>
      <c r="ON22" s="422" t="s">
        <v>364</v>
      </c>
      <c r="OO22" s="422">
        <v>268</v>
      </c>
      <c r="OP22" s="422" t="s">
        <v>364</v>
      </c>
      <c r="OQ22" s="422" t="s">
        <v>364</v>
      </c>
      <c r="OR22" s="422" t="s">
        <v>364</v>
      </c>
      <c r="OS22" s="422" t="s">
        <v>364</v>
      </c>
      <c r="OT22" s="422" t="s">
        <v>364</v>
      </c>
      <c r="OU22" s="422" t="s">
        <v>364</v>
      </c>
      <c r="OV22" s="422" t="s">
        <v>364</v>
      </c>
      <c r="OW22" s="422" t="s">
        <v>364</v>
      </c>
      <c r="OX22" s="422" t="s">
        <v>364</v>
      </c>
      <c r="OY22" s="422" t="s">
        <v>364</v>
      </c>
      <c r="OZ22" s="422" t="s">
        <v>364</v>
      </c>
      <c r="PA22" s="422" t="s">
        <v>364</v>
      </c>
      <c r="PB22" s="424">
        <f t="shared" si="18"/>
        <v>2</v>
      </c>
      <c r="PC22" s="422" t="s">
        <v>364</v>
      </c>
      <c r="PD22" s="422" t="s">
        <v>364</v>
      </c>
      <c r="PE22" s="422" t="s">
        <v>364</v>
      </c>
      <c r="PF22" s="422" t="s">
        <v>364</v>
      </c>
      <c r="PG22" s="422" t="s">
        <v>364</v>
      </c>
      <c r="PH22" s="422">
        <v>2</v>
      </c>
      <c r="PI22" s="422" t="s">
        <v>364</v>
      </c>
      <c r="PJ22" s="422" t="s">
        <v>364</v>
      </c>
    </row>
    <row r="23" spans="2:426" ht="15.6">
      <c r="B23" s="426" t="s">
        <v>3685</v>
      </c>
      <c r="C23" s="422">
        <f t="shared" si="3"/>
        <v>4378</v>
      </c>
      <c r="D23" s="422">
        <v>316</v>
      </c>
      <c r="E23" s="422" t="s">
        <v>364</v>
      </c>
      <c r="F23" s="422" t="s">
        <v>364</v>
      </c>
      <c r="G23" s="422" t="s">
        <v>364</v>
      </c>
      <c r="H23" s="422" t="s">
        <v>364</v>
      </c>
      <c r="I23" s="422" t="s">
        <v>364</v>
      </c>
      <c r="J23" s="422" t="s">
        <v>364</v>
      </c>
      <c r="K23" s="422">
        <v>170</v>
      </c>
      <c r="L23" s="422">
        <v>227</v>
      </c>
      <c r="M23" s="422" t="s">
        <v>364</v>
      </c>
      <c r="N23" s="422" t="s">
        <v>364</v>
      </c>
      <c r="O23" s="422" t="s">
        <v>364</v>
      </c>
      <c r="P23" s="422" t="s">
        <v>364</v>
      </c>
      <c r="Q23" s="422">
        <v>2750</v>
      </c>
      <c r="R23" s="422" t="s">
        <v>364</v>
      </c>
      <c r="S23" s="422">
        <v>650</v>
      </c>
      <c r="T23" s="422" t="s">
        <v>364</v>
      </c>
      <c r="U23" s="422" t="s">
        <v>364</v>
      </c>
      <c r="V23" s="422" t="s">
        <v>364</v>
      </c>
      <c r="W23" s="422" t="s">
        <v>364</v>
      </c>
      <c r="X23" s="422" t="s">
        <v>364</v>
      </c>
      <c r="Y23" s="422" t="s">
        <v>364</v>
      </c>
      <c r="Z23" s="422" t="s">
        <v>364</v>
      </c>
      <c r="AA23" s="422" t="s">
        <v>364</v>
      </c>
      <c r="AB23" s="422" t="s">
        <v>364</v>
      </c>
      <c r="AC23" s="422" t="s">
        <v>364</v>
      </c>
      <c r="AD23" s="422" t="s">
        <v>364</v>
      </c>
      <c r="AE23" s="422" t="s">
        <v>364</v>
      </c>
      <c r="AF23" s="422">
        <v>100</v>
      </c>
      <c r="AG23" s="422">
        <v>165</v>
      </c>
      <c r="AH23" s="422" t="s">
        <v>364</v>
      </c>
      <c r="AI23" s="422" t="s">
        <v>364</v>
      </c>
      <c r="AJ23" s="422" t="s">
        <v>364</v>
      </c>
      <c r="AK23" s="422" t="s">
        <v>364</v>
      </c>
      <c r="AL23" s="422" t="s">
        <v>364</v>
      </c>
      <c r="AM23" s="422" t="s">
        <v>364</v>
      </c>
      <c r="AN23" s="422" t="s">
        <v>364</v>
      </c>
      <c r="AO23" s="422" t="s">
        <v>364</v>
      </c>
      <c r="AP23" s="422" t="s">
        <v>364</v>
      </c>
      <c r="AQ23" s="422">
        <f t="shared" si="0"/>
        <v>3636</v>
      </c>
      <c r="AR23" s="422" t="s">
        <v>364</v>
      </c>
      <c r="AS23" s="422" t="s">
        <v>364</v>
      </c>
      <c r="AT23" s="422" t="s">
        <v>364</v>
      </c>
      <c r="AU23" s="422" t="s">
        <v>364</v>
      </c>
      <c r="AV23" s="422" t="s">
        <v>364</v>
      </c>
      <c r="AW23" s="422" t="s">
        <v>364</v>
      </c>
      <c r="AX23" s="422" t="s">
        <v>364</v>
      </c>
      <c r="AY23" s="422" t="s">
        <v>364</v>
      </c>
      <c r="AZ23" s="422" t="s">
        <v>364</v>
      </c>
      <c r="BA23" s="422" t="s">
        <v>364</v>
      </c>
      <c r="BB23" s="422" t="s">
        <v>364</v>
      </c>
      <c r="BC23" s="422" t="s">
        <v>364</v>
      </c>
      <c r="BD23" s="422" t="s">
        <v>364</v>
      </c>
      <c r="BE23" s="422" t="s">
        <v>364</v>
      </c>
      <c r="BF23" s="422" t="s">
        <v>364</v>
      </c>
      <c r="BG23" s="422" t="s">
        <v>364</v>
      </c>
      <c r="BH23" s="422" t="s">
        <v>364</v>
      </c>
      <c r="BI23" s="422" t="s">
        <v>364</v>
      </c>
      <c r="BJ23" s="422" t="s">
        <v>364</v>
      </c>
      <c r="BK23" s="422" t="s">
        <v>364</v>
      </c>
      <c r="BL23" s="422" t="s">
        <v>364</v>
      </c>
      <c r="BM23" s="422" t="s">
        <v>364</v>
      </c>
      <c r="BN23" s="422" t="s">
        <v>364</v>
      </c>
      <c r="BO23" s="422">
        <v>2813</v>
      </c>
      <c r="BP23" s="422" t="s">
        <v>364</v>
      </c>
      <c r="BQ23" s="422" t="s">
        <v>364</v>
      </c>
      <c r="BR23" s="422" t="s">
        <v>364</v>
      </c>
      <c r="BS23" s="422" t="s">
        <v>364</v>
      </c>
      <c r="BT23" s="422" t="s">
        <v>364</v>
      </c>
      <c r="BU23" s="422" t="s">
        <v>364</v>
      </c>
      <c r="BV23" s="422" t="s">
        <v>364</v>
      </c>
      <c r="BW23" s="422" t="s">
        <v>364</v>
      </c>
      <c r="BX23" s="422" t="s">
        <v>364</v>
      </c>
      <c r="BY23" s="422" t="s">
        <v>364</v>
      </c>
      <c r="BZ23" s="422" t="s">
        <v>364</v>
      </c>
      <c r="CA23" s="422" t="s">
        <v>364</v>
      </c>
      <c r="CB23" s="422" t="s">
        <v>364</v>
      </c>
      <c r="CC23" s="422" t="s">
        <v>364</v>
      </c>
      <c r="CD23" s="422" t="s">
        <v>364</v>
      </c>
      <c r="CE23" s="422" t="s">
        <v>364</v>
      </c>
      <c r="CF23" s="422" t="s">
        <v>364</v>
      </c>
      <c r="CG23" s="422" t="s">
        <v>364</v>
      </c>
      <c r="CH23" s="422" t="s">
        <v>364</v>
      </c>
      <c r="CI23" s="422" t="s">
        <v>364</v>
      </c>
      <c r="CJ23" s="422" t="s">
        <v>364</v>
      </c>
      <c r="CK23" s="422" t="s">
        <v>364</v>
      </c>
      <c r="CL23" s="422" t="s">
        <v>364</v>
      </c>
      <c r="CM23" s="422" t="s">
        <v>364</v>
      </c>
      <c r="CN23" s="422" t="s">
        <v>364</v>
      </c>
      <c r="CO23" s="422" t="s">
        <v>364</v>
      </c>
      <c r="CP23" s="422" t="s">
        <v>364</v>
      </c>
      <c r="CQ23" s="422" t="s">
        <v>364</v>
      </c>
      <c r="CR23" s="422" t="s">
        <v>364</v>
      </c>
      <c r="CS23" s="422" t="s">
        <v>364</v>
      </c>
      <c r="CT23" s="422" t="s">
        <v>364</v>
      </c>
      <c r="CU23" s="422" t="s">
        <v>364</v>
      </c>
      <c r="CV23" s="422">
        <v>823</v>
      </c>
      <c r="CW23" s="422" t="s">
        <v>364</v>
      </c>
      <c r="CX23" s="422" t="s">
        <v>364</v>
      </c>
      <c r="CY23" s="422" t="s">
        <v>364</v>
      </c>
      <c r="CZ23" s="422" t="s">
        <v>364</v>
      </c>
      <c r="DA23" s="422" t="s">
        <v>364</v>
      </c>
      <c r="DB23" s="422" t="s">
        <v>364</v>
      </c>
      <c r="DC23" s="422" t="s">
        <v>364</v>
      </c>
      <c r="DD23" s="422" t="s">
        <v>364</v>
      </c>
      <c r="DE23" s="422" t="s">
        <v>364</v>
      </c>
      <c r="DF23" s="422" t="s">
        <v>364</v>
      </c>
      <c r="DG23" s="422" t="s">
        <v>364</v>
      </c>
      <c r="DH23" s="422" t="s">
        <v>364</v>
      </c>
      <c r="DI23" s="422" t="s">
        <v>364</v>
      </c>
      <c r="DJ23" s="422" t="s">
        <v>364</v>
      </c>
      <c r="DK23" s="422">
        <f t="shared" si="4"/>
        <v>1630</v>
      </c>
      <c r="DL23" s="422" t="s">
        <v>364</v>
      </c>
      <c r="DM23" s="422" t="s">
        <v>364</v>
      </c>
      <c r="DN23" s="422" t="s">
        <v>364</v>
      </c>
      <c r="DO23" s="422" t="s">
        <v>364</v>
      </c>
      <c r="DP23" s="422" t="s">
        <v>364</v>
      </c>
      <c r="DQ23" s="422">
        <v>360</v>
      </c>
      <c r="DR23" s="422">
        <v>650</v>
      </c>
      <c r="DS23" s="422">
        <v>320</v>
      </c>
      <c r="DT23" s="422">
        <v>300</v>
      </c>
      <c r="DU23" s="422" t="s">
        <v>364</v>
      </c>
      <c r="DV23" s="422" t="s">
        <v>364</v>
      </c>
      <c r="DW23" s="422" t="s">
        <v>364</v>
      </c>
      <c r="DX23" s="422" t="s">
        <v>364</v>
      </c>
      <c r="DY23" s="422">
        <f t="shared" si="5"/>
        <v>1200</v>
      </c>
      <c r="DZ23" s="422" t="s">
        <v>364</v>
      </c>
      <c r="EA23" s="422" t="s">
        <v>364</v>
      </c>
      <c r="EB23" s="422">
        <v>800</v>
      </c>
      <c r="EC23" s="422">
        <v>400</v>
      </c>
      <c r="ED23" s="422" t="s">
        <v>364</v>
      </c>
      <c r="EE23" s="422" t="s">
        <v>364</v>
      </c>
      <c r="EF23" s="422" t="s">
        <v>364</v>
      </c>
      <c r="EG23" s="422" t="s">
        <v>364</v>
      </c>
      <c r="EH23" s="422" t="s">
        <v>364</v>
      </c>
      <c r="EI23" s="422" t="s">
        <v>364</v>
      </c>
      <c r="EJ23" s="422" t="s">
        <v>364</v>
      </c>
      <c r="EK23" s="422" t="s">
        <v>364</v>
      </c>
      <c r="EL23" s="422" t="s">
        <v>364</v>
      </c>
      <c r="EM23" s="422" t="s">
        <v>364</v>
      </c>
      <c r="EN23" s="422" t="s">
        <v>364</v>
      </c>
      <c r="EO23" s="422" t="s">
        <v>364</v>
      </c>
      <c r="EP23" s="422" t="s">
        <v>364</v>
      </c>
      <c r="EQ23" s="422" t="s">
        <v>364</v>
      </c>
      <c r="ER23" s="422" t="s">
        <v>364</v>
      </c>
      <c r="ES23" s="422" t="s">
        <v>364</v>
      </c>
      <c r="ET23" s="422" t="s">
        <v>364</v>
      </c>
      <c r="EU23" s="422" t="s">
        <v>364</v>
      </c>
      <c r="EV23" s="422" t="s">
        <v>364</v>
      </c>
      <c r="EW23" s="422" t="s">
        <v>364</v>
      </c>
      <c r="EX23" s="422" t="s">
        <v>364</v>
      </c>
      <c r="EY23" s="422" t="s">
        <v>364</v>
      </c>
      <c r="EZ23" s="422" t="s">
        <v>364</v>
      </c>
      <c r="FA23" s="422">
        <f t="shared" si="6"/>
        <v>645</v>
      </c>
      <c r="FB23" s="422">
        <v>645</v>
      </c>
      <c r="FC23" s="422" t="s">
        <v>364</v>
      </c>
      <c r="FD23" s="422" t="s">
        <v>364</v>
      </c>
      <c r="FE23" s="422" t="s">
        <v>364</v>
      </c>
      <c r="FF23" s="422" t="s">
        <v>364</v>
      </c>
      <c r="FG23" s="422" t="s">
        <v>364</v>
      </c>
      <c r="FH23" s="422" t="s">
        <v>364</v>
      </c>
      <c r="FI23" s="422" t="s">
        <v>364</v>
      </c>
      <c r="FJ23" s="422" t="s">
        <v>364</v>
      </c>
      <c r="FK23" s="422" t="s">
        <v>364</v>
      </c>
      <c r="FL23" s="422" t="s">
        <v>364</v>
      </c>
      <c r="FM23" s="422" t="s">
        <v>364</v>
      </c>
      <c r="FN23" s="422" t="s">
        <v>364</v>
      </c>
      <c r="FO23" s="422" t="s">
        <v>364</v>
      </c>
      <c r="FP23" s="422" t="s">
        <v>364</v>
      </c>
      <c r="FQ23" s="422" t="s">
        <v>364</v>
      </c>
      <c r="FR23" s="422" t="s">
        <v>364</v>
      </c>
      <c r="FS23" s="422" t="s">
        <v>364</v>
      </c>
      <c r="FT23" s="422" t="s">
        <v>364</v>
      </c>
      <c r="FU23" s="422" t="s">
        <v>364</v>
      </c>
      <c r="FV23" s="422" t="s">
        <v>364</v>
      </c>
      <c r="FW23" s="422" t="s">
        <v>364</v>
      </c>
      <c r="FX23" s="422" t="s">
        <v>364</v>
      </c>
      <c r="FY23" s="422" t="s">
        <v>364</v>
      </c>
      <c r="FZ23" s="422" t="s">
        <v>364</v>
      </c>
      <c r="GA23" s="422" t="s">
        <v>364</v>
      </c>
      <c r="GB23" s="422" t="s">
        <v>364</v>
      </c>
      <c r="GC23" s="422" t="s">
        <v>364</v>
      </c>
      <c r="GD23" s="422" t="s">
        <v>364</v>
      </c>
      <c r="GE23" s="422" t="s">
        <v>364</v>
      </c>
      <c r="GF23" s="422" t="s">
        <v>364</v>
      </c>
      <c r="GG23" s="422" t="s">
        <v>364</v>
      </c>
      <c r="GH23" s="422" t="s">
        <v>364</v>
      </c>
      <c r="GI23" s="422" t="s">
        <v>364</v>
      </c>
      <c r="GJ23" s="422" t="s">
        <v>364</v>
      </c>
      <c r="GK23" s="422" t="s">
        <v>364</v>
      </c>
      <c r="GL23" s="422" t="s">
        <v>364</v>
      </c>
      <c r="GM23" s="422" t="s">
        <v>364</v>
      </c>
      <c r="GN23" s="422" t="s">
        <v>364</v>
      </c>
      <c r="GO23" s="422" t="s">
        <v>364</v>
      </c>
      <c r="GP23" s="422" t="s">
        <v>364</v>
      </c>
      <c r="GQ23" s="422" t="s">
        <v>364</v>
      </c>
      <c r="GR23" s="422" t="s">
        <v>364</v>
      </c>
      <c r="GS23" s="422" t="s">
        <v>364</v>
      </c>
      <c r="GT23" s="422" t="s">
        <v>364</v>
      </c>
      <c r="GU23" s="422" t="s">
        <v>364</v>
      </c>
      <c r="GV23" s="422">
        <f t="shared" si="7"/>
        <v>1385</v>
      </c>
      <c r="GW23" s="422" t="s">
        <v>364</v>
      </c>
      <c r="GX23" s="422" t="s">
        <v>364</v>
      </c>
      <c r="GY23" s="422" t="s">
        <v>364</v>
      </c>
      <c r="GZ23" s="422" t="s">
        <v>364</v>
      </c>
      <c r="HA23" s="422" t="s">
        <v>364</v>
      </c>
      <c r="HB23" s="422" t="s">
        <v>364</v>
      </c>
      <c r="HC23" s="422" t="s">
        <v>364</v>
      </c>
      <c r="HD23" s="422" t="s">
        <v>364</v>
      </c>
      <c r="HE23" s="422" t="s">
        <v>364</v>
      </c>
      <c r="HF23" s="422" t="s">
        <v>364</v>
      </c>
      <c r="HG23" s="422" t="s">
        <v>364</v>
      </c>
      <c r="HH23" s="422" t="s">
        <v>364</v>
      </c>
      <c r="HI23" s="422" t="s">
        <v>364</v>
      </c>
      <c r="HJ23" s="422" t="s">
        <v>364</v>
      </c>
      <c r="HK23" s="422" t="s">
        <v>364</v>
      </c>
      <c r="HL23" s="422" t="s">
        <v>364</v>
      </c>
      <c r="HM23" s="422" t="s">
        <v>364</v>
      </c>
      <c r="HN23" s="422" t="s">
        <v>364</v>
      </c>
      <c r="HO23" s="422" t="s">
        <v>364</v>
      </c>
      <c r="HP23" s="422">
        <v>150</v>
      </c>
      <c r="HQ23" s="422">
        <v>365</v>
      </c>
      <c r="HR23" s="422">
        <v>310</v>
      </c>
      <c r="HS23" s="422">
        <v>3</v>
      </c>
      <c r="HT23" s="422">
        <v>517</v>
      </c>
      <c r="HU23" s="422">
        <v>40</v>
      </c>
      <c r="HV23" s="422" t="s">
        <v>364</v>
      </c>
      <c r="HW23" s="422" t="s">
        <v>364</v>
      </c>
      <c r="HX23" s="422" t="s">
        <v>364</v>
      </c>
      <c r="HY23" s="422">
        <f t="shared" si="8"/>
        <v>0</v>
      </c>
      <c r="HZ23" s="422" t="s">
        <v>364</v>
      </c>
      <c r="IA23" s="422" t="s">
        <v>364</v>
      </c>
      <c r="IB23" s="422" t="s">
        <v>364</v>
      </c>
      <c r="IC23" s="422" t="s">
        <v>364</v>
      </c>
      <c r="ID23" s="422" t="s">
        <v>364</v>
      </c>
      <c r="IE23" s="422" t="s">
        <v>364</v>
      </c>
      <c r="IF23" s="422">
        <f t="shared" si="9"/>
        <v>146</v>
      </c>
      <c r="IG23" s="422">
        <v>12</v>
      </c>
      <c r="IH23" s="422" t="s">
        <v>364</v>
      </c>
      <c r="II23" s="422" t="s">
        <v>364</v>
      </c>
      <c r="IJ23" s="422" t="s">
        <v>364</v>
      </c>
      <c r="IK23" s="422">
        <v>48</v>
      </c>
      <c r="IL23" s="422" t="s">
        <v>364</v>
      </c>
      <c r="IM23" s="422" t="s">
        <v>364</v>
      </c>
      <c r="IN23" s="422" t="s">
        <v>364</v>
      </c>
      <c r="IO23" s="422" t="s">
        <v>364</v>
      </c>
      <c r="IP23" s="422" t="s">
        <v>364</v>
      </c>
      <c r="IQ23" s="422" t="s">
        <v>364</v>
      </c>
      <c r="IR23" s="422" t="s">
        <v>364</v>
      </c>
      <c r="IS23" s="422">
        <v>50</v>
      </c>
      <c r="IT23" s="422">
        <v>36</v>
      </c>
      <c r="IU23" s="422" t="s">
        <v>364</v>
      </c>
      <c r="IV23" s="422" t="s">
        <v>364</v>
      </c>
      <c r="IW23" s="422" t="s">
        <v>364</v>
      </c>
      <c r="IX23" s="422" t="s">
        <v>364</v>
      </c>
      <c r="IY23" s="422" t="s">
        <v>364</v>
      </c>
      <c r="IZ23" s="422">
        <f t="shared" si="10"/>
        <v>27</v>
      </c>
      <c r="JA23" s="422" t="s">
        <v>364</v>
      </c>
      <c r="JB23" s="422" t="s">
        <v>364</v>
      </c>
      <c r="JC23" s="422" t="s">
        <v>364</v>
      </c>
      <c r="JD23" s="422" t="s">
        <v>364</v>
      </c>
      <c r="JE23" s="422" t="s">
        <v>364</v>
      </c>
      <c r="JF23" s="422" t="s">
        <v>364</v>
      </c>
      <c r="JG23" s="422" t="s">
        <v>364</v>
      </c>
      <c r="JH23" s="422" t="s">
        <v>364</v>
      </c>
      <c r="JI23" s="422" t="s">
        <v>364</v>
      </c>
      <c r="JJ23" s="422" t="s">
        <v>364</v>
      </c>
      <c r="JK23" s="422" t="s">
        <v>364</v>
      </c>
      <c r="JL23" s="422" t="s">
        <v>364</v>
      </c>
      <c r="JM23" s="422">
        <v>17</v>
      </c>
      <c r="JN23" s="422">
        <v>10</v>
      </c>
      <c r="JO23" s="422" t="s">
        <v>364</v>
      </c>
      <c r="JP23" s="422" t="s">
        <v>364</v>
      </c>
      <c r="JQ23" s="422" t="s">
        <v>364</v>
      </c>
      <c r="JR23" s="422" t="s">
        <v>364</v>
      </c>
      <c r="JS23" s="422" t="s">
        <v>364</v>
      </c>
      <c r="JT23" s="422" t="s">
        <v>364</v>
      </c>
      <c r="JU23" s="422" t="s">
        <v>364</v>
      </c>
      <c r="JV23" s="422" t="s">
        <v>364</v>
      </c>
      <c r="JW23" s="422">
        <f t="shared" si="11"/>
        <v>279</v>
      </c>
      <c r="JX23" s="422" t="s">
        <v>364</v>
      </c>
      <c r="JY23" s="422">
        <v>19</v>
      </c>
      <c r="JZ23" s="422">
        <v>260</v>
      </c>
      <c r="KA23" s="422" t="s">
        <v>364</v>
      </c>
      <c r="KB23" s="422" t="s">
        <v>364</v>
      </c>
      <c r="KC23" s="422" t="s">
        <v>364</v>
      </c>
      <c r="KD23" s="422" t="s">
        <v>364</v>
      </c>
      <c r="KE23" s="422" t="s">
        <v>364</v>
      </c>
      <c r="KF23" s="422" t="s">
        <v>364</v>
      </c>
      <c r="KG23" s="422" t="s">
        <v>364</v>
      </c>
      <c r="KH23" s="422" t="s">
        <v>364</v>
      </c>
      <c r="KI23" s="422" t="s">
        <v>364</v>
      </c>
      <c r="KJ23" s="422" t="s">
        <v>364</v>
      </c>
      <c r="KK23" s="422" t="s">
        <v>364</v>
      </c>
      <c r="KL23" s="422" t="s">
        <v>364</v>
      </c>
      <c r="KM23" s="422" t="s">
        <v>364</v>
      </c>
      <c r="KN23" s="422" t="s">
        <v>364</v>
      </c>
      <c r="KO23" s="422" t="s">
        <v>364</v>
      </c>
      <c r="KP23" s="422" t="s">
        <v>364</v>
      </c>
      <c r="KQ23" s="422" t="s">
        <v>364</v>
      </c>
      <c r="KR23" s="422" t="s">
        <v>364</v>
      </c>
      <c r="KS23" s="422" t="s">
        <v>364</v>
      </c>
      <c r="KT23" s="422" t="s">
        <v>364</v>
      </c>
      <c r="KU23" s="422" t="s">
        <v>364</v>
      </c>
      <c r="KV23" s="422" t="s">
        <v>364</v>
      </c>
      <c r="KW23" s="422" t="s">
        <v>364</v>
      </c>
      <c r="KX23" s="422" t="s">
        <v>364</v>
      </c>
      <c r="KY23" s="422" t="s">
        <v>364</v>
      </c>
      <c r="KZ23" s="422" t="s">
        <v>364</v>
      </c>
      <c r="LA23" s="422" t="s">
        <v>364</v>
      </c>
      <c r="LB23" s="422" t="s">
        <v>364</v>
      </c>
      <c r="LC23" s="422" t="s">
        <v>364</v>
      </c>
      <c r="LD23" s="422" t="s">
        <v>364</v>
      </c>
      <c r="LE23" s="422" t="s">
        <v>364</v>
      </c>
      <c r="LF23" s="422" t="s">
        <v>364</v>
      </c>
      <c r="LG23" s="422" t="s">
        <v>364</v>
      </c>
      <c r="LH23" s="422" t="s">
        <v>364</v>
      </c>
      <c r="LI23" s="422" t="s">
        <v>364</v>
      </c>
      <c r="LJ23" s="422" t="s">
        <v>364</v>
      </c>
      <c r="LK23" s="422" t="s">
        <v>364</v>
      </c>
      <c r="LL23" s="422" t="s">
        <v>364</v>
      </c>
      <c r="LM23" s="424" t="s">
        <v>364</v>
      </c>
      <c r="LN23" s="424">
        <v>32</v>
      </c>
      <c r="LO23" s="424" t="s">
        <v>364</v>
      </c>
      <c r="LP23" s="424" t="s">
        <v>364</v>
      </c>
      <c r="LQ23" s="424" t="s">
        <v>364</v>
      </c>
      <c r="LR23" s="424" t="s">
        <v>364</v>
      </c>
      <c r="LS23" s="424" t="s">
        <v>364</v>
      </c>
      <c r="LT23" s="424" t="s">
        <v>364</v>
      </c>
      <c r="LU23" s="424" t="s">
        <v>6598</v>
      </c>
      <c r="LV23" s="424">
        <v>32</v>
      </c>
      <c r="LW23" s="424" t="s">
        <v>364</v>
      </c>
      <c r="LX23" s="424">
        <f t="shared" si="12"/>
        <v>0</v>
      </c>
      <c r="LY23" s="424" t="s">
        <v>364</v>
      </c>
      <c r="LZ23" s="424" t="s">
        <v>364</v>
      </c>
      <c r="MA23" s="424" t="s">
        <v>364</v>
      </c>
      <c r="MB23" s="424" t="s">
        <v>364</v>
      </c>
      <c r="MC23" s="424" t="s">
        <v>364</v>
      </c>
      <c r="MD23" s="424" t="s">
        <v>364</v>
      </c>
      <c r="ME23" s="424">
        <f t="shared" si="1"/>
        <v>0</v>
      </c>
      <c r="MF23" s="424" t="s">
        <v>364</v>
      </c>
      <c r="MG23" s="424" t="s">
        <v>364</v>
      </c>
      <c r="MH23" s="424" t="s">
        <v>364</v>
      </c>
      <c r="MI23" s="424" t="s">
        <v>364</v>
      </c>
      <c r="MJ23" s="424" t="s">
        <v>364</v>
      </c>
      <c r="MK23" s="424" t="s">
        <v>364</v>
      </c>
      <c r="ML23" s="424" t="s">
        <v>364</v>
      </c>
      <c r="MM23" s="424" t="s">
        <v>364</v>
      </c>
      <c r="MN23" s="424" t="s">
        <v>364</v>
      </c>
      <c r="MO23" s="424" t="s">
        <v>364</v>
      </c>
      <c r="MP23" s="424" t="s">
        <v>364</v>
      </c>
      <c r="MQ23" s="424" t="s">
        <v>364</v>
      </c>
      <c r="MR23" s="424" t="s">
        <v>6598</v>
      </c>
      <c r="MS23" s="424" t="s">
        <v>6598</v>
      </c>
      <c r="MT23" s="424" t="s">
        <v>364</v>
      </c>
      <c r="MU23" s="424" t="s">
        <v>364</v>
      </c>
      <c r="MV23" s="424" t="s">
        <v>364</v>
      </c>
      <c r="MW23" s="424" t="s">
        <v>364</v>
      </c>
      <c r="MX23" s="424">
        <f t="shared" si="13"/>
        <v>0</v>
      </c>
      <c r="MY23" s="424" t="s">
        <v>364</v>
      </c>
      <c r="MZ23" s="424" t="s">
        <v>364</v>
      </c>
      <c r="NA23" s="424" t="s">
        <v>364</v>
      </c>
      <c r="NB23" s="424" t="s">
        <v>364</v>
      </c>
      <c r="NC23" s="424" t="s">
        <v>364</v>
      </c>
      <c r="ND23" s="424" t="s">
        <v>364</v>
      </c>
      <c r="NE23" s="424" t="s">
        <v>364</v>
      </c>
      <c r="NF23" s="424" t="s">
        <v>364</v>
      </c>
      <c r="NG23" s="424" t="s">
        <v>6598</v>
      </c>
      <c r="NH23" s="424" t="s">
        <v>364</v>
      </c>
      <c r="NI23" s="424" t="s">
        <v>364</v>
      </c>
      <c r="NJ23" s="424" t="s">
        <v>364</v>
      </c>
      <c r="NK23" s="424">
        <f t="shared" si="2"/>
        <v>148</v>
      </c>
      <c r="NL23" s="424">
        <f t="shared" si="14"/>
        <v>148</v>
      </c>
      <c r="NM23" s="424" t="s">
        <v>364</v>
      </c>
      <c r="NN23" s="424" t="s">
        <v>364</v>
      </c>
      <c r="NO23" s="424" t="s">
        <v>364</v>
      </c>
      <c r="NP23" s="424" t="s">
        <v>364</v>
      </c>
      <c r="NQ23" s="424" t="s">
        <v>364</v>
      </c>
      <c r="NR23" s="424" t="s">
        <v>364</v>
      </c>
      <c r="NS23" s="424">
        <v>70</v>
      </c>
      <c r="NT23" s="424">
        <v>78</v>
      </c>
      <c r="NU23" s="424" t="s">
        <v>364</v>
      </c>
      <c r="NV23" s="424" t="s">
        <v>364</v>
      </c>
      <c r="NW23" s="424" t="s">
        <v>364</v>
      </c>
      <c r="NX23" s="424" t="s">
        <v>364</v>
      </c>
      <c r="NY23" s="424" t="s">
        <v>364</v>
      </c>
      <c r="NZ23" s="424">
        <f t="shared" si="15"/>
        <v>0</v>
      </c>
      <c r="OA23" s="424" t="s">
        <v>364</v>
      </c>
      <c r="OB23" s="424" t="s">
        <v>364</v>
      </c>
      <c r="OC23" s="424" t="s">
        <v>364</v>
      </c>
      <c r="OD23" s="424" t="s">
        <v>6598</v>
      </c>
      <c r="OE23" s="424" t="s">
        <v>364</v>
      </c>
      <c r="OF23" s="424" t="s">
        <v>364</v>
      </c>
      <c r="OG23" s="424" t="s">
        <v>364</v>
      </c>
      <c r="OH23" s="424">
        <f t="shared" si="16"/>
        <v>1402</v>
      </c>
      <c r="OI23" s="424">
        <f t="shared" si="17"/>
        <v>1362</v>
      </c>
      <c r="OJ23" s="422" t="s">
        <v>364</v>
      </c>
      <c r="OK23" s="422" t="s">
        <v>364</v>
      </c>
      <c r="OL23" s="422" t="s">
        <v>364</v>
      </c>
      <c r="OM23" s="422" t="s">
        <v>364</v>
      </c>
      <c r="ON23" s="422">
        <v>803</v>
      </c>
      <c r="OO23" s="422" t="s">
        <v>364</v>
      </c>
      <c r="OP23" s="422" t="s">
        <v>364</v>
      </c>
      <c r="OQ23" s="422" t="s">
        <v>364</v>
      </c>
      <c r="OR23" s="422" t="s">
        <v>364</v>
      </c>
      <c r="OS23" s="422" t="s">
        <v>364</v>
      </c>
      <c r="OT23" s="422" t="s">
        <v>364</v>
      </c>
      <c r="OU23" s="422" t="s">
        <v>364</v>
      </c>
      <c r="OV23" s="422" t="s">
        <v>364</v>
      </c>
      <c r="OW23" s="422" t="s">
        <v>364</v>
      </c>
      <c r="OX23" s="422">
        <v>120</v>
      </c>
      <c r="OY23" s="422" t="s">
        <v>364</v>
      </c>
      <c r="OZ23" s="422" t="s">
        <v>364</v>
      </c>
      <c r="PA23" s="422">
        <v>439</v>
      </c>
      <c r="PB23" s="424">
        <f t="shared" si="18"/>
        <v>40</v>
      </c>
      <c r="PC23" s="422" t="s">
        <v>364</v>
      </c>
      <c r="PD23" s="422" t="s">
        <v>364</v>
      </c>
      <c r="PE23" s="422" t="s">
        <v>364</v>
      </c>
      <c r="PF23" s="422" t="s">
        <v>364</v>
      </c>
      <c r="PG23" s="422" t="s">
        <v>364</v>
      </c>
      <c r="PH23" s="422" t="s">
        <v>364</v>
      </c>
      <c r="PI23" s="422">
        <v>40</v>
      </c>
      <c r="PJ23" s="422" t="s">
        <v>364</v>
      </c>
    </row>
    <row r="24" spans="2:426" ht="15.6">
      <c r="B24" s="426" t="s">
        <v>3548</v>
      </c>
      <c r="C24" s="422">
        <f t="shared" si="3"/>
        <v>120</v>
      </c>
      <c r="D24" s="422" t="s">
        <v>364</v>
      </c>
      <c r="E24" s="422" t="s">
        <v>364</v>
      </c>
      <c r="F24" s="422">
        <v>120</v>
      </c>
      <c r="G24" s="422" t="s">
        <v>364</v>
      </c>
      <c r="H24" s="422" t="s">
        <v>364</v>
      </c>
      <c r="I24" s="422" t="s">
        <v>364</v>
      </c>
      <c r="J24" s="422" t="s">
        <v>364</v>
      </c>
      <c r="K24" s="422" t="s">
        <v>364</v>
      </c>
      <c r="L24" s="422" t="s">
        <v>364</v>
      </c>
      <c r="M24" s="422" t="s">
        <v>364</v>
      </c>
      <c r="N24" s="422" t="s">
        <v>364</v>
      </c>
      <c r="O24" s="422" t="s">
        <v>364</v>
      </c>
      <c r="P24" s="422" t="s">
        <v>364</v>
      </c>
      <c r="Q24" s="422" t="s">
        <v>364</v>
      </c>
      <c r="R24" s="422" t="s">
        <v>364</v>
      </c>
      <c r="S24" s="422" t="s">
        <v>364</v>
      </c>
      <c r="T24" s="422" t="s">
        <v>364</v>
      </c>
      <c r="U24" s="422" t="s">
        <v>364</v>
      </c>
      <c r="V24" s="422" t="s">
        <v>364</v>
      </c>
      <c r="W24" s="422" t="s">
        <v>364</v>
      </c>
      <c r="X24" s="422" t="s">
        <v>364</v>
      </c>
      <c r="Y24" s="422" t="s">
        <v>364</v>
      </c>
      <c r="Z24" s="422" t="s">
        <v>364</v>
      </c>
      <c r="AA24" s="422" t="s">
        <v>364</v>
      </c>
      <c r="AB24" s="422" t="s">
        <v>364</v>
      </c>
      <c r="AC24" s="422" t="s">
        <v>364</v>
      </c>
      <c r="AD24" s="422" t="s">
        <v>364</v>
      </c>
      <c r="AE24" s="422" t="s">
        <v>364</v>
      </c>
      <c r="AF24" s="422" t="s">
        <v>364</v>
      </c>
      <c r="AG24" s="422" t="s">
        <v>364</v>
      </c>
      <c r="AH24" s="422" t="s">
        <v>364</v>
      </c>
      <c r="AI24" s="422" t="s">
        <v>364</v>
      </c>
      <c r="AJ24" s="422" t="s">
        <v>364</v>
      </c>
      <c r="AK24" s="422" t="s">
        <v>364</v>
      </c>
      <c r="AL24" s="422" t="s">
        <v>364</v>
      </c>
      <c r="AM24" s="422" t="s">
        <v>364</v>
      </c>
      <c r="AN24" s="422" t="s">
        <v>364</v>
      </c>
      <c r="AO24" s="422" t="s">
        <v>364</v>
      </c>
      <c r="AP24" s="422" t="s">
        <v>364</v>
      </c>
      <c r="AQ24" s="422">
        <f t="shared" si="0"/>
        <v>704</v>
      </c>
      <c r="AR24" s="422">
        <v>150</v>
      </c>
      <c r="AS24" s="422" t="s">
        <v>364</v>
      </c>
      <c r="AT24" s="422" t="s">
        <v>364</v>
      </c>
      <c r="AU24" s="422" t="s">
        <v>364</v>
      </c>
      <c r="AV24" s="422" t="s">
        <v>364</v>
      </c>
      <c r="AW24" s="422" t="s">
        <v>364</v>
      </c>
      <c r="AX24" s="422" t="s">
        <v>364</v>
      </c>
      <c r="AY24" s="422" t="s">
        <v>364</v>
      </c>
      <c r="AZ24" s="422" t="s">
        <v>364</v>
      </c>
      <c r="BA24" s="422" t="s">
        <v>364</v>
      </c>
      <c r="BB24" s="422" t="s">
        <v>364</v>
      </c>
      <c r="BC24" s="422" t="s">
        <v>364</v>
      </c>
      <c r="BD24" s="422" t="s">
        <v>364</v>
      </c>
      <c r="BE24" s="422" t="s">
        <v>364</v>
      </c>
      <c r="BF24" s="422" t="s">
        <v>364</v>
      </c>
      <c r="BG24" s="422" t="s">
        <v>364</v>
      </c>
      <c r="BH24" s="422" t="s">
        <v>364</v>
      </c>
      <c r="BI24" s="422" t="s">
        <v>364</v>
      </c>
      <c r="BJ24" s="422" t="s">
        <v>364</v>
      </c>
      <c r="BK24" s="422" t="s">
        <v>364</v>
      </c>
      <c r="BL24" s="422">
        <v>113</v>
      </c>
      <c r="BM24" s="422" t="s">
        <v>364</v>
      </c>
      <c r="BN24" s="422" t="s">
        <v>364</v>
      </c>
      <c r="BO24" s="422" t="s">
        <v>364</v>
      </c>
      <c r="BP24" s="422">
        <v>34</v>
      </c>
      <c r="BQ24" s="422" t="s">
        <v>364</v>
      </c>
      <c r="BR24" s="422" t="s">
        <v>364</v>
      </c>
      <c r="BS24" s="422">
        <v>20</v>
      </c>
      <c r="BT24" s="422">
        <v>148</v>
      </c>
      <c r="BU24" s="422" t="s">
        <v>364</v>
      </c>
      <c r="BV24" s="422" t="s">
        <v>364</v>
      </c>
      <c r="BW24" s="422" t="s">
        <v>364</v>
      </c>
      <c r="BX24" s="422" t="s">
        <v>364</v>
      </c>
      <c r="BY24" s="422" t="s">
        <v>364</v>
      </c>
      <c r="BZ24" s="422" t="s">
        <v>364</v>
      </c>
      <c r="CA24" s="422" t="s">
        <v>364</v>
      </c>
      <c r="CB24" s="422" t="s">
        <v>364</v>
      </c>
      <c r="CC24" s="422" t="s">
        <v>364</v>
      </c>
      <c r="CD24" s="422" t="s">
        <v>364</v>
      </c>
      <c r="CE24" s="422" t="s">
        <v>364</v>
      </c>
      <c r="CF24" s="422" t="s">
        <v>364</v>
      </c>
      <c r="CG24" s="422" t="s">
        <v>364</v>
      </c>
      <c r="CH24" s="422" t="s">
        <v>364</v>
      </c>
      <c r="CI24" s="422" t="s">
        <v>364</v>
      </c>
      <c r="CJ24" s="422" t="s">
        <v>364</v>
      </c>
      <c r="CK24" s="422" t="s">
        <v>364</v>
      </c>
      <c r="CL24" s="422" t="s">
        <v>364</v>
      </c>
      <c r="CM24" s="422" t="s">
        <v>364</v>
      </c>
      <c r="CN24" s="422" t="s">
        <v>364</v>
      </c>
      <c r="CO24" s="422" t="s">
        <v>364</v>
      </c>
      <c r="CP24" s="422" t="s">
        <v>364</v>
      </c>
      <c r="CQ24" s="422" t="s">
        <v>364</v>
      </c>
      <c r="CR24" s="422" t="s">
        <v>364</v>
      </c>
      <c r="CS24" s="422" t="s">
        <v>364</v>
      </c>
      <c r="CT24" s="422">
        <v>239</v>
      </c>
      <c r="CU24" s="422" t="s">
        <v>6599</v>
      </c>
      <c r="CV24" s="422" t="s">
        <v>364</v>
      </c>
      <c r="CW24" s="422" t="s">
        <v>364</v>
      </c>
      <c r="CX24" s="422" t="s">
        <v>364</v>
      </c>
      <c r="CY24" s="422" t="s">
        <v>364</v>
      </c>
      <c r="CZ24" s="422" t="s">
        <v>364</v>
      </c>
      <c r="DA24" s="422" t="s">
        <v>364</v>
      </c>
      <c r="DB24" s="422" t="s">
        <v>364</v>
      </c>
      <c r="DC24" s="422" t="s">
        <v>364</v>
      </c>
      <c r="DD24" s="422" t="s">
        <v>364</v>
      </c>
      <c r="DE24" s="422" t="s">
        <v>364</v>
      </c>
      <c r="DF24" s="422" t="s">
        <v>364</v>
      </c>
      <c r="DG24" s="422" t="s">
        <v>364</v>
      </c>
      <c r="DH24" s="422" t="s">
        <v>364</v>
      </c>
      <c r="DI24" s="422" t="s">
        <v>364</v>
      </c>
      <c r="DJ24" s="422" t="s">
        <v>364</v>
      </c>
      <c r="DK24" s="422">
        <f t="shared" si="4"/>
        <v>360</v>
      </c>
      <c r="DL24" s="422" t="s">
        <v>364</v>
      </c>
      <c r="DM24" s="422">
        <v>360</v>
      </c>
      <c r="DN24" s="422" t="s">
        <v>364</v>
      </c>
      <c r="DO24" s="422" t="s">
        <v>364</v>
      </c>
      <c r="DP24" s="422" t="s">
        <v>364</v>
      </c>
      <c r="DQ24" s="422" t="s">
        <v>364</v>
      </c>
      <c r="DR24" s="422" t="s">
        <v>364</v>
      </c>
      <c r="DS24" s="422" t="s">
        <v>364</v>
      </c>
      <c r="DT24" s="422" t="s">
        <v>364</v>
      </c>
      <c r="DU24" s="422" t="s">
        <v>364</v>
      </c>
      <c r="DV24" s="422" t="s">
        <v>364</v>
      </c>
      <c r="DW24" s="422" t="s">
        <v>364</v>
      </c>
      <c r="DX24" s="422" t="s">
        <v>364</v>
      </c>
      <c r="DY24" s="422">
        <f t="shared" si="5"/>
        <v>0</v>
      </c>
      <c r="DZ24" s="422" t="s">
        <v>364</v>
      </c>
      <c r="EA24" s="422" t="s">
        <v>364</v>
      </c>
      <c r="EB24" s="422" t="s">
        <v>364</v>
      </c>
      <c r="EC24" s="422" t="s">
        <v>364</v>
      </c>
      <c r="ED24" s="422" t="s">
        <v>364</v>
      </c>
      <c r="EE24" s="422" t="s">
        <v>364</v>
      </c>
      <c r="EF24" s="422" t="s">
        <v>364</v>
      </c>
      <c r="EG24" s="422" t="s">
        <v>364</v>
      </c>
      <c r="EH24" s="422" t="s">
        <v>364</v>
      </c>
      <c r="EI24" s="422" t="s">
        <v>364</v>
      </c>
      <c r="EJ24" s="422" t="s">
        <v>364</v>
      </c>
      <c r="EK24" s="422" t="s">
        <v>364</v>
      </c>
      <c r="EL24" s="422" t="s">
        <v>364</v>
      </c>
      <c r="EM24" s="422" t="s">
        <v>364</v>
      </c>
      <c r="EN24" s="422" t="s">
        <v>364</v>
      </c>
      <c r="EO24" s="422" t="s">
        <v>364</v>
      </c>
      <c r="EP24" s="422" t="s">
        <v>364</v>
      </c>
      <c r="EQ24" s="422" t="s">
        <v>364</v>
      </c>
      <c r="ER24" s="422" t="s">
        <v>364</v>
      </c>
      <c r="ES24" s="422" t="s">
        <v>364</v>
      </c>
      <c r="ET24" s="422" t="s">
        <v>364</v>
      </c>
      <c r="EU24" s="422" t="s">
        <v>364</v>
      </c>
      <c r="EV24" s="422" t="s">
        <v>364</v>
      </c>
      <c r="EW24" s="422" t="s">
        <v>364</v>
      </c>
      <c r="EX24" s="422" t="s">
        <v>364</v>
      </c>
      <c r="EY24" s="422" t="s">
        <v>364</v>
      </c>
      <c r="EZ24" s="422" t="s">
        <v>364</v>
      </c>
      <c r="FA24" s="422">
        <f t="shared" si="6"/>
        <v>411</v>
      </c>
      <c r="FB24" s="422" t="s">
        <v>364</v>
      </c>
      <c r="FC24" s="422" t="s">
        <v>364</v>
      </c>
      <c r="FD24" s="422" t="s">
        <v>364</v>
      </c>
      <c r="FE24" s="422" t="s">
        <v>364</v>
      </c>
      <c r="FF24" s="422" t="s">
        <v>364</v>
      </c>
      <c r="FG24" s="422" t="s">
        <v>364</v>
      </c>
      <c r="FH24" s="422" t="s">
        <v>364</v>
      </c>
      <c r="FI24" s="422" t="s">
        <v>364</v>
      </c>
      <c r="FJ24" s="422" t="s">
        <v>364</v>
      </c>
      <c r="FK24" s="422" t="s">
        <v>364</v>
      </c>
      <c r="FL24" s="422" t="s">
        <v>364</v>
      </c>
      <c r="FM24" s="422" t="s">
        <v>364</v>
      </c>
      <c r="FN24" s="422" t="s">
        <v>364</v>
      </c>
      <c r="FO24" s="422" t="s">
        <v>364</v>
      </c>
      <c r="FP24" s="422" t="s">
        <v>364</v>
      </c>
      <c r="FQ24" s="422" t="s">
        <v>364</v>
      </c>
      <c r="FR24" s="422" t="s">
        <v>364</v>
      </c>
      <c r="FS24" s="422" t="s">
        <v>364</v>
      </c>
      <c r="FT24" s="422" t="s">
        <v>364</v>
      </c>
      <c r="FU24" s="422" t="s">
        <v>364</v>
      </c>
      <c r="FV24" s="422" t="s">
        <v>364</v>
      </c>
      <c r="FW24" s="422" t="s">
        <v>364</v>
      </c>
      <c r="FX24" s="422" t="s">
        <v>364</v>
      </c>
      <c r="FY24" s="422" t="s">
        <v>364</v>
      </c>
      <c r="FZ24" s="422" t="s">
        <v>364</v>
      </c>
      <c r="GA24" s="422" t="s">
        <v>364</v>
      </c>
      <c r="GB24" s="422" t="s">
        <v>364</v>
      </c>
      <c r="GC24" s="422" t="s">
        <v>364</v>
      </c>
      <c r="GD24" s="422" t="s">
        <v>364</v>
      </c>
      <c r="GE24" s="422">
        <v>369</v>
      </c>
      <c r="GF24" s="422">
        <v>42</v>
      </c>
      <c r="GG24" s="422" t="s">
        <v>364</v>
      </c>
      <c r="GH24" s="422" t="s">
        <v>364</v>
      </c>
      <c r="GI24" s="422" t="s">
        <v>364</v>
      </c>
      <c r="GJ24" s="422" t="s">
        <v>364</v>
      </c>
      <c r="GK24" s="422" t="s">
        <v>364</v>
      </c>
      <c r="GL24" s="422" t="s">
        <v>364</v>
      </c>
      <c r="GM24" s="422" t="s">
        <v>364</v>
      </c>
      <c r="GN24" s="422" t="s">
        <v>364</v>
      </c>
      <c r="GO24" s="422" t="s">
        <v>364</v>
      </c>
      <c r="GP24" s="422" t="s">
        <v>364</v>
      </c>
      <c r="GQ24" s="422" t="s">
        <v>364</v>
      </c>
      <c r="GR24" s="422" t="s">
        <v>364</v>
      </c>
      <c r="GS24" s="422" t="s">
        <v>364</v>
      </c>
      <c r="GT24" s="422" t="s">
        <v>364</v>
      </c>
      <c r="GU24" s="422" t="s">
        <v>364</v>
      </c>
      <c r="GV24" s="422">
        <f t="shared" si="7"/>
        <v>35</v>
      </c>
      <c r="GW24" s="422" t="s">
        <v>364</v>
      </c>
      <c r="GX24" s="422" t="s">
        <v>364</v>
      </c>
      <c r="GY24" s="422" t="s">
        <v>364</v>
      </c>
      <c r="GZ24" s="422" t="s">
        <v>364</v>
      </c>
      <c r="HA24" s="422" t="s">
        <v>364</v>
      </c>
      <c r="HB24" s="422" t="s">
        <v>364</v>
      </c>
      <c r="HC24" s="422" t="s">
        <v>364</v>
      </c>
      <c r="HD24" s="422" t="s">
        <v>364</v>
      </c>
      <c r="HE24" s="422" t="s">
        <v>364</v>
      </c>
      <c r="HF24" s="422" t="s">
        <v>364</v>
      </c>
      <c r="HG24" s="422" t="s">
        <v>364</v>
      </c>
      <c r="HH24" s="422" t="s">
        <v>364</v>
      </c>
      <c r="HI24" s="422" t="s">
        <v>364</v>
      </c>
      <c r="HJ24" s="422" t="s">
        <v>364</v>
      </c>
      <c r="HK24" s="422" t="s">
        <v>364</v>
      </c>
      <c r="HL24" s="422" t="s">
        <v>364</v>
      </c>
      <c r="HM24" s="422" t="s">
        <v>364</v>
      </c>
      <c r="HN24" s="422" t="s">
        <v>364</v>
      </c>
      <c r="HO24" s="422">
        <v>35</v>
      </c>
      <c r="HP24" s="422" t="s">
        <v>364</v>
      </c>
      <c r="HQ24" s="422" t="s">
        <v>364</v>
      </c>
      <c r="HR24" s="422" t="s">
        <v>364</v>
      </c>
      <c r="HS24" s="422" t="s">
        <v>364</v>
      </c>
      <c r="HT24" s="422" t="s">
        <v>364</v>
      </c>
      <c r="HU24" s="422" t="s">
        <v>364</v>
      </c>
      <c r="HV24" s="422" t="s">
        <v>364</v>
      </c>
      <c r="HW24" s="422" t="s">
        <v>364</v>
      </c>
      <c r="HX24" s="422" t="s">
        <v>364</v>
      </c>
      <c r="HY24" s="422">
        <f t="shared" si="8"/>
        <v>0</v>
      </c>
      <c r="HZ24" s="422" t="s">
        <v>364</v>
      </c>
      <c r="IA24" s="422" t="s">
        <v>364</v>
      </c>
      <c r="IB24" s="422" t="s">
        <v>364</v>
      </c>
      <c r="IC24" s="422" t="s">
        <v>364</v>
      </c>
      <c r="ID24" s="422" t="s">
        <v>364</v>
      </c>
      <c r="IE24" s="422" t="s">
        <v>364</v>
      </c>
      <c r="IF24" s="422">
        <f t="shared" si="9"/>
        <v>0</v>
      </c>
      <c r="IG24" s="422" t="s">
        <v>364</v>
      </c>
      <c r="IH24" s="422" t="s">
        <v>364</v>
      </c>
      <c r="II24" s="422" t="s">
        <v>364</v>
      </c>
      <c r="IJ24" s="422" t="s">
        <v>364</v>
      </c>
      <c r="IK24" s="422" t="s">
        <v>364</v>
      </c>
      <c r="IL24" s="422" t="s">
        <v>364</v>
      </c>
      <c r="IM24" s="422" t="s">
        <v>364</v>
      </c>
      <c r="IN24" s="422" t="s">
        <v>364</v>
      </c>
      <c r="IO24" s="422" t="s">
        <v>364</v>
      </c>
      <c r="IP24" s="422" t="s">
        <v>364</v>
      </c>
      <c r="IQ24" s="422" t="s">
        <v>364</v>
      </c>
      <c r="IR24" s="422" t="s">
        <v>364</v>
      </c>
      <c r="IS24" s="422" t="s">
        <v>364</v>
      </c>
      <c r="IT24" s="422" t="s">
        <v>364</v>
      </c>
      <c r="IU24" s="422" t="s">
        <v>364</v>
      </c>
      <c r="IV24" s="422" t="s">
        <v>364</v>
      </c>
      <c r="IW24" s="422" t="s">
        <v>364</v>
      </c>
      <c r="IX24" s="422" t="s">
        <v>364</v>
      </c>
      <c r="IY24" s="422" t="s">
        <v>364</v>
      </c>
      <c r="IZ24" s="422">
        <f t="shared" si="10"/>
        <v>0</v>
      </c>
      <c r="JA24" s="422" t="s">
        <v>364</v>
      </c>
      <c r="JB24" s="422" t="s">
        <v>364</v>
      </c>
      <c r="JC24" s="422" t="s">
        <v>364</v>
      </c>
      <c r="JD24" s="422" t="s">
        <v>364</v>
      </c>
      <c r="JE24" s="422" t="s">
        <v>364</v>
      </c>
      <c r="JF24" s="422" t="s">
        <v>364</v>
      </c>
      <c r="JG24" s="422" t="s">
        <v>364</v>
      </c>
      <c r="JH24" s="422" t="s">
        <v>364</v>
      </c>
      <c r="JI24" s="422" t="s">
        <v>364</v>
      </c>
      <c r="JJ24" s="422" t="s">
        <v>364</v>
      </c>
      <c r="JK24" s="422" t="s">
        <v>364</v>
      </c>
      <c r="JL24" s="422" t="s">
        <v>364</v>
      </c>
      <c r="JM24" s="422" t="s">
        <v>364</v>
      </c>
      <c r="JN24" s="422" t="s">
        <v>364</v>
      </c>
      <c r="JO24" s="422" t="s">
        <v>364</v>
      </c>
      <c r="JP24" s="422" t="s">
        <v>364</v>
      </c>
      <c r="JQ24" s="422" t="s">
        <v>364</v>
      </c>
      <c r="JR24" s="422" t="s">
        <v>364</v>
      </c>
      <c r="JS24" s="422" t="s">
        <v>364</v>
      </c>
      <c r="JT24" s="422" t="s">
        <v>364</v>
      </c>
      <c r="JU24" s="422" t="s">
        <v>364</v>
      </c>
      <c r="JV24" s="422" t="s">
        <v>364</v>
      </c>
      <c r="JW24" s="422">
        <f t="shared" si="11"/>
        <v>96</v>
      </c>
      <c r="JX24" s="422">
        <v>96</v>
      </c>
      <c r="JY24" s="422" t="s">
        <v>364</v>
      </c>
      <c r="JZ24" s="422" t="s">
        <v>364</v>
      </c>
      <c r="KA24" s="422" t="s">
        <v>364</v>
      </c>
      <c r="KB24" s="422" t="s">
        <v>364</v>
      </c>
      <c r="KC24" s="422" t="s">
        <v>364</v>
      </c>
      <c r="KD24" s="422" t="s">
        <v>364</v>
      </c>
      <c r="KE24" s="422" t="s">
        <v>364</v>
      </c>
      <c r="KF24" s="422" t="s">
        <v>364</v>
      </c>
      <c r="KG24" s="422" t="s">
        <v>364</v>
      </c>
      <c r="KH24" s="422" t="s">
        <v>364</v>
      </c>
      <c r="KI24" s="422" t="s">
        <v>364</v>
      </c>
      <c r="KJ24" s="422" t="s">
        <v>364</v>
      </c>
      <c r="KK24" s="422" t="s">
        <v>364</v>
      </c>
      <c r="KL24" s="422" t="s">
        <v>364</v>
      </c>
      <c r="KM24" s="422" t="s">
        <v>364</v>
      </c>
      <c r="KN24" s="422" t="s">
        <v>364</v>
      </c>
      <c r="KO24" s="422" t="s">
        <v>364</v>
      </c>
      <c r="KP24" s="422" t="s">
        <v>364</v>
      </c>
      <c r="KQ24" s="422" t="s">
        <v>364</v>
      </c>
      <c r="KR24" s="422" t="s">
        <v>364</v>
      </c>
      <c r="KS24" s="422" t="s">
        <v>364</v>
      </c>
      <c r="KT24" s="422" t="s">
        <v>364</v>
      </c>
      <c r="KU24" s="422" t="s">
        <v>364</v>
      </c>
      <c r="KV24" s="422" t="s">
        <v>364</v>
      </c>
      <c r="KW24" s="422" t="s">
        <v>364</v>
      </c>
      <c r="KX24" s="422" t="s">
        <v>364</v>
      </c>
      <c r="KY24" s="422" t="s">
        <v>364</v>
      </c>
      <c r="KZ24" s="422" t="s">
        <v>364</v>
      </c>
      <c r="LA24" s="422" t="s">
        <v>364</v>
      </c>
      <c r="LB24" s="422" t="s">
        <v>364</v>
      </c>
      <c r="LC24" s="422" t="s">
        <v>364</v>
      </c>
      <c r="LD24" s="422" t="s">
        <v>364</v>
      </c>
      <c r="LE24" s="422" t="s">
        <v>364</v>
      </c>
      <c r="LF24" s="422" t="s">
        <v>364</v>
      </c>
      <c r="LG24" s="422" t="s">
        <v>364</v>
      </c>
      <c r="LH24" s="422" t="s">
        <v>364</v>
      </c>
      <c r="LI24" s="422" t="s">
        <v>364</v>
      </c>
      <c r="LJ24" s="422" t="s">
        <v>364</v>
      </c>
      <c r="LK24" s="422" t="s">
        <v>364</v>
      </c>
      <c r="LL24" s="422" t="s">
        <v>364</v>
      </c>
      <c r="LM24" s="424" t="s">
        <v>364</v>
      </c>
      <c r="LN24" s="424">
        <v>3</v>
      </c>
      <c r="LO24" s="424" t="s">
        <v>364</v>
      </c>
      <c r="LP24" s="424" t="s">
        <v>364</v>
      </c>
      <c r="LQ24" s="424" t="s">
        <v>364</v>
      </c>
      <c r="LR24" s="424" t="s">
        <v>364</v>
      </c>
      <c r="LS24" s="424" t="s">
        <v>364</v>
      </c>
      <c r="LT24" s="424">
        <v>3</v>
      </c>
      <c r="LU24" s="424" t="s">
        <v>364</v>
      </c>
      <c r="LV24" s="424" t="s">
        <v>364</v>
      </c>
      <c r="LW24" s="424" t="s">
        <v>364</v>
      </c>
      <c r="LX24" s="424">
        <f t="shared" si="12"/>
        <v>8</v>
      </c>
      <c r="LY24" s="424" t="s">
        <v>364</v>
      </c>
      <c r="LZ24" s="424" t="s">
        <v>6598</v>
      </c>
      <c r="MA24" s="424">
        <v>8</v>
      </c>
      <c r="MB24" s="424" t="s">
        <v>364</v>
      </c>
      <c r="MC24" s="424" t="s">
        <v>364</v>
      </c>
      <c r="MD24" s="424" t="s">
        <v>364</v>
      </c>
      <c r="ME24" s="424">
        <f t="shared" si="1"/>
        <v>0</v>
      </c>
      <c r="MF24" s="424" t="s">
        <v>364</v>
      </c>
      <c r="MG24" s="424" t="s">
        <v>364</v>
      </c>
      <c r="MH24" s="424" t="s">
        <v>364</v>
      </c>
      <c r="MI24" s="424" t="s">
        <v>364</v>
      </c>
      <c r="MJ24" s="424" t="s">
        <v>364</v>
      </c>
      <c r="MK24" s="424" t="s">
        <v>364</v>
      </c>
      <c r="ML24" s="424" t="s">
        <v>364</v>
      </c>
      <c r="MM24" s="424" t="s">
        <v>364</v>
      </c>
      <c r="MN24" s="424" t="s">
        <v>364</v>
      </c>
      <c r="MO24" s="424" t="s">
        <v>364</v>
      </c>
      <c r="MP24" s="424" t="s">
        <v>364</v>
      </c>
      <c r="MQ24" s="424" t="s">
        <v>6598</v>
      </c>
      <c r="MR24" s="424" t="s">
        <v>364</v>
      </c>
      <c r="MS24" s="424" t="s">
        <v>364</v>
      </c>
      <c r="MT24" s="424" t="s">
        <v>364</v>
      </c>
      <c r="MU24" s="424" t="s">
        <v>364</v>
      </c>
      <c r="MV24" s="424" t="s">
        <v>364</v>
      </c>
      <c r="MW24" s="424" t="s">
        <v>364</v>
      </c>
      <c r="MX24" s="424">
        <f t="shared" si="13"/>
        <v>0</v>
      </c>
      <c r="MY24" s="424" t="s">
        <v>364</v>
      </c>
      <c r="MZ24" s="424" t="s">
        <v>364</v>
      </c>
      <c r="NA24" s="424" t="s">
        <v>364</v>
      </c>
      <c r="NB24" s="424" t="s">
        <v>364</v>
      </c>
      <c r="NC24" s="424" t="s">
        <v>364</v>
      </c>
      <c r="ND24" s="424" t="s">
        <v>364</v>
      </c>
      <c r="NE24" s="424" t="s">
        <v>364</v>
      </c>
      <c r="NF24" s="424" t="s">
        <v>6598</v>
      </c>
      <c r="NG24" s="424" t="s">
        <v>364</v>
      </c>
      <c r="NH24" s="424" t="s">
        <v>364</v>
      </c>
      <c r="NI24" s="424" t="s">
        <v>364</v>
      </c>
      <c r="NJ24" s="424" t="s">
        <v>364</v>
      </c>
      <c r="NK24" s="424">
        <f t="shared" si="2"/>
        <v>0</v>
      </c>
      <c r="NL24" s="424">
        <f t="shared" si="14"/>
        <v>0</v>
      </c>
      <c r="NM24" s="424" t="s">
        <v>364</v>
      </c>
      <c r="NN24" s="424" t="s">
        <v>364</v>
      </c>
      <c r="NO24" s="424" t="s">
        <v>364</v>
      </c>
      <c r="NP24" s="424" t="s">
        <v>364</v>
      </c>
      <c r="NQ24" s="424" t="s">
        <v>364</v>
      </c>
      <c r="NR24" s="424" t="s">
        <v>364</v>
      </c>
      <c r="NS24" s="424" t="s">
        <v>364</v>
      </c>
      <c r="NT24" s="424" t="s">
        <v>364</v>
      </c>
      <c r="NU24" s="424" t="s">
        <v>364</v>
      </c>
      <c r="NV24" s="424" t="s">
        <v>364</v>
      </c>
      <c r="NW24" s="424" t="s">
        <v>364</v>
      </c>
      <c r="NX24" s="424" t="s">
        <v>364</v>
      </c>
      <c r="NY24" s="424" t="s">
        <v>364</v>
      </c>
      <c r="NZ24" s="424">
        <f t="shared" si="15"/>
        <v>0</v>
      </c>
      <c r="OA24" s="424" t="s">
        <v>364</v>
      </c>
      <c r="OB24" s="424" t="s">
        <v>364</v>
      </c>
      <c r="OC24" s="424" t="s">
        <v>364</v>
      </c>
      <c r="OD24" s="424" t="s">
        <v>364</v>
      </c>
      <c r="OE24" s="424" t="s">
        <v>364</v>
      </c>
      <c r="OF24" s="424" t="s">
        <v>364</v>
      </c>
      <c r="OG24" s="424" t="s">
        <v>364</v>
      </c>
      <c r="OH24" s="424">
        <f t="shared" si="16"/>
        <v>30</v>
      </c>
      <c r="OI24" s="424">
        <f t="shared" si="17"/>
        <v>0</v>
      </c>
      <c r="OJ24" s="422" t="s">
        <v>364</v>
      </c>
      <c r="OK24" s="422" t="s">
        <v>364</v>
      </c>
      <c r="OL24" s="422" t="s">
        <v>364</v>
      </c>
      <c r="OM24" s="422" t="s">
        <v>364</v>
      </c>
      <c r="ON24" s="422" t="s">
        <v>364</v>
      </c>
      <c r="OO24" s="422" t="s">
        <v>364</v>
      </c>
      <c r="OP24" s="422" t="s">
        <v>364</v>
      </c>
      <c r="OQ24" s="422" t="s">
        <v>364</v>
      </c>
      <c r="OR24" s="422" t="s">
        <v>364</v>
      </c>
      <c r="OS24" s="422" t="s">
        <v>364</v>
      </c>
      <c r="OT24" s="422" t="s">
        <v>364</v>
      </c>
      <c r="OU24" s="422" t="s">
        <v>364</v>
      </c>
      <c r="OV24" s="422" t="s">
        <v>364</v>
      </c>
      <c r="OW24" s="422" t="s">
        <v>364</v>
      </c>
      <c r="OX24" s="422" t="s">
        <v>364</v>
      </c>
      <c r="OY24" s="422" t="s">
        <v>364</v>
      </c>
      <c r="OZ24" s="422" t="s">
        <v>364</v>
      </c>
      <c r="PA24" s="422" t="s">
        <v>364</v>
      </c>
      <c r="PB24" s="424">
        <f t="shared" si="18"/>
        <v>30</v>
      </c>
      <c r="PC24" s="422" t="s">
        <v>364</v>
      </c>
      <c r="PD24" s="422" t="s">
        <v>364</v>
      </c>
      <c r="PE24" s="422" t="s">
        <v>364</v>
      </c>
      <c r="PF24" s="422" t="s">
        <v>364</v>
      </c>
      <c r="PG24" s="422" t="s">
        <v>364</v>
      </c>
      <c r="PH24" s="422" t="s">
        <v>364</v>
      </c>
      <c r="PI24" s="422" t="s">
        <v>364</v>
      </c>
      <c r="PJ24" s="422">
        <v>30</v>
      </c>
    </row>
    <row r="25" spans="2:426" ht="15.6">
      <c r="B25" s="426" t="s">
        <v>1973</v>
      </c>
      <c r="C25" s="422">
        <f t="shared" si="3"/>
        <v>1228</v>
      </c>
      <c r="D25" s="422">
        <v>183</v>
      </c>
      <c r="E25" s="422" t="s">
        <v>364</v>
      </c>
      <c r="F25" s="422" t="s">
        <v>364</v>
      </c>
      <c r="G25" s="422">
        <v>170</v>
      </c>
      <c r="H25" s="422" t="s">
        <v>364</v>
      </c>
      <c r="I25" s="422" t="s">
        <v>364</v>
      </c>
      <c r="J25" s="422">
        <v>500</v>
      </c>
      <c r="K25" s="422" t="s">
        <v>364</v>
      </c>
      <c r="L25" s="422" t="s">
        <v>364</v>
      </c>
      <c r="M25" s="422" t="s">
        <v>364</v>
      </c>
      <c r="N25" s="422" t="s">
        <v>364</v>
      </c>
      <c r="O25" s="422" t="s">
        <v>364</v>
      </c>
      <c r="P25" s="422" t="s">
        <v>364</v>
      </c>
      <c r="Q25" s="422">
        <v>375</v>
      </c>
      <c r="R25" s="422" t="s">
        <v>364</v>
      </c>
      <c r="S25" s="422" t="s">
        <v>364</v>
      </c>
      <c r="T25" s="422" t="s">
        <v>364</v>
      </c>
      <c r="U25" s="422" t="s">
        <v>364</v>
      </c>
      <c r="V25" s="422" t="s">
        <v>364</v>
      </c>
      <c r="W25" s="422" t="s">
        <v>364</v>
      </c>
      <c r="X25" s="422" t="s">
        <v>364</v>
      </c>
      <c r="Y25" s="422" t="s">
        <v>364</v>
      </c>
      <c r="Z25" s="422" t="s">
        <v>364</v>
      </c>
      <c r="AA25" s="422" t="s">
        <v>364</v>
      </c>
      <c r="AB25" s="422" t="s">
        <v>364</v>
      </c>
      <c r="AC25" s="422" t="s">
        <v>364</v>
      </c>
      <c r="AD25" s="422" t="s">
        <v>364</v>
      </c>
      <c r="AE25" s="422" t="s">
        <v>364</v>
      </c>
      <c r="AF25" s="422" t="s">
        <v>364</v>
      </c>
      <c r="AG25" s="422" t="s">
        <v>364</v>
      </c>
      <c r="AH25" s="422" t="s">
        <v>364</v>
      </c>
      <c r="AI25" s="422" t="s">
        <v>364</v>
      </c>
      <c r="AJ25" s="422" t="s">
        <v>364</v>
      </c>
      <c r="AK25" s="422" t="s">
        <v>364</v>
      </c>
      <c r="AL25" s="422" t="s">
        <v>364</v>
      </c>
      <c r="AM25" s="422" t="s">
        <v>364</v>
      </c>
      <c r="AN25" s="422" t="s">
        <v>364</v>
      </c>
      <c r="AO25" s="422" t="s">
        <v>364</v>
      </c>
      <c r="AP25" s="422" t="s">
        <v>364</v>
      </c>
      <c r="AQ25" s="422">
        <f t="shared" si="0"/>
        <v>2130</v>
      </c>
      <c r="AR25" s="422" t="s">
        <v>364</v>
      </c>
      <c r="AS25" s="422" t="s">
        <v>364</v>
      </c>
      <c r="AT25" s="422" t="s">
        <v>364</v>
      </c>
      <c r="AU25" s="422" t="s">
        <v>364</v>
      </c>
      <c r="AV25" s="422" t="s">
        <v>364</v>
      </c>
      <c r="AW25" s="422" t="s">
        <v>364</v>
      </c>
      <c r="AX25" s="422" t="s">
        <v>364</v>
      </c>
      <c r="AY25" s="422" t="s">
        <v>364</v>
      </c>
      <c r="AZ25" s="422" t="s">
        <v>364</v>
      </c>
      <c r="BA25" s="422" t="s">
        <v>364</v>
      </c>
      <c r="BB25" s="422" t="s">
        <v>364</v>
      </c>
      <c r="BC25" s="422" t="s">
        <v>364</v>
      </c>
      <c r="BD25" s="422" t="s">
        <v>364</v>
      </c>
      <c r="BE25" s="422" t="s">
        <v>364</v>
      </c>
      <c r="BF25" s="422" t="s">
        <v>364</v>
      </c>
      <c r="BG25" s="422" t="s">
        <v>364</v>
      </c>
      <c r="BH25" s="422" t="s">
        <v>364</v>
      </c>
      <c r="BI25" s="422" t="s">
        <v>364</v>
      </c>
      <c r="BJ25" s="422" t="s">
        <v>364</v>
      </c>
      <c r="BK25" s="422" t="s">
        <v>364</v>
      </c>
      <c r="BL25" s="422" t="s">
        <v>364</v>
      </c>
      <c r="BM25" s="422" t="s">
        <v>364</v>
      </c>
      <c r="BN25" s="422" t="s">
        <v>364</v>
      </c>
      <c r="BO25" s="422">
        <v>1852</v>
      </c>
      <c r="BP25" s="422" t="s">
        <v>364</v>
      </c>
      <c r="BQ25" s="422" t="s">
        <v>364</v>
      </c>
      <c r="BR25" s="422" t="s">
        <v>364</v>
      </c>
      <c r="BS25" s="422" t="s">
        <v>364</v>
      </c>
      <c r="BT25" s="422" t="s">
        <v>364</v>
      </c>
      <c r="BU25" s="422" t="s">
        <v>364</v>
      </c>
      <c r="BV25" s="422" t="s">
        <v>364</v>
      </c>
      <c r="BW25" s="422" t="s">
        <v>364</v>
      </c>
      <c r="BX25" s="422" t="s">
        <v>364</v>
      </c>
      <c r="BY25" s="422" t="s">
        <v>364</v>
      </c>
      <c r="BZ25" s="422">
        <v>187</v>
      </c>
      <c r="CA25" s="422">
        <v>91</v>
      </c>
      <c r="CB25" s="422" t="s">
        <v>364</v>
      </c>
      <c r="CC25" s="422" t="s">
        <v>364</v>
      </c>
      <c r="CD25" s="422" t="s">
        <v>364</v>
      </c>
      <c r="CE25" s="422" t="s">
        <v>364</v>
      </c>
      <c r="CF25" s="422" t="s">
        <v>364</v>
      </c>
      <c r="CG25" s="422" t="s">
        <v>364</v>
      </c>
      <c r="CH25" s="422" t="s">
        <v>364</v>
      </c>
      <c r="CI25" s="422" t="s">
        <v>364</v>
      </c>
      <c r="CJ25" s="422" t="s">
        <v>364</v>
      </c>
      <c r="CK25" s="422" t="s">
        <v>364</v>
      </c>
      <c r="CL25" s="422" t="s">
        <v>364</v>
      </c>
      <c r="CM25" s="422" t="s">
        <v>364</v>
      </c>
      <c r="CN25" s="422" t="s">
        <v>364</v>
      </c>
      <c r="CO25" s="422" t="s">
        <v>364</v>
      </c>
      <c r="CP25" s="422" t="s">
        <v>364</v>
      </c>
      <c r="CQ25" s="422" t="s">
        <v>364</v>
      </c>
      <c r="CR25" s="422" t="s">
        <v>364</v>
      </c>
      <c r="CS25" s="422" t="s">
        <v>364</v>
      </c>
      <c r="CT25" s="422" t="s">
        <v>364</v>
      </c>
      <c r="CU25" s="422" t="s">
        <v>364</v>
      </c>
      <c r="CV25" s="422" t="s">
        <v>364</v>
      </c>
      <c r="CW25" s="422" t="s">
        <v>364</v>
      </c>
      <c r="CX25" s="422" t="s">
        <v>364</v>
      </c>
      <c r="CY25" s="422" t="s">
        <v>364</v>
      </c>
      <c r="CZ25" s="422" t="s">
        <v>364</v>
      </c>
      <c r="DA25" s="422" t="s">
        <v>364</v>
      </c>
      <c r="DB25" s="422" t="s">
        <v>364</v>
      </c>
      <c r="DC25" s="422" t="s">
        <v>364</v>
      </c>
      <c r="DD25" s="422" t="s">
        <v>364</v>
      </c>
      <c r="DE25" s="422" t="s">
        <v>364</v>
      </c>
      <c r="DF25" s="422" t="s">
        <v>364</v>
      </c>
      <c r="DG25" s="422" t="s">
        <v>364</v>
      </c>
      <c r="DH25" s="422" t="s">
        <v>364</v>
      </c>
      <c r="DI25" s="422" t="s">
        <v>364</v>
      </c>
      <c r="DJ25" s="422" t="s">
        <v>364</v>
      </c>
      <c r="DK25" s="422">
        <f t="shared" si="4"/>
        <v>0</v>
      </c>
      <c r="DL25" s="422" t="s">
        <v>364</v>
      </c>
      <c r="DM25" s="422" t="s">
        <v>364</v>
      </c>
      <c r="DN25" s="422" t="s">
        <v>364</v>
      </c>
      <c r="DO25" s="422" t="s">
        <v>364</v>
      </c>
      <c r="DP25" s="422" t="s">
        <v>364</v>
      </c>
      <c r="DQ25" s="422" t="s">
        <v>364</v>
      </c>
      <c r="DR25" s="422" t="s">
        <v>364</v>
      </c>
      <c r="DS25" s="422" t="s">
        <v>364</v>
      </c>
      <c r="DT25" s="422" t="s">
        <v>364</v>
      </c>
      <c r="DU25" s="422" t="s">
        <v>364</v>
      </c>
      <c r="DV25" s="422" t="s">
        <v>364</v>
      </c>
      <c r="DW25" s="422" t="s">
        <v>364</v>
      </c>
      <c r="DX25" s="422" t="s">
        <v>364</v>
      </c>
      <c r="DY25" s="422">
        <f t="shared" si="5"/>
        <v>0</v>
      </c>
      <c r="DZ25" s="422" t="s">
        <v>364</v>
      </c>
      <c r="EA25" s="422" t="s">
        <v>364</v>
      </c>
      <c r="EB25" s="422" t="s">
        <v>364</v>
      </c>
      <c r="EC25" s="422" t="s">
        <v>364</v>
      </c>
      <c r="ED25" s="422" t="s">
        <v>364</v>
      </c>
      <c r="EE25" s="422" t="s">
        <v>364</v>
      </c>
      <c r="EF25" s="422" t="s">
        <v>364</v>
      </c>
      <c r="EG25" s="422" t="s">
        <v>364</v>
      </c>
      <c r="EH25" s="422" t="s">
        <v>364</v>
      </c>
      <c r="EI25" s="422" t="s">
        <v>364</v>
      </c>
      <c r="EJ25" s="422" t="s">
        <v>364</v>
      </c>
      <c r="EK25" s="422" t="s">
        <v>364</v>
      </c>
      <c r="EL25" s="422" t="s">
        <v>364</v>
      </c>
      <c r="EM25" s="422" t="s">
        <v>364</v>
      </c>
      <c r="EN25" s="422" t="s">
        <v>364</v>
      </c>
      <c r="EO25" s="422" t="s">
        <v>364</v>
      </c>
      <c r="EP25" s="422" t="s">
        <v>364</v>
      </c>
      <c r="EQ25" s="422" t="s">
        <v>364</v>
      </c>
      <c r="ER25" s="422" t="s">
        <v>364</v>
      </c>
      <c r="ES25" s="422" t="s">
        <v>364</v>
      </c>
      <c r="ET25" s="422" t="s">
        <v>364</v>
      </c>
      <c r="EU25" s="422" t="s">
        <v>364</v>
      </c>
      <c r="EV25" s="422" t="s">
        <v>364</v>
      </c>
      <c r="EW25" s="422" t="s">
        <v>364</v>
      </c>
      <c r="EX25" s="422" t="s">
        <v>364</v>
      </c>
      <c r="EY25" s="422" t="s">
        <v>364</v>
      </c>
      <c r="EZ25" s="422" t="s">
        <v>364</v>
      </c>
      <c r="FA25" s="422">
        <f t="shared" si="6"/>
        <v>169</v>
      </c>
      <c r="FB25" s="422" t="s">
        <v>364</v>
      </c>
      <c r="FC25" s="422">
        <v>169</v>
      </c>
      <c r="FD25" s="422" t="s">
        <v>364</v>
      </c>
      <c r="FE25" s="422" t="s">
        <v>364</v>
      </c>
      <c r="FF25" s="422" t="s">
        <v>364</v>
      </c>
      <c r="FG25" s="422" t="s">
        <v>364</v>
      </c>
      <c r="FH25" s="422" t="s">
        <v>364</v>
      </c>
      <c r="FI25" s="422" t="s">
        <v>364</v>
      </c>
      <c r="FJ25" s="422" t="s">
        <v>364</v>
      </c>
      <c r="FK25" s="422" t="s">
        <v>364</v>
      </c>
      <c r="FL25" s="422" t="s">
        <v>364</v>
      </c>
      <c r="FM25" s="422" t="s">
        <v>364</v>
      </c>
      <c r="FN25" s="422" t="s">
        <v>364</v>
      </c>
      <c r="FO25" s="422" t="s">
        <v>364</v>
      </c>
      <c r="FP25" s="422" t="s">
        <v>364</v>
      </c>
      <c r="FQ25" s="422" t="s">
        <v>364</v>
      </c>
      <c r="FR25" s="422" t="s">
        <v>364</v>
      </c>
      <c r="FS25" s="422" t="s">
        <v>364</v>
      </c>
      <c r="FT25" s="422" t="s">
        <v>364</v>
      </c>
      <c r="FU25" s="422" t="s">
        <v>364</v>
      </c>
      <c r="FV25" s="422" t="s">
        <v>364</v>
      </c>
      <c r="FW25" s="422" t="s">
        <v>364</v>
      </c>
      <c r="FX25" s="422" t="s">
        <v>364</v>
      </c>
      <c r="FY25" s="422" t="s">
        <v>364</v>
      </c>
      <c r="FZ25" s="422" t="s">
        <v>364</v>
      </c>
      <c r="GA25" s="422" t="s">
        <v>364</v>
      </c>
      <c r="GB25" s="422" t="s">
        <v>364</v>
      </c>
      <c r="GC25" s="422" t="s">
        <v>364</v>
      </c>
      <c r="GD25" s="422" t="s">
        <v>364</v>
      </c>
      <c r="GE25" s="422" t="s">
        <v>364</v>
      </c>
      <c r="GF25" s="422" t="s">
        <v>364</v>
      </c>
      <c r="GG25" s="422" t="s">
        <v>364</v>
      </c>
      <c r="GH25" s="422" t="s">
        <v>364</v>
      </c>
      <c r="GI25" s="422" t="s">
        <v>364</v>
      </c>
      <c r="GJ25" s="422" t="s">
        <v>364</v>
      </c>
      <c r="GK25" s="422" t="s">
        <v>364</v>
      </c>
      <c r="GL25" s="422" t="s">
        <v>364</v>
      </c>
      <c r="GM25" s="422" t="s">
        <v>364</v>
      </c>
      <c r="GN25" s="422" t="s">
        <v>364</v>
      </c>
      <c r="GO25" s="422" t="s">
        <v>364</v>
      </c>
      <c r="GP25" s="422" t="s">
        <v>364</v>
      </c>
      <c r="GQ25" s="422" t="s">
        <v>364</v>
      </c>
      <c r="GR25" s="422" t="s">
        <v>364</v>
      </c>
      <c r="GS25" s="422" t="s">
        <v>364</v>
      </c>
      <c r="GT25" s="422" t="s">
        <v>364</v>
      </c>
      <c r="GU25" s="422" t="s">
        <v>364</v>
      </c>
      <c r="GV25" s="422">
        <f t="shared" si="7"/>
        <v>672</v>
      </c>
      <c r="GW25" s="422" t="s">
        <v>364</v>
      </c>
      <c r="GX25" s="422">
        <v>418</v>
      </c>
      <c r="GY25" s="422">
        <v>230</v>
      </c>
      <c r="GZ25" s="422">
        <v>24</v>
      </c>
      <c r="HA25" s="422" t="s">
        <v>364</v>
      </c>
      <c r="HB25" s="422" t="s">
        <v>364</v>
      </c>
      <c r="HC25" s="422" t="s">
        <v>364</v>
      </c>
      <c r="HD25" s="422" t="s">
        <v>364</v>
      </c>
      <c r="HE25" s="422" t="s">
        <v>364</v>
      </c>
      <c r="HF25" s="422" t="s">
        <v>364</v>
      </c>
      <c r="HG25" s="422" t="s">
        <v>364</v>
      </c>
      <c r="HH25" s="422" t="s">
        <v>364</v>
      </c>
      <c r="HI25" s="422" t="s">
        <v>364</v>
      </c>
      <c r="HJ25" s="422" t="s">
        <v>364</v>
      </c>
      <c r="HK25" s="422" t="s">
        <v>364</v>
      </c>
      <c r="HL25" s="422" t="s">
        <v>364</v>
      </c>
      <c r="HM25" s="422" t="s">
        <v>364</v>
      </c>
      <c r="HN25" s="422" t="s">
        <v>364</v>
      </c>
      <c r="HO25" s="422" t="s">
        <v>364</v>
      </c>
      <c r="HP25" s="422" t="s">
        <v>364</v>
      </c>
      <c r="HQ25" s="422" t="s">
        <v>364</v>
      </c>
      <c r="HR25" s="422" t="s">
        <v>364</v>
      </c>
      <c r="HS25" s="422" t="s">
        <v>364</v>
      </c>
      <c r="HT25" s="422" t="s">
        <v>364</v>
      </c>
      <c r="HU25" s="422" t="s">
        <v>364</v>
      </c>
      <c r="HV25" s="422" t="s">
        <v>364</v>
      </c>
      <c r="HW25" s="422" t="s">
        <v>364</v>
      </c>
      <c r="HX25" s="422" t="s">
        <v>364</v>
      </c>
      <c r="HY25" s="422">
        <f t="shared" si="8"/>
        <v>0</v>
      </c>
      <c r="HZ25" s="422" t="s">
        <v>364</v>
      </c>
      <c r="IA25" s="422" t="s">
        <v>364</v>
      </c>
      <c r="IB25" s="422" t="s">
        <v>364</v>
      </c>
      <c r="IC25" s="422" t="s">
        <v>364</v>
      </c>
      <c r="ID25" s="422" t="s">
        <v>364</v>
      </c>
      <c r="IE25" s="422" t="s">
        <v>364</v>
      </c>
      <c r="IF25" s="422">
        <f t="shared" si="9"/>
        <v>145</v>
      </c>
      <c r="IG25" s="422">
        <v>36</v>
      </c>
      <c r="IH25" s="422" t="s">
        <v>364</v>
      </c>
      <c r="II25" s="422">
        <v>109</v>
      </c>
      <c r="IJ25" s="422" t="s">
        <v>364</v>
      </c>
      <c r="IK25" s="422" t="s">
        <v>364</v>
      </c>
      <c r="IL25" s="422" t="s">
        <v>364</v>
      </c>
      <c r="IM25" s="422" t="s">
        <v>364</v>
      </c>
      <c r="IN25" s="422" t="s">
        <v>364</v>
      </c>
      <c r="IO25" s="422" t="s">
        <v>364</v>
      </c>
      <c r="IP25" s="422" t="s">
        <v>364</v>
      </c>
      <c r="IQ25" s="422" t="s">
        <v>364</v>
      </c>
      <c r="IR25" s="422" t="s">
        <v>364</v>
      </c>
      <c r="IS25" s="422" t="s">
        <v>364</v>
      </c>
      <c r="IT25" s="422" t="s">
        <v>364</v>
      </c>
      <c r="IU25" s="422" t="s">
        <v>364</v>
      </c>
      <c r="IV25" s="422" t="s">
        <v>364</v>
      </c>
      <c r="IW25" s="422" t="s">
        <v>364</v>
      </c>
      <c r="IX25" s="422" t="s">
        <v>364</v>
      </c>
      <c r="IY25" s="422" t="s">
        <v>364</v>
      </c>
      <c r="IZ25" s="422">
        <f t="shared" si="10"/>
        <v>0</v>
      </c>
      <c r="JA25" s="422" t="s">
        <v>364</v>
      </c>
      <c r="JB25" s="422" t="s">
        <v>364</v>
      </c>
      <c r="JC25" s="422" t="s">
        <v>364</v>
      </c>
      <c r="JD25" s="422" t="s">
        <v>364</v>
      </c>
      <c r="JE25" s="422" t="s">
        <v>364</v>
      </c>
      <c r="JF25" s="422" t="s">
        <v>364</v>
      </c>
      <c r="JG25" s="422" t="s">
        <v>364</v>
      </c>
      <c r="JH25" s="422" t="s">
        <v>364</v>
      </c>
      <c r="JI25" s="422" t="s">
        <v>364</v>
      </c>
      <c r="JJ25" s="422" t="s">
        <v>364</v>
      </c>
      <c r="JK25" s="422" t="s">
        <v>364</v>
      </c>
      <c r="JL25" s="422" t="s">
        <v>364</v>
      </c>
      <c r="JM25" s="422" t="s">
        <v>364</v>
      </c>
      <c r="JN25" s="422" t="s">
        <v>364</v>
      </c>
      <c r="JO25" s="422" t="s">
        <v>364</v>
      </c>
      <c r="JP25" s="422" t="s">
        <v>364</v>
      </c>
      <c r="JQ25" s="422" t="s">
        <v>364</v>
      </c>
      <c r="JR25" s="422" t="s">
        <v>364</v>
      </c>
      <c r="JS25" s="422" t="s">
        <v>364</v>
      </c>
      <c r="JT25" s="422" t="s">
        <v>364</v>
      </c>
      <c r="JU25" s="422" t="s">
        <v>364</v>
      </c>
      <c r="JV25" s="422" t="s">
        <v>364</v>
      </c>
      <c r="JW25" s="422">
        <f t="shared" si="11"/>
        <v>0</v>
      </c>
      <c r="JX25" s="422" t="s">
        <v>364</v>
      </c>
      <c r="JY25" s="422" t="s">
        <v>364</v>
      </c>
      <c r="JZ25" s="422" t="s">
        <v>364</v>
      </c>
      <c r="KA25" s="422" t="s">
        <v>364</v>
      </c>
      <c r="KB25" s="422" t="s">
        <v>364</v>
      </c>
      <c r="KC25" s="422" t="s">
        <v>364</v>
      </c>
      <c r="KD25" s="422" t="s">
        <v>364</v>
      </c>
      <c r="KE25" s="422" t="s">
        <v>364</v>
      </c>
      <c r="KF25" s="422" t="s">
        <v>364</v>
      </c>
      <c r="KG25" s="422" t="s">
        <v>364</v>
      </c>
      <c r="KH25" s="422" t="s">
        <v>364</v>
      </c>
      <c r="KI25" s="422" t="s">
        <v>364</v>
      </c>
      <c r="KJ25" s="422" t="s">
        <v>364</v>
      </c>
      <c r="KK25" s="422" t="s">
        <v>364</v>
      </c>
      <c r="KL25" s="422" t="s">
        <v>364</v>
      </c>
      <c r="KM25" s="422" t="s">
        <v>364</v>
      </c>
      <c r="KN25" s="422" t="s">
        <v>364</v>
      </c>
      <c r="KO25" s="422" t="s">
        <v>364</v>
      </c>
      <c r="KP25" s="422" t="s">
        <v>364</v>
      </c>
      <c r="KQ25" s="422" t="s">
        <v>364</v>
      </c>
      <c r="KR25" s="422" t="s">
        <v>364</v>
      </c>
      <c r="KS25" s="422" t="s">
        <v>364</v>
      </c>
      <c r="KT25" s="422" t="s">
        <v>364</v>
      </c>
      <c r="KU25" s="422" t="s">
        <v>364</v>
      </c>
      <c r="KV25" s="422" t="s">
        <v>364</v>
      </c>
      <c r="KW25" s="422" t="s">
        <v>364</v>
      </c>
      <c r="KX25" s="422" t="s">
        <v>364</v>
      </c>
      <c r="KY25" s="422" t="s">
        <v>364</v>
      </c>
      <c r="KZ25" s="422" t="s">
        <v>364</v>
      </c>
      <c r="LA25" s="422" t="s">
        <v>364</v>
      </c>
      <c r="LB25" s="422" t="s">
        <v>364</v>
      </c>
      <c r="LC25" s="422" t="s">
        <v>364</v>
      </c>
      <c r="LD25" s="422" t="s">
        <v>364</v>
      </c>
      <c r="LE25" s="422" t="s">
        <v>364</v>
      </c>
      <c r="LF25" s="422" t="s">
        <v>364</v>
      </c>
      <c r="LG25" s="422" t="s">
        <v>364</v>
      </c>
      <c r="LH25" s="422" t="s">
        <v>364</v>
      </c>
      <c r="LI25" s="422" t="s">
        <v>364</v>
      </c>
      <c r="LJ25" s="422" t="s">
        <v>364</v>
      </c>
      <c r="LK25" s="422" t="s">
        <v>364</v>
      </c>
      <c r="LL25" s="422" t="s">
        <v>364</v>
      </c>
      <c r="LM25" s="424" t="s">
        <v>364</v>
      </c>
      <c r="LN25" s="424">
        <v>48</v>
      </c>
      <c r="LO25" s="424" t="s">
        <v>364</v>
      </c>
      <c r="LP25" s="424" t="s">
        <v>364</v>
      </c>
      <c r="LQ25" s="424">
        <v>12</v>
      </c>
      <c r="LR25" s="424" t="s">
        <v>364</v>
      </c>
      <c r="LS25" s="424">
        <v>36</v>
      </c>
      <c r="LT25" s="424" t="s">
        <v>364</v>
      </c>
      <c r="LU25" s="424" t="s">
        <v>364</v>
      </c>
      <c r="LV25" s="424" t="s">
        <v>364</v>
      </c>
      <c r="LW25" s="424" t="s">
        <v>364</v>
      </c>
      <c r="LX25" s="424">
        <f t="shared" si="12"/>
        <v>42</v>
      </c>
      <c r="LY25" s="424" t="s">
        <v>364</v>
      </c>
      <c r="LZ25" s="424">
        <v>42</v>
      </c>
      <c r="MA25" s="424" t="s">
        <v>364</v>
      </c>
      <c r="MB25" s="424" t="s">
        <v>364</v>
      </c>
      <c r="MC25" s="424" t="s">
        <v>364</v>
      </c>
      <c r="MD25" s="424" t="s">
        <v>364</v>
      </c>
      <c r="ME25" s="424">
        <f t="shared" si="1"/>
        <v>54</v>
      </c>
      <c r="MF25" s="424" t="s">
        <v>364</v>
      </c>
      <c r="MG25" s="424" t="s">
        <v>364</v>
      </c>
      <c r="MH25" s="424" t="s">
        <v>364</v>
      </c>
      <c r="MI25" s="424">
        <v>25</v>
      </c>
      <c r="MJ25" s="424">
        <v>9</v>
      </c>
      <c r="MK25" s="424" t="s">
        <v>364</v>
      </c>
      <c r="ML25" s="424" t="s">
        <v>364</v>
      </c>
      <c r="MM25" s="424" t="s">
        <v>364</v>
      </c>
      <c r="MN25" s="424" t="s">
        <v>364</v>
      </c>
      <c r="MO25" s="424" t="s">
        <v>364</v>
      </c>
      <c r="MP25" s="424" t="s">
        <v>364</v>
      </c>
      <c r="MQ25" s="424" t="s">
        <v>364</v>
      </c>
      <c r="MR25" s="424" t="s">
        <v>364</v>
      </c>
      <c r="MS25" s="424" t="s">
        <v>364</v>
      </c>
      <c r="MT25" s="424" t="s">
        <v>364</v>
      </c>
      <c r="MU25" s="424" t="s">
        <v>364</v>
      </c>
      <c r="MV25" s="424" t="s">
        <v>364</v>
      </c>
      <c r="MW25" s="424">
        <v>20</v>
      </c>
      <c r="MX25" s="424">
        <f t="shared" si="13"/>
        <v>0</v>
      </c>
      <c r="MY25" s="424" t="s">
        <v>364</v>
      </c>
      <c r="MZ25" s="424" t="s">
        <v>364</v>
      </c>
      <c r="NA25" s="424" t="s">
        <v>364</v>
      </c>
      <c r="NB25" s="424" t="s">
        <v>364</v>
      </c>
      <c r="NC25" s="424" t="s">
        <v>364</v>
      </c>
      <c r="ND25" s="424" t="s">
        <v>364</v>
      </c>
      <c r="NE25" s="424" t="s">
        <v>364</v>
      </c>
      <c r="NF25" s="424" t="s">
        <v>364</v>
      </c>
      <c r="NG25" s="424" t="s">
        <v>6598</v>
      </c>
      <c r="NH25" s="424" t="s">
        <v>364</v>
      </c>
      <c r="NI25" s="424" t="s">
        <v>364</v>
      </c>
      <c r="NJ25" s="424" t="s">
        <v>364</v>
      </c>
      <c r="NK25" s="424">
        <f t="shared" si="2"/>
        <v>112</v>
      </c>
      <c r="NL25" s="424">
        <f t="shared" si="14"/>
        <v>38</v>
      </c>
      <c r="NM25" s="424">
        <v>38</v>
      </c>
      <c r="NN25" s="424" t="s">
        <v>364</v>
      </c>
      <c r="NO25" s="424" t="s">
        <v>364</v>
      </c>
      <c r="NP25" s="424" t="s">
        <v>364</v>
      </c>
      <c r="NQ25" s="424" t="s">
        <v>364</v>
      </c>
      <c r="NR25" s="424" t="s">
        <v>364</v>
      </c>
      <c r="NS25" s="424" t="s">
        <v>364</v>
      </c>
      <c r="NT25" s="424" t="s">
        <v>364</v>
      </c>
      <c r="NU25" s="424" t="s">
        <v>364</v>
      </c>
      <c r="NV25" s="424" t="s">
        <v>364</v>
      </c>
      <c r="NW25" s="424" t="s">
        <v>364</v>
      </c>
      <c r="NX25" s="424" t="s">
        <v>364</v>
      </c>
      <c r="NY25" s="424" t="s">
        <v>364</v>
      </c>
      <c r="NZ25" s="424">
        <f t="shared" si="15"/>
        <v>74</v>
      </c>
      <c r="OA25" s="424">
        <v>54</v>
      </c>
      <c r="OB25" s="424" t="s">
        <v>364</v>
      </c>
      <c r="OC25" s="424" t="s">
        <v>364</v>
      </c>
      <c r="OD25" s="424" t="s">
        <v>364</v>
      </c>
      <c r="OE25" s="424" t="s">
        <v>364</v>
      </c>
      <c r="OF25" s="424" t="s">
        <v>364</v>
      </c>
      <c r="OG25" s="424">
        <v>20</v>
      </c>
      <c r="OH25" s="424">
        <f t="shared" si="16"/>
        <v>786</v>
      </c>
      <c r="OI25" s="424">
        <f t="shared" si="17"/>
        <v>786</v>
      </c>
      <c r="OJ25" s="422">
        <v>24</v>
      </c>
      <c r="OK25" s="422" t="s">
        <v>364</v>
      </c>
      <c r="OL25" s="422" t="s">
        <v>364</v>
      </c>
      <c r="OM25" s="422" t="s">
        <v>364</v>
      </c>
      <c r="ON25" s="422" t="s">
        <v>364</v>
      </c>
      <c r="OO25" s="422">
        <v>523</v>
      </c>
      <c r="OP25" s="422" t="s">
        <v>364</v>
      </c>
      <c r="OQ25" s="422" t="s">
        <v>364</v>
      </c>
      <c r="OR25" s="422" t="s">
        <v>364</v>
      </c>
      <c r="OS25" s="422" t="s">
        <v>364</v>
      </c>
      <c r="OT25" s="422" t="s">
        <v>364</v>
      </c>
      <c r="OU25" s="422">
        <v>204</v>
      </c>
      <c r="OV25" s="422">
        <v>35</v>
      </c>
      <c r="OW25" s="422" t="s">
        <v>364</v>
      </c>
      <c r="OX25" s="422" t="s">
        <v>364</v>
      </c>
      <c r="OY25" s="422" t="s">
        <v>364</v>
      </c>
      <c r="OZ25" s="422" t="s">
        <v>364</v>
      </c>
      <c r="PA25" s="422" t="s">
        <v>364</v>
      </c>
      <c r="PB25" s="424">
        <f t="shared" si="18"/>
        <v>0</v>
      </c>
      <c r="PC25" s="422" t="s">
        <v>364</v>
      </c>
      <c r="PD25" s="422" t="s">
        <v>364</v>
      </c>
      <c r="PE25" s="422" t="s">
        <v>364</v>
      </c>
      <c r="PF25" s="422" t="s">
        <v>364</v>
      </c>
      <c r="PG25" s="422" t="s">
        <v>364</v>
      </c>
      <c r="PH25" s="422" t="s">
        <v>364</v>
      </c>
      <c r="PI25" s="422" t="s">
        <v>364</v>
      </c>
      <c r="PJ25" s="422" t="s">
        <v>364</v>
      </c>
    </row>
    <row r="26" spans="2:426" ht="15.6">
      <c r="B26" s="426" t="s">
        <v>2882</v>
      </c>
      <c r="C26" s="422">
        <f t="shared" si="3"/>
        <v>52</v>
      </c>
      <c r="D26" s="422">
        <v>52</v>
      </c>
      <c r="E26" s="422" t="s">
        <v>364</v>
      </c>
      <c r="F26" s="422" t="s">
        <v>364</v>
      </c>
      <c r="G26" s="422" t="s">
        <v>364</v>
      </c>
      <c r="H26" s="422" t="s">
        <v>364</v>
      </c>
      <c r="I26" s="422" t="s">
        <v>364</v>
      </c>
      <c r="J26" s="422" t="s">
        <v>364</v>
      </c>
      <c r="K26" s="422" t="s">
        <v>364</v>
      </c>
      <c r="L26" s="422" t="s">
        <v>364</v>
      </c>
      <c r="M26" s="422" t="s">
        <v>364</v>
      </c>
      <c r="N26" s="422" t="s">
        <v>364</v>
      </c>
      <c r="O26" s="422" t="s">
        <v>364</v>
      </c>
      <c r="P26" s="422" t="s">
        <v>364</v>
      </c>
      <c r="Q26" s="422" t="s">
        <v>364</v>
      </c>
      <c r="R26" s="422" t="s">
        <v>364</v>
      </c>
      <c r="S26" s="422" t="s">
        <v>364</v>
      </c>
      <c r="T26" s="422" t="s">
        <v>364</v>
      </c>
      <c r="U26" s="422" t="s">
        <v>364</v>
      </c>
      <c r="V26" s="422" t="s">
        <v>364</v>
      </c>
      <c r="W26" s="422" t="s">
        <v>364</v>
      </c>
      <c r="X26" s="422" t="s">
        <v>364</v>
      </c>
      <c r="Y26" s="422" t="s">
        <v>364</v>
      </c>
      <c r="Z26" s="422" t="s">
        <v>364</v>
      </c>
      <c r="AA26" s="422" t="s">
        <v>364</v>
      </c>
      <c r="AB26" s="422" t="s">
        <v>364</v>
      </c>
      <c r="AC26" s="422" t="s">
        <v>364</v>
      </c>
      <c r="AD26" s="422" t="s">
        <v>364</v>
      </c>
      <c r="AE26" s="422" t="s">
        <v>364</v>
      </c>
      <c r="AF26" s="422" t="s">
        <v>364</v>
      </c>
      <c r="AG26" s="422" t="s">
        <v>364</v>
      </c>
      <c r="AH26" s="422" t="s">
        <v>364</v>
      </c>
      <c r="AI26" s="422" t="s">
        <v>364</v>
      </c>
      <c r="AJ26" s="422" t="s">
        <v>364</v>
      </c>
      <c r="AK26" s="422" t="s">
        <v>364</v>
      </c>
      <c r="AL26" s="422" t="s">
        <v>364</v>
      </c>
      <c r="AM26" s="422" t="s">
        <v>364</v>
      </c>
      <c r="AN26" s="422" t="s">
        <v>364</v>
      </c>
      <c r="AO26" s="422" t="s">
        <v>364</v>
      </c>
      <c r="AP26" s="422" t="s">
        <v>364</v>
      </c>
      <c r="AQ26" s="422">
        <f t="shared" si="0"/>
        <v>390</v>
      </c>
      <c r="AR26" s="422" t="s">
        <v>364</v>
      </c>
      <c r="AS26" s="422" t="s">
        <v>364</v>
      </c>
      <c r="AT26" s="422" t="s">
        <v>364</v>
      </c>
      <c r="AU26" s="422" t="s">
        <v>364</v>
      </c>
      <c r="AV26" s="422" t="s">
        <v>364</v>
      </c>
      <c r="AW26" s="422" t="s">
        <v>364</v>
      </c>
      <c r="AX26" s="422" t="s">
        <v>364</v>
      </c>
      <c r="AY26" s="422" t="s">
        <v>364</v>
      </c>
      <c r="AZ26" s="422" t="s">
        <v>364</v>
      </c>
      <c r="BA26" s="422" t="s">
        <v>364</v>
      </c>
      <c r="BB26" s="422" t="s">
        <v>364</v>
      </c>
      <c r="BC26" s="422" t="s">
        <v>364</v>
      </c>
      <c r="BD26" s="422" t="s">
        <v>364</v>
      </c>
      <c r="BE26" s="422" t="s">
        <v>364</v>
      </c>
      <c r="BF26" s="422" t="s">
        <v>364</v>
      </c>
      <c r="BG26" s="422" t="s">
        <v>364</v>
      </c>
      <c r="BH26" s="422" t="s">
        <v>364</v>
      </c>
      <c r="BI26" s="422" t="s">
        <v>364</v>
      </c>
      <c r="BJ26" s="422" t="s">
        <v>364</v>
      </c>
      <c r="BK26" s="422" t="s">
        <v>364</v>
      </c>
      <c r="BL26" s="422" t="s">
        <v>364</v>
      </c>
      <c r="BM26" s="422" t="s">
        <v>364</v>
      </c>
      <c r="BN26" s="422" t="s">
        <v>364</v>
      </c>
      <c r="BO26" s="422">
        <v>315</v>
      </c>
      <c r="BP26" s="422" t="s">
        <v>364</v>
      </c>
      <c r="BQ26" s="422">
        <v>75</v>
      </c>
      <c r="BR26" s="422" t="s">
        <v>364</v>
      </c>
      <c r="BS26" s="422" t="s">
        <v>364</v>
      </c>
      <c r="BT26" s="422" t="s">
        <v>364</v>
      </c>
      <c r="BU26" s="422" t="s">
        <v>364</v>
      </c>
      <c r="BV26" s="422" t="s">
        <v>364</v>
      </c>
      <c r="BW26" s="422" t="s">
        <v>364</v>
      </c>
      <c r="BX26" s="422" t="s">
        <v>364</v>
      </c>
      <c r="BY26" s="422" t="s">
        <v>364</v>
      </c>
      <c r="BZ26" s="422" t="s">
        <v>364</v>
      </c>
      <c r="CA26" s="422" t="s">
        <v>364</v>
      </c>
      <c r="CB26" s="422" t="s">
        <v>364</v>
      </c>
      <c r="CC26" s="422" t="s">
        <v>364</v>
      </c>
      <c r="CD26" s="422" t="s">
        <v>364</v>
      </c>
      <c r="CE26" s="422" t="s">
        <v>364</v>
      </c>
      <c r="CF26" s="422" t="s">
        <v>364</v>
      </c>
      <c r="CG26" s="422" t="s">
        <v>364</v>
      </c>
      <c r="CH26" s="422" t="s">
        <v>364</v>
      </c>
      <c r="CI26" s="422" t="s">
        <v>364</v>
      </c>
      <c r="CJ26" s="422" t="s">
        <v>364</v>
      </c>
      <c r="CK26" s="422" t="s">
        <v>364</v>
      </c>
      <c r="CL26" s="422" t="s">
        <v>364</v>
      </c>
      <c r="CM26" s="422" t="s">
        <v>364</v>
      </c>
      <c r="CN26" s="422" t="s">
        <v>364</v>
      </c>
      <c r="CO26" s="422" t="s">
        <v>364</v>
      </c>
      <c r="CP26" s="422" t="s">
        <v>364</v>
      </c>
      <c r="CQ26" s="422" t="s">
        <v>364</v>
      </c>
      <c r="CR26" s="422" t="s">
        <v>364</v>
      </c>
      <c r="CS26" s="422" t="s">
        <v>364</v>
      </c>
      <c r="CT26" s="422" t="s">
        <v>364</v>
      </c>
      <c r="CU26" s="422" t="s">
        <v>364</v>
      </c>
      <c r="CV26" s="422" t="s">
        <v>364</v>
      </c>
      <c r="CW26" s="422" t="s">
        <v>364</v>
      </c>
      <c r="CX26" s="422" t="s">
        <v>364</v>
      </c>
      <c r="CY26" s="422" t="s">
        <v>364</v>
      </c>
      <c r="CZ26" s="422" t="s">
        <v>364</v>
      </c>
      <c r="DA26" s="422" t="s">
        <v>364</v>
      </c>
      <c r="DB26" s="422" t="s">
        <v>364</v>
      </c>
      <c r="DC26" s="422" t="s">
        <v>364</v>
      </c>
      <c r="DD26" s="422" t="s">
        <v>364</v>
      </c>
      <c r="DE26" s="422" t="s">
        <v>364</v>
      </c>
      <c r="DF26" s="422" t="s">
        <v>364</v>
      </c>
      <c r="DG26" s="422" t="s">
        <v>364</v>
      </c>
      <c r="DH26" s="422" t="s">
        <v>364</v>
      </c>
      <c r="DI26" s="422" t="s">
        <v>364</v>
      </c>
      <c r="DJ26" s="422" t="s">
        <v>364</v>
      </c>
      <c r="DK26" s="422">
        <f t="shared" si="4"/>
        <v>0</v>
      </c>
      <c r="DL26" s="422" t="s">
        <v>364</v>
      </c>
      <c r="DM26" s="422" t="s">
        <v>364</v>
      </c>
      <c r="DN26" s="422" t="s">
        <v>364</v>
      </c>
      <c r="DO26" s="422" t="s">
        <v>364</v>
      </c>
      <c r="DP26" s="422" t="s">
        <v>364</v>
      </c>
      <c r="DQ26" s="422" t="s">
        <v>364</v>
      </c>
      <c r="DR26" s="422" t="s">
        <v>364</v>
      </c>
      <c r="DS26" s="422" t="s">
        <v>364</v>
      </c>
      <c r="DT26" s="422" t="s">
        <v>364</v>
      </c>
      <c r="DU26" s="422" t="s">
        <v>364</v>
      </c>
      <c r="DV26" s="422" t="s">
        <v>364</v>
      </c>
      <c r="DW26" s="422" t="s">
        <v>364</v>
      </c>
      <c r="DX26" s="422" t="s">
        <v>364</v>
      </c>
      <c r="DY26" s="422">
        <f t="shared" si="5"/>
        <v>190</v>
      </c>
      <c r="DZ26" s="422">
        <v>170</v>
      </c>
      <c r="EA26" s="422" t="s">
        <v>364</v>
      </c>
      <c r="EB26" s="422" t="s">
        <v>364</v>
      </c>
      <c r="EC26" s="422" t="s">
        <v>364</v>
      </c>
      <c r="ED26" s="422" t="s">
        <v>364</v>
      </c>
      <c r="EE26" s="422" t="s">
        <v>364</v>
      </c>
      <c r="EF26" s="422" t="s">
        <v>364</v>
      </c>
      <c r="EG26" s="422" t="s">
        <v>364</v>
      </c>
      <c r="EH26" s="422" t="s">
        <v>364</v>
      </c>
      <c r="EI26" s="422" t="s">
        <v>364</v>
      </c>
      <c r="EJ26" s="422">
        <v>20</v>
      </c>
      <c r="EK26" s="422" t="s">
        <v>364</v>
      </c>
      <c r="EL26" s="422" t="s">
        <v>364</v>
      </c>
      <c r="EM26" s="422" t="s">
        <v>364</v>
      </c>
      <c r="EN26" s="422" t="s">
        <v>364</v>
      </c>
      <c r="EO26" s="422" t="s">
        <v>364</v>
      </c>
      <c r="EP26" s="422" t="s">
        <v>364</v>
      </c>
      <c r="EQ26" s="422" t="s">
        <v>364</v>
      </c>
      <c r="ER26" s="422" t="s">
        <v>364</v>
      </c>
      <c r="ES26" s="422" t="s">
        <v>364</v>
      </c>
      <c r="ET26" s="422" t="s">
        <v>364</v>
      </c>
      <c r="EU26" s="422" t="s">
        <v>364</v>
      </c>
      <c r="EV26" s="422" t="s">
        <v>364</v>
      </c>
      <c r="EW26" s="422" t="s">
        <v>364</v>
      </c>
      <c r="EX26" s="422" t="s">
        <v>364</v>
      </c>
      <c r="EY26" s="422" t="s">
        <v>364</v>
      </c>
      <c r="EZ26" s="422" t="s">
        <v>364</v>
      </c>
      <c r="FA26" s="422">
        <f t="shared" si="6"/>
        <v>91</v>
      </c>
      <c r="FB26" s="422" t="s">
        <v>364</v>
      </c>
      <c r="FC26" s="422" t="s">
        <v>364</v>
      </c>
      <c r="FD26" s="422" t="s">
        <v>364</v>
      </c>
      <c r="FE26" s="422" t="s">
        <v>364</v>
      </c>
      <c r="FF26" s="422" t="s">
        <v>364</v>
      </c>
      <c r="FG26" s="422" t="s">
        <v>364</v>
      </c>
      <c r="FH26" s="422" t="s">
        <v>364</v>
      </c>
      <c r="FI26" s="422" t="s">
        <v>364</v>
      </c>
      <c r="FJ26" s="422" t="s">
        <v>364</v>
      </c>
      <c r="FK26" s="422" t="s">
        <v>364</v>
      </c>
      <c r="FL26" s="422" t="s">
        <v>364</v>
      </c>
      <c r="FM26" s="422" t="s">
        <v>364</v>
      </c>
      <c r="FN26" s="422" t="s">
        <v>364</v>
      </c>
      <c r="FO26" s="422" t="s">
        <v>364</v>
      </c>
      <c r="FP26" s="422">
        <v>91</v>
      </c>
      <c r="FQ26" s="422" t="s">
        <v>364</v>
      </c>
      <c r="FR26" s="422" t="s">
        <v>364</v>
      </c>
      <c r="FS26" s="422" t="s">
        <v>364</v>
      </c>
      <c r="FT26" s="422" t="s">
        <v>364</v>
      </c>
      <c r="FU26" s="422" t="s">
        <v>364</v>
      </c>
      <c r="FV26" s="422" t="s">
        <v>364</v>
      </c>
      <c r="FW26" s="422" t="s">
        <v>364</v>
      </c>
      <c r="FX26" s="422" t="s">
        <v>364</v>
      </c>
      <c r="FY26" s="422" t="s">
        <v>364</v>
      </c>
      <c r="FZ26" s="422" t="s">
        <v>364</v>
      </c>
      <c r="GA26" s="422" t="s">
        <v>364</v>
      </c>
      <c r="GB26" s="422" t="s">
        <v>364</v>
      </c>
      <c r="GC26" s="422" t="s">
        <v>364</v>
      </c>
      <c r="GD26" s="422" t="s">
        <v>364</v>
      </c>
      <c r="GE26" s="422" t="s">
        <v>364</v>
      </c>
      <c r="GF26" s="422" t="s">
        <v>364</v>
      </c>
      <c r="GG26" s="422" t="s">
        <v>364</v>
      </c>
      <c r="GH26" s="422" t="s">
        <v>364</v>
      </c>
      <c r="GI26" s="422" t="s">
        <v>364</v>
      </c>
      <c r="GJ26" s="422" t="s">
        <v>364</v>
      </c>
      <c r="GK26" s="422" t="s">
        <v>364</v>
      </c>
      <c r="GL26" s="422" t="s">
        <v>364</v>
      </c>
      <c r="GM26" s="422" t="s">
        <v>364</v>
      </c>
      <c r="GN26" s="422" t="s">
        <v>364</v>
      </c>
      <c r="GO26" s="422" t="s">
        <v>364</v>
      </c>
      <c r="GP26" s="422" t="s">
        <v>364</v>
      </c>
      <c r="GQ26" s="422" t="s">
        <v>364</v>
      </c>
      <c r="GR26" s="422" t="s">
        <v>364</v>
      </c>
      <c r="GS26" s="422" t="s">
        <v>364</v>
      </c>
      <c r="GT26" s="422" t="s">
        <v>364</v>
      </c>
      <c r="GU26" s="422" t="s">
        <v>364</v>
      </c>
      <c r="GV26" s="422">
        <f t="shared" si="7"/>
        <v>48</v>
      </c>
      <c r="GW26" s="422" t="s">
        <v>364</v>
      </c>
      <c r="GX26" s="422">
        <v>24</v>
      </c>
      <c r="GY26" s="422" t="s">
        <v>364</v>
      </c>
      <c r="GZ26" s="422" t="s">
        <v>364</v>
      </c>
      <c r="HA26" s="422" t="s">
        <v>364</v>
      </c>
      <c r="HB26" s="422" t="s">
        <v>364</v>
      </c>
      <c r="HC26" s="422" t="s">
        <v>364</v>
      </c>
      <c r="HD26" s="422" t="s">
        <v>364</v>
      </c>
      <c r="HE26" s="422" t="s">
        <v>364</v>
      </c>
      <c r="HF26" s="422" t="s">
        <v>364</v>
      </c>
      <c r="HG26" s="422" t="s">
        <v>364</v>
      </c>
      <c r="HH26" s="422" t="s">
        <v>364</v>
      </c>
      <c r="HI26" s="422">
        <v>24</v>
      </c>
      <c r="HJ26" s="422" t="s">
        <v>364</v>
      </c>
      <c r="HK26" s="422" t="s">
        <v>364</v>
      </c>
      <c r="HL26" s="422" t="s">
        <v>364</v>
      </c>
      <c r="HM26" s="422" t="s">
        <v>364</v>
      </c>
      <c r="HN26" s="422" t="s">
        <v>364</v>
      </c>
      <c r="HO26" s="422" t="s">
        <v>364</v>
      </c>
      <c r="HP26" s="422" t="s">
        <v>364</v>
      </c>
      <c r="HQ26" s="422" t="s">
        <v>364</v>
      </c>
      <c r="HR26" s="422" t="s">
        <v>364</v>
      </c>
      <c r="HS26" s="422" t="s">
        <v>364</v>
      </c>
      <c r="HT26" s="422" t="s">
        <v>364</v>
      </c>
      <c r="HU26" s="422" t="s">
        <v>364</v>
      </c>
      <c r="HV26" s="422" t="s">
        <v>364</v>
      </c>
      <c r="HW26" s="422" t="s">
        <v>364</v>
      </c>
      <c r="HX26" s="422" t="s">
        <v>364</v>
      </c>
      <c r="HY26" s="422">
        <f t="shared" si="8"/>
        <v>0</v>
      </c>
      <c r="HZ26" s="422" t="s">
        <v>364</v>
      </c>
      <c r="IA26" s="422" t="s">
        <v>364</v>
      </c>
      <c r="IB26" s="422" t="s">
        <v>364</v>
      </c>
      <c r="IC26" s="422" t="s">
        <v>364</v>
      </c>
      <c r="ID26" s="422" t="s">
        <v>364</v>
      </c>
      <c r="IE26" s="422" t="s">
        <v>364</v>
      </c>
      <c r="IF26" s="422">
        <f t="shared" si="9"/>
        <v>0</v>
      </c>
      <c r="IG26" s="422" t="s">
        <v>364</v>
      </c>
      <c r="IH26" s="422" t="s">
        <v>364</v>
      </c>
      <c r="II26" s="422" t="s">
        <v>364</v>
      </c>
      <c r="IJ26" s="422" t="s">
        <v>364</v>
      </c>
      <c r="IK26" s="422" t="s">
        <v>364</v>
      </c>
      <c r="IL26" s="422" t="s">
        <v>364</v>
      </c>
      <c r="IM26" s="422" t="s">
        <v>364</v>
      </c>
      <c r="IN26" s="422" t="s">
        <v>364</v>
      </c>
      <c r="IO26" s="422" t="s">
        <v>364</v>
      </c>
      <c r="IP26" s="422" t="s">
        <v>364</v>
      </c>
      <c r="IQ26" s="422" t="s">
        <v>364</v>
      </c>
      <c r="IR26" s="422" t="s">
        <v>364</v>
      </c>
      <c r="IS26" s="422" t="s">
        <v>364</v>
      </c>
      <c r="IT26" s="422" t="s">
        <v>364</v>
      </c>
      <c r="IU26" s="422" t="s">
        <v>364</v>
      </c>
      <c r="IV26" s="422" t="s">
        <v>364</v>
      </c>
      <c r="IW26" s="422" t="s">
        <v>364</v>
      </c>
      <c r="IX26" s="422" t="s">
        <v>364</v>
      </c>
      <c r="IY26" s="422" t="s">
        <v>364</v>
      </c>
      <c r="IZ26" s="422">
        <f t="shared" si="10"/>
        <v>35</v>
      </c>
      <c r="JA26" s="422" t="s">
        <v>364</v>
      </c>
      <c r="JB26" s="422">
        <v>30</v>
      </c>
      <c r="JC26" s="422">
        <v>5</v>
      </c>
      <c r="JD26" s="422" t="s">
        <v>364</v>
      </c>
      <c r="JE26" s="422" t="s">
        <v>364</v>
      </c>
      <c r="JF26" s="422" t="s">
        <v>364</v>
      </c>
      <c r="JG26" s="422" t="s">
        <v>364</v>
      </c>
      <c r="JH26" s="422" t="s">
        <v>364</v>
      </c>
      <c r="JI26" s="422" t="s">
        <v>364</v>
      </c>
      <c r="JJ26" s="422" t="s">
        <v>364</v>
      </c>
      <c r="JK26" s="422" t="s">
        <v>364</v>
      </c>
      <c r="JL26" s="422" t="s">
        <v>364</v>
      </c>
      <c r="JM26" s="422" t="s">
        <v>364</v>
      </c>
      <c r="JN26" s="422" t="s">
        <v>364</v>
      </c>
      <c r="JO26" s="422" t="s">
        <v>364</v>
      </c>
      <c r="JP26" s="422" t="s">
        <v>364</v>
      </c>
      <c r="JQ26" s="422" t="s">
        <v>364</v>
      </c>
      <c r="JR26" s="422" t="s">
        <v>364</v>
      </c>
      <c r="JS26" s="422" t="s">
        <v>364</v>
      </c>
      <c r="JT26" s="422" t="s">
        <v>364</v>
      </c>
      <c r="JU26" s="422" t="s">
        <v>364</v>
      </c>
      <c r="JV26" s="422" t="s">
        <v>364</v>
      </c>
      <c r="JW26" s="422">
        <f t="shared" si="11"/>
        <v>31</v>
      </c>
      <c r="JX26" s="422" t="s">
        <v>364</v>
      </c>
      <c r="JY26" s="422" t="s">
        <v>364</v>
      </c>
      <c r="JZ26" s="422" t="s">
        <v>364</v>
      </c>
      <c r="KA26" s="422" t="s">
        <v>364</v>
      </c>
      <c r="KB26" s="422" t="s">
        <v>364</v>
      </c>
      <c r="KC26" s="422">
        <v>31</v>
      </c>
      <c r="KD26" s="422" t="s">
        <v>364</v>
      </c>
      <c r="KE26" s="422" t="s">
        <v>364</v>
      </c>
      <c r="KF26" s="422" t="s">
        <v>364</v>
      </c>
      <c r="KG26" s="422" t="s">
        <v>364</v>
      </c>
      <c r="KH26" s="422" t="s">
        <v>364</v>
      </c>
      <c r="KI26" s="422" t="s">
        <v>364</v>
      </c>
      <c r="KJ26" s="422" t="s">
        <v>364</v>
      </c>
      <c r="KK26" s="422" t="s">
        <v>364</v>
      </c>
      <c r="KL26" s="422" t="s">
        <v>364</v>
      </c>
      <c r="KM26" s="422" t="s">
        <v>364</v>
      </c>
      <c r="KN26" s="422" t="s">
        <v>364</v>
      </c>
      <c r="KO26" s="422" t="s">
        <v>364</v>
      </c>
      <c r="KP26" s="422" t="s">
        <v>364</v>
      </c>
      <c r="KQ26" s="422" t="s">
        <v>364</v>
      </c>
      <c r="KR26" s="422" t="s">
        <v>364</v>
      </c>
      <c r="KS26" s="422" t="s">
        <v>364</v>
      </c>
      <c r="KT26" s="422" t="s">
        <v>364</v>
      </c>
      <c r="KU26" s="422" t="s">
        <v>364</v>
      </c>
      <c r="KV26" s="422" t="s">
        <v>364</v>
      </c>
      <c r="KW26" s="422" t="s">
        <v>364</v>
      </c>
      <c r="KX26" s="422" t="s">
        <v>364</v>
      </c>
      <c r="KY26" s="422" t="s">
        <v>364</v>
      </c>
      <c r="KZ26" s="422" t="s">
        <v>364</v>
      </c>
      <c r="LA26" s="422" t="s">
        <v>364</v>
      </c>
      <c r="LB26" s="422" t="s">
        <v>364</v>
      </c>
      <c r="LC26" s="422" t="s">
        <v>364</v>
      </c>
      <c r="LD26" s="422" t="s">
        <v>364</v>
      </c>
      <c r="LE26" s="422" t="s">
        <v>364</v>
      </c>
      <c r="LF26" s="422" t="s">
        <v>364</v>
      </c>
      <c r="LG26" s="422" t="s">
        <v>364</v>
      </c>
      <c r="LH26" s="422" t="s">
        <v>364</v>
      </c>
      <c r="LI26" s="422" t="s">
        <v>364</v>
      </c>
      <c r="LJ26" s="422" t="s">
        <v>364</v>
      </c>
      <c r="LK26" s="422" t="s">
        <v>364</v>
      </c>
      <c r="LL26" s="422" t="s">
        <v>364</v>
      </c>
      <c r="LM26" s="424" t="s">
        <v>364</v>
      </c>
      <c r="LN26" s="424">
        <v>0</v>
      </c>
      <c r="LO26" s="424" t="s">
        <v>364</v>
      </c>
      <c r="LP26" s="424" t="s">
        <v>364</v>
      </c>
      <c r="LQ26" s="424" t="s">
        <v>364</v>
      </c>
      <c r="LR26" s="424" t="s">
        <v>364</v>
      </c>
      <c r="LS26" s="424" t="s">
        <v>364</v>
      </c>
      <c r="LT26" s="424" t="s">
        <v>364</v>
      </c>
      <c r="LU26" s="424" t="s">
        <v>364</v>
      </c>
      <c r="LV26" s="424" t="s">
        <v>364</v>
      </c>
      <c r="LW26" s="424" t="s">
        <v>364</v>
      </c>
      <c r="LX26" s="424">
        <f t="shared" si="12"/>
        <v>0</v>
      </c>
      <c r="LY26" s="424" t="s">
        <v>364</v>
      </c>
      <c r="LZ26" s="424" t="s">
        <v>364</v>
      </c>
      <c r="MA26" s="424" t="s">
        <v>364</v>
      </c>
      <c r="MB26" s="424" t="s">
        <v>364</v>
      </c>
      <c r="MC26" s="424" t="s">
        <v>364</v>
      </c>
      <c r="MD26" s="424" t="s">
        <v>364</v>
      </c>
      <c r="ME26" s="424">
        <f t="shared" si="1"/>
        <v>24</v>
      </c>
      <c r="MF26" s="424" t="s">
        <v>364</v>
      </c>
      <c r="MG26" s="424" t="s">
        <v>364</v>
      </c>
      <c r="MH26" s="424" t="s">
        <v>364</v>
      </c>
      <c r="MI26" s="424" t="s">
        <v>364</v>
      </c>
      <c r="MJ26" s="424" t="s">
        <v>364</v>
      </c>
      <c r="MK26" s="424" t="s">
        <v>364</v>
      </c>
      <c r="ML26" s="424" t="s">
        <v>364</v>
      </c>
      <c r="MM26" s="424">
        <v>24</v>
      </c>
      <c r="MN26" s="424" t="s">
        <v>364</v>
      </c>
      <c r="MO26" s="424" t="s">
        <v>364</v>
      </c>
      <c r="MP26" s="424" t="s">
        <v>364</v>
      </c>
      <c r="MQ26" s="424" t="s">
        <v>364</v>
      </c>
      <c r="MR26" s="424" t="s">
        <v>364</v>
      </c>
      <c r="MS26" s="424" t="s">
        <v>364</v>
      </c>
      <c r="MT26" s="424" t="s">
        <v>364</v>
      </c>
      <c r="MU26" s="424" t="s">
        <v>364</v>
      </c>
      <c r="MV26" s="424" t="s">
        <v>364</v>
      </c>
      <c r="MW26" s="424" t="s">
        <v>364</v>
      </c>
      <c r="MX26" s="424">
        <f t="shared" si="13"/>
        <v>0</v>
      </c>
      <c r="MY26" s="424" t="s">
        <v>364</v>
      </c>
      <c r="MZ26" s="424" t="s">
        <v>364</v>
      </c>
      <c r="NA26" s="424" t="s">
        <v>364</v>
      </c>
      <c r="NB26" s="424" t="s">
        <v>364</v>
      </c>
      <c r="NC26" s="424" t="s">
        <v>364</v>
      </c>
      <c r="ND26" s="424" t="s">
        <v>364</v>
      </c>
      <c r="NE26" s="424" t="s">
        <v>364</v>
      </c>
      <c r="NF26" s="424" t="s">
        <v>364</v>
      </c>
      <c r="NG26" s="424" t="s">
        <v>364</v>
      </c>
      <c r="NH26" s="424" t="s">
        <v>364</v>
      </c>
      <c r="NI26" s="424" t="s">
        <v>364</v>
      </c>
      <c r="NJ26" s="424" t="s">
        <v>364</v>
      </c>
      <c r="NK26" s="424">
        <f t="shared" si="2"/>
        <v>0</v>
      </c>
      <c r="NL26" s="424">
        <f t="shared" si="14"/>
        <v>0</v>
      </c>
      <c r="NM26" s="424" t="s">
        <v>364</v>
      </c>
      <c r="NN26" s="424" t="s">
        <v>364</v>
      </c>
      <c r="NO26" s="424" t="s">
        <v>364</v>
      </c>
      <c r="NP26" s="424" t="s">
        <v>364</v>
      </c>
      <c r="NQ26" s="424" t="s">
        <v>364</v>
      </c>
      <c r="NR26" s="424" t="s">
        <v>364</v>
      </c>
      <c r="NS26" s="424" t="s">
        <v>364</v>
      </c>
      <c r="NT26" s="424" t="s">
        <v>364</v>
      </c>
      <c r="NU26" s="424" t="s">
        <v>364</v>
      </c>
      <c r="NV26" s="424" t="s">
        <v>364</v>
      </c>
      <c r="NW26" s="424" t="s">
        <v>364</v>
      </c>
      <c r="NX26" s="424" t="s">
        <v>364</v>
      </c>
      <c r="NY26" s="424" t="s">
        <v>364</v>
      </c>
      <c r="NZ26" s="424">
        <f t="shared" si="15"/>
        <v>0</v>
      </c>
      <c r="OA26" s="424" t="s">
        <v>364</v>
      </c>
      <c r="OB26" s="424" t="s">
        <v>364</v>
      </c>
      <c r="OC26" s="424" t="s">
        <v>364</v>
      </c>
      <c r="OD26" s="424" t="s">
        <v>364</v>
      </c>
      <c r="OE26" s="424" t="s">
        <v>364</v>
      </c>
      <c r="OF26" s="424" t="s">
        <v>364</v>
      </c>
      <c r="OG26" s="424" t="s">
        <v>364</v>
      </c>
      <c r="OH26" s="424">
        <f t="shared" si="16"/>
        <v>0</v>
      </c>
      <c r="OI26" s="424">
        <f t="shared" si="17"/>
        <v>0</v>
      </c>
      <c r="OJ26" s="422" t="s">
        <v>364</v>
      </c>
      <c r="OK26" s="422" t="s">
        <v>364</v>
      </c>
      <c r="OL26" s="422" t="s">
        <v>364</v>
      </c>
      <c r="OM26" s="422" t="s">
        <v>364</v>
      </c>
      <c r="ON26" s="422" t="s">
        <v>364</v>
      </c>
      <c r="OO26" s="422" t="s">
        <v>364</v>
      </c>
      <c r="OP26" s="422" t="s">
        <v>364</v>
      </c>
      <c r="OQ26" s="422" t="s">
        <v>364</v>
      </c>
      <c r="OR26" s="422" t="s">
        <v>364</v>
      </c>
      <c r="OS26" s="422" t="s">
        <v>364</v>
      </c>
      <c r="OT26" s="422" t="s">
        <v>364</v>
      </c>
      <c r="OU26" s="422" t="s">
        <v>364</v>
      </c>
      <c r="OV26" s="422" t="s">
        <v>364</v>
      </c>
      <c r="OW26" s="422" t="s">
        <v>364</v>
      </c>
      <c r="OX26" s="422" t="s">
        <v>364</v>
      </c>
      <c r="OY26" s="422" t="s">
        <v>364</v>
      </c>
      <c r="OZ26" s="422" t="s">
        <v>364</v>
      </c>
      <c r="PA26" s="422" t="s">
        <v>364</v>
      </c>
      <c r="PB26" s="424">
        <f t="shared" si="18"/>
        <v>0</v>
      </c>
      <c r="PC26" s="422" t="s">
        <v>364</v>
      </c>
      <c r="PD26" s="422" t="s">
        <v>364</v>
      </c>
      <c r="PE26" s="422" t="s">
        <v>364</v>
      </c>
      <c r="PF26" s="422" t="s">
        <v>364</v>
      </c>
      <c r="PG26" s="422" t="s">
        <v>364</v>
      </c>
      <c r="PH26" s="422" t="s">
        <v>364</v>
      </c>
      <c r="PI26" s="422" t="s">
        <v>364</v>
      </c>
      <c r="PJ26" s="422" t="s">
        <v>364</v>
      </c>
    </row>
    <row r="27" spans="2:426" ht="15.6">
      <c r="B27" s="426" t="s">
        <v>558</v>
      </c>
      <c r="C27" s="422">
        <f t="shared" si="3"/>
        <v>0</v>
      </c>
      <c r="D27" s="422" t="s">
        <v>364</v>
      </c>
      <c r="E27" s="422" t="s">
        <v>364</v>
      </c>
      <c r="F27" s="422" t="s">
        <v>364</v>
      </c>
      <c r="G27" s="422" t="s">
        <v>364</v>
      </c>
      <c r="H27" s="422" t="s">
        <v>364</v>
      </c>
      <c r="I27" s="422" t="s">
        <v>364</v>
      </c>
      <c r="J27" s="422" t="s">
        <v>364</v>
      </c>
      <c r="K27" s="422" t="s">
        <v>364</v>
      </c>
      <c r="L27" s="422" t="s">
        <v>364</v>
      </c>
      <c r="M27" s="422" t="s">
        <v>364</v>
      </c>
      <c r="N27" s="422" t="s">
        <v>364</v>
      </c>
      <c r="O27" s="422" t="s">
        <v>364</v>
      </c>
      <c r="P27" s="422" t="s">
        <v>364</v>
      </c>
      <c r="Q27" s="422" t="s">
        <v>364</v>
      </c>
      <c r="R27" s="422" t="s">
        <v>364</v>
      </c>
      <c r="S27" s="422" t="s">
        <v>364</v>
      </c>
      <c r="T27" s="422" t="s">
        <v>364</v>
      </c>
      <c r="U27" s="422" t="s">
        <v>364</v>
      </c>
      <c r="V27" s="422" t="s">
        <v>364</v>
      </c>
      <c r="W27" s="422" t="s">
        <v>364</v>
      </c>
      <c r="X27" s="422" t="s">
        <v>364</v>
      </c>
      <c r="Y27" s="422" t="s">
        <v>364</v>
      </c>
      <c r="Z27" s="422" t="s">
        <v>364</v>
      </c>
      <c r="AA27" s="422" t="s">
        <v>364</v>
      </c>
      <c r="AB27" s="422" t="s">
        <v>364</v>
      </c>
      <c r="AC27" s="422" t="s">
        <v>364</v>
      </c>
      <c r="AD27" s="422" t="s">
        <v>364</v>
      </c>
      <c r="AE27" s="422" t="s">
        <v>364</v>
      </c>
      <c r="AF27" s="422" t="s">
        <v>364</v>
      </c>
      <c r="AG27" s="422" t="s">
        <v>364</v>
      </c>
      <c r="AH27" s="422" t="s">
        <v>364</v>
      </c>
      <c r="AI27" s="422" t="s">
        <v>364</v>
      </c>
      <c r="AJ27" s="422" t="s">
        <v>364</v>
      </c>
      <c r="AK27" s="422" t="s">
        <v>364</v>
      </c>
      <c r="AL27" s="422" t="s">
        <v>364</v>
      </c>
      <c r="AM27" s="422" t="s">
        <v>364</v>
      </c>
      <c r="AN27" s="422" t="s">
        <v>364</v>
      </c>
      <c r="AO27" s="422" t="s">
        <v>364</v>
      </c>
      <c r="AP27" s="422" t="s">
        <v>364</v>
      </c>
      <c r="AQ27" s="422">
        <f t="shared" si="0"/>
        <v>88</v>
      </c>
      <c r="AR27" s="422" t="s">
        <v>364</v>
      </c>
      <c r="AS27" s="422" t="s">
        <v>364</v>
      </c>
      <c r="AT27" s="422" t="s">
        <v>364</v>
      </c>
      <c r="AU27" s="422" t="s">
        <v>364</v>
      </c>
      <c r="AV27" s="422" t="s">
        <v>364</v>
      </c>
      <c r="AW27" s="422">
        <v>4</v>
      </c>
      <c r="AX27" s="422" t="s">
        <v>364</v>
      </c>
      <c r="AY27" s="422" t="s">
        <v>364</v>
      </c>
      <c r="AZ27" s="422" t="s">
        <v>364</v>
      </c>
      <c r="BA27" s="422" t="s">
        <v>364</v>
      </c>
      <c r="BB27" s="422">
        <v>70</v>
      </c>
      <c r="BC27" s="422">
        <v>14</v>
      </c>
      <c r="BD27" s="422" t="s">
        <v>364</v>
      </c>
      <c r="BE27" s="422" t="s">
        <v>364</v>
      </c>
      <c r="BF27" s="422" t="s">
        <v>364</v>
      </c>
      <c r="BG27" s="422" t="s">
        <v>364</v>
      </c>
      <c r="BH27" s="422" t="s">
        <v>364</v>
      </c>
      <c r="BI27" s="422" t="s">
        <v>364</v>
      </c>
      <c r="BJ27" s="422" t="s">
        <v>364</v>
      </c>
      <c r="BK27" s="422" t="s">
        <v>364</v>
      </c>
      <c r="BL27" s="422" t="s">
        <v>364</v>
      </c>
      <c r="BM27" s="422" t="s">
        <v>364</v>
      </c>
      <c r="BN27" s="422" t="s">
        <v>364</v>
      </c>
      <c r="BO27" s="422" t="s">
        <v>364</v>
      </c>
      <c r="BP27" s="422" t="s">
        <v>364</v>
      </c>
      <c r="BQ27" s="422" t="s">
        <v>364</v>
      </c>
      <c r="BR27" s="422" t="s">
        <v>364</v>
      </c>
      <c r="BS27" s="422" t="s">
        <v>364</v>
      </c>
      <c r="BT27" s="422" t="s">
        <v>364</v>
      </c>
      <c r="BU27" s="422" t="s">
        <v>364</v>
      </c>
      <c r="BV27" s="422" t="s">
        <v>364</v>
      </c>
      <c r="BW27" s="422" t="s">
        <v>364</v>
      </c>
      <c r="BX27" s="422" t="s">
        <v>364</v>
      </c>
      <c r="BY27" s="422" t="s">
        <v>364</v>
      </c>
      <c r="BZ27" s="422" t="s">
        <v>364</v>
      </c>
      <c r="CA27" s="422" t="s">
        <v>364</v>
      </c>
      <c r="CB27" s="422" t="s">
        <v>364</v>
      </c>
      <c r="CC27" s="422" t="s">
        <v>364</v>
      </c>
      <c r="CD27" s="422" t="s">
        <v>364</v>
      </c>
      <c r="CE27" s="422" t="s">
        <v>364</v>
      </c>
      <c r="CF27" s="422" t="s">
        <v>364</v>
      </c>
      <c r="CG27" s="422" t="s">
        <v>364</v>
      </c>
      <c r="CH27" s="422" t="s">
        <v>364</v>
      </c>
      <c r="CI27" s="422" t="s">
        <v>364</v>
      </c>
      <c r="CJ27" s="422" t="s">
        <v>364</v>
      </c>
      <c r="CK27" s="422" t="s">
        <v>364</v>
      </c>
      <c r="CL27" s="422" t="s">
        <v>364</v>
      </c>
      <c r="CM27" s="422" t="s">
        <v>364</v>
      </c>
      <c r="CN27" s="422" t="s">
        <v>364</v>
      </c>
      <c r="CO27" s="422" t="s">
        <v>364</v>
      </c>
      <c r="CP27" s="422" t="s">
        <v>364</v>
      </c>
      <c r="CQ27" s="422" t="s">
        <v>364</v>
      </c>
      <c r="CR27" s="422" t="s">
        <v>364</v>
      </c>
      <c r="CS27" s="422" t="s">
        <v>364</v>
      </c>
      <c r="CT27" s="422" t="s">
        <v>364</v>
      </c>
      <c r="CU27" s="422" t="s">
        <v>364</v>
      </c>
      <c r="CV27" s="422" t="s">
        <v>364</v>
      </c>
      <c r="CW27" s="422" t="s">
        <v>364</v>
      </c>
      <c r="CX27" s="422" t="s">
        <v>364</v>
      </c>
      <c r="CY27" s="422" t="s">
        <v>364</v>
      </c>
      <c r="CZ27" s="422" t="s">
        <v>364</v>
      </c>
      <c r="DA27" s="422" t="s">
        <v>364</v>
      </c>
      <c r="DB27" s="422" t="s">
        <v>364</v>
      </c>
      <c r="DC27" s="422" t="s">
        <v>364</v>
      </c>
      <c r="DD27" s="422" t="s">
        <v>364</v>
      </c>
      <c r="DE27" s="422" t="s">
        <v>364</v>
      </c>
      <c r="DF27" s="422" t="s">
        <v>364</v>
      </c>
      <c r="DG27" s="422" t="s">
        <v>364</v>
      </c>
      <c r="DH27" s="422" t="s">
        <v>364</v>
      </c>
      <c r="DI27" s="422" t="s">
        <v>364</v>
      </c>
      <c r="DJ27" s="422" t="s">
        <v>364</v>
      </c>
      <c r="DK27" s="422">
        <f t="shared" si="4"/>
        <v>0</v>
      </c>
      <c r="DL27" s="422" t="s">
        <v>364</v>
      </c>
      <c r="DM27" s="422" t="s">
        <v>364</v>
      </c>
      <c r="DN27" s="422" t="s">
        <v>364</v>
      </c>
      <c r="DO27" s="422" t="s">
        <v>364</v>
      </c>
      <c r="DP27" s="422" t="s">
        <v>364</v>
      </c>
      <c r="DQ27" s="422" t="s">
        <v>364</v>
      </c>
      <c r="DR27" s="422" t="s">
        <v>364</v>
      </c>
      <c r="DS27" s="422" t="s">
        <v>364</v>
      </c>
      <c r="DT27" s="422" t="s">
        <v>364</v>
      </c>
      <c r="DU27" s="422" t="s">
        <v>364</v>
      </c>
      <c r="DV27" s="422" t="s">
        <v>364</v>
      </c>
      <c r="DW27" s="422" t="s">
        <v>364</v>
      </c>
      <c r="DX27" s="422" t="s">
        <v>364</v>
      </c>
      <c r="DY27" s="422">
        <f t="shared" si="5"/>
        <v>665</v>
      </c>
      <c r="DZ27" s="422">
        <v>436</v>
      </c>
      <c r="EA27" s="422" t="s">
        <v>364</v>
      </c>
      <c r="EB27" s="422" t="s">
        <v>364</v>
      </c>
      <c r="EC27" s="422" t="s">
        <v>364</v>
      </c>
      <c r="ED27" s="422" t="s">
        <v>364</v>
      </c>
      <c r="EE27" s="422" t="s">
        <v>364</v>
      </c>
      <c r="EF27" s="422" t="s">
        <v>364</v>
      </c>
      <c r="EG27" s="422" t="s">
        <v>364</v>
      </c>
      <c r="EH27" s="422" t="s">
        <v>364</v>
      </c>
      <c r="EI27" s="422" t="s">
        <v>364</v>
      </c>
      <c r="EJ27" s="422">
        <v>229</v>
      </c>
      <c r="EK27" s="422" t="s">
        <v>364</v>
      </c>
      <c r="EL27" s="422" t="s">
        <v>364</v>
      </c>
      <c r="EM27" s="422" t="s">
        <v>364</v>
      </c>
      <c r="EN27" s="422" t="s">
        <v>364</v>
      </c>
      <c r="EO27" s="422" t="s">
        <v>364</v>
      </c>
      <c r="EP27" s="422" t="s">
        <v>364</v>
      </c>
      <c r="EQ27" s="422" t="s">
        <v>364</v>
      </c>
      <c r="ER27" s="422" t="s">
        <v>364</v>
      </c>
      <c r="ES27" s="422" t="s">
        <v>364</v>
      </c>
      <c r="ET27" s="422" t="s">
        <v>364</v>
      </c>
      <c r="EU27" s="422" t="s">
        <v>364</v>
      </c>
      <c r="EV27" s="422" t="s">
        <v>364</v>
      </c>
      <c r="EW27" s="422" t="s">
        <v>364</v>
      </c>
      <c r="EX27" s="422" t="s">
        <v>364</v>
      </c>
      <c r="EY27" s="422" t="s">
        <v>364</v>
      </c>
      <c r="EZ27" s="422" t="s">
        <v>364</v>
      </c>
      <c r="FA27" s="422">
        <f t="shared" si="6"/>
        <v>19</v>
      </c>
      <c r="FB27" s="422" t="s">
        <v>364</v>
      </c>
      <c r="FC27" s="422" t="s">
        <v>364</v>
      </c>
      <c r="FD27" s="422" t="s">
        <v>364</v>
      </c>
      <c r="FE27" s="422" t="s">
        <v>364</v>
      </c>
      <c r="FF27" s="422" t="s">
        <v>364</v>
      </c>
      <c r="FG27" s="422" t="s">
        <v>364</v>
      </c>
      <c r="FH27" s="422" t="s">
        <v>364</v>
      </c>
      <c r="FI27" s="422" t="s">
        <v>364</v>
      </c>
      <c r="FJ27" s="422" t="s">
        <v>364</v>
      </c>
      <c r="FK27" s="422" t="s">
        <v>364</v>
      </c>
      <c r="FL27" s="422" t="s">
        <v>364</v>
      </c>
      <c r="FM27" s="422" t="s">
        <v>364</v>
      </c>
      <c r="FN27" s="422" t="s">
        <v>364</v>
      </c>
      <c r="FO27" s="422" t="s">
        <v>364</v>
      </c>
      <c r="FP27" s="422" t="s">
        <v>364</v>
      </c>
      <c r="FQ27" s="422" t="s">
        <v>364</v>
      </c>
      <c r="FR27" s="422" t="s">
        <v>364</v>
      </c>
      <c r="FS27" s="422" t="s">
        <v>364</v>
      </c>
      <c r="FT27" s="422" t="s">
        <v>364</v>
      </c>
      <c r="FU27" s="422" t="s">
        <v>364</v>
      </c>
      <c r="FV27" s="422" t="s">
        <v>364</v>
      </c>
      <c r="FW27" s="422" t="s">
        <v>364</v>
      </c>
      <c r="FX27" s="422" t="s">
        <v>364</v>
      </c>
      <c r="FY27" s="422" t="s">
        <v>364</v>
      </c>
      <c r="FZ27" s="422" t="s">
        <v>364</v>
      </c>
      <c r="GA27" s="422" t="s">
        <v>364</v>
      </c>
      <c r="GB27" s="422" t="s">
        <v>364</v>
      </c>
      <c r="GC27" s="422" t="s">
        <v>364</v>
      </c>
      <c r="GD27" s="422" t="s">
        <v>364</v>
      </c>
      <c r="GE27" s="422" t="s">
        <v>364</v>
      </c>
      <c r="GF27" s="422" t="s">
        <v>364</v>
      </c>
      <c r="GG27" s="422" t="s">
        <v>364</v>
      </c>
      <c r="GH27" s="422" t="s">
        <v>364</v>
      </c>
      <c r="GI27" s="422" t="s">
        <v>364</v>
      </c>
      <c r="GJ27" s="422" t="s">
        <v>364</v>
      </c>
      <c r="GK27" s="422" t="s">
        <v>364</v>
      </c>
      <c r="GL27" s="422">
        <v>19</v>
      </c>
      <c r="GM27" s="422" t="s">
        <v>364</v>
      </c>
      <c r="GN27" s="422" t="s">
        <v>364</v>
      </c>
      <c r="GO27" s="422" t="s">
        <v>364</v>
      </c>
      <c r="GP27" s="422" t="s">
        <v>364</v>
      </c>
      <c r="GQ27" s="422" t="s">
        <v>364</v>
      </c>
      <c r="GR27" s="422" t="s">
        <v>364</v>
      </c>
      <c r="GS27" s="422" t="s">
        <v>364</v>
      </c>
      <c r="GT27" s="422" t="s">
        <v>364</v>
      </c>
      <c r="GU27" s="422" t="s">
        <v>364</v>
      </c>
      <c r="GV27" s="422">
        <f t="shared" si="7"/>
        <v>0</v>
      </c>
      <c r="GW27" s="422" t="s">
        <v>364</v>
      </c>
      <c r="GX27" s="422" t="s">
        <v>364</v>
      </c>
      <c r="GY27" s="422" t="s">
        <v>364</v>
      </c>
      <c r="GZ27" s="422" t="s">
        <v>364</v>
      </c>
      <c r="HA27" s="422" t="s">
        <v>364</v>
      </c>
      <c r="HB27" s="422" t="s">
        <v>364</v>
      </c>
      <c r="HC27" s="422" t="s">
        <v>364</v>
      </c>
      <c r="HD27" s="422" t="s">
        <v>364</v>
      </c>
      <c r="HE27" s="422" t="s">
        <v>364</v>
      </c>
      <c r="HF27" s="422" t="s">
        <v>364</v>
      </c>
      <c r="HG27" s="422" t="s">
        <v>364</v>
      </c>
      <c r="HH27" s="422" t="s">
        <v>364</v>
      </c>
      <c r="HI27" s="422" t="s">
        <v>364</v>
      </c>
      <c r="HJ27" s="422" t="s">
        <v>364</v>
      </c>
      <c r="HK27" s="422" t="s">
        <v>364</v>
      </c>
      <c r="HL27" s="422" t="s">
        <v>364</v>
      </c>
      <c r="HM27" s="422" t="s">
        <v>364</v>
      </c>
      <c r="HN27" s="422" t="s">
        <v>364</v>
      </c>
      <c r="HO27" s="422" t="s">
        <v>364</v>
      </c>
      <c r="HP27" s="422" t="s">
        <v>364</v>
      </c>
      <c r="HQ27" s="422" t="s">
        <v>364</v>
      </c>
      <c r="HR27" s="422" t="s">
        <v>364</v>
      </c>
      <c r="HS27" s="422" t="s">
        <v>364</v>
      </c>
      <c r="HT27" s="422" t="s">
        <v>364</v>
      </c>
      <c r="HU27" s="422" t="s">
        <v>364</v>
      </c>
      <c r="HV27" s="422" t="s">
        <v>364</v>
      </c>
      <c r="HW27" s="422" t="s">
        <v>364</v>
      </c>
      <c r="HX27" s="422" t="s">
        <v>364</v>
      </c>
      <c r="HY27" s="422">
        <f t="shared" si="8"/>
        <v>0</v>
      </c>
      <c r="HZ27" s="422" t="s">
        <v>364</v>
      </c>
      <c r="IA27" s="422" t="s">
        <v>364</v>
      </c>
      <c r="IB27" s="422" t="s">
        <v>364</v>
      </c>
      <c r="IC27" s="422" t="s">
        <v>364</v>
      </c>
      <c r="ID27" s="422" t="s">
        <v>364</v>
      </c>
      <c r="IE27" s="422" t="s">
        <v>364</v>
      </c>
      <c r="IF27" s="422">
        <f t="shared" si="9"/>
        <v>0</v>
      </c>
      <c r="IG27" s="422" t="s">
        <v>364</v>
      </c>
      <c r="IH27" s="422" t="s">
        <v>364</v>
      </c>
      <c r="II27" s="422" t="s">
        <v>364</v>
      </c>
      <c r="IJ27" s="422" t="s">
        <v>364</v>
      </c>
      <c r="IK27" s="422" t="s">
        <v>364</v>
      </c>
      <c r="IL27" s="422" t="s">
        <v>364</v>
      </c>
      <c r="IM27" s="422" t="s">
        <v>364</v>
      </c>
      <c r="IN27" s="422" t="s">
        <v>364</v>
      </c>
      <c r="IO27" s="422" t="s">
        <v>364</v>
      </c>
      <c r="IP27" s="422" t="s">
        <v>364</v>
      </c>
      <c r="IQ27" s="422" t="s">
        <v>364</v>
      </c>
      <c r="IR27" s="422" t="s">
        <v>364</v>
      </c>
      <c r="IS27" s="422" t="s">
        <v>364</v>
      </c>
      <c r="IT27" s="422" t="s">
        <v>364</v>
      </c>
      <c r="IU27" s="422" t="s">
        <v>364</v>
      </c>
      <c r="IV27" s="422" t="s">
        <v>364</v>
      </c>
      <c r="IW27" s="422" t="s">
        <v>364</v>
      </c>
      <c r="IX27" s="422" t="s">
        <v>364</v>
      </c>
      <c r="IY27" s="422" t="s">
        <v>364</v>
      </c>
      <c r="IZ27" s="422">
        <f t="shared" si="10"/>
        <v>53</v>
      </c>
      <c r="JA27" s="422" t="s">
        <v>364</v>
      </c>
      <c r="JB27" s="422">
        <v>44</v>
      </c>
      <c r="JC27" s="422">
        <v>9</v>
      </c>
      <c r="JD27" s="422" t="s">
        <v>364</v>
      </c>
      <c r="JE27" s="422" t="s">
        <v>364</v>
      </c>
      <c r="JF27" s="422" t="s">
        <v>364</v>
      </c>
      <c r="JG27" s="422" t="s">
        <v>364</v>
      </c>
      <c r="JH27" s="422" t="s">
        <v>364</v>
      </c>
      <c r="JI27" s="422" t="s">
        <v>364</v>
      </c>
      <c r="JJ27" s="422" t="s">
        <v>364</v>
      </c>
      <c r="JK27" s="422" t="s">
        <v>364</v>
      </c>
      <c r="JL27" s="422" t="s">
        <v>364</v>
      </c>
      <c r="JM27" s="422" t="s">
        <v>364</v>
      </c>
      <c r="JN27" s="422" t="s">
        <v>364</v>
      </c>
      <c r="JO27" s="422" t="s">
        <v>364</v>
      </c>
      <c r="JP27" s="422" t="s">
        <v>364</v>
      </c>
      <c r="JQ27" s="422" t="s">
        <v>364</v>
      </c>
      <c r="JR27" s="422" t="s">
        <v>364</v>
      </c>
      <c r="JS27" s="422" t="s">
        <v>364</v>
      </c>
      <c r="JT27" s="422" t="s">
        <v>364</v>
      </c>
      <c r="JU27" s="422" t="s">
        <v>364</v>
      </c>
      <c r="JV27" s="422" t="s">
        <v>364</v>
      </c>
      <c r="JW27" s="422">
        <f t="shared" si="11"/>
        <v>0</v>
      </c>
      <c r="JX27" s="422" t="s">
        <v>364</v>
      </c>
      <c r="JY27" s="422" t="s">
        <v>364</v>
      </c>
      <c r="JZ27" s="422" t="s">
        <v>364</v>
      </c>
      <c r="KA27" s="422" t="s">
        <v>364</v>
      </c>
      <c r="KB27" s="422" t="s">
        <v>364</v>
      </c>
      <c r="KC27" s="422" t="s">
        <v>364</v>
      </c>
      <c r="KD27" s="422" t="s">
        <v>364</v>
      </c>
      <c r="KE27" s="422" t="s">
        <v>364</v>
      </c>
      <c r="KF27" s="422" t="s">
        <v>364</v>
      </c>
      <c r="KG27" s="422" t="s">
        <v>364</v>
      </c>
      <c r="KH27" s="422" t="s">
        <v>364</v>
      </c>
      <c r="KI27" s="422" t="s">
        <v>364</v>
      </c>
      <c r="KJ27" s="422" t="s">
        <v>364</v>
      </c>
      <c r="KK27" s="422" t="s">
        <v>364</v>
      </c>
      <c r="KL27" s="422" t="s">
        <v>364</v>
      </c>
      <c r="KM27" s="422" t="s">
        <v>364</v>
      </c>
      <c r="KN27" s="422" t="s">
        <v>364</v>
      </c>
      <c r="KO27" s="422" t="s">
        <v>364</v>
      </c>
      <c r="KP27" s="422" t="s">
        <v>364</v>
      </c>
      <c r="KQ27" s="422" t="s">
        <v>364</v>
      </c>
      <c r="KR27" s="422" t="s">
        <v>364</v>
      </c>
      <c r="KS27" s="422" t="s">
        <v>364</v>
      </c>
      <c r="KT27" s="422" t="s">
        <v>364</v>
      </c>
      <c r="KU27" s="422" t="s">
        <v>364</v>
      </c>
      <c r="KV27" s="422" t="s">
        <v>364</v>
      </c>
      <c r="KW27" s="422" t="s">
        <v>364</v>
      </c>
      <c r="KX27" s="422" t="s">
        <v>364</v>
      </c>
      <c r="KY27" s="422" t="s">
        <v>364</v>
      </c>
      <c r="KZ27" s="422" t="s">
        <v>364</v>
      </c>
      <c r="LA27" s="422" t="s">
        <v>364</v>
      </c>
      <c r="LB27" s="422" t="s">
        <v>364</v>
      </c>
      <c r="LC27" s="422" t="s">
        <v>364</v>
      </c>
      <c r="LD27" s="422" t="s">
        <v>364</v>
      </c>
      <c r="LE27" s="422" t="s">
        <v>364</v>
      </c>
      <c r="LF27" s="422" t="s">
        <v>364</v>
      </c>
      <c r="LG27" s="422" t="s">
        <v>364</v>
      </c>
      <c r="LH27" s="422" t="s">
        <v>364</v>
      </c>
      <c r="LI27" s="422" t="s">
        <v>364</v>
      </c>
      <c r="LJ27" s="422" t="s">
        <v>364</v>
      </c>
      <c r="LK27" s="422" t="s">
        <v>364</v>
      </c>
      <c r="LL27" s="422" t="s">
        <v>364</v>
      </c>
      <c r="LM27" s="424" t="s">
        <v>364</v>
      </c>
      <c r="LN27" s="424">
        <v>0</v>
      </c>
      <c r="LO27" s="424" t="s">
        <v>364</v>
      </c>
      <c r="LP27" s="424" t="s">
        <v>364</v>
      </c>
      <c r="LQ27" s="424" t="s">
        <v>364</v>
      </c>
      <c r="LR27" s="424" t="s">
        <v>364</v>
      </c>
      <c r="LS27" s="424" t="s">
        <v>364</v>
      </c>
      <c r="LT27" s="424" t="s">
        <v>364</v>
      </c>
      <c r="LU27" s="424" t="s">
        <v>364</v>
      </c>
      <c r="LV27" s="424" t="s">
        <v>364</v>
      </c>
      <c r="LW27" s="424" t="s">
        <v>364</v>
      </c>
      <c r="LX27" s="424">
        <f t="shared" si="12"/>
        <v>0</v>
      </c>
      <c r="LY27" s="424" t="s">
        <v>364</v>
      </c>
      <c r="LZ27" s="424" t="s">
        <v>364</v>
      </c>
      <c r="MA27" s="424" t="s">
        <v>364</v>
      </c>
      <c r="MB27" s="424" t="s">
        <v>364</v>
      </c>
      <c r="MC27" s="424" t="s">
        <v>364</v>
      </c>
      <c r="MD27" s="424" t="s">
        <v>364</v>
      </c>
      <c r="ME27" s="424">
        <f t="shared" si="1"/>
        <v>0</v>
      </c>
      <c r="MF27" s="424" t="s">
        <v>364</v>
      </c>
      <c r="MG27" s="424" t="s">
        <v>364</v>
      </c>
      <c r="MH27" s="424" t="s">
        <v>364</v>
      </c>
      <c r="MI27" s="424" t="s">
        <v>364</v>
      </c>
      <c r="MJ27" s="424" t="s">
        <v>364</v>
      </c>
      <c r="MK27" s="424" t="s">
        <v>364</v>
      </c>
      <c r="ML27" s="424" t="s">
        <v>364</v>
      </c>
      <c r="MM27" s="424" t="s">
        <v>364</v>
      </c>
      <c r="MN27" s="424" t="s">
        <v>364</v>
      </c>
      <c r="MO27" s="424" t="s">
        <v>364</v>
      </c>
      <c r="MP27" s="424" t="s">
        <v>364</v>
      </c>
      <c r="MQ27" s="424" t="s">
        <v>364</v>
      </c>
      <c r="MR27" s="424" t="s">
        <v>364</v>
      </c>
      <c r="MS27" s="424" t="s">
        <v>364</v>
      </c>
      <c r="MT27" s="424" t="s">
        <v>364</v>
      </c>
      <c r="MU27" s="424" t="s">
        <v>364</v>
      </c>
      <c r="MV27" s="424" t="s">
        <v>364</v>
      </c>
      <c r="MW27" s="424" t="s">
        <v>364</v>
      </c>
      <c r="MX27" s="424">
        <f t="shared" si="13"/>
        <v>0</v>
      </c>
      <c r="MY27" s="424" t="s">
        <v>364</v>
      </c>
      <c r="MZ27" s="424" t="s">
        <v>364</v>
      </c>
      <c r="NA27" s="424" t="s">
        <v>364</v>
      </c>
      <c r="NB27" s="424" t="s">
        <v>364</v>
      </c>
      <c r="NC27" s="424" t="s">
        <v>364</v>
      </c>
      <c r="ND27" s="424" t="s">
        <v>364</v>
      </c>
      <c r="NE27" s="424" t="s">
        <v>364</v>
      </c>
      <c r="NF27" s="424" t="s">
        <v>364</v>
      </c>
      <c r="NG27" s="424" t="s">
        <v>364</v>
      </c>
      <c r="NH27" s="424" t="s">
        <v>364</v>
      </c>
      <c r="NI27" s="424" t="s">
        <v>364</v>
      </c>
      <c r="NJ27" s="424" t="s">
        <v>364</v>
      </c>
      <c r="NK27" s="424">
        <f t="shared" si="2"/>
        <v>0</v>
      </c>
      <c r="NL27" s="424">
        <f t="shared" si="14"/>
        <v>0</v>
      </c>
      <c r="NM27" s="424" t="s">
        <v>364</v>
      </c>
      <c r="NN27" s="424" t="s">
        <v>364</v>
      </c>
      <c r="NO27" s="424" t="s">
        <v>364</v>
      </c>
      <c r="NP27" s="424" t="s">
        <v>364</v>
      </c>
      <c r="NQ27" s="424" t="s">
        <v>364</v>
      </c>
      <c r="NR27" s="424" t="s">
        <v>364</v>
      </c>
      <c r="NS27" s="424" t="s">
        <v>364</v>
      </c>
      <c r="NT27" s="424" t="s">
        <v>364</v>
      </c>
      <c r="NU27" s="424" t="s">
        <v>364</v>
      </c>
      <c r="NV27" s="424" t="s">
        <v>364</v>
      </c>
      <c r="NW27" s="424" t="s">
        <v>364</v>
      </c>
      <c r="NX27" s="424" t="s">
        <v>364</v>
      </c>
      <c r="NY27" s="424" t="s">
        <v>364</v>
      </c>
      <c r="NZ27" s="424">
        <f t="shared" si="15"/>
        <v>0</v>
      </c>
      <c r="OA27" s="424" t="s">
        <v>364</v>
      </c>
      <c r="OB27" s="424" t="s">
        <v>364</v>
      </c>
      <c r="OC27" s="424" t="s">
        <v>364</v>
      </c>
      <c r="OD27" s="424" t="s">
        <v>364</v>
      </c>
      <c r="OE27" s="424" t="s">
        <v>364</v>
      </c>
      <c r="OF27" s="424" t="s">
        <v>364</v>
      </c>
      <c r="OG27" s="424" t="s">
        <v>364</v>
      </c>
      <c r="OH27" s="424">
        <f t="shared" si="16"/>
        <v>0</v>
      </c>
      <c r="OI27" s="424">
        <f t="shared" si="17"/>
        <v>0</v>
      </c>
      <c r="OJ27" s="422" t="s">
        <v>364</v>
      </c>
      <c r="OK27" s="422" t="s">
        <v>364</v>
      </c>
      <c r="OL27" s="422" t="s">
        <v>364</v>
      </c>
      <c r="OM27" s="422" t="s">
        <v>364</v>
      </c>
      <c r="ON27" s="422" t="s">
        <v>364</v>
      </c>
      <c r="OO27" s="422" t="s">
        <v>364</v>
      </c>
      <c r="OP27" s="422" t="s">
        <v>364</v>
      </c>
      <c r="OQ27" s="422" t="s">
        <v>364</v>
      </c>
      <c r="OR27" s="422" t="s">
        <v>364</v>
      </c>
      <c r="OS27" s="422" t="s">
        <v>364</v>
      </c>
      <c r="OT27" s="422" t="s">
        <v>364</v>
      </c>
      <c r="OU27" s="422" t="s">
        <v>364</v>
      </c>
      <c r="OV27" s="422" t="s">
        <v>364</v>
      </c>
      <c r="OW27" s="422" t="s">
        <v>364</v>
      </c>
      <c r="OX27" s="422" t="s">
        <v>364</v>
      </c>
      <c r="OY27" s="422" t="s">
        <v>364</v>
      </c>
      <c r="OZ27" s="422" t="s">
        <v>364</v>
      </c>
      <c r="PA27" s="422" t="s">
        <v>364</v>
      </c>
      <c r="PB27" s="424">
        <f t="shared" si="18"/>
        <v>0</v>
      </c>
      <c r="PC27" s="422" t="s">
        <v>364</v>
      </c>
      <c r="PD27" s="422" t="s">
        <v>364</v>
      </c>
      <c r="PE27" s="422" t="s">
        <v>364</v>
      </c>
      <c r="PF27" s="422" t="s">
        <v>364</v>
      </c>
      <c r="PG27" s="422" t="s">
        <v>364</v>
      </c>
      <c r="PH27" s="422" t="s">
        <v>364</v>
      </c>
      <c r="PI27" s="422" t="s">
        <v>364</v>
      </c>
      <c r="PJ27" s="422" t="s">
        <v>364</v>
      </c>
    </row>
    <row r="28" spans="2:426" ht="15.6">
      <c r="B28" s="426" t="s">
        <v>1432</v>
      </c>
      <c r="C28" s="422">
        <f t="shared" si="3"/>
        <v>200</v>
      </c>
      <c r="D28" s="422">
        <v>100</v>
      </c>
      <c r="E28" s="422" t="s">
        <v>364</v>
      </c>
      <c r="F28" s="422" t="s">
        <v>364</v>
      </c>
      <c r="G28" s="422">
        <v>100</v>
      </c>
      <c r="H28" s="422" t="s">
        <v>364</v>
      </c>
      <c r="I28" s="422" t="s">
        <v>364</v>
      </c>
      <c r="J28" s="422" t="s">
        <v>364</v>
      </c>
      <c r="K28" s="422" t="s">
        <v>364</v>
      </c>
      <c r="L28" s="422" t="s">
        <v>364</v>
      </c>
      <c r="M28" s="422" t="s">
        <v>364</v>
      </c>
      <c r="N28" s="422" t="s">
        <v>364</v>
      </c>
      <c r="O28" s="422" t="s">
        <v>364</v>
      </c>
      <c r="P28" s="422" t="s">
        <v>364</v>
      </c>
      <c r="Q28" s="422" t="s">
        <v>364</v>
      </c>
      <c r="R28" s="422" t="s">
        <v>364</v>
      </c>
      <c r="S28" s="422" t="s">
        <v>364</v>
      </c>
      <c r="T28" s="422" t="s">
        <v>364</v>
      </c>
      <c r="U28" s="422" t="s">
        <v>364</v>
      </c>
      <c r="V28" s="422" t="s">
        <v>364</v>
      </c>
      <c r="W28" s="422" t="s">
        <v>364</v>
      </c>
      <c r="X28" s="422" t="s">
        <v>364</v>
      </c>
      <c r="Y28" s="422" t="s">
        <v>364</v>
      </c>
      <c r="Z28" s="422" t="s">
        <v>364</v>
      </c>
      <c r="AA28" s="422" t="s">
        <v>364</v>
      </c>
      <c r="AB28" s="422" t="s">
        <v>364</v>
      </c>
      <c r="AC28" s="422" t="s">
        <v>364</v>
      </c>
      <c r="AD28" s="422" t="s">
        <v>364</v>
      </c>
      <c r="AE28" s="422" t="s">
        <v>364</v>
      </c>
      <c r="AF28" s="422" t="s">
        <v>364</v>
      </c>
      <c r="AG28" s="422" t="s">
        <v>364</v>
      </c>
      <c r="AH28" s="422" t="s">
        <v>364</v>
      </c>
      <c r="AI28" s="422" t="s">
        <v>364</v>
      </c>
      <c r="AJ28" s="422" t="s">
        <v>364</v>
      </c>
      <c r="AK28" s="422" t="s">
        <v>364</v>
      </c>
      <c r="AL28" s="422" t="s">
        <v>364</v>
      </c>
      <c r="AM28" s="422" t="s">
        <v>364</v>
      </c>
      <c r="AN28" s="422" t="s">
        <v>364</v>
      </c>
      <c r="AO28" s="422" t="s">
        <v>364</v>
      </c>
      <c r="AP28" s="422" t="s">
        <v>364</v>
      </c>
      <c r="AQ28" s="422">
        <f t="shared" si="0"/>
        <v>613</v>
      </c>
      <c r="AR28" s="422" t="s">
        <v>364</v>
      </c>
      <c r="AS28" s="422" t="s">
        <v>364</v>
      </c>
      <c r="AT28" s="422" t="s">
        <v>364</v>
      </c>
      <c r="AU28" s="422" t="s">
        <v>364</v>
      </c>
      <c r="AV28" s="422" t="s">
        <v>364</v>
      </c>
      <c r="AW28" s="422" t="s">
        <v>364</v>
      </c>
      <c r="AX28" s="422" t="s">
        <v>364</v>
      </c>
      <c r="AY28" s="422" t="s">
        <v>364</v>
      </c>
      <c r="AZ28" s="422" t="s">
        <v>364</v>
      </c>
      <c r="BA28" s="422" t="s">
        <v>364</v>
      </c>
      <c r="BB28" s="422" t="s">
        <v>364</v>
      </c>
      <c r="BC28" s="422" t="s">
        <v>364</v>
      </c>
      <c r="BD28" s="422" t="s">
        <v>364</v>
      </c>
      <c r="BE28" s="422" t="s">
        <v>364</v>
      </c>
      <c r="BF28" s="422" t="s">
        <v>364</v>
      </c>
      <c r="BG28" s="422" t="s">
        <v>364</v>
      </c>
      <c r="BH28" s="422" t="s">
        <v>364</v>
      </c>
      <c r="BI28" s="422" t="s">
        <v>364</v>
      </c>
      <c r="BJ28" s="422" t="s">
        <v>364</v>
      </c>
      <c r="BK28" s="422" t="s">
        <v>364</v>
      </c>
      <c r="BL28" s="422" t="s">
        <v>364</v>
      </c>
      <c r="BM28" s="422" t="s">
        <v>364</v>
      </c>
      <c r="BN28" s="422" t="s">
        <v>364</v>
      </c>
      <c r="BO28" s="422" t="s">
        <v>364</v>
      </c>
      <c r="BP28" s="422">
        <v>260</v>
      </c>
      <c r="BQ28" s="422" t="s">
        <v>364</v>
      </c>
      <c r="BR28" s="422" t="s">
        <v>364</v>
      </c>
      <c r="BS28" s="422">
        <v>101</v>
      </c>
      <c r="BT28" s="422">
        <v>48</v>
      </c>
      <c r="BU28" s="422">
        <v>62</v>
      </c>
      <c r="BV28" s="422">
        <v>40</v>
      </c>
      <c r="BW28" s="422">
        <v>102</v>
      </c>
      <c r="BX28" s="422" t="s">
        <v>364</v>
      </c>
      <c r="BY28" s="422" t="s">
        <v>364</v>
      </c>
      <c r="BZ28" s="422" t="s">
        <v>364</v>
      </c>
      <c r="CA28" s="422" t="s">
        <v>364</v>
      </c>
      <c r="CB28" s="422" t="s">
        <v>364</v>
      </c>
      <c r="CC28" s="422" t="s">
        <v>364</v>
      </c>
      <c r="CD28" s="422" t="s">
        <v>364</v>
      </c>
      <c r="CE28" s="422" t="s">
        <v>364</v>
      </c>
      <c r="CF28" s="422" t="s">
        <v>364</v>
      </c>
      <c r="CG28" s="422" t="s">
        <v>364</v>
      </c>
      <c r="CH28" s="422" t="s">
        <v>364</v>
      </c>
      <c r="CI28" s="422" t="s">
        <v>364</v>
      </c>
      <c r="CJ28" s="422" t="s">
        <v>364</v>
      </c>
      <c r="CK28" s="422" t="s">
        <v>364</v>
      </c>
      <c r="CL28" s="422" t="s">
        <v>364</v>
      </c>
      <c r="CM28" s="422" t="s">
        <v>364</v>
      </c>
      <c r="CN28" s="422" t="s">
        <v>364</v>
      </c>
      <c r="CO28" s="422" t="s">
        <v>364</v>
      </c>
      <c r="CP28" s="422" t="s">
        <v>364</v>
      </c>
      <c r="CQ28" s="422" t="s">
        <v>364</v>
      </c>
      <c r="CR28" s="422" t="s">
        <v>364</v>
      </c>
      <c r="CS28" s="422" t="s">
        <v>364</v>
      </c>
      <c r="CT28" s="422" t="s">
        <v>364</v>
      </c>
      <c r="CU28" s="422" t="s">
        <v>364</v>
      </c>
      <c r="CV28" s="422" t="s">
        <v>364</v>
      </c>
      <c r="CW28" s="422" t="s">
        <v>364</v>
      </c>
      <c r="CX28" s="422" t="s">
        <v>364</v>
      </c>
      <c r="CY28" s="422" t="s">
        <v>364</v>
      </c>
      <c r="CZ28" s="422" t="s">
        <v>364</v>
      </c>
      <c r="DA28" s="422" t="s">
        <v>364</v>
      </c>
      <c r="DB28" s="422" t="s">
        <v>364</v>
      </c>
      <c r="DC28" s="422" t="s">
        <v>364</v>
      </c>
      <c r="DD28" s="422" t="s">
        <v>364</v>
      </c>
      <c r="DE28" s="422" t="s">
        <v>364</v>
      </c>
      <c r="DF28" s="422" t="s">
        <v>364</v>
      </c>
      <c r="DG28" s="422" t="s">
        <v>364</v>
      </c>
      <c r="DH28" s="422" t="s">
        <v>364</v>
      </c>
      <c r="DI28" s="422" t="s">
        <v>364</v>
      </c>
      <c r="DJ28" s="422" t="s">
        <v>364</v>
      </c>
      <c r="DK28" s="422">
        <f t="shared" si="4"/>
        <v>0</v>
      </c>
      <c r="DL28" s="422" t="s">
        <v>364</v>
      </c>
      <c r="DM28" s="422" t="s">
        <v>364</v>
      </c>
      <c r="DN28" s="422" t="s">
        <v>364</v>
      </c>
      <c r="DO28" s="422" t="s">
        <v>364</v>
      </c>
      <c r="DP28" s="422" t="s">
        <v>364</v>
      </c>
      <c r="DQ28" s="422" t="s">
        <v>364</v>
      </c>
      <c r="DR28" s="422" t="s">
        <v>364</v>
      </c>
      <c r="DS28" s="422" t="s">
        <v>364</v>
      </c>
      <c r="DT28" s="422" t="s">
        <v>364</v>
      </c>
      <c r="DU28" s="422" t="s">
        <v>364</v>
      </c>
      <c r="DV28" s="422" t="s">
        <v>364</v>
      </c>
      <c r="DW28" s="422" t="s">
        <v>364</v>
      </c>
      <c r="DX28" s="422" t="s">
        <v>364</v>
      </c>
      <c r="DY28" s="422">
        <f t="shared" si="5"/>
        <v>0</v>
      </c>
      <c r="DZ28" s="422" t="s">
        <v>364</v>
      </c>
      <c r="EA28" s="422" t="s">
        <v>364</v>
      </c>
      <c r="EB28" s="422" t="s">
        <v>364</v>
      </c>
      <c r="EC28" s="422" t="s">
        <v>364</v>
      </c>
      <c r="ED28" s="422" t="s">
        <v>364</v>
      </c>
      <c r="EE28" s="422" t="s">
        <v>364</v>
      </c>
      <c r="EF28" s="422" t="s">
        <v>364</v>
      </c>
      <c r="EG28" s="422" t="s">
        <v>364</v>
      </c>
      <c r="EH28" s="422" t="s">
        <v>364</v>
      </c>
      <c r="EI28" s="422" t="s">
        <v>364</v>
      </c>
      <c r="EJ28" s="422" t="s">
        <v>364</v>
      </c>
      <c r="EK28" s="422" t="s">
        <v>364</v>
      </c>
      <c r="EL28" s="422" t="s">
        <v>364</v>
      </c>
      <c r="EM28" s="422" t="s">
        <v>364</v>
      </c>
      <c r="EN28" s="422" t="s">
        <v>364</v>
      </c>
      <c r="EO28" s="422" t="s">
        <v>364</v>
      </c>
      <c r="EP28" s="422" t="s">
        <v>364</v>
      </c>
      <c r="EQ28" s="422" t="s">
        <v>364</v>
      </c>
      <c r="ER28" s="422" t="s">
        <v>364</v>
      </c>
      <c r="ES28" s="422" t="s">
        <v>364</v>
      </c>
      <c r="ET28" s="422" t="s">
        <v>364</v>
      </c>
      <c r="EU28" s="422" t="s">
        <v>364</v>
      </c>
      <c r="EV28" s="422" t="s">
        <v>364</v>
      </c>
      <c r="EW28" s="422" t="s">
        <v>364</v>
      </c>
      <c r="EX28" s="422" t="s">
        <v>364</v>
      </c>
      <c r="EY28" s="422" t="s">
        <v>364</v>
      </c>
      <c r="EZ28" s="422" t="s">
        <v>364</v>
      </c>
      <c r="FA28" s="422">
        <f t="shared" si="6"/>
        <v>212</v>
      </c>
      <c r="FB28" s="422" t="s">
        <v>364</v>
      </c>
      <c r="FC28" s="422" t="s">
        <v>364</v>
      </c>
      <c r="FD28" s="422" t="s">
        <v>364</v>
      </c>
      <c r="FE28" s="422" t="s">
        <v>364</v>
      </c>
      <c r="FF28" s="422" t="s">
        <v>364</v>
      </c>
      <c r="FG28" s="422" t="s">
        <v>364</v>
      </c>
      <c r="FH28" s="422">
        <v>110</v>
      </c>
      <c r="FI28" s="422" t="s">
        <v>364</v>
      </c>
      <c r="FJ28" s="422" t="s">
        <v>364</v>
      </c>
      <c r="FK28" s="422" t="s">
        <v>364</v>
      </c>
      <c r="FL28" s="422" t="s">
        <v>364</v>
      </c>
      <c r="FM28" s="422" t="s">
        <v>364</v>
      </c>
      <c r="FN28" s="422">
        <v>102</v>
      </c>
      <c r="FO28" s="422" t="s">
        <v>364</v>
      </c>
      <c r="FP28" s="422" t="s">
        <v>364</v>
      </c>
      <c r="FQ28" s="422" t="s">
        <v>364</v>
      </c>
      <c r="FR28" s="422" t="s">
        <v>364</v>
      </c>
      <c r="FS28" s="422" t="s">
        <v>364</v>
      </c>
      <c r="FT28" s="422" t="s">
        <v>364</v>
      </c>
      <c r="FU28" s="422" t="s">
        <v>364</v>
      </c>
      <c r="FV28" s="422" t="s">
        <v>364</v>
      </c>
      <c r="FW28" s="422" t="s">
        <v>364</v>
      </c>
      <c r="FX28" s="422" t="s">
        <v>364</v>
      </c>
      <c r="FY28" s="422" t="s">
        <v>364</v>
      </c>
      <c r="FZ28" s="422" t="s">
        <v>364</v>
      </c>
      <c r="GA28" s="422" t="s">
        <v>364</v>
      </c>
      <c r="GB28" s="422" t="s">
        <v>364</v>
      </c>
      <c r="GC28" s="422" t="s">
        <v>364</v>
      </c>
      <c r="GD28" s="422" t="s">
        <v>364</v>
      </c>
      <c r="GE28" s="422" t="s">
        <v>364</v>
      </c>
      <c r="GF28" s="422" t="s">
        <v>364</v>
      </c>
      <c r="GG28" s="422" t="s">
        <v>364</v>
      </c>
      <c r="GH28" s="422" t="s">
        <v>364</v>
      </c>
      <c r="GI28" s="422" t="s">
        <v>364</v>
      </c>
      <c r="GJ28" s="422" t="s">
        <v>364</v>
      </c>
      <c r="GK28" s="422" t="s">
        <v>364</v>
      </c>
      <c r="GL28" s="422" t="s">
        <v>364</v>
      </c>
      <c r="GM28" s="422" t="s">
        <v>364</v>
      </c>
      <c r="GN28" s="422" t="s">
        <v>364</v>
      </c>
      <c r="GO28" s="422" t="s">
        <v>364</v>
      </c>
      <c r="GP28" s="422" t="s">
        <v>364</v>
      </c>
      <c r="GQ28" s="422" t="s">
        <v>364</v>
      </c>
      <c r="GR28" s="422" t="s">
        <v>364</v>
      </c>
      <c r="GS28" s="422" t="s">
        <v>364</v>
      </c>
      <c r="GT28" s="422" t="s">
        <v>364</v>
      </c>
      <c r="GU28" s="422" t="s">
        <v>364</v>
      </c>
      <c r="GV28" s="422">
        <f t="shared" si="7"/>
        <v>67</v>
      </c>
      <c r="GW28" s="422" t="s">
        <v>364</v>
      </c>
      <c r="GX28" s="422" t="s">
        <v>364</v>
      </c>
      <c r="GY28" s="422" t="s">
        <v>364</v>
      </c>
      <c r="GZ28" s="422" t="s">
        <v>364</v>
      </c>
      <c r="HA28" s="422" t="s">
        <v>364</v>
      </c>
      <c r="HB28" s="422" t="s">
        <v>364</v>
      </c>
      <c r="HC28" s="422" t="s">
        <v>364</v>
      </c>
      <c r="HD28" s="422" t="s">
        <v>364</v>
      </c>
      <c r="HE28" s="422" t="s">
        <v>364</v>
      </c>
      <c r="HF28" s="422">
        <v>54</v>
      </c>
      <c r="HG28" s="422" t="s">
        <v>364</v>
      </c>
      <c r="HH28" s="422" t="s">
        <v>364</v>
      </c>
      <c r="HI28" s="422">
        <v>13</v>
      </c>
      <c r="HJ28" s="422" t="s">
        <v>364</v>
      </c>
      <c r="HK28" s="422" t="s">
        <v>364</v>
      </c>
      <c r="HL28" s="422" t="s">
        <v>364</v>
      </c>
      <c r="HM28" s="422" t="s">
        <v>364</v>
      </c>
      <c r="HN28" s="422" t="s">
        <v>364</v>
      </c>
      <c r="HO28" s="422" t="s">
        <v>364</v>
      </c>
      <c r="HP28" s="422" t="s">
        <v>364</v>
      </c>
      <c r="HQ28" s="422" t="s">
        <v>364</v>
      </c>
      <c r="HR28" s="422" t="s">
        <v>364</v>
      </c>
      <c r="HS28" s="422" t="s">
        <v>364</v>
      </c>
      <c r="HT28" s="422" t="s">
        <v>364</v>
      </c>
      <c r="HU28" s="422" t="s">
        <v>364</v>
      </c>
      <c r="HV28" s="422" t="s">
        <v>364</v>
      </c>
      <c r="HW28" s="422" t="s">
        <v>364</v>
      </c>
      <c r="HX28" s="422" t="s">
        <v>364</v>
      </c>
      <c r="HY28" s="422">
        <f t="shared" si="8"/>
        <v>0</v>
      </c>
      <c r="HZ28" s="422" t="s">
        <v>364</v>
      </c>
      <c r="IA28" s="422" t="s">
        <v>364</v>
      </c>
      <c r="IB28" s="422" t="s">
        <v>364</v>
      </c>
      <c r="IC28" s="422" t="s">
        <v>364</v>
      </c>
      <c r="ID28" s="422" t="s">
        <v>364</v>
      </c>
      <c r="IE28" s="422" t="s">
        <v>364</v>
      </c>
      <c r="IF28" s="422">
        <f t="shared" si="9"/>
        <v>56</v>
      </c>
      <c r="IG28" s="422">
        <v>22</v>
      </c>
      <c r="IH28" s="422" t="s">
        <v>364</v>
      </c>
      <c r="II28" s="422">
        <v>34</v>
      </c>
      <c r="IJ28" s="422" t="s">
        <v>364</v>
      </c>
      <c r="IK28" s="422" t="s">
        <v>364</v>
      </c>
      <c r="IL28" s="422" t="s">
        <v>364</v>
      </c>
      <c r="IM28" s="422" t="s">
        <v>364</v>
      </c>
      <c r="IN28" s="422" t="s">
        <v>364</v>
      </c>
      <c r="IO28" s="422" t="s">
        <v>364</v>
      </c>
      <c r="IP28" s="422" t="s">
        <v>364</v>
      </c>
      <c r="IQ28" s="422" t="s">
        <v>364</v>
      </c>
      <c r="IR28" s="422" t="s">
        <v>364</v>
      </c>
      <c r="IS28" s="422" t="s">
        <v>364</v>
      </c>
      <c r="IT28" s="422" t="s">
        <v>364</v>
      </c>
      <c r="IU28" s="422" t="s">
        <v>364</v>
      </c>
      <c r="IV28" s="422" t="s">
        <v>364</v>
      </c>
      <c r="IW28" s="422" t="s">
        <v>364</v>
      </c>
      <c r="IX28" s="422" t="s">
        <v>364</v>
      </c>
      <c r="IY28" s="422" t="s">
        <v>364</v>
      </c>
      <c r="IZ28" s="422">
        <f t="shared" si="10"/>
        <v>0</v>
      </c>
      <c r="JA28" s="422" t="s">
        <v>364</v>
      </c>
      <c r="JB28" s="422" t="s">
        <v>364</v>
      </c>
      <c r="JC28" s="422" t="s">
        <v>364</v>
      </c>
      <c r="JD28" s="422" t="s">
        <v>364</v>
      </c>
      <c r="JE28" s="422" t="s">
        <v>364</v>
      </c>
      <c r="JF28" s="422" t="s">
        <v>364</v>
      </c>
      <c r="JG28" s="422" t="s">
        <v>364</v>
      </c>
      <c r="JH28" s="422" t="s">
        <v>364</v>
      </c>
      <c r="JI28" s="422" t="s">
        <v>364</v>
      </c>
      <c r="JJ28" s="422" t="s">
        <v>364</v>
      </c>
      <c r="JK28" s="422" t="s">
        <v>364</v>
      </c>
      <c r="JL28" s="422" t="s">
        <v>364</v>
      </c>
      <c r="JM28" s="422" t="s">
        <v>364</v>
      </c>
      <c r="JN28" s="422" t="s">
        <v>364</v>
      </c>
      <c r="JO28" s="422" t="s">
        <v>364</v>
      </c>
      <c r="JP28" s="422" t="s">
        <v>364</v>
      </c>
      <c r="JQ28" s="422" t="s">
        <v>364</v>
      </c>
      <c r="JR28" s="422" t="s">
        <v>364</v>
      </c>
      <c r="JS28" s="422" t="s">
        <v>364</v>
      </c>
      <c r="JT28" s="422" t="s">
        <v>364</v>
      </c>
      <c r="JU28" s="422" t="s">
        <v>364</v>
      </c>
      <c r="JV28" s="422" t="s">
        <v>364</v>
      </c>
      <c r="JW28" s="422">
        <f t="shared" si="11"/>
        <v>62</v>
      </c>
      <c r="JX28" s="422" t="s">
        <v>364</v>
      </c>
      <c r="JY28" s="422" t="s">
        <v>364</v>
      </c>
      <c r="JZ28" s="422" t="s">
        <v>364</v>
      </c>
      <c r="KA28" s="422" t="s">
        <v>364</v>
      </c>
      <c r="KB28" s="422" t="s">
        <v>364</v>
      </c>
      <c r="KC28" s="422" t="s">
        <v>364</v>
      </c>
      <c r="KD28" s="422" t="s">
        <v>364</v>
      </c>
      <c r="KE28" s="422" t="s">
        <v>364</v>
      </c>
      <c r="KF28" s="422" t="s">
        <v>364</v>
      </c>
      <c r="KG28" s="422" t="s">
        <v>364</v>
      </c>
      <c r="KH28" s="422" t="s">
        <v>364</v>
      </c>
      <c r="KI28" s="422" t="s">
        <v>364</v>
      </c>
      <c r="KJ28" s="422" t="s">
        <v>364</v>
      </c>
      <c r="KK28" s="422" t="s">
        <v>364</v>
      </c>
      <c r="KL28" s="422" t="s">
        <v>364</v>
      </c>
      <c r="KM28" s="422" t="s">
        <v>364</v>
      </c>
      <c r="KN28" s="422" t="s">
        <v>364</v>
      </c>
      <c r="KO28" s="422" t="s">
        <v>364</v>
      </c>
      <c r="KP28" s="422">
        <v>55</v>
      </c>
      <c r="KQ28" s="422">
        <v>7</v>
      </c>
      <c r="KR28" s="422" t="s">
        <v>364</v>
      </c>
      <c r="KS28" s="422" t="s">
        <v>364</v>
      </c>
      <c r="KT28" s="422" t="s">
        <v>364</v>
      </c>
      <c r="KU28" s="422" t="s">
        <v>364</v>
      </c>
      <c r="KV28" s="422" t="s">
        <v>364</v>
      </c>
      <c r="KW28" s="422" t="s">
        <v>364</v>
      </c>
      <c r="KX28" s="422" t="s">
        <v>364</v>
      </c>
      <c r="KY28" s="422" t="s">
        <v>364</v>
      </c>
      <c r="KZ28" s="422" t="s">
        <v>364</v>
      </c>
      <c r="LA28" s="422" t="s">
        <v>364</v>
      </c>
      <c r="LB28" s="422" t="s">
        <v>364</v>
      </c>
      <c r="LC28" s="422" t="s">
        <v>364</v>
      </c>
      <c r="LD28" s="422" t="s">
        <v>364</v>
      </c>
      <c r="LE28" s="422" t="s">
        <v>364</v>
      </c>
      <c r="LF28" s="422" t="s">
        <v>364</v>
      </c>
      <c r="LG28" s="422" t="s">
        <v>364</v>
      </c>
      <c r="LH28" s="422" t="s">
        <v>364</v>
      </c>
      <c r="LI28" s="422" t="s">
        <v>364</v>
      </c>
      <c r="LJ28" s="422" t="s">
        <v>364</v>
      </c>
      <c r="LK28" s="422" t="s">
        <v>364</v>
      </c>
      <c r="LL28" s="422" t="s">
        <v>364</v>
      </c>
      <c r="LM28" s="424" t="s">
        <v>364</v>
      </c>
      <c r="LN28" s="424">
        <v>0</v>
      </c>
      <c r="LO28" s="424" t="s">
        <v>364</v>
      </c>
      <c r="LP28" s="424" t="s">
        <v>364</v>
      </c>
      <c r="LQ28" s="424" t="s">
        <v>364</v>
      </c>
      <c r="LR28" s="424" t="s">
        <v>364</v>
      </c>
      <c r="LS28" s="424" t="s">
        <v>364</v>
      </c>
      <c r="LT28" s="424" t="s">
        <v>364</v>
      </c>
      <c r="LU28" s="424" t="s">
        <v>364</v>
      </c>
      <c r="LV28" s="424" t="s">
        <v>364</v>
      </c>
      <c r="LW28" s="424" t="s">
        <v>364</v>
      </c>
      <c r="LX28" s="424">
        <f t="shared" si="12"/>
        <v>0</v>
      </c>
      <c r="LY28" s="424" t="s">
        <v>364</v>
      </c>
      <c r="LZ28" s="424" t="s">
        <v>364</v>
      </c>
      <c r="MA28" s="424" t="s">
        <v>364</v>
      </c>
      <c r="MB28" s="424" t="s">
        <v>364</v>
      </c>
      <c r="MC28" s="424" t="s">
        <v>364</v>
      </c>
      <c r="MD28" s="424" t="s">
        <v>364</v>
      </c>
      <c r="ME28" s="424">
        <f t="shared" si="1"/>
        <v>44</v>
      </c>
      <c r="MF28" s="424" t="s">
        <v>364</v>
      </c>
      <c r="MG28" s="424" t="s">
        <v>364</v>
      </c>
      <c r="MH28" s="424" t="s">
        <v>364</v>
      </c>
      <c r="MI28" s="424" t="s">
        <v>364</v>
      </c>
      <c r="MJ28" s="424">
        <v>20</v>
      </c>
      <c r="MK28" s="424" t="s">
        <v>364</v>
      </c>
      <c r="ML28" s="424">
        <v>24</v>
      </c>
      <c r="MM28" s="424" t="s">
        <v>364</v>
      </c>
      <c r="MN28" s="424" t="s">
        <v>364</v>
      </c>
      <c r="MO28" s="424" t="s">
        <v>364</v>
      </c>
      <c r="MP28" s="424" t="s">
        <v>364</v>
      </c>
      <c r="MQ28" s="424" t="s">
        <v>364</v>
      </c>
      <c r="MR28" s="424" t="s">
        <v>364</v>
      </c>
      <c r="MS28" s="424" t="s">
        <v>364</v>
      </c>
      <c r="MT28" s="424" t="s">
        <v>364</v>
      </c>
      <c r="MU28" s="424" t="s">
        <v>364</v>
      </c>
      <c r="MV28" s="424" t="s">
        <v>364</v>
      </c>
      <c r="MW28" s="424" t="s">
        <v>364</v>
      </c>
      <c r="MX28" s="424">
        <f t="shared" si="13"/>
        <v>0</v>
      </c>
      <c r="MY28" s="424" t="s">
        <v>364</v>
      </c>
      <c r="MZ28" s="424" t="s">
        <v>364</v>
      </c>
      <c r="NA28" s="424" t="s">
        <v>364</v>
      </c>
      <c r="NB28" s="424" t="s">
        <v>364</v>
      </c>
      <c r="NC28" s="424" t="s">
        <v>364</v>
      </c>
      <c r="ND28" s="424" t="s">
        <v>364</v>
      </c>
      <c r="NE28" s="424" t="s">
        <v>364</v>
      </c>
      <c r="NF28" s="424" t="s">
        <v>6598</v>
      </c>
      <c r="NG28" s="424" t="s">
        <v>6598</v>
      </c>
      <c r="NH28" s="424" t="s">
        <v>364</v>
      </c>
      <c r="NI28" s="424" t="s">
        <v>364</v>
      </c>
      <c r="NJ28" s="424" t="s">
        <v>364</v>
      </c>
      <c r="NK28" s="424">
        <f t="shared" si="2"/>
        <v>16</v>
      </c>
      <c r="NL28" s="424">
        <f t="shared" si="14"/>
        <v>0</v>
      </c>
      <c r="NM28" s="424" t="s">
        <v>364</v>
      </c>
      <c r="NN28" s="424" t="s">
        <v>364</v>
      </c>
      <c r="NO28" s="424" t="s">
        <v>364</v>
      </c>
      <c r="NP28" s="424" t="s">
        <v>364</v>
      </c>
      <c r="NQ28" s="424" t="s">
        <v>364</v>
      </c>
      <c r="NR28" s="424" t="s">
        <v>364</v>
      </c>
      <c r="NS28" s="424" t="s">
        <v>364</v>
      </c>
      <c r="NT28" s="424" t="s">
        <v>364</v>
      </c>
      <c r="NU28" s="424" t="s">
        <v>364</v>
      </c>
      <c r="NV28" s="424" t="s">
        <v>364</v>
      </c>
      <c r="NW28" s="424" t="s">
        <v>364</v>
      </c>
      <c r="NX28" s="424" t="s">
        <v>364</v>
      </c>
      <c r="NY28" s="424" t="s">
        <v>364</v>
      </c>
      <c r="NZ28" s="424">
        <f t="shared" si="15"/>
        <v>16</v>
      </c>
      <c r="OA28" s="424">
        <v>16</v>
      </c>
      <c r="OB28" s="424" t="s">
        <v>364</v>
      </c>
      <c r="OC28" s="424" t="s">
        <v>364</v>
      </c>
      <c r="OD28" s="424" t="s">
        <v>364</v>
      </c>
      <c r="OE28" s="424" t="s">
        <v>364</v>
      </c>
      <c r="OF28" s="424" t="s">
        <v>364</v>
      </c>
      <c r="OG28" s="424" t="s">
        <v>364</v>
      </c>
      <c r="OH28" s="424">
        <f t="shared" si="16"/>
        <v>407</v>
      </c>
      <c r="OI28" s="424">
        <f t="shared" si="17"/>
        <v>400</v>
      </c>
      <c r="OJ28" s="422">
        <v>200</v>
      </c>
      <c r="OK28" s="422" t="s">
        <v>364</v>
      </c>
      <c r="OL28" s="422" t="s">
        <v>364</v>
      </c>
      <c r="OM28" s="422" t="s">
        <v>364</v>
      </c>
      <c r="ON28" s="422" t="s">
        <v>364</v>
      </c>
      <c r="OO28" s="422">
        <v>200</v>
      </c>
      <c r="OP28" s="422" t="s">
        <v>364</v>
      </c>
      <c r="OQ28" s="422" t="s">
        <v>364</v>
      </c>
      <c r="OR28" s="422" t="s">
        <v>364</v>
      </c>
      <c r="OS28" s="422" t="s">
        <v>364</v>
      </c>
      <c r="OT28" s="422" t="s">
        <v>364</v>
      </c>
      <c r="OU28" s="422" t="s">
        <v>364</v>
      </c>
      <c r="OV28" s="422" t="s">
        <v>364</v>
      </c>
      <c r="OW28" s="422" t="s">
        <v>364</v>
      </c>
      <c r="OX28" s="422" t="s">
        <v>364</v>
      </c>
      <c r="OY28" s="422" t="s">
        <v>364</v>
      </c>
      <c r="OZ28" s="422" t="s">
        <v>364</v>
      </c>
      <c r="PA28" s="422" t="s">
        <v>364</v>
      </c>
      <c r="PB28" s="424">
        <f t="shared" si="18"/>
        <v>7</v>
      </c>
      <c r="PC28" s="422">
        <v>7</v>
      </c>
      <c r="PD28" s="422" t="s">
        <v>364</v>
      </c>
      <c r="PE28" s="422" t="s">
        <v>364</v>
      </c>
      <c r="PF28" s="422" t="s">
        <v>364</v>
      </c>
      <c r="PG28" s="422" t="s">
        <v>364</v>
      </c>
      <c r="PH28" s="422" t="s">
        <v>364</v>
      </c>
      <c r="PI28" s="422" t="s">
        <v>364</v>
      </c>
      <c r="PJ28" s="422" t="s">
        <v>364</v>
      </c>
    </row>
    <row r="29" spans="2:426" ht="15.6">
      <c r="B29" s="426" t="s">
        <v>3214</v>
      </c>
      <c r="C29" s="422">
        <f t="shared" si="3"/>
        <v>377</v>
      </c>
      <c r="D29" s="422" t="s">
        <v>364</v>
      </c>
      <c r="E29" s="422" t="s">
        <v>364</v>
      </c>
      <c r="F29" s="422" t="s">
        <v>364</v>
      </c>
      <c r="G29" s="422" t="s">
        <v>364</v>
      </c>
      <c r="H29" s="422" t="s">
        <v>364</v>
      </c>
      <c r="I29" s="422" t="s">
        <v>364</v>
      </c>
      <c r="J29" s="422" t="s">
        <v>364</v>
      </c>
      <c r="K29" s="422" t="s">
        <v>364</v>
      </c>
      <c r="L29" s="422" t="s">
        <v>364</v>
      </c>
      <c r="M29" s="422" t="s">
        <v>364</v>
      </c>
      <c r="N29" s="422" t="s">
        <v>364</v>
      </c>
      <c r="O29" s="422" t="s">
        <v>364</v>
      </c>
      <c r="P29" s="422" t="s">
        <v>364</v>
      </c>
      <c r="Q29" s="422" t="s">
        <v>364</v>
      </c>
      <c r="R29" s="422" t="s">
        <v>364</v>
      </c>
      <c r="S29" s="422" t="s">
        <v>364</v>
      </c>
      <c r="T29" s="422" t="s">
        <v>364</v>
      </c>
      <c r="U29" s="422" t="s">
        <v>364</v>
      </c>
      <c r="V29" s="422">
        <v>220</v>
      </c>
      <c r="W29" s="422" t="s">
        <v>364</v>
      </c>
      <c r="X29" s="422" t="s">
        <v>364</v>
      </c>
      <c r="Y29" s="422" t="s">
        <v>364</v>
      </c>
      <c r="Z29" s="422" t="s">
        <v>364</v>
      </c>
      <c r="AA29" s="422" t="s">
        <v>364</v>
      </c>
      <c r="AB29" s="422">
        <v>103</v>
      </c>
      <c r="AC29" s="422">
        <v>54</v>
      </c>
      <c r="AD29" s="422" t="s">
        <v>364</v>
      </c>
      <c r="AE29" s="422" t="s">
        <v>364</v>
      </c>
      <c r="AF29" s="422" t="s">
        <v>364</v>
      </c>
      <c r="AG29" s="422" t="s">
        <v>364</v>
      </c>
      <c r="AH29" s="422" t="s">
        <v>364</v>
      </c>
      <c r="AI29" s="422" t="s">
        <v>364</v>
      </c>
      <c r="AJ29" s="422" t="s">
        <v>364</v>
      </c>
      <c r="AK29" s="422" t="s">
        <v>364</v>
      </c>
      <c r="AL29" s="422" t="s">
        <v>364</v>
      </c>
      <c r="AM29" s="422" t="s">
        <v>364</v>
      </c>
      <c r="AN29" s="422" t="s">
        <v>364</v>
      </c>
      <c r="AO29" s="422" t="s">
        <v>364</v>
      </c>
      <c r="AP29" s="422" t="s">
        <v>364</v>
      </c>
      <c r="AQ29" s="422">
        <f t="shared" si="0"/>
        <v>689</v>
      </c>
      <c r="AR29" s="422" t="s">
        <v>364</v>
      </c>
      <c r="AS29" s="422" t="s">
        <v>364</v>
      </c>
      <c r="AT29" s="422" t="s">
        <v>364</v>
      </c>
      <c r="AU29" s="422" t="s">
        <v>364</v>
      </c>
      <c r="AV29" s="422" t="s">
        <v>364</v>
      </c>
      <c r="AW29" s="422" t="s">
        <v>364</v>
      </c>
      <c r="AX29" s="422" t="s">
        <v>364</v>
      </c>
      <c r="AY29" s="422" t="s">
        <v>364</v>
      </c>
      <c r="AZ29" s="422" t="s">
        <v>364</v>
      </c>
      <c r="BA29" s="422" t="s">
        <v>364</v>
      </c>
      <c r="BB29" s="422">
        <v>37</v>
      </c>
      <c r="BC29" s="422" t="s">
        <v>364</v>
      </c>
      <c r="BD29" s="422" t="s">
        <v>364</v>
      </c>
      <c r="BE29" s="422" t="s">
        <v>364</v>
      </c>
      <c r="BF29" s="422" t="s">
        <v>364</v>
      </c>
      <c r="BG29" s="422" t="s">
        <v>364</v>
      </c>
      <c r="BH29" s="422" t="s">
        <v>364</v>
      </c>
      <c r="BI29" s="422" t="s">
        <v>364</v>
      </c>
      <c r="BJ29" s="422" t="s">
        <v>364</v>
      </c>
      <c r="BK29" s="422" t="s">
        <v>364</v>
      </c>
      <c r="BL29" s="422" t="s">
        <v>364</v>
      </c>
      <c r="BM29" s="422" t="s">
        <v>364</v>
      </c>
      <c r="BN29" s="422" t="s">
        <v>364</v>
      </c>
      <c r="BO29" s="422" t="s">
        <v>364</v>
      </c>
      <c r="BP29" s="422" t="s">
        <v>364</v>
      </c>
      <c r="BQ29" s="422" t="s">
        <v>364</v>
      </c>
      <c r="BR29" s="422" t="s">
        <v>364</v>
      </c>
      <c r="BS29" s="422" t="s">
        <v>364</v>
      </c>
      <c r="BT29" s="422" t="s">
        <v>364</v>
      </c>
      <c r="BU29" s="422" t="s">
        <v>364</v>
      </c>
      <c r="BV29" s="422" t="s">
        <v>364</v>
      </c>
      <c r="BW29" s="422" t="s">
        <v>364</v>
      </c>
      <c r="BX29" s="422" t="s">
        <v>364</v>
      </c>
      <c r="BY29" s="422" t="s">
        <v>364</v>
      </c>
      <c r="BZ29" s="422" t="s">
        <v>364</v>
      </c>
      <c r="CA29" s="422" t="s">
        <v>364</v>
      </c>
      <c r="CB29" s="422" t="s">
        <v>364</v>
      </c>
      <c r="CC29" s="422" t="s">
        <v>364</v>
      </c>
      <c r="CD29" s="422" t="s">
        <v>364</v>
      </c>
      <c r="CE29" s="422" t="s">
        <v>364</v>
      </c>
      <c r="CF29" s="422" t="s">
        <v>364</v>
      </c>
      <c r="CG29" s="422" t="s">
        <v>364</v>
      </c>
      <c r="CH29" s="422" t="s">
        <v>364</v>
      </c>
      <c r="CI29" s="422" t="s">
        <v>364</v>
      </c>
      <c r="CJ29" s="422" t="s">
        <v>364</v>
      </c>
      <c r="CK29" s="422">
        <v>76</v>
      </c>
      <c r="CL29" s="422">
        <v>69</v>
      </c>
      <c r="CM29" s="422">
        <v>354</v>
      </c>
      <c r="CN29" s="422">
        <v>153</v>
      </c>
      <c r="CO29" s="422" t="s">
        <v>364</v>
      </c>
      <c r="CP29" s="422" t="s">
        <v>364</v>
      </c>
      <c r="CQ29" s="422" t="s">
        <v>364</v>
      </c>
      <c r="CR29" s="422" t="s">
        <v>364</v>
      </c>
      <c r="CS29" s="422" t="s">
        <v>364</v>
      </c>
      <c r="CT29" s="422" t="s">
        <v>364</v>
      </c>
      <c r="CU29" s="422" t="s">
        <v>364</v>
      </c>
      <c r="CV29" s="422" t="s">
        <v>364</v>
      </c>
      <c r="CW29" s="422" t="s">
        <v>364</v>
      </c>
      <c r="CX29" s="422" t="s">
        <v>364</v>
      </c>
      <c r="CY29" s="422" t="s">
        <v>364</v>
      </c>
      <c r="CZ29" s="422" t="s">
        <v>364</v>
      </c>
      <c r="DA29" s="422" t="s">
        <v>364</v>
      </c>
      <c r="DB29" s="422" t="s">
        <v>364</v>
      </c>
      <c r="DC29" s="422" t="s">
        <v>364</v>
      </c>
      <c r="DD29" s="422" t="s">
        <v>364</v>
      </c>
      <c r="DE29" s="422" t="s">
        <v>364</v>
      </c>
      <c r="DF29" s="422" t="s">
        <v>364</v>
      </c>
      <c r="DG29" s="422" t="s">
        <v>364</v>
      </c>
      <c r="DH29" s="422" t="s">
        <v>364</v>
      </c>
      <c r="DI29" s="422" t="s">
        <v>364</v>
      </c>
      <c r="DJ29" s="422" t="s">
        <v>364</v>
      </c>
      <c r="DK29" s="422">
        <f t="shared" si="4"/>
        <v>60</v>
      </c>
      <c r="DL29" s="422">
        <v>60</v>
      </c>
      <c r="DM29" s="422" t="s">
        <v>364</v>
      </c>
      <c r="DN29" s="422" t="s">
        <v>364</v>
      </c>
      <c r="DO29" s="422" t="s">
        <v>364</v>
      </c>
      <c r="DP29" s="422" t="s">
        <v>364</v>
      </c>
      <c r="DQ29" s="422" t="s">
        <v>364</v>
      </c>
      <c r="DR29" s="422" t="s">
        <v>364</v>
      </c>
      <c r="DS29" s="422" t="s">
        <v>364</v>
      </c>
      <c r="DT29" s="422" t="s">
        <v>364</v>
      </c>
      <c r="DU29" s="422" t="s">
        <v>364</v>
      </c>
      <c r="DV29" s="422" t="s">
        <v>364</v>
      </c>
      <c r="DW29" s="422" t="s">
        <v>364</v>
      </c>
      <c r="DX29" s="422" t="s">
        <v>364</v>
      </c>
      <c r="DY29" s="422">
        <f t="shared" si="5"/>
        <v>480</v>
      </c>
      <c r="DZ29" s="422" t="s">
        <v>364</v>
      </c>
      <c r="EA29" s="422" t="s">
        <v>364</v>
      </c>
      <c r="EB29" s="422" t="s">
        <v>364</v>
      </c>
      <c r="EC29" s="422" t="s">
        <v>364</v>
      </c>
      <c r="ED29" s="422" t="s">
        <v>364</v>
      </c>
      <c r="EE29" s="422" t="s">
        <v>364</v>
      </c>
      <c r="EF29" s="422" t="s">
        <v>364</v>
      </c>
      <c r="EG29" s="422" t="s">
        <v>364</v>
      </c>
      <c r="EH29" s="422" t="s">
        <v>364</v>
      </c>
      <c r="EI29" s="422" t="s">
        <v>364</v>
      </c>
      <c r="EJ29" s="422" t="s">
        <v>364</v>
      </c>
      <c r="EK29" s="422" t="s">
        <v>364</v>
      </c>
      <c r="EL29" s="422" t="s">
        <v>364</v>
      </c>
      <c r="EM29" s="422" t="s">
        <v>364</v>
      </c>
      <c r="EN29" s="422" t="s">
        <v>364</v>
      </c>
      <c r="EO29" s="422" t="s">
        <v>364</v>
      </c>
      <c r="EP29" s="422" t="s">
        <v>364</v>
      </c>
      <c r="EQ29" s="422" t="s">
        <v>364</v>
      </c>
      <c r="ER29" s="422" t="s">
        <v>364</v>
      </c>
      <c r="ES29" s="422" t="s">
        <v>364</v>
      </c>
      <c r="ET29" s="422" t="s">
        <v>364</v>
      </c>
      <c r="EU29" s="422" t="s">
        <v>364</v>
      </c>
      <c r="EV29" s="422">
        <v>480</v>
      </c>
      <c r="EW29" s="422" t="s">
        <v>364</v>
      </c>
      <c r="EX29" s="422" t="s">
        <v>364</v>
      </c>
      <c r="EY29" s="422" t="s">
        <v>364</v>
      </c>
      <c r="EZ29" s="422" t="s">
        <v>364</v>
      </c>
      <c r="FA29" s="422">
        <f t="shared" si="6"/>
        <v>191</v>
      </c>
      <c r="FB29" s="422" t="s">
        <v>364</v>
      </c>
      <c r="FC29" s="422" t="s">
        <v>364</v>
      </c>
      <c r="FD29" s="422" t="s">
        <v>364</v>
      </c>
      <c r="FE29" s="422" t="s">
        <v>364</v>
      </c>
      <c r="FF29" s="422" t="s">
        <v>364</v>
      </c>
      <c r="FG29" s="422" t="s">
        <v>364</v>
      </c>
      <c r="FH29" s="422" t="s">
        <v>364</v>
      </c>
      <c r="FI29" s="422" t="s">
        <v>364</v>
      </c>
      <c r="FJ29" s="422" t="s">
        <v>364</v>
      </c>
      <c r="FK29" s="422" t="s">
        <v>364</v>
      </c>
      <c r="FL29" s="422" t="s">
        <v>364</v>
      </c>
      <c r="FM29" s="422" t="s">
        <v>364</v>
      </c>
      <c r="FN29" s="422" t="s">
        <v>364</v>
      </c>
      <c r="FO29" s="422" t="s">
        <v>364</v>
      </c>
      <c r="FP29" s="422" t="s">
        <v>364</v>
      </c>
      <c r="FQ29" s="422" t="s">
        <v>364</v>
      </c>
      <c r="FR29" s="422" t="s">
        <v>364</v>
      </c>
      <c r="FS29" s="422" t="s">
        <v>364</v>
      </c>
      <c r="FT29" s="422" t="s">
        <v>364</v>
      </c>
      <c r="FU29" s="422" t="s">
        <v>364</v>
      </c>
      <c r="FV29" s="422" t="s">
        <v>364</v>
      </c>
      <c r="FW29" s="422" t="s">
        <v>364</v>
      </c>
      <c r="FX29" s="422">
        <v>41</v>
      </c>
      <c r="FY29" s="422">
        <v>101</v>
      </c>
      <c r="FZ29" s="422">
        <v>49</v>
      </c>
      <c r="GA29" s="422" t="s">
        <v>364</v>
      </c>
      <c r="GB29" s="422" t="s">
        <v>364</v>
      </c>
      <c r="GC29" s="422" t="s">
        <v>364</v>
      </c>
      <c r="GD29" s="422" t="s">
        <v>364</v>
      </c>
      <c r="GE29" s="422" t="s">
        <v>364</v>
      </c>
      <c r="GF29" s="422" t="s">
        <v>364</v>
      </c>
      <c r="GG29" s="422" t="s">
        <v>364</v>
      </c>
      <c r="GH29" s="422" t="s">
        <v>364</v>
      </c>
      <c r="GI29" s="422" t="s">
        <v>364</v>
      </c>
      <c r="GJ29" s="422" t="s">
        <v>364</v>
      </c>
      <c r="GK29" s="422" t="s">
        <v>364</v>
      </c>
      <c r="GL29" s="422" t="s">
        <v>364</v>
      </c>
      <c r="GM29" s="422" t="s">
        <v>364</v>
      </c>
      <c r="GN29" s="422" t="s">
        <v>364</v>
      </c>
      <c r="GO29" s="422" t="s">
        <v>364</v>
      </c>
      <c r="GP29" s="422" t="s">
        <v>364</v>
      </c>
      <c r="GQ29" s="422" t="s">
        <v>364</v>
      </c>
      <c r="GR29" s="422" t="s">
        <v>364</v>
      </c>
      <c r="GS29" s="422" t="s">
        <v>364</v>
      </c>
      <c r="GT29" s="422" t="s">
        <v>364</v>
      </c>
      <c r="GU29" s="422" t="s">
        <v>364</v>
      </c>
      <c r="GV29" s="422">
        <f t="shared" si="7"/>
        <v>0</v>
      </c>
      <c r="GW29" s="422" t="s">
        <v>364</v>
      </c>
      <c r="GX29" s="422" t="s">
        <v>364</v>
      </c>
      <c r="GY29" s="422" t="s">
        <v>364</v>
      </c>
      <c r="GZ29" s="422" t="s">
        <v>364</v>
      </c>
      <c r="HA29" s="422" t="s">
        <v>364</v>
      </c>
      <c r="HB29" s="422" t="s">
        <v>364</v>
      </c>
      <c r="HC29" s="422" t="s">
        <v>364</v>
      </c>
      <c r="HD29" s="422" t="s">
        <v>364</v>
      </c>
      <c r="HE29" s="422" t="s">
        <v>364</v>
      </c>
      <c r="HF29" s="422" t="s">
        <v>364</v>
      </c>
      <c r="HG29" s="422" t="s">
        <v>364</v>
      </c>
      <c r="HH29" s="422" t="s">
        <v>364</v>
      </c>
      <c r="HI29" s="422" t="s">
        <v>364</v>
      </c>
      <c r="HJ29" s="422" t="s">
        <v>364</v>
      </c>
      <c r="HK29" s="422" t="s">
        <v>364</v>
      </c>
      <c r="HL29" s="422" t="s">
        <v>364</v>
      </c>
      <c r="HM29" s="422" t="s">
        <v>364</v>
      </c>
      <c r="HN29" s="422" t="s">
        <v>364</v>
      </c>
      <c r="HO29" s="422" t="s">
        <v>364</v>
      </c>
      <c r="HP29" s="422" t="s">
        <v>364</v>
      </c>
      <c r="HQ29" s="422" t="s">
        <v>364</v>
      </c>
      <c r="HR29" s="422" t="s">
        <v>364</v>
      </c>
      <c r="HS29" s="422" t="s">
        <v>364</v>
      </c>
      <c r="HT29" s="422" t="s">
        <v>364</v>
      </c>
      <c r="HU29" s="422" t="s">
        <v>364</v>
      </c>
      <c r="HV29" s="422" t="s">
        <v>364</v>
      </c>
      <c r="HW29" s="422" t="s">
        <v>364</v>
      </c>
      <c r="HX29" s="422" t="s">
        <v>364</v>
      </c>
      <c r="HY29" s="422">
        <f t="shared" si="8"/>
        <v>351</v>
      </c>
      <c r="HZ29" s="422" t="s">
        <v>364</v>
      </c>
      <c r="IA29" s="422" t="s">
        <v>364</v>
      </c>
      <c r="IB29" s="422" t="s">
        <v>364</v>
      </c>
      <c r="IC29" s="422">
        <v>247</v>
      </c>
      <c r="ID29" s="422">
        <v>104</v>
      </c>
      <c r="IE29" s="422" t="s">
        <v>364</v>
      </c>
      <c r="IF29" s="422">
        <f t="shared" si="9"/>
        <v>188</v>
      </c>
      <c r="IG29" s="422" t="s">
        <v>364</v>
      </c>
      <c r="IH29" s="422" t="s">
        <v>364</v>
      </c>
      <c r="II29" s="422" t="s">
        <v>364</v>
      </c>
      <c r="IJ29" s="422" t="s">
        <v>364</v>
      </c>
      <c r="IK29" s="422" t="s">
        <v>364</v>
      </c>
      <c r="IL29" s="422" t="s">
        <v>364</v>
      </c>
      <c r="IM29" s="422">
        <v>18</v>
      </c>
      <c r="IN29" s="422">
        <v>134</v>
      </c>
      <c r="IO29" s="422">
        <v>36</v>
      </c>
      <c r="IP29" s="422" t="s">
        <v>364</v>
      </c>
      <c r="IQ29" s="422" t="s">
        <v>364</v>
      </c>
      <c r="IR29" s="422" t="s">
        <v>364</v>
      </c>
      <c r="IS29" s="422" t="s">
        <v>364</v>
      </c>
      <c r="IT29" s="422" t="s">
        <v>364</v>
      </c>
      <c r="IU29" s="422" t="s">
        <v>364</v>
      </c>
      <c r="IV29" s="422" t="s">
        <v>364</v>
      </c>
      <c r="IW29" s="422" t="s">
        <v>364</v>
      </c>
      <c r="IX29" s="422" t="s">
        <v>364</v>
      </c>
      <c r="IY29" s="422" t="s">
        <v>364</v>
      </c>
      <c r="IZ29" s="422">
        <f t="shared" si="10"/>
        <v>16</v>
      </c>
      <c r="JA29" s="422" t="s">
        <v>364</v>
      </c>
      <c r="JB29" s="422">
        <v>13</v>
      </c>
      <c r="JC29" s="422">
        <v>3</v>
      </c>
      <c r="JD29" s="422" t="s">
        <v>364</v>
      </c>
      <c r="JE29" s="422" t="s">
        <v>364</v>
      </c>
      <c r="JF29" s="422" t="s">
        <v>364</v>
      </c>
      <c r="JG29" s="422" t="s">
        <v>364</v>
      </c>
      <c r="JH29" s="422" t="s">
        <v>364</v>
      </c>
      <c r="JI29" s="422" t="s">
        <v>364</v>
      </c>
      <c r="JJ29" s="422" t="s">
        <v>364</v>
      </c>
      <c r="JK29" s="422" t="s">
        <v>364</v>
      </c>
      <c r="JL29" s="422" t="s">
        <v>364</v>
      </c>
      <c r="JM29" s="422" t="s">
        <v>364</v>
      </c>
      <c r="JN29" s="422" t="s">
        <v>364</v>
      </c>
      <c r="JO29" s="422" t="s">
        <v>364</v>
      </c>
      <c r="JP29" s="422" t="s">
        <v>364</v>
      </c>
      <c r="JQ29" s="422" t="s">
        <v>364</v>
      </c>
      <c r="JR29" s="422" t="s">
        <v>364</v>
      </c>
      <c r="JS29" s="422" t="s">
        <v>364</v>
      </c>
      <c r="JT29" s="422" t="s">
        <v>364</v>
      </c>
      <c r="JU29" s="422" t="s">
        <v>364</v>
      </c>
      <c r="JV29" s="422" t="s">
        <v>364</v>
      </c>
      <c r="JW29" s="422">
        <f t="shared" si="11"/>
        <v>23</v>
      </c>
      <c r="JX29" s="422" t="s">
        <v>364</v>
      </c>
      <c r="JY29" s="422" t="s">
        <v>364</v>
      </c>
      <c r="JZ29" s="422" t="s">
        <v>364</v>
      </c>
      <c r="KA29" s="422" t="s">
        <v>364</v>
      </c>
      <c r="KB29" s="422" t="s">
        <v>364</v>
      </c>
      <c r="KC29" s="422" t="s">
        <v>364</v>
      </c>
      <c r="KD29" s="422" t="s">
        <v>364</v>
      </c>
      <c r="KE29" s="422" t="s">
        <v>364</v>
      </c>
      <c r="KF29" s="422" t="s">
        <v>364</v>
      </c>
      <c r="KG29" s="422" t="s">
        <v>364</v>
      </c>
      <c r="KH29" s="422" t="s">
        <v>364</v>
      </c>
      <c r="KI29" s="422" t="s">
        <v>364</v>
      </c>
      <c r="KJ29" s="422">
        <v>6</v>
      </c>
      <c r="KK29" s="422">
        <v>17</v>
      </c>
      <c r="KL29" s="422" t="s">
        <v>364</v>
      </c>
      <c r="KM29" s="422" t="s">
        <v>364</v>
      </c>
      <c r="KN29" s="422" t="s">
        <v>364</v>
      </c>
      <c r="KO29" s="422" t="s">
        <v>364</v>
      </c>
      <c r="KP29" s="422" t="s">
        <v>364</v>
      </c>
      <c r="KQ29" s="422" t="s">
        <v>364</v>
      </c>
      <c r="KR29" s="422" t="s">
        <v>364</v>
      </c>
      <c r="KS29" s="422" t="s">
        <v>364</v>
      </c>
      <c r="KT29" s="422" t="s">
        <v>364</v>
      </c>
      <c r="KU29" s="422" t="s">
        <v>364</v>
      </c>
      <c r="KV29" s="422" t="s">
        <v>364</v>
      </c>
      <c r="KW29" s="422" t="s">
        <v>364</v>
      </c>
      <c r="KX29" s="422" t="s">
        <v>364</v>
      </c>
      <c r="KY29" s="422" t="s">
        <v>364</v>
      </c>
      <c r="KZ29" s="422" t="s">
        <v>364</v>
      </c>
      <c r="LA29" s="422" t="s">
        <v>364</v>
      </c>
      <c r="LB29" s="422" t="s">
        <v>364</v>
      </c>
      <c r="LC29" s="422" t="s">
        <v>364</v>
      </c>
      <c r="LD29" s="422" t="s">
        <v>364</v>
      </c>
      <c r="LE29" s="422" t="s">
        <v>364</v>
      </c>
      <c r="LF29" s="422" t="s">
        <v>364</v>
      </c>
      <c r="LG29" s="422" t="s">
        <v>364</v>
      </c>
      <c r="LH29" s="422" t="s">
        <v>364</v>
      </c>
      <c r="LI29" s="422" t="s">
        <v>364</v>
      </c>
      <c r="LJ29" s="422" t="s">
        <v>364</v>
      </c>
      <c r="LK29" s="422" t="s">
        <v>364</v>
      </c>
      <c r="LL29" s="422" t="s">
        <v>364</v>
      </c>
      <c r="LM29" s="424" t="s">
        <v>364</v>
      </c>
      <c r="LN29" s="424">
        <v>4</v>
      </c>
      <c r="LO29" s="424" t="s">
        <v>364</v>
      </c>
      <c r="LP29" s="424" t="s">
        <v>364</v>
      </c>
      <c r="LQ29" s="424" t="s">
        <v>364</v>
      </c>
      <c r="LR29" s="424" t="s">
        <v>364</v>
      </c>
      <c r="LS29" s="424" t="s">
        <v>364</v>
      </c>
      <c r="LT29" s="424" t="s">
        <v>364</v>
      </c>
      <c r="LU29" s="424" t="s">
        <v>364</v>
      </c>
      <c r="LV29" s="424" t="s">
        <v>364</v>
      </c>
      <c r="LW29" s="424">
        <v>4</v>
      </c>
      <c r="LX29" s="424">
        <f t="shared" si="12"/>
        <v>13</v>
      </c>
      <c r="LY29" s="424" t="s">
        <v>364</v>
      </c>
      <c r="LZ29" s="424" t="s">
        <v>364</v>
      </c>
      <c r="MA29" s="424" t="s">
        <v>364</v>
      </c>
      <c r="MB29" s="424">
        <v>5</v>
      </c>
      <c r="MC29" s="424">
        <v>8</v>
      </c>
      <c r="MD29" s="424" t="s">
        <v>364</v>
      </c>
      <c r="ME29" s="424">
        <f t="shared" si="1"/>
        <v>32</v>
      </c>
      <c r="MF29" s="424">
        <v>32</v>
      </c>
      <c r="MG29" s="424" t="s">
        <v>364</v>
      </c>
      <c r="MH29" s="424" t="s">
        <v>364</v>
      </c>
      <c r="MI29" s="424" t="s">
        <v>364</v>
      </c>
      <c r="MJ29" s="424" t="s">
        <v>364</v>
      </c>
      <c r="MK29" s="424" t="s">
        <v>364</v>
      </c>
      <c r="ML29" s="424" t="s">
        <v>364</v>
      </c>
      <c r="MM29" s="424" t="s">
        <v>364</v>
      </c>
      <c r="MN29" s="424" t="s">
        <v>364</v>
      </c>
      <c r="MO29" s="424" t="s">
        <v>364</v>
      </c>
      <c r="MP29" s="424" t="s">
        <v>364</v>
      </c>
      <c r="MQ29" s="424" t="s">
        <v>364</v>
      </c>
      <c r="MR29" s="424" t="s">
        <v>364</v>
      </c>
      <c r="MS29" s="424" t="s">
        <v>364</v>
      </c>
      <c r="MT29" s="424" t="s">
        <v>364</v>
      </c>
      <c r="MU29" s="424" t="s">
        <v>364</v>
      </c>
      <c r="MV29" s="424" t="s">
        <v>364</v>
      </c>
      <c r="MW29" s="424" t="s">
        <v>364</v>
      </c>
      <c r="MX29" s="424">
        <f t="shared" si="13"/>
        <v>0</v>
      </c>
      <c r="MY29" s="424" t="s">
        <v>364</v>
      </c>
      <c r="MZ29" s="424" t="s">
        <v>364</v>
      </c>
      <c r="NA29" s="424" t="s">
        <v>364</v>
      </c>
      <c r="NB29" s="424" t="s">
        <v>364</v>
      </c>
      <c r="NC29" s="424" t="s">
        <v>364</v>
      </c>
      <c r="ND29" s="424" t="s">
        <v>364</v>
      </c>
      <c r="NE29" s="424" t="s">
        <v>364</v>
      </c>
      <c r="NF29" s="424" t="s">
        <v>364</v>
      </c>
      <c r="NG29" s="424" t="s">
        <v>364</v>
      </c>
      <c r="NH29" s="424" t="s">
        <v>364</v>
      </c>
      <c r="NI29" s="424" t="s">
        <v>364</v>
      </c>
      <c r="NJ29" s="424" t="s">
        <v>364</v>
      </c>
      <c r="NK29" s="424">
        <f t="shared" si="2"/>
        <v>64</v>
      </c>
      <c r="NL29" s="424">
        <f t="shared" si="14"/>
        <v>64</v>
      </c>
      <c r="NM29" s="424">
        <v>16</v>
      </c>
      <c r="NN29" s="424" t="s">
        <v>364</v>
      </c>
      <c r="NO29" s="424" t="s">
        <v>364</v>
      </c>
      <c r="NP29" s="424" t="s">
        <v>364</v>
      </c>
      <c r="NQ29" s="424" t="s">
        <v>364</v>
      </c>
      <c r="NR29" s="424">
        <v>48</v>
      </c>
      <c r="NS29" s="424" t="s">
        <v>364</v>
      </c>
      <c r="NT29" s="424" t="s">
        <v>364</v>
      </c>
      <c r="NU29" s="424" t="s">
        <v>364</v>
      </c>
      <c r="NV29" s="424" t="s">
        <v>364</v>
      </c>
      <c r="NW29" s="424" t="s">
        <v>364</v>
      </c>
      <c r="NX29" s="424" t="s">
        <v>364</v>
      </c>
      <c r="NY29" s="424" t="s">
        <v>364</v>
      </c>
      <c r="NZ29" s="424">
        <f t="shared" si="15"/>
        <v>0</v>
      </c>
      <c r="OA29" s="424" t="s">
        <v>364</v>
      </c>
      <c r="OB29" s="424" t="s">
        <v>364</v>
      </c>
      <c r="OC29" s="424" t="s">
        <v>364</v>
      </c>
      <c r="OD29" s="424" t="s">
        <v>364</v>
      </c>
      <c r="OE29" s="424" t="s">
        <v>364</v>
      </c>
      <c r="OF29" s="424" t="s">
        <v>364</v>
      </c>
      <c r="OG29" s="424" t="s">
        <v>364</v>
      </c>
      <c r="OH29" s="424">
        <f t="shared" si="16"/>
        <v>65</v>
      </c>
      <c r="OI29" s="424">
        <f t="shared" si="17"/>
        <v>24</v>
      </c>
      <c r="OJ29" s="422" t="s">
        <v>364</v>
      </c>
      <c r="OK29" s="422" t="s">
        <v>364</v>
      </c>
      <c r="OL29" s="422" t="s">
        <v>364</v>
      </c>
      <c r="OM29" s="422" t="s">
        <v>364</v>
      </c>
      <c r="ON29" s="422" t="s">
        <v>364</v>
      </c>
      <c r="OO29" s="422" t="s">
        <v>364</v>
      </c>
      <c r="OP29" s="422" t="s">
        <v>364</v>
      </c>
      <c r="OQ29" s="422" t="s">
        <v>364</v>
      </c>
      <c r="OR29" s="422" t="s">
        <v>364</v>
      </c>
      <c r="OS29" s="422" t="s">
        <v>364</v>
      </c>
      <c r="OT29" s="422" t="s">
        <v>364</v>
      </c>
      <c r="OU29" s="422" t="s">
        <v>364</v>
      </c>
      <c r="OV29" s="422" t="s">
        <v>364</v>
      </c>
      <c r="OW29" s="422" t="s">
        <v>6598</v>
      </c>
      <c r="OX29" s="422">
        <v>24</v>
      </c>
      <c r="OY29" s="422" t="s">
        <v>364</v>
      </c>
      <c r="OZ29" s="422" t="s">
        <v>364</v>
      </c>
      <c r="PA29" s="422" t="s">
        <v>364</v>
      </c>
      <c r="PB29" s="424">
        <f t="shared" si="18"/>
        <v>41</v>
      </c>
      <c r="PC29" s="422" t="s">
        <v>364</v>
      </c>
      <c r="PD29" s="422">
        <v>41</v>
      </c>
      <c r="PE29" s="422" t="s">
        <v>364</v>
      </c>
      <c r="PF29" s="422" t="s">
        <v>364</v>
      </c>
      <c r="PG29" s="422" t="s">
        <v>364</v>
      </c>
      <c r="PH29" s="422" t="s">
        <v>364</v>
      </c>
      <c r="PI29" s="422" t="s">
        <v>364</v>
      </c>
      <c r="PJ29" s="422" t="s">
        <v>364</v>
      </c>
    </row>
    <row r="30" spans="2:426" ht="15.6">
      <c r="B30" s="426" t="s">
        <v>1194</v>
      </c>
      <c r="C30" s="422">
        <f t="shared" si="3"/>
        <v>44</v>
      </c>
      <c r="D30" s="422" t="s">
        <v>364</v>
      </c>
      <c r="E30" s="422" t="s">
        <v>364</v>
      </c>
      <c r="F30" s="422">
        <v>18</v>
      </c>
      <c r="G30" s="422" t="s">
        <v>364</v>
      </c>
      <c r="H30" s="422" t="s">
        <v>364</v>
      </c>
      <c r="I30" s="422">
        <v>26</v>
      </c>
      <c r="J30" s="422" t="s">
        <v>364</v>
      </c>
      <c r="K30" s="422" t="s">
        <v>364</v>
      </c>
      <c r="L30" s="422" t="s">
        <v>364</v>
      </c>
      <c r="M30" s="422" t="s">
        <v>364</v>
      </c>
      <c r="N30" s="422" t="s">
        <v>364</v>
      </c>
      <c r="O30" s="422" t="s">
        <v>364</v>
      </c>
      <c r="P30" s="422" t="s">
        <v>364</v>
      </c>
      <c r="Q30" s="422" t="s">
        <v>364</v>
      </c>
      <c r="R30" s="422" t="s">
        <v>364</v>
      </c>
      <c r="S30" s="422" t="s">
        <v>364</v>
      </c>
      <c r="T30" s="422" t="s">
        <v>364</v>
      </c>
      <c r="U30" s="422" t="s">
        <v>364</v>
      </c>
      <c r="V30" s="422" t="s">
        <v>364</v>
      </c>
      <c r="W30" s="422" t="s">
        <v>364</v>
      </c>
      <c r="X30" s="422" t="s">
        <v>364</v>
      </c>
      <c r="Y30" s="422" t="s">
        <v>364</v>
      </c>
      <c r="Z30" s="422" t="s">
        <v>364</v>
      </c>
      <c r="AA30" s="422" t="s">
        <v>364</v>
      </c>
      <c r="AB30" s="422" t="s">
        <v>364</v>
      </c>
      <c r="AC30" s="422" t="s">
        <v>364</v>
      </c>
      <c r="AD30" s="422" t="s">
        <v>364</v>
      </c>
      <c r="AE30" s="422" t="s">
        <v>364</v>
      </c>
      <c r="AF30" s="422" t="s">
        <v>364</v>
      </c>
      <c r="AG30" s="422" t="s">
        <v>364</v>
      </c>
      <c r="AH30" s="422" t="s">
        <v>364</v>
      </c>
      <c r="AI30" s="422" t="s">
        <v>364</v>
      </c>
      <c r="AJ30" s="422" t="s">
        <v>364</v>
      </c>
      <c r="AK30" s="422" t="s">
        <v>364</v>
      </c>
      <c r="AL30" s="422" t="s">
        <v>364</v>
      </c>
      <c r="AM30" s="422" t="s">
        <v>364</v>
      </c>
      <c r="AN30" s="422" t="s">
        <v>364</v>
      </c>
      <c r="AO30" s="422" t="s">
        <v>364</v>
      </c>
      <c r="AP30" s="422" t="s">
        <v>364</v>
      </c>
      <c r="AQ30" s="422">
        <f t="shared" si="0"/>
        <v>287</v>
      </c>
      <c r="AR30" s="422" t="s">
        <v>364</v>
      </c>
      <c r="AS30" s="422" t="s">
        <v>364</v>
      </c>
      <c r="AT30" s="422" t="s">
        <v>364</v>
      </c>
      <c r="AU30" s="422" t="s">
        <v>364</v>
      </c>
      <c r="AV30" s="422" t="s">
        <v>364</v>
      </c>
      <c r="AW30" s="422" t="s">
        <v>364</v>
      </c>
      <c r="AX30" s="422" t="s">
        <v>364</v>
      </c>
      <c r="AY30" s="422" t="s">
        <v>364</v>
      </c>
      <c r="AZ30" s="422" t="s">
        <v>364</v>
      </c>
      <c r="BA30" s="422" t="s">
        <v>364</v>
      </c>
      <c r="BB30" s="422">
        <v>83</v>
      </c>
      <c r="BC30" s="422" t="s">
        <v>364</v>
      </c>
      <c r="BD30" s="422">
        <v>174</v>
      </c>
      <c r="BE30" s="422" t="s">
        <v>364</v>
      </c>
      <c r="BF30" s="422" t="s">
        <v>364</v>
      </c>
      <c r="BG30" s="422" t="s">
        <v>364</v>
      </c>
      <c r="BH30" s="422" t="s">
        <v>364</v>
      </c>
      <c r="BI30" s="422" t="s">
        <v>364</v>
      </c>
      <c r="BJ30" s="422" t="s">
        <v>364</v>
      </c>
      <c r="BK30" s="422" t="s">
        <v>364</v>
      </c>
      <c r="BL30" s="422" t="s">
        <v>364</v>
      </c>
      <c r="BM30" s="422" t="s">
        <v>364</v>
      </c>
      <c r="BN30" s="422" t="s">
        <v>364</v>
      </c>
      <c r="BO30" s="422">
        <v>30</v>
      </c>
      <c r="BP30" s="422" t="s">
        <v>364</v>
      </c>
      <c r="BQ30" s="422" t="s">
        <v>364</v>
      </c>
      <c r="BR30" s="422" t="s">
        <v>364</v>
      </c>
      <c r="BS30" s="422" t="s">
        <v>364</v>
      </c>
      <c r="BT30" s="422" t="s">
        <v>364</v>
      </c>
      <c r="BU30" s="422" t="s">
        <v>364</v>
      </c>
      <c r="BV30" s="422" t="s">
        <v>364</v>
      </c>
      <c r="BW30" s="422" t="s">
        <v>364</v>
      </c>
      <c r="BX30" s="422" t="s">
        <v>364</v>
      </c>
      <c r="BY30" s="422" t="s">
        <v>364</v>
      </c>
      <c r="BZ30" s="422" t="s">
        <v>364</v>
      </c>
      <c r="CA30" s="422" t="s">
        <v>364</v>
      </c>
      <c r="CB30" s="422" t="s">
        <v>364</v>
      </c>
      <c r="CC30" s="422" t="s">
        <v>364</v>
      </c>
      <c r="CD30" s="422" t="s">
        <v>364</v>
      </c>
      <c r="CE30" s="422" t="s">
        <v>364</v>
      </c>
      <c r="CF30" s="422" t="s">
        <v>364</v>
      </c>
      <c r="CG30" s="422" t="s">
        <v>364</v>
      </c>
      <c r="CH30" s="422" t="s">
        <v>364</v>
      </c>
      <c r="CI30" s="422" t="s">
        <v>364</v>
      </c>
      <c r="CJ30" s="422" t="s">
        <v>364</v>
      </c>
      <c r="CK30" s="422" t="s">
        <v>364</v>
      </c>
      <c r="CL30" s="422" t="s">
        <v>364</v>
      </c>
      <c r="CM30" s="422" t="s">
        <v>364</v>
      </c>
      <c r="CN30" s="422" t="s">
        <v>364</v>
      </c>
      <c r="CO30" s="422" t="s">
        <v>364</v>
      </c>
      <c r="CP30" s="422" t="s">
        <v>364</v>
      </c>
      <c r="CQ30" s="422" t="s">
        <v>364</v>
      </c>
      <c r="CR30" s="422" t="s">
        <v>364</v>
      </c>
      <c r="CS30" s="422" t="s">
        <v>364</v>
      </c>
      <c r="CT30" s="422" t="s">
        <v>364</v>
      </c>
      <c r="CU30" s="422" t="s">
        <v>364</v>
      </c>
      <c r="CV30" s="422" t="s">
        <v>364</v>
      </c>
      <c r="CW30" s="422" t="s">
        <v>364</v>
      </c>
      <c r="CX30" s="422" t="s">
        <v>364</v>
      </c>
      <c r="CY30" s="422" t="s">
        <v>364</v>
      </c>
      <c r="CZ30" s="422" t="s">
        <v>364</v>
      </c>
      <c r="DA30" s="422" t="s">
        <v>364</v>
      </c>
      <c r="DB30" s="422" t="s">
        <v>364</v>
      </c>
      <c r="DC30" s="422" t="s">
        <v>364</v>
      </c>
      <c r="DD30" s="422" t="s">
        <v>364</v>
      </c>
      <c r="DE30" s="422" t="s">
        <v>364</v>
      </c>
      <c r="DF30" s="422" t="s">
        <v>364</v>
      </c>
      <c r="DG30" s="422" t="s">
        <v>364</v>
      </c>
      <c r="DH30" s="422" t="s">
        <v>364</v>
      </c>
      <c r="DI30" s="422" t="s">
        <v>364</v>
      </c>
      <c r="DJ30" s="422" t="s">
        <v>364</v>
      </c>
      <c r="DK30" s="422">
        <f t="shared" si="4"/>
        <v>0</v>
      </c>
      <c r="DL30" s="422" t="s">
        <v>364</v>
      </c>
      <c r="DM30" s="422" t="s">
        <v>364</v>
      </c>
      <c r="DN30" s="422" t="s">
        <v>364</v>
      </c>
      <c r="DO30" s="422" t="s">
        <v>364</v>
      </c>
      <c r="DP30" s="422" t="s">
        <v>364</v>
      </c>
      <c r="DQ30" s="422" t="s">
        <v>364</v>
      </c>
      <c r="DR30" s="422" t="s">
        <v>364</v>
      </c>
      <c r="DS30" s="422" t="s">
        <v>364</v>
      </c>
      <c r="DT30" s="422" t="s">
        <v>364</v>
      </c>
      <c r="DU30" s="422" t="s">
        <v>364</v>
      </c>
      <c r="DV30" s="422" t="s">
        <v>364</v>
      </c>
      <c r="DW30" s="422" t="s">
        <v>364</v>
      </c>
      <c r="DX30" s="422" t="s">
        <v>364</v>
      </c>
      <c r="DY30" s="422">
        <f t="shared" si="5"/>
        <v>140</v>
      </c>
      <c r="DZ30" s="422" t="s">
        <v>364</v>
      </c>
      <c r="EA30" s="422" t="s">
        <v>364</v>
      </c>
      <c r="EB30" s="422" t="s">
        <v>364</v>
      </c>
      <c r="EC30" s="422" t="s">
        <v>364</v>
      </c>
      <c r="ED30" s="422" t="s">
        <v>364</v>
      </c>
      <c r="EE30" s="422" t="s">
        <v>364</v>
      </c>
      <c r="EF30" s="422" t="s">
        <v>364</v>
      </c>
      <c r="EG30" s="422" t="s">
        <v>364</v>
      </c>
      <c r="EH30" s="422" t="s">
        <v>364</v>
      </c>
      <c r="EI30" s="422" t="s">
        <v>364</v>
      </c>
      <c r="EJ30" s="422" t="s">
        <v>364</v>
      </c>
      <c r="EK30" s="422" t="s">
        <v>364</v>
      </c>
      <c r="EL30" s="422" t="s">
        <v>364</v>
      </c>
      <c r="EM30" s="422" t="s">
        <v>364</v>
      </c>
      <c r="EN30" s="422" t="s">
        <v>364</v>
      </c>
      <c r="EO30" s="422">
        <v>84</v>
      </c>
      <c r="EP30" s="422">
        <v>56</v>
      </c>
      <c r="EQ30" s="422" t="s">
        <v>364</v>
      </c>
      <c r="ER30" s="422" t="s">
        <v>364</v>
      </c>
      <c r="ES30" s="422" t="s">
        <v>364</v>
      </c>
      <c r="ET30" s="422" t="s">
        <v>364</v>
      </c>
      <c r="EU30" s="422" t="s">
        <v>364</v>
      </c>
      <c r="EV30" s="422" t="s">
        <v>364</v>
      </c>
      <c r="EW30" s="422" t="s">
        <v>364</v>
      </c>
      <c r="EX30" s="422" t="s">
        <v>364</v>
      </c>
      <c r="EY30" s="422" t="s">
        <v>364</v>
      </c>
      <c r="EZ30" s="422" t="s">
        <v>364</v>
      </c>
      <c r="FA30" s="422">
        <f t="shared" si="6"/>
        <v>44</v>
      </c>
      <c r="FB30" s="422" t="s">
        <v>364</v>
      </c>
      <c r="FC30" s="422" t="s">
        <v>364</v>
      </c>
      <c r="FD30" s="422" t="s">
        <v>364</v>
      </c>
      <c r="FE30" s="422" t="s">
        <v>364</v>
      </c>
      <c r="FF30" s="422" t="s">
        <v>364</v>
      </c>
      <c r="FG30" s="422" t="s">
        <v>364</v>
      </c>
      <c r="FH30" s="422" t="s">
        <v>364</v>
      </c>
      <c r="FI30" s="422" t="s">
        <v>364</v>
      </c>
      <c r="FJ30" s="422" t="s">
        <v>364</v>
      </c>
      <c r="FK30" s="422" t="s">
        <v>364</v>
      </c>
      <c r="FL30" s="422">
        <v>44</v>
      </c>
      <c r="FM30" s="422" t="s">
        <v>364</v>
      </c>
      <c r="FN30" s="422" t="s">
        <v>364</v>
      </c>
      <c r="FO30" s="422" t="s">
        <v>364</v>
      </c>
      <c r="FP30" s="422" t="s">
        <v>364</v>
      </c>
      <c r="FQ30" s="422" t="s">
        <v>364</v>
      </c>
      <c r="FR30" s="422" t="s">
        <v>364</v>
      </c>
      <c r="FS30" s="422" t="s">
        <v>364</v>
      </c>
      <c r="FT30" s="422" t="s">
        <v>364</v>
      </c>
      <c r="FU30" s="422" t="s">
        <v>364</v>
      </c>
      <c r="FV30" s="422" t="s">
        <v>364</v>
      </c>
      <c r="FW30" s="422" t="s">
        <v>364</v>
      </c>
      <c r="FX30" s="422" t="s">
        <v>364</v>
      </c>
      <c r="FY30" s="422" t="s">
        <v>364</v>
      </c>
      <c r="FZ30" s="422" t="s">
        <v>364</v>
      </c>
      <c r="GA30" s="422" t="s">
        <v>364</v>
      </c>
      <c r="GB30" s="422" t="s">
        <v>364</v>
      </c>
      <c r="GC30" s="422" t="s">
        <v>364</v>
      </c>
      <c r="GD30" s="422" t="s">
        <v>364</v>
      </c>
      <c r="GE30" s="422" t="s">
        <v>364</v>
      </c>
      <c r="GF30" s="422" t="s">
        <v>364</v>
      </c>
      <c r="GG30" s="422" t="s">
        <v>364</v>
      </c>
      <c r="GH30" s="422" t="s">
        <v>364</v>
      </c>
      <c r="GI30" s="422" t="s">
        <v>364</v>
      </c>
      <c r="GJ30" s="422" t="s">
        <v>364</v>
      </c>
      <c r="GK30" s="422" t="s">
        <v>364</v>
      </c>
      <c r="GL30" s="422" t="s">
        <v>364</v>
      </c>
      <c r="GM30" s="422" t="s">
        <v>364</v>
      </c>
      <c r="GN30" s="422" t="s">
        <v>364</v>
      </c>
      <c r="GO30" s="422" t="s">
        <v>364</v>
      </c>
      <c r="GP30" s="422" t="s">
        <v>364</v>
      </c>
      <c r="GQ30" s="422" t="s">
        <v>364</v>
      </c>
      <c r="GR30" s="422" t="s">
        <v>364</v>
      </c>
      <c r="GS30" s="422" t="s">
        <v>364</v>
      </c>
      <c r="GT30" s="422" t="s">
        <v>364</v>
      </c>
      <c r="GU30" s="422" t="s">
        <v>364</v>
      </c>
      <c r="GV30" s="422">
        <f t="shared" si="7"/>
        <v>15</v>
      </c>
      <c r="GW30" s="422" t="s">
        <v>364</v>
      </c>
      <c r="GX30" s="422" t="s">
        <v>364</v>
      </c>
      <c r="GY30" s="422" t="s">
        <v>364</v>
      </c>
      <c r="GZ30" s="422" t="s">
        <v>364</v>
      </c>
      <c r="HA30" s="422" t="s">
        <v>364</v>
      </c>
      <c r="HB30" s="422" t="s">
        <v>364</v>
      </c>
      <c r="HC30" s="422" t="s">
        <v>364</v>
      </c>
      <c r="HD30" s="422" t="s">
        <v>364</v>
      </c>
      <c r="HE30" s="422">
        <v>15</v>
      </c>
      <c r="HF30" s="422" t="s">
        <v>364</v>
      </c>
      <c r="HG30" s="422" t="s">
        <v>364</v>
      </c>
      <c r="HH30" s="422" t="s">
        <v>364</v>
      </c>
      <c r="HI30" s="422" t="s">
        <v>364</v>
      </c>
      <c r="HJ30" s="422" t="s">
        <v>364</v>
      </c>
      <c r="HK30" s="422" t="s">
        <v>364</v>
      </c>
      <c r="HL30" s="422" t="s">
        <v>364</v>
      </c>
      <c r="HM30" s="422" t="s">
        <v>364</v>
      </c>
      <c r="HN30" s="422" t="s">
        <v>364</v>
      </c>
      <c r="HO30" s="422" t="s">
        <v>364</v>
      </c>
      <c r="HP30" s="422" t="s">
        <v>364</v>
      </c>
      <c r="HQ30" s="422" t="s">
        <v>364</v>
      </c>
      <c r="HR30" s="422" t="s">
        <v>364</v>
      </c>
      <c r="HS30" s="422" t="s">
        <v>364</v>
      </c>
      <c r="HT30" s="422" t="s">
        <v>364</v>
      </c>
      <c r="HU30" s="422" t="s">
        <v>364</v>
      </c>
      <c r="HV30" s="422" t="s">
        <v>364</v>
      </c>
      <c r="HW30" s="422" t="s">
        <v>364</v>
      </c>
      <c r="HX30" s="422" t="s">
        <v>364</v>
      </c>
      <c r="HY30" s="422">
        <f t="shared" si="8"/>
        <v>0</v>
      </c>
      <c r="HZ30" s="422" t="s">
        <v>364</v>
      </c>
      <c r="IA30" s="422" t="s">
        <v>364</v>
      </c>
      <c r="IB30" s="422" t="s">
        <v>364</v>
      </c>
      <c r="IC30" s="422" t="s">
        <v>364</v>
      </c>
      <c r="ID30" s="422" t="s">
        <v>364</v>
      </c>
      <c r="IE30" s="422" t="s">
        <v>364</v>
      </c>
      <c r="IF30" s="422">
        <f t="shared" si="9"/>
        <v>0</v>
      </c>
      <c r="IG30" s="422" t="s">
        <v>364</v>
      </c>
      <c r="IH30" s="422" t="s">
        <v>364</v>
      </c>
      <c r="II30" s="422" t="s">
        <v>364</v>
      </c>
      <c r="IJ30" s="422" t="s">
        <v>364</v>
      </c>
      <c r="IK30" s="422" t="s">
        <v>364</v>
      </c>
      <c r="IL30" s="422" t="s">
        <v>364</v>
      </c>
      <c r="IM30" s="422" t="s">
        <v>364</v>
      </c>
      <c r="IN30" s="422" t="s">
        <v>364</v>
      </c>
      <c r="IO30" s="422" t="s">
        <v>364</v>
      </c>
      <c r="IP30" s="422" t="s">
        <v>364</v>
      </c>
      <c r="IQ30" s="422" t="s">
        <v>364</v>
      </c>
      <c r="IR30" s="422" t="s">
        <v>364</v>
      </c>
      <c r="IS30" s="422" t="s">
        <v>364</v>
      </c>
      <c r="IT30" s="422" t="s">
        <v>364</v>
      </c>
      <c r="IU30" s="422" t="s">
        <v>364</v>
      </c>
      <c r="IV30" s="422" t="s">
        <v>364</v>
      </c>
      <c r="IW30" s="422" t="s">
        <v>364</v>
      </c>
      <c r="IX30" s="422" t="s">
        <v>364</v>
      </c>
      <c r="IY30" s="422" t="s">
        <v>364</v>
      </c>
      <c r="IZ30" s="422">
        <f t="shared" si="10"/>
        <v>44</v>
      </c>
      <c r="JA30" s="422" t="s">
        <v>364</v>
      </c>
      <c r="JB30" s="422">
        <v>34</v>
      </c>
      <c r="JC30" s="422">
        <v>10</v>
      </c>
      <c r="JD30" s="422" t="s">
        <v>364</v>
      </c>
      <c r="JE30" s="422" t="s">
        <v>364</v>
      </c>
      <c r="JF30" s="422" t="s">
        <v>364</v>
      </c>
      <c r="JG30" s="422" t="s">
        <v>364</v>
      </c>
      <c r="JH30" s="422" t="s">
        <v>364</v>
      </c>
      <c r="JI30" s="422" t="s">
        <v>364</v>
      </c>
      <c r="JJ30" s="422" t="s">
        <v>364</v>
      </c>
      <c r="JK30" s="422" t="s">
        <v>364</v>
      </c>
      <c r="JL30" s="422" t="s">
        <v>364</v>
      </c>
      <c r="JM30" s="422" t="s">
        <v>364</v>
      </c>
      <c r="JN30" s="422" t="s">
        <v>364</v>
      </c>
      <c r="JO30" s="422" t="s">
        <v>364</v>
      </c>
      <c r="JP30" s="422" t="s">
        <v>364</v>
      </c>
      <c r="JQ30" s="422" t="s">
        <v>364</v>
      </c>
      <c r="JR30" s="422" t="s">
        <v>364</v>
      </c>
      <c r="JS30" s="422" t="s">
        <v>364</v>
      </c>
      <c r="JT30" s="422" t="s">
        <v>364</v>
      </c>
      <c r="JU30" s="422" t="s">
        <v>364</v>
      </c>
      <c r="JV30" s="422" t="s">
        <v>364</v>
      </c>
      <c r="JW30" s="422">
        <f t="shared" si="11"/>
        <v>4</v>
      </c>
      <c r="JX30" s="422" t="s">
        <v>364</v>
      </c>
      <c r="JY30" s="422" t="s">
        <v>364</v>
      </c>
      <c r="JZ30" s="422" t="s">
        <v>364</v>
      </c>
      <c r="KA30" s="422" t="s">
        <v>364</v>
      </c>
      <c r="KB30" s="422" t="s">
        <v>364</v>
      </c>
      <c r="KC30" s="422">
        <v>4</v>
      </c>
      <c r="KD30" s="422" t="s">
        <v>364</v>
      </c>
      <c r="KE30" s="422" t="s">
        <v>364</v>
      </c>
      <c r="KF30" s="422" t="s">
        <v>364</v>
      </c>
      <c r="KG30" s="422" t="s">
        <v>364</v>
      </c>
      <c r="KH30" s="422" t="s">
        <v>364</v>
      </c>
      <c r="KI30" s="422" t="s">
        <v>364</v>
      </c>
      <c r="KJ30" s="422" t="s">
        <v>364</v>
      </c>
      <c r="KK30" s="422" t="s">
        <v>364</v>
      </c>
      <c r="KL30" s="422" t="s">
        <v>364</v>
      </c>
      <c r="KM30" s="422" t="s">
        <v>364</v>
      </c>
      <c r="KN30" s="422" t="s">
        <v>364</v>
      </c>
      <c r="KO30" s="422" t="s">
        <v>364</v>
      </c>
      <c r="KP30" s="422" t="s">
        <v>364</v>
      </c>
      <c r="KQ30" s="422" t="s">
        <v>364</v>
      </c>
      <c r="KR30" s="422" t="s">
        <v>364</v>
      </c>
      <c r="KS30" s="422" t="s">
        <v>364</v>
      </c>
      <c r="KT30" s="422" t="s">
        <v>364</v>
      </c>
      <c r="KU30" s="422" t="s">
        <v>364</v>
      </c>
      <c r="KV30" s="422" t="s">
        <v>364</v>
      </c>
      <c r="KW30" s="422" t="s">
        <v>364</v>
      </c>
      <c r="KX30" s="422" t="s">
        <v>364</v>
      </c>
      <c r="KY30" s="422" t="s">
        <v>364</v>
      </c>
      <c r="KZ30" s="422" t="s">
        <v>364</v>
      </c>
      <c r="LA30" s="422" t="s">
        <v>364</v>
      </c>
      <c r="LB30" s="422" t="s">
        <v>364</v>
      </c>
      <c r="LC30" s="422" t="s">
        <v>364</v>
      </c>
      <c r="LD30" s="422" t="s">
        <v>364</v>
      </c>
      <c r="LE30" s="422" t="s">
        <v>364</v>
      </c>
      <c r="LF30" s="422" t="s">
        <v>364</v>
      </c>
      <c r="LG30" s="422" t="s">
        <v>364</v>
      </c>
      <c r="LH30" s="422" t="s">
        <v>364</v>
      </c>
      <c r="LI30" s="422" t="s">
        <v>364</v>
      </c>
      <c r="LJ30" s="422" t="s">
        <v>364</v>
      </c>
      <c r="LK30" s="422" t="s">
        <v>364</v>
      </c>
      <c r="LL30" s="422" t="s">
        <v>364</v>
      </c>
      <c r="LM30" s="424" t="s">
        <v>364</v>
      </c>
      <c r="LN30" s="424">
        <v>0</v>
      </c>
      <c r="LO30" s="424" t="s">
        <v>364</v>
      </c>
      <c r="LP30" s="424" t="s">
        <v>364</v>
      </c>
      <c r="LQ30" s="424" t="s">
        <v>364</v>
      </c>
      <c r="LR30" s="424" t="s">
        <v>364</v>
      </c>
      <c r="LS30" s="424" t="s">
        <v>364</v>
      </c>
      <c r="LT30" s="424" t="s">
        <v>364</v>
      </c>
      <c r="LU30" s="424" t="s">
        <v>364</v>
      </c>
      <c r="LV30" s="424" t="s">
        <v>364</v>
      </c>
      <c r="LW30" s="424" t="s">
        <v>364</v>
      </c>
      <c r="LX30" s="424">
        <f t="shared" si="12"/>
        <v>0</v>
      </c>
      <c r="LY30" s="424" t="s">
        <v>364</v>
      </c>
      <c r="LZ30" s="424" t="s">
        <v>364</v>
      </c>
      <c r="MA30" s="424" t="s">
        <v>364</v>
      </c>
      <c r="MB30" s="424" t="s">
        <v>364</v>
      </c>
      <c r="MC30" s="424" t="s">
        <v>364</v>
      </c>
      <c r="MD30" s="424" t="s">
        <v>364</v>
      </c>
      <c r="ME30" s="424">
        <f t="shared" si="1"/>
        <v>0</v>
      </c>
      <c r="MF30" s="424" t="s">
        <v>364</v>
      </c>
      <c r="MG30" s="424" t="s">
        <v>364</v>
      </c>
      <c r="MH30" s="424" t="s">
        <v>364</v>
      </c>
      <c r="MI30" s="424" t="s">
        <v>364</v>
      </c>
      <c r="MJ30" s="424" t="s">
        <v>364</v>
      </c>
      <c r="MK30" s="424" t="s">
        <v>364</v>
      </c>
      <c r="ML30" s="424" t="s">
        <v>364</v>
      </c>
      <c r="MM30" s="424" t="s">
        <v>364</v>
      </c>
      <c r="MN30" s="424" t="s">
        <v>364</v>
      </c>
      <c r="MO30" s="424" t="s">
        <v>364</v>
      </c>
      <c r="MP30" s="424" t="s">
        <v>364</v>
      </c>
      <c r="MQ30" s="424" t="s">
        <v>364</v>
      </c>
      <c r="MR30" s="424" t="s">
        <v>364</v>
      </c>
      <c r="MS30" s="424" t="s">
        <v>364</v>
      </c>
      <c r="MT30" s="424" t="s">
        <v>364</v>
      </c>
      <c r="MU30" s="424" t="s">
        <v>364</v>
      </c>
      <c r="MV30" s="424" t="s">
        <v>364</v>
      </c>
      <c r="MW30" s="424" t="s">
        <v>364</v>
      </c>
      <c r="MX30" s="424">
        <f t="shared" si="13"/>
        <v>0</v>
      </c>
      <c r="MY30" s="424" t="s">
        <v>364</v>
      </c>
      <c r="MZ30" s="424" t="s">
        <v>364</v>
      </c>
      <c r="NA30" s="424" t="s">
        <v>364</v>
      </c>
      <c r="NB30" s="424" t="s">
        <v>364</v>
      </c>
      <c r="NC30" s="424" t="s">
        <v>364</v>
      </c>
      <c r="ND30" s="424" t="s">
        <v>364</v>
      </c>
      <c r="NE30" s="424" t="s">
        <v>364</v>
      </c>
      <c r="NF30" s="424" t="s">
        <v>364</v>
      </c>
      <c r="NG30" s="424" t="s">
        <v>6598</v>
      </c>
      <c r="NH30" s="424" t="s">
        <v>364</v>
      </c>
      <c r="NI30" s="424" t="s">
        <v>364</v>
      </c>
      <c r="NJ30" s="424" t="s">
        <v>364</v>
      </c>
      <c r="NK30" s="424">
        <f t="shared" si="2"/>
        <v>0</v>
      </c>
      <c r="NL30" s="424">
        <f t="shared" si="14"/>
        <v>0</v>
      </c>
      <c r="NM30" s="424" t="s">
        <v>364</v>
      </c>
      <c r="NN30" s="424" t="s">
        <v>364</v>
      </c>
      <c r="NO30" s="424" t="s">
        <v>364</v>
      </c>
      <c r="NP30" s="424" t="s">
        <v>364</v>
      </c>
      <c r="NQ30" s="424" t="s">
        <v>364</v>
      </c>
      <c r="NR30" s="424" t="s">
        <v>364</v>
      </c>
      <c r="NS30" s="424" t="s">
        <v>364</v>
      </c>
      <c r="NT30" s="424" t="s">
        <v>364</v>
      </c>
      <c r="NU30" s="424" t="s">
        <v>364</v>
      </c>
      <c r="NV30" s="424" t="s">
        <v>364</v>
      </c>
      <c r="NW30" s="424" t="s">
        <v>364</v>
      </c>
      <c r="NX30" s="424" t="s">
        <v>364</v>
      </c>
      <c r="NY30" s="424" t="s">
        <v>364</v>
      </c>
      <c r="NZ30" s="424">
        <f t="shared" si="15"/>
        <v>0</v>
      </c>
      <c r="OA30" s="424" t="s">
        <v>364</v>
      </c>
      <c r="OB30" s="424" t="s">
        <v>364</v>
      </c>
      <c r="OC30" s="424" t="s">
        <v>364</v>
      </c>
      <c r="OD30" s="424" t="s">
        <v>364</v>
      </c>
      <c r="OE30" s="424" t="s">
        <v>364</v>
      </c>
      <c r="OF30" s="424" t="s">
        <v>364</v>
      </c>
      <c r="OG30" s="424" t="s">
        <v>364</v>
      </c>
      <c r="OH30" s="424">
        <f t="shared" si="16"/>
        <v>0</v>
      </c>
      <c r="OI30" s="424">
        <f t="shared" si="17"/>
        <v>0</v>
      </c>
      <c r="OJ30" s="422" t="s">
        <v>364</v>
      </c>
      <c r="OK30" s="422" t="s">
        <v>364</v>
      </c>
      <c r="OL30" s="422" t="s">
        <v>364</v>
      </c>
      <c r="OM30" s="422" t="s">
        <v>364</v>
      </c>
      <c r="ON30" s="422" t="s">
        <v>364</v>
      </c>
      <c r="OO30" s="422" t="s">
        <v>364</v>
      </c>
      <c r="OP30" s="422" t="s">
        <v>364</v>
      </c>
      <c r="OQ30" s="422" t="s">
        <v>364</v>
      </c>
      <c r="OR30" s="422" t="s">
        <v>364</v>
      </c>
      <c r="OS30" s="422" t="s">
        <v>364</v>
      </c>
      <c r="OT30" s="422" t="s">
        <v>364</v>
      </c>
      <c r="OU30" s="422" t="s">
        <v>364</v>
      </c>
      <c r="OV30" s="422" t="s">
        <v>364</v>
      </c>
      <c r="OW30" s="422" t="s">
        <v>364</v>
      </c>
      <c r="OX30" s="422" t="s">
        <v>364</v>
      </c>
      <c r="OY30" s="422" t="s">
        <v>364</v>
      </c>
      <c r="OZ30" s="422" t="s">
        <v>364</v>
      </c>
      <c r="PA30" s="422" t="s">
        <v>364</v>
      </c>
      <c r="PB30" s="424">
        <f t="shared" si="18"/>
        <v>0</v>
      </c>
      <c r="PC30" s="422" t="s">
        <v>364</v>
      </c>
      <c r="PD30" s="422" t="s">
        <v>364</v>
      </c>
      <c r="PE30" s="422" t="s">
        <v>364</v>
      </c>
      <c r="PF30" s="422" t="s">
        <v>364</v>
      </c>
      <c r="PG30" s="422" t="s">
        <v>364</v>
      </c>
      <c r="PH30" s="422" t="s">
        <v>364</v>
      </c>
      <c r="PI30" s="422" t="s">
        <v>364</v>
      </c>
      <c r="PJ30" s="422" t="s">
        <v>364</v>
      </c>
    </row>
    <row r="31" spans="2:426" ht="16.5" customHeight="1">
      <c r="B31" s="426" t="s">
        <v>1012</v>
      </c>
      <c r="C31" s="422">
        <f t="shared" si="3"/>
        <v>119</v>
      </c>
      <c r="D31" s="422" t="s">
        <v>364</v>
      </c>
      <c r="E31" s="422" t="s">
        <v>364</v>
      </c>
      <c r="F31" s="422" t="s">
        <v>364</v>
      </c>
      <c r="G31" s="422" t="s">
        <v>364</v>
      </c>
      <c r="H31" s="422" t="s">
        <v>364</v>
      </c>
      <c r="I31" s="422" t="s">
        <v>364</v>
      </c>
      <c r="J31" s="422" t="s">
        <v>364</v>
      </c>
      <c r="K31" s="422" t="s">
        <v>364</v>
      </c>
      <c r="L31" s="422" t="s">
        <v>364</v>
      </c>
      <c r="M31" s="422" t="s">
        <v>364</v>
      </c>
      <c r="N31" s="422" t="s">
        <v>364</v>
      </c>
      <c r="O31" s="422" t="s">
        <v>364</v>
      </c>
      <c r="P31" s="422" t="s">
        <v>364</v>
      </c>
      <c r="Q31" s="422" t="s">
        <v>364</v>
      </c>
      <c r="R31" s="422" t="s">
        <v>364</v>
      </c>
      <c r="S31" s="422" t="s">
        <v>364</v>
      </c>
      <c r="T31" s="422" t="s">
        <v>364</v>
      </c>
      <c r="U31" s="422">
        <v>89</v>
      </c>
      <c r="V31" s="422" t="s">
        <v>364</v>
      </c>
      <c r="W31" s="422" t="s">
        <v>364</v>
      </c>
      <c r="X31" s="422" t="s">
        <v>364</v>
      </c>
      <c r="Y31" s="422" t="s">
        <v>364</v>
      </c>
      <c r="Z31" s="422">
        <v>30</v>
      </c>
      <c r="AA31" s="422" t="s">
        <v>364</v>
      </c>
      <c r="AB31" s="422" t="s">
        <v>364</v>
      </c>
      <c r="AC31" s="422" t="s">
        <v>364</v>
      </c>
      <c r="AD31" s="422" t="s">
        <v>364</v>
      </c>
      <c r="AE31" s="422" t="s">
        <v>364</v>
      </c>
      <c r="AF31" s="422" t="s">
        <v>364</v>
      </c>
      <c r="AG31" s="422" t="s">
        <v>364</v>
      </c>
      <c r="AH31" s="422" t="s">
        <v>364</v>
      </c>
      <c r="AI31" s="422" t="s">
        <v>364</v>
      </c>
      <c r="AJ31" s="422" t="s">
        <v>364</v>
      </c>
      <c r="AK31" s="422" t="s">
        <v>364</v>
      </c>
      <c r="AL31" s="422" t="s">
        <v>364</v>
      </c>
      <c r="AM31" s="422" t="s">
        <v>364</v>
      </c>
      <c r="AN31" s="422" t="s">
        <v>364</v>
      </c>
      <c r="AO31" s="422" t="s">
        <v>364</v>
      </c>
      <c r="AP31" s="422" t="s">
        <v>364</v>
      </c>
      <c r="AQ31" s="422">
        <f t="shared" si="0"/>
        <v>0</v>
      </c>
      <c r="AR31" s="422" t="s">
        <v>364</v>
      </c>
      <c r="AS31" s="422" t="s">
        <v>364</v>
      </c>
      <c r="AT31" s="422" t="s">
        <v>364</v>
      </c>
      <c r="AU31" s="422" t="s">
        <v>364</v>
      </c>
      <c r="AV31" s="422" t="s">
        <v>364</v>
      </c>
      <c r="AW31" s="422" t="s">
        <v>364</v>
      </c>
      <c r="AX31" s="422" t="s">
        <v>364</v>
      </c>
      <c r="AY31" s="422" t="s">
        <v>364</v>
      </c>
      <c r="AZ31" s="422" t="s">
        <v>364</v>
      </c>
      <c r="BA31" s="422" t="s">
        <v>364</v>
      </c>
      <c r="BB31" s="422" t="s">
        <v>364</v>
      </c>
      <c r="BC31" s="422" t="s">
        <v>364</v>
      </c>
      <c r="BD31" s="422" t="s">
        <v>364</v>
      </c>
      <c r="BE31" s="422" t="s">
        <v>364</v>
      </c>
      <c r="BF31" s="422" t="s">
        <v>364</v>
      </c>
      <c r="BG31" s="422" t="s">
        <v>364</v>
      </c>
      <c r="BH31" s="422" t="s">
        <v>364</v>
      </c>
      <c r="BI31" s="422" t="s">
        <v>364</v>
      </c>
      <c r="BJ31" s="422" t="s">
        <v>364</v>
      </c>
      <c r="BK31" s="422" t="s">
        <v>364</v>
      </c>
      <c r="BL31" s="422" t="s">
        <v>364</v>
      </c>
      <c r="BM31" s="422" t="s">
        <v>364</v>
      </c>
      <c r="BN31" s="422" t="s">
        <v>364</v>
      </c>
      <c r="BO31" s="422" t="s">
        <v>364</v>
      </c>
      <c r="BP31" s="422" t="s">
        <v>364</v>
      </c>
      <c r="BQ31" s="422" t="s">
        <v>364</v>
      </c>
      <c r="BR31" s="422" t="s">
        <v>364</v>
      </c>
      <c r="BS31" s="422" t="s">
        <v>364</v>
      </c>
      <c r="BT31" s="422" t="s">
        <v>364</v>
      </c>
      <c r="BU31" s="422" t="s">
        <v>364</v>
      </c>
      <c r="BV31" s="422" t="s">
        <v>364</v>
      </c>
      <c r="BW31" s="422" t="s">
        <v>364</v>
      </c>
      <c r="BX31" s="422" t="s">
        <v>364</v>
      </c>
      <c r="BY31" s="422" t="s">
        <v>364</v>
      </c>
      <c r="BZ31" s="422" t="s">
        <v>364</v>
      </c>
      <c r="CA31" s="422" t="s">
        <v>364</v>
      </c>
      <c r="CB31" s="422" t="s">
        <v>364</v>
      </c>
      <c r="CC31" s="422" t="s">
        <v>364</v>
      </c>
      <c r="CD31" s="422" t="s">
        <v>364</v>
      </c>
      <c r="CE31" s="422" t="s">
        <v>364</v>
      </c>
      <c r="CF31" s="422" t="s">
        <v>364</v>
      </c>
      <c r="CG31" s="422" t="s">
        <v>364</v>
      </c>
      <c r="CH31" s="422" t="s">
        <v>364</v>
      </c>
      <c r="CI31" s="422" t="s">
        <v>364</v>
      </c>
      <c r="CJ31" s="422" t="s">
        <v>364</v>
      </c>
      <c r="CK31" s="422" t="s">
        <v>364</v>
      </c>
      <c r="CL31" s="422" t="s">
        <v>364</v>
      </c>
      <c r="CM31" s="422" t="s">
        <v>364</v>
      </c>
      <c r="CN31" s="422" t="s">
        <v>364</v>
      </c>
      <c r="CO31" s="422" t="s">
        <v>364</v>
      </c>
      <c r="CP31" s="422" t="s">
        <v>364</v>
      </c>
      <c r="CQ31" s="422" t="s">
        <v>364</v>
      </c>
      <c r="CR31" s="422" t="s">
        <v>364</v>
      </c>
      <c r="CS31" s="422" t="s">
        <v>364</v>
      </c>
      <c r="CT31" s="422" t="s">
        <v>364</v>
      </c>
      <c r="CU31" s="422" t="s">
        <v>364</v>
      </c>
      <c r="CV31" s="422" t="s">
        <v>364</v>
      </c>
      <c r="CW31" s="422" t="s">
        <v>364</v>
      </c>
      <c r="CX31" s="422" t="s">
        <v>364</v>
      </c>
      <c r="CY31" s="422" t="s">
        <v>364</v>
      </c>
      <c r="CZ31" s="422" t="s">
        <v>364</v>
      </c>
      <c r="DA31" s="422" t="s">
        <v>364</v>
      </c>
      <c r="DB31" s="422" t="s">
        <v>364</v>
      </c>
      <c r="DC31" s="422" t="s">
        <v>364</v>
      </c>
      <c r="DD31" s="422" t="s">
        <v>364</v>
      </c>
      <c r="DE31" s="422" t="s">
        <v>364</v>
      </c>
      <c r="DF31" s="422" t="s">
        <v>364</v>
      </c>
      <c r="DG31" s="422" t="s">
        <v>364</v>
      </c>
      <c r="DH31" s="422" t="s">
        <v>364</v>
      </c>
      <c r="DI31" s="422" t="s">
        <v>364</v>
      </c>
      <c r="DJ31" s="422" t="s">
        <v>364</v>
      </c>
      <c r="DK31" s="422">
        <f t="shared" si="4"/>
        <v>1</v>
      </c>
      <c r="DL31" s="422" t="s">
        <v>364</v>
      </c>
      <c r="DM31" s="422" t="s">
        <v>364</v>
      </c>
      <c r="DN31" s="422" t="s">
        <v>364</v>
      </c>
      <c r="DO31" s="422" t="s">
        <v>364</v>
      </c>
      <c r="DP31" s="422" t="s">
        <v>364</v>
      </c>
      <c r="DQ31" s="422" t="s">
        <v>364</v>
      </c>
      <c r="DR31" s="422" t="s">
        <v>364</v>
      </c>
      <c r="DS31" s="422" t="s">
        <v>364</v>
      </c>
      <c r="DT31" s="422" t="s">
        <v>364</v>
      </c>
      <c r="DU31" s="422" t="s">
        <v>364</v>
      </c>
      <c r="DV31" s="422">
        <v>1</v>
      </c>
      <c r="DW31" s="422" t="s">
        <v>364</v>
      </c>
      <c r="DX31" s="422" t="s">
        <v>364</v>
      </c>
      <c r="DY31" s="422">
        <f t="shared" si="5"/>
        <v>141</v>
      </c>
      <c r="DZ31" s="422">
        <v>120</v>
      </c>
      <c r="EA31" s="422" t="s">
        <v>364</v>
      </c>
      <c r="EB31" s="422" t="s">
        <v>364</v>
      </c>
      <c r="EC31" s="422" t="s">
        <v>364</v>
      </c>
      <c r="ED31" s="422" t="s">
        <v>364</v>
      </c>
      <c r="EE31" s="422" t="s">
        <v>364</v>
      </c>
      <c r="EF31" s="422" t="s">
        <v>364</v>
      </c>
      <c r="EG31" s="422" t="s">
        <v>364</v>
      </c>
      <c r="EH31" s="422" t="s">
        <v>364</v>
      </c>
      <c r="EI31" s="422" t="s">
        <v>364</v>
      </c>
      <c r="EJ31" s="422">
        <v>21</v>
      </c>
      <c r="EK31" s="422" t="s">
        <v>364</v>
      </c>
      <c r="EL31" s="422" t="s">
        <v>364</v>
      </c>
      <c r="EM31" s="422" t="s">
        <v>364</v>
      </c>
      <c r="EN31" s="422" t="s">
        <v>364</v>
      </c>
      <c r="EO31" s="422" t="s">
        <v>364</v>
      </c>
      <c r="EP31" s="422" t="s">
        <v>364</v>
      </c>
      <c r="EQ31" s="422" t="s">
        <v>364</v>
      </c>
      <c r="ER31" s="422" t="s">
        <v>364</v>
      </c>
      <c r="ES31" s="422" t="s">
        <v>364</v>
      </c>
      <c r="ET31" s="422" t="s">
        <v>364</v>
      </c>
      <c r="EU31" s="422" t="s">
        <v>364</v>
      </c>
      <c r="EV31" s="422" t="s">
        <v>364</v>
      </c>
      <c r="EW31" s="422" t="s">
        <v>364</v>
      </c>
      <c r="EX31" s="422" t="s">
        <v>364</v>
      </c>
      <c r="EY31" s="422" t="s">
        <v>364</v>
      </c>
      <c r="EZ31" s="422" t="s">
        <v>364</v>
      </c>
      <c r="FA31" s="422">
        <f t="shared" si="6"/>
        <v>390</v>
      </c>
      <c r="FB31" s="422" t="s">
        <v>364</v>
      </c>
      <c r="FC31" s="422">
        <v>98</v>
      </c>
      <c r="FD31" s="422" t="s">
        <v>364</v>
      </c>
      <c r="FE31" s="422" t="s">
        <v>364</v>
      </c>
      <c r="FF31" s="422" t="s">
        <v>364</v>
      </c>
      <c r="FG31" s="422" t="s">
        <v>364</v>
      </c>
      <c r="FH31" s="422">
        <v>185</v>
      </c>
      <c r="FI31" s="422">
        <v>107</v>
      </c>
      <c r="FJ31" s="422" t="s">
        <v>364</v>
      </c>
      <c r="FK31" s="422" t="s">
        <v>364</v>
      </c>
      <c r="FL31" s="422" t="s">
        <v>364</v>
      </c>
      <c r="FM31" s="422" t="s">
        <v>364</v>
      </c>
      <c r="FN31" s="422" t="s">
        <v>364</v>
      </c>
      <c r="FO31" s="422" t="s">
        <v>364</v>
      </c>
      <c r="FP31" s="422" t="s">
        <v>364</v>
      </c>
      <c r="FQ31" s="422" t="s">
        <v>364</v>
      </c>
      <c r="FR31" s="422" t="s">
        <v>364</v>
      </c>
      <c r="FS31" s="422" t="s">
        <v>364</v>
      </c>
      <c r="FT31" s="422" t="s">
        <v>364</v>
      </c>
      <c r="FU31" s="422" t="s">
        <v>364</v>
      </c>
      <c r="FV31" s="422" t="s">
        <v>364</v>
      </c>
      <c r="FW31" s="422" t="s">
        <v>364</v>
      </c>
      <c r="FX31" s="422" t="s">
        <v>364</v>
      </c>
      <c r="FY31" s="422" t="s">
        <v>364</v>
      </c>
      <c r="FZ31" s="422" t="s">
        <v>364</v>
      </c>
      <c r="GA31" s="422" t="s">
        <v>364</v>
      </c>
      <c r="GB31" s="422" t="s">
        <v>364</v>
      </c>
      <c r="GC31" s="422" t="s">
        <v>364</v>
      </c>
      <c r="GD31" s="422" t="s">
        <v>364</v>
      </c>
      <c r="GE31" s="422" t="s">
        <v>364</v>
      </c>
      <c r="GF31" s="422" t="s">
        <v>364</v>
      </c>
      <c r="GG31" s="422" t="s">
        <v>364</v>
      </c>
      <c r="GH31" s="422" t="s">
        <v>364</v>
      </c>
      <c r="GI31" s="422" t="s">
        <v>364</v>
      </c>
      <c r="GJ31" s="422" t="s">
        <v>364</v>
      </c>
      <c r="GK31" s="422" t="s">
        <v>364</v>
      </c>
      <c r="GL31" s="422" t="s">
        <v>364</v>
      </c>
      <c r="GM31" s="422" t="s">
        <v>364</v>
      </c>
      <c r="GN31" s="422" t="s">
        <v>364</v>
      </c>
      <c r="GO31" s="422" t="s">
        <v>364</v>
      </c>
      <c r="GP31" s="422" t="s">
        <v>364</v>
      </c>
      <c r="GQ31" s="422" t="s">
        <v>364</v>
      </c>
      <c r="GR31" s="422" t="s">
        <v>364</v>
      </c>
      <c r="GS31" s="422" t="s">
        <v>364</v>
      </c>
      <c r="GT31" s="422" t="s">
        <v>364</v>
      </c>
      <c r="GU31" s="422" t="s">
        <v>364</v>
      </c>
      <c r="GV31" s="422">
        <f t="shared" si="7"/>
        <v>0</v>
      </c>
      <c r="GW31" s="422" t="s">
        <v>364</v>
      </c>
      <c r="GX31" s="422" t="s">
        <v>364</v>
      </c>
      <c r="GY31" s="422" t="s">
        <v>364</v>
      </c>
      <c r="GZ31" s="422" t="s">
        <v>364</v>
      </c>
      <c r="HA31" s="422" t="s">
        <v>364</v>
      </c>
      <c r="HB31" s="422" t="s">
        <v>364</v>
      </c>
      <c r="HC31" s="422" t="s">
        <v>364</v>
      </c>
      <c r="HD31" s="422" t="s">
        <v>364</v>
      </c>
      <c r="HE31" s="422" t="s">
        <v>364</v>
      </c>
      <c r="HF31" s="422" t="s">
        <v>364</v>
      </c>
      <c r="HG31" s="422" t="s">
        <v>364</v>
      </c>
      <c r="HH31" s="422" t="s">
        <v>364</v>
      </c>
      <c r="HI31" s="422" t="s">
        <v>364</v>
      </c>
      <c r="HJ31" s="422" t="s">
        <v>364</v>
      </c>
      <c r="HK31" s="422" t="s">
        <v>364</v>
      </c>
      <c r="HL31" s="422" t="s">
        <v>364</v>
      </c>
      <c r="HM31" s="422" t="s">
        <v>364</v>
      </c>
      <c r="HN31" s="422" t="s">
        <v>364</v>
      </c>
      <c r="HO31" s="422" t="s">
        <v>364</v>
      </c>
      <c r="HP31" s="422" t="s">
        <v>364</v>
      </c>
      <c r="HQ31" s="422" t="s">
        <v>364</v>
      </c>
      <c r="HR31" s="422" t="s">
        <v>364</v>
      </c>
      <c r="HS31" s="422" t="s">
        <v>364</v>
      </c>
      <c r="HT31" s="422" t="s">
        <v>364</v>
      </c>
      <c r="HU31" s="422" t="s">
        <v>364</v>
      </c>
      <c r="HV31" s="422" t="s">
        <v>364</v>
      </c>
      <c r="HW31" s="422" t="s">
        <v>364</v>
      </c>
      <c r="HX31" s="422" t="s">
        <v>364</v>
      </c>
      <c r="HY31" s="422">
        <f t="shared" si="8"/>
        <v>86</v>
      </c>
      <c r="HZ31" s="422" t="s">
        <v>364</v>
      </c>
      <c r="IA31" s="422">
        <v>86</v>
      </c>
      <c r="IB31" s="422" t="s">
        <v>364</v>
      </c>
      <c r="IC31" s="422" t="s">
        <v>364</v>
      </c>
      <c r="ID31" s="422" t="s">
        <v>364</v>
      </c>
      <c r="IE31" s="422" t="s">
        <v>364</v>
      </c>
      <c r="IF31" s="422">
        <f t="shared" si="9"/>
        <v>0</v>
      </c>
      <c r="IG31" s="422" t="s">
        <v>364</v>
      </c>
      <c r="IH31" s="422" t="s">
        <v>364</v>
      </c>
      <c r="II31" s="422" t="s">
        <v>364</v>
      </c>
      <c r="IJ31" s="422" t="s">
        <v>364</v>
      </c>
      <c r="IK31" s="422" t="s">
        <v>364</v>
      </c>
      <c r="IL31" s="422" t="s">
        <v>364</v>
      </c>
      <c r="IM31" s="422" t="s">
        <v>364</v>
      </c>
      <c r="IN31" s="422" t="s">
        <v>364</v>
      </c>
      <c r="IO31" s="422" t="s">
        <v>364</v>
      </c>
      <c r="IP31" s="422" t="s">
        <v>364</v>
      </c>
      <c r="IQ31" s="422" t="s">
        <v>364</v>
      </c>
      <c r="IR31" s="422" t="s">
        <v>364</v>
      </c>
      <c r="IS31" s="422" t="s">
        <v>364</v>
      </c>
      <c r="IT31" s="422" t="s">
        <v>364</v>
      </c>
      <c r="IU31" s="422" t="s">
        <v>364</v>
      </c>
      <c r="IV31" s="422" t="s">
        <v>364</v>
      </c>
      <c r="IW31" s="422" t="s">
        <v>364</v>
      </c>
      <c r="IX31" s="422" t="s">
        <v>364</v>
      </c>
      <c r="IY31" s="422" t="s">
        <v>364</v>
      </c>
      <c r="IZ31" s="422">
        <f t="shared" si="10"/>
        <v>0</v>
      </c>
      <c r="JA31" s="422" t="s">
        <v>364</v>
      </c>
      <c r="JB31" s="422" t="s">
        <v>364</v>
      </c>
      <c r="JC31" s="422" t="s">
        <v>364</v>
      </c>
      <c r="JD31" s="422" t="s">
        <v>364</v>
      </c>
      <c r="JE31" s="422" t="s">
        <v>364</v>
      </c>
      <c r="JF31" s="422" t="s">
        <v>364</v>
      </c>
      <c r="JG31" s="422" t="s">
        <v>364</v>
      </c>
      <c r="JH31" s="422" t="s">
        <v>364</v>
      </c>
      <c r="JI31" s="422" t="s">
        <v>364</v>
      </c>
      <c r="JJ31" s="422" t="s">
        <v>364</v>
      </c>
      <c r="JK31" s="422" t="s">
        <v>364</v>
      </c>
      <c r="JL31" s="422" t="s">
        <v>364</v>
      </c>
      <c r="JM31" s="422" t="s">
        <v>364</v>
      </c>
      <c r="JN31" s="422" t="s">
        <v>364</v>
      </c>
      <c r="JO31" s="422" t="s">
        <v>364</v>
      </c>
      <c r="JP31" s="422" t="s">
        <v>364</v>
      </c>
      <c r="JQ31" s="422" t="s">
        <v>364</v>
      </c>
      <c r="JR31" s="422" t="s">
        <v>364</v>
      </c>
      <c r="JS31" s="422" t="s">
        <v>364</v>
      </c>
      <c r="JT31" s="422" t="s">
        <v>364</v>
      </c>
      <c r="JU31" s="422" t="s">
        <v>364</v>
      </c>
      <c r="JV31" s="422" t="s">
        <v>364</v>
      </c>
      <c r="JW31" s="422">
        <f t="shared" si="11"/>
        <v>14</v>
      </c>
      <c r="JX31" s="422" t="s">
        <v>364</v>
      </c>
      <c r="JY31" s="422" t="s">
        <v>364</v>
      </c>
      <c r="JZ31" s="422" t="s">
        <v>364</v>
      </c>
      <c r="KA31" s="422" t="s">
        <v>364</v>
      </c>
      <c r="KB31" s="422" t="s">
        <v>364</v>
      </c>
      <c r="KC31" s="422" t="s">
        <v>364</v>
      </c>
      <c r="KD31" s="422" t="s">
        <v>364</v>
      </c>
      <c r="KE31" s="422" t="s">
        <v>364</v>
      </c>
      <c r="KF31" s="422" t="s">
        <v>364</v>
      </c>
      <c r="KG31" s="422" t="s">
        <v>364</v>
      </c>
      <c r="KH31" s="422" t="s">
        <v>364</v>
      </c>
      <c r="KI31" s="422" t="s">
        <v>364</v>
      </c>
      <c r="KJ31" s="422" t="s">
        <v>364</v>
      </c>
      <c r="KK31" s="422" t="s">
        <v>364</v>
      </c>
      <c r="KL31" s="422">
        <v>12</v>
      </c>
      <c r="KM31" s="422">
        <v>2</v>
      </c>
      <c r="KN31" s="422" t="s">
        <v>364</v>
      </c>
      <c r="KO31" s="422" t="s">
        <v>364</v>
      </c>
      <c r="KP31" s="422" t="s">
        <v>364</v>
      </c>
      <c r="KQ31" s="422" t="s">
        <v>364</v>
      </c>
      <c r="KR31" s="422" t="s">
        <v>364</v>
      </c>
      <c r="KS31" s="422" t="s">
        <v>364</v>
      </c>
      <c r="KT31" s="422" t="s">
        <v>364</v>
      </c>
      <c r="KU31" s="422" t="s">
        <v>364</v>
      </c>
      <c r="KV31" s="422" t="s">
        <v>364</v>
      </c>
      <c r="KW31" s="422" t="s">
        <v>364</v>
      </c>
      <c r="KX31" s="422" t="s">
        <v>364</v>
      </c>
      <c r="KY31" s="422" t="s">
        <v>364</v>
      </c>
      <c r="KZ31" s="422" t="s">
        <v>364</v>
      </c>
      <c r="LA31" s="422" t="s">
        <v>364</v>
      </c>
      <c r="LB31" s="422" t="s">
        <v>364</v>
      </c>
      <c r="LC31" s="422" t="s">
        <v>364</v>
      </c>
      <c r="LD31" s="422" t="s">
        <v>364</v>
      </c>
      <c r="LE31" s="422" t="s">
        <v>364</v>
      </c>
      <c r="LF31" s="422" t="s">
        <v>364</v>
      </c>
      <c r="LG31" s="422" t="s">
        <v>364</v>
      </c>
      <c r="LH31" s="422" t="s">
        <v>364</v>
      </c>
      <c r="LI31" s="422" t="s">
        <v>364</v>
      </c>
      <c r="LJ31" s="422" t="s">
        <v>364</v>
      </c>
      <c r="LK31" s="422" t="s">
        <v>364</v>
      </c>
      <c r="LL31" s="422" t="s">
        <v>364</v>
      </c>
      <c r="LM31" s="424" t="s">
        <v>364</v>
      </c>
      <c r="LN31" s="424">
        <v>0</v>
      </c>
      <c r="LO31" s="424" t="s">
        <v>364</v>
      </c>
      <c r="LP31" s="424" t="s">
        <v>364</v>
      </c>
      <c r="LQ31" s="424" t="s">
        <v>364</v>
      </c>
      <c r="LR31" s="424" t="s">
        <v>364</v>
      </c>
      <c r="LS31" s="424" t="s">
        <v>364</v>
      </c>
      <c r="LT31" s="424" t="s">
        <v>364</v>
      </c>
      <c r="LU31" s="424" t="s">
        <v>364</v>
      </c>
      <c r="LV31" s="424" t="s">
        <v>364</v>
      </c>
      <c r="LW31" s="424" t="s">
        <v>364</v>
      </c>
      <c r="LX31" s="424">
        <f t="shared" si="12"/>
        <v>0</v>
      </c>
      <c r="LY31" s="424" t="s">
        <v>364</v>
      </c>
      <c r="LZ31" s="424" t="s">
        <v>364</v>
      </c>
      <c r="MA31" s="424" t="s">
        <v>364</v>
      </c>
      <c r="MB31" s="424" t="s">
        <v>364</v>
      </c>
      <c r="MC31" s="424" t="s">
        <v>364</v>
      </c>
      <c r="MD31" s="424" t="s">
        <v>364</v>
      </c>
      <c r="ME31" s="424">
        <f t="shared" si="1"/>
        <v>0</v>
      </c>
      <c r="MF31" s="424" t="s">
        <v>364</v>
      </c>
      <c r="MG31" s="424" t="s">
        <v>364</v>
      </c>
      <c r="MH31" s="424" t="s">
        <v>364</v>
      </c>
      <c r="MI31" s="424" t="s">
        <v>364</v>
      </c>
      <c r="MJ31" s="424" t="s">
        <v>364</v>
      </c>
      <c r="MK31" s="424" t="s">
        <v>364</v>
      </c>
      <c r="ML31" s="424" t="s">
        <v>364</v>
      </c>
      <c r="MM31" s="424" t="s">
        <v>364</v>
      </c>
      <c r="MN31" s="424" t="s">
        <v>364</v>
      </c>
      <c r="MO31" s="424" t="s">
        <v>364</v>
      </c>
      <c r="MP31" s="424" t="s">
        <v>364</v>
      </c>
      <c r="MQ31" s="424" t="s">
        <v>364</v>
      </c>
      <c r="MR31" s="424" t="s">
        <v>364</v>
      </c>
      <c r="MS31" s="424" t="s">
        <v>364</v>
      </c>
      <c r="MT31" s="424" t="s">
        <v>364</v>
      </c>
      <c r="MU31" s="424" t="s">
        <v>364</v>
      </c>
      <c r="MV31" s="424" t="s">
        <v>364</v>
      </c>
      <c r="MW31" s="424" t="s">
        <v>364</v>
      </c>
      <c r="MX31" s="424">
        <f t="shared" si="13"/>
        <v>0</v>
      </c>
      <c r="MY31" s="424" t="s">
        <v>364</v>
      </c>
      <c r="MZ31" s="424" t="s">
        <v>364</v>
      </c>
      <c r="NA31" s="424" t="s">
        <v>6598</v>
      </c>
      <c r="NB31" s="424" t="s">
        <v>364</v>
      </c>
      <c r="NC31" s="424" t="s">
        <v>364</v>
      </c>
      <c r="ND31" s="424" t="s">
        <v>6598</v>
      </c>
      <c r="NE31" s="424" t="s">
        <v>364</v>
      </c>
      <c r="NF31" s="424" t="s">
        <v>6598</v>
      </c>
      <c r="NG31" s="424" t="s">
        <v>364</v>
      </c>
      <c r="NH31" s="424" t="s">
        <v>364</v>
      </c>
      <c r="NI31" s="424" t="s">
        <v>364</v>
      </c>
      <c r="NJ31" s="424" t="s">
        <v>364</v>
      </c>
      <c r="NK31" s="424">
        <f t="shared" si="2"/>
        <v>0</v>
      </c>
      <c r="NL31" s="424">
        <f t="shared" si="14"/>
        <v>0</v>
      </c>
      <c r="NM31" s="424" t="s">
        <v>364</v>
      </c>
      <c r="NN31" s="424" t="s">
        <v>364</v>
      </c>
      <c r="NO31" s="424" t="s">
        <v>364</v>
      </c>
      <c r="NP31" s="424" t="s">
        <v>364</v>
      </c>
      <c r="NQ31" s="424" t="s">
        <v>364</v>
      </c>
      <c r="NR31" s="424" t="s">
        <v>364</v>
      </c>
      <c r="NS31" s="424" t="s">
        <v>364</v>
      </c>
      <c r="NT31" s="424" t="s">
        <v>364</v>
      </c>
      <c r="NU31" s="424" t="s">
        <v>364</v>
      </c>
      <c r="NV31" s="424" t="s">
        <v>364</v>
      </c>
      <c r="NW31" s="424" t="s">
        <v>364</v>
      </c>
      <c r="NX31" s="424" t="s">
        <v>364</v>
      </c>
      <c r="NY31" s="424" t="s">
        <v>364</v>
      </c>
      <c r="NZ31" s="424">
        <f t="shared" si="15"/>
        <v>0</v>
      </c>
      <c r="OA31" s="424" t="s">
        <v>364</v>
      </c>
      <c r="OB31" s="424" t="s">
        <v>364</v>
      </c>
      <c r="OC31" s="424" t="s">
        <v>364</v>
      </c>
      <c r="OD31" s="424" t="s">
        <v>364</v>
      </c>
      <c r="OE31" s="424" t="s">
        <v>364</v>
      </c>
      <c r="OF31" s="424" t="s">
        <v>364</v>
      </c>
      <c r="OG31" s="424" t="s">
        <v>364</v>
      </c>
      <c r="OH31" s="424">
        <f t="shared" si="16"/>
        <v>0</v>
      </c>
      <c r="OI31" s="424">
        <f t="shared" si="17"/>
        <v>0</v>
      </c>
      <c r="OJ31" s="422" t="s">
        <v>364</v>
      </c>
      <c r="OK31" s="422" t="s">
        <v>364</v>
      </c>
      <c r="OL31" s="422" t="s">
        <v>364</v>
      </c>
      <c r="OM31" s="422" t="s">
        <v>364</v>
      </c>
      <c r="ON31" s="422" t="s">
        <v>364</v>
      </c>
      <c r="OO31" s="422" t="s">
        <v>364</v>
      </c>
      <c r="OP31" s="422" t="s">
        <v>364</v>
      </c>
      <c r="OQ31" s="422" t="s">
        <v>364</v>
      </c>
      <c r="OR31" s="422" t="s">
        <v>364</v>
      </c>
      <c r="OS31" s="422" t="s">
        <v>364</v>
      </c>
      <c r="OT31" s="422" t="s">
        <v>364</v>
      </c>
      <c r="OU31" s="422" t="s">
        <v>364</v>
      </c>
      <c r="OV31" s="422" t="s">
        <v>364</v>
      </c>
      <c r="OW31" s="422" t="s">
        <v>364</v>
      </c>
      <c r="OX31" s="422" t="s">
        <v>364</v>
      </c>
      <c r="OY31" s="422" t="s">
        <v>364</v>
      </c>
      <c r="OZ31" s="422" t="s">
        <v>364</v>
      </c>
      <c r="PA31" s="422" t="s">
        <v>364</v>
      </c>
      <c r="PB31" s="424">
        <f t="shared" si="18"/>
        <v>0</v>
      </c>
      <c r="PC31" s="422" t="s">
        <v>364</v>
      </c>
      <c r="PD31" s="422" t="s">
        <v>364</v>
      </c>
      <c r="PE31" s="422" t="s">
        <v>364</v>
      </c>
      <c r="PF31" s="422" t="s">
        <v>364</v>
      </c>
      <c r="PG31" s="422" t="s">
        <v>364</v>
      </c>
      <c r="PH31" s="422" t="s">
        <v>364</v>
      </c>
      <c r="PI31" s="422" t="s">
        <v>364</v>
      </c>
      <c r="PJ31" s="422" t="s">
        <v>364</v>
      </c>
    </row>
    <row r="32" spans="2:426" ht="16.5" customHeight="1">
      <c r="B32" s="426" t="s">
        <v>454</v>
      </c>
      <c r="C32" s="422">
        <f t="shared" si="3"/>
        <v>56</v>
      </c>
      <c r="D32" s="422">
        <v>56</v>
      </c>
      <c r="E32" s="422" t="s">
        <v>364</v>
      </c>
      <c r="F32" s="422" t="s">
        <v>364</v>
      </c>
      <c r="G32" s="422" t="s">
        <v>364</v>
      </c>
      <c r="H32" s="422" t="s">
        <v>364</v>
      </c>
      <c r="I32" s="422" t="s">
        <v>364</v>
      </c>
      <c r="J32" s="422" t="s">
        <v>364</v>
      </c>
      <c r="K32" s="422" t="s">
        <v>364</v>
      </c>
      <c r="L32" s="422" t="s">
        <v>364</v>
      </c>
      <c r="M32" s="422" t="s">
        <v>364</v>
      </c>
      <c r="N32" s="422" t="s">
        <v>364</v>
      </c>
      <c r="O32" s="422" t="s">
        <v>364</v>
      </c>
      <c r="P32" s="422" t="s">
        <v>364</v>
      </c>
      <c r="Q32" s="422" t="s">
        <v>364</v>
      </c>
      <c r="R32" s="422" t="s">
        <v>364</v>
      </c>
      <c r="S32" s="422" t="s">
        <v>364</v>
      </c>
      <c r="T32" s="422" t="s">
        <v>364</v>
      </c>
      <c r="U32" s="422" t="s">
        <v>364</v>
      </c>
      <c r="V32" s="422" t="s">
        <v>364</v>
      </c>
      <c r="W32" s="422" t="s">
        <v>364</v>
      </c>
      <c r="X32" s="422" t="s">
        <v>364</v>
      </c>
      <c r="Y32" s="422" t="s">
        <v>364</v>
      </c>
      <c r="Z32" s="422" t="s">
        <v>364</v>
      </c>
      <c r="AA32" s="422" t="s">
        <v>364</v>
      </c>
      <c r="AB32" s="422" t="s">
        <v>364</v>
      </c>
      <c r="AC32" s="422" t="s">
        <v>364</v>
      </c>
      <c r="AD32" s="422" t="s">
        <v>364</v>
      </c>
      <c r="AE32" s="422" t="s">
        <v>364</v>
      </c>
      <c r="AF32" s="422" t="s">
        <v>364</v>
      </c>
      <c r="AG32" s="422" t="s">
        <v>364</v>
      </c>
      <c r="AH32" s="422" t="s">
        <v>364</v>
      </c>
      <c r="AI32" s="422" t="s">
        <v>364</v>
      </c>
      <c r="AJ32" s="422" t="s">
        <v>364</v>
      </c>
      <c r="AK32" s="422" t="s">
        <v>364</v>
      </c>
      <c r="AL32" s="422" t="s">
        <v>364</v>
      </c>
      <c r="AM32" s="422" t="s">
        <v>364</v>
      </c>
      <c r="AN32" s="422" t="s">
        <v>364</v>
      </c>
      <c r="AO32" s="422" t="s">
        <v>364</v>
      </c>
      <c r="AP32" s="422" t="s">
        <v>364</v>
      </c>
      <c r="AQ32" s="422">
        <f t="shared" si="0"/>
        <v>144</v>
      </c>
      <c r="AR32" s="422">
        <v>32</v>
      </c>
      <c r="AS32" s="422" t="s">
        <v>364</v>
      </c>
      <c r="AT32" s="422" t="s">
        <v>364</v>
      </c>
      <c r="AU32" s="422" t="s">
        <v>364</v>
      </c>
      <c r="AV32" s="422" t="s">
        <v>364</v>
      </c>
      <c r="AW32" s="422">
        <v>78</v>
      </c>
      <c r="AX32" s="422">
        <v>34</v>
      </c>
      <c r="AY32" s="422" t="s">
        <v>364</v>
      </c>
      <c r="AZ32" s="422" t="s">
        <v>364</v>
      </c>
      <c r="BA32" s="422" t="s">
        <v>364</v>
      </c>
      <c r="BB32" s="422" t="s">
        <v>364</v>
      </c>
      <c r="BC32" s="422" t="s">
        <v>364</v>
      </c>
      <c r="BD32" s="422" t="s">
        <v>364</v>
      </c>
      <c r="BE32" s="422" t="s">
        <v>364</v>
      </c>
      <c r="BF32" s="422" t="s">
        <v>364</v>
      </c>
      <c r="BG32" s="422" t="s">
        <v>364</v>
      </c>
      <c r="BH32" s="422" t="s">
        <v>364</v>
      </c>
      <c r="BI32" s="422" t="s">
        <v>364</v>
      </c>
      <c r="BJ32" s="422" t="s">
        <v>364</v>
      </c>
      <c r="BK32" s="422" t="s">
        <v>364</v>
      </c>
      <c r="BL32" s="422" t="s">
        <v>364</v>
      </c>
      <c r="BM32" s="422" t="s">
        <v>364</v>
      </c>
      <c r="BN32" s="422" t="s">
        <v>364</v>
      </c>
      <c r="BO32" s="422" t="s">
        <v>364</v>
      </c>
      <c r="BP32" s="422" t="s">
        <v>364</v>
      </c>
      <c r="BQ32" s="422" t="s">
        <v>364</v>
      </c>
      <c r="BR32" s="422" t="s">
        <v>364</v>
      </c>
      <c r="BS32" s="422" t="s">
        <v>364</v>
      </c>
      <c r="BT32" s="422" t="s">
        <v>364</v>
      </c>
      <c r="BU32" s="422" t="s">
        <v>364</v>
      </c>
      <c r="BV32" s="422" t="s">
        <v>364</v>
      </c>
      <c r="BW32" s="422" t="s">
        <v>364</v>
      </c>
      <c r="BX32" s="422" t="s">
        <v>364</v>
      </c>
      <c r="BY32" s="422" t="s">
        <v>364</v>
      </c>
      <c r="BZ32" s="422" t="s">
        <v>364</v>
      </c>
      <c r="CA32" s="422" t="s">
        <v>364</v>
      </c>
      <c r="CB32" s="422" t="s">
        <v>364</v>
      </c>
      <c r="CC32" s="422" t="s">
        <v>364</v>
      </c>
      <c r="CD32" s="422" t="s">
        <v>364</v>
      </c>
      <c r="CE32" s="422" t="s">
        <v>364</v>
      </c>
      <c r="CF32" s="422" t="s">
        <v>364</v>
      </c>
      <c r="CG32" s="422" t="s">
        <v>364</v>
      </c>
      <c r="CH32" s="422" t="s">
        <v>364</v>
      </c>
      <c r="CI32" s="422" t="s">
        <v>364</v>
      </c>
      <c r="CJ32" s="422" t="s">
        <v>364</v>
      </c>
      <c r="CK32" s="422" t="s">
        <v>364</v>
      </c>
      <c r="CL32" s="422" t="s">
        <v>364</v>
      </c>
      <c r="CM32" s="422" t="s">
        <v>364</v>
      </c>
      <c r="CN32" s="422" t="s">
        <v>364</v>
      </c>
      <c r="CO32" s="422" t="s">
        <v>364</v>
      </c>
      <c r="CP32" s="422" t="s">
        <v>364</v>
      </c>
      <c r="CQ32" s="422" t="s">
        <v>364</v>
      </c>
      <c r="CR32" s="422" t="s">
        <v>364</v>
      </c>
      <c r="CS32" s="422" t="s">
        <v>364</v>
      </c>
      <c r="CT32" s="422" t="s">
        <v>364</v>
      </c>
      <c r="CU32" s="422" t="s">
        <v>364</v>
      </c>
      <c r="CV32" s="422" t="s">
        <v>364</v>
      </c>
      <c r="CW32" s="422" t="s">
        <v>364</v>
      </c>
      <c r="CX32" s="422" t="s">
        <v>364</v>
      </c>
      <c r="CY32" s="422" t="s">
        <v>364</v>
      </c>
      <c r="CZ32" s="422" t="s">
        <v>364</v>
      </c>
      <c r="DA32" s="422" t="s">
        <v>364</v>
      </c>
      <c r="DB32" s="422" t="s">
        <v>364</v>
      </c>
      <c r="DC32" s="422" t="s">
        <v>364</v>
      </c>
      <c r="DD32" s="422" t="s">
        <v>364</v>
      </c>
      <c r="DE32" s="422" t="s">
        <v>364</v>
      </c>
      <c r="DF32" s="422" t="s">
        <v>364</v>
      </c>
      <c r="DG32" s="422" t="s">
        <v>364</v>
      </c>
      <c r="DH32" s="422" t="s">
        <v>364</v>
      </c>
      <c r="DI32" s="422" t="s">
        <v>364</v>
      </c>
      <c r="DJ32" s="422" t="s">
        <v>364</v>
      </c>
      <c r="DK32" s="422">
        <f t="shared" si="4"/>
        <v>0</v>
      </c>
      <c r="DL32" s="422" t="s">
        <v>364</v>
      </c>
      <c r="DM32" s="422" t="s">
        <v>364</v>
      </c>
      <c r="DN32" s="422" t="s">
        <v>364</v>
      </c>
      <c r="DO32" s="422" t="s">
        <v>364</v>
      </c>
      <c r="DP32" s="422" t="s">
        <v>364</v>
      </c>
      <c r="DQ32" s="422" t="s">
        <v>364</v>
      </c>
      <c r="DR32" s="422" t="s">
        <v>364</v>
      </c>
      <c r="DS32" s="422" t="s">
        <v>364</v>
      </c>
      <c r="DT32" s="422" t="s">
        <v>364</v>
      </c>
      <c r="DU32" s="422" t="s">
        <v>364</v>
      </c>
      <c r="DV32" s="422" t="s">
        <v>364</v>
      </c>
      <c r="DW32" s="422" t="s">
        <v>364</v>
      </c>
      <c r="DX32" s="422" t="s">
        <v>364</v>
      </c>
      <c r="DY32" s="422">
        <f t="shared" si="5"/>
        <v>216</v>
      </c>
      <c r="DZ32" s="422">
        <v>150</v>
      </c>
      <c r="EA32" s="422" t="s">
        <v>364</v>
      </c>
      <c r="EB32" s="422" t="s">
        <v>364</v>
      </c>
      <c r="EC32" s="422" t="s">
        <v>364</v>
      </c>
      <c r="ED32" s="422" t="s">
        <v>364</v>
      </c>
      <c r="EE32" s="422" t="s">
        <v>364</v>
      </c>
      <c r="EF32" s="422" t="s">
        <v>364</v>
      </c>
      <c r="EG32" s="422" t="s">
        <v>364</v>
      </c>
      <c r="EH32" s="422" t="s">
        <v>364</v>
      </c>
      <c r="EI32" s="422" t="s">
        <v>364</v>
      </c>
      <c r="EJ32" s="422">
        <v>66</v>
      </c>
      <c r="EK32" s="422" t="s">
        <v>364</v>
      </c>
      <c r="EL32" s="422" t="s">
        <v>364</v>
      </c>
      <c r="EM32" s="422" t="s">
        <v>364</v>
      </c>
      <c r="EN32" s="422" t="s">
        <v>364</v>
      </c>
      <c r="EO32" s="422" t="s">
        <v>364</v>
      </c>
      <c r="EP32" s="422" t="s">
        <v>364</v>
      </c>
      <c r="EQ32" s="422" t="s">
        <v>364</v>
      </c>
      <c r="ER32" s="422" t="s">
        <v>364</v>
      </c>
      <c r="ES32" s="422" t="s">
        <v>364</v>
      </c>
      <c r="ET32" s="422" t="s">
        <v>364</v>
      </c>
      <c r="EU32" s="422" t="s">
        <v>364</v>
      </c>
      <c r="EV32" s="422" t="s">
        <v>364</v>
      </c>
      <c r="EW32" s="422" t="s">
        <v>364</v>
      </c>
      <c r="EX32" s="422" t="s">
        <v>364</v>
      </c>
      <c r="EY32" s="422" t="s">
        <v>364</v>
      </c>
      <c r="EZ32" s="422" t="s">
        <v>364</v>
      </c>
      <c r="FA32" s="422">
        <f t="shared" si="6"/>
        <v>112</v>
      </c>
      <c r="FB32" s="422" t="s">
        <v>364</v>
      </c>
      <c r="FC32" s="422" t="s">
        <v>364</v>
      </c>
      <c r="FD32" s="422" t="s">
        <v>364</v>
      </c>
      <c r="FE32" s="422" t="s">
        <v>364</v>
      </c>
      <c r="FF32" s="422" t="s">
        <v>364</v>
      </c>
      <c r="FG32" s="422" t="s">
        <v>364</v>
      </c>
      <c r="FH32" s="422" t="s">
        <v>364</v>
      </c>
      <c r="FI32" s="422" t="s">
        <v>364</v>
      </c>
      <c r="FJ32" s="422" t="s">
        <v>364</v>
      </c>
      <c r="FK32" s="422" t="s">
        <v>364</v>
      </c>
      <c r="FL32" s="422" t="s">
        <v>364</v>
      </c>
      <c r="FM32" s="422" t="s">
        <v>364</v>
      </c>
      <c r="FN32" s="422" t="s">
        <v>364</v>
      </c>
      <c r="FO32" s="422" t="s">
        <v>364</v>
      </c>
      <c r="FP32" s="422" t="s">
        <v>364</v>
      </c>
      <c r="FQ32" s="422" t="s">
        <v>364</v>
      </c>
      <c r="FR32" s="422" t="s">
        <v>364</v>
      </c>
      <c r="FS32" s="422" t="s">
        <v>364</v>
      </c>
      <c r="FT32" s="422" t="s">
        <v>364</v>
      </c>
      <c r="FU32" s="422" t="s">
        <v>364</v>
      </c>
      <c r="FV32" s="422" t="s">
        <v>364</v>
      </c>
      <c r="FW32" s="422" t="s">
        <v>364</v>
      </c>
      <c r="FX32" s="422" t="s">
        <v>364</v>
      </c>
      <c r="FY32" s="422" t="s">
        <v>364</v>
      </c>
      <c r="FZ32" s="422" t="s">
        <v>364</v>
      </c>
      <c r="GA32" s="422" t="s">
        <v>364</v>
      </c>
      <c r="GB32" s="422" t="s">
        <v>364</v>
      </c>
      <c r="GC32" s="422" t="s">
        <v>364</v>
      </c>
      <c r="GD32" s="422" t="s">
        <v>364</v>
      </c>
      <c r="GE32" s="422" t="s">
        <v>364</v>
      </c>
      <c r="GF32" s="422" t="s">
        <v>364</v>
      </c>
      <c r="GG32" s="422" t="s">
        <v>364</v>
      </c>
      <c r="GH32" s="422" t="s">
        <v>364</v>
      </c>
      <c r="GI32" s="422" t="s">
        <v>364</v>
      </c>
      <c r="GJ32" s="422" t="s">
        <v>364</v>
      </c>
      <c r="GK32" s="422">
        <v>112</v>
      </c>
      <c r="GL32" s="422" t="s">
        <v>364</v>
      </c>
      <c r="GM32" s="422" t="s">
        <v>364</v>
      </c>
      <c r="GN32" s="422" t="s">
        <v>364</v>
      </c>
      <c r="GO32" s="422" t="s">
        <v>364</v>
      </c>
      <c r="GP32" s="422" t="s">
        <v>364</v>
      </c>
      <c r="GQ32" s="422" t="s">
        <v>364</v>
      </c>
      <c r="GR32" s="422" t="s">
        <v>364</v>
      </c>
      <c r="GS32" s="422" t="s">
        <v>364</v>
      </c>
      <c r="GT32" s="422" t="s">
        <v>364</v>
      </c>
      <c r="GU32" s="422" t="s">
        <v>364</v>
      </c>
      <c r="GV32" s="422">
        <f t="shared" si="7"/>
        <v>48</v>
      </c>
      <c r="GW32" s="422">
        <v>48</v>
      </c>
      <c r="GX32" s="422" t="s">
        <v>364</v>
      </c>
      <c r="GY32" s="422" t="s">
        <v>364</v>
      </c>
      <c r="GZ32" s="422" t="s">
        <v>364</v>
      </c>
      <c r="HA32" s="422" t="s">
        <v>364</v>
      </c>
      <c r="HB32" s="422" t="s">
        <v>364</v>
      </c>
      <c r="HC32" s="422" t="s">
        <v>364</v>
      </c>
      <c r="HD32" s="422" t="s">
        <v>364</v>
      </c>
      <c r="HE32" s="422" t="s">
        <v>364</v>
      </c>
      <c r="HF32" s="422" t="s">
        <v>364</v>
      </c>
      <c r="HG32" s="422" t="s">
        <v>364</v>
      </c>
      <c r="HH32" s="422" t="s">
        <v>364</v>
      </c>
      <c r="HI32" s="422" t="s">
        <v>364</v>
      </c>
      <c r="HJ32" s="422" t="s">
        <v>364</v>
      </c>
      <c r="HK32" s="422" t="s">
        <v>364</v>
      </c>
      <c r="HL32" s="422" t="s">
        <v>364</v>
      </c>
      <c r="HM32" s="422" t="s">
        <v>364</v>
      </c>
      <c r="HN32" s="422" t="s">
        <v>364</v>
      </c>
      <c r="HO32" s="422" t="s">
        <v>364</v>
      </c>
      <c r="HP32" s="422" t="s">
        <v>364</v>
      </c>
      <c r="HQ32" s="422" t="s">
        <v>364</v>
      </c>
      <c r="HR32" s="422" t="s">
        <v>364</v>
      </c>
      <c r="HS32" s="422" t="s">
        <v>364</v>
      </c>
      <c r="HT32" s="422" t="s">
        <v>364</v>
      </c>
      <c r="HU32" s="422" t="s">
        <v>364</v>
      </c>
      <c r="HV32" s="422" t="s">
        <v>364</v>
      </c>
      <c r="HW32" s="422" t="s">
        <v>364</v>
      </c>
      <c r="HX32" s="422" t="s">
        <v>364</v>
      </c>
      <c r="HY32" s="422">
        <f t="shared" si="8"/>
        <v>0</v>
      </c>
      <c r="HZ32" s="422" t="s">
        <v>364</v>
      </c>
      <c r="IA32" s="422" t="s">
        <v>364</v>
      </c>
      <c r="IB32" s="422" t="s">
        <v>364</v>
      </c>
      <c r="IC32" s="422" t="s">
        <v>364</v>
      </c>
      <c r="ID32" s="422" t="s">
        <v>364</v>
      </c>
      <c r="IE32" s="422" t="s">
        <v>364</v>
      </c>
      <c r="IF32" s="422">
        <f t="shared" si="9"/>
        <v>0</v>
      </c>
      <c r="IG32" s="422" t="s">
        <v>364</v>
      </c>
      <c r="IH32" s="422" t="s">
        <v>364</v>
      </c>
      <c r="II32" s="422" t="s">
        <v>364</v>
      </c>
      <c r="IJ32" s="422" t="s">
        <v>364</v>
      </c>
      <c r="IK32" s="422" t="s">
        <v>364</v>
      </c>
      <c r="IL32" s="422" t="s">
        <v>364</v>
      </c>
      <c r="IM32" s="422" t="s">
        <v>364</v>
      </c>
      <c r="IN32" s="422" t="s">
        <v>364</v>
      </c>
      <c r="IO32" s="422" t="s">
        <v>364</v>
      </c>
      <c r="IP32" s="422" t="s">
        <v>364</v>
      </c>
      <c r="IQ32" s="422" t="s">
        <v>364</v>
      </c>
      <c r="IR32" s="422" t="s">
        <v>364</v>
      </c>
      <c r="IS32" s="422" t="s">
        <v>364</v>
      </c>
      <c r="IT32" s="422" t="s">
        <v>364</v>
      </c>
      <c r="IU32" s="422" t="s">
        <v>364</v>
      </c>
      <c r="IV32" s="422" t="s">
        <v>364</v>
      </c>
      <c r="IW32" s="422" t="s">
        <v>364</v>
      </c>
      <c r="IX32" s="422" t="s">
        <v>364</v>
      </c>
      <c r="IY32" s="422" t="s">
        <v>364</v>
      </c>
      <c r="IZ32" s="422">
        <f t="shared" si="10"/>
        <v>15</v>
      </c>
      <c r="JA32" s="422">
        <v>15</v>
      </c>
      <c r="JB32" s="422" t="s">
        <v>364</v>
      </c>
      <c r="JC32" s="422" t="s">
        <v>364</v>
      </c>
      <c r="JD32" s="422" t="s">
        <v>364</v>
      </c>
      <c r="JE32" s="422" t="s">
        <v>364</v>
      </c>
      <c r="JF32" s="422" t="s">
        <v>364</v>
      </c>
      <c r="JG32" s="422" t="s">
        <v>364</v>
      </c>
      <c r="JH32" s="422" t="s">
        <v>364</v>
      </c>
      <c r="JI32" s="422" t="s">
        <v>364</v>
      </c>
      <c r="JJ32" s="422" t="s">
        <v>364</v>
      </c>
      <c r="JK32" s="422" t="s">
        <v>364</v>
      </c>
      <c r="JL32" s="422" t="s">
        <v>364</v>
      </c>
      <c r="JM32" s="422" t="s">
        <v>364</v>
      </c>
      <c r="JN32" s="422" t="s">
        <v>364</v>
      </c>
      <c r="JO32" s="422" t="s">
        <v>364</v>
      </c>
      <c r="JP32" s="422" t="s">
        <v>364</v>
      </c>
      <c r="JQ32" s="422" t="s">
        <v>364</v>
      </c>
      <c r="JR32" s="422" t="s">
        <v>364</v>
      </c>
      <c r="JS32" s="422" t="s">
        <v>364</v>
      </c>
      <c r="JT32" s="422" t="s">
        <v>364</v>
      </c>
      <c r="JU32" s="422" t="s">
        <v>364</v>
      </c>
      <c r="JV32" s="422" t="s">
        <v>364</v>
      </c>
      <c r="JW32" s="422">
        <f t="shared" si="11"/>
        <v>0</v>
      </c>
      <c r="JX32" s="422" t="s">
        <v>364</v>
      </c>
      <c r="JY32" s="422" t="s">
        <v>364</v>
      </c>
      <c r="JZ32" s="422" t="s">
        <v>364</v>
      </c>
      <c r="KA32" s="422" t="s">
        <v>364</v>
      </c>
      <c r="KB32" s="422" t="s">
        <v>364</v>
      </c>
      <c r="KC32" s="422" t="s">
        <v>364</v>
      </c>
      <c r="KD32" s="422" t="s">
        <v>364</v>
      </c>
      <c r="KE32" s="422" t="s">
        <v>364</v>
      </c>
      <c r="KF32" s="422" t="s">
        <v>364</v>
      </c>
      <c r="KG32" s="422" t="s">
        <v>364</v>
      </c>
      <c r="KH32" s="422" t="s">
        <v>364</v>
      </c>
      <c r="KI32" s="422" t="s">
        <v>364</v>
      </c>
      <c r="KJ32" s="422" t="s">
        <v>364</v>
      </c>
      <c r="KK32" s="422" t="s">
        <v>364</v>
      </c>
      <c r="KL32" s="422" t="s">
        <v>364</v>
      </c>
      <c r="KM32" s="422" t="s">
        <v>364</v>
      </c>
      <c r="KN32" s="422" t="s">
        <v>364</v>
      </c>
      <c r="KO32" s="422" t="s">
        <v>364</v>
      </c>
      <c r="KP32" s="422" t="s">
        <v>364</v>
      </c>
      <c r="KQ32" s="422" t="s">
        <v>364</v>
      </c>
      <c r="KR32" s="422" t="s">
        <v>364</v>
      </c>
      <c r="KS32" s="422" t="s">
        <v>364</v>
      </c>
      <c r="KT32" s="422" t="s">
        <v>364</v>
      </c>
      <c r="KU32" s="422" t="s">
        <v>364</v>
      </c>
      <c r="KV32" s="422" t="s">
        <v>364</v>
      </c>
      <c r="KW32" s="422" t="s">
        <v>364</v>
      </c>
      <c r="KX32" s="422" t="s">
        <v>364</v>
      </c>
      <c r="KY32" s="422" t="s">
        <v>364</v>
      </c>
      <c r="KZ32" s="422" t="s">
        <v>364</v>
      </c>
      <c r="LA32" s="422" t="s">
        <v>364</v>
      </c>
      <c r="LB32" s="422" t="s">
        <v>364</v>
      </c>
      <c r="LC32" s="422" t="s">
        <v>364</v>
      </c>
      <c r="LD32" s="422" t="s">
        <v>364</v>
      </c>
      <c r="LE32" s="422" t="s">
        <v>364</v>
      </c>
      <c r="LF32" s="422" t="s">
        <v>364</v>
      </c>
      <c r="LG32" s="422" t="s">
        <v>364</v>
      </c>
      <c r="LH32" s="422" t="s">
        <v>364</v>
      </c>
      <c r="LI32" s="422" t="s">
        <v>364</v>
      </c>
      <c r="LJ32" s="422" t="s">
        <v>364</v>
      </c>
      <c r="LK32" s="422" t="s">
        <v>364</v>
      </c>
      <c r="LL32" s="422" t="s">
        <v>364</v>
      </c>
      <c r="LM32" s="424" t="s">
        <v>364</v>
      </c>
      <c r="LN32" s="424">
        <v>0</v>
      </c>
      <c r="LO32" s="424" t="s">
        <v>364</v>
      </c>
      <c r="LP32" s="424" t="s">
        <v>364</v>
      </c>
      <c r="LQ32" s="424" t="s">
        <v>364</v>
      </c>
      <c r="LR32" s="424" t="s">
        <v>364</v>
      </c>
      <c r="LS32" s="424" t="s">
        <v>364</v>
      </c>
      <c r="LT32" s="424" t="s">
        <v>364</v>
      </c>
      <c r="LU32" s="424" t="s">
        <v>364</v>
      </c>
      <c r="LV32" s="424" t="s">
        <v>364</v>
      </c>
      <c r="LW32" s="424" t="s">
        <v>364</v>
      </c>
      <c r="LX32" s="424">
        <f t="shared" si="12"/>
        <v>0</v>
      </c>
      <c r="LY32" s="424" t="s">
        <v>364</v>
      </c>
      <c r="LZ32" s="424" t="s">
        <v>364</v>
      </c>
      <c r="MA32" s="424" t="s">
        <v>364</v>
      </c>
      <c r="MB32" s="424" t="s">
        <v>364</v>
      </c>
      <c r="MC32" s="424" t="s">
        <v>364</v>
      </c>
      <c r="MD32" s="424" t="s">
        <v>364</v>
      </c>
      <c r="ME32" s="424">
        <f t="shared" si="1"/>
        <v>0</v>
      </c>
      <c r="MF32" s="424" t="s">
        <v>364</v>
      </c>
      <c r="MG32" s="424" t="s">
        <v>364</v>
      </c>
      <c r="MH32" s="424" t="s">
        <v>364</v>
      </c>
      <c r="MI32" s="424" t="s">
        <v>364</v>
      </c>
      <c r="MJ32" s="424" t="s">
        <v>364</v>
      </c>
      <c r="MK32" s="424" t="s">
        <v>364</v>
      </c>
      <c r="ML32" s="424" t="s">
        <v>364</v>
      </c>
      <c r="MM32" s="424" t="s">
        <v>364</v>
      </c>
      <c r="MN32" s="424" t="s">
        <v>364</v>
      </c>
      <c r="MO32" s="424" t="s">
        <v>364</v>
      </c>
      <c r="MP32" s="424" t="s">
        <v>364</v>
      </c>
      <c r="MQ32" s="424" t="s">
        <v>364</v>
      </c>
      <c r="MR32" s="424" t="s">
        <v>364</v>
      </c>
      <c r="MS32" s="424" t="s">
        <v>364</v>
      </c>
      <c r="MT32" s="424" t="s">
        <v>364</v>
      </c>
      <c r="MU32" s="424" t="s">
        <v>364</v>
      </c>
      <c r="MV32" s="424" t="s">
        <v>364</v>
      </c>
      <c r="MW32" s="424" t="s">
        <v>364</v>
      </c>
      <c r="MX32" s="424">
        <f t="shared" si="13"/>
        <v>0</v>
      </c>
      <c r="MY32" s="424" t="s">
        <v>364</v>
      </c>
      <c r="MZ32" s="424" t="s">
        <v>364</v>
      </c>
      <c r="NA32" s="424" t="s">
        <v>364</v>
      </c>
      <c r="NB32" s="424" t="s">
        <v>364</v>
      </c>
      <c r="NC32" s="424" t="s">
        <v>364</v>
      </c>
      <c r="ND32" s="424" t="s">
        <v>364</v>
      </c>
      <c r="NE32" s="424" t="s">
        <v>364</v>
      </c>
      <c r="NF32" s="424" t="s">
        <v>364</v>
      </c>
      <c r="NG32" s="424" t="s">
        <v>364</v>
      </c>
      <c r="NH32" s="424" t="s">
        <v>364</v>
      </c>
      <c r="NI32" s="424" t="s">
        <v>364</v>
      </c>
      <c r="NJ32" s="424" t="s">
        <v>364</v>
      </c>
      <c r="NK32" s="424">
        <f t="shared" si="2"/>
        <v>0</v>
      </c>
      <c r="NL32" s="424">
        <f t="shared" si="14"/>
        <v>0</v>
      </c>
      <c r="NM32" s="424" t="s">
        <v>364</v>
      </c>
      <c r="NN32" s="424" t="s">
        <v>364</v>
      </c>
      <c r="NO32" s="424" t="s">
        <v>364</v>
      </c>
      <c r="NP32" s="424" t="s">
        <v>364</v>
      </c>
      <c r="NQ32" s="424" t="s">
        <v>364</v>
      </c>
      <c r="NR32" s="424" t="s">
        <v>364</v>
      </c>
      <c r="NS32" s="424" t="s">
        <v>364</v>
      </c>
      <c r="NT32" s="424" t="s">
        <v>364</v>
      </c>
      <c r="NU32" s="424" t="s">
        <v>364</v>
      </c>
      <c r="NV32" s="424" t="s">
        <v>364</v>
      </c>
      <c r="NW32" s="424" t="s">
        <v>364</v>
      </c>
      <c r="NX32" s="424" t="s">
        <v>364</v>
      </c>
      <c r="NY32" s="424" t="s">
        <v>364</v>
      </c>
      <c r="NZ32" s="424">
        <f t="shared" si="15"/>
        <v>0</v>
      </c>
      <c r="OA32" s="424" t="s">
        <v>364</v>
      </c>
      <c r="OB32" s="424" t="s">
        <v>364</v>
      </c>
      <c r="OC32" s="424" t="s">
        <v>364</v>
      </c>
      <c r="OD32" s="424" t="s">
        <v>364</v>
      </c>
      <c r="OE32" s="424" t="s">
        <v>364</v>
      </c>
      <c r="OF32" s="424" t="s">
        <v>6598</v>
      </c>
      <c r="OG32" s="424" t="s">
        <v>364</v>
      </c>
      <c r="OH32" s="424">
        <f t="shared" si="16"/>
        <v>30</v>
      </c>
      <c r="OI32" s="424">
        <f t="shared" si="17"/>
        <v>30</v>
      </c>
      <c r="OJ32" s="422">
        <v>30</v>
      </c>
      <c r="OK32" s="422" t="s">
        <v>364</v>
      </c>
      <c r="OL32" s="422" t="s">
        <v>364</v>
      </c>
      <c r="OM32" s="422" t="s">
        <v>364</v>
      </c>
      <c r="ON32" s="422" t="s">
        <v>364</v>
      </c>
      <c r="OO32" s="422" t="s">
        <v>364</v>
      </c>
      <c r="OP32" s="422" t="s">
        <v>364</v>
      </c>
      <c r="OQ32" s="422" t="s">
        <v>364</v>
      </c>
      <c r="OR32" s="422" t="s">
        <v>364</v>
      </c>
      <c r="OS32" s="422" t="s">
        <v>364</v>
      </c>
      <c r="OT32" s="422" t="s">
        <v>364</v>
      </c>
      <c r="OU32" s="422" t="s">
        <v>364</v>
      </c>
      <c r="OV32" s="422" t="s">
        <v>364</v>
      </c>
      <c r="OW32" s="422" t="s">
        <v>364</v>
      </c>
      <c r="OX32" s="422" t="s">
        <v>364</v>
      </c>
      <c r="OY32" s="422" t="s">
        <v>364</v>
      </c>
      <c r="OZ32" s="422" t="s">
        <v>364</v>
      </c>
      <c r="PA32" s="422" t="s">
        <v>364</v>
      </c>
      <c r="PB32" s="424">
        <f t="shared" si="18"/>
        <v>0</v>
      </c>
      <c r="PC32" s="422" t="s">
        <v>364</v>
      </c>
      <c r="PD32" s="422" t="s">
        <v>364</v>
      </c>
      <c r="PE32" s="422" t="s">
        <v>364</v>
      </c>
      <c r="PF32" s="422" t="s">
        <v>364</v>
      </c>
      <c r="PG32" s="422" t="s">
        <v>364</v>
      </c>
      <c r="PH32" s="422" t="s">
        <v>364</v>
      </c>
      <c r="PI32" s="422" t="s">
        <v>364</v>
      </c>
      <c r="PJ32" s="422" t="s">
        <v>364</v>
      </c>
    </row>
    <row r="33" spans="2:426" ht="15.6">
      <c r="B33" s="426" t="s">
        <v>2832</v>
      </c>
      <c r="C33" s="422">
        <f t="shared" si="3"/>
        <v>0</v>
      </c>
      <c r="D33" s="422" t="s">
        <v>364</v>
      </c>
      <c r="E33" s="422" t="s">
        <v>364</v>
      </c>
      <c r="F33" s="422" t="s">
        <v>364</v>
      </c>
      <c r="G33" s="422" t="s">
        <v>364</v>
      </c>
      <c r="H33" s="422" t="s">
        <v>364</v>
      </c>
      <c r="I33" s="422" t="s">
        <v>364</v>
      </c>
      <c r="J33" s="422" t="s">
        <v>364</v>
      </c>
      <c r="K33" s="422" t="s">
        <v>364</v>
      </c>
      <c r="L33" s="422" t="s">
        <v>364</v>
      </c>
      <c r="M33" s="422" t="s">
        <v>364</v>
      </c>
      <c r="N33" s="422" t="s">
        <v>364</v>
      </c>
      <c r="O33" s="422" t="s">
        <v>364</v>
      </c>
      <c r="P33" s="422" t="s">
        <v>364</v>
      </c>
      <c r="Q33" s="422" t="s">
        <v>364</v>
      </c>
      <c r="R33" s="422" t="s">
        <v>364</v>
      </c>
      <c r="S33" s="422" t="s">
        <v>364</v>
      </c>
      <c r="T33" s="422" t="s">
        <v>364</v>
      </c>
      <c r="U33" s="422" t="s">
        <v>364</v>
      </c>
      <c r="V33" s="422" t="s">
        <v>364</v>
      </c>
      <c r="W33" s="422" t="s">
        <v>364</v>
      </c>
      <c r="X33" s="422" t="s">
        <v>364</v>
      </c>
      <c r="Y33" s="422" t="s">
        <v>364</v>
      </c>
      <c r="Z33" s="422" t="s">
        <v>364</v>
      </c>
      <c r="AA33" s="422" t="s">
        <v>364</v>
      </c>
      <c r="AB33" s="422" t="s">
        <v>364</v>
      </c>
      <c r="AC33" s="422" t="s">
        <v>364</v>
      </c>
      <c r="AD33" s="422" t="s">
        <v>364</v>
      </c>
      <c r="AE33" s="422" t="s">
        <v>364</v>
      </c>
      <c r="AF33" s="422" t="s">
        <v>364</v>
      </c>
      <c r="AG33" s="422" t="s">
        <v>364</v>
      </c>
      <c r="AH33" s="422" t="s">
        <v>364</v>
      </c>
      <c r="AI33" s="422" t="s">
        <v>364</v>
      </c>
      <c r="AJ33" s="422" t="s">
        <v>364</v>
      </c>
      <c r="AK33" s="422" t="s">
        <v>364</v>
      </c>
      <c r="AL33" s="422" t="s">
        <v>364</v>
      </c>
      <c r="AM33" s="422" t="s">
        <v>364</v>
      </c>
      <c r="AN33" s="422" t="s">
        <v>364</v>
      </c>
      <c r="AO33" s="422" t="s">
        <v>364</v>
      </c>
      <c r="AP33" s="422" t="s">
        <v>364</v>
      </c>
      <c r="AQ33" s="422">
        <f t="shared" si="0"/>
        <v>0</v>
      </c>
      <c r="AR33" s="422" t="s">
        <v>364</v>
      </c>
      <c r="AS33" s="422" t="s">
        <v>364</v>
      </c>
      <c r="AT33" s="422" t="s">
        <v>364</v>
      </c>
      <c r="AU33" s="422" t="s">
        <v>364</v>
      </c>
      <c r="AV33" s="422" t="s">
        <v>364</v>
      </c>
      <c r="AW33" s="422" t="s">
        <v>364</v>
      </c>
      <c r="AX33" s="422" t="s">
        <v>364</v>
      </c>
      <c r="AY33" s="422" t="s">
        <v>364</v>
      </c>
      <c r="AZ33" s="422" t="s">
        <v>364</v>
      </c>
      <c r="BA33" s="422" t="s">
        <v>364</v>
      </c>
      <c r="BB33" s="422" t="s">
        <v>364</v>
      </c>
      <c r="BC33" s="422" t="s">
        <v>364</v>
      </c>
      <c r="BD33" s="422" t="s">
        <v>364</v>
      </c>
      <c r="BE33" s="422" t="s">
        <v>364</v>
      </c>
      <c r="BF33" s="422" t="s">
        <v>364</v>
      </c>
      <c r="BG33" s="422" t="s">
        <v>364</v>
      </c>
      <c r="BH33" s="422" t="s">
        <v>364</v>
      </c>
      <c r="BI33" s="422" t="s">
        <v>364</v>
      </c>
      <c r="BJ33" s="422" t="s">
        <v>364</v>
      </c>
      <c r="BK33" s="422" t="s">
        <v>364</v>
      </c>
      <c r="BL33" s="422" t="s">
        <v>364</v>
      </c>
      <c r="BM33" s="422" t="s">
        <v>364</v>
      </c>
      <c r="BN33" s="422" t="s">
        <v>364</v>
      </c>
      <c r="BO33" s="422" t="s">
        <v>364</v>
      </c>
      <c r="BP33" s="422" t="s">
        <v>364</v>
      </c>
      <c r="BQ33" s="422" t="s">
        <v>364</v>
      </c>
      <c r="BR33" s="422" t="s">
        <v>364</v>
      </c>
      <c r="BS33" s="422" t="s">
        <v>364</v>
      </c>
      <c r="BT33" s="422" t="s">
        <v>364</v>
      </c>
      <c r="BU33" s="422" t="s">
        <v>364</v>
      </c>
      <c r="BV33" s="422" t="s">
        <v>364</v>
      </c>
      <c r="BW33" s="422" t="s">
        <v>364</v>
      </c>
      <c r="BX33" s="422" t="s">
        <v>364</v>
      </c>
      <c r="BY33" s="422" t="s">
        <v>364</v>
      </c>
      <c r="BZ33" s="422" t="s">
        <v>364</v>
      </c>
      <c r="CA33" s="422" t="s">
        <v>364</v>
      </c>
      <c r="CB33" s="422" t="s">
        <v>364</v>
      </c>
      <c r="CC33" s="422" t="s">
        <v>364</v>
      </c>
      <c r="CD33" s="422" t="s">
        <v>364</v>
      </c>
      <c r="CE33" s="422" t="s">
        <v>364</v>
      </c>
      <c r="CF33" s="422" t="s">
        <v>364</v>
      </c>
      <c r="CG33" s="422" t="s">
        <v>364</v>
      </c>
      <c r="CH33" s="422" t="s">
        <v>364</v>
      </c>
      <c r="CI33" s="422" t="s">
        <v>364</v>
      </c>
      <c r="CJ33" s="422" t="s">
        <v>364</v>
      </c>
      <c r="CK33" s="422" t="s">
        <v>364</v>
      </c>
      <c r="CL33" s="422" t="s">
        <v>364</v>
      </c>
      <c r="CM33" s="422" t="s">
        <v>364</v>
      </c>
      <c r="CN33" s="422" t="s">
        <v>364</v>
      </c>
      <c r="CO33" s="422" t="s">
        <v>364</v>
      </c>
      <c r="CP33" s="422" t="s">
        <v>364</v>
      </c>
      <c r="CQ33" s="422" t="s">
        <v>364</v>
      </c>
      <c r="CR33" s="422" t="s">
        <v>364</v>
      </c>
      <c r="CS33" s="422" t="s">
        <v>364</v>
      </c>
      <c r="CT33" s="422" t="s">
        <v>364</v>
      </c>
      <c r="CU33" s="422" t="s">
        <v>364</v>
      </c>
      <c r="CV33" s="422" t="s">
        <v>364</v>
      </c>
      <c r="CW33" s="422" t="s">
        <v>364</v>
      </c>
      <c r="CX33" s="422" t="s">
        <v>364</v>
      </c>
      <c r="CY33" s="422" t="s">
        <v>364</v>
      </c>
      <c r="CZ33" s="422" t="s">
        <v>364</v>
      </c>
      <c r="DA33" s="422" t="s">
        <v>364</v>
      </c>
      <c r="DB33" s="422" t="s">
        <v>364</v>
      </c>
      <c r="DC33" s="422" t="s">
        <v>364</v>
      </c>
      <c r="DD33" s="422" t="s">
        <v>364</v>
      </c>
      <c r="DE33" s="422" t="s">
        <v>364</v>
      </c>
      <c r="DF33" s="422" t="s">
        <v>364</v>
      </c>
      <c r="DG33" s="422" t="s">
        <v>364</v>
      </c>
      <c r="DH33" s="422" t="s">
        <v>364</v>
      </c>
      <c r="DI33" s="422" t="s">
        <v>364</v>
      </c>
      <c r="DJ33" s="422" t="s">
        <v>364</v>
      </c>
      <c r="DK33" s="422">
        <f t="shared" si="4"/>
        <v>0</v>
      </c>
      <c r="DL33" s="422" t="s">
        <v>364</v>
      </c>
      <c r="DM33" s="422" t="s">
        <v>364</v>
      </c>
      <c r="DN33" s="422" t="s">
        <v>364</v>
      </c>
      <c r="DO33" s="422" t="s">
        <v>364</v>
      </c>
      <c r="DP33" s="422" t="s">
        <v>364</v>
      </c>
      <c r="DQ33" s="422" t="s">
        <v>364</v>
      </c>
      <c r="DR33" s="422" t="s">
        <v>364</v>
      </c>
      <c r="DS33" s="422" t="s">
        <v>364</v>
      </c>
      <c r="DT33" s="422" t="s">
        <v>364</v>
      </c>
      <c r="DU33" s="422" t="s">
        <v>364</v>
      </c>
      <c r="DV33" s="422" t="s">
        <v>364</v>
      </c>
      <c r="DW33" s="422" t="s">
        <v>364</v>
      </c>
      <c r="DX33" s="422" t="s">
        <v>364</v>
      </c>
      <c r="DY33" s="422">
        <f t="shared" si="5"/>
        <v>0</v>
      </c>
      <c r="DZ33" s="422" t="s">
        <v>364</v>
      </c>
      <c r="EA33" s="422" t="s">
        <v>364</v>
      </c>
      <c r="EB33" s="422" t="s">
        <v>364</v>
      </c>
      <c r="EC33" s="422" t="s">
        <v>364</v>
      </c>
      <c r="ED33" s="422" t="s">
        <v>364</v>
      </c>
      <c r="EE33" s="422" t="s">
        <v>364</v>
      </c>
      <c r="EF33" s="422" t="s">
        <v>364</v>
      </c>
      <c r="EG33" s="422" t="s">
        <v>364</v>
      </c>
      <c r="EH33" s="422" t="s">
        <v>364</v>
      </c>
      <c r="EI33" s="422" t="s">
        <v>364</v>
      </c>
      <c r="EJ33" s="422" t="s">
        <v>364</v>
      </c>
      <c r="EK33" s="422" t="s">
        <v>364</v>
      </c>
      <c r="EL33" s="422" t="s">
        <v>364</v>
      </c>
      <c r="EM33" s="422" t="s">
        <v>364</v>
      </c>
      <c r="EN33" s="422" t="s">
        <v>364</v>
      </c>
      <c r="EO33" s="422" t="s">
        <v>364</v>
      </c>
      <c r="EP33" s="422" t="s">
        <v>364</v>
      </c>
      <c r="EQ33" s="422" t="s">
        <v>364</v>
      </c>
      <c r="ER33" s="422" t="s">
        <v>364</v>
      </c>
      <c r="ES33" s="422" t="s">
        <v>364</v>
      </c>
      <c r="ET33" s="422" t="s">
        <v>364</v>
      </c>
      <c r="EU33" s="422" t="s">
        <v>364</v>
      </c>
      <c r="EV33" s="422" t="s">
        <v>364</v>
      </c>
      <c r="EW33" s="422" t="s">
        <v>364</v>
      </c>
      <c r="EX33" s="422" t="s">
        <v>364</v>
      </c>
      <c r="EY33" s="422" t="s">
        <v>364</v>
      </c>
      <c r="EZ33" s="422" t="s">
        <v>364</v>
      </c>
      <c r="FA33" s="422">
        <f t="shared" si="6"/>
        <v>93</v>
      </c>
      <c r="FB33" s="422" t="s">
        <v>364</v>
      </c>
      <c r="FC33" s="422" t="s">
        <v>364</v>
      </c>
      <c r="FD33" s="422" t="s">
        <v>364</v>
      </c>
      <c r="FE33" s="422" t="s">
        <v>364</v>
      </c>
      <c r="FF33" s="422" t="s">
        <v>364</v>
      </c>
      <c r="FG33" s="422" t="s">
        <v>364</v>
      </c>
      <c r="FH33" s="422" t="s">
        <v>364</v>
      </c>
      <c r="FI33" s="422" t="s">
        <v>364</v>
      </c>
      <c r="FJ33" s="422" t="s">
        <v>364</v>
      </c>
      <c r="FK33" s="422" t="s">
        <v>364</v>
      </c>
      <c r="FL33" s="422" t="s">
        <v>364</v>
      </c>
      <c r="FM33" s="422" t="s">
        <v>364</v>
      </c>
      <c r="FN33" s="422" t="s">
        <v>364</v>
      </c>
      <c r="FO33" s="422" t="s">
        <v>364</v>
      </c>
      <c r="FP33" s="422" t="s">
        <v>364</v>
      </c>
      <c r="FQ33" s="422" t="s">
        <v>364</v>
      </c>
      <c r="FR33" s="422" t="s">
        <v>364</v>
      </c>
      <c r="FS33" s="422" t="s">
        <v>364</v>
      </c>
      <c r="FT33" s="422" t="s">
        <v>364</v>
      </c>
      <c r="FU33" s="422" t="s">
        <v>364</v>
      </c>
      <c r="FV33" s="422" t="s">
        <v>364</v>
      </c>
      <c r="FW33" s="422" t="s">
        <v>364</v>
      </c>
      <c r="FX33" s="422" t="s">
        <v>364</v>
      </c>
      <c r="FY33" s="422" t="s">
        <v>364</v>
      </c>
      <c r="FZ33" s="422" t="s">
        <v>364</v>
      </c>
      <c r="GA33" s="422" t="s">
        <v>364</v>
      </c>
      <c r="GB33" s="422" t="s">
        <v>364</v>
      </c>
      <c r="GC33" s="422" t="s">
        <v>364</v>
      </c>
      <c r="GD33" s="422" t="s">
        <v>364</v>
      </c>
      <c r="GE33" s="422" t="s">
        <v>364</v>
      </c>
      <c r="GF33" s="422" t="s">
        <v>364</v>
      </c>
      <c r="GG33" s="422" t="s">
        <v>364</v>
      </c>
      <c r="GH33" s="422" t="s">
        <v>364</v>
      </c>
      <c r="GI33" s="422" t="s">
        <v>364</v>
      </c>
      <c r="GJ33" s="422" t="s">
        <v>364</v>
      </c>
      <c r="GK33" s="422" t="s">
        <v>364</v>
      </c>
      <c r="GL33" s="422" t="s">
        <v>364</v>
      </c>
      <c r="GM33" s="422" t="s">
        <v>364</v>
      </c>
      <c r="GN33" s="422" t="s">
        <v>364</v>
      </c>
      <c r="GO33" s="422" t="s">
        <v>364</v>
      </c>
      <c r="GP33" s="422">
        <v>93</v>
      </c>
      <c r="GQ33" s="422" t="s">
        <v>364</v>
      </c>
      <c r="GR33" s="422" t="s">
        <v>364</v>
      </c>
      <c r="GS33" s="422" t="s">
        <v>364</v>
      </c>
      <c r="GT33" s="422" t="s">
        <v>364</v>
      </c>
      <c r="GU33" s="422" t="s">
        <v>364</v>
      </c>
      <c r="GV33" s="422">
        <f t="shared" si="7"/>
        <v>0</v>
      </c>
      <c r="GW33" s="422" t="s">
        <v>364</v>
      </c>
      <c r="GX33" s="422" t="s">
        <v>364</v>
      </c>
      <c r="GY33" s="422" t="s">
        <v>364</v>
      </c>
      <c r="GZ33" s="422" t="s">
        <v>364</v>
      </c>
      <c r="HA33" s="422" t="s">
        <v>364</v>
      </c>
      <c r="HB33" s="422" t="s">
        <v>364</v>
      </c>
      <c r="HC33" s="422" t="s">
        <v>364</v>
      </c>
      <c r="HD33" s="422" t="s">
        <v>364</v>
      </c>
      <c r="HE33" s="422" t="s">
        <v>364</v>
      </c>
      <c r="HF33" s="422" t="s">
        <v>364</v>
      </c>
      <c r="HG33" s="422" t="s">
        <v>364</v>
      </c>
      <c r="HH33" s="422" t="s">
        <v>364</v>
      </c>
      <c r="HI33" s="422" t="s">
        <v>364</v>
      </c>
      <c r="HJ33" s="422" t="s">
        <v>364</v>
      </c>
      <c r="HK33" s="422" t="s">
        <v>364</v>
      </c>
      <c r="HL33" s="422" t="s">
        <v>364</v>
      </c>
      <c r="HM33" s="422" t="s">
        <v>364</v>
      </c>
      <c r="HN33" s="422" t="s">
        <v>364</v>
      </c>
      <c r="HO33" s="422" t="s">
        <v>364</v>
      </c>
      <c r="HP33" s="422" t="s">
        <v>364</v>
      </c>
      <c r="HQ33" s="422" t="s">
        <v>364</v>
      </c>
      <c r="HR33" s="422" t="s">
        <v>364</v>
      </c>
      <c r="HS33" s="422" t="s">
        <v>364</v>
      </c>
      <c r="HT33" s="422" t="s">
        <v>364</v>
      </c>
      <c r="HU33" s="422" t="s">
        <v>364</v>
      </c>
      <c r="HV33" s="422" t="s">
        <v>364</v>
      </c>
      <c r="HW33" s="422" t="s">
        <v>364</v>
      </c>
      <c r="HX33" s="422" t="s">
        <v>364</v>
      </c>
      <c r="HY33" s="422">
        <f t="shared" si="8"/>
        <v>0</v>
      </c>
      <c r="HZ33" s="422" t="s">
        <v>364</v>
      </c>
      <c r="IA33" s="422" t="s">
        <v>364</v>
      </c>
      <c r="IB33" s="422" t="s">
        <v>364</v>
      </c>
      <c r="IC33" s="422" t="s">
        <v>364</v>
      </c>
      <c r="ID33" s="422" t="s">
        <v>364</v>
      </c>
      <c r="IE33" s="422" t="s">
        <v>364</v>
      </c>
      <c r="IF33" s="422">
        <f t="shared" si="9"/>
        <v>0</v>
      </c>
      <c r="IG33" s="422" t="s">
        <v>364</v>
      </c>
      <c r="IH33" s="422" t="s">
        <v>364</v>
      </c>
      <c r="II33" s="422" t="s">
        <v>364</v>
      </c>
      <c r="IJ33" s="422" t="s">
        <v>364</v>
      </c>
      <c r="IK33" s="422" t="s">
        <v>364</v>
      </c>
      <c r="IL33" s="422" t="s">
        <v>364</v>
      </c>
      <c r="IM33" s="422" t="s">
        <v>364</v>
      </c>
      <c r="IN33" s="422" t="s">
        <v>364</v>
      </c>
      <c r="IO33" s="422" t="s">
        <v>364</v>
      </c>
      <c r="IP33" s="422" t="s">
        <v>364</v>
      </c>
      <c r="IQ33" s="422" t="s">
        <v>364</v>
      </c>
      <c r="IR33" s="422" t="s">
        <v>364</v>
      </c>
      <c r="IS33" s="422" t="s">
        <v>364</v>
      </c>
      <c r="IT33" s="422" t="s">
        <v>364</v>
      </c>
      <c r="IU33" s="422" t="s">
        <v>364</v>
      </c>
      <c r="IV33" s="422" t="s">
        <v>364</v>
      </c>
      <c r="IW33" s="422" t="s">
        <v>364</v>
      </c>
      <c r="IX33" s="422" t="s">
        <v>364</v>
      </c>
      <c r="IY33" s="422" t="s">
        <v>364</v>
      </c>
      <c r="IZ33" s="422">
        <f t="shared" si="10"/>
        <v>0</v>
      </c>
      <c r="JA33" s="422" t="s">
        <v>364</v>
      </c>
      <c r="JB33" s="422" t="s">
        <v>364</v>
      </c>
      <c r="JC33" s="422" t="s">
        <v>364</v>
      </c>
      <c r="JD33" s="422" t="s">
        <v>364</v>
      </c>
      <c r="JE33" s="422" t="s">
        <v>364</v>
      </c>
      <c r="JF33" s="422" t="s">
        <v>364</v>
      </c>
      <c r="JG33" s="422" t="s">
        <v>364</v>
      </c>
      <c r="JH33" s="422" t="s">
        <v>364</v>
      </c>
      <c r="JI33" s="422" t="s">
        <v>364</v>
      </c>
      <c r="JJ33" s="422" t="s">
        <v>364</v>
      </c>
      <c r="JK33" s="422" t="s">
        <v>364</v>
      </c>
      <c r="JL33" s="422" t="s">
        <v>364</v>
      </c>
      <c r="JM33" s="422" t="s">
        <v>364</v>
      </c>
      <c r="JN33" s="422" t="s">
        <v>364</v>
      </c>
      <c r="JO33" s="422" t="s">
        <v>364</v>
      </c>
      <c r="JP33" s="422" t="s">
        <v>364</v>
      </c>
      <c r="JQ33" s="422" t="s">
        <v>364</v>
      </c>
      <c r="JR33" s="422" t="s">
        <v>364</v>
      </c>
      <c r="JS33" s="422" t="s">
        <v>364</v>
      </c>
      <c r="JT33" s="422" t="s">
        <v>364</v>
      </c>
      <c r="JU33" s="422" t="s">
        <v>364</v>
      </c>
      <c r="JV33" s="422" t="s">
        <v>364</v>
      </c>
      <c r="JW33" s="422">
        <f t="shared" si="11"/>
        <v>0</v>
      </c>
      <c r="JX33" s="422" t="s">
        <v>364</v>
      </c>
      <c r="JY33" s="422" t="s">
        <v>364</v>
      </c>
      <c r="JZ33" s="422" t="s">
        <v>364</v>
      </c>
      <c r="KA33" s="422" t="s">
        <v>364</v>
      </c>
      <c r="KB33" s="422" t="s">
        <v>364</v>
      </c>
      <c r="KC33" s="422" t="s">
        <v>364</v>
      </c>
      <c r="KD33" s="422" t="s">
        <v>364</v>
      </c>
      <c r="KE33" s="422" t="s">
        <v>364</v>
      </c>
      <c r="KF33" s="422" t="s">
        <v>364</v>
      </c>
      <c r="KG33" s="422" t="s">
        <v>364</v>
      </c>
      <c r="KH33" s="422" t="s">
        <v>364</v>
      </c>
      <c r="KI33" s="422" t="s">
        <v>364</v>
      </c>
      <c r="KJ33" s="422" t="s">
        <v>364</v>
      </c>
      <c r="KK33" s="422" t="s">
        <v>364</v>
      </c>
      <c r="KL33" s="422" t="s">
        <v>364</v>
      </c>
      <c r="KM33" s="422" t="s">
        <v>364</v>
      </c>
      <c r="KN33" s="422" t="s">
        <v>364</v>
      </c>
      <c r="KO33" s="422" t="s">
        <v>364</v>
      </c>
      <c r="KP33" s="422" t="s">
        <v>364</v>
      </c>
      <c r="KQ33" s="422" t="s">
        <v>364</v>
      </c>
      <c r="KR33" s="422" t="s">
        <v>364</v>
      </c>
      <c r="KS33" s="422" t="s">
        <v>364</v>
      </c>
      <c r="KT33" s="422" t="s">
        <v>364</v>
      </c>
      <c r="KU33" s="422" t="s">
        <v>364</v>
      </c>
      <c r="KV33" s="422" t="s">
        <v>364</v>
      </c>
      <c r="KW33" s="422" t="s">
        <v>364</v>
      </c>
      <c r="KX33" s="422" t="s">
        <v>364</v>
      </c>
      <c r="KY33" s="422" t="s">
        <v>364</v>
      </c>
      <c r="KZ33" s="422" t="s">
        <v>364</v>
      </c>
      <c r="LA33" s="422" t="s">
        <v>364</v>
      </c>
      <c r="LB33" s="422" t="s">
        <v>364</v>
      </c>
      <c r="LC33" s="422" t="s">
        <v>364</v>
      </c>
      <c r="LD33" s="422" t="s">
        <v>364</v>
      </c>
      <c r="LE33" s="422" t="s">
        <v>364</v>
      </c>
      <c r="LF33" s="422" t="s">
        <v>364</v>
      </c>
      <c r="LG33" s="422" t="s">
        <v>364</v>
      </c>
      <c r="LH33" s="422" t="s">
        <v>364</v>
      </c>
      <c r="LI33" s="422" t="s">
        <v>364</v>
      </c>
      <c r="LJ33" s="422" t="s">
        <v>364</v>
      </c>
      <c r="LK33" s="422" t="s">
        <v>364</v>
      </c>
      <c r="LL33" s="422" t="s">
        <v>364</v>
      </c>
      <c r="LM33" s="424" t="s">
        <v>364</v>
      </c>
      <c r="LN33" s="424">
        <v>0</v>
      </c>
      <c r="LO33" s="424" t="s">
        <v>364</v>
      </c>
      <c r="LP33" s="424" t="s">
        <v>364</v>
      </c>
      <c r="LQ33" s="424" t="s">
        <v>364</v>
      </c>
      <c r="LR33" s="424" t="s">
        <v>364</v>
      </c>
      <c r="LS33" s="424" t="s">
        <v>364</v>
      </c>
      <c r="LT33" s="424" t="s">
        <v>364</v>
      </c>
      <c r="LU33" s="424" t="s">
        <v>364</v>
      </c>
      <c r="LV33" s="424" t="s">
        <v>364</v>
      </c>
      <c r="LW33" s="424" t="s">
        <v>364</v>
      </c>
      <c r="LX33" s="424">
        <f t="shared" si="12"/>
        <v>0</v>
      </c>
      <c r="LY33" s="424" t="s">
        <v>364</v>
      </c>
      <c r="LZ33" s="424" t="s">
        <v>364</v>
      </c>
      <c r="MA33" s="424" t="s">
        <v>364</v>
      </c>
      <c r="MB33" s="424" t="s">
        <v>364</v>
      </c>
      <c r="MC33" s="424" t="s">
        <v>364</v>
      </c>
      <c r="MD33" s="424" t="s">
        <v>364</v>
      </c>
      <c r="ME33" s="424">
        <f t="shared" si="1"/>
        <v>0</v>
      </c>
      <c r="MF33" s="424" t="s">
        <v>364</v>
      </c>
      <c r="MG33" s="424" t="s">
        <v>364</v>
      </c>
      <c r="MH33" s="424" t="s">
        <v>364</v>
      </c>
      <c r="MI33" s="424" t="s">
        <v>364</v>
      </c>
      <c r="MJ33" s="424" t="s">
        <v>364</v>
      </c>
      <c r="MK33" s="424" t="s">
        <v>364</v>
      </c>
      <c r="ML33" s="424" t="s">
        <v>364</v>
      </c>
      <c r="MM33" s="424" t="s">
        <v>364</v>
      </c>
      <c r="MN33" s="424" t="s">
        <v>364</v>
      </c>
      <c r="MO33" s="424" t="s">
        <v>364</v>
      </c>
      <c r="MP33" s="424" t="s">
        <v>364</v>
      </c>
      <c r="MQ33" s="424" t="s">
        <v>364</v>
      </c>
      <c r="MR33" s="424" t="s">
        <v>364</v>
      </c>
      <c r="MS33" s="424" t="s">
        <v>364</v>
      </c>
      <c r="MT33" s="424" t="s">
        <v>364</v>
      </c>
      <c r="MU33" s="424" t="s">
        <v>364</v>
      </c>
      <c r="MV33" s="424" t="s">
        <v>364</v>
      </c>
      <c r="MW33" s="424" t="s">
        <v>364</v>
      </c>
      <c r="MX33" s="424">
        <f t="shared" si="13"/>
        <v>0</v>
      </c>
      <c r="MY33" s="424" t="s">
        <v>364</v>
      </c>
      <c r="MZ33" s="424" t="s">
        <v>364</v>
      </c>
      <c r="NA33" s="424" t="s">
        <v>364</v>
      </c>
      <c r="NB33" s="424" t="s">
        <v>364</v>
      </c>
      <c r="NC33" s="424" t="s">
        <v>364</v>
      </c>
      <c r="ND33" s="424" t="s">
        <v>364</v>
      </c>
      <c r="NE33" s="424" t="s">
        <v>364</v>
      </c>
      <c r="NF33" s="424" t="s">
        <v>364</v>
      </c>
      <c r="NG33" s="424" t="s">
        <v>364</v>
      </c>
      <c r="NH33" s="424" t="s">
        <v>364</v>
      </c>
      <c r="NI33" s="424" t="s">
        <v>364</v>
      </c>
      <c r="NJ33" s="424" t="s">
        <v>364</v>
      </c>
      <c r="NK33" s="424">
        <f t="shared" si="2"/>
        <v>0</v>
      </c>
      <c r="NL33" s="424">
        <f t="shared" si="14"/>
        <v>0</v>
      </c>
      <c r="NM33" s="424" t="s">
        <v>364</v>
      </c>
      <c r="NN33" s="424" t="s">
        <v>364</v>
      </c>
      <c r="NO33" s="424" t="s">
        <v>364</v>
      </c>
      <c r="NP33" s="424" t="s">
        <v>364</v>
      </c>
      <c r="NQ33" s="424" t="s">
        <v>364</v>
      </c>
      <c r="NR33" s="424" t="s">
        <v>364</v>
      </c>
      <c r="NS33" s="424" t="s">
        <v>364</v>
      </c>
      <c r="NT33" s="424" t="s">
        <v>364</v>
      </c>
      <c r="NU33" s="424" t="s">
        <v>364</v>
      </c>
      <c r="NV33" s="424" t="s">
        <v>364</v>
      </c>
      <c r="NW33" s="424" t="s">
        <v>364</v>
      </c>
      <c r="NX33" s="424" t="s">
        <v>364</v>
      </c>
      <c r="NY33" s="424" t="s">
        <v>364</v>
      </c>
      <c r="NZ33" s="424">
        <f t="shared" si="15"/>
        <v>0</v>
      </c>
      <c r="OA33" s="424" t="s">
        <v>364</v>
      </c>
      <c r="OB33" s="424" t="s">
        <v>364</v>
      </c>
      <c r="OC33" s="424" t="s">
        <v>364</v>
      </c>
      <c r="OD33" s="424" t="s">
        <v>364</v>
      </c>
      <c r="OE33" s="424" t="s">
        <v>364</v>
      </c>
      <c r="OF33" s="424" t="s">
        <v>364</v>
      </c>
      <c r="OG33" s="424" t="s">
        <v>364</v>
      </c>
      <c r="OH33" s="424">
        <f t="shared" si="16"/>
        <v>0</v>
      </c>
      <c r="OI33" s="424">
        <f t="shared" si="17"/>
        <v>0</v>
      </c>
      <c r="OJ33" s="422" t="s">
        <v>364</v>
      </c>
      <c r="OK33" s="422" t="s">
        <v>364</v>
      </c>
      <c r="OL33" s="422" t="s">
        <v>364</v>
      </c>
      <c r="OM33" s="422" t="s">
        <v>364</v>
      </c>
      <c r="ON33" s="422" t="s">
        <v>364</v>
      </c>
      <c r="OO33" s="422" t="s">
        <v>364</v>
      </c>
      <c r="OP33" s="422" t="s">
        <v>364</v>
      </c>
      <c r="OQ33" s="422" t="s">
        <v>364</v>
      </c>
      <c r="OR33" s="422" t="s">
        <v>364</v>
      </c>
      <c r="OS33" s="422" t="s">
        <v>364</v>
      </c>
      <c r="OT33" s="422" t="s">
        <v>364</v>
      </c>
      <c r="OU33" s="422" t="s">
        <v>364</v>
      </c>
      <c r="OV33" s="422" t="s">
        <v>364</v>
      </c>
      <c r="OW33" s="422" t="s">
        <v>364</v>
      </c>
      <c r="OX33" s="422" t="s">
        <v>364</v>
      </c>
      <c r="OY33" s="422" t="s">
        <v>364</v>
      </c>
      <c r="OZ33" s="422" t="s">
        <v>364</v>
      </c>
      <c r="PA33" s="422" t="s">
        <v>364</v>
      </c>
      <c r="PB33" s="424">
        <f t="shared" si="18"/>
        <v>0</v>
      </c>
      <c r="PC33" s="422" t="s">
        <v>364</v>
      </c>
      <c r="PD33" s="422" t="s">
        <v>364</v>
      </c>
      <c r="PE33" s="422" t="s">
        <v>364</v>
      </c>
      <c r="PF33" s="422" t="s">
        <v>364</v>
      </c>
      <c r="PG33" s="422" t="s">
        <v>364</v>
      </c>
      <c r="PH33" s="422" t="s">
        <v>364</v>
      </c>
      <c r="PI33" s="422" t="s">
        <v>364</v>
      </c>
      <c r="PJ33" s="422" t="s">
        <v>364</v>
      </c>
    </row>
    <row r="34" spans="2:426" ht="15.6">
      <c r="B34" s="426" t="s">
        <v>3079</v>
      </c>
      <c r="C34" s="422">
        <f t="shared" si="3"/>
        <v>37</v>
      </c>
      <c r="D34" s="422" t="s">
        <v>364</v>
      </c>
      <c r="E34" s="422" t="s">
        <v>364</v>
      </c>
      <c r="F34" s="422" t="s">
        <v>364</v>
      </c>
      <c r="G34" s="422">
        <v>37</v>
      </c>
      <c r="H34" s="422" t="s">
        <v>364</v>
      </c>
      <c r="I34" s="422" t="s">
        <v>364</v>
      </c>
      <c r="J34" s="422" t="s">
        <v>364</v>
      </c>
      <c r="K34" s="422" t="s">
        <v>364</v>
      </c>
      <c r="L34" s="422" t="s">
        <v>364</v>
      </c>
      <c r="M34" s="422" t="s">
        <v>364</v>
      </c>
      <c r="N34" s="422" t="s">
        <v>364</v>
      </c>
      <c r="O34" s="422" t="s">
        <v>364</v>
      </c>
      <c r="P34" s="422" t="s">
        <v>364</v>
      </c>
      <c r="Q34" s="422" t="s">
        <v>364</v>
      </c>
      <c r="R34" s="422" t="s">
        <v>364</v>
      </c>
      <c r="S34" s="422" t="s">
        <v>364</v>
      </c>
      <c r="T34" s="422" t="s">
        <v>364</v>
      </c>
      <c r="U34" s="422" t="s">
        <v>364</v>
      </c>
      <c r="V34" s="422" t="s">
        <v>364</v>
      </c>
      <c r="W34" s="422" t="s">
        <v>364</v>
      </c>
      <c r="X34" s="422" t="s">
        <v>364</v>
      </c>
      <c r="Y34" s="422" t="s">
        <v>364</v>
      </c>
      <c r="Z34" s="422" t="s">
        <v>364</v>
      </c>
      <c r="AA34" s="422" t="s">
        <v>364</v>
      </c>
      <c r="AB34" s="422" t="s">
        <v>364</v>
      </c>
      <c r="AC34" s="422" t="s">
        <v>364</v>
      </c>
      <c r="AD34" s="422" t="s">
        <v>364</v>
      </c>
      <c r="AE34" s="422" t="s">
        <v>364</v>
      </c>
      <c r="AF34" s="422" t="s">
        <v>364</v>
      </c>
      <c r="AG34" s="422" t="s">
        <v>364</v>
      </c>
      <c r="AH34" s="422" t="s">
        <v>364</v>
      </c>
      <c r="AI34" s="422" t="s">
        <v>364</v>
      </c>
      <c r="AJ34" s="422" t="s">
        <v>364</v>
      </c>
      <c r="AK34" s="422" t="s">
        <v>364</v>
      </c>
      <c r="AL34" s="422" t="s">
        <v>364</v>
      </c>
      <c r="AM34" s="422" t="s">
        <v>364</v>
      </c>
      <c r="AN34" s="422" t="s">
        <v>364</v>
      </c>
      <c r="AO34" s="422" t="s">
        <v>364</v>
      </c>
      <c r="AP34" s="422" t="s">
        <v>364</v>
      </c>
      <c r="AQ34" s="422">
        <f t="shared" si="0"/>
        <v>406</v>
      </c>
      <c r="AR34" s="422" t="s">
        <v>364</v>
      </c>
      <c r="AS34" s="422" t="s">
        <v>364</v>
      </c>
      <c r="AT34" s="422" t="s">
        <v>364</v>
      </c>
      <c r="AU34" s="422" t="s">
        <v>364</v>
      </c>
      <c r="AV34" s="422" t="s">
        <v>364</v>
      </c>
      <c r="AW34" s="422" t="s">
        <v>364</v>
      </c>
      <c r="AX34" s="422" t="s">
        <v>364</v>
      </c>
      <c r="AY34" s="422" t="s">
        <v>364</v>
      </c>
      <c r="AZ34" s="422" t="s">
        <v>364</v>
      </c>
      <c r="BA34" s="422" t="s">
        <v>364</v>
      </c>
      <c r="BB34" s="422" t="s">
        <v>364</v>
      </c>
      <c r="BC34" s="422" t="s">
        <v>364</v>
      </c>
      <c r="BD34" s="422" t="s">
        <v>364</v>
      </c>
      <c r="BE34" s="422" t="s">
        <v>364</v>
      </c>
      <c r="BF34" s="422" t="s">
        <v>364</v>
      </c>
      <c r="BG34" s="422" t="s">
        <v>364</v>
      </c>
      <c r="BH34" s="422" t="s">
        <v>364</v>
      </c>
      <c r="BI34" s="422" t="s">
        <v>364</v>
      </c>
      <c r="BJ34" s="422" t="s">
        <v>364</v>
      </c>
      <c r="BK34" s="422" t="s">
        <v>364</v>
      </c>
      <c r="BL34" s="422" t="s">
        <v>364</v>
      </c>
      <c r="BM34" s="422" t="s">
        <v>364</v>
      </c>
      <c r="BN34" s="422" t="s">
        <v>364</v>
      </c>
      <c r="BO34" s="422">
        <v>190</v>
      </c>
      <c r="BP34" s="422" t="s">
        <v>364</v>
      </c>
      <c r="BQ34" s="422" t="s">
        <v>364</v>
      </c>
      <c r="BR34" s="422" t="s">
        <v>364</v>
      </c>
      <c r="BS34" s="422" t="s">
        <v>364</v>
      </c>
      <c r="BT34" s="422" t="s">
        <v>364</v>
      </c>
      <c r="BU34" s="422" t="s">
        <v>364</v>
      </c>
      <c r="BV34" s="422" t="s">
        <v>364</v>
      </c>
      <c r="BW34" s="422" t="s">
        <v>364</v>
      </c>
      <c r="BX34" s="422" t="s">
        <v>364</v>
      </c>
      <c r="BY34" s="422" t="s">
        <v>364</v>
      </c>
      <c r="BZ34" s="422">
        <v>49</v>
      </c>
      <c r="CA34" s="422" t="s">
        <v>364</v>
      </c>
      <c r="CB34" s="422" t="s">
        <v>364</v>
      </c>
      <c r="CC34" s="422" t="s">
        <v>364</v>
      </c>
      <c r="CD34" s="422" t="s">
        <v>364</v>
      </c>
      <c r="CE34" s="422" t="s">
        <v>364</v>
      </c>
      <c r="CF34" s="422" t="s">
        <v>364</v>
      </c>
      <c r="CG34" s="422" t="s">
        <v>364</v>
      </c>
      <c r="CH34" s="422">
        <v>9</v>
      </c>
      <c r="CI34" s="422">
        <v>12</v>
      </c>
      <c r="CJ34" s="422">
        <v>146</v>
      </c>
      <c r="CK34" s="422" t="s">
        <v>364</v>
      </c>
      <c r="CL34" s="422" t="s">
        <v>364</v>
      </c>
      <c r="CM34" s="422" t="s">
        <v>364</v>
      </c>
      <c r="CN34" s="422" t="s">
        <v>364</v>
      </c>
      <c r="CO34" s="422" t="s">
        <v>364</v>
      </c>
      <c r="CP34" s="422" t="s">
        <v>364</v>
      </c>
      <c r="CQ34" s="422" t="s">
        <v>364</v>
      </c>
      <c r="CR34" s="422" t="s">
        <v>364</v>
      </c>
      <c r="CS34" s="422" t="s">
        <v>364</v>
      </c>
      <c r="CT34" s="422" t="s">
        <v>364</v>
      </c>
      <c r="CU34" s="422" t="s">
        <v>364</v>
      </c>
      <c r="CV34" s="422" t="s">
        <v>364</v>
      </c>
      <c r="CW34" s="422" t="s">
        <v>364</v>
      </c>
      <c r="CX34" s="422" t="s">
        <v>364</v>
      </c>
      <c r="CY34" s="422" t="s">
        <v>364</v>
      </c>
      <c r="CZ34" s="422" t="s">
        <v>364</v>
      </c>
      <c r="DA34" s="422" t="s">
        <v>364</v>
      </c>
      <c r="DB34" s="422" t="s">
        <v>364</v>
      </c>
      <c r="DC34" s="422" t="s">
        <v>364</v>
      </c>
      <c r="DD34" s="422" t="s">
        <v>364</v>
      </c>
      <c r="DE34" s="422" t="s">
        <v>364</v>
      </c>
      <c r="DF34" s="422" t="s">
        <v>364</v>
      </c>
      <c r="DG34" s="422" t="s">
        <v>364</v>
      </c>
      <c r="DH34" s="422" t="s">
        <v>364</v>
      </c>
      <c r="DI34" s="422" t="s">
        <v>364</v>
      </c>
      <c r="DJ34" s="422" t="s">
        <v>364</v>
      </c>
      <c r="DK34" s="422">
        <f t="shared" si="4"/>
        <v>0</v>
      </c>
      <c r="DL34" s="422" t="s">
        <v>364</v>
      </c>
      <c r="DM34" s="422" t="s">
        <v>364</v>
      </c>
      <c r="DN34" s="422" t="s">
        <v>364</v>
      </c>
      <c r="DO34" s="422" t="s">
        <v>364</v>
      </c>
      <c r="DP34" s="422" t="s">
        <v>364</v>
      </c>
      <c r="DQ34" s="422" t="s">
        <v>364</v>
      </c>
      <c r="DR34" s="422" t="s">
        <v>364</v>
      </c>
      <c r="DS34" s="422" t="s">
        <v>364</v>
      </c>
      <c r="DT34" s="422" t="s">
        <v>364</v>
      </c>
      <c r="DU34" s="422" t="s">
        <v>364</v>
      </c>
      <c r="DV34" s="422" t="s">
        <v>364</v>
      </c>
      <c r="DW34" s="422" t="s">
        <v>364</v>
      </c>
      <c r="DX34" s="422" t="s">
        <v>364</v>
      </c>
      <c r="DY34" s="422">
        <f t="shared" si="5"/>
        <v>0</v>
      </c>
      <c r="DZ34" s="422" t="s">
        <v>364</v>
      </c>
      <c r="EA34" s="422" t="s">
        <v>364</v>
      </c>
      <c r="EB34" s="422" t="s">
        <v>364</v>
      </c>
      <c r="EC34" s="422" t="s">
        <v>364</v>
      </c>
      <c r="ED34" s="422" t="s">
        <v>364</v>
      </c>
      <c r="EE34" s="422" t="s">
        <v>364</v>
      </c>
      <c r="EF34" s="422" t="s">
        <v>364</v>
      </c>
      <c r="EG34" s="422" t="s">
        <v>364</v>
      </c>
      <c r="EH34" s="422" t="s">
        <v>364</v>
      </c>
      <c r="EI34" s="422" t="s">
        <v>364</v>
      </c>
      <c r="EJ34" s="422" t="s">
        <v>364</v>
      </c>
      <c r="EK34" s="422" t="s">
        <v>364</v>
      </c>
      <c r="EL34" s="422" t="s">
        <v>364</v>
      </c>
      <c r="EM34" s="422" t="s">
        <v>364</v>
      </c>
      <c r="EN34" s="422" t="s">
        <v>364</v>
      </c>
      <c r="EO34" s="422" t="s">
        <v>364</v>
      </c>
      <c r="EP34" s="422" t="s">
        <v>364</v>
      </c>
      <c r="EQ34" s="422" t="s">
        <v>364</v>
      </c>
      <c r="ER34" s="422" t="s">
        <v>364</v>
      </c>
      <c r="ES34" s="422" t="s">
        <v>364</v>
      </c>
      <c r="ET34" s="422" t="s">
        <v>364</v>
      </c>
      <c r="EU34" s="422" t="s">
        <v>364</v>
      </c>
      <c r="EV34" s="422" t="s">
        <v>364</v>
      </c>
      <c r="EW34" s="422" t="s">
        <v>364</v>
      </c>
      <c r="EX34" s="422" t="s">
        <v>364</v>
      </c>
      <c r="EY34" s="422" t="s">
        <v>364</v>
      </c>
      <c r="EZ34" s="422" t="s">
        <v>364</v>
      </c>
      <c r="FA34" s="422">
        <f t="shared" si="6"/>
        <v>30</v>
      </c>
      <c r="FB34" s="422" t="s">
        <v>364</v>
      </c>
      <c r="FC34" s="422" t="s">
        <v>364</v>
      </c>
      <c r="FD34" s="422" t="s">
        <v>364</v>
      </c>
      <c r="FE34" s="422" t="s">
        <v>364</v>
      </c>
      <c r="FF34" s="422" t="s">
        <v>364</v>
      </c>
      <c r="FG34" s="422" t="s">
        <v>364</v>
      </c>
      <c r="FH34" s="422" t="s">
        <v>364</v>
      </c>
      <c r="FI34" s="422">
        <v>30</v>
      </c>
      <c r="FJ34" s="422" t="s">
        <v>364</v>
      </c>
      <c r="FK34" s="422" t="s">
        <v>364</v>
      </c>
      <c r="FL34" s="422" t="s">
        <v>364</v>
      </c>
      <c r="FM34" s="422" t="s">
        <v>364</v>
      </c>
      <c r="FN34" s="422" t="s">
        <v>364</v>
      </c>
      <c r="FO34" s="422" t="s">
        <v>364</v>
      </c>
      <c r="FP34" s="422" t="s">
        <v>364</v>
      </c>
      <c r="FQ34" s="422" t="s">
        <v>364</v>
      </c>
      <c r="FR34" s="422" t="s">
        <v>364</v>
      </c>
      <c r="FS34" s="422" t="s">
        <v>364</v>
      </c>
      <c r="FT34" s="422" t="s">
        <v>364</v>
      </c>
      <c r="FU34" s="422" t="s">
        <v>364</v>
      </c>
      <c r="FV34" s="422" t="s">
        <v>364</v>
      </c>
      <c r="FW34" s="422" t="s">
        <v>364</v>
      </c>
      <c r="FX34" s="422" t="s">
        <v>364</v>
      </c>
      <c r="FY34" s="422" t="s">
        <v>364</v>
      </c>
      <c r="FZ34" s="422" t="s">
        <v>364</v>
      </c>
      <c r="GA34" s="422" t="s">
        <v>364</v>
      </c>
      <c r="GB34" s="422" t="s">
        <v>364</v>
      </c>
      <c r="GC34" s="422" t="s">
        <v>364</v>
      </c>
      <c r="GD34" s="422" t="s">
        <v>364</v>
      </c>
      <c r="GE34" s="422" t="s">
        <v>364</v>
      </c>
      <c r="GF34" s="422" t="s">
        <v>364</v>
      </c>
      <c r="GG34" s="422" t="s">
        <v>364</v>
      </c>
      <c r="GH34" s="422" t="s">
        <v>364</v>
      </c>
      <c r="GI34" s="422" t="s">
        <v>364</v>
      </c>
      <c r="GJ34" s="422" t="s">
        <v>364</v>
      </c>
      <c r="GK34" s="422" t="s">
        <v>364</v>
      </c>
      <c r="GL34" s="422" t="s">
        <v>364</v>
      </c>
      <c r="GM34" s="422" t="s">
        <v>364</v>
      </c>
      <c r="GN34" s="422" t="s">
        <v>364</v>
      </c>
      <c r="GO34" s="422" t="s">
        <v>364</v>
      </c>
      <c r="GP34" s="422" t="s">
        <v>364</v>
      </c>
      <c r="GQ34" s="422" t="s">
        <v>364</v>
      </c>
      <c r="GR34" s="422" t="s">
        <v>364</v>
      </c>
      <c r="GS34" s="422" t="s">
        <v>364</v>
      </c>
      <c r="GT34" s="422" t="s">
        <v>364</v>
      </c>
      <c r="GU34" s="422" t="s">
        <v>364</v>
      </c>
      <c r="GV34" s="422">
        <f t="shared" si="7"/>
        <v>48</v>
      </c>
      <c r="GW34" s="422" t="s">
        <v>364</v>
      </c>
      <c r="GX34" s="422">
        <v>24</v>
      </c>
      <c r="GY34" s="422">
        <v>24</v>
      </c>
      <c r="GZ34" s="422" t="s">
        <v>364</v>
      </c>
      <c r="HA34" s="422" t="s">
        <v>364</v>
      </c>
      <c r="HB34" s="422" t="s">
        <v>364</v>
      </c>
      <c r="HC34" s="422" t="s">
        <v>364</v>
      </c>
      <c r="HD34" s="422" t="s">
        <v>364</v>
      </c>
      <c r="HE34" s="422" t="s">
        <v>364</v>
      </c>
      <c r="HF34" s="422" t="s">
        <v>364</v>
      </c>
      <c r="HG34" s="422" t="s">
        <v>364</v>
      </c>
      <c r="HH34" s="422" t="s">
        <v>364</v>
      </c>
      <c r="HI34" s="422" t="s">
        <v>364</v>
      </c>
      <c r="HJ34" s="422" t="s">
        <v>364</v>
      </c>
      <c r="HK34" s="422" t="s">
        <v>364</v>
      </c>
      <c r="HL34" s="422" t="s">
        <v>364</v>
      </c>
      <c r="HM34" s="422" t="s">
        <v>364</v>
      </c>
      <c r="HN34" s="422" t="s">
        <v>364</v>
      </c>
      <c r="HO34" s="422" t="s">
        <v>364</v>
      </c>
      <c r="HP34" s="422" t="s">
        <v>364</v>
      </c>
      <c r="HQ34" s="422" t="s">
        <v>364</v>
      </c>
      <c r="HR34" s="422" t="s">
        <v>364</v>
      </c>
      <c r="HS34" s="422" t="s">
        <v>364</v>
      </c>
      <c r="HT34" s="422" t="s">
        <v>364</v>
      </c>
      <c r="HU34" s="422" t="s">
        <v>364</v>
      </c>
      <c r="HV34" s="422" t="s">
        <v>364</v>
      </c>
      <c r="HW34" s="422" t="s">
        <v>364</v>
      </c>
      <c r="HX34" s="422" t="s">
        <v>364</v>
      </c>
      <c r="HY34" s="422">
        <f t="shared" si="8"/>
        <v>0</v>
      </c>
      <c r="HZ34" s="422" t="s">
        <v>364</v>
      </c>
      <c r="IA34" s="422" t="s">
        <v>364</v>
      </c>
      <c r="IB34" s="422" t="s">
        <v>364</v>
      </c>
      <c r="IC34" s="422" t="s">
        <v>364</v>
      </c>
      <c r="ID34" s="422" t="s">
        <v>364</v>
      </c>
      <c r="IE34" s="422" t="s">
        <v>364</v>
      </c>
      <c r="IF34" s="422">
        <f t="shared" si="9"/>
        <v>0</v>
      </c>
      <c r="IG34" s="422" t="s">
        <v>364</v>
      </c>
      <c r="IH34" s="422" t="s">
        <v>364</v>
      </c>
      <c r="II34" s="422" t="s">
        <v>364</v>
      </c>
      <c r="IJ34" s="422" t="s">
        <v>364</v>
      </c>
      <c r="IK34" s="422" t="s">
        <v>364</v>
      </c>
      <c r="IL34" s="422" t="s">
        <v>364</v>
      </c>
      <c r="IM34" s="422" t="s">
        <v>364</v>
      </c>
      <c r="IN34" s="422" t="s">
        <v>364</v>
      </c>
      <c r="IO34" s="422" t="s">
        <v>364</v>
      </c>
      <c r="IP34" s="422" t="s">
        <v>364</v>
      </c>
      <c r="IQ34" s="422" t="s">
        <v>364</v>
      </c>
      <c r="IR34" s="422" t="s">
        <v>364</v>
      </c>
      <c r="IS34" s="422" t="s">
        <v>364</v>
      </c>
      <c r="IT34" s="422" t="s">
        <v>364</v>
      </c>
      <c r="IU34" s="422" t="s">
        <v>364</v>
      </c>
      <c r="IV34" s="422" t="s">
        <v>364</v>
      </c>
      <c r="IW34" s="422" t="s">
        <v>364</v>
      </c>
      <c r="IX34" s="422" t="s">
        <v>364</v>
      </c>
      <c r="IY34" s="422" t="s">
        <v>364</v>
      </c>
      <c r="IZ34" s="422">
        <f t="shared" si="10"/>
        <v>30</v>
      </c>
      <c r="JA34" s="422" t="s">
        <v>364</v>
      </c>
      <c r="JB34" s="422">
        <v>26</v>
      </c>
      <c r="JC34" s="422">
        <v>4</v>
      </c>
      <c r="JD34" s="422" t="s">
        <v>364</v>
      </c>
      <c r="JE34" s="422" t="s">
        <v>364</v>
      </c>
      <c r="JF34" s="422" t="s">
        <v>364</v>
      </c>
      <c r="JG34" s="422" t="s">
        <v>364</v>
      </c>
      <c r="JH34" s="422" t="s">
        <v>364</v>
      </c>
      <c r="JI34" s="422" t="s">
        <v>364</v>
      </c>
      <c r="JJ34" s="422" t="s">
        <v>364</v>
      </c>
      <c r="JK34" s="422" t="s">
        <v>364</v>
      </c>
      <c r="JL34" s="422" t="s">
        <v>364</v>
      </c>
      <c r="JM34" s="422" t="s">
        <v>364</v>
      </c>
      <c r="JN34" s="422" t="s">
        <v>364</v>
      </c>
      <c r="JO34" s="422" t="s">
        <v>364</v>
      </c>
      <c r="JP34" s="422" t="s">
        <v>364</v>
      </c>
      <c r="JQ34" s="422" t="s">
        <v>364</v>
      </c>
      <c r="JR34" s="422" t="s">
        <v>364</v>
      </c>
      <c r="JS34" s="422" t="s">
        <v>364</v>
      </c>
      <c r="JT34" s="422" t="s">
        <v>364</v>
      </c>
      <c r="JU34" s="422" t="s">
        <v>364</v>
      </c>
      <c r="JV34" s="422" t="s">
        <v>364</v>
      </c>
      <c r="JW34" s="422">
        <f t="shared" si="11"/>
        <v>0</v>
      </c>
      <c r="JX34" s="422" t="s">
        <v>364</v>
      </c>
      <c r="JY34" s="422" t="s">
        <v>364</v>
      </c>
      <c r="JZ34" s="422" t="s">
        <v>364</v>
      </c>
      <c r="KA34" s="422" t="s">
        <v>364</v>
      </c>
      <c r="KB34" s="422" t="s">
        <v>364</v>
      </c>
      <c r="KC34" s="422" t="s">
        <v>364</v>
      </c>
      <c r="KD34" s="422" t="s">
        <v>364</v>
      </c>
      <c r="KE34" s="422" t="s">
        <v>364</v>
      </c>
      <c r="KF34" s="422" t="s">
        <v>364</v>
      </c>
      <c r="KG34" s="422" t="s">
        <v>364</v>
      </c>
      <c r="KH34" s="422" t="s">
        <v>364</v>
      </c>
      <c r="KI34" s="422" t="s">
        <v>364</v>
      </c>
      <c r="KJ34" s="422" t="s">
        <v>364</v>
      </c>
      <c r="KK34" s="422" t="s">
        <v>364</v>
      </c>
      <c r="KL34" s="422" t="s">
        <v>364</v>
      </c>
      <c r="KM34" s="422" t="s">
        <v>364</v>
      </c>
      <c r="KN34" s="422" t="s">
        <v>364</v>
      </c>
      <c r="KO34" s="422" t="s">
        <v>364</v>
      </c>
      <c r="KP34" s="422" t="s">
        <v>364</v>
      </c>
      <c r="KQ34" s="422" t="s">
        <v>364</v>
      </c>
      <c r="KR34" s="422" t="s">
        <v>364</v>
      </c>
      <c r="KS34" s="422" t="s">
        <v>364</v>
      </c>
      <c r="KT34" s="422" t="s">
        <v>364</v>
      </c>
      <c r="KU34" s="422" t="s">
        <v>364</v>
      </c>
      <c r="KV34" s="422" t="s">
        <v>364</v>
      </c>
      <c r="KW34" s="422" t="s">
        <v>364</v>
      </c>
      <c r="KX34" s="422" t="s">
        <v>364</v>
      </c>
      <c r="KY34" s="422" t="s">
        <v>364</v>
      </c>
      <c r="KZ34" s="422" t="s">
        <v>364</v>
      </c>
      <c r="LA34" s="422" t="s">
        <v>364</v>
      </c>
      <c r="LB34" s="422" t="s">
        <v>364</v>
      </c>
      <c r="LC34" s="422" t="s">
        <v>364</v>
      </c>
      <c r="LD34" s="422" t="s">
        <v>364</v>
      </c>
      <c r="LE34" s="422" t="s">
        <v>364</v>
      </c>
      <c r="LF34" s="422" t="s">
        <v>364</v>
      </c>
      <c r="LG34" s="422" t="s">
        <v>364</v>
      </c>
      <c r="LH34" s="422" t="s">
        <v>364</v>
      </c>
      <c r="LI34" s="422" t="s">
        <v>364</v>
      </c>
      <c r="LJ34" s="422" t="s">
        <v>364</v>
      </c>
      <c r="LK34" s="422" t="s">
        <v>364</v>
      </c>
      <c r="LL34" s="422" t="s">
        <v>364</v>
      </c>
      <c r="LM34" s="424" t="s">
        <v>364</v>
      </c>
      <c r="LN34" s="424">
        <v>0</v>
      </c>
      <c r="LO34" s="424" t="s">
        <v>364</v>
      </c>
      <c r="LP34" s="424" t="s">
        <v>364</v>
      </c>
      <c r="LQ34" s="424" t="s">
        <v>364</v>
      </c>
      <c r="LR34" s="424" t="s">
        <v>364</v>
      </c>
      <c r="LS34" s="424" t="s">
        <v>364</v>
      </c>
      <c r="LT34" s="424" t="s">
        <v>364</v>
      </c>
      <c r="LU34" s="424" t="s">
        <v>364</v>
      </c>
      <c r="LV34" s="424" t="s">
        <v>364</v>
      </c>
      <c r="LW34" s="424" t="s">
        <v>364</v>
      </c>
      <c r="LX34" s="424">
        <f t="shared" si="12"/>
        <v>0</v>
      </c>
      <c r="LY34" s="424" t="s">
        <v>364</v>
      </c>
      <c r="LZ34" s="424" t="s">
        <v>364</v>
      </c>
      <c r="MA34" s="424" t="s">
        <v>364</v>
      </c>
      <c r="MB34" s="424" t="s">
        <v>364</v>
      </c>
      <c r="MC34" s="424" t="s">
        <v>364</v>
      </c>
      <c r="MD34" s="424" t="s">
        <v>364</v>
      </c>
      <c r="ME34" s="424">
        <f t="shared" si="1"/>
        <v>0</v>
      </c>
      <c r="MF34" s="424" t="s">
        <v>364</v>
      </c>
      <c r="MG34" s="424" t="s">
        <v>364</v>
      </c>
      <c r="MH34" s="424" t="s">
        <v>364</v>
      </c>
      <c r="MI34" s="424" t="s">
        <v>364</v>
      </c>
      <c r="MJ34" s="424" t="s">
        <v>364</v>
      </c>
      <c r="MK34" s="424" t="s">
        <v>364</v>
      </c>
      <c r="ML34" s="424" t="s">
        <v>364</v>
      </c>
      <c r="MM34" s="424" t="s">
        <v>364</v>
      </c>
      <c r="MN34" s="424" t="s">
        <v>364</v>
      </c>
      <c r="MO34" s="424" t="s">
        <v>364</v>
      </c>
      <c r="MP34" s="424" t="s">
        <v>364</v>
      </c>
      <c r="MQ34" s="424" t="s">
        <v>364</v>
      </c>
      <c r="MR34" s="424" t="s">
        <v>364</v>
      </c>
      <c r="MS34" s="424" t="s">
        <v>364</v>
      </c>
      <c r="MT34" s="424" t="s">
        <v>364</v>
      </c>
      <c r="MU34" s="424" t="s">
        <v>364</v>
      </c>
      <c r="MV34" s="424" t="s">
        <v>364</v>
      </c>
      <c r="MW34" s="424" t="s">
        <v>364</v>
      </c>
      <c r="MX34" s="424">
        <f t="shared" si="13"/>
        <v>0</v>
      </c>
      <c r="MY34" s="424" t="s">
        <v>364</v>
      </c>
      <c r="MZ34" s="424" t="s">
        <v>364</v>
      </c>
      <c r="NA34" s="424" t="s">
        <v>364</v>
      </c>
      <c r="NB34" s="424" t="s">
        <v>364</v>
      </c>
      <c r="NC34" s="424" t="s">
        <v>364</v>
      </c>
      <c r="ND34" s="424" t="s">
        <v>364</v>
      </c>
      <c r="NE34" s="424" t="s">
        <v>364</v>
      </c>
      <c r="NF34" s="424" t="s">
        <v>364</v>
      </c>
      <c r="NG34" s="424" t="s">
        <v>6598</v>
      </c>
      <c r="NH34" s="424" t="s">
        <v>364</v>
      </c>
      <c r="NI34" s="424" t="s">
        <v>364</v>
      </c>
      <c r="NJ34" s="424" t="s">
        <v>364</v>
      </c>
      <c r="NK34" s="424">
        <f t="shared" si="2"/>
        <v>20</v>
      </c>
      <c r="NL34" s="424">
        <f t="shared" si="14"/>
        <v>20</v>
      </c>
      <c r="NM34" s="424" t="s">
        <v>364</v>
      </c>
      <c r="NN34" s="424" t="s">
        <v>364</v>
      </c>
      <c r="NO34" s="424" t="s">
        <v>364</v>
      </c>
      <c r="NP34" s="424">
        <v>1</v>
      </c>
      <c r="NQ34" s="424">
        <v>19</v>
      </c>
      <c r="NR34" s="424" t="s">
        <v>364</v>
      </c>
      <c r="NS34" s="424" t="s">
        <v>364</v>
      </c>
      <c r="NT34" s="424" t="s">
        <v>364</v>
      </c>
      <c r="NU34" s="424" t="s">
        <v>364</v>
      </c>
      <c r="NV34" s="424" t="s">
        <v>364</v>
      </c>
      <c r="NW34" s="424" t="s">
        <v>364</v>
      </c>
      <c r="NX34" s="424" t="s">
        <v>364</v>
      </c>
      <c r="NY34" s="424" t="s">
        <v>364</v>
      </c>
      <c r="NZ34" s="424">
        <f t="shared" si="15"/>
        <v>0</v>
      </c>
      <c r="OA34" s="424" t="s">
        <v>364</v>
      </c>
      <c r="OB34" s="424" t="s">
        <v>364</v>
      </c>
      <c r="OC34" s="424" t="s">
        <v>364</v>
      </c>
      <c r="OD34" s="424" t="s">
        <v>364</v>
      </c>
      <c r="OE34" s="424" t="s">
        <v>364</v>
      </c>
      <c r="OF34" s="424" t="s">
        <v>364</v>
      </c>
      <c r="OG34" s="424" t="s">
        <v>364</v>
      </c>
      <c r="OH34" s="424">
        <f t="shared" si="16"/>
        <v>20</v>
      </c>
      <c r="OI34" s="424">
        <f t="shared" si="17"/>
        <v>20</v>
      </c>
      <c r="OJ34" s="422" t="s">
        <v>364</v>
      </c>
      <c r="OK34" s="422" t="s">
        <v>364</v>
      </c>
      <c r="OL34" s="422" t="s">
        <v>364</v>
      </c>
      <c r="OM34" s="422" t="s">
        <v>364</v>
      </c>
      <c r="ON34" s="422" t="s">
        <v>364</v>
      </c>
      <c r="OO34" s="422" t="s">
        <v>364</v>
      </c>
      <c r="OP34" s="422" t="s">
        <v>364</v>
      </c>
      <c r="OQ34" s="422" t="s">
        <v>364</v>
      </c>
      <c r="OR34" s="422" t="s">
        <v>364</v>
      </c>
      <c r="OS34" s="422" t="s">
        <v>364</v>
      </c>
      <c r="OT34" s="422" t="s">
        <v>364</v>
      </c>
      <c r="OU34" s="422">
        <v>20</v>
      </c>
      <c r="OV34" s="422" t="s">
        <v>364</v>
      </c>
      <c r="OW34" s="422" t="s">
        <v>364</v>
      </c>
      <c r="OX34" s="422" t="s">
        <v>364</v>
      </c>
      <c r="OY34" s="422" t="s">
        <v>364</v>
      </c>
      <c r="OZ34" s="422" t="s">
        <v>364</v>
      </c>
      <c r="PA34" s="422" t="s">
        <v>364</v>
      </c>
      <c r="PB34" s="424">
        <f t="shared" si="18"/>
        <v>0</v>
      </c>
      <c r="PC34" s="422" t="s">
        <v>364</v>
      </c>
      <c r="PD34" s="422" t="s">
        <v>364</v>
      </c>
      <c r="PE34" s="422" t="s">
        <v>364</v>
      </c>
      <c r="PF34" s="422" t="s">
        <v>364</v>
      </c>
      <c r="PG34" s="422" t="s">
        <v>364</v>
      </c>
      <c r="PH34" s="422" t="s">
        <v>364</v>
      </c>
      <c r="PI34" s="422" t="s">
        <v>364</v>
      </c>
      <c r="PJ34" s="422" t="s">
        <v>364</v>
      </c>
    </row>
    <row r="35" spans="2:426" ht="15.6">
      <c r="B35" s="426" t="s">
        <v>2028</v>
      </c>
      <c r="C35" s="422">
        <f t="shared" si="3"/>
        <v>48</v>
      </c>
      <c r="D35" s="422">
        <v>4</v>
      </c>
      <c r="E35" s="422" t="s">
        <v>364</v>
      </c>
      <c r="F35" s="422" t="s">
        <v>364</v>
      </c>
      <c r="G35" s="422" t="s">
        <v>364</v>
      </c>
      <c r="H35" s="422" t="s">
        <v>364</v>
      </c>
      <c r="I35" s="422" t="s">
        <v>364</v>
      </c>
      <c r="J35" s="422" t="s">
        <v>364</v>
      </c>
      <c r="K35" s="422" t="s">
        <v>364</v>
      </c>
      <c r="L35" s="422" t="s">
        <v>364</v>
      </c>
      <c r="M35" s="422" t="s">
        <v>364</v>
      </c>
      <c r="N35" s="422" t="s">
        <v>364</v>
      </c>
      <c r="O35" s="422" t="s">
        <v>364</v>
      </c>
      <c r="P35" s="422" t="s">
        <v>364</v>
      </c>
      <c r="Q35" s="422" t="s">
        <v>364</v>
      </c>
      <c r="R35" s="422" t="s">
        <v>364</v>
      </c>
      <c r="S35" s="422" t="s">
        <v>364</v>
      </c>
      <c r="T35" s="422" t="s">
        <v>364</v>
      </c>
      <c r="U35" s="422">
        <v>44</v>
      </c>
      <c r="V35" s="422" t="s">
        <v>364</v>
      </c>
      <c r="W35" s="422" t="s">
        <v>364</v>
      </c>
      <c r="X35" s="422" t="s">
        <v>364</v>
      </c>
      <c r="Y35" s="422" t="s">
        <v>364</v>
      </c>
      <c r="Z35" s="422" t="s">
        <v>364</v>
      </c>
      <c r="AA35" s="422" t="s">
        <v>364</v>
      </c>
      <c r="AB35" s="422" t="s">
        <v>364</v>
      </c>
      <c r="AC35" s="422" t="s">
        <v>364</v>
      </c>
      <c r="AD35" s="422" t="s">
        <v>364</v>
      </c>
      <c r="AE35" s="422" t="s">
        <v>364</v>
      </c>
      <c r="AF35" s="422" t="s">
        <v>364</v>
      </c>
      <c r="AG35" s="422" t="s">
        <v>364</v>
      </c>
      <c r="AH35" s="422" t="s">
        <v>364</v>
      </c>
      <c r="AI35" s="422" t="s">
        <v>364</v>
      </c>
      <c r="AJ35" s="422" t="s">
        <v>364</v>
      </c>
      <c r="AK35" s="422" t="s">
        <v>364</v>
      </c>
      <c r="AL35" s="422" t="s">
        <v>364</v>
      </c>
      <c r="AM35" s="422" t="s">
        <v>364</v>
      </c>
      <c r="AN35" s="422" t="s">
        <v>364</v>
      </c>
      <c r="AO35" s="422" t="s">
        <v>364</v>
      </c>
      <c r="AP35" s="422" t="s">
        <v>364</v>
      </c>
      <c r="AQ35" s="422">
        <f t="shared" si="0"/>
        <v>260</v>
      </c>
      <c r="AR35" s="422" t="s">
        <v>364</v>
      </c>
      <c r="AS35" s="422" t="s">
        <v>364</v>
      </c>
      <c r="AT35" s="422" t="s">
        <v>364</v>
      </c>
      <c r="AU35" s="422" t="s">
        <v>364</v>
      </c>
      <c r="AV35" s="422" t="s">
        <v>364</v>
      </c>
      <c r="AW35" s="422" t="s">
        <v>364</v>
      </c>
      <c r="AX35" s="422" t="s">
        <v>364</v>
      </c>
      <c r="AY35" s="422" t="s">
        <v>364</v>
      </c>
      <c r="AZ35" s="422" t="s">
        <v>364</v>
      </c>
      <c r="BA35" s="422" t="s">
        <v>364</v>
      </c>
      <c r="BB35" s="422" t="s">
        <v>364</v>
      </c>
      <c r="BC35" s="422" t="s">
        <v>364</v>
      </c>
      <c r="BD35" s="422" t="s">
        <v>364</v>
      </c>
      <c r="BE35" s="422" t="s">
        <v>364</v>
      </c>
      <c r="BF35" s="422" t="s">
        <v>364</v>
      </c>
      <c r="BG35" s="422">
        <v>260</v>
      </c>
      <c r="BH35" s="422" t="s">
        <v>364</v>
      </c>
      <c r="BI35" s="422" t="s">
        <v>364</v>
      </c>
      <c r="BJ35" s="422" t="s">
        <v>364</v>
      </c>
      <c r="BK35" s="422" t="s">
        <v>364</v>
      </c>
      <c r="BL35" s="422" t="s">
        <v>364</v>
      </c>
      <c r="BM35" s="422" t="s">
        <v>364</v>
      </c>
      <c r="BN35" s="422" t="s">
        <v>364</v>
      </c>
      <c r="BO35" s="422" t="s">
        <v>364</v>
      </c>
      <c r="BP35" s="422" t="s">
        <v>364</v>
      </c>
      <c r="BQ35" s="422" t="s">
        <v>364</v>
      </c>
      <c r="BR35" s="422" t="s">
        <v>364</v>
      </c>
      <c r="BS35" s="422" t="s">
        <v>364</v>
      </c>
      <c r="BT35" s="422" t="s">
        <v>364</v>
      </c>
      <c r="BU35" s="422" t="s">
        <v>364</v>
      </c>
      <c r="BV35" s="422" t="s">
        <v>364</v>
      </c>
      <c r="BW35" s="422" t="s">
        <v>364</v>
      </c>
      <c r="BX35" s="422" t="s">
        <v>364</v>
      </c>
      <c r="BY35" s="422" t="s">
        <v>364</v>
      </c>
      <c r="BZ35" s="422" t="s">
        <v>364</v>
      </c>
      <c r="CA35" s="422" t="s">
        <v>364</v>
      </c>
      <c r="CB35" s="422" t="s">
        <v>364</v>
      </c>
      <c r="CC35" s="422" t="s">
        <v>364</v>
      </c>
      <c r="CD35" s="422" t="s">
        <v>364</v>
      </c>
      <c r="CE35" s="422" t="s">
        <v>364</v>
      </c>
      <c r="CF35" s="422" t="s">
        <v>364</v>
      </c>
      <c r="CG35" s="422" t="s">
        <v>364</v>
      </c>
      <c r="CH35" s="422" t="s">
        <v>364</v>
      </c>
      <c r="CI35" s="422" t="s">
        <v>364</v>
      </c>
      <c r="CJ35" s="422" t="s">
        <v>364</v>
      </c>
      <c r="CK35" s="422" t="s">
        <v>364</v>
      </c>
      <c r="CL35" s="422" t="s">
        <v>364</v>
      </c>
      <c r="CM35" s="422" t="s">
        <v>364</v>
      </c>
      <c r="CN35" s="422" t="s">
        <v>364</v>
      </c>
      <c r="CO35" s="422" t="s">
        <v>364</v>
      </c>
      <c r="CP35" s="422" t="s">
        <v>364</v>
      </c>
      <c r="CQ35" s="422" t="s">
        <v>364</v>
      </c>
      <c r="CR35" s="422" t="s">
        <v>364</v>
      </c>
      <c r="CS35" s="422" t="s">
        <v>364</v>
      </c>
      <c r="CT35" s="422" t="s">
        <v>364</v>
      </c>
      <c r="CU35" s="422" t="s">
        <v>364</v>
      </c>
      <c r="CV35" s="422" t="s">
        <v>364</v>
      </c>
      <c r="CW35" s="422" t="s">
        <v>364</v>
      </c>
      <c r="CX35" s="422" t="s">
        <v>364</v>
      </c>
      <c r="CY35" s="422" t="s">
        <v>364</v>
      </c>
      <c r="CZ35" s="422" t="s">
        <v>364</v>
      </c>
      <c r="DA35" s="422" t="s">
        <v>364</v>
      </c>
      <c r="DB35" s="422" t="s">
        <v>364</v>
      </c>
      <c r="DC35" s="422" t="s">
        <v>364</v>
      </c>
      <c r="DD35" s="422" t="s">
        <v>364</v>
      </c>
      <c r="DE35" s="422" t="s">
        <v>364</v>
      </c>
      <c r="DF35" s="422" t="s">
        <v>364</v>
      </c>
      <c r="DG35" s="422" t="s">
        <v>364</v>
      </c>
      <c r="DH35" s="422" t="s">
        <v>364</v>
      </c>
      <c r="DI35" s="422" t="s">
        <v>364</v>
      </c>
      <c r="DJ35" s="422" t="s">
        <v>364</v>
      </c>
      <c r="DK35" s="422">
        <f t="shared" si="4"/>
        <v>49</v>
      </c>
      <c r="DL35" s="422">
        <v>12</v>
      </c>
      <c r="DM35" s="422">
        <v>27</v>
      </c>
      <c r="DN35" s="422" t="s">
        <v>364</v>
      </c>
      <c r="DO35" s="422" t="s">
        <v>364</v>
      </c>
      <c r="DP35" s="422" t="s">
        <v>364</v>
      </c>
      <c r="DQ35" s="422">
        <v>10</v>
      </c>
      <c r="DR35" s="422" t="s">
        <v>364</v>
      </c>
      <c r="DS35" s="422" t="s">
        <v>364</v>
      </c>
      <c r="DT35" s="422" t="s">
        <v>364</v>
      </c>
      <c r="DU35" s="422" t="s">
        <v>364</v>
      </c>
      <c r="DV35" s="422" t="s">
        <v>364</v>
      </c>
      <c r="DW35" s="422" t="s">
        <v>364</v>
      </c>
      <c r="DX35" s="422" t="s">
        <v>364</v>
      </c>
      <c r="DY35" s="422">
        <f t="shared" si="5"/>
        <v>0</v>
      </c>
      <c r="DZ35" s="422" t="s">
        <v>364</v>
      </c>
      <c r="EA35" s="422" t="s">
        <v>364</v>
      </c>
      <c r="EB35" s="422" t="s">
        <v>364</v>
      </c>
      <c r="EC35" s="422" t="s">
        <v>364</v>
      </c>
      <c r="ED35" s="422" t="s">
        <v>364</v>
      </c>
      <c r="EE35" s="422" t="s">
        <v>364</v>
      </c>
      <c r="EF35" s="422" t="s">
        <v>364</v>
      </c>
      <c r="EG35" s="422" t="s">
        <v>364</v>
      </c>
      <c r="EH35" s="422" t="s">
        <v>364</v>
      </c>
      <c r="EI35" s="422" t="s">
        <v>364</v>
      </c>
      <c r="EJ35" s="422" t="s">
        <v>364</v>
      </c>
      <c r="EK35" s="422" t="s">
        <v>364</v>
      </c>
      <c r="EL35" s="422" t="s">
        <v>364</v>
      </c>
      <c r="EM35" s="422" t="s">
        <v>364</v>
      </c>
      <c r="EN35" s="422" t="s">
        <v>364</v>
      </c>
      <c r="EO35" s="422" t="s">
        <v>364</v>
      </c>
      <c r="EP35" s="422" t="s">
        <v>364</v>
      </c>
      <c r="EQ35" s="422" t="s">
        <v>364</v>
      </c>
      <c r="ER35" s="422" t="s">
        <v>364</v>
      </c>
      <c r="ES35" s="422" t="s">
        <v>364</v>
      </c>
      <c r="ET35" s="422" t="s">
        <v>364</v>
      </c>
      <c r="EU35" s="422" t="s">
        <v>364</v>
      </c>
      <c r="EV35" s="422" t="s">
        <v>364</v>
      </c>
      <c r="EW35" s="422" t="s">
        <v>364</v>
      </c>
      <c r="EX35" s="422" t="s">
        <v>364</v>
      </c>
      <c r="EY35" s="422" t="s">
        <v>364</v>
      </c>
      <c r="EZ35" s="422" t="s">
        <v>364</v>
      </c>
      <c r="FA35" s="422">
        <f t="shared" si="6"/>
        <v>120</v>
      </c>
      <c r="FB35" s="422" t="s">
        <v>364</v>
      </c>
      <c r="FC35" s="422" t="s">
        <v>364</v>
      </c>
      <c r="FD35" s="422" t="s">
        <v>364</v>
      </c>
      <c r="FE35" s="422" t="s">
        <v>364</v>
      </c>
      <c r="FF35" s="422" t="s">
        <v>364</v>
      </c>
      <c r="FG35" s="422" t="s">
        <v>364</v>
      </c>
      <c r="FH35" s="422" t="s">
        <v>364</v>
      </c>
      <c r="FI35" s="422" t="s">
        <v>364</v>
      </c>
      <c r="FJ35" s="422" t="s">
        <v>364</v>
      </c>
      <c r="FK35" s="422" t="s">
        <v>364</v>
      </c>
      <c r="FL35" s="422" t="s">
        <v>364</v>
      </c>
      <c r="FM35" s="422" t="s">
        <v>364</v>
      </c>
      <c r="FN35" s="422" t="s">
        <v>364</v>
      </c>
      <c r="FO35" s="422" t="s">
        <v>364</v>
      </c>
      <c r="FP35" s="422" t="s">
        <v>364</v>
      </c>
      <c r="FQ35" s="422" t="s">
        <v>364</v>
      </c>
      <c r="FR35" s="422" t="s">
        <v>364</v>
      </c>
      <c r="FS35" s="422" t="s">
        <v>364</v>
      </c>
      <c r="FT35" s="422" t="s">
        <v>364</v>
      </c>
      <c r="FU35" s="422" t="s">
        <v>364</v>
      </c>
      <c r="FV35" s="422">
        <v>120</v>
      </c>
      <c r="FW35" s="422" t="s">
        <v>364</v>
      </c>
      <c r="FX35" s="422" t="s">
        <v>364</v>
      </c>
      <c r="FY35" s="422" t="s">
        <v>364</v>
      </c>
      <c r="FZ35" s="422" t="s">
        <v>364</v>
      </c>
      <c r="GA35" s="422" t="s">
        <v>364</v>
      </c>
      <c r="GB35" s="422" t="s">
        <v>364</v>
      </c>
      <c r="GC35" s="422" t="s">
        <v>364</v>
      </c>
      <c r="GD35" s="422" t="s">
        <v>364</v>
      </c>
      <c r="GE35" s="422" t="s">
        <v>364</v>
      </c>
      <c r="GF35" s="422" t="s">
        <v>364</v>
      </c>
      <c r="GG35" s="422" t="s">
        <v>364</v>
      </c>
      <c r="GH35" s="422" t="s">
        <v>364</v>
      </c>
      <c r="GI35" s="422" t="s">
        <v>364</v>
      </c>
      <c r="GJ35" s="422" t="s">
        <v>364</v>
      </c>
      <c r="GK35" s="422" t="s">
        <v>364</v>
      </c>
      <c r="GL35" s="422" t="s">
        <v>364</v>
      </c>
      <c r="GM35" s="422" t="s">
        <v>364</v>
      </c>
      <c r="GN35" s="422" t="s">
        <v>364</v>
      </c>
      <c r="GO35" s="422" t="s">
        <v>364</v>
      </c>
      <c r="GP35" s="422" t="s">
        <v>364</v>
      </c>
      <c r="GQ35" s="422" t="s">
        <v>364</v>
      </c>
      <c r="GR35" s="422" t="s">
        <v>364</v>
      </c>
      <c r="GS35" s="422" t="s">
        <v>364</v>
      </c>
      <c r="GT35" s="422" t="s">
        <v>364</v>
      </c>
      <c r="GU35" s="422" t="s">
        <v>364</v>
      </c>
      <c r="GV35" s="422">
        <f t="shared" si="7"/>
        <v>0</v>
      </c>
      <c r="GW35" s="422" t="s">
        <v>364</v>
      </c>
      <c r="GX35" s="422" t="s">
        <v>364</v>
      </c>
      <c r="GY35" s="422" t="s">
        <v>364</v>
      </c>
      <c r="GZ35" s="422" t="s">
        <v>364</v>
      </c>
      <c r="HA35" s="422" t="s">
        <v>364</v>
      </c>
      <c r="HB35" s="422" t="s">
        <v>364</v>
      </c>
      <c r="HC35" s="422" t="s">
        <v>364</v>
      </c>
      <c r="HD35" s="422" t="s">
        <v>364</v>
      </c>
      <c r="HE35" s="422" t="s">
        <v>364</v>
      </c>
      <c r="HF35" s="422" t="s">
        <v>364</v>
      </c>
      <c r="HG35" s="422" t="s">
        <v>364</v>
      </c>
      <c r="HH35" s="422" t="s">
        <v>364</v>
      </c>
      <c r="HI35" s="422" t="s">
        <v>364</v>
      </c>
      <c r="HJ35" s="422" t="s">
        <v>364</v>
      </c>
      <c r="HK35" s="422" t="s">
        <v>364</v>
      </c>
      <c r="HL35" s="422" t="s">
        <v>364</v>
      </c>
      <c r="HM35" s="422" t="s">
        <v>364</v>
      </c>
      <c r="HN35" s="422" t="s">
        <v>364</v>
      </c>
      <c r="HO35" s="422" t="s">
        <v>364</v>
      </c>
      <c r="HP35" s="422" t="s">
        <v>364</v>
      </c>
      <c r="HQ35" s="422" t="s">
        <v>364</v>
      </c>
      <c r="HR35" s="422" t="s">
        <v>364</v>
      </c>
      <c r="HS35" s="422" t="s">
        <v>364</v>
      </c>
      <c r="HT35" s="422" t="s">
        <v>364</v>
      </c>
      <c r="HU35" s="422" t="s">
        <v>364</v>
      </c>
      <c r="HV35" s="422" t="s">
        <v>364</v>
      </c>
      <c r="HW35" s="422" t="s">
        <v>364</v>
      </c>
      <c r="HX35" s="422" t="s">
        <v>364</v>
      </c>
      <c r="HY35" s="422">
        <f t="shared" si="8"/>
        <v>31</v>
      </c>
      <c r="HZ35" s="422" t="s">
        <v>364</v>
      </c>
      <c r="IA35" s="422" t="s">
        <v>364</v>
      </c>
      <c r="IB35" s="422">
        <v>31</v>
      </c>
      <c r="IC35" s="422" t="s">
        <v>364</v>
      </c>
      <c r="ID35" s="422" t="s">
        <v>364</v>
      </c>
      <c r="IE35" s="422" t="s">
        <v>364</v>
      </c>
      <c r="IF35" s="422">
        <f t="shared" si="9"/>
        <v>0</v>
      </c>
      <c r="IG35" s="422" t="s">
        <v>364</v>
      </c>
      <c r="IH35" s="422" t="s">
        <v>364</v>
      </c>
      <c r="II35" s="422" t="s">
        <v>364</v>
      </c>
      <c r="IJ35" s="422" t="s">
        <v>364</v>
      </c>
      <c r="IK35" s="422" t="s">
        <v>364</v>
      </c>
      <c r="IL35" s="422" t="s">
        <v>364</v>
      </c>
      <c r="IM35" s="422" t="s">
        <v>364</v>
      </c>
      <c r="IN35" s="422" t="s">
        <v>364</v>
      </c>
      <c r="IO35" s="422" t="s">
        <v>364</v>
      </c>
      <c r="IP35" s="422" t="s">
        <v>364</v>
      </c>
      <c r="IQ35" s="422" t="s">
        <v>364</v>
      </c>
      <c r="IR35" s="422" t="s">
        <v>364</v>
      </c>
      <c r="IS35" s="422" t="s">
        <v>364</v>
      </c>
      <c r="IT35" s="422" t="s">
        <v>364</v>
      </c>
      <c r="IU35" s="422" t="s">
        <v>364</v>
      </c>
      <c r="IV35" s="422" t="s">
        <v>364</v>
      </c>
      <c r="IW35" s="422" t="s">
        <v>364</v>
      </c>
      <c r="IX35" s="422" t="s">
        <v>364</v>
      </c>
      <c r="IY35" s="422" t="s">
        <v>364</v>
      </c>
      <c r="IZ35" s="422">
        <f t="shared" si="10"/>
        <v>0</v>
      </c>
      <c r="JA35" s="422" t="s">
        <v>364</v>
      </c>
      <c r="JB35" s="422" t="s">
        <v>364</v>
      </c>
      <c r="JC35" s="422" t="s">
        <v>364</v>
      </c>
      <c r="JD35" s="422" t="s">
        <v>364</v>
      </c>
      <c r="JE35" s="422" t="s">
        <v>364</v>
      </c>
      <c r="JF35" s="422" t="s">
        <v>364</v>
      </c>
      <c r="JG35" s="422" t="s">
        <v>364</v>
      </c>
      <c r="JH35" s="422" t="s">
        <v>364</v>
      </c>
      <c r="JI35" s="422" t="s">
        <v>364</v>
      </c>
      <c r="JJ35" s="422" t="s">
        <v>364</v>
      </c>
      <c r="JK35" s="422" t="s">
        <v>364</v>
      </c>
      <c r="JL35" s="422" t="s">
        <v>364</v>
      </c>
      <c r="JM35" s="422" t="s">
        <v>364</v>
      </c>
      <c r="JN35" s="422" t="s">
        <v>364</v>
      </c>
      <c r="JO35" s="422" t="s">
        <v>364</v>
      </c>
      <c r="JP35" s="422" t="s">
        <v>364</v>
      </c>
      <c r="JQ35" s="422" t="s">
        <v>364</v>
      </c>
      <c r="JR35" s="422" t="s">
        <v>364</v>
      </c>
      <c r="JS35" s="422" t="s">
        <v>364</v>
      </c>
      <c r="JT35" s="422" t="s">
        <v>364</v>
      </c>
      <c r="JU35" s="422" t="s">
        <v>364</v>
      </c>
      <c r="JV35" s="422" t="s">
        <v>364</v>
      </c>
      <c r="JW35" s="422">
        <f t="shared" si="11"/>
        <v>14</v>
      </c>
      <c r="JX35" s="422" t="s">
        <v>364</v>
      </c>
      <c r="JY35" s="422" t="s">
        <v>364</v>
      </c>
      <c r="JZ35" s="422" t="s">
        <v>364</v>
      </c>
      <c r="KA35" s="422" t="s">
        <v>364</v>
      </c>
      <c r="KB35" s="422" t="s">
        <v>364</v>
      </c>
      <c r="KC35" s="422" t="s">
        <v>364</v>
      </c>
      <c r="KD35" s="422" t="s">
        <v>364</v>
      </c>
      <c r="KE35" s="422" t="s">
        <v>364</v>
      </c>
      <c r="KF35" s="422" t="s">
        <v>364</v>
      </c>
      <c r="KG35" s="422" t="s">
        <v>364</v>
      </c>
      <c r="KH35" s="422" t="s">
        <v>364</v>
      </c>
      <c r="KI35" s="422" t="s">
        <v>364</v>
      </c>
      <c r="KJ35" s="422" t="s">
        <v>364</v>
      </c>
      <c r="KK35" s="422" t="s">
        <v>364</v>
      </c>
      <c r="KL35" s="422">
        <v>12</v>
      </c>
      <c r="KM35" s="422">
        <v>2</v>
      </c>
      <c r="KN35" s="422" t="s">
        <v>364</v>
      </c>
      <c r="KO35" s="422" t="s">
        <v>364</v>
      </c>
      <c r="KP35" s="422" t="s">
        <v>364</v>
      </c>
      <c r="KQ35" s="422" t="s">
        <v>364</v>
      </c>
      <c r="KR35" s="422" t="s">
        <v>364</v>
      </c>
      <c r="KS35" s="422" t="s">
        <v>364</v>
      </c>
      <c r="KT35" s="422" t="s">
        <v>364</v>
      </c>
      <c r="KU35" s="422" t="s">
        <v>364</v>
      </c>
      <c r="KV35" s="422" t="s">
        <v>364</v>
      </c>
      <c r="KW35" s="422" t="s">
        <v>364</v>
      </c>
      <c r="KX35" s="422" t="s">
        <v>364</v>
      </c>
      <c r="KY35" s="422" t="s">
        <v>364</v>
      </c>
      <c r="KZ35" s="422" t="s">
        <v>364</v>
      </c>
      <c r="LA35" s="422" t="s">
        <v>364</v>
      </c>
      <c r="LB35" s="422" t="s">
        <v>364</v>
      </c>
      <c r="LC35" s="422" t="s">
        <v>364</v>
      </c>
      <c r="LD35" s="422" t="s">
        <v>364</v>
      </c>
      <c r="LE35" s="422" t="s">
        <v>364</v>
      </c>
      <c r="LF35" s="422" t="s">
        <v>364</v>
      </c>
      <c r="LG35" s="422" t="s">
        <v>364</v>
      </c>
      <c r="LH35" s="422" t="s">
        <v>364</v>
      </c>
      <c r="LI35" s="422" t="s">
        <v>364</v>
      </c>
      <c r="LJ35" s="422" t="s">
        <v>364</v>
      </c>
      <c r="LK35" s="422" t="s">
        <v>364</v>
      </c>
      <c r="LL35" s="422" t="s">
        <v>364</v>
      </c>
      <c r="LM35" s="424" t="s">
        <v>364</v>
      </c>
      <c r="LN35" s="424">
        <v>0</v>
      </c>
      <c r="LO35" s="424" t="s">
        <v>364</v>
      </c>
      <c r="LP35" s="424" t="s">
        <v>364</v>
      </c>
      <c r="LQ35" s="424" t="s">
        <v>364</v>
      </c>
      <c r="LR35" s="424" t="s">
        <v>364</v>
      </c>
      <c r="LS35" s="424" t="s">
        <v>364</v>
      </c>
      <c r="LT35" s="424" t="s">
        <v>364</v>
      </c>
      <c r="LU35" s="424" t="s">
        <v>364</v>
      </c>
      <c r="LV35" s="424" t="s">
        <v>364</v>
      </c>
      <c r="LW35" s="424" t="s">
        <v>364</v>
      </c>
      <c r="LX35" s="424">
        <f t="shared" si="12"/>
        <v>0</v>
      </c>
      <c r="LY35" s="424" t="s">
        <v>364</v>
      </c>
      <c r="LZ35" s="424" t="s">
        <v>364</v>
      </c>
      <c r="MA35" s="424" t="s">
        <v>364</v>
      </c>
      <c r="MB35" s="424" t="s">
        <v>364</v>
      </c>
      <c r="MC35" s="424" t="s">
        <v>364</v>
      </c>
      <c r="MD35" s="424" t="s">
        <v>364</v>
      </c>
      <c r="ME35" s="424">
        <f t="shared" si="1"/>
        <v>16</v>
      </c>
      <c r="MF35" s="424">
        <v>16</v>
      </c>
      <c r="MG35" s="424" t="s">
        <v>364</v>
      </c>
      <c r="MH35" s="424" t="s">
        <v>364</v>
      </c>
      <c r="MI35" s="424" t="s">
        <v>364</v>
      </c>
      <c r="MJ35" s="424" t="s">
        <v>364</v>
      </c>
      <c r="MK35" s="424" t="s">
        <v>364</v>
      </c>
      <c r="ML35" s="424" t="s">
        <v>364</v>
      </c>
      <c r="MM35" s="424" t="s">
        <v>364</v>
      </c>
      <c r="MN35" s="424" t="s">
        <v>364</v>
      </c>
      <c r="MO35" s="424" t="s">
        <v>364</v>
      </c>
      <c r="MP35" s="424" t="s">
        <v>364</v>
      </c>
      <c r="MQ35" s="424" t="s">
        <v>364</v>
      </c>
      <c r="MR35" s="424" t="s">
        <v>364</v>
      </c>
      <c r="MS35" s="424" t="s">
        <v>364</v>
      </c>
      <c r="MT35" s="424" t="s">
        <v>364</v>
      </c>
      <c r="MU35" s="424" t="s">
        <v>364</v>
      </c>
      <c r="MV35" s="424" t="s">
        <v>364</v>
      </c>
      <c r="MW35" s="424" t="s">
        <v>364</v>
      </c>
      <c r="MX35" s="424">
        <f t="shared" si="13"/>
        <v>0</v>
      </c>
      <c r="MY35" s="424" t="s">
        <v>364</v>
      </c>
      <c r="MZ35" s="424" t="s">
        <v>364</v>
      </c>
      <c r="NA35" s="424" t="s">
        <v>364</v>
      </c>
      <c r="NB35" s="424" t="s">
        <v>364</v>
      </c>
      <c r="NC35" s="424" t="s">
        <v>364</v>
      </c>
      <c r="ND35" s="424" t="s">
        <v>364</v>
      </c>
      <c r="NE35" s="424" t="s">
        <v>364</v>
      </c>
      <c r="NF35" s="424" t="s">
        <v>364</v>
      </c>
      <c r="NG35" s="424" t="s">
        <v>364</v>
      </c>
      <c r="NH35" s="424" t="s">
        <v>364</v>
      </c>
      <c r="NI35" s="424" t="s">
        <v>364</v>
      </c>
      <c r="NJ35" s="424" t="s">
        <v>364</v>
      </c>
      <c r="NK35" s="424">
        <f t="shared" si="2"/>
        <v>0</v>
      </c>
      <c r="NL35" s="424">
        <f t="shared" si="14"/>
        <v>0</v>
      </c>
      <c r="NM35" s="424" t="s">
        <v>364</v>
      </c>
      <c r="NN35" s="424" t="s">
        <v>364</v>
      </c>
      <c r="NO35" s="424" t="s">
        <v>364</v>
      </c>
      <c r="NP35" s="424" t="s">
        <v>364</v>
      </c>
      <c r="NQ35" s="424" t="s">
        <v>364</v>
      </c>
      <c r="NR35" s="424" t="s">
        <v>364</v>
      </c>
      <c r="NS35" s="424" t="s">
        <v>364</v>
      </c>
      <c r="NT35" s="424" t="s">
        <v>364</v>
      </c>
      <c r="NU35" s="424" t="s">
        <v>364</v>
      </c>
      <c r="NV35" s="424" t="s">
        <v>364</v>
      </c>
      <c r="NW35" s="424" t="s">
        <v>364</v>
      </c>
      <c r="NX35" s="424" t="s">
        <v>364</v>
      </c>
      <c r="NY35" s="424" t="s">
        <v>364</v>
      </c>
      <c r="NZ35" s="424">
        <f t="shared" si="15"/>
        <v>0</v>
      </c>
      <c r="OA35" s="424" t="s">
        <v>364</v>
      </c>
      <c r="OB35" s="424" t="s">
        <v>364</v>
      </c>
      <c r="OC35" s="424" t="s">
        <v>364</v>
      </c>
      <c r="OD35" s="424" t="s">
        <v>364</v>
      </c>
      <c r="OE35" s="424" t="s">
        <v>364</v>
      </c>
      <c r="OF35" s="424" t="s">
        <v>6598</v>
      </c>
      <c r="OG35" s="424" t="s">
        <v>364</v>
      </c>
      <c r="OH35" s="424">
        <f t="shared" si="16"/>
        <v>0</v>
      </c>
      <c r="OI35" s="424">
        <f t="shared" si="17"/>
        <v>0</v>
      </c>
      <c r="OJ35" s="422" t="s">
        <v>364</v>
      </c>
      <c r="OK35" s="422" t="s">
        <v>364</v>
      </c>
      <c r="OL35" s="422" t="s">
        <v>364</v>
      </c>
      <c r="OM35" s="422" t="s">
        <v>364</v>
      </c>
      <c r="ON35" s="422" t="s">
        <v>364</v>
      </c>
      <c r="OO35" s="422" t="s">
        <v>364</v>
      </c>
      <c r="OP35" s="422" t="s">
        <v>364</v>
      </c>
      <c r="OQ35" s="422" t="s">
        <v>364</v>
      </c>
      <c r="OR35" s="422" t="s">
        <v>364</v>
      </c>
      <c r="OS35" s="422" t="s">
        <v>364</v>
      </c>
      <c r="OT35" s="422" t="s">
        <v>364</v>
      </c>
      <c r="OU35" s="422" t="s">
        <v>364</v>
      </c>
      <c r="OV35" s="422" t="s">
        <v>364</v>
      </c>
      <c r="OW35" s="422" t="s">
        <v>364</v>
      </c>
      <c r="OX35" s="422" t="s">
        <v>364</v>
      </c>
      <c r="OY35" s="422" t="s">
        <v>364</v>
      </c>
      <c r="OZ35" s="422" t="s">
        <v>364</v>
      </c>
      <c r="PA35" s="422" t="s">
        <v>364</v>
      </c>
      <c r="PB35" s="424">
        <f t="shared" si="18"/>
        <v>0</v>
      </c>
      <c r="PC35" s="422" t="s">
        <v>364</v>
      </c>
      <c r="PD35" s="422" t="s">
        <v>364</v>
      </c>
      <c r="PE35" s="422" t="s">
        <v>364</v>
      </c>
      <c r="PF35" s="422" t="s">
        <v>364</v>
      </c>
      <c r="PG35" s="422" t="s">
        <v>364</v>
      </c>
      <c r="PH35" s="422" t="s">
        <v>364</v>
      </c>
      <c r="PI35" s="422" t="s">
        <v>364</v>
      </c>
      <c r="PJ35" s="422" t="s">
        <v>364</v>
      </c>
    </row>
    <row r="36" spans="2:426" ht="15.6">
      <c r="B36" s="426" t="s">
        <v>3261</v>
      </c>
      <c r="C36" s="422">
        <f t="shared" si="3"/>
        <v>30</v>
      </c>
      <c r="D36" s="422" t="s">
        <v>364</v>
      </c>
      <c r="E36" s="422" t="s">
        <v>364</v>
      </c>
      <c r="F36" s="422" t="s">
        <v>364</v>
      </c>
      <c r="G36" s="422" t="s">
        <v>364</v>
      </c>
      <c r="H36" s="422" t="s">
        <v>364</v>
      </c>
      <c r="I36" s="422" t="s">
        <v>364</v>
      </c>
      <c r="J36" s="422" t="s">
        <v>364</v>
      </c>
      <c r="K36" s="422" t="s">
        <v>364</v>
      </c>
      <c r="L36" s="422" t="s">
        <v>364</v>
      </c>
      <c r="M36" s="422" t="s">
        <v>364</v>
      </c>
      <c r="N36" s="422" t="s">
        <v>364</v>
      </c>
      <c r="O36" s="422" t="s">
        <v>364</v>
      </c>
      <c r="P36" s="422" t="s">
        <v>364</v>
      </c>
      <c r="Q36" s="422" t="s">
        <v>364</v>
      </c>
      <c r="R36" s="422" t="s">
        <v>364</v>
      </c>
      <c r="S36" s="422" t="s">
        <v>364</v>
      </c>
      <c r="T36" s="422" t="s">
        <v>364</v>
      </c>
      <c r="U36" s="422">
        <v>30</v>
      </c>
      <c r="V36" s="422" t="s">
        <v>364</v>
      </c>
      <c r="W36" s="422" t="s">
        <v>364</v>
      </c>
      <c r="X36" s="422" t="s">
        <v>364</v>
      </c>
      <c r="Y36" s="422" t="s">
        <v>364</v>
      </c>
      <c r="Z36" s="422" t="s">
        <v>364</v>
      </c>
      <c r="AA36" s="422" t="s">
        <v>364</v>
      </c>
      <c r="AB36" s="422" t="s">
        <v>364</v>
      </c>
      <c r="AC36" s="422" t="s">
        <v>364</v>
      </c>
      <c r="AD36" s="422" t="s">
        <v>364</v>
      </c>
      <c r="AE36" s="422" t="s">
        <v>364</v>
      </c>
      <c r="AF36" s="422" t="s">
        <v>364</v>
      </c>
      <c r="AG36" s="422" t="s">
        <v>364</v>
      </c>
      <c r="AH36" s="422" t="s">
        <v>364</v>
      </c>
      <c r="AI36" s="422" t="s">
        <v>364</v>
      </c>
      <c r="AJ36" s="422" t="s">
        <v>364</v>
      </c>
      <c r="AK36" s="422" t="s">
        <v>364</v>
      </c>
      <c r="AL36" s="422" t="s">
        <v>364</v>
      </c>
      <c r="AM36" s="422" t="s">
        <v>364</v>
      </c>
      <c r="AN36" s="422" t="s">
        <v>364</v>
      </c>
      <c r="AO36" s="422" t="s">
        <v>364</v>
      </c>
      <c r="AP36" s="422" t="s">
        <v>364</v>
      </c>
      <c r="AQ36" s="422">
        <f t="shared" si="0"/>
        <v>94</v>
      </c>
      <c r="AR36" s="422" t="s">
        <v>364</v>
      </c>
      <c r="AS36" s="422" t="s">
        <v>364</v>
      </c>
      <c r="AT36" s="422" t="s">
        <v>364</v>
      </c>
      <c r="AU36" s="422" t="s">
        <v>364</v>
      </c>
      <c r="AV36" s="422" t="s">
        <v>364</v>
      </c>
      <c r="AW36" s="422" t="s">
        <v>364</v>
      </c>
      <c r="AX36" s="422" t="s">
        <v>364</v>
      </c>
      <c r="AY36" s="422" t="s">
        <v>364</v>
      </c>
      <c r="AZ36" s="422" t="s">
        <v>364</v>
      </c>
      <c r="BA36" s="422" t="s">
        <v>364</v>
      </c>
      <c r="BB36" s="422" t="s">
        <v>364</v>
      </c>
      <c r="BC36" s="422" t="s">
        <v>364</v>
      </c>
      <c r="BD36" s="422" t="s">
        <v>364</v>
      </c>
      <c r="BE36" s="422" t="s">
        <v>364</v>
      </c>
      <c r="BF36" s="422" t="s">
        <v>364</v>
      </c>
      <c r="BG36" s="422" t="s">
        <v>364</v>
      </c>
      <c r="BH36" s="422" t="s">
        <v>364</v>
      </c>
      <c r="BI36" s="422" t="s">
        <v>364</v>
      </c>
      <c r="BJ36" s="422" t="s">
        <v>364</v>
      </c>
      <c r="BK36" s="422" t="s">
        <v>364</v>
      </c>
      <c r="BL36" s="422" t="s">
        <v>364</v>
      </c>
      <c r="BM36" s="422" t="s">
        <v>364</v>
      </c>
      <c r="BN36" s="422" t="s">
        <v>364</v>
      </c>
      <c r="BO36" s="422" t="s">
        <v>364</v>
      </c>
      <c r="BP36" s="422" t="s">
        <v>364</v>
      </c>
      <c r="BQ36" s="422" t="s">
        <v>364</v>
      </c>
      <c r="BR36" s="422" t="s">
        <v>364</v>
      </c>
      <c r="BS36" s="422" t="s">
        <v>364</v>
      </c>
      <c r="BT36" s="422" t="s">
        <v>364</v>
      </c>
      <c r="BU36" s="422" t="s">
        <v>364</v>
      </c>
      <c r="BV36" s="422" t="s">
        <v>364</v>
      </c>
      <c r="BW36" s="422" t="s">
        <v>364</v>
      </c>
      <c r="BX36" s="422" t="s">
        <v>364</v>
      </c>
      <c r="BY36" s="422" t="s">
        <v>364</v>
      </c>
      <c r="BZ36" s="422" t="s">
        <v>364</v>
      </c>
      <c r="CA36" s="422" t="s">
        <v>364</v>
      </c>
      <c r="CB36" s="422" t="s">
        <v>364</v>
      </c>
      <c r="CC36" s="422" t="s">
        <v>364</v>
      </c>
      <c r="CD36" s="422" t="s">
        <v>364</v>
      </c>
      <c r="CE36" s="422" t="s">
        <v>364</v>
      </c>
      <c r="CF36" s="422" t="s">
        <v>364</v>
      </c>
      <c r="CG36" s="422" t="s">
        <v>364</v>
      </c>
      <c r="CH36" s="422" t="s">
        <v>364</v>
      </c>
      <c r="CI36" s="422" t="s">
        <v>364</v>
      </c>
      <c r="CJ36" s="422" t="s">
        <v>364</v>
      </c>
      <c r="CK36" s="422" t="s">
        <v>364</v>
      </c>
      <c r="CL36" s="422" t="s">
        <v>364</v>
      </c>
      <c r="CM36" s="422" t="s">
        <v>364</v>
      </c>
      <c r="CN36" s="422" t="s">
        <v>364</v>
      </c>
      <c r="CO36" s="422" t="s">
        <v>364</v>
      </c>
      <c r="CP36" s="422">
        <v>72</v>
      </c>
      <c r="CQ36" s="422">
        <v>7</v>
      </c>
      <c r="CR36" s="422">
        <v>15</v>
      </c>
      <c r="CS36" s="422" t="s">
        <v>364</v>
      </c>
      <c r="CT36" s="422" t="s">
        <v>364</v>
      </c>
      <c r="CU36" s="422" t="s">
        <v>364</v>
      </c>
      <c r="CV36" s="422" t="s">
        <v>364</v>
      </c>
      <c r="CW36" s="422" t="s">
        <v>364</v>
      </c>
      <c r="CX36" s="422" t="s">
        <v>364</v>
      </c>
      <c r="CY36" s="422" t="s">
        <v>364</v>
      </c>
      <c r="CZ36" s="422" t="s">
        <v>364</v>
      </c>
      <c r="DA36" s="422" t="s">
        <v>364</v>
      </c>
      <c r="DB36" s="422" t="s">
        <v>364</v>
      </c>
      <c r="DC36" s="422" t="s">
        <v>364</v>
      </c>
      <c r="DD36" s="422" t="s">
        <v>364</v>
      </c>
      <c r="DE36" s="422" t="s">
        <v>364</v>
      </c>
      <c r="DF36" s="422" t="s">
        <v>364</v>
      </c>
      <c r="DG36" s="422" t="s">
        <v>364</v>
      </c>
      <c r="DH36" s="422" t="s">
        <v>364</v>
      </c>
      <c r="DI36" s="422" t="s">
        <v>364</v>
      </c>
      <c r="DJ36" s="422" t="s">
        <v>364</v>
      </c>
      <c r="DK36" s="422">
        <f t="shared" si="4"/>
        <v>7</v>
      </c>
      <c r="DL36" s="422" t="s">
        <v>364</v>
      </c>
      <c r="DM36" s="422">
        <v>7</v>
      </c>
      <c r="DN36" s="422" t="s">
        <v>364</v>
      </c>
      <c r="DO36" s="422" t="s">
        <v>364</v>
      </c>
      <c r="DP36" s="422" t="s">
        <v>364</v>
      </c>
      <c r="DQ36" s="422" t="s">
        <v>364</v>
      </c>
      <c r="DR36" s="422" t="s">
        <v>364</v>
      </c>
      <c r="DS36" s="422" t="s">
        <v>364</v>
      </c>
      <c r="DT36" s="422" t="s">
        <v>364</v>
      </c>
      <c r="DU36" s="422" t="s">
        <v>364</v>
      </c>
      <c r="DV36" s="422" t="s">
        <v>364</v>
      </c>
      <c r="DW36" s="422" t="s">
        <v>364</v>
      </c>
      <c r="DX36" s="422" t="s">
        <v>364</v>
      </c>
      <c r="DY36" s="422">
        <f t="shared" si="5"/>
        <v>0</v>
      </c>
      <c r="DZ36" s="422" t="s">
        <v>6598</v>
      </c>
      <c r="EA36" s="422" t="s">
        <v>364</v>
      </c>
      <c r="EB36" s="422" t="s">
        <v>364</v>
      </c>
      <c r="EC36" s="422" t="s">
        <v>364</v>
      </c>
      <c r="ED36" s="422" t="s">
        <v>364</v>
      </c>
      <c r="EE36" s="422" t="s">
        <v>364</v>
      </c>
      <c r="EF36" s="422" t="s">
        <v>364</v>
      </c>
      <c r="EG36" s="422" t="s">
        <v>364</v>
      </c>
      <c r="EH36" s="422" t="s">
        <v>364</v>
      </c>
      <c r="EI36" s="422" t="s">
        <v>364</v>
      </c>
      <c r="EJ36" s="422" t="s">
        <v>364</v>
      </c>
      <c r="EK36" s="422" t="s">
        <v>364</v>
      </c>
      <c r="EL36" s="422" t="s">
        <v>364</v>
      </c>
      <c r="EM36" s="422" t="s">
        <v>364</v>
      </c>
      <c r="EN36" s="422" t="s">
        <v>364</v>
      </c>
      <c r="EO36" s="422" t="s">
        <v>364</v>
      </c>
      <c r="EP36" s="422" t="s">
        <v>364</v>
      </c>
      <c r="EQ36" s="422" t="s">
        <v>364</v>
      </c>
      <c r="ER36" s="422" t="s">
        <v>364</v>
      </c>
      <c r="ES36" s="422" t="s">
        <v>364</v>
      </c>
      <c r="ET36" s="422" t="s">
        <v>364</v>
      </c>
      <c r="EU36" s="422" t="s">
        <v>364</v>
      </c>
      <c r="EV36" s="422" t="s">
        <v>364</v>
      </c>
      <c r="EW36" s="422" t="s">
        <v>364</v>
      </c>
      <c r="EX36" s="422" t="s">
        <v>364</v>
      </c>
      <c r="EY36" s="422" t="s">
        <v>364</v>
      </c>
      <c r="EZ36" s="422" t="s">
        <v>364</v>
      </c>
      <c r="FA36" s="422">
        <f t="shared" si="6"/>
        <v>256</v>
      </c>
      <c r="FB36" s="422" t="s">
        <v>364</v>
      </c>
      <c r="FC36" s="422">
        <v>148</v>
      </c>
      <c r="FD36" s="422" t="s">
        <v>364</v>
      </c>
      <c r="FE36" s="422" t="s">
        <v>364</v>
      </c>
      <c r="FF36" s="422" t="s">
        <v>364</v>
      </c>
      <c r="FG36" s="422" t="s">
        <v>364</v>
      </c>
      <c r="FH36" s="422">
        <v>91</v>
      </c>
      <c r="FI36" s="422" t="s">
        <v>364</v>
      </c>
      <c r="FJ36" s="422" t="s">
        <v>364</v>
      </c>
      <c r="FK36" s="422" t="s">
        <v>364</v>
      </c>
      <c r="FL36" s="422" t="s">
        <v>364</v>
      </c>
      <c r="FM36" s="422" t="s">
        <v>364</v>
      </c>
      <c r="FN36" s="422" t="s">
        <v>364</v>
      </c>
      <c r="FO36" s="422" t="s">
        <v>364</v>
      </c>
      <c r="FP36" s="422" t="s">
        <v>364</v>
      </c>
      <c r="FQ36" s="422" t="s">
        <v>364</v>
      </c>
      <c r="FR36" s="422" t="s">
        <v>364</v>
      </c>
      <c r="FS36" s="422" t="s">
        <v>364</v>
      </c>
      <c r="FT36" s="422" t="s">
        <v>364</v>
      </c>
      <c r="FU36" s="422" t="s">
        <v>364</v>
      </c>
      <c r="FV36" s="422" t="s">
        <v>364</v>
      </c>
      <c r="FW36" s="422" t="s">
        <v>364</v>
      </c>
      <c r="FX36" s="422" t="s">
        <v>364</v>
      </c>
      <c r="FY36" s="422" t="s">
        <v>364</v>
      </c>
      <c r="FZ36" s="422" t="s">
        <v>364</v>
      </c>
      <c r="GA36" s="422" t="s">
        <v>364</v>
      </c>
      <c r="GB36" s="422">
        <v>17</v>
      </c>
      <c r="GC36" s="422" t="s">
        <v>364</v>
      </c>
      <c r="GD36" s="422" t="s">
        <v>364</v>
      </c>
      <c r="GE36" s="422" t="s">
        <v>364</v>
      </c>
      <c r="GF36" s="422" t="s">
        <v>364</v>
      </c>
      <c r="GG36" s="422" t="s">
        <v>364</v>
      </c>
      <c r="GH36" s="422" t="s">
        <v>364</v>
      </c>
      <c r="GI36" s="422" t="s">
        <v>364</v>
      </c>
      <c r="GJ36" s="422" t="s">
        <v>364</v>
      </c>
      <c r="GK36" s="422" t="s">
        <v>364</v>
      </c>
      <c r="GL36" s="422" t="s">
        <v>364</v>
      </c>
      <c r="GM36" s="422" t="s">
        <v>364</v>
      </c>
      <c r="GN36" s="422" t="s">
        <v>364</v>
      </c>
      <c r="GO36" s="422" t="s">
        <v>364</v>
      </c>
      <c r="GP36" s="422" t="s">
        <v>364</v>
      </c>
      <c r="GQ36" s="422" t="s">
        <v>364</v>
      </c>
      <c r="GR36" s="422" t="s">
        <v>364</v>
      </c>
      <c r="GS36" s="422" t="s">
        <v>364</v>
      </c>
      <c r="GT36" s="422" t="s">
        <v>364</v>
      </c>
      <c r="GU36" s="422" t="s">
        <v>364</v>
      </c>
      <c r="GV36" s="422">
        <f t="shared" si="7"/>
        <v>24</v>
      </c>
      <c r="GW36" s="422" t="s">
        <v>364</v>
      </c>
      <c r="GX36" s="422" t="s">
        <v>364</v>
      </c>
      <c r="GY36" s="422" t="s">
        <v>364</v>
      </c>
      <c r="GZ36" s="422" t="s">
        <v>364</v>
      </c>
      <c r="HA36" s="422" t="s">
        <v>364</v>
      </c>
      <c r="HB36" s="422" t="s">
        <v>364</v>
      </c>
      <c r="HC36" s="422" t="s">
        <v>364</v>
      </c>
      <c r="HD36" s="422" t="s">
        <v>364</v>
      </c>
      <c r="HE36" s="422" t="s">
        <v>364</v>
      </c>
      <c r="HF36" s="422" t="s">
        <v>364</v>
      </c>
      <c r="HG36" s="422" t="s">
        <v>364</v>
      </c>
      <c r="HH36" s="422" t="s">
        <v>364</v>
      </c>
      <c r="HI36" s="422" t="s">
        <v>364</v>
      </c>
      <c r="HJ36" s="422" t="s">
        <v>364</v>
      </c>
      <c r="HK36" s="422">
        <v>16</v>
      </c>
      <c r="HL36" s="422">
        <v>8</v>
      </c>
      <c r="HM36" s="422" t="s">
        <v>364</v>
      </c>
      <c r="HN36" s="422" t="s">
        <v>364</v>
      </c>
      <c r="HO36" s="422" t="s">
        <v>364</v>
      </c>
      <c r="HP36" s="422" t="s">
        <v>364</v>
      </c>
      <c r="HQ36" s="422" t="s">
        <v>364</v>
      </c>
      <c r="HR36" s="422" t="s">
        <v>364</v>
      </c>
      <c r="HS36" s="422" t="s">
        <v>364</v>
      </c>
      <c r="HT36" s="422" t="s">
        <v>364</v>
      </c>
      <c r="HU36" s="422" t="s">
        <v>364</v>
      </c>
      <c r="HV36" s="422" t="s">
        <v>364</v>
      </c>
      <c r="HW36" s="422" t="s">
        <v>364</v>
      </c>
      <c r="HX36" s="422" t="s">
        <v>364</v>
      </c>
      <c r="HY36" s="422">
        <f t="shared" si="8"/>
        <v>3</v>
      </c>
      <c r="HZ36" s="422" t="s">
        <v>364</v>
      </c>
      <c r="IA36" s="422" t="s">
        <v>364</v>
      </c>
      <c r="IB36" s="422" t="s">
        <v>364</v>
      </c>
      <c r="IC36" s="422" t="s">
        <v>364</v>
      </c>
      <c r="ID36" s="422" t="s">
        <v>364</v>
      </c>
      <c r="IE36" s="422">
        <v>3</v>
      </c>
      <c r="IF36" s="422">
        <f t="shared" si="9"/>
        <v>30</v>
      </c>
      <c r="IG36" s="422" t="s">
        <v>364</v>
      </c>
      <c r="IH36" s="422" t="s">
        <v>364</v>
      </c>
      <c r="II36" s="422">
        <v>4</v>
      </c>
      <c r="IJ36" s="422">
        <v>26</v>
      </c>
      <c r="IK36" s="422" t="s">
        <v>364</v>
      </c>
      <c r="IL36" s="422" t="s">
        <v>364</v>
      </c>
      <c r="IM36" s="422" t="s">
        <v>364</v>
      </c>
      <c r="IN36" s="422" t="s">
        <v>364</v>
      </c>
      <c r="IO36" s="422" t="s">
        <v>364</v>
      </c>
      <c r="IP36" s="422" t="s">
        <v>364</v>
      </c>
      <c r="IQ36" s="422" t="s">
        <v>364</v>
      </c>
      <c r="IR36" s="422" t="s">
        <v>364</v>
      </c>
      <c r="IS36" s="422" t="s">
        <v>364</v>
      </c>
      <c r="IT36" s="422" t="s">
        <v>364</v>
      </c>
      <c r="IU36" s="422" t="s">
        <v>364</v>
      </c>
      <c r="IV36" s="422" t="s">
        <v>364</v>
      </c>
      <c r="IW36" s="422" t="s">
        <v>364</v>
      </c>
      <c r="IX36" s="422" t="s">
        <v>364</v>
      </c>
      <c r="IY36" s="422" t="s">
        <v>364</v>
      </c>
      <c r="IZ36" s="422">
        <f t="shared" si="10"/>
        <v>11</v>
      </c>
      <c r="JA36" s="422" t="s">
        <v>364</v>
      </c>
      <c r="JB36" s="422" t="s">
        <v>364</v>
      </c>
      <c r="JC36" s="422" t="s">
        <v>364</v>
      </c>
      <c r="JD36" s="422" t="s">
        <v>364</v>
      </c>
      <c r="JE36" s="422" t="s">
        <v>364</v>
      </c>
      <c r="JF36" s="422" t="s">
        <v>364</v>
      </c>
      <c r="JG36" s="422" t="s">
        <v>364</v>
      </c>
      <c r="JH36" s="422">
        <v>9</v>
      </c>
      <c r="JI36" s="422">
        <v>2</v>
      </c>
      <c r="JJ36" s="422" t="s">
        <v>364</v>
      </c>
      <c r="JK36" s="422" t="s">
        <v>364</v>
      </c>
      <c r="JL36" s="422" t="s">
        <v>364</v>
      </c>
      <c r="JM36" s="422" t="s">
        <v>364</v>
      </c>
      <c r="JN36" s="422" t="s">
        <v>364</v>
      </c>
      <c r="JO36" s="422" t="s">
        <v>364</v>
      </c>
      <c r="JP36" s="422" t="s">
        <v>364</v>
      </c>
      <c r="JQ36" s="422" t="s">
        <v>364</v>
      </c>
      <c r="JR36" s="422" t="s">
        <v>364</v>
      </c>
      <c r="JS36" s="422" t="s">
        <v>364</v>
      </c>
      <c r="JT36" s="422" t="s">
        <v>364</v>
      </c>
      <c r="JU36" s="422" t="s">
        <v>364</v>
      </c>
      <c r="JV36" s="422" t="s">
        <v>364</v>
      </c>
      <c r="JW36" s="422">
        <f t="shared" si="11"/>
        <v>0</v>
      </c>
      <c r="JX36" s="422" t="s">
        <v>364</v>
      </c>
      <c r="JY36" s="422" t="s">
        <v>364</v>
      </c>
      <c r="JZ36" s="422" t="s">
        <v>364</v>
      </c>
      <c r="KA36" s="422" t="s">
        <v>364</v>
      </c>
      <c r="KB36" s="422" t="s">
        <v>364</v>
      </c>
      <c r="KC36" s="422" t="s">
        <v>364</v>
      </c>
      <c r="KD36" s="422" t="s">
        <v>364</v>
      </c>
      <c r="KE36" s="422" t="s">
        <v>364</v>
      </c>
      <c r="KF36" s="422" t="s">
        <v>364</v>
      </c>
      <c r="KG36" s="422" t="s">
        <v>364</v>
      </c>
      <c r="KH36" s="422" t="s">
        <v>364</v>
      </c>
      <c r="KI36" s="422" t="s">
        <v>364</v>
      </c>
      <c r="KJ36" s="422" t="s">
        <v>364</v>
      </c>
      <c r="KK36" s="422" t="s">
        <v>364</v>
      </c>
      <c r="KL36" s="422" t="s">
        <v>364</v>
      </c>
      <c r="KM36" s="422" t="s">
        <v>364</v>
      </c>
      <c r="KN36" s="422" t="s">
        <v>364</v>
      </c>
      <c r="KO36" s="422" t="s">
        <v>364</v>
      </c>
      <c r="KP36" s="422" t="s">
        <v>364</v>
      </c>
      <c r="KQ36" s="422" t="s">
        <v>364</v>
      </c>
      <c r="KR36" s="422" t="s">
        <v>364</v>
      </c>
      <c r="KS36" s="422" t="s">
        <v>364</v>
      </c>
      <c r="KT36" s="422" t="s">
        <v>364</v>
      </c>
      <c r="KU36" s="422" t="s">
        <v>364</v>
      </c>
      <c r="KV36" s="422" t="s">
        <v>364</v>
      </c>
      <c r="KW36" s="422" t="s">
        <v>364</v>
      </c>
      <c r="KX36" s="422" t="s">
        <v>364</v>
      </c>
      <c r="KY36" s="422" t="s">
        <v>364</v>
      </c>
      <c r="KZ36" s="422" t="s">
        <v>364</v>
      </c>
      <c r="LA36" s="422" t="s">
        <v>364</v>
      </c>
      <c r="LB36" s="422" t="s">
        <v>364</v>
      </c>
      <c r="LC36" s="422" t="s">
        <v>364</v>
      </c>
      <c r="LD36" s="422" t="s">
        <v>364</v>
      </c>
      <c r="LE36" s="422" t="s">
        <v>364</v>
      </c>
      <c r="LF36" s="422" t="s">
        <v>364</v>
      </c>
      <c r="LG36" s="422" t="s">
        <v>364</v>
      </c>
      <c r="LH36" s="422" t="s">
        <v>364</v>
      </c>
      <c r="LI36" s="422" t="s">
        <v>364</v>
      </c>
      <c r="LJ36" s="422" t="s">
        <v>364</v>
      </c>
      <c r="LK36" s="422" t="s">
        <v>364</v>
      </c>
      <c r="LL36" s="422" t="s">
        <v>364</v>
      </c>
      <c r="LM36" s="424" t="s">
        <v>364</v>
      </c>
      <c r="LN36" s="424">
        <v>0</v>
      </c>
      <c r="LO36" s="424" t="s">
        <v>364</v>
      </c>
      <c r="LP36" s="424" t="s">
        <v>364</v>
      </c>
      <c r="LQ36" s="424" t="s">
        <v>6600</v>
      </c>
      <c r="LR36" s="424" t="s">
        <v>364</v>
      </c>
      <c r="LS36" s="424" t="s">
        <v>364</v>
      </c>
      <c r="LT36" s="424" t="s">
        <v>364</v>
      </c>
      <c r="LU36" s="424" t="s">
        <v>364</v>
      </c>
      <c r="LV36" s="424" t="s">
        <v>364</v>
      </c>
      <c r="LW36" s="424" t="s">
        <v>364</v>
      </c>
      <c r="LX36" s="424">
        <f t="shared" si="12"/>
        <v>0</v>
      </c>
      <c r="LY36" s="424" t="s">
        <v>364</v>
      </c>
      <c r="LZ36" s="424" t="s">
        <v>364</v>
      </c>
      <c r="MA36" s="424" t="s">
        <v>364</v>
      </c>
      <c r="MB36" s="424" t="s">
        <v>364</v>
      </c>
      <c r="MC36" s="424" t="s">
        <v>364</v>
      </c>
      <c r="MD36" s="424" t="s">
        <v>364</v>
      </c>
      <c r="ME36" s="424">
        <f t="shared" si="1"/>
        <v>0</v>
      </c>
      <c r="MF36" s="424" t="s">
        <v>6598</v>
      </c>
      <c r="MG36" s="424" t="s">
        <v>364</v>
      </c>
      <c r="MH36" s="424" t="s">
        <v>364</v>
      </c>
      <c r="MI36" s="424" t="s">
        <v>364</v>
      </c>
      <c r="MJ36" s="424" t="s">
        <v>364</v>
      </c>
      <c r="MK36" s="424" t="s">
        <v>364</v>
      </c>
      <c r="ML36" s="424" t="s">
        <v>364</v>
      </c>
      <c r="MM36" s="424" t="s">
        <v>364</v>
      </c>
      <c r="MN36" s="424" t="s">
        <v>364</v>
      </c>
      <c r="MO36" s="424" t="s">
        <v>364</v>
      </c>
      <c r="MP36" s="424" t="s">
        <v>364</v>
      </c>
      <c r="MQ36" s="424" t="s">
        <v>364</v>
      </c>
      <c r="MR36" s="424" t="s">
        <v>364</v>
      </c>
      <c r="MS36" s="424" t="s">
        <v>364</v>
      </c>
      <c r="MT36" s="424" t="s">
        <v>364</v>
      </c>
      <c r="MU36" s="424" t="s">
        <v>364</v>
      </c>
      <c r="MV36" s="424" t="s">
        <v>364</v>
      </c>
      <c r="MW36" s="424" t="s">
        <v>364</v>
      </c>
      <c r="MX36" s="424">
        <f t="shared" si="13"/>
        <v>0</v>
      </c>
      <c r="MY36" s="424" t="s">
        <v>364</v>
      </c>
      <c r="MZ36" s="424" t="s">
        <v>6598</v>
      </c>
      <c r="NA36" s="424" t="s">
        <v>364</v>
      </c>
      <c r="NB36" s="424" t="s">
        <v>364</v>
      </c>
      <c r="NC36" s="424" t="s">
        <v>364</v>
      </c>
      <c r="ND36" s="424" t="s">
        <v>364</v>
      </c>
      <c r="NE36" s="424" t="s">
        <v>364</v>
      </c>
      <c r="NF36" s="424" t="s">
        <v>364</v>
      </c>
      <c r="NG36" s="424" t="s">
        <v>364</v>
      </c>
      <c r="NH36" s="424" t="s">
        <v>364</v>
      </c>
      <c r="NI36" s="424" t="s">
        <v>364</v>
      </c>
      <c r="NJ36" s="424" t="s">
        <v>364</v>
      </c>
      <c r="NK36" s="424">
        <f t="shared" si="2"/>
        <v>0</v>
      </c>
      <c r="NL36" s="424">
        <f t="shared" si="14"/>
        <v>0</v>
      </c>
      <c r="NM36" s="424" t="s">
        <v>364</v>
      </c>
      <c r="NN36" s="424" t="s">
        <v>364</v>
      </c>
      <c r="NO36" s="424" t="s">
        <v>364</v>
      </c>
      <c r="NP36" s="424" t="s">
        <v>364</v>
      </c>
      <c r="NQ36" s="424" t="s">
        <v>364</v>
      </c>
      <c r="NR36" s="424" t="s">
        <v>364</v>
      </c>
      <c r="NS36" s="424" t="s">
        <v>364</v>
      </c>
      <c r="NT36" s="424" t="s">
        <v>364</v>
      </c>
      <c r="NU36" s="424" t="s">
        <v>364</v>
      </c>
      <c r="NV36" s="424" t="s">
        <v>364</v>
      </c>
      <c r="NW36" s="424" t="s">
        <v>364</v>
      </c>
      <c r="NX36" s="424" t="s">
        <v>364</v>
      </c>
      <c r="NY36" s="424" t="s">
        <v>364</v>
      </c>
      <c r="NZ36" s="424">
        <f t="shared" si="15"/>
        <v>0</v>
      </c>
      <c r="OA36" s="424" t="s">
        <v>364</v>
      </c>
      <c r="OB36" s="424" t="s">
        <v>364</v>
      </c>
      <c r="OC36" s="424" t="s">
        <v>364</v>
      </c>
      <c r="OD36" s="424" t="s">
        <v>364</v>
      </c>
      <c r="OE36" s="424" t="s">
        <v>364</v>
      </c>
      <c r="OF36" s="424" t="s">
        <v>364</v>
      </c>
      <c r="OG36" s="424" t="s">
        <v>364</v>
      </c>
      <c r="OH36" s="424">
        <f t="shared" si="16"/>
        <v>0</v>
      </c>
      <c r="OI36" s="424">
        <f t="shared" si="17"/>
        <v>0</v>
      </c>
      <c r="OJ36" s="422" t="s">
        <v>364</v>
      </c>
      <c r="OK36" s="422" t="s">
        <v>364</v>
      </c>
      <c r="OL36" s="422" t="s">
        <v>364</v>
      </c>
      <c r="OM36" s="422" t="s">
        <v>364</v>
      </c>
      <c r="ON36" s="422" t="s">
        <v>364</v>
      </c>
      <c r="OO36" s="422" t="s">
        <v>364</v>
      </c>
      <c r="OP36" s="422" t="s">
        <v>364</v>
      </c>
      <c r="OQ36" s="422" t="s">
        <v>364</v>
      </c>
      <c r="OR36" s="422" t="s">
        <v>364</v>
      </c>
      <c r="OS36" s="422" t="s">
        <v>364</v>
      </c>
      <c r="OT36" s="422" t="s">
        <v>364</v>
      </c>
      <c r="OU36" s="422" t="s">
        <v>364</v>
      </c>
      <c r="OV36" s="422" t="s">
        <v>364</v>
      </c>
      <c r="OW36" s="422" t="s">
        <v>364</v>
      </c>
      <c r="OX36" s="422" t="s">
        <v>364</v>
      </c>
      <c r="OY36" s="422" t="s">
        <v>364</v>
      </c>
      <c r="OZ36" s="422" t="s">
        <v>364</v>
      </c>
      <c r="PA36" s="422" t="s">
        <v>364</v>
      </c>
      <c r="PB36" s="424">
        <f t="shared" si="18"/>
        <v>0</v>
      </c>
      <c r="PC36" s="422" t="s">
        <v>364</v>
      </c>
      <c r="PD36" s="422" t="s">
        <v>364</v>
      </c>
      <c r="PE36" s="422" t="s">
        <v>364</v>
      </c>
      <c r="PF36" s="422" t="s">
        <v>364</v>
      </c>
      <c r="PG36" s="422" t="s">
        <v>364</v>
      </c>
      <c r="PH36" s="422" t="s">
        <v>364</v>
      </c>
      <c r="PI36" s="422" t="s">
        <v>364</v>
      </c>
      <c r="PJ36" s="422" t="s">
        <v>364</v>
      </c>
    </row>
    <row r="37" spans="2:426" ht="15.6">
      <c r="B37" s="426" t="s">
        <v>673</v>
      </c>
      <c r="C37" s="422">
        <f t="shared" si="3"/>
        <v>90</v>
      </c>
      <c r="D37" s="422" t="s">
        <v>364</v>
      </c>
      <c r="E37" s="422" t="s">
        <v>364</v>
      </c>
      <c r="F37" s="422" t="s">
        <v>364</v>
      </c>
      <c r="G37" s="422" t="s">
        <v>364</v>
      </c>
      <c r="H37" s="422" t="s">
        <v>364</v>
      </c>
      <c r="I37" s="422" t="s">
        <v>364</v>
      </c>
      <c r="J37" s="422" t="s">
        <v>364</v>
      </c>
      <c r="K37" s="422" t="s">
        <v>364</v>
      </c>
      <c r="L37" s="422" t="s">
        <v>364</v>
      </c>
      <c r="M37" s="422" t="s">
        <v>364</v>
      </c>
      <c r="N37" s="422" t="s">
        <v>364</v>
      </c>
      <c r="O37" s="422" t="s">
        <v>364</v>
      </c>
      <c r="P37" s="422" t="s">
        <v>364</v>
      </c>
      <c r="Q37" s="422" t="s">
        <v>364</v>
      </c>
      <c r="R37" s="422" t="s">
        <v>364</v>
      </c>
      <c r="S37" s="422" t="s">
        <v>364</v>
      </c>
      <c r="T37" s="422" t="s">
        <v>364</v>
      </c>
      <c r="U37" s="422">
        <v>90</v>
      </c>
      <c r="V37" s="422" t="s">
        <v>364</v>
      </c>
      <c r="W37" s="422" t="s">
        <v>364</v>
      </c>
      <c r="X37" s="422" t="s">
        <v>364</v>
      </c>
      <c r="Y37" s="422" t="s">
        <v>364</v>
      </c>
      <c r="Z37" s="422" t="s">
        <v>364</v>
      </c>
      <c r="AA37" s="422" t="s">
        <v>364</v>
      </c>
      <c r="AB37" s="422" t="s">
        <v>364</v>
      </c>
      <c r="AC37" s="422" t="s">
        <v>364</v>
      </c>
      <c r="AD37" s="422" t="s">
        <v>364</v>
      </c>
      <c r="AE37" s="422" t="s">
        <v>364</v>
      </c>
      <c r="AF37" s="422" t="s">
        <v>364</v>
      </c>
      <c r="AG37" s="422" t="s">
        <v>364</v>
      </c>
      <c r="AH37" s="422" t="s">
        <v>364</v>
      </c>
      <c r="AI37" s="422" t="s">
        <v>364</v>
      </c>
      <c r="AJ37" s="422" t="s">
        <v>364</v>
      </c>
      <c r="AK37" s="422" t="s">
        <v>364</v>
      </c>
      <c r="AL37" s="422" t="s">
        <v>364</v>
      </c>
      <c r="AM37" s="422" t="s">
        <v>364</v>
      </c>
      <c r="AN37" s="422" t="s">
        <v>364</v>
      </c>
      <c r="AO37" s="422" t="s">
        <v>364</v>
      </c>
      <c r="AP37" s="422" t="s">
        <v>364</v>
      </c>
      <c r="AQ37" s="422">
        <f t="shared" si="0"/>
        <v>120</v>
      </c>
      <c r="AR37" s="422" t="s">
        <v>364</v>
      </c>
      <c r="AS37" s="422" t="s">
        <v>364</v>
      </c>
      <c r="AT37" s="422" t="s">
        <v>364</v>
      </c>
      <c r="AU37" s="422" t="s">
        <v>364</v>
      </c>
      <c r="AV37" s="422" t="s">
        <v>364</v>
      </c>
      <c r="AW37" s="422" t="s">
        <v>364</v>
      </c>
      <c r="AX37" s="422" t="s">
        <v>364</v>
      </c>
      <c r="AY37" s="422" t="s">
        <v>364</v>
      </c>
      <c r="AZ37" s="422" t="s">
        <v>364</v>
      </c>
      <c r="BA37" s="422" t="s">
        <v>364</v>
      </c>
      <c r="BB37" s="422" t="s">
        <v>364</v>
      </c>
      <c r="BC37" s="422" t="s">
        <v>364</v>
      </c>
      <c r="BD37" s="422" t="s">
        <v>364</v>
      </c>
      <c r="BE37" s="422" t="s">
        <v>364</v>
      </c>
      <c r="BF37" s="422">
        <v>100</v>
      </c>
      <c r="BG37" s="422" t="s">
        <v>364</v>
      </c>
      <c r="BH37" s="422">
        <v>20</v>
      </c>
      <c r="BI37" s="422" t="s">
        <v>364</v>
      </c>
      <c r="BJ37" s="422" t="s">
        <v>364</v>
      </c>
      <c r="BK37" s="422" t="s">
        <v>364</v>
      </c>
      <c r="BL37" s="422" t="s">
        <v>364</v>
      </c>
      <c r="BM37" s="422" t="s">
        <v>364</v>
      </c>
      <c r="BN37" s="422" t="s">
        <v>364</v>
      </c>
      <c r="BO37" s="422" t="s">
        <v>364</v>
      </c>
      <c r="BP37" s="422" t="s">
        <v>364</v>
      </c>
      <c r="BQ37" s="422" t="s">
        <v>364</v>
      </c>
      <c r="BR37" s="422" t="s">
        <v>364</v>
      </c>
      <c r="BS37" s="422" t="s">
        <v>364</v>
      </c>
      <c r="BT37" s="422" t="s">
        <v>364</v>
      </c>
      <c r="BU37" s="422" t="s">
        <v>364</v>
      </c>
      <c r="BV37" s="422" t="s">
        <v>364</v>
      </c>
      <c r="BW37" s="422" t="s">
        <v>364</v>
      </c>
      <c r="BX37" s="422" t="s">
        <v>364</v>
      </c>
      <c r="BY37" s="422" t="s">
        <v>364</v>
      </c>
      <c r="BZ37" s="422" t="s">
        <v>364</v>
      </c>
      <c r="CA37" s="422" t="s">
        <v>364</v>
      </c>
      <c r="CB37" s="422" t="s">
        <v>364</v>
      </c>
      <c r="CC37" s="422" t="s">
        <v>364</v>
      </c>
      <c r="CD37" s="422" t="s">
        <v>364</v>
      </c>
      <c r="CE37" s="422" t="s">
        <v>364</v>
      </c>
      <c r="CF37" s="422" t="s">
        <v>364</v>
      </c>
      <c r="CG37" s="422" t="s">
        <v>364</v>
      </c>
      <c r="CH37" s="422" t="s">
        <v>364</v>
      </c>
      <c r="CI37" s="422" t="s">
        <v>364</v>
      </c>
      <c r="CJ37" s="422" t="s">
        <v>364</v>
      </c>
      <c r="CK37" s="422" t="s">
        <v>364</v>
      </c>
      <c r="CL37" s="422" t="s">
        <v>364</v>
      </c>
      <c r="CM37" s="422" t="s">
        <v>364</v>
      </c>
      <c r="CN37" s="422" t="s">
        <v>364</v>
      </c>
      <c r="CO37" s="422" t="s">
        <v>364</v>
      </c>
      <c r="CP37" s="422" t="s">
        <v>364</v>
      </c>
      <c r="CQ37" s="422" t="s">
        <v>364</v>
      </c>
      <c r="CR37" s="422" t="s">
        <v>364</v>
      </c>
      <c r="CS37" s="422" t="s">
        <v>364</v>
      </c>
      <c r="CT37" s="422" t="s">
        <v>364</v>
      </c>
      <c r="CU37" s="422" t="s">
        <v>364</v>
      </c>
      <c r="CV37" s="422" t="s">
        <v>364</v>
      </c>
      <c r="CW37" s="422" t="s">
        <v>364</v>
      </c>
      <c r="CX37" s="422" t="s">
        <v>364</v>
      </c>
      <c r="CY37" s="422" t="s">
        <v>364</v>
      </c>
      <c r="CZ37" s="422" t="s">
        <v>364</v>
      </c>
      <c r="DA37" s="422" t="s">
        <v>364</v>
      </c>
      <c r="DB37" s="422" t="s">
        <v>364</v>
      </c>
      <c r="DC37" s="422" t="s">
        <v>364</v>
      </c>
      <c r="DD37" s="422" t="s">
        <v>364</v>
      </c>
      <c r="DE37" s="422" t="s">
        <v>364</v>
      </c>
      <c r="DF37" s="422" t="s">
        <v>364</v>
      </c>
      <c r="DG37" s="422" t="s">
        <v>364</v>
      </c>
      <c r="DH37" s="422" t="s">
        <v>364</v>
      </c>
      <c r="DI37" s="422" t="s">
        <v>364</v>
      </c>
      <c r="DJ37" s="422" t="s">
        <v>364</v>
      </c>
      <c r="DK37" s="422">
        <f t="shared" si="4"/>
        <v>0</v>
      </c>
      <c r="DL37" s="422" t="s">
        <v>364</v>
      </c>
      <c r="DM37" s="422" t="s">
        <v>364</v>
      </c>
      <c r="DN37" s="422" t="s">
        <v>364</v>
      </c>
      <c r="DO37" s="422" t="s">
        <v>364</v>
      </c>
      <c r="DP37" s="422" t="s">
        <v>364</v>
      </c>
      <c r="DQ37" s="422" t="s">
        <v>364</v>
      </c>
      <c r="DR37" s="422" t="s">
        <v>364</v>
      </c>
      <c r="DS37" s="422" t="s">
        <v>364</v>
      </c>
      <c r="DT37" s="422" t="s">
        <v>364</v>
      </c>
      <c r="DU37" s="422" t="s">
        <v>364</v>
      </c>
      <c r="DV37" s="422" t="s">
        <v>364</v>
      </c>
      <c r="DW37" s="422" t="s">
        <v>364</v>
      </c>
      <c r="DX37" s="422" t="s">
        <v>364</v>
      </c>
      <c r="DY37" s="422">
        <f t="shared" si="5"/>
        <v>44</v>
      </c>
      <c r="DZ37" s="422" t="s">
        <v>364</v>
      </c>
      <c r="EA37" s="422" t="s">
        <v>364</v>
      </c>
      <c r="EB37" s="422" t="s">
        <v>364</v>
      </c>
      <c r="EC37" s="422" t="s">
        <v>364</v>
      </c>
      <c r="ED37" s="422" t="s">
        <v>364</v>
      </c>
      <c r="EE37" s="422" t="s">
        <v>364</v>
      </c>
      <c r="EF37" s="422" t="s">
        <v>364</v>
      </c>
      <c r="EG37" s="422" t="s">
        <v>364</v>
      </c>
      <c r="EH37" s="422" t="s">
        <v>364</v>
      </c>
      <c r="EI37" s="422" t="s">
        <v>364</v>
      </c>
      <c r="EJ37" s="422" t="s">
        <v>364</v>
      </c>
      <c r="EK37" s="422">
        <v>17</v>
      </c>
      <c r="EL37" s="422">
        <v>27</v>
      </c>
      <c r="EM37" s="422" t="s">
        <v>364</v>
      </c>
      <c r="EN37" s="422" t="s">
        <v>364</v>
      </c>
      <c r="EO37" s="422" t="s">
        <v>364</v>
      </c>
      <c r="EP37" s="422" t="s">
        <v>364</v>
      </c>
      <c r="EQ37" s="422" t="s">
        <v>364</v>
      </c>
      <c r="ER37" s="422" t="s">
        <v>364</v>
      </c>
      <c r="ES37" s="422" t="s">
        <v>364</v>
      </c>
      <c r="ET37" s="422" t="s">
        <v>364</v>
      </c>
      <c r="EU37" s="422" t="s">
        <v>364</v>
      </c>
      <c r="EV37" s="422" t="s">
        <v>364</v>
      </c>
      <c r="EW37" s="422" t="s">
        <v>364</v>
      </c>
      <c r="EX37" s="422" t="s">
        <v>364</v>
      </c>
      <c r="EY37" s="422" t="s">
        <v>364</v>
      </c>
      <c r="EZ37" s="422" t="s">
        <v>364</v>
      </c>
      <c r="FA37" s="422">
        <f t="shared" si="6"/>
        <v>160</v>
      </c>
      <c r="FB37" s="422" t="s">
        <v>364</v>
      </c>
      <c r="FC37" s="422">
        <v>90</v>
      </c>
      <c r="FD37" s="422">
        <v>70</v>
      </c>
      <c r="FE37" s="422" t="s">
        <v>364</v>
      </c>
      <c r="FF37" s="422" t="s">
        <v>364</v>
      </c>
      <c r="FG37" s="422" t="s">
        <v>364</v>
      </c>
      <c r="FH37" s="422" t="s">
        <v>364</v>
      </c>
      <c r="FI37" s="422" t="s">
        <v>364</v>
      </c>
      <c r="FJ37" s="422" t="s">
        <v>364</v>
      </c>
      <c r="FK37" s="422" t="s">
        <v>364</v>
      </c>
      <c r="FL37" s="422" t="s">
        <v>364</v>
      </c>
      <c r="FM37" s="422" t="s">
        <v>364</v>
      </c>
      <c r="FN37" s="422" t="s">
        <v>364</v>
      </c>
      <c r="FO37" s="422" t="s">
        <v>364</v>
      </c>
      <c r="FP37" s="422" t="s">
        <v>364</v>
      </c>
      <c r="FQ37" s="422" t="s">
        <v>364</v>
      </c>
      <c r="FR37" s="422" t="s">
        <v>364</v>
      </c>
      <c r="FS37" s="422" t="s">
        <v>364</v>
      </c>
      <c r="FT37" s="422" t="s">
        <v>364</v>
      </c>
      <c r="FU37" s="422" t="s">
        <v>364</v>
      </c>
      <c r="FV37" s="422" t="s">
        <v>364</v>
      </c>
      <c r="FW37" s="422" t="s">
        <v>364</v>
      </c>
      <c r="FX37" s="422" t="s">
        <v>364</v>
      </c>
      <c r="FY37" s="422" t="s">
        <v>364</v>
      </c>
      <c r="FZ37" s="422" t="s">
        <v>364</v>
      </c>
      <c r="GA37" s="422" t="s">
        <v>364</v>
      </c>
      <c r="GB37" s="422" t="s">
        <v>364</v>
      </c>
      <c r="GC37" s="422" t="s">
        <v>364</v>
      </c>
      <c r="GD37" s="422" t="s">
        <v>364</v>
      </c>
      <c r="GE37" s="422" t="s">
        <v>364</v>
      </c>
      <c r="GF37" s="422" t="s">
        <v>364</v>
      </c>
      <c r="GG37" s="422" t="s">
        <v>364</v>
      </c>
      <c r="GH37" s="422" t="s">
        <v>364</v>
      </c>
      <c r="GI37" s="422" t="s">
        <v>364</v>
      </c>
      <c r="GJ37" s="422" t="s">
        <v>364</v>
      </c>
      <c r="GK37" s="422" t="s">
        <v>364</v>
      </c>
      <c r="GL37" s="422" t="s">
        <v>364</v>
      </c>
      <c r="GM37" s="422" t="s">
        <v>364</v>
      </c>
      <c r="GN37" s="422" t="s">
        <v>364</v>
      </c>
      <c r="GO37" s="422" t="s">
        <v>364</v>
      </c>
      <c r="GP37" s="422" t="s">
        <v>364</v>
      </c>
      <c r="GQ37" s="422" t="s">
        <v>364</v>
      </c>
      <c r="GR37" s="422" t="s">
        <v>364</v>
      </c>
      <c r="GS37" s="422" t="s">
        <v>364</v>
      </c>
      <c r="GT37" s="422" t="s">
        <v>364</v>
      </c>
      <c r="GU37" s="422" t="s">
        <v>364</v>
      </c>
      <c r="GV37" s="422">
        <f t="shared" si="7"/>
        <v>0</v>
      </c>
      <c r="GW37" s="422" t="s">
        <v>364</v>
      </c>
      <c r="GX37" s="422" t="s">
        <v>364</v>
      </c>
      <c r="GY37" s="422" t="s">
        <v>364</v>
      </c>
      <c r="GZ37" s="422" t="s">
        <v>364</v>
      </c>
      <c r="HA37" s="422" t="s">
        <v>364</v>
      </c>
      <c r="HB37" s="422" t="s">
        <v>364</v>
      </c>
      <c r="HC37" s="422" t="s">
        <v>364</v>
      </c>
      <c r="HD37" s="422" t="s">
        <v>364</v>
      </c>
      <c r="HE37" s="422" t="s">
        <v>364</v>
      </c>
      <c r="HF37" s="422" t="s">
        <v>364</v>
      </c>
      <c r="HG37" s="422" t="s">
        <v>364</v>
      </c>
      <c r="HH37" s="422" t="s">
        <v>364</v>
      </c>
      <c r="HI37" s="422" t="s">
        <v>364</v>
      </c>
      <c r="HJ37" s="422" t="s">
        <v>364</v>
      </c>
      <c r="HK37" s="422" t="s">
        <v>364</v>
      </c>
      <c r="HL37" s="422" t="s">
        <v>364</v>
      </c>
      <c r="HM37" s="422" t="s">
        <v>364</v>
      </c>
      <c r="HN37" s="422" t="s">
        <v>364</v>
      </c>
      <c r="HO37" s="422" t="s">
        <v>364</v>
      </c>
      <c r="HP37" s="422" t="s">
        <v>364</v>
      </c>
      <c r="HQ37" s="422" t="s">
        <v>364</v>
      </c>
      <c r="HR37" s="422" t="s">
        <v>364</v>
      </c>
      <c r="HS37" s="422" t="s">
        <v>364</v>
      </c>
      <c r="HT37" s="422" t="s">
        <v>364</v>
      </c>
      <c r="HU37" s="422" t="s">
        <v>364</v>
      </c>
      <c r="HV37" s="422" t="s">
        <v>364</v>
      </c>
      <c r="HW37" s="422" t="s">
        <v>364</v>
      </c>
      <c r="HX37" s="422" t="s">
        <v>364</v>
      </c>
      <c r="HY37" s="422">
        <f t="shared" si="8"/>
        <v>24</v>
      </c>
      <c r="HZ37" s="422" t="s">
        <v>364</v>
      </c>
      <c r="IA37" s="422" t="s">
        <v>364</v>
      </c>
      <c r="IB37" s="422">
        <v>24</v>
      </c>
      <c r="IC37" s="422" t="s">
        <v>364</v>
      </c>
      <c r="ID37" s="422" t="s">
        <v>364</v>
      </c>
      <c r="IE37" s="422" t="s">
        <v>364</v>
      </c>
      <c r="IF37" s="422">
        <f t="shared" si="9"/>
        <v>24</v>
      </c>
      <c r="IG37" s="422" t="s">
        <v>364</v>
      </c>
      <c r="IH37" s="422" t="s">
        <v>364</v>
      </c>
      <c r="II37" s="422" t="s">
        <v>364</v>
      </c>
      <c r="IJ37" s="422" t="s">
        <v>364</v>
      </c>
      <c r="IK37" s="422" t="s">
        <v>364</v>
      </c>
      <c r="IL37" s="422" t="s">
        <v>364</v>
      </c>
      <c r="IM37" s="422" t="s">
        <v>364</v>
      </c>
      <c r="IN37" s="422" t="s">
        <v>364</v>
      </c>
      <c r="IO37" s="422" t="s">
        <v>364</v>
      </c>
      <c r="IP37" s="422" t="s">
        <v>364</v>
      </c>
      <c r="IQ37" s="422" t="s">
        <v>364</v>
      </c>
      <c r="IR37" s="422" t="s">
        <v>364</v>
      </c>
      <c r="IS37" s="422" t="s">
        <v>364</v>
      </c>
      <c r="IT37" s="422" t="s">
        <v>364</v>
      </c>
      <c r="IU37" s="422" t="s">
        <v>364</v>
      </c>
      <c r="IV37" s="422">
        <v>24</v>
      </c>
      <c r="IW37" s="422" t="s">
        <v>364</v>
      </c>
      <c r="IX37" s="422" t="s">
        <v>364</v>
      </c>
      <c r="IY37" s="422" t="s">
        <v>364</v>
      </c>
      <c r="IZ37" s="422">
        <f t="shared" si="10"/>
        <v>14</v>
      </c>
      <c r="JA37" s="422" t="s">
        <v>364</v>
      </c>
      <c r="JB37" s="422" t="s">
        <v>364</v>
      </c>
      <c r="JC37" s="422" t="s">
        <v>364</v>
      </c>
      <c r="JD37" s="422" t="s">
        <v>364</v>
      </c>
      <c r="JE37" s="422">
        <v>11</v>
      </c>
      <c r="JF37" s="422">
        <v>3</v>
      </c>
      <c r="JG37" s="422" t="s">
        <v>364</v>
      </c>
      <c r="JH37" s="422" t="s">
        <v>364</v>
      </c>
      <c r="JI37" s="422" t="s">
        <v>364</v>
      </c>
      <c r="JJ37" s="422" t="s">
        <v>364</v>
      </c>
      <c r="JK37" s="422" t="s">
        <v>364</v>
      </c>
      <c r="JL37" s="422" t="s">
        <v>364</v>
      </c>
      <c r="JM37" s="422" t="s">
        <v>364</v>
      </c>
      <c r="JN37" s="422" t="s">
        <v>364</v>
      </c>
      <c r="JO37" s="422" t="s">
        <v>364</v>
      </c>
      <c r="JP37" s="422" t="s">
        <v>364</v>
      </c>
      <c r="JQ37" s="422" t="s">
        <v>364</v>
      </c>
      <c r="JR37" s="422" t="s">
        <v>364</v>
      </c>
      <c r="JS37" s="422" t="s">
        <v>364</v>
      </c>
      <c r="JT37" s="422" t="s">
        <v>364</v>
      </c>
      <c r="JU37" s="422" t="s">
        <v>364</v>
      </c>
      <c r="JV37" s="422" t="s">
        <v>364</v>
      </c>
      <c r="JW37" s="422">
        <f t="shared" si="11"/>
        <v>0</v>
      </c>
      <c r="JX37" s="422" t="s">
        <v>364</v>
      </c>
      <c r="JY37" s="422" t="s">
        <v>364</v>
      </c>
      <c r="JZ37" s="422" t="s">
        <v>364</v>
      </c>
      <c r="KA37" s="422" t="s">
        <v>364</v>
      </c>
      <c r="KB37" s="422" t="s">
        <v>364</v>
      </c>
      <c r="KC37" s="422" t="s">
        <v>364</v>
      </c>
      <c r="KD37" s="422" t="s">
        <v>364</v>
      </c>
      <c r="KE37" s="422" t="s">
        <v>364</v>
      </c>
      <c r="KF37" s="422" t="s">
        <v>364</v>
      </c>
      <c r="KG37" s="422" t="s">
        <v>364</v>
      </c>
      <c r="KH37" s="422" t="s">
        <v>6601</v>
      </c>
      <c r="KI37" s="422" t="s">
        <v>6601</v>
      </c>
      <c r="KJ37" s="422" t="s">
        <v>364</v>
      </c>
      <c r="KK37" s="422" t="s">
        <v>364</v>
      </c>
      <c r="KL37" s="422" t="s">
        <v>364</v>
      </c>
      <c r="KM37" s="422" t="s">
        <v>364</v>
      </c>
      <c r="KN37" s="422" t="s">
        <v>364</v>
      </c>
      <c r="KO37" s="422" t="s">
        <v>364</v>
      </c>
      <c r="KP37" s="422" t="s">
        <v>364</v>
      </c>
      <c r="KQ37" s="422" t="s">
        <v>364</v>
      </c>
      <c r="KR37" s="422" t="s">
        <v>364</v>
      </c>
      <c r="KS37" s="422" t="s">
        <v>364</v>
      </c>
      <c r="KT37" s="422" t="s">
        <v>364</v>
      </c>
      <c r="KU37" s="422" t="s">
        <v>364</v>
      </c>
      <c r="KV37" s="422" t="s">
        <v>364</v>
      </c>
      <c r="KW37" s="422" t="s">
        <v>364</v>
      </c>
      <c r="KX37" s="422" t="s">
        <v>364</v>
      </c>
      <c r="KY37" s="422" t="s">
        <v>364</v>
      </c>
      <c r="KZ37" s="422" t="s">
        <v>364</v>
      </c>
      <c r="LA37" s="422" t="s">
        <v>364</v>
      </c>
      <c r="LB37" s="422" t="s">
        <v>364</v>
      </c>
      <c r="LC37" s="422" t="s">
        <v>364</v>
      </c>
      <c r="LD37" s="422" t="s">
        <v>364</v>
      </c>
      <c r="LE37" s="422" t="s">
        <v>364</v>
      </c>
      <c r="LF37" s="422" t="s">
        <v>364</v>
      </c>
      <c r="LG37" s="422" t="s">
        <v>364</v>
      </c>
      <c r="LH37" s="422" t="s">
        <v>364</v>
      </c>
      <c r="LI37" s="422" t="s">
        <v>364</v>
      </c>
      <c r="LJ37" s="422" t="s">
        <v>364</v>
      </c>
      <c r="LK37" s="422" t="s">
        <v>364</v>
      </c>
      <c r="LL37" s="422" t="s">
        <v>364</v>
      </c>
      <c r="LM37" s="424" t="s">
        <v>364</v>
      </c>
      <c r="LN37" s="424">
        <v>20</v>
      </c>
      <c r="LO37" s="424">
        <v>12</v>
      </c>
      <c r="LP37" s="424" t="s">
        <v>364</v>
      </c>
      <c r="LQ37" s="424">
        <v>8</v>
      </c>
      <c r="LR37" s="424" t="s">
        <v>364</v>
      </c>
      <c r="LS37" s="424" t="s">
        <v>364</v>
      </c>
      <c r="LT37" s="424" t="s">
        <v>364</v>
      </c>
      <c r="LU37" s="424" t="s">
        <v>364</v>
      </c>
      <c r="LV37" s="424" t="s">
        <v>364</v>
      </c>
      <c r="LW37" s="424" t="s">
        <v>364</v>
      </c>
      <c r="LX37" s="424">
        <f t="shared" si="12"/>
        <v>0</v>
      </c>
      <c r="LY37" s="424" t="s">
        <v>364</v>
      </c>
      <c r="LZ37" s="424" t="s">
        <v>364</v>
      </c>
      <c r="MA37" s="424" t="s">
        <v>364</v>
      </c>
      <c r="MB37" s="424" t="s">
        <v>364</v>
      </c>
      <c r="MC37" s="424" t="s">
        <v>364</v>
      </c>
      <c r="MD37" s="424" t="s">
        <v>364</v>
      </c>
      <c r="ME37" s="424">
        <f t="shared" si="1"/>
        <v>0</v>
      </c>
      <c r="MF37" s="424" t="s">
        <v>6598</v>
      </c>
      <c r="MG37" s="424" t="s">
        <v>6598</v>
      </c>
      <c r="MH37" s="424" t="s">
        <v>364</v>
      </c>
      <c r="MI37" s="424" t="s">
        <v>364</v>
      </c>
      <c r="MJ37" s="424" t="s">
        <v>364</v>
      </c>
      <c r="MK37" s="424" t="s">
        <v>364</v>
      </c>
      <c r="ML37" s="424" t="s">
        <v>364</v>
      </c>
      <c r="MM37" s="424" t="s">
        <v>364</v>
      </c>
      <c r="MN37" s="424" t="s">
        <v>364</v>
      </c>
      <c r="MO37" s="424" t="s">
        <v>364</v>
      </c>
      <c r="MP37" s="424" t="s">
        <v>364</v>
      </c>
      <c r="MQ37" s="424" t="s">
        <v>364</v>
      </c>
      <c r="MR37" s="424" t="s">
        <v>364</v>
      </c>
      <c r="MS37" s="424" t="s">
        <v>364</v>
      </c>
      <c r="MT37" s="424" t="s">
        <v>364</v>
      </c>
      <c r="MU37" s="424" t="s">
        <v>364</v>
      </c>
      <c r="MV37" s="424" t="s">
        <v>364</v>
      </c>
      <c r="MW37" s="424" t="s">
        <v>364</v>
      </c>
      <c r="MX37" s="424">
        <f t="shared" si="13"/>
        <v>0</v>
      </c>
      <c r="MY37" s="424" t="s">
        <v>364</v>
      </c>
      <c r="MZ37" s="424" t="s">
        <v>364</v>
      </c>
      <c r="NA37" s="424" t="s">
        <v>364</v>
      </c>
      <c r="NB37" s="424" t="s">
        <v>364</v>
      </c>
      <c r="NC37" s="424" t="s">
        <v>364</v>
      </c>
      <c r="ND37" s="424" t="s">
        <v>6598</v>
      </c>
      <c r="NE37" s="424" t="s">
        <v>364</v>
      </c>
      <c r="NF37" s="424" t="s">
        <v>364</v>
      </c>
      <c r="NG37" s="424" t="s">
        <v>364</v>
      </c>
      <c r="NH37" s="424" t="s">
        <v>364</v>
      </c>
      <c r="NI37" s="424" t="s">
        <v>364</v>
      </c>
      <c r="NJ37" s="424" t="s">
        <v>364</v>
      </c>
      <c r="NK37" s="424">
        <f t="shared" si="2"/>
        <v>24</v>
      </c>
      <c r="NL37" s="424">
        <f t="shared" si="14"/>
        <v>24</v>
      </c>
      <c r="NM37" s="424">
        <v>24</v>
      </c>
      <c r="NN37" s="424" t="s">
        <v>364</v>
      </c>
      <c r="NO37" s="424" t="s">
        <v>364</v>
      </c>
      <c r="NP37" s="424" t="s">
        <v>364</v>
      </c>
      <c r="NQ37" s="424" t="s">
        <v>364</v>
      </c>
      <c r="NR37" s="424" t="s">
        <v>364</v>
      </c>
      <c r="NS37" s="424" t="s">
        <v>364</v>
      </c>
      <c r="NT37" s="424" t="s">
        <v>364</v>
      </c>
      <c r="NU37" s="424" t="s">
        <v>364</v>
      </c>
      <c r="NV37" s="424" t="s">
        <v>364</v>
      </c>
      <c r="NW37" s="424" t="s">
        <v>364</v>
      </c>
      <c r="NX37" s="424" t="s">
        <v>364</v>
      </c>
      <c r="NY37" s="424" t="s">
        <v>364</v>
      </c>
      <c r="NZ37" s="424">
        <f t="shared" si="15"/>
        <v>0</v>
      </c>
      <c r="OA37" s="424" t="s">
        <v>364</v>
      </c>
      <c r="OB37" s="424" t="s">
        <v>364</v>
      </c>
      <c r="OC37" s="424" t="s">
        <v>364</v>
      </c>
      <c r="OD37" s="424" t="s">
        <v>364</v>
      </c>
      <c r="OE37" s="424" t="s">
        <v>364</v>
      </c>
      <c r="OF37" s="424" t="s">
        <v>364</v>
      </c>
      <c r="OG37" s="424" t="s">
        <v>364</v>
      </c>
      <c r="OH37" s="424">
        <f t="shared" si="16"/>
        <v>400</v>
      </c>
      <c r="OI37" s="424">
        <f t="shared" si="17"/>
        <v>266</v>
      </c>
      <c r="OJ37" s="422" t="s">
        <v>364</v>
      </c>
      <c r="OK37" s="422" t="s">
        <v>364</v>
      </c>
      <c r="OL37" s="422" t="s">
        <v>364</v>
      </c>
      <c r="OM37" s="422" t="s">
        <v>364</v>
      </c>
      <c r="ON37" s="422" t="s">
        <v>364</v>
      </c>
      <c r="OO37" s="422">
        <v>133</v>
      </c>
      <c r="OP37" s="422">
        <v>133</v>
      </c>
      <c r="OQ37" s="422" t="s">
        <v>364</v>
      </c>
      <c r="OR37" s="422" t="s">
        <v>364</v>
      </c>
      <c r="OS37" s="422" t="s">
        <v>364</v>
      </c>
      <c r="OT37" s="422" t="s">
        <v>364</v>
      </c>
      <c r="OU37" s="422" t="s">
        <v>364</v>
      </c>
      <c r="OV37" s="422" t="s">
        <v>364</v>
      </c>
      <c r="OW37" s="422" t="s">
        <v>364</v>
      </c>
      <c r="OX37" s="422" t="s">
        <v>364</v>
      </c>
      <c r="OY37" s="422" t="s">
        <v>364</v>
      </c>
      <c r="OZ37" s="422" t="s">
        <v>364</v>
      </c>
      <c r="PA37" s="422" t="s">
        <v>364</v>
      </c>
      <c r="PB37" s="424">
        <f t="shared" si="18"/>
        <v>134</v>
      </c>
      <c r="PC37" s="422" t="s">
        <v>364</v>
      </c>
      <c r="PD37" s="422" t="s">
        <v>364</v>
      </c>
      <c r="PE37" s="422" t="s">
        <v>364</v>
      </c>
      <c r="PF37" s="422" t="s">
        <v>364</v>
      </c>
      <c r="PG37" s="422" t="s">
        <v>364</v>
      </c>
      <c r="PH37" s="422">
        <v>134</v>
      </c>
      <c r="PI37" s="422" t="s">
        <v>364</v>
      </c>
      <c r="PJ37" s="422" t="s">
        <v>364</v>
      </c>
    </row>
    <row r="38" spans="2:426" ht="15.6">
      <c r="B38" s="426" t="s">
        <v>2096</v>
      </c>
      <c r="C38" s="422">
        <f t="shared" si="3"/>
        <v>0</v>
      </c>
      <c r="D38" s="422" t="s">
        <v>364</v>
      </c>
      <c r="E38" s="422" t="s">
        <v>364</v>
      </c>
      <c r="F38" s="422" t="s">
        <v>364</v>
      </c>
      <c r="G38" s="422" t="s">
        <v>364</v>
      </c>
      <c r="H38" s="422" t="s">
        <v>364</v>
      </c>
      <c r="I38" s="422" t="s">
        <v>364</v>
      </c>
      <c r="J38" s="422" t="s">
        <v>364</v>
      </c>
      <c r="K38" s="422" t="s">
        <v>364</v>
      </c>
      <c r="L38" s="422" t="s">
        <v>364</v>
      </c>
      <c r="M38" s="422" t="s">
        <v>364</v>
      </c>
      <c r="N38" s="422" t="s">
        <v>364</v>
      </c>
      <c r="O38" s="422" t="s">
        <v>364</v>
      </c>
      <c r="P38" s="422" t="s">
        <v>364</v>
      </c>
      <c r="Q38" s="422" t="s">
        <v>364</v>
      </c>
      <c r="R38" s="422" t="s">
        <v>364</v>
      </c>
      <c r="S38" s="422" t="s">
        <v>364</v>
      </c>
      <c r="T38" s="422" t="s">
        <v>364</v>
      </c>
      <c r="U38" s="422" t="s">
        <v>364</v>
      </c>
      <c r="V38" s="422" t="s">
        <v>364</v>
      </c>
      <c r="W38" s="422" t="s">
        <v>364</v>
      </c>
      <c r="X38" s="422" t="s">
        <v>364</v>
      </c>
      <c r="Y38" s="422" t="s">
        <v>364</v>
      </c>
      <c r="Z38" s="422" t="s">
        <v>364</v>
      </c>
      <c r="AA38" s="422" t="s">
        <v>364</v>
      </c>
      <c r="AB38" s="422" t="s">
        <v>364</v>
      </c>
      <c r="AC38" s="422" t="s">
        <v>364</v>
      </c>
      <c r="AD38" s="422" t="s">
        <v>364</v>
      </c>
      <c r="AE38" s="422" t="s">
        <v>364</v>
      </c>
      <c r="AF38" s="422" t="s">
        <v>364</v>
      </c>
      <c r="AG38" s="422" t="s">
        <v>364</v>
      </c>
      <c r="AH38" s="422" t="s">
        <v>364</v>
      </c>
      <c r="AI38" s="422" t="s">
        <v>364</v>
      </c>
      <c r="AJ38" s="422" t="s">
        <v>364</v>
      </c>
      <c r="AK38" s="422" t="s">
        <v>364</v>
      </c>
      <c r="AL38" s="422" t="s">
        <v>364</v>
      </c>
      <c r="AM38" s="422" t="s">
        <v>364</v>
      </c>
      <c r="AN38" s="422" t="s">
        <v>364</v>
      </c>
      <c r="AO38" s="422" t="s">
        <v>364</v>
      </c>
      <c r="AP38" s="422" t="s">
        <v>364</v>
      </c>
      <c r="AQ38" s="422">
        <f t="shared" si="0"/>
        <v>74</v>
      </c>
      <c r="AR38" s="422" t="s">
        <v>364</v>
      </c>
      <c r="AS38" s="422" t="s">
        <v>364</v>
      </c>
      <c r="AT38" s="422" t="s">
        <v>364</v>
      </c>
      <c r="AU38" s="422" t="s">
        <v>364</v>
      </c>
      <c r="AV38" s="422" t="s">
        <v>364</v>
      </c>
      <c r="AW38" s="422" t="s">
        <v>364</v>
      </c>
      <c r="AX38" s="422" t="s">
        <v>364</v>
      </c>
      <c r="AY38" s="422" t="s">
        <v>364</v>
      </c>
      <c r="AZ38" s="422">
        <v>56</v>
      </c>
      <c r="BA38" s="422">
        <v>18</v>
      </c>
      <c r="BB38" s="422" t="s">
        <v>364</v>
      </c>
      <c r="BC38" s="422" t="s">
        <v>364</v>
      </c>
      <c r="BD38" s="422" t="s">
        <v>364</v>
      </c>
      <c r="BE38" s="422" t="s">
        <v>364</v>
      </c>
      <c r="BF38" s="422" t="s">
        <v>364</v>
      </c>
      <c r="BG38" s="422" t="s">
        <v>364</v>
      </c>
      <c r="BH38" s="422" t="s">
        <v>364</v>
      </c>
      <c r="BI38" s="422" t="s">
        <v>364</v>
      </c>
      <c r="BJ38" s="422" t="s">
        <v>364</v>
      </c>
      <c r="BK38" s="422" t="s">
        <v>364</v>
      </c>
      <c r="BL38" s="422" t="s">
        <v>364</v>
      </c>
      <c r="BM38" s="422" t="s">
        <v>364</v>
      </c>
      <c r="BN38" s="422" t="s">
        <v>364</v>
      </c>
      <c r="BO38" s="422" t="s">
        <v>364</v>
      </c>
      <c r="BP38" s="422" t="s">
        <v>364</v>
      </c>
      <c r="BQ38" s="422" t="s">
        <v>364</v>
      </c>
      <c r="BR38" s="422" t="s">
        <v>364</v>
      </c>
      <c r="BS38" s="422" t="s">
        <v>364</v>
      </c>
      <c r="BT38" s="422" t="s">
        <v>364</v>
      </c>
      <c r="BU38" s="422" t="s">
        <v>364</v>
      </c>
      <c r="BV38" s="422" t="s">
        <v>364</v>
      </c>
      <c r="BW38" s="422" t="s">
        <v>364</v>
      </c>
      <c r="BX38" s="422" t="s">
        <v>364</v>
      </c>
      <c r="BY38" s="422" t="s">
        <v>364</v>
      </c>
      <c r="BZ38" s="422" t="s">
        <v>364</v>
      </c>
      <c r="CA38" s="422" t="s">
        <v>364</v>
      </c>
      <c r="CB38" s="422" t="s">
        <v>364</v>
      </c>
      <c r="CC38" s="422" t="s">
        <v>364</v>
      </c>
      <c r="CD38" s="422" t="s">
        <v>364</v>
      </c>
      <c r="CE38" s="422" t="s">
        <v>364</v>
      </c>
      <c r="CF38" s="422" t="s">
        <v>364</v>
      </c>
      <c r="CG38" s="422" t="s">
        <v>364</v>
      </c>
      <c r="CH38" s="422" t="s">
        <v>364</v>
      </c>
      <c r="CI38" s="422" t="s">
        <v>364</v>
      </c>
      <c r="CJ38" s="422" t="s">
        <v>364</v>
      </c>
      <c r="CK38" s="422" t="s">
        <v>364</v>
      </c>
      <c r="CL38" s="422" t="s">
        <v>364</v>
      </c>
      <c r="CM38" s="422" t="s">
        <v>364</v>
      </c>
      <c r="CN38" s="422" t="s">
        <v>364</v>
      </c>
      <c r="CO38" s="422" t="s">
        <v>364</v>
      </c>
      <c r="CP38" s="422" t="s">
        <v>364</v>
      </c>
      <c r="CQ38" s="422" t="s">
        <v>364</v>
      </c>
      <c r="CR38" s="422" t="s">
        <v>364</v>
      </c>
      <c r="CS38" s="422" t="s">
        <v>364</v>
      </c>
      <c r="CT38" s="422" t="s">
        <v>364</v>
      </c>
      <c r="CU38" s="422" t="s">
        <v>364</v>
      </c>
      <c r="CV38" s="422" t="s">
        <v>364</v>
      </c>
      <c r="CW38" s="422" t="s">
        <v>364</v>
      </c>
      <c r="CX38" s="422" t="s">
        <v>364</v>
      </c>
      <c r="CY38" s="422" t="s">
        <v>364</v>
      </c>
      <c r="CZ38" s="422" t="s">
        <v>364</v>
      </c>
      <c r="DA38" s="422" t="s">
        <v>364</v>
      </c>
      <c r="DB38" s="422" t="s">
        <v>364</v>
      </c>
      <c r="DC38" s="422" t="s">
        <v>364</v>
      </c>
      <c r="DD38" s="422" t="s">
        <v>364</v>
      </c>
      <c r="DE38" s="422" t="s">
        <v>364</v>
      </c>
      <c r="DF38" s="422" t="s">
        <v>364</v>
      </c>
      <c r="DG38" s="422" t="s">
        <v>364</v>
      </c>
      <c r="DH38" s="422" t="s">
        <v>364</v>
      </c>
      <c r="DI38" s="422" t="s">
        <v>364</v>
      </c>
      <c r="DJ38" s="422" t="s">
        <v>364</v>
      </c>
      <c r="DK38" s="422">
        <f t="shared" si="4"/>
        <v>0</v>
      </c>
      <c r="DL38" s="422" t="s">
        <v>364</v>
      </c>
      <c r="DM38" s="422" t="s">
        <v>364</v>
      </c>
      <c r="DN38" s="422" t="s">
        <v>364</v>
      </c>
      <c r="DO38" s="422" t="s">
        <v>364</v>
      </c>
      <c r="DP38" s="422" t="s">
        <v>364</v>
      </c>
      <c r="DQ38" s="422" t="s">
        <v>364</v>
      </c>
      <c r="DR38" s="422" t="s">
        <v>364</v>
      </c>
      <c r="DS38" s="422" t="s">
        <v>364</v>
      </c>
      <c r="DT38" s="422" t="s">
        <v>364</v>
      </c>
      <c r="DU38" s="422" t="s">
        <v>364</v>
      </c>
      <c r="DV38" s="422" t="s">
        <v>364</v>
      </c>
      <c r="DW38" s="422" t="s">
        <v>364</v>
      </c>
      <c r="DX38" s="422" t="s">
        <v>364</v>
      </c>
      <c r="DY38" s="422">
        <f t="shared" si="5"/>
        <v>0</v>
      </c>
      <c r="DZ38" s="422" t="s">
        <v>364</v>
      </c>
      <c r="EA38" s="422" t="s">
        <v>364</v>
      </c>
      <c r="EB38" s="422" t="s">
        <v>364</v>
      </c>
      <c r="EC38" s="422" t="s">
        <v>364</v>
      </c>
      <c r="ED38" s="422" t="s">
        <v>364</v>
      </c>
      <c r="EE38" s="422" t="s">
        <v>364</v>
      </c>
      <c r="EF38" s="422" t="s">
        <v>364</v>
      </c>
      <c r="EG38" s="422" t="s">
        <v>364</v>
      </c>
      <c r="EH38" s="422" t="s">
        <v>364</v>
      </c>
      <c r="EI38" s="422" t="s">
        <v>364</v>
      </c>
      <c r="EJ38" s="422" t="s">
        <v>364</v>
      </c>
      <c r="EK38" s="422" t="s">
        <v>364</v>
      </c>
      <c r="EL38" s="422" t="s">
        <v>364</v>
      </c>
      <c r="EM38" s="422" t="s">
        <v>364</v>
      </c>
      <c r="EN38" s="422" t="s">
        <v>364</v>
      </c>
      <c r="EO38" s="422" t="s">
        <v>364</v>
      </c>
      <c r="EP38" s="422" t="s">
        <v>364</v>
      </c>
      <c r="EQ38" s="422" t="s">
        <v>364</v>
      </c>
      <c r="ER38" s="422" t="s">
        <v>364</v>
      </c>
      <c r="ES38" s="422" t="s">
        <v>364</v>
      </c>
      <c r="ET38" s="422" t="s">
        <v>364</v>
      </c>
      <c r="EU38" s="422" t="s">
        <v>364</v>
      </c>
      <c r="EV38" s="422" t="s">
        <v>364</v>
      </c>
      <c r="EW38" s="422" t="s">
        <v>364</v>
      </c>
      <c r="EX38" s="422" t="s">
        <v>364</v>
      </c>
      <c r="EY38" s="422" t="s">
        <v>364</v>
      </c>
      <c r="EZ38" s="422" t="s">
        <v>364</v>
      </c>
      <c r="FA38" s="422">
        <f t="shared" si="6"/>
        <v>0</v>
      </c>
      <c r="FB38" s="422" t="s">
        <v>364</v>
      </c>
      <c r="FC38" s="422" t="s">
        <v>364</v>
      </c>
      <c r="FD38" s="422" t="s">
        <v>364</v>
      </c>
      <c r="FE38" s="422" t="s">
        <v>364</v>
      </c>
      <c r="FF38" s="422" t="s">
        <v>364</v>
      </c>
      <c r="FG38" s="422" t="s">
        <v>364</v>
      </c>
      <c r="FH38" s="422" t="s">
        <v>364</v>
      </c>
      <c r="FI38" s="422" t="s">
        <v>364</v>
      </c>
      <c r="FJ38" s="422" t="s">
        <v>364</v>
      </c>
      <c r="FK38" s="422" t="s">
        <v>364</v>
      </c>
      <c r="FL38" s="422" t="s">
        <v>364</v>
      </c>
      <c r="FM38" s="422" t="s">
        <v>364</v>
      </c>
      <c r="FN38" s="422" t="s">
        <v>364</v>
      </c>
      <c r="FO38" s="422" t="s">
        <v>364</v>
      </c>
      <c r="FP38" s="422" t="s">
        <v>364</v>
      </c>
      <c r="FQ38" s="422" t="s">
        <v>364</v>
      </c>
      <c r="FR38" s="422" t="s">
        <v>364</v>
      </c>
      <c r="FS38" s="422" t="s">
        <v>364</v>
      </c>
      <c r="FT38" s="422" t="s">
        <v>364</v>
      </c>
      <c r="FU38" s="422" t="s">
        <v>364</v>
      </c>
      <c r="FV38" s="422" t="s">
        <v>364</v>
      </c>
      <c r="FW38" s="422" t="s">
        <v>364</v>
      </c>
      <c r="FX38" s="422" t="s">
        <v>364</v>
      </c>
      <c r="FY38" s="422" t="s">
        <v>364</v>
      </c>
      <c r="FZ38" s="422" t="s">
        <v>364</v>
      </c>
      <c r="GA38" s="422" t="s">
        <v>364</v>
      </c>
      <c r="GB38" s="422" t="s">
        <v>364</v>
      </c>
      <c r="GC38" s="422" t="s">
        <v>364</v>
      </c>
      <c r="GD38" s="422" t="s">
        <v>364</v>
      </c>
      <c r="GE38" s="422" t="s">
        <v>364</v>
      </c>
      <c r="GF38" s="422" t="s">
        <v>364</v>
      </c>
      <c r="GG38" s="422" t="s">
        <v>364</v>
      </c>
      <c r="GH38" s="422" t="s">
        <v>364</v>
      </c>
      <c r="GI38" s="422" t="s">
        <v>364</v>
      </c>
      <c r="GJ38" s="422" t="s">
        <v>364</v>
      </c>
      <c r="GK38" s="422" t="s">
        <v>364</v>
      </c>
      <c r="GL38" s="422" t="s">
        <v>364</v>
      </c>
      <c r="GM38" s="422" t="s">
        <v>364</v>
      </c>
      <c r="GN38" s="422" t="s">
        <v>364</v>
      </c>
      <c r="GO38" s="422" t="s">
        <v>364</v>
      </c>
      <c r="GP38" s="422" t="s">
        <v>364</v>
      </c>
      <c r="GQ38" s="422" t="s">
        <v>364</v>
      </c>
      <c r="GR38" s="422" t="s">
        <v>364</v>
      </c>
      <c r="GS38" s="422" t="s">
        <v>364</v>
      </c>
      <c r="GT38" s="422" t="s">
        <v>364</v>
      </c>
      <c r="GU38" s="422" t="s">
        <v>364</v>
      </c>
      <c r="GV38" s="422">
        <f t="shared" si="7"/>
        <v>0</v>
      </c>
      <c r="GW38" s="422" t="s">
        <v>364</v>
      </c>
      <c r="GX38" s="422" t="s">
        <v>364</v>
      </c>
      <c r="GY38" s="422" t="s">
        <v>364</v>
      </c>
      <c r="GZ38" s="422" t="s">
        <v>364</v>
      </c>
      <c r="HA38" s="422" t="s">
        <v>364</v>
      </c>
      <c r="HB38" s="422" t="s">
        <v>364</v>
      </c>
      <c r="HC38" s="422" t="s">
        <v>364</v>
      </c>
      <c r="HD38" s="422" t="s">
        <v>364</v>
      </c>
      <c r="HE38" s="422" t="s">
        <v>364</v>
      </c>
      <c r="HF38" s="422" t="s">
        <v>364</v>
      </c>
      <c r="HG38" s="422" t="s">
        <v>364</v>
      </c>
      <c r="HH38" s="422" t="s">
        <v>364</v>
      </c>
      <c r="HI38" s="422" t="s">
        <v>364</v>
      </c>
      <c r="HJ38" s="422" t="s">
        <v>364</v>
      </c>
      <c r="HK38" s="422" t="s">
        <v>364</v>
      </c>
      <c r="HL38" s="422" t="s">
        <v>364</v>
      </c>
      <c r="HM38" s="422" t="s">
        <v>364</v>
      </c>
      <c r="HN38" s="422" t="s">
        <v>364</v>
      </c>
      <c r="HO38" s="422" t="s">
        <v>364</v>
      </c>
      <c r="HP38" s="422" t="s">
        <v>364</v>
      </c>
      <c r="HQ38" s="422" t="s">
        <v>364</v>
      </c>
      <c r="HR38" s="422" t="s">
        <v>364</v>
      </c>
      <c r="HS38" s="422" t="s">
        <v>364</v>
      </c>
      <c r="HT38" s="422" t="s">
        <v>364</v>
      </c>
      <c r="HU38" s="422" t="s">
        <v>364</v>
      </c>
      <c r="HV38" s="422" t="s">
        <v>364</v>
      </c>
      <c r="HW38" s="422" t="s">
        <v>364</v>
      </c>
      <c r="HX38" s="422" t="s">
        <v>364</v>
      </c>
      <c r="HY38" s="422">
        <f t="shared" si="8"/>
        <v>0</v>
      </c>
      <c r="HZ38" s="422" t="s">
        <v>364</v>
      </c>
      <c r="IA38" s="422" t="s">
        <v>364</v>
      </c>
      <c r="IB38" s="422" t="s">
        <v>364</v>
      </c>
      <c r="IC38" s="422" t="s">
        <v>364</v>
      </c>
      <c r="ID38" s="422" t="s">
        <v>364</v>
      </c>
      <c r="IE38" s="422" t="s">
        <v>364</v>
      </c>
      <c r="IF38" s="422">
        <f t="shared" si="9"/>
        <v>0</v>
      </c>
      <c r="IG38" s="422" t="s">
        <v>364</v>
      </c>
      <c r="IH38" s="422" t="s">
        <v>364</v>
      </c>
      <c r="II38" s="422" t="s">
        <v>364</v>
      </c>
      <c r="IJ38" s="422" t="s">
        <v>364</v>
      </c>
      <c r="IK38" s="422" t="s">
        <v>364</v>
      </c>
      <c r="IL38" s="422" t="s">
        <v>364</v>
      </c>
      <c r="IM38" s="422" t="s">
        <v>364</v>
      </c>
      <c r="IN38" s="422" t="s">
        <v>364</v>
      </c>
      <c r="IO38" s="422" t="s">
        <v>364</v>
      </c>
      <c r="IP38" s="422" t="s">
        <v>364</v>
      </c>
      <c r="IQ38" s="422" t="s">
        <v>364</v>
      </c>
      <c r="IR38" s="422" t="s">
        <v>364</v>
      </c>
      <c r="IS38" s="422" t="s">
        <v>364</v>
      </c>
      <c r="IT38" s="422" t="s">
        <v>364</v>
      </c>
      <c r="IU38" s="422" t="s">
        <v>364</v>
      </c>
      <c r="IV38" s="422" t="s">
        <v>364</v>
      </c>
      <c r="IW38" s="422" t="s">
        <v>364</v>
      </c>
      <c r="IX38" s="422" t="s">
        <v>364</v>
      </c>
      <c r="IY38" s="422" t="s">
        <v>364</v>
      </c>
      <c r="IZ38" s="422">
        <f t="shared" si="10"/>
        <v>0</v>
      </c>
      <c r="JA38" s="422" t="s">
        <v>364</v>
      </c>
      <c r="JB38" s="422" t="s">
        <v>364</v>
      </c>
      <c r="JC38" s="422" t="s">
        <v>364</v>
      </c>
      <c r="JD38" s="422" t="s">
        <v>364</v>
      </c>
      <c r="JE38" s="422" t="s">
        <v>364</v>
      </c>
      <c r="JF38" s="422" t="s">
        <v>364</v>
      </c>
      <c r="JG38" s="422" t="s">
        <v>364</v>
      </c>
      <c r="JH38" s="422" t="s">
        <v>364</v>
      </c>
      <c r="JI38" s="422" t="s">
        <v>364</v>
      </c>
      <c r="JJ38" s="422" t="s">
        <v>364</v>
      </c>
      <c r="JK38" s="422" t="s">
        <v>364</v>
      </c>
      <c r="JL38" s="422" t="s">
        <v>364</v>
      </c>
      <c r="JM38" s="422" t="s">
        <v>364</v>
      </c>
      <c r="JN38" s="422" t="s">
        <v>364</v>
      </c>
      <c r="JO38" s="422" t="s">
        <v>364</v>
      </c>
      <c r="JP38" s="422" t="s">
        <v>364</v>
      </c>
      <c r="JQ38" s="422" t="s">
        <v>364</v>
      </c>
      <c r="JR38" s="422" t="s">
        <v>364</v>
      </c>
      <c r="JS38" s="422" t="s">
        <v>364</v>
      </c>
      <c r="JT38" s="422" t="s">
        <v>364</v>
      </c>
      <c r="JU38" s="422" t="s">
        <v>364</v>
      </c>
      <c r="JV38" s="422" t="s">
        <v>364</v>
      </c>
      <c r="JW38" s="422">
        <f t="shared" si="11"/>
        <v>0</v>
      </c>
      <c r="JX38" s="422" t="s">
        <v>364</v>
      </c>
      <c r="JY38" s="422" t="s">
        <v>364</v>
      </c>
      <c r="JZ38" s="422" t="s">
        <v>364</v>
      </c>
      <c r="KA38" s="422" t="s">
        <v>364</v>
      </c>
      <c r="KB38" s="422" t="s">
        <v>364</v>
      </c>
      <c r="KC38" s="422" t="s">
        <v>364</v>
      </c>
      <c r="KD38" s="422" t="s">
        <v>364</v>
      </c>
      <c r="KE38" s="422" t="s">
        <v>364</v>
      </c>
      <c r="KF38" s="422" t="s">
        <v>364</v>
      </c>
      <c r="KG38" s="422" t="s">
        <v>364</v>
      </c>
      <c r="KH38" s="422" t="s">
        <v>364</v>
      </c>
      <c r="KI38" s="422" t="s">
        <v>364</v>
      </c>
      <c r="KJ38" s="422" t="s">
        <v>364</v>
      </c>
      <c r="KK38" s="422" t="s">
        <v>364</v>
      </c>
      <c r="KL38" s="422" t="s">
        <v>364</v>
      </c>
      <c r="KM38" s="422" t="s">
        <v>364</v>
      </c>
      <c r="KN38" s="422" t="s">
        <v>364</v>
      </c>
      <c r="KO38" s="422" t="s">
        <v>364</v>
      </c>
      <c r="KP38" s="422" t="s">
        <v>364</v>
      </c>
      <c r="KQ38" s="422" t="s">
        <v>364</v>
      </c>
      <c r="KR38" s="422" t="s">
        <v>364</v>
      </c>
      <c r="KS38" s="422" t="s">
        <v>364</v>
      </c>
      <c r="KT38" s="422" t="s">
        <v>364</v>
      </c>
      <c r="KU38" s="422" t="s">
        <v>364</v>
      </c>
      <c r="KV38" s="422" t="s">
        <v>364</v>
      </c>
      <c r="KW38" s="422" t="s">
        <v>364</v>
      </c>
      <c r="KX38" s="422" t="s">
        <v>364</v>
      </c>
      <c r="KY38" s="422" t="s">
        <v>364</v>
      </c>
      <c r="KZ38" s="422" t="s">
        <v>364</v>
      </c>
      <c r="LA38" s="422" t="s">
        <v>364</v>
      </c>
      <c r="LB38" s="422" t="s">
        <v>364</v>
      </c>
      <c r="LC38" s="422" t="s">
        <v>364</v>
      </c>
      <c r="LD38" s="422" t="s">
        <v>364</v>
      </c>
      <c r="LE38" s="422" t="s">
        <v>364</v>
      </c>
      <c r="LF38" s="422" t="s">
        <v>364</v>
      </c>
      <c r="LG38" s="422" t="s">
        <v>364</v>
      </c>
      <c r="LH38" s="422" t="s">
        <v>364</v>
      </c>
      <c r="LI38" s="422" t="s">
        <v>364</v>
      </c>
      <c r="LJ38" s="422" t="s">
        <v>364</v>
      </c>
      <c r="LK38" s="422" t="s">
        <v>364</v>
      </c>
      <c r="LL38" s="422" t="s">
        <v>364</v>
      </c>
      <c r="LM38" s="424" t="s">
        <v>364</v>
      </c>
      <c r="LN38" s="424">
        <v>0</v>
      </c>
      <c r="LO38" s="424" t="s">
        <v>364</v>
      </c>
      <c r="LP38" s="424" t="s">
        <v>364</v>
      </c>
      <c r="LQ38" s="424" t="s">
        <v>364</v>
      </c>
      <c r="LR38" s="424" t="s">
        <v>364</v>
      </c>
      <c r="LS38" s="424" t="s">
        <v>364</v>
      </c>
      <c r="LT38" s="424" t="s">
        <v>364</v>
      </c>
      <c r="LU38" s="424" t="s">
        <v>364</v>
      </c>
      <c r="LV38" s="424" t="s">
        <v>364</v>
      </c>
      <c r="LW38" s="424" t="s">
        <v>364</v>
      </c>
      <c r="LX38" s="424">
        <f t="shared" si="12"/>
        <v>0</v>
      </c>
      <c r="LY38" s="424" t="s">
        <v>364</v>
      </c>
      <c r="LZ38" s="424" t="s">
        <v>364</v>
      </c>
      <c r="MA38" s="424" t="s">
        <v>364</v>
      </c>
      <c r="MB38" s="424" t="s">
        <v>364</v>
      </c>
      <c r="MC38" s="424" t="s">
        <v>364</v>
      </c>
      <c r="MD38" s="424" t="s">
        <v>364</v>
      </c>
      <c r="ME38" s="424">
        <f t="shared" si="1"/>
        <v>0</v>
      </c>
      <c r="MF38" s="424" t="s">
        <v>364</v>
      </c>
      <c r="MG38" s="424" t="s">
        <v>364</v>
      </c>
      <c r="MH38" s="424" t="s">
        <v>364</v>
      </c>
      <c r="MI38" s="424" t="s">
        <v>364</v>
      </c>
      <c r="MJ38" s="424" t="s">
        <v>364</v>
      </c>
      <c r="MK38" s="424" t="s">
        <v>364</v>
      </c>
      <c r="ML38" s="424" t="s">
        <v>364</v>
      </c>
      <c r="MM38" s="424" t="s">
        <v>364</v>
      </c>
      <c r="MN38" s="424" t="s">
        <v>364</v>
      </c>
      <c r="MO38" s="424" t="s">
        <v>364</v>
      </c>
      <c r="MP38" s="424" t="s">
        <v>364</v>
      </c>
      <c r="MQ38" s="424" t="s">
        <v>364</v>
      </c>
      <c r="MR38" s="424" t="s">
        <v>364</v>
      </c>
      <c r="MS38" s="424" t="s">
        <v>364</v>
      </c>
      <c r="MT38" s="424" t="s">
        <v>364</v>
      </c>
      <c r="MU38" s="424" t="s">
        <v>364</v>
      </c>
      <c r="MV38" s="424" t="s">
        <v>364</v>
      </c>
      <c r="MW38" s="424" t="s">
        <v>364</v>
      </c>
      <c r="MX38" s="424">
        <f t="shared" si="13"/>
        <v>0</v>
      </c>
      <c r="MY38" s="424" t="s">
        <v>364</v>
      </c>
      <c r="MZ38" s="424" t="s">
        <v>364</v>
      </c>
      <c r="NA38" s="424" t="s">
        <v>364</v>
      </c>
      <c r="NB38" s="424" t="s">
        <v>364</v>
      </c>
      <c r="NC38" s="424" t="s">
        <v>364</v>
      </c>
      <c r="ND38" s="424" t="s">
        <v>364</v>
      </c>
      <c r="NE38" s="424" t="s">
        <v>364</v>
      </c>
      <c r="NF38" s="424" t="s">
        <v>6598</v>
      </c>
      <c r="NG38" s="424" t="s">
        <v>364</v>
      </c>
      <c r="NH38" s="424" t="s">
        <v>364</v>
      </c>
      <c r="NI38" s="424" t="s">
        <v>364</v>
      </c>
      <c r="NJ38" s="424" t="s">
        <v>364</v>
      </c>
      <c r="NK38" s="424">
        <f t="shared" si="2"/>
        <v>0</v>
      </c>
      <c r="NL38" s="424">
        <f t="shared" si="14"/>
        <v>0</v>
      </c>
      <c r="NM38" s="424" t="s">
        <v>364</v>
      </c>
      <c r="NN38" s="424" t="s">
        <v>364</v>
      </c>
      <c r="NO38" s="424" t="s">
        <v>364</v>
      </c>
      <c r="NP38" s="424" t="s">
        <v>364</v>
      </c>
      <c r="NQ38" s="424" t="s">
        <v>364</v>
      </c>
      <c r="NR38" s="424" t="s">
        <v>364</v>
      </c>
      <c r="NS38" s="424" t="s">
        <v>364</v>
      </c>
      <c r="NT38" s="424" t="s">
        <v>364</v>
      </c>
      <c r="NU38" s="424" t="s">
        <v>364</v>
      </c>
      <c r="NV38" s="424" t="s">
        <v>364</v>
      </c>
      <c r="NW38" s="424" t="s">
        <v>364</v>
      </c>
      <c r="NX38" s="424" t="s">
        <v>364</v>
      </c>
      <c r="NY38" s="424" t="s">
        <v>364</v>
      </c>
      <c r="NZ38" s="424">
        <f t="shared" si="15"/>
        <v>0</v>
      </c>
      <c r="OA38" s="424" t="s">
        <v>364</v>
      </c>
      <c r="OB38" s="424" t="s">
        <v>364</v>
      </c>
      <c r="OC38" s="424" t="s">
        <v>364</v>
      </c>
      <c r="OD38" s="424" t="s">
        <v>364</v>
      </c>
      <c r="OE38" s="424" t="s">
        <v>364</v>
      </c>
      <c r="OF38" s="424" t="s">
        <v>364</v>
      </c>
      <c r="OG38" s="424" t="s">
        <v>364</v>
      </c>
      <c r="OH38" s="424">
        <f t="shared" si="16"/>
        <v>0</v>
      </c>
      <c r="OI38" s="424">
        <f t="shared" si="17"/>
        <v>0</v>
      </c>
      <c r="OJ38" s="422" t="s">
        <v>364</v>
      </c>
      <c r="OK38" s="422" t="s">
        <v>364</v>
      </c>
      <c r="OL38" s="422" t="s">
        <v>364</v>
      </c>
      <c r="OM38" s="422" t="s">
        <v>364</v>
      </c>
      <c r="ON38" s="422" t="s">
        <v>364</v>
      </c>
      <c r="OO38" s="422" t="s">
        <v>364</v>
      </c>
      <c r="OP38" s="422" t="s">
        <v>364</v>
      </c>
      <c r="OQ38" s="422" t="s">
        <v>364</v>
      </c>
      <c r="OR38" s="422" t="s">
        <v>364</v>
      </c>
      <c r="OS38" s="422" t="s">
        <v>364</v>
      </c>
      <c r="OT38" s="422" t="s">
        <v>364</v>
      </c>
      <c r="OU38" s="422" t="s">
        <v>364</v>
      </c>
      <c r="OV38" s="422" t="s">
        <v>364</v>
      </c>
      <c r="OW38" s="422" t="s">
        <v>364</v>
      </c>
      <c r="OX38" s="422" t="s">
        <v>364</v>
      </c>
      <c r="OY38" s="422" t="s">
        <v>364</v>
      </c>
      <c r="OZ38" s="422" t="s">
        <v>364</v>
      </c>
      <c r="PA38" s="422" t="s">
        <v>364</v>
      </c>
      <c r="PB38" s="424">
        <f t="shared" si="18"/>
        <v>0</v>
      </c>
      <c r="PC38" s="422" t="s">
        <v>364</v>
      </c>
      <c r="PD38" s="422" t="s">
        <v>364</v>
      </c>
      <c r="PE38" s="422" t="s">
        <v>364</v>
      </c>
      <c r="PF38" s="422" t="s">
        <v>364</v>
      </c>
      <c r="PG38" s="422" t="s">
        <v>364</v>
      </c>
      <c r="PH38" s="422" t="s">
        <v>364</v>
      </c>
      <c r="PI38" s="422" t="s">
        <v>364</v>
      </c>
      <c r="PJ38" s="422" t="s">
        <v>364</v>
      </c>
    </row>
    <row r="39" spans="2:426" ht="15.6">
      <c r="B39" s="426" t="s">
        <v>2488</v>
      </c>
      <c r="C39" s="422">
        <f t="shared" si="3"/>
        <v>0</v>
      </c>
      <c r="D39" s="422" t="s">
        <v>364</v>
      </c>
      <c r="E39" s="422" t="s">
        <v>364</v>
      </c>
      <c r="F39" s="422" t="s">
        <v>364</v>
      </c>
      <c r="G39" s="422" t="s">
        <v>364</v>
      </c>
      <c r="H39" s="422" t="s">
        <v>364</v>
      </c>
      <c r="I39" s="422" t="s">
        <v>364</v>
      </c>
      <c r="J39" s="422" t="s">
        <v>364</v>
      </c>
      <c r="K39" s="422" t="s">
        <v>364</v>
      </c>
      <c r="L39" s="422" t="s">
        <v>364</v>
      </c>
      <c r="M39" s="422" t="s">
        <v>364</v>
      </c>
      <c r="N39" s="422" t="s">
        <v>364</v>
      </c>
      <c r="O39" s="422" t="s">
        <v>364</v>
      </c>
      <c r="P39" s="422" t="s">
        <v>364</v>
      </c>
      <c r="Q39" s="422" t="s">
        <v>364</v>
      </c>
      <c r="R39" s="422" t="s">
        <v>364</v>
      </c>
      <c r="S39" s="422" t="s">
        <v>364</v>
      </c>
      <c r="T39" s="422" t="s">
        <v>364</v>
      </c>
      <c r="U39" s="422" t="s">
        <v>364</v>
      </c>
      <c r="V39" s="422" t="s">
        <v>364</v>
      </c>
      <c r="W39" s="422" t="s">
        <v>364</v>
      </c>
      <c r="X39" s="422" t="s">
        <v>364</v>
      </c>
      <c r="Y39" s="422" t="s">
        <v>364</v>
      </c>
      <c r="Z39" s="422" t="s">
        <v>364</v>
      </c>
      <c r="AA39" s="422" t="s">
        <v>364</v>
      </c>
      <c r="AB39" s="422" t="s">
        <v>364</v>
      </c>
      <c r="AC39" s="422" t="s">
        <v>364</v>
      </c>
      <c r="AD39" s="422" t="s">
        <v>364</v>
      </c>
      <c r="AE39" s="422" t="s">
        <v>364</v>
      </c>
      <c r="AF39" s="422" t="s">
        <v>364</v>
      </c>
      <c r="AG39" s="422" t="s">
        <v>364</v>
      </c>
      <c r="AH39" s="422" t="s">
        <v>364</v>
      </c>
      <c r="AI39" s="422" t="s">
        <v>364</v>
      </c>
      <c r="AJ39" s="422" t="s">
        <v>364</v>
      </c>
      <c r="AK39" s="422" t="s">
        <v>364</v>
      </c>
      <c r="AL39" s="422" t="s">
        <v>364</v>
      </c>
      <c r="AM39" s="422" t="s">
        <v>364</v>
      </c>
      <c r="AN39" s="422" t="s">
        <v>364</v>
      </c>
      <c r="AO39" s="422" t="s">
        <v>364</v>
      </c>
      <c r="AP39" s="422" t="s">
        <v>364</v>
      </c>
      <c r="AQ39" s="422">
        <f t="shared" si="0"/>
        <v>306</v>
      </c>
      <c r="AR39" s="422" t="s">
        <v>364</v>
      </c>
      <c r="AS39" s="422" t="s">
        <v>364</v>
      </c>
      <c r="AT39" s="422" t="s">
        <v>364</v>
      </c>
      <c r="AU39" s="422" t="s">
        <v>364</v>
      </c>
      <c r="AV39" s="422" t="s">
        <v>364</v>
      </c>
      <c r="AW39" s="422" t="s">
        <v>364</v>
      </c>
      <c r="AX39" s="422" t="s">
        <v>364</v>
      </c>
      <c r="AY39" s="422" t="s">
        <v>364</v>
      </c>
      <c r="AZ39" s="422" t="s">
        <v>364</v>
      </c>
      <c r="BA39" s="422" t="s">
        <v>364</v>
      </c>
      <c r="BB39" s="422" t="s">
        <v>364</v>
      </c>
      <c r="BC39" s="422" t="s">
        <v>364</v>
      </c>
      <c r="BD39" s="422" t="s">
        <v>364</v>
      </c>
      <c r="BE39" s="422" t="s">
        <v>364</v>
      </c>
      <c r="BF39" s="422" t="s">
        <v>364</v>
      </c>
      <c r="BG39" s="422" t="s">
        <v>364</v>
      </c>
      <c r="BH39" s="422" t="s">
        <v>364</v>
      </c>
      <c r="BI39" s="422" t="s">
        <v>364</v>
      </c>
      <c r="BJ39" s="422" t="s">
        <v>364</v>
      </c>
      <c r="BK39" s="422" t="s">
        <v>364</v>
      </c>
      <c r="BL39" s="422" t="s">
        <v>364</v>
      </c>
      <c r="BM39" s="422" t="s">
        <v>364</v>
      </c>
      <c r="BN39" s="422" t="s">
        <v>364</v>
      </c>
      <c r="BO39" s="422">
        <v>234</v>
      </c>
      <c r="BP39" s="422" t="s">
        <v>364</v>
      </c>
      <c r="BQ39" s="422" t="s">
        <v>364</v>
      </c>
      <c r="BR39" s="422" t="s">
        <v>364</v>
      </c>
      <c r="BS39" s="422" t="s">
        <v>364</v>
      </c>
      <c r="BT39" s="422" t="s">
        <v>364</v>
      </c>
      <c r="BU39" s="422" t="s">
        <v>364</v>
      </c>
      <c r="BV39" s="422" t="s">
        <v>364</v>
      </c>
      <c r="BW39" s="422" t="s">
        <v>364</v>
      </c>
      <c r="BX39" s="422" t="s">
        <v>364</v>
      </c>
      <c r="BY39" s="422" t="s">
        <v>364</v>
      </c>
      <c r="BZ39" s="422">
        <v>22</v>
      </c>
      <c r="CA39" s="422" t="s">
        <v>364</v>
      </c>
      <c r="CB39" s="422" t="s">
        <v>364</v>
      </c>
      <c r="CC39" s="422">
        <v>50</v>
      </c>
      <c r="CD39" s="422" t="s">
        <v>364</v>
      </c>
      <c r="CE39" s="422" t="s">
        <v>364</v>
      </c>
      <c r="CF39" s="422" t="s">
        <v>364</v>
      </c>
      <c r="CG39" s="422" t="s">
        <v>364</v>
      </c>
      <c r="CH39" s="422" t="s">
        <v>364</v>
      </c>
      <c r="CI39" s="422" t="s">
        <v>364</v>
      </c>
      <c r="CJ39" s="422" t="s">
        <v>364</v>
      </c>
      <c r="CK39" s="422" t="s">
        <v>364</v>
      </c>
      <c r="CL39" s="422" t="s">
        <v>364</v>
      </c>
      <c r="CM39" s="422" t="s">
        <v>364</v>
      </c>
      <c r="CN39" s="422" t="s">
        <v>364</v>
      </c>
      <c r="CO39" s="422" t="s">
        <v>364</v>
      </c>
      <c r="CP39" s="422" t="s">
        <v>364</v>
      </c>
      <c r="CQ39" s="422" t="s">
        <v>364</v>
      </c>
      <c r="CR39" s="422" t="s">
        <v>364</v>
      </c>
      <c r="CS39" s="422" t="s">
        <v>364</v>
      </c>
      <c r="CT39" s="422" t="s">
        <v>364</v>
      </c>
      <c r="CU39" s="422" t="s">
        <v>364</v>
      </c>
      <c r="CV39" s="422" t="s">
        <v>364</v>
      </c>
      <c r="CW39" s="422" t="s">
        <v>364</v>
      </c>
      <c r="CX39" s="422" t="s">
        <v>364</v>
      </c>
      <c r="CY39" s="422" t="s">
        <v>364</v>
      </c>
      <c r="CZ39" s="422" t="s">
        <v>364</v>
      </c>
      <c r="DA39" s="422" t="s">
        <v>364</v>
      </c>
      <c r="DB39" s="422" t="s">
        <v>364</v>
      </c>
      <c r="DC39" s="422" t="s">
        <v>364</v>
      </c>
      <c r="DD39" s="422" t="s">
        <v>364</v>
      </c>
      <c r="DE39" s="422" t="s">
        <v>364</v>
      </c>
      <c r="DF39" s="422" t="s">
        <v>364</v>
      </c>
      <c r="DG39" s="422" t="s">
        <v>364</v>
      </c>
      <c r="DH39" s="422" t="s">
        <v>364</v>
      </c>
      <c r="DI39" s="422" t="s">
        <v>364</v>
      </c>
      <c r="DJ39" s="422" t="s">
        <v>364</v>
      </c>
      <c r="DK39" s="422">
        <f t="shared" si="4"/>
        <v>0</v>
      </c>
      <c r="DL39" s="422" t="s">
        <v>364</v>
      </c>
      <c r="DM39" s="422" t="s">
        <v>364</v>
      </c>
      <c r="DN39" s="422" t="s">
        <v>364</v>
      </c>
      <c r="DO39" s="422" t="s">
        <v>364</v>
      </c>
      <c r="DP39" s="422" t="s">
        <v>364</v>
      </c>
      <c r="DQ39" s="422" t="s">
        <v>364</v>
      </c>
      <c r="DR39" s="422" t="s">
        <v>364</v>
      </c>
      <c r="DS39" s="422" t="s">
        <v>364</v>
      </c>
      <c r="DT39" s="422" t="s">
        <v>364</v>
      </c>
      <c r="DU39" s="422" t="s">
        <v>364</v>
      </c>
      <c r="DV39" s="422" t="s">
        <v>364</v>
      </c>
      <c r="DW39" s="422" t="s">
        <v>364</v>
      </c>
      <c r="DX39" s="422" t="s">
        <v>364</v>
      </c>
      <c r="DY39" s="422">
        <f t="shared" si="5"/>
        <v>0</v>
      </c>
      <c r="DZ39" s="422" t="s">
        <v>364</v>
      </c>
      <c r="EA39" s="422" t="s">
        <v>364</v>
      </c>
      <c r="EB39" s="422" t="s">
        <v>364</v>
      </c>
      <c r="EC39" s="422" t="s">
        <v>364</v>
      </c>
      <c r="ED39" s="422" t="s">
        <v>364</v>
      </c>
      <c r="EE39" s="422" t="s">
        <v>364</v>
      </c>
      <c r="EF39" s="422" t="s">
        <v>364</v>
      </c>
      <c r="EG39" s="422" t="s">
        <v>364</v>
      </c>
      <c r="EH39" s="422" t="s">
        <v>364</v>
      </c>
      <c r="EI39" s="422" t="s">
        <v>364</v>
      </c>
      <c r="EJ39" s="422" t="s">
        <v>364</v>
      </c>
      <c r="EK39" s="422" t="s">
        <v>364</v>
      </c>
      <c r="EL39" s="422" t="s">
        <v>364</v>
      </c>
      <c r="EM39" s="422" t="s">
        <v>364</v>
      </c>
      <c r="EN39" s="422" t="s">
        <v>364</v>
      </c>
      <c r="EO39" s="422" t="s">
        <v>364</v>
      </c>
      <c r="EP39" s="422" t="s">
        <v>364</v>
      </c>
      <c r="EQ39" s="422" t="s">
        <v>364</v>
      </c>
      <c r="ER39" s="422" t="s">
        <v>364</v>
      </c>
      <c r="ES39" s="422" t="s">
        <v>364</v>
      </c>
      <c r="ET39" s="422" t="s">
        <v>364</v>
      </c>
      <c r="EU39" s="422" t="s">
        <v>364</v>
      </c>
      <c r="EV39" s="422" t="s">
        <v>364</v>
      </c>
      <c r="EW39" s="422" t="s">
        <v>364</v>
      </c>
      <c r="EX39" s="422" t="s">
        <v>364</v>
      </c>
      <c r="EY39" s="422" t="s">
        <v>364</v>
      </c>
      <c r="EZ39" s="422" t="s">
        <v>364</v>
      </c>
      <c r="FA39" s="422">
        <f t="shared" si="6"/>
        <v>30</v>
      </c>
      <c r="FB39" s="422" t="s">
        <v>364</v>
      </c>
      <c r="FC39" s="422" t="s">
        <v>364</v>
      </c>
      <c r="FD39" s="422" t="s">
        <v>364</v>
      </c>
      <c r="FE39" s="422" t="s">
        <v>364</v>
      </c>
      <c r="FF39" s="422" t="s">
        <v>364</v>
      </c>
      <c r="FG39" s="422" t="s">
        <v>364</v>
      </c>
      <c r="FH39" s="422" t="s">
        <v>364</v>
      </c>
      <c r="FI39" s="422" t="s">
        <v>364</v>
      </c>
      <c r="FJ39" s="422" t="s">
        <v>364</v>
      </c>
      <c r="FK39" s="422" t="s">
        <v>364</v>
      </c>
      <c r="FL39" s="422" t="s">
        <v>364</v>
      </c>
      <c r="FM39" s="422" t="s">
        <v>364</v>
      </c>
      <c r="FN39" s="422" t="s">
        <v>364</v>
      </c>
      <c r="FO39" s="422" t="s">
        <v>364</v>
      </c>
      <c r="FP39" s="422" t="s">
        <v>364</v>
      </c>
      <c r="FQ39" s="422" t="s">
        <v>364</v>
      </c>
      <c r="FR39" s="422" t="s">
        <v>364</v>
      </c>
      <c r="FS39" s="422" t="s">
        <v>364</v>
      </c>
      <c r="FT39" s="422" t="s">
        <v>364</v>
      </c>
      <c r="FU39" s="422" t="s">
        <v>364</v>
      </c>
      <c r="FV39" s="422" t="s">
        <v>364</v>
      </c>
      <c r="FW39" s="422" t="s">
        <v>364</v>
      </c>
      <c r="FX39" s="422" t="s">
        <v>364</v>
      </c>
      <c r="FY39" s="422" t="s">
        <v>364</v>
      </c>
      <c r="FZ39" s="422" t="s">
        <v>364</v>
      </c>
      <c r="GA39" s="422" t="s">
        <v>364</v>
      </c>
      <c r="GB39" s="422" t="s">
        <v>364</v>
      </c>
      <c r="GC39" s="422" t="s">
        <v>364</v>
      </c>
      <c r="GD39" s="422" t="s">
        <v>364</v>
      </c>
      <c r="GE39" s="422" t="s">
        <v>364</v>
      </c>
      <c r="GF39" s="422" t="s">
        <v>364</v>
      </c>
      <c r="GG39" s="422" t="s">
        <v>364</v>
      </c>
      <c r="GH39" s="422" t="s">
        <v>364</v>
      </c>
      <c r="GI39" s="422" t="s">
        <v>364</v>
      </c>
      <c r="GJ39" s="422" t="s">
        <v>364</v>
      </c>
      <c r="GK39" s="422" t="s">
        <v>364</v>
      </c>
      <c r="GL39" s="422" t="s">
        <v>364</v>
      </c>
      <c r="GM39" s="422">
        <v>30</v>
      </c>
      <c r="GN39" s="422" t="s">
        <v>364</v>
      </c>
      <c r="GO39" s="422" t="s">
        <v>364</v>
      </c>
      <c r="GP39" s="422" t="s">
        <v>364</v>
      </c>
      <c r="GQ39" s="422" t="s">
        <v>364</v>
      </c>
      <c r="GR39" s="422" t="s">
        <v>364</v>
      </c>
      <c r="GS39" s="422" t="s">
        <v>364</v>
      </c>
      <c r="GT39" s="422" t="s">
        <v>364</v>
      </c>
      <c r="GU39" s="422" t="s">
        <v>364</v>
      </c>
      <c r="GV39" s="422">
        <f t="shared" si="7"/>
        <v>16</v>
      </c>
      <c r="GW39" s="422" t="s">
        <v>364</v>
      </c>
      <c r="GX39" s="422" t="s">
        <v>364</v>
      </c>
      <c r="GY39" s="422" t="s">
        <v>364</v>
      </c>
      <c r="GZ39" s="422">
        <v>16</v>
      </c>
      <c r="HA39" s="422" t="s">
        <v>364</v>
      </c>
      <c r="HB39" s="422" t="s">
        <v>364</v>
      </c>
      <c r="HC39" s="422" t="s">
        <v>364</v>
      </c>
      <c r="HD39" s="422" t="s">
        <v>364</v>
      </c>
      <c r="HE39" s="422" t="s">
        <v>364</v>
      </c>
      <c r="HF39" s="422" t="s">
        <v>364</v>
      </c>
      <c r="HG39" s="422" t="s">
        <v>364</v>
      </c>
      <c r="HH39" s="422" t="s">
        <v>364</v>
      </c>
      <c r="HI39" s="422" t="s">
        <v>364</v>
      </c>
      <c r="HJ39" s="422" t="s">
        <v>364</v>
      </c>
      <c r="HK39" s="422" t="s">
        <v>364</v>
      </c>
      <c r="HL39" s="422" t="s">
        <v>364</v>
      </c>
      <c r="HM39" s="422" t="s">
        <v>364</v>
      </c>
      <c r="HN39" s="422" t="s">
        <v>364</v>
      </c>
      <c r="HO39" s="422" t="s">
        <v>364</v>
      </c>
      <c r="HP39" s="422" t="s">
        <v>364</v>
      </c>
      <c r="HQ39" s="422" t="s">
        <v>364</v>
      </c>
      <c r="HR39" s="422" t="s">
        <v>364</v>
      </c>
      <c r="HS39" s="422" t="s">
        <v>364</v>
      </c>
      <c r="HT39" s="422" t="s">
        <v>364</v>
      </c>
      <c r="HU39" s="422" t="s">
        <v>364</v>
      </c>
      <c r="HV39" s="422" t="s">
        <v>364</v>
      </c>
      <c r="HW39" s="422" t="s">
        <v>364</v>
      </c>
      <c r="HX39" s="422" t="s">
        <v>364</v>
      </c>
      <c r="HY39" s="422">
        <f t="shared" si="8"/>
        <v>0</v>
      </c>
      <c r="HZ39" s="422" t="s">
        <v>364</v>
      </c>
      <c r="IA39" s="422" t="s">
        <v>364</v>
      </c>
      <c r="IB39" s="422" t="s">
        <v>364</v>
      </c>
      <c r="IC39" s="422" t="s">
        <v>364</v>
      </c>
      <c r="ID39" s="422" t="s">
        <v>364</v>
      </c>
      <c r="IE39" s="422" t="s">
        <v>364</v>
      </c>
      <c r="IF39" s="422">
        <f t="shared" si="9"/>
        <v>0</v>
      </c>
      <c r="IG39" s="422" t="s">
        <v>364</v>
      </c>
      <c r="IH39" s="422" t="s">
        <v>364</v>
      </c>
      <c r="II39" s="422" t="s">
        <v>364</v>
      </c>
      <c r="IJ39" s="422" t="s">
        <v>364</v>
      </c>
      <c r="IK39" s="422" t="s">
        <v>364</v>
      </c>
      <c r="IL39" s="422" t="s">
        <v>364</v>
      </c>
      <c r="IM39" s="422" t="s">
        <v>364</v>
      </c>
      <c r="IN39" s="422" t="s">
        <v>364</v>
      </c>
      <c r="IO39" s="422" t="s">
        <v>364</v>
      </c>
      <c r="IP39" s="422" t="s">
        <v>364</v>
      </c>
      <c r="IQ39" s="422" t="s">
        <v>364</v>
      </c>
      <c r="IR39" s="422" t="s">
        <v>364</v>
      </c>
      <c r="IS39" s="422" t="s">
        <v>364</v>
      </c>
      <c r="IT39" s="422" t="s">
        <v>364</v>
      </c>
      <c r="IU39" s="422" t="s">
        <v>364</v>
      </c>
      <c r="IV39" s="422" t="s">
        <v>364</v>
      </c>
      <c r="IW39" s="422" t="s">
        <v>364</v>
      </c>
      <c r="IX39" s="422" t="s">
        <v>364</v>
      </c>
      <c r="IY39" s="422" t="s">
        <v>364</v>
      </c>
      <c r="IZ39" s="422">
        <f t="shared" si="10"/>
        <v>0</v>
      </c>
      <c r="JA39" s="422" t="s">
        <v>364</v>
      </c>
      <c r="JB39" s="422" t="s">
        <v>364</v>
      </c>
      <c r="JC39" s="422" t="s">
        <v>364</v>
      </c>
      <c r="JD39" s="422" t="s">
        <v>364</v>
      </c>
      <c r="JE39" s="422" t="s">
        <v>364</v>
      </c>
      <c r="JF39" s="422" t="s">
        <v>364</v>
      </c>
      <c r="JG39" s="422" t="s">
        <v>364</v>
      </c>
      <c r="JH39" s="422" t="s">
        <v>364</v>
      </c>
      <c r="JI39" s="422" t="s">
        <v>364</v>
      </c>
      <c r="JJ39" s="422" t="s">
        <v>364</v>
      </c>
      <c r="JK39" s="422" t="s">
        <v>364</v>
      </c>
      <c r="JL39" s="422" t="s">
        <v>364</v>
      </c>
      <c r="JM39" s="422" t="s">
        <v>364</v>
      </c>
      <c r="JN39" s="422" t="s">
        <v>364</v>
      </c>
      <c r="JO39" s="422" t="s">
        <v>364</v>
      </c>
      <c r="JP39" s="422" t="s">
        <v>364</v>
      </c>
      <c r="JQ39" s="422" t="s">
        <v>364</v>
      </c>
      <c r="JR39" s="422" t="s">
        <v>364</v>
      </c>
      <c r="JS39" s="422" t="s">
        <v>364</v>
      </c>
      <c r="JT39" s="422" t="s">
        <v>364</v>
      </c>
      <c r="JU39" s="422" t="s">
        <v>364</v>
      </c>
      <c r="JV39" s="422" t="s">
        <v>364</v>
      </c>
      <c r="JW39" s="422">
        <f t="shared" si="11"/>
        <v>0</v>
      </c>
      <c r="JX39" s="422" t="s">
        <v>364</v>
      </c>
      <c r="JY39" s="422" t="s">
        <v>364</v>
      </c>
      <c r="JZ39" s="422" t="s">
        <v>364</v>
      </c>
      <c r="KA39" s="422" t="s">
        <v>364</v>
      </c>
      <c r="KB39" s="422" t="s">
        <v>364</v>
      </c>
      <c r="KC39" s="422" t="s">
        <v>364</v>
      </c>
      <c r="KD39" s="422" t="s">
        <v>364</v>
      </c>
      <c r="KE39" s="422" t="s">
        <v>364</v>
      </c>
      <c r="KF39" s="422" t="s">
        <v>364</v>
      </c>
      <c r="KG39" s="422" t="s">
        <v>364</v>
      </c>
      <c r="KH39" s="422" t="s">
        <v>364</v>
      </c>
      <c r="KI39" s="422" t="s">
        <v>364</v>
      </c>
      <c r="KJ39" s="422" t="s">
        <v>364</v>
      </c>
      <c r="KK39" s="422" t="s">
        <v>364</v>
      </c>
      <c r="KL39" s="422" t="s">
        <v>364</v>
      </c>
      <c r="KM39" s="422" t="s">
        <v>364</v>
      </c>
      <c r="KN39" s="422" t="s">
        <v>364</v>
      </c>
      <c r="KO39" s="422" t="s">
        <v>364</v>
      </c>
      <c r="KP39" s="422" t="s">
        <v>364</v>
      </c>
      <c r="KQ39" s="422" t="s">
        <v>364</v>
      </c>
      <c r="KR39" s="422" t="s">
        <v>364</v>
      </c>
      <c r="KS39" s="422" t="s">
        <v>364</v>
      </c>
      <c r="KT39" s="422" t="s">
        <v>364</v>
      </c>
      <c r="KU39" s="422" t="s">
        <v>364</v>
      </c>
      <c r="KV39" s="422" t="s">
        <v>364</v>
      </c>
      <c r="KW39" s="422" t="s">
        <v>364</v>
      </c>
      <c r="KX39" s="422" t="s">
        <v>364</v>
      </c>
      <c r="KY39" s="422" t="s">
        <v>364</v>
      </c>
      <c r="KZ39" s="422" t="s">
        <v>364</v>
      </c>
      <c r="LA39" s="422" t="s">
        <v>364</v>
      </c>
      <c r="LB39" s="422" t="s">
        <v>364</v>
      </c>
      <c r="LC39" s="422" t="s">
        <v>364</v>
      </c>
      <c r="LD39" s="422" t="s">
        <v>364</v>
      </c>
      <c r="LE39" s="422" t="s">
        <v>364</v>
      </c>
      <c r="LF39" s="422" t="s">
        <v>364</v>
      </c>
      <c r="LG39" s="422" t="s">
        <v>364</v>
      </c>
      <c r="LH39" s="422" t="s">
        <v>364</v>
      </c>
      <c r="LI39" s="422" t="s">
        <v>364</v>
      </c>
      <c r="LJ39" s="422" t="s">
        <v>364</v>
      </c>
      <c r="LK39" s="422" t="s">
        <v>364</v>
      </c>
      <c r="LL39" s="422" t="s">
        <v>364</v>
      </c>
      <c r="LM39" s="424" t="s">
        <v>364</v>
      </c>
      <c r="LN39" s="424">
        <v>0</v>
      </c>
      <c r="LO39" s="424" t="s">
        <v>364</v>
      </c>
      <c r="LP39" s="424" t="s">
        <v>364</v>
      </c>
      <c r="LQ39" s="424" t="s">
        <v>364</v>
      </c>
      <c r="LR39" s="424" t="s">
        <v>364</v>
      </c>
      <c r="LS39" s="424" t="s">
        <v>364</v>
      </c>
      <c r="LT39" s="424" t="s">
        <v>364</v>
      </c>
      <c r="LU39" s="424" t="s">
        <v>364</v>
      </c>
      <c r="LV39" s="424" t="s">
        <v>364</v>
      </c>
      <c r="LW39" s="424" t="s">
        <v>364</v>
      </c>
      <c r="LX39" s="424">
        <f t="shared" si="12"/>
        <v>0</v>
      </c>
      <c r="LY39" s="424" t="s">
        <v>364</v>
      </c>
      <c r="LZ39" s="424" t="s">
        <v>364</v>
      </c>
      <c r="MA39" s="424" t="s">
        <v>364</v>
      </c>
      <c r="MB39" s="424" t="s">
        <v>364</v>
      </c>
      <c r="MC39" s="424" t="s">
        <v>364</v>
      </c>
      <c r="MD39" s="424" t="s">
        <v>364</v>
      </c>
      <c r="ME39" s="424">
        <f t="shared" si="1"/>
        <v>4</v>
      </c>
      <c r="MF39" s="424" t="s">
        <v>364</v>
      </c>
      <c r="MG39" s="424" t="s">
        <v>364</v>
      </c>
      <c r="MH39" s="424" t="s">
        <v>364</v>
      </c>
      <c r="MI39" s="424" t="s">
        <v>364</v>
      </c>
      <c r="MJ39" s="424" t="s">
        <v>364</v>
      </c>
      <c r="MK39" s="424" t="s">
        <v>364</v>
      </c>
      <c r="ML39" s="424" t="s">
        <v>364</v>
      </c>
      <c r="MM39" s="424">
        <v>4</v>
      </c>
      <c r="MN39" s="424" t="s">
        <v>364</v>
      </c>
      <c r="MO39" s="424" t="s">
        <v>364</v>
      </c>
      <c r="MP39" s="424" t="s">
        <v>364</v>
      </c>
      <c r="MQ39" s="424" t="s">
        <v>364</v>
      </c>
      <c r="MR39" s="424" t="s">
        <v>364</v>
      </c>
      <c r="MS39" s="424" t="s">
        <v>364</v>
      </c>
      <c r="MT39" s="424" t="s">
        <v>364</v>
      </c>
      <c r="MU39" s="424" t="s">
        <v>364</v>
      </c>
      <c r="MV39" s="424" t="s">
        <v>364</v>
      </c>
      <c r="MW39" s="424" t="s">
        <v>364</v>
      </c>
      <c r="MX39" s="424">
        <f t="shared" si="13"/>
        <v>0</v>
      </c>
      <c r="MY39" s="424" t="s">
        <v>364</v>
      </c>
      <c r="MZ39" s="424" t="s">
        <v>364</v>
      </c>
      <c r="NA39" s="424" t="s">
        <v>364</v>
      </c>
      <c r="NB39" s="424" t="s">
        <v>364</v>
      </c>
      <c r="NC39" s="424" t="s">
        <v>364</v>
      </c>
      <c r="ND39" s="424" t="s">
        <v>364</v>
      </c>
      <c r="NE39" s="424" t="s">
        <v>364</v>
      </c>
      <c r="NF39" s="424" t="s">
        <v>6598</v>
      </c>
      <c r="NG39" s="424" t="s">
        <v>6598</v>
      </c>
      <c r="NH39" s="424" t="s">
        <v>6598</v>
      </c>
      <c r="NI39" s="424" t="s">
        <v>364</v>
      </c>
      <c r="NJ39" s="424" t="s">
        <v>364</v>
      </c>
      <c r="NK39" s="424">
        <f t="shared" si="2"/>
        <v>0</v>
      </c>
      <c r="NL39" s="424">
        <f t="shared" si="14"/>
        <v>0</v>
      </c>
      <c r="NM39" s="424" t="s">
        <v>364</v>
      </c>
      <c r="NN39" s="424" t="s">
        <v>364</v>
      </c>
      <c r="NO39" s="424" t="s">
        <v>364</v>
      </c>
      <c r="NP39" s="424" t="s">
        <v>364</v>
      </c>
      <c r="NQ39" s="424" t="s">
        <v>364</v>
      </c>
      <c r="NR39" s="424" t="s">
        <v>364</v>
      </c>
      <c r="NS39" s="424" t="s">
        <v>364</v>
      </c>
      <c r="NT39" s="424" t="s">
        <v>364</v>
      </c>
      <c r="NU39" s="424" t="s">
        <v>364</v>
      </c>
      <c r="NV39" s="424" t="s">
        <v>364</v>
      </c>
      <c r="NW39" s="424" t="s">
        <v>364</v>
      </c>
      <c r="NX39" s="424" t="s">
        <v>364</v>
      </c>
      <c r="NY39" s="424" t="s">
        <v>364</v>
      </c>
      <c r="NZ39" s="424">
        <f t="shared" si="15"/>
        <v>0</v>
      </c>
      <c r="OA39" s="424" t="s">
        <v>364</v>
      </c>
      <c r="OB39" s="424" t="s">
        <v>364</v>
      </c>
      <c r="OC39" s="424" t="s">
        <v>364</v>
      </c>
      <c r="OD39" s="424" t="s">
        <v>364</v>
      </c>
      <c r="OE39" s="424" t="s">
        <v>364</v>
      </c>
      <c r="OF39" s="424" t="s">
        <v>364</v>
      </c>
      <c r="OG39" s="424" t="s">
        <v>364</v>
      </c>
      <c r="OH39" s="424">
        <f t="shared" si="16"/>
        <v>0</v>
      </c>
      <c r="OI39" s="424">
        <f t="shared" si="17"/>
        <v>0</v>
      </c>
      <c r="OJ39" s="422" t="s">
        <v>364</v>
      </c>
      <c r="OK39" s="422" t="s">
        <v>364</v>
      </c>
      <c r="OL39" s="422" t="s">
        <v>364</v>
      </c>
      <c r="OM39" s="422" t="s">
        <v>364</v>
      </c>
      <c r="ON39" s="422" t="s">
        <v>364</v>
      </c>
      <c r="OO39" s="422" t="s">
        <v>364</v>
      </c>
      <c r="OP39" s="422" t="s">
        <v>364</v>
      </c>
      <c r="OQ39" s="422" t="s">
        <v>364</v>
      </c>
      <c r="OR39" s="422" t="s">
        <v>364</v>
      </c>
      <c r="OS39" s="422" t="s">
        <v>364</v>
      </c>
      <c r="OT39" s="422" t="s">
        <v>364</v>
      </c>
      <c r="OU39" s="422" t="s">
        <v>364</v>
      </c>
      <c r="OV39" s="422" t="s">
        <v>364</v>
      </c>
      <c r="OW39" s="422" t="s">
        <v>364</v>
      </c>
      <c r="OX39" s="422" t="s">
        <v>364</v>
      </c>
      <c r="OY39" s="422" t="s">
        <v>364</v>
      </c>
      <c r="OZ39" s="422" t="s">
        <v>364</v>
      </c>
      <c r="PA39" s="422" t="s">
        <v>364</v>
      </c>
      <c r="PB39" s="424">
        <f t="shared" si="18"/>
        <v>0</v>
      </c>
      <c r="PC39" s="422" t="s">
        <v>364</v>
      </c>
      <c r="PD39" s="422" t="s">
        <v>364</v>
      </c>
      <c r="PE39" s="422" t="s">
        <v>364</v>
      </c>
      <c r="PF39" s="422" t="s">
        <v>364</v>
      </c>
      <c r="PG39" s="422" t="s">
        <v>364</v>
      </c>
      <c r="PH39" s="422" t="s">
        <v>364</v>
      </c>
      <c r="PI39" s="422" t="s">
        <v>364</v>
      </c>
      <c r="PJ39" s="422" t="s">
        <v>364</v>
      </c>
    </row>
    <row r="40" spans="2:426" ht="15.6">
      <c r="B40" s="426" t="s">
        <v>918</v>
      </c>
      <c r="C40" s="422">
        <f t="shared" si="3"/>
        <v>75</v>
      </c>
      <c r="D40" s="422" t="s">
        <v>364</v>
      </c>
      <c r="E40" s="422" t="s">
        <v>364</v>
      </c>
      <c r="F40" s="422" t="s">
        <v>364</v>
      </c>
      <c r="G40" s="422" t="s">
        <v>364</v>
      </c>
      <c r="H40" s="422" t="s">
        <v>364</v>
      </c>
      <c r="I40" s="422" t="s">
        <v>364</v>
      </c>
      <c r="J40" s="422" t="s">
        <v>364</v>
      </c>
      <c r="K40" s="422" t="s">
        <v>364</v>
      </c>
      <c r="L40" s="422" t="s">
        <v>364</v>
      </c>
      <c r="M40" s="422" t="s">
        <v>364</v>
      </c>
      <c r="N40" s="422" t="s">
        <v>364</v>
      </c>
      <c r="O40" s="422" t="s">
        <v>364</v>
      </c>
      <c r="P40" s="422" t="s">
        <v>364</v>
      </c>
      <c r="Q40" s="422" t="s">
        <v>364</v>
      </c>
      <c r="R40" s="422" t="s">
        <v>364</v>
      </c>
      <c r="S40" s="422" t="s">
        <v>364</v>
      </c>
      <c r="T40" s="422" t="s">
        <v>364</v>
      </c>
      <c r="U40" s="422" t="s">
        <v>364</v>
      </c>
      <c r="V40" s="422" t="s">
        <v>364</v>
      </c>
      <c r="W40" s="422" t="s">
        <v>364</v>
      </c>
      <c r="X40" s="422" t="s">
        <v>364</v>
      </c>
      <c r="Y40" s="422" t="s">
        <v>364</v>
      </c>
      <c r="Z40" s="422" t="s">
        <v>364</v>
      </c>
      <c r="AA40" s="422" t="s">
        <v>364</v>
      </c>
      <c r="AB40" s="422" t="s">
        <v>364</v>
      </c>
      <c r="AC40" s="422" t="s">
        <v>364</v>
      </c>
      <c r="AD40" s="422">
        <v>75</v>
      </c>
      <c r="AE40" s="422" t="s">
        <v>364</v>
      </c>
      <c r="AF40" s="422" t="s">
        <v>364</v>
      </c>
      <c r="AG40" s="422" t="s">
        <v>364</v>
      </c>
      <c r="AH40" s="422" t="s">
        <v>364</v>
      </c>
      <c r="AI40" s="422" t="s">
        <v>364</v>
      </c>
      <c r="AJ40" s="422" t="s">
        <v>364</v>
      </c>
      <c r="AK40" s="422" t="s">
        <v>364</v>
      </c>
      <c r="AL40" s="422" t="s">
        <v>364</v>
      </c>
      <c r="AM40" s="422" t="s">
        <v>364</v>
      </c>
      <c r="AN40" s="422" t="s">
        <v>364</v>
      </c>
      <c r="AO40" s="422" t="s">
        <v>364</v>
      </c>
      <c r="AP40" s="422" t="s">
        <v>364</v>
      </c>
      <c r="AQ40" s="422">
        <f t="shared" si="0"/>
        <v>147</v>
      </c>
      <c r="AR40" s="422" t="s">
        <v>364</v>
      </c>
      <c r="AS40" s="422" t="s">
        <v>364</v>
      </c>
      <c r="AT40" s="422" t="s">
        <v>364</v>
      </c>
      <c r="AU40" s="422" t="s">
        <v>364</v>
      </c>
      <c r="AV40" s="422" t="s">
        <v>364</v>
      </c>
      <c r="AW40" s="422" t="s">
        <v>364</v>
      </c>
      <c r="AX40" s="422" t="s">
        <v>364</v>
      </c>
      <c r="AY40" s="422" t="s">
        <v>364</v>
      </c>
      <c r="AZ40" s="422" t="s">
        <v>364</v>
      </c>
      <c r="BA40" s="422" t="s">
        <v>364</v>
      </c>
      <c r="BB40" s="422" t="s">
        <v>364</v>
      </c>
      <c r="BC40" s="422" t="s">
        <v>364</v>
      </c>
      <c r="BD40" s="422" t="s">
        <v>364</v>
      </c>
      <c r="BE40" s="422" t="s">
        <v>364</v>
      </c>
      <c r="BF40" s="422" t="s">
        <v>364</v>
      </c>
      <c r="BG40" s="422" t="s">
        <v>364</v>
      </c>
      <c r="BH40" s="422" t="s">
        <v>364</v>
      </c>
      <c r="BI40" s="422">
        <v>11</v>
      </c>
      <c r="BJ40" s="422">
        <v>4</v>
      </c>
      <c r="BK40" s="422">
        <v>6</v>
      </c>
      <c r="BL40" s="422">
        <v>126</v>
      </c>
      <c r="BM40" s="422" t="s">
        <v>364</v>
      </c>
      <c r="BN40" s="422" t="s">
        <v>364</v>
      </c>
      <c r="BO40" s="422" t="s">
        <v>364</v>
      </c>
      <c r="BP40" s="422" t="s">
        <v>364</v>
      </c>
      <c r="BQ40" s="422" t="s">
        <v>364</v>
      </c>
      <c r="BR40" s="422" t="s">
        <v>364</v>
      </c>
      <c r="BS40" s="422" t="s">
        <v>364</v>
      </c>
      <c r="BT40" s="422" t="s">
        <v>364</v>
      </c>
      <c r="BU40" s="422" t="s">
        <v>364</v>
      </c>
      <c r="BV40" s="422" t="s">
        <v>364</v>
      </c>
      <c r="BW40" s="422" t="s">
        <v>364</v>
      </c>
      <c r="BX40" s="422" t="s">
        <v>364</v>
      </c>
      <c r="BY40" s="422" t="s">
        <v>364</v>
      </c>
      <c r="BZ40" s="422" t="s">
        <v>364</v>
      </c>
      <c r="CA40" s="422" t="s">
        <v>364</v>
      </c>
      <c r="CB40" s="422" t="s">
        <v>364</v>
      </c>
      <c r="CC40" s="422" t="s">
        <v>364</v>
      </c>
      <c r="CD40" s="422" t="s">
        <v>364</v>
      </c>
      <c r="CE40" s="422" t="s">
        <v>364</v>
      </c>
      <c r="CF40" s="422" t="s">
        <v>364</v>
      </c>
      <c r="CG40" s="422" t="s">
        <v>364</v>
      </c>
      <c r="CH40" s="422" t="s">
        <v>364</v>
      </c>
      <c r="CI40" s="422" t="s">
        <v>364</v>
      </c>
      <c r="CJ40" s="422" t="s">
        <v>364</v>
      </c>
      <c r="CK40" s="422" t="s">
        <v>364</v>
      </c>
      <c r="CL40" s="422" t="s">
        <v>364</v>
      </c>
      <c r="CM40" s="422" t="s">
        <v>364</v>
      </c>
      <c r="CN40" s="422" t="s">
        <v>364</v>
      </c>
      <c r="CO40" s="422" t="s">
        <v>364</v>
      </c>
      <c r="CP40" s="422" t="s">
        <v>364</v>
      </c>
      <c r="CQ40" s="422" t="s">
        <v>364</v>
      </c>
      <c r="CR40" s="422" t="s">
        <v>364</v>
      </c>
      <c r="CS40" s="422" t="s">
        <v>364</v>
      </c>
      <c r="CT40" s="422" t="s">
        <v>364</v>
      </c>
      <c r="CU40" s="422" t="s">
        <v>364</v>
      </c>
      <c r="CV40" s="422" t="s">
        <v>364</v>
      </c>
      <c r="CW40" s="422" t="s">
        <v>364</v>
      </c>
      <c r="CX40" s="422" t="s">
        <v>364</v>
      </c>
      <c r="CY40" s="422" t="s">
        <v>364</v>
      </c>
      <c r="CZ40" s="422" t="s">
        <v>364</v>
      </c>
      <c r="DA40" s="422" t="s">
        <v>364</v>
      </c>
      <c r="DB40" s="422" t="s">
        <v>364</v>
      </c>
      <c r="DC40" s="422" t="s">
        <v>364</v>
      </c>
      <c r="DD40" s="422" t="s">
        <v>364</v>
      </c>
      <c r="DE40" s="422" t="s">
        <v>364</v>
      </c>
      <c r="DF40" s="422" t="s">
        <v>364</v>
      </c>
      <c r="DG40" s="422" t="s">
        <v>364</v>
      </c>
      <c r="DH40" s="422" t="s">
        <v>364</v>
      </c>
      <c r="DI40" s="422" t="s">
        <v>364</v>
      </c>
      <c r="DJ40" s="422" t="s">
        <v>364</v>
      </c>
      <c r="DK40" s="422">
        <f t="shared" si="4"/>
        <v>41</v>
      </c>
      <c r="DL40" s="422">
        <v>21</v>
      </c>
      <c r="DM40" s="422" t="s">
        <v>364</v>
      </c>
      <c r="DN40" s="422">
        <v>20</v>
      </c>
      <c r="DO40" s="422" t="s">
        <v>364</v>
      </c>
      <c r="DP40" s="422" t="s">
        <v>364</v>
      </c>
      <c r="DQ40" s="422" t="s">
        <v>364</v>
      </c>
      <c r="DR40" s="422" t="s">
        <v>364</v>
      </c>
      <c r="DS40" s="422" t="s">
        <v>364</v>
      </c>
      <c r="DT40" s="422" t="s">
        <v>364</v>
      </c>
      <c r="DU40" s="422" t="s">
        <v>364</v>
      </c>
      <c r="DV40" s="422" t="s">
        <v>364</v>
      </c>
      <c r="DW40" s="422" t="s">
        <v>364</v>
      </c>
      <c r="DX40" s="422" t="s">
        <v>364</v>
      </c>
      <c r="DY40" s="422">
        <f t="shared" si="5"/>
        <v>172</v>
      </c>
      <c r="DZ40" s="422">
        <v>10</v>
      </c>
      <c r="EA40" s="422" t="s">
        <v>364</v>
      </c>
      <c r="EB40" s="422" t="s">
        <v>364</v>
      </c>
      <c r="EC40" s="422" t="s">
        <v>364</v>
      </c>
      <c r="ED40" s="422" t="s">
        <v>364</v>
      </c>
      <c r="EE40" s="422" t="s">
        <v>364</v>
      </c>
      <c r="EF40" s="422" t="s">
        <v>364</v>
      </c>
      <c r="EG40" s="422" t="s">
        <v>364</v>
      </c>
      <c r="EH40" s="422" t="s">
        <v>364</v>
      </c>
      <c r="EI40" s="422" t="s">
        <v>364</v>
      </c>
      <c r="EJ40" s="422" t="s">
        <v>364</v>
      </c>
      <c r="EK40" s="422" t="s">
        <v>364</v>
      </c>
      <c r="EL40" s="422" t="s">
        <v>364</v>
      </c>
      <c r="EM40" s="422">
        <v>162</v>
      </c>
      <c r="EN40" s="422" t="s">
        <v>364</v>
      </c>
      <c r="EO40" s="422" t="s">
        <v>364</v>
      </c>
      <c r="EP40" s="422" t="s">
        <v>364</v>
      </c>
      <c r="EQ40" s="422" t="s">
        <v>364</v>
      </c>
      <c r="ER40" s="422" t="s">
        <v>364</v>
      </c>
      <c r="ES40" s="422" t="s">
        <v>364</v>
      </c>
      <c r="ET40" s="422" t="s">
        <v>364</v>
      </c>
      <c r="EU40" s="422" t="s">
        <v>364</v>
      </c>
      <c r="EV40" s="422" t="s">
        <v>364</v>
      </c>
      <c r="EW40" s="422" t="s">
        <v>364</v>
      </c>
      <c r="EX40" s="422" t="s">
        <v>364</v>
      </c>
      <c r="EY40" s="422" t="s">
        <v>364</v>
      </c>
      <c r="EZ40" s="422" t="s">
        <v>364</v>
      </c>
      <c r="FA40" s="422">
        <f t="shared" si="6"/>
        <v>100</v>
      </c>
      <c r="FB40" s="422" t="s">
        <v>364</v>
      </c>
      <c r="FC40" s="422" t="s">
        <v>364</v>
      </c>
      <c r="FD40" s="422" t="s">
        <v>364</v>
      </c>
      <c r="FE40" s="422">
        <v>100</v>
      </c>
      <c r="FF40" s="422" t="s">
        <v>364</v>
      </c>
      <c r="FG40" s="422" t="s">
        <v>364</v>
      </c>
      <c r="FH40" s="422" t="s">
        <v>364</v>
      </c>
      <c r="FI40" s="422" t="s">
        <v>364</v>
      </c>
      <c r="FJ40" s="422" t="s">
        <v>364</v>
      </c>
      <c r="FK40" s="422" t="s">
        <v>364</v>
      </c>
      <c r="FL40" s="422" t="s">
        <v>364</v>
      </c>
      <c r="FM40" s="422" t="s">
        <v>364</v>
      </c>
      <c r="FN40" s="422" t="s">
        <v>364</v>
      </c>
      <c r="FO40" s="422" t="s">
        <v>364</v>
      </c>
      <c r="FP40" s="422" t="s">
        <v>364</v>
      </c>
      <c r="FQ40" s="422" t="s">
        <v>364</v>
      </c>
      <c r="FR40" s="422" t="s">
        <v>364</v>
      </c>
      <c r="FS40" s="422" t="s">
        <v>364</v>
      </c>
      <c r="FT40" s="422" t="s">
        <v>364</v>
      </c>
      <c r="FU40" s="422" t="s">
        <v>364</v>
      </c>
      <c r="FV40" s="422" t="s">
        <v>364</v>
      </c>
      <c r="FW40" s="422" t="s">
        <v>364</v>
      </c>
      <c r="FX40" s="422" t="s">
        <v>364</v>
      </c>
      <c r="FY40" s="422" t="s">
        <v>364</v>
      </c>
      <c r="FZ40" s="422" t="s">
        <v>364</v>
      </c>
      <c r="GA40" s="422" t="s">
        <v>364</v>
      </c>
      <c r="GB40" s="422" t="s">
        <v>364</v>
      </c>
      <c r="GC40" s="422" t="s">
        <v>364</v>
      </c>
      <c r="GD40" s="422" t="s">
        <v>364</v>
      </c>
      <c r="GE40" s="422" t="s">
        <v>364</v>
      </c>
      <c r="GF40" s="422" t="s">
        <v>364</v>
      </c>
      <c r="GG40" s="422" t="s">
        <v>364</v>
      </c>
      <c r="GH40" s="422" t="s">
        <v>364</v>
      </c>
      <c r="GI40" s="422" t="s">
        <v>364</v>
      </c>
      <c r="GJ40" s="422" t="s">
        <v>364</v>
      </c>
      <c r="GK40" s="422" t="s">
        <v>364</v>
      </c>
      <c r="GL40" s="422" t="s">
        <v>364</v>
      </c>
      <c r="GM40" s="422" t="s">
        <v>364</v>
      </c>
      <c r="GN40" s="422" t="s">
        <v>364</v>
      </c>
      <c r="GO40" s="422" t="s">
        <v>364</v>
      </c>
      <c r="GP40" s="422" t="s">
        <v>364</v>
      </c>
      <c r="GQ40" s="422" t="s">
        <v>364</v>
      </c>
      <c r="GR40" s="422" t="s">
        <v>364</v>
      </c>
      <c r="GS40" s="422" t="s">
        <v>364</v>
      </c>
      <c r="GT40" s="422" t="s">
        <v>364</v>
      </c>
      <c r="GU40" s="422" t="s">
        <v>364</v>
      </c>
      <c r="GV40" s="422">
        <f t="shared" si="7"/>
        <v>13</v>
      </c>
      <c r="GW40" s="422" t="s">
        <v>364</v>
      </c>
      <c r="GX40" s="422" t="s">
        <v>364</v>
      </c>
      <c r="GY40" s="422" t="s">
        <v>364</v>
      </c>
      <c r="GZ40" s="422">
        <v>13</v>
      </c>
      <c r="HA40" s="422" t="s">
        <v>364</v>
      </c>
      <c r="HB40" s="422" t="s">
        <v>364</v>
      </c>
      <c r="HC40" s="422" t="s">
        <v>364</v>
      </c>
      <c r="HD40" s="422" t="s">
        <v>364</v>
      </c>
      <c r="HE40" s="422" t="s">
        <v>364</v>
      </c>
      <c r="HF40" s="422" t="s">
        <v>364</v>
      </c>
      <c r="HG40" s="422" t="s">
        <v>364</v>
      </c>
      <c r="HH40" s="422" t="s">
        <v>364</v>
      </c>
      <c r="HI40" s="422" t="s">
        <v>364</v>
      </c>
      <c r="HJ40" s="422" t="s">
        <v>364</v>
      </c>
      <c r="HK40" s="422" t="s">
        <v>364</v>
      </c>
      <c r="HL40" s="422" t="s">
        <v>364</v>
      </c>
      <c r="HM40" s="422" t="s">
        <v>364</v>
      </c>
      <c r="HN40" s="422" t="s">
        <v>364</v>
      </c>
      <c r="HO40" s="422" t="s">
        <v>364</v>
      </c>
      <c r="HP40" s="422" t="s">
        <v>364</v>
      </c>
      <c r="HQ40" s="422" t="s">
        <v>364</v>
      </c>
      <c r="HR40" s="422" t="s">
        <v>364</v>
      </c>
      <c r="HS40" s="422" t="s">
        <v>364</v>
      </c>
      <c r="HT40" s="422" t="s">
        <v>364</v>
      </c>
      <c r="HU40" s="422" t="s">
        <v>364</v>
      </c>
      <c r="HV40" s="422" t="s">
        <v>364</v>
      </c>
      <c r="HW40" s="422" t="s">
        <v>364</v>
      </c>
      <c r="HX40" s="422" t="s">
        <v>364</v>
      </c>
      <c r="HY40" s="422">
        <f t="shared" si="8"/>
        <v>0</v>
      </c>
      <c r="HZ40" s="422" t="s">
        <v>364</v>
      </c>
      <c r="IA40" s="422" t="s">
        <v>364</v>
      </c>
      <c r="IB40" s="422" t="s">
        <v>364</v>
      </c>
      <c r="IC40" s="422" t="s">
        <v>364</v>
      </c>
      <c r="ID40" s="422" t="s">
        <v>364</v>
      </c>
      <c r="IE40" s="422" t="s">
        <v>364</v>
      </c>
      <c r="IF40" s="422">
        <f t="shared" si="9"/>
        <v>27</v>
      </c>
      <c r="IG40" s="422" t="s">
        <v>364</v>
      </c>
      <c r="IH40" s="422" t="s">
        <v>364</v>
      </c>
      <c r="II40" s="422" t="s">
        <v>364</v>
      </c>
      <c r="IJ40" s="422" t="s">
        <v>364</v>
      </c>
      <c r="IK40" s="422" t="s">
        <v>364</v>
      </c>
      <c r="IL40" s="422" t="s">
        <v>364</v>
      </c>
      <c r="IM40" s="422" t="s">
        <v>364</v>
      </c>
      <c r="IN40" s="422" t="s">
        <v>364</v>
      </c>
      <c r="IO40" s="422" t="s">
        <v>364</v>
      </c>
      <c r="IP40" s="422" t="s">
        <v>364</v>
      </c>
      <c r="IQ40" s="422" t="s">
        <v>364</v>
      </c>
      <c r="IR40" s="422" t="s">
        <v>364</v>
      </c>
      <c r="IS40" s="422" t="s">
        <v>364</v>
      </c>
      <c r="IT40" s="422" t="s">
        <v>364</v>
      </c>
      <c r="IU40" s="422">
        <v>6</v>
      </c>
      <c r="IV40" s="422">
        <v>21</v>
      </c>
      <c r="IW40" s="422" t="s">
        <v>364</v>
      </c>
      <c r="IX40" s="422" t="s">
        <v>364</v>
      </c>
      <c r="IY40" s="422" t="s">
        <v>364</v>
      </c>
      <c r="IZ40" s="422">
        <f t="shared" si="10"/>
        <v>8</v>
      </c>
      <c r="JA40" s="422" t="s">
        <v>364</v>
      </c>
      <c r="JB40" s="422" t="s">
        <v>364</v>
      </c>
      <c r="JC40" s="422" t="s">
        <v>364</v>
      </c>
      <c r="JD40" s="422" t="s">
        <v>364</v>
      </c>
      <c r="JE40" s="422" t="s">
        <v>364</v>
      </c>
      <c r="JF40" s="422" t="s">
        <v>364</v>
      </c>
      <c r="JG40" s="422" t="s">
        <v>364</v>
      </c>
      <c r="JH40" s="422" t="s">
        <v>364</v>
      </c>
      <c r="JI40" s="422" t="s">
        <v>364</v>
      </c>
      <c r="JJ40" s="422">
        <v>4</v>
      </c>
      <c r="JK40" s="422">
        <v>4</v>
      </c>
      <c r="JL40" s="422" t="s">
        <v>364</v>
      </c>
      <c r="JM40" s="422" t="s">
        <v>364</v>
      </c>
      <c r="JN40" s="422" t="s">
        <v>364</v>
      </c>
      <c r="JO40" s="422" t="s">
        <v>364</v>
      </c>
      <c r="JP40" s="422" t="s">
        <v>364</v>
      </c>
      <c r="JQ40" s="422" t="s">
        <v>364</v>
      </c>
      <c r="JR40" s="422" t="s">
        <v>364</v>
      </c>
      <c r="JS40" s="422" t="s">
        <v>364</v>
      </c>
      <c r="JT40" s="422" t="s">
        <v>364</v>
      </c>
      <c r="JU40" s="422" t="s">
        <v>364</v>
      </c>
      <c r="JV40" s="422" t="s">
        <v>364</v>
      </c>
      <c r="JW40" s="422">
        <f t="shared" si="11"/>
        <v>0</v>
      </c>
      <c r="JX40" s="422" t="s">
        <v>364</v>
      </c>
      <c r="JY40" s="422" t="s">
        <v>364</v>
      </c>
      <c r="JZ40" s="422" t="s">
        <v>364</v>
      </c>
      <c r="KA40" s="422" t="s">
        <v>364</v>
      </c>
      <c r="KB40" s="422" t="s">
        <v>364</v>
      </c>
      <c r="KC40" s="422" t="s">
        <v>364</v>
      </c>
      <c r="KD40" s="422" t="s">
        <v>364</v>
      </c>
      <c r="KE40" s="422" t="s">
        <v>364</v>
      </c>
      <c r="KF40" s="422" t="s">
        <v>364</v>
      </c>
      <c r="KG40" s="422" t="s">
        <v>364</v>
      </c>
      <c r="KH40" s="422" t="s">
        <v>364</v>
      </c>
      <c r="KI40" s="422" t="s">
        <v>364</v>
      </c>
      <c r="KJ40" s="422" t="s">
        <v>364</v>
      </c>
      <c r="KK40" s="422" t="s">
        <v>364</v>
      </c>
      <c r="KL40" s="422" t="s">
        <v>364</v>
      </c>
      <c r="KM40" s="422" t="s">
        <v>364</v>
      </c>
      <c r="KN40" s="422" t="s">
        <v>364</v>
      </c>
      <c r="KO40" s="422" t="s">
        <v>364</v>
      </c>
      <c r="KP40" s="422" t="s">
        <v>364</v>
      </c>
      <c r="KQ40" s="422" t="s">
        <v>364</v>
      </c>
      <c r="KR40" s="422" t="s">
        <v>364</v>
      </c>
      <c r="KS40" s="422" t="s">
        <v>364</v>
      </c>
      <c r="KT40" s="422" t="s">
        <v>364</v>
      </c>
      <c r="KU40" s="422" t="s">
        <v>364</v>
      </c>
      <c r="KV40" s="422" t="s">
        <v>364</v>
      </c>
      <c r="KW40" s="422" t="s">
        <v>364</v>
      </c>
      <c r="KX40" s="422" t="s">
        <v>364</v>
      </c>
      <c r="KY40" s="422" t="s">
        <v>364</v>
      </c>
      <c r="KZ40" s="422" t="s">
        <v>364</v>
      </c>
      <c r="LA40" s="422" t="s">
        <v>364</v>
      </c>
      <c r="LB40" s="422" t="s">
        <v>364</v>
      </c>
      <c r="LC40" s="422" t="s">
        <v>364</v>
      </c>
      <c r="LD40" s="422" t="s">
        <v>364</v>
      </c>
      <c r="LE40" s="422" t="s">
        <v>364</v>
      </c>
      <c r="LF40" s="422" t="s">
        <v>364</v>
      </c>
      <c r="LG40" s="422" t="s">
        <v>364</v>
      </c>
      <c r="LH40" s="422" t="s">
        <v>364</v>
      </c>
      <c r="LI40" s="422" t="s">
        <v>364</v>
      </c>
      <c r="LJ40" s="422" t="s">
        <v>364</v>
      </c>
      <c r="LK40" s="422" t="s">
        <v>364</v>
      </c>
      <c r="LL40" s="422" t="s">
        <v>364</v>
      </c>
      <c r="LM40" s="424" t="s">
        <v>364</v>
      </c>
      <c r="LN40" s="424">
        <v>0</v>
      </c>
      <c r="LO40" s="424" t="s">
        <v>364</v>
      </c>
      <c r="LP40" s="424" t="s">
        <v>364</v>
      </c>
      <c r="LQ40" s="424" t="s">
        <v>364</v>
      </c>
      <c r="LR40" s="424" t="s">
        <v>364</v>
      </c>
      <c r="LS40" s="424" t="s">
        <v>364</v>
      </c>
      <c r="LT40" s="424" t="s">
        <v>364</v>
      </c>
      <c r="LU40" s="424" t="s">
        <v>364</v>
      </c>
      <c r="LV40" s="424" t="s">
        <v>364</v>
      </c>
      <c r="LW40" s="424" t="s">
        <v>364</v>
      </c>
      <c r="LX40" s="424">
        <f t="shared" si="12"/>
        <v>0</v>
      </c>
      <c r="LY40" s="424" t="s">
        <v>364</v>
      </c>
      <c r="LZ40" s="424" t="s">
        <v>364</v>
      </c>
      <c r="MA40" s="424" t="s">
        <v>364</v>
      </c>
      <c r="MB40" s="424" t="s">
        <v>364</v>
      </c>
      <c r="MC40" s="424" t="s">
        <v>364</v>
      </c>
      <c r="MD40" s="424" t="s">
        <v>364</v>
      </c>
      <c r="ME40" s="424">
        <f t="shared" si="1"/>
        <v>0</v>
      </c>
      <c r="MF40" s="424" t="s">
        <v>364</v>
      </c>
      <c r="MG40" s="424" t="s">
        <v>364</v>
      </c>
      <c r="MH40" s="424" t="s">
        <v>364</v>
      </c>
      <c r="MI40" s="424" t="s">
        <v>364</v>
      </c>
      <c r="MJ40" s="424" t="s">
        <v>364</v>
      </c>
      <c r="MK40" s="424" t="s">
        <v>364</v>
      </c>
      <c r="ML40" s="424" t="s">
        <v>364</v>
      </c>
      <c r="MM40" s="424" t="s">
        <v>364</v>
      </c>
      <c r="MN40" s="424" t="s">
        <v>364</v>
      </c>
      <c r="MO40" s="424" t="s">
        <v>364</v>
      </c>
      <c r="MP40" s="424" t="s">
        <v>364</v>
      </c>
      <c r="MQ40" s="424" t="s">
        <v>364</v>
      </c>
      <c r="MR40" s="424" t="s">
        <v>364</v>
      </c>
      <c r="MS40" s="424" t="s">
        <v>364</v>
      </c>
      <c r="MT40" s="424" t="s">
        <v>364</v>
      </c>
      <c r="MU40" s="424" t="s">
        <v>364</v>
      </c>
      <c r="MV40" s="424" t="s">
        <v>364</v>
      </c>
      <c r="MW40" s="424" t="s">
        <v>364</v>
      </c>
      <c r="MX40" s="424">
        <f t="shared" si="13"/>
        <v>9</v>
      </c>
      <c r="MY40" s="424" t="s">
        <v>364</v>
      </c>
      <c r="MZ40" s="424" t="s">
        <v>6598</v>
      </c>
      <c r="NA40" s="424">
        <v>9</v>
      </c>
      <c r="NB40" s="424" t="s">
        <v>364</v>
      </c>
      <c r="NC40" s="424" t="s">
        <v>364</v>
      </c>
      <c r="ND40" s="424" t="s">
        <v>364</v>
      </c>
      <c r="NE40" s="424" t="s">
        <v>364</v>
      </c>
      <c r="NF40" s="424" t="s">
        <v>364</v>
      </c>
      <c r="NG40" s="424" t="s">
        <v>364</v>
      </c>
      <c r="NH40" s="424" t="s">
        <v>364</v>
      </c>
      <c r="NI40" s="424" t="s">
        <v>364</v>
      </c>
      <c r="NJ40" s="424" t="s">
        <v>364</v>
      </c>
      <c r="NK40" s="424">
        <f t="shared" si="2"/>
        <v>0</v>
      </c>
      <c r="NL40" s="424">
        <f t="shared" si="14"/>
        <v>0</v>
      </c>
      <c r="NM40" s="424" t="s">
        <v>364</v>
      </c>
      <c r="NN40" s="424" t="s">
        <v>364</v>
      </c>
      <c r="NO40" s="424" t="s">
        <v>364</v>
      </c>
      <c r="NP40" s="424" t="s">
        <v>364</v>
      </c>
      <c r="NQ40" s="424" t="s">
        <v>364</v>
      </c>
      <c r="NR40" s="424" t="s">
        <v>364</v>
      </c>
      <c r="NS40" s="424" t="s">
        <v>364</v>
      </c>
      <c r="NT40" s="424" t="s">
        <v>364</v>
      </c>
      <c r="NU40" s="424" t="s">
        <v>364</v>
      </c>
      <c r="NV40" s="424" t="s">
        <v>364</v>
      </c>
      <c r="NW40" s="424" t="s">
        <v>364</v>
      </c>
      <c r="NX40" s="424" t="s">
        <v>364</v>
      </c>
      <c r="NY40" s="424" t="s">
        <v>364</v>
      </c>
      <c r="NZ40" s="424">
        <f t="shared" si="15"/>
        <v>0</v>
      </c>
      <c r="OA40" s="424" t="s">
        <v>364</v>
      </c>
      <c r="OB40" s="424" t="s">
        <v>364</v>
      </c>
      <c r="OC40" s="424" t="s">
        <v>364</v>
      </c>
      <c r="OD40" s="424" t="s">
        <v>364</v>
      </c>
      <c r="OE40" s="424" t="s">
        <v>364</v>
      </c>
      <c r="OF40" s="424" t="s">
        <v>364</v>
      </c>
      <c r="OG40" s="424" t="s">
        <v>364</v>
      </c>
      <c r="OH40" s="424">
        <f t="shared" si="16"/>
        <v>10</v>
      </c>
      <c r="OI40" s="424">
        <f t="shared" si="17"/>
        <v>10</v>
      </c>
      <c r="OJ40" s="422" t="s">
        <v>364</v>
      </c>
      <c r="OK40" s="422" t="s">
        <v>364</v>
      </c>
      <c r="OL40" s="422" t="s">
        <v>364</v>
      </c>
      <c r="OM40" s="422" t="s">
        <v>364</v>
      </c>
      <c r="ON40" s="422" t="s">
        <v>364</v>
      </c>
      <c r="OO40" s="422" t="s">
        <v>364</v>
      </c>
      <c r="OP40" s="422" t="s">
        <v>364</v>
      </c>
      <c r="OQ40" s="422">
        <v>10</v>
      </c>
      <c r="OR40" s="422" t="s">
        <v>364</v>
      </c>
      <c r="OS40" s="422" t="s">
        <v>364</v>
      </c>
      <c r="OT40" s="422" t="s">
        <v>364</v>
      </c>
      <c r="OU40" s="422" t="s">
        <v>364</v>
      </c>
      <c r="OV40" s="422" t="s">
        <v>364</v>
      </c>
      <c r="OW40" s="422" t="s">
        <v>364</v>
      </c>
      <c r="OX40" s="422" t="s">
        <v>364</v>
      </c>
      <c r="OY40" s="422" t="s">
        <v>364</v>
      </c>
      <c r="OZ40" s="422" t="s">
        <v>364</v>
      </c>
      <c r="PA40" s="422" t="s">
        <v>364</v>
      </c>
      <c r="PB40" s="424">
        <f t="shared" si="18"/>
        <v>0</v>
      </c>
      <c r="PC40" s="422" t="s">
        <v>364</v>
      </c>
      <c r="PD40" s="422" t="s">
        <v>364</v>
      </c>
      <c r="PE40" s="422" t="s">
        <v>364</v>
      </c>
      <c r="PF40" s="422" t="s">
        <v>364</v>
      </c>
      <c r="PG40" s="422" t="s">
        <v>364</v>
      </c>
      <c r="PH40" s="422" t="s">
        <v>364</v>
      </c>
      <c r="PI40" s="422" t="s">
        <v>364</v>
      </c>
      <c r="PJ40" s="422" t="s">
        <v>364</v>
      </c>
    </row>
    <row r="41" spans="2:426" ht="15.6">
      <c r="B41" s="426" t="s">
        <v>6602</v>
      </c>
      <c r="C41" s="422">
        <f t="shared" si="3"/>
        <v>229</v>
      </c>
      <c r="D41" s="422" t="s">
        <v>364</v>
      </c>
      <c r="E41" s="422" t="s">
        <v>364</v>
      </c>
      <c r="F41" s="422" t="s">
        <v>364</v>
      </c>
      <c r="G41" s="422" t="s">
        <v>364</v>
      </c>
      <c r="H41" s="422" t="s">
        <v>364</v>
      </c>
      <c r="I41" s="422" t="s">
        <v>364</v>
      </c>
      <c r="J41" s="422" t="s">
        <v>364</v>
      </c>
      <c r="K41" s="422" t="s">
        <v>364</v>
      </c>
      <c r="L41" s="422" t="s">
        <v>364</v>
      </c>
      <c r="M41" s="422" t="s">
        <v>364</v>
      </c>
      <c r="N41" s="422" t="s">
        <v>364</v>
      </c>
      <c r="O41" s="422" t="s">
        <v>364</v>
      </c>
      <c r="P41" s="422" t="s">
        <v>364</v>
      </c>
      <c r="Q41" s="422" t="s">
        <v>364</v>
      </c>
      <c r="R41" s="422" t="s">
        <v>364</v>
      </c>
      <c r="S41" s="422" t="s">
        <v>364</v>
      </c>
      <c r="T41" s="422" t="s">
        <v>364</v>
      </c>
      <c r="U41" s="422" t="s">
        <v>364</v>
      </c>
      <c r="V41" s="422" t="s">
        <v>364</v>
      </c>
      <c r="W41" s="422" t="s">
        <v>364</v>
      </c>
      <c r="X41" s="422" t="s">
        <v>364</v>
      </c>
      <c r="Y41" s="422" t="s">
        <v>364</v>
      </c>
      <c r="Z41" s="422" t="s">
        <v>364</v>
      </c>
      <c r="AA41" s="422" t="s">
        <v>364</v>
      </c>
      <c r="AB41" s="422" t="s">
        <v>364</v>
      </c>
      <c r="AC41" s="422" t="s">
        <v>364</v>
      </c>
      <c r="AD41" s="422">
        <v>199</v>
      </c>
      <c r="AE41" s="422">
        <v>30</v>
      </c>
      <c r="AF41" s="422" t="s">
        <v>364</v>
      </c>
      <c r="AG41" s="422" t="s">
        <v>364</v>
      </c>
      <c r="AH41" s="422" t="s">
        <v>364</v>
      </c>
      <c r="AI41" s="422" t="s">
        <v>364</v>
      </c>
      <c r="AJ41" s="422" t="s">
        <v>364</v>
      </c>
      <c r="AK41" s="422" t="s">
        <v>364</v>
      </c>
      <c r="AL41" s="422" t="s">
        <v>364</v>
      </c>
      <c r="AM41" s="422" t="s">
        <v>364</v>
      </c>
      <c r="AN41" s="422" t="s">
        <v>364</v>
      </c>
      <c r="AO41" s="422" t="s">
        <v>364</v>
      </c>
      <c r="AP41" s="422" t="s">
        <v>364</v>
      </c>
      <c r="AQ41" s="422">
        <f t="shared" si="0"/>
        <v>95</v>
      </c>
      <c r="AR41" s="422" t="s">
        <v>364</v>
      </c>
      <c r="AS41" s="422" t="s">
        <v>364</v>
      </c>
      <c r="AT41" s="422" t="s">
        <v>364</v>
      </c>
      <c r="AU41" s="422" t="s">
        <v>364</v>
      </c>
      <c r="AV41" s="422" t="s">
        <v>364</v>
      </c>
      <c r="AW41" s="422" t="s">
        <v>364</v>
      </c>
      <c r="AX41" s="422" t="s">
        <v>364</v>
      </c>
      <c r="AY41" s="422" t="s">
        <v>364</v>
      </c>
      <c r="AZ41" s="422" t="s">
        <v>364</v>
      </c>
      <c r="BA41" s="422" t="s">
        <v>364</v>
      </c>
      <c r="BB41" s="422" t="s">
        <v>364</v>
      </c>
      <c r="BC41" s="422" t="s">
        <v>364</v>
      </c>
      <c r="BD41" s="422" t="s">
        <v>364</v>
      </c>
      <c r="BE41" s="422" t="s">
        <v>364</v>
      </c>
      <c r="BF41" s="422">
        <v>32</v>
      </c>
      <c r="BG41" s="422" t="s">
        <v>364</v>
      </c>
      <c r="BH41" s="422" t="s">
        <v>364</v>
      </c>
      <c r="BI41" s="422">
        <v>12</v>
      </c>
      <c r="BJ41" s="422" t="s">
        <v>364</v>
      </c>
      <c r="BK41" s="422">
        <v>39</v>
      </c>
      <c r="BL41" s="422" t="s">
        <v>364</v>
      </c>
      <c r="BM41" s="422" t="s">
        <v>364</v>
      </c>
      <c r="BN41" s="422" t="s">
        <v>364</v>
      </c>
      <c r="BO41" s="422" t="s">
        <v>364</v>
      </c>
      <c r="BP41" s="422" t="s">
        <v>364</v>
      </c>
      <c r="BQ41" s="422" t="s">
        <v>364</v>
      </c>
      <c r="BR41" s="422" t="s">
        <v>364</v>
      </c>
      <c r="BS41" s="422" t="s">
        <v>364</v>
      </c>
      <c r="BT41" s="422" t="s">
        <v>364</v>
      </c>
      <c r="BU41" s="422" t="s">
        <v>364</v>
      </c>
      <c r="BV41" s="422" t="s">
        <v>364</v>
      </c>
      <c r="BW41" s="422" t="s">
        <v>364</v>
      </c>
      <c r="BX41" s="422" t="s">
        <v>364</v>
      </c>
      <c r="BY41" s="422" t="s">
        <v>364</v>
      </c>
      <c r="BZ41" s="422" t="s">
        <v>364</v>
      </c>
      <c r="CA41" s="422" t="s">
        <v>364</v>
      </c>
      <c r="CB41" s="422" t="s">
        <v>364</v>
      </c>
      <c r="CC41" s="422" t="s">
        <v>364</v>
      </c>
      <c r="CD41" s="422" t="s">
        <v>364</v>
      </c>
      <c r="CE41" s="422" t="s">
        <v>364</v>
      </c>
      <c r="CF41" s="422" t="s">
        <v>364</v>
      </c>
      <c r="CG41" s="422" t="s">
        <v>364</v>
      </c>
      <c r="CH41" s="422" t="s">
        <v>364</v>
      </c>
      <c r="CI41" s="422" t="s">
        <v>364</v>
      </c>
      <c r="CJ41" s="422" t="s">
        <v>364</v>
      </c>
      <c r="CK41" s="422" t="s">
        <v>364</v>
      </c>
      <c r="CL41" s="422" t="s">
        <v>364</v>
      </c>
      <c r="CM41" s="422" t="s">
        <v>364</v>
      </c>
      <c r="CN41" s="422" t="s">
        <v>364</v>
      </c>
      <c r="CO41" s="422">
        <v>12</v>
      </c>
      <c r="CP41" s="422" t="s">
        <v>364</v>
      </c>
      <c r="CQ41" s="422" t="s">
        <v>364</v>
      </c>
      <c r="CR41" s="422" t="s">
        <v>364</v>
      </c>
      <c r="CS41" s="422" t="s">
        <v>364</v>
      </c>
      <c r="CT41" s="422" t="s">
        <v>364</v>
      </c>
      <c r="CU41" s="422" t="s">
        <v>364</v>
      </c>
      <c r="CV41" s="422" t="s">
        <v>364</v>
      </c>
      <c r="CW41" s="422" t="s">
        <v>364</v>
      </c>
      <c r="CX41" s="422" t="s">
        <v>364</v>
      </c>
      <c r="CY41" s="422" t="s">
        <v>364</v>
      </c>
      <c r="CZ41" s="422" t="s">
        <v>364</v>
      </c>
      <c r="DA41" s="422" t="s">
        <v>364</v>
      </c>
      <c r="DB41" s="422" t="s">
        <v>364</v>
      </c>
      <c r="DC41" s="422" t="s">
        <v>364</v>
      </c>
      <c r="DD41" s="422" t="s">
        <v>364</v>
      </c>
      <c r="DE41" s="422" t="s">
        <v>364</v>
      </c>
      <c r="DF41" s="422" t="s">
        <v>364</v>
      </c>
      <c r="DG41" s="422" t="s">
        <v>364</v>
      </c>
      <c r="DH41" s="422" t="s">
        <v>364</v>
      </c>
      <c r="DI41" s="422" t="s">
        <v>364</v>
      </c>
      <c r="DJ41" s="422" t="s">
        <v>364</v>
      </c>
      <c r="DK41" s="422">
        <f t="shared" si="4"/>
        <v>0</v>
      </c>
      <c r="DL41" s="422" t="s">
        <v>364</v>
      </c>
      <c r="DM41" s="422" t="s">
        <v>364</v>
      </c>
      <c r="DN41" s="422" t="s">
        <v>364</v>
      </c>
      <c r="DO41" s="422" t="s">
        <v>364</v>
      </c>
      <c r="DP41" s="422" t="s">
        <v>364</v>
      </c>
      <c r="DQ41" s="422" t="s">
        <v>364</v>
      </c>
      <c r="DR41" s="422" t="s">
        <v>364</v>
      </c>
      <c r="DS41" s="422" t="s">
        <v>364</v>
      </c>
      <c r="DT41" s="422" t="s">
        <v>364</v>
      </c>
      <c r="DU41" s="422" t="s">
        <v>364</v>
      </c>
      <c r="DV41" s="422" t="s">
        <v>364</v>
      </c>
      <c r="DW41" s="422" t="s">
        <v>364</v>
      </c>
      <c r="DX41" s="422" t="s">
        <v>364</v>
      </c>
      <c r="DY41" s="422">
        <f t="shared" si="5"/>
        <v>0</v>
      </c>
      <c r="DZ41" s="422" t="s">
        <v>364</v>
      </c>
      <c r="EA41" s="422" t="s">
        <v>364</v>
      </c>
      <c r="EB41" s="422" t="s">
        <v>364</v>
      </c>
      <c r="EC41" s="422" t="s">
        <v>364</v>
      </c>
      <c r="ED41" s="422" t="s">
        <v>364</v>
      </c>
      <c r="EE41" s="422" t="s">
        <v>364</v>
      </c>
      <c r="EF41" s="422" t="s">
        <v>364</v>
      </c>
      <c r="EG41" s="422" t="s">
        <v>364</v>
      </c>
      <c r="EH41" s="422" t="s">
        <v>364</v>
      </c>
      <c r="EI41" s="422" t="s">
        <v>364</v>
      </c>
      <c r="EJ41" s="422" t="s">
        <v>364</v>
      </c>
      <c r="EK41" s="422" t="s">
        <v>364</v>
      </c>
      <c r="EL41" s="422" t="s">
        <v>364</v>
      </c>
      <c r="EM41" s="422" t="s">
        <v>364</v>
      </c>
      <c r="EN41" s="422" t="s">
        <v>364</v>
      </c>
      <c r="EO41" s="422" t="s">
        <v>364</v>
      </c>
      <c r="EP41" s="422" t="s">
        <v>364</v>
      </c>
      <c r="EQ41" s="422" t="s">
        <v>364</v>
      </c>
      <c r="ER41" s="422" t="s">
        <v>364</v>
      </c>
      <c r="ES41" s="422" t="s">
        <v>364</v>
      </c>
      <c r="ET41" s="422" t="s">
        <v>364</v>
      </c>
      <c r="EU41" s="422" t="s">
        <v>364</v>
      </c>
      <c r="EV41" s="422" t="s">
        <v>364</v>
      </c>
      <c r="EW41" s="422" t="s">
        <v>364</v>
      </c>
      <c r="EX41" s="422" t="s">
        <v>364</v>
      </c>
      <c r="EY41" s="422" t="s">
        <v>364</v>
      </c>
      <c r="EZ41" s="422" t="s">
        <v>364</v>
      </c>
      <c r="FA41" s="422">
        <f t="shared" si="6"/>
        <v>335</v>
      </c>
      <c r="FB41" s="422" t="s">
        <v>364</v>
      </c>
      <c r="FC41" s="422" t="s">
        <v>364</v>
      </c>
      <c r="FD41" s="422" t="s">
        <v>364</v>
      </c>
      <c r="FE41" s="422">
        <v>320</v>
      </c>
      <c r="FF41" s="422">
        <v>3</v>
      </c>
      <c r="FG41" s="422" t="s">
        <v>364</v>
      </c>
      <c r="FH41" s="422" t="s">
        <v>364</v>
      </c>
      <c r="FI41" s="422" t="s">
        <v>364</v>
      </c>
      <c r="FJ41" s="422" t="s">
        <v>364</v>
      </c>
      <c r="FK41" s="422" t="s">
        <v>364</v>
      </c>
      <c r="FL41" s="422" t="s">
        <v>364</v>
      </c>
      <c r="FM41" s="422" t="s">
        <v>364</v>
      </c>
      <c r="FN41" s="422" t="s">
        <v>364</v>
      </c>
      <c r="FO41" s="422" t="s">
        <v>364</v>
      </c>
      <c r="FP41" s="422" t="s">
        <v>364</v>
      </c>
      <c r="FQ41" s="422" t="s">
        <v>364</v>
      </c>
      <c r="FR41" s="422" t="s">
        <v>364</v>
      </c>
      <c r="FS41" s="422" t="s">
        <v>364</v>
      </c>
      <c r="FT41" s="422" t="s">
        <v>364</v>
      </c>
      <c r="FU41" s="422" t="s">
        <v>364</v>
      </c>
      <c r="FV41" s="422" t="s">
        <v>364</v>
      </c>
      <c r="FW41" s="422" t="s">
        <v>364</v>
      </c>
      <c r="FX41" s="422" t="s">
        <v>364</v>
      </c>
      <c r="FY41" s="422" t="s">
        <v>364</v>
      </c>
      <c r="FZ41" s="422" t="s">
        <v>364</v>
      </c>
      <c r="GA41" s="422">
        <v>12</v>
      </c>
      <c r="GB41" s="422" t="s">
        <v>364</v>
      </c>
      <c r="GC41" s="422" t="s">
        <v>364</v>
      </c>
      <c r="GD41" s="422" t="s">
        <v>364</v>
      </c>
      <c r="GE41" s="422" t="s">
        <v>364</v>
      </c>
      <c r="GF41" s="422" t="s">
        <v>364</v>
      </c>
      <c r="GG41" s="422" t="s">
        <v>364</v>
      </c>
      <c r="GH41" s="422" t="s">
        <v>364</v>
      </c>
      <c r="GI41" s="422" t="s">
        <v>364</v>
      </c>
      <c r="GJ41" s="422" t="s">
        <v>364</v>
      </c>
      <c r="GK41" s="422" t="s">
        <v>364</v>
      </c>
      <c r="GL41" s="422" t="s">
        <v>364</v>
      </c>
      <c r="GM41" s="422" t="s">
        <v>364</v>
      </c>
      <c r="GN41" s="422" t="s">
        <v>364</v>
      </c>
      <c r="GO41" s="422" t="s">
        <v>364</v>
      </c>
      <c r="GP41" s="422" t="s">
        <v>364</v>
      </c>
      <c r="GQ41" s="422" t="s">
        <v>364</v>
      </c>
      <c r="GR41" s="422" t="s">
        <v>364</v>
      </c>
      <c r="GS41" s="422" t="s">
        <v>364</v>
      </c>
      <c r="GT41" s="422" t="s">
        <v>364</v>
      </c>
      <c r="GU41" s="422" t="s">
        <v>364</v>
      </c>
      <c r="GV41" s="422">
        <f t="shared" si="7"/>
        <v>6</v>
      </c>
      <c r="GW41" s="422" t="s">
        <v>364</v>
      </c>
      <c r="GX41" s="422" t="s">
        <v>364</v>
      </c>
      <c r="GY41" s="422" t="s">
        <v>364</v>
      </c>
      <c r="GZ41" s="422" t="s">
        <v>364</v>
      </c>
      <c r="HA41" s="422">
        <v>6</v>
      </c>
      <c r="HB41" s="422" t="s">
        <v>364</v>
      </c>
      <c r="HC41" s="422" t="s">
        <v>364</v>
      </c>
      <c r="HD41" s="422" t="s">
        <v>364</v>
      </c>
      <c r="HE41" s="422" t="s">
        <v>364</v>
      </c>
      <c r="HF41" s="422" t="s">
        <v>364</v>
      </c>
      <c r="HG41" s="422" t="s">
        <v>364</v>
      </c>
      <c r="HH41" s="422" t="s">
        <v>364</v>
      </c>
      <c r="HI41" s="422" t="s">
        <v>364</v>
      </c>
      <c r="HJ41" s="422" t="s">
        <v>364</v>
      </c>
      <c r="HK41" s="422" t="s">
        <v>364</v>
      </c>
      <c r="HL41" s="422" t="s">
        <v>364</v>
      </c>
      <c r="HM41" s="422" t="s">
        <v>364</v>
      </c>
      <c r="HN41" s="422" t="s">
        <v>364</v>
      </c>
      <c r="HO41" s="422" t="s">
        <v>364</v>
      </c>
      <c r="HP41" s="422" t="s">
        <v>364</v>
      </c>
      <c r="HQ41" s="422" t="s">
        <v>364</v>
      </c>
      <c r="HR41" s="422" t="s">
        <v>364</v>
      </c>
      <c r="HS41" s="422" t="s">
        <v>364</v>
      </c>
      <c r="HT41" s="422" t="s">
        <v>364</v>
      </c>
      <c r="HU41" s="422" t="s">
        <v>364</v>
      </c>
      <c r="HV41" s="422" t="s">
        <v>364</v>
      </c>
      <c r="HW41" s="422" t="s">
        <v>364</v>
      </c>
      <c r="HX41" s="422" t="s">
        <v>364</v>
      </c>
      <c r="HY41" s="422">
        <f t="shared" si="8"/>
        <v>36</v>
      </c>
      <c r="HZ41" s="422">
        <v>36</v>
      </c>
      <c r="IA41" s="422" t="s">
        <v>364</v>
      </c>
      <c r="IB41" s="422" t="s">
        <v>364</v>
      </c>
      <c r="IC41" s="422" t="s">
        <v>364</v>
      </c>
      <c r="ID41" s="422" t="s">
        <v>364</v>
      </c>
      <c r="IE41" s="422" t="s">
        <v>364</v>
      </c>
      <c r="IF41" s="422">
        <f t="shared" si="9"/>
        <v>81</v>
      </c>
      <c r="IG41" s="422" t="s">
        <v>364</v>
      </c>
      <c r="IH41" s="422" t="s">
        <v>364</v>
      </c>
      <c r="II41" s="422" t="s">
        <v>364</v>
      </c>
      <c r="IJ41" s="422" t="s">
        <v>364</v>
      </c>
      <c r="IK41" s="422" t="s">
        <v>364</v>
      </c>
      <c r="IL41" s="422" t="s">
        <v>364</v>
      </c>
      <c r="IM41" s="422" t="s">
        <v>364</v>
      </c>
      <c r="IN41" s="422" t="s">
        <v>364</v>
      </c>
      <c r="IO41" s="422" t="s">
        <v>364</v>
      </c>
      <c r="IP41" s="422">
        <v>18</v>
      </c>
      <c r="IQ41" s="422">
        <v>60</v>
      </c>
      <c r="IR41" s="422">
        <v>3</v>
      </c>
      <c r="IS41" s="422" t="s">
        <v>364</v>
      </c>
      <c r="IT41" s="422" t="s">
        <v>364</v>
      </c>
      <c r="IU41" s="422" t="s">
        <v>364</v>
      </c>
      <c r="IV41" s="422" t="s">
        <v>364</v>
      </c>
      <c r="IW41" s="422" t="s">
        <v>364</v>
      </c>
      <c r="IX41" s="422" t="s">
        <v>364</v>
      </c>
      <c r="IY41" s="422" t="s">
        <v>364</v>
      </c>
      <c r="IZ41" s="422">
        <f t="shared" si="10"/>
        <v>14</v>
      </c>
      <c r="JA41" s="422" t="s">
        <v>364</v>
      </c>
      <c r="JB41" s="422" t="s">
        <v>364</v>
      </c>
      <c r="JC41" s="422" t="s">
        <v>364</v>
      </c>
      <c r="JD41" s="422" t="s">
        <v>364</v>
      </c>
      <c r="JE41" s="422">
        <v>3</v>
      </c>
      <c r="JF41" s="422">
        <v>3</v>
      </c>
      <c r="JG41" s="422">
        <v>8</v>
      </c>
      <c r="JH41" s="422" t="s">
        <v>364</v>
      </c>
      <c r="JI41" s="422" t="s">
        <v>364</v>
      </c>
      <c r="JJ41" s="422" t="s">
        <v>364</v>
      </c>
      <c r="JK41" s="422" t="s">
        <v>364</v>
      </c>
      <c r="JL41" s="422" t="s">
        <v>364</v>
      </c>
      <c r="JM41" s="422" t="s">
        <v>364</v>
      </c>
      <c r="JN41" s="422" t="s">
        <v>364</v>
      </c>
      <c r="JO41" s="422" t="s">
        <v>364</v>
      </c>
      <c r="JP41" s="422" t="s">
        <v>364</v>
      </c>
      <c r="JQ41" s="422" t="s">
        <v>364</v>
      </c>
      <c r="JR41" s="422" t="s">
        <v>364</v>
      </c>
      <c r="JS41" s="422" t="s">
        <v>364</v>
      </c>
      <c r="JT41" s="422" t="s">
        <v>364</v>
      </c>
      <c r="JU41" s="422" t="s">
        <v>364</v>
      </c>
      <c r="JV41" s="422" t="s">
        <v>364</v>
      </c>
      <c r="JW41" s="422">
        <f t="shared" si="11"/>
        <v>17</v>
      </c>
      <c r="JX41" s="422" t="s">
        <v>364</v>
      </c>
      <c r="JY41" s="422" t="s">
        <v>364</v>
      </c>
      <c r="JZ41" s="422" t="s">
        <v>364</v>
      </c>
      <c r="KA41" s="422" t="s">
        <v>364</v>
      </c>
      <c r="KB41" s="422" t="s">
        <v>364</v>
      </c>
      <c r="KC41" s="422" t="s">
        <v>364</v>
      </c>
      <c r="KD41" s="422" t="s">
        <v>364</v>
      </c>
      <c r="KE41" s="422" t="s">
        <v>364</v>
      </c>
      <c r="KF41" s="422" t="s">
        <v>364</v>
      </c>
      <c r="KG41" s="422" t="s">
        <v>364</v>
      </c>
      <c r="KH41" s="422" t="s">
        <v>364</v>
      </c>
      <c r="KI41" s="422" t="s">
        <v>364</v>
      </c>
      <c r="KJ41" s="422" t="s">
        <v>364</v>
      </c>
      <c r="KK41" s="422" t="s">
        <v>364</v>
      </c>
      <c r="KL41" s="422" t="s">
        <v>364</v>
      </c>
      <c r="KM41" s="422" t="s">
        <v>364</v>
      </c>
      <c r="KN41" s="422" t="s">
        <v>364</v>
      </c>
      <c r="KO41" s="422" t="s">
        <v>364</v>
      </c>
      <c r="KP41" s="422" t="s">
        <v>364</v>
      </c>
      <c r="KQ41" s="422" t="s">
        <v>364</v>
      </c>
      <c r="KR41" s="422" t="s">
        <v>364</v>
      </c>
      <c r="KS41" s="422" t="s">
        <v>364</v>
      </c>
      <c r="KT41" s="422" t="s">
        <v>364</v>
      </c>
      <c r="KU41" s="422" t="s">
        <v>364</v>
      </c>
      <c r="KV41" s="422" t="s">
        <v>364</v>
      </c>
      <c r="KW41" s="422" t="s">
        <v>364</v>
      </c>
      <c r="KX41" s="422" t="s">
        <v>364</v>
      </c>
      <c r="KY41" s="422" t="s">
        <v>364</v>
      </c>
      <c r="KZ41" s="422" t="s">
        <v>364</v>
      </c>
      <c r="LA41" s="422" t="s">
        <v>364</v>
      </c>
      <c r="LB41" s="422">
        <v>17</v>
      </c>
      <c r="LC41" s="422" t="s">
        <v>364</v>
      </c>
      <c r="LD41" s="422" t="s">
        <v>364</v>
      </c>
      <c r="LE41" s="422" t="s">
        <v>364</v>
      </c>
      <c r="LF41" s="422" t="s">
        <v>364</v>
      </c>
      <c r="LG41" s="422" t="s">
        <v>364</v>
      </c>
      <c r="LH41" s="422" t="s">
        <v>364</v>
      </c>
      <c r="LI41" s="422" t="s">
        <v>364</v>
      </c>
      <c r="LJ41" s="422" t="s">
        <v>364</v>
      </c>
      <c r="LK41" s="422" t="s">
        <v>364</v>
      </c>
      <c r="LL41" s="422" t="s">
        <v>364</v>
      </c>
      <c r="LM41" s="424" t="s">
        <v>364</v>
      </c>
      <c r="LN41" s="424">
        <v>0</v>
      </c>
      <c r="LO41" s="424" t="s">
        <v>364</v>
      </c>
      <c r="LP41" s="424" t="s">
        <v>364</v>
      </c>
      <c r="LQ41" s="424" t="s">
        <v>364</v>
      </c>
      <c r="LR41" s="424" t="s">
        <v>364</v>
      </c>
      <c r="LS41" s="424" t="s">
        <v>364</v>
      </c>
      <c r="LT41" s="424" t="s">
        <v>364</v>
      </c>
      <c r="LU41" s="424" t="s">
        <v>364</v>
      </c>
      <c r="LV41" s="424" t="s">
        <v>364</v>
      </c>
      <c r="LW41" s="424" t="s">
        <v>364</v>
      </c>
      <c r="LX41" s="424">
        <f t="shared" si="12"/>
        <v>0</v>
      </c>
      <c r="LY41" s="424" t="s">
        <v>364</v>
      </c>
      <c r="LZ41" s="424" t="s">
        <v>364</v>
      </c>
      <c r="MA41" s="424" t="s">
        <v>364</v>
      </c>
      <c r="MB41" s="424" t="s">
        <v>364</v>
      </c>
      <c r="MC41" s="424" t="s">
        <v>364</v>
      </c>
      <c r="MD41" s="424" t="s">
        <v>364</v>
      </c>
      <c r="ME41" s="424">
        <f t="shared" si="1"/>
        <v>98</v>
      </c>
      <c r="MF41" s="424">
        <v>86</v>
      </c>
      <c r="MG41" s="424">
        <v>6</v>
      </c>
      <c r="MH41" s="424" t="s">
        <v>364</v>
      </c>
      <c r="MI41" s="424" t="s">
        <v>364</v>
      </c>
      <c r="MJ41" s="424" t="s">
        <v>364</v>
      </c>
      <c r="MK41" s="424" t="s">
        <v>364</v>
      </c>
      <c r="ML41" s="424" t="s">
        <v>364</v>
      </c>
      <c r="MM41" s="424" t="s">
        <v>364</v>
      </c>
      <c r="MN41" s="424" t="s">
        <v>364</v>
      </c>
      <c r="MO41" s="424">
        <v>6</v>
      </c>
      <c r="MP41" s="424" t="s">
        <v>364</v>
      </c>
      <c r="MQ41" s="424" t="s">
        <v>364</v>
      </c>
      <c r="MR41" s="424" t="s">
        <v>364</v>
      </c>
      <c r="MS41" s="424" t="s">
        <v>364</v>
      </c>
      <c r="MT41" s="424" t="s">
        <v>364</v>
      </c>
      <c r="MU41" s="424" t="s">
        <v>364</v>
      </c>
      <c r="MV41" s="424" t="s">
        <v>364</v>
      </c>
      <c r="MW41" s="424" t="s">
        <v>364</v>
      </c>
      <c r="MX41" s="424">
        <f t="shared" si="13"/>
        <v>17</v>
      </c>
      <c r="MY41" s="424" t="s">
        <v>364</v>
      </c>
      <c r="MZ41" s="424" t="s">
        <v>364</v>
      </c>
      <c r="NA41" s="424" t="s">
        <v>364</v>
      </c>
      <c r="NB41" s="424">
        <v>12</v>
      </c>
      <c r="NC41" s="424">
        <v>5</v>
      </c>
      <c r="ND41" s="424" t="s">
        <v>364</v>
      </c>
      <c r="NE41" s="424" t="s">
        <v>364</v>
      </c>
      <c r="NF41" s="424" t="s">
        <v>364</v>
      </c>
      <c r="NG41" s="424" t="s">
        <v>364</v>
      </c>
      <c r="NH41" s="424" t="s">
        <v>364</v>
      </c>
      <c r="NI41" s="424" t="s">
        <v>364</v>
      </c>
      <c r="NJ41" s="424" t="s">
        <v>364</v>
      </c>
      <c r="NK41" s="424">
        <f t="shared" si="2"/>
        <v>0</v>
      </c>
      <c r="NL41" s="424">
        <f t="shared" si="14"/>
        <v>0</v>
      </c>
      <c r="NM41" s="424" t="s">
        <v>364</v>
      </c>
      <c r="NN41" s="424" t="s">
        <v>364</v>
      </c>
      <c r="NO41" s="424" t="s">
        <v>364</v>
      </c>
      <c r="NP41" s="424" t="s">
        <v>364</v>
      </c>
      <c r="NQ41" s="424" t="s">
        <v>364</v>
      </c>
      <c r="NR41" s="424" t="s">
        <v>364</v>
      </c>
      <c r="NS41" s="424" t="s">
        <v>364</v>
      </c>
      <c r="NT41" s="424" t="s">
        <v>364</v>
      </c>
      <c r="NU41" s="424" t="s">
        <v>364</v>
      </c>
      <c r="NV41" s="424" t="s">
        <v>364</v>
      </c>
      <c r="NW41" s="424" t="s">
        <v>364</v>
      </c>
      <c r="NX41" s="424" t="s">
        <v>364</v>
      </c>
      <c r="NY41" s="424" t="s">
        <v>364</v>
      </c>
      <c r="NZ41" s="424">
        <f t="shared" si="15"/>
        <v>0</v>
      </c>
      <c r="OA41" s="424" t="s">
        <v>364</v>
      </c>
      <c r="OB41" s="424" t="s">
        <v>364</v>
      </c>
      <c r="OC41" s="424" t="s">
        <v>364</v>
      </c>
      <c r="OD41" s="424" t="s">
        <v>364</v>
      </c>
      <c r="OE41" s="424" t="s">
        <v>364</v>
      </c>
      <c r="OF41" s="424" t="s">
        <v>364</v>
      </c>
      <c r="OG41" s="424" t="s">
        <v>364</v>
      </c>
      <c r="OH41" s="424">
        <f t="shared" si="16"/>
        <v>44</v>
      </c>
      <c r="OI41" s="424">
        <f t="shared" si="17"/>
        <v>36</v>
      </c>
      <c r="OJ41" s="422" t="s">
        <v>364</v>
      </c>
      <c r="OK41" s="422" t="s">
        <v>364</v>
      </c>
      <c r="OL41" s="422" t="s">
        <v>364</v>
      </c>
      <c r="OM41" s="422">
        <v>36</v>
      </c>
      <c r="ON41" s="422" t="s">
        <v>364</v>
      </c>
      <c r="OO41" s="422" t="s">
        <v>364</v>
      </c>
      <c r="OP41" s="422" t="s">
        <v>364</v>
      </c>
      <c r="OQ41" s="422" t="s">
        <v>364</v>
      </c>
      <c r="OR41" s="422" t="s">
        <v>364</v>
      </c>
      <c r="OS41" s="422" t="s">
        <v>364</v>
      </c>
      <c r="OT41" s="422" t="s">
        <v>364</v>
      </c>
      <c r="OU41" s="422" t="s">
        <v>364</v>
      </c>
      <c r="OV41" s="422" t="s">
        <v>364</v>
      </c>
      <c r="OW41" s="422" t="s">
        <v>364</v>
      </c>
      <c r="OX41" s="422" t="s">
        <v>364</v>
      </c>
      <c r="OY41" s="422" t="s">
        <v>364</v>
      </c>
      <c r="OZ41" s="422" t="s">
        <v>364</v>
      </c>
      <c r="PA41" s="422" t="s">
        <v>364</v>
      </c>
      <c r="PB41" s="424">
        <f t="shared" si="18"/>
        <v>8</v>
      </c>
      <c r="PC41" s="422" t="s">
        <v>364</v>
      </c>
      <c r="PD41" s="422" t="s">
        <v>364</v>
      </c>
      <c r="PE41" s="422">
        <v>8</v>
      </c>
      <c r="PF41" s="422" t="s">
        <v>364</v>
      </c>
      <c r="PG41" s="422" t="s">
        <v>364</v>
      </c>
      <c r="PH41" s="422" t="s">
        <v>364</v>
      </c>
      <c r="PI41" s="422" t="s">
        <v>364</v>
      </c>
      <c r="PJ41" s="422" t="s">
        <v>364</v>
      </c>
    </row>
    <row r="42" spans="2:426" ht="15.6">
      <c r="B42" s="426" t="s">
        <v>2392</v>
      </c>
      <c r="C42" s="422">
        <f t="shared" si="3"/>
        <v>3</v>
      </c>
      <c r="D42" s="422" t="s">
        <v>364</v>
      </c>
      <c r="E42" s="422" t="s">
        <v>364</v>
      </c>
      <c r="F42" s="422" t="s">
        <v>364</v>
      </c>
      <c r="G42" s="422" t="s">
        <v>364</v>
      </c>
      <c r="H42" s="422" t="s">
        <v>364</v>
      </c>
      <c r="I42" s="422" t="s">
        <v>364</v>
      </c>
      <c r="J42" s="422" t="s">
        <v>364</v>
      </c>
      <c r="K42" s="422" t="s">
        <v>364</v>
      </c>
      <c r="L42" s="422" t="s">
        <v>364</v>
      </c>
      <c r="M42" s="422" t="s">
        <v>364</v>
      </c>
      <c r="N42" s="422" t="s">
        <v>364</v>
      </c>
      <c r="O42" s="422" t="s">
        <v>364</v>
      </c>
      <c r="P42" s="422" t="s">
        <v>364</v>
      </c>
      <c r="Q42" s="422" t="s">
        <v>364</v>
      </c>
      <c r="R42" s="422" t="s">
        <v>364</v>
      </c>
      <c r="S42" s="422" t="s">
        <v>364</v>
      </c>
      <c r="T42" s="422" t="s">
        <v>364</v>
      </c>
      <c r="U42" s="422" t="s">
        <v>364</v>
      </c>
      <c r="V42" s="422">
        <v>3</v>
      </c>
      <c r="W42" s="422" t="s">
        <v>364</v>
      </c>
      <c r="X42" s="422" t="s">
        <v>364</v>
      </c>
      <c r="Y42" s="422" t="s">
        <v>364</v>
      </c>
      <c r="Z42" s="422" t="s">
        <v>364</v>
      </c>
      <c r="AA42" s="422" t="s">
        <v>364</v>
      </c>
      <c r="AB42" s="422" t="s">
        <v>364</v>
      </c>
      <c r="AC42" s="422" t="s">
        <v>364</v>
      </c>
      <c r="AD42" s="422" t="s">
        <v>364</v>
      </c>
      <c r="AE42" s="422" t="s">
        <v>364</v>
      </c>
      <c r="AF42" s="422" t="s">
        <v>364</v>
      </c>
      <c r="AG42" s="422" t="s">
        <v>364</v>
      </c>
      <c r="AH42" s="422" t="s">
        <v>364</v>
      </c>
      <c r="AI42" s="422" t="s">
        <v>364</v>
      </c>
      <c r="AJ42" s="422" t="s">
        <v>364</v>
      </c>
      <c r="AK42" s="422" t="s">
        <v>364</v>
      </c>
      <c r="AL42" s="422" t="s">
        <v>364</v>
      </c>
      <c r="AM42" s="422" t="s">
        <v>364</v>
      </c>
      <c r="AN42" s="422" t="s">
        <v>364</v>
      </c>
      <c r="AO42" s="422" t="s">
        <v>364</v>
      </c>
      <c r="AP42" s="422" t="s">
        <v>364</v>
      </c>
      <c r="AQ42" s="422">
        <f t="shared" si="0"/>
        <v>4</v>
      </c>
      <c r="AR42" s="422" t="s">
        <v>364</v>
      </c>
      <c r="AS42" s="422" t="s">
        <v>364</v>
      </c>
      <c r="AT42" s="422" t="s">
        <v>364</v>
      </c>
      <c r="AU42" s="422" t="s">
        <v>364</v>
      </c>
      <c r="AV42" s="422" t="s">
        <v>364</v>
      </c>
      <c r="AW42" s="422" t="s">
        <v>364</v>
      </c>
      <c r="AX42" s="422" t="s">
        <v>364</v>
      </c>
      <c r="AY42" s="422" t="s">
        <v>364</v>
      </c>
      <c r="AZ42" s="422" t="s">
        <v>364</v>
      </c>
      <c r="BA42" s="422" t="s">
        <v>364</v>
      </c>
      <c r="BB42" s="422" t="s">
        <v>364</v>
      </c>
      <c r="BC42" s="422" t="s">
        <v>364</v>
      </c>
      <c r="BD42" s="422" t="s">
        <v>364</v>
      </c>
      <c r="BE42" s="422" t="s">
        <v>364</v>
      </c>
      <c r="BF42" s="422" t="s">
        <v>364</v>
      </c>
      <c r="BG42" s="422" t="s">
        <v>364</v>
      </c>
      <c r="BH42" s="422" t="s">
        <v>364</v>
      </c>
      <c r="BI42" s="422" t="s">
        <v>364</v>
      </c>
      <c r="BJ42" s="422" t="s">
        <v>364</v>
      </c>
      <c r="BK42" s="422" t="s">
        <v>364</v>
      </c>
      <c r="BL42" s="422" t="s">
        <v>364</v>
      </c>
      <c r="BM42" s="422">
        <v>4</v>
      </c>
      <c r="BN42" s="422" t="s">
        <v>364</v>
      </c>
      <c r="BO42" s="422" t="s">
        <v>364</v>
      </c>
      <c r="BP42" s="422" t="s">
        <v>364</v>
      </c>
      <c r="BQ42" s="422" t="s">
        <v>364</v>
      </c>
      <c r="BR42" s="422" t="s">
        <v>364</v>
      </c>
      <c r="BS42" s="422" t="s">
        <v>364</v>
      </c>
      <c r="BT42" s="422" t="s">
        <v>364</v>
      </c>
      <c r="BU42" s="422" t="s">
        <v>364</v>
      </c>
      <c r="BV42" s="422" t="s">
        <v>364</v>
      </c>
      <c r="BW42" s="422" t="s">
        <v>364</v>
      </c>
      <c r="BX42" s="422" t="s">
        <v>364</v>
      </c>
      <c r="BY42" s="422" t="s">
        <v>364</v>
      </c>
      <c r="BZ42" s="422" t="s">
        <v>364</v>
      </c>
      <c r="CA42" s="422" t="s">
        <v>364</v>
      </c>
      <c r="CB42" s="422" t="s">
        <v>364</v>
      </c>
      <c r="CC42" s="422" t="s">
        <v>364</v>
      </c>
      <c r="CD42" s="422" t="s">
        <v>364</v>
      </c>
      <c r="CE42" s="422" t="s">
        <v>364</v>
      </c>
      <c r="CF42" s="422" t="s">
        <v>364</v>
      </c>
      <c r="CG42" s="422" t="s">
        <v>364</v>
      </c>
      <c r="CH42" s="422" t="s">
        <v>364</v>
      </c>
      <c r="CI42" s="422" t="s">
        <v>364</v>
      </c>
      <c r="CJ42" s="422" t="s">
        <v>364</v>
      </c>
      <c r="CK42" s="422" t="s">
        <v>364</v>
      </c>
      <c r="CL42" s="422" t="s">
        <v>364</v>
      </c>
      <c r="CM42" s="422" t="s">
        <v>364</v>
      </c>
      <c r="CN42" s="422" t="s">
        <v>364</v>
      </c>
      <c r="CO42" s="422" t="s">
        <v>364</v>
      </c>
      <c r="CP42" s="422" t="s">
        <v>364</v>
      </c>
      <c r="CQ42" s="422" t="s">
        <v>364</v>
      </c>
      <c r="CR42" s="422" t="s">
        <v>364</v>
      </c>
      <c r="CS42" s="422" t="s">
        <v>364</v>
      </c>
      <c r="CT42" s="422" t="s">
        <v>364</v>
      </c>
      <c r="CU42" s="422" t="s">
        <v>364</v>
      </c>
      <c r="CV42" s="422" t="s">
        <v>364</v>
      </c>
      <c r="CW42" s="422" t="s">
        <v>364</v>
      </c>
      <c r="CX42" s="422" t="s">
        <v>364</v>
      </c>
      <c r="CY42" s="422" t="s">
        <v>364</v>
      </c>
      <c r="CZ42" s="422" t="s">
        <v>364</v>
      </c>
      <c r="DA42" s="422" t="s">
        <v>364</v>
      </c>
      <c r="DB42" s="422" t="s">
        <v>364</v>
      </c>
      <c r="DC42" s="422" t="s">
        <v>364</v>
      </c>
      <c r="DD42" s="422" t="s">
        <v>364</v>
      </c>
      <c r="DE42" s="422" t="s">
        <v>364</v>
      </c>
      <c r="DF42" s="422" t="s">
        <v>364</v>
      </c>
      <c r="DG42" s="422" t="s">
        <v>364</v>
      </c>
      <c r="DH42" s="422" t="s">
        <v>364</v>
      </c>
      <c r="DI42" s="422" t="s">
        <v>364</v>
      </c>
      <c r="DJ42" s="422" t="s">
        <v>364</v>
      </c>
      <c r="DK42" s="422">
        <f t="shared" si="4"/>
        <v>0</v>
      </c>
      <c r="DL42" s="422" t="s">
        <v>364</v>
      </c>
      <c r="DM42" s="422" t="s">
        <v>364</v>
      </c>
      <c r="DN42" s="422" t="s">
        <v>364</v>
      </c>
      <c r="DO42" s="422" t="s">
        <v>364</v>
      </c>
      <c r="DP42" s="422" t="s">
        <v>364</v>
      </c>
      <c r="DQ42" s="422" t="s">
        <v>364</v>
      </c>
      <c r="DR42" s="422" t="s">
        <v>364</v>
      </c>
      <c r="DS42" s="422" t="s">
        <v>364</v>
      </c>
      <c r="DT42" s="422" t="s">
        <v>364</v>
      </c>
      <c r="DU42" s="422" t="s">
        <v>364</v>
      </c>
      <c r="DV42" s="422" t="s">
        <v>364</v>
      </c>
      <c r="DW42" s="422" t="s">
        <v>364</v>
      </c>
      <c r="DX42" s="422" t="s">
        <v>364</v>
      </c>
      <c r="DY42" s="422">
        <f t="shared" si="5"/>
        <v>0</v>
      </c>
      <c r="DZ42" s="422" t="s">
        <v>364</v>
      </c>
      <c r="EA42" s="422" t="s">
        <v>364</v>
      </c>
      <c r="EB42" s="422" t="s">
        <v>364</v>
      </c>
      <c r="EC42" s="422" t="s">
        <v>364</v>
      </c>
      <c r="ED42" s="422" t="s">
        <v>364</v>
      </c>
      <c r="EE42" s="422" t="s">
        <v>364</v>
      </c>
      <c r="EF42" s="422" t="s">
        <v>364</v>
      </c>
      <c r="EG42" s="422" t="s">
        <v>364</v>
      </c>
      <c r="EH42" s="422" t="s">
        <v>364</v>
      </c>
      <c r="EI42" s="422" t="s">
        <v>364</v>
      </c>
      <c r="EJ42" s="422" t="s">
        <v>364</v>
      </c>
      <c r="EK42" s="422" t="s">
        <v>364</v>
      </c>
      <c r="EL42" s="422" t="s">
        <v>364</v>
      </c>
      <c r="EM42" s="422" t="s">
        <v>364</v>
      </c>
      <c r="EN42" s="422" t="s">
        <v>364</v>
      </c>
      <c r="EO42" s="422" t="s">
        <v>364</v>
      </c>
      <c r="EP42" s="422" t="s">
        <v>364</v>
      </c>
      <c r="EQ42" s="422" t="s">
        <v>364</v>
      </c>
      <c r="ER42" s="422" t="s">
        <v>364</v>
      </c>
      <c r="ES42" s="422" t="s">
        <v>364</v>
      </c>
      <c r="ET42" s="422" t="s">
        <v>364</v>
      </c>
      <c r="EU42" s="422" t="s">
        <v>364</v>
      </c>
      <c r="EV42" s="422" t="s">
        <v>364</v>
      </c>
      <c r="EW42" s="422" t="s">
        <v>364</v>
      </c>
      <c r="EX42" s="422" t="s">
        <v>364</v>
      </c>
      <c r="EY42" s="422" t="s">
        <v>364</v>
      </c>
      <c r="EZ42" s="422" t="s">
        <v>364</v>
      </c>
      <c r="FA42" s="422">
        <f t="shared" si="6"/>
        <v>0</v>
      </c>
      <c r="FB42" s="422" t="s">
        <v>364</v>
      </c>
      <c r="FC42" s="422" t="s">
        <v>364</v>
      </c>
      <c r="FD42" s="422" t="s">
        <v>364</v>
      </c>
      <c r="FE42" s="422" t="s">
        <v>364</v>
      </c>
      <c r="FF42" s="422" t="s">
        <v>364</v>
      </c>
      <c r="FG42" s="422" t="s">
        <v>364</v>
      </c>
      <c r="FH42" s="422" t="s">
        <v>364</v>
      </c>
      <c r="FI42" s="422" t="s">
        <v>364</v>
      </c>
      <c r="FJ42" s="422" t="s">
        <v>364</v>
      </c>
      <c r="FK42" s="422" t="s">
        <v>364</v>
      </c>
      <c r="FL42" s="422" t="s">
        <v>364</v>
      </c>
      <c r="FM42" s="422" t="s">
        <v>364</v>
      </c>
      <c r="FN42" s="422" t="s">
        <v>364</v>
      </c>
      <c r="FO42" s="422" t="s">
        <v>364</v>
      </c>
      <c r="FP42" s="422" t="s">
        <v>364</v>
      </c>
      <c r="FQ42" s="422" t="s">
        <v>364</v>
      </c>
      <c r="FR42" s="422" t="s">
        <v>364</v>
      </c>
      <c r="FS42" s="422" t="s">
        <v>364</v>
      </c>
      <c r="FT42" s="422" t="s">
        <v>364</v>
      </c>
      <c r="FU42" s="422" t="s">
        <v>364</v>
      </c>
      <c r="FV42" s="422" t="s">
        <v>364</v>
      </c>
      <c r="FW42" s="422" t="s">
        <v>364</v>
      </c>
      <c r="FX42" s="422" t="s">
        <v>364</v>
      </c>
      <c r="FY42" s="422" t="s">
        <v>364</v>
      </c>
      <c r="FZ42" s="422" t="s">
        <v>364</v>
      </c>
      <c r="GA42" s="422" t="s">
        <v>364</v>
      </c>
      <c r="GB42" s="422" t="s">
        <v>364</v>
      </c>
      <c r="GC42" s="422" t="s">
        <v>364</v>
      </c>
      <c r="GD42" s="422" t="s">
        <v>364</v>
      </c>
      <c r="GE42" s="422" t="s">
        <v>364</v>
      </c>
      <c r="GF42" s="422" t="s">
        <v>364</v>
      </c>
      <c r="GG42" s="422" t="s">
        <v>364</v>
      </c>
      <c r="GH42" s="422" t="s">
        <v>364</v>
      </c>
      <c r="GI42" s="422" t="s">
        <v>364</v>
      </c>
      <c r="GJ42" s="422" t="s">
        <v>364</v>
      </c>
      <c r="GK42" s="422" t="s">
        <v>364</v>
      </c>
      <c r="GL42" s="422" t="s">
        <v>364</v>
      </c>
      <c r="GM42" s="422" t="s">
        <v>364</v>
      </c>
      <c r="GN42" s="422" t="s">
        <v>364</v>
      </c>
      <c r="GO42" s="422" t="s">
        <v>364</v>
      </c>
      <c r="GP42" s="422" t="s">
        <v>364</v>
      </c>
      <c r="GQ42" s="422" t="s">
        <v>364</v>
      </c>
      <c r="GR42" s="422" t="s">
        <v>364</v>
      </c>
      <c r="GS42" s="422" t="s">
        <v>364</v>
      </c>
      <c r="GT42" s="422" t="s">
        <v>364</v>
      </c>
      <c r="GU42" s="422" t="s">
        <v>364</v>
      </c>
      <c r="GV42" s="422">
        <f t="shared" si="7"/>
        <v>47</v>
      </c>
      <c r="GW42" s="422">
        <v>47</v>
      </c>
      <c r="GX42" s="422" t="s">
        <v>364</v>
      </c>
      <c r="GY42" s="422" t="s">
        <v>364</v>
      </c>
      <c r="GZ42" s="422" t="s">
        <v>364</v>
      </c>
      <c r="HA42" s="422" t="s">
        <v>364</v>
      </c>
      <c r="HB42" s="422" t="s">
        <v>364</v>
      </c>
      <c r="HC42" s="422" t="s">
        <v>364</v>
      </c>
      <c r="HD42" s="422" t="s">
        <v>364</v>
      </c>
      <c r="HE42" s="422" t="s">
        <v>364</v>
      </c>
      <c r="HF42" s="422" t="s">
        <v>364</v>
      </c>
      <c r="HG42" s="422" t="s">
        <v>364</v>
      </c>
      <c r="HH42" s="422" t="s">
        <v>364</v>
      </c>
      <c r="HI42" s="422" t="s">
        <v>364</v>
      </c>
      <c r="HJ42" s="422" t="s">
        <v>364</v>
      </c>
      <c r="HK42" s="422" t="s">
        <v>364</v>
      </c>
      <c r="HL42" s="422" t="s">
        <v>364</v>
      </c>
      <c r="HM42" s="422" t="s">
        <v>364</v>
      </c>
      <c r="HN42" s="422" t="s">
        <v>364</v>
      </c>
      <c r="HO42" s="422" t="s">
        <v>364</v>
      </c>
      <c r="HP42" s="422" t="s">
        <v>364</v>
      </c>
      <c r="HQ42" s="422" t="s">
        <v>364</v>
      </c>
      <c r="HR42" s="422" t="s">
        <v>364</v>
      </c>
      <c r="HS42" s="422" t="s">
        <v>364</v>
      </c>
      <c r="HT42" s="422" t="s">
        <v>364</v>
      </c>
      <c r="HU42" s="422" t="s">
        <v>364</v>
      </c>
      <c r="HV42" s="422" t="s">
        <v>364</v>
      </c>
      <c r="HW42" s="422" t="s">
        <v>364</v>
      </c>
      <c r="HX42" s="422" t="s">
        <v>364</v>
      </c>
      <c r="HY42" s="422">
        <f t="shared" si="8"/>
        <v>0</v>
      </c>
      <c r="HZ42" s="422" t="s">
        <v>364</v>
      </c>
      <c r="IA42" s="422" t="s">
        <v>364</v>
      </c>
      <c r="IB42" s="422" t="s">
        <v>364</v>
      </c>
      <c r="IC42" s="422" t="s">
        <v>364</v>
      </c>
      <c r="ID42" s="422" t="s">
        <v>364</v>
      </c>
      <c r="IE42" s="422" t="s">
        <v>364</v>
      </c>
      <c r="IF42" s="422">
        <f t="shared" si="9"/>
        <v>0</v>
      </c>
      <c r="IG42" s="422" t="s">
        <v>364</v>
      </c>
      <c r="IH42" s="422" t="s">
        <v>364</v>
      </c>
      <c r="II42" s="422" t="s">
        <v>364</v>
      </c>
      <c r="IJ42" s="422" t="s">
        <v>364</v>
      </c>
      <c r="IK42" s="422" t="s">
        <v>364</v>
      </c>
      <c r="IL42" s="422" t="s">
        <v>364</v>
      </c>
      <c r="IM42" s="422" t="s">
        <v>364</v>
      </c>
      <c r="IN42" s="422" t="s">
        <v>364</v>
      </c>
      <c r="IO42" s="422" t="s">
        <v>364</v>
      </c>
      <c r="IP42" s="422" t="s">
        <v>364</v>
      </c>
      <c r="IQ42" s="422" t="s">
        <v>364</v>
      </c>
      <c r="IR42" s="422" t="s">
        <v>364</v>
      </c>
      <c r="IS42" s="422" t="s">
        <v>364</v>
      </c>
      <c r="IT42" s="422" t="s">
        <v>364</v>
      </c>
      <c r="IU42" s="422" t="s">
        <v>364</v>
      </c>
      <c r="IV42" s="422" t="s">
        <v>364</v>
      </c>
      <c r="IW42" s="422" t="s">
        <v>364</v>
      </c>
      <c r="IX42" s="422" t="s">
        <v>364</v>
      </c>
      <c r="IY42" s="422" t="s">
        <v>364</v>
      </c>
      <c r="IZ42" s="422">
        <f t="shared" si="10"/>
        <v>0</v>
      </c>
      <c r="JA42" s="422" t="s">
        <v>364</v>
      </c>
      <c r="JB42" s="422" t="s">
        <v>364</v>
      </c>
      <c r="JC42" s="422" t="s">
        <v>364</v>
      </c>
      <c r="JD42" s="422" t="s">
        <v>364</v>
      </c>
      <c r="JE42" s="422" t="s">
        <v>364</v>
      </c>
      <c r="JF42" s="422" t="s">
        <v>364</v>
      </c>
      <c r="JG42" s="422" t="s">
        <v>364</v>
      </c>
      <c r="JH42" s="422" t="s">
        <v>364</v>
      </c>
      <c r="JI42" s="422" t="s">
        <v>364</v>
      </c>
      <c r="JJ42" s="422" t="s">
        <v>364</v>
      </c>
      <c r="JK42" s="422" t="s">
        <v>364</v>
      </c>
      <c r="JL42" s="422" t="s">
        <v>364</v>
      </c>
      <c r="JM42" s="422" t="s">
        <v>364</v>
      </c>
      <c r="JN42" s="422" t="s">
        <v>364</v>
      </c>
      <c r="JO42" s="422" t="s">
        <v>364</v>
      </c>
      <c r="JP42" s="422" t="s">
        <v>364</v>
      </c>
      <c r="JQ42" s="422" t="s">
        <v>364</v>
      </c>
      <c r="JR42" s="422" t="s">
        <v>364</v>
      </c>
      <c r="JS42" s="422" t="s">
        <v>364</v>
      </c>
      <c r="JT42" s="422" t="s">
        <v>364</v>
      </c>
      <c r="JU42" s="422" t="s">
        <v>364</v>
      </c>
      <c r="JV42" s="422" t="s">
        <v>364</v>
      </c>
      <c r="JW42" s="422">
        <f t="shared" si="11"/>
        <v>0</v>
      </c>
      <c r="JX42" s="422" t="s">
        <v>364</v>
      </c>
      <c r="JY42" s="422" t="s">
        <v>364</v>
      </c>
      <c r="JZ42" s="422" t="s">
        <v>364</v>
      </c>
      <c r="KA42" s="422" t="s">
        <v>364</v>
      </c>
      <c r="KB42" s="422" t="s">
        <v>364</v>
      </c>
      <c r="KC42" s="422" t="s">
        <v>364</v>
      </c>
      <c r="KD42" s="422" t="s">
        <v>364</v>
      </c>
      <c r="KE42" s="422" t="s">
        <v>364</v>
      </c>
      <c r="KF42" s="422" t="s">
        <v>364</v>
      </c>
      <c r="KG42" s="422" t="s">
        <v>364</v>
      </c>
      <c r="KH42" s="422" t="s">
        <v>364</v>
      </c>
      <c r="KI42" s="422" t="s">
        <v>364</v>
      </c>
      <c r="KJ42" s="422" t="s">
        <v>364</v>
      </c>
      <c r="KK42" s="422" t="s">
        <v>364</v>
      </c>
      <c r="KL42" s="422" t="s">
        <v>364</v>
      </c>
      <c r="KM42" s="422" t="s">
        <v>364</v>
      </c>
      <c r="KN42" s="422" t="s">
        <v>364</v>
      </c>
      <c r="KO42" s="422" t="s">
        <v>364</v>
      </c>
      <c r="KP42" s="422" t="s">
        <v>364</v>
      </c>
      <c r="KQ42" s="422" t="s">
        <v>364</v>
      </c>
      <c r="KR42" s="422" t="s">
        <v>364</v>
      </c>
      <c r="KS42" s="422" t="s">
        <v>364</v>
      </c>
      <c r="KT42" s="422" t="s">
        <v>364</v>
      </c>
      <c r="KU42" s="422" t="s">
        <v>364</v>
      </c>
      <c r="KV42" s="422" t="s">
        <v>364</v>
      </c>
      <c r="KW42" s="422" t="s">
        <v>364</v>
      </c>
      <c r="KX42" s="422" t="s">
        <v>364</v>
      </c>
      <c r="KY42" s="422" t="s">
        <v>364</v>
      </c>
      <c r="KZ42" s="422" t="s">
        <v>364</v>
      </c>
      <c r="LA42" s="422" t="s">
        <v>364</v>
      </c>
      <c r="LB42" s="422" t="s">
        <v>364</v>
      </c>
      <c r="LC42" s="422" t="s">
        <v>364</v>
      </c>
      <c r="LD42" s="422" t="s">
        <v>364</v>
      </c>
      <c r="LE42" s="422" t="s">
        <v>364</v>
      </c>
      <c r="LF42" s="422" t="s">
        <v>364</v>
      </c>
      <c r="LG42" s="422" t="s">
        <v>364</v>
      </c>
      <c r="LH42" s="422" t="s">
        <v>364</v>
      </c>
      <c r="LI42" s="422" t="s">
        <v>364</v>
      </c>
      <c r="LJ42" s="422" t="s">
        <v>364</v>
      </c>
      <c r="LK42" s="422" t="s">
        <v>364</v>
      </c>
      <c r="LL42" s="422" t="s">
        <v>364</v>
      </c>
      <c r="LM42" s="424" t="s">
        <v>364</v>
      </c>
      <c r="LN42" s="424">
        <v>0</v>
      </c>
      <c r="LO42" s="424" t="s">
        <v>364</v>
      </c>
      <c r="LP42" s="424" t="s">
        <v>364</v>
      </c>
      <c r="LQ42" s="424" t="s">
        <v>364</v>
      </c>
      <c r="LR42" s="424" t="s">
        <v>364</v>
      </c>
      <c r="LS42" s="424" t="s">
        <v>364</v>
      </c>
      <c r="LT42" s="424" t="s">
        <v>364</v>
      </c>
      <c r="LU42" s="424" t="s">
        <v>364</v>
      </c>
      <c r="LV42" s="424" t="s">
        <v>364</v>
      </c>
      <c r="LW42" s="424" t="s">
        <v>364</v>
      </c>
      <c r="LX42" s="424">
        <f t="shared" si="12"/>
        <v>0</v>
      </c>
      <c r="LY42" s="424" t="s">
        <v>364</v>
      </c>
      <c r="LZ42" s="424" t="s">
        <v>364</v>
      </c>
      <c r="MA42" s="424" t="s">
        <v>364</v>
      </c>
      <c r="MB42" s="424" t="s">
        <v>364</v>
      </c>
      <c r="MC42" s="424" t="s">
        <v>364</v>
      </c>
      <c r="MD42" s="424" t="s">
        <v>364</v>
      </c>
      <c r="ME42" s="424">
        <f t="shared" si="1"/>
        <v>0</v>
      </c>
      <c r="MF42" s="424" t="s">
        <v>364</v>
      </c>
      <c r="MG42" s="424" t="s">
        <v>364</v>
      </c>
      <c r="MH42" s="424" t="s">
        <v>364</v>
      </c>
      <c r="MI42" s="424" t="s">
        <v>364</v>
      </c>
      <c r="MJ42" s="424" t="s">
        <v>364</v>
      </c>
      <c r="MK42" s="424" t="s">
        <v>364</v>
      </c>
      <c r="ML42" s="424" t="s">
        <v>364</v>
      </c>
      <c r="MM42" s="424" t="s">
        <v>364</v>
      </c>
      <c r="MN42" s="424" t="s">
        <v>364</v>
      </c>
      <c r="MO42" s="424" t="s">
        <v>364</v>
      </c>
      <c r="MP42" s="424" t="s">
        <v>364</v>
      </c>
      <c r="MQ42" s="424" t="s">
        <v>364</v>
      </c>
      <c r="MR42" s="424" t="s">
        <v>364</v>
      </c>
      <c r="MS42" s="424" t="s">
        <v>364</v>
      </c>
      <c r="MT42" s="424" t="s">
        <v>364</v>
      </c>
      <c r="MU42" s="424" t="s">
        <v>364</v>
      </c>
      <c r="MV42" s="424" t="s">
        <v>364</v>
      </c>
      <c r="MW42" s="424" t="s">
        <v>364</v>
      </c>
      <c r="MX42" s="424">
        <f t="shared" si="13"/>
        <v>0</v>
      </c>
      <c r="MY42" s="424" t="s">
        <v>364</v>
      </c>
      <c r="MZ42" s="424" t="s">
        <v>364</v>
      </c>
      <c r="NA42" s="424" t="s">
        <v>364</v>
      </c>
      <c r="NB42" s="424" t="s">
        <v>364</v>
      </c>
      <c r="NC42" s="424" t="s">
        <v>364</v>
      </c>
      <c r="ND42" s="424" t="s">
        <v>364</v>
      </c>
      <c r="NE42" s="424" t="s">
        <v>364</v>
      </c>
      <c r="NF42" s="424" t="s">
        <v>6598</v>
      </c>
      <c r="NG42" s="424" t="s">
        <v>6598</v>
      </c>
      <c r="NH42" s="424" t="s">
        <v>364</v>
      </c>
      <c r="NI42" s="424" t="s">
        <v>364</v>
      </c>
      <c r="NJ42" s="424" t="s">
        <v>364</v>
      </c>
      <c r="NK42" s="424">
        <f t="shared" si="2"/>
        <v>0</v>
      </c>
      <c r="NL42" s="424">
        <f t="shared" si="14"/>
        <v>0</v>
      </c>
      <c r="NM42" s="424" t="s">
        <v>364</v>
      </c>
      <c r="NN42" s="424" t="s">
        <v>364</v>
      </c>
      <c r="NO42" s="424" t="s">
        <v>364</v>
      </c>
      <c r="NP42" s="424" t="s">
        <v>364</v>
      </c>
      <c r="NQ42" s="424" t="s">
        <v>364</v>
      </c>
      <c r="NR42" s="424" t="s">
        <v>364</v>
      </c>
      <c r="NS42" s="424" t="s">
        <v>364</v>
      </c>
      <c r="NT42" s="424" t="s">
        <v>364</v>
      </c>
      <c r="NU42" s="424" t="s">
        <v>364</v>
      </c>
      <c r="NV42" s="424" t="s">
        <v>364</v>
      </c>
      <c r="NW42" s="424" t="s">
        <v>364</v>
      </c>
      <c r="NX42" s="424" t="s">
        <v>364</v>
      </c>
      <c r="NY42" s="424" t="s">
        <v>364</v>
      </c>
      <c r="NZ42" s="424">
        <f t="shared" si="15"/>
        <v>0</v>
      </c>
      <c r="OA42" s="424" t="s">
        <v>364</v>
      </c>
      <c r="OB42" s="424" t="s">
        <v>364</v>
      </c>
      <c r="OC42" s="424" t="s">
        <v>364</v>
      </c>
      <c r="OD42" s="424" t="s">
        <v>364</v>
      </c>
      <c r="OE42" s="424" t="s">
        <v>364</v>
      </c>
      <c r="OF42" s="424" t="s">
        <v>364</v>
      </c>
      <c r="OG42" s="424" t="s">
        <v>364</v>
      </c>
      <c r="OH42" s="424">
        <f t="shared" si="16"/>
        <v>24</v>
      </c>
      <c r="OI42" s="424">
        <f t="shared" si="17"/>
        <v>24</v>
      </c>
      <c r="OJ42" s="422" t="s">
        <v>364</v>
      </c>
      <c r="OK42" s="422" t="s">
        <v>364</v>
      </c>
      <c r="OL42" s="422" t="s">
        <v>364</v>
      </c>
      <c r="OM42" s="422">
        <v>24</v>
      </c>
      <c r="ON42" s="422" t="s">
        <v>364</v>
      </c>
      <c r="OO42" s="422" t="s">
        <v>364</v>
      </c>
      <c r="OP42" s="422" t="s">
        <v>364</v>
      </c>
      <c r="OQ42" s="422" t="s">
        <v>364</v>
      </c>
      <c r="OR42" s="422" t="s">
        <v>364</v>
      </c>
      <c r="OS42" s="422" t="s">
        <v>364</v>
      </c>
      <c r="OT42" s="422" t="s">
        <v>364</v>
      </c>
      <c r="OU42" s="422" t="s">
        <v>364</v>
      </c>
      <c r="OV42" s="422" t="s">
        <v>364</v>
      </c>
      <c r="OW42" s="422" t="s">
        <v>364</v>
      </c>
      <c r="OX42" s="422" t="s">
        <v>364</v>
      </c>
      <c r="OY42" s="422" t="s">
        <v>364</v>
      </c>
      <c r="OZ42" s="422" t="s">
        <v>364</v>
      </c>
      <c r="PA42" s="422" t="s">
        <v>364</v>
      </c>
      <c r="PB42" s="424">
        <f t="shared" si="18"/>
        <v>0</v>
      </c>
      <c r="PC42" s="422" t="s">
        <v>364</v>
      </c>
      <c r="PD42" s="422" t="s">
        <v>364</v>
      </c>
      <c r="PE42" s="422" t="s">
        <v>364</v>
      </c>
      <c r="PF42" s="422" t="s">
        <v>364</v>
      </c>
      <c r="PG42" s="422" t="s">
        <v>364</v>
      </c>
      <c r="PH42" s="422" t="s">
        <v>364</v>
      </c>
      <c r="PI42" s="422" t="s">
        <v>364</v>
      </c>
      <c r="PJ42" s="422" t="s">
        <v>364</v>
      </c>
    </row>
    <row r="43" spans="2:426" ht="15.6">
      <c r="B43" s="426" t="s">
        <v>1305</v>
      </c>
      <c r="C43" s="422">
        <f t="shared" si="3"/>
        <v>0</v>
      </c>
      <c r="D43" s="422" t="s">
        <v>364</v>
      </c>
      <c r="E43" s="422" t="s">
        <v>364</v>
      </c>
      <c r="F43" s="422" t="s">
        <v>364</v>
      </c>
      <c r="G43" s="422" t="s">
        <v>364</v>
      </c>
      <c r="H43" s="422" t="s">
        <v>364</v>
      </c>
      <c r="I43" s="422" t="s">
        <v>364</v>
      </c>
      <c r="J43" s="422" t="s">
        <v>364</v>
      </c>
      <c r="K43" s="422" t="s">
        <v>364</v>
      </c>
      <c r="L43" s="422" t="s">
        <v>364</v>
      </c>
      <c r="M43" s="422" t="s">
        <v>364</v>
      </c>
      <c r="N43" s="422" t="s">
        <v>364</v>
      </c>
      <c r="O43" s="422" t="s">
        <v>364</v>
      </c>
      <c r="P43" s="422" t="s">
        <v>364</v>
      </c>
      <c r="Q43" s="422" t="s">
        <v>364</v>
      </c>
      <c r="R43" s="422" t="s">
        <v>364</v>
      </c>
      <c r="S43" s="422" t="s">
        <v>364</v>
      </c>
      <c r="T43" s="422" t="s">
        <v>364</v>
      </c>
      <c r="U43" s="422" t="s">
        <v>364</v>
      </c>
      <c r="V43" s="422" t="s">
        <v>364</v>
      </c>
      <c r="W43" s="422" t="s">
        <v>364</v>
      </c>
      <c r="X43" s="422" t="s">
        <v>364</v>
      </c>
      <c r="Y43" s="422" t="s">
        <v>364</v>
      </c>
      <c r="Z43" s="422" t="s">
        <v>364</v>
      </c>
      <c r="AA43" s="422" t="s">
        <v>364</v>
      </c>
      <c r="AB43" s="422" t="s">
        <v>364</v>
      </c>
      <c r="AC43" s="422" t="s">
        <v>364</v>
      </c>
      <c r="AD43" s="422" t="s">
        <v>364</v>
      </c>
      <c r="AE43" s="422" t="s">
        <v>364</v>
      </c>
      <c r="AF43" s="422" t="s">
        <v>364</v>
      </c>
      <c r="AG43" s="422" t="s">
        <v>364</v>
      </c>
      <c r="AH43" s="422" t="s">
        <v>364</v>
      </c>
      <c r="AI43" s="422" t="s">
        <v>364</v>
      </c>
      <c r="AJ43" s="422" t="s">
        <v>364</v>
      </c>
      <c r="AK43" s="422" t="s">
        <v>364</v>
      </c>
      <c r="AL43" s="422" t="s">
        <v>364</v>
      </c>
      <c r="AM43" s="422" t="s">
        <v>364</v>
      </c>
      <c r="AN43" s="422" t="s">
        <v>364</v>
      </c>
      <c r="AO43" s="422" t="s">
        <v>364</v>
      </c>
      <c r="AP43" s="422" t="s">
        <v>364</v>
      </c>
      <c r="AQ43" s="422">
        <f t="shared" si="0"/>
        <v>136</v>
      </c>
      <c r="AR43" s="422" t="s">
        <v>364</v>
      </c>
      <c r="AS43" s="422" t="s">
        <v>364</v>
      </c>
      <c r="AT43" s="422" t="s">
        <v>364</v>
      </c>
      <c r="AU43" s="422" t="s">
        <v>364</v>
      </c>
      <c r="AV43" s="422" t="s">
        <v>364</v>
      </c>
      <c r="AW43" s="422" t="s">
        <v>364</v>
      </c>
      <c r="AX43" s="422" t="s">
        <v>364</v>
      </c>
      <c r="AY43" s="422" t="s">
        <v>364</v>
      </c>
      <c r="AZ43" s="422" t="s">
        <v>364</v>
      </c>
      <c r="BA43" s="422" t="s">
        <v>364</v>
      </c>
      <c r="BB43" s="422" t="s">
        <v>364</v>
      </c>
      <c r="BC43" s="422" t="s">
        <v>364</v>
      </c>
      <c r="BD43" s="422" t="s">
        <v>364</v>
      </c>
      <c r="BE43" s="422" t="s">
        <v>364</v>
      </c>
      <c r="BF43" s="422" t="s">
        <v>364</v>
      </c>
      <c r="BG43" s="422" t="s">
        <v>364</v>
      </c>
      <c r="BH43" s="422" t="s">
        <v>364</v>
      </c>
      <c r="BI43" s="422" t="s">
        <v>364</v>
      </c>
      <c r="BJ43" s="422" t="s">
        <v>364</v>
      </c>
      <c r="BK43" s="422" t="s">
        <v>364</v>
      </c>
      <c r="BL43" s="422" t="s">
        <v>364</v>
      </c>
      <c r="BM43" s="422" t="s">
        <v>364</v>
      </c>
      <c r="BN43" s="422" t="s">
        <v>364</v>
      </c>
      <c r="BO43" s="422" t="s">
        <v>364</v>
      </c>
      <c r="BP43" s="422">
        <v>56</v>
      </c>
      <c r="BQ43" s="422" t="s">
        <v>364</v>
      </c>
      <c r="BR43" s="422">
        <v>80</v>
      </c>
      <c r="BS43" s="422" t="s">
        <v>364</v>
      </c>
      <c r="BT43" s="422" t="s">
        <v>364</v>
      </c>
      <c r="BU43" s="422" t="s">
        <v>364</v>
      </c>
      <c r="BV43" s="422" t="s">
        <v>364</v>
      </c>
      <c r="BW43" s="422" t="s">
        <v>364</v>
      </c>
      <c r="BX43" s="422" t="s">
        <v>364</v>
      </c>
      <c r="BY43" s="422" t="s">
        <v>364</v>
      </c>
      <c r="BZ43" s="422" t="s">
        <v>364</v>
      </c>
      <c r="CA43" s="422" t="s">
        <v>364</v>
      </c>
      <c r="CB43" s="422" t="s">
        <v>364</v>
      </c>
      <c r="CC43" s="422" t="s">
        <v>364</v>
      </c>
      <c r="CD43" s="422" t="s">
        <v>364</v>
      </c>
      <c r="CE43" s="422" t="s">
        <v>364</v>
      </c>
      <c r="CF43" s="422" t="s">
        <v>364</v>
      </c>
      <c r="CG43" s="422" t="s">
        <v>364</v>
      </c>
      <c r="CH43" s="422" t="s">
        <v>364</v>
      </c>
      <c r="CI43" s="422" t="s">
        <v>364</v>
      </c>
      <c r="CJ43" s="422" t="s">
        <v>364</v>
      </c>
      <c r="CK43" s="422" t="s">
        <v>364</v>
      </c>
      <c r="CL43" s="422" t="s">
        <v>364</v>
      </c>
      <c r="CM43" s="422" t="s">
        <v>364</v>
      </c>
      <c r="CN43" s="422" t="s">
        <v>364</v>
      </c>
      <c r="CO43" s="422" t="s">
        <v>364</v>
      </c>
      <c r="CP43" s="422" t="s">
        <v>364</v>
      </c>
      <c r="CQ43" s="422" t="s">
        <v>364</v>
      </c>
      <c r="CR43" s="422" t="s">
        <v>364</v>
      </c>
      <c r="CS43" s="422" t="s">
        <v>364</v>
      </c>
      <c r="CT43" s="422" t="s">
        <v>364</v>
      </c>
      <c r="CU43" s="422" t="s">
        <v>364</v>
      </c>
      <c r="CV43" s="422" t="s">
        <v>364</v>
      </c>
      <c r="CW43" s="422" t="s">
        <v>364</v>
      </c>
      <c r="CX43" s="422" t="s">
        <v>364</v>
      </c>
      <c r="CY43" s="422" t="s">
        <v>364</v>
      </c>
      <c r="CZ43" s="422" t="s">
        <v>364</v>
      </c>
      <c r="DA43" s="422" t="s">
        <v>364</v>
      </c>
      <c r="DB43" s="422" t="s">
        <v>364</v>
      </c>
      <c r="DC43" s="422" t="s">
        <v>364</v>
      </c>
      <c r="DD43" s="422" t="s">
        <v>364</v>
      </c>
      <c r="DE43" s="422" t="s">
        <v>364</v>
      </c>
      <c r="DF43" s="422" t="s">
        <v>364</v>
      </c>
      <c r="DG43" s="422" t="s">
        <v>364</v>
      </c>
      <c r="DH43" s="422" t="s">
        <v>364</v>
      </c>
      <c r="DI43" s="422" t="s">
        <v>364</v>
      </c>
      <c r="DJ43" s="422" t="s">
        <v>364</v>
      </c>
      <c r="DK43" s="422">
        <f t="shared" si="4"/>
        <v>0</v>
      </c>
      <c r="DL43" s="422" t="s">
        <v>364</v>
      </c>
      <c r="DM43" s="422" t="s">
        <v>364</v>
      </c>
      <c r="DN43" s="422" t="s">
        <v>364</v>
      </c>
      <c r="DO43" s="422" t="s">
        <v>364</v>
      </c>
      <c r="DP43" s="422" t="s">
        <v>364</v>
      </c>
      <c r="DQ43" s="422" t="s">
        <v>364</v>
      </c>
      <c r="DR43" s="422" t="s">
        <v>364</v>
      </c>
      <c r="DS43" s="422" t="s">
        <v>364</v>
      </c>
      <c r="DT43" s="422" t="s">
        <v>364</v>
      </c>
      <c r="DU43" s="422" t="s">
        <v>364</v>
      </c>
      <c r="DV43" s="422" t="s">
        <v>364</v>
      </c>
      <c r="DW43" s="422" t="s">
        <v>364</v>
      </c>
      <c r="DX43" s="422" t="s">
        <v>364</v>
      </c>
      <c r="DY43" s="422">
        <f t="shared" si="5"/>
        <v>6</v>
      </c>
      <c r="DZ43" s="422" t="s">
        <v>364</v>
      </c>
      <c r="EA43" s="422" t="s">
        <v>364</v>
      </c>
      <c r="EB43" s="422" t="s">
        <v>364</v>
      </c>
      <c r="EC43" s="422" t="s">
        <v>364</v>
      </c>
      <c r="ED43" s="422" t="s">
        <v>364</v>
      </c>
      <c r="EE43" s="422" t="s">
        <v>364</v>
      </c>
      <c r="EF43" s="422" t="s">
        <v>364</v>
      </c>
      <c r="EG43" s="422" t="s">
        <v>364</v>
      </c>
      <c r="EH43" s="422" t="s">
        <v>364</v>
      </c>
      <c r="EI43" s="422" t="s">
        <v>364</v>
      </c>
      <c r="EJ43" s="422" t="s">
        <v>364</v>
      </c>
      <c r="EK43" s="422" t="s">
        <v>364</v>
      </c>
      <c r="EL43" s="422" t="s">
        <v>364</v>
      </c>
      <c r="EM43" s="422" t="s">
        <v>364</v>
      </c>
      <c r="EN43" s="422" t="s">
        <v>364</v>
      </c>
      <c r="EO43" s="422" t="s">
        <v>364</v>
      </c>
      <c r="EP43" s="422" t="s">
        <v>364</v>
      </c>
      <c r="EQ43" s="422" t="s">
        <v>364</v>
      </c>
      <c r="ER43" s="422">
        <v>6</v>
      </c>
      <c r="ES43" s="422" t="s">
        <v>364</v>
      </c>
      <c r="ET43" s="422" t="s">
        <v>364</v>
      </c>
      <c r="EU43" s="422" t="s">
        <v>364</v>
      </c>
      <c r="EV43" s="422" t="s">
        <v>364</v>
      </c>
      <c r="EW43" s="422" t="s">
        <v>364</v>
      </c>
      <c r="EX43" s="422" t="s">
        <v>364</v>
      </c>
      <c r="EY43" s="422" t="s">
        <v>364</v>
      </c>
      <c r="EZ43" s="422" t="s">
        <v>364</v>
      </c>
      <c r="FA43" s="422">
        <f t="shared" si="6"/>
        <v>44</v>
      </c>
      <c r="FB43" s="422" t="s">
        <v>364</v>
      </c>
      <c r="FC43" s="422" t="s">
        <v>364</v>
      </c>
      <c r="FD43" s="422" t="s">
        <v>364</v>
      </c>
      <c r="FE43" s="422" t="s">
        <v>364</v>
      </c>
      <c r="FF43" s="422" t="s">
        <v>364</v>
      </c>
      <c r="FG43" s="422" t="s">
        <v>364</v>
      </c>
      <c r="FH43" s="422" t="s">
        <v>364</v>
      </c>
      <c r="FI43" s="422" t="s">
        <v>364</v>
      </c>
      <c r="FJ43" s="422" t="s">
        <v>364</v>
      </c>
      <c r="FK43" s="422" t="s">
        <v>364</v>
      </c>
      <c r="FL43" s="422" t="s">
        <v>364</v>
      </c>
      <c r="FM43" s="422">
        <v>44</v>
      </c>
      <c r="FN43" s="422" t="s">
        <v>364</v>
      </c>
      <c r="FO43" s="422" t="s">
        <v>364</v>
      </c>
      <c r="FP43" s="422" t="s">
        <v>364</v>
      </c>
      <c r="FQ43" s="422" t="s">
        <v>364</v>
      </c>
      <c r="FR43" s="422" t="s">
        <v>364</v>
      </c>
      <c r="FS43" s="422" t="s">
        <v>364</v>
      </c>
      <c r="FT43" s="422" t="s">
        <v>364</v>
      </c>
      <c r="FU43" s="422" t="s">
        <v>364</v>
      </c>
      <c r="FV43" s="422" t="s">
        <v>364</v>
      </c>
      <c r="FW43" s="422" t="s">
        <v>364</v>
      </c>
      <c r="FX43" s="422" t="s">
        <v>364</v>
      </c>
      <c r="FY43" s="422" t="s">
        <v>364</v>
      </c>
      <c r="FZ43" s="422" t="s">
        <v>364</v>
      </c>
      <c r="GA43" s="422" t="s">
        <v>364</v>
      </c>
      <c r="GB43" s="422" t="s">
        <v>364</v>
      </c>
      <c r="GC43" s="422" t="s">
        <v>364</v>
      </c>
      <c r="GD43" s="422" t="s">
        <v>364</v>
      </c>
      <c r="GE43" s="422" t="s">
        <v>364</v>
      </c>
      <c r="GF43" s="422" t="s">
        <v>364</v>
      </c>
      <c r="GG43" s="422" t="s">
        <v>364</v>
      </c>
      <c r="GH43" s="422" t="s">
        <v>364</v>
      </c>
      <c r="GI43" s="422" t="s">
        <v>364</v>
      </c>
      <c r="GJ43" s="422" t="s">
        <v>364</v>
      </c>
      <c r="GK43" s="422" t="s">
        <v>364</v>
      </c>
      <c r="GL43" s="422" t="s">
        <v>364</v>
      </c>
      <c r="GM43" s="422" t="s">
        <v>364</v>
      </c>
      <c r="GN43" s="422" t="s">
        <v>364</v>
      </c>
      <c r="GO43" s="422" t="s">
        <v>364</v>
      </c>
      <c r="GP43" s="422" t="s">
        <v>364</v>
      </c>
      <c r="GQ43" s="422" t="s">
        <v>364</v>
      </c>
      <c r="GR43" s="422" t="s">
        <v>364</v>
      </c>
      <c r="GS43" s="422" t="s">
        <v>364</v>
      </c>
      <c r="GT43" s="422" t="s">
        <v>364</v>
      </c>
      <c r="GU43" s="422" t="s">
        <v>364</v>
      </c>
      <c r="GV43" s="422">
        <f t="shared" si="7"/>
        <v>30</v>
      </c>
      <c r="GW43" s="422" t="s">
        <v>364</v>
      </c>
      <c r="GX43" s="422" t="s">
        <v>364</v>
      </c>
      <c r="GY43" s="422" t="s">
        <v>364</v>
      </c>
      <c r="GZ43" s="422" t="s">
        <v>364</v>
      </c>
      <c r="HA43" s="422" t="s">
        <v>364</v>
      </c>
      <c r="HB43" s="422" t="s">
        <v>364</v>
      </c>
      <c r="HC43" s="422" t="s">
        <v>364</v>
      </c>
      <c r="HD43" s="422" t="s">
        <v>364</v>
      </c>
      <c r="HE43" s="422" t="s">
        <v>364</v>
      </c>
      <c r="HF43" s="422" t="s">
        <v>364</v>
      </c>
      <c r="HG43" s="422" t="s">
        <v>364</v>
      </c>
      <c r="HH43" s="422">
        <v>24</v>
      </c>
      <c r="HI43" s="422">
        <v>6</v>
      </c>
      <c r="HJ43" s="422" t="s">
        <v>364</v>
      </c>
      <c r="HK43" s="422" t="s">
        <v>364</v>
      </c>
      <c r="HL43" s="422" t="s">
        <v>364</v>
      </c>
      <c r="HM43" s="422" t="s">
        <v>364</v>
      </c>
      <c r="HN43" s="422" t="s">
        <v>364</v>
      </c>
      <c r="HO43" s="422" t="s">
        <v>364</v>
      </c>
      <c r="HP43" s="422" t="s">
        <v>364</v>
      </c>
      <c r="HQ43" s="422" t="s">
        <v>364</v>
      </c>
      <c r="HR43" s="422" t="s">
        <v>364</v>
      </c>
      <c r="HS43" s="422" t="s">
        <v>364</v>
      </c>
      <c r="HT43" s="422" t="s">
        <v>364</v>
      </c>
      <c r="HU43" s="422" t="s">
        <v>364</v>
      </c>
      <c r="HV43" s="422" t="s">
        <v>364</v>
      </c>
      <c r="HW43" s="422" t="s">
        <v>364</v>
      </c>
      <c r="HX43" s="422" t="s">
        <v>364</v>
      </c>
      <c r="HY43" s="422">
        <f t="shared" si="8"/>
        <v>0</v>
      </c>
      <c r="HZ43" s="422" t="s">
        <v>364</v>
      </c>
      <c r="IA43" s="422" t="s">
        <v>364</v>
      </c>
      <c r="IB43" s="422" t="s">
        <v>364</v>
      </c>
      <c r="IC43" s="422" t="s">
        <v>364</v>
      </c>
      <c r="ID43" s="422" t="s">
        <v>364</v>
      </c>
      <c r="IE43" s="422" t="s">
        <v>364</v>
      </c>
      <c r="IF43" s="422">
        <f t="shared" si="9"/>
        <v>0</v>
      </c>
      <c r="IG43" s="422" t="s">
        <v>364</v>
      </c>
      <c r="IH43" s="422" t="s">
        <v>364</v>
      </c>
      <c r="II43" s="422" t="s">
        <v>364</v>
      </c>
      <c r="IJ43" s="422" t="s">
        <v>364</v>
      </c>
      <c r="IK43" s="422" t="s">
        <v>364</v>
      </c>
      <c r="IL43" s="422" t="s">
        <v>364</v>
      </c>
      <c r="IM43" s="422" t="s">
        <v>364</v>
      </c>
      <c r="IN43" s="422" t="s">
        <v>364</v>
      </c>
      <c r="IO43" s="422" t="s">
        <v>364</v>
      </c>
      <c r="IP43" s="422" t="s">
        <v>364</v>
      </c>
      <c r="IQ43" s="422" t="s">
        <v>364</v>
      </c>
      <c r="IR43" s="422" t="s">
        <v>364</v>
      </c>
      <c r="IS43" s="422" t="s">
        <v>364</v>
      </c>
      <c r="IT43" s="422" t="s">
        <v>364</v>
      </c>
      <c r="IU43" s="422" t="s">
        <v>364</v>
      </c>
      <c r="IV43" s="422" t="s">
        <v>364</v>
      </c>
      <c r="IW43" s="422" t="s">
        <v>364</v>
      </c>
      <c r="IX43" s="422" t="s">
        <v>364</v>
      </c>
      <c r="IY43" s="422" t="s">
        <v>364</v>
      </c>
      <c r="IZ43" s="422">
        <f t="shared" si="10"/>
        <v>0</v>
      </c>
      <c r="JA43" s="422" t="s">
        <v>364</v>
      </c>
      <c r="JB43" s="422" t="s">
        <v>364</v>
      </c>
      <c r="JC43" s="422" t="s">
        <v>364</v>
      </c>
      <c r="JD43" s="422" t="s">
        <v>364</v>
      </c>
      <c r="JE43" s="422" t="s">
        <v>364</v>
      </c>
      <c r="JF43" s="422" t="s">
        <v>364</v>
      </c>
      <c r="JG43" s="422" t="s">
        <v>364</v>
      </c>
      <c r="JH43" s="422" t="s">
        <v>364</v>
      </c>
      <c r="JI43" s="422" t="s">
        <v>364</v>
      </c>
      <c r="JJ43" s="422" t="s">
        <v>364</v>
      </c>
      <c r="JK43" s="422" t="s">
        <v>364</v>
      </c>
      <c r="JL43" s="422" t="s">
        <v>364</v>
      </c>
      <c r="JM43" s="422" t="s">
        <v>364</v>
      </c>
      <c r="JN43" s="422" t="s">
        <v>364</v>
      </c>
      <c r="JO43" s="422" t="s">
        <v>364</v>
      </c>
      <c r="JP43" s="422" t="s">
        <v>364</v>
      </c>
      <c r="JQ43" s="422" t="s">
        <v>364</v>
      </c>
      <c r="JR43" s="422" t="s">
        <v>364</v>
      </c>
      <c r="JS43" s="422" t="s">
        <v>364</v>
      </c>
      <c r="JT43" s="422" t="s">
        <v>364</v>
      </c>
      <c r="JU43" s="422" t="s">
        <v>364</v>
      </c>
      <c r="JV43" s="422" t="s">
        <v>364</v>
      </c>
      <c r="JW43" s="422">
        <f t="shared" si="11"/>
        <v>0</v>
      </c>
      <c r="JX43" s="422" t="s">
        <v>364</v>
      </c>
      <c r="JY43" s="422" t="s">
        <v>364</v>
      </c>
      <c r="JZ43" s="422" t="s">
        <v>364</v>
      </c>
      <c r="KA43" s="422" t="s">
        <v>364</v>
      </c>
      <c r="KB43" s="422" t="s">
        <v>364</v>
      </c>
      <c r="KC43" s="422" t="s">
        <v>364</v>
      </c>
      <c r="KD43" s="422" t="s">
        <v>364</v>
      </c>
      <c r="KE43" s="422" t="s">
        <v>364</v>
      </c>
      <c r="KF43" s="422" t="s">
        <v>364</v>
      </c>
      <c r="KG43" s="422" t="s">
        <v>364</v>
      </c>
      <c r="KH43" s="422" t="s">
        <v>364</v>
      </c>
      <c r="KI43" s="422" t="s">
        <v>364</v>
      </c>
      <c r="KJ43" s="422" t="s">
        <v>364</v>
      </c>
      <c r="KK43" s="422" t="s">
        <v>364</v>
      </c>
      <c r="KL43" s="422" t="s">
        <v>364</v>
      </c>
      <c r="KM43" s="422" t="s">
        <v>364</v>
      </c>
      <c r="KN43" s="422" t="s">
        <v>364</v>
      </c>
      <c r="KO43" s="422" t="s">
        <v>364</v>
      </c>
      <c r="KP43" s="422" t="s">
        <v>364</v>
      </c>
      <c r="KQ43" s="422" t="s">
        <v>364</v>
      </c>
      <c r="KR43" s="422" t="s">
        <v>364</v>
      </c>
      <c r="KS43" s="422" t="s">
        <v>364</v>
      </c>
      <c r="KT43" s="422" t="s">
        <v>364</v>
      </c>
      <c r="KU43" s="422" t="s">
        <v>364</v>
      </c>
      <c r="KV43" s="422" t="s">
        <v>364</v>
      </c>
      <c r="KW43" s="422" t="s">
        <v>364</v>
      </c>
      <c r="KX43" s="422" t="s">
        <v>364</v>
      </c>
      <c r="KY43" s="422" t="s">
        <v>364</v>
      </c>
      <c r="KZ43" s="422" t="s">
        <v>364</v>
      </c>
      <c r="LA43" s="422" t="s">
        <v>364</v>
      </c>
      <c r="LB43" s="422" t="s">
        <v>364</v>
      </c>
      <c r="LC43" s="422" t="s">
        <v>364</v>
      </c>
      <c r="LD43" s="422" t="s">
        <v>364</v>
      </c>
      <c r="LE43" s="422" t="s">
        <v>364</v>
      </c>
      <c r="LF43" s="422" t="s">
        <v>364</v>
      </c>
      <c r="LG43" s="422" t="s">
        <v>364</v>
      </c>
      <c r="LH43" s="422" t="s">
        <v>364</v>
      </c>
      <c r="LI43" s="422" t="s">
        <v>364</v>
      </c>
      <c r="LJ43" s="422" t="s">
        <v>364</v>
      </c>
      <c r="LK43" s="422" t="s">
        <v>364</v>
      </c>
      <c r="LL43" s="422" t="s">
        <v>364</v>
      </c>
      <c r="LM43" s="424" t="s">
        <v>364</v>
      </c>
      <c r="LN43" s="424">
        <v>0</v>
      </c>
      <c r="LO43" s="424" t="s">
        <v>364</v>
      </c>
      <c r="LP43" s="424" t="s">
        <v>364</v>
      </c>
      <c r="LQ43" s="424" t="s">
        <v>364</v>
      </c>
      <c r="LR43" s="424" t="s">
        <v>364</v>
      </c>
      <c r="LS43" s="424" t="s">
        <v>364</v>
      </c>
      <c r="LT43" s="424" t="s">
        <v>364</v>
      </c>
      <c r="LU43" s="424" t="s">
        <v>364</v>
      </c>
      <c r="LV43" s="424" t="s">
        <v>364</v>
      </c>
      <c r="LW43" s="424" t="s">
        <v>364</v>
      </c>
      <c r="LX43" s="424">
        <f t="shared" si="12"/>
        <v>0</v>
      </c>
      <c r="LY43" s="424" t="s">
        <v>364</v>
      </c>
      <c r="LZ43" s="424" t="s">
        <v>364</v>
      </c>
      <c r="MA43" s="424" t="s">
        <v>364</v>
      </c>
      <c r="MB43" s="424" t="s">
        <v>364</v>
      </c>
      <c r="MC43" s="424" t="s">
        <v>364</v>
      </c>
      <c r="MD43" s="424" t="s">
        <v>364</v>
      </c>
      <c r="ME43" s="424">
        <f t="shared" si="1"/>
        <v>0</v>
      </c>
      <c r="MF43" s="424" t="s">
        <v>364</v>
      </c>
      <c r="MG43" s="424" t="s">
        <v>364</v>
      </c>
      <c r="MH43" s="424" t="s">
        <v>364</v>
      </c>
      <c r="MI43" s="424" t="s">
        <v>364</v>
      </c>
      <c r="MJ43" s="424" t="s">
        <v>364</v>
      </c>
      <c r="MK43" s="424" t="s">
        <v>364</v>
      </c>
      <c r="ML43" s="424" t="s">
        <v>364</v>
      </c>
      <c r="MM43" s="424" t="s">
        <v>364</v>
      </c>
      <c r="MN43" s="424" t="s">
        <v>364</v>
      </c>
      <c r="MO43" s="424" t="s">
        <v>364</v>
      </c>
      <c r="MP43" s="424" t="s">
        <v>364</v>
      </c>
      <c r="MQ43" s="424" t="s">
        <v>364</v>
      </c>
      <c r="MR43" s="424" t="s">
        <v>364</v>
      </c>
      <c r="MS43" s="424" t="s">
        <v>364</v>
      </c>
      <c r="MT43" s="424" t="s">
        <v>364</v>
      </c>
      <c r="MU43" s="424" t="s">
        <v>364</v>
      </c>
      <c r="MV43" s="424" t="s">
        <v>364</v>
      </c>
      <c r="MW43" s="424" t="s">
        <v>364</v>
      </c>
      <c r="MX43" s="424">
        <f t="shared" si="13"/>
        <v>0</v>
      </c>
      <c r="MY43" s="424" t="s">
        <v>364</v>
      </c>
      <c r="MZ43" s="424" t="s">
        <v>364</v>
      </c>
      <c r="NA43" s="424" t="s">
        <v>364</v>
      </c>
      <c r="NB43" s="424" t="s">
        <v>364</v>
      </c>
      <c r="NC43" s="424" t="s">
        <v>364</v>
      </c>
      <c r="ND43" s="424" t="s">
        <v>364</v>
      </c>
      <c r="NE43" s="424" t="s">
        <v>364</v>
      </c>
      <c r="NF43" s="424" t="s">
        <v>364</v>
      </c>
      <c r="NG43" s="424" t="s">
        <v>364</v>
      </c>
      <c r="NH43" s="424" t="s">
        <v>364</v>
      </c>
      <c r="NI43" s="424" t="s">
        <v>364</v>
      </c>
      <c r="NJ43" s="424" t="s">
        <v>364</v>
      </c>
      <c r="NK43" s="424">
        <f t="shared" si="2"/>
        <v>0</v>
      </c>
      <c r="NL43" s="424">
        <f t="shared" si="14"/>
        <v>0</v>
      </c>
      <c r="NM43" s="424" t="s">
        <v>364</v>
      </c>
      <c r="NN43" s="424" t="s">
        <v>364</v>
      </c>
      <c r="NO43" s="424" t="s">
        <v>364</v>
      </c>
      <c r="NP43" s="424" t="s">
        <v>364</v>
      </c>
      <c r="NQ43" s="424" t="s">
        <v>364</v>
      </c>
      <c r="NR43" s="424" t="s">
        <v>364</v>
      </c>
      <c r="NS43" s="424" t="s">
        <v>364</v>
      </c>
      <c r="NT43" s="424" t="s">
        <v>364</v>
      </c>
      <c r="NU43" s="424" t="s">
        <v>364</v>
      </c>
      <c r="NV43" s="424" t="s">
        <v>364</v>
      </c>
      <c r="NW43" s="424" t="s">
        <v>364</v>
      </c>
      <c r="NX43" s="424" t="s">
        <v>364</v>
      </c>
      <c r="NY43" s="424" t="s">
        <v>364</v>
      </c>
      <c r="NZ43" s="424">
        <f t="shared" si="15"/>
        <v>0</v>
      </c>
      <c r="OA43" s="424" t="s">
        <v>364</v>
      </c>
      <c r="OB43" s="424" t="s">
        <v>364</v>
      </c>
      <c r="OC43" s="424" t="s">
        <v>364</v>
      </c>
      <c r="OD43" s="424" t="s">
        <v>364</v>
      </c>
      <c r="OE43" s="424" t="s">
        <v>364</v>
      </c>
      <c r="OF43" s="424" t="s">
        <v>6598</v>
      </c>
      <c r="OG43" s="424" t="s">
        <v>364</v>
      </c>
      <c r="OH43" s="424">
        <f t="shared" si="16"/>
        <v>0</v>
      </c>
      <c r="OI43" s="424">
        <f t="shared" si="17"/>
        <v>0</v>
      </c>
      <c r="OJ43" s="422" t="s">
        <v>364</v>
      </c>
      <c r="OK43" s="422" t="s">
        <v>364</v>
      </c>
      <c r="OL43" s="422" t="s">
        <v>364</v>
      </c>
      <c r="OM43" s="422" t="s">
        <v>364</v>
      </c>
      <c r="ON43" s="422" t="s">
        <v>364</v>
      </c>
      <c r="OO43" s="422" t="s">
        <v>6598</v>
      </c>
      <c r="OP43" s="422" t="s">
        <v>364</v>
      </c>
      <c r="OQ43" s="422" t="s">
        <v>364</v>
      </c>
      <c r="OR43" s="422" t="s">
        <v>364</v>
      </c>
      <c r="OS43" s="422" t="s">
        <v>364</v>
      </c>
      <c r="OT43" s="422" t="s">
        <v>364</v>
      </c>
      <c r="OU43" s="422" t="s">
        <v>364</v>
      </c>
      <c r="OV43" s="422" t="s">
        <v>364</v>
      </c>
      <c r="OW43" s="422" t="s">
        <v>364</v>
      </c>
      <c r="OX43" s="422" t="s">
        <v>364</v>
      </c>
      <c r="OY43" s="422" t="s">
        <v>364</v>
      </c>
      <c r="OZ43" s="422" t="s">
        <v>364</v>
      </c>
      <c r="PA43" s="422" t="s">
        <v>364</v>
      </c>
      <c r="PB43" s="424">
        <f t="shared" si="18"/>
        <v>0</v>
      </c>
      <c r="PC43" s="422" t="s">
        <v>364</v>
      </c>
      <c r="PD43" s="422" t="s">
        <v>364</v>
      </c>
      <c r="PE43" s="422" t="s">
        <v>364</v>
      </c>
      <c r="PF43" s="422" t="s">
        <v>364</v>
      </c>
      <c r="PG43" s="422" t="s">
        <v>364</v>
      </c>
      <c r="PH43" s="422" t="s">
        <v>364</v>
      </c>
      <c r="PI43" s="422" t="s">
        <v>364</v>
      </c>
      <c r="PJ43" s="422" t="s">
        <v>364</v>
      </c>
    </row>
    <row r="44" spans="2:426" ht="15.6">
      <c r="B44" s="426" t="s">
        <v>3337</v>
      </c>
      <c r="C44" s="422">
        <f t="shared" si="3"/>
        <v>46</v>
      </c>
      <c r="D44" s="422" t="s">
        <v>364</v>
      </c>
      <c r="E44" s="422" t="s">
        <v>364</v>
      </c>
      <c r="F44" s="422" t="s">
        <v>364</v>
      </c>
      <c r="G44" s="422" t="s">
        <v>364</v>
      </c>
      <c r="H44" s="422" t="s">
        <v>364</v>
      </c>
      <c r="I44" s="422" t="s">
        <v>364</v>
      </c>
      <c r="J44" s="422" t="s">
        <v>364</v>
      </c>
      <c r="K44" s="422" t="s">
        <v>364</v>
      </c>
      <c r="L44" s="422" t="s">
        <v>364</v>
      </c>
      <c r="M44" s="422" t="s">
        <v>364</v>
      </c>
      <c r="N44" s="422" t="s">
        <v>364</v>
      </c>
      <c r="O44" s="422" t="s">
        <v>364</v>
      </c>
      <c r="P44" s="422" t="s">
        <v>364</v>
      </c>
      <c r="Q44" s="422" t="s">
        <v>364</v>
      </c>
      <c r="R44" s="422" t="s">
        <v>364</v>
      </c>
      <c r="S44" s="422" t="s">
        <v>364</v>
      </c>
      <c r="T44" s="422" t="s">
        <v>364</v>
      </c>
      <c r="U44" s="422" t="s">
        <v>364</v>
      </c>
      <c r="V44" s="422" t="s">
        <v>364</v>
      </c>
      <c r="W44" s="422" t="s">
        <v>364</v>
      </c>
      <c r="X44" s="422" t="s">
        <v>364</v>
      </c>
      <c r="Y44" s="422" t="s">
        <v>364</v>
      </c>
      <c r="Z44" s="422" t="s">
        <v>364</v>
      </c>
      <c r="AA44" s="422" t="s">
        <v>364</v>
      </c>
      <c r="AB44" s="422" t="s">
        <v>364</v>
      </c>
      <c r="AC44" s="422" t="s">
        <v>364</v>
      </c>
      <c r="AD44" s="422">
        <v>46</v>
      </c>
      <c r="AE44" s="422" t="s">
        <v>364</v>
      </c>
      <c r="AF44" s="422" t="s">
        <v>364</v>
      </c>
      <c r="AG44" s="422" t="s">
        <v>364</v>
      </c>
      <c r="AH44" s="422" t="s">
        <v>364</v>
      </c>
      <c r="AI44" s="422" t="s">
        <v>364</v>
      </c>
      <c r="AJ44" s="422" t="s">
        <v>364</v>
      </c>
      <c r="AK44" s="422" t="s">
        <v>364</v>
      </c>
      <c r="AL44" s="422" t="s">
        <v>364</v>
      </c>
      <c r="AM44" s="422" t="s">
        <v>364</v>
      </c>
      <c r="AN44" s="422" t="s">
        <v>364</v>
      </c>
      <c r="AO44" s="422" t="s">
        <v>364</v>
      </c>
      <c r="AP44" s="422" t="s">
        <v>364</v>
      </c>
      <c r="AQ44" s="422">
        <f t="shared" si="0"/>
        <v>139</v>
      </c>
      <c r="AR44" s="422" t="s">
        <v>364</v>
      </c>
      <c r="AS44" s="422" t="s">
        <v>364</v>
      </c>
      <c r="AT44" s="422" t="s">
        <v>364</v>
      </c>
      <c r="AU44" s="422" t="s">
        <v>364</v>
      </c>
      <c r="AV44" s="422" t="s">
        <v>364</v>
      </c>
      <c r="AW44" s="422" t="s">
        <v>364</v>
      </c>
      <c r="AX44" s="422" t="s">
        <v>364</v>
      </c>
      <c r="AY44" s="422">
        <v>85</v>
      </c>
      <c r="AZ44" s="422" t="s">
        <v>364</v>
      </c>
      <c r="BA44" s="422" t="s">
        <v>364</v>
      </c>
      <c r="BB44" s="422" t="s">
        <v>364</v>
      </c>
      <c r="BC44" s="422" t="s">
        <v>364</v>
      </c>
      <c r="BD44" s="422" t="s">
        <v>364</v>
      </c>
      <c r="BE44" s="422" t="s">
        <v>364</v>
      </c>
      <c r="BF44" s="422" t="s">
        <v>364</v>
      </c>
      <c r="BG44" s="422" t="s">
        <v>364</v>
      </c>
      <c r="BH44" s="422" t="s">
        <v>364</v>
      </c>
      <c r="BI44" s="422" t="s">
        <v>364</v>
      </c>
      <c r="BJ44" s="422" t="s">
        <v>364</v>
      </c>
      <c r="BK44" s="422" t="s">
        <v>364</v>
      </c>
      <c r="BL44" s="422" t="s">
        <v>364</v>
      </c>
      <c r="BM44" s="422" t="s">
        <v>364</v>
      </c>
      <c r="BN44" s="422">
        <v>30</v>
      </c>
      <c r="BO44" s="422" t="s">
        <v>364</v>
      </c>
      <c r="BP44" s="422" t="s">
        <v>364</v>
      </c>
      <c r="BQ44" s="422" t="s">
        <v>364</v>
      </c>
      <c r="BR44" s="422" t="s">
        <v>364</v>
      </c>
      <c r="BS44" s="422" t="s">
        <v>364</v>
      </c>
      <c r="BT44" s="422" t="s">
        <v>364</v>
      </c>
      <c r="BU44" s="422" t="s">
        <v>364</v>
      </c>
      <c r="BV44" s="422" t="s">
        <v>364</v>
      </c>
      <c r="BW44" s="422" t="s">
        <v>364</v>
      </c>
      <c r="BX44" s="422" t="s">
        <v>364</v>
      </c>
      <c r="BY44" s="422" t="s">
        <v>364</v>
      </c>
      <c r="BZ44" s="422" t="s">
        <v>364</v>
      </c>
      <c r="CA44" s="422" t="s">
        <v>364</v>
      </c>
      <c r="CB44" s="422" t="s">
        <v>364</v>
      </c>
      <c r="CC44" s="422">
        <v>24</v>
      </c>
      <c r="CD44" s="422" t="s">
        <v>364</v>
      </c>
      <c r="CE44" s="422" t="s">
        <v>364</v>
      </c>
      <c r="CF44" s="422" t="s">
        <v>364</v>
      </c>
      <c r="CG44" s="422" t="s">
        <v>364</v>
      </c>
      <c r="CH44" s="422" t="s">
        <v>364</v>
      </c>
      <c r="CI44" s="422" t="s">
        <v>364</v>
      </c>
      <c r="CJ44" s="422" t="s">
        <v>364</v>
      </c>
      <c r="CK44" s="422" t="s">
        <v>364</v>
      </c>
      <c r="CL44" s="422" t="s">
        <v>364</v>
      </c>
      <c r="CM44" s="422" t="s">
        <v>364</v>
      </c>
      <c r="CN44" s="422" t="s">
        <v>364</v>
      </c>
      <c r="CO44" s="422" t="s">
        <v>364</v>
      </c>
      <c r="CP44" s="422" t="s">
        <v>364</v>
      </c>
      <c r="CQ44" s="422" t="s">
        <v>364</v>
      </c>
      <c r="CR44" s="422" t="s">
        <v>364</v>
      </c>
      <c r="CS44" s="422" t="s">
        <v>364</v>
      </c>
      <c r="CT44" s="422" t="s">
        <v>364</v>
      </c>
      <c r="CU44" s="422" t="s">
        <v>364</v>
      </c>
      <c r="CV44" s="422" t="s">
        <v>364</v>
      </c>
      <c r="CW44" s="422" t="s">
        <v>364</v>
      </c>
      <c r="CX44" s="422" t="s">
        <v>364</v>
      </c>
      <c r="CY44" s="422" t="s">
        <v>364</v>
      </c>
      <c r="CZ44" s="422" t="s">
        <v>364</v>
      </c>
      <c r="DA44" s="422" t="s">
        <v>364</v>
      </c>
      <c r="DB44" s="422" t="s">
        <v>364</v>
      </c>
      <c r="DC44" s="422" t="s">
        <v>364</v>
      </c>
      <c r="DD44" s="422" t="s">
        <v>364</v>
      </c>
      <c r="DE44" s="422" t="s">
        <v>364</v>
      </c>
      <c r="DF44" s="422" t="s">
        <v>364</v>
      </c>
      <c r="DG44" s="422" t="s">
        <v>364</v>
      </c>
      <c r="DH44" s="422" t="s">
        <v>364</v>
      </c>
      <c r="DI44" s="422" t="s">
        <v>364</v>
      </c>
      <c r="DJ44" s="422" t="s">
        <v>364</v>
      </c>
      <c r="DK44" s="422">
        <f t="shared" si="4"/>
        <v>0</v>
      </c>
      <c r="DL44" s="422" t="s">
        <v>364</v>
      </c>
      <c r="DM44" s="422" t="s">
        <v>364</v>
      </c>
      <c r="DN44" s="422" t="s">
        <v>364</v>
      </c>
      <c r="DO44" s="422" t="s">
        <v>6598</v>
      </c>
      <c r="DP44" s="422" t="s">
        <v>364</v>
      </c>
      <c r="DQ44" s="422" t="s">
        <v>364</v>
      </c>
      <c r="DR44" s="422" t="s">
        <v>364</v>
      </c>
      <c r="DS44" s="422" t="s">
        <v>364</v>
      </c>
      <c r="DT44" s="422" t="s">
        <v>364</v>
      </c>
      <c r="DU44" s="422" t="s">
        <v>364</v>
      </c>
      <c r="DV44" s="422" t="s">
        <v>364</v>
      </c>
      <c r="DW44" s="422" t="s">
        <v>364</v>
      </c>
      <c r="DX44" s="422" t="s">
        <v>364</v>
      </c>
      <c r="DY44" s="422">
        <f t="shared" si="5"/>
        <v>0</v>
      </c>
      <c r="DZ44" s="422" t="s">
        <v>364</v>
      </c>
      <c r="EA44" s="422" t="s">
        <v>364</v>
      </c>
      <c r="EB44" s="422" t="s">
        <v>364</v>
      </c>
      <c r="EC44" s="422" t="s">
        <v>364</v>
      </c>
      <c r="ED44" s="422" t="s">
        <v>364</v>
      </c>
      <c r="EE44" s="422" t="s">
        <v>364</v>
      </c>
      <c r="EF44" s="422" t="s">
        <v>364</v>
      </c>
      <c r="EG44" s="422" t="s">
        <v>364</v>
      </c>
      <c r="EH44" s="422" t="s">
        <v>364</v>
      </c>
      <c r="EI44" s="422" t="s">
        <v>364</v>
      </c>
      <c r="EJ44" s="422" t="s">
        <v>364</v>
      </c>
      <c r="EK44" s="422" t="s">
        <v>364</v>
      </c>
      <c r="EL44" s="422" t="s">
        <v>364</v>
      </c>
      <c r="EM44" s="422" t="s">
        <v>364</v>
      </c>
      <c r="EN44" s="422" t="s">
        <v>364</v>
      </c>
      <c r="EO44" s="422" t="s">
        <v>364</v>
      </c>
      <c r="EP44" s="422" t="s">
        <v>364</v>
      </c>
      <c r="EQ44" s="422" t="s">
        <v>364</v>
      </c>
      <c r="ER44" s="422" t="s">
        <v>364</v>
      </c>
      <c r="ES44" s="422" t="s">
        <v>364</v>
      </c>
      <c r="ET44" s="422" t="s">
        <v>364</v>
      </c>
      <c r="EU44" s="422" t="s">
        <v>364</v>
      </c>
      <c r="EV44" s="422" t="s">
        <v>364</v>
      </c>
      <c r="EW44" s="422" t="s">
        <v>364</v>
      </c>
      <c r="EX44" s="422" t="s">
        <v>364</v>
      </c>
      <c r="EY44" s="422" t="s">
        <v>364</v>
      </c>
      <c r="EZ44" s="422" t="s">
        <v>364</v>
      </c>
      <c r="FA44" s="422">
        <f t="shared" si="6"/>
        <v>0</v>
      </c>
      <c r="FB44" s="422" t="s">
        <v>364</v>
      </c>
      <c r="FC44" s="422" t="s">
        <v>364</v>
      </c>
      <c r="FD44" s="422" t="s">
        <v>364</v>
      </c>
      <c r="FE44" s="422" t="s">
        <v>364</v>
      </c>
      <c r="FF44" s="422" t="s">
        <v>364</v>
      </c>
      <c r="FG44" s="422" t="s">
        <v>364</v>
      </c>
      <c r="FH44" s="422" t="s">
        <v>364</v>
      </c>
      <c r="FI44" s="422" t="s">
        <v>364</v>
      </c>
      <c r="FJ44" s="422" t="s">
        <v>364</v>
      </c>
      <c r="FK44" s="422" t="s">
        <v>364</v>
      </c>
      <c r="FL44" s="422" t="s">
        <v>364</v>
      </c>
      <c r="FM44" s="422" t="s">
        <v>364</v>
      </c>
      <c r="FN44" s="422" t="s">
        <v>364</v>
      </c>
      <c r="FO44" s="422" t="s">
        <v>364</v>
      </c>
      <c r="FP44" s="422" t="s">
        <v>364</v>
      </c>
      <c r="FQ44" s="422" t="s">
        <v>364</v>
      </c>
      <c r="FR44" s="422" t="s">
        <v>364</v>
      </c>
      <c r="FS44" s="422" t="s">
        <v>364</v>
      </c>
      <c r="FT44" s="422" t="s">
        <v>364</v>
      </c>
      <c r="FU44" s="422" t="s">
        <v>364</v>
      </c>
      <c r="FV44" s="422" t="s">
        <v>364</v>
      </c>
      <c r="FW44" s="422" t="s">
        <v>364</v>
      </c>
      <c r="FX44" s="422" t="s">
        <v>364</v>
      </c>
      <c r="FY44" s="422" t="s">
        <v>364</v>
      </c>
      <c r="FZ44" s="422" t="s">
        <v>364</v>
      </c>
      <c r="GA44" s="422" t="s">
        <v>364</v>
      </c>
      <c r="GB44" s="422" t="s">
        <v>364</v>
      </c>
      <c r="GC44" s="422" t="s">
        <v>364</v>
      </c>
      <c r="GD44" s="422" t="s">
        <v>364</v>
      </c>
      <c r="GE44" s="422" t="s">
        <v>364</v>
      </c>
      <c r="GF44" s="422" t="s">
        <v>364</v>
      </c>
      <c r="GG44" s="422" t="s">
        <v>364</v>
      </c>
      <c r="GH44" s="422" t="s">
        <v>364</v>
      </c>
      <c r="GI44" s="422" t="s">
        <v>364</v>
      </c>
      <c r="GJ44" s="422" t="s">
        <v>364</v>
      </c>
      <c r="GK44" s="422" t="s">
        <v>364</v>
      </c>
      <c r="GL44" s="422" t="s">
        <v>364</v>
      </c>
      <c r="GM44" s="422" t="s">
        <v>364</v>
      </c>
      <c r="GN44" s="422" t="s">
        <v>364</v>
      </c>
      <c r="GO44" s="422" t="s">
        <v>364</v>
      </c>
      <c r="GP44" s="422" t="s">
        <v>364</v>
      </c>
      <c r="GQ44" s="422" t="s">
        <v>364</v>
      </c>
      <c r="GR44" s="422" t="s">
        <v>364</v>
      </c>
      <c r="GS44" s="422" t="s">
        <v>364</v>
      </c>
      <c r="GT44" s="422" t="s">
        <v>364</v>
      </c>
      <c r="GU44" s="422" t="s">
        <v>364</v>
      </c>
      <c r="GV44" s="422">
        <f t="shared" si="7"/>
        <v>18</v>
      </c>
      <c r="GW44" s="422" t="s">
        <v>364</v>
      </c>
      <c r="GX44" s="422" t="s">
        <v>364</v>
      </c>
      <c r="GY44" s="422" t="s">
        <v>364</v>
      </c>
      <c r="GZ44" s="422" t="s">
        <v>364</v>
      </c>
      <c r="HA44" s="422" t="s">
        <v>364</v>
      </c>
      <c r="HB44" s="422" t="s">
        <v>364</v>
      </c>
      <c r="HC44" s="422" t="s">
        <v>364</v>
      </c>
      <c r="HD44" s="422" t="s">
        <v>364</v>
      </c>
      <c r="HE44" s="422" t="s">
        <v>364</v>
      </c>
      <c r="HF44" s="422" t="s">
        <v>364</v>
      </c>
      <c r="HG44" s="422" t="s">
        <v>364</v>
      </c>
      <c r="HH44" s="422" t="s">
        <v>364</v>
      </c>
      <c r="HI44" s="422" t="s">
        <v>364</v>
      </c>
      <c r="HJ44" s="422" t="s">
        <v>364</v>
      </c>
      <c r="HK44" s="422" t="s">
        <v>364</v>
      </c>
      <c r="HL44" s="422" t="s">
        <v>364</v>
      </c>
      <c r="HM44" s="422">
        <v>18</v>
      </c>
      <c r="HN44" s="422" t="s">
        <v>364</v>
      </c>
      <c r="HO44" s="422" t="s">
        <v>364</v>
      </c>
      <c r="HP44" s="422" t="s">
        <v>364</v>
      </c>
      <c r="HQ44" s="422" t="s">
        <v>364</v>
      </c>
      <c r="HR44" s="422" t="s">
        <v>364</v>
      </c>
      <c r="HS44" s="422" t="s">
        <v>364</v>
      </c>
      <c r="HT44" s="422" t="s">
        <v>364</v>
      </c>
      <c r="HU44" s="422" t="s">
        <v>364</v>
      </c>
      <c r="HV44" s="422" t="s">
        <v>364</v>
      </c>
      <c r="HW44" s="422" t="s">
        <v>364</v>
      </c>
      <c r="HX44" s="422" t="s">
        <v>364</v>
      </c>
      <c r="HY44" s="422">
        <f t="shared" si="8"/>
        <v>0</v>
      </c>
      <c r="HZ44" s="422" t="s">
        <v>364</v>
      </c>
      <c r="IA44" s="422" t="s">
        <v>364</v>
      </c>
      <c r="IB44" s="422" t="s">
        <v>364</v>
      </c>
      <c r="IC44" s="422" t="s">
        <v>364</v>
      </c>
      <c r="ID44" s="422" t="s">
        <v>364</v>
      </c>
      <c r="IE44" s="422" t="s">
        <v>364</v>
      </c>
      <c r="IF44" s="422">
        <f t="shared" si="9"/>
        <v>0</v>
      </c>
      <c r="IG44" s="422" t="s">
        <v>364</v>
      </c>
      <c r="IH44" s="422" t="s">
        <v>364</v>
      </c>
      <c r="II44" s="422" t="s">
        <v>364</v>
      </c>
      <c r="IJ44" s="422" t="s">
        <v>364</v>
      </c>
      <c r="IK44" s="422" t="s">
        <v>364</v>
      </c>
      <c r="IL44" s="422" t="s">
        <v>364</v>
      </c>
      <c r="IM44" s="422" t="s">
        <v>364</v>
      </c>
      <c r="IN44" s="422" t="s">
        <v>364</v>
      </c>
      <c r="IO44" s="422" t="s">
        <v>364</v>
      </c>
      <c r="IP44" s="422" t="s">
        <v>364</v>
      </c>
      <c r="IQ44" s="422" t="s">
        <v>364</v>
      </c>
      <c r="IR44" s="422" t="s">
        <v>364</v>
      </c>
      <c r="IS44" s="422" t="s">
        <v>364</v>
      </c>
      <c r="IT44" s="422" t="s">
        <v>364</v>
      </c>
      <c r="IU44" s="422" t="s">
        <v>364</v>
      </c>
      <c r="IV44" s="422" t="s">
        <v>364</v>
      </c>
      <c r="IW44" s="422" t="s">
        <v>364</v>
      </c>
      <c r="IX44" s="422" t="s">
        <v>364</v>
      </c>
      <c r="IY44" s="422" t="s">
        <v>364</v>
      </c>
      <c r="IZ44" s="422">
        <f t="shared" si="10"/>
        <v>0</v>
      </c>
      <c r="JA44" s="422" t="s">
        <v>364</v>
      </c>
      <c r="JB44" s="422" t="s">
        <v>364</v>
      </c>
      <c r="JC44" s="422" t="s">
        <v>364</v>
      </c>
      <c r="JD44" s="422" t="s">
        <v>364</v>
      </c>
      <c r="JE44" s="422" t="s">
        <v>364</v>
      </c>
      <c r="JF44" s="422" t="s">
        <v>364</v>
      </c>
      <c r="JG44" s="422" t="s">
        <v>364</v>
      </c>
      <c r="JH44" s="422" t="s">
        <v>364</v>
      </c>
      <c r="JI44" s="422" t="s">
        <v>364</v>
      </c>
      <c r="JJ44" s="422" t="s">
        <v>364</v>
      </c>
      <c r="JK44" s="422" t="s">
        <v>364</v>
      </c>
      <c r="JL44" s="422" t="s">
        <v>364</v>
      </c>
      <c r="JM44" s="422" t="s">
        <v>364</v>
      </c>
      <c r="JN44" s="422" t="s">
        <v>364</v>
      </c>
      <c r="JO44" s="422" t="s">
        <v>364</v>
      </c>
      <c r="JP44" s="422" t="s">
        <v>364</v>
      </c>
      <c r="JQ44" s="422" t="s">
        <v>364</v>
      </c>
      <c r="JR44" s="422" t="s">
        <v>364</v>
      </c>
      <c r="JS44" s="422" t="s">
        <v>364</v>
      </c>
      <c r="JT44" s="422" t="s">
        <v>364</v>
      </c>
      <c r="JU44" s="422" t="s">
        <v>364</v>
      </c>
      <c r="JV44" s="422" t="s">
        <v>364</v>
      </c>
      <c r="JW44" s="422">
        <f t="shared" si="11"/>
        <v>0</v>
      </c>
      <c r="JX44" s="422" t="s">
        <v>364</v>
      </c>
      <c r="JY44" s="422" t="s">
        <v>364</v>
      </c>
      <c r="JZ44" s="422" t="s">
        <v>364</v>
      </c>
      <c r="KA44" s="422" t="s">
        <v>364</v>
      </c>
      <c r="KB44" s="422" t="s">
        <v>364</v>
      </c>
      <c r="KC44" s="422" t="s">
        <v>364</v>
      </c>
      <c r="KD44" s="422" t="s">
        <v>364</v>
      </c>
      <c r="KE44" s="422" t="s">
        <v>364</v>
      </c>
      <c r="KF44" s="422" t="s">
        <v>364</v>
      </c>
      <c r="KG44" s="422" t="s">
        <v>364</v>
      </c>
      <c r="KH44" s="422" t="s">
        <v>364</v>
      </c>
      <c r="KI44" s="422" t="s">
        <v>364</v>
      </c>
      <c r="KJ44" s="422" t="s">
        <v>364</v>
      </c>
      <c r="KK44" s="422" t="s">
        <v>364</v>
      </c>
      <c r="KL44" s="422" t="s">
        <v>364</v>
      </c>
      <c r="KM44" s="422" t="s">
        <v>364</v>
      </c>
      <c r="KN44" s="422" t="s">
        <v>364</v>
      </c>
      <c r="KO44" s="422" t="s">
        <v>364</v>
      </c>
      <c r="KP44" s="422" t="s">
        <v>364</v>
      </c>
      <c r="KQ44" s="422" t="s">
        <v>364</v>
      </c>
      <c r="KR44" s="422" t="s">
        <v>364</v>
      </c>
      <c r="KS44" s="422" t="s">
        <v>364</v>
      </c>
      <c r="KT44" s="422" t="s">
        <v>364</v>
      </c>
      <c r="KU44" s="422" t="s">
        <v>364</v>
      </c>
      <c r="KV44" s="422" t="s">
        <v>364</v>
      </c>
      <c r="KW44" s="422" t="s">
        <v>364</v>
      </c>
      <c r="KX44" s="422" t="s">
        <v>364</v>
      </c>
      <c r="KY44" s="422" t="s">
        <v>364</v>
      </c>
      <c r="KZ44" s="422" t="s">
        <v>364</v>
      </c>
      <c r="LA44" s="422" t="s">
        <v>364</v>
      </c>
      <c r="LB44" s="422" t="s">
        <v>364</v>
      </c>
      <c r="LC44" s="422" t="s">
        <v>364</v>
      </c>
      <c r="LD44" s="422" t="s">
        <v>364</v>
      </c>
      <c r="LE44" s="422" t="s">
        <v>364</v>
      </c>
      <c r="LF44" s="422" t="s">
        <v>364</v>
      </c>
      <c r="LG44" s="422" t="s">
        <v>364</v>
      </c>
      <c r="LH44" s="422" t="s">
        <v>364</v>
      </c>
      <c r="LI44" s="422" t="s">
        <v>364</v>
      </c>
      <c r="LJ44" s="422" t="s">
        <v>364</v>
      </c>
      <c r="LK44" s="422" t="s">
        <v>364</v>
      </c>
      <c r="LL44" s="422" t="s">
        <v>364</v>
      </c>
      <c r="LM44" s="424" t="s">
        <v>364</v>
      </c>
      <c r="LN44" s="424">
        <v>0</v>
      </c>
      <c r="LO44" s="424" t="s">
        <v>364</v>
      </c>
      <c r="LP44" s="424" t="s">
        <v>364</v>
      </c>
      <c r="LQ44" s="424" t="s">
        <v>364</v>
      </c>
      <c r="LR44" s="424" t="s">
        <v>364</v>
      </c>
      <c r="LS44" s="424" t="s">
        <v>364</v>
      </c>
      <c r="LT44" s="424" t="s">
        <v>364</v>
      </c>
      <c r="LU44" s="424" t="s">
        <v>364</v>
      </c>
      <c r="LV44" s="424" t="s">
        <v>364</v>
      </c>
      <c r="LW44" s="424" t="s">
        <v>364</v>
      </c>
      <c r="LX44" s="424">
        <f t="shared" si="12"/>
        <v>0</v>
      </c>
      <c r="LY44" s="424" t="s">
        <v>364</v>
      </c>
      <c r="LZ44" s="424" t="s">
        <v>364</v>
      </c>
      <c r="MA44" s="424" t="s">
        <v>364</v>
      </c>
      <c r="MB44" s="424" t="s">
        <v>364</v>
      </c>
      <c r="MC44" s="424" t="s">
        <v>364</v>
      </c>
      <c r="MD44" s="424" t="s">
        <v>364</v>
      </c>
      <c r="ME44" s="424">
        <f t="shared" si="1"/>
        <v>0</v>
      </c>
      <c r="MF44" s="424" t="s">
        <v>364</v>
      </c>
      <c r="MG44" s="424" t="s">
        <v>364</v>
      </c>
      <c r="MH44" s="424" t="s">
        <v>364</v>
      </c>
      <c r="MI44" s="424" t="s">
        <v>364</v>
      </c>
      <c r="MJ44" s="424" t="s">
        <v>364</v>
      </c>
      <c r="MK44" s="424" t="s">
        <v>364</v>
      </c>
      <c r="ML44" s="424" t="s">
        <v>364</v>
      </c>
      <c r="MM44" s="424" t="s">
        <v>364</v>
      </c>
      <c r="MN44" s="424" t="s">
        <v>364</v>
      </c>
      <c r="MO44" s="424" t="s">
        <v>364</v>
      </c>
      <c r="MP44" s="424" t="s">
        <v>364</v>
      </c>
      <c r="MQ44" s="424" t="s">
        <v>364</v>
      </c>
      <c r="MR44" s="424" t="s">
        <v>364</v>
      </c>
      <c r="MS44" s="424" t="s">
        <v>364</v>
      </c>
      <c r="MT44" s="424" t="s">
        <v>364</v>
      </c>
      <c r="MU44" s="424" t="s">
        <v>364</v>
      </c>
      <c r="MV44" s="424" t="s">
        <v>364</v>
      </c>
      <c r="MW44" s="424" t="s">
        <v>364</v>
      </c>
      <c r="MX44" s="424">
        <f t="shared" si="13"/>
        <v>0</v>
      </c>
      <c r="MY44" s="424" t="s">
        <v>364</v>
      </c>
      <c r="MZ44" s="424" t="s">
        <v>364</v>
      </c>
      <c r="NA44" s="424" t="s">
        <v>364</v>
      </c>
      <c r="NB44" s="424" t="s">
        <v>364</v>
      </c>
      <c r="NC44" s="424" t="s">
        <v>364</v>
      </c>
      <c r="ND44" s="424" t="s">
        <v>364</v>
      </c>
      <c r="NE44" s="424" t="s">
        <v>6598</v>
      </c>
      <c r="NF44" s="424" t="s">
        <v>364</v>
      </c>
      <c r="NG44" s="424" t="s">
        <v>364</v>
      </c>
      <c r="NH44" s="424" t="s">
        <v>364</v>
      </c>
      <c r="NI44" s="424" t="s">
        <v>364</v>
      </c>
      <c r="NJ44" s="424" t="s">
        <v>364</v>
      </c>
      <c r="NK44" s="424">
        <f t="shared" si="2"/>
        <v>0</v>
      </c>
      <c r="NL44" s="424">
        <f t="shared" si="14"/>
        <v>0</v>
      </c>
      <c r="NM44" s="424" t="s">
        <v>364</v>
      </c>
      <c r="NN44" s="424" t="s">
        <v>364</v>
      </c>
      <c r="NO44" s="424" t="s">
        <v>364</v>
      </c>
      <c r="NP44" s="424" t="s">
        <v>364</v>
      </c>
      <c r="NQ44" s="424" t="s">
        <v>364</v>
      </c>
      <c r="NR44" s="424" t="s">
        <v>364</v>
      </c>
      <c r="NS44" s="424" t="s">
        <v>364</v>
      </c>
      <c r="NT44" s="424" t="s">
        <v>364</v>
      </c>
      <c r="NU44" s="424" t="s">
        <v>364</v>
      </c>
      <c r="NV44" s="424" t="s">
        <v>364</v>
      </c>
      <c r="NW44" s="424" t="s">
        <v>364</v>
      </c>
      <c r="NX44" s="424" t="s">
        <v>364</v>
      </c>
      <c r="NY44" s="424" t="s">
        <v>364</v>
      </c>
      <c r="NZ44" s="424">
        <f t="shared" si="15"/>
        <v>0</v>
      </c>
      <c r="OA44" s="424" t="s">
        <v>364</v>
      </c>
      <c r="OB44" s="424" t="s">
        <v>364</v>
      </c>
      <c r="OC44" s="424" t="s">
        <v>364</v>
      </c>
      <c r="OD44" s="424" t="s">
        <v>364</v>
      </c>
      <c r="OE44" s="424" t="s">
        <v>364</v>
      </c>
      <c r="OF44" s="424" t="s">
        <v>364</v>
      </c>
      <c r="OG44" s="424" t="s">
        <v>364</v>
      </c>
      <c r="OH44" s="424">
        <f t="shared" si="16"/>
        <v>0</v>
      </c>
      <c r="OI44" s="424">
        <f t="shared" si="17"/>
        <v>0</v>
      </c>
      <c r="OJ44" s="422" t="s">
        <v>364</v>
      </c>
      <c r="OK44" s="422" t="s">
        <v>364</v>
      </c>
      <c r="OL44" s="422" t="s">
        <v>364</v>
      </c>
      <c r="OM44" s="422" t="s">
        <v>364</v>
      </c>
      <c r="ON44" s="422" t="s">
        <v>364</v>
      </c>
      <c r="OO44" s="422" t="s">
        <v>364</v>
      </c>
      <c r="OP44" s="422" t="s">
        <v>364</v>
      </c>
      <c r="OQ44" s="422" t="s">
        <v>364</v>
      </c>
      <c r="OR44" s="422" t="s">
        <v>364</v>
      </c>
      <c r="OS44" s="422" t="s">
        <v>364</v>
      </c>
      <c r="OT44" s="422" t="s">
        <v>364</v>
      </c>
      <c r="OU44" s="422" t="s">
        <v>364</v>
      </c>
      <c r="OV44" s="422" t="s">
        <v>364</v>
      </c>
      <c r="OW44" s="422" t="s">
        <v>364</v>
      </c>
      <c r="OX44" s="422" t="s">
        <v>364</v>
      </c>
      <c r="OY44" s="422" t="s">
        <v>364</v>
      </c>
      <c r="OZ44" s="422" t="s">
        <v>364</v>
      </c>
      <c r="PA44" s="422" t="s">
        <v>364</v>
      </c>
      <c r="PB44" s="424">
        <f t="shared" si="18"/>
        <v>0</v>
      </c>
      <c r="PC44" s="422" t="s">
        <v>364</v>
      </c>
      <c r="PD44" s="422" t="s">
        <v>364</v>
      </c>
      <c r="PE44" s="422" t="s">
        <v>364</v>
      </c>
      <c r="PF44" s="422" t="s">
        <v>364</v>
      </c>
      <c r="PG44" s="422" t="s">
        <v>364</v>
      </c>
      <c r="PH44" s="422" t="s">
        <v>364</v>
      </c>
      <c r="PI44" s="422" t="s">
        <v>364</v>
      </c>
      <c r="PJ44" s="422" t="s">
        <v>364</v>
      </c>
    </row>
    <row r="45" spans="2:426" ht="15.6">
      <c r="B45" s="426" t="s">
        <v>981</v>
      </c>
      <c r="C45" s="422">
        <f t="shared" si="3"/>
        <v>134</v>
      </c>
      <c r="D45" s="422" t="s">
        <v>364</v>
      </c>
      <c r="E45" s="422" t="s">
        <v>364</v>
      </c>
      <c r="F45" s="422" t="s">
        <v>364</v>
      </c>
      <c r="G45" s="422" t="s">
        <v>364</v>
      </c>
      <c r="H45" s="422" t="s">
        <v>364</v>
      </c>
      <c r="I45" s="422" t="s">
        <v>364</v>
      </c>
      <c r="J45" s="422" t="s">
        <v>364</v>
      </c>
      <c r="K45" s="422" t="s">
        <v>364</v>
      </c>
      <c r="L45" s="422" t="s">
        <v>364</v>
      </c>
      <c r="M45" s="422" t="s">
        <v>364</v>
      </c>
      <c r="N45" s="422" t="s">
        <v>364</v>
      </c>
      <c r="O45" s="422" t="s">
        <v>364</v>
      </c>
      <c r="P45" s="422" t="s">
        <v>364</v>
      </c>
      <c r="Q45" s="422" t="s">
        <v>364</v>
      </c>
      <c r="R45" s="422" t="s">
        <v>364</v>
      </c>
      <c r="S45" s="422" t="s">
        <v>364</v>
      </c>
      <c r="T45" s="422" t="s">
        <v>364</v>
      </c>
      <c r="U45" s="422" t="s">
        <v>364</v>
      </c>
      <c r="V45" s="422" t="s">
        <v>364</v>
      </c>
      <c r="W45" s="422">
        <v>82</v>
      </c>
      <c r="X45" s="422">
        <v>52</v>
      </c>
      <c r="Y45" s="422" t="s">
        <v>364</v>
      </c>
      <c r="Z45" s="422" t="s">
        <v>364</v>
      </c>
      <c r="AA45" s="422" t="s">
        <v>364</v>
      </c>
      <c r="AB45" s="422" t="s">
        <v>364</v>
      </c>
      <c r="AC45" s="422" t="s">
        <v>364</v>
      </c>
      <c r="AD45" s="422" t="s">
        <v>364</v>
      </c>
      <c r="AE45" s="422" t="s">
        <v>364</v>
      </c>
      <c r="AF45" s="422" t="s">
        <v>364</v>
      </c>
      <c r="AG45" s="422" t="s">
        <v>364</v>
      </c>
      <c r="AH45" s="422" t="s">
        <v>364</v>
      </c>
      <c r="AI45" s="422" t="s">
        <v>364</v>
      </c>
      <c r="AJ45" s="422" t="s">
        <v>364</v>
      </c>
      <c r="AK45" s="422" t="s">
        <v>364</v>
      </c>
      <c r="AL45" s="422" t="s">
        <v>364</v>
      </c>
      <c r="AM45" s="422" t="s">
        <v>364</v>
      </c>
      <c r="AN45" s="422" t="s">
        <v>364</v>
      </c>
      <c r="AO45" s="422" t="s">
        <v>364</v>
      </c>
      <c r="AP45" s="422" t="s">
        <v>364</v>
      </c>
      <c r="AQ45" s="422">
        <f t="shared" si="0"/>
        <v>295</v>
      </c>
      <c r="AR45" s="422" t="s">
        <v>364</v>
      </c>
      <c r="AS45" s="422" t="s">
        <v>364</v>
      </c>
      <c r="AT45" s="422" t="s">
        <v>364</v>
      </c>
      <c r="AU45" s="422">
        <v>127</v>
      </c>
      <c r="AV45" s="422" t="s">
        <v>364</v>
      </c>
      <c r="AW45" s="422" t="s">
        <v>364</v>
      </c>
      <c r="AX45" s="422" t="s">
        <v>364</v>
      </c>
      <c r="AY45" s="422" t="s">
        <v>364</v>
      </c>
      <c r="AZ45" s="422" t="s">
        <v>364</v>
      </c>
      <c r="BA45" s="422" t="s">
        <v>364</v>
      </c>
      <c r="BB45" s="422" t="s">
        <v>364</v>
      </c>
      <c r="BC45" s="422" t="s">
        <v>364</v>
      </c>
      <c r="BD45" s="422" t="s">
        <v>364</v>
      </c>
      <c r="BE45" s="422" t="s">
        <v>364</v>
      </c>
      <c r="BF45" s="422" t="s">
        <v>364</v>
      </c>
      <c r="BG45" s="422" t="s">
        <v>364</v>
      </c>
      <c r="BH45" s="422" t="s">
        <v>364</v>
      </c>
      <c r="BI45" s="422" t="s">
        <v>364</v>
      </c>
      <c r="BJ45" s="422" t="s">
        <v>364</v>
      </c>
      <c r="BK45" s="422" t="s">
        <v>364</v>
      </c>
      <c r="BL45" s="422" t="s">
        <v>364</v>
      </c>
      <c r="BM45" s="422" t="s">
        <v>364</v>
      </c>
      <c r="BN45" s="422" t="s">
        <v>364</v>
      </c>
      <c r="BO45" s="422" t="s">
        <v>364</v>
      </c>
      <c r="BP45" s="422" t="s">
        <v>364</v>
      </c>
      <c r="BQ45" s="422" t="s">
        <v>364</v>
      </c>
      <c r="BR45" s="422" t="s">
        <v>364</v>
      </c>
      <c r="BS45" s="422" t="s">
        <v>364</v>
      </c>
      <c r="BT45" s="422" t="s">
        <v>364</v>
      </c>
      <c r="BU45" s="422" t="s">
        <v>364</v>
      </c>
      <c r="BV45" s="422" t="s">
        <v>364</v>
      </c>
      <c r="BW45" s="422" t="s">
        <v>364</v>
      </c>
      <c r="BX45" s="422" t="s">
        <v>364</v>
      </c>
      <c r="BY45" s="422" t="s">
        <v>364</v>
      </c>
      <c r="BZ45" s="422" t="s">
        <v>364</v>
      </c>
      <c r="CA45" s="422">
        <v>168</v>
      </c>
      <c r="CB45" s="422" t="s">
        <v>364</v>
      </c>
      <c r="CC45" s="422" t="s">
        <v>364</v>
      </c>
      <c r="CD45" s="422" t="s">
        <v>364</v>
      </c>
      <c r="CE45" s="422" t="s">
        <v>364</v>
      </c>
      <c r="CF45" s="422" t="s">
        <v>364</v>
      </c>
      <c r="CG45" s="422" t="s">
        <v>364</v>
      </c>
      <c r="CH45" s="422" t="s">
        <v>364</v>
      </c>
      <c r="CI45" s="422" t="s">
        <v>364</v>
      </c>
      <c r="CJ45" s="422" t="s">
        <v>364</v>
      </c>
      <c r="CK45" s="422" t="s">
        <v>364</v>
      </c>
      <c r="CL45" s="422" t="s">
        <v>364</v>
      </c>
      <c r="CM45" s="422" t="s">
        <v>364</v>
      </c>
      <c r="CN45" s="422" t="s">
        <v>364</v>
      </c>
      <c r="CO45" s="422" t="s">
        <v>364</v>
      </c>
      <c r="CP45" s="422" t="s">
        <v>364</v>
      </c>
      <c r="CQ45" s="422" t="s">
        <v>364</v>
      </c>
      <c r="CR45" s="422" t="s">
        <v>364</v>
      </c>
      <c r="CS45" s="422" t="s">
        <v>364</v>
      </c>
      <c r="CT45" s="422" t="s">
        <v>364</v>
      </c>
      <c r="CU45" s="422" t="s">
        <v>364</v>
      </c>
      <c r="CV45" s="422" t="s">
        <v>364</v>
      </c>
      <c r="CW45" s="422" t="s">
        <v>364</v>
      </c>
      <c r="CX45" s="422" t="s">
        <v>364</v>
      </c>
      <c r="CY45" s="422" t="s">
        <v>364</v>
      </c>
      <c r="CZ45" s="422" t="s">
        <v>364</v>
      </c>
      <c r="DA45" s="422" t="s">
        <v>364</v>
      </c>
      <c r="DB45" s="422" t="s">
        <v>364</v>
      </c>
      <c r="DC45" s="422" t="s">
        <v>364</v>
      </c>
      <c r="DD45" s="422" t="s">
        <v>364</v>
      </c>
      <c r="DE45" s="422" t="s">
        <v>364</v>
      </c>
      <c r="DF45" s="422" t="s">
        <v>364</v>
      </c>
      <c r="DG45" s="422" t="s">
        <v>364</v>
      </c>
      <c r="DH45" s="422" t="s">
        <v>364</v>
      </c>
      <c r="DI45" s="422" t="s">
        <v>364</v>
      </c>
      <c r="DJ45" s="422" t="s">
        <v>364</v>
      </c>
      <c r="DK45" s="422">
        <f t="shared" si="4"/>
        <v>0</v>
      </c>
      <c r="DL45" s="422" t="s">
        <v>364</v>
      </c>
      <c r="DM45" s="422" t="s">
        <v>364</v>
      </c>
      <c r="DN45" s="422" t="s">
        <v>364</v>
      </c>
      <c r="DO45" s="422" t="s">
        <v>364</v>
      </c>
      <c r="DP45" s="422" t="s">
        <v>364</v>
      </c>
      <c r="DQ45" s="422" t="s">
        <v>364</v>
      </c>
      <c r="DR45" s="422" t="s">
        <v>364</v>
      </c>
      <c r="DS45" s="422" t="s">
        <v>364</v>
      </c>
      <c r="DT45" s="422" t="s">
        <v>364</v>
      </c>
      <c r="DU45" s="422" t="s">
        <v>364</v>
      </c>
      <c r="DV45" s="422" t="s">
        <v>364</v>
      </c>
      <c r="DW45" s="422" t="s">
        <v>364</v>
      </c>
      <c r="DX45" s="422" t="s">
        <v>364</v>
      </c>
      <c r="DY45" s="422">
        <f t="shared" si="5"/>
        <v>8</v>
      </c>
      <c r="DZ45" s="422" t="s">
        <v>364</v>
      </c>
      <c r="EA45" s="422" t="s">
        <v>364</v>
      </c>
      <c r="EB45" s="422" t="s">
        <v>364</v>
      </c>
      <c r="EC45" s="422" t="s">
        <v>364</v>
      </c>
      <c r="ED45" s="422" t="s">
        <v>364</v>
      </c>
      <c r="EE45" s="422" t="s">
        <v>364</v>
      </c>
      <c r="EF45" s="422" t="s">
        <v>364</v>
      </c>
      <c r="EG45" s="422" t="s">
        <v>364</v>
      </c>
      <c r="EH45" s="422" t="s">
        <v>364</v>
      </c>
      <c r="EI45" s="422" t="s">
        <v>364</v>
      </c>
      <c r="EJ45" s="422" t="s">
        <v>364</v>
      </c>
      <c r="EK45" s="422" t="s">
        <v>364</v>
      </c>
      <c r="EL45" s="422" t="s">
        <v>364</v>
      </c>
      <c r="EM45" s="422" t="s">
        <v>364</v>
      </c>
      <c r="EN45" s="422">
        <v>8</v>
      </c>
      <c r="EO45" s="422" t="s">
        <v>364</v>
      </c>
      <c r="EP45" s="422" t="s">
        <v>364</v>
      </c>
      <c r="EQ45" s="422" t="s">
        <v>364</v>
      </c>
      <c r="ER45" s="422" t="s">
        <v>364</v>
      </c>
      <c r="ES45" s="422" t="s">
        <v>364</v>
      </c>
      <c r="ET45" s="422" t="s">
        <v>364</v>
      </c>
      <c r="EU45" s="422" t="s">
        <v>364</v>
      </c>
      <c r="EV45" s="422" t="s">
        <v>364</v>
      </c>
      <c r="EW45" s="422" t="s">
        <v>364</v>
      </c>
      <c r="EX45" s="422" t="s">
        <v>364</v>
      </c>
      <c r="EY45" s="422" t="s">
        <v>364</v>
      </c>
      <c r="EZ45" s="422" t="s">
        <v>364</v>
      </c>
      <c r="FA45" s="422">
        <f t="shared" si="6"/>
        <v>43</v>
      </c>
      <c r="FB45" s="422" t="s">
        <v>364</v>
      </c>
      <c r="FC45" s="422" t="s">
        <v>364</v>
      </c>
      <c r="FD45" s="422" t="s">
        <v>364</v>
      </c>
      <c r="FE45" s="422" t="s">
        <v>364</v>
      </c>
      <c r="FF45" s="422" t="s">
        <v>364</v>
      </c>
      <c r="FG45" s="422">
        <v>43</v>
      </c>
      <c r="FH45" s="422" t="s">
        <v>364</v>
      </c>
      <c r="FI45" s="422" t="s">
        <v>364</v>
      </c>
      <c r="FJ45" s="422" t="s">
        <v>364</v>
      </c>
      <c r="FK45" s="422" t="s">
        <v>364</v>
      </c>
      <c r="FL45" s="422" t="s">
        <v>364</v>
      </c>
      <c r="FM45" s="422" t="s">
        <v>364</v>
      </c>
      <c r="FN45" s="422" t="s">
        <v>364</v>
      </c>
      <c r="FO45" s="422" t="s">
        <v>364</v>
      </c>
      <c r="FP45" s="422" t="s">
        <v>364</v>
      </c>
      <c r="FQ45" s="422" t="s">
        <v>364</v>
      </c>
      <c r="FR45" s="422" t="s">
        <v>364</v>
      </c>
      <c r="FS45" s="422" t="s">
        <v>364</v>
      </c>
      <c r="FT45" s="422" t="s">
        <v>364</v>
      </c>
      <c r="FU45" s="422" t="s">
        <v>364</v>
      </c>
      <c r="FV45" s="422" t="s">
        <v>364</v>
      </c>
      <c r="FW45" s="422" t="s">
        <v>364</v>
      </c>
      <c r="FX45" s="422" t="s">
        <v>364</v>
      </c>
      <c r="FY45" s="422" t="s">
        <v>364</v>
      </c>
      <c r="FZ45" s="422" t="s">
        <v>364</v>
      </c>
      <c r="GA45" s="422" t="s">
        <v>364</v>
      </c>
      <c r="GB45" s="422" t="s">
        <v>364</v>
      </c>
      <c r="GC45" s="422" t="s">
        <v>364</v>
      </c>
      <c r="GD45" s="422" t="s">
        <v>364</v>
      </c>
      <c r="GE45" s="422" t="s">
        <v>364</v>
      </c>
      <c r="GF45" s="422" t="s">
        <v>364</v>
      </c>
      <c r="GG45" s="422" t="s">
        <v>364</v>
      </c>
      <c r="GH45" s="422" t="s">
        <v>364</v>
      </c>
      <c r="GI45" s="422" t="s">
        <v>364</v>
      </c>
      <c r="GJ45" s="422" t="s">
        <v>364</v>
      </c>
      <c r="GK45" s="422" t="s">
        <v>364</v>
      </c>
      <c r="GL45" s="422" t="s">
        <v>364</v>
      </c>
      <c r="GM45" s="422" t="s">
        <v>364</v>
      </c>
      <c r="GN45" s="422" t="s">
        <v>364</v>
      </c>
      <c r="GO45" s="422" t="s">
        <v>364</v>
      </c>
      <c r="GP45" s="422" t="s">
        <v>364</v>
      </c>
      <c r="GQ45" s="422" t="s">
        <v>364</v>
      </c>
      <c r="GR45" s="422" t="s">
        <v>364</v>
      </c>
      <c r="GS45" s="422" t="s">
        <v>364</v>
      </c>
      <c r="GT45" s="422" t="s">
        <v>364</v>
      </c>
      <c r="GU45" s="422" t="s">
        <v>364</v>
      </c>
      <c r="GV45" s="422">
        <f t="shared" si="7"/>
        <v>60</v>
      </c>
      <c r="GW45" s="422" t="s">
        <v>364</v>
      </c>
      <c r="GX45" s="422" t="s">
        <v>364</v>
      </c>
      <c r="GY45" s="422" t="s">
        <v>364</v>
      </c>
      <c r="GZ45" s="422" t="s">
        <v>364</v>
      </c>
      <c r="HA45" s="422">
        <v>24</v>
      </c>
      <c r="HB45" s="422">
        <v>12</v>
      </c>
      <c r="HC45" s="422">
        <v>12</v>
      </c>
      <c r="HD45" s="422">
        <v>12</v>
      </c>
      <c r="HE45" s="422" t="s">
        <v>364</v>
      </c>
      <c r="HF45" s="422" t="s">
        <v>364</v>
      </c>
      <c r="HG45" s="422" t="s">
        <v>364</v>
      </c>
      <c r="HH45" s="422" t="s">
        <v>364</v>
      </c>
      <c r="HI45" s="422" t="s">
        <v>364</v>
      </c>
      <c r="HJ45" s="422" t="s">
        <v>364</v>
      </c>
      <c r="HK45" s="422" t="s">
        <v>364</v>
      </c>
      <c r="HL45" s="422" t="s">
        <v>364</v>
      </c>
      <c r="HM45" s="422" t="s">
        <v>364</v>
      </c>
      <c r="HN45" s="422" t="s">
        <v>364</v>
      </c>
      <c r="HO45" s="422" t="s">
        <v>364</v>
      </c>
      <c r="HP45" s="422" t="s">
        <v>364</v>
      </c>
      <c r="HQ45" s="422" t="s">
        <v>364</v>
      </c>
      <c r="HR45" s="422" t="s">
        <v>364</v>
      </c>
      <c r="HS45" s="422" t="s">
        <v>364</v>
      </c>
      <c r="HT45" s="422" t="s">
        <v>364</v>
      </c>
      <c r="HU45" s="422" t="s">
        <v>364</v>
      </c>
      <c r="HV45" s="422" t="s">
        <v>364</v>
      </c>
      <c r="HW45" s="422" t="s">
        <v>364</v>
      </c>
      <c r="HX45" s="422" t="s">
        <v>364</v>
      </c>
      <c r="HY45" s="422">
        <f t="shared" si="8"/>
        <v>0</v>
      </c>
      <c r="HZ45" s="422" t="s">
        <v>364</v>
      </c>
      <c r="IA45" s="422" t="s">
        <v>364</v>
      </c>
      <c r="IB45" s="422" t="s">
        <v>364</v>
      </c>
      <c r="IC45" s="422" t="s">
        <v>364</v>
      </c>
      <c r="ID45" s="422" t="s">
        <v>364</v>
      </c>
      <c r="IE45" s="422" t="s">
        <v>364</v>
      </c>
      <c r="IF45" s="422">
        <f t="shared" si="9"/>
        <v>40</v>
      </c>
      <c r="IG45" s="422" t="s">
        <v>364</v>
      </c>
      <c r="IH45" s="422" t="s">
        <v>364</v>
      </c>
      <c r="II45" s="422" t="s">
        <v>364</v>
      </c>
      <c r="IJ45" s="422" t="s">
        <v>364</v>
      </c>
      <c r="IK45" s="422" t="s">
        <v>364</v>
      </c>
      <c r="IL45" s="422" t="s">
        <v>364</v>
      </c>
      <c r="IM45" s="422" t="s">
        <v>364</v>
      </c>
      <c r="IN45" s="422" t="s">
        <v>364</v>
      </c>
      <c r="IO45" s="422" t="s">
        <v>364</v>
      </c>
      <c r="IP45" s="422">
        <v>18</v>
      </c>
      <c r="IQ45" s="422" t="s">
        <v>364</v>
      </c>
      <c r="IR45" s="422" t="s">
        <v>364</v>
      </c>
      <c r="IS45" s="422" t="s">
        <v>364</v>
      </c>
      <c r="IT45" s="422">
        <v>18</v>
      </c>
      <c r="IU45" s="422" t="s">
        <v>364</v>
      </c>
      <c r="IV45" s="422">
        <v>4</v>
      </c>
      <c r="IW45" s="422" t="s">
        <v>364</v>
      </c>
      <c r="IX45" s="422" t="s">
        <v>364</v>
      </c>
      <c r="IY45" s="422" t="s">
        <v>364</v>
      </c>
      <c r="IZ45" s="422">
        <f t="shared" si="10"/>
        <v>0</v>
      </c>
      <c r="JA45" s="422" t="s">
        <v>364</v>
      </c>
      <c r="JB45" s="422" t="s">
        <v>364</v>
      </c>
      <c r="JC45" s="422" t="s">
        <v>364</v>
      </c>
      <c r="JD45" s="422" t="s">
        <v>364</v>
      </c>
      <c r="JE45" s="422" t="s">
        <v>364</v>
      </c>
      <c r="JF45" s="422" t="s">
        <v>364</v>
      </c>
      <c r="JG45" s="422" t="s">
        <v>364</v>
      </c>
      <c r="JH45" s="422" t="s">
        <v>364</v>
      </c>
      <c r="JI45" s="422" t="s">
        <v>364</v>
      </c>
      <c r="JJ45" s="422" t="s">
        <v>364</v>
      </c>
      <c r="JK45" s="422" t="s">
        <v>364</v>
      </c>
      <c r="JL45" s="422" t="s">
        <v>364</v>
      </c>
      <c r="JM45" s="422" t="s">
        <v>364</v>
      </c>
      <c r="JN45" s="422" t="s">
        <v>364</v>
      </c>
      <c r="JO45" s="422" t="s">
        <v>364</v>
      </c>
      <c r="JP45" s="422" t="s">
        <v>364</v>
      </c>
      <c r="JQ45" s="422" t="s">
        <v>364</v>
      </c>
      <c r="JR45" s="422" t="s">
        <v>364</v>
      </c>
      <c r="JS45" s="422" t="s">
        <v>364</v>
      </c>
      <c r="JT45" s="422" t="s">
        <v>364</v>
      </c>
      <c r="JU45" s="422" t="s">
        <v>364</v>
      </c>
      <c r="JV45" s="422" t="s">
        <v>364</v>
      </c>
      <c r="JW45" s="422">
        <f t="shared" si="11"/>
        <v>0</v>
      </c>
      <c r="JX45" s="422" t="s">
        <v>364</v>
      </c>
      <c r="JY45" s="422" t="s">
        <v>364</v>
      </c>
      <c r="JZ45" s="422" t="s">
        <v>364</v>
      </c>
      <c r="KA45" s="422" t="s">
        <v>364</v>
      </c>
      <c r="KB45" s="422" t="s">
        <v>364</v>
      </c>
      <c r="KC45" s="422" t="s">
        <v>364</v>
      </c>
      <c r="KD45" s="422" t="s">
        <v>364</v>
      </c>
      <c r="KE45" s="422" t="s">
        <v>364</v>
      </c>
      <c r="KF45" s="422" t="s">
        <v>364</v>
      </c>
      <c r="KG45" s="422" t="s">
        <v>364</v>
      </c>
      <c r="KH45" s="422" t="s">
        <v>364</v>
      </c>
      <c r="KI45" s="422" t="s">
        <v>364</v>
      </c>
      <c r="KJ45" s="422" t="s">
        <v>364</v>
      </c>
      <c r="KK45" s="422" t="s">
        <v>364</v>
      </c>
      <c r="KL45" s="422" t="s">
        <v>364</v>
      </c>
      <c r="KM45" s="422" t="s">
        <v>364</v>
      </c>
      <c r="KN45" s="422" t="s">
        <v>364</v>
      </c>
      <c r="KO45" s="422" t="s">
        <v>364</v>
      </c>
      <c r="KP45" s="422" t="s">
        <v>364</v>
      </c>
      <c r="KQ45" s="422" t="s">
        <v>364</v>
      </c>
      <c r="KR45" s="422" t="s">
        <v>364</v>
      </c>
      <c r="KS45" s="422" t="s">
        <v>364</v>
      </c>
      <c r="KT45" s="422" t="s">
        <v>364</v>
      </c>
      <c r="KU45" s="422" t="s">
        <v>364</v>
      </c>
      <c r="KV45" s="422" t="s">
        <v>364</v>
      </c>
      <c r="KW45" s="422" t="s">
        <v>364</v>
      </c>
      <c r="KX45" s="422" t="s">
        <v>364</v>
      </c>
      <c r="KY45" s="422" t="s">
        <v>364</v>
      </c>
      <c r="KZ45" s="422" t="s">
        <v>364</v>
      </c>
      <c r="LA45" s="422" t="s">
        <v>364</v>
      </c>
      <c r="LB45" s="422" t="s">
        <v>364</v>
      </c>
      <c r="LC45" s="422" t="s">
        <v>364</v>
      </c>
      <c r="LD45" s="422" t="s">
        <v>364</v>
      </c>
      <c r="LE45" s="422" t="s">
        <v>364</v>
      </c>
      <c r="LF45" s="422" t="s">
        <v>364</v>
      </c>
      <c r="LG45" s="422" t="s">
        <v>364</v>
      </c>
      <c r="LH45" s="422" t="s">
        <v>364</v>
      </c>
      <c r="LI45" s="422" t="s">
        <v>364</v>
      </c>
      <c r="LJ45" s="422" t="s">
        <v>364</v>
      </c>
      <c r="LK45" s="422" t="s">
        <v>364</v>
      </c>
      <c r="LL45" s="422" t="s">
        <v>364</v>
      </c>
      <c r="LM45" s="424" t="s">
        <v>364</v>
      </c>
      <c r="LN45" s="424">
        <v>0</v>
      </c>
      <c r="LO45" s="424" t="s">
        <v>364</v>
      </c>
      <c r="LP45" s="424" t="s">
        <v>364</v>
      </c>
      <c r="LQ45" s="424" t="s">
        <v>364</v>
      </c>
      <c r="LR45" s="424" t="s">
        <v>364</v>
      </c>
      <c r="LS45" s="424" t="s">
        <v>364</v>
      </c>
      <c r="LT45" s="424" t="s">
        <v>364</v>
      </c>
      <c r="LU45" s="424" t="s">
        <v>364</v>
      </c>
      <c r="LV45" s="424" t="s">
        <v>364</v>
      </c>
      <c r="LW45" s="424" t="s">
        <v>364</v>
      </c>
      <c r="LX45" s="424">
        <f t="shared" si="12"/>
        <v>4</v>
      </c>
      <c r="LY45" s="424">
        <v>4</v>
      </c>
      <c r="LZ45" s="424" t="s">
        <v>364</v>
      </c>
      <c r="MA45" s="424" t="s">
        <v>364</v>
      </c>
      <c r="MB45" s="424" t="s">
        <v>364</v>
      </c>
      <c r="MC45" s="424" t="s">
        <v>364</v>
      </c>
      <c r="MD45" s="424" t="s">
        <v>364</v>
      </c>
      <c r="ME45" s="424">
        <f t="shared" si="1"/>
        <v>18</v>
      </c>
      <c r="MF45" s="424" t="s">
        <v>364</v>
      </c>
      <c r="MG45" s="424" t="s">
        <v>364</v>
      </c>
      <c r="MH45" s="424">
        <v>12</v>
      </c>
      <c r="MI45" s="424">
        <v>6</v>
      </c>
      <c r="MJ45" s="424" t="s">
        <v>364</v>
      </c>
      <c r="MK45" s="424" t="s">
        <v>364</v>
      </c>
      <c r="ML45" s="424" t="s">
        <v>364</v>
      </c>
      <c r="MM45" s="424" t="s">
        <v>364</v>
      </c>
      <c r="MN45" s="424" t="s">
        <v>364</v>
      </c>
      <c r="MO45" s="424" t="s">
        <v>364</v>
      </c>
      <c r="MP45" s="424" t="s">
        <v>364</v>
      </c>
      <c r="MQ45" s="424" t="s">
        <v>364</v>
      </c>
      <c r="MR45" s="424" t="s">
        <v>364</v>
      </c>
      <c r="MS45" s="424" t="s">
        <v>364</v>
      </c>
      <c r="MT45" s="424" t="s">
        <v>364</v>
      </c>
      <c r="MU45" s="424" t="s">
        <v>364</v>
      </c>
      <c r="MV45" s="424" t="s">
        <v>364</v>
      </c>
      <c r="MW45" s="424" t="s">
        <v>364</v>
      </c>
      <c r="MX45" s="424">
        <f t="shared" si="13"/>
        <v>0</v>
      </c>
      <c r="MY45" s="424" t="s">
        <v>364</v>
      </c>
      <c r="MZ45" s="424" t="s">
        <v>364</v>
      </c>
      <c r="NA45" s="424" t="s">
        <v>364</v>
      </c>
      <c r="NB45" s="424" t="s">
        <v>364</v>
      </c>
      <c r="NC45" s="424" t="s">
        <v>364</v>
      </c>
      <c r="ND45" s="424" t="s">
        <v>364</v>
      </c>
      <c r="NE45" s="424" t="s">
        <v>364</v>
      </c>
      <c r="NF45" s="424" t="s">
        <v>364</v>
      </c>
      <c r="NG45" s="424" t="s">
        <v>364</v>
      </c>
      <c r="NH45" s="424" t="s">
        <v>364</v>
      </c>
      <c r="NI45" s="424" t="s">
        <v>364</v>
      </c>
      <c r="NJ45" s="424" t="s">
        <v>364</v>
      </c>
      <c r="NK45" s="424">
        <f t="shared" si="2"/>
        <v>0</v>
      </c>
      <c r="NL45" s="424">
        <f t="shared" si="14"/>
        <v>0</v>
      </c>
      <c r="NM45" s="424" t="s">
        <v>364</v>
      </c>
      <c r="NN45" s="424" t="s">
        <v>364</v>
      </c>
      <c r="NO45" s="424" t="s">
        <v>364</v>
      </c>
      <c r="NP45" s="424" t="s">
        <v>364</v>
      </c>
      <c r="NQ45" s="424" t="s">
        <v>364</v>
      </c>
      <c r="NR45" s="424" t="s">
        <v>364</v>
      </c>
      <c r="NS45" s="424" t="s">
        <v>364</v>
      </c>
      <c r="NT45" s="424" t="s">
        <v>364</v>
      </c>
      <c r="NU45" s="424" t="s">
        <v>364</v>
      </c>
      <c r="NV45" s="424" t="s">
        <v>364</v>
      </c>
      <c r="NW45" s="424" t="s">
        <v>364</v>
      </c>
      <c r="NX45" s="424" t="s">
        <v>364</v>
      </c>
      <c r="NY45" s="424" t="s">
        <v>364</v>
      </c>
      <c r="NZ45" s="424">
        <f t="shared" si="15"/>
        <v>0</v>
      </c>
      <c r="OA45" s="424" t="s">
        <v>364</v>
      </c>
      <c r="OB45" s="424" t="s">
        <v>364</v>
      </c>
      <c r="OC45" s="424" t="s">
        <v>364</v>
      </c>
      <c r="OD45" s="424" t="s">
        <v>364</v>
      </c>
      <c r="OE45" s="424" t="s">
        <v>364</v>
      </c>
      <c r="OF45" s="424" t="s">
        <v>364</v>
      </c>
      <c r="OG45" s="424" t="s">
        <v>364</v>
      </c>
      <c r="OH45" s="424">
        <f t="shared" si="16"/>
        <v>60</v>
      </c>
      <c r="OI45" s="424">
        <f t="shared" si="17"/>
        <v>60</v>
      </c>
      <c r="OJ45" s="422" t="s">
        <v>364</v>
      </c>
      <c r="OK45" s="422" t="s">
        <v>364</v>
      </c>
      <c r="OL45" s="422" t="s">
        <v>364</v>
      </c>
      <c r="OM45" s="422" t="s">
        <v>364</v>
      </c>
      <c r="ON45" s="422" t="s">
        <v>364</v>
      </c>
      <c r="OO45" s="422" t="s">
        <v>364</v>
      </c>
      <c r="OP45" s="422" t="s">
        <v>364</v>
      </c>
      <c r="OQ45" s="422" t="s">
        <v>364</v>
      </c>
      <c r="OR45" s="422">
        <v>36</v>
      </c>
      <c r="OS45" s="422">
        <v>24</v>
      </c>
      <c r="OT45" s="422" t="s">
        <v>364</v>
      </c>
      <c r="OU45" s="422" t="s">
        <v>364</v>
      </c>
      <c r="OV45" s="422" t="s">
        <v>364</v>
      </c>
      <c r="OW45" s="422" t="s">
        <v>364</v>
      </c>
      <c r="OX45" s="422" t="s">
        <v>364</v>
      </c>
      <c r="OY45" s="422" t="s">
        <v>364</v>
      </c>
      <c r="OZ45" s="422" t="s">
        <v>364</v>
      </c>
      <c r="PA45" s="422" t="s">
        <v>364</v>
      </c>
      <c r="PB45" s="424">
        <f t="shared" si="18"/>
        <v>0</v>
      </c>
      <c r="PC45" s="422" t="s">
        <v>364</v>
      </c>
      <c r="PD45" s="422" t="s">
        <v>364</v>
      </c>
      <c r="PE45" s="422" t="s">
        <v>364</v>
      </c>
      <c r="PF45" s="422" t="s">
        <v>364</v>
      </c>
      <c r="PG45" s="422" t="s">
        <v>364</v>
      </c>
      <c r="PH45" s="422" t="s">
        <v>364</v>
      </c>
      <c r="PI45" s="422" t="s">
        <v>364</v>
      </c>
      <c r="PJ45" s="422" t="s">
        <v>364</v>
      </c>
    </row>
    <row r="46" spans="2:426" ht="15.6">
      <c r="B46" s="426" t="s">
        <v>2625</v>
      </c>
      <c r="C46" s="422">
        <f t="shared" si="3"/>
        <v>0</v>
      </c>
      <c r="D46" s="422" t="s">
        <v>364</v>
      </c>
      <c r="E46" s="422" t="s">
        <v>364</v>
      </c>
      <c r="F46" s="422" t="s">
        <v>364</v>
      </c>
      <c r="G46" s="422" t="s">
        <v>364</v>
      </c>
      <c r="H46" s="422" t="s">
        <v>364</v>
      </c>
      <c r="I46" s="422" t="s">
        <v>364</v>
      </c>
      <c r="J46" s="422" t="s">
        <v>364</v>
      </c>
      <c r="K46" s="422" t="s">
        <v>364</v>
      </c>
      <c r="L46" s="422" t="s">
        <v>364</v>
      </c>
      <c r="M46" s="422" t="s">
        <v>364</v>
      </c>
      <c r="N46" s="422" t="s">
        <v>364</v>
      </c>
      <c r="O46" s="422" t="s">
        <v>364</v>
      </c>
      <c r="P46" s="422" t="s">
        <v>364</v>
      </c>
      <c r="Q46" s="422" t="s">
        <v>364</v>
      </c>
      <c r="R46" s="422" t="s">
        <v>364</v>
      </c>
      <c r="S46" s="422" t="s">
        <v>364</v>
      </c>
      <c r="T46" s="422" t="s">
        <v>364</v>
      </c>
      <c r="U46" s="422" t="s">
        <v>364</v>
      </c>
      <c r="V46" s="422" t="s">
        <v>364</v>
      </c>
      <c r="W46" s="422" t="s">
        <v>364</v>
      </c>
      <c r="X46" s="422" t="s">
        <v>364</v>
      </c>
      <c r="Y46" s="422" t="s">
        <v>364</v>
      </c>
      <c r="Z46" s="422" t="s">
        <v>364</v>
      </c>
      <c r="AA46" s="422" t="s">
        <v>364</v>
      </c>
      <c r="AB46" s="422" t="s">
        <v>364</v>
      </c>
      <c r="AC46" s="422" t="s">
        <v>364</v>
      </c>
      <c r="AD46" s="422" t="s">
        <v>364</v>
      </c>
      <c r="AE46" s="422" t="s">
        <v>364</v>
      </c>
      <c r="AF46" s="422" t="s">
        <v>364</v>
      </c>
      <c r="AG46" s="422" t="s">
        <v>364</v>
      </c>
      <c r="AH46" s="422" t="s">
        <v>364</v>
      </c>
      <c r="AI46" s="422" t="s">
        <v>364</v>
      </c>
      <c r="AJ46" s="422" t="s">
        <v>364</v>
      </c>
      <c r="AK46" s="422" t="s">
        <v>364</v>
      </c>
      <c r="AL46" s="422" t="s">
        <v>364</v>
      </c>
      <c r="AM46" s="422" t="s">
        <v>364</v>
      </c>
      <c r="AN46" s="422" t="s">
        <v>364</v>
      </c>
      <c r="AO46" s="422" t="s">
        <v>364</v>
      </c>
      <c r="AP46" s="422" t="s">
        <v>364</v>
      </c>
      <c r="AQ46" s="422">
        <f t="shared" si="0"/>
        <v>0</v>
      </c>
      <c r="AR46" s="422" t="s">
        <v>364</v>
      </c>
      <c r="AS46" s="422" t="s">
        <v>364</v>
      </c>
      <c r="AT46" s="422" t="s">
        <v>364</v>
      </c>
      <c r="AU46" s="422" t="s">
        <v>364</v>
      </c>
      <c r="AV46" s="422" t="s">
        <v>364</v>
      </c>
      <c r="AW46" s="422" t="s">
        <v>364</v>
      </c>
      <c r="AX46" s="422" t="s">
        <v>364</v>
      </c>
      <c r="AY46" s="422" t="s">
        <v>364</v>
      </c>
      <c r="AZ46" s="422" t="s">
        <v>364</v>
      </c>
      <c r="BA46" s="422" t="s">
        <v>364</v>
      </c>
      <c r="BB46" s="422" t="s">
        <v>364</v>
      </c>
      <c r="BC46" s="422" t="s">
        <v>364</v>
      </c>
      <c r="BD46" s="422" t="s">
        <v>364</v>
      </c>
      <c r="BE46" s="422" t="s">
        <v>364</v>
      </c>
      <c r="BF46" s="422" t="s">
        <v>364</v>
      </c>
      <c r="BG46" s="422" t="s">
        <v>364</v>
      </c>
      <c r="BH46" s="422" t="s">
        <v>364</v>
      </c>
      <c r="BI46" s="422" t="s">
        <v>364</v>
      </c>
      <c r="BJ46" s="422" t="s">
        <v>364</v>
      </c>
      <c r="BK46" s="422" t="s">
        <v>364</v>
      </c>
      <c r="BL46" s="422" t="s">
        <v>364</v>
      </c>
      <c r="BM46" s="422" t="s">
        <v>364</v>
      </c>
      <c r="BN46" s="422" t="s">
        <v>364</v>
      </c>
      <c r="BO46" s="422" t="s">
        <v>364</v>
      </c>
      <c r="BP46" s="422" t="s">
        <v>364</v>
      </c>
      <c r="BQ46" s="422" t="s">
        <v>364</v>
      </c>
      <c r="BR46" s="422" t="s">
        <v>364</v>
      </c>
      <c r="BS46" s="422" t="s">
        <v>364</v>
      </c>
      <c r="BT46" s="422" t="s">
        <v>364</v>
      </c>
      <c r="BU46" s="422" t="s">
        <v>364</v>
      </c>
      <c r="BV46" s="422" t="s">
        <v>364</v>
      </c>
      <c r="BW46" s="422" t="s">
        <v>364</v>
      </c>
      <c r="BX46" s="422" t="s">
        <v>364</v>
      </c>
      <c r="BY46" s="422" t="s">
        <v>364</v>
      </c>
      <c r="BZ46" s="422" t="s">
        <v>364</v>
      </c>
      <c r="CA46" s="422" t="s">
        <v>364</v>
      </c>
      <c r="CB46" s="422" t="s">
        <v>364</v>
      </c>
      <c r="CC46" s="422" t="s">
        <v>364</v>
      </c>
      <c r="CD46" s="422" t="s">
        <v>364</v>
      </c>
      <c r="CE46" s="422" t="s">
        <v>364</v>
      </c>
      <c r="CF46" s="422" t="s">
        <v>364</v>
      </c>
      <c r="CG46" s="422" t="s">
        <v>364</v>
      </c>
      <c r="CH46" s="422" t="s">
        <v>364</v>
      </c>
      <c r="CI46" s="422" t="s">
        <v>364</v>
      </c>
      <c r="CJ46" s="422" t="s">
        <v>364</v>
      </c>
      <c r="CK46" s="422" t="s">
        <v>364</v>
      </c>
      <c r="CL46" s="422" t="s">
        <v>364</v>
      </c>
      <c r="CM46" s="422" t="s">
        <v>364</v>
      </c>
      <c r="CN46" s="422" t="s">
        <v>364</v>
      </c>
      <c r="CO46" s="422" t="s">
        <v>364</v>
      </c>
      <c r="CP46" s="422" t="s">
        <v>364</v>
      </c>
      <c r="CQ46" s="422" t="s">
        <v>364</v>
      </c>
      <c r="CR46" s="422" t="s">
        <v>364</v>
      </c>
      <c r="CS46" s="422" t="s">
        <v>364</v>
      </c>
      <c r="CT46" s="422" t="s">
        <v>364</v>
      </c>
      <c r="CU46" s="422" t="s">
        <v>364</v>
      </c>
      <c r="CV46" s="422" t="s">
        <v>364</v>
      </c>
      <c r="CW46" s="422" t="s">
        <v>364</v>
      </c>
      <c r="CX46" s="422" t="s">
        <v>364</v>
      </c>
      <c r="CY46" s="422" t="s">
        <v>364</v>
      </c>
      <c r="CZ46" s="422" t="s">
        <v>364</v>
      </c>
      <c r="DA46" s="422" t="s">
        <v>364</v>
      </c>
      <c r="DB46" s="422" t="s">
        <v>364</v>
      </c>
      <c r="DC46" s="422" t="s">
        <v>364</v>
      </c>
      <c r="DD46" s="422" t="s">
        <v>364</v>
      </c>
      <c r="DE46" s="422" t="s">
        <v>364</v>
      </c>
      <c r="DF46" s="422" t="s">
        <v>364</v>
      </c>
      <c r="DG46" s="422" t="s">
        <v>364</v>
      </c>
      <c r="DH46" s="422" t="s">
        <v>364</v>
      </c>
      <c r="DI46" s="422" t="s">
        <v>364</v>
      </c>
      <c r="DJ46" s="422" t="s">
        <v>364</v>
      </c>
      <c r="DK46" s="422">
        <f t="shared" si="4"/>
        <v>0</v>
      </c>
      <c r="DL46" s="422" t="s">
        <v>364</v>
      </c>
      <c r="DM46" s="422" t="s">
        <v>364</v>
      </c>
      <c r="DN46" s="422" t="s">
        <v>364</v>
      </c>
      <c r="DO46" s="422" t="s">
        <v>364</v>
      </c>
      <c r="DP46" s="422" t="s">
        <v>364</v>
      </c>
      <c r="DQ46" s="422" t="s">
        <v>364</v>
      </c>
      <c r="DR46" s="422" t="s">
        <v>364</v>
      </c>
      <c r="DS46" s="422" t="s">
        <v>364</v>
      </c>
      <c r="DT46" s="422" t="s">
        <v>364</v>
      </c>
      <c r="DU46" s="422" t="s">
        <v>364</v>
      </c>
      <c r="DV46" s="422" t="s">
        <v>364</v>
      </c>
      <c r="DW46" s="422" t="s">
        <v>364</v>
      </c>
      <c r="DX46" s="422" t="s">
        <v>364</v>
      </c>
      <c r="DY46" s="422">
        <f t="shared" si="5"/>
        <v>48</v>
      </c>
      <c r="DZ46" s="422" t="s">
        <v>364</v>
      </c>
      <c r="EA46" s="422" t="s">
        <v>364</v>
      </c>
      <c r="EB46" s="422" t="s">
        <v>364</v>
      </c>
      <c r="EC46" s="422" t="s">
        <v>364</v>
      </c>
      <c r="ED46" s="422" t="s">
        <v>364</v>
      </c>
      <c r="EE46" s="422" t="s">
        <v>364</v>
      </c>
      <c r="EF46" s="422" t="s">
        <v>364</v>
      </c>
      <c r="EG46" s="422" t="s">
        <v>364</v>
      </c>
      <c r="EH46" s="422" t="s">
        <v>364</v>
      </c>
      <c r="EI46" s="422" t="s">
        <v>364</v>
      </c>
      <c r="EJ46" s="422">
        <v>48</v>
      </c>
      <c r="EK46" s="422" t="s">
        <v>364</v>
      </c>
      <c r="EL46" s="422" t="s">
        <v>364</v>
      </c>
      <c r="EM46" s="422" t="s">
        <v>364</v>
      </c>
      <c r="EN46" s="422" t="s">
        <v>364</v>
      </c>
      <c r="EO46" s="422" t="s">
        <v>364</v>
      </c>
      <c r="EP46" s="422" t="s">
        <v>364</v>
      </c>
      <c r="EQ46" s="422" t="s">
        <v>364</v>
      </c>
      <c r="ER46" s="422" t="s">
        <v>364</v>
      </c>
      <c r="ES46" s="422" t="s">
        <v>364</v>
      </c>
      <c r="ET46" s="422" t="s">
        <v>364</v>
      </c>
      <c r="EU46" s="422" t="s">
        <v>364</v>
      </c>
      <c r="EV46" s="422" t="s">
        <v>364</v>
      </c>
      <c r="EW46" s="422" t="s">
        <v>364</v>
      </c>
      <c r="EX46" s="422" t="s">
        <v>364</v>
      </c>
      <c r="EY46" s="422" t="s">
        <v>364</v>
      </c>
      <c r="EZ46" s="422" t="s">
        <v>364</v>
      </c>
      <c r="FA46" s="422">
        <f t="shared" si="6"/>
        <v>0</v>
      </c>
      <c r="FB46" s="422" t="s">
        <v>364</v>
      </c>
      <c r="FC46" s="422" t="s">
        <v>364</v>
      </c>
      <c r="FD46" s="422" t="s">
        <v>364</v>
      </c>
      <c r="FE46" s="422" t="s">
        <v>364</v>
      </c>
      <c r="FF46" s="422" t="s">
        <v>364</v>
      </c>
      <c r="FG46" s="422" t="s">
        <v>364</v>
      </c>
      <c r="FH46" s="422" t="s">
        <v>364</v>
      </c>
      <c r="FI46" s="422" t="s">
        <v>364</v>
      </c>
      <c r="FJ46" s="422" t="s">
        <v>364</v>
      </c>
      <c r="FK46" s="422" t="s">
        <v>364</v>
      </c>
      <c r="FL46" s="422" t="s">
        <v>364</v>
      </c>
      <c r="FM46" s="422" t="s">
        <v>364</v>
      </c>
      <c r="FN46" s="422" t="s">
        <v>364</v>
      </c>
      <c r="FO46" s="422" t="s">
        <v>364</v>
      </c>
      <c r="FP46" s="422" t="s">
        <v>364</v>
      </c>
      <c r="FQ46" s="422" t="s">
        <v>364</v>
      </c>
      <c r="FR46" s="422" t="s">
        <v>364</v>
      </c>
      <c r="FS46" s="422" t="s">
        <v>364</v>
      </c>
      <c r="FT46" s="422" t="s">
        <v>364</v>
      </c>
      <c r="FU46" s="422" t="s">
        <v>364</v>
      </c>
      <c r="FV46" s="422" t="s">
        <v>364</v>
      </c>
      <c r="FW46" s="422" t="s">
        <v>364</v>
      </c>
      <c r="FX46" s="422" t="s">
        <v>364</v>
      </c>
      <c r="FY46" s="422" t="s">
        <v>364</v>
      </c>
      <c r="FZ46" s="422" t="s">
        <v>364</v>
      </c>
      <c r="GA46" s="422" t="s">
        <v>364</v>
      </c>
      <c r="GB46" s="422" t="s">
        <v>364</v>
      </c>
      <c r="GC46" s="422" t="s">
        <v>364</v>
      </c>
      <c r="GD46" s="422" t="s">
        <v>364</v>
      </c>
      <c r="GE46" s="422" t="s">
        <v>364</v>
      </c>
      <c r="GF46" s="422" t="s">
        <v>364</v>
      </c>
      <c r="GG46" s="422" t="s">
        <v>364</v>
      </c>
      <c r="GH46" s="422" t="s">
        <v>364</v>
      </c>
      <c r="GI46" s="422" t="s">
        <v>364</v>
      </c>
      <c r="GJ46" s="422" t="s">
        <v>364</v>
      </c>
      <c r="GK46" s="422" t="s">
        <v>364</v>
      </c>
      <c r="GL46" s="422" t="s">
        <v>364</v>
      </c>
      <c r="GM46" s="422" t="s">
        <v>364</v>
      </c>
      <c r="GN46" s="422" t="s">
        <v>364</v>
      </c>
      <c r="GO46" s="422" t="s">
        <v>364</v>
      </c>
      <c r="GP46" s="422" t="s">
        <v>364</v>
      </c>
      <c r="GQ46" s="422" t="s">
        <v>364</v>
      </c>
      <c r="GR46" s="422" t="s">
        <v>364</v>
      </c>
      <c r="GS46" s="422" t="s">
        <v>364</v>
      </c>
      <c r="GT46" s="422" t="s">
        <v>364</v>
      </c>
      <c r="GU46" s="422" t="s">
        <v>364</v>
      </c>
      <c r="GV46" s="422">
        <f t="shared" si="7"/>
        <v>0</v>
      </c>
      <c r="GW46" s="422" t="s">
        <v>364</v>
      </c>
      <c r="GX46" s="422" t="s">
        <v>364</v>
      </c>
      <c r="GY46" s="422" t="s">
        <v>364</v>
      </c>
      <c r="GZ46" s="422" t="s">
        <v>364</v>
      </c>
      <c r="HA46" s="422" t="s">
        <v>364</v>
      </c>
      <c r="HB46" s="422" t="s">
        <v>364</v>
      </c>
      <c r="HC46" s="422" t="s">
        <v>364</v>
      </c>
      <c r="HD46" s="422" t="s">
        <v>364</v>
      </c>
      <c r="HE46" s="422" t="s">
        <v>364</v>
      </c>
      <c r="HF46" s="422" t="s">
        <v>364</v>
      </c>
      <c r="HG46" s="422" t="s">
        <v>364</v>
      </c>
      <c r="HH46" s="422" t="s">
        <v>364</v>
      </c>
      <c r="HI46" s="422" t="s">
        <v>364</v>
      </c>
      <c r="HJ46" s="422" t="s">
        <v>364</v>
      </c>
      <c r="HK46" s="422" t="s">
        <v>364</v>
      </c>
      <c r="HL46" s="422" t="s">
        <v>364</v>
      </c>
      <c r="HM46" s="422" t="s">
        <v>364</v>
      </c>
      <c r="HN46" s="422" t="s">
        <v>364</v>
      </c>
      <c r="HO46" s="422" t="s">
        <v>364</v>
      </c>
      <c r="HP46" s="422" t="s">
        <v>364</v>
      </c>
      <c r="HQ46" s="422" t="s">
        <v>364</v>
      </c>
      <c r="HR46" s="422" t="s">
        <v>364</v>
      </c>
      <c r="HS46" s="422" t="s">
        <v>364</v>
      </c>
      <c r="HT46" s="422" t="s">
        <v>364</v>
      </c>
      <c r="HU46" s="422" t="s">
        <v>364</v>
      </c>
      <c r="HV46" s="422" t="s">
        <v>364</v>
      </c>
      <c r="HW46" s="422" t="s">
        <v>364</v>
      </c>
      <c r="HX46" s="422" t="s">
        <v>364</v>
      </c>
      <c r="HY46" s="422">
        <f t="shared" si="8"/>
        <v>0</v>
      </c>
      <c r="HZ46" s="422" t="s">
        <v>364</v>
      </c>
      <c r="IA46" s="422" t="s">
        <v>364</v>
      </c>
      <c r="IB46" s="422" t="s">
        <v>364</v>
      </c>
      <c r="IC46" s="422" t="s">
        <v>364</v>
      </c>
      <c r="ID46" s="422" t="s">
        <v>364</v>
      </c>
      <c r="IE46" s="422" t="s">
        <v>364</v>
      </c>
      <c r="IF46" s="422">
        <f t="shared" si="9"/>
        <v>0</v>
      </c>
      <c r="IG46" s="422" t="s">
        <v>364</v>
      </c>
      <c r="IH46" s="422" t="s">
        <v>364</v>
      </c>
      <c r="II46" s="422" t="s">
        <v>364</v>
      </c>
      <c r="IJ46" s="422" t="s">
        <v>364</v>
      </c>
      <c r="IK46" s="422" t="s">
        <v>364</v>
      </c>
      <c r="IL46" s="422" t="s">
        <v>364</v>
      </c>
      <c r="IM46" s="422" t="s">
        <v>364</v>
      </c>
      <c r="IN46" s="422" t="s">
        <v>364</v>
      </c>
      <c r="IO46" s="422" t="s">
        <v>364</v>
      </c>
      <c r="IP46" s="422" t="s">
        <v>364</v>
      </c>
      <c r="IQ46" s="422" t="s">
        <v>364</v>
      </c>
      <c r="IR46" s="422" t="s">
        <v>364</v>
      </c>
      <c r="IS46" s="422" t="s">
        <v>364</v>
      </c>
      <c r="IT46" s="422" t="s">
        <v>364</v>
      </c>
      <c r="IU46" s="422" t="s">
        <v>364</v>
      </c>
      <c r="IV46" s="422" t="s">
        <v>364</v>
      </c>
      <c r="IW46" s="422" t="s">
        <v>364</v>
      </c>
      <c r="IX46" s="422" t="s">
        <v>364</v>
      </c>
      <c r="IY46" s="422" t="s">
        <v>364</v>
      </c>
      <c r="IZ46" s="422">
        <f t="shared" si="10"/>
        <v>0</v>
      </c>
      <c r="JA46" s="422" t="s">
        <v>364</v>
      </c>
      <c r="JB46" s="422" t="s">
        <v>364</v>
      </c>
      <c r="JC46" s="422" t="s">
        <v>364</v>
      </c>
      <c r="JD46" s="422" t="s">
        <v>364</v>
      </c>
      <c r="JE46" s="422" t="s">
        <v>364</v>
      </c>
      <c r="JF46" s="422" t="s">
        <v>364</v>
      </c>
      <c r="JG46" s="422" t="s">
        <v>364</v>
      </c>
      <c r="JH46" s="422" t="s">
        <v>364</v>
      </c>
      <c r="JI46" s="422" t="s">
        <v>364</v>
      </c>
      <c r="JJ46" s="422" t="s">
        <v>364</v>
      </c>
      <c r="JK46" s="422" t="s">
        <v>364</v>
      </c>
      <c r="JL46" s="422" t="s">
        <v>364</v>
      </c>
      <c r="JM46" s="422" t="s">
        <v>364</v>
      </c>
      <c r="JN46" s="422" t="s">
        <v>364</v>
      </c>
      <c r="JO46" s="422" t="s">
        <v>364</v>
      </c>
      <c r="JP46" s="422" t="s">
        <v>364</v>
      </c>
      <c r="JQ46" s="422" t="s">
        <v>364</v>
      </c>
      <c r="JR46" s="422" t="s">
        <v>364</v>
      </c>
      <c r="JS46" s="422" t="s">
        <v>364</v>
      </c>
      <c r="JT46" s="422" t="s">
        <v>364</v>
      </c>
      <c r="JU46" s="422" t="s">
        <v>364</v>
      </c>
      <c r="JV46" s="422" t="s">
        <v>364</v>
      </c>
      <c r="JW46" s="422">
        <f t="shared" si="11"/>
        <v>0</v>
      </c>
      <c r="JX46" s="422" t="s">
        <v>364</v>
      </c>
      <c r="JY46" s="422" t="s">
        <v>364</v>
      </c>
      <c r="JZ46" s="422" t="s">
        <v>364</v>
      </c>
      <c r="KA46" s="422" t="s">
        <v>364</v>
      </c>
      <c r="KB46" s="422" t="s">
        <v>364</v>
      </c>
      <c r="KC46" s="422" t="s">
        <v>364</v>
      </c>
      <c r="KD46" s="422" t="s">
        <v>364</v>
      </c>
      <c r="KE46" s="422" t="s">
        <v>364</v>
      </c>
      <c r="KF46" s="422" t="s">
        <v>364</v>
      </c>
      <c r="KG46" s="422" t="s">
        <v>364</v>
      </c>
      <c r="KH46" s="422" t="s">
        <v>364</v>
      </c>
      <c r="KI46" s="422" t="s">
        <v>364</v>
      </c>
      <c r="KJ46" s="422" t="s">
        <v>364</v>
      </c>
      <c r="KK46" s="422" t="s">
        <v>364</v>
      </c>
      <c r="KL46" s="422" t="s">
        <v>364</v>
      </c>
      <c r="KM46" s="422" t="s">
        <v>364</v>
      </c>
      <c r="KN46" s="422" t="s">
        <v>364</v>
      </c>
      <c r="KO46" s="422" t="s">
        <v>364</v>
      </c>
      <c r="KP46" s="422" t="s">
        <v>364</v>
      </c>
      <c r="KQ46" s="422" t="s">
        <v>364</v>
      </c>
      <c r="KR46" s="422" t="s">
        <v>364</v>
      </c>
      <c r="KS46" s="422" t="s">
        <v>364</v>
      </c>
      <c r="KT46" s="422" t="s">
        <v>364</v>
      </c>
      <c r="KU46" s="422" t="s">
        <v>364</v>
      </c>
      <c r="KV46" s="422" t="s">
        <v>364</v>
      </c>
      <c r="KW46" s="422" t="s">
        <v>364</v>
      </c>
      <c r="KX46" s="422" t="s">
        <v>364</v>
      </c>
      <c r="KY46" s="422" t="s">
        <v>364</v>
      </c>
      <c r="KZ46" s="422" t="s">
        <v>364</v>
      </c>
      <c r="LA46" s="422" t="s">
        <v>364</v>
      </c>
      <c r="LB46" s="422" t="s">
        <v>364</v>
      </c>
      <c r="LC46" s="422" t="s">
        <v>364</v>
      </c>
      <c r="LD46" s="422" t="s">
        <v>364</v>
      </c>
      <c r="LE46" s="422" t="s">
        <v>364</v>
      </c>
      <c r="LF46" s="422" t="s">
        <v>364</v>
      </c>
      <c r="LG46" s="422" t="s">
        <v>364</v>
      </c>
      <c r="LH46" s="422" t="s">
        <v>364</v>
      </c>
      <c r="LI46" s="422" t="s">
        <v>364</v>
      </c>
      <c r="LJ46" s="422" t="s">
        <v>364</v>
      </c>
      <c r="LK46" s="422" t="s">
        <v>364</v>
      </c>
      <c r="LL46" s="422" t="s">
        <v>364</v>
      </c>
      <c r="LM46" s="424" t="s">
        <v>364</v>
      </c>
      <c r="LN46" s="424">
        <v>0</v>
      </c>
      <c r="LO46" s="424" t="s">
        <v>364</v>
      </c>
      <c r="LP46" s="424" t="s">
        <v>364</v>
      </c>
      <c r="LQ46" s="424" t="s">
        <v>364</v>
      </c>
      <c r="LR46" s="424" t="s">
        <v>364</v>
      </c>
      <c r="LS46" s="424" t="s">
        <v>364</v>
      </c>
      <c r="LT46" s="424" t="s">
        <v>364</v>
      </c>
      <c r="LU46" s="424" t="s">
        <v>364</v>
      </c>
      <c r="LV46" s="424" t="s">
        <v>364</v>
      </c>
      <c r="LW46" s="424" t="s">
        <v>364</v>
      </c>
      <c r="LX46" s="424">
        <f t="shared" si="12"/>
        <v>0</v>
      </c>
      <c r="LY46" s="424" t="s">
        <v>364</v>
      </c>
      <c r="LZ46" s="424" t="s">
        <v>364</v>
      </c>
      <c r="MA46" s="424" t="s">
        <v>364</v>
      </c>
      <c r="MB46" s="424" t="s">
        <v>364</v>
      </c>
      <c r="MC46" s="424" t="s">
        <v>364</v>
      </c>
      <c r="MD46" s="424" t="s">
        <v>364</v>
      </c>
      <c r="ME46" s="424">
        <f t="shared" si="1"/>
        <v>0</v>
      </c>
      <c r="MF46" s="424" t="s">
        <v>364</v>
      </c>
      <c r="MG46" s="424" t="s">
        <v>364</v>
      </c>
      <c r="MH46" s="424" t="s">
        <v>364</v>
      </c>
      <c r="MI46" s="424" t="s">
        <v>364</v>
      </c>
      <c r="MJ46" s="424" t="s">
        <v>364</v>
      </c>
      <c r="MK46" s="424" t="s">
        <v>364</v>
      </c>
      <c r="ML46" s="424" t="s">
        <v>364</v>
      </c>
      <c r="MM46" s="424" t="s">
        <v>364</v>
      </c>
      <c r="MN46" s="424" t="s">
        <v>364</v>
      </c>
      <c r="MO46" s="424" t="s">
        <v>364</v>
      </c>
      <c r="MP46" s="424" t="s">
        <v>364</v>
      </c>
      <c r="MQ46" s="424" t="s">
        <v>364</v>
      </c>
      <c r="MR46" s="424" t="s">
        <v>364</v>
      </c>
      <c r="MS46" s="424" t="s">
        <v>364</v>
      </c>
      <c r="MT46" s="424" t="s">
        <v>364</v>
      </c>
      <c r="MU46" s="424" t="s">
        <v>364</v>
      </c>
      <c r="MV46" s="424" t="s">
        <v>364</v>
      </c>
      <c r="MW46" s="424" t="s">
        <v>364</v>
      </c>
      <c r="MX46" s="424">
        <f t="shared" si="13"/>
        <v>0</v>
      </c>
      <c r="MY46" s="424" t="s">
        <v>364</v>
      </c>
      <c r="MZ46" s="424" t="s">
        <v>364</v>
      </c>
      <c r="NA46" s="424" t="s">
        <v>364</v>
      </c>
      <c r="NB46" s="424" t="s">
        <v>364</v>
      </c>
      <c r="NC46" s="424" t="s">
        <v>364</v>
      </c>
      <c r="ND46" s="424" t="s">
        <v>364</v>
      </c>
      <c r="NE46" s="424" t="s">
        <v>364</v>
      </c>
      <c r="NF46" s="424" t="s">
        <v>364</v>
      </c>
      <c r="NG46" s="424" t="s">
        <v>364</v>
      </c>
      <c r="NH46" s="424" t="s">
        <v>364</v>
      </c>
      <c r="NI46" s="424" t="s">
        <v>364</v>
      </c>
      <c r="NJ46" s="424" t="s">
        <v>364</v>
      </c>
      <c r="NK46" s="424">
        <f t="shared" si="2"/>
        <v>0</v>
      </c>
      <c r="NL46" s="424">
        <f t="shared" si="14"/>
        <v>0</v>
      </c>
      <c r="NM46" s="424" t="s">
        <v>364</v>
      </c>
      <c r="NN46" s="424" t="s">
        <v>364</v>
      </c>
      <c r="NO46" s="424" t="s">
        <v>364</v>
      </c>
      <c r="NP46" s="424" t="s">
        <v>364</v>
      </c>
      <c r="NQ46" s="424" t="s">
        <v>364</v>
      </c>
      <c r="NR46" s="424" t="s">
        <v>364</v>
      </c>
      <c r="NS46" s="424" t="s">
        <v>364</v>
      </c>
      <c r="NT46" s="424" t="s">
        <v>364</v>
      </c>
      <c r="NU46" s="424" t="s">
        <v>364</v>
      </c>
      <c r="NV46" s="424" t="s">
        <v>364</v>
      </c>
      <c r="NW46" s="424" t="s">
        <v>364</v>
      </c>
      <c r="NX46" s="424" t="s">
        <v>364</v>
      </c>
      <c r="NY46" s="424" t="s">
        <v>364</v>
      </c>
      <c r="NZ46" s="424">
        <f t="shared" si="15"/>
        <v>0</v>
      </c>
      <c r="OA46" s="424" t="s">
        <v>364</v>
      </c>
      <c r="OB46" s="424" t="s">
        <v>364</v>
      </c>
      <c r="OC46" s="424" t="s">
        <v>364</v>
      </c>
      <c r="OD46" s="424" t="s">
        <v>364</v>
      </c>
      <c r="OE46" s="424" t="s">
        <v>364</v>
      </c>
      <c r="OF46" s="424" t="s">
        <v>364</v>
      </c>
      <c r="OG46" s="424" t="s">
        <v>364</v>
      </c>
      <c r="OH46" s="424">
        <f t="shared" si="16"/>
        <v>0</v>
      </c>
      <c r="OI46" s="424">
        <f t="shared" si="17"/>
        <v>0</v>
      </c>
      <c r="OJ46" s="422" t="s">
        <v>364</v>
      </c>
      <c r="OK46" s="422" t="s">
        <v>364</v>
      </c>
      <c r="OL46" s="422" t="s">
        <v>364</v>
      </c>
      <c r="OM46" s="422" t="s">
        <v>364</v>
      </c>
      <c r="ON46" s="422" t="s">
        <v>364</v>
      </c>
      <c r="OO46" s="422" t="s">
        <v>364</v>
      </c>
      <c r="OP46" s="422" t="s">
        <v>364</v>
      </c>
      <c r="OQ46" s="422" t="s">
        <v>364</v>
      </c>
      <c r="OR46" s="422" t="s">
        <v>364</v>
      </c>
      <c r="OS46" s="422" t="s">
        <v>364</v>
      </c>
      <c r="OT46" s="422" t="s">
        <v>364</v>
      </c>
      <c r="OU46" s="422" t="s">
        <v>364</v>
      </c>
      <c r="OV46" s="422" t="s">
        <v>364</v>
      </c>
      <c r="OW46" s="422" t="s">
        <v>364</v>
      </c>
      <c r="OX46" s="422" t="s">
        <v>364</v>
      </c>
      <c r="OY46" s="422" t="s">
        <v>364</v>
      </c>
      <c r="OZ46" s="422" t="s">
        <v>364</v>
      </c>
      <c r="PA46" s="422" t="s">
        <v>364</v>
      </c>
      <c r="PB46" s="424">
        <f t="shared" si="18"/>
        <v>0</v>
      </c>
      <c r="PC46" s="422" t="s">
        <v>364</v>
      </c>
      <c r="PD46" s="422" t="s">
        <v>364</v>
      </c>
      <c r="PE46" s="422" t="s">
        <v>364</v>
      </c>
      <c r="PF46" s="422" t="s">
        <v>364</v>
      </c>
      <c r="PG46" s="422" t="s">
        <v>364</v>
      </c>
      <c r="PH46" s="422" t="s">
        <v>364</v>
      </c>
      <c r="PI46" s="422" t="s">
        <v>364</v>
      </c>
      <c r="PJ46" s="422" t="s">
        <v>364</v>
      </c>
    </row>
    <row r="47" spans="2:426" ht="15.6">
      <c r="B47" s="426" t="s">
        <v>4866</v>
      </c>
      <c r="C47" s="422">
        <f t="shared" si="3"/>
        <v>0</v>
      </c>
      <c r="D47" s="422" t="s">
        <v>364</v>
      </c>
      <c r="E47" s="422" t="s">
        <v>364</v>
      </c>
      <c r="F47" s="422" t="s">
        <v>364</v>
      </c>
      <c r="G47" s="422" t="s">
        <v>364</v>
      </c>
      <c r="H47" s="422" t="s">
        <v>364</v>
      </c>
      <c r="I47" s="422" t="s">
        <v>364</v>
      </c>
      <c r="J47" s="422" t="s">
        <v>364</v>
      </c>
      <c r="K47" s="422" t="s">
        <v>364</v>
      </c>
      <c r="L47" s="422" t="s">
        <v>364</v>
      </c>
      <c r="M47" s="422" t="s">
        <v>364</v>
      </c>
      <c r="N47" s="422" t="s">
        <v>364</v>
      </c>
      <c r="O47" s="422" t="s">
        <v>364</v>
      </c>
      <c r="P47" s="422" t="s">
        <v>364</v>
      </c>
      <c r="Q47" s="422" t="s">
        <v>364</v>
      </c>
      <c r="R47" s="422" t="s">
        <v>364</v>
      </c>
      <c r="S47" s="422" t="s">
        <v>364</v>
      </c>
      <c r="T47" s="422" t="s">
        <v>364</v>
      </c>
      <c r="U47" s="422" t="s">
        <v>364</v>
      </c>
      <c r="V47" s="422" t="s">
        <v>364</v>
      </c>
      <c r="W47" s="422" t="s">
        <v>364</v>
      </c>
      <c r="X47" s="422" t="s">
        <v>364</v>
      </c>
      <c r="Y47" s="422" t="s">
        <v>364</v>
      </c>
      <c r="Z47" s="422" t="s">
        <v>364</v>
      </c>
      <c r="AA47" s="422" t="s">
        <v>364</v>
      </c>
      <c r="AB47" s="422" t="s">
        <v>364</v>
      </c>
      <c r="AC47" s="422" t="s">
        <v>364</v>
      </c>
      <c r="AD47" s="422" t="s">
        <v>364</v>
      </c>
      <c r="AE47" s="422" t="s">
        <v>364</v>
      </c>
      <c r="AF47" s="422" t="s">
        <v>364</v>
      </c>
      <c r="AG47" s="422" t="s">
        <v>364</v>
      </c>
      <c r="AH47" s="422" t="s">
        <v>364</v>
      </c>
      <c r="AI47" s="422" t="s">
        <v>364</v>
      </c>
      <c r="AJ47" s="422" t="s">
        <v>364</v>
      </c>
      <c r="AK47" s="422" t="s">
        <v>364</v>
      </c>
      <c r="AL47" s="422" t="s">
        <v>364</v>
      </c>
      <c r="AM47" s="422" t="s">
        <v>364</v>
      </c>
      <c r="AN47" s="422" t="s">
        <v>364</v>
      </c>
      <c r="AO47" s="422" t="s">
        <v>364</v>
      </c>
      <c r="AP47" s="422" t="s">
        <v>364</v>
      </c>
      <c r="AQ47" s="422">
        <f t="shared" si="0"/>
        <v>0</v>
      </c>
      <c r="AR47" s="422" t="s">
        <v>364</v>
      </c>
      <c r="AS47" s="422" t="s">
        <v>364</v>
      </c>
      <c r="AT47" s="422" t="s">
        <v>364</v>
      </c>
      <c r="AU47" s="422" t="s">
        <v>364</v>
      </c>
      <c r="AV47" s="422" t="s">
        <v>364</v>
      </c>
      <c r="AW47" s="422" t="s">
        <v>364</v>
      </c>
      <c r="AX47" s="422" t="s">
        <v>364</v>
      </c>
      <c r="AY47" s="422" t="s">
        <v>364</v>
      </c>
      <c r="AZ47" s="422" t="s">
        <v>364</v>
      </c>
      <c r="BA47" s="422" t="s">
        <v>364</v>
      </c>
      <c r="BB47" s="422" t="s">
        <v>364</v>
      </c>
      <c r="BC47" s="422" t="s">
        <v>364</v>
      </c>
      <c r="BD47" s="422" t="s">
        <v>364</v>
      </c>
      <c r="BE47" s="422" t="s">
        <v>364</v>
      </c>
      <c r="BF47" s="422" t="s">
        <v>364</v>
      </c>
      <c r="BG47" s="422" t="s">
        <v>364</v>
      </c>
      <c r="BH47" s="422" t="s">
        <v>364</v>
      </c>
      <c r="BI47" s="422" t="s">
        <v>364</v>
      </c>
      <c r="BJ47" s="422" t="s">
        <v>364</v>
      </c>
      <c r="BK47" s="422" t="s">
        <v>364</v>
      </c>
      <c r="BL47" s="422" t="s">
        <v>364</v>
      </c>
      <c r="BM47" s="422" t="s">
        <v>364</v>
      </c>
      <c r="BN47" s="422" t="s">
        <v>364</v>
      </c>
      <c r="BO47" s="422" t="s">
        <v>364</v>
      </c>
      <c r="BP47" s="422" t="s">
        <v>364</v>
      </c>
      <c r="BQ47" s="422" t="s">
        <v>364</v>
      </c>
      <c r="BR47" s="422" t="s">
        <v>364</v>
      </c>
      <c r="BS47" s="422" t="s">
        <v>364</v>
      </c>
      <c r="BT47" s="422" t="s">
        <v>364</v>
      </c>
      <c r="BU47" s="422" t="s">
        <v>364</v>
      </c>
      <c r="BV47" s="422" t="s">
        <v>364</v>
      </c>
      <c r="BW47" s="422" t="s">
        <v>364</v>
      </c>
      <c r="BX47" s="422" t="s">
        <v>364</v>
      </c>
      <c r="BY47" s="422" t="s">
        <v>364</v>
      </c>
      <c r="BZ47" s="422" t="s">
        <v>364</v>
      </c>
      <c r="CA47" s="422" t="s">
        <v>364</v>
      </c>
      <c r="CB47" s="422" t="s">
        <v>364</v>
      </c>
      <c r="CC47" s="422" t="s">
        <v>364</v>
      </c>
      <c r="CD47" s="422" t="s">
        <v>364</v>
      </c>
      <c r="CE47" s="422" t="s">
        <v>364</v>
      </c>
      <c r="CF47" s="422" t="s">
        <v>364</v>
      </c>
      <c r="CG47" s="422" t="s">
        <v>364</v>
      </c>
      <c r="CH47" s="422" t="s">
        <v>364</v>
      </c>
      <c r="CI47" s="422" t="s">
        <v>364</v>
      </c>
      <c r="CJ47" s="422" t="s">
        <v>364</v>
      </c>
      <c r="CK47" s="422" t="s">
        <v>364</v>
      </c>
      <c r="CL47" s="422" t="s">
        <v>364</v>
      </c>
      <c r="CM47" s="422" t="s">
        <v>364</v>
      </c>
      <c r="CN47" s="422" t="s">
        <v>364</v>
      </c>
      <c r="CO47" s="422" t="s">
        <v>364</v>
      </c>
      <c r="CP47" s="422" t="s">
        <v>364</v>
      </c>
      <c r="CQ47" s="422" t="s">
        <v>364</v>
      </c>
      <c r="CR47" s="422" t="s">
        <v>364</v>
      </c>
      <c r="CS47" s="422" t="s">
        <v>364</v>
      </c>
      <c r="CT47" s="422" t="s">
        <v>364</v>
      </c>
      <c r="CU47" s="422" t="s">
        <v>364</v>
      </c>
      <c r="CV47" s="422" t="s">
        <v>364</v>
      </c>
      <c r="CW47" s="422" t="s">
        <v>364</v>
      </c>
      <c r="CX47" s="422" t="s">
        <v>364</v>
      </c>
      <c r="CY47" s="422" t="s">
        <v>364</v>
      </c>
      <c r="CZ47" s="422" t="s">
        <v>364</v>
      </c>
      <c r="DA47" s="422" t="s">
        <v>364</v>
      </c>
      <c r="DB47" s="422" t="s">
        <v>364</v>
      </c>
      <c r="DC47" s="422" t="s">
        <v>364</v>
      </c>
      <c r="DD47" s="422" t="s">
        <v>364</v>
      </c>
      <c r="DE47" s="422" t="s">
        <v>364</v>
      </c>
      <c r="DF47" s="422" t="s">
        <v>364</v>
      </c>
      <c r="DG47" s="422" t="s">
        <v>364</v>
      </c>
      <c r="DH47" s="422" t="s">
        <v>364</v>
      </c>
      <c r="DI47" s="422" t="s">
        <v>364</v>
      </c>
      <c r="DJ47" s="422" t="s">
        <v>364</v>
      </c>
      <c r="DK47" s="422">
        <f t="shared" si="4"/>
        <v>40</v>
      </c>
      <c r="DL47" s="422">
        <v>40</v>
      </c>
      <c r="DM47" s="422" t="s">
        <v>364</v>
      </c>
      <c r="DN47" s="422" t="s">
        <v>364</v>
      </c>
      <c r="DO47" s="422" t="s">
        <v>364</v>
      </c>
      <c r="DP47" s="422" t="s">
        <v>364</v>
      </c>
      <c r="DQ47" s="422" t="s">
        <v>364</v>
      </c>
      <c r="DR47" s="422" t="s">
        <v>364</v>
      </c>
      <c r="DS47" s="422" t="s">
        <v>364</v>
      </c>
      <c r="DT47" s="422" t="s">
        <v>364</v>
      </c>
      <c r="DU47" s="422" t="s">
        <v>364</v>
      </c>
      <c r="DV47" s="422" t="s">
        <v>364</v>
      </c>
      <c r="DW47" s="422" t="s">
        <v>364</v>
      </c>
      <c r="DX47" s="422" t="s">
        <v>364</v>
      </c>
      <c r="DY47" s="422">
        <f t="shared" si="5"/>
        <v>8</v>
      </c>
      <c r="DZ47" s="422">
        <v>8</v>
      </c>
      <c r="EA47" s="422" t="s">
        <v>364</v>
      </c>
      <c r="EB47" s="422" t="s">
        <v>364</v>
      </c>
      <c r="EC47" s="422" t="s">
        <v>364</v>
      </c>
      <c r="ED47" s="422" t="s">
        <v>364</v>
      </c>
      <c r="EE47" s="422" t="s">
        <v>364</v>
      </c>
      <c r="EF47" s="422" t="s">
        <v>364</v>
      </c>
      <c r="EG47" s="422" t="s">
        <v>364</v>
      </c>
      <c r="EH47" s="422" t="s">
        <v>364</v>
      </c>
      <c r="EI47" s="422" t="s">
        <v>364</v>
      </c>
      <c r="EJ47" s="422" t="s">
        <v>364</v>
      </c>
      <c r="EK47" s="422" t="s">
        <v>364</v>
      </c>
      <c r="EL47" s="422" t="s">
        <v>364</v>
      </c>
      <c r="EM47" s="422" t="s">
        <v>364</v>
      </c>
      <c r="EN47" s="422" t="s">
        <v>364</v>
      </c>
      <c r="EO47" s="422" t="s">
        <v>364</v>
      </c>
      <c r="EP47" s="422" t="s">
        <v>364</v>
      </c>
      <c r="EQ47" s="422" t="s">
        <v>364</v>
      </c>
      <c r="ER47" s="422" t="s">
        <v>364</v>
      </c>
      <c r="ES47" s="422" t="s">
        <v>364</v>
      </c>
      <c r="ET47" s="422" t="s">
        <v>364</v>
      </c>
      <c r="EU47" s="422" t="s">
        <v>364</v>
      </c>
      <c r="EV47" s="422" t="s">
        <v>364</v>
      </c>
      <c r="EW47" s="422" t="s">
        <v>364</v>
      </c>
      <c r="EX47" s="422" t="s">
        <v>364</v>
      </c>
      <c r="EY47" s="422" t="s">
        <v>364</v>
      </c>
      <c r="EZ47" s="422" t="s">
        <v>364</v>
      </c>
      <c r="FA47" s="422">
        <f t="shared" si="6"/>
        <v>0</v>
      </c>
      <c r="FB47" s="422" t="s">
        <v>364</v>
      </c>
      <c r="FC47" s="422" t="s">
        <v>364</v>
      </c>
      <c r="FD47" s="422" t="s">
        <v>364</v>
      </c>
      <c r="FE47" s="422" t="s">
        <v>364</v>
      </c>
      <c r="FF47" s="422" t="s">
        <v>364</v>
      </c>
      <c r="FG47" s="422" t="s">
        <v>364</v>
      </c>
      <c r="FH47" s="422" t="s">
        <v>364</v>
      </c>
      <c r="FI47" s="422" t="s">
        <v>364</v>
      </c>
      <c r="FJ47" s="422" t="s">
        <v>364</v>
      </c>
      <c r="FK47" s="422" t="s">
        <v>364</v>
      </c>
      <c r="FL47" s="422" t="s">
        <v>364</v>
      </c>
      <c r="FM47" s="422" t="s">
        <v>364</v>
      </c>
      <c r="FN47" s="422" t="s">
        <v>364</v>
      </c>
      <c r="FO47" s="422" t="s">
        <v>364</v>
      </c>
      <c r="FP47" s="422" t="s">
        <v>364</v>
      </c>
      <c r="FQ47" s="422" t="s">
        <v>364</v>
      </c>
      <c r="FR47" s="422" t="s">
        <v>364</v>
      </c>
      <c r="FS47" s="422" t="s">
        <v>364</v>
      </c>
      <c r="FT47" s="422" t="s">
        <v>364</v>
      </c>
      <c r="FU47" s="422" t="s">
        <v>364</v>
      </c>
      <c r="FV47" s="422" t="s">
        <v>364</v>
      </c>
      <c r="FW47" s="422" t="s">
        <v>364</v>
      </c>
      <c r="FX47" s="422" t="s">
        <v>364</v>
      </c>
      <c r="FY47" s="422" t="s">
        <v>364</v>
      </c>
      <c r="FZ47" s="422" t="s">
        <v>364</v>
      </c>
      <c r="GA47" s="422" t="s">
        <v>364</v>
      </c>
      <c r="GB47" s="422" t="s">
        <v>364</v>
      </c>
      <c r="GC47" s="422" t="s">
        <v>364</v>
      </c>
      <c r="GD47" s="422" t="s">
        <v>364</v>
      </c>
      <c r="GE47" s="422" t="s">
        <v>364</v>
      </c>
      <c r="GF47" s="422" t="s">
        <v>364</v>
      </c>
      <c r="GG47" s="422" t="s">
        <v>364</v>
      </c>
      <c r="GH47" s="422" t="s">
        <v>364</v>
      </c>
      <c r="GI47" s="422" t="s">
        <v>364</v>
      </c>
      <c r="GJ47" s="422" t="s">
        <v>364</v>
      </c>
      <c r="GK47" s="422" t="s">
        <v>364</v>
      </c>
      <c r="GL47" s="422" t="s">
        <v>364</v>
      </c>
      <c r="GM47" s="422" t="s">
        <v>364</v>
      </c>
      <c r="GN47" s="422" t="s">
        <v>364</v>
      </c>
      <c r="GO47" s="422" t="s">
        <v>364</v>
      </c>
      <c r="GP47" s="422" t="s">
        <v>364</v>
      </c>
      <c r="GQ47" s="422" t="s">
        <v>364</v>
      </c>
      <c r="GR47" s="422" t="s">
        <v>364</v>
      </c>
      <c r="GS47" s="422" t="s">
        <v>364</v>
      </c>
      <c r="GT47" s="422" t="s">
        <v>364</v>
      </c>
      <c r="GU47" s="422" t="s">
        <v>364</v>
      </c>
      <c r="GV47" s="422">
        <f t="shared" si="7"/>
        <v>0</v>
      </c>
      <c r="GW47" s="422" t="s">
        <v>364</v>
      </c>
      <c r="GX47" s="422" t="s">
        <v>364</v>
      </c>
      <c r="GY47" s="422" t="s">
        <v>364</v>
      </c>
      <c r="GZ47" s="422" t="s">
        <v>364</v>
      </c>
      <c r="HA47" s="422" t="s">
        <v>364</v>
      </c>
      <c r="HB47" s="422" t="s">
        <v>364</v>
      </c>
      <c r="HC47" s="422" t="s">
        <v>364</v>
      </c>
      <c r="HD47" s="422" t="s">
        <v>364</v>
      </c>
      <c r="HE47" s="422" t="s">
        <v>364</v>
      </c>
      <c r="HF47" s="422" t="s">
        <v>364</v>
      </c>
      <c r="HG47" s="422" t="s">
        <v>364</v>
      </c>
      <c r="HH47" s="422" t="s">
        <v>364</v>
      </c>
      <c r="HI47" s="422" t="s">
        <v>364</v>
      </c>
      <c r="HJ47" s="422" t="s">
        <v>364</v>
      </c>
      <c r="HK47" s="422" t="s">
        <v>364</v>
      </c>
      <c r="HL47" s="422" t="s">
        <v>364</v>
      </c>
      <c r="HM47" s="422" t="s">
        <v>364</v>
      </c>
      <c r="HN47" s="422" t="s">
        <v>364</v>
      </c>
      <c r="HO47" s="422" t="s">
        <v>364</v>
      </c>
      <c r="HP47" s="422" t="s">
        <v>364</v>
      </c>
      <c r="HQ47" s="422" t="s">
        <v>364</v>
      </c>
      <c r="HR47" s="422" t="s">
        <v>364</v>
      </c>
      <c r="HS47" s="422" t="s">
        <v>364</v>
      </c>
      <c r="HT47" s="422" t="s">
        <v>364</v>
      </c>
      <c r="HU47" s="422" t="s">
        <v>364</v>
      </c>
      <c r="HV47" s="422" t="s">
        <v>364</v>
      </c>
      <c r="HW47" s="422" t="s">
        <v>364</v>
      </c>
      <c r="HX47" s="422" t="s">
        <v>364</v>
      </c>
      <c r="HY47" s="422">
        <f t="shared" si="8"/>
        <v>0</v>
      </c>
      <c r="HZ47" s="422" t="s">
        <v>364</v>
      </c>
      <c r="IA47" s="422" t="s">
        <v>364</v>
      </c>
      <c r="IB47" s="422" t="s">
        <v>364</v>
      </c>
      <c r="IC47" s="422" t="s">
        <v>364</v>
      </c>
      <c r="ID47" s="422" t="s">
        <v>364</v>
      </c>
      <c r="IE47" s="422" t="s">
        <v>364</v>
      </c>
      <c r="IF47" s="422">
        <f t="shared" si="9"/>
        <v>0</v>
      </c>
      <c r="IG47" s="422" t="s">
        <v>364</v>
      </c>
      <c r="IH47" s="422" t="s">
        <v>364</v>
      </c>
      <c r="II47" s="422" t="s">
        <v>364</v>
      </c>
      <c r="IJ47" s="422" t="s">
        <v>364</v>
      </c>
      <c r="IK47" s="422" t="s">
        <v>364</v>
      </c>
      <c r="IL47" s="422" t="s">
        <v>364</v>
      </c>
      <c r="IM47" s="422" t="s">
        <v>364</v>
      </c>
      <c r="IN47" s="422" t="s">
        <v>364</v>
      </c>
      <c r="IO47" s="422" t="s">
        <v>364</v>
      </c>
      <c r="IP47" s="422" t="s">
        <v>364</v>
      </c>
      <c r="IQ47" s="422" t="s">
        <v>364</v>
      </c>
      <c r="IR47" s="422" t="s">
        <v>364</v>
      </c>
      <c r="IS47" s="422" t="s">
        <v>364</v>
      </c>
      <c r="IT47" s="422" t="s">
        <v>364</v>
      </c>
      <c r="IU47" s="422" t="s">
        <v>364</v>
      </c>
      <c r="IV47" s="422" t="s">
        <v>364</v>
      </c>
      <c r="IW47" s="422" t="s">
        <v>364</v>
      </c>
      <c r="IX47" s="422" t="s">
        <v>364</v>
      </c>
      <c r="IY47" s="422" t="s">
        <v>364</v>
      </c>
      <c r="IZ47" s="422">
        <f t="shared" si="10"/>
        <v>0</v>
      </c>
      <c r="JA47" s="422" t="s">
        <v>364</v>
      </c>
      <c r="JB47" s="422" t="s">
        <v>364</v>
      </c>
      <c r="JC47" s="422" t="s">
        <v>364</v>
      </c>
      <c r="JD47" s="422" t="s">
        <v>364</v>
      </c>
      <c r="JE47" s="422" t="s">
        <v>364</v>
      </c>
      <c r="JF47" s="422" t="s">
        <v>364</v>
      </c>
      <c r="JG47" s="422" t="s">
        <v>364</v>
      </c>
      <c r="JH47" s="422" t="s">
        <v>364</v>
      </c>
      <c r="JI47" s="422" t="s">
        <v>364</v>
      </c>
      <c r="JJ47" s="422" t="s">
        <v>364</v>
      </c>
      <c r="JK47" s="422" t="s">
        <v>364</v>
      </c>
      <c r="JL47" s="422" t="s">
        <v>364</v>
      </c>
      <c r="JM47" s="422" t="s">
        <v>364</v>
      </c>
      <c r="JN47" s="422" t="s">
        <v>364</v>
      </c>
      <c r="JO47" s="422" t="s">
        <v>364</v>
      </c>
      <c r="JP47" s="422" t="s">
        <v>364</v>
      </c>
      <c r="JQ47" s="422" t="s">
        <v>364</v>
      </c>
      <c r="JR47" s="422" t="s">
        <v>364</v>
      </c>
      <c r="JS47" s="422" t="s">
        <v>364</v>
      </c>
      <c r="JT47" s="422" t="s">
        <v>364</v>
      </c>
      <c r="JU47" s="422" t="s">
        <v>364</v>
      </c>
      <c r="JV47" s="422" t="s">
        <v>364</v>
      </c>
      <c r="JW47" s="422">
        <f t="shared" si="11"/>
        <v>0</v>
      </c>
      <c r="JX47" s="422" t="s">
        <v>364</v>
      </c>
      <c r="JY47" s="422" t="s">
        <v>364</v>
      </c>
      <c r="JZ47" s="422" t="s">
        <v>364</v>
      </c>
      <c r="KA47" s="422" t="s">
        <v>364</v>
      </c>
      <c r="KB47" s="422" t="s">
        <v>364</v>
      </c>
      <c r="KC47" s="422" t="s">
        <v>364</v>
      </c>
      <c r="KD47" s="422" t="s">
        <v>364</v>
      </c>
      <c r="KE47" s="422" t="s">
        <v>364</v>
      </c>
      <c r="KF47" s="422" t="s">
        <v>364</v>
      </c>
      <c r="KG47" s="422" t="s">
        <v>364</v>
      </c>
      <c r="KH47" s="422" t="s">
        <v>364</v>
      </c>
      <c r="KI47" s="422" t="s">
        <v>364</v>
      </c>
      <c r="KJ47" s="422" t="s">
        <v>364</v>
      </c>
      <c r="KK47" s="422" t="s">
        <v>364</v>
      </c>
      <c r="KL47" s="422" t="s">
        <v>364</v>
      </c>
      <c r="KM47" s="422" t="s">
        <v>364</v>
      </c>
      <c r="KN47" s="422" t="s">
        <v>364</v>
      </c>
      <c r="KO47" s="422" t="s">
        <v>364</v>
      </c>
      <c r="KP47" s="422" t="s">
        <v>364</v>
      </c>
      <c r="KQ47" s="422" t="s">
        <v>364</v>
      </c>
      <c r="KR47" s="422" t="s">
        <v>364</v>
      </c>
      <c r="KS47" s="422" t="s">
        <v>364</v>
      </c>
      <c r="KT47" s="422" t="s">
        <v>364</v>
      </c>
      <c r="KU47" s="422" t="s">
        <v>364</v>
      </c>
      <c r="KV47" s="422" t="s">
        <v>364</v>
      </c>
      <c r="KW47" s="422" t="s">
        <v>364</v>
      </c>
      <c r="KX47" s="422" t="s">
        <v>364</v>
      </c>
      <c r="KY47" s="422" t="s">
        <v>364</v>
      </c>
      <c r="KZ47" s="422" t="s">
        <v>364</v>
      </c>
      <c r="LA47" s="422" t="s">
        <v>364</v>
      </c>
      <c r="LB47" s="422" t="s">
        <v>364</v>
      </c>
      <c r="LC47" s="422" t="s">
        <v>364</v>
      </c>
      <c r="LD47" s="422" t="s">
        <v>364</v>
      </c>
      <c r="LE47" s="422" t="s">
        <v>364</v>
      </c>
      <c r="LF47" s="422" t="s">
        <v>364</v>
      </c>
      <c r="LG47" s="422" t="s">
        <v>364</v>
      </c>
      <c r="LH47" s="422" t="s">
        <v>364</v>
      </c>
      <c r="LI47" s="422" t="s">
        <v>364</v>
      </c>
      <c r="LJ47" s="422" t="s">
        <v>364</v>
      </c>
      <c r="LK47" s="422" t="s">
        <v>364</v>
      </c>
      <c r="LL47" s="422" t="s">
        <v>364</v>
      </c>
      <c r="LM47" s="424" t="s">
        <v>364</v>
      </c>
      <c r="LN47" s="424">
        <v>0</v>
      </c>
      <c r="LO47" s="424" t="s">
        <v>364</v>
      </c>
      <c r="LP47" s="424" t="s">
        <v>364</v>
      </c>
      <c r="LQ47" s="424" t="s">
        <v>364</v>
      </c>
      <c r="LR47" s="424" t="s">
        <v>364</v>
      </c>
      <c r="LS47" s="424" t="s">
        <v>364</v>
      </c>
      <c r="LT47" s="424" t="s">
        <v>364</v>
      </c>
      <c r="LU47" s="424" t="s">
        <v>364</v>
      </c>
      <c r="LV47" s="424" t="s">
        <v>364</v>
      </c>
      <c r="LW47" s="424" t="s">
        <v>364</v>
      </c>
      <c r="LX47" s="424">
        <f t="shared" si="12"/>
        <v>0</v>
      </c>
      <c r="LY47" s="424" t="s">
        <v>364</v>
      </c>
      <c r="LZ47" s="424" t="s">
        <v>364</v>
      </c>
      <c r="MA47" s="424" t="s">
        <v>364</v>
      </c>
      <c r="MB47" s="424" t="s">
        <v>364</v>
      </c>
      <c r="MC47" s="424" t="s">
        <v>364</v>
      </c>
      <c r="MD47" s="424" t="s">
        <v>364</v>
      </c>
      <c r="ME47" s="424">
        <f t="shared" si="1"/>
        <v>0</v>
      </c>
      <c r="MF47" s="424" t="s">
        <v>364</v>
      </c>
      <c r="MG47" s="424" t="s">
        <v>364</v>
      </c>
      <c r="MH47" s="424" t="s">
        <v>364</v>
      </c>
      <c r="MI47" s="424" t="s">
        <v>364</v>
      </c>
      <c r="MJ47" s="424" t="s">
        <v>364</v>
      </c>
      <c r="MK47" s="424" t="s">
        <v>364</v>
      </c>
      <c r="ML47" s="424" t="s">
        <v>364</v>
      </c>
      <c r="MM47" s="424" t="s">
        <v>364</v>
      </c>
      <c r="MN47" s="424" t="s">
        <v>364</v>
      </c>
      <c r="MO47" s="424" t="s">
        <v>364</v>
      </c>
      <c r="MP47" s="424" t="s">
        <v>364</v>
      </c>
      <c r="MQ47" s="424" t="s">
        <v>364</v>
      </c>
      <c r="MR47" s="424" t="s">
        <v>364</v>
      </c>
      <c r="MS47" s="424" t="s">
        <v>364</v>
      </c>
      <c r="MT47" s="424" t="s">
        <v>364</v>
      </c>
      <c r="MU47" s="424" t="s">
        <v>364</v>
      </c>
      <c r="MV47" s="424" t="s">
        <v>364</v>
      </c>
      <c r="MW47" s="424" t="s">
        <v>364</v>
      </c>
      <c r="MX47" s="424">
        <f t="shared" si="13"/>
        <v>0</v>
      </c>
      <c r="MY47" s="424" t="s">
        <v>364</v>
      </c>
      <c r="MZ47" s="424" t="s">
        <v>364</v>
      </c>
      <c r="NA47" s="424" t="s">
        <v>364</v>
      </c>
      <c r="NB47" s="424" t="s">
        <v>364</v>
      </c>
      <c r="NC47" s="424" t="s">
        <v>364</v>
      </c>
      <c r="ND47" s="424" t="s">
        <v>364</v>
      </c>
      <c r="NE47" s="424" t="s">
        <v>364</v>
      </c>
      <c r="NF47" s="424" t="s">
        <v>364</v>
      </c>
      <c r="NG47" s="424" t="s">
        <v>364</v>
      </c>
      <c r="NH47" s="424" t="s">
        <v>364</v>
      </c>
      <c r="NI47" s="424" t="s">
        <v>364</v>
      </c>
      <c r="NJ47" s="424" t="s">
        <v>364</v>
      </c>
      <c r="NK47" s="424">
        <f t="shared" si="2"/>
        <v>0</v>
      </c>
      <c r="NL47" s="424">
        <f t="shared" si="14"/>
        <v>0</v>
      </c>
      <c r="NM47" s="424" t="s">
        <v>364</v>
      </c>
      <c r="NN47" s="424" t="s">
        <v>364</v>
      </c>
      <c r="NO47" s="424" t="s">
        <v>364</v>
      </c>
      <c r="NP47" s="424" t="s">
        <v>364</v>
      </c>
      <c r="NQ47" s="424" t="s">
        <v>364</v>
      </c>
      <c r="NR47" s="424" t="s">
        <v>364</v>
      </c>
      <c r="NS47" s="424" t="s">
        <v>364</v>
      </c>
      <c r="NT47" s="424" t="s">
        <v>364</v>
      </c>
      <c r="NU47" s="424" t="s">
        <v>364</v>
      </c>
      <c r="NV47" s="424" t="s">
        <v>364</v>
      </c>
      <c r="NW47" s="424" t="s">
        <v>364</v>
      </c>
      <c r="NX47" s="424" t="s">
        <v>364</v>
      </c>
      <c r="NY47" s="424" t="s">
        <v>364</v>
      </c>
      <c r="NZ47" s="424">
        <f t="shared" si="15"/>
        <v>0</v>
      </c>
      <c r="OA47" s="424" t="s">
        <v>364</v>
      </c>
      <c r="OB47" s="424" t="s">
        <v>364</v>
      </c>
      <c r="OC47" s="424" t="s">
        <v>364</v>
      </c>
      <c r="OD47" s="424" t="s">
        <v>364</v>
      </c>
      <c r="OE47" s="424" t="s">
        <v>364</v>
      </c>
      <c r="OF47" s="424" t="s">
        <v>6598</v>
      </c>
      <c r="OG47" s="424" t="s">
        <v>364</v>
      </c>
      <c r="OH47" s="424">
        <f t="shared" si="16"/>
        <v>0</v>
      </c>
      <c r="OI47" s="424">
        <f t="shared" si="17"/>
        <v>0</v>
      </c>
      <c r="OJ47" s="422" t="s">
        <v>364</v>
      </c>
      <c r="OK47" s="422" t="s">
        <v>364</v>
      </c>
      <c r="OL47" s="422" t="s">
        <v>364</v>
      </c>
      <c r="OM47" s="422" t="s">
        <v>364</v>
      </c>
      <c r="ON47" s="422" t="s">
        <v>364</v>
      </c>
      <c r="OO47" s="422" t="s">
        <v>364</v>
      </c>
      <c r="OP47" s="422" t="s">
        <v>364</v>
      </c>
      <c r="OQ47" s="422" t="s">
        <v>364</v>
      </c>
      <c r="OR47" s="422" t="s">
        <v>364</v>
      </c>
      <c r="OS47" s="422" t="s">
        <v>364</v>
      </c>
      <c r="OT47" s="422" t="s">
        <v>364</v>
      </c>
      <c r="OU47" s="422" t="s">
        <v>364</v>
      </c>
      <c r="OV47" s="422" t="s">
        <v>364</v>
      </c>
      <c r="OW47" s="422" t="s">
        <v>364</v>
      </c>
      <c r="OX47" s="422" t="s">
        <v>364</v>
      </c>
      <c r="OY47" s="422" t="s">
        <v>364</v>
      </c>
      <c r="OZ47" s="422" t="s">
        <v>364</v>
      </c>
      <c r="PA47" s="422" t="s">
        <v>364</v>
      </c>
      <c r="PB47" s="424">
        <f t="shared" si="18"/>
        <v>0</v>
      </c>
      <c r="PC47" s="422" t="s">
        <v>364</v>
      </c>
      <c r="PD47" s="422" t="s">
        <v>364</v>
      </c>
      <c r="PE47" s="422" t="s">
        <v>364</v>
      </c>
      <c r="PF47" s="422" t="s">
        <v>364</v>
      </c>
      <c r="PG47" s="422" t="s">
        <v>364</v>
      </c>
      <c r="PH47" s="422" t="s">
        <v>364</v>
      </c>
      <c r="PI47" s="422" t="s">
        <v>364</v>
      </c>
      <c r="PJ47" s="422" t="s">
        <v>364</v>
      </c>
    </row>
    <row r="48" spans="2:426" ht="15.6">
      <c r="B48" s="426" t="s">
        <v>4867</v>
      </c>
      <c r="C48" s="422">
        <f t="shared" si="3"/>
        <v>0</v>
      </c>
      <c r="D48" s="422" t="s">
        <v>364</v>
      </c>
      <c r="E48" s="422" t="s">
        <v>364</v>
      </c>
      <c r="F48" s="422" t="s">
        <v>364</v>
      </c>
      <c r="G48" s="422" t="s">
        <v>364</v>
      </c>
      <c r="H48" s="422" t="s">
        <v>364</v>
      </c>
      <c r="I48" s="422" t="s">
        <v>364</v>
      </c>
      <c r="J48" s="422" t="s">
        <v>364</v>
      </c>
      <c r="K48" s="422" t="s">
        <v>364</v>
      </c>
      <c r="L48" s="422" t="s">
        <v>364</v>
      </c>
      <c r="M48" s="422" t="s">
        <v>364</v>
      </c>
      <c r="N48" s="422" t="s">
        <v>364</v>
      </c>
      <c r="O48" s="422" t="s">
        <v>364</v>
      </c>
      <c r="P48" s="422" t="s">
        <v>364</v>
      </c>
      <c r="Q48" s="422" t="s">
        <v>364</v>
      </c>
      <c r="R48" s="422" t="s">
        <v>364</v>
      </c>
      <c r="S48" s="422" t="s">
        <v>364</v>
      </c>
      <c r="T48" s="422" t="s">
        <v>364</v>
      </c>
      <c r="U48" s="422" t="s">
        <v>364</v>
      </c>
      <c r="V48" s="422" t="s">
        <v>364</v>
      </c>
      <c r="W48" s="422" t="s">
        <v>364</v>
      </c>
      <c r="X48" s="422" t="s">
        <v>364</v>
      </c>
      <c r="Y48" s="422" t="s">
        <v>364</v>
      </c>
      <c r="Z48" s="422" t="s">
        <v>364</v>
      </c>
      <c r="AA48" s="422" t="s">
        <v>364</v>
      </c>
      <c r="AB48" s="422" t="s">
        <v>364</v>
      </c>
      <c r="AC48" s="422" t="s">
        <v>364</v>
      </c>
      <c r="AD48" s="422" t="s">
        <v>364</v>
      </c>
      <c r="AE48" s="422" t="s">
        <v>364</v>
      </c>
      <c r="AF48" s="422" t="s">
        <v>364</v>
      </c>
      <c r="AG48" s="422" t="s">
        <v>364</v>
      </c>
      <c r="AH48" s="422" t="s">
        <v>364</v>
      </c>
      <c r="AI48" s="422" t="s">
        <v>364</v>
      </c>
      <c r="AJ48" s="422" t="s">
        <v>364</v>
      </c>
      <c r="AK48" s="422" t="s">
        <v>364</v>
      </c>
      <c r="AL48" s="422" t="s">
        <v>364</v>
      </c>
      <c r="AM48" s="422" t="s">
        <v>364</v>
      </c>
      <c r="AN48" s="422" t="s">
        <v>364</v>
      </c>
      <c r="AO48" s="422" t="s">
        <v>364</v>
      </c>
      <c r="AP48" s="422" t="s">
        <v>364</v>
      </c>
      <c r="AQ48" s="422">
        <f t="shared" si="0"/>
        <v>0</v>
      </c>
      <c r="AR48" s="422" t="s">
        <v>364</v>
      </c>
      <c r="AS48" s="422" t="s">
        <v>364</v>
      </c>
      <c r="AT48" s="422" t="s">
        <v>364</v>
      </c>
      <c r="AU48" s="422" t="s">
        <v>364</v>
      </c>
      <c r="AV48" s="422" t="s">
        <v>364</v>
      </c>
      <c r="AW48" s="422" t="s">
        <v>364</v>
      </c>
      <c r="AX48" s="422" t="s">
        <v>364</v>
      </c>
      <c r="AY48" s="422" t="s">
        <v>364</v>
      </c>
      <c r="AZ48" s="422" t="s">
        <v>364</v>
      </c>
      <c r="BA48" s="422" t="s">
        <v>364</v>
      </c>
      <c r="BB48" s="422" t="s">
        <v>364</v>
      </c>
      <c r="BC48" s="422" t="s">
        <v>364</v>
      </c>
      <c r="BD48" s="422" t="s">
        <v>364</v>
      </c>
      <c r="BE48" s="422" t="s">
        <v>364</v>
      </c>
      <c r="BF48" s="422" t="s">
        <v>364</v>
      </c>
      <c r="BG48" s="422" t="s">
        <v>364</v>
      </c>
      <c r="BH48" s="422" t="s">
        <v>364</v>
      </c>
      <c r="BI48" s="422" t="s">
        <v>364</v>
      </c>
      <c r="BJ48" s="422" t="s">
        <v>364</v>
      </c>
      <c r="BK48" s="422" t="s">
        <v>364</v>
      </c>
      <c r="BL48" s="422" t="s">
        <v>364</v>
      </c>
      <c r="BM48" s="422" t="s">
        <v>364</v>
      </c>
      <c r="BN48" s="422" t="s">
        <v>364</v>
      </c>
      <c r="BO48" s="422" t="s">
        <v>364</v>
      </c>
      <c r="BP48" s="422" t="s">
        <v>364</v>
      </c>
      <c r="BQ48" s="422" t="s">
        <v>364</v>
      </c>
      <c r="BR48" s="422" t="s">
        <v>364</v>
      </c>
      <c r="BS48" s="422" t="s">
        <v>364</v>
      </c>
      <c r="BT48" s="422" t="s">
        <v>364</v>
      </c>
      <c r="BU48" s="422" t="s">
        <v>364</v>
      </c>
      <c r="BV48" s="422" t="s">
        <v>364</v>
      </c>
      <c r="BW48" s="422" t="s">
        <v>364</v>
      </c>
      <c r="BX48" s="422" t="s">
        <v>364</v>
      </c>
      <c r="BY48" s="422" t="s">
        <v>364</v>
      </c>
      <c r="BZ48" s="422" t="s">
        <v>364</v>
      </c>
      <c r="CA48" s="422" t="s">
        <v>364</v>
      </c>
      <c r="CB48" s="422" t="s">
        <v>364</v>
      </c>
      <c r="CC48" s="422" t="s">
        <v>364</v>
      </c>
      <c r="CD48" s="422" t="s">
        <v>364</v>
      </c>
      <c r="CE48" s="422" t="s">
        <v>364</v>
      </c>
      <c r="CF48" s="422" t="s">
        <v>364</v>
      </c>
      <c r="CG48" s="422" t="s">
        <v>364</v>
      </c>
      <c r="CH48" s="422" t="s">
        <v>364</v>
      </c>
      <c r="CI48" s="422" t="s">
        <v>364</v>
      </c>
      <c r="CJ48" s="422" t="s">
        <v>364</v>
      </c>
      <c r="CK48" s="422" t="s">
        <v>364</v>
      </c>
      <c r="CL48" s="422" t="s">
        <v>364</v>
      </c>
      <c r="CM48" s="422" t="s">
        <v>364</v>
      </c>
      <c r="CN48" s="422" t="s">
        <v>364</v>
      </c>
      <c r="CO48" s="422" t="s">
        <v>364</v>
      </c>
      <c r="CP48" s="422" t="s">
        <v>364</v>
      </c>
      <c r="CQ48" s="422" t="s">
        <v>364</v>
      </c>
      <c r="CR48" s="422" t="s">
        <v>364</v>
      </c>
      <c r="CS48" s="422" t="s">
        <v>364</v>
      </c>
      <c r="CT48" s="422" t="s">
        <v>364</v>
      </c>
      <c r="CU48" s="422" t="s">
        <v>364</v>
      </c>
      <c r="CV48" s="422" t="s">
        <v>364</v>
      </c>
      <c r="CW48" s="422" t="s">
        <v>364</v>
      </c>
      <c r="CX48" s="422" t="s">
        <v>364</v>
      </c>
      <c r="CY48" s="422" t="s">
        <v>364</v>
      </c>
      <c r="CZ48" s="422" t="s">
        <v>364</v>
      </c>
      <c r="DA48" s="422" t="s">
        <v>364</v>
      </c>
      <c r="DB48" s="422" t="s">
        <v>364</v>
      </c>
      <c r="DC48" s="422" t="s">
        <v>364</v>
      </c>
      <c r="DD48" s="422" t="s">
        <v>364</v>
      </c>
      <c r="DE48" s="422" t="s">
        <v>364</v>
      </c>
      <c r="DF48" s="422" t="s">
        <v>364</v>
      </c>
      <c r="DG48" s="422" t="s">
        <v>364</v>
      </c>
      <c r="DH48" s="422" t="s">
        <v>364</v>
      </c>
      <c r="DI48" s="422" t="s">
        <v>364</v>
      </c>
      <c r="DJ48" s="422" t="s">
        <v>364</v>
      </c>
      <c r="DK48" s="422">
        <f t="shared" si="4"/>
        <v>0</v>
      </c>
      <c r="DL48" s="422" t="s">
        <v>364</v>
      </c>
      <c r="DM48" s="422" t="s">
        <v>364</v>
      </c>
      <c r="DN48" s="422" t="s">
        <v>364</v>
      </c>
      <c r="DO48" s="422" t="s">
        <v>364</v>
      </c>
      <c r="DP48" s="422" t="s">
        <v>364</v>
      </c>
      <c r="DQ48" s="422" t="s">
        <v>364</v>
      </c>
      <c r="DR48" s="422" t="s">
        <v>364</v>
      </c>
      <c r="DS48" s="422" t="s">
        <v>364</v>
      </c>
      <c r="DT48" s="422" t="s">
        <v>364</v>
      </c>
      <c r="DU48" s="422" t="s">
        <v>364</v>
      </c>
      <c r="DV48" s="422" t="s">
        <v>364</v>
      </c>
      <c r="DW48" s="422" t="s">
        <v>364</v>
      </c>
      <c r="DX48" s="422" t="s">
        <v>364</v>
      </c>
      <c r="DY48" s="422">
        <f t="shared" si="5"/>
        <v>0</v>
      </c>
      <c r="DZ48" s="422" t="s">
        <v>364</v>
      </c>
      <c r="EA48" s="422" t="s">
        <v>364</v>
      </c>
      <c r="EB48" s="422" t="s">
        <v>364</v>
      </c>
      <c r="EC48" s="422" t="s">
        <v>364</v>
      </c>
      <c r="ED48" s="422" t="s">
        <v>364</v>
      </c>
      <c r="EE48" s="422" t="s">
        <v>364</v>
      </c>
      <c r="EF48" s="422" t="s">
        <v>364</v>
      </c>
      <c r="EG48" s="422" t="s">
        <v>364</v>
      </c>
      <c r="EH48" s="422" t="s">
        <v>364</v>
      </c>
      <c r="EI48" s="422" t="s">
        <v>364</v>
      </c>
      <c r="EJ48" s="422" t="s">
        <v>364</v>
      </c>
      <c r="EK48" s="422" t="s">
        <v>364</v>
      </c>
      <c r="EL48" s="422" t="s">
        <v>364</v>
      </c>
      <c r="EM48" s="422" t="s">
        <v>364</v>
      </c>
      <c r="EN48" s="422" t="s">
        <v>364</v>
      </c>
      <c r="EO48" s="422" t="s">
        <v>364</v>
      </c>
      <c r="EP48" s="422" t="s">
        <v>364</v>
      </c>
      <c r="EQ48" s="422" t="s">
        <v>364</v>
      </c>
      <c r="ER48" s="422" t="s">
        <v>364</v>
      </c>
      <c r="ES48" s="422" t="s">
        <v>364</v>
      </c>
      <c r="ET48" s="422" t="s">
        <v>364</v>
      </c>
      <c r="EU48" s="422" t="s">
        <v>364</v>
      </c>
      <c r="EV48" s="422" t="s">
        <v>364</v>
      </c>
      <c r="EW48" s="422" t="s">
        <v>364</v>
      </c>
      <c r="EX48" s="422" t="s">
        <v>364</v>
      </c>
      <c r="EY48" s="422" t="s">
        <v>364</v>
      </c>
      <c r="EZ48" s="422" t="s">
        <v>364</v>
      </c>
      <c r="FA48" s="422">
        <f t="shared" si="6"/>
        <v>0</v>
      </c>
      <c r="FB48" s="422" t="s">
        <v>364</v>
      </c>
      <c r="FC48" s="422" t="s">
        <v>364</v>
      </c>
      <c r="FD48" s="422" t="s">
        <v>364</v>
      </c>
      <c r="FE48" s="422" t="s">
        <v>364</v>
      </c>
      <c r="FF48" s="422" t="s">
        <v>364</v>
      </c>
      <c r="FG48" s="422" t="s">
        <v>364</v>
      </c>
      <c r="FH48" s="422" t="s">
        <v>364</v>
      </c>
      <c r="FI48" s="422" t="s">
        <v>364</v>
      </c>
      <c r="FJ48" s="422" t="s">
        <v>364</v>
      </c>
      <c r="FK48" s="422" t="s">
        <v>364</v>
      </c>
      <c r="FL48" s="422" t="s">
        <v>364</v>
      </c>
      <c r="FM48" s="422" t="s">
        <v>364</v>
      </c>
      <c r="FN48" s="422" t="s">
        <v>364</v>
      </c>
      <c r="FO48" s="422" t="s">
        <v>364</v>
      </c>
      <c r="FP48" s="422" t="s">
        <v>364</v>
      </c>
      <c r="FQ48" s="422" t="s">
        <v>364</v>
      </c>
      <c r="FR48" s="422" t="s">
        <v>364</v>
      </c>
      <c r="FS48" s="422" t="s">
        <v>364</v>
      </c>
      <c r="FT48" s="422" t="s">
        <v>364</v>
      </c>
      <c r="FU48" s="422" t="s">
        <v>364</v>
      </c>
      <c r="FV48" s="422" t="s">
        <v>364</v>
      </c>
      <c r="FW48" s="422" t="s">
        <v>364</v>
      </c>
      <c r="FX48" s="422" t="s">
        <v>364</v>
      </c>
      <c r="FY48" s="422" t="s">
        <v>364</v>
      </c>
      <c r="FZ48" s="422" t="s">
        <v>364</v>
      </c>
      <c r="GA48" s="422" t="s">
        <v>364</v>
      </c>
      <c r="GB48" s="422" t="s">
        <v>364</v>
      </c>
      <c r="GC48" s="422" t="s">
        <v>364</v>
      </c>
      <c r="GD48" s="422" t="s">
        <v>364</v>
      </c>
      <c r="GE48" s="422" t="s">
        <v>364</v>
      </c>
      <c r="GF48" s="422" t="s">
        <v>364</v>
      </c>
      <c r="GG48" s="422" t="s">
        <v>364</v>
      </c>
      <c r="GH48" s="422" t="s">
        <v>364</v>
      </c>
      <c r="GI48" s="422" t="s">
        <v>364</v>
      </c>
      <c r="GJ48" s="422" t="s">
        <v>364</v>
      </c>
      <c r="GK48" s="422" t="s">
        <v>364</v>
      </c>
      <c r="GL48" s="422" t="s">
        <v>364</v>
      </c>
      <c r="GM48" s="422" t="s">
        <v>364</v>
      </c>
      <c r="GN48" s="422" t="s">
        <v>364</v>
      </c>
      <c r="GO48" s="422" t="s">
        <v>364</v>
      </c>
      <c r="GP48" s="422" t="s">
        <v>364</v>
      </c>
      <c r="GQ48" s="422" t="s">
        <v>364</v>
      </c>
      <c r="GR48" s="422" t="s">
        <v>364</v>
      </c>
      <c r="GS48" s="422" t="s">
        <v>364</v>
      </c>
      <c r="GT48" s="422" t="s">
        <v>364</v>
      </c>
      <c r="GU48" s="422" t="s">
        <v>364</v>
      </c>
      <c r="GV48" s="422">
        <f t="shared" si="7"/>
        <v>0</v>
      </c>
      <c r="GW48" s="422" t="s">
        <v>364</v>
      </c>
      <c r="GX48" s="422" t="s">
        <v>364</v>
      </c>
      <c r="GY48" s="422" t="s">
        <v>364</v>
      </c>
      <c r="GZ48" s="422" t="s">
        <v>364</v>
      </c>
      <c r="HA48" s="422" t="s">
        <v>364</v>
      </c>
      <c r="HB48" s="422" t="s">
        <v>364</v>
      </c>
      <c r="HC48" s="422" t="s">
        <v>364</v>
      </c>
      <c r="HD48" s="422" t="s">
        <v>364</v>
      </c>
      <c r="HE48" s="422" t="s">
        <v>364</v>
      </c>
      <c r="HF48" s="422" t="s">
        <v>364</v>
      </c>
      <c r="HG48" s="422" t="s">
        <v>364</v>
      </c>
      <c r="HH48" s="422" t="s">
        <v>364</v>
      </c>
      <c r="HI48" s="422" t="s">
        <v>364</v>
      </c>
      <c r="HJ48" s="422" t="s">
        <v>364</v>
      </c>
      <c r="HK48" s="422" t="s">
        <v>364</v>
      </c>
      <c r="HL48" s="422" t="s">
        <v>364</v>
      </c>
      <c r="HM48" s="422" t="s">
        <v>364</v>
      </c>
      <c r="HN48" s="422" t="s">
        <v>364</v>
      </c>
      <c r="HO48" s="422" t="s">
        <v>364</v>
      </c>
      <c r="HP48" s="422" t="s">
        <v>364</v>
      </c>
      <c r="HQ48" s="422" t="s">
        <v>364</v>
      </c>
      <c r="HR48" s="422" t="s">
        <v>364</v>
      </c>
      <c r="HS48" s="422" t="s">
        <v>364</v>
      </c>
      <c r="HT48" s="422" t="s">
        <v>364</v>
      </c>
      <c r="HU48" s="422" t="s">
        <v>364</v>
      </c>
      <c r="HV48" s="422" t="s">
        <v>364</v>
      </c>
      <c r="HW48" s="422" t="s">
        <v>364</v>
      </c>
      <c r="HX48" s="422" t="s">
        <v>364</v>
      </c>
      <c r="HY48" s="422">
        <f t="shared" si="8"/>
        <v>0</v>
      </c>
      <c r="HZ48" s="422" t="s">
        <v>364</v>
      </c>
      <c r="IA48" s="422" t="s">
        <v>364</v>
      </c>
      <c r="IB48" s="422" t="s">
        <v>364</v>
      </c>
      <c r="IC48" s="422" t="s">
        <v>364</v>
      </c>
      <c r="ID48" s="422" t="s">
        <v>364</v>
      </c>
      <c r="IE48" s="422" t="s">
        <v>364</v>
      </c>
      <c r="IF48" s="422">
        <f t="shared" si="9"/>
        <v>0</v>
      </c>
      <c r="IG48" s="422" t="s">
        <v>364</v>
      </c>
      <c r="IH48" s="422" t="s">
        <v>364</v>
      </c>
      <c r="II48" s="422" t="s">
        <v>364</v>
      </c>
      <c r="IJ48" s="422" t="s">
        <v>364</v>
      </c>
      <c r="IK48" s="422" t="s">
        <v>364</v>
      </c>
      <c r="IL48" s="422" t="s">
        <v>364</v>
      </c>
      <c r="IM48" s="422" t="s">
        <v>364</v>
      </c>
      <c r="IN48" s="422" t="s">
        <v>364</v>
      </c>
      <c r="IO48" s="422" t="s">
        <v>364</v>
      </c>
      <c r="IP48" s="422" t="s">
        <v>364</v>
      </c>
      <c r="IQ48" s="422" t="s">
        <v>364</v>
      </c>
      <c r="IR48" s="422" t="s">
        <v>364</v>
      </c>
      <c r="IS48" s="422" t="s">
        <v>364</v>
      </c>
      <c r="IT48" s="422" t="s">
        <v>364</v>
      </c>
      <c r="IU48" s="422" t="s">
        <v>364</v>
      </c>
      <c r="IV48" s="422" t="s">
        <v>364</v>
      </c>
      <c r="IW48" s="422" t="s">
        <v>364</v>
      </c>
      <c r="IX48" s="422" t="s">
        <v>364</v>
      </c>
      <c r="IY48" s="422" t="s">
        <v>364</v>
      </c>
      <c r="IZ48" s="422">
        <f t="shared" si="10"/>
        <v>0</v>
      </c>
      <c r="JA48" s="422" t="s">
        <v>364</v>
      </c>
      <c r="JB48" s="422" t="s">
        <v>364</v>
      </c>
      <c r="JC48" s="422" t="s">
        <v>364</v>
      </c>
      <c r="JD48" s="422" t="s">
        <v>364</v>
      </c>
      <c r="JE48" s="422" t="s">
        <v>364</v>
      </c>
      <c r="JF48" s="422" t="s">
        <v>364</v>
      </c>
      <c r="JG48" s="422" t="s">
        <v>364</v>
      </c>
      <c r="JH48" s="422" t="s">
        <v>364</v>
      </c>
      <c r="JI48" s="422" t="s">
        <v>364</v>
      </c>
      <c r="JJ48" s="422" t="s">
        <v>364</v>
      </c>
      <c r="JK48" s="422" t="s">
        <v>364</v>
      </c>
      <c r="JL48" s="422" t="s">
        <v>364</v>
      </c>
      <c r="JM48" s="422" t="s">
        <v>364</v>
      </c>
      <c r="JN48" s="422" t="s">
        <v>364</v>
      </c>
      <c r="JO48" s="422" t="s">
        <v>364</v>
      </c>
      <c r="JP48" s="422" t="s">
        <v>364</v>
      </c>
      <c r="JQ48" s="422" t="s">
        <v>364</v>
      </c>
      <c r="JR48" s="422" t="s">
        <v>364</v>
      </c>
      <c r="JS48" s="422" t="s">
        <v>364</v>
      </c>
      <c r="JT48" s="422" t="s">
        <v>364</v>
      </c>
      <c r="JU48" s="422" t="s">
        <v>364</v>
      </c>
      <c r="JV48" s="422" t="s">
        <v>364</v>
      </c>
      <c r="JW48" s="422">
        <f t="shared" si="11"/>
        <v>0</v>
      </c>
      <c r="JX48" s="422" t="s">
        <v>364</v>
      </c>
      <c r="JY48" s="422" t="s">
        <v>364</v>
      </c>
      <c r="JZ48" s="422" t="s">
        <v>364</v>
      </c>
      <c r="KA48" s="422" t="s">
        <v>364</v>
      </c>
      <c r="KB48" s="422" t="s">
        <v>364</v>
      </c>
      <c r="KC48" s="422" t="s">
        <v>364</v>
      </c>
      <c r="KD48" s="422" t="s">
        <v>364</v>
      </c>
      <c r="KE48" s="422" t="s">
        <v>364</v>
      </c>
      <c r="KF48" s="422" t="s">
        <v>364</v>
      </c>
      <c r="KG48" s="422" t="s">
        <v>364</v>
      </c>
      <c r="KH48" s="422" t="s">
        <v>364</v>
      </c>
      <c r="KI48" s="422" t="s">
        <v>364</v>
      </c>
      <c r="KJ48" s="422" t="s">
        <v>364</v>
      </c>
      <c r="KK48" s="422" t="s">
        <v>364</v>
      </c>
      <c r="KL48" s="422" t="s">
        <v>364</v>
      </c>
      <c r="KM48" s="422" t="s">
        <v>364</v>
      </c>
      <c r="KN48" s="422" t="s">
        <v>364</v>
      </c>
      <c r="KO48" s="422" t="s">
        <v>364</v>
      </c>
      <c r="KP48" s="422" t="s">
        <v>364</v>
      </c>
      <c r="KQ48" s="422" t="s">
        <v>364</v>
      </c>
      <c r="KR48" s="422" t="s">
        <v>364</v>
      </c>
      <c r="KS48" s="422" t="s">
        <v>364</v>
      </c>
      <c r="KT48" s="422" t="s">
        <v>364</v>
      </c>
      <c r="KU48" s="422" t="s">
        <v>364</v>
      </c>
      <c r="KV48" s="422" t="s">
        <v>364</v>
      </c>
      <c r="KW48" s="422" t="s">
        <v>364</v>
      </c>
      <c r="KX48" s="422" t="s">
        <v>364</v>
      </c>
      <c r="KY48" s="422" t="s">
        <v>364</v>
      </c>
      <c r="KZ48" s="422" t="s">
        <v>364</v>
      </c>
      <c r="LA48" s="422" t="s">
        <v>364</v>
      </c>
      <c r="LB48" s="422" t="s">
        <v>364</v>
      </c>
      <c r="LC48" s="422" t="s">
        <v>364</v>
      </c>
      <c r="LD48" s="422" t="s">
        <v>364</v>
      </c>
      <c r="LE48" s="422" t="s">
        <v>364</v>
      </c>
      <c r="LF48" s="422" t="s">
        <v>364</v>
      </c>
      <c r="LG48" s="422" t="s">
        <v>364</v>
      </c>
      <c r="LH48" s="422" t="s">
        <v>364</v>
      </c>
      <c r="LI48" s="422" t="s">
        <v>364</v>
      </c>
      <c r="LJ48" s="422" t="s">
        <v>364</v>
      </c>
      <c r="LK48" s="422" t="s">
        <v>364</v>
      </c>
      <c r="LL48" s="422" t="s">
        <v>364</v>
      </c>
      <c r="LM48" s="424" t="s">
        <v>364</v>
      </c>
      <c r="LN48" s="424">
        <v>0</v>
      </c>
      <c r="LO48" s="424" t="s">
        <v>364</v>
      </c>
      <c r="LP48" s="424" t="s">
        <v>364</v>
      </c>
      <c r="LQ48" s="424" t="s">
        <v>364</v>
      </c>
      <c r="LR48" s="424" t="s">
        <v>364</v>
      </c>
      <c r="LS48" s="424" t="s">
        <v>364</v>
      </c>
      <c r="LT48" s="424" t="s">
        <v>364</v>
      </c>
      <c r="LU48" s="424" t="s">
        <v>364</v>
      </c>
      <c r="LV48" s="424" t="s">
        <v>364</v>
      </c>
      <c r="LW48" s="424" t="s">
        <v>364</v>
      </c>
      <c r="LX48" s="424">
        <f t="shared" si="12"/>
        <v>0</v>
      </c>
      <c r="LY48" s="424" t="s">
        <v>364</v>
      </c>
      <c r="LZ48" s="424" t="s">
        <v>364</v>
      </c>
      <c r="MA48" s="424" t="s">
        <v>364</v>
      </c>
      <c r="MB48" s="424" t="s">
        <v>364</v>
      </c>
      <c r="MC48" s="424" t="s">
        <v>364</v>
      </c>
      <c r="MD48" s="424" t="s">
        <v>364</v>
      </c>
      <c r="ME48" s="424">
        <f t="shared" si="1"/>
        <v>0</v>
      </c>
      <c r="MF48" s="424" t="s">
        <v>364</v>
      </c>
      <c r="MG48" s="424" t="s">
        <v>364</v>
      </c>
      <c r="MH48" s="424" t="s">
        <v>364</v>
      </c>
      <c r="MI48" s="424" t="s">
        <v>364</v>
      </c>
      <c r="MJ48" s="424" t="s">
        <v>364</v>
      </c>
      <c r="MK48" s="424" t="s">
        <v>364</v>
      </c>
      <c r="ML48" s="424" t="s">
        <v>364</v>
      </c>
      <c r="MM48" s="424" t="s">
        <v>364</v>
      </c>
      <c r="MN48" s="424" t="s">
        <v>364</v>
      </c>
      <c r="MO48" s="424" t="s">
        <v>364</v>
      </c>
      <c r="MP48" s="424" t="s">
        <v>364</v>
      </c>
      <c r="MQ48" s="424" t="s">
        <v>364</v>
      </c>
      <c r="MR48" s="424" t="s">
        <v>364</v>
      </c>
      <c r="MS48" s="424" t="s">
        <v>364</v>
      </c>
      <c r="MT48" s="424" t="s">
        <v>364</v>
      </c>
      <c r="MU48" s="424" t="s">
        <v>364</v>
      </c>
      <c r="MV48" s="424" t="s">
        <v>364</v>
      </c>
      <c r="MW48" s="424" t="s">
        <v>364</v>
      </c>
      <c r="MX48" s="424">
        <f t="shared" si="13"/>
        <v>0</v>
      </c>
      <c r="MY48" s="424" t="s">
        <v>364</v>
      </c>
      <c r="MZ48" s="424" t="s">
        <v>364</v>
      </c>
      <c r="NA48" s="424" t="s">
        <v>364</v>
      </c>
      <c r="NB48" s="424" t="s">
        <v>364</v>
      </c>
      <c r="NC48" s="424" t="s">
        <v>364</v>
      </c>
      <c r="ND48" s="424" t="s">
        <v>364</v>
      </c>
      <c r="NE48" s="424" t="s">
        <v>364</v>
      </c>
      <c r="NF48" s="424" t="s">
        <v>364</v>
      </c>
      <c r="NG48" s="424" t="s">
        <v>364</v>
      </c>
      <c r="NH48" s="424" t="s">
        <v>364</v>
      </c>
      <c r="NI48" s="424" t="s">
        <v>364</v>
      </c>
      <c r="NJ48" s="424" t="s">
        <v>364</v>
      </c>
      <c r="NK48" s="424">
        <f t="shared" si="2"/>
        <v>0</v>
      </c>
      <c r="NL48" s="424">
        <f t="shared" si="14"/>
        <v>0</v>
      </c>
      <c r="NM48" s="424" t="s">
        <v>364</v>
      </c>
      <c r="NN48" s="424" t="s">
        <v>364</v>
      </c>
      <c r="NO48" s="424" t="s">
        <v>364</v>
      </c>
      <c r="NP48" s="424" t="s">
        <v>364</v>
      </c>
      <c r="NQ48" s="424" t="s">
        <v>364</v>
      </c>
      <c r="NR48" s="424" t="s">
        <v>364</v>
      </c>
      <c r="NS48" s="424" t="s">
        <v>364</v>
      </c>
      <c r="NT48" s="424" t="s">
        <v>364</v>
      </c>
      <c r="NU48" s="424" t="s">
        <v>364</v>
      </c>
      <c r="NV48" s="424" t="s">
        <v>364</v>
      </c>
      <c r="NW48" s="424" t="s">
        <v>364</v>
      </c>
      <c r="NX48" s="424" t="s">
        <v>364</v>
      </c>
      <c r="NY48" s="424" t="s">
        <v>364</v>
      </c>
      <c r="NZ48" s="424">
        <f t="shared" si="15"/>
        <v>0</v>
      </c>
      <c r="OA48" s="424" t="s">
        <v>364</v>
      </c>
      <c r="OB48" s="424" t="s">
        <v>364</v>
      </c>
      <c r="OC48" s="424" t="s">
        <v>364</v>
      </c>
      <c r="OD48" s="424" t="s">
        <v>364</v>
      </c>
      <c r="OE48" s="424" t="s">
        <v>364</v>
      </c>
      <c r="OF48" s="424" t="s">
        <v>364</v>
      </c>
      <c r="OG48" s="424" t="s">
        <v>364</v>
      </c>
      <c r="OH48" s="424">
        <f t="shared" si="16"/>
        <v>0</v>
      </c>
      <c r="OI48" s="424">
        <f t="shared" si="17"/>
        <v>0</v>
      </c>
      <c r="OJ48" s="422" t="s">
        <v>364</v>
      </c>
      <c r="OK48" s="422" t="s">
        <v>364</v>
      </c>
      <c r="OL48" s="422" t="s">
        <v>364</v>
      </c>
      <c r="OM48" s="422" t="s">
        <v>364</v>
      </c>
      <c r="ON48" s="422" t="s">
        <v>364</v>
      </c>
      <c r="OO48" s="422" t="s">
        <v>364</v>
      </c>
      <c r="OP48" s="422" t="s">
        <v>364</v>
      </c>
      <c r="OQ48" s="422" t="s">
        <v>364</v>
      </c>
      <c r="OR48" s="422" t="s">
        <v>364</v>
      </c>
      <c r="OS48" s="422" t="s">
        <v>364</v>
      </c>
      <c r="OT48" s="422" t="s">
        <v>364</v>
      </c>
      <c r="OU48" s="422" t="s">
        <v>364</v>
      </c>
      <c r="OV48" s="422" t="s">
        <v>364</v>
      </c>
      <c r="OW48" s="422" t="s">
        <v>364</v>
      </c>
      <c r="OX48" s="422" t="s">
        <v>364</v>
      </c>
      <c r="OY48" s="422" t="s">
        <v>364</v>
      </c>
      <c r="OZ48" s="422" t="s">
        <v>364</v>
      </c>
      <c r="PA48" s="422" t="s">
        <v>364</v>
      </c>
      <c r="PB48" s="424">
        <f t="shared" si="18"/>
        <v>0</v>
      </c>
      <c r="PC48" s="422" t="s">
        <v>364</v>
      </c>
      <c r="PD48" s="422" t="s">
        <v>364</v>
      </c>
      <c r="PE48" s="422" t="s">
        <v>364</v>
      </c>
      <c r="PF48" s="422" t="s">
        <v>364</v>
      </c>
      <c r="PG48" s="422" t="s">
        <v>364</v>
      </c>
      <c r="PH48" s="422" t="s">
        <v>364</v>
      </c>
      <c r="PI48" s="422" t="s">
        <v>364</v>
      </c>
      <c r="PJ48" s="422" t="s">
        <v>364</v>
      </c>
    </row>
    <row r="49" spans="2:426" ht="15.6">
      <c r="B49" s="455" t="s">
        <v>4868</v>
      </c>
      <c r="C49" s="423">
        <f t="shared" si="3"/>
        <v>45</v>
      </c>
      <c r="D49" s="423" t="s">
        <v>364</v>
      </c>
      <c r="E49" s="423" t="s">
        <v>364</v>
      </c>
      <c r="F49" s="423" t="s">
        <v>364</v>
      </c>
      <c r="G49" s="423" t="s">
        <v>364</v>
      </c>
      <c r="H49" s="423" t="s">
        <v>364</v>
      </c>
      <c r="I49" s="423" t="s">
        <v>364</v>
      </c>
      <c r="J49" s="423" t="s">
        <v>364</v>
      </c>
      <c r="K49" s="423" t="s">
        <v>364</v>
      </c>
      <c r="L49" s="423" t="s">
        <v>364</v>
      </c>
      <c r="M49" s="423" t="s">
        <v>364</v>
      </c>
      <c r="N49" s="423" t="s">
        <v>364</v>
      </c>
      <c r="O49" s="423" t="s">
        <v>364</v>
      </c>
      <c r="P49" s="423" t="s">
        <v>364</v>
      </c>
      <c r="Q49" s="423" t="s">
        <v>364</v>
      </c>
      <c r="R49" s="423" t="s">
        <v>364</v>
      </c>
      <c r="S49" s="423">
        <v>45</v>
      </c>
      <c r="T49" s="423" t="s">
        <v>364</v>
      </c>
      <c r="U49" s="423" t="s">
        <v>364</v>
      </c>
      <c r="V49" s="423" t="s">
        <v>364</v>
      </c>
      <c r="W49" s="423" t="s">
        <v>364</v>
      </c>
      <c r="X49" s="423" t="s">
        <v>364</v>
      </c>
      <c r="Y49" s="423" t="s">
        <v>364</v>
      </c>
      <c r="Z49" s="423" t="s">
        <v>364</v>
      </c>
      <c r="AA49" s="423" t="s">
        <v>364</v>
      </c>
      <c r="AB49" s="423" t="s">
        <v>364</v>
      </c>
      <c r="AC49" s="423" t="s">
        <v>364</v>
      </c>
      <c r="AD49" s="423" t="s">
        <v>364</v>
      </c>
      <c r="AE49" s="423" t="s">
        <v>364</v>
      </c>
      <c r="AF49" s="423" t="s">
        <v>364</v>
      </c>
      <c r="AG49" s="423" t="s">
        <v>364</v>
      </c>
      <c r="AH49" s="423" t="s">
        <v>364</v>
      </c>
      <c r="AI49" s="423" t="s">
        <v>364</v>
      </c>
      <c r="AJ49" s="423" t="s">
        <v>364</v>
      </c>
      <c r="AK49" s="423" t="s">
        <v>364</v>
      </c>
      <c r="AL49" s="423" t="s">
        <v>364</v>
      </c>
      <c r="AM49" s="423" t="s">
        <v>364</v>
      </c>
      <c r="AN49" s="423" t="s">
        <v>364</v>
      </c>
      <c r="AO49" s="423" t="s">
        <v>364</v>
      </c>
      <c r="AP49" s="423" t="s">
        <v>364</v>
      </c>
      <c r="AQ49" s="423">
        <f t="shared" si="0"/>
        <v>20</v>
      </c>
      <c r="AR49" s="423" t="s">
        <v>364</v>
      </c>
      <c r="AS49" s="423" t="s">
        <v>364</v>
      </c>
      <c r="AT49" s="423" t="s">
        <v>364</v>
      </c>
      <c r="AU49" s="423" t="s">
        <v>364</v>
      </c>
      <c r="AV49" s="423" t="s">
        <v>364</v>
      </c>
      <c r="AW49" s="423" t="s">
        <v>364</v>
      </c>
      <c r="AX49" s="423" t="s">
        <v>364</v>
      </c>
      <c r="AY49" s="423" t="s">
        <v>364</v>
      </c>
      <c r="AZ49" s="423" t="s">
        <v>364</v>
      </c>
      <c r="BA49" s="423" t="s">
        <v>364</v>
      </c>
      <c r="BB49" s="423" t="s">
        <v>364</v>
      </c>
      <c r="BC49" s="423" t="s">
        <v>364</v>
      </c>
      <c r="BD49" s="423" t="s">
        <v>364</v>
      </c>
      <c r="BE49" s="423">
        <v>20</v>
      </c>
      <c r="BF49" s="423" t="s">
        <v>364</v>
      </c>
      <c r="BG49" s="423" t="s">
        <v>364</v>
      </c>
      <c r="BH49" s="423" t="s">
        <v>364</v>
      </c>
      <c r="BI49" s="423" t="s">
        <v>364</v>
      </c>
      <c r="BJ49" s="423" t="s">
        <v>364</v>
      </c>
      <c r="BK49" s="423" t="s">
        <v>364</v>
      </c>
      <c r="BL49" s="423" t="s">
        <v>364</v>
      </c>
      <c r="BM49" s="423" t="s">
        <v>364</v>
      </c>
      <c r="BN49" s="423" t="s">
        <v>364</v>
      </c>
      <c r="BO49" s="423" t="s">
        <v>364</v>
      </c>
      <c r="BP49" s="423" t="s">
        <v>364</v>
      </c>
      <c r="BQ49" s="423" t="s">
        <v>364</v>
      </c>
      <c r="BR49" s="423" t="s">
        <v>364</v>
      </c>
      <c r="BS49" s="423" t="s">
        <v>364</v>
      </c>
      <c r="BT49" s="423" t="s">
        <v>364</v>
      </c>
      <c r="BU49" s="423" t="s">
        <v>364</v>
      </c>
      <c r="BV49" s="423" t="s">
        <v>364</v>
      </c>
      <c r="BW49" s="423" t="s">
        <v>364</v>
      </c>
      <c r="BX49" s="423" t="s">
        <v>364</v>
      </c>
      <c r="BY49" s="423" t="s">
        <v>364</v>
      </c>
      <c r="BZ49" s="423" t="s">
        <v>364</v>
      </c>
      <c r="CA49" s="423" t="s">
        <v>364</v>
      </c>
      <c r="CB49" s="423" t="s">
        <v>364</v>
      </c>
      <c r="CC49" s="423" t="s">
        <v>364</v>
      </c>
      <c r="CD49" s="423" t="s">
        <v>364</v>
      </c>
      <c r="CE49" s="423" t="s">
        <v>364</v>
      </c>
      <c r="CF49" s="423" t="s">
        <v>364</v>
      </c>
      <c r="CG49" s="423" t="s">
        <v>364</v>
      </c>
      <c r="CH49" s="423" t="s">
        <v>364</v>
      </c>
      <c r="CI49" s="423" t="s">
        <v>364</v>
      </c>
      <c r="CJ49" s="423" t="s">
        <v>364</v>
      </c>
      <c r="CK49" s="423" t="s">
        <v>364</v>
      </c>
      <c r="CL49" s="423" t="s">
        <v>364</v>
      </c>
      <c r="CM49" s="423" t="s">
        <v>364</v>
      </c>
      <c r="CN49" s="423" t="s">
        <v>364</v>
      </c>
      <c r="CO49" s="423" t="s">
        <v>364</v>
      </c>
      <c r="CP49" s="423" t="s">
        <v>364</v>
      </c>
      <c r="CQ49" s="423" t="s">
        <v>364</v>
      </c>
      <c r="CR49" s="423" t="s">
        <v>364</v>
      </c>
      <c r="CS49" s="423" t="s">
        <v>364</v>
      </c>
      <c r="CT49" s="423" t="s">
        <v>364</v>
      </c>
      <c r="CU49" s="423" t="s">
        <v>364</v>
      </c>
      <c r="CV49" s="423" t="s">
        <v>364</v>
      </c>
      <c r="CW49" s="423" t="s">
        <v>364</v>
      </c>
      <c r="CX49" s="423" t="s">
        <v>364</v>
      </c>
      <c r="CY49" s="423" t="s">
        <v>364</v>
      </c>
      <c r="CZ49" s="423" t="s">
        <v>364</v>
      </c>
      <c r="DA49" s="423" t="s">
        <v>364</v>
      </c>
      <c r="DB49" s="423" t="s">
        <v>364</v>
      </c>
      <c r="DC49" s="423" t="s">
        <v>364</v>
      </c>
      <c r="DD49" s="423" t="s">
        <v>364</v>
      </c>
      <c r="DE49" s="423" t="s">
        <v>364</v>
      </c>
      <c r="DF49" s="423" t="s">
        <v>364</v>
      </c>
      <c r="DG49" s="423" t="s">
        <v>364</v>
      </c>
      <c r="DH49" s="423" t="s">
        <v>364</v>
      </c>
      <c r="DI49" s="423" t="s">
        <v>364</v>
      </c>
      <c r="DJ49" s="423" t="s">
        <v>364</v>
      </c>
      <c r="DK49" s="423">
        <f t="shared" si="4"/>
        <v>0</v>
      </c>
      <c r="DL49" s="423" t="s">
        <v>364</v>
      </c>
      <c r="DM49" s="423" t="s">
        <v>364</v>
      </c>
      <c r="DN49" s="423" t="s">
        <v>364</v>
      </c>
      <c r="DO49" s="423" t="s">
        <v>364</v>
      </c>
      <c r="DP49" s="423" t="s">
        <v>364</v>
      </c>
      <c r="DQ49" s="423" t="s">
        <v>364</v>
      </c>
      <c r="DR49" s="423" t="s">
        <v>364</v>
      </c>
      <c r="DS49" s="423" t="s">
        <v>364</v>
      </c>
      <c r="DT49" s="423" t="s">
        <v>364</v>
      </c>
      <c r="DU49" s="423" t="s">
        <v>364</v>
      </c>
      <c r="DV49" s="423" t="s">
        <v>364</v>
      </c>
      <c r="DW49" s="423" t="s">
        <v>364</v>
      </c>
      <c r="DX49" s="423" t="s">
        <v>364</v>
      </c>
      <c r="DY49" s="423">
        <f t="shared" si="5"/>
        <v>0</v>
      </c>
      <c r="DZ49" s="423" t="s">
        <v>364</v>
      </c>
      <c r="EA49" s="423" t="s">
        <v>364</v>
      </c>
      <c r="EB49" s="423" t="s">
        <v>364</v>
      </c>
      <c r="EC49" s="423" t="s">
        <v>364</v>
      </c>
      <c r="ED49" s="423" t="s">
        <v>364</v>
      </c>
      <c r="EE49" s="423" t="s">
        <v>364</v>
      </c>
      <c r="EF49" s="423" t="s">
        <v>364</v>
      </c>
      <c r="EG49" s="423" t="s">
        <v>364</v>
      </c>
      <c r="EH49" s="423" t="s">
        <v>364</v>
      </c>
      <c r="EI49" s="423" t="s">
        <v>364</v>
      </c>
      <c r="EJ49" s="423" t="s">
        <v>364</v>
      </c>
      <c r="EK49" s="423" t="s">
        <v>364</v>
      </c>
      <c r="EL49" s="423" t="s">
        <v>364</v>
      </c>
      <c r="EM49" s="423" t="s">
        <v>364</v>
      </c>
      <c r="EN49" s="423" t="s">
        <v>364</v>
      </c>
      <c r="EO49" s="423" t="s">
        <v>364</v>
      </c>
      <c r="EP49" s="423" t="s">
        <v>364</v>
      </c>
      <c r="EQ49" s="423" t="s">
        <v>364</v>
      </c>
      <c r="ER49" s="423" t="s">
        <v>364</v>
      </c>
      <c r="ES49" s="423" t="s">
        <v>364</v>
      </c>
      <c r="ET49" s="423" t="s">
        <v>364</v>
      </c>
      <c r="EU49" s="423" t="s">
        <v>364</v>
      </c>
      <c r="EV49" s="423" t="s">
        <v>364</v>
      </c>
      <c r="EW49" s="423" t="s">
        <v>364</v>
      </c>
      <c r="EX49" s="423" t="s">
        <v>364</v>
      </c>
      <c r="EY49" s="423" t="s">
        <v>364</v>
      </c>
      <c r="EZ49" s="423" t="s">
        <v>364</v>
      </c>
      <c r="FA49" s="423">
        <f t="shared" si="6"/>
        <v>0</v>
      </c>
      <c r="FB49" s="423" t="s">
        <v>364</v>
      </c>
      <c r="FC49" s="423" t="s">
        <v>364</v>
      </c>
      <c r="FD49" s="423" t="s">
        <v>364</v>
      </c>
      <c r="FE49" s="423" t="s">
        <v>364</v>
      </c>
      <c r="FF49" s="423" t="s">
        <v>364</v>
      </c>
      <c r="FG49" s="423" t="s">
        <v>364</v>
      </c>
      <c r="FH49" s="423" t="s">
        <v>364</v>
      </c>
      <c r="FI49" s="423" t="s">
        <v>364</v>
      </c>
      <c r="FJ49" s="423" t="s">
        <v>364</v>
      </c>
      <c r="FK49" s="423" t="s">
        <v>364</v>
      </c>
      <c r="FL49" s="423" t="s">
        <v>364</v>
      </c>
      <c r="FM49" s="423" t="s">
        <v>364</v>
      </c>
      <c r="FN49" s="423" t="s">
        <v>364</v>
      </c>
      <c r="FO49" s="423" t="s">
        <v>364</v>
      </c>
      <c r="FP49" s="423" t="s">
        <v>364</v>
      </c>
      <c r="FQ49" s="423" t="s">
        <v>364</v>
      </c>
      <c r="FR49" s="423" t="s">
        <v>364</v>
      </c>
      <c r="FS49" s="423" t="s">
        <v>364</v>
      </c>
      <c r="FT49" s="423" t="s">
        <v>364</v>
      </c>
      <c r="FU49" s="423" t="s">
        <v>364</v>
      </c>
      <c r="FV49" s="423" t="s">
        <v>364</v>
      </c>
      <c r="FW49" s="423" t="s">
        <v>364</v>
      </c>
      <c r="FX49" s="423" t="s">
        <v>364</v>
      </c>
      <c r="FY49" s="423" t="s">
        <v>364</v>
      </c>
      <c r="FZ49" s="423" t="s">
        <v>364</v>
      </c>
      <c r="GA49" s="423" t="s">
        <v>364</v>
      </c>
      <c r="GB49" s="423" t="s">
        <v>364</v>
      </c>
      <c r="GC49" s="423" t="s">
        <v>364</v>
      </c>
      <c r="GD49" s="423" t="s">
        <v>364</v>
      </c>
      <c r="GE49" s="423" t="s">
        <v>364</v>
      </c>
      <c r="GF49" s="423" t="s">
        <v>364</v>
      </c>
      <c r="GG49" s="423" t="s">
        <v>364</v>
      </c>
      <c r="GH49" s="423" t="s">
        <v>364</v>
      </c>
      <c r="GI49" s="423" t="s">
        <v>364</v>
      </c>
      <c r="GJ49" s="423" t="s">
        <v>364</v>
      </c>
      <c r="GK49" s="423" t="s">
        <v>364</v>
      </c>
      <c r="GL49" s="423" t="s">
        <v>364</v>
      </c>
      <c r="GM49" s="423" t="s">
        <v>364</v>
      </c>
      <c r="GN49" s="423" t="s">
        <v>364</v>
      </c>
      <c r="GO49" s="423" t="s">
        <v>364</v>
      </c>
      <c r="GP49" s="423" t="s">
        <v>364</v>
      </c>
      <c r="GQ49" s="423" t="s">
        <v>364</v>
      </c>
      <c r="GR49" s="423" t="s">
        <v>364</v>
      </c>
      <c r="GS49" s="423" t="s">
        <v>364</v>
      </c>
      <c r="GT49" s="423" t="s">
        <v>364</v>
      </c>
      <c r="GU49" s="423" t="s">
        <v>364</v>
      </c>
      <c r="GV49" s="423">
        <f t="shared" si="7"/>
        <v>0</v>
      </c>
      <c r="GW49" s="423" t="s">
        <v>364</v>
      </c>
      <c r="GX49" s="423" t="s">
        <v>364</v>
      </c>
      <c r="GY49" s="423" t="s">
        <v>364</v>
      </c>
      <c r="GZ49" s="423" t="s">
        <v>364</v>
      </c>
      <c r="HA49" s="423" t="s">
        <v>364</v>
      </c>
      <c r="HB49" s="423" t="s">
        <v>364</v>
      </c>
      <c r="HC49" s="423" t="s">
        <v>364</v>
      </c>
      <c r="HD49" s="423" t="s">
        <v>364</v>
      </c>
      <c r="HE49" s="423" t="s">
        <v>364</v>
      </c>
      <c r="HF49" s="423" t="s">
        <v>364</v>
      </c>
      <c r="HG49" s="423" t="s">
        <v>364</v>
      </c>
      <c r="HH49" s="423" t="s">
        <v>364</v>
      </c>
      <c r="HI49" s="423" t="s">
        <v>364</v>
      </c>
      <c r="HJ49" s="423" t="s">
        <v>364</v>
      </c>
      <c r="HK49" s="423" t="s">
        <v>364</v>
      </c>
      <c r="HL49" s="423" t="s">
        <v>364</v>
      </c>
      <c r="HM49" s="423" t="s">
        <v>364</v>
      </c>
      <c r="HN49" s="423" t="s">
        <v>364</v>
      </c>
      <c r="HO49" s="423" t="s">
        <v>364</v>
      </c>
      <c r="HP49" s="423" t="s">
        <v>364</v>
      </c>
      <c r="HQ49" s="423" t="s">
        <v>364</v>
      </c>
      <c r="HR49" s="423" t="s">
        <v>364</v>
      </c>
      <c r="HS49" s="423" t="s">
        <v>364</v>
      </c>
      <c r="HT49" s="423" t="s">
        <v>364</v>
      </c>
      <c r="HU49" s="423" t="s">
        <v>364</v>
      </c>
      <c r="HV49" s="423" t="s">
        <v>364</v>
      </c>
      <c r="HW49" s="423" t="s">
        <v>364</v>
      </c>
      <c r="HX49" s="423" t="s">
        <v>364</v>
      </c>
      <c r="HY49" s="423">
        <f t="shared" si="8"/>
        <v>0</v>
      </c>
      <c r="HZ49" s="423" t="s">
        <v>364</v>
      </c>
      <c r="IA49" s="423" t="s">
        <v>364</v>
      </c>
      <c r="IB49" s="423" t="s">
        <v>364</v>
      </c>
      <c r="IC49" s="423" t="s">
        <v>364</v>
      </c>
      <c r="ID49" s="423" t="s">
        <v>364</v>
      </c>
      <c r="IE49" s="423" t="s">
        <v>364</v>
      </c>
      <c r="IF49" s="423">
        <f t="shared" si="9"/>
        <v>24</v>
      </c>
      <c r="IG49" s="423" t="s">
        <v>364</v>
      </c>
      <c r="IH49" s="423" t="s">
        <v>364</v>
      </c>
      <c r="II49" s="423" t="s">
        <v>364</v>
      </c>
      <c r="IJ49" s="423" t="s">
        <v>364</v>
      </c>
      <c r="IK49" s="423" t="s">
        <v>364</v>
      </c>
      <c r="IL49" s="423" t="s">
        <v>364</v>
      </c>
      <c r="IM49" s="423" t="s">
        <v>364</v>
      </c>
      <c r="IN49" s="423" t="s">
        <v>364</v>
      </c>
      <c r="IO49" s="423" t="s">
        <v>364</v>
      </c>
      <c r="IP49" s="423" t="s">
        <v>364</v>
      </c>
      <c r="IQ49" s="423" t="s">
        <v>364</v>
      </c>
      <c r="IR49" s="423" t="s">
        <v>364</v>
      </c>
      <c r="IS49" s="423" t="s">
        <v>364</v>
      </c>
      <c r="IT49" s="423" t="s">
        <v>364</v>
      </c>
      <c r="IU49" s="423" t="s">
        <v>364</v>
      </c>
      <c r="IV49" s="423" t="s">
        <v>364</v>
      </c>
      <c r="IW49" s="423">
        <v>24</v>
      </c>
      <c r="IX49" s="423" t="s">
        <v>364</v>
      </c>
      <c r="IY49" s="423" t="s">
        <v>364</v>
      </c>
      <c r="IZ49" s="423">
        <f t="shared" si="10"/>
        <v>0</v>
      </c>
      <c r="JA49" s="423" t="s">
        <v>364</v>
      </c>
      <c r="JB49" s="423" t="s">
        <v>364</v>
      </c>
      <c r="JC49" s="423" t="s">
        <v>364</v>
      </c>
      <c r="JD49" s="423" t="s">
        <v>364</v>
      </c>
      <c r="JE49" s="423" t="s">
        <v>364</v>
      </c>
      <c r="JF49" s="423" t="s">
        <v>364</v>
      </c>
      <c r="JG49" s="423" t="s">
        <v>364</v>
      </c>
      <c r="JH49" s="423" t="s">
        <v>364</v>
      </c>
      <c r="JI49" s="423" t="s">
        <v>364</v>
      </c>
      <c r="JJ49" s="423" t="s">
        <v>364</v>
      </c>
      <c r="JK49" s="423" t="s">
        <v>364</v>
      </c>
      <c r="JL49" s="423" t="s">
        <v>364</v>
      </c>
      <c r="JM49" s="423" t="s">
        <v>364</v>
      </c>
      <c r="JN49" s="423" t="s">
        <v>364</v>
      </c>
      <c r="JO49" s="423" t="s">
        <v>364</v>
      </c>
      <c r="JP49" s="423" t="s">
        <v>364</v>
      </c>
      <c r="JQ49" s="423" t="s">
        <v>364</v>
      </c>
      <c r="JR49" s="423" t="s">
        <v>364</v>
      </c>
      <c r="JS49" s="423" t="s">
        <v>364</v>
      </c>
      <c r="JT49" s="423" t="s">
        <v>364</v>
      </c>
      <c r="JU49" s="423" t="s">
        <v>364</v>
      </c>
      <c r="JV49" s="423" t="s">
        <v>364</v>
      </c>
      <c r="JW49" s="423">
        <f t="shared" si="11"/>
        <v>0</v>
      </c>
      <c r="JX49" s="423" t="s">
        <v>364</v>
      </c>
      <c r="JY49" s="423" t="s">
        <v>364</v>
      </c>
      <c r="JZ49" s="423" t="s">
        <v>364</v>
      </c>
      <c r="KA49" s="423" t="s">
        <v>364</v>
      </c>
      <c r="KB49" s="423" t="s">
        <v>364</v>
      </c>
      <c r="KC49" s="423" t="s">
        <v>364</v>
      </c>
      <c r="KD49" s="423" t="s">
        <v>364</v>
      </c>
      <c r="KE49" s="423" t="s">
        <v>364</v>
      </c>
      <c r="KF49" s="423" t="s">
        <v>364</v>
      </c>
      <c r="KG49" s="423" t="s">
        <v>364</v>
      </c>
      <c r="KH49" s="423" t="s">
        <v>364</v>
      </c>
      <c r="KI49" s="423" t="s">
        <v>364</v>
      </c>
      <c r="KJ49" s="423" t="s">
        <v>364</v>
      </c>
      <c r="KK49" s="423" t="s">
        <v>364</v>
      </c>
      <c r="KL49" s="423" t="s">
        <v>364</v>
      </c>
      <c r="KM49" s="423" t="s">
        <v>364</v>
      </c>
      <c r="KN49" s="423" t="s">
        <v>364</v>
      </c>
      <c r="KO49" s="423" t="s">
        <v>364</v>
      </c>
      <c r="KP49" s="423" t="s">
        <v>364</v>
      </c>
      <c r="KQ49" s="423" t="s">
        <v>364</v>
      </c>
      <c r="KR49" s="423" t="s">
        <v>364</v>
      </c>
      <c r="KS49" s="423" t="s">
        <v>364</v>
      </c>
      <c r="KT49" s="423" t="s">
        <v>364</v>
      </c>
      <c r="KU49" s="423" t="s">
        <v>364</v>
      </c>
      <c r="KV49" s="423" t="s">
        <v>364</v>
      </c>
      <c r="KW49" s="423" t="s">
        <v>364</v>
      </c>
      <c r="KX49" s="423" t="s">
        <v>364</v>
      </c>
      <c r="KY49" s="423" t="s">
        <v>364</v>
      </c>
      <c r="KZ49" s="423" t="s">
        <v>364</v>
      </c>
      <c r="LA49" s="423" t="s">
        <v>364</v>
      </c>
      <c r="LB49" s="423" t="s">
        <v>364</v>
      </c>
      <c r="LC49" s="423" t="s">
        <v>364</v>
      </c>
      <c r="LD49" s="423" t="s">
        <v>364</v>
      </c>
      <c r="LE49" s="423" t="s">
        <v>364</v>
      </c>
      <c r="LF49" s="423" t="s">
        <v>364</v>
      </c>
      <c r="LG49" s="423" t="s">
        <v>364</v>
      </c>
      <c r="LH49" s="423" t="s">
        <v>364</v>
      </c>
      <c r="LI49" s="423" t="s">
        <v>364</v>
      </c>
      <c r="LJ49" s="423" t="s">
        <v>364</v>
      </c>
      <c r="LK49" s="423" t="s">
        <v>364</v>
      </c>
      <c r="LL49" s="423" t="s">
        <v>364</v>
      </c>
      <c r="LM49" s="425" t="s">
        <v>364</v>
      </c>
      <c r="LN49" s="425">
        <v>0</v>
      </c>
      <c r="LO49" s="425" t="s">
        <v>364</v>
      </c>
      <c r="LP49" s="425" t="s">
        <v>364</v>
      </c>
      <c r="LQ49" s="425" t="s">
        <v>364</v>
      </c>
      <c r="LR49" s="425" t="s">
        <v>364</v>
      </c>
      <c r="LS49" s="425" t="s">
        <v>364</v>
      </c>
      <c r="LT49" s="425" t="s">
        <v>364</v>
      </c>
      <c r="LU49" s="425" t="s">
        <v>364</v>
      </c>
      <c r="LV49" s="425" t="s">
        <v>364</v>
      </c>
      <c r="LW49" s="425" t="s">
        <v>364</v>
      </c>
      <c r="LX49" s="425">
        <f t="shared" si="12"/>
        <v>0</v>
      </c>
      <c r="LY49" s="425" t="s">
        <v>364</v>
      </c>
      <c r="LZ49" s="425" t="s">
        <v>364</v>
      </c>
      <c r="MA49" s="425" t="s">
        <v>364</v>
      </c>
      <c r="MB49" s="425" t="s">
        <v>364</v>
      </c>
      <c r="MC49" s="425" t="s">
        <v>364</v>
      </c>
      <c r="MD49" s="425" t="s">
        <v>364</v>
      </c>
      <c r="ME49" s="425">
        <f t="shared" si="1"/>
        <v>20</v>
      </c>
      <c r="MF49" s="425">
        <v>20</v>
      </c>
      <c r="MG49" s="425" t="s">
        <v>364</v>
      </c>
      <c r="MH49" s="425" t="s">
        <v>364</v>
      </c>
      <c r="MI49" s="425" t="s">
        <v>364</v>
      </c>
      <c r="MJ49" s="425" t="s">
        <v>364</v>
      </c>
      <c r="MK49" s="425" t="s">
        <v>364</v>
      </c>
      <c r="ML49" s="425" t="s">
        <v>364</v>
      </c>
      <c r="MM49" s="425" t="s">
        <v>364</v>
      </c>
      <c r="MN49" s="425" t="s">
        <v>364</v>
      </c>
      <c r="MO49" s="425" t="s">
        <v>364</v>
      </c>
      <c r="MP49" s="425" t="s">
        <v>364</v>
      </c>
      <c r="MQ49" s="425" t="s">
        <v>364</v>
      </c>
      <c r="MR49" s="425" t="s">
        <v>364</v>
      </c>
      <c r="MS49" s="425" t="s">
        <v>364</v>
      </c>
      <c r="MT49" s="425" t="s">
        <v>364</v>
      </c>
      <c r="MU49" s="425" t="s">
        <v>364</v>
      </c>
      <c r="MV49" s="425" t="s">
        <v>364</v>
      </c>
      <c r="MW49" s="425" t="s">
        <v>364</v>
      </c>
      <c r="MX49" s="425">
        <f t="shared" si="13"/>
        <v>0</v>
      </c>
      <c r="MY49" s="425" t="s">
        <v>6598</v>
      </c>
      <c r="MZ49" s="425" t="s">
        <v>6598</v>
      </c>
      <c r="NA49" s="425" t="s">
        <v>364</v>
      </c>
      <c r="NB49" s="425" t="s">
        <v>364</v>
      </c>
      <c r="NC49" s="425" t="s">
        <v>364</v>
      </c>
      <c r="ND49" s="425" t="s">
        <v>364</v>
      </c>
      <c r="NE49" s="425" t="s">
        <v>364</v>
      </c>
      <c r="NF49" s="425" t="s">
        <v>364</v>
      </c>
      <c r="NG49" s="425" t="s">
        <v>364</v>
      </c>
      <c r="NH49" s="425" t="s">
        <v>364</v>
      </c>
      <c r="NI49" s="425" t="s">
        <v>364</v>
      </c>
      <c r="NJ49" s="425" t="s">
        <v>364</v>
      </c>
      <c r="NK49" s="425">
        <f t="shared" si="2"/>
        <v>0</v>
      </c>
      <c r="NL49" s="425">
        <f t="shared" si="14"/>
        <v>0</v>
      </c>
      <c r="NM49" s="425" t="s">
        <v>364</v>
      </c>
      <c r="NN49" s="425" t="s">
        <v>364</v>
      </c>
      <c r="NO49" s="425" t="s">
        <v>364</v>
      </c>
      <c r="NP49" s="425" t="s">
        <v>364</v>
      </c>
      <c r="NQ49" s="425" t="s">
        <v>364</v>
      </c>
      <c r="NR49" s="425" t="s">
        <v>364</v>
      </c>
      <c r="NS49" s="425" t="s">
        <v>364</v>
      </c>
      <c r="NT49" s="425" t="s">
        <v>364</v>
      </c>
      <c r="NU49" s="425" t="s">
        <v>364</v>
      </c>
      <c r="NV49" s="425" t="s">
        <v>364</v>
      </c>
      <c r="NW49" s="425" t="s">
        <v>364</v>
      </c>
      <c r="NX49" s="425" t="s">
        <v>364</v>
      </c>
      <c r="NY49" s="425" t="s">
        <v>364</v>
      </c>
      <c r="NZ49" s="425">
        <f t="shared" si="15"/>
        <v>0</v>
      </c>
      <c r="OA49" s="425" t="s">
        <v>364</v>
      </c>
      <c r="OB49" s="425" t="s">
        <v>364</v>
      </c>
      <c r="OC49" s="425" t="s">
        <v>364</v>
      </c>
      <c r="OD49" s="425" t="s">
        <v>364</v>
      </c>
      <c r="OE49" s="425" t="s">
        <v>364</v>
      </c>
      <c r="OF49" s="425" t="s">
        <v>364</v>
      </c>
      <c r="OG49" s="425" t="s">
        <v>364</v>
      </c>
      <c r="OH49" s="424">
        <f t="shared" si="16"/>
        <v>47</v>
      </c>
      <c r="OI49" s="424">
        <f t="shared" si="17"/>
        <v>47</v>
      </c>
      <c r="OJ49" s="423" t="s">
        <v>364</v>
      </c>
      <c r="OK49" s="423" t="s">
        <v>364</v>
      </c>
      <c r="OL49" s="423">
        <v>31</v>
      </c>
      <c r="OM49" s="423">
        <v>16</v>
      </c>
      <c r="ON49" s="423" t="s">
        <v>364</v>
      </c>
      <c r="OO49" s="423" t="s">
        <v>364</v>
      </c>
      <c r="OP49" s="423" t="s">
        <v>364</v>
      </c>
      <c r="OQ49" s="423" t="s">
        <v>364</v>
      </c>
      <c r="OR49" s="423" t="s">
        <v>364</v>
      </c>
      <c r="OS49" s="423" t="s">
        <v>364</v>
      </c>
      <c r="OT49" s="423" t="s">
        <v>364</v>
      </c>
      <c r="OU49" s="423" t="s">
        <v>364</v>
      </c>
      <c r="OV49" s="423" t="s">
        <v>364</v>
      </c>
      <c r="OW49" s="423" t="s">
        <v>364</v>
      </c>
      <c r="OX49" s="423" t="s">
        <v>364</v>
      </c>
      <c r="OY49" s="423" t="s">
        <v>364</v>
      </c>
      <c r="OZ49" s="423" t="s">
        <v>364</v>
      </c>
      <c r="PA49" s="423" t="s">
        <v>364</v>
      </c>
      <c r="PB49" s="423">
        <f t="shared" si="18"/>
        <v>0</v>
      </c>
      <c r="PC49" s="423" t="s">
        <v>364</v>
      </c>
      <c r="PD49" s="423" t="s">
        <v>364</v>
      </c>
      <c r="PE49" s="423" t="s">
        <v>364</v>
      </c>
      <c r="PF49" s="423" t="s">
        <v>364</v>
      </c>
      <c r="PG49" s="423" t="s">
        <v>364</v>
      </c>
      <c r="PH49" s="423" t="s">
        <v>364</v>
      </c>
      <c r="PI49" s="423" t="s">
        <v>364</v>
      </c>
      <c r="PJ49" s="423" t="s">
        <v>364</v>
      </c>
    </row>
  </sheetData>
  <mergeCells count="1">
    <mergeCell ref="B4:M9"/>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8CBAD"/>
  </sheetPr>
  <dimension ref="B2:CY52"/>
  <sheetViews>
    <sheetView zoomScaleNormal="100" workbookViewId="0"/>
  </sheetViews>
  <sheetFormatPr defaultColWidth="8.5" defaultRowHeight="15.75" customHeight="1"/>
  <cols>
    <col min="1" max="1" width="8.625" style="2" customWidth="1"/>
    <col min="2" max="2" width="28" style="409" customWidth="1"/>
    <col min="3" max="3" width="14.125" style="409" bestFit="1" customWidth="1"/>
    <col min="4" max="4" width="8" style="2"/>
    <col min="5" max="5" width="41.25" style="2" customWidth="1"/>
    <col min="6" max="20" width="8.5" style="2"/>
    <col min="21" max="21" width="16.5" style="335" customWidth="1"/>
    <col min="22" max="22" width="8.5" style="411"/>
    <col min="23" max="36" width="8.5" style="409"/>
    <col min="37" max="37" width="16.5" style="335" customWidth="1"/>
    <col min="38" max="50" width="8.5" style="2"/>
    <col min="51" max="51" width="16.5" style="335" customWidth="1"/>
    <col min="52" max="64" width="8.5" style="2"/>
    <col min="65" max="65" width="16.5" style="335" customWidth="1"/>
    <col min="66" max="66" width="11" style="2" bestFit="1" customWidth="1"/>
    <col min="67" max="68" width="8.5" style="2"/>
    <col min="69" max="69" width="8.125" style="2" customWidth="1"/>
    <col min="70" max="78" width="8.5" style="2"/>
    <col min="79" max="79" width="16.5" style="335" customWidth="1"/>
    <col min="80" max="92" width="8.5" style="2"/>
    <col min="93" max="93" width="16.5" style="335" customWidth="1"/>
    <col min="94" max="97" width="8.5" style="2"/>
    <col min="98" max="98" width="16.5" style="335" customWidth="1"/>
    <col min="99" max="16384" width="8.5" style="2"/>
  </cols>
  <sheetData>
    <row r="2" spans="2:103" ht="24.75" customHeight="1">
      <c r="B2" s="421" t="s">
        <v>6603</v>
      </c>
    </row>
    <row r="4" spans="2:103" ht="15.75" customHeight="1">
      <c r="B4" s="1500" t="s">
        <v>6604</v>
      </c>
      <c r="C4" s="1500"/>
      <c r="D4" s="1500"/>
      <c r="E4" s="1500"/>
      <c r="F4" s="1500"/>
      <c r="G4" s="1500"/>
      <c r="H4" s="1500"/>
      <c r="I4" s="1500"/>
      <c r="J4" s="1500"/>
      <c r="K4" s="1500"/>
      <c r="L4" s="1500"/>
      <c r="M4" s="1500"/>
      <c r="N4" s="1500"/>
      <c r="O4" s="1500"/>
      <c r="P4" s="1500"/>
      <c r="Q4" s="1500"/>
      <c r="R4" s="1500"/>
      <c r="S4" s="1500"/>
      <c r="T4" s="1500"/>
      <c r="U4" s="1500"/>
      <c r="V4" s="1500"/>
      <c r="W4" s="1500"/>
      <c r="X4" s="1500"/>
      <c r="Y4" s="1500"/>
      <c r="Z4" s="1500"/>
      <c r="AA4" s="1500"/>
      <c r="AB4" s="1500"/>
    </row>
    <row r="5" spans="2:103" ht="15.75" customHeight="1">
      <c r="B5" s="1500"/>
      <c r="C5" s="1500"/>
      <c r="D5" s="1500"/>
      <c r="E5" s="1500"/>
      <c r="F5" s="1500"/>
      <c r="G5" s="1500"/>
      <c r="H5" s="1500"/>
      <c r="I5" s="1500"/>
      <c r="J5" s="1500"/>
      <c r="K5" s="1500"/>
      <c r="L5" s="1500"/>
      <c r="M5" s="1500"/>
      <c r="N5" s="1500"/>
      <c r="O5" s="1500"/>
      <c r="P5" s="1500"/>
      <c r="Q5" s="1500"/>
      <c r="R5" s="1500"/>
      <c r="S5" s="1500"/>
      <c r="T5" s="1500"/>
      <c r="U5" s="1500"/>
      <c r="V5" s="1500"/>
      <c r="W5" s="1500"/>
      <c r="X5" s="1500"/>
      <c r="Y5" s="1500"/>
      <c r="Z5" s="1500"/>
      <c r="AA5" s="1500"/>
      <c r="AB5" s="1500"/>
    </row>
    <row r="6" spans="2:103" ht="15.75" customHeight="1">
      <c r="B6" s="1500"/>
      <c r="C6" s="1500"/>
      <c r="D6" s="1500"/>
      <c r="E6" s="1500"/>
      <c r="F6" s="1500"/>
      <c r="G6" s="1500"/>
      <c r="H6" s="1500"/>
      <c r="I6" s="1500"/>
      <c r="J6" s="1500"/>
      <c r="K6" s="1500"/>
      <c r="L6" s="1500"/>
      <c r="M6" s="1500"/>
      <c r="N6" s="1500"/>
      <c r="O6" s="1500"/>
      <c r="P6" s="1500"/>
      <c r="Q6" s="1500"/>
      <c r="R6" s="1500"/>
      <c r="S6" s="1500"/>
      <c r="T6" s="1500"/>
      <c r="U6" s="1500"/>
      <c r="V6" s="1500"/>
      <c r="W6" s="1500"/>
      <c r="X6" s="1500"/>
      <c r="Y6" s="1500"/>
      <c r="Z6" s="1500"/>
      <c r="AA6" s="1500"/>
      <c r="AB6" s="1500"/>
    </row>
    <row r="7" spans="2:103" ht="15.75" customHeight="1">
      <c r="B7" s="1500"/>
      <c r="C7" s="1500"/>
      <c r="D7" s="1500"/>
      <c r="E7" s="1500"/>
      <c r="F7" s="1500"/>
      <c r="G7" s="1500"/>
      <c r="H7" s="1500"/>
      <c r="I7" s="1500"/>
      <c r="J7" s="1500"/>
      <c r="K7" s="1500"/>
      <c r="L7" s="1500"/>
      <c r="M7" s="1500"/>
      <c r="N7" s="1500"/>
      <c r="O7" s="1500"/>
      <c r="P7" s="1500"/>
      <c r="Q7" s="1500"/>
      <c r="R7" s="1500"/>
      <c r="S7" s="1500"/>
      <c r="T7" s="1500"/>
      <c r="U7" s="1500"/>
      <c r="V7" s="1500"/>
      <c r="W7" s="1500"/>
      <c r="X7" s="1500"/>
      <c r="Y7" s="1500"/>
      <c r="Z7" s="1500"/>
      <c r="AA7" s="1500"/>
      <c r="AB7" s="1500"/>
    </row>
    <row r="8" spans="2:103" ht="15.75" customHeight="1">
      <c r="B8" s="1500"/>
      <c r="C8" s="1500"/>
      <c r="D8" s="1500"/>
      <c r="E8" s="1500"/>
      <c r="F8" s="1500"/>
      <c r="G8" s="1500"/>
      <c r="H8" s="1500"/>
      <c r="I8" s="1500"/>
      <c r="J8" s="1500"/>
      <c r="K8" s="1500"/>
      <c r="L8" s="1500"/>
      <c r="M8" s="1500"/>
      <c r="N8" s="1500"/>
      <c r="O8" s="1500"/>
      <c r="P8" s="1500"/>
      <c r="Q8" s="1500"/>
      <c r="R8" s="1500"/>
      <c r="S8" s="1500"/>
      <c r="T8" s="1500"/>
      <c r="U8" s="1500"/>
      <c r="V8" s="1500"/>
      <c r="W8" s="1500"/>
      <c r="X8" s="1500"/>
      <c r="Y8" s="1500"/>
      <c r="Z8" s="1500"/>
      <c r="AA8" s="1500"/>
      <c r="AB8" s="1500"/>
    </row>
    <row r="9" spans="2:103" ht="15.75" customHeight="1">
      <c r="B9" s="1500"/>
      <c r="C9" s="1500"/>
      <c r="D9" s="1500"/>
      <c r="E9" s="1500"/>
      <c r="F9" s="1500"/>
      <c r="G9" s="1500"/>
      <c r="H9" s="1500"/>
      <c r="I9" s="1500"/>
      <c r="J9" s="1500"/>
      <c r="K9" s="1500"/>
      <c r="L9" s="1500"/>
      <c r="M9" s="1500"/>
      <c r="N9" s="1500"/>
      <c r="O9" s="1500"/>
      <c r="P9" s="1500"/>
      <c r="Q9" s="1500"/>
      <c r="R9" s="1500"/>
      <c r="S9" s="1500"/>
      <c r="T9" s="1500"/>
      <c r="U9" s="1500"/>
      <c r="V9" s="1500"/>
      <c r="W9" s="1500"/>
      <c r="X9" s="1500"/>
      <c r="Y9" s="1500"/>
      <c r="Z9" s="1500"/>
      <c r="AA9" s="1500"/>
      <c r="AB9" s="1500"/>
    </row>
    <row r="11" spans="2:103" ht="24.75" customHeight="1">
      <c r="B11" s="556" t="s">
        <v>4512</v>
      </c>
      <c r="C11" s="556" t="s">
        <v>6605</v>
      </c>
      <c r="D11" s="557" t="s">
        <v>355</v>
      </c>
      <c r="E11" s="558" t="s">
        <v>6606</v>
      </c>
      <c r="F11" s="556" t="s">
        <v>5078</v>
      </c>
      <c r="G11" s="556" t="s">
        <v>4850</v>
      </c>
      <c r="H11" s="556" t="s">
        <v>6607</v>
      </c>
      <c r="I11" s="556" t="s">
        <v>4693</v>
      </c>
      <c r="J11" s="556" t="s">
        <v>312</v>
      </c>
      <c r="K11" s="556" t="s">
        <v>4643</v>
      </c>
      <c r="L11" s="556" t="s">
        <v>5360</v>
      </c>
      <c r="M11" s="556" t="s">
        <v>5305</v>
      </c>
      <c r="N11" s="556" t="s">
        <v>5306</v>
      </c>
      <c r="O11" s="556" t="s">
        <v>4696</v>
      </c>
      <c r="P11" s="556" t="s">
        <v>5114</v>
      </c>
      <c r="Q11" s="556" t="s">
        <v>312</v>
      </c>
      <c r="R11" s="556" t="s">
        <v>6608</v>
      </c>
      <c r="S11" s="556" t="s">
        <v>6609</v>
      </c>
      <c r="T11" s="556" t="s">
        <v>6610</v>
      </c>
      <c r="U11" s="558" t="s">
        <v>6611</v>
      </c>
      <c r="V11" s="559" t="s">
        <v>6612</v>
      </c>
      <c r="W11" s="556" t="s">
        <v>5078</v>
      </c>
      <c r="X11" s="556" t="s">
        <v>5157</v>
      </c>
      <c r="Y11" s="556" t="s">
        <v>5073</v>
      </c>
      <c r="Z11" s="556" t="s">
        <v>5152</v>
      </c>
      <c r="AA11" s="556" t="s">
        <v>4850</v>
      </c>
      <c r="AB11" s="556" t="s">
        <v>4715</v>
      </c>
      <c r="AC11" s="556" t="s">
        <v>6607</v>
      </c>
      <c r="AD11" s="556" t="s">
        <v>4693</v>
      </c>
      <c r="AE11" s="556" t="s">
        <v>6613</v>
      </c>
      <c r="AF11" s="556" t="s">
        <v>5360</v>
      </c>
      <c r="AG11" s="556" t="s">
        <v>5305</v>
      </c>
      <c r="AH11" s="556" t="s">
        <v>5306</v>
      </c>
      <c r="AI11" s="556" t="s">
        <v>4696</v>
      </c>
      <c r="AJ11" s="556" t="s">
        <v>5114</v>
      </c>
      <c r="AK11" s="558" t="s">
        <v>6614</v>
      </c>
      <c r="AL11" s="560" t="s">
        <v>5078</v>
      </c>
      <c r="AM11" s="560" t="s">
        <v>5157</v>
      </c>
      <c r="AN11" s="560" t="s">
        <v>5073</v>
      </c>
      <c r="AO11" s="560" t="s">
        <v>5152</v>
      </c>
      <c r="AP11" s="418" t="s">
        <v>4850</v>
      </c>
      <c r="AQ11" s="418" t="s">
        <v>4715</v>
      </c>
      <c r="AR11" s="560" t="s">
        <v>4288</v>
      </c>
      <c r="AS11" s="560" t="s">
        <v>4693</v>
      </c>
      <c r="AT11" s="560" t="s">
        <v>6615</v>
      </c>
      <c r="AU11" s="556" t="s">
        <v>5305</v>
      </c>
      <c r="AV11" s="556" t="s">
        <v>5306</v>
      </c>
      <c r="AW11" s="556" t="s">
        <v>4696</v>
      </c>
      <c r="AX11" s="556" t="s">
        <v>5114</v>
      </c>
      <c r="AY11" s="558" t="s">
        <v>6616</v>
      </c>
      <c r="AZ11" s="560" t="s">
        <v>5078</v>
      </c>
      <c r="BA11" s="560" t="s">
        <v>5157</v>
      </c>
      <c r="BB11" s="560" t="s">
        <v>5073</v>
      </c>
      <c r="BC11" s="560" t="s">
        <v>5152</v>
      </c>
      <c r="BD11" s="418" t="s">
        <v>4850</v>
      </c>
      <c r="BE11" s="418" t="s">
        <v>4715</v>
      </c>
      <c r="BF11" s="560" t="s">
        <v>4288</v>
      </c>
      <c r="BG11" s="560" t="s">
        <v>4693</v>
      </c>
      <c r="BH11" s="560" t="s">
        <v>6615</v>
      </c>
      <c r="BI11" s="556" t="s">
        <v>5305</v>
      </c>
      <c r="BJ11" s="556" t="s">
        <v>5306</v>
      </c>
      <c r="BK11" s="556" t="s">
        <v>4696</v>
      </c>
      <c r="BL11" s="556" t="s">
        <v>5114</v>
      </c>
      <c r="BM11" s="558" t="s">
        <v>6617</v>
      </c>
      <c r="BN11" s="560" t="s">
        <v>5078</v>
      </c>
      <c r="BO11" s="560" t="s">
        <v>5157</v>
      </c>
      <c r="BP11" s="560" t="s">
        <v>5073</v>
      </c>
      <c r="BQ11" s="560" t="s">
        <v>5152</v>
      </c>
      <c r="BR11" s="418" t="s">
        <v>4850</v>
      </c>
      <c r="BS11" s="418" t="s">
        <v>4715</v>
      </c>
      <c r="BT11" s="560" t="s">
        <v>4288</v>
      </c>
      <c r="BU11" s="557" t="s">
        <v>4693</v>
      </c>
      <c r="BV11" s="560" t="s">
        <v>6615</v>
      </c>
      <c r="BW11" s="556" t="s">
        <v>5305</v>
      </c>
      <c r="BX11" s="556" t="s">
        <v>5306</v>
      </c>
      <c r="BY11" s="556" t="s">
        <v>4696</v>
      </c>
      <c r="BZ11" s="556" t="s">
        <v>5114</v>
      </c>
      <c r="CA11" s="558" t="s">
        <v>6618</v>
      </c>
      <c r="CB11" s="560" t="s">
        <v>5078</v>
      </c>
      <c r="CC11" s="560" t="s">
        <v>5157</v>
      </c>
      <c r="CD11" s="560" t="s">
        <v>5073</v>
      </c>
      <c r="CE11" s="560" t="s">
        <v>5152</v>
      </c>
      <c r="CF11" s="418" t="s">
        <v>4850</v>
      </c>
      <c r="CG11" s="418" t="s">
        <v>4715</v>
      </c>
      <c r="CH11" s="560" t="s">
        <v>4288</v>
      </c>
      <c r="CI11" s="560" t="s">
        <v>4693</v>
      </c>
      <c r="CJ11" s="560" t="s">
        <v>6615</v>
      </c>
      <c r="CK11" s="556" t="s">
        <v>5305</v>
      </c>
      <c r="CL11" s="556" t="s">
        <v>5306</v>
      </c>
      <c r="CM11" s="556" t="s">
        <v>4696</v>
      </c>
      <c r="CN11" s="556" t="s">
        <v>5114</v>
      </c>
      <c r="CO11" s="558" t="s">
        <v>6619</v>
      </c>
      <c r="CP11" s="556" t="s">
        <v>5305</v>
      </c>
      <c r="CQ11" s="556" t="s">
        <v>5306</v>
      </c>
      <c r="CR11" s="556" t="s">
        <v>4696</v>
      </c>
      <c r="CS11" s="556" t="s">
        <v>5114</v>
      </c>
      <c r="CT11" s="558" t="s">
        <v>6620</v>
      </c>
      <c r="CU11" s="556" t="s">
        <v>5305</v>
      </c>
      <c r="CV11" s="556" t="s">
        <v>5306</v>
      </c>
      <c r="CW11" s="556" t="s">
        <v>4696</v>
      </c>
      <c r="CX11" s="556" t="s">
        <v>5114</v>
      </c>
      <c r="CY11" s="2" t="s">
        <v>364</v>
      </c>
    </row>
    <row r="12" spans="2:103" ht="15.6">
      <c r="B12" s="409" t="s">
        <v>3949</v>
      </c>
      <c r="C12" s="409">
        <v>1</v>
      </c>
      <c r="D12" s="2">
        <v>0</v>
      </c>
      <c r="E12" s="410"/>
      <c r="F12" s="569">
        <v>45</v>
      </c>
      <c r="G12" s="569" t="s">
        <v>364</v>
      </c>
      <c r="H12" s="569" t="s">
        <v>364</v>
      </c>
      <c r="I12" s="569" t="s">
        <v>364</v>
      </c>
      <c r="J12" s="569" t="s">
        <v>364</v>
      </c>
      <c r="K12" s="569" t="s">
        <v>364</v>
      </c>
      <c r="L12" s="569" t="s">
        <v>364</v>
      </c>
      <c r="M12" s="569" t="s">
        <v>364</v>
      </c>
      <c r="N12" s="569">
        <v>419</v>
      </c>
      <c r="O12" s="569" t="s">
        <v>364</v>
      </c>
      <c r="P12" s="569" t="s">
        <v>364</v>
      </c>
      <c r="Q12" s="2" t="s">
        <v>6621</v>
      </c>
      <c r="R12" s="968" t="s">
        <v>2748</v>
      </c>
      <c r="S12" s="2" t="s">
        <v>6622</v>
      </c>
      <c r="T12" s="2" t="s">
        <v>364</v>
      </c>
      <c r="U12" s="410" t="str">
        <f>""</f>
        <v/>
      </c>
      <c r="V12" s="1334">
        <v>754</v>
      </c>
      <c r="W12" s="1334">
        <f>VLOOKUP(B12,'Heavy Weapon Stocks'!B:OA,COLUMN('Heavy Weapon Stocks'!$C$11)-1,FALSE)+IF(F12&lt;&gt;".",F12,0)</f>
        <v>6140</v>
      </c>
      <c r="X12" s="1334">
        <f>VLOOKUP(B12,'Heavy Weapon Stocks'!B:OA,COLUMN('Heavy Weapon Stocks'!$AQ$11)-1,FALSE)</f>
        <v>15908</v>
      </c>
      <c r="Y12" s="1334">
        <f>VLOOKUP(B12,'Heavy Weapon Stocks'!B:OA,COLUMN('Heavy Weapon Stocks'!$DK$11)-1,FALSE)</f>
        <v>2934</v>
      </c>
      <c r="Z12" s="1334">
        <f>VLOOKUP(B12,'Heavy Weapon Stocks'!B:OA,COLUMN('Heavy Weapon Stocks'!$DY$11)-1,FALSE)</f>
        <v>26285</v>
      </c>
      <c r="AA12" s="1334">
        <f>VLOOKUP(B12,'Heavy Weapon Stocks'!B:OA,COLUMN('Heavy Weapon Stocks'!$FA$11)-1,FALSE)+IF(G12&lt;&gt;".",G12,0)</f>
        <v>5419</v>
      </c>
      <c r="AB12" s="1334">
        <f>SUM(X12:AA12)</f>
        <v>50546</v>
      </c>
      <c r="AC12" s="1334">
        <f>VLOOKUP(B12,'Heavy Weapon Stocks'!B:OA,COLUMN('Heavy Weapon Stocks'!$GV$11)-1,FALSE)+VLOOKUP(B12,'Heavy Weapon Stocks'!B:OA,COLUMN('Heavy Weapon Stocks'!$HY$11)-1,FALSE)+IF(H12&lt;&gt;".",H12,0)</f>
        <v>2538</v>
      </c>
      <c r="AD12" s="1334">
        <f>VLOOKUP(B12,'Heavy Weapon Stocks'!B:OA,COLUMN('Heavy Weapon Stocks'!$IF$11)-1,FALSE)+IF(I12&lt;&gt;".",I12,0)</f>
        <v>635</v>
      </c>
      <c r="AE12" s="1334">
        <f>VLOOKUP(B12,'Heavy Weapon Stocks'!B:OA,COLUMN('Heavy Weapon Stocks'!$IZ$11)-1,FALSE)+VLOOKUP(B12,'Heavy Weapon Stocks'!B:OA,COLUMN('Heavy Weapon Stocks'!$JW$11)-1,FALSE)</f>
        <v>2920</v>
      </c>
      <c r="AF12" s="1334">
        <f>VLOOKUP(B12,'Heavy Weapon Stocks'!B:OA,COLUMN('Heavy Weapon Stocks'!$NL$11)-1,FALSE)+IF(L12&lt;&gt;".",L12,0)</f>
        <v>457</v>
      </c>
      <c r="AG12" s="1334">
        <f>VLOOKUP(B12,'Heavy Weapon Stocks'!B:OA,COLUMN('Heavy Weapon Stocks'!$LN$11)-1,FALSE)+IF(M12&lt;&gt;".",M12,0)</f>
        <v>480</v>
      </c>
      <c r="AH12" s="1334">
        <f>VLOOKUP(B12,'Heavy Weapon Stocks'!B:OA,COLUMN('Heavy Weapon Stocks'!$LX$11)-1,FALSE)+IF(N12&lt;&gt;".",N12,0)</f>
        <v>419</v>
      </c>
      <c r="AI12" s="1334">
        <f>VLOOKUP(B12,'Heavy Weapon Stocks'!B:OA,COLUMN('Heavy Weapon Stocks'!$ME$11)-1,FALSE)+IF(O12&lt;&gt;".",O12,0)</f>
        <v>81</v>
      </c>
      <c r="AJ12" s="1334">
        <f>VLOOKUP(B12,'Heavy Weapon Stocks'!B:OA,COLUMN('Heavy Weapon Stocks'!$NK$11)-1,FALSE)+IF(P12&lt;&gt;".",P12,0)</f>
        <v>457</v>
      </c>
      <c r="AK12" s="410"/>
      <c r="AL12" s="25">
        <f>SUMIFS('Bilateral Assistance, MAIN DATA'!$M:$M,'Bilateral Assistance, MAIN DATA'!$B:$B,'Share, Heavy Weapons to Ukraine'!$B12,'Bilateral Assistance, MAIN DATA'!$AO:$AO,'Share, Heavy Weapons to Ukraine'!AL$11)</f>
        <v>76</v>
      </c>
      <c r="AM12" s="25">
        <f>SUMIFS('Bilateral Assistance, MAIN DATA'!$M:$M,'Bilateral Assistance, MAIN DATA'!$B:$B,'Share, Heavy Weapons to Ukraine'!$B12,'Bilateral Assistance, MAIN DATA'!$AO:$AO,'Share, Heavy Weapons to Ukraine'!AM$11)</f>
        <v>404</v>
      </c>
      <c r="AN12" s="25">
        <f>SUMIFS('Bilateral Assistance, MAIN DATA'!$M:$M,'Bilateral Assistance, MAIN DATA'!$B:$B,'Share, Heavy Weapons to Ukraine'!$B12,'Bilateral Assistance, MAIN DATA'!$AO:$AO,'Share, Heavy Weapons to Ukraine'!AN$11)</f>
        <v>0</v>
      </c>
      <c r="AO12" s="25">
        <f>SUMIFS('Bilateral Assistance, MAIN DATA'!$M:$M,'Bilateral Assistance, MAIN DATA'!$B:$B,'Share, Heavy Weapons to Ukraine'!$B12,'Bilateral Assistance, MAIN DATA'!$AO:$AO,'Share, Heavy Weapons to Ukraine'!AO$11)</f>
        <v>2446</v>
      </c>
      <c r="AP12" s="25">
        <f>SUMIFS('Bilateral Assistance, MAIN DATA'!$M:$M,'Bilateral Assistance, MAIN DATA'!$B:$B,'Share, Heavy Weapons to Ukraine'!$B12,'Bilateral Assistance, MAIN DATA'!$AO:$AO,'Share, Heavy Weapons to Ukraine'!AP$11)</f>
        <v>113</v>
      </c>
      <c r="AQ12" s="25">
        <f>SUM(AM12:AP12)</f>
        <v>2963</v>
      </c>
      <c r="AR12" s="25">
        <f>SUMIFS('Bilateral Assistance, MAIN DATA'!$M:$M,'Bilateral Assistance, MAIN DATA'!$B:$B,'Share, Heavy Weapons to Ukraine'!$B12,'Bilateral Assistance, MAIN DATA'!$AO:$AO,"155mm howitzer")+SUMIFS('Bilateral Assistance, MAIN DATA'!$M:$M,'Bilateral Assistance, MAIN DATA'!$B:$B,'Share, Heavy Weapons to Ukraine'!$B12,'Bilateral Assistance, MAIN DATA'!$AO:$AO,"152mm howitzer")</f>
        <v>160</v>
      </c>
      <c r="AS12" s="25">
        <f>SUMIFS('Bilateral Assistance, MAIN DATA'!$M:$M,'Bilateral Assistance, MAIN DATA'!$B:$B,'Share, Heavy Weapons to Ukraine'!$B12,'Bilateral Assistance, MAIN DATA'!$AO:$AO,"122mm MLRS")+SUMIFS('Bilateral Assistance, MAIN DATA'!$M:$M,'Bilateral Assistance, MAIN DATA'!$B:$B,'Share, Heavy Weapons to Ukraine'!$B12,'Bilateral Assistance, MAIN DATA'!$AO:$AO,"127mm MLRS")+SUMIFS('Bilateral Assistance, MAIN DATA'!$M:$M,'Bilateral Assistance, MAIN DATA'!$B:$B,'Share, Heavy Weapons to Ukraine'!$B12,'Bilateral Assistance, MAIN DATA'!$AO:$AO,"227mm MLRS")</f>
        <v>38</v>
      </c>
      <c r="AT12" s="25">
        <f>SUMIFS('Bilateral Assistance, MAIN DATA'!$M:$M,'Bilateral Assistance, MAIN DATA'!$B:$B,'Share, Heavy Weapons to Ukraine'!$B12,'Bilateral Assistance, MAIN DATA'!$AO:$AO,'Share, Heavy Weapons to Ukraine'!AT$11)</f>
        <v>0</v>
      </c>
      <c r="AU12" s="25">
        <f>SUMIFS('Bilateral Assistance, MAIN DATA'!$M:$M,'Bilateral Assistance, MAIN DATA'!$B:$B,'Share, Heavy Weapons to Ukraine'!$B12,'Bilateral Assistance, MAIN DATA'!$AO:$AO,'Share, Heavy Weapons to Ukraine'!AU$11)</f>
        <v>1</v>
      </c>
      <c r="AV12" s="25">
        <f>SUMIFS('Bilateral Assistance, MAIN DATA'!$M:$M,'Bilateral Assistance, MAIN DATA'!$B:$B,'Share, Heavy Weapons to Ukraine'!$B12,'Bilateral Assistance, MAIN DATA'!$AO:$AO,'Share, Heavy Weapons to Ukraine'!AV$11)</f>
        <v>2</v>
      </c>
      <c r="AW12" s="25">
        <f>SUMIFS('Bilateral Assistance, MAIN DATA'!$M:$M,'Bilateral Assistance, MAIN DATA'!$B:$B,'Share, Heavy Weapons to Ukraine'!$B12,'Bilateral Assistance, MAIN DATA'!$AO:$AO,'Share, Heavy Weapons to Ukraine'!AW$11)</f>
        <v>8</v>
      </c>
      <c r="AX12" s="25">
        <f>SUMIFS('Bilateral Assistance, MAIN DATA'!$M:$M,'Bilateral Assistance, MAIN DATA'!$B:$B,'Share, Heavy Weapons to Ukraine'!$B12,'Bilateral Assistance, MAIN DATA'!$AO:$AO,'Share, Heavy Weapons to Ukraine'!AX$11)</f>
        <v>12</v>
      </c>
      <c r="AY12" s="410"/>
      <c r="AZ12" s="25">
        <f>SUMIFS('Bilateral Assistance, MAIN DATA'!$N:$N,'Bilateral Assistance, MAIN DATA'!$B:$B,'Share, Heavy Weapons to Ukraine'!$B12,'Bilateral Assistance, MAIN DATA'!$AO:$AO,'Share, Heavy Weapons to Ukraine'!AZ$11)</f>
        <v>18.5</v>
      </c>
      <c r="BA12" s="25">
        <f>SUMIFS('Bilateral Assistance, MAIN DATA'!$N:$N,'Bilateral Assistance, MAIN DATA'!$B:$B,'Share, Heavy Weapons to Ukraine'!$B12,'Bilateral Assistance, MAIN DATA'!$AO:$AO,'Share, Heavy Weapons to Ukraine'!BA$11)</f>
        <v>294</v>
      </c>
      <c r="BB12" s="25">
        <f>SUMIFS('Bilateral Assistance, MAIN DATA'!$N:$N,'Bilateral Assistance, MAIN DATA'!$B:$B,'Share, Heavy Weapons to Ukraine'!$B12,'Bilateral Assistance, MAIN DATA'!$AO:$AO,'Share, Heavy Weapons to Ukraine'!BB$11)</f>
        <v>0</v>
      </c>
      <c r="BC12" s="25">
        <f>SUMIFS('Bilateral Assistance, MAIN DATA'!$N:$N,'Bilateral Assistance, MAIN DATA'!$B:$B,'Share, Heavy Weapons to Ukraine'!$B12,'Bilateral Assistance, MAIN DATA'!$AO:$AO,'Share, Heavy Weapons to Ukraine'!BC$11)</f>
        <v>390</v>
      </c>
      <c r="BD12" s="25">
        <f>SUMIFS('Bilateral Assistance, MAIN DATA'!$N:$N,'Bilateral Assistance, MAIN DATA'!$B:$B,'Share, Heavy Weapons to Ukraine'!$B12,'Bilateral Assistance, MAIN DATA'!$AO:$AO,'Share, Heavy Weapons to Ukraine'!BD$11)</f>
        <v>0</v>
      </c>
      <c r="BE12" s="25">
        <f>SUM(BA12:BD12)</f>
        <v>684</v>
      </c>
      <c r="BF12" s="25">
        <f>SUMIFS('Bilateral Assistance, MAIN DATA'!$N:$N,'Bilateral Assistance, MAIN DATA'!$B:$B,'Share, Heavy Weapons to Ukraine'!$B12,'Bilateral Assistance, MAIN DATA'!$AO:$AO,"155mm howitzer")+SUMIFS('Bilateral Assistance, MAIN DATA'!$N:$N,'Bilateral Assistance, MAIN DATA'!$B:$B,'Share, Heavy Weapons to Ukraine'!$B12,'Bilateral Assistance, MAIN DATA'!$AO:$AO,"152mm howitzer")</f>
        <v>126</v>
      </c>
      <c r="BG12" s="25">
        <f>SUMIFS('Bilateral Assistance, MAIN DATA'!$N:$N,'Bilateral Assistance, MAIN DATA'!$B:$B,'Share, Heavy Weapons to Ukraine'!$B12,'Bilateral Assistance, MAIN DATA'!$AO:$AO,"122mm MLRS")+SUMIFS('Bilateral Assistance, MAIN DATA'!$N:$N,'Bilateral Assistance, MAIN DATA'!$B:$B,'Share, Heavy Weapons to Ukraine'!$B12,'Bilateral Assistance, MAIN DATA'!$AO:$AO,"127mm MLRS")+SUMIFS('Bilateral Assistance, MAIN DATA'!$N:$N,'Bilateral Assistance, MAIN DATA'!$B:$B,'Share, Heavy Weapons to Ukraine'!$B12,'Bilateral Assistance, MAIN DATA'!$AO:$AO,"227mm MLRS")</f>
        <v>20</v>
      </c>
      <c r="BH12" s="25">
        <f>SUMIFS('Bilateral Assistance, MAIN DATA'!$N:$N,'Bilateral Assistance, MAIN DATA'!$B:$B,'Share, Heavy Weapons to Ukraine'!$B12,'Bilateral Assistance, MAIN DATA'!$AO:$AO,'Share, Heavy Weapons to Ukraine'!BH$11)</f>
        <v>0</v>
      </c>
      <c r="BI12" s="25">
        <f>SUMIFS('Bilateral Assistance, MAIN DATA'!$N:$N,'Bilateral Assistance, MAIN DATA'!$B:$B,'Share, Heavy Weapons to Ukraine'!$B12,'Bilateral Assistance, MAIN DATA'!$AO:$AO,'Share, Heavy Weapons to Ukraine'!BI$11)</f>
        <v>0</v>
      </c>
      <c r="BJ12" s="25">
        <f>SUMIFS('Bilateral Assistance, MAIN DATA'!$N:$N,'Bilateral Assistance, MAIN DATA'!$B:$B,'Share, Heavy Weapons to Ukraine'!$B12,'Bilateral Assistance, MAIN DATA'!$AO:$AO,'Share, Heavy Weapons to Ukraine'!BJ$11)</f>
        <v>0</v>
      </c>
      <c r="BK12" s="25">
        <f>SUMIFS('Bilateral Assistance, MAIN DATA'!$N:$N,'Bilateral Assistance, MAIN DATA'!$B:$B,'Share, Heavy Weapons to Ukraine'!$B12,'Bilateral Assistance, MAIN DATA'!$AO:$AO,'Share, Heavy Weapons to Ukraine'!BK$11)</f>
        <v>8</v>
      </c>
      <c r="BL12" s="25">
        <f>SUMIFS('Bilateral Assistance, MAIN DATA'!$N:$N,'Bilateral Assistance, MAIN DATA'!$B:$B,'Share, Heavy Weapons to Ukraine'!$B12,'Bilateral Assistance, MAIN DATA'!$AO:$AO,'Share, Heavy Weapons to Ukraine'!BL$11)</f>
        <v>8</v>
      </c>
      <c r="BM12" s="410"/>
      <c r="BN12" s="261">
        <f>IF(VLOOKUP($B12,$B:W,COLUMN(W11)-1,FALSE)&lt;&gt;0,VLOOKUP($B12,$B:AL,COLUMN(AL11)-1,FALSE)/VLOOKUP($B12,$B:W,COLUMN(W11)-1,FALSE),IF(VLOOKUP($B12,$B:AL,COLUMN(AL11)-1,FALSE)&lt;&gt;0,"unknown",0))</f>
        <v>1.2377850162866449E-2</v>
      </c>
      <c r="BO12" s="261">
        <f>IF(VLOOKUP($B12,$B:X,COLUMN(X11)-1,FALSE)&lt;&gt;0,VLOOKUP($B12,$B:AM,COLUMN(AM11)-1,FALSE)/VLOOKUP($B12,$B:X,COLUMN(X11)-1,FALSE),IF(VLOOKUP($B12,$B:AM,COLUMN(AM11)-1,FALSE)&lt;&gt;0,"unknown",0))</f>
        <v>2.539602715614785E-2</v>
      </c>
      <c r="BP12" s="261">
        <f>IF(VLOOKUP($B12,$B:Y,COLUMN(Y11)-1,FALSE)&lt;&gt;0,VLOOKUP($B12,$B:AN,COLUMN(AN11)-1,FALSE)/VLOOKUP($B12,$B:Y,COLUMN(Y11)-1,FALSE),IF(VLOOKUP($B12,$B:AN,COLUMN(AN11)-1,FALSE)&lt;&gt;0,"unknown",0))</f>
        <v>0</v>
      </c>
      <c r="BQ12" s="261">
        <f>IF(VLOOKUP($B12,$B:Z,COLUMN(Z11)-1,FALSE)&lt;&gt;0,VLOOKUP($B12,$B:AO,COLUMN(AO11)-1,FALSE)/VLOOKUP($B12,$B:Z,COLUMN(Z11)-1,FALSE),IF(VLOOKUP($B12,$B:AO,COLUMN(AO11)-1,FALSE)&lt;&gt;0,"unknown",0))</f>
        <v>9.3056876545558304E-2</v>
      </c>
      <c r="BR12" s="261">
        <f>IF(VLOOKUP($B12,$B:AA,COLUMN(AA11)-1,FALSE)&lt;&gt;0,VLOOKUP($B12,$B:AP,COLUMN(AP11)-1,FALSE)/VLOOKUP($B12,$B:AA,COLUMN(AA11)-1,FALSE),IF(VLOOKUP($B12,$B:AP,COLUMN(AP11)-1,FALSE)&lt;&gt;0,"unknown",0))</f>
        <v>2.0852555822107401E-2</v>
      </c>
      <c r="BS12" s="261">
        <f>IF(VLOOKUP($B12,$B:AB,COLUMN(AB11)-1,FALSE)&lt;&gt;0,VLOOKUP($B12,$B:AQ,COLUMN(AQ11)-1,FALSE)/VLOOKUP($B12,$B:AB,COLUMN(AB11)-1,FALSE),IF(VLOOKUP($B12,$B:AQ,COLUMN(AQ11)-1,FALSE)&lt;&gt;0,"unknown",0))</f>
        <v>5.861987100858624E-2</v>
      </c>
      <c r="BT12" s="261">
        <f>IF(VLOOKUP($B12,$B:AC,COLUMN(AC11)-1,FALSE)&lt;&gt;0,VLOOKUP($B12,$B:AR,COLUMN(AR11)-1,FALSE)/VLOOKUP($B12,$B:AC,COLUMN(AC11)-1,FALSE),IF(VLOOKUP($B12,$B:AR,COLUMN(AR11)-1,FALSE)&lt;&gt;0,"unknown",0))</f>
        <v>6.3041765169424738E-2</v>
      </c>
      <c r="BU12" s="261">
        <f>IF(VLOOKUP($B12,$B:AD,COLUMN(AD11)-1,FALSE)&lt;&gt;0,VLOOKUP($B12,$B:AS,COLUMN(AS11)-1,FALSE)/VLOOKUP($B12,$B:AD,COLUMN(AD11)-1,FALSE),IF(VLOOKUP($B12,$B:AS,COLUMN(AS11)-1,FALSE)&lt;&gt;0,"unknown",0))</f>
        <v>5.9842519685039369E-2</v>
      </c>
      <c r="BV12" s="261">
        <f>IF(VLOOKUP($B12,$B:AE,COLUMN(AE11)-1,FALSE)&lt;&gt;0,VLOOKUP($B12,$B:AT,COLUMN(AT11)-1,FALSE)/VLOOKUP($B12,$B:AE,COLUMN(AE11)-1,FALSE),IF(VLOOKUP($B12,$B:AT,COLUMN(AT11)-1,FALSE)&lt;&gt;0,"unknown",0))</f>
        <v>0</v>
      </c>
      <c r="BW12" s="261">
        <f>IF(VLOOKUP($B12,$B:AG,COLUMN(AG11)-1,FALSE)&lt;&gt;0,VLOOKUP($B12,$B:AU,COLUMN(AU11)-1,FALSE)/VLOOKUP($B12,$B:AG,COLUMN(AG11)-1,FALSE),IF(VLOOKUP($B12,$B:AU,COLUMN(AU11)-1,FALSE)&lt;&gt;0,"unknown",0))</f>
        <v>2.0833333333333333E-3</v>
      </c>
      <c r="BX12" s="261">
        <f>IF(VLOOKUP($B12,$B:AH,COLUMN(AH11)-1,FALSE)&lt;&gt;0,VLOOKUP($B12,$B:AV,COLUMN(AV11)-1,FALSE)/VLOOKUP($B12,$B:AH,COLUMN(AH11)-1,FALSE),IF(VLOOKUP($B12,$B:AV,COLUMN(AV11)-1,FALSE)&lt;&gt;0,"unknown",0))</f>
        <v>4.7732696897374704E-3</v>
      </c>
      <c r="BY12" s="261">
        <f>IF(VLOOKUP($B12,$B:AI,COLUMN(AI11)-1,FALSE)&lt;&gt;0,VLOOKUP($B12,$B:AW,COLUMN(AW11)-1,FALSE)/VLOOKUP($B12,$B:AI,COLUMN(AI11)-1,FALSE),IF(VLOOKUP($B12,$B:AW,COLUMN(AW11)-1,FALSE)&lt;&gt;0,"unknown",0))</f>
        <v>9.8765432098765427E-2</v>
      </c>
      <c r="BZ12" s="261">
        <f>IF(VLOOKUP($B12,$B:AJ,COLUMN(AJ11)-1,FALSE)&lt;&gt;0,VLOOKUP($B12,$B:AX,COLUMN(AX11)-1,FALSE)/VLOOKUP($B12,$B:AJ,COLUMN(AJ11)-1,FALSE),IF(VLOOKUP($B12,$B:AX,COLUMN(AX11)-1,FALSE)&lt;&gt;0,"unknown",0))</f>
        <v>2.6258205689277898E-2</v>
      </c>
      <c r="CA12" s="410"/>
      <c r="CB12" s="2">
        <f>IF(VLOOKUP($B12,$B:AM,COLUMN(W11)-1,FALSE)&lt;&gt;0,VLOOKUP($B12,$B:BA,COLUMN(AZ11)-1,FALSE)/VLOOKUP($B12,$B:AM,COLUMN(W11)-1,FALSE),IF(VLOOKUP($B12,$B:BA,COLUMN(AZ11)-1,FALSE)&lt;&gt;0,"unknown",0))</f>
        <v>3.0130293159609119E-3</v>
      </c>
      <c r="CC12" s="2">
        <f>IF(VLOOKUP($B12,$B:AN,COLUMN(X11)-1,FALSE)&lt;&gt;0,VLOOKUP($B12,$B:BB,COLUMN(BA11)-1,FALSE)/VLOOKUP($B12,$B:AN,COLUMN(X11)-1,FALSE),IF(VLOOKUP($B12,$B:BB,COLUMN(BA11)-1,FALSE)&lt;&gt;0,"unknown",0))</f>
        <v>1.8481267286899673E-2</v>
      </c>
      <c r="CD12" s="2">
        <f>IF(VLOOKUP($B12,$B:AO,COLUMN(Y11)-1,FALSE)&lt;&gt;0,VLOOKUP($B12,$B:BC,COLUMN(BB11)-1,FALSE)/VLOOKUP($B12,$B:AO,COLUMN(Y11)-1,FALSE),IF(VLOOKUP($B12,$B:BC,COLUMN(BB11)-1,FALSE)&lt;&gt;0,"unknown",0))</f>
        <v>0</v>
      </c>
      <c r="CE12" s="2">
        <f>IF(VLOOKUP($B12,$B:AP,COLUMN(Z11)-1,FALSE)&lt;&gt;0,VLOOKUP($B12,$B:BD,COLUMN(BC11)-1,FALSE)/VLOOKUP($B12,$B:AP,COLUMN(Z11)-1,FALSE),IF(VLOOKUP($B12,$B:BD,COLUMN(BC11)-1,FALSE)&lt;&gt;0,"unknown",0))</f>
        <v>1.4837359710861708E-2</v>
      </c>
      <c r="CF12" s="2">
        <f>IF(VLOOKUP($B12,$B:AR,COLUMN(AA11)-1,FALSE)&lt;&gt;0,VLOOKUP($B12,$B:BF,COLUMN(BD11)-1,FALSE)/VLOOKUP($B12,$B:AR,COLUMN(AA11)-1,FALSE),IF(VLOOKUP($B12,$B:BF,COLUMN(BD11)-1,FALSE)&lt;&gt;0,"unknown",0))</f>
        <v>0</v>
      </c>
      <c r="CG12" s="2">
        <f>IF(VLOOKUP($B12,$B:AS,COLUMN(AB11)-1,FALSE)&lt;&gt;0,VLOOKUP($B12,$B:BG,COLUMN(BE11)-1,FALSE)/VLOOKUP($B12,$B:AS,COLUMN(AB11)-1,FALSE),IF(VLOOKUP($B12,$B:BG,COLUMN(BE11)-1,FALSE)&lt;&gt;0,"unknown",0))</f>
        <v>1.3532228069481265E-2</v>
      </c>
      <c r="CH12" s="2">
        <f>IF(VLOOKUP($B12,$B:AS,COLUMN(AC11)-1,FALSE)&lt;&gt;0,VLOOKUP($B12,$B:BG,COLUMN(BF11)-1,FALSE)/VLOOKUP($B12,$B:AS,COLUMN(AC11)-1,FALSE),IF(VLOOKUP($B12,$B:BG,COLUMN(BF11)-1,FALSE)&lt;&gt;0,"unknown",0))</f>
        <v>4.9645390070921988E-2</v>
      </c>
      <c r="CI12" s="2">
        <f>IF(VLOOKUP($B12,$B:AT,COLUMN(AD11)-1,FALSE)&lt;&gt;0,VLOOKUP($B12,$B:BH,COLUMN(BG11)-1,FALSE)/VLOOKUP($B12,$B:AT,COLUMN(AD11)-1,FALSE),IF(VLOOKUP($B12,$B:BH,COLUMN(BG11)-1,FALSE)&lt;&gt;0,"unknown",0))</f>
        <v>3.1496062992125984E-2</v>
      </c>
      <c r="CJ12" s="2">
        <f>IF(VLOOKUP($B12,$B:AT,COLUMN(AE11)-1,FALSE)&lt;&gt;0,VLOOKUP($B12,$B:BH,COLUMN(BH11)-1,FALSE)/VLOOKUP($B12,$B:AT,COLUMN(AE11)-1,FALSE),IF(VLOOKUP($B12,$B:BH,COLUMN(BH11)-1,FALSE)&lt;&gt;0,"unknown",0))</f>
        <v>0</v>
      </c>
      <c r="CK12" s="2">
        <f>IF(VLOOKUP($B12,$B:AU,COLUMN(AG11)-1,FALSE)&lt;&gt;0,VLOOKUP($B12,$B:BI,COLUMN(BI11)-1,FALSE)/VLOOKUP($B12,$B:AU,COLUMN(AG11)-1,FALSE),IF(VLOOKUP($B12,$B:BI,COLUMN(BI11)-1,FALSE)&lt;&gt;0,"unknown",0))</f>
        <v>0</v>
      </c>
      <c r="CL12" s="2" t="s">
        <v>6598</v>
      </c>
      <c r="CM12" s="2">
        <f>IF(VLOOKUP($B12,$B:AW,COLUMN(AI11)-1,FALSE)&lt;&gt;0,VLOOKUP($B12,$B:BK,COLUMN(BK11)-1,FALSE)/VLOOKUP($B12,$B:AW,COLUMN(AI11)-1,FALSE),IF(VLOOKUP($B12,$B:BK,COLUMN(BK11)-1,FALSE)&lt;&gt;0,"unknown",0))</f>
        <v>9.8765432098765427E-2</v>
      </c>
      <c r="CN12" s="2">
        <f>IF(VLOOKUP($B12,$B:AX,COLUMN(AJ11)-1,FALSE)&lt;&gt;0,VLOOKUP($B12,$B:BL,COLUMN(BL11)-1,FALSE)/VLOOKUP($B12,$B:AX,COLUMN(AJ11)-1,FALSE),IF(VLOOKUP($B12,$B:BL,COLUMN(BL11)-1,FALSE)&lt;&gt;0,"unknown",0))</f>
        <v>1.7505470459518599E-2</v>
      </c>
      <c r="CO12" s="410"/>
      <c r="CP12" s="2">
        <f>SUMIFS('Bilateral Assistance, MAIN DATA'!$M:$M,'Bilateral Assistance, MAIN DATA'!$B:$B,'Share, Heavy Weapons to Ukraine'!$B12,'Bilateral Assistance, MAIN DATA'!$AO:$AO,'Share, Heavy Weapons to Ukraine'!CP$11, 'Bilateral Assistance, MAIN DATA'!$AA:$AA,1)</f>
        <v>0</v>
      </c>
      <c r="CQ12" s="2">
        <f>SUMIFS('Bilateral Assistance, MAIN DATA'!$M:$M,'Bilateral Assistance, MAIN DATA'!$B:$B,'Share, Heavy Weapons to Ukraine'!$B12,'Bilateral Assistance, MAIN DATA'!$AO:$AO,'Share, Heavy Weapons to Ukraine'!CQ$11, 'Bilateral Assistance, MAIN DATA'!$AA:$AA,1)</f>
        <v>0</v>
      </c>
      <c r="CR12" s="2">
        <f>SUMIFS('Bilateral Assistance, MAIN DATA'!$M:$M,'Bilateral Assistance, MAIN DATA'!$B:$B,'Share, Heavy Weapons to Ukraine'!$B12,'Bilateral Assistance, MAIN DATA'!$AO:$AO,'Share, Heavy Weapons to Ukraine'!CR$11, 'Bilateral Assistance, MAIN DATA'!$AA:$AA,1)</f>
        <v>0</v>
      </c>
      <c r="CS12" s="2">
        <f>SUMIFS('Bilateral Assistance, MAIN DATA'!$M:$M,'Bilateral Assistance, MAIN DATA'!$B:$B,'Share, Heavy Weapons to Ukraine'!$B12,'Bilateral Assistance, MAIN DATA'!$AO:$AO,'Share, Heavy Weapons to Ukraine'!CS$11, 'Bilateral Assistance, MAIN DATA'!$AA:$AA,1)</f>
        <v>0</v>
      </c>
      <c r="CT12" s="410"/>
      <c r="CU12" s="2">
        <f>SUMIFS('Bilateral Assistance, MAIN DATA'!$N:$N,'Bilateral Assistance, MAIN DATA'!$B:$B,'Share, Heavy Weapons to Ukraine'!$B12,'Bilateral Assistance, MAIN DATA'!$AO:$AO,'Share, Heavy Weapons to Ukraine'!CU$11, 'Bilateral Assistance, MAIN DATA'!$AA:$AA,1)</f>
        <v>0</v>
      </c>
      <c r="CV12" s="2">
        <f>SUMIFS('Bilateral Assistance, MAIN DATA'!$N:$N,'Bilateral Assistance, MAIN DATA'!$B:$B,'Share, Heavy Weapons to Ukraine'!$B12,'Bilateral Assistance, MAIN DATA'!$AO:$AO,'Share, Heavy Weapons to Ukraine'!CV$11, 'Bilateral Assistance, MAIN DATA'!$AA:$AA,1)</f>
        <v>0</v>
      </c>
      <c r="CW12" s="2">
        <f>SUMIFS('Bilateral Assistance, MAIN DATA'!$N:$N,'Bilateral Assistance, MAIN DATA'!$B:$B,'Share, Heavy Weapons to Ukraine'!$B12,'Bilateral Assistance, MAIN DATA'!$AO:$AO,'Share, Heavy Weapons to Ukraine'!CW$11, 'Bilateral Assistance, MAIN DATA'!$AA:$AA,1)</f>
        <v>0</v>
      </c>
      <c r="CX12" s="2">
        <f>SUMIFS('Bilateral Assistance, MAIN DATA'!$N:$N,'Bilateral Assistance, MAIN DATA'!$B:$B,'Share, Heavy Weapons to Ukraine'!$B12,'Bilateral Assistance, MAIN DATA'!$AO:$AO,'Share, Heavy Weapons to Ukraine'!CX$11, 'Bilateral Assistance, MAIN DATA'!$AA:$AA,1)</f>
        <v>0</v>
      </c>
    </row>
    <row r="13" spans="2:103" ht="15.6">
      <c r="B13" s="409" t="s">
        <v>3748</v>
      </c>
      <c r="C13" s="409">
        <v>1</v>
      </c>
      <c r="D13" s="2">
        <v>0</v>
      </c>
      <c r="E13" s="410"/>
      <c r="F13" s="569" t="s">
        <v>364</v>
      </c>
      <c r="G13" s="569" t="s">
        <v>364</v>
      </c>
      <c r="H13" s="569">
        <v>28</v>
      </c>
      <c r="I13" s="569" t="s">
        <v>364</v>
      </c>
      <c r="J13" s="569" t="s">
        <v>364</v>
      </c>
      <c r="K13" s="569" t="s">
        <v>364</v>
      </c>
      <c r="L13" s="569" t="s">
        <v>364</v>
      </c>
      <c r="M13" s="569" t="s">
        <v>364</v>
      </c>
      <c r="N13" s="569" t="s">
        <v>364</v>
      </c>
      <c r="O13" s="569" t="s">
        <v>364</v>
      </c>
      <c r="P13" s="569" t="s">
        <v>364</v>
      </c>
      <c r="Q13" s="2" t="s">
        <v>6623</v>
      </c>
      <c r="R13" s="968" t="s">
        <v>6624</v>
      </c>
      <c r="S13" s="968" t="s">
        <v>3851</v>
      </c>
      <c r="T13" s="569" t="s">
        <v>364</v>
      </c>
      <c r="U13" s="410" t="str">
        <f>""</f>
        <v/>
      </c>
      <c r="V13" s="1334">
        <v>71.599999999999994</v>
      </c>
      <c r="W13" s="1334">
        <f>VLOOKUP(B13,'Heavy Weapon Stocks'!B:OA,COLUMN('Heavy Weapon Stocks'!$C$11)-1,FALSE)+IF(F13&lt;&gt;".",F13,0)</f>
        <v>227</v>
      </c>
      <c r="X13" s="1334">
        <f>VLOOKUP(B13,'Heavy Weapon Stocks'!B:OA,COLUMN('Heavy Weapon Stocks'!$AQ$11)-1,FALSE)</f>
        <v>409</v>
      </c>
      <c r="Y13" s="1334">
        <f>VLOOKUP(B13,'Heavy Weapon Stocks'!B:OA,COLUMN('Heavy Weapon Stocks'!$DK$11)-1,FALSE)</f>
        <v>396</v>
      </c>
      <c r="Z13" s="1334">
        <f>VLOOKUP(B13,'Heavy Weapon Stocks'!B:OA,COLUMN('Heavy Weapon Stocks'!$DY$11)-1,FALSE)</f>
        <v>1262</v>
      </c>
      <c r="AA13" s="1334">
        <f>VLOOKUP(B13,'Heavy Weapon Stocks'!B:OA,COLUMN('Heavy Weapon Stocks'!$FA$11)-1,FALSE)+IF(G13&lt;&gt;".",G13,0)</f>
        <v>388</v>
      </c>
      <c r="AB13" s="1334">
        <f t="shared" ref="AB13:AB48" si="0">SUM(X13:AA13)</f>
        <v>2455</v>
      </c>
      <c r="AC13" s="1334">
        <f>VLOOKUP(B13,'Heavy Weapon Stocks'!B:OA,COLUMN('Heavy Weapon Stocks'!$GV$11)-1,FALSE)+VLOOKUP(B13,'Heavy Weapon Stocks'!B:OA,COLUMN('Heavy Weapon Stocks'!$HY$11)-1,FALSE)+IF(H13&lt;&gt;".",H13,0)</f>
        <v>117</v>
      </c>
      <c r="AD13" s="1334">
        <f>VLOOKUP(B13,'Heavy Weapon Stocks'!B:OA,COLUMN('Heavy Weapon Stocks'!$IF$11)-1,FALSE)+IF(I13&lt;&gt;".",I13,0)</f>
        <v>35</v>
      </c>
      <c r="AE13" s="1334">
        <f>VLOOKUP(B13,'Heavy Weapon Stocks'!B:OA,COLUMN('Heavy Weapon Stocks'!$IZ$11)-1,FALSE)+VLOOKUP(B13,'Heavy Weapon Stocks'!B:OA,COLUMN('Heavy Weapon Stocks'!$JW$11)-1,FALSE)</f>
        <v>167</v>
      </c>
      <c r="AF13" s="1334">
        <f>VLOOKUP(B13,'Heavy Weapon Stocks'!B:OA,COLUMN('Heavy Weapon Stocks'!$NL$11)-1,FALSE)+IF(L13&lt;&gt;".",L13,0)</f>
        <v>60</v>
      </c>
      <c r="AG13" s="1334">
        <f>VLOOKUP(B13,'Heavy Weapon Stocks'!B:OA,COLUMN('Heavy Weapon Stocks'!$LN$11)-1,FALSE)+IF(M13&lt;&gt;".",M13,0)</f>
        <v>0</v>
      </c>
      <c r="AH13" s="1334">
        <f>VLOOKUP(B13,'Heavy Weapon Stocks'!B:OA,COLUMN('Heavy Weapon Stocks'!$LX$11)-1,FALSE)+IF(N13&lt;&gt;".",N13,0)</f>
        <v>0</v>
      </c>
      <c r="AI13" s="1334">
        <f>VLOOKUP(B13,'Heavy Weapon Stocks'!B:OA,COLUMN('Heavy Weapon Stocks'!$ME$11)-1,FALSE)+IF(O13&lt;&gt;".",O13,0)</f>
        <v>0</v>
      </c>
      <c r="AJ13" s="1334">
        <f>VLOOKUP(B13,'Heavy Weapon Stocks'!B:OA,COLUMN('Heavy Weapon Stocks'!$NK$11)-1,FALSE)+IF(P13&lt;&gt;".",P13,0)</f>
        <v>74</v>
      </c>
      <c r="AK13" s="410"/>
      <c r="AL13" s="25">
        <f>SUMIFS('Bilateral Assistance, MAIN DATA'!$M:$M,'Bilateral Assistance, MAIN DATA'!$B:$B,'Share, Heavy Weapons to Ukraine'!$B13,'Bilateral Assistance, MAIN DATA'!$AO:$AO,'Share, Heavy Weapons to Ukraine'!AL$11)</f>
        <v>14</v>
      </c>
      <c r="AM13" s="25">
        <f>SUMIFS('Bilateral Assistance, MAIN DATA'!$M:$M,'Bilateral Assistance, MAIN DATA'!$B:$B,'Share, Heavy Weapons to Ukraine'!$B13,'Bilateral Assistance, MAIN DATA'!$AO:$AO,'Share, Heavy Weapons to Ukraine'!AM$11)</f>
        <v>35</v>
      </c>
      <c r="AN13" s="25">
        <f>SUMIFS('Bilateral Assistance, MAIN DATA'!$M:$M,'Bilateral Assistance, MAIN DATA'!$B:$B,'Share, Heavy Weapons to Ukraine'!$B13,'Bilateral Assistance, MAIN DATA'!$AO:$AO,'Share, Heavy Weapons to Ukraine'!AN$11)</f>
        <v>80</v>
      </c>
      <c r="AO13" s="25">
        <f>SUMIFS('Bilateral Assistance, MAIN DATA'!$M:$M,'Bilateral Assistance, MAIN DATA'!$B:$B,'Share, Heavy Weapons to Ukraine'!$B13,'Bilateral Assistance, MAIN DATA'!$AO:$AO,'Share, Heavy Weapons to Ukraine'!AO$11)</f>
        <v>5</v>
      </c>
      <c r="AP13" s="25">
        <f>SUMIFS('Bilateral Assistance, MAIN DATA'!$M:$M,'Bilateral Assistance, MAIN DATA'!$B:$B,'Share, Heavy Weapons to Ukraine'!$B13,'Bilateral Assistance, MAIN DATA'!$AO:$AO,'Share, Heavy Weapons to Ukraine'!AP$11)</f>
        <v>0</v>
      </c>
      <c r="AQ13" s="25">
        <f t="shared" ref="AQ13:AQ48" si="1">SUM(AM13:AP13)</f>
        <v>120</v>
      </c>
      <c r="AR13" s="25">
        <f>SUMIFS('Bilateral Assistance, MAIN DATA'!$M:$M,'Bilateral Assistance, MAIN DATA'!$B:$B,'Share, Heavy Weapons to Ukraine'!$B13,'Bilateral Assistance, MAIN DATA'!$AO:$AO,"155mm howitzer")+SUMIFS('Bilateral Assistance, MAIN DATA'!$M:$M,'Bilateral Assistance, MAIN DATA'!$B:$B,'Share, Heavy Weapons to Ukraine'!$B13,'Bilateral Assistance, MAIN DATA'!$AO:$AO,"152mm howitzer")</f>
        <v>58</v>
      </c>
      <c r="AS13" s="25">
        <f>SUMIFS('Bilateral Assistance, MAIN DATA'!$M:$M,'Bilateral Assistance, MAIN DATA'!$B:$B,'Share, Heavy Weapons to Ukraine'!$B13,'Bilateral Assistance, MAIN DATA'!$AO:$AO,"122mm MLRS")+SUMIFS('Bilateral Assistance, MAIN DATA'!$M:$M,'Bilateral Assistance, MAIN DATA'!$B:$B,'Share, Heavy Weapons to Ukraine'!$B13,'Bilateral Assistance, MAIN DATA'!$AO:$AO,"127mm MLRS")+SUMIFS('Bilateral Assistance, MAIN DATA'!$M:$M,'Bilateral Assistance, MAIN DATA'!$B:$B,'Share, Heavy Weapons to Ukraine'!$B13,'Bilateral Assistance, MAIN DATA'!$AO:$AO,"227mm MLRS")</f>
        <v>6</v>
      </c>
      <c r="AT13" s="25">
        <f>SUMIFS('Bilateral Assistance, MAIN DATA'!$M:$M,'Bilateral Assistance, MAIN DATA'!$B:$B,'Share, Heavy Weapons to Ukraine'!$B13,'Bilateral Assistance, MAIN DATA'!$AO:$AO,'Share, Heavy Weapons to Ukraine'!AT$11)</f>
        <v>0</v>
      </c>
      <c r="AU13" s="25">
        <f>SUMIFS('Bilateral Assistance, MAIN DATA'!$M:$M,'Bilateral Assistance, MAIN DATA'!$B:$B,'Share, Heavy Weapons to Ukraine'!$B13,'Bilateral Assistance, MAIN DATA'!$AO:$AO,'Share, Heavy Weapons to Ukraine'!AU$11)</f>
        <v>0</v>
      </c>
      <c r="AV13" s="25">
        <f>SUMIFS('Bilateral Assistance, MAIN DATA'!$M:$M,'Bilateral Assistance, MAIN DATA'!$B:$B,'Share, Heavy Weapons to Ukraine'!$B13,'Bilateral Assistance, MAIN DATA'!$AO:$AO,'Share, Heavy Weapons to Ukraine'!AV$11)</f>
        <v>0</v>
      </c>
      <c r="AW13" s="25">
        <f>SUMIFS('Bilateral Assistance, MAIN DATA'!$M:$M,'Bilateral Assistance, MAIN DATA'!$B:$B,'Share, Heavy Weapons to Ukraine'!$B13,'Bilateral Assistance, MAIN DATA'!$AO:$AO,'Share, Heavy Weapons to Ukraine'!AW$11)</f>
        <v>0</v>
      </c>
      <c r="AX13" s="25">
        <f>SUMIFS('Bilateral Assistance, MAIN DATA'!$M:$M,'Bilateral Assistance, MAIN DATA'!$B:$B,'Share, Heavy Weapons to Ukraine'!$B13,'Bilateral Assistance, MAIN DATA'!$AO:$AO,'Share, Heavy Weapons to Ukraine'!AX$11)</f>
        <v>6</v>
      </c>
      <c r="AY13" s="410"/>
      <c r="AZ13" s="25">
        <f>SUMIFS('Bilateral Assistance, MAIN DATA'!$N:$N,'Bilateral Assistance, MAIN DATA'!$B:$B,'Share, Heavy Weapons to Ukraine'!$B13,'Bilateral Assistance, MAIN DATA'!$AO:$AO,'Share, Heavy Weapons to Ukraine'!AZ$11)</f>
        <v>14</v>
      </c>
      <c r="BA13" s="25">
        <f>SUMIFS('Bilateral Assistance, MAIN DATA'!$N:$N,'Bilateral Assistance, MAIN DATA'!$B:$B,'Share, Heavy Weapons to Ukraine'!$B13,'Bilateral Assistance, MAIN DATA'!$AO:$AO,'Share, Heavy Weapons to Ukraine'!BA$11)</f>
        <v>35</v>
      </c>
      <c r="BB13" s="25">
        <f>SUMIFS('Bilateral Assistance, MAIN DATA'!$N:$N,'Bilateral Assistance, MAIN DATA'!$B:$B,'Share, Heavy Weapons to Ukraine'!$B13,'Bilateral Assistance, MAIN DATA'!$AO:$AO,'Share, Heavy Weapons to Ukraine'!BB$11)</f>
        <v>80</v>
      </c>
      <c r="BC13" s="25">
        <f>SUMIFS('Bilateral Assistance, MAIN DATA'!$N:$N,'Bilateral Assistance, MAIN DATA'!$B:$B,'Share, Heavy Weapons to Ukraine'!$B13,'Bilateral Assistance, MAIN DATA'!$AO:$AO,'Share, Heavy Weapons to Ukraine'!BC$11)</f>
        <v>5</v>
      </c>
      <c r="BD13" s="25">
        <f>SUMIFS('Bilateral Assistance, MAIN DATA'!$N:$N,'Bilateral Assistance, MAIN DATA'!$B:$B,'Share, Heavy Weapons to Ukraine'!$B13,'Bilateral Assistance, MAIN DATA'!$AO:$AO,'Share, Heavy Weapons to Ukraine'!BD$11)</f>
        <v>0</v>
      </c>
      <c r="BE13" s="25">
        <f t="shared" ref="BE13:BE48" si="2">SUM(BA13:BD13)</f>
        <v>120</v>
      </c>
      <c r="BF13" s="25">
        <f>SUMIFS('Bilateral Assistance, MAIN DATA'!$N:$N,'Bilateral Assistance, MAIN DATA'!$B:$B,'Share, Heavy Weapons to Ukraine'!$B13,'Bilateral Assistance, MAIN DATA'!$AO:$AO,"155mm howitzer")+SUMIFS('Bilateral Assistance, MAIN DATA'!$N:$N,'Bilateral Assistance, MAIN DATA'!$B:$B,'Share, Heavy Weapons to Ukraine'!$B13,'Bilateral Assistance, MAIN DATA'!$AO:$AO,"152mm howitzer")</f>
        <v>28</v>
      </c>
      <c r="BG13" s="25">
        <f>SUMIFS('Bilateral Assistance, MAIN DATA'!$N:$N,'Bilateral Assistance, MAIN DATA'!$B:$B,'Share, Heavy Weapons to Ukraine'!$B13,'Bilateral Assistance, MAIN DATA'!$AO:$AO,"122mm MLRS")+SUMIFS('Bilateral Assistance, MAIN DATA'!$N:$N,'Bilateral Assistance, MAIN DATA'!$B:$B,'Share, Heavy Weapons to Ukraine'!$B13,'Bilateral Assistance, MAIN DATA'!$AO:$AO,"127mm MLRS")+SUMIFS('Bilateral Assistance, MAIN DATA'!$N:$N,'Bilateral Assistance, MAIN DATA'!$B:$B,'Share, Heavy Weapons to Ukraine'!$B13,'Bilateral Assistance, MAIN DATA'!$AO:$AO,"227mm MLRS")</f>
        <v>3</v>
      </c>
      <c r="BH13" s="25">
        <f>SUMIFS('Bilateral Assistance, MAIN DATA'!$N:$N,'Bilateral Assistance, MAIN DATA'!$B:$B,'Share, Heavy Weapons to Ukraine'!$B13,'Bilateral Assistance, MAIN DATA'!$AO:$AO,'Share, Heavy Weapons to Ukraine'!BH$11)</f>
        <v>0</v>
      </c>
      <c r="BI13" s="25">
        <f>SUMIFS('Bilateral Assistance, MAIN DATA'!$N:$N,'Bilateral Assistance, MAIN DATA'!$B:$B,'Share, Heavy Weapons to Ukraine'!$B13,'Bilateral Assistance, MAIN DATA'!$AO:$AO,'Share, Heavy Weapons to Ukraine'!BI$11)</f>
        <v>0</v>
      </c>
      <c r="BJ13" s="25">
        <f>SUMIFS('Bilateral Assistance, MAIN DATA'!$N:$N,'Bilateral Assistance, MAIN DATA'!$B:$B,'Share, Heavy Weapons to Ukraine'!$B13,'Bilateral Assistance, MAIN DATA'!$AO:$AO,'Share, Heavy Weapons to Ukraine'!BJ$11)</f>
        <v>0</v>
      </c>
      <c r="BK13" s="25">
        <f>SUMIFS('Bilateral Assistance, MAIN DATA'!$N:$N,'Bilateral Assistance, MAIN DATA'!$B:$B,'Share, Heavy Weapons to Ukraine'!$B13,'Bilateral Assistance, MAIN DATA'!$AO:$AO,'Share, Heavy Weapons to Ukraine'!BK$11)</f>
        <v>0</v>
      </c>
      <c r="BL13" s="25">
        <f>SUMIFS('Bilateral Assistance, MAIN DATA'!$N:$N,'Bilateral Assistance, MAIN DATA'!$B:$B,'Share, Heavy Weapons to Ukraine'!$B13,'Bilateral Assistance, MAIN DATA'!$AO:$AO,'Share, Heavy Weapons to Ukraine'!BL$11)</f>
        <v>6</v>
      </c>
      <c r="BM13" s="410"/>
      <c r="BN13" s="261">
        <f>IF(VLOOKUP($B13,$B:W,COLUMN(W12)-1,FALSE)&lt;&gt;0,VLOOKUP($B13,$B:AL,COLUMN(AL12)-1,FALSE)/VLOOKUP($B13,$B:W,COLUMN(W12)-1,FALSE),IF(VLOOKUP($B13,$B:AL,COLUMN(AL12)-1,FALSE)&lt;&gt;0,"unknown",0))</f>
        <v>6.1674008810572688E-2</v>
      </c>
      <c r="BO13" s="261">
        <f>IF(VLOOKUP($B13,$B:X,COLUMN(X12)-1,FALSE)&lt;&gt;0,VLOOKUP($B13,$B:AM,COLUMN(AM12)-1,FALSE)/VLOOKUP($B13,$B:X,COLUMN(X12)-1,FALSE),IF(VLOOKUP($B13,$B:AM,COLUMN(AM12)-1,FALSE)&lt;&gt;0,"unknown",0))</f>
        <v>8.557457212713937E-2</v>
      </c>
      <c r="BP13" s="261">
        <f>IF(VLOOKUP($B13,$B:Y,COLUMN(Y12)-1,FALSE)&lt;&gt;0,VLOOKUP($B13,$B:AN,COLUMN(AN12)-1,FALSE)/VLOOKUP($B13,$B:Y,COLUMN(Y12)-1,FALSE),IF(VLOOKUP($B13,$B:AN,COLUMN(AN12)-1,FALSE)&lt;&gt;0,"unknown",0))</f>
        <v>0.20202020202020202</v>
      </c>
      <c r="BQ13" s="261">
        <f>IF(VLOOKUP($B13,$B:Z,COLUMN(Z12)-1,FALSE)&lt;&gt;0,VLOOKUP($B13,$B:AO,COLUMN(AO12)-1,FALSE)/VLOOKUP($B13,$B:Z,COLUMN(Z12)-1,FALSE),IF(VLOOKUP($B13,$B:AO,COLUMN(AO12)-1,FALSE)&lt;&gt;0,"unknown",0))</f>
        <v>3.9619651347068147E-3</v>
      </c>
      <c r="BR13" s="261">
        <f>IF(VLOOKUP($B13,$B:AA,COLUMN(AA12)-1,FALSE)&lt;&gt;0,VLOOKUP($B13,$B:AP,COLUMN(AP12)-1,FALSE)/VLOOKUP($B13,$B:AA,COLUMN(AA12)-1,FALSE),IF(VLOOKUP($B13,$B:AP,COLUMN(AP12)-1,FALSE)&lt;&gt;0,"unknown",0))</f>
        <v>0</v>
      </c>
      <c r="BS13" s="261">
        <f>IF(VLOOKUP($B13,$B:AB,COLUMN(AB12)-1,FALSE)&lt;&gt;0,VLOOKUP($B13,$B:AQ,COLUMN(AQ12)-1,FALSE)/VLOOKUP($B13,$B:AB,COLUMN(AB12)-1,FALSE),IF(VLOOKUP($B13,$B:AQ,COLUMN(AQ12)-1,FALSE)&lt;&gt;0,"unknown",0))</f>
        <v>4.8879837067209775E-2</v>
      </c>
      <c r="BT13" s="261">
        <f>IF(VLOOKUP($B13,$B:AC,COLUMN(AC12)-1,FALSE)&lt;&gt;0,VLOOKUP($B13,$B:AR,COLUMN(AR12)-1,FALSE)/VLOOKUP($B13,$B:AC,COLUMN(AC12)-1,FALSE),IF(VLOOKUP($B13,$B:AR,COLUMN(AR12)-1,FALSE)&lt;&gt;0,"unknown",0))</f>
        <v>0.49572649572649574</v>
      </c>
      <c r="BU13" s="261">
        <f>IF(VLOOKUP($B13,$B:AD,COLUMN(AD12)-1,FALSE)&lt;&gt;0,VLOOKUP($B13,$B:AS,COLUMN(AS12)-1,FALSE)/VLOOKUP($B13,$B:AD,COLUMN(AD12)-1,FALSE),IF(VLOOKUP($B13,$B:AS,COLUMN(AS12)-1,FALSE)&lt;&gt;0,"unknown",0))</f>
        <v>0.17142857142857143</v>
      </c>
      <c r="BV13" s="261">
        <f>IF(VLOOKUP($B13,$B:AE,COLUMN(AE12)-1,FALSE)&lt;&gt;0,VLOOKUP($B13,$B:AT,COLUMN(AT12)-1,FALSE)/VLOOKUP($B13,$B:AE,COLUMN(AE12)-1,FALSE),IF(VLOOKUP($B13,$B:AT,COLUMN(AT12)-1,FALSE)&lt;&gt;0,"unknown",0))</f>
        <v>0</v>
      </c>
      <c r="BW13" s="261">
        <f>IF(VLOOKUP($B13,$B:AG,COLUMN(AG12)-1,FALSE)&lt;&gt;0,VLOOKUP($B13,$B:AU,COLUMN(AU12)-1,FALSE)/VLOOKUP($B13,$B:AG,COLUMN(AG12)-1,FALSE),IF(VLOOKUP($B13,$B:AU,COLUMN(AU12)-1,FALSE)&lt;&gt;0,"unknown",0))</f>
        <v>0</v>
      </c>
      <c r="BX13" s="261">
        <f>IF(VLOOKUP($B13,$B:AH,COLUMN(AH12)-1,FALSE)&lt;&gt;0,VLOOKUP($B13,$B:AV,COLUMN(AV12)-1,FALSE)/VLOOKUP($B13,$B:AH,COLUMN(AH12)-1,FALSE),IF(VLOOKUP($B13,$B:AV,COLUMN(AV12)-1,FALSE)&lt;&gt;0,"unknown",0))</f>
        <v>0</v>
      </c>
      <c r="BY13" s="261">
        <f>IF(VLOOKUP($B13,$B:AI,COLUMN(AI12)-1,FALSE)&lt;&gt;0,VLOOKUP($B13,$B:AW,COLUMN(AW12)-1,FALSE)/VLOOKUP($B13,$B:AI,COLUMN(AI12)-1,FALSE),IF(VLOOKUP($B13,$B:AW,COLUMN(AW12)-1,FALSE)&lt;&gt;0,"unknown",0))</f>
        <v>0</v>
      </c>
      <c r="BZ13" s="261">
        <f>IF(VLOOKUP($B13,$B:AJ,COLUMN(AJ12)-1,FALSE)&lt;&gt;0,VLOOKUP($B13,$B:AX,COLUMN(AX12)-1,FALSE)/VLOOKUP($B13,$B:AJ,COLUMN(AJ12)-1,FALSE),IF(VLOOKUP($B13,$B:AX,COLUMN(AX12)-1,FALSE)&lt;&gt;0,"unknown",0))</f>
        <v>8.1081081081081086E-2</v>
      </c>
      <c r="CA13" s="410"/>
      <c r="CB13" s="2">
        <f>IF(VLOOKUP($B13,$B:AM,COLUMN(W12)-1,FALSE)&lt;&gt;0,VLOOKUP($B13,$B:BA,COLUMN(AZ12)-1,FALSE)/VLOOKUP($B13,$B:AM,COLUMN(W12)-1,FALSE),IF(VLOOKUP($B13,$B:BA,COLUMN(AZ12)-1,FALSE)&lt;&gt;0,"unknown",0))</f>
        <v>6.1674008810572688E-2</v>
      </c>
      <c r="CC13" s="2">
        <f>IF(VLOOKUP($B13,$B:AN,COLUMN(X12)-1,FALSE)&lt;&gt;0,VLOOKUP($B13,$B:BB,COLUMN(BA12)-1,FALSE)/VLOOKUP($B13,$B:AN,COLUMN(X12)-1,FALSE),IF(VLOOKUP($B13,$B:BB,COLUMN(BA12)-1,FALSE)&lt;&gt;0,"unknown",0))</f>
        <v>8.557457212713937E-2</v>
      </c>
      <c r="CD13" s="2">
        <f>IF(VLOOKUP($B13,$B:AO,COLUMN(Y12)-1,FALSE)&lt;&gt;0,VLOOKUP($B13,$B:BC,COLUMN(BB12)-1,FALSE)/VLOOKUP($B13,$B:AO,COLUMN(Y12)-1,FALSE),IF(VLOOKUP($B13,$B:BC,COLUMN(BB12)-1,FALSE)&lt;&gt;0,"unknown",0))</f>
        <v>0.20202020202020202</v>
      </c>
      <c r="CE13" s="2">
        <f>IF(VLOOKUP($B13,$B:AP,COLUMN(Z12)-1,FALSE)&lt;&gt;0,VLOOKUP($B13,$B:BD,COLUMN(BC12)-1,FALSE)/VLOOKUP($B13,$B:AP,COLUMN(Z12)-1,FALSE),IF(VLOOKUP($B13,$B:BD,COLUMN(BC12)-1,FALSE)&lt;&gt;0,"unknown",0))</f>
        <v>3.9619651347068147E-3</v>
      </c>
      <c r="CF13" s="2">
        <f>IF(VLOOKUP($B13,$B:AR,COLUMN(AA12)-1,FALSE)&lt;&gt;0,VLOOKUP($B13,$B:BF,COLUMN(BD12)-1,FALSE)/VLOOKUP($B13,$B:AR,COLUMN(AA12)-1,FALSE),IF(VLOOKUP($B13,$B:BF,COLUMN(BD12)-1,FALSE)&lt;&gt;0,"unknown",0))</f>
        <v>0</v>
      </c>
      <c r="CG13" s="2">
        <f>IF(VLOOKUP($B13,$B:AS,COLUMN(AB12)-1,FALSE)&lt;&gt;0,VLOOKUP($B13,$B:BG,COLUMN(BE12)-1,FALSE)/VLOOKUP($B13,$B:AS,COLUMN(AB12)-1,FALSE),IF(VLOOKUP($B13,$B:BG,COLUMN(BE12)-1,FALSE)&lt;&gt;0,"unknown",0))</f>
        <v>4.8879837067209775E-2</v>
      </c>
      <c r="CH13" s="2">
        <f>IF(VLOOKUP($B13,$B:AS,COLUMN(AC12)-1,FALSE)&lt;&gt;0,VLOOKUP($B13,$B:BG,COLUMN(BF12)-1,FALSE)/VLOOKUP($B13,$B:AS,COLUMN(AC12)-1,FALSE),IF(VLOOKUP($B13,$B:BG,COLUMN(BF12)-1,FALSE)&lt;&gt;0,"unknown",0))</f>
        <v>0.23931623931623933</v>
      </c>
      <c r="CI13" s="2">
        <f>IF(VLOOKUP($B13,$B:AT,COLUMN(AD12)-1,FALSE)&lt;&gt;0,VLOOKUP($B13,$B:BH,COLUMN(BG12)-1,FALSE)/VLOOKUP($B13,$B:AT,COLUMN(AD12)-1,FALSE),IF(VLOOKUP($B13,$B:BH,COLUMN(BG12)-1,FALSE)&lt;&gt;0,"unknown",0))</f>
        <v>8.5714285714285715E-2</v>
      </c>
      <c r="CJ13" s="2">
        <f>IF(VLOOKUP($B13,$B:AT,COLUMN(AE12)-1,FALSE)&lt;&gt;0,VLOOKUP($B13,$B:BH,COLUMN(BH12)-1,FALSE)/VLOOKUP($B13,$B:AT,COLUMN(AE12)-1,FALSE),IF(VLOOKUP($B13,$B:BH,COLUMN(BH12)-1,FALSE)&lt;&gt;0,"unknown",0))</f>
        <v>0</v>
      </c>
      <c r="CK13" s="2">
        <f>IF(VLOOKUP($B13,$B:AU,COLUMN(AG12)-1,FALSE)&lt;&gt;0,VLOOKUP($B13,$B:BI,COLUMN(BI12)-1,FALSE)/VLOOKUP($B13,$B:AU,COLUMN(AG12)-1,FALSE),IF(VLOOKUP($B13,$B:BI,COLUMN(BI12)-1,FALSE)&lt;&gt;0,"unknown",0))</f>
        <v>0</v>
      </c>
      <c r="CL13" s="2">
        <f>IF(VLOOKUP($B13,$B:AV,COLUMN(AH12)-1,FALSE)&lt;&gt;0,VLOOKUP($B13,$B:BJ,COLUMN(BJ12)-1,FALSE)/VLOOKUP($B13,$B:AV,COLUMN(AH12)-1,FALSE),IF(VLOOKUP($B13,$B:BJ,COLUMN(BJ12)-1,FALSE)&lt;&gt;0,"unknown",0))</f>
        <v>0</v>
      </c>
      <c r="CM13" s="2">
        <f>IF(VLOOKUP($B13,$B:AW,COLUMN(AI12)-1,FALSE)&lt;&gt;0,VLOOKUP($B13,$B:BK,COLUMN(BK12)-1,FALSE)/VLOOKUP($B13,$B:AW,COLUMN(AI12)-1,FALSE),IF(VLOOKUP($B13,$B:BK,COLUMN(BK12)-1,FALSE)&lt;&gt;0,"unknown",0))</f>
        <v>0</v>
      </c>
      <c r="CN13" s="2">
        <f>IF(VLOOKUP($B13,$B:AX,COLUMN(AJ12)-1,FALSE)&lt;&gt;0,VLOOKUP($B13,$B:BL,COLUMN(BL12)-1,FALSE)/VLOOKUP($B13,$B:AX,COLUMN(AJ12)-1,FALSE),IF(VLOOKUP($B13,$B:BL,COLUMN(BL12)-1,FALSE)&lt;&gt;0,"unknown",0))</f>
        <v>8.1081081081081086E-2</v>
      </c>
      <c r="CO13" s="410"/>
      <c r="CP13" s="2">
        <f>SUMIFS('Bilateral Assistance, MAIN DATA'!$M:$M,'Bilateral Assistance, MAIN DATA'!$B:$B,'Share, Heavy Weapons to Ukraine'!$B13,'Bilateral Assistance, MAIN DATA'!$AO:$AO,'Share, Heavy Weapons to Ukraine'!CP$11, 'Bilateral Assistance, MAIN DATA'!$AA:$AA,1)</f>
        <v>0</v>
      </c>
      <c r="CQ13" s="2">
        <f>SUMIFS('Bilateral Assistance, MAIN DATA'!$M:$M,'Bilateral Assistance, MAIN DATA'!$B:$B,'Share, Heavy Weapons to Ukraine'!$B13,'Bilateral Assistance, MAIN DATA'!$AO:$AO,'Share, Heavy Weapons to Ukraine'!CQ$11, 'Bilateral Assistance, MAIN DATA'!$AA:$AA,1)</f>
        <v>0</v>
      </c>
      <c r="CR13" s="2">
        <f>SUMIFS('Bilateral Assistance, MAIN DATA'!$M:$M,'Bilateral Assistance, MAIN DATA'!$B:$B,'Share, Heavy Weapons to Ukraine'!$B13,'Bilateral Assistance, MAIN DATA'!$AO:$AO,'Share, Heavy Weapons to Ukraine'!CR$11, 'Bilateral Assistance, MAIN DATA'!$AA:$AA,1)</f>
        <v>0</v>
      </c>
      <c r="CS13" s="2">
        <f>SUMIFS('Bilateral Assistance, MAIN DATA'!$M:$M,'Bilateral Assistance, MAIN DATA'!$B:$B,'Share, Heavy Weapons to Ukraine'!$B13,'Bilateral Assistance, MAIN DATA'!$AO:$AO,'Share, Heavy Weapons to Ukraine'!CS$11, 'Bilateral Assistance, MAIN DATA'!$AA:$AA,1)</f>
        <v>0</v>
      </c>
      <c r="CT13" s="410"/>
      <c r="CU13" s="2">
        <f>SUMIFS('Bilateral Assistance, MAIN DATA'!$N:$N,'Bilateral Assistance, MAIN DATA'!$B:$B,'Share, Heavy Weapons to Ukraine'!$B13,'Bilateral Assistance, MAIN DATA'!$AO:$AO,'Share, Heavy Weapons to Ukraine'!CU$11, 'Bilateral Assistance, MAIN DATA'!$AA:$AA,1)</f>
        <v>0</v>
      </c>
      <c r="CV13" s="2">
        <f>SUMIFS('Bilateral Assistance, MAIN DATA'!$N:$N,'Bilateral Assistance, MAIN DATA'!$B:$B,'Share, Heavy Weapons to Ukraine'!$B13,'Bilateral Assistance, MAIN DATA'!$AO:$AO,'Share, Heavy Weapons to Ukraine'!CV$11, 'Bilateral Assistance, MAIN DATA'!$AA:$AA,1)</f>
        <v>0</v>
      </c>
      <c r="CW13" s="2">
        <f>SUMIFS('Bilateral Assistance, MAIN DATA'!$N:$N,'Bilateral Assistance, MAIN DATA'!$B:$B,'Share, Heavy Weapons to Ukraine'!$B13,'Bilateral Assistance, MAIN DATA'!$AO:$AO,'Share, Heavy Weapons to Ukraine'!CW$11, 'Bilateral Assistance, MAIN DATA'!$AA:$AA,1)</f>
        <v>0</v>
      </c>
      <c r="CX13" s="2">
        <f>SUMIFS('Bilateral Assistance, MAIN DATA'!$N:$N,'Bilateral Assistance, MAIN DATA'!$B:$B,'Share, Heavy Weapons to Ukraine'!$B13,'Bilateral Assistance, MAIN DATA'!$AO:$AO,'Share, Heavy Weapons to Ukraine'!CX$11, 'Bilateral Assistance, MAIN DATA'!$AA:$AA,1)</f>
        <v>0</v>
      </c>
    </row>
    <row r="14" spans="2:103" ht="15.6">
      <c r="B14" s="409" t="s">
        <v>1523</v>
      </c>
      <c r="C14" s="409">
        <v>0</v>
      </c>
      <c r="D14" s="2">
        <v>1</v>
      </c>
      <c r="E14" s="410"/>
      <c r="F14" s="569" t="s">
        <v>364</v>
      </c>
      <c r="G14" s="569" t="s">
        <v>364</v>
      </c>
      <c r="H14" s="569" t="s">
        <v>364</v>
      </c>
      <c r="I14" s="569" t="s">
        <v>364</v>
      </c>
      <c r="J14" s="569" t="s">
        <v>364</v>
      </c>
      <c r="K14" s="569" t="s">
        <v>364</v>
      </c>
      <c r="L14" s="569" t="s">
        <v>364</v>
      </c>
      <c r="M14" s="569" t="s">
        <v>364</v>
      </c>
      <c r="N14" s="569" t="s">
        <v>364</v>
      </c>
      <c r="O14" s="569" t="s">
        <v>364</v>
      </c>
      <c r="P14" s="569" t="s">
        <v>364</v>
      </c>
      <c r="Q14" s="569" t="s">
        <v>364</v>
      </c>
      <c r="R14" s="569" t="s">
        <v>364</v>
      </c>
      <c r="S14" s="569" t="s">
        <v>364</v>
      </c>
      <c r="T14" s="569" t="s">
        <v>364</v>
      </c>
      <c r="U14" s="410" t="str">
        <f>""</f>
        <v/>
      </c>
      <c r="V14" s="1334">
        <v>59.3</v>
      </c>
      <c r="W14" s="1334">
        <f>VLOOKUP(B14,'Heavy Weapon Stocks'!B:OA,COLUMN('Heavy Weapon Stocks'!$C$11)-1,FALSE)+IF(F14&lt;&gt;".",F14,0)</f>
        <v>222</v>
      </c>
      <c r="X14" s="1334">
        <f>VLOOKUP(B14,'Heavy Weapon Stocks'!B:OA,COLUMN('Heavy Weapon Stocks'!$AQ$11)-1,FALSE)</f>
        <v>2596</v>
      </c>
      <c r="Y14" s="1334">
        <f>VLOOKUP(B14,'Heavy Weapon Stocks'!B:OA,COLUMN('Heavy Weapon Stocks'!$DK$11)-1,FALSE)</f>
        <v>20</v>
      </c>
      <c r="Z14" s="1334">
        <f>VLOOKUP(B14,'Heavy Weapon Stocks'!B:OA,COLUMN('Heavy Weapon Stocks'!$DY$11)-1,FALSE)</f>
        <v>0</v>
      </c>
      <c r="AA14" s="1334">
        <f>VLOOKUP(B14,'Heavy Weapon Stocks'!B:OA,COLUMN('Heavy Weapon Stocks'!$FA$11)-1,FALSE)+IF(G14&lt;&gt;".",G14,0)</f>
        <v>706</v>
      </c>
      <c r="AB14" s="1334">
        <f t="shared" ref="AB14:AB45" si="3">SUM(X14:AA14)</f>
        <v>3322</v>
      </c>
      <c r="AC14" s="1334">
        <f>VLOOKUP(B14,'Heavy Weapon Stocks'!B:OA,COLUMN('Heavy Weapon Stocks'!$GV$11)-1,FALSE)+VLOOKUP(B14,'Heavy Weapon Stocks'!B:OA,COLUMN('Heavy Weapon Stocks'!$HY$11)-1,FALSE)+IF(H14&lt;&gt;".",H14,0)</f>
        <v>120</v>
      </c>
      <c r="AD14" s="1334">
        <f>VLOOKUP(B14,'Heavy Weapon Stocks'!B:OA,COLUMN('Heavy Weapon Stocks'!$IF$11)-1,FALSE)+IF(I14&lt;&gt;".",I14,0)</f>
        <v>13</v>
      </c>
      <c r="AE14" s="1334">
        <f>VLOOKUP(B14,'Heavy Weapon Stocks'!B:OA,COLUMN('Heavy Weapon Stocks'!$IZ$11)-1,FALSE)+VLOOKUP(B14,'Heavy Weapon Stocks'!B:OA,COLUMN('Heavy Weapon Stocks'!$JW$11)-1,FALSE)</f>
        <v>250</v>
      </c>
      <c r="AF14" s="1334">
        <f>VLOOKUP(B14,'Heavy Weapon Stocks'!B:OA,COLUMN('Heavy Weapon Stocks'!$NL$11)-1,FALSE)+IF(L14&lt;&gt;".",L14,0)</f>
        <v>0</v>
      </c>
      <c r="AG14" s="1334">
        <f>VLOOKUP(B14,'Heavy Weapon Stocks'!B:OA,COLUMN('Heavy Weapon Stocks'!$LN$11)-1,FALSE)+IF(M14&lt;&gt;".",M14,0)</f>
        <v>40</v>
      </c>
      <c r="AH14" s="1334">
        <f>VLOOKUP(B14,'Heavy Weapon Stocks'!B:OA,COLUMN('Heavy Weapon Stocks'!$LX$11)-1,FALSE)+IF(N14&lt;&gt;".",N14,0)</f>
        <v>0</v>
      </c>
      <c r="AI14" s="1334">
        <f>VLOOKUP(B14,'Heavy Weapon Stocks'!B:OA,COLUMN('Heavy Weapon Stocks'!$ME$11)-1,FALSE)+IF(O14&lt;&gt;".",O14,0)</f>
        <v>24</v>
      </c>
      <c r="AJ14" s="1334">
        <f>VLOOKUP(B14,'Heavy Weapon Stocks'!B:OA,COLUMN('Heavy Weapon Stocks'!$NK$11)-1,FALSE)+IF(P14&lt;&gt;".",P14,0)</f>
        <v>0</v>
      </c>
      <c r="AK14" s="410"/>
      <c r="AL14" s="25">
        <f>SUMIFS('Bilateral Assistance, MAIN DATA'!$M:$M,'Bilateral Assistance, MAIN DATA'!$B:$B,'Share, Heavy Weapons to Ukraine'!$B14,'Bilateral Assistance, MAIN DATA'!$AO:$AO,'Share, Heavy Weapons to Ukraine'!AL$11)</f>
        <v>0</v>
      </c>
      <c r="AM14" s="25">
        <f>SUMIFS('Bilateral Assistance, MAIN DATA'!$M:$M,'Bilateral Assistance, MAIN DATA'!$B:$B,'Share, Heavy Weapons to Ukraine'!$B14,'Bilateral Assistance, MAIN DATA'!$AO:$AO,'Share, Heavy Weapons to Ukraine'!AM$11)</f>
        <v>60</v>
      </c>
      <c r="AN14" s="25">
        <f>SUMIFS('Bilateral Assistance, MAIN DATA'!$M:$M,'Bilateral Assistance, MAIN DATA'!$B:$B,'Share, Heavy Weapons to Ukraine'!$B14,'Bilateral Assistance, MAIN DATA'!$AO:$AO,'Share, Heavy Weapons to Ukraine'!AN$11)</f>
        <v>0</v>
      </c>
      <c r="AO14" s="25">
        <f>SUMIFS('Bilateral Assistance, MAIN DATA'!$M:$M,'Bilateral Assistance, MAIN DATA'!$B:$B,'Share, Heavy Weapons to Ukraine'!$B14,'Bilateral Assistance, MAIN DATA'!$AO:$AO,'Share, Heavy Weapons to Ukraine'!AO$11)</f>
        <v>0</v>
      </c>
      <c r="AP14" s="25">
        <f>SUMIFS('Bilateral Assistance, MAIN DATA'!$M:$M,'Bilateral Assistance, MAIN DATA'!$B:$B,'Share, Heavy Weapons to Ukraine'!$B14,'Bilateral Assistance, MAIN DATA'!$AO:$AO,'Share, Heavy Weapons to Ukraine'!AP$11)</f>
        <v>0</v>
      </c>
      <c r="AQ14" s="25">
        <f t="shared" si="1"/>
        <v>60</v>
      </c>
      <c r="AR14" s="25">
        <f>SUMIFS('Bilateral Assistance, MAIN DATA'!$M:$M,'Bilateral Assistance, MAIN DATA'!$B:$B,'Share, Heavy Weapons to Ukraine'!$B14,'Bilateral Assistance, MAIN DATA'!$AO:$AO,"155mm howitzer")+SUMIFS('Bilateral Assistance, MAIN DATA'!$M:$M,'Bilateral Assistance, MAIN DATA'!$B:$B,'Share, Heavy Weapons to Ukraine'!$B14,'Bilateral Assistance, MAIN DATA'!$AO:$AO,"152mm howitzer")</f>
        <v>30</v>
      </c>
      <c r="AS14" s="25">
        <f>SUMIFS('Bilateral Assistance, MAIN DATA'!$M:$M,'Bilateral Assistance, MAIN DATA'!$B:$B,'Share, Heavy Weapons to Ukraine'!$B14,'Bilateral Assistance, MAIN DATA'!$AO:$AO,"122mm MLRS")+SUMIFS('Bilateral Assistance, MAIN DATA'!$M:$M,'Bilateral Assistance, MAIN DATA'!$B:$B,'Share, Heavy Weapons to Ukraine'!$B14,'Bilateral Assistance, MAIN DATA'!$AO:$AO,"127mm MLRS")+SUMIFS('Bilateral Assistance, MAIN DATA'!$M:$M,'Bilateral Assistance, MAIN DATA'!$B:$B,'Share, Heavy Weapons to Ukraine'!$B14,'Bilateral Assistance, MAIN DATA'!$AO:$AO,"227mm MLRS")</f>
        <v>2</v>
      </c>
      <c r="AT14" s="25">
        <f>SUMIFS('Bilateral Assistance, MAIN DATA'!$M:$M,'Bilateral Assistance, MAIN DATA'!$B:$B,'Share, Heavy Weapons to Ukraine'!$B14,'Bilateral Assistance, MAIN DATA'!$AO:$AO,'Share, Heavy Weapons to Ukraine'!AT$11)</f>
        <v>0</v>
      </c>
      <c r="AU14" s="25">
        <f>SUMIFS('Bilateral Assistance, MAIN DATA'!$M:$M,'Bilateral Assistance, MAIN DATA'!$B:$B,'Share, Heavy Weapons to Ukraine'!$B14,'Bilateral Assistance, MAIN DATA'!$AO:$AO,'Share, Heavy Weapons to Ukraine'!AU$11)</f>
        <v>0</v>
      </c>
      <c r="AV14" s="25">
        <f>SUMIFS('Bilateral Assistance, MAIN DATA'!$M:$M,'Bilateral Assistance, MAIN DATA'!$B:$B,'Share, Heavy Weapons to Ukraine'!$B14,'Bilateral Assistance, MAIN DATA'!$AO:$AO,'Share, Heavy Weapons to Ukraine'!AV$11)</f>
        <v>0</v>
      </c>
      <c r="AW14" s="25">
        <f>SUMIFS('Bilateral Assistance, MAIN DATA'!$M:$M,'Bilateral Assistance, MAIN DATA'!$B:$B,'Share, Heavy Weapons to Ukraine'!$B14,'Bilateral Assistance, MAIN DATA'!$AO:$AO,'Share, Heavy Weapons to Ukraine'!AW$11)</f>
        <v>2</v>
      </c>
      <c r="AX14" s="25">
        <f>SUMIFS('Bilateral Assistance, MAIN DATA'!$M:$M,'Bilateral Assistance, MAIN DATA'!$B:$B,'Share, Heavy Weapons to Ukraine'!$B14,'Bilateral Assistance, MAIN DATA'!$AO:$AO,'Share, Heavy Weapons to Ukraine'!AX$11)</f>
        <v>0</v>
      </c>
      <c r="AY14" s="410"/>
      <c r="AZ14" s="25">
        <f>SUMIFS('Bilateral Assistance, MAIN DATA'!$N:$N,'Bilateral Assistance, MAIN DATA'!$B:$B,'Share, Heavy Weapons to Ukraine'!$B14,'Bilateral Assistance, MAIN DATA'!$AO:$AO,'Share, Heavy Weapons to Ukraine'!AZ$11)</f>
        <v>0</v>
      </c>
      <c r="BA14" s="25">
        <f>SUMIFS('Bilateral Assistance, MAIN DATA'!$N:$N,'Bilateral Assistance, MAIN DATA'!$B:$B,'Share, Heavy Weapons to Ukraine'!$B14,'Bilateral Assistance, MAIN DATA'!$AO:$AO,'Share, Heavy Weapons to Ukraine'!BA$11)</f>
        <v>60</v>
      </c>
      <c r="BB14" s="25">
        <f>SUMIFS('Bilateral Assistance, MAIN DATA'!$N:$N,'Bilateral Assistance, MAIN DATA'!$B:$B,'Share, Heavy Weapons to Ukraine'!$B14,'Bilateral Assistance, MAIN DATA'!$AO:$AO,'Share, Heavy Weapons to Ukraine'!BB$11)</f>
        <v>0</v>
      </c>
      <c r="BC14" s="25">
        <f>SUMIFS('Bilateral Assistance, MAIN DATA'!$N:$N,'Bilateral Assistance, MAIN DATA'!$B:$B,'Share, Heavy Weapons to Ukraine'!$B14,'Bilateral Assistance, MAIN DATA'!$AO:$AO,'Share, Heavy Weapons to Ukraine'!BC$11)</f>
        <v>0</v>
      </c>
      <c r="BD14" s="25">
        <f>SUMIFS('Bilateral Assistance, MAIN DATA'!$N:$N,'Bilateral Assistance, MAIN DATA'!$B:$B,'Share, Heavy Weapons to Ukraine'!$B14,'Bilateral Assistance, MAIN DATA'!$AO:$AO,'Share, Heavy Weapons to Ukraine'!BD$11)</f>
        <v>0</v>
      </c>
      <c r="BE14" s="25">
        <f t="shared" si="2"/>
        <v>60</v>
      </c>
      <c r="BF14" s="25">
        <f>SUMIFS('Bilateral Assistance, MAIN DATA'!$N:$N,'Bilateral Assistance, MAIN DATA'!$B:$B,'Share, Heavy Weapons to Ukraine'!$B14,'Bilateral Assistance, MAIN DATA'!$AO:$AO,"155mm howitzer")+SUMIFS('Bilateral Assistance, MAIN DATA'!$N:$N,'Bilateral Assistance, MAIN DATA'!$B:$B,'Share, Heavy Weapons to Ukraine'!$B14,'Bilateral Assistance, MAIN DATA'!$AO:$AO,"152mm howitzer")</f>
        <v>18</v>
      </c>
      <c r="BG14" s="25">
        <f>SUMIFS('Bilateral Assistance, MAIN DATA'!$N:$N,'Bilateral Assistance, MAIN DATA'!$B:$B,'Share, Heavy Weapons to Ukraine'!$B14,'Bilateral Assistance, MAIN DATA'!$AO:$AO,"122mm MLRS")+SUMIFS('Bilateral Assistance, MAIN DATA'!$N:$N,'Bilateral Assistance, MAIN DATA'!$B:$B,'Share, Heavy Weapons to Ukraine'!$B14,'Bilateral Assistance, MAIN DATA'!$AO:$AO,"127mm MLRS")+SUMIFS('Bilateral Assistance, MAIN DATA'!$N:$N,'Bilateral Assistance, MAIN DATA'!$B:$B,'Share, Heavy Weapons to Ukraine'!$B14,'Bilateral Assistance, MAIN DATA'!$AO:$AO,"227mm MLRS")</f>
        <v>2</v>
      </c>
      <c r="BH14" s="25">
        <f>SUMIFS('Bilateral Assistance, MAIN DATA'!$N:$N,'Bilateral Assistance, MAIN DATA'!$B:$B,'Share, Heavy Weapons to Ukraine'!$B14,'Bilateral Assistance, MAIN DATA'!$AO:$AO,'Share, Heavy Weapons to Ukraine'!BH$11)</f>
        <v>0</v>
      </c>
      <c r="BI14" s="25">
        <f>SUMIFS('Bilateral Assistance, MAIN DATA'!$N:$N,'Bilateral Assistance, MAIN DATA'!$B:$B,'Share, Heavy Weapons to Ukraine'!$B14,'Bilateral Assistance, MAIN DATA'!$AO:$AO,'Share, Heavy Weapons to Ukraine'!BI$11)</f>
        <v>0</v>
      </c>
      <c r="BJ14" s="25">
        <f>SUMIFS('Bilateral Assistance, MAIN DATA'!$N:$N,'Bilateral Assistance, MAIN DATA'!$B:$B,'Share, Heavy Weapons to Ukraine'!$B14,'Bilateral Assistance, MAIN DATA'!$AO:$AO,'Share, Heavy Weapons to Ukraine'!BJ$11)</f>
        <v>0</v>
      </c>
      <c r="BK14" s="25">
        <f>SUMIFS('Bilateral Assistance, MAIN DATA'!$N:$N,'Bilateral Assistance, MAIN DATA'!$B:$B,'Share, Heavy Weapons to Ukraine'!$B14,'Bilateral Assistance, MAIN DATA'!$AO:$AO,'Share, Heavy Weapons to Ukraine'!BK$11)</f>
        <v>2</v>
      </c>
      <c r="BL14" s="25">
        <f>SUMIFS('Bilateral Assistance, MAIN DATA'!$N:$N,'Bilateral Assistance, MAIN DATA'!$B:$B,'Share, Heavy Weapons to Ukraine'!$B14,'Bilateral Assistance, MAIN DATA'!$AO:$AO,'Share, Heavy Weapons to Ukraine'!BL$11)</f>
        <v>0</v>
      </c>
      <c r="BM14" s="410"/>
      <c r="BN14" s="261">
        <f>IF(VLOOKUP($B14,$B:W,COLUMN(W13)-1,FALSE)&lt;&gt;0,VLOOKUP($B14,$B:AL,COLUMN(AL13)-1,FALSE)/VLOOKUP($B14,$B:W,COLUMN(W13)-1,FALSE),IF(VLOOKUP($B14,$B:AL,COLUMN(AL13)-1,FALSE)&lt;&gt;0,"unknown",0))</f>
        <v>0</v>
      </c>
      <c r="BO14" s="261">
        <f>IF(VLOOKUP($B14,$B:X,COLUMN(X13)-1,FALSE)&lt;&gt;0,VLOOKUP($B14,$B:AM,COLUMN(AM13)-1,FALSE)/VLOOKUP($B14,$B:X,COLUMN(X13)-1,FALSE),IF(VLOOKUP($B14,$B:AM,COLUMN(AM13)-1,FALSE)&lt;&gt;0,"unknown",0))</f>
        <v>2.3112480739599383E-2</v>
      </c>
      <c r="BP14" s="261">
        <f>IF(VLOOKUP($B14,$B:Y,COLUMN(Y13)-1,FALSE)&lt;&gt;0,VLOOKUP($B14,$B:AN,COLUMN(AN13)-1,FALSE)/VLOOKUP($B14,$B:Y,COLUMN(Y13)-1,FALSE),IF(VLOOKUP($B14,$B:AN,COLUMN(AN13)-1,FALSE)&lt;&gt;0,"unknown",0))</f>
        <v>0</v>
      </c>
      <c r="BQ14" s="261">
        <f>IF(VLOOKUP($B14,$B:Z,COLUMN(Z13)-1,FALSE)&lt;&gt;0,VLOOKUP($B14,$B:AO,COLUMN(AO13)-1,FALSE)/VLOOKUP($B14,$B:Z,COLUMN(Z13)-1,FALSE),IF(VLOOKUP($B14,$B:AO,COLUMN(AO13)-1,FALSE)&lt;&gt;0,"unknown",0))</f>
        <v>0</v>
      </c>
      <c r="BR14" s="261">
        <f>IF(VLOOKUP($B14,$B:AA,COLUMN(AA13)-1,FALSE)&lt;&gt;0,VLOOKUP($B14,$B:AP,COLUMN(AP13)-1,FALSE)/VLOOKUP($B14,$B:AA,COLUMN(AA13)-1,FALSE),IF(VLOOKUP($B14,$B:AP,COLUMN(AP13)-1,FALSE)&lt;&gt;0,"unknown",0))</f>
        <v>0</v>
      </c>
      <c r="BS14" s="261">
        <f>IF(VLOOKUP($B14,$B:AB,COLUMN(AB13)-1,FALSE)&lt;&gt;0,VLOOKUP($B14,$B:AQ,COLUMN(AQ13)-1,FALSE)/VLOOKUP($B14,$B:AB,COLUMN(AB13)-1,FALSE),IF(VLOOKUP($B14,$B:AQ,COLUMN(AQ13)-1,FALSE)&lt;&gt;0,"unknown",0))</f>
        <v>1.8061408789885613E-2</v>
      </c>
      <c r="BT14" s="261">
        <f>IF(VLOOKUP($B14,$B:AC,COLUMN(AC13)-1,FALSE)&lt;&gt;0,VLOOKUP($B14,$B:AR,COLUMN(AR13)-1,FALSE)/VLOOKUP($B14,$B:AC,COLUMN(AC13)-1,FALSE),IF(VLOOKUP($B14,$B:AR,COLUMN(AR13)-1,FALSE)&lt;&gt;0,"unknown",0))</f>
        <v>0.25</v>
      </c>
      <c r="BU14" s="261">
        <f>IF(VLOOKUP($B14,$B:AD,COLUMN(AD13)-1,FALSE)&lt;&gt;0,VLOOKUP($B14,$B:AS,COLUMN(AS13)-1,FALSE)/VLOOKUP($B14,$B:AD,COLUMN(AD13)-1,FALSE),IF(VLOOKUP($B14,$B:AS,COLUMN(AS13)-1,FALSE)&lt;&gt;0,"unknown",0))</f>
        <v>0.15384615384615385</v>
      </c>
      <c r="BV14" s="261">
        <f>IF(VLOOKUP($B14,$B:AE,COLUMN(AE13)-1,FALSE)&lt;&gt;0,VLOOKUP($B14,$B:AT,COLUMN(AT13)-1,FALSE)/VLOOKUP($B14,$B:AE,COLUMN(AE13)-1,FALSE),IF(VLOOKUP($B14,$B:AT,COLUMN(AT13)-1,FALSE)&lt;&gt;0,"unknown",0))</f>
        <v>0</v>
      </c>
      <c r="BW14" s="261">
        <f>IF(VLOOKUP($B14,$B:AG,COLUMN(AG13)-1,FALSE)&lt;&gt;0,VLOOKUP($B14,$B:AU,COLUMN(AU13)-1,FALSE)/VLOOKUP($B14,$B:AG,COLUMN(AG13)-1,FALSE),IF(VLOOKUP($B14,$B:AU,COLUMN(AU13)-1,FALSE)&lt;&gt;0,"unknown",0))</f>
        <v>0</v>
      </c>
      <c r="BX14" s="261">
        <f>IF(VLOOKUP($B14,$B:AH,COLUMN(AH13)-1,FALSE)&lt;&gt;0,VLOOKUP($B14,$B:AV,COLUMN(AV13)-1,FALSE)/VLOOKUP($B14,$B:AH,COLUMN(AH13)-1,FALSE),IF(VLOOKUP($B14,$B:AV,COLUMN(AV13)-1,FALSE)&lt;&gt;0,"unknown",0))</f>
        <v>0</v>
      </c>
      <c r="BY14" s="261">
        <f>IF(VLOOKUP($B14,$B:AI,COLUMN(AI13)-1,FALSE)&lt;&gt;0,VLOOKUP($B14,$B:AW,COLUMN(AW13)-1,FALSE)/VLOOKUP($B14,$B:AI,COLUMN(AI13)-1,FALSE),IF(VLOOKUP($B14,$B:AW,COLUMN(AW13)-1,FALSE)&lt;&gt;0,"unknown",0))</f>
        <v>8.3333333333333329E-2</v>
      </c>
      <c r="BZ14" s="261">
        <f>IF(VLOOKUP($B14,$B:AJ,COLUMN(AJ13)-1,FALSE)&lt;&gt;0,VLOOKUP($B14,$B:AX,COLUMN(AX13)-1,FALSE)/VLOOKUP($B14,$B:AJ,COLUMN(AJ13)-1,FALSE),IF(VLOOKUP($B14,$B:AX,COLUMN(AX13)-1,FALSE)&lt;&gt;0,"unknown",0))</f>
        <v>0</v>
      </c>
      <c r="CA14" s="410"/>
      <c r="CB14" s="2">
        <f>IF(VLOOKUP($B14,$B:AM,COLUMN(W13)-1,FALSE)&lt;&gt;0,VLOOKUP($B14,$B:BA,COLUMN(AZ13)-1,FALSE)/VLOOKUP($B14,$B:AM,COLUMN(W13)-1,FALSE),IF(VLOOKUP($B14,$B:BA,COLUMN(AZ13)-1,FALSE)&lt;&gt;0,"unknown",0))</f>
        <v>0</v>
      </c>
      <c r="CC14" s="2">
        <f>IF(VLOOKUP($B14,$B:AN,COLUMN(X13)-1,FALSE)&lt;&gt;0,VLOOKUP($B14,$B:BB,COLUMN(BA13)-1,FALSE)/VLOOKUP($B14,$B:AN,COLUMN(X13)-1,FALSE),IF(VLOOKUP($B14,$B:BB,COLUMN(BA13)-1,FALSE)&lt;&gt;0,"unknown",0))</f>
        <v>2.3112480739599383E-2</v>
      </c>
      <c r="CD14" s="2">
        <f>IF(VLOOKUP($B14,$B:AO,COLUMN(Y13)-1,FALSE)&lt;&gt;0,VLOOKUP($B14,$B:BC,COLUMN(BB13)-1,FALSE)/VLOOKUP($B14,$B:AO,COLUMN(Y13)-1,FALSE),IF(VLOOKUP($B14,$B:BC,COLUMN(BB13)-1,FALSE)&lt;&gt;0,"unknown",0))</f>
        <v>0</v>
      </c>
      <c r="CE14" s="2">
        <f>IF(VLOOKUP($B14,$B:AP,COLUMN(Z13)-1,FALSE)&lt;&gt;0,VLOOKUP($B14,$B:BD,COLUMN(BC13)-1,FALSE)/VLOOKUP($B14,$B:AP,COLUMN(Z13)-1,FALSE),IF(VLOOKUP($B14,$B:BD,COLUMN(BC13)-1,FALSE)&lt;&gt;0,"unknown",0))</f>
        <v>0</v>
      </c>
      <c r="CF14" s="2">
        <f>IF(VLOOKUP($B14,$B:AR,COLUMN(AA13)-1,FALSE)&lt;&gt;0,VLOOKUP($B14,$B:BF,COLUMN(BD13)-1,FALSE)/VLOOKUP($B14,$B:AR,COLUMN(AA13)-1,FALSE),IF(VLOOKUP($B14,$B:BF,COLUMN(BD13)-1,FALSE)&lt;&gt;0,"unknown",0))</f>
        <v>0</v>
      </c>
      <c r="CG14" s="2">
        <f>IF(VLOOKUP($B14,$B:AS,COLUMN(AB13)-1,FALSE)&lt;&gt;0,VLOOKUP($B14,$B:BG,COLUMN(BE13)-1,FALSE)/VLOOKUP($B14,$B:AS,COLUMN(AB13)-1,FALSE),IF(VLOOKUP($B14,$B:BG,COLUMN(BE13)-1,FALSE)&lt;&gt;0,"unknown",0))</f>
        <v>1.8061408789885613E-2</v>
      </c>
      <c r="CH14" s="2">
        <f>IF(VLOOKUP($B14,$B:AS,COLUMN(AC13)-1,FALSE)&lt;&gt;0,VLOOKUP($B14,$B:BG,COLUMN(BF13)-1,FALSE)/VLOOKUP($B14,$B:AS,COLUMN(AC13)-1,FALSE),IF(VLOOKUP($B14,$B:BG,COLUMN(BF13)-1,FALSE)&lt;&gt;0,"unknown",0))</f>
        <v>0.15</v>
      </c>
      <c r="CI14" s="2">
        <f>IF(VLOOKUP($B14,$B:AT,COLUMN(AD13)-1,FALSE)&lt;&gt;0,VLOOKUP($B14,$B:BH,COLUMN(BG13)-1,FALSE)/VLOOKUP($B14,$B:AT,COLUMN(AD13)-1,FALSE),IF(VLOOKUP($B14,$B:BH,COLUMN(BG13)-1,FALSE)&lt;&gt;0,"unknown",0))</f>
        <v>0.15384615384615385</v>
      </c>
      <c r="CJ14" s="2">
        <f>IF(VLOOKUP($B14,$B:AT,COLUMN(AE13)-1,FALSE)&lt;&gt;0,VLOOKUP($B14,$B:BH,COLUMN(BH13)-1,FALSE)/VLOOKUP($B14,$B:AT,COLUMN(AE13)-1,FALSE),IF(VLOOKUP($B14,$B:BH,COLUMN(BH13)-1,FALSE)&lt;&gt;0,"unknown",0))</f>
        <v>0</v>
      </c>
      <c r="CK14" s="2">
        <f>IF(VLOOKUP($B14,$B:AU,COLUMN(AG13)-1,FALSE)&lt;&gt;0,VLOOKUP($B14,$B:BI,COLUMN(BI13)-1,FALSE)/VLOOKUP($B14,$B:AU,COLUMN(AG13)-1,FALSE),IF(VLOOKUP($B14,$B:BI,COLUMN(BI13)-1,FALSE)&lt;&gt;0,"unknown",0))</f>
        <v>0</v>
      </c>
      <c r="CL14" s="2">
        <f>IF(VLOOKUP($B14,$B:AV,COLUMN(AH13)-1,FALSE)&lt;&gt;0,VLOOKUP($B14,$B:BJ,COLUMN(BJ13)-1,FALSE)/VLOOKUP($B14,$B:AV,COLUMN(AH13)-1,FALSE),IF(VLOOKUP($B14,$B:BJ,COLUMN(BJ13)-1,FALSE)&lt;&gt;0,"unknown",0))</f>
        <v>0</v>
      </c>
      <c r="CM14" s="2">
        <f>IF(VLOOKUP($B14,$B:AW,COLUMN(AI13)-1,FALSE)&lt;&gt;0,VLOOKUP($B14,$B:BK,COLUMN(BK13)-1,FALSE)/VLOOKUP($B14,$B:AW,COLUMN(AI13)-1,FALSE),IF(VLOOKUP($B14,$B:BK,COLUMN(BK13)-1,FALSE)&lt;&gt;0,"unknown",0))</f>
        <v>8.3333333333333329E-2</v>
      </c>
      <c r="CN14" s="2">
        <f>IF(VLOOKUP($B14,$B:AX,COLUMN(AJ13)-1,FALSE)&lt;&gt;0,VLOOKUP($B14,$B:BL,COLUMN(BL13)-1,FALSE)/VLOOKUP($B14,$B:AX,COLUMN(AJ13)-1,FALSE),IF(VLOOKUP($B14,$B:BL,COLUMN(BL13)-1,FALSE)&lt;&gt;0,"unknown",0))</f>
        <v>0</v>
      </c>
      <c r="CO14" s="410"/>
      <c r="CP14" s="2">
        <f>SUMIFS('Bilateral Assistance, MAIN DATA'!$M:$M,'Bilateral Assistance, MAIN DATA'!$B:$B,'Share, Heavy Weapons to Ukraine'!$B14,'Bilateral Assistance, MAIN DATA'!$AO:$AO,'Share, Heavy Weapons to Ukraine'!CP$11, 'Bilateral Assistance, MAIN DATA'!$AA:$AA,1)</f>
        <v>0</v>
      </c>
      <c r="CQ14" s="2">
        <f>SUMIFS('Bilateral Assistance, MAIN DATA'!$M:$M,'Bilateral Assistance, MAIN DATA'!$B:$B,'Share, Heavy Weapons to Ukraine'!$B14,'Bilateral Assistance, MAIN DATA'!$AO:$AO,'Share, Heavy Weapons to Ukraine'!CQ$11, 'Bilateral Assistance, MAIN DATA'!$AA:$AA,1)</f>
        <v>0</v>
      </c>
      <c r="CR14" s="2">
        <f>SUMIFS('Bilateral Assistance, MAIN DATA'!$M:$M,'Bilateral Assistance, MAIN DATA'!$B:$B,'Share, Heavy Weapons to Ukraine'!$B14,'Bilateral Assistance, MAIN DATA'!$AO:$AO,'Share, Heavy Weapons to Ukraine'!CR$11, 'Bilateral Assistance, MAIN DATA'!$AA:$AA,1)</f>
        <v>0</v>
      </c>
      <c r="CS14" s="2">
        <f>SUMIFS('Bilateral Assistance, MAIN DATA'!$M:$M,'Bilateral Assistance, MAIN DATA'!$B:$B,'Share, Heavy Weapons to Ukraine'!$B14,'Bilateral Assistance, MAIN DATA'!$AO:$AO,'Share, Heavy Weapons to Ukraine'!CS$11, 'Bilateral Assistance, MAIN DATA'!$AA:$AA,1)</f>
        <v>0</v>
      </c>
      <c r="CT14" s="410"/>
      <c r="CU14" s="2">
        <f>SUMIFS('Bilateral Assistance, MAIN DATA'!$N:$N,'Bilateral Assistance, MAIN DATA'!$B:$B,'Share, Heavy Weapons to Ukraine'!$B14,'Bilateral Assistance, MAIN DATA'!$AO:$AO,'Share, Heavy Weapons to Ukraine'!CU$11, 'Bilateral Assistance, MAIN DATA'!$AA:$AA,1)</f>
        <v>0</v>
      </c>
      <c r="CV14" s="2">
        <f>SUMIFS('Bilateral Assistance, MAIN DATA'!$N:$N,'Bilateral Assistance, MAIN DATA'!$B:$B,'Share, Heavy Weapons to Ukraine'!$B14,'Bilateral Assistance, MAIN DATA'!$AO:$AO,'Share, Heavy Weapons to Ukraine'!CV$11, 'Bilateral Assistance, MAIN DATA'!$AA:$AA,1)</f>
        <v>0</v>
      </c>
      <c r="CW14" s="2">
        <f>SUMIFS('Bilateral Assistance, MAIN DATA'!$N:$N,'Bilateral Assistance, MAIN DATA'!$B:$B,'Share, Heavy Weapons to Ukraine'!$B14,'Bilateral Assistance, MAIN DATA'!$AO:$AO,'Share, Heavy Weapons to Ukraine'!CW$11, 'Bilateral Assistance, MAIN DATA'!$AA:$AA,1)</f>
        <v>0</v>
      </c>
      <c r="CX14" s="2">
        <f>SUMIFS('Bilateral Assistance, MAIN DATA'!$N:$N,'Bilateral Assistance, MAIN DATA'!$B:$B,'Share, Heavy Weapons to Ukraine'!$B14,'Bilateral Assistance, MAIN DATA'!$AO:$AO,'Share, Heavy Weapons to Ukraine'!CX$11, 'Bilateral Assistance, MAIN DATA'!$AA:$AA,1)</f>
        <v>0</v>
      </c>
    </row>
    <row r="15" spans="2:103" ht="15.6">
      <c r="B15" s="409" t="s">
        <v>1711</v>
      </c>
      <c r="C15" s="409">
        <v>0</v>
      </c>
      <c r="D15" s="2">
        <v>1</v>
      </c>
      <c r="E15" s="410"/>
      <c r="F15" s="348">
        <f>110/3</f>
        <v>36.666666666666664</v>
      </c>
      <c r="G15" s="569">
        <v>60</v>
      </c>
      <c r="H15" s="348">
        <f>18+(16/3)</f>
        <v>23.333333333333332</v>
      </c>
      <c r="I15" s="569" t="s">
        <v>364</v>
      </c>
      <c r="J15" s="569" t="s">
        <v>364</v>
      </c>
      <c r="K15" s="569" t="s">
        <v>364</v>
      </c>
      <c r="L15" s="569">
        <v>86</v>
      </c>
      <c r="M15" s="569" t="s">
        <v>364</v>
      </c>
      <c r="N15" s="569">
        <v>7</v>
      </c>
      <c r="O15" s="569">
        <v>12</v>
      </c>
      <c r="P15" s="569" t="s">
        <v>364</v>
      </c>
      <c r="Q15" s="268" t="s">
        <v>6625</v>
      </c>
      <c r="R15" s="969" t="s">
        <v>6626</v>
      </c>
      <c r="S15" s="569" t="s">
        <v>6627</v>
      </c>
      <c r="T15" s="268" t="s">
        <v>6628</v>
      </c>
      <c r="U15" s="410" t="str">
        <f>""</f>
        <v/>
      </c>
      <c r="V15" s="1334">
        <v>56.1</v>
      </c>
      <c r="W15" s="1334">
        <f>VLOOKUP(B15,'Heavy Weapon Stocks'!B:OA,COLUMN('Heavy Weapon Stocks'!$C$11)-1,FALSE)+IF(F15&lt;&gt;".",F15,0)</f>
        <v>375.66666666666669</v>
      </c>
      <c r="X15" s="1334">
        <f>VLOOKUP(B15,'Heavy Weapon Stocks'!B:OA,COLUMN('Heavy Weapon Stocks'!$AQ$11)-1,FALSE)</f>
        <v>728</v>
      </c>
      <c r="Y15" s="1334">
        <f>VLOOKUP(B15,'Heavy Weapon Stocks'!B:OA,COLUMN('Heavy Weapon Stocks'!$DK$11)-1,FALSE)</f>
        <v>0</v>
      </c>
      <c r="Z15" s="1334">
        <f>VLOOKUP(B15,'Heavy Weapon Stocks'!B:OA,COLUMN('Heavy Weapon Stocks'!$DY$11)-1,FALSE)</f>
        <v>683</v>
      </c>
      <c r="AA15" s="1334">
        <f>VLOOKUP(B15,'Heavy Weapon Stocks'!B:OA,COLUMN('Heavy Weapon Stocks'!$FA$11)-1,FALSE)+IF(G15&lt;&gt;".",G15,0)</f>
        <v>734</v>
      </c>
      <c r="AB15" s="1334">
        <f>SUM(X15:AA15)</f>
        <v>2145</v>
      </c>
      <c r="AC15" s="1334">
        <f>VLOOKUP(B15,'Heavy Weapon Stocks'!B:OA,COLUMN('Heavy Weapon Stocks'!$GV$11)-1,FALSE)+VLOOKUP(B15,'Heavy Weapon Stocks'!B:OA,COLUMN('Heavy Weapon Stocks'!$HY$11)-1,FALSE)+IF(H15&lt;&gt;".",H15,0)</f>
        <v>144.33333333333334</v>
      </c>
      <c r="AD15" s="1334">
        <f>VLOOKUP(B15,'Heavy Weapon Stocks'!B:OA,COLUMN('Heavy Weapon Stocks'!$IF$11)-1,FALSE)+IF(I15&lt;&gt;".",I15,0)</f>
        <v>41</v>
      </c>
      <c r="AE15" s="1334">
        <f>VLOOKUP(B15,'Heavy Weapon Stocks'!B:OA,COLUMN('Heavy Weapon Stocks'!$IZ$11)-1,FALSE)+VLOOKUP(B15,'Heavy Weapon Stocks'!B:OA,COLUMN('Heavy Weapon Stocks'!$JW$11)-1,FALSE)</f>
        <v>138</v>
      </c>
      <c r="AF15" s="1334">
        <f>VLOOKUP(B15,'Heavy Weapon Stocks'!B:OA,COLUMN('Heavy Weapon Stocks'!$NL$11)-1,FALSE)+IF(L15&lt;&gt;".",L15,0)</f>
        <v>86</v>
      </c>
      <c r="AG15" s="1334">
        <f>VLOOKUP(B15,'Heavy Weapon Stocks'!B:OA,COLUMN('Heavy Weapon Stocks'!$LN$11)-1,FALSE)+IF(M15&lt;&gt;".",M15,0)</f>
        <v>30</v>
      </c>
      <c r="AH15" s="1334">
        <f>VLOOKUP(B15,'Heavy Weapon Stocks'!B:OA,COLUMN('Heavy Weapon Stocks'!$LX$11)-1,FALSE)+IF(N15&lt;&gt;".",N15,0)</f>
        <v>7</v>
      </c>
      <c r="AI15" s="1334">
        <f>VLOOKUP(B15,'Heavy Weapon Stocks'!B:OA,COLUMN('Heavy Weapon Stocks'!$ME$11)-1,FALSE)+IF(O15&lt;&gt;".",O15,0)</f>
        <v>12</v>
      </c>
      <c r="AJ15" s="1334">
        <f>VLOOKUP(B15,'Heavy Weapon Stocks'!B:OA,COLUMN('Heavy Weapon Stocks'!$NK$11)-1,FALSE)+IF(P15&lt;&gt;".",P15,0)</f>
        <v>20</v>
      </c>
      <c r="AK15" s="410"/>
      <c r="AL15" s="25">
        <f>SUMIFS('Bilateral Assistance, MAIN DATA'!$M:$M,'Bilateral Assistance, MAIN DATA'!$B:$B,'Share, Heavy Weapons to Ukraine'!$B15,'Bilateral Assistance, MAIN DATA'!$AO:$AO,'Share, Heavy Weapons to Ukraine'!AL$11)</f>
        <v>55</v>
      </c>
      <c r="AM15" s="25">
        <f>SUMIFS('Bilateral Assistance, MAIN DATA'!$M:$M,'Bilateral Assistance, MAIN DATA'!$B:$B,'Share, Heavy Weapons to Ukraine'!$B15,'Bilateral Assistance, MAIN DATA'!$AO:$AO,'Share, Heavy Weapons to Ukraine'!AM$11)</f>
        <v>66</v>
      </c>
      <c r="AN15" s="25">
        <f>SUMIFS('Bilateral Assistance, MAIN DATA'!$M:$M,'Bilateral Assistance, MAIN DATA'!$B:$B,'Share, Heavy Weapons to Ukraine'!$B15,'Bilateral Assistance, MAIN DATA'!$AO:$AO,'Share, Heavy Weapons to Ukraine'!AN$11)</f>
        <v>0</v>
      </c>
      <c r="AO15" s="25">
        <f>SUMIFS('Bilateral Assistance, MAIN DATA'!$M:$M,'Bilateral Assistance, MAIN DATA'!$B:$B,'Share, Heavy Weapons to Ukraine'!$B15,'Bilateral Assistance, MAIN DATA'!$AO:$AO,'Share, Heavy Weapons to Ukraine'!AO$11)</f>
        <v>292</v>
      </c>
      <c r="AP15" s="25">
        <f>SUMIFS('Bilateral Assistance, MAIN DATA'!$M:$M,'Bilateral Assistance, MAIN DATA'!$B:$B,'Share, Heavy Weapons to Ukraine'!$B15,'Bilateral Assistance, MAIN DATA'!$AO:$AO,'Share, Heavy Weapons to Ukraine'!AP$11)</f>
        <v>60</v>
      </c>
      <c r="AQ15" s="25">
        <f t="shared" si="1"/>
        <v>418</v>
      </c>
      <c r="AR15" s="25">
        <f>SUMIFS('Bilateral Assistance, MAIN DATA'!$M:$M,'Bilateral Assistance, MAIN DATA'!$B:$B,'Share, Heavy Weapons to Ukraine'!$B15,'Bilateral Assistance, MAIN DATA'!$AO:$AO,"155mm howitzer")+SUMIFS('Bilateral Assistance, MAIN DATA'!$M:$M,'Bilateral Assistance, MAIN DATA'!$B:$B,'Share, Heavy Weapons to Ukraine'!$B15,'Bilateral Assistance, MAIN DATA'!$AO:$AO,"152mm howitzer")</f>
        <v>37.333333333333329</v>
      </c>
      <c r="AS15" s="25">
        <f>SUMIFS('Bilateral Assistance, MAIN DATA'!$M:$M,'Bilateral Assistance, MAIN DATA'!$B:$B,'Share, Heavy Weapons to Ukraine'!$B15,'Bilateral Assistance, MAIN DATA'!$AO:$AO,"122mm MLRS")+SUMIFS('Bilateral Assistance, MAIN DATA'!$M:$M,'Bilateral Assistance, MAIN DATA'!$B:$B,'Share, Heavy Weapons to Ukraine'!$B15,'Bilateral Assistance, MAIN DATA'!$AO:$AO,"127mm MLRS")+SUMIFS('Bilateral Assistance, MAIN DATA'!$M:$M,'Bilateral Assistance, MAIN DATA'!$B:$B,'Share, Heavy Weapons to Ukraine'!$B15,'Bilateral Assistance, MAIN DATA'!$AO:$AO,"227mm MLRS")</f>
        <v>5</v>
      </c>
      <c r="AT15" s="25">
        <f>SUMIFS('Bilateral Assistance, MAIN DATA'!$M:$M,'Bilateral Assistance, MAIN DATA'!$B:$B,'Share, Heavy Weapons to Ukraine'!$B15,'Bilateral Assistance, MAIN DATA'!$AO:$AO,'Share, Heavy Weapons to Ukraine'!AT$11)</f>
        <v>0</v>
      </c>
      <c r="AU15" s="25">
        <f>SUMIFS('Bilateral Assistance, MAIN DATA'!$M:$M,'Bilateral Assistance, MAIN DATA'!$B:$B,'Share, Heavy Weapons to Ukraine'!$B15,'Bilateral Assistance, MAIN DATA'!$AO:$AO,'Share, Heavy Weapons to Ukraine'!AU$11)</f>
        <v>1</v>
      </c>
      <c r="AV15" s="25">
        <f>SUMIFS('Bilateral Assistance, MAIN DATA'!$M:$M,'Bilateral Assistance, MAIN DATA'!$B:$B,'Share, Heavy Weapons to Ukraine'!$B15,'Bilateral Assistance, MAIN DATA'!$AO:$AO,'Share, Heavy Weapons to Ukraine'!AV$11)</f>
        <v>8</v>
      </c>
      <c r="AW15" s="25">
        <f>SUMIFS('Bilateral Assistance, MAIN DATA'!$M:$M,'Bilateral Assistance, MAIN DATA'!$B:$B,'Share, Heavy Weapons to Ukraine'!$B15,'Bilateral Assistance, MAIN DATA'!$AO:$AO,'Share, Heavy Weapons to Ukraine'!AW$11)</f>
        <v>12</v>
      </c>
      <c r="AX15" s="25">
        <f>SUMIFS('Bilateral Assistance, MAIN DATA'!$M:$M,'Bilateral Assistance, MAIN DATA'!$B:$B,'Share, Heavy Weapons to Ukraine'!$B15,'Bilateral Assistance, MAIN DATA'!$AO:$AO,'Share, Heavy Weapons to Ukraine'!AX$11)</f>
        <v>0</v>
      </c>
      <c r="AY15" s="410"/>
      <c r="AZ15" s="25">
        <f>SUMIFS('Bilateral Assistance, MAIN DATA'!$N:$N,'Bilateral Assistance, MAIN DATA'!$B:$B,'Share, Heavy Weapons to Ukraine'!$B15,'Bilateral Assistance, MAIN DATA'!$AO:$AO,'Share, Heavy Weapons to Ukraine'!AZ$11)</f>
        <v>18</v>
      </c>
      <c r="BA15" s="25">
        <f>SUMIFS('Bilateral Assistance, MAIN DATA'!$N:$N,'Bilateral Assistance, MAIN DATA'!$B:$B,'Share, Heavy Weapons to Ukraine'!$B15,'Bilateral Assistance, MAIN DATA'!$AO:$AO,'Share, Heavy Weapons to Ukraine'!BA$11)</f>
        <v>0</v>
      </c>
      <c r="BB15" s="25">
        <f>SUMIFS('Bilateral Assistance, MAIN DATA'!$N:$N,'Bilateral Assistance, MAIN DATA'!$B:$B,'Share, Heavy Weapons to Ukraine'!$B15,'Bilateral Assistance, MAIN DATA'!$AO:$AO,'Share, Heavy Weapons to Ukraine'!BB$11)</f>
        <v>0</v>
      </c>
      <c r="BC15" s="25">
        <f>SUMIFS('Bilateral Assistance, MAIN DATA'!$N:$N,'Bilateral Assistance, MAIN DATA'!$B:$B,'Share, Heavy Weapons to Ukraine'!$B15,'Bilateral Assistance, MAIN DATA'!$AO:$AO,'Share, Heavy Weapons to Ukraine'!BC$11)</f>
        <v>203</v>
      </c>
      <c r="BD15" s="25">
        <f>SUMIFS('Bilateral Assistance, MAIN DATA'!$N:$N,'Bilateral Assistance, MAIN DATA'!$B:$B,'Share, Heavy Weapons to Ukraine'!$B15,'Bilateral Assistance, MAIN DATA'!$AO:$AO,'Share, Heavy Weapons to Ukraine'!BD$11)</f>
        <v>40</v>
      </c>
      <c r="BE15" s="25">
        <f t="shared" si="2"/>
        <v>243</v>
      </c>
      <c r="BF15" s="25">
        <f>SUMIFS('Bilateral Assistance, MAIN DATA'!$N:$N,'Bilateral Assistance, MAIN DATA'!$B:$B,'Share, Heavy Weapons to Ukraine'!$B15,'Bilateral Assistance, MAIN DATA'!$AO:$AO,"155mm howitzer")+SUMIFS('Bilateral Assistance, MAIN DATA'!$N:$N,'Bilateral Assistance, MAIN DATA'!$B:$B,'Share, Heavy Weapons to Ukraine'!$B15,'Bilateral Assistance, MAIN DATA'!$AO:$AO,"152mm howitzer")</f>
        <v>14</v>
      </c>
      <c r="BG15" s="25">
        <f>SUMIFS('Bilateral Assistance, MAIN DATA'!$N:$N,'Bilateral Assistance, MAIN DATA'!$B:$B,'Share, Heavy Weapons to Ukraine'!$B15,'Bilateral Assistance, MAIN DATA'!$AO:$AO,"122mm MLRS")+SUMIFS('Bilateral Assistance, MAIN DATA'!$N:$N,'Bilateral Assistance, MAIN DATA'!$B:$B,'Share, Heavy Weapons to Ukraine'!$B15,'Bilateral Assistance, MAIN DATA'!$AO:$AO,"127mm MLRS")+SUMIFS('Bilateral Assistance, MAIN DATA'!$N:$N,'Bilateral Assistance, MAIN DATA'!$B:$B,'Share, Heavy Weapons to Ukraine'!$B15,'Bilateral Assistance, MAIN DATA'!$AO:$AO,"227mm MLRS")</f>
        <v>5</v>
      </c>
      <c r="BH15" s="25">
        <f>SUMIFS('Bilateral Assistance, MAIN DATA'!$N:$N,'Bilateral Assistance, MAIN DATA'!$B:$B,'Share, Heavy Weapons to Ukraine'!$B15,'Bilateral Assistance, MAIN DATA'!$AO:$AO,'Share, Heavy Weapons to Ukraine'!BH$11)</f>
        <v>0</v>
      </c>
      <c r="BI15" s="25">
        <f>SUMIFS('Bilateral Assistance, MAIN DATA'!$N:$N,'Bilateral Assistance, MAIN DATA'!$B:$B,'Share, Heavy Weapons to Ukraine'!$B15,'Bilateral Assistance, MAIN DATA'!$AO:$AO,'Share, Heavy Weapons to Ukraine'!BI$11)</f>
        <v>1</v>
      </c>
      <c r="BJ15" s="25">
        <f>SUMIFS('Bilateral Assistance, MAIN DATA'!$N:$N,'Bilateral Assistance, MAIN DATA'!$B:$B,'Share, Heavy Weapons to Ukraine'!$B15,'Bilateral Assistance, MAIN DATA'!$AO:$AO,'Share, Heavy Weapons to Ukraine'!BJ$11)</f>
        <v>2</v>
      </c>
      <c r="BK15" s="25">
        <f>SUMIFS('Bilateral Assistance, MAIN DATA'!$N:$N,'Bilateral Assistance, MAIN DATA'!$B:$B,'Share, Heavy Weapons to Ukraine'!$B15,'Bilateral Assistance, MAIN DATA'!$AO:$AO,'Share, Heavy Weapons to Ukraine'!BK$11)</f>
        <v>0</v>
      </c>
      <c r="BL15" s="25">
        <f>SUMIFS('Bilateral Assistance, MAIN DATA'!$N:$N,'Bilateral Assistance, MAIN DATA'!$B:$B,'Share, Heavy Weapons to Ukraine'!$B15,'Bilateral Assistance, MAIN DATA'!$AO:$AO,'Share, Heavy Weapons to Ukraine'!BL$11)</f>
        <v>0</v>
      </c>
      <c r="BM15" s="410"/>
      <c r="BN15" s="261">
        <f>IF(VLOOKUP($B15,$B:W,COLUMN(W14)-1,FALSE)&lt;&gt;0,VLOOKUP($B15,$B:AL,COLUMN(AL14)-1,FALSE)/VLOOKUP($B15,$B:W,COLUMN(W14)-1,FALSE),IF(VLOOKUP($B15,$B:AL,COLUMN(AL14)-1,FALSE)&lt;&gt;0,"unknown",0))</f>
        <v>0.14640638864241348</v>
      </c>
      <c r="BO15" s="261">
        <f>IF(VLOOKUP($B15,$B:X,COLUMN(X14)-1,FALSE)&lt;&gt;0,VLOOKUP($B15,$B:AM,COLUMN(AM14)-1,FALSE)/VLOOKUP($B15,$B:X,COLUMN(X14)-1,FALSE),IF(VLOOKUP($B15,$B:AM,COLUMN(AM14)-1,FALSE)&lt;&gt;0,"unknown",0))</f>
        <v>9.0659340659340656E-2</v>
      </c>
      <c r="BP15" s="261">
        <f>IF(VLOOKUP($B15,$B:Y,COLUMN(Y14)-1,FALSE)&lt;&gt;0,VLOOKUP($B15,$B:AN,COLUMN(AN14)-1,FALSE)/VLOOKUP($B15,$B:Y,COLUMN(Y14)-1,FALSE),IF(VLOOKUP($B15,$B:AN,COLUMN(AN14)-1,FALSE)&lt;&gt;0,"unknown",0))</f>
        <v>0</v>
      </c>
      <c r="BQ15" s="261">
        <f>IF(VLOOKUP($B15,$B:Z,COLUMN(Z14)-1,FALSE)&lt;&gt;0,VLOOKUP($B15,$B:AO,COLUMN(AO14)-1,FALSE)/VLOOKUP($B15,$B:Z,COLUMN(Z14)-1,FALSE),IF(VLOOKUP($B15,$B:AO,COLUMN(AO14)-1,FALSE)&lt;&gt;0,"unknown",0))</f>
        <v>0.42752562225475843</v>
      </c>
      <c r="BR15" s="261">
        <f>IF(VLOOKUP($B15,$B:AA,COLUMN(AA14)-1,FALSE)&lt;&gt;0,VLOOKUP($B15,$B:AP,COLUMN(AP14)-1,FALSE)/VLOOKUP($B15,$B:AA,COLUMN(AA14)-1,FALSE),IF(VLOOKUP($B15,$B:AP,COLUMN(AP14)-1,FALSE)&lt;&gt;0,"unknown",0))</f>
        <v>8.1743869209809264E-2</v>
      </c>
      <c r="BS15" s="261">
        <f>IF(VLOOKUP($B15,$B:AB,COLUMN(AB14)-1,FALSE)&lt;&gt;0,VLOOKUP($B15,$B:AQ,COLUMN(AQ14)-1,FALSE)/VLOOKUP($B15,$B:AB,COLUMN(AB14)-1,FALSE),IF(VLOOKUP($B15,$B:AQ,COLUMN(AQ14)-1,FALSE)&lt;&gt;0,"unknown",0))</f>
        <v>0.19487179487179487</v>
      </c>
      <c r="BT15" s="261">
        <f>IF(VLOOKUP($B15,$B:AC,COLUMN(AC14)-1,FALSE)&lt;&gt;0,VLOOKUP($B15,$B:AR,COLUMN(AR14)-1,FALSE)/VLOOKUP($B15,$B:AC,COLUMN(AC14)-1,FALSE),IF(VLOOKUP($B15,$B:AR,COLUMN(AR14)-1,FALSE)&lt;&gt;0,"unknown",0))</f>
        <v>0.25866050808314084</v>
      </c>
      <c r="BU15" s="261">
        <f>IF(VLOOKUP($B15,$B:AD,COLUMN(AD14)-1,FALSE)&lt;&gt;0,VLOOKUP($B15,$B:AS,COLUMN(AS14)-1,FALSE)/VLOOKUP($B15,$B:AD,COLUMN(AD14)-1,FALSE),IF(VLOOKUP($B15,$B:AS,COLUMN(AS14)-1,FALSE)&lt;&gt;0,"unknown",0))</f>
        <v>0.12195121951219512</v>
      </c>
      <c r="BV15" s="261">
        <f>IF(VLOOKUP($B15,$B:AE,COLUMN(AE14)-1,FALSE)&lt;&gt;0,VLOOKUP($B15,$B:AT,COLUMN(AT14)-1,FALSE)/VLOOKUP($B15,$B:AE,COLUMN(AE14)-1,FALSE),IF(VLOOKUP($B15,$B:AT,COLUMN(AT14)-1,FALSE)&lt;&gt;0,"unknown",0))</f>
        <v>0</v>
      </c>
      <c r="BW15" s="261">
        <f>IF(VLOOKUP($B15,$B:AG,COLUMN(AG14)-1,FALSE)&lt;&gt;0,VLOOKUP($B15,$B:AU,COLUMN(AU14)-1,FALSE)/VLOOKUP($B15,$B:AG,COLUMN(AG14)-1,FALSE),IF(VLOOKUP($B15,$B:AU,COLUMN(AU14)-1,FALSE)&lt;&gt;0,"unknown",0))</f>
        <v>3.3333333333333333E-2</v>
      </c>
      <c r="BX15" s="261">
        <f>IF(VLOOKUP($B15,$B:AH,COLUMN(AH14)-1,FALSE)&lt;&gt;0,VLOOKUP($B15,$B:AV,COLUMN(AV14)-1,FALSE)/VLOOKUP($B15,$B:AH,COLUMN(AH14)-1,FALSE),IF(VLOOKUP($B15,$B:AV,COLUMN(AV14)-1,FALSE)&lt;&gt;0,"unknown",0))</f>
        <v>1.1428571428571428</v>
      </c>
      <c r="BY15" s="261">
        <f>IF(VLOOKUP($B15,$B:AI,COLUMN(AI14)-1,FALSE)&lt;&gt;0,VLOOKUP($B15,$B:AW,COLUMN(AW14)-1,FALSE)/VLOOKUP($B15,$B:AI,COLUMN(AI14)-1,FALSE),IF(VLOOKUP($B15,$B:AW,COLUMN(AW14)-1,FALSE)&lt;&gt;0,"unknown",0))</f>
        <v>1</v>
      </c>
      <c r="BZ15" s="261">
        <f>IF(VLOOKUP($B15,$B:AJ,COLUMN(AJ14)-1,FALSE)&lt;&gt;0,VLOOKUP($B15,$B:AX,COLUMN(AX14)-1,FALSE)/VLOOKUP($B15,$B:AJ,COLUMN(AJ14)-1,FALSE),IF(VLOOKUP($B15,$B:AX,COLUMN(AX14)-1,FALSE)&lt;&gt;0,"unknown",0))</f>
        <v>0</v>
      </c>
      <c r="CA15" s="410"/>
      <c r="CB15" s="2">
        <f>IF(VLOOKUP($B15,$B:AM,COLUMN(W14)-1,FALSE)&lt;&gt;0,VLOOKUP($B15,$B:BA,COLUMN(AZ14)-1,FALSE)/VLOOKUP($B15,$B:AM,COLUMN(W14)-1,FALSE),IF(VLOOKUP($B15,$B:BA,COLUMN(AZ14)-1,FALSE)&lt;&gt;0,"unknown",0))</f>
        <v>4.79148181011535E-2</v>
      </c>
      <c r="CC15" s="2">
        <f>IF(VLOOKUP($B15,$B:AN,COLUMN(X14)-1,FALSE)&lt;&gt;0,VLOOKUP($B15,$B:BB,COLUMN(BA14)-1,FALSE)/VLOOKUP($B15,$B:AN,COLUMN(X14)-1,FALSE),IF(VLOOKUP($B15,$B:BB,COLUMN(BA14)-1,FALSE)&lt;&gt;0,"unknown",0))</f>
        <v>0</v>
      </c>
      <c r="CD15" s="2">
        <f>IF(VLOOKUP($B15,$B:AO,COLUMN(Y14)-1,FALSE)&lt;&gt;0,VLOOKUP($B15,$B:BC,COLUMN(BB14)-1,FALSE)/VLOOKUP($B15,$B:AO,COLUMN(Y14)-1,FALSE),IF(VLOOKUP($B15,$B:BC,COLUMN(BB14)-1,FALSE)&lt;&gt;0,"unknown",0))</f>
        <v>0</v>
      </c>
      <c r="CE15" s="2">
        <f>IF(VLOOKUP($B15,$B:AP,COLUMN(Z14)-1,FALSE)&lt;&gt;0,VLOOKUP($B15,$B:BD,COLUMN(BC14)-1,FALSE)/VLOOKUP($B15,$B:AP,COLUMN(Z14)-1,FALSE),IF(VLOOKUP($B15,$B:BD,COLUMN(BC14)-1,FALSE)&lt;&gt;0,"unknown",0))</f>
        <v>0.29721815519765737</v>
      </c>
      <c r="CF15" s="2">
        <f>IF(VLOOKUP($B15,$B:AR,COLUMN(AA14)-1,FALSE)&lt;&gt;0,VLOOKUP($B15,$B:BF,COLUMN(BD14)-1,FALSE)/VLOOKUP($B15,$B:AR,COLUMN(AA14)-1,FALSE),IF(VLOOKUP($B15,$B:BF,COLUMN(BD14)-1,FALSE)&lt;&gt;0,"unknown",0))</f>
        <v>5.4495912806539509E-2</v>
      </c>
      <c r="CG15" s="2">
        <f>IF(VLOOKUP($B15,$B:AS,COLUMN(AB14)-1,FALSE)&lt;&gt;0,VLOOKUP($B15,$B:BG,COLUMN(BE14)-1,FALSE)/VLOOKUP($B15,$B:AS,COLUMN(AB14)-1,FALSE),IF(VLOOKUP($B15,$B:BG,COLUMN(BE14)-1,FALSE)&lt;&gt;0,"unknown",0))</f>
        <v>0.11328671328671329</v>
      </c>
      <c r="CH15" s="2">
        <f>IF(VLOOKUP($B15,$B:AS,COLUMN(AC14)-1,FALSE)&lt;&gt;0,VLOOKUP($B15,$B:BG,COLUMN(BF14)-1,FALSE)/VLOOKUP($B15,$B:AS,COLUMN(AC14)-1,FALSE),IF(VLOOKUP($B15,$B:BG,COLUMN(BF14)-1,FALSE)&lt;&gt;0,"unknown",0))</f>
        <v>9.6997690531177821E-2</v>
      </c>
      <c r="CI15" s="2">
        <f>IF(VLOOKUP($B15,$B:AT,COLUMN(AD14)-1,FALSE)&lt;&gt;0,VLOOKUP($B15,$B:BH,COLUMN(BG14)-1,FALSE)/VLOOKUP($B15,$B:AT,COLUMN(AD14)-1,FALSE),IF(VLOOKUP($B15,$B:BH,COLUMN(BG14)-1,FALSE)&lt;&gt;0,"unknown",0))</f>
        <v>0.12195121951219512</v>
      </c>
      <c r="CJ15" s="2">
        <f>IF(VLOOKUP($B15,$B:AT,COLUMN(AE14)-1,FALSE)&lt;&gt;0,VLOOKUP($B15,$B:BH,COLUMN(BH14)-1,FALSE)/VLOOKUP($B15,$B:AT,COLUMN(AE14)-1,FALSE),IF(VLOOKUP($B15,$B:BH,COLUMN(BH14)-1,FALSE)&lt;&gt;0,"unknown",0))</f>
        <v>0</v>
      </c>
      <c r="CK15" s="2">
        <f>IF(VLOOKUP($B15,$B:AU,COLUMN(AG14)-1,FALSE)&lt;&gt;0,VLOOKUP($B15,$B:BI,COLUMN(BI14)-1,FALSE)/VLOOKUP($B15,$B:AU,COLUMN(AG14)-1,FALSE),IF(VLOOKUP($B15,$B:BI,COLUMN(BI14)-1,FALSE)&lt;&gt;0,"unknown",0))</f>
        <v>3.3333333333333333E-2</v>
      </c>
      <c r="CL15" s="2">
        <f>IF(VLOOKUP($B15,$B:AV,COLUMN(AH14)-1,FALSE)&lt;&gt;0,VLOOKUP($B15,$B:BJ,COLUMN(BJ14)-1,FALSE)/VLOOKUP($B15,$B:AV,COLUMN(AH14)-1,FALSE),IF(VLOOKUP($B15,$B:BJ,COLUMN(BJ14)-1,FALSE)&lt;&gt;0,"unknown",0))</f>
        <v>0.2857142857142857</v>
      </c>
      <c r="CM15" s="2">
        <f>IF(VLOOKUP($B15,$B:AW,COLUMN(AI14)-1,FALSE)&lt;&gt;0,VLOOKUP($B15,$B:BK,COLUMN(BK14)-1,FALSE)/VLOOKUP($B15,$B:AW,COLUMN(AI14)-1,FALSE),IF(VLOOKUP($B15,$B:BK,COLUMN(BK14)-1,FALSE)&lt;&gt;0,"unknown",0))</f>
        <v>0</v>
      </c>
      <c r="CN15" s="2">
        <f>IF(VLOOKUP($B15,$B:AX,COLUMN(AJ14)-1,FALSE)&lt;&gt;0,VLOOKUP($B15,$B:BL,COLUMN(BL14)-1,FALSE)/VLOOKUP($B15,$B:AX,COLUMN(AJ14)-1,FALSE),IF(VLOOKUP($B15,$B:BL,COLUMN(BL14)-1,FALSE)&lt;&gt;0,"unknown",0))</f>
        <v>0</v>
      </c>
      <c r="CO15" s="410"/>
      <c r="CP15" s="2">
        <f>SUMIFS('Bilateral Assistance, MAIN DATA'!$M:$M,'Bilateral Assistance, MAIN DATA'!$B:$B,'Share, Heavy Weapons to Ukraine'!$B15,'Bilateral Assistance, MAIN DATA'!$AO:$AO,'Share, Heavy Weapons to Ukraine'!CP$11, 'Bilateral Assistance, MAIN DATA'!$AA:$AA,1)</f>
        <v>1</v>
      </c>
      <c r="CQ15" s="2">
        <f>SUMIFS('Bilateral Assistance, MAIN DATA'!$M:$M,'Bilateral Assistance, MAIN DATA'!$B:$B,'Share, Heavy Weapons to Ukraine'!$B15,'Bilateral Assistance, MAIN DATA'!$AO:$AO,'Share, Heavy Weapons to Ukraine'!CQ$11, 'Bilateral Assistance, MAIN DATA'!$AA:$AA,1)</f>
        <v>8</v>
      </c>
      <c r="CR15" s="2">
        <f>SUMIFS('Bilateral Assistance, MAIN DATA'!$M:$M,'Bilateral Assistance, MAIN DATA'!$B:$B,'Share, Heavy Weapons to Ukraine'!$B15,'Bilateral Assistance, MAIN DATA'!$AO:$AO,'Share, Heavy Weapons to Ukraine'!CR$11, 'Bilateral Assistance, MAIN DATA'!$AA:$AA,1)</f>
        <v>12</v>
      </c>
      <c r="CS15" s="2">
        <f>SUMIFS('Bilateral Assistance, MAIN DATA'!$M:$M,'Bilateral Assistance, MAIN DATA'!$B:$B,'Share, Heavy Weapons to Ukraine'!$B15,'Bilateral Assistance, MAIN DATA'!$AO:$AO,'Share, Heavy Weapons to Ukraine'!CS$11, 'Bilateral Assistance, MAIN DATA'!$AA:$AA,1)</f>
        <v>0</v>
      </c>
      <c r="CT15" s="410"/>
      <c r="CU15" s="2">
        <f>SUMIFS('Bilateral Assistance, MAIN DATA'!$N:$N,'Bilateral Assistance, MAIN DATA'!$B:$B,'Share, Heavy Weapons to Ukraine'!$B15,'Bilateral Assistance, MAIN DATA'!$AO:$AO,'Share, Heavy Weapons to Ukraine'!CU$11, 'Bilateral Assistance, MAIN DATA'!$AA:$AA,1)</f>
        <v>1</v>
      </c>
      <c r="CV15" s="2">
        <f>SUMIFS('Bilateral Assistance, MAIN DATA'!$N:$N,'Bilateral Assistance, MAIN DATA'!$B:$B,'Share, Heavy Weapons to Ukraine'!$B15,'Bilateral Assistance, MAIN DATA'!$AO:$AO,'Share, Heavy Weapons to Ukraine'!CV$11, 'Bilateral Assistance, MAIN DATA'!$AA:$AA,1)</f>
        <v>2</v>
      </c>
      <c r="CW15" s="2">
        <f>SUMIFS('Bilateral Assistance, MAIN DATA'!$N:$N,'Bilateral Assistance, MAIN DATA'!$B:$B,'Share, Heavy Weapons to Ukraine'!$B15,'Bilateral Assistance, MAIN DATA'!$AO:$AO,'Share, Heavy Weapons to Ukraine'!CW$11, 'Bilateral Assistance, MAIN DATA'!$AA:$AA,1)</f>
        <v>0</v>
      </c>
      <c r="CX15" s="2">
        <f>SUMIFS('Bilateral Assistance, MAIN DATA'!$N:$N,'Bilateral Assistance, MAIN DATA'!$B:$B,'Share, Heavy Weapons to Ukraine'!$B15,'Bilateral Assistance, MAIN DATA'!$AO:$AO,'Share, Heavy Weapons to Ukraine'!CX$11, 'Bilateral Assistance, MAIN DATA'!$AA:$AA,1)</f>
        <v>0</v>
      </c>
    </row>
    <row r="16" spans="2:103" ht="15.6">
      <c r="B16" s="409" t="s">
        <v>3162</v>
      </c>
      <c r="C16" s="409">
        <v>0</v>
      </c>
      <c r="D16" s="2">
        <v>0</v>
      </c>
      <c r="E16" s="410"/>
      <c r="F16" s="569" t="s">
        <v>364</v>
      </c>
      <c r="G16" s="569" t="s">
        <v>364</v>
      </c>
      <c r="H16" s="569" t="s">
        <v>364</v>
      </c>
      <c r="I16" s="569" t="s">
        <v>364</v>
      </c>
      <c r="J16" s="569" t="s">
        <v>364</v>
      </c>
      <c r="K16" s="569" t="s">
        <v>364</v>
      </c>
      <c r="L16" s="569" t="s">
        <v>364</v>
      </c>
      <c r="M16" s="569" t="s">
        <v>364</v>
      </c>
      <c r="N16" s="569" t="s">
        <v>364</v>
      </c>
      <c r="O16" s="569" t="s">
        <v>364</v>
      </c>
      <c r="P16" s="569" t="s">
        <v>364</v>
      </c>
      <c r="Q16" s="569" t="s">
        <v>364</v>
      </c>
      <c r="R16" s="569" t="s">
        <v>364</v>
      </c>
      <c r="S16" s="569" t="s">
        <v>364</v>
      </c>
      <c r="T16" s="569" t="s">
        <v>364</v>
      </c>
      <c r="U16" s="410" t="str">
        <f>""</f>
        <v/>
      </c>
      <c r="V16" s="1334">
        <v>46.7</v>
      </c>
      <c r="W16" s="1334">
        <f>VLOOKUP(B16,'Heavy Weapon Stocks'!B:OA,COLUMN('Heavy Weapon Stocks'!$C$11)-1,FALSE)+IF(F16&lt;&gt;".",F16,0)</f>
        <v>2174</v>
      </c>
      <c r="X16" s="1334">
        <f>VLOOKUP(B16,'Heavy Weapon Stocks'!B:OA,COLUMN('Heavy Weapon Stocks'!$AQ$11)-1,FALSE)</f>
        <v>2480</v>
      </c>
      <c r="Y16" s="1334">
        <f>VLOOKUP(B16,'Heavy Weapon Stocks'!B:OA,COLUMN('Heavy Weapon Stocks'!$DK$11)-1,FALSE)</f>
        <v>10</v>
      </c>
      <c r="Z16" s="1334">
        <f>VLOOKUP(B16,'Heavy Weapon Stocks'!B:OA,COLUMN('Heavy Weapon Stocks'!$DY$11)-1,FALSE)</f>
        <v>0</v>
      </c>
      <c r="AA16" s="1334">
        <f>VLOOKUP(B16,'Heavy Weapon Stocks'!B:OA,COLUMN('Heavy Weapon Stocks'!$FA$11)-1,FALSE)+IF(G16&lt;&gt;".",G16,0)</f>
        <v>540</v>
      </c>
      <c r="AB16" s="1334">
        <f t="shared" si="3"/>
        <v>3030</v>
      </c>
      <c r="AC16" s="1334">
        <f>VLOOKUP(B16,'Heavy Weapon Stocks'!B:OA,COLUMN('Heavy Weapon Stocks'!$GV$11)-1,FALSE)+VLOOKUP(B16,'Heavy Weapon Stocks'!B:OA,COLUMN('Heavy Weapon Stocks'!$HY$11)-1,FALSE)+IF(H16&lt;&gt;".",H16,0)</f>
        <v>4280</v>
      </c>
      <c r="AD16" s="1334">
        <f>VLOOKUP(B16,'Heavy Weapon Stocks'!B:OA,COLUMN('Heavy Weapon Stocks'!$IF$11)-1,FALSE)+IF(I16&lt;&gt;".",I16,0)</f>
        <v>316</v>
      </c>
      <c r="AE16" s="1334">
        <f>VLOOKUP(B16,'Heavy Weapon Stocks'!B:OA,COLUMN('Heavy Weapon Stocks'!$IZ$11)-1,FALSE)+VLOOKUP(B16,'Heavy Weapon Stocks'!B:OA,COLUMN('Heavy Weapon Stocks'!$JW$11)-1,FALSE)</f>
        <v>521</v>
      </c>
      <c r="AF16" s="1334">
        <f>VLOOKUP(B16,'Heavy Weapon Stocks'!B:OA,COLUMN('Heavy Weapon Stocks'!$NL$11)-1,FALSE)+IF(L16&lt;&gt;".",L16,0)</f>
        <v>0</v>
      </c>
      <c r="AG16" s="1334">
        <f>VLOOKUP(B16,'Heavy Weapon Stocks'!B:OA,COLUMN('Heavy Weapon Stocks'!$LN$11)-1,FALSE)+IF(M16&lt;&gt;".",M16,0)</f>
        <v>48</v>
      </c>
      <c r="AH16" s="1334">
        <f>VLOOKUP(B16,'Heavy Weapon Stocks'!B:OA,COLUMN('Heavy Weapon Stocks'!$LX$11)-1,FALSE)+IF(N16&lt;&gt;".",N16,0)</f>
        <v>72</v>
      </c>
      <c r="AI16" s="1334">
        <f>VLOOKUP(B16,'Heavy Weapon Stocks'!B:OA,COLUMN('Heavy Weapon Stocks'!$ME$11)-1,FALSE)+IF(O16&lt;&gt;".",O16,0)</f>
        <v>0</v>
      </c>
      <c r="AJ16" s="1334">
        <f>VLOOKUP(B16,'Heavy Weapon Stocks'!B:OA,COLUMN('Heavy Weapon Stocks'!$NK$11)-1,FALSE)+IF(P16&lt;&gt;".",P16,0)</f>
        <v>0</v>
      </c>
      <c r="AK16" s="410"/>
      <c r="AL16" s="25">
        <f>SUMIFS('Bilateral Assistance, MAIN DATA'!$M:$M,'Bilateral Assistance, MAIN DATA'!$B:$B,'Share, Heavy Weapons to Ukraine'!$B16,'Bilateral Assistance, MAIN DATA'!$AO:$AO,'Share, Heavy Weapons to Ukraine'!AL$11)</f>
        <v>0</v>
      </c>
      <c r="AM16" s="25">
        <f>SUMIFS('Bilateral Assistance, MAIN DATA'!$M:$M,'Bilateral Assistance, MAIN DATA'!$B:$B,'Share, Heavy Weapons to Ukraine'!$B16,'Bilateral Assistance, MAIN DATA'!$AO:$AO,'Share, Heavy Weapons to Ukraine'!AM$11)</f>
        <v>0</v>
      </c>
      <c r="AN16" s="25">
        <f>SUMIFS('Bilateral Assistance, MAIN DATA'!$M:$M,'Bilateral Assistance, MAIN DATA'!$B:$B,'Share, Heavy Weapons to Ukraine'!$B16,'Bilateral Assistance, MAIN DATA'!$AO:$AO,'Share, Heavy Weapons to Ukraine'!AN$11)</f>
        <v>0</v>
      </c>
      <c r="AO16" s="25">
        <f>SUMIFS('Bilateral Assistance, MAIN DATA'!$M:$M,'Bilateral Assistance, MAIN DATA'!$B:$B,'Share, Heavy Weapons to Ukraine'!$B16,'Bilateral Assistance, MAIN DATA'!$AO:$AO,'Share, Heavy Weapons to Ukraine'!AO$11)</f>
        <v>0</v>
      </c>
      <c r="AP16" s="25">
        <f>SUMIFS('Bilateral Assistance, MAIN DATA'!$M:$M,'Bilateral Assistance, MAIN DATA'!$B:$B,'Share, Heavy Weapons to Ukraine'!$B16,'Bilateral Assistance, MAIN DATA'!$AO:$AO,'Share, Heavy Weapons to Ukraine'!AP$11)</f>
        <v>0</v>
      </c>
      <c r="AQ16" s="25">
        <f t="shared" si="1"/>
        <v>0</v>
      </c>
      <c r="AR16" s="25">
        <f>SUMIFS('Bilateral Assistance, MAIN DATA'!$M:$M,'Bilateral Assistance, MAIN DATA'!$B:$B,'Share, Heavy Weapons to Ukraine'!$B16,'Bilateral Assistance, MAIN DATA'!$AO:$AO,"155mm howitzer")+SUMIFS('Bilateral Assistance, MAIN DATA'!$M:$M,'Bilateral Assistance, MAIN DATA'!$B:$B,'Share, Heavy Weapons to Ukraine'!$B16,'Bilateral Assistance, MAIN DATA'!$AO:$AO,"152mm howitzer")</f>
        <v>0</v>
      </c>
      <c r="AS16" s="25">
        <f>SUMIFS('Bilateral Assistance, MAIN DATA'!$M:$M,'Bilateral Assistance, MAIN DATA'!$B:$B,'Share, Heavy Weapons to Ukraine'!$B16,'Bilateral Assistance, MAIN DATA'!$AO:$AO,"122mm MLRS")+SUMIFS('Bilateral Assistance, MAIN DATA'!$M:$M,'Bilateral Assistance, MAIN DATA'!$B:$B,'Share, Heavy Weapons to Ukraine'!$B16,'Bilateral Assistance, MAIN DATA'!$AO:$AO,"127mm MLRS")+SUMIFS('Bilateral Assistance, MAIN DATA'!$M:$M,'Bilateral Assistance, MAIN DATA'!$B:$B,'Share, Heavy Weapons to Ukraine'!$B16,'Bilateral Assistance, MAIN DATA'!$AO:$AO,"227mm MLRS")</f>
        <v>0</v>
      </c>
      <c r="AT16" s="25">
        <f>SUMIFS('Bilateral Assistance, MAIN DATA'!$M:$M,'Bilateral Assistance, MAIN DATA'!$B:$B,'Share, Heavy Weapons to Ukraine'!$B16,'Bilateral Assistance, MAIN DATA'!$AO:$AO,'Share, Heavy Weapons to Ukraine'!AT$11)</f>
        <v>0</v>
      </c>
      <c r="AU16" s="25">
        <f>SUMIFS('Bilateral Assistance, MAIN DATA'!$M:$M,'Bilateral Assistance, MAIN DATA'!$B:$B,'Share, Heavy Weapons to Ukraine'!$B16,'Bilateral Assistance, MAIN DATA'!$AO:$AO,'Share, Heavy Weapons to Ukraine'!AU$11)</f>
        <v>0</v>
      </c>
      <c r="AV16" s="25">
        <f>SUMIFS('Bilateral Assistance, MAIN DATA'!$M:$M,'Bilateral Assistance, MAIN DATA'!$B:$B,'Share, Heavy Weapons to Ukraine'!$B16,'Bilateral Assistance, MAIN DATA'!$AO:$AO,'Share, Heavy Weapons to Ukraine'!AV$11)</f>
        <v>0</v>
      </c>
      <c r="AW16" s="25">
        <f>SUMIFS('Bilateral Assistance, MAIN DATA'!$M:$M,'Bilateral Assistance, MAIN DATA'!$B:$B,'Share, Heavy Weapons to Ukraine'!$B16,'Bilateral Assistance, MAIN DATA'!$AO:$AO,'Share, Heavy Weapons to Ukraine'!AW$11)</f>
        <v>0</v>
      </c>
      <c r="AX16" s="25">
        <f>SUMIFS('Bilateral Assistance, MAIN DATA'!$M:$M,'Bilateral Assistance, MAIN DATA'!$B:$B,'Share, Heavy Weapons to Ukraine'!$B16,'Bilateral Assistance, MAIN DATA'!$AO:$AO,'Share, Heavy Weapons to Ukraine'!AX$11)</f>
        <v>0</v>
      </c>
      <c r="AY16" s="410"/>
      <c r="AZ16" s="25">
        <f>SUMIFS('Bilateral Assistance, MAIN DATA'!$N:$N,'Bilateral Assistance, MAIN DATA'!$B:$B,'Share, Heavy Weapons to Ukraine'!$B16,'Bilateral Assistance, MAIN DATA'!$AO:$AO,'Share, Heavy Weapons to Ukraine'!AZ$11)</f>
        <v>0</v>
      </c>
      <c r="BA16" s="25">
        <f>SUMIFS('Bilateral Assistance, MAIN DATA'!$N:$N,'Bilateral Assistance, MAIN DATA'!$B:$B,'Share, Heavy Weapons to Ukraine'!$B16,'Bilateral Assistance, MAIN DATA'!$AO:$AO,'Share, Heavy Weapons to Ukraine'!BA$11)</f>
        <v>0</v>
      </c>
      <c r="BB16" s="25">
        <f>SUMIFS('Bilateral Assistance, MAIN DATA'!$N:$N,'Bilateral Assistance, MAIN DATA'!$B:$B,'Share, Heavy Weapons to Ukraine'!$B16,'Bilateral Assistance, MAIN DATA'!$AO:$AO,'Share, Heavy Weapons to Ukraine'!BB$11)</f>
        <v>0</v>
      </c>
      <c r="BC16" s="25">
        <f>SUMIFS('Bilateral Assistance, MAIN DATA'!$N:$N,'Bilateral Assistance, MAIN DATA'!$B:$B,'Share, Heavy Weapons to Ukraine'!$B16,'Bilateral Assistance, MAIN DATA'!$AO:$AO,'Share, Heavy Weapons to Ukraine'!BC$11)</f>
        <v>0</v>
      </c>
      <c r="BD16" s="25">
        <f>SUMIFS('Bilateral Assistance, MAIN DATA'!$N:$N,'Bilateral Assistance, MAIN DATA'!$B:$B,'Share, Heavy Weapons to Ukraine'!$B16,'Bilateral Assistance, MAIN DATA'!$AO:$AO,'Share, Heavy Weapons to Ukraine'!BD$11)</f>
        <v>0</v>
      </c>
      <c r="BE16" s="25">
        <f t="shared" si="2"/>
        <v>0</v>
      </c>
      <c r="BF16" s="25">
        <f>SUMIFS('Bilateral Assistance, MAIN DATA'!$N:$N,'Bilateral Assistance, MAIN DATA'!$B:$B,'Share, Heavy Weapons to Ukraine'!$B16,'Bilateral Assistance, MAIN DATA'!$AO:$AO,"155mm howitzer")+SUMIFS('Bilateral Assistance, MAIN DATA'!$N:$N,'Bilateral Assistance, MAIN DATA'!$B:$B,'Share, Heavy Weapons to Ukraine'!$B16,'Bilateral Assistance, MAIN DATA'!$AO:$AO,"152mm howitzer")</f>
        <v>0</v>
      </c>
      <c r="BG16" s="25">
        <f>SUMIFS('Bilateral Assistance, MAIN DATA'!$N:$N,'Bilateral Assistance, MAIN DATA'!$B:$B,'Share, Heavy Weapons to Ukraine'!$B16,'Bilateral Assistance, MAIN DATA'!$AO:$AO,"122mm MLRS")+SUMIFS('Bilateral Assistance, MAIN DATA'!$N:$N,'Bilateral Assistance, MAIN DATA'!$B:$B,'Share, Heavy Weapons to Ukraine'!$B16,'Bilateral Assistance, MAIN DATA'!$AO:$AO,"127mm MLRS")+SUMIFS('Bilateral Assistance, MAIN DATA'!$N:$N,'Bilateral Assistance, MAIN DATA'!$B:$B,'Share, Heavy Weapons to Ukraine'!$B16,'Bilateral Assistance, MAIN DATA'!$AO:$AO,"227mm MLRS")</f>
        <v>0</v>
      </c>
      <c r="BH16" s="25">
        <f>SUMIFS('Bilateral Assistance, MAIN DATA'!$N:$N,'Bilateral Assistance, MAIN DATA'!$B:$B,'Share, Heavy Weapons to Ukraine'!$B16,'Bilateral Assistance, MAIN DATA'!$AO:$AO,'Share, Heavy Weapons to Ukraine'!BH$11)</f>
        <v>0</v>
      </c>
      <c r="BI16" s="25">
        <f>SUMIFS('Bilateral Assistance, MAIN DATA'!$N:$N,'Bilateral Assistance, MAIN DATA'!$B:$B,'Share, Heavy Weapons to Ukraine'!$B16,'Bilateral Assistance, MAIN DATA'!$AO:$AO,'Share, Heavy Weapons to Ukraine'!BI$11)</f>
        <v>0</v>
      </c>
      <c r="BJ16" s="25">
        <f>SUMIFS('Bilateral Assistance, MAIN DATA'!$N:$N,'Bilateral Assistance, MAIN DATA'!$B:$B,'Share, Heavy Weapons to Ukraine'!$B16,'Bilateral Assistance, MAIN DATA'!$AO:$AO,'Share, Heavy Weapons to Ukraine'!BJ$11)</f>
        <v>0</v>
      </c>
      <c r="BK16" s="25">
        <f>SUMIFS('Bilateral Assistance, MAIN DATA'!$N:$N,'Bilateral Assistance, MAIN DATA'!$B:$B,'Share, Heavy Weapons to Ukraine'!$B16,'Bilateral Assistance, MAIN DATA'!$AO:$AO,'Share, Heavy Weapons to Ukraine'!BK$11)</f>
        <v>0</v>
      </c>
      <c r="BL16" s="25">
        <f>SUMIFS('Bilateral Assistance, MAIN DATA'!$N:$N,'Bilateral Assistance, MAIN DATA'!$B:$B,'Share, Heavy Weapons to Ukraine'!$B16,'Bilateral Assistance, MAIN DATA'!$AO:$AO,'Share, Heavy Weapons to Ukraine'!BL$11)</f>
        <v>0</v>
      </c>
      <c r="BM16" s="410"/>
      <c r="BN16" s="261">
        <f>IF(VLOOKUP($B16,$B:W,COLUMN(W15)-1,FALSE)&lt;&gt;0,VLOOKUP($B16,$B:AL,COLUMN(AL15)-1,FALSE)/VLOOKUP($B16,$B:W,COLUMN(W15)-1,FALSE),IF(VLOOKUP($B16,$B:AL,COLUMN(AL15)-1,FALSE)&lt;&gt;0,"unknown",0))</f>
        <v>0</v>
      </c>
      <c r="BO16" s="261">
        <f>IF(VLOOKUP($B16,$B:X,COLUMN(X15)-1,FALSE)&lt;&gt;0,VLOOKUP($B16,$B:AM,COLUMN(AM15)-1,FALSE)/VLOOKUP($B16,$B:X,COLUMN(X15)-1,FALSE),IF(VLOOKUP($B16,$B:AM,COLUMN(AM15)-1,FALSE)&lt;&gt;0,"unknown",0))</f>
        <v>0</v>
      </c>
      <c r="BP16" s="261">
        <f>IF(VLOOKUP($B16,$B:Y,COLUMN(Y15)-1,FALSE)&lt;&gt;0,VLOOKUP($B16,$B:AN,COLUMN(AN15)-1,FALSE)/VLOOKUP($B16,$B:Y,COLUMN(Y15)-1,FALSE),IF(VLOOKUP($B16,$B:AN,COLUMN(AN15)-1,FALSE)&lt;&gt;0,"unknown",0))</f>
        <v>0</v>
      </c>
      <c r="BQ16" s="261">
        <f>IF(VLOOKUP($B16,$B:Z,COLUMN(Z15)-1,FALSE)&lt;&gt;0,VLOOKUP($B16,$B:AO,COLUMN(AO15)-1,FALSE)/VLOOKUP($B16,$B:Z,COLUMN(Z15)-1,FALSE),IF(VLOOKUP($B16,$B:AO,COLUMN(AO15)-1,FALSE)&lt;&gt;0,"unknown",0))</f>
        <v>0</v>
      </c>
      <c r="BR16" s="261">
        <f>IF(VLOOKUP($B16,$B:AA,COLUMN(AA15)-1,FALSE)&lt;&gt;0,VLOOKUP($B16,$B:AP,COLUMN(AP15)-1,FALSE)/VLOOKUP($B16,$B:AA,COLUMN(AA15)-1,FALSE),IF(VLOOKUP($B16,$B:AP,COLUMN(AP15)-1,FALSE)&lt;&gt;0,"unknown",0))</f>
        <v>0</v>
      </c>
      <c r="BS16" s="261">
        <f>IF(VLOOKUP($B16,$B:AB,COLUMN(AB15)-1,FALSE)&lt;&gt;0,VLOOKUP($B16,$B:AQ,COLUMN(AQ15)-1,FALSE)/VLOOKUP($B16,$B:AB,COLUMN(AB15)-1,FALSE),IF(VLOOKUP($B16,$B:AQ,COLUMN(AQ15)-1,FALSE)&lt;&gt;0,"unknown",0))</f>
        <v>0</v>
      </c>
      <c r="BT16" s="261">
        <f>IF(VLOOKUP($B16,$B:AC,COLUMN(AC15)-1,FALSE)&lt;&gt;0,VLOOKUP($B16,$B:AR,COLUMN(AR15)-1,FALSE)/VLOOKUP($B16,$B:AC,COLUMN(AC15)-1,FALSE),IF(VLOOKUP($B16,$B:AR,COLUMN(AR15)-1,FALSE)&lt;&gt;0,"unknown",0))</f>
        <v>0</v>
      </c>
      <c r="BU16" s="261">
        <f>IF(VLOOKUP($B16,$B:AD,COLUMN(AD15)-1,FALSE)&lt;&gt;0,VLOOKUP($B16,$B:AS,COLUMN(AS15)-1,FALSE)/VLOOKUP($B16,$B:AD,COLUMN(AD15)-1,FALSE),IF(VLOOKUP($B16,$B:AS,COLUMN(AS15)-1,FALSE)&lt;&gt;0,"unknown",0))</f>
        <v>0</v>
      </c>
      <c r="BV16" s="261">
        <f>IF(VLOOKUP($B16,$B:AE,COLUMN(AE15)-1,FALSE)&lt;&gt;0,VLOOKUP($B16,$B:AT,COLUMN(AT15)-1,FALSE)/VLOOKUP($B16,$B:AE,COLUMN(AE15)-1,FALSE),IF(VLOOKUP($B16,$B:AT,COLUMN(AT15)-1,FALSE)&lt;&gt;0,"unknown",0))</f>
        <v>0</v>
      </c>
      <c r="BW16" s="261">
        <f>IF(VLOOKUP($B16,$B:AG,COLUMN(AG15)-1,FALSE)&lt;&gt;0,VLOOKUP($B16,$B:AU,COLUMN(AU15)-1,FALSE)/VLOOKUP($B16,$B:AG,COLUMN(AG15)-1,FALSE),IF(VLOOKUP($B16,$B:AU,COLUMN(AU15)-1,FALSE)&lt;&gt;0,"unknown",0))</f>
        <v>0</v>
      </c>
      <c r="BX16" s="261">
        <f>IF(VLOOKUP($B16,$B:AH,COLUMN(AH15)-1,FALSE)&lt;&gt;0,VLOOKUP($B16,$B:AV,COLUMN(AV15)-1,FALSE)/VLOOKUP($B16,$B:AH,COLUMN(AH15)-1,FALSE),IF(VLOOKUP($B16,$B:AV,COLUMN(AV15)-1,FALSE)&lt;&gt;0,"unknown",0))</f>
        <v>0</v>
      </c>
      <c r="BY16" s="261">
        <f>IF(VLOOKUP($B16,$B:AI,COLUMN(AI15)-1,FALSE)&lt;&gt;0,VLOOKUP($B16,$B:AW,COLUMN(AW15)-1,FALSE)/VLOOKUP($B16,$B:AI,COLUMN(AI15)-1,FALSE),IF(VLOOKUP($B16,$B:AW,COLUMN(AW15)-1,FALSE)&lt;&gt;0,"unknown",0))</f>
        <v>0</v>
      </c>
      <c r="BZ16" s="261">
        <f>IF(VLOOKUP($B16,$B:AJ,COLUMN(AJ15)-1,FALSE)&lt;&gt;0,VLOOKUP($B16,$B:AX,COLUMN(AX15)-1,FALSE)/VLOOKUP($B16,$B:AJ,COLUMN(AJ15)-1,FALSE),IF(VLOOKUP($B16,$B:AX,COLUMN(AX15)-1,FALSE)&lt;&gt;0,"unknown",0))</f>
        <v>0</v>
      </c>
      <c r="CA16" s="410"/>
      <c r="CB16" s="2">
        <f>IF(VLOOKUP($B16,$B:AM,COLUMN(W15)-1,FALSE)&lt;&gt;0,VLOOKUP($B16,$B:BA,COLUMN(AZ15)-1,FALSE)/VLOOKUP($B16,$B:AM,COLUMN(W15)-1,FALSE),IF(VLOOKUP($B16,$B:BA,COLUMN(AZ15)-1,FALSE)&lt;&gt;0,"unknown",0))</f>
        <v>0</v>
      </c>
      <c r="CC16" s="2">
        <f>IF(VLOOKUP($B16,$B:AN,COLUMN(X15)-1,FALSE)&lt;&gt;0,VLOOKUP($B16,$B:BB,COLUMN(BA15)-1,FALSE)/VLOOKUP($B16,$B:AN,COLUMN(X15)-1,FALSE),IF(VLOOKUP($B16,$B:BB,COLUMN(BA15)-1,FALSE)&lt;&gt;0,"unknown",0))</f>
        <v>0</v>
      </c>
      <c r="CD16" s="2">
        <f>IF(VLOOKUP($B16,$B:AO,COLUMN(Y15)-1,FALSE)&lt;&gt;0,VLOOKUP($B16,$B:BC,COLUMN(BB15)-1,FALSE)/VLOOKUP($B16,$B:AO,COLUMN(Y15)-1,FALSE),IF(VLOOKUP($B16,$B:BC,COLUMN(BB15)-1,FALSE)&lt;&gt;0,"unknown",0))</f>
        <v>0</v>
      </c>
      <c r="CE16" s="2">
        <f>IF(VLOOKUP($B16,$B:AP,COLUMN(Z15)-1,FALSE)&lt;&gt;0,VLOOKUP($B16,$B:BD,COLUMN(BC15)-1,FALSE)/VLOOKUP($B16,$B:AP,COLUMN(Z15)-1,FALSE),IF(VLOOKUP($B16,$B:BD,COLUMN(BC15)-1,FALSE)&lt;&gt;0,"unknown",0))</f>
        <v>0</v>
      </c>
      <c r="CF16" s="2">
        <f>IF(VLOOKUP($B16,$B:AR,COLUMN(AA15)-1,FALSE)&lt;&gt;0,VLOOKUP($B16,$B:BF,COLUMN(BD15)-1,FALSE)/VLOOKUP($B16,$B:AR,COLUMN(AA15)-1,FALSE),IF(VLOOKUP($B16,$B:BF,COLUMN(BD15)-1,FALSE)&lt;&gt;0,"unknown",0))</f>
        <v>0</v>
      </c>
      <c r="CG16" s="2">
        <f>IF(VLOOKUP($B16,$B:AS,COLUMN(AB15)-1,FALSE)&lt;&gt;0,VLOOKUP($B16,$B:BG,COLUMN(BE15)-1,FALSE)/VLOOKUP($B16,$B:AS,COLUMN(AB15)-1,FALSE),IF(VLOOKUP($B16,$B:BG,COLUMN(BE15)-1,FALSE)&lt;&gt;0,"unknown",0))</f>
        <v>0</v>
      </c>
      <c r="CH16" s="2">
        <f>IF(VLOOKUP($B16,$B:AS,COLUMN(AC15)-1,FALSE)&lt;&gt;0,VLOOKUP($B16,$B:BG,COLUMN(BF15)-1,FALSE)/VLOOKUP($B16,$B:AS,COLUMN(AC15)-1,FALSE),IF(VLOOKUP($B16,$B:BG,COLUMN(BF15)-1,FALSE)&lt;&gt;0,"unknown",0))</f>
        <v>0</v>
      </c>
      <c r="CI16" s="2">
        <f>IF(VLOOKUP($B16,$B:AT,COLUMN(AD15)-1,FALSE)&lt;&gt;0,VLOOKUP($B16,$B:BH,COLUMN(BG15)-1,FALSE)/VLOOKUP($B16,$B:AT,COLUMN(AD15)-1,FALSE),IF(VLOOKUP($B16,$B:BH,COLUMN(BG15)-1,FALSE)&lt;&gt;0,"unknown",0))</f>
        <v>0</v>
      </c>
      <c r="CJ16" s="2">
        <f>IF(VLOOKUP($B16,$B:AT,COLUMN(AE15)-1,FALSE)&lt;&gt;0,VLOOKUP($B16,$B:BH,COLUMN(BH15)-1,FALSE)/VLOOKUP($B16,$B:AT,COLUMN(AE15)-1,FALSE),IF(VLOOKUP($B16,$B:BH,COLUMN(BH15)-1,FALSE)&lt;&gt;0,"unknown",0))</f>
        <v>0</v>
      </c>
      <c r="CK16" s="2">
        <f>IF(VLOOKUP($B16,$B:AU,COLUMN(AG15)-1,FALSE)&lt;&gt;0,VLOOKUP($B16,$B:BI,COLUMN(BI15)-1,FALSE)/VLOOKUP($B16,$B:AU,COLUMN(AG15)-1,FALSE),IF(VLOOKUP($B16,$B:BI,COLUMN(BI15)-1,FALSE)&lt;&gt;0,"unknown",0))</f>
        <v>0</v>
      </c>
      <c r="CL16" s="2">
        <f>IF(VLOOKUP($B16,$B:AV,COLUMN(AH15)-1,FALSE)&lt;&gt;0,VLOOKUP($B16,$B:BJ,COLUMN(BJ15)-1,FALSE)/VLOOKUP($B16,$B:AV,COLUMN(AH15)-1,FALSE),IF(VLOOKUP($B16,$B:BJ,COLUMN(BJ15)-1,FALSE)&lt;&gt;0,"unknown",0))</f>
        <v>0</v>
      </c>
      <c r="CM16" s="2">
        <f>IF(VLOOKUP($B16,$B:AW,COLUMN(AI15)-1,FALSE)&lt;&gt;0,VLOOKUP($B16,$B:BK,COLUMN(BK15)-1,FALSE)/VLOOKUP($B16,$B:AW,COLUMN(AI15)-1,FALSE),IF(VLOOKUP($B16,$B:BK,COLUMN(BK15)-1,FALSE)&lt;&gt;0,"unknown",0))</f>
        <v>0</v>
      </c>
      <c r="CN16" s="2">
        <f>IF(VLOOKUP($B16,$B:AX,COLUMN(AJ15)-1,FALSE)&lt;&gt;0,VLOOKUP($B16,$B:BL,COLUMN(BL15)-1,FALSE)/VLOOKUP($B16,$B:AX,COLUMN(AJ15)-1,FALSE),IF(VLOOKUP($B16,$B:BL,COLUMN(BL15)-1,FALSE)&lt;&gt;0,"unknown",0))</f>
        <v>0</v>
      </c>
      <c r="CO16" s="410"/>
      <c r="CP16" s="2">
        <f>SUMIFS('Bilateral Assistance, MAIN DATA'!$M:$M,'Bilateral Assistance, MAIN DATA'!$B:$B,'Share, Heavy Weapons to Ukraine'!$B16,'Bilateral Assistance, MAIN DATA'!$AO:$AO,'Share, Heavy Weapons to Ukraine'!CP$11, 'Bilateral Assistance, MAIN DATA'!$AA:$AA,1)</f>
        <v>0</v>
      </c>
      <c r="CQ16" s="2">
        <f>SUMIFS('Bilateral Assistance, MAIN DATA'!$M:$M,'Bilateral Assistance, MAIN DATA'!$B:$B,'Share, Heavy Weapons to Ukraine'!$B16,'Bilateral Assistance, MAIN DATA'!$AO:$AO,'Share, Heavy Weapons to Ukraine'!CQ$11, 'Bilateral Assistance, MAIN DATA'!$AA:$AA,1)</f>
        <v>0</v>
      </c>
      <c r="CR16" s="2">
        <f>SUMIFS('Bilateral Assistance, MAIN DATA'!$M:$M,'Bilateral Assistance, MAIN DATA'!$B:$B,'Share, Heavy Weapons to Ukraine'!$B16,'Bilateral Assistance, MAIN DATA'!$AO:$AO,'Share, Heavy Weapons to Ukraine'!CR$11, 'Bilateral Assistance, MAIN DATA'!$AA:$AA,1)</f>
        <v>0</v>
      </c>
      <c r="CS16" s="2">
        <f>SUMIFS('Bilateral Assistance, MAIN DATA'!$M:$M,'Bilateral Assistance, MAIN DATA'!$B:$B,'Share, Heavy Weapons to Ukraine'!$B16,'Bilateral Assistance, MAIN DATA'!$AO:$AO,'Share, Heavy Weapons to Ukraine'!CS$11, 'Bilateral Assistance, MAIN DATA'!$AA:$AA,1)</f>
        <v>0</v>
      </c>
      <c r="CT16" s="410"/>
      <c r="CU16" s="2">
        <f>SUMIFS('Bilateral Assistance, MAIN DATA'!$N:$N,'Bilateral Assistance, MAIN DATA'!$B:$B,'Share, Heavy Weapons to Ukraine'!$B16,'Bilateral Assistance, MAIN DATA'!$AO:$AO,'Share, Heavy Weapons to Ukraine'!CU$11, 'Bilateral Assistance, MAIN DATA'!$AA:$AA,1)</f>
        <v>0</v>
      </c>
      <c r="CV16" s="2">
        <f>SUMIFS('Bilateral Assistance, MAIN DATA'!$N:$N,'Bilateral Assistance, MAIN DATA'!$B:$B,'Share, Heavy Weapons to Ukraine'!$B16,'Bilateral Assistance, MAIN DATA'!$AO:$AO,'Share, Heavy Weapons to Ukraine'!CV$11, 'Bilateral Assistance, MAIN DATA'!$AA:$AA,1)</f>
        <v>0</v>
      </c>
      <c r="CW16" s="2">
        <f>SUMIFS('Bilateral Assistance, MAIN DATA'!$N:$N,'Bilateral Assistance, MAIN DATA'!$B:$B,'Share, Heavy Weapons to Ukraine'!$B16,'Bilateral Assistance, MAIN DATA'!$AO:$AO,'Share, Heavy Weapons to Ukraine'!CW$11, 'Bilateral Assistance, MAIN DATA'!$AA:$AA,1)</f>
        <v>0</v>
      </c>
      <c r="CX16" s="2">
        <f>SUMIFS('Bilateral Assistance, MAIN DATA'!$N:$N,'Bilateral Assistance, MAIN DATA'!$B:$B,'Share, Heavy Weapons to Ukraine'!$B16,'Bilateral Assistance, MAIN DATA'!$AO:$AO,'Share, Heavy Weapons to Ukraine'!CX$11, 'Bilateral Assistance, MAIN DATA'!$AA:$AA,1)</f>
        <v>0</v>
      </c>
    </row>
    <row r="17" spans="2:102" ht="15.6">
      <c r="B17" s="409" t="s">
        <v>359</v>
      </c>
      <c r="C17" s="409">
        <v>0</v>
      </c>
      <c r="D17" s="2">
        <v>0</v>
      </c>
      <c r="E17" s="410"/>
      <c r="F17" s="569" t="s">
        <v>364</v>
      </c>
      <c r="G17" s="569" t="s">
        <v>364</v>
      </c>
      <c r="H17" s="569" t="s">
        <v>364</v>
      </c>
      <c r="I17" s="569" t="s">
        <v>364</v>
      </c>
      <c r="J17" s="569" t="s">
        <v>364</v>
      </c>
      <c r="K17" s="569" t="s">
        <v>364</v>
      </c>
      <c r="L17" s="569" t="s">
        <v>364</v>
      </c>
      <c r="M17" s="569" t="s">
        <v>364</v>
      </c>
      <c r="N17" s="569" t="s">
        <v>364</v>
      </c>
      <c r="O17" s="569" t="s">
        <v>364</v>
      </c>
      <c r="P17" s="569" t="s">
        <v>364</v>
      </c>
      <c r="Q17" s="569" t="s">
        <v>364</v>
      </c>
      <c r="R17" s="569" t="s">
        <v>364</v>
      </c>
      <c r="S17" s="569" t="s">
        <v>364</v>
      </c>
      <c r="T17" s="569" t="s">
        <v>364</v>
      </c>
      <c r="U17" s="410" t="str">
        <f>""</f>
        <v/>
      </c>
      <c r="V17" s="1334">
        <v>34.299999999999997</v>
      </c>
      <c r="W17" s="1334">
        <f>VLOOKUP(B17,'Heavy Weapon Stocks'!B:OA,COLUMN('Heavy Weapon Stocks'!$C$11)-1,FALSE)+IF(F17&lt;&gt;".",F17,0)</f>
        <v>59</v>
      </c>
      <c r="X17" s="1334">
        <f>VLOOKUP(B17,'Heavy Weapon Stocks'!B:OA,COLUMN('Heavy Weapon Stocks'!$AQ$11)-1,FALSE)</f>
        <v>431</v>
      </c>
      <c r="Y17" s="1334">
        <f>VLOOKUP(B17,'Heavy Weapon Stocks'!B:OA,COLUMN('Heavy Weapon Stocks'!$DK$11)-1,FALSE)</f>
        <v>0</v>
      </c>
      <c r="Z17" s="1334">
        <f>VLOOKUP(B17,'Heavy Weapon Stocks'!B:OA,COLUMN('Heavy Weapon Stocks'!$DY$11)-1,FALSE)</f>
        <v>1120</v>
      </c>
      <c r="AA17" s="1334">
        <f>VLOOKUP(B17,'Heavy Weapon Stocks'!B:OA,COLUMN('Heavy Weapon Stocks'!$FA$11)-1,FALSE)+IF(G17&lt;&gt;".",G17,0)</f>
        <v>253</v>
      </c>
      <c r="AB17" s="1334">
        <f t="shared" si="3"/>
        <v>1804</v>
      </c>
      <c r="AC17" s="1334">
        <f>VLOOKUP(B17,'Heavy Weapon Stocks'!B:OA,COLUMN('Heavy Weapon Stocks'!$GV$11)-1,FALSE)+VLOOKUP(B17,'Heavy Weapon Stocks'!B:OA,COLUMN('Heavy Weapon Stocks'!$HY$11)-1,FALSE)+IF(H17&lt;&gt;".",H17,0)</f>
        <v>54</v>
      </c>
      <c r="AD17" s="1334">
        <f>VLOOKUP(B17,'Heavy Weapon Stocks'!B:OA,COLUMN('Heavy Weapon Stocks'!$IF$11)-1,FALSE)+IF(I17&lt;&gt;".",I17,0)</f>
        <v>0</v>
      </c>
      <c r="AE17" s="1334">
        <f>VLOOKUP(B17,'Heavy Weapon Stocks'!B:OA,COLUMN('Heavy Weapon Stocks'!$IZ$11)-1,FALSE)+VLOOKUP(B17,'Heavy Weapon Stocks'!B:OA,COLUMN('Heavy Weapon Stocks'!$JW$11)-1,FALSE)</f>
        <v>68</v>
      </c>
      <c r="AF17" s="1334">
        <f>VLOOKUP(B17,'Heavy Weapon Stocks'!B:OA,COLUMN('Heavy Weapon Stocks'!$NL$11)-1,FALSE)+IF(L17&lt;&gt;".",L17,0)</f>
        <v>0</v>
      </c>
      <c r="AG17" s="1334">
        <f>VLOOKUP(B17,'Heavy Weapon Stocks'!B:OA,COLUMN('Heavy Weapon Stocks'!$LN$11)-1,FALSE)+IF(M17&lt;&gt;".",M17,0)</f>
        <v>0</v>
      </c>
      <c r="AH17" s="1334">
        <f>VLOOKUP(B17,'Heavy Weapon Stocks'!B:OA,COLUMN('Heavy Weapon Stocks'!$LX$11)-1,FALSE)+IF(N17&lt;&gt;".",N17,0)</f>
        <v>0</v>
      </c>
      <c r="AI17" s="1334">
        <f>VLOOKUP(B17,'Heavy Weapon Stocks'!B:OA,COLUMN('Heavy Weapon Stocks'!$ME$11)-1,FALSE)+IF(O17&lt;&gt;".",O17,0)</f>
        <v>0</v>
      </c>
      <c r="AJ17" s="1334">
        <f>VLOOKUP(B17,'Heavy Weapon Stocks'!B:OA,COLUMN('Heavy Weapon Stocks'!$NK$11)-1,FALSE)+IF(P17&lt;&gt;".",P17,0)</f>
        <v>0</v>
      </c>
      <c r="AK17" s="410"/>
      <c r="AL17" s="25">
        <f>SUMIFS('Bilateral Assistance, MAIN DATA'!$M:$M,'Bilateral Assistance, MAIN DATA'!$B:$B,'Share, Heavy Weapons to Ukraine'!$B17,'Bilateral Assistance, MAIN DATA'!$AO:$AO,'Share, Heavy Weapons to Ukraine'!AL$11)</f>
        <v>0</v>
      </c>
      <c r="AM17" s="25">
        <f>SUMIFS('Bilateral Assistance, MAIN DATA'!$M:$M,'Bilateral Assistance, MAIN DATA'!$B:$B,'Share, Heavy Weapons to Ukraine'!$B17,'Bilateral Assistance, MAIN DATA'!$AO:$AO,'Share, Heavy Weapons to Ukraine'!AM$11)</f>
        <v>28</v>
      </c>
      <c r="AN17" s="25">
        <f>SUMIFS('Bilateral Assistance, MAIN DATA'!$M:$M,'Bilateral Assistance, MAIN DATA'!$B:$B,'Share, Heavy Weapons to Ukraine'!$B17,'Bilateral Assistance, MAIN DATA'!$AO:$AO,'Share, Heavy Weapons to Ukraine'!AN$11)</f>
        <v>0</v>
      </c>
      <c r="AO17" s="25">
        <f>SUMIFS('Bilateral Assistance, MAIN DATA'!$M:$M,'Bilateral Assistance, MAIN DATA'!$B:$B,'Share, Heavy Weapons to Ukraine'!$B17,'Bilateral Assistance, MAIN DATA'!$AO:$AO,'Share, Heavy Weapons to Ukraine'!AO$11)</f>
        <v>90</v>
      </c>
      <c r="AP17" s="25">
        <f>SUMIFS('Bilateral Assistance, MAIN DATA'!$M:$M,'Bilateral Assistance, MAIN DATA'!$B:$B,'Share, Heavy Weapons to Ukraine'!$B17,'Bilateral Assistance, MAIN DATA'!$AO:$AO,'Share, Heavy Weapons to Ukraine'!AP$11)</f>
        <v>0</v>
      </c>
      <c r="AQ17" s="25">
        <f t="shared" si="1"/>
        <v>118</v>
      </c>
      <c r="AR17" s="25">
        <f>SUMIFS('Bilateral Assistance, MAIN DATA'!$M:$M,'Bilateral Assistance, MAIN DATA'!$B:$B,'Share, Heavy Weapons to Ukraine'!$B17,'Bilateral Assistance, MAIN DATA'!$AO:$AO,"155mm howitzer")+SUMIFS('Bilateral Assistance, MAIN DATA'!$M:$M,'Bilateral Assistance, MAIN DATA'!$B:$B,'Share, Heavy Weapons to Ukraine'!$B17,'Bilateral Assistance, MAIN DATA'!$AO:$AO,"152mm howitzer")</f>
        <v>6</v>
      </c>
      <c r="AS17" s="25">
        <f>SUMIFS('Bilateral Assistance, MAIN DATA'!$M:$M,'Bilateral Assistance, MAIN DATA'!$B:$B,'Share, Heavy Weapons to Ukraine'!$B17,'Bilateral Assistance, MAIN DATA'!$AO:$AO,"122mm MLRS")+SUMIFS('Bilateral Assistance, MAIN DATA'!$M:$M,'Bilateral Assistance, MAIN DATA'!$B:$B,'Share, Heavy Weapons to Ukraine'!$B17,'Bilateral Assistance, MAIN DATA'!$AO:$AO,"127mm MLRS")+SUMIFS('Bilateral Assistance, MAIN DATA'!$M:$M,'Bilateral Assistance, MAIN DATA'!$B:$B,'Share, Heavy Weapons to Ukraine'!$B17,'Bilateral Assistance, MAIN DATA'!$AO:$AO,"227mm MLRS")</f>
        <v>0</v>
      </c>
      <c r="AT17" s="25">
        <f>SUMIFS('Bilateral Assistance, MAIN DATA'!$M:$M,'Bilateral Assistance, MAIN DATA'!$B:$B,'Share, Heavy Weapons to Ukraine'!$B17,'Bilateral Assistance, MAIN DATA'!$AO:$AO,'Share, Heavy Weapons to Ukraine'!AT$11)</f>
        <v>0</v>
      </c>
      <c r="AU17" s="25">
        <f>SUMIFS('Bilateral Assistance, MAIN DATA'!$M:$M,'Bilateral Assistance, MAIN DATA'!$B:$B,'Share, Heavy Weapons to Ukraine'!$B17,'Bilateral Assistance, MAIN DATA'!$AO:$AO,'Share, Heavy Weapons to Ukraine'!AU$11)</f>
        <v>0</v>
      </c>
      <c r="AV17" s="25">
        <f>SUMIFS('Bilateral Assistance, MAIN DATA'!$M:$M,'Bilateral Assistance, MAIN DATA'!$B:$B,'Share, Heavy Weapons to Ukraine'!$B17,'Bilateral Assistance, MAIN DATA'!$AO:$AO,'Share, Heavy Weapons to Ukraine'!AV$11)</f>
        <v>0</v>
      </c>
      <c r="AW17" s="25">
        <f>SUMIFS('Bilateral Assistance, MAIN DATA'!$M:$M,'Bilateral Assistance, MAIN DATA'!$B:$B,'Share, Heavy Weapons to Ukraine'!$B17,'Bilateral Assistance, MAIN DATA'!$AO:$AO,'Share, Heavy Weapons to Ukraine'!AW$11)</f>
        <v>0</v>
      </c>
      <c r="AX17" s="25">
        <f>SUMIFS('Bilateral Assistance, MAIN DATA'!$M:$M,'Bilateral Assistance, MAIN DATA'!$B:$B,'Share, Heavy Weapons to Ukraine'!$B17,'Bilateral Assistance, MAIN DATA'!$AO:$AO,'Share, Heavy Weapons to Ukraine'!AX$11)</f>
        <v>0</v>
      </c>
      <c r="AY17" s="410"/>
      <c r="AZ17" s="25">
        <f>SUMIFS('Bilateral Assistance, MAIN DATA'!$N:$N,'Bilateral Assistance, MAIN DATA'!$B:$B,'Share, Heavy Weapons to Ukraine'!$B17,'Bilateral Assistance, MAIN DATA'!$AO:$AO,'Share, Heavy Weapons to Ukraine'!AZ$11)</f>
        <v>0</v>
      </c>
      <c r="BA17" s="25">
        <f>SUMIFS('Bilateral Assistance, MAIN DATA'!$N:$N,'Bilateral Assistance, MAIN DATA'!$B:$B,'Share, Heavy Weapons to Ukraine'!$B17,'Bilateral Assistance, MAIN DATA'!$AO:$AO,'Share, Heavy Weapons to Ukraine'!BA$11)</f>
        <v>28</v>
      </c>
      <c r="BB17" s="25">
        <f>SUMIFS('Bilateral Assistance, MAIN DATA'!$N:$N,'Bilateral Assistance, MAIN DATA'!$B:$B,'Share, Heavy Weapons to Ukraine'!$B17,'Bilateral Assistance, MAIN DATA'!$AO:$AO,'Share, Heavy Weapons to Ukraine'!BB$11)</f>
        <v>0</v>
      </c>
      <c r="BC17" s="25">
        <f>SUMIFS('Bilateral Assistance, MAIN DATA'!$N:$N,'Bilateral Assistance, MAIN DATA'!$B:$B,'Share, Heavy Weapons to Ukraine'!$B17,'Bilateral Assistance, MAIN DATA'!$AO:$AO,'Share, Heavy Weapons to Ukraine'!BC$11)</f>
        <v>90</v>
      </c>
      <c r="BD17" s="25">
        <f>SUMIFS('Bilateral Assistance, MAIN DATA'!$N:$N,'Bilateral Assistance, MAIN DATA'!$B:$B,'Share, Heavy Weapons to Ukraine'!$B17,'Bilateral Assistance, MAIN DATA'!$AO:$AO,'Share, Heavy Weapons to Ukraine'!BD$11)</f>
        <v>0</v>
      </c>
      <c r="BE17" s="25">
        <f t="shared" si="2"/>
        <v>118</v>
      </c>
      <c r="BF17" s="25">
        <f>SUMIFS('Bilateral Assistance, MAIN DATA'!$N:$N,'Bilateral Assistance, MAIN DATA'!$B:$B,'Share, Heavy Weapons to Ukraine'!$B17,'Bilateral Assistance, MAIN DATA'!$AO:$AO,"155mm howitzer")+SUMIFS('Bilateral Assistance, MAIN DATA'!$N:$N,'Bilateral Assistance, MAIN DATA'!$B:$B,'Share, Heavy Weapons to Ukraine'!$B17,'Bilateral Assistance, MAIN DATA'!$AO:$AO,"152mm howitzer")</f>
        <v>6</v>
      </c>
      <c r="BG17" s="25">
        <f>SUMIFS('Bilateral Assistance, MAIN DATA'!$N:$N,'Bilateral Assistance, MAIN DATA'!$B:$B,'Share, Heavy Weapons to Ukraine'!$B17,'Bilateral Assistance, MAIN DATA'!$AO:$AO,"122mm MLRS")+SUMIFS('Bilateral Assistance, MAIN DATA'!$N:$N,'Bilateral Assistance, MAIN DATA'!$B:$B,'Share, Heavy Weapons to Ukraine'!$B17,'Bilateral Assistance, MAIN DATA'!$AO:$AO,"127mm MLRS")+SUMIFS('Bilateral Assistance, MAIN DATA'!$N:$N,'Bilateral Assistance, MAIN DATA'!$B:$B,'Share, Heavy Weapons to Ukraine'!$B17,'Bilateral Assistance, MAIN DATA'!$AO:$AO,"227mm MLRS")</f>
        <v>0</v>
      </c>
      <c r="BH17" s="25">
        <f>SUMIFS('Bilateral Assistance, MAIN DATA'!$N:$N,'Bilateral Assistance, MAIN DATA'!$B:$B,'Share, Heavy Weapons to Ukraine'!$B17,'Bilateral Assistance, MAIN DATA'!$AO:$AO,'Share, Heavy Weapons to Ukraine'!BH$11)</f>
        <v>0</v>
      </c>
      <c r="BI17" s="25">
        <f>SUMIFS('Bilateral Assistance, MAIN DATA'!$N:$N,'Bilateral Assistance, MAIN DATA'!$B:$B,'Share, Heavy Weapons to Ukraine'!$B17,'Bilateral Assistance, MAIN DATA'!$AO:$AO,'Share, Heavy Weapons to Ukraine'!BI$11)</f>
        <v>0</v>
      </c>
      <c r="BJ17" s="25">
        <f>SUMIFS('Bilateral Assistance, MAIN DATA'!$N:$N,'Bilateral Assistance, MAIN DATA'!$B:$B,'Share, Heavy Weapons to Ukraine'!$B17,'Bilateral Assistance, MAIN DATA'!$AO:$AO,'Share, Heavy Weapons to Ukraine'!BJ$11)</f>
        <v>0</v>
      </c>
      <c r="BK17" s="25">
        <f>SUMIFS('Bilateral Assistance, MAIN DATA'!$N:$N,'Bilateral Assistance, MAIN DATA'!$B:$B,'Share, Heavy Weapons to Ukraine'!$B17,'Bilateral Assistance, MAIN DATA'!$AO:$AO,'Share, Heavy Weapons to Ukraine'!BK$11)</f>
        <v>0</v>
      </c>
      <c r="BL17" s="25">
        <f>SUMIFS('Bilateral Assistance, MAIN DATA'!$N:$N,'Bilateral Assistance, MAIN DATA'!$B:$B,'Share, Heavy Weapons to Ukraine'!$B17,'Bilateral Assistance, MAIN DATA'!$AO:$AO,'Share, Heavy Weapons to Ukraine'!BL$11)</f>
        <v>0</v>
      </c>
      <c r="BM17" s="410"/>
      <c r="BN17" s="261">
        <f>IF(VLOOKUP($B17,$B:W,COLUMN(W16)-1,FALSE)&lt;&gt;0,VLOOKUP($B17,$B:AL,COLUMN(AL16)-1,FALSE)/VLOOKUP($B17,$B:W,COLUMN(W16)-1,FALSE),IF(VLOOKUP($B17,$B:AL,COLUMN(AL16)-1,FALSE)&lt;&gt;0,"unknown",0))</f>
        <v>0</v>
      </c>
      <c r="BO17" s="261">
        <f>IF(VLOOKUP($B17,$B:X,COLUMN(X16)-1,FALSE)&lt;&gt;0,VLOOKUP($B17,$B:AM,COLUMN(AM16)-1,FALSE)/VLOOKUP($B17,$B:X,COLUMN(X16)-1,FALSE),IF(VLOOKUP($B17,$B:AM,COLUMN(AM16)-1,FALSE)&lt;&gt;0,"unknown",0))</f>
        <v>6.4965197215777259E-2</v>
      </c>
      <c r="BP17" s="261">
        <f>IF(VLOOKUP($B17,$B:Y,COLUMN(Y16)-1,FALSE)&lt;&gt;0,VLOOKUP($B17,$B:AN,COLUMN(AN16)-1,FALSE)/VLOOKUP($B17,$B:Y,COLUMN(Y16)-1,FALSE),IF(VLOOKUP($B17,$B:AN,COLUMN(AN16)-1,FALSE)&lt;&gt;0,"unknown",0))</f>
        <v>0</v>
      </c>
      <c r="BQ17" s="261">
        <f>IF(VLOOKUP($B17,$B:Z,COLUMN(Z16)-1,FALSE)&lt;&gt;0,VLOOKUP($B17,$B:AO,COLUMN(AO16)-1,FALSE)/VLOOKUP($B17,$B:Z,COLUMN(Z16)-1,FALSE),IF(VLOOKUP($B17,$B:AO,COLUMN(AO16)-1,FALSE)&lt;&gt;0,"unknown",0))</f>
        <v>8.0357142857142863E-2</v>
      </c>
      <c r="BR17" s="261">
        <f>IF(VLOOKUP($B17,$B:AA,COLUMN(AA16)-1,FALSE)&lt;&gt;0,VLOOKUP($B17,$B:AP,COLUMN(AP16)-1,FALSE)/VLOOKUP($B17,$B:AA,COLUMN(AA16)-1,FALSE),IF(VLOOKUP($B17,$B:AP,COLUMN(AP16)-1,FALSE)&lt;&gt;0,"unknown",0))</f>
        <v>0</v>
      </c>
      <c r="BS17" s="261">
        <f>IF(VLOOKUP($B17,$B:AB,COLUMN(AB16)-1,FALSE)&lt;&gt;0,VLOOKUP($B17,$B:AQ,COLUMN(AQ16)-1,FALSE)/VLOOKUP($B17,$B:AB,COLUMN(AB16)-1,FALSE),IF(VLOOKUP($B17,$B:AQ,COLUMN(AQ16)-1,FALSE)&lt;&gt;0,"unknown",0))</f>
        <v>6.5410199556541024E-2</v>
      </c>
      <c r="BT17" s="261">
        <f>IF(VLOOKUP($B17,$B:AC,COLUMN(AC16)-1,FALSE)&lt;&gt;0,VLOOKUP($B17,$B:AR,COLUMN(AR16)-1,FALSE)/VLOOKUP($B17,$B:AC,COLUMN(AC16)-1,FALSE),IF(VLOOKUP($B17,$B:AR,COLUMN(AR16)-1,FALSE)&lt;&gt;0,"unknown",0))</f>
        <v>0.1111111111111111</v>
      </c>
      <c r="BU17" s="261">
        <f>IF(VLOOKUP($B17,$B:AD,COLUMN(AD16)-1,FALSE)&lt;&gt;0,VLOOKUP($B17,$B:AS,COLUMN(AS16)-1,FALSE)/VLOOKUP($B17,$B:AD,COLUMN(AD16)-1,FALSE),IF(VLOOKUP($B17,$B:AS,COLUMN(AS16)-1,FALSE)&lt;&gt;0,"unknown",0))</f>
        <v>0</v>
      </c>
      <c r="BV17" s="261">
        <f>IF(VLOOKUP($B17,$B:AE,COLUMN(AE16)-1,FALSE)&lt;&gt;0,VLOOKUP($B17,$B:AT,COLUMN(AT16)-1,FALSE)/VLOOKUP($B17,$B:AE,COLUMN(AE16)-1,FALSE),IF(VLOOKUP($B17,$B:AT,COLUMN(AT16)-1,FALSE)&lt;&gt;0,"unknown",0))</f>
        <v>0</v>
      </c>
      <c r="BW17" s="261">
        <f>IF(VLOOKUP($B17,$B:AG,COLUMN(AG16)-1,FALSE)&lt;&gt;0,VLOOKUP($B17,$B:AU,COLUMN(AU16)-1,FALSE)/VLOOKUP($B17,$B:AG,COLUMN(AG16)-1,FALSE),IF(VLOOKUP($B17,$B:AU,COLUMN(AU16)-1,FALSE)&lt;&gt;0,"unknown",0))</f>
        <v>0</v>
      </c>
      <c r="BX17" s="261">
        <f>IF(VLOOKUP($B17,$B:AH,COLUMN(AH16)-1,FALSE)&lt;&gt;0,VLOOKUP($B17,$B:AV,COLUMN(AV16)-1,FALSE)/VLOOKUP($B17,$B:AH,COLUMN(AH16)-1,FALSE),IF(VLOOKUP($B17,$B:AV,COLUMN(AV16)-1,FALSE)&lt;&gt;0,"unknown",0))</f>
        <v>0</v>
      </c>
      <c r="BY17" s="261">
        <f>IF(VLOOKUP($B17,$B:AI,COLUMN(AI16)-1,FALSE)&lt;&gt;0,VLOOKUP($B17,$B:AW,COLUMN(AW16)-1,FALSE)/VLOOKUP($B17,$B:AI,COLUMN(AI16)-1,FALSE),IF(VLOOKUP($B17,$B:AW,COLUMN(AW16)-1,FALSE)&lt;&gt;0,"unknown",0))</f>
        <v>0</v>
      </c>
      <c r="BZ17" s="261">
        <f>IF(VLOOKUP($B17,$B:AJ,COLUMN(AJ16)-1,FALSE)&lt;&gt;0,VLOOKUP($B17,$B:AX,COLUMN(AX16)-1,FALSE)/VLOOKUP($B17,$B:AJ,COLUMN(AJ16)-1,FALSE),IF(VLOOKUP($B17,$B:AX,COLUMN(AX16)-1,FALSE)&lt;&gt;0,"unknown",0))</f>
        <v>0</v>
      </c>
      <c r="CA17" s="410"/>
      <c r="CB17" s="2">
        <f>IF(VLOOKUP($B17,$B:AM,COLUMN(W16)-1,FALSE)&lt;&gt;0,VLOOKUP($B17,$B:BA,COLUMN(AZ16)-1,FALSE)/VLOOKUP($B17,$B:AM,COLUMN(W16)-1,FALSE),IF(VLOOKUP($B17,$B:BA,COLUMN(AZ16)-1,FALSE)&lt;&gt;0,"unknown",0))</f>
        <v>0</v>
      </c>
      <c r="CC17" s="2">
        <f>IF(VLOOKUP($B17,$B:AN,COLUMN(X16)-1,FALSE)&lt;&gt;0,VLOOKUP($B17,$B:BB,COLUMN(BA16)-1,FALSE)/VLOOKUP($B17,$B:AN,COLUMN(X16)-1,FALSE),IF(VLOOKUP($B17,$B:BB,COLUMN(BA16)-1,FALSE)&lt;&gt;0,"unknown",0))</f>
        <v>6.4965197215777259E-2</v>
      </c>
      <c r="CD17" s="2">
        <f>IF(VLOOKUP($B17,$B:AO,COLUMN(Y16)-1,FALSE)&lt;&gt;0,VLOOKUP($B17,$B:BC,COLUMN(BB16)-1,FALSE)/VLOOKUP($B17,$B:AO,COLUMN(Y16)-1,FALSE),IF(VLOOKUP($B17,$B:BC,COLUMN(BB16)-1,FALSE)&lt;&gt;0,"unknown",0))</f>
        <v>0</v>
      </c>
      <c r="CE17" s="2">
        <f>IF(VLOOKUP($B17,$B:AP,COLUMN(Z16)-1,FALSE)&lt;&gt;0,VLOOKUP($B17,$B:BD,COLUMN(BC16)-1,FALSE)/VLOOKUP($B17,$B:AP,COLUMN(Z16)-1,FALSE),IF(VLOOKUP($B17,$B:BD,COLUMN(BC16)-1,FALSE)&lt;&gt;0,"unknown",0))</f>
        <v>8.0357142857142863E-2</v>
      </c>
      <c r="CF17" s="2">
        <f>IF(VLOOKUP($B17,$B:AR,COLUMN(AA16)-1,FALSE)&lt;&gt;0,VLOOKUP($B17,$B:BF,COLUMN(BD16)-1,FALSE)/VLOOKUP($B17,$B:AR,COLUMN(AA16)-1,FALSE),IF(VLOOKUP($B17,$B:BF,COLUMN(BD16)-1,FALSE)&lt;&gt;0,"unknown",0))</f>
        <v>0</v>
      </c>
      <c r="CG17" s="2">
        <f>IF(VLOOKUP($B17,$B:AS,COLUMN(AB16)-1,FALSE)&lt;&gt;0,VLOOKUP($B17,$B:BG,COLUMN(BE16)-1,FALSE)/VLOOKUP($B17,$B:AS,COLUMN(AB16)-1,FALSE),IF(VLOOKUP($B17,$B:BG,COLUMN(BE16)-1,FALSE)&lt;&gt;0,"unknown",0))</f>
        <v>6.5410199556541024E-2</v>
      </c>
      <c r="CH17" s="2">
        <f>IF(VLOOKUP($B17,$B:AS,COLUMN(AC16)-1,FALSE)&lt;&gt;0,VLOOKUP($B17,$B:BG,COLUMN(BF16)-1,FALSE)/VLOOKUP($B17,$B:AS,COLUMN(AC16)-1,FALSE),IF(VLOOKUP($B17,$B:BG,COLUMN(BF16)-1,FALSE)&lt;&gt;0,"unknown",0))</f>
        <v>0.1111111111111111</v>
      </c>
      <c r="CI17" s="2">
        <f>IF(VLOOKUP($B17,$B:AT,COLUMN(AD16)-1,FALSE)&lt;&gt;0,VLOOKUP($B17,$B:BH,COLUMN(BG16)-1,FALSE)/VLOOKUP($B17,$B:AT,COLUMN(AD16)-1,FALSE),IF(VLOOKUP($B17,$B:BH,COLUMN(BG16)-1,FALSE)&lt;&gt;0,"unknown",0))</f>
        <v>0</v>
      </c>
      <c r="CJ17" s="2">
        <f>IF(VLOOKUP($B17,$B:AT,COLUMN(AE16)-1,FALSE)&lt;&gt;0,VLOOKUP($B17,$B:BH,COLUMN(BH16)-1,FALSE)/VLOOKUP($B17,$B:AT,COLUMN(AE16)-1,FALSE),IF(VLOOKUP($B17,$B:BH,COLUMN(BH16)-1,FALSE)&lt;&gt;0,"unknown",0))</f>
        <v>0</v>
      </c>
      <c r="CK17" s="2">
        <f>IF(VLOOKUP($B17,$B:AU,COLUMN(AG16)-1,FALSE)&lt;&gt;0,VLOOKUP($B17,$B:BI,COLUMN(BI16)-1,FALSE)/VLOOKUP($B17,$B:AU,COLUMN(AG16)-1,FALSE),IF(VLOOKUP($B17,$B:BI,COLUMN(BI16)-1,FALSE)&lt;&gt;0,"unknown",0))</f>
        <v>0</v>
      </c>
      <c r="CL17" s="2">
        <f>IF(VLOOKUP($B17,$B:AV,COLUMN(AH16)-1,FALSE)&lt;&gt;0,VLOOKUP($B17,$B:BJ,COLUMN(BJ16)-1,FALSE)/VLOOKUP($B17,$B:AV,COLUMN(AH16)-1,FALSE),IF(VLOOKUP($B17,$B:BJ,COLUMN(BJ16)-1,FALSE)&lt;&gt;0,"unknown",0))</f>
        <v>0</v>
      </c>
      <c r="CM17" s="2">
        <f>IF(VLOOKUP($B17,$B:AW,COLUMN(AI16)-1,FALSE)&lt;&gt;0,VLOOKUP($B17,$B:BK,COLUMN(BK16)-1,FALSE)/VLOOKUP($B17,$B:AW,COLUMN(AI16)-1,FALSE),IF(VLOOKUP($B17,$B:BK,COLUMN(BK16)-1,FALSE)&lt;&gt;0,"unknown",0))</f>
        <v>0</v>
      </c>
      <c r="CN17" s="2">
        <f>IF(VLOOKUP($B17,$B:AX,COLUMN(AJ16)-1,FALSE)&lt;&gt;0,VLOOKUP($B17,$B:BL,COLUMN(BL16)-1,FALSE)/VLOOKUP($B17,$B:AX,COLUMN(AJ16)-1,FALSE),IF(VLOOKUP($B17,$B:BL,COLUMN(BL16)-1,FALSE)&lt;&gt;0,"unknown",0))</f>
        <v>0</v>
      </c>
      <c r="CO17" s="410"/>
      <c r="CP17" s="2">
        <f>SUMIFS('Bilateral Assistance, MAIN DATA'!$M:$M,'Bilateral Assistance, MAIN DATA'!$B:$B,'Share, Heavy Weapons to Ukraine'!$B17,'Bilateral Assistance, MAIN DATA'!$AO:$AO,'Share, Heavy Weapons to Ukraine'!CP$11, 'Bilateral Assistance, MAIN DATA'!$AA:$AA,1)</f>
        <v>0</v>
      </c>
      <c r="CQ17" s="2">
        <f>SUMIFS('Bilateral Assistance, MAIN DATA'!$M:$M,'Bilateral Assistance, MAIN DATA'!$B:$B,'Share, Heavy Weapons to Ukraine'!$B17,'Bilateral Assistance, MAIN DATA'!$AO:$AO,'Share, Heavy Weapons to Ukraine'!CQ$11, 'Bilateral Assistance, MAIN DATA'!$AA:$AA,1)</f>
        <v>0</v>
      </c>
      <c r="CR17" s="2">
        <f>SUMIFS('Bilateral Assistance, MAIN DATA'!$M:$M,'Bilateral Assistance, MAIN DATA'!$B:$B,'Share, Heavy Weapons to Ukraine'!$B17,'Bilateral Assistance, MAIN DATA'!$AO:$AO,'Share, Heavy Weapons to Ukraine'!CR$11, 'Bilateral Assistance, MAIN DATA'!$AA:$AA,1)</f>
        <v>0</v>
      </c>
      <c r="CS17" s="2">
        <f>SUMIFS('Bilateral Assistance, MAIN DATA'!$M:$M,'Bilateral Assistance, MAIN DATA'!$B:$B,'Share, Heavy Weapons to Ukraine'!$B17,'Bilateral Assistance, MAIN DATA'!$AO:$AO,'Share, Heavy Weapons to Ukraine'!CS$11, 'Bilateral Assistance, MAIN DATA'!$AA:$AA,1)</f>
        <v>0</v>
      </c>
      <c r="CT17" s="410"/>
      <c r="CU17" s="2">
        <f>SUMIFS('Bilateral Assistance, MAIN DATA'!$N:$N,'Bilateral Assistance, MAIN DATA'!$B:$B,'Share, Heavy Weapons to Ukraine'!$B17,'Bilateral Assistance, MAIN DATA'!$AO:$AO,'Share, Heavy Weapons to Ukraine'!CU$11, 'Bilateral Assistance, MAIN DATA'!$AA:$AA,1)</f>
        <v>0</v>
      </c>
      <c r="CV17" s="2">
        <f>SUMIFS('Bilateral Assistance, MAIN DATA'!$N:$N,'Bilateral Assistance, MAIN DATA'!$B:$B,'Share, Heavy Weapons to Ukraine'!$B17,'Bilateral Assistance, MAIN DATA'!$AO:$AO,'Share, Heavy Weapons to Ukraine'!CV$11, 'Bilateral Assistance, MAIN DATA'!$AA:$AA,1)</f>
        <v>0</v>
      </c>
      <c r="CW17" s="2">
        <f>SUMIFS('Bilateral Assistance, MAIN DATA'!$N:$N,'Bilateral Assistance, MAIN DATA'!$B:$B,'Share, Heavy Weapons to Ukraine'!$B17,'Bilateral Assistance, MAIN DATA'!$AO:$AO,'Share, Heavy Weapons to Ukraine'!CW$11, 'Bilateral Assistance, MAIN DATA'!$AA:$AA,1)</f>
        <v>0</v>
      </c>
      <c r="CX17" s="2">
        <f>SUMIFS('Bilateral Assistance, MAIN DATA'!$N:$N,'Bilateral Assistance, MAIN DATA'!$B:$B,'Share, Heavy Weapons to Ukraine'!$B17,'Bilateral Assistance, MAIN DATA'!$AO:$AO,'Share, Heavy Weapons to Ukraine'!CX$11, 'Bilateral Assistance, MAIN DATA'!$AA:$AA,1)</f>
        <v>0</v>
      </c>
    </row>
    <row r="18" spans="2:102" ht="15.6">
      <c r="B18" s="409" t="s">
        <v>2204</v>
      </c>
      <c r="C18" s="409">
        <v>0</v>
      </c>
      <c r="D18" s="2">
        <v>1</v>
      </c>
      <c r="E18" s="410"/>
      <c r="F18" s="569" t="s">
        <v>364</v>
      </c>
      <c r="G18" s="569" t="s">
        <v>364</v>
      </c>
      <c r="H18" s="569">
        <v>124</v>
      </c>
      <c r="I18" s="569" t="s">
        <v>364</v>
      </c>
      <c r="J18" s="569" t="s">
        <v>364</v>
      </c>
      <c r="K18" s="569" t="s">
        <v>364</v>
      </c>
      <c r="L18" s="569" t="s">
        <v>364</v>
      </c>
      <c r="M18" s="569" t="s">
        <v>364</v>
      </c>
      <c r="N18" s="569" t="s">
        <v>364</v>
      </c>
      <c r="O18" s="569" t="s">
        <v>364</v>
      </c>
      <c r="P18" s="569" t="s">
        <v>364</v>
      </c>
      <c r="Q18" s="2" t="s">
        <v>6629</v>
      </c>
      <c r="R18" s="268" t="s">
        <v>6630</v>
      </c>
      <c r="S18" s="2" t="s">
        <v>364</v>
      </c>
      <c r="T18" s="2" t="s">
        <v>364</v>
      </c>
      <c r="U18" s="410" t="str">
        <f>""</f>
        <v/>
      </c>
      <c r="V18" s="1334">
        <v>33.799999999999997</v>
      </c>
      <c r="W18" s="1334">
        <f>VLOOKUP(B18,'Heavy Weapon Stocks'!B:OA,COLUMN('Heavy Weapon Stocks'!$C$11)-1,FALSE)+IF(F18&lt;&gt;".",F18,0)</f>
        <v>150</v>
      </c>
      <c r="X18" s="1334">
        <f>VLOOKUP(B18,'Heavy Weapon Stocks'!B:OA,COLUMN('Heavy Weapon Stocks'!$AQ$11)-1,FALSE)</f>
        <v>346</v>
      </c>
      <c r="Y18" s="1334">
        <f>VLOOKUP(B18,'Heavy Weapon Stocks'!B:OA,COLUMN('Heavy Weapon Stocks'!$DK$11)-1,FALSE)</f>
        <v>33</v>
      </c>
      <c r="Z18" s="1334">
        <f>VLOOKUP(B18,'Heavy Weapon Stocks'!B:OA,COLUMN('Heavy Weapon Stocks'!$DY$11)-1,FALSE)</f>
        <v>1884</v>
      </c>
      <c r="AA18" s="1334">
        <f>VLOOKUP(B18,'Heavy Weapon Stocks'!B:OA,COLUMN('Heavy Weapon Stocks'!$FA$11)-1,FALSE)+IF(G18&lt;&gt;".",G18,0)</f>
        <v>426</v>
      </c>
      <c r="AB18" s="1334">
        <f t="shared" si="3"/>
        <v>2689</v>
      </c>
      <c r="AC18" s="1334">
        <f>VLOOKUP(B18,'Heavy Weapon Stocks'!B:OA,COLUMN('Heavy Weapon Stocks'!$GV$11)-1,FALSE)+VLOOKUP(B18,'Heavy Weapon Stocks'!B:OA,COLUMN('Heavy Weapon Stocks'!$HY$11)-1,FALSE)+IF(H18&lt;&gt;".",H18,0)</f>
        <v>357</v>
      </c>
      <c r="AD18" s="1334">
        <f>VLOOKUP(B18,'Heavy Weapon Stocks'!B:OA,COLUMN('Heavy Weapon Stocks'!$IF$11)-1,FALSE)+IF(I18&lt;&gt;".",I18,0)</f>
        <v>22</v>
      </c>
      <c r="AE18" s="1334">
        <f>VLOOKUP(B18,'Heavy Weapon Stocks'!B:OA,COLUMN('Heavy Weapon Stocks'!$IZ$11)-1,FALSE)+VLOOKUP(B18,'Heavy Weapon Stocks'!B:OA,COLUMN('Heavy Weapon Stocks'!$JW$11)-1,FALSE)</f>
        <v>148</v>
      </c>
      <c r="AF18" s="1334">
        <f>VLOOKUP(B18,'Heavy Weapon Stocks'!B:OA,COLUMN('Heavy Weapon Stocks'!$NL$11)-1,FALSE)+IF(L18&lt;&gt;".",L18,0)</f>
        <v>0</v>
      </c>
      <c r="AG18" s="1334">
        <f>VLOOKUP(B18,'Heavy Weapon Stocks'!B:OA,COLUMN('Heavy Weapon Stocks'!$LN$11)-1,FALSE)+IF(M18&lt;&gt;".",M18,0)</f>
        <v>20</v>
      </c>
      <c r="AH18" s="1334">
        <f>VLOOKUP(B18,'Heavy Weapon Stocks'!B:OA,COLUMN('Heavy Weapon Stocks'!$LX$11)-1,FALSE)+IF(N18&lt;&gt;".",N18,0)</f>
        <v>0</v>
      </c>
      <c r="AI18" s="1334">
        <f>VLOOKUP(B18,'Heavy Weapon Stocks'!B:OA,COLUMN('Heavy Weapon Stocks'!$ME$11)-1,FALSE)+IF(O18&lt;&gt;".",O18,0)</f>
        <v>32</v>
      </c>
      <c r="AJ18" s="1334">
        <f>VLOOKUP(B18,'Heavy Weapon Stocks'!B:OA,COLUMN('Heavy Weapon Stocks'!$NK$11)-1,FALSE)+IF(P18&lt;&gt;".",P18,0)</f>
        <v>0</v>
      </c>
      <c r="AK18" s="410"/>
      <c r="AL18" s="25">
        <f>SUMIFS('Bilateral Assistance, MAIN DATA'!$M:$M,'Bilateral Assistance, MAIN DATA'!$B:$B,'Share, Heavy Weapons to Ukraine'!$B18,'Bilateral Assistance, MAIN DATA'!$AO:$AO,'Share, Heavy Weapons to Ukraine'!AL$11)</f>
        <v>0</v>
      </c>
      <c r="AM18" s="25">
        <f>SUMIFS('Bilateral Assistance, MAIN DATA'!$M:$M,'Bilateral Assistance, MAIN DATA'!$B:$B,'Share, Heavy Weapons to Ukraine'!$B18,'Bilateral Assistance, MAIN DATA'!$AO:$AO,'Share, Heavy Weapons to Ukraine'!AM$11)</f>
        <v>24</v>
      </c>
      <c r="AN18" s="25">
        <f>SUMIFS('Bilateral Assistance, MAIN DATA'!$M:$M,'Bilateral Assistance, MAIN DATA'!$B:$B,'Share, Heavy Weapons to Ukraine'!$B18,'Bilateral Assistance, MAIN DATA'!$AO:$AO,'Share, Heavy Weapons to Ukraine'!AN$11)</f>
        <v>0</v>
      </c>
      <c r="AO18" s="25">
        <f>SUMIFS('Bilateral Assistance, MAIN DATA'!$M:$M,'Bilateral Assistance, MAIN DATA'!$B:$B,'Share, Heavy Weapons to Ukraine'!$B18,'Bilateral Assistance, MAIN DATA'!$AO:$AO,'Share, Heavy Weapons to Ukraine'!AO$11)</f>
        <v>0</v>
      </c>
      <c r="AP18" s="25">
        <f>SUMIFS('Bilateral Assistance, MAIN DATA'!$M:$M,'Bilateral Assistance, MAIN DATA'!$B:$B,'Share, Heavy Weapons to Ukraine'!$B18,'Bilateral Assistance, MAIN DATA'!$AO:$AO,'Share, Heavy Weapons to Ukraine'!AP$11)</f>
        <v>0</v>
      </c>
      <c r="AQ18" s="25">
        <f t="shared" si="1"/>
        <v>24</v>
      </c>
      <c r="AR18" s="25">
        <f>SUMIFS('Bilateral Assistance, MAIN DATA'!$M:$M,'Bilateral Assistance, MAIN DATA'!$B:$B,'Share, Heavy Weapons to Ukraine'!$B18,'Bilateral Assistance, MAIN DATA'!$AO:$AO,"155mm howitzer")+SUMIFS('Bilateral Assistance, MAIN DATA'!$M:$M,'Bilateral Assistance, MAIN DATA'!$B:$B,'Share, Heavy Weapons to Ukraine'!$B18,'Bilateral Assistance, MAIN DATA'!$AO:$AO,"152mm howitzer")</f>
        <v>66</v>
      </c>
      <c r="AS18" s="25">
        <f>SUMIFS('Bilateral Assistance, MAIN DATA'!$M:$M,'Bilateral Assistance, MAIN DATA'!$B:$B,'Share, Heavy Weapons to Ukraine'!$B18,'Bilateral Assistance, MAIN DATA'!$AO:$AO,"122mm MLRS")+SUMIFS('Bilateral Assistance, MAIN DATA'!$M:$M,'Bilateral Assistance, MAIN DATA'!$B:$B,'Share, Heavy Weapons to Ukraine'!$B18,'Bilateral Assistance, MAIN DATA'!$AO:$AO,"127mm MLRS")+SUMIFS('Bilateral Assistance, MAIN DATA'!$M:$M,'Bilateral Assistance, MAIN DATA'!$B:$B,'Share, Heavy Weapons to Ukraine'!$B18,'Bilateral Assistance, MAIN DATA'!$AO:$AO,"227mm MLRS")</f>
        <v>2</v>
      </c>
      <c r="AT18" s="25">
        <f>SUMIFS('Bilateral Assistance, MAIN DATA'!$M:$M,'Bilateral Assistance, MAIN DATA'!$B:$B,'Share, Heavy Weapons to Ukraine'!$B18,'Bilateral Assistance, MAIN DATA'!$AO:$AO,'Share, Heavy Weapons to Ukraine'!AT$11)</f>
        <v>0</v>
      </c>
      <c r="AU18" s="25">
        <f>SUMIFS('Bilateral Assistance, MAIN DATA'!$M:$M,'Bilateral Assistance, MAIN DATA'!$B:$B,'Share, Heavy Weapons to Ukraine'!$B18,'Bilateral Assistance, MAIN DATA'!$AO:$AO,'Share, Heavy Weapons to Ukraine'!AU$11)</f>
        <v>1</v>
      </c>
      <c r="AV18" s="25">
        <f>SUMIFS('Bilateral Assistance, MAIN DATA'!$M:$M,'Bilateral Assistance, MAIN DATA'!$B:$B,'Share, Heavy Weapons to Ukraine'!$B18,'Bilateral Assistance, MAIN DATA'!$AO:$AO,'Share, Heavy Weapons to Ukraine'!AV$11)</f>
        <v>0</v>
      </c>
      <c r="AW18" s="25">
        <f>SUMIFS('Bilateral Assistance, MAIN DATA'!$M:$M,'Bilateral Assistance, MAIN DATA'!$B:$B,'Share, Heavy Weapons to Ukraine'!$B18,'Bilateral Assistance, MAIN DATA'!$AO:$AO,'Share, Heavy Weapons to Ukraine'!AW$11)</f>
        <v>0</v>
      </c>
      <c r="AX18" s="25">
        <f>SUMIFS('Bilateral Assistance, MAIN DATA'!$M:$M,'Bilateral Assistance, MAIN DATA'!$B:$B,'Share, Heavy Weapons to Ukraine'!$B18,'Bilateral Assistance, MAIN DATA'!$AO:$AO,'Share, Heavy Weapons to Ukraine'!AX$11)</f>
        <v>0</v>
      </c>
      <c r="AY18" s="410"/>
      <c r="AZ18" s="25">
        <f>SUMIFS('Bilateral Assistance, MAIN DATA'!$N:$N,'Bilateral Assistance, MAIN DATA'!$B:$B,'Share, Heavy Weapons to Ukraine'!$B18,'Bilateral Assistance, MAIN DATA'!$AO:$AO,'Share, Heavy Weapons to Ukraine'!AZ$11)</f>
        <v>0</v>
      </c>
      <c r="BA18" s="25">
        <f>SUMIFS('Bilateral Assistance, MAIN DATA'!$N:$N,'Bilateral Assistance, MAIN DATA'!$B:$B,'Share, Heavy Weapons to Ukraine'!$B18,'Bilateral Assistance, MAIN DATA'!$AO:$AO,'Share, Heavy Weapons to Ukraine'!BA$11)</f>
        <v>0</v>
      </c>
      <c r="BB18" s="25">
        <f>SUMIFS('Bilateral Assistance, MAIN DATA'!$N:$N,'Bilateral Assistance, MAIN DATA'!$B:$B,'Share, Heavy Weapons to Ukraine'!$B18,'Bilateral Assistance, MAIN DATA'!$AO:$AO,'Share, Heavy Weapons to Ukraine'!BB$11)</f>
        <v>0</v>
      </c>
      <c r="BC18" s="25">
        <f>SUMIFS('Bilateral Assistance, MAIN DATA'!$N:$N,'Bilateral Assistance, MAIN DATA'!$B:$B,'Share, Heavy Weapons to Ukraine'!$B18,'Bilateral Assistance, MAIN DATA'!$AO:$AO,'Share, Heavy Weapons to Ukraine'!BC$11)</f>
        <v>0</v>
      </c>
      <c r="BD18" s="25">
        <f>SUMIFS('Bilateral Assistance, MAIN DATA'!$N:$N,'Bilateral Assistance, MAIN DATA'!$B:$B,'Share, Heavy Weapons to Ukraine'!$B18,'Bilateral Assistance, MAIN DATA'!$AO:$AO,'Share, Heavy Weapons to Ukraine'!BD$11)</f>
        <v>0</v>
      </c>
      <c r="BE18" s="25">
        <f t="shared" si="2"/>
        <v>0</v>
      </c>
      <c r="BF18" s="25">
        <f>SUMIFS('Bilateral Assistance, MAIN DATA'!$N:$N,'Bilateral Assistance, MAIN DATA'!$B:$B,'Share, Heavy Weapons to Ukraine'!$B18,'Bilateral Assistance, MAIN DATA'!$AO:$AO,"155mm howitzer")+SUMIFS('Bilateral Assistance, MAIN DATA'!$N:$N,'Bilateral Assistance, MAIN DATA'!$B:$B,'Share, Heavy Weapons to Ukraine'!$B18,'Bilateral Assistance, MAIN DATA'!$AO:$AO,"152mm howitzer")</f>
        <v>36</v>
      </c>
      <c r="BG18" s="25">
        <f>SUMIFS('Bilateral Assistance, MAIN DATA'!$N:$N,'Bilateral Assistance, MAIN DATA'!$B:$B,'Share, Heavy Weapons to Ukraine'!$B18,'Bilateral Assistance, MAIN DATA'!$AO:$AO,"122mm MLRS")+SUMIFS('Bilateral Assistance, MAIN DATA'!$N:$N,'Bilateral Assistance, MAIN DATA'!$B:$B,'Share, Heavy Weapons to Ukraine'!$B18,'Bilateral Assistance, MAIN DATA'!$AO:$AO,"127mm MLRS")+SUMIFS('Bilateral Assistance, MAIN DATA'!$N:$N,'Bilateral Assistance, MAIN DATA'!$B:$B,'Share, Heavy Weapons to Ukraine'!$B18,'Bilateral Assistance, MAIN DATA'!$AO:$AO,"227mm MLRS")</f>
        <v>0</v>
      </c>
      <c r="BH18" s="25">
        <f>SUMIFS('Bilateral Assistance, MAIN DATA'!$N:$N,'Bilateral Assistance, MAIN DATA'!$B:$B,'Share, Heavy Weapons to Ukraine'!$B18,'Bilateral Assistance, MAIN DATA'!$AO:$AO,'Share, Heavy Weapons to Ukraine'!BH$11)</f>
        <v>0</v>
      </c>
      <c r="BI18" s="25">
        <f>SUMIFS('Bilateral Assistance, MAIN DATA'!$N:$N,'Bilateral Assistance, MAIN DATA'!$B:$B,'Share, Heavy Weapons to Ukraine'!$B18,'Bilateral Assistance, MAIN DATA'!$AO:$AO,'Share, Heavy Weapons to Ukraine'!BI$11)</f>
        <v>1</v>
      </c>
      <c r="BJ18" s="25">
        <f>SUMIFS('Bilateral Assistance, MAIN DATA'!$N:$N,'Bilateral Assistance, MAIN DATA'!$B:$B,'Share, Heavy Weapons to Ukraine'!$B18,'Bilateral Assistance, MAIN DATA'!$AO:$AO,'Share, Heavy Weapons to Ukraine'!BJ$11)</f>
        <v>0</v>
      </c>
      <c r="BK18" s="25">
        <f>SUMIFS('Bilateral Assistance, MAIN DATA'!$N:$N,'Bilateral Assistance, MAIN DATA'!$B:$B,'Share, Heavy Weapons to Ukraine'!$B18,'Bilateral Assistance, MAIN DATA'!$AO:$AO,'Share, Heavy Weapons to Ukraine'!BK$11)</f>
        <v>0</v>
      </c>
      <c r="BL18" s="25">
        <f>SUMIFS('Bilateral Assistance, MAIN DATA'!$N:$N,'Bilateral Assistance, MAIN DATA'!$B:$B,'Share, Heavy Weapons to Ukraine'!$B18,'Bilateral Assistance, MAIN DATA'!$AO:$AO,'Share, Heavy Weapons to Ukraine'!BL$11)</f>
        <v>0</v>
      </c>
      <c r="BM18" s="410"/>
      <c r="BN18" s="261">
        <f>IF(VLOOKUP($B18,$B:W,COLUMN(W17)-1,FALSE)&lt;&gt;0,VLOOKUP($B18,$B:AL,COLUMN(AL17)-1,FALSE)/VLOOKUP($B18,$B:W,COLUMN(W17)-1,FALSE),IF(VLOOKUP($B18,$B:AL,COLUMN(AL17)-1,FALSE)&lt;&gt;0,"unknown",0))</f>
        <v>0</v>
      </c>
      <c r="BO18" s="261">
        <f>IF(VLOOKUP($B18,$B:X,COLUMN(X17)-1,FALSE)&lt;&gt;0,VLOOKUP($B18,$B:AM,COLUMN(AM17)-1,FALSE)/VLOOKUP($B18,$B:X,COLUMN(X17)-1,FALSE),IF(VLOOKUP($B18,$B:AM,COLUMN(AM17)-1,FALSE)&lt;&gt;0,"unknown",0))</f>
        <v>6.9364161849710976E-2</v>
      </c>
      <c r="BP18" s="261">
        <f>IF(VLOOKUP($B18,$B:Y,COLUMN(Y17)-1,FALSE)&lt;&gt;0,VLOOKUP($B18,$B:AN,COLUMN(AN17)-1,FALSE)/VLOOKUP($B18,$B:Y,COLUMN(Y17)-1,FALSE),IF(VLOOKUP($B18,$B:AN,COLUMN(AN17)-1,FALSE)&lt;&gt;0,"unknown",0))</f>
        <v>0</v>
      </c>
      <c r="BQ18" s="261">
        <f>IF(VLOOKUP($B18,$B:Z,COLUMN(Z17)-1,FALSE)&lt;&gt;0,VLOOKUP($B18,$B:AO,COLUMN(AO17)-1,FALSE)/VLOOKUP($B18,$B:Z,COLUMN(Z17)-1,FALSE),IF(VLOOKUP($B18,$B:AO,COLUMN(AO17)-1,FALSE)&lt;&gt;0,"unknown",0))</f>
        <v>0</v>
      </c>
      <c r="BR18" s="261">
        <f>IF(VLOOKUP($B18,$B:AA,COLUMN(AA17)-1,FALSE)&lt;&gt;0,VLOOKUP($B18,$B:AP,COLUMN(AP17)-1,FALSE)/VLOOKUP($B18,$B:AA,COLUMN(AA17)-1,FALSE),IF(VLOOKUP($B18,$B:AP,COLUMN(AP17)-1,FALSE)&lt;&gt;0,"unknown",0))</f>
        <v>0</v>
      </c>
      <c r="BS18" s="261">
        <f>IF(VLOOKUP($B18,$B:AB,COLUMN(AB17)-1,FALSE)&lt;&gt;0,VLOOKUP($B18,$B:AQ,COLUMN(AQ17)-1,FALSE)/VLOOKUP($B18,$B:AB,COLUMN(AB17)-1,FALSE),IF(VLOOKUP($B18,$B:AQ,COLUMN(AQ17)-1,FALSE)&lt;&gt;0,"unknown",0))</f>
        <v>8.9252510226850122E-3</v>
      </c>
      <c r="BT18" s="261">
        <f>IF(VLOOKUP($B18,$B:AC,COLUMN(AC17)-1,FALSE)&lt;&gt;0,VLOOKUP($B18,$B:AR,COLUMN(AR17)-1,FALSE)/VLOOKUP($B18,$B:AC,COLUMN(AC17)-1,FALSE),IF(VLOOKUP($B18,$B:AR,COLUMN(AR17)-1,FALSE)&lt;&gt;0,"unknown",0))</f>
        <v>0.18487394957983194</v>
      </c>
      <c r="BU18" s="261">
        <f>IF(VLOOKUP($B18,$B:AD,COLUMN(AD17)-1,FALSE)&lt;&gt;0,VLOOKUP($B18,$B:AS,COLUMN(AS17)-1,FALSE)/VLOOKUP($B18,$B:AD,COLUMN(AD17)-1,FALSE),IF(VLOOKUP($B18,$B:AS,COLUMN(AS17)-1,FALSE)&lt;&gt;0,"unknown",0))</f>
        <v>9.0909090909090912E-2</v>
      </c>
      <c r="BV18" s="261">
        <f>IF(VLOOKUP($B18,$B:AE,COLUMN(AE17)-1,FALSE)&lt;&gt;0,VLOOKUP($B18,$B:AT,COLUMN(AT17)-1,FALSE)/VLOOKUP($B18,$B:AE,COLUMN(AE17)-1,FALSE),IF(VLOOKUP($B18,$B:AT,COLUMN(AT17)-1,FALSE)&lt;&gt;0,"unknown",0))</f>
        <v>0</v>
      </c>
      <c r="BW18" s="261">
        <f>IF(VLOOKUP($B18,$B:AG,COLUMN(AG17)-1,FALSE)&lt;&gt;0,VLOOKUP($B18,$B:AU,COLUMN(AU17)-1,FALSE)/VLOOKUP($B18,$B:AG,COLUMN(AG17)-1,FALSE),IF(VLOOKUP($B18,$B:AU,COLUMN(AU17)-1,FALSE)&lt;&gt;0,"unknown",0))</f>
        <v>0.05</v>
      </c>
      <c r="BX18" s="261">
        <f>IF(VLOOKUP($B18,$B:AH,COLUMN(AH17)-1,FALSE)&lt;&gt;0,VLOOKUP($B18,$B:AV,COLUMN(AV17)-1,FALSE)/VLOOKUP($B18,$B:AH,COLUMN(AH17)-1,FALSE),IF(VLOOKUP($B18,$B:AV,COLUMN(AV17)-1,FALSE)&lt;&gt;0,"unknown",0))</f>
        <v>0</v>
      </c>
      <c r="BY18" s="261">
        <f>IF(VLOOKUP($B18,$B:AI,COLUMN(AI17)-1,FALSE)&lt;&gt;0,VLOOKUP($B18,$B:AW,COLUMN(AW17)-1,FALSE)/VLOOKUP($B18,$B:AI,COLUMN(AI17)-1,FALSE),IF(VLOOKUP($B18,$B:AW,COLUMN(AW17)-1,FALSE)&lt;&gt;0,"unknown",0))</f>
        <v>0</v>
      </c>
      <c r="BZ18" s="261">
        <f>IF(VLOOKUP($B18,$B:AJ,COLUMN(AJ17)-1,FALSE)&lt;&gt;0,VLOOKUP($B18,$B:AX,COLUMN(AX17)-1,FALSE)/VLOOKUP($B18,$B:AJ,COLUMN(AJ17)-1,FALSE),IF(VLOOKUP($B18,$B:AX,COLUMN(AX17)-1,FALSE)&lt;&gt;0,"unknown",0))</f>
        <v>0</v>
      </c>
      <c r="CA18" s="410"/>
      <c r="CB18" s="2">
        <f>IF(VLOOKUP($B18,$B:AM,COLUMN(W17)-1,FALSE)&lt;&gt;0,VLOOKUP($B18,$B:BA,COLUMN(AZ17)-1,FALSE)/VLOOKUP($B18,$B:AM,COLUMN(W17)-1,FALSE),IF(VLOOKUP($B18,$B:BA,COLUMN(AZ17)-1,FALSE)&lt;&gt;0,"unknown",0))</f>
        <v>0</v>
      </c>
      <c r="CC18" s="2">
        <f>IF(VLOOKUP($B18,$B:AN,COLUMN(X17)-1,FALSE)&lt;&gt;0,VLOOKUP($B18,$B:BB,COLUMN(BA17)-1,FALSE)/VLOOKUP($B18,$B:AN,COLUMN(X17)-1,FALSE),IF(VLOOKUP($B18,$B:BB,COLUMN(BA17)-1,FALSE)&lt;&gt;0,"unknown",0))</f>
        <v>0</v>
      </c>
      <c r="CD18" s="2">
        <f>IF(VLOOKUP($B18,$B:AO,COLUMN(Y17)-1,FALSE)&lt;&gt;0,VLOOKUP($B18,$B:BC,COLUMN(BB17)-1,FALSE)/VLOOKUP($B18,$B:AO,COLUMN(Y17)-1,FALSE),IF(VLOOKUP($B18,$B:BC,COLUMN(BB17)-1,FALSE)&lt;&gt;0,"unknown",0))</f>
        <v>0</v>
      </c>
      <c r="CE18" s="2">
        <f>IF(VLOOKUP($B18,$B:AP,COLUMN(Z17)-1,FALSE)&lt;&gt;0,VLOOKUP($B18,$B:BD,COLUMN(BC17)-1,FALSE)/VLOOKUP($B18,$B:AP,COLUMN(Z17)-1,FALSE),IF(VLOOKUP($B18,$B:BD,COLUMN(BC17)-1,FALSE)&lt;&gt;0,"unknown",0))</f>
        <v>0</v>
      </c>
      <c r="CF18" s="2">
        <f>IF(VLOOKUP($B18,$B:AR,COLUMN(AA17)-1,FALSE)&lt;&gt;0,VLOOKUP($B18,$B:BF,COLUMN(BD17)-1,FALSE)/VLOOKUP($B18,$B:AR,COLUMN(AA17)-1,FALSE),IF(VLOOKUP($B18,$B:BF,COLUMN(BD17)-1,FALSE)&lt;&gt;0,"unknown",0))</f>
        <v>0</v>
      </c>
      <c r="CG18" s="2">
        <f>IF(VLOOKUP($B18,$B:AS,COLUMN(AB17)-1,FALSE)&lt;&gt;0,VLOOKUP($B18,$B:BG,COLUMN(BE17)-1,FALSE)/VLOOKUP($B18,$B:AS,COLUMN(AB17)-1,FALSE),IF(VLOOKUP($B18,$B:BG,COLUMN(BE17)-1,FALSE)&lt;&gt;0,"unknown",0))</f>
        <v>0</v>
      </c>
      <c r="CH18" s="2">
        <f>IF(VLOOKUP($B18,$B:AS,COLUMN(AC17)-1,FALSE)&lt;&gt;0,VLOOKUP($B18,$B:BG,COLUMN(BF17)-1,FALSE)/VLOOKUP($B18,$B:AS,COLUMN(AC17)-1,FALSE),IF(VLOOKUP($B18,$B:BG,COLUMN(BF17)-1,FALSE)&lt;&gt;0,"unknown",0))</f>
        <v>0.10084033613445378</v>
      </c>
      <c r="CI18" s="2">
        <f>IF(VLOOKUP($B18,$B:AT,COLUMN(AD17)-1,FALSE)&lt;&gt;0,VLOOKUP($B18,$B:BH,COLUMN(BG17)-1,FALSE)/VLOOKUP($B18,$B:AT,COLUMN(AD17)-1,FALSE),IF(VLOOKUP($B18,$B:BH,COLUMN(BG17)-1,FALSE)&lt;&gt;0,"unknown",0))</f>
        <v>0</v>
      </c>
      <c r="CJ18" s="2">
        <f>IF(VLOOKUP($B18,$B:AT,COLUMN(AE17)-1,FALSE)&lt;&gt;0,VLOOKUP($B18,$B:BH,COLUMN(BH17)-1,FALSE)/VLOOKUP($B18,$B:AT,COLUMN(AE17)-1,FALSE),IF(VLOOKUP($B18,$B:BH,COLUMN(BH17)-1,FALSE)&lt;&gt;0,"unknown",0))</f>
        <v>0</v>
      </c>
      <c r="CK18" s="2">
        <f>IF(VLOOKUP($B18,$B:AU,COLUMN(AG17)-1,FALSE)&lt;&gt;0,VLOOKUP($B18,$B:BI,COLUMN(BI17)-1,FALSE)/VLOOKUP($B18,$B:AU,COLUMN(AG17)-1,FALSE),IF(VLOOKUP($B18,$B:BI,COLUMN(BI17)-1,FALSE)&lt;&gt;0,"unknown",0))</f>
        <v>0.05</v>
      </c>
      <c r="CL18" s="2">
        <f>IF(VLOOKUP($B18,$B:AV,COLUMN(AH17)-1,FALSE)&lt;&gt;0,VLOOKUP($B18,$B:BJ,COLUMN(BJ17)-1,FALSE)/VLOOKUP($B18,$B:AV,COLUMN(AH17)-1,FALSE),IF(VLOOKUP($B18,$B:BJ,COLUMN(BJ17)-1,FALSE)&lt;&gt;0,"unknown",0))</f>
        <v>0</v>
      </c>
      <c r="CM18" s="2">
        <f>IF(VLOOKUP($B18,$B:AW,COLUMN(AI17)-1,FALSE)&lt;&gt;0,VLOOKUP($B18,$B:BK,COLUMN(BK17)-1,FALSE)/VLOOKUP($B18,$B:AW,COLUMN(AI17)-1,FALSE),IF(VLOOKUP($B18,$B:BK,COLUMN(BK17)-1,FALSE)&lt;&gt;0,"unknown",0))</f>
        <v>0</v>
      </c>
      <c r="CN18" s="2">
        <f>IF(VLOOKUP($B18,$B:AX,COLUMN(AJ17)-1,FALSE)&lt;&gt;0,VLOOKUP($B18,$B:BL,COLUMN(BL17)-1,FALSE)/VLOOKUP($B18,$B:AX,COLUMN(AJ17)-1,FALSE),IF(VLOOKUP($B18,$B:BL,COLUMN(BL17)-1,FALSE)&lt;&gt;0,"unknown",0))</f>
        <v>0</v>
      </c>
      <c r="CO18" s="410"/>
      <c r="CP18" s="2">
        <f>SUMIFS('Bilateral Assistance, MAIN DATA'!$M:$M,'Bilateral Assistance, MAIN DATA'!$B:$B,'Share, Heavy Weapons to Ukraine'!$B18,'Bilateral Assistance, MAIN DATA'!$AO:$AO,'Share, Heavy Weapons to Ukraine'!CP$11, 'Bilateral Assistance, MAIN DATA'!$AA:$AA,1)</f>
        <v>0</v>
      </c>
      <c r="CQ18" s="2">
        <f>SUMIFS('Bilateral Assistance, MAIN DATA'!$M:$M,'Bilateral Assistance, MAIN DATA'!$B:$B,'Share, Heavy Weapons to Ukraine'!$B18,'Bilateral Assistance, MAIN DATA'!$AO:$AO,'Share, Heavy Weapons to Ukraine'!CQ$11, 'Bilateral Assistance, MAIN DATA'!$AA:$AA,1)</f>
        <v>0</v>
      </c>
      <c r="CR18" s="2">
        <f>SUMIFS('Bilateral Assistance, MAIN DATA'!$M:$M,'Bilateral Assistance, MAIN DATA'!$B:$B,'Share, Heavy Weapons to Ukraine'!$B18,'Bilateral Assistance, MAIN DATA'!$AO:$AO,'Share, Heavy Weapons to Ukraine'!CR$11, 'Bilateral Assistance, MAIN DATA'!$AA:$AA,1)</f>
        <v>0</v>
      </c>
      <c r="CS18" s="2">
        <f>SUMIFS('Bilateral Assistance, MAIN DATA'!$M:$M,'Bilateral Assistance, MAIN DATA'!$B:$B,'Share, Heavy Weapons to Ukraine'!$B18,'Bilateral Assistance, MAIN DATA'!$AO:$AO,'Share, Heavy Weapons to Ukraine'!CS$11, 'Bilateral Assistance, MAIN DATA'!$AA:$AA,1)</f>
        <v>0</v>
      </c>
      <c r="CT18" s="410"/>
      <c r="CU18" s="2">
        <f>SUMIFS('Bilateral Assistance, MAIN DATA'!$N:$N,'Bilateral Assistance, MAIN DATA'!$B:$B,'Share, Heavy Weapons to Ukraine'!$B18,'Bilateral Assistance, MAIN DATA'!$AO:$AO,'Share, Heavy Weapons to Ukraine'!CU$11, 'Bilateral Assistance, MAIN DATA'!$AA:$AA,1)</f>
        <v>0</v>
      </c>
      <c r="CV18" s="2">
        <f>SUMIFS('Bilateral Assistance, MAIN DATA'!$N:$N,'Bilateral Assistance, MAIN DATA'!$B:$B,'Share, Heavy Weapons to Ukraine'!$B18,'Bilateral Assistance, MAIN DATA'!$AO:$AO,'Share, Heavy Weapons to Ukraine'!CV$11, 'Bilateral Assistance, MAIN DATA'!$AA:$AA,1)</f>
        <v>0</v>
      </c>
      <c r="CW18" s="2">
        <f>SUMIFS('Bilateral Assistance, MAIN DATA'!$N:$N,'Bilateral Assistance, MAIN DATA'!$B:$B,'Share, Heavy Weapons to Ukraine'!$B18,'Bilateral Assistance, MAIN DATA'!$AO:$AO,'Share, Heavy Weapons to Ukraine'!CW$11, 'Bilateral Assistance, MAIN DATA'!$AA:$AA,1)</f>
        <v>0</v>
      </c>
      <c r="CX18" s="2">
        <f>SUMIFS('Bilateral Assistance, MAIN DATA'!$N:$N,'Bilateral Assistance, MAIN DATA'!$B:$B,'Share, Heavy Weapons to Ukraine'!$B18,'Bilateral Assistance, MAIN DATA'!$AO:$AO,'Share, Heavy Weapons to Ukraine'!CX$11, 'Bilateral Assistance, MAIN DATA'!$AA:$AA,1)</f>
        <v>0</v>
      </c>
    </row>
    <row r="19" spans="2:102" ht="15.6">
      <c r="B19" s="409" t="s">
        <v>713</v>
      </c>
      <c r="C19" s="409">
        <v>1</v>
      </c>
      <c r="D19" s="2">
        <v>0</v>
      </c>
      <c r="E19" s="410"/>
      <c r="F19" s="569" t="s">
        <v>364</v>
      </c>
      <c r="G19" s="569" t="s">
        <v>364</v>
      </c>
      <c r="H19" s="569" t="s">
        <v>364</v>
      </c>
      <c r="I19" s="569" t="s">
        <v>364</v>
      </c>
      <c r="J19" s="569" t="s">
        <v>364</v>
      </c>
      <c r="K19" s="569" t="s">
        <v>364</v>
      </c>
      <c r="L19" s="569" t="s">
        <v>364</v>
      </c>
      <c r="M19" s="569" t="s">
        <v>364</v>
      </c>
      <c r="N19" s="569" t="s">
        <v>364</v>
      </c>
      <c r="O19" s="569">
        <v>1</v>
      </c>
      <c r="P19" s="569" t="s">
        <v>364</v>
      </c>
      <c r="Q19" s="569" t="s">
        <v>6631</v>
      </c>
      <c r="R19" s="970" t="s">
        <v>864</v>
      </c>
      <c r="S19" s="569" t="s">
        <v>364</v>
      </c>
      <c r="T19" s="569" t="s">
        <v>364</v>
      </c>
      <c r="U19" s="410" t="str">
        <f>""</f>
        <v/>
      </c>
      <c r="V19" s="1334">
        <v>23.2</v>
      </c>
      <c r="W19" s="1334">
        <f>VLOOKUP(B19,'Heavy Weapon Stocks'!B:OA,COLUMN('Heavy Weapon Stocks'!$C$11)-1,FALSE)+IF(F19&lt;&gt;".",F19,0)</f>
        <v>134</v>
      </c>
      <c r="X19" s="1334">
        <f>VLOOKUP(B19,'Heavy Weapon Stocks'!B:OA,COLUMN('Heavy Weapon Stocks'!$AQ$11)-1,FALSE)</f>
        <v>443</v>
      </c>
      <c r="Y19" s="1334">
        <f>VLOOKUP(B19,'Heavy Weapon Stocks'!B:OA,COLUMN('Heavy Weapon Stocks'!$DK$11)-1,FALSE)</f>
        <v>0</v>
      </c>
      <c r="Z19" s="1334">
        <f>VLOOKUP(B19,'Heavy Weapon Stocks'!B:OA,COLUMN('Heavy Weapon Stocks'!$DY$11)-1,FALSE)</f>
        <v>507</v>
      </c>
      <c r="AA19" s="1334">
        <f>VLOOKUP(B19,'Heavy Weapon Stocks'!B:OA,COLUMN('Heavy Weapon Stocks'!$FA$11)-1,FALSE)+IF(G19&lt;&gt;".",G19,0)</f>
        <v>550</v>
      </c>
      <c r="AB19" s="1334">
        <f t="shared" si="3"/>
        <v>1500</v>
      </c>
      <c r="AC19" s="1334">
        <f>VLOOKUP(B19,'Heavy Weapon Stocks'!B:OA,COLUMN('Heavy Weapon Stocks'!$GV$11)-1,FALSE)+VLOOKUP(B19,'Heavy Weapon Stocks'!B:OA,COLUMN('Heavy Weapon Stocks'!$HY$11)-1,FALSE)+IF(H19&lt;&gt;".",H19,0)</f>
        <v>37</v>
      </c>
      <c r="AD19" s="1334">
        <f>VLOOKUP(B19,'Heavy Weapon Stocks'!B:OA,COLUMN('Heavy Weapon Stocks'!$IF$11)-1,FALSE)+IF(I19&lt;&gt;".",I19,0)</f>
        <v>0</v>
      </c>
      <c r="AE19" s="1334">
        <f>VLOOKUP(B19,'Heavy Weapon Stocks'!B:OA,COLUMN('Heavy Weapon Stocks'!$IZ$11)-1,FALSE)+VLOOKUP(B19,'Heavy Weapon Stocks'!B:OA,COLUMN('Heavy Weapon Stocks'!$JW$11)-1,FALSE)</f>
        <v>96</v>
      </c>
      <c r="AF19" s="1334">
        <f>VLOOKUP(B19,'Heavy Weapon Stocks'!B:OA,COLUMN('Heavy Weapon Stocks'!$NL$11)-1,FALSE)+IF(L19&lt;&gt;".",L19,0)</f>
        <v>0</v>
      </c>
      <c r="AG19" s="1334">
        <f>VLOOKUP(B19,'Heavy Weapon Stocks'!B:OA,COLUMN('Heavy Weapon Stocks'!$LN$11)-1,FALSE)+IF(M19&lt;&gt;".",M19,0)</f>
        <v>0</v>
      </c>
      <c r="AH19" s="1334">
        <f>VLOOKUP(B19,'Heavy Weapon Stocks'!B:OA,COLUMN('Heavy Weapon Stocks'!$LX$11)-1,FALSE)+IF(N19&lt;&gt;".",N19,0)</f>
        <v>0</v>
      </c>
      <c r="AI19" s="1334">
        <f>VLOOKUP(B19,'Heavy Weapon Stocks'!B:OA,COLUMN('Heavy Weapon Stocks'!$ME$11)-1,FALSE)+IF(O19&lt;&gt;".",O19,0)</f>
        <v>1</v>
      </c>
      <c r="AJ19" s="1334">
        <f>VLOOKUP(B19,'Heavy Weapon Stocks'!B:OA,COLUMN('Heavy Weapon Stocks'!$NK$11)-1,FALSE)+IF(P19&lt;&gt;".",P19,0)</f>
        <v>0</v>
      </c>
      <c r="AK19" s="410"/>
      <c r="AL19" s="25">
        <f>SUMIFS('Bilateral Assistance, MAIN DATA'!$M:$M,'Bilateral Assistance, MAIN DATA'!$B:$B,'Share, Heavy Weapons to Ukraine'!$B19,'Bilateral Assistance, MAIN DATA'!$AO:$AO,'Share, Heavy Weapons to Ukraine'!AL$11)</f>
        <v>8</v>
      </c>
      <c r="AM19" s="25">
        <f>SUMIFS('Bilateral Assistance, MAIN DATA'!$M:$M,'Bilateral Assistance, MAIN DATA'!$B:$B,'Share, Heavy Weapons to Ukraine'!$B19,'Bilateral Assistance, MAIN DATA'!$AO:$AO,'Share, Heavy Weapons to Ukraine'!AM$11)</f>
        <v>247</v>
      </c>
      <c r="AN19" s="25">
        <f>SUMIFS('Bilateral Assistance, MAIN DATA'!$M:$M,'Bilateral Assistance, MAIN DATA'!$B:$B,'Share, Heavy Weapons to Ukraine'!$B19,'Bilateral Assistance, MAIN DATA'!$AO:$AO,'Share, Heavy Weapons to Ukraine'!AN$11)</f>
        <v>0</v>
      </c>
      <c r="AO19" s="25">
        <f>SUMIFS('Bilateral Assistance, MAIN DATA'!$M:$M,'Bilateral Assistance, MAIN DATA'!$B:$B,'Share, Heavy Weapons to Ukraine'!$B19,'Bilateral Assistance, MAIN DATA'!$AO:$AO,'Share, Heavy Weapons to Ukraine'!AO$11)</f>
        <v>0</v>
      </c>
      <c r="AP19" s="25">
        <f>SUMIFS('Bilateral Assistance, MAIN DATA'!$M:$M,'Bilateral Assistance, MAIN DATA'!$B:$B,'Share, Heavy Weapons to Ukraine'!$B19,'Bilateral Assistance, MAIN DATA'!$AO:$AO,'Share, Heavy Weapons to Ukraine'!AP$11)</f>
        <v>0</v>
      </c>
      <c r="AQ19" s="25">
        <f t="shared" si="1"/>
        <v>247</v>
      </c>
      <c r="AR19" s="25">
        <f>SUMIFS('Bilateral Assistance, MAIN DATA'!$M:$M,'Bilateral Assistance, MAIN DATA'!$B:$B,'Share, Heavy Weapons to Ukraine'!$B19,'Bilateral Assistance, MAIN DATA'!$AO:$AO,"155mm howitzer")+SUMIFS('Bilateral Assistance, MAIN DATA'!$M:$M,'Bilateral Assistance, MAIN DATA'!$B:$B,'Share, Heavy Weapons to Ukraine'!$B19,'Bilateral Assistance, MAIN DATA'!$AO:$AO,"152mm howitzer")</f>
        <v>4</v>
      </c>
      <c r="AS19" s="25">
        <f>SUMIFS('Bilateral Assistance, MAIN DATA'!$M:$M,'Bilateral Assistance, MAIN DATA'!$B:$B,'Share, Heavy Weapons to Ukraine'!$B19,'Bilateral Assistance, MAIN DATA'!$AO:$AO,"122mm MLRS")+SUMIFS('Bilateral Assistance, MAIN DATA'!$M:$M,'Bilateral Assistance, MAIN DATA'!$B:$B,'Share, Heavy Weapons to Ukraine'!$B19,'Bilateral Assistance, MAIN DATA'!$AO:$AO,"127mm MLRS")+SUMIFS('Bilateral Assistance, MAIN DATA'!$M:$M,'Bilateral Assistance, MAIN DATA'!$B:$B,'Share, Heavy Weapons to Ukraine'!$B19,'Bilateral Assistance, MAIN DATA'!$AO:$AO,"227mm MLRS")</f>
        <v>0</v>
      </c>
      <c r="AT19" s="25">
        <f>SUMIFS('Bilateral Assistance, MAIN DATA'!$M:$M,'Bilateral Assistance, MAIN DATA'!$B:$B,'Share, Heavy Weapons to Ukraine'!$B19,'Bilateral Assistance, MAIN DATA'!$AO:$AO,'Share, Heavy Weapons to Ukraine'!AT$11)</f>
        <v>0</v>
      </c>
      <c r="AU19" s="25">
        <f>SUMIFS('Bilateral Assistance, MAIN DATA'!$M:$M,'Bilateral Assistance, MAIN DATA'!$B:$B,'Share, Heavy Weapons to Ukraine'!$B19,'Bilateral Assistance, MAIN DATA'!$AO:$AO,'Share, Heavy Weapons to Ukraine'!AU$11)</f>
        <v>0</v>
      </c>
      <c r="AV19" s="25">
        <f>SUMIFS('Bilateral Assistance, MAIN DATA'!$M:$M,'Bilateral Assistance, MAIN DATA'!$B:$B,'Share, Heavy Weapons to Ukraine'!$B19,'Bilateral Assistance, MAIN DATA'!$AO:$AO,'Share, Heavy Weapons to Ukraine'!AV$11)</f>
        <v>0</v>
      </c>
      <c r="AW19" s="25">
        <v>0</v>
      </c>
      <c r="AX19" s="25">
        <f>SUMIFS('Bilateral Assistance, MAIN DATA'!$M:$M,'Bilateral Assistance, MAIN DATA'!$B:$B,'Share, Heavy Weapons to Ukraine'!$B19,'Bilateral Assistance, MAIN DATA'!$AO:$AO,'Share, Heavy Weapons to Ukraine'!AX$11)</f>
        <v>0</v>
      </c>
      <c r="AY19" s="410"/>
      <c r="AZ19" s="25">
        <f>SUMIFS('Bilateral Assistance, MAIN DATA'!$N:$N,'Bilateral Assistance, MAIN DATA'!$B:$B,'Share, Heavy Weapons to Ukraine'!$B19,'Bilateral Assistance, MAIN DATA'!$AO:$AO,'Share, Heavy Weapons to Ukraine'!AZ$11)</f>
        <v>8</v>
      </c>
      <c r="BA19" s="25">
        <f>SUMIFS('Bilateral Assistance, MAIN DATA'!$N:$N,'Bilateral Assistance, MAIN DATA'!$B:$B,'Share, Heavy Weapons to Ukraine'!$B19,'Bilateral Assistance, MAIN DATA'!$AO:$AO,'Share, Heavy Weapons to Ukraine'!BA$11)</f>
        <v>47</v>
      </c>
      <c r="BB19" s="25">
        <f>SUMIFS('Bilateral Assistance, MAIN DATA'!$N:$N,'Bilateral Assistance, MAIN DATA'!$B:$B,'Share, Heavy Weapons to Ukraine'!$B19,'Bilateral Assistance, MAIN DATA'!$AO:$AO,'Share, Heavy Weapons to Ukraine'!BB$11)</f>
        <v>0</v>
      </c>
      <c r="BC19" s="25">
        <f>SUMIFS('Bilateral Assistance, MAIN DATA'!$N:$N,'Bilateral Assistance, MAIN DATA'!$B:$B,'Share, Heavy Weapons to Ukraine'!$B19,'Bilateral Assistance, MAIN DATA'!$AO:$AO,'Share, Heavy Weapons to Ukraine'!BC$11)</f>
        <v>0</v>
      </c>
      <c r="BD19" s="25">
        <f>SUMIFS('Bilateral Assistance, MAIN DATA'!$N:$N,'Bilateral Assistance, MAIN DATA'!$B:$B,'Share, Heavy Weapons to Ukraine'!$B19,'Bilateral Assistance, MAIN DATA'!$AO:$AO,'Share, Heavy Weapons to Ukraine'!BD$11)</f>
        <v>0</v>
      </c>
      <c r="BE19" s="25">
        <f t="shared" si="2"/>
        <v>47</v>
      </c>
      <c r="BF19" s="25">
        <f>SUMIFS('Bilateral Assistance, MAIN DATA'!$N:$N,'Bilateral Assistance, MAIN DATA'!$B:$B,'Share, Heavy Weapons to Ukraine'!$B19,'Bilateral Assistance, MAIN DATA'!$AO:$AO,"155mm howitzer")+SUMIFS('Bilateral Assistance, MAIN DATA'!$N:$N,'Bilateral Assistance, MAIN DATA'!$B:$B,'Share, Heavy Weapons to Ukraine'!$B19,'Bilateral Assistance, MAIN DATA'!$AO:$AO,"152mm howitzer")</f>
        <v>4</v>
      </c>
      <c r="BG19" s="25">
        <f>SUMIFS('Bilateral Assistance, MAIN DATA'!$N:$N,'Bilateral Assistance, MAIN DATA'!$B:$B,'Share, Heavy Weapons to Ukraine'!$B19,'Bilateral Assistance, MAIN DATA'!$AO:$AO,"122mm MLRS")+SUMIFS('Bilateral Assistance, MAIN DATA'!$N:$N,'Bilateral Assistance, MAIN DATA'!$B:$B,'Share, Heavy Weapons to Ukraine'!$B19,'Bilateral Assistance, MAIN DATA'!$AO:$AO,"127mm MLRS")+SUMIFS('Bilateral Assistance, MAIN DATA'!$N:$N,'Bilateral Assistance, MAIN DATA'!$B:$B,'Share, Heavy Weapons to Ukraine'!$B19,'Bilateral Assistance, MAIN DATA'!$AO:$AO,"227mm MLRS")</f>
        <v>0</v>
      </c>
      <c r="BH19" s="25">
        <f>SUMIFS('Bilateral Assistance, MAIN DATA'!$N:$N,'Bilateral Assistance, MAIN DATA'!$B:$B,'Share, Heavy Weapons to Ukraine'!$B19,'Bilateral Assistance, MAIN DATA'!$AO:$AO,'Share, Heavy Weapons to Ukraine'!BH$11)</f>
        <v>0</v>
      </c>
      <c r="BI19" s="25">
        <f>SUMIFS('Bilateral Assistance, MAIN DATA'!$N:$N,'Bilateral Assistance, MAIN DATA'!$B:$B,'Share, Heavy Weapons to Ukraine'!$B19,'Bilateral Assistance, MAIN DATA'!$AO:$AO,'Share, Heavy Weapons to Ukraine'!BI$11)</f>
        <v>0</v>
      </c>
      <c r="BJ19" s="25">
        <f>SUMIFS('Bilateral Assistance, MAIN DATA'!$N:$N,'Bilateral Assistance, MAIN DATA'!$B:$B,'Share, Heavy Weapons to Ukraine'!$B19,'Bilateral Assistance, MAIN DATA'!$AO:$AO,'Share, Heavy Weapons to Ukraine'!BJ$11)</f>
        <v>0</v>
      </c>
      <c r="BK19" s="25">
        <f>SUMIFS('Bilateral Assistance, MAIN DATA'!$N:$N,'Bilateral Assistance, MAIN DATA'!$B:$B,'Share, Heavy Weapons to Ukraine'!$B19,'Bilateral Assistance, MAIN DATA'!$AO:$AO,'Share, Heavy Weapons to Ukraine'!BK$11)</f>
        <v>0</v>
      </c>
      <c r="BL19" s="25">
        <f>SUMIFS('Bilateral Assistance, MAIN DATA'!$N:$N,'Bilateral Assistance, MAIN DATA'!$B:$B,'Share, Heavy Weapons to Ukraine'!$B19,'Bilateral Assistance, MAIN DATA'!$AO:$AO,'Share, Heavy Weapons to Ukraine'!BL$11)</f>
        <v>0</v>
      </c>
      <c r="BM19" s="410"/>
      <c r="BN19" s="261">
        <f>IF(VLOOKUP($B19,$B:W,COLUMN(W18)-1,FALSE)&lt;&gt;0,VLOOKUP($B19,$B:AL,COLUMN(AL18)-1,FALSE)/VLOOKUP($B19,$B:W,COLUMN(W18)-1,FALSE),IF(VLOOKUP($B19,$B:AL,COLUMN(AL18)-1,FALSE)&lt;&gt;0,"unknown",0))</f>
        <v>5.9701492537313432E-2</v>
      </c>
      <c r="BO19" s="261">
        <f>IF(VLOOKUP($B19,$B:X,COLUMN(X18)-1,FALSE)&lt;&gt;0,VLOOKUP($B19,$B:AM,COLUMN(AM18)-1,FALSE)/VLOOKUP($B19,$B:X,COLUMN(X18)-1,FALSE),IF(VLOOKUP($B19,$B:AM,COLUMN(AM18)-1,FALSE)&lt;&gt;0,"unknown",0))</f>
        <v>0.5575620767494357</v>
      </c>
      <c r="BP19" s="261">
        <f>IF(VLOOKUP($B19,$B:Y,COLUMN(Y18)-1,FALSE)&lt;&gt;0,VLOOKUP($B19,$B:AN,COLUMN(AN18)-1,FALSE)/VLOOKUP($B19,$B:Y,COLUMN(Y18)-1,FALSE),IF(VLOOKUP($B19,$B:AN,COLUMN(AN18)-1,FALSE)&lt;&gt;0,"unknown",0))</f>
        <v>0</v>
      </c>
      <c r="BQ19" s="261">
        <f>IF(VLOOKUP($B19,$B:Z,COLUMN(Z18)-1,FALSE)&lt;&gt;0,VLOOKUP($B19,$B:AO,COLUMN(AO18)-1,FALSE)/VLOOKUP($B19,$B:Z,COLUMN(Z18)-1,FALSE),IF(VLOOKUP($B19,$B:AO,COLUMN(AO18)-1,FALSE)&lt;&gt;0,"unknown",0))</f>
        <v>0</v>
      </c>
      <c r="BR19" s="261">
        <f>IF(VLOOKUP($B19,$B:AA,COLUMN(AA18)-1,FALSE)&lt;&gt;0,VLOOKUP($B19,$B:AP,COLUMN(AP18)-1,FALSE)/VLOOKUP($B19,$B:AA,COLUMN(AA18)-1,FALSE),IF(VLOOKUP($B19,$B:AP,COLUMN(AP18)-1,FALSE)&lt;&gt;0,"unknown",0))</f>
        <v>0</v>
      </c>
      <c r="BS19" s="261">
        <f>IF(VLOOKUP($B19,$B:AB,COLUMN(AB18)-1,FALSE)&lt;&gt;0,VLOOKUP($B19,$B:AQ,COLUMN(AQ18)-1,FALSE)/VLOOKUP($B19,$B:AB,COLUMN(AB18)-1,FALSE),IF(VLOOKUP($B19,$B:AQ,COLUMN(AQ18)-1,FALSE)&lt;&gt;0,"unknown",0))</f>
        <v>0.16466666666666666</v>
      </c>
      <c r="BT19" s="261">
        <f>IF(VLOOKUP($B19,$B:AC,COLUMN(AC18)-1,FALSE)&lt;&gt;0,VLOOKUP($B19,$B:AR,COLUMN(AR18)-1,FALSE)/VLOOKUP($B19,$B:AC,COLUMN(AC18)-1,FALSE),IF(VLOOKUP($B19,$B:AR,COLUMN(AR18)-1,FALSE)&lt;&gt;0,"unknown",0))</f>
        <v>0.10810810810810811</v>
      </c>
      <c r="BU19" s="261">
        <f>IF(VLOOKUP($B19,$B:AD,COLUMN(AD18)-1,FALSE)&lt;&gt;0,VLOOKUP($B19,$B:AS,COLUMN(AS18)-1,FALSE)/VLOOKUP($B19,$B:AD,COLUMN(AD18)-1,FALSE),IF(VLOOKUP($B19,$B:AS,COLUMN(AS18)-1,FALSE)&lt;&gt;0,"unknown",0))</f>
        <v>0</v>
      </c>
      <c r="BV19" s="261">
        <f>IF(VLOOKUP($B19,$B:AE,COLUMN(AE18)-1,FALSE)&lt;&gt;0,VLOOKUP($B19,$B:AT,COLUMN(AT18)-1,FALSE)/VLOOKUP($B19,$B:AE,COLUMN(AE18)-1,FALSE),IF(VLOOKUP($B19,$B:AT,COLUMN(AT18)-1,FALSE)&lt;&gt;0,"unknown",0))</f>
        <v>0</v>
      </c>
      <c r="BW19" s="261">
        <f>IF(VLOOKUP($B19,$B:AG,COLUMN(AG18)-1,FALSE)&lt;&gt;0,VLOOKUP($B19,$B:AU,COLUMN(AU18)-1,FALSE)/VLOOKUP($B19,$B:AG,COLUMN(AG18)-1,FALSE),IF(VLOOKUP($B19,$B:AU,COLUMN(AU18)-1,FALSE)&lt;&gt;0,"unknown",0))</f>
        <v>0</v>
      </c>
      <c r="BX19" s="261">
        <f>IF(VLOOKUP($B19,$B:AH,COLUMN(AH18)-1,FALSE)&lt;&gt;0,VLOOKUP($B19,$B:AV,COLUMN(AV18)-1,FALSE)/VLOOKUP($B19,$B:AH,COLUMN(AH18)-1,FALSE),IF(VLOOKUP($B19,$B:AV,COLUMN(AV18)-1,FALSE)&lt;&gt;0,"unknown",0))</f>
        <v>0</v>
      </c>
      <c r="BY19" s="261">
        <f>IF(VLOOKUP($B19,$B:AI,COLUMN(AI18)-1,FALSE)&lt;&gt;0,VLOOKUP($B19,$B:AW,COLUMN(AW18)-1,FALSE)/VLOOKUP($B19,$B:AI,COLUMN(AI18)-1,FALSE),IF(VLOOKUP($B19,$B:AW,COLUMN(AW18)-1,FALSE)&lt;&gt;0,"unknown",0))</f>
        <v>0</v>
      </c>
      <c r="BZ19" s="261">
        <f>IF(VLOOKUP($B19,$B:AJ,COLUMN(AJ18)-1,FALSE)&lt;&gt;0,VLOOKUP($B19,$B:AX,COLUMN(AX18)-1,FALSE)/VLOOKUP($B19,$B:AJ,COLUMN(AJ18)-1,FALSE),IF(VLOOKUP($B19,$B:AX,COLUMN(AX18)-1,FALSE)&lt;&gt;0,"unknown",0))</f>
        <v>0</v>
      </c>
      <c r="CA19" s="410"/>
      <c r="CB19" s="2">
        <f>IF(VLOOKUP($B19,$B:AM,COLUMN(W18)-1,FALSE)&lt;&gt;0,VLOOKUP($B19,$B:BA,COLUMN(AZ18)-1,FALSE)/VLOOKUP($B19,$B:AM,COLUMN(W18)-1,FALSE),IF(VLOOKUP($B19,$B:BA,COLUMN(AZ18)-1,FALSE)&lt;&gt;0,"unknown",0))</f>
        <v>5.9701492537313432E-2</v>
      </c>
      <c r="CC19" s="2">
        <f>IF(VLOOKUP($B19,$B:AN,COLUMN(X18)-1,FALSE)&lt;&gt;0,VLOOKUP($B19,$B:BB,COLUMN(BA18)-1,FALSE)/VLOOKUP($B19,$B:AN,COLUMN(X18)-1,FALSE),IF(VLOOKUP($B19,$B:BB,COLUMN(BA18)-1,FALSE)&lt;&gt;0,"unknown",0))</f>
        <v>0.10609480812641084</v>
      </c>
      <c r="CD19" s="2">
        <f>IF(VLOOKUP($B19,$B:AO,COLUMN(Y18)-1,FALSE)&lt;&gt;0,VLOOKUP($B19,$B:BC,COLUMN(BB18)-1,FALSE)/VLOOKUP($B19,$B:AO,COLUMN(Y18)-1,FALSE),IF(VLOOKUP($B19,$B:BC,COLUMN(BB18)-1,FALSE)&lt;&gt;0,"unknown",0))</f>
        <v>0</v>
      </c>
      <c r="CE19" s="2">
        <f>IF(VLOOKUP($B19,$B:AP,COLUMN(Z18)-1,FALSE)&lt;&gt;0,VLOOKUP($B19,$B:BD,COLUMN(BC18)-1,FALSE)/VLOOKUP($B19,$B:AP,COLUMN(Z18)-1,FALSE),IF(VLOOKUP($B19,$B:BD,COLUMN(BC18)-1,FALSE)&lt;&gt;0,"unknown",0))</f>
        <v>0</v>
      </c>
      <c r="CF19" s="2">
        <f>IF(VLOOKUP($B19,$B:AR,COLUMN(AA18)-1,FALSE)&lt;&gt;0,VLOOKUP($B19,$B:BF,COLUMN(BD18)-1,FALSE)/VLOOKUP($B19,$B:AR,COLUMN(AA18)-1,FALSE),IF(VLOOKUP($B19,$B:BF,COLUMN(BD18)-1,FALSE)&lt;&gt;0,"unknown",0))</f>
        <v>0</v>
      </c>
      <c r="CG19" s="2">
        <f>IF(VLOOKUP($B19,$B:AS,COLUMN(AB18)-1,FALSE)&lt;&gt;0,VLOOKUP($B19,$B:BG,COLUMN(BE18)-1,FALSE)/VLOOKUP($B19,$B:AS,COLUMN(AB18)-1,FALSE),IF(VLOOKUP($B19,$B:BG,COLUMN(BE18)-1,FALSE)&lt;&gt;0,"unknown",0))</f>
        <v>3.1333333333333331E-2</v>
      </c>
      <c r="CH19" s="2">
        <f>IF(VLOOKUP($B19,$B:AS,COLUMN(AC18)-1,FALSE)&lt;&gt;0,VLOOKUP($B19,$B:BG,COLUMN(BF18)-1,FALSE)/VLOOKUP($B19,$B:AS,COLUMN(AC18)-1,FALSE),IF(VLOOKUP($B19,$B:BG,COLUMN(BF18)-1,FALSE)&lt;&gt;0,"unknown",0))</f>
        <v>0.10810810810810811</v>
      </c>
      <c r="CI19" s="2">
        <f>IF(VLOOKUP($B19,$B:AT,COLUMN(AD18)-1,FALSE)&lt;&gt;0,VLOOKUP($B19,$B:BH,COLUMN(BG18)-1,FALSE)/VLOOKUP($B19,$B:AT,COLUMN(AD18)-1,FALSE),IF(VLOOKUP($B19,$B:BH,COLUMN(BG18)-1,FALSE)&lt;&gt;0,"unknown",0))</f>
        <v>0</v>
      </c>
      <c r="CJ19" s="2">
        <f>IF(VLOOKUP($B19,$B:AT,COLUMN(AE18)-1,FALSE)&lt;&gt;0,VLOOKUP($B19,$B:BH,COLUMN(BH18)-1,FALSE)/VLOOKUP($B19,$B:AT,COLUMN(AE18)-1,FALSE),IF(VLOOKUP($B19,$B:BH,COLUMN(BH18)-1,FALSE)&lt;&gt;0,"unknown",0))</f>
        <v>0</v>
      </c>
      <c r="CK19" s="2">
        <f>IF(VLOOKUP($B19,$B:AU,COLUMN(AG18)-1,FALSE)&lt;&gt;0,VLOOKUP($B19,$B:BI,COLUMN(BI18)-1,FALSE)/VLOOKUP($B19,$B:AU,COLUMN(AG18)-1,FALSE),IF(VLOOKUP($B19,$B:BI,COLUMN(BI18)-1,FALSE)&lt;&gt;0,"unknown",0))</f>
        <v>0</v>
      </c>
      <c r="CL19" s="2">
        <f>IF(VLOOKUP($B19,$B:AV,COLUMN(AH18)-1,FALSE)&lt;&gt;0,VLOOKUP($B19,$B:BJ,COLUMN(BJ18)-1,FALSE)/VLOOKUP($B19,$B:AV,COLUMN(AH18)-1,FALSE),IF(VLOOKUP($B19,$B:BJ,COLUMN(BJ18)-1,FALSE)&lt;&gt;0,"unknown",0))</f>
        <v>0</v>
      </c>
      <c r="CM19" s="2">
        <f>IF(VLOOKUP($B19,$B:AW,COLUMN(AI18)-1,FALSE)&lt;&gt;0,VLOOKUP($B19,$B:BK,COLUMN(BK18)-1,FALSE)/VLOOKUP($B19,$B:AW,COLUMN(AI18)-1,FALSE),IF(VLOOKUP($B19,$B:BK,COLUMN(BK18)-1,FALSE)&lt;&gt;0,"unknown",0))</f>
        <v>0</v>
      </c>
      <c r="CN19" s="2">
        <f>IF(VLOOKUP($B19,$B:AX,COLUMN(AJ18)-1,FALSE)&lt;&gt;0,VLOOKUP($B19,$B:BL,COLUMN(BL18)-1,FALSE)/VLOOKUP($B19,$B:AX,COLUMN(AJ18)-1,FALSE),IF(VLOOKUP($B19,$B:BL,COLUMN(BL18)-1,FALSE)&lt;&gt;0,"unknown",0))</f>
        <v>0</v>
      </c>
      <c r="CO19" s="410"/>
      <c r="CP19" s="2">
        <f>SUMIFS('Bilateral Assistance, MAIN DATA'!$M:$M,'Bilateral Assistance, MAIN DATA'!$B:$B,'Share, Heavy Weapons to Ukraine'!$B19,'Bilateral Assistance, MAIN DATA'!$AO:$AO,'Share, Heavy Weapons to Ukraine'!CP$11, 'Bilateral Assistance, MAIN DATA'!$AA:$AA,1)</f>
        <v>0</v>
      </c>
      <c r="CQ19" s="2">
        <f>SUMIFS('Bilateral Assistance, MAIN DATA'!$M:$M,'Bilateral Assistance, MAIN DATA'!$B:$B,'Share, Heavy Weapons to Ukraine'!$B19,'Bilateral Assistance, MAIN DATA'!$AO:$AO,'Share, Heavy Weapons to Ukraine'!CQ$11, 'Bilateral Assistance, MAIN DATA'!$AA:$AA,1)</f>
        <v>0</v>
      </c>
      <c r="CR19" s="2">
        <f>SUMIFS('Bilateral Assistance, MAIN DATA'!$M:$M,'Bilateral Assistance, MAIN DATA'!$B:$B,'Share, Heavy Weapons to Ukraine'!$B19,'Bilateral Assistance, MAIN DATA'!$AO:$AO,'Share, Heavy Weapons to Ukraine'!CR$11, 'Bilateral Assistance, MAIN DATA'!$AA:$AA,1)</f>
        <v>0</v>
      </c>
      <c r="CS19" s="2">
        <f>SUMIFS('Bilateral Assistance, MAIN DATA'!$M:$M,'Bilateral Assistance, MAIN DATA'!$B:$B,'Share, Heavy Weapons to Ukraine'!$B19,'Bilateral Assistance, MAIN DATA'!$AO:$AO,'Share, Heavy Weapons to Ukraine'!CS$11, 'Bilateral Assistance, MAIN DATA'!$AA:$AA,1)</f>
        <v>0</v>
      </c>
      <c r="CT19" s="410"/>
      <c r="CU19" s="2">
        <f>SUMIFS('Bilateral Assistance, MAIN DATA'!$N:$N,'Bilateral Assistance, MAIN DATA'!$B:$B,'Share, Heavy Weapons to Ukraine'!$B19,'Bilateral Assistance, MAIN DATA'!$AO:$AO,'Share, Heavy Weapons to Ukraine'!CU$11, 'Bilateral Assistance, MAIN DATA'!$AA:$AA,1)</f>
        <v>0</v>
      </c>
      <c r="CV19" s="2">
        <f>SUMIFS('Bilateral Assistance, MAIN DATA'!$N:$N,'Bilateral Assistance, MAIN DATA'!$B:$B,'Share, Heavy Weapons to Ukraine'!$B19,'Bilateral Assistance, MAIN DATA'!$AO:$AO,'Share, Heavy Weapons to Ukraine'!CV$11, 'Bilateral Assistance, MAIN DATA'!$AA:$AA,1)</f>
        <v>0</v>
      </c>
      <c r="CW19" s="2">
        <f>SUMIFS('Bilateral Assistance, MAIN DATA'!$N:$N,'Bilateral Assistance, MAIN DATA'!$B:$B,'Share, Heavy Weapons to Ukraine'!$B19,'Bilateral Assistance, MAIN DATA'!$AO:$AO,'Share, Heavy Weapons to Ukraine'!CW$11, 'Bilateral Assistance, MAIN DATA'!$AA:$AA,1)</f>
        <v>0</v>
      </c>
      <c r="CX19" s="2">
        <f>SUMIFS('Bilateral Assistance, MAIN DATA'!$N:$N,'Bilateral Assistance, MAIN DATA'!$B:$B,'Share, Heavy Weapons to Ukraine'!$B19,'Bilateral Assistance, MAIN DATA'!$AO:$AO,'Share, Heavy Weapons to Ukraine'!CX$11, 'Bilateral Assistance, MAIN DATA'!$AA:$AA,1)</f>
        <v>0</v>
      </c>
    </row>
    <row r="20" spans="2:102" ht="15.6">
      <c r="B20" s="409" t="s">
        <v>2693</v>
      </c>
      <c r="C20" s="409">
        <v>0</v>
      </c>
      <c r="D20" s="2">
        <v>1</v>
      </c>
      <c r="E20" s="410"/>
      <c r="F20" s="348">
        <f>45+7+(110/3)</f>
        <v>88.666666666666657</v>
      </c>
      <c r="G20" s="569">
        <v>248</v>
      </c>
      <c r="H20" s="569" t="s">
        <v>364</v>
      </c>
      <c r="I20" s="569" t="s">
        <v>364</v>
      </c>
      <c r="J20" s="569" t="s">
        <v>364</v>
      </c>
      <c r="K20" s="569" t="s">
        <v>364</v>
      </c>
      <c r="L20" s="569" t="s">
        <v>364</v>
      </c>
      <c r="M20" s="569" t="s">
        <v>364</v>
      </c>
      <c r="N20" s="569" t="s">
        <v>364</v>
      </c>
      <c r="O20" s="569" t="s">
        <v>364</v>
      </c>
      <c r="P20" s="569" t="s">
        <v>364</v>
      </c>
      <c r="Q20" s="2" t="s">
        <v>6632</v>
      </c>
      <c r="R20" s="968" t="s">
        <v>2748</v>
      </c>
      <c r="S20" s="1227" t="s">
        <v>1293</v>
      </c>
      <c r="T20" s="268" t="s">
        <v>6633</v>
      </c>
      <c r="U20" s="410" t="str">
        <f>""</f>
        <v/>
      </c>
      <c r="V20" s="1334">
        <v>14.8</v>
      </c>
      <c r="W20" s="1334">
        <f>VLOOKUP(B20,'Heavy Weapon Stocks'!B:OA,COLUMN('Heavy Weapon Stocks'!$C$11)-1,FALSE)+IF(F20&lt;&gt;".",F20,0)</f>
        <v>88.666666666666657</v>
      </c>
      <c r="X20" s="1334">
        <f>VLOOKUP(B20,'Heavy Weapon Stocks'!B:OA,COLUMN('Heavy Weapon Stocks'!$AQ$11)-1,FALSE)</f>
        <v>265</v>
      </c>
      <c r="Y20" s="1334">
        <f>VLOOKUP(B20,'Heavy Weapon Stocks'!B:OA,COLUMN('Heavy Weapon Stocks'!$DK$11)-1,FALSE)</f>
        <v>0</v>
      </c>
      <c r="Z20" s="1334">
        <f>VLOOKUP(B20,'Heavy Weapon Stocks'!B:OA,COLUMN('Heavy Weapon Stocks'!$DY$11)-1,FALSE)</f>
        <v>248</v>
      </c>
      <c r="AA20" s="1334">
        <f>VLOOKUP(B20,'Heavy Weapon Stocks'!B:OA,COLUMN('Heavy Weapon Stocks'!$FA$11)-1,FALSE)+IF(G20&lt;&gt;".",G20,0)</f>
        <v>397</v>
      </c>
      <c r="AB20" s="1334">
        <f t="shared" si="3"/>
        <v>910</v>
      </c>
      <c r="AC20" s="1334">
        <f>VLOOKUP(B20,'Heavy Weapon Stocks'!B:OA,COLUMN('Heavy Weapon Stocks'!$GV$11)-1,FALSE)+VLOOKUP(B20,'Heavy Weapon Stocks'!B:OA,COLUMN('Heavy Weapon Stocks'!$HY$11)-1,FALSE)+IF(H20&lt;&gt;".",H20,0)</f>
        <v>56</v>
      </c>
      <c r="AD20" s="1334">
        <f>VLOOKUP(B20,'Heavy Weapon Stocks'!B:OA,COLUMN('Heavy Weapon Stocks'!$IF$11)-1,FALSE)+IF(I20&lt;&gt;".",I20,0)</f>
        <v>0</v>
      </c>
      <c r="AE20" s="1334">
        <f>VLOOKUP(B20,'Heavy Weapon Stocks'!B:OA,COLUMN('Heavy Weapon Stocks'!$IZ$11)-1,FALSE)+VLOOKUP(B20,'Heavy Weapon Stocks'!B:OA,COLUMN('Heavy Weapon Stocks'!$JW$11)-1,FALSE)</f>
        <v>61</v>
      </c>
      <c r="AF20" s="1334">
        <f>VLOOKUP(B20,'Heavy Weapon Stocks'!B:OA,COLUMN('Heavy Weapon Stocks'!$NL$11)-1,FALSE)+IF(L20&lt;&gt;".",L20,0)</f>
        <v>18</v>
      </c>
      <c r="AG20" s="1334">
        <f>VLOOKUP(B20,'Heavy Weapon Stocks'!B:OA,COLUMN('Heavy Weapon Stocks'!$LN$11)-1,FALSE)+IF(M20&lt;&gt;".",M20,0)</f>
        <v>18</v>
      </c>
      <c r="AH20" s="1334">
        <f>VLOOKUP(B20,'Heavy Weapon Stocks'!B:OA,COLUMN('Heavy Weapon Stocks'!$LX$11)-1,FALSE)+IF(N20&lt;&gt;".",N20,0)</f>
        <v>0</v>
      </c>
      <c r="AI20" s="1334">
        <f>VLOOKUP(B20,'Heavy Weapon Stocks'!B:OA,COLUMN('Heavy Weapon Stocks'!$ME$11)-1,FALSE)+IF(O20&lt;&gt;".",O20,0)</f>
        <v>6</v>
      </c>
      <c r="AJ20" s="1334">
        <f>VLOOKUP(B20,'Heavy Weapon Stocks'!B:OA,COLUMN('Heavy Weapon Stocks'!$NK$11)-1,FALSE)+IF(P20&lt;&gt;".",P20,0)</f>
        <v>18</v>
      </c>
      <c r="AK20" s="410"/>
      <c r="AL20" s="25">
        <f>SUMIFS('Bilateral Assistance, MAIN DATA'!$M:$M,'Bilateral Assistance, MAIN DATA'!$B:$B,'Share, Heavy Weapons to Ukraine'!$B20,'Bilateral Assistance, MAIN DATA'!$AO:$AO,'Share, Heavy Weapons to Ukraine'!AL$11)</f>
        <v>88.666666666666657</v>
      </c>
      <c r="AM20" s="25">
        <f>SUMIFS('Bilateral Assistance, MAIN DATA'!$M:$M,'Bilateral Assistance, MAIN DATA'!$B:$B,'Share, Heavy Weapons to Ukraine'!$B20,'Bilateral Assistance, MAIN DATA'!$AO:$AO,'Share, Heavy Weapons to Ukraine'!AM$11)</f>
        <v>0</v>
      </c>
      <c r="AN20" s="25">
        <f>SUMIFS('Bilateral Assistance, MAIN DATA'!$M:$M,'Bilateral Assistance, MAIN DATA'!$B:$B,'Share, Heavy Weapons to Ukraine'!$B20,'Bilateral Assistance, MAIN DATA'!$AO:$AO,'Share, Heavy Weapons to Ukraine'!AN$11)</f>
        <v>0</v>
      </c>
      <c r="AO20" s="25">
        <f>SUMIFS('Bilateral Assistance, MAIN DATA'!$M:$M,'Bilateral Assistance, MAIN DATA'!$B:$B,'Share, Heavy Weapons to Ukraine'!$B20,'Bilateral Assistance, MAIN DATA'!$AO:$AO,'Share, Heavy Weapons to Ukraine'!AO$11)</f>
        <v>0</v>
      </c>
      <c r="AP20" s="25">
        <f>SUMIFS('Bilateral Assistance, MAIN DATA'!$M:$M,'Bilateral Assistance, MAIN DATA'!$B:$B,'Share, Heavy Weapons to Ukraine'!$B20,'Bilateral Assistance, MAIN DATA'!$AO:$AO,'Share, Heavy Weapons to Ukraine'!AP$11)</f>
        <v>196</v>
      </c>
      <c r="AQ20" s="25">
        <f t="shared" si="1"/>
        <v>196</v>
      </c>
      <c r="AR20" s="25">
        <f>SUMIFS('Bilateral Assistance, MAIN DATA'!$M:$M,'Bilateral Assistance, MAIN DATA'!$B:$B,'Share, Heavy Weapons to Ukraine'!$B20,'Bilateral Assistance, MAIN DATA'!$AO:$AO,"155mm howitzer")+SUMIFS('Bilateral Assistance, MAIN DATA'!$M:$M,'Bilateral Assistance, MAIN DATA'!$B:$B,'Share, Heavy Weapons to Ukraine'!$B20,'Bilateral Assistance, MAIN DATA'!$AO:$AO,"152mm howitzer")</f>
        <v>8</v>
      </c>
      <c r="AS20" s="25">
        <f>SUMIFS('Bilateral Assistance, MAIN DATA'!$M:$M,'Bilateral Assistance, MAIN DATA'!$B:$B,'Share, Heavy Weapons to Ukraine'!$B20,'Bilateral Assistance, MAIN DATA'!$AO:$AO,"122mm MLRS")+SUMIFS('Bilateral Assistance, MAIN DATA'!$M:$M,'Bilateral Assistance, MAIN DATA'!$B:$B,'Share, Heavy Weapons to Ukraine'!$B20,'Bilateral Assistance, MAIN DATA'!$AO:$AO,"127mm MLRS")+SUMIFS('Bilateral Assistance, MAIN DATA'!$M:$M,'Bilateral Assistance, MAIN DATA'!$B:$B,'Share, Heavy Weapons to Ukraine'!$B20,'Bilateral Assistance, MAIN DATA'!$AO:$AO,"227mm MLRS")</f>
        <v>0</v>
      </c>
      <c r="AT20" s="25">
        <f>SUMIFS('Bilateral Assistance, MAIN DATA'!$M:$M,'Bilateral Assistance, MAIN DATA'!$B:$B,'Share, Heavy Weapons to Ukraine'!$B20,'Bilateral Assistance, MAIN DATA'!$AO:$AO,'Share, Heavy Weapons to Ukraine'!AT$11)</f>
        <v>0</v>
      </c>
      <c r="AU20" s="25">
        <f>SUMIFS('Bilateral Assistance, MAIN DATA'!$M:$M,'Bilateral Assistance, MAIN DATA'!$B:$B,'Share, Heavy Weapons to Ukraine'!$B20,'Bilateral Assistance, MAIN DATA'!$AO:$AO,'Share, Heavy Weapons to Ukraine'!AU$11)</f>
        <v>2</v>
      </c>
      <c r="AV20" s="25">
        <f>SUMIFS('Bilateral Assistance, MAIN DATA'!$M:$M,'Bilateral Assistance, MAIN DATA'!$B:$B,'Share, Heavy Weapons to Ukraine'!$B20,'Bilateral Assistance, MAIN DATA'!$AO:$AO,'Share, Heavy Weapons to Ukraine'!AV$11)</f>
        <v>0</v>
      </c>
      <c r="AW20" s="25">
        <f>SUMIFS('Bilateral Assistance, MAIN DATA'!$M:$M,'Bilateral Assistance, MAIN DATA'!$B:$B,'Share, Heavy Weapons to Ukraine'!$B20,'Bilateral Assistance, MAIN DATA'!$AO:$AO,'Share, Heavy Weapons to Ukraine'!AW$11)</f>
        <v>0</v>
      </c>
      <c r="AX20" s="25">
        <f>SUMIFS('Bilateral Assistance, MAIN DATA'!$M:$M,'Bilateral Assistance, MAIN DATA'!$B:$B,'Share, Heavy Weapons to Ukraine'!$B20,'Bilateral Assistance, MAIN DATA'!$AO:$AO,'Share, Heavy Weapons to Ukraine'!AX$11)</f>
        <v>0</v>
      </c>
      <c r="AY20" s="410"/>
      <c r="AZ20" s="25">
        <f>SUMIFS('Bilateral Assistance, MAIN DATA'!$N:$N,'Bilateral Assistance, MAIN DATA'!$B:$B,'Share, Heavy Weapons to Ukraine'!$B20,'Bilateral Assistance, MAIN DATA'!$AO:$AO,'Share, Heavy Weapons to Ukraine'!AZ$11)</f>
        <v>18.5</v>
      </c>
      <c r="BA20" s="25">
        <f>SUMIFS('Bilateral Assistance, MAIN DATA'!$N:$N,'Bilateral Assistance, MAIN DATA'!$B:$B,'Share, Heavy Weapons to Ukraine'!$B20,'Bilateral Assistance, MAIN DATA'!$AO:$AO,'Share, Heavy Weapons to Ukraine'!BA$11)</f>
        <v>0</v>
      </c>
      <c r="BB20" s="25">
        <f>SUMIFS('Bilateral Assistance, MAIN DATA'!$N:$N,'Bilateral Assistance, MAIN DATA'!$B:$B,'Share, Heavy Weapons to Ukraine'!$B20,'Bilateral Assistance, MAIN DATA'!$AO:$AO,'Share, Heavy Weapons to Ukraine'!BB$11)</f>
        <v>0</v>
      </c>
      <c r="BC20" s="25">
        <f>SUMIFS('Bilateral Assistance, MAIN DATA'!$N:$N,'Bilateral Assistance, MAIN DATA'!$B:$B,'Share, Heavy Weapons to Ukraine'!$B20,'Bilateral Assistance, MAIN DATA'!$AO:$AO,'Share, Heavy Weapons to Ukraine'!BC$11)</f>
        <v>0</v>
      </c>
      <c r="BD20" s="25">
        <f>SUMIFS('Bilateral Assistance, MAIN DATA'!$N:$N,'Bilateral Assistance, MAIN DATA'!$B:$B,'Share, Heavy Weapons to Ukraine'!$B20,'Bilateral Assistance, MAIN DATA'!$AO:$AO,'Share, Heavy Weapons to Ukraine'!BD$11)</f>
        <v>196</v>
      </c>
      <c r="BE20" s="25">
        <f t="shared" si="2"/>
        <v>196</v>
      </c>
      <c r="BF20" s="25">
        <f>SUMIFS('Bilateral Assistance, MAIN DATA'!$N:$N,'Bilateral Assistance, MAIN DATA'!$B:$B,'Share, Heavy Weapons to Ukraine'!$B20,'Bilateral Assistance, MAIN DATA'!$AO:$AO,"155mm howitzer")+SUMIFS('Bilateral Assistance, MAIN DATA'!$N:$N,'Bilateral Assistance, MAIN DATA'!$B:$B,'Share, Heavy Weapons to Ukraine'!$B20,'Bilateral Assistance, MAIN DATA'!$AO:$AO,"152mm howitzer")</f>
        <v>8</v>
      </c>
      <c r="BG20" s="25">
        <f>SUMIFS('Bilateral Assistance, MAIN DATA'!$N:$N,'Bilateral Assistance, MAIN DATA'!$B:$B,'Share, Heavy Weapons to Ukraine'!$B20,'Bilateral Assistance, MAIN DATA'!$AO:$AO,"122mm MLRS")+SUMIFS('Bilateral Assistance, MAIN DATA'!$N:$N,'Bilateral Assistance, MAIN DATA'!$B:$B,'Share, Heavy Weapons to Ukraine'!$B20,'Bilateral Assistance, MAIN DATA'!$AO:$AO,"127mm MLRS")+SUMIFS('Bilateral Assistance, MAIN DATA'!$N:$N,'Bilateral Assistance, MAIN DATA'!$B:$B,'Share, Heavy Weapons to Ukraine'!$B20,'Bilateral Assistance, MAIN DATA'!$AO:$AO,"227mm MLRS")</f>
        <v>0</v>
      </c>
      <c r="BH20" s="25">
        <f>SUMIFS('Bilateral Assistance, MAIN DATA'!$N:$N,'Bilateral Assistance, MAIN DATA'!$B:$B,'Share, Heavy Weapons to Ukraine'!$B20,'Bilateral Assistance, MAIN DATA'!$AO:$AO,'Share, Heavy Weapons to Ukraine'!BH$11)</f>
        <v>0</v>
      </c>
      <c r="BI20" s="25">
        <f>SUMIFS('Bilateral Assistance, MAIN DATA'!$N:$N,'Bilateral Assistance, MAIN DATA'!$B:$B,'Share, Heavy Weapons to Ukraine'!$B20,'Bilateral Assistance, MAIN DATA'!$AO:$AO,'Share, Heavy Weapons to Ukraine'!BI$11)</f>
        <v>0</v>
      </c>
      <c r="BJ20" s="25">
        <f>SUMIFS('Bilateral Assistance, MAIN DATA'!$N:$N,'Bilateral Assistance, MAIN DATA'!$B:$B,'Share, Heavy Weapons to Ukraine'!$B20,'Bilateral Assistance, MAIN DATA'!$AO:$AO,'Share, Heavy Weapons to Ukraine'!BJ$11)</f>
        <v>0</v>
      </c>
      <c r="BK20" s="25">
        <f>SUMIFS('Bilateral Assistance, MAIN DATA'!$N:$N,'Bilateral Assistance, MAIN DATA'!$B:$B,'Share, Heavy Weapons to Ukraine'!$B20,'Bilateral Assistance, MAIN DATA'!$AO:$AO,'Share, Heavy Weapons to Ukraine'!BK$11)</f>
        <v>0</v>
      </c>
      <c r="BL20" s="25">
        <f>SUMIFS('Bilateral Assistance, MAIN DATA'!$N:$N,'Bilateral Assistance, MAIN DATA'!$B:$B,'Share, Heavy Weapons to Ukraine'!$B20,'Bilateral Assistance, MAIN DATA'!$AO:$AO,'Share, Heavy Weapons to Ukraine'!BL$11)</f>
        <v>0</v>
      </c>
      <c r="BM20" s="410"/>
      <c r="BN20" s="261">
        <f>IF(VLOOKUP($B20,$B:W,COLUMN(W19)-1,FALSE)&lt;&gt;0,VLOOKUP($B20,$B:AL,COLUMN(AL19)-1,FALSE)/VLOOKUP($B20,$B:W,COLUMN(W19)-1,FALSE),IF(VLOOKUP($B20,$B:AL,COLUMN(AL19)-1,FALSE)&lt;&gt;0,"unknown",0))</f>
        <v>1</v>
      </c>
      <c r="BO20" s="261">
        <f>IF(VLOOKUP($B20,$B:X,COLUMN(X19)-1,FALSE)&lt;&gt;0,VLOOKUP($B20,$B:AM,COLUMN(AM19)-1,FALSE)/VLOOKUP($B20,$B:X,COLUMN(X19)-1,FALSE),IF(VLOOKUP($B20,$B:AM,COLUMN(AM19)-1,FALSE)&lt;&gt;0,"unknown",0))</f>
        <v>0</v>
      </c>
      <c r="BP20" s="261">
        <f>IF(VLOOKUP($B20,$B:Y,COLUMN(Y19)-1,FALSE)&lt;&gt;0,VLOOKUP($B20,$B:AN,COLUMN(AN19)-1,FALSE)/VLOOKUP($B20,$B:Y,COLUMN(Y19)-1,FALSE),IF(VLOOKUP($B20,$B:AN,COLUMN(AN19)-1,FALSE)&lt;&gt;0,"unknown",0))</f>
        <v>0</v>
      </c>
      <c r="BQ20" s="261">
        <f>IF(VLOOKUP($B20,$B:Z,COLUMN(Z19)-1,FALSE)&lt;&gt;0,VLOOKUP($B20,$B:AO,COLUMN(AO19)-1,FALSE)/VLOOKUP($B20,$B:Z,COLUMN(Z19)-1,FALSE),IF(VLOOKUP($B20,$B:AO,COLUMN(AO19)-1,FALSE)&lt;&gt;0,"unknown",0))</f>
        <v>0</v>
      </c>
      <c r="BR20" s="261">
        <f>IF(VLOOKUP($B20,$B:AA,COLUMN(AA19)-1,FALSE)&lt;&gt;0,VLOOKUP($B20,$B:AP,COLUMN(AP19)-1,FALSE)/VLOOKUP($B20,$B:AA,COLUMN(AA19)-1,FALSE),IF(VLOOKUP($B20,$B:AP,COLUMN(AP19)-1,FALSE)&lt;&gt;0,"unknown",0))</f>
        <v>0.49370277078085645</v>
      </c>
      <c r="BS20" s="261">
        <f>IF(VLOOKUP($B20,$B:AB,COLUMN(AB19)-1,FALSE)&lt;&gt;0,VLOOKUP($B20,$B:AQ,COLUMN(AQ19)-1,FALSE)/VLOOKUP($B20,$B:AB,COLUMN(AB19)-1,FALSE),IF(VLOOKUP($B20,$B:AQ,COLUMN(AQ19)-1,FALSE)&lt;&gt;0,"unknown",0))</f>
        <v>0.2153846153846154</v>
      </c>
      <c r="BT20" s="261">
        <f>IF(VLOOKUP($B20,$B:AC,COLUMN(AC19)-1,FALSE)&lt;&gt;0,VLOOKUP($B20,$B:AR,COLUMN(AR19)-1,FALSE)/VLOOKUP($B20,$B:AC,COLUMN(AC19)-1,FALSE),IF(VLOOKUP($B20,$B:AR,COLUMN(AR19)-1,FALSE)&lt;&gt;0,"unknown",0))</f>
        <v>0.14285714285714285</v>
      </c>
      <c r="BU20" s="261">
        <f>IF(VLOOKUP($B20,$B:AD,COLUMN(AD19)-1,FALSE)&lt;&gt;0,VLOOKUP($B20,$B:AS,COLUMN(AS19)-1,FALSE)/VLOOKUP($B20,$B:AD,COLUMN(AD19)-1,FALSE),IF(VLOOKUP($B20,$B:AS,COLUMN(AS19)-1,FALSE)&lt;&gt;0,"unknown",0))</f>
        <v>0</v>
      </c>
      <c r="BV20" s="261">
        <f>IF(VLOOKUP($B20,$B:AE,COLUMN(AE19)-1,FALSE)&lt;&gt;0,VLOOKUP($B20,$B:AT,COLUMN(AT19)-1,FALSE)/VLOOKUP($B20,$B:AE,COLUMN(AE19)-1,FALSE),IF(VLOOKUP($B20,$B:AT,COLUMN(AT19)-1,FALSE)&lt;&gt;0,"unknown",0))</f>
        <v>0</v>
      </c>
      <c r="BW20" s="261">
        <f>IF(VLOOKUP($B20,$B:AG,COLUMN(AG19)-1,FALSE)&lt;&gt;0,VLOOKUP($B20,$B:AU,COLUMN(AU19)-1,FALSE)/VLOOKUP($B20,$B:AG,COLUMN(AG19)-1,FALSE),IF(VLOOKUP($B20,$B:AU,COLUMN(AU19)-1,FALSE)&lt;&gt;0,"unknown",0))</f>
        <v>0.1111111111111111</v>
      </c>
      <c r="BX20" s="261">
        <f>IF(VLOOKUP($B20,$B:AH,COLUMN(AH19)-1,FALSE)&lt;&gt;0,VLOOKUP($B20,$B:AV,COLUMN(AV19)-1,FALSE)/VLOOKUP($B20,$B:AH,COLUMN(AH19)-1,FALSE),IF(VLOOKUP($B20,$B:AV,COLUMN(AV19)-1,FALSE)&lt;&gt;0,"unknown",0))</f>
        <v>0</v>
      </c>
      <c r="BY20" s="261">
        <f>IF(VLOOKUP($B20,$B:AI,COLUMN(AI19)-1,FALSE)&lt;&gt;0,VLOOKUP($B20,$B:AW,COLUMN(AW19)-1,FALSE)/VLOOKUP($B20,$B:AI,COLUMN(AI19)-1,FALSE),IF(VLOOKUP($B20,$B:AW,COLUMN(AW19)-1,FALSE)&lt;&gt;0,"unknown",0))</f>
        <v>0</v>
      </c>
      <c r="BZ20" s="261">
        <f>IF(VLOOKUP($B20,$B:AJ,COLUMN(AJ19)-1,FALSE)&lt;&gt;0,VLOOKUP($B20,$B:AX,COLUMN(AX19)-1,FALSE)/VLOOKUP($B20,$B:AJ,COLUMN(AJ19)-1,FALSE),IF(VLOOKUP($B20,$B:AX,COLUMN(AX19)-1,FALSE)&lt;&gt;0,"unknown",0))</f>
        <v>0</v>
      </c>
      <c r="CA20" s="410"/>
      <c r="CB20" s="2">
        <f>IF(VLOOKUP($B20,$B:AM,COLUMN(W19)-1,FALSE)&lt;&gt;0,VLOOKUP($B20,$B:BA,COLUMN(AZ19)-1,FALSE)/VLOOKUP($B20,$B:AM,COLUMN(W19)-1,FALSE),IF(VLOOKUP($B20,$B:BA,COLUMN(AZ19)-1,FALSE)&lt;&gt;0,"unknown",0))</f>
        <v>0.20864661654135341</v>
      </c>
      <c r="CC20" s="2">
        <f>IF(VLOOKUP($B20,$B:AN,COLUMN(X19)-1,FALSE)&lt;&gt;0,VLOOKUP($B20,$B:BB,COLUMN(BA19)-1,FALSE)/VLOOKUP($B20,$B:AN,COLUMN(X19)-1,FALSE),IF(VLOOKUP($B20,$B:BB,COLUMN(BA19)-1,FALSE)&lt;&gt;0,"unknown",0))</f>
        <v>0</v>
      </c>
      <c r="CD20" s="2">
        <f>IF(VLOOKUP($B20,$B:AO,COLUMN(Y19)-1,FALSE)&lt;&gt;0,VLOOKUP($B20,$B:BC,COLUMN(BB19)-1,FALSE)/VLOOKUP($B20,$B:AO,COLUMN(Y19)-1,FALSE),IF(VLOOKUP($B20,$B:BC,COLUMN(BB19)-1,FALSE)&lt;&gt;0,"unknown",0))</f>
        <v>0</v>
      </c>
      <c r="CE20" s="2">
        <f>IF(VLOOKUP($B20,$B:AP,COLUMN(Z19)-1,FALSE)&lt;&gt;0,VLOOKUP($B20,$B:BD,COLUMN(BC19)-1,FALSE)/VLOOKUP($B20,$B:AP,COLUMN(Z19)-1,FALSE),IF(VLOOKUP($B20,$B:BD,COLUMN(BC19)-1,FALSE)&lt;&gt;0,"unknown",0))</f>
        <v>0</v>
      </c>
      <c r="CF20" s="2">
        <f>IF(VLOOKUP($B20,$B:AR,COLUMN(AA19)-1,FALSE)&lt;&gt;0,VLOOKUP($B20,$B:BF,COLUMN(BD19)-1,FALSE)/VLOOKUP($B20,$B:AR,COLUMN(AA19)-1,FALSE),IF(VLOOKUP($B20,$B:BF,COLUMN(BD19)-1,FALSE)&lt;&gt;0,"unknown",0))</f>
        <v>0.49370277078085645</v>
      </c>
      <c r="CG20" s="2">
        <f>IF(VLOOKUP($B20,$B:AS,COLUMN(AB19)-1,FALSE)&lt;&gt;0,VLOOKUP($B20,$B:BG,COLUMN(BE19)-1,FALSE)/VLOOKUP($B20,$B:AS,COLUMN(AB19)-1,FALSE),IF(VLOOKUP($B20,$B:BG,COLUMN(BE19)-1,FALSE)&lt;&gt;0,"unknown",0))</f>
        <v>0.2153846153846154</v>
      </c>
      <c r="CH20" s="2">
        <f>IF(VLOOKUP($B20,$B:AS,COLUMN(AC19)-1,FALSE)&lt;&gt;0,VLOOKUP($B20,$B:BG,COLUMN(BF19)-1,FALSE)/VLOOKUP($B20,$B:AS,COLUMN(AC19)-1,FALSE),IF(VLOOKUP($B20,$B:BG,COLUMN(BF19)-1,FALSE)&lt;&gt;0,"unknown",0))</f>
        <v>0.14285714285714285</v>
      </c>
      <c r="CI20" s="2">
        <f>IF(VLOOKUP($B20,$B:AT,COLUMN(AD19)-1,FALSE)&lt;&gt;0,VLOOKUP($B20,$B:BH,COLUMN(BG19)-1,FALSE)/VLOOKUP($B20,$B:AT,COLUMN(AD19)-1,FALSE),IF(VLOOKUP($B20,$B:BH,COLUMN(BG19)-1,FALSE)&lt;&gt;0,"unknown",0))</f>
        <v>0</v>
      </c>
      <c r="CJ20" s="2">
        <f>IF(VLOOKUP($B20,$B:AT,COLUMN(AE19)-1,FALSE)&lt;&gt;0,VLOOKUP($B20,$B:BH,COLUMN(BH19)-1,FALSE)/VLOOKUP($B20,$B:AT,COLUMN(AE19)-1,FALSE),IF(VLOOKUP($B20,$B:BH,COLUMN(BH19)-1,FALSE)&lt;&gt;0,"unknown",0))</f>
        <v>0</v>
      </c>
      <c r="CK20" s="2">
        <f>IF(VLOOKUP($B20,$B:AU,COLUMN(AG19)-1,FALSE)&lt;&gt;0,VLOOKUP($B20,$B:BI,COLUMN(BI19)-1,FALSE)/VLOOKUP($B20,$B:AU,COLUMN(AG19)-1,FALSE),IF(VLOOKUP($B20,$B:BI,COLUMN(BI19)-1,FALSE)&lt;&gt;0,"unknown",0))</f>
        <v>0</v>
      </c>
      <c r="CL20" s="2">
        <f>IF(VLOOKUP($B20,$B:AV,COLUMN(AH19)-1,FALSE)&lt;&gt;0,VLOOKUP($B20,$B:BJ,COLUMN(BJ19)-1,FALSE)/VLOOKUP($B20,$B:AV,COLUMN(AH19)-1,FALSE),IF(VLOOKUP($B20,$B:BJ,COLUMN(BJ19)-1,FALSE)&lt;&gt;0,"unknown",0))</f>
        <v>0</v>
      </c>
      <c r="CM20" s="2">
        <f>IF(VLOOKUP($B20,$B:AW,COLUMN(AI19)-1,FALSE)&lt;&gt;0,VLOOKUP($B20,$B:BK,COLUMN(BK19)-1,FALSE)/VLOOKUP($B20,$B:AW,COLUMN(AI19)-1,FALSE),IF(VLOOKUP($B20,$B:BK,COLUMN(BK19)-1,FALSE)&lt;&gt;0,"unknown",0))</f>
        <v>0</v>
      </c>
      <c r="CN20" s="2">
        <f>IF(VLOOKUP($B20,$B:AX,COLUMN(AJ19)-1,FALSE)&lt;&gt;0,VLOOKUP($B20,$B:BL,COLUMN(BL19)-1,FALSE)/VLOOKUP($B20,$B:AX,COLUMN(AJ19)-1,FALSE),IF(VLOOKUP($B20,$B:BL,COLUMN(BL19)-1,FALSE)&lt;&gt;0,"unknown",0))</f>
        <v>0</v>
      </c>
      <c r="CO20" s="410"/>
      <c r="CP20" s="2">
        <f>SUMIFS('Bilateral Assistance, MAIN DATA'!$M:$M,'Bilateral Assistance, MAIN DATA'!$B:$B,'Share, Heavy Weapons to Ukraine'!$B20,'Bilateral Assistance, MAIN DATA'!$AO:$AO,'Share, Heavy Weapons to Ukraine'!CP$11, 'Bilateral Assistance, MAIN DATA'!$AA:$AA,1)</f>
        <v>0</v>
      </c>
      <c r="CQ20" s="2">
        <f>SUMIFS('Bilateral Assistance, MAIN DATA'!$M:$M,'Bilateral Assistance, MAIN DATA'!$B:$B,'Share, Heavy Weapons to Ukraine'!$B20,'Bilateral Assistance, MAIN DATA'!$AO:$AO,'Share, Heavy Weapons to Ukraine'!CQ$11, 'Bilateral Assistance, MAIN DATA'!$AA:$AA,1)</f>
        <v>0</v>
      </c>
      <c r="CR20" s="2">
        <f>SUMIFS('Bilateral Assistance, MAIN DATA'!$M:$M,'Bilateral Assistance, MAIN DATA'!$B:$B,'Share, Heavy Weapons to Ukraine'!$B20,'Bilateral Assistance, MAIN DATA'!$AO:$AO,'Share, Heavy Weapons to Ukraine'!CR$11, 'Bilateral Assistance, MAIN DATA'!$AA:$AA,1)</f>
        <v>0</v>
      </c>
      <c r="CS20" s="2">
        <f>SUMIFS('Bilateral Assistance, MAIN DATA'!$M:$M,'Bilateral Assistance, MAIN DATA'!$B:$B,'Share, Heavy Weapons to Ukraine'!$B20,'Bilateral Assistance, MAIN DATA'!$AO:$AO,'Share, Heavy Weapons to Ukraine'!CS$11, 'Bilateral Assistance, MAIN DATA'!$AA:$AA,1)</f>
        <v>0</v>
      </c>
      <c r="CT20" s="410"/>
      <c r="CU20" s="2">
        <f>SUMIFS('Bilateral Assistance, MAIN DATA'!$N:$N,'Bilateral Assistance, MAIN DATA'!$B:$B,'Share, Heavy Weapons to Ukraine'!$B20,'Bilateral Assistance, MAIN DATA'!$AO:$AO,'Share, Heavy Weapons to Ukraine'!CU$11, 'Bilateral Assistance, MAIN DATA'!$AA:$AA,1)</f>
        <v>0</v>
      </c>
      <c r="CV20" s="2">
        <f>SUMIFS('Bilateral Assistance, MAIN DATA'!$N:$N,'Bilateral Assistance, MAIN DATA'!$B:$B,'Share, Heavy Weapons to Ukraine'!$B20,'Bilateral Assistance, MAIN DATA'!$AO:$AO,'Share, Heavy Weapons to Ukraine'!CV$11, 'Bilateral Assistance, MAIN DATA'!$AA:$AA,1)</f>
        <v>0</v>
      </c>
      <c r="CW20" s="2">
        <f>SUMIFS('Bilateral Assistance, MAIN DATA'!$N:$N,'Bilateral Assistance, MAIN DATA'!$B:$B,'Share, Heavy Weapons to Ukraine'!$B20,'Bilateral Assistance, MAIN DATA'!$AO:$AO,'Share, Heavy Weapons to Ukraine'!CW$11, 'Bilateral Assistance, MAIN DATA'!$AA:$AA,1)</f>
        <v>0</v>
      </c>
      <c r="CX20" s="2">
        <f>SUMIFS('Bilateral Assistance, MAIN DATA'!$N:$N,'Bilateral Assistance, MAIN DATA'!$B:$B,'Share, Heavy Weapons to Ukraine'!$B20,'Bilateral Assistance, MAIN DATA'!$AO:$AO,'Share, Heavy Weapons to Ukraine'!CX$11, 'Bilateral Assistance, MAIN DATA'!$AA:$AA,1)</f>
        <v>0</v>
      </c>
    </row>
    <row r="21" spans="2:102" ht="15.6">
      <c r="B21" s="409" t="s">
        <v>3412</v>
      </c>
      <c r="C21" s="409">
        <v>0</v>
      </c>
      <c r="D21" s="2">
        <v>1</v>
      </c>
      <c r="E21" s="410"/>
      <c r="F21" s="569" t="s">
        <v>364</v>
      </c>
      <c r="G21" s="569" t="s">
        <v>364</v>
      </c>
      <c r="H21" s="569" t="s">
        <v>364</v>
      </c>
      <c r="I21" s="569" t="s">
        <v>364</v>
      </c>
      <c r="J21" s="569" t="s">
        <v>364</v>
      </c>
      <c r="K21" s="569" t="s">
        <v>364</v>
      </c>
      <c r="L21" s="569" t="s">
        <v>364</v>
      </c>
      <c r="M21" s="569" t="s">
        <v>364</v>
      </c>
      <c r="N21" s="569" t="s">
        <v>364</v>
      </c>
      <c r="O21" s="569" t="s">
        <v>364</v>
      </c>
      <c r="P21" s="569" t="s">
        <v>364</v>
      </c>
      <c r="Q21" s="569" t="s">
        <v>364</v>
      </c>
      <c r="R21" s="569" t="s">
        <v>364</v>
      </c>
      <c r="S21" s="569" t="s">
        <v>364</v>
      </c>
      <c r="T21" s="569" t="s">
        <v>364</v>
      </c>
      <c r="U21" s="410" t="str">
        <f>""</f>
        <v/>
      </c>
      <c r="V21" s="1334">
        <v>13.8</v>
      </c>
      <c r="W21" s="1334">
        <f>VLOOKUP(B21,'Heavy Weapon Stocks'!B:OA,COLUMN('Heavy Weapon Stocks'!$C$11)-1,FALSE)+IF(F21&lt;&gt;".",F21,0)</f>
        <v>327</v>
      </c>
      <c r="X21" s="1334">
        <f>VLOOKUP(B21,'Heavy Weapon Stocks'!B:OA,COLUMN('Heavy Weapon Stocks'!$AQ$11)-1,FALSE)</f>
        <v>793</v>
      </c>
      <c r="Y21" s="1334">
        <f>VLOOKUP(B21,'Heavy Weapon Stocks'!B:OA,COLUMN('Heavy Weapon Stocks'!$DK$11)-1,FALSE)</f>
        <v>110</v>
      </c>
      <c r="Z21" s="1334">
        <f>VLOOKUP(B21,'Heavy Weapon Stocks'!B:OA,COLUMN('Heavy Weapon Stocks'!$DY$11)-1,FALSE)</f>
        <v>260</v>
      </c>
      <c r="AA21" s="1334">
        <f>VLOOKUP(B21,'Heavy Weapon Stocks'!B:OA,COLUMN('Heavy Weapon Stocks'!$FA$11)-1,FALSE)+IF(G21&lt;&gt;".",G21,0)</f>
        <v>225</v>
      </c>
      <c r="AB21" s="1334">
        <f t="shared" si="3"/>
        <v>1388</v>
      </c>
      <c r="AC21" s="1334">
        <f>VLOOKUP(B21,'Heavy Weapon Stocks'!B:OA,COLUMN('Heavy Weapon Stocks'!$GV$11)-1,FALSE)+VLOOKUP(B21,'Heavy Weapon Stocks'!B:OA,COLUMN('Heavy Weapon Stocks'!$HY$11)-1,FALSE)+IF(H21&lt;&gt;".",H21,0)</f>
        <v>184</v>
      </c>
      <c r="AD21" s="1334">
        <f>VLOOKUP(B21,'Heavy Weapon Stocks'!B:OA,COLUMN('Heavy Weapon Stocks'!$IF$11)-1,FALSE)+IF(I21&lt;&gt;".",I21,0)</f>
        <v>0</v>
      </c>
      <c r="AE21" s="1334">
        <f>VLOOKUP(B21,'Heavy Weapon Stocks'!B:OA,COLUMN('Heavy Weapon Stocks'!$IZ$11)-1,FALSE)+VLOOKUP(B21,'Heavy Weapon Stocks'!B:OA,COLUMN('Heavy Weapon Stocks'!$JW$11)-1,FALSE)</f>
        <v>172</v>
      </c>
      <c r="AF21" s="1334">
        <f>VLOOKUP(B21,'Heavy Weapon Stocks'!B:OA,COLUMN('Heavy Weapon Stocks'!$NL$11)-1,FALSE)+IF(L21&lt;&gt;".",L21,0)</f>
        <v>0</v>
      </c>
      <c r="AG21" s="1334">
        <f>VLOOKUP(B21,'Heavy Weapon Stocks'!B:OA,COLUMN('Heavy Weapon Stocks'!$LN$11)-1,FALSE)+IF(M21&lt;&gt;".",M21,0)</f>
        <v>18</v>
      </c>
      <c r="AH21" s="1334">
        <f>VLOOKUP(B21,'Heavy Weapon Stocks'!B:OA,COLUMN('Heavy Weapon Stocks'!$LX$11)-1,FALSE)+IF(N21&lt;&gt;".",N21,0)</f>
        <v>38</v>
      </c>
      <c r="AI21" s="1334">
        <f>VLOOKUP(B21,'Heavy Weapon Stocks'!B:OA,COLUMN('Heavy Weapon Stocks'!$ME$11)-1,FALSE)+IF(O21&lt;&gt;".",O21,0)</f>
        <v>21</v>
      </c>
      <c r="AJ21" s="1334">
        <f>VLOOKUP(B21,'Heavy Weapon Stocks'!B:OA,COLUMN('Heavy Weapon Stocks'!$NK$11)-1,FALSE)+IF(P21&lt;&gt;".",P21,0)</f>
        <v>0</v>
      </c>
      <c r="AK21" s="410"/>
      <c r="AL21" s="25">
        <f>SUMIFS('Bilateral Assistance, MAIN DATA'!$M:$M,'Bilateral Assistance, MAIN DATA'!$B:$B,'Share, Heavy Weapons to Ukraine'!$B21,'Bilateral Assistance, MAIN DATA'!$AO:$AO,'Share, Heavy Weapons to Ukraine'!AL$11)</f>
        <v>10</v>
      </c>
      <c r="AM21" s="25">
        <f>SUMIFS('Bilateral Assistance, MAIN DATA'!$M:$M,'Bilateral Assistance, MAIN DATA'!$B:$B,'Share, Heavy Weapons to Ukraine'!$B21,'Bilateral Assistance, MAIN DATA'!$AO:$AO,'Share, Heavy Weapons to Ukraine'!AM$11)</f>
        <v>40</v>
      </c>
      <c r="AN21" s="25">
        <f>SUMIFS('Bilateral Assistance, MAIN DATA'!$M:$M,'Bilateral Assistance, MAIN DATA'!$B:$B,'Share, Heavy Weapons to Ukraine'!$B21,'Bilateral Assistance, MAIN DATA'!$AO:$AO,'Share, Heavy Weapons to Ukraine'!AN$11)</f>
        <v>0</v>
      </c>
      <c r="AO21" s="25">
        <f>SUMIFS('Bilateral Assistance, MAIN DATA'!$M:$M,'Bilateral Assistance, MAIN DATA'!$B:$B,'Share, Heavy Weapons to Ukraine'!$B21,'Bilateral Assistance, MAIN DATA'!$AO:$AO,'Share, Heavy Weapons to Ukraine'!AO$11)</f>
        <v>21</v>
      </c>
      <c r="AP21" s="25">
        <f>SUMIFS('Bilateral Assistance, MAIN DATA'!$M:$M,'Bilateral Assistance, MAIN DATA'!$B:$B,'Share, Heavy Weapons to Ukraine'!$B21,'Bilateral Assistance, MAIN DATA'!$AO:$AO,'Share, Heavy Weapons to Ukraine'!AP$11)</f>
        <v>0</v>
      </c>
      <c r="AQ21" s="25">
        <f t="shared" si="1"/>
        <v>61</v>
      </c>
      <c r="AR21" s="25">
        <f>SUMIFS('Bilateral Assistance, MAIN DATA'!$M:$M,'Bilateral Assistance, MAIN DATA'!$B:$B,'Share, Heavy Weapons to Ukraine'!$B21,'Bilateral Assistance, MAIN DATA'!$AO:$AO,"155mm howitzer")+SUMIFS('Bilateral Assistance, MAIN DATA'!$M:$M,'Bilateral Assistance, MAIN DATA'!$B:$B,'Share, Heavy Weapons to Ukraine'!$B21,'Bilateral Assistance, MAIN DATA'!$AO:$AO,"152mm howitzer")</f>
        <v>0</v>
      </c>
      <c r="AS21" s="25">
        <f>SUMIFS('Bilateral Assistance, MAIN DATA'!$M:$M,'Bilateral Assistance, MAIN DATA'!$B:$B,'Share, Heavy Weapons to Ukraine'!$B21,'Bilateral Assistance, MAIN DATA'!$AO:$AO,"122mm MLRS")+SUMIFS('Bilateral Assistance, MAIN DATA'!$M:$M,'Bilateral Assistance, MAIN DATA'!$B:$B,'Share, Heavy Weapons to Ukraine'!$B21,'Bilateral Assistance, MAIN DATA'!$AO:$AO,"127mm MLRS")+SUMIFS('Bilateral Assistance, MAIN DATA'!$M:$M,'Bilateral Assistance, MAIN DATA'!$B:$B,'Share, Heavy Weapons to Ukraine'!$B21,'Bilateral Assistance, MAIN DATA'!$AO:$AO,"227mm MLRS")</f>
        <v>0</v>
      </c>
      <c r="AT21" s="25">
        <f>SUMIFS('Bilateral Assistance, MAIN DATA'!$M:$M,'Bilateral Assistance, MAIN DATA'!$B:$B,'Share, Heavy Weapons to Ukraine'!$B21,'Bilateral Assistance, MAIN DATA'!$AO:$AO,'Share, Heavy Weapons to Ukraine'!AT$11)</f>
        <v>0</v>
      </c>
      <c r="AU21" s="25">
        <f>SUMIFS('Bilateral Assistance, MAIN DATA'!$M:$M,'Bilateral Assistance, MAIN DATA'!$B:$B,'Share, Heavy Weapons to Ukraine'!$B21,'Bilateral Assistance, MAIN DATA'!$AO:$AO,'Share, Heavy Weapons to Ukraine'!AU$11)</f>
        <v>0</v>
      </c>
      <c r="AV21" s="25">
        <f>SUMIFS('Bilateral Assistance, MAIN DATA'!$M:$M,'Bilateral Assistance, MAIN DATA'!$B:$B,'Share, Heavy Weapons to Ukraine'!$B21,'Bilateral Assistance, MAIN DATA'!$AO:$AO,'Share, Heavy Weapons to Ukraine'!AV$11)</f>
        <v>6</v>
      </c>
      <c r="AW21" s="25">
        <f>SUMIFS('Bilateral Assistance, MAIN DATA'!$M:$M,'Bilateral Assistance, MAIN DATA'!$B:$B,'Share, Heavy Weapons to Ukraine'!$B21,'Bilateral Assistance, MAIN DATA'!$AO:$AO,'Share, Heavy Weapons to Ukraine'!AW$11)</f>
        <v>1</v>
      </c>
      <c r="AX21" s="25">
        <f>SUMIFS('Bilateral Assistance, MAIN DATA'!$M:$M,'Bilateral Assistance, MAIN DATA'!$B:$B,'Share, Heavy Weapons to Ukraine'!$B21,'Bilateral Assistance, MAIN DATA'!$AO:$AO,'Share, Heavy Weapons to Ukraine'!AX$11)</f>
        <v>0</v>
      </c>
      <c r="AY21" s="410"/>
      <c r="AZ21" s="25">
        <f>SUMIFS('Bilateral Assistance, MAIN DATA'!$N:$N,'Bilateral Assistance, MAIN DATA'!$B:$B,'Share, Heavy Weapons to Ukraine'!$B21,'Bilateral Assistance, MAIN DATA'!$AO:$AO,'Share, Heavy Weapons to Ukraine'!AZ$11)</f>
        <v>10</v>
      </c>
      <c r="BA21" s="25">
        <f>SUMIFS('Bilateral Assistance, MAIN DATA'!$N:$N,'Bilateral Assistance, MAIN DATA'!$B:$B,'Share, Heavy Weapons to Ukraine'!$B21,'Bilateral Assistance, MAIN DATA'!$AO:$AO,'Share, Heavy Weapons to Ukraine'!BA$11)</f>
        <v>20</v>
      </c>
      <c r="BB21" s="25">
        <f>SUMIFS('Bilateral Assistance, MAIN DATA'!$N:$N,'Bilateral Assistance, MAIN DATA'!$B:$B,'Share, Heavy Weapons to Ukraine'!$B21,'Bilateral Assistance, MAIN DATA'!$AO:$AO,'Share, Heavy Weapons to Ukraine'!BB$11)</f>
        <v>0</v>
      </c>
      <c r="BC21" s="25">
        <f>SUMIFS('Bilateral Assistance, MAIN DATA'!$N:$N,'Bilateral Assistance, MAIN DATA'!$B:$B,'Share, Heavy Weapons to Ukraine'!$B21,'Bilateral Assistance, MAIN DATA'!$AO:$AO,'Share, Heavy Weapons to Ukraine'!BC$11)</f>
        <v>21</v>
      </c>
      <c r="BD21" s="25">
        <f>SUMIFS('Bilateral Assistance, MAIN DATA'!$N:$N,'Bilateral Assistance, MAIN DATA'!$B:$B,'Share, Heavy Weapons to Ukraine'!$B21,'Bilateral Assistance, MAIN DATA'!$AO:$AO,'Share, Heavy Weapons to Ukraine'!BD$11)</f>
        <v>0</v>
      </c>
      <c r="BE21" s="25">
        <f t="shared" si="2"/>
        <v>41</v>
      </c>
      <c r="BF21" s="25">
        <f>SUMIFS('Bilateral Assistance, MAIN DATA'!$N:$N,'Bilateral Assistance, MAIN DATA'!$B:$B,'Share, Heavy Weapons to Ukraine'!$B21,'Bilateral Assistance, MAIN DATA'!$AO:$AO,"155mm howitzer")+SUMIFS('Bilateral Assistance, MAIN DATA'!$N:$N,'Bilateral Assistance, MAIN DATA'!$B:$B,'Share, Heavy Weapons to Ukraine'!$B21,'Bilateral Assistance, MAIN DATA'!$AO:$AO,"152mm howitzer")</f>
        <v>0</v>
      </c>
      <c r="BG21" s="25">
        <f>SUMIFS('Bilateral Assistance, MAIN DATA'!$N:$N,'Bilateral Assistance, MAIN DATA'!$B:$B,'Share, Heavy Weapons to Ukraine'!$B21,'Bilateral Assistance, MAIN DATA'!$AO:$AO,"122mm MLRS")+SUMIFS('Bilateral Assistance, MAIN DATA'!$N:$N,'Bilateral Assistance, MAIN DATA'!$B:$B,'Share, Heavy Weapons to Ukraine'!$B21,'Bilateral Assistance, MAIN DATA'!$AO:$AO,"127mm MLRS")+SUMIFS('Bilateral Assistance, MAIN DATA'!$N:$N,'Bilateral Assistance, MAIN DATA'!$B:$B,'Share, Heavy Weapons to Ukraine'!$B21,'Bilateral Assistance, MAIN DATA'!$AO:$AO,"227mm MLRS")</f>
        <v>0</v>
      </c>
      <c r="BH21" s="25">
        <f>SUMIFS('Bilateral Assistance, MAIN DATA'!$N:$N,'Bilateral Assistance, MAIN DATA'!$B:$B,'Share, Heavy Weapons to Ukraine'!$B21,'Bilateral Assistance, MAIN DATA'!$AO:$AO,'Share, Heavy Weapons to Ukraine'!BH$11)</f>
        <v>0</v>
      </c>
      <c r="BI21" s="25">
        <f>SUMIFS('Bilateral Assistance, MAIN DATA'!$N:$N,'Bilateral Assistance, MAIN DATA'!$B:$B,'Share, Heavy Weapons to Ukraine'!$B21,'Bilateral Assistance, MAIN DATA'!$AO:$AO,'Share, Heavy Weapons to Ukraine'!BI$11)</f>
        <v>0</v>
      </c>
      <c r="BJ21" s="25">
        <f>SUMIFS('Bilateral Assistance, MAIN DATA'!$N:$N,'Bilateral Assistance, MAIN DATA'!$B:$B,'Share, Heavy Weapons to Ukraine'!$B21,'Bilateral Assistance, MAIN DATA'!$AO:$AO,'Share, Heavy Weapons to Ukraine'!BJ$11)</f>
        <v>6</v>
      </c>
      <c r="BK21" s="25">
        <f>SUMIFS('Bilateral Assistance, MAIN DATA'!$N:$N,'Bilateral Assistance, MAIN DATA'!$B:$B,'Share, Heavy Weapons to Ukraine'!$B21,'Bilateral Assistance, MAIN DATA'!$AO:$AO,'Share, Heavy Weapons to Ukraine'!BK$11)</f>
        <v>1</v>
      </c>
      <c r="BL21" s="25">
        <f>SUMIFS('Bilateral Assistance, MAIN DATA'!$N:$N,'Bilateral Assistance, MAIN DATA'!$B:$B,'Share, Heavy Weapons to Ukraine'!$B21,'Bilateral Assistance, MAIN DATA'!$AO:$AO,'Share, Heavy Weapons to Ukraine'!BL$11)</f>
        <v>0</v>
      </c>
      <c r="BM21" s="410"/>
      <c r="BN21" s="261">
        <f>IF(VLOOKUP($B21,$B:W,COLUMN(W20)-1,FALSE)&lt;&gt;0,VLOOKUP($B21,$B:AL,COLUMN(AL20)-1,FALSE)/VLOOKUP($B21,$B:W,COLUMN(W20)-1,FALSE),IF(VLOOKUP($B21,$B:AL,COLUMN(AL20)-1,FALSE)&lt;&gt;0,"unknown",0))</f>
        <v>3.0581039755351681E-2</v>
      </c>
      <c r="BO21" s="261">
        <f>IF(VLOOKUP($B21,$B:X,COLUMN(X20)-1,FALSE)&lt;&gt;0,VLOOKUP($B21,$B:AM,COLUMN(AM20)-1,FALSE)/VLOOKUP($B21,$B:X,COLUMN(X20)-1,FALSE),IF(VLOOKUP($B21,$B:AM,COLUMN(AM20)-1,FALSE)&lt;&gt;0,"unknown",0))</f>
        <v>5.0441361916771753E-2</v>
      </c>
      <c r="BP21" s="261">
        <f>IF(VLOOKUP($B21,$B:Y,COLUMN(Y20)-1,FALSE)&lt;&gt;0,VLOOKUP($B21,$B:AN,COLUMN(AN20)-1,FALSE)/VLOOKUP($B21,$B:Y,COLUMN(Y20)-1,FALSE),IF(VLOOKUP($B21,$B:AN,COLUMN(AN20)-1,FALSE)&lt;&gt;0,"unknown",0))</f>
        <v>0</v>
      </c>
      <c r="BQ21" s="261">
        <f>IF(VLOOKUP($B21,$B:Z,COLUMN(Z20)-1,FALSE)&lt;&gt;0,VLOOKUP($B21,$B:AO,COLUMN(AO20)-1,FALSE)/VLOOKUP($B21,$B:Z,COLUMN(Z20)-1,FALSE),IF(VLOOKUP($B21,$B:AO,COLUMN(AO20)-1,FALSE)&lt;&gt;0,"unknown",0))</f>
        <v>8.0769230769230774E-2</v>
      </c>
      <c r="BR21" s="261">
        <f>IF(VLOOKUP($B21,$B:AA,COLUMN(AA20)-1,FALSE)&lt;&gt;0,VLOOKUP($B21,$B:AP,COLUMN(AP20)-1,FALSE)/VLOOKUP($B21,$B:AA,COLUMN(AA20)-1,FALSE),IF(VLOOKUP($B21,$B:AP,COLUMN(AP20)-1,FALSE)&lt;&gt;0,"unknown",0))</f>
        <v>0</v>
      </c>
      <c r="BS21" s="261">
        <f>IF(VLOOKUP($B21,$B:AB,COLUMN(AB20)-1,FALSE)&lt;&gt;0,VLOOKUP($B21,$B:AQ,COLUMN(AQ20)-1,FALSE)/VLOOKUP($B21,$B:AB,COLUMN(AB20)-1,FALSE),IF(VLOOKUP($B21,$B:AQ,COLUMN(AQ20)-1,FALSE)&lt;&gt;0,"unknown",0))</f>
        <v>4.3948126801152738E-2</v>
      </c>
      <c r="BT21" s="261">
        <f>IF(VLOOKUP($B21,$B:AC,COLUMN(AC20)-1,FALSE)&lt;&gt;0,VLOOKUP($B21,$B:AR,COLUMN(AR20)-1,FALSE)/VLOOKUP($B21,$B:AC,COLUMN(AC20)-1,FALSE),IF(VLOOKUP($B21,$B:AR,COLUMN(AR20)-1,FALSE)&lt;&gt;0,"unknown",0))</f>
        <v>0</v>
      </c>
      <c r="BU21" s="261">
        <f>IF(VLOOKUP($B21,$B:AD,COLUMN(AD20)-1,FALSE)&lt;&gt;0,VLOOKUP($B21,$B:AS,COLUMN(AS20)-1,FALSE)/VLOOKUP($B21,$B:AD,COLUMN(AD20)-1,FALSE),IF(VLOOKUP($B21,$B:AS,COLUMN(AS20)-1,FALSE)&lt;&gt;0,"unknown",0))</f>
        <v>0</v>
      </c>
      <c r="BV21" s="261">
        <f>IF(VLOOKUP($B21,$B:AE,COLUMN(AE20)-1,FALSE)&lt;&gt;0,VLOOKUP($B21,$B:AT,COLUMN(AT20)-1,FALSE)/VLOOKUP($B21,$B:AE,COLUMN(AE20)-1,FALSE),IF(VLOOKUP($B21,$B:AT,COLUMN(AT20)-1,FALSE)&lt;&gt;0,"unknown",0))</f>
        <v>0</v>
      </c>
      <c r="BW21" s="261">
        <f>IF(VLOOKUP($B21,$B:AG,COLUMN(AG20)-1,FALSE)&lt;&gt;0,VLOOKUP($B21,$B:AU,COLUMN(AU20)-1,FALSE)/VLOOKUP($B21,$B:AG,COLUMN(AG20)-1,FALSE),IF(VLOOKUP($B21,$B:AU,COLUMN(AU20)-1,FALSE)&lt;&gt;0,"unknown",0))</f>
        <v>0</v>
      </c>
      <c r="BX21" s="261">
        <f>IF(VLOOKUP($B21,$B:AH,COLUMN(AH20)-1,FALSE)&lt;&gt;0,VLOOKUP($B21,$B:AV,COLUMN(AV20)-1,FALSE)/VLOOKUP($B21,$B:AH,COLUMN(AH20)-1,FALSE),IF(VLOOKUP($B21,$B:AV,COLUMN(AV20)-1,FALSE)&lt;&gt;0,"unknown",0))</f>
        <v>0.15789473684210525</v>
      </c>
      <c r="BY21" s="261">
        <f>IF(VLOOKUP($B21,$B:AI,COLUMN(AI20)-1,FALSE)&lt;&gt;0,VLOOKUP($B21,$B:AW,COLUMN(AW20)-1,FALSE)/VLOOKUP($B21,$B:AI,COLUMN(AI20)-1,FALSE),IF(VLOOKUP($B21,$B:AW,COLUMN(AW20)-1,FALSE)&lt;&gt;0,"unknown",0))</f>
        <v>4.7619047619047616E-2</v>
      </c>
      <c r="BZ21" s="261">
        <f>IF(VLOOKUP($B21,$B:AJ,COLUMN(AJ20)-1,FALSE)&lt;&gt;0,VLOOKUP($B21,$B:AX,COLUMN(AX20)-1,FALSE)/VLOOKUP($B21,$B:AJ,COLUMN(AJ20)-1,FALSE),IF(VLOOKUP($B21,$B:AX,COLUMN(AX20)-1,FALSE)&lt;&gt;0,"unknown",0))</f>
        <v>0</v>
      </c>
      <c r="CA21" s="410"/>
      <c r="CB21" s="2">
        <f>IF(VLOOKUP($B21,$B:AM,COLUMN(W20)-1,FALSE)&lt;&gt;0,VLOOKUP($B21,$B:BA,COLUMN(AZ20)-1,FALSE)/VLOOKUP($B21,$B:AM,COLUMN(W20)-1,FALSE),IF(VLOOKUP($B21,$B:BA,COLUMN(AZ20)-1,FALSE)&lt;&gt;0,"unknown",0))</f>
        <v>3.0581039755351681E-2</v>
      </c>
      <c r="CC21" s="2">
        <f>IF(VLOOKUP($B21,$B:AN,COLUMN(X20)-1,FALSE)&lt;&gt;0,VLOOKUP($B21,$B:BB,COLUMN(BA20)-1,FALSE)/VLOOKUP($B21,$B:AN,COLUMN(X20)-1,FALSE),IF(VLOOKUP($B21,$B:BB,COLUMN(BA20)-1,FALSE)&lt;&gt;0,"unknown",0))</f>
        <v>2.5220680958385876E-2</v>
      </c>
      <c r="CD21" s="2">
        <f>IF(VLOOKUP($B21,$B:AO,COLUMN(Y20)-1,FALSE)&lt;&gt;0,VLOOKUP($B21,$B:BC,COLUMN(BB20)-1,FALSE)/VLOOKUP($B21,$B:AO,COLUMN(Y20)-1,FALSE),IF(VLOOKUP($B21,$B:BC,COLUMN(BB20)-1,FALSE)&lt;&gt;0,"unknown",0))</f>
        <v>0</v>
      </c>
      <c r="CE21" s="2">
        <f>IF(VLOOKUP($B21,$B:AP,COLUMN(Z20)-1,FALSE)&lt;&gt;0,VLOOKUP($B21,$B:BD,COLUMN(BC20)-1,FALSE)/VLOOKUP($B21,$B:AP,COLUMN(Z20)-1,FALSE),IF(VLOOKUP($B21,$B:BD,COLUMN(BC20)-1,FALSE)&lt;&gt;0,"unknown",0))</f>
        <v>8.0769230769230774E-2</v>
      </c>
      <c r="CF21" s="2">
        <f>IF(VLOOKUP($B21,$B:AR,COLUMN(AA20)-1,FALSE)&lt;&gt;0,VLOOKUP($B21,$B:BF,COLUMN(BD20)-1,FALSE)/VLOOKUP($B21,$B:AR,COLUMN(AA20)-1,FALSE),IF(VLOOKUP($B21,$B:BF,COLUMN(BD20)-1,FALSE)&lt;&gt;0,"unknown",0))</f>
        <v>0</v>
      </c>
      <c r="CG21" s="2">
        <f>IF(VLOOKUP($B21,$B:AS,COLUMN(AB20)-1,FALSE)&lt;&gt;0,VLOOKUP($B21,$B:BG,COLUMN(BE20)-1,FALSE)/VLOOKUP($B21,$B:AS,COLUMN(AB20)-1,FALSE),IF(VLOOKUP($B21,$B:BG,COLUMN(BE20)-1,FALSE)&lt;&gt;0,"unknown",0))</f>
        <v>2.9538904899135448E-2</v>
      </c>
      <c r="CH21" s="2">
        <f>IF(VLOOKUP($B21,$B:AS,COLUMN(AC20)-1,FALSE)&lt;&gt;0,VLOOKUP($B21,$B:BG,COLUMN(BF20)-1,FALSE)/VLOOKUP($B21,$B:AS,COLUMN(AC20)-1,FALSE),IF(VLOOKUP($B21,$B:BG,COLUMN(BF20)-1,FALSE)&lt;&gt;0,"unknown",0))</f>
        <v>0</v>
      </c>
      <c r="CI21" s="2">
        <f>IF(VLOOKUP($B21,$B:AT,COLUMN(AD20)-1,FALSE)&lt;&gt;0,VLOOKUP($B21,$B:BH,COLUMN(BG20)-1,FALSE)/VLOOKUP($B21,$B:AT,COLUMN(AD20)-1,FALSE),IF(VLOOKUP($B21,$B:BH,COLUMN(BG20)-1,FALSE)&lt;&gt;0,"unknown",0))</f>
        <v>0</v>
      </c>
      <c r="CJ21" s="2">
        <f>IF(VLOOKUP($B21,$B:AT,COLUMN(AE20)-1,FALSE)&lt;&gt;0,VLOOKUP($B21,$B:BH,COLUMN(BH20)-1,FALSE)/VLOOKUP($B21,$B:AT,COLUMN(AE20)-1,FALSE),IF(VLOOKUP($B21,$B:BH,COLUMN(BH20)-1,FALSE)&lt;&gt;0,"unknown",0))</f>
        <v>0</v>
      </c>
      <c r="CK21" s="2">
        <f>IF(VLOOKUP($B21,$B:AU,COLUMN(AG20)-1,FALSE)&lt;&gt;0,VLOOKUP($B21,$B:BI,COLUMN(BI20)-1,FALSE)/VLOOKUP($B21,$B:AU,COLUMN(AG20)-1,FALSE),IF(VLOOKUP($B21,$B:BI,COLUMN(BI20)-1,FALSE)&lt;&gt;0,"unknown",0))</f>
        <v>0</v>
      </c>
      <c r="CL21" s="2">
        <f>IF(VLOOKUP($B21,$B:AV,COLUMN(AH20)-1,FALSE)&lt;&gt;0,VLOOKUP($B21,$B:BJ,COLUMN(BJ20)-1,FALSE)/VLOOKUP($B21,$B:AV,COLUMN(AH20)-1,FALSE),IF(VLOOKUP($B21,$B:BJ,COLUMN(BJ20)-1,FALSE)&lt;&gt;0,"unknown",0))</f>
        <v>0.15789473684210525</v>
      </c>
      <c r="CM21" s="2">
        <f>IF(VLOOKUP($B21,$B:AW,COLUMN(AI20)-1,FALSE)&lt;&gt;0,VLOOKUP($B21,$B:BK,COLUMN(BK20)-1,FALSE)/VLOOKUP($B21,$B:AW,COLUMN(AI20)-1,FALSE),IF(VLOOKUP($B21,$B:BK,COLUMN(BK20)-1,FALSE)&lt;&gt;0,"unknown",0))</f>
        <v>4.7619047619047616E-2</v>
      </c>
      <c r="CN21" s="2">
        <f>IF(VLOOKUP($B21,$B:AX,COLUMN(AJ20)-1,FALSE)&lt;&gt;0,VLOOKUP($B21,$B:BL,COLUMN(BL20)-1,FALSE)/VLOOKUP($B21,$B:AX,COLUMN(AJ20)-1,FALSE),IF(VLOOKUP($B21,$B:BL,COLUMN(BL20)-1,FALSE)&lt;&gt;0,"unknown",0))</f>
        <v>0</v>
      </c>
      <c r="CO21" s="410"/>
      <c r="CP21" s="2">
        <f>SUMIFS('Bilateral Assistance, MAIN DATA'!$M:$M,'Bilateral Assistance, MAIN DATA'!$B:$B,'Share, Heavy Weapons to Ukraine'!$B21,'Bilateral Assistance, MAIN DATA'!$AO:$AO,'Share, Heavy Weapons to Ukraine'!CP$11, 'Bilateral Assistance, MAIN DATA'!$AA:$AA,1)</f>
        <v>0</v>
      </c>
      <c r="CQ21" s="2">
        <f>SUMIFS('Bilateral Assistance, MAIN DATA'!$M:$M,'Bilateral Assistance, MAIN DATA'!$B:$B,'Share, Heavy Weapons to Ukraine'!$B21,'Bilateral Assistance, MAIN DATA'!$AO:$AO,'Share, Heavy Weapons to Ukraine'!CQ$11, 'Bilateral Assistance, MAIN DATA'!$AA:$AA,1)</f>
        <v>0</v>
      </c>
      <c r="CR21" s="2">
        <f>SUMIFS('Bilateral Assistance, MAIN DATA'!$M:$M,'Bilateral Assistance, MAIN DATA'!$B:$B,'Share, Heavy Weapons to Ukraine'!$B21,'Bilateral Assistance, MAIN DATA'!$AO:$AO,'Share, Heavy Weapons to Ukraine'!CR$11, 'Bilateral Assistance, MAIN DATA'!$AA:$AA,1)</f>
        <v>0</v>
      </c>
      <c r="CS21" s="2">
        <f>SUMIFS('Bilateral Assistance, MAIN DATA'!$M:$M,'Bilateral Assistance, MAIN DATA'!$B:$B,'Share, Heavy Weapons to Ukraine'!$B21,'Bilateral Assistance, MAIN DATA'!$AO:$AO,'Share, Heavy Weapons to Ukraine'!CS$11, 'Bilateral Assistance, MAIN DATA'!$AA:$AA,1)</f>
        <v>0</v>
      </c>
      <c r="CT21" s="410"/>
      <c r="CU21" s="2">
        <f>SUMIFS('Bilateral Assistance, MAIN DATA'!$N:$N,'Bilateral Assistance, MAIN DATA'!$B:$B,'Share, Heavy Weapons to Ukraine'!$B21,'Bilateral Assistance, MAIN DATA'!$AO:$AO,'Share, Heavy Weapons to Ukraine'!CU$11, 'Bilateral Assistance, MAIN DATA'!$AA:$AA,1)</f>
        <v>0</v>
      </c>
      <c r="CV21" s="2">
        <f>SUMIFS('Bilateral Assistance, MAIN DATA'!$N:$N,'Bilateral Assistance, MAIN DATA'!$B:$B,'Share, Heavy Weapons to Ukraine'!$B21,'Bilateral Assistance, MAIN DATA'!$AO:$AO,'Share, Heavy Weapons to Ukraine'!CV$11, 'Bilateral Assistance, MAIN DATA'!$AA:$AA,1)</f>
        <v>0</v>
      </c>
      <c r="CW21" s="2">
        <f>SUMIFS('Bilateral Assistance, MAIN DATA'!$N:$N,'Bilateral Assistance, MAIN DATA'!$B:$B,'Share, Heavy Weapons to Ukraine'!$B21,'Bilateral Assistance, MAIN DATA'!$AO:$AO,'Share, Heavy Weapons to Ukraine'!CW$11, 'Bilateral Assistance, MAIN DATA'!$AA:$AA,1)</f>
        <v>0</v>
      </c>
      <c r="CX21" s="2">
        <f>SUMIFS('Bilateral Assistance, MAIN DATA'!$N:$N,'Bilateral Assistance, MAIN DATA'!$B:$B,'Share, Heavy Weapons to Ukraine'!$B21,'Bilateral Assistance, MAIN DATA'!$AO:$AO,'Share, Heavy Weapons to Ukraine'!CX$11, 'Bilateral Assistance, MAIN DATA'!$AA:$AA,1)</f>
        <v>0</v>
      </c>
    </row>
    <row r="22" spans="2:102" ht="15.6">
      <c r="B22" s="409" t="s">
        <v>2989</v>
      </c>
      <c r="C22" s="409">
        <v>0</v>
      </c>
      <c r="D22" s="2">
        <v>1</v>
      </c>
      <c r="E22" s="410"/>
      <c r="F22" s="569" t="s">
        <v>364</v>
      </c>
      <c r="G22" s="569" t="s">
        <v>364</v>
      </c>
      <c r="H22" s="569" t="s">
        <v>364</v>
      </c>
      <c r="I22" s="569" t="s">
        <v>364</v>
      </c>
      <c r="J22" s="569" t="s">
        <v>364</v>
      </c>
      <c r="K22" s="569" t="s">
        <v>364</v>
      </c>
      <c r="L22" s="569" t="s">
        <v>364</v>
      </c>
      <c r="M22" s="569" t="s">
        <v>364</v>
      </c>
      <c r="N22" s="569" t="s">
        <v>364</v>
      </c>
      <c r="O22" s="569" t="s">
        <v>364</v>
      </c>
      <c r="P22" s="569" t="s">
        <v>364</v>
      </c>
      <c r="Q22" s="569" t="s">
        <v>364</v>
      </c>
      <c r="R22" s="569" t="s">
        <v>364</v>
      </c>
      <c r="S22" s="569" t="s">
        <v>364</v>
      </c>
      <c r="T22" s="569" t="s">
        <v>364</v>
      </c>
      <c r="U22" s="410" t="str">
        <f>""</f>
        <v/>
      </c>
      <c r="V22" s="1334">
        <v>13.4</v>
      </c>
      <c r="W22" s="1334">
        <f>VLOOKUP(B22,'Heavy Weapon Stocks'!B:OA,COLUMN('Heavy Weapon Stocks'!$C$11)-1,FALSE)+IF(F22&lt;&gt;".",F22,0)</f>
        <v>797</v>
      </c>
      <c r="X22" s="1334">
        <f>VLOOKUP(B22,'Heavy Weapon Stocks'!B:OA,COLUMN('Heavy Weapon Stocks'!$AQ$11)-1,FALSE)</f>
        <v>342</v>
      </c>
      <c r="Y22" s="1334">
        <f>VLOOKUP(B22,'Heavy Weapon Stocks'!B:OA,COLUMN('Heavy Weapon Stocks'!$DK$11)-1,FALSE)</f>
        <v>30</v>
      </c>
      <c r="Z22" s="1334">
        <f>VLOOKUP(B22,'Heavy Weapon Stocks'!B:OA,COLUMN('Heavy Weapon Stocks'!$DY$11)-1,FALSE)</f>
        <v>85</v>
      </c>
      <c r="AA22" s="1334">
        <f>VLOOKUP(B22,'Heavy Weapon Stocks'!B:OA,COLUMN('Heavy Weapon Stocks'!$FA$11)-1,FALSE)+IF(G22&lt;&gt;".",G22,0)</f>
        <v>1611</v>
      </c>
      <c r="AB22" s="1334">
        <f t="shared" si="3"/>
        <v>2068</v>
      </c>
      <c r="AC22" s="1334">
        <f>VLOOKUP(B22,'Heavy Weapon Stocks'!B:OA,COLUMN('Heavy Weapon Stocks'!$GV$11)-1,FALSE)+VLOOKUP(B22,'Heavy Weapon Stocks'!B:OA,COLUMN('Heavy Weapon Stocks'!$HY$11)-1,FALSE)+IF(H22&lt;&gt;".",H22,0)</f>
        <v>183</v>
      </c>
      <c r="AD22" s="1334">
        <f>VLOOKUP(B22,'Heavy Weapon Stocks'!B:OA,COLUMN('Heavy Weapon Stocks'!$IF$11)-1,FALSE)+IF(I22&lt;&gt;".",I22,0)</f>
        <v>179</v>
      </c>
      <c r="AE22" s="1334">
        <f>VLOOKUP(B22,'Heavy Weapon Stocks'!B:OA,COLUMN('Heavy Weapon Stocks'!$IZ$11)-1,FALSE)+VLOOKUP(B22,'Heavy Weapon Stocks'!B:OA,COLUMN('Heavy Weapon Stocks'!$JW$11)-1,FALSE)</f>
        <v>66</v>
      </c>
      <c r="AF22" s="1334">
        <f>VLOOKUP(B22,'Heavy Weapon Stocks'!B:OA,COLUMN('Heavy Weapon Stocks'!$NL$11)-1,FALSE)+IF(L22&lt;&gt;".",L22,0)</f>
        <v>147</v>
      </c>
      <c r="AG22" s="1334">
        <f>VLOOKUP(B22,'Heavy Weapon Stocks'!B:OA,COLUMN('Heavy Weapon Stocks'!$LN$11)-1,FALSE)+IF(M22&lt;&gt;".",M22,0)</f>
        <v>1</v>
      </c>
      <c r="AH22" s="1334">
        <f>VLOOKUP(B22,'Heavy Weapon Stocks'!B:OA,COLUMN('Heavy Weapon Stocks'!$LX$11)-1,FALSE)+IF(N22&lt;&gt;".",N22,0)</f>
        <v>0</v>
      </c>
      <c r="AI22" s="1334">
        <f>VLOOKUP(B22,'Heavy Weapon Stocks'!B:OA,COLUMN('Heavy Weapon Stocks'!$ME$11)-1,FALSE)+IF(O22&lt;&gt;".",O22,0)</f>
        <v>37</v>
      </c>
      <c r="AJ22" s="1334">
        <f>VLOOKUP(B22,'Heavy Weapon Stocks'!B:OA,COLUMN('Heavy Weapon Stocks'!$NK$11)-1,FALSE)+IF(P22&lt;&gt;".",P22,0)</f>
        <v>228</v>
      </c>
      <c r="AK22" s="410"/>
      <c r="AL22" s="25">
        <f>SUMIFS('Bilateral Assistance, MAIN DATA'!$M:$M,'Bilateral Assistance, MAIN DATA'!$B:$B,'Share, Heavy Weapons to Ukraine'!$B22,'Bilateral Assistance, MAIN DATA'!$AO:$AO,'Share, Heavy Weapons to Ukraine'!AL$11)</f>
        <v>324</v>
      </c>
      <c r="AM22" s="25">
        <f>SUMIFS('Bilateral Assistance, MAIN DATA'!$M:$M,'Bilateral Assistance, MAIN DATA'!$B:$B,'Share, Heavy Weapons to Ukraine'!$B22,'Bilateral Assistance, MAIN DATA'!$AO:$AO,'Share, Heavy Weapons to Ukraine'!AM$11)</f>
        <v>0</v>
      </c>
      <c r="AN22" s="25">
        <f>SUMIFS('Bilateral Assistance, MAIN DATA'!$M:$M,'Bilateral Assistance, MAIN DATA'!$B:$B,'Share, Heavy Weapons to Ukraine'!$B22,'Bilateral Assistance, MAIN DATA'!$AO:$AO,'Share, Heavy Weapons to Ukraine'!AN$11)</f>
        <v>0</v>
      </c>
      <c r="AO22" s="25">
        <f>SUMIFS('Bilateral Assistance, MAIN DATA'!$M:$M,'Bilateral Assistance, MAIN DATA'!$B:$B,'Share, Heavy Weapons to Ukraine'!$B22,'Bilateral Assistance, MAIN DATA'!$AO:$AO,'Share, Heavy Weapons to Ukraine'!AO$11)</f>
        <v>0</v>
      </c>
      <c r="AP22" s="25">
        <f>SUMIFS('Bilateral Assistance, MAIN DATA'!$M:$M,'Bilateral Assistance, MAIN DATA'!$B:$B,'Share, Heavy Weapons to Ukraine'!$B22,'Bilateral Assistance, MAIN DATA'!$AO:$AO,'Share, Heavy Weapons to Ukraine'!AP$11)</f>
        <v>42</v>
      </c>
      <c r="AQ22" s="25">
        <f t="shared" si="1"/>
        <v>42</v>
      </c>
      <c r="AR22" s="25">
        <f>SUMIFS('Bilateral Assistance, MAIN DATA'!$M:$M,'Bilateral Assistance, MAIN DATA'!$B:$B,'Share, Heavy Weapons to Ukraine'!$B22,'Bilateral Assistance, MAIN DATA'!$AO:$AO,"155mm howitzer")+SUMIFS('Bilateral Assistance, MAIN DATA'!$M:$M,'Bilateral Assistance, MAIN DATA'!$B:$B,'Share, Heavy Weapons to Ukraine'!$B22,'Bilateral Assistance, MAIN DATA'!$AO:$AO,"152mm howitzer")</f>
        <v>54</v>
      </c>
      <c r="AS22" s="25">
        <f>SUMIFS('Bilateral Assistance, MAIN DATA'!$M:$M,'Bilateral Assistance, MAIN DATA'!$B:$B,'Share, Heavy Weapons to Ukraine'!$B22,'Bilateral Assistance, MAIN DATA'!$AO:$AO,"122mm MLRS")+SUMIFS('Bilateral Assistance, MAIN DATA'!$M:$M,'Bilateral Assistance, MAIN DATA'!$B:$B,'Share, Heavy Weapons to Ukraine'!$B22,'Bilateral Assistance, MAIN DATA'!$AO:$AO,"127mm MLRS")+SUMIFS('Bilateral Assistance, MAIN DATA'!$M:$M,'Bilateral Assistance, MAIN DATA'!$B:$B,'Share, Heavy Weapons to Ukraine'!$B22,'Bilateral Assistance, MAIN DATA'!$AO:$AO,"227mm MLRS")</f>
        <v>0</v>
      </c>
      <c r="AT22" s="25">
        <f>SUMIFS('Bilateral Assistance, MAIN DATA'!$M:$M,'Bilateral Assistance, MAIN DATA'!$B:$B,'Share, Heavy Weapons to Ukraine'!$B22,'Bilateral Assistance, MAIN DATA'!$AO:$AO,'Share, Heavy Weapons to Ukraine'!AT$11)</f>
        <v>0</v>
      </c>
      <c r="AU22" s="25">
        <f>SUMIFS('Bilateral Assistance, MAIN DATA'!$M:$M,'Bilateral Assistance, MAIN DATA'!$B:$B,'Share, Heavy Weapons to Ukraine'!$B22,'Bilateral Assistance, MAIN DATA'!$AO:$AO,'Share, Heavy Weapons to Ukraine'!AU$11)</f>
        <v>0</v>
      </c>
      <c r="AV22" s="25">
        <f>SUMIFS('Bilateral Assistance, MAIN DATA'!$M:$M,'Bilateral Assistance, MAIN DATA'!$B:$B,'Share, Heavy Weapons to Ukraine'!$B22,'Bilateral Assistance, MAIN DATA'!$AO:$AO,'Share, Heavy Weapons to Ukraine'!AV$11)</f>
        <v>0</v>
      </c>
      <c r="AW22" s="25">
        <f>SUMIFS('Bilateral Assistance, MAIN DATA'!$M:$M,'Bilateral Assistance, MAIN DATA'!$B:$B,'Share, Heavy Weapons to Ukraine'!$B22,'Bilateral Assistance, MAIN DATA'!$AO:$AO,'Share, Heavy Weapons to Ukraine'!AW$11)</f>
        <v>0</v>
      </c>
      <c r="AX22" s="25">
        <f>SUMIFS('Bilateral Assistance, MAIN DATA'!$M:$M,'Bilateral Assistance, MAIN DATA'!$B:$B,'Share, Heavy Weapons to Ukraine'!$B22,'Bilateral Assistance, MAIN DATA'!$AO:$AO,'Share, Heavy Weapons to Ukraine'!AX$11)</f>
        <v>0</v>
      </c>
      <c r="AY22" s="410"/>
      <c r="AZ22" s="25">
        <f>SUMIFS('Bilateral Assistance, MAIN DATA'!$N:$N,'Bilateral Assistance, MAIN DATA'!$B:$B,'Share, Heavy Weapons to Ukraine'!$B22,'Bilateral Assistance, MAIN DATA'!$AO:$AO,'Share, Heavy Weapons to Ukraine'!AZ$11)</f>
        <v>264</v>
      </c>
      <c r="BA22" s="25">
        <f>SUMIFS('Bilateral Assistance, MAIN DATA'!$N:$N,'Bilateral Assistance, MAIN DATA'!$B:$B,'Share, Heavy Weapons to Ukraine'!$B22,'Bilateral Assistance, MAIN DATA'!$AO:$AO,'Share, Heavy Weapons to Ukraine'!BA$11)</f>
        <v>0</v>
      </c>
      <c r="BB22" s="25">
        <f>SUMIFS('Bilateral Assistance, MAIN DATA'!$N:$N,'Bilateral Assistance, MAIN DATA'!$B:$B,'Share, Heavy Weapons to Ukraine'!$B22,'Bilateral Assistance, MAIN DATA'!$AO:$AO,'Share, Heavy Weapons to Ukraine'!BB$11)</f>
        <v>0</v>
      </c>
      <c r="BC22" s="25">
        <f>SUMIFS('Bilateral Assistance, MAIN DATA'!$N:$N,'Bilateral Assistance, MAIN DATA'!$B:$B,'Share, Heavy Weapons to Ukraine'!$B22,'Bilateral Assistance, MAIN DATA'!$AO:$AO,'Share, Heavy Weapons to Ukraine'!BC$11)</f>
        <v>0</v>
      </c>
      <c r="BD22" s="25">
        <f>SUMIFS('Bilateral Assistance, MAIN DATA'!$N:$N,'Bilateral Assistance, MAIN DATA'!$B:$B,'Share, Heavy Weapons to Ukraine'!$B22,'Bilateral Assistance, MAIN DATA'!$AO:$AO,'Share, Heavy Weapons to Ukraine'!BD$11)</f>
        <v>42</v>
      </c>
      <c r="BE22" s="25">
        <f t="shared" si="2"/>
        <v>42</v>
      </c>
      <c r="BF22" s="25">
        <f>SUMIFS('Bilateral Assistance, MAIN DATA'!$N:$N,'Bilateral Assistance, MAIN DATA'!$B:$B,'Share, Heavy Weapons to Ukraine'!$B22,'Bilateral Assistance, MAIN DATA'!$AO:$AO,"155mm howitzer")+SUMIFS('Bilateral Assistance, MAIN DATA'!$N:$N,'Bilateral Assistance, MAIN DATA'!$B:$B,'Share, Heavy Weapons to Ukraine'!$B22,'Bilateral Assistance, MAIN DATA'!$AO:$AO,"152mm howitzer")</f>
        <v>54</v>
      </c>
      <c r="BG22" s="25">
        <f>SUMIFS('Bilateral Assistance, MAIN DATA'!$N:$N,'Bilateral Assistance, MAIN DATA'!$B:$B,'Share, Heavy Weapons to Ukraine'!$B22,'Bilateral Assistance, MAIN DATA'!$AO:$AO,"122mm MLRS")+SUMIFS('Bilateral Assistance, MAIN DATA'!$N:$N,'Bilateral Assistance, MAIN DATA'!$B:$B,'Share, Heavy Weapons to Ukraine'!$B22,'Bilateral Assistance, MAIN DATA'!$AO:$AO,"127mm MLRS")+SUMIFS('Bilateral Assistance, MAIN DATA'!$N:$N,'Bilateral Assistance, MAIN DATA'!$B:$B,'Share, Heavy Weapons to Ukraine'!$B22,'Bilateral Assistance, MAIN DATA'!$AO:$AO,"227mm MLRS")</f>
        <v>0</v>
      </c>
      <c r="BH22" s="25">
        <f>SUMIFS('Bilateral Assistance, MAIN DATA'!$N:$N,'Bilateral Assistance, MAIN DATA'!$B:$B,'Share, Heavy Weapons to Ukraine'!$B22,'Bilateral Assistance, MAIN DATA'!$AO:$AO,'Share, Heavy Weapons to Ukraine'!BH$11)</f>
        <v>0</v>
      </c>
      <c r="BI22" s="25">
        <f>SUMIFS('Bilateral Assistance, MAIN DATA'!$N:$N,'Bilateral Assistance, MAIN DATA'!$B:$B,'Share, Heavy Weapons to Ukraine'!$B22,'Bilateral Assistance, MAIN DATA'!$AO:$AO,'Share, Heavy Weapons to Ukraine'!BI$11)</f>
        <v>0</v>
      </c>
      <c r="BJ22" s="25">
        <f>SUMIFS('Bilateral Assistance, MAIN DATA'!$N:$N,'Bilateral Assistance, MAIN DATA'!$B:$B,'Share, Heavy Weapons to Ukraine'!$B22,'Bilateral Assistance, MAIN DATA'!$AO:$AO,'Share, Heavy Weapons to Ukraine'!BJ$11)</f>
        <v>0</v>
      </c>
      <c r="BK22" s="25">
        <f>SUMIFS('Bilateral Assistance, MAIN DATA'!$N:$N,'Bilateral Assistance, MAIN DATA'!$B:$B,'Share, Heavy Weapons to Ukraine'!$B22,'Bilateral Assistance, MAIN DATA'!$AO:$AO,'Share, Heavy Weapons to Ukraine'!BK$11)</f>
        <v>0</v>
      </c>
      <c r="BL22" s="25">
        <f>SUMIFS('Bilateral Assistance, MAIN DATA'!$N:$N,'Bilateral Assistance, MAIN DATA'!$B:$B,'Share, Heavy Weapons to Ukraine'!$B22,'Bilateral Assistance, MAIN DATA'!$AO:$AO,'Share, Heavy Weapons to Ukraine'!BL$11)</f>
        <v>0</v>
      </c>
      <c r="BM22" s="410"/>
      <c r="BN22" s="261">
        <f>IF(VLOOKUP($B22,$B:W,COLUMN(W21)-1,FALSE)&lt;&gt;0,VLOOKUP($B22,$B:AL,COLUMN(AL21)-1,FALSE)/VLOOKUP($B22,$B:W,COLUMN(W21)-1,FALSE),IF(VLOOKUP($B22,$B:AL,COLUMN(AL21)-1,FALSE)&lt;&gt;0,"unknown",0))</f>
        <v>0.40652446675031367</v>
      </c>
      <c r="BO22" s="261">
        <f>IF(VLOOKUP($B22,$B:X,COLUMN(X21)-1,FALSE)&lt;&gt;0,VLOOKUP($B22,$B:AM,COLUMN(AM21)-1,FALSE)/VLOOKUP($B22,$B:X,COLUMN(X21)-1,FALSE),IF(VLOOKUP($B22,$B:AM,COLUMN(AM21)-1,FALSE)&lt;&gt;0,"unknown",0))</f>
        <v>0</v>
      </c>
      <c r="BP22" s="261">
        <f>IF(VLOOKUP($B22,$B:Y,COLUMN(Y21)-1,FALSE)&lt;&gt;0,VLOOKUP($B22,$B:AN,COLUMN(AN21)-1,FALSE)/VLOOKUP($B22,$B:Y,COLUMN(Y21)-1,FALSE),IF(VLOOKUP($B22,$B:AN,COLUMN(AN21)-1,FALSE)&lt;&gt;0,"unknown",0))</f>
        <v>0</v>
      </c>
      <c r="BQ22" s="261">
        <f>IF(VLOOKUP($B22,$B:Z,COLUMN(Z21)-1,FALSE)&lt;&gt;0,VLOOKUP($B22,$B:AO,COLUMN(AO21)-1,FALSE)/VLOOKUP($B22,$B:Z,COLUMN(Z21)-1,FALSE),IF(VLOOKUP($B22,$B:AO,COLUMN(AO21)-1,FALSE)&lt;&gt;0,"unknown",0))</f>
        <v>0</v>
      </c>
      <c r="BR22" s="261">
        <f>IF(VLOOKUP($B22,$B:AA,COLUMN(AA21)-1,FALSE)&lt;&gt;0,VLOOKUP($B22,$B:AP,COLUMN(AP21)-1,FALSE)/VLOOKUP($B22,$B:AA,COLUMN(AA21)-1,FALSE),IF(VLOOKUP($B22,$B:AP,COLUMN(AP21)-1,FALSE)&lt;&gt;0,"unknown",0))</f>
        <v>2.6070763500931099E-2</v>
      </c>
      <c r="BS22" s="261">
        <f>IF(VLOOKUP($B22,$B:AB,COLUMN(AB21)-1,FALSE)&lt;&gt;0,VLOOKUP($B22,$B:AQ,COLUMN(AQ21)-1,FALSE)/VLOOKUP($B22,$B:AB,COLUMN(AB21)-1,FALSE),IF(VLOOKUP($B22,$B:AQ,COLUMN(AQ21)-1,FALSE)&lt;&gt;0,"unknown",0))</f>
        <v>2.0309477756286266E-2</v>
      </c>
      <c r="BT22" s="261">
        <f>IF(VLOOKUP($B22,$B:AC,COLUMN(AC21)-1,FALSE)&lt;&gt;0,VLOOKUP($B22,$B:AR,COLUMN(AR21)-1,FALSE)/VLOOKUP($B22,$B:AC,COLUMN(AC21)-1,FALSE),IF(VLOOKUP($B22,$B:AR,COLUMN(AR21)-1,FALSE)&lt;&gt;0,"unknown",0))</f>
        <v>0.29508196721311475</v>
      </c>
      <c r="BU22" s="261">
        <f>IF(VLOOKUP($B22,$B:AD,COLUMN(AD21)-1,FALSE)&lt;&gt;0,VLOOKUP($B22,$B:AS,COLUMN(AS21)-1,FALSE)/VLOOKUP($B22,$B:AD,COLUMN(AD21)-1,FALSE),IF(VLOOKUP($B22,$B:AS,COLUMN(AS21)-1,FALSE)&lt;&gt;0,"unknown",0))</f>
        <v>0</v>
      </c>
      <c r="BV22" s="261">
        <f>IF(VLOOKUP($B22,$B:AE,COLUMN(AE21)-1,FALSE)&lt;&gt;0,VLOOKUP($B22,$B:AT,COLUMN(AT21)-1,FALSE)/VLOOKUP($B22,$B:AE,COLUMN(AE21)-1,FALSE),IF(VLOOKUP($B22,$B:AT,COLUMN(AT21)-1,FALSE)&lt;&gt;0,"unknown",0))</f>
        <v>0</v>
      </c>
      <c r="BW22" s="261">
        <f>IF(VLOOKUP($B22,$B:AG,COLUMN(AG21)-1,FALSE)&lt;&gt;0,VLOOKUP($B22,$B:AU,COLUMN(AU21)-1,FALSE)/VLOOKUP($B22,$B:AG,COLUMN(AG21)-1,FALSE),IF(VLOOKUP($B22,$B:AU,COLUMN(AU21)-1,FALSE)&lt;&gt;0,"unknown",0))</f>
        <v>0</v>
      </c>
      <c r="BX22" s="261">
        <f>IF(VLOOKUP($B22,$B:AH,COLUMN(AH21)-1,FALSE)&lt;&gt;0,VLOOKUP($B22,$B:AV,COLUMN(AV21)-1,FALSE)/VLOOKUP($B22,$B:AH,COLUMN(AH21)-1,FALSE),IF(VLOOKUP($B22,$B:AV,COLUMN(AV21)-1,FALSE)&lt;&gt;0,"unknown",0))</f>
        <v>0</v>
      </c>
      <c r="BY22" s="261">
        <f>IF(VLOOKUP($B22,$B:AI,COLUMN(AI21)-1,FALSE)&lt;&gt;0,VLOOKUP($B22,$B:AW,COLUMN(AW21)-1,FALSE)/VLOOKUP($B22,$B:AI,COLUMN(AI21)-1,FALSE),IF(VLOOKUP($B22,$B:AW,COLUMN(AW21)-1,FALSE)&lt;&gt;0,"unknown",0))</f>
        <v>0</v>
      </c>
      <c r="BZ22" s="261">
        <f>IF(VLOOKUP($B22,$B:AJ,COLUMN(AJ21)-1,FALSE)&lt;&gt;0,VLOOKUP($B22,$B:AX,COLUMN(AX21)-1,FALSE)/VLOOKUP($B22,$B:AJ,COLUMN(AJ21)-1,FALSE),IF(VLOOKUP($B22,$B:AX,COLUMN(AX21)-1,FALSE)&lt;&gt;0,"unknown",0))</f>
        <v>0</v>
      </c>
      <c r="CA22" s="410"/>
      <c r="CB22" s="2">
        <f>IF(VLOOKUP($B22,$B:AM,COLUMN(W21)-1,FALSE)&lt;&gt;0,VLOOKUP($B22,$B:BA,COLUMN(AZ21)-1,FALSE)/VLOOKUP($B22,$B:AM,COLUMN(W21)-1,FALSE),IF(VLOOKUP($B22,$B:BA,COLUMN(AZ21)-1,FALSE)&lt;&gt;0,"unknown",0))</f>
        <v>0.33124215809284818</v>
      </c>
      <c r="CC22" s="2">
        <f>IF(VLOOKUP($B22,$B:AN,COLUMN(X21)-1,FALSE)&lt;&gt;0,VLOOKUP($B22,$B:BB,COLUMN(BA21)-1,FALSE)/VLOOKUP($B22,$B:AN,COLUMN(X21)-1,FALSE),IF(VLOOKUP($B22,$B:BB,COLUMN(BA21)-1,FALSE)&lt;&gt;0,"unknown",0))</f>
        <v>0</v>
      </c>
      <c r="CD22" s="2">
        <f>IF(VLOOKUP($B22,$B:AO,COLUMN(Y21)-1,FALSE)&lt;&gt;0,VLOOKUP($B22,$B:BC,COLUMN(BB21)-1,FALSE)/VLOOKUP($B22,$B:AO,COLUMN(Y21)-1,FALSE),IF(VLOOKUP($B22,$B:BC,COLUMN(BB21)-1,FALSE)&lt;&gt;0,"unknown",0))</f>
        <v>0</v>
      </c>
      <c r="CE22" s="2">
        <f>IF(VLOOKUP($B22,$B:AP,COLUMN(Z21)-1,FALSE)&lt;&gt;0,VLOOKUP($B22,$B:BD,COLUMN(BC21)-1,FALSE)/VLOOKUP($B22,$B:AP,COLUMN(Z21)-1,FALSE),IF(VLOOKUP($B22,$B:BD,COLUMN(BC21)-1,FALSE)&lt;&gt;0,"unknown",0))</f>
        <v>0</v>
      </c>
      <c r="CF22" s="2">
        <f>IF(VLOOKUP($B22,$B:AR,COLUMN(AA21)-1,FALSE)&lt;&gt;0,VLOOKUP($B22,$B:BF,COLUMN(BD21)-1,FALSE)/VLOOKUP($B22,$B:AR,COLUMN(AA21)-1,FALSE),IF(VLOOKUP($B22,$B:BF,COLUMN(BD21)-1,FALSE)&lt;&gt;0,"unknown",0))</f>
        <v>2.6070763500931099E-2</v>
      </c>
      <c r="CG22" s="2">
        <f>IF(VLOOKUP($B22,$B:AS,COLUMN(AB21)-1,FALSE)&lt;&gt;0,VLOOKUP($B22,$B:BG,COLUMN(BE21)-1,FALSE)/VLOOKUP($B22,$B:AS,COLUMN(AB21)-1,FALSE),IF(VLOOKUP($B22,$B:BG,COLUMN(BE21)-1,FALSE)&lt;&gt;0,"unknown",0))</f>
        <v>2.0309477756286266E-2</v>
      </c>
      <c r="CH22" s="2">
        <f>IF(VLOOKUP($B22,$B:AS,COLUMN(AC21)-1,FALSE)&lt;&gt;0,VLOOKUP($B22,$B:BG,COLUMN(BF21)-1,FALSE)/VLOOKUP($B22,$B:AS,COLUMN(AC21)-1,FALSE),IF(VLOOKUP($B22,$B:BG,COLUMN(BF21)-1,FALSE)&lt;&gt;0,"unknown",0))</f>
        <v>0.29508196721311475</v>
      </c>
      <c r="CI22" s="2">
        <f>IF(VLOOKUP($B22,$B:AT,COLUMN(AD21)-1,FALSE)&lt;&gt;0,VLOOKUP($B22,$B:BH,COLUMN(BG21)-1,FALSE)/VLOOKUP($B22,$B:AT,COLUMN(AD21)-1,FALSE),IF(VLOOKUP($B22,$B:BH,COLUMN(BG21)-1,FALSE)&lt;&gt;0,"unknown",0))</f>
        <v>0</v>
      </c>
      <c r="CJ22" s="2">
        <f>IF(VLOOKUP($B22,$B:AT,COLUMN(AE21)-1,FALSE)&lt;&gt;0,VLOOKUP($B22,$B:BH,COLUMN(BH21)-1,FALSE)/VLOOKUP($B22,$B:AT,COLUMN(AE21)-1,FALSE),IF(VLOOKUP($B22,$B:BH,COLUMN(BH21)-1,FALSE)&lt;&gt;0,"unknown",0))</f>
        <v>0</v>
      </c>
      <c r="CK22" s="2">
        <f>IF(VLOOKUP($B22,$B:AU,COLUMN(AG21)-1,FALSE)&lt;&gt;0,VLOOKUP($B22,$B:BI,COLUMN(BI21)-1,FALSE)/VLOOKUP($B22,$B:AU,COLUMN(AG21)-1,FALSE),IF(VLOOKUP($B22,$B:BI,COLUMN(BI21)-1,FALSE)&lt;&gt;0,"unknown",0))</f>
        <v>0</v>
      </c>
      <c r="CL22" s="2">
        <f>IF(VLOOKUP($B22,$B:AV,COLUMN(AH21)-1,FALSE)&lt;&gt;0,VLOOKUP($B22,$B:BJ,COLUMN(BJ21)-1,FALSE)/VLOOKUP($B22,$B:AV,COLUMN(AH21)-1,FALSE),IF(VLOOKUP($B22,$B:BJ,COLUMN(BJ21)-1,FALSE)&lt;&gt;0,"unknown",0))</f>
        <v>0</v>
      </c>
      <c r="CM22" s="2">
        <f>IF(VLOOKUP($B22,$B:AW,COLUMN(AI21)-1,FALSE)&lt;&gt;0,VLOOKUP($B22,$B:BK,COLUMN(BK21)-1,FALSE)/VLOOKUP($B22,$B:AW,COLUMN(AI21)-1,FALSE),IF(VLOOKUP($B22,$B:BK,COLUMN(BK21)-1,FALSE)&lt;&gt;0,"unknown",0))</f>
        <v>0</v>
      </c>
      <c r="CN22" s="2">
        <f>IF(VLOOKUP($B22,$B:AX,COLUMN(AJ21)-1,FALSE)&lt;&gt;0,VLOOKUP($B22,$B:BL,COLUMN(BL21)-1,FALSE)/VLOOKUP($B22,$B:AX,COLUMN(AJ21)-1,FALSE),IF(VLOOKUP($B22,$B:BL,COLUMN(BL21)-1,FALSE)&lt;&gt;0,"unknown",0))</f>
        <v>0</v>
      </c>
      <c r="CO22" s="410"/>
      <c r="CP22" s="2">
        <f>SUMIFS('Bilateral Assistance, MAIN DATA'!$M:$M,'Bilateral Assistance, MAIN DATA'!$B:$B,'Share, Heavy Weapons to Ukraine'!$B22,'Bilateral Assistance, MAIN DATA'!$AO:$AO,'Share, Heavy Weapons to Ukraine'!CP$11, 'Bilateral Assistance, MAIN DATA'!$AA:$AA,1)</f>
        <v>0</v>
      </c>
      <c r="CQ22" s="2">
        <f>SUMIFS('Bilateral Assistance, MAIN DATA'!$M:$M,'Bilateral Assistance, MAIN DATA'!$B:$B,'Share, Heavy Weapons to Ukraine'!$B22,'Bilateral Assistance, MAIN DATA'!$AO:$AO,'Share, Heavy Weapons to Ukraine'!CQ$11, 'Bilateral Assistance, MAIN DATA'!$AA:$AA,1)</f>
        <v>0</v>
      </c>
      <c r="CR22" s="2">
        <f>SUMIFS('Bilateral Assistance, MAIN DATA'!$M:$M,'Bilateral Assistance, MAIN DATA'!$B:$B,'Share, Heavy Weapons to Ukraine'!$B22,'Bilateral Assistance, MAIN DATA'!$AO:$AO,'Share, Heavy Weapons to Ukraine'!CR$11, 'Bilateral Assistance, MAIN DATA'!$AA:$AA,1)</f>
        <v>0</v>
      </c>
      <c r="CS22" s="2">
        <f>SUMIFS('Bilateral Assistance, MAIN DATA'!$M:$M,'Bilateral Assistance, MAIN DATA'!$B:$B,'Share, Heavy Weapons to Ukraine'!$B22,'Bilateral Assistance, MAIN DATA'!$AO:$AO,'Share, Heavy Weapons to Ukraine'!CS$11, 'Bilateral Assistance, MAIN DATA'!$AA:$AA,1)</f>
        <v>0</v>
      </c>
      <c r="CT22" s="410"/>
      <c r="CU22" s="2">
        <f>SUMIFS('Bilateral Assistance, MAIN DATA'!$N:$N,'Bilateral Assistance, MAIN DATA'!$B:$B,'Share, Heavy Weapons to Ukraine'!$B22,'Bilateral Assistance, MAIN DATA'!$AO:$AO,'Share, Heavy Weapons to Ukraine'!CU$11, 'Bilateral Assistance, MAIN DATA'!$AA:$AA,1)</f>
        <v>0</v>
      </c>
      <c r="CV22" s="2">
        <f>SUMIFS('Bilateral Assistance, MAIN DATA'!$N:$N,'Bilateral Assistance, MAIN DATA'!$B:$B,'Share, Heavy Weapons to Ukraine'!$B22,'Bilateral Assistance, MAIN DATA'!$AO:$AO,'Share, Heavy Weapons to Ukraine'!CV$11, 'Bilateral Assistance, MAIN DATA'!$AA:$AA,1)</f>
        <v>0</v>
      </c>
      <c r="CW22" s="2">
        <f>SUMIFS('Bilateral Assistance, MAIN DATA'!$N:$N,'Bilateral Assistance, MAIN DATA'!$B:$B,'Share, Heavy Weapons to Ukraine'!$B22,'Bilateral Assistance, MAIN DATA'!$AO:$AO,'Share, Heavy Weapons to Ukraine'!CW$11, 'Bilateral Assistance, MAIN DATA'!$AA:$AA,1)</f>
        <v>0</v>
      </c>
      <c r="CX22" s="2">
        <f>SUMIFS('Bilateral Assistance, MAIN DATA'!$N:$N,'Bilateral Assistance, MAIN DATA'!$B:$B,'Share, Heavy Weapons to Ukraine'!$B22,'Bilateral Assistance, MAIN DATA'!$AO:$AO,'Share, Heavy Weapons to Ukraine'!CX$11, 'Bilateral Assistance, MAIN DATA'!$AA:$AA,1)</f>
        <v>0</v>
      </c>
    </row>
    <row r="23" spans="2:102" ht="15.6">
      <c r="B23" s="409" t="s">
        <v>3685</v>
      </c>
      <c r="C23" s="409">
        <v>1</v>
      </c>
      <c r="D23" s="2">
        <v>0</v>
      </c>
      <c r="E23" s="410"/>
      <c r="F23" s="569" t="s">
        <v>364</v>
      </c>
      <c r="G23" s="569" t="s">
        <v>364</v>
      </c>
      <c r="H23" s="569" t="s">
        <v>364</v>
      </c>
      <c r="I23" s="569" t="s">
        <v>364</v>
      </c>
      <c r="J23" s="569" t="s">
        <v>364</v>
      </c>
      <c r="K23" s="569" t="s">
        <v>364</v>
      </c>
      <c r="L23" s="569" t="s">
        <v>364</v>
      </c>
      <c r="M23" s="569" t="s">
        <v>364</v>
      </c>
      <c r="N23" s="569" t="s">
        <v>364</v>
      </c>
      <c r="O23" s="569" t="s">
        <v>364</v>
      </c>
      <c r="P23" s="569" t="s">
        <v>364</v>
      </c>
      <c r="Q23" s="569" t="s">
        <v>364</v>
      </c>
      <c r="R23" s="569" t="s">
        <v>364</v>
      </c>
      <c r="S23" s="569" t="s">
        <v>364</v>
      </c>
      <c r="T23" s="569" t="s">
        <v>364</v>
      </c>
      <c r="U23" s="410" t="str">
        <f>""</f>
        <v/>
      </c>
      <c r="V23" s="1334">
        <v>10.199999999999999</v>
      </c>
      <c r="W23" s="1334">
        <f>VLOOKUP(B23,'Heavy Weapon Stocks'!B:OA,COLUMN('Heavy Weapon Stocks'!$C$11)-1,FALSE)+IF(F23&lt;&gt;".",F23,0)</f>
        <v>4378</v>
      </c>
      <c r="X23" s="1334">
        <f>VLOOKUP(B23,'Heavy Weapon Stocks'!B:OA,COLUMN('Heavy Weapon Stocks'!$AQ$11)-1,FALSE)</f>
        <v>3636</v>
      </c>
      <c r="Y23" s="1334">
        <f>VLOOKUP(B23,'Heavy Weapon Stocks'!B:OA,COLUMN('Heavy Weapon Stocks'!$DK$11)-1,FALSE)</f>
        <v>1630</v>
      </c>
      <c r="Z23" s="1334">
        <f>VLOOKUP(B23,'Heavy Weapon Stocks'!B:OA,COLUMN('Heavy Weapon Stocks'!$DY$11)-1,FALSE)</f>
        <v>1200</v>
      </c>
      <c r="AA23" s="1334">
        <f>VLOOKUP(B23,'Heavy Weapon Stocks'!B:OA,COLUMN('Heavy Weapon Stocks'!$FA$11)-1,FALSE)+IF(G23&lt;&gt;".",G23,0)</f>
        <v>645</v>
      </c>
      <c r="AB23" s="1334">
        <f t="shared" si="3"/>
        <v>7111</v>
      </c>
      <c r="AC23" s="1334">
        <f>VLOOKUP(B23,'Heavy Weapon Stocks'!B:OA,COLUMN('Heavy Weapon Stocks'!$GV$11)-1,FALSE)+VLOOKUP(B23,'Heavy Weapon Stocks'!B:OA,COLUMN('Heavy Weapon Stocks'!$HY$11)-1,FALSE)+IF(H23&lt;&gt;".",H23,0)</f>
        <v>1385</v>
      </c>
      <c r="AD23" s="1334">
        <f>VLOOKUP(B23,'Heavy Weapon Stocks'!B:OA,COLUMN('Heavy Weapon Stocks'!$IF$11)-1,FALSE)+IF(I23&lt;&gt;".",I23,0)</f>
        <v>146</v>
      </c>
      <c r="AE23" s="1334">
        <f>VLOOKUP(B23,'Heavy Weapon Stocks'!B:OA,COLUMN('Heavy Weapon Stocks'!$IZ$11)-1,FALSE)+VLOOKUP(B23,'Heavy Weapon Stocks'!B:OA,COLUMN('Heavy Weapon Stocks'!$JW$11)-1,FALSE)</f>
        <v>306</v>
      </c>
      <c r="AF23" s="1334">
        <f>VLOOKUP(B23,'Heavy Weapon Stocks'!B:OA,COLUMN('Heavy Weapon Stocks'!$NL$11)-1,FALSE)+IF(L23&lt;&gt;".",L23,0)</f>
        <v>148</v>
      </c>
      <c r="AG23" s="1334">
        <f>VLOOKUP(B23,'Heavy Weapon Stocks'!B:OA,COLUMN('Heavy Weapon Stocks'!$LN$11)-1,FALSE)+IF(M23&lt;&gt;".",M23,0)</f>
        <v>32</v>
      </c>
      <c r="AH23" s="1334">
        <f>VLOOKUP(B23,'Heavy Weapon Stocks'!B:OA,COLUMN('Heavy Weapon Stocks'!$LX$11)-1,FALSE)+IF(N23&lt;&gt;".",N23,0)</f>
        <v>0</v>
      </c>
      <c r="AI23" s="1334">
        <f>VLOOKUP(B23,'Heavy Weapon Stocks'!B:OA,COLUMN('Heavy Weapon Stocks'!$ME$11)-1,FALSE)+IF(O23&lt;&gt;".",O23,0)</f>
        <v>0</v>
      </c>
      <c r="AJ23" s="1334">
        <f>VLOOKUP(B23,'Heavy Weapon Stocks'!B:OA,COLUMN('Heavy Weapon Stocks'!$NK$11)-1,FALSE)+IF(P23&lt;&gt;".",P23,0)</f>
        <v>148</v>
      </c>
      <c r="AK23" s="410"/>
      <c r="AL23" s="25">
        <f>SUMIFS('Bilateral Assistance, MAIN DATA'!$M:$M,'Bilateral Assistance, MAIN DATA'!$B:$B,'Share, Heavy Weapons to Ukraine'!$B23,'Bilateral Assistance, MAIN DATA'!$AO:$AO,'Share, Heavy Weapons to Ukraine'!AL$11)</f>
        <v>0</v>
      </c>
      <c r="AM23" s="25">
        <f>SUMIFS('Bilateral Assistance, MAIN DATA'!$M:$M,'Bilateral Assistance, MAIN DATA'!$B:$B,'Share, Heavy Weapons to Ukraine'!$B23,'Bilateral Assistance, MAIN DATA'!$AO:$AO,'Share, Heavy Weapons to Ukraine'!AM$11)</f>
        <v>0</v>
      </c>
      <c r="AN23" s="25">
        <f>SUMIFS('Bilateral Assistance, MAIN DATA'!$M:$M,'Bilateral Assistance, MAIN DATA'!$B:$B,'Share, Heavy Weapons to Ukraine'!$B23,'Bilateral Assistance, MAIN DATA'!$AO:$AO,'Share, Heavy Weapons to Ukraine'!AN$11)</f>
        <v>0</v>
      </c>
      <c r="AO23" s="25">
        <f>SUMIFS('Bilateral Assistance, MAIN DATA'!$M:$M,'Bilateral Assistance, MAIN DATA'!$B:$B,'Share, Heavy Weapons to Ukraine'!$B23,'Bilateral Assistance, MAIN DATA'!$AO:$AO,'Share, Heavy Weapons to Ukraine'!AO$11)</f>
        <v>200</v>
      </c>
      <c r="AP23" s="25">
        <f>SUMIFS('Bilateral Assistance, MAIN DATA'!$M:$M,'Bilateral Assistance, MAIN DATA'!$B:$B,'Share, Heavy Weapons to Ukraine'!$B23,'Bilateral Assistance, MAIN DATA'!$AO:$AO,'Share, Heavy Weapons to Ukraine'!AP$11)</f>
        <v>0</v>
      </c>
      <c r="AQ23" s="25">
        <f t="shared" si="1"/>
        <v>200</v>
      </c>
      <c r="AR23" s="25">
        <f>SUMIFS('Bilateral Assistance, MAIN DATA'!$M:$M,'Bilateral Assistance, MAIN DATA'!$B:$B,'Share, Heavy Weapons to Ukraine'!$B23,'Bilateral Assistance, MAIN DATA'!$AO:$AO,"155mm howitzer")+SUMIFS('Bilateral Assistance, MAIN DATA'!$M:$M,'Bilateral Assistance, MAIN DATA'!$B:$B,'Share, Heavy Weapons to Ukraine'!$B23,'Bilateral Assistance, MAIN DATA'!$AO:$AO,"152mm howitzer")</f>
        <v>0</v>
      </c>
      <c r="AS23" s="25">
        <f>SUMIFS('Bilateral Assistance, MAIN DATA'!$M:$M,'Bilateral Assistance, MAIN DATA'!$B:$B,'Share, Heavy Weapons to Ukraine'!$B23,'Bilateral Assistance, MAIN DATA'!$AO:$AO,"122mm MLRS")+SUMIFS('Bilateral Assistance, MAIN DATA'!$M:$M,'Bilateral Assistance, MAIN DATA'!$B:$B,'Share, Heavy Weapons to Ukraine'!$B23,'Bilateral Assistance, MAIN DATA'!$AO:$AO,"127mm MLRS")+SUMIFS('Bilateral Assistance, MAIN DATA'!$M:$M,'Bilateral Assistance, MAIN DATA'!$B:$B,'Share, Heavy Weapons to Ukraine'!$B23,'Bilateral Assistance, MAIN DATA'!$AO:$AO,"227mm MLRS")</f>
        <v>0</v>
      </c>
      <c r="AT23" s="25">
        <f>SUMIFS('Bilateral Assistance, MAIN DATA'!$M:$M,'Bilateral Assistance, MAIN DATA'!$B:$B,'Share, Heavy Weapons to Ukraine'!$B23,'Bilateral Assistance, MAIN DATA'!$AO:$AO,'Share, Heavy Weapons to Ukraine'!AT$11)</f>
        <v>0</v>
      </c>
      <c r="AU23" s="25">
        <f>SUMIFS('Bilateral Assistance, MAIN DATA'!$M:$M,'Bilateral Assistance, MAIN DATA'!$B:$B,'Share, Heavy Weapons to Ukraine'!$B23,'Bilateral Assistance, MAIN DATA'!$AO:$AO,'Share, Heavy Weapons to Ukraine'!AU$11)</f>
        <v>0</v>
      </c>
      <c r="AV23" s="25">
        <f>SUMIFS('Bilateral Assistance, MAIN DATA'!$M:$M,'Bilateral Assistance, MAIN DATA'!$B:$B,'Share, Heavy Weapons to Ukraine'!$B23,'Bilateral Assistance, MAIN DATA'!$AO:$AO,'Share, Heavy Weapons to Ukraine'!AV$11)</f>
        <v>0</v>
      </c>
      <c r="AW23" s="25">
        <f>SUMIFS('Bilateral Assistance, MAIN DATA'!$M:$M,'Bilateral Assistance, MAIN DATA'!$B:$B,'Share, Heavy Weapons to Ukraine'!$B23,'Bilateral Assistance, MAIN DATA'!$AO:$AO,'Share, Heavy Weapons to Ukraine'!AW$11)</f>
        <v>0</v>
      </c>
      <c r="AX23" s="25">
        <f>SUMIFS('Bilateral Assistance, MAIN DATA'!$M:$M,'Bilateral Assistance, MAIN DATA'!$B:$B,'Share, Heavy Weapons to Ukraine'!$B23,'Bilateral Assistance, MAIN DATA'!$AO:$AO,'Share, Heavy Weapons to Ukraine'!AX$11)</f>
        <v>0</v>
      </c>
      <c r="AY23" s="410"/>
      <c r="AZ23" s="25">
        <f>SUMIFS('Bilateral Assistance, MAIN DATA'!$N:$N,'Bilateral Assistance, MAIN DATA'!$B:$B,'Share, Heavy Weapons to Ukraine'!$B23,'Bilateral Assistance, MAIN DATA'!$AO:$AO,'Share, Heavy Weapons to Ukraine'!AZ$11)</f>
        <v>0</v>
      </c>
      <c r="BA23" s="25">
        <f>SUMIFS('Bilateral Assistance, MAIN DATA'!$N:$N,'Bilateral Assistance, MAIN DATA'!$B:$B,'Share, Heavy Weapons to Ukraine'!$B23,'Bilateral Assistance, MAIN DATA'!$AO:$AO,'Share, Heavy Weapons to Ukraine'!BA$11)</f>
        <v>0</v>
      </c>
      <c r="BB23" s="25">
        <f>SUMIFS('Bilateral Assistance, MAIN DATA'!$N:$N,'Bilateral Assistance, MAIN DATA'!$B:$B,'Share, Heavy Weapons to Ukraine'!$B23,'Bilateral Assistance, MAIN DATA'!$AO:$AO,'Share, Heavy Weapons to Ukraine'!BB$11)</f>
        <v>0</v>
      </c>
      <c r="BC23" s="25">
        <f>SUMIFS('Bilateral Assistance, MAIN DATA'!$N:$N,'Bilateral Assistance, MAIN DATA'!$B:$B,'Share, Heavy Weapons to Ukraine'!$B23,'Bilateral Assistance, MAIN DATA'!$AO:$AO,'Share, Heavy Weapons to Ukraine'!BC$11)</f>
        <v>50</v>
      </c>
      <c r="BD23" s="25">
        <f>SUMIFS('Bilateral Assistance, MAIN DATA'!$N:$N,'Bilateral Assistance, MAIN DATA'!$B:$B,'Share, Heavy Weapons to Ukraine'!$B23,'Bilateral Assistance, MAIN DATA'!$AO:$AO,'Share, Heavy Weapons to Ukraine'!BD$11)</f>
        <v>0</v>
      </c>
      <c r="BE23" s="25">
        <f t="shared" si="2"/>
        <v>50</v>
      </c>
      <c r="BF23" s="25">
        <f>SUMIFS('Bilateral Assistance, MAIN DATA'!$N:$N,'Bilateral Assistance, MAIN DATA'!$B:$B,'Share, Heavy Weapons to Ukraine'!$B23,'Bilateral Assistance, MAIN DATA'!$AO:$AO,"155mm howitzer")+SUMIFS('Bilateral Assistance, MAIN DATA'!$N:$N,'Bilateral Assistance, MAIN DATA'!$B:$B,'Share, Heavy Weapons to Ukraine'!$B23,'Bilateral Assistance, MAIN DATA'!$AO:$AO,"152mm howitzer")</f>
        <v>0</v>
      </c>
      <c r="BG23" s="25">
        <f>SUMIFS('Bilateral Assistance, MAIN DATA'!$N:$N,'Bilateral Assistance, MAIN DATA'!$B:$B,'Share, Heavy Weapons to Ukraine'!$B23,'Bilateral Assistance, MAIN DATA'!$AO:$AO,"122mm MLRS")+SUMIFS('Bilateral Assistance, MAIN DATA'!$N:$N,'Bilateral Assistance, MAIN DATA'!$B:$B,'Share, Heavy Weapons to Ukraine'!$B23,'Bilateral Assistance, MAIN DATA'!$AO:$AO,"127mm MLRS")+SUMIFS('Bilateral Assistance, MAIN DATA'!$N:$N,'Bilateral Assistance, MAIN DATA'!$B:$B,'Share, Heavy Weapons to Ukraine'!$B23,'Bilateral Assistance, MAIN DATA'!$AO:$AO,"227mm MLRS")</f>
        <v>0</v>
      </c>
      <c r="BH23" s="25">
        <f>SUMIFS('Bilateral Assistance, MAIN DATA'!$N:$N,'Bilateral Assistance, MAIN DATA'!$B:$B,'Share, Heavy Weapons to Ukraine'!$B23,'Bilateral Assistance, MAIN DATA'!$AO:$AO,'Share, Heavy Weapons to Ukraine'!BH$11)</f>
        <v>0</v>
      </c>
      <c r="BI23" s="25">
        <f>SUMIFS('Bilateral Assistance, MAIN DATA'!$N:$N,'Bilateral Assistance, MAIN DATA'!$B:$B,'Share, Heavy Weapons to Ukraine'!$B23,'Bilateral Assistance, MAIN DATA'!$AO:$AO,'Share, Heavy Weapons to Ukraine'!BI$11)</f>
        <v>0</v>
      </c>
      <c r="BJ23" s="25">
        <f>SUMIFS('Bilateral Assistance, MAIN DATA'!$N:$N,'Bilateral Assistance, MAIN DATA'!$B:$B,'Share, Heavy Weapons to Ukraine'!$B23,'Bilateral Assistance, MAIN DATA'!$AO:$AO,'Share, Heavy Weapons to Ukraine'!BJ$11)</f>
        <v>0</v>
      </c>
      <c r="BK23" s="25">
        <f>SUMIFS('Bilateral Assistance, MAIN DATA'!$N:$N,'Bilateral Assistance, MAIN DATA'!$B:$B,'Share, Heavy Weapons to Ukraine'!$B23,'Bilateral Assistance, MAIN DATA'!$AO:$AO,'Share, Heavy Weapons to Ukraine'!BK$11)</f>
        <v>0</v>
      </c>
      <c r="BL23" s="25">
        <f>SUMIFS('Bilateral Assistance, MAIN DATA'!$N:$N,'Bilateral Assistance, MAIN DATA'!$B:$B,'Share, Heavy Weapons to Ukraine'!$B23,'Bilateral Assistance, MAIN DATA'!$AO:$AO,'Share, Heavy Weapons to Ukraine'!BL$11)</f>
        <v>0</v>
      </c>
      <c r="BM23" s="410"/>
      <c r="BN23" s="261">
        <f>IF(VLOOKUP($B23,$B:W,COLUMN(W22)-1,FALSE)&lt;&gt;0,VLOOKUP($B23,$B:AL,COLUMN(AL22)-1,FALSE)/VLOOKUP($B23,$B:W,COLUMN(W22)-1,FALSE),IF(VLOOKUP($B23,$B:AL,COLUMN(AL22)-1,FALSE)&lt;&gt;0,"unknown",0))</f>
        <v>0</v>
      </c>
      <c r="BO23" s="261">
        <f>IF(VLOOKUP($B23,$B:X,COLUMN(X22)-1,FALSE)&lt;&gt;0,VLOOKUP($B23,$B:AM,COLUMN(AM22)-1,FALSE)/VLOOKUP($B23,$B:X,COLUMN(X22)-1,FALSE),IF(VLOOKUP($B23,$B:AM,COLUMN(AM22)-1,FALSE)&lt;&gt;0,"unknown",0))</f>
        <v>0</v>
      </c>
      <c r="BP23" s="261">
        <f>IF(VLOOKUP($B23,$B:Y,COLUMN(Y22)-1,FALSE)&lt;&gt;0,VLOOKUP($B23,$B:AN,COLUMN(AN22)-1,FALSE)/VLOOKUP($B23,$B:Y,COLUMN(Y22)-1,FALSE),IF(VLOOKUP($B23,$B:AN,COLUMN(AN22)-1,FALSE)&lt;&gt;0,"unknown",0))</f>
        <v>0</v>
      </c>
      <c r="BQ23" s="261">
        <f>IF(VLOOKUP($B23,$B:Z,COLUMN(Z22)-1,FALSE)&lt;&gt;0,VLOOKUP($B23,$B:AO,COLUMN(AO22)-1,FALSE)/VLOOKUP($B23,$B:Z,COLUMN(Z22)-1,FALSE),IF(VLOOKUP($B23,$B:AO,COLUMN(AO22)-1,FALSE)&lt;&gt;0,"unknown",0))</f>
        <v>0.16666666666666666</v>
      </c>
      <c r="BR23" s="261">
        <f>IF(VLOOKUP($B23,$B:AA,COLUMN(AA22)-1,FALSE)&lt;&gt;0,VLOOKUP($B23,$B:AP,COLUMN(AP22)-1,FALSE)/VLOOKUP($B23,$B:AA,COLUMN(AA22)-1,FALSE),IF(VLOOKUP($B23,$B:AP,COLUMN(AP22)-1,FALSE)&lt;&gt;0,"unknown",0))</f>
        <v>0</v>
      </c>
      <c r="BS23" s="261">
        <f>IF(VLOOKUP($B23,$B:AB,COLUMN(AB22)-1,FALSE)&lt;&gt;0,VLOOKUP($B23,$B:AQ,COLUMN(AQ22)-1,FALSE)/VLOOKUP($B23,$B:AB,COLUMN(AB22)-1,FALSE),IF(VLOOKUP($B23,$B:AQ,COLUMN(AQ22)-1,FALSE)&lt;&gt;0,"unknown",0))</f>
        <v>2.8125439459991561E-2</v>
      </c>
      <c r="BT23" s="261">
        <f>IF(VLOOKUP($B23,$B:AC,COLUMN(AC22)-1,FALSE)&lt;&gt;0,VLOOKUP($B23,$B:AR,COLUMN(AR22)-1,FALSE)/VLOOKUP($B23,$B:AC,COLUMN(AC22)-1,FALSE),IF(VLOOKUP($B23,$B:AR,COLUMN(AR22)-1,FALSE)&lt;&gt;0,"unknown",0))</f>
        <v>0</v>
      </c>
      <c r="BU23" s="261">
        <f>IF(VLOOKUP($B23,$B:AD,COLUMN(AD22)-1,FALSE)&lt;&gt;0,VLOOKUP($B23,$B:AS,COLUMN(AS22)-1,FALSE)/VLOOKUP($B23,$B:AD,COLUMN(AD22)-1,FALSE),IF(VLOOKUP($B23,$B:AS,COLUMN(AS22)-1,FALSE)&lt;&gt;0,"unknown",0))</f>
        <v>0</v>
      </c>
      <c r="BV23" s="261">
        <f>IF(VLOOKUP($B23,$B:AE,COLUMN(AE22)-1,FALSE)&lt;&gt;0,VLOOKUP($B23,$B:AT,COLUMN(AT22)-1,FALSE)/VLOOKUP($B23,$B:AE,COLUMN(AE22)-1,FALSE),IF(VLOOKUP($B23,$B:AT,COLUMN(AT22)-1,FALSE)&lt;&gt;0,"unknown",0))</f>
        <v>0</v>
      </c>
      <c r="BW23" s="261">
        <f>IF(VLOOKUP($B23,$B:AG,COLUMN(AG22)-1,FALSE)&lt;&gt;0,VLOOKUP($B23,$B:AU,COLUMN(AU22)-1,FALSE)/VLOOKUP($B23,$B:AG,COLUMN(AG22)-1,FALSE),IF(VLOOKUP($B23,$B:AU,COLUMN(AU22)-1,FALSE)&lt;&gt;0,"unknown",0))</f>
        <v>0</v>
      </c>
      <c r="BX23" s="261">
        <f>IF(VLOOKUP($B23,$B:AH,COLUMN(AH22)-1,FALSE)&lt;&gt;0,VLOOKUP($B23,$B:AV,COLUMN(AV22)-1,FALSE)/VLOOKUP($B23,$B:AH,COLUMN(AH22)-1,FALSE),IF(VLOOKUP($B23,$B:AV,COLUMN(AV22)-1,FALSE)&lt;&gt;0,"unknown",0))</f>
        <v>0</v>
      </c>
      <c r="BY23" s="261">
        <f>IF(VLOOKUP($B23,$B:AI,COLUMN(AI22)-1,FALSE)&lt;&gt;0,VLOOKUP($B23,$B:AW,COLUMN(AW22)-1,FALSE)/VLOOKUP($B23,$B:AI,COLUMN(AI22)-1,FALSE),IF(VLOOKUP($B23,$B:AW,COLUMN(AW22)-1,FALSE)&lt;&gt;0,"unknown",0))</f>
        <v>0</v>
      </c>
      <c r="BZ23" s="261">
        <f>IF(VLOOKUP($B23,$B:AJ,COLUMN(AJ22)-1,FALSE)&lt;&gt;0,VLOOKUP($B23,$B:AX,COLUMN(AX22)-1,FALSE)/VLOOKUP($B23,$B:AJ,COLUMN(AJ22)-1,FALSE),IF(VLOOKUP($B23,$B:AX,COLUMN(AX22)-1,FALSE)&lt;&gt;0,"unknown",0))</f>
        <v>0</v>
      </c>
      <c r="CA23" s="410"/>
      <c r="CB23" s="2">
        <f>IF(VLOOKUP($B23,$B:AM,COLUMN(W22)-1,FALSE)&lt;&gt;0,VLOOKUP($B23,$B:BA,COLUMN(AZ22)-1,FALSE)/VLOOKUP($B23,$B:AM,COLUMN(W22)-1,FALSE),IF(VLOOKUP($B23,$B:BA,COLUMN(AZ22)-1,FALSE)&lt;&gt;0,"unknown",0))</f>
        <v>0</v>
      </c>
      <c r="CC23" s="2">
        <f>IF(VLOOKUP($B23,$B:AN,COLUMN(X22)-1,FALSE)&lt;&gt;0,VLOOKUP($B23,$B:BB,COLUMN(BA22)-1,FALSE)/VLOOKUP($B23,$B:AN,COLUMN(X22)-1,FALSE),IF(VLOOKUP($B23,$B:BB,COLUMN(BA22)-1,FALSE)&lt;&gt;0,"unknown",0))</f>
        <v>0</v>
      </c>
      <c r="CD23" s="2">
        <f>IF(VLOOKUP($B23,$B:AO,COLUMN(Y22)-1,FALSE)&lt;&gt;0,VLOOKUP($B23,$B:BC,COLUMN(BB22)-1,FALSE)/VLOOKUP($B23,$B:AO,COLUMN(Y22)-1,FALSE),IF(VLOOKUP($B23,$B:BC,COLUMN(BB22)-1,FALSE)&lt;&gt;0,"unknown",0))</f>
        <v>0</v>
      </c>
      <c r="CE23" s="2">
        <f>IF(VLOOKUP($B23,$B:AP,COLUMN(Z22)-1,FALSE)&lt;&gt;0,VLOOKUP($B23,$B:BD,COLUMN(BC22)-1,FALSE)/VLOOKUP($B23,$B:AP,COLUMN(Z22)-1,FALSE),IF(VLOOKUP($B23,$B:BD,COLUMN(BC22)-1,FALSE)&lt;&gt;0,"unknown",0))</f>
        <v>4.1666666666666664E-2</v>
      </c>
      <c r="CF23" s="2">
        <f>IF(VLOOKUP($B23,$B:AR,COLUMN(AA22)-1,FALSE)&lt;&gt;0,VLOOKUP($B23,$B:BF,COLUMN(BD22)-1,FALSE)/VLOOKUP($B23,$B:AR,COLUMN(AA22)-1,FALSE),IF(VLOOKUP($B23,$B:BF,COLUMN(BD22)-1,FALSE)&lt;&gt;0,"unknown",0))</f>
        <v>0</v>
      </c>
      <c r="CG23" s="2">
        <f>IF(VLOOKUP($B23,$B:AS,COLUMN(AB22)-1,FALSE)&lt;&gt;0,VLOOKUP($B23,$B:BG,COLUMN(BE22)-1,FALSE)/VLOOKUP($B23,$B:AS,COLUMN(AB22)-1,FALSE),IF(VLOOKUP($B23,$B:BG,COLUMN(BE22)-1,FALSE)&lt;&gt;0,"unknown",0))</f>
        <v>7.0313598649978902E-3</v>
      </c>
      <c r="CH23" s="2">
        <f>IF(VLOOKUP($B23,$B:AS,COLUMN(AC22)-1,FALSE)&lt;&gt;0,VLOOKUP($B23,$B:BG,COLUMN(BF22)-1,FALSE)/VLOOKUP($B23,$B:AS,COLUMN(AC22)-1,FALSE),IF(VLOOKUP($B23,$B:BG,COLUMN(BF22)-1,FALSE)&lt;&gt;0,"unknown",0))</f>
        <v>0</v>
      </c>
      <c r="CI23" s="2">
        <f>IF(VLOOKUP($B23,$B:AT,COLUMN(AD22)-1,FALSE)&lt;&gt;0,VLOOKUP($B23,$B:BH,COLUMN(BG22)-1,FALSE)/VLOOKUP($B23,$B:AT,COLUMN(AD22)-1,FALSE),IF(VLOOKUP($B23,$B:BH,COLUMN(BG22)-1,FALSE)&lt;&gt;0,"unknown",0))</f>
        <v>0</v>
      </c>
      <c r="CJ23" s="2">
        <f>IF(VLOOKUP($B23,$B:AT,COLUMN(AE22)-1,FALSE)&lt;&gt;0,VLOOKUP($B23,$B:BH,COLUMN(BH22)-1,FALSE)/VLOOKUP($B23,$B:AT,COLUMN(AE22)-1,FALSE),IF(VLOOKUP($B23,$B:BH,COLUMN(BH22)-1,FALSE)&lt;&gt;0,"unknown",0))</f>
        <v>0</v>
      </c>
      <c r="CK23" s="2">
        <f>IF(VLOOKUP($B23,$B:AU,COLUMN(AG22)-1,FALSE)&lt;&gt;0,VLOOKUP($B23,$B:BI,COLUMN(BI22)-1,FALSE)/VLOOKUP($B23,$B:AU,COLUMN(AG22)-1,FALSE),IF(VLOOKUP($B23,$B:BI,COLUMN(BI22)-1,FALSE)&lt;&gt;0,"unknown",0))</f>
        <v>0</v>
      </c>
      <c r="CL23" s="2">
        <f>IF(VLOOKUP($B23,$B:AV,COLUMN(AH22)-1,FALSE)&lt;&gt;0,VLOOKUP($B23,$B:BJ,COLUMN(BJ22)-1,FALSE)/VLOOKUP($B23,$B:AV,COLUMN(AH22)-1,FALSE),IF(VLOOKUP($B23,$B:BJ,COLUMN(BJ22)-1,FALSE)&lt;&gt;0,"unknown",0))</f>
        <v>0</v>
      </c>
      <c r="CM23" s="2">
        <f>IF(VLOOKUP($B23,$B:AW,COLUMN(AI22)-1,FALSE)&lt;&gt;0,VLOOKUP($B23,$B:BK,COLUMN(BK22)-1,FALSE)/VLOOKUP($B23,$B:AW,COLUMN(AI22)-1,FALSE),IF(VLOOKUP($B23,$B:BK,COLUMN(BK22)-1,FALSE)&lt;&gt;0,"unknown",0))</f>
        <v>0</v>
      </c>
      <c r="CN23" s="2">
        <f>IF(VLOOKUP($B23,$B:AX,COLUMN(AJ22)-1,FALSE)&lt;&gt;0,VLOOKUP($B23,$B:BL,COLUMN(BL22)-1,FALSE)/VLOOKUP($B23,$B:AX,COLUMN(AJ22)-1,FALSE),IF(VLOOKUP($B23,$B:BL,COLUMN(BL22)-1,FALSE)&lt;&gt;0,"unknown",0))</f>
        <v>0</v>
      </c>
      <c r="CO23" s="410"/>
      <c r="CP23" s="2">
        <f>SUMIFS('Bilateral Assistance, MAIN DATA'!$M:$M,'Bilateral Assistance, MAIN DATA'!$B:$B,'Share, Heavy Weapons to Ukraine'!$B23,'Bilateral Assistance, MAIN DATA'!$AO:$AO,'Share, Heavy Weapons to Ukraine'!CP$11, 'Bilateral Assistance, MAIN DATA'!$AA:$AA,1)</f>
        <v>0</v>
      </c>
      <c r="CQ23" s="2">
        <f>SUMIFS('Bilateral Assistance, MAIN DATA'!$M:$M,'Bilateral Assistance, MAIN DATA'!$B:$B,'Share, Heavy Weapons to Ukraine'!$B23,'Bilateral Assistance, MAIN DATA'!$AO:$AO,'Share, Heavy Weapons to Ukraine'!CQ$11, 'Bilateral Assistance, MAIN DATA'!$AA:$AA,1)</f>
        <v>0</v>
      </c>
      <c r="CR23" s="2">
        <f>SUMIFS('Bilateral Assistance, MAIN DATA'!$M:$M,'Bilateral Assistance, MAIN DATA'!$B:$B,'Share, Heavy Weapons to Ukraine'!$B23,'Bilateral Assistance, MAIN DATA'!$AO:$AO,'Share, Heavy Weapons to Ukraine'!CR$11, 'Bilateral Assistance, MAIN DATA'!$AA:$AA,1)</f>
        <v>0</v>
      </c>
      <c r="CS23" s="2">
        <f>SUMIFS('Bilateral Assistance, MAIN DATA'!$M:$M,'Bilateral Assistance, MAIN DATA'!$B:$B,'Share, Heavy Weapons to Ukraine'!$B23,'Bilateral Assistance, MAIN DATA'!$AO:$AO,'Share, Heavy Weapons to Ukraine'!CS$11, 'Bilateral Assistance, MAIN DATA'!$AA:$AA,1)</f>
        <v>0</v>
      </c>
      <c r="CT23" s="410"/>
      <c r="CU23" s="2">
        <f>SUMIFS('Bilateral Assistance, MAIN DATA'!$N:$N,'Bilateral Assistance, MAIN DATA'!$B:$B,'Share, Heavy Weapons to Ukraine'!$B23,'Bilateral Assistance, MAIN DATA'!$AO:$AO,'Share, Heavy Weapons to Ukraine'!CU$11, 'Bilateral Assistance, MAIN DATA'!$AA:$AA,1)</f>
        <v>0</v>
      </c>
      <c r="CV23" s="2">
        <f>SUMIFS('Bilateral Assistance, MAIN DATA'!$N:$N,'Bilateral Assistance, MAIN DATA'!$B:$B,'Share, Heavy Weapons to Ukraine'!$B23,'Bilateral Assistance, MAIN DATA'!$AO:$AO,'Share, Heavy Weapons to Ukraine'!CV$11, 'Bilateral Assistance, MAIN DATA'!$AA:$AA,1)</f>
        <v>0</v>
      </c>
      <c r="CW23" s="2">
        <f>SUMIFS('Bilateral Assistance, MAIN DATA'!$N:$N,'Bilateral Assistance, MAIN DATA'!$B:$B,'Share, Heavy Weapons to Ukraine'!$B23,'Bilateral Assistance, MAIN DATA'!$AO:$AO,'Share, Heavy Weapons to Ukraine'!CW$11, 'Bilateral Assistance, MAIN DATA'!$AA:$AA,1)</f>
        <v>0</v>
      </c>
      <c r="CX23" s="2">
        <f>SUMIFS('Bilateral Assistance, MAIN DATA'!$N:$N,'Bilateral Assistance, MAIN DATA'!$B:$B,'Share, Heavy Weapons to Ukraine'!$B23,'Bilateral Assistance, MAIN DATA'!$AO:$AO,'Share, Heavy Weapons to Ukraine'!CX$11, 'Bilateral Assistance, MAIN DATA'!$AA:$AA,1)</f>
        <v>0</v>
      </c>
    </row>
    <row r="24" spans="2:102" ht="15.6">
      <c r="B24" s="409" t="s">
        <v>3548</v>
      </c>
      <c r="C24" s="409">
        <v>0</v>
      </c>
      <c r="D24" s="2">
        <v>1</v>
      </c>
      <c r="E24" s="410"/>
      <c r="F24" s="569" t="s">
        <v>364</v>
      </c>
      <c r="G24" s="569" t="s">
        <v>364</v>
      </c>
      <c r="H24" s="569" t="s">
        <v>364</v>
      </c>
      <c r="I24" s="569" t="s">
        <v>364</v>
      </c>
      <c r="J24" s="569" t="s">
        <v>364</v>
      </c>
      <c r="K24" s="569" t="s">
        <v>364</v>
      </c>
      <c r="L24" s="569" t="s">
        <v>364</v>
      </c>
      <c r="M24" s="569" t="s">
        <v>364</v>
      </c>
      <c r="N24" s="569" t="s">
        <v>364</v>
      </c>
      <c r="O24" s="569" t="s">
        <v>364</v>
      </c>
      <c r="P24" s="569" t="s">
        <v>364</v>
      </c>
      <c r="Q24" s="569" t="s">
        <v>364</v>
      </c>
      <c r="R24" s="569" t="s">
        <v>364</v>
      </c>
      <c r="S24" s="569" t="s">
        <v>364</v>
      </c>
      <c r="T24" s="569" t="s">
        <v>364</v>
      </c>
      <c r="U24" s="410" t="str">
        <f>""</f>
        <v/>
      </c>
      <c r="V24" s="1334">
        <v>8.36</v>
      </c>
      <c r="W24" s="1334">
        <f>VLOOKUP(B24,'Heavy Weapon Stocks'!B:OA,COLUMN('Heavy Weapon Stocks'!$C$11)-1,FALSE)+IF(F24&lt;&gt;".",F24,0)</f>
        <v>120</v>
      </c>
      <c r="X24" s="1334">
        <f>VLOOKUP(B24,'Heavy Weapon Stocks'!B:OA,COLUMN('Heavy Weapon Stocks'!$AQ$11)-1,FALSE)</f>
        <v>704</v>
      </c>
      <c r="Y24" s="1334">
        <f>VLOOKUP(B24,'Heavy Weapon Stocks'!B:OA,COLUMN('Heavy Weapon Stocks'!$DK$11)-1,FALSE)</f>
        <v>360</v>
      </c>
      <c r="Z24" s="1334">
        <f>VLOOKUP(B24,'Heavy Weapon Stocks'!B:OA,COLUMN('Heavy Weapon Stocks'!$DY$11)-1,FALSE)</f>
        <v>0</v>
      </c>
      <c r="AA24" s="1334">
        <f>VLOOKUP(B24,'Heavy Weapon Stocks'!B:OA,COLUMN('Heavy Weapon Stocks'!$FA$11)-1,FALSE)+IF(G24&lt;&gt;".",G24,0)</f>
        <v>411</v>
      </c>
      <c r="AB24" s="1334">
        <f t="shared" si="3"/>
        <v>1475</v>
      </c>
      <c r="AC24" s="1334">
        <f>VLOOKUP(B24,'Heavy Weapon Stocks'!B:OA,COLUMN('Heavy Weapon Stocks'!$GV$11)-1,FALSE)+VLOOKUP(B24,'Heavy Weapon Stocks'!B:OA,COLUMN('Heavy Weapon Stocks'!$HY$11)-1,FALSE)+IF(H24&lt;&gt;".",H24,0)</f>
        <v>35</v>
      </c>
      <c r="AD24" s="1334">
        <f>VLOOKUP(B24,'Heavy Weapon Stocks'!B:OA,COLUMN('Heavy Weapon Stocks'!$IF$11)-1,FALSE)+IF(I24&lt;&gt;".",I24,0)</f>
        <v>0</v>
      </c>
      <c r="AE24" s="1334">
        <f>VLOOKUP(B24,'Heavy Weapon Stocks'!B:OA,COLUMN('Heavy Weapon Stocks'!$IZ$11)-1,FALSE)+VLOOKUP(B24,'Heavy Weapon Stocks'!B:OA,COLUMN('Heavy Weapon Stocks'!$JW$11)-1,FALSE)</f>
        <v>96</v>
      </c>
      <c r="AF24" s="1334">
        <f>VLOOKUP(B24,'Heavy Weapon Stocks'!B:OA,COLUMN('Heavy Weapon Stocks'!$NL$11)-1,FALSE)+IF(L24&lt;&gt;".",L24,0)</f>
        <v>0</v>
      </c>
      <c r="AG24" s="1334">
        <f>VLOOKUP(B24,'Heavy Weapon Stocks'!B:OA,COLUMN('Heavy Weapon Stocks'!$LN$11)-1,FALSE)+IF(M24&lt;&gt;".",M24,0)</f>
        <v>3</v>
      </c>
      <c r="AH24" s="1334">
        <f>VLOOKUP(B24,'Heavy Weapon Stocks'!B:OA,COLUMN('Heavy Weapon Stocks'!$LX$11)-1,FALSE)+IF(N24&lt;&gt;".",N24,0)</f>
        <v>8</v>
      </c>
      <c r="AI24" s="1334">
        <f>VLOOKUP(B24,'Heavy Weapon Stocks'!B:OA,COLUMN('Heavy Weapon Stocks'!$ME$11)-1,FALSE)+IF(O24&lt;&gt;".",O24,0)</f>
        <v>0</v>
      </c>
      <c r="AJ24" s="1334">
        <f>VLOOKUP(B24,'Heavy Weapon Stocks'!B:OA,COLUMN('Heavy Weapon Stocks'!$NK$11)-1,FALSE)+IF(P24&lt;&gt;".",P24,0)</f>
        <v>0</v>
      </c>
      <c r="AK24" s="410"/>
      <c r="AL24" s="25">
        <f>SUMIFS('Bilateral Assistance, MAIN DATA'!$M:$M,'Bilateral Assistance, MAIN DATA'!$B:$B,'Share, Heavy Weapons to Ukraine'!$B24,'Bilateral Assistance, MAIN DATA'!$AO:$AO,'Share, Heavy Weapons to Ukraine'!AL$11)</f>
        <v>10</v>
      </c>
      <c r="AM24" s="25">
        <f>SUMIFS('Bilateral Assistance, MAIN DATA'!$M:$M,'Bilateral Assistance, MAIN DATA'!$B:$B,'Share, Heavy Weapons to Ukraine'!$B24,'Bilateral Assistance, MAIN DATA'!$AO:$AO,'Share, Heavy Weapons to Ukraine'!AM$11)</f>
        <v>0</v>
      </c>
      <c r="AN24" s="25">
        <f>SUMIFS('Bilateral Assistance, MAIN DATA'!$M:$M,'Bilateral Assistance, MAIN DATA'!$B:$B,'Share, Heavy Weapons to Ukraine'!$B24,'Bilateral Assistance, MAIN DATA'!$AO:$AO,'Share, Heavy Weapons to Ukraine'!AN$11)</f>
        <v>0</v>
      </c>
      <c r="AO24" s="25">
        <f>SUMIFS('Bilateral Assistance, MAIN DATA'!$M:$M,'Bilateral Assistance, MAIN DATA'!$B:$B,'Share, Heavy Weapons to Ukraine'!$B24,'Bilateral Assistance, MAIN DATA'!$AO:$AO,'Share, Heavy Weapons to Ukraine'!AO$11)</f>
        <v>0</v>
      </c>
      <c r="AP24" s="25">
        <f>SUMIFS('Bilateral Assistance, MAIN DATA'!$M:$M,'Bilateral Assistance, MAIN DATA'!$B:$B,'Share, Heavy Weapons to Ukraine'!$B24,'Bilateral Assistance, MAIN DATA'!$AO:$AO,'Share, Heavy Weapons to Ukraine'!AP$11)</f>
        <v>50</v>
      </c>
      <c r="AQ24" s="25">
        <f t="shared" si="1"/>
        <v>50</v>
      </c>
      <c r="AR24" s="25">
        <f>SUMIFS('Bilateral Assistance, MAIN DATA'!$M:$M,'Bilateral Assistance, MAIN DATA'!$B:$B,'Share, Heavy Weapons to Ukraine'!$B24,'Bilateral Assistance, MAIN DATA'!$AO:$AO,"155mm howitzer")+SUMIFS('Bilateral Assistance, MAIN DATA'!$M:$M,'Bilateral Assistance, MAIN DATA'!$B:$B,'Share, Heavy Weapons to Ukraine'!$B24,'Bilateral Assistance, MAIN DATA'!$AO:$AO,"152mm howitzer")</f>
        <v>8</v>
      </c>
      <c r="AS24" s="25">
        <f>SUMIFS('Bilateral Assistance, MAIN DATA'!$M:$M,'Bilateral Assistance, MAIN DATA'!$B:$B,'Share, Heavy Weapons to Ukraine'!$B24,'Bilateral Assistance, MAIN DATA'!$AO:$AO,"122mm MLRS")+SUMIFS('Bilateral Assistance, MAIN DATA'!$M:$M,'Bilateral Assistance, MAIN DATA'!$B:$B,'Share, Heavy Weapons to Ukraine'!$B24,'Bilateral Assistance, MAIN DATA'!$AO:$AO,"127mm MLRS")+SUMIFS('Bilateral Assistance, MAIN DATA'!$M:$M,'Bilateral Assistance, MAIN DATA'!$B:$B,'Share, Heavy Weapons to Ukraine'!$B24,'Bilateral Assistance, MAIN DATA'!$AO:$AO,"227mm MLRS")</f>
        <v>0</v>
      </c>
      <c r="AT24" s="25">
        <f>SUMIFS('Bilateral Assistance, MAIN DATA'!$M:$M,'Bilateral Assistance, MAIN DATA'!$B:$B,'Share, Heavy Weapons to Ukraine'!$B24,'Bilateral Assistance, MAIN DATA'!$AO:$AO,'Share, Heavy Weapons to Ukraine'!AT$11)</f>
        <v>0</v>
      </c>
      <c r="AU24" s="25">
        <f>SUMIFS('Bilateral Assistance, MAIN DATA'!$M:$M,'Bilateral Assistance, MAIN DATA'!$B:$B,'Share, Heavy Weapons to Ukraine'!$B24,'Bilateral Assistance, MAIN DATA'!$AO:$AO,'Share, Heavy Weapons to Ukraine'!AU$11)</f>
        <v>0</v>
      </c>
      <c r="AV24" s="25">
        <f>SUMIFS('Bilateral Assistance, MAIN DATA'!$M:$M,'Bilateral Assistance, MAIN DATA'!$B:$B,'Share, Heavy Weapons to Ukraine'!$B24,'Bilateral Assistance, MAIN DATA'!$AO:$AO,'Share, Heavy Weapons to Ukraine'!AV$11)</f>
        <v>0</v>
      </c>
      <c r="AW24" s="25">
        <f>SUMIFS('Bilateral Assistance, MAIN DATA'!$M:$M,'Bilateral Assistance, MAIN DATA'!$B:$B,'Share, Heavy Weapons to Ukraine'!$B24,'Bilateral Assistance, MAIN DATA'!$AO:$AO,'Share, Heavy Weapons to Ukraine'!AW$11)</f>
        <v>0</v>
      </c>
      <c r="AX24" s="25">
        <f>SUMIFS('Bilateral Assistance, MAIN DATA'!$M:$M,'Bilateral Assistance, MAIN DATA'!$B:$B,'Share, Heavy Weapons to Ukraine'!$B24,'Bilateral Assistance, MAIN DATA'!$AO:$AO,'Share, Heavy Weapons to Ukraine'!AX$11)</f>
        <v>0</v>
      </c>
      <c r="AY24" s="410"/>
      <c r="AZ24" s="25">
        <f>SUMIFS('Bilateral Assistance, MAIN DATA'!$N:$N,'Bilateral Assistance, MAIN DATA'!$B:$B,'Share, Heavy Weapons to Ukraine'!$B24,'Bilateral Assistance, MAIN DATA'!$AO:$AO,'Share, Heavy Weapons to Ukraine'!AZ$11)</f>
        <v>0</v>
      </c>
      <c r="BA24" s="25">
        <f>SUMIFS('Bilateral Assistance, MAIN DATA'!$N:$N,'Bilateral Assistance, MAIN DATA'!$B:$B,'Share, Heavy Weapons to Ukraine'!$B24,'Bilateral Assistance, MAIN DATA'!$AO:$AO,'Share, Heavy Weapons to Ukraine'!BA$11)</f>
        <v>0</v>
      </c>
      <c r="BB24" s="25">
        <f>SUMIFS('Bilateral Assistance, MAIN DATA'!$N:$N,'Bilateral Assistance, MAIN DATA'!$B:$B,'Share, Heavy Weapons to Ukraine'!$B24,'Bilateral Assistance, MAIN DATA'!$AO:$AO,'Share, Heavy Weapons to Ukraine'!BB$11)</f>
        <v>0</v>
      </c>
      <c r="BC24" s="25">
        <f>SUMIFS('Bilateral Assistance, MAIN DATA'!$N:$N,'Bilateral Assistance, MAIN DATA'!$B:$B,'Share, Heavy Weapons to Ukraine'!$B24,'Bilateral Assistance, MAIN DATA'!$AO:$AO,'Share, Heavy Weapons to Ukraine'!BC$11)</f>
        <v>0</v>
      </c>
      <c r="BD24" s="25">
        <f>SUMIFS('Bilateral Assistance, MAIN DATA'!$N:$N,'Bilateral Assistance, MAIN DATA'!$B:$B,'Share, Heavy Weapons to Ukraine'!$B24,'Bilateral Assistance, MAIN DATA'!$AO:$AO,'Share, Heavy Weapons to Ukraine'!BD$11)</f>
        <v>0</v>
      </c>
      <c r="BE24" s="25">
        <f t="shared" si="2"/>
        <v>0</v>
      </c>
      <c r="BF24" s="25">
        <f>SUMIFS('Bilateral Assistance, MAIN DATA'!$N:$N,'Bilateral Assistance, MAIN DATA'!$B:$B,'Share, Heavy Weapons to Ukraine'!$B24,'Bilateral Assistance, MAIN DATA'!$AO:$AO,"155mm howitzer")+SUMIFS('Bilateral Assistance, MAIN DATA'!$N:$N,'Bilateral Assistance, MAIN DATA'!$B:$B,'Share, Heavy Weapons to Ukraine'!$B24,'Bilateral Assistance, MAIN DATA'!$AO:$AO,"152mm howitzer")</f>
        <v>0</v>
      </c>
      <c r="BG24" s="25">
        <f>SUMIFS('Bilateral Assistance, MAIN DATA'!$N:$N,'Bilateral Assistance, MAIN DATA'!$B:$B,'Share, Heavy Weapons to Ukraine'!$B24,'Bilateral Assistance, MAIN DATA'!$AO:$AO,"122mm MLRS")+SUMIFS('Bilateral Assistance, MAIN DATA'!$N:$N,'Bilateral Assistance, MAIN DATA'!$B:$B,'Share, Heavy Weapons to Ukraine'!$B24,'Bilateral Assistance, MAIN DATA'!$AO:$AO,"127mm MLRS")+SUMIFS('Bilateral Assistance, MAIN DATA'!$N:$N,'Bilateral Assistance, MAIN DATA'!$B:$B,'Share, Heavy Weapons to Ukraine'!$B24,'Bilateral Assistance, MAIN DATA'!$AO:$AO,"227mm MLRS")</f>
        <v>0</v>
      </c>
      <c r="BH24" s="25">
        <f>SUMIFS('Bilateral Assistance, MAIN DATA'!$N:$N,'Bilateral Assistance, MAIN DATA'!$B:$B,'Share, Heavy Weapons to Ukraine'!$B24,'Bilateral Assistance, MAIN DATA'!$AO:$AO,'Share, Heavy Weapons to Ukraine'!BH$11)</f>
        <v>0</v>
      </c>
      <c r="BI24" s="25">
        <f>SUMIFS('Bilateral Assistance, MAIN DATA'!$N:$N,'Bilateral Assistance, MAIN DATA'!$B:$B,'Share, Heavy Weapons to Ukraine'!$B24,'Bilateral Assistance, MAIN DATA'!$AO:$AO,'Share, Heavy Weapons to Ukraine'!BI$11)</f>
        <v>0</v>
      </c>
      <c r="BJ24" s="25">
        <f>SUMIFS('Bilateral Assistance, MAIN DATA'!$N:$N,'Bilateral Assistance, MAIN DATA'!$B:$B,'Share, Heavy Weapons to Ukraine'!$B24,'Bilateral Assistance, MAIN DATA'!$AO:$AO,'Share, Heavy Weapons to Ukraine'!BJ$11)</f>
        <v>0</v>
      </c>
      <c r="BK24" s="25">
        <f>SUMIFS('Bilateral Assistance, MAIN DATA'!$N:$N,'Bilateral Assistance, MAIN DATA'!$B:$B,'Share, Heavy Weapons to Ukraine'!$B24,'Bilateral Assistance, MAIN DATA'!$AO:$AO,'Share, Heavy Weapons to Ukraine'!BK$11)</f>
        <v>0</v>
      </c>
      <c r="BL24" s="25">
        <f>SUMIFS('Bilateral Assistance, MAIN DATA'!$N:$N,'Bilateral Assistance, MAIN DATA'!$B:$B,'Share, Heavy Weapons to Ukraine'!$B24,'Bilateral Assistance, MAIN DATA'!$AO:$AO,'Share, Heavy Weapons to Ukraine'!BL$11)</f>
        <v>0</v>
      </c>
      <c r="BM24" s="410"/>
      <c r="BN24" s="261">
        <f>IF(VLOOKUP($B24,$B:W,COLUMN(W23)-1,FALSE)&lt;&gt;0,VLOOKUP($B24,$B:AL,COLUMN(AL23)-1,FALSE)/VLOOKUP($B24,$B:W,COLUMN(W23)-1,FALSE),IF(VLOOKUP($B24,$B:AL,COLUMN(AL23)-1,FALSE)&lt;&gt;0,"unknown",0))</f>
        <v>8.3333333333333329E-2</v>
      </c>
      <c r="BO24" s="261">
        <f>IF(VLOOKUP($B24,$B:X,COLUMN(X23)-1,FALSE)&lt;&gt;0,VLOOKUP($B24,$B:AM,COLUMN(AM23)-1,FALSE)/VLOOKUP($B24,$B:X,COLUMN(X23)-1,FALSE),IF(VLOOKUP($B24,$B:AM,COLUMN(AM23)-1,FALSE)&lt;&gt;0,"unknown",0))</f>
        <v>0</v>
      </c>
      <c r="BP24" s="261">
        <f>IF(VLOOKUP($B24,$B:Y,COLUMN(Y23)-1,FALSE)&lt;&gt;0,VLOOKUP($B24,$B:AN,COLUMN(AN23)-1,FALSE)/VLOOKUP($B24,$B:Y,COLUMN(Y23)-1,FALSE),IF(VLOOKUP($B24,$B:AN,COLUMN(AN23)-1,FALSE)&lt;&gt;0,"unknown",0))</f>
        <v>0</v>
      </c>
      <c r="BQ24" s="261">
        <f>IF(VLOOKUP($B24,$B:Z,COLUMN(Z23)-1,FALSE)&lt;&gt;0,VLOOKUP($B24,$B:AO,COLUMN(AO23)-1,FALSE)/VLOOKUP($B24,$B:Z,COLUMN(Z23)-1,FALSE),IF(VLOOKUP($B24,$B:AO,COLUMN(AO23)-1,FALSE)&lt;&gt;0,"unknown",0))</f>
        <v>0</v>
      </c>
      <c r="BR24" s="261">
        <f>IF(VLOOKUP($B24,$B:AA,COLUMN(AA23)-1,FALSE)&lt;&gt;0,VLOOKUP($B24,$B:AP,COLUMN(AP23)-1,FALSE)/VLOOKUP($B24,$B:AA,COLUMN(AA23)-1,FALSE),IF(VLOOKUP($B24,$B:AP,COLUMN(AP23)-1,FALSE)&lt;&gt;0,"unknown",0))</f>
        <v>0.12165450121654502</v>
      </c>
      <c r="BS24" s="261">
        <f>IF(VLOOKUP($B24,$B:AB,COLUMN(AB23)-1,FALSE)&lt;&gt;0,VLOOKUP($B24,$B:AQ,COLUMN(AQ23)-1,FALSE)/VLOOKUP($B24,$B:AB,COLUMN(AB23)-1,FALSE),IF(VLOOKUP($B24,$B:AQ,COLUMN(AQ23)-1,FALSE)&lt;&gt;0,"unknown",0))</f>
        <v>3.3898305084745763E-2</v>
      </c>
      <c r="BT24" s="261">
        <f>IF(VLOOKUP($B24,$B:AC,COLUMN(AC23)-1,FALSE)&lt;&gt;0,VLOOKUP($B24,$B:AR,COLUMN(AR23)-1,FALSE)/VLOOKUP($B24,$B:AC,COLUMN(AC23)-1,FALSE),IF(VLOOKUP($B24,$B:AR,COLUMN(AR23)-1,FALSE)&lt;&gt;0,"unknown",0))</f>
        <v>0.22857142857142856</v>
      </c>
      <c r="BU24" s="261">
        <f>IF(VLOOKUP($B24,$B:AD,COLUMN(AD23)-1,FALSE)&lt;&gt;0,VLOOKUP($B24,$B:AS,COLUMN(AS23)-1,FALSE)/VLOOKUP($B24,$B:AD,COLUMN(AD23)-1,FALSE),IF(VLOOKUP($B24,$B:AS,COLUMN(AS23)-1,FALSE)&lt;&gt;0,"unknown",0))</f>
        <v>0</v>
      </c>
      <c r="BV24" s="261">
        <f>IF(VLOOKUP($B24,$B:AE,COLUMN(AE23)-1,FALSE)&lt;&gt;0,VLOOKUP($B24,$B:AT,COLUMN(AT23)-1,FALSE)/VLOOKUP($B24,$B:AE,COLUMN(AE23)-1,FALSE),IF(VLOOKUP($B24,$B:AT,COLUMN(AT23)-1,FALSE)&lt;&gt;0,"unknown",0))</f>
        <v>0</v>
      </c>
      <c r="BW24" s="261">
        <f>IF(VLOOKUP($B24,$B:AG,COLUMN(AG23)-1,FALSE)&lt;&gt;0,VLOOKUP($B24,$B:AU,COLUMN(AU23)-1,FALSE)/VLOOKUP($B24,$B:AG,COLUMN(AG23)-1,FALSE),IF(VLOOKUP($B24,$B:AU,COLUMN(AU23)-1,FALSE)&lt;&gt;0,"unknown",0))</f>
        <v>0</v>
      </c>
      <c r="BX24" s="261">
        <f>IF(VLOOKUP($B24,$B:AH,COLUMN(AH23)-1,FALSE)&lt;&gt;0,VLOOKUP($B24,$B:AV,COLUMN(AV23)-1,FALSE)/VLOOKUP($B24,$B:AH,COLUMN(AH23)-1,FALSE),IF(VLOOKUP($B24,$B:AV,COLUMN(AV23)-1,FALSE)&lt;&gt;0,"unknown",0))</f>
        <v>0</v>
      </c>
      <c r="BY24" s="261">
        <f>IF(VLOOKUP($B24,$B:AI,COLUMN(AI23)-1,FALSE)&lt;&gt;0,VLOOKUP($B24,$B:AW,COLUMN(AW23)-1,FALSE)/VLOOKUP($B24,$B:AI,COLUMN(AI23)-1,FALSE),IF(VLOOKUP($B24,$B:AW,COLUMN(AW23)-1,FALSE)&lt;&gt;0,"unknown",0))</f>
        <v>0</v>
      </c>
      <c r="BZ24" s="261">
        <f>IF(VLOOKUP($B24,$B:AJ,COLUMN(AJ23)-1,FALSE)&lt;&gt;0,VLOOKUP($B24,$B:AX,COLUMN(AX23)-1,FALSE)/VLOOKUP($B24,$B:AJ,COLUMN(AJ23)-1,FALSE),IF(VLOOKUP($B24,$B:AX,COLUMN(AX23)-1,FALSE)&lt;&gt;0,"unknown",0))</f>
        <v>0</v>
      </c>
      <c r="CA24" s="410"/>
      <c r="CB24" s="2">
        <f>IF(VLOOKUP($B24,$B:AM,COLUMN(W23)-1,FALSE)&lt;&gt;0,VLOOKUP($B24,$B:BA,COLUMN(AZ23)-1,FALSE)/VLOOKUP($B24,$B:AM,COLUMN(W23)-1,FALSE),IF(VLOOKUP($B24,$B:BA,COLUMN(AZ23)-1,FALSE)&lt;&gt;0,"unknown",0))</f>
        <v>0</v>
      </c>
      <c r="CC24" s="2">
        <f>IF(VLOOKUP($B24,$B:AN,COLUMN(X23)-1,FALSE)&lt;&gt;0,VLOOKUP($B24,$B:BB,COLUMN(BA23)-1,FALSE)/VLOOKUP($B24,$B:AN,COLUMN(X23)-1,FALSE),IF(VLOOKUP($B24,$B:BB,COLUMN(BA23)-1,FALSE)&lt;&gt;0,"unknown",0))</f>
        <v>0</v>
      </c>
      <c r="CD24" s="2">
        <f>IF(VLOOKUP($B24,$B:AO,COLUMN(Y23)-1,FALSE)&lt;&gt;0,VLOOKUP($B24,$B:BC,COLUMN(BB23)-1,FALSE)/VLOOKUP($B24,$B:AO,COLUMN(Y23)-1,FALSE),IF(VLOOKUP($B24,$B:BC,COLUMN(BB23)-1,FALSE)&lt;&gt;0,"unknown",0))</f>
        <v>0</v>
      </c>
      <c r="CE24" s="2">
        <f>IF(VLOOKUP($B24,$B:AP,COLUMN(Z23)-1,FALSE)&lt;&gt;0,VLOOKUP($B24,$B:BD,COLUMN(BC23)-1,FALSE)/VLOOKUP($B24,$B:AP,COLUMN(Z23)-1,FALSE),IF(VLOOKUP($B24,$B:BD,COLUMN(BC23)-1,FALSE)&lt;&gt;0,"unknown",0))</f>
        <v>0</v>
      </c>
      <c r="CF24" s="2">
        <f>IF(VLOOKUP($B24,$B:AR,COLUMN(AA23)-1,FALSE)&lt;&gt;0,VLOOKUP($B24,$B:BF,COLUMN(BD23)-1,FALSE)/VLOOKUP($B24,$B:AR,COLUMN(AA23)-1,FALSE),IF(VLOOKUP($B24,$B:BF,COLUMN(BD23)-1,FALSE)&lt;&gt;0,"unknown",0))</f>
        <v>0</v>
      </c>
      <c r="CG24" s="2">
        <f>IF(VLOOKUP($B24,$B:AS,COLUMN(AB23)-1,FALSE)&lt;&gt;0,VLOOKUP($B24,$B:BG,COLUMN(BE23)-1,FALSE)/VLOOKUP($B24,$B:AS,COLUMN(AB23)-1,FALSE),IF(VLOOKUP($B24,$B:BG,COLUMN(BE23)-1,FALSE)&lt;&gt;0,"unknown",0))</f>
        <v>0</v>
      </c>
      <c r="CH24" s="2">
        <f>IF(VLOOKUP($B24,$B:AS,COLUMN(AC23)-1,FALSE)&lt;&gt;0,VLOOKUP($B24,$B:BG,COLUMN(BF23)-1,FALSE)/VLOOKUP($B24,$B:AS,COLUMN(AC23)-1,FALSE),IF(VLOOKUP($B24,$B:BG,COLUMN(BF23)-1,FALSE)&lt;&gt;0,"unknown",0))</f>
        <v>0</v>
      </c>
      <c r="CI24" s="2">
        <f>IF(VLOOKUP($B24,$B:AT,COLUMN(AD23)-1,FALSE)&lt;&gt;0,VLOOKUP($B24,$B:BH,COLUMN(BG23)-1,FALSE)/VLOOKUP($B24,$B:AT,COLUMN(AD23)-1,FALSE),IF(VLOOKUP($B24,$B:BH,COLUMN(BG23)-1,FALSE)&lt;&gt;0,"unknown",0))</f>
        <v>0</v>
      </c>
      <c r="CJ24" s="2">
        <f>IF(VLOOKUP($B24,$B:AT,COLUMN(AE23)-1,FALSE)&lt;&gt;0,VLOOKUP($B24,$B:BH,COLUMN(BH23)-1,FALSE)/VLOOKUP($B24,$B:AT,COLUMN(AE23)-1,FALSE),IF(VLOOKUP($B24,$B:BH,COLUMN(BH23)-1,FALSE)&lt;&gt;0,"unknown",0))</f>
        <v>0</v>
      </c>
      <c r="CK24" s="2">
        <f>IF(VLOOKUP($B24,$B:AU,COLUMN(AG23)-1,FALSE)&lt;&gt;0,VLOOKUP($B24,$B:BI,COLUMN(BI23)-1,FALSE)/VLOOKUP($B24,$B:AU,COLUMN(AG23)-1,FALSE),IF(VLOOKUP($B24,$B:BI,COLUMN(BI23)-1,FALSE)&lt;&gt;0,"unknown",0))</f>
        <v>0</v>
      </c>
      <c r="CL24" s="2">
        <f>IF(VLOOKUP($B24,$B:AV,COLUMN(AH23)-1,FALSE)&lt;&gt;0,VLOOKUP($B24,$B:BJ,COLUMN(BJ23)-1,FALSE)/VLOOKUP($B24,$B:AV,COLUMN(AH23)-1,FALSE),IF(VLOOKUP($B24,$B:BJ,COLUMN(BJ23)-1,FALSE)&lt;&gt;0,"unknown",0))</f>
        <v>0</v>
      </c>
      <c r="CM24" s="2">
        <f>IF(VLOOKUP($B24,$B:AW,COLUMN(AI23)-1,FALSE)&lt;&gt;0,VLOOKUP($B24,$B:BK,COLUMN(BK23)-1,FALSE)/VLOOKUP($B24,$B:AW,COLUMN(AI23)-1,FALSE),IF(VLOOKUP($B24,$B:BK,COLUMN(BK23)-1,FALSE)&lt;&gt;0,"unknown",0))</f>
        <v>0</v>
      </c>
      <c r="CN24" s="2">
        <f>IF(VLOOKUP($B24,$B:AX,COLUMN(AJ23)-1,FALSE)&lt;&gt;0,VLOOKUP($B24,$B:BL,COLUMN(BL23)-1,FALSE)/VLOOKUP($B24,$B:AX,COLUMN(AJ23)-1,FALSE),IF(VLOOKUP($B24,$B:BL,COLUMN(BL23)-1,FALSE)&lt;&gt;0,"unknown",0))</f>
        <v>0</v>
      </c>
      <c r="CO24" s="410"/>
      <c r="CP24" s="2">
        <f>SUMIFS('Bilateral Assistance, MAIN DATA'!$M:$M,'Bilateral Assistance, MAIN DATA'!$B:$B,'Share, Heavy Weapons to Ukraine'!$B24,'Bilateral Assistance, MAIN DATA'!$AO:$AO,'Share, Heavy Weapons to Ukraine'!CP$11, 'Bilateral Assistance, MAIN DATA'!$AA:$AA,1)</f>
        <v>0</v>
      </c>
      <c r="CQ24" s="2">
        <f>SUMIFS('Bilateral Assistance, MAIN DATA'!$M:$M,'Bilateral Assistance, MAIN DATA'!$B:$B,'Share, Heavy Weapons to Ukraine'!$B24,'Bilateral Assistance, MAIN DATA'!$AO:$AO,'Share, Heavy Weapons to Ukraine'!CQ$11, 'Bilateral Assistance, MAIN DATA'!$AA:$AA,1)</f>
        <v>0</v>
      </c>
      <c r="CR24" s="2">
        <f>SUMIFS('Bilateral Assistance, MAIN DATA'!$M:$M,'Bilateral Assistance, MAIN DATA'!$B:$B,'Share, Heavy Weapons to Ukraine'!$B24,'Bilateral Assistance, MAIN DATA'!$AO:$AO,'Share, Heavy Weapons to Ukraine'!CR$11, 'Bilateral Assistance, MAIN DATA'!$AA:$AA,1)</f>
        <v>0</v>
      </c>
      <c r="CS24" s="2">
        <f>SUMIFS('Bilateral Assistance, MAIN DATA'!$M:$M,'Bilateral Assistance, MAIN DATA'!$B:$B,'Share, Heavy Weapons to Ukraine'!$B24,'Bilateral Assistance, MAIN DATA'!$AO:$AO,'Share, Heavy Weapons to Ukraine'!CS$11, 'Bilateral Assistance, MAIN DATA'!$AA:$AA,1)</f>
        <v>0</v>
      </c>
      <c r="CT24" s="410"/>
      <c r="CU24" s="2">
        <f>SUMIFS('Bilateral Assistance, MAIN DATA'!$N:$N,'Bilateral Assistance, MAIN DATA'!$B:$B,'Share, Heavy Weapons to Ukraine'!$B24,'Bilateral Assistance, MAIN DATA'!$AO:$AO,'Share, Heavy Weapons to Ukraine'!CU$11, 'Bilateral Assistance, MAIN DATA'!$AA:$AA,1)</f>
        <v>0</v>
      </c>
      <c r="CV24" s="2">
        <f>SUMIFS('Bilateral Assistance, MAIN DATA'!$N:$N,'Bilateral Assistance, MAIN DATA'!$B:$B,'Share, Heavy Weapons to Ukraine'!$B24,'Bilateral Assistance, MAIN DATA'!$AO:$AO,'Share, Heavy Weapons to Ukraine'!CV$11, 'Bilateral Assistance, MAIN DATA'!$AA:$AA,1)</f>
        <v>0</v>
      </c>
      <c r="CW24" s="2">
        <f>SUMIFS('Bilateral Assistance, MAIN DATA'!$N:$N,'Bilateral Assistance, MAIN DATA'!$B:$B,'Share, Heavy Weapons to Ukraine'!$B24,'Bilateral Assistance, MAIN DATA'!$AO:$AO,'Share, Heavy Weapons to Ukraine'!CW$11, 'Bilateral Assistance, MAIN DATA'!$AA:$AA,1)</f>
        <v>0</v>
      </c>
      <c r="CX24" s="2">
        <f>SUMIFS('Bilateral Assistance, MAIN DATA'!$N:$N,'Bilateral Assistance, MAIN DATA'!$B:$B,'Share, Heavy Weapons to Ukraine'!$B24,'Bilateral Assistance, MAIN DATA'!$AO:$AO,'Share, Heavy Weapons to Ukraine'!CX$11, 'Bilateral Assistance, MAIN DATA'!$AA:$AA,1)</f>
        <v>0</v>
      </c>
    </row>
    <row r="25" spans="2:102" ht="15.6">
      <c r="B25" s="409" t="s">
        <v>1973</v>
      </c>
      <c r="C25" s="409">
        <v>0</v>
      </c>
      <c r="D25" s="2">
        <v>1</v>
      </c>
      <c r="E25" s="410"/>
      <c r="F25" s="569" t="s">
        <v>364</v>
      </c>
      <c r="G25" s="569" t="s">
        <v>364</v>
      </c>
      <c r="H25" s="569" t="s">
        <v>364</v>
      </c>
      <c r="I25" s="569" t="s">
        <v>364</v>
      </c>
      <c r="J25" s="569" t="s">
        <v>364</v>
      </c>
      <c r="K25" s="569" t="s">
        <v>364</v>
      </c>
      <c r="L25" s="569" t="s">
        <v>364</v>
      </c>
      <c r="M25" s="569" t="s">
        <v>364</v>
      </c>
      <c r="N25" s="569" t="s">
        <v>364</v>
      </c>
      <c r="O25" s="569" t="s">
        <v>364</v>
      </c>
      <c r="P25" s="569" t="s">
        <v>364</v>
      </c>
      <c r="Q25" s="569" t="s">
        <v>364</v>
      </c>
      <c r="R25" s="569" t="s">
        <v>364</v>
      </c>
      <c r="S25" s="569" t="s">
        <v>364</v>
      </c>
      <c r="T25" s="569" t="s">
        <v>364</v>
      </c>
      <c r="U25" s="410" t="str">
        <f>""</f>
        <v/>
      </c>
      <c r="V25" s="1334">
        <v>7.73</v>
      </c>
      <c r="W25" s="1334">
        <f>VLOOKUP(B25,'Heavy Weapon Stocks'!B:OA,COLUMN('Heavy Weapon Stocks'!$C$11)-1,FALSE)+IF(F25&lt;&gt;".",F25,0)</f>
        <v>1228</v>
      </c>
      <c r="X25" s="1334">
        <f>VLOOKUP(B25,'Heavy Weapon Stocks'!B:OA,COLUMN('Heavy Weapon Stocks'!$AQ$11)-1,FALSE)</f>
        <v>2130</v>
      </c>
      <c r="Y25" s="1334">
        <f>VLOOKUP(B25,'Heavy Weapon Stocks'!B:OA,COLUMN('Heavy Weapon Stocks'!$DK$11)-1,FALSE)</f>
        <v>0</v>
      </c>
      <c r="Z25" s="1334">
        <f>VLOOKUP(B25,'Heavy Weapon Stocks'!B:OA,COLUMN('Heavy Weapon Stocks'!$DY$11)-1,FALSE)</f>
        <v>0</v>
      </c>
      <c r="AA25" s="1334">
        <f>VLOOKUP(B25,'Heavy Weapon Stocks'!B:OA,COLUMN('Heavy Weapon Stocks'!$FA$11)-1,FALSE)+IF(G25&lt;&gt;".",G25,0)</f>
        <v>169</v>
      </c>
      <c r="AB25" s="1334">
        <f t="shared" si="3"/>
        <v>2299</v>
      </c>
      <c r="AC25" s="1334">
        <f>VLOOKUP(B25,'Heavy Weapon Stocks'!B:OA,COLUMN('Heavy Weapon Stocks'!$GV$11)-1,FALSE)+VLOOKUP(B25,'Heavy Weapon Stocks'!B:OA,COLUMN('Heavy Weapon Stocks'!$HY$11)-1,FALSE)+IF(H25&lt;&gt;".",H25,0)</f>
        <v>672</v>
      </c>
      <c r="AD25" s="1334">
        <f>VLOOKUP(B25,'Heavy Weapon Stocks'!B:OA,COLUMN('Heavy Weapon Stocks'!$IF$11)-1,FALSE)+IF(I25&lt;&gt;".",I25,0)</f>
        <v>145</v>
      </c>
      <c r="AE25" s="1334">
        <f>VLOOKUP(B25,'Heavy Weapon Stocks'!B:OA,COLUMN('Heavy Weapon Stocks'!$IZ$11)-1,FALSE)+VLOOKUP(B25,'Heavy Weapon Stocks'!B:OA,COLUMN('Heavy Weapon Stocks'!$JW$11)-1,FALSE)</f>
        <v>0</v>
      </c>
      <c r="AF25" s="1334">
        <f>VLOOKUP(B25,'Heavy Weapon Stocks'!B:OA,COLUMN('Heavy Weapon Stocks'!$NL$11)-1,FALSE)+IF(L25&lt;&gt;".",L25,0)</f>
        <v>38</v>
      </c>
      <c r="AG25" s="1334">
        <f>VLOOKUP(B25,'Heavy Weapon Stocks'!B:OA,COLUMN('Heavy Weapon Stocks'!$LN$11)-1,FALSE)+IF(M25&lt;&gt;".",M25,0)</f>
        <v>48</v>
      </c>
      <c r="AH25" s="1334">
        <f>VLOOKUP(B25,'Heavy Weapon Stocks'!B:OA,COLUMN('Heavy Weapon Stocks'!$LX$11)-1,FALSE)+IF(N25&lt;&gt;".",N25,0)</f>
        <v>42</v>
      </c>
      <c r="AI25" s="1334">
        <f>VLOOKUP(B25,'Heavy Weapon Stocks'!B:OA,COLUMN('Heavy Weapon Stocks'!$ME$11)-1,FALSE)+IF(O25&lt;&gt;".",O25,0)</f>
        <v>54</v>
      </c>
      <c r="AJ25" s="1334">
        <f>VLOOKUP(B25,'Heavy Weapon Stocks'!B:OA,COLUMN('Heavy Weapon Stocks'!$NK$11)-1,FALSE)+IF(P25&lt;&gt;".",P25,0)</f>
        <v>112</v>
      </c>
      <c r="AK25" s="410"/>
      <c r="AL25" s="25">
        <f>SUMIFS('Bilateral Assistance, MAIN DATA'!$M:$M,'Bilateral Assistance, MAIN DATA'!$B:$B,'Share, Heavy Weapons to Ukraine'!$B25,'Bilateral Assistance, MAIN DATA'!$AO:$AO,'Share, Heavy Weapons to Ukraine'!AL$11)</f>
        <v>0</v>
      </c>
      <c r="AM25" s="25">
        <f>SUMIFS('Bilateral Assistance, MAIN DATA'!$M:$M,'Bilateral Assistance, MAIN DATA'!$B:$B,'Share, Heavy Weapons to Ukraine'!$B25,'Bilateral Assistance, MAIN DATA'!$AO:$AO,'Share, Heavy Weapons to Ukraine'!AM$11)</f>
        <v>0</v>
      </c>
      <c r="AN25" s="25">
        <f>SUMIFS('Bilateral Assistance, MAIN DATA'!$M:$M,'Bilateral Assistance, MAIN DATA'!$B:$B,'Share, Heavy Weapons to Ukraine'!$B25,'Bilateral Assistance, MAIN DATA'!$AO:$AO,'Share, Heavy Weapons to Ukraine'!AN$11)</f>
        <v>0</v>
      </c>
      <c r="AO25" s="25">
        <f>SUMIFS('Bilateral Assistance, MAIN DATA'!$M:$M,'Bilateral Assistance, MAIN DATA'!$B:$B,'Share, Heavy Weapons to Ukraine'!$B25,'Bilateral Assistance, MAIN DATA'!$AO:$AO,'Share, Heavy Weapons to Ukraine'!AO$11)</f>
        <v>0</v>
      </c>
      <c r="AP25" s="25">
        <f>SUMIFS('Bilateral Assistance, MAIN DATA'!$M:$M,'Bilateral Assistance, MAIN DATA'!$B:$B,'Share, Heavy Weapons to Ukraine'!$B25,'Bilateral Assistance, MAIN DATA'!$AO:$AO,'Share, Heavy Weapons to Ukraine'!AP$11)</f>
        <v>60</v>
      </c>
      <c r="AQ25" s="25">
        <f t="shared" si="1"/>
        <v>60</v>
      </c>
      <c r="AR25" s="25">
        <f>SUMIFS('Bilateral Assistance, MAIN DATA'!$M:$M,'Bilateral Assistance, MAIN DATA'!$B:$B,'Share, Heavy Weapons to Ukraine'!$B25,'Bilateral Assistance, MAIN DATA'!$AO:$AO,"155mm howitzer")+SUMIFS('Bilateral Assistance, MAIN DATA'!$M:$M,'Bilateral Assistance, MAIN DATA'!$B:$B,'Share, Heavy Weapons to Ukraine'!$B25,'Bilateral Assistance, MAIN DATA'!$AO:$AO,"152mm howitzer")</f>
        <v>0</v>
      </c>
      <c r="AS25" s="25">
        <f>SUMIFS('Bilateral Assistance, MAIN DATA'!$M:$M,'Bilateral Assistance, MAIN DATA'!$B:$B,'Share, Heavy Weapons to Ukraine'!$B25,'Bilateral Assistance, MAIN DATA'!$AO:$AO,"122mm MLRS")+SUMIFS('Bilateral Assistance, MAIN DATA'!$M:$M,'Bilateral Assistance, MAIN DATA'!$B:$B,'Share, Heavy Weapons to Ukraine'!$B25,'Bilateral Assistance, MAIN DATA'!$AO:$AO,"127mm MLRS")+SUMIFS('Bilateral Assistance, MAIN DATA'!$M:$M,'Bilateral Assistance, MAIN DATA'!$B:$B,'Share, Heavy Weapons to Ukraine'!$B25,'Bilateral Assistance, MAIN DATA'!$AO:$AO,"227mm MLRS")</f>
        <v>0</v>
      </c>
      <c r="AT25" s="25">
        <f>SUMIFS('Bilateral Assistance, MAIN DATA'!$M:$M,'Bilateral Assistance, MAIN DATA'!$B:$B,'Share, Heavy Weapons to Ukraine'!$B25,'Bilateral Assistance, MAIN DATA'!$AO:$AO,'Share, Heavy Weapons to Ukraine'!AT$11)</f>
        <v>0</v>
      </c>
      <c r="AU25" s="25">
        <f>SUMIFS('Bilateral Assistance, MAIN DATA'!$M:$M,'Bilateral Assistance, MAIN DATA'!$B:$B,'Share, Heavy Weapons to Ukraine'!$B25,'Bilateral Assistance, MAIN DATA'!$AO:$AO,'Share, Heavy Weapons to Ukraine'!AU$11)</f>
        <v>0</v>
      </c>
      <c r="AV25" s="25">
        <f>SUMIFS('Bilateral Assistance, MAIN DATA'!$M:$M,'Bilateral Assistance, MAIN DATA'!$B:$B,'Share, Heavy Weapons to Ukraine'!$B25,'Bilateral Assistance, MAIN DATA'!$AO:$AO,'Share, Heavy Weapons to Ukraine'!AV$11)</f>
        <v>0</v>
      </c>
      <c r="AW25" s="25">
        <f>SUMIFS('Bilateral Assistance, MAIN DATA'!$M:$M,'Bilateral Assistance, MAIN DATA'!$B:$B,'Share, Heavy Weapons to Ukraine'!$B25,'Bilateral Assistance, MAIN DATA'!$AO:$AO,'Share, Heavy Weapons to Ukraine'!AW$11)</f>
        <v>0</v>
      </c>
      <c r="AX25" s="25">
        <f>SUMIFS('Bilateral Assistance, MAIN DATA'!$M:$M,'Bilateral Assistance, MAIN DATA'!$B:$B,'Share, Heavy Weapons to Ukraine'!$B25,'Bilateral Assistance, MAIN DATA'!$AO:$AO,'Share, Heavy Weapons to Ukraine'!AX$11)</f>
        <v>0</v>
      </c>
      <c r="AY25" s="410"/>
      <c r="AZ25" s="25">
        <f>SUMIFS('Bilateral Assistance, MAIN DATA'!$N:$N,'Bilateral Assistance, MAIN DATA'!$B:$B,'Share, Heavy Weapons to Ukraine'!$B25,'Bilateral Assistance, MAIN DATA'!$AO:$AO,'Share, Heavy Weapons to Ukraine'!AZ$11)</f>
        <v>0</v>
      </c>
      <c r="BA25" s="25">
        <f>SUMIFS('Bilateral Assistance, MAIN DATA'!$N:$N,'Bilateral Assistance, MAIN DATA'!$B:$B,'Share, Heavy Weapons to Ukraine'!$B25,'Bilateral Assistance, MAIN DATA'!$AO:$AO,'Share, Heavy Weapons to Ukraine'!BA$11)</f>
        <v>0</v>
      </c>
      <c r="BB25" s="25">
        <f>SUMIFS('Bilateral Assistance, MAIN DATA'!$N:$N,'Bilateral Assistance, MAIN DATA'!$B:$B,'Share, Heavy Weapons to Ukraine'!$B25,'Bilateral Assistance, MAIN DATA'!$AO:$AO,'Share, Heavy Weapons to Ukraine'!BB$11)</f>
        <v>0</v>
      </c>
      <c r="BC25" s="25">
        <f>SUMIFS('Bilateral Assistance, MAIN DATA'!$N:$N,'Bilateral Assistance, MAIN DATA'!$B:$B,'Share, Heavy Weapons to Ukraine'!$B25,'Bilateral Assistance, MAIN DATA'!$AO:$AO,'Share, Heavy Weapons to Ukraine'!BC$11)</f>
        <v>0</v>
      </c>
      <c r="BD25" s="25">
        <f>SUMIFS('Bilateral Assistance, MAIN DATA'!$N:$N,'Bilateral Assistance, MAIN DATA'!$B:$B,'Share, Heavy Weapons to Ukraine'!$B25,'Bilateral Assistance, MAIN DATA'!$AO:$AO,'Share, Heavy Weapons to Ukraine'!BD$11)</f>
        <v>60</v>
      </c>
      <c r="BE25" s="25">
        <f t="shared" si="2"/>
        <v>60</v>
      </c>
      <c r="BF25" s="25">
        <f>SUMIFS('Bilateral Assistance, MAIN DATA'!$N:$N,'Bilateral Assistance, MAIN DATA'!$B:$B,'Share, Heavy Weapons to Ukraine'!$B25,'Bilateral Assistance, MAIN DATA'!$AO:$AO,"155mm howitzer")+SUMIFS('Bilateral Assistance, MAIN DATA'!$N:$N,'Bilateral Assistance, MAIN DATA'!$B:$B,'Share, Heavy Weapons to Ukraine'!$B25,'Bilateral Assistance, MAIN DATA'!$AO:$AO,"152mm howitzer")</f>
        <v>0</v>
      </c>
      <c r="BG25" s="25">
        <f>SUMIFS('Bilateral Assistance, MAIN DATA'!$N:$N,'Bilateral Assistance, MAIN DATA'!$B:$B,'Share, Heavy Weapons to Ukraine'!$B25,'Bilateral Assistance, MAIN DATA'!$AO:$AO,"122mm MLRS")+SUMIFS('Bilateral Assistance, MAIN DATA'!$N:$N,'Bilateral Assistance, MAIN DATA'!$B:$B,'Share, Heavy Weapons to Ukraine'!$B25,'Bilateral Assistance, MAIN DATA'!$AO:$AO,"127mm MLRS")+SUMIFS('Bilateral Assistance, MAIN DATA'!$N:$N,'Bilateral Assistance, MAIN DATA'!$B:$B,'Share, Heavy Weapons to Ukraine'!$B25,'Bilateral Assistance, MAIN DATA'!$AO:$AO,"227mm MLRS")</f>
        <v>0</v>
      </c>
      <c r="BH25" s="25">
        <f>SUMIFS('Bilateral Assistance, MAIN DATA'!$N:$N,'Bilateral Assistance, MAIN DATA'!$B:$B,'Share, Heavy Weapons to Ukraine'!$B25,'Bilateral Assistance, MAIN DATA'!$AO:$AO,'Share, Heavy Weapons to Ukraine'!BH$11)</f>
        <v>0</v>
      </c>
      <c r="BI25" s="25">
        <f>SUMIFS('Bilateral Assistance, MAIN DATA'!$N:$N,'Bilateral Assistance, MAIN DATA'!$B:$B,'Share, Heavy Weapons to Ukraine'!$B25,'Bilateral Assistance, MAIN DATA'!$AO:$AO,'Share, Heavy Weapons to Ukraine'!BI$11)</f>
        <v>0</v>
      </c>
      <c r="BJ25" s="25">
        <f>SUMIFS('Bilateral Assistance, MAIN DATA'!$N:$N,'Bilateral Assistance, MAIN DATA'!$B:$B,'Share, Heavy Weapons to Ukraine'!$B25,'Bilateral Assistance, MAIN DATA'!$AO:$AO,'Share, Heavy Weapons to Ukraine'!BJ$11)</f>
        <v>0</v>
      </c>
      <c r="BK25" s="25">
        <f>SUMIFS('Bilateral Assistance, MAIN DATA'!$N:$N,'Bilateral Assistance, MAIN DATA'!$B:$B,'Share, Heavy Weapons to Ukraine'!$B25,'Bilateral Assistance, MAIN DATA'!$AO:$AO,'Share, Heavy Weapons to Ukraine'!BK$11)</f>
        <v>0</v>
      </c>
      <c r="BL25" s="25">
        <f>SUMIFS('Bilateral Assistance, MAIN DATA'!$N:$N,'Bilateral Assistance, MAIN DATA'!$B:$B,'Share, Heavy Weapons to Ukraine'!$B25,'Bilateral Assistance, MAIN DATA'!$AO:$AO,'Share, Heavy Weapons to Ukraine'!BL$11)</f>
        <v>0</v>
      </c>
      <c r="BM25" s="410"/>
      <c r="BN25" s="261">
        <f>IF(VLOOKUP($B25,$B:W,COLUMN(W24)-1,FALSE)&lt;&gt;0,VLOOKUP($B25,$B:AL,COLUMN(AL24)-1,FALSE)/VLOOKUP($B25,$B:W,COLUMN(W24)-1,FALSE),IF(VLOOKUP($B25,$B:AL,COLUMN(AL24)-1,FALSE)&lt;&gt;0,"unknown",0))</f>
        <v>0</v>
      </c>
      <c r="BO25" s="261">
        <f>IF(VLOOKUP($B25,$B:X,COLUMN(X24)-1,FALSE)&lt;&gt;0,VLOOKUP($B25,$B:AM,COLUMN(AM24)-1,FALSE)/VLOOKUP($B25,$B:X,COLUMN(X24)-1,FALSE),IF(VLOOKUP($B25,$B:AM,COLUMN(AM24)-1,FALSE)&lt;&gt;0,"unknown",0))</f>
        <v>0</v>
      </c>
      <c r="BP25" s="261">
        <f>IF(VLOOKUP($B25,$B:Y,COLUMN(Y24)-1,FALSE)&lt;&gt;0,VLOOKUP($B25,$B:AN,COLUMN(AN24)-1,FALSE)/VLOOKUP($B25,$B:Y,COLUMN(Y24)-1,FALSE),IF(VLOOKUP($B25,$B:AN,COLUMN(AN24)-1,FALSE)&lt;&gt;0,"unknown",0))</f>
        <v>0</v>
      </c>
      <c r="BQ25" s="261">
        <f>IF(VLOOKUP($B25,$B:Z,COLUMN(Z24)-1,FALSE)&lt;&gt;0,VLOOKUP($B25,$B:AO,COLUMN(AO24)-1,FALSE)/VLOOKUP($B25,$B:Z,COLUMN(Z24)-1,FALSE),IF(VLOOKUP($B25,$B:AO,COLUMN(AO24)-1,FALSE)&lt;&gt;0,"unknown",0))</f>
        <v>0</v>
      </c>
      <c r="BR25" s="261">
        <f>IF(VLOOKUP($B25,$B:AA,COLUMN(AA24)-1,FALSE)&lt;&gt;0,VLOOKUP($B25,$B:AP,COLUMN(AP24)-1,FALSE)/VLOOKUP($B25,$B:AA,COLUMN(AA24)-1,FALSE),IF(VLOOKUP($B25,$B:AP,COLUMN(AP24)-1,FALSE)&lt;&gt;0,"unknown",0))</f>
        <v>0.35502958579881655</v>
      </c>
      <c r="BS25" s="261">
        <f>IF(VLOOKUP($B25,$B:AB,COLUMN(AB24)-1,FALSE)&lt;&gt;0,VLOOKUP($B25,$B:AQ,COLUMN(AQ24)-1,FALSE)/VLOOKUP($B25,$B:AB,COLUMN(AB24)-1,FALSE),IF(VLOOKUP($B25,$B:AQ,COLUMN(AQ24)-1,FALSE)&lt;&gt;0,"unknown",0))</f>
        <v>2.6098303610265331E-2</v>
      </c>
      <c r="BT25" s="261">
        <f>IF(VLOOKUP($B25,$B:AC,COLUMN(AC24)-1,FALSE)&lt;&gt;0,VLOOKUP($B25,$B:AR,COLUMN(AR24)-1,FALSE)/VLOOKUP($B25,$B:AC,COLUMN(AC24)-1,FALSE),IF(VLOOKUP($B25,$B:AR,COLUMN(AR24)-1,FALSE)&lt;&gt;0,"unknown",0))</f>
        <v>0</v>
      </c>
      <c r="BU25" s="261">
        <f>IF(VLOOKUP($B25,$B:AD,COLUMN(AD24)-1,FALSE)&lt;&gt;0,VLOOKUP($B25,$B:AS,COLUMN(AS24)-1,FALSE)/VLOOKUP($B25,$B:AD,COLUMN(AD24)-1,FALSE),IF(VLOOKUP($B25,$B:AS,COLUMN(AS24)-1,FALSE)&lt;&gt;0,"unknown",0))</f>
        <v>0</v>
      </c>
      <c r="BV25" s="261">
        <f>IF(VLOOKUP($B25,$B:AE,COLUMN(AE24)-1,FALSE)&lt;&gt;0,VLOOKUP($B25,$B:AT,COLUMN(AT24)-1,FALSE)/VLOOKUP($B25,$B:AE,COLUMN(AE24)-1,FALSE),IF(VLOOKUP($B25,$B:AT,COLUMN(AT24)-1,FALSE)&lt;&gt;0,"unknown",0))</f>
        <v>0</v>
      </c>
      <c r="BW25" s="261">
        <f>IF(VLOOKUP($B25,$B:AG,COLUMN(AG24)-1,FALSE)&lt;&gt;0,VLOOKUP($B25,$B:AU,COLUMN(AU24)-1,FALSE)/VLOOKUP($B25,$B:AG,COLUMN(AG24)-1,FALSE),IF(VLOOKUP($B25,$B:AU,COLUMN(AU24)-1,FALSE)&lt;&gt;0,"unknown",0))</f>
        <v>0</v>
      </c>
      <c r="BX25" s="261">
        <f>IF(VLOOKUP($B25,$B:AH,COLUMN(AH24)-1,FALSE)&lt;&gt;0,VLOOKUP($B25,$B:AV,COLUMN(AV24)-1,FALSE)/VLOOKUP($B25,$B:AH,COLUMN(AH24)-1,FALSE),IF(VLOOKUP($B25,$B:AV,COLUMN(AV24)-1,FALSE)&lt;&gt;0,"unknown",0))</f>
        <v>0</v>
      </c>
      <c r="BY25" s="261">
        <f>IF(VLOOKUP($B25,$B:AI,COLUMN(AI24)-1,FALSE)&lt;&gt;0,VLOOKUP($B25,$B:AW,COLUMN(AW24)-1,FALSE)/VLOOKUP($B25,$B:AI,COLUMN(AI24)-1,FALSE),IF(VLOOKUP($B25,$B:AW,COLUMN(AW24)-1,FALSE)&lt;&gt;0,"unknown",0))</f>
        <v>0</v>
      </c>
      <c r="BZ25" s="261">
        <f>IF(VLOOKUP($B25,$B:AJ,COLUMN(AJ24)-1,FALSE)&lt;&gt;0,VLOOKUP($B25,$B:AX,COLUMN(AX24)-1,FALSE)/VLOOKUP($B25,$B:AJ,COLUMN(AJ24)-1,FALSE),IF(VLOOKUP($B25,$B:AX,COLUMN(AX24)-1,FALSE)&lt;&gt;0,"unknown",0))</f>
        <v>0</v>
      </c>
      <c r="CA25" s="410"/>
      <c r="CB25" s="2">
        <f>IF(VLOOKUP($B25,$B:AM,COLUMN(W24)-1,FALSE)&lt;&gt;0,VLOOKUP($B25,$B:BA,COLUMN(AZ24)-1,FALSE)/VLOOKUP($B25,$B:AM,COLUMN(W24)-1,FALSE),IF(VLOOKUP($B25,$B:BA,COLUMN(AZ24)-1,FALSE)&lt;&gt;0,"unknown",0))</f>
        <v>0</v>
      </c>
      <c r="CC25" s="2">
        <f>IF(VLOOKUP($B25,$B:AN,COLUMN(X24)-1,FALSE)&lt;&gt;0,VLOOKUP($B25,$B:BB,COLUMN(BA24)-1,FALSE)/VLOOKUP($B25,$B:AN,COLUMN(X24)-1,FALSE),IF(VLOOKUP($B25,$B:BB,COLUMN(BA24)-1,FALSE)&lt;&gt;0,"unknown",0))</f>
        <v>0</v>
      </c>
      <c r="CD25" s="2">
        <f>IF(VLOOKUP($B25,$B:AO,COLUMN(Y24)-1,FALSE)&lt;&gt;0,VLOOKUP($B25,$B:BC,COLUMN(BB24)-1,FALSE)/VLOOKUP($B25,$B:AO,COLUMN(Y24)-1,FALSE),IF(VLOOKUP($B25,$B:BC,COLUMN(BB24)-1,FALSE)&lt;&gt;0,"unknown",0))</f>
        <v>0</v>
      </c>
      <c r="CE25" s="2">
        <f>IF(VLOOKUP($B25,$B:AP,COLUMN(Z24)-1,FALSE)&lt;&gt;0,VLOOKUP($B25,$B:BD,COLUMN(BC24)-1,FALSE)/VLOOKUP($B25,$B:AP,COLUMN(Z24)-1,FALSE),IF(VLOOKUP($B25,$B:BD,COLUMN(BC24)-1,FALSE)&lt;&gt;0,"unknown",0))</f>
        <v>0</v>
      </c>
      <c r="CF25" s="2">
        <f>IF(VLOOKUP($B25,$B:AR,COLUMN(AA24)-1,FALSE)&lt;&gt;0,VLOOKUP($B25,$B:BF,COLUMN(BD24)-1,FALSE)/VLOOKUP($B25,$B:AR,COLUMN(AA24)-1,FALSE),IF(VLOOKUP($B25,$B:BF,COLUMN(BD24)-1,FALSE)&lt;&gt;0,"unknown",0))</f>
        <v>0.35502958579881655</v>
      </c>
      <c r="CG25" s="2">
        <f>IF(VLOOKUP($B25,$B:AS,COLUMN(AB24)-1,FALSE)&lt;&gt;0,VLOOKUP($B25,$B:BG,COLUMN(BE24)-1,FALSE)/VLOOKUP($B25,$B:AS,COLUMN(AB24)-1,FALSE),IF(VLOOKUP($B25,$B:BG,COLUMN(BE24)-1,FALSE)&lt;&gt;0,"unknown",0))</f>
        <v>2.6098303610265331E-2</v>
      </c>
      <c r="CH25" s="2">
        <f>IF(VLOOKUP($B25,$B:AS,COLUMN(AC24)-1,FALSE)&lt;&gt;0,VLOOKUP($B25,$B:BG,COLUMN(BF24)-1,FALSE)/VLOOKUP($B25,$B:AS,COLUMN(AC24)-1,FALSE),IF(VLOOKUP($B25,$B:BG,COLUMN(BF24)-1,FALSE)&lt;&gt;0,"unknown",0))</f>
        <v>0</v>
      </c>
      <c r="CI25" s="2">
        <f>IF(VLOOKUP($B25,$B:AT,COLUMN(AD24)-1,FALSE)&lt;&gt;0,VLOOKUP($B25,$B:BH,COLUMN(BG24)-1,FALSE)/VLOOKUP($B25,$B:AT,COLUMN(AD24)-1,FALSE),IF(VLOOKUP($B25,$B:BH,COLUMN(BG24)-1,FALSE)&lt;&gt;0,"unknown",0))</f>
        <v>0</v>
      </c>
      <c r="CJ25" s="2">
        <f>IF(VLOOKUP($B25,$B:AT,COLUMN(AE24)-1,FALSE)&lt;&gt;0,VLOOKUP($B25,$B:BH,COLUMN(BH24)-1,FALSE)/VLOOKUP($B25,$B:AT,COLUMN(AE24)-1,FALSE),IF(VLOOKUP($B25,$B:BH,COLUMN(BH24)-1,FALSE)&lt;&gt;0,"unknown",0))</f>
        <v>0</v>
      </c>
      <c r="CK25" s="2">
        <f>IF(VLOOKUP($B25,$B:AU,COLUMN(AG24)-1,FALSE)&lt;&gt;0,VLOOKUP($B25,$B:BI,COLUMN(BI24)-1,FALSE)/VLOOKUP($B25,$B:AU,COLUMN(AG24)-1,FALSE),IF(VLOOKUP($B25,$B:BI,COLUMN(BI24)-1,FALSE)&lt;&gt;0,"unknown",0))</f>
        <v>0</v>
      </c>
      <c r="CL25" s="2">
        <f>IF(VLOOKUP($B25,$B:AV,COLUMN(AH24)-1,FALSE)&lt;&gt;0,VLOOKUP($B25,$B:BJ,COLUMN(BJ24)-1,FALSE)/VLOOKUP($B25,$B:AV,COLUMN(AH24)-1,FALSE),IF(VLOOKUP($B25,$B:BJ,COLUMN(BJ24)-1,FALSE)&lt;&gt;0,"unknown",0))</f>
        <v>0</v>
      </c>
      <c r="CM25" s="2">
        <f>IF(VLOOKUP($B25,$B:AW,COLUMN(AI24)-1,FALSE)&lt;&gt;0,VLOOKUP($B25,$B:BK,COLUMN(BK24)-1,FALSE)/VLOOKUP($B25,$B:AW,COLUMN(AI24)-1,FALSE),IF(VLOOKUP($B25,$B:BK,COLUMN(BK24)-1,FALSE)&lt;&gt;0,"unknown",0))</f>
        <v>0</v>
      </c>
      <c r="CN25" s="2">
        <f>IF(VLOOKUP($B25,$B:AX,COLUMN(AJ24)-1,FALSE)&lt;&gt;0,VLOOKUP($B25,$B:BL,COLUMN(BL24)-1,FALSE)/VLOOKUP($B25,$B:AX,COLUMN(AJ24)-1,FALSE),IF(VLOOKUP($B25,$B:BL,COLUMN(BL24)-1,FALSE)&lt;&gt;0,"unknown",0))</f>
        <v>0</v>
      </c>
      <c r="CO25" s="410"/>
      <c r="CP25" s="2">
        <f>SUMIFS('Bilateral Assistance, MAIN DATA'!$M:$M,'Bilateral Assistance, MAIN DATA'!$B:$B,'Share, Heavy Weapons to Ukraine'!$B25,'Bilateral Assistance, MAIN DATA'!$AO:$AO,'Share, Heavy Weapons to Ukraine'!CP$11, 'Bilateral Assistance, MAIN DATA'!$AA:$AA,1)</f>
        <v>0</v>
      </c>
      <c r="CQ25" s="2">
        <f>SUMIFS('Bilateral Assistance, MAIN DATA'!$M:$M,'Bilateral Assistance, MAIN DATA'!$B:$B,'Share, Heavy Weapons to Ukraine'!$B25,'Bilateral Assistance, MAIN DATA'!$AO:$AO,'Share, Heavy Weapons to Ukraine'!CQ$11, 'Bilateral Assistance, MAIN DATA'!$AA:$AA,1)</f>
        <v>0</v>
      </c>
      <c r="CR25" s="2">
        <f>SUMIFS('Bilateral Assistance, MAIN DATA'!$M:$M,'Bilateral Assistance, MAIN DATA'!$B:$B,'Share, Heavy Weapons to Ukraine'!$B25,'Bilateral Assistance, MAIN DATA'!$AO:$AO,'Share, Heavy Weapons to Ukraine'!CR$11, 'Bilateral Assistance, MAIN DATA'!$AA:$AA,1)</f>
        <v>0</v>
      </c>
      <c r="CS25" s="2">
        <f>SUMIFS('Bilateral Assistance, MAIN DATA'!$M:$M,'Bilateral Assistance, MAIN DATA'!$B:$B,'Share, Heavy Weapons to Ukraine'!$B25,'Bilateral Assistance, MAIN DATA'!$AO:$AO,'Share, Heavy Weapons to Ukraine'!CS$11, 'Bilateral Assistance, MAIN DATA'!$AA:$AA,1)</f>
        <v>0</v>
      </c>
      <c r="CT25" s="410"/>
      <c r="CU25" s="2">
        <f>SUMIFS('Bilateral Assistance, MAIN DATA'!$N:$N,'Bilateral Assistance, MAIN DATA'!$B:$B,'Share, Heavy Weapons to Ukraine'!$B25,'Bilateral Assistance, MAIN DATA'!$AO:$AO,'Share, Heavy Weapons to Ukraine'!CU$11, 'Bilateral Assistance, MAIN DATA'!$AA:$AA,1)</f>
        <v>0</v>
      </c>
      <c r="CV25" s="2">
        <f>SUMIFS('Bilateral Assistance, MAIN DATA'!$N:$N,'Bilateral Assistance, MAIN DATA'!$B:$B,'Share, Heavy Weapons to Ukraine'!$B25,'Bilateral Assistance, MAIN DATA'!$AO:$AO,'Share, Heavy Weapons to Ukraine'!CV$11, 'Bilateral Assistance, MAIN DATA'!$AA:$AA,1)</f>
        <v>0</v>
      </c>
      <c r="CW25" s="2">
        <f>SUMIFS('Bilateral Assistance, MAIN DATA'!$N:$N,'Bilateral Assistance, MAIN DATA'!$B:$B,'Share, Heavy Weapons to Ukraine'!$B25,'Bilateral Assistance, MAIN DATA'!$AO:$AO,'Share, Heavy Weapons to Ukraine'!CW$11, 'Bilateral Assistance, MAIN DATA'!$AA:$AA,1)</f>
        <v>0</v>
      </c>
      <c r="CX25" s="2">
        <f>SUMIFS('Bilateral Assistance, MAIN DATA'!$N:$N,'Bilateral Assistance, MAIN DATA'!$B:$B,'Share, Heavy Weapons to Ukraine'!$B25,'Bilateral Assistance, MAIN DATA'!$AO:$AO,'Share, Heavy Weapons to Ukraine'!CX$11, 'Bilateral Assistance, MAIN DATA'!$AA:$AA,1)</f>
        <v>0</v>
      </c>
    </row>
    <row r="26" spans="2:102" ht="15.6">
      <c r="B26" s="409" t="s">
        <v>2882</v>
      </c>
      <c r="C26" s="409">
        <v>1</v>
      </c>
      <c r="D26" s="2">
        <v>0</v>
      </c>
      <c r="E26" s="410"/>
      <c r="F26" s="569" t="s">
        <v>364</v>
      </c>
      <c r="G26" s="569" t="s">
        <v>364</v>
      </c>
      <c r="H26" s="348">
        <f>16/3</f>
        <v>5.333333333333333</v>
      </c>
      <c r="I26" s="569">
        <v>12</v>
      </c>
      <c r="J26" s="569" t="s">
        <v>364</v>
      </c>
      <c r="K26" s="569" t="s">
        <v>364</v>
      </c>
      <c r="L26" s="569" t="s">
        <v>364</v>
      </c>
      <c r="M26" s="569" t="s">
        <v>364</v>
      </c>
      <c r="N26" s="569" t="s">
        <v>364</v>
      </c>
      <c r="O26" s="569" t="s">
        <v>364</v>
      </c>
      <c r="P26" s="569" t="s">
        <v>364</v>
      </c>
      <c r="Q26" s="2" t="s">
        <v>6634</v>
      </c>
      <c r="R26" s="969" t="s">
        <v>6626</v>
      </c>
      <c r="S26" s="968" t="s">
        <v>6635</v>
      </c>
      <c r="T26" s="2" t="s">
        <v>6627</v>
      </c>
      <c r="U26" s="410" t="str">
        <f>""</f>
        <v/>
      </c>
      <c r="V26" s="1334">
        <v>7.46</v>
      </c>
      <c r="W26" s="1334">
        <f>VLOOKUP(B26,'Heavy Weapon Stocks'!B:OA,COLUMN('Heavy Weapon Stocks'!$C$11)-1,FALSE)+IF(F26&lt;&gt;".",F26,0)</f>
        <v>52</v>
      </c>
      <c r="X26" s="1334">
        <f>VLOOKUP(B26,'Heavy Weapon Stocks'!B:OA,COLUMN('Heavy Weapon Stocks'!$AQ$11)-1,FALSE)</f>
        <v>390</v>
      </c>
      <c r="Y26" s="1334">
        <f>VLOOKUP(B26,'Heavy Weapon Stocks'!B:OA,COLUMN('Heavy Weapon Stocks'!$DK$11)-1,FALSE)</f>
        <v>0</v>
      </c>
      <c r="Z26" s="1334">
        <f>VLOOKUP(B26,'Heavy Weapon Stocks'!B:OA,COLUMN('Heavy Weapon Stocks'!$DY$11)-1,FALSE)</f>
        <v>190</v>
      </c>
      <c r="AA26" s="1334">
        <f>VLOOKUP(B26,'Heavy Weapon Stocks'!B:OA,COLUMN('Heavy Weapon Stocks'!$FA$11)-1,FALSE)+IF(G26&lt;&gt;".",G26,0)</f>
        <v>91</v>
      </c>
      <c r="AB26" s="1334">
        <f t="shared" si="3"/>
        <v>671</v>
      </c>
      <c r="AC26" s="1334">
        <f>VLOOKUP(B26,'Heavy Weapon Stocks'!B:OA,COLUMN('Heavy Weapon Stocks'!$GV$11)-1,FALSE)+VLOOKUP(B26,'Heavy Weapon Stocks'!B:OA,COLUMN('Heavy Weapon Stocks'!$HY$11)-1,FALSE)+IF(H26&lt;&gt;".",H26,0)</f>
        <v>53.333333333333336</v>
      </c>
      <c r="AD26" s="1334">
        <f>VLOOKUP(B26,'Heavy Weapon Stocks'!B:OA,COLUMN('Heavy Weapon Stocks'!$IF$11)-1,FALSE)+IF(I26&lt;&gt;".",I26,0)</f>
        <v>12</v>
      </c>
      <c r="AE26" s="1334">
        <f>VLOOKUP(B26,'Heavy Weapon Stocks'!B:OA,COLUMN('Heavy Weapon Stocks'!$IZ$11)-1,FALSE)+VLOOKUP(B26,'Heavy Weapon Stocks'!B:OA,COLUMN('Heavy Weapon Stocks'!$JW$11)-1,FALSE)</f>
        <v>66</v>
      </c>
      <c r="AF26" s="1334">
        <f>VLOOKUP(B26,'Heavy Weapon Stocks'!B:OA,COLUMN('Heavy Weapon Stocks'!$NL$11)-1,FALSE)+IF(L26&lt;&gt;".",L26,0)</f>
        <v>0</v>
      </c>
      <c r="AG26" s="1334">
        <f>VLOOKUP(B26,'Heavy Weapon Stocks'!B:OA,COLUMN('Heavy Weapon Stocks'!$LN$11)-1,FALSE)+IF(M26&lt;&gt;".",M26,0)</f>
        <v>0</v>
      </c>
      <c r="AH26" s="1334">
        <f>VLOOKUP(B26,'Heavy Weapon Stocks'!B:OA,COLUMN('Heavy Weapon Stocks'!$LX$11)-1,FALSE)+IF(N26&lt;&gt;".",N26,0)</f>
        <v>0</v>
      </c>
      <c r="AI26" s="1334">
        <f>VLOOKUP(B26,'Heavy Weapon Stocks'!B:OA,COLUMN('Heavy Weapon Stocks'!$ME$11)-1,FALSE)+IF(O26&lt;&gt;".",O26,0)</f>
        <v>24</v>
      </c>
      <c r="AJ26" s="1334">
        <f>VLOOKUP(B26,'Heavy Weapon Stocks'!B:OA,COLUMN('Heavy Weapon Stocks'!$NK$11)-1,FALSE)+IF(P26&lt;&gt;".",P26,0)</f>
        <v>0</v>
      </c>
      <c r="AK26" s="410"/>
      <c r="AL26" s="25">
        <f>SUMIFS('Bilateral Assistance, MAIN DATA'!$M:$M,'Bilateral Assistance, MAIN DATA'!$B:$B,'Share, Heavy Weapons to Ukraine'!$B26,'Bilateral Assistance, MAIN DATA'!$AO:$AO,'Share, Heavy Weapons to Ukraine'!AL$11)</f>
        <v>8</v>
      </c>
      <c r="AM26" s="25">
        <f>SUMIFS('Bilateral Assistance, MAIN DATA'!$M:$M,'Bilateral Assistance, MAIN DATA'!$B:$B,'Share, Heavy Weapons to Ukraine'!$B26,'Bilateral Assistance, MAIN DATA'!$AO:$AO,'Share, Heavy Weapons to Ukraine'!AM$11)</f>
        <v>0</v>
      </c>
      <c r="AN26" s="25">
        <f>SUMIFS('Bilateral Assistance, MAIN DATA'!$M:$M,'Bilateral Assistance, MAIN DATA'!$B:$B,'Share, Heavy Weapons to Ukraine'!$B26,'Bilateral Assistance, MAIN DATA'!$AO:$AO,'Share, Heavy Weapons to Ukraine'!AN$11)</f>
        <v>0</v>
      </c>
      <c r="AO26" s="25">
        <f>SUMIFS('Bilateral Assistance, MAIN DATA'!$M:$M,'Bilateral Assistance, MAIN DATA'!$B:$B,'Share, Heavy Weapons to Ukraine'!$B26,'Bilateral Assistance, MAIN DATA'!$AO:$AO,'Share, Heavy Weapons to Ukraine'!AO$11)</f>
        <v>14</v>
      </c>
      <c r="AP26" s="25">
        <f>SUMIFS('Bilateral Assistance, MAIN DATA'!$M:$M,'Bilateral Assistance, MAIN DATA'!$B:$B,'Share, Heavy Weapons to Ukraine'!$B26,'Bilateral Assistance, MAIN DATA'!$AO:$AO,'Share, Heavy Weapons to Ukraine'!AP$11)</f>
        <v>0</v>
      </c>
      <c r="AQ26" s="25">
        <f t="shared" si="1"/>
        <v>14</v>
      </c>
      <c r="AR26" s="25">
        <f>SUMIFS('Bilateral Assistance, MAIN DATA'!$M:$M,'Bilateral Assistance, MAIN DATA'!$B:$B,'Share, Heavy Weapons to Ukraine'!$B26,'Bilateral Assistance, MAIN DATA'!$AO:$AO,"155mm howitzer")+SUMIFS('Bilateral Assistance, MAIN DATA'!$M:$M,'Bilateral Assistance, MAIN DATA'!$B:$B,'Share, Heavy Weapons to Ukraine'!$B26,'Bilateral Assistance, MAIN DATA'!$AO:$AO,"152mm howitzer")</f>
        <v>27.333333333333332</v>
      </c>
      <c r="AS26" s="25">
        <f>SUMIFS('Bilateral Assistance, MAIN DATA'!$M:$M,'Bilateral Assistance, MAIN DATA'!$B:$B,'Share, Heavy Weapons to Ukraine'!$B26,'Bilateral Assistance, MAIN DATA'!$AO:$AO,"122mm MLRS")+SUMIFS('Bilateral Assistance, MAIN DATA'!$M:$M,'Bilateral Assistance, MAIN DATA'!$B:$B,'Share, Heavy Weapons to Ukraine'!$B26,'Bilateral Assistance, MAIN DATA'!$AO:$AO,"127mm MLRS")+SUMIFS('Bilateral Assistance, MAIN DATA'!$M:$M,'Bilateral Assistance, MAIN DATA'!$B:$B,'Share, Heavy Weapons to Ukraine'!$B26,'Bilateral Assistance, MAIN DATA'!$AO:$AO,"227mm MLRS")</f>
        <v>3</v>
      </c>
      <c r="AT26" s="25">
        <f>SUMIFS('Bilateral Assistance, MAIN DATA'!$M:$M,'Bilateral Assistance, MAIN DATA'!$B:$B,'Share, Heavy Weapons to Ukraine'!$B26,'Bilateral Assistance, MAIN DATA'!$AO:$AO,'Share, Heavy Weapons to Ukraine'!AT$11)</f>
        <v>0</v>
      </c>
      <c r="AU26" s="25">
        <f>SUMIFS('Bilateral Assistance, MAIN DATA'!$M:$M,'Bilateral Assistance, MAIN DATA'!$B:$B,'Share, Heavy Weapons to Ukraine'!$B26,'Bilateral Assistance, MAIN DATA'!$AO:$AO,'Share, Heavy Weapons to Ukraine'!AU$11)</f>
        <v>0</v>
      </c>
      <c r="AV26" s="25">
        <f>SUMIFS('Bilateral Assistance, MAIN DATA'!$M:$M,'Bilateral Assistance, MAIN DATA'!$B:$B,'Share, Heavy Weapons to Ukraine'!$B26,'Bilateral Assistance, MAIN DATA'!$AO:$AO,'Share, Heavy Weapons to Ukraine'!AV$11)</f>
        <v>0</v>
      </c>
      <c r="AW26" s="25">
        <f>SUMIFS('Bilateral Assistance, MAIN DATA'!$M:$M,'Bilateral Assistance, MAIN DATA'!$B:$B,'Share, Heavy Weapons to Ukraine'!$B26,'Bilateral Assistance, MAIN DATA'!$AO:$AO,'Share, Heavy Weapons to Ukraine'!AW$11)</f>
        <v>2</v>
      </c>
      <c r="AX26" s="25">
        <f>SUMIFS('Bilateral Assistance, MAIN DATA'!$M:$M,'Bilateral Assistance, MAIN DATA'!$B:$B,'Share, Heavy Weapons to Ukraine'!$B26,'Bilateral Assistance, MAIN DATA'!$AO:$AO,'Share, Heavy Weapons to Ukraine'!AX$11)</f>
        <v>25</v>
      </c>
      <c r="AY26" s="410"/>
      <c r="AZ26" s="25">
        <f>SUMIFS('Bilateral Assistance, MAIN DATA'!$N:$N,'Bilateral Assistance, MAIN DATA'!$B:$B,'Share, Heavy Weapons to Ukraine'!$B26,'Bilateral Assistance, MAIN DATA'!$AO:$AO,'Share, Heavy Weapons to Ukraine'!AZ$11)</f>
        <v>0</v>
      </c>
      <c r="BA26" s="25">
        <f>SUMIFS('Bilateral Assistance, MAIN DATA'!$N:$N,'Bilateral Assistance, MAIN DATA'!$B:$B,'Share, Heavy Weapons to Ukraine'!$B26,'Bilateral Assistance, MAIN DATA'!$AO:$AO,'Share, Heavy Weapons to Ukraine'!BA$11)</f>
        <v>0</v>
      </c>
      <c r="BB26" s="25">
        <f>SUMIFS('Bilateral Assistance, MAIN DATA'!$N:$N,'Bilateral Assistance, MAIN DATA'!$B:$B,'Share, Heavy Weapons to Ukraine'!$B26,'Bilateral Assistance, MAIN DATA'!$AO:$AO,'Share, Heavy Weapons to Ukraine'!BB$11)</f>
        <v>0</v>
      </c>
      <c r="BC26" s="25">
        <f>SUMIFS('Bilateral Assistance, MAIN DATA'!$N:$N,'Bilateral Assistance, MAIN DATA'!$B:$B,'Share, Heavy Weapons to Ukraine'!$B26,'Bilateral Assistance, MAIN DATA'!$AO:$AO,'Share, Heavy Weapons to Ukraine'!BC$11)</f>
        <v>14</v>
      </c>
      <c r="BD26" s="25">
        <f>SUMIFS('Bilateral Assistance, MAIN DATA'!$N:$N,'Bilateral Assistance, MAIN DATA'!$B:$B,'Share, Heavy Weapons to Ukraine'!$B26,'Bilateral Assistance, MAIN DATA'!$AO:$AO,'Share, Heavy Weapons to Ukraine'!BD$11)</f>
        <v>0</v>
      </c>
      <c r="BE26" s="25">
        <f t="shared" si="2"/>
        <v>14</v>
      </c>
      <c r="BF26" s="25">
        <f>SUMIFS('Bilateral Assistance, MAIN DATA'!$N:$N,'Bilateral Assistance, MAIN DATA'!$B:$B,'Share, Heavy Weapons to Ukraine'!$B26,'Bilateral Assistance, MAIN DATA'!$AO:$AO,"155mm howitzer")+SUMIFS('Bilateral Assistance, MAIN DATA'!$N:$N,'Bilateral Assistance, MAIN DATA'!$B:$B,'Share, Heavy Weapons to Ukraine'!$B26,'Bilateral Assistance, MAIN DATA'!$AO:$AO,"152mm howitzer")</f>
        <v>22</v>
      </c>
      <c r="BG26" s="25">
        <f>SUMIFS('Bilateral Assistance, MAIN DATA'!$N:$N,'Bilateral Assistance, MAIN DATA'!$B:$B,'Share, Heavy Weapons to Ukraine'!$B26,'Bilateral Assistance, MAIN DATA'!$AO:$AO,"122mm MLRS")+SUMIFS('Bilateral Assistance, MAIN DATA'!$N:$N,'Bilateral Assistance, MAIN DATA'!$B:$B,'Share, Heavy Weapons to Ukraine'!$B26,'Bilateral Assistance, MAIN DATA'!$AO:$AO,"127mm MLRS")+SUMIFS('Bilateral Assistance, MAIN DATA'!$N:$N,'Bilateral Assistance, MAIN DATA'!$B:$B,'Share, Heavy Weapons to Ukraine'!$B26,'Bilateral Assistance, MAIN DATA'!$AO:$AO,"227mm MLRS")</f>
        <v>3</v>
      </c>
      <c r="BH26" s="25">
        <f>SUMIFS('Bilateral Assistance, MAIN DATA'!$N:$N,'Bilateral Assistance, MAIN DATA'!$B:$B,'Share, Heavy Weapons to Ukraine'!$B26,'Bilateral Assistance, MAIN DATA'!$AO:$AO,'Share, Heavy Weapons to Ukraine'!BH$11)</f>
        <v>0</v>
      </c>
      <c r="BI26" s="25">
        <f>SUMIFS('Bilateral Assistance, MAIN DATA'!$N:$N,'Bilateral Assistance, MAIN DATA'!$B:$B,'Share, Heavy Weapons to Ukraine'!$B26,'Bilateral Assistance, MAIN DATA'!$AO:$AO,'Share, Heavy Weapons to Ukraine'!BI$11)</f>
        <v>0</v>
      </c>
      <c r="BJ26" s="25">
        <f>SUMIFS('Bilateral Assistance, MAIN DATA'!$N:$N,'Bilateral Assistance, MAIN DATA'!$B:$B,'Share, Heavy Weapons to Ukraine'!$B26,'Bilateral Assistance, MAIN DATA'!$AO:$AO,'Share, Heavy Weapons to Ukraine'!BJ$11)</f>
        <v>0</v>
      </c>
      <c r="BK26" s="25">
        <f>SUMIFS('Bilateral Assistance, MAIN DATA'!$N:$N,'Bilateral Assistance, MAIN DATA'!$B:$B,'Share, Heavy Weapons to Ukraine'!$B26,'Bilateral Assistance, MAIN DATA'!$AO:$AO,'Share, Heavy Weapons to Ukraine'!BK$11)</f>
        <v>0</v>
      </c>
      <c r="BL26" s="25">
        <f>SUMIFS('Bilateral Assistance, MAIN DATA'!$N:$N,'Bilateral Assistance, MAIN DATA'!$B:$B,'Share, Heavy Weapons to Ukraine'!$B26,'Bilateral Assistance, MAIN DATA'!$AO:$AO,'Share, Heavy Weapons to Ukraine'!BL$11)</f>
        <v>25</v>
      </c>
      <c r="BM26" s="410"/>
      <c r="BN26" s="261">
        <f>IF(VLOOKUP($B26,$B:W,COLUMN(W25)-1,FALSE)&lt;&gt;0,VLOOKUP($B26,$B:AL,COLUMN(AL25)-1,FALSE)/VLOOKUP($B26,$B:W,COLUMN(W25)-1,FALSE),IF(VLOOKUP($B26,$B:AL,COLUMN(AL25)-1,FALSE)&lt;&gt;0,"unknown",0))</f>
        <v>0.15384615384615385</v>
      </c>
      <c r="BO26" s="261">
        <f>IF(VLOOKUP($B26,$B:X,COLUMN(X25)-1,FALSE)&lt;&gt;0,VLOOKUP($B26,$B:AM,COLUMN(AM25)-1,FALSE)/VLOOKUP($B26,$B:X,COLUMN(X25)-1,FALSE),IF(VLOOKUP($B26,$B:AM,COLUMN(AM25)-1,FALSE)&lt;&gt;0,"unknown",0))</f>
        <v>0</v>
      </c>
      <c r="BP26" s="261">
        <f>IF(VLOOKUP($B26,$B:Y,COLUMN(Y25)-1,FALSE)&lt;&gt;0,VLOOKUP($B26,$B:AN,COLUMN(AN25)-1,FALSE)/VLOOKUP($B26,$B:Y,COLUMN(Y25)-1,FALSE),IF(VLOOKUP($B26,$B:AN,COLUMN(AN25)-1,FALSE)&lt;&gt;0,"unknown",0))</f>
        <v>0</v>
      </c>
      <c r="BQ26" s="261">
        <f>IF(VLOOKUP($B26,$B:Z,COLUMN(Z25)-1,FALSE)&lt;&gt;0,VLOOKUP($B26,$B:AO,COLUMN(AO25)-1,FALSE)/VLOOKUP($B26,$B:Z,COLUMN(Z25)-1,FALSE),IF(VLOOKUP($B26,$B:AO,COLUMN(AO25)-1,FALSE)&lt;&gt;0,"unknown",0))</f>
        <v>7.3684210526315783E-2</v>
      </c>
      <c r="BR26" s="261">
        <f>IF(VLOOKUP($B26,$B:AA,COLUMN(AA25)-1,FALSE)&lt;&gt;0,VLOOKUP($B26,$B:AP,COLUMN(AP25)-1,FALSE)/VLOOKUP($B26,$B:AA,COLUMN(AA25)-1,FALSE),IF(VLOOKUP($B26,$B:AP,COLUMN(AP25)-1,FALSE)&lt;&gt;0,"unknown",0))</f>
        <v>0</v>
      </c>
      <c r="BS26" s="261">
        <f>IF(VLOOKUP($B26,$B:AB,COLUMN(AB25)-1,FALSE)&lt;&gt;0,VLOOKUP($B26,$B:AQ,COLUMN(AQ25)-1,FALSE)/VLOOKUP($B26,$B:AB,COLUMN(AB25)-1,FALSE),IF(VLOOKUP($B26,$B:AQ,COLUMN(AQ25)-1,FALSE)&lt;&gt;0,"unknown",0))</f>
        <v>2.0864381520119227E-2</v>
      </c>
      <c r="BT26" s="261">
        <f>IF(VLOOKUP($B26,$B:AC,COLUMN(AC25)-1,FALSE)&lt;&gt;0,VLOOKUP($B26,$B:AR,COLUMN(AR25)-1,FALSE)/VLOOKUP($B26,$B:AC,COLUMN(AC25)-1,FALSE),IF(VLOOKUP($B26,$B:AR,COLUMN(AR25)-1,FALSE)&lt;&gt;0,"unknown",0))</f>
        <v>0.51249999999999996</v>
      </c>
      <c r="BU26" s="261">
        <f>IF(VLOOKUP($B26,$B:AD,COLUMN(AD25)-1,FALSE)&lt;&gt;0,VLOOKUP($B26,$B:AS,COLUMN(AS25)-1,FALSE)/VLOOKUP($B26,$B:AD,COLUMN(AD25)-1,FALSE),IF(VLOOKUP($B26,$B:AS,COLUMN(AS25)-1,FALSE)&lt;&gt;0,"unknown",0))</f>
        <v>0.25</v>
      </c>
      <c r="BV26" s="261">
        <f>IF(VLOOKUP($B26,$B:AE,COLUMN(AE25)-1,FALSE)&lt;&gt;0,VLOOKUP($B26,$B:AT,COLUMN(AT25)-1,FALSE)/VLOOKUP($B26,$B:AE,COLUMN(AE25)-1,FALSE),IF(VLOOKUP($B26,$B:AT,COLUMN(AT25)-1,FALSE)&lt;&gt;0,"unknown",0))</f>
        <v>0</v>
      </c>
      <c r="BW26" s="261">
        <f>IF(VLOOKUP($B26,$B:AG,COLUMN(AG25)-1,FALSE)&lt;&gt;0,VLOOKUP($B26,$B:AU,COLUMN(AU25)-1,FALSE)/VLOOKUP($B26,$B:AG,COLUMN(AG25)-1,FALSE),IF(VLOOKUP($B26,$B:AU,COLUMN(AU25)-1,FALSE)&lt;&gt;0,"unknown",0))</f>
        <v>0</v>
      </c>
      <c r="BX26" s="261">
        <f>IF(VLOOKUP($B26,$B:AH,COLUMN(AH25)-1,FALSE)&lt;&gt;0,VLOOKUP($B26,$B:AV,COLUMN(AV25)-1,FALSE)/VLOOKUP($B26,$B:AH,COLUMN(AH25)-1,FALSE),IF(VLOOKUP($B26,$B:AV,COLUMN(AV25)-1,FALSE)&lt;&gt;0,"unknown",0))</f>
        <v>0</v>
      </c>
      <c r="BY26" s="261">
        <f>IF(VLOOKUP($B26,$B:AI,COLUMN(AI25)-1,FALSE)&lt;&gt;0,VLOOKUP($B26,$B:AW,COLUMN(AW25)-1,FALSE)/VLOOKUP($B26,$B:AI,COLUMN(AI25)-1,FALSE),IF(VLOOKUP($B26,$B:AW,COLUMN(AW25)-1,FALSE)&lt;&gt;0,"unknown",0))</f>
        <v>8.3333333333333329E-2</v>
      </c>
      <c r="BZ26" s="261" t="str">
        <f>IF(VLOOKUP($B26,$B:AJ,COLUMN(AJ25)-1,FALSE)&lt;&gt;0,VLOOKUP($B26,$B:AX,COLUMN(AX25)-1,FALSE)/VLOOKUP($B26,$B:AJ,COLUMN(AJ25)-1,FALSE),IF(VLOOKUP($B26,$B:AX,COLUMN(AX25)-1,FALSE)&lt;&gt;0,"unknown",0))</f>
        <v>unknown</v>
      </c>
      <c r="CA26" s="410"/>
      <c r="CB26" s="2">
        <f>IF(VLOOKUP($B26,$B:AM,COLUMN(W25)-1,FALSE)&lt;&gt;0,VLOOKUP($B26,$B:BA,COLUMN(AZ25)-1,FALSE)/VLOOKUP($B26,$B:AM,COLUMN(W25)-1,FALSE),IF(VLOOKUP($B26,$B:BA,COLUMN(AZ25)-1,FALSE)&lt;&gt;0,"unknown",0))</f>
        <v>0</v>
      </c>
      <c r="CC26" s="2">
        <f>IF(VLOOKUP($B26,$B:AN,COLUMN(X25)-1,FALSE)&lt;&gt;0,VLOOKUP($B26,$B:BB,COLUMN(BA25)-1,FALSE)/VLOOKUP($B26,$B:AN,COLUMN(X25)-1,FALSE),IF(VLOOKUP($B26,$B:BB,COLUMN(BA25)-1,FALSE)&lt;&gt;0,"unknown",0))</f>
        <v>0</v>
      </c>
      <c r="CD26" s="2">
        <f>IF(VLOOKUP($B26,$B:AO,COLUMN(Y25)-1,FALSE)&lt;&gt;0,VLOOKUP($B26,$B:BC,COLUMN(BB25)-1,FALSE)/VLOOKUP($B26,$B:AO,COLUMN(Y25)-1,FALSE),IF(VLOOKUP($B26,$B:BC,COLUMN(BB25)-1,FALSE)&lt;&gt;0,"unknown",0))</f>
        <v>0</v>
      </c>
      <c r="CE26" s="2">
        <f>IF(VLOOKUP($B26,$B:AP,COLUMN(Z25)-1,FALSE)&lt;&gt;0,VLOOKUP($B26,$B:BD,COLUMN(BC25)-1,FALSE)/VLOOKUP($B26,$B:AP,COLUMN(Z25)-1,FALSE),IF(VLOOKUP($B26,$B:BD,COLUMN(BC25)-1,FALSE)&lt;&gt;0,"unknown",0))</f>
        <v>7.3684210526315783E-2</v>
      </c>
      <c r="CF26" s="2">
        <f>IF(VLOOKUP($B26,$B:AR,COLUMN(AA25)-1,FALSE)&lt;&gt;0,VLOOKUP($B26,$B:BF,COLUMN(BD25)-1,FALSE)/VLOOKUP($B26,$B:AR,COLUMN(AA25)-1,FALSE),IF(VLOOKUP($B26,$B:BF,COLUMN(BD25)-1,FALSE)&lt;&gt;0,"unknown",0))</f>
        <v>0</v>
      </c>
      <c r="CG26" s="2">
        <f>IF(VLOOKUP($B26,$B:AS,COLUMN(AB25)-1,FALSE)&lt;&gt;0,VLOOKUP($B26,$B:BG,COLUMN(BE25)-1,FALSE)/VLOOKUP($B26,$B:AS,COLUMN(AB25)-1,FALSE),IF(VLOOKUP($B26,$B:BG,COLUMN(BE25)-1,FALSE)&lt;&gt;0,"unknown",0))</f>
        <v>2.0864381520119227E-2</v>
      </c>
      <c r="CH26" s="2">
        <f>IF(VLOOKUP($B26,$B:AS,COLUMN(AC25)-1,FALSE)&lt;&gt;0,VLOOKUP($B26,$B:BG,COLUMN(BF25)-1,FALSE)/VLOOKUP($B26,$B:AS,COLUMN(AC25)-1,FALSE),IF(VLOOKUP($B26,$B:BG,COLUMN(BF25)-1,FALSE)&lt;&gt;0,"unknown",0))</f>
        <v>0.41249999999999998</v>
      </c>
      <c r="CI26" s="2">
        <f>IF(VLOOKUP($B26,$B:AT,COLUMN(AD25)-1,FALSE)&lt;&gt;0,VLOOKUP($B26,$B:BH,COLUMN(BG25)-1,FALSE)/VLOOKUP($B26,$B:AT,COLUMN(AD25)-1,FALSE),IF(VLOOKUP($B26,$B:BH,COLUMN(BG25)-1,FALSE)&lt;&gt;0,"unknown",0))</f>
        <v>0.25</v>
      </c>
      <c r="CJ26" s="2">
        <f>IF(VLOOKUP($B26,$B:AT,COLUMN(AE25)-1,FALSE)&lt;&gt;0,VLOOKUP($B26,$B:BH,COLUMN(BH25)-1,FALSE)/VLOOKUP($B26,$B:AT,COLUMN(AE25)-1,FALSE),IF(VLOOKUP($B26,$B:BH,COLUMN(BH25)-1,FALSE)&lt;&gt;0,"unknown",0))</f>
        <v>0</v>
      </c>
      <c r="CK26" s="2">
        <f>IF(VLOOKUP($B26,$B:AU,COLUMN(AG25)-1,FALSE)&lt;&gt;0,VLOOKUP($B26,$B:BI,COLUMN(BI25)-1,FALSE)/VLOOKUP($B26,$B:AU,COLUMN(AG25)-1,FALSE),IF(VLOOKUP($B26,$B:BI,COLUMN(BI25)-1,FALSE)&lt;&gt;0,"unknown",0))</f>
        <v>0</v>
      </c>
      <c r="CL26" s="2">
        <f>IF(VLOOKUP($B26,$B:AV,COLUMN(AH25)-1,FALSE)&lt;&gt;0,VLOOKUP($B26,$B:BJ,COLUMN(BJ25)-1,FALSE)/VLOOKUP($B26,$B:AV,COLUMN(AH25)-1,FALSE),IF(VLOOKUP($B26,$B:BJ,COLUMN(BJ25)-1,FALSE)&lt;&gt;0,"unknown",0))</f>
        <v>0</v>
      </c>
      <c r="CM26" s="2">
        <f>IF(VLOOKUP($B26,$B:AW,COLUMN(AI25)-1,FALSE)&lt;&gt;0,VLOOKUP($B26,$B:BK,COLUMN(BK25)-1,FALSE)/VLOOKUP($B26,$B:AW,COLUMN(AI25)-1,FALSE),IF(VLOOKUP($B26,$B:BK,COLUMN(BK25)-1,FALSE)&lt;&gt;0,"unknown",0))</f>
        <v>0</v>
      </c>
      <c r="CN26" s="2" t="str">
        <f>IF(VLOOKUP($B26,$B:AX,COLUMN(AJ25)-1,FALSE)&lt;&gt;0,VLOOKUP($B26,$B:BL,COLUMN(BL25)-1,FALSE)/VLOOKUP($B26,$B:AX,COLUMN(AJ25)-1,FALSE),IF(VLOOKUP($B26,$B:BL,COLUMN(BL25)-1,FALSE)&lt;&gt;0,"unknown",0))</f>
        <v>unknown</v>
      </c>
      <c r="CO26" s="410"/>
      <c r="CP26" s="2">
        <f>SUMIFS('Bilateral Assistance, MAIN DATA'!$M:$M,'Bilateral Assistance, MAIN DATA'!$B:$B,'Share, Heavy Weapons to Ukraine'!$B26,'Bilateral Assistance, MAIN DATA'!$AO:$AO,'Share, Heavy Weapons to Ukraine'!CP$11, 'Bilateral Assistance, MAIN DATA'!$AA:$AA,1)</f>
        <v>0</v>
      </c>
      <c r="CQ26" s="2">
        <f>SUMIFS('Bilateral Assistance, MAIN DATA'!$M:$M,'Bilateral Assistance, MAIN DATA'!$B:$B,'Share, Heavy Weapons to Ukraine'!$B26,'Bilateral Assistance, MAIN DATA'!$AO:$AO,'Share, Heavy Weapons to Ukraine'!CQ$11, 'Bilateral Assistance, MAIN DATA'!$AA:$AA,1)</f>
        <v>0</v>
      </c>
      <c r="CR26" s="2">
        <f>SUMIFS('Bilateral Assistance, MAIN DATA'!$M:$M,'Bilateral Assistance, MAIN DATA'!$B:$B,'Share, Heavy Weapons to Ukraine'!$B26,'Bilateral Assistance, MAIN DATA'!$AO:$AO,'Share, Heavy Weapons to Ukraine'!CR$11, 'Bilateral Assistance, MAIN DATA'!$AA:$AA,1)</f>
        <v>2</v>
      </c>
      <c r="CS26" s="2">
        <f>SUMIFS('Bilateral Assistance, MAIN DATA'!$M:$M,'Bilateral Assistance, MAIN DATA'!$B:$B,'Share, Heavy Weapons to Ukraine'!$B26,'Bilateral Assistance, MAIN DATA'!$AO:$AO,'Share, Heavy Weapons to Ukraine'!CS$11, 'Bilateral Assistance, MAIN DATA'!$AA:$AA,1)</f>
        <v>0</v>
      </c>
      <c r="CT26" s="410"/>
      <c r="CU26" s="2">
        <f>SUMIFS('Bilateral Assistance, MAIN DATA'!$N:$N,'Bilateral Assistance, MAIN DATA'!$B:$B,'Share, Heavy Weapons to Ukraine'!$B26,'Bilateral Assistance, MAIN DATA'!$AO:$AO,'Share, Heavy Weapons to Ukraine'!CU$11, 'Bilateral Assistance, MAIN DATA'!$AA:$AA,1)</f>
        <v>0</v>
      </c>
      <c r="CV26" s="2">
        <f>SUMIFS('Bilateral Assistance, MAIN DATA'!$N:$N,'Bilateral Assistance, MAIN DATA'!$B:$B,'Share, Heavy Weapons to Ukraine'!$B26,'Bilateral Assistance, MAIN DATA'!$AO:$AO,'Share, Heavy Weapons to Ukraine'!CV$11, 'Bilateral Assistance, MAIN DATA'!$AA:$AA,1)</f>
        <v>0</v>
      </c>
      <c r="CW26" s="2">
        <f>SUMIFS('Bilateral Assistance, MAIN DATA'!$N:$N,'Bilateral Assistance, MAIN DATA'!$B:$B,'Share, Heavy Weapons to Ukraine'!$B26,'Bilateral Assistance, MAIN DATA'!$AO:$AO,'Share, Heavy Weapons to Ukraine'!CW$11, 'Bilateral Assistance, MAIN DATA'!$AA:$AA,1)</f>
        <v>0</v>
      </c>
      <c r="CX26" s="2">
        <f>SUMIFS('Bilateral Assistance, MAIN DATA'!$N:$N,'Bilateral Assistance, MAIN DATA'!$B:$B,'Share, Heavy Weapons to Ukraine'!$B26,'Bilateral Assistance, MAIN DATA'!$AO:$AO,'Share, Heavy Weapons to Ukraine'!CX$11, 'Bilateral Assistance, MAIN DATA'!$AA:$AA,1)</f>
        <v>0</v>
      </c>
    </row>
    <row r="27" spans="2:102" ht="15.6">
      <c r="B27" s="409" t="s">
        <v>558</v>
      </c>
      <c r="C27" s="409">
        <v>0</v>
      </c>
      <c r="D27" s="2">
        <v>1</v>
      </c>
      <c r="E27" s="410"/>
      <c r="F27" s="569" t="s">
        <v>364</v>
      </c>
      <c r="G27" s="569" t="s">
        <v>364</v>
      </c>
      <c r="H27" s="569" t="s">
        <v>364</v>
      </c>
      <c r="I27" s="569" t="s">
        <v>364</v>
      </c>
      <c r="J27" s="569" t="s">
        <v>364</v>
      </c>
      <c r="K27" s="569" t="s">
        <v>364</v>
      </c>
      <c r="L27" s="569" t="s">
        <v>364</v>
      </c>
      <c r="M27" s="569" t="s">
        <v>364</v>
      </c>
      <c r="N27" s="569" t="s">
        <v>364</v>
      </c>
      <c r="O27" s="569" t="s">
        <v>364</v>
      </c>
      <c r="P27" s="569" t="s">
        <v>364</v>
      </c>
      <c r="Q27" s="569" t="s">
        <v>364</v>
      </c>
      <c r="R27" s="569" t="s">
        <v>364</v>
      </c>
      <c r="S27" s="569" t="s">
        <v>364</v>
      </c>
      <c r="T27" s="569" t="s">
        <v>364</v>
      </c>
      <c r="U27" s="410" t="str">
        <f>""</f>
        <v/>
      </c>
      <c r="V27" s="1334">
        <v>6.4</v>
      </c>
      <c r="W27" s="1334">
        <f>VLOOKUP(B27,'Heavy Weapon Stocks'!B:OA,COLUMN('Heavy Weapon Stocks'!$C$11)-1,FALSE)+IF(F27&lt;&gt;".",F27,0)</f>
        <v>0</v>
      </c>
      <c r="X27" s="1334">
        <f>VLOOKUP(B27,'Heavy Weapon Stocks'!B:OA,COLUMN('Heavy Weapon Stocks'!$AQ$11)-1,FALSE)</f>
        <v>88</v>
      </c>
      <c r="Y27" s="1334">
        <f>VLOOKUP(B27,'Heavy Weapon Stocks'!B:OA,COLUMN('Heavy Weapon Stocks'!$DK$11)-1,FALSE)</f>
        <v>0</v>
      </c>
      <c r="Z27" s="1334">
        <f>VLOOKUP(B27,'Heavy Weapon Stocks'!B:OA,COLUMN('Heavy Weapon Stocks'!$DY$11)-1,FALSE)</f>
        <v>665</v>
      </c>
      <c r="AA27" s="1334">
        <f>VLOOKUP(B27,'Heavy Weapon Stocks'!B:OA,COLUMN('Heavy Weapon Stocks'!$FA$11)-1,FALSE)+IF(G27&lt;&gt;".",G27,0)</f>
        <v>19</v>
      </c>
      <c r="AB27" s="1334">
        <f t="shared" si="3"/>
        <v>772</v>
      </c>
      <c r="AC27" s="1334">
        <f>VLOOKUP(B27,'Heavy Weapon Stocks'!B:OA,COLUMN('Heavy Weapon Stocks'!$GV$11)-1,FALSE)+VLOOKUP(B27,'Heavy Weapon Stocks'!B:OA,COLUMN('Heavy Weapon Stocks'!$HY$11)-1,FALSE)+IF(H27&lt;&gt;".",H27,0)</f>
        <v>0</v>
      </c>
      <c r="AD27" s="1334">
        <f>VLOOKUP(B27,'Heavy Weapon Stocks'!B:OA,COLUMN('Heavy Weapon Stocks'!$IF$11)-1,FALSE)+IF(I27&lt;&gt;".",I27,0)</f>
        <v>0</v>
      </c>
      <c r="AE27" s="1334">
        <f>VLOOKUP(B27,'Heavy Weapon Stocks'!B:OA,COLUMN('Heavy Weapon Stocks'!$IZ$11)-1,FALSE)+VLOOKUP(B27,'Heavy Weapon Stocks'!B:OA,COLUMN('Heavy Weapon Stocks'!$JW$11)-1,FALSE)</f>
        <v>53</v>
      </c>
      <c r="AF27" s="1334">
        <f>VLOOKUP(B27,'Heavy Weapon Stocks'!B:OA,COLUMN('Heavy Weapon Stocks'!$NL$11)-1,FALSE)+IF(L27&lt;&gt;".",L27,0)</f>
        <v>0</v>
      </c>
      <c r="AG27" s="1334">
        <f>VLOOKUP(B27,'Heavy Weapon Stocks'!B:OA,COLUMN('Heavy Weapon Stocks'!$LN$11)-1,FALSE)+IF(M27&lt;&gt;".",M27,0)</f>
        <v>0</v>
      </c>
      <c r="AH27" s="1334">
        <f>VLOOKUP(B27,'Heavy Weapon Stocks'!B:OA,COLUMN('Heavy Weapon Stocks'!$LX$11)-1,FALSE)+IF(N27&lt;&gt;".",N27,0)</f>
        <v>0</v>
      </c>
      <c r="AI27" s="1334">
        <f>VLOOKUP(B27,'Heavy Weapon Stocks'!B:OA,COLUMN('Heavy Weapon Stocks'!$ME$11)-1,FALSE)+IF(O27&lt;&gt;".",O27,0)</f>
        <v>0</v>
      </c>
      <c r="AJ27" s="1334">
        <f>VLOOKUP(B27,'Heavy Weapon Stocks'!B:OA,COLUMN('Heavy Weapon Stocks'!$NK$11)-1,FALSE)+IF(P27&lt;&gt;".",P27,0)</f>
        <v>0</v>
      </c>
      <c r="AK27" s="410"/>
      <c r="AL27" s="25">
        <f>SUMIFS('Bilateral Assistance, MAIN DATA'!$M:$M,'Bilateral Assistance, MAIN DATA'!$B:$B,'Share, Heavy Weapons to Ukraine'!$B27,'Bilateral Assistance, MAIN DATA'!$AO:$AO,'Share, Heavy Weapons to Ukraine'!AL$11)</f>
        <v>0</v>
      </c>
      <c r="AM27" s="25">
        <f>SUMIFS('Bilateral Assistance, MAIN DATA'!$M:$M,'Bilateral Assistance, MAIN DATA'!$B:$B,'Share, Heavy Weapons to Ukraine'!$B27,'Bilateral Assistance, MAIN DATA'!$AO:$AO,'Share, Heavy Weapons to Ukraine'!AM$11)</f>
        <v>0</v>
      </c>
      <c r="AN27" s="25">
        <f>SUMIFS('Bilateral Assistance, MAIN DATA'!$M:$M,'Bilateral Assistance, MAIN DATA'!$B:$B,'Share, Heavy Weapons to Ukraine'!$B27,'Bilateral Assistance, MAIN DATA'!$AO:$AO,'Share, Heavy Weapons to Ukraine'!AN$11)</f>
        <v>0</v>
      </c>
      <c r="AO27" s="25">
        <f>SUMIFS('Bilateral Assistance, MAIN DATA'!$M:$M,'Bilateral Assistance, MAIN DATA'!$B:$B,'Share, Heavy Weapons to Ukraine'!$B27,'Bilateral Assistance, MAIN DATA'!$AO:$AO,'Share, Heavy Weapons to Ukraine'!AO$11)</f>
        <v>80</v>
      </c>
      <c r="AP27" s="25">
        <f>SUMIFS('Bilateral Assistance, MAIN DATA'!$M:$M,'Bilateral Assistance, MAIN DATA'!$B:$B,'Share, Heavy Weapons to Ukraine'!$B27,'Bilateral Assistance, MAIN DATA'!$AO:$AO,'Share, Heavy Weapons to Ukraine'!AP$11)</f>
        <v>0</v>
      </c>
      <c r="AQ27" s="25">
        <f t="shared" si="1"/>
        <v>80</v>
      </c>
      <c r="AR27" s="25">
        <f>SUMIFS('Bilateral Assistance, MAIN DATA'!$M:$M,'Bilateral Assistance, MAIN DATA'!$B:$B,'Share, Heavy Weapons to Ukraine'!$B27,'Bilateral Assistance, MAIN DATA'!$AO:$AO,"155mm howitzer")+SUMIFS('Bilateral Assistance, MAIN DATA'!$M:$M,'Bilateral Assistance, MAIN DATA'!$B:$B,'Share, Heavy Weapons to Ukraine'!$B27,'Bilateral Assistance, MAIN DATA'!$AO:$AO,"152mm howitzer")</f>
        <v>0</v>
      </c>
      <c r="AS27" s="25">
        <f>SUMIFS('Bilateral Assistance, MAIN DATA'!$M:$M,'Bilateral Assistance, MAIN DATA'!$B:$B,'Share, Heavy Weapons to Ukraine'!$B27,'Bilateral Assistance, MAIN DATA'!$AO:$AO,"122mm MLRS")+SUMIFS('Bilateral Assistance, MAIN DATA'!$M:$M,'Bilateral Assistance, MAIN DATA'!$B:$B,'Share, Heavy Weapons to Ukraine'!$B27,'Bilateral Assistance, MAIN DATA'!$AO:$AO,"127mm MLRS")+SUMIFS('Bilateral Assistance, MAIN DATA'!$M:$M,'Bilateral Assistance, MAIN DATA'!$B:$B,'Share, Heavy Weapons to Ukraine'!$B27,'Bilateral Assistance, MAIN DATA'!$AO:$AO,"227mm MLRS")</f>
        <v>0</v>
      </c>
      <c r="AT27" s="25">
        <f>SUMIFS('Bilateral Assistance, MAIN DATA'!$M:$M,'Bilateral Assistance, MAIN DATA'!$B:$B,'Share, Heavy Weapons to Ukraine'!$B27,'Bilateral Assistance, MAIN DATA'!$AO:$AO,'Share, Heavy Weapons to Ukraine'!AT$11)</f>
        <v>0</v>
      </c>
      <c r="AU27" s="25">
        <f>SUMIFS('Bilateral Assistance, MAIN DATA'!$M:$M,'Bilateral Assistance, MAIN DATA'!$B:$B,'Share, Heavy Weapons to Ukraine'!$B27,'Bilateral Assistance, MAIN DATA'!$AO:$AO,'Share, Heavy Weapons to Ukraine'!AU$11)</f>
        <v>0</v>
      </c>
      <c r="AV27" s="25">
        <f>SUMIFS('Bilateral Assistance, MAIN DATA'!$M:$M,'Bilateral Assistance, MAIN DATA'!$B:$B,'Share, Heavy Weapons to Ukraine'!$B27,'Bilateral Assistance, MAIN DATA'!$AO:$AO,'Share, Heavy Weapons to Ukraine'!AV$11)</f>
        <v>0</v>
      </c>
      <c r="AW27" s="25">
        <f>SUMIFS('Bilateral Assistance, MAIN DATA'!$M:$M,'Bilateral Assistance, MAIN DATA'!$B:$B,'Share, Heavy Weapons to Ukraine'!$B27,'Bilateral Assistance, MAIN DATA'!$AO:$AO,'Share, Heavy Weapons to Ukraine'!AW$11)</f>
        <v>0</v>
      </c>
      <c r="AX27" s="25">
        <f>SUMIFS('Bilateral Assistance, MAIN DATA'!$M:$M,'Bilateral Assistance, MAIN DATA'!$B:$B,'Share, Heavy Weapons to Ukraine'!$B27,'Bilateral Assistance, MAIN DATA'!$AO:$AO,'Share, Heavy Weapons to Ukraine'!AX$11)</f>
        <v>0</v>
      </c>
      <c r="AY27" s="410"/>
      <c r="AZ27" s="25">
        <f>SUMIFS('Bilateral Assistance, MAIN DATA'!$N:$N,'Bilateral Assistance, MAIN DATA'!$B:$B,'Share, Heavy Weapons to Ukraine'!$B27,'Bilateral Assistance, MAIN DATA'!$AO:$AO,'Share, Heavy Weapons to Ukraine'!AZ$11)</f>
        <v>0</v>
      </c>
      <c r="BA27" s="25">
        <f>SUMIFS('Bilateral Assistance, MAIN DATA'!$N:$N,'Bilateral Assistance, MAIN DATA'!$B:$B,'Share, Heavy Weapons to Ukraine'!$B27,'Bilateral Assistance, MAIN DATA'!$AO:$AO,'Share, Heavy Weapons to Ukraine'!BA$11)</f>
        <v>0</v>
      </c>
      <c r="BB27" s="25">
        <f>SUMIFS('Bilateral Assistance, MAIN DATA'!$N:$N,'Bilateral Assistance, MAIN DATA'!$B:$B,'Share, Heavy Weapons to Ukraine'!$B27,'Bilateral Assistance, MAIN DATA'!$AO:$AO,'Share, Heavy Weapons to Ukraine'!BB$11)</f>
        <v>0</v>
      </c>
      <c r="BC27" s="25">
        <f>SUMIFS('Bilateral Assistance, MAIN DATA'!$N:$N,'Bilateral Assistance, MAIN DATA'!$B:$B,'Share, Heavy Weapons to Ukraine'!$B27,'Bilateral Assistance, MAIN DATA'!$AO:$AO,'Share, Heavy Weapons to Ukraine'!BC$11)</f>
        <v>80</v>
      </c>
      <c r="BD27" s="25">
        <f>SUMIFS('Bilateral Assistance, MAIN DATA'!$N:$N,'Bilateral Assistance, MAIN DATA'!$B:$B,'Share, Heavy Weapons to Ukraine'!$B27,'Bilateral Assistance, MAIN DATA'!$AO:$AO,'Share, Heavy Weapons to Ukraine'!BD$11)</f>
        <v>0</v>
      </c>
      <c r="BE27" s="25">
        <f t="shared" si="2"/>
        <v>80</v>
      </c>
      <c r="BF27" s="25">
        <f>SUMIFS('Bilateral Assistance, MAIN DATA'!$N:$N,'Bilateral Assistance, MAIN DATA'!$B:$B,'Share, Heavy Weapons to Ukraine'!$B27,'Bilateral Assistance, MAIN DATA'!$AO:$AO,"155mm howitzer")+SUMIFS('Bilateral Assistance, MAIN DATA'!$N:$N,'Bilateral Assistance, MAIN DATA'!$B:$B,'Share, Heavy Weapons to Ukraine'!$B27,'Bilateral Assistance, MAIN DATA'!$AO:$AO,"152mm howitzer")</f>
        <v>0</v>
      </c>
      <c r="BG27" s="25">
        <f>SUMIFS('Bilateral Assistance, MAIN DATA'!$N:$N,'Bilateral Assistance, MAIN DATA'!$B:$B,'Share, Heavy Weapons to Ukraine'!$B27,'Bilateral Assistance, MAIN DATA'!$AO:$AO,"122mm MLRS")+SUMIFS('Bilateral Assistance, MAIN DATA'!$N:$N,'Bilateral Assistance, MAIN DATA'!$B:$B,'Share, Heavy Weapons to Ukraine'!$B27,'Bilateral Assistance, MAIN DATA'!$AO:$AO,"127mm MLRS")+SUMIFS('Bilateral Assistance, MAIN DATA'!$N:$N,'Bilateral Assistance, MAIN DATA'!$B:$B,'Share, Heavy Weapons to Ukraine'!$B27,'Bilateral Assistance, MAIN DATA'!$AO:$AO,"227mm MLRS")</f>
        <v>0</v>
      </c>
      <c r="BH27" s="25">
        <f>SUMIFS('Bilateral Assistance, MAIN DATA'!$N:$N,'Bilateral Assistance, MAIN DATA'!$B:$B,'Share, Heavy Weapons to Ukraine'!$B27,'Bilateral Assistance, MAIN DATA'!$AO:$AO,'Share, Heavy Weapons to Ukraine'!BH$11)</f>
        <v>0</v>
      </c>
      <c r="BI27" s="25">
        <f>SUMIFS('Bilateral Assistance, MAIN DATA'!$N:$N,'Bilateral Assistance, MAIN DATA'!$B:$B,'Share, Heavy Weapons to Ukraine'!$B27,'Bilateral Assistance, MAIN DATA'!$AO:$AO,'Share, Heavy Weapons to Ukraine'!BI$11)</f>
        <v>0</v>
      </c>
      <c r="BJ27" s="25">
        <f>SUMIFS('Bilateral Assistance, MAIN DATA'!$N:$N,'Bilateral Assistance, MAIN DATA'!$B:$B,'Share, Heavy Weapons to Ukraine'!$B27,'Bilateral Assistance, MAIN DATA'!$AO:$AO,'Share, Heavy Weapons to Ukraine'!BJ$11)</f>
        <v>0</v>
      </c>
      <c r="BK27" s="25">
        <f>SUMIFS('Bilateral Assistance, MAIN DATA'!$N:$N,'Bilateral Assistance, MAIN DATA'!$B:$B,'Share, Heavy Weapons to Ukraine'!$B27,'Bilateral Assistance, MAIN DATA'!$AO:$AO,'Share, Heavy Weapons to Ukraine'!BK$11)</f>
        <v>0</v>
      </c>
      <c r="BL27" s="25">
        <f>SUMIFS('Bilateral Assistance, MAIN DATA'!$N:$N,'Bilateral Assistance, MAIN DATA'!$B:$B,'Share, Heavy Weapons to Ukraine'!$B27,'Bilateral Assistance, MAIN DATA'!$AO:$AO,'Share, Heavy Weapons to Ukraine'!BL$11)</f>
        <v>0</v>
      </c>
      <c r="BM27" s="410"/>
      <c r="BN27" s="261">
        <f>IF(VLOOKUP($B27,$B:W,COLUMN(W26)-1,FALSE)&lt;&gt;0,VLOOKUP($B27,$B:AL,COLUMN(AL26)-1,FALSE)/VLOOKUP($B27,$B:W,COLUMN(W26)-1,FALSE),IF(VLOOKUP($B27,$B:AL,COLUMN(AL26)-1,FALSE)&lt;&gt;0,"unknown",0))</f>
        <v>0</v>
      </c>
      <c r="BO27" s="261">
        <f>IF(VLOOKUP($B27,$B:X,COLUMN(X26)-1,FALSE)&lt;&gt;0,VLOOKUP($B27,$B:AM,COLUMN(AM26)-1,FALSE)/VLOOKUP($B27,$B:X,COLUMN(X26)-1,FALSE),IF(VLOOKUP($B27,$B:AM,COLUMN(AM26)-1,FALSE)&lt;&gt;0,"unknown",0))</f>
        <v>0</v>
      </c>
      <c r="BP27" s="261">
        <f>IF(VLOOKUP($B27,$B:Y,COLUMN(Y26)-1,FALSE)&lt;&gt;0,VLOOKUP($B27,$B:AN,COLUMN(AN26)-1,FALSE)/VLOOKUP($B27,$B:Y,COLUMN(Y26)-1,FALSE),IF(VLOOKUP($B27,$B:AN,COLUMN(AN26)-1,FALSE)&lt;&gt;0,"unknown",0))</f>
        <v>0</v>
      </c>
      <c r="BQ27" s="261">
        <f>IF(VLOOKUP($B27,$B:Z,COLUMN(Z26)-1,FALSE)&lt;&gt;0,VLOOKUP($B27,$B:AO,COLUMN(AO26)-1,FALSE)/VLOOKUP($B27,$B:Z,COLUMN(Z26)-1,FALSE),IF(VLOOKUP($B27,$B:AO,COLUMN(AO26)-1,FALSE)&lt;&gt;0,"unknown",0))</f>
        <v>0.12030075187969924</v>
      </c>
      <c r="BR27" s="261">
        <f>IF(VLOOKUP($B27,$B:AA,COLUMN(AA26)-1,FALSE)&lt;&gt;0,VLOOKUP($B27,$B:AP,COLUMN(AP26)-1,FALSE)/VLOOKUP($B27,$B:AA,COLUMN(AA26)-1,FALSE),IF(VLOOKUP($B27,$B:AP,COLUMN(AP26)-1,FALSE)&lt;&gt;0,"unknown",0))</f>
        <v>0</v>
      </c>
      <c r="BS27" s="261">
        <f>IF(VLOOKUP($B27,$B:AB,COLUMN(AB26)-1,FALSE)&lt;&gt;0,VLOOKUP($B27,$B:AQ,COLUMN(AQ26)-1,FALSE)/VLOOKUP($B27,$B:AB,COLUMN(AB26)-1,FALSE),IF(VLOOKUP($B27,$B:AQ,COLUMN(AQ26)-1,FALSE)&lt;&gt;0,"unknown",0))</f>
        <v>0.10362694300518134</v>
      </c>
      <c r="BT27" s="261">
        <f>IF(VLOOKUP($B27,$B:AC,COLUMN(AC26)-1,FALSE)&lt;&gt;0,VLOOKUP($B27,$B:AR,COLUMN(AR26)-1,FALSE)/VLOOKUP($B27,$B:AC,COLUMN(AC26)-1,FALSE),IF(VLOOKUP($B27,$B:AR,COLUMN(AR26)-1,FALSE)&lt;&gt;0,"unknown",0))</f>
        <v>0</v>
      </c>
      <c r="BU27" s="261">
        <f>IF(VLOOKUP($B27,$B:AD,COLUMN(AD26)-1,FALSE)&lt;&gt;0,VLOOKUP($B27,$B:AS,COLUMN(AS26)-1,FALSE)/VLOOKUP($B27,$B:AD,COLUMN(AD26)-1,FALSE),IF(VLOOKUP($B27,$B:AS,COLUMN(AS26)-1,FALSE)&lt;&gt;0,"unknown",0))</f>
        <v>0</v>
      </c>
      <c r="BV27" s="261">
        <f>IF(VLOOKUP($B27,$B:AE,COLUMN(AE26)-1,FALSE)&lt;&gt;0,VLOOKUP($B27,$B:AT,COLUMN(AT26)-1,FALSE)/VLOOKUP($B27,$B:AE,COLUMN(AE26)-1,FALSE),IF(VLOOKUP($B27,$B:AT,COLUMN(AT26)-1,FALSE)&lt;&gt;0,"unknown",0))</f>
        <v>0</v>
      </c>
      <c r="BW27" s="261">
        <f>IF(VLOOKUP($B27,$B:AG,COLUMN(AG26)-1,FALSE)&lt;&gt;0,VLOOKUP($B27,$B:AU,COLUMN(AU26)-1,FALSE)/VLOOKUP($B27,$B:AG,COLUMN(AG26)-1,FALSE),IF(VLOOKUP($B27,$B:AU,COLUMN(AU26)-1,FALSE)&lt;&gt;0,"unknown",0))</f>
        <v>0</v>
      </c>
      <c r="BX27" s="261">
        <f>IF(VLOOKUP($B27,$B:AH,COLUMN(AH26)-1,FALSE)&lt;&gt;0,VLOOKUP($B27,$B:AV,COLUMN(AV26)-1,FALSE)/VLOOKUP($B27,$B:AH,COLUMN(AH26)-1,FALSE),IF(VLOOKUP($B27,$B:AV,COLUMN(AV26)-1,FALSE)&lt;&gt;0,"unknown",0))</f>
        <v>0</v>
      </c>
      <c r="BY27" s="261">
        <f>IF(VLOOKUP($B27,$B:AI,COLUMN(AI26)-1,FALSE)&lt;&gt;0,VLOOKUP($B27,$B:AW,COLUMN(AW26)-1,FALSE)/VLOOKUP($B27,$B:AI,COLUMN(AI26)-1,FALSE),IF(VLOOKUP($B27,$B:AW,COLUMN(AW26)-1,FALSE)&lt;&gt;0,"unknown",0))</f>
        <v>0</v>
      </c>
      <c r="BZ27" s="261">
        <f>IF(VLOOKUP($B27,$B:AJ,COLUMN(AJ26)-1,FALSE)&lt;&gt;0,VLOOKUP($B27,$B:AX,COLUMN(AX26)-1,FALSE)/VLOOKUP($B27,$B:AJ,COLUMN(AJ26)-1,FALSE),IF(VLOOKUP($B27,$B:AX,COLUMN(AX26)-1,FALSE)&lt;&gt;0,"unknown",0))</f>
        <v>0</v>
      </c>
      <c r="CA27" s="410"/>
      <c r="CB27" s="2">
        <f>IF(VLOOKUP($B27,$B:AM,COLUMN(W26)-1,FALSE)&lt;&gt;0,VLOOKUP($B27,$B:BA,COLUMN(AZ26)-1,FALSE)/VLOOKUP($B27,$B:AM,COLUMN(W26)-1,FALSE),IF(VLOOKUP($B27,$B:BA,COLUMN(AZ26)-1,FALSE)&lt;&gt;0,"unknown",0))</f>
        <v>0</v>
      </c>
      <c r="CC27" s="2">
        <f>IF(VLOOKUP($B27,$B:AN,COLUMN(X26)-1,FALSE)&lt;&gt;0,VLOOKUP($B27,$B:BB,COLUMN(BA26)-1,FALSE)/VLOOKUP($B27,$B:AN,COLUMN(X26)-1,FALSE),IF(VLOOKUP($B27,$B:BB,COLUMN(BA26)-1,FALSE)&lt;&gt;0,"unknown",0))</f>
        <v>0</v>
      </c>
      <c r="CD27" s="2">
        <f>IF(VLOOKUP($B27,$B:AO,COLUMN(Y26)-1,FALSE)&lt;&gt;0,VLOOKUP($B27,$B:BC,COLUMN(BB26)-1,FALSE)/VLOOKUP($B27,$B:AO,COLUMN(Y26)-1,FALSE),IF(VLOOKUP($B27,$B:BC,COLUMN(BB26)-1,FALSE)&lt;&gt;0,"unknown",0))</f>
        <v>0</v>
      </c>
      <c r="CE27" s="2">
        <f>IF(VLOOKUP($B27,$B:AP,COLUMN(Z26)-1,FALSE)&lt;&gt;0,VLOOKUP($B27,$B:BD,COLUMN(BC26)-1,FALSE)/VLOOKUP($B27,$B:AP,COLUMN(Z26)-1,FALSE),IF(VLOOKUP($B27,$B:BD,COLUMN(BC26)-1,FALSE)&lt;&gt;0,"unknown",0))</f>
        <v>0.12030075187969924</v>
      </c>
      <c r="CF27" s="2">
        <f>IF(VLOOKUP($B27,$B:AR,COLUMN(AA26)-1,FALSE)&lt;&gt;0,VLOOKUP($B27,$B:BF,COLUMN(BD26)-1,FALSE)/VLOOKUP($B27,$B:AR,COLUMN(AA26)-1,FALSE),IF(VLOOKUP($B27,$B:BF,COLUMN(BD26)-1,FALSE)&lt;&gt;0,"unknown",0))</f>
        <v>0</v>
      </c>
      <c r="CG27" s="2">
        <f>IF(VLOOKUP($B27,$B:AS,COLUMN(AB26)-1,FALSE)&lt;&gt;0,VLOOKUP($B27,$B:BG,COLUMN(BE26)-1,FALSE)/VLOOKUP($B27,$B:AS,COLUMN(AB26)-1,FALSE),IF(VLOOKUP($B27,$B:BG,COLUMN(BE26)-1,FALSE)&lt;&gt;0,"unknown",0))</f>
        <v>0.10362694300518134</v>
      </c>
      <c r="CH27" s="2">
        <f>IF(VLOOKUP($B27,$B:AS,COLUMN(AC26)-1,FALSE)&lt;&gt;0,VLOOKUP($B27,$B:BG,COLUMN(BF26)-1,FALSE)/VLOOKUP($B27,$B:AS,COLUMN(AC26)-1,FALSE),IF(VLOOKUP($B27,$B:BG,COLUMN(BF26)-1,FALSE)&lt;&gt;0,"unknown",0))</f>
        <v>0</v>
      </c>
      <c r="CI27" s="2">
        <f>IF(VLOOKUP($B27,$B:AT,COLUMN(AD26)-1,FALSE)&lt;&gt;0,VLOOKUP($B27,$B:BH,COLUMN(BG26)-1,FALSE)/VLOOKUP($B27,$B:AT,COLUMN(AD26)-1,FALSE),IF(VLOOKUP($B27,$B:BH,COLUMN(BG26)-1,FALSE)&lt;&gt;0,"unknown",0))</f>
        <v>0</v>
      </c>
      <c r="CJ27" s="2">
        <f>IF(VLOOKUP($B27,$B:AT,COLUMN(AE26)-1,FALSE)&lt;&gt;0,VLOOKUP($B27,$B:BH,COLUMN(BH26)-1,FALSE)/VLOOKUP($B27,$B:AT,COLUMN(AE26)-1,FALSE),IF(VLOOKUP($B27,$B:BH,COLUMN(BH26)-1,FALSE)&lt;&gt;0,"unknown",0))</f>
        <v>0</v>
      </c>
      <c r="CK27" s="2">
        <f>IF(VLOOKUP($B27,$B:AU,COLUMN(AG26)-1,FALSE)&lt;&gt;0,VLOOKUP($B27,$B:BI,COLUMN(BI26)-1,FALSE)/VLOOKUP($B27,$B:AU,COLUMN(AG26)-1,FALSE),IF(VLOOKUP($B27,$B:BI,COLUMN(BI26)-1,FALSE)&lt;&gt;0,"unknown",0))</f>
        <v>0</v>
      </c>
      <c r="CL27" s="2">
        <f>IF(VLOOKUP($B27,$B:AV,COLUMN(AH26)-1,FALSE)&lt;&gt;0,VLOOKUP($B27,$B:BJ,COLUMN(BJ26)-1,FALSE)/VLOOKUP($B27,$B:AV,COLUMN(AH26)-1,FALSE),IF(VLOOKUP($B27,$B:BJ,COLUMN(BJ26)-1,FALSE)&lt;&gt;0,"unknown",0))</f>
        <v>0</v>
      </c>
      <c r="CM27" s="2">
        <f>IF(VLOOKUP($B27,$B:AW,COLUMN(AI26)-1,FALSE)&lt;&gt;0,VLOOKUP($B27,$B:BK,COLUMN(BK26)-1,FALSE)/VLOOKUP($B27,$B:AW,COLUMN(AI26)-1,FALSE),IF(VLOOKUP($B27,$B:BK,COLUMN(BK26)-1,FALSE)&lt;&gt;0,"unknown",0))</f>
        <v>0</v>
      </c>
      <c r="CN27" s="2">
        <f>IF(VLOOKUP($B27,$B:AX,COLUMN(AJ26)-1,FALSE)&lt;&gt;0,VLOOKUP($B27,$B:BL,COLUMN(BL26)-1,FALSE)/VLOOKUP($B27,$B:AX,COLUMN(AJ26)-1,FALSE),IF(VLOOKUP($B27,$B:BL,COLUMN(BL26)-1,FALSE)&lt;&gt;0,"unknown",0))</f>
        <v>0</v>
      </c>
      <c r="CO27" s="410"/>
      <c r="CP27" s="2">
        <f>SUMIFS('Bilateral Assistance, MAIN DATA'!$M:$M,'Bilateral Assistance, MAIN DATA'!$B:$B,'Share, Heavy Weapons to Ukraine'!$B27,'Bilateral Assistance, MAIN DATA'!$AO:$AO,'Share, Heavy Weapons to Ukraine'!CP$11, 'Bilateral Assistance, MAIN DATA'!$AA:$AA,1)</f>
        <v>0</v>
      </c>
      <c r="CQ27" s="2">
        <f>SUMIFS('Bilateral Assistance, MAIN DATA'!$M:$M,'Bilateral Assistance, MAIN DATA'!$B:$B,'Share, Heavy Weapons to Ukraine'!$B27,'Bilateral Assistance, MAIN DATA'!$AO:$AO,'Share, Heavy Weapons to Ukraine'!CQ$11, 'Bilateral Assistance, MAIN DATA'!$AA:$AA,1)</f>
        <v>0</v>
      </c>
      <c r="CR27" s="2">
        <f>SUMIFS('Bilateral Assistance, MAIN DATA'!$M:$M,'Bilateral Assistance, MAIN DATA'!$B:$B,'Share, Heavy Weapons to Ukraine'!$B27,'Bilateral Assistance, MAIN DATA'!$AO:$AO,'Share, Heavy Weapons to Ukraine'!CR$11, 'Bilateral Assistance, MAIN DATA'!$AA:$AA,1)</f>
        <v>0</v>
      </c>
      <c r="CS27" s="2">
        <f>SUMIFS('Bilateral Assistance, MAIN DATA'!$M:$M,'Bilateral Assistance, MAIN DATA'!$B:$B,'Share, Heavy Weapons to Ukraine'!$B27,'Bilateral Assistance, MAIN DATA'!$AO:$AO,'Share, Heavy Weapons to Ukraine'!CS$11, 'Bilateral Assistance, MAIN DATA'!$AA:$AA,1)</f>
        <v>0</v>
      </c>
      <c r="CT27" s="410"/>
      <c r="CU27" s="2">
        <f>SUMIFS('Bilateral Assistance, MAIN DATA'!$N:$N,'Bilateral Assistance, MAIN DATA'!$B:$B,'Share, Heavy Weapons to Ukraine'!$B27,'Bilateral Assistance, MAIN DATA'!$AO:$AO,'Share, Heavy Weapons to Ukraine'!CU$11, 'Bilateral Assistance, MAIN DATA'!$AA:$AA,1)</f>
        <v>0</v>
      </c>
      <c r="CV27" s="2">
        <f>SUMIFS('Bilateral Assistance, MAIN DATA'!$N:$N,'Bilateral Assistance, MAIN DATA'!$B:$B,'Share, Heavy Weapons to Ukraine'!$B27,'Bilateral Assistance, MAIN DATA'!$AO:$AO,'Share, Heavy Weapons to Ukraine'!CV$11, 'Bilateral Assistance, MAIN DATA'!$AA:$AA,1)</f>
        <v>0</v>
      </c>
      <c r="CW27" s="2">
        <f>SUMIFS('Bilateral Assistance, MAIN DATA'!$N:$N,'Bilateral Assistance, MAIN DATA'!$B:$B,'Share, Heavy Weapons to Ukraine'!$B27,'Bilateral Assistance, MAIN DATA'!$AO:$AO,'Share, Heavy Weapons to Ukraine'!CW$11, 'Bilateral Assistance, MAIN DATA'!$AA:$AA,1)</f>
        <v>0</v>
      </c>
      <c r="CX27" s="2">
        <f>SUMIFS('Bilateral Assistance, MAIN DATA'!$N:$N,'Bilateral Assistance, MAIN DATA'!$B:$B,'Share, Heavy Weapons to Ukraine'!$B27,'Bilateral Assistance, MAIN DATA'!$AO:$AO,'Share, Heavy Weapons to Ukraine'!CX$11, 'Bilateral Assistance, MAIN DATA'!$AA:$AA,1)</f>
        <v>0</v>
      </c>
    </row>
    <row r="28" spans="2:102" ht="15.6">
      <c r="B28" s="409" t="s">
        <v>1432</v>
      </c>
      <c r="C28" s="409">
        <v>0</v>
      </c>
      <c r="D28" s="2">
        <v>1</v>
      </c>
      <c r="E28" s="410"/>
      <c r="F28" s="569" t="s">
        <v>364</v>
      </c>
      <c r="G28" s="569" t="s">
        <v>364</v>
      </c>
      <c r="H28" s="569" t="s">
        <v>364</v>
      </c>
      <c r="I28" s="569" t="s">
        <v>364</v>
      </c>
      <c r="J28" s="569" t="s">
        <v>364</v>
      </c>
      <c r="K28" s="569" t="s">
        <v>364</v>
      </c>
      <c r="L28" s="569" t="s">
        <v>364</v>
      </c>
      <c r="M28" s="569" t="s">
        <v>364</v>
      </c>
      <c r="N28" s="569" t="s">
        <v>364</v>
      </c>
      <c r="O28" s="569" t="s">
        <v>364</v>
      </c>
      <c r="P28" s="569" t="s">
        <v>364</v>
      </c>
      <c r="Q28" s="569" t="s">
        <v>364</v>
      </c>
      <c r="R28" s="569" t="s">
        <v>364</v>
      </c>
      <c r="S28" s="569" t="s">
        <v>364</v>
      </c>
      <c r="T28" s="569" t="s">
        <v>364</v>
      </c>
      <c r="U28" s="410" t="str">
        <f>""</f>
        <v/>
      </c>
      <c r="V28" s="1334">
        <v>5.96</v>
      </c>
      <c r="W28" s="1334">
        <f>VLOOKUP(B28,'Heavy Weapon Stocks'!B:OA,COLUMN('Heavy Weapon Stocks'!$C$11)-1,FALSE)+IF(F28&lt;&gt;".",F28,0)</f>
        <v>200</v>
      </c>
      <c r="X28" s="1334">
        <f>VLOOKUP(B28,'Heavy Weapon Stocks'!B:OA,COLUMN('Heavy Weapon Stocks'!$AQ$11)-1,FALSE)</f>
        <v>613</v>
      </c>
      <c r="Y28" s="1334">
        <f>VLOOKUP(B28,'Heavy Weapon Stocks'!B:OA,COLUMN('Heavy Weapon Stocks'!$DK$11)-1,FALSE)</f>
        <v>0</v>
      </c>
      <c r="Z28" s="1334">
        <f>VLOOKUP(B28,'Heavy Weapon Stocks'!B:OA,COLUMN('Heavy Weapon Stocks'!$DY$11)-1,FALSE)</f>
        <v>0</v>
      </c>
      <c r="AA28" s="1334">
        <f>VLOOKUP(B28,'Heavy Weapon Stocks'!B:OA,COLUMN('Heavy Weapon Stocks'!$FA$11)-1,FALSE)+IF(G28&lt;&gt;".",G28,0)</f>
        <v>212</v>
      </c>
      <c r="AB28" s="1334">
        <f t="shared" si="3"/>
        <v>825</v>
      </c>
      <c r="AC28" s="1334">
        <f>VLOOKUP(B28,'Heavy Weapon Stocks'!B:OA,COLUMN('Heavy Weapon Stocks'!$GV$11)-1,FALSE)+VLOOKUP(B28,'Heavy Weapon Stocks'!B:OA,COLUMN('Heavy Weapon Stocks'!$HY$11)-1,FALSE)+IF(H28&lt;&gt;".",H28,0)</f>
        <v>67</v>
      </c>
      <c r="AD28" s="1334">
        <f>VLOOKUP(B28,'Heavy Weapon Stocks'!B:OA,COLUMN('Heavy Weapon Stocks'!$IF$11)-1,FALSE)+IF(I28&lt;&gt;".",I28,0)</f>
        <v>56</v>
      </c>
      <c r="AE28" s="1334">
        <f>VLOOKUP(B28,'Heavy Weapon Stocks'!B:OA,COLUMN('Heavy Weapon Stocks'!$IZ$11)-1,FALSE)+VLOOKUP(B28,'Heavy Weapon Stocks'!B:OA,COLUMN('Heavy Weapon Stocks'!$JW$11)-1,FALSE)</f>
        <v>62</v>
      </c>
      <c r="AF28" s="1334">
        <f>VLOOKUP(B28,'Heavy Weapon Stocks'!B:OA,COLUMN('Heavy Weapon Stocks'!$NL$11)-1,FALSE)+IF(L28&lt;&gt;".",L28,0)</f>
        <v>0</v>
      </c>
      <c r="AG28" s="1334">
        <f>VLOOKUP(B28,'Heavy Weapon Stocks'!B:OA,COLUMN('Heavy Weapon Stocks'!$LN$11)-1,FALSE)+IF(M28&lt;&gt;".",M28,0)</f>
        <v>0</v>
      </c>
      <c r="AH28" s="1334">
        <f>VLOOKUP(B28,'Heavy Weapon Stocks'!B:OA,COLUMN('Heavy Weapon Stocks'!$LX$11)-1,FALSE)+IF(N28&lt;&gt;".",N28,0)</f>
        <v>0</v>
      </c>
      <c r="AI28" s="1334">
        <f>VLOOKUP(B28,'Heavy Weapon Stocks'!B:OA,COLUMN('Heavy Weapon Stocks'!$ME$11)-1,FALSE)+IF(O28&lt;&gt;".",O28,0)</f>
        <v>44</v>
      </c>
      <c r="AJ28" s="1334">
        <f>VLOOKUP(B28,'Heavy Weapon Stocks'!B:OA,COLUMN('Heavy Weapon Stocks'!$NK$11)-1,FALSE)+IF(P28&lt;&gt;".",P28,0)</f>
        <v>16</v>
      </c>
      <c r="AK28" s="410"/>
      <c r="AL28" s="25">
        <f>SUMIFS('Bilateral Assistance, MAIN DATA'!$M:$M,'Bilateral Assistance, MAIN DATA'!$B:$B,'Share, Heavy Weapons to Ukraine'!$B28,'Bilateral Assistance, MAIN DATA'!$AO:$AO,'Share, Heavy Weapons to Ukraine'!AL$11)</f>
        <v>0</v>
      </c>
      <c r="AM28" s="25">
        <f>SUMIFS('Bilateral Assistance, MAIN DATA'!$M:$M,'Bilateral Assistance, MAIN DATA'!$B:$B,'Share, Heavy Weapons to Ukraine'!$B28,'Bilateral Assistance, MAIN DATA'!$AO:$AO,'Share, Heavy Weapons to Ukraine'!AM$11)</f>
        <v>0</v>
      </c>
      <c r="AN28" s="25">
        <f>SUMIFS('Bilateral Assistance, MAIN DATA'!$M:$M,'Bilateral Assistance, MAIN DATA'!$B:$B,'Share, Heavy Weapons to Ukraine'!$B28,'Bilateral Assistance, MAIN DATA'!$AO:$AO,'Share, Heavy Weapons to Ukraine'!AN$11)</f>
        <v>0</v>
      </c>
      <c r="AO28" s="25">
        <f>SUMIFS('Bilateral Assistance, MAIN DATA'!$M:$M,'Bilateral Assistance, MAIN DATA'!$B:$B,'Share, Heavy Weapons to Ukraine'!$B28,'Bilateral Assistance, MAIN DATA'!$AO:$AO,'Share, Heavy Weapons to Ukraine'!AO$11)</f>
        <v>0</v>
      </c>
      <c r="AP28" s="25">
        <f>SUMIFS('Bilateral Assistance, MAIN DATA'!$M:$M,'Bilateral Assistance, MAIN DATA'!$B:$B,'Share, Heavy Weapons to Ukraine'!$B28,'Bilateral Assistance, MAIN DATA'!$AO:$AO,'Share, Heavy Weapons to Ukraine'!AP$11)</f>
        <v>0</v>
      </c>
      <c r="AQ28" s="25">
        <f t="shared" si="1"/>
        <v>0</v>
      </c>
      <c r="AR28" s="25">
        <f>SUMIFS('Bilateral Assistance, MAIN DATA'!$M:$M,'Bilateral Assistance, MAIN DATA'!$B:$B,'Share, Heavy Weapons to Ukraine'!$B28,'Bilateral Assistance, MAIN DATA'!$AO:$AO,"155mm howitzer")+SUMIFS('Bilateral Assistance, MAIN DATA'!$M:$M,'Bilateral Assistance, MAIN DATA'!$B:$B,'Share, Heavy Weapons to Ukraine'!$B28,'Bilateral Assistance, MAIN DATA'!$AO:$AO,"152mm howitzer")</f>
        <v>0</v>
      </c>
      <c r="AS28" s="25">
        <f>SUMIFS('Bilateral Assistance, MAIN DATA'!$M:$M,'Bilateral Assistance, MAIN DATA'!$B:$B,'Share, Heavy Weapons to Ukraine'!$B28,'Bilateral Assistance, MAIN DATA'!$AO:$AO,"122mm MLRS")+SUMIFS('Bilateral Assistance, MAIN DATA'!$M:$M,'Bilateral Assistance, MAIN DATA'!$B:$B,'Share, Heavy Weapons to Ukraine'!$B28,'Bilateral Assistance, MAIN DATA'!$AO:$AO,"127mm MLRS")+SUMIFS('Bilateral Assistance, MAIN DATA'!$M:$M,'Bilateral Assistance, MAIN DATA'!$B:$B,'Share, Heavy Weapons to Ukraine'!$B28,'Bilateral Assistance, MAIN DATA'!$AO:$AO,"227mm MLRS")</f>
        <v>0</v>
      </c>
      <c r="AT28" s="25">
        <f>SUMIFS('Bilateral Assistance, MAIN DATA'!$M:$M,'Bilateral Assistance, MAIN DATA'!$B:$B,'Share, Heavy Weapons to Ukraine'!$B28,'Bilateral Assistance, MAIN DATA'!$AO:$AO,'Share, Heavy Weapons to Ukraine'!AT$11)</f>
        <v>0</v>
      </c>
      <c r="AU28" s="25">
        <f>SUMIFS('Bilateral Assistance, MAIN DATA'!$M:$M,'Bilateral Assistance, MAIN DATA'!$B:$B,'Share, Heavy Weapons to Ukraine'!$B28,'Bilateral Assistance, MAIN DATA'!$AO:$AO,'Share, Heavy Weapons to Ukraine'!AU$11)</f>
        <v>0</v>
      </c>
      <c r="AV28" s="25">
        <f>SUMIFS('Bilateral Assistance, MAIN DATA'!$M:$M,'Bilateral Assistance, MAIN DATA'!$B:$B,'Share, Heavy Weapons to Ukraine'!$B28,'Bilateral Assistance, MAIN DATA'!$AO:$AO,'Share, Heavy Weapons to Ukraine'!AV$11)</f>
        <v>0</v>
      </c>
      <c r="AW28" s="25">
        <f>SUMIFS('Bilateral Assistance, MAIN DATA'!$M:$M,'Bilateral Assistance, MAIN DATA'!$B:$B,'Share, Heavy Weapons to Ukraine'!$B28,'Bilateral Assistance, MAIN DATA'!$AO:$AO,'Share, Heavy Weapons to Ukraine'!AW$11)</f>
        <v>0</v>
      </c>
      <c r="AX28" s="25">
        <f>SUMIFS('Bilateral Assistance, MAIN DATA'!$M:$M,'Bilateral Assistance, MAIN DATA'!$B:$B,'Share, Heavy Weapons to Ukraine'!$B28,'Bilateral Assistance, MAIN DATA'!$AO:$AO,'Share, Heavy Weapons to Ukraine'!AX$11)</f>
        <v>0</v>
      </c>
      <c r="AY28" s="410"/>
      <c r="AZ28" s="25">
        <f>SUMIFS('Bilateral Assistance, MAIN DATA'!$N:$N,'Bilateral Assistance, MAIN DATA'!$B:$B,'Share, Heavy Weapons to Ukraine'!$B28,'Bilateral Assistance, MAIN DATA'!$AO:$AO,'Share, Heavy Weapons to Ukraine'!AZ$11)</f>
        <v>0</v>
      </c>
      <c r="BA28" s="25">
        <f>SUMIFS('Bilateral Assistance, MAIN DATA'!$N:$N,'Bilateral Assistance, MAIN DATA'!$B:$B,'Share, Heavy Weapons to Ukraine'!$B28,'Bilateral Assistance, MAIN DATA'!$AO:$AO,'Share, Heavy Weapons to Ukraine'!BA$11)</f>
        <v>0</v>
      </c>
      <c r="BB28" s="25">
        <f>SUMIFS('Bilateral Assistance, MAIN DATA'!$N:$N,'Bilateral Assistance, MAIN DATA'!$B:$B,'Share, Heavy Weapons to Ukraine'!$B28,'Bilateral Assistance, MAIN DATA'!$AO:$AO,'Share, Heavy Weapons to Ukraine'!BB$11)</f>
        <v>0</v>
      </c>
      <c r="BC28" s="25">
        <f>SUMIFS('Bilateral Assistance, MAIN DATA'!$N:$N,'Bilateral Assistance, MAIN DATA'!$B:$B,'Share, Heavy Weapons to Ukraine'!$B28,'Bilateral Assistance, MAIN DATA'!$AO:$AO,'Share, Heavy Weapons to Ukraine'!BC$11)</f>
        <v>0</v>
      </c>
      <c r="BD28" s="25">
        <f>SUMIFS('Bilateral Assistance, MAIN DATA'!$N:$N,'Bilateral Assistance, MAIN DATA'!$B:$B,'Share, Heavy Weapons to Ukraine'!$B28,'Bilateral Assistance, MAIN DATA'!$AO:$AO,'Share, Heavy Weapons to Ukraine'!BD$11)</f>
        <v>0</v>
      </c>
      <c r="BE28" s="25">
        <f t="shared" si="2"/>
        <v>0</v>
      </c>
      <c r="BF28" s="25">
        <f>SUMIFS('Bilateral Assistance, MAIN DATA'!$N:$N,'Bilateral Assistance, MAIN DATA'!$B:$B,'Share, Heavy Weapons to Ukraine'!$B28,'Bilateral Assistance, MAIN DATA'!$AO:$AO,"155mm howitzer")+SUMIFS('Bilateral Assistance, MAIN DATA'!$N:$N,'Bilateral Assistance, MAIN DATA'!$B:$B,'Share, Heavy Weapons to Ukraine'!$B28,'Bilateral Assistance, MAIN DATA'!$AO:$AO,"152mm howitzer")</f>
        <v>0</v>
      </c>
      <c r="BG28" s="25">
        <f>SUMIFS('Bilateral Assistance, MAIN DATA'!$N:$N,'Bilateral Assistance, MAIN DATA'!$B:$B,'Share, Heavy Weapons to Ukraine'!$B28,'Bilateral Assistance, MAIN DATA'!$AO:$AO,"122mm MLRS")+SUMIFS('Bilateral Assistance, MAIN DATA'!$N:$N,'Bilateral Assistance, MAIN DATA'!$B:$B,'Share, Heavy Weapons to Ukraine'!$B28,'Bilateral Assistance, MAIN DATA'!$AO:$AO,"127mm MLRS")+SUMIFS('Bilateral Assistance, MAIN DATA'!$N:$N,'Bilateral Assistance, MAIN DATA'!$B:$B,'Share, Heavy Weapons to Ukraine'!$B28,'Bilateral Assistance, MAIN DATA'!$AO:$AO,"227mm MLRS")</f>
        <v>0</v>
      </c>
      <c r="BH28" s="25">
        <f>SUMIFS('Bilateral Assistance, MAIN DATA'!$N:$N,'Bilateral Assistance, MAIN DATA'!$B:$B,'Share, Heavy Weapons to Ukraine'!$B28,'Bilateral Assistance, MAIN DATA'!$AO:$AO,'Share, Heavy Weapons to Ukraine'!BH$11)</f>
        <v>0</v>
      </c>
      <c r="BI28" s="25">
        <f>SUMIFS('Bilateral Assistance, MAIN DATA'!$N:$N,'Bilateral Assistance, MAIN DATA'!$B:$B,'Share, Heavy Weapons to Ukraine'!$B28,'Bilateral Assistance, MAIN DATA'!$AO:$AO,'Share, Heavy Weapons to Ukraine'!BI$11)</f>
        <v>0</v>
      </c>
      <c r="BJ28" s="25">
        <f>SUMIFS('Bilateral Assistance, MAIN DATA'!$N:$N,'Bilateral Assistance, MAIN DATA'!$B:$B,'Share, Heavy Weapons to Ukraine'!$B28,'Bilateral Assistance, MAIN DATA'!$AO:$AO,'Share, Heavy Weapons to Ukraine'!BJ$11)</f>
        <v>0</v>
      </c>
      <c r="BK28" s="25">
        <f>SUMIFS('Bilateral Assistance, MAIN DATA'!$N:$N,'Bilateral Assistance, MAIN DATA'!$B:$B,'Share, Heavy Weapons to Ukraine'!$B28,'Bilateral Assistance, MAIN DATA'!$AO:$AO,'Share, Heavy Weapons to Ukraine'!BK$11)</f>
        <v>0</v>
      </c>
      <c r="BL28" s="25">
        <f>SUMIFS('Bilateral Assistance, MAIN DATA'!$N:$N,'Bilateral Assistance, MAIN DATA'!$B:$B,'Share, Heavy Weapons to Ukraine'!$B28,'Bilateral Assistance, MAIN DATA'!$AO:$AO,'Share, Heavy Weapons to Ukraine'!BL$11)</f>
        <v>0</v>
      </c>
      <c r="BM28" s="410"/>
      <c r="BN28" s="261">
        <f>IF(VLOOKUP($B28,$B:W,COLUMN(W27)-1,FALSE)&lt;&gt;0,VLOOKUP($B28,$B:AL,COLUMN(AL27)-1,FALSE)/VLOOKUP($B28,$B:W,COLUMN(W27)-1,FALSE),IF(VLOOKUP($B28,$B:AL,COLUMN(AL27)-1,FALSE)&lt;&gt;0,"unknown",0))</f>
        <v>0</v>
      </c>
      <c r="BO28" s="261">
        <f>IF(VLOOKUP($B28,$B:X,COLUMN(X27)-1,FALSE)&lt;&gt;0,VLOOKUP($B28,$B:AM,COLUMN(AM27)-1,FALSE)/VLOOKUP($B28,$B:X,COLUMN(X27)-1,FALSE),IF(VLOOKUP($B28,$B:AM,COLUMN(AM27)-1,FALSE)&lt;&gt;0,"unknown",0))</f>
        <v>0</v>
      </c>
      <c r="BP28" s="261">
        <f>IF(VLOOKUP($B28,$B:Y,COLUMN(Y27)-1,FALSE)&lt;&gt;0,VLOOKUP($B28,$B:AN,COLUMN(AN27)-1,FALSE)/VLOOKUP($B28,$B:Y,COLUMN(Y27)-1,FALSE),IF(VLOOKUP($B28,$B:AN,COLUMN(AN27)-1,FALSE)&lt;&gt;0,"unknown",0))</f>
        <v>0</v>
      </c>
      <c r="BQ28" s="261">
        <f>IF(VLOOKUP($B28,$B:Z,COLUMN(Z27)-1,FALSE)&lt;&gt;0,VLOOKUP($B28,$B:AO,COLUMN(AO27)-1,FALSE)/VLOOKUP($B28,$B:Z,COLUMN(Z27)-1,FALSE),IF(VLOOKUP($B28,$B:AO,COLUMN(AO27)-1,FALSE)&lt;&gt;0,"unknown",0))</f>
        <v>0</v>
      </c>
      <c r="BR28" s="261">
        <f>IF(VLOOKUP($B28,$B:AA,COLUMN(AA27)-1,FALSE)&lt;&gt;0,VLOOKUP($B28,$B:AP,COLUMN(AP27)-1,FALSE)/VLOOKUP($B28,$B:AA,COLUMN(AA27)-1,FALSE),IF(VLOOKUP($B28,$B:AP,COLUMN(AP27)-1,FALSE)&lt;&gt;0,"unknown",0))</f>
        <v>0</v>
      </c>
      <c r="BS28" s="261">
        <f>IF(VLOOKUP($B28,$B:AB,COLUMN(AB27)-1,FALSE)&lt;&gt;0,VLOOKUP($B28,$B:AQ,COLUMN(AQ27)-1,FALSE)/VLOOKUP($B28,$B:AB,COLUMN(AB27)-1,FALSE),IF(VLOOKUP($B28,$B:AQ,COLUMN(AQ27)-1,FALSE)&lt;&gt;0,"unknown",0))</f>
        <v>0</v>
      </c>
      <c r="BT28" s="261">
        <f>IF(VLOOKUP($B28,$B:AC,COLUMN(AC27)-1,FALSE)&lt;&gt;0,VLOOKUP($B28,$B:AR,COLUMN(AR27)-1,FALSE)/VLOOKUP($B28,$B:AC,COLUMN(AC27)-1,FALSE),IF(VLOOKUP($B28,$B:AR,COLUMN(AR27)-1,FALSE)&lt;&gt;0,"unknown",0))</f>
        <v>0</v>
      </c>
      <c r="BU28" s="261">
        <f>IF(VLOOKUP($B28,$B:AD,COLUMN(AD27)-1,FALSE)&lt;&gt;0,VLOOKUP($B28,$B:AS,COLUMN(AS27)-1,FALSE)/VLOOKUP($B28,$B:AD,COLUMN(AD27)-1,FALSE),IF(VLOOKUP($B28,$B:AS,COLUMN(AS27)-1,FALSE)&lt;&gt;0,"unknown",0))</f>
        <v>0</v>
      </c>
      <c r="BV28" s="261">
        <f>IF(VLOOKUP($B28,$B:AE,COLUMN(AE27)-1,FALSE)&lt;&gt;0,VLOOKUP($B28,$B:AT,COLUMN(AT27)-1,FALSE)/VLOOKUP($B28,$B:AE,COLUMN(AE27)-1,FALSE),IF(VLOOKUP($B28,$B:AT,COLUMN(AT27)-1,FALSE)&lt;&gt;0,"unknown",0))</f>
        <v>0</v>
      </c>
      <c r="BW28" s="261">
        <f>IF(VLOOKUP($B28,$B:AG,COLUMN(AG27)-1,FALSE)&lt;&gt;0,VLOOKUP($B28,$B:AU,COLUMN(AU27)-1,FALSE)/VLOOKUP($B28,$B:AG,COLUMN(AG27)-1,FALSE),IF(VLOOKUP($B28,$B:AU,COLUMN(AU27)-1,FALSE)&lt;&gt;0,"unknown",0))</f>
        <v>0</v>
      </c>
      <c r="BX28" s="261">
        <f>IF(VLOOKUP($B28,$B:AH,COLUMN(AH27)-1,FALSE)&lt;&gt;0,VLOOKUP($B28,$B:AV,COLUMN(AV27)-1,FALSE)/VLOOKUP($B28,$B:AH,COLUMN(AH27)-1,FALSE),IF(VLOOKUP($B28,$B:AV,COLUMN(AV27)-1,FALSE)&lt;&gt;0,"unknown",0))</f>
        <v>0</v>
      </c>
      <c r="BY28" s="261">
        <f>IF(VLOOKUP($B28,$B:AI,COLUMN(AI27)-1,FALSE)&lt;&gt;0,VLOOKUP($B28,$B:AW,COLUMN(AW27)-1,FALSE)/VLOOKUP($B28,$B:AI,COLUMN(AI27)-1,FALSE),IF(VLOOKUP($B28,$B:AW,COLUMN(AW27)-1,FALSE)&lt;&gt;0,"unknown",0))</f>
        <v>0</v>
      </c>
      <c r="BZ28" s="261">
        <f>IF(VLOOKUP($B28,$B:AJ,COLUMN(AJ27)-1,FALSE)&lt;&gt;0,VLOOKUP($B28,$B:AX,COLUMN(AX27)-1,FALSE)/VLOOKUP($B28,$B:AJ,COLUMN(AJ27)-1,FALSE),IF(VLOOKUP($B28,$B:AX,COLUMN(AX27)-1,FALSE)&lt;&gt;0,"unknown",0))</f>
        <v>0</v>
      </c>
      <c r="CA28" s="410"/>
      <c r="CB28" s="2">
        <f>IF(VLOOKUP($B28,$B:AM,COLUMN(W27)-1,FALSE)&lt;&gt;0,VLOOKUP($B28,$B:BA,COLUMN(AZ27)-1,FALSE)/VLOOKUP($B28,$B:AM,COLUMN(W27)-1,FALSE),IF(VLOOKUP($B28,$B:BA,COLUMN(AZ27)-1,FALSE)&lt;&gt;0,"unknown",0))</f>
        <v>0</v>
      </c>
      <c r="CC28" s="2">
        <f>IF(VLOOKUP($B28,$B:AN,COLUMN(X27)-1,FALSE)&lt;&gt;0,VLOOKUP($B28,$B:BB,COLUMN(BA27)-1,FALSE)/VLOOKUP($B28,$B:AN,COLUMN(X27)-1,FALSE),IF(VLOOKUP($B28,$B:BB,COLUMN(BA27)-1,FALSE)&lt;&gt;0,"unknown",0))</f>
        <v>0</v>
      </c>
      <c r="CD28" s="2">
        <f>IF(VLOOKUP($B28,$B:AO,COLUMN(Y27)-1,FALSE)&lt;&gt;0,VLOOKUP($B28,$B:BC,COLUMN(BB27)-1,FALSE)/VLOOKUP($B28,$B:AO,COLUMN(Y27)-1,FALSE),IF(VLOOKUP($B28,$B:BC,COLUMN(BB27)-1,FALSE)&lt;&gt;0,"unknown",0))</f>
        <v>0</v>
      </c>
      <c r="CE28" s="2">
        <f>IF(VLOOKUP($B28,$B:AP,COLUMN(Z27)-1,FALSE)&lt;&gt;0,VLOOKUP($B28,$B:BD,COLUMN(BC27)-1,FALSE)/VLOOKUP($B28,$B:AP,COLUMN(Z27)-1,FALSE),IF(VLOOKUP($B28,$B:BD,COLUMN(BC27)-1,FALSE)&lt;&gt;0,"unknown",0))</f>
        <v>0</v>
      </c>
      <c r="CF28" s="2">
        <f>IF(VLOOKUP($B28,$B:AR,COLUMN(AA27)-1,FALSE)&lt;&gt;0,VLOOKUP($B28,$B:BF,COLUMN(BD27)-1,FALSE)/VLOOKUP($B28,$B:AR,COLUMN(AA27)-1,FALSE),IF(VLOOKUP($B28,$B:BF,COLUMN(BD27)-1,FALSE)&lt;&gt;0,"unknown",0))</f>
        <v>0</v>
      </c>
      <c r="CG28" s="2">
        <f>IF(VLOOKUP($B28,$B:AS,COLUMN(AB27)-1,FALSE)&lt;&gt;0,VLOOKUP($B28,$B:BG,COLUMN(BE27)-1,FALSE)/VLOOKUP($B28,$B:AS,COLUMN(AB27)-1,FALSE),IF(VLOOKUP($B28,$B:BG,COLUMN(BE27)-1,FALSE)&lt;&gt;0,"unknown",0))</f>
        <v>0</v>
      </c>
      <c r="CH28" s="2">
        <f>IF(VLOOKUP($B28,$B:AS,COLUMN(AC27)-1,FALSE)&lt;&gt;0,VLOOKUP($B28,$B:BG,COLUMN(BF27)-1,FALSE)/VLOOKUP($B28,$B:AS,COLUMN(AC27)-1,FALSE),IF(VLOOKUP($B28,$B:BG,COLUMN(BF27)-1,FALSE)&lt;&gt;0,"unknown",0))</f>
        <v>0</v>
      </c>
      <c r="CI28" s="2">
        <f>IF(VLOOKUP($B28,$B:AT,COLUMN(AD27)-1,FALSE)&lt;&gt;0,VLOOKUP($B28,$B:BH,COLUMN(BG27)-1,FALSE)/VLOOKUP($B28,$B:AT,COLUMN(AD27)-1,FALSE),IF(VLOOKUP($B28,$B:BH,COLUMN(BG27)-1,FALSE)&lt;&gt;0,"unknown",0))</f>
        <v>0</v>
      </c>
      <c r="CJ28" s="2">
        <f>IF(VLOOKUP($B28,$B:AT,COLUMN(AE27)-1,FALSE)&lt;&gt;0,VLOOKUP($B28,$B:BH,COLUMN(BH27)-1,FALSE)/VLOOKUP($B28,$B:AT,COLUMN(AE27)-1,FALSE),IF(VLOOKUP($B28,$B:BH,COLUMN(BH27)-1,FALSE)&lt;&gt;0,"unknown",0))</f>
        <v>0</v>
      </c>
      <c r="CK28" s="2">
        <f>IF(VLOOKUP($B28,$B:AU,COLUMN(AG27)-1,FALSE)&lt;&gt;0,VLOOKUP($B28,$B:BI,COLUMN(BI27)-1,FALSE)/VLOOKUP($B28,$B:AU,COLUMN(AG27)-1,FALSE),IF(VLOOKUP($B28,$B:BI,COLUMN(BI27)-1,FALSE)&lt;&gt;0,"unknown",0))</f>
        <v>0</v>
      </c>
      <c r="CL28" s="2">
        <f>IF(VLOOKUP($B28,$B:AV,COLUMN(AH27)-1,FALSE)&lt;&gt;0,VLOOKUP($B28,$B:BJ,COLUMN(BJ27)-1,FALSE)/VLOOKUP($B28,$B:AV,COLUMN(AH27)-1,FALSE),IF(VLOOKUP($B28,$B:BJ,COLUMN(BJ27)-1,FALSE)&lt;&gt;0,"unknown",0))</f>
        <v>0</v>
      </c>
      <c r="CM28" s="2">
        <f>IF(VLOOKUP($B28,$B:AW,COLUMN(AI27)-1,FALSE)&lt;&gt;0,VLOOKUP($B28,$B:BK,COLUMN(BK27)-1,FALSE)/VLOOKUP($B28,$B:AW,COLUMN(AI27)-1,FALSE),IF(VLOOKUP($B28,$B:BK,COLUMN(BK27)-1,FALSE)&lt;&gt;0,"unknown",0))</f>
        <v>0</v>
      </c>
      <c r="CN28" s="2">
        <f>IF(VLOOKUP($B28,$B:AX,COLUMN(AJ27)-1,FALSE)&lt;&gt;0,VLOOKUP($B28,$B:BL,COLUMN(BL27)-1,FALSE)/VLOOKUP($B28,$B:AX,COLUMN(AJ27)-1,FALSE),IF(VLOOKUP($B28,$B:BL,COLUMN(BL27)-1,FALSE)&lt;&gt;0,"unknown",0))</f>
        <v>0</v>
      </c>
      <c r="CO28" s="410"/>
      <c r="CP28" s="2">
        <f>SUMIFS('Bilateral Assistance, MAIN DATA'!$M:$M,'Bilateral Assistance, MAIN DATA'!$B:$B,'Share, Heavy Weapons to Ukraine'!$B28,'Bilateral Assistance, MAIN DATA'!$AO:$AO,'Share, Heavy Weapons to Ukraine'!CP$11, 'Bilateral Assistance, MAIN DATA'!$AA:$AA,1)</f>
        <v>0</v>
      </c>
      <c r="CQ28" s="2">
        <f>SUMIFS('Bilateral Assistance, MAIN DATA'!$M:$M,'Bilateral Assistance, MAIN DATA'!$B:$B,'Share, Heavy Weapons to Ukraine'!$B28,'Bilateral Assistance, MAIN DATA'!$AO:$AO,'Share, Heavy Weapons to Ukraine'!CQ$11, 'Bilateral Assistance, MAIN DATA'!$AA:$AA,1)</f>
        <v>0</v>
      </c>
      <c r="CR28" s="2">
        <f>SUMIFS('Bilateral Assistance, MAIN DATA'!$M:$M,'Bilateral Assistance, MAIN DATA'!$B:$B,'Share, Heavy Weapons to Ukraine'!$B28,'Bilateral Assistance, MAIN DATA'!$AO:$AO,'Share, Heavy Weapons to Ukraine'!CR$11, 'Bilateral Assistance, MAIN DATA'!$AA:$AA,1)</f>
        <v>0</v>
      </c>
      <c r="CS28" s="2">
        <f>SUMIFS('Bilateral Assistance, MAIN DATA'!$M:$M,'Bilateral Assistance, MAIN DATA'!$B:$B,'Share, Heavy Weapons to Ukraine'!$B28,'Bilateral Assistance, MAIN DATA'!$AO:$AO,'Share, Heavy Weapons to Ukraine'!CS$11, 'Bilateral Assistance, MAIN DATA'!$AA:$AA,1)</f>
        <v>0</v>
      </c>
      <c r="CT28" s="410"/>
      <c r="CU28" s="2">
        <f>SUMIFS('Bilateral Assistance, MAIN DATA'!$N:$N,'Bilateral Assistance, MAIN DATA'!$B:$B,'Share, Heavy Weapons to Ukraine'!$B28,'Bilateral Assistance, MAIN DATA'!$AO:$AO,'Share, Heavy Weapons to Ukraine'!CU$11, 'Bilateral Assistance, MAIN DATA'!$AA:$AA,1)</f>
        <v>0</v>
      </c>
      <c r="CV28" s="2">
        <f>SUMIFS('Bilateral Assistance, MAIN DATA'!$N:$N,'Bilateral Assistance, MAIN DATA'!$B:$B,'Share, Heavy Weapons to Ukraine'!$B28,'Bilateral Assistance, MAIN DATA'!$AO:$AO,'Share, Heavy Weapons to Ukraine'!CV$11, 'Bilateral Assistance, MAIN DATA'!$AA:$AA,1)</f>
        <v>0</v>
      </c>
      <c r="CW28" s="2">
        <f>SUMIFS('Bilateral Assistance, MAIN DATA'!$N:$N,'Bilateral Assistance, MAIN DATA'!$B:$B,'Share, Heavy Weapons to Ukraine'!$B28,'Bilateral Assistance, MAIN DATA'!$AO:$AO,'Share, Heavy Weapons to Ukraine'!CW$11, 'Bilateral Assistance, MAIN DATA'!$AA:$AA,1)</f>
        <v>0</v>
      </c>
      <c r="CX28" s="2">
        <f>SUMIFS('Bilateral Assistance, MAIN DATA'!$N:$N,'Bilateral Assistance, MAIN DATA'!$B:$B,'Share, Heavy Weapons to Ukraine'!$B28,'Bilateral Assistance, MAIN DATA'!$AO:$AO,'Share, Heavy Weapons to Ukraine'!CX$11, 'Bilateral Assistance, MAIN DATA'!$AA:$AA,1)</f>
        <v>0</v>
      </c>
    </row>
    <row r="29" spans="2:102" ht="15.6">
      <c r="B29" s="409" t="s">
        <v>3214</v>
      </c>
      <c r="C29" s="409">
        <v>0</v>
      </c>
      <c r="D29" s="2">
        <v>1</v>
      </c>
      <c r="E29" s="410"/>
      <c r="F29" s="569" t="s">
        <v>364</v>
      </c>
      <c r="G29" s="569" t="s">
        <v>364</v>
      </c>
      <c r="H29" s="569" t="s">
        <v>364</v>
      </c>
      <c r="I29" s="569" t="s">
        <v>364</v>
      </c>
      <c r="J29" s="569" t="s">
        <v>364</v>
      </c>
      <c r="K29" s="569" t="s">
        <v>364</v>
      </c>
      <c r="L29" s="569" t="s">
        <v>364</v>
      </c>
      <c r="M29" s="569" t="s">
        <v>364</v>
      </c>
      <c r="N29" s="569" t="s">
        <v>364</v>
      </c>
      <c r="O29" s="569" t="s">
        <v>364</v>
      </c>
      <c r="P29" s="569" t="s">
        <v>364</v>
      </c>
      <c r="Q29" s="569" t="s">
        <v>364</v>
      </c>
      <c r="R29" s="569" t="s">
        <v>364</v>
      </c>
      <c r="S29" s="569" t="s">
        <v>364</v>
      </c>
      <c r="T29" s="569" t="s">
        <v>364</v>
      </c>
      <c r="U29" s="410" t="str">
        <f>""</f>
        <v/>
      </c>
      <c r="V29" s="1334">
        <v>5.61</v>
      </c>
      <c r="W29" s="1334">
        <f>VLOOKUP(B29,'Heavy Weapon Stocks'!B:OA,COLUMN('Heavy Weapon Stocks'!$C$11)-1,FALSE)+IF(F29&lt;&gt;".",F29,0)</f>
        <v>377</v>
      </c>
      <c r="X29" s="1334">
        <f>VLOOKUP(B29,'Heavy Weapon Stocks'!B:OA,COLUMN('Heavy Weapon Stocks'!$AQ$11)-1,FALSE)</f>
        <v>689</v>
      </c>
      <c r="Y29" s="1334">
        <f>VLOOKUP(B29,'Heavy Weapon Stocks'!B:OA,COLUMN('Heavy Weapon Stocks'!$DK$11)-1,FALSE)</f>
        <v>60</v>
      </c>
      <c r="Z29" s="1334">
        <f>VLOOKUP(B29,'Heavy Weapon Stocks'!B:OA,COLUMN('Heavy Weapon Stocks'!$DY$11)-1,FALSE)</f>
        <v>480</v>
      </c>
      <c r="AA29" s="1334">
        <f>VLOOKUP(B29,'Heavy Weapon Stocks'!B:OA,COLUMN('Heavy Weapon Stocks'!$FA$11)-1,FALSE)+IF(G29&lt;&gt;".",G29,0)</f>
        <v>191</v>
      </c>
      <c r="AB29" s="1334">
        <f t="shared" si="3"/>
        <v>1420</v>
      </c>
      <c r="AC29" s="1334">
        <f>VLOOKUP(B29,'Heavy Weapon Stocks'!B:OA,COLUMN('Heavy Weapon Stocks'!$GV$11)-1,FALSE)+VLOOKUP(B29,'Heavy Weapon Stocks'!B:OA,COLUMN('Heavy Weapon Stocks'!$HY$11)-1,FALSE)+IF(H29&lt;&gt;".",H29,0)</f>
        <v>351</v>
      </c>
      <c r="AD29" s="1334">
        <f>VLOOKUP(B29,'Heavy Weapon Stocks'!B:OA,COLUMN('Heavy Weapon Stocks'!$IF$11)-1,FALSE)+IF(I29&lt;&gt;".",I29,0)</f>
        <v>188</v>
      </c>
      <c r="AE29" s="1334">
        <f>VLOOKUP(B29,'Heavy Weapon Stocks'!B:OA,COLUMN('Heavy Weapon Stocks'!$IZ$11)-1,FALSE)+VLOOKUP(B29,'Heavy Weapon Stocks'!B:OA,COLUMN('Heavy Weapon Stocks'!$JW$11)-1,FALSE)</f>
        <v>39</v>
      </c>
      <c r="AF29" s="1334">
        <f>VLOOKUP(B29,'Heavy Weapon Stocks'!B:OA,COLUMN('Heavy Weapon Stocks'!$NL$11)-1,FALSE)+IF(L29&lt;&gt;".",L29,0)</f>
        <v>64</v>
      </c>
      <c r="AG29" s="1334">
        <f>VLOOKUP(B29,'Heavy Weapon Stocks'!B:OA,COLUMN('Heavy Weapon Stocks'!$LN$11)-1,FALSE)+IF(M29&lt;&gt;".",M29,0)</f>
        <v>4</v>
      </c>
      <c r="AH29" s="1334">
        <f>VLOOKUP(B29,'Heavy Weapon Stocks'!B:OA,COLUMN('Heavy Weapon Stocks'!$LX$11)-1,FALSE)+IF(N29&lt;&gt;".",N29,0)</f>
        <v>13</v>
      </c>
      <c r="AI29" s="1334">
        <f>VLOOKUP(B29,'Heavy Weapon Stocks'!B:OA,COLUMN('Heavy Weapon Stocks'!$ME$11)-1,FALSE)+IF(O29&lt;&gt;".",O29,0)</f>
        <v>32</v>
      </c>
      <c r="AJ29" s="1334">
        <f>VLOOKUP(B29,'Heavy Weapon Stocks'!B:OA,COLUMN('Heavy Weapon Stocks'!$NK$11)-1,FALSE)+IF(P29&lt;&gt;".",P29,0)</f>
        <v>64</v>
      </c>
      <c r="AK29" s="410"/>
      <c r="AL29" s="25">
        <f>SUMIFS('Bilateral Assistance, MAIN DATA'!$M:$M,'Bilateral Assistance, MAIN DATA'!$B:$B,'Share, Heavy Weapons to Ukraine'!$B29,'Bilateral Assistance, MAIN DATA'!$AO:$AO,'Share, Heavy Weapons to Ukraine'!AL$11)</f>
        <v>0</v>
      </c>
      <c r="AM29" s="25">
        <f>SUMIFS('Bilateral Assistance, MAIN DATA'!$M:$M,'Bilateral Assistance, MAIN DATA'!$B:$B,'Share, Heavy Weapons to Ukraine'!$B29,'Bilateral Assistance, MAIN DATA'!$AO:$AO,'Share, Heavy Weapons to Ukraine'!AM$11)</f>
        <v>0</v>
      </c>
      <c r="AN29" s="25">
        <f>SUMIFS('Bilateral Assistance, MAIN DATA'!$M:$M,'Bilateral Assistance, MAIN DATA'!$B:$B,'Share, Heavy Weapons to Ukraine'!$B29,'Bilateral Assistance, MAIN DATA'!$AO:$AO,'Share, Heavy Weapons to Ukraine'!AN$11)</f>
        <v>0</v>
      </c>
      <c r="AO29" s="25">
        <f>SUMIFS('Bilateral Assistance, MAIN DATA'!$M:$M,'Bilateral Assistance, MAIN DATA'!$B:$B,'Share, Heavy Weapons to Ukraine'!$B29,'Bilateral Assistance, MAIN DATA'!$AO:$AO,'Share, Heavy Weapons to Ukraine'!AO$11)</f>
        <v>0</v>
      </c>
      <c r="AP29" s="25">
        <f>SUMIFS('Bilateral Assistance, MAIN DATA'!$M:$M,'Bilateral Assistance, MAIN DATA'!$B:$B,'Share, Heavy Weapons to Ukraine'!$B29,'Bilateral Assistance, MAIN DATA'!$AO:$AO,'Share, Heavy Weapons to Ukraine'!AP$11)</f>
        <v>0</v>
      </c>
      <c r="AQ29" s="25">
        <f t="shared" si="1"/>
        <v>0</v>
      </c>
      <c r="AR29" s="25">
        <f>SUMIFS('Bilateral Assistance, MAIN DATA'!$M:$M,'Bilateral Assistance, MAIN DATA'!$B:$B,'Share, Heavy Weapons to Ukraine'!$B29,'Bilateral Assistance, MAIN DATA'!$AO:$AO,"155mm howitzer")+SUMIFS('Bilateral Assistance, MAIN DATA'!$M:$M,'Bilateral Assistance, MAIN DATA'!$B:$B,'Share, Heavy Weapons to Ukraine'!$B29,'Bilateral Assistance, MAIN DATA'!$AO:$AO,"152mm howitzer")</f>
        <v>0</v>
      </c>
      <c r="AS29" s="25">
        <f>SUMIFS('Bilateral Assistance, MAIN DATA'!$M:$M,'Bilateral Assistance, MAIN DATA'!$B:$B,'Share, Heavy Weapons to Ukraine'!$B29,'Bilateral Assistance, MAIN DATA'!$AO:$AO,"122mm MLRS")+SUMIFS('Bilateral Assistance, MAIN DATA'!$M:$M,'Bilateral Assistance, MAIN DATA'!$B:$B,'Share, Heavy Weapons to Ukraine'!$B29,'Bilateral Assistance, MAIN DATA'!$AO:$AO,"127mm MLRS")+SUMIFS('Bilateral Assistance, MAIN DATA'!$M:$M,'Bilateral Assistance, MAIN DATA'!$B:$B,'Share, Heavy Weapons to Ukraine'!$B29,'Bilateral Assistance, MAIN DATA'!$AO:$AO,"227mm MLRS")</f>
        <v>0</v>
      </c>
      <c r="AT29" s="25">
        <f>SUMIFS('Bilateral Assistance, MAIN DATA'!$M:$M,'Bilateral Assistance, MAIN DATA'!$B:$B,'Share, Heavy Weapons to Ukraine'!$B29,'Bilateral Assistance, MAIN DATA'!$AO:$AO,'Share, Heavy Weapons to Ukraine'!AT$11)</f>
        <v>0</v>
      </c>
      <c r="AU29" s="25">
        <f>SUMIFS('Bilateral Assistance, MAIN DATA'!$M:$M,'Bilateral Assistance, MAIN DATA'!$B:$B,'Share, Heavy Weapons to Ukraine'!$B29,'Bilateral Assistance, MAIN DATA'!$AO:$AO,'Share, Heavy Weapons to Ukraine'!AU$11)</f>
        <v>0</v>
      </c>
      <c r="AV29" s="25">
        <f>SUMIFS('Bilateral Assistance, MAIN DATA'!$M:$M,'Bilateral Assistance, MAIN DATA'!$B:$B,'Share, Heavy Weapons to Ukraine'!$B29,'Bilateral Assistance, MAIN DATA'!$AO:$AO,'Share, Heavy Weapons to Ukraine'!AV$11)</f>
        <v>0</v>
      </c>
      <c r="AW29" s="25">
        <f>SUMIFS('Bilateral Assistance, MAIN DATA'!$M:$M,'Bilateral Assistance, MAIN DATA'!$B:$B,'Share, Heavy Weapons to Ukraine'!$B29,'Bilateral Assistance, MAIN DATA'!$AO:$AO,'Share, Heavy Weapons to Ukraine'!AW$11)</f>
        <v>0</v>
      </c>
      <c r="AX29" s="25">
        <f>SUMIFS('Bilateral Assistance, MAIN DATA'!$M:$M,'Bilateral Assistance, MAIN DATA'!$B:$B,'Share, Heavy Weapons to Ukraine'!$B29,'Bilateral Assistance, MAIN DATA'!$AO:$AO,'Share, Heavy Weapons to Ukraine'!AX$11)</f>
        <v>0</v>
      </c>
      <c r="AY29" s="410"/>
      <c r="AZ29" s="25">
        <f>SUMIFS('Bilateral Assistance, MAIN DATA'!$N:$N,'Bilateral Assistance, MAIN DATA'!$B:$B,'Share, Heavy Weapons to Ukraine'!$B29,'Bilateral Assistance, MAIN DATA'!$AO:$AO,'Share, Heavy Weapons to Ukraine'!AZ$11)</f>
        <v>0</v>
      </c>
      <c r="BA29" s="25">
        <f>SUMIFS('Bilateral Assistance, MAIN DATA'!$N:$N,'Bilateral Assistance, MAIN DATA'!$B:$B,'Share, Heavy Weapons to Ukraine'!$B29,'Bilateral Assistance, MAIN DATA'!$AO:$AO,'Share, Heavy Weapons to Ukraine'!BA$11)</f>
        <v>0</v>
      </c>
      <c r="BB29" s="25">
        <f>SUMIFS('Bilateral Assistance, MAIN DATA'!$N:$N,'Bilateral Assistance, MAIN DATA'!$B:$B,'Share, Heavy Weapons to Ukraine'!$B29,'Bilateral Assistance, MAIN DATA'!$AO:$AO,'Share, Heavy Weapons to Ukraine'!BB$11)</f>
        <v>0</v>
      </c>
      <c r="BC29" s="25">
        <f>SUMIFS('Bilateral Assistance, MAIN DATA'!$N:$N,'Bilateral Assistance, MAIN DATA'!$B:$B,'Share, Heavy Weapons to Ukraine'!$B29,'Bilateral Assistance, MAIN DATA'!$AO:$AO,'Share, Heavy Weapons to Ukraine'!BC$11)</f>
        <v>0</v>
      </c>
      <c r="BD29" s="25">
        <f>SUMIFS('Bilateral Assistance, MAIN DATA'!$N:$N,'Bilateral Assistance, MAIN DATA'!$B:$B,'Share, Heavy Weapons to Ukraine'!$B29,'Bilateral Assistance, MAIN DATA'!$AO:$AO,'Share, Heavy Weapons to Ukraine'!BD$11)</f>
        <v>0</v>
      </c>
      <c r="BE29" s="25">
        <f t="shared" si="2"/>
        <v>0</v>
      </c>
      <c r="BF29" s="25">
        <f>SUMIFS('Bilateral Assistance, MAIN DATA'!$N:$N,'Bilateral Assistance, MAIN DATA'!$B:$B,'Share, Heavy Weapons to Ukraine'!$B29,'Bilateral Assistance, MAIN DATA'!$AO:$AO,"155mm howitzer")+SUMIFS('Bilateral Assistance, MAIN DATA'!$N:$N,'Bilateral Assistance, MAIN DATA'!$B:$B,'Share, Heavy Weapons to Ukraine'!$B29,'Bilateral Assistance, MAIN DATA'!$AO:$AO,"152mm howitzer")</f>
        <v>0</v>
      </c>
      <c r="BG29" s="25">
        <f>SUMIFS('Bilateral Assistance, MAIN DATA'!$N:$N,'Bilateral Assistance, MAIN DATA'!$B:$B,'Share, Heavy Weapons to Ukraine'!$B29,'Bilateral Assistance, MAIN DATA'!$AO:$AO,"122mm MLRS")+SUMIFS('Bilateral Assistance, MAIN DATA'!$N:$N,'Bilateral Assistance, MAIN DATA'!$B:$B,'Share, Heavy Weapons to Ukraine'!$B29,'Bilateral Assistance, MAIN DATA'!$AO:$AO,"127mm MLRS")+SUMIFS('Bilateral Assistance, MAIN DATA'!$N:$N,'Bilateral Assistance, MAIN DATA'!$B:$B,'Share, Heavy Weapons to Ukraine'!$B29,'Bilateral Assistance, MAIN DATA'!$AO:$AO,"227mm MLRS")</f>
        <v>0</v>
      </c>
      <c r="BH29" s="25">
        <f>SUMIFS('Bilateral Assistance, MAIN DATA'!$N:$N,'Bilateral Assistance, MAIN DATA'!$B:$B,'Share, Heavy Weapons to Ukraine'!$B29,'Bilateral Assistance, MAIN DATA'!$AO:$AO,'Share, Heavy Weapons to Ukraine'!BH$11)</f>
        <v>0</v>
      </c>
      <c r="BI29" s="25">
        <f>SUMIFS('Bilateral Assistance, MAIN DATA'!$N:$N,'Bilateral Assistance, MAIN DATA'!$B:$B,'Share, Heavy Weapons to Ukraine'!$B29,'Bilateral Assistance, MAIN DATA'!$AO:$AO,'Share, Heavy Weapons to Ukraine'!BI$11)</f>
        <v>0</v>
      </c>
      <c r="BJ29" s="25">
        <f>SUMIFS('Bilateral Assistance, MAIN DATA'!$N:$N,'Bilateral Assistance, MAIN DATA'!$B:$B,'Share, Heavy Weapons to Ukraine'!$B29,'Bilateral Assistance, MAIN DATA'!$AO:$AO,'Share, Heavy Weapons to Ukraine'!BJ$11)</f>
        <v>0</v>
      </c>
      <c r="BK29" s="25">
        <f>SUMIFS('Bilateral Assistance, MAIN DATA'!$N:$N,'Bilateral Assistance, MAIN DATA'!$B:$B,'Share, Heavy Weapons to Ukraine'!$B29,'Bilateral Assistance, MAIN DATA'!$AO:$AO,'Share, Heavy Weapons to Ukraine'!BK$11)</f>
        <v>0</v>
      </c>
      <c r="BL29" s="25">
        <f>SUMIFS('Bilateral Assistance, MAIN DATA'!$N:$N,'Bilateral Assistance, MAIN DATA'!$B:$B,'Share, Heavy Weapons to Ukraine'!$B29,'Bilateral Assistance, MAIN DATA'!$AO:$AO,'Share, Heavy Weapons to Ukraine'!BL$11)</f>
        <v>0</v>
      </c>
      <c r="BM29" s="410"/>
      <c r="BN29" s="261">
        <f>IF(VLOOKUP($B29,$B:W,COLUMN(W28)-1,FALSE)&lt;&gt;0,VLOOKUP($B29,$B:AL,COLUMN(AL28)-1,FALSE)/VLOOKUP($B29,$B:W,COLUMN(W28)-1,FALSE),IF(VLOOKUP($B29,$B:AL,COLUMN(AL28)-1,FALSE)&lt;&gt;0,"unknown",0))</f>
        <v>0</v>
      </c>
      <c r="BO29" s="261">
        <f>IF(VLOOKUP($B29,$B:X,COLUMN(X28)-1,FALSE)&lt;&gt;0,VLOOKUP($B29,$B:AM,COLUMN(AM28)-1,FALSE)/VLOOKUP($B29,$B:X,COLUMN(X28)-1,FALSE),IF(VLOOKUP($B29,$B:AM,COLUMN(AM28)-1,FALSE)&lt;&gt;0,"unknown",0))</f>
        <v>0</v>
      </c>
      <c r="BP29" s="261">
        <f>IF(VLOOKUP($B29,$B:Y,COLUMN(Y28)-1,FALSE)&lt;&gt;0,VLOOKUP($B29,$B:AN,COLUMN(AN28)-1,FALSE)/VLOOKUP($B29,$B:Y,COLUMN(Y28)-1,FALSE),IF(VLOOKUP($B29,$B:AN,COLUMN(AN28)-1,FALSE)&lt;&gt;0,"unknown",0))</f>
        <v>0</v>
      </c>
      <c r="BQ29" s="261">
        <f>IF(VLOOKUP($B29,$B:Z,COLUMN(Z28)-1,FALSE)&lt;&gt;0,VLOOKUP($B29,$B:AO,COLUMN(AO28)-1,FALSE)/VLOOKUP($B29,$B:Z,COLUMN(Z28)-1,FALSE),IF(VLOOKUP($B29,$B:AO,COLUMN(AO28)-1,FALSE)&lt;&gt;0,"unknown",0))</f>
        <v>0</v>
      </c>
      <c r="BR29" s="261">
        <f>IF(VLOOKUP($B29,$B:AA,COLUMN(AA28)-1,FALSE)&lt;&gt;0,VLOOKUP($B29,$B:AP,COLUMN(AP28)-1,FALSE)/VLOOKUP($B29,$B:AA,COLUMN(AA28)-1,FALSE),IF(VLOOKUP($B29,$B:AP,COLUMN(AP28)-1,FALSE)&lt;&gt;0,"unknown",0))</f>
        <v>0</v>
      </c>
      <c r="BS29" s="261">
        <f>IF(VLOOKUP($B29,$B:AB,COLUMN(AB28)-1,FALSE)&lt;&gt;0,VLOOKUP($B29,$B:AQ,COLUMN(AQ28)-1,FALSE)/VLOOKUP($B29,$B:AB,COLUMN(AB28)-1,FALSE),IF(VLOOKUP($B29,$B:AQ,COLUMN(AQ28)-1,FALSE)&lt;&gt;0,"unknown",0))</f>
        <v>0</v>
      </c>
      <c r="BT29" s="261">
        <f>IF(VLOOKUP($B29,$B:AC,COLUMN(AC28)-1,FALSE)&lt;&gt;0,VLOOKUP($B29,$B:AR,COLUMN(AR28)-1,FALSE)/VLOOKUP($B29,$B:AC,COLUMN(AC28)-1,FALSE),IF(VLOOKUP($B29,$B:AR,COLUMN(AR28)-1,FALSE)&lt;&gt;0,"unknown",0))</f>
        <v>0</v>
      </c>
      <c r="BU29" s="261">
        <f>IF(VLOOKUP($B29,$B:AD,COLUMN(AD28)-1,FALSE)&lt;&gt;0,VLOOKUP($B29,$B:AS,COLUMN(AS28)-1,FALSE)/VLOOKUP($B29,$B:AD,COLUMN(AD28)-1,FALSE),IF(VLOOKUP($B29,$B:AS,COLUMN(AS28)-1,FALSE)&lt;&gt;0,"unknown",0))</f>
        <v>0</v>
      </c>
      <c r="BV29" s="261">
        <f>IF(VLOOKUP($B29,$B:AE,COLUMN(AE28)-1,FALSE)&lt;&gt;0,VLOOKUP($B29,$B:AT,COLUMN(AT28)-1,FALSE)/VLOOKUP($B29,$B:AE,COLUMN(AE28)-1,FALSE),IF(VLOOKUP($B29,$B:AT,COLUMN(AT28)-1,FALSE)&lt;&gt;0,"unknown",0))</f>
        <v>0</v>
      </c>
      <c r="BW29" s="261">
        <f>IF(VLOOKUP($B29,$B:AG,COLUMN(AG28)-1,FALSE)&lt;&gt;0,VLOOKUP($B29,$B:AU,COLUMN(AU28)-1,FALSE)/VLOOKUP($B29,$B:AG,COLUMN(AG28)-1,FALSE),IF(VLOOKUP($B29,$B:AU,COLUMN(AU28)-1,FALSE)&lt;&gt;0,"unknown",0))</f>
        <v>0</v>
      </c>
      <c r="BX29" s="261">
        <f>IF(VLOOKUP($B29,$B:AH,COLUMN(AH28)-1,FALSE)&lt;&gt;0,VLOOKUP($B29,$B:AV,COLUMN(AV28)-1,FALSE)/VLOOKUP($B29,$B:AH,COLUMN(AH28)-1,FALSE),IF(VLOOKUP($B29,$B:AV,COLUMN(AV28)-1,FALSE)&lt;&gt;0,"unknown",0))</f>
        <v>0</v>
      </c>
      <c r="BY29" s="261">
        <f>IF(VLOOKUP($B29,$B:AI,COLUMN(AI28)-1,FALSE)&lt;&gt;0,VLOOKUP($B29,$B:AW,COLUMN(AW28)-1,FALSE)/VLOOKUP($B29,$B:AI,COLUMN(AI28)-1,FALSE),IF(VLOOKUP($B29,$B:AW,COLUMN(AW28)-1,FALSE)&lt;&gt;0,"unknown",0))</f>
        <v>0</v>
      </c>
      <c r="BZ29" s="261">
        <f>IF(VLOOKUP($B29,$B:AJ,COLUMN(AJ28)-1,FALSE)&lt;&gt;0,VLOOKUP($B29,$B:AX,COLUMN(AX28)-1,FALSE)/VLOOKUP($B29,$B:AJ,COLUMN(AJ28)-1,FALSE),IF(VLOOKUP($B29,$B:AX,COLUMN(AX28)-1,FALSE)&lt;&gt;0,"unknown",0))</f>
        <v>0</v>
      </c>
      <c r="CA29" s="410"/>
      <c r="CB29" s="2">
        <f>IF(VLOOKUP($B29,$B:AM,COLUMN(W28)-1,FALSE)&lt;&gt;0,VLOOKUP($B29,$B:BA,COLUMN(AZ28)-1,FALSE)/VLOOKUP($B29,$B:AM,COLUMN(W28)-1,FALSE),IF(VLOOKUP($B29,$B:BA,COLUMN(AZ28)-1,FALSE)&lt;&gt;0,"unknown",0))</f>
        <v>0</v>
      </c>
      <c r="CC29" s="2">
        <f>IF(VLOOKUP($B29,$B:AN,COLUMN(X28)-1,FALSE)&lt;&gt;0,VLOOKUP($B29,$B:BB,COLUMN(BA28)-1,FALSE)/VLOOKUP($B29,$B:AN,COLUMN(X28)-1,FALSE),IF(VLOOKUP($B29,$B:BB,COLUMN(BA28)-1,FALSE)&lt;&gt;0,"unknown",0))</f>
        <v>0</v>
      </c>
      <c r="CD29" s="2">
        <f>IF(VLOOKUP($B29,$B:AO,COLUMN(Y28)-1,FALSE)&lt;&gt;0,VLOOKUP($B29,$B:BC,COLUMN(BB28)-1,FALSE)/VLOOKUP($B29,$B:AO,COLUMN(Y28)-1,FALSE),IF(VLOOKUP($B29,$B:BC,COLUMN(BB28)-1,FALSE)&lt;&gt;0,"unknown",0))</f>
        <v>0</v>
      </c>
      <c r="CE29" s="2">
        <f>IF(VLOOKUP($B29,$B:AP,COLUMN(Z28)-1,FALSE)&lt;&gt;0,VLOOKUP($B29,$B:BD,COLUMN(BC28)-1,FALSE)/VLOOKUP($B29,$B:AP,COLUMN(Z28)-1,FALSE),IF(VLOOKUP($B29,$B:BD,COLUMN(BC28)-1,FALSE)&lt;&gt;0,"unknown",0))</f>
        <v>0</v>
      </c>
      <c r="CF29" s="2">
        <f>IF(VLOOKUP($B29,$B:AR,COLUMN(AA28)-1,FALSE)&lt;&gt;0,VLOOKUP($B29,$B:BF,COLUMN(BD28)-1,FALSE)/VLOOKUP($B29,$B:AR,COLUMN(AA28)-1,FALSE),IF(VLOOKUP($B29,$B:BF,COLUMN(BD28)-1,FALSE)&lt;&gt;0,"unknown",0))</f>
        <v>0</v>
      </c>
      <c r="CG29" s="2">
        <f>IF(VLOOKUP($B29,$B:AS,COLUMN(AB28)-1,FALSE)&lt;&gt;0,VLOOKUP($B29,$B:BG,COLUMN(BE28)-1,FALSE)/VLOOKUP($B29,$B:AS,COLUMN(AB28)-1,FALSE),IF(VLOOKUP($B29,$B:BG,COLUMN(BE28)-1,FALSE)&lt;&gt;0,"unknown",0))</f>
        <v>0</v>
      </c>
      <c r="CH29" s="2">
        <f>IF(VLOOKUP($B29,$B:AS,COLUMN(AC28)-1,FALSE)&lt;&gt;0,VLOOKUP($B29,$B:BG,COLUMN(BF28)-1,FALSE)/VLOOKUP($B29,$B:AS,COLUMN(AC28)-1,FALSE),IF(VLOOKUP($B29,$B:BG,COLUMN(BF28)-1,FALSE)&lt;&gt;0,"unknown",0))</f>
        <v>0</v>
      </c>
      <c r="CI29" s="2">
        <f>IF(VLOOKUP($B29,$B:AT,COLUMN(AD28)-1,FALSE)&lt;&gt;0,VLOOKUP($B29,$B:BH,COLUMN(BG28)-1,FALSE)/VLOOKUP($B29,$B:AT,COLUMN(AD28)-1,FALSE),IF(VLOOKUP($B29,$B:BH,COLUMN(BG28)-1,FALSE)&lt;&gt;0,"unknown",0))</f>
        <v>0</v>
      </c>
      <c r="CJ29" s="2">
        <f>IF(VLOOKUP($B29,$B:AT,COLUMN(AE28)-1,FALSE)&lt;&gt;0,VLOOKUP($B29,$B:BH,COLUMN(BH28)-1,FALSE)/VLOOKUP($B29,$B:AT,COLUMN(AE28)-1,FALSE),IF(VLOOKUP($B29,$B:BH,COLUMN(BH28)-1,FALSE)&lt;&gt;0,"unknown",0))</f>
        <v>0</v>
      </c>
      <c r="CK29" s="2">
        <f>IF(VLOOKUP($B29,$B:AU,COLUMN(AG28)-1,FALSE)&lt;&gt;0,VLOOKUP($B29,$B:BI,COLUMN(BI28)-1,FALSE)/VLOOKUP($B29,$B:AU,COLUMN(AG28)-1,FALSE),IF(VLOOKUP($B29,$B:BI,COLUMN(BI28)-1,FALSE)&lt;&gt;0,"unknown",0))</f>
        <v>0</v>
      </c>
      <c r="CL29" s="2">
        <f>IF(VLOOKUP($B29,$B:AV,COLUMN(AH28)-1,FALSE)&lt;&gt;0,VLOOKUP($B29,$B:BJ,COLUMN(BJ28)-1,FALSE)/VLOOKUP($B29,$B:AV,COLUMN(AH28)-1,FALSE),IF(VLOOKUP($B29,$B:BJ,COLUMN(BJ28)-1,FALSE)&lt;&gt;0,"unknown",0))</f>
        <v>0</v>
      </c>
      <c r="CM29" s="2">
        <f>IF(VLOOKUP($B29,$B:AW,COLUMN(AI28)-1,FALSE)&lt;&gt;0,VLOOKUP($B29,$B:BK,COLUMN(BK28)-1,FALSE)/VLOOKUP($B29,$B:AW,COLUMN(AI28)-1,FALSE),IF(VLOOKUP($B29,$B:BK,COLUMN(BK28)-1,FALSE)&lt;&gt;0,"unknown",0))</f>
        <v>0</v>
      </c>
      <c r="CN29" s="2">
        <f>IF(VLOOKUP($B29,$B:AX,COLUMN(AJ28)-1,FALSE)&lt;&gt;0,VLOOKUP($B29,$B:BL,COLUMN(BL28)-1,FALSE)/VLOOKUP($B29,$B:AX,COLUMN(AJ28)-1,FALSE),IF(VLOOKUP($B29,$B:BL,COLUMN(BL28)-1,FALSE)&lt;&gt;0,"unknown",0))</f>
        <v>0</v>
      </c>
      <c r="CO29" s="410"/>
      <c r="CP29" s="2">
        <f>SUMIFS('Bilateral Assistance, MAIN DATA'!$M:$M,'Bilateral Assistance, MAIN DATA'!$B:$B,'Share, Heavy Weapons to Ukraine'!$B29,'Bilateral Assistance, MAIN DATA'!$AO:$AO,'Share, Heavy Weapons to Ukraine'!CP$11, 'Bilateral Assistance, MAIN DATA'!$AA:$AA,1)</f>
        <v>0</v>
      </c>
      <c r="CQ29" s="2">
        <f>SUMIFS('Bilateral Assistance, MAIN DATA'!$M:$M,'Bilateral Assistance, MAIN DATA'!$B:$B,'Share, Heavy Weapons to Ukraine'!$B29,'Bilateral Assistance, MAIN DATA'!$AO:$AO,'Share, Heavy Weapons to Ukraine'!CQ$11, 'Bilateral Assistance, MAIN DATA'!$AA:$AA,1)</f>
        <v>0</v>
      </c>
      <c r="CR29" s="2">
        <f>SUMIFS('Bilateral Assistance, MAIN DATA'!$M:$M,'Bilateral Assistance, MAIN DATA'!$B:$B,'Share, Heavy Weapons to Ukraine'!$B29,'Bilateral Assistance, MAIN DATA'!$AO:$AO,'Share, Heavy Weapons to Ukraine'!CR$11, 'Bilateral Assistance, MAIN DATA'!$AA:$AA,1)</f>
        <v>0</v>
      </c>
      <c r="CS29" s="2">
        <f>SUMIFS('Bilateral Assistance, MAIN DATA'!$M:$M,'Bilateral Assistance, MAIN DATA'!$B:$B,'Share, Heavy Weapons to Ukraine'!$B29,'Bilateral Assistance, MAIN DATA'!$AO:$AO,'Share, Heavy Weapons to Ukraine'!CS$11, 'Bilateral Assistance, MAIN DATA'!$AA:$AA,1)</f>
        <v>0</v>
      </c>
      <c r="CT29" s="410"/>
      <c r="CU29" s="2">
        <f>SUMIFS('Bilateral Assistance, MAIN DATA'!$N:$N,'Bilateral Assistance, MAIN DATA'!$B:$B,'Share, Heavy Weapons to Ukraine'!$B29,'Bilateral Assistance, MAIN DATA'!$AO:$AO,'Share, Heavy Weapons to Ukraine'!CU$11, 'Bilateral Assistance, MAIN DATA'!$AA:$AA,1)</f>
        <v>0</v>
      </c>
      <c r="CV29" s="2">
        <f>SUMIFS('Bilateral Assistance, MAIN DATA'!$N:$N,'Bilateral Assistance, MAIN DATA'!$B:$B,'Share, Heavy Weapons to Ukraine'!$B29,'Bilateral Assistance, MAIN DATA'!$AO:$AO,'Share, Heavy Weapons to Ukraine'!CV$11, 'Bilateral Assistance, MAIN DATA'!$AA:$AA,1)</f>
        <v>0</v>
      </c>
      <c r="CW29" s="2">
        <f>SUMIFS('Bilateral Assistance, MAIN DATA'!$N:$N,'Bilateral Assistance, MAIN DATA'!$B:$B,'Share, Heavy Weapons to Ukraine'!$B29,'Bilateral Assistance, MAIN DATA'!$AO:$AO,'Share, Heavy Weapons to Ukraine'!CW$11, 'Bilateral Assistance, MAIN DATA'!$AA:$AA,1)</f>
        <v>0</v>
      </c>
      <c r="CX29" s="2">
        <f>SUMIFS('Bilateral Assistance, MAIN DATA'!$N:$N,'Bilateral Assistance, MAIN DATA'!$B:$B,'Share, Heavy Weapons to Ukraine'!$B29,'Bilateral Assistance, MAIN DATA'!$AO:$AO,'Share, Heavy Weapons to Ukraine'!CX$11, 'Bilateral Assistance, MAIN DATA'!$AA:$AA,1)</f>
        <v>0</v>
      </c>
    </row>
    <row r="30" spans="2:102" ht="15.6">
      <c r="B30" s="409" t="s">
        <v>1194</v>
      </c>
      <c r="C30" s="409">
        <v>0</v>
      </c>
      <c r="D30" s="2">
        <v>1</v>
      </c>
      <c r="E30" s="410"/>
      <c r="F30" s="348">
        <f>7+(110/3)</f>
        <v>43.666666666666664</v>
      </c>
      <c r="G30" s="569" t="s">
        <v>364</v>
      </c>
      <c r="H30" s="348">
        <f>16/3+19</f>
        <v>24.333333333333332</v>
      </c>
      <c r="I30" s="569" t="s">
        <v>364</v>
      </c>
      <c r="J30" s="569" t="s">
        <v>364</v>
      </c>
      <c r="K30" s="569" t="s">
        <v>364</v>
      </c>
      <c r="L30" s="569" t="s">
        <v>364</v>
      </c>
      <c r="M30" s="569" t="s">
        <v>364</v>
      </c>
      <c r="N30" s="569" t="s">
        <v>364</v>
      </c>
      <c r="O30" s="569" t="s">
        <v>364</v>
      </c>
      <c r="P30" s="569" t="s">
        <v>364</v>
      </c>
      <c r="Q30" s="2" t="s">
        <v>6636</v>
      </c>
      <c r="R30" s="969" t="s">
        <v>6626</v>
      </c>
      <c r="S30" s="1227" t="s">
        <v>1293</v>
      </c>
      <c r="T30" s="2" t="s">
        <v>6627</v>
      </c>
      <c r="U30" s="410" t="str">
        <f>""</f>
        <v/>
      </c>
      <c r="V30" s="1334">
        <v>5.42</v>
      </c>
      <c r="W30" s="1334">
        <f>VLOOKUP(B30,'Heavy Weapon Stocks'!B:OA,COLUMN('Heavy Weapon Stocks'!$C$11)-1,FALSE)+IF(F30&lt;&gt;".",F30,0)</f>
        <v>87.666666666666657</v>
      </c>
      <c r="X30" s="1334">
        <f>VLOOKUP(B30,'Heavy Weapon Stocks'!B:OA,COLUMN('Heavy Weapon Stocks'!$AQ$11)-1,FALSE)</f>
        <v>287</v>
      </c>
      <c r="Y30" s="1334">
        <f>VLOOKUP(B30,'Heavy Weapon Stocks'!B:OA,COLUMN('Heavy Weapon Stocks'!$DK$11)-1,FALSE)</f>
        <v>0</v>
      </c>
      <c r="Z30" s="1334">
        <f>VLOOKUP(B30,'Heavy Weapon Stocks'!B:OA,COLUMN('Heavy Weapon Stocks'!$DY$11)-1,FALSE)</f>
        <v>140</v>
      </c>
      <c r="AA30" s="1334">
        <f>VLOOKUP(B30,'Heavy Weapon Stocks'!B:OA,COLUMN('Heavy Weapon Stocks'!$FA$11)-1,FALSE)+IF(G30&lt;&gt;".",G30,0)</f>
        <v>44</v>
      </c>
      <c r="AB30" s="1334">
        <f t="shared" si="3"/>
        <v>471</v>
      </c>
      <c r="AC30" s="1334">
        <f>VLOOKUP(B30,'Heavy Weapon Stocks'!B:OA,COLUMN('Heavy Weapon Stocks'!$GV$11)-1,FALSE)+VLOOKUP(B30,'Heavy Weapon Stocks'!B:OA,COLUMN('Heavy Weapon Stocks'!$HY$11)-1,FALSE)+IF(H30&lt;&gt;".",H30,0)</f>
        <v>39.333333333333329</v>
      </c>
      <c r="AD30" s="1334">
        <f>VLOOKUP(B30,'Heavy Weapon Stocks'!B:OA,COLUMN('Heavy Weapon Stocks'!$IF$11)-1,FALSE)+IF(I30&lt;&gt;".",I30,0)</f>
        <v>0</v>
      </c>
      <c r="AE30" s="1334">
        <f>VLOOKUP(B30,'Heavy Weapon Stocks'!B:OA,COLUMN('Heavy Weapon Stocks'!$IZ$11)-1,FALSE)+VLOOKUP(B30,'Heavy Weapon Stocks'!B:OA,COLUMN('Heavy Weapon Stocks'!$JW$11)-1,FALSE)</f>
        <v>48</v>
      </c>
      <c r="AF30" s="1334">
        <f>VLOOKUP(B30,'Heavy Weapon Stocks'!B:OA,COLUMN('Heavy Weapon Stocks'!$NL$11)-1,FALSE)+IF(L30&lt;&gt;".",L30,0)</f>
        <v>0</v>
      </c>
      <c r="AG30" s="1334">
        <f>VLOOKUP(B30,'Heavy Weapon Stocks'!B:OA,COLUMN('Heavy Weapon Stocks'!$LN$11)-1,FALSE)+IF(M30&lt;&gt;".",M30,0)</f>
        <v>0</v>
      </c>
      <c r="AH30" s="1334">
        <f>VLOOKUP(B30,'Heavy Weapon Stocks'!B:OA,COLUMN('Heavy Weapon Stocks'!$LX$11)-1,FALSE)+IF(N30&lt;&gt;".",N30,0)</f>
        <v>0</v>
      </c>
      <c r="AI30" s="1334">
        <f>VLOOKUP(B30,'Heavy Weapon Stocks'!B:OA,COLUMN('Heavy Weapon Stocks'!$ME$11)-1,FALSE)+IF(O30&lt;&gt;".",O30,0)</f>
        <v>0</v>
      </c>
      <c r="AJ30" s="1334">
        <f>VLOOKUP(B30,'Heavy Weapon Stocks'!B:OA,COLUMN('Heavy Weapon Stocks'!$NK$11)-1,FALSE)+IF(P30&lt;&gt;".",P30,0)</f>
        <v>0</v>
      </c>
      <c r="AK30" s="410"/>
      <c r="AL30" s="25">
        <f>SUMIFS('Bilateral Assistance, MAIN DATA'!$M:$M,'Bilateral Assistance, MAIN DATA'!$B:$B,'Share, Heavy Weapons to Ukraine'!$B30,'Bilateral Assistance, MAIN DATA'!$AO:$AO,'Share, Heavy Weapons to Ukraine'!AL$11)</f>
        <v>43.666666666666664</v>
      </c>
      <c r="AM30" s="25">
        <f>SUMIFS('Bilateral Assistance, MAIN DATA'!$M:$M,'Bilateral Assistance, MAIN DATA'!$B:$B,'Share, Heavy Weapons to Ukraine'!$B30,'Bilateral Assistance, MAIN DATA'!$AO:$AO,'Share, Heavy Weapons to Ukraine'!AM$11)</f>
        <v>50</v>
      </c>
      <c r="AN30" s="25">
        <f>SUMIFS('Bilateral Assistance, MAIN DATA'!$M:$M,'Bilateral Assistance, MAIN DATA'!$B:$B,'Share, Heavy Weapons to Ukraine'!$B30,'Bilateral Assistance, MAIN DATA'!$AO:$AO,'Share, Heavy Weapons to Ukraine'!AN$11)</f>
        <v>0</v>
      </c>
      <c r="AO30" s="25">
        <f>SUMIFS('Bilateral Assistance, MAIN DATA'!$M:$M,'Bilateral Assistance, MAIN DATA'!$B:$B,'Share, Heavy Weapons to Ukraine'!$B30,'Bilateral Assistance, MAIN DATA'!$AO:$AO,'Share, Heavy Weapons to Ukraine'!AO$11)</f>
        <v>0</v>
      </c>
      <c r="AP30" s="25">
        <f>SUMIFS('Bilateral Assistance, MAIN DATA'!$M:$M,'Bilateral Assistance, MAIN DATA'!$B:$B,'Share, Heavy Weapons to Ukraine'!$B30,'Bilateral Assistance, MAIN DATA'!$AO:$AO,'Share, Heavy Weapons to Ukraine'!AP$11)</f>
        <v>0</v>
      </c>
      <c r="AQ30" s="25">
        <f t="shared" si="1"/>
        <v>50</v>
      </c>
      <c r="AR30" s="25">
        <f>SUMIFS('Bilateral Assistance, MAIN DATA'!$M:$M,'Bilateral Assistance, MAIN DATA'!$B:$B,'Share, Heavy Weapons to Ukraine'!$B30,'Bilateral Assistance, MAIN DATA'!$AO:$AO,"155mm howitzer")+SUMIFS('Bilateral Assistance, MAIN DATA'!$M:$M,'Bilateral Assistance, MAIN DATA'!$B:$B,'Share, Heavy Weapons to Ukraine'!$B30,'Bilateral Assistance, MAIN DATA'!$AO:$AO,"152mm howitzer")</f>
        <v>24.333333333333332</v>
      </c>
      <c r="AS30" s="25">
        <f>SUMIFS('Bilateral Assistance, MAIN DATA'!$M:$M,'Bilateral Assistance, MAIN DATA'!$B:$B,'Share, Heavy Weapons to Ukraine'!$B30,'Bilateral Assistance, MAIN DATA'!$AO:$AO,"122mm MLRS")+SUMIFS('Bilateral Assistance, MAIN DATA'!$M:$M,'Bilateral Assistance, MAIN DATA'!$B:$B,'Share, Heavy Weapons to Ukraine'!$B30,'Bilateral Assistance, MAIN DATA'!$AO:$AO,"127mm MLRS")+SUMIFS('Bilateral Assistance, MAIN DATA'!$M:$M,'Bilateral Assistance, MAIN DATA'!$B:$B,'Share, Heavy Weapons to Ukraine'!$B30,'Bilateral Assistance, MAIN DATA'!$AO:$AO,"227mm MLRS")</f>
        <v>0</v>
      </c>
      <c r="AT30" s="25">
        <f>SUMIFS('Bilateral Assistance, MAIN DATA'!$M:$M,'Bilateral Assistance, MAIN DATA'!$B:$B,'Share, Heavy Weapons to Ukraine'!$B30,'Bilateral Assistance, MAIN DATA'!$AO:$AO,'Share, Heavy Weapons to Ukraine'!AT$11)</f>
        <v>0</v>
      </c>
      <c r="AU30" s="25">
        <f>SUMIFS('Bilateral Assistance, MAIN DATA'!$M:$M,'Bilateral Assistance, MAIN DATA'!$B:$B,'Share, Heavy Weapons to Ukraine'!$B30,'Bilateral Assistance, MAIN DATA'!$AO:$AO,'Share, Heavy Weapons to Ukraine'!AU$11)</f>
        <v>0</v>
      </c>
      <c r="AV30" s="25">
        <f>SUMIFS('Bilateral Assistance, MAIN DATA'!$M:$M,'Bilateral Assistance, MAIN DATA'!$B:$B,'Share, Heavy Weapons to Ukraine'!$B30,'Bilateral Assistance, MAIN DATA'!$AO:$AO,'Share, Heavy Weapons to Ukraine'!AV$11)</f>
        <v>0</v>
      </c>
      <c r="AW30" s="25">
        <f>SUMIFS('Bilateral Assistance, MAIN DATA'!$M:$M,'Bilateral Assistance, MAIN DATA'!$B:$B,'Share, Heavy Weapons to Ukraine'!$B30,'Bilateral Assistance, MAIN DATA'!$AO:$AO,'Share, Heavy Weapons to Ukraine'!AW$11)</f>
        <v>0</v>
      </c>
      <c r="AX30" s="25">
        <f>SUMIFS('Bilateral Assistance, MAIN DATA'!$M:$M,'Bilateral Assistance, MAIN DATA'!$B:$B,'Share, Heavy Weapons to Ukraine'!$B30,'Bilateral Assistance, MAIN DATA'!$AO:$AO,'Share, Heavy Weapons to Ukraine'!AX$11)</f>
        <v>0</v>
      </c>
      <c r="AY30" s="410"/>
      <c r="AZ30" s="25">
        <f>SUMIFS('Bilateral Assistance, MAIN DATA'!$N:$N,'Bilateral Assistance, MAIN DATA'!$B:$B,'Share, Heavy Weapons to Ukraine'!$B30,'Bilateral Assistance, MAIN DATA'!$AO:$AO,'Share, Heavy Weapons to Ukraine'!AZ$11)</f>
        <v>0</v>
      </c>
      <c r="BA30" s="25">
        <f>SUMIFS('Bilateral Assistance, MAIN DATA'!$N:$N,'Bilateral Assistance, MAIN DATA'!$B:$B,'Share, Heavy Weapons to Ukraine'!$B30,'Bilateral Assistance, MAIN DATA'!$AO:$AO,'Share, Heavy Weapons to Ukraine'!BA$11)</f>
        <v>50</v>
      </c>
      <c r="BB30" s="25">
        <f>SUMIFS('Bilateral Assistance, MAIN DATA'!$N:$N,'Bilateral Assistance, MAIN DATA'!$B:$B,'Share, Heavy Weapons to Ukraine'!$B30,'Bilateral Assistance, MAIN DATA'!$AO:$AO,'Share, Heavy Weapons to Ukraine'!BB$11)</f>
        <v>0</v>
      </c>
      <c r="BC30" s="25">
        <f>SUMIFS('Bilateral Assistance, MAIN DATA'!$N:$N,'Bilateral Assistance, MAIN DATA'!$B:$B,'Share, Heavy Weapons to Ukraine'!$B30,'Bilateral Assistance, MAIN DATA'!$AO:$AO,'Share, Heavy Weapons to Ukraine'!BC$11)</f>
        <v>0</v>
      </c>
      <c r="BD30" s="25">
        <f>SUMIFS('Bilateral Assistance, MAIN DATA'!$N:$N,'Bilateral Assistance, MAIN DATA'!$B:$B,'Share, Heavy Weapons to Ukraine'!$B30,'Bilateral Assistance, MAIN DATA'!$AO:$AO,'Share, Heavy Weapons to Ukraine'!BD$11)</f>
        <v>0</v>
      </c>
      <c r="BE30" s="25">
        <f t="shared" si="2"/>
        <v>50</v>
      </c>
      <c r="BF30" s="25">
        <f>SUMIFS('Bilateral Assistance, MAIN DATA'!$N:$N,'Bilateral Assistance, MAIN DATA'!$B:$B,'Share, Heavy Weapons to Ukraine'!$B30,'Bilateral Assistance, MAIN DATA'!$AO:$AO,"155mm howitzer")+SUMIFS('Bilateral Assistance, MAIN DATA'!$N:$N,'Bilateral Assistance, MAIN DATA'!$B:$B,'Share, Heavy Weapons to Ukraine'!$B30,'Bilateral Assistance, MAIN DATA'!$AO:$AO,"152mm howitzer")</f>
        <v>19</v>
      </c>
      <c r="BG30" s="25">
        <f>SUMIFS('Bilateral Assistance, MAIN DATA'!$N:$N,'Bilateral Assistance, MAIN DATA'!$B:$B,'Share, Heavy Weapons to Ukraine'!$B30,'Bilateral Assistance, MAIN DATA'!$AO:$AO,"122mm MLRS")+SUMIFS('Bilateral Assistance, MAIN DATA'!$N:$N,'Bilateral Assistance, MAIN DATA'!$B:$B,'Share, Heavy Weapons to Ukraine'!$B30,'Bilateral Assistance, MAIN DATA'!$AO:$AO,"127mm MLRS")+SUMIFS('Bilateral Assistance, MAIN DATA'!$N:$N,'Bilateral Assistance, MAIN DATA'!$B:$B,'Share, Heavy Weapons to Ukraine'!$B30,'Bilateral Assistance, MAIN DATA'!$AO:$AO,"227mm MLRS")</f>
        <v>0</v>
      </c>
      <c r="BH30" s="25">
        <f>SUMIFS('Bilateral Assistance, MAIN DATA'!$N:$N,'Bilateral Assistance, MAIN DATA'!$B:$B,'Share, Heavy Weapons to Ukraine'!$B30,'Bilateral Assistance, MAIN DATA'!$AO:$AO,'Share, Heavy Weapons to Ukraine'!BH$11)</f>
        <v>0</v>
      </c>
      <c r="BI30" s="25">
        <f>SUMIFS('Bilateral Assistance, MAIN DATA'!$N:$N,'Bilateral Assistance, MAIN DATA'!$B:$B,'Share, Heavy Weapons to Ukraine'!$B30,'Bilateral Assistance, MAIN DATA'!$AO:$AO,'Share, Heavy Weapons to Ukraine'!BI$11)</f>
        <v>0</v>
      </c>
      <c r="BJ30" s="25">
        <f>SUMIFS('Bilateral Assistance, MAIN DATA'!$N:$N,'Bilateral Assistance, MAIN DATA'!$B:$B,'Share, Heavy Weapons to Ukraine'!$B30,'Bilateral Assistance, MAIN DATA'!$AO:$AO,'Share, Heavy Weapons to Ukraine'!BJ$11)</f>
        <v>0</v>
      </c>
      <c r="BK30" s="25">
        <f>SUMIFS('Bilateral Assistance, MAIN DATA'!$N:$N,'Bilateral Assistance, MAIN DATA'!$B:$B,'Share, Heavy Weapons to Ukraine'!$B30,'Bilateral Assistance, MAIN DATA'!$AO:$AO,'Share, Heavy Weapons to Ukraine'!BK$11)</f>
        <v>0</v>
      </c>
      <c r="BL30" s="25">
        <f>SUMIFS('Bilateral Assistance, MAIN DATA'!$N:$N,'Bilateral Assistance, MAIN DATA'!$B:$B,'Share, Heavy Weapons to Ukraine'!$B30,'Bilateral Assistance, MAIN DATA'!$AO:$AO,'Share, Heavy Weapons to Ukraine'!BL$11)</f>
        <v>0</v>
      </c>
      <c r="BM30" s="410"/>
      <c r="BN30" s="261">
        <f>IF(VLOOKUP($B30,$B:W,COLUMN(W29)-1,FALSE)&lt;&gt;0,VLOOKUP($B30,$B:AL,COLUMN(AL29)-1,FALSE)/VLOOKUP($B30,$B:W,COLUMN(W29)-1,FALSE),IF(VLOOKUP($B30,$B:AL,COLUMN(AL29)-1,FALSE)&lt;&gt;0,"unknown",0))</f>
        <v>0.49809885931558939</v>
      </c>
      <c r="BO30" s="261">
        <f>IF(VLOOKUP($B30,$B:X,COLUMN(X29)-1,FALSE)&lt;&gt;0,VLOOKUP($B30,$B:AM,COLUMN(AM29)-1,FALSE)/VLOOKUP($B30,$B:X,COLUMN(X29)-1,FALSE),IF(VLOOKUP($B30,$B:AM,COLUMN(AM29)-1,FALSE)&lt;&gt;0,"unknown",0))</f>
        <v>0.17421602787456447</v>
      </c>
      <c r="BP30" s="261">
        <f>IF(VLOOKUP($B30,$B:Y,COLUMN(Y29)-1,FALSE)&lt;&gt;0,VLOOKUP($B30,$B:AN,COLUMN(AN29)-1,FALSE)/VLOOKUP($B30,$B:Y,COLUMN(Y29)-1,FALSE),IF(VLOOKUP($B30,$B:AN,COLUMN(AN29)-1,FALSE)&lt;&gt;0,"unknown",0))</f>
        <v>0</v>
      </c>
      <c r="BQ30" s="261">
        <f>IF(VLOOKUP($B30,$B:Z,COLUMN(Z29)-1,FALSE)&lt;&gt;0,VLOOKUP($B30,$B:AO,COLUMN(AO29)-1,FALSE)/VLOOKUP($B30,$B:Z,COLUMN(Z29)-1,FALSE),IF(VLOOKUP($B30,$B:AO,COLUMN(AO29)-1,FALSE)&lt;&gt;0,"unknown",0))</f>
        <v>0</v>
      </c>
      <c r="BR30" s="261">
        <f>IF(VLOOKUP($B30,$B:AA,COLUMN(AA29)-1,FALSE)&lt;&gt;0,VLOOKUP($B30,$B:AP,COLUMN(AP29)-1,FALSE)/VLOOKUP($B30,$B:AA,COLUMN(AA29)-1,FALSE),IF(VLOOKUP($B30,$B:AP,COLUMN(AP29)-1,FALSE)&lt;&gt;0,"unknown",0))</f>
        <v>0</v>
      </c>
      <c r="BS30" s="261">
        <f>IF(VLOOKUP($B30,$B:AB,COLUMN(AB29)-1,FALSE)&lt;&gt;0,VLOOKUP($B30,$B:AQ,COLUMN(AQ29)-1,FALSE)/VLOOKUP($B30,$B:AB,COLUMN(AB29)-1,FALSE),IF(VLOOKUP($B30,$B:AQ,COLUMN(AQ29)-1,FALSE)&lt;&gt;0,"unknown",0))</f>
        <v>0.10615711252653928</v>
      </c>
      <c r="BT30" s="261">
        <f>IF(VLOOKUP($B30,$B:AC,COLUMN(AC29)-1,FALSE)&lt;&gt;0,VLOOKUP($B30,$B:AR,COLUMN(AR29)-1,FALSE)/VLOOKUP($B30,$B:AC,COLUMN(AC29)-1,FALSE),IF(VLOOKUP($B30,$B:AR,COLUMN(AR29)-1,FALSE)&lt;&gt;0,"unknown",0))</f>
        <v>0.61864406779661019</v>
      </c>
      <c r="BU30" s="261">
        <f>IF(VLOOKUP($B30,$B:AD,COLUMN(AD29)-1,FALSE)&lt;&gt;0,VLOOKUP($B30,$B:AS,COLUMN(AS29)-1,FALSE)/VLOOKUP($B30,$B:AD,COLUMN(AD29)-1,FALSE),IF(VLOOKUP($B30,$B:AS,COLUMN(AS29)-1,FALSE)&lt;&gt;0,"unknown",0))</f>
        <v>0</v>
      </c>
      <c r="BV30" s="261">
        <f>IF(VLOOKUP($B30,$B:AE,COLUMN(AE29)-1,FALSE)&lt;&gt;0,VLOOKUP($B30,$B:AT,COLUMN(AT29)-1,FALSE)/VLOOKUP($B30,$B:AE,COLUMN(AE29)-1,FALSE),IF(VLOOKUP($B30,$B:AT,COLUMN(AT29)-1,FALSE)&lt;&gt;0,"unknown",0))</f>
        <v>0</v>
      </c>
      <c r="BW30" s="261">
        <f>IF(VLOOKUP($B30,$B:AG,COLUMN(AG29)-1,FALSE)&lt;&gt;0,VLOOKUP($B30,$B:AU,COLUMN(AU29)-1,FALSE)/VLOOKUP($B30,$B:AG,COLUMN(AG29)-1,FALSE),IF(VLOOKUP($B30,$B:AU,COLUMN(AU29)-1,FALSE)&lt;&gt;0,"unknown",0))</f>
        <v>0</v>
      </c>
      <c r="BX30" s="261">
        <f>IF(VLOOKUP($B30,$B:AH,COLUMN(AH29)-1,FALSE)&lt;&gt;0,VLOOKUP($B30,$B:AV,COLUMN(AV29)-1,FALSE)/VLOOKUP($B30,$B:AH,COLUMN(AH29)-1,FALSE),IF(VLOOKUP($B30,$B:AV,COLUMN(AV29)-1,FALSE)&lt;&gt;0,"unknown",0))</f>
        <v>0</v>
      </c>
      <c r="BY30" s="261">
        <f>IF(VLOOKUP($B30,$B:AI,COLUMN(AI29)-1,FALSE)&lt;&gt;0,VLOOKUP($B30,$B:AW,COLUMN(AW29)-1,FALSE)/VLOOKUP($B30,$B:AI,COLUMN(AI29)-1,FALSE),IF(VLOOKUP($B30,$B:AW,COLUMN(AW29)-1,FALSE)&lt;&gt;0,"unknown",0))</f>
        <v>0</v>
      </c>
      <c r="BZ30" s="261">
        <f>IF(VLOOKUP($B30,$B:AJ,COLUMN(AJ29)-1,FALSE)&lt;&gt;0,VLOOKUP($B30,$B:AX,COLUMN(AX29)-1,FALSE)/VLOOKUP($B30,$B:AJ,COLUMN(AJ29)-1,FALSE),IF(VLOOKUP($B30,$B:AX,COLUMN(AX29)-1,FALSE)&lt;&gt;0,"unknown",0))</f>
        <v>0</v>
      </c>
      <c r="CA30" s="410"/>
      <c r="CB30" s="2">
        <f>IF(VLOOKUP($B30,$B:AM,COLUMN(W29)-1,FALSE)&lt;&gt;0,VLOOKUP($B30,$B:BA,COLUMN(AZ29)-1,FALSE)/VLOOKUP($B30,$B:AM,COLUMN(W29)-1,FALSE),IF(VLOOKUP($B30,$B:BA,COLUMN(AZ29)-1,FALSE)&lt;&gt;0,"unknown",0))</f>
        <v>0</v>
      </c>
      <c r="CC30" s="2">
        <f>IF(VLOOKUP($B30,$B:AN,COLUMN(X29)-1,FALSE)&lt;&gt;0,VLOOKUP($B30,$B:BB,COLUMN(BA29)-1,FALSE)/VLOOKUP($B30,$B:AN,COLUMN(X29)-1,FALSE),IF(VLOOKUP($B30,$B:BB,COLUMN(BA29)-1,FALSE)&lt;&gt;0,"unknown",0))</f>
        <v>0.17421602787456447</v>
      </c>
      <c r="CD30" s="2">
        <f>IF(VLOOKUP($B30,$B:AO,COLUMN(Y29)-1,FALSE)&lt;&gt;0,VLOOKUP($B30,$B:BC,COLUMN(BB29)-1,FALSE)/VLOOKUP($B30,$B:AO,COLUMN(Y29)-1,FALSE),IF(VLOOKUP($B30,$B:BC,COLUMN(BB29)-1,FALSE)&lt;&gt;0,"unknown",0))</f>
        <v>0</v>
      </c>
      <c r="CE30" s="2">
        <f>IF(VLOOKUP($B30,$B:AP,COLUMN(Z29)-1,FALSE)&lt;&gt;0,VLOOKUP($B30,$B:BD,COLUMN(BC29)-1,FALSE)/VLOOKUP($B30,$B:AP,COLUMN(Z29)-1,FALSE),IF(VLOOKUP($B30,$B:BD,COLUMN(BC29)-1,FALSE)&lt;&gt;0,"unknown",0))</f>
        <v>0</v>
      </c>
      <c r="CF30" s="2">
        <f>IF(VLOOKUP($B30,$B:AR,COLUMN(AA29)-1,FALSE)&lt;&gt;0,VLOOKUP($B30,$B:BF,COLUMN(BD29)-1,FALSE)/VLOOKUP($B30,$B:AR,COLUMN(AA29)-1,FALSE),IF(VLOOKUP($B30,$B:BF,COLUMN(BD29)-1,FALSE)&lt;&gt;0,"unknown",0))</f>
        <v>0</v>
      </c>
      <c r="CG30" s="2">
        <f>IF(VLOOKUP($B30,$B:AS,COLUMN(AB29)-1,FALSE)&lt;&gt;0,VLOOKUP($B30,$B:BG,COLUMN(BE29)-1,FALSE)/VLOOKUP($B30,$B:AS,COLUMN(AB29)-1,FALSE),IF(VLOOKUP($B30,$B:BG,COLUMN(BE29)-1,FALSE)&lt;&gt;0,"unknown",0))</f>
        <v>0.10615711252653928</v>
      </c>
      <c r="CH30" s="2">
        <f>IF(VLOOKUP($B30,$B:AS,COLUMN(AC29)-1,FALSE)&lt;&gt;0,VLOOKUP($B30,$B:BG,COLUMN(BF29)-1,FALSE)/VLOOKUP($B30,$B:AS,COLUMN(AC29)-1,FALSE),IF(VLOOKUP($B30,$B:BG,COLUMN(BF29)-1,FALSE)&lt;&gt;0,"unknown",0))</f>
        <v>0.48305084745762716</v>
      </c>
      <c r="CI30" s="2">
        <f>IF(VLOOKUP($B30,$B:AT,COLUMN(AD29)-1,FALSE)&lt;&gt;0,VLOOKUP($B30,$B:BH,COLUMN(BG29)-1,FALSE)/VLOOKUP($B30,$B:AT,COLUMN(AD29)-1,FALSE),IF(VLOOKUP($B30,$B:BH,COLUMN(BG29)-1,FALSE)&lt;&gt;0,"unknown",0))</f>
        <v>0</v>
      </c>
      <c r="CJ30" s="2">
        <f>IF(VLOOKUP($B30,$B:AT,COLUMN(AE29)-1,FALSE)&lt;&gt;0,VLOOKUP($B30,$B:BH,COLUMN(BH29)-1,FALSE)/VLOOKUP($B30,$B:AT,COLUMN(AE29)-1,FALSE),IF(VLOOKUP($B30,$B:BH,COLUMN(BH29)-1,FALSE)&lt;&gt;0,"unknown",0))</f>
        <v>0</v>
      </c>
      <c r="CK30" s="2">
        <f>IF(VLOOKUP($B30,$B:AU,COLUMN(AG29)-1,FALSE)&lt;&gt;0,VLOOKUP($B30,$B:BI,COLUMN(BI29)-1,FALSE)/VLOOKUP($B30,$B:AU,COLUMN(AG29)-1,FALSE),IF(VLOOKUP($B30,$B:BI,COLUMN(BI29)-1,FALSE)&lt;&gt;0,"unknown",0))</f>
        <v>0</v>
      </c>
      <c r="CL30" s="2">
        <f>IF(VLOOKUP($B30,$B:AV,COLUMN(AH29)-1,FALSE)&lt;&gt;0,VLOOKUP($B30,$B:BJ,COLUMN(BJ29)-1,FALSE)/VLOOKUP($B30,$B:AV,COLUMN(AH29)-1,FALSE),IF(VLOOKUP($B30,$B:BJ,COLUMN(BJ29)-1,FALSE)&lt;&gt;0,"unknown",0))</f>
        <v>0</v>
      </c>
      <c r="CM30" s="2">
        <f>IF(VLOOKUP($B30,$B:AW,COLUMN(AI29)-1,FALSE)&lt;&gt;0,VLOOKUP($B30,$B:BK,COLUMN(BK29)-1,FALSE)/VLOOKUP($B30,$B:AW,COLUMN(AI29)-1,FALSE),IF(VLOOKUP($B30,$B:BK,COLUMN(BK29)-1,FALSE)&lt;&gt;0,"unknown",0))</f>
        <v>0</v>
      </c>
      <c r="CN30" s="2">
        <f>IF(VLOOKUP($B30,$B:AX,COLUMN(AJ29)-1,FALSE)&lt;&gt;0,VLOOKUP($B30,$B:BL,COLUMN(BL29)-1,FALSE)/VLOOKUP($B30,$B:AX,COLUMN(AJ29)-1,FALSE),IF(VLOOKUP($B30,$B:BL,COLUMN(BL29)-1,FALSE)&lt;&gt;0,"unknown",0))</f>
        <v>0</v>
      </c>
      <c r="CO30" s="410"/>
      <c r="CP30" s="2">
        <f>SUMIFS('Bilateral Assistance, MAIN DATA'!$M:$M,'Bilateral Assistance, MAIN DATA'!$B:$B,'Share, Heavy Weapons to Ukraine'!$B30,'Bilateral Assistance, MAIN DATA'!$AO:$AO,'Share, Heavy Weapons to Ukraine'!CP$11, 'Bilateral Assistance, MAIN DATA'!$AA:$AA,1)</f>
        <v>0</v>
      </c>
      <c r="CQ30" s="2">
        <f>SUMIFS('Bilateral Assistance, MAIN DATA'!$M:$M,'Bilateral Assistance, MAIN DATA'!$B:$B,'Share, Heavy Weapons to Ukraine'!$B30,'Bilateral Assistance, MAIN DATA'!$AO:$AO,'Share, Heavy Weapons to Ukraine'!CQ$11, 'Bilateral Assistance, MAIN DATA'!$AA:$AA,1)</f>
        <v>0</v>
      </c>
      <c r="CR30" s="2">
        <f>SUMIFS('Bilateral Assistance, MAIN DATA'!$M:$M,'Bilateral Assistance, MAIN DATA'!$B:$B,'Share, Heavy Weapons to Ukraine'!$B30,'Bilateral Assistance, MAIN DATA'!$AO:$AO,'Share, Heavy Weapons to Ukraine'!CR$11, 'Bilateral Assistance, MAIN DATA'!$AA:$AA,1)</f>
        <v>0</v>
      </c>
      <c r="CS30" s="2">
        <f>SUMIFS('Bilateral Assistance, MAIN DATA'!$M:$M,'Bilateral Assistance, MAIN DATA'!$B:$B,'Share, Heavy Weapons to Ukraine'!$B30,'Bilateral Assistance, MAIN DATA'!$AO:$AO,'Share, Heavy Weapons to Ukraine'!CS$11, 'Bilateral Assistance, MAIN DATA'!$AA:$AA,1)</f>
        <v>0</v>
      </c>
      <c r="CT30" s="410"/>
      <c r="CU30" s="2">
        <f>SUMIFS('Bilateral Assistance, MAIN DATA'!$N:$N,'Bilateral Assistance, MAIN DATA'!$B:$B,'Share, Heavy Weapons to Ukraine'!$B30,'Bilateral Assistance, MAIN DATA'!$AO:$AO,'Share, Heavy Weapons to Ukraine'!CU$11, 'Bilateral Assistance, MAIN DATA'!$AA:$AA,1)</f>
        <v>0</v>
      </c>
      <c r="CV30" s="2">
        <f>SUMIFS('Bilateral Assistance, MAIN DATA'!$N:$N,'Bilateral Assistance, MAIN DATA'!$B:$B,'Share, Heavy Weapons to Ukraine'!$B30,'Bilateral Assistance, MAIN DATA'!$AO:$AO,'Share, Heavy Weapons to Ukraine'!CV$11, 'Bilateral Assistance, MAIN DATA'!$AA:$AA,1)</f>
        <v>0</v>
      </c>
      <c r="CW30" s="2">
        <f>SUMIFS('Bilateral Assistance, MAIN DATA'!$N:$N,'Bilateral Assistance, MAIN DATA'!$B:$B,'Share, Heavy Weapons to Ukraine'!$B30,'Bilateral Assistance, MAIN DATA'!$AO:$AO,'Share, Heavy Weapons to Ukraine'!CW$11, 'Bilateral Assistance, MAIN DATA'!$AA:$AA,1)</f>
        <v>0</v>
      </c>
      <c r="CX30" s="2">
        <f>SUMIFS('Bilateral Assistance, MAIN DATA'!$N:$N,'Bilateral Assistance, MAIN DATA'!$B:$B,'Share, Heavy Weapons to Ukraine'!$B30,'Bilateral Assistance, MAIN DATA'!$AO:$AO,'Share, Heavy Weapons to Ukraine'!CX$11, 'Bilateral Assistance, MAIN DATA'!$AA:$AA,1)</f>
        <v>0</v>
      </c>
    </row>
    <row r="31" spans="2:102" ht="15.6">
      <c r="B31" s="409" t="s">
        <v>1012</v>
      </c>
      <c r="C31" s="409">
        <v>0</v>
      </c>
      <c r="D31" s="2">
        <v>1</v>
      </c>
      <c r="E31" s="410"/>
      <c r="F31" s="569" t="s">
        <v>364</v>
      </c>
      <c r="G31" s="569" t="s">
        <v>364</v>
      </c>
      <c r="H31" s="569" t="s">
        <v>364</v>
      </c>
      <c r="I31" s="569">
        <v>59</v>
      </c>
      <c r="J31" s="569" t="s">
        <v>364</v>
      </c>
      <c r="K31" s="569" t="s">
        <v>364</v>
      </c>
      <c r="L31" s="569" t="s">
        <v>364</v>
      </c>
      <c r="M31" s="569" t="s">
        <v>364</v>
      </c>
      <c r="N31" s="569" t="s">
        <v>364</v>
      </c>
      <c r="O31" s="569">
        <v>2</v>
      </c>
      <c r="P31" s="569" t="s">
        <v>364</v>
      </c>
      <c r="Q31" s="268" t="s">
        <v>6637</v>
      </c>
      <c r="R31" s="969" t="s">
        <v>6638</v>
      </c>
      <c r="S31" s="268" t="s">
        <v>6639</v>
      </c>
      <c r="T31" s="569" t="s">
        <v>364</v>
      </c>
      <c r="U31" s="410" t="str">
        <f>""</f>
        <v/>
      </c>
      <c r="V31" s="1334">
        <v>3.97</v>
      </c>
      <c r="W31" s="1334">
        <f>VLOOKUP(B31,'Heavy Weapon Stocks'!B:OA,COLUMN('Heavy Weapon Stocks'!$C$11)-1,FALSE)+IF(F31&lt;&gt;".",F31,0)</f>
        <v>119</v>
      </c>
      <c r="X31" s="1334">
        <f>VLOOKUP(B31,'Heavy Weapon Stocks'!B:OA,COLUMN('Heavy Weapon Stocks'!$AQ$11)-1,FALSE)</f>
        <v>0</v>
      </c>
      <c r="Y31" s="1334">
        <f>VLOOKUP(B31,'Heavy Weapon Stocks'!B:OA,COLUMN('Heavy Weapon Stocks'!$DK$11)-1,FALSE)</f>
        <v>1</v>
      </c>
      <c r="Z31" s="1334">
        <f>VLOOKUP(B31,'Heavy Weapon Stocks'!B:OA,COLUMN('Heavy Weapon Stocks'!$DY$11)-1,FALSE)</f>
        <v>141</v>
      </c>
      <c r="AA31" s="1334">
        <f>VLOOKUP(B31,'Heavy Weapon Stocks'!B:OA,COLUMN('Heavy Weapon Stocks'!$FA$11)-1,FALSE)+IF(G31&lt;&gt;".",G31,0)</f>
        <v>390</v>
      </c>
      <c r="AB31" s="1334">
        <f t="shared" si="3"/>
        <v>532</v>
      </c>
      <c r="AC31" s="1334">
        <f>VLOOKUP(B31,'Heavy Weapon Stocks'!B:OA,COLUMN('Heavy Weapon Stocks'!$GV$11)-1,FALSE)+VLOOKUP(B31,'Heavy Weapon Stocks'!B:OA,COLUMN('Heavy Weapon Stocks'!$HY$11)-1,FALSE)+IF(H31&lt;&gt;".",H31,0)</f>
        <v>86</v>
      </c>
      <c r="AD31" s="1334">
        <f>VLOOKUP(B31,'Heavy Weapon Stocks'!B:OA,COLUMN('Heavy Weapon Stocks'!$IF$11)-1,FALSE)+IF(I31&lt;&gt;".",I31,0)</f>
        <v>59</v>
      </c>
      <c r="AE31" s="1334">
        <f>VLOOKUP(B31,'Heavy Weapon Stocks'!B:OA,COLUMN('Heavy Weapon Stocks'!$IZ$11)-1,FALSE)+VLOOKUP(B31,'Heavy Weapon Stocks'!B:OA,COLUMN('Heavy Weapon Stocks'!$JW$11)-1,FALSE)</f>
        <v>14</v>
      </c>
      <c r="AF31" s="1334">
        <f>VLOOKUP(B31,'Heavy Weapon Stocks'!B:OA,COLUMN('Heavy Weapon Stocks'!$NL$11)-1,FALSE)+IF(L31&lt;&gt;".",L31,0)</f>
        <v>0</v>
      </c>
      <c r="AG31" s="1334">
        <f>VLOOKUP(B31,'Heavy Weapon Stocks'!B:OA,COLUMN('Heavy Weapon Stocks'!$LN$11)-1,FALSE)+IF(M31&lt;&gt;".",M31,0)</f>
        <v>0</v>
      </c>
      <c r="AH31" s="1334">
        <f>VLOOKUP(B31,'Heavy Weapon Stocks'!B:OA,COLUMN('Heavy Weapon Stocks'!$LX$11)-1,FALSE)+IF(N31&lt;&gt;".",N31,0)</f>
        <v>0</v>
      </c>
      <c r="AI31" s="1334">
        <f>VLOOKUP(B31,'Heavy Weapon Stocks'!B:OA,COLUMN('Heavy Weapon Stocks'!$ME$11)-1,FALSE)+IF(O31&lt;&gt;".",O31,0)</f>
        <v>2</v>
      </c>
      <c r="AJ31" s="1334">
        <f>VLOOKUP(B31,'Heavy Weapon Stocks'!B:OA,COLUMN('Heavy Weapon Stocks'!$NK$11)-1,FALSE)+IF(P31&lt;&gt;".",P31,0)</f>
        <v>0</v>
      </c>
      <c r="AK31" s="410"/>
      <c r="AL31" s="25">
        <f>SUMIFS('Bilateral Assistance, MAIN DATA'!$M:$M,'Bilateral Assistance, MAIN DATA'!$B:$B,'Share, Heavy Weapons to Ukraine'!$B31,'Bilateral Assistance, MAIN DATA'!$AO:$AO,'Share, Heavy Weapons to Ukraine'!AL$11)</f>
        <v>89</v>
      </c>
      <c r="AM31" s="25">
        <f>SUMIFS('Bilateral Assistance, MAIN DATA'!$M:$M,'Bilateral Assistance, MAIN DATA'!$B:$B,'Share, Heavy Weapons to Ukraine'!$B31,'Bilateral Assistance, MAIN DATA'!$AO:$AO,'Share, Heavy Weapons to Ukraine'!AM$11)</f>
        <v>0</v>
      </c>
      <c r="AN31" s="25">
        <f>SUMIFS('Bilateral Assistance, MAIN DATA'!$M:$M,'Bilateral Assistance, MAIN DATA'!$B:$B,'Share, Heavy Weapons to Ukraine'!$B31,'Bilateral Assistance, MAIN DATA'!$AO:$AO,'Share, Heavy Weapons to Ukraine'!AN$11)</f>
        <v>0</v>
      </c>
      <c r="AO31" s="25">
        <f>SUMIFS('Bilateral Assistance, MAIN DATA'!$M:$M,'Bilateral Assistance, MAIN DATA'!$B:$B,'Share, Heavy Weapons to Ukraine'!$B31,'Bilateral Assistance, MAIN DATA'!$AO:$AO,'Share, Heavy Weapons to Ukraine'!AO$11)</f>
        <v>0</v>
      </c>
      <c r="AP31" s="25">
        <f>SUMIFS('Bilateral Assistance, MAIN DATA'!$M:$M,'Bilateral Assistance, MAIN DATA'!$B:$B,'Share, Heavy Weapons to Ukraine'!$B31,'Bilateral Assistance, MAIN DATA'!$AO:$AO,'Share, Heavy Weapons to Ukraine'!AP$11)</f>
        <v>4</v>
      </c>
      <c r="AQ31" s="25">
        <f t="shared" si="1"/>
        <v>4</v>
      </c>
      <c r="AR31" s="25">
        <f>SUMIFS('Bilateral Assistance, MAIN DATA'!$M:$M,'Bilateral Assistance, MAIN DATA'!$B:$B,'Share, Heavy Weapons to Ukraine'!$B31,'Bilateral Assistance, MAIN DATA'!$AO:$AO,"155mm howitzer")+SUMIFS('Bilateral Assistance, MAIN DATA'!$M:$M,'Bilateral Assistance, MAIN DATA'!$B:$B,'Share, Heavy Weapons to Ukraine'!$B31,'Bilateral Assistance, MAIN DATA'!$AO:$AO,"152mm howitzer")</f>
        <v>38</v>
      </c>
      <c r="AS31" s="25">
        <f>SUMIFS('Bilateral Assistance, MAIN DATA'!$M:$M,'Bilateral Assistance, MAIN DATA'!$B:$B,'Share, Heavy Weapons to Ukraine'!$B31,'Bilateral Assistance, MAIN DATA'!$AO:$AO,"122mm MLRS")+SUMIFS('Bilateral Assistance, MAIN DATA'!$M:$M,'Bilateral Assistance, MAIN DATA'!$B:$B,'Share, Heavy Weapons to Ukraine'!$B31,'Bilateral Assistance, MAIN DATA'!$AO:$AO,"127mm MLRS")+SUMIFS('Bilateral Assistance, MAIN DATA'!$M:$M,'Bilateral Assistance, MAIN DATA'!$B:$B,'Share, Heavy Weapons to Ukraine'!$B31,'Bilateral Assistance, MAIN DATA'!$AO:$AO,"227mm MLRS")</f>
        <v>33</v>
      </c>
      <c r="AT31" s="25">
        <f>SUMIFS('Bilateral Assistance, MAIN DATA'!$M:$M,'Bilateral Assistance, MAIN DATA'!$B:$B,'Share, Heavy Weapons to Ukraine'!$B31,'Bilateral Assistance, MAIN DATA'!$AO:$AO,'Share, Heavy Weapons to Ukraine'!AT$11)</f>
        <v>0</v>
      </c>
      <c r="AU31" s="25">
        <f>SUMIFS('Bilateral Assistance, MAIN DATA'!$M:$M,'Bilateral Assistance, MAIN DATA'!$B:$B,'Share, Heavy Weapons to Ukraine'!$B31,'Bilateral Assistance, MAIN DATA'!$AO:$AO,'Share, Heavy Weapons to Ukraine'!AU$11)</f>
        <v>0</v>
      </c>
      <c r="AV31" s="25">
        <f>SUMIFS('Bilateral Assistance, MAIN DATA'!$M:$M,'Bilateral Assistance, MAIN DATA'!$B:$B,'Share, Heavy Weapons to Ukraine'!$B31,'Bilateral Assistance, MAIN DATA'!$AO:$AO,'Share, Heavy Weapons to Ukraine'!AV$11)</f>
        <v>0</v>
      </c>
      <c r="AW31" s="25">
        <f>SUMIFS('Bilateral Assistance, MAIN DATA'!$M:$M,'Bilateral Assistance, MAIN DATA'!$B:$B,'Share, Heavy Weapons to Ukraine'!$B31,'Bilateral Assistance, MAIN DATA'!$AO:$AO,'Share, Heavy Weapons to Ukraine'!AW$11)</f>
        <v>2</v>
      </c>
      <c r="AX31" s="25">
        <f>SUMIFS('Bilateral Assistance, MAIN DATA'!$M:$M,'Bilateral Assistance, MAIN DATA'!$B:$B,'Share, Heavy Weapons to Ukraine'!$B31,'Bilateral Assistance, MAIN DATA'!$AO:$AO,'Share, Heavy Weapons to Ukraine'!AX$11)</f>
        <v>0</v>
      </c>
      <c r="AY31" s="410"/>
      <c r="AZ31" s="25">
        <f>SUMIFS('Bilateral Assistance, MAIN DATA'!$N:$N,'Bilateral Assistance, MAIN DATA'!$B:$B,'Share, Heavy Weapons to Ukraine'!$B31,'Bilateral Assistance, MAIN DATA'!$AO:$AO,'Share, Heavy Weapons to Ukraine'!AZ$11)</f>
        <v>89</v>
      </c>
      <c r="BA31" s="25">
        <f>SUMIFS('Bilateral Assistance, MAIN DATA'!$N:$N,'Bilateral Assistance, MAIN DATA'!$B:$B,'Share, Heavy Weapons to Ukraine'!$B31,'Bilateral Assistance, MAIN DATA'!$AO:$AO,'Share, Heavy Weapons to Ukraine'!BA$11)</f>
        <v>0</v>
      </c>
      <c r="BB31" s="25">
        <f>SUMIFS('Bilateral Assistance, MAIN DATA'!$N:$N,'Bilateral Assistance, MAIN DATA'!$B:$B,'Share, Heavy Weapons to Ukraine'!$B31,'Bilateral Assistance, MAIN DATA'!$AO:$AO,'Share, Heavy Weapons to Ukraine'!BB$11)</f>
        <v>0</v>
      </c>
      <c r="BC31" s="25">
        <f>SUMIFS('Bilateral Assistance, MAIN DATA'!$N:$N,'Bilateral Assistance, MAIN DATA'!$B:$B,'Share, Heavy Weapons to Ukraine'!$B31,'Bilateral Assistance, MAIN DATA'!$AO:$AO,'Share, Heavy Weapons to Ukraine'!BC$11)</f>
        <v>0</v>
      </c>
      <c r="BD31" s="25">
        <f>SUMIFS('Bilateral Assistance, MAIN DATA'!$N:$N,'Bilateral Assistance, MAIN DATA'!$B:$B,'Share, Heavy Weapons to Ukraine'!$B31,'Bilateral Assistance, MAIN DATA'!$AO:$AO,'Share, Heavy Weapons to Ukraine'!BD$11)</f>
        <v>4</v>
      </c>
      <c r="BE31" s="25">
        <f t="shared" si="2"/>
        <v>4</v>
      </c>
      <c r="BF31" s="25">
        <f>SUMIFS('Bilateral Assistance, MAIN DATA'!$N:$N,'Bilateral Assistance, MAIN DATA'!$B:$B,'Share, Heavy Weapons to Ukraine'!$B31,'Bilateral Assistance, MAIN DATA'!$AO:$AO,"155mm howitzer")+SUMIFS('Bilateral Assistance, MAIN DATA'!$N:$N,'Bilateral Assistance, MAIN DATA'!$B:$B,'Share, Heavy Weapons to Ukraine'!$B31,'Bilateral Assistance, MAIN DATA'!$AO:$AO,"152mm howitzer")</f>
        <v>38</v>
      </c>
      <c r="BG31" s="25">
        <f>SUMIFS('Bilateral Assistance, MAIN DATA'!$N:$N,'Bilateral Assistance, MAIN DATA'!$B:$B,'Share, Heavy Weapons to Ukraine'!$B31,'Bilateral Assistance, MAIN DATA'!$AO:$AO,"122mm MLRS")+SUMIFS('Bilateral Assistance, MAIN DATA'!$N:$N,'Bilateral Assistance, MAIN DATA'!$B:$B,'Share, Heavy Weapons to Ukraine'!$B31,'Bilateral Assistance, MAIN DATA'!$AO:$AO,"127mm MLRS")+SUMIFS('Bilateral Assistance, MAIN DATA'!$N:$N,'Bilateral Assistance, MAIN DATA'!$B:$B,'Share, Heavy Weapons to Ukraine'!$B31,'Bilateral Assistance, MAIN DATA'!$AO:$AO,"227mm MLRS")</f>
        <v>33</v>
      </c>
      <c r="BH31" s="25">
        <f>SUMIFS('Bilateral Assistance, MAIN DATA'!$N:$N,'Bilateral Assistance, MAIN DATA'!$B:$B,'Share, Heavy Weapons to Ukraine'!$B31,'Bilateral Assistance, MAIN DATA'!$AO:$AO,'Share, Heavy Weapons to Ukraine'!BH$11)</f>
        <v>0</v>
      </c>
      <c r="BI31" s="25">
        <f>SUMIFS('Bilateral Assistance, MAIN DATA'!$N:$N,'Bilateral Assistance, MAIN DATA'!$B:$B,'Share, Heavy Weapons to Ukraine'!$B31,'Bilateral Assistance, MAIN DATA'!$AO:$AO,'Share, Heavy Weapons to Ukraine'!BI$11)</f>
        <v>0</v>
      </c>
      <c r="BJ31" s="25">
        <f>SUMIFS('Bilateral Assistance, MAIN DATA'!$N:$N,'Bilateral Assistance, MAIN DATA'!$B:$B,'Share, Heavy Weapons to Ukraine'!$B31,'Bilateral Assistance, MAIN DATA'!$AO:$AO,'Share, Heavy Weapons to Ukraine'!BJ$11)</f>
        <v>0</v>
      </c>
      <c r="BK31" s="25">
        <f>SUMIFS('Bilateral Assistance, MAIN DATA'!$N:$N,'Bilateral Assistance, MAIN DATA'!$B:$B,'Share, Heavy Weapons to Ukraine'!$B31,'Bilateral Assistance, MAIN DATA'!$AO:$AO,'Share, Heavy Weapons to Ukraine'!BK$11)</f>
        <v>0</v>
      </c>
      <c r="BL31" s="25">
        <f>SUMIFS('Bilateral Assistance, MAIN DATA'!$N:$N,'Bilateral Assistance, MAIN DATA'!$B:$B,'Share, Heavy Weapons to Ukraine'!$B31,'Bilateral Assistance, MAIN DATA'!$AO:$AO,'Share, Heavy Weapons to Ukraine'!BL$11)</f>
        <v>0</v>
      </c>
      <c r="BM31" s="410"/>
      <c r="BN31" s="261">
        <f>IF(VLOOKUP($B31,$B:W,COLUMN(W30)-1,FALSE)&lt;&gt;0,VLOOKUP($B31,$B:AL,COLUMN(AL30)-1,FALSE)/VLOOKUP($B31,$B:W,COLUMN(W30)-1,FALSE),IF(VLOOKUP($B31,$B:AL,COLUMN(AL30)-1,FALSE)&lt;&gt;0,"unknown",0))</f>
        <v>0.74789915966386555</v>
      </c>
      <c r="BO31" s="261">
        <f>IF(VLOOKUP($B31,$B:X,COLUMN(X30)-1,FALSE)&lt;&gt;0,VLOOKUP($B31,$B:AM,COLUMN(AM30)-1,FALSE)/VLOOKUP($B31,$B:X,COLUMN(X30)-1,FALSE),IF(VLOOKUP($B31,$B:AM,COLUMN(AM30)-1,FALSE)&lt;&gt;0,"unknown",0))</f>
        <v>0</v>
      </c>
      <c r="BP31" s="261">
        <f>IF(VLOOKUP($B31,$B:Y,COLUMN(Y30)-1,FALSE)&lt;&gt;0,VLOOKUP($B31,$B:AN,COLUMN(AN30)-1,FALSE)/VLOOKUP($B31,$B:Y,COLUMN(Y30)-1,FALSE),IF(VLOOKUP($B31,$B:AN,COLUMN(AN30)-1,FALSE)&lt;&gt;0,"unknown",0))</f>
        <v>0</v>
      </c>
      <c r="BQ31" s="261">
        <f>IF(VLOOKUP($B31,$B:Z,COLUMN(Z30)-1,FALSE)&lt;&gt;0,VLOOKUP($B31,$B:AO,COLUMN(AO30)-1,FALSE)/VLOOKUP($B31,$B:Z,COLUMN(Z30)-1,FALSE),IF(VLOOKUP($B31,$B:AO,COLUMN(AO30)-1,FALSE)&lt;&gt;0,"unknown",0))</f>
        <v>0</v>
      </c>
      <c r="BR31" s="261">
        <f>IF(VLOOKUP($B31,$B:AA,COLUMN(AA30)-1,FALSE)&lt;&gt;0,VLOOKUP($B31,$B:AP,COLUMN(AP30)-1,FALSE)/VLOOKUP($B31,$B:AA,COLUMN(AA30)-1,FALSE),IF(VLOOKUP($B31,$B:AP,COLUMN(AP30)-1,FALSE)&lt;&gt;0,"unknown",0))</f>
        <v>1.0256410256410256E-2</v>
      </c>
      <c r="BS31" s="261">
        <f>IF(VLOOKUP($B31,$B:AB,COLUMN(AB30)-1,FALSE)&lt;&gt;0,VLOOKUP($B31,$B:AQ,COLUMN(AQ30)-1,FALSE)/VLOOKUP($B31,$B:AB,COLUMN(AB30)-1,FALSE),IF(VLOOKUP($B31,$B:AQ,COLUMN(AQ30)-1,FALSE)&lt;&gt;0,"unknown",0))</f>
        <v>7.5187969924812026E-3</v>
      </c>
      <c r="BT31" s="261">
        <f>IF(VLOOKUP($B31,$B:AC,COLUMN(AC30)-1,FALSE)&lt;&gt;0,VLOOKUP($B31,$B:AR,COLUMN(AR30)-1,FALSE)/VLOOKUP($B31,$B:AC,COLUMN(AC30)-1,FALSE),IF(VLOOKUP($B31,$B:AR,COLUMN(AR30)-1,FALSE)&lt;&gt;0,"unknown",0))</f>
        <v>0.44186046511627908</v>
      </c>
      <c r="BU31" s="261">
        <f>IF(VLOOKUP($B31,$B:AD,COLUMN(AD30)-1,FALSE)&lt;&gt;0,VLOOKUP($B31,$B:AS,COLUMN(AS30)-1,FALSE)/VLOOKUP($B31,$B:AD,COLUMN(AD30)-1,FALSE),IF(VLOOKUP($B31,$B:AS,COLUMN(AS30)-1,FALSE)&lt;&gt;0,"unknown",0))</f>
        <v>0.55932203389830504</v>
      </c>
      <c r="BV31" s="261">
        <f>IF(VLOOKUP($B31,$B:AE,COLUMN(AE30)-1,FALSE)&lt;&gt;0,VLOOKUP($B31,$B:AT,COLUMN(AT30)-1,FALSE)/VLOOKUP($B31,$B:AE,COLUMN(AE30)-1,FALSE),IF(VLOOKUP($B31,$B:AT,COLUMN(AT30)-1,FALSE)&lt;&gt;0,"unknown",0))</f>
        <v>0</v>
      </c>
      <c r="BW31" s="261">
        <f>IF(VLOOKUP($B31,$B:AG,COLUMN(AG30)-1,FALSE)&lt;&gt;0,VLOOKUP($B31,$B:AU,COLUMN(AU30)-1,FALSE)/VLOOKUP($B31,$B:AG,COLUMN(AG30)-1,FALSE),IF(VLOOKUP($B31,$B:AU,COLUMN(AU30)-1,FALSE)&lt;&gt;0,"unknown",0))</f>
        <v>0</v>
      </c>
      <c r="BX31" s="261">
        <f>IF(VLOOKUP($B31,$B:AH,COLUMN(AH30)-1,FALSE)&lt;&gt;0,VLOOKUP($B31,$B:AV,COLUMN(AV30)-1,FALSE)/VLOOKUP($B31,$B:AH,COLUMN(AH30)-1,FALSE),IF(VLOOKUP($B31,$B:AV,COLUMN(AV30)-1,FALSE)&lt;&gt;0,"unknown",0))</f>
        <v>0</v>
      </c>
      <c r="BY31" s="261">
        <f>IF(VLOOKUP($B31,$B:AI,COLUMN(AI30)-1,FALSE)&lt;&gt;0,VLOOKUP($B31,$B:AW,COLUMN(AW30)-1,FALSE)/VLOOKUP($B31,$B:AI,COLUMN(AI30)-1,FALSE),IF(VLOOKUP($B31,$B:AW,COLUMN(AW30)-1,FALSE)&lt;&gt;0,"unknown",0))</f>
        <v>1</v>
      </c>
      <c r="BZ31" s="261">
        <f>IF(VLOOKUP($B31,$B:AJ,COLUMN(AJ30)-1,FALSE)&lt;&gt;0,VLOOKUP($B31,$B:AX,COLUMN(AX30)-1,FALSE)/VLOOKUP($B31,$B:AJ,COLUMN(AJ30)-1,FALSE),IF(VLOOKUP($B31,$B:AX,COLUMN(AX30)-1,FALSE)&lt;&gt;0,"unknown",0))</f>
        <v>0</v>
      </c>
      <c r="CA31" s="410"/>
      <c r="CB31" s="2">
        <f>IF(VLOOKUP($B31,$B:AM,COLUMN(W30)-1,FALSE)&lt;&gt;0,VLOOKUP($B31,$B:BA,COLUMN(AZ30)-1,FALSE)/VLOOKUP($B31,$B:AM,COLUMN(W30)-1,FALSE),IF(VLOOKUP($B31,$B:BA,COLUMN(AZ30)-1,FALSE)&lt;&gt;0,"unknown",0))</f>
        <v>0.74789915966386555</v>
      </c>
      <c r="CC31" s="2">
        <f>IF(VLOOKUP($B31,$B:AN,COLUMN(X30)-1,FALSE)&lt;&gt;0,VLOOKUP($B31,$B:BB,COLUMN(BA30)-1,FALSE)/VLOOKUP($B31,$B:AN,COLUMN(X30)-1,FALSE),IF(VLOOKUP($B31,$B:BB,COLUMN(BA30)-1,FALSE)&lt;&gt;0,"unknown",0))</f>
        <v>0</v>
      </c>
      <c r="CD31" s="2">
        <f>IF(VLOOKUP($B31,$B:AO,COLUMN(Y30)-1,FALSE)&lt;&gt;0,VLOOKUP($B31,$B:BC,COLUMN(BB30)-1,FALSE)/VLOOKUP($B31,$B:AO,COLUMN(Y30)-1,FALSE),IF(VLOOKUP($B31,$B:BC,COLUMN(BB30)-1,FALSE)&lt;&gt;0,"unknown",0))</f>
        <v>0</v>
      </c>
      <c r="CE31" s="2">
        <f>IF(VLOOKUP($B31,$B:AP,COLUMN(Z30)-1,FALSE)&lt;&gt;0,VLOOKUP($B31,$B:BD,COLUMN(BC30)-1,FALSE)/VLOOKUP($B31,$B:AP,COLUMN(Z30)-1,FALSE),IF(VLOOKUP($B31,$B:BD,COLUMN(BC30)-1,FALSE)&lt;&gt;0,"unknown",0))</f>
        <v>0</v>
      </c>
      <c r="CF31" s="2">
        <f>IF(VLOOKUP($B31,$B:AR,COLUMN(AA30)-1,FALSE)&lt;&gt;0,VLOOKUP($B31,$B:BF,COLUMN(BD30)-1,FALSE)/VLOOKUP($B31,$B:AR,COLUMN(AA30)-1,FALSE),IF(VLOOKUP($B31,$B:BF,COLUMN(BD30)-1,FALSE)&lt;&gt;0,"unknown",0))</f>
        <v>1.0256410256410256E-2</v>
      </c>
      <c r="CG31" s="2">
        <f>IF(VLOOKUP($B31,$B:AS,COLUMN(AB30)-1,FALSE)&lt;&gt;0,VLOOKUP($B31,$B:BG,COLUMN(BE30)-1,FALSE)/VLOOKUP($B31,$B:AS,COLUMN(AB30)-1,FALSE),IF(VLOOKUP($B31,$B:BG,COLUMN(BE30)-1,FALSE)&lt;&gt;0,"unknown",0))</f>
        <v>7.5187969924812026E-3</v>
      </c>
      <c r="CH31" s="2">
        <f>IF(VLOOKUP($B31,$B:AS,COLUMN(AC30)-1,FALSE)&lt;&gt;0,VLOOKUP($B31,$B:BG,COLUMN(BF30)-1,FALSE)/VLOOKUP($B31,$B:AS,COLUMN(AC30)-1,FALSE),IF(VLOOKUP($B31,$B:BG,COLUMN(BF30)-1,FALSE)&lt;&gt;0,"unknown",0))</f>
        <v>0.44186046511627908</v>
      </c>
      <c r="CI31" s="2">
        <f>IF(VLOOKUP($B31,$B:AT,COLUMN(AD30)-1,FALSE)&lt;&gt;0,VLOOKUP($B31,$B:BH,COLUMN(BG30)-1,FALSE)/VLOOKUP($B31,$B:AT,COLUMN(AD30)-1,FALSE),IF(VLOOKUP($B31,$B:BH,COLUMN(BG30)-1,FALSE)&lt;&gt;0,"unknown",0))</f>
        <v>0.55932203389830504</v>
      </c>
      <c r="CJ31" s="2">
        <f>IF(VLOOKUP($B31,$B:AT,COLUMN(AE30)-1,FALSE)&lt;&gt;0,VLOOKUP($B31,$B:BH,COLUMN(BH30)-1,FALSE)/VLOOKUP($B31,$B:AT,COLUMN(AE30)-1,FALSE),IF(VLOOKUP($B31,$B:BH,COLUMN(BH30)-1,FALSE)&lt;&gt;0,"unknown",0))</f>
        <v>0</v>
      </c>
      <c r="CK31" s="2">
        <f>IF(VLOOKUP($B31,$B:AU,COLUMN(AG30)-1,FALSE)&lt;&gt;0,VLOOKUP($B31,$B:BI,COLUMN(BI30)-1,FALSE)/VLOOKUP($B31,$B:AU,COLUMN(AG30)-1,FALSE),IF(VLOOKUP($B31,$B:BI,COLUMN(BI30)-1,FALSE)&lt;&gt;0,"unknown",0))</f>
        <v>0</v>
      </c>
      <c r="CL31" s="2">
        <f>IF(VLOOKUP($B31,$B:AV,COLUMN(AH30)-1,FALSE)&lt;&gt;0,VLOOKUP($B31,$B:BJ,COLUMN(BJ30)-1,FALSE)/VLOOKUP($B31,$B:AV,COLUMN(AH30)-1,FALSE),IF(VLOOKUP($B31,$B:BJ,COLUMN(BJ30)-1,FALSE)&lt;&gt;0,"unknown",0))</f>
        <v>0</v>
      </c>
      <c r="CM31" s="2">
        <f>IF(VLOOKUP($B31,$B:AW,COLUMN(AI30)-1,FALSE)&lt;&gt;0,VLOOKUP($B31,$B:BK,COLUMN(BK30)-1,FALSE)/VLOOKUP($B31,$B:AW,COLUMN(AI30)-1,FALSE),IF(VLOOKUP($B31,$B:BK,COLUMN(BK30)-1,FALSE)&lt;&gt;0,"unknown",0))</f>
        <v>0</v>
      </c>
      <c r="CN31" s="2">
        <f>IF(VLOOKUP($B31,$B:AX,COLUMN(AJ30)-1,FALSE)&lt;&gt;0,VLOOKUP($B31,$B:BL,COLUMN(BL30)-1,FALSE)/VLOOKUP($B31,$B:AX,COLUMN(AJ30)-1,FALSE),IF(VLOOKUP($B31,$B:BL,COLUMN(BL30)-1,FALSE)&lt;&gt;0,"unknown",0))</f>
        <v>0</v>
      </c>
      <c r="CO31" s="410"/>
      <c r="CP31" s="2">
        <f>SUMIFS('Bilateral Assistance, MAIN DATA'!$M:$M,'Bilateral Assistance, MAIN DATA'!$B:$B,'Share, Heavy Weapons to Ukraine'!$B31,'Bilateral Assistance, MAIN DATA'!$AO:$AO,'Share, Heavy Weapons to Ukraine'!CP$11, 'Bilateral Assistance, MAIN DATA'!$AA:$AA,1)</f>
        <v>0</v>
      </c>
      <c r="CQ31" s="2">
        <f>SUMIFS('Bilateral Assistance, MAIN DATA'!$M:$M,'Bilateral Assistance, MAIN DATA'!$B:$B,'Share, Heavy Weapons to Ukraine'!$B31,'Bilateral Assistance, MAIN DATA'!$AO:$AO,'Share, Heavy Weapons to Ukraine'!CQ$11, 'Bilateral Assistance, MAIN DATA'!$AA:$AA,1)</f>
        <v>0</v>
      </c>
      <c r="CR31" s="2">
        <f>SUMIFS('Bilateral Assistance, MAIN DATA'!$M:$M,'Bilateral Assistance, MAIN DATA'!$B:$B,'Share, Heavy Weapons to Ukraine'!$B31,'Bilateral Assistance, MAIN DATA'!$AO:$AO,'Share, Heavy Weapons to Ukraine'!CR$11, 'Bilateral Assistance, MAIN DATA'!$AA:$AA,1)</f>
        <v>2</v>
      </c>
      <c r="CS31" s="2">
        <f>SUMIFS('Bilateral Assistance, MAIN DATA'!$M:$M,'Bilateral Assistance, MAIN DATA'!$B:$B,'Share, Heavy Weapons to Ukraine'!$B31,'Bilateral Assistance, MAIN DATA'!$AO:$AO,'Share, Heavy Weapons to Ukraine'!CS$11, 'Bilateral Assistance, MAIN DATA'!$AA:$AA,1)</f>
        <v>0</v>
      </c>
      <c r="CT31" s="410"/>
      <c r="CU31" s="2">
        <f>SUMIFS('Bilateral Assistance, MAIN DATA'!$N:$N,'Bilateral Assistance, MAIN DATA'!$B:$B,'Share, Heavy Weapons to Ukraine'!$B31,'Bilateral Assistance, MAIN DATA'!$AO:$AO,'Share, Heavy Weapons to Ukraine'!CU$11, 'Bilateral Assistance, MAIN DATA'!$AA:$AA,1)</f>
        <v>0</v>
      </c>
      <c r="CV31" s="2">
        <f>SUMIFS('Bilateral Assistance, MAIN DATA'!$N:$N,'Bilateral Assistance, MAIN DATA'!$B:$B,'Share, Heavy Weapons to Ukraine'!$B31,'Bilateral Assistance, MAIN DATA'!$AO:$AO,'Share, Heavy Weapons to Ukraine'!CV$11, 'Bilateral Assistance, MAIN DATA'!$AA:$AA,1)</f>
        <v>0</v>
      </c>
      <c r="CW31" s="2">
        <f>SUMIFS('Bilateral Assistance, MAIN DATA'!$N:$N,'Bilateral Assistance, MAIN DATA'!$B:$B,'Share, Heavy Weapons to Ukraine'!$B31,'Bilateral Assistance, MAIN DATA'!$AO:$AO,'Share, Heavy Weapons to Ukraine'!CW$11, 'Bilateral Assistance, MAIN DATA'!$AA:$AA,1)</f>
        <v>0</v>
      </c>
      <c r="CX31" s="2">
        <f>SUMIFS('Bilateral Assistance, MAIN DATA'!$N:$N,'Bilateral Assistance, MAIN DATA'!$B:$B,'Share, Heavy Weapons to Ukraine'!$B31,'Bilateral Assistance, MAIN DATA'!$AO:$AO,'Share, Heavy Weapons to Ukraine'!CX$11, 'Bilateral Assistance, MAIN DATA'!$AA:$AA,1)</f>
        <v>0</v>
      </c>
    </row>
    <row r="32" spans="2:102" ht="15.6">
      <c r="B32" s="409" t="s">
        <v>454</v>
      </c>
      <c r="C32" s="409">
        <v>0</v>
      </c>
      <c r="D32" s="2">
        <v>1</v>
      </c>
      <c r="E32" s="410"/>
      <c r="F32" s="569" t="s">
        <v>364</v>
      </c>
      <c r="G32" s="569" t="s">
        <v>364</v>
      </c>
      <c r="H32" s="569" t="s">
        <v>364</v>
      </c>
      <c r="I32" s="569" t="s">
        <v>364</v>
      </c>
      <c r="J32" s="569" t="s">
        <v>364</v>
      </c>
      <c r="K32" s="569" t="s">
        <v>364</v>
      </c>
      <c r="L32" s="569" t="s">
        <v>364</v>
      </c>
      <c r="M32" s="569" t="s">
        <v>364</v>
      </c>
      <c r="N32" s="569" t="s">
        <v>364</v>
      </c>
      <c r="O32" s="569" t="s">
        <v>364</v>
      </c>
      <c r="P32" s="569" t="s">
        <v>364</v>
      </c>
      <c r="Q32" s="569" t="s">
        <v>364</v>
      </c>
      <c r="R32" s="569" t="s">
        <v>364</v>
      </c>
      <c r="S32" s="569" t="s">
        <v>364</v>
      </c>
      <c r="T32" s="569" t="s">
        <v>364</v>
      </c>
      <c r="U32" s="410" t="str">
        <f>""</f>
        <v/>
      </c>
      <c r="V32" s="1334">
        <v>3.68</v>
      </c>
      <c r="W32" s="1334">
        <f>VLOOKUP(B32,'Heavy Weapon Stocks'!B:OA,COLUMN('Heavy Weapon Stocks'!$C$11)-1,FALSE)+IF(F32&lt;&gt;".",F32,0)</f>
        <v>56</v>
      </c>
      <c r="X32" s="1334">
        <f>VLOOKUP(B32,'Heavy Weapon Stocks'!B:OA,COLUMN('Heavy Weapon Stocks'!$AQ$11)-1,FALSE)</f>
        <v>144</v>
      </c>
      <c r="Y32" s="1334">
        <f>VLOOKUP(B32,'Heavy Weapon Stocks'!B:OA,COLUMN('Heavy Weapon Stocks'!$DK$11)-1,FALSE)</f>
        <v>0</v>
      </c>
      <c r="Z32" s="1334">
        <f>VLOOKUP(B32,'Heavy Weapon Stocks'!B:OA,COLUMN('Heavy Weapon Stocks'!$DY$11)-1,FALSE)</f>
        <v>216</v>
      </c>
      <c r="AA32" s="1334">
        <f>VLOOKUP(B32,'Heavy Weapon Stocks'!B:OA,COLUMN('Heavy Weapon Stocks'!$FA$11)-1,FALSE)+IF(G32&lt;&gt;".",G32,0)</f>
        <v>112</v>
      </c>
      <c r="AB32" s="1334">
        <f t="shared" si="3"/>
        <v>472</v>
      </c>
      <c r="AC32" s="1334">
        <f>VLOOKUP(B32,'Heavy Weapon Stocks'!B:OA,COLUMN('Heavy Weapon Stocks'!$GV$11)-1,FALSE)+VLOOKUP(B32,'Heavy Weapon Stocks'!B:OA,COLUMN('Heavy Weapon Stocks'!$HY$11)-1,FALSE)+IF(H32&lt;&gt;".",H32,0)</f>
        <v>48</v>
      </c>
      <c r="AD32" s="1334">
        <f>VLOOKUP(B32,'Heavy Weapon Stocks'!B:OA,COLUMN('Heavy Weapon Stocks'!$IF$11)-1,FALSE)+IF(I32&lt;&gt;".",I32,0)</f>
        <v>0</v>
      </c>
      <c r="AE32" s="1334">
        <f>VLOOKUP(B32,'Heavy Weapon Stocks'!B:OA,COLUMN('Heavy Weapon Stocks'!$IZ$11)-1,FALSE)+VLOOKUP(B32,'Heavy Weapon Stocks'!B:OA,COLUMN('Heavy Weapon Stocks'!$JW$11)-1,FALSE)</f>
        <v>15</v>
      </c>
      <c r="AF32" s="1334">
        <f>VLOOKUP(B32,'Heavy Weapon Stocks'!B:OA,COLUMN('Heavy Weapon Stocks'!$NL$11)-1,FALSE)+IF(L32&lt;&gt;".",L32,0)</f>
        <v>0</v>
      </c>
      <c r="AG32" s="1334">
        <f>VLOOKUP(B32,'Heavy Weapon Stocks'!B:OA,COLUMN('Heavy Weapon Stocks'!$LN$11)-1,FALSE)+IF(M32&lt;&gt;".",M32,0)</f>
        <v>0</v>
      </c>
      <c r="AH32" s="1334">
        <f>VLOOKUP(B32,'Heavy Weapon Stocks'!B:OA,COLUMN('Heavy Weapon Stocks'!$LX$11)-1,FALSE)+IF(N32&lt;&gt;".",N32,0)</f>
        <v>0</v>
      </c>
      <c r="AI32" s="1334">
        <f>VLOOKUP(B32,'Heavy Weapon Stocks'!B:OA,COLUMN('Heavy Weapon Stocks'!$ME$11)-1,FALSE)+IF(O32&lt;&gt;".",O32,0)</f>
        <v>0</v>
      </c>
      <c r="AJ32" s="1334">
        <f>VLOOKUP(B32,'Heavy Weapon Stocks'!B:OA,COLUMN('Heavy Weapon Stocks'!$NK$11)-1,FALSE)+IF(P32&lt;&gt;".",P32,0)</f>
        <v>0</v>
      </c>
      <c r="AK32" s="410"/>
      <c r="AL32" s="25">
        <f>SUMIFS('Bilateral Assistance, MAIN DATA'!$M:$M,'Bilateral Assistance, MAIN DATA'!$B:$B,'Share, Heavy Weapons to Ukraine'!$B32,'Bilateral Assistance, MAIN DATA'!$AO:$AO,'Share, Heavy Weapons to Ukraine'!AL$11)</f>
        <v>0</v>
      </c>
      <c r="AM32" s="25">
        <f>SUMIFS('Bilateral Assistance, MAIN DATA'!$M:$M,'Bilateral Assistance, MAIN DATA'!$B:$B,'Share, Heavy Weapons to Ukraine'!$B32,'Bilateral Assistance, MAIN DATA'!$AO:$AO,'Share, Heavy Weapons to Ukraine'!AM$11)</f>
        <v>0</v>
      </c>
      <c r="AN32" s="25">
        <f>SUMIFS('Bilateral Assistance, MAIN DATA'!$M:$M,'Bilateral Assistance, MAIN DATA'!$B:$B,'Share, Heavy Weapons to Ukraine'!$B32,'Bilateral Assistance, MAIN DATA'!$AO:$AO,'Share, Heavy Weapons to Ukraine'!AN$11)</f>
        <v>0</v>
      </c>
      <c r="AO32" s="25">
        <f>SUMIFS('Bilateral Assistance, MAIN DATA'!$M:$M,'Bilateral Assistance, MAIN DATA'!$B:$B,'Share, Heavy Weapons to Ukraine'!$B32,'Bilateral Assistance, MAIN DATA'!$AO:$AO,'Share, Heavy Weapons to Ukraine'!AO$11)</f>
        <v>0</v>
      </c>
      <c r="AP32" s="25">
        <f>SUMIFS('Bilateral Assistance, MAIN DATA'!$M:$M,'Bilateral Assistance, MAIN DATA'!$B:$B,'Share, Heavy Weapons to Ukraine'!$B32,'Bilateral Assistance, MAIN DATA'!$AO:$AO,'Share, Heavy Weapons to Ukraine'!AP$11)</f>
        <v>0</v>
      </c>
      <c r="AQ32" s="25">
        <f t="shared" si="1"/>
        <v>0</v>
      </c>
      <c r="AR32" s="25">
        <f>SUMIFS('Bilateral Assistance, MAIN DATA'!$M:$M,'Bilateral Assistance, MAIN DATA'!$B:$B,'Share, Heavy Weapons to Ukraine'!$B32,'Bilateral Assistance, MAIN DATA'!$AO:$AO,"155mm howitzer")+SUMIFS('Bilateral Assistance, MAIN DATA'!$M:$M,'Bilateral Assistance, MAIN DATA'!$B:$B,'Share, Heavy Weapons to Ukraine'!$B32,'Bilateral Assistance, MAIN DATA'!$AO:$AO,"152mm howitzer")</f>
        <v>0</v>
      </c>
      <c r="AS32" s="25">
        <f>SUMIFS('Bilateral Assistance, MAIN DATA'!$M:$M,'Bilateral Assistance, MAIN DATA'!$B:$B,'Share, Heavy Weapons to Ukraine'!$B32,'Bilateral Assistance, MAIN DATA'!$AO:$AO,"122mm MLRS")+SUMIFS('Bilateral Assistance, MAIN DATA'!$M:$M,'Bilateral Assistance, MAIN DATA'!$B:$B,'Share, Heavy Weapons to Ukraine'!$B32,'Bilateral Assistance, MAIN DATA'!$AO:$AO,"127mm MLRS")+SUMIFS('Bilateral Assistance, MAIN DATA'!$M:$M,'Bilateral Assistance, MAIN DATA'!$B:$B,'Share, Heavy Weapons to Ukraine'!$B32,'Bilateral Assistance, MAIN DATA'!$AO:$AO,"227mm MLRS")</f>
        <v>0</v>
      </c>
      <c r="AT32" s="25">
        <f>SUMIFS('Bilateral Assistance, MAIN DATA'!$M:$M,'Bilateral Assistance, MAIN DATA'!$B:$B,'Share, Heavy Weapons to Ukraine'!$B32,'Bilateral Assistance, MAIN DATA'!$AO:$AO,'Share, Heavy Weapons to Ukraine'!AT$11)</f>
        <v>0</v>
      </c>
      <c r="AU32" s="25">
        <f>SUMIFS('Bilateral Assistance, MAIN DATA'!$M:$M,'Bilateral Assistance, MAIN DATA'!$B:$B,'Share, Heavy Weapons to Ukraine'!$B32,'Bilateral Assistance, MAIN DATA'!$AO:$AO,'Share, Heavy Weapons to Ukraine'!AU$11)</f>
        <v>0</v>
      </c>
      <c r="AV32" s="25">
        <f>SUMIFS('Bilateral Assistance, MAIN DATA'!$M:$M,'Bilateral Assistance, MAIN DATA'!$B:$B,'Share, Heavy Weapons to Ukraine'!$B32,'Bilateral Assistance, MAIN DATA'!$AO:$AO,'Share, Heavy Weapons to Ukraine'!AV$11)</f>
        <v>0</v>
      </c>
      <c r="AW32" s="25">
        <f>SUMIFS('Bilateral Assistance, MAIN DATA'!$M:$M,'Bilateral Assistance, MAIN DATA'!$B:$B,'Share, Heavy Weapons to Ukraine'!$B32,'Bilateral Assistance, MAIN DATA'!$AO:$AO,'Share, Heavy Weapons to Ukraine'!AW$11)</f>
        <v>0</v>
      </c>
      <c r="AX32" s="25">
        <f>SUMIFS('Bilateral Assistance, MAIN DATA'!$M:$M,'Bilateral Assistance, MAIN DATA'!$B:$B,'Share, Heavy Weapons to Ukraine'!$B32,'Bilateral Assistance, MAIN DATA'!$AO:$AO,'Share, Heavy Weapons to Ukraine'!AX$11)</f>
        <v>0</v>
      </c>
      <c r="AY32" s="410"/>
      <c r="AZ32" s="25">
        <f>SUMIFS('Bilateral Assistance, MAIN DATA'!$N:$N,'Bilateral Assistance, MAIN DATA'!$B:$B,'Share, Heavy Weapons to Ukraine'!$B32,'Bilateral Assistance, MAIN DATA'!$AO:$AO,'Share, Heavy Weapons to Ukraine'!AZ$11)</f>
        <v>0</v>
      </c>
      <c r="BA32" s="25">
        <f>SUMIFS('Bilateral Assistance, MAIN DATA'!$N:$N,'Bilateral Assistance, MAIN DATA'!$B:$B,'Share, Heavy Weapons to Ukraine'!$B32,'Bilateral Assistance, MAIN DATA'!$AO:$AO,'Share, Heavy Weapons to Ukraine'!BA$11)</f>
        <v>0</v>
      </c>
      <c r="BB32" s="25">
        <f>SUMIFS('Bilateral Assistance, MAIN DATA'!$N:$N,'Bilateral Assistance, MAIN DATA'!$B:$B,'Share, Heavy Weapons to Ukraine'!$B32,'Bilateral Assistance, MAIN DATA'!$AO:$AO,'Share, Heavy Weapons to Ukraine'!BB$11)</f>
        <v>0</v>
      </c>
      <c r="BC32" s="25">
        <f>SUMIFS('Bilateral Assistance, MAIN DATA'!$N:$N,'Bilateral Assistance, MAIN DATA'!$B:$B,'Share, Heavy Weapons to Ukraine'!$B32,'Bilateral Assistance, MAIN DATA'!$AO:$AO,'Share, Heavy Weapons to Ukraine'!BC$11)</f>
        <v>0</v>
      </c>
      <c r="BD32" s="25">
        <f>SUMIFS('Bilateral Assistance, MAIN DATA'!$N:$N,'Bilateral Assistance, MAIN DATA'!$B:$B,'Share, Heavy Weapons to Ukraine'!$B32,'Bilateral Assistance, MAIN DATA'!$AO:$AO,'Share, Heavy Weapons to Ukraine'!BD$11)</f>
        <v>0</v>
      </c>
      <c r="BE32" s="25">
        <f t="shared" si="2"/>
        <v>0</v>
      </c>
      <c r="BF32" s="25">
        <f>SUMIFS('Bilateral Assistance, MAIN DATA'!$N:$N,'Bilateral Assistance, MAIN DATA'!$B:$B,'Share, Heavy Weapons to Ukraine'!$B32,'Bilateral Assistance, MAIN DATA'!$AO:$AO,"155mm howitzer")+SUMIFS('Bilateral Assistance, MAIN DATA'!$N:$N,'Bilateral Assistance, MAIN DATA'!$B:$B,'Share, Heavy Weapons to Ukraine'!$B32,'Bilateral Assistance, MAIN DATA'!$AO:$AO,"152mm howitzer")</f>
        <v>0</v>
      </c>
      <c r="BG32" s="25">
        <f>SUMIFS('Bilateral Assistance, MAIN DATA'!$N:$N,'Bilateral Assistance, MAIN DATA'!$B:$B,'Share, Heavy Weapons to Ukraine'!$B32,'Bilateral Assistance, MAIN DATA'!$AO:$AO,"122mm MLRS")+SUMIFS('Bilateral Assistance, MAIN DATA'!$N:$N,'Bilateral Assistance, MAIN DATA'!$B:$B,'Share, Heavy Weapons to Ukraine'!$B32,'Bilateral Assistance, MAIN DATA'!$AO:$AO,"127mm MLRS")+SUMIFS('Bilateral Assistance, MAIN DATA'!$N:$N,'Bilateral Assistance, MAIN DATA'!$B:$B,'Share, Heavy Weapons to Ukraine'!$B32,'Bilateral Assistance, MAIN DATA'!$AO:$AO,"227mm MLRS")</f>
        <v>0</v>
      </c>
      <c r="BH32" s="25">
        <f>SUMIFS('Bilateral Assistance, MAIN DATA'!$N:$N,'Bilateral Assistance, MAIN DATA'!$B:$B,'Share, Heavy Weapons to Ukraine'!$B32,'Bilateral Assistance, MAIN DATA'!$AO:$AO,'Share, Heavy Weapons to Ukraine'!BH$11)</f>
        <v>0</v>
      </c>
      <c r="BI32" s="25">
        <f>SUMIFS('Bilateral Assistance, MAIN DATA'!$N:$N,'Bilateral Assistance, MAIN DATA'!$B:$B,'Share, Heavy Weapons to Ukraine'!$B32,'Bilateral Assistance, MAIN DATA'!$AO:$AO,'Share, Heavy Weapons to Ukraine'!BI$11)</f>
        <v>0</v>
      </c>
      <c r="BJ32" s="25">
        <f>SUMIFS('Bilateral Assistance, MAIN DATA'!$N:$N,'Bilateral Assistance, MAIN DATA'!$B:$B,'Share, Heavy Weapons to Ukraine'!$B32,'Bilateral Assistance, MAIN DATA'!$AO:$AO,'Share, Heavy Weapons to Ukraine'!BJ$11)</f>
        <v>0</v>
      </c>
      <c r="BK32" s="25">
        <f>SUMIFS('Bilateral Assistance, MAIN DATA'!$N:$N,'Bilateral Assistance, MAIN DATA'!$B:$B,'Share, Heavy Weapons to Ukraine'!$B32,'Bilateral Assistance, MAIN DATA'!$AO:$AO,'Share, Heavy Weapons to Ukraine'!BK$11)</f>
        <v>0</v>
      </c>
      <c r="BL32" s="25">
        <f>SUMIFS('Bilateral Assistance, MAIN DATA'!$N:$N,'Bilateral Assistance, MAIN DATA'!$B:$B,'Share, Heavy Weapons to Ukraine'!$B32,'Bilateral Assistance, MAIN DATA'!$AO:$AO,'Share, Heavy Weapons to Ukraine'!BL$11)</f>
        <v>0</v>
      </c>
      <c r="BM32" s="410"/>
      <c r="BN32" s="261">
        <f>IF(VLOOKUP($B32,$B:W,COLUMN(W31)-1,FALSE)&lt;&gt;0,VLOOKUP($B32,$B:AL,COLUMN(AL31)-1,FALSE)/VLOOKUP($B32,$B:W,COLUMN(W31)-1,FALSE),IF(VLOOKUP($B32,$B:AL,COLUMN(AL31)-1,FALSE)&lt;&gt;0,"unknown",0))</f>
        <v>0</v>
      </c>
      <c r="BO32" s="261">
        <f>IF(VLOOKUP($B32,$B:X,COLUMN(X31)-1,FALSE)&lt;&gt;0,VLOOKUP($B32,$B:AM,COLUMN(AM31)-1,FALSE)/VLOOKUP($B32,$B:X,COLUMN(X31)-1,FALSE),IF(VLOOKUP($B32,$B:AM,COLUMN(AM31)-1,FALSE)&lt;&gt;0,"unknown",0))</f>
        <v>0</v>
      </c>
      <c r="BP32" s="261">
        <f>IF(VLOOKUP($B32,$B:Y,COLUMN(Y31)-1,FALSE)&lt;&gt;0,VLOOKUP($B32,$B:AN,COLUMN(AN31)-1,FALSE)/VLOOKUP($B32,$B:Y,COLUMN(Y31)-1,FALSE),IF(VLOOKUP($B32,$B:AN,COLUMN(AN31)-1,FALSE)&lt;&gt;0,"unknown",0))</f>
        <v>0</v>
      </c>
      <c r="BQ32" s="261">
        <f>IF(VLOOKUP($B32,$B:Z,COLUMN(Z31)-1,FALSE)&lt;&gt;0,VLOOKUP($B32,$B:AO,COLUMN(AO31)-1,FALSE)/VLOOKUP($B32,$B:Z,COLUMN(Z31)-1,FALSE),IF(VLOOKUP($B32,$B:AO,COLUMN(AO31)-1,FALSE)&lt;&gt;0,"unknown",0))</f>
        <v>0</v>
      </c>
      <c r="BR32" s="261">
        <f>IF(VLOOKUP($B32,$B:AA,COLUMN(AA31)-1,FALSE)&lt;&gt;0,VLOOKUP($B32,$B:AP,COLUMN(AP31)-1,FALSE)/VLOOKUP($B32,$B:AA,COLUMN(AA31)-1,FALSE),IF(VLOOKUP($B32,$B:AP,COLUMN(AP31)-1,FALSE)&lt;&gt;0,"unknown",0))</f>
        <v>0</v>
      </c>
      <c r="BS32" s="261">
        <f>IF(VLOOKUP($B32,$B:AB,COLUMN(AB31)-1,FALSE)&lt;&gt;0,VLOOKUP($B32,$B:AQ,COLUMN(AQ31)-1,FALSE)/VLOOKUP($B32,$B:AB,COLUMN(AB31)-1,FALSE),IF(VLOOKUP($B32,$B:AQ,COLUMN(AQ31)-1,FALSE)&lt;&gt;0,"unknown",0))</f>
        <v>0</v>
      </c>
      <c r="BT32" s="261">
        <f>IF(VLOOKUP($B32,$B:AC,COLUMN(AC31)-1,FALSE)&lt;&gt;0,VLOOKUP($B32,$B:AR,COLUMN(AR31)-1,FALSE)/VLOOKUP($B32,$B:AC,COLUMN(AC31)-1,FALSE),IF(VLOOKUP($B32,$B:AR,COLUMN(AR31)-1,FALSE)&lt;&gt;0,"unknown",0))</f>
        <v>0</v>
      </c>
      <c r="BU32" s="261">
        <f>IF(VLOOKUP($B32,$B:AD,COLUMN(AD31)-1,FALSE)&lt;&gt;0,VLOOKUP($B32,$B:AS,COLUMN(AS31)-1,FALSE)/VLOOKUP($B32,$B:AD,COLUMN(AD31)-1,FALSE),IF(VLOOKUP($B32,$B:AS,COLUMN(AS31)-1,FALSE)&lt;&gt;0,"unknown",0))</f>
        <v>0</v>
      </c>
      <c r="BV32" s="261">
        <f>IF(VLOOKUP($B32,$B:AE,COLUMN(AE31)-1,FALSE)&lt;&gt;0,VLOOKUP($B32,$B:AT,COLUMN(AT31)-1,FALSE)/VLOOKUP($B32,$B:AE,COLUMN(AE31)-1,FALSE),IF(VLOOKUP($B32,$B:AT,COLUMN(AT31)-1,FALSE)&lt;&gt;0,"unknown",0))</f>
        <v>0</v>
      </c>
      <c r="BW32" s="261">
        <f>IF(VLOOKUP($B32,$B:AG,COLUMN(AG31)-1,FALSE)&lt;&gt;0,VLOOKUP($B32,$B:AU,COLUMN(AU31)-1,FALSE)/VLOOKUP($B32,$B:AG,COLUMN(AG31)-1,FALSE),IF(VLOOKUP($B32,$B:AU,COLUMN(AU31)-1,FALSE)&lt;&gt;0,"unknown",0))</f>
        <v>0</v>
      </c>
      <c r="BX32" s="261">
        <f>IF(VLOOKUP($B32,$B:AH,COLUMN(AH31)-1,FALSE)&lt;&gt;0,VLOOKUP($B32,$B:AV,COLUMN(AV31)-1,FALSE)/VLOOKUP($B32,$B:AH,COLUMN(AH31)-1,FALSE),IF(VLOOKUP($B32,$B:AV,COLUMN(AV31)-1,FALSE)&lt;&gt;0,"unknown",0))</f>
        <v>0</v>
      </c>
      <c r="BY32" s="261">
        <f>IF(VLOOKUP($B32,$B:AI,COLUMN(AI31)-1,FALSE)&lt;&gt;0,VLOOKUP($B32,$B:AW,COLUMN(AW31)-1,FALSE)/VLOOKUP($B32,$B:AI,COLUMN(AI31)-1,FALSE),IF(VLOOKUP($B32,$B:AW,COLUMN(AW31)-1,FALSE)&lt;&gt;0,"unknown",0))</f>
        <v>0</v>
      </c>
      <c r="BZ32" s="261">
        <f>IF(VLOOKUP($B32,$B:AJ,COLUMN(AJ31)-1,FALSE)&lt;&gt;0,VLOOKUP($B32,$B:AX,COLUMN(AX31)-1,FALSE)/VLOOKUP($B32,$B:AJ,COLUMN(AJ31)-1,FALSE),IF(VLOOKUP($B32,$B:AX,COLUMN(AX31)-1,FALSE)&lt;&gt;0,"unknown",0))</f>
        <v>0</v>
      </c>
      <c r="CA32" s="410"/>
      <c r="CB32" s="2">
        <f>IF(VLOOKUP($B32,$B:AM,COLUMN(W31)-1,FALSE)&lt;&gt;0,VLOOKUP($B32,$B:BA,COLUMN(AZ31)-1,FALSE)/VLOOKUP($B32,$B:AM,COLUMN(W31)-1,FALSE),IF(VLOOKUP($B32,$B:BA,COLUMN(AZ31)-1,FALSE)&lt;&gt;0,"unknown",0))</f>
        <v>0</v>
      </c>
      <c r="CC32" s="2">
        <f>IF(VLOOKUP($B32,$B:AN,COLUMN(X31)-1,FALSE)&lt;&gt;0,VLOOKUP($B32,$B:BB,COLUMN(BA31)-1,FALSE)/VLOOKUP($B32,$B:AN,COLUMN(X31)-1,FALSE),IF(VLOOKUP($B32,$B:BB,COLUMN(BA31)-1,FALSE)&lt;&gt;0,"unknown",0))</f>
        <v>0</v>
      </c>
      <c r="CD32" s="2">
        <f>IF(VLOOKUP($B32,$B:AO,COLUMN(Y31)-1,FALSE)&lt;&gt;0,VLOOKUP($B32,$B:BC,COLUMN(BB31)-1,FALSE)/VLOOKUP($B32,$B:AO,COLUMN(Y31)-1,FALSE),IF(VLOOKUP($B32,$B:BC,COLUMN(BB31)-1,FALSE)&lt;&gt;0,"unknown",0))</f>
        <v>0</v>
      </c>
      <c r="CE32" s="2">
        <f>IF(VLOOKUP($B32,$B:AP,COLUMN(Z31)-1,FALSE)&lt;&gt;0,VLOOKUP($B32,$B:BD,COLUMN(BC31)-1,FALSE)/VLOOKUP($B32,$B:AP,COLUMN(Z31)-1,FALSE),IF(VLOOKUP($B32,$B:BD,COLUMN(BC31)-1,FALSE)&lt;&gt;0,"unknown",0))</f>
        <v>0</v>
      </c>
      <c r="CF32" s="2">
        <f>IF(VLOOKUP($B32,$B:AR,COLUMN(AA31)-1,FALSE)&lt;&gt;0,VLOOKUP($B32,$B:BF,COLUMN(BD31)-1,FALSE)/VLOOKUP($B32,$B:AR,COLUMN(AA31)-1,FALSE),IF(VLOOKUP($B32,$B:BF,COLUMN(BD31)-1,FALSE)&lt;&gt;0,"unknown",0))</f>
        <v>0</v>
      </c>
      <c r="CG32" s="2">
        <f>IF(VLOOKUP($B32,$B:AS,COLUMN(AB31)-1,FALSE)&lt;&gt;0,VLOOKUP($B32,$B:BG,COLUMN(BE31)-1,FALSE)/VLOOKUP($B32,$B:AS,COLUMN(AB31)-1,FALSE),IF(VLOOKUP($B32,$B:BG,COLUMN(BE31)-1,FALSE)&lt;&gt;0,"unknown",0))</f>
        <v>0</v>
      </c>
      <c r="CH32" s="2">
        <f>IF(VLOOKUP($B32,$B:AS,COLUMN(AC31)-1,FALSE)&lt;&gt;0,VLOOKUP($B32,$B:BG,COLUMN(BF31)-1,FALSE)/VLOOKUP($B32,$B:AS,COLUMN(AC31)-1,FALSE),IF(VLOOKUP($B32,$B:BG,COLUMN(BF31)-1,FALSE)&lt;&gt;0,"unknown",0))</f>
        <v>0</v>
      </c>
      <c r="CI32" s="2">
        <f>IF(VLOOKUP($B32,$B:AT,COLUMN(AD31)-1,FALSE)&lt;&gt;0,VLOOKUP($B32,$B:BH,COLUMN(BG31)-1,FALSE)/VLOOKUP($B32,$B:AT,COLUMN(AD31)-1,FALSE),IF(VLOOKUP($B32,$B:BH,COLUMN(BG31)-1,FALSE)&lt;&gt;0,"unknown",0))</f>
        <v>0</v>
      </c>
      <c r="CJ32" s="2">
        <f>IF(VLOOKUP($B32,$B:AT,COLUMN(AE31)-1,FALSE)&lt;&gt;0,VLOOKUP($B32,$B:BH,COLUMN(BH31)-1,FALSE)/VLOOKUP($B32,$B:AT,COLUMN(AE31)-1,FALSE),IF(VLOOKUP($B32,$B:BH,COLUMN(BH31)-1,FALSE)&lt;&gt;0,"unknown",0))</f>
        <v>0</v>
      </c>
      <c r="CK32" s="2">
        <f>IF(VLOOKUP($B32,$B:AU,COLUMN(AG31)-1,FALSE)&lt;&gt;0,VLOOKUP($B32,$B:BI,COLUMN(BI31)-1,FALSE)/VLOOKUP($B32,$B:AU,COLUMN(AG31)-1,FALSE),IF(VLOOKUP($B32,$B:BI,COLUMN(BI31)-1,FALSE)&lt;&gt;0,"unknown",0))</f>
        <v>0</v>
      </c>
      <c r="CL32" s="2">
        <f>IF(VLOOKUP($B32,$B:AV,COLUMN(AH31)-1,FALSE)&lt;&gt;0,VLOOKUP($B32,$B:BJ,COLUMN(BJ31)-1,FALSE)/VLOOKUP($B32,$B:AV,COLUMN(AH31)-1,FALSE),IF(VLOOKUP($B32,$B:BJ,COLUMN(BJ31)-1,FALSE)&lt;&gt;0,"unknown",0))</f>
        <v>0</v>
      </c>
      <c r="CM32" s="2">
        <f>IF(VLOOKUP($B32,$B:AW,COLUMN(AI31)-1,FALSE)&lt;&gt;0,VLOOKUP($B32,$B:BK,COLUMN(BK31)-1,FALSE)/VLOOKUP($B32,$B:AW,COLUMN(AI31)-1,FALSE),IF(VLOOKUP($B32,$B:BK,COLUMN(BK31)-1,FALSE)&lt;&gt;0,"unknown",0))</f>
        <v>0</v>
      </c>
      <c r="CN32" s="2">
        <f>IF(VLOOKUP($B32,$B:AX,COLUMN(AJ31)-1,FALSE)&lt;&gt;0,VLOOKUP($B32,$B:BL,COLUMN(BL31)-1,FALSE)/VLOOKUP($B32,$B:AX,COLUMN(AJ31)-1,FALSE),IF(VLOOKUP($B32,$B:BL,COLUMN(BL31)-1,FALSE)&lt;&gt;0,"unknown",0))</f>
        <v>0</v>
      </c>
      <c r="CO32" s="410"/>
      <c r="CP32" s="2">
        <f>SUMIFS('Bilateral Assistance, MAIN DATA'!$M:$M,'Bilateral Assistance, MAIN DATA'!$B:$B,'Share, Heavy Weapons to Ukraine'!$B32,'Bilateral Assistance, MAIN DATA'!$AO:$AO,'Share, Heavy Weapons to Ukraine'!CP$11, 'Bilateral Assistance, MAIN DATA'!$AA:$AA,1)</f>
        <v>0</v>
      </c>
      <c r="CQ32" s="2">
        <f>SUMIFS('Bilateral Assistance, MAIN DATA'!$M:$M,'Bilateral Assistance, MAIN DATA'!$B:$B,'Share, Heavy Weapons to Ukraine'!$B32,'Bilateral Assistance, MAIN DATA'!$AO:$AO,'Share, Heavy Weapons to Ukraine'!CQ$11, 'Bilateral Assistance, MAIN DATA'!$AA:$AA,1)</f>
        <v>0</v>
      </c>
      <c r="CR32" s="2">
        <f>SUMIFS('Bilateral Assistance, MAIN DATA'!$M:$M,'Bilateral Assistance, MAIN DATA'!$B:$B,'Share, Heavy Weapons to Ukraine'!$B32,'Bilateral Assistance, MAIN DATA'!$AO:$AO,'Share, Heavy Weapons to Ukraine'!CR$11, 'Bilateral Assistance, MAIN DATA'!$AA:$AA,1)</f>
        <v>0</v>
      </c>
      <c r="CS32" s="2">
        <f>SUMIFS('Bilateral Assistance, MAIN DATA'!$M:$M,'Bilateral Assistance, MAIN DATA'!$B:$B,'Share, Heavy Weapons to Ukraine'!$B32,'Bilateral Assistance, MAIN DATA'!$AO:$AO,'Share, Heavy Weapons to Ukraine'!CS$11, 'Bilateral Assistance, MAIN DATA'!$AA:$AA,1)</f>
        <v>0</v>
      </c>
      <c r="CT32" s="410"/>
      <c r="CU32" s="2">
        <f>SUMIFS('Bilateral Assistance, MAIN DATA'!$N:$N,'Bilateral Assistance, MAIN DATA'!$B:$B,'Share, Heavy Weapons to Ukraine'!$B32,'Bilateral Assistance, MAIN DATA'!$AO:$AO,'Share, Heavy Weapons to Ukraine'!CU$11, 'Bilateral Assistance, MAIN DATA'!$AA:$AA,1)</f>
        <v>0</v>
      </c>
      <c r="CV32" s="2">
        <f>SUMIFS('Bilateral Assistance, MAIN DATA'!$N:$N,'Bilateral Assistance, MAIN DATA'!$B:$B,'Share, Heavy Weapons to Ukraine'!$B32,'Bilateral Assistance, MAIN DATA'!$AO:$AO,'Share, Heavy Weapons to Ukraine'!CV$11, 'Bilateral Assistance, MAIN DATA'!$AA:$AA,1)</f>
        <v>0</v>
      </c>
      <c r="CW32" s="2">
        <f>SUMIFS('Bilateral Assistance, MAIN DATA'!$N:$N,'Bilateral Assistance, MAIN DATA'!$B:$B,'Share, Heavy Weapons to Ukraine'!$B32,'Bilateral Assistance, MAIN DATA'!$AO:$AO,'Share, Heavy Weapons to Ukraine'!CW$11, 'Bilateral Assistance, MAIN DATA'!$AA:$AA,1)</f>
        <v>0</v>
      </c>
      <c r="CX32" s="2">
        <f>SUMIFS('Bilateral Assistance, MAIN DATA'!$N:$N,'Bilateral Assistance, MAIN DATA'!$B:$B,'Share, Heavy Weapons to Ukraine'!$B32,'Bilateral Assistance, MAIN DATA'!$AO:$AO,'Share, Heavy Weapons to Ukraine'!CX$11, 'Bilateral Assistance, MAIN DATA'!$AA:$AA,1)</f>
        <v>0</v>
      </c>
    </row>
    <row r="33" spans="2:102" ht="15.6">
      <c r="B33" s="409" t="s">
        <v>2832</v>
      </c>
      <c r="C33" s="409">
        <v>0</v>
      </c>
      <c r="D33" s="2">
        <v>0</v>
      </c>
      <c r="E33" s="410"/>
      <c r="F33" s="569" t="s">
        <v>364</v>
      </c>
      <c r="G33" s="569" t="s">
        <v>364</v>
      </c>
      <c r="H33" s="569" t="s">
        <v>364</v>
      </c>
      <c r="I33" s="569" t="s">
        <v>364</v>
      </c>
      <c r="J33" s="569" t="s">
        <v>364</v>
      </c>
      <c r="K33" s="569" t="s">
        <v>364</v>
      </c>
      <c r="L33" s="569" t="s">
        <v>364</v>
      </c>
      <c r="M33" s="569" t="s">
        <v>364</v>
      </c>
      <c r="N33" s="569" t="s">
        <v>364</v>
      </c>
      <c r="O33" s="569" t="s">
        <v>364</v>
      </c>
      <c r="P33" s="569" t="s">
        <v>364</v>
      </c>
      <c r="Q33" s="569" t="s">
        <v>364</v>
      </c>
      <c r="R33" s="569" t="s">
        <v>364</v>
      </c>
      <c r="S33" s="569" t="s">
        <v>364</v>
      </c>
      <c r="T33" s="569" t="s">
        <v>364</v>
      </c>
      <c r="U33" s="410" t="str">
        <f>""</f>
        <v/>
      </c>
      <c r="V33" s="1334">
        <v>3.27</v>
      </c>
      <c r="W33" s="1334">
        <f>VLOOKUP(B33,'Heavy Weapon Stocks'!B:OA,COLUMN('Heavy Weapon Stocks'!$C$11)-1,FALSE)+IF(F33&lt;&gt;".",F33,0)</f>
        <v>0</v>
      </c>
      <c r="X33" s="1334">
        <f>VLOOKUP(B33,'Heavy Weapon Stocks'!B:OA,COLUMN('Heavy Weapon Stocks'!$AQ$11)-1,FALSE)</f>
        <v>0</v>
      </c>
      <c r="Y33" s="1334">
        <f>VLOOKUP(B33,'Heavy Weapon Stocks'!B:OA,COLUMN('Heavy Weapon Stocks'!$DK$11)-1,FALSE)</f>
        <v>0</v>
      </c>
      <c r="Z33" s="1334">
        <f>VLOOKUP(B33,'Heavy Weapon Stocks'!B:OA,COLUMN('Heavy Weapon Stocks'!$DY$11)-1,FALSE)</f>
        <v>0</v>
      </c>
      <c r="AA33" s="1334">
        <f>VLOOKUP(B33,'Heavy Weapon Stocks'!B:OA,COLUMN('Heavy Weapon Stocks'!$FA$11)-1,FALSE)+IF(G33&lt;&gt;".",G33,0)</f>
        <v>93</v>
      </c>
      <c r="AB33" s="1334">
        <f t="shared" si="3"/>
        <v>93</v>
      </c>
      <c r="AC33" s="1334">
        <f>VLOOKUP(B33,'Heavy Weapon Stocks'!B:OA,COLUMN('Heavy Weapon Stocks'!$GV$11)-1,FALSE)+VLOOKUP(B33,'Heavy Weapon Stocks'!B:OA,COLUMN('Heavy Weapon Stocks'!$HY$11)-1,FALSE)+IF(H33&lt;&gt;".",H33,0)</f>
        <v>0</v>
      </c>
      <c r="AD33" s="1334">
        <f>VLOOKUP(B33,'Heavy Weapon Stocks'!B:OA,COLUMN('Heavy Weapon Stocks'!$IF$11)-1,FALSE)+IF(I33&lt;&gt;".",I33,0)</f>
        <v>0</v>
      </c>
      <c r="AE33" s="1334">
        <f>VLOOKUP(B33,'Heavy Weapon Stocks'!B:OA,COLUMN('Heavy Weapon Stocks'!$IZ$11)-1,FALSE)+VLOOKUP(B33,'Heavy Weapon Stocks'!B:OA,COLUMN('Heavy Weapon Stocks'!$JW$11)-1,FALSE)</f>
        <v>0</v>
      </c>
      <c r="AF33" s="1334">
        <f>VLOOKUP(B33,'Heavy Weapon Stocks'!B:OA,COLUMN('Heavy Weapon Stocks'!$NL$11)-1,FALSE)+IF(L33&lt;&gt;".",L33,0)</f>
        <v>0</v>
      </c>
      <c r="AG33" s="1334">
        <f>VLOOKUP(B33,'Heavy Weapon Stocks'!B:OA,COLUMN('Heavy Weapon Stocks'!$LN$11)-1,FALSE)+IF(M33&lt;&gt;".",M33,0)</f>
        <v>0</v>
      </c>
      <c r="AH33" s="1334">
        <f>VLOOKUP(B33,'Heavy Weapon Stocks'!B:OA,COLUMN('Heavy Weapon Stocks'!$LX$11)-1,FALSE)+IF(N33&lt;&gt;".",N33,0)</f>
        <v>0</v>
      </c>
      <c r="AI33" s="1334">
        <f>VLOOKUP(B33,'Heavy Weapon Stocks'!B:OA,COLUMN('Heavy Weapon Stocks'!$ME$11)-1,FALSE)+IF(O33&lt;&gt;".",O33,0)</f>
        <v>0</v>
      </c>
      <c r="AJ33" s="1334">
        <f>VLOOKUP(B33,'Heavy Weapon Stocks'!B:OA,COLUMN('Heavy Weapon Stocks'!$NK$11)-1,FALSE)+IF(P33&lt;&gt;".",P33,0)</f>
        <v>0</v>
      </c>
      <c r="AK33" s="410"/>
      <c r="AL33" s="25">
        <f>SUMIFS('Bilateral Assistance, MAIN DATA'!$M:$M,'Bilateral Assistance, MAIN DATA'!$B:$B,'Share, Heavy Weapons to Ukraine'!$B33,'Bilateral Assistance, MAIN DATA'!$AO:$AO,'Share, Heavy Weapons to Ukraine'!AL$11)</f>
        <v>0</v>
      </c>
      <c r="AM33" s="25">
        <f>SUMIFS('Bilateral Assistance, MAIN DATA'!$M:$M,'Bilateral Assistance, MAIN DATA'!$B:$B,'Share, Heavy Weapons to Ukraine'!$B33,'Bilateral Assistance, MAIN DATA'!$AO:$AO,'Share, Heavy Weapons to Ukraine'!AM$11)</f>
        <v>0</v>
      </c>
      <c r="AN33" s="25">
        <f>SUMIFS('Bilateral Assistance, MAIN DATA'!$M:$M,'Bilateral Assistance, MAIN DATA'!$B:$B,'Share, Heavy Weapons to Ukraine'!$B33,'Bilateral Assistance, MAIN DATA'!$AO:$AO,'Share, Heavy Weapons to Ukraine'!AN$11)</f>
        <v>0</v>
      </c>
      <c r="AO33" s="25">
        <f>SUMIFS('Bilateral Assistance, MAIN DATA'!$M:$M,'Bilateral Assistance, MAIN DATA'!$B:$B,'Share, Heavy Weapons to Ukraine'!$B33,'Bilateral Assistance, MAIN DATA'!$AO:$AO,'Share, Heavy Weapons to Ukraine'!AO$11)</f>
        <v>0</v>
      </c>
      <c r="AP33" s="25">
        <f>SUMIFS('Bilateral Assistance, MAIN DATA'!$M:$M,'Bilateral Assistance, MAIN DATA'!$B:$B,'Share, Heavy Weapons to Ukraine'!$B33,'Bilateral Assistance, MAIN DATA'!$AO:$AO,'Share, Heavy Weapons to Ukraine'!AP$11)</f>
        <v>0</v>
      </c>
      <c r="AQ33" s="25">
        <f t="shared" si="1"/>
        <v>0</v>
      </c>
      <c r="AR33" s="25">
        <f>SUMIFS('Bilateral Assistance, MAIN DATA'!$M:$M,'Bilateral Assistance, MAIN DATA'!$B:$B,'Share, Heavy Weapons to Ukraine'!$B33,'Bilateral Assistance, MAIN DATA'!$AO:$AO,"155mm howitzer")+SUMIFS('Bilateral Assistance, MAIN DATA'!$M:$M,'Bilateral Assistance, MAIN DATA'!$B:$B,'Share, Heavy Weapons to Ukraine'!$B33,'Bilateral Assistance, MAIN DATA'!$AO:$AO,"152mm howitzer")</f>
        <v>0</v>
      </c>
      <c r="AS33" s="25">
        <f>SUMIFS('Bilateral Assistance, MAIN DATA'!$M:$M,'Bilateral Assistance, MAIN DATA'!$B:$B,'Share, Heavy Weapons to Ukraine'!$B33,'Bilateral Assistance, MAIN DATA'!$AO:$AO,"122mm MLRS")+SUMIFS('Bilateral Assistance, MAIN DATA'!$M:$M,'Bilateral Assistance, MAIN DATA'!$B:$B,'Share, Heavy Weapons to Ukraine'!$B33,'Bilateral Assistance, MAIN DATA'!$AO:$AO,"127mm MLRS")+SUMIFS('Bilateral Assistance, MAIN DATA'!$M:$M,'Bilateral Assistance, MAIN DATA'!$B:$B,'Share, Heavy Weapons to Ukraine'!$B33,'Bilateral Assistance, MAIN DATA'!$AO:$AO,"227mm MLRS")</f>
        <v>0</v>
      </c>
      <c r="AT33" s="25">
        <f>SUMIFS('Bilateral Assistance, MAIN DATA'!$M:$M,'Bilateral Assistance, MAIN DATA'!$B:$B,'Share, Heavy Weapons to Ukraine'!$B33,'Bilateral Assistance, MAIN DATA'!$AO:$AO,'Share, Heavy Weapons to Ukraine'!AT$11)</f>
        <v>0</v>
      </c>
      <c r="AU33" s="25">
        <f>SUMIFS('Bilateral Assistance, MAIN DATA'!$M:$M,'Bilateral Assistance, MAIN DATA'!$B:$B,'Share, Heavy Weapons to Ukraine'!$B33,'Bilateral Assistance, MAIN DATA'!$AO:$AO,'Share, Heavy Weapons to Ukraine'!AU$11)</f>
        <v>0</v>
      </c>
      <c r="AV33" s="25">
        <f>SUMIFS('Bilateral Assistance, MAIN DATA'!$M:$M,'Bilateral Assistance, MAIN DATA'!$B:$B,'Share, Heavy Weapons to Ukraine'!$B33,'Bilateral Assistance, MAIN DATA'!$AO:$AO,'Share, Heavy Weapons to Ukraine'!AV$11)</f>
        <v>0</v>
      </c>
      <c r="AW33" s="25">
        <f>SUMIFS('Bilateral Assistance, MAIN DATA'!$M:$M,'Bilateral Assistance, MAIN DATA'!$B:$B,'Share, Heavy Weapons to Ukraine'!$B33,'Bilateral Assistance, MAIN DATA'!$AO:$AO,'Share, Heavy Weapons to Ukraine'!AW$11)</f>
        <v>0</v>
      </c>
      <c r="AX33" s="25">
        <f>SUMIFS('Bilateral Assistance, MAIN DATA'!$M:$M,'Bilateral Assistance, MAIN DATA'!$B:$B,'Share, Heavy Weapons to Ukraine'!$B33,'Bilateral Assistance, MAIN DATA'!$AO:$AO,'Share, Heavy Weapons to Ukraine'!AX$11)</f>
        <v>0</v>
      </c>
      <c r="AY33" s="410"/>
      <c r="AZ33" s="25">
        <f>SUMIFS('Bilateral Assistance, MAIN DATA'!$N:$N,'Bilateral Assistance, MAIN DATA'!$B:$B,'Share, Heavy Weapons to Ukraine'!$B33,'Bilateral Assistance, MAIN DATA'!$AO:$AO,'Share, Heavy Weapons to Ukraine'!AZ$11)</f>
        <v>0</v>
      </c>
      <c r="BA33" s="25">
        <f>SUMIFS('Bilateral Assistance, MAIN DATA'!$N:$N,'Bilateral Assistance, MAIN DATA'!$B:$B,'Share, Heavy Weapons to Ukraine'!$B33,'Bilateral Assistance, MAIN DATA'!$AO:$AO,'Share, Heavy Weapons to Ukraine'!BA$11)</f>
        <v>0</v>
      </c>
      <c r="BB33" s="25">
        <f>SUMIFS('Bilateral Assistance, MAIN DATA'!$N:$N,'Bilateral Assistance, MAIN DATA'!$B:$B,'Share, Heavy Weapons to Ukraine'!$B33,'Bilateral Assistance, MAIN DATA'!$AO:$AO,'Share, Heavy Weapons to Ukraine'!BB$11)</f>
        <v>0</v>
      </c>
      <c r="BC33" s="25">
        <f>SUMIFS('Bilateral Assistance, MAIN DATA'!$N:$N,'Bilateral Assistance, MAIN DATA'!$B:$B,'Share, Heavy Weapons to Ukraine'!$B33,'Bilateral Assistance, MAIN DATA'!$AO:$AO,'Share, Heavy Weapons to Ukraine'!BC$11)</f>
        <v>0</v>
      </c>
      <c r="BD33" s="25">
        <f>SUMIFS('Bilateral Assistance, MAIN DATA'!$N:$N,'Bilateral Assistance, MAIN DATA'!$B:$B,'Share, Heavy Weapons to Ukraine'!$B33,'Bilateral Assistance, MAIN DATA'!$AO:$AO,'Share, Heavy Weapons to Ukraine'!BD$11)</f>
        <v>0</v>
      </c>
      <c r="BE33" s="25">
        <f t="shared" si="2"/>
        <v>0</v>
      </c>
      <c r="BF33" s="25">
        <f>SUMIFS('Bilateral Assistance, MAIN DATA'!$N:$N,'Bilateral Assistance, MAIN DATA'!$B:$B,'Share, Heavy Weapons to Ukraine'!$B33,'Bilateral Assistance, MAIN DATA'!$AO:$AO,"155mm howitzer")+SUMIFS('Bilateral Assistance, MAIN DATA'!$N:$N,'Bilateral Assistance, MAIN DATA'!$B:$B,'Share, Heavy Weapons to Ukraine'!$B33,'Bilateral Assistance, MAIN DATA'!$AO:$AO,"152mm howitzer")</f>
        <v>0</v>
      </c>
      <c r="BG33" s="25">
        <f>SUMIFS('Bilateral Assistance, MAIN DATA'!$N:$N,'Bilateral Assistance, MAIN DATA'!$B:$B,'Share, Heavy Weapons to Ukraine'!$B33,'Bilateral Assistance, MAIN DATA'!$AO:$AO,"122mm MLRS")+SUMIFS('Bilateral Assistance, MAIN DATA'!$N:$N,'Bilateral Assistance, MAIN DATA'!$B:$B,'Share, Heavy Weapons to Ukraine'!$B33,'Bilateral Assistance, MAIN DATA'!$AO:$AO,"127mm MLRS")+SUMIFS('Bilateral Assistance, MAIN DATA'!$N:$N,'Bilateral Assistance, MAIN DATA'!$B:$B,'Share, Heavy Weapons to Ukraine'!$B33,'Bilateral Assistance, MAIN DATA'!$AO:$AO,"227mm MLRS")</f>
        <v>0</v>
      </c>
      <c r="BH33" s="25">
        <f>SUMIFS('Bilateral Assistance, MAIN DATA'!$N:$N,'Bilateral Assistance, MAIN DATA'!$B:$B,'Share, Heavy Weapons to Ukraine'!$B33,'Bilateral Assistance, MAIN DATA'!$AO:$AO,'Share, Heavy Weapons to Ukraine'!BH$11)</f>
        <v>0</v>
      </c>
      <c r="BI33" s="25">
        <f>SUMIFS('Bilateral Assistance, MAIN DATA'!$N:$N,'Bilateral Assistance, MAIN DATA'!$B:$B,'Share, Heavy Weapons to Ukraine'!$B33,'Bilateral Assistance, MAIN DATA'!$AO:$AO,'Share, Heavy Weapons to Ukraine'!BI$11)</f>
        <v>0</v>
      </c>
      <c r="BJ33" s="25">
        <f>SUMIFS('Bilateral Assistance, MAIN DATA'!$N:$N,'Bilateral Assistance, MAIN DATA'!$B:$B,'Share, Heavy Weapons to Ukraine'!$B33,'Bilateral Assistance, MAIN DATA'!$AO:$AO,'Share, Heavy Weapons to Ukraine'!BJ$11)</f>
        <v>0</v>
      </c>
      <c r="BK33" s="25">
        <f>SUMIFS('Bilateral Assistance, MAIN DATA'!$N:$N,'Bilateral Assistance, MAIN DATA'!$B:$B,'Share, Heavy Weapons to Ukraine'!$B33,'Bilateral Assistance, MAIN DATA'!$AO:$AO,'Share, Heavy Weapons to Ukraine'!BK$11)</f>
        <v>0</v>
      </c>
      <c r="BL33" s="25">
        <f>SUMIFS('Bilateral Assistance, MAIN DATA'!$N:$N,'Bilateral Assistance, MAIN DATA'!$B:$B,'Share, Heavy Weapons to Ukraine'!$B33,'Bilateral Assistance, MAIN DATA'!$AO:$AO,'Share, Heavy Weapons to Ukraine'!BL$11)</f>
        <v>0</v>
      </c>
      <c r="BM33" s="410"/>
      <c r="BN33" s="261">
        <f>IF(VLOOKUP($B33,$B:W,COLUMN(W32)-1,FALSE)&lt;&gt;0,VLOOKUP($B33,$B:AL,COLUMN(AL32)-1,FALSE)/VLOOKUP($B33,$B:W,COLUMN(W32)-1,FALSE),IF(VLOOKUP($B33,$B:AL,COLUMN(AL32)-1,FALSE)&lt;&gt;0,"unknown",0))</f>
        <v>0</v>
      </c>
      <c r="BO33" s="261">
        <f>IF(VLOOKUP($B33,$B:X,COLUMN(X32)-1,FALSE)&lt;&gt;0,VLOOKUP($B33,$B:AM,COLUMN(AM32)-1,FALSE)/VLOOKUP($B33,$B:X,COLUMN(X32)-1,FALSE),IF(VLOOKUP($B33,$B:AM,COLUMN(AM32)-1,FALSE)&lt;&gt;0,"unknown",0))</f>
        <v>0</v>
      </c>
      <c r="BP33" s="261">
        <f>IF(VLOOKUP($B33,$B:Y,COLUMN(Y32)-1,FALSE)&lt;&gt;0,VLOOKUP($B33,$B:AN,COLUMN(AN32)-1,FALSE)/VLOOKUP($B33,$B:Y,COLUMN(Y32)-1,FALSE),IF(VLOOKUP($B33,$B:AN,COLUMN(AN32)-1,FALSE)&lt;&gt;0,"unknown",0))</f>
        <v>0</v>
      </c>
      <c r="BQ33" s="261">
        <f>IF(VLOOKUP($B33,$B:Z,COLUMN(Z32)-1,FALSE)&lt;&gt;0,VLOOKUP($B33,$B:AO,COLUMN(AO32)-1,FALSE)/VLOOKUP($B33,$B:Z,COLUMN(Z32)-1,FALSE),IF(VLOOKUP($B33,$B:AO,COLUMN(AO32)-1,FALSE)&lt;&gt;0,"unknown",0))</f>
        <v>0</v>
      </c>
      <c r="BR33" s="261">
        <f>IF(VLOOKUP($B33,$B:AA,COLUMN(AA32)-1,FALSE)&lt;&gt;0,VLOOKUP($B33,$B:AP,COLUMN(AP32)-1,FALSE)/VLOOKUP($B33,$B:AA,COLUMN(AA32)-1,FALSE),IF(VLOOKUP($B33,$B:AP,COLUMN(AP32)-1,FALSE)&lt;&gt;0,"unknown",0))</f>
        <v>0</v>
      </c>
      <c r="BS33" s="261">
        <f>IF(VLOOKUP($B33,$B:AB,COLUMN(AB32)-1,FALSE)&lt;&gt;0,VLOOKUP($B33,$B:AQ,COLUMN(AQ32)-1,FALSE)/VLOOKUP($B33,$B:AB,COLUMN(AB32)-1,FALSE),IF(VLOOKUP($B33,$B:AQ,COLUMN(AQ32)-1,FALSE)&lt;&gt;0,"unknown",0))</f>
        <v>0</v>
      </c>
      <c r="BT33" s="261">
        <f>IF(VLOOKUP($B33,$B:AC,COLUMN(AC32)-1,FALSE)&lt;&gt;0,VLOOKUP($B33,$B:AR,COLUMN(AR32)-1,FALSE)/VLOOKUP($B33,$B:AC,COLUMN(AC32)-1,FALSE),IF(VLOOKUP($B33,$B:AR,COLUMN(AR32)-1,FALSE)&lt;&gt;0,"unknown",0))</f>
        <v>0</v>
      </c>
      <c r="BU33" s="261">
        <f>IF(VLOOKUP($B33,$B:AD,COLUMN(AD32)-1,FALSE)&lt;&gt;0,VLOOKUP($B33,$B:AS,COLUMN(AS32)-1,FALSE)/VLOOKUP($B33,$B:AD,COLUMN(AD32)-1,FALSE),IF(VLOOKUP($B33,$B:AS,COLUMN(AS32)-1,FALSE)&lt;&gt;0,"unknown",0))</f>
        <v>0</v>
      </c>
      <c r="BV33" s="261">
        <f>IF(VLOOKUP($B33,$B:AE,COLUMN(AE32)-1,FALSE)&lt;&gt;0,VLOOKUP($B33,$B:AT,COLUMN(AT32)-1,FALSE)/VLOOKUP($B33,$B:AE,COLUMN(AE32)-1,FALSE),IF(VLOOKUP($B33,$B:AT,COLUMN(AT32)-1,FALSE)&lt;&gt;0,"unknown",0))</f>
        <v>0</v>
      </c>
      <c r="BW33" s="261">
        <f>IF(VLOOKUP($B33,$B:AG,COLUMN(AG32)-1,FALSE)&lt;&gt;0,VLOOKUP($B33,$B:AU,COLUMN(AU32)-1,FALSE)/VLOOKUP($B33,$B:AG,COLUMN(AG32)-1,FALSE),IF(VLOOKUP($B33,$B:AU,COLUMN(AU32)-1,FALSE)&lt;&gt;0,"unknown",0))</f>
        <v>0</v>
      </c>
      <c r="BX33" s="261">
        <f>IF(VLOOKUP($B33,$B:AH,COLUMN(AH32)-1,FALSE)&lt;&gt;0,VLOOKUP($B33,$B:AV,COLUMN(AV32)-1,FALSE)/VLOOKUP($B33,$B:AH,COLUMN(AH32)-1,FALSE),IF(VLOOKUP($B33,$B:AV,COLUMN(AV32)-1,FALSE)&lt;&gt;0,"unknown",0))</f>
        <v>0</v>
      </c>
      <c r="BY33" s="261">
        <f>IF(VLOOKUP($B33,$B:AI,COLUMN(AI32)-1,FALSE)&lt;&gt;0,VLOOKUP($B33,$B:AW,COLUMN(AW32)-1,FALSE)/VLOOKUP($B33,$B:AI,COLUMN(AI32)-1,FALSE),IF(VLOOKUP($B33,$B:AW,COLUMN(AW32)-1,FALSE)&lt;&gt;0,"unknown",0))</f>
        <v>0</v>
      </c>
      <c r="BZ33" s="261">
        <f>IF(VLOOKUP($B33,$B:AJ,COLUMN(AJ32)-1,FALSE)&lt;&gt;0,VLOOKUP($B33,$B:AX,COLUMN(AX32)-1,FALSE)/VLOOKUP($B33,$B:AJ,COLUMN(AJ32)-1,FALSE),IF(VLOOKUP($B33,$B:AX,COLUMN(AX32)-1,FALSE)&lt;&gt;0,"unknown",0))</f>
        <v>0</v>
      </c>
      <c r="CA33" s="410"/>
      <c r="CB33" s="2">
        <f>IF(VLOOKUP($B33,$B:AM,COLUMN(W32)-1,FALSE)&lt;&gt;0,VLOOKUP($B33,$B:BA,COLUMN(AZ32)-1,FALSE)/VLOOKUP($B33,$B:AM,COLUMN(W32)-1,FALSE),IF(VLOOKUP($B33,$B:BA,COLUMN(AZ32)-1,FALSE)&lt;&gt;0,"unknown",0))</f>
        <v>0</v>
      </c>
      <c r="CC33" s="2">
        <f>IF(VLOOKUP($B33,$B:AN,COLUMN(X32)-1,FALSE)&lt;&gt;0,VLOOKUP($B33,$B:BB,COLUMN(BA32)-1,FALSE)/VLOOKUP($B33,$B:AN,COLUMN(X32)-1,FALSE),IF(VLOOKUP($B33,$B:BB,COLUMN(BA32)-1,FALSE)&lt;&gt;0,"unknown",0))</f>
        <v>0</v>
      </c>
      <c r="CD33" s="2">
        <f>IF(VLOOKUP($B33,$B:AO,COLUMN(Y32)-1,FALSE)&lt;&gt;0,VLOOKUP($B33,$B:BC,COLUMN(BB32)-1,FALSE)/VLOOKUP($B33,$B:AO,COLUMN(Y32)-1,FALSE),IF(VLOOKUP($B33,$B:BC,COLUMN(BB32)-1,FALSE)&lt;&gt;0,"unknown",0))</f>
        <v>0</v>
      </c>
      <c r="CE33" s="2">
        <f>IF(VLOOKUP($B33,$B:AP,COLUMN(Z32)-1,FALSE)&lt;&gt;0,VLOOKUP($B33,$B:BD,COLUMN(BC32)-1,FALSE)/VLOOKUP($B33,$B:AP,COLUMN(Z32)-1,FALSE),IF(VLOOKUP($B33,$B:BD,COLUMN(BC32)-1,FALSE)&lt;&gt;0,"unknown",0))</f>
        <v>0</v>
      </c>
      <c r="CF33" s="2">
        <f>IF(VLOOKUP($B33,$B:AR,COLUMN(AA32)-1,FALSE)&lt;&gt;0,VLOOKUP($B33,$B:BF,COLUMN(BD32)-1,FALSE)/VLOOKUP($B33,$B:AR,COLUMN(AA32)-1,FALSE),IF(VLOOKUP($B33,$B:BF,COLUMN(BD32)-1,FALSE)&lt;&gt;0,"unknown",0))</f>
        <v>0</v>
      </c>
      <c r="CG33" s="2">
        <f>IF(VLOOKUP($B33,$B:AS,COLUMN(AB32)-1,FALSE)&lt;&gt;0,VLOOKUP($B33,$B:BG,COLUMN(BE32)-1,FALSE)/VLOOKUP($B33,$B:AS,COLUMN(AB32)-1,FALSE),IF(VLOOKUP($B33,$B:BG,COLUMN(BE32)-1,FALSE)&lt;&gt;0,"unknown",0))</f>
        <v>0</v>
      </c>
      <c r="CH33" s="2">
        <f>IF(VLOOKUP($B33,$B:AS,COLUMN(AC32)-1,FALSE)&lt;&gt;0,VLOOKUP($B33,$B:BG,COLUMN(BF32)-1,FALSE)/VLOOKUP($B33,$B:AS,COLUMN(AC32)-1,FALSE),IF(VLOOKUP($B33,$B:BG,COLUMN(BF32)-1,FALSE)&lt;&gt;0,"unknown",0))</f>
        <v>0</v>
      </c>
      <c r="CI33" s="2">
        <f>IF(VLOOKUP($B33,$B:AT,COLUMN(AD32)-1,FALSE)&lt;&gt;0,VLOOKUP($B33,$B:BH,COLUMN(BG32)-1,FALSE)/VLOOKUP($B33,$B:AT,COLUMN(AD32)-1,FALSE),IF(VLOOKUP($B33,$B:BH,COLUMN(BG32)-1,FALSE)&lt;&gt;0,"unknown",0))</f>
        <v>0</v>
      </c>
      <c r="CJ33" s="2">
        <f>IF(VLOOKUP($B33,$B:AT,COLUMN(AE32)-1,FALSE)&lt;&gt;0,VLOOKUP($B33,$B:BH,COLUMN(BH32)-1,FALSE)/VLOOKUP($B33,$B:AT,COLUMN(AE32)-1,FALSE),IF(VLOOKUP($B33,$B:BH,COLUMN(BH32)-1,FALSE)&lt;&gt;0,"unknown",0))</f>
        <v>0</v>
      </c>
      <c r="CK33" s="2">
        <f>IF(VLOOKUP($B33,$B:AU,COLUMN(AG32)-1,FALSE)&lt;&gt;0,VLOOKUP($B33,$B:BI,COLUMN(BI32)-1,FALSE)/VLOOKUP($B33,$B:AU,COLUMN(AG32)-1,FALSE),IF(VLOOKUP($B33,$B:BI,COLUMN(BI32)-1,FALSE)&lt;&gt;0,"unknown",0))</f>
        <v>0</v>
      </c>
      <c r="CL33" s="2">
        <f>IF(VLOOKUP($B33,$B:AV,COLUMN(AH32)-1,FALSE)&lt;&gt;0,VLOOKUP($B33,$B:BJ,COLUMN(BJ32)-1,FALSE)/VLOOKUP($B33,$B:AV,COLUMN(AH32)-1,FALSE),IF(VLOOKUP($B33,$B:BJ,COLUMN(BJ32)-1,FALSE)&lt;&gt;0,"unknown",0))</f>
        <v>0</v>
      </c>
      <c r="CM33" s="2">
        <f>IF(VLOOKUP($B33,$B:AW,COLUMN(AI32)-1,FALSE)&lt;&gt;0,VLOOKUP($B33,$B:BK,COLUMN(BK32)-1,FALSE)/VLOOKUP($B33,$B:AW,COLUMN(AI32)-1,FALSE),IF(VLOOKUP($B33,$B:BK,COLUMN(BK32)-1,FALSE)&lt;&gt;0,"unknown",0))</f>
        <v>0</v>
      </c>
      <c r="CN33" s="2">
        <f>IF(VLOOKUP($B33,$B:AX,COLUMN(AJ32)-1,FALSE)&lt;&gt;0,VLOOKUP($B33,$B:BL,COLUMN(BL32)-1,FALSE)/VLOOKUP($B33,$B:AX,COLUMN(AJ32)-1,FALSE),IF(VLOOKUP($B33,$B:BL,COLUMN(BL32)-1,FALSE)&lt;&gt;0,"unknown",0))</f>
        <v>0</v>
      </c>
      <c r="CO33" s="410"/>
      <c r="CP33" s="2">
        <f>SUMIFS('Bilateral Assistance, MAIN DATA'!$M:$M,'Bilateral Assistance, MAIN DATA'!$B:$B,'Share, Heavy Weapons to Ukraine'!$B33,'Bilateral Assistance, MAIN DATA'!$AO:$AO,'Share, Heavy Weapons to Ukraine'!CP$11, 'Bilateral Assistance, MAIN DATA'!$AA:$AA,1)</f>
        <v>0</v>
      </c>
      <c r="CQ33" s="2">
        <f>SUMIFS('Bilateral Assistance, MAIN DATA'!$M:$M,'Bilateral Assistance, MAIN DATA'!$B:$B,'Share, Heavy Weapons to Ukraine'!$B33,'Bilateral Assistance, MAIN DATA'!$AO:$AO,'Share, Heavy Weapons to Ukraine'!CQ$11, 'Bilateral Assistance, MAIN DATA'!$AA:$AA,1)</f>
        <v>0</v>
      </c>
      <c r="CR33" s="2">
        <f>SUMIFS('Bilateral Assistance, MAIN DATA'!$M:$M,'Bilateral Assistance, MAIN DATA'!$B:$B,'Share, Heavy Weapons to Ukraine'!$B33,'Bilateral Assistance, MAIN DATA'!$AO:$AO,'Share, Heavy Weapons to Ukraine'!CR$11, 'Bilateral Assistance, MAIN DATA'!$AA:$AA,1)</f>
        <v>0</v>
      </c>
      <c r="CS33" s="2">
        <f>SUMIFS('Bilateral Assistance, MAIN DATA'!$M:$M,'Bilateral Assistance, MAIN DATA'!$B:$B,'Share, Heavy Weapons to Ukraine'!$B33,'Bilateral Assistance, MAIN DATA'!$AO:$AO,'Share, Heavy Weapons to Ukraine'!CS$11, 'Bilateral Assistance, MAIN DATA'!$AA:$AA,1)</f>
        <v>0</v>
      </c>
      <c r="CT33" s="410"/>
      <c r="CU33" s="2">
        <f>SUMIFS('Bilateral Assistance, MAIN DATA'!$N:$N,'Bilateral Assistance, MAIN DATA'!$B:$B,'Share, Heavy Weapons to Ukraine'!$B33,'Bilateral Assistance, MAIN DATA'!$AO:$AO,'Share, Heavy Weapons to Ukraine'!CU$11, 'Bilateral Assistance, MAIN DATA'!$AA:$AA,1)</f>
        <v>0</v>
      </c>
      <c r="CV33" s="2">
        <f>SUMIFS('Bilateral Assistance, MAIN DATA'!$N:$N,'Bilateral Assistance, MAIN DATA'!$B:$B,'Share, Heavy Weapons to Ukraine'!$B33,'Bilateral Assistance, MAIN DATA'!$AO:$AO,'Share, Heavy Weapons to Ukraine'!CV$11, 'Bilateral Assistance, MAIN DATA'!$AA:$AA,1)</f>
        <v>0</v>
      </c>
      <c r="CW33" s="2">
        <f>SUMIFS('Bilateral Assistance, MAIN DATA'!$N:$N,'Bilateral Assistance, MAIN DATA'!$B:$B,'Share, Heavy Weapons to Ukraine'!$B33,'Bilateral Assistance, MAIN DATA'!$AO:$AO,'Share, Heavy Weapons to Ukraine'!CW$11, 'Bilateral Assistance, MAIN DATA'!$AA:$AA,1)</f>
        <v>0</v>
      </c>
      <c r="CX33" s="2">
        <f>SUMIFS('Bilateral Assistance, MAIN DATA'!$N:$N,'Bilateral Assistance, MAIN DATA'!$B:$B,'Share, Heavy Weapons to Ukraine'!$B33,'Bilateral Assistance, MAIN DATA'!$AO:$AO,'Share, Heavy Weapons to Ukraine'!CX$11, 'Bilateral Assistance, MAIN DATA'!$AA:$AA,1)</f>
        <v>0</v>
      </c>
    </row>
    <row r="34" spans="2:102" ht="15.6">
      <c r="B34" s="409" t="s">
        <v>3079</v>
      </c>
      <c r="C34" s="409">
        <v>0</v>
      </c>
      <c r="D34" s="2">
        <v>1</v>
      </c>
      <c r="E34" s="410"/>
      <c r="F34" s="569" t="s">
        <v>364</v>
      </c>
      <c r="G34" s="569" t="s">
        <v>364</v>
      </c>
      <c r="H34" s="569" t="s">
        <v>364</v>
      </c>
      <c r="I34" s="569" t="s">
        <v>364</v>
      </c>
      <c r="J34" s="569" t="s">
        <v>364</v>
      </c>
      <c r="K34" s="569" t="s">
        <v>364</v>
      </c>
      <c r="L34" s="569" t="s">
        <v>364</v>
      </c>
      <c r="M34" s="569" t="s">
        <v>364</v>
      </c>
      <c r="N34" s="569" t="s">
        <v>364</v>
      </c>
      <c r="O34" s="569" t="s">
        <v>364</v>
      </c>
      <c r="P34" s="569" t="s">
        <v>364</v>
      </c>
      <c r="Q34" s="569" t="s">
        <v>364</v>
      </c>
      <c r="R34" s="569" t="s">
        <v>364</v>
      </c>
      <c r="S34" s="569" t="s">
        <v>364</v>
      </c>
      <c r="T34" s="569" t="s">
        <v>364</v>
      </c>
      <c r="U34" s="410" t="str">
        <f>""</f>
        <v/>
      </c>
      <c r="V34" s="1334">
        <v>2.96</v>
      </c>
      <c r="W34" s="1334">
        <f>VLOOKUP(B34,'Heavy Weapon Stocks'!B:OA,COLUMN('Heavy Weapon Stocks'!$C$11)-1,FALSE)+IF(F34&lt;&gt;".",F34,0)</f>
        <v>37</v>
      </c>
      <c r="X34" s="1334">
        <f>VLOOKUP(B34,'Heavy Weapon Stocks'!B:OA,COLUMN('Heavy Weapon Stocks'!$AQ$11)-1,FALSE)</f>
        <v>406</v>
      </c>
      <c r="Y34" s="1334">
        <f>VLOOKUP(B34,'Heavy Weapon Stocks'!B:OA,COLUMN('Heavy Weapon Stocks'!$DK$11)-1,FALSE)</f>
        <v>0</v>
      </c>
      <c r="Z34" s="1334">
        <f>VLOOKUP(B34,'Heavy Weapon Stocks'!B:OA,COLUMN('Heavy Weapon Stocks'!$DY$11)-1,FALSE)</f>
        <v>0</v>
      </c>
      <c r="AA34" s="1334">
        <f>VLOOKUP(B34,'Heavy Weapon Stocks'!B:OA,COLUMN('Heavy Weapon Stocks'!$FA$11)-1,FALSE)+IF(G34&lt;&gt;".",G34,0)</f>
        <v>30</v>
      </c>
      <c r="AB34" s="1334">
        <f t="shared" si="3"/>
        <v>436</v>
      </c>
      <c r="AC34" s="1334">
        <f>VLOOKUP(B34,'Heavy Weapon Stocks'!B:OA,COLUMN('Heavy Weapon Stocks'!$GV$11)-1,FALSE)+VLOOKUP(B34,'Heavy Weapon Stocks'!B:OA,COLUMN('Heavy Weapon Stocks'!$HY$11)-1,FALSE)+IF(H34&lt;&gt;".",H34,0)</f>
        <v>48</v>
      </c>
      <c r="AD34" s="1334">
        <f>VLOOKUP(B34,'Heavy Weapon Stocks'!B:OA,COLUMN('Heavy Weapon Stocks'!$IF$11)-1,FALSE)+IF(I34&lt;&gt;".",I34,0)</f>
        <v>0</v>
      </c>
      <c r="AE34" s="1334">
        <f>VLOOKUP(B34,'Heavy Weapon Stocks'!B:OA,COLUMN('Heavy Weapon Stocks'!$IZ$11)-1,FALSE)+VLOOKUP(B34,'Heavy Weapon Stocks'!B:OA,COLUMN('Heavy Weapon Stocks'!$JW$11)-1,FALSE)</f>
        <v>30</v>
      </c>
      <c r="AF34" s="1334">
        <f>VLOOKUP(B34,'Heavy Weapon Stocks'!B:OA,COLUMN('Heavy Weapon Stocks'!$NL$11)-1,FALSE)+IF(L34&lt;&gt;".",L34,0)</f>
        <v>20</v>
      </c>
      <c r="AG34" s="1334">
        <f>VLOOKUP(B34,'Heavy Weapon Stocks'!B:OA,COLUMN('Heavy Weapon Stocks'!$LN$11)-1,FALSE)+IF(M34&lt;&gt;".",M34,0)</f>
        <v>0</v>
      </c>
      <c r="AH34" s="1334">
        <f>VLOOKUP(B34,'Heavy Weapon Stocks'!B:OA,COLUMN('Heavy Weapon Stocks'!$LX$11)-1,FALSE)+IF(N34&lt;&gt;".",N34,0)</f>
        <v>0</v>
      </c>
      <c r="AI34" s="1334">
        <f>VLOOKUP(B34,'Heavy Weapon Stocks'!B:OA,COLUMN('Heavy Weapon Stocks'!$ME$11)-1,FALSE)+IF(O34&lt;&gt;".",O34,0)</f>
        <v>0</v>
      </c>
      <c r="AJ34" s="1334">
        <f>VLOOKUP(B34,'Heavy Weapon Stocks'!B:OA,COLUMN('Heavy Weapon Stocks'!$NK$11)-1,FALSE)+IF(P34&lt;&gt;".",P34,0)</f>
        <v>20</v>
      </c>
      <c r="AK34" s="410"/>
      <c r="AL34" s="25">
        <f>SUMIFS('Bilateral Assistance, MAIN DATA'!$M:$M,'Bilateral Assistance, MAIN DATA'!$B:$B,'Share, Heavy Weapons to Ukraine'!$B34,'Bilateral Assistance, MAIN DATA'!$AO:$AO,'Share, Heavy Weapons to Ukraine'!AL$11)</f>
        <v>3</v>
      </c>
      <c r="AM34" s="25">
        <f>SUMIFS('Bilateral Assistance, MAIN DATA'!$M:$M,'Bilateral Assistance, MAIN DATA'!$B:$B,'Share, Heavy Weapons to Ukraine'!$B34,'Bilateral Assistance, MAIN DATA'!$AO:$AO,'Share, Heavy Weapons to Ukraine'!AM$11)</f>
        <v>33</v>
      </c>
      <c r="AN34" s="25">
        <f>SUMIFS('Bilateral Assistance, MAIN DATA'!$M:$M,'Bilateral Assistance, MAIN DATA'!$B:$B,'Share, Heavy Weapons to Ukraine'!$B34,'Bilateral Assistance, MAIN DATA'!$AO:$AO,'Share, Heavy Weapons to Ukraine'!AN$11)</f>
        <v>0</v>
      </c>
      <c r="AO34" s="25">
        <f>SUMIFS('Bilateral Assistance, MAIN DATA'!$M:$M,'Bilateral Assistance, MAIN DATA'!$B:$B,'Share, Heavy Weapons to Ukraine'!$B34,'Bilateral Assistance, MAIN DATA'!$AO:$AO,'Share, Heavy Weapons to Ukraine'!AO$11)</f>
        <v>4</v>
      </c>
      <c r="AP34" s="25">
        <f>SUMIFS('Bilateral Assistance, MAIN DATA'!$M:$M,'Bilateral Assistance, MAIN DATA'!$B:$B,'Share, Heavy Weapons to Ukraine'!$B34,'Bilateral Assistance, MAIN DATA'!$AO:$AO,'Share, Heavy Weapons to Ukraine'!AP$11)</f>
        <v>0</v>
      </c>
      <c r="AQ34" s="25">
        <f t="shared" si="1"/>
        <v>37</v>
      </c>
      <c r="AR34" s="25">
        <f>SUMIFS('Bilateral Assistance, MAIN DATA'!$M:$M,'Bilateral Assistance, MAIN DATA'!$B:$B,'Share, Heavy Weapons to Ukraine'!$B34,'Bilateral Assistance, MAIN DATA'!$AO:$AO,"155mm howitzer")+SUMIFS('Bilateral Assistance, MAIN DATA'!$M:$M,'Bilateral Assistance, MAIN DATA'!$B:$B,'Share, Heavy Weapons to Ukraine'!$B34,'Bilateral Assistance, MAIN DATA'!$AO:$AO,"152mm howitzer")</f>
        <v>5</v>
      </c>
      <c r="AS34" s="25">
        <f>SUMIFS('Bilateral Assistance, MAIN DATA'!$M:$M,'Bilateral Assistance, MAIN DATA'!$B:$B,'Share, Heavy Weapons to Ukraine'!$B34,'Bilateral Assistance, MAIN DATA'!$AO:$AO,"122mm MLRS")+SUMIFS('Bilateral Assistance, MAIN DATA'!$M:$M,'Bilateral Assistance, MAIN DATA'!$B:$B,'Share, Heavy Weapons to Ukraine'!$B34,'Bilateral Assistance, MAIN DATA'!$AO:$AO,"127mm MLRS")+SUMIFS('Bilateral Assistance, MAIN DATA'!$M:$M,'Bilateral Assistance, MAIN DATA'!$B:$B,'Share, Heavy Weapons to Ukraine'!$B34,'Bilateral Assistance, MAIN DATA'!$AO:$AO,"227mm MLRS")</f>
        <v>0</v>
      </c>
      <c r="AT34" s="25">
        <f>SUMIFS('Bilateral Assistance, MAIN DATA'!$M:$M,'Bilateral Assistance, MAIN DATA'!$B:$B,'Share, Heavy Weapons to Ukraine'!$B34,'Bilateral Assistance, MAIN DATA'!$AO:$AO,'Share, Heavy Weapons to Ukraine'!AT$11)</f>
        <v>0</v>
      </c>
      <c r="AU34" s="25">
        <f>SUMIFS('Bilateral Assistance, MAIN DATA'!$M:$M,'Bilateral Assistance, MAIN DATA'!$B:$B,'Share, Heavy Weapons to Ukraine'!$B34,'Bilateral Assistance, MAIN DATA'!$AO:$AO,'Share, Heavy Weapons to Ukraine'!AU$11)</f>
        <v>0</v>
      </c>
      <c r="AV34" s="25">
        <f>SUMIFS('Bilateral Assistance, MAIN DATA'!$M:$M,'Bilateral Assistance, MAIN DATA'!$B:$B,'Share, Heavy Weapons to Ukraine'!$B34,'Bilateral Assistance, MAIN DATA'!$AO:$AO,'Share, Heavy Weapons to Ukraine'!AV$11)</f>
        <v>0</v>
      </c>
      <c r="AW34" s="25">
        <f>SUMIFS('Bilateral Assistance, MAIN DATA'!$M:$M,'Bilateral Assistance, MAIN DATA'!$B:$B,'Share, Heavy Weapons to Ukraine'!$B34,'Bilateral Assistance, MAIN DATA'!$AO:$AO,'Share, Heavy Weapons to Ukraine'!AW$11)</f>
        <v>0</v>
      </c>
      <c r="AX34" s="25">
        <f>SUMIFS('Bilateral Assistance, MAIN DATA'!$M:$M,'Bilateral Assistance, MAIN DATA'!$B:$B,'Share, Heavy Weapons to Ukraine'!$B34,'Bilateral Assistance, MAIN DATA'!$AO:$AO,'Share, Heavy Weapons to Ukraine'!AX$11)</f>
        <v>0</v>
      </c>
      <c r="AY34" s="410"/>
      <c r="AZ34" s="25">
        <f>SUMIFS('Bilateral Assistance, MAIN DATA'!$N:$N,'Bilateral Assistance, MAIN DATA'!$B:$B,'Share, Heavy Weapons to Ukraine'!$B34,'Bilateral Assistance, MAIN DATA'!$AO:$AO,'Share, Heavy Weapons to Ukraine'!AZ$11)</f>
        <v>3</v>
      </c>
      <c r="BA34" s="25">
        <f>SUMIFS('Bilateral Assistance, MAIN DATA'!$N:$N,'Bilateral Assistance, MAIN DATA'!$B:$B,'Share, Heavy Weapons to Ukraine'!$B34,'Bilateral Assistance, MAIN DATA'!$AO:$AO,'Share, Heavy Weapons to Ukraine'!BA$11)</f>
        <v>28</v>
      </c>
      <c r="BB34" s="25">
        <f>SUMIFS('Bilateral Assistance, MAIN DATA'!$N:$N,'Bilateral Assistance, MAIN DATA'!$B:$B,'Share, Heavy Weapons to Ukraine'!$B34,'Bilateral Assistance, MAIN DATA'!$AO:$AO,'Share, Heavy Weapons to Ukraine'!BB$11)</f>
        <v>0</v>
      </c>
      <c r="BC34" s="25">
        <f>SUMIFS('Bilateral Assistance, MAIN DATA'!$N:$N,'Bilateral Assistance, MAIN DATA'!$B:$B,'Share, Heavy Weapons to Ukraine'!$B34,'Bilateral Assistance, MAIN DATA'!$AO:$AO,'Share, Heavy Weapons to Ukraine'!BC$11)</f>
        <v>4</v>
      </c>
      <c r="BD34" s="25">
        <f>SUMIFS('Bilateral Assistance, MAIN DATA'!$N:$N,'Bilateral Assistance, MAIN DATA'!$B:$B,'Share, Heavy Weapons to Ukraine'!$B34,'Bilateral Assistance, MAIN DATA'!$AO:$AO,'Share, Heavy Weapons to Ukraine'!BD$11)</f>
        <v>0</v>
      </c>
      <c r="BE34" s="25">
        <f t="shared" si="2"/>
        <v>32</v>
      </c>
      <c r="BF34" s="25">
        <f>SUMIFS('Bilateral Assistance, MAIN DATA'!$N:$N,'Bilateral Assistance, MAIN DATA'!$B:$B,'Share, Heavy Weapons to Ukraine'!$B34,'Bilateral Assistance, MAIN DATA'!$AO:$AO,"155mm howitzer")+SUMIFS('Bilateral Assistance, MAIN DATA'!$N:$N,'Bilateral Assistance, MAIN DATA'!$B:$B,'Share, Heavy Weapons to Ukraine'!$B34,'Bilateral Assistance, MAIN DATA'!$AO:$AO,"152mm howitzer")</f>
        <v>0</v>
      </c>
      <c r="BG34" s="25">
        <f>SUMIFS('Bilateral Assistance, MAIN DATA'!$N:$N,'Bilateral Assistance, MAIN DATA'!$B:$B,'Share, Heavy Weapons to Ukraine'!$B34,'Bilateral Assistance, MAIN DATA'!$AO:$AO,"122mm MLRS")+SUMIFS('Bilateral Assistance, MAIN DATA'!$N:$N,'Bilateral Assistance, MAIN DATA'!$B:$B,'Share, Heavy Weapons to Ukraine'!$B34,'Bilateral Assistance, MAIN DATA'!$AO:$AO,"127mm MLRS")+SUMIFS('Bilateral Assistance, MAIN DATA'!$N:$N,'Bilateral Assistance, MAIN DATA'!$B:$B,'Share, Heavy Weapons to Ukraine'!$B34,'Bilateral Assistance, MAIN DATA'!$AO:$AO,"227mm MLRS")</f>
        <v>0</v>
      </c>
      <c r="BH34" s="25">
        <f>SUMIFS('Bilateral Assistance, MAIN DATA'!$N:$N,'Bilateral Assistance, MAIN DATA'!$B:$B,'Share, Heavy Weapons to Ukraine'!$B34,'Bilateral Assistance, MAIN DATA'!$AO:$AO,'Share, Heavy Weapons to Ukraine'!BH$11)</f>
        <v>0</v>
      </c>
      <c r="BI34" s="25">
        <f>SUMIFS('Bilateral Assistance, MAIN DATA'!$N:$N,'Bilateral Assistance, MAIN DATA'!$B:$B,'Share, Heavy Weapons to Ukraine'!$B34,'Bilateral Assistance, MAIN DATA'!$AO:$AO,'Share, Heavy Weapons to Ukraine'!BI$11)</f>
        <v>0</v>
      </c>
      <c r="BJ34" s="25">
        <f>SUMIFS('Bilateral Assistance, MAIN DATA'!$N:$N,'Bilateral Assistance, MAIN DATA'!$B:$B,'Share, Heavy Weapons to Ukraine'!$B34,'Bilateral Assistance, MAIN DATA'!$AO:$AO,'Share, Heavy Weapons to Ukraine'!BJ$11)</f>
        <v>0</v>
      </c>
      <c r="BK34" s="25">
        <f>SUMIFS('Bilateral Assistance, MAIN DATA'!$N:$N,'Bilateral Assistance, MAIN DATA'!$B:$B,'Share, Heavy Weapons to Ukraine'!$B34,'Bilateral Assistance, MAIN DATA'!$AO:$AO,'Share, Heavy Weapons to Ukraine'!BK$11)</f>
        <v>0</v>
      </c>
      <c r="BL34" s="25">
        <f>SUMIFS('Bilateral Assistance, MAIN DATA'!$N:$N,'Bilateral Assistance, MAIN DATA'!$B:$B,'Share, Heavy Weapons to Ukraine'!$B34,'Bilateral Assistance, MAIN DATA'!$AO:$AO,'Share, Heavy Weapons to Ukraine'!BL$11)</f>
        <v>0</v>
      </c>
      <c r="BM34" s="410"/>
      <c r="BN34" s="261">
        <f>IF(VLOOKUP($B34,$B:W,COLUMN(W33)-1,FALSE)&lt;&gt;0,VLOOKUP($B34,$B:AL,COLUMN(AL33)-1,FALSE)/VLOOKUP($B34,$B:W,COLUMN(W33)-1,FALSE),IF(VLOOKUP($B34,$B:AL,COLUMN(AL33)-1,FALSE)&lt;&gt;0,"unknown",0))</f>
        <v>8.1081081081081086E-2</v>
      </c>
      <c r="BO34" s="261">
        <f>IF(VLOOKUP($B34,$B:X,COLUMN(X33)-1,FALSE)&lt;&gt;0,VLOOKUP($B34,$B:AM,COLUMN(AM33)-1,FALSE)/VLOOKUP($B34,$B:X,COLUMN(X33)-1,FALSE),IF(VLOOKUP($B34,$B:AM,COLUMN(AM33)-1,FALSE)&lt;&gt;0,"unknown",0))</f>
        <v>8.1280788177339899E-2</v>
      </c>
      <c r="BP34" s="261">
        <f>IF(VLOOKUP($B34,$B:Y,COLUMN(Y33)-1,FALSE)&lt;&gt;0,VLOOKUP($B34,$B:AN,COLUMN(AN33)-1,FALSE)/VLOOKUP($B34,$B:Y,COLUMN(Y33)-1,FALSE),IF(VLOOKUP($B34,$B:AN,COLUMN(AN33)-1,FALSE)&lt;&gt;0,"unknown",0))</f>
        <v>0</v>
      </c>
      <c r="BQ34" s="261" t="str">
        <f>IF(VLOOKUP($B34,$B:Z,COLUMN(Z33)-1,FALSE)&lt;&gt;0,VLOOKUP($B34,$B:AO,COLUMN(AO33)-1,FALSE)/VLOOKUP($B34,$B:Z,COLUMN(Z33)-1,FALSE),IF(VLOOKUP($B34,$B:AO,COLUMN(AO33)-1,FALSE)&lt;&gt;0,"unknown",0))</f>
        <v>unknown</v>
      </c>
      <c r="BR34" s="261">
        <f>IF(VLOOKUP($B34,$B:AA,COLUMN(AA33)-1,FALSE)&lt;&gt;0,VLOOKUP($B34,$B:AP,COLUMN(AP33)-1,FALSE)/VLOOKUP($B34,$B:AA,COLUMN(AA33)-1,FALSE),IF(VLOOKUP($B34,$B:AP,COLUMN(AP33)-1,FALSE)&lt;&gt;0,"unknown",0))</f>
        <v>0</v>
      </c>
      <c r="BS34" s="261">
        <f>IF(VLOOKUP($B34,$B:AB,COLUMN(AB33)-1,FALSE)&lt;&gt;0,VLOOKUP($B34,$B:AQ,COLUMN(AQ33)-1,FALSE)/VLOOKUP($B34,$B:AB,COLUMN(AB33)-1,FALSE),IF(VLOOKUP($B34,$B:AQ,COLUMN(AQ33)-1,FALSE)&lt;&gt;0,"unknown",0))</f>
        <v>8.4862385321100922E-2</v>
      </c>
      <c r="BT34" s="261">
        <f>IF(VLOOKUP($B34,$B:AC,COLUMN(AC33)-1,FALSE)&lt;&gt;0,VLOOKUP($B34,$B:AR,COLUMN(AR33)-1,FALSE)/VLOOKUP($B34,$B:AC,COLUMN(AC33)-1,FALSE),IF(VLOOKUP($B34,$B:AR,COLUMN(AR33)-1,FALSE)&lt;&gt;0,"unknown",0))</f>
        <v>0.10416666666666667</v>
      </c>
      <c r="BU34" s="261">
        <f>IF(VLOOKUP($B34,$B:AD,COLUMN(AD33)-1,FALSE)&lt;&gt;0,VLOOKUP($B34,$B:AS,COLUMN(AS33)-1,FALSE)/VLOOKUP($B34,$B:AD,COLUMN(AD33)-1,FALSE),IF(VLOOKUP($B34,$B:AS,COLUMN(AS33)-1,FALSE)&lt;&gt;0,"unknown",0))</f>
        <v>0</v>
      </c>
      <c r="BV34" s="261">
        <f>IF(VLOOKUP($B34,$B:AE,COLUMN(AE33)-1,FALSE)&lt;&gt;0,VLOOKUP($B34,$B:AT,COLUMN(AT33)-1,FALSE)/VLOOKUP($B34,$B:AE,COLUMN(AE33)-1,FALSE),IF(VLOOKUP($B34,$B:AT,COLUMN(AT33)-1,FALSE)&lt;&gt;0,"unknown",0))</f>
        <v>0</v>
      </c>
      <c r="BW34" s="261">
        <f>IF(VLOOKUP($B34,$B:AG,COLUMN(AG33)-1,FALSE)&lt;&gt;0,VLOOKUP($B34,$B:AU,COLUMN(AU33)-1,FALSE)/VLOOKUP($B34,$B:AG,COLUMN(AG33)-1,FALSE),IF(VLOOKUP($B34,$B:AU,COLUMN(AU33)-1,FALSE)&lt;&gt;0,"unknown",0))</f>
        <v>0</v>
      </c>
      <c r="BX34" s="261">
        <f>IF(VLOOKUP($B34,$B:AH,COLUMN(AH33)-1,FALSE)&lt;&gt;0,VLOOKUP($B34,$B:AV,COLUMN(AV33)-1,FALSE)/VLOOKUP($B34,$B:AH,COLUMN(AH33)-1,FALSE),IF(VLOOKUP($B34,$B:AV,COLUMN(AV33)-1,FALSE)&lt;&gt;0,"unknown",0))</f>
        <v>0</v>
      </c>
      <c r="BY34" s="261">
        <f>IF(VLOOKUP($B34,$B:AI,COLUMN(AI33)-1,FALSE)&lt;&gt;0,VLOOKUP($B34,$B:AW,COLUMN(AW33)-1,FALSE)/VLOOKUP($B34,$B:AI,COLUMN(AI33)-1,FALSE),IF(VLOOKUP($B34,$B:AW,COLUMN(AW33)-1,FALSE)&lt;&gt;0,"unknown",0))</f>
        <v>0</v>
      </c>
      <c r="BZ34" s="261">
        <f>IF(VLOOKUP($B34,$B:AJ,COLUMN(AJ33)-1,FALSE)&lt;&gt;0,VLOOKUP($B34,$B:AX,COLUMN(AX33)-1,FALSE)/VLOOKUP($B34,$B:AJ,COLUMN(AJ33)-1,FALSE),IF(VLOOKUP($B34,$B:AX,COLUMN(AX33)-1,FALSE)&lt;&gt;0,"unknown",0))</f>
        <v>0</v>
      </c>
      <c r="CA34" s="410"/>
      <c r="CB34" s="2">
        <f>IF(VLOOKUP($B34,$B:AM,COLUMN(W33)-1,FALSE)&lt;&gt;0,VLOOKUP($B34,$B:BA,COLUMN(AZ33)-1,FALSE)/VLOOKUP($B34,$B:AM,COLUMN(W33)-1,FALSE),IF(VLOOKUP($B34,$B:BA,COLUMN(AZ33)-1,FALSE)&lt;&gt;0,"unknown",0))</f>
        <v>8.1081081081081086E-2</v>
      </c>
      <c r="CC34" s="2">
        <f>IF(VLOOKUP($B34,$B:AN,COLUMN(X33)-1,FALSE)&lt;&gt;0,VLOOKUP($B34,$B:BB,COLUMN(BA33)-1,FALSE)/VLOOKUP($B34,$B:AN,COLUMN(X33)-1,FALSE),IF(VLOOKUP($B34,$B:BB,COLUMN(BA33)-1,FALSE)&lt;&gt;0,"unknown",0))</f>
        <v>6.8965517241379309E-2</v>
      </c>
      <c r="CD34" s="2">
        <f>IF(VLOOKUP($B34,$B:AO,COLUMN(Y33)-1,FALSE)&lt;&gt;0,VLOOKUP($B34,$B:BC,COLUMN(BB33)-1,FALSE)/VLOOKUP($B34,$B:AO,COLUMN(Y33)-1,FALSE),IF(VLOOKUP($B34,$B:BC,COLUMN(BB33)-1,FALSE)&lt;&gt;0,"unknown",0))</f>
        <v>0</v>
      </c>
      <c r="CE34" s="2" t="str">
        <f>IF(VLOOKUP($B34,$B:AP,COLUMN(Z33)-1,FALSE)&lt;&gt;0,VLOOKUP($B34,$B:BD,COLUMN(BC33)-1,FALSE)/VLOOKUP($B34,$B:AP,COLUMN(Z33)-1,FALSE),IF(VLOOKUP($B34,$B:BD,COLUMN(BC33)-1,FALSE)&lt;&gt;0,"unknown",0))</f>
        <v>unknown</v>
      </c>
      <c r="CF34" s="2">
        <f>IF(VLOOKUP($B34,$B:AR,COLUMN(AA33)-1,FALSE)&lt;&gt;0,VLOOKUP($B34,$B:BF,COLUMN(BD33)-1,FALSE)/VLOOKUP($B34,$B:AR,COLUMN(AA33)-1,FALSE),IF(VLOOKUP($B34,$B:BF,COLUMN(BD33)-1,FALSE)&lt;&gt;0,"unknown",0))</f>
        <v>0</v>
      </c>
      <c r="CG34" s="2">
        <f>IF(VLOOKUP($B34,$B:AS,COLUMN(AB33)-1,FALSE)&lt;&gt;0,VLOOKUP($B34,$B:BG,COLUMN(BE33)-1,FALSE)/VLOOKUP($B34,$B:AS,COLUMN(AB33)-1,FALSE),IF(VLOOKUP($B34,$B:BG,COLUMN(BE33)-1,FALSE)&lt;&gt;0,"unknown",0))</f>
        <v>7.3394495412844041E-2</v>
      </c>
      <c r="CH34" s="2">
        <f>IF(VLOOKUP($B34,$B:AS,COLUMN(AC33)-1,FALSE)&lt;&gt;0,VLOOKUP($B34,$B:BG,COLUMN(BF33)-1,FALSE)/VLOOKUP($B34,$B:AS,COLUMN(AC33)-1,FALSE),IF(VLOOKUP($B34,$B:BG,COLUMN(BF33)-1,FALSE)&lt;&gt;0,"unknown",0))</f>
        <v>0</v>
      </c>
      <c r="CI34" s="2">
        <f>IF(VLOOKUP($B34,$B:AT,COLUMN(AD33)-1,FALSE)&lt;&gt;0,VLOOKUP($B34,$B:BH,COLUMN(BG33)-1,FALSE)/VLOOKUP($B34,$B:AT,COLUMN(AD33)-1,FALSE),IF(VLOOKUP($B34,$B:BH,COLUMN(BG33)-1,FALSE)&lt;&gt;0,"unknown",0))</f>
        <v>0</v>
      </c>
      <c r="CJ34" s="2">
        <f>IF(VLOOKUP($B34,$B:AT,COLUMN(AE33)-1,FALSE)&lt;&gt;0,VLOOKUP($B34,$B:BH,COLUMN(BH33)-1,FALSE)/VLOOKUP($B34,$B:AT,COLUMN(AE33)-1,FALSE),IF(VLOOKUP($B34,$B:BH,COLUMN(BH33)-1,FALSE)&lt;&gt;0,"unknown",0))</f>
        <v>0</v>
      </c>
      <c r="CK34" s="2">
        <f>IF(VLOOKUP($B34,$B:AU,COLUMN(AG33)-1,FALSE)&lt;&gt;0,VLOOKUP($B34,$B:BI,COLUMN(BI33)-1,FALSE)/VLOOKUP($B34,$B:AU,COLUMN(AG33)-1,FALSE),IF(VLOOKUP($B34,$B:BI,COLUMN(BI33)-1,FALSE)&lt;&gt;0,"unknown",0))</f>
        <v>0</v>
      </c>
      <c r="CL34" s="2">
        <f>IF(VLOOKUP($B34,$B:AV,COLUMN(AH33)-1,FALSE)&lt;&gt;0,VLOOKUP($B34,$B:BJ,COLUMN(BJ33)-1,FALSE)/VLOOKUP($B34,$B:AV,COLUMN(AH33)-1,FALSE),IF(VLOOKUP($B34,$B:BJ,COLUMN(BJ33)-1,FALSE)&lt;&gt;0,"unknown",0))</f>
        <v>0</v>
      </c>
      <c r="CM34" s="2">
        <f>IF(VLOOKUP($B34,$B:AW,COLUMN(AI33)-1,FALSE)&lt;&gt;0,VLOOKUP($B34,$B:BK,COLUMN(BK33)-1,FALSE)/VLOOKUP($B34,$B:AW,COLUMN(AI33)-1,FALSE),IF(VLOOKUP($B34,$B:BK,COLUMN(BK33)-1,FALSE)&lt;&gt;0,"unknown",0))</f>
        <v>0</v>
      </c>
      <c r="CN34" s="2">
        <f>IF(VLOOKUP($B34,$B:AX,COLUMN(AJ33)-1,FALSE)&lt;&gt;0,VLOOKUP($B34,$B:BL,COLUMN(BL33)-1,FALSE)/VLOOKUP($B34,$B:AX,COLUMN(AJ33)-1,FALSE),IF(VLOOKUP($B34,$B:BL,COLUMN(BL33)-1,FALSE)&lt;&gt;0,"unknown",0))</f>
        <v>0</v>
      </c>
      <c r="CO34" s="410"/>
      <c r="CP34" s="2">
        <f>SUMIFS('Bilateral Assistance, MAIN DATA'!$M:$M,'Bilateral Assistance, MAIN DATA'!$B:$B,'Share, Heavy Weapons to Ukraine'!$B34,'Bilateral Assistance, MAIN DATA'!$AO:$AO,'Share, Heavy Weapons to Ukraine'!CP$11, 'Bilateral Assistance, MAIN DATA'!$AA:$AA,1)</f>
        <v>0</v>
      </c>
      <c r="CQ34" s="2">
        <f>SUMIFS('Bilateral Assistance, MAIN DATA'!$M:$M,'Bilateral Assistance, MAIN DATA'!$B:$B,'Share, Heavy Weapons to Ukraine'!$B34,'Bilateral Assistance, MAIN DATA'!$AO:$AO,'Share, Heavy Weapons to Ukraine'!CQ$11, 'Bilateral Assistance, MAIN DATA'!$AA:$AA,1)</f>
        <v>0</v>
      </c>
      <c r="CR34" s="2">
        <f>SUMIFS('Bilateral Assistance, MAIN DATA'!$M:$M,'Bilateral Assistance, MAIN DATA'!$B:$B,'Share, Heavy Weapons to Ukraine'!$B34,'Bilateral Assistance, MAIN DATA'!$AO:$AO,'Share, Heavy Weapons to Ukraine'!CR$11, 'Bilateral Assistance, MAIN DATA'!$AA:$AA,1)</f>
        <v>0</v>
      </c>
      <c r="CS34" s="2">
        <f>SUMIFS('Bilateral Assistance, MAIN DATA'!$M:$M,'Bilateral Assistance, MAIN DATA'!$B:$B,'Share, Heavy Weapons to Ukraine'!$B34,'Bilateral Assistance, MAIN DATA'!$AO:$AO,'Share, Heavy Weapons to Ukraine'!CS$11, 'Bilateral Assistance, MAIN DATA'!$AA:$AA,1)</f>
        <v>0</v>
      </c>
      <c r="CT34" s="410"/>
      <c r="CU34" s="2">
        <f>SUMIFS('Bilateral Assistance, MAIN DATA'!$N:$N,'Bilateral Assistance, MAIN DATA'!$B:$B,'Share, Heavy Weapons to Ukraine'!$B34,'Bilateral Assistance, MAIN DATA'!$AO:$AO,'Share, Heavy Weapons to Ukraine'!CU$11, 'Bilateral Assistance, MAIN DATA'!$AA:$AA,1)</f>
        <v>0</v>
      </c>
      <c r="CV34" s="2">
        <f>SUMIFS('Bilateral Assistance, MAIN DATA'!$N:$N,'Bilateral Assistance, MAIN DATA'!$B:$B,'Share, Heavy Weapons to Ukraine'!$B34,'Bilateral Assistance, MAIN DATA'!$AO:$AO,'Share, Heavy Weapons to Ukraine'!CV$11, 'Bilateral Assistance, MAIN DATA'!$AA:$AA,1)</f>
        <v>0</v>
      </c>
      <c r="CW34" s="2">
        <f>SUMIFS('Bilateral Assistance, MAIN DATA'!$N:$N,'Bilateral Assistance, MAIN DATA'!$B:$B,'Share, Heavy Weapons to Ukraine'!$B34,'Bilateral Assistance, MAIN DATA'!$AO:$AO,'Share, Heavy Weapons to Ukraine'!CW$11, 'Bilateral Assistance, MAIN DATA'!$AA:$AA,1)</f>
        <v>0</v>
      </c>
      <c r="CX34" s="2">
        <f>SUMIFS('Bilateral Assistance, MAIN DATA'!$N:$N,'Bilateral Assistance, MAIN DATA'!$B:$B,'Share, Heavy Weapons to Ukraine'!$B34,'Bilateral Assistance, MAIN DATA'!$AO:$AO,'Share, Heavy Weapons to Ukraine'!CX$11, 'Bilateral Assistance, MAIN DATA'!$AA:$AA,1)</f>
        <v>0</v>
      </c>
    </row>
    <row r="35" spans="2:102" ht="15.6">
      <c r="B35" s="409" t="s">
        <v>2028</v>
      </c>
      <c r="C35" s="409">
        <v>0</v>
      </c>
      <c r="D35" s="2">
        <v>1</v>
      </c>
      <c r="E35" s="410"/>
      <c r="F35" s="569" t="s">
        <v>364</v>
      </c>
      <c r="G35" s="569" t="s">
        <v>364</v>
      </c>
      <c r="H35" s="569" t="s">
        <v>364</v>
      </c>
      <c r="I35" s="569" t="s">
        <v>364</v>
      </c>
      <c r="J35" s="569" t="s">
        <v>364</v>
      </c>
      <c r="K35" s="569" t="s">
        <v>364</v>
      </c>
      <c r="L35" s="569" t="s">
        <v>364</v>
      </c>
      <c r="M35" s="569" t="s">
        <v>364</v>
      </c>
      <c r="N35" s="569" t="s">
        <v>364</v>
      </c>
      <c r="O35" s="569" t="s">
        <v>364</v>
      </c>
      <c r="P35" s="569" t="s">
        <v>364</v>
      </c>
      <c r="Q35" s="569" t="s">
        <v>364</v>
      </c>
      <c r="R35" s="569" t="s">
        <v>364</v>
      </c>
      <c r="S35" s="569" t="s">
        <v>364</v>
      </c>
      <c r="T35" s="569" t="s">
        <v>364</v>
      </c>
      <c r="U35" s="410" t="str">
        <f>""</f>
        <v/>
      </c>
      <c r="V35" s="1334">
        <v>2.63</v>
      </c>
      <c r="W35" s="1334">
        <f>VLOOKUP(B35,'Heavy Weapon Stocks'!B:OA,COLUMN('Heavy Weapon Stocks'!$C$11)-1,FALSE)+IF(F35&lt;&gt;".",F35,0)</f>
        <v>48</v>
      </c>
      <c r="X35" s="1334">
        <f>VLOOKUP(B35,'Heavy Weapon Stocks'!B:OA,COLUMN('Heavy Weapon Stocks'!$AQ$11)-1,FALSE)</f>
        <v>260</v>
      </c>
      <c r="Y35" s="1334">
        <f>VLOOKUP(B35,'Heavy Weapon Stocks'!B:OA,COLUMN('Heavy Weapon Stocks'!$DK$11)-1,FALSE)</f>
        <v>49</v>
      </c>
      <c r="Z35" s="1334">
        <f>VLOOKUP(B35,'Heavy Weapon Stocks'!B:OA,COLUMN('Heavy Weapon Stocks'!$DY$11)-1,FALSE)</f>
        <v>0</v>
      </c>
      <c r="AA35" s="1334">
        <f>VLOOKUP(B35,'Heavy Weapon Stocks'!B:OA,COLUMN('Heavy Weapon Stocks'!$FA$11)-1,FALSE)+IF(G35&lt;&gt;".",G35,0)</f>
        <v>120</v>
      </c>
      <c r="AB35" s="1334">
        <f t="shared" si="3"/>
        <v>429</v>
      </c>
      <c r="AC35" s="1334">
        <f>VLOOKUP(B35,'Heavy Weapon Stocks'!B:OA,COLUMN('Heavy Weapon Stocks'!$GV$11)-1,FALSE)+VLOOKUP(B35,'Heavy Weapon Stocks'!B:OA,COLUMN('Heavy Weapon Stocks'!$HY$11)-1,FALSE)+IF(H35&lt;&gt;".",H35,0)</f>
        <v>31</v>
      </c>
      <c r="AD35" s="1334">
        <f>VLOOKUP(B35,'Heavy Weapon Stocks'!B:OA,COLUMN('Heavy Weapon Stocks'!$IF$11)-1,FALSE)+IF(I35&lt;&gt;".",I35,0)</f>
        <v>0</v>
      </c>
      <c r="AE35" s="1334">
        <f>VLOOKUP(B35,'Heavy Weapon Stocks'!B:OA,COLUMN('Heavy Weapon Stocks'!$IZ$11)-1,FALSE)+VLOOKUP(B35,'Heavy Weapon Stocks'!B:OA,COLUMN('Heavy Weapon Stocks'!$JW$11)-1,FALSE)</f>
        <v>14</v>
      </c>
      <c r="AF35" s="1334">
        <f>VLOOKUP(B35,'Heavy Weapon Stocks'!B:OA,COLUMN('Heavy Weapon Stocks'!$NL$11)-1,FALSE)+IF(L35&lt;&gt;".",L35,0)</f>
        <v>0</v>
      </c>
      <c r="AG35" s="1334">
        <f>VLOOKUP(B35,'Heavy Weapon Stocks'!B:OA,COLUMN('Heavy Weapon Stocks'!$LN$11)-1,FALSE)+IF(M35&lt;&gt;".",M35,0)</f>
        <v>0</v>
      </c>
      <c r="AH35" s="1334">
        <f>VLOOKUP(B35,'Heavy Weapon Stocks'!B:OA,COLUMN('Heavy Weapon Stocks'!$LX$11)-1,FALSE)+IF(N35&lt;&gt;".",N35,0)</f>
        <v>0</v>
      </c>
      <c r="AI35" s="1334">
        <f>VLOOKUP(B35,'Heavy Weapon Stocks'!B:OA,COLUMN('Heavy Weapon Stocks'!$ME$11)-1,FALSE)+IF(O35&lt;&gt;".",O35,0)</f>
        <v>16</v>
      </c>
      <c r="AJ35" s="1334">
        <f>VLOOKUP(B35,'Heavy Weapon Stocks'!B:OA,COLUMN('Heavy Weapon Stocks'!$NK$11)-1,FALSE)+IF(P35&lt;&gt;".",P35,0)</f>
        <v>0</v>
      </c>
      <c r="AK35" s="410"/>
      <c r="AL35" s="25">
        <f>SUMIFS('Bilateral Assistance, MAIN DATA'!$M:$M,'Bilateral Assistance, MAIN DATA'!$B:$B,'Share, Heavy Weapons to Ukraine'!$B35,'Bilateral Assistance, MAIN DATA'!$AO:$AO,'Share, Heavy Weapons to Ukraine'!AL$11)</f>
        <v>0</v>
      </c>
      <c r="AM35" s="25">
        <f>SUMIFS('Bilateral Assistance, MAIN DATA'!$M:$M,'Bilateral Assistance, MAIN DATA'!$B:$B,'Share, Heavy Weapons to Ukraine'!$B35,'Bilateral Assistance, MAIN DATA'!$AO:$AO,'Share, Heavy Weapons to Ukraine'!AM$11)</f>
        <v>0</v>
      </c>
      <c r="AN35" s="25">
        <f>SUMIFS('Bilateral Assistance, MAIN DATA'!$M:$M,'Bilateral Assistance, MAIN DATA'!$B:$B,'Share, Heavy Weapons to Ukraine'!$B35,'Bilateral Assistance, MAIN DATA'!$AO:$AO,'Share, Heavy Weapons to Ukraine'!AN$11)</f>
        <v>0</v>
      </c>
      <c r="AO35" s="25">
        <f>SUMIFS('Bilateral Assistance, MAIN DATA'!$M:$M,'Bilateral Assistance, MAIN DATA'!$B:$B,'Share, Heavy Weapons to Ukraine'!$B35,'Bilateral Assistance, MAIN DATA'!$AO:$AO,'Share, Heavy Weapons to Ukraine'!AO$11)</f>
        <v>0</v>
      </c>
      <c r="AP35" s="25">
        <f>SUMIFS('Bilateral Assistance, MAIN DATA'!$M:$M,'Bilateral Assistance, MAIN DATA'!$B:$B,'Share, Heavy Weapons to Ukraine'!$B35,'Bilateral Assistance, MAIN DATA'!$AO:$AO,'Share, Heavy Weapons to Ukraine'!AP$11)</f>
        <v>0</v>
      </c>
      <c r="AQ35" s="25">
        <f t="shared" si="1"/>
        <v>0</v>
      </c>
      <c r="AR35" s="25">
        <f>SUMIFS('Bilateral Assistance, MAIN DATA'!$M:$M,'Bilateral Assistance, MAIN DATA'!$B:$B,'Share, Heavy Weapons to Ukraine'!$B35,'Bilateral Assistance, MAIN DATA'!$AO:$AO,"155mm howitzer")+SUMIFS('Bilateral Assistance, MAIN DATA'!$M:$M,'Bilateral Assistance, MAIN DATA'!$B:$B,'Share, Heavy Weapons to Ukraine'!$B35,'Bilateral Assistance, MAIN DATA'!$AO:$AO,"152mm howitzer")</f>
        <v>0</v>
      </c>
      <c r="AS35" s="25">
        <f>SUMIFS('Bilateral Assistance, MAIN DATA'!$M:$M,'Bilateral Assistance, MAIN DATA'!$B:$B,'Share, Heavy Weapons to Ukraine'!$B35,'Bilateral Assistance, MAIN DATA'!$AO:$AO,"122mm MLRS")+SUMIFS('Bilateral Assistance, MAIN DATA'!$M:$M,'Bilateral Assistance, MAIN DATA'!$B:$B,'Share, Heavy Weapons to Ukraine'!$B35,'Bilateral Assistance, MAIN DATA'!$AO:$AO,"127mm MLRS")+SUMIFS('Bilateral Assistance, MAIN DATA'!$M:$M,'Bilateral Assistance, MAIN DATA'!$B:$B,'Share, Heavy Weapons to Ukraine'!$B35,'Bilateral Assistance, MAIN DATA'!$AO:$AO,"227mm MLRS")</f>
        <v>0</v>
      </c>
      <c r="AT35" s="25">
        <f>SUMIFS('Bilateral Assistance, MAIN DATA'!$M:$M,'Bilateral Assistance, MAIN DATA'!$B:$B,'Share, Heavy Weapons to Ukraine'!$B35,'Bilateral Assistance, MAIN DATA'!$AO:$AO,'Share, Heavy Weapons to Ukraine'!AT$11)</f>
        <v>0</v>
      </c>
      <c r="AU35" s="25">
        <f>SUMIFS('Bilateral Assistance, MAIN DATA'!$M:$M,'Bilateral Assistance, MAIN DATA'!$B:$B,'Share, Heavy Weapons to Ukraine'!$B35,'Bilateral Assistance, MAIN DATA'!$AO:$AO,'Share, Heavy Weapons to Ukraine'!AU$11)</f>
        <v>0</v>
      </c>
      <c r="AV35" s="25">
        <f>SUMIFS('Bilateral Assistance, MAIN DATA'!$M:$M,'Bilateral Assistance, MAIN DATA'!$B:$B,'Share, Heavy Weapons to Ukraine'!$B35,'Bilateral Assistance, MAIN DATA'!$AO:$AO,'Share, Heavy Weapons to Ukraine'!AV$11)</f>
        <v>0</v>
      </c>
      <c r="AW35" s="25">
        <f>SUMIFS('Bilateral Assistance, MAIN DATA'!$M:$M,'Bilateral Assistance, MAIN DATA'!$B:$B,'Share, Heavy Weapons to Ukraine'!$B35,'Bilateral Assistance, MAIN DATA'!$AO:$AO,'Share, Heavy Weapons to Ukraine'!AW$11)</f>
        <v>0</v>
      </c>
      <c r="AX35" s="25">
        <f>SUMIFS('Bilateral Assistance, MAIN DATA'!$M:$M,'Bilateral Assistance, MAIN DATA'!$B:$B,'Share, Heavy Weapons to Ukraine'!$B35,'Bilateral Assistance, MAIN DATA'!$AO:$AO,'Share, Heavy Weapons to Ukraine'!AX$11)</f>
        <v>0</v>
      </c>
      <c r="AY35" s="410"/>
      <c r="AZ35" s="25">
        <f>SUMIFS('Bilateral Assistance, MAIN DATA'!$N:$N,'Bilateral Assistance, MAIN DATA'!$B:$B,'Share, Heavy Weapons to Ukraine'!$B35,'Bilateral Assistance, MAIN DATA'!$AO:$AO,'Share, Heavy Weapons to Ukraine'!AZ$11)</f>
        <v>0</v>
      </c>
      <c r="BA35" s="25">
        <f>SUMIFS('Bilateral Assistance, MAIN DATA'!$N:$N,'Bilateral Assistance, MAIN DATA'!$B:$B,'Share, Heavy Weapons to Ukraine'!$B35,'Bilateral Assistance, MAIN DATA'!$AO:$AO,'Share, Heavy Weapons to Ukraine'!BA$11)</f>
        <v>0</v>
      </c>
      <c r="BB35" s="25">
        <f>SUMIFS('Bilateral Assistance, MAIN DATA'!$N:$N,'Bilateral Assistance, MAIN DATA'!$B:$B,'Share, Heavy Weapons to Ukraine'!$B35,'Bilateral Assistance, MAIN DATA'!$AO:$AO,'Share, Heavy Weapons to Ukraine'!BB$11)</f>
        <v>0</v>
      </c>
      <c r="BC35" s="25">
        <f>SUMIFS('Bilateral Assistance, MAIN DATA'!$N:$N,'Bilateral Assistance, MAIN DATA'!$B:$B,'Share, Heavy Weapons to Ukraine'!$B35,'Bilateral Assistance, MAIN DATA'!$AO:$AO,'Share, Heavy Weapons to Ukraine'!BC$11)</f>
        <v>0</v>
      </c>
      <c r="BD35" s="25">
        <f>SUMIFS('Bilateral Assistance, MAIN DATA'!$N:$N,'Bilateral Assistance, MAIN DATA'!$B:$B,'Share, Heavy Weapons to Ukraine'!$B35,'Bilateral Assistance, MAIN DATA'!$AO:$AO,'Share, Heavy Weapons to Ukraine'!BD$11)</f>
        <v>0</v>
      </c>
      <c r="BE35" s="25">
        <f t="shared" si="2"/>
        <v>0</v>
      </c>
      <c r="BF35" s="25">
        <f>SUMIFS('Bilateral Assistance, MAIN DATA'!$N:$N,'Bilateral Assistance, MAIN DATA'!$B:$B,'Share, Heavy Weapons to Ukraine'!$B35,'Bilateral Assistance, MAIN DATA'!$AO:$AO,"155mm howitzer")+SUMIFS('Bilateral Assistance, MAIN DATA'!$N:$N,'Bilateral Assistance, MAIN DATA'!$B:$B,'Share, Heavy Weapons to Ukraine'!$B35,'Bilateral Assistance, MAIN DATA'!$AO:$AO,"152mm howitzer")</f>
        <v>0</v>
      </c>
      <c r="BG35" s="25">
        <f>SUMIFS('Bilateral Assistance, MAIN DATA'!$N:$N,'Bilateral Assistance, MAIN DATA'!$B:$B,'Share, Heavy Weapons to Ukraine'!$B35,'Bilateral Assistance, MAIN DATA'!$AO:$AO,"122mm MLRS")+SUMIFS('Bilateral Assistance, MAIN DATA'!$N:$N,'Bilateral Assistance, MAIN DATA'!$B:$B,'Share, Heavy Weapons to Ukraine'!$B35,'Bilateral Assistance, MAIN DATA'!$AO:$AO,"127mm MLRS")+SUMIFS('Bilateral Assistance, MAIN DATA'!$N:$N,'Bilateral Assistance, MAIN DATA'!$B:$B,'Share, Heavy Weapons to Ukraine'!$B35,'Bilateral Assistance, MAIN DATA'!$AO:$AO,"227mm MLRS")</f>
        <v>0</v>
      </c>
      <c r="BH35" s="25">
        <f>SUMIFS('Bilateral Assistance, MAIN DATA'!$N:$N,'Bilateral Assistance, MAIN DATA'!$B:$B,'Share, Heavy Weapons to Ukraine'!$B35,'Bilateral Assistance, MAIN DATA'!$AO:$AO,'Share, Heavy Weapons to Ukraine'!BH$11)</f>
        <v>0</v>
      </c>
      <c r="BI35" s="25">
        <f>SUMIFS('Bilateral Assistance, MAIN DATA'!$N:$N,'Bilateral Assistance, MAIN DATA'!$B:$B,'Share, Heavy Weapons to Ukraine'!$B35,'Bilateral Assistance, MAIN DATA'!$AO:$AO,'Share, Heavy Weapons to Ukraine'!BI$11)</f>
        <v>0</v>
      </c>
      <c r="BJ35" s="25">
        <f>SUMIFS('Bilateral Assistance, MAIN DATA'!$N:$N,'Bilateral Assistance, MAIN DATA'!$B:$B,'Share, Heavy Weapons to Ukraine'!$B35,'Bilateral Assistance, MAIN DATA'!$AO:$AO,'Share, Heavy Weapons to Ukraine'!BJ$11)</f>
        <v>0</v>
      </c>
      <c r="BK35" s="25">
        <f>SUMIFS('Bilateral Assistance, MAIN DATA'!$N:$N,'Bilateral Assistance, MAIN DATA'!$B:$B,'Share, Heavy Weapons to Ukraine'!$B35,'Bilateral Assistance, MAIN DATA'!$AO:$AO,'Share, Heavy Weapons to Ukraine'!BK$11)</f>
        <v>0</v>
      </c>
      <c r="BL35" s="25">
        <f>SUMIFS('Bilateral Assistance, MAIN DATA'!$N:$N,'Bilateral Assistance, MAIN DATA'!$B:$B,'Share, Heavy Weapons to Ukraine'!$B35,'Bilateral Assistance, MAIN DATA'!$AO:$AO,'Share, Heavy Weapons to Ukraine'!BL$11)</f>
        <v>0</v>
      </c>
      <c r="BM35" s="410"/>
      <c r="BN35" s="261">
        <f>IF(VLOOKUP($B35,$B:W,COLUMN(W34)-1,FALSE)&lt;&gt;0,VLOOKUP($B35,$B:AL,COLUMN(AL34)-1,FALSE)/VLOOKUP($B35,$B:W,COLUMN(W34)-1,FALSE),IF(VLOOKUP($B35,$B:AL,COLUMN(AL34)-1,FALSE)&lt;&gt;0,"unknown",0))</f>
        <v>0</v>
      </c>
      <c r="BO35" s="261">
        <f>IF(VLOOKUP($B35,$B:X,COLUMN(X34)-1,FALSE)&lt;&gt;0,VLOOKUP($B35,$B:AM,COLUMN(AM34)-1,FALSE)/VLOOKUP($B35,$B:X,COLUMN(X34)-1,FALSE),IF(VLOOKUP($B35,$B:AM,COLUMN(AM34)-1,FALSE)&lt;&gt;0,"unknown",0))</f>
        <v>0</v>
      </c>
      <c r="BP35" s="261">
        <f>IF(VLOOKUP($B35,$B:Y,COLUMN(Y34)-1,FALSE)&lt;&gt;0,VLOOKUP($B35,$B:AN,COLUMN(AN34)-1,FALSE)/VLOOKUP($B35,$B:Y,COLUMN(Y34)-1,FALSE),IF(VLOOKUP($B35,$B:AN,COLUMN(AN34)-1,FALSE)&lt;&gt;0,"unknown",0))</f>
        <v>0</v>
      </c>
      <c r="BQ35" s="261">
        <f>IF(VLOOKUP($B35,$B:Z,COLUMN(Z34)-1,FALSE)&lt;&gt;0,VLOOKUP($B35,$B:AO,COLUMN(AO34)-1,FALSE)/VLOOKUP($B35,$B:Z,COLUMN(Z34)-1,FALSE),IF(VLOOKUP($B35,$B:AO,COLUMN(AO34)-1,FALSE)&lt;&gt;0,"unknown",0))</f>
        <v>0</v>
      </c>
      <c r="BR35" s="261">
        <f>IF(VLOOKUP($B35,$B:AA,COLUMN(AA34)-1,FALSE)&lt;&gt;0,VLOOKUP($B35,$B:AP,COLUMN(AP34)-1,FALSE)/VLOOKUP($B35,$B:AA,COLUMN(AA34)-1,FALSE),IF(VLOOKUP($B35,$B:AP,COLUMN(AP34)-1,FALSE)&lt;&gt;0,"unknown",0))</f>
        <v>0</v>
      </c>
      <c r="BS35" s="261">
        <f>IF(VLOOKUP($B35,$B:AB,COLUMN(AB34)-1,FALSE)&lt;&gt;0,VLOOKUP($B35,$B:AQ,COLUMN(AQ34)-1,FALSE)/VLOOKUP($B35,$B:AB,COLUMN(AB34)-1,FALSE),IF(VLOOKUP($B35,$B:AQ,COLUMN(AQ34)-1,FALSE)&lt;&gt;0,"unknown",0))</f>
        <v>0</v>
      </c>
      <c r="BT35" s="261">
        <f>IF(VLOOKUP($B35,$B:AC,COLUMN(AC34)-1,FALSE)&lt;&gt;0,VLOOKUP($B35,$B:AR,COLUMN(AR34)-1,FALSE)/VLOOKUP($B35,$B:AC,COLUMN(AC34)-1,FALSE),IF(VLOOKUP($B35,$B:AR,COLUMN(AR34)-1,FALSE)&lt;&gt;0,"unknown",0))</f>
        <v>0</v>
      </c>
      <c r="BU35" s="261">
        <f>IF(VLOOKUP($B35,$B:AD,COLUMN(AD34)-1,FALSE)&lt;&gt;0,VLOOKUP($B35,$B:AS,COLUMN(AS34)-1,FALSE)/VLOOKUP($B35,$B:AD,COLUMN(AD34)-1,FALSE),IF(VLOOKUP($B35,$B:AS,COLUMN(AS34)-1,FALSE)&lt;&gt;0,"unknown",0))</f>
        <v>0</v>
      </c>
      <c r="BV35" s="261">
        <f>IF(VLOOKUP($B35,$B:AE,COLUMN(AE34)-1,FALSE)&lt;&gt;0,VLOOKUP($B35,$B:AT,COLUMN(AT34)-1,FALSE)/VLOOKUP($B35,$B:AE,COLUMN(AE34)-1,FALSE),IF(VLOOKUP($B35,$B:AT,COLUMN(AT34)-1,FALSE)&lt;&gt;0,"unknown",0))</f>
        <v>0</v>
      </c>
      <c r="BW35" s="261">
        <f>IF(VLOOKUP($B35,$B:AG,COLUMN(AG34)-1,FALSE)&lt;&gt;0,VLOOKUP($B35,$B:AU,COLUMN(AU34)-1,FALSE)/VLOOKUP($B35,$B:AG,COLUMN(AG34)-1,FALSE),IF(VLOOKUP($B35,$B:AU,COLUMN(AU34)-1,FALSE)&lt;&gt;0,"unknown",0))</f>
        <v>0</v>
      </c>
      <c r="BX35" s="261">
        <f>IF(VLOOKUP($B35,$B:AH,COLUMN(AH34)-1,FALSE)&lt;&gt;0,VLOOKUP($B35,$B:AV,COLUMN(AV34)-1,FALSE)/VLOOKUP($B35,$B:AH,COLUMN(AH34)-1,FALSE),IF(VLOOKUP($B35,$B:AV,COLUMN(AV34)-1,FALSE)&lt;&gt;0,"unknown",0))</f>
        <v>0</v>
      </c>
      <c r="BY35" s="261">
        <f>IF(VLOOKUP($B35,$B:AI,COLUMN(AI34)-1,FALSE)&lt;&gt;0,VLOOKUP($B35,$B:AW,COLUMN(AW34)-1,FALSE)/VLOOKUP($B35,$B:AI,COLUMN(AI34)-1,FALSE),IF(VLOOKUP($B35,$B:AW,COLUMN(AW34)-1,FALSE)&lt;&gt;0,"unknown",0))</f>
        <v>0</v>
      </c>
      <c r="BZ35" s="261">
        <f>IF(VLOOKUP($B35,$B:AJ,COLUMN(AJ34)-1,FALSE)&lt;&gt;0,VLOOKUP($B35,$B:AX,COLUMN(AX34)-1,FALSE)/VLOOKUP($B35,$B:AJ,COLUMN(AJ34)-1,FALSE),IF(VLOOKUP($B35,$B:AX,COLUMN(AX34)-1,FALSE)&lt;&gt;0,"unknown",0))</f>
        <v>0</v>
      </c>
      <c r="CA35" s="410"/>
      <c r="CB35" s="2">
        <f>IF(VLOOKUP($B35,$B:AM,COLUMN(W34)-1,FALSE)&lt;&gt;0,VLOOKUP($B35,$B:BA,COLUMN(AZ34)-1,FALSE)/VLOOKUP($B35,$B:AM,COLUMN(W34)-1,FALSE),IF(VLOOKUP($B35,$B:BA,COLUMN(AZ34)-1,FALSE)&lt;&gt;0,"unknown",0))</f>
        <v>0</v>
      </c>
      <c r="CC35" s="2">
        <f>IF(VLOOKUP($B35,$B:AN,COLUMN(X34)-1,FALSE)&lt;&gt;0,VLOOKUP($B35,$B:BB,COLUMN(BA34)-1,FALSE)/VLOOKUP($B35,$B:AN,COLUMN(X34)-1,FALSE),IF(VLOOKUP($B35,$B:BB,COLUMN(BA34)-1,FALSE)&lt;&gt;0,"unknown",0))</f>
        <v>0</v>
      </c>
      <c r="CD35" s="2">
        <f>IF(VLOOKUP($B35,$B:AO,COLUMN(Y34)-1,FALSE)&lt;&gt;0,VLOOKUP($B35,$B:BC,COLUMN(BB34)-1,FALSE)/VLOOKUP($B35,$B:AO,COLUMN(Y34)-1,FALSE),IF(VLOOKUP($B35,$B:BC,COLUMN(BB34)-1,FALSE)&lt;&gt;0,"unknown",0))</f>
        <v>0</v>
      </c>
      <c r="CE35" s="2">
        <f>IF(VLOOKUP($B35,$B:AP,COLUMN(Z34)-1,FALSE)&lt;&gt;0,VLOOKUP($B35,$B:BD,COLUMN(BC34)-1,FALSE)/VLOOKUP($B35,$B:AP,COLUMN(Z34)-1,FALSE),IF(VLOOKUP($B35,$B:BD,COLUMN(BC34)-1,FALSE)&lt;&gt;0,"unknown",0))</f>
        <v>0</v>
      </c>
      <c r="CF35" s="2">
        <f>IF(VLOOKUP($B35,$B:AR,COLUMN(AA34)-1,FALSE)&lt;&gt;0,VLOOKUP($B35,$B:BF,COLUMN(BD34)-1,FALSE)/VLOOKUP($B35,$B:AR,COLUMN(AA34)-1,FALSE),IF(VLOOKUP($B35,$B:BF,COLUMN(BD34)-1,FALSE)&lt;&gt;0,"unknown",0))</f>
        <v>0</v>
      </c>
      <c r="CG35" s="2">
        <f>IF(VLOOKUP($B35,$B:AS,COLUMN(AB34)-1,FALSE)&lt;&gt;0,VLOOKUP($B35,$B:BG,COLUMN(BE34)-1,FALSE)/VLOOKUP($B35,$B:AS,COLUMN(AB34)-1,FALSE),IF(VLOOKUP($B35,$B:BG,COLUMN(BE34)-1,FALSE)&lt;&gt;0,"unknown",0))</f>
        <v>0</v>
      </c>
      <c r="CH35" s="2">
        <f>IF(VLOOKUP($B35,$B:AS,COLUMN(AC34)-1,FALSE)&lt;&gt;0,VLOOKUP($B35,$B:BG,COLUMN(BF34)-1,FALSE)/VLOOKUP($B35,$B:AS,COLUMN(AC34)-1,FALSE),IF(VLOOKUP($B35,$B:BG,COLUMN(BF34)-1,FALSE)&lt;&gt;0,"unknown",0))</f>
        <v>0</v>
      </c>
      <c r="CI35" s="2">
        <f>IF(VLOOKUP($B35,$B:AT,COLUMN(AD34)-1,FALSE)&lt;&gt;0,VLOOKUP($B35,$B:BH,COLUMN(BG34)-1,FALSE)/VLOOKUP($B35,$B:AT,COLUMN(AD34)-1,FALSE),IF(VLOOKUP($B35,$B:BH,COLUMN(BG34)-1,FALSE)&lt;&gt;0,"unknown",0))</f>
        <v>0</v>
      </c>
      <c r="CJ35" s="2">
        <f>IF(VLOOKUP($B35,$B:AT,COLUMN(AE34)-1,FALSE)&lt;&gt;0,VLOOKUP($B35,$B:BH,COLUMN(BH34)-1,FALSE)/VLOOKUP($B35,$B:AT,COLUMN(AE34)-1,FALSE),IF(VLOOKUP($B35,$B:BH,COLUMN(BH34)-1,FALSE)&lt;&gt;0,"unknown",0))</f>
        <v>0</v>
      </c>
      <c r="CK35" s="2">
        <f>IF(VLOOKUP($B35,$B:AU,COLUMN(AG34)-1,FALSE)&lt;&gt;0,VLOOKUP($B35,$B:BI,COLUMN(BI34)-1,FALSE)/VLOOKUP($B35,$B:AU,COLUMN(AG34)-1,FALSE),IF(VLOOKUP($B35,$B:BI,COLUMN(BI34)-1,FALSE)&lt;&gt;0,"unknown",0))</f>
        <v>0</v>
      </c>
      <c r="CL35" s="2">
        <f>IF(VLOOKUP($B35,$B:AV,COLUMN(AH34)-1,FALSE)&lt;&gt;0,VLOOKUP($B35,$B:BJ,COLUMN(BJ34)-1,FALSE)/VLOOKUP($B35,$B:AV,COLUMN(AH34)-1,FALSE),IF(VLOOKUP($B35,$B:BJ,COLUMN(BJ34)-1,FALSE)&lt;&gt;0,"unknown",0))</f>
        <v>0</v>
      </c>
      <c r="CM35" s="2">
        <f>IF(VLOOKUP($B35,$B:AW,COLUMN(AI34)-1,FALSE)&lt;&gt;0,VLOOKUP($B35,$B:BK,COLUMN(BK34)-1,FALSE)/VLOOKUP($B35,$B:AW,COLUMN(AI34)-1,FALSE),IF(VLOOKUP($B35,$B:BK,COLUMN(BK34)-1,FALSE)&lt;&gt;0,"unknown",0))</f>
        <v>0</v>
      </c>
      <c r="CN35" s="2">
        <f>IF(VLOOKUP($B35,$B:AX,COLUMN(AJ34)-1,FALSE)&lt;&gt;0,VLOOKUP($B35,$B:BL,COLUMN(BL34)-1,FALSE)/VLOOKUP($B35,$B:AX,COLUMN(AJ34)-1,FALSE),IF(VLOOKUP($B35,$B:BL,COLUMN(BL34)-1,FALSE)&lt;&gt;0,"unknown",0))</f>
        <v>0</v>
      </c>
      <c r="CO35" s="410"/>
      <c r="CP35" s="2">
        <f>SUMIFS('Bilateral Assistance, MAIN DATA'!$M:$M,'Bilateral Assistance, MAIN DATA'!$B:$B,'Share, Heavy Weapons to Ukraine'!$B35,'Bilateral Assistance, MAIN DATA'!$AO:$AO,'Share, Heavy Weapons to Ukraine'!CP$11, 'Bilateral Assistance, MAIN DATA'!$AA:$AA,1)</f>
        <v>0</v>
      </c>
      <c r="CQ35" s="2">
        <f>SUMIFS('Bilateral Assistance, MAIN DATA'!$M:$M,'Bilateral Assistance, MAIN DATA'!$B:$B,'Share, Heavy Weapons to Ukraine'!$B35,'Bilateral Assistance, MAIN DATA'!$AO:$AO,'Share, Heavy Weapons to Ukraine'!CQ$11, 'Bilateral Assistance, MAIN DATA'!$AA:$AA,1)</f>
        <v>0</v>
      </c>
      <c r="CR35" s="2">
        <f>SUMIFS('Bilateral Assistance, MAIN DATA'!$M:$M,'Bilateral Assistance, MAIN DATA'!$B:$B,'Share, Heavy Weapons to Ukraine'!$B35,'Bilateral Assistance, MAIN DATA'!$AO:$AO,'Share, Heavy Weapons to Ukraine'!CR$11, 'Bilateral Assistance, MAIN DATA'!$AA:$AA,1)</f>
        <v>0</v>
      </c>
      <c r="CS35" s="2">
        <f>SUMIFS('Bilateral Assistance, MAIN DATA'!$M:$M,'Bilateral Assistance, MAIN DATA'!$B:$B,'Share, Heavy Weapons to Ukraine'!$B35,'Bilateral Assistance, MAIN DATA'!$AO:$AO,'Share, Heavy Weapons to Ukraine'!CS$11, 'Bilateral Assistance, MAIN DATA'!$AA:$AA,1)</f>
        <v>0</v>
      </c>
      <c r="CT35" s="410"/>
      <c r="CU35" s="2">
        <f>SUMIFS('Bilateral Assistance, MAIN DATA'!$N:$N,'Bilateral Assistance, MAIN DATA'!$B:$B,'Share, Heavy Weapons to Ukraine'!$B35,'Bilateral Assistance, MAIN DATA'!$AO:$AO,'Share, Heavy Weapons to Ukraine'!CU$11, 'Bilateral Assistance, MAIN DATA'!$AA:$AA,1)</f>
        <v>0</v>
      </c>
      <c r="CV35" s="2">
        <f>SUMIFS('Bilateral Assistance, MAIN DATA'!$N:$N,'Bilateral Assistance, MAIN DATA'!$B:$B,'Share, Heavy Weapons to Ukraine'!$B35,'Bilateral Assistance, MAIN DATA'!$AO:$AO,'Share, Heavy Weapons to Ukraine'!CV$11, 'Bilateral Assistance, MAIN DATA'!$AA:$AA,1)</f>
        <v>0</v>
      </c>
      <c r="CW35" s="2">
        <f>SUMIFS('Bilateral Assistance, MAIN DATA'!$N:$N,'Bilateral Assistance, MAIN DATA'!$B:$B,'Share, Heavy Weapons to Ukraine'!$B35,'Bilateral Assistance, MAIN DATA'!$AO:$AO,'Share, Heavy Weapons to Ukraine'!CW$11, 'Bilateral Assistance, MAIN DATA'!$AA:$AA,1)</f>
        <v>0</v>
      </c>
      <c r="CX35" s="2">
        <f>SUMIFS('Bilateral Assistance, MAIN DATA'!$N:$N,'Bilateral Assistance, MAIN DATA'!$B:$B,'Share, Heavy Weapons to Ukraine'!$B35,'Bilateral Assistance, MAIN DATA'!$AO:$AO,'Share, Heavy Weapons to Ukraine'!CX$11, 'Bilateral Assistance, MAIN DATA'!$AA:$AA,1)</f>
        <v>0</v>
      </c>
    </row>
    <row r="36" spans="2:102" ht="15.6">
      <c r="B36" s="409" t="s">
        <v>3261</v>
      </c>
      <c r="C36" s="409">
        <v>0</v>
      </c>
      <c r="D36" s="2">
        <v>1</v>
      </c>
      <c r="E36" s="410"/>
      <c r="F36" s="569" t="s">
        <v>364</v>
      </c>
      <c r="G36" s="569" t="s">
        <v>364</v>
      </c>
      <c r="H36" s="569" t="s">
        <v>364</v>
      </c>
      <c r="I36" s="569" t="s">
        <v>364</v>
      </c>
      <c r="J36" s="569" t="s">
        <v>364</v>
      </c>
      <c r="K36" s="569" t="s">
        <v>364</v>
      </c>
      <c r="L36" s="569" t="s">
        <v>364</v>
      </c>
      <c r="M36" s="569">
        <v>1</v>
      </c>
      <c r="N36" s="569" t="s">
        <v>364</v>
      </c>
      <c r="O36" s="569">
        <v>2</v>
      </c>
      <c r="P36" s="569" t="s">
        <v>364</v>
      </c>
      <c r="Q36" s="2" t="s">
        <v>6640</v>
      </c>
      <c r="R36" s="569" t="s">
        <v>6627</v>
      </c>
      <c r="S36" s="970" t="s">
        <v>6641</v>
      </c>
      <c r="T36" s="569" t="s">
        <v>364</v>
      </c>
      <c r="U36" s="410" t="str">
        <f>""</f>
        <v/>
      </c>
      <c r="V36" s="1334">
        <v>2.0099999999999998</v>
      </c>
      <c r="W36" s="1334">
        <f>VLOOKUP(B36,'Heavy Weapon Stocks'!B:OA,COLUMN('Heavy Weapon Stocks'!$C$11)-1,FALSE)+IF(F36&lt;&gt;".",F36,0)</f>
        <v>30</v>
      </c>
      <c r="X36" s="1334">
        <f>VLOOKUP(B36,'Heavy Weapon Stocks'!B:OA,COLUMN('Heavy Weapon Stocks'!$AQ$11)-1,FALSE)</f>
        <v>94</v>
      </c>
      <c r="Y36" s="1334">
        <f>VLOOKUP(B36,'Heavy Weapon Stocks'!B:OA,COLUMN('Heavy Weapon Stocks'!$DK$11)-1,FALSE)</f>
        <v>7</v>
      </c>
      <c r="Z36" s="1334">
        <f>VLOOKUP(B36,'Heavy Weapon Stocks'!B:OA,COLUMN('Heavy Weapon Stocks'!$DY$11)-1,FALSE)</f>
        <v>0</v>
      </c>
      <c r="AA36" s="1334">
        <f>VLOOKUP(B36,'Heavy Weapon Stocks'!B:OA,COLUMN('Heavy Weapon Stocks'!$FA$11)-1,FALSE)+IF(G36&lt;&gt;".",G36,0)</f>
        <v>256</v>
      </c>
      <c r="AB36" s="1334">
        <f t="shared" si="3"/>
        <v>357</v>
      </c>
      <c r="AC36" s="1334">
        <f>VLOOKUP(B36,'Heavy Weapon Stocks'!B:OA,COLUMN('Heavy Weapon Stocks'!$GV$11)-1,FALSE)+VLOOKUP(B36,'Heavy Weapon Stocks'!B:OA,COLUMN('Heavy Weapon Stocks'!$HY$11)-1,FALSE)+IF(H36&lt;&gt;".",H36,0)</f>
        <v>27</v>
      </c>
      <c r="AD36" s="1334">
        <f>VLOOKUP(B36,'Heavy Weapon Stocks'!B:OA,COLUMN('Heavy Weapon Stocks'!$IF$11)-1,FALSE)+IF(I36&lt;&gt;".",I36,0)</f>
        <v>30</v>
      </c>
      <c r="AE36" s="1334">
        <f>VLOOKUP(B36,'Heavy Weapon Stocks'!B:OA,COLUMN('Heavy Weapon Stocks'!$IZ$11)-1,FALSE)+VLOOKUP(B36,'Heavy Weapon Stocks'!B:OA,COLUMN('Heavy Weapon Stocks'!$JW$11)-1,FALSE)</f>
        <v>11</v>
      </c>
      <c r="AF36" s="1334">
        <f>VLOOKUP(B36,'Heavy Weapon Stocks'!B:OA,COLUMN('Heavy Weapon Stocks'!$NL$11)-1,FALSE)+IF(L36&lt;&gt;".",L36,0)</f>
        <v>0</v>
      </c>
      <c r="AG36" s="1334">
        <f>VLOOKUP(B36,'Heavy Weapon Stocks'!B:OA,COLUMN('Heavy Weapon Stocks'!$LN$11)-1,FALSE)+IF(M36&lt;&gt;".",M36,0)</f>
        <v>1</v>
      </c>
      <c r="AH36" s="1334">
        <f>VLOOKUP(B36,'Heavy Weapon Stocks'!B:OA,COLUMN('Heavy Weapon Stocks'!$LX$11)-1,FALSE)+IF(N36&lt;&gt;".",N36,0)</f>
        <v>0</v>
      </c>
      <c r="AI36" s="1334">
        <f>VLOOKUP(B36,'Heavy Weapon Stocks'!B:OA,COLUMN('Heavy Weapon Stocks'!$ME$11)-1,FALSE)+IF(O36&lt;&gt;".",O36,0)</f>
        <v>2</v>
      </c>
      <c r="AJ36" s="1334">
        <f>VLOOKUP(B36,'Heavy Weapon Stocks'!B:OA,COLUMN('Heavy Weapon Stocks'!$NK$11)-1,FALSE)+IF(P36&lt;&gt;".",P36,0)</f>
        <v>0</v>
      </c>
      <c r="AK36" s="410"/>
      <c r="AL36" s="25">
        <f>SUMIFS('Bilateral Assistance, MAIN DATA'!$M:$M,'Bilateral Assistance, MAIN DATA'!$B:$B,'Share, Heavy Weapons to Ukraine'!$B36,'Bilateral Assistance, MAIN DATA'!$AO:$AO,'Share, Heavy Weapons to Ukraine'!AL$11)</f>
        <v>0</v>
      </c>
      <c r="AM36" s="25">
        <f>SUMIFS('Bilateral Assistance, MAIN DATA'!$M:$M,'Bilateral Assistance, MAIN DATA'!$B:$B,'Share, Heavy Weapons to Ukraine'!$B36,'Bilateral Assistance, MAIN DATA'!$AO:$AO,'Share, Heavy Weapons to Ukraine'!AM$11)</f>
        <v>0</v>
      </c>
      <c r="AN36" s="25">
        <f>SUMIFS('Bilateral Assistance, MAIN DATA'!$M:$M,'Bilateral Assistance, MAIN DATA'!$B:$B,'Share, Heavy Weapons to Ukraine'!$B36,'Bilateral Assistance, MAIN DATA'!$AO:$AO,'Share, Heavy Weapons to Ukraine'!AN$11)</f>
        <v>0</v>
      </c>
      <c r="AO36" s="25">
        <f>SUMIFS('Bilateral Assistance, MAIN DATA'!$M:$M,'Bilateral Assistance, MAIN DATA'!$B:$B,'Share, Heavy Weapons to Ukraine'!$B36,'Bilateral Assistance, MAIN DATA'!$AO:$AO,'Share, Heavy Weapons to Ukraine'!AO$11)</f>
        <v>0</v>
      </c>
      <c r="AP36" s="25">
        <f>SUMIFS('Bilateral Assistance, MAIN DATA'!$M:$M,'Bilateral Assistance, MAIN DATA'!$B:$B,'Share, Heavy Weapons to Ukraine'!$B36,'Bilateral Assistance, MAIN DATA'!$AO:$AO,'Share, Heavy Weapons to Ukraine'!AP$11)</f>
        <v>30</v>
      </c>
      <c r="AQ36" s="25">
        <f t="shared" si="1"/>
        <v>30</v>
      </c>
      <c r="AR36" s="25">
        <f>SUMIFS('Bilateral Assistance, MAIN DATA'!$M:$M,'Bilateral Assistance, MAIN DATA'!$B:$B,'Share, Heavy Weapons to Ukraine'!$B36,'Bilateral Assistance, MAIN DATA'!$AO:$AO,"155mm howitzer")+SUMIFS('Bilateral Assistance, MAIN DATA'!$M:$M,'Bilateral Assistance, MAIN DATA'!$B:$B,'Share, Heavy Weapons to Ukraine'!$B36,'Bilateral Assistance, MAIN DATA'!$AO:$AO,"152mm howitzer")</f>
        <v>0</v>
      </c>
      <c r="AS36" s="25">
        <f>SUMIFS('Bilateral Assistance, MAIN DATA'!$M:$M,'Bilateral Assistance, MAIN DATA'!$B:$B,'Share, Heavy Weapons to Ukraine'!$B36,'Bilateral Assistance, MAIN DATA'!$AO:$AO,"122mm MLRS")+SUMIFS('Bilateral Assistance, MAIN DATA'!$M:$M,'Bilateral Assistance, MAIN DATA'!$B:$B,'Share, Heavy Weapons to Ukraine'!$B36,'Bilateral Assistance, MAIN DATA'!$AO:$AO,"127mm MLRS")+SUMIFS('Bilateral Assistance, MAIN DATA'!$M:$M,'Bilateral Assistance, MAIN DATA'!$B:$B,'Share, Heavy Weapons to Ukraine'!$B36,'Bilateral Assistance, MAIN DATA'!$AO:$AO,"227mm MLRS")</f>
        <v>0</v>
      </c>
      <c r="AT36" s="25">
        <f>SUMIFS('Bilateral Assistance, MAIN DATA'!$M:$M,'Bilateral Assistance, MAIN DATA'!$B:$B,'Share, Heavy Weapons to Ukraine'!$B36,'Bilateral Assistance, MAIN DATA'!$AO:$AO,'Share, Heavy Weapons to Ukraine'!AT$11)</f>
        <v>0</v>
      </c>
      <c r="AU36" s="25">
        <f>SUMIFS('Bilateral Assistance, MAIN DATA'!$M:$M,'Bilateral Assistance, MAIN DATA'!$B:$B,'Share, Heavy Weapons to Ukraine'!$B36,'Bilateral Assistance, MAIN DATA'!$AO:$AO,'Share, Heavy Weapons to Ukraine'!AU$11)</f>
        <v>1</v>
      </c>
      <c r="AV36" s="25">
        <f>SUMIFS('Bilateral Assistance, MAIN DATA'!$M:$M,'Bilateral Assistance, MAIN DATA'!$B:$B,'Share, Heavy Weapons to Ukraine'!$B36,'Bilateral Assistance, MAIN DATA'!$AO:$AO,'Share, Heavy Weapons to Ukraine'!AV$11)</f>
        <v>0</v>
      </c>
      <c r="AW36" s="25">
        <f>SUMIFS('Bilateral Assistance, MAIN DATA'!$M:$M,'Bilateral Assistance, MAIN DATA'!$B:$B,'Share, Heavy Weapons to Ukraine'!$B36,'Bilateral Assistance, MAIN DATA'!$AO:$AO,'Share, Heavy Weapons to Ukraine'!AW$11)</f>
        <v>2</v>
      </c>
      <c r="AX36" s="25">
        <f>SUMIFS('Bilateral Assistance, MAIN DATA'!$M:$M,'Bilateral Assistance, MAIN DATA'!$B:$B,'Share, Heavy Weapons to Ukraine'!$B36,'Bilateral Assistance, MAIN DATA'!$AO:$AO,'Share, Heavy Weapons to Ukraine'!AX$11)</f>
        <v>0</v>
      </c>
      <c r="AY36" s="410"/>
      <c r="AZ36" s="25">
        <f>SUMIFS('Bilateral Assistance, MAIN DATA'!$N:$N,'Bilateral Assistance, MAIN DATA'!$B:$B,'Share, Heavy Weapons to Ukraine'!$B36,'Bilateral Assistance, MAIN DATA'!$AO:$AO,'Share, Heavy Weapons to Ukraine'!AZ$11)</f>
        <v>0</v>
      </c>
      <c r="BA36" s="25">
        <f>SUMIFS('Bilateral Assistance, MAIN DATA'!$N:$N,'Bilateral Assistance, MAIN DATA'!$B:$B,'Share, Heavy Weapons to Ukraine'!$B36,'Bilateral Assistance, MAIN DATA'!$AO:$AO,'Share, Heavy Weapons to Ukraine'!BA$11)</f>
        <v>0</v>
      </c>
      <c r="BB36" s="25">
        <f>SUMIFS('Bilateral Assistance, MAIN DATA'!$N:$N,'Bilateral Assistance, MAIN DATA'!$B:$B,'Share, Heavy Weapons to Ukraine'!$B36,'Bilateral Assistance, MAIN DATA'!$AO:$AO,'Share, Heavy Weapons to Ukraine'!BB$11)</f>
        <v>0</v>
      </c>
      <c r="BC36" s="25">
        <f>SUMIFS('Bilateral Assistance, MAIN DATA'!$N:$N,'Bilateral Assistance, MAIN DATA'!$B:$B,'Share, Heavy Weapons to Ukraine'!$B36,'Bilateral Assistance, MAIN DATA'!$AO:$AO,'Share, Heavy Weapons to Ukraine'!BC$11)</f>
        <v>0</v>
      </c>
      <c r="BD36" s="25">
        <f>SUMIFS('Bilateral Assistance, MAIN DATA'!$N:$N,'Bilateral Assistance, MAIN DATA'!$B:$B,'Share, Heavy Weapons to Ukraine'!$B36,'Bilateral Assistance, MAIN DATA'!$AO:$AO,'Share, Heavy Weapons to Ukraine'!BD$11)</f>
        <v>30</v>
      </c>
      <c r="BE36" s="25">
        <f t="shared" si="2"/>
        <v>30</v>
      </c>
      <c r="BF36" s="25">
        <f>SUMIFS('Bilateral Assistance, MAIN DATA'!$N:$N,'Bilateral Assistance, MAIN DATA'!$B:$B,'Share, Heavy Weapons to Ukraine'!$B36,'Bilateral Assistance, MAIN DATA'!$AO:$AO,"155mm howitzer")+SUMIFS('Bilateral Assistance, MAIN DATA'!$N:$N,'Bilateral Assistance, MAIN DATA'!$B:$B,'Share, Heavy Weapons to Ukraine'!$B36,'Bilateral Assistance, MAIN DATA'!$AO:$AO,"152mm howitzer")</f>
        <v>0</v>
      </c>
      <c r="BG36" s="25">
        <f>SUMIFS('Bilateral Assistance, MAIN DATA'!$N:$N,'Bilateral Assistance, MAIN DATA'!$B:$B,'Share, Heavy Weapons to Ukraine'!$B36,'Bilateral Assistance, MAIN DATA'!$AO:$AO,"122mm MLRS")+SUMIFS('Bilateral Assistance, MAIN DATA'!$N:$N,'Bilateral Assistance, MAIN DATA'!$B:$B,'Share, Heavy Weapons to Ukraine'!$B36,'Bilateral Assistance, MAIN DATA'!$AO:$AO,"127mm MLRS")+SUMIFS('Bilateral Assistance, MAIN DATA'!$N:$N,'Bilateral Assistance, MAIN DATA'!$B:$B,'Share, Heavy Weapons to Ukraine'!$B36,'Bilateral Assistance, MAIN DATA'!$AO:$AO,"227mm MLRS")</f>
        <v>0</v>
      </c>
      <c r="BH36" s="25">
        <f>SUMIFS('Bilateral Assistance, MAIN DATA'!$N:$N,'Bilateral Assistance, MAIN DATA'!$B:$B,'Share, Heavy Weapons to Ukraine'!$B36,'Bilateral Assistance, MAIN DATA'!$AO:$AO,'Share, Heavy Weapons to Ukraine'!BH$11)</f>
        <v>0</v>
      </c>
      <c r="BI36" s="25">
        <f>SUMIFS('Bilateral Assistance, MAIN DATA'!$N:$N,'Bilateral Assistance, MAIN DATA'!$B:$B,'Share, Heavy Weapons to Ukraine'!$B36,'Bilateral Assistance, MAIN DATA'!$AO:$AO,'Share, Heavy Weapons to Ukraine'!BI$11)</f>
        <v>1</v>
      </c>
      <c r="BJ36" s="25">
        <f>SUMIFS('Bilateral Assistance, MAIN DATA'!$N:$N,'Bilateral Assistance, MAIN DATA'!$B:$B,'Share, Heavy Weapons to Ukraine'!$B36,'Bilateral Assistance, MAIN DATA'!$AO:$AO,'Share, Heavy Weapons to Ukraine'!BJ$11)</f>
        <v>0</v>
      </c>
      <c r="BK36" s="25">
        <f>SUMIFS('Bilateral Assistance, MAIN DATA'!$N:$N,'Bilateral Assistance, MAIN DATA'!$B:$B,'Share, Heavy Weapons to Ukraine'!$B36,'Bilateral Assistance, MAIN DATA'!$AO:$AO,'Share, Heavy Weapons to Ukraine'!BK$11)</f>
        <v>2</v>
      </c>
      <c r="BL36" s="25">
        <f>SUMIFS('Bilateral Assistance, MAIN DATA'!$N:$N,'Bilateral Assistance, MAIN DATA'!$B:$B,'Share, Heavy Weapons to Ukraine'!$B36,'Bilateral Assistance, MAIN DATA'!$AO:$AO,'Share, Heavy Weapons to Ukraine'!BL$11)</f>
        <v>0</v>
      </c>
      <c r="BM36" s="410"/>
      <c r="BN36" s="261">
        <f>IF(VLOOKUP($B36,$B:W,COLUMN(W35)-1,FALSE)&lt;&gt;0,VLOOKUP($B36,$B:AL,COLUMN(AL35)-1,FALSE)/VLOOKUP($B36,$B:W,COLUMN(W35)-1,FALSE),IF(VLOOKUP($B36,$B:AL,COLUMN(AL35)-1,FALSE)&lt;&gt;0,"unknown",0))</f>
        <v>0</v>
      </c>
      <c r="BO36" s="261">
        <f>IF(VLOOKUP($B36,$B:X,COLUMN(X35)-1,FALSE)&lt;&gt;0,VLOOKUP($B36,$B:AM,COLUMN(AM35)-1,FALSE)/VLOOKUP($B36,$B:X,COLUMN(X35)-1,FALSE),IF(VLOOKUP($B36,$B:AM,COLUMN(AM35)-1,FALSE)&lt;&gt;0,"unknown",0))</f>
        <v>0</v>
      </c>
      <c r="BP36" s="261">
        <f>IF(VLOOKUP($B36,$B:Y,COLUMN(Y35)-1,FALSE)&lt;&gt;0,VLOOKUP($B36,$B:AN,COLUMN(AN35)-1,FALSE)/VLOOKUP($B36,$B:Y,COLUMN(Y35)-1,FALSE),IF(VLOOKUP($B36,$B:AN,COLUMN(AN35)-1,FALSE)&lt;&gt;0,"unknown",0))</f>
        <v>0</v>
      </c>
      <c r="BQ36" s="261">
        <f>IF(VLOOKUP($B36,$B:Z,COLUMN(Z35)-1,FALSE)&lt;&gt;0,VLOOKUP($B36,$B:AO,COLUMN(AO35)-1,FALSE)/VLOOKUP($B36,$B:Z,COLUMN(Z35)-1,FALSE),IF(VLOOKUP($B36,$B:AO,COLUMN(AO35)-1,FALSE)&lt;&gt;0,"unknown",0))</f>
        <v>0</v>
      </c>
      <c r="BR36" s="261">
        <f>IF(VLOOKUP($B36,$B:AA,COLUMN(AA35)-1,FALSE)&lt;&gt;0,VLOOKUP($B36,$B:AP,COLUMN(AP35)-1,FALSE)/VLOOKUP($B36,$B:AA,COLUMN(AA35)-1,FALSE),IF(VLOOKUP($B36,$B:AP,COLUMN(AP35)-1,FALSE)&lt;&gt;0,"unknown",0))</f>
        <v>0.1171875</v>
      </c>
      <c r="BS36" s="261">
        <f>IF(VLOOKUP($B36,$B:AB,COLUMN(AB35)-1,FALSE)&lt;&gt;0,VLOOKUP($B36,$B:AQ,COLUMN(AQ35)-1,FALSE)/VLOOKUP($B36,$B:AB,COLUMN(AB35)-1,FALSE),IF(VLOOKUP($B36,$B:AQ,COLUMN(AQ35)-1,FALSE)&lt;&gt;0,"unknown",0))</f>
        <v>8.4033613445378158E-2</v>
      </c>
      <c r="BT36" s="261">
        <f>IF(VLOOKUP($B36,$B:AC,COLUMN(AC35)-1,FALSE)&lt;&gt;0,VLOOKUP($B36,$B:AR,COLUMN(AR35)-1,FALSE)/VLOOKUP($B36,$B:AC,COLUMN(AC35)-1,FALSE),IF(VLOOKUP($B36,$B:AR,COLUMN(AR35)-1,FALSE)&lt;&gt;0,"unknown",0))</f>
        <v>0</v>
      </c>
      <c r="BU36" s="261">
        <f>IF(VLOOKUP($B36,$B:AD,COLUMN(AD35)-1,FALSE)&lt;&gt;0,VLOOKUP($B36,$B:AS,COLUMN(AS35)-1,FALSE)/VLOOKUP($B36,$B:AD,COLUMN(AD35)-1,FALSE),IF(VLOOKUP($B36,$B:AS,COLUMN(AS35)-1,FALSE)&lt;&gt;0,"unknown",0))</f>
        <v>0</v>
      </c>
      <c r="BV36" s="261">
        <f>IF(VLOOKUP($B36,$B:AE,COLUMN(AE35)-1,FALSE)&lt;&gt;0,VLOOKUP($B36,$B:AT,COLUMN(AT35)-1,FALSE)/VLOOKUP($B36,$B:AE,COLUMN(AE35)-1,FALSE),IF(VLOOKUP($B36,$B:AT,COLUMN(AT35)-1,FALSE)&lt;&gt;0,"unknown",0))</f>
        <v>0</v>
      </c>
      <c r="BW36" s="261">
        <f>IF(VLOOKUP($B36,$B:AG,COLUMN(AG35)-1,FALSE)&lt;&gt;0,VLOOKUP($B36,$B:AU,COLUMN(AU35)-1,FALSE)/VLOOKUP($B36,$B:AG,COLUMN(AG35)-1,FALSE),IF(VLOOKUP($B36,$B:AU,COLUMN(AU35)-1,FALSE)&lt;&gt;0,"unknown",0))</f>
        <v>1</v>
      </c>
      <c r="BX36" s="261">
        <f>IF(VLOOKUP($B36,$B:AH,COLUMN(AH35)-1,FALSE)&lt;&gt;0,VLOOKUP($B36,$B:AV,COLUMN(AV35)-1,FALSE)/VLOOKUP($B36,$B:AH,COLUMN(AH35)-1,FALSE),IF(VLOOKUP($B36,$B:AV,COLUMN(AV35)-1,FALSE)&lt;&gt;0,"unknown",0))</f>
        <v>0</v>
      </c>
      <c r="BY36" s="261">
        <f>IF(VLOOKUP($B36,$B:AI,COLUMN(AI35)-1,FALSE)&lt;&gt;0,VLOOKUP($B36,$B:AW,COLUMN(AW35)-1,FALSE)/VLOOKUP($B36,$B:AI,COLUMN(AI35)-1,FALSE),IF(VLOOKUP($B36,$B:AW,COLUMN(AW35)-1,FALSE)&lt;&gt;0,"unknown",0))</f>
        <v>1</v>
      </c>
      <c r="BZ36" s="261">
        <f>IF(VLOOKUP($B36,$B:AJ,COLUMN(AJ35)-1,FALSE)&lt;&gt;0,VLOOKUP($B36,$B:AX,COLUMN(AX35)-1,FALSE)/VLOOKUP($B36,$B:AJ,COLUMN(AJ35)-1,FALSE),IF(VLOOKUP($B36,$B:AX,COLUMN(AX35)-1,FALSE)&lt;&gt;0,"unknown",0))</f>
        <v>0</v>
      </c>
      <c r="CA36" s="410"/>
      <c r="CB36" s="2">
        <f>IF(VLOOKUP($B36,$B:AM,COLUMN(W35)-1,FALSE)&lt;&gt;0,VLOOKUP($B36,$B:BA,COLUMN(AZ35)-1,FALSE)/VLOOKUP($B36,$B:AM,COLUMN(W35)-1,FALSE),IF(VLOOKUP($B36,$B:BA,COLUMN(AZ35)-1,FALSE)&lt;&gt;0,"unknown",0))</f>
        <v>0</v>
      </c>
      <c r="CC36" s="2">
        <f>IF(VLOOKUP($B36,$B:AN,COLUMN(X35)-1,FALSE)&lt;&gt;0,VLOOKUP($B36,$B:BB,COLUMN(BA35)-1,FALSE)/VLOOKUP($B36,$B:AN,COLUMN(X35)-1,FALSE),IF(VLOOKUP($B36,$B:BB,COLUMN(BA35)-1,FALSE)&lt;&gt;0,"unknown",0))</f>
        <v>0</v>
      </c>
      <c r="CD36" s="2">
        <f>IF(VLOOKUP($B36,$B:AO,COLUMN(Y35)-1,FALSE)&lt;&gt;0,VLOOKUP($B36,$B:BC,COLUMN(BB35)-1,FALSE)/VLOOKUP($B36,$B:AO,COLUMN(Y35)-1,FALSE),IF(VLOOKUP($B36,$B:BC,COLUMN(BB35)-1,FALSE)&lt;&gt;0,"unknown",0))</f>
        <v>0</v>
      </c>
      <c r="CE36" s="2">
        <f>IF(VLOOKUP($B36,$B:AP,COLUMN(Z35)-1,FALSE)&lt;&gt;0,VLOOKUP($B36,$B:BD,COLUMN(BC35)-1,FALSE)/VLOOKUP($B36,$B:AP,COLUMN(Z35)-1,FALSE),IF(VLOOKUP($B36,$B:BD,COLUMN(BC35)-1,FALSE)&lt;&gt;0,"unknown",0))</f>
        <v>0</v>
      </c>
      <c r="CF36" s="2">
        <f>IF(VLOOKUP($B36,$B:AR,COLUMN(AA35)-1,FALSE)&lt;&gt;0,VLOOKUP($B36,$B:BF,COLUMN(BD35)-1,FALSE)/VLOOKUP($B36,$B:AR,COLUMN(AA35)-1,FALSE),IF(VLOOKUP($B36,$B:BF,COLUMN(BD35)-1,FALSE)&lt;&gt;0,"unknown",0))</f>
        <v>0.1171875</v>
      </c>
      <c r="CG36" s="2">
        <f>IF(VLOOKUP($B36,$B:AS,COLUMN(AB35)-1,FALSE)&lt;&gt;0,VLOOKUP($B36,$B:BG,COLUMN(BE35)-1,FALSE)/VLOOKUP($B36,$B:AS,COLUMN(AB35)-1,FALSE),IF(VLOOKUP($B36,$B:BG,COLUMN(BE35)-1,FALSE)&lt;&gt;0,"unknown",0))</f>
        <v>8.4033613445378158E-2</v>
      </c>
      <c r="CH36" s="2">
        <f>IF(VLOOKUP($B36,$B:AS,COLUMN(AC35)-1,FALSE)&lt;&gt;0,VLOOKUP($B36,$B:BG,COLUMN(BF35)-1,FALSE)/VLOOKUP($B36,$B:AS,COLUMN(AC35)-1,FALSE),IF(VLOOKUP($B36,$B:BG,COLUMN(BF35)-1,FALSE)&lt;&gt;0,"unknown",0))</f>
        <v>0</v>
      </c>
      <c r="CI36" s="2">
        <f>IF(VLOOKUP($B36,$B:AT,COLUMN(AD35)-1,FALSE)&lt;&gt;0,VLOOKUP($B36,$B:BH,COLUMN(BG35)-1,FALSE)/VLOOKUP($B36,$B:AT,COLUMN(AD35)-1,FALSE),IF(VLOOKUP($B36,$B:BH,COLUMN(BG35)-1,FALSE)&lt;&gt;0,"unknown",0))</f>
        <v>0</v>
      </c>
      <c r="CJ36" s="2">
        <f>IF(VLOOKUP($B36,$B:AT,COLUMN(AE35)-1,FALSE)&lt;&gt;0,VLOOKUP($B36,$B:BH,COLUMN(BH35)-1,FALSE)/VLOOKUP($B36,$B:AT,COLUMN(AE35)-1,FALSE),IF(VLOOKUP($B36,$B:BH,COLUMN(BH35)-1,FALSE)&lt;&gt;0,"unknown",0))</f>
        <v>0</v>
      </c>
      <c r="CK36" s="2">
        <f>IF(VLOOKUP($B36,$B:AU,COLUMN(AG35)-1,FALSE)&lt;&gt;0,VLOOKUP($B36,$B:BI,COLUMN(BI35)-1,FALSE)/VLOOKUP($B36,$B:AU,COLUMN(AG35)-1,FALSE),IF(VLOOKUP($B36,$B:BI,COLUMN(BI35)-1,FALSE)&lt;&gt;0,"unknown",0))</f>
        <v>1</v>
      </c>
      <c r="CL36" s="2">
        <f>IF(VLOOKUP($B36,$B:AV,COLUMN(AH35)-1,FALSE)&lt;&gt;0,VLOOKUP($B36,$B:BJ,COLUMN(BJ35)-1,FALSE)/VLOOKUP($B36,$B:AV,COLUMN(AH35)-1,FALSE),IF(VLOOKUP($B36,$B:BJ,COLUMN(BJ35)-1,FALSE)&lt;&gt;0,"unknown",0))</f>
        <v>0</v>
      </c>
      <c r="CM36" s="2">
        <f>IF(VLOOKUP($B36,$B:AW,COLUMN(AI35)-1,FALSE)&lt;&gt;0,VLOOKUP($B36,$B:BK,COLUMN(BK35)-1,FALSE)/VLOOKUP($B36,$B:AW,COLUMN(AI35)-1,FALSE),IF(VLOOKUP($B36,$B:BK,COLUMN(BK35)-1,FALSE)&lt;&gt;0,"unknown",0))</f>
        <v>1</v>
      </c>
      <c r="CN36" s="2">
        <f>IF(VLOOKUP($B36,$B:AX,COLUMN(AJ35)-1,FALSE)&lt;&gt;0,VLOOKUP($B36,$B:BL,COLUMN(BL35)-1,FALSE)/VLOOKUP($B36,$B:AX,COLUMN(AJ35)-1,FALSE),IF(VLOOKUP($B36,$B:BL,COLUMN(BL35)-1,FALSE)&lt;&gt;0,"unknown",0))</f>
        <v>0</v>
      </c>
      <c r="CO36" s="410"/>
      <c r="CP36" s="2">
        <f>SUMIFS('Bilateral Assistance, MAIN DATA'!$M:$M,'Bilateral Assistance, MAIN DATA'!$B:$B,'Share, Heavy Weapons to Ukraine'!$B36,'Bilateral Assistance, MAIN DATA'!$AO:$AO,'Share, Heavy Weapons to Ukraine'!CP$11, 'Bilateral Assistance, MAIN DATA'!$AA:$AA,1)</f>
        <v>0</v>
      </c>
      <c r="CQ36" s="2">
        <f>SUMIFS('Bilateral Assistance, MAIN DATA'!$M:$M,'Bilateral Assistance, MAIN DATA'!$B:$B,'Share, Heavy Weapons to Ukraine'!$B36,'Bilateral Assistance, MAIN DATA'!$AO:$AO,'Share, Heavy Weapons to Ukraine'!CQ$11, 'Bilateral Assistance, MAIN DATA'!$AA:$AA,1)</f>
        <v>0</v>
      </c>
      <c r="CR36" s="2">
        <f>SUMIFS('Bilateral Assistance, MAIN DATA'!$M:$M,'Bilateral Assistance, MAIN DATA'!$B:$B,'Share, Heavy Weapons to Ukraine'!$B36,'Bilateral Assistance, MAIN DATA'!$AO:$AO,'Share, Heavy Weapons to Ukraine'!CR$11, 'Bilateral Assistance, MAIN DATA'!$AA:$AA,1)</f>
        <v>2</v>
      </c>
      <c r="CS36" s="2">
        <f>SUMIFS('Bilateral Assistance, MAIN DATA'!$M:$M,'Bilateral Assistance, MAIN DATA'!$B:$B,'Share, Heavy Weapons to Ukraine'!$B36,'Bilateral Assistance, MAIN DATA'!$AO:$AO,'Share, Heavy Weapons to Ukraine'!CS$11, 'Bilateral Assistance, MAIN DATA'!$AA:$AA,1)</f>
        <v>0</v>
      </c>
      <c r="CT36" s="410"/>
      <c r="CU36" s="2">
        <f>SUMIFS('Bilateral Assistance, MAIN DATA'!$N:$N,'Bilateral Assistance, MAIN DATA'!$B:$B,'Share, Heavy Weapons to Ukraine'!$B36,'Bilateral Assistance, MAIN DATA'!$AO:$AO,'Share, Heavy Weapons to Ukraine'!CU$11, 'Bilateral Assistance, MAIN DATA'!$AA:$AA,1)</f>
        <v>0</v>
      </c>
      <c r="CV36" s="2">
        <f>SUMIFS('Bilateral Assistance, MAIN DATA'!$N:$N,'Bilateral Assistance, MAIN DATA'!$B:$B,'Share, Heavy Weapons to Ukraine'!$B36,'Bilateral Assistance, MAIN DATA'!$AO:$AO,'Share, Heavy Weapons to Ukraine'!CV$11, 'Bilateral Assistance, MAIN DATA'!$AA:$AA,1)</f>
        <v>0</v>
      </c>
      <c r="CW36" s="2">
        <f>SUMIFS('Bilateral Assistance, MAIN DATA'!$N:$N,'Bilateral Assistance, MAIN DATA'!$B:$B,'Share, Heavy Weapons to Ukraine'!$B36,'Bilateral Assistance, MAIN DATA'!$AO:$AO,'Share, Heavy Weapons to Ukraine'!CW$11, 'Bilateral Assistance, MAIN DATA'!$AA:$AA,1)</f>
        <v>2</v>
      </c>
      <c r="CX36" s="2">
        <f>SUMIFS('Bilateral Assistance, MAIN DATA'!$N:$N,'Bilateral Assistance, MAIN DATA'!$B:$B,'Share, Heavy Weapons to Ukraine'!$B36,'Bilateral Assistance, MAIN DATA'!$AO:$AO,'Share, Heavy Weapons to Ukraine'!CX$11, 'Bilateral Assistance, MAIN DATA'!$AA:$AA,1)</f>
        <v>0</v>
      </c>
    </row>
    <row r="37" spans="2:102" ht="15.6">
      <c r="B37" s="409" t="s">
        <v>673</v>
      </c>
      <c r="C37" s="409">
        <v>0</v>
      </c>
      <c r="D37" s="2">
        <v>1</v>
      </c>
      <c r="E37" s="410"/>
      <c r="F37" s="569" t="s">
        <v>364</v>
      </c>
      <c r="G37" s="569" t="s">
        <v>364</v>
      </c>
      <c r="H37" s="569" t="s">
        <v>364</v>
      </c>
      <c r="I37" s="569" t="s">
        <v>364</v>
      </c>
      <c r="J37" s="569" t="s">
        <v>364</v>
      </c>
      <c r="K37" s="569" t="s">
        <v>364</v>
      </c>
      <c r="L37" s="569" t="s">
        <v>364</v>
      </c>
      <c r="M37" s="569" t="s">
        <v>364</v>
      </c>
      <c r="N37" s="569" t="s">
        <v>364</v>
      </c>
      <c r="O37" s="569" t="s">
        <v>364</v>
      </c>
      <c r="P37" s="569" t="s">
        <v>364</v>
      </c>
      <c r="Q37" s="569" t="s">
        <v>364</v>
      </c>
      <c r="R37" s="569" t="s">
        <v>364</v>
      </c>
      <c r="S37" s="569" t="s">
        <v>364</v>
      </c>
      <c r="T37" s="569" t="s">
        <v>364</v>
      </c>
      <c r="U37" s="410" t="str">
        <f>""</f>
        <v/>
      </c>
      <c r="V37" s="1334">
        <v>1.28</v>
      </c>
      <c r="W37" s="1334">
        <f>VLOOKUP(B37,'Heavy Weapon Stocks'!B:OA,COLUMN('Heavy Weapon Stocks'!$C$11)-1,FALSE)+IF(F37&lt;&gt;".",F37,0)</f>
        <v>90</v>
      </c>
      <c r="X37" s="1334">
        <f>VLOOKUP(B37,'Heavy Weapon Stocks'!B:OA,COLUMN('Heavy Weapon Stocks'!$AQ$11)-1,FALSE)</f>
        <v>120</v>
      </c>
      <c r="Y37" s="1334">
        <f>VLOOKUP(B37,'Heavy Weapon Stocks'!B:OA,COLUMN('Heavy Weapon Stocks'!$DK$11)-1,FALSE)</f>
        <v>0</v>
      </c>
      <c r="Z37" s="1334">
        <f>VLOOKUP(B37,'Heavy Weapon Stocks'!B:OA,COLUMN('Heavy Weapon Stocks'!$DY$11)-1,FALSE)</f>
        <v>44</v>
      </c>
      <c r="AA37" s="1334">
        <f>VLOOKUP(B37,'Heavy Weapon Stocks'!B:OA,COLUMN('Heavy Weapon Stocks'!$FA$11)-1,FALSE)+IF(G37&lt;&gt;".",G37,0)</f>
        <v>160</v>
      </c>
      <c r="AB37" s="1334">
        <f t="shared" si="3"/>
        <v>324</v>
      </c>
      <c r="AC37" s="1334">
        <f>VLOOKUP(B37,'Heavy Weapon Stocks'!B:OA,COLUMN('Heavy Weapon Stocks'!$GV$11)-1,FALSE)+VLOOKUP(B37,'Heavy Weapon Stocks'!B:OA,COLUMN('Heavy Weapon Stocks'!$HY$11)-1,FALSE)+IF(H37&lt;&gt;".",H37,0)</f>
        <v>24</v>
      </c>
      <c r="AD37" s="1334">
        <f>VLOOKUP(B37,'Heavy Weapon Stocks'!B:OA,COLUMN('Heavy Weapon Stocks'!$IF$11)-1,FALSE)+IF(I37&lt;&gt;".",I37,0)</f>
        <v>24</v>
      </c>
      <c r="AE37" s="1334">
        <f>VLOOKUP(B37,'Heavy Weapon Stocks'!B:OA,COLUMN('Heavy Weapon Stocks'!$IZ$11)-1,FALSE)+VLOOKUP(B37,'Heavy Weapon Stocks'!B:OA,COLUMN('Heavy Weapon Stocks'!$JW$11)-1,FALSE)</f>
        <v>14</v>
      </c>
      <c r="AF37" s="1334">
        <f>VLOOKUP(B37,'Heavy Weapon Stocks'!B:OA,COLUMN('Heavy Weapon Stocks'!$NL$11)-1,FALSE)+IF(L37&lt;&gt;".",L37,0)</f>
        <v>24</v>
      </c>
      <c r="AG37" s="1334">
        <f>VLOOKUP(B37,'Heavy Weapon Stocks'!B:OA,COLUMN('Heavy Weapon Stocks'!$LN$11)-1,FALSE)+IF(M37&lt;&gt;".",M37,0)</f>
        <v>20</v>
      </c>
      <c r="AH37" s="1334">
        <f>VLOOKUP(B37,'Heavy Weapon Stocks'!B:OA,COLUMN('Heavy Weapon Stocks'!$LX$11)-1,FALSE)+IF(N37&lt;&gt;".",N37,0)</f>
        <v>0</v>
      </c>
      <c r="AI37" s="1334">
        <f>VLOOKUP(B37,'Heavy Weapon Stocks'!B:OA,COLUMN('Heavy Weapon Stocks'!$ME$11)-1,FALSE)+IF(O37&lt;&gt;".",O37,0)</f>
        <v>0</v>
      </c>
      <c r="AJ37" s="1334">
        <f>VLOOKUP(B37,'Heavy Weapon Stocks'!B:OA,COLUMN('Heavy Weapon Stocks'!$NK$11)-1,FALSE)+IF(P37&lt;&gt;".",P37,0)</f>
        <v>24</v>
      </c>
      <c r="AK37" s="410"/>
      <c r="AL37" s="25">
        <f>SUMIFS('Bilateral Assistance, MAIN DATA'!$M:$M,'Bilateral Assistance, MAIN DATA'!$B:$B,'Share, Heavy Weapons to Ukraine'!$B37,'Bilateral Assistance, MAIN DATA'!$AO:$AO,'Share, Heavy Weapons to Ukraine'!AL$11)</f>
        <v>0</v>
      </c>
      <c r="AM37" s="25">
        <f>SUMIFS('Bilateral Assistance, MAIN DATA'!$M:$M,'Bilateral Assistance, MAIN DATA'!$B:$B,'Share, Heavy Weapons to Ukraine'!$B37,'Bilateral Assistance, MAIN DATA'!$AO:$AO,'Share, Heavy Weapons to Ukraine'!AM$11)</f>
        <v>0</v>
      </c>
      <c r="AN37" s="25">
        <f>SUMIFS('Bilateral Assistance, MAIN DATA'!$M:$M,'Bilateral Assistance, MAIN DATA'!$B:$B,'Share, Heavy Weapons to Ukraine'!$B37,'Bilateral Assistance, MAIN DATA'!$AO:$AO,'Share, Heavy Weapons to Ukraine'!AN$11)</f>
        <v>0</v>
      </c>
      <c r="AO37" s="25">
        <f>SUMIFS('Bilateral Assistance, MAIN DATA'!$M:$M,'Bilateral Assistance, MAIN DATA'!$B:$B,'Share, Heavy Weapons to Ukraine'!$B37,'Bilateral Assistance, MAIN DATA'!$AO:$AO,'Share, Heavy Weapons to Ukraine'!AO$11)</f>
        <v>0</v>
      </c>
      <c r="AP37" s="25">
        <f>SUMIFS('Bilateral Assistance, MAIN DATA'!$M:$M,'Bilateral Assistance, MAIN DATA'!$B:$B,'Share, Heavy Weapons to Ukraine'!$B37,'Bilateral Assistance, MAIN DATA'!$AO:$AO,'Share, Heavy Weapons to Ukraine'!AP$11)</f>
        <v>0</v>
      </c>
      <c r="AQ37" s="25">
        <f t="shared" si="1"/>
        <v>0</v>
      </c>
      <c r="AR37" s="25">
        <f>SUMIFS('Bilateral Assistance, MAIN DATA'!$M:$M,'Bilateral Assistance, MAIN DATA'!$B:$B,'Share, Heavy Weapons to Ukraine'!$B37,'Bilateral Assistance, MAIN DATA'!$AO:$AO,"155mm howitzer")+SUMIFS('Bilateral Assistance, MAIN DATA'!$M:$M,'Bilateral Assistance, MAIN DATA'!$B:$B,'Share, Heavy Weapons to Ukraine'!$B37,'Bilateral Assistance, MAIN DATA'!$AO:$AO,"152mm howitzer")</f>
        <v>0</v>
      </c>
      <c r="AS37" s="25">
        <f>SUMIFS('Bilateral Assistance, MAIN DATA'!$M:$M,'Bilateral Assistance, MAIN DATA'!$B:$B,'Share, Heavy Weapons to Ukraine'!$B37,'Bilateral Assistance, MAIN DATA'!$AO:$AO,"122mm MLRS")+SUMIFS('Bilateral Assistance, MAIN DATA'!$M:$M,'Bilateral Assistance, MAIN DATA'!$B:$B,'Share, Heavy Weapons to Ukraine'!$B37,'Bilateral Assistance, MAIN DATA'!$AO:$AO,"127mm MLRS")+SUMIFS('Bilateral Assistance, MAIN DATA'!$M:$M,'Bilateral Assistance, MAIN DATA'!$B:$B,'Share, Heavy Weapons to Ukraine'!$B37,'Bilateral Assistance, MAIN DATA'!$AO:$AO,"227mm MLRS")</f>
        <v>0</v>
      </c>
      <c r="AT37" s="25">
        <f>SUMIFS('Bilateral Assistance, MAIN DATA'!$M:$M,'Bilateral Assistance, MAIN DATA'!$B:$B,'Share, Heavy Weapons to Ukraine'!$B37,'Bilateral Assistance, MAIN DATA'!$AO:$AO,'Share, Heavy Weapons to Ukraine'!AT$11)</f>
        <v>0</v>
      </c>
      <c r="AU37" s="25">
        <f>SUMIFS('Bilateral Assistance, MAIN DATA'!$M:$M,'Bilateral Assistance, MAIN DATA'!$B:$B,'Share, Heavy Weapons to Ukraine'!$B37,'Bilateral Assistance, MAIN DATA'!$AO:$AO,'Share, Heavy Weapons to Ukraine'!AU$11)</f>
        <v>0</v>
      </c>
      <c r="AV37" s="25">
        <f>SUMIFS('Bilateral Assistance, MAIN DATA'!$M:$M,'Bilateral Assistance, MAIN DATA'!$B:$B,'Share, Heavy Weapons to Ukraine'!$B37,'Bilateral Assistance, MAIN DATA'!$AO:$AO,'Share, Heavy Weapons to Ukraine'!AV$11)</f>
        <v>0</v>
      </c>
      <c r="AW37" s="25">
        <f>SUMIFS('Bilateral Assistance, MAIN DATA'!$M:$M,'Bilateral Assistance, MAIN DATA'!$B:$B,'Share, Heavy Weapons to Ukraine'!$B37,'Bilateral Assistance, MAIN DATA'!$AO:$AO,'Share, Heavy Weapons to Ukraine'!AW$11)</f>
        <v>0</v>
      </c>
      <c r="AX37" s="25">
        <f>SUMIFS('Bilateral Assistance, MAIN DATA'!$M:$M,'Bilateral Assistance, MAIN DATA'!$B:$B,'Share, Heavy Weapons to Ukraine'!$B37,'Bilateral Assistance, MAIN DATA'!$AO:$AO,'Share, Heavy Weapons to Ukraine'!AX$11)</f>
        <v>0</v>
      </c>
      <c r="AY37" s="410"/>
      <c r="AZ37" s="25">
        <f>SUMIFS('Bilateral Assistance, MAIN DATA'!$N:$N,'Bilateral Assistance, MAIN DATA'!$B:$B,'Share, Heavy Weapons to Ukraine'!$B37,'Bilateral Assistance, MAIN DATA'!$AO:$AO,'Share, Heavy Weapons to Ukraine'!AZ$11)</f>
        <v>0</v>
      </c>
      <c r="BA37" s="25">
        <f>SUMIFS('Bilateral Assistance, MAIN DATA'!$N:$N,'Bilateral Assistance, MAIN DATA'!$B:$B,'Share, Heavy Weapons to Ukraine'!$B37,'Bilateral Assistance, MAIN DATA'!$AO:$AO,'Share, Heavy Weapons to Ukraine'!BA$11)</f>
        <v>0</v>
      </c>
      <c r="BB37" s="25">
        <f>SUMIFS('Bilateral Assistance, MAIN DATA'!$N:$N,'Bilateral Assistance, MAIN DATA'!$B:$B,'Share, Heavy Weapons to Ukraine'!$B37,'Bilateral Assistance, MAIN DATA'!$AO:$AO,'Share, Heavy Weapons to Ukraine'!BB$11)</f>
        <v>0</v>
      </c>
      <c r="BC37" s="25">
        <f>SUMIFS('Bilateral Assistance, MAIN DATA'!$N:$N,'Bilateral Assistance, MAIN DATA'!$B:$B,'Share, Heavy Weapons to Ukraine'!$B37,'Bilateral Assistance, MAIN DATA'!$AO:$AO,'Share, Heavy Weapons to Ukraine'!BC$11)</f>
        <v>0</v>
      </c>
      <c r="BD37" s="25">
        <f>SUMIFS('Bilateral Assistance, MAIN DATA'!$N:$N,'Bilateral Assistance, MAIN DATA'!$B:$B,'Share, Heavy Weapons to Ukraine'!$B37,'Bilateral Assistance, MAIN DATA'!$AO:$AO,'Share, Heavy Weapons to Ukraine'!BD$11)</f>
        <v>0</v>
      </c>
      <c r="BE37" s="25">
        <f t="shared" si="2"/>
        <v>0</v>
      </c>
      <c r="BF37" s="25">
        <f>SUMIFS('Bilateral Assistance, MAIN DATA'!$N:$N,'Bilateral Assistance, MAIN DATA'!$B:$B,'Share, Heavy Weapons to Ukraine'!$B37,'Bilateral Assistance, MAIN DATA'!$AO:$AO,"155mm howitzer")+SUMIFS('Bilateral Assistance, MAIN DATA'!$N:$N,'Bilateral Assistance, MAIN DATA'!$B:$B,'Share, Heavy Weapons to Ukraine'!$B37,'Bilateral Assistance, MAIN DATA'!$AO:$AO,"152mm howitzer")</f>
        <v>0</v>
      </c>
      <c r="BG37" s="25">
        <f>SUMIFS('Bilateral Assistance, MAIN DATA'!$N:$N,'Bilateral Assistance, MAIN DATA'!$B:$B,'Share, Heavy Weapons to Ukraine'!$B37,'Bilateral Assistance, MAIN DATA'!$AO:$AO,"122mm MLRS")+SUMIFS('Bilateral Assistance, MAIN DATA'!$N:$N,'Bilateral Assistance, MAIN DATA'!$B:$B,'Share, Heavy Weapons to Ukraine'!$B37,'Bilateral Assistance, MAIN DATA'!$AO:$AO,"127mm MLRS")+SUMIFS('Bilateral Assistance, MAIN DATA'!$N:$N,'Bilateral Assistance, MAIN DATA'!$B:$B,'Share, Heavy Weapons to Ukraine'!$B37,'Bilateral Assistance, MAIN DATA'!$AO:$AO,"227mm MLRS")</f>
        <v>0</v>
      </c>
      <c r="BH37" s="25">
        <f>SUMIFS('Bilateral Assistance, MAIN DATA'!$N:$N,'Bilateral Assistance, MAIN DATA'!$B:$B,'Share, Heavy Weapons to Ukraine'!$B37,'Bilateral Assistance, MAIN DATA'!$AO:$AO,'Share, Heavy Weapons to Ukraine'!BH$11)</f>
        <v>0</v>
      </c>
      <c r="BI37" s="25">
        <f>SUMIFS('Bilateral Assistance, MAIN DATA'!$N:$N,'Bilateral Assistance, MAIN DATA'!$B:$B,'Share, Heavy Weapons to Ukraine'!$B37,'Bilateral Assistance, MAIN DATA'!$AO:$AO,'Share, Heavy Weapons to Ukraine'!BI$11)</f>
        <v>0</v>
      </c>
      <c r="BJ37" s="25">
        <f>SUMIFS('Bilateral Assistance, MAIN DATA'!$N:$N,'Bilateral Assistance, MAIN DATA'!$B:$B,'Share, Heavy Weapons to Ukraine'!$B37,'Bilateral Assistance, MAIN DATA'!$AO:$AO,'Share, Heavy Weapons to Ukraine'!BJ$11)</f>
        <v>0</v>
      </c>
      <c r="BK37" s="25">
        <f>SUMIFS('Bilateral Assistance, MAIN DATA'!$N:$N,'Bilateral Assistance, MAIN DATA'!$B:$B,'Share, Heavy Weapons to Ukraine'!$B37,'Bilateral Assistance, MAIN DATA'!$AO:$AO,'Share, Heavy Weapons to Ukraine'!BK$11)</f>
        <v>0</v>
      </c>
      <c r="BL37" s="25">
        <f>SUMIFS('Bilateral Assistance, MAIN DATA'!$N:$N,'Bilateral Assistance, MAIN DATA'!$B:$B,'Share, Heavy Weapons to Ukraine'!$B37,'Bilateral Assistance, MAIN DATA'!$AO:$AO,'Share, Heavy Weapons to Ukraine'!BL$11)</f>
        <v>0</v>
      </c>
      <c r="BM37" s="410"/>
      <c r="BN37" s="261">
        <f>IF(VLOOKUP($B37,$B:W,COLUMN(W36)-1,FALSE)&lt;&gt;0,VLOOKUP($B37,$B:AL,COLUMN(AL36)-1,FALSE)/VLOOKUP($B37,$B:W,COLUMN(W36)-1,FALSE),IF(VLOOKUP($B37,$B:AL,COLUMN(AL36)-1,FALSE)&lt;&gt;0,"unknown",0))</f>
        <v>0</v>
      </c>
      <c r="BO37" s="261">
        <f>IF(VLOOKUP($B37,$B:X,COLUMN(X36)-1,FALSE)&lt;&gt;0,VLOOKUP($B37,$B:AM,COLUMN(AM36)-1,FALSE)/VLOOKUP($B37,$B:X,COLUMN(X36)-1,FALSE),IF(VLOOKUP($B37,$B:AM,COLUMN(AM36)-1,FALSE)&lt;&gt;0,"unknown",0))</f>
        <v>0</v>
      </c>
      <c r="BP37" s="261">
        <f>IF(VLOOKUP($B37,$B:Y,COLUMN(Y36)-1,FALSE)&lt;&gt;0,VLOOKUP($B37,$B:AN,COLUMN(AN36)-1,FALSE)/VLOOKUP($B37,$B:Y,COLUMN(Y36)-1,FALSE),IF(VLOOKUP($B37,$B:AN,COLUMN(AN36)-1,FALSE)&lt;&gt;0,"unknown",0))</f>
        <v>0</v>
      </c>
      <c r="BQ37" s="261">
        <f>IF(VLOOKUP($B37,$B:Z,COLUMN(Z36)-1,FALSE)&lt;&gt;0,VLOOKUP($B37,$B:AO,COLUMN(AO36)-1,FALSE)/VLOOKUP($B37,$B:Z,COLUMN(Z36)-1,FALSE),IF(VLOOKUP($B37,$B:AO,COLUMN(AO36)-1,FALSE)&lt;&gt;0,"unknown",0))</f>
        <v>0</v>
      </c>
      <c r="BR37" s="261">
        <f>IF(VLOOKUP($B37,$B:AA,COLUMN(AA36)-1,FALSE)&lt;&gt;0,VLOOKUP($B37,$B:AP,COLUMN(AP36)-1,FALSE)/VLOOKUP($B37,$B:AA,COLUMN(AA36)-1,FALSE),IF(VLOOKUP($B37,$B:AP,COLUMN(AP36)-1,FALSE)&lt;&gt;0,"unknown",0))</f>
        <v>0</v>
      </c>
      <c r="BS37" s="261">
        <f>IF(VLOOKUP($B37,$B:AB,COLUMN(AB36)-1,FALSE)&lt;&gt;0,VLOOKUP($B37,$B:AQ,COLUMN(AQ36)-1,FALSE)/VLOOKUP($B37,$B:AB,COLUMN(AB36)-1,FALSE),IF(VLOOKUP($B37,$B:AQ,COLUMN(AQ36)-1,FALSE)&lt;&gt;0,"unknown",0))</f>
        <v>0</v>
      </c>
      <c r="BT37" s="261">
        <f>IF(VLOOKUP($B37,$B:AC,COLUMN(AC36)-1,FALSE)&lt;&gt;0,VLOOKUP($B37,$B:AR,COLUMN(AR36)-1,FALSE)/VLOOKUP($B37,$B:AC,COLUMN(AC36)-1,FALSE),IF(VLOOKUP($B37,$B:AR,COLUMN(AR36)-1,FALSE)&lt;&gt;0,"unknown",0))</f>
        <v>0</v>
      </c>
      <c r="BU37" s="261">
        <f>IF(VLOOKUP($B37,$B:AD,COLUMN(AD36)-1,FALSE)&lt;&gt;0,VLOOKUP($B37,$B:AS,COLUMN(AS36)-1,FALSE)/VLOOKUP($B37,$B:AD,COLUMN(AD36)-1,FALSE),IF(VLOOKUP($B37,$B:AS,COLUMN(AS36)-1,FALSE)&lt;&gt;0,"unknown",0))</f>
        <v>0</v>
      </c>
      <c r="BV37" s="261">
        <f>IF(VLOOKUP($B37,$B:AE,COLUMN(AE36)-1,FALSE)&lt;&gt;0,VLOOKUP($B37,$B:AT,COLUMN(AT36)-1,FALSE)/VLOOKUP($B37,$B:AE,COLUMN(AE36)-1,FALSE),IF(VLOOKUP($B37,$B:AT,COLUMN(AT36)-1,FALSE)&lt;&gt;0,"unknown",0))</f>
        <v>0</v>
      </c>
      <c r="BW37" s="261">
        <f>IF(VLOOKUP($B37,$B:AG,COLUMN(AG36)-1,FALSE)&lt;&gt;0,VLOOKUP($B37,$B:AU,COLUMN(AU36)-1,FALSE)/VLOOKUP($B37,$B:AG,COLUMN(AG36)-1,FALSE),IF(VLOOKUP($B37,$B:AU,COLUMN(AU36)-1,FALSE)&lt;&gt;0,"unknown",0))</f>
        <v>0</v>
      </c>
      <c r="BX37" s="261">
        <f>IF(VLOOKUP($B37,$B:AH,COLUMN(AH36)-1,FALSE)&lt;&gt;0,VLOOKUP($B37,$B:AV,COLUMN(AV36)-1,FALSE)/VLOOKUP($B37,$B:AH,COLUMN(AH36)-1,FALSE),IF(VLOOKUP($B37,$B:AV,COLUMN(AV36)-1,FALSE)&lt;&gt;0,"unknown",0))</f>
        <v>0</v>
      </c>
      <c r="BY37" s="261">
        <f>IF(VLOOKUP($B37,$B:AI,COLUMN(AI36)-1,FALSE)&lt;&gt;0,VLOOKUP($B37,$B:AW,COLUMN(AW36)-1,FALSE)/VLOOKUP($B37,$B:AI,COLUMN(AI36)-1,FALSE),IF(VLOOKUP($B37,$B:AW,COLUMN(AW36)-1,FALSE)&lt;&gt;0,"unknown",0))</f>
        <v>0</v>
      </c>
      <c r="BZ37" s="261">
        <f>IF(VLOOKUP($B37,$B:AJ,COLUMN(AJ36)-1,FALSE)&lt;&gt;0,VLOOKUP($B37,$B:AX,COLUMN(AX36)-1,FALSE)/VLOOKUP($B37,$B:AJ,COLUMN(AJ36)-1,FALSE),IF(VLOOKUP($B37,$B:AX,COLUMN(AX36)-1,FALSE)&lt;&gt;0,"unknown",0))</f>
        <v>0</v>
      </c>
      <c r="CA37" s="410"/>
      <c r="CB37" s="2">
        <f>IF(VLOOKUP($B37,$B:AM,COLUMN(W36)-1,FALSE)&lt;&gt;0,VLOOKUP($B37,$B:BA,COLUMN(AZ36)-1,FALSE)/VLOOKUP($B37,$B:AM,COLUMN(W36)-1,FALSE),IF(VLOOKUP($B37,$B:BA,COLUMN(AZ36)-1,FALSE)&lt;&gt;0,"unknown",0))</f>
        <v>0</v>
      </c>
      <c r="CC37" s="2">
        <f>IF(VLOOKUP($B37,$B:AN,COLUMN(X36)-1,FALSE)&lt;&gt;0,VLOOKUP($B37,$B:BB,COLUMN(BA36)-1,FALSE)/VLOOKUP($B37,$B:AN,COLUMN(X36)-1,FALSE),IF(VLOOKUP($B37,$B:BB,COLUMN(BA36)-1,FALSE)&lt;&gt;0,"unknown",0))</f>
        <v>0</v>
      </c>
      <c r="CD37" s="2">
        <f>IF(VLOOKUP($B37,$B:AO,COLUMN(Y36)-1,FALSE)&lt;&gt;0,VLOOKUP($B37,$B:BC,COLUMN(BB36)-1,FALSE)/VLOOKUP($B37,$B:AO,COLUMN(Y36)-1,FALSE),IF(VLOOKUP($B37,$B:BC,COLUMN(BB36)-1,FALSE)&lt;&gt;0,"unknown",0))</f>
        <v>0</v>
      </c>
      <c r="CE37" s="2">
        <f>IF(VLOOKUP($B37,$B:AP,COLUMN(Z36)-1,FALSE)&lt;&gt;0,VLOOKUP($B37,$B:BD,COLUMN(BC36)-1,FALSE)/VLOOKUP($B37,$B:AP,COLUMN(Z36)-1,FALSE),IF(VLOOKUP($B37,$B:BD,COLUMN(BC36)-1,FALSE)&lt;&gt;0,"unknown",0))</f>
        <v>0</v>
      </c>
      <c r="CF37" s="2">
        <f>IF(VLOOKUP($B37,$B:AR,COLUMN(AA36)-1,FALSE)&lt;&gt;0,VLOOKUP($B37,$B:BF,COLUMN(BD36)-1,FALSE)/VLOOKUP($B37,$B:AR,COLUMN(AA36)-1,FALSE),IF(VLOOKUP($B37,$B:BF,COLUMN(BD36)-1,FALSE)&lt;&gt;0,"unknown",0))</f>
        <v>0</v>
      </c>
      <c r="CG37" s="2">
        <f>IF(VLOOKUP($B37,$B:AS,COLUMN(AB36)-1,FALSE)&lt;&gt;0,VLOOKUP($B37,$B:BG,COLUMN(BE36)-1,FALSE)/VLOOKUP($B37,$B:AS,COLUMN(AB36)-1,FALSE),IF(VLOOKUP($B37,$B:BG,COLUMN(BE36)-1,FALSE)&lt;&gt;0,"unknown",0))</f>
        <v>0</v>
      </c>
      <c r="CH37" s="2">
        <f>IF(VLOOKUP($B37,$B:AS,COLUMN(AC36)-1,FALSE)&lt;&gt;0,VLOOKUP($B37,$B:BG,COLUMN(BF36)-1,FALSE)/VLOOKUP($B37,$B:AS,COLUMN(AC36)-1,FALSE),IF(VLOOKUP($B37,$B:BG,COLUMN(BF36)-1,FALSE)&lt;&gt;0,"unknown",0))</f>
        <v>0</v>
      </c>
      <c r="CI37" s="2">
        <f>IF(VLOOKUP($B37,$B:AT,COLUMN(AD36)-1,FALSE)&lt;&gt;0,VLOOKUP($B37,$B:BH,COLUMN(BG36)-1,FALSE)/VLOOKUP($B37,$B:AT,COLUMN(AD36)-1,FALSE),IF(VLOOKUP($B37,$B:BH,COLUMN(BG36)-1,FALSE)&lt;&gt;0,"unknown",0))</f>
        <v>0</v>
      </c>
      <c r="CJ37" s="2">
        <f>IF(VLOOKUP($B37,$B:AT,COLUMN(AE36)-1,FALSE)&lt;&gt;0,VLOOKUP($B37,$B:BH,COLUMN(BH36)-1,FALSE)/VLOOKUP($B37,$B:AT,COLUMN(AE36)-1,FALSE),IF(VLOOKUP($B37,$B:BH,COLUMN(BH36)-1,FALSE)&lt;&gt;0,"unknown",0))</f>
        <v>0</v>
      </c>
      <c r="CK37" s="2">
        <f>IF(VLOOKUP($B37,$B:AU,COLUMN(AG36)-1,FALSE)&lt;&gt;0,VLOOKUP($B37,$B:BI,COLUMN(BI36)-1,FALSE)/VLOOKUP($B37,$B:AU,COLUMN(AG36)-1,FALSE),IF(VLOOKUP($B37,$B:BI,COLUMN(BI36)-1,FALSE)&lt;&gt;0,"unknown",0))</f>
        <v>0</v>
      </c>
      <c r="CL37" s="2">
        <f>IF(VLOOKUP($B37,$B:AV,COLUMN(AH36)-1,FALSE)&lt;&gt;0,VLOOKUP($B37,$B:BJ,COLUMN(BJ36)-1,FALSE)/VLOOKUP($B37,$B:AV,COLUMN(AH36)-1,FALSE),IF(VLOOKUP($B37,$B:BJ,COLUMN(BJ36)-1,FALSE)&lt;&gt;0,"unknown",0))</f>
        <v>0</v>
      </c>
      <c r="CM37" s="2">
        <f>IF(VLOOKUP($B37,$B:AW,COLUMN(AI36)-1,FALSE)&lt;&gt;0,VLOOKUP($B37,$B:BK,COLUMN(BK36)-1,FALSE)/VLOOKUP($B37,$B:AW,COLUMN(AI36)-1,FALSE),IF(VLOOKUP($B37,$B:BK,COLUMN(BK36)-1,FALSE)&lt;&gt;0,"unknown",0))</f>
        <v>0</v>
      </c>
      <c r="CN37" s="2">
        <f>IF(VLOOKUP($B37,$B:AX,COLUMN(AJ36)-1,FALSE)&lt;&gt;0,VLOOKUP($B37,$B:BL,COLUMN(BL36)-1,FALSE)/VLOOKUP($B37,$B:AX,COLUMN(AJ36)-1,FALSE),IF(VLOOKUP($B37,$B:BL,COLUMN(BL36)-1,FALSE)&lt;&gt;0,"unknown",0))</f>
        <v>0</v>
      </c>
      <c r="CO37" s="410"/>
      <c r="CP37" s="2">
        <f>SUMIFS('Bilateral Assistance, MAIN DATA'!$M:$M,'Bilateral Assistance, MAIN DATA'!$B:$B,'Share, Heavy Weapons to Ukraine'!$B37,'Bilateral Assistance, MAIN DATA'!$AO:$AO,'Share, Heavy Weapons to Ukraine'!CP$11, 'Bilateral Assistance, MAIN DATA'!$AA:$AA,1)</f>
        <v>0</v>
      </c>
      <c r="CQ37" s="2">
        <f>SUMIFS('Bilateral Assistance, MAIN DATA'!$M:$M,'Bilateral Assistance, MAIN DATA'!$B:$B,'Share, Heavy Weapons to Ukraine'!$B37,'Bilateral Assistance, MAIN DATA'!$AO:$AO,'Share, Heavy Weapons to Ukraine'!CQ$11, 'Bilateral Assistance, MAIN DATA'!$AA:$AA,1)</f>
        <v>0</v>
      </c>
      <c r="CR37" s="2">
        <f>SUMIFS('Bilateral Assistance, MAIN DATA'!$M:$M,'Bilateral Assistance, MAIN DATA'!$B:$B,'Share, Heavy Weapons to Ukraine'!$B37,'Bilateral Assistance, MAIN DATA'!$AO:$AO,'Share, Heavy Weapons to Ukraine'!CR$11, 'Bilateral Assistance, MAIN DATA'!$AA:$AA,1)</f>
        <v>0</v>
      </c>
      <c r="CS37" s="2">
        <f>SUMIFS('Bilateral Assistance, MAIN DATA'!$M:$M,'Bilateral Assistance, MAIN DATA'!$B:$B,'Share, Heavy Weapons to Ukraine'!$B37,'Bilateral Assistance, MAIN DATA'!$AO:$AO,'Share, Heavy Weapons to Ukraine'!CS$11, 'Bilateral Assistance, MAIN DATA'!$AA:$AA,1)</f>
        <v>0</v>
      </c>
      <c r="CT37" s="410"/>
      <c r="CU37" s="2">
        <f>SUMIFS('Bilateral Assistance, MAIN DATA'!$N:$N,'Bilateral Assistance, MAIN DATA'!$B:$B,'Share, Heavy Weapons to Ukraine'!$B37,'Bilateral Assistance, MAIN DATA'!$AO:$AO,'Share, Heavy Weapons to Ukraine'!CU$11, 'Bilateral Assistance, MAIN DATA'!$AA:$AA,1)</f>
        <v>0</v>
      </c>
      <c r="CV37" s="2">
        <f>SUMIFS('Bilateral Assistance, MAIN DATA'!$N:$N,'Bilateral Assistance, MAIN DATA'!$B:$B,'Share, Heavy Weapons to Ukraine'!$B37,'Bilateral Assistance, MAIN DATA'!$AO:$AO,'Share, Heavy Weapons to Ukraine'!CV$11, 'Bilateral Assistance, MAIN DATA'!$AA:$AA,1)</f>
        <v>0</v>
      </c>
      <c r="CW37" s="2">
        <f>SUMIFS('Bilateral Assistance, MAIN DATA'!$N:$N,'Bilateral Assistance, MAIN DATA'!$B:$B,'Share, Heavy Weapons to Ukraine'!$B37,'Bilateral Assistance, MAIN DATA'!$AO:$AO,'Share, Heavy Weapons to Ukraine'!CW$11, 'Bilateral Assistance, MAIN DATA'!$AA:$AA,1)</f>
        <v>0</v>
      </c>
      <c r="CX37" s="2">
        <f>SUMIFS('Bilateral Assistance, MAIN DATA'!$N:$N,'Bilateral Assistance, MAIN DATA'!$B:$B,'Share, Heavy Weapons to Ukraine'!$B37,'Bilateral Assistance, MAIN DATA'!$AO:$AO,'Share, Heavy Weapons to Ukraine'!CX$11, 'Bilateral Assistance, MAIN DATA'!$AA:$AA,1)</f>
        <v>0</v>
      </c>
    </row>
    <row r="38" spans="2:102" ht="15.6">
      <c r="B38" s="409" t="s">
        <v>2096</v>
      </c>
      <c r="C38" s="409">
        <v>0</v>
      </c>
      <c r="D38" s="2">
        <v>1</v>
      </c>
      <c r="E38" s="410"/>
      <c r="F38" s="569" t="s">
        <v>364</v>
      </c>
      <c r="G38" s="569" t="s">
        <v>364</v>
      </c>
      <c r="H38" s="569" t="s">
        <v>364</v>
      </c>
      <c r="I38" s="569" t="s">
        <v>364</v>
      </c>
      <c r="J38" s="569" t="s">
        <v>364</v>
      </c>
      <c r="K38" s="569" t="s">
        <v>364</v>
      </c>
      <c r="L38" s="569" t="s">
        <v>364</v>
      </c>
      <c r="M38" s="569" t="s">
        <v>364</v>
      </c>
      <c r="N38" s="569" t="s">
        <v>364</v>
      </c>
      <c r="O38" s="569" t="s">
        <v>364</v>
      </c>
      <c r="P38" s="569" t="s">
        <v>364</v>
      </c>
      <c r="Q38" s="569" t="s">
        <v>364</v>
      </c>
      <c r="R38" s="569" t="s">
        <v>364</v>
      </c>
      <c r="S38" s="569" t="s">
        <v>364</v>
      </c>
      <c r="T38" s="569" t="s">
        <v>364</v>
      </c>
      <c r="U38" s="410" t="str">
        <f>""</f>
        <v/>
      </c>
      <c r="V38" s="1334">
        <v>1.28</v>
      </c>
      <c r="W38" s="1334">
        <f>VLOOKUP(B38,'Heavy Weapon Stocks'!B:OA,COLUMN('Heavy Weapon Stocks'!$C$11)-1,FALSE)+IF(F38&lt;&gt;".",F38,0)</f>
        <v>0</v>
      </c>
      <c r="X38" s="1334">
        <f>VLOOKUP(B38,'Heavy Weapon Stocks'!B:OA,COLUMN('Heavy Weapon Stocks'!$AQ$11)-1,FALSE)</f>
        <v>74</v>
      </c>
      <c r="Y38" s="1334">
        <f>VLOOKUP(B38,'Heavy Weapon Stocks'!B:OA,COLUMN('Heavy Weapon Stocks'!$DK$11)-1,FALSE)</f>
        <v>0</v>
      </c>
      <c r="Z38" s="1334">
        <f>VLOOKUP(B38,'Heavy Weapon Stocks'!B:OA,COLUMN('Heavy Weapon Stocks'!$DY$11)-1,FALSE)</f>
        <v>0</v>
      </c>
      <c r="AA38" s="1334">
        <f>VLOOKUP(B38,'Heavy Weapon Stocks'!B:OA,COLUMN('Heavy Weapon Stocks'!$FA$11)-1,FALSE)+IF(G38&lt;&gt;".",G38,0)</f>
        <v>0</v>
      </c>
      <c r="AB38" s="1334">
        <f t="shared" si="3"/>
        <v>74</v>
      </c>
      <c r="AC38" s="1334">
        <f>VLOOKUP(B38,'Heavy Weapon Stocks'!B:OA,COLUMN('Heavy Weapon Stocks'!$GV$11)-1,FALSE)+VLOOKUP(B38,'Heavy Weapon Stocks'!B:OA,COLUMN('Heavy Weapon Stocks'!$HY$11)-1,FALSE)+IF(H38&lt;&gt;".",H38,0)</f>
        <v>0</v>
      </c>
      <c r="AD38" s="1334">
        <f>VLOOKUP(B38,'Heavy Weapon Stocks'!B:OA,COLUMN('Heavy Weapon Stocks'!$IF$11)-1,FALSE)+IF(I38&lt;&gt;".",I38,0)</f>
        <v>0</v>
      </c>
      <c r="AE38" s="1334">
        <f>VLOOKUP(B38,'Heavy Weapon Stocks'!B:OA,COLUMN('Heavy Weapon Stocks'!$IZ$11)-1,FALSE)+VLOOKUP(B38,'Heavy Weapon Stocks'!B:OA,COLUMN('Heavy Weapon Stocks'!$JW$11)-1,FALSE)</f>
        <v>0</v>
      </c>
      <c r="AF38" s="1334">
        <f>VLOOKUP(B38,'Heavy Weapon Stocks'!B:OA,COLUMN('Heavy Weapon Stocks'!$NL$11)-1,FALSE)+IF(L38&lt;&gt;".",L38,0)</f>
        <v>0</v>
      </c>
      <c r="AG38" s="1334">
        <f>VLOOKUP(B38,'Heavy Weapon Stocks'!B:OA,COLUMN('Heavy Weapon Stocks'!$LN$11)-1,FALSE)+IF(M38&lt;&gt;".",M38,0)</f>
        <v>0</v>
      </c>
      <c r="AH38" s="1334">
        <f>VLOOKUP(B38,'Heavy Weapon Stocks'!B:OA,COLUMN('Heavy Weapon Stocks'!$LX$11)-1,FALSE)+IF(N38&lt;&gt;".",N38,0)</f>
        <v>0</v>
      </c>
      <c r="AI38" s="1334">
        <f>VLOOKUP(B38,'Heavy Weapon Stocks'!B:OA,COLUMN('Heavy Weapon Stocks'!$ME$11)-1,FALSE)+IF(O38&lt;&gt;".",O38,0)</f>
        <v>0</v>
      </c>
      <c r="AJ38" s="1334">
        <f>VLOOKUP(B38,'Heavy Weapon Stocks'!B:OA,COLUMN('Heavy Weapon Stocks'!$NK$11)-1,FALSE)+IF(P38&lt;&gt;".",P38,0)</f>
        <v>0</v>
      </c>
      <c r="AK38" s="410"/>
      <c r="AL38" s="25">
        <f>SUMIFS('Bilateral Assistance, MAIN DATA'!$M:$M,'Bilateral Assistance, MAIN DATA'!$B:$B,'Share, Heavy Weapons to Ukraine'!$B38,'Bilateral Assistance, MAIN DATA'!$AO:$AO,'Share, Heavy Weapons to Ukraine'!AL$11)</f>
        <v>0</v>
      </c>
      <c r="AM38" s="25">
        <f>SUMIFS('Bilateral Assistance, MAIN DATA'!$M:$M,'Bilateral Assistance, MAIN DATA'!$B:$B,'Share, Heavy Weapons to Ukraine'!$B38,'Bilateral Assistance, MAIN DATA'!$AO:$AO,'Share, Heavy Weapons to Ukraine'!AM$11)</f>
        <v>0</v>
      </c>
      <c r="AN38" s="25">
        <f>SUMIFS('Bilateral Assistance, MAIN DATA'!$M:$M,'Bilateral Assistance, MAIN DATA'!$B:$B,'Share, Heavy Weapons to Ukraine'!$B38,'Bilateral Assistance, MAIN DATA'!$AO:$AO,'Share, Heavy Weapons to Ukraine'!AN$11)</f>
        <v>0</v>
      </c>
      <c r="AO38" s="25">
        <f>SUMIFS('Bilateral Assistance, MAIN DATA'!$M:$M,'Bilateral Assistance, MAIN DATA'!$B:$B,'Share, Heavy Weapons to Ukraine'!$B38,'Bilateral Assistance, MAIN DATA'!$AO:$AO,'Share, Heavy Weapons to Ukraine'!AO$11)</f>
        <v>0</v>
      </c>
      <c r="AP38" s="25">
        <f>SUMIFS('Bilateral Assistance, MAIN DATA'!$M:$M,'Bilateral Assistance, MAIN DATA'!$B:$B,'Share, Heavy Weapons to Ukraine'!$B38,'Bilateral Assistance, MAIN DATA'!$AO:$AO,'Share, Heavy Weapons to Ukraine'!AP$11)</f>
        <v>0</v>
      </c>
      <c r="AQ38" s="25">
        <f t="shared" si="1"/>
        <v>0</v>
      </c>
      <c r="AR38" s="25">
        <f>SUMIFS('Bilateral Assistance, MAIN DATA'!$M:$M,'Bilateral Assistance, MAIN DATA'!$B:$B,'Share, Heavy Weapons to Ukraine'!$B38,'Bilateral Assistance, MAIN DATA'!$AO:$AO,"155mm howitzer")+SUMIFS('Bilateral Assistance, MAIN DATA'!$M:$M,'Bilateral Assistance, MAIN DATA'!$B:$B,'Share, Heavy Weapons to Ukraine'!$B38,'Bilateral Assistance, MAIN DATA'!$AO:$AO,"152mm howitzer")</f>
        <v>0</v>
      </c>
      <c r="AS38" s="25">
        <f>SUMIFS('Bilateral Assistance, MAIN DATA'!$M:$M,'Bilateral Assistance, MAIN DATA'!$B:$B,'Share, Heavy Weapons to Ukraine'!$B38,'Bilateral Assistance, MAIN DATA'!$AO:$AO,"122mm MLRS")+SUMIFS('Bilateral Assistance, MAIN DATA'!$M:$M,'Bilateral Assistance, MAIN DATA'!$B:$B,'Share, Heavy Weapons to Ukraine'!$B38,'Bilateral Assistance, MAIN DATA'!$AO:$AO,"127mm MLRS")+SUMIFS('Bilateral Assistance, MAIN DATA'!$M:$M,'Bilateral Assistance, MAIN DATA'!$B:$B,'Share, Heavy Weapons to Ukraine'!$B38,'Bilateral Assistance, MAIN DATA'!$AO:$AO,"227mm MLRS")</f>
        <v>0</v>
      </c>
      <c r="AT38" s="25">
        <f>SUMIFS('Bilateral Assistance, MAIN DATA'!$M:$M,'Bilateral Assistance, MAIN DATA'!$B:$B,'Share, Heavy Weapons to Ukraine'!$B38,'Bilateral Assistance, MAIN DATA'!$AO:$AO,'Share, Heavy Weapons to Ukraine'!AT$11)</f>
        <v>0</v>
      </c>
      <c r="AU38" s="25">
        <f>SUMIFS('Bilateral Assistance, MAIN DATA'!$M:$M,'Bilateral Assistance, MAIN DATA'!$B:$B,'Share, Heavy Weapons to Ukraine'!$B38,'Bilateral Assistance, MAIN DATA'!$AO:$AO,'Share, Heavy Weapons to Ukraine'!AU$11)</f>
        <v>0</v>
      </c>
      <c r="AV38" s="25">
        <f>SUMIFS('Bilateral Assistance, MAIN DATA'!$M:$M,'Bilateral Assistance, MAIN DATA'!$B:$B,'Share, Heavy Weapons to Ukraine'!$B38,'Bilateral Assistance, MAIN DATA'!$AO:$AO,'Share, Heavy Weapons to Ukraine'!AV$11)</f>
        <v>0</v>
      </c>
      <c r="AW38" s="25">
        <f>SUMIFS('Bilateral Assistance, MAIN DATA'!$M:$M,'Bilateral Assistance, MAIN DATA'!$B:$B,'Share, Heavy Weapons to Ukraine'!$B38,'Bilateral Assistance, MAIN DATA'!$AO:$AO,'Share, Heavy Weapons to Ukraine'!AW$11)</f>
        <v>0</v>
      </c>
      <c r="AX38" s="25">
        <f>SUMIFS('Bilateral Assistance, MAIN DATA'!$M:$M,'Bilateral Assistance, MAIN DATA'!$B:$B,'Share, Heavy Weapons to Ukraine'!$B38,'Bilateral Assistance, MAIN DATA'!$AO:$AO,'Share, Heavy Weapons to Ukraine'!AX$11)</f>
        <v>0</v>
      </c>
      <c r="AY38" s="410"/>
      <c r="AZ38" s="25">
        <f>SUMIFS('Bilateral Assistance, MAIN DATA'!$N:$N,'Bilateral Assistance, MAIN DATA'!$B:$B,'Share, Heavy Weapons to Ukraine'!$B38,'Bilateral Assistance, MAIN DATA'!$AO:$AO,'Share, Heavy Weapons to Ukraine'!AZ$11)</f>
        <v>0</v>
      </c>
      <c r="BA38" s="25">
        <f>SUMIFS('Bilateral Assistance, MAIN DATA'!$N:$N,'Bilateral Assistance, MAIN DATA'!$B:$B,'Share, Heavy Weapons to Ukraine'!$B38,'Bilateral Assistance, MAIN DATA'!$AO:$AO,'Share, Heavy Weapons to Ukraine'!BA$11)</f>
        <v>0</v>
      </c>
      <c r="BB38" s="25">
        <f>SUMIFS('Bilateral Assistance, MAIN DATA'!$N:$N,'Bilateral Assistance, MAIN DATA'!$B:$B,'Share, Heavy Weapons to Ukraine'!$B38,'Bilateral Assistance, MAIN DATA'!$AO:$AO,'Share, Heavy Weapons to Ukraine'!BB$11)</f>
        <v>0</v>
      </c>
      <c r="BC38" s="25">
        <f>SUMIFS('Bilateral Assistance, MAIN DATA'!$N:$N,'Bilateral Assistance, MAIN DATA'!$B:$B,'Share, Heavy Weapons to Ukraine'!$B38,'Bilateral Assistance, MAIN DATA'!$AO:$AO,'Share, Heavy Weapons to Ukraine'!BC$11)</f>
        <v>0</v>
      </c>
      <c r="BD38" s="25">
        <f>SUMIFS('Bilateral Assistance, MAIN DATA'!$N:$N,'Bilateral Assistance, MAIN DATA'!$B:$B,'Share, Heavy Weapons to Ukraine'!$B38,'Bilateral Assistance, MAIN DATA'!$AO:$AO,'Share, Heavy Weapons to Ukraine'!BD$11)</f>
        <v>0</v>
      </c>
      <c r="BE38" s="25">
        <f t="shared" si="2"/>
        <v>0</v>
      </c>
      <c r="BF38" s="25">
        <f>SUMIFS('Bilateral Assistance, MAIN DATA'!$N:$N,'Bilateral Assistance, MAIN DATA'!$B:$B,'Share, Heavy Weapons to Ukraine'!$B38,'Bilateral Assistance, MAIN DATA'!$AO:$AO,"155mm howitzer")+SUMIFS('Bilateral Assistance, MAIN DATA'!$N:$N,'Bilateral Assistance, MAIN DATA'!$B:$B,'Share, Heavy Weapons to Ukraine'!$B38,'Bilateral Assistance, MAIN DATA'!$AO:$AO,"152mm howitzer")</f>
        <v>0</v>
      </c>
      <c r="BG38" s="25">
        <f>SUMIFS('Bilateral Assistance, MAIN DATA'!$N:$N,'Bilateral Assistance, MAIN DATA'!$B:$B,'Share, Heavy Weapons to Ukraine'!$B38,'Bilateral Assistance, MAIN DATA'!$AO:$AO,"122mm MLRS")+SUMIFS('Bilateral Assistance, MAIN DATA'!$N:$N,'Bilateral Assistance, MAIN DATA'!$B:$B,'Share, Heavy Weapons to Ukraine'!$B38,'Bilateral Assistance, MAIN DATA'!$AO:$AO,"127mm MLRS")+SUMIFS('Bilateral Assistance, MAIN DATA'!$N:$N,'Bilateral Assistance, MAIN DATA'!$B:$B,'Share, Heavy Weapons to Ukraine'!$B38,'Bilateral Assistance, MAIN DATA'!$AO:$AO,"227mm MLRS")</f>
        <v>0</v>
      </c>
      <c r="BH38" s="25">
        <f>SUMIFS('Bilateral Assistance, MAIN DATA'!$N:$N,'Bilateral Assistance, MAIN DATA'!$B:$B,'Share, Heavy Weapons to Ukraine'!$B38,'Bilateral Assistance, MAIN DATA'!$AO:$AO,'Share, Heavy Weapons to Ukraine'!BH$11)</f>
        <v>0</v>
      </c>
      <c r="BI38" s="25">
        <f>SUMIFS('Bilateral Assistance, MAIN DATA'!$N:$N,'Bilateral Assistance, MAIN DATA'!$B:$B,'Share, Heavy Weapons to Ukraine'!$B38,'Bilateral Assistance, MAIN DATA'!$AO:$AO,'Share, Heavy Weapons to Ukraine'!BI$11)</f>
        <v>0</v>
      </c>
      <c r="BJ38" s="25">
        <f>SUMIFS('Bilateral Assistance, MAIN DATA'!$N:$N,'Bilateral Assistance, MAIN DATA'!$B:$B,'Share, Heavy Weapons to Ukraine'!$B38,'Bilateral Assistance, MAIN DATA'!$AO:$AO,'Share, Heavy Weapons to Ukraine'!BJ$11)</f>
        <v>0</v>
      </c>
      <c r="BK38" s="25">
        <f>SUMIFS('Bilateral Assistance, MAIN DATA'!$N:$N,'Bilateral Assistance, MAIN DATA'!$B:$B,'Share, Heavy Weapons to Ukraine'!$B38,'Bilateral Assistance, MAIN DATA'!$AO:$AO,'Share, Heavy Weapons to Ukraine'!BK$11)</f>
        <v>0</v>
      </c>
      <c r="BL38" s="25">
        <f>SUMIFS('Bilateral Assistance, MAIN DATA'!$N:$N,'Bilateral Assistance, MAIN DATA'!$B:$B,'Share, Heavy Weapons to Ukraine'!$B38,'Bilateral Assistance, MAIN DATA'!$AO:$AO,'Share, Heavy Weapons to Ukraine'!BL$11)</f>
        <v>0</v>
      </c>
      <c r="BM38" s="410"/>
      <c r="BN38" s="261">
        <f>IF(VLOOKUP($B38,$B:W,COLUMN(W37)-1,FALSE)&lt;&gt;0,VLOOKUP($B38,$B:AL,COLUMN(AL37)-1,FALSE)/VLOOKUP($B38,$B:W,COLUMN(W37)-1,FALSE),IF(VLOOKUP($B38,$B:AL,COLUMN(AL37)-1,FALSE)&lt;&gt;0,"unknown",0))</f>
        <v>0</v>
      </c>
      <c r="BO38" s="261">
        <f>IF(VLOOKUP($B38,$B:X,COLUMN(X37)-1,FALSE)&lt;&gt;0,VLOOKUP($B38,$B:AM,COLUMN(AM37)-1,FALSE)/VLOOKUP($B38,$B:X,COLUMN(X37)-1,FALSE),IF(VLOOKUP($B38,$B:AM,COLUMN(AM37)-1,FALSE)&lt;&gt;0,"unknown",0))</f>
        <v>0</v>
      </c>
      <c r="BP38" s="261">
        <f>IF(VLOOKUP($B38,$B:Y,COLUMN(Y37)-1,FALSE)&lt;&gt;0,VLOOKUP($B38,$B:AN,COLUMN(AN37)-1,FALSE)/VLOOKUP($B38,$B:Y,COLUMN(Y37)-1,FALSE),IF(VLOOKUP($B38,$B:AN,COLUMN(AN37)-1,FALSE)&lt;&gt;0,"unknown",0))</f>
        <v>0</v>
      </c>
      <c r="BQ38" s="261">
        <f>IF(VLOOKUP($B38,$B:Z,COLUMN(Z37)-1,FALSE)&lt;&gt;0,VLOOKUP($B38,$B:AO,COLUMN(AO37)-1,FALSE)/VLOOKUP($B38,$B:Z,COLUMN(Z37)-1,FALSE),IF(VLOOKUP($B38,$B:AO,COLUMN(AO37)-1,FALSE)&lt;&gt;0,"unknown",0))</f>
        <v>0</v>
      </c>
      <c r="BR38" s="261">
        <f>IF(VLOOKUP($B38,$B:AA,COLUMN(AA37)-1,FALSE)&lt;&gt;0,VLOOKUP($B38,$B:AP,COLUMN(AP37)-1,FALSE)/VLOOKUP($B38,$B:AA,COLUMN(AA37)-1,FALSE),IF(VLOOKUP($B38,$B:AP,COLUMN(AP37)-1,FALSE)&lt;&gt;0,"unknown",0))</f>
        <v>0</v>
      </c>
      <c r="BS38" s="261">
        <f>IF(VLOOKUP($B38,$B:AB,COLUMN(AB37)-1,FALSE)&lt;&gt;0,VLOOKUP($B38,$B:AQ,COLUMN(AQ37)-1,FALSE)/VLOOKUP($B38,$B:AB,COLUMN(AB37)-1,FALSE),IF(VLOOKUP($B38,$B:AQ,COLUMN(AQ37)-1,FALSE)&lt;&gt;0,"unknown",0))</f>
        <v>0</v>
      </c>
      <c r="BT38" s="261">
        <f>IF(VLOOKUP($B38,$B:AC,COLUMN(AC37)-1,FALSE)&lt;&gt;0,VLOOKUP($B38,$B:AR,COLUMN(AR37)-1,FALSE)/VLOOKUP($B38,$B:AC,COLUMN(AC37)-1,FALSE),IF(VLOOKUP($B38,$B:AR,COLUMN(AR37)-1,FALSE)&lt;&gt;0,"unknown",0))</f>
        <v>0</v>
      </c>
      <c r="BU38" s="261">
        <f>IF(VLOOKUP($B38,$B:AD,COLUMN(AD37)-1,FALSE)&lt;&gt;0,VLOOKUP($B38,$B:AS,COLUMN(AS37)-1,FALSE)/VLOOKUP($B38,$B:AD,COLUMN(AD37)-1,FALSE),IF(VLOOKUP($B38,$B:AS,COLUMN(AS37)-1,FALSE)&lt;&gt;0,"unknown",0))</f>
        <v>0</v>
      </c>
      <c r="BV38" s="261">
        <f>IF(VLOOKUP($B38,$B:AE,COLUMN(AE37)-1,FALSE)&lt;&gt;0,VLOOKUP($B38,$B:AT,COLUMN(AT37)-1,FALSE)/VLOOKUP($B38,$B:AE,COLUMN(AE37)-1,FALSE),IF(VLOOKUP($B38,$B:AT,COLUMN(AT37)-1,FALSE)&lt;&gt;0,"unknown",0))</f>
        <v>0</v>
      </c>
      <c r="BW38" s="261">
        <f>IF(VLOOKUP($B38,$B:AG,COLUMN(AG37)-1,FALSE)&lt;&gt;0,VLOOKUP($B38,$B:AU,COLUMN(AU37)-1,FALSE)/VLOOKUP($B38,$B:AG,COLUMN(AG37)-1,FALSE),IF(VLOOKUP($B38,$B:AU,COLUMN(AU37)-1,FALSE)&lt;&gt;0,"unknown",0))</f>
        <v>0</v>
      </c>
      <c r="BX38" s="261">
        <f>IF(VLOOKUP($B38,$B:AH,COLUMN(AH37)-1,FALSE)&lt;&gt;0,VLOOKUP($B38,$B:AV,COLUMN(AV37)-1,FALSE)/VLOOKUP($B38,$B:AH,COLUMN(AH37)-1,FALSE),IF(VLOOKUP($B38,$B:AV,COLUMN(AV37)-1,FALSE)&lt;&gt;0,"unknown",0))</f>
        <v>0</v>
      </c>
      <c r="BY38" s="261">
        <f>IF(VLOOKUP($B38,$B:AI,COLUMN(AI37)-1,FALSE)&lt;&gt;0,VLOOKUP($B38,$B:AW,COLUMN(AW37)-1,FALSE)/VLOOKUP($B38,$B:AI,COLUMN(AI37)-1,FALSE),IF(VLOOKUP($B38,$B:AW,COLUMN(AW37)-1,FALSE)&lt;&gt;0,"unknown",0))</f>
        <v>0</v>
      </c>
      <c r="BZ38" s="261">
        <f>IF(VLOOKUP($B38,$B:AJ,COLUMN(AJ37)-1,FALSE)&lt;&gt;0,VLOOKUP($B38,$B:AX,COLUMN(AX37)-1,FALSE)/VLOOKUP($B38,$B:AJ,COLUMN(AJ37)-1,FALSE),IF(VLOOKUP($B38,$B:AX,COLUMN(AX37)-1,FALSE)&lt;&gt;0,"unknown",0))</f>
        <v>0</v>
      </c>
      <c r="CA38" s="410"/>
      <c r="CB38" s="2">
        <f>IF(VLOOKUP($B38,$B:AM,COLUMN(W37)-1,FALSE)&lt;&gt;0,VLOOKUP($B38,$B:BA,COLUMN(AZ37)-1,FALSE)/VLOOKUP($B38,$B:AM,COLUMN(W37)-1,FALSE),IF(VLOOKUP($B38,$B:BA,COLUMN(AZ37)-1,FALSE)&lt;&gt;0,"unknown",0))</f>
        <v>0</v>
      </c>
      <c r="CC38" s="2">
        <f>IF(VLOOKUP($B38,$B:AN,COLUMN(X37)-1,FALSE)&lt;&gt;0,VLOOKUP($B38,$B:BB,COLUMN(BA37)-1,FALSE)/VLOOKUP($B38,$B:AN,COLUMN(X37)-1,FALSE),IF(VLOOKUP($B38,$B:BB,COLUMN(BA37)-1,FALSE)&lt;&gt;0,"unknown",0))</f>
        <v>0</v>
      </c>
      <c r="CD38" s="2">
        <f>IF(VLOOKUP($B38,$B:AO,COLUMN(Y37)-1,FALSE)&lt;&gt;0,VLOOKUP($B38,$B:BC,COLUMN(BB37)-1,FALSE)/VLOOKUP($B38,$B:AO,COLUMN(Y37)-1,FALSE),IF(VLOOKUP($B38,$B:BC,COLUMN(BB37)-1,FALSE)&lt;&gt;0,"unknown",0))</f>
        <v>0</v>
      </c>
      <c r="CE38" s="2">
        <f>IF(VLOOKUP($B38,$B:AP,COLUMN(Z37)-1,FALSE)&lt;&gt;0,VLOOKUP($B38,$B:BD,COLUMN(BC37)-1,FALSE)/VLOOKUP($B38,$B:AP,COLUMN(Z37)-1,FALSE),IF(VLOOKUP($B38,$B:BD,COLUMN(BC37)-1,FALSE)&lt;&gt;0,"unknown",0))</f>
        <v>0</v>
      </c>
      <c r="CF38" s="2">
        <f>IF(VLOOKUP($B38,$B:AR,COLUMN(AA37)-1,FALSE)&lt;&gt;0,VLOOKUP($B38,$B:BF,COLUMN(BD37)-1,FALSE)/VLOOKUP($B38,$B:AR,COLUMN(AA37)-1,FALSE),IF(VLOOKUP($B38,$B:BF,COLUMN(BD37)-1,FALSE)&lt;&gt;0,"unknown",0))</f>
        <v>0</v>
      </c>
      <c r="CG38" s="2">
        <f>IF(VLOOKUP($B38,$B:AS,COLUMN(AB37)-1,FALSE)&lt;&gt;0,VLOOKUP($B38,$B:BG,COLUMN(BE37)-1,FALSE)/VLOOKUP($B38,$B:AS,COLUMN(AB37)-1,FALSE),IF(VLOOKUP($B38,$B:BG,COLUMN(BE37)-1,FALSE)&lt;&gt;0,"unknown",0))</f>
        <v>0</v>
      </c>
      <c r="CH38" s="2">
        <f>IF(VLOOKUP($B38,$B:AS,COLUMN(AC37)-1,FALSE)&lt;&gt;0,VLOOKUP($B38,$B:BG,COLUMN(BF37)-1,FALSE)/VLOOKUP($B38,$B:AS,COLUMN(AC37)-1,FALSE),IF(VLOOKUP($B38,$B:BG,COLUMN(BF37)-1,FALSE)&lt;&gt;0,"unknown",0))</f>
        <v>0</v>
      </c>
      <c r="CI38" s="2">
        <f>IF(VLOOKUP($B38,$B:AT,COLUMN(AD37)-1,FALSE)&lt;&gt;0,VLOOKUP($B38,$B:BH,COLUMN(BG37)-1,FALSE)/VLOOKUP($B38,$B:AT,COLUMN(AD37)-1,FALSE),IF(VLOOKUP($B38,$B:BH,COLUMN(BG37)-1,FALSE)&lt;&gt;0,"unknown",0))</f>
        <v>0</v>
      </c>
      <c r="CJ38" s="2">
        <f>IF(VLOOKUP($B38,$B:AT,COLUMN(AE37)-1,FALSE)&lt;&gt;0,VLOOKUP($B38,$B:BH,COLUMN(BH37)-1,FALSE)/VLOOKUP($B38,$B:AT,COLUMN(AE37)-1,FALSE),IF(VLOOKUP($B38,$B:BH,COLUMN(BH37)-1,FALSE)&lt;&gt;0,"unknown",0))</f>
        <v>0</v>
      </c>
      <c r="CK38" s="2">
        <f>IF(VLOOKUP($B38,$B:AU,COLUMN(AG37)-1,FALSE)&lt;&gt;0,VLOOKUP($B38,$B:BI,COLUMN(BI37)-1,FALSE)/VLOOKUP($B38,$B:AU,COLUMN(AG37)-1,FALSE),IF(VLOOKUP($B38,$B:BI,COLUMN(BI37)-1,FALSE)&lt;&gt;0,"unknown",0))</f>
        <v>0</v>
      </c>
      <c r="CL38" s="2">
        <f>IF(VLOOKUP($B38,$B:AV,COLUMN(AH37)-1,FALSE)&lt;&gt;0,VLOOKUP($B38,$B:BJ,COLUMN(BJ37)-1,FALSE)/VLOOKUP($B38,$B:AV,COLUMN(AH37)-1,FALSE),IF(VLOOKUP($B38,$B:BJ,COLUMN(BJ37)-1,FALSE)&lt;&gt;0,"unknown",0))</f>
        <v>0</v>
      </c>
      <c r="CM38" s="2">
        <f>IF(VLOOKUP($B38,$B:AW,COLUMN(AI37)-1,FALSE)&lt;&gt;0,VLOOKUP($B38,$B:BK,COLUMN(BK37)-1,FALSE)/VLOOKUP($B38,$B:AW,COLUMN(AI37)-1,FALSE),IF(VLOOKUP($B38,$B:BK,COLUMN(BK37)-1,FALSE)&lt;&gt;0,"unknown",0))</f>
        <v>0</v>
      </c>
      <c r="CN38" s="2">
        <f>IF(VLOOKUP($B38,$B:AX,COLUMN(AJ37)-1,FALSE)&lt;&gt;0,VLOOKUP($B38,$B:BL,COLUMN(BL37)-1,FALSE)/VLOOKUP($B38,$B:AX,COLUMN(AJ37)-1,FALSE),IF(VLOOKUP($B38,$B:BL,COLUMN(BL37)-1,FALSE)&lt;&gt;0,"unknown",0))</f>
        <v>0</v>
      </c>
      <c r="CO38" s="410"/>
      <c r="CP38" s="2">
        <f>SUMIFS('Bilateral Assistance, MAIN DATA'!$M:$M,'Bilateral Assistance, MAIN DATA'!$B:$B,'Share, Heavy Weapons to Ukraine'!$B38,'Bilateral Assistance, MAIN DATA'!$AO:$AO,'Share, Heavy Weapons to Ukraine'!CP$11, 'Bilateral Assistance, MAIN DATA'!$AA:$AA,1)</f>
        <v>0</v>
      </c>
      <c r="CQ38" s="2">
        <f>SUMIFS('Bilateral Assistance, MAIN DATA'!$M:$M,'Bilateral Assistance, MAIN DATA'!$B:$B,'Share, Heavy Weapons to Ukraine'!$B38,'Bilateral Assistance, MAIN DATA'!$AO:$AO,'Share, Heavy Weapons to Ukraine'!CQ$11, 'Bilateral Assistance, MAIN DATA'!$AA:$AA,1)</f>
        <v>0</v>
      </c>
      <c r="CR38" s="2">
        <f>SUMIFS('Bilateral Assistance, MAIN DATA'!$M:$M,'Bilateral Assistance, MAIN DATA'!$B:$B,'Share, Heavy Weapons to Ukraine'!$B38,'Bilateral Assistance, MAIN DATA'!$AO:$AO,'Share, Heavy Weapons to Ukraine'!CR$11, 'Bilateral Assistance, MAIN DATA'!$AA:$AA,1)</f>
        <v>0</v>
      </c>
      <c r="CS38" s="2">
        <f>SUMIFS('Bilateral Assistance, MAIN DATA'!$M:$M,'Bilateral Assistance, MAIN DATA'!$B:$B,'Share, Heavy Weapons to Ukraine'!$B38,'Bilateral Assistance, MAIN DATA'!$AO:$AO,'Share, Heavy Weapons to Ukraine'!CS$11, 'Bilateral Assistance, MAIN DATA'!$AA:$AA,1)</f>
        <v>0</v>
      </c>
      <c r="CT38" s="410"/>
      <c r="CU38" s="2">
        <f>SUMIFS('Bilateral Assistance, MAIN DATA'!$N:$N,'Bilateral Assistance, MAIN DATA'!$B:$B,'Share, Heavy Weapons to Ukraine'!$B38,'Bilateral Assistance, MAIN DATA'!$AO:$AO,'Share, Heavy Weapons to Ukraine'!CU$11, 'Bilateral Assistance, MAIN DATA'!$AA:$AA,1)</f>
        <v>0</v>
      </c>
      <c r="CV38" s="2">
        <f>SUMIFS('Bilateral Assistance, MAIN DATA'!$N:$N,'Bilateral Assistance, MAIN DATA'!$B:$B,'Share, Heavy Weapons to Ukraine'!$B38,'Bilateral Assistance, MAIN DATA'!$AO:$AO,'Share, Heavy Weapons to Ukraine'!CV$11, 'Bilateral Assistance, MAIN DATA'!$AA:$AA,1)</f>
        <v>0</v>
      </c>
      <c r="CW38" s="2">
        <f>SUMIFS('Bilateral Assistance, MAIN DATA'!$N:$N,'Bilateral Assistance, MAIN DATA'!$B:$B,'Share, Heavy Weapons to Ukraine'!$B38,'Bilateral Assistance, MAIN DATA'!$AO:$AO,'Share, Heavy Weapons to Ukraine'!CW$11, 'Bilateral Assistance, MAIN DATA'!$AA:$AA,1)</f>
        <v>0</v>
      </c>
      <c r="CX38" s="2">
        <f>SUMIFS('Bilateral Assistance, MAIN DATA'!$N:$N,'Bilateral Assistance, MAIN DATA'!$B:$B,'Share, Heavy Weapons to Ukraine'!$B38,'Bilateral Assistance, MAIN DATA'!$AO:$AO,'Share, Heavy Weapons to Ukraine'!CX$11, 'Bilateral Assistance, MAIN DATA'!$AA:$AA,1)</f>
        <v>0</v>
      </c>
    </row>
    <row r="39" spans="2:102" ht="15.6">
      <c r="B39" s="409" t="s">
        <v>2488</v>
      </c>
      <c r="C39" s="409">
        <v>0</v>
      </c>
      <c r="D39" s="2">
        <v>1</v>
      </c>
      <c r="E39" s="410"/>
      <c r="F39" s="569" t="s">
        <v>364</v>
      </c>
      <c r="G39" s="569" t="s">
        <v>364</v>
      </c>
      <c r="H39" s="569" t="s">
        <v>364</v>
      </c>
      <c r="I39" s="569" t="s">
        <v>364</v>
      </c>
      <c r="J39" s="569" t="s">
        <v>364</v>
      </c>
      <c r="K39" s="569" t="s">
        <v>364</v>
      </c>
      <c r="L39" s="569" t="s">
        <v>364</v>
      </c>
      <c r="M39" s="569" t="s">
        <v>364</v>
      </c>
      <c r="N39" s="569" t="s">
        <v>364</v>
      </c>
      <c r="O39" s="569" t="s">
        <v>364</v>
      </c>
      <c r="P39" s="569" t="s">
        <v>364</v>
      </c>
      <c r="Q39" s="569" t="s">
        <v>364</v>
      </c>
      <c r="R39" s="569" t="s">
        <v>364</v>
      </c>
      <c r="S39" s="569" t="s">
        <v>364</v>
      </c>
      <c r="T39" s="569" t="s">
        <v>364</v>
      </c>
      <c r="U39" s="410" t="str">
        <f>""</f>
        <v/>
      </c>
      <c r="V39" s="1334">
        <v>1.25</v>
      </c>
      <c r="W39" s="1334">
        <f>VLOOKUP(B39,'Heavy Weapon Stocks'!B:OA,COLUMN('Heavy Weapon Stocks'!$C$11)-1,FALSE)+IF(F39&lt;&gt;".",F39,0)</f>
        <v>0</v>
      </c>
      <c r="X39" s="1334">
        <f>VLOOKUP(B39,'Heavy Weapon Stocks'!B:OA,COLUMN('Heavy Weapon Stocks'!$AQ$11)-1,FALSE)</f>
        <v>306</v>
      </c>
      <c r="Y39" s="1334">
        <f>VLOOKUP(B39,'Heavy Weapon Stocks'!B:OA,COLUMN('Heavy Weapon Stocks'!$DK$11)-1,FALSE)</f>
        <v>0</v>
      </c>
      <c r="Z39" s="1334">
        <f>VLOOKUP(B39,'Heavy Weapon Stocks'!B:OA,COLUMN('Heavy Weapon Stocks'!$DY$11)-1,FALSE)</f>
        <v>0</v>
      </c>
      <c r="AA39" s="1334">
        <f>VLOOKUP(B39,'Heavy Weapon Stocks'!B:OA,COLUMN('Heavy Weapon Stocks'!$FA$11)-1,FALSE)+IF(G39&lt;&gt;".",G39,0)</f>
        <v>30</v>
      </c>
      <c r="AB39" s="1334">
        <f t="shared" si="3"/>
        <v>336</v>
      </c>
      <c r="AC39" s="1334">
        <f>VLOOKUP(B39,'Heavy Weapon Stocks'!B:OA,COLUMN('Heavy Weapon Stocks'!$GV$11)-1,FALSE)+VLOOKUP(B39,'Heavy Weapon Stocks'!B:OA,COLUMN('Heavy Weapon Stocks'!$HY$11)-1,FALSE)+IF(H39&lt;&gt;".",H39,0)</f>
        <v>16</v>
      </c>
      <c r="AD39" s="1334">
        <f>VLOOKUP(B39,'Heavy Weapon Stocks'!B:OA,COLUMN('Heavy Weapon Stocks'!$IF$11)-1,FALSE)+IF(I39&lt;&gt;".",I39,0)</f>
        <v>0</v>
      </c>
      <c r="AE39" s="1334">
        <f>VLOOKUP(B39,'Heavy Weapon Stocks'!B:OA,COLUMN('Heavy Weapon Stocks'!$IZ$11)-1,FALSE)+VLOOKUP(B39,'Heavy Weapon Stocks'!B:OA,COLUMN('Heavy Weapon Stocks'!$JW$11)-1,FALSE)</f>
        <v>0</v>
      </c>
      <c r="AF39" s="1334">
        <f>VLOOKUP(B39,'Heavy Weapon Stocks'!B:OA,COLUMN('Heavy Weapon Stocks'!$NL$11)-1,FALSE)+IF(L39&lt;&gt;".",L39,0)</f>
        <v>0</v>
      </c>
      <c r="AG39" s="1334">
        <f>VLOOKUP(B39,'Heavy Weapon Stocks'!B:OA,COLUMN('Heavy Weapon Stocks'!$LN$11)-1,FALSE)+IF(M39&lt;&gt;".",M39,0)</f>
        <v>0</v>
      </c>
      <c r="AH39" s="1334">
        <f>VLOOKUP(B39,'Heavy Weapon Stocks'!B:OA,COLUMN('Heavy Weapon Stocks'!$LX$11)-1,FALSE)+IF(N39&lt;&gt;".",N39,0)</f>
        <v>0</v>
      </c>
      <c r="AI39" s="1334">
        <f>VLOOKUP(B39,'Heavy Weapon Stocks'!B:OA,COLUMN('Heavy Weapon Stocks'!$ME$11)-1,FALSE)+IF(O39&lt;&gt;".",O39,0)</f>
        <v>4</v>
      </c>
      <c r="AJ39" s="1334">
        <f>VLOOKUP(B39,'Heavy Weapon Stocks'!B:OA,COLUMN('Heavy Weapon Stocks'!$NK$11)-1,FALSE)+IF(P39&lt;&gt;".",P39,0)</f>
        <v>0</v>
      </c>
      <c r="AK39" s="410"/>
      <c r="AL39" s="25">
        <f>SUMIFS('Bilateral Assistance, MAIN DATA'!$M:$M,'Bilateral Assistance, MAIN DATA'!$B:$B,'Share, Heavy Weapons to Ukraine'!$B39,'Bilateral Assistance, MAIN DATA'!$AO:$AO,'Share, Heavy Weapons to Ukraine'!AL$11)</f>
        <v>0</v>
      </c>
      <c r="AM39" s="25">
        <f>SUMIFS('Bilateral Assistance, MAIN DATA'!$M:$M,'Bilateral Assistance, MAIN DATA'!$B:$B,'Share, Heavy Weapons to Ukraine'!$B39,'Bilateral Assistance, MAIN DATA'!$AO:$AO,'Share, Heavy Weapons to Ukraine'!AM$11)</f>
        <v>62</v>
      </c>
      <c r="AN39" s="25">
        <f>SUMIFS('Bilateral Assistance, MAIN DATA'!$M:$M,'Bilateral Assistance, MAIN DATA'!$B:$B,'Share, Heavy Weapons to Ukraine'!$B39,'Bilateral Assistance, MAIN DATA'!$AO:$AO,'Share, Heavy Weapons to Ukraine'!AN$11)</f>
        <v>0</v>
      </c>
      <c r="AO39" s="25">
        <f>SUMIFS('Bilateral Assistance, MAIN DATA'!$M:$M,'Bilateral Assistance, MAIN DATA'!$B:$B,'Share, Heavy Weapons to Ukraine'!$B39,'Bilateral Assistance, MAIN DATA'!$AO:$AO,'Share, Heavy Weapons to Ukraine'!AO$11)</f>
        <v>0</v>
      </c>
      <c r="AP39" s="25">
        <f>SUMIFS('Bilateral Assistance, MAIN DATA'!$M:$M,'Bilateral Assistance, MAIN DATA'!$B:$B,'Share, Heavy Weapons to Ukraine'!$B39,'Bilateral Assistance, MAIN DATA'!$AO:$AO,'Share, Heavy Weapons to Ukraine'!AP$11)</f>
        <v>0</v>
      </c>
      <c r="AQ39" s="25">
        <f t="shared" si="1"/>
        <v>62</v>
      </c>
      <c r="AR39" s="25">
        <f>SUMIFS('Bilateral Assistance, MAIN DATA'!$M:$M,'Bilateral Assistance, MAIN DATA'!$B:$B,'Share, Heavy Weapons to Ukraine'!$B39,'Bilateral Assistance, MAIN DATA'!$AO:$AO,"155mm howitzer")+SUMIFS('Bilateral Assistance, MAIN DATA'!$M:$M,'Bilateral Assistance, MAIN DATA'!$B:$B,'Share, Heavy Weapons to Ukraine'!$B39,'Bilateral Assistance, MAIN DATA'!$AO:$AO,"152mm howitzer")</f>
        <v>0</v>
      </c>
      <c r="AS39" s="25">
        <f>SUMIFS('Bilateral Assistance, MAIN DATA'!$M:$M,'Bilateral Assistance, MAIN DATA'!$B:$B,'Share, Heavy Weapons to Ukraine'!$B39,'Bilateral Assistance, MAIN DATA'!$AO:$AO,"122mm MLRS")+SUMIFS('Bilateral Assistance, MAIN DATA'!$M:$M,'Bilateral Assistance, MAIN DATA'!$B:$B,'Share, Heavy Weapons to Ukraine'!$B39,'Bilateral Assistance, MAIN DATA'!$AO:$AO,"127mm MLRS")+SUMIFS('Bilateral Assistance, MAIN DATA'!$M:$M,'Bilateral Assistance, MAIN DATA'!$B:$B,'Share, Heavy Weapons to Ukraine'!$B39,'Bilateral Assistance, MAIN DATA'!$AO:$AO,"227mm MLRS")</f>
        <v>0</v>
      </c>
      <c r="AT39" s="25">
        <f>SUMIFS('Bilateral Assistance, MAIN DATA'!$M:$M,'Bilateral Assistance, MAIN DATA'!$B:$B,'Share, Heavy Weapons to Ukraine'!$B39,'Bilateral Assistance, MAIN DATA'!$AO:$AO,'Share, Heavy Weapons to Ukraine'!AT$11)</f>
        <v>0</v>
      </c>
      <c r="AU39" s="25">
        <f>SUMIFS('Bilateral Assistance, MAIN DATA'!$M:$M,'Bilateral Assistance, MAIN DATA'!$B:$B,'Share, Heavy Weapons to Ukraine'!$B39,'Bilateral Assistance, MAIN DATA'!$AO:$AO,'Share, Heavy Weapons to Ukraine'!AU$11)</f>
        <v>0</v>
      </c>
      <c r="AV39" s="25">
        <f>SUMIFS('Bilateral Assistance, MAIN DATA'!$M:$M,'Bilateral Assistance, MAIN DATA'!$B:$B,'Share, Heavy Weapons to Ukraine'!$B39,'Bilateral Assistance, MAIN DATA'!$AO:$AO,'Share, Heavy Weapons to Ukraine'!AV$11)</f>
        <v>0</v>
      </c>
      <c r="AW39" s="25">
        <f>SUMIFS('Bilateral Assistance, MAIN DATA'!$M:$M,'Bilateral Assistance, MAIN DATA'!$B:$B,'Share, Heavy Weapons to Ukraine'!$B39,'Bilateral Assistance, MAIN DATA'!$AO:$AO,'Share, Heavy Weapons to Ukraine'!AW$11)</f>
        <v>0</v>
      </c>
      <c r="AX39" s="25">
        <f>SUMIFS('Bilateral Assistance, MAIN DATA'!$M:$M,'Bilateral Assistance, MAIN DATA'!$B:$B,'Share, Heavy Weapons to Ukraine'!$B39,'Bilateral Assistance, MAIN DATA'!$AO:$AO,'Share, Heavy Weapons to Ukraine'!AX$11)</f>
        <v>0</v>
      </c>
      <c r="AY39" s="410"/>
      <c r="AZ39" s="25">
        <f>SUMIFS('Bilateral Assistance, MAIN DATA'!$N:$N,'Bilateral Assistance, MAIN DATA'!$B:$B,'Share, Heavy Weapons to Ukraine'!$B39,'Bilateral Assistance, MAIN DATA'!$AO:$AO,'Share, Heavy Weapons to Ukraine'!AZ$11)</f>
        <v>0</v>
      </c>
      <c r="BA39" s="25">
        <f>SUMIFS('Bilateral Assistance, MAIN DATA'!$N:$N,'Bilateral Assistance, MAIN DATA'!$B:$B,'Share, Heavy Weapons to Ukraine'!$B39,'Bilateral Assistance, MAIN DATA'!$AO:$AO,'Share, Heavy Weapons to Ukraine'!BA$11)</f>
        <v>62</v>
      </c>
      <c r="BB39" s="25">
        <f>SUMIFS('Bilateral Assistance, MAIN DATA'!$N:$N,'Bilateral Assistance, MAIN DATA'!$B:$B,'Share, Heavy Weapons to Ukraine'!$B39,'Bilateral Assistance, MAIN DATA'!$AO:$AO,'Share, Heavy Weapons to Ukraine'!BB$11)</f>
        <v>0</v>
      </c>
      <c r="BC39" s="25">
        <f>SUMIFS('Bilateral Assistance, MAIN DATA'!$N:$N,'Bilateral Assistance, MAIN DATA'!$B:$B,'Share, Heavy Weapons to Ukraine'!$B39,'Bilateral Assistance, MAIN DATA'!$AO:$AO,'Share, Heavy Weapons to Ukraine'!BC$11)</f>
        <v>0</v>
      </c>
      <c r="BD39" s="25">
        <f>SUMIFS('Bilateral Assistance, MAIN DATA'!$N:$N,'Bilateral Assistance, MAIN DATA'!$B:$B,'Share, Heavy Weapons to Ukraine'!$B39,'Bilateral Assistance, MAIN DATA'!$AO:$AO,'Share, Heavy Weapons to Ukraine'!BD$11)</f>
        <v>0</v>
      </c>
      <c r="BE39" s="25">
        <f t="shared" si="2"/>
        <v>62</v>
      </c>
      <c r="BF39" s="25">
        <f>SUMIFS('Bilateral Assistance, MAIN DATA'!$N:$N,'Bilateral Assistance, MAIN DATA'!$B:$B,'Share, Heavy Weapons to Ukraine'!$B39,'Bilateral Assistance, MAIN DATA'!$AO:$AO,"155mm howitzer")+SUMIFS('Bilateral Assistance, MAIN DATA'!$N:$N,'Bilateral Assistance, MAIN DATA'!$B:$B,'Share, Heavy Weapons to Ukraine'!$B39,'Bilateral Assistance, MAIN DATA'!$AO:$AO,"152mm howitzer")</f>
        <v>0</v>
      </c>
      <c r="BG39" s="25">
        <f>SUMIFS('Bilateral Assistance, MAIN DATA'!$N:$N,'Bilateral Assistance, MAIN DATA'!$B:$B,'Share, Heavy Weapons to Ukraine'!$B39,'Bilateral Assistance, MAIN DATA'!$AO:$AO,"122mm MLRS")+SUMIFS('Bilateral Assistance, MAIN DATA'!$N:$N,'Bilateral Assistance, MAIN DATA'!$B:$B,'Share, Heavy Weapons to Ukraine'!$B39,'Bilateral Assistance, MAIN DATA'!$AO:$AO,"127mm MLRS")+SUMIFS('Bilateral Assistance, MAIN DATA'!$N:$N,'Bilateral Assistance, MAIN DATA'!$B:$B,'Share, Heavy Weapons to Ukraine'!$B39,'Bilateral Assistance, MAIN DATA'!$AO:$AO,"227mm MLRS")</f>
        <v>0</v>
      </c>
      <c r="BH39" s="25">
        <f>SUMIFS('Bilateral Assistance, MAIN DATA'!$N:$N,'Bilateral Assistance, MAIN DATA'!$B:$B,'Share, Heavy Weapons to Ukraine'!$B39,'Bilateral Assistance, MAIN DATA'!$AO:$AO,'Share, Heavy Weapons to Ukraine'!BH$11)</f>
        <v>0</v>
      </c>
      <c r="BI39" s="25">
        <f>SUMIFS('Bilateral Assistance, MAIN DATA'!$N:$N,'Bilateral Assistance, MAIN DATA'!$B:$B,'Share, Heavy Weapons to Ukraine'!$B39,'Bilateral Assistance, MAIN DATA'!$AO:$AO,'Share, Heavy Weapons to Ukraine'!BI$11)</f>
        <v>0</v>
      </c>
      <c r="BJ39" s="25">
        <f>SUMIFS('Bilateral Assistance, MAIN DATA'!$N:$N,'Bilateral Assistance, MAIN DATA'!$B:$B,'Share, Heavy Weapons to Ukraine'!$B39,'Bilateral Assistance, MAIN DATA'!$AO:$AO,'Share, Heavy Weapons to Ukraine'!BJ$11)</f>
        <v>0</v>
      </c>
      <c r="BK39" s="25">
        <f>SUMIFS('Bilateral Assistance, MAIN DATA'!$N:$N,'Bilateral Assistance, MAIN DATA'!$B:$B,'Share, Heavy Weapons to Ukraine'!$B39,'Bilateral Assistance, MAIN DATA'!$AO:$AO,'Share, Heavy Weapons to Ukraine'!BK$11)</f>
        <v>0</v>
      </c>
      <c r="BL39" s="25">
        <f>SUMIFS('Bilateral Assistance, MAIN DATA'!$N:$N,'Bilateral Assistance, MAIN DATA'!$B:$B,'Share, Heavy Weapons to Ukraine'!$B39,'Bilateral Assistance, MAIN DATA'!$AO:$AO,'Share, Heavy Weapons to Ukraine'!BL$11)</f>
        <v>0</v>
      </c>
      <c r="BM39" s="410"/>
      <c r="BN39" s="261">
        <f>IF(VLOOKUP($B39,$B:W,COLUMN(W38)-1,FALSE)&lt;&gt;0,VLOOKUP($B39,$B:AL,COLUMN(AL38)-1,FALSE)/VLOOKUP($B39,$B:W,COLUMN(W38)-1,FALSE),IF(VLOOKUP($B39,$B:AL,COLUMN(AL38)-1,FALSE)&lt;&gt;0,"unknown",0))</f>
        <v>0</v>
      </c>
      <c r="BO39" s="261">
        <f>IF(VLOOKUP($B39,$B:X,COLUMN(X38)-1,FALSE)&lt;&gt;0,VLOOKUP($B39,$B:AM,COLUMN(AM38)-1,FALSE)/VLOOKUP($B39,$B:X,COLUMN(X38)-1,FALSE),IF(VLOOKUP($B39,$B:AM,COLUMN(AM38)-1,FALSE)&lt;&gt;0,"unknown",0))</f>
        <v>0.20261437908496732</v>
      </c>
      <c r="BP39" s="261">
        <f>IF(VLOOKUP($B39,$B:Y,COLUMN(Y38)-1,FALSE)&lt;&gt;0,VLOOKUP($B39,$B:AN,COLUMN(AN38)-1,FALSE)/VLOOKUP($B39,$B:Y,COLUMN(Y38)-1,FALSE),IF(VLOOKUP($B39,$B:AN,COLUMN(AN38)-1,FALSE)&lt;&gt;0,"unknown",0))</f>
        <v>0</v>
      </c>
      <c r="BQ39" s="261">
        <f>IF(VLOOKUP($B39,$B:Z,COLUMN(Z38)-1,FALSE)&lt;&gt;0,VLOOKUP($B39,$B:AO,COLUMN(AO38)-1,FALSE)/VLOOKUP($B39,$B:Z,COLUMN(Z38)-1,FALSE),IF(VLOOKUP($B39,$B:AO,COLUMN(AO38)-1,FALSE)&lt;&gt;0,"unknown",0))</f>
        <v>0</v>
      </c>
      <c r="BR39" s="261">
        <f>IF(VLOOKUP($B39,$B:AA,COLUMN(AA38)-1,FALSE)&lt;&gt;0,VLOOKUP($B39,$B:AP,COLUMN(AP38)-1,FALSE)/VLOOKUP($B39,$B:AA,COLUMN(AA38)-1,FALSE),IF(VLOOKUP($B39,$B:AP,COLUMN(AP38)-1,FALSE)&lt;&gt;0,"unknown",0))</f>
        <v>0</v>
      </c>
      <c r="BS39" s="261">
        <f>IF(VLOOKUP($B39,$B:AB,COLUMN(AB38)-1,FALSE)&lt;&gt;0,VLOOKUP($B39,$B:AQ,COLUMN(AQ38)-1,FALSE)/VLOOKUP($B39,$B:AB,COLUMN(AB38)-1,FALSE),IF(VLOOKUP($B39,$B:AQ,COLUMN(AQ38)-1,FALSE)&lt;&gt;0,"unknown",0))</f>
        <v>0.18452380952380953</v>
      </c>
      <c r="BT39" s="261">
        <f>IF(VLOOKUP($B39,$B:AC,COLUMN(AC38)-1,FALSE)&lt;&gt;0,VLOOKUP($B39,$B:AR,COLUMN(AR38)-1,FALSE)/VLOOKUP($B39,$B:AC,COLUMN(AC38)-1,FALSE),IF(VLOOKUP($B39,$B:AR,COLUMN(AR38)-1,FALSE)&lt;&gt;0,"unknown",0))</f>
        <v>0</v>
      </c>
      <c r="BU39" s="261">
        <f>IF(VLOOKUP($B39,$B:AD,COLUMN(AD38)-1,FALSE)&lt;&gt;0,VLOOKUP($B39,$B:AS,COLUMN(AS38)-1,FALSE)/VLOOKUP($B39,$B:AD,COLUMN(AD38)-1,FALSE),IF(VLOOKUP($B39,$B:AS,COLUMN(AS38)-1,FALSE)&lt;&gt;0,"unknown",0))</f>
        <v>0</v>
      </c>
      <c r="BV39" s="261">
        <f>IF(VLOOKUP($B39,$B:AE,COLUMN(AE38)-1,FALSE)&lt;&gt;0,VLOOKUP($B39,$B:AT,COLUMN(AT38)-1,FALSE)/VLOOKUP($B39,$B:AE,COLUMN(AE38)-1,FALSE),IF(VLOOKUP($B39,$B:AT,COLUMN(AT38)-1,FALSE)&lt;&gt;0,"unknown",0))</f>
        <v>0</v>
      </c>
      <c r="BW39" s="261">
        <f>IF(VLOOKUP($B39,$B:AG,COLUMN(AG38)-1,FALSE)&lt;&gt;0,VLOOKUP($B39,$B:AU,COLUMN(AU38)-1,FALSE)/VLOOKUP($B39,$B:AG,COLUMN(AG38)-1,FALSE),IF(VLOOKUP($B39,$B:AU,COLUMN(AU38)-1,FALSE)&lt;&gt;0,"unknown",0))</f>
        <v>0</v>
      </c>
      <c r="BX39" s="261">
        <f>IF(VLOOKUP($B39,$B:AH,COLUMN(AH38)-1,FALSE)&lt;&gt;0,VLOOKUP($B39,$B:AV,COLUMN(AV38)-1,FALSE)/VLOOKUP($B39,$B:AH,COLUMN(AH38)-1,FALSE),IF(VLOOKUP($B39,$B:AV,COLUMN(AV38)-1,FALSE)&lt;&gt;0,"unknown",0))</f>
        <v>0</v>
      </c>
      <c r="BY39" s="261">
        <f>IF(VLOOKUP($B39,$B:AI,COLUMN(AI38)-1,FALSE)&lt;&gt;0,VLOOKUP($B39,$B:AW,COLUMN(AW38)-1,FALSE)/VLOOKUP($B39,$B:AI,COLUMN(AI38)-1,FALSE),IF(VLOOKUP($B39,$B:AW,COLUMN(AW38)-1,FALSE)&lt;&gt;0,"unknown",0))</f>
        <v>0</v>
      </c>
      <c r="BZ39" s="261">
        <f>IF(VLOOKUP($B39,$B:AJ,COLUMN(AJ38)-1,FALSE)&lt;&gt;0,VLOOKUP($B39,$B:AX,COLUMN(AX38)-1,FALSE)/VLOOKUP($B39,$B:AJ,COLUMN(AJ38)-1,FALSE),IF(VLOOKUP($B39,$B:AX,COLUMN(AX38)-1,FALSE)&lt;&gt;0,"unknown",0))</f>
        <v>0</v>
      </c>
      <c r="CA39" s="410"/>
      <c r="CB39" s="2">
        <f>IF(VLOOKUP($B39,$B:AM,COLUMN(W38)-1,FALSE)&lt;&gt;0,VLOOKUP($B39,$B:BA,COLUMN(AZ38)-1,FALSE)/VLOOKUP($B39,$B:AM,COLUMN(W38)-1,FALSE),IF(VLOOKUP($B39,$B:BA,COLUMN(AZ38)-1,FALSE)&lt;&gt;0,"unknown",0))</f>
        <v>0</v>
      </c>
      <c r="CC39" s="2">
        <f>IF(VLOOKUP($B39,$B:AN,COLUMN(X38)-1,FALSE)&lt;&gt;0,VLOOKUP($B39,$B:BB,COLUMN(BA38)-1,FALSE)/VLOOKUP($B39,$B:AN,COLUMN(X38)-1,FALSE),IF(VLOOKUP($B39,$B:BB,COLUMN(BA38)-1,FALSE)&lt;&gt;0,"unknown",0))</f>
        <v>0.20261437908496732</v>
      </c>
      <c r="CD39" s="2">
        <f>IF(VLOOKUP($B39,$B:AO,COLUMN(Y38)-1,FALSE)&lt;&gt;0,VLOOKUP($B39,$B:BC,COLUMN(BB38)-1,FALSE)/VLOOKUP($B39,$B:AO,COLUMN(Y38)-1,FALSE),IF(VLOOKUP($B39,$B:BC,COLUMN(BB38)-1,FALSE)&lt;&gt;0,"unknown",0))</f>
        <v>0</v>
      </c>
      <c r="CE39" s="2">
        <f>IF(VLOOKUP($B39,$B:AP,COLUMN(Z38)-1,FALSE)&lt;&gt;0,VLOOKUP($B39,$B:BD,COLUMN(BC38)-1,FALSE)/VLOOKUP($B39,$B:AP,COLUMN(Z38)-1,FALSE),IF(VLOOKUP($B39,$B:BD,COLUMN(BC38)-1,FALSE)&lt;&gt;0,"unknown",0))</f>
        <v>0</v>
      </c>
      <c r="CF39" s="2">
        <f>IF(VLOOKUP($B39,$B:AR,COLUMN(AA38)-1,FALSE)&lt;&gt;0,VLOOKUP($B39,$B:BF,COLUMN(BD38)-1,FALSE)/VLOOKUP($B39,$B:AR,COLUMN(AA38)-1,FALSE),IF(VLOOKUP($B39,$B:BF,COLUMN(BD38)-1,FALSE)&lt;&gt;0,"unknown",0))</f>
        <v>0</v>
      </c>
      <c r="CG39" s="2">
        <f>IF(VLOOKUP($B39,$B:AS,COLUMN(AB38)-1,FALSE)&lt;&gt;0,VLOOKUP($B39,$B:BG,COLUMN(BE38)-1,FALSE)/VLOOKUP($B39,$B:AS,COLUMN(AB38)-1,FALSE),IF(VLOOKUP($B39,$B:BG,COLUMN(BE38)-1,FALSE)&lt;&gt;0,"unknown",0))</f>
        <v>0.18452380952380953</v>
      </c>
      <c r="CH39" s="2">
        <f>IF(VLOOKUP($B39,$B:AS,COLUMN(AC38)-1,FALSE)&lt;&gt;0,VLOOKUP($B39,$B:BG,COLUMN(BF38)-1,FALSE)/VLOOKUP($B39,$B:AS,COLUMN(AC38)-1,FALSE),IF(VLOOKUP($B39,$B:BG,COLUMN(BF38)-1,FALSE)&lt;&gt;0,"unknown",0))</f>
        <v>0</v>
      </c>
      <c r="CI39" s="2">
        <f>IF(VLOOKUP($B39,$B:AT,COLUMN(AD38)-1,FALSE)&lt;&gt;0,VLOOKUP($B39,$B:BH,COLUMN(BG38)-1,FALSE)/VLOOKUP($B39,$B:AT,COLUMN(AD38)-1,FALSE),IF(VLOOKUP($B39,$B:BH,COLUMN(BG38)-1,FALSE)&lt;&gt;0,"unknown",0))</f>
        <v>0</v>
      </c>
      <c r="CJ39" s="2">
        <f>IF(VLOOKUP($B39,$B:AT,COLUMN(AE38)-1,FALSE)&lt;&gt;0,VLOOKUP($B39,$B:BH,COLUMN(BH38)-1,FALSE)/VLOOKUP($B39,$B:AT,COLUMN(AE38)-1,FALSE),IF(VLOOKUP($B39,$B:BH,COLUMN(BH38)-1,FALSE)&lt;&gt;0,"unknown",0))</f>
        <v>0</v>
      </c>
      <c r="CK39" s="2">
        <f>IF(VLOOKUP($B39,$B:AU,COLUMN(AG38)-1,FALSE)&lt;&gt;0,VLOOKUP($B39,$B:BI,COLUMN(BI38)-1,FALSE)/VLOOKUP($B39,$B:AU,COLUMN(AG38)-1,FALSE),IF(VLOOKUP($B39,$B:BI,COLUMN(BI38)-1,FALSE)&lt;&gt;0,"unknown",0))</f>
        <v>0</v>
      </c>
      <c r="CL39" s="2">
        <f>IF(VLOOKUP($B39,$B:AV,COLUMN(AH38)-1,FALSE)&lt;&gt;0,VLOOKUP($B39,$B:BJ,COLUMN(BJ38)-1,FALSE)/VLOOKUP($B39,$B:AV,COLUMN(AH38)-1,FALSE),IF(VLOOKUP($B39,$B:BJ,COLUMN(BJ38)-1,FALSE)&lt;&gt;0,"unknown",0))</f>
        <v>0</v>
      </c>
      <c r="CM39" s="2">
        <f>IF(VLOOKUP($B39,$B:AW,COLUMN(AI38)-1,FALSE)&lt;&gt;0,VLOOKUP($B39,$B:BK,COLUMN(BK38)-1,FALSE)/VLOOKUP($B39,$B:AW,COLUMN(AI38)-1,FALSE),IF(VLOOKUP($B39,$B:BK,COLUMN(BK38)-1,FALSE)&lt;&gt;0,"unknown",0))</f>
        <v>0</v>
      </c>
      <c r="CN39" s="2">
        <f>IF(VLOOKUP($B39,$B:AX,COLUMN(AJ38)-1,FALSE)&lt;&gt;0,VLOOKUP($B39,$B:BL,COLUMN(BL38)-1,FALSE)/VLOOKUP($B39,$B:AX,COLUMN(AJ38)-1,FALSE),IF(VLOOKUP($B39,$B:BL,COLUMN(BL38)-1,FALSE)&lt;&gt;0,"unknown",0))</f>
        <v>0</v>
      </c>
      <c r="CO39" s="410"/>
      <c r="CP39" s="2">
        <f>SUMIFS('Bilateral Assistance, MAIN DATA'!$M:$M,'Bilateral Assistance, MAIN DATA'!$B:$B,'Share, Heavy Weapons to Ukraine'!$B39,'Bilateral Assistance, MAIN DATA'!$AO:$AO,'Share, Heavy Weapons to Ukraine'!CP$11, 'Bilateral Assistance, MAIN DATA'!$AA:$AA,1)</f>
        <v>0</v>
      </c>
      <c r="CQ39" s="2">
        <f>SUMIFS('Bilateral Assistance, MAIN DATA'!$M:$M,'Bilateral Assistance, MAIN DATA'!$B:$B,'Share, Heavy Weapons to Ukraine'!$B39,'Bilateral Assistance, MAIN DATA'!$AO:$AO,'Share, Heavy Weapons to Ukraine'!CQ$11, 'Bilateral Assistance, MAIN DATA'!$AA:$AA,1)</f>
        <v>0</v>
      </c>
      <c r="CR39" s="2">
        <f>SUMIFS('Bilateral Assistance, MAIN DATA'!$M:$M,'Bilateral Assistance, MAIN DATA'!$B:$B,'Share, Heavy Weapons to Ukraine'!$B39,'Bilateral Assistance, MAIN DATA'!$AO:$AO,'Share, Heavy Weapons to Ukraine'!CR$11, 'Bilateral Assistance, MAIN DATA'!$AA:$AA,1)</f>
        <v>0</v>
      </c>
      <c r="CS39" s="2">
        <f>SUMIFS('Bilateral Assistance, MAIN DATA'!$M:$M,'Bilateral Assistance, MAIN DATA'!$B:$B,'Share, Heavy Weapons to Ukraine'!$B39,'Bilateral Assistance, MAIN DATA'!$AO:$AO,'Share, Heavy Weapons to Ukraine'!CS$11, 'Bilateral Assistance, MAIN DATA'!$AA:$AA,1)</f>
        <v>0</v>
      </c>
      <c r="CT39" s="410"/>
      <c r="CU39" s="2">
        <f>SUMIFS('Bilateral Assistance, MAIN DATA'!$N:$N,'Bilateral Assistance, MAIN DATA'!$B:$B,'Share, Heavy Weapons to Ukraine'!$B39,'Bilateral Assistance, MAIN DATA'!$AO:$AO,'Share, Heavy Weapons to Ukraine'!CU$11, 'Bilateral Assistance, MAIN DATA'!$AA:$AA,1)</f>
        <v>0</v>
      </c>
      <c r="CV39" s="2">
        <f>SUMIFS('Bilateral Assistance, MAIN DATA'!$N:$N,'Bilateral Assistance, MAIN DATA'!$B:$B,'Share, Heavy Weapons to Ukraine'!$B39,'Bilateral Assistance, MAIN DATA'!$AO:$AO,'Share, Heavy Weapons to Ukraine'!CV$11, 'Bilateral Assistance, MAIN DATA'!$AA:$AA,1)</f>
        <v>0</v>
      </c>
      <c r="CW39" s="2">
        <f>SUMIFS('Bilateral Assistance, MAIN DATA'!$N:$N,'Bilateral Assistance, MAIN DATA'!$B:$B,'Share, Heavy Weapons to Ukraine'!$B39,'Bilateral Assistance, MAIN DATA'!$AO:$AO,'Share, Heavy Weapons to Ukraine'!CW$11, 'Bilateral Assistance, MAIN DATA'!$AA:$AA,1)</f>
        <v>0</v>
      </c>
      <c r="CX39" s="2">
        <f>SUMIFS('Bilateral Assistance, MAIN DATA'!$N:$N,'Bilateral Assistance, MAIN DATA'!$B:$B,'Share, Heavy Weapons to Ukraine'!$B39,'Bilateral Assistance, MAIN DATA'!$AO:$AO,'Share, Heavy Weapons to Ukraine'!CX$11, 'Bilateral Assistance, MAIN DATA'!$AA:$AA,1)</f>
        <v>0</v>
      </c>
    </row>
    <row r="40" spans="2:102" ht="15.6">
      <c r="B40" s="409" t="s">
        <v>918</v>
      </c>
      <c r="C40" s="409">
        <v>0</v>
      </c>
      <c r="D40" s="2">
        <v>1</v>
      </c>
      <c r="E40" s="410"/>
      <c r="F40" s="569" t="s">
        <v>364</v>
      </c>
      <c r="G40" s="569" t="s">
        <v>364</v>
      </c>
      <c r="H40" s="569" t="s">
        <v>364</v>
      </c>
      <c r="I40" s="569" t="s">
        <v>364</v>
      </c>
      <c r="J40" s="569" t="s">
        <v>364</v>
      </c>
      <c r="K40" s="569" t="s">
        <v>364</v>
      </c>
      <c r="L40" s="569" t="s">
        <v>364</v>
      </c>
      <c r="M40" s="569" t="s">
        <v>364</v>
      </c>
      <c r="N40" s="569" t="s">
        <v>364</v>
      </c>
      <c r="O40" s="569" t="s">
        <v>364</v>
      </c>
      <c r="P40" s="569" t="s">
        <v>364</v>
      </c>
      <c r="Q40" s="569" t="s">
        <v>364</v>
      </c>
      <c r="R40" s="569" t="s">
        <v>364</v>
      </c>
      <c r="S40" s="569" t="s">
        <v>364</v>
      </c>
      <c r="T40" s="569" t="s">
        <v>364</v>
      </c>
      <c r="U40" s="410" t="str">
        <f>""</f>
        <v/>
      </c>
      <c r="V40" s="1334">
        <v>1.07</v>
      </c>
      <c r="W40" s="1334">
        <f>VLOOKUP(B40,'Heavy Weapon Stocks'!B:OA,COLUMN('Heavy Weapon Stocks'!$C$11)-1,FALSE)+IF(F40&lt;&gt;".",F40,0)</f>
        <v>75</v>
      </c>
      <c r="X40" s="1334">
        <f>VLOOKUP(B40,'Heavy Weapon Stocks'!B:OA,COLUMN('Heavy Weapon Stocks'!$AQ$11)-1,FALSE)</f>
        <v>147</v>
      </c>
      <c r="Y40" s="1334">
        <f>VLOOKUP(B40,'Heavy Weapon Stocks'!B:OA,COLUMN('Heavy Weapon Stocks'!$DK$11)-1,FALSE)</f>
        <v>41</v>
      </c>
      <c r="Z40" s="1334">
        <f>VLOOKUP(B40,'Heavy Weapon Stocks'!B:OA,COLUMN('Heavy Weapon Stocks'!$DY$11)-1,FALSE)</f>
        <v>172</v>
      </c>
      <c r="AA40" s="1334">
        <f>VLOOKUP(B40,'Heavy Weapon Stocks'!B:OA,COLUMN('Heavy Weapon Stocks'!$FA$11)-1,FALSE)+IF(G40&lt;&gt;".",G40,0)</f>
        <v>100</v>
      </c>
      <c r="AB40" s="1334">
        <f t="shared" si="3"/>
        <v>460</v>
      </c>
      <c r="AC40" s="1334">
        <f>VLOOKUP(B40,'Heavy Weapon Stocks'!B:OA,COLUMN('Heavy Weapon Stocks'!$GV$11)-1,FALSE)+VLOOKUP(B40,'Heavy Weapon Stocks'!B:OA,COLUMN('Heavy Weapon Stocks'!$HY$11)-1,FALSE)+IF(H40&lt;&gt;".",H40,0)</f>
        <v>13</v>
      </c>
      <c r="AD40" s="1334">
        <f>VLOOKUP(B40,'Heavy Weapon Stocks'!B:OA,COLUMN('Heavy Weapon Stocks'!$IF$11)-1,FALSE)+IF(I40&lt;&gt;".",I40,0)</f>
        <v>27</v>
      </c>
      <c r="AE40" s="1334">
        <f>VLOOKUP(B40,'Heavy Weapon Stocks'!B:OA,COLUMN('Heavy Weapon Stocks'!$IZ$11)-1,FALSE)+VLOOKUP(B40,'Heavy Weapon Stocks'!B:OA,COLUMN('Heavy Weapon Stocks'!$JW$11)-1,FALSE)</f>
        <v>8</v>
      </c>
      <c r="AF40" s="1334">
        <f>VLOOKUP(B40,'Heavy Weapon Stocks'!B:OA,COLUMN('Heavy Weapon Stocks'!$NL$11)-1,FALSE)+IF(L40&lt;&gt;".",L40,0)</f>
        <v>0</v>
      </c>
      <c r="AG40" s="1334">
        <f>VLOOKUP(B40,'Heavy Weapon Stocks'!B:OA,COLUMN('Heavy Weapon Stocks'!$LN$11)-1,FALSE)+IF(M40&lt;&gt;".",M40,0)</f>
        <v>0</v>
      </c>
      <c r="AH40" s="1334">
        <f>VLOOKUP(B40,'Heavy Weapon Stocks'!B:OA,COLUMN('Heavy Weapon Stocks'!$LX$11)-1,FALSE)+IF(N40&lt;&gt;".",N40,0)</f>
        <v>0</v>
      </c>
      <c r="AI40" s="1334">
        <f>VLOOKUP(B40,'Heavy Weapon Stocks'!B:OA,COLUMN('Heavy Weapon Stocks'!$ME$11)-1,FALSE)+IF(O40&lt;&gt;".",O40,0)</f>
        <v>0</v>
      </c>
      <c r="AJ40" s="1334">
        <f>VLOOKUP(B40,'Heavy Weapon Stocks'!B:OA,COLUMN('Heavy Weapon Stocks'!$NK$11)-1,FALSE)+IF(P40&lt;&gt;".",P40,0)</f>
        <v>0</v>
      </c>
      <c r="AK40" s="410"/>
      <c r="AL40" s="25">
        <f>SUMIFS('Bilateral Assistance, MAIN DATA'!$M:$M,'Bilateral Assistance, MAIN DATA'!$B:$B,'Share, Heavy Weapons to Ukraine'!$B40,'Bilateral Assistance, MAIN DATA'!$AO:$AO,'Share, Heavy Weapons to Ukraine'!AL$11)</f>
        <v>0</v>
      </c>
      <c r="AM40" s="25">
        <f>SUMIFS('Bilateral Assistance, MAIN DATA'!$M:$M,'Bilateral Assistance, MAIN DATA'!$B:$B,'Share, Heavy Weapons to Ukraine'!$B40,'Bilateral Assistance, MAIN DATA'!$AO:$AO,'Share, Heavy Weapons to Ukraine'!AM$11)</f>
        <v>0</v>
      </c>
      <c r="AN40" s="25">
        <f>SUMIFS('Bilateral Assistance, MAIN DATA'!$M:$M,'Bilateral Assistance, MAIN DATA'!$B:$B,'Share, Heavy Weapons to Ukraine'!$B40,'Bilateral Assistance, MAIN DATA'!$AO:$AO,'Share, Heavy Weapons to Ukraine'!AN$11)</f>
        <v>0</v>
      </c>
      <c r="AO40" s="25">
        <f>SUMIFS('Bilateral Assistance, MAIN DATA'!$M:$M,'Bilateral Assistance, MAIN DATA'!$B:$B,'Share, Heavy Weapons to Ukraine'!$B40,'Bilateral Assistance, MAIN DATA'!$AO:$AO,'Share, Heavy Weapons to Ukraine'!AO$11)</f>
        <v>0</v>
      </c>
      <c r="AP40" s="25">
        <f>SUMIFS('Bilateral Assistance, MAIN DATA'!$M:$M,'Bilateral Assistance, MAIN DATA'!$B:$B,'Share, Heavy Weapons to Ukraine'!$B40,'Bilateral Assistance, MAIN DATA'!$AO:$AO,'Share, Heavy Weapons to Ukraine'!AP$11)</f>
        <v>0</v>
      </c>
      <c r="AQ40" s="25">
        <f t="shared" si="1"/>
        <v>0</v>
      </c>
      <c r="AR40" s="25">
        <f>SUMIFS('Bilateral Assistance, MAIN DATA'!$M:$M,'Bilateral Assistance, MAIN DATA'!$B:$B,'Share, Heavy Weapons to Ukraine'!$B40,'Bilateral Assistance, MAIN DATA'!$AO:$AO,"155mm howitzer")+SUMIFS('Bilateral Assistance, MAIN DATA'!$M:$M,'Bilateral Assistance, MAIN DATA'!$B:$B,'Share, Heavy Weapons to Ukraine'!$B40,'Bilateral Assistance, MAIN DATA'!$AO:$AO,"152mm howitzer")</f>
        <v>0</v>
      </c>
      <c r="AS40" s="25">
        <f>SUMIFS('Bilateral Assistance, MAIN DATA'!$M:$M,'Bilateral Assistance, MAIN DATA'!$B:$B,'Share, Heavy Weapons to Ukraine'!$B40,'Bilateral Assistance, MAIN DATA'!$AO:$AO,"122mm MLRS")+SUMIFS('Bilateral Assistance, MAIN DATA'!$M:$M,'Bilateral Assistance, MAIN DATA'!$B:$B,'Share, Heavy Weapons to Ukraine'!$B40,'Bilateral Assistance, MAIN DATA'!$AO:$AO,"127mm MLRS")+SUMIFS('Bilateral Assistance, MAIN DATA'!$M:$M,'Bilateral Assistance, MAIN DATA'!$B:$B,'Share, Heavy Weapons to Ukraine'!$B40,'Bilateral Assistance, MAIN DATA'!$AO:$AO,"227mm MLRS")</f>
        <v>0</v>
      </c>
      <c r="AT40" s="25">
        <f>SUMIFS('Bilateral Assistance, MAIN DATA'!$M:$M,'Bilateral Assistance, MAIN DATA'!$B:$B,'Share, Heavy Weapons to Ukraine'!$B40,'Bilateral Assistance, MAIN DATA'!$AO:$AO,'Share, Heavy Weapons to Ukraine'!AT$11)</f>
        <v>0</v>
      </c>
      <c r="AU40" s="25">
        <f>SUMIFS('Bilateral Assistance, MAIN DATA'!$M:$M,'Bilateral Assistance, MAIN DATA'!$B:$B,'Share, Heavy Weapons to Ukraine'!$B40,'Bilateral Assistance, MAIN DATA'!$AO:$AO,'Share, Heavy Weapons to Ukraine'!AU$11)</f>
        <v>0</v>
      </c>
      <c r="AV40" s="25">
        <f>SUMIFS('Bilateral Assistance, MAIN DATA'!$M:$M,'Bilateral Assistance, MAIN DATA'!$B:$B,'Share, Heavy Weapons to Ukraine'!$B40,'Bilateral Assistance, MAIN DATA'!$AO:$AO,'Share, Heavy Weapons to Ukraine'!AV$11)</f>
        <v>0</v>
      </c>
      <c r="AW40" s="25">
        <f>SUMIFS('Bilateral Assistance, MAIN DATA'!$M:$M,'Bilateral Assistance, MAIN DATA'!$B:$B,'Share, Heavy Weapons to Ukraine'!$B40,'Bilateral Assistance, MAIN DATA'!$AO:$AO,'Share, Heavy Weapons to Ukraine'!AW$11)</f>
        <v>0</v>
      </c>
      <c r="AX40" s="25">
        <f>SUMIFS('Bilateral Assistance, MAIN DATA'!$M:$M,'Bilateral Assistance, MAIN DATA'!$B:$B,'Share, Heavy Weapons to Ukraine'!$B40,'Bilateral Assistance, MAIN DATA'!$AO:$AO,'Share, Heavy Weapons to Ukraine'!AX$11)</f>
        <v>0</v>
      </c>
      <c r="AY40" s="410"/>
      <c r="AZ40" s="25">
        <f>SUMIFS('Bilateral Assistance, MAIN DATA'!$N:$N,'Bilateral Assistance, MAIN DATA'!$B:$B,'Share, Heavy Weapons to Ukraine'!$B40,'Bilateral Assistance, MAIN DATA'!$AO:$AO,'Share, Heavy Weapons to Ukraine'!AZ$11)</f>
        <v>0</v>
      </c>
      <c r="BA40" s="25">
        <f>SUMIFS('Bilateral Assistance, MAIN DATA'!$N:$N,'Bilateral Assistance, MAIN DATA'!$B:$B,'Share, Heavy Weapons to Ukraine'!$B40,'Bilateral Assistance, MAIN DATA'!$AO:$AO,'Share, Heavy Weapons to Ukraine'!BA$11)</f>
        <v>0</v>
      </c>
      <c r="BB40" s="25">
        <f>SUMIFS('Bilateral Assistance, MAIN DATA'!$N:$N,'Bilateral Assistance, MAIN DATA'!$B:$B,'Share, Heavy Weapons to Ukraine'!$B40,'Bilateral Assistance, MAIN DATA'!$AO:$AO,'Share, Heavy Weapons to Ukraine'!BB$11)</f>
        <v>0</v>
      </c>
      <c r="BC40" s="25">
        <f>SUMIFS('Bilateral Assistance, MAIN DATA'!$N:$N,'Bilateral Assistance, MAIN DATA'!$B:$B,'Share, Heavy Weapons to Ukraine'!$B40,'Bilateral Assistance, MAIN DATA'!$AO:$AO,'Share, Heavy Weapons to Ukraine'!BC$11)</f>
        <v>0</v>
      </c>
      <c r="BD40" s="25">
        <f>SUMIFS('Bilateral Assistance, MAIN DATA'!$N:$N,'Bilateral Assistance, MAIN DATA'!$B:$B,'Share, Heavy Weapons to Ukraine'!$B40,'Bilateral Assistance, MAIN DATA'!$AO:$AO,'Share, Heavy Weapons to Ukraine'!BD$11)</f>
        <v>0</v>
      </c>
      <c r="BE40" s="25">
        <f t="shared" si="2"/>
        <v>0</v>
      </c>
      <c r="BF40" s="25">
        <f>SUMIFS('Bilateral Assistance, MAIN DATA'!$N:$N,'Bilateral Assistance, MAIN DATA'!$B:$B,'Share, Heavy Weapons to Ukraine'!$B40,'Bilateral Assistance, MAIN DATA'!$AO:$AO,"155mm howitzer")+SUMIFS('Bilateral Assistance, MAIN DATA'!$N:$N,'Bilateral Assistance, MAIN DATA'!$B:$B,'Share, Heavy Weapons to Ukraine'!$B40,'Bilateral Assistance, MAIN DATA'!$AO:$AO,"152mm howitzer")</f>
        <v>0</v>
      </c>
      <c r="BG40" s="25">
        <f>SUMIFS('Bilateral Assistance, MAIN DATA'!$N:$N,'Bilateral Assistance, MAIN DATA'!$B:$B,'Share, Heavy Weapons to Ukraine'!$B40,'Bilateral Assistance, MAIN DATA'!$AO:$AO,"122mm MLRS")+SUMIFS('Bilateral Assistance, MAIN DATA'!$N:$N,'Bilateral Assistance, MAIN DATA'!$B:$B,'Share, Heavy Weapons to Ukraine'!$B40,'Bilateral Assistance, MAIN DATA'!$AO:$AO,"127mm MLRS")+SUMIFS('Bilateral Assistance, MAIN DATA'!$N:$N,'Bilateral Assistance, MAIN DATA'!$B:$B,'Share, Heavy Weapons to Ukraine'!$B40,'Bilateral Assistance, MAIN DATA'!$AO:$AO,"227mm MLRS")</f>
        <v>0</v>
      </c>
      <c r="BH40" s="25">
        <f>SUMIFS('Bilateral Assistance, MAIN DATA'!$N:$N,'Bilateral Assistance, MAIN DATA'!$B:$B,'Share, Heavy Weapons to Ukraine'!$B40,'Bilateral Assistance, MAIN DATA'!$AO:$AO,'Share, Heavy Weapons to Ukraine'!BH$11)</f>
        <v>0</v>
      </c>
      <c r="BI40" s="25">
        <f>SUMIFS('Bilateral Assistance, MAIN DATA'!$N:$N,'Bilateral Assistance, MAIN DATA'!$B:$B,'Share, Heavy Weapons to Ukraine'!$B40,'Bilateral Assistance, MAIN DATA'!$AO:$AO,'Share, Heavy Weapons to Ukraine'!BI$11)</f>
        <v>0</v>
      </c>
      <c r="BJ40" s="25">
        <f>SUMIFS('Bilateral Assistance, MAIN DATA'!$N:$N,'Bilateral Assistance, MAIN DATA'!$B:$B,'Share, Heavy Weapons to Ukraine'!$B40,'Bilateral Assistance, MAIN DATA'!$AO:$AO,'Share, Heavy Weapons to Ukraine'!BJ$11)</f>
        <v>0</v>
      </c>
      <c r="BK40" s="25">
        <f>SUMIFS('Bilateral Assistance, MAIN DATA'!$N:$N,'Bilateral Assistance, MAIN DATA'!$B:$B,'Share, Heavy Weapons to Ukraine'!$B40,'Bilateral Assistance, MAIN DATA'!$AO:$AO,'Share, Heavy Weapons to Ukraine'!BK$11)</f>
        <v>0</v>
      </c>
      <c r="BL40" s="25">
        <f>SUMIFS('Bilateral Assistance, MAIN DATA'!$N:$N,'Bilateral Assistance, MAIN DATA'!$B:$B,'Share, Heavy Weapons to Ukraine'!$B40,'Bilateral Assistance, MAIN DATA'!$AO:$AO,'Share, Heavy Weapons to Ukraine'!BL$11)</f>
        <v>0</v>
      </c>
      <c r="BM40" s="410"/>
      <c r="BN40" s="261">
        <f>IF(VLOOKUP($B40,$B:W,COLUMN(W39)-1,FALSE)&lt;&gt;0,VLOOKUP($B40,$B:AL,COLUMN(AL39)-1,FALSE)/VLOOKUP($B40,$B:W,COLUMN(W39)-1,FALSE),IF(VLOOKUP($B40,$B:AL,COLUMN(AL39)-1,FALSE)&lt;&gt;0,"unknown",0))</f>
        <v>0</v>
      </c>
      <c r="BO40" s="261">
        <f>IF(VLOOKUP($B40,$B:X,COLUMN(X39)-1,FALSE)&lt;&gt;0,VLOOKUP($B40,$B:AM,COLUMN(AM39)-1,FALSE)/VLOOKUP($B40,$B:X,COLUMN(X39)-1,FALSE),IF(VLOOKUP($B40,$B:AM,COLUMN(AM39)-1,FALSE)&lt;&gt;0,"unknown",0))</f>
        <v>0</v>
      </c>
      <c r="BP40" s="261">
        <f>IF(VLOOKUP($B40,$B:Y,COLUMN(Y39)-1,FALSE)&lt;&gt;0,VLOOKUP($B40,$B:AN,COLUMN(AN39)-1,FALSE)/VLOOKUP($B40,$B:Y,COLUMN(Y39)-1,FALSE),IF(VLOOKUP($B40,$B:AN,COLUMN(AN39)-1,FALSE)&lt;&gt;0,"unknown",0))</f>
        <v>0</v>
      </c>
      <c r="BQ40" s="261">
        <f>IF(VLOOKUP($B40,$B:Z,COLUMN(Z39)-1,FALSE)&lt;&gt;0,VLOOKUP($B40,$B:AO,COLUMN(AO39)-1,FALSE)/VLOOKUP($B40,$B:Z,COLUMN(Z39)-1,FALSE),IF(VLOOKUP($B40,$B:AO,COLUMN(AO39)-1,FALSE)&lt;&gt;0,"unknown",0))</f>
        <v>0</v>
      </c>
      <c r="BR40" s="261">
        <f>IF(VLOOKUP($B40,$B:AA,COLUMN(AA39)-1,FALSE)&lt;&gt;0,VLOOKUP($B40,$B:AP,COLUMN(AP39)-1,FALSE)/VLOOKUP($B40,$B:AA,COLUMN(AA39)-1,FALSE),IF(VLOOKUP($B40,$B:AP,COLUMN(AP39)-1,FALSE)&lt;&gt;0,"unknown",0))</f>
        <v>0</v>
      </c>
      <c r="BS40" s="261">
        <f>IF(VLOOKUP($B40,$B:AB,COLUMN(AB39)-1,FALSE)&lt;&gt;0,VLOOKUP($B40,$B:AQ,COLUMN(AQ39)-1,FALSE)/VLOOKUP($B40,$B:AB,COLUMN(AB39)-1,FALSE),IF(VLOOKUP($B40,$B:AQ,COLUMN(AQ39)-1,FALSE)&lt;&gt;0,"unknown",0))</f>
        <v>0</v>
      </c>
      <c r="BT40" s="261">
        <f>IF(VLOOKUP($B40,$B:AC,COLUMN(AC39)-1,FALSE)&lt;&gt;0,VLOOKUP($B40,$B:AR,COLUMN(AR39)-1,FALSE)/VLOOKUP($B40,$B:AC,COLUMN(AC39)-1,FALSE),IF(VLOOKUP($B40,$B:AR,COLUMN(AR39)-1,FALSE)&lt;&gt;0,"unknown",0))</f>
        <v>0</v>
      </c>
      <c r="BU40" s="261">
        <f>IF(VLOOKUP($B40,$B:AD,COLUMN(AD39)-1,FALSE)&lt;&gt;0,VLOOKUP($B40,$B:AS,COLUMN(AS39)-1,FALSE)/VLOOKUP($B40,$B:AD,COLUMN(AD39)-1,FALSE),IF(VLOOKUP($B40,$B:AS,COLUMN(AS39)-1,FALSE)&lt;&gt;0,"unknown",0))</f>
        <v>0</v>
      </c>
      <c r="BV40" s="261">
        <f>IF(VLOOKUP($B40,$B:AE,COLUMN(AE39)-1,FALSE)&lt;&gt;0,VLOOKUP($B40,$B:AT,COLUMN(AT39)-1,FALSE)/VLOOKUP($B40,$B:AE,COLUMN(AE39)-1,FALSE),IF(VLOOKUP($B40,$B:AT,COLUMN(AT39)-1,FALSE)&lt;&gt;0,"unknown",0))</f>
        <v>0</v>
      </c>
      <c r="BW40" s="261">
        <f>IF(VLOOKUP($B40,$B:AG,COLUMN(AG39)-1,FALSE)&lt;&gt;0,VLOOKUP($B40,$B:AU,COLUMN(AU39)-1,FALSE)/VLOOKUP($B40,$B:AG,COLUMN(AG39)-1,FALSE),IF(VLOOKUP($B40,$B:AU,COLUMN(AU39)-1,FALSE)&lt;&gt;0,"unknown",0))</f>
        <v>0</v>
      </c>
      <c r="BX40" s="261">
        <f>IF(VLOOKUP($B40,$B:AH,COLUMN(AH39)-1,FALSE)&lt;&gt;0,VLOOKUP($B40,$B:AV,COLUMN(AV39)-1,FALSE)/VLOOKUP($B40,$B:AH,COLUMN(AH39)-1,FALSE),IF(VLOOKUP($B40,$B:AV,COLUMN(AV39)-1,FALSE)&lt;&gt;0,"unknown",0))</f>
        <v>0</v>
      </c>
      <c r="BY40" s="261">
        <f>IF(VLOOKUP($B40,$B:AI,COLUMN(AI39)-1,FALSE)&lt;&gt;0,VLOOKUP($B40,$B:AW,COLUMN(AW39)-1,FALSE)/VLOOKUP($B40,$B:AI,COLUMN(AI39)-1,FALSE),IF(VLOOKUP($B40,$B:AW,COLUMN(AW39)-1,FALSE)&lt;&gt;0,"unknown",0))</f>
        <v>0</v>
      </c>
      <c r="BZ40" s="261">
        <f>IF(VLOOKUP($B40,$B:AJ,COLUMN(AJ39)-1,FALSE)&lt;&gt;0,VLOOKUP($B40,$B:AX,COLUMN(AX39)-1,FALSE)/VLOOKUP($B40,$B:AJ,COLUMN(AJ39)-1,FALSE),IF(VLOOKUP($B40,$B:AX,COLUMN(AX39)-1,FALSE)&lt;&gt;0,"unknown",0))</f>
        <v>0</v>
      </c>
      <c r="CA40" s="410"/>
      <c r="CB40" s="2">
        <f>IF(VLOOKUP($B40,$B:AM,COLUMN(W39)-1,FALSE)&lt;&gt;0,VLOOKUP($B40,$B:BA,COLUMN(AZ39)-1,FALSE)/VLOOKUP($B40,$B:AM,COLUMN(W39)-1,FALSE),IF(VLOOKUP($B40,$B:BA,COLUMN(AZ39)-1,FALSE)&lt;&gt;0,"unknown",0))</f>
        <v>0</v>
      </c>
      <c r="CC40" s="2">
        <f>IF(VLOOKUP($B40,$B:AN,COLUMN(X39)-1,FALSE)&lt;&gt;0,VLOOKUP($B40,$B:BB,COLUMN(BA39)-1,FALSE)/VLOOKUP($B40,$B:AN,COLUMN(X39)-1,FALSE),IF(VLOOKUP($B40,$B:BB,COLUMN(BA39)-1,FALSE)&lt;&gt;0,"unknown",0))</f>
        <v>0</v>
      </c>
      <c r="CD40" s="2">
        <f>IF(VLOOKUP($B40,$B:AO,COLUMN(Y39)-1,FALSE)&lt;&gt;0,VLOOKUP($B40,$B:BC,COLUMN(BB39)-1,FALSE)/VLOOKUP($B40,$B:AO,COLUMN(Y39)-1,FALSE),IF(VLOOKUP($B40,$B:BC,COLUMN(BB39)-1,FALSE)&lt;&gt;0,"unknown",0))</f>
        <v>0</v>
      </c>
      <c r="CE40" s="2">
        <f>IF(VLOOKUP($B40,$B:AP,COLUMN(Z39)-1,FALSE)&lt;&gt;0,VLOOKUP($B40,$B:BD,COLUMN(BC39)-1,FALSE)/VLOOKUP($B40,$B:AP,COLUMN(Z39)-1,FALSE),IF(VLOOKUP($B40,$B:BD,COLUMN(BC39)-1,FALSE)&lt;&gt;0,"unknown",0))</f>
        <v>0</v>
      </c>
      <c r="CF40" s="2">
        <f>IF(VLOOKUP($B40,$B:AR,COLUMN(AA39)-1,FALSE)&lt;&gt;0,VLOOKUP($B40,$B:BF,COLUMN(BD39)-1,FALSE)/VLOOKUP($B40,$B:AR,COLUMN(AA39)-1,FALSE),IF(VLOOKUP($B40,$B:BF,COLUMN(BD39)-1,FALSE)&lt;&gt;0,"unknown",0))</f>
        <v>0</v>
      </c>
      <c r="CG40" s="2">
        <f>IF(VLOOKUP($B40,$B:AS,COLUMN(AB39)-1,FALSE)&lt;&gt;0,VLOOKUP($B40,$B:BG,COLUMN(BE39)-1,FALSE)/VLOOKUP($B40,$B:AS,COLUMN(AB39)-1,FALSE),IF(VLOOKUP($B40,$B:BG,COLUMN(BE39)-1,FALSE)&lt;&gt;0,"unknown",0))</f>
        <v>0</v>
      </c>
      <c r="CH40" s="2">
        <f>IF(VLOOKUP($B40,$B:AS,COLUMN(AC39)-1,FALSE)&lt;&gt;0,VLOOKUP($B40,$B:BG,COLUMN(BF39)-1,FALSE)/VLOOKUP($B40,$B:AS,COLUMN(AC39)-1,FALSE),IF(VLOOKUP($B40,$B:BG,COLUMN(BF39)-1,FALSE)&lt;&gt;0,"unknown",0))</f>
        <v>0</v>
      </c>
      <c r="CI40" s="2">
        <f>IF(VLOOKUP($B40,$B:AT,COLUMN(AD39)-1,FALSE)&lt;&gt;0,VLOOKUP($B40,$B:BH,COLUMN(BG39)-1,FALSE)/VLOOKUP($B40,$B:AT,COLUMN(AD39)-1,FALSE),IF(VLOOKUP($B40,$B:BH,COLUMN(BG39)-1,FALSE)&lt;&gt;0,"unknown",0))</f>
        <v>0</v>
      </c>
      <c r="CJ40" s="2">
        <f>IF(VLOOKUP($B40,$B:AT,COLUMN(AE39)-1,FALSE)&lt;&gt;0,VLOOKUP($B40,$B:BH,COLUMN(BH39)-1,FALSE)/VLOOKUP($B40,$B:AT,COLUMN(AE39)-1,FALSE),IF(VLOOKUP($B40,$B:BH,COLUMN(BH39)-1,FALSE)&lt;&gt;0,"unknown",0))</f>
        <v>0</v>
      </c>
      <c r="CK40" s="2">
        <f>IF(VLOOKUP($B40,$B:AU,COLUMN(AG39)-1,FALSE)&lt;&gt;0,VLOOKUP($B40,$B:BI,COLUMN(BI39)-1,FALSE)/VLOOKUP($B40,$B:AU,COLUMN(AG39)-1,FALSE),IF(VLOOKUP($B40,$B:BI,COLUMN(BI39)-1,FALSE)&lt;&gt;0,"unknown",0))</f>
        <v>0</v>
      </c>
      <c r="CL40" s="2">
        <f>IF(VLOOKUP($B40,$B:AV,COLUMN(AH39)-1,FALSE)&lt;&gt;0,VLOOKUP($B40,$B:BJ,COLUMN(BJ39)-1,FALSE)/VLOOKUP($B40,$B:AV,COLUMN(AH39)-1,FALSE),IF(VLOOKUP($B40,$B:BJ,COLUMN(BJ39)-1,FALSE)&lt;&gt;0,"unknown",0))</f>
        <v>0</v>
      </c>
      <c r="CM40" s="2">
        <f>IF(VLOOKUP($B40,$B:AW,COLUMN(AI39)-1,FALSE)&lt;&gt;0,VLOOKUP($B40,$B:BK,COLUMN(BK39)-1,FALSE)/VLOOKUP($B40,$B:AW,COLUMN(AI39)-1,FALSE),IF(VLOOKUP($B40,$B:BK,COLUMN(BK39)-1,FALSE)&lt;&gt;0,"unknown",0))</f>
        <v>0</v>
      </c>
      <c r="CN40" s="2">
        <f>IF(VLOOKUP($B40,$B:AX,COLUMN(AJ39)-1,FALSE)&lt;&gt;0,VLOOKUP($B40,$B:BL,COLUMN(BL39)-1,FALSE)/VLOOKUP($B40,$B:AX,COLUMN(AJ39)-1,FALSE),IF(VLOOKUP($B40,$B:BL,COLUMN(BL39)-1,FALSE)&lt;&gt;0,"unknown",0))</f>
        <v>0</v>
      </c>
      <c r="CO40" s="410"/>
      <c r="CP40" s="2">
        <f>SUMIFS('Bilateral Assistance, MAIN DATA'!$M:$M,'Bilateral Assistance, MAIN DATA'!$B:$B,'Share, Heavy Weapons to Ukraine'!$B40,'Bilateral Assistance, MAIN DATA'!$AO:$AO,'Share, Heavy Weapons to Ukraine'!CP$11, 'Bilateral Assistance, MAIN DATA'!$AA:$AA,1)</f>
        <v>0</v>
      </c>
      <c r="CQ40" s="2">
        <f>SUMIFS('Bilateral Assistance, MAIN DATA'!$M:$M,'Bilateral Assistance, MAIN DATA'!$B:$B,'Share, Heavy Weapons to Ukraine'!$B40,'Bilateral Assistance, MAIN DATA'!$AO:$AO,'Share, Heavy Weapons to Ukraine'!CQ$11, 'Bilateral Assistance, MAIN DATA'!$AA:$AA,1)</f>
        <v>0</v>
      </c>
      <c r="CR40" s="2">
        <f>SUMIFS('Bilateral Assistance, MAIN DATA'!$M:$M,'Bilateral Assistance, MAIN DATA'!$B:$B,'Share, Heavy Weapons to Ukraine'!$B40,'Bilateral Assistance, MAIN DATA'!$AO:$AO,'Share, Heavy Weapons to Ukraine'!CR$11, 'Bilateral Assistance, MAIN DATA'!$AA:$AA,1)</f>
        <v>0</v>
      </c>
      <c r="CS40" s="2">
        <f>SUMIFS('Bilateral Assistance, MAIN DATA'!$M:$M,'Bilateral Assistance, MAIN DATA'!$B:$B,'Share, Heavy Weapons to Ukraine'!$B40,'Bilateral Assistance, MAIN DATA'!$AO:$AO,'Share, Heavy Weapons to Ukraine'!CS$11, 'Bilateral Assistance, MAIN DATA'!$AA:$AA,1)</f>
        <v>0</v>
      </c>
      <c r="CT40" s="410"/>
      <c r="CU40" s="2">
        <f>SUMIFS('Bilateral Assistance, MAIN DATA'!$N:$N,'Bilateral Assistance, MAIN DATA'!$B:$B,'Share, Heavy Weapons to Ukraine'!$B40,'Bilateral Assistance, MAIN DATA'!$AO:$AO,'Share, Heavy Weapons to Ukraine'!CU$11, 'Bilateral Assistance, MAIN DATA'!$AA:$AA,1)</f>
        <v>0</v>
      </c>
      <c r="CV40" s="2">
        <f>SUMIFS('Bilateral Assistance, MAIN DATA'!$N:$N,'Bilateral Assistance, MAIN DATA'!$B:$B,'Share, Heavy Weapons to Ukraine'!$B40,'Bilateral Assistance, MAIN DATA'!$AO:$AO,'Share, Heavy Weapons to Ukraine'!CV$11, 'Bilateral Assistance, MAIN DATA'!$AA:$AA,1)</f>
        <v>0</v>
      </c>
      <c r="CW40" s="2">
        <f>SUMIFS('Bilateral Assistance, MAIN DATA'!$N:$N,'Bilateral Assistance, MAIN DATA'!$B:$B,'Share, Heavy Weapons to Ukraine'!$B40,'Bilateral Assistance, MAIN DATA'!$AO:$AO,'Share, Heavy Weapons to Ukraine'!CW$11, 'Bilateral Assistance, MAIN DATA'!$AA:$AA,1)</f>
        <v>0</v>
      </c>
      <c r="CX40" s="2">
        <f>SUMIFS('Bilateral Assistance, MAIN DATA'!$N:$N,'Bilateral Assistance, MAIN DATA'!$B:$B,'Share, Heavy Weapons to Ukraine'!$B40,'Bilateral Assistance, MAIN DATA'!$AO:$AO,'Share, Heavy Weapons to Ukraine'!CX$11, 'Bilateral Assistance, MAIN DATA'!$AA:$AA,1)</f>
        <v>0</v>
      </c>
    </row>
    <row r="41" spans="2:102" ht="15.6">
      <c r="B41" s="409" t="s">
        <v>2392</v>
      </c>
      <c r="C41" s="409">
        <v>0</v>
      </c>
      <c r="D41" s="2">
        <v>1</v>
      </c>
      <c r="E41" s="410"/>
      <c r="F41" s="569" t="s">
        <v>364</v>
      </c>
      <c r="G41" s="569" t="s">
        <v>364</v>
      </c>
      <c r="H41" s="569" t="s">
        <v>364</v>
      </c>
      <c r="I41" s="569" t="s">
        <v>364</v>
      </c>
      <c r="J41" s="569" t="s">
        <v>364</v>
      </c>
      <c r="K41" s="569" t="s">
        <v>364</v>
      </c>
      <c r="L41" s="569" t="s">
        <v>364</v>
      </c>
      <c r="M41" s="569" t="s">
        <v>364</v>
      </c>
      <c r="N41" s="569" t="s">
        <v>364</v>
      </c>
      <c r="O41" s="569" t="s">
        <v>364</v>
      </c>
      <c r="P41" s="569" t="s">
        <v>364</v>
      </c>
      <c r="Q41" s="569" t="s">
        <v>364</v>
      </c>
      <c r="R41" s="569" t="s">
        <v>364</v>
      </c>
      <c r="S41" s="569" t="s">
        <v>364</v>
      </c>
      <c r="T41" s="569" t="s">
        <v>364</v>
      </c>
      <c r="U41" s="410" t="str">
        <f>""</f>
        <v/>
      </c>
      <c r="V41" s="1334">
        <v>0.83499999999999996</v>
      </c>
      <c r="W41" s="1334">
        <f>VLOOKUP(B41,'Heavy Weapon Stocks'!B:OA,COLUMN('Heavy Weapon Stocks'!$C$11)-1,FALSE)+IF(F41&lt;&gt;".",F41,0)</f>
        <v>3</v>
      </c>
      <c r="X41" s="1334">
        <f>VLOOKUP(B41,'Heavy Weapon Stocks'!B:OA,COLUMN('Heavy Weapon Stocks'!$AQ$11)-1,FALSE)</f>
        <v>4</v>
      </c>
      <c r="Y41" s="1334">
        <f>VLOOKUP(B41,'Heavy Weapon Stocks'!B:OA,COLUMN('Heavy Weapon Stocks'!$DK$11)-1,FALSE)</f>
        <v>0</v>
      </c>
      <c r="Z41" s="1334">
        <f>VLOOKUP(B41,'Heavy Weapon Stocks'!B:OA,COLUMN('Heavy Weapon Stocks'!$DY$11)-1,FALSE)</f>
        <v>0</v>
      </c>
      <c r="AA41" s="1334">
        <f>VLOOKUP(B41,'Heavy Weapon Stocks'!B:OA,COLUMN('Heavy Weapon Stocks'!$FA$11)-1,FALSE)+IF(G41&lt;&gt;".",G41,0)</f>
        <v>0</v>
      </c>
      <c r="AB41" s="1334">
        <f t="shared" si="3"/>
        <v>4</v>
      </c>
      <c r="AC41" s="1334">
        <f>VLOOKUP(B41,'Heavy Weapon Stocks'!B:OA,COLUMN('Heavy Weapon Stocks'!$GV$11)-1,FALSE)+VLOOKUP(B41,'Heavy Weapon Stocks'!B:OA,COLUMN('Heavy Weapon Stocks'!$HY$11)-1,FALSE)+IF(H41&lt;&gt;".",H41,0)</f>
        <v>47</v>
      </c>
      <c r="AD41" s="1334">
        <f>VLOOKUP(B41,'Heavy Weapon Stocks'!B:OA,COLUMN('Heavy Weapon Stocks'!$IF$11)-1,FALSE)+IF(I41&lt;&gt;".",I41,0)</f>
        <v>0</v>
      </c>
      <c r="AE41" s="1334">
        <f>VLOOKUP(B41,'Heavy Weapon Stocks'!B:OA,COLUMN('Heavy Weapon Stocks'!$IZ$11)-1,FALSE)+VLOOKUP(B41,'Heavy Weapon Stocks'!B:OA,COLUMN('Heavy Weapon Stocks'!$JW$11)-1,FALSE)</f>
        <v>0</v>
      </c>
      <c r="AF41" s="1334">
        <f>VLOOKUP(B41,'Heavy Weapon Stocks'!B:OA,COLUMN('Heavy Weapon Stocks'!$NL$11)-1,FALSE)+IF(L41&lt;&gt;".",L41,0)</f>
        <v>0</v>
      </c>
      <c r="AG41" s="1334">
        <f>VLOOKUP(B41,'Heavy Weapon Stocks'!B:OA,COLUMN('Heavy Weapon Stocks'!$LN$11)-1,FALSE)+IF(M41&lt;&gt;".",M41,0)</f>
        <v>0</v>
      </c>
      <c r="AH41" s="1334">
        <f>VLOOKUP(B41,'Heavy Weapon Stocks'!B:OA,COLUMN('Heavy Weapon Stocks'!$LX$11)-1,FALSE)+IF(N41&lt;&gt;".",N41,0)</f>
        <v>0</v>
      </c>
      <c r="AI41" s="1334">
        <f>VLOOKUP(B41,'Heavy Weapon Stocks'!B:OA,COLUMN('Heavy Weapon Stocks'!$ME$11)-1,FALSE)+IF(O41&lt;&gt;".",O41,0)</f>
        <v>0</v>
      </c>
      <c r="AJ41" s="1334">
        <f>VLOOKUP(B41,'Heavy Weapon Stocks'!B:OA,COLUMN('Heavy Weapon Stocks'!$NK$11)-1,FALSE)+IF(P41&lt;&gt;".",P41,0)</f>
        <v>0</v>
      </c>
      <c r="AK41" s="410"/>
      <c r="AL41" s="25">
        <f>SUMIFS('Bilateral Assistance, MAIN DATA'!$M:$M,'Bilateral Assistance, MAIN DATA'!$B:$B,'Share, Heavy Weapons to Ukraine'!$B41,'Bilateral Assistance, MAIN DATA'!$AO:$AO,'Share, Heavy Weapons to Ukraine'!AL$11)</f>
        <v>0</v>
      </c>
      <c r="AM41" s="25">
        <f>SUMIFS('Bilateral Assistance, MAIN DATA'!$M:$M,'Bilateral Assistance, MAIN DATA'!$B:$B,'Share, Heavy Weapons to Ukraine'!$B41,'Bilateral Assistance, MAIN DATA'!$AO:$AO,'Share, Heavy Weapons to Ukraine'!AM$11)</f>
        <v>0</v>
      </c>
      <c r="AN41" s="25">
        <f>SUMIFS('Bilateral Assistance, MAIN DATA'!$M:$M,'Bilateral Assistance, MAIN DATA'!$B:$B,'Share, Heavy Weapons to Ukraine'!$B41,'Bilateral Assistance, MAIN DATA'!$AO:$AO,'Share, Heavy Weapons to Ukraine'!AN$11)</f>
        <v>0</v>
      </c>
      <c r="AO41" s="25">
        <f>SUMIFS('Bilateral Assistance, MAIN DATA'!$M:$M,'Bilateral Assistance, MAIN DATA'!$B:$B,'Share, Heavy Weapons to Ukraine'!$B41,'Bilateral Assistance, MAIN DATA'!$AO:$AO,'Share, Heavy Weapons to Ukraine'!AO$11)</f>
        <v>0</v>
      </c>
      <c r="AP41" s="25">
        <f>SUMIFS('Bilateral Assistance, MAIN DATA'!$M:$M,'Bilateral Assistance, MAIN DATA'!$B:$B,'Share, Heavy Weapons to Ukraine'!$B41,'Bilateral Assistance, MAIN DATA'!$AO:$AO,'Share, Heavy Weapons to Ukraine'!AP$11)</f>
        <v>0</v>
      </c>
      <c r="AQ41" s="25">
        <f t="shared" si="1"/>
        <v>0</v>
      </c>
      <c r="AR41" s="25">
        <f>SUMIFS('Bilateral Assistance, MAIN DATA'!$M:$M,'Bilateral Assistance, MAIN DATA'!$B:$B,'Share, Heavy Weapons to Ukraine'!$B41,'Bilateral Assistance, MAIN DATA'!$AO:$AO,"155mm howitzer")+SUMIFS('Bilateral Assistance, MAIN DATA'!$M:$M,'Bilateral Assistance, MAIN DATA'!$B:$B,'Share, Heavy Weapons to Ukraine'!$B41,'Bilateral Assistance, MAIN DATA'!$AO:$AO,"152mm howitzer")</f>
        <v>6</v>
      </c>
      <c r="AS41" s="25">
        <f>SUMIFS('Bilateral Assistance, MAIN DATA'!$M:$M,'Bilateral Assistance, MAIN DATA'!$B:$B,'Share, Heavy Weapons to Ukraine'!$B41,'Bilateral Assistance, MAIN DATA'!$AO:$AO,"122mm MLRS")+SUMIFS('Bilateral Assistance, MAIN DATA'!$M:$M,'Bilateral Assistance, MAIN DATA'!$B:$B,'Share, Heavy Weapons to Ukraine'!$B41,'Bilateral Assistance, MAIN DATA'!$AO:$AO,"127mm MLRS")+SUMIFS('Bilateral Assistance, MAIN DATA'!$M:$M,'Bilateral Assistance, MAIN DATA'!$B:$B,'Share, Heavy Weapons to Ukraine'!$B41,'Bilateral Assistance, MAIN DATA'!$AO:$AO,"227mm MLRS")</f>
        <v>0</v>
      </c>
      <c r="AT41" s="25">
        <f>SUMIFS('Bilateral Assistance, MAIN DATA'!$M:$M,'Bilateral Assistance, MAIN DATA'!$B:$B,'Share, Heavy Weapons to Ukraine'!$B41,'Bilateral Assistance, MAIN DATA'!$AO:$AO,'Share, Heavy Weapons to Ukraine'!AT$11)</f>
        <v>0</v>
      </c>
      <c r="AU41" s="25">
        <f>SUMIFS('Bilateral Assistance, MAIN DATA'!$M:$M,'Bilateral Assistance, MAIN DATA'!$B:$B,'Share, Heavy Weapons to Ukraine'!$B41,'Bilateral Assistance, MAIN DATA'!$AO:$AO,'Share, Heavy Weapons to Ukraine'!AU$11)</f>
        <v>0</v>
      </c>
      <c r="AV41" s="25">
        <f>SUMIFS('Bilateral Assistance, MAIN DATA'!$M:$M,'Bilateral Assistance, MAIN DATA'!$B:$B,'Share, Heavy Weapons to Ukraine'!$B41,'Bilateral Assistance, MAIN DATA'!$AO:$AO,'Share, Heavy Weapons to Ukraine'!AV$11)</f>
        <v>0</v>
      </c>
      <c r="AW41" s="25">
        <f>SUMIFS('Bilateral Assistance, MAIN DATA'!$M:$M,'Bilateral Assistance, MAIN DATA'!$B:$B,'Share, Heavy Weapons to Ukraine'!$B41,'Bilateral Assistance, MAIN DATA'!$AO:$AO,'Share, Heavy Weapons to Ukraine'!AW$11)</f>
        <v>0</v>
      </c>
      <c r="AX41" s="25">
        <f>SUMIFS('Bilateral Assistance, MAIN DATA'!$M:$M,'Bilateral Assistance, MAIN DATA'!$B:$B,'Share, Heavy Weapons to Ukraine'!$B41,'Bilateral Assistance, MAIN DATA'!$AO:$AO,'Share, Heavy Weapons to Ukraine'!AX$11)</f>
        <v>0</v>
      </c>
      <c r="AY41" s="410"/>
      <c r="AZ41" s="25">
        <f>SUMIFS('Bilateral Assistance, MAIN DATA'!$N:$N,'Bilateral Assistance, MAIN DATA'!$B:$B,'Share, Heavy Weapons to Ukraine'!$B41,'Bilateral Assistance, MAIN DATA'!$AO:$AO,'Share, Heavy Weapons to Ukraine'!AZ$11)</f>
        <v>0</v>
      </c>
      <c r="BA41" s="25">
        <f>SUMIFS('Bilateral Assistance, MAIN DATA'!$N:$N,'Bilateral Assistance, MAIN DATA'!$B:$B,'Share, Heavy Weapons to Ukraine'!$B41,'Bilateral Assistance, MAIN DATA'!$AO:$AO,'Share, Heavy Weapons to Ukraine'!BA$11)</f>
        <v>0</v>
      </c>
      <c r="BB41" s="25">
        <f>SUMIFS('Bilateral Assistance, MAIN DATA'!$N:$N,'Bilateral Assistance, MAIN DATA'!$B:$B,'Share, Heavy Weapons to Ukraine'!$B41,'Bilateral Assistance, MAIN DATA'!$AO:$AO,'Share, Heavy Weapons to Ukraine'!BB$11)</f>
        <v>0</v>
      </c>
      <c r="BC41" s="25">
        <f>SUMIFS('Bilateral Assistance, MAIN DATA'!$N:$N,'Bilateral Assistance, MAIN DATA'!$B:$B,'Share, Heavy Weapons to Ukraine'!$B41,'Bilateral Assistance, MAIN DATA'!$AO:$AO,'Share, Heavy Weapons to Ukraine'!BC$11)</f>
        <v>0</v>
      </c>
      <c r="BD41" s="25">
        <f>SUMIFS('Bilateral Assistance, MAIN DATA'!$N:$N,'Bilateral Assistance, MAIN DATA'!$B:$B,'Share, Heavy Weapons to Ukraine'!$B41,'Bilateral Assistance, MAIN DATA'!$AO:$AO,'Share, Heavy Weapons to Ukraine'!BD$11)</f>
        <v>0</v>
      </c>
      <c r="BE41" s="25">
        <f t="shared" si="2"/>
        <v>0</v>
      </c>
      <c r="BF41" s="25">
        <f>SUMIFS('Bilateral Assistance, MAIN DATA'!$N:$N,'Bilateral Assistance, MAIN DATA'!$B:$B,'Share, Heavy Weapons to Ukraine'!$B41,'Bilateral Assistance, MAIN DATA'!$AO:$AO,"155mm howitzer")+SUMIFS('Bilateral Assistance, MAIN DATA'!$N:$N,'Bilateral Assistance, MAIN DATA'!$B:$B,'Share, Heavy Weapons to Ukraine'!$B41,'Bilateral Assistance, MAIN DATA'!$AO:$AO,"152mm howitzer")</f>
        <v>6</v>
      </c>
      <c r="BG41" s="25">
        <f>SUMIFS('Bilateral Assistance, MAIN DATA'!$N:$N,'Bilateral Assistance, MAIN DATA'!$B:$B,'Share, Heavy Weapons to Ukraine'!$B41,'Bilateral Assistance, MAIN DATA'!$AO:$AO,"122mm MLRS")+SUMIFS('Bilateral Assistance, MAIN DATA'!$N:$N,'Bilateral Assistance, MAIN DATA'!$B:$B,'Share, Heavy Weapons to Ukraine'!$B41,'Bilateral Assistance, MAIN DATA'!$AO:$AO,"127mm MLRS")+SUMIFS('Bilateral Assistance, MAIN DATA'!$N:$N,'Bilateral Assistance, MAIN DATA'!$B:$B,'Share, Heavy Weapons to Ukraine'!$B41,'Bilateral Assistance, MAIN DATA'!$AO:$AO,"227mm MLRS")</f>
        <v>0</v>
      </c>
      <c r="BH41" s="25">
        <f>SUMIFS('Bilateral Assistance, MAIN DATA'!$N:$N,'Bilateral Assistance, MAIN DATA'!$B:$B,'Share, Heavy Weapons to Ukraine'!$B41,'Bilateral Assistance, MAIN DATA'!$AO:$AO,'Share, Heavy Weapons to Ukraine'!BH$11)</f>
        <v>0</v>
      </c>
      <c r="BI41" s="25">
        <f>SUMIFS('Bilateral Assistance, MAIN DATA'!$N:$N,'Bilateral Assistance, MAIN DATA'!$B:$B,'Share, Heavy Weapons to Ukraine'!$B41,'Bilateral Assistance, MAIN DATA'!$AO:$AO,'Share, Heavy Weapons to Ukraine'!BI$11)</f>
        <v>0</v>
      </c>
      <c r="BJ41" s="25">
        <f>SUMIFS('Bilateral Assistance, MAIN DATA'!$N:$N,'Bilateral Assistance, MAIN DATA'!$B:$B,'Share, Heavy Weapons to Ukraine'!$B41,'Bilateral Assistance, MAIN DATA'!$AO:$AO,'Share, Heavy Weapons to Ukraine'!BJ$11)</f>
        <v>0</v>
      </c>
      <c r="BK41" s="25">
        <f>SUMIFS('Bilateral Assistance, MAIN DATA'!$N:$N,'Bilateral Assistance, MAIN DATA'!$B:$B,'Share, Heavy Weapons to Ukraine'!$B41,'Bilateral Assistance, MAIN DATA'!$AO:$AO,'Share, Heavy Weapons to Ukraine'!BK$11)</f>
        <v>0</v>
      </c>
      <c r="BL41" s="25">
        <f>SUMIFS('Bilateral Assistance, MAIN DATA'!$N:$N,'Bilateral Assistance, MAIN DATA'!$B:$B,'Share, Heavy Weapons to Ukraine'!$B41,'Bilateral Assistance, MAIN DATA'!$AO:$AO,'Share, Heavy Weapons to Ukraine'!BL$11)</f>
        <v>0</v>
      </c>
      <c r="BM41" s="410"/>
      <c r="BN41" s="261">
        <f>IF(VLOOKUP($B41,$B:W,COLUMN(W40)-1,FALSE)&lt;&gt;0,VLOOKUP($B41,$B:AL,COLUMN(AL40)-1,FALSE)/VLOOKUP($B41,$B:W,COLUMN(W40)-1,FALSE),IF(VLOOKUP($B41,$B:AL,COLUMN(AL40)-1,FALSE)&lt;&gt;0,"unknown",0))</f>
        <v>0</v>
      </c>
      <c r="BO41" s="261">
        <f>IF(VLOOKUP($B41,$B:X,COLUMN(X40)-1,FALSE)&lt;&gt;0,VLOOKUP($B41,$B:AM,COLUMN(AM40)-1,FALSE)/VLOOKUP($B41,$B:X,COLUMN(X40)-1,FALSE),IF(VLOOKUP($B41,$B:AM,COLUMN(AM40)-1,FALSE)&lt;&gt;0,"unknown",0))</f>
        <v>0</v>
      </c>
      <c r="BP41" s="261">
        <f>IF(VLOOKUP($B41,$B:Y,COLUMN(Y40)-1,FALSE)&lt;&gt;0,VLOOKUP($B41,$B:AN,COLUMN(AN40)-1,FALSE)/VLOOKUP($B41,$B:Y,COLUMN(Y40)-1,FALSE),IF(VLOOKUP($B41,$B:AN,COLUMN(AN40)-1,FALSE)&lt;&gt;0,"unknown",0))</f>
        <v>0</v>
      </c>
      <c r="BQ41" s="261">
        <f>IF(VLOOKUP($B41,$B:Z,COLUMN(Z40)-1,FALSE)&lt;&gt;0,VLOOKUP($B41,$B:AO,COLUMN(AO40)-1,FALSE)/VLOOKUP($B41,$B:Z,COLUMN(Z40)-1,FALSE),IF(VLOOKUP($B41,$B:AO,COLUMN(AO40)-1,FALSE)&lt;&gt;0,"unknown",0))</f>
        <v>0</v>
      </c>
      <c r="BR41" s="261">
        <f>IF(VLOOKUP($B41,$B:AA,COLUMN(AA40)-1,FALSE)&lt;&gt;0,VLOOKUP($B41,$B:AP,COLUMN(AP40)-1,FALSE)/VLOOKUP($B41,$B:AA,COLUMN(AA40)-1,FALSE),IF(VLOOKUP($B41,$B:AP,COLUMN(AP40)-1,FALSE)&lt;&gt;0,"unknown",0))</f>
        <v>0</v>
      </c>
      <c r="BS41" s="261">
        <f>IF(VLOOKUP($B41,$B:AB,COLUMN(AB40)-1,FALSE)&lt;&gt;0,VLOOKUP($B41,$B:AQ,COLUMN(AQ40)-1,FALSE)/VLOOKUP($B41,$B:AB,COLUMN(AB40)-1,FALSE),IF(VLOOKUP($B41,$B:AQ,COLUMN(AQ40)-1,FALSE)&lt;&gt;0,"unknown",0))</f>
        <v>0</v>
      </c>
      <c r="BT41" s="261">
        <f>IF(VLOOKUP($B41,$B:AC,COLUMN(AC40)-1,FALSE)&lt;&gt;0,VLOOKUP($B41,$B:AR,COLUMN(AR40)-1,FALSE)/VLOOKUP($B41,$B:AC,COLUMN(AC40)-1,FALSE),IF(VLOOKUP($B41,$B:AR,COLUMN(AR40)-1,FALSE)&lt;&gt;0,"unknown",0))</f>
        <v>0.1276595744680851</v>
      </c>
      <c r="BU41" s="261">
        <f>IF(VLOOKUP($B41,$B:AD,COLUMN(AD40)-1,FALSE)&lt;&gt;0,VLOOKUP($B41,$B:AS,COLUMN(AS40)-1,FALSE)/VLOOKUP($B41,$B:AD,COLUMN(AD40)-1,FALSE),IF(VLOOKUP($B41,$B:AS,COLUMN(AS40)-1,FALSE)&lt;&gt;0,"unknown",0))</f>
        <v>0</v>
      </c>
      <c r="BV41" s="261">
        <f>IF(VLOOKUP($B41,$B:AE,COLUMN(AE40)-1,FALSE)&lt;&gt;0,VLOOKUP($B41,$B:AT,COLUMN(AT40)-1,FALSE)/VLOOKUP($B41,$B:AE,COLUMN(AE40)-1,FALSE),IF(VLOOKUP($B41,$B:AT,COLUMN(AT40)-1,FALSE)&lt;&gt;0,"unknown",0))</f>
        <v>0</v>
      </c>
      <c r="BW41" s="261">
        <f>IF(VLOOKUP($B41,$B:AG,COLUMN(AG40)-1,FALSE)&lt;&gt;0,VLOOKUP($B41,$B:AU,COLUMN(AU40)-1,FALSE)/VLOOKUP($B41,$B:AG,COLUMN(AG40)-1,FALSE),IF(VLOOKUP($B41,$B:AU,COLUMN(AU40)-1,FALSE)&lt;&gt;0,"unknown",0))</f>
        <v>0</v>
      </c>
      <c r="BX41" s="261">
        <f>IF(VLOOKUP($B41,$B:AH,COLUMN(AH40)-1,FALSE)&lt;&gt;0,VLOOKUP($B41,$B:AV,COLUMN(AV40)-1,FALSE)/VLOOKUP($B41,$B:AH,COLUMN(AH40)-1,FALSE),IF(VLOOKUP($B41,$B:AV,COLUMN(AV40)-1,FALSE)&lt;&gt;0,"unknown",0))</f>
        <v>0</v>
      </c>
      <c r="BY41" s="261">
        <f>IF(VLOOKUP($B41,$B:AI,COLUMN(AI40)-1,FALSE)&lt;&gt;0,VLOOKUP($B41,$B:AW,COLUMN(AW40)-1,FALSE)/VLOOKUP($B41,$B:AI,COLUMN(AI40)-1,FALSE),IF(VLOOKUP($B41,$B:AW,COLUMN(AW40)-1,FALSE)&lt;&gt;0,"unknown",0))</f>
        <v>0</v>
      </c>
      <c r="BZ41" s="261">
        <f>IF(VLOOKUP($B41,$B:AJ,COLUMN(AJ40)-1,FALSE)&lt;&gt;0,VLOOKUP($B41,$B:AX,COLUMN(AX40)-1,FALSE)/VLOOKUP($B41,$B:AJ,COLUMN(AJ40)-1,FALSE),IF(VLOOKUP($B41,$B:AX,COLUMN(AX40)-1,FALSE)&lt;&gt;0,"unknown",0))</f>
        <v>0</v>
      </c>
      <c r="CA41" s="410"/>
      <c r="CB41" s="2">
        <f>IF(VLOOKUP($B41,$B:AM,COLUMN(W40)-1,FALSE)&lt;&gt;0,VLOOKUP($B41,$B:BA,COLUMN(AZ40)-1,FALSE)/VLOOKUP($B41,$B:AM,COLUMN(W40)-1,FALSE),IF(VLOOKUP($B41,$B:BA,COLUMN(AZ40)-1,FALSE)&lt;&gt;0,"unknown",0))</f>
        <v>0</v>
      </c>
      <c r="CC41" s="2">
        <f>IF(VLOOKUP($B41,$B:AN,COLUMN(X40)-1,FALSE)&lt;&gt;0,VLOOKUP($B41,$B:BB,COLUMN(BA40)-1,FALSE)/VLOOKUP($B41,$B:AN,COLUMN(X40)-1,FALSE),IF(VLOOKUP($B41,$B:BB,COLUMN(BA40)-1,FALSE)&lt;&gt;0,"unknown",0))</f>
        <v>0</v>
      </c>
      <c r="CD41" s="2">
        <f>IF(VLOOKUP($B41,$B:AO,COLUMN(Y40)-1,FALSE)&lt;&gt;0,VLOOKUP($B41,$B:BC,COLUMN(BB40)-1,FALSE)/VLOOKUP($B41,$B:AO,COLUMN(Y40)-1,FALSE),IF(VLOOKUP($B41,$B:BC,COLUMN(BB40)-1,FALSE)&lt;&gt;0,"unknown",0))</f>
        <v>0</v>
      </c>
      <c r="CE41" s="2">
        <f>IF(VLOOKUP($B41,$B:AP,COLUMN(Z40)-1,FALSE)&lt;&gt;0,VLOOKUP($B41,$B:BD,COLUMN(BC40)-1,FALSE)/VLOOKUP($B41,$B:AP,COLUMN(Z40)-1,FALSE),IF(VLOOKUP($B41,$B:BD,COLUMN(BC40)-1,FALSE)&lt;&gt;0,"unknown",0))</f>
        <v>0</v>
      </c>
      <c r="CF41" s="2">
        <f>IF(VLOOKUP($B41,$B:AR,COLUMN(AA40)-1,FALSE)&lt;&gt;0,VLOOKUP($B41,$B:BF,COLUMN(BD40)-1,FALSE)/VLOOKUP($B41,$B:AR,COLUMN(AA40)-1,FALSE),IF(VLOOKUP($B41,$B:BF,COLUMN(BD40)-1,FALSE)&lt;&gt;0,"unknown",0))</f>
        <v>0</v>
      </c>
      <c r="CG41" s="2">
        <f>IF(VLOOKUP($B41,$B:AS,COLUMN(AB40)-1,FALSE)&lt;&gt;0,VLOOKUP($B41,$B:BG,COLUMN(BE40)-1,FALSE)/VLOOKUP($B41,$B:AS,COLUMN(AB40)-1,FALSE),IF(VLOOKUP($B41,$B:BG,COLUMN(BE40)-1,FALSE)&lt;&gt;0,"unknown",0))</f>
        <v>0</v>
      </c>
      <c r="CH41" s="2">
        <f>IF(VLOOKUP($B41,$B:AS,COLUMN(AC40)-1,FALSE)&lt;&gt;0,VLOOKUP($B41,$B:BG,COLUMN(BF40)-1,FALSE)/VLOOKUP($B41,$B:AS,COLUMN(AC40)-1,FALSE),IF(VLOOKUP($B41,$B:BG,COLUMN(BF40)-1,FALSE)&lt;&gt;0,"unknown",0))</f>
        <v>0.1276595744680851</v>
      </c>
      <c r="CI41" s="2">
        <f>IF(VLOOKUP($B41,$B:AT,COLUMN(AD40)-1,FALSE)&lt;&gt;0,VLOOKUP($B41,$B:BH,COLUMN(BG40)-1,FALSE)/VLOOKUP($B41,$B:AT,COLUMN(AD40)-1,FALSE),IF(VLOOKUP($B41,$B:BH,COLUMN(BG40)-1,FALSE)&lt;&gt;0,"unknown",0))</f>
        <v>0</v>
      </c>
      <c r="CJ41" s="2">
        <f>IF(VLOOKUP($B41,$B:AT,COLUMN(AE40)-1,FALSE)&lt;&gt;0,VLOOKUP($B41,$B:BH,COLUMN(BH40)-1,FALSE)/VLOOKUP($B41,$B:AT,COLUMN(AE40)-1,FALSE),IF(VLOOKUP($B41,$B:BH,COLUMN(BH40)-1,FALSE)&lt;&gt;0,"unknown",0))</f>
        <v>0</v>
      </c>
      <c r="CK41" s="2">
        <f>IF(VLOOKUP($B41,$B:AU,COLUMN(AG40)-1,FALSE)&lt;&gt;0,VLOOKUP($B41,$B:BI,COLUMN(BI40)-1,FALSE)/VLOOKUP($B41,$B:AU,COLUMN(AG40)-1,FALSE),IF(VLOOKUP($B41,$B:BI,COLUMN(BI40)-1,FALSE)&lt;&gt;0,"unknown",0))</f>
        <v>0</v>
      </c>
      <c r="CL41" s="2">
        <f>IF(VLOOKUP($B41,$B:AV,COLUMN(AH40)-1,FALSE)&lt;&gt;0,VLOOKUP($B41,$B:BJ,COLUMN(BJ40)-1,FALSE)/VLOOKUP($B41,$B:AV,COLUMN(AH40)-1,FALSE),IF(VLOOKUP($B41,$B:BJ,COLUMN(BJ40)-1,FALSE)&lt;&gt;0,"unknown",0))</f>
        <v>0</v>
      </c>
      <c r="CM41" s="2">
        <f>IF(VLOOKUP($B41,$B:AW,COLUMN(AI40)-1,FALSE)&lt;&gt;0,VLOOKUP($B41,$B:BK,COLUMN(BK40)-1,FALSE)/VLOOKUP($B41,$B:AW,COLUMN(AI40)-1,FALSE),IF(VLOOKUP($B41,$B:BK,COLUMN(BK40)-1,FALSE)&lt;&gt;0,"unknown",0))</f>
        <v>0</v>
      </c>
      <c r="CN41" s="2">
        <f>IF(VLOOKUP($B41,$B:AX,COLUMN(AJ40)-1,FALSE)&lt;&gt;0,VLOOKUP($B41,$B:BL,COLUMN(BL40)-1,FALSE)/VLOOKUP($B41,$B:AX,COLUMN(AJ40)-1,FALSE),IF(VLOOKUP($B41,$B:BL,COLUMN(BL40)-1,FALSE)&lt;&gt;0,"unknown",0))</f>
        <v>0</v>
      </c>
      <c r="CO41" s="410"/>
      <c r="CP41" s="2">
        <f>SUMIFS('Bilateral Assistance, MAIN DATA'!$M:$M,'Bilateral Assistance, MAIN DATA'!$B:$B,'Share, Heavy Weapons to Ukraine'!$B41,'Bilateral Assistance, MAIN DATA'!$AO:$AO,'Share, Heavy Weapons to Ukraine'!CP$11, 'Bilateral Assistance, MAIN DATA'!$AA:$AA,1)</f>
        <v>0</v>
      </c>
      <c r="CQ41" s="2">
        <f>SUMIFS('Bilateral Assistance, MAIN DATA'!$M:$M,'Bilateral Assistance, MAIN DATA'!$B:$B,'Share, Heavy Weapons to Ukraine'!$B41,'Bilateral Assistance, MAIN DATA'!$AO:$AO,'Share, Heavy Weapons to Ukraine'!CQ$11, 'Bilateral Assistance, MAIN DATA'!$AA:$AA,1)</f>
        <v>0</v>
      </c>
      <c r="CR41" s="2">
        <f>SUMIFS('Bilateral Assistance, MAIN DATA'!$M:$M,'Bilateral Assistance, MAIN DATA'!$B:$B,'Share, Heavy Weapons to Ukraine'!$B41,'Bilateral Assistance, MAIN DATA'!$AO:$AO,'Share, Heavy Weapons to Ukraine'!CR$11, 'Bilateral Assistance, MAIN DATA'!$AA:$AA,1)</f>
        <v>0</v>
      </c>
      <c r="CS41" s="2">
        <f>SUMIFS('Bilateral Assistance, MAIN DATA'!$M:$M,'Bilateral Assistance, MAIN DATA'!$B:$B,'Share, Heavy Weapons to Ukraine'!$B41,'Bilateral Assistance, MAIN DATA'!$AO:$AO,'Share, Heavy Weapons to Ukraine'!CS$11, 'Bilateral Assistance, MAIN DATA'!$AA:$AA,1)</f>
        <v>0</v>
      </c>
      <c r="CT41" s="410"/>
      <c r="CU41" s="2">
        <f>SUMIFS('Bilateral Assistance, MAIN DATA'!$N:$N,'Bilateral Assistance, MAIN DATA'!$B:$B,'Share, Heavy Weapons to Ukraine'!$B41,'Bilateral Assistance, MAIN DATA'!$AO:$AO,'Share, Heavy Weapons to Ukraine'!CU$11, 'Bilateral Assistance, MAIN DATA'!$AA:$AA,1)</f>
        <v>0</v>
      </c>
      <c r="CV41" s="2">
        <f>SUMIFS('Bilateral Assistance, MAIN DATA'!$N:$N,'Bilateral Assistance, MAIN DATA'!$B:$B,'Share, Heavy Weapons to Ukraine'!$B41,'Bilateral Assistance, MAIN DATA'!$AO:$AO,'Share, Heavy Weapons to Ukraine'!CV$11, 'Bilateral Assistance, MAIN DATA'!$AA:$AA,1)</f>
        <v>0</v>
      </c>
      <c r="CW41" s="2">
        <f>SUMIFS('Bilateral Assistance, MAIN DATA'!$N:$N,'Bilateral Assistance, MAIN DATA'!$B:$B,'Share, Heavy Weapons to Ukraine'!$B41,'Bilateral Assistance, MAIN DATA'!$AO:$AO,'Share, Heavy Weapons to Ukraine'!CW$11, 'Bilateral Assistance, MAIN DATA'!$AA:$AA,1)</f>
        <v>0</v>
      </c>
      <c r="CX41" s="2">
        <f>SUMIFS('Bilateral Assistance, MAIN DATA'!$N:$N,'Bilateral Assistance, MAIN DATA'!$B:$B,'Share, Heavy Weapons to Ukraine'!$B41,'Bilateral Assistance, MAIN DATA'!$AO:$AO,'Share, Heavy Weapons to Ukraine'!CX$11, 'Bilateral Assistance, MAIN DATA'!$AA:$AA,1)</f>
        <v>0</v>
      </c>
    </row>
    <row r="42" spans="2:102" ht="15.6">
      <c r="B42" s="409" t="s">
        <v>1305</v>
      </c>
      <c r="C42" s="409">
        <v>0</v>
      </c>
      <c r="D42" s="2">
        <v>1</v>
      </c>
      <c r="E42" s="410"/>
      <c r="F42" s="569" t="s">
        <v>364</v>
      </c>
      <c r="G42" s="569" t="s">
        <v>364</v>
      </c>
      <c r="H42" s="569" t="s">
        <v>364</v>
      </c>
      <c r="I42" s="569" t="s">
        <v>364</v>
      </c>
      <c r="J42" s="569" t="s">
        <v>364</v>
      </c>
      <c r="K42" s="569" t="s">
        <v>364</v>
      </c>
      <c r="L42" s="569" t="s">
        <v>364</v>
      </c>
      <c r="M42" s="569" t="s">
        <v>364</v>
      </c>
      <c r="N42" s="569" t="s">
        <v>364</v>
      </c>
      <c r="O42" s="569" t="s">
        <v>364</v>
      </c>
      <c r="P42" s="569" t="s">
        <v>364</v>
      </c>
      <c r="Q42" s="569" t="s">
        <v>364</v>
      </c>
      <c r="R42" s="569" t="s">
        <v>364</v>
      </c>
      <c r="S42" s="569" t="s">
        <v>364</v>
      </c>
      <c r="T42" s="569" t="s">
        <v>364</v>
      </c>
      <c r="U42" s="410" t="str">
        <f>""</f>
        <v/>
      </c>
      <c r="V42" s="1334">
        <v>0.78600000000000003</v>
      </c>
      <c r="W42" s="1334">
        <f>VLOOKUP(B42,'Heavy Weapon Stocks'!B:OA,COLUMN('Heavy Weapon Stocks'!$C$11)-1,FALSE)+IF(F42&lt;&gt;".",F42,0)</f>
        <v>0</v>
      </c>
      <c r="X42" s="1334">
        <f>VLOOKUP(B42,'Heavy Weapon Stocks'!B:OA,COLUMN('Heavy Weapon Stocks'!$AQ$11)-1,FALSE)</f>
        <v>136</v>
      </c>
      <c r="Y42" s="1334">
        <f>VLOOKUP(B42,'Heavy Weapon Stocks'!B:OA,COLUMN('Heavy Weapon Stocks'!$DK$11)-1,FALSE)</f>
        <v>0</v>
      </c>
      <c r="Z42" s="1334">
        <f>VLOOKUP(B42,'Heavy Weapon Stocks'!B:OA,COLUMN('Heavy Weapon Stocks'!$DY$11)-1,FALSE)</f>
        <v>6</v>
      </c>
      <c r="AA42" s="1334">
        <f>VLOOKUP(B42,'Heavy Weapon Stocks'!B:OA,COLUMN('Heavy Weapon Stocks'!$FA$11)-1,FALSE)+IF(G42&lt;&gt;".",G42,0)</f>
        <v>44</v>
      </c>
      <c r="AB42" s="1334">
        <f t="shared" si="3"/>
        <v>186</v>
      </c>
      <c r="AC42" s="1334">
        <f>VLOOKUP(B42,'Heavy Weapon Stocks'!B:OA,COLUMN('Heavy Weapon Stocks'!$GV$11)-1,FALSE)+VLOOKUP(B42,'Heavy Weapon Stocks'!B:OA,COLUMN('Heavy Weapon Stocks'!$HY$11)-1,FALSE)+IF(H42&lt;&gt;".",H42,0)</f>
        <v>30</v>
      </c>
      <c r="AD42" s="1334">
        <f>VLOOKUP(B42,'Heavy Weapon Stocks'!B:OA,COLUMN('Heavy Weapon Stocks'!$IF$11)-1,FALSE)+IF(I42&lt;&gt;".",I42,0)</f>
        <v>0</v>
      </c>
      <c r="AE42" s="1334">
        <f>VLOOKUP(B42,'Heavy Weapon Stocks'!B:OA,COLUMN('Heavy Weapon Stocks'!$IZ$11)-1,FALSE)+VLOOKUP(B42,'Heavy Weapon Stocks'!B:OA,COLUMN('Heavy Weapon Stocks'!$JW$11)-1,FALSE)</f>
        <v>0</v>
      </c>
      <c r="AF42" s="1334">
        <f>VLOOKUP(B42,'Heavy Weapon Stocks'!B:OA,COLUMN('Heavy Weapon Stocks'!$NL$11)-1,FALSE)+IF(L42&lt;&gt;".",L42,0)</f>
        <v>0</v>
      </c>
      <c r="AG42" s="1334">
        <f>VLOOKUP(B42,'Heavy Weapon Stocks'!B:OA,COLUMN('Heavy Weapon Stocks'!$LN$11)-1,FALSE)+IF(M42&lt;&gt;".",M42,0)</f>
        <v>0</v>
      </c>
      <c r="AH42" s="1334">
        <f>VLOOKUP(B42,'Heavy Weapon Stocks'!B:OA,COLUMN('Heavy Weapon Stocks'!$LX$11)-1,FALSE)+IF(N42&lt;&gt;".",N42,0)</f>
        <v>0</v>
      </c>
      <c r="AI42" s="1334">
        <f>VLOOKUP(B42,'Heavy Weapon Stocks'!B:OA,COLUMN('Heavy Weapon Stocks'!$ME$11)-1,FALSE)+IF(O42&lt;&gt;".",O42,0)</f>
        <v>0</v>
      </c>
      <c r="AJ42" s="1334">
        <f>VLOOKUP(B42,'Heavy Weapon Stocks'!B:OA,COLUMN('Heavy Weapon Stocks'!$NK$11)-1,FALSE)+IF(P42&lt;&gt;".",P42,0)</f>
        <v>0</v>
      </c>
      <c r="AK42" s="410"/>
      <c r="AL42" s="25">
        <f>SUMIFS('Bilateral Assistance, MAIN DATA'!$M:$M,'Bilateral Assistance, MAIN DATA'!$B:$B,'Share, Heavy Weapons to Ukraine'!$B42,'Bilateral Assistance, MAIN DATA'!$AO:$AO,'Share, Heavy Weapons to Ukraine'!AL$11)</f>
        <v>0</v>
      </c>
      <c r="AM42" s="25">
        <f>SUMIFS('Bilateral Assistance, MAIN DATA'!$M:$M,'Bilateral Assistance, MAIN DATA'!$B:$B,'Share, Heavy Weapons to Ukraine'!$B42,'Bilateral Assistance, MAIN DATA'!$AO:$AO,'Share, Heavy Weapons to Ukraine'!AM$11)</f>
        <v>0</v>
      </c>
      <c r="AN42" s="25">
        <f>SUMIFS('Bilateral Assistance, MAIN DATA'!$M:$M,'Bilateral Assistance, MAIN DATA'!$B:$B,'Share, Heavy Weapons to Ukraine'!$B42,'Bilateral Assistance, MAIN DATA'!$AO:$AO,'Share, Heavy Weapons to Ukraine'!AN$11)</f>
        <v>7</v>
      </c>
      <c r="AO42" s="25">
        <f>SUMIFS('Bilateral Assistance, MAIN DATA'!$M:$M,'Bilateral Assistance, MAIN DATA'!$B:$B,'Share, Heavy Weapons to Ukraine'!$B42,'Bilateral Assistance, MAIN DATA'!$AO:$AO,'Share, Heavy Weapons to Ukraine'!AO$11)</f>
        <v>0</v>
      </c>
      <c r="AP42" s="25">
        <f>SUMIFS('Bilateral Assistance, MAIN DATA'!$M:$M,'Bilateral Assistance, MAIN DATA'!$B:$B,'Share, Heavy Weapons to Ukraine'!$B42,'Bilateral Assistance, MAIN DATA'!$AO:$AO,'Share, Heavy Weapons to Ukraine'!AP$11)</f>
        <v>0</v>
      </c>
      <c r="AQ42" s="25">
        <f t="shared" si="1"/>
        <v>7</v>
      </c>
      <c r="AR42" s="25">
        <f>SUMIFS('Bilateral Assistance, MAIN DATA'!$M:$M,'Bilateral Assistance, MAIN DATA'!$B:$B,'Share, Heavy Weapons to Ukraine'!$B42,'Bilateral Assistance, MAIN DATA'!$AO:$AO,"155mm howitzer")+SUMIFS('Bilateral Assistance, MAIN DATA'!$M:$M,'Bilateral Assistance, MAIN DATA'!$B:$B,'Share, Heavy Weapons to Ukraine'!$B42,'Bilateral Assistance, MAIN DATA'!$AO:$AO,"152mm howitzer")</f>
        <v>24</v>
      </c>
      <c r="AS42" s="25">
        <f>SUMIFS('Bilateral Assistance, MAIN DATA'!$M:$M,'Bilateral Assistance, MAIN DATA'!$B:$B,'Share, Heavy Weapons to Ukraine'!$B42,'Bilateral Assistance, MAIN DATA'!$AO:$AO,"122mm MLRS")+SUMIFS('Bilateral Assistance, MAIN DATA'!$M:$M,'Bilateral Assistance, MAIN DATA'!$B:$B,'Share, Heavy Weapons to Ukraine'!$B42,'Bilateral Assistance, MAIN DATA'!$AO:$AO,"127mm MLRS")+SUMIFS('Bilateral Assistance, MAIN DATA'!$M:$M,'Bilateral Assistance, MAIN DATA'!$B:$B,'Share, Heavy Weapons to Ukraine'!$B42,'Bilateral Assistance, MAIN DATA'!$AO:$AO,"227mm MLRS")</f>
        <v>0</v>
      </c>
      <c r="AT42" s="25">
        <f>SUMIFS('Bilateral Assistance, MAIN DATA'!$M:$M,'Bilateral Assistance, MAIN DATA'!$B:$B,'Share, Heavy Weapons to Ukraine'!$B42,'Bilateral Assistance, MAIN DATA'!$AO:$AO,'Share, Heavy Weapons to Ukraine'!AT$11)</f>
        <v>0</v>
      </c>
      <c r="AU42" s="25">
        <f>SUMIFS('Bilateral Assistance, MAIN DATA'!$M:$M,'Bilateral Assistance, MAIN DATA'!$B:$B,'Share, Heavy Weapons to Ukraine'!$B42,'Bilateral Assistance, MAIN DATA'!$AO:$AO,'Share, Heavy Weapons to Ukraine'!AU$11)</f>
        <v>0</v>
      </c>
      <c r="AV42" s="25">
        <f>SUMIFS('Bilateral Assistance, MAIN DATA'!$M:$M,'Bilateral Assistance, MAIN DATA'!$B:$B,'Share, Heavy Weapons to Ukraine'!$B42,'Bilateral Assistance, MAIN DATA'!$AO:$AO,'Share, Heavy Weapons to Ukraine'!AV$11)</f>
        <v>0</v>
      </c>
      <c r="AW42" s="25">
        <f>SUMIFS('Bilateral Assistance, MAIN DATA'!$M:$M,'Bilateral Assistance, MAIN DATA'!$B:$B,'Share, Heavy Weapons to Ukraine'!$B42,'Bilateral Assistance, MAIN DATA'!$AO:$AO,'Share, Heavy Weapons to Ukraine'!AW$11)</f>
        <v>0</v>
      </c>
      <c r="AX42" s="25">
        <f>SUMIFS('Bilateral Assistance, MAIN DATA'!$M:$M,'Bilateral Assistance, MAIN DATA'!$B:$B,'Share, Heavy Weapons to Ukraine'!$B42,'Bilateral Assistance, MAIN DATA'!$AO:$AO,'Share, Heavy Weapons to Ukraine'!AX$11)</f>
        <v>0</v>
      </c>
      <c r="AY42" s="410"/>
      <c r="AZ42" s="25">
        <f>SUMIFS('Bilateral Assistance, MAIN DATA'!$N:$N,'Bilateral Assistance, MAIN DATA'!$B:$B,'Share, Heavy Weapons to Ukraine'!$B42,'Bilateral Assistance, MAIN DATA'!$AO:$AO,'Share, Heavy Weapons to Ukraine'!AZ$11)</f>
        <v>0</v>
      </c>
      <c r="BA42" s="25">
        <f>SUMIFS('Bilateral Assistance, MAIN DATA'!$N:$N,'Bilateral Assistance, MAIN DATA'!$B:$B,'Share, Heavy Weapons to Ukraine'!$B42,'Bilateral Assistance, MAIN DATA'!$AO:$AO,'Share, Heavy Weapons to Ukraine'!BA$11)</f>
        <v>0</v>
      </c>
      <c r="BB42" s="25">
        <f>SUMIFS('Bilateral Assistance, MAIN DATA'!$N:$N,'Bilateral Assistance, MAIN DATA'!$B:$B,'Share, Heavy Weapons to Ukraine'!$B42,'Bilateral Assistance, MAIN DATA'!$AO:$AO,'Share, Heavy Weapons to Ukraine'!BB$11)</f>
        <v>7</v>
      </c>
      <c r="BC42" s="25">
        <f>SUMIFS('Bilateral Assistance, MAIN DATA'!$N:$N,'Bilateral Assistance, MAIN DATA'!$B:$B,'Share, Heavy Weapons to Ukraine'!$B42,'Bilateral Assistance, MAIN DATA'!$AO:$AO,'Share, Heavy Weapons to Ukraine'!BC$11)</f>
        <v>0</v>
      </c>
      <c r="BD42" s="25">
        <f>SUMIFS('Bilateral Assistance, MAIN DATA'!$N:$N,'Bilateral Assistance, MAIN DATA'!$B:$B,'Share, Heavy Weapons to Ukraine'!$B42,'Bilateral Assistance, MAIN DATA'!$AO:$AO,'Share, Heavy Weapons to Ukraine'!BD$11)</f>
        <v>0</v>
      </c>
      <c r="BE42" s="25">
        <f t="shared" si="2"/>
        <v>7</v>
      </c>
      <c r="BF42" s="25">
        <f>SUMIFS('Bilateral Assistance, MAIN DATA'!$N:$N,'Bilateral Assistance, MAIN DATA'!$B:$B,'Share, Heavy Weapons to Ukraine'!$B42,'Bilateral Assistance, MAIN DATA'!$AO:$AO,"155mm howitzer")+SUMIFS('Bilateral Assistance, MAIN DATA'!$N:$N,'Bilateral Assistance, MAIN DATA'!$B:$B,'Share, Heavy Weapons to Ukraine'!$B42,'Bilateral Assistance, MAIN DATA'!$AO:$AO,"152mm howitzer")</f>
        <v>0</v>
      </c>
      <c r="BG42" s="25">
        <f>SUMIFS('Bilateral Assistance, MAIN DATA'!$N:$N,'Bilateral Assistance, MAIN DATA'!$B:$B,'Share, Heavy Weapons to Ukraine'!$B42,'Bilateral Assistance, MAIN DATA'!$AO:$AO,"122mm MLRS")+SUMIFS('Bilateral Assistance, MAIN DATA'!$N:$N,'Bilateral Assistance, MAIN DATA'!$B:$B,'Share, Heavy Weapons to Ukraine'!$B42,'Bilateral Assistance, MAIN DATA'!$AO:$AO,"127mm MLRS")+SUMIFS('Bilateral Assistance, MAIN DATA'!$N:$N,'Bilateral Assistance, MAIN DATA'!$B:$B,'Share, Heavy Weapons to Ukraine'!$B42,'Bilateral Assistance, MAIN DATA'!$AO:$AO,"227mm MLRS")</f>
        <v>0</v>
      </c>
      <c r="BH42" s="25">
        <f>SUMIFS('Bilateral Assistance, MAIN DATA'!$N:$N,'Bilateral Assistance, MAIN DATA'!$B:$B,'Share, Heavy Weapons to Ukraine'!$B42,'Bilateral Assistance, MAIN DATA'!$AO:$AO,'Share, Heavy Weapons to Ukraine'!BH$11)</f>
        <v>0</v>
      </c>
      <c r="BI42" s="25">
        <f>SUMIFS('Bilateral Assistance, MAIN DATA'!$N:$N,'Bilateral Assistance, MAIN DATA'!$B:$B,'Share, Heavy Weapons to Ukraine'!$B42,'Bilateral Assistance, MAIN DATA'!$AO:$AO,'Share, Heavy Weapons to Ukraine'!BI$11)</f>
        <v>0</v>
      </c>
      <c r="BJ42" s="25">
        <f>SUMIFS('Bilateral Assistance, MAIN DATA'!$N:$N,'Bilateral Assistance, MAIN DATA'!$B:$B,'Share, Heavy Weapons to Ukraine'!$B42,'Bilateral Assistance, MAIN DATA'!$AO:$AO,'Share, Heavy Weapons to Ukraine'!BJ$11)</f>
        <v>0</v>
      </c>
      <c r="BK42" s="25">
        <f>SUMIFS('Bilateral Assistance, MAIN DATA'!$N:$N,'Bilateral Assistance, MAIN DATA'!$B:$B,'Share, Heavy Weapons to Ukraine'!$B42,'Bilateral Assistance, MAIN DATA'!$AO:$AO,'Share, Heavy Weapons to Ukraine'!BK$11)</f>
        <v>0</v>
      </c>
      <c r="BL42" s="25">
        <f>SUMIFS('Bilateral Assistance, MAIN DATA'!$N:$N,'Bilateral Assistance, MAIN DATA'!$B:$B,'Share, Heavy Weapons to Ukraine'!$B42,'Bilateral Assistance, MAIN DATA'!$AO:$AO,'Share, Heavy Weapons to Ukraine'!BL$11)</f>
        <v>0</v>
      </c>
      <c r="BM42" s="410"/>
      <c r="BN42" s="261">
        <f>IF(VLOOKUP($B42,$B:W,COLUMN(W41)-1,FALSE)&lt;&gt;0,VLOOKUP($B42,$B:AL,COLUMN(AL41)-1,FALSE)/VLOOKUP($B42,$B:W,COLUMN(W41)-1,FALSE),IF(VLOOKUP($B42,$B:AL,COLUMN(AL41)-1,FALSE)&lt;&gt;0,"unknown",0))</f>
        <v>0</v>
      </c>
      <c r="BO42" s="261">
        <f>IF(VLOOKUP($B42,$B:X,COLUMN(X41)-1,FALSE)&lt;&gt;0,VLOOKUP($B42,$B:AM,COLUMN(AM41)-1,FALSE)/VLOOKUP($B42,$B:X,COLUMN(X41)-1,FALSE),IF(VLOOKUP($B42,$B:AM,COLUMN(AM41)-1,FALSE)&lt;&gt;0,"unknown",0))</f>
        <v>0</v>
      </c>
      <c r="BP42" s="261" t="str">
        <f>IF(VLOOKUP($B42,$B:Y,COLUMN(Y41)-1,FALSE)&lt;&gt;0,VLOOKUP($B42,$B:AN,COLUMN(AN41)-1,FALSE)/VLOOKUP($B42,$B:Y,COLUMN(Y41)-1,FALSE),IF(VLOOKUP($B42,$B:AN,COLUMN(AN41)-1,FALSE)&lt;&gt;0,"unknown",0))</f>
        <v>unknown</v>
      </c>
      <c r="BQ42" s="261">
        <f>IF(VLOOKUP($B42,$B:Z,COLUMN(Z41)-1,FALSE)&lt;&gt;0,VLOOKUP($B42,$B:AO,COLUMN(AO41)-1,FALSE)/VLOOKUP($B42,$B:Z,COLUMN(Z41)-1,FALSE),IF(VLOOKUP($B42,$B:AO,COLUMN(AO41)-1,FALSE)&lt;&gt;0,"unknown",0))</f>
        <v>0</v>
      </c>
      <c r="BR42" s="261">
        <f>IF(VLOOKUP($B42,$B:AA,COLUMN(AA41)-1,FALSE)&lt;&gt;0,VLOOKUP($B42,$B:AP,COLUMN(AP41)-1,FALSE)/VLOOKUP($B42,$B:AA,COLUMN(AA41)-1,FALSE),IF(VLOOKUP($B42,$B:AP,COLUMN(AP41)-1,FALSE)&lt;&gt;0,"unknown",0))</f>
        <v>0</v>
      </c>
      <c r="BS42" s="261">
        <f>IF(VLOOKUP($B42,$B:AB,COLUMN(AB41)-1,FALSE)&lt;&gt;0,VLOOKUP($B42,$B:AQ,COLUMN(AQ41)-1,FALSE)/VLOOKUP($B42,$B:AB,COLUMN(AB41)-1,FALSE),IF(VLOOKUP($B42,$B:AQ,COLUMN(AQ41)-1,FALSE)&lt;&gt;0,"unknown",0))</f>
        <v>3.7634408602150539E-2</v>
      </c>
      <c r="BT42" s="261">
        <f>IF(VLOOKUP($B42,$B:AC,COLUMN(AC41)-1,FALSE)&lt;&gt;0,VLOOKUP($B42,$B:AR,COLUMN(AR41)-1,FALSE)/VLOOKUP($B42,$B:AC,COLUMN(AC41)-1,FALSE),IF(VLOOKUP($B42,$B:AR,COLUMN(AR41)-1,FALSE)&lt;&gt;0,"unknown",0))</f>
        <v>0.8</v>
      </c>
      <c r="BU42" s="261">
        <f>IF(VLOOKUP($B42,$B:AD,COLUMN(AD41)-1,FALSE)&lt;&gt;0,VLOOKUP($B42,$B:AS,COLUMN(AS41)-1,FALSE)/VLOOKUP($B42,$B:AD,COLUMN(AD41)-1,FALSE),IF(VLOOKUP($B42,$B:AS,COLUMN(AS41)-1,FALSE)&lt;&gt;0,"unknown",0))</f>
        <v>0</v>
      </c>
      <c r="BV42" s="261">
        <f>IF(VLOOKUP($B42,$B:AE,COLUMN(AE41)-1,FALSE)&lt;&gt;0,VLOOKUP($B42,$B:AT,COLUMN(AT41)-1,FALSE)/VLOOKUP($B42,$B:AE,COLUMN(AE41)-1,FALSE),IF(VLOOKUP($B42,$B:AT,COLUMN(AT41)-1,FALSE)&lt;&gt;0,"unknown",0))</f>
        <v>0</v>
      </c>
      <c r="BW42" s="261">
        <f>IF(VLOOKUP($B42,$B:AG,COLUMN(AG41)-1,FALSE)&lt;&gt;0,VLOOKUP($B42,$B:AU,COLUMN(AU41)-1,FALSE)/VLOOKUP($B42,$B:AG,COLUMN(AG41)-1,FALSE),IF(VLOOKUP($B42,$B:AU,COLUMN(AU41)-1,FALSE)&lt;&gt;0,"unknown",0))</f>
        <v>0</v>
      </c>
      <c r="BX42" s="261">
        <f>IF(VLOOKUP($B42,$B:AH,COLUMN(AH41)-1,FALSE)&lt;&gt;0,VLOOKUP($B42,$B:AV,COLUMN(AV41)-1,FALSE)/VLOOKUP($B42,$B:AH,COLUMN(AH41)-1,FALSE),IF(VLOOKUP($B42,$B:AV,COLUMN(AV41)-1,FALSE)&lt;&gt;0,"unknown",0))</f>
        <v>0</v>
      </c>
      <c r="BY42" s="261">
        <f>IF(VLOOKUP($B42,$B:AI,COLUMN(AI41)-1,FALSE)&lt;&gt;0,VLOOKUP($B42,$B:AW,COLUMN(AW41)-1,FALSE)/VLOOKUP($B42,$B:AI,COLUMN(AI41)-1,FALSE),IF(VLOOKUP($B42,$B:AW,COLUMN(AW41)-1,FALSE)&lt;&gt;0,"unknown",0))</f>
        <v>0</v>
      </c>
      <c r="BZ42" s="261">
        <f>IF(VLOOKUP($B42,$B:AJ,COLUMN(AJ41)-1,FALSE)&lt;&gt;0,VLOOKUP($B42,$B:AX,COLUMN(AX41)-1,FALSE)/VLOOKUP($B42,$B:AJ,COLUMN(AJ41)-1,FALSE),IF(VLOOKUP($B42,$B:AX,COLUMN(AX41)-1,FALSE)&lt;&gt;0,"unknown",0))</f>
        <v>0</v>
      </c>
      <c r="CA42" s="410"/>
      <c r="CB42" s="2">
        <f>IF(VLOOKUP($B42,$B:AM,COLUMN(W41)-1,FALSE)&lt;&gt;0,VLOOKUP($B42,$B:BA,COLUMN(AZ41)-1,FALSE)/VLOOKUP($B42,$B:AM,COLUMN(W41)-1,FALSE),IF(VLOOKUP($B42,$B:BA,COLUMN(AZ41)-1,FALSE)&lt;&gt;0,"unknown",0))</f>
        <v>0</v>
      </c>
      <c r="CC42" s="2">
        <f>IF(VLOOKUP($B42,$B:AN,COLUMN(X41)-1,FALSE)&lt;&gt;0,VLOOKUP($B42,$B:BB,COLUMN(BA41)-1,FALSE)/VLOOKUP($B42,$B:AN,COLUMN(X41)-1,FALSE),IF(VLOOKUP($B42,$B:BB,COLUMN(BA41)-1,FALSE)&lt;&gt;0,"unknown",0))</f>
        <v>0</v>
      </c>
      <c r="CD42" s="2" t="str">
        <f>IF(VLOOKUP($B42,$B:AO,COLUMN(Y41)-1,FALSE)&lt;&gt;0,VLOOKUP($B42,$B:BC,COLUMN(BB41)-1,FALSE)/VLOOKUP($B42,$B:AO,COLUMN(Y41)-1,FALSE),IF(VLOOKUP($B42,$B:BC,COLUMN(BB41)-1,FALSE)&lt;&gt;0,"unknown",0))</f>
        <v>unknown</v>
      </c>
      <c r="CE42" s="2">
        <f>IF(VLOOKUP($B42,$B:AP,COLUMN(Z41)-1,FALSE)&lt;&gt;0,VLOOKUP($B42,$B:BD,COLUMN(BC41)-1,FALSE)/VLOOKUP($B42,$B:AP,COLUMN(Z41)-1,FALSE),IF(VLOOKUP($B42,$B:BD,COLUMN(BC41)-1,FALSE)&lt;&gt;0,"unknown",0))</f>
        <v>0</v>
      </c>
      <c r="CF42" s="2">
        <f>IF(VLOOKUP($B42,$B:AR,COLUMN(AA41)-1,FALSE)&lt;&gt;0,VLOOKUP($B42,$B:BF,COLUMN(BD41)-1,FALSE)/VLOOKUP($B42,$B:AR,COLUMN(AA41)-1,FALSE),IF(VLOOKUP($B42,$B:BF,COLUMN(BD41)-1,FALSE)&lt;&gt;0,"unknown",0))</f>
        <v>0</v>
      </c>
      <c r="CG42" s="2">
        <f>IF(VLOOKUP($B42,$B:AS,COLUMN(AB41)-1,FALSE)&lt;&gt;0,VLOOKUP($B42,$B:BG,COLUMN(BE41)-1,FALSE)/VLOOKUP($B42,$B:AS,COLUMN(AB41)-1,FALSE),IF(VLOOKUP($B42,$B:BG,COLUMN(BE41)-1,FALSE)&lt;&gt;0,"unknown",0))</f>
        <v>3.7634408602150539E-2</v>
      </c>
      <c r="CH42" s="2">
        <f>IF(VLOOKUP($B42,$B:AS,COLUMN(AC41)-1,FALSE)&lt;&gt;0,VLOOKUP($B42,$B:BG,COLUMN(BF41)-1,FALSE)/VLOOKUP($B42,$B:AS,COLUMN(AC41)-1,FALSE),IF(VLOOKUP($B42,$B:BG,COLUMN(BF41)-1,FALSE)&lt;&gt;0,"unknown",0))</f>
        <v>0</v>
      </c>
      <c r="CI42" s="2">
        <f>IF(VLOOKUP($B42,$B:AT,COLUMN(AD41)-1,FALSE)&lt;&gt;0,VLOOKUP($B42,$B:BH,COLUMN(BG41)-1,FALSE)/VLOOKUP($B42,$B:AT,COLUMN(AD41)-1,FALSE),IF(VLOOKUP($B42,$B:BH,COLUMN(BG41)-1,FALSE)&lt;&gt;0,"unknown",0))</f>
        <v>0</v>
      </c>
      <c r="CJ42" s="2">
        <f>IF(VLOOKUP($B42,$B:AT,COLUMN(AE41)-1,FALSE)&lt;&gt;0,VLOOKUP($B42,$B:BH,COLUMN(BH41)-1,FALSE)/VLOOKUP($B42,$B:AT,COLUMN(AE41)-1,FALSE),IF(VLOOKUP($B42,$B:BH,COLUMN(BH41)-1,FALSE)&lt;&gt;0,"unknown",0))</f>
        <v>0</v>
      </c>
      <c r="CK42" s="2">
        <f>IF(VLOOKUP($B42,$B:AU,COLUMN(AG41)-1,FALSE)&lt;&gt;0,VLOOKUP($B42,$B:BI,COLUMN(BI41)-1,FALSE)/VLOOKUP($B42,$B:AU,COLUMN(AG41)-1,FALSE),IF(VLOOKUP($B42,$B:BI,COLUMN(BI41)-1,FALSE)&lt;&gt;0,"unknown",0))</f>
        <v>0</v>
      </c>
      <c r="CL42" s="2">
        <f>IF(VLOOKUP($B42,$B:AV,COLUMN(AH41)-1,FALSE)&lt;&gt;0,VLOOKUP($B42,$B:BJ,COLUMN(BJ41)-1,FALSE)/VLOOKUP($B42,$B:AV,COLUMN(AH41)-1,FALSE),IF(VLOOKUP($B42,$B:BJ,COLUMN(BJ41)-1,FALSE)&lt;&gt;0,"unknown",0))</f>
        <v>0</v>
      </c>
      <c r="CM42" s="2">
        <f>IF(VLOOKUP($B42,$B:AW,COLUMN(AI41)-1,FALSE)&lt;&gt;0,VLOOKUP($B42,$B:BK,COLUMN(BK41)-1,FALSE)/VLOOKUP($B42,$B:AW,COLUMN(AI41)-1,FALSE),IF(VLOOKUP($B42,$B:BK,COLUMN(BK41)-1,FALSE)&lt;&gt;0,"unknown",0))</f>
        <v>0</v>
      </c>
      <c r="CN42" s="2">
        <f>IF(VLOOKUP($B42,$B:AX,COLUMN(AJ41)-1,FALSE)&lt;&gt;0,VLOOKUP($B42,$B:BL,COLUMN(BL41)-1,FALSE)/VLOOKUP($B42,$B:AX,COLUMN(AJ41)-1,FALSE),IF(VLOOKUP($B42,$B:BL,COLUMN(BL41)-1,FALSE)&lt;&gt;0,"unknown",0))</f>
        <v>0</v>
      </c>
      <c r="CO42" s="410"/>
      <c r="CP42" s="2">
        <f>SUMIFS('Bilateral Assistance, MAIN DATA'!$M:$M,'Bilateral Assistance, MAIN DATA'!$B:$B,'Share, Heavy Weapons to Ukraine'!$B42,'Bilateral Assistance, MAIN DATA'!$AO:$AO,'Share, Heavy Weapons to Ukraine'!CP$11, 'Bilateral Assistance, MAIN DATA'!$AA:$AA,1)</f>
        <v>0</v>
      </c>
      <c r="CQ42" s="2">
        <f>SUMIFS('Bilateral Assistance, MAIN DATA'!$M:$M,'Bilateral Assistance, MAIN DATA'!$B:$B,'Share, Heavy Weapons to Ukraine'!$B42,'Bilateral Assistance, MAIN DATA'!$AO:$AO,'Share, Heavy Weapons to Ukraine'!CQ$11, 'Bilateral Assistance, MAIN DATA'!$AA:$AA,1)</f>
        <v>0</v>
      </c>
      <c r="CR42" s="2">
        <f>SUMIFS('Bilateral Assistance, MAIN DATA'!$M:$M,'Bilateral Assistance, MAIN DATA'!$B:$B,'Share, Heavy Weapons to Ukraine'!$B42,'Bilateral Assistance, MAIN DATA'!$AO:$AO,'Share, Heavy Weapons to Ukraine'!CR$11, 'Bilateral Assistance, MAIN DATA'!$AA:$AA,1)</f>
        <v>0</v>
      </c>
      <c r="CS42" s="2">
        <f>SUMIFS('Bilateral Assistance, MAIN DATA'!$M:$M,'Bilateral Assistance, MAIN DATA'!$B:$B,'Share, Heavy Weapons to Ukraine'!$B42,'Bilateral Assistance, MAIN DATA'!$AO:$AO,'Share, Heavy Weapons to Ukraine'!CS$11, 'Bilateral Assistance, MAIN DATA'!$AA:$AA,1)</f>
        <v>0</v>
      </c>
      <c r="CT42" s="410"/>
      <c r="CU42" s="2">
        <f>SUMIFS('Bilateral Assistance, MAIN DATA'!$N:$N,'Bilateral Assistance, MAIN DATA'!$B:$B,'Share, Heavy Weapons to Ukraine'!$B42,'Bilateral Assistance, MAIN DATA'!$AO:$AO,'Share, Heavy Weapons to Ukraine'!CU$11, 'Bilateral Assistance, MAIN DATA'!$AA:$AA,1)</f>
        <v>0</v>
      </c>
      <c r="CV42" s="2">
        <f>SUMIFS('Bilateral Assistance, MAIN DATA'!$N:$N,'Bilateral Assistance, MAIN DATA'!$B:$B,'Share, Heavy Weapons to Ukraine'!$B42,'Bilateral Assistance, MAIN DATA'!$AO:$AO,'Share, Heavy Weapons to Ukraine'!CV$11, 'Bilateral Assistance, MAIN DATA'!$AA:$AA,1)</f>
        <v>0</v>
      </c>
      <c r="CW42" s="2">
        <f>SUMIFS('Bilateral Assistance, MAIN DATA'!$N:$N,'Bilateral Assistance, MAIN DATA'!$B:$B,'Share, Heavy Weapons to Ukraine'!$B42,'Bilateral Assistance, MAIN DATA'!$AO:$AO,'Share, Heavy Weapons to Ukraine'!CW$11, 'Bilateral Assistance, MAIN DATA'!$AA:$AA,1)</f>
        <v>0</v>
      </c>
      <c r="CX42" s="2">
        <f>SUMIFS('Bilateral Assistance, MAIN DATA'!$N:$N,'Bilateral Assistance, MAIN DATA'!$B:$B,'Share, Heavy Weapons to Ukraine'!$B42,'Bilateral Assistance, MAIN DATA'!$AO:$AO,'Share, Heavy Weapons to Ukraine'!CX$11, 'Bilateral Assistance, MAIN DATA'!$AA:$AA,1)</f>
        <v>0</v>
      </c>
    </row>
    <row r="43" spans="2:102" ht="15.6">
      <c r="B43" s="409" t="s">
        <v>3337</v>
      </c>
      <c r="C43" s="409">
        <v>0</v>
      </c>
      <c r="D43" s="2">
        <v>1</v>
      </c>
      <c r="E43" s="410"/>
      <c r="F43" s="569">
        <v>30</v>
      </c>
      <c r="G43" s="569">
        <v>52</v>
      </c>
      <c r="H43" s="569" t="s">
        <v>364</v>
      </c>
      <c r="I43" s="569" t="s">
        <v>364</v>
      </c>
      <c r="J43" s="569" t="s">
        <v>364</v>
      </c>
      <c r="K43" s="569" t="s">
        <v>364</v>
      </c>
      <c r="L43" s="569" t="s">
        <v>364</v>
      </c>
      <c r="M43" s="569" t="s">
        <v>364</v>
      </c>
      <c r="N43" s="569" t="s">
        <v>364</v>
      </c>
      <c r="O43" s="569" t="s">
        <v>364</v>
      </c>
      <c r="P43" s="569" t="s">
        <v>364</v>
      </c>
      <c r="Q43" s="2" t="s">
        <v>6642</v>
      </c>
      <c r="R43" s="268" t="s">
        <v>6643</v>
      </c>
      <c r="S43" s="569" t="s">
        <v>6644</v>
      </c>
      <c r="T43" s="569" t="s">
        <v>6645</v>
      </c>
      <c r="U43" s="410" t="str">
        <f>""</f>
        <v/>
      </c>
      <c r="V43" s="1334">
        <v>0.67</v>
      </c>
      <c r="W43" s="1334">
        <f>VLOOKUP(B43,'Heavy Weapon Stocks'!B:OA,COLUMN('Heavy Weapon Stocks'!$C$11)-1,FALSE)+IF(F43&lt;&gt;".",F43,0)</f>
        <v>76</v>
      </c>
      <c r="X43" s="1334">
        <f>VLOOKUP(B43,'Heavy Weapon Stocks'!B:OA,COLUMN('Heavy Weapon Stocks'!$AQ$11)-1,FALSE)</f>
        <v>139</v>
      </c>
      <c r="Y43" s="1334">
        <f>VLOOKUP(B43,'Heavy Weapon Stocks'!B:OA,COLUMN('Heavy Weapon Stocks'!$DK$11)-1,FALSE)</f>
        <v>0</v>
      </c>
      <c r="Z43" s="1334">
        <f>VLOOKUP(B43,'Heavy Weapon Stocks'!B:OA,COLUMN('Heavy Weapon Stocks'!$DY$11)-1,FALSE)</f>
        <v>0</v>
      </c>
      <c r="AA43" s="1334">
        <f>VLOOKUP(B43,'Heavy Weapon Stocks'!B:OA,COLUMN('Heavy Weapon Stocks'!$FA$11)-1,FALSE)+IF(G43&lt;&gt;".",G43,0)</f>
        <v>52</v>
      </c>
      <c r="AB43" s="1334">
        <f t="shared" si="3"/>
        <v>191</v>
      </c>
      <c r="AC43" s="1334">
        <f>VLOOKUP(B43,'Heavy Weapon Stocks'!B:OA,COLUMN('Heavy Weapon Stocks'!$GV$11)-1,FALSE)+VLOOKUP(B43,'Heavy Weapon Stocks'!B:OA,COLUMN('Heavy Weapon Stocks'!$HY$11)-1,FALSE)+IF(H43&lt;&gt;".",H43,0)</f>
        <v>18</v>
      </c>
      <c r="AD43" s="1334">
        <f>VLOOKUP(B43,'Heavy Weapon Stocks'!B:OA,COLUMN('Heavy Weapon Stocks'!$IF$11)-1,FALSE)+IF(I43&lt;&gt;".",I43,0)</f>
        <v>0</v>
      </c>
      <c r="AE43" s="1334">
        <f>VLOOKUP(B43,'Heavy Weapon Stocks'!B:OA,COLUMN('Heavy Weapon Stocks'!$IZ$11)-1,FALSE)+VLOOKUP(B43,'Heavy Weapon Stocks'!B:OA,COLUMN('Heavy Weapon Stocks'!$JW$11)-1,FALSE)</f>
        <v>0</v>
      </c>
      <c r="AF43" s="1334">
        <f>VLOOKUP(B43,'Heavy Weapon Stocks'!B:OA,COLUMN('Heavy Weapon Stocks'!$NL$11)-1,FALSE)+IF(L43&lt;&gt;".",L43,0)</f>
        <v>0</v>
      </c>
      <c r="AG43" s="1334">
        <f>VLOOKUP(B43,'Heavy Weapon Stocks'!B:OA,COLUMN('Heavy Weapon Stocks'!$LN$11)-1,FALSE)+IF(M43&lt;&gt;".",M43,0)</f>
        <v>0</v>
      </c>
      <c r="AH43" s="1334">
        <f>VLOOKUP(B43,'Heavy Weapon Stocks'!B:OA,COLUMN('Heavy Weapon Stocks'!$LX$11)-1,FALSE)+IF(N43&lt;&gt;".",N43,0)</f>
        <v>0</v>
      </c>
      <c r="AI43" s="1334">
        <f>VLOOKUP(B43,'Heavy Weapon Stocks'!B:OA,COLUMN('Heavy Weapon Stocks'!$ME$11)-1,FALSE)+IF(O43&lt;&gt;".",O43,0)</f>
        <v>0</v>
      </c>
      <c r="AJ43" s="1334">
        <f>VLOOKUP(B43,'Heavy Weapon Stocks'!B:OA,COLUMN('Heavy Weapon Stocks'!$NK$11)-1,FALSE)+IF(P43&lt;&gt;".",P43,0)</f>
        <v>0</v>
      </c>
      <c r="AK43" s="410"/>
      <c r="AL43" s="25">
        <f>SUMIFS('Bilateral Assistance, MAIN DATA'!$M:$M,'Bilateral Assistance, MAIN DATA'!$B:$B,'Share, Heavy Weapons to Ukraine'!$B43,'Bilateral Assistance, MAIN DATA'!$AO:$AO,'Share, Heavy Weapons to Ukraine'!AL$11)</f>
        <v>28</v>
      </c>
      <c r="AM43" s="25">
        <f>SUMIFS('Bilateral Assistance, MAIN DATA'!$M:$M,'Bilateral Assistance, MAIN DATA'!$B:$B,'Share, Heavy Weapons to Ukraine'!$B43,'Bilateral Assistance, MAIN DATA'!$AO:$AO,'Share, Heavy Weapons to Ukraine'!AM$11)</f>
        <v>0</v>
      </c>
      <c r="AN43" s="25">
        <f>SUMIFS('Bilateral Assistance, MAIN DATA'!$M:$M,'Bilateral Assistance, MAIN DATA'!$B:$B,'Share, Heavy Weapons to Ukraine'!$B43,'Bilateral Assistance, MAIN DATA'!$AO:$AO,'Share, Heavy Weapons to Ukraine'!AN$11)</f>
        <v>0</v>
      </c>
      <c r="AO43" s="25">
        <f>SUMIFS('Bilateral Assistance, MAIN DATA'!$M:$M,'Bilateral Assistance, MAIN DATA'!$B:$B,'Share, Heavy Weapons to Ukraine'!$B43,'Bilateral Assistance, MAIN DATA'!$AO:$AO,'Share, Heavy Weapons to Ukraine'!AO$11)</f>
        <v>0</v>
      </c>
      <c r="AP43" s="25">
        <f>SUMIFS('Bilateral Assistance, MAIN DATA'!$M:$M,'Bilateral Assistance, MAIN DATA'!$B:$B,'Share, Heavy Weapons to Ukraine'!$B43,'Bilateral Assistance, MAIN DATA'!$AO:$AO,'Share, Heavy Weapons to Ukraine'!AP$11)</f>
        <v>35</v>
      </c>
      <c r="AQ43" s="25">
        <f t="shared" si="1"/>
        <v>35</v>
      </c>
      <c r="AR43" s="25">
        <f>SUMIFS('Bilateral Assistance, MAIN DATA'!$M:$M,'Bilateral Assistance, MAIN DATA'!$B:$B,'Share, Heavy Weapons to Ukraine'!$B43,'Bilateral Assistance, MAIN DATA'!$AO:$AO,"155mm howitzer")+SUMIFS('Bilateral Assistance, MAIN DATA'!$M:$M,'Bilateral Assistance, MAIN DATA'!$B:$B,'Share, Heavy Weapons to Ukraine'!$B43,'Bilateral Assistance, MAIN DATA'!$AO:$AO,"152mm howitzer")</f>
        <v>0</v>
      </c>
      <c r="AS43" s="25">
        <f>SUMIFS('Bilateral Assistance, MAIN DATA'!$M:$M,'Bilateral Assistance, MAIN DATA'!$B:$B,'Share, Heavy Weapons to Ukraine'!$B43,'Bilateral Assistance, MAIN DATA'!$AO:$AO,"122mm MLRS")+SUMIFS('Bilateral Assistance, MAIN DATA'!$M:$M,'Bilateral Assistance, MAIN DATA'!$B:$B,'Share, Heavy Weapons to Ukraine'!$B43,'Bilateral Assistance, MAIN DATA'!$AO:$AO,"127mm MLRS")+SUMIFS('Bilateral Assistance, MAIN DATA'!$M:$M,'Bilateral Assistance, MAIN DATA'!$B:$B,'Share, Heavy Weapons to Ukraine'!$B43,'Bilateral Assistance, MAIN DATA'!$AO:$AO,"227mm MLRS")</f>
        <v>0</v>
      </c>
      <c r="AT43" s="25">
        <f>SUMIFS('Bilateral Assistance, MAIN DATA'!$M:$M,'Bilateral Assistance, MAIN DATA'!$B:$B,'Share, Heavy Weapons to Ukraine'!$B43,'Bilateral Assistance, MAIN DATA'!$AO:$AO,'Share, Heavy Weapons to Ukraine'!AT$11)</f>
        <v>0</v>
      </c>
      <c r="AU43" s="25">
        <f>SUMIFS('Bilateral Assistance, MAIN DATA'!$M:$M,'Bilateral Assistance, MAIN DATA'!$B:$B,'Share, Heavy Weapons to Ukraine'!$B43,'Bilateral Assistance, MAIN DATA'!$AO:$AO,'Share, Heavy Weapons to Ukraine'!AU$11)</f>
        <v>0</v>
      </c>
      <c r="AV43" s="25">
        <f>SUMIFS('Bilateral Assistance, MAIN DATA'!$M:$M,'Bilateral Assistance, MAIN DATA'!$B:$B,'Share, Heavy Weapons to Ukraine'!$B43,'Bilateral Assistance, MAIN DATA'!$AO:$AO,'Share, Heavy Weapons to Ukraine'!AV$11)</f>
        <v>0</v>
      </c>
      <c r="AW43" s="25">
        <f>SUMIFS('Bilateral Assistance, MAIN DATA'!$M:$M,'Bilateral Assistance, MAIN DATA'!$B:$B,'Share, Heavy Weapons to Ukraine'!$B43,'Bilateral Assistance, MAIN DATA'!$AO:$AO,'Share, Heavy Weapons to Ukraine'!AW$11)</f>
        <v>0</v>
      </c>
      <c r="AX43" s="25">
        <f>SUMIFS('Bilateral Assistance, MAIN DATA'!$M:$M,'Bilateral Assistance, MAIN DATA'!$B:$B,'Share, Heavy Weapons to Ukraine'!$B43,'Bilateral Assistance, MAIN DATA'!$AO:$AO,'Share, Heavy Weapons to Ukraine'!AX$11)</f>
        <v>0</v>
      </c>
      <c r="AY43" s="410"/>
      <c r="AZ43" s="25">
        <f>SUMIFS('Bilateral Assistance, MAIN DATA'!$N:$N,'Bilateral Assistance, MAIN DATA'!$B:$B,'Share, Heavy Weapons to Ukraine'!$B43,'Bilateral Assistance, MAIN DATA'!$AO:$AO,'Share, Heavy Weapons to Ukraine'!AZ$11)</f>
        <v>28</v>
      </c>
      <c r="BA43" s="25">
        <f>SUMIFS('Bilateral Assistance, MAIN DATA'!$N:$N,'Bilateral Assistance, MAIN DATA'!$B:$B,'Share, Heavy Weapons to Ukraine'!$B43,'Bilateral Assistance, MAIN DATA'!$AO:$AO,'Share, Heavy Weapons to Ukraine'!BA$11)</f>
        <v>0</v>
      </c>
      <c r="BB43" s="25">
        <f>SUMIFS('Bilateral Assistance, MAIN DATA'!$N:$N,'Bilateral Assistance, MAIN DATA'!$B:$B,'Share, Heavy Weapons to Ukraine'!$B43,'Bilateral Assistance, MAIN DATA'!$AO:$AO,'Share, Heavy Weapons to Ukraine'!BB$11)</f>
        <v>0</v>
      </c>
      <c r="BC43" s="25">
        <f>SUMIFS('Bilateral Assistance, MAIN DATA'!$N:$N,'Bilateral Assistance, MAIN DATA'!$B:$B,'Share, Heavy Weapons to Ukraine'!$B43,'Bilateral Assistance, MAIN DATA'!$AO:$AO,'Share, Heavy Weapons to Ukraine'!BC$11)</f>
        <v>0</v>
      </c>
      <c r="BD43" s="25">
        <f>SUMIFS('Bilateral Assistance, MAIN DATA'!$N:$N,'Bilateral Assistance, MAIN DATA'!$B:$B,'Share, Heavy Weapons to Ukraine'!$B43,'Bilateral Assistance, MAIN DATA'!$AO:$AO,'Share, Heavy Weapons to Ukraine'!BD$11)</f>
        <v>35</v>
      </c>
      <c r="BE43" s="25">
        <f t="shared" si="2"/>
        <v>35</v>
      </c>
      <c r="BF43" s="25">
        <f>SUMIFS('Bilateral Assistance, MAIN DATA'!$N:$N,'Bilateral Assistance, MAIN DATA'!$B:$B,'Share, Heavy Weapons to Ukraine'!$B43,'Bilateral Assistance, MAIN DATA'!$AO:$AO,"155mm howitzer")+SUMIFS('Bilateral Assistance, MAIN DATA'!$N:$N,'Bilateral Assistance, MAIN DATA'!$B:$B,'Share, Heavy Weapons to Ukraine'!$B43,'Bilateral Assistance, MAIN DATA'!$AO:$AO,"152mm howitzer")</f>
        <v>0</v>
      </c>
      <c r="BG43" s="25">
        <f>SUMIFS('Bilateral Assistance, MAIN DATA'!$N:$N,'Bilateral Assistance, MAIN DATA'!$B:$B,'Share, Heavy Weapons to Ukraine'!$B43,'Bilateral Assistance, MAIN DATA'!$AO:$AO,"122mm MLRS")+SUMIFS('Bilateral Assistance, MAIN DATA'!$N:$N,'Bilateral Assistance, MAIN DATA'!$B:$B,'Share, Heavy Weapons to Ukraine'!$B43,'Bilateral Assistance, MAIN DATA'!$AO:$AO,"127mm MLRS")+SUMIFS('Bilateral Assistance, MAIN DATA'!$N:$N,'Bilateral Assistance, MAIN DATA'!$B:$B,'Share, Heavy Weapons to Ukraine'!$B43,'Bilateral Assistance, MAIN DATA'!$AO:$AO,"227mm MLRS")</f>
        <v>0</v>
      </c>
      <c r="BH43" s="25">
        <f>SUMIFS('Bilateral Assistance, MAIN DATA'!$N:$N,'Bilateral Assistance, MAIN DATA'!$B:$B,'Share, Heavy Weapons to Ukraine'!$B43,'Bilateral Assistance, MAIN DATA'!$AO:$AO,'Share, Heavy Weapons to Ukraine'!BH$11)</f>
        <v>0</v>
      </c>
      <c r="BI43" s="25">
        <f>SUMIFS('Bilateral Assistance, MAIN DATA'!$N:$N,'Bilateral Assistance, MAIN DATA'!$B:$B,'Share, Heavy Weapons to Ukraine'!$B43,'Bilateral Assistance, MAIN DATA'!$AO:$AO,'Share, Heavy Weapons to Ukraine'!BI$11)</f>
        <v>0</v>
      </c>
      <c r="BJ43" s="25">
        <f>SUMIFS('Bilateral Assistance, MAIN DATA'!$N:$N,'Bilateral Assistance, MAIN DATA'!$B:$B,'Share, Heavy Weapons to Ukraine'!$B43,'Bilateral Assistance, MAIN DATA'!$AO:$AO,'Share, Heavy Weapons to Ukraine'!BJ$11)</f>
        <v>0</v>
      </c>
      <c r="BK43" s="25">
        <f>SUMIFS('Bilateral Assistance, MAIN DATA'!$N:$N,'Bilateral Assistance, MAIN DATA'!$B:$B,'Share, Heavy Weapons to Ukraine'!$B43,'Bilateral Assistance, MAIN DATA'!$AO:$AO,'Share, Heavy Weapons to Ukraine'!BK$11)</f>
        <v>0</v>
      </c>
      <c r="BL43" s="25">
        <f>SUMIFS('Bilateral Assistance, MAIN DATA'!$N:$N,'Bilateral Assistance, MAIN DATA'!$B:$B,'Share, Heavy Weapons to Ukraine'!$B43,'Bilateral Assistance, MAIN DATA'!$AO:$AO,'Share, Heavy Weapons to Ukraine'!BL$11)</f>
        <v>0</v>
      </c>
      <c r="BM43" s="410"/>
      <c r="BN43" s="261">
        <f>IF(VLOOKUP($B43,$B:W,COLUMN(W42)-1,FALSE)&lt;&gt;0,VLOOKUP($B43,$B:AL,COLUMN(AL42)-1,FALSE)/VLOOKUP($B43,$B:W,COLUMN(W42)-1,FALSE),IF(VLOOKUP($B43,$B:AL,COLUMN(AL42)-1,FALSE)&lt;&gt;0,"unknown",0))</f>
        <v>0.36842105263157893</v>
      </c>
      <c r="BO43" s="261">
        <f>IF(VLOOKUP($B43,$B:X,COLUMN(X42)-1,FALSE)&lt;&gt;0,VLOOKUP($B43,$B:AM,COLUMN(AM42)-1,FALSE)/VLOOKUP($B43,$B:X,COLUMN(X42)-1,FALSE),IF(VLOOKUP($B43,$B:AM,COLUMN(AM42)-1,FALSE)&lt;&gt;0,"unknown",0))</f>
        <v>0</v>
      </c>
      <c r="BP43" s="261">
        <f>IF(VLOOKUP($B43,$B:Y,COLUMN(Y42)-1,FALSE)&lt;&gt;0,VLOOKUP($B43,$B:AN,COLUMN(AN42)-1,FALSE)/VLOOKUP($B43,$B:Y,COLUMN(Y42)-1,FALSE),IF(VLOOKUP($B43,$B:AN,COLUMN(AN42)-1,FALSE)&lt;&gt;0,"unknown",0))</f>
        <v>0</v>
      </c>
      <c r="BQ43" s="261">
        <f>IF(VLOOKUP($B43,$B:Z,COLUMN(Z42)-1,FALSE)&lt;&gt;0,VLOOKUP($B43,$B:AO,COLUMN(AO42)-1,FALSE)/VLOOKUP($B43,$B:Z,COLUMN(Z42)-1,FALSE),IF(VLOOKUP($B43,$B:AO,COLUMN(AO42)-1,FALSE)&lt;&gt;0,"unknown",0))</f>
        <v>0</v>
      </c>
      <c r="BR43" s="261">
        <f>IF(VLOOKUP($B43,$B:AA,COLUMN(AA42)-1,FALSE)&lt;&gt;0,VLOOKUP($B43,$B:AP,COLUMN(AP42)-1,FALSE)/VLOOKUP($B43,$B:AA,COLUMN(AA42)-1,FALSE),IF(VLOOKUP($B43,$B:AP,COLUMN(AP42)-1,FALSE)&lt;&gt;0,"unknown",0))</f>
        <v>0.67307692307692313</v>
      </c>
      <c r="BS43" s="261">
        <f>IF(VLOOKUP($B43,$B:AB,COLUMN(AB42)-1,FALSE)&lt;&gt;0,VLOOKUP($B43,$B:AQ,COLUMN(AQ42)-1,FALSE)/VLOOKUP($B43,$B:AB,COLUMN(AB42)-1,FALSE),IF(VLOOKUP($B43,$B:AQ,COLUMN(AQ42)-1,FALSE)&lt;&gt;0,"unknown",0))</f>
        <v>0.18324607329842932</v>
      </c>
      <c r="BT43" s="261">
        <f>IF(VLOOKUP($B43,$B:AC,COLUMN(AC42)-1,FALSE)&lt;&gt;0,VLOOKUP($B43,$B:AR,COLUMN(AR42)-1,FALSE)/VLOOKUP($B43,$B:AC,COLUMN(AC42)-1,FALSE),IF(VLOOKUP($B43,$B:AR,COLUMN(AR42)-1,FALSE)&lt;&gt;0,"unknown",0))</f>
        <v>0</v>
      </c>
      <c r="BU43" s="261">
        <f>IF(VLOOKUP($B43,$B:AD,COLUMN(AD42)-1,FALSE)&lt;&gt;0,VLOOKUP($B43,$B:AS,COLUMN(AS42)-1,FALSE)/VLOOKUP($B43,$B:AD,COLUMN(AD42)-1,FALSE),IF(VLOOKUP($B43,$B:AS,COLUMN(AS42)-1,FALSE)&lt;&gt;0,"unknown",0))</f>
        <v>0</v>
      </c>
      <c r="BV43" s="261">
        <f>IF(VLOOKUP($B43,$B:AE,COLUMN(AE42)-1,FALSE)&lt;&gt;0,VLOOKUP($B43,$B:AT,COLUMN(AT42)-1,FALSE)/VLOOKUP($B43,$B:AE,COLUMN(AE42)-1,FALSE),IF(VLOOKUP($B43,$B:AT,COLUMN(AT42)-1,FALSE)&lt;&gt;0,"unknown",0))</f>
        <v>0</v>
      </c>
      <c r="BW43" s="261">
        <f>IF(VLOOKUP($B43,$B:AG,COLUMN(AG42)-1,FALSE)&lt;&gt;0,VLOOKUP($B43,$B:AU,COLUMN(AU42)-1,FALSE)/VLOOKUP($B43,$B:AG,COLUMN(AG42)-1,FALSE),IF(VLOOKUP($B43,$B:AU,COLUMN(AU42)-1,FALSE)&lt;&gt;0,"unknown",0))</f>
        <v>0</v>
      </c>
      <c r="BX43" s="261">
        <f>IF(VLOOKUP($B43,$B:AH,COLUMN(AH42)-1,FALSE)&lt;&gt;0,VLOOKUP($B43,$B:AV,COLUMN(AV42)-1,FALSE)/VLOOKUP($B43,$B:AH,COLUMN(AH42)-1,FALSE),IF(VLOOKUP($B43,$B:AV,COLUMN(AV42)-1,FALSE)&lt;&gt;0,"unknown",0))</f>
        <v>0</v>
      </c>
      <c r="BY43" s="261">
        <f>IF(VLOOKUP($B43,$B:AI,COLUMN(AI42)-1,FALSE)&lt;&gt;0,VLOOKUP($B43,$B:AW,COLUMN(AW42)-1,FALSE)/VLOOKUP($B43,$B:AI,COLUMN(AI42)-1,FALSE),IF(VLOOKUP($B43,$B:AW,COLUMN(AW42)-1,FALSE)&lt;&gt;0,"unknown",0))</f>
        <v>0</v>
      </c>
      <c r="BZ43" s="261">
        <f>IF(VLOOKUP($B43,$B:AJ,COLUMN(AJ42)-1,FALSE)&lt;&gt;0,VLOOKUP($B43,$B:AX,COLUMN(AX42)-1,FALSE)/VLOOKUP($B43,$B:AJ,COLUMN(AJ42)-1,FALSE),IF(VLOOKUP($B43,$B:AX,COLUMN(AX42)-1,FALSE)&lt;&gt;0,"unknown",0))</f>
        <v>0</v>
      </c>
      <c r="CA43" s="410"/>
      <c r="CB43" s="2">
        <f>IF(VLOOKUP($B43,$B:AM,COLUMN(W42)-1,FALSE)&lt;&gt;0,VLOOKUP($B43,$B:BA,COLUMN(AZ42)-1,FALSE)/VLOOKUP($B43,$B:AM,COLUMN(W42)-1,FALSE),IF(VLOOKUP($B43,$B:BA,COLUMN(AZ42)-1,FALSE)&lt;&gt;0,"unknown",0))</f>
        <v>0.36842105263157893</v>
      </c>
      <c r="CC43" s="2">
        <f>IF(VLOOKUP($B43,$B:AN,COLUMN(X42)-1,FALSE)&lt;&gt;0,VLOOKUP($B43,$B:BB,COLUMN(BA42)-1,FALSE)/VLOOKUP($B43,$B:AN,COLUMN(X42)-1,FALSE),IF(VLOOKUP($B43,$B:BB,COLUMN(BA42)-1,FALSE)&lt;&gt;0,"unknown",0))</f>
        <v>0</v>
      </c>
      <c r="CD43" s="2">
        <f>IF(VLOOKUP($B43,$B:AO,COLUMN(Y42)-1,FALSE)&lt;&gt;0,VLOOKUP($B43,$B:BC,COLUMN(BB42)-1,FALSE)/VLOOKUP($B43,$B:AO,COLUMN(Y42)-1,FALSE),IF(VLOOKUP($B43,$B:BC,COLUMN(BB42)-1,FALSE)&lt;&gt;0,"unknown",0))</f>
        <v>0</v>
      </c>
      <c r="CE43" s="2">
        <f>IF(VLOOKUP($B43,$B:AP,COLUMN(Z42)-1,FALSE)&lt;&gt;0,VLOOKUP($B43,$B:BD,COLUMN(BC42)-1,FALSE)/VLOOKUP($B43,$B:AP,COLUMN(Z42)-1,FALSE),IF(VLOOKUP($B43,$B:BD,COLUMN(BC42)-1,FALSE)&lt;&gt;0,"unknown",0))</f>
        <v>0</v>
      </c>
      <c r="CF43" s="2">
        <f>IF(VLOOKUP($B43,$B:AR,COLUMN(AA42)-1,FALSE)&lt;&gt;0,VLOOKUP($B43,$B:BF,COLUMN(BD42)-1,FALSE)/VLOOKUP($B43,$B:AR,COLUMN(AA42)-1,FALSE),IF(VLOOKUP($B43,$B:BF,COLUMN(BD42)-1,FALSE)&lt;&gt;0,"unknown",0))</f>
        <v>0.67307692307692313</v>
      </c>
      <c r="CG43" s="2">
        <f>IF(VLOOKUP($B43,$B:AS,COLUMN(AB42)-1,FALSE)&lt;&gt;0,VLOOKUP($B43,$B:BG,COLUMN(BE42)-1,FALSE)/VLOOKUP($B43,$B:AS,COLUMN(AB42)-1,FALSE),IF(VLOOKUP($B43,$B:BG,COLUMN(BE42)-1,FALSE)&lt;&gt;0,"unknown",0))</f>
        <v>0.18324607329842932</v>
      </c>
      <c r="CH43" s="2">
        <f>IF(VLOOKUP($B43,$B:AS,COLUMN(AC42)-1,FALSE)&lt;&gt;0,VLOOKUP($B43,$B:BG,COLUMN(BF42)-1,FALSE)/VLOOKUP($B43,$B:AS,COLUMN(AC42)-1,FALSE),IF(VLOOKUP($B43,$B:BG,COLUMN(BF42)-1,FALSE)&lt;&gt;0,"unknown",0))</f>
        <v>0</v>
      </c>
      <c r="CI43" s="2">
        <f>IF(VLOOKUP($B43,$B:AT,COLUMN(AD42)-1,FALSE)&lt;&gt;0,VLOOKUP($B43,$B:BH,COLUMN(BG42)-1,FALSE)/VLOOKUP($B43,$B:AT,COLUMN(AD42)-1,FALSE),IF(VLOOKUP($B43,$B:BH,COLUMN(BG42)-1,FALSE)&lt;&gt;0,"unknown",0))</f>
        <v>0</v>
      </c>
      <c r="CJ43" s="2">
        <f>IF(VLOOKUP($B43,$B:AT,COLUMN(AE42)-1,FALSE)&lt;&gt;0,VLOOKUP($B43,$B:BH,COLUMN(BH42)-1,FALSE)/VLOOKUP($B43,$B:AT,COLUMN(AE42)-1,FALSE),IF(VLOOKUP($B43,$B:BH,COLUMN(BH42)-1,FALSE)&lt;&gt;0,"unknown",0))</f>
        <v>0</v>
      </c>
      <c r="CK43" s="2">
        <f>IF(VLOOKUP($B43,$B:AU,COLUMN(AG42)-1,FALSE)&lt;&gt;0,VLOOKUP($B43,$B:BI,COLUMN(BI42)-1,FALSE)/VLOOKUP($B43,$B:AU,COLUMN(AG42)-1,FALSE),IF(VLOOKUP($B43,$B:BI,COLUMN(BI42)-1,FALSE)&lt;&gt;0,"unknown",0))</f>
        <v>0</v>
      </c>
      <c r="CL43" s="2">
        <f>IF(VLOOKUP($B43,$B:AV,COLUMN(AH42)-1,FALSE)&lt;&gt;0,VLOOKUP($B43,$B:BJ,COLUMN(BJ42)-1,FALSE)/VLOOKUP($B43,$B:AV,COLUMN(AH42)-1,FALSE),IF(VLOOKUP($B43,$B:BJ,COLUMN(BJ42)-1,FALSE)&lt;&gt;0,"unknown",0))</f>
        <v>0</v>
      </c>
      <c r="CM43" s="2">
        <f>IF(VLOOKUP($B43,$B:AW,COLUMN(AI42)-1,FALSE)&lt;&gt;0,VLOOKUP($B43,$B:BK,COLUMN(BK42)-1,FALSE)/VLOOKUP($B43,$B:AW,COLUMN(AI42)-1,FALSE),IF(VLOOKUP($B43,$B:BK,COLUMN(BK42)-1,FALSE)&lt;&gt;0,"unknown",0))</f>
        <v>0</v>
      </c>
      <c r="CN43" s="2">
        <f>IF(VLOOKUP($B43,$B:AX,COLUMN(AJ42)-1,FALSE)&lt;&gt;0,VLOOKUP($B43,$B:BL,COLUMN(BL42)-1,FALSE)/VLOOKUP($B43,$B:AX,COLUMN(AJ42)-1,FALSE),IF(VLOOKUP($B43,$B:BL,COLUMN(BL42)-1,FALSE)&lt;&gt;0,"unknown",0))</f>
        <v>0</v>
      </c>
      <c r="CO43" s="410"/>
      <c r="CP43" s="2">
        <f>SUMIFS('Bilateral Assistance, MAIN DATA'!$M:$M,'Bilateral Assistance, MAIN DATA'!$B:$B,'Share, Heavy Weapons to Ukraine'!$B43,'Bilateral Assistance, MAIN DATA'!$AO:$AO,'Share, Heavy Weapons to Ukraine'!CP$11, 'Bilateral Assistance, MAIN DATA'!$AA:$AA,1)</f>
        <v>0</v>
      </c>
      <c r="CQ43" s="2">
        <f>SUMIFS('Bilateral Assistance, MAIN DATA'!$M:$M,'Bilateral Assistance, MAIN DATA'!$B:$B,'Share, Heavy Weapons to Ukraine'!$B43,'Bilateral Assistance, MAIN DATA'!$AO:$AO,'Share, Heavy Weapons to Ukraine'!CQ$11, 'Bilateral Assistance, MAIN DATA'!$AA:$AA,1)</f>
        <v>0</v>
      </c>
      <c r="CR43" s="2">
        <f>SUMIFS('Bilateral Assistance, MAIN DATA'!$M:$M,'Bilateral Assistance, MAIN DATA'!$B:$B,'Share, Heavy Weapons to Ukraine'!$B43,'Bilateral Assistance, MAIN DATA'!$AO:$AO,'Share, Heavy Weapons to Ukraine'!CR$11, 'Bilateral Assistance, MAIN DATA'!$AA:$AA,1)</f>
        <v>0</v>
      </c>
      <c r="CS43" s="2">
        <f>SUMIFS('Bilateral Assistance, MAIN DATA'!$M:$M,'Bilateral Assistance, MAIN DATA'!$B:$B,'Share, Heavy Weapons to Ukraine'!$B43,'Bilateral Assistance, MAIN DATA'!$AO:$AO,'Share, Heavy Weapons to Ukraine'!CS$11, 'Bilateral Assistance, MAIN DATA'!$AA:$AA,1)</f>
        <v>0</v>
      </c>
      <c r="CT43" s="410"/>
      <c r="CU43" s="2">
        <f>SUMIFS('Bilateral Assistance, MAIN DATA'!$N:$N,'Bilateral Assistance, MAIN DATA'!$B:$B,'Share, Heavy Weapons to Ukraine'!$B43,'Bilateral Assistance, MAIN DATA'!$AO:$AO,'Share, Heavy Weapons to Ukraine'!CU$11, 'Bilateral Assistance, MAIN DATA'!$AA:$AA,1)</f>
        <v>0</v>
      </c>
      <c r="CV43" s="2">
        <f>SUMIFS('Bilateral Assistance, MAIN DATA'!$N:$N,'Bilateral Assistance, MAIN DATA'!$B:$B,'Share, Heavy Weapons to Ukraine'!$B43,'Bilateral Assistance, MAIN DATA'!$AO:$AO,'Share, Heavy Weapons to Ukraine'!CV$11, 'Bilateral Assistance, MAIN DATA'!$AA:$AA,1)</f>
        <v>0</v>
      </c>
      <c r="CW43" s="2">
        <f>SUMIFS('Bilateral Assistance, MAIN DATA'!$N:$N,'Bilateral Assistance, MAIN DATA'!$B:$B,'Share, Heavy Weapons to Ukraine'!$B43,'Bilateral Assistance, MAIN DATA'!$AO:$AO,'Share, Heavy Weapons to Ukraine'!CW$11, 'Bilateral Assistance, MAIN DATA'!$AA:$AA,1)</f>
        <v>0</v>
      </c>
      <c r="CX43" s="2">
        <f>SUMIFS('Bilateral Assistance, MAIN DATA'!$N:$N,'Bilateral Assistance, MAIN DATA'!$B:$B,'Share, Heavy Weapons to Ukraine'!$B43,'Bilateral Assistance, MAIN DATA'!$AO:$AO,'Share, Heavy Weapons to Ukraine'!CX$11, 'Bilateral Assistance, MAIN DATA'!$AA:$AA,1)</f>
        <v>0</v>
      </c>
    </row>
    <row r="44" spans="2:102" ht="15.6">
      <c r="B44" s="409" t="s">
        <v>981</v>
      </c>
      <c r="C44" s="409">
        <v>0</v>
      </c>
      <c r="D44" s="2">
        <v>1</v>
      </c>
      <c r="E44" s="410"/>
      <c r="F44" s="569" t="s">
        <v>364</v>
      </c>
      <c r="G44" s="569" t="s">
        <v>364</v>
      </c>
      <c r="H44" s="569" t="s">
        <v>364</v>
      </c>
      <c r="I44" s="569" t="s">
        <v>364</v>
      </c>
      <c r="J44" s="569" t="s">
        <v>364</v>
      </c>
      <c r="K44" s="569" t="s">
        <v>364</v>
      </c>
      <c r="L44" s="569" t="s">
        <v>364</v>
      </c>
      <c r="M44" s="569" t="s">
        <v>364</v>
      </c>
      <c r="N44" s="569" t="s">
        <v>364</v>
      </c>
      <c r="O44" s="569" t="s">
        <v>364</v>
      </c>
      <c r="P44" s="569" t="s">
        <v>364</v>
      </c>
      <c r="Q44" s="569" t="s">
        <v>364</v>
      </c>
      <c r="R44" s="569" t="s">
        <v>364</v>
      </c>
      <c r="S44" s="569" t="s">
        <v>364</v>
      </c>
      <c r="T44" s="569" t="s">
        <v>364</v>
      </c>
      <c r="U44" s="410" t="str">
        <f>""</f>
        <v/>
      </c>
      <c r="V44" s="1334">
        <v>0.52300000000000002</v>
      </c>
      <c r="W44" s="1334">
        <f>VLOOKUP(B44,'Heavy Weapon Stocks'!B:OA,COLUMN('Heavy Weapon Stocks'!$C$11)-1,FALSE)+IF(F44&lt;&gt;".",F44,0)</f>
        <v>134</v>
      </c>
      <c r="X44" s="1334">
        <f>VLOOKUP(B44,'Heavy Weapon Stocks'!B:OA,COLUMN('Heavy Weapon Stocks'!$AQ$11)-1,FALSE)</f>
        <v>295</v>
      </c>
      <c r="Y44" s="1334">
        <f>VLOOKUP(B44,'Heavy Weapon Stocks'!B:OA,COLUMN('Heavy Weapon Stocks'!$DK$11)-1,FALSE)</f>
        <v>0</v>
      </c>
      <c r="Z44" s="1334">
        <f>VLOOKUP(B44,'Heavy Weapon Stocks'!B:OA,COLUMN('Heavy Weapon Stocks'!$DY$11)-1,FALSE)</f>
        <v>8</v>
      </c>
      <c r="AA44" s="1334">
        <f>VLOOKUP(B44,'Heavy Weapon Stocks'!B:OA,COLUMN('Heavy Weapon Stocks'!$FA$11)-1,FALSE)+IF(G44&lt;&gt;".",G44,0)</f>
        <v>43</v>
      </c>
      <c r="AB44" s="1334">
        <f t="shared" si="3"/>
        <v>346</v>
      </c>
      <c r="AC44" s="1334">
        <f>VLOOKUP(B44,'Heavy Weapon Stocks'!B:OA,COLUMN('Heavy Weapon Stocks'!$GV$11)-1,FALSE)+VLOOKUP(B44,'Heavy Weapon Stocks'!B:OA,COLUMN('Heavy Weapon Stocks'!$HY$11)-1,FALSE)+IF(H44&lt;&gt;".",H44,0)</f>
        <v>60</v>
      </c>
      <c r="AD44" s="1334">
        <f>VLOOKUP(B44,'Heavy Weapon Stocks'!B:OA,COLUMN('Heavy Weapon Stocks'!$IF$11)-1,FALSE)+IF(I44&lt;&gt;".",I44,0)</f>
        <v>40</v>
      </c>
      <c r="AE44" s="1334">
        <f>VLOOKUP(B44,'Heavy Weapon Stocks'!B:OA,COLUMN('Heavy Weapon Stocks'!$IZ$11)-1,FALSE)+VLOOKUP(B44,'Heavy Weapon Stocks'!B:OA,COLUMN('Heavy Weapon Stocks'!$JW$11)-1,FALSE)</f>
        <v>0</v>
      </c>
      <c r="AF44" s="1334">
        <f>VLOOKUP(B44,'Heavy Weapon Stocks'!B:OA,COLUMN('Heavy Weapon Stocks'!$NL$11)-1,FALSE)+IF(L44&lt;&gt;".",L44,0)</f>
        <v>0</v>
      </c>
      <c r="AG44" s="1334">
        <f>VLOOKUP(B44,'Heavy Weapon Stocks'!B:OA,COLUMN('Heavy Weapon Stocks'!$LN$11)-1,FALSE)+IF(M44&lt;&gt;".",M44,0)</f>
        <v>0</v>
      </c>
      <c r="AH44" s="1334">
        <f>VLOOKUP(B44,'Heavy Weapon Stocks'!B:OA,COLUMN('Heavy Weapon Stocks'!$LX$11)-1,FALSE)+IF(N44&lt;&gt;".",N44,0)</f>
        <v>4</v>
      </c>
      <c r="AI44" s="1334">
        <f>VLOOKUP(B44,'Heavy Weapon Stocks'!B:OA,COLUMN('Heavy Weapon Stocks'!$ME$11)-1,FALSE)+IF(O44&lt;&gt;".",O44,0)</f>
        <v>18</v>
      </c>
      <c r="AJ44" s="1334">
        <f>VLOOKUP(B44,'Heavy Weapon Stocks'!B:OA,COLUMN('Heavy Weapon Stocks'!$NK$11)-1,FALSE)+IF(P44&lt;&gt;".",P44,0)</f>
        <v>0</v>
      </c>
      <c r="AK44" s="410"/>
      <c r="AL44" s="25">
        <f>SUMIFS('Bilateral Assistance, MAIN DATA'!$M:$M,'Bilateral Assistance, MAIN DATA'!$B:$B,'Share, Heavy Weapons to Ukraine'!$B44,'Bilateral Assistance, MAIN DATA'!$AO:$AO,'Share, Heavy Weapons to Ukraine'!AL$11)</f>
        <v>0</v>
      </c>
      <c r="AM44" s="25">
        <f>SUMIFS('Bilateral Assistance, MAIN DATA'!$M:$M,'Bilateral Assistance, MAIN DATA'!$B:$B,'Share, Heavy Weapons to Ukraine'!$B44,'Bilateral Assistance, MAIN DATA'!$AO:$AO,'Share, Heavy Weapons to Ukraine'!AM$11)</f>
        <v>0</v>
      </c>
      <c r="AN44" s="25">
        <f>SUMIFS('Bilateral Assistance, MAIN DATA'!$M:$M,'Bilateral Assistance, MAIN DATA'!$B:$B,'Share, Heavy Weapons to Ukraine'!$B44,'Bilateral Assistance, MAIN DATA'!$AO:$AO,'Share, Heavy Weapons to Ukraine'!AN$11)</f>
        <v>0</v>
      </c>
      <c r="AO44" s="25">
        <f>SUMIFS('Bilateral Assistance, MAIN DATA'!$M:$M,'Bilateral Assistance, MAIN DATA'!$B:$B,'Share, Heavy Weapons to Ukraine'!$B44,'Bilateral Assistance, MAIN DATA'!$AO:$AO,'Share, Heavy Weapons to Ukraine'!AO$11)</f>
        <v>0</v>
      </c>
      <c r="AP44" s="25">
        <f>SUMIFS('Bilateral Assistance, MAIN DATA'!$M:$M,'Bilateral Assistance, MAIN DATA'!$B:$B,'Share, Heavy Weapons to Ukraine'!$B44,'Bilateral Assistance, MAIN DATA'!$AO:$AO,'Share, Heavy Weapons to Ukraine'!AP$11)</f>
        <v>0</v>
      </c>
      <c r="AQ44" s="25">
        <f t="shared" si="1"/>
        <v>0</v>
      </c>
      <c r="AR44" s="25">
        <f>SUMIFS('Bilateral Assistance, MAIN DATA'!$M:$M,'Bilateral Assistance, MAIN DATA'!$B:$B,'Share, Heavy Weapons to Ukraine'!$B44,'Bilateral Assistance, MAIN DATA'!$AO:$AO,"155mm howitzer")+SUMIFS('Bilateral Assistance, MAIN DATA'!$M:$M,'Bilateral Assistance, MAIN DATA'!$B:$B,'Share, Heavy Weapons to Ukraine'!$B44,'Bilateral Assistance, MAIN DATA'!$AO:$AO,"152mm howitzer")</f>
        <v>0</v>
      </c>
      <c r="AS44" s="25">
        <f>SUMIFS('Bilateral Assistance, MAIN DATA'!$M:$M,'Bilateral Assistance, MAIN DATA'!$B:$B,'Share, Heavy Weapons to Ukraine'!$B44,'Bilateral Assistance, MAIN DATA'!$AO:$AO,"122mm MLRS")+SUMIFS('Bilateral Assistance, MAIN DATA'!$M:$M,'Bilateral Assistance, MAIN DATA'!$B:$B,'Share, Heavy Weapons to Ukraine'!$B44,'Bilateral Assistance, MAIN DATA'!$AO:$AO,"127mm MLRS")+SUMIFS('Bilateral Assistance, MAIN DATA'!$M:$M,'Bilateral Assistance, MAIN DATA'!$B:$B,'Share, Heavy Weapons to Ukraine'!$B44,'Bilateral Assistance, MAIN DATA'!$AO:$AO,"227mm MLRS")</f>
        <v>0</v>
      </c>
      <c r="AT44" s="25">
        <f>SUMIFS('Bilateral Assistance, MAIN DATA'!$M:$M,'Bilateral Assistance, MAIN DATA'!$B:$B,'Share, Heavy Weapons to Ukraine'!$B44,'Bilateral Assistance, MAIN DATA'!$AO:$AO,'Share, Heavy Weapons to Ukraine'!AT$11)</f>
        <v>0</v>
      </c>
      <c r="AU44" s="25">
        <f>SUMIFS('Bilateral Assistance, MAIN DATA'!$M:$M,'Bilateral Assistance, MAIN DATA'!$B:$B,'Share, Heavy Weapons to Ukraine'!$B44,'Bilateral Assistance, MAIN DATA'!$AO:$AO,'Share, Heavy Weapons to Ukraine'!AU$11)</f>
        <v>0</v>
      </c>
      <c r="AV44" s="25">
        <f>SUMIFS('Bilateral Assistance, MAIN DATA'!$M:$M,'Bilateral Assistance, MAIN DATA'!$B:$B,'Share, Heavy Weapons to Ukraine'!$B44,'Bilateral Assistance, MAIN DATA'!$AO:$AO,'Share, Heavy Weapons to Ukraine'!AV$11)</f>
        <v>0</v>
      </c>
      <c r="AW44" s="25">
        <f>SUMIFS('Bilateral Assistance, MAIN DATA'!$M:$M,'Bilateral Assistance, MAIN DATA'!$B:$B,'Share, Heavy Weapons to Ukraine'!$B44,'Bilateral Assistance, MAIN DATA'!$AO:$AO,'Share, Heavy Weapons to Ukraine'!AW$11)</f>
        <v>0</v>
      </c>
      <c r="AX44" s="25">
        <f>SUMIFS('Bilateral Assistance, MAIN DATA'!$M:$M,'Bilateral Assistance, MAIN DATA'!$B:$B,'Share, Heavy Weapons to Ukraine'!$B44,'Bilateral Assistance, MAIN DATA'!$AO:$AO,'Share, Heavy Weapons to Ukraine'!AX$11)</f>
        <v>0</v>
      </c>
      <c r="AY44" s="410"/>
      <c r="AZ44" s="25">
        <f>SUMIFS('Bilateral Assistance, MAIN DATA'!$N:$N,'Bilateral Assistance, MAIN DATA'!$B:$B,'Share, Heavy Weapons to Ukraine'!$B44,'Bilateral Assistance, MAIN DATA'!$AO:$AO,'Share, Heavy Weapons to Ukraine'!AZ$11)</f>
        <v>0</v>
      </c>
      <c r="BA44" s="25">
        <f>SUMIFS('Bilateral Assistance, MAIN DATA'!$N:$N,'Bilateral Assistance, MAIN DATA'!$B:$B,'Share, Heavy Weapons to Ukraine'!$B44,'Bilateral Assistance, MAIN DATA'!$AO:$AO,'Share, Heavy Weapons to Ukraine'!BA$11)</f>
        <v>0</v>
      </c>
      <c r="BB44" s="25">
        <f>SUMIFS('Bilateral Assistance, MAIN DATA'!$N:$N,'Bilateral Assistance, MAIN DATA'!$B:$B,'Share, Heavy Weapons to Ukraine'!$B44,'Bilateral Assistance, MAIN DATA'!$AO:$AO,'Share, Heavy Weapons to Ukraine'!BB$11)</f>
        <v>0</v>
      </c>
      <c r="BC44" s="25">
        <f>SUMIFS('Bilateral Assistance, MAIN DATA'!$N:$N,'Bilateral Assistance, MAIN DATA'!$B:$B,'Share, Heavy Weapons to Ukraine'!$B44,'Bilateral Assistance, MAIN DATA'!$AO:$AO,'Share, Heavy Weapons to Ukraine'!BC$11)</f>
        <v>0</v>
      </c>
      <c r="BD44" s="25">
        <f>SUMIFS('Bilateral Assistance, MAIN DATA'!$N:$N,'Bilateral Assistance, MAIN DATA'!$B:$B,'Share, Heavy Weapons to Ukraine'!$B44,'Bilateral Assistance, MAIN DATA'!$AO:$AO,'Share, Heavy Weapons to Ukraine'!BD$11)</f>
        <v>0</v>
      </c>
      <c r="BE44" s="25">
        <f t="shared" si="2"/>
        <v>0</v>
      </c>
      <c r="BF44" s="25">
        <f>SUMIFS('Bilateral Assistance, MAIN DATA'!$N:$N,'Bilateral Assistance, MAIN DATA'!$B:$B,'Share, Heavy Weapons to Ukraine'!$B44,'Bilateral Assistance, MAIN DATA'!$AO:$AO,"155mm howitzer")+SUMIFS('Bilateral Assistance, MAIN DATA'!$N:$N,'Bilateral Assistance, MAIN DATA'!$B:$B,'Share, Heavy Weapons to Ukraine'!$B44,'Bilateral Assistance, MAIN DATA'!$AO:$AO,"152mm howitzer")</f>
        <v>0</v>
      </c>
      <c r="BG44" s="25">
        <f>SUMIFS('Bilateral Assistance, MAIN DATA'!$N:$N,'Bilateral Assistance, MAIN DATA'!$B:$B,'Share, Heavy Weapons to Ukraine'!$B44,'Bilateral Assistance, MAIN DATA'!$AO:$AO,"122mm MLRS")+SUMIFS('Bilateral Assistance, MAIN DATA'!$N:$N,'Bilateral Assistance, MAIN DATA'!$B:$B,'Share, Heavy Weapons to Ukraine'!$B44,'Bilateral Assistance, MAIN DATA'!$AO:$AO,"127mm MLRS")+SUMIFS('Bilateral Assistance, MAIN DATA'!$N:$N,'Bilateral Assistance, MAIN DATA'!$B:$B,'Share, Heavy Weapons to Ukraine'!$B44,'Bilateral Assistance, MAIN DATA'!$AO:$AO,"227mm MLRS")</f>
        <v>0</v>
      </c>
      <c r="BH44" s="25">
        <f>SUMIFS('Bilateral Assistance, MAIN DATA'!$N:$N,'Bilateral Assistance, MAIN DATA'!$B:$B,'Share, Heavy Weapons to Ukraine'!$B44,'Bilateral Assistance, MAIN DATA'!$AO:$AO,'Share, Heavy Weapons to Ukraine'!BH$11)</f>
        <v>0</v>
      </c>
      <c r="BI44" s="25">
        <f>SUMIFS('Bilateral Assistance, MAIN DATA'!$N:$N,'Bilateral Assistance, MAIN DATA'!$B:$B,'Share, Heavy Weapons to Ukraine'!$B44,'Bilateral Assistance, MAIN DATA'!$AO:$AO,'Share, Heavy Weapons to Ukraine'!BI$11)</f>
        <v>0</v>
      </c>
      <c r="BJ44" s="25">
        <f>SUMIFS('Bilateral Assistance, MAIN DATA'!$N:$N,'Bilateral Assistance, MAIN DATA'!$B:$B,'Share, Heavy Weapons to Ukraine'!$B44,'Bilateral Assistance, MAIN DATA'!$AO:$AO,'Share, Heavy Weapons to Ukraine'!BJ$11)</f>
        <v>0</v>
      </c>
      <c r="BK44" s="25">
        <f>SUMIFS('Bilateral Assistance, MAIN DATA'!$N:$N,'Bilateral Assistance, MAIN DATA'!$B:$B,'Share, Heavy Weapons to Ukraine'!$B44,'Bilateral Assistance, MAIN DATA'!$AO:$AO,'Share, Heavy Weapons to Ukraine'!BK$11)</f>
        <v>0</v>
      </c>
      <c r="BL44" s="25">
        <f>SUMIFS('Bilateral Assistance, MAIN DATA'!$N:$N,'Bilateral Assistance, MAIN DATA'!$B:$B,'Share, Heavy Weapons to Ukraine'!$B44,'Bilateral Assistance, MAIN DATA'!$AO:$AO,'Share, Heavy Weapons to Ukraine'!BL$11)</f>
        <v>0</v>
      </c>
      <c r="BM44" s="410"/>
      <c r="BN44" s="261">
        <f>IF(VLOOKUP($B44,$B:W,COLUMN(W43)-1,FALSE)&lt;&gt;0,VLOOKUP($B44,$B:AL,COLUMN(AL43)-1,FALSE)/VLOOKUP($B44,$B:W,COLUMN(W43)-1,FALSE),IF(VLOOKUP($B44,$B:AL,COLUMN(AL43)-1,FALSE)&lt;&gt;0,"unknown",0))</f>
        <v>0</v>
      </c>
      <c r="BO44" s="261">
        <f>IF(VLOOKUP($B44,$B:X,COLUMN(X43)-1,FALSE)&lt;&gt;0,VLOOKUP($B44,$B:AM,COLUMN(AM43)-1,FALSE)/VLOOKUP($B44,$B:X,COLUMN(X43)-1,FALSE),IF(VLOOKUP($B44,$B:AM,COLUMN(AM43)-1,FALSE)&lt;&gt;0,"unknown",0))</f>
        <v>0</v>
      </c>
      <c r="BP44" s="261">
        <f>IF(VLOOKUP($B44,$B:Y,COLUMN(Y43)-1,FALSE)&lt;&gt;0,VLOOKUP($B44,$B:AN,COLUMN(AN43)-1,FALSE)/VLOOKUP($B44,$B:Y,COLUMN(Y43)-1,FALSE),IF(VLOOKUP($B44,$B:AN,COLUMN(AN43)-1,FALSE)&lt;&gt;0,"unknown",0))</f>
        <v>0</v>
      </c>
      <c r="BQ44" s="261">
        <f>IF(VLOOKUP($B44,$B:Z,COLUMN(Z43)-1,FALSE)&lt;&gt;0,VLOOKUP($B44,$B:AO,COLUMN(AO43)-1,FALSE)/VLOOKUP($B44,$B:Z,COLUMN(Z43)-1,FALSE),IF(VLOOKUP($B44,$B:AO,COLUMN(AO43)-1,FALSE)&lt;&gt;0,"unknown",0))</f>
        <v>0</v>
      </c>
      <c r="BR44" s="261">
        <f>IF(VLOOKUP($B44,$B:AA,COLUMN(AA43)-1,FALSE)&lt;&gt;0,VLOOKUP($B44,$B:AP,COLUMN(AP43)-1,FALSE)/VLOOKUP($B44,$B:AA,COLUMN(AA43)-1,FALSE),IF(VLOOKUP($B44,$B:AP,COLUMN(AP43)-1,FALSE)&lt;&gt;0,"unknown",0))</f>
        <v>0</v>
      </c>
      <c r="BS44" s="261">
        <f>IF(VLOOKUP($B44,$B:AB,COLUMN(AB43)-1,FALSE)&lt;&gt;0,VLOOKUP($B44,$B:AQ,COLUMN(AQ43)-1,FALSE)/VLOOKUP($B44,$B:AB,COLUMN(AB43)-1,FALSE),IF(VLOOKUP($B44,$B:AQ,COLUMN(AQ43)-1,FALSE)&lt;&gt;0,"unknown",0))</f>
        <v>0</v>
      </c>
      <c r="BT44" s="261">
        <f>IF(VLOOKUP($B44,$B:AC,COLUMN(AC43)-1,FALSE)&lt;&gt;0,VLOOKUP($B44,$B:AR,COLUMN(AR43)-1,FALSE)/VLOOKUP($B44,$B:AC,COLUMN(AC43)-1,FALSE),IF(VLOOKUP($B44,$B:AR,COLUMN(AR43)-1,FALSE)&lt;&gt;0,"unknown",0))</f>
        <v>0</v>
      </c>
      <c r="BU44" s="261">
        <f>IF(VLOOKUP($B44,$B:AD,COLUMN(AD43)-1,FALSE)&lt;&gt;0,VLOOKUP($B44,$B:AS,COLUMN(AS43)-1,FALSE)/VLOOKUP($B44,$B:AD,COLUMN(AD43)-1,FALSE),IF(VLOOKUP($B44,$B:AS,COLUMN(AS43)-1,FALSE)&lt;&gt;0,"unknown",0))</f>
        <v>0</v>
      </c>
      <c r="BV44" s="261">
        <f>IF(VLOOKUP($B44,$B:AE,COLUMN(AE43)-1,FALSE)&lt;&gt;0,VLOOKUP($B44,$B:AT,COLUMN(AT43)-1,FALSE)/VLOOKUP($B44,$B:AE,COLUMN(AE43)-1,FALSE),IF(VLOOKUP($B44,$B:AT,COLUMN(AT43)-1,FALSE)&lt;&gt;0,"unknown",0))</f>
        <v>0</v>
      </c>
      <c r="BW44" s="261">
        <f>IF(VLOOKUP($B44,$B:AG,COLUMN(AG43)-1,FALSE)&lt;&gt;0,VLOOKUP($B44,$B:AU,COLUMN(AU43)-1,FALSE)/VLOOKUP($B44,$B:AG,COLUMN(AG43)-1,FALSE),IF(VLOOKUP($B44,$B:AU,COLUMN(AU43)-1,FALSE)&lt;&gt;0,"unknown",0))</f>
        <v>0</v>
      </c>
      <c r="BX44" s="261">
        <f>IF(VLOOKUP($B44,$B:AH,COLUMN(AH43)-1,FALSE)&lt;&gt;0,VLOOKUP($B44,$B:AV,COLUMN(AV43)-1,FALSE)/VLOOKUP($B44,$B:AH,COLUMN(AH43)-1,FALSE),IF(VLOOKUP($B44,$B:AV,COLUMN(AV43)-1,FALSE)&lt;&gt;0,"unknown",0))</f>
        <v>0</v>
      </c>
      <c r="BY44" s="261">
        <f>IF(VLOOKUP($B44,$B:AI,COLUMN(AI43)-1,FALSE)&lt;&gt;0,VLOOKUP($B44,$B:AW,COLUMN(AW43)-1,FALSE)/VLOOKUP($B44,$B:AI,COLUMN(AI43)-1,FALSE),IF(VLOOKUP($B44,$B:AW,COLUMN(AW43)-1,FALSE)&lt;&gt;0,"unknown",0))</f>
        <v>0</v>
      </c>
      <c r="BZ44" s="261">
        <f>IF(VLOOKUP($B44,$B:AJ,COLUMN(AJ43)-1,FALSE)&lt;&gt;0,VLOOKUP($B44,$B:AX,COLUMN(AX43)-1,FALSE)/VLOOKUP($B44,$B:AJ,COLUMN(AJ43)-1,FALSE),IF(VLOOKUP($B44,$B:AX,COLUMN(AX43)-1,FALSE)&lt;&gt;0,"unknown",0))</f>
        <v>0</v>
      </c>
      <c r="CA44" s="410"/>
      <c r="CB44" s="2">
        <f>IF(VLOOKUP($B44,$B:AM,COLUMN(W43)-1,FALSE)&lt;&gt;0,VLOOKUP($B44,$B:BA,COLUMN(AZ43)-1,FALSE)/VLOOKUP($B44,$B:AM,COLUMN(W43)-1,FALSE),IF(VLOOKUP($B44,$B:BA,COLUMN(AZ43)-1,FALSE)&lt;&gt;0,"unknown",0))</f>
        <v>0</v>
      </c>
      <c r="CC44" s="2">
        <f>IF(VLOOKUP($B44,$B:AN,COLUMN(X43)-1,FALSE)&lt;&gt;0,VLOOKUP($B44,$B:BB,COLUMN(BA43)-1,FALSE)/VLOOKUP($B44,$B:AN,COLUMN(X43)-1,FALSE),IF(VLOOKUP($B44,$B:BB,COLUMN(BA43)-1,FALSE)&lt;&gt;0,"unknown",0))</f>
        <v>0</v>
      </c>
      <c r="CD44" s="2">
        <f>IF(VLOOKUP($B44,$B:AO,COLUMN(Y43)-1,FALSE)&lt;&gt;0,VLOOKUP($B44,$B:BC,COLUMN(BB43)-1,FALSE)/VLOOKUP($B44,$B:AO,COLUMN(Y43)-1,FALSE),IF(VLOOKUP($B44,$B:BC,COLUMN(BB43)-1,FALSE)&lt;&gt;0,"unknown",0))</f>
        <v>0</v>
      </c>
      <c r="CE44" s="2">
        <f>IF(VLOOKUP($B44,$B:AP,COLUMN(Z43)-1,FALSE)&lt;&gt;0,VLOOKUP($B44,$B:BD,COLUMN(BC43)-1,FALSE)/VLOOKUP($B44,$B:AP,COLUMN(Z43)-1,FALSE),IF(VLOOKUP($B44,$B:BD,COLUMN(BC43)-1,FALSE)&lt;&gt;0,"unknown",0))</f>
        <v>0</v>
      </c>
      <c r="CF44" s="2">
        <f>IF(VLOOKUP($B44,$B:AR,COLUMN(AA43)-1,FALSE)&lt;&gt;0,VLOOKUP($B44,$B:BF,COLUMN(BD43)-1,FALSE)/VLOOKUP($B44,$B:AR,COLUMN(AA43)-1,FALSE),IF(VLOOKUP($B44,$B:BF,COLUMN(BD43)-1,FALSE)&lt;&gt;0,"unknown",0))</f>
        <v>0</v>
      </c>
      <c r="CG44" s="2">
        <f>IF(VLOOKUP($B44,$B:AS,COLUMN(AB43)-1,FALSE)&lt;&gt;0,VLOOKUP($B44,$B:BG,COLUMN(BE43)-1,FALSE)/VLOOKUP($B44,$B:AS,COLUMN(AB43)-1,FALSE),IF(VLOOKUP($B44,$B:BG,COLUMN(BE43)-1,FALSE)&lt;&gt;0,"unknown",0))</f>
        <v>0</v>
      </c>
      <c r="CH44" s="2">
        <f>IF(VLOOKUP($B44,$B:AS,COLUMN(AC43)-1,FALSE)&lt;&gt;0,VLOOKUP($B44,$B:BG,COLUMN(BF43)-1,FALSE)/VLOOKUP($B44,$B:AS,COLUMN(AC43)-1,FALSE),IF(VLOOKUP($B44,$B:BG,COLUMN(BF43)-1,FALSE)&lt;&gt;0,"unknown",0))</f>
        <v>0</v>
      </c>
      <c r="CI44" s="2">
        <f>IF(VLOOKUP($B44,$B:AT,COLUMN(AD43)-1,FALSE)&lt;&gt;0,VLOOKUP($B44,$B:BH,COLUMN(BG43)-1,FALSE)/VLOOKUP($B44,$B:AT,COLUMN(AD43)-1,FALSE),IF(VLOOKUP($B44,$B:BH,COLUMN(BG43)-1,FALSE)&lt;&gt;0,"unknown",0))</f>
        <v>0</v>
      </c>
      <c r="CJ44" s="2">
        <f>IF(VLOOKUP($B44,$B:AT,COLUMN(AE43)-1,FALSE)&lt;&gt;0,VLOOKUP($B44,$B:BH,COLUMN(BH43)-1,FALSE)/VLOOKUP($B44,$B:AT,COLUMN(AE43)-1,FALSE),IF(VLOOKUP($B44,$B:BH,COLUMN(BH43)-1,FALSE)&lt;&gt;0,"unknown",0))</f>
        <v>0</v>
      </c>
      <c r="CK44" s="2">
        <f>IF(VLOOKUP($B44,$B:AU,COLUMN(AG43)-1,FALSE)&lt;&gt;0,VLOOKUP($B44,$B:BI,COLUMN(BI43)-1,FALSE)/VLOOKUP($B44,$B:AU,COLUMN(AG43)-1,FALSE),IF(VLOOKUP($B44,$B:BI,COLUMN(BI43)-1,FALSE)&lt;&gt;0,"unknown",0))</f>
        <v>0</v>
      </c>
      <c r="CL44" s="2">
        <f>IF(VLOOKUP($B44,$B:AV,COLUMN(AH43)-1,FALSE)&lt;&gt;0,VLOOKUP($B44,$B:BJ,COLUMN(BJ43)-1,FALSE)/VLOOKUP($B44,$B:AV,COLUMN(AH43)-1,FALSE),IF(VLOOKUP($B44,$B:BJ,COLUMN(BJ43)-1,FALSE)&lt;&gt;0,"unknown",0))</f>
        <v>0</v>
      </c>
      <c r="CM44" s="2">
        <f>IF(VLOOKUP($B44,$B:AW,COLUMN(AI43)-1,FALSE)&lt;&gt;0,VLOOKUP($B44,$B:BK,COLUMN(BK43)-1,FALSE)/VLOOKUP($B44,$B:AW,COLUMN(AI43)-1,FALSE),IF(VLOOKUP($B44,$B:BK,COLUMN(BK43)-1,FALSE)&lt;&gt;0,"unknown",0))</f>
        <v>0</v>
      </c>
      <c r="CN44" s="2">
        <f>IF(VLOOKUP($B44,$B:AX,COLUMN(AJ43)-1,FALSE)&lt;&gt;0,VLOOKUP($B44,$B:BL,COLUMN(BL43)-1,FALSE)/VLOOKUP($B44,$B:AX,COLUMN(AJ43)-1,FALSE),IF(VLOOKUP($B44,$B:BL,COLUMN(BL43)-1,FALSE)&lt;&gt;0,"unknown",0))</f>
        <v>0</v>
      </c>
      <c r="CO44" s="410"/>
      <c r="CP44" s="2">
        <f>SUMIFS('Bilateral Assistance, MAIN DATA'!$M:$M,'Bilateral Assistance, MAIN DATA'!$B:$B,'Share, Heavy Weapons to Ukraine'!$B44,'Bilateral Assistance, MAIN DATA'!$AO:$AO,'Share, Heavy Weapons to Ukraine'!CP$11, 'Bilateral Assistance, MAIN DATA'!$AA:$AA,1)</f>
        <v>0</v>
      </c>
      <c r="CQ44" s="2">
        <f>SUMIFS('Bilateral Assistance, MAIN DATA'!$M:$M,'Bilateral Assistance, MAIN DATA'!$B:$B,'Share, Heavy Weapons to Ukraine'!$B44,'Bilateral Assistance, MAIN DATA'!$AO:$AO,'Share, Heavy Weapons to Ukraine'!CQ$11, 'Bilateral Assistance, MAIN DATA'!$AA:$AA,1)</f>
        <v>0</v>
      </c>
      <c r="CR44" s="2">
        <f>SUMIFS('Bilateral Assistance, MAIN DATA'!$M:$M,'Bilateral Assistance, MAIN DATA'!$B:$B,'Share, Heavy Weapons to Ukraine'!$B44,'Bilateral Assistance, MAIN DATA'!$AO:$AO,'Share, Heavy Weapons to Ukraine'!CR$11, 'Bilateral Assistance, MAIN DATA'!$AA:$AA,1)</f>
        <v>0</v>
      </c>
      <c r="CS44" s="2">
        <f>SUMIFS('Bilateral Assistance, MAIN DATA'!$M:$M,'Bilateral Assistance, MAIN DATA'!$B:$B,'Share, Heavy Weapons to Ukraine'!$B44,'Bilateral Assistance, MAIN DATA'!$AO:$AO,'Share, Heavy Weapons to Ukraine'!CS$11, 'Bilateral Assistance, MAIN DATA'!$AA:$AA,1)</f>
        <v>0</v>
      </c>
      <c r="CT44" s="410"/>
      <c r="CU44" s="2">
        <f>SUMIFS('Bilateral Assistance, MAIN DATA'!$N:$N,'Bilateral Assistance, MAIN DATA'!$B:$B,'Share, Heavy Weapons to Ukraine'!$B44,'Bilateral Assistance, MAIN DATA'!$AO:$AO,'Share, Heavy Weapons to Ukraine'!CU$11, 'Bilateral Assistance, MAIN DATA'!$AA:$AA,1)</f>
        <v>0</v>
      </c>
      <c r="CV44" s="2">
        <f>SUMIFS('Bilateral Assistance, MAIN DATA'!$N:$N,'Bilateral Assistance, MAIN DATA'!$B:$B,'Share, Heavy Weapons to Ukraine'!$B44,'Bilateral Assistance, MAIN DATA'!$AO:$AO,'Share, Heavy Weapons to Ukraine'!CV$11, 'Bilateral Assistance, MAIN DATA'!$AA:$AA,1)</f>
        <v>0</v>
      </c>
      <c r="CW44" s="2">
        <f>SUMIFS('Bilateral Assistance, MAIN DATA'!$N:$N,'Bilateral Assistance, MAIN DATA'!$B:$B,'Share, Heavy Weapons to Ukraine'!$B44,'Bilateral Assistance, MAIN DATA'!$AO:$AO,'Share, Heavy Weapons to Ukraine'!CW$11, 'Bilateral Assistance, MAIN DATA'!$AA:$AA,1)</f>
        <v>0</v>
      </c>
      <c r="CX44" s="2">
        <f>SUMIFS('Bilateral Assistance, MAIN DATA'!$N:$N,'Bilateral Assistance, MAIN DATA'!$B:$B,'Share, Heavy Weapons to Ukraine'!$B44,'Bilateral Assistance, MAIN DATA'!$AO:$AO,'Share, Heavy Weapons to Ukraine'!CX$11, 'Bilateral Assistance, MAIN DATA'!$AA:$AA,1)</f>
        <v>0</v>
      </c>
    </row>
    <row r="45" spans="2:102" ht="15.6">
      <c r="B45" s="409" t="s">
        <v>2625</v>
      </c>
      <c r="C45" s="409">
        <v>0</v>
      </c>
      <c r="D45" s="2">
        <v>1</v>
      </c>
      <c r="E45" s="410"/>
      <c r="F45" s="569" t="s">
        <v>364</v>
      </c>
      <c r="G45" s="569" t="s">
        <v>364</v>
      </c>
      <c r="H45" s="569" t="s">
        <v>364</v>
      </c>
      <c r="I45" s="569" t="s">
        <v>364</v>
      </c>
      <c r="J45" s="569" t="s">
        <v>364</v>
      </c>
      <c r="K45" s="569" t="s">
        <v>364</v>
      </c>
      <c r="L45" s="569" t="s">
        <v>364</v>
      </c>
      <c r="M45" s="569" t="s">
        <v>364</v>
      </c>
      <c r="N45" s="569" t="s">
        <v>364</v>
      </c>
      <c r="O45" s="569" t="s">
        <v>364</v>
      </c>
      <c r="P45" s="569" t="s">
        <v>364</v>
      </c>
      <c r="Q45" s="569" t="s">
        <v>364</v>
      </c>
      <c r="R45" s="569" t="s">
        <v>364</v>
      </c>
      <c r="S45" s="569" t="s">
        <v>364</v>
      </c>
      <c r="T45" s="569" t="s">
        <v>364</v>
      </c>
      <c r="U45" s="410" t="str">
        <f>""</f>
        <v/>
      </c>
      <c r="V45" s="1334">
        <v>0.41599999999999998</v>
      </c>
      <c r="W45" s="1334">
        <f>VLOOKUP(B45,'Heavy Weapon Stocks'!B:OA,COLUMN('Heavy Weapon Stocks'!$C$11)-1,FALSE)+IF(F45&lt;&gt;".",F45,0)</f>
        <v>0</v>
      </c>
      <c r="X45" s="1334">
        <f>VLOOKUP(B45,'Heavy Weapon Stocks'!B:OA,COLUMN('Heavy Weapon Stocks'!$AQ$11)-1,FALSE)</f>
        <v>0</v>
      </c>
      <c r="Y45" s="1334">
        <f>VLOOKUP(B45,'Heavy Weapon Stocks'!B:OA,COLUMN('Heavy Weapon Stocks'!$DK$11)-1,FALSE)</f>
        <v>0</v>
      </c>
      <c r="Z45" s="1334">
        <f>VLOOKUP(B45,'Heavy Weapon Stocks'!B:OA,COLUMN('Heavy Weapon Stocks'!$DY$11)-1,FALSE)</f>
        <v>48</v>
      </c>
      <c r="AA45" s="1334">
        <f>VLOOKUP(B45,'Heavy Weapon Stocks'!B:OA,COLUMN('Heavy Weapon Stocks'!$FA$11)-1,FALSE)+IF(G45&lt;&gt;".",G45,0)</f>
        <v>0</v>
      </c>
      <c r="AB45" s="1334">
        <f t="shared" si="3"/>
        <v>48</v>
      </c>
      <c r="AC45" s="1334">
        <f>VLOOKUP(B45,'Heavy Weapon Stocks'!B:OA,COLUMN('Heavy Weapon Stocks'!$GV$11)-1,FALSE)+VLOOKUP(B45,'Heavy Weapon Stocks'!B:OA,COLUMN('Heavy Weapon Stocks'!$HY$11)-1,FALSE)+IF(H45&lt;&gt;".",H45,0)</f>
        <v>0</v>
      </c>
      <c r="AD45" s="1334">
        <f>VLOOKUP(B45,'Heavy Weapon Stocks'!B:OA,COLUMN('Heavy Weapon Stocks'!$IF$11)-1,FALSE)+IF(I45&lt;&gt;".",I45,0)</f>
        <v>0</v>
      </c>
      <c r="AE45" s="1334">
        <f>VLOOKUP(B45,'Heavy Weapon Stocks'!B:OA,COLUMN('Heavy Weapon Stocks'!$IZ$11)-1,FALSE)+VLOOKUP(B45,'Heavy Weapon Stocks'!B:OA,COLUMN('Heavy Weapon Stocks'!$JW$11)-1,FALSE)</f>
        <v>0</v>
      </c>
      <c r="AF45" s="1334">
        <f>VLOOKUP(B45,'Heavy Weapon Stocks'!B:OA,COLUMN('Heavy Weapon Stocks'!$NL$11)-1,FALSE)+IF(L45&lt;&gt;".",L45,0)</f>
        <v>0</v>
      </c>
      <c r="AG45" s="1334">
        <f>VLOOKUP(B45,'Heavy Weapon Stocks'!B:OA,COLUMN('Heavy Weapon Stocks'!$LN$11)-1,FALSE)+IF(M45&lt;&gt;".",M45,0)</f>
        <v>0</v>
      </c>
      <c r="AH45" s="1334">
        <f>VLOOKUP(B45,'Heavy Weapon Stocks'!B:OA,COLUMN('Heavy Weapon Stocks'!$LX$11)-1,FALSE)+IF(N45&lt;&gt;".",N45,0)</f>
        <v>0</v>
      </c>
      <c r="AI45" s="1334">
        <f>VLOOKUP(B45,'Heavy Weapon Stocks'!B:OA,COLUMN('Heavy Weapon Stocks'!$ME$11)-1,FALSE)+IF(O45&lt;&gt;".",O45,0)</f>
        <v>0</v>
      </c>
      <c r="AJ45" s="1334">
        <f>VLOOKUP(B45,'Heavy Weapon Stocks'!B:OA,COLUMN('Heavy Weapon Stocks'!$NK$11)-1,FALSE)+IF(P45&lt;&gt;".",P45,0)</f>
        <v>0</v>
      </c>
      <c r="AK45" s="410"/>
      <c r="AL45" s="25">
        <f>SUMIFS('Bilateral Assistance, MAIN DATA'!$M:$M,'Bilateral Assistance, MAIN DATA'!$B:$B,'Share, Heavy Weapons to Ukraine'!$B45,'Bilateral Assistance, MAIN DATA'!$AO:$AO,'Share, Heavy Weapons to Ukraine'!AL$11)</f>
        <v>0</v>
      </c>
      <c r="AM45" s="25">
        <f>SUMIFS('Bilateral Assistance, MAIN DATA'!$M:$M,'Bilateral Assistance, MAIN DATA'!$B:$B,'Share, Heavy Weapons to Ukraine'!$B45,'Bilateral Assistance, MAIN DATA'!$AO:$AO,'Share, Heavy Weapons to Ukraine'!AM$11)</f>
        <v>0</v>
      </c>
      <c r="AN45" s="25">
        <f>SUMIFS('Bilateral Assistance, MAIN DATA'!$M:$M,'Bilateral Assistance, MAIN DATA'!$B:$B,'Share, Heavy Weapons to Ukraine'!$B45,'Bilateral Assistance, MAIN DATA'!$AO:$AO,'Share, Heavy Weapons to Ukraine'!AN$11)</f>
        <v>0</v>
      </c>
      <c r="AO45" s="25">
        <f>SUMIFS('Bilateral Assistance, MAIN DATA'!$M:$M,'Bilateral Assistance, MAIN DATA'!$B:$B,'Share, Heavy Weapons to Ukraine'!$B45,'Bilateral Assistance, MAIN DATA'!$AO:$AO,'Share, Heavy Weapons to Ukraine'!AO$11)</f>
        <v>49</v>
      </c>
      <c r="AP45" s="25">
        <f>SUMIFS('Bilateral Assistance, MAIN DATA'!$M:$M,'Bilateral Assistance, MAIN DATA'!$B:$B,'Share, Heavy Weapons to Ukraine'!$B45,'Bilateral Assistance, MAIN DATA'!$AO:$AO,'Share, Heavy Weapons to Ukraine'!AP$11)</f>
        <v>0</v>
      </c>
      <c r="AQ45" s="25">
        <f t="shared" si="1"/>
        <v>49</v>
      </c>
      <c r="AR45" s="25">
        <f>SUMIFS('Bilateral Assistance, MAIN DATA'!$M:$M,'Bilateral Assistance, MAIN DATA'!$B:$B,'Share, Heavy Weapons to Ukraine'!$B45,'Bilateral Assistance, MAIN DATA'!$AO:$AO,"155mm howitzer")+SUMIFS('Bilateral Assistance, MAIN DATA'!$M:$M,'Bilateral Assistance, MAIN DATA'!$B:$B,'Share, Heavy Weapons to Ukraine'!$B45,'Bilateral Assistance, MAIN DATA'!$AO:$AO,"152mm howitzer")</f>
        <v>0</v>
      </c>
      <c r="AS45" s="25">
        <f>SUMIFS('Bilateral Assistance, MAIN DATA'!$M:$M,'Bilateral Assistance, MAIN DATA'!$B:$B,'Share, Heavy Weapons to Ukraine'!$B45,'Bilateral Assistance, MAIN DATA'!$AO:$AO,"122mm MLRS")+SUMIFS('Bilateral Assistance, MAIN DATA'!$M:$M,'Bilateral Assistance, MAIN DATA'!$B:$B,'Share, Heavy Weapons to Ukraine'!$B45,'Bilateral Assistance, MAIN DATA'!$AO:$AO,"127mm MLRS")+SUMIFS('Bilateral Assistance, MAIN DATA'!$M:$M,'Bilateral Assistance, MAIN DATA'!$B:$B,'Share, Heavy Weapons to Ukraine'!$B45,'Bilateral Assistance, MAIN DATA'!$AO:$AO,"227mm MLRS")</f>
        <v>0</v>
      </c>
      <c r="AT45" s="25">
        <f>SUMIFS('Bilateral Assistance, MAIN DATA'!$M:$M,'Bilateral Assistance, MAIN DATA'!$B:$B,'Share, Heavy Weapons to Ukraine'!$B45,'Bilateral Assistance, MAIN DATA'!$AO:$AO,'Share, Heavy Weapons to Ukraine'!AT$11)</f>
        <v>0</v>
      </c>
      <c r="AU45" s="25">
        <f>SUMIFS('Bilateral Assistance, MAIN DATA'!$M:$M,'Bilateral Assistance, MAIN DATA'!$B:$B,'Share, Heavy Weapons to Ukraine'!$B45,'Bilateral Assistance, MAIN DATA'!$AO:$AO,'Share, Heavy Weapons to Ukraine'!AU$11)</f>
        <v>0</v>
      </c>
      <c r="AV45" s="25">
        <f>SUMIFS('Bilateral Assistance, MAIN DATA'!$M:$M,'Bilateral Assistance, MAIN DATA'!$B:$B,'Share, Heavy Weapons to Ukraine'!$B45,'Bilateral Assistance, MAIN DATA'!$AO:$AO,'Share, Heavy Weapons to Ukraine'!AV$11)</f>
        <v>0</v>
      </c>
      <c r="AW45" s="25">
        <f>SUMIFS('Bilateral Assistance, MAIN DATA'!$M:$M,'Bilateral Assistance, MAIN DATA'!$B:$B,'Share, Heavy Weapons to Ukraine'!$B45,'Bilateral Assistance, MAIN DATA'!$AO:$AO,'Share, Heavy Weapons to Ukraine'!AW$11)</f>
        <v>0</v>
      </c>
      <c r="AX45" s="25">
        <f>SUMIFS('Bilateral Assistance, MAIN DATA'!$M:$M,'Bilateral Assistance, MAIN DATA'!$B:$B,'Share, Heavy Weapons to Ukraine'!$B45,'Bilateral Assistance, MAIN DATA'!$AO:$AO,'Share, Heavy Weapons to Ukraine'!AX$11)</f>
        <v>0</v>
      </c>
      <c r="AY45" s="410"/>
      <c r="AZ45" s="25">
        <f>SUMIFS('Bilateral Assistance, MAIN DATA'!$N:$N,'Bilateral Assistance, MAIN DATA'!$B:$B,'Share, Heavy Weapons to Ukraine'!$B45,'Bilateral Assistance, MAIN DATA'!$AO:$AO,'Share, Heavy Weapons to Ukraine'!AZ$11)</f>
        <v>0</v>
      </c>
      <c r="BA45" s="25">
        <f>SUMIFS('Bilateral Assistance, MAIN DATA'!$N:$N,'Bilateral Assistance, MAIN DATA'!$B:$B,'Share, Heavy Weapons to Ukraine'!$B45,'Bilateral Assistance, MAIN DATA'!$AO:$AO,'Share, Heavy Weapons to Ukraine'!BA$11)</f>
        <v>0</v>
      </c>
      <c r="BB45" s="25">
        <f>SUMIFS('Bilateral Assistance, MAIN DATA'!$N:$N,'Bilateral Assistance, MAIN DATA'!$B:$B,'Share, Heavy Weapons to Ukraine'!$B45,'Bilateral Assistance, MAIN DATA'!$AO:$AO,'Share, Heavy Weapons to Ukraine'!BB$11)</f>
        <v>0</v>
      </c>
      <c r="BC45" s="25">
        <f>SUMIFS('Bilateral Assistance, MAIN DATA'!$N:$N,'Bilateral Assistance, MAIN DATA'!$B:$B,'Share, Heavy Weapons to Ukraine'!$B45,'Bilateral Assistance, MAIN DATA'!$AO:$AO,'Share, Heavy Weapons to Ukraine'!BC$11)</f>
        <v>35</v>
      </c>
      <c r="BD45" s="25">
        <f>SUMIFS('Bilateral Assistance, MAIN DATA'!$N:$N,'Bilateral Assistance, MAIN DATA'!$B:$B,'Share, Heavy Weapons to Ukraine'!$B45,'Bilateral Assistance, MAIN DATA'!$AO:$AO,'Share, Heavy Weapons to Ukraine'!BD$11)</f>
        <v>0</v>
      </c>
      <c r="BE45" s="25">
        <f t="shared" si="2"/>
        <v>35</v>
      </c>
      <c r="BF45" s="25">
        <f>SUMIFS('Bilateral Assistance, MAIN DATA'!$N:$N,'Bilateral Assistance, MAIN DATA'!$B:$B,'Share, Heavy Weapons to Ukraine'!$B45,'Bilateral Assistance, MAIN DATA'!$AO:$AO,"155mm howitzer")+SUMIFS('Bilateral Assistance, MAIN DATA'!$N:$N,'Bilateral Assistance, MAIN DATA'!$B:$B,'Share, Heavy Weapons to Ukraine'!$B45,'Bilateral Assistance, MAIN DATA'!$AO:$AO,"152mm howitzer")</f>
        <v>0</v>
      </c>
      <c r="BG45" s="25">
        <f>SUMIFS('Bilateral Assistance, MAIN DATA'!$N:$N,'Bilateral Assistance, MAIN DATA'!$B:$B,'Share, Heavy Weapons to Ukraine'!$B45,'Bilateral Assistance, MAIN DATA'!$AO:$AO,"122mm MLRS")+SUMIFS('Bilateral Assistance, MAIN DATA'!$N:$N,'Bilateral Assistance, MAIN DATA'!$B:$B,'Share, Heavy Weapons to Ukraine'!$B45,'Bilateral Assistance, MAIN DATA'!$AO:$AO,"127mm MLRS")+SUMIFS('Bilateral Assistance, MAIN DATA'!$N:$N,'Bilateral Assistance, MAIN DATA'!$B:$B,'Share, Heavy Weapons to Ukraine'!$B45,'Bilateral Assistance, MAIN DATA'!$AO:$AO,"227mm MLRS")</f>
        <v>0</v>
      </c>
      <c r="BH45" s="25">
        <f>SUMIFS('Bilateral Assistance, MAIN DATA'!$N:$N,'Bilateral Assistance, MAIN DATA'!$B:$B,'Share, Heavy Weapons to Ukraine'!$B45,'Bilateral Assistance, MAIN DATA'!$AO:$AO,'Share, Heavy Weapons to Ukraine'!BH$11)</f>
        <v>0</v>
      </c>
      <c r="BI45" s="25">
        <f>SUMIFS('Bilateral Assistance, MAIN DATA'!$N:$N,'Bilateral Assistance, MAIN DATA'!$B:$B,'Share, Heavy Weapons to Ukraine'!$B45,'Bilateral Assistance, MAIN DATA'!$AO:$AO,'Share, Heavy Weapons to Ukraine'!BI$11)</f>
        <v>0</v>
      </c>
      <c r="BJ45" s="25">
        <f>SUMIFS('Bilateral Assistance, MAIN DATA'!$N:$N,'Bilateral Assistance, MAIN DATA'!$B:$B,'Share, Heavy Weapons to Ukraine'!$B45,'Bilateral Assistance, MAIN DATA'!$AO:$AO,'Share, Heavy Weapons to Ukraine'!BJ$11)</f>
        <v>0</v>
      </c>
      <c r="BK45" s="25">
        <f>SUMIFS('Bilateral Assistance, MAIN DATA'!$N:$N,'Bilateral Assistance, MAIN DATA'!$B:$B,'Share, Heavy Weapons to Ukraine'!$B45,'Bilateral Assistance, MAIN DATA'!$AO:$AO,'Share, Heavy Weapons to Ukraine'!BK$11)</f>
        <v>0</v>
      </c>
      <c r="BL45" s="25">
        <f>SUMIFS('Bilateral Assistance, MAIN DATA'!$N:$N,'Bilateral Assistance, MAIN DATA'!$B:$B,'Share, Heavy Weapons to Ukraine'!$B45,'Bilateral Assistance, MAIN DATA'!$AO:$AO,'Share, Heavy Weapons to Ukraine'!BL$11)</f>
        <v>0</v>
      </c>
      <c r="BM45" s="410"/>
      <c r="BN45" s="261">
        <f>IF(VLOOKUP($B45,$B:W,COLUMN(W44)-1,FALSE)&lt;&gt;0,VLOOKUP($B45,$B:AL,COLUMN(AL44)-1,FALSE)/VLOOKUP($B45,$B:W,COLUMN(W44)-1,FALSE),IF(VLOOKUP($B45,$B:AL,COLUMN(AL44)-1,FALSE)&lt;&gt;0,"unknown",0))</f>
        <v>0</v>
      </c>
      <c r="BO45" s="261">
        <f>IF(VLOOKUP($B45,$B:X,COLUMN(X44)-1,FALSE)&lt;&gt;0,VLOOKUP($B45,$B:AM,COLUMN(AM44)-1,FALSE)/VLOOKUP($B45,$B:X,COLUMN(X44)-1,FALSE),IF(VLOOKUP($B45,$B:AM,COLUMN(AM44)-1,FALSE)&lt;&gt;0,"unknown",0))</f>
        <v>0</v>
      </c>
      <c r="BP45" s="261">
        <f>IF(VLOOKUP($B45,$B:Y,COLUMN(Y44)-1,FALSE)&lt;&gt;0,VLOOKUP($B45,$B:AN,COLUMN(AN44)-1,FALSE)/VLOOKUP($B45,$B:Y,COLUMN(Y44)-1,FALSE),IF(VLOOKUP($B45,$B:AN,COLUMN(AN44)-1,FALSE)&lt;&gt;0,"unknown",0))</f>
        <v>0</v>
      </c>
      <c r="BQ45" s="261">
        <f>IF(VLOOKUP($B45,$B:Z,COLUMN(Z44)-1,FALSE)&lt;&gt;0,VLOOKUP($B45,$B:AO,COLUMN(AO44)-1,FALSE)/VLOOKUP($B45,$B:Z,COLUMN(Z44)-1,FALSE),IF(VLOOKUP($B45,$B:AO,COLUMN(AO44)-1,FALSE)&lt;&gt;0,"unknown",0))</f>
        <v>1.0208333333333333</v>
      </c>
      <c r="BR45" s="261">
        <f>IF(VLOOKUP($B45,$B:AA,COLUMN(AA44)-1,FALSE)&lt;&gt;0,VLOOKUP($B45,$B:AP,COLUMN(AP44)-1,FALSE)/VLOOKUP($B45,$B:AA,COLUMN(AA44)-1,FALSE),IF(VLOOKUP($B45,$B:AP,COLUMN(AP44)-1,FALSE)&lt;&gt;0,"unknown",0))</f>
        <v>0</v>
      </c>
      <c r="BS45" s="261">
        <f>IF(VLOOKUP($B45,$B:AB,COLUMN(AB44)-1,FALSE)&lt;&gt;0,VLOOKUP($B45,$B:AQ,COLUMN(AQ44)-1,FALSE)/VLOOKUP($B45,$B:AB,COLUMN(AB44)-1,FALSE),IF(VLOOKUP($B45,$B:AQ,COLUMN(AQ44)-1,FALSE)&lt;&gt;0,"unknown",0))</f>
        <v>1.0208333333333333</v>
      </c>
      <c r="BT45" s="261">
        <f>IF(VLOOKUP($B45,$B:AC,COLUMN(AC44)-1,FALSE)&lt;&gt;0,VLOOKUP($B45,$B:AR,COLUMN(AR44)-1,FALSE)/VLOOKUP($B45,$B:AC,COLUMN(AC44)-1,FALSE),IF(VLOOKUP($B45,$B:AR,COLUMN(AR44)-1,FALSE)&lt;&gt;0,"unknown",0))</f>
        <v>0</v>
      </c>
      <c r="BU45" s="261">
        <f>IF(VLOOKUP($B45,$B:AD,COLUMN(AD44)-1,FALSE)&lt;&gt;0,VLOOKUP($B45,$B:AS,COLUMN(AS44)-1,FALSE)/VLOOKUP($B45,$B:AD,COLUMN(AD44)-1,FALSE),IF(VLOOKUP($B45,$B:AS,COLUMN(AS44)-1,FALSE)&lt;&gt;0,"unknown",0))</f>
        <v>0</v>
      </c>
      <c r="BV45" s="261">
        <f>IF(VLOOKUP($B45,$B:AE,COLUMN(AE44)-1,FALSE)&lt;&gt;0,VLOOKUP($B45,$B:AT,COLUMN(AT44)-1,FALSE)/VLOOKUP($B45,$B:AE,COLUMN(AE44)-1,FALSE),IF(VLOOKUP($B45,$B:AT,COLUMN(AT44)-1,FALSE)&lt;&gt;0,"unknown",0))</f>
        <v>0</v>
      </c>
      <c r="BW45" s="261">
        <f>IF(VLOOKUP($B45,$B:AG,COLUMN(AG44)-1,FALSE)&lt;&gt;0,VLOOKUP($B45,$B:AU,COLUMN(AU44)-1,FALSE)/VLOOKUP($B45,$B:AG,COLUMN(AG44)-1,FALSE),IF(VLOOKUP($B45,$B:AU,COLUMN(AU44)-1,FALSE)&lt;&gt;0,"unknown",0))</f>
        <v>0</v>
      </c>
      <c r="BX45" s="261">
        <f>IF(VLOOKUP($B45,$B:AH,COLUMN(AH44)-1,FALSE)&lt;&gt;0,VLOOKUP($B45,$B:AV,COLUMN(AV44)-1,FALSE)/VLOOKUP($B45,$B:AH,COLUMN(AH44)-1,FALSE),IF(VLOOKUP($B45,$B:AV,COLUMN(AV44)-1,FALSE)&lt;&gt;0,"unknown",0))</f>
        <v>0</v>
      </c>
      <c r="BY45" s="261">
        <f>IF(VLOOKUP($B45,$B:AI,COLUMN(AI44)-1,FALSE)&lt;&gt;0,VLOOKUP($B45,$B:AW,COLUMN(AW44)-1,FALSE)/VLOOKUP($B45,$B:AI,COLUMN(AI44)-1,FALSE),IF(VLOOKUP($B45,$B:AW,COLUMN(AW44)-1,FALSE)&lt;&gt;0,"unknown",0))</f>
        <v>0</v>
      </c>
      <c r="BZ45" s="261">
        <f>IF(VLOOKUP($B45,$B:AJ,COLUMN(AJ44)-1,FALSE)&lt;&gt;0,VLOOKUP($B45,$B:AX,COLUMN(AX44)-1,FALSE)/VLOOKUP($B45,$B:AJ,COLUMN(AJ44)-1,FALSE),IF(VLOOKUP($B45,$B:AX,COLUMN(AX44)-1,FALSE)&lt;&gt;0,"unknown",0))</f>
        <v>0</v>
      </c>
      <c r="CA45" s="410"/>
      <c r="CB45" s="2">
        <f>IF(VLOOKUP($B45,$B:AM,COLUMN(W44)-1,FALSE)&lt;&gt;0,VLOOKUP($B45,$B:BA,COLUMN(AZ44)-1,FALSE)/VLOOKUP($B45,$B:AM,COLUMN(W44)-1,FALSE),IF(VLOOKUP($B45,$B:BA,COLUMN(AZ44)-1,FALSE)&lt;&gt;0,"unknown",0))</f>
        <v>0</v>
      </c>
      <c r="CC45" s="2">
        <f>IF(VLOOKUP($B45,$B:AN,COLUMN(X44)-1,FALSE)&lt;&gt;0,VLOOKUP($B45,$B:BB,COLUMN(BA44)-1,FALSE)/VLOOKUP($B45,$B:AN,COLUMN(X44)-1,FALSE),IF(VLOOKUP($B45,$B:BB,COLUMN(BA44)-1,FALSE)&lt;&gt;0,"unknown",0))</f>
        <v>0</v>
      </c>
      <c r="CD45" s="2">
        <f>IF(VLOOKUP($B45,$B:AO,COLUMN(Y44)-1,FALSE)&lt;&gt;0,VLOOKUP($B45,$B:BC,COLUMN(BB44)-1,FALSE)/VLOOKUP($B45,$B:AO,COLUMN(Y44)-1,FALSE),IF(VLOOKUP($B45,$B:BC,COLUMN(BB44)-1,FALSE)&lt;&gt;0,"unknown",0))</f>
        <v>0</v>
      </c>
      <c r="CE45" s="2">
        <f>IF(VLOOKUP($B45,$B:AP,COLUMN(Z44)-1,FALSE)&lt;&gt;0,VLOOKUP($B45,$B:BD,COLUMN(BC44)-1,FALSE)/VLOOKUP($B45,$B:AP,COLUMN(Z44)-1,FALSE),IF(VLOOKUP($B45,$B:BD,COLUMN(BC44)-1,FALSE)&lt;&gt;0,"unknown",0))</f>
        <v>0.72916666666666663</v>
      </c>
      <c r="CF45" s="2">
        <f>IF(VLOOKUP($B45,$B:AR,COLUMN(AA44)-1,FALSE)&lt;&gt;0,VLOOKUP($B45,$B:BF,COLUMN(BD44)-1,FALSE)/VLOOKUP($B45,$B:AR,COLUMN(AA44)-1,FALSE),IF(VLOOKUP($B45,$B:BF,COLUMN(BD44)-1,FALSE)&lt;&gt;0,"unknown",0))</f>
        <v>0</v>
      </c>
      <c r="CG45" s="2">
        <f>IF(VLOOKUP($B45,$B:AS,COLUMN(AB44)-1,FALSE)&lt;&gt;0,VLOOKUP($B45,$B:BG,COLUMN(BE44)-1,FALSE)/VLOOKUP($B45,$B:AS,COLUMN(AB44)-1,FALSE),IF(VLOOKUP($B45,$B:BG,COLUMN(BE44)-1,FALSE)&lt;&gt;0,"unknown",0))</f>
        <v>0.72916666666666663</v>
      </c>
      <c r="CH45" s="2">
        <f>IF(VLOOKUP($B45,$B:AS,COLUMN(AC44)-1,FALSE)&lt;&gt;0,VLOOKUP($B45,$B:BG,COLUMN(BF44)-1,FALSE)/VLOOKUP($B45,$B:AS,COLUMN(AC44)-1,FALSE),IF(VLOOKUP($B45,$B:BG,COLUMN(BF44)-1,FALSE)&lt;&gt;0,"unknown",0))</f>
        <v>0</v>
      </c>
      <c r="CI45" s="2">
        <f>IF(VLOOKUP($B45,$B:AT,COLUMN(AD44)-1,FALSE)&lt;&gt;0,VLOOKUP($B45,$B:BH,COLUMN(BG44)-1,FALSE)/VLOOKUP($B45,$B:AT,COLUMN(AD44)-1,FALSE),IF(VLOOKUP($B45,$B:BH,COLUMN(BG44)-1,FALSE)&lt;&gt;0,"unknown",0))</f>
        <v>0</v>
      </c>
      <c r="CJ45" s="2">
        <f>IF(VLOOKUP($B45,$B:AT,COLUMN(AE44)-1,FALSE)&lt;&gt;0,VLOOKUP($B45,$B:BH,COLUMN(BH44)-1,FALSE)/VLOOKUP($B45,$B:AT,COLUMN(AE44)-1,FALSE),IF(VLOOKUP($B45,$B:BH,COLUMN(BH44)-1,FALSE)&lt;&gt;0,"unknown",0))</f>
        <v>0</v>
      </c>
      <c r="CK45" s="2">
        <f>IF(VLOOKUP($B45,$B:AU,COLUMN(AG44)-1,FALSE)&lt;&gt;0,VLOOKUP($B45,$B:BI,COLUMN(BI44)-1,FALSE)/VLOOKUP($B45,$B:AU,COLUMN(AG44)-1,FALSE),IF(VLOOKUP($B45,$B:BI,COLUMN(BI44)-1,FALSE)&lt;&gt;0,"unknown",0))</f>
        <v>0</v>
      </c>
      <c r="CL45" s="2">
        <f>IF(VLOOKUP($B45,$B:AV,COLUMN(AH44)-1,FALSE)&lt;&gt;0,VLOOKUP($B45,$B:BJ,COLUMN(BJ44)-1,FALSE)/VLOOKUP($B45,$B:AV,COLUMN(AH44)-1,FALSE),IF(VLOOKUP($B45,$B:BJ,COLUMN(BJ44)-1,FALSE)&lt;&gt;0,"unknown",0))</f>
        <v>0</v>
      </c>
      <c r="CM45" s="2">
        <f>IF(VLOOKUP($B45,$B:AW,COLUMN(AI44)-1,FALSE)&lt;&gt;0,VLOOKUP($B45,$B:BK,COLUMN(BK44)-1,FALSE)/VLOOKUP($B45,$B:AW,COLUMN(AI44)-1,FALSE),IF(VLOOKUP($B45,$B:BK,COLUMN(BK44)-1,FALSE)&lt;&gt;0,"unknown",0))</f>
        <v>0</v>
      </c>
      <c r="CN45" s="2">
        <f>IF(VLOOKUP($B45,$B:AX,COLUMN(AJ44)-1,FALSE)&lt;&gt;0,VLOOKUP($B45,$B:BL,COLUMN(BL44)-1,FALSE)/VLOOKUP($B45,$B:AX,COLUMN(AJ44)-1,FALSE),IF(VLOOKUP($B45,$B:BL,COLUMN(BL44)-1,FALSE)&lt;&gt;0,"unknown",0))</f>
        <v>0</v>
      </c>
      <c r="CO45" s="410"/>
      <c r="CP45" s="2">
        <f>SUMIFS('Bilateral Assistance, MAIN DATA'!$M:$M,'Bilateral Assistance, MAIN DATA'!$B:$B,'Share, Heavy Weapons to Ukraine'!$B45,'Bilateral Assistance, MAIN DATA'!$AO:$AO,'Share, Heavy Weapons to Ukraine'!CP$11, 'Bilateral Assistance, MAIN DATA'!$AA:$AA,1)</f>
        <v>0</v>
      </c>
      <c r="CQ45" s="2">
        <f>SUMIFS('Bilateral Assistance, MAIN DATA'!$M:$M,'Bilateral Assistance, MAIN DATA'!$B:$B,'Share, Heavy Weapons to Ukraine'!$B45,'Bilateral Assistance, MAIN DATA'!$AO:$AO,'Share, Heavy Weapons to Ukraine'!CQ$11, 'Bilateral Assistance, MAIN DATA'!$AA:$AA,1)</f>
        <v>0</v>
      </c>
      <c r="CR45" s="2">
        <f>SUMIFS('Bilateral Assistance, MAIN DATA'!$M:$M,'Bilateral Assistance, MAIN DATA'!$B:$B,'Share, Heavy Weapons to Ukraine'!$B45,'Bilateral Assistance, MAIN DATA'!$AO:$AO,'Share, Heavy Weapons to Ukraine'!CR$11, 'Bilateral Assistance, MAIN DATA'!$AA:$AA,1)</f>
        <v>0</v>
      </c>
      <c r="CS45" s="2">
        <f>SUMIFS('Bilateral Assistance, MAIN DATA'!$M:$M,'Bilateral Assistance, MAIN DATA'!$B:$B,'Share, Heavy Weapons to Ukraine'!$B45,'Bilateral Assistance, MAIN DATA'!$AO:$AO,'Share, Heavy Weapons to Ukraine'!CS$11, 'Bilateral Assistance, MAIN DATA'!$AA:$AA,1)</f>
        <v>0</v>
      </c>
      <c r="CT45" s="410"/>
      <c r="CU45" s="2">
        <f>SUMIFS('Bilateral Assistance, MAIN DATA'!$N:$N,'Bilateral Assistance, MAIN DATA'!$B:$B,'Share, Heavy Weapons to Ukraine'!$B45,'Bilateral Assistance, MAIN DATA'!$AO:$AO,'Share, Heavy Weapons to Ukraine'!CU$11, 'Bilateral Assistance, MAIN DATA'!$AA:$AA,1)</f>
        <v>0</v>
      </c>
      <c r="CV45" s="2">
        <f>SUMIFS('Bilateral Assistance, MAIN DATA'!$N:$N,'Bilateral Assistance, MAIN DATA'!$B:$B,'Share, Heavy Weapons to Ukraine'!$B45,'Bilateral Assistance, MAIN DATA'!$AO:$AO,'Share, Heavy Weapons to Ukraine'!CV$11, 'Bilateral Assistance, MAIN DATA'!$AA:$AA,1)</f>
        <v>0</v>
      </c>
      <c r="CW45" s="2">
        <f>SUMIFS('Bilateral Assistance, MAIN DATA'!$N:$N,'Bilateral Assistance, MAIN DATA'!$B:$B,'Share, Heavy Weapons to Ukraine'!$B45,'Bilateral Assistance, MAIN DATA'!$AO:$AO,'Share, Heavy Weapons to Ukraine'!CW$11, 'Bilateral Assistance, MAIN DATA'!$AA:$AA,1)</f>
        <v>0</v>
      </c>
      <c r="CX45" s="2">
        <f>SUMIFS('Bilateral Assistance, MAIN DATA'!$N:$N,'Bilateral Assistance, MAIN DATA'!$B:$B,'Share, Heavy Weapons to Ukraine'!$B45,'Bilateral Assistance, MAIN DATA'!$AO:$AO,'Share, Heavy Weapons to Ukraine'!CX$11, 'Bilateral Assistance, MAIN DATA'!$AA:$AA,1)</f>
        <v>0</v>
      </c>
    </row>
    <row r="46" spans="2:102" ht="15.6">
      <c r="B46" s="409" t="s">
        <v>4866</v>
      </c>
      <c r="C46" s="409">
        <v>1</v>
      </c>
      <c r="D46" s="2">
        <v>0</v>
      </c>
      <c r="E46" s="410"/>
      <c r="F46" s="569" t="s">
        <v>364</v>
      </c>
      <c r="G46" s="569" t="s">
        <v>364</v>
      </c>
      <c r="H46" s="569" t="s">
        <v>364</v>
      </c>
      <c r="I46" s="569" t="s">
        <v>364</v>
      </c>
      <c r="J46" s="569" t="s">
        <v>364</v>
      </c>
      <c r="K46" s="569" t="s">
        <v>364</v>
      </c>
      <c r="L46" s="569" t="s">
        <v>364</v>
      </c>
      <c r="M46" s="569" t="s">
        <v>364</v>
      </c>
      <c r="N46" s="569" t="s">
        <v>364</v>
      </c>
      <c r="O46" s="569" t="s">
        <v>364</v>
      </c>
      <c r="P46" s="569" t="s">
        <v>364</v>
      </c>
      <c r="Q46" s="569" t="s">
        <v>364</v>
      </c>
      <c r="R46" s="569" t="s">
        <v>364</v>
      </c>
      <c r="S46" s="569" t="s">
        <v>364</v>
      </c>
      <c r="T46" s="569" t="s">
        <v>364</v>
      </c>
      <c r="U46" s="410" t="str">
        <f>""</f>
        <v/>
      </c>
      <c r="V46" s="1334">
        <v>0.246</v>
      </c>
      <c r="W46" s="1334">
        <f>VLOOKUP(B46,'Heavy Weapon Stocks'!B:OA,COLUMN('Heavy Weapon Stocks'!$C$11)-1,FALSE)+IF(F46&lt;&gt;".",F46,0)</f>
        <v>0</v>
      </c>
      <c r="X46" s="1334">
        <f>VLOOKUP(B46,'Heavy Weapon Stocks'!B:OA,COLUMN('Heavy Weapon Stocks'!$AQ$11)-1,FALSE)</f>
        <v>0</v>
      </c>
      <c r="Y46" s="1334">
        <f>VLOOKUP(B46,'Heavy Weapon Stocks'!B:OA,COLUMN('Heavy Weapon Stocks'!$DK$11)-1,FALSE)</f>
        <v>40</v>
      </c>
      <c r="Z46" s="1334">
        <f>VLOOKUP(B46,'Heavy Weapon Stocks'!B:OA,COLUMN('Heavy Weapon Stocks'!$DY$11)-1,FALSE)</f>
        <v>8</v>
      </c>
      <c r="AA46" s="1334">
        <f>VLOOKUP(B46,'Heavy Weapon Stocks'!B:OA,COLUMN('Heavy Weapon Stocks'!$FA$11)-1,FALSE)+IF(G46&lt;&gt;".",G46,0)</f>
        <v>0</v>
      </c>
      <c r="AB46" s="1334">
        <f t="shared" si="0"/>
        <v>48</v>
      </c>
      <c r="AC46" s="1334">
        <f>VLOOKUP(B46,'Heavy Weapon Stocks'!B:OA,COLUMN('Heavy Weapon Stocks'!$GV$11)-1,FALSE)+VLOOKUP(B46,'Heavy Weapon Stocks'!B:OA,COLUMN('Heavy Weapon Stocks'!$HY$11)-1,FALSE)+IF(H46&lt;&gt;".",H46,0)</f>
        <v>0</v>
      </c>
      <c r="AD46" s="1334">
        <f>VLOOKUP(B46,'Heavy Weapon Stocks'!B:OA,COLUMN('Heavy Weapon Stocks'!$IF$11)-1,FALSE)+IF(I46&lt;&gt;".",I46,0)</f>
        <v>0</v>
      </c>
      <c r="AE46" s="1334">
        <f>VLOOKUP(B46,'Heavy Weapon Stocks'!B:OA,COLUMN('Heavy Weapon Stocks'!$IZ$11)-1,FALSE)+VLOOKUP(B46,'Heavy Weapon Stocks'!B:OA,COLUMN('Heavy Weapon Stocks'!$JW$11)-1,FALSE)</f>
        <v>0</v>
      </c>
      <c r="AF46" s="1334">
        <f>VLOOKUP(B46,'Heavy Weapon Stocks'!B:OA,COLUMN('Heavy Weapon Stocks'!$NL$11)-1,FALSE)+IF(L46&lt;&gt;".",L46,0)</f>
        <v>0</v>
      </c>
      <c r="AG46" s="1334">
        <f>VLOOKUP(B46,'Heavy Weapon Stocks'!B:OA,COLUMN('Heavy Weapon Stocks'!$LN$11)-1,FALSE)+IF(M46&lt;&gt;".",M46,0)</f>
        <v>0</v>
      </c>
      <c r="AH46" s="1334">
        <f>VLOOKUP(B46,'Heavy Weapon Stocks'!B:OA,COLUMN('Heavy Weapon Stocks'!$LX$11)-1,FALSE)+IF(N46&lt;&gt;".",N46,0)</f>
        <v>0</v>
      </c>
      <c r="AI46" s="1334">
        <f>VLOOKUP(B46,'Heavy Weapon Stocks'!B:OA,COLUMN('Heavy Weapon Stocks'!$ME$11)-1,FALSE)+IF(O46&lt;&gt;".",O46,0)</f>
        <v>0</v>
      </c>
      <c r="AJ46" s="1334">
        <f>VLOOKUP(B46,'Heavy Weapon Stocks'!B:OA,COLUMN('Heavy Weapon Stocks'!$NK$11)-1,FALSE)+IF(P46&lt;&gt;".",P46,0)</f>
        <v>0</v>
      </c>
      <c r="AK46" s="410"/>
      <c r="AL46" s="25">
        <f>SUMIFS('Bilateral Assistance, MAIN DATA'!$M:$M,'Bilateral Assistance, MAIN DATA'!$B:$B,'Share, Heavy Weapons to Ukraine'!$B46,'Bilateral Assistance, MAIN DATA'!$AO:$AO,'Share, Heavy Weapons to Ukraine'!AL$11)</f>
        <v>0</v>
      </c>
      <c r="AM46" s="25">
        <f>SUMIFS('Bilateral Assistance, MAIN DATA'!$M:$M,'Bilateral Assistance, MAIN DATA'!$B:$B,'Share, Heavy Weapons to Ukraine'!$B46,'Bilateral Assistance, MAIN DATA'!$AO:$AO,'Share, Heavy Weapons to Ukraine'!AM$11)</f>
        <v>0</v>
      </c>
      <c r="AN46" s="25">
        <f>SUMIFS('Bilateral Assistance, MAIN DATA'!$M:$M,'Bilateral Assistance, MAIN DATA'!$B:$B,'Share, Heavy Weapons to Ukraine'!$B46,'Bilateral Assistance, MAIN DATA'!$AO:$AO,'Share, Heavy Weapons to Ukraine'!AN$11)</f>
        <v>0</v>
      </c>
      <c r="AO46" s="25">
        <f>SUMIFS('Bilateral Assistance, MAIN DATA'!$M:$M,'Bilateral Assistance, MAIN DATA'!$B:$B,'Share, Heavy Weapons to Ukraine'!$B46,'Bilateral Assistance, MAIN DATA'!$AO:$AO,'Share, Heavy Weapons to Ukraine'!AO$11)</f>
        <v>0</v>
      </c>
      <c r="AP46" s="25">
        <f>SUMIFS('Bilateral Assistance, MAIN DATA'!$M:$M,'Bilateral Assistance, MAIN DATA'!$B:$B,'Share, Heavy Weapons to Ukraine'!$B46,'Bilateral Assistance, MAIN DATA'!$AO:$AO,'Share, Heavy Weapons to Ukraine'!AP$11)</f>
        <v>0</v>
      </c>
      <c r="AQ46" s="25">
        <f t="shared" si="1"/>
        <v>0</v>
      </c>
      <c r="AR46" s="25">
        <f>SUMIFS('Bilateral Assistance, MAIN DATA'!$M:$M,'Bilateral Assistance, MAIN DATA'!$B:$B,'Share, Heavy Weapons to Ukraine'!$B46,'Bilateral Assistance, MAIN DATA'!$AO:$AO,"155mm howitzer")+SUMIFS('Bilateral Assistance, MAIN DATA'!$M:$M,'Bilateral Assistance, MAIN DATA'!$B:$B,'Share, Heavy Weapons to Ukraine'!$B46,'Bilateral Assistance, MAIN DATA'!$AO:$AO,"152mm howitzer")</f>
        <v>0</v>
      </c>
      <c r="AS46" s="25">
        <f>SUMIFS('Bilateral Assistance, MAIN DATA'!$M:$M,'Bilateral Assistance, MAIN DATA'!$B:$B,'Share, Heavy Weapons to Ukraine'!$B46,'Bilateral Assistance, MAIN DATA'!$AO:$AO,"122mm MLRS")+SUMIFS('Bilateral Assistance, MAIN DATA'!$M:$M,'Bilateral Assistance, MAIN DATA'!$B:$B,'Share, Heavy Weapons to Ukraine'!$B46,'Bilateral Assistance, MAIN DATA'!$AO:$AO,"127mm MLRS")+SUMIFS('Bilateral Assistance, MAIN DATA'!$M:$M,'Bilateral Assistance, MAIN DATA'!$B:$B,'Share, Heavy Weapons to Ukraine'!$B46,'Bilateral Assistance, MAIN DATA'!$AO:$AO,"227mm MLRS")</f>
        <v>0</v>
      </c>
      <c r="AT46" s="25">
        <f>SUMIFS('Bilateral Assistance, MAIN DATA'!$M:$M,'Bilateral Assistance, MAIN DATA'!$B:$B,'Share, Heavy Weapons to Ukraine'!$B46,'Bilateral Assistance, MAIN DATA'!$AO:$AO,'Share, Heavy Weapons to Ukraine'!AT$11)</f>
        <v>0</v>
      </c>
      <c r="AU46" s="25">
        <f>SUMIFS('Bilateral Assistance, MAIN DATA'!$M:$M,'Bilateral Assistance, MAIN DATA'!$B:$B,'Share, Heavy Weapons to Ukraine'!$B46,'Bilateral Assistance, MAIN DATA'!$AO:$AO,'Share, Heavy Weapons to Ukraine'!AU$11)</f>
        <v>0</v>
      </c>
      <c r="AV46" s="25">
        <f>SUMIFS('Bilateral Assistance, MAIN DATA'!$M:$M,'Bilateral Assistance, MAIN DATA'!$B:$B,'Share, Heavy Weapons to Ukraine'!$B46,'Bilateral Assistance, MAIN DATA'!$AO:$AO,'Share, Heavy Weapons to Ukraine'!AV$11)</f>
        <v>0</v>
      </c>
      <c r="AW46" s="25">
        <f>SUMIFS('Bilateral Assistance, MAIN DATA'!$M:$M,'Bilateral Assistance, MAIN DATA'!$B:$B,'Share, Heavy Weapons to Ukraine'!$B46,'Bilateral Assistance, MAIN DATA'!$AO:$AO,'Share, Heavy Weapons to Ukraine'!AW$11)</f>
        <v>0</v>
      </c>
      <c r="AX46" s="25">
        <f>SUMIFS('Bilateral Assistance, MAIN DATA'!$M:$M,'Bilateral Assistance, MAIN DATA'!$B:$B,'Share, Heavy Weapons to Ukraine'!$B46,'Bilateral Assistance, MAIN DATA'!$AO:$AO,'Share, Heavy Weapons to Ukraine'!AX$11)</f>
        <v>0</v>
      </c>
      <c r="AY46" s="410"/>
      <c r="AZ46" s="25">
        <f>SUMIFS('Bilateral Assistance, MAIN DATA'!$N:$N,'Bilateral Assistance, MAIN DATA'!$B:$B,'Share, Heavy Weapons to Ukraine'!$B46,'Bilateral Assistance, MAIN DATA'!$AO:$AO,'Share, Heavy Weapons to Ukraine'!AZ$11)</f>
        <v>0</v>
      </c>
      <c r="BA46" s="25">
        <f>SUMIFS('Bilateral Assistance, MAIN DATA'!$N:$N,'Bilateral Assistance, MAIN DATA'!$B:$B,'Share, Heavy Weapons to Ukraine'!$B46,'Bilateral Assistance, MAIN DATA'!$AO:$AO,'Share, Heavy Weapons to Ukraine'!BA$11)</f>
        <v>0</v>
      </c>
      <c r="BB46" s="25">
        <f>SUMIFS('Bilateral Assistance, MAIN DATA'!$N:$N,'Bilateral Assistance, MAIN DATA'!$B:$B,'Share, Heavy Weapons to Ukraine'!$B46,'Bilateral Assistance, MAIN DATA'!$AO:$AO,'Share, Heavy Weapons to Ukraine'!BB$11)</f>
        <v>0</v>
      </c>
      <c r="BC46" s="25">
        <f>SUMIFS('Bilateral Assistance, MAIN DATA'!$N:$N,'Bilateral Assistance, MAIN DATA'!$B:$B,'Share, Heavy Weapons to Ukraine'!$B46,'Bilateral Assistance, MAIN DATA'!$AO:$AO,'Share, Heavy Weapons to Ukraine'!BC$11)</f>
        <v>0</v>
      </c>
      <c r="BD46" s="25">
        <f>SUMIFS('Bilateral Assistance, MAIN DATA'!$N:$N,'Bilateral Assistance, MAIN DATA'!$B:$B,'Share, Heavy Weapons to Ukraine'!$B46,'Bilateral Assistance, MAIN DATA'!$AO:$AO,'Share, Heavy Weapons to Ukraine'!BD$11)</f>
        <v>0</v>
      </c>
      <c r="BE46" s="25">
        <f t="shared" si="2"/>
        <v>0</v>
      </c>
      <c r="BF46" s="25">
        <f>SUMIFS('Bilateral Assistance, MAIN DATA'!$N:$N,'Bilateral Assistance, MAIN DATA'!$B:$B,'Share, Heavy Weapons to Ukraine'!$B46,'Bilateral Assistance, MAIN DATA'!$AO:$AO,"155mm howitzer")+SUMIFS('Bilateral Assistance, MAIN DATA'!$N:$N,'Bilateral Assistance, MAIN DATA'!$B:$B,'Share, Heavy Weapons to Ukraine'!$B46,'Bilateral Assistance, MAIN DATA'!$AO:$AO,"152mm howitzer")</f>
        <v>0</v>
      </c>
      <c r="BG46" s="25">
        <f>SUMIFS('Bilateral Assistance, MAIN DATA'!$N:$N,'Bilateral Assistance, MAIN DATA'!$B:$B,'Share, Heavy Weapons to Ukraine'!$B46,'Bilateral Assistance, MAIN DATA'!$AO:$AO,"122mm MLRS")+SUMIFS('Bilateral Assistance, MAIN DATA'!$N:$N,'Bilateral Assistance, MAIN DATA'!$B:$B,'Share, Heavy Weapons to Ukraine'!$B46,'Bilateral Assistance, MAIN DATA'!$AO:$AO,"127mm MLRS")+SUMIFS('Bilateral Assistance, MAIN DATA'!$N:$N,'Bilateral Assistance, MAIN DATA'!$B:$B,'Share, Heavy Weapons to Ukraine'!$B46,'Bilateral Assistance, MAIN DATA'!$AO:$AO,"227mm MLRS")</f>
        <v>0</v>
      </c>
      <c r="BH46" s="25">
        <f>SUMIFS('Bilateral Assistance, MAIN DATA'!$N:$N,'Bilateral Assistance, MAIN DATA'!$B:$B,'Share, Heavy Weapons to Ukraine'!$B46,'Bilateral Assistance, MAIN DATA'!$AO:$AO,'Share, Heavy Weapons to Ukraine'!BH$11)</f>
        <v>0</v>
      </c>
      <c r="BI46" s="25">
        <f>SUMIFS('Bilateral Assistance, MAIN DATA'!$N:$N,'Bilateral Assistance, MAIN DATA'!$B:$B,'Share, Heavy Weapons to Ukraine'!$B46,'Bilateral Assistance, MAIN DATA'!$AO:$AO,'Share, Heavy Weapons to Ukraine'!BI$11)</f>
        <v>0</v>
      </c>
      <c r="BJ46" s="25">
        <f>SUMIFS('Bilateral Assistance, MAIN DATA'!$N:$N,'Bilateral Assistance, MAIN DATA'!$B:$B,'Share, Heavy Weapons to Ukraine'!$B46,'Bilateral Assistance, MAIN DATA'!$AO:$AO,'Share, Heavy Weapons to Ukraine'!BJ$11)</f>
        <v>0</v>
      </c>
      <c r="BK46" s="25">
        <f>SUMIFS('Bilateral Assistance, MAIN DATA'!$N:$N,'Bilateral Assistance, MAIN DATA'!$B:$B,'Share, Heavy Weapons to Ukraine'!$B46,'Bilateral Assistance, MAIN DATA'!$AO:$AO,'Share, Heavy Weapons to Ukraine'!BK$11)</f>
        <v>0</v>
      </c>
      <c r="BL46" s="25">
        <f>SUMIFS('Bilateral Assistance, MAIN DATA'!$N:$N,'Bilateral Assistance, MAIN DATA'!$B:$B,'Share, Heavy Weapons to Ukraine'!$B46,'Bilateral Assistance, MAIN DATA'!$AO:$AO,'Share, Heavy Weapons to Ukraine'!BL$11)</f>
        <v>0</v>
      </c>
      <c r="BM46" s="410"/>
      <c r="BN46" s="261">
        <f>IF(VLOOKUP($B46,$B:W,COLUMN(W45)-1,FALSE)&lt;&gt;0,VLOOKUP($B46,$B:AL,COLUMN(AL45)-1,FALSE)/VLOOKUP($B46,$B:W,COLUMN(W45)-1,FALSE),IF(VLOOKUP($B46,$B:AL,COLUMN(AL45)-1,FALSE)&lt;&gt;0,"unknown",0))</f>
        <v>0</v>
      </c>
      <c r="BO46" s="261">
        <f>IF(VLOOKUP($B46,$B:X,COLUMN(X45)-1,FALSE)&lt;&gt;0,VLOOKUP($B46,$B:AM,COLUMN(AM45)-1,FALSE)/VLOOKUP($B46,$B:X,COLUMN(X45)-1,FALSE),IF(VLOOKUP($B46,$B:AM,COLUMN(AM45)-1,FALSE)&lt;&gt;0,"unknown",0))</f>
        <v>0</v>
      </c>
      <c r="BP46" s="261">
        <f>IF(VLOOKUP($B46,$B:Y,COLUMN(Y45)-1,FALSE)&lt;&gt;0,VLOOKUP($B46,$B:AN,COLUMN(AN45)-1,FALSE)/VLOOKUP($B46,$B:Y,COLUMN(Y45)-1,FALSE),IF(VLOOKUP($B46,$B:AN,COLUMN(AN45)-1,FALSE)&lt;&gt;0,"unknown",0))</f>
        <v>0</v>
      </c>
      <c r="BQ46" s="261">
        <f>IF(VLOOKUP($B46,$B:Z,COLUMN(Z45)-1,FALSE)&lt;&gt;0,VLOOKUP($B46,$B:AO,COLUMN(AO45)-1,FALSE)/VLOOKUP($B46,$B:Z,COLUMN(Z45)-1,FALSE),IF(VLOOKUP($B46,$B:AO,COLUMN(AO45)-1,FALSE)&lt;&gt;0,"unknown",0))</f>
        <v>0</v>
      </c>
      <c r="BR46" s="261">
        <f>IF(VLOOKUP($B46,$B:AA,COLUMN(AA45)-1,FALSE)&lt;&gt;0,VLOOKUP($B46,$B:AP,COLUMN(AP45)-1,FALSE)/VLOOKUP($B46,$B:AA,COLUMN(AA45)-1,FALSE),IF(VLOOKUP($B46,$B:AP,COLUMN(AP45)-1,FALSE)&lt;&gt;0,"unknown",0))</f>
        <v>0</v>
      </c>
      <c r="BS46" s="261">
        <f>IF(VLOOKUP($B46,$B:AB,COLUMN(AB45)-1,FALSE)&lt;&gt;0,VLOOKUP($B46,$B:AQ,COLUMN(AQ45)-1,FALSE)/VLOOKUP($B46,$B:AB,COLUMN(AB45)-1,FALSE),IF(VLOOKUP($B46,$B:AQ,COLUMN(AQ45)-1,FALSE)&lt;&gt;0,"unknown",0))</f>
        <v>0</v>
      </c>
      <c r="BT46" s="261">
        <f>IF(VLOOKUP($B46,$B:AC,COLUMN(AC45)-1,FALSE)&lt;&gt;0,VLOOKUP($B46,$B:AR,COLUMN(AR45)-1,FALSE)/VLOOKUP($B46,$B:AC,COLUMN(AC45)-1,FALSE),IF(VLOOKUP($B46,$B:AR,COLUMN(AR45)-1,FALSE)&lt;&gt;0,"unknown",0))</f>
        <v>0</v>
      </c>
      <c r="BU46" s="261">
        <f>IF(VLOOKUP($B46,$B:AD,COLUMN(AD45)-1,FALSE)&lt;&gt;0,VLOOKUP($B46,$B:AS,COLUMN(AS45)-1,FALSE)/VLOOKUP($B46,$B:AD,COLUMN(AD45)-1,FALSE),IF(VLOOKUP($B46,$B:AS,COLUMN(AS45)-1,FALSE)&lt;&gt;0,"unknown",0))</f>
        <v>0</v>
      </c>
      <c r="BV46" s="261">
        <f>IF(VLOOKUP($B46,$B:AE,COLUMN(AE45)-1,FALSE)&lt;&gt;0,VLOOKUP($B46,$B:AT,COLUMN(AT45)-1,FALSE)/VLOOKUP($B46,$B:AE,COLUMN(AE45)-1,FALSE),IF(VLOOKUP($B46,$B:AT,COLUMN(AT45)-1,FALSE)&lt;&gt;0,"unknown",0))</f>
        <v>0</v>
      </c>
      <c r="BW46" s="261">
        <f>IF(VLOOKUP($B46,$B:AG,COLUMN(AG45)-1,FALSE)&lt;&gt;0,VLOOKUP($B46,$B:AU,COLUMN(AU45)-1,FALSE)/VLOOKUP($B46,$B:AG,COLUMN(AG45)-1,FALSE),IF(VLOOKUP($B46,$B:AU,COLUMN(AU45)-1,FALSE)&lt;&gt;0,"unknown",0))</f>
        <v>0</v>
      </c>
      <c r="BX46" s="261">
        <f>IF(VLOOKUP($B46,$B:AH,COLUMN(AH45)-1,FALSE)&lt;&gt;0,VLOOKUP($B46,$B:AV,COLUMN(AV45)-1,FALSE)/VLOOKUP($B46,$B:AH,COLUMN(AH45)-1,FALSE),IF(VLOOKUP($B46,$B:AV,COLUMN(AV45)-1,FALSE)&lt;&gt;0,"unknown",0))</f>
        <v>0</v>
      </c>
      <c r="BY46" s="261">
        <f>IF(VLOOKUP($B46,$B:AI,COLUMN(AI45)-1,FALSE)&lt;&gt;0,VLOOKUP($B46,$B:AW,COLUMN(AW45)-1,FALSE)/VLOOKUP($B46,$B:AI,COLUMN(AI45)-1,FALSE),IF(VLOOKUP($B46,$B:AW,COLUMN(AW45)-1,FALSE)&lt;&gt;0,"unknown",0))</f>
        <v>0</v>
      </c>
      <c r="BZ46" s="261">
        <f>IF(VLOOKUP($B46,$B:AJ,COLUMN(AJ45)-1,FALSE)&lt;&gt;0,VLOOKUP($B46,$B:AX,COLUMN(AX45)-1,FALSE)/VLOOKUP($B46,$B:AJ,COLUMN(AJ45)-1,FALSE),IF(VLOOKUP($B46,$B:AX,COLUMN(AX45)-1,FALSE)&lt;&gt;0,"unknown",0))</f>
        <v>0</v>
      </c>
      <c r="CA46" s="410"/>
      <c r="CB46" s="2">
        <f>IF(VLOOKUP($B46,$B:AM,COLUMN(W45)-1,FALSE)&lt;&gt;0,VLOOKUP($B46,$B:BA,COLUMN(AZ45)-1,FALSE)/VLOOKUP($B46,$B:AM,COLUMN(W45)-1,FALSE),IF(VLOOKUP($B46,$B:BA,COLUMN(AZ45)-1,FALSE)&lt;&gt;0,"unknown",0))</f>
        <v>0</v>
      </c>
      <c r="CC46" s="2">
        <f>IF(VLOOKUP($B46,$B:AN,COLUMN(X45)-1,FALSE)&lt;&gt;0,VLOOKUP($B46,$B:BB,COLUMN(BA45)-1,FALSE)/VLOOKUP($B46,$B:AN,COLUMN(X45)-1,FALSE),IF(VLOOKUP($B46,$B:BB,COLUMN(BA45)-1,FALSE)&lt;&gt;0,"unknown",0))</f>
        <v>0</v>
      </c>
      <c r="CD46" s="2">
        <f>IF(VLOOKUP($B46,$B:AO,COLUMN(Y45)-1,FALSE)&lt;&gt;0,VLOOKUP($B46,$B:BC,COLUMN(BB45)-1,FALSE)/VLOOKUP($B46,$B:AO,COLUMN(Y45)-1,FALSE),IF(VLOOKUP($B46,$B:BC,COLUMN(BB45)-1,FALSE)&lt;&gt;0,"unknown",0))</f>
        <v>0</v>
      </c>
      <c r="CE46" s="2">
        <f>IF(VLOOKUP($B46,$B:AP,COLUMN(Z45)-1,FALSE)&lt;&gt;0,VLOOKUP($B46,$B:BD,COLUMN(BC45)-1,FALSE)/VLOOKUP($B46,$B:AP,COLUMN(Z45)-1,FALSE),IF(VLOOKUP($B46,$B:BD,COLUMN(BC45)-1,FALSE)&lt;&gt;0,"unknown",0))</f>
        <v>0</v>
      </c>
      <c r="CF46" s="2">
        <f>IF(VLOOKUP($B46,$B:AR,COLUMN(AA45)-1,FALSE)&lt;&gt;0,VLOOKUP($B46,$B:BF,COLUMN(BD45)-1,FALSE)/VLOOKUP($B46,$B:AR,COLUMN(AA45)-1,FALSE),IF(VLOOKUP($B46,$B:BF,COLUMN(BD45)-1,FALSE)&lt;&gt;0,"unknown",0))</f>
        <v>0</v>
      </c>
      <c r="CG46" s="2">
        <f>IF(VLOOKUP($B46,$B:AS,COLUMN(AB45)-1,FALSE)&lt;&gt;0,VLOOKUP($B46,$B:BG,COLUMN(BE45)-1,FALSE)/VLOOKUP($B46,$B:AS,COLUMN(AB45)-1,FALSE),IF(VLOOKUP($B46,$B:BG,COLUMN(BE45)-1,FALSE)&lt;&gt;0,"unknown",0))</f>
        <v>0</v>
      </c>
      <c r="CH46" s="2">
        <f>IF(VLOOKUP($B46,$B:AS,COLUMN(AC45)-1,FALSE)&lt;&gt;0,VLOOKUP($B46,$B:BG,COLUMN(BF45)-1,FALSE)/VLOOKUP($B46,$B:AS,COLUMN(AC45)-1,FALSE),IF(VLOOKUP($B46,$B:BG,COLUMN(BF45)-1,FALSE)&lt;&gt;0,"unknown",0))</f>
        <v>0</v>
      </c>
      <c r="CI46" s="2">
        <f>IF(VLOOKUP($B46,$B:AT,COLUMN(AD45)-1,FALSE)&lt;&gt;0,VLOOKUP($B46,$B:BH,COLUMN(BG45)-1,FALSE)/VLOOKUP($B46,$B:AT,COLUMN(AD45)-1,FALSE),IF(VLOOKUP($B46,$B:BH,COLUMN(BG45)-1,FALSE)&lt;&gt;0,"unknown",0))</f>
        <v>0</v>
      </c>
      <c r="CJ46" s="2">
        <f>IF(VLOOKUP($B46,$B:AT,COLUMN(AE45)-1,FALSE)&lt;&gt;0,VLOOKUP($B46,$B:BH,COLUMN(BH45)-1,FALSE)/VLOOKUP($B46,$B:AT,COLUMN(AE45)-1,FALSE),IF(VLOOKUP($B46,$B:BH,COLUMN(BH45)-1,FALSE)&lt;&gt;0,"unknown",0))</f>
        <v>0</v>
      </c>
      <c r="CK46" s="2">
        <f>IF(VLOOKUP($B46,$B:AU,COLUMN(AG45)-1,FALSE)&lt;&gt;0,VLOOKUP($B46,$B:BI,COLUMN(BI45)-1,FALSE)/VLOOKUP($B46,$B:AU,COLUMN(AG45)-1,FALSE),IF(VLOOKUP($B46,$B:BI,COLUMN(BI45)-1,FALSE)&lt;&gt;0,"unknown",0))</f>
        <v>0</v>
      </c>
      <c r="CL46" s="2">
        <f>IF(VLOOKUP($B46,$B:AV,COLUMN(AH45)-1,FALSE)&lt;&gt;0,VLOOKUP($B46,$B:BJ,COLUMN(BJ45)-1,FALSE)/VLOOKUP($B46,$B:AV,COLUMN(AH45)-1,FALSE),IF(VLOOKUP($B46,$B:BJ,COLUMN(BJ45)-1,FALSE)&lt;&gt;0,"unknown",0))</f>
        <v>0</v>
      </c>
      <c r="CM46" s="2">
        <f>IF(VLOOKUP($B46,$B:AW,COLUMN(AI45)-1,FALSE)&lt;&gt;0,VLOOKUP($B46,$B:BK,COLUMN(BK45)-1,FALSE)/VLOOKUP($B46,$B:AW,COLUMN(AI45)-1,FALSE),IF(VLOOKUP($B46,$B:BK,COLUMN(BK45)-1,FALSE)&lt;&gt;0,"unknown",0))</f>
        <v>0</v>
      </c>
      <c r="CN46" s="2">
        <f>IF(VLOOKUP($B46,$B:AX,COLUMN(AJ45)-1,FALSE)&lt;&gt;0,VLOOKUP($B46,$B:BL,COLUMN(BL45)-1,FALSE)/VLOOKUP($B46,$B:AX,COLUMN(AJ45)-1,FALSE),IF(VLOOKUP($B46,$B:BL,COLUMN(BL45)-1,FALSE)&lt;&gt;0,"unknown",0))</f>
        <v>0</v>
      </c>
      <c r="CO46" s="410"/>
      <c r="CP46" s="2">
        <f>SUMIFS('Bilateral Assistance, MAIN DATA'!$M:$M,'Bilateral Assistance, MAIN DATA'!$B:$B,'Share, Heavy Weapons to Ukraine'!$B46,'Bilateral Assistance, MAIN DATA'!$AO:$AO,'Share, Heavy Weapons to Ukraine'!CP$11, 'Bilateral Assistance, MAIN DATA'!$AA:$AA,1)</f>
        <v>0</v>
      </c>
      <c r="CQ46" s="2">
        <f>SUMIFS('Bilateral Assistance, MAIN DATA'!$M:$M,'Bilateral Assistance, MAIN DATA'!$B:$B,'Share, Heavy Weapons to Ukraine'!$B46,'Bilateral Assistance, MAIN DATA'!$AO:$AO,'Share, Heavy Weapons to Ukraine'!CQ$11, 'Bilateral Assistance, MAIN DATA'!$AA:$AA,1)</f>
        <v>0</v>
      </c>
      <c r="CR46" s="2">
        <f>SUMIFS('Bilateral Assistance, MAIN DATA'!$M:$M,'Bilateral Assistance, MAIN DATA'!$B:$B,'Share, Heavy Weapons to Ukraine'!$B46,'Bilateral Assistance, MAIN DATA'!$AO:$AO,'Share, Heavy Weapons to Ukraine'!CR$11, 'Bilateral Assistance, MAIN DATA'!$AA:$AA,1)</f>
        <v>0</v>
      </c>
      <c r="CS46" s="2">
        <f>SUMIFS('Bilateral Assistance, MAIN DATA'!$M:$M,'Bilateral Assistance, MAIN DATA'!$B:$B,'Share, Heavy Weapons to Ukraine'!$B46,'Bilateral Assistance, MAIN DATA'!$AO:$AO,'Share, Heavy Weapons to Ukraine'!CS$11, 'Bilateral Assistance, MAIN DATA'!$AA:$AA,1)</f>
        <v>0</v>
      </c>
      <c r="CT46" s="410"/>
      <c r="CU46" s="2">
        <f>SUMIFS('Bilateral Assistance, MAIN DATA'!$N:$N,'Bilateral Assistance, MAIN DATA'!$B:$B,'Share, Heavy Weapons to Ukraine'!$B46,'Bilateral Assistance, MAIN DATA'!$AO:$AO,'Share, Heavy Weapons to Ukraine'!CU$11, 'Bilateral Assistance, MAIN DATA'!$AA:$AA,1)</f>
        <v>0</v>
      </c>
      <c r="CV46" s="2">
        <f>SUMIFS('Bilateral Assistance, MAIN DATA'!$N:$N,'Bilateral Assistance, MAIN DATA'!$B:$B,'Share, Heavy Weapons to Ukraine'!$B46,'Bilateral Assistance, MAIN DATA'!$AO:$AO,'Share, Heavy Weapons to Ukraine'!CV$11, 'Bilateral Assistance, MAIN DATA'!$AA:$AA,1)</f>
        <v>0</v>
      </c>
      <c r="CW46" s="2">
        <f>SUMIFS('Bilateral Assistance, MAIN DATA'!$N:$N,'Bilateral Assistance, MAIN DATA'!$B:$B,'Share, Heavy Weapons to Ukraine'!$B46,'Bilateral Assistance, MAIN DATA'!$AO:$AO,'Share, Heavy Weapons to Ukraine'!CW$11, 'Bilateral Assistance, MAIN DATA'!$AA:$AA,1)</f>
        <v>0</v>
      </c>
      <c r="CX46" s="2">
        <f>SUMIFS('Bilateral Assistance, MAIN DATA'!$N:$N,'Bilateral Assistance, MAIN DATA'!$B:$B,'Share, Heavy Weapons to Ukraine'!$B46,'Bilateral Assistance, MAIN DATA'!$AO:$AO,'Share, Heavy Weapons to Ukraine'!CX$11, 'Bilateral Assistance, MAIN DATA'!$AA:$AA,1)</f>
        <v>0</v>
      </c>
    </row>
    <row r="47" spans="2:102" ht="15.6">
      <c r="B47" s="409" t="s">
        <v>4867</v>
      </c>
      <c r="C47" s="409">
        <v>1</v>
      </c>
      <c r="D47" s="2">
        <v>0</v>
      </c>
      <c r="E47" s="410"/>
      <c r="F47" s="569" t="s">
        <v>364</v>
      </c>
      <c r="G47" s="569" t="s">
        <v>364</v>
      </c>
      <c r="H47" s="569" t="s">
        <v>364</v>
      </c>
      <c r="I47" s="569" t="s">
        <v>364</v>
      </c>
      <c r="J47" s="569" t="s">
        <v>364</v>
      </c>
      <c r="K47" s="569" t="s">
        <v>364</v>
      </c>
      <c r="L47" s="569" t="s">
        <v>364</v>
      </c>
      <c r="M47" s="569" t="s">
        <v>364</v>
      </c>
      <c r="N47" s="569" t="s">
        <v>364</v>
      </c>
      <c r="O47" s="569" t="s">
        <v>364</v>
      </c>
      <c r="P47" s="569" t="s">
        <v>364</v>
      </c>
      <c r="Q47" s="569" t="s">
        <v>364</v>
      </c>
      <c r="R47" s="569" t="s">
        <v>364</v>
      </c>
      <c r="S47" s="569" t="s">
        <v>364</v>
      </c>
      <c r="T47" s="569" t="s">
        <v>364</v>
      </c>
      <c r="U47" s="410" t="str">
        <f>""</f>
        <v/>
      </c>
      <c r="V47" s="1334">
        <v>0.20899999999999999</v>
      </c>
      <c r="W47" s="1334">
        <f>VLOOKUP(B47,'Heavy Weapon Stocks'!B:OA,COLUMN('Heavy Weapon Stocks'!$C$11)-1,FALSE)+IF(F47&lt;&gt;".",F47,0)</f>
        <v>0</v>
      </c>
      <c r="X47" s="1334">
        <f>VLOOKUP(B47,'Heavy Weapon Stocks'!B:OA,COLUMN('Heavy Weapon Stocks'!$AQ$11)-1,FALSE)</f>
        <v>0</v>
      </c>
      <c r="Y47" s="1334">
        <f>VLOOKUP(B47,'Heavy Weapon Stocks'!B:OA,COLUMN('Heavy Weapon Stocks'!$DK$11)-1,FALSE)</f>
        <v>0</v>
      </c>
      <c r="Z47" s="1334">
        <f>VLOOKUP(B47,'Heavy Weapon Stocks'!B:OA,COLUMN('Heavy Weapon Stocks'!$DY$11)-1,FALSE)</f>
        <v>0</v>
      </c>
      <c r="AA47" s="1334">
        <f>VLOOKUP(B47,'Heavy Weapon Stocks'!B:OA,COLUMN('Heavy Weapon Stocks'!$FA$11)-1,FALSE)+IF(G47&lt;&gt;".",G47,0)</f>
        <v>0</v>
      </c>
      <c r="AB47" s="1334">
        <f t="shared" si="0"/>
        <v>0</v>
      </c>
      <c r="AC47" s="1334">
        <f>VLOOKUP(B47,'Heavy Weapon Stocks'!B:OA,COLUMN('Heavy Weapon Stocks'!$GV$11)-1,FALSE)+VLOOKUP(B47,'Heavy Weapon Stocks'!B:OA,COLUMN('Heavy Weapon Stocks'!$HY$11)-1,FALSE)+IF(H47&lt;&gt;".",H47,0)</f>
        <v>0</v>
      </c>
      <c r="AD47" s="1334">
        <f>VLOOKUP(B47,'Heavy Weapon Stocks'!B:OA,COLUMN('Heavy Weapon Stocks'!$IF$11)-1,FALSE)+IF(I47&lt;&gt;".",I47,0)</f>
        <v>0</v>
      </c>
      <c r="AE47" s="1334">
        <f>VLOOKUP(B47,'Heavy Weapon Stocks'!B:OA,COLUMN('Heavy Weapon Stocks'!$IZ$11)-1,FALSE)+VLOOKUP(B47,'Heavy Weapon Stocks'!B:OA,COLUMN('Heavy Weapon Stocks'!$JW$11)-1,FALSE)</f>
        <v>0</v>
      </c>
      <c r="AF47" s="1334">
        <f>VLOOKUP(B47,'Heavy Weapon Stocks'!B:OA,COLUMN('Heavy Weapon Stocks'!$NL$11)-1,FALSE)+IF(L47&lt;&gt;".",L47,0)</f>
        <v>0</v>
      </c>
      <c r="AG47" s="1334">
        <f>VLOOKUP(B47,'Heavy Weapon Stocks'!B:OA,COLUMN('Heavy Weapon Stocks'!$LN$11)-1,FALSE)+IF(M47&lt;&gt;".",M47,0)</f>
        <v>0</v>
      </c>
      <c r="AH47" s="1334">
        <f>VLOOKUP(B47,'Heavy Weapon Stocks'!B:OA,COLUMN('Heavy Weapon Stocks'!$LX$11)-1,FALSE)+IF(N47&lt;&gt;".",N47,0)</f>
        <v>0</v>
      </c>
      <c r="AI47" s="1334">
        <f>VLOOKUP(B47,'Heavy Weapon Stocks'!B:OA,COLUMN('Heavy Weapon Stocks'!$ME$11)-1,FALSE)+IF(O47&lt;&gt;".",O47,0)</f>
        <v>0</v>
      </c>
      <c r="AJ47" s="1334">
        <f>VLOOKUP(B47,'Heavy Weapon Stocks'!B:OA,COLUMN('Heavy Weapon Stocks'!$NK$11)-1,FALSE)+IF(P47&lt;&gt;".",P47,0)</f>
        <v>0</v>
      </c>
      <c r="AK47" s="410"/>
      <c r="AL47" s="25">
        <f>SUMIFS('Bilateral Assistance, MAIN DATA'!$M:$M,'Bilateral Assistance, MAIN DATA'!$B:$B,'Share, Heavy Weapons to Ukraine'!$B47,'Bilateral Assistance, MAIN DATA'!$AO:$AO,'Share, Heavy Weapons to Ukraine'!AL$11)</f>
        <v>0</v>
      </c>
      <c r="AM47" s="25">
        <f>SUMIFS('Bilateral Assistance, MAIN DATA'!$M:$M,'Bilateral Assistance, MAIN DATA'!$B:$B,'Share, Heavy Weapons to Ukraine'!$B47,'Bilateral Assistance, MAIN DATA'!$AO:$AO,'Share, Heavy Weapons to Ukraine'!AM$11)</f>
        <v>0</v>
      </c>
      <c r="AN47" s="25">
        <f>SUMIFS('Bilateral Assistance, MAIN DATA'!$M:$M,'Bilateral Assistance, MAIN DATA'!$B:$B,'Share, Heavy Weapons to Ukraine'!$B47,'Bilateral Assistance, MAIN DATA'!$AO:$AO,'Share, Heavy Weapons to Ukraine'!AN$11)</f>
        <v>0</v>
      </c>
      <c r="AO47" s="25">
        <f>SUMIFS('Bilateral Assistance, MAIN DATA'!$M:$M,'Bilateral Assistance, MAIN DATA'!$B:$B,'Share, Heavy Weapons to Ukraine'!$B47,'Bilateral Assistance, MAIN DATA'!$AO:$AO,'Share, Heavy Weapons to Ukraine'!AO$11)</f>
        <v>0</v>
      </c>
      <c r="AP47" s="25">
        <f>SUMIFS('Bilateral Assistance, MAIN DATA'!$M:$M,'Bilateral Assistance, MAIN DATA'!$B:$B,'Share, Heavy Weapons to Ukraine'!$B47,'Bilateral Assistance, MAIN DATA'!$AO:$AO,'Share, Heavy Weapons to Ukraine'!AP$11)</f>
        <v>0</v>
      </c>
      <c r="AQ47" s="25">
        <f t="shared" si="1"/>
        <v>0</v>
      </c>
      <c r="AR47" s="25">
        <f>SUMIFS('Bilateral Assistance, MAIN DATA'!$M:$M,'Bilateral Assistance, MAIN DATA'!$B:$B,'Share, Heavy Weapons to Ukraine'!$B47,'Bilateral Assistance, MAIN DATA'!$AO:$AO,"155mm howitzer")+SUMIFS('Bilateral Assistance, MAIN DATA'!$M:$M,'Bilateral Assistance, MAIN DATA'!$B:$B,'Share, Heavy Weapons to Ukraine'!$B47,'Bilateral Assistance, MAIN DATA'!$AO:$AO,"152mm howitzer")</f>
        <v>0</v>
      </c>
      <c r="AS47" s="25">
        <f>SUMIFS('Bilateral Assistance, MAIN DATA'!$M:$M,'Bilateral Assistance, MAIN DATA'!$B:$B,'Share, Heavy Weapons to Ukraine'!$B47,'Bilateral Assistance, MAIN DATA'!$AO:$AO,"122mm MLRS")+SUMIFS('Bilateral Assistance, MAIN DATA'!$M:$M,'Bilateral Assistance, MAIN DATA'!$B:$B,'Share, Heavy Weapons to Ukraine'!$B47,'Bilateral Assistance, MAIN DATA'!$AO:$AO,"127mm MLRS")+SUMIFS('Bilateral Assistance, MAIN DATA'!$M:$M,'Bilateral Assistance, MAIN DATA'!$B:$B,'Share, Heavy Weapons to Ukraine'!$B47,'Bilateral Assistance, MAIN DATA'!$AO:$AO,"227mm MLRS")</f>
        <v>0</v>
      </c>
      <c r="AT47" s="25">
        <f>SUMIFS('Bilateral Assistance, MAIN DATA'!$M:$M,'Bilateral Assistance, MAIN DATA'!$B:$B,'Share, Heavy Weapons to Ukraine'!$B47,'Bilateral Assistance, MAIN DATA'!$AO:$AO,'Share, Heavy Weapons to Ukraine'!AT$11)</f>
        <v>0</v>
      </c>
      <c r="AU47" s="25">
        <f>SUMIFS('Bilateral Assistance, MAIN DATA'!$M:$M,'Bilateral Assistance, MAIN DATA'!$B:$B,'Share, Heavy Weapons to Ukraine'!$B47,'Bilateral Assistance, MAIN DATA'!$AO:$AO,'Share, Heavy Weapons to Ukraine'!AU$11)</f>
        <v>0</v>
      </c>
      <c r="AV47" s="25">
        <f>SUMIFS('Bilateral Assistance, MAIN DATA'!$M:$M,'Bilateral Assistance, MAIN DATA'!$B:$B,'Share, Heavy Weapons to Ukraine'!$B47,'Bilateral Assistance, MAIN DATA'!$AO:$AO,'Share, Heavy Weapons to Ukraine'!AV$11)</f>
        <v>0</v>
      </c>
      <c r="AW47" s="25">
        <f>SUMIFS('Bilateral Assistance, MAIN DATA'!$M:$M,'Bilateral Assistance, MAIN DATA'!$B:$B,'Share, Heavy Weapons to Ukraine'!$B47,'Bilateral Assistance, MAIN DATA'!$AO:$AO,'Share, Heavy Weapons to Ukraine'!AW$11)</f>
        <v>0</v>
      </c>
      <c r="AX47" s="25">
        <f>SUMIFS('Bilateral Assistance, MAIN DATA'!$M:$M,'Bilateral Assistance, MAIN DATA'!$B:$B,'Share, Heavy Weapons to Ukraine'!$B47,'Bilateral Assistance, MAIN DATA'!$AO:$AO,'Share, Heavy Weapons to Ukraine'!AX$11)</f>
        <v>0</v>
      </c>
      <c r="AY47" s="410"/>
      <c r="AZ47" s="25">
        <f>SUMIFS('Bilateral Assistance, MAIN DATA'!$N:$N,'Bilateral Assistance, MAIN DATA'!$B:$B,'Share, Heavy Weapons to Ukraine'!$B47,'Bilateral Assistance, MAIN DATA'!$AO:$AO,'Share, Heavy Weapons to Ukraine'!AZ$11)</f>
        <v>0</v>
      </c>
      <c r="BA47" s="25">
        <f>SUMIFS('Bilateral Assistance, MAIN DATA'!$N:$N,'Bilateral Assistance, MAIN DATA'!$B:$B,'Share, Heavy Weapons to Ukraine'!$B47,'Bilateral Assistance, MAIN DATA'!$AO:$AO,'Share, Heavy Weapons to Ukraine'!BA$11)</f>
        <v>0</v>
      </c>
      <c r="BB47" s="25">
        <f>SUMIFS('Bilateral Assistance, MAIN DATA'!$N:$N,'Bilateral Assistance, MAIN DATA'!$B:$B,'Share, Heavy Weapons to Ukraine'!$B47,'Bilateral Assistance, MAIN DATA'!$AO:$AO,'Share, Heavy Weapons to Ukraine'!BB$11)</f>
        <v>0</v>
      </c>
      <c r="BC47" s="25">
        <f>SUMIFS('Bilateral Assistance, MAIN DATA'!$N:$N,'Bilateral Assistance, MAIN DATA'!$B:$B,'Share, Heavy Weapons to Ukraine'!$B47,'Bilateral Assistance, MAIN DATA'!$AO:$AO,'Share, Heavy Weapons to Ukraine'!BC$11)</f>
        <v>0</v>
      </c>
      <c r="BD47" s="25">
        <f>SUMIFS('Bilateral Assistance, MAIN DATA'!$N:$N,'Bilateral Assistance, MAIN DATA'!$B:$B,'Share, Heavy Weapons to Ukraine'!$B47,'Bilateral Assistance, MAIN DATA'!$AO:$AO,'Share, Heavy Weapons to Ukraine'!BD$11)</f>
        <v>0</v>
      </c>
      <c r="BE47" s="25">
        <f t="shared" si="2"/>
        <v>0</v>
      </c>
      <c r="BF47" s="25">
        <f>SUMIFS('Bilateral Assistance, MAIN DATA'!$N:$N,'Bilateral Assistance, MAIN DATA'!$B:$B,'Share, Heavy Weapons to Ukraine'!$B47,'Bilateral Assistance, MAIN DATA'!$AO:$AO,"155mm howitzer")+SUMIFS('Bilateral Assistance, MAIN DATA'!$N:$N,'Bilateral Assistance, MAIN DATA'!$B:$B,'Share, Heavy Weapons to Ukraine'!$B47,'Bilateral Assistance, MAIN DATA'!$AO:$AO,"152mm howitzer")</f>
        <v>0</v>
      </c>
      <c r="BG47" s="25">
        <f>SUMIFS('Bilateral Assistance, MAIN DATA'!$N:$N,'Bilateral Assistance, MAIN DATA'!$B:$B,'Share, Heavy Weapons to Ukraine'!$B47,'Bilateral Assistance, MAIN DATA'!$AO:$AO,"122mm MLRS")+SUMIFS('Bilateral Assistance, MAIN DATA'!$N:$N,'Bilateral Assistance, MAIN DATA'!$B:$B,'Share, Heavy Weapons to Ukraine'!$B47,'Bilateral Assistance, MAIN DATA'!$AO:$AO,"127mm MLRS")+SUMIFS('Bilateral Assistance, MAIN DATA'!$N:$N,'Bilateral Assistance, MAIN DATA'!$B:$B,'Share, Heavy Weapons to Ukraine'!$B47,'Bilateral Assistance, MAIN DATA'!$AO:$AO,"227mm MLRS")</f>
        <v>0</v>
      </c>
      <c r="BH47" s="25">
        <f>SUMIFS('Bilateral Assistance, MAIN DATA'!$N:$N,'Bilateral Assistance, MAIN DATA'!$B:$B,'Share, Heavy Weapons to Ukraine'!$B47,'Bilateral Assistance, MAIN DATA'!$AO:$AO,'Share, Heavy Weapons to Ukraine'!BH$11)</f>
        <v>0</v>
      </c>
      <c r="BI47" s="25">
        <f>SUMIFS('Bilateral Assistance, MAIN DATA'!$N:$N,'Bilateral Assistance, MAIN DATA'!$B:$B,'Share, Heavy Weapons to Ukraine'!$B47,'Bilateral Assistance, MAIN DATA'!$AO:$AO,'Share, Heavy Weapons to Ukraine'!BI$11)</f>
        <v>0</v>
      </c>
      <c r="BJ47" s="25">
        <f>SUMIFS('Bilateral Assistance, MAIN DATA'!$N:$N,'Bilateral Assistance, MAIN DATA'!$B:$B,'Share, Heavy Weapons to Ukraine'!$B47,'Bilateral Assistance, MAIN DATA'!$AO:$AO,'Share, Heavy Weapons to Ukraine'!BJ$11)</f>
        <v>0</v>
      </c>
      <c r="BK47" s="25">
        <f>SUMIFS('Bilateral Assistance, MAIN DATA'!$N:$N,'Bilateral Assistance, MAIN DATA'!$B:$B,'Share, Heavy Weapons to Ukraine'!$B47,'Bilateral Assistance, MAIN DATA'!$AO:$AO,'Share, Heavy Weapons to Ukraine'!BK$11)</f>
        <v>0</v>
      </c>
      <c r="BL47" s="25">
        <f>SUMIFS('Bilateral Assistance, MAIN DATA'!$N:$N,'Bilateral Assistance, MAIN DATA'!$B:$B,'Share, Heavy Weapons to Ukraine'!$B47,'Bilateral Assistance, MAIN DATA'!$AO:$AO,'Share, Heavy Weapons to Ukraine'!BL$11)</f>
        <v>0</v>
      </c>
      <c r="BM47" s="410"/>
      <c r="BN47" s="261">
        <f>IF(VLOOKUP($B47,$B:W,COLUMN(W46)-1,FALSE)&lt;&gt;0,VLOOKUP($B47,$B:AL,COLUMN(AL46)-1,FALSE)/VLOOKUP($B47,$B:W,COLUMN(W46)-1,FALSE),IF(VLOOKUP($B47,$B:AL,COLUMN(AL46)-1,FALSE)&lt;&gt;0,"unknown",0))</f>
        <v>0</v>
      </c>
      <c r="BO47" s="261">
        <f>IF(VLOOKUP($B47,$B:X,COLUMN(X46)-1,FALSE)&lt;&gt;0,VLOOKUP($B47,$B:AM,COLUMN(AM46)-1,FALSE)/VLOOKUP($B47,$B:X,COLUMN(X46)-1,FALSE),IF(VLOOKUP($B47,$B:AM,COLUMN(AM46)-1,FALSE)&lt;&gt;0,"unknown",0))</f>
        <v>0</v>
      </c>
      <c r="BP47" s="261">
        <f>IF(VLOOKUP($B47,$B:Y,COLUMN(Y46)-1,FALSE)&lt;&gt;0,VLOOKUP($B47,$B:AN,COLUMN(AN46)-1,FALSE)/VLOOKUP($B47,$B:Y,COLUMN(Y46)-1,FALSE),IF(VLOOKUP($B47,$B:AN,COLUMN(AN46)-1,FALSE)&lt;&gt;0,"unknown",0))</f>
        <v>0</v>
      </c>
      <c r="BQ47" s="261">
        <f>IF(VLOOKUP($B47,$B:Z,COLUMN(Z46)-1,FALSE)&lt;&gt;0,VLOOKUP($B47,$B:AO,COLUMN(AO46)-1,FALSE)/VLOOKUP($B47,$B:Z,COLUMN(Z46)-1,FALSE),IF(VLOOKUP($B47,$B:AO,COLUMN(AO46)-1,FALSE)&lt;&gt;0,"unknown",0))</f>
        <v>0</v>
      </c>
      <c r="BR47" s="261">
        <f>IF(VLOOKUP($B47,$B:AA,COLUMN(AA46)-1,FALSE)&lt;&gt;0,VLOOKUP($B47,$B:AP,COLUMN(AP46)-1,FALSE)/VLOOKUP($B47,$B:AA,COLUMN(AA46)-1,FALSE),IF(VLOOKUP($B47,$B:AP,COLUMN(AP46)-1,FALSE)&lt;&gt;0,"unknown",0))</f>
        <v>0</v>
      </c>
      <c r="BS47" s="261">
        <f>IF(VLOOKUP($B47,$B:AB,COLUMN(AB46)-1,FALSE)&lt;&gt;0,VLOOKUP($B47,$B:AQ,COLUMN(AQ46)-1,FALSE)/VLOOKUP($B47,$B:AB,COLUMN(AB46)-1,FALSE),IF(VLOOKUP($B47,$B:AQ,COLUMN(AQ46)-1,FALSE)&lt;&gt;0,"unknown",0))</f>
        <v>0</v>
      </c>
      <c r="BT47" s="261">
        <f>IF(VLOOKUP($B47,$B:AC,COLUMN(AC46)-1,FALSE)&lt;&gt;0,VLOOKUP($B47,$B:AR,COLUMN(AR46)-1,FALSE)/VLOOKUP($B47,$B:AC,COLUMN(AC46)-1,FALSE),IF(VLOOKUP($B47,$B:AR,COLUMN(AR46)-1,FALSE)&lt;&gt;0,"unknown",0))</f>
        <v>0</v>
      </c>
      <c r="BU47" s="261">
        <f>IF(VLOOKUP($B47,$B:AD,COLUMN(AD46)-1,FALSE)&lt;&gt;0,VLOOKUP($B47,$B:AS,COLUMN(AS46)-1,FALSE)/VLOOKUP($B47,$B:AD,COLUMN(AD46)-1,FALSE),IF(VLOOKUP($B47,$B:AS,COLUMN(AS46)-1,FALSE)&lt;&gt;0,"unknown",0))</f>
        <v>0</v>
      </c>
      <c r="BV47" s="261">
        <f>IF(VLOOKUP($B47,$B:AE,COLUMN(AE46)-1,FALSE)&lt;&gt;0,VLOOKUP($B47,$B:AT,COLUMN(AT46)-1,FALSE)/VLOOKUP($B47,$B:AE,COLUMN(AE46)-1,FALSE),IF(VLOOKUP($B47,$B:AT,COLUMN(AT46)-1,FALSE)&lt;&gt;0,"unknown",0))</f>
        <v>0</v>
      </c>
      <c r="BW47" s="261">
        <f>IF(VLOOKUP($B47,$B:AG,COLUMN(AG46)-1,FALSE)&lt;&gt;0,VLOOKUP($B47,$B:AU,COLUMN(AU46)-1,FALSE)/VLOOKUP($B47,$B:AG,COLUMN(AG46)-1,FALSE),IF(VLOOKUP($B47,$B:AU,COLUMN(AU46)-1,FALSE)&lt;&gt;0,"unknown",0))</f>
        <v>0</v>
      </c>
      <c r="BX47" s="261">
        <f>IF(VLOOKUP($B47,$B:AH,COLUMN(AH46)-1,FALSE)&lt;&gt;0,VLOOKUP($B47,$B:AV,COLUMN(AV46)-1,FALSE)/VLOOKUP($B47,$B:AH,COLUMN(AH46)-1,FALSE),IF(VLOOKUP($B47,$B:AV,COLUMN(AV46)-1,FALSE)&lt;&gt;0,"unknown",0))</f>
        <v>0</v>
      </c>
      <c r="BY47" s="261">
        <f>IF(VLOOKUP($B47,$B:AI,COLUMN(AI46)-1,FALSE)&lt;&gt;0,VLOOKUP($B47,$B:AW,COLUMN(AW46)-1,FALSE)/VLOOKUP($B47,$B:AI,COLUMN(AI46)-1,FALSE),IF(VLOOKUP($B47,$B:AW,COLUMN(AW46)-1,FALSE)&lt;&gt;0,"unknown",0))</f>
        <v>0</v>
      </c>
      <c r="BZ47" s="261">
        <f>IF(VLOOKUP($B47,$B:AJ,COLUMN(AJ46)-1,FALSE)&lt;&gt;0,VLOOKUP($B47,$B:AX,COLUMN(AX46)-1,FALSE)/VLOOKUP($B47,$B:AJ,COLUMN(AJ46)-1,FALSE),IF(VLOOKUP($B47,$B:AX,COLUMN(AX46)-1,FALSE)&lt;&gt;0,"unknown",0))</f>
        <v>0</v>
      </c>
      <c r="CA47" s="410"/>
      <c r="CB47" s="2">
        <f>IF(VLOOKUP($B47,$B:AM,COLUMN(W46)-1,FALSE)&lt;&gt;0,VLOOKUP($B47,$B:BA,COLUMN(AZ46)-1,FALSE)/VLOOKUP($B47,$B:AM,COLUMN(W46)-1,FALSE),IF(VLOOKUP($B47,$B:BA,COLUMN(AZ46)-1,FALSE)&lt;&gt;0,"unknown",0))</f>
        <v>0</v>
      </c>
      <c r="CC47" s="2">
        <f>IF(VLOOKUP($B47,$B:AN,COLUMN(X46)-1,FALSE)&lt;&gt;0,VLOOKUP($B47,$B:BB,COLUMN(BA46)-1,FALSE)/VLOOKUP($B47,$B:AN,COLUMN(X46)-1,FALSE),IF(VLOOKUP($B47,$B:BB,COLUMN(BA46)-1,FALSE)&lt;&gt;0,"unknown",0))</f>
        <v>0</v>
      </c>
      <c r="CD47" s="2">
        <f>IF(VLOOKUP($B47,$B:AO,COLUMN(Y46)-1,FALSE)&lt;&gt;0,VLOOKUP($B47,$B:BC,COLUMN(BB46)-1,FALSE)/VLOOKUP($B47,$B:AO,COLUMN(Y46)-1,FALSE),IF(VLOOKUP($B47,$B:BC,COLUMN(BB46)-1,FALSE)&lt;&gt;0,"unknown",0))</f>
        <v>0</v>
      </c>
      <c r="CE47" s="2">
        <f>IF(VLOOKUP($B47,$B:AP,COLUMN(Z46)-1,FALSE)&lt;&gt;0,VLOOKUP($B47,$B:BD,COLUMN(BC46)-1,FALSE)/VLOOKUP($B47,$B:AP,COLUMN(Z46)-1,FALSE),IF(VLOOKUP($B47,$B:BD,COLUMN(BC46)-1,FALSE)&lt;&gt;0,"unknown",0))</f>
        <v>0</v>
      </c>
      <c r="CF47" s="2">
        <f>IF(VLOOKUP($B47,$B:AR,COLUMN(AA46)-1,FALSE)&lt;&gt;0,VLOOKUP($B47,$B:BF,COLUMN(BD46)-1,FALSE)/VLOOKUP($B47,$B:AR,COLUMN(AA46)-1,FALSE),IF(VLOOKUP($B47,$B:BF,COLUMN(BD46)-1,FALSE)&lt;&gt;0,"unknown",0))</f>
        <v>0</v>
      </c>
      <c r="CG47" s="2">
        <f>IF(VLOOKUP($B47,$B:AS,COLUMN(AB46)-1,FALSE)&lt;&gt;0,VLOOKUP($B47,$B:BG,COLUMN(BE46)-1,FALSE)/VLOOKUP($B47,$B:AS,COLUMN(AB46)-1,FALSE),IF(VLOOKUP($B47,$B:BG,COLUMN(BE46)-1,FALSE)&lt;&gt;0,"unknown",0))</f>
        <v>0</v>
      </c>
      <c r="CH47" s="2">
        <f>IF(VLOOKUP($B47,$B:AS,COLUMN(AC46)-1,FALSE)&lt;&gt;0,VLOOKUP($B47,$B:BG,COLUMN(BF46)-1,FALSE)/VLOOKUP($B47,$B:AS,COLUMN(AC46)-1,FALSE),IF(VLOOKUP($B47,$B:BG,COLUMN(BF46)-1,FALSE)&lt;&gt;0,"unknown",0))</f>
        <v>0</v>
      </c>
      <c r="CI47" s="2">
        <f>IF(VLOOKUP($B47,$B:AT,COLUMN(AD46)-1,FALSE)&lt;&gt;0,VLOOKUP($B47,$B:BH,COLUMN(BG46)-1,FALSE)/VLOOKUP($B47,$B:AT,COLUMN(AD46)-1,FALSE),IF(VLOOKUP($B47,$B:BH,COLUMN(BG46)-1,FALSE)&lt;&gt;0,"unknown",0))</f>
        <v>0</v>
      </c>
      <c r="CJ47" s="2">
        <f>IF(VLOOKUP($B47,$B:AT,COLUMN(AE46)-1,FALSE)&lt;&gt;0,VLOOKUP($B47,$B:BH,COLUMN(BH46)-1,FALSE)/VLOOKUP($B47,$B:AT,COLUMN(AE46)-1,FALSE),IF(VLOOKUP($B47,$B:BH,COLUMN(BH46)-1,FALSE)&lt;&gt;0,"unknown",0))</f>
        <v>0</v>
      </c>
      <c r="CK47" s="2">
        <f>IF(VLOOKUP($B47,$B:AU,COLUMN(AG46)-1,FALSE)&lt;&gt;0,VLOOKUP($B47,$B:BI,COLUMN(BI46)-1,FALSE)/VLOOKUP($B47,$B:AU,COLUMN(AG46)-1,FALSE),IF(VLOOKUP($B47,$B:BI,COLUMN(BI46)-1,FALSE)&lt;&gt;0,"unknown",0))</f>
        <v>0</v>
      </c>
      <c r="CL47" s="2">
        <f>IF(VLOOKUP($B47,$B:AV,COLUMN(AH46)-1,FALSE)&lt;&gt;0,VLOOKUP($B47,$B:BJ,COLUMN(BJ46)-1,FALSE)/VLOOKUP($B47,$B:AV,COLUMN(AH46)-1,FALSE),IF(VLOOKUP($B47,$B:BJ,COLUMN(BJ46)-1,FALSE)&lt;&gt;0,"unknown",0))</f>
        <v>0</v>
      </c>
      <c r="CM47" s="2">
        <f>IF(VLOOKUP($B47,$B:AW,COLUMN(AI46)-1,FALSE)&lt;&gt;0,VLOOKUP($B47,$B:BK,COLUMN(BK46)-1,FALSE)/VLOOKUP($B47,$B:AW,COLUMN(AI46)-1,FALSE),IF(VLOOKUP($B47,$B:BK,COLUMN(BK46)-1,FALSE)&lt;&gt;0,"unknown",0))</f>
        <v>0</v>
      </c>
      <c r="CN47" s="2">
        <f>IF(VLOOKUP($B47,$B:AX,COLUMN(AJ46)-1,FALSE)&lt;&gt;0,VLOOKUP($B47,$B:BL,COLUMN(BL46)-1,FALSE)/VLOOKUP($B47,$B:AX,COLUMN(AJ46)-1,FALSE),IF(VLOOKUP($B47,$B:BL,COLUMN(BL46)-1,FALSE)&lt;&gt;0,"unknown",0))</f>
        <v>0</v>
      </c>
      <c r="CO47" s="410"/>
      <c r="CP47" s="2">
        <f>SUMIFS('Bilateral Assistance, MAIN DATA'!$M:$M,'Bilateral Assistance, MAIN DATA'!$B:$B,'Share, Heavy Weapons to Ukraine'!$B47,'Bilateral Assistance, MAIN DATA'!$AO:$AO,'Share, Heavy Weapons to Ukraine'!CP$11, 'Bilateral Assistance, MAIN DATA'!$AA:$AA,1)</f>
        <v>0</v>
      </c>
      <c r="CQ47" s="2">
        <f>SUMIFS('Bilateral Assistance, MAIN DATA'!$M:$M,'Bilateral Assistance, MAIN DATA'!$B:$B,'Share, Heavy Weapons to Ukraine'!$B47,'Bilateral Assistance, MAIN DATA'!$AO:$AO,'Share, Heavy Weapons to Ukraine'!CQ$11, 'Bilateral Assistance, MAIN DATA'!$AA:$AA,1)</f>
        <v>0</v>
      </c>
      <c r="CR47" s="2">
        <f>SUMIFS('Bilateral Assistance, MAIN DATA'!$M:$M,'Bilateral Assistance, MAIN DATA'!$B:$B,'Share, Heavy Weapons to Ukraine'!$B47,'Bilateral Assistance, MAIN DATA'!$AO:$AO,'Share, Heavy Weapons to Ukraine'!CR$11, 'Bilateral Assistance, MAIN DATA'!$AA:$AA,1)</f>
        <v>0</v>
      </c>
      <c r="CS47" s="2">
        <f>SUMIFS('Bilateral Assistance, MAIN DATA'!$M:$M,'Bilateral Assistance, MAIN DATA'!$B:$B,'Share, Heavy Weapons to Ukraine'!$B47,'Bilateral Assistance, MAIN DATA'!$AO:$AO,'Share, Heavy Weapons to Ukraine'!CS$11, 'Bilateral Assistance, MAIN DATA'!$AA:$AA,1)</f>
        <v>0</v>
      </c>
      <c r="CT47" s="410"/>
      <c r="CU47" s="2">
        <f>SUMIFS('Bilateral Assistance, MAIN DATA'!$N:$N,'Bilateral Assistance, MAIN DATA'!$B:$B,'Share, Heavy Weapons to Ukraine'!$B47,'Bilateral Assistance, MAIN DATA'!$AO:$AO,'Share, Heavy Weapons to Ukraine'!CU$11, 'Bilateral Assistance, MAIN DATA'!$AA:$AA,1)</f>
        <v>0</v>
      </c>
      <c r="CV47" s="2">
        <f>SUMIFS('Bilateral Assistance, MAIN DATA'!$N:$N,'Bilateral Assistance, MAIN DATA'!$B:$B,'Share, Heavy Weapons to Ukraine'!$B47,'Bilateral Assistance, MAIN DATA'!$AO:$AO,'Share, Heavy Weapons to Ukraine'!CV$11, 'Bilateral Assistance, MAIN DATA'!$AA:$AA,1)</f>
        <v>0</v>
      </c>
      <c r="CW47" s="2">
        <f>SUMIFS('Bilateral Assistance, MAIN DATA'!$N:$N,'Bilateral Assistance, MAIN DATA'!$B:$B,'Share, Heavy Weapons to Ukraine'!$B47,'Bilateral Assistance, MAIN DATA'!$AO:$AO,'Share, Heavy Weapons to Ukraine'!CW$11, 'Bilateral Assistance, MAIN DATA'!$AA:$AA,1)</f>
        <v>0</v>
      </c>
      <c r="CX47" s="2">
        <f>SUMIFS('Bilateral Assistance, MAIN DATA'!$N:$N,'Bilateral Assistance, MAIN DATA'!$B:$B,'Share, Heavy Weapons to Ukraine'!$B47,'Bilateral Assistance, MAIN DATA'!$AO:$AO,'Share, Heavy Weapons to Ukraine'!CX$11, 'Bilateral Assistance, MAIN DATA'!$AA:$AA,1)</f>
        <v>0</v>
      </c>
    </row>
    <row r="48" spans="2:102" ht="15.6">
      <c r="B48" s="409" t="s">
        <v>4868</v>
      </c>
      <c r="C48" s="409">
        <v>0</v>
      </c>
      <c r="D48" s="2">
        <v>0</v>
      </c>
      <c r="E48" s="410"/>
      <c r="F48" s="569" t="s">
        <v>364</v>
      </c>
      <c r="G48" s="569" t="s">
        <v>364</v>
      </c>
      <c r="H48" s="569" t="s">
        <v>364</v>
      </c>
      <c r="I48" s="569" t="s">
        <v>364</v>
      </c>
      <c r="J48" s="569" t="s">
        <v>364</v>
      </c>
      <c r="K48" s="569" t="s">
        <v>364</v>
      </c>
      <c r="L48" s="569" t="s">
        <v>364</v>
      </c>
      <c r="M48" s="569" t="s">
        <v>364</v>
      </c>
      <c r="N48" s="569" t="s">
        <v>364</v>
      </c>
      <c r="O48" s="569" t="s">
        <v>364</v>
      </c>
      <c r="P48" s="569" t="s">
        <v>364</v>
      </c>
      <c r="Q48" s="569" t="s">
        <v>364</v>
      </c>
      <c r="R48" s="569" t="s">
        <v>364</v>
      </c>
      <c r="S48" s="569" t="s">
        <v>364</v>
      </c>
      <c r="T48" s="569" t="s">
        <v>364</v>
      </c>
      <c r="U48" s="410" t="str">
        <f>""</f>
        <v/>
      </c>
      <c r="V48" s="1334">
        <v>0.19400000000000001</v>
      </c>
      <c r="W48" s="1334">
        <f>VLOOKUP(B48,'Heavy Weapon Stocks'!B:OA,COLUMN('Heavy Weapon Stocks'!$C$11)-1,FALSE)+IF(F48&lt;&gt;".",F48,0)</f>
        <v>45</v>
      </c>
      <c r="X48" s="1334">
        <f>VLOOKUP(B48,'Heavy Weapon Stocks'!B:OA,COLUMN('Heavy Weapon Stocks'!$AQ$11)-1,FALSE)</f>
        <v>20</v>
      </c>
      <c r="Y48" s="1334">
        <f>VLOOKUP(B48,'Heavy Weapon Stocks'!B:OA,COLUMN('Heavy Weapon Stocks'!$DK$11)-1,FALSE)</f>
        <v>0</v>
      </c>
      <c r="Z48" s="1334">
        <f>VLOOKUP(B48,'Heavy Weapon Stocks'!B:OA,COLUMN('Heavy Weapon Stocks'!$DY$11)-1,FALSE)</f>
        <v>0</v>
      </c>
      <c r="AA48" s="1334">
        <f>VLOOKUP(B48,'Heavy Weapon Stocks'!B:OA,COLUMN('Heavy Weapon Stocks'!$FA$11)-1,FALSE)+IF(G48&lt;&gt;".",G48,0)</f>
        <v>0</v>
      </c>
      <c r="AB48" s="1334">
        <f t="shared" si="0"/>
        <v>20</v>
      </c>
      <c r="AC48" s="1334">
        <f>VLOOKUP(B48,'Heavy Weapon Stocks'!B:OA,COLUMN('Heavy Weapon Stocks'!$GV$11)-1,FALSE)+VLOOKUP(B48,'Heavy Weapon Stocks'!B:OA,COLUMN('Heavy Weapon Stocks'!$HY$11)-1,FALSE)+IF(H48&lt;&gt;".",H48,0)</f>
        <v>0</v>
      </c>
      <c r="AD48" s="1334">
        <f>VLOOKUP(B48,'Heavy Weapon Stocks'!B:OA,COLUMN('Heavy Weapon Stocks'!$IF$11)-1,FALSE)+IF(I48&lt;&gt;".",I48,0)</f>
        <v>24</v>
      </c>
      <c r="AE48" s="1334">
        <f>VLOOKUP(B48,'Heavy Weapon Stocks'!B:OA,COLUMN('Heavy Weapon Stocks'!$IZ$11)-1,FALSE)+VLOOKUP(B48,'Heavy Weapon Stocks'!B:OA,COLUMN('Heavy Weapon Stocks'!$JW$11)-1,FALSE)</f>
        <v>0</v>
      </c>
      <c r="AF48" s="1334">
        <f>VLOOKUP(B48,'Heavy Weapon Stocks'!B:OA,COLUMN('Heavy Weapon Stocks'!$NL$11)-1,FALSE)+IF(L48&lt;&gt;".",L48,0)</f>
        <v>0</v>
      </c>
      <c r="AG48" s="1334">
        <f>VLOOKUP(B48,'Heavy Weapon Stocks'!B:OA,COLUMN('Heavy Weapon Stocks'!$LN$11)-1,FALSE)+IF(M48&lt;&gt;".",M48,0)</f>
        <v>0</v>
      </c>
      <c r="AH48" s="1334">
        <f>VLOOKUP(B48,'Heavy Weapon Stocks'!B:OA,COLUMN('Heavy Weapon Stocks'!$LX$11)-1,FALSE)+IF(N48&lt;&gt;".",N48,0)</f>
        <v>0</v>
      </c>
      <c r="AI48" s="1334">
        <f>VLOOKUP(B48,'Heavy Weapon Stocks'!B:OA,COLUMN('Heavy Weapon Stocks'!$ME$11)-1,FALSE)+IF(O48&lt;&gt;".",O48,0)</f>
        <v>20</v>
      </c>
      <c r="AJ48" s="1334">
        <f>VLOOKUP(B48,'Heavy Weapon Stocks'!B:OA,COLUMN('Heavy Weapon Stocks'!$NK$11)-1,FALSE)+IF(P48&lt;&gt;".",P48,0)</f>
        <v>0</v>
      </c>
      <c r="AK48" s="410"/>
      <c r="AL48" s="25">
        <f>SUMIFS('Bilateral Assistance, MAIN DATA'!$M:$M,'Bilateral Assistance, MAIN DATA'!$B:$B,'Share, Heavy Weapons to Ukraine'!$B48,'Bilateral Assistance, MAIN DATA'!$AO:$AO,'Share, Heavy Weapons to Ukraine'!AL$11)</f>
        <v>0</v>
      </c>
      <c r="AM48" s="25">
        <f>SUMIFS('Bilateral Assistance, MAIN DATA'!$M:$M,'Bilateral Assistance, MAIN DATA'!$B:$B,'Share, Heavy Weapons to Ukraine'!$B48,'Bilateral Assistance, MAIN DATA'!$AO:$AO,'Share, Heavy Weapons to Ukraine'!AM$11)</f>
        <v>0</v>
      </c>
      <c r="AN48" s="25">
        <f>SUMIFS('Bilateral Assistance, MAIN DATA'!$M:$M,'Bilateral Assistance, MAIN DATA'!$B:$B,'Share, Heavy Weapons to Ukraine'!$B48,'Bilateral Assistance, MAIN DATA'!$AO:$AO,'Share, Heavy Weapons to Ukraine'!AN$11)</f>
        <v>0</v>
      </c>
      <c r="AO48" s="25">
        <f>SUMIFS('Bilateral Assistance, MAIN DATA'!$M:$M,'Bilateral Assistance, MAIN DATA'!$B:$B,'Share, Heavy Weapons to Ukraine'!$B48,'Bilateral Assistance, MAIN DATA'!$AO:$AO,'Share, Heavy Weapons to Ukraine'!AO$11)</f>
        <v>0</v>
      </c>
      <c r="AP48" s="25">
        <f>SUMIFS('Bilateral Assistance, MAIN DATA'!$M:$M,'Bilateral Assistance, MAIN DATA'!$B:$B,'Share, Heavy Weapons to Ukraine'!$B48,'Bilateral Assistance, MAIN DATA'!$AO:$AO,'Share, Heavy Weapons to Ukraine'!AP$11)</f>
        <v>0</v>
      </c>
      <c r="AQ48" s="25">
        <f t="shared" si="1"/>
        <v>0</v>
      </c>
      <c r="AR48" s="25">
        <f>SUMIFS('Bilateral Assistance, MAIN DATA'!$M:$M,'Bilateral Assistance, MAIN DATA'!$B:$B,'Share, Heavy Weapons to Ukraine'!$B48,'Bilateral Assistance, MAIN DATA'!$AO:$AO,"155mm howitzer")+SUMIFS('Bilateral Assistance, MAIN DATA'!$M:$M,'Bilateral Assistance, MAIN DATA'!$B:$B,'Share, Heavy Weapons to Ukraine'!$B48,'Bilateral Assistance, MAIN DATA'!$AO:$AO,"152mm howitzer")</f>
        <v>0</v>
      </c>
      <c r="AS48" s="25">
        <f>SUMIFS('Bilateral Assistance, MAIN DATA'!$M:$M,'Bilateral Assistance, MAIN DATA'!$B:$B,'Share, Heavy Weapons to Ukraine'!$B48,'Bilateral Assistance, MAIN DATA'!$AO:$AO,"122mm MLRS")+SUMIFS('Bilateral Assistance, MAIN DATA'!$M:$M,'Bilateral Assistance, MAIN DATA'!$B:$B,'Share, Heavy Weapons to Ukraine'!$B48,'Bilateral Assistance, MAIN DATA'!$AO:$AO,"127mm MLRS")+SUMIFS('Bilateral Assistance, MAIN DATA'!$M:$M,'Bilateral Assistance, MAIN DATA'!$B:$B,'Share, Heavy Weapons to Ukraine'!$B48,'Bilateral Assistance, MAIN DATA'!$AO:$AO,"227mm MLRS")</f>
        <v>0</v>
      </c>
      <c r="AT48" s="25">
        <f>SUMIFS('Bilateral Assistance, MAIN DATA'!$M:$M,'Bilateral Assistance, MAIN DATA'!$B:$B,'Share, Heavy Weapons to Ukraine'!$B48,'Bilateral Assistance, MAIN DATA'!$AO:$AO,'Share, Heavy Weapons to Ukraine'!AT$11)</f>
        <v>0</v>
      </c>
      <c r="AU48" s="25">
        <f>SUMIFS('Bilateral Assistance, MAIN DATA'!$M:$M,'Bilateral Assistance, MAIN DATA'!$B:$B,'Share, Heavy Weapons to Ukraine'!$B48,'Bilateral Assistance, MAIN DATA'!$AO:$AO,'Share, Heavy Weapons to Ukraine'!AU$11)</f>
        <v>0</v>
      </c>
      <c r="AV48" s="25">
        <f>SUMIFS('Bilateral Assistance, MAIN DATA'!$M:$M,'Bilateral Assistance, MAIN DATA'!$B:$B,'Share, Heavy Weapons to Ukraine'!$B48,'Bilateral Assistance, MAIN DATA'!$AO:$AO,'Share, Heavy Weapons to Ukraine'!AV$11)</f>
        <v>0</v>
      </c>
      <c r="AW48" s="25">
        <f>SUMIFS('Bilateral Assistance, MAIN DATA'!$M:$M,'Bilateral Assistance, MAIN DATA'!$B:$B,'Share, Heavy Weapons to Ukraine'!$B48,'Bilateral Assistance, MAIN DATA'!$AO:$AO,'Share, Heavy Weapons to Ukraine'!AW$11)</f>
        <v>0</v>
      </c>
      <c r="AX48" s="25">
        <f>SUMIFS('Bilateral Assistance, MAIN DATA'!$M:$M,'Bilateral Assistance, MAIN DATA'!$B:$B,'Share, Heavy Weapons to Ukraine'!$B48,'Bilateral Assistance, MAIN DATA'!$AO:$AO,'Share, Heavy Weapons to Ukraine'!AX$11)</f>
        <v>0</v>
      </c>
      <c r="AY48" s="410"/>
      <c r="AZ48" s="25">
        <f>SUMIFS('Bilateral Assistance, MAIN DATA'!$N:$N,'Bilateral Assistance, MAIN DATA'!$B:$B,'Share, Heavy Weapons to Ukraine'!$B48,'Bilateral Assistance, MAIN DATA'!$AO:$AO,'Share, Heavy Weapons to Ukraine'!AZ$11)</f>
        <v>0</v>
      </c>
      <c r="BA48" s="25">
        <f>SUMIFS('Bilateral Assistance, MAIN DATA'!$N:$N,'Bilateral Assistance, MAIN DATA'!$B:$B,'Share, Heavy Weapons to Ukraine'!$B48,'Bilateral Assistance, MAIN DATA'!$AO:$AO,'Share, Heavy Weapons to Ukraine'!BA$11)</f>
        <v>0</v>
      </c>
      <c r="BB48" s="25">
        <f>SUMIFS('Bilateral Assistance, MAIN DATA'!$N:$N,'Bilateral Assistance, MAIN DATA'!$B:$B,'Share, Heavy Weapons to Ukraine'!$B48,'Bilateral Assistance, MAIN DATA'!$AO:$AO,'Share, Heavy Weapons to Ukraine'!BB$11)</f>
        <v>0</v>
      </c>
      <c r="BC48" s="25">
        <f>SUMIFS('Bilateral Assistance, MAIN DATA'!$N:$N,'Bilateral Assistance, MAIN DATA'!$B:$B,'Share, Heavy Weapons to Ukraine'!$B48,'Bilateral Assistance, MAIN DATA'!$AO:$AO,'Share, Heavy Weapons to Ukraine'!BC$11)</f>
        <v>0</v>
      </c>
      <c r="BD48" s="25">
        <f>SUMIFS('Bilateral Assistance, MAIN DATA'!$N:$N,'Bilateral Assistance, MAIN DATA'!$B:$B,'Share, Heavy Weapons to Ukraine'!$B48,'Bilateral Assistance, MAIN DATA'!$AO:$AO,'Share, Heavy Weapons to Ukraine'!BD$11)</f>
        <v>0</v>
      </c>
      <c r="BE48" s="25">
        <f t="shared" si="2"/>
        <v>0</v>
      </c>
      <c r="BF48" s="25">
        <f>SUMIFS('Bilateral Assistance, MAIN DATA'!$N:$N,'Bilateral Assistance, MAIN DATA'!$B:$B,'Share, Heavy Weapons to Ukraine'!$B48,'Bilateral Assistance, MAIN DATA'!$AO:$AO,"155mm howitzer")+SUMIFS('Bilateral Assistance, MAIN DATA'!$N:$N,'Bilateral Assistance, MAIN DATA'!$B:$B,'Share, Heavy Weapons to Ukraine'!$B48,'Bilateral Assistance, MAIN DATA'!$AO:$AO,"152mm howitzer")</f>
        <v>0</v>
      </c>
      <c r="BG48" s="25">
        <f>SUMIFS('Bilateral Assistance, MAIN DATA'!$N:$N,'Bilateral Assistance, MAIN DATA'!$B:$B,'Share, Heavy Weapons to Ukraine'!$B48,'Bilateral Assistance, MAIN DATA'!$AO:$AO,"122mm MLRS")+SUMIFS('Bilateral Assistance, MAIN DATA'!$N:$N,'Bilateral Assistance, MAIN DATA'!$B:$B,'Share, Heavy Weapons to Ukraine'!$B48,'Bilateral Assistance, MAIN DATA'!$AO:$AO,"127mm MLRS")+SUMIFS('Bilateral Assistance, MAIN DATA'!$N:$N,'Bilateral Assistance, MAIN DATA'!$B:$B,'Share, Heavy Weapons to Ukraine'!$B48,'Bilateral Assistance, MAIN DATA'!$AO:$AO,"227mm MLRS")</f>
        <v>0</v>
      </c>
      <c r="BH48" s="25">
        <f>SUMIFS('Bilateral Assistance, MAIN DATA'!$N:$N,'Bilateral Assistance, MAIN DATA'!$B:$B,'Share, Heavy Weapons to Ukraine'!$B48,'Bilateral Assistance, MAIN DATA'!$AO:$AO,'Share, Heavy Weapons to Ukraine'!BH$11)</f>
        <v>0</v>
      </c>
      <c r="BI48" s="25">
        <f>SUMIFS('Bilateral Assistance, MAIN DATA'!$N:$N,'Bilateral Assistance, MAIN DATA'!$B:$B,'Share, Heavy Weapons to Ukraine'!$B48,'Bilateral Assistance, MAIN DATA'!$AO:$AO,'Share, Heavy Weapons to Ukraine'!BI$11)</f>
        <v>0</v>
      </c>
      <c r="BJ48" s="25">
        <f>SUMIFS('Bilateral Assistance, MAIN DATA'!$N:$N,'Bilateral Assistance, MAIN DATA'!$B:$B,'Share, Heavy Weapons to Ukraine'!$B48,'Bilateral Assistance, MAIN DATA'!$AO:$AO,'Share, Heavy Weapons to Ukraine'!BJ$11)</f>
        <v>0</v>
      </c>
      <c r="BK48" s="25">
        <f>SUMIFS('Bilateral Assistance, MAIN DATA'!$N:$N,'Bilateral Assistance, MAIN DATA'!$B:$B,'Share, Heavy Weapons to Ukraine'!$B48,'Bilateral Assistance, MAIN DATA'!$AO:$AO,'Share, Heavy Weapons to Ukraine'!BK$11)</f>
        <v>0</v>
      </c>
      <c r="BL48" s="25">
        <f>SUMIFS('Bilateral Assistance, MAIN DATA'!$N:$N,'Bilateral Assistance, MAIN DATA'!$B:$B,'Share, Heavy Weapons to Ukraine'!$B48,'Bilateral Assistance, MAIN DATA'!$AO:$AO,'Share, Heavy Weapons to Ukraine'!BL$11)</f>
        <v>0</v>
      </c>
      <c r="BM48" s="410"/>
      <c r="BN48" s="261">
        <f>IF(VLOOKUP($B48,$B:W,COLUMN(W47)-1,FALSE)&lt;&gt;0,VLOOKUP($B48,$B:AL,COLUMN(AL47)-1,FALSE)/VLOOKUP($B48,$B:W,COLUMN(W47)-1,FALSE),IF(VLOOKUP($B48,$B:AL,COLUMN(AL47)-1,FALSE)&lt;&gt;0,"unknown",0))</f>
        <v>0</v>
      </c>
      <c r="BO48" s="261">
        <f>IF(VLOOKUP($B48,$B:X,COLUMN(X47)-1,FALSE)&lt;&gt;0,VLOOKUP($B48,$B:AM,COLUMN(AM47)-1,FALSE)/VLOOKUP($B48,$B:X,COLUMN(X47)-1,FALSE),IF(VLOOKUP($B48,$B:AM,COLUMN(AM47)-1,FALSE)&lt;&gt;0,"unknown",0))</f>
        <v>0</v>
      </c>
      <c r="BP48" s="261">
        <f>IF(VLOOKUP($B48,$B:Y,COLUMN(Y47)-1,FALSE)&lt;&gt;0,VLOOKUP($B48,$B:AN,COLUMN(AN47)-1,FALSE)/VLOOKUP($B48,$B:Y,COLUMN(Y47)-1,FALSE),IF(VLOOKUP($B48,$B:AN,COLUMN(AN47)-1,FALSE)&lt;&gt;0,"unknown",0))</f>
        <v>0</v>
      </c>
      <c r="BQ48" s="261">
        <f>IF(VLOOKUP($B48,$B:Z,COLUMN(Z47)-1,FALSE)&lt;&gt;0,VLOOKUP($B48,$B:AO,COLUMN(AO47)-1,FALSE)/VLOOKUP($B48,$B:Z,COLUMN(Z47)-1,FALSE),IF(VLOOKUP($B48,$B:AO,COLUMN(AO47)-1,FALSE)&lt;&gt;0,"unknown",0))</f>
        <v>0</v>
      </c>
      <c r="BR48" s="261">
        <f>IF(VLOOKUP($B48,$B:AA,COLUMN(AA47)-1,FALSE)&lt;&gt;0,VLOOKUP($B48,$B:AP,COLUMN(AP47)-1,FALSE)/VLOOKUP($B48,$B:AA,COLUMN(AA47)-1,FALSE),IF(VLOOKUP($B48,$B:AP,COLUMN(AP47)-1,FALSE)&lt;&gt;0,"unknown",0))</f>
        <v>0</v>
      </c>
      <c r="BS48" s="261">
        <f>IF(VLOOKUP($B48,$B:AB,COLUMN(AB47)-1,FALSE)&lt;&gt;0,VLOOKUP($B48,$B:AQ,COLUMN(AQ47)-1,FALSE)/VLOOKUP($B48,$B:AB,COLUMN(AB47)-1,FALSE),IF(VLOOKUP($B48,$B:AQ,COLUMN(AQ47)-1,FALSE)&lt;&gt;0,"unknown",0))</f>
        <v>0</v>
      </c>
      <c r="BT48" s="261">
        <f>IF(VLOOKUP($B48,$B:AC,COLUMN(AC47)-1,FALSE)&lt;&gt;0,VLOOKUP($B48,$B:AR,COLUMN(AR47)-1,FALSE)/VLOOKUP($B48,$B:AC,COLUMN(AC47)-1,FALSE),IF(VLOOKUP($B48,$B:AR,COLUMN(AR47)-1,FALSE)&lt;&gt;0,"unknown",0))</f>
        <v>0</v>
      </c>
      <c r="BU48" s="261">
        <f>IF(VLOOKUP($B48,$B:AD,COLUMN(AD47)-1,FALSE)&lt;&gt;0,VLOOKUP($B48,$B:AS,COLUMN(AS47)-1,FALSE)/VLOOKUP($B48,$B:AD,COLUMN(AD47)-1,FALSE),IF(VLOOKUP($B48,$B:AS,COLUMN(AS47)-1,FALSE)&lt;&gt;0,"unknown",0))</f>
        <v>0</v>
      </c>
      <c r="BV48" s="261">
        <f>IF(VLOOKUP($B48,$B:AE,COLUMN(AE47)-1,FALSE)&lt;&gt;0,VLOOKUP($B48,$B:AT,COLUMN(AT47)-1,FALSE)/VLOOKUP($B48,$B:AE,COLUMN(AE47)-1,FALSE),IF(VLOOKUP($B48,$B:AT,COLUMN(AT47)-1,FALSE)&lt;&gt;0,"unknown",0))</f>
        <v>0</v>
      </c>
      <c r="BW48" s="261">
        <f>IF(VLOOKUP($B48,$B:AG,COLUMN(AG47)-1,FALSE)&lt;&gt;0,VLOOKUP($B48,$B:AU,COLUMN(AU47)-1,FALSE)/VLOOKUP($B48,$B:AG,COLUMN(AG47)-1,FALSE),IF(VLOOKUP($B48,$B:AU,COLUMN(AU47)-1,FALSE)&lt;&gt;0,"unknown",0))</f>
        <v>0</v>
      </c>
      <c r="BX48" s="261">
        <f>IF(VLOOKUP($B48,$B:AH,COLUMN(AH47)-1,FALSE)&lt;&gt;0,VLOOKUP($B48,$B:AV,COLUMN(AV47)-1,FALSE)/VLOOKUP($B48,$B:AH,COLUMN(AH47)-1,FALSE),IF(VLOOKUP($B48,$B:AV,COLUMN(AV47)-1,FALSE)&lt;&gt;0,"unknown",0))</f>
        <v>0</v>
      </c>
      <c r="BY48" s="261">
        <f>IF(VLOOKUP($B48,$B:AI,COLUMN(AI47)-1,FALSE)&lt;&gt;0,VLOOKUP($B48,$B:AW,COLUMN(AW47)-1,FALSE)/VLOOKUP($B48,$B:AI,COLUMN(AI47)-1,FALSE),IF(VLOOKUP($B48,$B:AW,COLUMN(AW47)-1,FALSE)&lt;&gt;0,"unknown",0))</f>
        <v>0</v>
      </c>
      <c r="BZ48" s="261">
        <f>IF(VLOOKUP($B48,$B:AJ,COLUMN(AJ47)-1,FALSE)&lt;&gt;0,VLOOKUP($B48,$B:AX,COLUMN(AX47)-1,FALSE)/VLOOKUP($B48,$B:AJ,COLUMN(AJ47)-1,FALSE),IF(VLOOKUP($B48,$B:AX,COLUMN(AX47)-1,FALSE)&lt;&gt;0,"unknown",0))</f>
        <v>0</v>
      </c>
      <c r="CA48" s="410"/>
      <c r="CB48" s="2">
        <f>IF(VLOOKUP($B48,$B:AM,COLUMN(W47)-1,FALSE)&lt;&gt;0,VLOOKUP($B48,$B:BA,COLUMN(AZ47)-1,FALSE)/VLOOKUP($B48,$B:AM,COLUMN(W47)-1,FALSE),IF(VLOOKUP($B48,$B:BA,COLUMN(AZ47)-1,FALSE)&lt;&gt;0,"unknown",0))</f>
        <v>0</v>
      </c>
      <c r="CC48" s="2">
        <f>IF(VLOOKUP($B48,$B:AN,COLUMN(X47)-1,FALSE)&lt;&gt;0,VLOOKUP($B48,$B:BB,COLUMN(BA47)-1,FALSE)/VLOOKUP($B48,$B:AN,COLUMN(X47)-1,FALSE),IF(VLOOKUP($B48,$B:BB,COLUMN(BA47)-1,FALSE)&lt;&gt;0,"unknown",0))</f>
        <v>0</v>
      </c>
      <c r="CD48" s="2">
        <f>IF(VLOOKUP($B48,$B:AO,COLUMN(Y47)-1,FALSE)&lt;&gt;0,VLOOKUP($B48,$B:BC,COLUMN(BB47)-1,FALSE)/VLOOKUP($B48,$B:AO,COLUMN(Y47)-1,FALSE),IF(VLOOKUP($B48,$B:BC,COLUMN(BB47)-1,FALSE)&lt;&gt;0,"unknown",0))</f>
        <v>0</v>
      </c>
      <c r="CE48" s="2">
        <f>IF(VLOOKUP($B48,$B:AP,COLUMN(Z47)-1,FALSE)&lt;&gt;0,VLOOKUP($B48,$B:BD,COLUMN(BC47)-1,FALSE)/VLOOKUP($B48,$B:AP,COLUMN(Z47)-1,FALSE),IF(VLOOKUP($B48,$B:BD,COLUMN(BC47)-1,FALSE)&lt;&gt;0,"unknown",0))</f>
        <v>0</v>
      </c>
      <c r="CF48" s="2">
        <f>IF(VLOOKUP($B48,$B:AR,COLUMN(AA47)-1,FALSE)&lt;&gt;0,VLOOKUP($B48,$B:BF,COLUMN(BD47)-1,FALSE)/VLOOKUP($B48,$B:AR,COLUMN(AA47)-1,FALSE),IF(VLOOKUP($B48,$B:BF,COLUMN(BD47)-1,FALSE)&lt;&gt;0,"unknown",0))</f>
        <v>0</v>
      </c>
      <c r="CG48" s="2">
        <f>IF(VLOOKUP($B48,$B:AS,COLUMN(AB47)-1,FALSE)&lt;&gt;0,VLOOKUP($B48,$B:BG,COLUMN(BE47)-1,FALSE)/VLOOKUP($B48,$B:AS,COLUMN(AB47)-1,FALSE),IF(VLOOKUP($B48,$B:BG,COLUMN(BE47)-1,FALSE)&lt;&gt;0,"unknown",0))</f>
        <v>0</v>
      </c>
      <c r="CH48" s="2">
        <f>IF(VLOOKUP($B48,$B:AS,COLUMN(AC47)-1,FALSE)&lt;&gt;0,VLOOKUP($B48,$B:BG,COLUMN(BF47)-1,FALSE)/VLOOKUP($B48,$B:AS,COLUMN(AC47)-1,FALSE),IF(VLOOKUP($B48,$B:BG,COLUMN(BF47)-1,FALSE)&lt;&gt;0,"unknown",0))</f>
        <v>0</v>
      </c>
      <c r="CI48" s="2">
        <f>IF(VLOOKUP($B48,$B:AT,COLUMN(AD47)-1,FALSE)&lt;&gt;0,VLOOKUP($B48,$B:BH,COLUMN(BG47)-1,FALSE)/VLOOKUP($B48,$B:AT,COLUMN(AD47)-1,FALSE),IF(VLOOKUP($B48,$B:BH,COLUMN(BG47)-1,FALSE)&lt;&gt;0,"unknown",0))</f>
        <v>0</v>
      </c>
      <c r="CJ48" s="2">
        <f>IF(VLOOKUP($B48,$B:AT,COLUMN(AE47)-1,FALSE)&lt;&gt;0,VLOOKUP($B48,$B:BH,COLUMN(BH47)-1,FALSE)/VLOOKUP($B48,$B:AT,COLUMN(AE47)-1,FALSE),IF(VLOOKUP($B48,$B:BH,COLUMN(BH47)-1,FALSE)&lt;&gt;0,"unknown",0))</f>
        <v>0</v>
      </c>
      <c r="CK48" s="2">
        <f>IF(VLOOKUP($B48,$B:AU,COLUMN(AG47)-1,FALSE)&lt;&gt;0,VLOOKUP($B48,$B:BI,COLUMN(BI47)-1,FALSE)/VLOOKUP($B48,$B:AU,COLUMN(AG47)-1,FALSE),IF(VLOOKUP($B48,$B:BI,COLUMN(BI47)-1,FALSE)&lt;&gt;0,"unknown",0))</f>
        <v>0</v>
      </c>
      <c r="CL48" s="2">
        <f>IF(VLOOKUP($B48,$B:AV,COLUMN(AH47)-1,FALSE)&lt;&gt;0,VLOOKUP($B48,$B:BJ,COLUMN(BJ47)-1,FALSE)/VLOOKUP($B48,$B:AV,COLUMN(AH47)-1,FALSE),IF(VLOOKUP($B48,$B:BJ,COLUMN(BJ47)-1,FALSE)&lt;&gt;0,"unknown",0))</f>
        <v>0</v>
      </c>
      <c r="CM48" s="2">
        <f>IF(VLOOKUP($B48,$B:AW,COLUMN(AI47)-1,FALSE)&lt;&gt;0,VLOOKUP($B48,$B:BK,COLUMN(BK47)-1,FALSE)/VLOOKUP($B48,$B:AW,COLUMN(AI47)-1,FALSE),IF(VLOOKUP($B48,$B:BK,COLUMN(BK47)-1,FALSE)&lt;&gt;0,"unknown",0))</f>
        <v>0</v>
      </c>
      <c r="CN48" s="2">
        <f>IF(VLOOKUP($B48,$B:AX,COLUMN(AJ47)-1,FALSE)&lt;&gt;0,VLOOKUP($B48,$B:BL,COLUMN(BL47)-1,FALSE)/VLOOKUP($B48,$B:AX,COLUMN(AJ47)-1,FALSE),IF(VLOOKUP($B48,$B:BL,COLUMN(BL47)-1,FALSE)&lt;&gt;0,"unknown",0))</f>
        <v>0</v>
      </c>
      <c r="CO48" s="410"/>
      <c r="CP48" s="2">
        <f>SUMIFS('Bilateral Assistance, MAIN DATA'!$M:$M,'Bilateral Assistance, MAIN DATA'!$B:$B,'Share, Heavy Weapons to Ukraine'!$B48,'Bilateral Assistance, MAIN DATA'!$AO:$AO,'Share, Heavy Weapons to Ukraine'!CP$11, 'Bilateral Assistance, MAIN DATA'!$AA:$AA,1)</f>
        <v>0</v>
      </c>
      <c r="CQ48" s="2">
        <f>SUMIFS('Bilateral Assistance, MAIN DATA'!$M:$M,'Bilateral Assistance, MAIN DATA'!$B:$B,'Share, Heavy Weapons to Ukraine'!$B48,'Bilateral Assistance, MAIN DATA'!$AO:$AO,'Share, Heavy Weapons to Ukraine'!CQ$11, 'Bilateral Assistance, MAIN DATA'!$AA:$AA,1)</f>
        <v>0</v>
      </c>
      <c r="CR48" s="2">
        <f>SUMIFS('Bilateral Assistance, MAIN DATA'!$M:$M,'Bilateral Assistance, MAIN DATA'!$B:$B,'Share, Heavy Weapons to Ukraine'!$B48,'Bilateral Assistance, MAIN DATA'!$AO:$AO,'Share, Heavy Weapons to Ukraine'!CR$11, 'Bilateral Assistance, MAIN DATA'!$AA:$AA,1)</f>
        <v>0</v>
      </c>
      <c r="CS48" s="2">
        <f>SUMIFS('Bilateral Assistance, MAIN DATA'!$M:$M,'Bilateral Assistance, MAIN DATA'!$B:$B,'Share, Heavy Weapons to Ukraine'!$B48,'Bilateral Assistance, MAIN DATA'!$AO:$AO,'Share, Heavy Weapons to Ukraine'!CS$11, 'Bilateral Assistance, MAIN DATA'!$AA:$AA,1)</f>
        <v>0</v>
      </c>
      <c r="CT48" s="410"/>
      <c r="CU48" s="2">
        <f>SUMIFS('Bilateral Assistance, MAIN DATA'!$N:$N,'Bilateral Assistance, MAIN DATA'!$B:$B,'Share, Heavy Weapons to Ukraine'!$B48,'Bilateral Assistance, MAIN DATA'!$AO:$AO,'Share, Heavy Weapons to Ukraine'!CU$11, 'Bilateral Assistance, MAIN DATA'!$AA:$AA,1)</f>
        <v>0</v>
      </c>
      <c r="CV48" s="2">
        <f>SUMIFS('Bilateral Assistance, MAIN DATA'!$N:$N,'Bilateral Assistance, MAIN DATA'!$B:$B,'Share, Heavy Weapons to Ukraine'!$B48,'Bilateral Assistance, MAIN DATA'!$AO:$AO,'Share, Heavy Weapons to Ukraine'!CV$11, 'Bilateral Assistance, MAIN DATA'!$AA:$AA,1)</f>
        <v>0</v>
      </c>
      <c r="CW48" s="2">
        <f>SUMIFS('Bilateral Assistance, MAIN DATA'!$N:$N,'Bilateral Assistance, MAIN DATA'!$B:$B,'Share, Heavy Weapons to Ukraine'!$B48,'Bilateral Assistance, MAIN DATA'!$AO:$AO,'Share, Heavy Weapons to Ukraine'!CW$11, 'Bilateral Assistance, MAIN DATA'!$AA:$AA,1)</f>
        <v>0</v>
      </c>
      <c r="CX48" s="2">
        <f>SUMIFS('Bilateral Assistance, MAIN DATA'!$N:$N,'Bilateral Assistance, MAIN DATA'!$B:$B,'Share, Heavy Weapons to Ukraine'!$B48,'Bilateral Assistance, MAIN DATA'!$AO:$AO,'Share, Heavy Weapons to Ukraine'!CX$11, 'Bilateral Assistance, MAIN DATA'!$AA:$AA,1)</f>
        <v>0</v>
      </c>
    </row>
    <row r="49" spans="2:102" ht="15.6">
      <c r="E49" s="410"/>
      <c r="Q49" s="569"/>
      <c r="R49" s="569"/>
      <c r="S49" s="569"/>
      <c r="T49" s="569"/>
      <c r="U49" s="410"/>
      <c r="AK49" s="410"/>
      <c r="AS49" s="25"/>
      <c r="AY49" s="410"/>
      <c r="BG49" s="25"/>
      <c r="BM49" s="410"/>
      <c r="BN49" s="261"/>
      <c r="BO49" s="261"/>
      <c r="BP49" s="261"/>
      <c r="BQ49" s="261"/>
      <c r="BR49" s="261"/>
      <c r="BS49" s="261"/>
      <c r="BT49" s="261"/>
      <c r="BU49" s="261"/>
      <c r="BV49" s="261"/>
      <c r="BW49" s="261"/>
      <c r="BX49" s="261"/>
      <c r="BY49" s="261"/>
      <c r="BZ49" s="261"/>
      <c r="CA49" s="410"/>
      <c r="CO49" s="410"/>
      <c r="CT49" s="410"/>
    </row>
    <row r="50" spans="2:102" ht="15.6">
      <c r="E50" s="410"/>
      <c r="U50" s="410"/>
      <c r="AK50" s="410"/>
      <c r="AY50" s="410"/>
      <c r="BM50" s="410"/>
      <c r="BN50" s="261"/>
      <c r="BO50" s="261"/>
      <c r="BP50" s="261"/>
      <c r="BQ50" s="261"/>
      <c r="BR50" s="261"/>
      <c r="BS50" s="261"/>
      <c r="BT50" s="261"/>
      <c r="BU50" s="261"/>
      <c r="BV50" s="261"/>
      <c r="BW50" s="261"/>
      <c r="BX50" s="261"/>
      <c r="BY50" s="261"/>
      <c r="BZ50" s="261"/>
      <c r="CA50" s="410"/>
      <c r="CO50" s="410"/>
      <c r="CT50" s="410"/>
    </row>
    <row r="51" spans="2:102" ht="15.6">
      <c r="B51" s="412" t="s">
        <v>4700</v>
      </c>
      <c r="C51" s="412"/>
      <c r="D51" s="132"/>
      <c r="E51" s="413"/>
      <c r="F51" s="132"/>
      <c r="G51" s="132"/>
      <c r="H51" s="132"/>
      <c r="I51" s="132"/>
      <c r="J51" s="132"/>
      <c r="K51" s="132"/>
      <c r="L51" s="132"/>
      <c r="M51" s="132"/>
      <c r="N51" s="132"/>
      <c r="O51" s="132"/>
      <c r="P51" s="132"/>
      <c r="Q51" s="132"/>
      <c r="R51" s="132"/>
      <c r="S51" s="132"/>
      <c r="T51" s="132"/>
      <c r="U51" s="413"/>
      <c r="V51" s="414"/>
      <c r="W51" s="412">
        <f t="shared" ref="W51:AE51" si="4">SUMIFS(W12:W48,$C$12:$C$48,1)</f>
        <v>10931</v>
      </c>
      <c r="X51" s="412">
        <f t="shared" si="4"/>
        <v>20786</v>
      </c>
      <c r="Y51" s="412">
        <f t="shared" si="4"/>
        <v>5000</v>
      </c>
      <c r="Z51" s="412">
        <f t="shared" si="4"/>
        <v>29452</v>
      </c>
      <c r="AA51" s="412">
        <f t="shared" si="4"/>
        <v>7093</v>
      </c>
      <c r="AB51" s="412">
        <f t="shared" si="4"/>
        <v>62331</v>
      </c>
      <c r="AC51" s="412">
        <f t="shared" si="4"/>
        <v>4130.333333333333</v>
      </c>
      <c r="AD51" s="412">
        <f t="shared" si="4"/>
        <v>828</v>
      </c>
      <c r="AE51" s="412">
        <f t="shared" si="4"/>
        <v>3555</v>
      </c>
      <c r="AF51" s="412"/>
      <c r="AG51" s="412">
        <f>SUMIFS(AG12:AG48,$C$12:$C$48,1)</f>
        <v>512</v>
      </c>
      <c r="AH51" s="412">
        <f>SUMIFS(AH12:AH48,$C$12:$C$48,1)</f>
        <v>419</v>
      </c>
      <c r="AI51" s="412">
        <f>SUMIFS(AI12:AI48,$C$12:$C$48,1)</f>
        <v>106</v>
      </c>
      <c r="AJ51" s="412">
        <f>SUMIFS(AJ12:AJ48,$C$12:$C$48,1)</f>
        <v>679</v>
      </c>
      <c r="AK51" s="413"/>
      <c r="AL51" s="412">
        <f t="shared" ref="AL51:AX51" si="5">SUMIFS(AL12:AL48,$C$12:$C$48,1)</f>
        <v>106</v>
      </c>
      <c r="AM51" s="412">
        <f t="shared" si="5"/>
        <v>686</v>
      </c>
      <c r="AN51" s="412">
        <f t="shared" si="5"/>
        <v>80</v>
      </c>
      <c r="AO51" s="412">
        <f t="shared" si="5"/>
        <v>2665</v>
      </c>
      <c r="AP51" s="412">
        <f t="shared" si="5"/>
        <v>113</v>
      </c>
      <c r="AQ51" s="412">
        <f t="shared" si="5"/>
        <v>3544</v>
      </c>
      <c r="AR51" s="412">
        <f t="shared" si="5"/>
        <v>249.33333333333334</v>
      </c>
      <c r="AS51" s="412">
        <f t="shared" si="5"/>
        <v>47</v>
      </c>
      <c r="AT51" s="412">
        <f t="shared" si="5"/>
        <v>0</v>
      </c>
      <c r="AU51" s="412">
        <f t="shared" si="5"/>
        <v>1</v>
      </c>
      <c r="AV51" s="412">
        <f t="shared" si="5"/>
        <v>2</v>
      </c>
      <c r="AW51" s="412">
        <f t="shared" si="5"/>
        <v>10</v>
      </c>
      <c r="AX51" s="412">
        <f t="shared" si="5"/>
        <v>43</v>
      </c>
      <c r="AY51" s="413"/>
      <c r="AZ51" s="412">
        <f t="shared" ref="AZ51:BL51" si="6">SUMIFS(AZ12:AZ48,$C$12:$C$48,1)</f>
        <v>40.5</v>
      </c>
      <c r="BA51" s="412">
        <f t="shared" si="6"/>
        <v>376</v>
      </c>
      <c r="BB51" s="412">
        <f t="shared" si="6"/>
        <v>80</v>
      </c>
      <c r="BC51" s="412">
        <f t="shared" si="6"/>
        <v>459</v>
      </c>
      <c r="BD51" s="412">
        <f t="shared" si="6"/>
        <v>0</v>
      </c>
      <c r="BE51" s="412">
        <f t="shared" si="6"/>
        <v>915</v>
      </c>
      <c r="BF51" s="412">
        <f t="shared" si="6"/>
        <v>180</v>
      </c>
      <c r="BG51" s="412">
        <f t="shared" si="6"/>
        <v>26</v>
      </c>
      <c r="BH51" s="412">
        <f t="shared" si="6"/>
        <v>0</v>
      </c>
      <c r="BI51" s="412">
        <f t="shared" si="6"/>
        <v>0</v>
      </c>
      <c r="BJ51" s="412">
        <f t="shared" si="6"/>
        <v>0</v>
      </c>
      <c r="BK51" s="412">
        <f t="shared" si="6"/>
        <v>8</v>
      </c>
      <c r="BL51" s="412">
        <f t="shared" si="6"/>
        <v>39</v>
      </c>
      <c r="BM51" s="413"/>
      <c r="BN51" s="420">
        <f>IF(VLOOKUP($B51,$B:W,COLUMN(W50)-1,FALSE)&lt;&gt;0,VLOOKUP($B51,$B:AL,COLUMN(AL50)-1,FALSE)/VLOOKUP($B51,$B:W,COLUMN(W50)-1,FALSE),IF(VLOOKUP($B51,$B:AL,COLUMN(AL50)-1,FALSE)&lt;&gt;0,"Strange",0))</f>
        <v>9.6971914737901382E-3</v>
      </c>
      <c r="BO51" s="420">
        <f>IF(VLOOKUP($B51,$B:X,COLUMN(X50)-1,FALSE)&lt;&gt;0,VLOOKUP($B51,$B:AM,COLUMN(AM50)-1,FALSE)/VLOOKUP($B51,$B:X,COLUMN(X50)-1,FALSE),IF(VLOOKUP($B51,$B:AM,COLUMN(AM50)-1,FALSE)&lt;&gt;0,"Strange",0))</f>
        <v>3.3002982776869048E-2</v>
      </c>
      <c r="BP51" s="420">
        <f>IF(VLOOKUP($B51,$B:Y,COLUMN(Y50)-1,FALSE)&lt;&gt;0,VLOOKUP($B51,$B:AN,COLUMN(AN50)-1,FALSE)/VLOOKUP($B51,$B:Y,COLUMN(Y50)-1,FALSE),IF(VLOOKUP($B51,$B:AN,COLUMN(AN50)-1,FALSE)&lt;&gt;0,"Strange",0))</f>
        <v>1.6E-2</v>
      </c>
      <c r="BQ51" s="420">
        <f>IF(VLOOKUP($B51,$B:Z,COLUMN(Z50)-1,FALSE)&lt;&gt;0,VLOOKUP($B51,$B:AO,COLUMN(AO50)-1,FALSE)/VLOOKUP($B51,$B:Z,COLUMN(Z50)-1,FALSE),IF(VLOOKUP($B51,$B:AO,COLUMN(AO50)-1,FALSE)&lt;&gt;0,"Strange",0))</f>
        <v>9.0486214858074149E-2</v>
      </c>
      <c r="BR51" s="420">
        <f>IF(VLOOKUP($B51,$B:AA,COLUMN(AA50)-1,FALSE)&lt;&gt;0,VLOOKUP($B51,$B:AP,COLUMN(AP50)-1,FALSE)/VLOOKUP($B51,$B:AA,COLUMN(AA50)-1,FALSE),IF(VLOOKUP($B51,$B:AP,COLUMN(AP50)-1,FALSE)&lt;&gt;0,"Strange",0))</f>
        <v>1.5931199774425489E-2</v>
      </c>
      <c r="BS51" s="420">
        <f>IF(VLOOKUP($B51,$B:AB,COLUMN(AB50)-1,FALSE)&lt;&gt;0,VLOOKUP($B51,$B:AQ,COLUMN(AQ50)-1,FALSE)/VLOOKUP($B51,$B:AB,COLUMN(AB50)-1,FALSE),IF(VLOOKUP($B51,$B:AQ,COLUMN(AQ50)-1,FALSE)&lt;&gt;0,"Strange",0))</f>
        <v>5.6857743337985912E-2</v>
      </c>
      <c r="BT51" s="420">
        <f>IF(VLOOKUP($B51,$B:AC,COLUMN(AC50)-1,FALSE)&lt;&gt;0,VLOOKUP($B51,$B:AR,COLUMN(AR50)-1,FALSE)/VLOOKUP($B51,$B:AC,COLUMN(AC50)-1,FALSE),IF(VLOOKUP($B51,$B:AR,COLUMN(AR50)-1,FALSE)&lt;&gt;0,"Strange",0))</f>
        <v>6.0366394964086842E-2</v>
      </c>
      <c r="BU51" s="420">
        <f>IF(VLOOKUP($B51,$B:AD,COLUMN(AD50)-1,FALSE)&lt;&gt;0,VLOOKUP($B51,$B:AS,COLUMN(AS50)-1,FALSE)/VLOOKUP($B51,$B:AD,COLUMN(AD50)-1,FALSE),IF(VLOOKUP($B51,$B:AS,COLUMN(AS50)-1,FALSE)&lt;&gt;0,"Strange",0))</f>
        <v>5.6763285024154592E-2</v>
      </c>
      <c r="BV51" s="420">
        <f>IF(VLOOKUP($B51,$B:AE,COLUMN(AE50)-1,FALSE)&lt;&gt;0,VLOOKUP($B51,$B:AT,COLUMN(AT50)-1,FALSE)/VLOOKUP($B51,$B:AE,COLUMN(AE50)-1,FALSE),IF(VLOOKUP($B51,$B:AT,COLUMN(AT50)-1,FALSE)&lt;&gt;0,"Strange",0))</f>
        <v>0</v>
      </c>
      <c r="BW51" s="420">
        <f>IF(VLOOKUP($B51,$B:AG,COLUMN(AG50)-1,FALSE)&lt;&gt;0,VLOOKUP($B51,$B:AU,COLUMN(AU50)-1,FALSE)/VLOOKUP($B51,$B:AG,COLUMN(AG50)-1,FALSE),IF(VLOOKUP($B51,$B:AU,COLUMN(AU50)-1,FALSE)&lt;&gt;0,"Strange",0))</f>
        <v>1.953125E-3</v>
      </c>
      <c r="BX51" s="420">
        <f>IF(VLOOKUP($B51,$B:AH,COLUMN(AH50)-1,FALSE)&lt;&gt;0,VLOOKUP($B51,$B:AV,COLUMN(AV50)-1,FALSE)/VLOOKUP($B51,$B:AH,COLUMN(AH50)-1,FALSE),IF(VLOOKUP($B51,$B:AV,COLUMN(AV50)-1,FALSE)&lt;&gt;0,"unknown",0))</f>
        <v>4.7732696897374704E-3</v>
      </c>
      <c r="BY51" s="420">
        <f>IF(VLOOKUP($B51,$B:AI,COLUMN(AI50)-1,FALSE)&lt;&gt;0,VLOOKUP($B51,$B:AW,COLUMN(AW50)-1,FALSE)/VLOOKUP($B51,$B:AI,COLUMN(AI50)-1,FALSE),IF(VLOOKUP($B51,$B:AW,COLUMN(AW50)-1,FALSE)&lt;&gt;0,"Strange",0))</f>
        <v>9.4339622641509441E-2</v>
      </c>
      <c r="BZ51" s="420">
        <f>IF(VLOOKUP($B51,$B:AJ,COLUMN(AJ50)-1,FALSE)&lt;&gt;0,VLOOKUP($B51,$B:AX,COLUMN(AX50)-1,FALSE)/VLOOKUP($B51,$B:AJ,COLUMN(AJ50)-1,FALSE),IF(VLOOKUP($B51,$B:AX,COLUMN(AX50)-1,FALSE)&lt;&gt;0,"Strange",0))</f>
        <v>6.3328424153166418E-2</v>
      </c>
      <c r="CA51" s="413"/>
      <c r="CB51" s="132">
        <f>IF(VLOOKUP($B51,$B:AM,COLUMN(W50)-1,FALSE)&lt;&gt;0,VLOOKUP($B51,$B:BA,COLUMN(AZ50)-1,FALSE)/VLOOKUP($B51,$B:AM,COLUMN(W50)-1,FALSE),IF(VLOOKUP($B51,$B:BA,COLUMN(AZ50)-1,FALSE)&lt;&gt;0,"Strange",0))</f>
        <v>3.7050590064952888E-3</v>
      </c>
      <c r="CC51" s="132">
        <f>IF(VLOOKUP($B51,$B:AN,COLUMN(X50)-1,FALSE)&lt;&gt;0,VLOOKUP($B51,$B:BB,COLUMN(BA50)-1,FALSE)/VLOOKUP($B51,$B:AN,COLUMN(X50)-1,FALSE),IF(VLOOKUP($B51,$B:BB,COLUMN(BA50)-1,FALSE)&lt;&gt;0,"Strange",0))</f>
        <v>1.8089098431636679E-2</v>
      </c>
      <c r="CD51" s="132">
        <f>IF(VLOOKUP($B51,$B:AO,COLUMN(Y50)-1,FALSE)&lt;&gt;0,VLOOKUP($B51,$B:BC,COLUMN(BB50)-1,FALSE)/VLOOKUP($B51,$B:AO,COLUMN(Y50)-1,FALSE),IF(VLOOKUP($B51,$B:BC,COLUMN(BB50)-1,FALSE)&lt;&gt;0,"Strange",0))</f>
        <v>1.6E-2</v>
      </c>
      <c r="CE51" s="132">
        <f>IF(VLOOKUP($B51,$B:AP,COLUMN(Z50)-1,FALSE)&lt;&gt;0,VLOOKUP($B51,$B:BD,COLUMN(BC50)-1,FALSE)/VLOOKUP($B51,$B:AP,COLUMN(Z50)-1,FALSE),IF(VLOOKUP($B51,$B:BD,COLUMN(BC50)-1,FALSE)&lt;&gt;0,"Strange",0))</f>
        <v>1.5584680157544479E-2</v>
      </c>
      <c r="CF51" s="132">
        <f>IF(VLOOKUP($B51,$B:AR,COLUMN(AA50)-1,FALSE)&lt;&gt;0,VLOOKUP($B51,$B:BF,COLUMN(BD50)-1,FALSE)/VLOOKUP($B51,$B:AR,COLUMN(AA50)-1,FALSE),IF(VLOOKUP($B51,$B:BF,COLUMN(BD50)-1,FALSE)&lt;&gt;0,"Strange",0))</f>
        <v>0</v>
      </c>
      <c r="CG51" s="132">
        <f>IF(VLOOKUP($B51,$B:AS,COLUMN(AB50)-1,FALSE)&lt;&gt;0,VLOOKUP($B51,$B:BG,COLUMN(BE50)-1,FALSE)/VLOOKUP($B51,$B:AS,COLUMN(AB50)-1,FALSE),IF(VLOOKUP($B51,$B:BG,COLUMN(BE50)-1,FALSE)&lt;&gt;0,"Strange",0))</f>
        <v>1.4679693892284738E-2</v>
      </c>
      <c r="CH51" s="132">
        <f>IF(VLOOKUP($B51,$B:AS,COLUMN(AC50)-1,FALSE)&lt;&gt;0,VLOOKUP($B51,$B:BG,COLUMN(BF50)-1,FALSE)/VLOOKUP($B51,$B:AS,COLUMN(AC50)-1,FALSE),IF(VLOOKUP($B51,$B:BG,COLUMN(BF50)-1,FALSE)&lt;&gt;0,"Strange",0))</f>
        <v>4.3580017754822051E-2</v>
      </c>
      <c r="CI51" s="132">
        <f>IF(VLOOKUP($B51,$B:AT,COLUMN(AD50)-1,FALSE)&lt;&gt;0,VLOOKUP($B51,$B:BH,COLUMN(BG50)-1,FALSE)/VLOOKUP($B51,$B:AT,COLUMN(AD50)-1,FALSE),IF(VLOOKUP($B51,$B:BH,COLUMN(BG50)-1,FALSE)&lt;&gt;0,"Strange",0))</f>
        <v>3.140096618357488E-2</v>
      </c>
      <c r="CJ51" s="132">
        <f>IF(VLOOKUP($B51,$B:AT,COLUMN(AE50)-1,FALSE)&lt;&gt;0,VLOOKUP($B51,$B:BH,COLUMN(BH50)-1,FALSE)/VLOOKUP($B51,$B:AT,COLUMN(AE50)-1,FALSE),IF(VLOOKUP($B51,$B:BH,COLUMN(BH50)-1,FALSE)&lt;&gt;0,"Strange",0))</f>
        <v>0</v>
      </c>
      <c r="CK51" s="132">
        <f>IF(VLOOKUP($B51,$B:AU,COLUMN(AG50)-1,FALSE)&lt;&gt;0,VLOOKUP($B51,$B:BI,COLUMN(BI50)-1,FALSE)/VLOOKUP($B51,$B:AU,COLUMN(AG50)-1,FALSE),IF(VLOOKUP($B51,$B:BI,COLUMN(BI50)-1,FALSE)&lt;&gt;0,"Strange",0))</f>
        <v>0</v>
      </c>
      <c r="CL51" s="132">
        <f>IF(VLOOKUP($B51,$B:AV,COLUMN(AH50)-1,FALSE)&lt;&gt;0,VLOOKUP($B51,$B:BJ,COLUMN(BJ50)-1,FALSE)/VLOOKUP($B51,$B:AV,COLUMN(AH50)-1,FALSE),IF(VLOOKUP($B51,$B:BJ,COLUMN(BJ50)-1,FALSE)&lt;&gt;0,"Strange",0))</f>
        <v>0</v>
      </c>
      <c r="CM51" s="132">
        <f>IF(VLOOKUP($B51,$B:AW,COLUMN(AI50)-1,FALSE)&lt;&gt;0,VLOOKUP($B51,$B:BK,COLUMN(BK50)-1,FALSE)/VLOOKUP($B51,$B:AW,COLUMN(AI50)-1,FALSE),IF(VLOOKUP($B51,$B:BK,COLUMN(BK50)-1,FALSE)&lt;&gt;0,"Strange",0))</f>
        <v>7.5471698113207544E-2</v>
      </c>
      <c r="CN51" s="132">
        <f>IF(VLOOKUP($B51,$B:AX,COLUMN(AJ50)-1,FALSE)&lt;&gt;0,VLOOKUP($B51,$B:BL,COLUMN(BL50)-1,FALSE)/VLOOKUP($B51,$B:AX,COLUMN(AJ50)-1,FALSE),IF(VLOOKUP($B51,$B:BL,COLUMN(BL50)-1,FALSE)&lt;&gt;0,"Strange",0))</f>
        <v>5.7437407952871868E-2</v>
      </c>
      <c r="CO51" s="413"/>
      <c r="CP51" s="132"/>
      <c r="CQ51" s="132"/>
      <c r="CR51" s="132"/>
      <c r="CS51" s="132"/>
      <c r="CT51" s="413"/>
      <c r="CU51" s="132"/>
      <c r="CV51" s="132"/>
      <c r="CW51" s="132"/>
      <c r="CX51" s="132"/>
    </row>
    <row r="52" spans="2:102" ht="15.6">
      <c r="B52" s="415" t="s">
        <v>4699</v>
      </c>
      <c r="C52" s="415"/>
      <c r="D52" s="130"/>
      <c r="E52" s="416"/>
      <c r="F52" s="130"/>
      <c r="G52" s="130"/>
      <c r="H52" s="130"/>
      <c r="I52" s="130"/>
      <c r="J52" s="130"/>
      <c r="K52" s="130"/>
      <c r="L52" s="130"/>
      <c r="M52" s="130"/>
      <c r="N52" s="130"/>
      <c r="O52" s="130"/>
      <c r="P52" s="130"/>
      <c r="Q52" s="130"/>
      <c r="R52" s="130"/>
      <c r="S52" s="130"/>
      <c r="T52" s="130"/>
      <c r="U52" s="416"/>
      <c r="V52" s="417"/>
      <c r="W52" s="415">
        <f t="shared" ref="W52:AE52" si="7">SUMIFS(W12:W48,$D$12:$D$48,1)</f>
        <v>4641</v>
      </c>
      <c r="X52" s="415">
        <f t="shared" si="7"/>
        <v>11706</v>
      </c>
      <c r="Y52" s="415">
        <f t="shared" si="7"/>
        <v>711</v>
      </c>
      <c r="Z52" s="415">
        <f t="shared" si="7"/>
        <v>5080</v>
      </c>
      <c r="AA52" s="415">
        <f t="shared" si="7"/>
        <v>6482</v>
      </c>
      <c r="AB52" s="415">
        <f t="shared" si="7"/>
        <v>23979</v>
      </c>
      <c r="AC52" s="415">
        <f t="shared" si="7"/>
        <v>2656.666666666667</v>
      </c>
      <c r="AD52" s="415">
        <f t="shared" si="7"/>
        <v>824</v>
      </c>
      <c r="AE52" s="415">
        <f t="shared" si="7"/>
        <v>1239</v>
      </c>
      <c r="AF52" s="415"/>
      <c r="AG52" s="415">
        <f>SUMIFS(AG12:AG48,$D$12:$D$48,1)</f>
        <v>203</v>
      </c>
      <c r="AH52" s="415">
        <f>SUMIFS(AH12:AH48,$D$12:$D$48,1)</f>
        <v>112</v>
      </c>
      <c r="AI52" s="415">
        <f>SUMIFS(AI12:AI48,$D$12:$D$48,1)</f>
        <v>304</v>
      </c>
      <c r="AJ52" s="415">
        <f>SUMIFS(AJ12:AJ48,$D$12:$D$48,1)</f>
        <v>502</v>
      </c>
      <c r="AK52" s="416"/>
      <c r="AL52" s="415">
        <f t="shared" ref="AL52:AX52" si="8">SUMIFS(AL12:AL48,$D$12:$D$48,1)</f>
        <v>651.33333333333326</v>
      </c>
      <c r="AM52" s="415">
        <f t="shared" si="8"/>
        <v>335</v>
      </c>
      <c r="AN52" s="415">
        <f t="shared" si="8"/>
        <v>7</v>
      </c>
      <c r="AO52" s="415">
        <f t="shared" si="8"/>
        <v>446</v>
      </c>
      <c r="AP52" s="415">
        <f t="shared" si="8"/>
        <v>477</v>
      </c>
      <c r="AQ52" s="415">
        <f t="shared" si="8"/>
        <v>1265</v>
      </c>
      <c r="AR52" s="415">
        <f t="shared" si="8"/>
        <v>300.66666666666663</v>
      </c>
      <c r="AS52" s="415">
        <f t="shared" si="8"/>
        <v>42</v>
      </c>
      <c r="AT52" s="415">
        <f t="shared" si="8"/>
        <v>0</v>
      </c>
      <c r="AU52" s="415">
        <f t="shared" si="8"/>
        <v>5</v>
      </c>
      <c r="AV52" s="415">
        <f t="shared" si="8"/>
        <v>14</v>
      </c>
      <c r="AW52" s="415">
        <f t="shared" si="8"/>
        <v>19</v>
      </c>
      <c r="AX52" s="415">
        <f t="shared" si="8"/>
        <v>0</v>
      </c>
      <c r="AY52" s="416"/>
      <c r="AZ52" s="415">
        <f t="shared" ref="AZ52:BL52" si="9">SUMIFS(AZ12:AZ48,$D$12:$D$48,1)</f>
        <v>430.5</v>
      </c>
      <c r="BA52" s="415">
        <f t="shared" si="9"/>
        <v>220</v>
      </c>
      <c r="BB52" s="415">
        <f t="shared" si="9"/>
        <v>7</v>
      </c>
      <c r="BC52" s="415">
        <f t="shared" si="9"/>
        <v>343</v>
      </c>
      <c r="BD52" s="415">
        <f t="shared" si="9"/>
        <v>407</v>
      </c>
      <c r="BE52" s="415">
        <f t="shared" si="9"/>
        <v>977</v>
      </c>
      <c r="BF52" s="415">
        <f t="shared" si="9"/>
        <v>193</v>
      </c>
      <c r="BG52" s="415">
        <f t="shared" si="9"/>
        <v>40</v>
      </c>
      <c r="BH52" s="415">
        <f t="shared" si="9"/>
        <v>0</v>
      </c>
      <c r="BI52" s="415">
        <f t="shared" si="9"/>
        <v>3</v>
      </c>
      <c r="BJ52" s="415">
        <f t="shared" si="9"/>
        <v>8</v>
      </c>
      <c r="BK52" s="415">
        <f t="shared" si="9"/>
        <v>5</v>
      </c>
      <c r="BL52" s="415">
        <f t="shared" si="9"/>
        <v>0</v>
      </c>
      <c r="BM52" s="416"/>
      <c r="BN52" s="262">
        <f>IF(VLOOKUP($B52,$B:W,COLUMN(W51)-1,FALSE)&lt;&gt;0,VLOOKUP($B52,$B:AL,COLUMN(AL51)-1,FALSE)/VLOOKUP($B52,$B:W,COLUMN(W51)-1,FALSE),IF(VLOOKUP($B52,$B:AL,COLUMN(AL51)-1,FALSE)&lt;&gt;0,"Strange",0))</f>
        <v>0.14034331681390502</v>
      </c>
      <c r="BO52" s="262">
        <f>IF(VLOOKUP($B52,$B:X,COLUMN(X51)-1,FALSE)&lt;&gt;0,VLOOKUP($B52,$B:AM,COLUMN(AM51)-1,FALSE)/VLOOKUP($B52,$B:X,COLUMN(X51)-1,FALSE),IF(VLOOKUP($B52,$B:AM,COLUMN(AM51)-1,FALSE)&lt;&gt;0,"Strange",0))</f>
        <v>2.8617802836152402E-2</v>
      </c>
      <c r="BP52" s="262">
        <f>IF(VLOOKUP($B52,$B:Y,COLUMN(Y51)-1,FALSE)&lt;&gt;0,VLOOKUP($B52,$B:AN,COLUMN(AN51)-1,FALSE)/VLOOKUP($B52,$B:Y,COLUMN(Y51)-1,FALSE),IF(VLOOKUP($B52,$B:AN,COLUMN(AN51)-1,FALSE)&lt;&gt;0,"Strange",0))</f>
        <v>9.8452883263009851E-3</v>
      </c>
      <c r="BQ52" s="262">
        <f>IF(VLOOKUP($B52,$B:Z,COLUMN(Z51)-1,FALSE)&lt;&gt;0,VLOOKUP($B52,$B:AO,COLUMN(AO51)-1,FALSE)/VLOOKUP($B52,$B:Z,COLUMN(Z51)-1,FALSE),IF(VLOOKUP($B52,$B:AO,COLUMN(AO51)-1,FALSE)&lt;&gt;0,"Strange",0))</f>
        <v>8.7795275590551183E-2</v>
      </c>
      <c r="BR52" s="262">
        <f>IF(VLOOKUP($B52,$B:AA,COLUMN(AA51)-1,FALSE)&lt;&gt;0,VLOOKUP($B52,$B:AP,COLUMN(AP51)-1,FALSE)/VLOOKUP($B52,$B:AA,COLUMN(AA51)-1,FALSE),IF(VLOOKUP($B52,$B:AP,COLUMN(AP51)-1,FALSE)&lt;&gt;0,"Strange",0))</f>
        <v>7.3588398642394318E-2</v>
      </c>
      <c r="BS52" s="262">
        <f>IF(VLOOKUP($B52,$B:AB,COLUMN(AB51)-1,FALSE)&lt;&gt;0,VLOOKUP($B52,$B:AQ,COLUMN(AQ51)-1,FALSE)/VLOOKUP($B52,$B:AB,COLUMN(AB51)-1,FALSE),IF(VLOOKUP($B52,$B:AQ,COLUMN(AQ51)-1,FALSE)&lt;&gt;0,"Strange",0))</f>
        <v>5.2754493515159095E-2</v>
      </c>
      <c r="BT52" s="262">
        <f>IF(VLOOKUP($B52,$B:AC,COLUMN(AC51)-1,FALSE)&lt;&gt;0,VLOOKUP($B52,$B:AR,COLUMN(AR51)-1,FALSE)/VLOOKUP($B52,$B:AC,COLUMN(AC51)-1,FALSE),IF(VLOOKUP($B52,$B:AR,COLUMN(AR51)-1,FALSE)&lt;&gt;0,"Strange",0))</f>
        <v>0.11317440401505643</v>
      </c>
      <c r="BU52" s="262">
        <f>IF(VLOOKUP($B52,$B:AD,COLUMN(AD51)-1,FALSE)&lt;&gt;0,VLOOKUP($B52,$B:AS,COLUMN(AS51)-1,FALSE)/VLOOKUP($B52,$B:AD,COLUMN(AD51)-1,FALSE),IF(VLOOKUP($B52,$B:AS,COLUMN(AS51)-1,FALSE)&lt;&gt;0,"Strange",0))</f>
        <v>5.0970873786407765E-2</v>
      </c>
      <c r="BV52" s="262">
        <f>IF(VLOOKUP($B52,$B:AE,COLUMN(AE51)-1,FALSE)&lt;&gt;0,VLOOKUP($B52,$B:AT,COLUMN(AT51)-1,FALSE)/VLOOKUP($B52,$B:AE,COLUMN(AE51)-1,FALSE),IF(VLOOKUP($B52,$B:AT,COLUMN(AT51)-1,FALSE)&lt;&gt;0,"Strange",0))</f>
        <v>0</v>
      </c>
      <c r="BW52" s="262">
        <f>IF(VLOOKUP($B52,$B:AG,COLUMN(AG51)-1,FALSE)&lt;&gt;0,VLOOKUP($B52,$B:AU,COLUMN(AU51)-1,FALSE)/VLOOKUP($B52,$B:AG,COLUMN(AG51)-1,FALSE),IF(VLOOKUP($B52,$B:AU,COLUMN(AU51)-1,FALSE)&lt;&gt;0,"Strange",0))</f>
        <v>2.4630541871921183E-2</v>
      </c>
      <c r="BX52" s="262">
        <f>IF(VLOOKUP($B52,$B:AH,COLUMN(AH51)-1,FALSE)&lt;&gt;0,VLOOKUP($B52,$B:AV,COLUMN(AV51)-1,FALSE)/VLOOKUP($B52,$B:AH,COLUMN(AH51)-1,FALSE),IF(VLOOKUP($B52,$B:AV,COLUMN(AV51)-1,FALSE)&lt;&gt;0,"Strange",0))</f>
        <v>0.125</v>
      </c>
      <c r="BY52" s="262">
        <f>IF(VLOOKUP($B52,$B:AI,COLUMN(AI51)-1,FALSE)&lt;&gt;0,VLOOKUP($B52,$B:AW,COLUMN(AW51)-1,FALSE)/VLOOKUP($B52,$B:AI,COLUMN(AI51)-1,FALSE),IF(VLOOKUP($B52,$B:AW,COLUMN(AW51)-1,FALSE)&lt;&gt;0,"Strange",0))</f>
        <v>6.25E-2</v>
      </c>
      <c r="BZ52" s="262">
        <f>IF(VLOOKUP($B52,$B:AJ,COLUMN(AJ51)-1,FALSE)&lt;&gt;0,VLOOKUP($B52,$B:AX,COLUMN(AX51)-1,FALSE)/VLOOKUP($B52,$B:AJ,COLUMN(AJ51)-1,FALSE),IF(VLOOKUP($B52,$B:AX,COLUMN(AX51)-1,FALSE)&lt;&gt;0,"Strange",0))</f>
        <v>0</v>
      </c>
      <c r="CA52" s="416"/>
      <c r="CB52" s="130">
        <f>IF(VLOOKUP($B52,$B:AM,COLUMN(W51)-1,FALSE)&lt;&gt;0,VLOOKUP($B52,$B:BA,COLUMN(AZ51)-1,FALSE)/VLOOKUP($B52,$B:AM,COLUMN(W51)-1,FALSE),IF(VLOOKUP($B52,$B:BA,COLUMN(AZ51)-1,FALSE)&lt;&gt;0,"Strange",0))</f>
        <v>9.2760180995475117E-2</v>
      </c>
      <c r="CC52" s="130">
        <f>IF(VLOOKUP($B52,$B:AN,COLUMN(X51)-1,FALSE)&lt;&gt;0,VLOOKUP($B52,$B:BB,COLUMN(BA51)-1,FALSE)/VLOOKUP($B52,$B:AN,COLUMN(X51)-1,FALSE),IF(VLOOKUP($B52,$B:BB,COLUMN(BA51)-1,FALSE)&lt;&gt;0,"Strange",0))</f>
        <v>1.8793780967025456E-2</v>
      </c>
      <c r="CD52" s="130">
        <f>IF(VLOOKUP($B52,$B:AO,COLUMN(Y51)-1,FALSE)&lt;&gt;0,VLOOKUP($B52,$B:BC,COLUMN(BB51)-1,FALSE)/VLOOKUP($B52,$B:AO,COLUMN(Y51)-1,FALSE),IF(VLOOKUP($B52,$B:BC,COLUMN(BB51)-1,FALSE)&lt;&gt;0,"Strange",0))</f>
        <v>9.8452883263009851E-3</v>
      </c>
      <c r="CE52" s="130">
        <f>IF(VLOOKUP($B52,$B:AP,COLUMN(Z51)-1,FALSE)&lt;&gt;0,VLOOKUP($B52,$B:BD,COLUMN(BC51)-1,FALSE)/VLOOKUP($B52,$B:AP,COLUMN(Z51)-1,FALSE),IF(VLOOKUP($B52,$B:BD,COLUMN(BC51)-1,FALSE)&lt;&gt;0,"Strange",0))</f>
        <v>6.7519685039370073E-2</v>
      </c>
      <c r="CF52" s="130">
        <f>IF(VLOOKUP($B52,$B:AR,COLUMN(AA51)-1,FALSE)&lt;&gt;0,VLOOKUP($B52,$B:BF,COLUMN(BD51)-1,FALSE)/VLOOKUP($B52,$B:AR,COLUMN(AA51)-1,FALSE),IF(VLOOKUP($B52,$B:BF,COLUMN(BD51)-1,FALSE)&lt;&gt;0,"Strange",0))</f>
        <v>6.2789262573279853E-2</v>
      </c>
      <c r="CG52" s="130">
        <f>IF(VLOOKUP($B52,$B:AS,COLUMN(AB51)-1,FALSE)&lt;&gt;0,VLOOKUP($B52,$B:BG,COLUMN(BE51)-1,FALSE)/VLOOKUP($B52,$B:AS,COLUMN(AB51)-1,FALSE),IF(VLOOKUP($B52,$B:BG,COLUMN(BE51)-1,FALSE)&lt;&gt;0,"Strange",0))</f>
        <v>4.0743984319612993E-2</v>
      </c>
      <c r="CH52" s="130">
        <f>IF(VLOOKUP($B52,$B:AS,COLUMN(AC51)-1,FALSE)&lt;&gt;0,VLOOKUP($B52,$B:BG,COLUMN(BF51)-1,FALSE)/VLOOKUP($B52,$B:AS,COLUMN(AC51)-1,FALSE),IF(VLOOKUP($B52,$B:BG,COLUMN(BF51)-1,FALSE)&lt;&gt;0,"Strange",0))</f>
        <v>7.2647427854454188E-2</v>
      </c>
      <c r="CI52" s="130">
        <f>IF(VLOOKUP($B52,$B:AT,COLUMN(AD51)-1,FALSE)&lt;&gt;0,VLOOKUP($B52,$B:BH,COLUMN(BG51)-1,FALSE)/VLOOKUP($B52,$B:AT,COLUMN(AD51)-1,FALSE),IF(VLOOKUP($B52,$B:BH,COLUMN(BG51)-1,FALSE)&lt;&gt;0,"Strange",0))</f>
        <v>4.8543689320388349E-2</v>
      </c>
      <c r="CJ52" s="130">
        <f>IF(VLOOKUP($B52,$B:AT,COLUMN(AE51)-1,FALSE)&lt;&gt;0,VLOOKUP($B52,$B:BH,COLUMN(BH51)-1,FALSE)/VLOOKUP($B52,$B:AT,COLUMN(AE51)-1,FALSE),IF(VLOOKUP($B52,$B:BH,COLUMN(BH51)-1,FALSE)&lt;&gt;0,"Strange",0))</f>
        <v>0</v>
      </c>
      <c r="CK52" s="130">
        <f>IF(VLOOKUP($B52,$B:AU,COLUMN(AG51)-1,FALSE)&lt;&gt;0,VLOOKUP($B52,$B:BI,COLUMN(BI51)-1,FALSE)/VLOOKUP($B52,$B:AU,COLUMN(AG51)-1,FALSE),IF(VLOOKUP($B52,$B:BI,COLUMN(BI51)-1,FALSE)&lt;&gt;0,"Strange",0))</f>
        <v>1.4778325123152709E-2</v>
      </c>
      <c r="CL52" s="130">
        <f>IF(VLOOKUP($B52,$B:AV,COLUMN(AH51)-1,FALSE)&lt;&gt;0,VLOOKUP($B52,$B:BJ,COLUMN(BJ51)-1,FALSE)/VLOOKUP($B52,$B:AV,COLUMN(AH51)-1,FALSE),IF(VLOOKUP($B52,$B:BJ,COLUMN(BJ51)-1,FALSE)&lt;&gt;0,"Strange",0))</f>
        <v>7.1428571428571425E-2</v>
      </c>
      <c r="CM52" s="130">
        <f>IF(VLOOKUP($B52,$B:AW,COLUMN(AI51)-1,FALSE)&lt;&gt;0,VLOOKUP($B52,$B:BK,COLUMN(BK51)-1,FALSE)/VLOOKUP($B52,$B:AW,COLUMN(AI51)-1,FALSE),IF(VLOOKUP($B52,$B:BK,COLUMN(BK51)-1,FALSE)&lt;&gt;0,"Strange",0))</f>
        <v>1.6447368421052631E-2</v>
      </c>
      <c r="CN52" s="130">
        <f>IF(VLOOKUP($B52,$B:AX,COLUMN(AJ51)-1,FALSE)&lt;&gt;0,VLOOKUP($B52,$B:BL,COLUMN(BL51)-1,FALSE)/VLOOKUP($B52,$B:AX,COLUMN(AJ51)-1,FALSE),IF(VLOOKUP($B52,$B:BL,COLUMN(BL51)-1,FALSE)&lt;&gt;0,"Strange",0))</f>
        <v>0</v>
      </c>
      <c r="CO52" s="416"/>
      <c r="CP52" s="130"/>
      <c r="CQ52" s="130"/>
      <c r="CR52" s="130"/>
      <c r="CS52" s="130"/>
      <c r="CT52" s="416"/>
      <c r="CU52" s="130"/>
      <c r="CV52" s="130"/>
      <c r="CW52" s="130"/>
      <c r="CX52" s="130"/>
    </row>
  </sheetData>
  <mergeCells count="1">
    <mergeCell ref="B4:AB9"/>
  </mergeCells>
  <hyperlinks>
    <hyperlink ref="R13" r:id="rId1" xr:uid="{AE14EBFD-E4C2-4088-A46F-56B7A3B75BE4}"/>
    <hyperlink ref="S13" r:id="rId2" xr:uid="{642FC772-CE26-4EB8-9D93-3CDD00B8562B}"/>
    <hyperlink ref="R15" r:id="rId3" xr:uid="{37000C2C-A0D2-4CEB-BEF9-C8D9F1322813}"/>
    <hyperlink ref="S26" r:id="rId4" xr:uid="{09614170-84A0-460D-B44F-67A8970DB037}"/>
    <hyperlink ref="R26" r:id="rId5" xr:uid="{3E447AE7-75B1-4BF2-9B84-FEC5D6FC7883}"/>
    <hyperlink ref="R30" r:id="rId6" xr:uid="{67A35719-618E-493B-A5F7-27E0DF3C3BA8}"/>
    <hyperlink ref="R31" r:id="rId7" xr:uid="{6BAC9F67-3665-4CA3-9989-09D83F9D5D48}"/>
    <hyperlink ref="S36" r:id="rId8" xr:uid="{1CBE86ED-72C4-48EC-97FE-DB5A83927DFC}"/>
    <hyperlink ref="R20" r:id="rId9" xr:uid="{3E4D3C13-D085-47AB-A404-F6A3D564A966}"/>
    <hyperlink ref="R12" r:id="rId10" xr:uid="{A1EE84C2-0453-471B-BED7-6FE09A217BEF}"/>
    <hyperlink ref="S20" r:id="rId11" xr:uid="{3BFED396-F4F9-4D5A-89A6-3CEB130B20F4}"/>
    <hyperlink ref="S30" r:id="rId12" xr:uid="{335B72ED-B975-4041-939D-51014668E849}"/>
    <hyperlink ref="R19" r:id="rId13" xr:uid="{CE07CA39-7526-46C5-884A-66AA89429E6C}"/>
  </hyperlinks>
  <pageMargins left="0.7" right="0.7" top="0.75" bottom="0.75" header="0.3" footer="0.3"/>
  <pageSetup paperSize="9" orientation="portrait" r:id="rId1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8CBAD"/>
  </sheetPr>
  <dimension ref="A1:Y175"/>
  <sheetViews>
    <sheetView showGridLines="0" zoomScaleNormal="100" workbookViewId="0"/>
  </sheetViews>
  <sheetFormatPr defaultColWidth="8.5" defaultRowHeight="15.95" customHeight="1"/>
  <cols>
    <col min="1" max="1" width="8.625" style="3" customWidth="1"/>
    <col min="2" max="2" width="25.5" style="24" customWidth="1"/>
    <col min="3" max="3" width="10.5" style="297" bestFit="1" customWidth="1"/>
    <col min="4" max="4" width="22.125" style="297" customWidth="1"/>
    <col min="5" max="13" width="20.625" style="107" customWidth="1"/>
    <col min="14" max="14" width="20.625" style="302" customWidth="1"/>
    <col min="15" max="21" width="20.625" style="107" customWidth="1"/>
    <col min="22" max="23" width="39.125" style="24" customWidth="1"/>
    <col min="24" max="16384" width="8.5" style="24"/>
  </cols>
  <sheetData>
    <row r="1" spans="1:25" s="166" customFormat="1" ht="15.6">
      <c r="A1" s="35"/>
    </row>
    <row r="2" spans="1:25" s="162" customFormat="1" ht="24.75" customHeight="1">
      <c r="A2" s="35"/>
      <c r="B2" s="364" t="s">
        <v>6646</v>
      </c>
    </row>
    <row r="3" spans="1:25" s="162" customFormat="1" ht="15.95" customHeight="1">
      <c r="A3" s="35"/>
      <c r="B3" s="163"/>
      <c r="F3" s="164"/>
    </row>
    <row r="4" spans="1:25" s="43" customFormat="1" ht="15.95" customHeight="1">
      <c r="A4" s="35"/>
      <c r="B4" s="1434" t="s">
        <v>6647</v>
      </c>
      <c r="C4" s="1434"/>
      <c r="D4" s="1434"/>
      <c r="E4" s="1434"/>
      <c r="F4" s="1434"/>
      <c r="G4" s="1434"/>
      <c r="H4" s="534"/>
      <c r="I4" s="165"/>
    </row>
    <row r="5" spans="1:25" s="43" customFormat="1" ht="15.95" customHeight="1">
      <c r="A5" s="35"/>
      <c r="B5" s="1434"/>
      <c r="C5" s="1434"/>
      <c r="D5" s="1434"/>
      <c r="E5" s="1434"/>
      <c r="F5" s="1434"/>
      <c r="G5" s="1434"/>
      <c r="H5" s="534"/>
      <c r="I5" s="165"/>
    </row>
    <row r="6" spans="1:25" s="43" customFormat="1" ht="15.95" customHeight="1">
      <c r="A6" s="35"/>
      <c r="B6" s="1434"/>
      <c r="C6" s="1434"/>
      <c r="D6" s="1434"/>
      <c r="E6" s="1434"/>
      <c r="F6" s="1434"/>
      <c r="G6" s="1434"/>
      <c r="H6" s="534"/>
      <c r="I6" s="165"/>
    </row>
    <row r="7" spans="1:25" s="43" customFormat="1" ht="15.95" customHeight="1">
      <c r="A7" s="35"/>
      <c r="B7" s="1434"/>
      <c r="C7" s="1434"/>
      <c r="D7" s="1434"/>
      <c r="E7" s="1434"/>
      <c r="F7" s="1434"/>
      <c r="G7" s="1434"/>
      <c r="H7" s="534"/>
      <c r="I7" s="165"/>
    </row>
    <row r="8" spans="1:25" s="43" customFormat="1" ht="15.95" customHeight="1">
      <c r="A8" s="35"/>
      <c r="B8" s="1434"/>
      <c r="C8" s="1434"/>
      <c r="D8" s="1434"/>
      <c r="E8" s="1434"/>
      <c r="F8" s="1434"/>
      <c r="G8" s="1434"/>
      <c r="H8" s="534"/>
      <c r="I8" s="165"/>
    </row>
    <row r="9" spans="1:25" s="43" customFormat="1" ht="15.95" customHeight="1">
      <c r="A9" s="35"/>
      <c r="B9" s="534"/>
      <c r="C9" s="534"/>
      <c r="D9" s="534"/>
      <c r="E9" s="534"/>
      <c r="F9" s="534"/>
      <c r="G9" s="534"/>
      <c r="I9" s="165"/>
    </row>
    <row r="10" spans="1:25" s="297" customFormat="1" ht="15.95" customHeight="1">
      <c r="A10" s="288"/>
      <c r="E10" s="309" t="s">
        <v>4815</v>
      </c>
      <c r="F10" s="309" t="s">
        <v>4605</v>
      </c>
      <c r="G10" s="309" t="s">
        <v>4606</v>
      </c>
      <c r="H10" s="309" t="s">
        <v>4607</v>
      </c>
      <c r="I10" s="309" t="s">
        <v>4608</v>
      </c>
      <c r="J10" s="309" t="s">
        <v>4609</v>
      </c>
      <c r="K10" s="309" t="s">
        <v>4610</v>
      </c>
      <c r="L10" s="309" t="s">
        <v>4611</v>
      </c>
      <c r="M10" s="309" t="s">
        <v>4612</v>
      </c>
      <c r="N10" s="309" t="s">
        <v>4613</v>
      </c>
      <c r="O10" s="309" t="s">
        <v>4614</v>
      </c>
      <c r="P10" s="309" t="s">
        <v>4615</v>
      </c>
      <c r="Q10" s="309" t="s">
        <v>4616</v>
      </c>
      <c r="R10" s="309" t="s">
        <v>4617</v>
      </c>
      <c r="S10" s="309" t="s">
        <v>4618</v>
      </c>
      <c r="T10" s="309" t="s">
        <v>4619</v>
      </c>
      <c r="U10" s="309" t="s">
        <v>4620</v>
      </c>
    </row>
    <row r="11" spans="1:25" s="310" customFormat="1" ht="15.95" customHeight="1">
      <c r="A11" s="288"/>
      <c r="B11" s="1429" t="s">
        <v>4512</v>
      </c>
      <c r="C11" s="1431" t="s">
        <v>4513</v>
      </c>
      <c r="D11" s="1431" t="s">
        <v>354</v>
      </c>
      <c r="E11" s="1431">
        <v>1</v>
      </c>
      <c r="F11" s="1493">
        <v>2</v>
      </c>
      <c r="G11" s="1431">
        <v>3</v>
      </c>
      <c r="H11" s="1493">
        <v>4</v>
      </c>
      <c r="I11" s="1431">
        <v>5</v>
      </c>
      <c r="J11" s="1493">
        <v>6</v>
      </c>
      <c r="K11" s="1431">
        <v>7</v>
      </c>
      <c r="L11" s="1493">
        <v>8</v>
      </c>
      <c r="M11" s="1431">
        <v>9</v>
      </c>
      <c r="N11" s="1493">
        <v>10</v>
      </c>
      <c r="O11" s="1431">
        <v>11</v>
      </c>
      <c r="P11" s="1493">
        <v>12</v>
      </c>
      <c r="Q11" s="1493">
        <v>13</v>
      </c>
      <c r="R11" s="1493">
        <v>14</v>
      </c>
      <c r="S11" s="1493">
        <v>15</v>
      </c>
      <c r="T11" s="1493">
        <v>16</v>
      </c>
      <c r="U11" s="1493">
        <v>17</v>
      </c>
      <c r="V11" s="1348" t="s">
        <v>6178</v>
      </c>
      <c r="W11" s="1348" t="s">
        <v>6179</v>
      </c>
    </row>
    <row r="12" spans="1:25" s="310" customFormat="1" ht="15.95" customHeight="1">
      <c r="A12" s="5"/>
      <c r="B12" s="1430"/>
      <c r="C12" s="1432"/>
      <c r="D12" s="1432"/>
      <c r="E12" s="1432"/>
      <c r="F12" s="1494"/>
      <c r="G12" s="1432"/>
      <c r="H12" s="1494"/>
      <c r="I12" s="1432"/>
      <c r="J12" s="1494"/>
      <c r="K12" s="1432"/>
      <c r="L12" s="1494"/>
      <c r="M12" s="1432"/>
      <c r="N12" s="1494"/>
      <c r="O12" s="1432"/>
      <c r="P12" s="1494"/>
      <c r="Q12" s="1494"/>
      <c r="R12" s="1494"/>
      <c r="S12" s="1494"/>
      <c r="T12" s="1494"/>
      <c r="U12" s="1494"/>
      <c r="V12" s="1349" t="s">
        <v>4527</v>
      </c>
      <c r="W12" s="1349" t="s">
        <v>4527</v>
      </c>
    </row>
    <row r="13" spans="1:25" ht="15.95" customHeight="1">
      <c r="A13" s="5"/>
      <c r="B13" s="2" t="s">
        <v>359</v>
      </c>
      <c r="C13" s="297">
        <v>0</v>
      </c>
      <c r="D13" s="297">
        <v>0</v>
      </c>
      <c r="E13" s="276">
        <f>SUMIFS('Bilateral Assistance, MAIN DATA'!S:S,'Bilateral Assistance, MAIN DATA'!B:B,'Comm per Month (Mil in-kind)'!B13,'Bilateral Assistance, MAIN DATA'!AG:AG,1,'Bilateral Assistance, MAIN DATA'!AH:AH,'Comm per Month (Mil in-kind)'!$E$11, 'Bilateral Assistance, MAIN DATA'!AS:AS,1)/1000000000</f>
        <v>0</v>
      </c>
      <c r="F13" s="276">
        <f>SUMIFS('Bilateral Assistance, MAIN DATA'!S:S,'Bilateral Assistance, MAIN DATA'!B:B,'Comm per Month (Mil in-kind)'!B13,'Bilateral Assistance, MAIN DATA'!AG:AG,1,'Bilateral Assistance, MAIN DATA'!AH:AH,'Comm per Month (Mil in-kind)'!$F$11, 'Bilateral Assistance, MAIN DATA'!AS:AS,1)/1000000000</f>
        <v>0</v>
      </c>
      <c r="G13" s="276">
        <f>SUMIFS('Bilateral Assistance, MAIN DATA'!S:S,'Bilateral Assistance, MAIN DATA'!B:B,'Comm per Month (Mil in-kind)'!B13,'Bilateral Assistance, MAIN DATA'!AG:AG,1,'Bilateral Assistance, MAIN DATA'!AH:AH,'Comm per Month (Mil in-kind)'!$G$11, 'Bilateral Assistance, MAIN DATA'!AS:AS,1)/1000000000</f>
        <v>7.0965373791753328E-2</v>
      </c>
      <c r="H13" s="276">
        <f>SUMIFS('Bilateral Assistance, MAIN DATA'!S:S,'Bilateral Assistance, MAIN DATA'!B:B,'Comm per Month (Mil in-kind)'!B13,'Bilateral Assistance, MAIN DATA'!AG:AG,1,'Bilateral Assistance, MAIN DATA'!AH:AH,'Comm per Month (Mil in-kind)'!$H$11, 'Bilateral Assistance, MAIN DATA'!AS:AS,1)/1000000000</f>
        <v>6.2522941392389578E-2</v>
      </c>
      <c r="I13" s="276">
        <f>SUMIFS('Bilateral Assistance, MAIN DATA'!S:S,'Bilateral Assistance, MAIN DATA'!B:B,'Comm per Month (Mil in-kind)'!B13,'Bilateral Assistance, MAIN DATA'!AG:AG,1,'Bilateral Assistance, MAIN DATA'!AH:AH,'Comm per Month (Mil in-kind)'!$I$11, 'Bilateral Assistance, MAIN DATA'!AS:AS,1)/1000000000</f>
        <v>3.72568212406705E-2</v>
      </c>
      <c r="J13" s="276">
        <f>SUMIFS('Bilateral Assistance, MAIN DATA'!S:S,'Bilateral Assistance, MAIN DATA'!B:B,'Comm per Month (Mil in-kind)'!B13,'Bilateral Assistance, MAIN DATA'!AG:AG,1,'Bilateral Assistance, MAIN DATA'!AH:AH,'Comm per Month (Mil in-kind)'!$J$11, 'Bilateral Assistance, MAIN DATA'!AS:AS,1)/1000000000</f>
        <v>0</v>
      </c>
      <c r="K13" s="276">
        <f>SUMIFS('Bilateral Assistance, MAIN DATA'!S:S,'Bilateral Assistance, MAIN DATA'!B:B,'Comm per Month (Mil in-kind)'!B13,'Bilateral Assistance, MAIN DATA'!AG:AG,1,'Bilateral Assistance, MAIN DATA'!AH:AH,'Comm per Month (Mil in-kind)'!$K$11, 'Bilateral Assistance, MAIN DATA'!AS:AS,1)/1000000000</f>
        <v>4.8635751865899912E-2</v>
      </c>
      <c r="L13" s="276">
        <f>SUMIFS('Bilateral Assistance, MAIN DATA'!S:S,'Bilateral Assistance, MAIN DATA'!B:B,'Comm per Month (Mil in-kind)'!B13,'Bilateral Assistance, MAIN DATA'!AG:AG,1,'Bilateral Assistance, MAIN DATA'!AH:AH,'Comm per Month (Mil in-kind)'!$L$11, 'Bilateral Assistance, MAIN DATA'!AS:AS,1)/1000000000</f>
        <v>0</v>
      </c>
      <c r="M13" s="277">
        <f>SUMIFS('Bilateral Assistance, MAIN DATA'!S:S,'Bilateral Assistance, MAIN DATA'!B:B,'Comm per Month (Mil in-kind)'!B13,'Bilateral Assistance, MAIN DATA'!AG:AG,1,'Bilateral Assistance, MAIN DATA'!AH:AH,'Comm per Month (Mil in-kind)'!$M$11, 'Bilateral Assistance, MAIN DATA'!AS:AS,1)/1000000000</f>
        <v>0</v>
      </c>
      <c r="N13" s="239">
        <f>SUMIFS('Bilateral Assistance, MAIN DATA'!S:S,'Bilateral Assistance, MAIN DATA'!B:B,'Comm per Month (Mil in-kind)'!B13,'Bilateral Assistance, MAIN DATA'!AG:AG,1,'Bilateral Assistance, MAIN DATA'!AH:AH,'Comm per Month (Mil in-kind)'!$N$11, 'Bilateral Assistance, MAIN DATA'!AS:AS,1)/1000000000</f>
        <v>0.11378930625229414</v>
      </c>
      <c r="O13" s="277">
        <f>SUMIFS('Bilateral Assistance, MAIN DATA'!S:S,'Bilateral Assistance, MAIN DATA'!B:B,'Comm per Month (Mil in-kind)'!B13,'Bilateral Assistance, MAIN DATA'!AG:AG,1,'Bilateral Assistance, MAIN DATA'!AH:AH,'Comm per Month (Mil in-kind)'!$O$11, 'Bilateral Assistance, MAIN DATA'!AS:AS,1)/1000000000</f>
        <v>0</v>
      </c>
      <c r="P13" s="277">
        <f>SUMIFS('Bilateral Assistance, MAIN DATA'!S:S,'Bilateral Assistance, MAIN DATA'!B:B,'Comm per Month (Mil in-kind)'!B13,'Bilateral Assistance, MAIN DATA'!AG:AG,1,'Bilateral Assistance, MAIN DATA'!AH:AH,'Comm per Month (Mil in-kind)'!$P$11, 'Bilateral Assistance, MAIN DATA'!AS:AS,1)/1000000000</f>
        <v>0</v>
      </c>
      <c r="Q13" s="277">
        <f>SUMIFS('Bilateral Assistance, MAIN DATA'!S:S,'Bilateral Assistance, MAIN DATA'!B:B,'Comm per Month (Mil in-kind)'!B13,'Bilateral Assistance, MAIN DATA'!AG:AG,1,'Bilateral Assistance, MAIN DATA'!AH:AH,'Comm per Month (Mil in-kind)'!$Q$11, 'Bilateral Assistance, MAIN DATA'!AS:AS,1)/1000000000</f>
        <v>0</v>
      </c>
      <c r="R13" s="277">
        <f>SUMIFS('Bilateral Assistance, MAIN DATA'!$S:$S,'Bilateral Assistance, MAIN DATA'!$B:$B,'Comm per Month (Mil in-kind)'!$B13,'Bilateral Assistance, MAIN DATA'!$AG:$AG,1,'Bilateral Assistance, MAIN DATA'!$AH:$AH,'Comm per Month (Mil in-kind)'!$R$11, 'Bilateral Assistance, MAIN DATA'!$AS:$AS,1)/1000000000</f>
        <v>2.0188425302826378E-2</v>
      </c>
      <c r="S13" s="277">
        <f>SUMIFS('Bilateral Assistance, MAIN DATA'!$S:$S,'Bilateral Assistance, MAIN DATA'!$B:$B,'Comm per Month (Mil in-kind)'!$B13,'Bilateral Assistance, MAIN DATA'!$AG:$AG,1,'Bilateral Assistance, MAIN DATA'!$AH:$AH,'Comm per Month (Mil in-kind)'!$S$11, 'Bilateral Assistance, MAIN DATA'!$AS:$AS,1)/1000000000</f>
        <v>0</v>
      </c>
      <c r="T13" s="277">
        <f>SUMIFS('Bilateral Assistance, MAIN DATA'!$S:$S,'Bilateral Assistance, MAIN DATA'!$B:$B,'Comm per Month (Mil in-kind)'!$B13,'Bilateral Assistance, MAIN DATA'!$AG:$AG,1,'Bilateral Assistance, MAIN DATA'!$AH:$AH,'Comm per Month (Mil in-kind)'!$T$11, 'Bilateral Assistance, MAIN DATA'!$AS:$AS,1)/1000000000</f>
        <v>0</v>
      </c>
      <c r="U13" s="277">
        <f>SUMIFS('Bilateral Assistance, MAIN DATA'!$S:$S,'Bilateral Assistance, MAIN DATA'!$B:$B,'Comm per Month (Mil in-kind)'!$B13,'Bilateral Assistance, MAIN DATA'!$AG:$AG,1,'Bilateral Assistance, MAIN DATA'!$AH:$AH,'Comm per Month (Mil in-kind)'!$U$11, 'Bilateral Assistance, MAIN DATA'!$AS:$AS,1)/1000000000</f>
        <v>0</v>
      </c>
      <c r="V13" s="277">
        <f>SUM(E13:U13)</f>
        <v>0.35335861984583383</v>
      </c>
      <c r="W13" s="277">
        <f>SUMIFS('Bilateral Assistance, MAIN DATA'!S:S,'Bilateral Assistance, MAIN DATA'!B:B,'Comm per Month (Mil in-kind)'!B13,'Bilateral Assistance, MAIN DATA'!AG:AG,0,'Bilateral Assistance, MAIN DATA'!AS:AS,1)/1000000000</f>
        <v>0</v>
      </c>
    </row>
    <row r="14" spans="1:25" ht="15.95" customHeight="1">
      <c r="A14" s="5"/>
      <c r="B14" s="24" t="s">
        <v>454</v>
      </c>
      <c r="C14" s="297">
        <v>1</v>
      </c>
      <c r="D14" s="297">
        <v>0</v>
      </c>
      <c r="E14" s="276">
        <f>SUMIFS('Bilateral Assistance, MAIN DATA'!S:S,'Bilateral Assistance, MAIN DATA'!B:B,'Comm per Month (Mil in-kind)'!B14,'Bilateral Assistance, MAIN DATA'!AG:AG,1,'Bilateral Assistance, MAIN DATA'!AH:AH,'Comm per Month (Mil in-kind)'!$E$11, 'Bilateral Assistance, MAIN DATA'!AS:AS,1)/1000000000</f>
        <v>0</v>
      </c>
      <c r="F14" s="276">
        <f>SUMIFS('Bilateral Assistance, MAIN DATA'!S:S,'Bilateral Assistance, MAIN DATA'!B:B,'Comm per Month (Mil in-kind)'!B14,'Bilateral Assistance, MAIN DATA'!AG:AG,1,'Bilateral Assistance, MAIN DATA'!AH:AH,'Comm per Month (Mil in-kind)'!$F$11, 'Bilateral Assistance, MAIN DATA'!AS:AS,1)/1000000000</f>
        <v>0</v>
      </c>
      <c r="G14" s="276">
        <f>SUMIFS('Bilateral Assistance, MAIN DATA'!S:S,'Bilateral Assistance, MAIN DATA'!B:B,'Comm per Month (Mil in-kind)'!B14,'Bilateral Assistance, MAIN DATA'!AG:AG,1,'Bilateral Assistance, MAIN DATA'!AH:AH,'Comm per Month (Mil in-kind)'!$G$11, 'Bilateral Assistance, MAIN DATA'!AS:AS,1)/1000000000</f>
        <v>3.3008594497607653E-3</v>
      </c>
      <c r="H14" s="276">
        <f>SUMIFS('Bilateral Assistance, MAIN DATA'!S:S,'Bilateral Assistance, MAIN DATA'!B:B,'Comm per Month (Mil in-kind)'!B14,'Bilateral Assistance, MAIN DATA'!AG:AG,1,'Bilateral Assistance, MAIN DATA'!AH:AH,'Comm per Month (Mil in-kind)'!$H$11, 'Bilateral Assistance, MAIN DATA'!AS:AS,1)/1000000000</f>
        <v>0</v>
      </c>
      <c r="I14" s="276">
        <f>SUMIFS('Bilateral Assistance, MAIN DATA'!S:S,'Bilateral Assistance, MAIN DATA'!B:B,'Comm per Month (Mil in-kind)'!B14,'Bilateral Assistance, MAIN DATA'!AG:AG,1,'Bilateral Assistance, MAIN DATA'!AH:AH,'Comm per Month (Mil in-kind)'!$I$11, 'Bilateral Assistance, MAIN DATA'!AS:AS,1)/1000000000</f>
        <v>0</v>
      </c>
      <c r="J14" s="276">
        <f>SUMIFS('Bilateral Assistance, MAIN DATA'!S:S,'Bilateral Assistance, MAIN DATA'!B:B,'Comm per Month (Mil in-kind)'!B14,'Bilateral Assistance, MAIN DATA'!AG:AG,1,'Bilateral Assistance, MAIN DATA'!AH:AH,'Comm per Month (Mil in-kind)'!$J$11, 'Bilateral Assistance, MAIN DATA'!AS:AS,1)/1000000000</f>
        <v>0</v>
      </c>
      <c r="K14" s="276">
        <f>SUMIFS('Bilateral Assistance, MAIN DATA'!S:S,'Bilateral Assistance, MAIN DATA'!B:B,'Comm per Month (Mil in-kind)'!B14,'Bilateral Assistance, MAIN DATA'!AG:AG,1,'Bilateral Assistance, MAIN DATA'!AH:AH,'Comm per Month (Mil in-kind)'!$K$11, 'Bilateral Assistance, MAIN DATA'!AS:AS,1)/1000000000</f>
        <v>0</v>
      </c>
      <c r="L14" s="276">
        <f>SUMIFS('Bilateral Assistance, MAIN DATA'!S:S,'Bilateral Assistance, MAIN DATA'!B:B,'Comm per Month (Mil in-kind)'!B14,'Bilateral Assistance, MAIN DATA'!AG:AG,1,'Bilateral Assistance, MAIN DATA'!AH:AH,'Comm per Month (Mil in-kind)'!$L$11, 'Bilateral Assistance, MAIN DATA'!AS:AS,1)/1000000000</f>
        <v>0</v>
      </c>
      <c r="M14" s="277">
        <f>SUMIFS('Bilateral Assistance, MAIN DATA'!S:S,'Bilateral Assistance, MAIN DATA'!B:B,'Comm per Month (Mil in-kind)'!B14,'Bilateral Assistance, MAIN DATA'!AG:AG,1,'Bilateral Assistance, MAIN DATA'!AH:AH,'Comm per Month (Mil in-kind)'!$M$11, 'Bilateral Assistance, MAIN DATA'!AS:AS,1)/1000000000</f>
        <v>0</v>
      </c>
      <c r="N14" s="239">
        <f>SUMIFS('Bilateral Assistance, MAIN DATA'!S:S,'Bilateral Assistance, MAIN DATA'!B:B,'Comm per Month (Mil in-kind)'!B14,'Bilateral Assistance, MAIN DATA'!AG:AG,1,'Bilateral Assistance, MAIN DATA'!AH:AH,'Comm per Month (Mil in-kind)'!$N$11, 'Bilateral Assistance, MAIN DATA'!AS:AS,1)/1000000000</f>
        <v>0</v>
      </c>
      <c r="O14" s="277">
        <f>SUMIFS('Bilateral Assistance, MAIN DATA'!S:S,'Bilateral Assistance, MAIN DATA'!B:B,'Comm per Month (Mil in-kind)'!B14,'Bilateral Assistance, MAIN DATA'!AG:AG,1,'Bilateral Assistance, MAIN DATA'!AH:AH,'Comm per Month (Mil in-kind)'!$O$11, 'Bilateral Assistance, MAIN DATA'!AS:AS,1)/1000000000</f>
        <v>0</v>
      </c>
      <c r="P14" s="277">
        <f>SUMIFS('Bilateral Assistance, MAIN DATA'!S:S,'Bilateral Assistance, MAIN DATA'!B:B,'Comm per Month (Mil in-kind)'!B14,'Bilateral Assistance, MAIN DATA'!AG:AG,1,'Bilateral Assistance, MAIN DATA'!AH:AH,'Comm per Month (Mil in-kind)'!$P$11, 'Bilateral Assistance, MAIN DATA'!AS:AS,1)/1000000000</f>
        <v>0</v>
      </c>
      <c r="Q14" s="277">
        <f>SUMIFS('Bilateral Assistance, MAIN DATA'!S:S,'Bilateral Assistance, MAIN DATA'!B:B,'Comm per Month (Mil in-kind)'!B14,'Bilateral Assistance, MAIN DATA'!AG:AG,1,'Bilateral Assistance, MAIN DATA'!AH:AH,'Comm per Month (Mil in-kind)'!$Q$11, 'Bilateral Assistance, MAIN DATA'!AS:AS,1)/1000000000</f>
        <v>0</v>
      </c>
      <c r="R14" s="277">
        <f>SUMIFS('Bilateral Assistance, MAIN DATA'!$S:$S,'Bilateral Assistance, MAIN DATA'!$B:$B,'Comm per Month (Mil in-kind)'!$B14,'Bilateral Assistance, MAIN DATA'!$AG:$AG,1,'Bilateral Assistance, MAIN DATA'!$AH:$AH,'Comm per Month (Mil in-kind)'!$R$11, 'Bilateral Assistance, MAIN DATA'!$AS:$AS,1)/1000000000</f>
        <v>0</v>
      </c>
      <c r="S14" s="277">
        <f>SUMIFS('Bilateral Assistance, MAIN DATA'!$S:$S,'Bilateral Assistance, MAIN DATA'!$B:$B,'Comm per Month (Mil in-kind)'!$B14,'Bilateral Assistance, MAIN DATA'!$AG:$AG,1,'Bilateral Assistance, MAIN DATA'!$AH:$AH,'Comm per Month (Mil in-kind)'!$S$11, 'Bilateral Assistance, MAIN DATA'!$AS:$AS,1)/1000000000</f>
        <v>0</v>
      </c>
      <c r="T14" s="277">
        <f>SUMIFS('Bilateral Assistance, MAIN DATA'!$S:$S,'Bilateral Assistance, MAIN DATA'!$B:$B,'Comm per Month (Mil in-kind)'!$B14,'Bilateral Assistance, MAIN DATA'!$AG:$AG,1,'Bilateral Assistance, MAIN DATA'!$AH:$AH,'Comm per Month (Mil in-kind)'!$T$11, 'Bilateral Assistance, MAIN DATA'!$AS:$AS,1)/1000000000</f>
        <v>0</v>
      </c>
      <c r="U14" s="277">
        <f>SUMIFS('Bilateral Assistance, MAIN DATA'!$S:$S,'Bilateral Assistance, MAIN DATA'!$B:$B,'Comm per Month (Mil in-kind)'!$B14,'Bilateral Assistance, MAIN DATA'!$AG:$AG,1,'Bilateral Assistance, MAIN DATA'!$AH:$AH,'Comm per Month (Mil in-kind)'!$U$11, 'Bilateral Assistance, MAIN DATA'!$AS:$AS,1)/1000000000</f>
        <v>0</v>
      </c>
      <c r="V14" s="277">
        <f t="shared" ref="V14:V54" si="0">SUM(E14:U14)</f>
        <v>3.3008594497607653E-3</v>
      </c>
      <c r="W14" s="277">
        <f>SUMIFS('Bilateral Assistance, MAIN DATA'!S:S,'Bilateral Assistance, MAIN DATA'!B:B,'Comm per Month (Mil in-kind)'!B14,'Bilateral Assistance, MAIN DATA'!AG:AG,0,'Bilateral Assistance, MAIN DATA'!AS:AS,1)/1000000000</f>
        <v>0</v>
      </c>
    </row>
    <row r="15" spans="1:25" ht="15.95" customHeight="1">
      <c r="A15" s="5"/>
      <c r="B15" s="24" t="s">
        <v>558</v>
      </c>
      <c r="C15" s="297">
        <v>1</v>
      </c>
      <c r="D15" s="297">
        <v>0</v>
      </c>
      <c r="E15" s="276">
        <f>SUMIFS('Bilateral Assistance, MAIN DATA'!S:S,'Bilateral Assistance, MAIN DATA'!B:B,'Comm per Month (Mil in-kind)'!B15,'Bilateral Assistance, MAIN DATA'!AG:AG,1,'Bilateral Assistance, MAIN DATA'!AH:AH,'Comm per Month (Mil in-kind)'!$E$11, 'Bilateral Assistance, MAIN DATA'!AS:AS,1)/1000000000</f>
        <v>0</v>
      </c>
      <c r="F15" s="276">
        <f>SUMIFS('Bilateral Assistance, MAIN DATA'!S:S,'Bilateral Assistance, MAIN DATA'!B:B,'Comm per Month (Mil in-kind)'!B15,'Bilateral Assistance, MAIN DATA'!AG:AG,1,'Bilateral Assistance, MAIN DATA'!AH:AH,'Comm per Month (Mil in-kind)'!$F$11, 'Bilateral Assistance, MAIN DATA'!AS:AS,1)/1000000000</f>
        <v>7.5999999999999998E-2</v>
      </c>
      <c r="G15" s="276">
        <f>SUMIFS('Bilateral Assistance, MAIN DATA'!S:S,'Bilateral Assistance, MAIN DATA'!B:B,'Comm per Month (Mil in-kind)'!B15,'Bilateral Assistance, MAIN DATA'!AG:AG,1,'Bilateral Assistance, MAIN DATA'!AH:AH,'Comm per Month (Mil in-kind)'!$G$11, 'Bilateral Assistance, MAIN DATA'!AS:AS,1)/1000000000</f>
        <v>1.0999999999999999E-2</v>
      </c>
      <c r="H15" s="276">
        <f>SUMIFS('Bilateral Assistance, MAIN DATA'!S:S,'Bilateral Assistance, MAIN DATA'!B:B,'Comm per Month (Mil in-kind)'!B15,'Bilateral Assistance, MAIN DATA'!AG:AG,1,'Bilateral Assistance, MAIN DATA'!AH:AH,'Comm per Month (Mil in-kind)'!$H$11, 'Bilateral Assistance, MAIN DATA'!AS:AS,1)/1000000000</f>
        <v>0</v>
      </c>
      <c r="I15" s="276">
        <f>SUMIFS('Bilateral Assistance, MAIN DATA'!S:S,'Bilateral Assistance, MAIN DATA'!B:B,'Comm per Month (Mil in-kind)'!B15,'Bilateral Assistance, MAIN DATA'!AG:AG,1,'Bilateral Assistance, MAIN DATA'!AH:AH,'Comm per Month (Mil in-kind)'!$I$11, 'Bilateral Assistance, MAIN DATA'!AS:AS,1)/1000000000</f>
        <v>2.6464000000000001E-3</v>
      </c>
      <c r="J15" s="276">
        <f>SUMIFS('Bilateral Assistance, MAIN DATA'!S:S,'Bilateral Assistance, MAIN DATA'!B:B,'Comm per Month (Mil in-kind)'!B15,'Bilateral Assistance, MAIN DATA'!AG:AG,1,'Bilateral Assistance, MAIN DATA'!AH:AH,'Comm per Month (Mil in-kind)'!$J$11, 'Bilateral Assistance, MAIN DATA'!AS:AS,1)/1000000000</f>
        <v>0</v>
      </c>
      <c r="K15" s="276">
        <f>SUMIFS('Bilateral Assistance, MAIN DATA'!S:S,'Bilateral Assistance, MAIN DATA'!B:B,'Comm per Month (Mil in-kind)'!B15,'Bilateral Assistance, MAIN DATA'!AG:AG,1,'Bilateral Assistance, MAIN DATA'!AH:AH,'Comm per Month (Mil in-kind)'!$K$11, 'Bilateral Assistance, MAIN DATA'!AS:AS,1)/1000000000</f>
        <v>1.0639008E-2</v>
      </c>
      <c r="L15" s="276">
        <f>SUMIFS('Bilateral Assistance, MAIN DATA'!S:S,'Bilateral Assistance, MAIN DATA'!B:B,'Comm per Month (Mil in-kind)'!B15,'Bilateral Assistance, MAIN DATA'!AG:AG,1,'Bilateral Assistance, MAIN DATA'!AH:AH,'Comm per Month (Mil in-kind)'!$L$11, 'Bilateral Assistance, MAIN DATA'!AS:AS,1)/1000000000</f>
        <v>8.0000000000000002E-3</v>
      </c>
      <c r="M15" s="277">
        <f>SUMIFS('Bilateral Assistance, MAIN DATA'!S:S,'Bilateral Assistance, MAIN DATA'!B:B,'Comm per Month (Mil in-kind)'!B15,'Bilateral Assistance, MAIN DATA'!AG:AG,1,'Bilateral Assistance, MAIN DATA'!AH:AH,'Comm per Month (Mil in-kind)'!$M$11, 'Bilateral Assistance, MAIN DATA'!AS:AS,1)/1000000000</f>
        <v>2.6761099399999998E-2</v>
      </c>
      <c r="N15" s="239">
        <f>SUMIFS('Bilateral Assistance, MAIN DATA'!S:S,'Bilateral Assistance, MAIN DATA'!B:B,'Comm per Month (Mil in-kind)'!B15,'Bilateral Assistance, MAIN DATA'!AG:AG,1,'Bilateral Assistance, MAIN DATA'!AH:AH,'Comm per Month (Mil in-kind)'!$N$11, 'Bilateral Assistance, MAIN DATA'!AS:AS,1)/1000000000</f>
        <v>3.2356989999999999E-3</v>
      </c>
      <c r="O15" s="277">
        <f>SUMIFS('Bilateral Assistance, MAIN DATA'!S:S,'Bilateral Assistance, MAIN DATA'!B:B,'Comm per Month (Mil in-kind)'!B15,'Bilateral Assistance, MAIN DATA'!AG:AG,1,'Bilateral Assistance, MAIN DATA'!AH:AH,'Comm per Month (Mil in-kind)'!$O$11, 'Bilateral Assistance, MAIN DATA'!AS:AS,1)/1000000000</f>
        <v>7.2852799999999999E-3</v>
      </c>
      <c r="P15" s="277">
        <f>SUMIFS('Bilateral Assistance, MAIN DATA'!S:S,'Bilateral Assistance, MAIN DATA'!B:B,'Comm per Month (Mil in-kind)'!B15,'Bilateral Assistance, MAIN DATA'!AG:AG,1,'Bilateral Assistance, MAIN DATA'!AH:AH,'Comm per Month (Mil in-kind)'!$P$11, 'Bilateral Assistance, MAIN DATA'!AS:AS,1)/1000000000</f>
        <v>1.4444E-3</v>
      </c>
      <c r="Q15" s="277">
        <f>SUMIFS('Bilateral Assistance, MAIN DATA'!S:S,'Bilateral Assistance, MAIN DATA'!B:B,'Comm per Month (Mil in-kind)'!B15,'Bilateral Assistance, MAIN DATA'!AG:AG,1,'Bilateral Assistance, MAIN DATA'!AH:AH,'Comm per Month (Mil in-kind)'!$Q$11, 'Bilateral Assistance, MAIN DATA'!AS:AS,1)/1000000000</f>
        <v>9.4039642000000007E-2</v>
      </c>
      <c r="R15" s="277">
        <f>SUMIFS('Bilateral Assistance, MAIN DATA'!$S:$S,'Bilateral Assistance, MAIN DATA'!$B:$B,'Comm per Month (Mil in-kind)'!$B15,'Bilateral Assistance, MAIN DATA'!$AG:$AG,1,'Bilateral Assistance, MAIN DATA'!$AH:$AH,'Comm per Month (Mil in-kind)'!$R$11, 'Bilateral Assistance, MAIN DATA'!$AS:$AS,1)/1000000000</f>
        <v>0</v>
      </c>
      <c r="S15" s="277">
        <f>SUMIFS('Bilateral Assistance, MAIN DATA'!$S:$S,'Bilateral Assistance, MAIN DATA'!$B:$B,'Comm per Month (Mil in-kind)'!$B15,'Bilateral Assistance, MAIN DATA'!$AG:$AG,1,'Bilateral Assistance, MAIN DATA'!$AH:$AH,'Comm per Month (Mil in-kind)'!$S$11, 'Bilateral Assistance, MAIN DATA'!$AS:$AS,1)/1000000000</f>
        <v>8.4000000000000005E-2</v>
      </c>
      <c r="T15" s="277">
        <f>SUMIFS('Bilateral Assistance, MAIN DATA'!$S:$S,'Bilateral Assistance, MAIN DATA'!$B:$B,'Comm per Month (Mil in-kind)'!$B15,'Bilateral Assistance, MAIN DATA'!$AG:$AG,1,'Bilateral Assistance, MAIN DATA'!$AH:$AH,'Comm per Month (Mil in-kind)'!$T$11, 'Bilateral Assistance, MAIN DATA'!$AS:$AS,1)/1000000000</f>
        <v>0</v>
      </c>
      <c r="U15" s="277">
        <f>SUMIFS('Bilateral Assistance, MAIN DATA'!$S:$S,'Bilateral Assistance, MAIN DATA'!$B:$B,'Comm per Month (Mil in-kind)'!$B15,'Bilateral Assistance, MAIN DATA'!$AG:$AG,1,'Bilateral Assistance, MAIN DATA'!$AH:$AH,'Comm per Month (Mil in-kind)'!$U$11, 'Bilateral Assistance, MAIN DATA'!$AS:$AS,1)/1000000000</f>
        <v>0.06</v>
      </c>
      <c r="V15" s="277">
        <f t="shared" si="0"/>
        <v>0.38505152840000001</v>
      </c>
      <c r="W15" s="277">
        <f>SUMIFS('Bilateral Assistance, MAIN DATA'!S:S,'Bilateral Assistance, MAIN DATA'!B:B,'Comm per Month (Mil in-kind)'!B15,'Bilateral Assistance, MAIN DATA'!AG:AG,0,'Bilateral Assistance, MAIN DATA'!AS:AS,1)/1000000000</f>
        <v>0</v>
      </c>
      <c r="X15" s="360"/>
      <c r="Y15" s="360"/>
    </row>
    <row r="16" spans="1:25" ht="15.95" customHeight="1">
      <c r="A16" s="5"/>
      <c r="B16" s="24" t="s">
        <v>673</v>
      </c>
      <c r="C16" s="297">
        <v>1</v>
      </c>
      <c r="D16" s="297">
        <v>0</v>
      </c>
      <c r="E16" s="276">
        <f>SUMIFS('Bilateral Assistance, MAIN DATA'!S:S,'Bilateral Assistance, MAIN DATA'!B:B,'Comm per Month (Mil in-kind)'!B16,'Bilateral Assistance, MAIN DATA'!AG:AG,1,'Bilateral Assistance, MAIN DATA'!AH:AH,'Comm per Month (Mil in-kind)'!$E$11, 'Bilateral Assistance, MAIN DATA'!AS:AS,1)/1000000000</f>
        <v>0</v>
      </c>
      <c r="F16" s="276">
        <f>SUMIFS('Bilateral Assistance, MAIN DATA'!S:S,'Bilateral Assistance, MAIN DATA'!B:B,'Comm per Month (Mil in-kind)'!B16,'Bilateral Assistance, MAIN DATA'!AG:AG,1,'Bilateral Assistance, MAIN DATA'!AH:AH,'Comm per Month (Mil in-kind)'!$F$11, 'Bilateral Assistance, MAIN DATA'!AS:AS,1)/1000000000</f>
        <v>0</v>
      </c>
      <c r="G16" s="276">
        <f>SUMIFS('Bilateral Assistance, MAIN DATA'!S:S,'Bilateral Assistance, MAIN DATA'!B:B,'Comm per Month (Mil in-kind)'!B16,'Bilateral Assistance, MAIN DATA'!AG:AG,1,'Bilateral Assistance, MAIN DATA'!AH:AH,'Comm per Month (Mil in-kind)'!$G$11, 'Bilateral Assistance, MAIN DATA'!AS:AS,1)/1000000000</f>
        <v>0</v>
      </c>
      <c r="H16" s="276">
        <f>SUMIFS('Bilateral Assistance, MAIN DATA'!S:S,'Bilateral Assistance, MAIN DATA'!B:B,'Comm per Month (Mil in-kind)'!B16,'Bilateral Assistance, MAIN DATA'!AG:AG,1,'Bilateral Assistance, MAIN DATA'!AH:AH,'Comm per Month (Mil in-kind)'!$H$11, 'Bilateral Assistance, MAIN DATA'!AS:AS,1)/1000000000</f>
        <v>0.2290622763063708</v>
      </c>
      <c r="I16" s="276">
        <f>SUMIFS('Bilateral Assistance, MAIN DATA'!S:S,'Bilateral Assistance, MAIN DATA'!B:B,'Comm per Month (Mil in-kind)'!B16,'Bilateral Assistance, MAIN DATA'!AG:AG,1,'Bilateral Assistance, MAIN DATA'!AH:AH,'Comm per Month (Mil in-kind)'!$I$11, 'Bilateral Assistance, MAIN DATA'!AS:AS,1)/1000000000</f>
        <v>0</v>
      </c>
      <c r="J16" s="276">
        <f>SUMIFS('Bilateral Assistance, MAIN DATA'!S:S,'Bilateral Assistance, MAIN DATA'!B:B,'Comm per Month (Mil in-kind)'!B16,'Bilateral Assistance, MAIN DATA'!AG:AG,1,'Bilateral Assistance, MAIN DATA'!AH:AH,'Comm per Month (Mil in-kind)'!$J$11, 'Bilateral Assistance, MAIN DATA'!AS:AS,1)/1000000000</f>
        <v>0</v>
      </c>
      <c r="K16" s="276">
        <f>SUMIFS('Bilateral Assistance, MAIN DATA'!S:S,'Bilateral Assistance, MAIN DATA'!B:B,'Comm per Month (Mil in-kind)'!B16,'Bilateral Assistance, MAIN DATA'!AG:AG,1,'Bilateral Assistance, MAIN DATA'!AH:AH,'Comm per Month (Mil in-kind)'!$K$11, 'Bilateral Assistance, MAIN DATA'!AS:AS,1)/1000000000</f>
        <v>0</v>
      </c>
      <c r="L16" s="276">
        <f>SUMIFS('Bilateral Assistance, MAIN DATA'!S:S,'Bilateral Assistance, MAIN DATA'!B:B,'Comm per Month (Mil in-kind)'!B16,'Bilateral Assistance, MAIN DATA'!AG:AG,1,'Bilateral Assistance, MAIN DATA'!AH:AH,'Comm per Month (Mil in-kind)'!$L$11, 'Bilateral Assistance, MAIN DATA'!AS:AS,1)/1000000000</f>
        <v>0</v>
      </c>
      <c r="M16" s="277">
        <f>SUMIFS('Bilateral Assistance, MAIN DATA'!S:S,'Bilateral Assistance, MAIN DATA'!B:B,'Comm per Month (Mil in-kind)'!B16,'Bilateral Assistance, MAIN DATA'!AG:AG,1,'Bilateral Assistance, MAIN DATA'!AH:AH,'Comm per Month (Mil in-kind)'!$M$11, 'Bilateral Assistance, MAIN DATA'!AS:AS,1)/1000000000</f>
        <v>0</v>
      </c>
      <c r="N16" s="239">
        <f>SUMIFS('Bilateral Assistance, MAIN DATA'!S:S,'Bilateral Assistance, MAIN DATA'!B:B,'Comm per Month (Mil in-kind)'!B16,'Bilateral Assistance, MAIN DATA'!AG:AG,1,'Bilateral Assistance, MAIN DATA'!AH:AH,'Comm per Month (Mil in-kind)'!$N$11, 'Bilateral Assistance, MAIN DATA'!AS:AS,1)/1000000000</f>
        <v>0</v>
      </c>
      <c r="O16" s="277">
        <f>SUMIFS('Bilateral Assistance, MAIN DATA'!S:S,'Bilateral Assistance, MAIN DATA'!B:B,'Comm per Month (Mil in-kind)'!B16,'Bilateral Assistance, MAIN DATA'!AG:AG,1,'Bilateral Assistance, MAIN DATA'!AH:AH,'Comm per Month (Mil in-kind)'!$O$11, 'Bilateral Assistance, MAIN DATA'!AS:AS,1)/1000000000</f>
        <v>0</v>
      </c>
      <c r="P16" s="277">
        <f>SUMIFS('Bilateral Assistance, MAIN DATA'!S:S,'Bilateral Assistance, MAIN DATA'!B:B,'Comm per Month (Mil in-kind)'!B16,'Bilateral Assistance, MAIN DATA'!AG:AG,1,'Bilateral Assistance, MAIN DATA'!AH:AH,'Comm per Month (Mil in-kind)'!$P$11, 'Bilateral Assistance, MAIN DATA'!AS:AS,1)/1000000000</f>
        <v>1.0225994477962982E-2</v>
      </c>
      <c r="Q16" s="277">
        <f>SUMIFS('Bilateral Assistance, MAIN DATA'!S:S,'Bilateral Assistance, MAIN DATA'!B:B,'Comm per Month (Mil in-kind)'!B16,'Bilateral Assistance, MAIN DATA'!AG:AG,1,'Bilateral Assistance, MAIN DATA'!AH:AH,'Comm per Month (Mil in-kind)'!$Q$11, 'Bilateral Assistance, MAIN DATA'!AS:AS,1)/1000000000</f>
        <v>0</v>
      </c>
      <c r="R16" s="277">
        <f>SUMIFS('Bilateral Assistance, MAIN DATA'!$S:$S,'Bilateral Assistance, MAIN DATA'!$B:$B,'Comm per Month (Mil in-kind)'!$B16,'Bilateral Assistance, MAIN DATA'!$AG:$AG,1,'Bilateral Assistance, MAIN DATA'!$AH:$AH,'Comm per Month (Mil in-kind)'!$R$11, 'Bilateral Assistance, MAIN DATA'!$AS:$AS,1)/1000000000</f>
        <v>0</v>
      </c>
      <c r="S16" s="277">
        <f>SUMIFS('Bilateral Assistance, MAIN DATA'!$S:$S,'Bilateral Assistance, MAIN DATA'!$B:$B,'Comm per Month (Mil in-kind)'!$B16,'Bilateral Assistance, MAIN DATA'!$AG:$AG,1,'Bilateral Assistance, MAIN DATA'!$AH:$AH,'Comm per Month (Mil in-kind)'!$S$11, 'Bilateral Assistance, MAIN DATA'!$AS:$AS,1)/1000000000</f>
        <v>0</v>
      </c>
      <c r="T16" s="277">
        <f>SUMIFS('Bilateral Assistance, MAIN DATA'!$S:$S,'Bilateral Assistance, MAIN DATA'!$B:$B,'Comm per Month (Mil in-kind)'!$B16,'Bilateral Assistance, MAIN DATA'!$AG:$AG,1,'Bilateral Assistance, MAIN DATA'!$AH:$AH,'Comm per Month (Mil in-kind)'!$T$11, 'Bilateral Assistance, MAIN DATA'!$AS:$AS,1)/1000000000</f>
        <v>0</v>
      </c>
      <c r="U16" s="277">
        <f>SUMIFS('Bilateral Assistance, MAIN DATA'!$S:$S,'Bilateral Assistance, MAIN DATA'!$B:$B,'Comm per Month (Mil in-kind)'!$B16,'Bilateral Assistance, MAIN DATA'!$AG:$AG,1,'Bilateral Assistance, MAIN DATA'!$AH:$AH,'Comm per Month (Mil in-kind)'!$U$11, 'Bilateral Assistance, MAIN DATA'!$AS:$AS,1)/1000000000</f>
        <v>0</v>
      </c>
      <c r="V16" s="277">
        <f t="shared" si="0"/>
        <v>0.23928827078433379</v>
      </c>
      <c r="W16" s="277">
        <f>SUMIFS('Bilateral Assistance, MAIN DATA'!S:S,'Bilateral Assistance, MAIN DATA'!B:B,'Comm per Month (Mil in-kind)'!B16,'Bilateral Assistance, MAIN DATA'!AG:AG,0,'Bilateral Assistance, MAIN DATA'!AS:AS,1)/1000000000</f>
        <v>0</v>
      </c>
      <c r="X16" s="360"/>
      <c r="Y16" s="360"/>
    </row>
    <row r="17" spans="1:25" ht="15.95" customHeight="1">
      <c r="A17" s="5"/>
      <c r="B17" s="24" t="s">
        <v>713</v>
      </c>
      <c r="C17" s="297">
        <v>0</v>
      </c>
      <c r="D17" s="297">
        <v>1</v>
      </c>
      <c r="E17" s="276">
        <f>SUMIFS('Bilateral Assistance, MAIN DATA'!S:S,'Bilateral Assistance, MAIN DATA'!B:B,'Comm per Month (Mil in-kind)'!B17,'Bilateral Assistance, MAIN DATA'!AG:AG,1,'Bilateral Assistance, MAIN DATA'!AH:AH,'Comm per Month (Mil in-kind)'!$E$11, 'Bilateral Assistance, MAIN DATA'!AS:AS,1)/1000000000</f>
        <v>0.23149724245931777</v>
      </c>
      <c r="F17" s="276">
        <f>SUMIFS('Bilateral Assistance, MAIN DATA'!S:S,'Bilateral Assistance, MAIN DATA'!B:B,'Comm per Month (Mil in-kind)'!B17,'Bilateral Assistance, MAIN DATA'!AG:AG,1,'Bilateral Assistance, MAIN DATA'!AH:AH,'Comm per Month (Mil in-kind)'!$F$11, 'Bilateral Assistance, MAIN DATA'!AS:AS,1)/1000000000</f>
        <v>3.675287563455959E-2</v>
      </c>
      <c r="G17" s="276">
        <f>SUMIFS('Bilateral Assistance, MAIN DATA'!S:S,'Bilateral Assistance, MAIN DATA'!B:B,'Comm per Month (Mil in-kind)'!B17,'Bilateral Assistance, MAIN DATA'!AG:AG,1,'Bilateral Assistance, MAIN DATA'!AH:AH,'Comm per Month (Mil in-kind)'!$G$11, 'Bilateral Assistance, MAIN DATA'!AS:AS,1)/1000000000</f>
        <v>4.1142510549979736E-2</v>
      </c>
      <c r="H17" s="276">
        <f>SUMIFS('Bilateral Assistance, MAIN DATA'!S:S,'Bilateral Assistance, MAIN DATA'!B:B,'Comm per Month (Mil in-kind)'!B17,'Bilateral Assistance, MAIN DATA'!AG:AG,1,'Bilateral Assistance, MAIN DATA'!AH:AH,'Comm per Month (Mil in-kind)'!$H$11, 'Bilateral Assistance, MAIN DATA'!AS:AS,1)/1000000000</f>
        <v>0.35946546134467428</v>
      </c>
      <c r="I17" s="276">
        <f>SUMIFS('Bilateral Assistance, MAIN DATA'!S:S,'Bilateral Assistance, MAIN DATA'!B:B,'Comm per Month (Mil in-kind)'!B17,'Bilateral Assistance, MAIN DATA'!AG:AG,1,'Bilateral Assistance, MAIN DATA'!AH:AH,'Comm per Month (Mil in-kind)'!$I$11, 'Bilateral Assistance, MAIN DATA'!AS:AS,1)/1000000000</f>
        <v>3.4043712126370258E-2</v>
      </c>
      <c r="J17" s="276">
        <f>SUMIFS('Bilateral Assistance, MAIN DATA'!S:S,'Bilateral Assistance, MAIN DATA'!B:B,'Comm per Month (Mil in-kind)'!B17,'Bilateral Assistance, MAIN DATA'!AG:AG,1,'Bilateral Assistance, MAIN DATA'!AH:AH,'Comm per Month (Mil in-kind)'!$J$11, 'Bilateral Assistance, MAIN DATA'!AS:AS,1)/1000000000</f>
        <v>0.15598902019046745</v>
      </c>
      <c r="K17" s="276">
        <f>SUMIFS('Bilateral Assistance, MAIN DATA'!S:S,'Bilateral Assistance, MAIN DATA'!B:B,'Comm per Month (Mil in-kind)'!B17,'Bilateral Assistance, MAIN DATA'!AG:AG,1,'Bilateral Assistance, MAIN DATA'!AH:AH,'Comm per Month (Mil in-kind)'!$K$11, 'Bilateral Assistance, MAIN DATA'!AS:AS,1)/1000000000</f>
        <v>0</v>
      </c>
      <c r="L17" s="276">
        <f>SUMIFS('Bilateral Assistance, MAIN DATA'!S:S,'Bilateral Assistance, MAIN DATA'!B:B,'Comm per Month (Mil in-kind)'!B17,'Bilateral Assistance, MAIN DATA'!AG:AG,1,'Bilateral Assistance, MAIN DATA'!AH:AH,'Comm per Month (Mil in-kind)'!$L$11, 'Bilateral Assistance, MAIN DATA'!AS:AS,1)/1000000000</f>
        <v>0</v>
      </c>
      <c r="M17" s="277">
        <f>SUMIFS('Bilateral Assistance, MAIN DATA'!S:S,'Bilateral Assistance, MAIN DATA'!B:B,'Comm per Month (Mil in-kind)'!B17,'Bilateral Assistance, MAIN DATA'!AG:AG,1,'Bilateral Assistance, MAIN DATA'!AH:AH,'Comm per Month (Mil in-kind)'!$M$11, 'Bilateral Assistance, MAIN DATA'!AS:AS,1)/1000000000</f>
        <v>0</v>
      </c>
      <c r="N17" s="239">
        <f>SUMIFS('Bilateral Assistance, MAIN DATA'!S:S,'Bilateral Assistance, MAIN DATA'!B:B,'Comm per Month (Mil in-kind)'!B17,'Bilateral Assistance, MAIN DATA'!AG:AG,1,'Bilateral Assistance, MAIN DATA'!AH:AH,'Comm per Month (Mil in-kind)'!$N$11, 'Bilateral Assistance, MAIN DATA'!AS:AS,1)/1000000000</f>
        <v>3.2001089398788048E-2</v>
      </c>
      <c r="O17" s="277">
        <f>SUMIFS('Bilateral Assistance, MAIN DATA'!S:S,'Bilateral Assistance, MAIN DATA'!B:B,'Comm per Month (Mil in-kind)'!B17,'Bilateral Assistance, MAIN DATA'!AG:AG,1,'Bilateral Assistance, MAIN DATA'!AH:AH,'Comm per Month (Mil in-kind)'!$O$11, 'Bilateral Assistance, MAIN DATA'!AS:AS,1)/1000000000</f>
        <v>0.362905971267107</v>
      </c>
      <c r="P17" s="277">
        <f>SUMIFS('Bilateral Assistance, MAIN DATA'!S:S,'Bilateral Assistance, MAIN DATA'!B:B,'Comm per Month (Mil in-kind)'!B17,'Bilateral Assistance, MAIN DATA'!AG:AG,1,'Bilateral Assistance, MAIN DATA'!AH:AH,'Comm per Month (Mil in-kind)'!$P$11, 'Bilateral Assistance, MAIN DATA'!AS:AS,1)/1000000000</f>
        <v>0</v>
      </c>
      <c r="Q17" s="277">
        <f>SUMIFS('Bilateral Assistance, MAIN DATA'!S:S,'Bilateral Assistance, MAIN DATA'!B:B,'Comm per Month (Mil in-kind)'!B17,'Bilateral Assistance, MAIN DATA'!AG:AG,1,'Bilateral Assistance, MAIN DATA'!AH:AH,'Comm per Month (Mil in-kind)'!$Q$11, 'Bilateral Assistance, MAIN DATA'!AS:AS,1)/1000000000</f>
        <v>7.0509673711672036E-2</v>
      </c>
      <c r="R17" s="277">
        <f>SUMIFS('Bilateral Assistance, MAIN DATA'!$S:$S,'Bilateral Assistance, MAIN DATA'!$B:$B,'Comm per Month (Mil in-kind)'!$B17,'Bilateral Assistance, MAIN DATA'!$AG:$AG,1,'Bilateral Assistance, MAIN DATA'!$AH:$AH,'Comm per Month (Mil in-kind)'!$R$11, 'Bilateral Assistance, MAIN DATA'!$AS:$AS,1)/1000000000</f>
        <v>5.2062426355982037E-2</v>
      </c>
      <c r="S17" s="277">
        <f>SUMIFS('Bilateral Assistance, MAIN DATA'!$S:$S,'Bilateral Assistance, MAIN DATA'!$B:$B,'Comm per Month (Mil in-kind)'!$B17,'Bilateral Assistance, MAIN DATA'!$AG:$AG,1,'Bilateral Assistance, MAIN DATA'!$AH:$AH,'Comm per Month (Mil in-kind)'!$S$11, 'Bilateral Assistance, MAIN DATA'!$AS:$AS,1)/1000000000</f>
        <v>4.3346217443014555E-2</v>
      </c>
      <c r="T17" s="277">
        <f>SUMIFS('Bilateral Assistance, MAIN DATA'!$S:$S,'Bilateral Assistance, MAIN DATA'!$B:$B,'Comm per Month (Mil in-kind)'!$B17,'Bilateral Assistance, MAIN DATA'!$AG:$AG,1,'Bilateral Assistance, MAIN DATA'!$AH:$AH,'Comm per Month (Mil in-kind)'!$T$11, 'Bilateral Assistance, MAIN DATA'!$AS:$AS,1)/1000000000</f>
        <v>6.6793763191938457E-2</v>
      </c>
      <c r="U17" s="277">
        <f>SUMIFS('Bilateral Assistance, MAIN DATA'!$S:$S,'Bilateral Assistance, MAIN DATA'!$B:$B,'Comm per Month (Mil in-kind)'!$B17,'Bilateral Assistance, MAIN DATA'!$AG:$AG,1,'Bilateral Assistance, MAIN DATA'!$AH:$AH,'Comm per Month (Mil in-kind)'!$U$11, 'Bilateral Assistance, MAIN DATA'!$AS:$AS,1)/1000000000</f>
        <v>1.3312218547014367E-2</v>
      </c>
      <c r="V17" s="277">
        <f t="shared" si="0"/>
        <v>1.4998221822208857</v>
      </c>
      <c r="W17" s="277">
        <f>SUMIFS('Bilateral Assistance, MAIN DATA'!S:S,'Bilateral Assistance, MAIN DATA'!B:B,'Comm per Month (Mil in-kind)'!B17,'Bilateral Assistance, MAIN DATA'!AG:AG,0,'Bilateral Assistance, MAIN DATA'!AS:AS,1)/1000000000</f>
        <v>0</v>
      </c>
      <c r="X17" s="360"/>
      <c r="Y17" s="360"/>
    </row>
    <row r="18" spans="1:25" ht="15.95" customHeight="1">
      <c r="A18" s="5"/>
      <c r="B18" s="24" t="s">
        <v>918</v>
      </c>
      <c r="C18" s="297">
        <v>1</v>
      </c>
      <c r="D18" s="297">
        <v>0</v>
      </c>
      <c r="E18" s="276">
        <f>SUMIFS('Bilateral Assistance, MAIN DATA'!S:S,'Bilateral Assistance, MAIN DATA'!B:B,'Comm per Month (Mil in-kind)'!B18,'Bilateral Assistance, MAIN DATA'!AG:AG,1,'Bilateral Assistance, MAIN DATA'!AH:AH,'Comm per Month (Mil in-kind)'!$E$11, 'Bilateral Assistance, MAIN DATA'!AS:AS,1)/1000000000</f>
        <v>0</v>
      </c>
      <c r="F18" s="276">
        <f>SUMIFS('Bilateral Assistance, MAIN DATA'!S:S,'Bilateral Assistance, MAIN DATA'!B:B,'Comm per Month (Mil in-kind)'!B18,'Bilateral Assistance, MAIN DATA'!AG:AG,1,'Bilateral Assistance, MAIN DATA'!AH:AH,'Comm per Month (Mil in-kind)'!$F$11, 'Bilateral Assistance, MAIN DATA'!AS:AS,1)/1000000000</f>
        <v>1.6445623342175066E-2</v>
      </c>
      <c r="G18" s="276">
        <f>SUMIFS('Bilateral Assistance, MAIN DATA'!S:S,'Bilateral Assistance, MAIN DATA'!B:B,'Comm per Month (Mil in-kind)'!B18,'Bilateral Assistance, MAIN DATA'!AG:AG,1,'Bilateral Assistance, MAIN DATA'!AH:AH,'Comm per Month (Mil in-kind)'!$G$11, 'Bilateral Assistance, MAIN DATA'!AS:AS,1)/1000000000</f>
        <v>0</v>
      </c>
      <c r="H18" s="276">
        <f>SUMIFS('Bilateral Assistance, MAIN DATA'!S:S,'Bilateral Assistance, MAIN DATA'!B:B,'Comm per Month (Mil in-kind)'!B18,'Bilateral Assistance, MAIN DATA'!AG:AG,1,'Bilateral Assistance, MAIN DATA'!AH:AH,'Comm per Month (Mil in-kind)'!$H$11, 'Bilateral Assistance, MAIN DATA'!AS:AS,1)/1000000000</f>
        <v>0</v>
      </c>
      <c r="I18" s="276">
        <f>SUMIFS('Bilateral Assistance, MAIN DATA'!S:S,'Bilateral Assistance, MAIN DATA'!B:B,'Comm per Month (Mil in-kind)'!B18,'Bilateral Assistance, MAIN DATA'!AG:AG,1,'Bilateral Assistance, MAIN DATA'!AH:AH,'Comm per Month (Mil in-kind)'!$I$11, 'Bilateral Assistance, MAIN DATA'!AS:AS,1)/1000000000</f>
        <v>0</v>
      </c>
      <c r="J18" s="276">
        <f>SUMIFS('Bilateral Assistance, MAIN DATA'!S:S,'Bilateral Assistance, MAIN DATA'!B:B,'Comm per Month (Mil in-kind)'!B18,'Bilateral Assistance, MAIN DATA'!AG:AG,1,'Bilateral Assistance, MAIN DATA'!AH:AH,'Comm per Month (Mil in-kind)'!$J$11, 'Bilateral Assistance, MAIN DATA'!AS:AS,1)/1000000000</f>
        <v>0</v>
      </c>
      <c r="K18" s="276">
        <f>SUMIFS('Bilateral Assistance, MAIN DATA'!S:S,'Bilateral Assistance, MAIN DATA'!B:B,'Comm per Month (Mil in-kind)'!B18,'Bilateral Assistance, MAIN DATA'!AG:AG,1,'Bilateral Assistance, MAIN DATA'!AH:AH,'Comm per Month (Mil in-kind)'!$K$11, 'Bilateral Assistance, MAIN DATA'!AS:AS,1)/1000000000</f>
        <v>0</v>
      </c>
      <c r="L18" s="276">
        <f>SUMIFS('Bilateral Assistance, MAIN DATA'!S:S,'Bilateral Assistance, MAIN DATA'!B:B,'Comm per Month (Mil in-kind)'!B18,'Bilateral Assistance, MAIN DATA'!AG:AG,1,'Bilateral Assistance, MAIN DATA'!AH:AH,'Comm per Month (Mil in-kind)'!$L$11, 'Bilateral Assistance, MAIN DATA'!AS:AS,1)/1000000000</f>
        <v>0</v>
      </c>
      <c r="M18" s="277">
        <f>SUMIFS('Bilateral Assistance, MAIN DATA'!S:S,'Bilateral Assistance, MAIN DATA'!B:B,'Comm per Month (Mil in-kind)'!B18,'Bilateral Assistance, MAIN DATA'!AG:AG,1,'Bilateral Assistance, MAIN DATA'!AH:AH,'Comm per Month (Mil in-kind)'!$M$11, 'Bilateral Assistance, MAIN DATA'!AS:AS,1)/1000000000</f>
        <v>0</v>
      </c>
      <c r="N18" s="239">
        <f>SUMIFS('Bilateral Assistance, MAIN DATA'!S:S,'Bilateral Assistance, MAIN DATA'!B:B,'Comm per Month (Mil in-kind)'!B18,'Bilateral Assistance, MAIN DATA'!AG:AG,1,'Bilateral Assistance, MAIN DATA'!AH:AH,'Comm per Month (Mil in-kind)'!$N$11, 'Bilateral Assistance, MAIN DATA'!AS:AS,1)/1000000000</f>
        <v>0</v>
      </c>
      <c r="O18" s="277">
        <f>SUMIFS('Bilateral Assistance, MAIN DATA'!S:S,'Bilateral Assistance, MAIN DATA'!B:B,'Comm per Month (Mil in-kind)'!B18,'Bilateral Assistance, MAIN DATA'!AG:AG,1,'Bilateral Assistance, MAIN DATA'!AH:AH,'Comm per Month (Mil in-kind)'!$O$11, 'Bilateral Assistance, MAIN DATA'!AS:AS,1)/1000000000</f>
        <v>5.8508573451442565E-2</v>
      </c>
      <c r="P18" s="277">
        <f>SUMIFS('Bilateral Assistance, MAIN DATA'!S:S,'Bilateral Assistance, MAIN DATA'!B:B,'Comm per Month (Mil in-kind)'!B18,'Bilateral Assistance, MAIN DATA'!AG:AG,1,'Bilateral Assistance, MAIN DATA'!AH:AH,'Comm per Month (Mil in-kind)'!$P$11, 'Bilateral Assistance, MAIN DATA'!AS:AS,1)/1000000000</f>
        <v>3.0000000000000001E-3</v>
      </c>
      <c r="Q18" s="277">
        <f>SUMIFS('Bilateral Assistance, MAIN DATA'!S:S,'Bilateral Assistance, MAIN DATA'!B:B,'Comm per Month (Mil in-kind)'!B18,'Bilateral Assistance, MAIN DATA'!AG:AG,1,'Bilateral Assistance, MAIN DATA'!AH:AH,'Comm per Month (Mil in-kind)'!$Q$11, 'Bilateral Assistance, MAIN DATA'!AS:AS,1)/1000000000</f>
        <v>0</v>
      </c>
      <c r="R18" s="277">
        <f>SUMIFS('Bilateral Assistance, MAIN DATA'!$S:$S,'Bilateral Assistance, MAIN DATA'!$B:$B,'Comm per Month (Mil in-kind)'!$B18,'Bilateral Assistance, MAIN DATA'!$AG:$AG,1,'Bilateral Assistance, MAIN DATA'!$AH:$AH,'Comm per Month (Mil in-kind)'!$R$11, 'Bilateral Assistance, MAIN DATA'!$AS:$AS,1)/1000000000</f>
        <v>4.4562709999999998E-2</v>
      </c>
      <c r="S18" s="277">
        <f>SUMIFS('Bilateral Assistance, MAIN DATA'!$S:$S,'Bilateral Assistance, MAIN DATA'!$B:$B,'Comm per Month (Mil in-kind)'!$B18,'Bilateral Assistance, MAIN DATA'!$AG:$AG,1,'Bilateral Assistance, MAIN DATA'!$AH:$AH,'Comm per Month (Mil in-kind)'!$S$11, 'Bilateral Assistance, MAIN DATA'!$AS:$AS,1)/1000000000</f>
        <v>0</v>
      </c>
      <c r="T18" s="277">
        <f>SUMIFS('Bilateral Assistance, MAIN DATA'!$S:$S,'Bilateral Assistance, MAIN DATA'!$B:$B,'Comm per Month (Mil in-kind)'!$B18,'Bilateral Assistance, MAIN DATA'!$AG:$AG,1,'Bilateral Assistance, MAIN DATA'!$AH:$AH,'Comm per Month (Mil in-kind)'!$T$11, 'Bilateral Assistance, MAIN DATA'!$AS:$AS,1)/1000000000</f>
        <v>0</v>
      </c>
      <c r="U18" s="277">
        <f>SUMIFS('Bilateral Assistance, MAIN DATA'!$S:$S,'Bilateral Assistance, MAIN DATA'!$B:$B,'Comm per Month (Mil in-kind)'!$B18,'Bilateral Assistance, MAIN DATA'!$AG:$AG,1,'Bilateral Assistance, MAIN DATA'!$AH:$AH,'Comm per Month (Mil in-kind)'!$U$11, 'Bilateral Assistance, MAIN DATA'!$AS:$AS,1)/1000000000</f>
        <v>0</v>
      </c>
      <c r="V18" s="277">
        <f t="shared" si="0"/>
        <v>0.12251690679361762</v>
      </c>
      <c r="W18" s="277">
        <f>SUMIFS('Bilateral Assistance, MAIN DATA'!S:S,'Bilateral Assistance, MAIN DATA'!B:B,'Comm per Month (Mil in-kind)'!B18,'Bilateral Assistance, MAIN DATA'!AG:AG,0,'Bilateral Assistance, MAIN DATA'!AS:AS,1)/1000000000</f>
        <v>0</v>
      </c>
      <c r="X18" s="360"/>
      <c r="Y18" s="360"/>
    </row>
    <row r="19" spans="1:25" ht="15.95" customHeight="1">
      <c r="A19" s="5"/>
      <c r="B19" s="24" t="s">
        <v>981</v>
      </c>
      <c r="C19" s="297">
        <v>1</v>
      </c>
      <c r="D19" s="297">
        <v>0</v>
      </c>
      <c r="E19" s="276">
        <f>SUMIFS('Bilateral Assistance, MAIN DATA'!S:S,'Bilateral Assistance, MAIN DATA'!B:B,'Comm per Month (Mil in-kind)'!B19,'Bilateral Assistance, MAIN DATA'!AG:AG,1,'Bilateral Assistance, MAIN DATA'!AH:AH,'Comm per Month (Mil in-kind)'!$E$11, 'Bilateral Assistance, MAIN DATA'!AS:AS,1)/1000000000</f>
        <v>0</v>
      </c>
      <c r="F19" s="276">
        <f>SUMIFS('Bilateral Assistance, MAIN DATA'!S:S,'Bilateral Assistance, MAIN DATA'!B:B,'Comm per Month (Mil in-kind)'!B19,'Bilateral Assistance, MAIN DATA'!AG:AG,1,'Bilateral Assistance, MAIN DATA'!AH:AH,'Comm per Month (Mil in-kind)'!$F$11, 'Bilateral Assistance, MAIN DATA'!AS:AS,1)/1000000000</f>
        <v>0</v>
      </c>
      <c r="G19" s="276">
        <f>SUMIFS('Bilateral Assistance, MAIN DATA'!S:S,'Bilateral Assistance, MAIN DATA'!B:B,'Comm per Month (Mil in-kind)'!B19,'Bilateral Assistance, MAIN DATA'!AG:AG,1,'Bilateral Assistance, MAIN DATA'!AH:AH,'Comm per Month (Mil in-kind)'!$G$11, 'Bilateral Assistance, MAIN DATA'!AS:AS,1)/1000000000</f>
        <v>0</v>
      </c>
      <c r="H19" s="276">
        <f>SUMIFS('Bilateral Assistance, MAIN DATA'!S:S,'Bilateral Assistance, MAIN DATA'!B:B,'Comm per Month (Mil in-kind)'!B19,'Bilateral Assistance, MAIN DATA'!AG:AG,1,'Bilateral Assistance, MAIN DATA'!AH:AH,'Comm per Month (Mil in-kind)'!$H$11, 'Bilateral Assistance, MAIN DATA'!AS:AS,1)/1000000000</f>
        <v>0</v>
      </c>
      <c r="I19" s="276">
        <f>SUMIFS('Bilateral Assistance, MAIN DATA'!S:S,'Bilateral Assistance, MAIN DATA'!B:B,'Comm per Month (Mil in-kind)'!B19,'Bilateral Assistance, MAIN DATA'!AG:AG,1,'Bilateral Assistance, MAIN DATA'!AH:AH,'Comm per Month (Mil in-kind)'!$I$11, 'Bilateral Assistance, MAIN DATA'!AS:AS,1)/1000000000</f>
        <v>0</v>
      </c>
      <c r="J19" s="276">
        <f>SUMIFS('Bilateral Assistance, MAIN DATA'!S:S,'Bilateral Assistance, MAIN DATA'!B:B,'Comm per Month (Mil in-kind)'!B19,'Bilateral Assistance, MAIN DATA'!AG:AG,1,'Bilateral Assistance, MAIN DATA'!AH:AH,'Comm per Month (Mil in-kind)'!$J$11, 'Bilateral Assistance, MAIN DATA'!AS:AS,1)/1000000000</f>
        <v>0</v>
      </c>
      <c r="K19" s="276">
        <f>SUMIFS('Bilateral Assistance, MAIN DATA'!S:S,'Bilateral Assistance, MAIN DATA'!B:B,'Comm per Month (Mil in-kind)'!B19,'Bilateral Assistance, MAIN DATA'!AG:AG,1,'Bilateral Assistance, MAIN DATA'!AH:AH,'Comm per Month (Mil in-kind)'!$K$11, 'Bilateral Assistance, MAIN DATA'!AS:AS,1)/1000000000</f>
        <v>0</v>
      </c>
      <c r="L19" s="276">
        <f>SUMIFS('Bilateral Assistance, MAIN DATA'!S:S,'Bilateral Assistance, MAIN DATA'!B:B,'Comm per Month (Mil in-kind)'!B19,'Bilateral Assistance, MAIN DATA'!AG:AG,1,'Bilateral Assistance, MAIN DATA'!AH:AH,'Comm per Month (Mil in-kind)'!$L$11, 'Bilateral Assistance, MAIN DATA'!AS:AS,1)/1000000000</f>
        <v>0</v>
      </c>
      <c r="M19" s="277">
        <f>SUMIFS('Bilateral Assistance, MAIN DATA'!S:S,'Bilateral Assistance, MAIN DATA'!B:B,'Comm per Month (Mil in-kind)'!B19,'Bilateral Assistance, MAIN DATA'!AG:AG,1,'Bilateral Assistance, MAIN DATA'!AH:AH,'Comm per Month (Mil in-kind)'!$M$11, 'Bilateral Assistance, MAIN DATA'!AS:AS,1)/1000000000</f>
        <v>0</v>
      </c>
      <c r="N19" s="239">
        <f>SUMIFS('Bilateral Assistance, MAIN DATA'!S:S,'Bilateral Assistance, MAIN DATA'!B:B,'Comm per Month (Mil in-kind)'!B19,'Bilateral Assistance, MAIN DATA'!AG:AG,1,'Bilateral Assistance, MAIN DATA'!AH:AH,'Comm per Month (Mil in-kind)'!$N$11, 'Bilateral Assistance, MAIN DATA'!AS:AS,1)/1000000000</f>
        <v>0</v>
      </c>
      <c r="O19" s="277">
        <f>SUMIFS('Bilateral Assistance, MAIN DATA'!S:S,'Bilateral Assistance, MAIN DATA'!B:B,'Comm per Month (Mil in-kind)'!B19,'Bilateral Assistance, MAIN DATA'!AG:AG,1,'Bilateral Assistance, MAIN DATA'!AH:AH,'Comm per Month (Mil in-kind)'!$O$11, 'Bilateral Assistance, MAIN DATA'!AS:AS,1)/1000000000</f>
        <v>0</v>
      </c>
      <c r="P19" s="277">
        <f>SUMIFS('Bilateral Assistance, MAIN DATA'!S:S,'Bilateral Assistance, MAIN DATA'!B:B,'Comm per Month (Mil in-kind)'!B19,'Bilateral Assistance, MAIN DATA'!AG:AG,1,'Bilateral Assistance, MAIN DATA'!AH:AH,'Comm per Month (Mil in-kind)'!$P$11, 'Bilateral Assistance, MAIN DATA'!AS:AS,1)/1000000000</f>
        <v>0</v>
      </c>
      <c r="Q19" s="277">
        <f>SUMIFS('Bilateral Assistance, MAIN DATA'!S:S,'Bilateral Assistance, MAIN DATA'!B:B,'Comm per Month (Mil in-kind)'!B19,'Bilateral Assistance, MAIN DATA'!AG:AG,1,'Bilateral Assistance, MAIN DATA'!AH:AH,'Comm per Month (Mil in-kind)'!$Q$11, 'Bilateral Assistance, MAIN DATA'!AS:AS,1)/1000000000</f>
        <v>0</v>
      </c>
      <c r="R19" s="277">
        <f>SUMIFS('Bilateral Assistance, MAIN DATA'!$S:$S,'Bilateral Assistance, MAIN DATA'!$B:$B,'Comm per Month (Mil in-kind)'!$B19,'Bilateral Assistance, MAIN DATA'!$AG:$AG,1,'Bilateral Assistance, MAIN DATA'!$AH:$AH,'Comm per Month (Mil in-kind)'!$R$11, 'Bilateral Assistance, MAIN DATA'!$AS:$AS,1)/1000000000</f>
        <v>0</v>
      </c>
      <c r="S19" s="277">
        <f>SUMIFS('Bilateral Assistance, MAIN DATA'!$S:$S,'Bilateral Assistance, MAIN DATA'!$B:$B,'Comm per Month (Mil in-kind)'!$B19,'Bilateral Assistance, MAIN DATA'!$AG:$AG,1,'Bilateral Assistance, MAIN DATA'!$AH:$AH,'Comm per Month (Mil in-kind)'!$S$11, 'Bilateral Assistance, MAIN DATA'!$AS:$AS,1)/1000000000</f>
        <v>0</v>
      </c>
      <c r="T19" s="277">
        <f>SUMIFS('Bilateral Assistance, MAIN DATA'!$S:$S,'Bilateral Assistance, MAIN DATA'!$B:$B,'Comm per Month (Mil in-kind)'!$B19,'Bilateral Assistance, MAIN DATA'!$AG:$AG,1,'Bilateral Assistance, MAIN DATA'!$AH:$AH,'Comm per Month (Mil in-kind)'!$T$11, 'Bilateral Assistance, MAIN DATA'!$AS:$AS,1)/1000000000</f>
        <v>0</v>
      </c>
      <c r="U19" s="277">
        <f>SUMIFS('Bilateral Assistance, MAIN DATA'!$S:$S,'Bilateral Assistance, MAIN DATA'!$B:$B,'Comm per Month (Mil in-kind)'!$B19,'Bilateral Assistance, MAIN DATA'!$AG:$AG,1,'Bilateral Assistance, MAIN DATA'!$AH:$AH,'Comm per Month (Mil in-kind)'!$U$11, 'Bilateral Assistance, MAIN DATA'!$AS:$AS,1)/1000000000</f>
        <v>0</v>
      </c>
      <c r="V19" s="277">
        <f t="shared" si="0"/>
        <v>0</v>
      </c>
      <c r="W19" s="277">
        <f>SUMIFS('Bilateral Assistance, MAIN DATA'!S:S,'Bilateral Assistance, MAIN DATA'!B:B,'Comm per Month (Mil in-kind)'!B19,'Bilateral Assistance, MAIN DATA'!AG:AG,0,'Bilateral Assistance, MAIN DATA'!AS:AS,1)/1000000000</f>
        <v>0</v>
      </c>
    </row>
    <row r="20" spans="1:25" ht="15.95" customHeight="1">
      <c r="A20" s="5"/>
      <c r="B20" s="24" t="s">
        <v>1012</v>
      </c>
      <c r="C20" s="297">
        <v>1</v>
      </c>
      <c r="D20" s="297">
        <v>0</v>
      </c>
      <c r="E20" s="276">
        <f>SUMIFS('Bilateral Assistance, MAIN DATA'!S:S,'Bilateral Assistance, MAIN DATA'!B:B,'Comm per Month (Mil in-kind)'!B20,'Bilateral Assistance, MAIN DATA'!AG:AG,1,'Bilateral Assistance, MAIN DATA'!AH:AH,'Comm per Month (Mil in-kind)'!$E$11, 'Bilateral Assistance, MAIN DATA'!AS:AS,1)/1000000000</f>
        <v>0</v>
      </c>
      <c r="F20" s="276">
        <f>SUMIFS('Bilateral Assistance, MAIN DATA'!S:S,'Bilateral Assistance, MAIN DATA'!B:B,'Comm per Month (Mil in-kind)'!B20,'Bilateral Assistance, MAIN DATA'!AG:AG,1,'Bilateral Assistance, MAIN DATA'!AH:AH,'Comm per Month (Mil in-kind)'!$F$11, 'Bilateral Assistance, MAIN DATA'!AS:AS,1)/1000000000</f>
        <v>2.6476225895316806E-2</v>
      </c>
      <c r="G20" s="276">
        <f>SUMIFS('Bilateral Assistance, MAIN DATA'!S:S,'Bilateral Assistance, MAIN DATA'!B:B,'Comm per Month (Mil in-kind)'!B20,'Bilateral Assistance, MAIN DATA'!AG:AG,1,'Bilateral Assistance, MAIN DATA'!AH:AH,'Comm per Month (Mil in-kind)'!$G$11, 'Bilateral Assistance, MAIN DATA'!AS:AS,1)/1000000000</f>
        <v>3.42969864266515E-2</v>
      </c>
      <c r="H20" s="276">
        <f>SUMIFS('Bilateral Assistance, MAIN DATA'!S:S,'Bilateral Assistance, MAIN DATA'!B:B,'Comm per Month (Mil in-kind)'!B20,'Bilateral Assistance, MAIN DATA'!AG:AG,1,'Bilateral Assistance, MAIN DATA'!AH:AH,'Comm per Month (Mil in-kind)'!$H$11, 'Bilateral Assistance, MAIN DATA'!AS:AS,1)/1000000000</f>
        <v>0.29803804607837658</v>
      </c>
      <c r="I20" s="276">
        <f>SUMIFS('Bilateral Assistance, MAIN DATA'!S:S,'Bilateral Assistance, MAIN DATA'!B:B,'Comm per Month (Mil in-kind)'!B20,'Bilateral Assistance, MAIN DATA'!AG:AG,1,'Bilateral Assistance, MAIN DATA'!AH:AH,'Comm per Month (Mil in-kind)'!$I$11, 'Bilateral Assistance, MAIN DATA'!AS:AS,1)/1000000000</f>
        <v>7.1770334928229665E-2</v>
      </c>
      <c r="J20" s="276">
        <f>SUMIFS('Bilateral Assistance, MAIN DATA'!S:S,'Bilateral Assistance, MAIN DATA'!B:B,'Comm per Month (Mil in-kind)'!B20,'Bilateral Assistance, MAIN DATA'!AG:AG,1,'Bilateral Assistance, MAIN DATA'!AH:AH,'Comm per Month (Mil in-kind)'!$J$11, 'Bilateral Assistance, MAIN DATA'!AS:AS,1)/1000000000</f>
        <v>0</v>
      </c>
      <c r="K20" s="276">
        <f>SUMIFS('Bilateral Assistance, MAIN DATA'!S:S,'Bilateral Assistance, MAIN DATA'!B:B,'Comm per Month (Mil in-kind)'!B20,'Bilateral Assistance, MAIN DATA'!AG:AG,1,'Bilateral Assistance, MAIN DATA'!AH:AH,'Comm per Month (Mil in-kind)'!$K$11, 'Bilateral Assistance, MAIN DATA'!AS:AS,1)/1000000000</f>
        <v>0</v>
      </c>
      <c r="L20" s="276">
        <f>SUMIFS('Bilateral Assistance, MAIN DATA'!S:S,'Bilateral Assistance, MAIN DATA'!B:B,'Comm per Month (Mil in-kind)'!B20,'Bilateral Assistance, MAIN DATA'!AG:AG,1,'Bilateral Assistance, MAIN DATA'!AH:AH,'Comm per Month (Mil in-kind)'!$L$11, 'Bilateral Assistance, MAIN DATA'!AS:AS,1)/1000000000</f>
        <v>0</v>
      </c>
      <c r="M20" s="277">
        <f>SUMIFS('Bilateral Assistance, MAIN DATA'!S:S,'Bilateral Assistance, MAIN DATA'!B:B,'Comm per Month (Mil in-kind)'!B20,'Bilateral Assistance, MAIN DATA'!AG:AG,1,'Bilateral Assistance, MAIN DATA'!AH:AH,'Comm per Month (Mil in-kind)'!$M$11, 'Bilateral Assistance, MAIN DATA'!AS:AS,1)/1000000000</f>
        <v>0</v>
      </c>
      <c r="N20" s="239">
        <f>SUMIFS('Bilateral Assistance, MAIN DATA'!S:S,'Bilateral Assistance, MAIN DATA'!B:B,'Comm per Month (Mil in-kind)'!B20,'Bilateral Assistance, MAIN DATA'!AG:AG,1,'Bilateral Assistance, MAIN DATA'!AH:AH,'Comm per Month (Mil in-kind)'!$N$11, 'Bilateral Assistance, MAIN DATA'!AS:AS,1)/1000000000</f>
        <v>1.7885145157872432E-2</v>
      </c>
      <c r="O20" s="277">
        <f>SUMIFS('Bilateral Assistance, MAIN DATA'!S:S,'Bilateral Assistance, MAIN DATA'!B:B,'Comm per Month (Mil in-kind)'!B20,'Bilateral Assistance, MAIN DATA'!AG:AG,1,'Bilateral Assistance, MAIN DATA'!AH:AH,'Comm per Month (Mil in-kind)'!$O$11, 'Bilateral Assistance, MAIN DATA'!AS:AS,1)/1000000000</f>
        <v>0</v>
      </c>
      <c r="P20" s="277">
        <f>SUMIFS('Bilateral Assistance, MAIN DATA'!S:S,'Bilateral Assistance, MAIN DATA'!B:B,'Comm per Month (Mil in-kind)'!B20,'Bilateral Assistance, MAIN DATA'!AG:AG,1,'Bilateral Assistance, MAIN DATA'!AH:AH,'Comm per Month (Mil in-kind)'!$P$11, 'Bilateral Assistance, MAIN DATA'!AS:AS,1)/1000000000</f>
        <v>0</v>
      </c>
      <c r="Q20" s="277">
        <f>SUMIFS('Bilateral Assistance, MAIN DATA'!S:S,'Bilateral Assistance, MAIN DATA'!B:B,'Comm per Month (Mil in-kind)'!B20,'Bilateral Assistance, MAIN DATA'!AG:AG,1,'Bilateral Assistance, MAIN DATA'!AH:AH,'Comm per Month (Mil in-kind)'!$Q$11, 'Bilateral Assistance, MAIN DATA'!AS:AS,1)/1000000000</f>
        <v>0</v>
      </c>
      <c r="R20" s="277">
        <f>SUMIFS('Bilateral Assistance, MAIN DATA'!$S:$S,'Bilateral Assistance, MAIN DATA'!$B:$B,'Comm per Month (Mil in-kind)'!$B20,'Bilateral Assistance, MAIN DATA'!$AG:$AG,1,'Bilateral Assistance, MAIN DATA'!$AH:$AH,'Comm per Month (Mil in-kind)'!$R$11, 'Bilateral Assistance, MAIN DATA'!$AS:$AS,1)/1000000000</f>
        <v>0</v>
      </c>
      <c r="S20" s="277">
        <f>SUMIFS('Bilateral Assistance, MAIN DATA'!$S:$S,'Bilateral Assistance, MAIN DATA'!$B:$B,'Comm per Month (Mil in-kind)'!$B20,'Bilateral Assistance, MAIN DATA'!$AG:$AG,1,'Bilateral Assistance, MAIN DATA'!$AH:$AH,'Comm per Month (Mil in-kind)'!$S$11, 'Bilateral Assistance, MAIN DATA'!$AS:$AS,1)/1000000000</f>
        <v>0</v>
      </c>
      <c r="T20" s="277">
        <f>SUMIFS('Bilateral Assistance, MAIN DATA'!$S:$S,'Bilateral Assistance, MAIN DATA'!$B:$B,'Comm per Month (Mil in-kind)'!$B20,'Bilateral Assistance, MAIN DATA'!$AG:$AG,1,'Bilateral Assistance, MAIN DATA'!$AH:$AH,'Comm per Month (Mil in-kind)'!$T$11, 'Bilateral Assistance, MAIN DATA'!$AS:$AS,1)/1000000000</f>
        <v>2.9667302394575122E-2</v>
      </c>
      <c r="U20" s="277">
        <f>SUMIFS('Bilateral Assistance, MAIN DATA'!$S:$S,'Bilateral Assistance, MAIN DATA'!$B:$B,'Comm per Month (Mil in-kind)'!$B20,'Bilateral Assistance, MAIN DATA'!$AG:$AG,1,'Bilateral Assistance, MAIN DATA'!$AH:$AH,'Comm per Month (Mil in-kind)'!$U$11, 'Bilateral Assistance, MAIN DATA'!$AS:$AS,1)/1000000000</f>
        <v>4.6006624953993373E-2</v>
      </c>
      <c r="V20" s="277">
        <f t="shared" si="0"/>
        <v>0.5241406658350154</v>
      </c>
      <c r="W20" s="277">
        <f>SUMIFS('Bilateral Assistance, MAIN DATA'!S:S,'Bilateral Assistance, MAIN DATA'!B:B,'Comm per Month (Mil in-kind)'!B20,'Bilateral Assistance, MAIN DATA'!AG:AG,0,'Bilateral Assistance, MAIN DATA'!AS:AS,1)/1000000000</f>
        <v>0</v>
      </c>
    </row>
    <row r="21" spans="1:25" ht="15.95" customHeight="1">
      <c r="A21" s="5"/>
      <c r="B21" s="24" t="s">
        <v>1194</v>
      </c>
      <c r="C21" s="297">
        <v>1</v>
      </c>
      <c r="D21" s="297">
        <v>0</v>
      </c>
      <c r="E21" s="276">
        <f>SUMIFS('Bilateral Assistance, MAIN DATA'!S:S,'Bilateral Assistance, MAIN DATA'!B:B,'Comm per Month (Mil in-kind)'!B21,'Bilateral Assistance, MAIN DATA'!AG:AG,1,'Bilateral Assistance, MAIN DATA'!AH:AH,'Comm per Month (Mil in-kind)'!$E$11, 'Bilateral Assistance, MAIN DATA'!AS:AS,1)/1000000000</f>
        <v>0</v>
      </c>
      <c r="F21" s="276">
        <f>SUMIFS('Bilateral Assistance, MAIN DATA'!S:S,'Bilateral Assistance, MAIN DATA'!B:B,'Comm per Month (Mil in-kind)'!B21,'Bilateral Assistance, MAIN DATA'!AG:AG,1,'Bilateral Assistance, MAIN DATA'!AH:AH,'Comm per Month (Mil in-kind)'!$F$11, 'Bilateral Assistance, MAIN DATA'!AS:AS,1)/1000000000</f>
        <v>0</v>
      </c>
      <c r="G21" s="276">
        <f>SUMIFS('Bilateral Assistance, MAIN DATA'!S:S,'Bilateral Assistance, MAIN DATA'!B:B,'Comm per Month (Mil in-kind)'!B21,'Bilateral Assistance, MAIN DATA'!AG:AG,1,'Bilateral Assistance, MAIN DATA'!AH:AH,'Comm per Month (Mil in-kind)'!$G$11, 'Bilateral Assistance, MAIN DATA'!AS:AS,1)/1000000000</f>
        <v>0</v>
      </c>
      <c r="H21" s="276">
        <f>SUMIFS('Bilateral Assistance, MAIN DATA'!S:S,'Bilateral Assistance, MAIN DATA'!B:B,'Comm per Month (Mil in-kind)'!B21,'Bilateral Assistance, MAIN DATA'!AG:AG,1,'Bilateral Assistance, MAIN DATA'!AH:AH,'Comm per Month (Mil in-kind)'!$H$11, 'Bilateral Assistance, MAIN DATA'!AS:AS,1)/1000000000</f>
        <v>0.13425521917164529</v>
      </c>
      <c r="I21" s="276">
        <f>SUMIFS('Bilateral Assistance, MAIN DATA'!S:S,'Bilateral Assistance, MAIN DATA'!B:B,'Comm per Month (Mil in-kind)'!B21,'Bilateral Assistance, MAIN DATA'!AG:AG,1,'Bilateral Assistance, MAIN DATA'!AH:AH,'Comm per Month (Mil in-kind)'!$I$11, 'Bilateral Assistance, MAIN DATA'!AS:AS,1)/1000000000</f>
        <v>0.13425521917164529</v>
      </c>
      <c r="J21" s="276">
        <f>SUMIFS('Bilateral Assistance, MAIN DATA'!S:S,'Bilateral Assistance, MAIN DATA'!B:B,'Comm per Month (Mil in-kind)'!B21,'Bilateral Assistance, MAIN DATA'!AG:AG,1,'Bilateral Assistance, MAIN DATA'!AH:AH,'Comm per Month (Mil in-kind)'!$J$11, 'Bilateral Assistance, MAIN DATA'!AS:AS,1)/1000000000</f>
        <v>0</v>
      </c>
      <c r="K21" s="276">
        <f>SUMIFS('Bilateral Assistance, MAIN DATA'!S:S,'Bilateral Assistance, MAIN DATA'!B:B,'Comm per Month (Mil in-kind)'!B21,'Bilateral Assistance, MAIN DATA'!AG:AG,1,'Bilateral Assistance, MAIN DATA'!AH:AH,'Comm per Month (Mil in-kind)'!$K$11, 'Bilateral Assistance, MAIN DATA'!AS:AS,1)/1000000000</f>
        <v>0</v>
      </c>
      <c r="L21" s="276">
        <f>SUMIFS('Bilateral Assistance, MAIN DATA'!S:S,'Bilateral Assistance, MAIN DATA'!B:B,'Comm per Month (Mil in-kind)'!B21,'Bilateral Assistance, MAIN DATA'!AG:AG,1,'Bilateral Assistance, MAIN DATA'!AH:AH,'Comm per Month (Mil in-kind)'!$L$11, 'Bilateral Assistance, MAIN DATA'!AS:AS,1)/1000000000</f>
        <v>0.11008927972074914</v>
      </c>
      <c r="M21" s="277">
        <f>SUMIFS('Bilateral Assistance, MAIN DATA'!S:S,'Bilateral Assistance, MAIN DATA'!B:B,'Comm per Month (Mil in-kind)'!B21,'Bilateral Assistance, MAIN DATA'!AG:AG,1,'Bilateral Assistance, MAIN DATA'!AH:AH,'Comm per Month (Mil in-kind)'!$M$11, 'Bilateral Assistance, MAIN DATA'!AS:AS,1)/1000000000</f>
        <v>0.13076458347318251</v>
      </c>
      <c r="N21" s="239">
        <f>SUMIFS('Bilateral Assistance, MAIN DATA'!S:S,'Bilateral Assistance, MAIN DATA'!B:B,'Comm per Month (Mil in-kind)'!B21,'Bilateral Assistance, MAIN DATA'!AG:AG,1,'Bilateral Assistance, MAIN DATA'!AH:AH,'Comm per Month (Mil in-kind)'!$N$11, 'Bilateral Assistance, MAIN DATA'!AS:AS,1)/1000000000</f>
        <v>0</v>
      </c>
      <c r="O21" s="277">
        <f>SUMIFS('Bilateral Assistance, MAIN DATA'!S:S,'Bilateral Assistance, MAIN DATA'!B:B,'Comm per Month (Mil in-kind)'!B21,'Bilateral Assistance, MAIN DATA'!AG:AG,1,'Bilateral Assistance, MAIN DATA'!AH:AH,'Comm per Month (Mil in-kind)'!$O$11, 'Bilateral Assistance, MAIN DATA'!AS:AS,1)/1000000000</f>
        <v>0</v>
      </c>
      <c r="P21" s="277">
        <f>SUMIFS('Bilateral Assistance, MAIN DATA'!S:S,'Bilateral Assistance, MAIN DATA'!B:B,'Comm per Month (Mil in-kind)'!B21,'Bilateral Assistance, MAIN DATA'!AG:AG,1,'Bilateral Assistance, MAIN DATA'!AH:AH,'Comm per Month (Mil in-kind)'!$P$11, 'Bilateral Assistance, MAIN DATA'!AS:AS,1)/1000000000</f>
        <v>5.28E-2</v>
      </c>
      <c r="Q21" s="277">
        <f>SUMIFS('Bilateral Assistance, MAIN DATA'!S:S,'Bilateral Assistance, MAIN DATA'!B:B,'Comm per Month (Mil in-kind)'!B21,'Bilateral Assistance, MAIN DATA'!AG:AG,1,'Bilateral Assistance, MAIN DATA'!AH:AH,'Comm per Month (Mil in-kind)'!$Q$11, 'Bilateral Assistance, MAIN DATA'!AS:AS,1)/1000000000</f>
        <v>0</v>
      </c>
      <c r="R21" s="277">
        <f>SUMIFS('Bilateral Assistance, MAIN DATA'!$S:$S,'Bilateral Assistance, MAIN DATA'!$B:$B,'Comm per Month (Mil in-kind)'!$B21,'Bilateral Assistance, MAIN DATA'!$AG:$AG,1,'Bilateral Assistance, MAIN DATA'!$AH:$AH,'Comm per Month (Mil in-kind)'!$R$11, 'Bilateral Assistance, MAIN DATA'!$AS:$AS,1)/1000000000</f>
        <v>0</v>
      </c>
      <c r="S21" s="277">
        <f>SUMIFS('Bilateral Assistance, MAIN DATA'!$S:$S,'Bilateral Assistance, MAIN DATA'!$B:$B,'Comm per Month (Mil in-kind)'!$B21,'Bilateral Assistance, MAIN DATA'!$AG:$AG,1,'Bilateral Assistance, MAIN DATA'!$AH:$AH,'Comm per Month (Mil in-kind)'!$S$11, 'Bilateral Assistance, MAIN DATA'!$AS:$AS,1)/1000000000</f>
        <v>0</v>
      </c>
      <c r="T21" s="277">
        <f>SUMIFS('Bilateral Assistance, MAIN DATA'!$S:$S,'Bilateral Assistance, MAIN DATA'!$B:$B,'Comm per Month (Mil in-kind)'!$B21,'Bilateral Assistance, MAIN DATA'!$AG:$AG,1,'Bilateral Assistance, MAIN DATA'!$AH:$AH,'Comm per Month (Mil in-kind)'!$T$11, 'Bilateral Assistance, MAIN DATA'!$AS:$AS,1)/1000000000</f>
        <v>0</v>
      </c>
      <c r="U21" s="277">
        <f>SUMIFS('Bilateral Assistance, MAIN DATA'!$S:$S,'Bilateral Assistance, MAIN DATA'!$B:$B,'Comm per Month (Mil in-kind)'!$B21,'Bilateral Assistance, MAIN DATA'!$AG:$AG,1,'Bilateral Assistance, MAIN DATA'!$AH:$AH,'Comm per Month (Mil in-kind)'!$U$11, 'Bilateral Assistance, MAIN DATA'!$AS:$AS,1)/1000000000</f>
        <v>1.0069141437873397</v>
      </c>
      <c r="V21" s="277">
        <f t="shared" si="0"/>
        <v>1.5690784453245619</v>
      </c>
      <c r="W21" s="277">
        <f>SUMIFS('Bilateral Assistance, MAIN DATA'!S:S,'Bilateral Assistance, MAIN DATA'!B:B,'Comm per Month (Mil in-kind)'!B21,'Bilateral Assistance, MAIN DATA'!AG:AG,0,'Bilateral Assistance, MAIN DATA'!AS:AS,1)/1000000000</f>
        <v>0</v>
      </c>
    </row>
    <row r="22" spans="1:25" ht="15.95" customHeight="1">
      <c r="A22" s="5"/>
      <c r="B22" s="24" t="s">
        <v>1305</v>
      </c>
      <c r="C22" s="297">
        <v>1</v>
      </c>
      <c r="D22" s="297">
        <v>0</v>
      </c>
      <c r="E22" s="276">
        <f>SUMIFS('Bilateral Assistance, MAIN DATA'!S:S,'Bilateral Assistance, MAIN DATA'!B:B,'Comm per Month (Mil in-kind)'!B22,'Bilateral Assistance, MAIN DATA'!AG:AG,1,'Bilateral Assistance, MAIN DATA'!AH:AH,'Comm per Month (Mil in-kind)'!$E$11, 'Bilateral Assistance, MAIN DATA'!AS:AS,1)/1000000000</f>
        <v>0</v>
      </c>
      <c r="F22" s="276">
        <f>SUMIFS('Bilateral Assistance, MAIN DATA'!S:S,'Bilateral Assistance, MAIN DATA'!B:B,'Comm per Month (Mil in-kind)'!B22,'Bilateral Assistance, MAIN DATA'!AG:AG,1,'Bilateral Assistance, MAIN DATA'!AH:AH,'Comm per Month (Mil in-kind)'!$F$11, 'Bilateral Assistance, MAIN DATA'!AS:AS,1)/1000000000</f>
        <v>5.3E-3</v>
      </c>
      <c r="G22" s="276">
        <f>SUMIFS('Bilateral Assistance, MAIN DATA'!S:S,'Bilateral Assistance, MAIN DATA'!B:B,'Comm per Month (Mil in-kind)'!B22,'Bilateral Assistance, MAIN DATA'!AG:AG,1,'Bilateral Assistance, MAIN DATA'!AH:AH,'Comm per Month (Mil in-kind)'!$G$11, 'Bilateral Assistance, MAIN DATA'!AS:AS,1)/1000000000</f>
        <v>0</v>
      </c>
      <c r="H22" s="276">
        <f>SUMIFS('Bilateral Assistance, MAIN DATA'!S:S,'Bilateral Assistance, MAIN DATA'!B:B,'Comm per Month (Mil in-kind)'!B22,'Bilateral Assistance, MAIN DATA'!AG:AG,1,'Bilateral Assistance, MAIN DATA'!AH:AH,'Comm per Month (Mil in-kind)'!$H$11, 'Bilateral Assistance, MAIN DATA'!AS:AS,1)/1000000000</f>
        <v>5.0000000000000001E-3</v>
      </c>
      <c r="I22" s="276">
        <f>SUMIFS('Bilateral Assistance, MAIN DATA'!S:S,'Bilateral Assistance, MAIN DATA'!B:B,'Comm per Month (Mil in-kind)'!B22,'Bilateral Assistance, MAIN DATA'!AG:AG,1,'Bilateral Assistance, MAIN DATA'!AH:AH,'Comm per Month (Mil in-kind)'!$I$11, 'Bilateral Assistance, MAIN DATA'!AS:AS,1)/1000000000</f>
        <v>0.24</v>
      </c>
      <c r="J22" s="276">
        <f>SUMIFS('Bilateral Assistance, MAIN DATA'!S:S,'Bilateral Assistance, MAIN DATA'!B:B,'Comm per Month (Mil in-kind)'!B22,'Bilateral Assistance, MAIN DATA'!AG:AG,1,'Bilateral Assistance, MAIN DATA'!AH:AH,'Comm per Month (Mil in-kind)'!$J$11, 'Bilateral Assistance, MAIN DATA'!AS:AS,1)/1000000000</f>
        <v>0</v>
      </c>
      <c r="K22" s="276">
        <f>SUMIFS('Bilateral Assistance, MAIN DATA'!S:S,'Bilateral Assistance, MAIN DATA'!B:B,'Comm per Month (Mil in-kind)'!B22,'Bilateral Assistance, MAIN DATA'!AG:AG,1,'Bilateral Assistance, MAIN DATA'!AH:AH,'Comm per Month (Mil in-kind)'!$K$11, 'Bilateral Assistance, MAIN DATA'!AS:AS,1)/1000000000</f>
        <v>0</v>
      </c>
      <c r="L22" s="276">
        <f>SUMIFS('Bilateral Assistance, MAIN DATA'!S:S,'Bilateral Assistance, MAIN DATA'!B:B,'Comm per Month (Mil in-kind)'!B22,'Bilateral Assistance, MAIN DATA'!AG:AG,1,'Bilateral Assistance, MAIN DATA'!AH:AH,'Comm per Month (Mil in-kind)'!$L$11, 'Bilateral Assistance, MAIN DATA'!AS:AS,1)/1000000000</f>
        <v>1.7819999999999999E-2</v>
      </c>
      <c r="M22" s="277">
        <f>SUMIFS('Bilateral Assistance, MAIN DATA'!S:S,'Bilateral Assistance, MAIN DATA'!B:B,'Comm per Month (Mil in-kind)'!B22,'Bilateral Assistance, MAIN DATA'!AG:AG,1,'Bilateral Assistance, MAIN DATA'!AH:AH,'Comm per Month (Mil in-kind)'!$M$11, 'Bilateral Assistance, MAIN DATA'!AS:AS,1)/1000000000</f>
        <v>0</v>
      </c>
      <c r="N22" s="239">
        <f>SUMIFS('Bilateral Assistance, MAIN DATA'!S:S,'Bilateral Assistance, MAIN DATA'!B:B,'Comm per Month (Mil in-kind)'!B22,'Bilateral Assistance, MAIN DATA'!AG:AG,1,'Bilateral Assistance, MAIN DATA'!AH:AH,'Comm per Month (Mil in-kind)'!$N$11, 'Bilateral Assistance, MAIN DATA'!AS:AS,1)/1000000000</f>
        <v>3.1879999999999999E-2</v>
      </c>
      <c r="O22" s="277">
        <f>SUMIFS('Bilateral Assistance, MAIN DATA'!S:S,'Bilateral Assistance, MAIN DATA'!B:B,'Comm per Month (Mil in-kind)'!B22,'Bilateral Assistance, MAIN DATA'!AG:AG,1,'Bilateral Assistance, MAIN DATA'!AH:AH,'Comm per Month (Mil in-kind)'!$O$11, 'Bilateral Assistance, MAIN DATA'!AS:AS,1)/1000000000</f>
        <v>0</v>
      </c>
      <c r="P22" s="277">
        <f>SUMIFS('Bilateral Assistance, MAIN DATA'!S:S,'Bilateral Assistance, MAIN DATA'!B:B,'Comm per Month (Mil in-kind)'!B22,'Bilateral Assistance, MAIN DATA'!AG:AG,1,'Bilateral Assistance, MAIN DATA'!AH:AH,'Comm per Month (Mil in-kind)'!$P$11, 'Bilateral Assistance, MAIN DATA'!AS:AS,1)/1000000000</f>
        <v>7.7999999999999996E-3</v>
      </c>
      <c r="Q22" s="277">
        <f>SUMIFS('Bilateral Assistance, MAIN DATA'!S:S,'Bilateral Assistance, MAIN DATA'!B:B,'Comm per Month (Mil in-kind)'!B22,'Bilateral Assistance, MAIN DATA'!AG:AG,1,'Bilateral Assistance, MAIN DATA'!AH:AH,'Comm per Month (Mil in-kind)'!$Q$11, 'Bilateral Assistance, MAIN DATA'!AS:AS,1)/1000000000</f>
        <v>0.113</v>
      </c>
      <c r="R22" s="277">
        <f>SUMIFS('Bilateral Assistance, MAIN DATA'!$S:$S,'Bilateral Assistance, MAIN DATA'!$B:$B,'Comm per Month (Mil in-kind)'!$B22,'Bilateral Assistance, MAIN DATA'!$AG:$AG,1,'Bilateral Assistance, MAIN DATA'!$AH:$AH,'Comm per Month (Mil in-kind)'!$R$11, 'Bilateral Assistance, MAIN DATA'!$AS:$AS,1)/1000000000</f>
        <v>0</v>
      </c>
      <c r="S22" s="277">
        <f>SUMIFS('Bilateral Assistance, MAIN DATA'!$S:$S,'Bilateral Assistance, MAIN DATA'!$B:$B,'Comm per Month (Mil in-kind)'!$B22,'Bilateral Assistance, MAIN DATA'!$AG:$AG,1,'Bilateral Assistance, MAIN DATA'!$AH:$AH,'Comm per Month (Mil in-kind)'!$S$11, 'Bilateral Assistance, MAIN DATA'!$AS:$AS,1)/1000000000</f>
        <v>4.9430000000000003E-4</v>
      </c>
      <c r="T22" s="277">
        <f>SUMIFS('Bilateral Assistance, MAIN DATA'!$S:$S,'Bilateral Assistance, MAIN DATA'!$B:$B,'Comm per Month (Mil in-kind)'!$B22,'Bilateral Assistance, MAIN DATA'!$AG:$AG,1,'Bilateral Assistance, MAIN DATA'!$AH:$AH,'Comm per Month (Mil in-kind)'!$T$11, 'Bilateral Assistance, MAIN DATA'!$AS:$AS,1)/1000000000</f>
        <v>0</v>
      </c>
      <c r="U22" s="277">
        <f>SUMIFS('Bilateral Assistance, MAIN DATA'!$S:$S,'Bilateral Assistance, MAIN DATA'!$B:$B,'Comm per Month (Mil in-kind)'!$B22,'Bilateral Assistance, MAIN DATA'!$AG:$AG,1,'Bilateral Assistance, MAIN DATA'!$AH:$AH,'Comm per Month (Mil in-kind)'!$U$11, 'Bilateral Assistance, MAIN DATA'!$AS:$AS,1)/1000000000</f>
        <v>0</v>
      </c>
      <c r="V22" s="277">
        <f t="shared" si="0"/>
        <v>0.42129429999999995</v>
      </c>
      <c r="W22" s="277">
        <f>SUMIFS('Bilateral Assistance, MAIN DATA'!S:S,'Bilateral Assistance, MAIN DATA'!B:B,'Comm per Month (Mil in-kind)'!B22,'Bilateral Assistance, MAIN DATA'!AG:AG,0,'Bilateral Assistance, MAIN DATA'!AS:AS,1)/1000000000</f>
        <v>0</v>
      </c>
    </row>
    <row r="23" spans="1:25" ht="15.95" customHeight="1">
      <c r="A23" s="289"/>
      <c r="B23" s="37" t="s">
        <v>4406</v>
      </c>
      <c r="C23" s="297">
        <v>1</v>
      </c>
      <c r="D23" s="297">
        <v>1</v>
      </c>
      <c r="E23" s="276">
        <f>SUMIFS('Bilateral Assistance, MAIN DATA'!S:S,'Bilateral Assistance, MAIN DATA'!B:B,'Comm per Month (Mil in-kind)'!B23,'Bilateral Assistance, MAIN DATA'!AG:AG,1,'Bilateral Assistance, MAIN DATA'!AH:AH,'Comm per Month (Mil in-kind)'!$E$11, 'Bilateral Assistance, MAIN DATA'!AS:AS,1)/1000000000</f>
        <v>0</v>
      </c>
      <c r="F23" s="276">
        <f>SUMIFS('Bilateral Assistance, MAIN DATA'!S:S,'Bilateral Assistance, MAIN DATA'!B:B,'Comm per Month (Mil in-kind)'!B23,'Bilateral Assistance, MAIN DATA'!AG:AG,1,'Bilateral Assistance, MAIN DATA'!AH:AH,'Comm per Month (Mil in-kind)'!$F$11, 'Bilateral Assistance, MAIN DATA'!AS:AS,1)/1000000000</f>
        <v>0</v>
      </c>
      <c r="G23" s="276">
        <f>SUMIFS('Bilateral Assistance, MAIN DATA'!S:S,'Bilateral Assistance, MAIN DATA'!B:B,'Comm per Month (Mil in-kind)'!B23,'Bilateral Assistance, MAIN DATA'!AG:AG,1,'Bilateral Assistance, MAIN DATA'!AH:AH,'Comm per Month (Mil in-kind)'!$G$11, 'Bilateral Assistance, MAIN DATA'!AS:AS,1)/1000000000</f>
        <v>0</v>
      </c>
      <c r="H23" s="276">
        <f>SUMIFS('Bilateral Assistance, MAIN DATA'!S:S,'Bilateral Assistance, MAIN DATA'!B:B,'Comm per Month (Mil in-kind)'!B23,'Bilateral Assistance, MAIN DATA'!AG:AG,1,'Bilateral Assistance, MAIN DATA'!AH:AH,'Comm per Month (Mil in-kind)'!$H$11, 'Bilateral Assistance, MAIN DATA'!AS:AS,1)/1000000000</f>
        <v>0</v>
      </c>
      <c r="I23" s="276">
        <f>SUMIFS('Bilateral Assistance, MAIN DATA'!S:S,'Bilateral Assistance, MAIN DATA'!B:B,'Comm per Month (Mil in-kind)'!B23,'Bilateral Assistance, MAIN DATA'!AG:AG,1,'Bilateral Assistance, MAIN DATA'!AH:AH,'Comm per Month (Mil in-kind)'!$I$11, 'Bilateral Assistance, MAIN DATA'!AS:AS,1)/1000000000</f>
        <v>0</v>
      </c>
      <c r="J23" s="276">
        <f>SUMIFS('Bilateral Assistance, MAIN DATA'!S:S,'Bilateral Assistance, MAIN DATA'!B:B,'Comm per Month (Mil in-kind)'!B23,'Bilateral Assistance, MAIN DATA'!AG:AG,1,'Bilateral Assistance, MAIN DATA'!AH:AH,'Comm per Month (Mil in-kind)'!$J$11, 'Bilateral Assistance, MAIN DATA'!AS:AS,1)/1000000000</f>
        <v>0</v>
      </c>
      <c r="K23" s="276">
        <f>SUMIFS('Bilateral Assistance, MAIN DATA'!S:S,'Bilateral Assistance, MAIN DATA'!B:B,'Comm per Month (Mil in-kind)'!B23,'Bilateral Assistance, MAIN DATA'!AG:AG,1,'Bilateral Assistance, MAIN DATA'!AH:AH,'Comm per Month (Mil in-kind)'!$K$11, 'Bilateral Assistance, MAIN DATA'!AS:AS,1)/1000000000</f>
        <v>0</v>
      </c>
      <c r="L23" s="276">
        <f>SUMIFS('Bilateral Assistance, MAIN DATA'!S:S,'Bilateral Assistance, MAIN DATA'!B:B,'Comm per Month (Mil in-kind)'!B23,'Bilateral Assistance, MAIN DATA'!AG:AG,1,'Bilateral Assistance, MAIN DATA'!AH:AH,'Comm per Month (Mil in-kind)'!$L$11, 'Bilateral Assistance, MAIN DATA'!AS:AS,1)/1000000000</f>
        <v>0</v>
      </c>
      <c r="M23" s="277">
        <f>SUMIFS('Bilateral Assistance, MAIN DATA'!S:S,'Bilateral Assistance, MAIN DATA'!B:B,'Comm per Month (Mil in-kind)'!B23,'Bilateral Assistance, MAIN DATA'!AG:AG,1,'Bilateral Assistance, MAIN DATA'!AH:AH,'Comm per Month (Mil in-kind)'!$M$11, 'Bilateral Assistance, MAIN DATA'!AS:AS,1)/1000000000</f>
        <v>0</v>
      </c>
      <c r="N23" s="239">
        <f>SUMIFS('Bilateral Assistance, MAIN DATA'!S:S,'Bilateral Assistance, MAIN DATA'!B:B,'Comm per Month (Mil in-kind)'!B23,'Bilateral Assistance, MAIN DATA'!AG:AG,1,'Bilateral Assistance, MAIN DATA'!AH:AH,'Comm per Month (Mil in-kind)'!$N$11, 'Bilateral Assistance, MAIN DATA'!AS:AS,1)/1000000000</f>
        <v>0</v>
      </c>
      <c r="O23" s="277">
        <f>SUMIFS('Bilateral Assistance, MAIN DATA'!S:S,'Bilateral Assistance, MAIN DATA'!B:B,'Comm per Month (Mil in-kind)'!B23,'Bilateral Assistance, MAIN DATA'!AG:AG,1,'Bilateral Assistance, MAIN DATA'!AH:AH,'Comm per Month (Mil in-kind)'!$O$11, 'Bilateral Assistance, MAIN DATA'!AS:AS,1)/1000000000</f>
        <v>0</v>
      </c>
      <c r="P23" s="277">
        <f>SUMIFS('Bilateral Assistance, MAIN DATA'!S:S,'Bilateral Assistance, MAIN DATA'!B:B,'Comm per Month (Mil in-kind)'!B23,'Bilateral Assistance, MAIN DATA'!AG:AG,1,'Bilateral Assistance, MAIN DATA'!AH:AH,'Comm per Month (Mil in-kind)'!$P$11, 'Bilateral Assistance, MAIN DATA'!AS:AS,1)/1000000000</f>
        <v>0</v>
      </c>
      <c r="Q23" s="277">
        <f>SUMIFS('Bilateral Assistance, MAIN DATA'!S:S,'Bilateral Assistance, MAIN DATA'!B:B,'Comm per Month (Mil in-kind)'!B23,'Bilateral Assistance, MAIN DATA'!AG:AG,1,'Bilateral Assistance, MAIN DATA'!AH:AH,'Comm per Month (Mil in-kind)'!$Q$11, 'Bilateral Assistance, MAIN DATA'!AS:AS,1)/1000000000</f>
        <v>0</v>
      </c>
      <c r="R23" s="277">
        <f>SUMIFS('Bilateral Assistance, MAIN DATA'!$S:$S,'Bilateral Assistance, MAIN DATA'!$B:$B,'Comm per Month (Mil in-kind)'!$B23,'Bilateral Assistance, MAIN DATA'!$AG:$AG,1,'Bilateral Assistance, MAIN DATA'!$AH:$AH,'Comm per Month (Mil in-kind)'!$R$11, 'Bilateral Assistance, MAIN DATA'!$AS:$AS,1)/1000000000</f>
        <v>0</v>
      </c>
      <c r="S23" s="277">
        <f>SUMIFS('Bilateral Assistance, MAIN DATA'!$S:$S,'Bilateral Assistance, MAIN DATA'!$B:$B,'Comm per Month (Mil in-kind)'!$B23,'Bilateral Assistance, MAIN DATA'!$AG:$AG,1,'Bilateral Assistance, MAIN DATA'!$AH:$AH,'Comm per Month (Mil in-kind)'!$S$11, 'Bilateral Assistance, MAIN DATA'!$AS:$AS,1)/1000000000</f>
        <v>0</v>
      </c>
      <c r="T23" s="277">
        <f>SUMIFS('Bilateral Assistance, MAIN DATA'!$S:$S,'Bilateral Assistance, MAIN DATA'!$B:$B,'Comm per Month (Mil in-kind)'!$B23,'Bilateral Assistance, MAIN DATA'!$AG:$AG,1,'Bilateral Assistance, MAIN DATA'!$AH:$AH,'Comm per Month (Mil in-kind)'!$T$11, 'Bilateral Assistance, MAIN DATA'!$AS:$AS,1)/1000000000</f>
        <v>0</v>
      </c>
      <c r="U23" s="277">
        <f>SUMIFS('Bilateral Assistance, MAIN DATA'!$S:$S,'Bilateral Assistance, MAIN DATA'!$B:$B,'Comm per Month (Mil in-kind)'!$B23,'Bilateral Assistance, MAIN DATA'!$AG:$AG,1,'Bilateral Assistance, MAIN DATA'!$AH:$AH,'Comm per Month (Mil in-kind)'!$U$11, 'Bilateral Assistance, MAIN DATA'!$AS:$AS,1)/1000000000</f>
        <v>0</v>
      </c>
      <c r="V23" s="277">
        <f t="shared" si="0"/>
        <v>0</v>
      </c>
      <c r="W23" s="277">
        <f>SUMIFS('Bilateral Assistance, MAIN DATA'!S:S,'Bilateral Assistance, MAIN DATA'!B:B,'Comm per Month (Mil in-kind)'!B23,'Bilateral Assistance, MAIN DATA'!AG:AG,0,'Bilateral Assistance, MAIN DATA'!AS:AS,1)/1000000000</f>
        <v>0</v>
      </c>
    </row>
    <row r="24" spans="1:25" ht="15.95" customHeight="1">
      <c r="A24" s="289"/>
      <c r="B24" s="24" t="s">
        <v>1432</v>
      </c>
      <c r="C24" s="297">
        <v>1</v>
      </c>
      <c r="D24" s="297">
        <v>0</v>
      </c>
      <c r="E24" s="276">
        <f>SUMIFS('Bilateral Assistance, MAIN DATA'!S:S,'Bilateral Assistance, MAIN DATA'!B:B,'Comm per Month (Mil in-kind)'!B24,'Bilateral Assistance, MAIN DATA'!AG:AG,1,'Bilateral Assistance, MAIN DATA'!AH:AH,'Comm per Month (Mil in-kind)'!$E$11, 'Bilateral Assistance, MAIN DATA'!AS:AS,1)/1000000000</f>
        <v>0</v>
      </c>
      <c r="F24" s="276">
        <f>SUMIFS('Bilateral Assistance, MAIN DATA'!S:S,'Bilateral Assistance, MAIN DATA'!B:B,'Comm per Month (Mil in-kind)'!B24,'Bilateral Assistance, MAIN DATA'!AG:AG,1,'Bilateral Assistance, MAIN DATA'!AH:AH,'Comm per Month (Mil in-kind)'!$F$11, 'Bilateral Assistance, MAIN DATA'!AS:AS,1)/1000000000</f>
        <v>2.93E-2</v>
      </c>
      <c r="G24" s="276">
        <f>SUMIFS('Bilateral Assistance, MAIN DATA'!S:S,'Bilateral Assistance, MAIN DATA'!B:B,'Comm per Month (Mil in-kind)'!B24,'Bilateral Assistance, MAIN DATA'!AG:AG,1,'Bilateral Assistance, MAIN DATA'!AH:AH,'Comm per Month (Mil in-kind)'!$G$11, 'Bilateral Assistance, MAIN DATA'!AS:AS,1)/1000000000</f>
        <v>0</v>
      </c>
      <c r="H24" s="276">
        <f>SUMIFS('Bilateral Assistance, MAIN DATA'!S:S,'Bilateral Assistance, MAIN DATA'!B:B,'Comm per Month (Mil in-kind)'!B24,'Bilateral Assistance, MAIN DATA'!AG:AG,1,'Bilateral Assistance, MAIN DATA'!AH:AH,'Comm per Month (Mil in-kind)'!$H$11, 'Bilateral Assistance, MAIN DATA'!AS:AS,1)/1000000000</f>
        <v>0</v>
      </c>
      <c r="I24" s="276">
        <f>SUMIFS('Bilateral Assistance, MAIN DATA'!S:S,'Bilateral Assistance, MAIN DATA'!B:B,'Comm per Month (Mil in-kind)'!B24,'Bilateral Assistance, MAIN DATA'!AG:AG,1,'Bilateral Assistance, MAIN DATA'!AH:AH,'Comm per Month (Mil in-kind)'!$I$11, 'Bilateral Assistance, MAIN DATA'!AS:AS,1)/1000000000</f>
        <v>0</v>
      </c>
      <c r="J24" s="276">
        <f>SUMIFS('Bilateral Assistance, MAIN DATA'!S:S,'Bilateral Assistance, MAIN DATA'!B:B,'Comm per Month (Mil in-kind)'!B24,'Bilateral Assistance, MAIN DATA'!AG:AG,1,'Bilateral Assistance, MAIN DATA'!AH:AH,'Comm per Month (Mil in-kind)'!$J$11, 'Bilateral Assistance, MAIN DATA'!AS:AS,1)/1000000000</f>
        <v>5.475E-2</v>
      </c>
      <c r="K24" s="276">
        <f>SUMIFS('Bilateral Assistance, MAIN DATA'!S:S,'Bilateral Assistance, MAIN DATA'!B:B,'Comm per Month (Mil in-kind)'!B24,'Bilateral Assistance, MAIN DATA'!AG:AG,1,'Bilateral Assistance, MAIN DATA'!AH:AH,'Comm per Month (Mil in-kind)'!$K$11, 'Bilateral Assistance, MAIN DATA'!AS:AS,1)/1000000000</f>
        <v>0</v>
      </c>
      <c r="L24" s="276">
        <f>SUMIFS('Bilateral Assistance, MAIN DATA'!S:S,'Bilateral Assistance, MAIN DATA'!B:B,'Comm per Month (Mil in-kind)'!B24,'Bilateral Assistance, MAIN DATA'!AG:AG,1,'Bilateral Assistance, MAIN DATA'!AH:AH,'Comm per Month (Mil in-kind)'!$L$11, 'Bilateral Assistance, MAIN DATA'!AS:AS,1)/1000000000</f>
        <v>0</v>
      </c>
      <c r="M24" s="277">
        <f>SUMIFS('Bilateral Assistance, MAIN DATA'!S:S,'Bilateral Assistance, MAIN DATA'!B:B,'Comm per Month (Mil in-kind)'!B24,'Bilateral Assistance, MAIN DATA'!AG:AG,1,'Bilateral Assistance, MAIN DATA'!AH:AH,'Comm per Month (Mil in-kind)'!$M$11, 'Bilateral Assistance, MAIN DATA'!AS:AS,1)/1000000000</f>
        <v>8.2500000000000004E-3</v>
      </c>
      <c r="N24" s="239">
        <f>SUMIFS('Bilateral Assistance, MAIN DATA'!S:S,'Bilateral Assistance, MAIN DATA'!B:B,'Comm per Month (Mil in-kind)'!B24,'Bilateral Assistance, MAIN DATA'!AG:AG,1,'Bilateral Assistance, MAIN DATA'!AH:AH,'Comm per Month (Mil in-kind)'!$N$11, 'Bilateral Assistance, MAIN DATA'!AS:AS,1)/1000000000</f>
        <v>0</v>
      </c>
      <c r="O24" s="277">
        <f>SUMIFS('Bilateral Assistance, MAIN DATA'!S:S,'Bilateral Assistance, MAIN DATA'!B:B,'Comm per Month (Mil in-kind)'!B24,'Bilateral Assistance, MAIN DATA'!AG:AG,1,'Bilateral Assistance, MAIN DATA'!AH:AH,'Comm per Month (Mil in-kind)'!$O$11, 'Bilateral Assistance, MAIN DATA'!AS:AS,1)/1000000000</f>
        <v>5.5599999999999997E-2</v>
      </c>
      <c r="P24" s="277">
        <f>SUMIFS('Bilateral Assistance, MAIN DATA'!S:S,'Bilateral Assistance, MAIN DATA'!B:B,'Comm per Month (Mil in-kind)'!B24,'Bilateral Assistance, MAIN DATA'!AG:AG,1,'Bilateral Assistance, MAIN DATA'!AH:AH,'Comm per Month (Mil in-kind)'!$P$11, 'Bilateral Assistance, MAIN DATA'!AS:AS,1)/1000000000</f>
        <v>2.8799999999999999E-2</v>
      </c>
      <c r="Q24" s="277">
        <f>SUMIFS('Bilateral Assistance, MAIN DATA'!S:S,'Bilateral Assistance, MAIN DATA'!B:B,'Comm per Month (Mil in-kind)'!B24,'Bilateral Assistance, MAIN DATA'!AG:AG,1,'Bilateral Assistance, MAIN DATA'!AH:AH,'Comm per Month (Mil in-kind)'!$Q$11, 'Bilateral Assistance, MAIN DATA'!AS:AS,1)/1000000000</f>
        <v>0.4</v>
      </c>
      <c r="R24" s="277">
        <f>SUMIFS('Bilateral Assistance, MAIN DATA'!$S:$S,'Bilateral Assistance, MAIN DATA'!$B:$B,'Comm per Month (Mil in-kind)'!$B24,'Bilateral Assistance, MAIN DATA'!$AG:$AG,1,'Bilateral Assistance, MAIN DATA'!$AH:$AH,'Comm per Month (Mil in-kind)'!$R$11, 'Bilateral Assistance, MAIN DATA'!$AS:$AS,1)/1000000000</f>
        <v>0.16</v>
      </c>
      <c r="S24" s="277">
        <f>SUMIFS('Bilateral Assistance, MAIN DATA'!$S:$S,'Bilateral Assistance, MAIN DATA'!$B:$B,'Comm per Month (Mil in-kind)'!$B24,'Bilateral Assistance, MAIN DATA'!$AG:$AG,1,'Bilateral Assistance, MAIN DATA'!$AH:$AH,'Comm per Month (Mil in-kind)'!$S$11, 'Bilateral Assistance, MAIN DATA'!$AS:$AS,1)/1000000000</f>
        <v>0.161</v>
      </c>
      <c r="T24" s="277">
        <f>SUMIFS('Bilateral Assistance, MAIN DATA'!$S:$S,'Bilateral Assistance, MAIN DATA'!$B:$B,'Comm per Month (Mil in-kind)'!$B24,'Bilateral Assistance, MAIN DATA'!$AG:$AG,1,'Bilateral Assistance, MAIN DATA'!$AH:$AH,'Comm per Month (Mil in-kind)'!$T$11, 'Bilateral Assistance, MAIN DATA'!$AS:$AS,1)/1000000000</f>
        <v>7.8E-2</v>
      </c>
      <c r="U24" s="277">
        <f>SUMIFS('Bilateral Assistance, MAIN DATA'!$S:$S,'Bilateral Assistance, MAIN DATA'!$B:$B,'Comm per Month (Mil in-kind)'!$B24,'Bilateral Assistance, MAIN DATA'!$AG:$AG,1,'Bilateral Assistance, MAIN DATA'!$AH:$AH,'Comm per Month (Mil in-kind)'!$U$11, 'Bilateral Assistance, MAIN DATA'!$AS:$AS,1)/1000000000</f>
        <v>0.109</v>
      </c>
      <c r="V24" s="277">
        <f t="shared" si="0"/>
        <v>1.0847</v>
      </c>
      <c r="W24" s="277">
        <f>SUMIFS('Bilateral Assistance, MAIN DATA'!S:S,'Bilateral Assistance, MAIN DATA'!B:B,'Comm per Month (Mil in-kind)'!B24,'Bilateral Assistance, MAIN DATA'!AG:AG,0,'Bilateral Assistance, MAIN DATA'!AS:AS,1)/1000000000</f>
        <v>0</v>
      </c>
    </row>
    <row r="25" spans="1:25" ht="15.95" customHeight="1">
      <c r="A25" s="289"/>
      <c r="B25" s="24" t="s">
        <v>1523</v>
      </c>
      <c r="C25" s="297">
        <v>1</v>
      </c>
      <c r="D25" s="297">
        <v>0</v>
      </c>
      <c r="E25" s="276">
        <f>SUMIFS('Bilateral Assistance, MAIN DATA'!S:S,'Bilateral Assistance, MAIN DATA'!B:B,'Comm per Month (Mil in-kind)'!B25,'Bilateral Assistance, MAIN DATA'!AG:AG,1,'Bilateral Assistance, MAIN DATA'!AH:AH,'Comm per Month (Mil in-kind)'!$E$11, 'Bilateral Assistance, MAIN DATA'!AS:AS,1)/1000000000</f>
        <v>0</v>
      </c>
      <c r="F25" s="276">
        <f>SUMIFS('Bilateral Assistance, MAIN DATA'!S:S,'Bilateral Assistance, MAIN DATA'!B:B,'Comm per Month (Mil in-kind)'!B25,'Bilateral Assistance, MAIN DATA'!AG:AG,1,'Bilateral Assistance, MAIN DATA'!AH:AH,'Comm per Month (Mil in-kind)'!$F$11, 'Bilateral Assistance, MAIN DATA'!AS:AS,1)/1000000000</f>
        <v>0</v>
      </c>
      <c r="G25" s="276">
        <f>SUMIFS('Bilateral Assistance, MAIN DATA'!S:S,'Bilateral Assistance, MAIN DATA'!B:B,'Comm per Month (Mil in-kind)'!B25,'Bilateral Assistance, MAIN DATA'!AG:AG,1,'Bilateral Assistance, MAIN DATA'!AH:AH,'Comm per Month (Mil in-kind)'!$G$11, 'Bilateral Assistance, MAIN DATA'!AS:AS,1)/1000000000</f>
        <v>0</v>
      </c>
      <c r="H25" s="276">
        <f>SUMIFS('Bilateral Assistance, MAIN DATA'!S:S,'Bilateral Assistance, MAIN DATA'!B:B,'Comm per Month (Mil in-kind)'!B25,'Bilateral Assistance, MAIN DATA'!AG:AG,1,'Bilateral Assistance, MAIN DATA'!AH:AH,'Comm per Month (Mil in-kind)'!$H$11, 'Bilateral Assistance, MAIN DATA'!AS:AS,1)/1000000000</f>
        <v>0.1</v>
      </c>
      <c r="I25" s="276">
        <f>SUMIFS('Bilateral Assistance, MAIN DATA'!S:S,'Bilateral Assistance, MAIN DATA'!B:B,'Comm per Month (Mil in-kind)'!B25,'Bilateral Assistance, MAIN DATA'!AG:AG,1,'Bilateral Assistance, MAIN DATA'!AH:AH,'Comm per Month (Mil in-kind)'!$I$11, 'Bilateral Assistance, MAIN DATA'!AS:AS,1)/1000000000</f>
        <v>0</v>
      </c>
      <c r="J25" s="276">
        <f>SUMIFS('Bilateral Assistance, MAIN DATA'!S:S,'Bilateral Assistance, MAIN DATA'!B:B,'Comm per Month (Mil in-kind)'!B25,'Bilateral Assistance, MAIN DATA'!AG:AG,1,'Bilateral Assistance, MAIN DATA'!AH:AH,'Comm per Month (Mil in-kind)'!$J$11, 'Bilateral Assistance, MAIN DATA'!AS:AS,1)/1000000000</f>
        <v>0.1016599721545096</v>
      </c>
      <c r="K25" s="276">
        <f>SUMIFS('Bilateral Assistance, MAIN DATA'!S:S,'Bilateral Assistance, MAIN DATA'!B:B,'Comm per Month (Mil in-kind)'!B25,'Bilateral Assistance, MAIN DATA'!AG:AG,1,'Bilateral Assistance, MAIN DATA'!AH:AH,'Comm per Month (Mil in-kind)'!$K$11, 'Bilateral Assistance, MAIN DATA'!AS:AS,1)/1000000000</f>
        <v>0</v>
      </c>
      <c r="L25" s="276">
        <f>SUMIFS('Bilateral Assistance, MAIN DATA'!S:S,'Bilateral Assistance, MAIN DATA'!B:B,'Comm per Month (Mil in-kind)'!B25,'Bilateral Assistance, MAIN DATA'!AG:AG,1,'Bilateral Assistance, MAIN DATA'!AH:AH,'Comm per Month (Mil in-kind)'!$L$11, 'Bilateral Assistance, MAIN DATA'!AS:AS,1)/1000000000</f>
        <v>0</v>
      </c>
      <c r="M25" s="277">
        <f>SUMIFS('Bilateral Assistance, MAIN DATA'!S:S,'Bilateral Assistance, MAIN DATA'!B:B,'Comm per Month (Mil in-kind)'!B25,'Bilateral Assistance, MAIN DATA'!AG:AG,1,'Bilateral Assistance, MAIN DATA'!AH:AH,'Comm per Month (Mil in-kind)'!$M$11, 'Bilateral Assistance, MAIN DATA'!AS:AS,1)/1000000000</f>
        <v>0</v>
      </c>
      <c r="N25" s="239">
        <f>SUMIFS('Bilateral Assistance, MAIN DATA'!S:S,'Bilateral Assistance, MAIN DATA'!B:B,'Comm per Month (Mil in-kind)'!B25,'Bilateral Assistance, MAIN DATA'!AG:AG,1,'Bilateral Assistance, MAIN DATA'!AH:AH,'Comm per Month (Mil in-kind)'!$N$11, 'Bilateral Assistance, MAIN DATA'!AS:AS,1)/1000000000</f>
        <v>0.2</v>
      </c>
      <c r="O25" s="277">
        <f>SUMIFS('Bilateral Assistance, MAIN DATA'!S:S,'Bilateral Assistance, MAIN DATA'!B:B,'Comm per Month (Mil in-kind)'!B25,'Bilateral Assistance, MAIN DATA'!AG:AG,1,'Bilateral Assistance, MAIN DATA'!AH:AH,'Comm per Month (Mil in-kind)'!$O$11, 'Bilateral Assistance, MAIN DATA'!AS:AS,1)/1000000000</f>
        <v>4.407674217681503E-2</v>
      </c>
      <c r="P25" s="277">
        <f>SUMIFS('Bilateral Assistance, MAIN DATA'!S:S,'Bilateral Assistance, MAIN DATA'!B:B,'Comm per Month (Mil in-kind)'!B25,'Bilateral Assistance, MAIN DATA'!AG:AG,1,'Bilateral Assistance, MAIN DATA'!AH:AH,'Comm per Month (Mil in-kind)'!$P$11, 'Bilateral Assistance, MAIN DATA'!AS:AS,1)/1000000000</f>
        <v>0</v>
      </c>
      <c r="Q25" s="277">
        <f>SUMIFS('Bilateral Assistance, MAIN DATA'!S:S,'Bilateral Assistance, MAIN DATA'!B:B,'Comm per Month (Mil in-kind)'!B25,'Bilateral Assistance, MAIN DATA'!AG:AG,1,'Bilateral Assistance, MAIN DATA'!AH:AH,'Comm per Month (Mil in-kind)'!$Q$11, 'Bilateral Assistance, MAIN DATA'!AS:AS,1)/1000000000</f>
        <v>0</v>
      </c>
      <c r="R25" s="277">
        <f>SUMIFS('Bilateral Assistance, MAIN DATA'!$S:$S,'Bilateral Assistance, MAIN DATA'!$B:$B,'Comm per Month (Mil in-kind)'!$B25,'Bilateral Assistance, MAIN DATA'!$AG:$AG,1,'Bilateral Assistance, MAIN DATA'!$AH:$AH,'Comm per Month (Mil in-kind)'!$R$11, 'Bilateral Assistance, MAIN DATA'!$AS:$AS,1)/1000000000</f>
        <v>0</v>
      </c>
      <c r="S25" s="277">
        <f>SUMIFS('Bilateral Assistance, MAIN DATA'!$S:$S,'Bilateral Assistance, MAIN DATA'!$B:$B,'Comm per Month (Mil in-kind)'!$B25,'Bilateral Assistance, MAIN DATA'!$AG:$AG,1,'Bilateral Assistance, MAIN DATA'!$AH:$AH,'Comm per Month (Mil in-kind)'!$S$11, 'Bilateral Assistance, MAIN DATA'!$AS:$AS,1)/1000000000</f>
        <v>0</v>
      </c>
      <c r="T25" s="277">
        <f>SUMIFS('Bilateral Assistance, MAIN DATA'!$S:$S,'Bilateral Assistance, MAIN DATA'!$B:$B,'Comm per Month (Mil in-kind)'!$B25,'Bilateral Assistance, MAIN DATA'!$AG:$AG,1,'Bilateral Assistance, MAIN DATA'!$AH:$AH,'Comm per Month (Mil in-kind)'!$T$11, 'Bilateral Assistance, MAIN DATA'!$AS:$AS,1)/1000000000</f>
        <v>0</v>
      </c>
      <c r="U25" s="277">
        <f>SUMIFS('Bilateral Assistance, MAIN DATA'!$S:$S,'Bilateral Assistance, MAIN DATA'!$B:$B,'Comm per Month (Mil in-kind)'!$B25,'Bilateral Assistance, MAIN DATA'!$AG:$AG,1,'Bilateral Assistance, MAIN DATA'!$AH:$AH,'Comm per Month (Mil in-kind)'!$U$11, 'Bilateral Assistance, MAIN DATA'!$AS:$AS,1)/1000000000</f>
        <v>0</v>
      </c>
      <c r="V25" s="277">
        <f t="shared" si="0"/>
        <v>0.44573671433132461</v>
      </c>
      <c r="W25" s="277">
        <f>SUMIFS('Bilateral Assistance, MAIN DATA'!S:S,'Bilateral Assistance, MAIN DATA'!B:B,'Comm per Month (Mil in-kind)'!B25,'Bilateral Assistance, MAIN DATA'!AG:AG,0,'Bilateral Assistance, MAIN DATA'!AS:AS,1)/1000000000</f>
        <v>0</v>
      </c>
    </row>
    <row r="26" spans="1:25" ht="15.95" customHeight="1">
      <c r="A26" s="19"/>
      <c r="B26" s="24" t="s">
        <v>1711</v>
      </c>
      <c r="C26" s="297">
        <v>1</v>
      </c>
      <c r="D26" s="297">
        <v>0</v>
      </c>
      <c r="E26" s="276">
        <f>SUMIFS('Bilateral Assistance, MAIN DATA'!S:S,'Bilateral Assistance, MAIN DATA'!B:B,'Comm per Month (Mil in-kind)'!B26,'Bilateral Assistance, MAIN DATA'!AG:AG,1,'Bilateral Assistance, MAIN DATA'!AH:AH,'Comm per Month (Mil in-kind)'!$E$11, 'Bilateral Assistance, MAIN DATA'!AS:AS,1)/1000000000</f>
        <v>0</v>
      </c>
      <c r="F26" s="276">
        <f>SUMIFS('Bilateral Assistance, MAIN DATA'!S:S,'Bilateral Assistance, MAIN DATA'!B:B,'Comm per Month (Mil in-kind)'!B26,'Bilateral Assistance, MAIN DATA'!AG:AG,1,'Bilateral Assistance, MAIN DATA'!AH:AH,'Comm per Month (Mil in-kind)'!$F$11, 'Bilateral Assistance, MAIN DATA'!AS:AS,1)/1000000000</f>
        <v>0</v>
      </c>
      <c r="G26" s="276">
        <f>SUMIFS('Bilateral Assistance, MAIN DATA'!S:S,'Bilateral Assistance, MAIN DATA'!B:B,'Comm per Month (Mil in-kind)'!B26,'Bilateral Assistance, MAIN DATA'!AG:AG,1,'Bilateral Assistance, MAIN DATA'!AH:AH,'Comm per Month (Mil in-kind)'!$G$11, 'Bilateral Assistance, MAIN DATA'!AS:AS,1)/1000000000</f>
        <v>0</v>
      </c>
      <c r="H26" s="276">
        <f>SUMIFS('Bilateral Assistance, MAIN DATA'!S:S,'Bilateral Assistance, MAIN DATA'!B:B,'Comm per Month (Mil in-kind)'!B26,'Bilateral Assistance, MAIN DATA'!AG:AG,1,'Bilateral Assistance, MAIN DATA'!AH:AH,'Comm per Month (Mil in-kind)'!$H$11, 'Bilateral Assistance, MAIN DATA'!AS:AS,1)/1000000000</f>
        <v>0</v>
      </c>
      <c r="I26" s="276">
        <f>SUMIFS('Bilateral Assistance, MAIN DATA'!S:S,'Bilateral Assistance, MAIN DATA'!B:B,'Comm per Month (Mil in-kind)'!B26,'Bilateral Assistance, MAIN DATA'!AG:AG,1,'Bilateral Assistance, MAIN DATA'!AH:AH,'Comm per Month (Mil in-kind)'!$I$11, 'Bilateral Assistance, MAIN DATA'!AS:AS,1)/1000000000</f>
        <v>0</v>
      </c>
      <c r="J26" s="276">
        <f>SUMIFS('Bilateral Assistance, MAIN DATA'!S:S,'Bilateral Assistance, MAIN DATA'!B:B,'Comm per Month (Mil in-kind)'!B26,'Bilateral Assistance, MAIN DATA'!AG:AG,1,'Bilateral Assistance, MAIN DATA'!AH:AH,'Comm per Month (Mil in-kind)'!$J$11, 'Bilateral Assistance, MAIN DATA'!AS:AS,1)/1000000000</f>
        <v>2.16</v>
      </c>
      <c r="K26" s="276">
        <f>SUMIFS('Bilateral Assistance, MAIN DATA'!S:S,'Bilateral Assistance, MAIN DATA'!B:B,'Comm per Month (Mil in-kind)'!B26,'Bilateral Assistance, MAIN DATA'!AG:AG,1,'Bilateral Assistance, MAIN DATA'!AH:AH,'Comm per Month (Mil in-kind)'!$K$11, 'Bilateral Assistance, MAIN DATA'!AS:AS,1)/1000000000</f>
        <v>0</v>
      </c>
      <c r="L26" s="276">
        <f>SUMIFS('Bilateral Assistance, MAIN DATA'!S:S,'Bilateral Assistance, MAIN DATA'!B:B,'Comm per Month (Mil in-kind)'!B26,'Bilateral Assistance, MAIN DATA'!AG:AG,1,'Bilateral Assistance, MAIN DATA'!AH:AH,'Comm per Month (Mil in-kind)'!$L$11, 'Bilateral Assistance, MAIN DATA'!AS:AS,1)/1000000000</f>
        <v>0</v>
      </c>
      <c r="M26" s="277">
        <f>SUMIFS('Bilateral Assistance, MAIN DATA'!S:S,'Bilateral Assistance, MAIN DATA'!B:B,'Comm per Month (Mil in-kind)'!B26,'Bilateral Assistance, MAIN DATA'!AG:AG,1,'Bilateral Assistance, MAIN DATA'!AH:AH,'Comm per Month (Mil in-kind)'!$M$11, 'Bilateral Assistance, MAIN DATA'!AS:AS,1)/1000000000</f>
        <v>0</v>
      </c>
      <c r="N26" s="239">
        <f>SUMIFS('Bilateral Assistance, MAIN DATA'!S:S,'Bilateral Assistance, MAIN DATA'!B:B,'Comm per Month (Mil in-kind)'!B26,'Bilateral Assistance, MAIN DATA'!AG:AG,1,'Bilateral Assistance, MAIN DATA'!AH:AH,'Comm per Month (Mil in-kind)'!$N$11, 'Bilateral Assistance, MAIN DATA'!AS:AS,1)/1000000000</f>
        <v>0</v>
      </c>
      <c r="O26" s="277">
        <f>SUMIFS('Bilateral Assistance, MAIN DATA'!S:S,'Bilateral Assistance, MAIN DATA'!B:B,'Comm per Month (Mil in-kind)'!B26,'Bilateral Assistance, MAIN DATA'!AG:AG,1,'Bilateral Assistance, MAIN DATA'!AH:AH,'Comm per Month (Mil in-kind)'!$O$11, 'Bilateral Assistance, MAIN DATA'!AS:AS,1)/1000000000</f>
        <v>0</v>
      </c>
      <c r="P26" s="277">
        <f>SUMIFS('Bilateral Assistance, MAIN DATA'!S:S,'Bilateral Assistance, MAIN DATA'!B:B,'Comm per Month (Mil in-kind)'!B26,'Bilateral Assistance, MAIN DATA'!AG:AG,1,'Bilateral Assistance, MAIN DATA'!AH:AH,'Comm per Month (Mil in-kind)'!$P$11, 'Bilateral Assistance, MAIN DATA'!AS:AS,1)/1000000000</f>
        <v>0</v>
      </c>
      <c r="Q26" s="277">
        <f>SUMIFS('Bilateral Assistance, MAIN DATA'!S:S,'Bilateral Assistance, MAIN DATA'!B:B,'Comm per Month (Mil in-kind)'!B26,'Bilateral Assistance, MAIN DATA'!AG:AG,1,'Bilateral Assistance, MAIN DATA'!AH:AH,'Comm per Month (Mil in-kind)'!$Q$11, 'Bilateral Assistance, MAIN DATA'!AS:AS,1)/1000000000</f>
        <v>1.95</v>
      </c>
      <c r="R26" s="277">
        <f>SUMIFS('Bilateral Assistance, MAIN DATA'!$S:$S,'Bilateral Assistance, MAIN DATA'!$B:$B,'Comm per Month (Mil in-kind)'!$B26,'Bilateral Assistance, MAIN DATA'!$AG:$AG,1,'Bilateral Assistance, MAIN DATA'!$AH:$AH,'Comm per Month (Mil in-kind)'!$R$11, 'Bilateral Assistance, MAIN DATA'!$AS:$AS,1)/1000000000</f>
        <v>0</v>
      </c>
      <c r="S26" s="277">
        <f>SUMIFS('Bilateral Assistance, MAIN DATA'!$S:$S,'Bilateral Assistance, MAIN DATA'!$B:$B,'Comm per Month (Mil in-kind)'!$B26,'Bilateral Assistance, MAIN DATA'!$AG:$AG,1,'Bilateral Assistance, MAIN DATA'!$AH:$AH,'Comm per Month (Mil in-kind)'!$S$11, 'Bilateral Assistance, MAIN DATA'!$AS:$AS,1)/1000000000</f>
        <v>0</v>
      </c>
      <c r="T26" s="277">
        <f>SUMIFS('Bilateral Assistance, MAIN DATA'!$S:$S,'Bilateral Assistance, MAIN DATA'!$B:$B,'Comm per Month (Mil in-kind)'!$B26,'Bilateral Assistance, MAIN DATA'!$AG:$AG,1,'Bilateral Assistance, MAIN DATA'!$AH:$AH,'Comm per Month (Mil in-kind)'!$T$11, 'Bilateral Assistance, MAIN DATA'!$AS:$AS,1)/1000000000</f>
        <v>3.28</v>
      </c>
      <c r="U26" s="277">
        <f>SUMIFS('Bilateral Assistance, MAIN DATA'!$S:$S,'Bilateral Assistance, MAIN DATA'!$B:$B,'Comm per Month (Mil in-kind)'!$B26,'Bilateral Assistance, MAIN DATA'!$AG:$AG,1,'Bilateral Assistance, MAIN DATA'!$AH:$AH,'Comm per Month (Mil in-kind)'!$U$11, 'Bilateral Assistance, MAIN DATA'!$AS:$AS,1)/1000000000</f>
        <v>0</v>
      </c>
      <c r="V26" s="277">
        <f t="shared" si="0"/>
        <v>7.3900000000000006</v>
      </c>
      <c r="W26" s="277">
        <f>SUMIFS('Bilateral Assistance, MAIN DATA'!S:S,'Bilateral Assistance, MAIN DATA'!B:B,'Comm per Month (Mil in-kind)'!B26,'Bilateral Assistance, MAIN DATA'!AG:AG,0,'Bilateral Assistance, MAIN DATA'!AS:AS,1)/1000000000</f>
        <v>3.5999999999999997E-2</v>
      </c>
    </row>
    <row r="27" spans="1:25" ht="15.95" customHeight="1">
      <c r="A27" s="19"/>
      <c r="B27" s="24" t="s">
        <v>1973</v>
      </c>
      <c r="C27" s="297">
        <v>1</v>
      </c>
      <c r="D27" s="297">
        <v>0</v>
      </c>
      <c r="E27" s="276">
        <f>SUMIFS('Bilateral Assistance, MAIN DATA'!S:S,'Bilateral Assistance, MAIN DATA'!B:B,'Comm per Month (Mil in-kind)'!B27,'Bilateral Assistance, MAIN DATA'!AG:AG,1,'Bilateral Assistance, MAIN DATA'!AH:AH,'Comm per Month (Mil in-kind)'!$E$11, 'Bilateral Assistance, MAIN DATA'!AS:AS,1)/1000000000</f>
        <v>0</v>
      </c>
      <c r="F27" s="276">
        <f>SUMIFS('Bilateral Assistance, MAIN DATA'!S:S,'Bilateral Assistance, MAIN DATA'!B:B,'Comm per Month (Mil in-kind)'!B27,'Bilateral Assistance, MAIN DATA'!AG:AG,1,'Bilateral Assistance, MAIN DATA'!AH:AH,'Comm per Month (Mil in-kind)'!$F$11, 'Bilateral Assistance, MAIN DATA'!AS:AS,1)/1000000000</f>
        <v>0</v>
      </c>
      <c r="G27" s="276">
        <f>SUMIFS('Bilateral Assistance, MAIN DATA'!S:S,'Bilateral Assistance, MAIN DATA'!B:B,'Comm per Month (Mil in-kind)'!B27,'Bilateral Assistance, MAIN DATA'!AG:AG,1,'Bilateral Assistance, MAIN DATA'!AH:AH,'Comm per Month (Mil in-kind)'!$G$11, 'Bilateral Assistance, MAIN DATA'!AS:AS,1)/1000000000</f>
        <v>1.5910249539933752E-2</v>
      </c>
      <c r="H27" s="276">
        <f>SUMIFS('Bilateral Assistance, MAIN DATA'!S:S,'Bilateral Assistance, MAIN DATA'!B:B,'Comm per Month (Mil in-kind)'!B27,'Bilateral Assistance, MAIN DATA'!AG:AG,1,'Bilateral Assistance, MAIN DATA'!AH:AH,'Comm per Month (Mil in-kind)'!$H$11, 'Bilateral Assistance, MAIN DATA'!AS:AS,1)/1000000000</f>
        <v>0</v>
      </c>
      <c r="I27" s="276">
        <f>SUMIFS('Bilateral Assistance, MAIN DATA'!S:S,'Bilateral Assistance, MAIN DATA'!B:B,'Comm per Month (Mil in-kind)'!B27,'Bilateral Assistance, MAIN DATA'!AG:AG,1,'Bilateral Assistance, MAIN DATA'!AH:AH,'Comm per Month (Mil in-kind)'!$I$11, 'Bilateral Assistance, MAIN DATA'!AS:AS,1)/1000000000</f>
        <v>0.13993784320942218</v>
      </c>
      <c r="J27" s="276">
        <f>SUMIFS('Bilateral Assistance, MAIN DATA'!S:S,'Bilateral Assistance, MAIN DATA'!B:B,'Comm per Month (Mil in-kind)'!B27,'Bilateral Assistance, MAIN DATA'!AG:AG,1,'Bilateral Assistance, MAIN DATA'!AH:AH,'Comm per Month (Mil in-kind)'!$J$11, 'Bilateral Assistance, MAIN DATA'!AS:AS,1)/1000000000</f>
        <v>0</v>
      </c>
      <c r="K27" s="276">
        <f>SUMIFS('Bilateral Assistance, MAIN DATA'!S:S,'Bilateral Assistance, MAIN DATA'!B:B,'Comm per Month (Mil in-kind)'!B27,'Bilateral Assistance, MAIN DATA'!AG:AG,1,'Bilateral Assistance, MAIN DATA'!AH:AH,'Comm per Month (Mil in-kind)'!$K$11, 'Bilateral Assistance, MAIN DATA'!AS:AS,1)/1000000000</f>
        <v>0</v>
      </c>
      <c r="L27" s="276">
        <f>SUMIFS('Bilateral Assistance, MAIN DATA'!S:S,'Bilateral Assistance, MAIN DATA'!B:B,'Comm per Month (Mil in-kind)'!B27,'Bilateral Assistance, MAIN DATA'!AG:AG,1,'Bilateral Assistance, MAIN DATA'!AH:AH,'Comm per Month (Mil in-kind)'!$L$11, 'Bilateral Assistance, MAIN DATA'!AS:AS,1)/1000000000</f>
        <v>0</v>
      </c>
      <c r="M27" s="277">
        <f>SUMIFS('Bilateral Assistance, MAIN DATA'!S:S,'Bilateral Assistance, MAIN DATA'!B:B,'Comm per Month (Mil in-kind)'!B27,'Bilateral Assistance, MAIN DATA'!AG:AG,1,'Bilateral Assistance, MAIN DATA'!AH:AH,'Comm per Month (Mil in-kind)'!$M$11, 'Bilateral Assistance, MAIN DATA'!AS:AS,1)/1000000000</f>
        <v>2.0667741258741264E-2</v>
      </c>
      <c r="N27" s="239">
        <f>SUMIFS('Bilateral Assistance, MAIN DATA'!S:S,'Bilateral Assistance, MAIN DATA'!B:B,'Comm per Month (Mil in-kind)'!B27,'Bilateral Assistance, MAIN DATA'!AG:AG,1,'Bilateral Assistance, MAIN DATA'!AH:AH,'Comm per Month (Mil in-kind)'!$N$11, 'Bilateral Assistance, MAIN DATA'!AS:AS,1)/1000000000</f>
        <v>0</v>
      </c>
      <c r="O27" s="277">
        <f>SUMIFS('Bilateral Assistance, MAIN DATA'!S:S,'Bilateral Assistance, MAIN DATA'!B:B,'Comm per Month (Mil in-kind)'!B27,'Bilateral Assistance, MAIN DATA'!AG:AG,1,'Bilateral Assistance, MAIN DATA'!AH:AH,'Comm per Month (Mil in-kind)'!$O$11, 'Bilateral Assistance, MAIN DATA'!AS:AS,1)/1000000000</f>
        <v>0</v>
      </c>
      <c r="P27" s="277">
        <f>SUMIFS('Bilateral Assistance, MAIN DATA'!S:S,'Bilateral Assistance, MAIN DATA'!B:B,'Comm per Month (Mil in-kind)'!B27,'Bilateral Assistance, MAIN DATA'!AG:AG,1,'Bilateral Assistance, MAIN DATA'!AH:AH,'Comm per Month (Mil in-kind)'!$P$11, 'Bilateral Assistance, MAIN DATA'!AS:AS,1)/1000000000</f>
        <v>0</v>
      </c>
      <c r="Q27" s="277">
        <f>SUMIFS('Bilateral Assistance, MAIN DATA'!S:S,'Bilateral Assistance, MAIN DATA'!B:B,'Comm per Month (Mil in-kind)'!B27,'Bilateral Assistance, MAIN DATA'!AG:AG,1,'Bilateral Assistance, MAIN DATA'!AH:AH,'Comm per Month (Mil in-kind)'!$Q$11, 'Bilateral Assistance, MAIN DATA'!AS:AS,1)/1000000000</f>
        <v>0</v>
      </c>
      <c r="R27" s="277">
        <f>SUMIFS('Bilateral Assistance, MAIN DATA'!$S:$S,'Bilateral Assistance, MAIN DATA'!$B:$B,'Comm per Month (Mil in-kind)'!$B27,'Bilateral Assistance, MAIN DATA'!$AG:$AG,1,'Bilateral Assistance, MAIN DATA'!$AH:$AH,'Comm per Month (Mil in-kind)'!$R$11, 'Bilateral Assistance, MAIN DATA'!$AS:$AS,1)/1000000000</f>
        <v>1.0333870629370632E-2</v>
      </c>
      <c r="S27" s="277">
        <f>SUMIFS('Bilateral Assistance, MAIN DATA'!$S:$S,'Bilateral Assistance, MAIN DATA'!$B:$B,'Comm per Month (Mil in-kind)'!$B27,'Bilateral Assistance, MAIN DATA'!$AG:$AG,1,'Bilateral Assistance, MAIN DATA'!$AH:$AH,'Comm per Month (Mil in-kind)'!$S$11, 'Bilateral Assistance, MAIN DATA'!$AS:$AS,1)/1000000000</f>
        <v>0</v>
      </c>
      <c r="T27" s="277">
        <f>SUMIFS('Bilateral Assistance, MAIN DATA'!$S:$S,'Bilateral Assistance, MAIN DATA'!$B:$B,'Comm per Month (Mil in-kind)'!$B27,'Bilateral Assistance, MAIN DATA'!$AG:$AG,1,'Bilateral Assistance, MAIN DATA'!$AH:$AH,'Comm per Month (Mil in-kind)'!$T$11, 'Bilateral Assistance, MAIN DATA'!$AS:$AS,1)/1000000000</f>
        <v>0</v>
      </c>
      <c r="U27" s="277">
        <f>SUMIFS('Bilateral Assistance, MAIN DATA'!$S:$S,'Bilateral Assistance, MAIN DATA'!$B:$B,'Comm per Month (Mil in-kind)'!$B27,'Bilateral Assistance, MAIN DATA'!$AG:$AG,1,'Bilateral Assistance, MAIN DATA'!$AH:$AH,'Comm per Month (Mil in-kind)'!$U$11, 'Bilateral Assistance, MAIN DATA'!$AS:$AS,1)/1000000000</f>
        <v>0</v>
      </c>
      <c r="V27" s="277">
        <f t="shared" si="0"/>
        <v>0.18684970463746783</v>
      </c>
      <c r="W27" s="277">
        <f>SUMIFS('Bilateral Assistance, MAIN DATA'!S:S,'Bilateral Assistance, MAIN DATA'!B:B,'Comm per Month (Mil in-kind)'!B27,'Bilateral Assistance, MAIN DATA'!AG:AG,0,'Bilateral Assistance, MAIN DATA'!AS:AS,1)/1000000000</f>
        <v>0</v>
      </c>
    </row>
    <row r="28" spans="1:25" ht="15.95" customHeight="1">
      <c r="A28" s="19"/>
      <c r="B28" s="24" t="s">
        <v>2028</v>
      </c>
      <c r="C28" s="297">
        <v>1</v>
      </c>
      <c r="D28" s="297">
        <v>0</v>
      </c>
      <c r="E28" s="276">
        <f>SUMIFS('Bilateral Assistance, MAIN DATA'!S:S,'Bilateral Assistance, MAIN DATA'!B:B,'Comm per Month (Mil in-kind)'!B28,'Bilateral Assistance, MAIN DATA'!AG:AG,1,'Bilateral Assistance, MAIN DATA'!AH:AH,'Comm per Month (Mil in-kind)'!$E$11, 'Bilateral Assistance, MAIN DATA'!AS:AS,1)/1000000000</f>
        <v>0</v>
      </c>
      <c r="F28" s="276">
        <f>SUMIFS('Bilateral Assistance, MAIN DATA'!S:S,'Bilateral Assistance, MAIN DATA'!B:B,'Comm per Month (Mil in-kind)'!B28,'Bilateral Assistance, MAIN DATA'!AG:AG,1,'Bilateral Assistance, MAIN DATA'!AH:AH,'Comm per Month (Mil in-kind)'!$F$11, 'Bilateral Assistance, MAIN DATA'!AS:AS,1)/1000000000</f>
        <v>0</v>
      </c>
      <c r="G28" s="276">
        <f>SUMIFS('Bilateral Assistance, MAIN DATA'!S:S,'Bilateral Assistance, MAIN DATA'!B:B,'Comm per Month (Mil in-kind)'!B28,'Bilateral Assistance, MAIN DATA'!AG:AG,1,'Bilateral Assistance, MAIN DATA'!AH:AH,'Comm per Month (Mil in-kind)'!$G$11, 'Bilateral Assistance, MAIN DATA'!AS:AS,1)/1000000000</f>
        <v>0</v>
      </c>
      <c r="H28" s="276">
        <f>SUMIFS('Bilateral Assistance, MAIN DATA'!S:S,'Bilateral Assistance, MAIN DATA'!B:B,'Comm per Month (Mil in-kind)'!B28,'Bilateral Assistance, MAIN DATA'!AG:AG,1,'Bilateral Assistance, MAIN DATA'!AH:AH,'Comm per Month (Mil in-kind)'!$H$11, 'Bilateral Assistance, MAIN DATA'!AS:AS,1)/1000000000</f>
        <v>0</v>
      </c>
      <c r="I28" s="276">
        <f>SUMIFS('Bilateral Assistance, MAIN DATA'!S:S,'Bilateral Assistance, MAIN DATA'!B:B,'Comm per Month (Mil in-kind)'!B28,'Bilateral Assistance, MAIN DATA'!AG:AG,1,'Bilateral Assistance, MAIN DATA'!AH:AH,'Comm per Month (Mil in-kind)'!$I$11, 'Bilateral Assistance, MAIN DATA'!AS:AS,1)/1000000000</f>
        <v>0</v>
      </c>
      <c r="J28" s="276">
        <f>SUMIFS('Bilateral Assistance, MAIN DATA'!S:S,'Bilateral Assistance, MAIN DATA'!B:B,'Comm per Month (Mil in-kind)'!B28,'Bilateral Assistance, MAIN DATA'!AG:AG,1,'Bilateral Assistance, MAIN DATA'!AH:AH,'Comm per Month (Mil in-kind)'!$J$11, 'Bilateral Assistance, MAIN DATA'!AS:AS,1)/1000000000</f>
        <v>0</v>
      </c>
      <c r="K28" s="276">
        <f>SUMIFS('Bilateral Assistance, MAIN DATA'!S:S,'Bilateral Assistance, MAIN DATA'!B:B,'Comm per Month (Mil in-kind)'!B28,'Bilateral Assistance, MAIN DATA'!AG:AG,1,'Bilateral Assistance, MAIN DATA'!AH:AH,'Comm per Month (Mil in-kind)'!$K$11, 'Bilateral Assistance, MAIN DATA'!AS:AS,1)/1000000000</f>
        <v>0</v>
      </c>
      <c r="L28" s="276">
        <f>SUMIFS('Bilateral Assistance, MAIN DATA'!S:S,'Bilateral Assistance, MAIN DATA'!B:B,'Comm per Month (Mil in-kind)'!B28,'Bilateral Assistance, MAIN DATA'!AG:AG,1,'Bilateral Assistance, MAIN DATA'!AH:AH,'Comm per Month (Mil in-kind)'!$L$11, 'Bilateral Assistance, MAIN DATA'!AS:AS,1)/1000000000</f>
        <v>0</v>
      </c>
      <c r="M28" s="277">
        <f>SUMIFS('Bilateral Assistance, MAIN DATA'!S:S,'Bilateral Assistance, MAIN DATA'!B:B,'Comm per Month (Mil in-kind)'!B28,'Bilateral Assistance, MAIN DATA'!AG:AG,1,'Bilateral Assistance, MAIN DATA'!AH:AH,'Comm per Month (Mil in-kind)'!$M$11, 'Bilateral Assistance, MAIN DATA'!AS:AS,1)/1000000000</f>
        <v>0</v>
      </c>
      <c r="N28" s="239">
        <f>SUMIFS('Bilateral Assistance, MAIN DATA'!S:S,'Bilateral Assistance, MAIN DATA'!B:B,'Comm per Month (Mil in-kind)'!B28,'Bilateral Assistance, MAIN DATA'!AG:AG,1,'Bilateral Assistance, MAIN DATA'!AH:AH,'Comm per Month (Mil in-kind)'!$N$11, 'Bilateral Assistance, MAIN DATA'!AS:AS,1)/1000000000</f>
        <v>0</v>
      </c>
      <c r="O28" s="277">
        <f>SUMIFS('Bilateral Assistance, MAIN DATA'!S:S,'Bilateral Assistance, MAIN DATA'!B:B,'Comm per Month (Mil in-kind)'!B28,'Bilateral Assistance, MAIN DATA'!AG:AG,1,'Bilateral Assistance, MAIN DATA'!AH:AH,'Comm per Month (Mil in-kind)'!$O$11, 'Bilateral Assistance, MAIN DATA'!AS:AS,1)/1000000000</f>
        <v>0</v>
      </c>
      <c r="P28" s="277">
        <f>SUMIFS('Bilateral Assistance, MAIN DATA'!S:S,'Bilateral Assistance, MAIN DATA'!B:B,'Comm per Month (Mil in-kind)'!B28,'Bilateral Assistance, MAIN DATA'!AG:AG,1,'Bilateral Assistance, MAIN DATA'!AH:AH,'Comm per Month (Mil in-kind)'!$P$11, 'Bilateral Assistance, MAIN DATA'!AS:AS,1)/1000000000</f>
        <v>0</v>
      </c>
      <c r="Q28" s="277">
        <f>SUMIFS('Bilateral Assistance, MAIN DATA'!S:S,'Bilateral Assistance, MAIN DATA'!B:B,'Comm per Month (Mil in-kind)'!B28,'Bilateral Assistance, MAIN DATA'!AG:AG,1,'Bilateral Assistance, MAIN DATA'!AH:AH,'Comm per Month (Mil in-kind)'!$Q$11, 'Bilateral Assistance, MAIN DATA'!AS:AS,1)/1000000000</f>
        <v>0</v>
      </c>
      <c r="R28" s="277">
        <f>SUMIFS('Bilateral Assistance, MAIN DATA'!$S:$S,'Bilateral Assistance, MAIN DATA'!$B:$B,'Comm per Month (Mil in-kind)'!$B28,'Bilateral Assistance, MAIN DATA'!$AG:$AG,1,'Bilateral Assistance, MAIN DATA'!$AH:$AH,'Comm per Month (Mil in-kind)'!$R$11, 'Bilateral Assistance, MAIN DATA'!$AS:$AS,1)/1000000000</f>
        <v>0</v>
      </c>
      <c r="S28" s="277">
        <f>SUMIFS('Bilateral Assistance, MAIN DATA'!$S:$S,'Bilateral Assistance, MAIN DATA'!$B:$B,'Comm per Month (Mil in-kind)'!$B28,'Bilateral Assistance, MAIN DATA'!$AG:$AG,1,'Bilateral Assistance, MAIN DATA'!$AH:$AH,'Comm per Month (Mil in-kind)'!$S$11, 'Bilateral Assistance, MAIN DATA'!$AS:$AS,1)/1000000000</f>
        <v>0</v>
      </c>
      <c r="T28" s="277">
        <f>SUMIFS('Bilateral Assistance, MAIN DATA'!$S:$S,'Bilateral Assistance, MAIN DATA'!$B:$B,'Comm per Month (Mil in-kind)'!$B28,'Bilateral Assistance, MAIN DATA'!$AG:$AG,1,'Bilateral Assistance, MAIN DATA'!$AH:$AH,'Comm per Month (Mil in-kind)'!$T$11, 'Bilateral Assistance, MAIN DATA'!$AS:$AS,1)/1000000000</f>
        <v>0</v>
      </c>
      <c r="U28" s="277">
        <f>SUMIFS('Bilateral Assistance, MAIN DATA'!$S:$S,'Bilateral Assistance, MAIN DATA'!$B:$B,'Comm per Month (Mil in-kind)'!$B28,'Bilateral Assistance, MAIN DATA'!$AG:$AG,1,'Bilateral Assistance, MAIN DATA'!$AH:$AH,'Comm per Month (Mil in-kind)'!$U$11, 'Bilateral Assistance, MAIN DATA'!$AS:$AS,1)/1000000000</f>
        <v>0</v>
      </c>
      <c r="V28" s="277">
        <f t="shared" si="0"/>
        <v>0</v>
      </c>
      <c r="W28" s="277">
        <f>SUMIFS('Bilateral Assistance, MAIN DATA'!S:S,'Bilateral Assistance, MAIN DATA'!B:B,'Comm per Month (Mil in-kind)'!B28,'Bilateral Assistance, MAIN DATA'!AG:AG,0,'Bilateral Assistance, MAIN DATA'!AS:AS,1)/1000000000</f>
        <v>0</v>
      </c>
    </row>
    <row r="29" spans="1:25" ht="15.95" customHeight="1">
      <c r="A29" s="19"/>
      <c r="B29" s="24" t="s">
        <v>2139</v>
      </c>
      <c r="C29" s="297">
        <v>0</v>
      </c>
      <c r="D29" s="297">
        <v>1</v>
      </c>
      <c r="E29" s="276">
        <f>SUMIFS('Bilateral Assistance, MAIN DATA'!S:S,'Bilateral Assistance, MAIN DATA'!B:B,'Comm per Month (Mil in-kind)'!B29,'Bilateral Assistance, MAIN DATA'!AG:AG,1,'Bilateral Assistance, MAIN DATA'!AH:AH,'Comm per Month (Mil in-kind)'!$E$11, 'Bilateral Assistance, MAIN DATA'!AS:AS,1)/1000000000</f>
        <v>0</v>
      </c>
      <c r="F29" s="276">
        <f>SUMIFS('Bilateral Assistance, MAIN DATA'!S:S,'Bilateral Assistance, MAIN DATA'!B:B,'Comm per Month (Mil in-kind)'!B29,'Bilateral Assistance, MAIN DATA'!AG:AG,1,'Bilateral Assistance, MAIN DATA'!AH:AH,'Comm per Month (Mil in-kind)'!$F$11, 'Bilateral Assistance, MAIN DATA'!AS:AS,1)/1000000000</f>
        <v>0</v>
      </c>
      <c r="G29" s="276">
        <f>SUMIFS('Bilateral Assistance, MAIN DATA'!S:S,'Bilateral Assistance, MAIN DATA'!B:B,'Comm per Month (Mil in-kind)'!B29,'Bilateral Assistance, MAIN DATA'!AG:AG,1,'Bilateral Assistance, MAIN DATA'!AH:AH,'Comm per Month (Mil in-kind)'!$G$11, 'Bilateral Assistance, MAIN DATA'!AS:AS,1)/1000000000</f>
        <v>0</v>
      </c>
      <c r="H29" s="276">
        <f>SUMIFS('Bilateral Assistance, MAIN DATA'!S:S,'Bilateral Assistance, MAIN DATA'!B:B,'Comm per Month (Mil in-kind)'!B29,'Bilateral Assistance, MAIN DATA'!AG:AG,1,'Bilateral Assistance, MAIN DATA'!AH:AH,'Comm per Month (Mil in-kind)'!$H$11, 'Bilateral Assistance, MAIN DATA'!AS:AS,1)/1000000000</f>
        <v>0</v>
      </c>
      <c r="I29" s="276">
        <f>SUMIFS('Bilateral Assistance, MAIN DATA'!S:S,'Bilateral Assistance, MAIN DATA'!B:B,'Comm per Month (Mil in-kind)'!B29,'Bilateral Assistance, MAIN DATA'!AG:AG,1,'Bilateral Assistance, MAIN DATA'!AH:AH,'Comm per Month (Mil in-kind)'!$I$11, 'Bilateral Assistance, MAIN DATA'!AS:AS,1)/1000000000</f>
        <v>0</v>
      </c>
      <c r="J29" s="276">
        <f>SUMIFS('Bilateral Assistance, MAIN DATA'!S:S,'Bilateral Assistance, MAIN DATA'!B:B,'Comm per Month (Mil in-kind)'!B29,'Bilateral Assistance, MAIN DATA'!AG:AG,1,'Bilateral Assistance, MAIN DATA'!AH:AH,'Comm per Month (Mil in-kind)'!$J$11, 'Bilateral Assistance, MAIN DATA'!AS:AS,1)/1000000000</f>
        <v>0</v>
      </c>
      <c r="K29" s="276">
        <f>SUMIFS('Bilateral Assistance, MAIN DATA'!S:S,'Bilateral Assistance, MAIN DATA'!B:B,'Comm per Month (Mil in-kind)'!B29,'Bilateral Assistance, MAIN DATA'!AG:AG,1,'Bilateral Assistance, MAIN DATA'!AH:AH,'Comm per Month (Mil in-kind)'!$K$11, 'Bilateral Assistance, MAIN DATA'!AS:AS,1)/1000000000</f>
        <v>0</v>
      </c>
      <c r="L29" s="276">
        <f>SUMIFS('Bilateral Assistance, MAIN DATA'!S:S,'Bilateral Assistance, MAIN DATA'!B:B,'Comm per Month (Mil in-kind)'!B29,'Bilateral Assistance, MAIN DATA'!AG:AG,1,'Bilateral Assistance, MAIN DATA'!AH:AH,'Comm per Month (Mil in-kind)'!$L$11, 'Bilateral Assistance, MAIN DATA'!AS:AS,1)/1000000000</f>
        <v>0</v>
      </c>
      <c r="M29" s="277">
        <f>SUMIFS('Bilateral Assistance, MAIN DATA'!S:S,'Bilateral Assistance, MAIN DATA'!B:B,'Comm per Month (Mil in-kind)'!B29,'Bilateral Assistance, MAIN DATA'!AG:AG,1,'Bilateral Assistance, MAIN DATA'!AH:AH,'Comm per Month (Mil in-kind)'!$M$11, 'Bilateral Assistance, MAIN DATA'!AS:AS,1)/1000000000</f>
        <v>0</v>
      </c>
      <c r="N29" s="239">
        <f>SUMIFS('Bilateral Assistance, MAIN DATA'!S:S,'Bilateral Assistance, MAIN DATA'!B:B,'Comm per Month (Mil in-kind)'!B29,'Bilateral Assistance, MAIN DATA'!AG:AG,1,'Bilateral Assistance, MAIN DATA'!AH:AH,'Comm per Month (Mil in-kind)'!$N$11, 'Bilateral Assistance, MAIN DATA'!AS:AS,1)/1000000000</f>
        <v>0</v>
      </c>
      <c r="O29" s="277">
        <f>SUMIFS('Bilateral Assistance, MAIN DATA'!S:S,'Bilateral Assistance, MAIN DATA'!B:B,'Comm per Month (Mil in-kind)'!B29,'Bilateral Assistance, MAIN DATA'!AG:AG,1,'Bilateral Assistance, MAIN DATA'!AH:AH,'Comm per Month (Mil in-kind)'!$O$11, 'Bilateral Assistance, MAIN DATA'!AS:AS,1)/1000000000</f>
        <v>0</v>
      </c>
      <c r="P29" s="277">
        <f>SUMIFS('Bilateral Assistance, MAIN DATA'!S:S,'Bilateral Assistance, MAIN DATA'!B:B,'Comm per Month (Mil in-kind)'!B29,'Bilateral Assistance, MAIN DATA'!AG:AG,1,'Bilateral Assistance, MAIN DATA'!AH:AH,'Comm per Month (Mil in-kind)'!$P$11, 'Bilateral Assistance, MAIN DATA'!AS:AS,1)/1000000000</f>
        <v>6.5404858299595138E-4</v>
      </c>
      <c r="Q29" s="277">
        <f>SUMIFS('Bilateral Assistance, MAIN DATA'!S:S,'Bilateral Assistance, MAIN DATA'!B:B,'Comm per Month (Mil in-kind)'!B29,'Bilateral Assistance, MAIN DATA'!AG:AG,1,'Bilateral Assistance, MAIN DATA'!AH:AH,'Comm per Month (Mil in-kind)'!$Q$11, 'Bilateral Assistance, MAIN DATA'!AS:AS,1)/1000000000</f>
        <v>0</v>
      </c>
      <c r="R29" s="277">
        <f>SUMIFS('Bilateral Assistance, MAIN DATA'!$S:$S,'Bilateral Assistance, MAIN DATA'!$B:$B,'Comm per Month (Mil in-kind)'!$B29,'Bilateral Assistance, MAIN DATA'!$AG:$AG,1,'Bilateral Assistance, MAIN DATA'!$AH:$AH,'Comm per Month (Mil in-kind)'!$R$11, 'Bilateral Assistance, MAIN DATA'!$AS:$AS,1)/1000000000</f>
        <v>0</v>
      </c>
      <c r="S29" s="277">
        <f>SUMIFS('Bilateral Assistance, MAIN DATA'!$S:$S,'Bilateral Assistance, MAIN DATA'!$B:$B,'Comm per Month (Mil in-kind)'!$B29,'Bilateral Assistance, MAIN DATA'!$AG:$AG,1,'Bilateral Assistance, MAIN DATA'!$AH:$AH,'Comm per Month (Mil in-kind)'!$S$11, 'Bilateral Assistance, MAIN DATA'!$AS:$AS,1)/1000000000</f>
        <v>6.9768060078420954E-3</v>
      </c>
      <c r="T29" s="277">
        <f>SUMIFS('Bilateral Assistance, MAIN DATA'!$S:$S,'Bilateral Assistance, MAIN DATA'!$B:$B,'Comm per Month (Mil in-kind)'!$B29,'Bilateral Assistance, MAIN DATA'!$AG:$AG,1,'Bilateral Assistance, MAIN DATA'!$AH:$AH,'Comm per Month (Mil in-kind)'!$T$11, 'Bilateral Assistance, MAIN DATA'!$AS:$AS,1)/1000000000</f>
        <v>0</v>
      </c>
      <c r="U29" s="277">
        <f>SUMIFS('Bilateral Assistance, MAIN DATA'!$S:$S,'Bilateral Assistance, MAIN DATA'!$B:$B,'Comm per Month (Mil in-kind)'!$B29,'Bilateral Assistance, MAIN DATA'!$AG:$AG,1,'Bilateral Assistance, MAIN DATA'!$AH:$AH,'Comm per Month (Mil in-kind)'!$U$11, 'Bilateral Assistance, MAIN DATA'!$AS:$AS,1)/1000000000</f>
        <v>1.3188830805911322E-3</v>
      </c>
      <c r="V29" s="277">
        <f t="shared" si="0"/>
        <v>8.9497376714291789E-3</v>
      </c>
      <c r="W29" s="277">
        <f>SUMIFS('Bilateral Assistance, MAIN DATA'!S:S,'Bilateral Assistance, MAIN DATA'!B:B,'Comm per Month (Mil in-kind)'!B29,'Bilateral Assistance, MAIN DATA'!AG:AG,0,'Bilateral Assistance, MAIN DATA'!AS:AS,1)/1000000000</f>
        <v>0</v>
      </c>
    </row>
    <row r="30" spans="1:25" ht="15.95" customHeight="1">
      <c r="A30" s="19"/>
      <c r="B30" s="24" t="s">
        <v>2096</v>
      </c>
      <c r="C30" s="297">
        <v>1</v>
      </c>
      <c r="D30" s="297">
        <v>0</v>
      </c>
      <c r="E30" s="276">
        <f>SUMIFS('Bilateral Assistance, MAIN DATA'!S:S,'Bilateral Assistance, MAIN DATA'!B:B,'Comm per Month (Mil in-kind)'!B30,'Bilateral Assistance, MAIN DATA'!AG:AG,1,'Bilateral Assistance, MAIN DATA'!AH:AH,'Comm per Month (Mil in-kind)'!$E$11, 'Bilateral Assistance, MAIN DATA'!AS:AS,1)/1000000000</f>
        <v>0</v>
      </c>
      <c r="F30" s="276">
        <f>SUMIFS('Bilateral Assistance, MAIN DATA'!S:S,'Bilateral Assistance, MAIN DATA'!B:B,'Comm per Month (Mil in-kind)'!B30,'Bilateral Assistance, MAIN DATA'!AG:AG,1,'Bilateral Assistance, MAIN DATA'!AH:AH,'Comm per Month (Mil in-kind)'!$F$11, 'Bilateral Assistance, MAIN DATA'!AS:AS,1)/1000000000</f>
        <v>0</v>
      </c>
      <c r="G30" s="276">
        <f>SUMIFS('Bilateral Assistance, MAIN DATA'!S:S,'Bilateral Assistance, MAIN DATA'!B:B,'Comm per Month (Mil in-kind)'!B30,'Bilateral Assistance, MAIN DATA'!AG:AG,1,'Bilateral Assistance, MAIN DATA'!AH:AH,'Comm per Month (Mil in-kind)'!$G$11, 'Bilateral Assistance, MAIN DATA'!AS:AS,1)/1000000000</f>
        <v>0</v>
      </c>
      <c r="H30" s="276">
        <f>SUMIFS('Bilateral Assistance, MAIN DATA'!S:S,'Bilateral Assistance, MAIN DATA'!B:B,'Comm per Month (Mil in-kind)'!B30,'Bilateral Assistance, MAIN DATA'!AG:AG,1,'Bilateral Assistance, MAIN DATA'!AH:AH,'Comm per Month (Mil in-kind)'!$H$11, 'Bilateral Assistance, MAIN DATA'!AS:AS,1)/1000000000</f>
        <v>0</v>
      </c>
      <c r="I30" s="276">
        <f>SUMIFS('Bilateral Assistance, MAIN DATA'!S:S,'Bilateral Assistance, MAIN DATA'!B:B,'Comm per Month (Mil in-kind)'!B30,'Bilateral Assistance, MAIN DATA'!AG:AG,1,'Bilateral Assistance, MAIN DATA'!AH:AH,'Comm per Month (Mil in-kind)'!$I$11, 'Bilateral Assistance, MAIN DATA'!AS:AS,1)/1000000000</f>
        <v>0</v>
      </c>
      <c r="J30" s="276">
        <f>SUMIFS('Bilateral Assistance, MAIN DATA'!S:S,'Bilateral Assistance, MAIN DATA'!B:B,'Comm per Month (Mil in-kind)'!B30,'Bilateral Assistance, MAIN DATA'!AG:AG,1,'Bilateral Assistance, MAIN DATA'!AH:AH,'Comm per Month (Mil in-kind)'!$J$11, 'Bilateral Assistance, MAIN DATA'!AS:AS,1)/1000000000</f>
        <v>0</v>
      </c>
      <c r="K30" s="276">
        <f>SUMIFS('Bilateral Assistance, MAIN DATA'!S:S,'Bilateral Assistance, MAIN DATA'!B:B,'Comm per Month (Mil in-kind)'!B30,'Bilateral Assistance, MAIN DATA'!AG:AG,1,'Bilateral Assistance, MAIN DATA'!AH:AH,'Comm per Month (Mil in-kind)'!$K$11, 'Bilateral Assistance, MAIN DATA'!AS:AS,1)/1000000000</f>
        <v>0</v>
      </c>
      <c r="L30" s="276">
        <f>SUMIFS('Bilateral Assistance, MAIN DATA'!S:S,'Bilateral Assistance, MAIN DATA'!B:B,'Comm per Month (Mil in-kind)'!B30,'Bilateral Assistance, MAIN DATA'!AG:AG,1,'Bilateral Assistance, MAIN DATA'!AH:AH,'Comm per Month (Mil in-kind)'!$L$11, 'Bilateral Assistance, MAIN DATA'!AS:AS,1)/1000000000</f>
        <v>0</v>
      </c>
      <c r="M30" s="277">
        <f>SUMIFS('Bilateral Assistance, MAIN DATA'!S:S,'Bilateral Assistance, MAIN DATA'!B:B,'Comm per Month (Mil in-kind)'!B30,'Bilateral Assistance, MAIN DATA'!AG:AG,1,'Bilateral Assistance, MAIN DATA'!AH:AH,'Comm per Month (Mil in-kind)'!$M$11, 'Bilateral Assistance, MAIN DATA'!AS:AS,1)/1000000000</f>
        <v>0</v>
      </c>
      <c r="N30" s="239">
        <f>SUMIFS('Bilateral Assistance, MAIN DATA'!S:S,'Bilateral Assistance, MAIN DATA'!B:B,'Comm per Month (Mil in-kind)'!B30,'Bilateral Assistance, MAIN DATA'!AG:AG,1,'Bilateral Assistance, MAIN DATA'!AH:AH,'Comm per Month (Mil in-kind)'!$N$11, 'Bilateral Assistance, MAIN DATA'!AS:AS,1)/1000000000</f>
        <v>0</v>
      </c>
      <c r="O30" s="277">
        <f>SUMIFS('Bilateral Assistance, MAIN DATA'!S:S,'Bilateral Assistance, MAIN DATA'!B:B,'Comm per Month (Mil in-kind)'!B30,'Bilateral Assistance, MAIN DATA'!AG:AG,1,'Bilateral Assistance, MAIN DATA'!AH:AH,'Comm per Month (Mil in-kind)'!$O$11, 'Bilateral Assistance, MAIN DATA'!AS:AS,1)/1000000000</f>
        <v>0</v>
      </c>
      <c r="P30" s="277">
        <f>SUMIFS('Bilateral Assistance, MAIN DATA'!S:S,'Bilateral Assistance, MAIN DATA'!B:B,'Comm per Month (Mil in-kind)'!B30,'Bilateral Assistance, MAIN DATA'!AG:AG,1,'Bilateral Assistance, MAIN DATA'!AH:AH,'Comm per Month (Mil in-kind)'!$P$11, 'Bilateral Assistance, MAIN DATA'!AS:AS,1)/1000000000</f>
        <v>0</v>
      </c>
      <c r="Q30" s="277">
        <f>SUMIFS('Bilateral Assistance, MAIN DATA'!S:S,'Bilateral Assistance, MAIN DATA'!B:B,'Comm per Month (Mil in-kind)'!B30,'Bilateral Assistance, MAIN DATA'!AG:AG,1,'Bilateral Assistance, MAIN DATA'!AH:AH,'Comm per Month (Mil in-kind)'!$Q$11, 'Bilateral Assistance, MAIN DATA'!AS:AS,1)/1000000000</f>
        <v>0</v>
      </c>
      <c r="R30" s="277">
        <f>SUMIFS('Bilateral Assistance, MAIN DATA'!$S:$S,'Bilateral Assistance, MAIN DATA'!$B:$B,'Comm per Month (Mil in-kind)'!$B30,'Bilateral Assistance, MAIN DATA'!$AG:$AG,1,'Bilateral Assistance, MAIN DATA'!$AH:$AH,'Comm per Month (Mil in-kind)'!$R$11, 'Bilateral Assistance, MAIN DATA'!$AS:$AS,1)/1000000000</f>
        <v>0</v>
      </c>
      <c r="S30" s="277">
        <f>SUMIFS('Bilateral Assistance, MAIN DATA'!$S:$S,'Bilateral Assistance, MAIN DATA'!$B:$B,'Comm per Month (Mil in-kind)'!$B30,'Bilateral Assistance, MAIN DATA'!$AG:$AG,1,'Bilateral Assistance, MAIN DATA'!$AH:$AH,'Comm per Month (Mil in-kind)'!$S$11, 'Bilateral Assistance, MAIN DATA'!$AS:$AS,1)/1000000000</f>
        <v>0</v>
      </c>
      <c r="T30" s="277">
        <f>SUMIFS('Bilateral Assistance, MAIN DATA'!$S:$S,'Bilateral Assistance, MAIN DATA'!$B:$B,'Comm per Month (Mil in-kind)'!$B30,'Bilateral Assistance, MAIN DATA'!$AG:$AG,1,'Bilateral Assistance, MAIN DATA'!$AH:$AH,'Comm per Month (Mil in-kind)'!$T$11, 'Bilateral Assistance, MAIN DATA'!$AS:$AS,1)/1000000000</f>
        <v>0</v>
      </c>
      <c r="U30" s="277">
        <f>SUMIFS('Bilateral Assistance, MAIN DATA'!$S:$S,'Bilateral Assistance, MAIN DATA'!$B:$B,'Comm per Month (Mil in-kind)'!$B30,'Bilateral Assistance, MAIN DATA'!$AG:$AG,1,'Bilateral Assistance, MAIN DATA'!$AH:$AH,'Comm per Month (Mil in-kind)'!$U$11, 'Bilateral Assistance, MAIN DATA'!$AS:$AS,1)/1000000000</f>
        <v>0</v>
      </c>
      <c r="V30" s="277">
        <f t="shared" si="0"/>
        <v>0</v>
      </c>
      <c r="W30" s="277">
        <f>SUMIFS('Bilateral Assistance, MAIN DATA'!S:S,'Bilateral Assistance, MAIN DATA'!B:B,'Comm per Month (Mil in-kind)'!B30,'Bilateral Assistance, MAIN DATA'!AG:AG,0,'Bilateral Assistance, MAIN DATA'!AS:AS,1)/1000000000</f>
        <v>0</v>
      </c>
    </row>
    <row r="31" spans="1:25" ht="15.95" customHeight="1">
      <c r="A31" s="19"/>
      <c r="B31" s="24" t="s">
        <v>2204</v>
      </c>
      <c r="C31" s="297">
        <v>1</v>
      </c>
      <c r="D31" s="297">
        <v>0</v>
      </c>
      <c r="E31" s="276">
        <f>SUMIFS('Bilateral Assistance, MAIN DATA'!S:S,'Bilateral Assistance, MAIN DATA'!B:B,'Comm per Month (Mil in-kind)'!B31,'Bilateral Assistance, MAIN DATA'!AG:AG,1,'Bilateral Assistance, MAIN DATA'!AH:AH,'Comm per Month (Mil in-kind)'!$E$11, 'Bilateral Assistance, MAIN DATA'!AS:AS,1)/1000000000</f>
        <v>0</v>
      </c>
      <c r="F31" s="276">
        <f>SUMIFS('Bilateral Assistance, MAIN DATA'!S:S,'Bilateral Assistance, MAIN DATA'!B:B,'Comm per Month (Mil in-kind)'!B31,'Bilateral Assistance, MAIN DATA'!AG:AG,1,'Bilateral Assistance, MAIN DATA'!AH:AH,'Comm per Month (Mil in-kind)'!$F$11, 'Bilateral Assistance, MAIN DATA'!AS:AS,1)/1000000000</f>
        <v>0.15</v>
      </c>
      <c r="G31" s="276">
        <f>SUMIFS('Bilateral Assistance, MAIN DATA'!S:S,'Bilateral Assistance, MAIN DATA'!B:B,'Comm per Month (Mil in-kind)'!B31,'Bilateral Assistance, MAIN DATA'!AG:AG,1,'Bilateral Assistance, MAIN DATA'!AH:AH,'Comm per Month (Mil in-kind)'!$G$11, 'Bilateral Assistance, MAIN DATA'!AS:AS,1)/1000000000</f>
        <v>0</v>
      </c>
      <c r="H31" s="276">
        <f>SUMIFS('Bilateral Assistance, MAIN DATA'!S:S,'Bilateral Assistance, MAIN DATA'!B:B,'Comm per Month (Mil in-kind)'!B31,'Bilateral Assistance, MAIN DATA'!AG:AG,1,'Bilateral Assistance, MAIN DATA'!AH:AH,'Comm per Month (Mil in-kind)'!$H$11, 'Bilateral Assistance, MAIN DATA'!AS:AS,1)/1000000000</f>
        <v>0</v>
      </c>
      <c r="I31" s="276">
        <f>SUMIFS('Bilateral Assistance, MAIN DATA'!S:S,'Bilateral Assistance, MAIN DATA'!B:B,'Comm per Month (Mil in-kind)'!B31,'Bilateral Assistance, MAIN DATA'!AG:AG,1,'Bilateral Assistance, MAIN DATA'!AH:AH,'Comm per Month (Mil in-kind)'!$I$11, 'Bilateral Assistance, MAIN DATA'!AS:AS,1)/1000000000</f>
        <v>0</v>
      </c>
      <c r="J31" s="276">
        <f>SUMIFS('Bilateral Assistance, MAIN DATA'!S:S,'Bilateral Assistance, MAIN DATA'!B:B,'Comm per Month (Mil in-kind)'!B31,'Bilateral Assistance, MAIN DATA'!AG:AG,1,'Bilateral Assistance, MAIN DATA'!AH:AH,'Comm per Month (Mil in-kind)'!$J$11, 'Bilateral Assistance, MAIN DATA'!AS:AS,1)/1000000000</f>
        <v>0</v>
      </c>
      <c r="K31" s="276">
        <f>SUMIFS('Bilateral Assistance, MAIN DATA'!S:S,'Bilateral Assistance, MAIN DATA'!B:B,'Comm per Month (Mil in-kind)'!B31,'Bilateral Assistance, MAIN DATA'!AG:AG,1,'Bilateral Assistance, MAIN DATA'!AH:AH,'Comm per Month (Mil in-kind)'!$K$11, 'Bilateral Assistance, MAIN DATA'!AS:AS,1)/1000000000</f>
        <v>0</v>
      </c>
      <c r="L31" s="276">
        <f>SUMIFS('Bilateral Assistance, MAIN DATA'!S:S,'Bilateral Assistance, MAIN DATA'!B:B,'Comm per Month (Mil in-kind)'!B31,'Bilateral Assistance, MAIN DATA'!AG:AG,1,'Bilateral Assistance, MAIN DATA'!AH:AH,'Comm per Month (Mil in-kind)'!$L$11, 'Bilateral Assistance, MAIN DATA'!AS:AS,1)/1000000000</f>
        <v>0</v>
      </c>
      <c r="M31" s="277">
        <f>SUMIFS('Bilateral Assistance, MAIN DATA'!S:S,'Bilateral Assistance, MAIN DATA'!B:B,'Comm per Month (Mil in-kind)'!B31,'Bilateral Assistance, MAIN DATA'!AG:AG,1,'Bilateral Assistance, MAIN DATA'!AH:AH,'Comm per Month (Mil in-kind)'!$M$11, 'Bilateral Assistance, MAIN DATA'!AS:AS,1)/1000000000</f>
        <v>0</v>
      </c>
      <c r="N31" s="239">
        <f>SUMIFS('Bilateral Assistance, MAIN DATA'!S:S,'Bilateral Assistance, MAIN DATA'!B:B,'Comm per Month (Mil in-kind)'!B31,'Bilateral Assistance, MAIN DATA'!AG:AG,1,'Bilateral Assistance, MAIN DATA'!AH:AH,'Comm per Month (Mil in-kind)'!$N$11, 'Bilateral Assistance, MAIN DATA'!AS:AS,1)/1000000000</f>
        <v>0.16914838062565363</v>
      </c>
      <c r="O31" s="277">
        <f>SUMIFS('Bilateral Assistance, MAIN DATA'!S:S,'Bilateral Assistance, MAIN DATA'!B:B,'Comm per Month (Mil in-kind)'!B31,'Bilateral Assistance, MAIN DATA'!AG:AG,1,'Bilateral Assistance, MAIN DATA'!AH:AH,'Comm per Month (Mil in-kind)'!$O$11, 'Bilateral Assistance, MAIN DATA'!AS:AS,1)/1000000000</f>
        <v>0</v>
      </c>
      <c r="P31" s="277">
        <f>SUMIFS('Bilateral Assistance, MAIN DATA'!S:S,'Bilateral Assistance, MAIN DATA'!B:B,'Comm per Month (Mil in-kind)'!B31,'Bilateral Assistance, MAIN DATA'!AG:AG,1,'Bilateral Assistance, MAIN DATA'!AH:AH,'Comm per Month (Mil in-kind)'!$P$11, 'Bilateral Assistance, MAIN DATA'!AS:AS,1)/1000000000</f>
        <v>0</v>
      </c>
      <c r="Q31" s="277">
        <f>SUMIFS('Bilateral Assistance, MAIN DATA'!S:S,'Bilateral Assistance, MAIN DATA'!B:B,'Comm per Month (Mil in-kind)'!B31,'Bilateral Assistance, MAIN DATA'!AG:AG,1,'Bilateral Assistance, MAIN DATA'!AH:AH,'Comm per Month (Mil in-kind)'!$Q$11, 'Bilateral Assistance, MAIN DATA'!AS:AS,1)/1000000000</f>
        <v>0.34177000000000002</v>
      </c>
      <c r="R31" s="277">
        <f>SUMIFS('Bilateral Assistance, MAIN DATA'!$S:$S,'Bilateral Assistance, MAIN DATA'!$B:$B,'Comm per Month (Mil in-kind)'!$B31,'Bilateral Assistance, MAIN DATA'!$AG:$AG,1,'Bilateral Assistance, MAIN DATA'!$AH:$AH,'Comm per Month (Mil in-kind)'!$R$11, 'Bilateral Assistance, MAIN DATA'!$AS:$AS,1)/1000000000</f>
        <v>0</v>
      </c>
      <c r="S31" s="277">
        <f>SUMIFS('Bilateral Assistance, MAIN DATA'!$S:$S,'Bilateral Assistance, MAIN DATA'!$B:$B,'Comm per Month (Mil in-kind)'!$B31,'Bilateral Assistance, MAIN DATA'!$AG:$AG,1,'Bilateral Assistance, MAIN DATA'!$AH:$AH,'Comm per Month (Mil in-kind)'!$S$11, 'Bilateral Assistance, MAIN DATA'!$AS:$AS,1)/1000000000</f>
        <v>0</v>
      </c>
      <c r="T31" s="277">
        <f>SUMIFS('Bilateral Assistance, MAIN DATA'!$S:$S,'Bilateral Assistance, MAIN DATA'!$B:$B,'Comm per Month (Mil in-kind)'!$B31,'Bilateral Assistance, MAIN DATA'!$AG:$AG,1,'Bilateral Assistance, MAIN DATA'!$AH:$AH,'Comm per Month (Mil in-kind)'!$T$11, 'Bilateral Assistance, MAIN DATA'!$AS:$AS,1)/1000000000</f>
        <v>5.2043619236884199E-2</v>
      </c>
      <c r="U31" s="277">
        <f>SUMIFS('Bilateral Assistance, MAIN DATA'!$S:$S,'Bilateral Assistance, MAIN DATA'!$B:$B,'Comm per Month (Mil in-kind)'!$B31,'Bilateral Assistance, MAIN DATA'!$AG:$AG,1,'Bilateral Assistance, MAIN DATA'!$AH:$AH,'Comm per Month (Mil in-kind)'!$U$11, 'Bilateral Assistance, MAIN DATA'!$AS:$AS,1)/1000000000</f>
        <v>0</v>
      </c>
      <c r="V31" s="277">
        <f t="shared" si="0"/>
        <v>0.71296199986253783</v>
      </c>
      <c r="W31" s="277">
        <f>SUMIFS('Bilateral Assistance, MAIN DATA'!S:S,'Bilateral Assistance, MAIN DATA'!B:B,'Comm per Month (Mil in-kind)'!B31,'Bilateral Assistance, MAIN DATA'!AG:AG,0,'Bilateral Assistance, MAIN DATA'!AS:AS,1)/1000000000</f>
        <v>0</v>
      </c>
    </row>
    <row r="32" spans="1:25" ht="15.95" customHeight="1">
      <c r="A32" s="19"/>
      <c r="B32" s="24" t="s">
        <v>2312</v>
      </c>
      <c r="C32" s="297">
        <v>0</v>
      </c>
      <c r="D32" s="297">
        <v>0</v>
      </c>
      <c r="E32" s="276">
        <f>SUMIFS('Bilateral Assistance, MAIN DATA'!S:S,'Bilateral Assistance, MAIN DATA'!B:B,'Comm per Month (Mil in-kind)'!B32,'Bilateral Assistance, MAIN DATA'!AG:AG,1,'Bilateral Assistance, MAIN DATA'!AH:AH,'Comm per Month (Mil in-kind)'!$E$11, 'Bilateral Assistance, MAIN DATA'!AS:AS,1)/1000000000</f>
        <v>0</v>
      </c>
      <c r="F32" s="276">
        <f>SUMIFS('Bilateral Assistance, MAIN DATA'!S:S,'Bilateral Assistance, MAIN DATA'!B:B,'Comm per Month (Mil in-kind)'!B32,'Bilateral Assistance, MAIN DATA'!AG:AG,1,'Bilateral Assistance, MAIN DATA'!AH:AH,'Comm per Month (Mil in-kind)'!$F$11, 'Bilateral Assistance, MAIN DATA'!AS:AS,1)/1000000000</f>
        <v>0</v>
      </c>
      <c r="G32" s="276">
        <f>SUMIFS('Bilateral Assistance, MAIN DATA'!S:S,'Bilateral Assistance, MAIN DATA'!B:B,'Comm per Month (Mil in-kind)'!B32,'Bilateral Assistance, MAIN DATA'!AG:AG,1,'Bilateral Assistance, MAIN DATA'!AH:AH,'Comm per Month (Mil in-kind)'!$G$11, 'Bilateral Assistance, MAIN DATA'!AS:AS,1)/1000000000</f>
        <v>2.0242914979757085E-3</v>
      </c>
      <c r="H32" s="276">
        <f>SUMIFS('Bilateral Assistance, MAIN DATA'!S:S,'Bilateral Assistance, MAIN DATA'!B:B,'Comm per Month (Mil in-kind)'!B32,'Bilateral Assistance, MAIN DATA'!AG:AG,1,'Bilateral Assistance, MAIN DATA'!AH:AH,'Comm per Month (Mil in-kind)'!$H$11, 'Bilateral Assistance, MAIN DATA'!AS:AS,1)/1000000000</f>
        <v>1.6562384983437615E-4</v>
      </c>
      <c r="I32" s="276">
        <f>SUMIFS('Bilateral Assistance, MAIN DATA'!S:S,'Bilateral Assistance, MAIN DATA'!B:B,'Comm per Month (Mil in-kind)'!B32,'Bilateral Assistance, MAIN DATA'!AG:AG,1,'Bilateral Assistance, MAIN DATA'!AH:AH,'Comm per Month (Mil in-kind)'!$I$11, 'Bilateral Assistance, MAIN DATA'!AS:AS,1)/1000000000</f>
        <v>0</v>
      </c>
      <c r="J32" s="276">
        <f>SUMIFS('Bilateral Assistance, MAIN DATA'!S:S,'Bilateral Assistance, MAIN DATA'!B:B,'Comm per Month (Mil in-kind)'!B32,'Bilateral Assistance, MAIN DATA'!AG:AG,1,'Bilateral Assistance, MAIN DATA'!AH:AH,'Comm per Month (Mil in-kind)'!$J$11, 'Bilateral Assistance, MAIN DATA'!AS:AS,1)/1000000000</f>
        <v>0</v>
      </c>
      <c r="K32" s="276">
        <f>SUMIFS('Bilateral Assistance, MAIN DATA'!S:S,'Bilateral Assistance, MAIN DATA'!B:B,'Comm per Month (Mil in-kind)'!B32,'Bilateral Assistance, MAIN DATA'!AG:AG,1,'Bilateral Assistance, MAIN DATA'!AH:AH,'Comm per Month (Mil in-kind)'!$K$11, 'Bilateral Assistance, MAIN DATA'!AS:AS,1)/1000000000</f>
        <v>0</v>
      </c>
      <c r="L32" s="276">
        <f>SUMIFS('Bilateral Assistance, MAIN DATA'!S:S,'Bilateral Assistance, MAIN DATA'!B:B,'Comm per Month (Mil in-kind)'!B32,'Bilateral Assistance, MAIN DATA'!AG:AG,1,'Bilateral Assistance, MAIN DATA'!AH:AH,'Comm per Month (Mil in-kind)'!$L$11, 'Bilateral Assistance, MAIN DATA'!AS:AS,1)/1000000000</f>
        <v>6.6249539933750469E-5</v>
      </c>
      <c r="M32" s="277">
        <f>SUMIFS('Bilateral Assistance, MAIN DATA'!S:S,'Bilateral Assistance, MAIN DATA'!B:B,'Comm per Month (Mil in-kind)'!B32,'Bilateral Assistance, MAIN DATA'!AG:AG,1,'Bilateral Assistance, MAIN DATA'!AH:AH,'Comm per Month (Mil in-kind)'!$M$11, 'Bilateral Assistance, MAIN DATA'!AS:AS,1)/1000000000</f>
        <v>0</v>
      </c>
      <c r="N32" s="239">
        <f>SUMIFS('Bilateral Assistance, MAIN DATA'!S:S,'Bilateral Assistance, MAIN DATA'!B:B,'Comm per Month (Mil in-kind)'!B32,'Bilateral Assistance, MAIN DATA'!AG:AG,1,'Bilateral Assistance, MAIN DATA'!AH:AH,'Comm per Month (Mil in-kind)'!$N$11, 'Bilateral Assistance, MAIN DATA'!AS:AS,1)/1000000000</f>
        <v>0</v>
      </c>
      <c r="O32" s="277">
        <f>SUMIFS('Bilateral Assistance, MAIN DATA'!S:S,'Bilateral Assistance, MAIN DATA'!B:B,'Comm per Month (Mil in-kind)'!B32,'Bilateral Assistance, MAIN DATA'!AG:AG,1,'Bilateral Assistance, MAIN DATA'!AH:AH,'Comm per Month (Mil in-kind)'!$O$11, 'Bilateral Assistance, MAIN DATA'!AS:AS,1)/1000000000</f>
        <v>0</v>
      </c>
      <c r="P32" s="277">
        <f>SUMIFS('Bilateral Assistance, MAIN DATA'!S:S,'Bilateral Assistance, MAIN DATA'!B:B,'Comm per Month (Mil in-kind)'!B32,'Bilateral Assistance, MAIN DATA'!AG:AG,1,'Bilateral Assistance, MAIN DATA'!AH:AH,'Comm per Month (Mil in-kind)'!$P$11, 'Bilateral Assistance, MAIN DATA'!AS:AS,1)/1000000000</f>
        <v>0</v>
      </c>
      <c r="Q32" s="277">
        <f>SUMIFS('Bilateral Assistance, MAIN DATA'!S:S,'Bilateral Assistance, MAIN DATA'!B:B,'Comm per Month (Mil in-kind)'!B32,'Bilateral Assistance, MAIN DATA'!AG:AG,1,'Bilateral Assistance, MAIN DATA'!AH:AH,'Comm per Month (Mil in-kind)'!$Q$11, 'Bilateral Assistance, MAIN DATA'!AS:AS,1)/1000000000</f>
        <v>0</v>
      </c>
      <c r="R32" s="277">
        <f>SUMIFS('Bilateral Assistance, MAIN DATA'!$S:$S,'Bilateral Assistance, MAIN DATA'!$B:$B,'Comm per Month (Mil in-kind)'!$B32,'Bilateral Assistance, MAIN DATA'!$AG:$AG,1,'Bilateral Assistance, MAIN DATA'!$AH:$AH,'Comm per Month (Mil in-kind)'!$R$11, 'Bilateral Assistance, MAIN DATA'!$AS:$AS,1)/1000000000</f>
        <v>0</v>
      </c>
      <c r="S32" s="277">
        <f>SUMIFS('Bilateral Assistance, MAIN DATA'!$S:$S,'Bilateral Assistance, MAIN DATA'!$B:$B,'Comm per Month (Mil in-kind)'!$B32,'Bilateral Assistance, MAIN DATA'!$AG:$AG,1,'Bilateral Assistance, MAIN DATA'!$AH:$AH,'Comm per Month (Mil in-kind)'!$S$11, 'Bilateral Assistance, MAIN DATA'!$AS:$AS,1)/1000000000</f>
        <v>2.7603974972396025E-2</v>
      </c>
      <c r="T32" s="277">
        <f>SUMIFS('Bilateral Assistance, MAIN DATA'!$S:$S,'Bilateral Assistance, MAIN DATA'!$B:$B,'Comm per Month (Mil in-kind)'!$B32,'Bilateral Assistance, MAIN DATA'!$AG:$AG,1,'Bilateral Assistance, MAIN DATA'!$AH:$AH,'Comm per Month (Mil in-kind)'!$T$11, 'Bilateral Assistance, MAIN DATA'!$AS:$AS,1)/1000000000</f>
        <v>0</v>
      </c>
      <c r="U32" s="277">
        <f>SUMIFS('Bilateral Assistance, MAIN DATA'!$S:$S,'Bilateral Assistance, MAIN DATA'!$B:$B,'Comm per Month (Mil in-kind)'!$B32,'Bilateral Assistance, MAIN DATA'!$AG:$AG,1,'Bilateral Assistance, MAIN DATA'!$AH:$AH,'Comm per Month (Mil in-kind)'!$U$11, 'Bilateral Assistance, MAIN DATA'!$AS:$AS,1)/1000000000</f>
        <v>0</v>
      </c>
      <c r="V32" s="277">
        <f t="shared" si="0"/>
        <v>2.9860139860139859E-2</v>
      </c>
      <c r="W32" s="277">
        <f>SUMIFS('Bilateral Assistance, MAIN DATA'!S:S,'Bilateral Assistance, MAIN DATA'!B:B,'Comm per Month (Mil in-kind)'!B32,'Bilateral Assistance, MAIN DATA'!AG:AG,0,'Bilateral Assistance, MAIN DATA'!AS:AS,1)/1000000000</f>
        <v>0</v>
      </c>
    </row>
    <row r="33" spans="1:23" ht="15.95" customHeight="1">
      <c r="A33" s="19"/>
      <c r="B33" s="24" t="s">
        <v>2392</v>
      </c>
      <c r="C33" s="297">
        <v>1</v>
      </c>
      <c r="D33" s="297">
        <v>0</v>
      </c>
      <c r="E33" s="276">
        <f>SUMIFS('Bilateral Assistance, MAIN DATA'!S:S,'Bilateral Assistance, MAIN DATA'!B:B,'Comm per Month (Mil in-kind)'!B33,'Bilateral Assistance, MAIN DATA'!AG:AG,1,'Bilateral Assistance, MAIN DATA'!AH:AH,'Comm per Month (Mil in-kind)'!$E$11, 'Bilateral Assistance, MAIN DATA'!AS:AS,1)/1000000000</f>
        <v>0</v>
      </c>
      <c r="F33" s="276">
        <f>SUMIFS('Bilateral Assistance, MAIN DATA'!S:S,'Bilateral Assistance, MAIN DATA'!B:B,'Comm per Month (Mil in-kind)'!B33,'Bilateral Assistance, MAIN DATA'!AG:AG,1,'Bilateral Assistance, MAIN DATA'!AH:AH,'Comm per Month (Mil in-kind)'!$F$11, 'Bilateral Assistance, MAIN DATA'!AS:AS,1)/1000000000</f>
        <v>0</v>
      </c>
      <c r="G33" s="276">
        <f>SUMIFS('Bilateral Assistance, MAIN DATA'!S:S,'Bilateral Assistance, MAIN DATA'!B:B,'Comm per Month (Mil in-kind)'!B33,'Bilateral Assistance, MAIN DATA'!AG:AG,1,'Bilateral Assistance, MAIN DATA'!AH:AH,'Comm per Month (Mil in-kind)'!$G$11, 'Bilateral Assistance, MAIN DATA'!AS:AS,1)/1000000000</f>
        <v>0</v>
      </c>
      <c r="H33" s="276">
        <f>SUMIFS('Bilateral Assistance, MAIN DATA'!S:S,'Bilateral Assistance, MAIN DATA'!B:B,'Comm per Month (Mil in-kind)'!B33,'Bilateral Assistance, MAIN DATA'!AG:AG,1,'Bilateral Assistance, MAIN DATA'!AH:AH,'Comm per Month (Mil in-kind)'!$H$11, 'Bilateral Assistance, MAIN DATA'!AS:AS,1)/1000000000</f>
        <v>0.21879999999999999</v>
      </c>
      <c r="I33" s="276">
        <f>SUMIFS('Bilateral Assistance, MAIN DATA'!S:S,'Bilateral Assistance, MAIN DATA'!B:B,'Comm per Month (Mil in-kind)'!B33,'Bilateral Assistance, MAIN DATA'!AG:AG,1,'Bilateral Assistance, MAIN DATA'!AH:AH,'Comm per Month (Mil in-kind)'!$I$11, 'Bilateral Assistance, MAIN DATA'!AS:AS,1)/1000000000</f>
        <v>0</v>
      </c>
      <c r="J33" s="276">
        <f>SUMIFS('Bilateral Assistance, MAIN DATA'!S:S,'Bilateral Assistance, MAIN DATA'!B:B,'Comm per Month (Mil in-kind)'!B33,'Bilateral Assistance, MAIN DATA'!AG:AG,1,'Bilateral Assistance, MAIN DATA'!AH:AH,'Comm per Month (Mil in-kind)'!$J$11, 'Bilateral Assistance, MAIN DATA'!AS:AS,1)/1000000000</f>
        <v>0</v>
      </c>
      <c r="K33" s="276">
        <f>SUMIFS('Bilateral Assistance, MAIN DATA'!S:S,'Bilateral Assistance, MAIN DATA'!B:B,'Comm per Month (Mil in-kind)'!B33,'Bilateral Assistance, MAIN DATA'!AG:AG,1,'Bilateral Assistance, MAIN DATA'!AH:AH,'Comm per Month (Mil in-kind)'!$K$11, 'Bilateral Assistance, MAIN DATA'!AS:AS,1)/1000000000</f>
        <v>0.03</v>
      </c>
      <c r="L33" s="276">
        <f>SUMIFS('Bilateral Assistance, MAIN DATA'!S:S,'Bilateral Assistance, MAIN DATA'!B:B,'Comm per Month (Mil in-kind)'!B33,'Bilateral Assistance, MAIN DATA'!AG:AG,1,'Bilateral Assistance, MAIN DATA'!AH:AH,'Comm per Month (Mil in-kind)'!$L$11, 'Bilateral Assistance, MAIN DATA'!AS:AS,1)/1000000000</f>
        <v>4.463445330086202E-2</v>
      </c>
      <c r="M33" s="277">
        <f>SUMIFS('Bilateral Assistance, MAIN DATA'!S:S,'Bilateral Assistance, MAIN DATA'!B:B,'Comm per Month (Mil in-kind)'!B33,'Bilateral Assistance, MAIN DATA'!AG:AG,1,'Bilateral Assistance, MAIN DATA'!AH:AH,'Comm per Month (Mil in-kind)'!$M$11, 'Bilateral Assistance, MAIN DATA'!AS:AS,1)/1000000000</f>
        <v>0</v>
      </c>
      <c r="N33" s="239">
        <f>SUMIFS('Bilateral Assistance, MAIN DATA'!S:S,'Bilateral Assistance, MAIN DATA'!B:B,'Comm per Month (Mil in-kind)'!B33,'Bilateral Assistance, MAIN DATA'!AG:AG,1,'Bilateral Assistance, MAIN DATA'!AH:AH,'Comm per Month (Mil in-kind)'!$N$11, 'Bilateral Assistance, MAIN DATA'!AS:AS,1)/1000000000</f>
        <v>0</v>
      </c>
      <c r="O33" s="277">
        <f>SUMIFS('Bilateral Assistance, MAIN DATA'!S:S,'Bilateral Assistance, MAIN DATA'!B:B,'Comm per Month (Mil in-kind)'!B33,'Bilateral Assistance, MAIN DATA'!AG:AG,1,'Bilateral Assistance, MAIN DATA'!AH:AH,'Comm per Month (Mil in-kind)'!$O$11, 'Bilateral Assistance, MAIN DATA'!AS:AS,1)/1000000000</f>
        <v>0</v>
      </c>
      <c r="P33" s="277">
        <f>SUMIFS('Bilateral Assistance, MAIN DATA'!S:S,'Bilateral Assistance, MAIN DATA'!B:B,'Comm per Month (Mil in-kind)'!B33,'Bilateral Assistance, MAIN DATA'!AG:AG,1,'Bilateral Assistance, MAIN DATA'!AH:AH,'Comm per Month (Mil in-kind)'!$P$11, 'Bilateral Assistance, MAIN DATA'!AS:AS,1)/1000000000</f>
        <v>0</v>
      </c>
      <c r="Q33" s="277">
        <f>SUMIFS('Bilateral Assistance, MAIN DATA'!S:S,'Bilateral Assistance, MAIN DATA'!B:B,'Comm per Month (Mil in-kind)'!B33,'Bilateral Assistance, MAIN DATA'!AG:AG,1,'Bilateral Assistance, MAIN DATA'!AH:AH,'Comm per Month (Mil in-kind)'!$Q$11, 'Bilateral Assistance, MAIN DATA'!AS:AS,1)/1000000000</f>
        <v>7.6565546699137982E-2</v>
      </c>
      <c r="R33" s="277">
        <f>SUMIFS('Bilateral Assistance, MAIN DATA'!$S:$S,'Bilateral Assistance, MAIN DATA'!$B:$B,'Comm per Month (Mil in-kind)'!$B33,'Bilateral Assistance, MAIN DATA'!$AG:$AG,1,'Bilateral Assistance, MAIN DATA'!$AH:$AH,'Comm per Month (Mil in-kind)'!$R$11, 'Bilateral Assistance, MAIN DATA'!$AS:$AS,1)/1000000000</f>
        <v>0</v>
      </c>
      <c r="S33" s="277">
        <f>SUMIFS('Bilateral Assistance, MAIN DATA'!$S:$S,'Bilateral Assistance, MAIN DATA'!$B:$B,'Comm per Month (Mil in-kind)'!$B33,'Bilateral Assistance, MAIN DATA'!$AG:$AG,1,'Bilateral Assistance, MAIN DATA'!$AH:$AH,'Comm per Month (Mil in-kind)'!$S$11, 'Bilateral Assistance, MAIN DATA'!$AS:$AS,1)/1000000000</f>
        <v>0</v>
      </c>
      <c r="T33" s="277">
        <f>SUMIFS('Bilateral Assistance, MAIN DATA'!$S:$S,'Bilateral Assistance, MAIN DATA'!$B:$B,'Comm per Month (Mil in-kind)'!$B33,'Bilateral Assistance, MAIN DATA'!$AG:$AG,1,'Bilateral Assistance, MAIN DATA'!$AH:$AH,'Comm per Month (Mil in-kind)'!$T$11, 'Bilateral Assistance, MAIN DATA'!$AS:$AS,1)/1000000000</f>
        <v>0</v>
      </c>
      <c r="U33" s="277">
        <f>SUMIFS('Bilateral Assistance, MAIN DATA'!$S:$S,'Bilateral Assistance, MAIN DATA'!$B:$B,'Comm per Month (Mil in-kind)'!$B33,'Bilateral Assistance, MAIN DATA'!$AG:$AG,1,'Bilateral Assistance, MAIN DATA'!$AH:$AH,'Comm per Month (Mil in-kind)'!$U$11, 'Bilateral Assistance, MAIN DATA'!$AS:$AS,1)/1000000000</f>
        <v>0</v>
      </c>
      <c r="V33" s="277">
        <f t="shared" si="0"/>
        <v>0.37</v>
      </c>
      <c r="W33" s="277">
        <f>SUMIFS('Bilateral Assistance, MAIN DATA'!S:S,'Bilateral Assistance, MAIN DATA'!B:B,'Comm per Month (Mil in-kind)'!B33,'Bilateral Assistance, MAIN DATA'!AG:AG,0,'Bilateral Assistance, MAIN DATA'!AS:AS,1)/1000000000</f>
        <v>0</v>
      </c>
    </row>
    <row r="34" spans="1:23" ht="15.95" customHeight="1">
      <c r="A34" s="19"/>
      <c r="B34" s="24" t="s">
        <v>2488</v>
      </c>
      <c r="C34" s="297">
        <v>1</v>
      </c>
      <c r="D34" s="297">
        <v>0</v>
      </c>
      <c r="E34" s="276">
        <f>SUMIFS('Bilateral Assistance, MAIN DATA'!S:S,'Bilateral Assistance, MAIN DATA'!B:B,'Comm per Month (Mil in-kind)'!B34,'Bilateral Assistance, MAIN DATA'!AG:AG,1,'Bilateral Assistance, MAIN DATA'!AH:AH,'Comm per Month (Mil in-kind)'!$E$11, 'Bilateral Assistance, MAIN DATA'!AS:AS,1)/1000000000</f>
        <v>0</v>
      </c>
      <c r="F34" s="276">
        <f>SUMIFS('Bilateral Assistance, MAIN DATA'!S:S,'Bilateral Assistance, MAIN DATA'!B:B,'Comm per Month (Mil in-kind)'!B34,'Bilateral Assistance, MAIN DATA'!AG:AG,1,'Bilateral Assistance, MAIN DATA'!AH:AH,'Comm per Month (Mil in-kind)'!$F$11, 'Bilateral Assistance, MAIN DATA'!AS:AS,1)/1000000000</f>
        <v>0</v>
      </c>
      <c r="G34" s="276">
        <f>SUMIFS('Bilateral Assistance, MAIN DATA'!S:S,'Bilateral Assistance, MAIN DATA'!B:B,'Comm per Month (Mil in-kind)'!B34,'Bilateral Assistance, MAIN DATA'!AG:AG,1,'Bilateral Assistance, MAIN DATA'!AH:AH,'Comm per Month (Mil in-kind)'!$G$11, 'Bilateral Assistance, MAIN DATA'!AS:AS,1)/1000000000</f>
        <v>3.9E-2</v>
      </c>
      <c r="H34" s="276">
        <f>SUMIFS('Bilateral Assistance, MAIN DATA'!S:S,'Bilateral Assistance, MAIN DATA'!B:B,'Comm per Month (Mil in-kind)'!B34,'Bilateral Assistance, MAIN DATA'!AG:AG,1,'Bilateral Assistance, MAIN DATA'!AH:AH,'Comm per Month (Mil in-kind)'!$H$11, 'Bilateral Assistance, MAIN DATA'!AS:AS,1)/1000000000</f>
        <v>6.0999999999999999E-2</v>
      </c>
      <c r="I34" s="276">
        <f>SUMIFS('Bilateral Assistance, MAIN DATA'!S:S,'Bilateral Assistance, MAIN DATA'!B:B,'Comm per Month (Mil in-kind)'!B34,'Bilateral Assistance, MAIN DATA'!AG:AG,1,'Bilateral Assistance, MAIN DATA'!AH:AH,'Comm per Month (Mil in-kind)'!$I$11, 'Bilateral Assistance, MAIN DATA'!AS:AS,1)/1000000000</f>
        <v>1.55E-2</v>
      </c>
      <c r="J34" s="276">
        <f>SUMIFS('Bilateral Assistance, MAIN DATA'!S:S,'Bilateral Assistance, MAIN DATA'!B:B,'Comm per Month (Mil in-kind)'!B34,'Bilateral Assistance, MAIN DATA'!AG:AG,1,'Bilateral Assistance, MAIN DATA'!AH:AH,'Comm per Month (Mil in-kind)'!$J$11, 'Bilateral Assistance, MAIN DATA'!AS:AS,1)/1000000000</f>
        <v>0</v>
      </c>
      <c r="K34" s="276">
        <f>SUMIFS('Bilateral Assistance, MAIN DATA'!S:S,'Bilateral Assistance, MAIN DATA'!B:B,'Comm per Month (Mil in-kind)'!B34,'Bilateral Assistance, MAIN DATA'!AG:AG,1,'Bilateral Assistance, MAIN DATA'!AH:AH,'Comm per Month (Mil in-kind)'!$K$11, 'Bilateral Assistance, MAIN DATA'!AS:AS,1)/1000000000</f>
        <v>4.0630198748619804E-2</v>
      </c>
      <c r="L34" s="276">
        <f>SUMIFS('Bilateral Assistance, MAIN DATA'!S:S,'Bilateral Assistance, MAIN DATA'!B:B,'Comm per Month (Mil in-kind)'!B34,'Bilateral Assistance, MAIN DATA'!AG:AG,1,'Bilateral Assistance, MAIN DATA'!AH:AH,'Comm per Month (Mil in-kind)'!$L$11, 'Bilateral Assistance, MAIN DATA'!AS:AS,1)/1000000000</f>
        <v>0</v>
      </c>
      <c r="M34" s="277">
        <f>SUMIFS('Bilateral Assistance, MAIN DATA'!S:S,'Bilateral Assistance, MAIN DATA'!B:B,'Comm per Month (Mil in-kind)'!B34,'Bilateral Assistance, MAIN DATA'!AG:AG,1,'Bilateral Assistance, MAIN DATA'!AH:AH,'Comm per Month (Mil in-kind)'!$M$11, 'Bilateral Assistance, MAIN DATA'!AS:AS,1)/1000000000</f>
        <v>3.5869801251380201E-2</v>
      </c>
      <c r="N34" s="239">
        <f>SUMIFS('Bilateral Assistance, MAIN DATA'!S:S,'Bilateral Assistance, MAIN DATA'!B:B,'Comm per Month (Mil in-kind)'!B34,'Bilateral Assistance, MAIN DATA'!AG:AG,1,'Bilateral Assistance, MAIN DATA'!AH:AH,'Comm per Month (Mil in-kind)'!$N$11, 'Bilateral Assistance, MAIN DATA'!AS:AS,1)/1000000000</f>
        <v>1.0152741994847258E-2</v>
      </c>
      <c r="O34" s="277">
        <f>SUMIFS('Bilateral Assistance, MAIN DATA'!S:S,'Bilateral Assistance, MAIN DATA'!B:B,'Comm per Month (Mil in-kind)'!B34,'Bilateral Assistance, MAIN DATA'!AG:AG,1,'Bilateral Assistance, MAIN DATA'!AH:AH,'Comm per Month (Mil in-kind)'!$O$11, 'Bilateral Assistance, MAIN DATA'!AS:AS,1)/1000000000</f>
        <v>0</v>
      </c>
      <c r="P34" s="277">
        <f>SUMIFS('Bilateral Assistance, MAIN DATA'!S:S,'Bilateral Assistance, MAIN DATA'!B:B,'Comm per Month (Mil in-kind)'!B34,'Bilateral Assistance, MAIN DATA'!AG:AG,1,'Bilateral Assistance, MAIN DATA'!AH:AH,'Comm per Month (Mil in-kind)'!$P$11, 'Bilateral Assistance, MAIN DATA'!AS:AS,1)/1000000000</f>
        <v>0</v>
      </c>
      <c r="Q34" s="277">
        <f>SUMIFS('Bilateral Assistance, MAIN DATA'!S:S,'Bilateral Assistance, MAIN DATA'!B:B,'Comm per Month (Mil in-kind)'!B34,'Bilateral Assistance, MAIN DATA'!AG:AG,1,'Bilateral Assistance, MAIN DATA'!AH:AH,'Comm per Month (Mil in-kind)'!$Q$11, 'Bilateral Assistance, MAIN DATA'!AS:AS,1)/1000000000</f>
        <v>0.125</v>
      </c>
      <c r="R34" s="277">
        <f>SUMIFS('Bilateral Assistance, MAIN DATA'!$S:$S,'Bilateral Assistance, MAIN DATA'!$B:$B,'Comm per Month (Mil in-kind)'!$B34,'Bilateral Assistance, MAIN DATA'!$AG:$AG,1,'Bilateral Assistance, MAIN DATA'!$AH:$AH,'Comm per Month (Mil in-kind)'!$R$11, 'Bilateral Assistance, MAIN DATA'!$AS:$AS,1)/1000000000</f>
        <v>0</v>
      </c>
      <c r="S34" s="277">
        <f>SUMIFS('Bilateral Assistance, MAIN DATA'!$S:$S,'Bilateral Assistance, MAIN DATA'!$B:$B,'Comm per Month (Mil in-kind)'!$B34,'Bilateral Assistance, MAIN DATA'!$AG:$AG,1,'Bilateral Assistance, MAIN DATA'!$AH:$AH,'Comm per Month (Mil in-kind)'!$S$11, 'Bilateral Assistance, MAIN DATA'!$AS:$AS,1)/1000000000</f>
        <v>4.4999999999999998E-2</v>
      </c>
      <c r="T34" s="277">
        <f>SUMIFS('Bilateral Assistance, MAIN DATA'!$S:$S,'Bilateral Assistance, MAIN DATA'!$B:$B,'Comm per Month (Mil in-kind)'!$B34,'Bilateral Assistance, MAIN DATA'!$AG:$AG,1,'Bilateral Assistance, MAIN DATA'!$AH:$AH,'Comm per Month (Mil in-kind)'!$T$11, 'Bilateral Assistance, MAIN DATA'!$AS:$AS,1)/1000000000</f>
        <v>4.1000000000000002E-2</v>
      </c>
      <c r="U34" s="277">
        <f>SUMIFS('Bilateral Assistance, MAIN DATA'!$S:$S,'Bilateral Assistance, MAIN DATA'!$B:$B,'Comm per Month (Mil in-kind)'!$B34,'Bilateral Assistance, MAIN DATA'!$AG:$AG,1,'Bilateral Assistance, MAIN DATA'!$AH:$AH,'Comm per Month (Mil in-kind)'!$U$11, 'Bilateral Assistance, MAIN DATA'!$AS:$AS,1)/1000000000</f>
        <v>0</v>
      </c>
      <c r="V34" s="277">
        <f t="shared" si="0"/>
        <v>0.41315274199484719</v>
      </c>
      <c r="W34" s="277">
        <f>SUMIFS('Bilateral Assistance, MAIN DATA'!S:S,'Bilateral Assistance, MAIN DATA'!B:B,'Comm per Month (Mil in-kind)'!B34,'Bilateral Assistance, MAIN DATA'!AG:AG,0,'Bilateral Assistance, MAIN DATA'!AS:AS,1)/1000000000</f>
        <v>0</v>
      </c>
    </row>
    <row r="35" spans="1:23" ht="15.95" customHeight="1">
      <c r="A35" s="19"/>
      <c r="B35" s="24" t="s">
        <v>2625</v>
      </c>
      <c r="C35" s="297">
        <v>1</v>
      </c>
      <c r="D35" s="297">
        <v>0</v>
      </c>
      <c r="E35" s="276">
        <f>SUMIFS('Bilateral Assistance, MAIN DATA'!S:S,'Bilateral Assistance, MAIN DATA'!B:B,'Comm per Month (Mil in-kind)'!B35,'Bilateral Assistance, MAIN DATA'!AG:AG,1,'Bilateral Assistance, MAIN DATA'!AH:AH,'Comm per Month (Mil in-kind)'!$E$11, 'Bilateral Assistance, MAIN DATA'!AS:AS,1)/1000000000</f>
        <v>0</v>
      </c>
      <c r="F35" s="276">
        <f>SUMIFS('Bilateral Assistance, MAIN DATA'!S:S,'Bilateral Assistance, MAIN DATA'!B:B,'Comm per Month (Mil in-kind)'!B35,'Bilateral Assistance, MAIN DATA'!AG:AG,1,'Bilateral Assistance, MAIN DATA'!AH:AH,'Comm per Month (Mil in-kind)'!$F$11, 'Bilateral Assistance, MAIN DATA'!AS:AS,1)/1000000000</f>
        <v>0.05</v>
      </c>
      <c r="G35" s="276">
        <f>SUMIFS('Bilateral Assistance, MAIN DATA'!S:S,'Bilateral Assistance, MAIN DATA'!B:B,'Comm per Month (Mil in-kind)'!B35,'Bilateral Assistance, MAIN DATA'!AG:AG,1,'Bilateral Assistance, MAIN DATA'!AH:AH,'Comm per Month (Mil in-kind)'!$G$11, 'Bilateral Assistance, MAIN DATA'!AS:AS,1)/1000000000</f>
        <v>5.5207949944792044E-4</v>
      </c>
      <c r="H35" s="276">
        <f>SUMIFS('Bilateral Assistance, MAIN DATA'!S:S,'Bilateral Assistance, MAIN DATA'!B:B,'Comm per Month (Mil in-kind)'!B35,'Bilateral Assistance, MAIN DATA'!AG:AG,1,'Bilateral Assistance, MAIN DATA'!AH:AH,'Comm per Month (Mil in-kind)'!$H$11, 'Bilateral Assistance, MAIN DATA'!AS:AS,1)/1000000000</f>
        <v>0</v>
      </c>
      <c r="I35" s="276">
        <f>SUMIFS('Bilateral Assistance, MAIN DATA'!S:S,'Bilateral Assistance, MAIN DATA'!B:B,'Comm per Month (Mil in-kind)'!B35,'Bilateral Assistance, MAIN DATA'!AG:AG,1,'Bilateral Assistance, MAIN DATA'!AH:AH,'Comm per Month (Mil in-kind)'!$I$11, 'Bilateral Assistance, MAIN DATA'!AS:AS,1)/1000000000</f>
        <v>0</v>
      </c>
      <c r="J35" s="276">
        <f>SUMIFS('Bilateral Assistance, MAIN DATA'!S:S,'Bilateral Assistance, MAIN DATA'!B:B,'Comm per Month (Mil in-kind)'!B35,'Bilateral Assistance, MAIN DATA'!AG:AG,1,'Bilateral Assistance, MAIN DATA'!AH:AH,'Comm per Month (Mil in-kind)'!$J$11, 'Bilateral Assistance, MAIN DATA'!AS:AS,1)/1000000000</f>
        <v>0</v>
      </c>
      <c r="K35" s="276">
        <f>SUMIFS('Bilateral Assistance, MAIN DATA'!S:S,'Bilateral Assistance, MAIN DATA'!B:B,'Comm per Month (Mil in-kind)'!B35,'Bilateral Assistance, MAIN DATA'!AG:AG,1,'Bilateral Assistance, MAIN DATA'!AH:AH,'Comm per Month (Mil in-kind)'!$K$11, 'Bilateral Assistance, MAIN DATA'!AS:AS,1)/1000000000</f>
        <v>0</v>
      </c>
      <c r="L35" s="276">
        <f>SUMIFS('Bilateral Assistance, MAIN DATA'!S:S,'Bilateral Assistance, MAIN DATA'!B:B,'Comm per Month (Mil in-kind)'!B35,'Bilateral Assistance, MAIN DATA'!AG:AG,1,'Bilateral Assistance, MAIN DATA'!AH:AH,'Comm per Month (Mil in-kind)'!$L$11, 'Bilateral Assistance, MAIN DATA'!AS:AS,1)/1000000000</f>
        <v>0</v>
      </c>
      <c r="M35" s="277">
        <f>SUMIFS('Bilateral Assistance, MAIN DATA'!S:S,'Bilateral Assistance, MAIN DATA'!B:B,'Comm per Month (Mil in-kind)'!B35,'Bilateral Assistance, MAIN DATA'!AG:AG,1,'Bilateral Assistance, MAIN DATA'!AH:AH,'Comm per Month (Mil in-kind)'!$M$11, 'Bilateral Assistance, MAIN DATA'!AS:AS,1)/1000000000</f>
        <v>0</v>
      </c>
      <c r="N35" s="239">
        <f>SUMIFS('Bilateral Assistance, MAIN DATA'!S:S,'Bilateral Assistance, MAIN DATA'!B:B,'Comm per Month (Mil in-kind)'!B35,'Bilateral Assistance, MAIN DATA'!AG:AG,1,'Bilateral Assistance, MAIN DATA'!AH:AH,'Comm per Month (Mil in-kind)'!$N$11, 'Bilateral Assistance, MAIN DATA'!AS:AS,1)/1000000000</f>
        <v>2.1447920500552074E-2</v>
      </c>
      <c r="O35" s="277">
        <f>SUMIFS('Bilateral Assistance, MAIN DATA'!S:S,'Bilateral Assistance, MAIN DATA'!B:B,'Comm per Month (Mil in-kind)'!B35,'Bilateral Assistance, MAIN DATA'!AG:AG,1,'Bilateral Assistance, MAIN DATA'!AH:AH,'Comm per Month (Mil in-kind)'!$O$11, 'Bilateral Assistance, MAIN DATA'!AS:AS,1)/1000000000</f>
        <v>3.0000000000000001E-3</v>
      </c>
      <c r="P35" s="277">
        <f>SUMIFS('Bilateral Assistance, MAIN DATA'!S:S,'Bilateral Assistance, MAIN DATA'!B:B,'Comm per Month (Mil in-kind)'!B35,'Bilateral Assistance, MAIN DATA'!AG:AG,1,'Bilateral Assistance, MAIN DATA'!AH:AH,'Comm per Month (Mil in-kind)'!$P$11, 'Bilateral Assistance, MAIN DATA'!AS:AS,1)/1000000000</f>
        <v>0</v>
      </c>
      <c r="Q35" s="277">
        <f>SUMIFS('Bilateral Assistance, MAIN DATA'!S:S,'Bilateral Assistance, MAIN DATA'!B:B,'Comm per Month (Mil in-kind)'!B35,'Bilateral Assistance, MAIN DATA'!AG:AG,1,'Bilateral Assistance, MAIN DATA'!AH:AH,'Comm per Month (Mil in-kind)'!$Q$11, 'Bilateral Assistance, MAIN DATA'!AS:AS,1)/1000000000</f>
        <v>0</v>
      </c>
      <c r="R35" s="277">
        <f>SUMIFS('Bilateral Assistance, MAIN DATA'!$S:$S,'Bilateral Assistance, MAIN DATA'!$B:$B,'Comm per Month (Mil in-kind)'!$B35,'Bilateral Assistance, MAIN DATA'!$AG:$AG,1,'Bilateral Assistance, MAIN DATA'!$AH:$AH,'Comm per Month (Mil in-kind)'!$R$11, 'Bilateral Assistance, MAIN DATA'!$AS:$AS,1)/1000000000</f>
        <v>1.66E-2</v>
      </c>
      <c r="S35" s="277">
        <f>SUMIFS('Bilateral Assistance, MAIN DATA'!$S:$S,'Bilateral Assistance, MAIN DATA'!$B:$B,'Comm per Month (Mil in-kind)'!$B35,'Bilateral Assistance, MAIN DATA'!$AG:$AG,1,'Bilateral Assistance, MAIN DATA'!$AH:$AH,'Comm per Month (Mil in-kind)'!$S$11, 'Bilateral Assistance, MAIN DATA'!$AS:$AS,1)/1000000000</f>
        <v>0</v>
      </c>
      <c r="T35" s="277">
        <f>SUMIFS('Bilateral Assistance, MAIN DATA'!$S:$S,'Bilateral Assistance, MAIN DATA'!$B:$B,'Comm per Month (Mil in-kind)'!$B35,'Bilateral Assistance, MAIN DATA'!$AG:$AG,1,'Bilateral Assistance, MAIN DATA'!$AH:$AH,'Comm per Month (Mil in-kind)'!$T$11, 'Bilateral Assistance, MAIN DATA'!$AS:$AS,1)/1000000000</f>
        <v>0</v>
      </c>
      <c r="U35" s="277">
        <f>SUMIFS('Bilateral Assistance, MAIN DATA'!$S:$S,'Bilateral Assistance, MAIN DATA'!$B:$B,'Comm per Month (Mil in-kind)'!$B35,'Bilateral Assistance, MAIN DATA'!$AG:$AG,1,'Bilateral Assistance, MAIN DATA'!$AH:$AH,'Comm per Month (Mil in-kind)'!$U$11, 'Bilateral Assistance, MAIN DATA'!$AS:$AS,1)/1000000000</f>
        <v>0</v>
      </c>
      <c r="V35" s="277">
        <f t="shared" si="0"/>
        <v>9.1600000000000001E-2</v>
      </c>
      <c r="W35" s="277">
        <f>SUMIFS('Bilateral Assistance, MAIN DATA'!S:S,'Bilateral Assistance, MAIN DATA'!B:B,'Comm per Month (Mil in-kind)'!B35,'Bilateral Assistance, MAIN DATA'!AG:AG,0,'Bilateral Assistance, MAIN DATA'!AS:AS,1)/1000000000</f>
        <v>0</v>
      </c>
    </row>
    <row r="36" spans="1:23" ht="15.95" customHeight="1">
      <c r="A36" s="19"/>
      <c r="B36" s="24" t="s">
        <v>2678</v>
      </c>
      <c r="C36" s="297">
        <v>1</v>
      </c>
      <c r="D36" s="297">
        <v>0</v>
      </c>
      <c r="E36" s="276">
        <f>SUMIFS('Bilateral Assistance, MAIN DATA'!S:S,'Bilateral Assistance, MAIN DATA'!B:B,'Comm per Month (Mil in-kind)'!B36,'Bilateral Assistance, MAIN DATA'!AG:AG,1,'Bilateral Assistance, MAIN DATA'!AH:AH,'Comm per Month (Mil in-kind)'!$E$11, 'Bilateral Assistance, MAIN DATA'!AS:AS,1)/1000000000</f>
        <v>0</v>
      </c>
      <c r="F36" s="276">
        <f>SUMIFS('Bilateral Assistance, MAIN DATA'!S:S,'Bilateral Assistance, MAIN DATA'!B:B,'Comm per Month (Mil in-kind)'!B36,'Bilateral Assistance, MAIN DATA'!AG:AG,1,'Bilateral Assistance, MAIN DATA'!AH:AH,'Comm per Month (Mil in-kind)'!$F$11, 'Bilateral Assistance, MAIN DATA'!AS:AS,1)/1000000000</f>
        <v>0</v>
      </c>
      <c r="G36" s="276">
        <f>SUMIFS('Bilateral Assistance, MAIN DATA'!S:S,'Bilateral Assistance, MAIN DATA'!B:B,'Comm per Month (Mil in-kind)'!B36,'Bilateral Assistance, MAIN DATA'!AG:AG,1,'Bilateral Assistance, MAIN DATA'!AH:AH,'Comm per Month (Mil in-kind)'!$G$11, 'Bilateral Assistance, MAIN DATA'!AS:AS,1)/1000000000</f>
        <v>0</v>
      </c>
      <c r="H36" s="276">
        <f>SUMIFS('Bilateral Assistance, MAIN DATA'!S:S,'Bilateral Assistance, MAIN DATA'!B:B,'Comm per Month (Mil in-kind)'!B36,'Bilateral Assistance, MAIN DATA'!AG:AG,1,'Bilateral Assistance, MAIN DATA'!AH:AH,'Comm per Month (Mil in-kind)'!$H$11, 'Bilateral Assistance, MAIN DATA'!AS:AS,1)/1000000000</f>
        <v>0</v>
      </c>
      <c r="I36" s="276">
        <f>SUMIFS('Bilateral Assistance, MAIN DATA'!S:S,'Bilateral Assistance, MAIN DATA'!B:B,'Comm per Month (Mil in-kind)'!B36,'Bilateral Assistance, MAIN DATA'!AG:AG,1,'Bilateral Assistance, MAIN DATA'!AH:AH,'Comm per Month (Mil in-kind)'!$I$11, 'Bilateral Assistance, MAIN DATA'!AS:AS,1)/1000000000</f>
        <v>0</v>
      </c>
      <c r="J36" s="276">
        <f>SUMIFS('Bilateral Assistance, MAIN DATA'!S:S,'Bilateral Assistance, MAIN DATA'!B:B,'Comm per Month (Mil in-kind)'!B36,'Bilateral Assistance, MAIN DATA'!AG:AG,1,'Bilateral Assistance, MAIN DATA'!AH:AH,'Comm per Month (Mil in-kind)'!$J$11, 'Bilateral Assistance, MAIN DATA'!AS:AS,1)/1000000000</f>
        <v>0</v>
      </c>
      <c r="K36" s="276">
        <f>SUMIFS('Bilateral Assistance, MAIN DATA'!S:S,'Bilateral Assistance, MAIN DATA'!B:B,'Comm per Month (Mil in-kind)'!B36,'Bilateral Assistance, MAIN DATA'!AG:AG,1,'Bilateral Assistance, MAIN DATA'!AH:AH,'Comm per Month (Mil in-kind)'!$K$11, 'Bilateral Assistance, MAIN DATA'!AS:AS,1)/1000000000</f>
        <v>0</v>
      </c>
      <c r="L36" s="276">
        <f>SUMIFS('Bilateral Assistance, MAIN DATA'!S:S,'Bilateral Assistance, MAIN DATA'!B:B,'Comm per Month (Mil in-kind)'!B36,'Bilateral Assistance, MAIN DATA'!AG:AG,1,'Bilateral Assistance, MAIN DATA'!AH:AH,'Comm per Month (Mil in-kind)'!$L$11, 'Bilateral Assistance, MAIN DATA'!AS:AS,1)/1000000000</f>
        <v>0</v>
      </c>
      <c r="M36" s="277">
        <f>SUMIFS('Bilateral Assistance, MAIN DATA'!S:S,'Bilateral Assistance, MAIN DATA'!B:B,'Comm per Month (Mil in-kind)'!B36,'Bilateral Assistance, MAIN DATA'!AG:AG,1,'Bilateral Assistance, MAIN DATA'!AH:AH,'Comm per Month (Mil in-kind)'!$M$11, 'Bilateral Assistance, MAIN DATA'!AS:AS,1)/1000000000</f>
        <v>0</v>
      </c>
      <c r="N36" s="239">
        <f>SUMIFS('Bilateral Assistance, MAIN DATA'!S:S,'Bilateral Assistance, MAIN DATA'!B:B,'Comm per Month (Mil in-kind)'!B36,'Bilateral Assistance, MAIN DATA'!AG:AG,1,'Bilateral Assistance, MAIN DATA'!AH:AH,'Comm per Month (Mil in-kind)'!$N$11, 'Bilateral Assistance, MAIN DATA'!AS:AS,1)/1000000000</f>
        <v>0</v>
      </c>
      <c r="O36" s="277">
        <f>SUMIFS('Bilateral Assistance, MAIN DATA'!S:S,'Bilateral Assistance, MAIN DATA'!B:B,'Comm per Month (Mil in-kind)'!B36,'Bilateral Assistance, MAIN DATA'!AG:AG,1,'Bilateral Assistance, MAIN DATA'!AH:AH,'Comm per Month (Mil in-kind)'!$O$11, 'Bilateral Assistance, MAIN DATA'!AS:AS,1)/1000000000</f>
        <v>0</v>
      </c>
      <c r="P36" s="277">
        <f>SUMIFS('Bilateral Assistance, MAIN DATA'!S:S,'Bilateral Assistance, MAIN DATA'!B:B,'Comm per Month (Mil in-kind)'!B36,'Bilateral Assistance, MAIN DATA'!AG:AG,1,'Bilateral Assistance, MAIN DATA'!AH:AH,'Comm per Month (Mil in-kind)'!$P$11, 'Bilateral Assistance, MAIN DATA'!AS:AS,1)/1000000000</f>
        <v>0</v>
      </c>
      <c r="Q36" s="277">
        <f>SUMIFS('Bilateral Assistance, MAIN DATA'!S:S,'Bilateral Assistance, MAIN DATA'!B:B,'Comm per Month (Mil in-kind)'!B36,'Bilateral Assistance, MAIN DATA'!AG:AG,1,'Bilateral Assistance, MAIN DATA'!AH:AH,'Comm per Month (Mil in-kind)'!$Q$11, 'Bilateral Assistance, MAIN DATA'!AS:AS,1)/1000000000</f>
        <v>0</v>
      </c>
      <c r="R36" s="277">
        <f>SUMIFS('Bilateral Assistance, MAIN DATA'!$S:$S,'Bilateral Assistance, MAIN DATA'!$B:$B,'Comm per Month (Mil in-kind)'!$B36,'Bilateral Assistance, MAIN DATA'!$AG:$AG,1,'Bilateral Assistance, MAIN DATA'!$AH:$AH,'Comm per Month (Mil in-kind)'!$R$11, 'Bilateral Assistance, MAIN DATA'!$AS:$AS,1)/1000000000</f>
        <v>0</v>
      </c>
      <c r="S36" s="277">
        <f>SUMIFS('Bilateral Assistance, MAIN DATA'!$S:$S,'Bilateral Assistance, MAIN DATA'!$B:$B,'Comm per Month (Mil in-kind)'!$B36,'Bilateral Assistance, MAIN DATA'!$AG:$AG,1,'Bilateral Assistance, MAIN DATA'!$AH:$AH,'Comm per Month (Mil in-kind)'!$S$11, 'Bilateral Assistance, MAIN DATA'!$AS:$AS,1)/1000000000</f>
        <v>0</v>
      </c>
      <c r="T36" s="277">
        <f>SUMIFS('Bilateral Assistance, MAIN DATA'!$S:$S,'Bilateral Assistance, MAIN DATA'!$B:$B,'Comm per Month (Mil in-kind)'!$B36,'Bilateral Assistance, MAIN DATA'!$AG:$AG,1,'Bilateral Assistance, MAIN DATA'!$AH:$AH,'Comm per Month (Mil in-kind)'!$T$11, 'Bilateral Assistance, MAIN DATA'!$AS:$AS,1)/1000000000</f>
        <v>0</v>
      </c>
      <c r="U36" s="277">
        <f>SUMIFS('Bilateral Assistance, MAIN DATA'!$S:$S,'Bilateral Assistance, MAIN DATA'!$B:$B,'Comm per Month (Mil in-kind)'!$B36,'Bilateral Assistance, MAIN DATA'!$AG:$AG,1,'Bilateral Assistance, MAIN DATA'!$AH:$AH,'Comm per Month (Mil in-kind)'!$U$11, 'Bilateral Assistance, MAIN DATA'!$AS:$AS,1)/1000000000</f>
        <v>0</v>
      </c>
      <c r="V36" s="277">
        <f t="shared" si="0"/>
        <v>0</v>
      </c>
      <c r="W36" s="277">
        <f>SUMIFS('Bilateral Assistance, MAIN DATA'!S:S,'Bilateral Assistance, MAIN DATA'!B:B,'Comm per Month (Mil in-kind)'!B36,'Bilateral Assistance, MAIN DATA'!AG:AG,0,'Bilateral Assistance, MAIN DATA'!AS:AS,1)/1000000000</f>
        <v>0</v>
      </c>
    </row>
    <row r="37" spans="1:23" ht="15.95" customHeight="1">
      <c r="A37" s="19"/>
      <c r="B37" s="24" t="s">
        <v>2693</v>
      </c>
      <c r="C37" s="297">
        <v>1</v>
      </c>
      <c r="D37" s="297">
        <v>0</v>
      </c>
      <c r="E37" s="276">
        <f>SUMIFS('Bilateral Assistance, MAIN DATA'!S:S,'Bilateral Assistance, MAIN DATA'!B:B,'Comm per Month (Mil in-kind)'!B37,'Bilateral Assistance, MAIN DATA'!AG:AG,1,'Bilateral Assistance, MAIN DATA'!AH:AH,'Comm per Month (Mil in-kind)'!$E$11, 'Bilateral Assistance, MAIN DATA'!AS:AS,1)/1000000000</f>
        <v>0</v>
      </c>
      <c r="F37" s="276">
        <f>SUMIFS('Bilateral Assistance, MAIN DATA'!S:S,'Bilateral Assistance, MAIN DATA'!B:B,'Comm per Month (Mil in-kind)'!B37,'Bilateral Assistance, MAIN DATA'!AG:AG,1,'Bilateral Assistance, MAIN DATA'!AH:AH,'Comm per Month (Mil in-kind)'!$F$11, 'Bilateral Assistance, MAIN DATA'!AS:AS,1)/1000000000</f>
        <v>0.05</v>
      </c>
      <c r="G37" s="276">
        <f>SUMIFS('Bilateral Assistance, MAIN DATA'!S:S,'Bilateral Assistance, MAIN DATA'!B:B,'Comm per Month (Mil in-kind)'!B37,'Bilateral Assistance, MAIN DATA'!AG:AG,1,'Bilateral Assistance, MAIN DATA'!AH:AH,'Comm per Month (Mil in-kind)'!$G$11, 'Bilateral Assistance, MAIN DATA'!AS:AS,1)/1000000000</f>
        <v>0</v>
      </c>
      <c r="H37" s="276">
        <f>SUMIFS('Bilateral Assistance, MAIN DATA'!S:S,'Bilateral Assistance, MAIN DATA'!B:B,'Comm per Month (Mil in-kind)'!B37,'Bilateral Assistance, MAIN DATA'!AG:AG,1,'Bilateral Assistance, MAIN DATA'!AH:AH,'Comm per Month (Mil in-kind)'!$H$11, 'Bilateral Assistance, MAIN DATA'!AS:AS,1)/1000000000</f>
        <v>9.351249350617015E-2</v>
      </c>
      <c r="I37" s="276">
        <f>SUMIFS('Bilateral Assistance, MAIN DATA'!S:S,'Bilateral Assistance, MAIN DATA'!B:B,'Comm per Month (Mil in-kind)'!B37,'Bilateral Assistance, MAIN DATA'!AG:AG,1,'Bilateral Assistance, MAIN DATA'!AH:AH,'Comm per Month (Mil in-kind)'!$I$11, 'Bilateral Assistance, MAIN DATA'!AS:AS,1)/1000000000</f>
        <v>0</v>
      </c>
      <c r="J37" s="276">
        <f>SUMIFS('Bilateral Assistance, MAIN DATA'!S:S,'Bilateral Assistance, MAIN DATA'!B:B,'Comm per Month (Mil in-kind)'!B37,'Bilateral Assistance, MAIN DATA'!AG:AG,1,'Bilateral Assistance, MAIN DATA'!AH:AH,'Comm per Month (Mil in-kind)'!$J$11, 'Bilateral Assistance, MAIN DATA'!AS:AS,1)/1000000000</f>
        <v>3.8035260917835316E-2</v>
      </c>
      <c r="K37" s="276">
        <f>SUMIFS('Bilateral Assistance, MAIN DATA'!S:S,'Bilateral Assistance, MAIN DATA'!B:B,'Comm per Month (Mil in-kind)'!B37,'Bilateral Assistance, MAIN DATA'!AG:AG,1,'Bilateral Assistance, MAIN DATA'!AH:AH,'Comm per Month (Mil in-kind)'!$K$11, 'Bilateral Assistance, MAIN DATA'!AS:AS,1)/1000000000</f>
        <v>0</v>
      </c>
      <c r="L37" s="276">
        <f>SUMIFS('Bilateral Assistance, MAIN DATA'!S:S,'Bilateral Assistance, MAIN DATA'!B:B,'Comm per Month (Mil in-kind)'!B37,'Bilateral Assistance, MAIN DATA'!AG:AG,1,'Bilateral Assistance, MAIN DATA'!AH:AH,'Comm per Month (Mil in-kind)'!$L$11, 'Bilateral Assistance, MAIN DATA'!AS:AS,1)/1000000000</f>
        <v>0.34445224557599446</v>
      </c>
      <c r="M37" s="277">
        <f>SUMIFS('Bilateral Assistance, MAIN DATA'!S:S,'Bilateral Assistance, MAIN DATA'!B:B,'Comm per Month (Mil in-kind)'!B37,'Bilateral Assistance, MAIN DATA'!AG:AG,1,'Bilateral Assistance, MAIN DATA'!AH:AH,'Comm per Month (Mil in-kind)'!$M$11, 'Bilateral Assistance, MAIN DATA'!AS:AS,1)/1000000000</f>
        <v>0</v>
      </c>
      <c r="N37" s="239">
        <f>SUMIFS('Bilateral Assistance, MAIN DATA'!S:S,'Bilateral Assistance, MAIN DATA'!B:B,'Comm per Month (Mil in-kind)'!B37,'Bilateral Assistance, MAIN DATA'!AG:AG,1,'Bilateral Assistance, MAIN DATA'!AH:AH,'Comm per Month (Mil in-kind)'!$N$11, 'Bilateral Assistance, MAIN DATA'!AS:AS,1)/1000000000</f>
        <v>0</v>
      </c>
      <c r="O37" s="277">
        <f>SUMIFS('Bilateral Assistance, MAIN DATA'!S:S,'Bilateral Assistance, MAIN DATA'!B:B,'Comm per Month (Mil in-kind)'!B37,'Bilateral Assistance, MAIN DATA'!AG:AG,1,'Bilateral Assistance, MAIN DATA'!AH:AH,'Comm per Month (Mil in-kind)'!$O$11, 'Bilateral Assistance, MAIN DATA'!AS:AS,1)/1000000000</f>
        <v>0.12</v>
      </c>
      <c r="P37" s="277">
        <f>SUMIFS('Bilateral Assistance, MAIN DATA'!S:S,'Bilateral Assistance, MAIN DATA'!B:B,'Comm per Month (Mil in-kind)'!B37,'Bilateral Assistance, MAIN DATA'!AG:AG,1,'Bilateral Assistance, MAIN DATA'!AH:AH,'Comm per Month (Mil in-kind)'!$P$11, 'Bilateral Assistance, MAIN DATA'!AS:AS,1)/1000000000</f>
        <v>1.7024999999999999</v>
      </c>
      <c r="Q37" s="277">
        <f>SUMIFS('Bilateral Assistance, MAIN DATA'!S:S,'Bilateral Assistance, MAIN DATA'!B:B,'Comm per Month (Mil in-kind)'!B37,'Bilateral Assistance, MAIN DATA'!AG:AG,1,'Bilateral Assistance, MAIN DATA'!AH:AH,'Comm per Month (Mil in-kind)'!$Q$11, 'Bilateral Assistance, MAIN DATA'!AS:AS,1)/1000000000</f>
        <v>0</v>
      </c>
      <c r="R37" s="277">
        <f>SUMIFS('Bilateral Assistance, MAIN DATA'!$S:$S,'Bilateral Assistance, MAIN DATA'!$B:$B,'Comm per Month (Mil in-kind)'!$B37,'Bilateral Assistance, MAIN DATA'!$AG:$AG,1,'Bilateral Assistance, MAIN DATA'!$AH:$AH,'Comm per Month (Mil in-kind)'!$R$11, 'Bilateral Assistance, MAIN DATA'!$AS:$AS,1)/1000000000</f>
        <v>0</v>
      </c>
      <c r="S37" s="277">
        <f>SUMIFS('Bilateral Assistance, MAIN DATA'!$S:$S,'Bilateral Assistance, MAIN DATA'!$B:$B,'Comm per Month (Mil in-kind)'!$B37,'Bilateral Assistance, MAIN DATA'!$AG:$AG,1,'Bilateral Assistance, MAIN DATA'!$AH:$AH,'Comm per Month (Mil in-kind)'!$S$11, 'Bilateral Assistance, MAIN DATA'!$AS:$AS,1)/1000000000</f>
        <v>0</v>
      </c>
      <c r="T37" s="277">
        <f>SUMIFS('Bilateral Assistance, MAIN DATA'!$S:$S,'Bilateral Assistance, MAIN DATA'!$B:$B,'Comm per Month (Mil in-kind)'!$B37,'Bilateral Assistance, MAIN DATA'!$AG:$AG,1,'Bilateral Assistance, MAIN DATA'!$AH:$AH,'Comm per Month (Mil in-kind)'!$T$11, 'Bilateral Assistance, MAIN DATA'!$AS:$AS,1)/1000000000</f>
        <v>0</v>
      </c>
      <c r="U37" s="277">
        <f>SUMIFS('Bilateral Assistance, MAIN DATA'!$S:$S,'Bilateral Assistance, MAIN DATA'!$B:$B,'Comm per Month (Mil in-kind)'!$B37,'Bilateral Assistance, MAIN DATA'!$AG:$AG,1,'Bilateral Assistance, MAIN DATA'!$AH:$AH,'Comm per Month (Mil in-kind)'!$U$11, 'Bilateral Assistance, MAIN DATA'!$AS:$AS,1)/1000000000</f>
        <v>0</v>
      </c>
      <c r="V37" s="277">
        <f t="shared" si="0"/>
        <v>2.3484999999999996</v>
      </c>
      <c r="W37" s="277">
        <f>SUMIFS('Bilateral Assistance, MAIN DATA'!S:S,'Bilateral Assistance, MAIN DATA'!B:B,'Comm per Month (Mil in-kind)'!B37,'Bilateral Assistance, MAIN DATA'!AG:AG,0,'Bilateral Assistance, MAIN DATA'!AS:AS,1)/1000000000</f>
        <v>0</v>
      </c>
    </row>
    <row r="38" spans="1:23" ht="15.95" customHeight="1">
      <c r="A38" s="19"/>
      <c r="B38" s="2" t="s">
        <v>2832</v>
      </c>
      <c r="C38" s="297">
        <v>0</v>
      </c>
      <c r="D38" s="297">
        <v>0</v>
      </c>
      <c r="E38" s="276">
        <f>SUMIFS('Bilateral Assistance, MAIN DATA'!S:S,'Bilateral Assistance, MAIN DATA'!B:B,'Comm per Month (Mil in-kind)'!B38,'Bilateral Assistance, MAIN DATA'!AG:AG,1,'Bilateral Assistance, MAIN DATA'!AH:AH,'Comm per Month (Mil in-kind)'!$E$11, 'Bilateral Assistance, MAIN DATA'!AS:AS,1)/1000000000</f>
        <v>0</v>
      </c>
      <c r="F38" s="276">
        <f>SUMIFS('Bilateral Assistance, MAIN DATA'!S:S,'Bilateral Assistance, MAIN DATA'!B:B,'Comm per Month (Mil in-kind)'!B38,'Bilateral Assistance, MAIN DATA'!AG:AG,1,'Bilateral Assistance, MAIN DATA'!AH:AH,'Comm per Month (Mil in-kind)'!$F$11, 'Bilateral Assistance, MAIN DATA'!AS:AS,1)/1000000000</f>
        <v>0</v>
      </c>
      <c r="G38" s="276">
        <f>SUMIFS('Bilateral Assistance, MAIN DATA'!S:S,'Bilateral Assistance, MAIN DATA'!B:B,'Comm per Month (Mil in-kind)'!B38,'Bilateral Assistance, MAIN DATA'!AG:AG,1,'Bilateral Assistance, MAIN DATA'!AH:AH,'Comm per Month (Mil in-kind)'!$G$11, 'Bilateral Assistance, MAIN DATA'!AS:AS,1)/1000000000</f>
        <v>2.8602482695497967E-3</v>
      </c>
      <c r="H38" s="276">
        <f>SUMIFS('Bilateral Assistance, MAIN DATA'!S:S,'Bilateral Assistance, MAIN DATA'!B:B,'Comm per Month (Mil in-kind)'!B38,'Bilateral Assistance, MAIN DATA'!AG:AG,1,'Bilateral Assistance, MAIN DATA'!AH:AH,'Comm per Month (Mil in-kind)'!$H$11, 'Bilateral Assistance, MAIN DATA'!AS:AS,1)/1000000000</f>
        <v>2.3454035810308335E-3</v>
      </c>
      <c r="I38" s="276">
        <f>SUMIFS('Bilateral Assistance, MAIN DATA'!S:S,'Bilateral Assistance, MAIN DATA'!B:B,'Comm per Month (Mil in-kind)'!B38,'Bilateral Assistance, MAIN DATA'!AG:AG,1,'Bilateral Assistance, MAIN DATA'!AH:AH,'Comm per Month (Mil in-kind)'!$I$11, 'Bilateral Assistance, MAIN DATA'!AS:AS,1)/1000000000</f>
        <v>0</v>
      </c>
      <c r="J38" s="276">
        <f>SUMIFS('Bilateral Assistance, MAIN DATA'!S:S,'Bilateral Assistance, MAIN DATA'!B:B,'Comm per Month (Mil in-kind)'!B38,'Bilateral Assistance, MAIN DATA'!AG:AG,1,'Bilateral Assistance, MAIN DATA'!AH:AH,'Comm per Month (Mil in-kind)'!$J$11, 'Bilateral Assistance, MAIN DATA'!AS:AS,1)/1000000000</f>
        <v>0</v>
      </c>
      <c r="K38" s="276">
        <f>SUMIFS('Bilateral Assistance, MAIN DATA'!S:S,'Bilateral Assistance, MAIN DATA'!B:B,'Comm per Month (Mil in-kind)'!B38,'Bilateral Assistance, MAIN DATA'!AG:AG,1,'Bilateral Assistance, MAIN DATA'!AH:AH,'Comm per Month (Mil in-kind)'!$K$11, 'Bilateral Assistance, MAIN DATA'!AS:AS,1)/1000000000</f>
        <v>0</v>
      </c>
      <c r="L38" s="276">
        <f>SUMIFS('Bilateral Assistance, MAIN DATA'!S:S,'Bilateral Assistance, MAIN DATA'!B:B,'Comm per Month (Mil in-kind)'!B38,'Bilateral Assistance, MAIN DATA'!AG:AG,1,'Bilateral Assistance, MAIN DATA'!AH:AH,'Comm per Month (Mil in-kind)'!$L$11, 'Bilateral Assistance, MAIN DATA'!AS:AS,1)/1000000000</f>
        <v>0</v>
      </c>
      <c r="M38" s="277">
        <f>SUMIFS('Bilateral Assistance, MAIN DATA'!S:S,'Bilateral Assistance, MAIN DATA'!B:B,'Comm per Month (Mil in-kind)'!B38,'Bilateral Assistance, MAIN DATA'!AG:AG,1,'Bilateral Assistance, MAIN DATA'!AH:AH,'Comm per Month (Mil in-kind)'!$M$11, 'Bilateral Assistance, MAIN DATA'!AS:AS,1)/1000000000</f>
        <v>0</v>
      </c>
      <c r="N38" s="239">
        <f>SUMIFS('Bilateral Assistance, MAIN DATA'!S:S,'Bilateral Assistance, MAIN DATA'!B:B,'Comm per Month (Mil in-kind)'!B38,'Bilateral Assistance, MAIN DATA'!AG:AG,1,'Bilateral Assistance, MAIN DATA'!AH:AH,'Comm per Month (Mil in-kind)'!$N$11, 'Bilateral Assistance, MAIN DATA'!AS:AS,1)/1000000000</f>
        <v>0</v>
      </c>
      <c r="O38" s="277">
        <f>SUMIFS('Bilateral Assistance, MAIN DATA'!S:S,'Bilateral Assistance, MAIN DATA'!B:B,'Comm per Month (Mil in-kind)'!B38,'Bilateral Assistance, MAIN DATA'!AG:AG,1,'Bilateral Assistance, MAIN DATA'!AH:AH,'Comm per Month (Mil in-kind)'!$O$11, 'Bilateral Assistance, MAIN DATA'!AS:AS,1)/1000000000</f>
        <v>1.0582918597334249E-3</v>
      </c>
      <c r="P38" s="277">
        <f>SUMIFS('Bilateral Assistance, MAIN DATA'!S:S,'Bilateral Assistance, MAIN DATA'!B:B,'Comm per Month (Mil in-kind)'!B38,'Bilateral Assistance, MAIN DATA'!AG:AG,1,'Bilateral Assistance, MAIN DATA'!AH:AH,'Comm per Month (Mil in-kind)'!$P$11, 'Bilateral Assistance, MAIN DATA'!AS:AS,1)/1000000000</f>
        <v>0</v>
      </c>
      <c r="Q38" s="277">
        <f>SUMIFS('Bilateral Assistance, MAIN DATA'!S:S,'Bilateral Assistance, MAIN DATA'!B:B,'Comm per Month (Mil in-kind)'!B38,'Bilateral Assistance, MAIN DATA'!AG:AG,1,'Bilateral Assistance, MAIN DATA'!AH:AH,'Comm per Month (Mil in-kind)'!$Q$11, 'Bilateral Assistance, MAIN DATA'!AS:AS,1)/1000000000</f>
        <v>0</v>
      </c>
      <c r="R38" s="277">
        <f>SUMIFS('Bilateral Assistance, MAIN DATA'!$S:$S,'Bilateral Assistance, MAIN DATA'!$B:$B,'Comm per Month (Mil in-kind)'!$B38,'Bilateral Assistance, MAIN DATA'!$AG:$AG,1,'Bilateral Assistance, MAIN DATA'!$AH:$AH,'Comm per Month (Mil in-kind)'!$R$11, 'Bilateral Assistance, MAIN DATA'!$AS:$AS,1)/1000000000</f>
        <v>0</v>
      </c>
      <c r="S38" s="277">
        <f>SUMIFS('Bilateral Assistance, MAIN DATA'!$S:$S,'Bilateral Assistance, MAIN DATA'!$B:$B,'Comm per Month (Mil in-kind)'!$B38,'Bilateral Assistance, MAIN DATA'!$AG:$AG,1,'Bilateral Assistance, MAIN DATA'!$AH:$AH,'Comm per Month (Mil in-kind)'!$S$11, 'Bilateral Assistance, MAIN DATA'!$AS:$AS,1)/1000000000</f>
        <v>0</v>
      </c>
      <c r="T38" s="277">
        <f>SUMIFS('Bilateral Assistance, MAIN DATA'!$S:$S,'Bilateral Assistance, MAIN DATA'!$B:$B,'Comm per Month (Mil in-kind)'!$B38,'Bilateral Assistance, MAIN DATA'!$AG:$AG,1,'Bilateral Assistance, MAIN DATA'!$AH:$AH,'Comm per Month (Mil in-kind)'!$T$11, 'Bilateral Assistance, MAIN DATA'!$AS:$AS,1)/1000000000</f>
        <v>0</v>
      </c>
      <c r="U38" s="277">
        <f>SUMIFS('Bilateral Assistance, MAIN DATA'!$S:$S,'Bilateral Assistance, MAIN DATA'!$B:$B,'Comm per Month (Mil in-kind)'!$B38,'Bilateral Assistance, MAIN DATA'!$AG:$AG,1,'Bilateral Assistance, MAIN DATA'!$AH:$AH,'Comm per Month (Mil in-kind)'!$U$11, 'Bilateral Assistance, MAIN DATA'!$AS:$AS,1)/1000000000</f>
        <v>0</v>
      </c>
      <c r="V38" s="277">
        <f t="shared" si="0"/>
        <v>6.2639437103140551E-3</v>
      </c>
      <c r="W38" s="277">
        <f>SUMIFS('Bilateral Assistance, MAIN DATA'!S:S,'Bilateral Assistance, MAIN DATA'!B:B,'Comm per Month (Mil in-kind)'!B38,'Bilateral Assistance, MAIN DATA'!AG:AG,0,'Bilateral Assistance, MAIN DATA'!AS:AS,1)/1000000000</f>
        <v>0</v>
      </c>
    </row>
    <row r="39" spans="1:23" ht="15.95" customHeight="1">
      <c r="A39" s="19"/>
      <c r="B39" s="2" t="s">
        <v>2882</v>
      </c>
      <c r="C39" s="297">
        <v>0</v>
      </c>
      <c r="D39" s="297">
        <v>1</v>
      </c>
      <c r="E39" s="276">
        <f>SUMIFS('Bilateral Assistance, MAIN DATA'!S:S,'Bilateral Assistance, MAIN DATA'!B:B,'Comm per Month (Mil in-kind)'!B39,'Bilateral Assistance, MAIN DATA'!AG:AG,1,'Bilateral Assistance, MAIN DATA'!AH:AH,'Comm per Month (Mil in-kind)'!$E$11, 'Bilateral Assistance, MAIN DATA'!AS:AS,1)/1000000000</f>
        <v>0</v>
      </c>
      <c r="F39" s="276">
        <f>SUMIFS('Bilateral Assistance, MAIN DATA'!S:S,'Bilateral Assistance, MAIN DATA'!B:B,'Comm per Month (Mil in-kind)'!B39,'Bilateral Assistance, MAIN DATA'!AG:AG,1,'Bilateral Assistance, MAIN DATA'!AH:AH,'Comm per Month (Mil in-kind)'!$F$11, 'Bilateral Assistance, MAIN DATA'!AS:AS,1)/1000000000</f>
        <v>0</v>
      </c>
      <c r="G39" s="276">
        <f>SUMIFS('Bilateral Assistance, MAIN DATA'!S:S,'Bilateral Assistance, MAIN DATA'!B:B,'Comm per Month (Mil in-kind)'!B39,'Bilateral Assistance, MAIN DATA'!AG:AG,1,'Bilateral Assistance, MAIN DATA'!AH:AH,'Comm per Month (Mil in-kind)'!$G$11, 'Bilateral Assistance, MAIN DATA'!AS:AS,1)/1000000000</f>
        <v>0</v>
      </c>
      <c r="H39" s="276">
        <f>SUMIFS('Bilateral Assistance, MAIN DATA'!S:S,'Bilateral Assistance, MAIN DATA'!B:B,'Comm per Month (Mil in-kind)'!B39,'Bilateral Assistance, MAIN DATA'!AG:AG,1,'Bilateral Assistance, MAIN DATA'!AH:AH,'Comm per Month (Mil in-kind)'!$H$11, 'Bilateral Assistance, MAIN DATA'!AS:AS,1)/1000000000</f>
        <v>0</v>
      </c>
      <c r="I39" s="276">
        <f>SUMIFS('Bilateral Assistance, MAIN DATA'!S:S,'Bilateral Assistance, MAIN DATA'!B:B,'Comm per Month (Mil in-kind)'!B39,'Bilateral Assistance, MAIN DATA'!AG:AG,1,'Bilateral Assistance, MAIN DATA'!AH:AH,'Comm per Month (Mil in-kind)'!$I$11, 'Bilateral Assistance, MAIN DATA'!AS:AS,1)/1000000000</f>
        <v>0</v>
      </c>
      <c r="J39" s="276">
        <f>SUMIFS('Bilateral Assistance, MAIN DATA'!S:S,'Bilateral Assistance, MAIN DATA'!B:B,'Comm per Month (Mil in-kind)'!B39,'Bilateral Assistance, MAIN DATA'!AG:AG,1,'Bilateral Assistance, MAIN DATA'!AH:AH,'Comm per Month (Mil in-kind)'!$J$11, 'Bilateral Assistance, MAIN DATA'!AS:AS,1)/1000000000</f>
        <v>0</v>
      </c>
      <c r="K39" s="276">
        <f>SUMIFS('Bilateral Assistance, MAIN DATA'!S:S,'Bilateral Assistance, MAIN DATA'!B:B,'Comm per Month (Mil in-kind)'!B39,'Bilateral Assistance, MAIN DATA'!AG:AG,1,'Bilateral Assistance, MAIN DATA'!AH:AH,'Comm per Month (Mil in-kind)'!$K$11, 'Bilateral Assistance, MAIN DATA'!AS:AS,1)/1000000000</f>
        <v>0</v>
      </c>
      <c r="L39" s="276">
        <f>SUMIFS('Bilateral Assistance, MAIN DATA'!S:S,'Bilateral Assistance, MAIN DATA'!B:B,'Comm per Month (Mil in-kind)'!B39,'Bilateral Assistance, MAIN DATA'!AG:AG,1,'Bilateral Assistance, MAIN DATA'!AH:AH,'Comm per Month (Mil in-kind)'!$L$11, 'Bilateral Assistance, MAIN DATA'!AS:AS,1)/1000000000</f>
        <v>8.4377397085144454E-2</v>
      </c>
      <c r="M39" s="277">
        <f>SUMIFS('Bilateral Assistance, MAIN DATA'!S:S,'Bilateral Assistance, MAIN DATA'!B:B,'Comm per Month (Mil in-kind)'!B39,'Bilateral Assistance, MAIN DATA'!AG:AG,1,'Bilateral Assistance, MAIN DATA'!AH:AH,'Comm per Month (Mil in-kind)'!$M$11, 'Bilateral Assistance, MAIN DATA'!AS:AS,1)/1000000000</f>
        <v>0</v>
      </c>
      <c r="N39" s="239">
        <f>SUMIFS('Bilateral Assistance, MAIN DATA'!S:S,'Bilateral Assistance, MAIN DATA'!B:B,'Comm per Month (Mil in-kind)'!B39,'Bilateral Assistance, MAIN DATA'!AG:AG,1,'Bilateral Assistance, MAIN DATA'!AH:AH,'Comm per Month (Mil in-kind)'!$N$11, 'Bilateral Assistance, MAIN DATA'!AS:AS,1)/1000000000</f>
        <v>0</v>
      </c>
      <c r="O39" s="277">
        <f>SUMIFS('Bilateral Assistance, MAIN DATA'!S:S,'Bilateral Assistance, MAIN DATA'!B:B,'Comm per Month (Mil in-kind)'!B39,'Bilateral Assistance, MAIN DATA'!AG:AG,1,'Bilateral Assistance, MAIN DATA'!AH:AH,'Comm per Month (Mil in-kind)'!$O$11, 'Bilateral Assistance, MAIN DATA'!AS:AS,1)/1000000000</f>
        <v>0</v>
      </c>
      <c r="P39" s="277">
        <f>SUMIFS('Bilateral Assistance, MAIN DATA'!S:S,'Bilateral Assistance, MAIN DATA'!B:B,'Comm per Month (Mil in-kind)'!B39,'Bilateral Assistance, MAIN DATA'!AG:AG,1,'Bilateral Assistance, MAIN DATA'!AH:AH,'Comm per Month (Mil in-kind)'!$P$11, 'Bilateral Assistance, MAIN DATA'!AS:AS,1)/1000000000</f>
        <v>0</v>
      </c>
      <c r="Q39" s="277">
        <f>SUMIFS('Bilateral Assistance, MAIN DATA'!S:S,'Bilateral Assistance, MAIN DATA'!B:B,'Comm per Month (Mil in-kind)'!B39,'Bilateral Assistance, MAIN DATA'!AG:AG,1,'Bilateral Assistance, MAIN DATA'!AH:AH,'Comm per Month (Mil in-kind)'!$Q$11, 'Bilateral Assistance, MAIN DATA'!AS:AS,1)/1000000000</f>
        <v>0</v>
      </c>
      <c r="R39" s="277">
        <f>SUMIFS('Bilateral Assistance, MAIN DATA'!$S:$S,'Bilateral Assistance, MAIN DATA'!$B:$B,'Comm per Month (Mil in-kind)'!$B39,'Bilateral Assistance, MAIN DATA'!$AG:$AG,1,'Bilateral Assistance, MAIN DATA'!$AH:$AH,'Comm per Month (Mil in-kind)'!$R$11, 'Bilateral Assistance, MAIN DATA'!$AS:$AS,1)/1000000000</f>
        <v>0.63922270519048829</v>
      </c>
      <c r="S39" s="277">
        <f>SUMIFS('Bilateral Assistance, MAIN DATA'!$S:$S,'Bilateral Assistance, MAIN DATA'!$B:$B,'Comm per Month (Mil in-kind)'!$B39,'Bilateral Assistance, MAIN DATA'!$AG:$AG,1,'Bilateral Assistance, MAIN DATA'!$AH:$AH,'Comm per Month (Mil in-kind)'!$S$11, 'Bilateral Assistance, MAIN DATA'!$AS:$AS,1)/1000000000</f>
        <v>0</v>
      </c>
      <c r="T39" s="277">
        <f>SUMIFS('Bilateral Assistance, MAIN DATA'!$S:$S,'Bilateral Assistance, MAIN DATA'!$B:$B,'Comm per Month (Mil in-kind)'!$B39,'Bilateral Assistance, MAIN DATA'!$AG:$AG,1,'Bilateral Assistance, MAIN DATA'!$AH:$AH,'Comm per Month (Mil in-kind)'!$T$11, 'Bilateral Assistance, MAIN DATA'!$AS:$AS,1)/1000000000</f>
        <v>0</v>
      </c>
      <c r="U39" s="277">
        <f>SUMIFS('Bilateral Assistance, MAIN DATA'!$S:$S,'Bilateral Assistance, MAIN DATA'!$B:$B,'Comm per Month (Mil in-kind)'!$B39,'Bilateral Assistance, MAIN DATA'!$AG:$AG,1,'Bilateral Assistance, MAIN DATA'!$AH:$AH,'Comm per Month (Mil in-kind)'!$U$11, 'Bilateral Assistance, MAIN DATA'!$AS:$AS,1)/1000000000</f>
        <v>0</v>
      </c>
      <c r="V39" s="277">
        <f t="shared" si="0"/>
        <v>0.72360010227563276</v>
      </c>
      <c r="W39" s="277">
        <f>SUMIFS('Bilateral Assistance, MAIN DATA'!S:S,'Bilateral Assistance, MAIN DATA'!B:B,'Comm per Month (Mil in-kind)'!B39,'Bilateral Assistance, MAIN DATA'!AG:AG,0,'Bilateral Assistance, MAIN DATA'!AS:AS,1)/1000000000</f>
        <v>0</v>
      </c>
    </row>
    <row r="40" spans="1:23" ht="15.95" customHeight="1">
      <c r="A40" s="19"/>
      <c r="B40" s="24" t="s">
        <v>2989</v>
      </c>
      <c r="C40" s="297">
        <v>1</v>
      </c>
      <c r="D40" s="297">
        <v>0</v>
      </c>
      <c r="E40" s="276">
        <f>SUMIFS('Bilateral Assistance, MAIN DATA'!S:S,'Bilateral Assistance, MAIN DATA'!B:B,'Comm per Month (Mil in-kind)'!B40,'Bilateral Assistance, MAIN DATA'!AG:AG,1,'Bilateral Assistance, MAIN DATA'!AH:AH,'Comm per Month (Mil in-kind)'!$E$11, 'Bilateral Assistance, MAIN DATA'!AS:AS,1)/1000000000</f>
        <v>0</v>
      </c>
      <c r="F40" s="276">
        <f>SUMIFS('Bilateral Assistance, MAIN DATA'!S:S,'Bilateral Assistance, MAIN DATA'!B:B,'Comm per Month (Mil in-kind)'!B40,'Bilateral Assistance, MAIN DATA'!AG:AG,1,'Bilateral Assistance, MAIN DATA'!AH:AH,'Comm per Month (Mil in-kind)'!$F$11, 'Bilateral Assistance, MAIN DATA'!AS:AS,1)/1000000000</f>
        <v>0</v>
      </c>
      <c r="G40" s="276">
        <f>SUMIFS('Bilateral Assistance, MAIN DATA'!S:S,'Bilateral Assistance, MAIN DATA'!B:B,'Comm per Month (Mil in-kind)'!B40,'Bilateral Assistance, MAIN DATA'!AG:AG,1,'Bilateral Assistance, MAIN DATA'!AH:AH,'Comm per Month (Mil in-kind)'!$G$11, 'Bilateral Assistance, MAIN DATA'!AS:AS,1)/1000000000</f>
        <v>0</v>
      </c>
      <c r="H40" s="276">
        <f>SUMIFS('Bilateral Assistance, MAIN DATA'!S:S,'Bilateral Assistance, MAIN DATA'!B:B,'Comm per Month (Mil in-kind)'!B40,'Bilateral Assistance, MAIN DATA'!AG:AG,1,'Bilateral Assistance, MAIN DATA'!AH:AH,'Comm per Month (Mil in-kind)'!$H$11, 'Bilateral Assistance, MAIN DATA'!AS:AS,1)/1000000000</f>
        <v>1.8</v>
      </c>
      <c r="I40" s="276">
        <f>SUMIFS('Bilateral Assistance, MAIN DATA'!S:S,'Bilateral Assistance, MAIN DATA'!B:B,'Comm per Month (Mil in-kind)'!B40,'Bilateral Assistance, MAIN DATA'!AG:AG,1,'Bilateral Assistance, MAIN DATA'!AH:AH,'Comm per Month (Mil in-kind)'!$I$11, 'Bilateral Assistance, MAIN DATA'!AS:AS,1)/1000000000</f>
        <v>0</v>
      </c>
      <c r="J40" s="276">
        <f>SUMIFS('Bilateral Assistance, MAIN DATA'!S:S,'Bilateral Assistance, MAIN DATA'!B:B,'Comm per Month (Mil in-kind)'!B40,'Bilateral Assistance, MAIN DATA'!AG:AG,1,'Bilateral Assistance, MAIN DATA'!AH:AH,'Comm per Month (Mil in-kind)'!$J$11, 'Bilateral Assistance, MAIN DATA'!AS:AS,1)/1000000000</f>
        <v>0</v>
      </c>
      <c r="K40" s="276">
        <f>SUMIFS('Bilateral Assistance, MAIN DATA'!S:S,'Bilateral Assistance, MAIN DATA'!B:B,'Comm per Month (Mil in-kind)'!B40,'Bilateral Assistance, MAIN DATA'!AG:AG,1,'Bilateral Assistance, MAIN DATA'!AH:AH,'Comm per Month (Mil in-kind)'!$K$11, 'Bilateral Assistance, MAIN DATA'!AS:AS,1)/1000000000</f>
        <v>3.0533038369525208E-2</v>
      </c>
      <c r="L40" s="276">
        <f>SUMIFS('Bilateral Assistance, MAIN DATA'!S:S,'Bilateral Assistance, MAIN DATA'!B:B,'Comm per Month (Mil in-kind)'!B40,'Bilateral Assistance, MAIN DATA'!AG:AG,1,'Bilateral Assistance, MAIN DATA'!AH:AH,'Comm per Month (Mil in-kind)'!$L$11, 'Bilateral Assistance, MAIN DATA'!AS:AS,1)/1000000000</f>
        <v>0</v>
      </c>
      <c r="M40" s="277">
        <f>SUMIFS('Bilateral Assistance, MAIN DATA'!S:S,'Bilateral Assistance, MAIN DATA'!B:B,'Comm per Month (Mil in-kind)'!B40,'Bilateral Assistance, MAIN DATA'!AG:AG,1,'Bilateral Assistance, MAIN DATA'!AH:AH,'Comm per Month (Mil in-kind)'!$M$11, 'Bilateral Assistance, MAIN DATA'!AS:AS,1)/1000000000</f>
        <v>0</v>
      </c>
      <c r="N40" s="239">
        <f>SUMIFS('Bilateral Assistance, MAIN DATA'!S:S,'Bilateral Assistance, MAIN DATA'!B:B,'Comm per Month (Mil in-kind)'!B40,'Bilateral Assistance, MAIN DATA'!AG:AG,1,'Bilateral Assistance, MAIN DATA'!AH:AH,'Comm per Month (Mil in-kind)'!$N$11, 'Bilateral Assistance, MAIN DATA'!AS:AS,1)/1000000000</f>
        <v>0</v>
      </c>
      <c r="O40" s="277">
        <f>SUMIFS('Bilateral Assistance, MAIN DATA'!S:S,'Bilateral Assistance, MAIN DATA'!B:B,'Comm per Month (Mil in-kind)'!B40,'Bilateral Assistance, MAIN DATA'!AG:AG,1,'Bilateral Assistance, MAIN DATA'!AH:AH,'Comm per Month (Mil in-kind)'!$O$11, 'Bilateral Assistance, MAIN DATA'!AS:AS,1)/1000000000</f>
        <v>0</v>
      </c>
      <c r="P40" s="277">
        <f>SUMIFS('Bilateral Assistance, MAIN DATA'!S:S,'Bilateral Assistance, MAIN DATA'!B:B,'Comm per Month (Mil in-kind)'!B40,'Bilateral Assistance, MAIN DATA'!AG:AG,1,'Bilateral Assistance, MAIN DATA'!AH:AH,'Comm per Month (Mil in-kind)'!$P$11, 'Bilateral Assistance, MAIN DATA'!AS:AS,1)/1000000000</f>
        <v>0.42337392896577108</v>
      </c>
      <c r="Q40" s="277">
        <f>SUMIFS('Bilateral Assistance, MAIN DATA'!S:S,'Bilateral Assistance, MAIN DATA'!B:B,'Comm per Month (Mil in-kind)'!B40,'Bilateral Assistance, MAIN DATA'!AG:AG,1,'Bilateral Assistance, MAIN DATA'!AH:AH,'Comm per Month (Mil in-kind)'!$Q$11, 'Bilateral Assistance, MAIN DATA'!AS:AS,1)/1000000000</f>
        <v>0.16375131121644909</v>
      </c>
      <c r="R40" s="277">
        <f>SUMIFS('Bilateral Assistance, MAIN DATA'!$S:$S,'Bilateral Assistance, MAIN DATA'!$B:$B,'Comm per Month (Mil in-kind)'!$B40,'Bilateral Assistance, MAIN DATA'!$AG:$AG,1,'Bilateral Assistance, MAIN DATA'!$AH:$AH,'Comm per Month (Mil in-kind)'!$R$11, 'Bilateral Assistance, MAIN DATA'!$AS:$AS,1)/1000000000</f>
        <v>0</v>
      </c>
      <c r="S40" s="277">
        <f>SUMIFS('Bilateral Assistance, MAIN DATA'!$S:$S,'Bilateral Assistance, MAIN DATA'!$B:$B,'Comm per Month (Mil in-kind)'!$B40,'Bilateral Assistance, MAIN DATA'!$AG:$AG,1,'Bilateral Assistance, MAIN DATA'!$AH:$AH,'Comm per Month (Mil in-kind)'!$S$11, 'Bilateral Assistance, MAIN DATA'!$AS:$AS,1)/1000000000</f>
        <v>0.15458225984541774</v>
      </c>
      <c r="T40" s="277">
        <f>SUMIFS('Bilateral Assistance, MAIN DATA'!$S:$S,'Bilateral Assistance, MAIN DATA'!$B:$B,'Comm per Month (Mil in-kind)'!$B40,'Bilateral Assistance, MAIN DATA'!$AG:$AG,1,'Bilateral Assistance, MAIN DATA'!$AH:$AH,'Comm per Month (Mil in-kind)'!$T$11, 'Bilateral Assistance, MAIN DATA'!$AS:$AS,1)/1000000000</f>
        <v>0</v>
      </c>
      <c r="U40" s="277">
        <f>SUMIFS('Bilateral Assistance, MAIN DATA'!$S:$S,'Bilateral Assistance, MAIN DATA'!$B:$B,'Comm per Month (Mil in-kind)'!$B40,'Bilateral Assistance, MAIN DATA'!$AG:$AG,1,'Bilateral Assistance, MAIN DATA'!$AH:$AH,'Comm per Month (Mil in-kind)'!$U$11, 'Bilateral Assistance, MAIN DATA'!$AS:$AS,1)/1000000000</f>
        <v>0.42775946160283662</v>
      </c>
      <c r="V40" s="277">
        <f t="shared" si="0"/>
        <v>3</v>
      </c>
      <c r="W40" s="277">
        <f>SUMIFS('Bilateral Assistance, MAIN DATA'!S:S,'Bilateral Assistance, MAIN DATA'!B:B,'Comm per Month (Mil in-kind)'!B40,'Bilateral Assistance, MAIN DATA'!AG:AG,0,'Bilateral Assistance, MAIN DATA'!AS:AS,1)/1000000000</f>
        <v>0</v>
      </c>
    </row>
    <row r="41" spans="1:23" ht="15.95" customHeight="1">
      <c r="A41" s="19"/>
      <c r="B41" s="24" t="s">
        <v>3079</v>
      </c>
      <c r="C41" s="297">
        <v>1</v>
      </c>
      <c r="D41" s="297">
        <v>0</v>
      </c>
      <c r="E41" s="276">
        <f>SUMIFS('Bilateral Assistance, MAIN DATA'!S:S,'Bilateral Assistance, MAIN DATA'!B:B,'Comm per Month (Mil in-kind)'!B41,'Bilateral Assistance, MAIN DATA'!AG:AG,1,'Bilateral Assistance, MAIN DATA'!AH:AH,'Comm per Month (Mil in-kind)'!$E$11, 'Bilateral Assistance, MAIN DATA'!AS:AS,1)/1000000000</f>
        <v>0</v>
      </c>
      <c r="F41" s="276">
        <f>SUMIFS('Bilateral Assistance, MAIN DATA'!S:S,'Bilateral Assistance, MAIN DATA'!B:B,'Comm per Month (Mil in-kind)'!B41,'Bilateral Assistance, MAIN DATA'!AG:AG,1,'Bilateral Assistance, MAIN DATA'!AH:AH,'Comm per Month (Mil in-kind)'!$F$11, 'Bilateral Assistance, MAIN DATA'!AS:AS,1)/1000000000</f>
        <v>0</v>
      </c>
      <c r="G41" s="276">
        <f>SUMIFS('Bilateral Assistance, MAIN DATA'!S:S,'Bilateral Assistance, MAIN DATA'!B:B,'Comm per Month (Mil in-kind)'!B41,'Bilateral Assistance, MAIN DATA'!AG:AG,1,'Bilateral Assistance, MAIN DATA'!AH:AH,'Comm per Month (Mil in-kind)'!$G$11, 'Bilateral Assistance, MAIN DATA'!AS:AS,1)/1000000000</f>
        <v>0</v>
      </c>
      <c r="H41" s="276">
        <f>SUMIFS('Bilateral Assistance, MAIN DATA'!S:S,'Bilateral Assistance, MAIN DATA'!B:B,'Comm per Month (Mil in-kind)'!B41,'Bilateral Assistance, MAIN DATA'!AG:AG,1,'Bilateral Assistance, MAIN DATA'!AH:AH,'Comm per Month (Mil in-kind)'!$H$11, 'Bilateral Assistance, MAIN DATA'!AS:AS,1)/1000000000</f>
        <v>2.2292970187707032E-3</v>
      </c>
      <c r="I41" s="276">
        <f>SUMIFS('Bilateral Assistance, MAIN DATA'!S:S,'Bilateral Assistance, MAIN DATA'!B:B,'Comm per Month (Mil in-kind)'!B41,'Bilateral Assistance, MAIN DATA'!AG:AG,1,'Bilateral Assistance, MAIN DATA'!AH:AH,'Comm per Month (Mil in-kind)'!$I$11, 'Bilateral Assistance, MAIN DATA'!AS:AS,1)/1000000000</f>
        <v>7.8480159929995505E-3</v>
      </c>
      <c r="J41" s="276">
        <f>SUMIFS('Bilateral Assistance, MAIN DATA'!S:S,'Bilateral Assistance, MAIN DATA'!B:B,'Comm per Month (Mil in-kind)'!B41,'Bilateral Assistance, MAIN DATA'!AG:AG,1,'Bilateral Assistance, MAIN DATA'!AH:AH,'Comm per Month (Mil in-kind)'!$J$11, 'Bilateral Assistance, MAIN DATA'!AS:AS,1)/1000000000</f>
        <v>0</v>
      </c>
      <c r="K41" s="276">
        <f>SUMIFS('Bilateral Assistance, MAIN DATA'!S:S,'Bilateral Assistance, MAIN DATA'!B:B,'Comm per Month (Mil in-kind)'!B41,'Bilateral Assistance, MAIN DATA'!AG:AG,1,'Bilateral Assistance, MAIN DATA'!AH:AH,'Comm per Month (Mil in-kind)'!$K$11, 'Bilateral Assistance, MAIN DATA'!AS:AS,1)/1000000000</f>
        <v>0</v>
      </c>
      <c r="L41" s="276">
        <f>SUMIFS('Bilateral Assistance, MAIN DATA'!S:S,'Bilateral Assistance, MAIN DATA'!B:B,'Comm per Month (Mil in-kind)'!B41,'Bilateral Assistance, MAIN DATA'!AG:AG,1,'Bilateral Assistance, MAIN DATA'!AH:AH,'Comm per Month (Mil in-kind)'!$L$11, 'Bilateral Assistance, MAIN DATA'!AS:AS,1)/1000000000</f>
        <v>3.3124769966875235E-5</v>
      </c>
      <c r="M41" s="277">
        <f>SUMIFS('Bilateral Assistance, MAIN DATA'!S:S,'Bilateral Assistance, MAIN DATA'!B:B,'Comm per Month (Mil in-kind)'!B41,'Bilateral Assistance, MAIN DATA'!AG:AG,1,'Bilateral Assistance, MAIN DATA'!AH:AH,'Comm per Month (Mil in-kind)'!$M$11, 'Bilateral Assistance, MAIN DATA'!AS:AS,1)/1000000000</f>
        <v>0</v>
      </c>
      <c r="N41" s="239">
        <f>SUMIFS('Bilateral Assistance, MAIN DATA'!S:S,'Bilateral Assistance, MAIN DATA'!B:B,'Comm per Month (Mil in-kind)'!B41,'Bilateral Assistance, MAIN DATA'!AG:AG,1,'Bilateral Assistance, MAIN DATA'!AH:AH,'Comm per Month (Mil in-kind)'!$N$11, 'Bilateral Assistance, MAIN DATA'!AS:AS,1)/1000000000</f>
        <v>3.2296650717703351E-2</v>
      </c>
      <c r="O41" s="277">
        <f>SUMIFS('Bilateral Assistance, MAIN DATA'!S:S,'Bilateral Assistance, MAIN DATA'!B:B,'Comm per Month (Mil in-kind)'!B41,'Bilateral Assistance, MAIN DATA'!AG:AG,1,'Bilateral Assistance, MAIN DATA'!AH:AH,'Comm per Month (Mil in-kind)'!$O$11, 'Bilateral Assistance, MAIN DATA'!AS:AS,1)/1000000000</f>
        <v>0</v>
      </c>
      <c r="P41" s="277">
        <f>SUMIFS('Bilateral Assistance, MAIN DATA'!S:S,'Bilateral Assistance, MAIN DATA'!B:B,'Comm per Month (Mil in-kind)'!B41,'Bilateral Assistance, MAIN DATA'!AG:AG,1,'Bilateral Assistance, MAIN DATA'!AH:AH,'Comm per Month (Mil in-kind)'!$P$11, 'Bilateral Assistance, MAIN DATA'!AS:AS,1)/1000000000</f>
        <v>0</v>
      </c>
      <c r="Q41" s="277">
        <f>SUMIFS('Bilateral Assistance, MAIN DATA'!S:S,'Bilateral Assistance, MAIN DATA'!B:B,'Comm per Month (Mil in-kind)'!B41,'Bilateral Assistance, MAIN DATA'!AG:AG,1,'Bilateral Assistance, MAIN DATA'!AH:AH,'Comm per Month (Mil in-kind)'!$Q$11, 'Bilateral Assistance, MAIN DATA'!AS:AS,1)/1000000000</f>
        <v>4.0464924549135075E-3</v>
      </c>
      <c r="R41" s="277">
        <f>SUMIFS('Bilateral Assistance, MAIN DATA'!$S:$S,'Bilateral Assistance, MAIN DATA'!$B:$B,'Comm per Month (Mil in-kind)'!$B41,'Bilateral Assistance, MAIN DATA'!$AG:$AG,1,'Bilateral Assistance, MAIN DATA'!$AH:$AH,'Comm per Month (Mil in-kind)'!$R$11, 'Bilateral Assistance, MAIN DATA'!$AS:$AS,1)/1000000000</f>
        <v>2.7603974972396025E-2</v>
      </c>
      <c r="S41" s="277">
        <f>SUMIFS('Bilateral Assistance, MAIN DATA'!$S:$S,'Bilateral Assistance, MAIN DATA'!$B:$B,'Comm per Month (Mil in-kind)'!$B41,'Bilateral Assistance, MAIN DATA'!$AG:$AG,1,'Bilateral Assistance, MAIN DATA'!$AH:$AH,'Comm per Month (Mil in-kind)'!$S$11, 'Bilateral Assistance, MAIN DATA'!$AS:$AS,1)/1000000000</f>
        <v>0</v>
      </c>
      <c r="T41" s="277">
        <f>SUMIFS('Bilateral Assistance, MAIN DATA'!$S:$S,'Bilateral Assistance, MAIN DATA'!$B:$B,'Comm per Month (Mil in-kind)'!$B41,'Bilateral Assistance, MAIN DATA'!$AG:$AG,1,'Bilateral Assistance, MAIN DATA'!$AH:$AH,'Comm per Month (Mil in-kind)'!$T$11, 'Bilateral Assistance, MAIN DATA'!$AS:$AS,1)/1000000000</f>
        <v>1.4294773647405227E-3</v>
      </c>
      <c r="U41" s="277">
        <f>SUMIFS('Bilateral Assistance, MAIN DATA'!$S:$S,'Bilateral Assistance, MAIN DATA'!$B:$B,'Comm per Month (Mil in-kind)'!$B41,'Bilateral Assistance, MAIN DATA'!$AG:$AG,1,'Bilateral Assistance, MAIN DATA'!$AH:$AH,'Comm per Month (Mil in-kind)'!$U$11, 'Bilateral Assistance, MAIN DATA'!$AS:$AS,1)/1000000000</f>
        <v>0</v>
      </c>
      <c r="V41" s="277">
        <f t="shared" si="0"/>
        <v>7.5487033291490549E-2</v>
      </c>
      <c r="W41" s="277">
        <f>SUMIFS('Bilateral Assistance, MAIN DATA'!S:S,'Bilateral Assistance, MAIN DATA'!B:B,'Comm per Month (Mil in-kind)'!B41,'Bilateral Assistance, MAIN DATA'!AG:AG,0,'Bilateral Assistance, MAIN DATA'!AS:AS,1)/1000000000</f>
        <v>0</v>
      </c>
    </row>
    <row r="42" spans="1:23" ht="15.95" customHeight="1">
      <c r="B42" s="2" t="s">
        <v>3162</v>
      </c>
      <c r="C42" s="297">
        <v>0</v>
      </c>
      <c r="D42" s="297">
        <v>0</v>
      </c>
      <c r="E42" s="276">
        <f>SUMIFS('Bilateral Assistance, MAIN DATA'!S:S,'Bilateral Assistance, MAIN DATA'!B:B,'Comm per Month (Mil in-kind)'!B42,'Bilateral Assistance, MAIN DATA'!AG:AG,1,'Bilateral Assistance, MAIN DATA'!AH:AH,'Comm per Month (Mil in-kind)'!$E$11, 'Bilateral Assistance, MAIN DATA'!AS:AS,1)/1000000000</f>
        <v>0</v>
      </c>
      <c r="F42" s="276">
        <f>SUMIFS('Bilateral Assistance, MAIN DATA'!S:S,'Bilateral Assistance, MAIN DATA'!B:B,'Comm per Month (Mil in-kind)'!B42,'Bilateral Assistance, MAIN DATA'!AG:AG,1,'Bilateral Assistance, MAIN DATA'!AH:AH,'Comm per Month (Mil in-kind)'!$F$11, 'Bilateral Assistance, MAIN DATA'!AS:AS,1)/1000000000</f>
        <v>0</v>
      </c>
      <c r="G42" s="276">
        <f>SUMIFS('Bilateral Assistance, MAIN DATA'!S:S,'Bilateral Assistance, MAIN DATA'!B:B,'Comm per Month (Mil in-kind)'!B42,'Bilateral Assistance, MAIN DATA'!AG:AG,1,'Bilateral Assistance, MAIN DATA'!AH:AH,'Comm per Month (Mil in-kind)'!$G$11, 'Bilateral Assistance, MAIN DATA'!AS:AS,1)/1000000000</f>
        <v>7.361059992638941E-4</v>
      </c>
      <c r="H42" s="276">
        <f>SUMIFS('Bilateral Assistance, MAIN DATA'!S:S,'Bilateral Assistance, MAIN DATA'!B:B,'Comm per Month (Mil in-kind)'!B42,'Bilateral Assistance, MAIN DATA'!AG:AG,1,'Bilateral Assistance, MAIN DATA'!AH:AH,'Comm per Month (Mil in-kind)'!$H$11, 'Bilateral Assistance, MAIN DATA'!AS:AS,1)/1000000000</f>
        <v>1.4722119985277882E-3</v>
      </c>
      <c r="I42" s="276">
        <f>SUMIFS('Bilateral Assistance, MAIN DATA'!S:S,'Bilateral Assistance, MAIN DATA'!B:B,'Comm per Month (Mil in-kind)'!B42,'Bilateral Assistance, MAIN DATA'!AG:AG,1,'Bilateral Assistance, MAIN DATA'!AH:AH,'Comm per Month (Mil in-kind)'!$I$11, 'Bilateral Assistance, MAIN DATA'!AS:AS,1)/1000000000</f>
        <v>1.0857563489142436E-3</v>
      </c>
      <c r="J42" s="276">
        <f>SUMIFS('Bilateral Assistance, MAIN DATA'!S:S,'Bilateral Assistance, MAIN DATA'!B:B,'Comm per Month (Mil in-kind)'!B42,'Bilateral Assistance, MAIN DATA'!AG:AG,1,'Bilateral Assistance, MAIN DATA'!AH:AH,'Comm per Month (Mil in-kind)'!$J$11, 'Bilateral Assistance, MAIN DATA'!AS:AS,1)/1000000000</f>
        <v>0</v>
      </c>
      <c r="K42" s="276">
        <f>SUMIFS('Bilateral Assistance, MAIN DATA'!S:S,'Bilateral Assistance, MAIN DATA'!B:B,'Comm per Month (Mil in-kind)'!B42,'Bilateral Assistance, MAIN DATA'!AG:AG,1,'Bilateral Assistance, MAIN DATA'!AH:AH,'Comm per Month (Mil in-kind)'!$K$11, 'Bilateral Assistance, MAIN DATA'!AS:AS,1)/1000000000</f>
        <v>0</v>
      </c>
      <c r="L42" s="276">
        <f>SUMIFS('Bilateral Assistance, MAIN DATA'!S:S,'Bilateral Assistance, MAIN DATA'!B:B,'Comm per Month (Mil in-kind)'!B42,'Bilateral Assistance, MAIN DATA'!AG:AG,1,'Bilateral Assistance, MAIN DATA'!AH:AH,'Comm per Month (Mil in-kind)'!$L$11, 'Bilateral Assistance, MAIN DATA'!AS:AS,1)/1000000000</f>
        <v>0</v>
      </c>
      <c r="M42" s="277">
        <f>SUMIFS('Bilateral Assistance, MAIN DATA'!S:S,'Bilateral Assistance, MAIN DATA'!B:B,'Comm per Month (Mil in-kind)'!B42,'Bilateral Assistance, MAIN DATA'!AG:AG,1,'Bilateral Assistance, MAIN DATA'!AH:AH,'Comm per Month (Mil in-kind)'!$M$11, 'Bilateral Assistance, MAIN DATA'!AS:AS,1)/1000000000</f>
        <v>0</v>
      </c>
      <c r="N42" s="239">
        <f>SUMIFS('Bilateral Assistance, MAIN DATA'!S:S,'Bilateral Assistance, MAIN DATA'!B:B,'Comm per Month (Mil in-kind)'!B42,'Bilateral Assistance, MAIN DATA'!AG:AG,1,'Bilateral Assistance, MAIN DATA'!AH:AH,'Comm per Month (Mil in-kind)'!$N$11, 'Bilateral Assistance, MAIN DATA'!AS:AS,1)/1000000000</f>
        <v>0</v>
      </c>
      <c r="O42" s="277">
        <f>SUMIFS('Bilateral Assistance, MAIN DATA'!S:S,'Bilateral Assistance, MAIN DATA'!B:B,'Comm per Month (Mil in-kind)'!B42,'Bilateral Assistance, MAIN DATA'!AG:AG,1,'Bilateral Assistance, MAIN DATA'!AH:AH,'Comm per Month (Mil in-kind)'!$O$11, 'Bilateral Assistance, MAIN DATA'!AS:AS,1)/1000000000</f>
        <v>0</v>
      </c>
      <c r="P42" s="277">
        <f>SUMIFS('Bilateral Assistance, MAIN DATA'!S:S,'Bilateral Assistance, MAIN DATA'!B:B,'Comm per Month (Mil in-kind)'!B42,'Bilateral Assistance, MAIN DATA'!AG:AG,1,'Bilateral Assistance, MAIN DATA'!AH:AH,'Comm per Month (Mil in-kind)'!$P$11, 'Bilateral Assistance, MAIN DATA'!AS:AS,1)/1000000000</f>
        <v>0</v>
      </c>
      <c r="Q42" s="277">
        <f>SUMIFS('Bilateral Assistance, MAIN DATA'!S:S,'Bilateral Assistance, MAIN DATA'!B:B,'Comm per Month (Mil in-kind)'!B42,'Bilateral Assistance, MAIN DATA'!AG:AG,1,'Bilateral Assistance, MAIN DATA'!AH:AH,'Comm per Month (Mil in-kind)'!$Q$11, 'Bilateral Assistance, MAIN DATA'!AS:AS,1)/1000000000</f>
        <v>0</v>
      </c>
      <c r="R42" s="277">
        <f>SUMIFS('Bilateral Assistance, MAIN DATA'!$S:$S,'Bilateral Assistance, MAIN DATA'!$B:$B,'Comm per Month (Mil in-kind)'!$B42,'Bilateral Assistance, MAIN DATA'!$AG:$AG,1,'Bilateral Assistance, MAIN DATA'!$AH:$AH,'Comm per Month (Mil in-kind)'!$R$11, 'Bilateral Assistance, MAIN DATA'!$AS:$AS,1)/1000000000</f>
        <v>0</v>
      </c>
      <c r="S42" s="277">
        <f>SUMIFS('Bilateral Assistance, MAIN DATA'!$S:$S,'Bilateral Assistance, MAIN DATA'!$B:$B,'Comm per Month (Mil in-kind)'!$B42,'Bilateral Assistance, MAIN DATA'!$AG:$AG,1,'Bilateral Assistance, MAIN DATA'!$AH:$AH,'Comm per Month (Mil in-kind)'!$S$11, 'Bilateral Assistance, MAIN DATA'!$AS:$AS,1)/1000000000</f>
        <v>0</v>
      </c>
      <c r="T42" s="277">
        <f>SUMIFS('Bilateral Assistance, MAIN DATA'!$S:$S,'Bilateral Assistance, MAIN DATA'!$B:$B,'Comm per Month (Mil in-kind)'!$B42,'Bilateral Assistance, MAIN DATA'!$AG:$AG,1,'Bilateral Assistance, MAIN DATA'!$AH:$AH,'Comm per Month (Mil in-kind)'!$T$11, 'Bilateral Assistance, MAIN DATA'!$AS:$AS,1)/1000000000</f>
        <v>0</v>
      </c>
      <c r="U42" s="277">
        <f>SUMIFS('Bilateral Assistance, MAIN DATA'!$S:$S,'Bilateral Assistance, MAIN DATA'!$B:$B,'Comm per Month (Mil in-kind)'!$B42,'Bilateral Assistance, MAIN DATA'!$AG:$AG,1,'Bilateral Assistance, MAIN DATA'!$AH:$AH,'Comm per Month (Mil in-kind)'!$U$11, 'Bilateral Assistance, MAIN DATA'!$AS:$AS,1)/1000000000</f>
        <v>0</v>
      </c>
      <c r="V42" s="277">
        <f t="shared" si="0"/>
        <v>3.2940743467059258E-3</v>
      </c>
      <c r="W42" s="277">
        <f>SUMIFS('Bilateral Assistance, MAIN DATA'!S:S,'Bilateral Assistance, MAIN DATA'!B:B,'Comm per Month (Mil in-kind)'!B42,'Bilateral Assistance, MAIN DATA'!AG:AG,0,'Bilateral Assistance, MAIN DATA'!AS:AS,1)/1000000000</f>
        <v>0</v>
      </c>
    </row>
    <row r="43" spans="1:23" ht="15.95" customHeight="1">
      <c r="B43" s="24" t="s">
        <v>3214</v>
      </c>
      <c r="C43" s="297">
        <v>1</v>
      </c>
      <c r="D43" s="297">
        <v>0</v>
      </c>
      <c r="E43" s="276">
        <f>SUMIFS('Bilateral Assistance, MAIN DATA'!S:S,'Bilateral Assistance, MAIN DATA'!B:B,'Comm per Month (Mil in-kind)'!B43,'Bilateral Assistance, MAIN DATA'!AG:AG,1,'Bilateral Assistance, MAIN DATA'!AH:AH,'Comm per Month (Mil in-kind)'!$E$11, 'Bilateral Assistance, MAIN DATA'!AS:AS,1)/1000000000</f>
        <v>0</v>
      </c>
      <c r="F43" s="276">
        <f>SUMIFS('Bilateral Assistance, MAIN DATA'!S:S,'Bilateral Assistance, MAIN DATA'!B:B,'Comm per Month (Mil in-kind)'!B43,'Bilateral Assistance, MAIN DATA'!AG:AG,1,'Bilateral Assistance, MAIN DATA'!AH:AH,'Comm per Month (Mil in-kind)'!$F$11, 'Bilateral Assistance, MAIN DATA'!AS:AS,1)/1000000000</f>
        <v>3.0000000000000001E-3</v>
      </c>
      <c r="G43" s="276">
        <f>SUMIFS('Bilateral Assistance, MAIN DATA'!S:S,'Bilateral Assistance, MAIN DATA'!B:B,'Comm per Month (Mil in-kind)'!B43,'Bilateral Assistance, MAIN DATA'!AG:AG,1,'Bilateral Assistance, MAIN DATA'!AH:AH,'Comm per Month (Mil in-kind)'!$G$11, 'Bilateral Assistance, MAIN DATA'!AS:AS,1)/1000000000</f>
        <v>0</v>
      </c>
      <c r="H43" s="276">
        <f>SUMIFS('Bilateral Assistance, MAIN DATA'!S:S,'Bilateral Assistance, MAIN DATA'!B:B,'Comm per Month (Mil in-kind)'!B43,'Bilateral Assistance, MAIN DATA'!AG:AG,1,'Bilateral Assistance, MAIN DATA'!AH:AH,'Comm per Month (Mil in-kind)'!$H$11, 'Bilateral Assistance, MAIN DATA'!AS:AS,1)/1000000000</f>
        <v>0</v>
      </c>
      <c r="I43" s="276">
        <f>SUMIFS('Bilateral Assistance, MAIN DATA'!S:S,'Bilateral Assistance, MAIN DATA'!B:B,'Comm per Month (Mil in-kind)'!B43,'Bilateral Assistance, MAIN DATA'!AG:AG,1,'Bilateral Assistance, MAIN DATA'!AH:AH,'Comm per Month (Mil in-kind)'!$I$11, 'Bilateral Assistance, MAIN DATA'!AS:AS,1)/1000000000</f>
        <v>0</v>
      </c>
      <c r="J43" s="276">
        <f>SUMIFS('Bilateral Assistance, MAIN DATA'!S:S,'Bilateral Assistance, MAIN DATA'!B:B,'Comm per Month (Mil in-kind)'!B43,'Bilateral Assistance, MAIN DATA'!AG:AG,1,'Bilateral Assistance, MAIN DATA'!AH:AH,'Comm per Month (Mil in-kind)'!$J$11, 'Bilateral Assistance, MAIN DATA'!AS:AS,1)/1000000000</f>
        <v>0</v>
      </c>
      <c r="K43" s="276">
        <f>SUMIFS('Bilateral Assistance, MAIN DATA'!S:S,'Bilateral Assistance, MAIN DATA'!B:B,'Comm per Month (Mil in-kind)'!B43,'Bilateral Assistance, MAIN DATA'!AG:AG,1,'Bilateral Assistance, MAIN DATA'!AH:AH,'Comm per Month (Mil in-kind)'!$K$11, 'Bilateral Assistance, MAIN DATA'!AS:AS,1)/1000000000</f>
        <v>0</v>
      </c>
      <c r="L43" s="276">
        <f>SUMIFS('Bilateral Assistance, MAIN DATA'!S:S,'Bilateral Assistance, MAIN DATA'!B:B,'Comm per Month (Mil in-kind)'!B43,'Bilateral Assistance, MAIN DATA'!AG:AG,1,'Bilateral Assistance, MAIN DATA'!AH:AH,'Comm per Month (Mil in-kind)'!$L$11, 'Bilateral Assistance, MAIN DATA'!AS:AS,1)/1000000000</f>
        <v>0</v>
      </c>
      <c r="M43" s="277">
        <f>SUMIFS('Bilateral Assistance, MAIN DATA'!S:S,'Bilateral Assistance, MAIN DATA'!B:B,'Comm per Month (Mil in-kind)'!B43,'Bilateral Assistance, MAIN DATA'!AG:AG,1,'Bilateral Assistance, MAIN DATA'!AH:AH,'Comm per Month (Mil in-kind)'!$M$11, 'Bilateral Assistance, MAIN DATA'!AS:AS,1)/1000000000</f>
        <v>0</v>
      </c>
      <c r="N43" s="239">
        <f>SUMIFS('Bilateral Assistance, MAIN DATA'!S:S,'Bilateral Assistance, MAIN DATA'!B:B,'Comm per Month (Mil in-kind)'!B43,'Bilateral Assistance, MAIN DATA'!AG:AG,1,'Bilateral Assistance, MAIN DATA'!AH:AH,'Comm per Month (Mil in-kind)'!$N$11, 'Bilateral Assistance, MAIN DATA'!AS:AS,1)/1000000000</f>
        <v>0</v>
      </c>
      <c r="O43" s="277">
        <f>SUMIFS('Bilateral Assistance, MAIN DATA'!S:S,'Bilateral Assistance, MAIN DATA'!B:B,'Comm per Month (Mil in-kind)'!B43,'Bilateral Assistance, MAIN DATA'!AG:AG,1,'Bilateral Assistance, MAIN DATA'!AH:AH,'Comm per Month (Mil in-kind)'!$O$11, 'Bilateral Assistance, MAIN DATA'!AS:AS,1)/1000000000</f>
        <v>0</v>
      </c>
      <c r="P43" s="277">
        <f>SUMIFS('Bilateral Assistance, MAIN DATA'!S:S,'Bilateral Assistance, MAIN DATA'!B:B,'Comm per Month (Mil in-kind)'!B43,'Bilateral Assistance, MAIN DATA'!AG:AG,1,'Bilateral Assistance, MAIN DATA'!AH:AH,'Comm per Month (Mil in-kind)'!$P$11, 'Bilateral Assistance, MAIN DATA'!AS:AS,1)/1000000000</f>
        <v>0</v>
      </c>
      <c r="Q43" s="277">
        <f>SUMIFS('Bilateral Assistance, MAIN DATA'!S:S,'Bilateral Assistance, MAIN DATA'!B:B,'Comm per Month (Mil in-kind)'!B43,'Bilateral Assistance, MAIN DATA'!AG:AG,1,'Bilateral Assistance, MAIN DATA'!AH:AH,'Comm per Month (Mil in-kind)'!$Q$11, 'Bilateral Assistance, MAIN DATA'!AS:AS,1)/1000000000</f>
        <v>0</v>
      </c>
      <c r="R43" s="277">
        <f>SUMIFS('Bilateral Assistance, MAIN DATA'!$S:$S,'Bilateral Assistance, MAIN DATA'!$B:$B,'Comm per Month (Mil in-kind)'!$B43,'Bilateral Assistance, MAIN DATA'!$AG:$AG,1,'Bilateral Assistance, MAIN DATA'!$AH:$AH,'Comm per Month (Mil in-kind)'!$R$11, 'Bilateral Assistance, MAIN DATA'!$AS:$AS,1)/1000000000</f>
        <v>0</v>
      </c>
      <c r="S43" s="277">
        <f>SUMIFS('Bilateral Assistance, MAIN DATA'!$S:$S,'Bilateral Assistance, MAIN DATA'!$B:$B,'Comm per Month (Mil in-kind)'!$B43,'Bilateral Assistance, MAIN DATA'!$AG:$AG,1,'Bilateral Assistance, MAIN DATA'!$AH:$AH,'Comm per Month (Mil in-kind)'!$S$11, 'Bilateral Assistance, MAIN DATA'!$AS:$AS,1)/1000000000</f>
        <v>0</v>
      </c>
      <c r="T43" s="277">
        <f>SUMIFS('Bilateral Assistance, MAIN DATA'!$S:$S,'Bilateral Assistance, MAIN DATA'!$B:$B,'Comm per Month (Mil in-kind)'!$B43,'Bilateral Assistance, MAIN DATA'!$AG:$AG,1,'Bilateral Assistance, MAIN DATA'!$AH:$AH,'Comm per Month (Mil in-kind)'!$T$11, 'Bilateral Assistance, MAIN DATA'!$AS:$AS,1)/1000000000</f>
        <v>0</v>
      </c>
      <c r="U43" s="277">
        <f>SUMIFS('Bilateral Assistance, MAIN DATA'!$S:$S,'Bilateral Assistance, MAIN DATA'!$B:$B,'Comm per Month (Mil in-kind)'!$B43,'Bilateral Assistance, MAIN DATA'!$AG:$AG,1,'Bilateral Assistance, MAIN DATA'!$AH:$AH,'Comm per Month (Mil in-kind)'!$U$11, 'Bilateral Assistance, MAIN DATA'!$AS:$AS,1)/1000000000</f>
        <v>0</v>
      </c>
      <c r="V43" s="277">
        <f t="shared" si="0"/>
        <v>3.0000000000000001E-3</v>
      </c>
      <c r="W43" s="277">
        <f>SUMIFS('Bilateral Assistance, MAIN DATA'!S:S,'Bilateral Assistance, MAIN DATA'!B:B,'Comm per Month (Mil in-kind)'!B43,'Bilateral Assistance, MAIN DATA'!AG:AG,0,'Bilateral Assistance, MAIN DATA'!AS:AS,1)/1000000000</f>
        <v>0</v>
      </c>
    </row>
    <row r="44" spans="1:23" ht="15.95" customHeight="1">
      <c r="B44" s="24" t="s">
        <v>3261</v>
      </c>
      <c r="C44" s="297">
        <v>1</v>
      </c>
      <c r="D44" s="297">
        <v>0</v>
      </c>
      <c r="E44" s="276">
        <f>SUMIFS('Bilateral Assistance, MAIN DATA'!S:S,'Bilateral Assistance, MAIN DATA'!B:B,'Comm per Month (Mil in-kind)'!B44,'Bilateral Assistance, MAIN DATA'!AG:AG,1,'Bilateral Assistance, MAIN DATA'!AH:AH,'Comm per Month (Mil in-kind)'!$E$11, 'Bilateral Assistance, MAIN DATA'!AS:AS,1)/1000000000</f>
        <v>0</v>
      </c>
      <c r="F44" s="276">
        <f>SUMIFS('Bilateral Assistance, MAIN DATA'!S:S,'Bilateral Assistance, MAIN DATA'!B:B,'Comm per Month (Mil in-kind)'!B44,'Bilateral Assistance, MAIN DATA'!AG:AG,1,'Bilateral Assistance, MAIN DATA'!AH:AH,'Comm per Month (Mil in-kind)'!$F$11, 'Bilateral Assistance, MAIN DATA'!AS:AS,1)/1000000000</f>
        <v>1.72E-2</v>
      </c>
      <c r="G44" s="276">
        <f>SUMIFS('Bilateral Assistance, MAIN DATA'!S:S,'Bilateral Assistance, MAIN DATA'!B:B,'Comm per Month (Mil in-kind)'!B44,'Bilateral Assistance, MAIN DATA'!AG:AG,1,'Bilateral Assistance, MAIN DATA'!AH:AH,'Comm per Month (Mil in-kind)'!$G$11, 'Bilateral Assistance, MAIN DATA'!AS:AS,1)/1000000000</f>
        <v>3.2199999999999999E-2</v>
      </c>
      <c r="H44" s="276">
        <f>SUMIFS('Bilateral Assistance, MAIN DATA'!S:S,'Bilateral Assistance, MAIN DATA'!B:B,'Comm per Month (Mil in-kind)'!B44,'Bilateral Assistance, MAIN DATA'!AG:AG,1,'Bilateral Assistance, MAIN DATA'!AH:AH,'Comm per Month (Mil in-kind)'!$H$11, 'Bilateral Assistance, MAIN DATA'!AS:AS,1)/1000000000</f>
        <v>6.8000000000000005E-2</v>
      </c>
      <c r="I44" s="276">
        <f>SUMIFS('Bilateral Assistance, MAIN DATA'!S:S,'Bilateral Assistance, MAIN DATA'!B:B,'Comm per Month (Mil in-kind)'!B44,'Bilateral Assistance, MAIN DATA'!AG:AG,1,'Bilateral Assistance, MAIN DATA'!AH:AH,'Comm per Month (Mil in-kind)'!$I$11, 'Bilateral Assistance, MAIN DATA'!AS:AS,1)/1000000000</f>
        <v>0</v>
      </c>
      <c r="J44" s="276">
        <f>SUMIFS('Bilateral Assistance, MAIN DATA'!S:S,'Bilateral Assistance, MAIN DATA'!B:B,'Comm per Month (Mil in-kind)'!B44,'Bilateral Assistance, MAIN DATA'!AG:AG,1,'Bilateral Assistance, MAIN DATA'!AH:AH,'Comm per Month (Mil in-kind)'!$J$11, 'Bilateral Assistance, MAIN DATA'!AS:AS,1)/1000000000</f>
        <v>7.0160103054839898E-2</v>
      </c>
      <c r="K44" s="276">
        <f>SUMIFS('Bilateral Assistance, MAIN DATA'!S:S,'Bilateral Assistance, MAIN DATA'!B:B,'Comm per Month (Mil in-kind)'!B44,'Bilateral Assistance, MAIN DATA'!AG:AG,1,'Bilateral Assistance, MAIN DATA'!AH:AH,'Comm per Month (Mil in-kind)'!$K$11, 'Bilateral Assistance, MAIN DATA'!AS:AS,1)/1000000000</f>
        <v>0</v>
      </c>
      <c r="L44" s="276">
        <f>SUMIFS('Bilateral Assistance, MAIN DATA'!S:S,'Bilateral Assistance, MAIN DATA'!B:B,'Comm per Month (Mil in-kind)'!B44,'Bilateral Assistance, MAIN DATA'!AG:AG,1,'Bilateral Assistance, MAIN DATA'!AH:AH,'Comm per Month (Mil in-kind)'!$L$11, 'Bilateral Assistance, MAIN DATA'!AS:AS,1)/1000000000</f>
        <v>1.5500805944055946E-2</v>
      </c>
      <c r="M44" s="277">
        <f>SUMIFS('Bilateral Assistance, MAIN DATA'!S:S,'Bilateral Assistance, MAIN DATA'!B:B,'Comm per Month (Mil in-kind)'!B44,'Bilateral Assistance, MAIN DATA'!AG:AG,1,'Bilateral Assistance, MAIN DATA'!AH:AH,'Comm per Month (Mil in-kind)'!$M$11, 'Bilateral Assistance, MAIN DATA'!AS:AS,1)/1000000000</f>
        <v>0</v>
      </c>
      <c r="N44" s="239">
        <f>SUMIFS('Bilateral Assistance, MAIN DATA'!S:S,'Bilateral Assistance, MAIN DATA'!B:B,'Comm per Month (Mil in-kind)'!B44,'Bilateral Assistance, MAIN DATA'!AG:AG,1,'Bilateral Assistance, MAIN DATA'!AH:AH,'Comm per Month (Mil in-kind)'!$N$11, 'Bilateral Assistance, MAIN DATA'!AS:AS,1)/1000000000</f>
        <v>0</v>
      </c>
      <c r="O44" s="277">
        <f>SUMIFS('Bilateral Assistance, MAIN DATA'!S:S,'Bilateral Assistance, MAIN DATA'!B:B,'Comm per Month (Mil in-kind)'!B44,'Bilateral Assistance, MAIN DATA'!AG:AG,1,'Bilateral Assistance, MAIN DATA'!AH:AH,'Comm per Month (Mil in-kind)'!$O$11, 'Bilateral Assistance, MAIN DATA'!AS:AS,1)/1000000000</f>
        <v>0</v>
      </c>
      <c r="P44" s="277">
        <f>SUMIFS('Bilateral Assistance, MAIN DATA'!S:S,'Bilateral Assistance, MAIN DATA'!B:B,'Comm per Month (Mil in-kind)'!B44,'Bilateral Assistance, MAIN DATA'!AG:AG,1,'Bilateral Assistance, MAIN DATA'!AH:AH,'Comm per Month (Mil in-kind)'!$P$11, 'Bilateral Assistance, MAIN DATA'!AS:AS,1)/1000000000</f>
        <v>8.9999999999999993E-3</v>
      </c>
      <c r="Q44" s="277">
        <f>SUMIFS('Bilateral Assistance, MAIN DATA'!S:S,'Bilateral Assistance, MAIN DATA'!B:B,'Comm per Month (Mil in-kind)'!B44,'Bilateral Assistance, MAIN DATA'!AG:AG,1,'Bilateral Assistance, MAIN DATA'!AH:AH,'Comm per Month (Mil in-kind)'!$Q$11, 'Bilateral Assistance, MAIN DATA'!AS:AS,1)/1000000000</f>
        <v>0</v>
      </c>
      <c r="R44" s="277">
        <f>SUMIFS('Bilateral Assistance, MAIN DATA'!$S:$S,'Bilateral Assistance, MAIN DATA'!$B:$B,'Comm per Month (Mil in-kind)'!$B44,'Bilateral Assistance, MAIN DATA'!$AG:$AG,1,'Bilateral Assistance, MAIN DATA'!$AH:$AH,'Comm per Month (Mil in-kind)'!$R$11, 'Bilateral Assistance, MAIN DATA'!$AS:$AS,1)/1000000000</f>
        <v>4.4999999999999997E-3</v>
      </c>
      <c r="S44" s="277">
        <f>SUMIFS('Bilateral Assistance, MAIN DATA'!$S:$S,'Bilateral Assistance, MAIN DATA'!$B:$B,'Comm per Month (Mil in-kind)'!$B44,'Bilateral Assistance, MAIN DATA'!$AG:$AG,1,'Bilateral Assistance, MAIN DATA'!$AH:$AH,'Comm per Month (Mil in-kind)'!$S$11, 'Bilateral Assistance, MAIN DATA'!$AS:$AS,1)/1000000000</f>
        <v>0.18954729481045271</v>
      </c>
      <c r="T44" s="277">
        <f>SUMIFS('Bilateral Assistance, MAIN DATA'!$S:$S,'Bilateral Assistance, MAIN DATA'!$B:$B,'Comm per Month (Mil in-kind)'!$B44,'Bilateral Assistance, MAIN DATA'!$AG:$AG,1,'Bilateral Assistance, MAIN DATA'!$AH:$AH,'Comm per Month (Mil in-kind)'!$T$11, 'Bilateral Assistance, MAIN DATA'!$AS:$AS,1)/1000000000</f>
        <v>0.26189179600000001</v>
      </c>
      <c r="U44" s="277">
        <f>SUMIFS('Bilateral Assistance, MAIN DATA'!$S:$S,'Bilateral Assistance, MAIN DATA'!$B:$B,'Comm per Month (Mil in-kind)'!$B44,'Bilateral Assistance, MAIN DATA'!$AG:$AG,1,'Bilateral Assistance, MAIN DATA'!$AH:$AH,'Comm per Month (Mil in-kind)'!$U$11, 'Bilateral Assistance, MAIN DATA'!$AS:$AS,1)/1000000000</f>
        <v>0</v>
      </c>
      <c r="V44" s="277">
        <f t="shared" si="0"/>
        <v>0.66799999980934854</v>
      </c>
      <c r="W44" s="277">
        <f>SUMIFS('Bilateral Assistance, MAIN DATA'!S:S,'Bilateral Assistance, MAIN DATA'!B:B,'Comm per Month (Mil in-kind)'!B44,'Bilateral Assistance, MAIN DATA'!AG:AG,0,'Bilateral Assistance, MAIN DATA'!AS:AS,1)/1000000000</f>
        <v>0</v>
      </c>
    </row>
    <row r="45" spans="1:23" ht="15.95" customHeight="1">
      <c r="B45" s="24" t="s">
        <v>3337</v>
      </c>
      <c r="C45" s="297">
        <v>1</v>
      </c>
      <c r="D45" s="297">
        <v>0</v>
      </c>
      <c r="E45" s="276">
        <f>SUMIFS('Bilateral Assistance, MAIN DATA'!S:S,'Bilateral Assistance, MAIN DATA'!B:B,'Comm per Month (Mil in-kind)'!B45,'Bilateral Assistance, MAIN DATA'!AG:AG,1,'Bilateral Assistance, MAIN DATA'!AH:AH,'Comm per Month (Mil in-kind)'!$E$11, 'Bilateral Assistance, MAIN DATA'!AS:AS,1)/1000000000</f>
        <v>0</v>
      </c>
      <c r="F45" s="276">
        <f>SUMIFS('Bilateral Assistance, MAIN DATA'!S:S,'Bilateral Assistance, MAIN DATA'!B:B,'Comm per Month (Mil in-kind)'!B45,'Bilateral Assistance, MAIN DATA'!AG:AG,1,'Bilateral Assistance, MAIN DATA'!AH:AH,'Comm per Month (Mil in-kind)'!$F$11, 'Bilateral Assistance, MAIN DATA'!AS:AS,1)/1000000000</f>
        <v>0</v>
      </c>
      <c r="G45" s="276">
        <f>SUMIFS('Bilateral Assistance, MAIN DATA'!S:S,'Bilateral Assistance, MAIN DATA'!B:B,'Comm per Month (Mil in-kind)'!B45,'Bilateral Assistance, MAIN DATA'!AG:AG,1,'Bilateral Assistance, MAIN DATA'!AH:AH,'Comm per Month (Mil in-kind)'!$G$11, 'Bilateral Assistance, MAIN DATA'!AS:AS,1)/1000000000</f>
        <v>0</v>
      </c>
      <c r="H45" s="276">
        <f>SUMIFS('Bilateral Assistance, MAIN DATA'!S:S,'Bilateral Assistance, MAIN DATA'!B:B,'Comm per Month (Mil in-kind)'!B45,'Bilateral Assistance, MAIN DATA'!AG:AG,1,'Bilateral Assistance, MAIN DATA'!AH:AH,'Comm per Month (Mil in-kind)'!$H$11, 'Bilateral Assistance, MAIN DATA'!AS:AS,1)/1000000000</f>
        <v>0</v>
      </c>
      <c r="I45" s="276">
        <f>SUMIFS('Bilateral Assistance, MAIN DATA'!S:S,'Bilateral Assistance, MAIN DATA'!B:B,'Comm per Month (Mil in-kind)'!B45,'Bilateral Assistance, MAIN DATA'!AG:AG,1,'Bilateral Assistance, MAIN DATA'!AH:AH,'Comm per Month (Mil in-kind)'!$I$11, 'Bilateral Assistance, MAIN DATA'!AS:AS,1)/1000000000</f>
        <v>0</v>
      </c>
      <c r="J45" s="276">
        <f>SUMIFS('Bilateral Assistance, MAIN DATA'!S:S,'Bilateral Assistance, MAIN DATA'!B:B,'Comm per Month (Mil in-kind)'!B45,'Bilateral Assistance, MAIN DATA'!AG:AG,1,'Bilateral Assistance, MAIN DATA'!AH:AH,'Comm per Month (Mil in-kind)'!$J$11, 'Bilateral Assistance, MAIN DATA'!AS:AS,1)/1000000000</f>
        <v>2.2834211494295181E-2</v>
      </c>
      <c r="K45" s="276">
        <f>SUMIFS('Bilateral Assistance, MAIN DATA'!S:S,'Bilateral Assistance, MAIN DATA'!B:B,'Comm per Month (Mil in-kind)'!B45,'Bilateral Assistance, MAIN DATA'!AG:AG,1,'Bilateral Assistance, MAIN DATA'!AH:AH,'Comm per Month (Mil in-kind)'!$K$11, 'Bilateral Assistance, MAIN DATA'!AS:AS,1)/1000000000</f>
        <v>0</v>
      </c>
      <c r="L45" s="276">
        <f>SUMIFS('Bilateral Assistance, MAIN DATA'!S:S,'Bilateral Assistance, MAIN DATA'!B:B,'Comm per Month (Mil in-kind)'!B45,'Bilateral Assistance, MAIN DATA'!AG:AG,1,'Bilateral Assistance, MAIN DATA'!AH:AH,'Comm per Month (Mil in-kind)'!$L$11, 'Bilateral Assistance, MAIN DATA'!AS:AS,1)/1000000000</f>
        <v>0</v>
      </c>
      <c r="M45" s="277">
        <f>SUMIFS('Bilateral Assistance, MAIN DATA'!S:S,'Bilateral Assistance, MAIN DATA'!B:B,'Comm per Month (Mil in-kind)'!B45,'Bilateral Assistance, MAIN DATA'!AG:AG,1,'Bilateral Assistance, MAIN DATA'!AH:AH,'Comm per Month (Mil in-kind)'!$M$11, 'Bilateral Assistance, MAIN DATA'!AS:AS,1)/1000000000</f>
        <v>2.7115759999999999E-2</v>
      </c>
      <c r="N45" s="239">
        <f>SUMIFS('Bilateral Assistance, MAIN DATA'!S:S,'Bilateral Assistance, MAIN DATA'!B:B,'Comm per Month (Mil in-kind)'!B45,'Bilateral Assistance, MAIN DATA'!AG:AG,1,'Bilateral Assistance, MAIN DATA'!AH:AH,'Comm per Month (Mil in-kind)'!$N$11, 'Bilateral Assistance, MAIN DATA'!AS:AS,1)/1000000000</f>
        <v>0</v>
      </c>
      <c r="O45" s="277">
        <f>SUMIFS('Bilateral Assistance, MAIN DATA'!S:S,'Bilateral Assistance, MAIN DATA'!B:B,'Comm per Month (Mil in-kind)'!B45,'Bilateral Assistance, MAIN DATA'!AG:AG,1,'Bilateral Assistance, MAIN DATA'!AH:AH,'Comm per Month (Mil in-kind)'!$O$11, 'Bilateral Assistance, MAIN DATA'!AS:AS,1)/1000000000</f>
        <v>0</v>
      </c>
      <c r="P45" s="277">
        <f>SUMIFS('Bilateral Assistance, MAIN DATA'!S:S,'Bilateral Assistance, MAIN DATA'!B:B,'Comm per Month (Mil in-kind)'!B45,'Bilateral Assistance, MAIN DATA'!AG:AG,1,'Bilateral Assistance, MAIN DATA'!AH:AH,'Comm per Month (Mil in-kind)'!$P$11, 'Bilateral Assistance, MAIN DATA'!AS:AS,1)/1000000000</f>
        <v>0</v>
      </c>
      <c r="Q45" s="277">
        <f>SUMIFS('Bilateral Assistance, MAIN DATA'!S:S,'Bilateral Assistance, MAIN DATA'!B:B,'Comm per Month (Mil in-kind)'!B45,'Bilateral Assistance, MAIN DATA'!AG:AG,1,'Bilateral Assistance, MAIN DATA'!AH:AH,'Comm per Month (Mil in-kind)'!$Q$11, 'Bilateral Assistance, MAIN DATA'!AS:AS,1)/1000000000</f>
        <v>0</v>
      </c>
      <c r="R45" s="277">
        <f>SUMIFS('Bilateral Assistance, MAIN DATA'!$S:$S,'Bilateral Assistance, MAIN DATA'!$B:$B,'Comm per Month (Mil in-kind)'!$B45,'Bilateral Assistance, MAIN DATA'!$AG:$AG,1,'Bilateral Assistance, MAIN DATA'!$AH:$AH,'Comm per Month (Mil in-kind)'!$R$11, 'Bilateral Assistance, MAIN DATA'!$AS:$AS,1)/1000000000</f>
        <v>0</v>
      </c>
      <c r="S45" s="277">
        <f>SUMIFS('Bilateral Assistance, MAIN DATA'!$S:$S,'Bilateral Assistance, MAIN DATA'!$B:$B,'Comm per Month (Mil in-kind)'!$B45,'Bilateral Assistance, MAIN DATA'!$AG:$AG,1,'Bilateral Assistance, MAIN DATA'!$AH:$AH,'Comm per Month (Mil in-kind)'!$S$11, 'Bilateral Assistance, MAIN DATA'!$AS:$AS,1)/1000000000</f>
        <v>0</v>
      </c>
      <c r="T45" s="277">
        <f>SUMIFS('Bilateral Assistance, MAIN DATA'!$S:$S,'Bilateral Assistance, MAIN DATA'!$B:$B,'Comm per Month (Mil in-kind)'!$B45,'Bilateral Assistance, MAIN DATA'!$AG:$AG,1,'Bilateral Assistance, MAIN DATA'!$AH:$AH,'Comm per Month (Mil in-kind)'!$T$11, 'Bilateral Assistance, MAIN DATA'!$AS:$AS,1)/1000000000</f>
        <v>0</v>
      </c>
      <c r="U45" s="277">
        <f>SUMIFS('Bilateral Assistance, MAIN DATA'!$S:$S,'Bilateral Assistance, MAIN DATA'!$B:$B,'Comm per Month (Mil in-kind)'!$B45,'Bilateral Assistance, MAIN DATA'!$AG:$AG,1,'Bilateral Assistance, MAIN DATA'!$AH:$AH,'Comm per Month (Mil in-kind)'!$U$11, 'Bilateral Assistance, MAIN DATA'!$AS:$AS,1)/1000000000</f>
        <v>0</v>
      </c>
      <c r="V45" s="277">
        <f t="shared" si="0"/>
        <v>4.9949971494295184E-2</v>
      </c>
      <c r="W45" s="277">
        <f>SUMIFS('Bilateral Assistance, MAIN DATA'!S:S,'Bilateral Assistance, MAIN DATA'!B:B,'Comm per Month (Mil in-kind)'!B45,'Bilateral Assistance, MAIN DATA'!AG:AG,0,'Bilateral Assistance, MAIN DATA'!AS:AS,1)/1000000000</f>
        <v>6.4409274935590729E-3</v>
      </c>
    </row>
    <row r="46" spans="1:23" ht="15.95" customHeight="1">
      <c r="B46" s="24" t="s">
        <v>3412</v>
      </c>
      <c r="C46" s="297">
        <v>1</v>
      </c>
      <c r="D46" s="297">
        <v>0</v>
      </c>
      <c r="E46" s="276">
        <f>SUMIFS('Bilateral Assistance, MAIN DATA'!S:S,'Bilateral Assistance, MAIN DATA'!B:B,'Comm per Month (Mil in-kind)'!B46,'Bilateral Assistance, MAIN DATA'!AG:AG,1,'Bilateral Assistance, MAIN DATA'!AH:AH,'Comm per Month (Mil in-kind)'!$E$11, 'Bilateral Assistance, MAIN DATA'!AS:AS,1)/1000000000</f>
        <v>0</v>
      </c>
      <c r="F46" s="276">
        <f>SUMIFS('Bilateral Assistance, MAIN DATA'!S:S,'Bilateral Assistance, MAIN DATA'!B:B,'Comm per Month (Mil in-kind)'!B46,'Bilateral Assistance, MAIN DATA'!AG:AG,1,'Bilateral Assistance, MAIN DATA'!AH:AH,'Comm per Month (Mil in-kind)'!$F$11, 'Bilateral Assistance, MAIN DATA'!AS:AS,1)/1000000000</f>
        <v>0</v>
      </c>
      <c r="G46" s="276">
        <f>SUMIFS('Bilateral Assistance, MAIN DATA'!S:S,'Bilateral Assistance, MAIN DATA'!B:B,'Comm per Month (Mil in-kind)'!B46,'Bilateral Assistance, MAIN DATA'!AG:AG,1,'Bilateral Assistance, MAIN DATA'!AH:AH,'Comm per Month (Mil in-kind)'!$G$11, 'Bilateral Assistance, MAIN DATA'!AS:AS,1)/1000000000</f>
        <v>2.6351674641148324E-2</v>
      </c>
      <c r="H46" s="276">
        <f>SUMIFS('Bilateral Assistance, MAIN DATA'!S:S,'Bilateral Assistance, MAIN DATA'!B:B,'Comm per Month (Mil in-kind)'!B46,'Bilateral Assistance, MAIN DATA'!AG:AG,1,'Bilateral Assistance, MAIN DATA'!AH:AH,'Comm per Month (Mil in-kind)'!$H$11, 'Bilateral Assistance, MAIN DATA'!AS:AS,1)/1000000000</f>
        <v>2.4139308060360694E-2</v>
      </c>
      <c r="I46" s="276">
        <f>SUMIFS('Bilateral Assistance, MAIN DATA'!S:S,'Bilateral Assistance, MAIN DATA'!B:B,'Comm per Month (Mil in-kind)'!B46,'Bilateral Assistance, MAIN DATA'!AG:AG,1,'Bilateral Assistance, MAIN DATA'!AH:AH,'Comm per Month (Mil in-kind)'!$I$11, 'Bilateral Assistance, MAIN DATA'!AS:AS,1)/1000000000</f>
        <v>0</v>
      </c>
      <c r="J46" s="276">
        <f>SUMIFS('Bilateral Assistance, MAIN DATA'!S:S,'Bilateral Assistance, MAIN DATA'!B:B,'Comm per Month (Mil in-kind)'!B46,'Bilateral Assistance, MAIN DATA'!AG:AG,1,'Bilateral Assistance, MAIN DATA'!AH:AH,'Comm per Month (Mil in-kind)'!$J$11, 'Bilateral Assistance, MAIN DATA'!AS:AS,1)/1000000000</f>
        <v>0</v>
      </c>
      <c r="K46" s="276">
        <f>SUMIFS('Bilateral Assistance, MAIN DATA'!S:S,'Bilateral Assistance, MAIN DATA'!B:B,'Comm per Month (Mil in-kind)'!B46,'Bilateral Assistance, MAIN DATA'!AG:AG,1,'Bilateral Assistance, MAIN DATA'!AH:AH,'Comm per Month (Mil in-kind)'!$K$11, 'Bilateral Assistance, MAIN DATA'!AS:AS,1)/1000000000</f>
        <v>5.5207949944792055E-3</v>
      </c>
      <c r="L46" s="276">
        <f>SUMIFS('Bilateral Assistance, MAIN DATA'!S:S,'Bilateral Assistance, MAIN DATA'!B:B,'Comm per Month (Mil in-kind)'!B46,'Bilateral Assistance, MAIN DATA'!AG:AG,1,'Bilateral Assistance, MAIN DATA'!AH:AH,'Comm per Month (Mil in-kind)'!$L$11, 'Bilateral Assistance, MAIN DATA'!AS:AS,1)/1000000000</f>
        <v>9.8099247770515909E-3</v>
      </c>
      <c r="M46" s="277">
        <f>SUMIFS('Bilateral Assistance, MAIN DATA'!S:S,'Bilateral Assistance, MAIN DATA'!B:B,'Comm per Month (Mil in-kind)'!B46,'Bilateral Assistance, MAIN DATA'!AG:AG,1,'Bilateral Assistance, MAIN DATA'!AH:AH,'Comm per Month (Mil in-kind)'!$M$11, 'Bilateral Assistance, MAIN DATA'!AS:AS,1)/1000000000</f>
        <v>0</v>
      </c>
      <c r="N46" s="239">
        <f>SUMIFS('Bilateral Assistance, MAIN DATA'!S:S,'Bilateral Assistance, MAIN DATA'!B:B,'Comm per Month (Mil in-kind)'!B46,'Bilateral Assistance, MAIN DATA'!AG:AG,1,'Bilateral Assistance, MAIN DATA'!AH:AH,'Comm per Month (Mil in-kind)'!$N$11, 'Bilateral Assistance, MAIN DATA'!AS:AS,1)/1000000000</f>
        <v>6.9883226814257279E-2</v>
      </c>
      <c r="O46" s="277">
        <f>SUMIFS('Bilateral Assistance, MAIN DATA'!S:S,'Bilateral Assistance, MAIN DATA'!B:B,'Comm per Month (Mil in-kind)'!B46,'Bilateral Assistance, MAIN DATA'!AG:AG,1,'Bilateral Assistance, MAIN DATA'!AH:AH,'Comm per Month (Mil in-kind)'!$O$11, 'Bilateral Assistance, MAIN DATA'!AS:AS,1)/1000000000</f>
        <v>8.2186075836890721E-3</v>
      </c>
      <c r="P46" s="277">
        <f>SUMIFS('Bilateral Assistance, MAIN DATA'!S:S,'Bilateral Assistance, MAIN DATA'!B:B,'Comm per Month (Mil in-kind)'!B46,'Bilateral Assistance, MAIN DATA'!AG:AG,1,'Bilateral Assistance, MAIN DATA'!AH:AH,'Comm per Month (Mil in-kind)'!$P$11, 'Bilateral Assistance, MAIN DATA'!AS:AS,1)/1000000000</f>
        <v>0</v>
      </c>
      <c r="Q46" s="277">
        <f>SUMIFS('Bilateral Assistance, MAIN DATA'!S:S,'Bilateral Assistance, MAIN DATA'!B:B,'Comm per Month (Mil in-kind)'!B46,'Bilateral Assistance, MAIN DATA'!AG:AG,1,'Bilateral Assistance, MAIN DATA'!AH:AH,'Comm per Month (Mil in-kind)'!$Q$11, 'Bilateral Assistance, MAIN DATA'!AS:AS,1)/1000000000</f>
        <v>1.9673108497876911E-2</v>
      </c>
      <c r="R46" s="277">
        <f>SUMIFS('Bilateral Assistance, MAIN DATA'!$S:$S,'Bilateral Assistance, MAIN DATA'!$B:$B,'Comm per Month (Mil in-kind)'!$B46,'Bilateral Assistance, MAIN DATA'!$AG:$AG,1,'Bilateral Assistance, MAIN DATA'!$AH:$AH,'Comm per Month (Mil in-kind)'!$R$11, 'Bilateral Assistance, MAIN DATA'!$AS:$AS,1)/1000000000</f>
        <v>5.5207949944792055E-3</v>
      </c>
      <c r="S46" s="277">
        <f>SUMIFS('Bilateral Assistance, MAIN DATA'!$S:$S,'Bilateral Assistance, MAIN DATA'!$B:$B,'Comm per Month (Mil in-kind)'!$B46,'Bilateral Assistance, MAIN DATA'!$AG:$AG,1,'Bilateral Assistance, MAIN DATA'!$AH:$AH,'Comm per Month (Mil in-kind)'!$S$11, 'Bilateral Assistance, MAIN DATA'!$AS:$AS,1)/1000000000</f>
        <v>0</v>
      </c>
      <c r="T46" s="277">
        <f>SUMIFS('Bilateral Assistance, MAIN DATA'!$S:$S,'Bilateral Assistance, MAIN DATA'!$B:$B,'Comm per Month (Mil in-kind)'!$B46,'Bilateral Assistance, MAIN DATA'!$AG:$AG,1,'Bilateral Assistance, MAIN DATA'!$AH:$AH,'Comm per Month (Mil in-kind)'!$T$11, 'Bilateral Assistance, MAIN DATA'!$AS:$AS,1)/1000000000</f>
        <v>0</v>
      </c>
      <c r="U46" s="277">
        <f>SUMIFS('Bilateral Assistance, MAIN DATA'!$S:$S,'Bilateral Assistance, MAIN DATA'!$B:$B,'Comm per Month (Mil in-kind)'!$B46,'Bilateral Assistance, MAIN DATA'!$AG:$AG,1,'Bilateral Assistance, MAIN DATA'!$AH:$AH,'Comm per Month (Mil in-kind)'!$U$11, 'Bilateral Assistance, MAIN DATA'!$AS:$AS,1)/1000000000</f>
        <v>0</v>
      </c>
      <c r="V46" s="277">
        <f t="shared" si="0"/>
        <v>0.16911744036334231</v>
      </c>
      <c r="W46" s="277">
        <f>SUMIFS('Bilateral Assistance, MAIN DATA'!S:S,'Bilateral Assistance, MAIN DATA'!B:B,'Comm per Month (Mil in-kind)'!B46,'Bilateral Assistance, MAIN DATA'!AG:AG,0,'Bilateral Assistance, MAIN DATA'!AS:AS,1)/1000000000</f>
        <v>0.15925911629849099</v>
      </c>
    </row>
    <row r="47" spans="1:23" ht="15.95" customHeight="1">
      <c r="B47" s="24" t="s">
        <v>3548</v>
      </c>
      <c r="C47" s="297">
        <v>1</v>
      </c>
      <c r="D47" s="297">
        <v>0</v>
      </c>
      <c r="E47" s="276">
        <f>SUMIFS('Bilateral Assistance, MAIN DATA'!S:S,'Bilateral Assistance, MAIN DATA'!B:B,'Comm per Month (Mil in-kind)'!B47,'Bilateral Assistance, MAIN DATA'!AG:AG,1,'Bilateral Assistance, MAIN DATA'!AH:AH,'Comm per Month (Mil in-kind)'!$E$11, 'Bilateral Assistance, MAIN DATA'!AS:AS,1)/1000000000</f>
        <v>0</v>
      </c>
      <c r="F47" s="276">
        <f>SUMIFS('Bilateral Assistance, MAIN DATA'!S:S,'Bilateral Assistance, MAIN DATA'!B:B,'Comm per Month (Mil in-kind)'!B47,'Bilateral Assistance, MAIN DATA'!AG:AG,1,'Bilateral Assistance, MAIN DATA'!AH:AH,'Comm per Month (Mil in-kind)'!$F$11, 'Bilateral Assistance, MAIN DATA'!AS:AS,1)/1000000000</f>
        <v>3.5181227297114259E-2</v>
      </c>
      <c r="G47" s="276">
        <f>SUMIFS('Bilateral Assistance, MAIN DATA'!S:S,'Bilateral Assistance, MAIN DATA'!B:B,'Comm per Month (Mil in-kind)'!B47,'Bilateral Assistance, MAIN DATA'!AG:AG,1,'Bilateral Assistance, MAIN DATA'!AH:AH,'Comm per Month (Mil in-kind)'!$G$11, 'Bilateral Assistance, MAIN DATA'!AS:AS,1)/1000000000</f>
        <v>0</v>
      </c>
      <c r="H47" s="276">
        <f>SUMIFS('Bilateral Assistance, MAIN DATA'!S:S,'Bilateral Assistance, MAIN DATA'!B:B,'Comm per Month (Mil in-kind)'!B47,'Bilateral Assistance, MAIN DATA'!AG:AG,1,'Bilateral Assistance, MAIN DATA'!AH:AH,'Comm per Month (Mil in-kind)'!$H$11, 'Bilateral Assistance, MAIN DATA'!AS:AS,1)/1000000000</f>
        <v>0</v>
      </c>
      <c r="I47" s="276">
        <f>SUMIFS('Bilateral Assistance, MAIN DATA'!S:S,'Bilateral Assistance, MAIN DATA'!B:B,'Comm per Month (Mil in-kind)'!B47,'Bilateral Assistance, MAIN DATA'!AG:AG,1,'Bilateral Assistance, MAIN DATA'!AH:AH,'Comm per Month (Mil in-kind)'!$I$11, 'Bilateral Assistance, MAIN DATA'!AS:AS,1)/1000000000</f>
        <v>0</v>
      </c>
      <c r="J47" s="276">
        <f>SUMIFS('Bilateral Assistance, MAIN DATA'!S:S,'Bilateral Assistance, MAIN DATA'!B:B,'Comm per Month (Mil in-kind)'!B47,'Bilateral Assistance, MAIN DATA'!AG:AG,1,'Bilateral Assistance, MAIN DATA'!AH:AH,'Comm per Month (Mil in-kind)'!$J$11, 'Bilateral Assistance, MAIN DATA'!AS:AS,1)/1000000000</f>
        <v>2.3043703879609842E-2</v>
      </c>
      <c r="K47" s="276">
        <f>SUMIFS('Bilateral Assistance, MAIN DATA'!S:S,'Bilateral Assistance, MAIN DATA'!B:B,'Comm per Month (Mil in-kind)'!B47,'Bilateral Assistance, MAIN DATA'!AG:AG,1,'Bilateral Assistance, MAIN DATA'!AH:AH,'Comm per Month (Mil in-kind)'!$K$11, 'Bilateral Assistance, MAIN DATA'!AS:AS,1)/1000000000</f>
        <v>0</v>
      </c>
      <c r="L47" s="276">
        <f>SUMIFS('Bilateral Assistance, MAIN DATA'!S:S,'Bilateral Assistance, MAIN DATA'!B:B,'Comm per Month (Mil in-kind)'!B47,'Bilateral Assistance, MAIN DATA'!AG:AG,1,'Bilateral Assistance, MAIN DATA'!AH:AH,'Comm per Month (Mil in-kind)'!$L$11, 'Bilateral Assistance, MAIN DATA'!AS:AS,1)/1000000000</f>
        <v>4.3976534121392824E-2</v>
      </c>
      <c r="M47" s="277">
        <f>SUMIFS('Bilateral Assistance, MAIN DATA'!S:S,'Bilateral Assistance, MAIN DATA'!B:B,'Comm per Month (Mil in-kind)'!B47,'Bilateral Assistance, MAIN DATA'!AG:AG,1,'Bilateral Assistance, MAIN DATA'!AH:AH,'Comm per Month (Mil in-kind)'!$M$11, 'Bilateral Assistance, MAIN DATA'!AS:AS,1)/1000000000</f>
        <v>0</v>
      </c>
      <c r="N47" s="239">
        <f>SUMIFS('Bilateral Assistance, MAIN DATA'!S:S,'Bilateral Assistance, MAIN DATA'!B:B,'Comm per Month (Mil in-kind)'!B47,'Bilateral Assistance, MAIN DATA'!AG:AG,1,'Bilateral Assistance, MAIN DATA'!AH:AH,'Comm per Month (Mil in-kind)'!$N$11, 'Bilateral Assistance, MAIN DATA'!AS:AS,1)/1000000000</f>
        <v>0</v>
      </c>
      <c r="O47" s="277">
        <f>SUMIFS('Bilateral Assistance, MAIN DATA'!S:S,'Bilateral Assistance, MAIN DATA'!B:B,'Comm per Month (Mil in-kind)'!B47,'Bilateral Assistance, MAIN DATA'!AG:AG,1,'Bilateral Assistance, MAIN DATA'!AH:AH,'Comm per Month (Mil in-kind)'!$O$11, 'Bilateral Assistance, MAIN DATA'!AS:AS,1)/1000000000</f>
        <v>0.26385920472835694</v>
      </c>
      <c r="P47" s="277">
        <f>SUMIFS('Bilateral Assistance, MAIN DATA'!S:S,'Bilateral Assistance, MAIN DATA'!B:B,'Comm per Month (Mil in-kind)'!B47,'Bilateral Assistance, MAIN DATA'!AG:AG,1,'Bilateral Assistance, MAIN DATA'!AH:AH,'Comm per Month (Mil in-kind)'!$P$11, 'Bilateral Assistance, MAIN DATA'!AS:AS,1)/1000000000</f>
        <v>0</v>
      </c>
      <c r="Q47" s="277">
        <f>SUMIFS('Bilateral Assistance, MAIN DATA'!S:S,'Bilateral Assistance, MAIN DATA'!B:B,'Comm per Month (Mil in-kind)'!B47,'Bilateral Assistance, MAIN DATA'!AG:AG,1,'Bilateral Assistance, MAIN DATA'!AH:AH,'Comm per Month (Mil in-kind)'!$Q$11, 'Bilateral Assistance, MAIN DATA'!AS:AS,1)/1000000000</f>
        <v>0.37819819344397831</v>
      </c>
      <c r="R47" s="277">
        <f>SUMIFS('Bilateral Assistance, MAIN DATA'!$S:$S,'Bilateral Assistance, MAIN DATA'!$B:$B,'Comm per Month (Mil in-kind)'!$B47,'Bilateral Assistance, MAIN DATA'!$AG:$AG,1,'Bilateral Assistance, MAIN DATA'!$AH:$AH,'Comm per Month (Mil in-kind)'!$R$11, 'Bilateral Assistance, MAIN DATA'!$AS:$AS,1)/1000000000</f>
        <v>0</v>
      </c>
      <c r="S47" s="277">
        <f>SUMIFS('Bilateral Assistance, MAIN DATA'!$S:$S,'Bilateral Assistance, MAIN DATA'!$B:$B,'Comm per Month (Mil in-kind)'!$B47,'Bilateral Assistance, MAIN DATA'!$AG:$AG,1,'Bilateral Assistance, MAIN DATA'!$AH:$AH,'Comm per Month (Mil in-kind)'!$S$11, 'Bilateral Assistance, MAIN DATA'!$AS:$AS,1)/1000000000</f>
        <v>0</v>
      </c>
      <c r="T47" s="277">
        <f>SUMIFS('Bilateral Assistance, MAIN DATA'!$S:$S,'Bilateral Assistance, MAIN DATA'!$B:$B,'Comm per Month (Mil in-kind)'!$B47,'Bilateral Assistance, MAIN DATA'!$AG:$AG,1,'Bilateral Assistance, MAIN DATA'!$AH:$AH,'Comm per Month (Mil in-kind)'!$T$11, 'Bilateral Assistance, MAIN DATA'!$AS:$AS,1)/1000000000</f>
        <v>0</v>
      </c>
      <c r="U47" s="277">
        <f>SUMIFS('Bilateral Assistance, MAIN DATA'!$S:$S,'Bilateral Assistance, MAIN DATA'!$B:$B,'Comm per Month (Mil in-kind)'!$B47,'Bilateral Assistance, MAIN DATA'!$AG:$AG,1,'Bilateral Assistance, MAIN DATA'!$AH:$AH,'Comm per Month (Mil in-kind)'!$U$11, 'Bilateral Assistance, MAIN DATA'!$AS:$AS,1)/1000000000</f>
        <v>0.59144040739861214</v>
      </c>
      <c r="V47" s="277">
        <f t="shared" si="0"/>
        <v>1.3356992708690643</v>
      </c>
      <c r="W47" s="277">
        <f>SUMIFS('Bilateral Assistance, MAIN DATA'!S:S,'Bilateral Assistance, MAIN DATA'!B:B,'Comm per Month (Mil in-kind)'!B47,'Bilateral Assistance, MAIN DATA'!AG:AG,0,'Bilateral Assistance, MAIN DATA'!AS:AS,1)/1000000000</f>
        <v>0</v>
      </c>
    </row>
    <row r="48" spans="1:23" ht="15.95" customHeight="1">
      <c r="B48" s="2" t="s">
        <v>3649</v>
      </c>
      <c r="C48" s="297">
        <v>0</v>
      </c>
      <c r="D48" s="297">
        <v>0</v>
      </c>
      <c r="E48" s="276">
        <f>SUMIFS('Bilateral Assistance, MAIN DATA'!S:S,'Bilateral Assistance, MAIN DATA'!B:B,'Comm per Month (Mil in-kind)'!B48,'Bilateral Assistance, MAIN DATA'!AG:AG,1,'Bilateral Assistance, MAIN DATA'!AH:AH,'Comm per Month (Mil in-kind)'!$E$11, 'Bilateral Assistance, MAIN DATA'!AS:AS,1)/1000000000</f>
        <v>0</v>
      </c>
      <c r="F48" s="276">
        <f>SUMIFS('Bilateral Assistance, MAIN DATA'!S:S,'Bilateral Assistance, MAIN DATA'!B:B,'Comm per Month (Mil in-kind)'!B48,'Bilateral Assistance, MAIN DATA'!AG:AG,1,'Bilateral Assistance, MAIN DATA'!AH:AH,'Comm per Month (Mil in-kind)'!$F$11, 'Bilateral Assistance, MAIN DATA'!AS:AS,1)/1000000000</f>
        <v>0</v>
      </c>
      <c r="G48" s="276">
        <f>SUMIFS('Bilateral Assistance, MAIN DATA'!S:S,'Bilateral Assistance, MAIN DATA'!B:B,'Comm per Month (Mil in-kind)'!B48,'Bilateral Assistance, MAIN DATA'!AG:AG,1,'Bilateral Assistance, MAIN DATA'!AH:AH,'Comm per Month (Mil in-kind)'!$G$11, 'Bilateral Assistance, MAIN DATA'!AS:AS,1)/1000000000</f>
        <v>0</v>
      </c>
      <c r="H48" s="276">
        <f>SUMIFS('Bilateral Assistance, MAIN DATA'!S:S,'Bilateral Assistance, MAIN DATA'!B:B,'Comm per Month (Mil in-kind)'!B48,'Bilateral Assistance, MAIN DATA'!AG:AG,1,'Bilateral Assistance, MAIN DATA'!AH:AH,'Comm per Month (Mil in-kind)'!$H$11, 'Bilateral Assistance, MAIN DATA'!AS:AS,1)/1000000000</f>
        <v>0</v>
      </c>
      <c r="I48" s="276">
        <f>SUMIFS('Bilateral Assistance, MAIN DATA'!S:S,'Bilateral Assistance, MAIN DATA'!B:B,'Comm per Month (Mil in-kind)'!B48,'Bilateral Assistance, MAIN DATA'!AG:AG,1,'Bilateral Assistance, MAIN DATA'!AH:AH,'Comm per Month (Mil in-kind)'!$I$11, 'Bilateral Assistance, MAIN DATA'!AS:AS,1)/1000000000</f>
        <v>0</v>
      </c>
      <c r="J48" s="276">
        <f>SUMIFS('Bilateral Assistance, MAIN DATA'!S:S,'Bilateral Assistance, MAIN DATA'!B:B,'Comm per Month (Mil in-kind)'!B48,'Bilateral Assistance, MAIN DATA'!AG:AG,1,'Bilateral Assistance, MAIN DATA'!AH:AH,'Comm per Month (Mil in-kind)'!$J$11, 'Bilateral Assistance, MAIN DATA'!AS:AS,1)/1000000000</f>
        <v>0</v>
      </c>
      <c r="K48" s="276">
        <f>SUMIFS('Bilateral Assistance, MAIN DATA'!S:S,'Bilateral Assistance, MAIN DATA'!B:B,'Comm per Month (Mil in-kind)'!B48,'Bilateral Assistance, MAIN DATA'!AG:AG,1,'Bilateral Assistance, MAIN DATA'!AH:AH,'Comm per Month (Mil in-kind)'!$K$11, 'Bilateral Assistance, MAIN DATA'!AS:AS,1)/1000000000</f>
        <v>0</v>
      </c>
      <c r="L48" s="276">
        <f>SUMIFS('Bilateral Assistance, MAIN DATA'!S:S,'Bilateral Assistance, MAIN DATA'!B:B,'Comm per Month (Mil in-kind)'!B48,'Bilateral Assistance, MAIN DATA'!AG:AG,1,'Bilateral Assistance, MAIN DATA'!AH:AH,'Comm per Month (Mil in-kind)'!$L$11, 'Bilateral Assistance, MAIN DATA'!AS:AS,1)/1000000000</f>
        <v>0</v>
      </c>
      <c r="M48" s="277">
        <f>SUMIFS('Bilateral Assistance, MAIN DATA'!S:S,'Bilateral Assistance, MAIN DATA'!B:B,'Comm per Month (Mil in-kind)'!B48,'Bilateral Assistance, MAIN DATA'!AG:AG,1,'Bilateral Assistance, MAIN DATA'!AH:AH,'Comm per Month (Mil in-kind)'!$M$11, 'Bilateral Assistance, MAIN DATA'!AS:AS,1)/1000000000</f>
        <v>0</v>
      </c>
      <c r="N48" s="239">
        <f>SUMIFS('Bilateral Assistance, MAIN DATA'!S:S,'Bilateral Assistance, MAIN DATA'!B:B,'Comm per Month (Mil in-kind)'!B48,'Bilateral Assistance, MAIN DATA'!AG:AG,1,'Bilateral Assistance, MAIN DATA'!AH:AH,'Comm per Month (Mil in-kind)'!$N$11, 'Bilateral Assistance, MAIN DATA'!AS:AS,1)/1000000000</f>
        <v>0</v>
      </c>
      <c r="O48" s="277">
        <f>SUMIFS('Bilateral Assistance, MAIN DATA'!S:S,'Bilateral Assistance, MAIN DATA'!B:B,'Comm per Month (Mil in-kind)'!B48,'Bilateral Assistance, MAIN DATA'!AG:AG,1,'Bilateral Assistance, MAIN DATA'!AH:AH,'Comm per Month (Mil in-kind)'!$O$11, 'Bilateral Assistance, MAIN DATA'!AS:AS,1)/1000000000</f>
        <v>0</v>
      </c>
      <c r="P48" s="277">
        <f>SUMIFS('Bilateral Assistance, MAIN DATA'!S:S,'Bilateral Assistance, MAIN DATA'!B:B,'Comm per Month (Mil in-kind)'!B48,'Bilateral Assistance, MAIN DATA'!AG:AG,1,'Bilateral Assistance, MAIN DATA'!AH:AH,'Comm per Month (Mil in-kind)'!$P$11, 'Bilateral Assistance, MAIN DATA'!AS:AS,1)/1000000000</f>
        <v>0</v>
      </c>
      <c r="Q48" s="277">
        <f>SUMIFS('Bilateral Assistance, MAIN DATA'!S:S,'Bilateral Assistance, MAIN DATA'!B:B,'Comm per Month (Mil in-kind)'!B48,'Bilateral Assistance, MAIN DATA'!AG:AG,1,'Bilateral Assistance, MAIN DATA'!AH:AH,'Comm per Month (Mil in-kind)'!$Q$11, 'Bilateral Assistance, MAIN DATA'!AS:AS,1)/1000000000</f>
        <v>0</v>
      </c>
      <c r="R48" s="277">
        <f>SUMIFS('Bilateral Assistance, MAIN DATA'!$S:$S,'Bilateral Assistance, MAIN DATA'!$B:$B,'Comm per Month (Mil in-kind)'!$B48,'Bilateral Assistance, MAIN DATA'!$AG:$AG,1,'Bilateral Assistance, MAIN DATA'!$AH:$AH,'Comm per Month (Mil in-kind)'!$R$11, 'Bilateral Assistance, MAIN DATA'!$AS:$AS,1)/1000000000</f>
        <v>0</v>
      </c>
      <c r="S48" s="277">
        <f>SUMIFS('Bilateral Assistance, MAIN DATA'!$S:$S,'Bilateral Assistance, MAIN DATA'!$B:$B,'Comm per Month (Mil in-kind)'!$B48,'Bilateral Assistance, MAIN DATA'!$AG:$AG,1,'Bilateral Assistance, MAIN DATA'!$AH:$AH,'Comm per Month (Mil in-kind)'!$S$11, 'Bilateral Assistance, MAIN DATA'!$AS:$AS,1)/1000000000</f>
        <v>0</v>
      </c>
      <c r="T48" s="277">
        <f>SUMIFS('Bilateral Assistance, MAIN DATA'!$S:$S,'Bilateral Assistance, MAIN DATA'!$B:$B,'Comm per Month (Mil in-kind)'!$B48,'Bilateral Assistance, MAIN DATA'!$AG:$AG,1,'Bilateral Assistance, MAIN DATA'!$AH:$AH,'Comm per Month (Mil in-kind)'!$T$11, 'Bilateral Assistance, MAIN DATA'!$AS:$AS,1)/1000000000</f>
        <v>0</v>
      </c>
      <c r="U48" s="277">
        <f>SUMIFS('Bilateral Assistance, MAIN DATA'!$S:$S,'Bilateral Assistance, MAIN DATA'!$B:$B,'Comm per Month (Mil in-kind)'!$B48,'Bilateral Assistance, MAIN DATA'!$AG:$AG,1,'Bilateral Assistance, MAIN DATA'!$AH:$AH,'Comm per Month (Mil in-kind)'!$U$11, 'Bilateral Assistance, MAIN DATA'!$AS:$AS,1)/1000000000</f>
        <v>0</v>
      </c>
      <c r="V48" s="277">
        <f t="shared" si="0"/>
        <v>0</v>
      </c>
      <c r="W48" s="277">
        <f>SUMIFS('Bilateral Assistance, MAIN DATA'!S:S,'Bilateral Assistance, MAIN DATA'!B:B,'Comm per Month (Mil in-kind)'!B48,'Bilateral Assistance, MAIN DATA'!AG:AG,0,'Bilateral Assistance, MAIN DATA'!AS:AS,1)/1000000000</f>
        <v>0</v>
      </c>
    </row>
    <row r="49" spans="1:25" ht="15.95" customHeight="1">
      <c r="B49" s="2" t="s">
        <v>3685</v>
      </c>
      <c r="C49" s="297">
        <v>0</v>
      </c>
      <c r="D49" s="297">
        <v>1</v>
      </c>
      <c r="E49" s="276">
        <f>SUMIFS('Bilateral Assistance, MAIN DATA'!S:S,'Bilateral Assistance, MAIN DATA'!B:B,'Comm per Month (Mil in-kind)'!B49,'Bilateral Assistance, MAIN DATA'!AG:AG,1,'Bilateral Assistance, MAIN DATA'!AH:AH,'Comm per Month (Mil in-kind)'!$E$11, 'Bilateral Assistance, MAIN DATA'!AS:AS,1)/1000000000</f>
        <v>0</v>
      </c>
      <c r="F49" s="276">
        <f>SUMIFS('Bilateral Assistance, MAIN DATA'!S:S,'Bilateral Assistance, MAIN DATA'!B:B,'Comm per Month (Mil in-kind)'!B49,'Bilateral Assistance, MAIN DATA'!AG:AG,1,'Bilateral Assistance, MAIN DATA'!AH:AH,'Comm per Month (Mil in-kind)'!$F$11, 'Bilateral Assistance, MAIN DATA'!AS:AS,1)/1000000000</f>
        <v>0</v>
      </c>
      <c r="G49" s="276">
        <f>SUMIFS('Bilateral Assistance, MAIN DATA'!S:S,'Bilateral Assistance, MAIN DATA'!B:B,'Comm per Month (Mil in-kind)'!B49,'Bilateral Assistance, MAIN DATA'!AG:AG,1,'Bilateral Assistance, MAIN DATA'!AH:AH,'Comm per Month (Mil in-kind)'!$G$11, 'Bilateral Assistance, MAIN DATA'!AS:AS,1)/1000000000</f>
        <v>0</v>
      </c>
      <c r="H49" s="276">
        <f>SUMIFS('Bilateral Assistance, MAIN DATA'!S:S,'Bilateral Assistance, MAIN DATA'!B:B,'Comm per Month (Mil in-kind)'!B49,'Bilateral Assistance, MAIN DATA'!AG:AG,1,'Bilateral Assistance, MAIN DATA'!AH:AH,'Comm per Month (Mil in-kind)'!$H$11, 'Bilateral Assistance, MAIN DATA'!AS:AS,1)/1000000000</f>
        <v>0</v>
      </c>
      <c r="I49" s="276">
        <f>SUMIFS('Bilateral Assistance, MAIN DATA'!S:S,'Bilateral Assistance, MAIN DATA'!B:B,'Comm per Month (Mil in-kind)'!B49,'Bilateral Assistance, MAIN DATA'!AG:AG,1,'Bilateral Assistance, MAIN DATA'!AH:AH,'Comm per Month (Mil in-kind)'!$I$11, 'Bilateral Assistance, MAIN DATA'!AS:AS,1)/1000000000</f>
        <v>0</v>
      </c>
      <c r="J49" s="276">
        <f>SUMIFS('Bilateral Assistance, MAIN DATA'!S:S,'Bilateral Assistance, MAIN DATA'!B:B,'Comm per Month (Mil in-kind)'!B49,'Bilateral Assistance, MAIN DATA'!AG:AG,1,'Bilateral Assistance, MAIN DATA'!AH:AH,'Comm per Month (Mil in-kind)'!$J$11, 'Bilateral Assistance, MAIN DATA'!AS:AS,1)/1000000000</f>
        <v>0</v>
      </c>
      <c r="K49" s="276">
        <f>SUMIFS('Bilateral Assistance, MAIN DATA'!S:S,'Bilateral Assistance, MAIN DATA'!B:B,'Comm per Month (Mil in-kind)'!B49,'Bilateral Assistance, MAIN DATA'!AG:AG,1,'Bilateral Assistance, MAIN DATA'!AH:AH,'Comm per Month (Mil in-kind)'!$K$11, 'Bilateral Assistance, MAIN DATA'!AS:AS,1)/1000000000</f>
        <v>0</v>
      </c>
      <c r="L49" s="276">
        <f>SUMIFS('Bilateral Assistance, MAIN DATA'!S:S,'Bilateral Assistance, MAIN DATA'!B:B,'Comm per Month (Mil in-kind)'!B49,'Bilateral Assistance, MAIN DATA'!AG:AG,1,'Bilateral Assistance, MAIN DATA'!AH:AH,'Comm per Month (Mil in-kind)'!$L$11, 'Bilateral Assistance, MAIN DATA'!AS:AS,1)/1000000000</f>
        <v>6.1735369893264627E-2</v>
      </c>
      <c r="M49" s="277">
        <f>SUMIFS('Bilateral Assistance, MAIN DATA'!S:S,'Bilateral Assistance, MAIN DATA'!B:B,'Comm per Month (Mil in-kind)'!B49,'Bilateral Assistance, MAIN DATA'!AG:AG,1,'Bilateral Assistance, MAIN DATA'!AH:AH,'Comm per Month (Mil in-kind)'!$M$11, 'Bilateral Assistance, MAIN DATA'!AS:AS,1)/1000000000</f>
        <v>0</v>
      </c>
      <c r="N49" s="239">
        <f>SUMIFS('Bilateral Assistance, MAIN DATA'!S:S,'Bilateral Assistance, MAIN DATA'!B:B,'Comm per Month (Mil in-kind)'!B49,'Bilateral Assistance, MAIN DATA'!AG:AG,1,'Bilateral Assistance, MAIN DATA'!AH:AH,'Comm per Month (Mil in-kind)'!$N$11, 'Bilateral Assistance, MAIN DATA'!AS:AS,1)/1000000000</f>
        <v>0</v>
      </c>
      <c r="O49" s="277">
        <f>SUMIFS('Bilateral Assistance, MAIN DATA'!S:S,'Bilateral Assistance, MAIN DATA'!B:B,'Comm per Month (Mil in-kind)'!B49,'Bilateral Assistance, MAIN DATA'!AG:AG,1,'Bilateral Assistance, MAIN DATA'!AH:AH,'Comm per Month (Mil in-kind)'!$O$11, 'Bilateral Assistance, MAIN DATA'!AS:AS,1)/1000000000</f>
        <v>0</v>
      </c>
      <c r="P49" s="277">
        <f>SUMIFS('Bilateral Assistance, MAIN DATA'!S:S,'Bilateral Assistance, MAIN DATA'!B:B,'Comm per Month (Mil in-kind)'!B49,'Bilateral Assistance, MAIN DATA'!AG:AG,1,'Bilateral Assistance, MAIN DATA'!AH:AH,'Comm per Month (Mil in-kind)'!$P$11, 'Bilateral Assistance, MAIN DATA'!AS:AS,1)/1000000000</f>
        <v>0</v>
      </c>
      <c r="Q49" s="277">
        <f>SUMIFS('Bilateral Assistance, MAIN DATA'!S:S,'Bilateral Assistance, MAIN DATA'!B:B,'Comm per Month (Mil in-kind)'!B49,'Bilateral Assistance, MAIN DATA'!AG:AG,1,'Bilateral Assistance, MAIN DATA'!AH:AH,'Comm per Month (Mil in-kind)'!$Q$11, 'Bilateral Assistance, MAIN DATA'!AS:AS,1)/1000000000</f>
        <v>0</v>
      </c>
      <c r="R49" s="277">
        <f>SUMIFS('Bilateral Assistance, MAIN DATA'!$S:$S,'Bilateral Assistance, MAIN DATA'!$B:$B,'Comm per Month (Mil in-kind)'!$B49,'Bilateral Assistance, MAIN DATA'!$AG:$AG,1,'Bilateral Assistance, MAIN DATA'!$AH:$AH,'Comm per Month (Mil in-kind)'!$R$11, 'Bilateral Assistance, MAIN DATA'!$AS:$AS,1)/1000000000</f>
        <v>0</v>
      </c>
      <c r="S49" s="277">
        <f>SUMIFS('Bilateral Assistance, MAIN DATA'!$S:$S,'Bilateral Assistance, MAIN DATA'!$B:$B,'Comm per Month (Mil in-kind)'!$B49,'Bilateral Assistance, MAIN DATA'!$AG:$AG,1,'Bilateral Assistance, MAIN DATA'!$AH:$AH,'Comm per Month (Mil in-kind)'!$S$11, 'Bilateral Assistance, MAIN DATA'!$AS:$AS,1)/1000000000</f>
        <v>0</v>
      </c>
      <c r="T49" s="277">
        <f>SUMIFS('Bilateral Assistance, MAIN DATA'!$S:$S,'Bilateral Assistance, MAIN DATA'!$B:$B,'Comm per Month (Mil in-kind)'!$B49,'Bilateral Assistance, MAIN DATA'!$AG:$AG,1,'Bilateral Assistance, MAIN DATA'!$AH:$AH,'Comm per Month (Mil in-kind)'!$T$11, 'Bilateral Assistance, MAIN DATA'!$AS:$AS,1)/1000000000</f>
        <v>0</v>
      </c>
      <c r="U49" s="277">
        <f>SUMIFS('Bilateral Assistance, MAIN DATA'!$S:$S,'Bilateral Assistance, MAIN DATA'!$B:$B,'Comm per Month (Mil in-kind)'!$B49,'Bilateral Assistance, MAIN DATA'!$AG:$AG,1,'Bilateral Assistance, MAIN DATA'!$AH:$AH,'Comm per Month (Mil in-kind)'!$U$11, 'Bilateral Assistance, MAIN DATA'!$AS:$AS,1)/1000000000</f>
        <v>0</v>
      </c>
      <c r="V49" s="277">
        <f t="shared" si="0"/>
        <v>6.1735369893264627E-2</v>
      </c>
      <c r="W49" s="277">
        <f>SUMIFS('Bilateral Assistance, MAIN DATA'!S:S,'Bilateral Assistance, MAIN DATA'!B:B,'Comm per Month (Mil in-kind)'!B49,'Bilateral Assistance, MAIN DATA'!AG:AG,0,'Bilateral Assistance, MAIN DATA'!AS:AS,1)/1000000000</f>
        <v>0</v>
      </c>
    </row>
    <row r="50" spans="1:25" ht="15.95" customHeight="1">
      <c r="B50" s="24" t="s">
        <v>3748</v>
      </c>
      <c r="C50" s="297">
        <v>0</v>
      </c>
      <c r="D50" s="297">
        <v>1</v>
      </c>
      <c r="E50" s="276">
        <f>SUMIFS('Bilateral Assistance, MAIN DATA'!S:S,'Bilateral Assistance, MAIN DATA'!B:B,'Comm per Month (Mil in-kind)'!B50,'Bilateral Assistance, MAIN DATA'!AG:AG,1,'Bilateral Assistance, MAIN DATA'!AH:AH,'Comm per Month (Mil in-kind)'!$E$11, 'Bilateral Assistance, MAIN DATA'!AS:AS,1)/1000000000</f>
        <v>0</v>
      </c>
      <c r="F50" s="276">
        <f>SUMIFS('Bilateral Assistance, MAIN DATA'!S:S,'Bilateral Assistance, MAIN DATA'!B:B,'Comm per Month (Mil in-kind)'!B50,'Bilateral Assistance, MAIN DATA'!AG:AG,1,'Bilateral Assistance, MAIN DATA'!AH:AH,'Comm per Month (Mil in-kind)'!$F$11, 'Bilateral Assistance, MAIN DATA'!AS:AS,1)/1000000000</f>
        <v>7.3610599926389395E-2</v>
      </c>
      <c r="G50" s="276">
        <f>SUMIFS('Bilateral Assistance, MAIN DATA'!S:S,'Bilateral Assistance, MAIN DATA'!B:B,'Comm per Month (Mil in-kind)'!B50,'Bilateral Assistance, MAIN DATA'!AG:AG,1,'Bilateral Assistance, MAIN DATA'!AH:AH,'Comm per Month (Mil in-kind)'!$G$11, 'Bilateral Assistance, MAIN DATA'!AS:AS,1)/1000000000</f>
        <v>0.65752668384247326</v>
      </c>
      <c r="H50" s="276">
        <f>SUMIFS('Bilateral Assistance, MAIN DATA'!S:S,'Bilateral Assistance, MAIN DATA'!B:B,'Comm per Month (Mil in-kind)'!B50,'Bilateral Assistance, MAIN DATA'!AG:AG,1,'Bilateral Assistance, MAIN DATA'!AH:AH,'Comm per Month (Mil in-kind)'!$H$11, 'Bilateral Assistance, MAIN DATA'!AS:AS,1)/1000000000</f>
        <v>0.17334741149979294</v>
      </c>
      <c r="I50" s="276">
        <f>SUMIFS('Bilateral Assistance, MAIN DATA'!S:S,'Bilateral Assistance, MAIN DATA'!B:B,'Comm per Month (Mil in-kind)'!B50,'Bilateral Assistance, MAIN DATA'!AG:AG,1,'Bilateral Assistance, MAIN DATA'!AH:AH,'Comm per Month (Mil in-kind)'!$I$11, 'Bilateral Assistance, MAIN DATA'!AS:AS,1)/1000000000</f>
        <v>1.4936545091904998</v>
      </c>
      <c r="J50" s="276">
        <f>SUMIFS('Bilateral Assistance, MAIN DATA'!S:S,'Bilateral Assistance, MAIN DATA'!B:B,'Comm per Month (Mil in-kind)'!B50,'Bilateral Assistance, MAIN DATA'!AG:AG,1,'Bilateral Assistance, MAIN DATA'!AH:AH,'Comm per Month (Mil in-kind)'!$J$11, 'Bilateral Assistance, MAIN DATA'!AS:AS,1)/1000000000</f>
        <v>1.1488970588235294</v>
      </c>
      <c r="K50" s="276">
        <f>SUMIFS('Bilateral Assistance, MAIN DATA'!S:S,'Bilateral Assistance, MAIN DATA'!B:B,'Comm per Month (Mil in-kind)'!B50,'Bilateral Assistance, MAIN DATA'!AG:AG,1,'Bilateral Assistance, MAIN DATA'!AH:AH,'Comm per Month (Mil in-kind)'!$K$11, 'Bilateral Assistance, MAIN DATA'!AS:AS,1)/1000000000</f>
        <v>0</v>
      </c>
      <c r="L50" s="276">
        <f>SUMIFS('Bilateral Assistance, MAIN DATA'!S:S,'Bilateral Assistance, MAIN DATA'!B:B,'Comm per Month (Mil in-kind)'!B50,'Bilateral Assistance, MAIN DATA'!AG:AG,1,'Bilateral Assistance, MAIN DATA'!AH:AH,'Comm per Month (Mil in-kind)'!$L$11, 'Bilateral Assistance, MAIN DATA'!AS:AS,1)/1000000000</f>
        <v>0</v>
      </c>
      <c r="M50" s="277">
        <f>SUMIFS('Bilateral Assistance, MAIN DATA'!S:S,'Bilateral Assistance, MAIN DATA'!B:B,'Comm per Month (Mil in-kind)'!B50,'Bilateral Assistance, MAIN DATA'!AG:AG,1,'Bilateral Assistance, MAIN DATA'!AH:AH,'Comm per Month (Mil in-kind)'!$M$11, 'Bilateral Assistance, MAIN DATA'!AS:AS,1)/1000000000</f>
        <v>0</v>
      </c>
      <c r="N50" s="239">
        <f>SUMIFS('Bilateral Assistance, MAIN DATA'!S:S,'Bilateral Assistance, MAIN DATA'!B:B,'Comm per Month (Mil in-kind)'!B50,'Bilateral Assistance, MAIN DATA'!AG:AG,1,'Bilateral Assistance, MAIN DATA'!AH:AH,'Comm per Month (Mil in-kind)'!$N$11, 'Bilateral Assistance, MAIN DATA'!AS:AS,1)/1000000000</f>
        <v>0.30207129128687032</v>
      </c>
      <c r="O50" s="277">
        <f>SUMIFS('Bilateral Assistance, MAIN DATA'!S:S,'Bilateral Assistance, MAIN DATA'!B:B,'Comm per Month (Mil in-kind)'!B50,'Bilateral Assistance, MAIN DATA'!AG:AG,1,'Bilateral Assistance, MAIN DATA'!AH:AH,'Comm per Month (Mil in-kind)'!$O$11, 'Bilateral Assistance, MAIN DATA'!AS:AS,1)/1000000000</f>
        <v>8.7104935431055006E-2</v>
      </c>
      <c r="P50" s="277">
        <f>SUMIFS('Bilateral Assistance, MAIN DATA'!S:S,'Bilateral Assistance, MAIN DATA'!B:B,'Comm per Month (Mil in-kind)'!B50,'Bilateral Assistance, MAIN DATA'!AG:AG,1,'Bilateral Assistance, MAIN DATA'!AH:AH,'Comm per Month (Mil in-kind)'!$P$11, 'Bilateral Assistance, MAIN DATA'!AS:AS,1)/1000000000</f>
        <v>0</v>
      </c>
      <c r="Q50" s="277">
        <f>SUMIFS('Bilateral Assistance, MAIN DATA'!S:S,'Bilateral Assistance, MAIN DATA'!B:B,'Comm per Month (Mil in-kind)'!B50,'Bilateral Assistance, MAIN DATA'!AG:AG,1,'Bilateral Assistance, MAIN DATA'!AH:AH,'Comm per Month (Mil in-kind)'!$Q$11, 'Bilateral Assistance, MAIN DATA'!AS:AS,1)/1000000000</f>
        <v>2.6424632352941178</v>
      </c>
      <c r="R50" s="277">
        <f>SUMIFS('Bilateral Assistance, MAIN DATA'!$S:$S,'Bilateral Assistance, MAIN DATA'!$B:$B,'Comm per Month (Mil in-kind)'!$B50,'Bilateral Assistance, MAIN DATA'!$AG:$AG,1,'Bilateral Assistance, MAIN DATA'!$AH:$AH,'Comm per Month (Mil in-kind)'!$R$11, 'Bilateral Assistance, MAIN DATA'!$AS:$AS,1)/1000000000</f>
        <v>0</v>
      </c>
      <c r="S50" s="277">
        <f>SUMIFS('Bilateral Assistance, MAIN DATA'!$S:$S,'Bilateral Assistance, MAIN DATA'!$B:$B,'Comm per Month (Mil in-kind)'!$B50,'Bilateral Assistance, MAIN DATA'!$AG:$AG,1,'Bilateral Assistance, MAIN DATA'!$AH:$AH,'Comm per Month (Mil in-kind)'!$S$11, 'Bilateral Assistance, MAIN DATA'!$AS:$AS,1)/1000000000</f>
        <v>0</v>
      </c>
      <c r="T50" s="277">
        <f>SUMIFS('Bilateral Assistance, MAIN DATA'!$S:$S,'Bilateral Assistance, MAIN DATA'!$B:$B,'Comm per Month (Mil in-kind)'!$B50,'Bilateral Assistance, MAIN DATA'!$AG:$AG,1,'Bilateral Assistance, MAIN DATA'!$AH:$AH,'Comm per Month (Mil in-kind)'!$T$11, 'Bilateral Assistance, MAIN DATA'!$AS:$AS,1)/1000000000</f>
        <v>0</v>
      </c>
      <c r="U50" s="277">
        <f>SUMIFS('Bilateral Assistance, MAIN DATA'!$S:$S,'Bilateral Assistance, MAIN DATA'!$B:$B,'Comm per Month (Mil in-kind)'!$B50,'Bilateral Assistance, MAIN DATA'!$AG:$AG,1,'Bilateral Assistance, MAIN DATA'!$AH:$AH,'Comm per Month (Mil in-kind)'!$U$11, 'Bilateral Assistance, MAIN DATA'!$AS:$AS,1)/1000000000</f>
        <v>0</v>
      </c>
      <c r="V50" s="277">
        <f t="shared" si="0"/>
        <v>6.5786757252947279</v>
      </c>
      <c r="W50" s="277">
        <f>SUMIFS('Bilateral Assistance, MAIN DATA'!S:S,'Bilateral Assistance, MAIN DATA'!B:B,'Comm per Month (Mil in-kind)'!B50,'Bilateral Assistance, MAIN DATA'!AG:AG,0,'Bilateral Assistance, MAIN DATA'!AS:AS,1)/1000000000</f>
        <v>0</v>
      </c>
    </row>
    <row r="51" spans="1:25" ht="15.95" customHeight="1">
      <c r="B51" s="24" t="s">
        <v>3949</v>
      </c>
      <c r="C51" s="297">
        <v>0</v>
      </c>
      <c r="D51" s="297">
        <v>1</v>
      </c>
      <c r="E51" s="276">
        <f>SUMIFS('Bilateral Assistance, MAIN DATA'!S:S,'Bilateral Assistance, MAIN DATA'!B:B,'Comm per Month (Mil in-kind)'!B51,'Bilateral Assistance, MAIN DATA'!AG:AG,1,'Bilateral Assistance, MAIN DATA'!AH:AH,'Comm per Month (Mil in-kind)'!$E$11, 'Bilateral Assistance, MAIN DATA'!AS:AS,1)/1000000000</f>
        <v>0</v>
      </c>
      <c r="F51" s="276">
        <f>SUMIFS('Bilateral Assistance, MAIN DATA'!S:S,'Bilateral Assistance, MAIN DATA'!B:B,'Comm per Month (Mil in-kind)'!B51,'Bilateral Assistance, MAIN DATA'!AG:AG,1,'Bilateral Assistance, MAIN DATA'!AH:AH,'Comm per Month (Mil in-kind)'!$F$11, 'Bilateral Assistance, MAIN DATA'!AS:AS,1)/1000000000</f>
        <v>0</v>
      </c>
      <c r="G51" s="276">
        <f>SUMIFS('Bilateral Assistance, MAIN DATA'!S:S,'Bilateral Assistance, MAIN DATA'!B:B,'Comm per Month (Mil in-kind)'!B51,'Bilateral Assistance, MAIN DATA'!AG:AG,1,'Bilateral Assistance, MAIN DATA'!AH:AH,'Comm per Month (Mil in-kind)'!$G$11, 'Bilateral Assistance, MAIN DATA'!AS:AS,1)/1000000000</f>
        <v>8.3041958041958051</v>
      </c>
      <c r="H51" s="276">
        <f>SUMIFS('Bilateral Assistance, MAIN DATA'!S:S,'Bilateral Assistance, MAIN DATA'!B:B,'Comm per Month (Mil in-kind)'!B51,'Bilateral Assistance, MAIN DATA'!AG:AG,1,'Bilateral Assistance, MAIN DATA'!AH:AH,'Comm per Month (Mil in-kind)'!$H$11, 'Bilateral Assistance, MAIN DATA'!AS:AS,1)/1000000000</f>
        <v>7.22027972027972</v>
      </c>
      <c r="I51" s="276">
        <f>SUMIFS('Bilateral Assistance, MAIN DATA'!S:S,'Bilateral Assistance, MAIN DATA'!B:B,'Comm per Month (Mil in-kind)'!B51,'Bilateral Assistance, MAIN DATA'!AG:AG,1,'Bilateral Assistance, MAIN DATA'!AH:AH,'Comm per Month (Mil in-kind)'!$I$11, 'Bilateral Assistance, MAIN DATA'!AS:AS,1)/1000000000</f>
        <v>0</v>
      </c>
      <c r="J51" s="276">
        <f>SUMIFS('Bilateral Assistance, MAIN DATA'!S:S,'Bilateral Assistance, MAIN DATA'!B:B,'Comm per Month (Mil in-kind)'!B51,'Bilateral Assistance, MAIN DATA'!AG:AG,1,'Bilateral Assistance, MAIN DATA'!AH:AH,'Comm per Month (Mil in-kind)'!$J$11, 'Bilateral Assistance, MAIN DATA'!AS:AS,1)/1000000000</f>
        <v>0</v>
      </c>
      <c r="K51" s="276">
        <f>SUMIFS('Bilateral Assistance, MAIN DATA'!S:S,'Bilateral Assistance, MAIN DATA'!B:B,'Comm per Month (Mil in-kind)'!B51,'Bilateral Assistance, MAIN DATA'!AG:AG,1,'Bilateral Assistance, MAIN DATA'!AH:AH,'Comm per Month (Mil in-kind)'!$K$11, 'Bilateral Assistance, MAIN DATA'!AS:AS,1)/1000000000</f>
        <v>0</v>
      </c>
      <c r="L51" s="276">
        <f>SUMIFS('Bilateral Assistance, MAIN DATA'!S:S,'Bilateral Assistance, MAIN DATA'!B:B,'Comm per Month (Mil in-kind)'!B51,'Bilateral Assistance, MAIN DATA'!AG:AG,1,'Bilateral Assistance, MAIN DATA'!AH:AH,'Comm per Month (Mil in-kind)'!$L$11, 'Bilateral Assistance, MAIN DATA'!AS:AS,1)/1000000000</f>
        <v>0</v>
      </c>
      <c r="M51" s="277">
        <f>SUMIFS('Bilateral Assistance, MAIN DATA'!S:S,'Bilateral Assistance, MAIN DATA'!B:B,'Comm per Month (Mil in-kind)'!B51,'Bilateral Assistance, MAIN DATA'!AG:AG,1,'Bilateral Assistance, MAIN DATA'!AH:AH,'Comm per Month (Mil in-kind)'!$M$11, 'Bilateral Assistance, MAIN DATA'!AS:AS,1)/1000000000</f>
        <v>6.1648877438351128</v>
      </c>
      <c r="N51" s="239">
        <f>SUMIFS('Bilateral Assistance, MAIN DATA'!S:S,'Bilateral Assistance, MAIN DATA'!B:B,'Comm per Month (Mil in-kind)'!B51,'Bilateral Assistance, MAIN DATA'!AG:AG,1,'Bilateral Assistance, MAIN DATA'!AH:AH,'Comm per Month (Mil in-kind)'!$N$11, 'Bilateral Assistance, MAIN DATA'!AS:AS,1)/1000000000</f>
        <v>0</v>
      </c>
      <c r="O51" s="277">
        <f>SUMIFS('Bilateral Assistance, MAIN DATA'!S:S,'Bilateral Assistance, MAIN DATA'!B:B,'Comm per Month (Mil in-kind)'!B51,'Bilateral Assistance, MAIN DATA'!AG:AG,1,'Bilateral Assistance, MAIN DATA'!AH:AH,'Comm per Month (Mil in-kind)'!$O$11, 'Bilateral Assistance, MAIN DATA'!AS:AS,1)/1000000000</f>
        <v>0</v>
      </c>
      <c r="P51" s="277">
        <f>SUMIFS('Bilateral Assistance, MAIN DATA'!S:S,'Bilateral Assistance, MAIN DATA'!B:B,'Comm per Month (Mil in-kind)'!B51,'Bilateral Assistance, MAIN DATA'!AG:AG,1,'Bilateral Assistance, MAIN DATA'!AH:AH,'Comm per Month (Mil in-kind)'!$P$11, 'Bilateral Assistance, MAIN DATA'!AS:AS,1)/1000000000</f>
        <v>21.147405226352593</v>
      </c>
      <c r="Q51" s="277">
        <f>SUMIFS('Bilateral Assistance, MAIN DATA'!S:S,'Bilateral Assistance, MAIN DATA'!B:B,'Comm per Month (Mil in-kind)'!B51,'Bilateral Assistance, MAIN DATA'!AG:AG,1,'Bilateral Assistance, MAIN DATA'!AH:AH,'Comm per Month (Mil in-kind)'!$Q$11, 'Bilateral Assistance, MAIN DATA'!AS:AS,1)/1000000000</f>
        <v>0</v>
      </c>
      <c r="R51" s="277">
        <f>SUMIFS('Bilateral Assistance, MAIN DATA'!$S:$S,'Bilateral Assistance, MAIN DATA'!$B:$B,'Comm per Month (Mil in-kind)'!$B51,'Bilateral Assistance, MAIN DATA'!$AG:$AG,1,'Bilateral Assistance, MAIN DATA'!$AH:$AH,'Comm per Month (Mil in-kind)'!$R$11, 'Bilateral Assistance, MAIN DATA'!$AS:$AS,1)/1000000000</f>
        <v>0</v>
      </c>
      <c r="S51" s="277">
        <f>SUMIFS('Bilateral Assistance, MAIN DATA'!$S:$S,'Bilateral Assistance, MAIN DATA'!$B:$B,'Comm per Month (Mil in-kind)'!$B51,'Bilateral Assistance, MAIN DATA'!$AG:$AG,1,'Bilateral Assistance, MAIN DATA'!$AH:$AH,'Comm per Month (Mil in-kind)'!$S$11, 'Bilateral Assistance, MAIN DATA'!$AS:$AS,1)/1000000000</f>
        <v>0</v>
      </c>
      <c r="T51" s="277">
        <f>SUMIFS('Bilateral Assistance, MAIN DATA'!$S:$S,'Bilateral Assistance, MAIN DATA'!$B:$B,'Comm per Month (Mil in-kind)'!$B51,'Bilateral Assistance, MAIN DATA'!$AG:$AG,1,'Bilateral Assistance, MAIN DATA'!$AH:$AH,'Comm per Month (Mil in-kind)'!$T$11, 'Bilateral Assistance, MAIN DATA'!$AS:$AS,1)/1000000000</f>
        <v>0</v>
      </c>
      <c r="U51" s="277">
        <f>SUMIFS('Bilateral Assistance, MAIN DATA'!$S:$S,'Bilateral Assistance, MAIN DATA'!$B:$B,'Comm per Month (Mil in-kind)'!$B51,'Bilateral Assistance, MAIN DATA'!$AG:$AG,1,'Bilateral Assistance, MAIN DATA'!$AH:$AH,'Comm per Month (Mil in-kind)'!$U$11, 'Bilateral Assistance, MAIN DATA'!$AS:$AS,1)/1000000000</f>
        <v>0</v>
      </c>
      <c r="V51" s="277">
        <f t="shared" si="0"/>
        <v>42.836768494663232</v>
      </c>
      <c r="W51" s="277">
        <f>SUMIFS('Bilateral Assistance, MAIN DATA'!S:S,'Bilateral Assistance, MAIN DATA'!B:B,'Comm per Month (Mil in-kind)'!B51,'Bilateral Assistance, MAIN DATA'!AG:AG,0,'Bilateral Assistance, MAIN DATA'!AS:AS,1)/1000000000</f>
        <v>0</v>
      </c>
    </row>
    <row r="52" spans="1:25" ht="15.95" customHeight="1">
      <c r="B52" s="24" t="s">
        <v>905</v>
      </c>
      <c r="C52" s="297">
        <v>0</v>
      </c>
      <c r="D52" s="297">
        <v>0</v>
      </c>
      <c r="E52" s="276">
        <f>SUMIFS('Bilateral Assistance, MAIN DATA'!S:S,'Bilateral Assistance, MAIN DATA'!B:B,'Comm per Month (Mil in-kind)'!B52,'Bilateral Assistance, MAIN DATA'!AG:AG,1,'Bilateral Assistance, MAIN DATA'!AH:AH,'Comm per Month (Mil in-kind)'!$E$11, 'Bilateral Assistance, MAIN DATA'!AS:AS,1)/1000000000</f>
        <v>0</v>
      </c>
      <c r="F52" s="276">
        <f>SUMIFS('Bilateral Assistance, MAIN DATA'!S:S,'Bilateral Assistance, MAIN DATA'!B:B,'Comm per Month (Mil in-kind)'!B52,'Bilateral Assistance, MAIN DATA'!AG:AG,1,'Bilateral Assistance, MAIN DATA'!AH:AH,'Comm per Month (Mil in-kind)'!$F$11, 'Bilateral Assistance, MAIN DATA'!AS:AS,1)/1000000000</f>
        <v>0</v>
      </c>
      <c r="G52" s="276">
        <f>SUMIFS('Bilateral Assistance, MAIN DATA'!S:S,'Bilateral Assistance, MAIN DATA'!B:B,'Comm per Month (Mil in-kind)'!B52,'Bilateral Assistance, MAIN DATA'!AG:AG,1,'Bilateral Assistance, MAIN DATA'!AH:AH,'Comm per Month (Mil in-kind)'!$G$11, 'Bilateral Assistance, MAIN DATA'!AS:AS,1)/1000000000</f>
        <v>0</v>
      </c>
      <c r="H52" s="276">
        <f>SUMIFS('Bilateral Assistance, MAIN DATA'!S:S,'Bilateral Assistance, MAIN DATA'!B:B,'Comm per Month (Mil in-kind)'!B52,'Bilateral Assistance, MAIN DATA'!AG:AG,1,'Bilateral Assistance, MAIN DATA'!AH:AH,'Comm per Month (Mil in-kind)'!$H$11, 'Bilateral Assistance, MAIN DATA'!AS:AS,1)/1000000000</f>
        <v>0</v>
      </c>
      <c r="I52" s="276">
        <f>SUMIFS('Bilateral Assistance, MAIN DATA'!S:S,'Bilateral Assistance, MAIN DATA'!B:B,'Comm per Month (Mil in-kind)'!B52,'Bilateral Assistance, MAIN DATA'!AG:AG,1,'Bilateral Assistance, MAIN DATA'!AH:AH,'Comm per Month (Mil in-kind)'!$I$11, 'Bilateral Assistance, MAIN DATA'!AS:AS,1)/1000000000</f>
        <v>0</v>
      </c>
      <c r="J52" s="276">
        <f>SUMIFS('Bilateral Assistance, MAIN DATA'!S:S,'Bilateral Assistance, MAIN DATA'!B:B,'Comm per Month (Mil in-kind)'!B52,'Bilateral Assistance, MAIN DATA'!AG:AG,1,'Bilateral Assistance, MAIN DATA'!AH:AH,'Comm per Month (Mil in-kind)'!$J$11, 'Bilateral Assistance, MAIN DATA'!AS:AS,1)/1000000000</f>
        <v>0</v>
      </c>
      <c r="K52" s="276">
        <f>SUMIFS('Bilateral Assistance, MAIN DATA'!S:S,'Bilateral Assistance, MAIN DATA'!B:B,'Comm per Month (Mil in-kind)'!B52,'Bilateral Assistance, MAIN DATA'!AG:AG,1,'Bilateral Assistance, MAIN DATA'!AH:AH,'Comm per Month (Mil in-kind)'!$K$11, 'Bilateral Assistance, MAIN DATA'!AS:AS,1)/1000000000</f>
        <v>0</v>
      </c>
      <c r="L52" s="276">
        <f>SUMIFS('Bilateral Assistance, MAIN DATA'!S:S,'Bilateral Assistance, MAIN DATA'!B:B,'Comm per Month (Mil in-kind)'!B52,'Bilateral Assistance, MAIN DATA'!AG:AG,1,'Bilateral Assistance, MAIN DATA'!AH:AH,'Comm per Month (Mil in-kind)'!$L$11, 'Bilateral Assistance, MAIN DATA'!AS:AS,1)/1000000000</f>
        <v>0</v>
      </c>
      <c r="M52" s="277">
        <f>SUMIFS('Bilateral Assistance, MAIN DATA'!S:S,'Bilateral Assistance, MAIN DATA'!B:B,'Comm per Month (Mil in-kind)'!B52,'Bilateral Assistance, MAIN DATA'!AG:AG,1,'Bilateral Assistance, MAIN DATA'!AH:AH,'Comm per Month (Mil in-kind)'!$M$11, 'Bilateral Assistance, MAIN DATA'!AS:AS,1)/1000000000</f>
        <v>0</v>
      </c>
      <c r="N52" s="239">
        <f>SUMIFS('Bilateral Assistance, MAIN DATA'!S:S,'Bilateral Assistance, MAIN DATA'!B:B,'Comm per Month (Mil in-kind)'!B52,'Bilateral Assistance, MAIN DATA'!AG:AG,1,'Bilateral Assistance, MAIN DATA'!AH:AH,'Comm per Month (Mil in-kind)'!$N$11, 'Bilateral Assistance, MAIN DATA'!AS:AS,1)/1000000000</f>
        <v>0</v>
      </c>
      <c r="O52" s="277">
        <f>SUMIFS('Bilateral Assistance, MAIN DATA'!S:S,'Bilateral Assistance, MAIN DATA'!B:B,'Comm per Month (Mil in-kind)'!B52,'Bilateral Assistance, MAIN DATA'!AG:AG,1,'Bilateral Assistance, MAIN DATA'!AH:AH,'Comm per Month (Mil in-kind)'!$O$11, 'Bilateral Assistance, MAIN DATA'!AS:AS,1)/1000000000</f>
        <v>0</v>
      </c>
      <c r="P52" s="277">
        <f>SUMIFS('Bilateral Assistance, MAIN DATA'!S:S,'Bilateral Assistance, MAIN DATA'!B:B,'Comm per Month (Mil in-kind)'!B52,'Bilateral Assistance, MAIN DATA'!AG:AG,1,'Bilateral Assistance, MAIN DATA'!AH:AH,'Comm per Month (Mil in-kind)'!$P$11, 'Bilateral Assistance, MAIN DATA'!AS:AS,1)/1000000000</f>
        <v>0</v>
      </c>
      <c r="Q52" s="277">
        <f>SUMIFS('Bilateral Assistance, MAIN DATA'!S:S,'Bilateral Assistance, MAIN DATA'!B:B,'Comm per Month (Mil in-kind)'!B52,'Bilateral Assistance, MAIN DATA'!AG:AG,1,'Bilateral Assistance, MAIN DATA'!AH:AH,'Comm per Month (Mil in-kind)'!$Q$11, 'Bilateral Assistance, MAIN DATA'!AS:AS,1)/1000000000</f>
        <v>0</v>
      </c>
      <c r="R52" s="277">
        <f>SUMIFS('Bilateral Assistance, MAIN DATA'!$S:$S,'Bilateral Assistance, MAIN DATA'!$B:$B,'Comm per Month (Mil in-kind)'!$B52,'Bilateral Assistance, MAIN DATA'!$AG:$AG,1,'Bilateral Assistance, MAIN DATA'!$AH:$AH,'Comm per Month (Mil in-kind)'!$R$11, 'Bilateral Assistance, MAIN DATA'!$AS:$AS,1)/1000000000</f>
        <v>0</v>
      </c>
      <c r="S52" s="277">
        <f>SUMIFS('Bilateral Assistance, MAIN DATA'!$S:$S,'Bilateral Assistance, MAIN DATA'!$B:$B,'Comm per Month (Mil in-kind)'!$B52,'Bilateral Assistance, MAIN DATA'!$AG:$AG,1,'Bilateral Assistance, MAIN DATA'!$AH:$AH,'Comm per Month (Mil in-kind)'!$S$11, 'Bilateral Assistance, MAIN DATA'!$AS:$AS,1)/1000000000</f>
        <v>0</v>
      </c>
      <c r="T52" s="277">
        <f>SUMIFS('Bilateral Assistance, MAIN DATA'!$S:$S,'Bilateral Assistance, MAIN DATA'!$B:$B,'Comm per Month (Mil in-kind)'!$B52,'Bilateral Assistance, MAIN DATA'!$AG:$AG,1,'Bilateral Assistance, MAIN DATA'!$AH:$AH,'Comm per Month (Mil in-kind)'!$T$11, 'Bilateral Assistance, MAIN DATA'!$AS:$AS,1)/1000000000</f>
        <v>0</v>
      </c>
      <c r="U52" s="277">
        <f>SUMIFS('Bilateral Assistance, MAIN DATA'!$S:$S,'Bilateral Assistance, MAIN DATA'!$B:$B,'Comm per Month (Mil in-kind)'!$B52,'Bilateral Assistance, MAIN DATA'!$AG:$AG,1,'Bilateral Assistance, MAIN DATA'!$AH:$AH,'Comm per Month (Mil in-kind)'!$U$11, 'Bilateral Assistance, MAIN DATA'!$AS:$AS,1)/1000000000</f>
        <v>0</v>
      </c>
      <c r="V52" s="277">
        <f t="shared" si="0"/>
        <v>0</v>
      </c>
      <c r="W52" s="277">
        <f>SUMIFS('Bilateral Assistance, MAIN DATA'!S:S,'Bilateral Assistance, MAIN DATA'!B:B,'Comm per Month (Mil in-kind)'!B52,'Bilateral Assistance, MAIN DATA'!AG:AG,0,'Bilateral Assistance, MAIN DATA'!AS:AS,1)/1000000000</f>
        <v>0</v>
      </c>
    </row>
    <row r="53" spans="1:25" ht="15.95" customHeight="1">
      <c r="B53" s="24" t="s">
        <v>3713</v>
      </c>
      <c r="C53" s="297">
        <v>0</v>
      </c>
      <c r="D53" s="297">
        <v>0</v>
      </c>
      <c r="E53" s="276">
        <f>SUMIFS('Bilateral Assistance, MAIN DATA'!S:S,'Bilateral Assistance, MAIN DATA'!B:B,'Comm per Month (Mil in-kind)'!B53,'Bilateral Assistance, MAIN DATA'!AG:AG,1,'Bilateral Assistance, MAIN DATA'!AH:AH,'Comm per Month (Mil in-kind)'!$E$11, 'Bilateral Assistance, MAIN DATA'!AS:AS,1)/1000000000</f>
        <v>0</v>
      </c>
      <c r="F53" s="276">
        <f>SUMIFS('Bilateral Assistance, MAIN DATA'!S:S,'Bilateral Assistance, MAIN DATA'!B:B,'Comm per Month (Mil in-kind)'!B53,'Bilateral Assistance, MAIN DATA'!AG:AG,1,'Bilateral Assistance, MAIN DATA'!AH:AH,'Comm per Month (Mil in-kind)'!$F$11, 'Bilateral Assistance, MAIN DATA'!AS:AS,1)/1000000000</f>
        <v>0</v>
      </c>
      <c r="G53" s="276">
        <f>SUMIFS('Bilateral Assistance, MAIN DATA'!S:S,'Bilateral Assistance, MAIN DATA'!B:B,'Comm per Month (Mil in-kind)'!B53,'Bilateral Assistance, MAIN DATA'!AG:AG,1,'Bilateral Assistance, MAIN DATA'!AH:AH,'Comm per Month (Mil in-kind)'!$G$11, 'Bilateral Assistance, MAIN DATA'!AS:AS,1)/1000000000</f>
        <v>0</v>
      </c>
      <c r="H53" s="276">
        <f>SUMIFS('Bilateral Assistance, MAIN DATA'!S:S,'Bilateral Assistance, MAIN DATA'!B:B,'Comm per Month (Mil in-kind)'!B53,'Bilateral Assistance, MAIN DATA'!AG:AG,1,'Bilateral Assistance, MAIN DATA'!AH:AH,'Comm per Month (Mil in-kind)'!$H$11, 'Bilateral Assistance, MAIN DATA'!AS:AS,1)/1000000000</f>
        <v>0</v>
      </c>
      <c r="I53" s="276">
        <f>SUMIFS('Bilateral Assistance, MAIN DATA'!S:S,'Bilateral Assistance, MAIN DATA'!B:B,'Comm per Month (Mil in-kind)'!B53,'Bilateral Assistance, MAIN DATA'!AG:AG,1,'Bilateral Assistance, MAIN DATA'!AH:AH,'Comm per Month (Mil in-kind)'!$I$11, 'Bilateral Assistance, MAIN DATA'!AS:AS,1)/1000000000</f>
        <v>0</v>
      </c>
      <c r="J53" s="276">
        <f>SUMIFS('Bilateral Assistance, MAIN DATA'!S:S,'Bilateral Assistance, MAIN DATA'!B:B,'Comm per Month (Mil in-kind)'!B53,'Bilateral Assistance, MAIN DATA'!AG:AG,1,'Bilateral Assistance, MAIN DATA'!AH:AH,'Comm per Month (Mil in-kind)'!$J$11, 'Bilateral Assistance, MAIN DATA'!AS:AS,1)/1000000000</f>
        <v>0</v>
      </c>
      <c r="K53" s="276">
        <f>SUMIFS('Bilateral Assistance, MAIN DATA'!S:S,'Bilateral Assistance, MAIN DATA'!B:B,'Comm per Month (Mil in-kind)'!B53,'Bilateral Assistance, MAIN DATA'!AG:AG,1,'Bilateral Assistance, MAIN DATA'!AH:AH,'Comm per Month (Mil in-kind)'!$K$11, 'Bilateral Assistance, MAIN DATA'!AS:AS,1)/1000000000</f>
        <v>0</v>
      </c>
      <c r="L53" s="276">
        <f>SUMIFS('Bilateral Assistance, MAIN DATA'!S:S,'Bilateral Assistance, MAIN DATA'!B:B,'Comm per Month (Mil in-kind)'!B53,'Bilateral Assistance, MAIN DATA'!AG:AG,1,'Bilateral Assistance, MAIN DATA'!AH:AH,'Comm per Month (Mil in-kind)'!$L$11, 'Bilateral Assistance, MAIN DATA'!AS:AS,1)/1000000000</f>
        <v>0</v>
      </c>
      <c r="M53" s="277">
        <f>SUMIFS('Bilateral Assistance, MAIN DATA'!S:S,'Bilateral Assistance, MAIN DATA'!B:B,'Comm per Month (Mil in-kind)'!B53,'Bilateral Assistance, MAIN DATA'!AG:AG,1,'Bilateral Assistance, MAIN DATA'!AH:AH,'Comm per Month (Mil in-kind)'!$M$11, 'Bilateral Assistance, MAIN DATA'!AS:AS,1)/1000000000</f>
        <v>0</v>
      </c>
      <c r="N53" s="239">
        <f>SUMIFS('Bilateral Assistance, MAIN DATA'!S:S,'Bilateral Assistance, MAIN DATA'!B:B,'Comm per Month (Mil in-kind)'!B53,'Bilateral Assistance, MAIN DATA'!AG:AG,1,'Bilateral Assistance, MAIN DATA'!AH:AH,'Comm per Month (Mil in-kind)'!$N$11, 'Bilateral Assistance, MAIN DATA'!AS:AS,1)/1000000000</f>
        <v>0</v>
      </c>
      <c r="O53" s="277">
        <f>SUMIFS('Bilateral Assistance, MAIN DATA'!S:S,'Bilateral Assistance, MAIN DATA'!B:B,'Comm per Month (Mil in-kind)'!B53,'Bilateral Assistance, MAIN DATA'!AG:AG,1,'Bilateral Assistance, MAIN DATA'!AH:AH,'Comm per Month (Mil in-kind)'!$O$11, 'Bilateral Assistance, MAIN DATA'!AS:AS,1)/1000000000</f>
        <v>0</v>
      </c>
      <c r="P53" s="277">
        <f>SUMIFS('Bilateral Assistance, MAIN DATA'!S:S,'Bilateral Assistance, MAIN DATA'!B:B,'Comm per Month (Mil in-kind)'!B53,'Bilateral Assistance, MAIN DATA'!AG:AG,1,'Bilateral Assistance, MAIN DATA'!AH:AH,'Comm per Month (Mil in-kind)'!$P$11, 'Bilateral Assistance, MAIN DATA'!AS:AS,1)/1000000000</f>
        <v>0</v>
      </c>
      <c r="Q53" s="277">
        <f>SUMIFS('Bilateral Assistance, MAIN DATA'!S:S,'Bilateral Assistance, MAIN DATA'!B:B,'Comm per Month (Mil in-kind)'!B53,'Bilateral Assistance, MAIN DATA'!AG:AG,1,'Bilateral Assistance, MAIN DATA'!AH:AH,'Comm per Month (Mil in-kind)'!$Q$11, 'Bilateral Assistance, MAIN DATA'!AS:AS,1)/1000000000</f>
        <v>0</v>
      </c>
      <c r="R53" s="277">
        <f>SUMIFS('Bilateral Assistance, MAIN DATA'!$S:$S,'Bilateral Assistance, MAIN DATA'!$B:$B,'Comm per Month (Mil in-kind)'!$B53,'Bilateral Assistance, MAIN DATA'!$AG:$AG,1,'Bilateral Assistance, MAIN DATA'!$AH:$AH,'Comm per Month (Mil in-kind)'!$R$11, 'Bilateral Assistance, MAIN DATA'!$AS:$AS,1)/1000000000</f>
        <v>0</v>
      </c>
      <c r="S53" s="277">
        <f>SUMIFS('Bilateral Assistance, MAIN DATA'!$S:$S,'Bilateral Assistance, MAIN DATA'!$B:$B,'Comm per Month (Mil in-kind)'!$B53,'Bilateral Assistance, MAIN DATA'!$AG:$AG,1,'Bilateral Assistance, MAIN DATA'!$AH:$AH,'Comm per Month (Mil in-kind)'!$S$11, 'Bilateral Assistance, MAIN DATA'!$AS:$AS,1)/1000000000</f>
        <v>0</v>
      </c>
      <c r="T53" s="277">
        <f>SUMIFS('Bilateral Assistance, MAIN DATA'!$S:$S,'Bilateral Assistance, MAIN DATA'!$B:$B,'Comm per Month (Mil in-kind)'!$B53,'Bilateral Assistance, MAIN DATA'!$AG:$AG,1,'Bilateral Assistance, MAIN DATA'!$AH:$AH,'Comm per Month (Mil in-kind)'!$T$11, 'Bilateral Assistance, MAIN DATA'!$AS:$AS,1)/1000000000</f>
        <v>0</v>
      </c>
      <c r="U53" s="277">
        <f>SUMIFS('Bilateral Assistance, MAIN DATA'!$S:$S,'Bilateral Assistance, MAIN DATA'!$B:$B,'Comm per Month (Mil in-kind)'!$B53,'Bilateral Assistance, MAIN DATA'!$AG:$AG,1,'Bilateral Assistance, MAIN DATA'!$AH:$AH,'Comm per Month (Mil in-kind)'!$U$11, 'Bilateral Assistance, MAIN DATA'!$AS:$AS,1)/1000000000</f>
        <v>0</v>
      </c>
      <c r="V53" s="277">
        <f t="shared" si="0"/>
        <v>0</v>
      </c>
      <c r="W53" s="277">
        <f>SUMIFS('Bilateral Assistance, MAIN DATA'!S:S,'Bilateral Assistance, MAIN DATA'!B:B,'Comm per Month (Mil in-kind)'!B53,'Bilateral Assistance, MAIN DATA'!AG:AG,0,'Bilateral Assistance, MAIN DATA'!AS:AS,1)/1000000000</f>
        <v>0</v>
      </c>
    </row>
    <row r="54" spans="1:25" ht="15.95" customHeight="1">
      <c r="B54" s="258" t="s">
        <v>2076</v>
      </c>
      <c r="C54" s="328">
        <v>0</v>
      </c>
      <c r="D54" s="297">
        <v>0</v>
      </c>
      <c r="E54" s="276">
        <f>SUMIFS('Bilateral Assistance, MAIN DATA'!S:S,'Bilateral Assistance, MAIN DATA'!B:B,'Comm per Month (Mil in-kind)'!B54,'Bilateral Assistance, MAIN DATA'!AG:AG,1,'Bilateral Assistance, MAIN DATA'!AH:AH,'Comm per Month (Mil in-kind)'!$E$11, 'Bilateral Assistance, MAIN DATA'!AS:AS,1)/1000000000</f>
        <v>0</v>
      </c>
      <c r="F54" s="276">
        <f>SUMIFS('Bilateral Assistance, MAIN DATA'!S:S,'Bilateral Assistance, MAIN DATA'!B:B,'Comm per Month (Mil in-kind)'!B54,'Bilateral Assistance, MAIN DATA'!AG:AG,1,'Bilateral Assistance, MAIN DATA'!AH:AH,'Comm per Month (Mil in-kind)'!$F$11, 'Bilateral Assistance, MAIN DATA'!AS:AS,1)/1000000000</f>
        <v>0</v>
      </c>
      <c r="G54" s="276">
        <f>SUMIFS('Bilateral Assistance, MAIN DATA'!S:S,'Bilateral Assistance, MAIN DATA'!B:B,'Comm per Month (Mil in-kind)'!B54,'Bilateral Assistance, MAIN DATA'!AG:AG,1,'Bilateral Assistance, MAIN DATA'!AH:AH,'Comm per Month (Mil in-kind)'!$G$11, 'Bilateral Assistance, MAIN DATA'!AS:AS,1)/1000000000</f>
        <v>0</v>
      </c>
      <c r="H54" s="276">
        <f>SUMIFS('Bilateral Assistance, MAIN DATA'!S:S,'Bilateral Assistance, MAIN DATA'!B:B,'Comm per Month (Mil in-kind)'!B54,'Bilateral Assistance, MAIN DATA'!AG:AG,1,'Bilateral Assistance, MAIN DATA'!AH:AH,'Comm per Month (Mil in-kind)'!$H$11, 'Bilateral Assistance, MAIN DATA'!AS:AS,1)/1000000000</f>
        <v>0</v>
      </c>
      <c r="I54" s="276">
        <f>SUMIFS('Bilateral Assistance, MAIN DATA'!S:S,'Bilateral Assistance, MAIN DATA'!B:B,'Comm per Month (Mil in-kind)'!B54,'Bilateral Assistance, MAIN DATA'!AG:AG,1,'Bilateral Assistance, MAIN DATA'!AH:AH,'Comm per Month (Mil in-kind)'!$I$11, 'Bilateral Assistance, MAIN DATA'!AS:AS,1)/1000000000</f>
        <v>0</v>
      </c>
      <c r="J54" s="276">
        <f>SUMIFS('Bilateral Assistance, MAIN DATA'!S:S,'Bilateral Assistance, MAIN DATA'!B:B,'Comm per Month (Mil in-kind)'!B54,'Bilateral Assistance, MAIN DATA'!AG:AG,1,'Bilateral Assistance, MAIN DATA'!AH:AH,'Comm per Month (Mil in-kind)'!$J$11, 'Bilateral Assistance, MAIN DATA'!AS:AS,1)/1000000000</f>
        <v>0</v>
      </c>
      <c r="K54" s="276">
        <f>SUMIFS('Bilateral Assistance, MAIN DATA'!S:S,'Bilateral Assistance, MAIN DATA'!B:B,'Comm per Month (Mil in-kind)'!B54,'Bilateral Assistance, MAIN DATA'!AG:AG,1,'Bilateral Assistance, MAIN DATA'!AH:AH,'Comm per Month (Mil in-kind)'!$K$11, 'Bilateral Assistance, MAIN DATA'!AS:AS,1)/1000000000</f>
        <v>0</v>
      </c>
      <c r="L54" s="276">
        <f>SUMIFS('Bilateral Assistance, MAIN DATA'!S:S,'Bilateral Assistance, MAIN DATA'!B:B,'Comm per Month (Mil in-kind)'!B54,'Bilateral Assistance, MAIN DATA'!AG:AG,1,'Bilateral Assistance, MAIN DATA'!AH:AH,'Comm per Month (Mil in-kind)'!$L$11, 'Bilateral Assistance, MAIN DATA'!AS:AS,1)/1000000000</f>
        <v>0</v>
      </c>
      <c r="M54" s="277">
        <f>SUMIFS('Bilateral Assistance, MAIN DATA'!S:S,'Bilateral Assistance, MAIN DATA'!B:B,'Comm per Month (Mil in-kind)'!B54,'Bilateral Assistance, MAIN DATA'!AG:AG,1,'Bilateral Assistance, MAIN DATA'!AH:AH,'Comm per Month (Mil in-kind)'!$M$11, 'Bilateral Assistance, MAIN DATA'!AS:AS,1)/1000000000</f>
        <v>0</v>
      </c>
      <c r="N54" s="239">
        <f>SUMIFS('Bilateral Assistance, MAIN DATA'!S:S,'Bilateral Assistance, MAIN DATA'!B:B,'Comm per Month (Mil in-kind)'!B54,'Bilateral Assistance, MAIN DATA'!AG:AG,1,'Bilateral Assistance, MAIN DATA'!AH:AH,'Comm per Month (Mil in-kind)'!$N$11, 'Bilateral Assistance, MAIN DATA'!AS:AS,1)/1000000000</f>
        <v>0</v>
      </c>
      <c r="O54" s="277">
        <f>SUMIFS('Bilateral Assistance, MAIN DATA'!S:S,'Bilateral Assistance, MAIN DATA'!B:B,'Comm per Month (Mil in-kind)'!B54,'Bilateral Assistance, MAIN DATA'!AG:AG,1,'Bilateral Assistance, MAIN DATA'!AH:AH,'Comm per Month (Mil in-kind)'!$O$11, 'Bilateral Assistance, MAIN DATA'!AS:AS,1)/1000000000</f>
        <v>0</v>
      </c>
      <c r="P54" s="277">
        <f>SUMIFS('Bilateral Assistance, MAIN DATA'!S:S,'Bilateral Assistance, MAIN DATA'!B:B,'Comm per Month (Mil in-kind)'!B54,'Bilateral Assistance, MAIN DATA'!AG:AG,1,'Bilateral Assistance, MAIN DATA'!AH:AH,'Comm per Month (Mil in-kind)'!$P$11, 'Bilateral Assistance, MAIN DATA'!AS:AS,1)/1000000000</f>
        <v>0</v>
      </c>
      <c r="Q54" s="277">
        <f>SUMIFS('Bilateral Assistance, MAIN DATA'!S:S,'Bilateral Assistance, MAIN DATA'!B:B,'Comm per Month (Mil in-kind)'!B54,'Bilateral Assistance, MAIN DATA'!AG:AG,1,'Bilateral Assistance, MAIN DATA'!AH:AH,'Comm per Month (Mil in-kind)'!$Q$11, 'Bilateral Assistance, MAIN DATA'!AS:AS,1)/1000000000</f>
        <v>0</v>
      </c>
      <c r="R54" s="277">
        <f>SUMIFS('Bilateral Assistance, MAIN DATA'!$S:$S,'Bilateral Assistance, MAIN DATA'!$B:$B,'Comm per Month (Mil in-kind)'!$B54,'Bilateral Assistance, MAIN DATA'!$AG:$AG,1,'Bilateral Assistance, MAIN DATA'!$AH:$AH,'Comm per Month (Mil in-kind)'!$R$11, 'Bilateral Assistance, MAIN DATA'!$AS:$AS,1)/1000000000</f>
        <v>0</v>
      </c>
      <c r="S54" s="277">
        <f>SUMIFS('Bilateral Assistance, MAIN DATA'!$S:$S,'Bilateral Assistance, MAIN DATA'!$B:$B,'Comm per Month (Mil in-kind)'!$B54,'Bilateral Assistance, MAIN DATA'!$AG:$AG,1,'Bilateral Assistance, MAIN DATA'!$AH:$AH,'Comm per Month (Mil in-kind)'!$S$11, 'Bilateral Assistance, MAIN DATA'!$AS:$AS,1)/1000000000</f>
        <v>0</v>
      </c>
      <c r="T54" s="277">
        <f>SUMIFS('Bilateral Assistance, MAIN DATA'!$S:$S,'Bilateral Assistance, MAIN DATA'!$B:$B,'Comm per Month (Mil in-kind)'!$B54,'Bilateral Assistance, MAIN DATA'!$AG:$AG,1,'Bilateral Assistance, MAIN DATA'!$AH:$AH,'Comm per Month (Mil in-kind)'!$T$11, 'Bilateral Assistance, MAIN DATA'!$AS:$AS,1)/1000000000</f>
        <v>0</v>
      </c>
      <c r="U54" s="277">
        <f>SUMIFS('Bilateral Assistance, MAIN DATA'!$S:$S,'Bilateral Assistance, MAIN DATA'!$B:$B,'Comm per Month (Mil in-kind)'!$B54,'Bilateral Assistance, MAIN DATA'!$AG:$AG,1,'Bilateral Assistance, MAIN DATA'!$AH:$AH,'Comm per Month (Mil in-kind)'!$U$11, 'Bilateral Assistance, MAIN DATA'!$AS:$AS,1)/1000000000</f>
        <v>0</v>
      </c>
      <c r="V54" s="277">
        <f t="shared" si="0"/>
        <v>0</v>
      </c>
      <c r="W54" s="277">
        <f>SUMIFS('Bilateral Assistance, MAIN DATA'!S:S,'Bilateral Assistance, MAIN DATA'!B:B,'Comm per Month (Mil in-kind)'!B54,'Bilateral Assistance, MAIN DATA'!AG:AG,0,'Bilateral Assistance, MAIN DATA'!AS:AS,1)/1000000000</f>
        <v>0</v>
      </c>
    </row>
    <row r="55" spans="1:25" ht="15.95" customHeight="1">
      <c r="B55" s="65" t="s">
        <v>4530</v>
      </c>
      <c r="C55" s="332" t="s">
        <v>364</v>
      </c>
      <c r="D55" s="332" t="s">
        <v>364</v>
      </c>
      <c r="E55" s="443">
        <f t="shared" ref="E55:W55" si="1">SUM(E13:E54)</f>
        <v>0.23149724245931777</v>
      </c>
      <c r="F55" s="443">
        <f t="shared" si="1"/>
        <v>0.5692665520955551</v>
      </c>
      <c r="G55" s="443">
        <f t="shared" si="1"/>
        <v>9.2420628677037424</v>
      </c>
      <c r="H55" s="443">
        <f t="shared" si="1"/>
        <v>10.853635414087664</v>
      </c>
      <c r="I55" s="443">
        <f t="shared" si="1"/>
        <v>2.1779986122087514</v>
      </c>
      <c r="J55" s="443">
        <f t="shared" si="1"/>
        <v>3.7753693305150859</v>
      </c>
      <c r="K55" s="443">
        <f t="shared" si="1"/>
        <v>0.16595879197852414</v>
      </c>
      <c r="L55" s="443">
        <f t="shared" si="1"/>
        <v>0.7404953847284157</v>
      </c>
      <c r="M55" s="443">
        <f t="shared" si="1"/>
        <v>6.4143167292184167</v>
      </c>
      <c r="N55" s="443">
        <f t="shared" si="1"/>
        <v>1.0037914517488387</v>
      </c>
      <c r="O55" s="443">
        <f t="shared" si="1"/>
        <v>1.011617606498199</v>
      </c>
      <c r="P55" s="443">
        <f t="shared" si="1"/>
        <v>23.387003598379323</v>
      </c>
      <c r="Q55" s="443">
        <f t="shared" si="1"/>
        <v>6.3790172033181456</v>
      </c>
      <c r="R55" s="443">
        <f t="shared" si="1"/>
        <v>0.98059490744554256</v>
      </c>
      <c r="S55" s="443">
        <f t="shared" si="1"/>
        <v>0.71255085307912314</v>
      </c>
      <c r="T55" s="443">
        <f t="shared" si="1"/>
        <v>3.8108259581881381</v>
      </c>
      <c r="U55" s="443">
        <f t="shared" si="1"/>
        <v>2.2557517393703872</v>
      </c>
      <c r="V55" s="443">
        <f t="shared" si="1"/>
        <v>73.711754243023179</v>
      </c>
      <c r="W55" s="443">
        <f t="shared" si="1"/>
        <v>0.20170004379205006</v>
      </c>
    </row>
    <row r="56" spans="1:25" ht="15.95" customHeight="1">
      <c r="B56" s="2"/>
      <c r="C56" s="335"/>
      <c r="D56" s="335"/>
      <c r="H56" s="337"/>
      <c r="I56" s="337"/>
      <c r="J56" s="337"/>
      <c r="K56" s="337"/>
      <c r="L56" s="337"/>
    </row>
    <row r="57" spans="1:25" s="107" customFormat="1" ht="15.95" customHeight="1">
      <c r="A57" s="3"/>
      <c r="B57" s="24"/>
      <c r="C57" s="297"/>
      <c r="D57" s="297"/>
      <c r="E57" s="337"/>
      <c r="F57" s="337"/>
      <c r="G57" s="337"/>
      <c r="H57" s="337"/>
      <c r="I57" s="337"/>
      <c r="J57" s="337"/>
      <c r="K57" s="337"/>
      <c r="L57" s="337"/>
      <c r="N57" s="302"/>
      <c r="V57" s="24"/>
      <c r="W57" s="24"/>
      <c r="X57" s="24"/>
      <c r="Y57" s="24"/>
    </row>
    <row r="58" spans="1:25" s="107" customFormat="1" ht="15.95" customHeight="1">
      <c r="A58" s="3"/>
      <c r="B58" s="24"/>
      <c r="C58" s="297"/>
      <c r="D58" s="297"/>
      <c r="E58" s="337"/>
      <c r="F58" s="337"/>
      <c r="G58" s="337"/>
      <c r="H58" s="337"/>
      <c r="I58" s="337"/>
      <c r="J58" s="337"/>
      <c r="K58" s="337"/>
      <c r="L58" s="337"/>
      <c r="N58" s="302"/>
      <c r="V58" s="24"/>
      <c r="W58" s="24"/>
      <c r="X58" s="24"/>
      <c r="Y58" s="24"/>
    </row>
    <row r="59" spans="1:25" s="107" customFormat="1" ht="15.95" customHeight="1">
      <c r="A59" s="3"/>
      <c r="B59" s="24"/>
      <c r="C59" s="297"/>
      <c r="D59" s="297"/>
      <c r="E59" s="337"/>
      <c r="F59" s="337"/>
      <c r="G59" s="337"/>
      <c r="H59" s="337"/>
      <c r="I59" s="337"/>
      <c r="J59" s="337"/>
      <c r="K59" s="337"/>
      <c r="L59" s="337"/>
      <c r="N59" s="302"/>
      <c r="V59" s="24"/>
      <c r="W59" s="24"/>
      <c r="X59" s="24"/>
      <c r="Y59" s="24"/>
    </row>
    <row r="60" spans="1:25" s="107" customFormat="1" ht="15.95" customHeight="1">
      <c r="A60" s="3"/>
      <c r="B60" s="24"/>
      <c r="C60" s="297"/>
      <c r="D60" s="297"/>
      <c r="E60" s="337"/>
      <c r="F60" s="337"/>
      <c r="G60" s="337"/>
      <c r="H60" s="337"/>
      <c r="I60" s="337"/>
      <c r="J60" s="337"/>
      <c r="K60" s="337"/>
      <c r="L60" s="337"/>
      <c r="N60" s="302"/>
      <c r="V60" s="24"/>
      <c r="W60" s="24"/>
      <c r="X60" s="24"/>
      <c r="Y60" s="24"/>
    </row>
    <row r="61" spans="1:25" s="107" customFormat="1" ht="15.95" customHeight="1">
      <c r="A61" s="3"/>
      <c r="B61" s="24"/>
      <c r="C61" s="297"/>
      <c r="D61" s="297"/>
      <c r="E61" s="337"/>
      <c r="F61" s="337"/>
      <c r="G61" s="337"/>
      <c r="H61" s="337"/>
      <c r="I61" s="337"/>
      <c r="J61" s="337"/>
      <c r="K61" s="337"/>
      <c r="L61" s="337"/>
      <c r="N61" s="302"/>
      <c r="V61" s="24"/>
      <c r="W61" s="24"/>
      <c r="X61" s="24"/>
      <c r="Y61" s="24"/>
    </row>
    <row r="62" spans="1:25" s="107" customFormat="1" ht="15.95" customHeight="1">
      <c r="A62" s="3"/>
      <c r="B62" s="108"/>
      <c r="C62" s="338"/>
      <c r="D62" s="338"/>
      <c r="E62" s="337"/>
      <c r="F62" s="337"/>
      <c r="G62" s="337"/>
      <c r="H62" s="337"/>
      <c r="I62" s="337"/>
      <c r="J62" s="337"/>
      <c r="K62" s="337"/>
      <c r="L62" s="337"/>
      <c r="N62" s="302"/>
      <c r="V62" s="24"/>
      <c r="W62" s="24"/>
      <c r="X62" s="24"/>
      <c r="Y62" s="24"/>
    </row>
    <row r="63" spans="1:25" s="107" customFormat="1" ht="15.95" customHeight="1">
      <c r="A63" s="3"/>
      <c r="B63" s="24"/>
      <c r="C63" s="297"/>
      <c r="D63" s="297"/>
      <c r="E63" s="337"/>
      <c r="F63" s="337"/>
      <c r="G63" s="337"/>
      <c r="H63" s="337"/>
      <c r="I63" s="337"/>
      <c r="J63" s="337"/>
      <c r="K63" s="337"/>
      <c r="L63" s="337"/>
      <c r="N63" s="302"/>
      <c r="V63" s="24"/>
      <c r="W63" s="24"/>
      <c r="X63" s="24"/>
      <c r="Y63" s="24"/>
    </row>
    <row r="64" spans="1:25" s="107" customFormat="1" ht="15.95" customHeight="1">
      <c r="A64" s="3"/>
      <c r="B64" s="22"/>
      <c r="C64" s="339"/>
      <c r="D64" s="339"/>
      <c r="E64" s="337"/>
      <c r="F64" s="337"/>
      <c r="G64" s="337"/>
      <c r="H64" s="337"/>
      <c r="I64" s="337"/>
      <c r="J64" s="337"/>
      <c r="K64" s="337"/>
      <c r="L64" s="337"/>
      <c r="N64" s="302"/>
      <c r="V64" s="24"/>
      <c r="W64" s="24"/>
      <c r="X64" s="24"/>
      <c r="Y64" s="24"/>
    </row>
    <row r="65" spans="1:25" s="107" customFormat="1" ht="15.95" customHeight="1">
      <c r="A65" s="3"/>
      <c r="B65" s="24"/>
      <c r="C65" s="297"/>
      <c r="D65" s="297"/>
      <c r="E65" s="337"/>
      <c r="F65" s="337"/>
      <c r="G65" s="337"/>
      <c r="H65" s="337"/>
      <c r="I65" s="337"/>
      <c r="J65" s="337"/>
      <c r="K65" s="337"/>
      <c r="L65" s="337"/>
      <c r="N65" s="302"/>
      <c r="V65" s="24"/>
      <c r="W65" s="24"/>
      <c r="X65" s="24"/>
      <c r="Y65" s="24"/>
    </row>
    <row r="66" spans="1:25" s="107" customFormat="1" ht="15.95" customHeight="1">
      <c r="A66" s="3"/>
      <c r="B66" s="24"/>
      <c r="C66" s="297"/>
      <c r="D66" s="297"/>
      <c r="E66" s="337"/>
      <c r="F66" s="337"/>
      <c r="G66" s="337"/>
      <c r="H66" s="337"/>
      <c r="I66" s="337"/>
      <c r="J66" s="337"/>
      <c r="K66" s="337"/>
      <c r="L66" s="337"/>
      <c r="N66" s="302"/>
      <c r="V66" s="24"/>
      <c r="W66" s="24"/>
      <c r="X66" s="24"/>
      <c r="Y66" s="24"/>
    </row>
    <row r="67" spans="1:25" s="107" customFormat="1" ht="15.95" customHeight="1">
      <c r="A67" s="3"/>
      <c r="B67" s="24"/>
      <c r="C67" s="297"/>
      <c r="D67" s="297"/>
      <c r="E67" s="337"/>
      <c r="F67" s="337"/>
      <c r="G67" s="337"/>
      <c r="H67" s="337"/>
      <c r="I67" s="337"/>
      <c r="J67" s="337"/>
      <c r="K67" s="337"/>
      <c r="L67" s="337"/>
      <c r="N67" s="302"/>
      <c r="V67" s="24"/>
      <c r="W67" s="24"/>
      <c r="X67" s="24"/>
      <c r="Y67" s="24"/>
    </row>
    <row r="68" spans="1:25" s="107" customFormat="1" ht="15.95" customHeight="1">
      <c r="A68" s="3"/>
      <c r="B68" s="24"/>
      <c r="C68" s="297"/>
      <c r="D68" s="297"/>
      <c r="E68" s="337"/>
      <c r="F68" s="337"/>
      <c r="G68" s="337"/>
      <c r="H68" s="337"/>
      <c r="I68" s="337"/>
      <c r="J68" s="337"/>
      <c r="K68" s="337"/>
      <c r="L68" s="337"/>
      <c r="N68" s="302"/>
      <c r="V68" s="24"/>
      <c r="W68" s="24"/>
      <c r="X68" s="24"/>
      <c r="Y68" s="24"/>
    </row>
    <row r="69" spans="1:25" s="107" customFormat="1" ht="15.95" customHeight="1">
      <c r="A69" s="3"/>
      <c r="B69" s="24"/>
      <c r="C69" s="297"/>
      <c r="D69" s="297"/>
      <c r="E69" s="337"/>
      <c r="F69" s="337"/>
      <c r="G69" s="337"/>
      <c r="H69" s="337"/>
      <c r="I69" s="337"/>
      <c r="J69" s="337"/>
      <c r="K69" s="337"/>
      <c r="L69" s="337"/>
      <c r="N69" s="302"/>
      <c r="V69" s="24"/>
      <c r="W69" s="24"/>
      <c r="X69" s="24"/>
      <c r="Y69" s="24"/>
    </row>
    <row r="70" spans="1:25" s="107" customFormat="1" ht="15.95" customHeight="1">
      <c r="A70" s="3"/>
      <c r="B70" s="24"/>
      <c r="C70" s="297"/>
      <c r="D70" s="297"/>
      <c r="E70" s="337"/>
      <c r="F70" s="337"/>
      <c r="G70" s="337"/>
      <c r="H70" s="337"/>
      <c r="I70" s="337"/>
      <c r="J70" s="337"/>
      <c r="K70" s="337"/>
      <c r="L70" s="337"/>
      <c r="N70" s="302"/>
      <c r="V70" s="24"/>
      <c r="W70" s="24"/>
      <c r="X70" s="24"/>
      <c r="Y70" s="24"/>
    </row>
    <row r="71" spans="1:25" s="107" customFormat="1" ht="15.95" customHeight="1">
      <c r="A71" s="3"/>
      <c r="B71" s="24"/>
      <c r="C71" s="297"/>
      <c r="D71" s="297"/>
      <c r="E71" s="337"/>
      <c r="F71" s="337"/>
      <c r="G71" s="337"/>
      <c r="H71" s="337"/>
      <c r="I71" s="337"/>
      <c r="J71" s="337"/>
      <c r="K71" s="337"/>
      <c r="L71" s="337"/>
      <c r="N71" s="302"/>
      <c r="V71" s="24"/>
      <c r="W71" s="24"/>
      <c r="X71" s="24"/>
      <c r="Y71" s="24"/>
    </row>
    <row r="72" spans="1:25" s="107" customFormat="1" ht="15.95" customHeight="1">
      <c r="A72" s="3"/>
      <c r="B72" s="24"/>
      <c r="C72" s="297"/>
      <c r="D72" s="297"/>
      <c r="E72" s="337"/>
      <c r="F72" s="337"/>
      <c r="G72" s="337"/>
      <c r="H72" s="337"/>
      <c r="I72" s="337"/>
      <c r="J72" s="337"/>
      <c r="K72" s="337"/>
      <c r="L72" s="337"/>
      <c r="N72" s="302"/>
      <c r="V72" s="24"/>
      <c r="W72" s="24"/>
      <c r="X72" s="24"/>
      <c r="Y72" s="24"/>
    </row>
    <row r="73" spans="1:25" s="107" customFormat="1" ht="15.95" customHeight="1">
      <c r="A73" s="3"/>
      <c r="B73" s="24"/>
      <c r="C73" s="297"/>
      <c r="D73" s="297"/>
      <c r="E73" s="337"/>
      <c r="F73" s="337"/>
      <c r="G73" s="337"/>
      <c r="H73" s="337"/>
      <c r="I73" s="337"/>
      <c r="J73" s="337"/>
      <c r="K73" s="337"/>
      <c r="L73" s="337"/>
      <c r="N73" s="302"/>
      <c r="V73" s="24"/>
      <c r="W73" s="24"/>
      <c r="X73" s="24"/>
      <c r="Y73" s="24"/>
    </row>
    <row r="74" spans="1:25" s="107" customFormat="1" ht="15.95" customHeight="1">
      <c r="A74" s="3"/>
      <c r="B74" s="24"/>
      <c r="C74" s="297"/>
      <c r="D74" s="297"/>
      <c r="E74" s="337"/>
      <c r="F74" s="337"/>
      <c r="G74" s="337"/>
      <c r="H74" s="337"/>
      <c r="I74" s="337"/>
      <c r="J74" s="337"/>
      <c r="K74" s="337"/>
      <c r="L74" s="337"/>
      <c r="N74" s="302"/>
      <c r="V74" s="24"/>
      <c r="W74" s="24"/>
      <c r="X74" s="24"/>
      <c r="Y74" s="24"/>
    </row>
    <row r="75" spans="1:25" s="107" customFormat="1" ht="15.95" customHeight="1">
      <c r="A75" s="3"/>
      <c r="B75" s="24"/>
      <c r="C75" s="297"/>
      <c r="D75" s="297"/>
      <c r="E75" s="337"/>
      <c r="F75" s="337"/>
      <c r="G75" s="337"/>
      <c r="H75" s="337"/>
      <c r="I75" s="337"/>
      <c r="J75" s="337"/>
      <c r="K75" s="337"/>
      <c r="L75" s="337"/>
      <c r="N75" s="302"/>
      <c r="V75" s="24"/>
      <c r="W75" s="24"/>
      <c r="X75" s="24"/>
      <c r="Y75" s="24"/>
    </row>
    <row r="76" spans="1:25" s="107" customFormat="1" ht="15.95" customHeight="1">
      <c r="A76" s="3"/>
      <c r="B76" s="24"/>
      <c r="C76" s="297"/>
      <c r="D76" s="297"/>
      <c r="E76" s="337"/>
      <c r="F76" s="337"/>
      <c r="G76" s="337"/>
      <c r="H76" s="337"/>
      <c r="I76" s="337"/>
      <c r="J76" s="337"/>
      <c r="K76" s="337"/>
      <c r="L76" s="337"/>
      <c r="N76" s="302"/>
      <c r="V76" s="24"/>
      <c r="W76" s="24"/>
      <c r="X76" s="24"/>
      <c r="Y76" s="24"/>
    </row>
    <row r="77" spans="1:25" s="107" customFormat="1" ht="15.95" customHeight="1">
      <c r="A77" s="3"/>
      <c r="B77" s="24"/>
      <c r="C77" s="297"/>
      <c r="D77" s="297"/>
      <c r="E77" s="337"/>
      <c r="F77" s="337"/>
      <c r="G77" s="337"/>
      <c r="H77" s="337"/>
      <c r="I77" s="337"/>
      <c r="J77" s="337"/>
      <c r="K77" s="337"/>
      <c r="L77" s="337"/>
      <c r="N77" s="302"/>
      <c r="V77" s="24"/>
      <c r="W77" s="24"/>
      <c r="X77" s="24"/>
      <c r="Y77" s="24"/>
    </row>
    <row r="78" spans="1:25" s="107" customFormat="1" ht="15.95" customHeight="1">
      <c r="A78" s="3"/>
      <c r="B78" s="24"/>
      <c r="C78" s="297"/>
      <c r="D78" s="297"/>
      <c r="E78" s="337"/>
      <c r="F78" s="337"/>
      <c r="G78" s="337"/>
      <c r="H78" s="337"/>
      <c r="I78" s="337"/>
      <c r="J78" s="337"/>
      <c r="K78" s="337"/>
      <c r="L78" s="337"/>
      <c r="N78" s="302"/>
      <c r="V78" s="24"/>
      <c r="W78" s="24"/>
      <c r="X78" s="24"/>
      <c r="Y78" s="24"/>
    </row>
    <row r="79" spans="1:25" s="107" customFormat="1" ht="15.95" customHeight="1">
      <c r="A79" s="3"/>
      <c r="B79" s="24"/>
      <c r="C79" s="297"/>
      <c r="D79" s="297"/>
      <c r="E79" s="337"/>
      <c r="F79" s="337"/>
      <c r="G79" s="337"/>
      <c r="H79" s="337"/>
      <c r="I79" s="337"/>
      <c r="J79" s="337"/>
      <c r="K79" s="337"/>
      <c r="L79" s="337"/>
      <c r="N79" s="302"/>
      <c r="V79" s="24"/>
      <c r="W79" s="24"/>
      <c r="X79" s="24"/>
      <c r="Y79" s="24"/>
    </row>
    <row r="80" spans="1:25" s="107" customFormat="1" ht="15.95" customHeight="1">
      <c r="A80" s="3"/>
      <c r="B80" s="24"/>
      <c r="C80" s="297"/>
      <c r="D80" s="297"/>
      <c r="E80" s="337"/>
      <c r="F80" s="337"/>
      <c r="G80" s="337"/>
      <c r="H80" s="337"/>
      <c r="I80" s="337"/>
      <c r="J80" s="337"/>
      <c r="K80" s="337"/>
      <c r="L80" s="337"/>
      <c r="N80" s="302"/>
      <c r="V80" s="24"/>
      <c r="W80" s="24"/>
      <c r="X80" s="24"/>
      <c r="Y80" s="24"/>
    </row>
    <row r="81" spans="1:25" s="107" customFormat="1" ht="15.95" customHeight="1">
      <c r="A81" s="3"/>
      <c r="B81" s="24"/>
      <c r="C81" s="297"/>
      <c r="D81" s="297"/>
      <c r="E81" s="337"/>
      <c r="F81" s="337"/>
      <c r="G81" s="337"/>
      <c r="H81" s="337"/>
      <c r="I81" s="337"/>
      <c r="J81" s="337"/>
      <c r="K81" s="337"/>
      <c r="L81" s="337"/>
      <c r="N81" s="302"/>
      <c r="V81" s="24"/>
      <c r="W81" s="24"/>
      <c r="X81" s="24"/>
      <c r="Y81" s="24"/>
    </row>
    <row r="82" spans="1:25" s="107" customFormat="1" ht="15.95" customHeight="1">
      <c r="A82" s="3"/>
      <c r="B82" s="24"/>
      <c r="C82" s="297"/>
      <c r="D82" s="297"/>
      <c r="E82" s="337"/>
      <c r="F82" s="337"/>
      <c r="G82" s="337"/>
      <c r="H82" s="337"/>
      <c r="I82" s="337"/>
      <c r="J82" s="337"/>
      <c r="K82" s="337"/>
      <c r="L82" s="337"/>
      <c r="N82" s="302"/>
      <c r="V82" s="24"/>
      <c r="W82" s="24"/>
      <c r="X82" s="24"/>
      <c r="Y82" s="24"/>
    </row>
    <row r="83" spans="1:25" s="107" customFormat="1" ht="15.95" customHeight="1">
      <c r="A83" s="3"/>
      <c r="B83" s="24"/>
      <c r="C83" s="297"/>
      <c r="D83" s="297"/>
      <c r="E83" s="337"/>
      <c r="F83" s="337"/>
      <c r="G83" s="337"/>
      <c r="H83" s="337"/>
      <c r="I83" s="337"/>
      <c r="J83" s="337"/>
      <c r="K83" s="337"/>
      <c r="L83" s="337"/>
      <c r="N83" s="302"/>
      <c r="V83" s="24"/>
      <c r="W83" s="24"/>
      <c r="X83" s="24"/>
      <c r="Y83" s="24"/>
    </row>
    <row r="84" spans="1:25" s="107" customFormat="1" ht="15.95" customHeight="1">
      <c r="A84" s="3"/>
      <c r="B84" s="24"/>
      <c r="C84" s="297"/>
      <c r="D84" s="297"/>
      <c r="E84" s="337"/>
      <c r="F84" s="337"/>
      <c r="G84" s="337"/>
      <c r="H84" s="337"/>
      <c r="I84" s="337"/>
      <c r="J84" s="337"/>
      <c r="K84" s="337"/>
      <c r="L84" s="337"/>
      <c r="N84" s="302"/>
      <c r="V84" s="24"/>
      <c r="W84" s="24"/>
      <c r="X84" s="24"/>
      <c r="Y84" s="24"/>
    </row>
    <row r="85" spans="1:25" s="107" customFormat="1" ht="15.95" customHeight="1">
      <c r="A85" s="3"/>
      <c r="B85" s="24"/>
      <c r="C85" s="297"/>
      <c r="D85" s="297"/>
      <c r="E85" s="337"/>
      <c r="F85" s="337"/>
      <c r="G85" s="337"/>
      <c r="H85" s="337"/>
      <c r="I85" s="337"/>
      <c r="J85" s="337"/>
      <c r="K85" s="337"/>
      <c r="L85" s="337"/>
      <c r="N85" s="302"/>
      <c r="V85" s="24"/>
      <c r="W85" s="24"/>
      <c r="X85" s="24"/>
      <c r="Y85" s="24"/>
    </row>
    <row r="86" spans="1:25" s="107" customFormat="1" ht="15.95" customHeight="1">
      <c r="A86" s="3"/>
      <c r="B86" s="24"/>
      <c r="C86" s="297"/>
      <c r="D86" s="297"/>
      <c r="E86" s="337"/>
      <c r="F86" s="337"/>
      <c r="G86" s="337"/>
      <c r="H86" s="337"/>
      <c r="I86" s="337"/>
      <c r="J86" s="337"/>
      <c r="K86" s="337"/>
      <c r="L86" s="337"/>
      <c r="N86" s="302"/>
      <c r="V86" s="24"/>
      <c r="W86" s="24"/>
      <c r="X86" s="24"/>
      <c r="Y86" s="24"/>
    </row>
    <row r="87" spans="1:25" s="107" customFormat="1" ht="15.95" customHeight="1">
      <c r="A87" s="3"/>
      <c r="B87" s="24"/>
      <c r="C87" s="297"/>
      <c r="D87" s="297"/>
      <c r="E87" s="337"/>
      <c r="F87" s="337"/>
      <c r="G87" s="337"/>
      <c r="H87" s="337"/>
      <c r="I87" s="337"/>
      <c r="J87" s="337"/>
      <c r="K87" s="337"/>
      <c r="L87" s="337"/>
      <c r="N87" s="302"/>
      <c r="V87" s="24"/>
      <c r="W87" s="24"/>
      <c r="X87" s="24"/>
      <c r="Y87" s="24"/>
    </row>
    <row r="88" spans="1:25" s="107" customFormat="1" ht="15.95" customHeight="1">
      <c r="A88" s="3"/>
      <c r="B88" s="24"/>
      <c r="C88" s="297"/>
      <c r="D88" s="297"/>
      <c r="E88" s="337"/>
      <c r="F88" s="337"/>
      <c r="G88" s="337"/>
      <c r="H88" s="337"/>
      <c r="I88" s="337"/>
      <c r="J88" s="337"/>
      <c r="K88" s="337"/>
      <c r="L88" s="337"/>
      <c r="N88" s="302"/>
      <c r="V88" s="24"/>
      <c r="W88" s="24"/>
      <c r="X88" s="24"/>
      <c r="Y88" s="24"/>
    </row>
    <row r="89" spans="1:25" s="107" customFormat="1" ht="15.95" customHeight="1">
      <c r="A89" s="3"/>
      <c r="B89" s="24"/>
      <c r="C89" s="297"/>
      <c r="D89" s="297"/>
      <c r="E89" s="337"/>
      <c r="F89" s="337"/>
      <c r="G89" s="337"/>
      <c r="H89" s="337"/>
      <c r="I89" s="337"/>
      <c r="J89" s="337"/>
      <c r="K89" s="337"/>
      <c r="L89" s="337"/>
      <c r="N89" s="302"/>
      <c r="V89" s="24"/>
      <c r="W89" s="24"/>
      <c r="X89" s="24"/>
      <c r="Y89" s="24"/>
    </row>
    <row r="90" spans="1:25" s="107" customFormat="1" ht="15.95" customHeight="1">
      <c r="A90" s="3"/>
      <c r="B90" s="24"/>
      <c r="C90" s="297"/>
      <c r="D90" s="297"/>
      <c r="E90" s="337"/>
      <c r="F90" s="337"/>
      <c r="G90" s="337"/>
      <c r="H90" s="337"/>
      <c r="I90" s="337"/>
      <c r="J90" s="337"/>
      <c r="K90" s="337"/>
      <c r="L90" s="337"/>
      <c r="N90" s="302"/>
      <c r="V90" s="24"/>
      <c r="W90" s="24"/>
      <c r="X90" s="24"/>
      <c r="Y90" s="24"/>
    </row>
    <row r="91" spans="1:25" s="107" customFormat="1" ht="15.95" customHeight="1">
      <c r="A91" s="3"/>
      <c r="B91" s="24"/>
      <c r="C91" s="297"/>
      <c r="D91" s="297"/>
      <c r="E91" s="337"/>
      <c r="F91" s="337"/>
      <c r="G91" s="337"/>
      <c r="H91" s="337"/>
      <c r="I91" s="337"/>
      <c r="J91" s="337"/>
      <c r="K91" s="337"/>
      <c r="L91" s="337"/>
      <c r="N91" s="302"/>
      <c r="V91" s="24"/>
      <c r="W91" s="24"/>
      <c r="X91" s="24"/>
      <c r="Y91" s="24"/>
    </row>
    <row r="92" spans="1:25" s="107" customFormat="1" ht="15.95" customHeight="1">
      <c r="A92" s="3"/>
      <c r="B92" s="24"/>
      <c r="C92" s="297"/>
      <c r="D92" s="297"/>
      <c r="E92" s="337"/>
      <c r="F92" s="337"/>
      <c r="G92" s="337"/>
      <c r="H92" s="337"/>
      <c r="I92" s="337"/>
      <c r="J92" s="337"/>
      <c r="K92" s="337"/>
      <c r="L92" s="337"/>
      <c r="N92" s="302"/>
      <c r="V92" s="24"/>
      <c r="W92" s="24"/>
      <c r="X92" s="24"/>
      <c r="Y92" s="24"/>
    </row>
    <row r="93" spans="1:25" s="107" customFormat="1" ht="15.95" customHeight="1">
      <c r="A93" s="3"/>
      <c r="B93" s="24"/>
      <c r="C93" s="297"/>
      <c r="D93" s="297"/>
      <c r="E93" s="337"/>
      <c r="F93" s="337"/>
      <c r="G93" s="337"/>
      <c r="H93" s="337"/>
      <c r="I93" s="337"/>
      <c r="J93" s="337"/>
      <c r="K93" s="337"/>
      <c r="L93" s="337"/>
      <c r="N93" s="302"/>
      <c r="V93" s="24"/>
      <c r="W93" s="24"/>
      <c r="X93" s="24"/>
      <c r="Y93" s="24"/>
    </row>
    <row r="94" spans="1:25" s="107" customFormat="1" ht="15.95" customHeight="1">
      <c r="A94" s="3"/>
      <c r="B94" s="24"/>
      <c r="C94" s="297"/>
      <c r="D94" s="297"/>
      <c r="E94" s="337"/>
      <c r="F94" s="337"/>
      <c r="G94" s="337"/>
      <c r="H94" s="337"/>
      <c r="I94" s="337"/>
      <c r="J94" s="337"/>
      <c r="K94" s="337"/>
      <c r="L94" s="337"/>
      <c r="N94" s="302"/>
      <c r="V94" s="24"/>
      <c r="W94" s="24"/>
      <c r="X94" s="24"/>
      <c r="Y94" s="24"/>
    </row>
    <row r="95" spans="1:25" s="107" customFormat="1" ht="15.95" customHeight="1">
      <c r="A95" s="3"/>
      <c r="B95" s="24"/>
      <c r="C95" s="297"/>
      <c r="D95" s="297"/>
      <c r="E95" s="337"/>
      <c r="F95" s="337"/>
      <c r="G95" s="337"/>
      <c r="H95" s="337"/>
      <c r="I95" s="337"/>
      <c r="J95" s="337"/>
      <c r="K95" s="337"/>
      <c r="L95" s="337"/>
      <c r="N95" s="302"/>
      <c r="V95" s="24"/>
      <c r="W95" s="24"/>
      <c r="X95" s="24"/>
      <c r="Y95" s="24"/>
    </row>
    <row r="96" spans="1:25" s="107" customFormat="1" ht="15.95" customHeight="1">
      <c r="A96" s="3"/>
      <c r="B96" s="24"/>
      <c r="C96" s="297"/>
      <c r="D96" s="297"/>
      <c r="E96" s="337"/>
      <c r="F96" s="337"/>
      <c r="G96" s="337"/>
      <c r="H96" s="337"/>
      <c r="I96" s="337"/>
      <c r="J96" s="337"/>
      <c r="K96" s="337"/>
      <c r="L96" s="337"/>
      <c r="N96" s="302"/>
      <c r="V96" s="24"/>
      <c r="W96" s="24"/>
      <c r="X96" s="24"/>
      <c r="Y96" s="24"/>
    </row>
    <row r="97" spans="1:25" s="107" customFormat="1" ht="15.95" customHeight="1">
      <c r="A97" s="3"/>
      <c r="B97" s="24"/>
      <c r="C97" s="297"/>
      <c r="D97" s="297"/>
      <c r="E97" s="337"/>
      <c r="F97" s="337"/>
      <c r="G97" s="337"/>
      <c r="H97" s="337"/>
      <c r="I97" s="337"/>
      <c r="J97" s="337"/>
      <c r="K97" s="337"/>
      <c r="L97" s="337"/>
      <c r="N97" s="302"/>
      <c r="V97" s="24"/>
      <c r="W97" s="24"/>
      <c r="X97" s="24"/>
      <c r="Y97" s="24"/>
    </row>
    <row r="98" spans="1:25" s="107" customFormat="1" ht="15.95" customHeight="1">
      <c r="A98" s="3"/>
      <c r="B98" s="24"/>
      <c r="C98" s="297"/>
      <c r="D98" s="297"/>
      <c r="E98" s="337"/>
      <c r="F98" s="337"/>
      <c r="G98" s="337"/>
      <c r="H98" s="337"/>
      <c r="I98" s="337"/>
      <c r="J98" s="337"/>
      <c r="K98" s="337"/>
      <c r="L98" s="337"/>
      <c r="N98" s="302"/>
      <c r="V98" s="24"/>
      <c r="W98" s="24"/>
      <c r="X98" s="24"/>
      <c r="Y98" s="24"/>
    </row>
    <row r="99" spans="1:25" s="107" customFormat="1" ht="15.95" customHeight="1">
      <c r="A99" s="3"/>
      <c r="B99" s="24"/>
      <c r="C99" s="297"/>
      <c r="D99" s="297"/>
      <c r="E99" s="337"/>
      <c r="F99" s="337"/>
      <c r="G99" s="337"/>
      <c r="H99" s="337"/>
      <c r="I99" s="337"/>
      <c r="J99" s="337"/>
      <c r="K99" s="337"/>
      <c r="L99" s="337"/>
      <c r="N99" s="302"/>
      <c r="V99" s="24"/>
      <c r="W99" s="24"/>
      <c r="X99" s="24"/>
      <c r="Y99" s="24"/>
    </row>
    <row r="100" spans="1:25" s="107" customFormat="1" ht="15.95" customHeight="1">
      <c r="A100" s="3"/>
      <c r="B100" s="24"/>
      <c r="C100" s="297"/>
      <c r="D100" s="297"/>
      <c r="E100" s="337"/>
      <c r="F100" s="337"/>
      <c r="G100" s="337"/>
      <c r="H100" s="337"/>
      <c r="I100" s="337"/>
      <c r="J100" s="337"/>
      <c r="K100" s="337"/>
      <c r="L100" s="337"/>
      <c r="N100" s="302"/>
      <c r="V100" s="24"/>
      <c r="W100" s="24"/>
      <c r="X100" s="24"/>
      <c r="Y100" s="24"/>
    </row>
    <row r="101" spans="1:25" s="107" customFormat="1" ht="15.95" customHeight="1">
      <c r="A101" s="3"/>
      <c r="B101" s="24"/>
      <c r="C101" s="297"/>
      <c r="D101" s="297"/>
      <c r="E101" s="337"/>
      <c r="F101" s="337"/>
      <c r="G101" s="337"/>
      <c r="H101" s="337"/>
      <c r="I101" s="337"/>
      <c r="J101" s="337"/>
      <c r="K101" s="337"/>
      <c r="L101" s="337"/>
      <c r="N101" s="302"/>
      <c r="V101" s="24"/>
      <c r="W101" s="24"/>
      <c r="X101" s="24"/>
      <c r="Y101" s="24"/>
    </row>
    <row r="102" spans="1:25" s="107" customFormat="1" ht="15.95" customHeight="1">
      <c r="A102" s="3"/>
      <c r="B102" s="24"/>
      <c r="C102" s="297"/>
      <c r="D102" s="297"/>
      <c r="E102" s="337"/>
      <c r="F102" s="337"/>
      <c r="G102" s="337"/>
      <c r="H102" s="337"/>
      <c r="I102" s="337"/>
      <c r="J102" s="337"/>
      <c r="K102" s="337"/>
      <c r="L102" s="337"/>
      <c r="N102" s="302"/>
      <c r="V102" s="24"/>
      <c r="W102" s="24"/>
      <c r="X102" s="24"/>
      <c r="Y102" s="24"/>
    </row>
    <row r="103" spans="1:25" s="107" customFormat="1" ht="15.95" customHeight="1">
      <c r="A103" s="3"/>
      <c r="B103" s="24"/>
      <c r="C103" s="297"/>
      <c r="D103" s="297"/>
      <c r="E103" s="337"/>
      <c r="F103" s="337"/>
      <c r="G103" s="337"/>
      <c r="H103" s="337"/>
      <c r="I103" s="337"/>
      <c r="J103" s="337"/>
      <c r="K103" s="337"/>
      <c r="L103" s="337"/>
      <c r="N103" s="302"/>
      <c r="V103" s="24"/>
      <c r="W103" s="24"/>
      <c r="X103" s="24"/>
      <c r="Y103" s="24"/>
    </row>
    <row r="104" spans="1:25" s="107" customFormat="1" ht="15.95" customHeight="1">
      <c r="A104" s="3"/>
      <c r="B104" s="24"/>
      <c r="C104" s="297"/>
      <c r="D104" s="297"/>
      <c r="E104" s="337"/>
      <c r="F104" s="337"/>
      <c r="G104" s="337"/>
      <c r="H104" s="337"/>
      <c r="I104" s="337"/>
      <c r="J104" s="337"/>
      <c r="K104" s="337"/>
      <c r="L104" s="337"/>
      <c r="N104" s="302"/>
      <c r="V104" s="24"/>
      <c r="W104" s="24"/>
      <c r="X104" s="24"/>
      <c r="Y104" s="24"/>
    </row>
    <row r="105" spans="1:25" s="107" customFormat="1" ht="15.95" customHeight="1">
      <c r="A105" s="3"/>
      <c r="B105" s="24"/>
      <c r="C105" s="297"/>
      <c r="D105" s="297"/>
      <c r="E105" s="337"/>
      <c r="F105" s="337"/>
      <c r="G105" s="337"/>
      <c r="H105" s="337"/>
      <c r="I105" s="337"/>
      <c r="J105" s="337"/>
      <c r="K105" s="337"/>
      <c r="L105" s="337"/>
      <c r="N105" s="302"/>
      <c r="V105" s="24"/>
      <c r="W105" s="24"/>
      <c r="X105" s="24"/>
      <c r="Y105" s="24"/>
    </row>
    <row r="106" spans="1:25" s="107" customFormat="1" ht="15.95" customHeight="1">
      <c r="A106" s="3"/>
      <c r="B106" s="24"/>
      <c r="C106" s="297"/>
      <c r="D106" s="297"/>
      <c r="E106" s="337"/>
      <c r="F106" s="337"/>
      <c r="G106" s="337"/>
      <c r="H106" s="337"/>
      <c r="I106" s="337"/>
      <c r="J106" s="337"/>
      <c r="K106" s="337"/>
      <c r="L106" s="337"/>
      <c r="N106" s="302"/>
      <c r="V106" s="24"/>
      <c r="W106" s="24"/>
      <c r="X106" s="24"/>
      <c r="Y106" s="24"/>
    </row>
    <row r="107" spans="1:25" s="107" customFormat="1" ht="15.95" customHeight="1">
      <c r="A107" s="3"/>
      <c r="B107" s="24"/>
      <c r="C107" s="297"/>
      <c r="D107" s="297"/>
      <c r="E107" s="337"/>
      <c r="F107" s="337"/>
      <c r="G107" s="337"/>
      <c r="H107" s="337"/>
      <c r="I107" s="337"/>
      <c r="J107" s="337"/>
      <c r="K107" s="337"/>
      <c r="L107" s="337"/>
      <c r="N107" s="302"/>
      <c r="V107" s="24"/>
      <c r="W107" s="24"/>
      <c r="X107" s="24"/>
      <c r="Y107" s="24"/>
    </row>
    <row r="108" spans="1:25" s="107" customFormat="1" ht="15.95" customHeight="1">
      <c r="A108" s="3"/>
      <c r="B108" s="24"/>
      <c r="C108" s="297"/>
      <c r="D108" s="297"/>
      <c r="E108" s="337"/>
      <c r="F108" s="337"/>
      <c r="G108" s="337"/>
      <c r="H108" s="337"/>
      <c r="I108" s="337"/>
      <c r="J108" s="337"/>
      <c r="K108" s="337"/>
      <c r="L108" s="337"/>
      <c r="N108" s="302"/>
      <c r="V108" s="24"/>
      <c r="W108" s="24"/>
      <c r="X108" s="24"/>
      <c r="Y108" s="24"/>
    </row>
    <row r="109" spans="1:25" s="107" customFormat="1" ht="15.95" customHeight="1">
      <c r="A109" s="3"/>
      <c r="B109" s="24"/>
      <c r="C109" s="297"/>
      <c r="D109" s="297"/>
      <c r="E109" s="337"/>
      <c r="F109" s="337"/>
      <c r="G109" s="337"/>
      <c r="H109" s="337"/>
      <c r="I109" s="337"/>
      <c r="J109" s="337"/>
      <c r="K109" s="337"/>
      <c r="L109" s="337"/>
      <c r="N109" s="302"/>
      <c r="V109" s="24"/>
      <c r="W109" s="24"/>
      <c r="X109" s="24"/>
      <c r="Y109" s="24"/>
    </row>
    <row r="110" spans="1:25" s="107" customFormat="1" ht="15.95" customHeight="1">
      <c r="A110" s="3"/>
      <c r="B110" s="24"/>
      <c r="C110" s="297"/>
      <c r="D110" s="297"/>
      <c r="E110" s="337"/>
      <c r="F110" s="337"/>
      <c r="G110" s="337"/>
      <c r="H110" s="337"/>
      <c r="I110" s="337"/>
      <c r="J110" s="337"/>
      <c r="K110" s="337"/>
      <c r="L110" s="337"/>
      <c r="N110" s="302"/>
      <c r="V110" s="24"/>
      <c r="W110" s="24"/>
      <c r="X110" s="24"/>
      <c r="Y110" s="24"/>
    </row>
    <row r="111" spans="1:25" s="107" customFormat="1" ht="15.95" customHeight="1">
      <c r="A111" s="3"/>
      <c r="B111" s="24"/>
      <c r="C111" s="297"/>
      <c r="D111" s="297"/>
      <c r="E111" s="337"/>
      <c r="F111" s="337"/>
      <c r="G111" s="337"/>
      <c r="H111" s="337"/>
      <c r="I111" s="337"/>
      <c r="J111" s="337"/>
      <c r="K111" s="337"/>
      <c r="L111" s="337"/>
      <c r="N111" s="302"/>
      <c r="V111" s="24"/>
      <c r="W111" s="24"/>
      <c r="X111" s="24"/>
      <c r="Y111" s="24"/>
    </row>
    <row r="112" spans="1:25" s="107" customFormat="1" ht="15.95" customHeight="1">
      <c r="A112" s="3"/>
      <c r="B112" s="24"/>
      <c r="C112" s="297"/>
      <c r="D112" s="297"/>
      <c r="E112" s="337"/>
      <c r="F112" s="337"/>
      <c r="G112" s="337"/>
      <c r="H112" s="337"/>
      <c r="I112" s="337"/>
      <c r="J112" s="337"/>
      <c r="K112" s="337"/>
      <c r="L112" s="337"/>
      <c r="N112" s="302"/>
      <c r="V112" s="24"/>
      <c r="W112" s="24"/>
      <c r="X112" s="24"/>
      <c r="Y112" s="24"/>
    </row>
    <row r="113" spans="1:25" s="107" customFormat="1" ht="15.95" customHeight="1">
      <c r="A113" s="3"/>
      <c r="B113" s="24"/>
      <c r="C113" s="297"/>
      <c r="D113" s="297"/>
      <c r="E113" s="337"/>
      <c r="F113" s="337"/>
      <c r="G113" s="337"/>
      <c r="H113" s="337"/>
      <c r="I113" s="337"/>
      <c r="J113" s="337"/>
      <c r="K113" s="337"/>
      <c r="L113" s="337"/>
      <c r="N113" s="302"/>
      <c r="V113" s="24"/>
      <c r="W113" s="24"/>
      <c r="X113" s="24"/>
      <c r="Y113" s="24"/>
    </row>
    <row r="114" spans="1:25" s="107" customFormat="1" ht="15.95" customHeight="1">
      <c r="A114" s="3"/>
      <c r="B114" s="24"/>
      <c r="C114" s="297"/>
      <c r="D114" s="297"/>
      <c r="E114" s="337"/>
      <c r="F114" s="337"/>
      <c r="G114" s="337"/>
      <c r="H114" s="337"/>
      <c r="I114" s="337"/>
      <c r="J114" s="337"/>
      <c r="K114" s="337"/>
      <c r="L114" s="337"/>
      <c r="N114" s="302"/>
      <c r="V114" s="24"/>
      <c r="W114" s="24"/>
      <c r="X114" s="24"/>
      <c r="Y114" s="24"/>
    </row>
    <row r="115" spans="1:25" s="107" customFormat="1" ht="15.95" customHeight="1">
      <c r="A115" s="3"/>
      <c r="B115" s="24"/>
      <c r="C115" s="297"/>
      <c r="D115" s="297"/>
      <c r="E115" s="337"/>
      <c r="F115" s="337"/>
      <c r="G115" s="337"/>
      <c r="H115" s="337"/>
      <c r="I115" s="337"/>
      <c r="J115" s="337"/>
      <c r="K115" s="337"/>
      <c r="L115" s="337"/>
      <c r="N115" s="302"/>
      <c r="V115" s="24"/>
      <c r="W115" s="24"/>
      <c r="X115" s="24"/>
      <c r="Y115" s="24"/>
    </row>
    <row r="116" spans="1:25" s="107" customFormat="1" ht="15.95" customHeight="1">
      <c r="A116" s="3"/>
      <c r="B116" s="24"/>
      <c r="C116" s="297"/>
      <c r="D116" s="297"/>
      <c r="E116" s="337"/>
      <c r="F116" s="337"/>
      <c r="G116" s="337"/>
      <c r="H116" s="337"/>
      <c r="I116" s="337"/>
      <c r="J116" s="337"/>
      <c r="K116" s="337"/>
      <c r="L116" s="337"/>
      <c r="N116" s="302"/>
      <c r="V116" s="24"/>
      <c r="W116" s="24"/>
      <c r="X116" s="24"/>
      <c r="Y116" s="24"/>
    </row>
    <row r="117" spans="1:25" s="107" customFormat="1" ht="15.95" customHeight="1">
      <c r="A117" s="3"/>
      <c r="B117" s="24"/>
      <c r="C117" s="297"/>
      <c r="D117" s="297"/>
      <c r="E117" s="337"/>
      <c r="F117" s="337"/>
      <c r="G117" s="337"/>
      <c r="H117" s="337"/>
      <c r="I117" s="337"/>
      <c r="J117" s="337"/>
      <c r="K117" s="337"/>
      <c r="L117" s="337"/>
      <c r="N117" s="302"/>
      <c r="V117" s="24"/>
      <c r="W117" s="24"/>
      <c r="X117" s="24"/>
      <c r="Y117" s="24"/>
    </row>
    <row r="118" spans="1:25" s="107" customFormat="1" ht="15.95" customHeight="1">
      <c r="A118" s="3"/>
      <c r="B118" s="24"/>
      <c r="C118" s="297"/>
      <c r="D118" s="297"/>
      <c r="E118" s="337"/>
      <c r="F118" s="337"/>
      <c r="G118" s="337"/>
      <c r="H118" s="337"/>
      <c r="I118" s="337"/>
      <c r="J118" s="337"/>
      <c r="K118" s="337"/>
      <c r="L118" s="337"/>
      <c r="N118" s="302"/>
      <c r="V118" s="24"/>
      <c r="W118" s="24"/>
      <c r="X118" s="24"/>
      <c r="Y118" s="24"/>
    </row>
    <row r="119" spans="1:25" s="107" customFormat="1" ht="15.95" customHeight="1">
      <c r="A119" s="3"/>
      <c r="B119" s="24"/>
      <c r="C119" s="297"/>
      <c r="D119" s="297"/>
      <c r="E119" s="337"/>
      <c r="F119" s="337"/>
      <c r="G119" s="337"/>
      <c r="H119" s="337"/>
      <c r="I119" s="337"/>
      <c r="J119" s="337"/>
      <c r="K119" s="337"/>
      <c r="L119" s="337"/>
      <c r="N119" s="302"/>
      <c r="V119" s="24"/>
      <c r="W119" s="24"/>
      <c r="X119" s="24"/>
      <c r="Y119" s="24"/>
    </row>
    <row r="120" spans="1:25" s="107" customFormat="1" ht="15.95" customHeight="1">
      <c r="A120" s="3"/>
      <c r="B120" s="24"/>
      <c r="C120" s="297"/>
      <c r="D120" s="297"/>
      <c r="E120" s="337"/>
      <c r="F120" s="337"/>
      <c r="G120" s="337"/>
      <c r="H120" s="337"/>
      <c r="I120" s="337"/>
      <c r="J120" s="337"/>
      <c r="K120" s="337"/>
      <c r="L120" s="337"/>
      <c r="N120" s="302"/>
      <c r="V120" s="24"/>
      <c r="W120" s="24"/>
      <c r="X120" s="24"/>
      <c r="Y120" s="24"/>
    </row>
    <row r="121" spans="1:25" s="107" customFormat="1" ht="15.95" customHeight="1">
      <c r="A121" s="3"/>
      <c r="B121" s="24"/>
      <c r="C121" s="297"/>
      <c r="D121" s="297"/>
      <c r="E121" s="337"/>
      <c r="F121" s="337"/>
      <c r="G121" s="337"/>
      <c r="H121" s="337"/>
      <c r="I121" s="337"/>
      <c r="J121" s="337"/>
      <c r="K121" s="337"/>
      <c r="L121" s="337"/>
      <c r="N121" s="302"/>
      <c r="V121" s="24"/>
      <c r="W121" s="24"/>
      <c r="X121" s="24"/>
      <c r="Y121" s="24"/>
    </row>
    <row r="122" spans="1:25" s="107" customFormat="1" ht="15.95" customHeight="1">
      <c r="A122" s="3"/>
      <c r="B122" s="24"/>
      <c r="C122" s="297"/>
      <c r="D122" s="297"/>
      <c r="E122" s="337"/>
      <c r="F122" s="337"/>
      <c r="G122" s="337"/>
      <c r="H122" s="337"/>
      <c r="I122" s="337"/>
      <c r="J122" s="337"/>
      <c r="K122" s="337"/>
      <c r="L122" s="337"/>
      <c r="N122" s="302"/>
      <c r="V122" s="24"/>
      <c r="W122" s="24"/>
      <c r="X122" s="24"/>
      <c r="Y122" s="24"/>
    </row>
    <row r="123" spans="1:25" s="107" customFormat="1" ht="15.95" customHeight="1">
      <c r="A123" s="3"/>
      <c r="B123" s="24"/>
      <c r="C123" s="297"/>
      <c r="D123" s="297"/>
      <c r="E123" s="337"/>
      <c r="F123" s="337"/>
      <c r="G123" s="340"/>
      <c r="H123" s="337"/>
      <c r="I123" s="337"/>
      <c r="J123" s="337"/>
      <c r="K123" s="337"/>
      <c r="L123" s="337"/>
      <c r="N123" s="302"/>
      <c r="V123" s="24"/>
      <c r="W123" s="24"/>
      <c r="X123" s="24"/>
      <c r="Y123" s="24"/>
    </row>
    <row r="124" spans="1:25" s="107" customFormat="1" ht="15.95" customHeight="1">
      <c r="A124" s="3"/>
      <c r="B124" s="24"/>
      <c r="C124" s="297"/>
      <c r="D124" s="297"/>
      <c r="E124" s="337"/>
      <c r="F124" s="337"/>
      <c r="G124" s="337"/>
      <c r="H124" s="337"/>
      <c r="I124" s="337"/>
      <c r="J124" s="337"/>
      <c r="K124" s="337"/>
      <c r="L124" s="337"/>
      <c r="N124" s="302"/>
      <c r="V124" s="24"/>
      <c r="W124" s="24"/>
      <c r="X124" s="24"/>
      <c r="Y124" s="24"/>
    </row>
    <row r="125" spans="1:25" s="107" customFormat="1" ht="15.95" customHeight="1">
      <c r="A125" s="3"/>
      <c r="B125" s="24"/>
      <c r="C125" s="297"/>
      <c r="D125" s="297"/>
      <c r="E125" s="337"/>
      <c r="F125" s="337"/>
      <c r="G125" s="337"/>
      <c r="H125" s="337"/>
      <c r="I125" s="337"/>
      <c r="J125" s="337"/>
      <c r="K125" s="337"/>
      <c r="L125" s="337"/>
      <c r="N125" s="302"/>
      <c r="V125" s="24"/>
      <c r="W125" s="24"/>
      <c r="X125" s="24"/>
      <c r="Y125" s="24"/>
    </row>
    <row r="126" spans="1:25" s="107" customFormat="1" ht="15.95" customHeight="1">
      <c r="A126" s="3"/>
      <c r="B126" s="24"/>
      <c r="C126" s="297"/>
      <c r="D126" s="297"/>
      <c r="E126" s="337"/>
      <c r="F126" s="337"/>
      <c r="G126" s="337"/>
      <c r="H126" s="337"/>
      <c r="I126" s="337"/>
      <c r="J126" s="337"/>
      <c r="K126" s="337"/>
      <c r="L126" s="337"/>
      <c r="N126" s="302"/>
      <c r="V126" s="24"/>
      <c r="W126" s="24"/>
      <c r="X126" s="24"/>
      <c r="Y126" s="24"/>
    </row>
    <row r="127" spans="1:25" s="107" customFormat="1" ht="15.95" customHeight="1">
      <c r="A127" s="3"/>
      <c r="B127" s="24"/>
      <c r="C127" s="297"/>
      <c r="D127" s="297"/>
      <c r="E127" s="337"/>
      <c r="F127" s="337"/>
      <c r="G127" s="337"/>
      <c r="H127" s="337"/>
      <c r="I127" s="337"/>
      <c r="J127" s="337"/>
      <c r="K127" s="337"/>
      <c r="L127" s="337"/>
      <c r="N127" s="302"/>
      <c r="V127" s="24"/>
      <c r="W127" s="24"/>
      <c r="X127" s="24"/>
      <c r="Y127" s="24"/>
    </row>
    <row r="128" spans="1:25" s="107" customFormat="1" ht="15.95" customHeight="1">
      <c r="A128" s="3"/>
      <c r="B128" s="24"/>
      <c r="C128" s="297"/>
      <c r="D128" s="297"/>
      <c r="E128" s="337"/>
      <c r="F128" s="337"/>
      <c r="G128" s="341"/>
      <c r="H128" s="337"/>
      <c r="I128" s="337"/>
      <c r="J128" s="337"/>
      <c r="K128" s="337"/>
      <c r="L128" s="337"/>
      <c r="N128" s="302"/>
      <c r="V128" s="24"/>
      <c r="W128" s="24"/>
      <c r="X128" s="24"/>
      <c r="Y128" s="24"/>
    </row>
    <row r="129" spans="1:25" s="107" customFormat="1" ht="15.95" customHeight="1">
      <c r="A129" s="3"/>
      <c r="B129" s="24"/>
      <c r="C129" s="297"/>
      <c r="D129" s="297"/>
      <c r="E129" s="337"/>
      <c r="F129" s="337"/>
      <c r="G129" s="337"/>
      <c r="H129" s="337"/>
      <c r="I129" s="337"/>
      <c r="J129" s="337"/>
      <c r="K129" s="337"/>
      <c r="L129" s="337"/>
      <c r="N129" s="302"/>
      <c r="V129" s="24"/>
      <c r="W129" s="24"/>
      <c r="X129" s="24"/>
      <c r="Y129" s="24"/>
    </row>
    <row r="130" spans="1:25" s="107" customFormat="1" ht="15.95" customHeight="1">
      <c r="A130" s="3"/>
      <c r="B130" s="24"/>
      <c r="C130" s="297"/>
      <c r="D130" s="297"/>
      <c r="E130" s="337"/>
      <c r="F130" s="337"/>
      <c r="G130" s="337"/>
      <c r="H130" s="337"/>
      <c r="I130" s="337"/>
      <c r="J130" s="337"/>
      <c r="K130" s="337"/>
      <c r="L130" s="337"/>
      <c r="N130" s="302"/>
      <c r="V130" s="24"/>
      <c r="W130" s="24"/>
      <c r="X130" s="24"/>
      <c r="Y130" s="24"/>
    </row>
    <row r="131" spans="1:25" s="107" customFormat="1" ht="15.95" customHeight="1">
      <c r="A131" s="3"/>
      <c r="B131" s="24"/>
      <c r="C131" s="297"/>
      <c r="D131" s="297"/>
      <c r="E131" s="337"/>
      <c r="F131" s="337"/>
      <c r="G131" s="337"/>
      <c r="H131" s="337"/>
      <c r="I131" s="337"/>
      <c r="J131" s="337"/>
      <c r="K131" s="337"/>
      <c r="L131" s="337"/>
      <c r="N131" s="302"/>
      <c r="V131" s="24"/>
      <c r="W131" s="24"/>
      <c r="X131" s="24"/>
      <c r="Y131" s="24"/>
    </row>
    <row r="132" spans="1:25" s="107" customFormat="1" ht="15.95" customHeight="1">
      <c r="A132" s="3"/>
      <c r="B132" s="24"/>
      <c r="C132" s="297"/>
      <c r="D132" s="297"/>
      <c r="H132" s="337"/>
      <c r="I132" s="337"/>
      <c r="J132" s="337"/>
      <c r="K132" s="337"/>
      <c r="L132" s="337"/>
      <c r="N132" s="302"/>
      <c r="V132" s="24"/>
      <c r="W132" s="24"/>
      <c r="X132" s="24"/>
      <c r="Y132" s="24"/>
    </row>
    <row r="133" spans="1:25" s="107" customFormat="1" ht="15.95" customHeight="1">
      <c r="A133" s="3"/>
      <c r="B133" s="24"/>
      <c r="C133" s="297"/>
      <c r="D133" s="297"/>
      <c r="E133" s="337"/>
      <c r="F133" s="337"/>
      <c r="G133" s="337"/>
      <c r="H133" s="337"/>
      <c r="I133" s="337"/>
      <c r="J133" s="337"/>
      <c r="K133" s="337"/>
      <c r="L133" s="337"/>
      <c r="N133" s="302"/>
      <c r="V133" s="24"/>
      <c r="W133" s="24"/>
      <c r="X133" s="24"/>
      <c r="Y133" s="24"/>
    </row>
    <row r="134" spans="1:25" s="107" customFormat="1" ht="15.95" customHeight="1">
      <c r="A134" s="3"/>
      <c r="B134" s="24"/>
      <c r="C134" s="297"/>
      <c r="D134" s="297"/>
      <c r="E134" s="337"/>
      <c r="F134" s="337"/>
      <c r="G134" s="337"/>
      <c r="H134" s="337"/>
      <c r="I134" s="337"/>
      <c r="J134" s="337"/>
      <c r="K134" s="337"/>
      <c r="L134" s="337"/>
      <c r="N134" s="302"/>
      <c r="V134" s="24"/>
      <c r="W134" s="24"/>
      <c r="X134" s="24"/>
      <c r="Y134" s="24"/>
    </row>
    <row r="135" spans="1:25" s="107" customFormat="1" ht="15.95" customHeight="1">
      <c r="A135" s="3"/>
      <c r="B135" s="24"/>
      <c r="C135" s="297"/>
      <c r="D135" s="297"/>
      <c r="E135" s="337"/>
      <c r="F135" s="337"/>
      <c r="G135" s="337"/>
      <c r="H135" s="337"/>
      <c r="I135" s="337"/>
      <c r="J135" s="337"/>
      <c r="K135" s="337"/>
      <c r="L135" s="337"/>
      <c r="N135" s="302"/>
      <c r="V135" s="24"/>
      <c r="W135" s="24"/>
      <c r="X135" s="24"/>
      <c r="Y135" s="24"/>
    </row>
    <row r="136" spans="1:25" s="107" customFormat="1" ht="15.95" customHeight="1">
      <c r="A136" s="3"/>
      <c r="B136" s="24"/>
      <c r="C136" s="297"/>
      <c r="D136" s="297"/>
      <c r="E136" s="337"/>
      <c r="F136" s="337"/>
      <c r="G136" s="337"/>
      <c r="H136" s="337"/>
      <c r="I136" s="337"/>
      <c r="J136" s="337"/>
      <c r="K136" s="337"/>
      <c r="L136" s="337"/>
      <c r="N136" s="302"/>
      <c r="V136" s="24"/>
      <c r="W136" s="24"/>
      <c r="X136" s="24"/>
      <c r="Y136" s="24"/>
    </row>
    <row r="137" spans="1:25" s="107" customFormat="1" ht="15.95" customHeight="1">
      <c r="A137" s="3"/>
      <c r="B137" s="24"/>
      <c r="C137" s="297"/>
      <c r="D137" s="297"/>
      <c r="E137" s="337"/>
      <c r="F137" s="337"/>
      <c r="G137" s="337"/>
      <c r="H137" s="337"/>
      <c r="I137" s="337"/>
      <c r="J137" s="337"/>
      <c r="K137" s="337"/>
      <c r="L137" s="337"/>
      <c r="N137" s="302"/>
      <c r="V137" s="24"/>
      <c r="W137" s="24"/>
      <c r="X137" s="24"/>
      <c r="Y137" s="24"/>
    </row>
    <row r="138" spans="1:25" s="107" customFormat="1" ht="15.95" customHeight="1">
      <c r="A138" s="3"/>
      <c r="B138" s="24"/>
      <c r="C138" s="297"/>
      <c r="D138" s="297"/>
      <c r="E138" s="337"/>
      <c r="F138" s="337"/>
      <c r="G138" s="337"/>
      <c r="H138" s="337"/>
      <c r="I138" s="337"/>
      <c r="J138" s="337"/>
      <c r="K138" s="337"/>
      <c r="L138" s="337"/>
      <c r="N138" s="302"/>
      <c r="V138" s="24"/>
      <c r="W138" s="24"/>
      <c r="X138" s="24"/>
      <c r="Y138" s="24"/>
    </row>
    <row r="139" spans="1:25" s="107" customFormat="1" ht="15.95" customHeight="1">
      <c r="A139" s="3"/>
      <c r="B139" s="24"/>
      <c r="C139" s="297"/>
      <c r="D139" s="297"/>
      <c r="E139" s="337"/>
      <c r="F139" s="337"/>
      <c r="G139" s="337"/>
      <c r="H139" s="337"/>
      <c r="I139" s="337"/>
      <c r="J139" s="337"/>
      <c r="K139" s="337"/>
      <c r="L139" s="337"/>
      <c r="N139" s="302"/>
      <c r="V139" s="24"/>
      <c r="W139" s="24"/>
      <c r="X139" s="24"/>
      <c r="Y139" s="24"/>
    </row>
    <row r="140" spans="1:25" s="107" customFormat="1" ht="15.95" customHeight="1">
      <c r="A140" s="3"/>
      <c r="B140" s="24"/>
      <c r="C140" s="297"/>
      <c r="D140" s="297"/>
      <c r="E140" s="337"/>
      <c r="F140" s="337"/>
      <c r="G140" s="337"/>
      <c r="H140" s="337"/>
      <c r="I140" s="337"/>
      <c r="J140" s="337"/>
      <c r="K140" s="337"/>
      <c r="L140" s="337"/>
      <c r="N140" s="302"/>
      <c r="V140" s="24"/>
      <c r="W140" s="24"/>
      <c r="X140" s="24"/>
      <c r="Y140" s="24"/>
    </row>
    <row r="141" spans="1:25" s="107" customFormat="1" ht="15.95" customHeight="1">
      <c r="A141" s="3"/>
      <c r="B141" s="24"/>
      <c r="C141" s="297"/>
      <c r="D141" s="297"/>
      <c r="E141" s="337"/>
      <c r="F141" s="337"/>
      <c r="G141" s="337"/>
      <c r="H141" s="337"/>
      <c r="I141" s="337"/>
      <c r="J141" s="337"/>
      <c r="K141" s="337"/>
      <c r="L141" s="337"/>
      <c r="N141" s="302"/>
      <c r="V141" s="24"/>
      <c r="W141" s="24"/>
      <c r="X141" s="24"/>
      <c r="Y141" s="24"/>
    </row>
    <row r="142" spans="1:25" s="107" customFormat="1" ht="15.95" customHeight="1">
      <c r="A142" s="3"/>
      <c r="B142" s="24"/>
      <c r="C142" s="297"/>
      <c r="D142" s="297"/>
      <c r="E142" s="337"/>
      <c r="F142" s="337"/>
      <c r="G142" s="337"/>
      <c r="H142" s="337"/>
      <c r="I142" s="337"/>
      <c r="J142" s="337"/>
      <c r="K142" s="337"/>
      <c r="L142" s="337"/>
      <c r="N142" s="302"/>
      <c r="V142" s="24"/>
      <c r="W142" s="24"/>
      <c r="X142" s="24"/>
      <c r="Y142" s="24"/>
    </row>
    <row r="143" spans="1:25" s="107" customFormat="1" ht="15.95" customHeight="1">
      <c r="A143" s="3"/>
      <c r="B143" s="24"/>
      <c r="C143" s="297"/>
      <c r="D143" s="297"/>
      <c r="E143" s="337"/>
      <c r="F143" s="337"/>
      <c r="G143" s="337"/>
      <c r="H143" s="337"/>
      <c r="I143" s="337"/>
      <c r="J143" s="337"/>
      <c r="K143" s="337"/>
      <c r="L143" s="337"/>
      <c r="N143" s="302"/>
      <c r="V143" s="24"/>
      <c r="W143" s="24"/>
      <c r="X143" s="24"/>
      <c r="Y143" s="24"/>
    </row>
    <row r="144" spans="1:25" s="107" customFormat="1" ht="15.95" customHeight="1">
      <c r="A144" s="3"/>
      <c r="B144" s="24"/>
      <c r="C144" s="297"/>
      <c r="D144" s="297"/>
      <c r="E144" s="337"/>
      <c r="F144" s="337"/>
      <c r="G144" s="337"/>
      <c r="H144" s="337"/>
      <c r="I144" s="337"/>
      <c r="J144" s="337"/>
      <c r="K144" s="337"/>
      <c r="L144" s="337"/>
      <c r="N144" s="302"/>
      <c r="V144" s="24"/>
      <c r="W144" s="24"/>
      <c r="X144" s="24"/>
      <c r="Y144" s="24"/>
    </row>
    <row r="145" spans="1:25" s="107" customFormat="1" ht="15.95" customHeight="1">
      <c r="A145" s="3"/>
      <c r="B145" s="24"/>
      <c r="C145" s="297"/>
      <c r="D145" s="297"/>
      <c r="E145" s="337"/>
      <c r="F145" s="337"/>
      <c r="G145" s="337"/>
      <c r="H145" s="337"/>
      <c r="I145" s="337"/>
      <c r="J145" s="337"/>
      <c r="K145" s="337"/>
      <c r="L145" s="337"/>
      <c r="N145" s="302"/>
      <c r="V145" s="24"/>
      <c r="W145" s="24"/>
      <c r="X145" s="24"/>
      <c r="Y145" s="24"/>
    </row>
    <row r="146" spans="1:25" s="107" customFormat="1" ht="15.95" customHeight="1">
      <c r="A146" s="3"/>
      <c r="B146" s="24"/>
      <c r="C146" s="297"/>
      <c r="D146" s="297"/>
      <c r="E146" s="337"/>
      <c r="F146" s="337"/>
      <c r="G146" s="337"/>
      <c r="H146" s="337"/>
      <c r="I146" s="337"/>
      <c r="J146" s="337"/>
      <c r="K146" s="337"/>
      <c r="L146" s="337"/>
      <c r="N146" s="302"/>
      <c r="V146" s="24"/>
      <c r="W146" s="24"/>
      <c r="X146" s="24"/>
      <c r="Y146" s="24"/>
    </row>
    <row r="147" spans="1:25" s="107" customFormat="1" ht="15.95" customHeight="1">
      <c r="A147" s="3"/>
      <c r="B147" s="24"/>
      <c r="C147" s="297"/>
      <c r="D147" s="297"/>
      <c r="E147" s="337"/>
      <c r="F147" s="337"/>
      <c r="G147" s="337"/>
      <c r="H147" s="337"/>
      <c r="I147" s="337"/>
      <c r="J147" s="337"/>
      <c r="K147" s="337"/>
      <c r="L147" s="337"/>
      <c r="N147" s="302"/>
      <c r="V147" s="24"/>
      <c r="W147" s="24"/>
      <c r="X147" s="24"/>
      <c r="Y147" s="24"/>
    </row>
    <row r="148" spans="1:25" s="107" customFormat="1" ht="15.95" customHeight="1">
      <c r="A148" s="3"/>
      <c r="B148" s="24"/>
      <c r="C148" s="297"/>
      <c r="D148" s="297"/>
      <c r="E148" s="337"/>
      <c r="F148" s="337"/>
      <c r="G148" s="337"/>
      <c r="H148" s="337"/>
      <c r="I148" s="337"/>
      <c r="J148" s="337"/>
      <c r="K148" s="337"/>
      <c r="L148" s="337"/>
      <c r="N148" s="302"/>
      <c r="V148" s="24"/>
      <c r="W148" s="24"/>
      <c r="X148" s="24"/>
      <c r="Y148" s="24"/>
    </row>
    <row r="149" spans="1:25" s="107" customFormat="1" ht="15.95" customHeight="1">
      <c r="A149" s="3"/>
      <c r="B149" s="24"/>
      <c r="C149" s="297"/>
      <c r="D149" s="297"/>
      <c r="E149" s="337"/>
      <c r="F149" s="337"/>
      <c r="G149" s="337"/>
      <c r="H149" s="337"/>
      <c r="I149" s="337"/>
      <c r="J149" s="337"/>
      <c r="K149" s="337"/>
      <c r="L149" s="337"/>
      <c r="N149" s="302"/>
      <c r="V149" s="24"/>
      <c r="W149" s="24"/>
      <c r="X149" s="24"/>
      <c r="Y149" s="24"/>
    </row>
    <row r="150" spans="1:25" s="107" customFormat="1" ht="15.95" customHeight="1">
      <c r="A150" s="3"/>
      <c r="B150" s="24"/>
      <c r="C150" s="297"/>
      <c r="D150" s="297"/>
      <c r="E150" s="337"/>
      <c r="F150" s="337"/>
      <c r="G150" s="337"/>
      <c r="H150" s="337"/>
      <c r="I150" s="337"/>
      <c r="J150" s="337"/>
      <c r="K150" s="337"/>
      <c r="L150" s="337"/>
      <c r="N150" s="302"/>
      <c r="V150" s="24"/>
      <c r="W150" s="24"/>
      <c r="X150" s="24"/>
      <c r="Y150" s="24"/>
    </row>
    <row r="151" spans="1:25" s="107" customFormat="1" ht="15.95" customHeight="1">
      <c r="A151" s="3"/>
      <c r="B151" s="24"/>
      <c r="C151" s="297"/>
      <c r="D151" s="297"/>
      <c r="E151" s="337"/>
      <c r="F151" s="337"/>
      <c r="G151" s="337"/>
      <c r="H151" s="337"/>
      <c r="I151" s="337"/>
      <c r="J151" s="337"/>
      <c r="K151" s="337"/>
      <c r="L151" s="337"/>
      <c r="N151" s="302"/>
      <c r="V151" s="24"/>
      <c r="W151" s="24"/>
      <c r="X151" s="24"/>
      <c r="Y151" s="24"/>
    </row>
    <row r="152" spans="1:25" s="107" customFormat="1" ht="15.95" customHeight="1">
      <c r="A152" s="3"/>
      <c r="B152" s="24"/>
      <c r="C152" s="297"/>
      <c r="D152" s="297"/>
      <c r="E152" s="337"/>
      <c r="F152" s="337"/>
      <c r="G152" s="337"/>
      <c r="H152" s="337"/>
      <c r="I152" s="337"/>
      <c r="J152" s="337"/>
      <c r="K152" s="337"/>
      <c r="L152" s="337"/>
      <c r="N152" s="302"/>
      <c r="V152" s="24"/>
      <c r="W152" s="24"/>
      <c r="X152" s="24"/>
      <c r="Y152" s="24"/>
    </row>
    <row r="153" spans="1:25" s="107" customFormat="1" ht="15.95" customHeight="1">
      <c r="A153" s="3"/>
      <c r="B153" s="24"/>
      <c r="C153" s="297"/>
      <c r="D153" s="297"/>
      <c r="E153" s="337"/>
      <c r="F153" s="337"/>
      <c r="G153" s="337"/>
      <c r="H153" s="337"/>
      <c r="I153" s="337"/>
      <c r="J153" s="337"/>
      <c r="K153" s="337"/>
      <c r="L153" s="337"/>
      <c r="N153" s="302"/>
      <c r="V153" s="24"/>
      <c r="W153" s="24"/>
      <c r="X153" s="24"/>
      <c r="Y153" s="24"/>
    </row>
    <row r="154" spans="1:25" s="107" customFormat="1" ht="15.95" customHeight="1">
      <c r="A154" s="3"/>
      <c r="B154" s="24"/>
      <c r="C154" s="297"/>
      <c r="D154" s="297"/>
      <c r="E154" s="337"/>
      <c r="F154" s="337"/>
      <c r="G154" s="337"/>
      <c r="H154" s="337"/>
      <c r="I154" s="337"/>
      <c r="J154" s="337"/>
      <c r="K154" s="337"/>
      <c r="L154" s="337"/>
      <c r="N154" s="302"/>
      <c r="V154" s="24"/>
      <c r="W154" s="24"/>
      <c r="X154" s="24"/>
      <c r="Y154" s="24"/>
    </row>
    <row r="155" spans="1:25" s="107" customFormat="1" ht="15.95" customHeight="1">
      <c r="A155" s="3"/>
      <c r="B155" s="24"/>
      <c r="C155" s="297"/>
      <c r="D155" s="297"/>
      <c r="E155" s="337"/>
      <c r="F155" s="337"/>
      <c r="G155" s="337"/>
      <c r="H155" s="337"/>
      <c r="I155" s="337"/>
      <c r="J155" s="337"/>
      <c r="K155" s="337"/>
      <c r="L155" s="337"/>
      <c r="N155" s="302"/>
      <c r="V155" s="24"/>
      <c r="W155" s="24"/>
      <c r="X155" s="24"/>
      <c r="Y155" s="24"/>
    </row>
    <row r="156" spans="1:25" s="107" customFormat="1" ht="15.95" customHeight="1">
      <c r="A156" s="3"/>
      <c r="B156" s="24"/>
      <c r="C156" s="297"/>
      <c r="D156" s="297"/>
      <c r="E156" s="337"/>
      <c r="F156" s="337"/>
      <c r="G156" s="337"/>
      <c r="H156" s="337"/>
      <c r="I156" s="337"/>
      <c r="J156" s="337"/>
      <c r="K156" s="337"/>
      <c r="L156" s="337"/>
      <c r="N156" s="302"/>
      <c r="V156" s="24"/>
      <c r="W156" s="24"/>
      <c r="X156" s="24"/>
      <c r="Y156" s="24"/>
    </row>
    <row r="157" spans="1:25" s="107" customFormat="1" ht="15.95" customHeight="1">
      <c r="A157" s="3"/>
      <c r="B157" s="24"/>
      <c r="C157" s="297"/>
      <c r="D157" s="297"/>
      <c r="E157" s="337"/>
      <c r="F157" s="337"/>
      <c r="G157" s="337"/>
      <c r="H157" s="337"/>
      <c r="I157" s="337"/>
      <c r="J157" s="337"/>
      <c r="K157" s="337"/>
      <c r="L157" s="337"/>
      <c r="N157" s="302"/>
      <c r="V157" s="24"/>
      <c r="W157" s="24"/>
      <c r="X157" s="24"/>
      <c r="Y157" s="24"/>
    </row>
    <row r="158" spans="1:25" s="107" customFormat="1" ht="15.95" customHeight="1">
      <c r="A158" s="3"/>
      <c r="B158" s="24"/>
      <c r="C158" s="297"/>
      <c r="D158" s="297"/>
      <c r="E158" s="337"/>
      <c r="F158" s="337"/>
      <c r="G158" s="337"/>
      <c r="H158" s="337"/>
      <c r="I158" s="337"/>
      <c r="J158" s="337"/>
      <c r="K158" s="337"/>
      <c r="L158" s="337"/>
      <c r="N158" s="302"/>
      <c r="V158" s="24"/>
      <c r="W158" s="24"/>
      <c r="X158" s="24"/>
      <c r="Y158" s="24"/>
    </row>
    <row r="159" spans="1:25" s="107" customFormat="1" ht="15.95" customHeight="1">
      <c r="A159" s="3"/>
      <c r="B159" s="24"/>
      <c r="C159" s="297"/>
      <c r="D159" s="297"/>
      <c r="E159" s="337"/>
      <c r="F159" s="337"/>
      <c r="G159" s="337"/>
      <c r="H159" s="337"/>
      <c r="I159" s="337"/>
      <c r="J159" s="337"/>
      <c r="K159" s="337"/>
      <c r="L159" s="337"/>
      <c r="N159" s="302"/>
      <c r="V159" s="24"/>
      <c r="W159" s="24"/>
      <c r="X159" s="24"/>
      <c r="Y159" s="24"/>
    </row>
    <row r="160" spans="1:25" s="107" customFormat="1" ht="15.95" customHeight="1">
      <c r="A160" s="3"/>
      <c r="B160" s="24"/>
      <c r="C160" s="297"/>
      <c r="D160" s="297"/>
      <c r="E160" s="337"/>
      <c r="F160" s="337"/>
      <c r="G160" s="337"/>
      <c r="H160" s="337"/>
      <c r="I160" s="337"/>
      <c r="J160" s="337"/>
      <c r="K160" s="337"/>
      <c r="L160" s="337"/>
      <c r="N160" s="302"/>
      <c r="V160" s="24"/>
      <c r="W160" s="24"/>
      <c r="X160" s="24"/>
      <c r="Y160" s="24"/>
    </row>
    <row r="161" spans="1:25" s="107" customFormat="1" ht="15.95" customHeight="1">
      <c r="A161" s="3"/>
      <c r="B161" s="24"/>
      <c r="C161" s="297"/>
      <c r="D161" s="297"/>
      <c r="E161" s="337"/>
      <c r="F161" s="337"/>
      <c r="G161" s="337"/>
      <c r="H161" s="337"/>
      <c r="I161" s="337"/>
      <c r="J161" s="337"/>
      <c r="K161" s="337"/>
      <c r="L161" s="337"/>
      <c r="N161" s="302"/>
      <c r="V161" s="24"/>
      <c r="W161" s="24"/>
      <c r="X161" s="24"/>
      <c r="Y161" s="24"/>
    </row>
    <row r="162" spans="1:25" s="107" customFormat="1" ht="15.95" customHeight="1">
      <c r="A162" s="3"/>
      <c r="B162" s="24"/>
      <c r="C162" s="297"/>
      <c r="D162" s="297"/>
      <c r="E162" s="337"/>
      <c r="F162" s="337"/>
      <c r="G162" s="337"/>
      <c r="H162" s="337"/>
      <c r="I162" s="337"/>
      <c r="J162" s="337"/>
      <c r="K162" s="337"/>
      <c r="L162" s="337"/>
      <c r="N162" s="302"/>
      <c r="V162" s="24"/>
      <c r="W162" s="24"/>
      <c r="X162" s="24"/>
      <c r="Y162" s="24"/>
    </row>
    <row r="163" spans="1:25" s="107" customFormat="1" ht="15.95" customHeight="1">
      <c r="A163" s="3"/>
      <c r="B163" s="24"/>
      <c r="C163" s="297"/>
      <c r="D163" s="297"/>
      <c r="E163" s="337"/>
      <c r="F163" s="337"/>
      <c r="G163" s="337"/>
      <c r="H163" s="337"/>
      <c r="I163" s="337"/>
      <c r="J163" s="337"/>
      <c r="K163" s="337"/>
      <c r="L163" s="337"/>
      <c r="N163" s="302"/>
      <c r="V163" s="24"/>
      <c r="W163" s="24"/>
      <c r="X163" s="24"/>
      <c r="Y163" s="24"/>
    </row>
    <row r="164" spans="1:25" s="107" customFormat="1" ht="15.95" customHeight="1">
      <c r="A164" s="3"/>
      <c r="B164" s="24"/>
      <c r="C164" s="297"/>
      <c r="D164" s="297"/>
      <c r="E164" s="337"/>
      <c r="F164" s="337"/>
      <c r="G164" s="337"/>
      <c r="H164" s="337"/>
      <c r="I164" s="337"/>
      <c r="J164" s="337"/>
      <c r="K164" s="337"/>
      <c r="L164" s="337"/>
      <c r="N164" s="302"/>
      <c r="V164" s="24"/>
      <c r="W164" s="24"/>
      <c r="X164" s="24"/>
      <c r="Y164" s="24"/>
    </row>
    <row r="165" spans="1:25" s="107" customFormat="1" ht="15.95" customHeight="1">
      <c r="A165" s="3"/>
      <c r="B165" s="24"/>
      <c r="C165" s="297"/>
      <c r="D165" s="297"/>
      <c r="E165" s="337"/>
      <c r="F165" s="337"/>
      <c r="G165" s="337"/>
      <c r="H165" s="337"/>
      <c r="I165" s="337"/>
      <c r="J165" s="337"/>
      <c r="K165" s="337"/>
      <c r="L165" s="337"/>
      <c r="N165" s="302"/>
      <c r="V165" s="24"/>
      <c r="W165" s="24"/>
      <c r="X165" s="24"/>
      <c r="Y165" s="24"/>
    </row>
    <row r="166" spans="1:25" s="107" customFormat="1" ht="15.95" customHeight="1">
      <c r="A166" s="3"/>
      <c r="B166" s="24"/>
      <c r="C166" s="297"/>
      <c r="D166" s="297"/>
      <c r="E166" s="337"/>
      <c r="F166" s="337"/>
      <c r="G166" s="337"/>
      <c r="H166" s="337"/>
      <c r="I166" s="337"/>
      <c r="J166" s="337"/>
      <c r="K166" s="337"/>
      <c r="L166" s="337"/>
      <c r="N166" s="302"/>
      <c r="V166" s="24"/>
      <c r="W166" s="24"/>
      <c r="X166" s="24"/>
      <c r="Y166" s="24"/>
    </row>
    <row r="167" spans="1:25" s="107" customFormat="1" ht="15.95" customHeight="1">
      <c r="A167" s="3"/>
      <c r="B167" s="24"/>
      <c r="C167" s="297"/>
      <c r="D167" s="297"/>
      <c r="H167" s="337"/>
      <c r="I167" s="337"/>
      <c r="J167" s="337"/>
      <c r="K167" s="337"/>
      <c r="L167" s="337"/>
      <c r="N167" s="302"/>
      <c r="V167" s="24"/>
      <c r="W167" s="24"/>
      <c r="X167" s="24"/>
      <c r="Y167" s="24"/>
    </row>
    <row r="168" spans="1:25" s="107" customFormat="1" ht="15.95" customHeight="1">
      <c r="A168" s="3"/>
      <c r="B168" s="24"/>
      <c r="C168" s="297"/>
      <c r="D168" s="297"/>
      <c r="H168" s="337"/>
      <c r="I168" s="337"/>
      <c r="J168" s="337"/>
      <c r="K168" s="337"/>
      <c r="L168" s="337"/>
      <c r="N168" s="302"/>
      <c r="V168" s="24"/>
      <c r="W168" s="24"/>
      <c r="X168" s="24"/>
      <c r="Y168" s="24"/>
    </row>
    <row r="169" spans="1:25" s="107" customFormat="1" ht="15.95" customHeight="1">
      <c r="A169" s="3"/>
      <c r="B169" s="24"/>
      <c r="C169" s="297"/>
      <c r="D169" s="297"/>
      <c r="H169" s="337"/>
      <c r="I169" s="337"/>
      <c r="J169" s="337"/>
      <c r="K169" s="337"/>
      <c r="L169" s="337"/>
      <c r="N169" s="302"/>
      <c r="V169" s="24"/>
      <c r="W169" s="24"/>
      <c r="X169" s="24"/>
      <c r="Y169" s="24"/>
    </row>
    <row r="170" spans="1:25" s="107" customFormat="1" ht="15.95" customHeight="1">
      <c r="A170" s="3"/>
      <c r="B170" s="24"/>
      <c r="C170" s="297"/>
      <c r="D170" s="297"/>
      <c r="H170" s="337"/>
      <c r="I170" s="337"/>
      <c r="J170" s="337"/>
      <c r="K170" s="337"/>
      <c r="L170" s="337"/>
      <c r="N170" s="302"/>
      <c r="V170" s="24"/>
      <c r="W170" s="24"/>
      <c r="X170" s="24"/>
      <c r="Y170" s="24"/>
    </row>
    <row r="171" spans="1:25" s="107" customFormat="1" ht="15.95" customHeight="1">
      <c r="A171" s="3"/>
      <c r="B171" s="24"/>
      <c r="C171" s="297"/>
      <c r="D171" s="297"/>
      <c r="H171" s="337"/>
      <c r="I171" s="337"/>
      <c r="J171" s="337"/>
      <c r="K171" s="337"/>
      <c r="L171" s="337"/>
      <c r="N171" s="302"/>
      <c r="V171" s="24"/>
      <c r="W171" s="24"/>
      <c r="X171" s="24"/>
      <c r="Y171" s="24"/>
    </row>
    <row r="172" spans="1:25" s="107" customFormat="1" ht="15.95" customHeight="1">
      <c r="A172" s="3"/>
      <c r="B172" s="24"/>
      <c r="C172" s="297"/>
      <c r="D172" s="297"/>
      <c r="H172" s="337"/>
      <c r="I172" s="337"/>
      <c r="J172" s="337"/>
      <c r="K172" s="337"/>
      <c r="L172" s="337"/>
      <c r="N172" s="302"/>
      <c r="V172" s="24"/>
      <c r="W172" s="24"/>
      <c r="X172" s="24"/>
      <c r="Y172" s="24"/>
    </row>
    <row r="173" spans="1:25" s="107" customFormat="1" ht="15.95" customHeight="1">
      <c r="A173" s="3"/>
      <c r="B173" s="24"/>
      <c r="C173" s="297"/>
      <c r="D173" s="297"/>
      <c r="H173" s="337"/>
      <c r="I173" s="337"/>
      <c r="J173" s="337"/>
      <c r="K173" s="337"/>
      <c r="L173" s="337"/>
      <c r="N173" s="302"/>
      <c r="V173" s="24"/>
      <c r="W173" s="24"/>
      <c r="X173" s="24"/>
      <c r="Y173" s="24"/>
    </row>
    <row r="174" spans="1:25" s="107" customFormat="1" ht="15.95" customHeight="1">
      <c r="A174" s="3"/>
      <c r="B174" s="24"/>
      <c r="C174" s="297"/>
      <c r="D174" s="297"/>
      <c r="H174" s="337"/>
      <c r="I174" s="337"/>
      <c r="J174" s="337"/>
      <c r="K174" s="337"/>
      <c r="L174" s="337"/>
      <c r="N174" s="302"/>
      <c r="V174" s="24"/>
      <c r="W174" s="24"/>
      <c r="X174" s="24"/>
      <c r="Y174" s="24"/>
    </row>
    <row r="175" spans="1:25" s="107" customFormat="1" ht="15.95" customHeight="1">
      <c r="A175" s="3"/>
      <c r="B175" s="24"/>
      <c r="C175" s="297"/>
      <c r="D175" s="297"/>
      <c r="H175" s="337"/>
      <c r="I175" s="337"/>
      <c r="J175" s="337"/>
      <c r="K175" s="337"/>
      <c r="L175" s="337"/>
      <c r="N175" s="302"/>
      <c r="V175" s="24"/>
      <c r="W175" s="24"/>
      <c r="X175" s="24"/>
      <c r="Y175" s="24"/>
    </row>
  </sheetData>
  <mergeCells count="21">
    <mergeCell ref="S11:S12"/>
    <mergeCell ref="T11:T12"/>
    <mergeCell ref="U11:U12"/>
    <mergeCell ref="R11:R12"/>
    <mergeCell ref="Q11:Q12"/>
    <mergeCell ref="N11:N12"/>
    <mergeCell ref="O11:O12"/>
    <mergeCell ref="P11:P12"/>
    <mergeCell ref="H11:H12"/>
    <mergeCell ref="I11:I12"/>
    <mergeCell ref="J11:J12"/>
    <mergeCell ref="K11:K12"/>
    <mergeCell ref="L11:L12"/>
    <mergeCell ref="M11:M12"/>
    <mergeCell ref="B4:G8"/>
    <mergeCell ref="B11:B12"/>
    <mergeCell ref="C11:C12"/>
    <mergeCell ref="E11:E12"/>
    <mergeCell ref="F11:F12"/>
    <mergeCell ref="G11:G12"/>
    <mergeCell ref="D11:D12"/>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E4E13-9BB9-45CB-9316-83DD1F54A1D3}">
  <sheetPr>
    <tabColor theme="5" tint="0.59999389629810485"/>
  </sheetPr>
  <dimension ref="A1:U175"/>
  <sheetViews>
    <sheetView showGridLines="0" zoomScaleNormal="100" workbookViewId="0"/>
  </sheetViews>
  <sheetFormatPr defaultColWidth="8.625" defaultRowHeight="15.95" customHeight="1"/>
  <cols>
    <col min="1" max="1" width="8.625" style="3" customWidth="1"/>
    <col min="2" max="2" width="25.5" style="24" customWidth="1"/>
    <col min="3" max="3" width="10.5" style="297" bestFit="1" customWidth="1"/>
    <col min="4" max="12" width="20.625" style="107" customWidth="1"/>
    <col min="13" max="13" width="20.625" style="302" customWidth="1"/>
    <col min="14" max="15" width="20.625" style="107" customWidth="1"/>
    <col min="16" max="16" width="20.625" style="138" customWidth="1"/>
    <col min="17" max="20" width="20.625" style="24" customWidth="1"/>
    <col min="21" max="21" width="14.5" style="24" bestFit="1" customWidth="1"/>
    <col min="22" max="16384" width="8.625" style="24"/>
  </cols>
  <sheetData>
    <row r="1" spans="1:21" s="795" customFormat="1" ht="15.95" customHeight="1">
      <c r="P1" s="796"/>
    </row>
    <row r="2" spans="1:21" s="798" customFormat="1" ht="24.75" customHeight="1">
      <c r="A2" s="795"/>
      <c r="B2" s="797" t="s">
        <v>6176</v>
      </c>
      <c r="P2" s="799"/>
    </row>
    <row r="3" spans="1:21" s="798" customFormat="1" ht="15.95" customHeight="1">
      <c r="A3" s="795"/>
      <c r="B3" s="800"/>
      <c r="E3" s="801"/>
      <c r="P3" s="799"/>
    </row>
    <row r="4" spans="1:21" s="798" customFormat="1" ht="15.95" customHeight="1">
      <c r="A4" s="795"/>
      <c r="B4" s="1434" t="s">
        <v>6648</v>
      </c>
      <c r="C4" s="1434"/>
      <c r="D4" s="1434"/>
      <c r="E4" s="1434"/>
      <c r="F4" s="1434"/>
      <c r="P4" s="799"/>
    </row>
    <row r="5" spans="1:21" s="798" customFormat="1" ht="15.95" customHeight="1">
      <c r="A5" s="795"/>
      <c r="B5" s="1434"/>
      <c r="C5" s="1434"/>
      <c r="D5" s="1434"/>
      <c r="E5" s="1434"/>
      <c r="F5" s="1434"/>
      <c r="P5" s="799"/>
    </row>
    <row r="6" spans="1:21" s="798" customFormat="1" ht="15.95" customHeight="1">
      <c r="A6" s="795"/>
      <c r="B6" s="1434"/>
      <c r="C6" s="1434"/>
      <c r="D6" s="1434"/>
      <c r="E6" s="1434"/>
      <c r="F6" s="1434"/>
      <c r="H6" s="802"/>
      <c r="P6" s="799"/>
    </row>
    <row r="7" spans="1:21" s="798" customFormat="1" ht="15.95" customHeight="1">
      <c r="A7" s="795"/>
      <c r="B7" s="1434"/>
      <c r="C7" s="1434"/>
      <c r="D7" s="1434"/>
      <c r="E7" s="1434"/>
      <c r="F7" s="1434"/>
      <c r="P7" s="799"/>
    </row>
    <row r="8" spans="1:21" s="798" customFormat="1" ht="15.95" customHeight="1">
      <c r="A8" s="795"/>
      <c r="B8" s="1434"/>
      <c r="C8" s="1434"/>
      <c r="D8" s="1434"/>
      <c r="E8" s="1434"/>
      <c r="F8" s="1434"/>
      <c r="P8" s="799"/>
    </row>
    <row r="9" spans="1:21" s="803" customFormat="1" ht="15.95" customHeight="1">
      <c r="A9" s="795"/>
      <c r="B9" s="1434"/>
      <c r="C9" s="1434"/>
      <c r="D9" s="1434"/>
      <c r="E9" s="1434"/>
      <c r="F9" s="1434"/>
    </row>
    <row r="10" spans="1:21" s="297" customFormat="1" ht="15.95" customHeight="1">
      <c r="A10" s="288"/>
      <c r="D10" s="309" t="s">
        <v>4815</v>
      </c>
      <c r="E10" s="309" t="s">
        <v>4605</v>
      </c>
      <c r="F10" s="309" t="s">
        <v>4606</v>
      </c>
      <c r="G10" s="309" t="s">
        <v>4607</v>
      </c>
      <c r="H10" s="309" t="s">
        <v>4608</v>
      </c>
      <c r="I10" s="309" t="s">
        <v>4609</v>
      </c>
      <c r="J10" s="309" t="s">
        <v>4610</v>
      </c>
      <c r="K10" s="309" t="s">
        <v>4611</v>
      </c>
      <c r="L10" s="309" t="s">
        <v>4612</v>
      </c>
      <c r="M10" s="309" t="s">
        <v>4613</v>
      </c>
      <c r="N10" s="309" t="s">
        <v>4614</v>
      </c>
      <c r="O10" s="309" t="s">
        <v>4615</v>
      </c>
      <c r="P10" s="431" t="s">
        <v>4616</v>
      </c>
      <c r="Q10" s="431" t="s">
        <v>4617</v>
      </c>
      <c r="R10" s="431" t="s">
        <v>4618</v>
      </c>
      <c r="S10" s="431" t="s">
        <v>4619</v>
      </c>
      <c r="T10" s="431" t="s">
        <v>4620</v>
      </c>
      <c r="U10" s="431" t="s">
        <v>6649</v>
      </c>
    </row>
    <row r="11" spans="1:21" s="310" customFormat="1" ht="15.95" customHeight="1">
      <c r="A11" s="288"/>
      <c r="B11" s="1429" t="s">
        <v>4512</v>
      </c>
      <c r="C11" s="1431" t="s">
        <v>4513</v>
      </c>
      <c r="D11" s="1431">
        <v>1</v>
      </c>
      <c r="E11" s="1493">
        <v>2</v>
      </c>
      <c r="F11" s="1431">
        <v>3</v>
      </c>
      <c r="G11" s="1493">
        <v>4</v>
      </c>
      <c r="H11" s="1431">
        <v>5</v>
      </c>
      <c r="I11" s="1493">
        <v>6</v>
      </c>
      <c r="J11" s="1431">
        <v>7</v>
      </c>
      <c r="K11" s="1493">
        <v>8</v>
      </c>
      <c r="L11" s="1431">
        <v>9</v>
      </c>
      <c r="M11" s="1493">
        <v>10</v>
      </c>
      <c r="N11" s="1431">
        <v>11</v>
      </c>
      <c r="O11" s="1493">
        <v>12</v>
      </c>
      <c r="P11" s="1493">
        <v>13</v>
      </c>
      <c r="Q11" s="1493">
        <v>14</v>
      </c>
      <c r="R11" s="1493">
        <v>15</v>
      </c>
      <c r="S11" s="1493">
        <v>16</v>
      </c>
      <c r="T11" s="1493">
        <v>17</v>
      </c>
      <c r="U11" s="1493" t="s">
        <v>364</v>
      </c>
    </row>
    <row r="12" spans="1:21" s="310" customFormat="1" ht="15.95" customHeight="1">
      <c r="A12" s="5"/>
      <c r="B12" s="1430"/>
      <c r="C12" s="1432"/>
      <c r="D12" s="1432"/>
      <c r="E12" s="1494"/>
      <c r="F12" s="1432"/>
      <c r="G12" s="1494"/>
      <c r="H12" s="1432"/>
      <c r="I12" s="1494"/>
      <c r="J12" s="1432"/>
      <c r="K12" s="1494"/>
      <c r="L12" s="1432"/>
      <c r="M12" s="1494"/>
      <c r="N12" s="1432"/>
      <c r="O12" s="1494"/>
      <c r="P12" s="1494"/>
      <c r="Q12" s="1494"/>
      <c r="R12" s="1494"/>
      <c r="S12" s="1494"/>
      <c r="T12" s="1494"/>
      <c r="U12" s="1494"/>
    </row>
    <row r="13" spans="1:21" ht="15.95" customHeight="1">
      <c r="A13" s="5"/>
      <c r="B13" s="2" t="s">
        <v>359</v>
      </c>
      <c r="C13" s="297">
        <v>0</v>
      </c>
      <c r="D13" s="276" t="s">
        <v>6650</v>
      </c>
      <c r="E13" s="276" t="s">
        <v>6650</v>
      </c>
      <c r="F13" s="276" t="s">
        <v>6650</v>
      </c>
      <c r="G13" s="276" t="s">
        <v>6650</v>
      </c>
      <c r="H13" s="276" t="s">
        <v>6650</v>
      </c>
      <c r="I13" s="276" t="s">
        <v>6650</v>
      </c>
      <c r="J13" s="276" t="s">
        <v>6650</v>
      </c>
      <c r="K13" s="276" t="s">
        <v>6650</v>
      </c>
      <c r="L13" s="276" t="s">
        <v>6650</v>
      </c>
      <c r="M13" s="276" t="s">
        <v>6650</v>
      </c>
      <c r="N13" s="276" t="s">
        <v>6650</v>
      </c>
      <c r="O13" s="276" t="s">
        <v>6650</v>
      </c>
      <c r="P13" s="276" t="s">
        <v>6650</v>
      </c>
      <c r="Q13" s="276" t="s">
        <v>6650</v>
      </c>
      <c r="R13" s="276" t="s">
        <v>6650</v>
      </c>
      <c r="S13" s="276" t="s">
        <v>6650</v>
      </c>
      <c r="T13" s="276" t="s">
        <v>6650</v>
      </c>
      <c r="U13" s="277">
        <f>SUM(D13:T13)</f>
        <v>0</v>
      </c>
    </row>
    <row r="14" spans="1:21" ht="15.95" customHeight="1">
      <c r="A14" s="5"/>
      <c r="B14" s="24" t="s">
        <v>454</v>
      </c>
      <c r="C14" s="297">
        <v>1</v>
      </c>
      <c r="D14" s="276">
        <v>0</v>
      </c>
      <c r="E14" s="276">
        <v>0</v>
      </c>
      <c r="F14" s="276">
        <v>0</v>
      </c>
      <c r="G14" s="276">
        <v>0</v>
      </c>
      <c r="H14" s="276">
        <f>0.011/'Exchange Rates'!C13</f>
        <v>1.0121457489878543E-2</v>
      </c>
      <c r="I14" s="276">
        <v>0</v>
      </c>
      <c r="J14" s="276">
        <v>0</v>
      </c>
      <c r="K14" s="276">
        <v>0</v>
      </c>
      <c r="L14" s="276">
        <v>0</v>
      </c>
      <c r="M14" s="276">
        <v>0</v>
      </c>
      <c r="N14" s="276">
        <v>0</v>
      </c>
      <c r="O14" s="276">
        <v>0</v>
      </c>
      <c r="P14" s="276">
        <v>0</v>
      </c>
      <c r="Q14" s="276">
        <v>0</v>
      </c>
      <c r="R14" s="276">
        <v>0</v>
      </c>
      <c r="S14" s="276">
        <v>0</v>
      </c>
      <c r="T14" s="276">
        <v>0</v>
      </c>
      <c r="U14" s="277">
        <f t="shared" ref="U14:U54" si="0">SUM(D14:T14)</f>
        <v>1.0121457489878543E-2</v>
      </c>
    </row>
    <row r="15" spans="1:21" ht="15.95" customHeight="1">
      <c r="A15" s="5"/>
      <c r="B15" s="24" t="s">
        <v>558</v>
      </c>
      <c r="C15" s="297">
        <v>1</v>
      </c>
      <c r="D15" s="276">
        <v>0</v>
      </c>
      <c r="E15" s="276">
        <v>0</v>
      </c>
      <c r="F15" s="276">
        <v>0</v>
      </c>
      <c r="G15" s="276">
        <v>0</v>
      </c>
      <c r="H15" s="276">
        <v>0</v>
      </c>
      <c r="I15" s="276">
        <v>0</v>
      </c>
      <c r="J15" s="276">
        <v>0</v>
      </c>
      <c r="K15" s="276">
        <v>0</v>
      </c>
      <c r="L15" s="276">
        <v>0</v>
      </c>
      <c r="M15" s="276">
        <v>0</v>
      </c>
      <c r="N15" s="276">
        <v>0</v>
      </c>
      <c r="O15" s="276">
        <v>0</v>
      </c>
      <c r="P15" s="276">
        <v>0</v>
      </c>
      <c r="Q15" s="804">
        <f>0.0031/'Exchange Rates'!C13</f>
        <v>2.8524107471475891E-3</v>
      </c>
      <c r="R15" s="804">
        <v>0</v>
      </c>
      <c r="S15" s="804">
        <v>0</v>
      </c>
      <c r="T15" s="804">
        <v>0</v>
      </c>
      <c r="U15" s="277">
        <f t="shared" si="0"/>
        <v>2.8524107471475891E-3</v>
      </c>
    </row>
    <row r="16" spans="1:21" ht="15.95" customHeight="1">
      <c r="A16" s="5"/>
      <c r="B16" s="24" t="s">
        <v>673</v>
      </c>
      <c r="C16" s="297">
        <v>1</v>
      </c>
      <c r="D16" s="276" t="s">
        <v>6650</v>
      </c>
      <c r="E16" s="276" t="s">
        <v>6650</v>
      </c>
      <c r="F16" s="276" t="s">
        <v>6650</v>
      </c>
      <c r="G16" s="276" t="s">
        <v>6650</v>
      </c>
      <c r="H16" s="276" t="s">
        <v>6650</v>
      </c>
      <c r="I16" s="276" t="s">
        <v>6650</v>
      </c>
      <c r="J16" s="276" t="s">
        <v>6650</v>
      </c>
      <c r="K16" s="276" t="s">
        <v>6650</v>
      </c>
      <c r="L16" s="276" t="s">
        <v>6650</v>
      </c>
      <c r="M16" s="276" t="s">
        <v>6650</v>
      </c>
      <c r="N16" s="276" t="s">
        <v>6650</v>
      </c>
      <c r="O16" s="276" t="s">
        <v>6650</v>
      </c>
      <c r="P16" s="276" t="s">
        <v>6650</v>
      </c>
      <c r="Q16" s="276" t="s">
        <v>6650</v>
      </c>
      <c r="R16" s="276" t="s">
        <v>6650</v>
      </c>
      <c r="S16" s="276" t="s">
        <v>6650</v>
      </c>
      <c r="T16" s="276" t="s">
        <v>6650</v>
      </c>
      <c r="U16" s="277">
        <f t="shared" si="0"/>
        <v>0</v>
      </c>
    </row>
    <row r="17" spans="1:21" ht="15.95" customHeight="1">
      <c r="A17" s="5"/>
      <c r="B17" s="24" t="s">
        <v>713</v>
      </c>
      <c r="C17" s="297">
        <v>0</v>
      </c>
      <c r="D17" s="276">
        <v>0</v>
      </c>
      <c r="E17" s="276">
        <v>0</v>
      </c>
      <c r="F17" s="276">
        <v>0</v>
      </c>
      <c r="G17" s="276">
        <f>0.236/'Exchange Rates'!C13</f>
        <v>0.21715126978284871</v>
      </c>
      <c r="H17" s="276">
        <f>(0.391/'Exchange Rates'!C13)-G17</f>
        <v>0.14262053735737951</v>
      </c>
      <c r="I17" s="276">
        <f>(1.172/'Exchange Rates'!C13)-H17-G17</f>
        <v>0.71862348178137647</v>
      </c>
      <c r="J17" s="276">
        <v>0</v>
      </c>
      <c r="K17" s="276">
        <f>(1.521/'Exchange Rates'!C13)-SUM(D17:J17)</f>
        <v>0.32112624217887387</v>
      </c>
      <c r="L17" s="276">
        <v>0</v>
      </c>
      <c r="M17" s="276">
        <v>0</v>
      </c>
      <c r="N17" s="276">
        <v>0</v>
      </c>
      <c r="O17" s="276">
        <f>(1.889/'Exchange Rates'!C13)-SUM(D17:N17)</f>
        <v>0.33860875966139115</v>
      </c>
      <c r="P17" s="276">
        <v>0</v>
      </c>
      <c r="Q17" s="276">
        <v>0</v>
      </c>
      <c r="R17" s="276">
        <v>0</v>
      </c>
      <c r="S17" s="276">
        <f>1.757/'Exchange Rates'!C13</f>
        <v>1.6166728008833271</v>
      </c>
      <c r="T17" s="276">
        <v>0</v>
      </c>
      <c r="U17" s="277">
        <f t="shared" si="0"/>
        <v>3.3548030916451967</v>
      </c>
    </row>
    <row r="18" spans="1:21" ht="15.95" customHeight="1">
      <c r="A18" s="5"/>
      <c r="B18" s="24" t="s">
        <v>918</v>
      </c>
      <c r="C18" s="297">
        <v>1</v>
      </c>
      <c r="D18" s="276" t="s">
        <v>6650</v>
      </c>
      <c r="E18" s="276" t="s">
        <v>6650</v>
      </c>
      <c r="F18" s="276" t="s">
        <v>6650</v>
      </c>
      <c r="G18" s="276" t="s">
        <v>6650</v>
      </c>
      <c r="H18" s="276" t="s">
        <v>6650</v>
      </c>
      <c r="I18" s="276" t="s">
        <v>6650</v>
      </c>
      <c r="J18" s="276" t="s">
        <v>6650</v>
      </c>
      <c r="K18" s="276" t="s">
        <v>6650</v>
      </c>
      <c r="L18" s="276" t="s">
        <v>6650</v>
      </c>
      <c r="M18" s="276" t="s">
        <v>6650</v>
      </c>
      <c r="N18" s="276" t="s">
        <v>6650</v>
      </c>
      <c r="O18" s="276" t="s">
        <v>6650</v>
      </c>
      <c r="P18" s="276" t="s">
        <v>6650</v>
      </c>
      <c r="Q18" s="276" t="s">
        <v>6650</v>
      </c>
      <c r="R18" s="276" t="s">
        <v>6650</v>
      </c>
      <c r="S18" s="276" t="s">
        <v>6650</v>
      </c>
      <c r="T18" s="276" t="s">
        <v>6650</v>
      </c>
      <c r="U18" s="277">
        <f t="shared" si="0"/>
        <v>0</v>
      </c>
    </row>
    <row r="19" spans="1:21" ht="15.95" customHeight="1">
      <c r="A19" s="5"/>
      <c r="B19" s="24" t="s">
        <v>981</v>
      </c>
      <c r="C19" s="297">
        <v>1</v>
      </c>
      <c r="D19" s="276" t="s">
        <v>6650</v>
      </c>
      <c r="E19" s="276" t="s">
        <v>6650</v>
      </c>
      <c r="F19" s="276" t="s">
        <v>6650</v>
      </c>
      <c r="G19" s="276" t="s">
        <v>6650</v>
      </c>
      <c r="H19" s="276" t="s">
        <v>6650</v>
      </c>
      <c r="I19" s="276" t="s">
        <v>6650</v>
      </c>
      <c r="J19" s="276" t="s">
        <v>6650</v>
      </c>
      <c r="K19" s="276" t="s">
        <v>6650</v>
      </c>
      <c r="L19" s="276" t="s">
        <v>6650</v>
      </c>
      <c r="M19" s="276" t="s">
        <v>6650</v>
      </c>
      <c r="N19" s="276" t="s">
        <v>6650</v>
      </c>
      <c r="O19" s="276" t="s">
        <v>6650</v>
      </c>
      <c r="P19" s="276" t="s">
        <v>6650</v>
      </c>
      <c r="Q19" s="276" t="s">
        <v>6650</v>
      </c>
      <c r="R19" s="276" t="s">
        <v>6650</v>
      </c>
      <c r="S19" s="276" t="s">
        <v>6650</v>
      </c>
      <c r="T19" s="276" t="s">
        <v>6650</v>
      </c>
      <c r="U19" s="277">
        <f t="shared" si="0"/>
        <v>0</v>
      </c>
    </row>
    <row r="20" spans="1:21" ht="15.95" customHeight="1">
      <c r="A20" s="5"/>
      <c r="B20" s="24" t="s">
        <v>1012</v>
      </c>
      <c r="C20" s="297">
        <v>1</v>
      </c>
      <c r="D20" s="276" t="s">
        <v>6650</v>
      </c>
      <c r="E20" s="276" t="s">
        <v>6650</v>
      </c>
      <c r="F20" s="276" t="s">
        <v>6650</v>
      </c>
      <c r="G20" s="276" t="s">
        <v>6650</v>
      </c>
      <c r="H20" s="276" t="s">
        <v>6650</v>
      </c>
      <c r="I20" s="276" t="s">
        <v>6650</v>
      </c>
      <c r="J20" s="276" t="s">
        <v>6650</v>
      </c>
      <c r="K20" s="276" t="s">
        <v>6650</v>
      </c>
      <c r="L20" s="276" t="s">
        <v>6650</v>
      </c>
      <c r="M20" s="276" t="s">
        <v>6650</v>
      </c>
      <c r="N20" s="276" t="s">
        <v>6650</v>
      </c>
      <c r="O20" s="276" t="s">
        <v>6650</v>
      </c>
      <c r="P20" s="276" t="s">
        <v>6650</v>
      </c>
      <c r="Q20" s="276" t="s">
        <v>6650</v>
      </c>
      <c r="R20" s="276" t="s">
        <v>6650</v>
      </c>
      <c r="S20" s="276" t="s">
        <v>6650</v>
      </c>
      <c r="T20" s="276" t="s">
        <v>6650</v>
      </c>
      <c r="U20" s="277">
        <f t="shared" si="0"/>
        <v>0</v>
      </c>
    </row>
    <row r="21" spans="1:21" ht="15.95" customHeight="1">
      <c r="A21" s="5"/>
      <c r="B21" s="24" t="s">
        <v>1194</v>
      </c>
      <c r="C21" s="297">
        <v>1</v>
      </c>
      <c r="D21" s="276">
        <v>0</v>
      </c>
      <c r="E21" s="276">
        <v>0</v>
      </c>
      <c r="F21" s="276">
        <v>0</v>
      </c>
      <c r="G21" s="276">
        <v>0</v>
      </c>
      <c r="H21" s="276">
        <f>0.023/'Exchange Rates'!C13</f>
        <v>2.1163047478836954E-2</v>
      </c>
      <c r="I21" s="276">
        <v>0</v>
      </c>
      <c r="J21" s="276">
        <v>0</v>
      </c>
      <c r="K21" s="276">
        <v>0</v>
      </c>
      <c r="L21" s="276">
        <v>0</v>
      </c>
      <c r="M21" s="276">
        <v>0</v>
      </c>
      <c r="N21" s="276">
        <v>0</v>
      </c>
      <c r="O21" s="276">
        <f>(0.053/'Exchange Rates'!C13)-H21</f>
        <v>2.7603974972396021E-2</v>
      </c>
      <c r="P21" s="276">
        <v>0</v>
      </c>
      <c r="Q21" s="276">
        <v>0</v>
      </c>
      <c r="R21" s="276">
        <v>0</v>
      </c>
      <c r="S21" s="276">
        <v>0</v>
      </c>
      <c r="T21" s="276">
        <v>0</v>
      </c>
      <c r="U21" s="277">
        <f t="shared" si="0"/>
        <v>4.8767022451232975E-2</v>
      </c>
    </row>
    <row r="22" spans="1:21" ht="15.95" customHeight="1">
      <c r="A22" s="5"/>
      <c r="B22" s="24" t="s">
        <v>1305</v>
      </c>
      <c r="C22" s="297">
        <v>1</v>
      </c>
      <c r="D22" s="276">
        <v>0</v>
      </c>
      <c r="E22" s="276">
        <v>0</v>
      </c>
      <c r="F22" s="276">
        <v>0</v>
      </c>
      <c r="G22" s="276">
        <v>0</v>
      </c>
      <c r="H22" s="276">
        <v>0</v>
      </c>
      <c r="I22" s="276">
        <v>0</v>
      </c>
      <c r="J22" s="276">
        <v>0</v>
      </c>
      <c r="K22" s="276">
        <v>0</v>
      </c>
      <c r="L22" s="276">
        <v>0</v>
      </c>
      <c r="M22" s="276">
        <v>0</v>
      </c>
      <c r="N22" s="276">
        <v>0</v>
      </c>
      <c r="O22" s="276">
        <v>0</v>
      </c>
      <c r="P22" s="276">
        <v>0</v>
      </c>
      <c r="Q22" s="277">
        <f>0.0001/'Exchange Rates'!C13</f>
        <v>9.2013249907986762E-5</v>
      </c>
      <c r="R22" s="277">
        <v>0</v>
      </c>
      <c r="S22" s="277">
        <v>0</v>
      </c>
      <c r="T22" s="277">
        <v>0</v>
      </c>
      <c r="U22" s="277">
        <f t="shared" si="0"/>
        <v>9.2013249907986762E-5</v>
      </c>
    </row>
    <row r="23" spans="1:21" ht="15.95" customHeight="1">
      <c r="A23" s="289"/>
      <c r="B23" s="37" t="s">
        <v>4596</v>
      </c>
      <c r="C23" s="297">
        <v>0</v>
      </c>
      <c r="D23" s="276">
        <v>0</v>
      </c>
      <c r="E23" s="276">
        <v>0</v>
      </c>
      <c r="F23" s="276">
        <v>0</v>
      </c>
      <c r="G23" s="276">
        <f>(0.703+0.792)/'Exchange Rates'!C13</f>
        <v>1.3755980861244019</v>
      </c>
      <c r="H23" s="276">
        <f>((0.703+1.382)/'Exchange Rates'!C13)-G23</f>
        <v>0.54287817445712183</v>
      </c>
      <c r="I23" s="276">
        <f>((0.72+1.41)/'Exchange Rates'!C13)-G23-H23</f>
        <v>4.1405962458593848E-2</v>
      </c>
      <c r="J23" s="276">
        <v>0</v>
      </c>
      <c r="K23" s="276">
        <f>((0.72+2.426)/'Exchange Rates'!C13)-G23-H23-I23</f>
        <v>0.93485461906514566</v>
      </c>
      <c r="L23" s="276">
        <v>0</v>
      </c>
      <c r="M23" s="276">
        <f>((0.72+4.845)/'Exchange Rates'!C13)-G23-H23-I23-K23</f>
        <v>2.2258005152741998</v>
      </c>
      <c r="N23" s="276">
        <f>((0.72+7.367)/'Exchange Rates'!C13)-G23-H23-I23-K23-M23</f>
        <v>2.3205741626794261</v>
      </c>
      <c r="O23" s="276">
        <f>((0.72+7.961)/'Exchange Rates'!C13)-G23-H23-I23-K23-M23-N23</f>
        <v>0.54655870445344235</v>
      </c>
      <c r="P23" s="276">
        <f>3.245/'Exchange Rates'!C13</f>
        <v>2.9858299595141702</v>
      </c>
      <c r="Q23" s="276">
        <v>0</v>
      </c>
      <c r="R23" s="276">
        <f>(4.851-3.245)/'Exchange Rates'!C13</f>
        <v>1.4777327935222671</v>
      </c>
      <c r="S23" s="276">
        <f>(6.501-4.851)/'Exchange Rates'!C13</f>
        <v>1.5182186234817818</v>
      </c>
      <c r="T23" s="276">
        <f>(8.124-6.501)/'Exchange Rates'!C13</f>
        <v>1.4933750460066251</v>
      </c>
      <c r="U23" s="277">
        <f t="shared" si="0"/>
        <v>15.462826647037177</v>
      </c>
    </row>
    <row r="24" spans="1:21" ht="15.95" customHeight="1">
      <c r="A24" s="289"/>
      <c r="B24" s="24" t="s">
        <v>1432</v>
      </c>
      <c r="C24" s="297">
        <v>1</v>
      </c>
      <c r="D24" s="276">
        <v>0</v>
      </c>
      <c r="E24" s="276">
        <v>0</v>
      </c>
      <c r="F24" s="276">
        <v>0</v>
      </c>
      <c r="G24" s="276">
        <v>0</v>
      </c>
      <c r="H24" s="276">
        <v>0</v>
      </c>
      <c r="I24" s="276">
        <v>0</v>
      </c>
      <c r="J24" s="276">
        <v>0</v>
      </c>
      <c r="K24" s="276">
        <v>0</v>
      </c>
      <c r="L24" s="276">
        <v>0</v>
      </c>
      <c r="M24" s="276">
        <v>0</v>
      </c>
      <c r="N24" s="276">
        <v>0</v>
      </c>
      <c r="O24" s="276">
        <v>0</v>
      </c>
      <c r="P24" s="276">
        <v>0</v>
      </c>
      <c r="Q24" s="277">
        <f>0.0213/'Exchange Rates'!C13</f>
        <v>1.9598822230401179E-2</v>
      </c>
      <c r="R24" s="277">
        <v>0</v>
      </c>
      <c r="S24" s="277">
        <v>0</v>
      </c>
      <c r="T24" s="277">
        <v>0</v>
      </c>
      <c r="U24" s="277">
        <f t="shared" si="0"/>
        <v>1.9598822230401179E-2</v>
      </c>
    </row>
    <row r="25" spans="1:21" ht="15.95" customHeight="1">
      <c r="A25" s="289"/>
      <c r="B25" s="24" t="s">
        <v>1523</v>
      </c>
      <c r="C25" s="297">
        <v>1</v>
      </c>
      <c r="D25" s="276">
        <v>0</v>
      </c>
      <c r="E25" s="276">
        <v>0</v>
      </c>
      <c r="F25" s="276">
        <v>0</v>
      </c>
      <c r="G25" s="276">
        <f>0.331/'Exchange Rates'!C13</f>
        <v>0.30456385719543616</v>
      </c>
      <c r="H25" s="276">
        <v>0</v>
      </c>
      <c r="I25" s="276">
        <f>(0.332-0.331)/'Exchange Rates'!C13</f>
        <v>9.201324990798683E-4</v>
      </c>
      <c r="J25" s="276">
        <v>0</v>
      </c>
      <c r="K25" s="276">
        <v>0</v>
      </c>
      <c r="L25" s="276">
        <v>0</v>
      </c>
      <c r="M25" s="276">
        <v>0</v>
      </c>
      <c r="N25" s="276">
        <v>0</v>
      </c>
      <c r="O25" s="276">
        <f>(0.437-0.332)/'Exchange Rates'!C13</f>
        <v>9.6613912403386071E-2</v>
      </c>
      <c r="P25" s="276">
        <v>0</v>
      </c>
      <c r="Q25" s="276">
        <v>0</v>
      </c>
      <c r="R25" s="276">
        <v>0</v>
      </c>
      <c r="S25" s="276">
        <v>0</v>
      </c>
      <c r="T25" s="276">
        <v>0</v>
      </c>
      <c r="U25" s="277">
        <f t="shared" si="0"/>
        <v>0.40209790209790208</v>
      </c>
    </row>
    <row r="26" spans="1:21" ht="15.95" customHeight="1">
      <c r="A26" s="19"/>
      <c r="B26" s="24" t="s">
        <v>1711</v>
      </c>
      <c r="C26" s="297">
        <v>1</v>
      </c>
      <c r="D26" s="276">
        <v>0</v>
      </c>
      <c r="E26" s="276">
        <v>0</v>
      </c>
      <c r="F26" s="276">
        <v>0</v>
      </c>
      <c r="G26" s="276">
        <v>0</v>
      </c>
      <c r="H26" s="276">
        <f>0.161/'Exchange Rates'!C13</f>
        <v>0.14814133235185867</v>
      </c>
      <c r="I26" s="276">
        <f>(0.324-0.161)/'Exchange Rates'!C13</f>
        <v>0.1499815973500184</v>
      </c>
      <c r="J26" s="276">
        <f>(1.373-0.324)/'Exchange Rates'!C13</f>
        <v>0.96521899153478097</v>
      </c>
      <c r="K26" s="276">
        <v>0</v>
      </c>
      <c r="L26" s="276">
        <v>0</v>
      </c>
      <c r="M26" s="276">
        <v>0</v>
      </c>
      <c r="N26" s="276">
        <v>0</v>
      </c>
      <c r="O26" s="276">
        <f>(1.584-1.373)/'Exchange Rates'!C13</f>
        <v>0.1941479573058521</v>
      </c>
      <c r="P26" s="276">
        <v>0</v>
      </c>
      <c r="Q26" s="277">
        <f>0.0515/'Exchange Rates'!C13</f>
        <v>4.7386823702613178E-2</v>
      </c>
      <c r="R26" s="277">
        <v>0</v>
      </c>
      <c r="S26" s="277">
        <v>0</v>
      </c>
      <c r="T26" s="277">
        <v>0</v>
      </c>
      <c r="U26" s="277">
        <f t="shared" si="0"/>
        <v>1.5048767022451233</v>
      </c>
    </row>
    <row r="27" spans="1:21" ht="15.95" customHeight="1">
      <c r="A27" s="19"/>
      <c r="B27" s="24" t="s">
        <v>1973</v>
      </c>
      <c r="C27" s="297">
        <v>1</v>
      </c>
      <c r="D27" s="276" t="s">
        <v>6650</v>
      </c>
      <c r="E27" s="276" t="s">
        <v>6650</v>
      </c>
      <c r="F27" s="276" t="s">
        <v>6650</v>
      </c>
      <c r="G27" s="276" t="s">
        <v>6650</v>
      </c>
      <c r="H27" s="276" t="s">
        <v>6650</v>
      </c>
      <c r="I27" s="276" t="s">
        <v>6650</v>
      </c>
      <c r="J27" s="276" t="s">
        <v>6650</v>
      </c>
      <c r="K27" s="276" t="s">
        <v>6650</v>
      </c>
      <c r="L27" s="276" t="s">
        <v>6650</v>
      </c>
      <c r="M27" s="276" t="s">
        <v>6650</v>
      </c>
      <c r="N27" s="276" t="s">
        <v>6650</v>
      </c>
      <c r="O27" s="276" t="s">
        <v>6650</v>
      </c>
      <c r="P27" s="276" t="s">
        <v>6650</v>
      </c>
      <c r="Q27" s="276" t="s">
        <v>6650</v>
      </c>
      <c r="R27" s="276" t="s">
        <v>6650</v>
      </c>
      <c r="S27" s="276" t="s">
        <v>6650</v>
      </c>
      <c r="T27" s="276" t="s">
        <v>6650</v>
      </c>
      <c r="U27" s="277">
        <f t="shared" si="0"/>
        <v>0</v>
      </c>
    </row>
    <row r="28" spans="1:21" ht="15.95" customHeight="1">
      <c r="A28" s="19"/>
      <c r="B28" s="24" t="s">
        <v>2028</v>
      </c>
      <c r="C28" s="297">
        <v>1</v>
      </c>
      <c r="D28" s="276" t="s">
        <v>6650</v>
      </c>
      <c r="E28" s="276" t="s">
        <v>6650</v>
      </c>
      <c r="F28" s="276" t="s">
        <v>6650</v>
      </c>
      <c r="G28" s="276" t="s">
        <v>6650</v>
      </c>
      <c r="H28" s="276" t="s">
        <v>6650</v>
      </c>
      <c r="I28" s="276" t="s">
        <v>6650</v>
      </c>
      <c r="J28" s="276" t="s">
        <v>6650</v>
      </c>
      <c r="K28" s="276" t="s">
        <v>6650</v>
      </c>
      <c r="L28" s="276" t="s">
        <v>6650</v>
      </c>
      <c r="M28" s="276" t="s">
        <v>6650</v>
      </c>
      <c r="N28" s="276" t="s">
        <v>6650</v>
      </c>
      <c r="O28" s="276" t="s">
        <v>6650</v>
      </c>
      <c r="P28" s="276" t="s">
        <v>6650</v>
      </c>
      <c r="Q28" s="276" t="s">
        <v>6650</v>
      </c>
      <c r="R28" s="276" t="s">
        <v>6650</v>
      </c>
      <c r="S28" s="276" t="s">
        <v>6650</v>
      </c>
      <c r="T28" s="276" t="s">
        <v>6650</v>
      </c>
      <c r="U28" s="277">
        <f t="shared" si="0"/>
        <v>0</v>
      </c>
    </row>
    <row r="29" spans="1:21" ht="15.95" customHeight="1">
      <c r="A29" s="19"/>
      <c r="B29" s="24" t="s">
        <v>2139</v>
      </c>
      <c r="C29" s="297">
        <v>0</v>
      </c>
      <c r="D29" s="276">
        <v>0</v>
      </c>
      <c r="E29" s="276">
        <v>0</v>
      </c>
      <c r="F29" s="276">
        <v>0</v>
      </c>
      <c r="G29" s="276">
        <v>0</v>
      </c>
      <c r="H29" s="276">
        <v>5.0000000000000001E-4</v>
      </c>
      <c r="I29" s="276">
        <v>0</v>
      </c>
      <c r="J29" s="276">
        <v>0</v>
      </c>
      <c r="K29" s="276">
        <v>0</v>
      </c>
      <c r="L29" s="276">
        <v>0</v>
      </c>
      <c r="M29" s="276">
        <v>0</v>
      </c>
      <c r="N29" s="276">
        <v>0</v>
      </c>
      <c r="O29" s="276">
        <v>0</v>
      </c>
      <c r="P29" s="276">
        <v>0</v>
      </c>
      <c r="Q29" s="276">
        <v>1.6000000000000001E-3</v>
      </c>
      <c r="R29" s="276">
        <v>0</v>
      </c>
      <c r="S29" s="276">
        <v>0</v>
      </c>
      <c r="T29" s="276">
        <v>0</v>
      </c>
      <c r="U29" s="277">
        <f t="shared" si="0"/>
        <v>2.1000000000000003E-3</v>
      </c>
    </row>
    <row r="30" spans="1:21" ht="15.95" customHeight="1">
      <c r="A30" s="19"/>
      <c r="B30" s="24" t="s">
        <v>2096</v>
      </c>
      <c r="C30" s="297">
        <v>1</v>
      </c>
      <c r="D30" s="276">
        <v>0</v>
      </c>
      <c r="E30" s="276">
        <v>0</v>
      </c>
      <c r="F30" s="276">
        <v>0</v>
      </c>
      <c r="G30" s="276">
        <v>0</v>
      </c>
      <c r="H30" s="276">
        <v>0</v>
      </c>
      <c r="I30" s="276">
        <v>0</v>
      </c>
      <c r="J30" s="276">
        <v>0</v>
      </c>
      <c r="K30" s="276">
        <v>0</v>
      </c>
      <c r="L30" s="276">
        <v>0</v>
      </c>
      <c r="M30" s="276">
        <v>0</v>
      </c>
      <c r="N30" s="276">
        <v>0</v>
      </c>
      <c r="O30" s="276">
        <v>0</v>
      </c>
      <c r="P30" s="276">
        <v>0</v>
      </c>
      <c r="Q30" s="277">
        <f>0.0211/'Exchange Rates'!C13</f>
        <v>1.9414795730585205E-2</v>
      </c>
      <c r="R30" s="277">
        <v>0</v>
      </c>
      <c r="S30" s="277">
        <v>0</v>
      </c>
      <c r="T30" s="277">
        <v>0</v>
      </c>
      <c r="U30" s="277">
        <f t="shared" si="0"/>
        <v>1.9414795730585205E-2</v>
      </c>
    </row>
    <row r="31" spans="1:21" ht="15.95" customHeight="1">
      <c r="A31" s="19"/>
      <c r="B31" s="24" t="s">
        <v>2204</v>
      </c>
      <c r="C31" s="297">
        <v>1</v>
      </c>
      <c r="D31" s="276">
        <v>0</v>
      </c>
      <c r="E31" s="276">
        <v>0</v>
      </c>
      <c r="F31" s="276">
        <v>0</v>
      </c>
      <c r="G31" s="276">
        <f>0.123/'Exchange Rates'!C13</f>
        <v>0.11317629738682371</v>
      </c>
      <c r="H31" s="276">
        <v>-2.8571428571428498E-3</v>
      </c>
      <c r="I31" s="276">
        <f>(0.125-0.123)/'Exchange Rates'!C13</f>
        <v>1.8402649981597366E-3</v>
      </c>
      <c r="J31" s="276">
        <v>0</v>
      </c>
      <c r="K31" s="276">
        <f>(0.33-0.125)/'Exchange Rates'!C13</f>
        <v>0.18862716231137286</v>
      </c>
      <c r="L31" s="276">
        <v>0</v>
      </c>
      <c r="M31" s="276">
        <v>0</v>
      </c>
      <c r="N31" s="276">
        <v>0</v>
      </c>
      <c r="O31" s="276">
        <v>0</v>
      </c>
      <c r="P31" s="276">
        <v>0</v>
      </c>
      <c r="Q31" s="276">
        <v>0</v>
      </c>
      <c r="R31" s="276">
        <v>0</v>
      </c>
      <c r="S31" s="276">
        <v>0</v>
      </c>
      <c r="T31" s="276">
        <v>0</v>
      </c>
      <c r="U31" s="277">
        <f t="shared" si="0"/>
        <v>0.30078658183921347</v>
      </c>
    </row>
    <row r="32" spans="1:21" ht="15.95" customHeight="1">
      <c r="A32" s="19"/>
      <c r="B32" s="24" t="s">
        <v>2312</v>
      </c>
      <c r="C32" s="297">
        <v>0</v>
      </c>
      <c r="D32" s="276">
        <v>0</v>
      </c>
      <c r="E32" s="276">
        <v>0</v>
      </c>
      <c r="F32" s="276">
        <v>0</v>
      </c>
      <c r="G32" s="276">
        <v>0</v>
      </c>
      <c r="H32" s="276">
        <f>0.101/'Exchange Rates'!C13</f>
        <v>9.2933382407066625E-2</v>
      </c>
      <c r="I32" s="276">
        <f>(0.581-0.101)/'Exchange Rates'!C13</f>
        <v>0.44166359955833639</v>
      </c>
      <c r="J32" s="276">
        <v>0</v>
      </c>
      <c r="K32" s="276">
        <v>0</v>
      </c>
      <c r="L32" s="276">
        <v>0</v>
      </c>
      <c r="M32" s="276">
        <v>0</v>
      </c>
      <c r="N32" s="276">
        <v>0</v>
      </c>
      <c r="O32" s="276">
        <v>0</v>
      </c>
      <c r="P32" s="276">
        <v>0</v>
      </c>
      <c r="Q32" s="276">
        <v>0</v>
      </c>
      <c r="R32" s="276">
        <v>0</v>
      </c>
      <c r="S32" s="276">
        <v>0</v>
      </c>
      <c r="T32" s="276">
        <v>0</v>
      </c>
      <c r="U32" s="277">
        <f t="shared" si="0"/>
        <v>0.53459698196540306</v>
      </c>
    </row>
    <row r="33" spans="1:21" ht="15.95" customHeight="1">
      <c r="A33" s="19"/>
      <c r="B33" s="24" t="s">
        <v>2392</v>
      </c>
      <c r="C33" s="297">
        <v>1</v>
      </c>
      <c r="D33" s="276">
        <v>0</v>
      </c>
      <c r="E33" s="276">
        <v>0</v>
      </c>
      <c r="F33" s="276">
        <v>0</v>
      </c>
      <c r="G33" s="276">
        <v>0</v>
      </c>
      <c r="H33" s="276">
        <f>0.005/'Exchange Rates'!C13</f>
        <v>4.600662495399338E-3</v>
      </c>
      <c r="I33" s="276">
        <v>0</v>
      </c>
      <c r="J33" s="276">
        <v>0</v>
      </c>
      <c r="K33" s="276">
        <v>0</v>
      </c>
      <c r="L33" s="276">
        <v>0</v>
      </c>
      <c r="M33" s="276">
        <v>0</v>
      </c>
      <c r="N33" s="276">
        <v>0</v>
      </c>
      <c r="O33" s="276">
        <f>(0.016-0.005)/'Exchange Rates'!C13</f>
        <v>1.0121457489878543E-2</v>
      </c>
      <c r="P33" s="276">
        <v>0</v>
      </c>
      <c r="Q33" s="276">
        <v>0</v>
      </c>
      <c r="R33" s="276">
        <v>0</v>
      </c>
      <c r="S33" s="276">
        <v>0</v>
      </c>
      <c r="T33" s="276">
        <v>0</v>
      </c>
      <c r="U33" s="277">
        <f t="shared" si="0"/>
        <v>1.4722119985277881E-2</v>
      </c>
    </row>
    <row r="34" spans="1:21" ht="15.95" customHeight="1">
      <c r="A34" s="19"/>
      <c r="B34" s="24" t="s">
        <v>2488</v>
      </c>
      <c r="C34" s="297">
        <v>1</v>
      </c>
      <c r="D34" s="276">
        <v>0</v>
      </c>
      <c r="E34" s="276">
        <v>0</v>
      </c>
      <c r="F34" s="276">
        <v>0</v>
      </c>
      <c r="G34" s="276">
        <v>0</v>
      </c>
      <c r="H34" s="276">
        <f>0.005/'Exchange Rates'!C13</f>
        <v>4.600662495399338E-3</v>
      </c>
      <c r="I34" s="276">
        <v>0</v>
      </c>
      <c r="J34" s="276">
        <v>0</v>
      </c>
      <c r="K34" s="276">
        <f>(0.015-0.005)/'Exchange Rates'!C13</f>
        <v>9.2013249907986743E-3</v>
      </c>
      <c r="L34" s="276">
        <v>0</v>
      </c>
      <c r="M34" s="276">
        <v>0</v>
      </c>
      <c r="N34" s="276">
        <v>0</v>
      </c>
      <c r="O34" s="276">
        <f>(0.022-0.015)/'Exchange Rates'!C13</f>
        <v>6.440927493559072E-3</v>
      </c>
      <c r="P34" s="276">
        <v>0</v>
      </c>
      <c r="Q34" s="276">
        <v>0</v>
      </c>
      <c r="R34" s="276">
        <v>0</v>
      </c>
      <c r="S34" s="276">
        <v>0</v>
      </c>
      <c r="T34" s="276">
        <v>0</v>
      </c>
      <c r="U34" s="277">
        <f t="shared" si="0"/>
        <v>2.0242914979757085E-2</v>
      </c>
    </row>
    <row r="35" spans="1:21" ht="15.95" customHeight="1">
      <c r="A35" s="19"/>
      <c r="B35" s="24" t="s">
        <v>2625</v>
      </c>
      <c r="C35" s="297">
        <v>1</v>
      </c>
      <c r="D35" s="276" t="s">
        <v>6650</v>
      </c>
      <c r="E35" s="276" t="s">
        <v>6650</v>
      </c>
      <c r="F35" s="276" t="s">
        <v>6650</v>
      </c>
      <c r="G35" s="276" t="s">
        <v>6650</v>
      </c>
      <c r="H35" s="276" t="s">
        <v>6650</v>
      </c>
      <c r="I35" s="276" t="s">
        <v>6650</v>
      </c>
      <c r="J35" s="276" t="s">
        <v>6650</v>
      </c>
      <c r="K35" s="276" t="s">
        <v>6650</v>
      </c>
      <c r="L35" s="276" t="s">
        <v>6650</v>
      </c>
      <c r="M35" s="276" t="s">
        <v>6650</v>
      </c>
      <c r="N35" s="276" t="s">
        <v>6650</v>
      </c>
      <c r="O35" s="276" t="s">
        <v>6650</v>
      </c>
      <c r="P35" s="276" t="s">
        <v>6650</v>
      </c>
      <c r="Q35" s="276" t="s">
        <v>6650</v>
      </c>
      <c r="R35" s="276" t="s">
        <v>6650</v>
      </c>
      <c r="S35" s="276" t="s">
        <v>6650</v>
      </c>
      <c r="T35" s="276" t="s">
        <v>6650</v>
      </c>
      <c r="U35" s="277">
        <f t="shared" si="0"/>
        <v>0</v>
      </c>
    </row>
    <row r="36" spans="1:21" ht="15.95" customHeight="1">
      <c r="A36" s="19"/>
      <c r="B36" s="24" t="s">
        <v>2678</v>
      </c>
      <c r="C36" s="297">
        <v>1</v>
      </c>
      <c r="D36" s="276" t="s">
        <v>6650</v>
      </c>
      <c r="E36" s="276" t="s">
        <v>6650</v>
      </c>
      <c r="F36" s="276" t="s">
        <v>6650</v>
      </c>
      <c r="G36" s="276" t="s">
        <v>6650</v>
      </c>
      <c r="H36" s="276" t="s">
        <v>6650</v>
      </c>
      <c r="I36" s="276" t="s">
        <v>6650</v>
      </c>
      <c r="J36" s="276" t="s">
        <v>6650</v>
      </c>
      <c r="K36" s="276" t="s">
        <v>6650</v>
      </c>
      <c r="L36" s="276" t="s">
        <v>6650</v>
      </c>
      <c r="M36" s="276" t="s">
        <v>6650</v>
      </c>
      <c r="N36" s="276" t="s">
        <v>6650</v>
      </c>
      <c r="O36" s="276" t="s">
        <v>6650</v>
      </c>
      <c r="P36" s="276" t="s">
        <v>6650</v>
      </c>
      <c r="Q36" s="276" t="s">
        <v>6650</v>
      </c>
      <c r="R36" s="276" t="s">
        <v>6650</v>
      </c>
      <c r="S36" s="276" t="s">
        <v>6650</v>
      </c>
      <c r="T36" s="276" t="s">
        <v>6650</v>
      </c>
      <c r="U36" s="277">
        <f t="shared" si="0"/>
        <v>0</v>
      </c>
    </row>
    <row r="37" spans="1:21" ht="15.95" customHeight="1">
      <c r="A37" s="19"/>
      <c r="B37" s="24" t="s">
        <v>2693</v>
      </c>
      <c r="C37" s="297">
        <v>1</v>
      </c>
      <c r="D37" s="276">
        <v>0</v>
      </c>
      <c r="E37" s="276">
        <v>0</v>
      </c>
      <c r="F37" s="276">
        <v>0</v>
      </c>
      <c r="G37" s="276">
        <v>0</v>
      </c>
      <c r="H37" s="276">
        <f>0.085/'Exchange Rates'!C13</f>
        <v>7.8211262421788746E-2</v>
      </c>
      <c r="I37" s="276">
        <v>0</v>
      </c>
      <c r="J37" s="276">
        <v>0</v>
      </c>
      <c r="K37" s="276">
        <f>(0.106-0.085)/'Exchange Rates'!C13</f>
        <v>1.932278248067721E-2</v>
      </c>
      <c r="L37" s="276">
        <v>0</v>
      </c>
      <c r="M37" s="276">
        <v>0</v>
      </c>
      <c r="N37" s="276">
        <v>0</v>
      </c>
      <c r="O37" s="276">
        <f>(0.318-0.106)/'Exchange Rates'!C13</f>
        <v>0.19506808980493193</v>
      </c>
      <c r="P37" s="276">
        <v>0</v>
      </c>
      <c r="Q37" s="276">
        <v>0</v>
      </c>
      <c r="R37" s="276">
        <v>0</v>
      </c>
      <c r="S37" s="276">
        <v>0</v>
      </c>
      <c r="T37" s="276">
        <v>0</v>
      </c>
      <c r="U37" s="277">
        <f t="shared" si="0"/>
        <v>0.29260213470739788</v>
      </c>
    </row>
    <row r="38" spans="1:21" ht="15.95" customHeight="1">
      <c r="A38" s="19"/>
      <c r="B38" s="2" t="s">
        <v>2832</v>
      </c>
      <c r="C38" s="297">
        <v>0</v>
      </c>
      <c r="D38" s="276" t="s">
        <v>6650</v>
      </c>
      <c r="E38" s="276" t="s">
        <v>6650</v>
      </c>
      <c r="F38" s="276" t="s">
        <v>6650</v>
      </c>
      <c r="G38" s="276" t="s">
        <v>6650</v>
      </c>
      <c r="H38" s="276" t="s">
        <v>6650</v>
      </c>
      <c r="I38" s="276" t="s">
        <v>6650</v>
      </c>
      <c r="J38" s="276" t="s">
        <v>6650</v>
      </c>
      <c r="K38" s="276" t="s">
        <v>6650</v>
      </c>
      <c r="L38" s="276" t="s">
        <v>6650</v>
      </c>
      <c r="M38" s="276" t="s">
        <v>6650</v>
      </c>
      <c r="N38" s="276" t="s">
        <v>6650</v>
      </c>
      <c r="O38" s="276" t="s">
        <v>6650</v>
      </c>
      <c r="P38" s="276" t="s">
        <v>6650</v>
      </c>
      <c r="Q38" s="276" t="s">
        <v>6650</v>
      </c>
      <c r="R38" s="276" t="s">
        <v>6650</v>
      </c>
      <c r="S38" s="276" t="s">
        <v>6650</v>
      </c>
      <c r="T38" s="276" t="s">
        <v>6650</v>
      </c>
      <c r="U38" s="277">
        <f t="shared" si="0"/>
        <v>0</v>
      </c>
    </row>
    <row r="39" spans="1:21" ht="15.95" customHeight="1">
      <c r="A39" s="19"/>
      <c r="B39" s="2" t="s">
        <v>2882</v>
      </c>
      <c r="C39" s="297">
        <v>0</v>
      </c>
      <c r="D39" s="276">
        <v>0</v>
      </c>
      <c r="E39" s="276">
        <v>0</v>
      </c>
      <c r="F39" s="276">
        <v>0</v>
      </c>
      <c r="G39" s="276">
        <v>0</v>
      </c>
      <c r="H39" s="276">
        <f>0.022/'Exchange Rates'!C13</f>
        <v>2.0242914979757085E-2</v>
      </c>
      <c r="I39" s="276">
        <v>0</v>
      </c>
      <c r="J39" s="276">
        <v>0</v>
      </c>
      <c r="K39" s="276">
        <v>0</v>
      </c>
      <c r="L39" s="276">
        <v>0</v>
      </c>
      <c r="M39" s="276">
        <v>0</v>
      </c>
      <c r="N39" s="276">
        <v>0</v>
      </c>
      <c r="O39" s="276">
        <v>0</v>
      </c>
      <c r="P39" s="276">
        <v>0</v>
      </c>
      <c r="Q39" s="276">
        <v>0</v>
      </c>
      <c r="R39" s="276">
        <v>0</v>
      </c>
      <c r="S39" s="276">
        <v>0</v>
      </c>
      <c r="T39" s="276">
        <v>0</v>
      </c>
      <c r="U39" s="277">
        <f t="shared" si="0"/>
        <v>2.0242914979757085E-2</v>
      </c>
    </row>
    <row r="40" spans="1:21" ht="15.95" customHeight="1">
      <c r="A40" s="19"/>
      <c r="B40" s="24" t="s">
        <v>2989</v>
      </c>
      <c r="C40" s="297">
        <v>1</v>
      </c>
      <c r="D40" s="276" t="s">
        <v>6650</v>
      </c>
      <c r="E40" s="276" t="s">
        <v>6650</v>
      </c>
      <c r="F40" s="276" t="s">
        <v>6650</v>
      </c>
      <c r="G40" s="276" t="s">
        <v>6650</v>
      </c>
      <c r="H40" s="276" t="s">
        <v>6650</v>
      </c>
      <c r="I40" s="276" t="s">
        <v>6650</v>
      </c>
      <c r="J40" s="276" t="s">
        <v>6650</v>
      </c>
      <c r="K40" s="276" t="s">
        <v>6650</v>
      </c>
      <c r="L40" s="276" t="s">
        <v>6650</v>
      </c>
      <c r="M40" s="276" t="s">
        <v>6650</v>
      </c>
      <c r="N40" s="276" t="s">
        <v>6650</v>
      </c>
      <c r="O40" s="276" t="s">
        <v>6650</v>
      </c>
      <c r="P40" s="276" t="s">
        <v>6650</v>
      </c>
      <c r="Q40" s="276" t="s">
        <v>6650</v>
      </c>
      <c r="R40" s="276" t="s">
        <v>6650</v>
      </c>
      <c r="S40" s="276" t="s">
        <v>6650</v>
      </c>
      <c r="T40" s="276" t="s">
        <v>6650</v>
      </c>
      <c r="U40" s="277">
        <f t="shared" si="0"/>
        <v>0</v>
      </c>
    </row>
    <row r="41" spans="1:21" ht="15.95" customHeight="1">
      <c r="A41" s="19"/>
      <c r="B41" s="24" t="s">
        <v>3079</v>
      </c>
      <c r="C41" s="297">
        <v>1</v>
      </c>
      <c r="D41" s="276" t="s">
        <v>6650</v>
      </c>
      <c r="E41" s="276" t="s">
        <v>6650</v>
      </c>
      <c r="F41" s="276" t="s">
        <v>6650</v>
      </c>
      <c r="G41" s="276" t="s">
        <v>6650</v>
      </c>
      <c r="H41" s="276" t="s">
        <v>6650</v>
      </c>
      <c r="I41" s="276" t="s">
        <v>6650</v>
      </c>
      <c r="J41" s="276" t="s">
        <v>6650</v>
      </c>
      <c r="K41" s="276" t="s">
        <v>6650</v>
      </c>
      <c r="L41" s="276" t="s">
        <v>6650</v>
      </c>
      <c r="M41" s="276" t="s">
        <v>6650</v>
      </c>
      <c r="N41" s="276" t="s">
        <v>6650</v>
      </c>
      <c r="O41" s="276" t="s">
        <v>6650</v>
      </c>
      <c r="P41" s="276" t="s">
        <v>6650</v>
      </c>
      <c r="Q41" s="276" t="s">
        <v>6650</v>
      </c>
      <c r="R41" s="276" t="s">
        <v>6650</v>
      </c>
      <c r="S41" s="276" t="s">
        <v>6650</v>
      </c>
      <c r="T41" s="276" t="s">
        <v>6650</v>
      </c>
      <c r="U41" s="277">
        <f t="shared" si="0"/>
        <v>0</v>
      </c>
    </row>
    <row r="42" spans="1:21" ht="15.95" customHeight="1">
      <c r="B42" s="2" t="s">
        <v>3162</v>
      </c>
      <c r="C42" s="297">
        <v>0</v>
      </c>
      <c r="D42" s="276" t="s">
        <v>6650</v>
      </c>
      <c r="E42" s="276" t="s">
        <v>6650</v>
      </c>
      <c r="F42" s="276" t="s">
        <v>6650</v>
      </c>
      <c r="G42" s="276" t="s">
        <v>6650</v>
      </c>
      <c r="H42" s="276" t="s">
        <v>6650</v>
      </c>
      <c r="I42" s="276" t="s">
        <v>6650</v>
      </c>
      <c r="J42" s="276" t="s">
        <v>6650</v>
      </c>
      <c r="K42" s="276" t="s">
        <v>6650</v>
      </c>
      <c r="L42" s="276" t="s">
        <v>6650</v>
      </c>
      <c r="M42" s="276" t="s">
        <v>6650</v>
      </c>
      <c r="N42" s="276" t="s">
        <v>6650</v>
      </c>
      <c r="O42" s="276" t="s">
        <v>6650</v>
      </c>
      <c r="P42" s="276" t="s">
        <v>6650</v>
      </c>
      <c r="Q42" s="276" t="s">
        <v>6650</v>
      </c>
      <c r="R42" s="276" t="s">
        <v>6650</v>
      </c>
      <c r="S42" s="276" t="s">
        <v>6650</v>
      </c>
      <c r="T42" s="276" t="s">
        <v>6650</v>
      </c>
      <c r="U42" s="277">
        <f t="shared" si="0"/>
        <v>0</v>
      </c>
    </row>
    <row r="43" spans="1:21" ht="15.95" customHeight="1">
      <c r="B43" s="24" t="s">
        <v>3214</v>
      </c>
      <c r="C43" s="297">
        <v>1</v>
      </c>
      <c r="D43" s="276" t="s">
        <v>6650</v>
      </c>
      <c r="E43" s="276" t="s">
        <v>6650</v>
      </c>
      <c r="F43" s="276" t="s">
        <v>6650</v>
      </c>
      <c r="G43" s="276" t="s">
        <v>6650</v>
      </c>
      <c r="H43" s="276" t="s">
        <v>6650</v>
      </c>
      <c r="I43" s="276" t="s">
        <v>6650</v>
      </c>
      <c r="J43" s="276" t="s">
        <v>6650</v>
      </c>
      <c r="K43" s="276" t="s">
        <v>6650</v>
      </c>
      <c r="L43" s="276" t="s">
        <v>6650</v>
      </c>
      <c r="M43" s="276" t="s">
        <v>6650</v>
      </c>
      <c r="N43" s="276" t="s">
        <v>6650</v>
      </c>
      <c r="O43" s="276" t="s">
        <v>6650</v>
      </c>
      <c r="P43" s="276" t="s">
        <v>6650</v>
      </c>
      <c r="Q43" s="276" t="s">
        <v>6650</v>
      </c>
      <c r="R43" s="276" t="s">
        <v>6650</v>
      </c>
      <c r="S43" s="276" t="s">
        <v>6650</v>
      </c>
      <c r="T43" s="276" t="s">
        <v>6650</v>
      </c>
      <c r="U43" s="277">
        <f t="shared" si="0"/>
        <v>0</v>
      </c>
    </row>
    <row r="44" spans="1:21" ht="15.95" customHeight="1">
      <c r="B44" s="24" t="s">
        <v>3261</v>
      </c>
      <c r="C44" s="297">
        <v>1</v>
      </c>
      <c r="D44" s="276" t="s">
        <v>6650</v>
      </c>
      <c r="E44" s="276" t="s">
        <v>6650</v>
      </c>
      <c r="F44" s="276" t="s">
        <v>6650</v>
      </c>
      <c r="G44" s="276" t="s">
        <v>6650</v>
      </c>
      <c r="H44" s="276" t="s">
        <v>6650</v>
      </c>
      <c r="I44" s="276" t="s">
        <v>6650</v>
      </c>
      <c r="J44" s="276" t="s">
        <v>6650</v>
      </c>
      <c r="K44" s="276" t="s">
        <v>6650</v>
      </c>
      <c r="L44" s="276" t="s">
        <v>6650</v>
      </c>
      <c r="M44" s="276" t="s">
        <v>6650</v>
      </c>
      <c r="N44" s="276" t="s">
        <v>6650</v>
      </c>
      <c r="O44" s="276" t="s">
        <v>6650</v>
      </c>
      <c r="P44" s="276" t="s">
        <v>6650</v>
      </c>
      <c r="Q44" s="276" t="s">
        <v>6650</v>
      </c>
      <c r="R44" s="276" t="s">
        <v>6650</v>
      </c>
      <c r="S44" s="276" t="s">
        <v>6650</v>
      </c>
      <c r="T44" s="276" t="s">
        <v>6650</v>
      </c>
      <c r="U44" s="277">
        <f t="shared" si="0"/>
        <v>0</v>
      </c>
    </row>
    <row r="45" spans="1:21" ht="15.95" customHeight="1">
      <c r="B45" s="24" t="s">
        <v>3337</v>
      </c>
      <c r="C45" s="297">
        <v>1</v>
      </c>
      <c r="D45" s="276" t="s">
        <v>6650</v>
      </c>
      <c r="E45" s="276" t="s">
        <v>6650</v>
      </c>
      <c r="F45" s="276" t="s">
        <v>6650</v>
      </c>
      <c r="G45" s="276" t="s">
        <v>6650</v>
      </c>
      <c r="H45" s="276" t="s">
        <v>6650</v>
      </c>
      <c r="I45" s="276" t="s">
        <v>6650</v>
      </c>
      <c r="J45" s="276" t="s">
        <v>6650</v>
      </c>
      <c r="K45" s="276" t="s">
        <v>6650</v>
      </c>
      <c r="L45" s="276" t="s">
        <v>6650</v>
      </c>
      <c r="M45" s="276" t="s">
        <v>6650</v>
      </c>
      <c r="N45" s="276" t="s">
        <v>6650</v>
      </c>
      <c r="O45" s="276" t="s">
        <v>6650</v>
      </c>
      <c r="P45" s="276" t="s">
        <v>6650</v>
      </c>
      <c r="Q45" s="276" t="s">
        <v>6650</v>
      </c>
      <c r="R45" s="276" t="s">
        <v>6650</v>
      </c>
      <c r="S45" s="276" t="s">
        <v>6650</v>
      </c>
      <c r="T45" s="276" t="s">
        <v>6650</v>
      </c>
      <c r="U45" s="277">
        <f t="shared" si="0"/>
        <v>0</v>
      </c>
    </row>
    <row r="46" spans="1:21" ht="15.95" customHeight="1">
      <c r="B46" s="24" t="s">
        <v>3412</v>
      </c>
      <c r="C46" s="297">
        <v>1</v>
      </c>
      <c r="D46" s="276">
        <v>0</v>
      </c>
      <c r="E46" s="276">
        <v>0</v>
      </c>
      <c r="F46" s="276">
        <v>0</v>
      </c>
      <c r="G46" s="276">
        <v>0</v>
      </c>
      <c r="H46" s="276">
        <v>0</v>
      </c>
      <c r="I46" s="276">
        <v>0</v>
      </c>
      <c r="J46" s="276">
        <v>0</v>
      </c>
      <c r="K46" s="276">
        <v>0</v>
      </c>
      <c r="L46" s="276">
        <v>0</v>
      </c>
      <c r="M46" s="276">
        <v>0</v>
      </c>
      <c r="N46" s="276">
        <v>0</v>
      </c>
      <c r="O46" s="276">
        <v>0</v>
      </c>
      <c r="P46" s="276">
        <v>0</v>
      </c>
      <c r="Q46" s="277">
        <f>0.0501/'Exchange Rates'!C13</f>
        <v>4.6098638203901358E-2</v>
      </c>
      <c r="R46" s="277">
        <v>0</v>
      </c>
      <c r="S46" s="277">
        <v>0</v>
      </c>
      <c r="T46" s="277">
        <v>0</v>
      </c>
      <c r="U46" s="277">
        <f t="shared" si="0"/>
        <v>4.6098638203901358E-2</v>
      </c>
    </row>
    <row r="47" spans="1:21" ht="15.95" customHeight="1">
      <c r="B47" s="24" t="s">
        <v>3548</v>
      </c>
      <c r="C47" s="297">
        <v>1</v>
      </c>
      <c r="D47" s="276">
        <v>0</v>
      </c>
      <c r="E47" s="276">
        <v>0</v>
      </c>
      <c r="F47" s="276">
        <v>0</v>
      </c>
      <c r="G47" s="276">
        <f>0.05/'Exchange Rates'!C13</f>
        <v>4.600662495399338E-2</v>
      </c>
      <c r="H47" s="276">
        <v>0</v>
      </c>
      <c r="I47" s="276">
        <f>(0.049-0.05)/'Exchange Rates'!C13</f>
        <v>-9.201324990798683E-4</v>
      </c>
      <c r="J47" s="276">
        <v>0</v>
      </c>
      <c r="K47" s="276">
        <v>0</v>
      </c>
      <c r="L47" s="276">
        <v>0</v>
      </c>
      <c r="M47" s="276">
        <v>0</v>
      </c>
      <c r="N47" s="276">
        <v>0</v>
      </c>
      <c r="O47" s="276">
        <v>0</v>
      </c>
      <c r="P47" s="276">
        <v>0</v>
      </c>
      <c r="Q47" s="276">
        <v>0</v>
      </c>
      <c r="R47" s="276">
        <v>0</v>
      </c>
      <c r="S47" s="276">
        <v>0</v>
      </c>
      <c r="T47" s="276">
        <v>0</v>
      </c>
      <c r="U47" s="277">
        <f t="shared" si="0"/>
        <v>4.5086492454913515E-2</v>
      </c>
    </row>
    <row r="48" spans="1:21" ht="15.95" customHeight="1">
      <c r="B48" s="2" t="s">
        <v>3649</v>
      </c>
      <c r="C48" s="297">
        <v>0</v>
      </c>
      <c r="D48" s="276">
        <v>0</v>
      </c>
      <c r="E48" s="276">
        <v>0</v>
      </c>
      <c r="F48" s="276">
        <v>0</v>
      </c>
      <c r="G48" s="276">
        <v>0</v>
      </c>
      <c r="H48" s="276">
        <v>0</v>
      </c>
      <c r="I48" s="276">
        <v>0</v>
      </c>
      <c r="J48" s="276">
        <v>0</v>
      </c>
      <c r="K48" s="276">
        <v>0</v>
      </c>
      <c r="L48" s="276">
        <v>0</v>
      </c>
      <c r="M48" s="276">
        <v>0</v>
      </c>
      <c r="N48" s="276">
        <v>0</v>
      </c>
      <c r="O48" s="276">
        <v>0</v>
      </c>
      <c r="P48" s="276">
        <v>0</v>
      </c>
      <c r="Q48" s="277">
        <f>0.0103/'Exchange Rates'!C13</f>
        <v>9.4773647405226348E-3</v>
      </c>
      <c r="R48" s="277">
        <v>0</v>
      </c>
      <c r="S48" s="277">
        <v>0</v>
      </c>
      <c r="T48" s="277">
        <v>0</v>
      </c>
      <c r="U48" s="277">
        <f t="shared" si="0"/>
        <v>9.4773647405226348E-3</v>
      </c>
    </row>
    <row r="49" spans="1:21" ht="15.95" customHeight="1">
      <c r="B49" s="2" t="s">
        <v>3685</v>
      </c>
      <c r="C49" s="297">
        <v>0</v>
      </c>
      <c r="D49" s="276" t="s">
        <v>6650</v>
      </c>
      <c r="E49" s="276" t="s">
        <v>6650</v>
      </c>
      <c r="F49" s="276" t="s">
        <v>6650</v>
      </c>
      <c r="G49" s="276" t="s">
        <v>6650</v>
      </c>
      <c r="H49" s="276" t="s">
        <v>6650</v>
      </c>
      <c r="I49" s="276" t="s">
        <v>6650</v>
      </c>
      <c r="J49" s="276" t="s">
        <v>6650</v>
      </c>
      <c r="K49" s="276" t="s">
        <v>6650</v>
      </c>
      <c r="L49" s="276" t="s">
        <v>6650</v>
      </c>
      <c r="M49" s="276" t="s">
        <v>6650</v>
      </c>
      <c r="N49" s="276" t="s">
        <v>6650</v>
      </c>
      <c r="O49" s="276" t="s">
        <v>6650</v>
      </c>
      <c r="P49" s="276" t="s">
        <v>6650</v>
      </c>
      <c r="Q49" s="276" t="s">
        <v>6650</v>
      </c>
      <c r="R49" s="276" t="s">
        <v>6650</v>
      </c>
      <c r="S49" s="276" t="s">
        <v>6650</v>
      </c>
      <c r="T49" s="276" t="s">
        <v>6650</v>
      </c>
      <c r="U49" s="277">
        <f t="shared" si="0"/>
        <v>0</v>
      </c>
    </row>
    <row r="50" spans="1:21" ht="15.95" customHeight="1">
      <c r="B50" s="24" t="s">
        <v>3748</v>
      </c>
      <c r="C50" s="297">
        <v>0</v>
      </c>
      <c r="D50" s="276">
        <v>0</v>
      </c>
      <c r="E50" s="276">
        <v>0</v>
      </c>
      <c r="F50" s="276">
        <v>0</v>
      </c>
      <c r="G50" s="276">
        <v>0</v>
      </c>
      <c r="H50" s="276">
        <f>0.128/'Exchange Rates'!C13</f>
        <v>0.11777695988222305</v>
      </c>
      <c r="I50" s="276">
        <v>0</v>
      </c>
      <c r="J50" s="276">
        <f>(0.577-0.128)/'Exchange Rates'!C13</f>
        <v>0.41313949208686046</v>
      </c>
      <c r="K50" s="276">
        <v>0</v>
      </c>
      <c r="L50" s="276">
        <v>0</v>
      </c>
      <c r="M50" s="276">
        <v>0</v>
      </c>
      <c r="N50" s="276">
        <f>(1.076-0.577)/'Exchange Rates'!C13</f>
        <v>0.45914611704085401</v>
      </c>
      <c r="O50" s="276">
        <v>0</v>
      </c>
      <c r="P50" s="276">
        <v>0</v>
      </c>
      <c r="Q50" s="277">
        <f>0.498/'Exchange Rates'!C13</f>
        <v>0.45822598454177405</v>
      </c>
      <c r="R50" s="277">
        <v>0</v>
      </c>
      <c r="S50" s="277">
        <v>0</v>
      </c>
      <c r="T50" s="277">
        <f>0.001/'Exchange Rates'!C13</f>
        <v>9.2013249907986754E-4</v>
      </c>
      <c r="U50" s="277">
        <f t="shared" si="0"/>
        <v>1.4492086860507916</v>
      </c>
    </row>
    <row r="51" spans="1:21" ht="15.95" customHeight="1">
      <c r="B51" s="24" t="s">
        <v>3949</v>
      </c>
      <c r="C51" s="297">
        <v>0</v>
      </c>
      <c r="D51" s="276">
        <v>0</v>
      </c>
      <c r="E51" s="276">
        <v>0</v>
      </c>
      <c r="F51" s="276">
        <v>0</v>
      </c>
      <c r="G51" s="276">
        <v>0</v>
      </c>
      <c r="H51" s="276">
        <f>0.986/'Exchange Rates'!C13</f>
        <v>0.90725064409274936</v>
      </c>
      <c r="I51" s="276">
        <f>(0.99-0.986)/'Exchange Rates'!C13</f>
        <v>3.6805299963194732E-3</v>
      </c>
      <c r="J51" s="276">
        <f>(3.99-0.99)/'Exchange Rates'!C13</f>
        <v>2.7603974972396026</v>
      </c>
      <c r="K51" s="276">
        <f>(6.99-3.99)/'Exchange Rates'!C13</f>
        <v>2.7603974972396026</v>
      </c>
      <c r="L51" s="276">
        <f>(8.49-6.99)/'Exchange Rates'!C13</f>
        <v>1.3801987486198013</v>
      </c>
      <c r="M51" s="276">
        <v>0</v>
      </c>
      <c r="N51" s="276">
        <v>0</v>
      </c>
      <c r="O51" s="276">
        <f>(11.99-8.49)/'Exchange Rates'!C13</f>
        <v>3.2204637467795365</v>
      </c>
      <c r="P51" s="276">
        <f>1/'Exchange Rates'!C13</f>
        <v>0.92013249907986749</v>
      </c>
      <c r="Q51" s="277">
        <f>(2.247-1)/'Exchange Rates'!C13</f>
        <v>1.1474052263525947</v>
      </c>
      <c r="R51" s="277">
        <f>(3.5-2.247)/'Exchange Rates'!C13</f>
        <v>1.152926021347074</v>
      </c>
      <c r="S51" s="277">
        <v>0</v>
      </c>
      <c r="T51" s="277">
        <f>(6-3.5)/'Exchange Rates'!C13</f>
        <v>2.3003312476996687</v>
      </c>
      <c r="U51" s="277">
        <f t="shared" si="0"/>
        <v>16.553183658446819</v>
      </c>
    </row>
    <row r="52" spans="1:21" ht="15.95" customHeight="1">
      <c r="B52" s="24" t="s">
        <v>905</v>
      </c>
      <c r="C52" s="297">
        <v>0</v>
      </c>
      <c r="D52" s="276" t="s">
        <v>6650</v>
      </c>
      <c r="E52" s="276" t="s">
        <v>6650</v>
      </c>
      <c r="F52" s="276" t="s">
        <v>6650</v>
      </c>
      <c r="G52" s="276" t="s">
        <v>6650</v>
      </c>
      <c r="H52" s="276" t="s">
        <v>6650</v>
      </c>
      <c r="I52" s="276" t="s">
        <v>6650</v>
      </c>
      <c r="J52" s="276" t="s">
        <v>6650</v>
      </c>
      <c r="K52" s="276" t="s">
        <v>6650</v>
      </c>
      <c r="L52" s="276" t="s">
        <v>6650</v>
      </c>
      <c r="M52" s="276" t="s">
        <v>6650</v>
      </c>
      <c r="N52" s="276" t="s">
        <v>6650</v>
      </c>
      <c r="O52" s="276" t="s">
        <v>6650</v>
      </c>
      <c r="P52" s="276" t="s">
        <v>6650</v>
      </c>
      <c r="Q52" s="276" t="s">
        <v>6650</v>
      </c>
      <c r="R52" s="276" t="s">
        <v>6650</v>
      </c>
      <c r="S52" s="276" t="s">
        <v>6650</v>
      </c>
      <c r="T52" s="276" t="s">
        <v>6650</v>
      </c>
      <c r="U52" s="277">
        <f t="shared" si="0"/>
        <v>0</v>
      </c>
    </row>
    <row r="53" spans="1:21" ht="15.95" customHeight="1">
      <c r="B53" s="24" t="s">
        <v>3713</v>
      </c>
      <c r="C53" s="297">
        <v>0</v>
      </c>
      <c r="D53" s="276" t="s">
        <v>6650</v>
      </c>
      <c r="E53" s="276" t="s">
        <v>6650</v>
      </c>
      <c r="F53" s="276" t="s">
        <v>6650</v>
      </c>
      <c r="G53" s="276" t="s">
        <v>6650</v>
      </c>
      <c r="H53" s="276" t="s">
        <v>6650</v>
      </c>
      <c r="I53" s="276" t="s">
        <v>6650</v>
      </c>
      <c r="J53" s="276" t="s">
        <v>6650</v>
      </c>
      <c r="K53" s="276" t="s">
        <v>6650</v>
      </c>
      <c r="L53" s="276" t="s">
        <v>6650</v>
      </c>
      <c r="M53" s="276" t="s">
        <v>6650</v>
      </c>
      <c r="N53" s="276" t="s">
        <v>6650</v>
      </c>
      <c r="O53" s="276" t="s">
        <v>6650</v>
      </c>
      <c r="P53" s="276" t="s">
        <v>6650</v>
      </c>
      <c r="Q53" s="276" t="s">
        <v>6650</v>
      </c>
      <c r="R53" s="276" t="s">
        <v>6650</v>
      </c>
      <c r="S53" s="276" t="s">
        <v>6650</v>
      </c>
      <c r="T53" s="276" t="s">
        <v>6650</v>
      </c>
      <c r="U53" s="277">
        <f t="shared" si="0"/>
        <v>0</v>
      </c>
    </row>
    <row r="54" spans="1:21" ht="15.95" customHeight="1">
      <c r="B54" s="258" t="s">
        <v>2076</v>
      </c>
      <c r="C54" s="328">
        <v>0</v>
      </c>
      <c r="D54" s="276" t="s">
        <v>6650</v>
      </c>
      <c r="E54" s="276" t="s">
        <v>6650</v>
      </c>
      <c r="F54" s="276" t="s">
        <v>6650</v>
      </c>
      <c r="G54" s="276" t="s">
        <v>6650</v>
      </c>
      <c r="H54" s="276" t="s">
        <v>6650</v>
      </c>
      <c r="I54" s="276" t="s">
        <v>6650</v>
      </c>
      <c r="J54" s="276" t="s">
        <v>6650</v>
      </c>
      <c r="K54" s="276" t="s">
        <v>6650</v>
      </c>
      <c r="L54" s="276" t="s">
        <v>6650</v>
      </c>
      <c r="M54" s="276" t="s">
        <v>6650</v>
      </c>
      <c r="N54" s="276" t="s">
        <v>6650</v>
      </c>
      <c r="O54" s="276" t="s">
        <v>6650</v>
      </c>
      <c r="P54" s="276" t="s">
        <v>6650</v>
      </c>
      <c r="Q54" s="276" t="s">
        <v>6650</v>
      </c>
      <c r="R54" s="276" t="s">
        <v>6650</v>
      </c>
      <c r="S54" s="276" t="s">
        <v>6650</v>
      </c>
      <c r="T54" s="276" t="s">
        <v>6650</v>
      </c>
      <c r="U54" s="277">
        <f t="shared" si="0"/>
        <v>0</v>
      </c>
    </row>
    <row r="55" spans="1:21" ht="15.95" customHeight="1">
      <c r="B55" s="65" t="s">
        <v>6651</v>
      </c>
      <c r="C55" s="332" t="s">
        <v>364</v>
      </c>
      <c r="D55" s="443">
        <v>0</v>
      </c>
      <c r="E55" s="443">
        <v>0</v>
      </c>
      <c r="F55" s="443">
        <v>0</v>
      </c>
      <c r="G55" s="443">
        <f>SUM(G13:G54)</f>
        <v>2.0564961354435036</v>
      </c>
      <c r="H55" s="443">
        <f t="shared" ref="H55:T55" si="1">SUM(H13:H54)</f>
        <v>2.0881838950523162</v>
      </c>
      <c r="I55" s="443">
        <f t="shared" si="1"/>
        <v>1.357195436142804</v>
      </c>
      <c r="J55" s="443">
        <f t="shared" si="1"/>
        <v>4.1387559808612444</v>
      </c>
      <c r="K55" s="443">
        <f t="shared" si="1"/>
        <v>4.2335296282664707</v>
      </c>
      <c r="L55" s="443">
        <f t="shared" si="1"/>
        <v>1.3801987486198013</v>
      </c>
      <c r="M55" s="443">
        <f t="shared" si="1"/>
        <v>2.2258005152741998</v>
      </c>
      <c r="N55" s="443">
        <f t="shared" si="1"/>
        <v>2.77972027972028</v>
      </c>
      <c r="O55" s="443">
        <f t="shared" si="1"/>
        <v>4.6356275303643741</v>
      </c>
      <c r="P55" s="443">
        <f t="shared" si="1"/>
        <v>3.9059624585940376</v>
      </c>
      <c r="Q55" s="443">
        <f t="shared" si="1"/>
        <v>1.7521520794994478</v>
      </c>
      <c r="R55" s="443">
        <f t="shared" si="1"/>
        <v>2.6306588148693413</v>
      </c>
      <c r="S55" s="443">
        <f t="shared" si="1"/>
        <v>3.1348914243651089</v>
      </c>
      <c r="T55" s="443">
        <f t="shared" si="1"/>
        <v>3.7946264262053737</v>
      </c>
      <c r="U55" s="443" t="s">
        <v>364</v>
      </c>
    </row>
    <row r="56" spans="1:21" ht="15.95" customHeight="1">
      <c r="B56" s="65" t="s">
        <v>6652</v>
      </c>
      <c r="C56" s="332" t="s">
        <v>364</v>
      </c>
      <c r="D56" s="443">
        <v>0</v>
      </c>
      <c r="E56" s="443">
        <v>0</v>
      </c>
      <c r="F56" s="443">
        <v>0</v>
      </c>
      <c r="G56" s="443">
        <f>G55</f>
        <v>2.0564961354435036</v>
      </c>
      <c r="H56" s="805">
        <f>SUM(D55:H55)</f>
        <v>4.1446800304958202</v>
      </c>
      <c r="I56" s="805">
        <f>SUM(D55:I55)</f>
        <v>5.5018754666386247</v>
      </c>
      <c r="J56" s="805">
        <f>SUM(D55:J55)</f>
        <v>9.6406314474998691</v>
      </c>
      <c r="K56" s="805">
        <f>SUM(D55:K55)</f>
        <v>13.87416107576634</v>
      </c>
      <c r="L56" s="805">
        <f>SUM(D55:L55)</f>
        <v>15.254359824386141</v>
      </c>
      <c r="M56" s="805">
        <f>SUM(D55:M55)</f>
        <v>17.48016033966034</v>
      </c>
      <c r="N56" s="805">
        <f>SUM(D55:N55)</f>
        <v>20.25988061938062</v>
      </c>
      <c r="O56" s="805">
        <f>SUM(D55:O55)</f>
        <v>24.895508149744995</v>
      </c>
      <c r="P56" s="805">
        <f>SUM(D55:P55)</f>
        <v>28.801470608339031</v>
      </c>
      <c r="Q56" s="805">
        <f>SUM(D55:Q55)</f>
        <v>30.55362268783848</v>
      </c>
      <c r="R56" s="805">
        <f>SUM(E55:R55)</f>
        <v>33.184281502707819</v>
      </c>
      <c r="S56" s="805">
        <f>SUM(F55:S55)</f>
        <v>36.319172927072927</v>
      </c>
      <c r="T56" s="805">
        <f>SUM(G55:T55)</f>
        <v>40.113799353278303</v>
      </c>
      <c r="U56" s="805">
        <f>SUM(U13:U54)</f>
        <v>40.11379935327831</v>
      </c>
    </row>
    <row r="57" spans="1:21" s="107" customFormat="1" ht="15.95" customHeight="1">
      <c r="A57" s="3"/>
      <c r="B57" s="65" t="s">
        <v>6653</v>
      </c>
      <c r="C57" s="332" t="s">
        <v>364</v>
      </c>
      <c r="D57" s="806"/>
      <c r="E57" s="806"/>
      <c r="F57" s="806"/>
      <c r="G57" s="807" t="s">
        <v>6654</v>
      </c>
      <c r="H57" s="807" t="s">
        <v>6655</v>
      </c>
      <c r="I57" s="807" t="s">
        <v>6656</v>
      </c>
      <c r="J57" s="807" t="s">
        <v>6657</v>
      </c>
      <c r="K57" s="807" t="s">
        <v>6658</v>
      </c>
      <c r="L57" s="807" t="s">
        <v>6659</v>
      </c>
      <c r="M57" s="807" t="s">
        <v>6660</v>
      </c>
      <c r="N57" s="808" t="s">
        <v>6661</v>
      </c>
      <c r="O57" s="807" t="s">
        <v>6662</v>
      </c>
      <c r="P57" s="809" t="s">
        <v>6663</v>
      </c>
      <c r="Q57" s="809" t="s">
        <v>6664</v>
      </c>
      <c r="R57" s="809" t="s">
        <v>6665</v>
      </c>
      <c r="S57" s="809" t="s">
        <v>6666</v>
      </c>
      <c r="T57" s="809" t="s">
        <v>6667</v>
      </c>
      <c r="U57" s="810" t="s">
        <v>2196</v>
      </c>
    </row>
    <row r="58" spans="1:21" s="107" customFormat="1" ht="15.95" customHeight="1">
      <c r="A58" s="3"/>
      <c r="B58" s="24"/>
      <c r="C58" s="297"/>
      <c r="D58" s="337"/>
      <c r="E58" s="337"/>
      <c r="F58" s="337"/>
      <c r="G58" s="337"/>
      <c r="H58" s="337"/>
      <c r="I58" s="337"/>
      <c r="J58" s="337"/>
      <c r="K58" s="337"/>
      <c r="L58" s="337"/>
      <c r="M58" s="337"/>
      <c r="N58" s="337"/>
      <c r="O58" s="337"/>
      <c r="P58" s="337"/>
      <c r="Q58" s="24"/>
      <c r="R58" s="24"/>
      <c r="S58" s="24"/>
      <c r="T58" s="24"/>
    </row>
    <row r="59" spans="1:21" s="107" customFormat="1" ht="15.95" customHeight="1">
      <c r="A59" s="3"/>
      <c r="B59" s="24"/>
      <c r="C59" s="297"/>
      <c r="D59" s="337"/>
      <c r="E59" s="337"/>
      <c r="F59" s="337"/>
      <c r="G59" s="337"/>
      <c r="H59" s="337"/>
      <c r="I59" s="337"/>
      <c r="J59" s="337"/>
      <c r="K59" s="337"/>
      <c r="L59" s="337"/>
      <c r="M59" s="337"/>
      <c r="N59" s="337"/>
      <c r="O59" s="337"/>
      <c r="P59" s="337"/>
      <c r="Q59" s="24"/>
      <c r="R59" s="24"/>
      <c r="S59" s="24"/>
      <c r="T59" s="24"/>
    </row>
    <row r="60" spans="1:21" s="107" customFormat="1" ht="15.95" customHeight="1">
      <c r="A60" s="3"/>
      <c r="B60" s="24"/>
      <c r="C60" s="297"/>
      <c r="D60" s="337"/>
      <c r="E60" s="337"/>
      <c r="F60" s="337"/>
      <c r="G60" s="337"/>
      <c r="H60" s="337"/>
      <c r="I60" s="337"/>
      <c r="J60" s="337"/>
      <c r="K60" s="337"/>
      <c r="L60" s="337"/>
      <c r="M60" s="337"/>
      <c r="N60" s="337"/>
      <c r="O60" s="337"/>
      <c r="P60" s="337"/>
      <c r="Q60" s="24"/>
      <c r="R60" s="24"/>
      <c r="S60" s="24"/>
      <c r="T60" s="24"/>
    </row>
    <row r="61" spans="1:21" s="107" customFormat="1" ht="15.95" customHeight="1">
      <c r="A61" s="3"/>
      <c r="B61" s="24"/>
      <c r="C61" s="297"/>
      <c r="D61" s="337"/>
      <c r="E61" s="337"/>
      <c r="F61" s="337"/>
      <c r="G61" s="337"/>
      <c r="H61" s="337"/>
      <c r="I61" s="337"/>
      <c r="J61" s="337"/>
      <c r="K61" s="337"/>
      <c r="L61" s="337"/>
      <c r="M61" s="337"/>
      <c r="N61" s="337"/>
      <c r="O61" s="337"/>
      <c r="P61" s="337"/>
      <c r="Q61" s="24"/>
      <c r="R61" s="24"/>
      <c r="S61" s="24"/>
      <c r="T61" s="24"/>
    </row>
    <row r="62" spans="1:21" s="107" customFormat="1" ht="15.95" customHeight="1">
      <c r="A62" s="3"/>
      <c r="B62" s="108"/>
      <c r="C62" s="338"/>
      <c r="D62" s="337"/>
      <c r="E62" s="337"/>
      <c r="F62" s="337"/>
      <c r="G62" s="337"/>
      <c r="H62" s="337"/>
      <c r="I62" s="337"/>
      <c r="J62" s="337"/>
      <c r="K62" s="337"/>
      <c r="L62" s="337"/>
      <c r="M62" s="337"/>
      <c r="N62" s="337"/>
      <c r="O62" s="337"/>
      <c r="P62" s="337"/>
      <c r="Q62" s="24"/>
      <c r="R62" s="24"/>
      <c r="S62" s="24"/>
      <c r="T62" s="24"/>
    </row>
    <row r="63" spans="1:21" s="107" customFormat="1" ht="15.95" customHeight="1">
      <c r="A63" s="3"/>
      <c r="B63" s="24"/>
      <c r="C63" s="297"/>
      <c r="D63" s="337"/>
      <c r="E63" s="337"/>
      <c r="F63" s="337"/>
      <c r="G63" s="337"/>
      <c r="H63" s="337"/>
      <c r="I63" s="337"/>
      <c r="J63" s="337"/>
      <c r="K63" s="337"/>
      <c r="L63" s="337"/>
      <c r="M63" s="337"/>
      <c r="N63" s="337"/>
      <c r="O63" s="337"/>
      <c r="P63" s="337"/>
      <c r="Q63" s="24"/>
      <c r="R63" s="24"/>
      <c r="S63" s="24"/>
      <c r="T63" s="24"/>
    </row>
    <row r="64" spans="1:21" s="107" customFormat="1" ht="15.95" customHeight="1">
      <c r="A64" s="3"/>
      <c r="B64" s="22"/>
      <c r="C64" s="339"/>
      <c r="D64" s="337"/>
      <c r="E64" s="337"/>
      <c r="F64" s="337"/>
      <c r="G64" s="337"/>
      <c r="H64" s="337"/>
      <c r="I64" s="337"/>
      <c r="J64" s="337"/>
      <c r="K64" s="337"/>
      <c r="L64" s="337"/>
      <c r="M64" s="337"/>
      <c r="N64" s="337"/>
      <c r="O64" s="337"/>
      <c r="P64" s="337"/>
      <c r="Q64" s="24"/>
      <c r="R64" s="24"/>
      <c r="S64" s="24"/>
      <c r="T64" s="24"/>
    </row>
    <row r="65" spans="1:20" s="107" customFormat="1" ht="15.95" customHeight="1">
      <c r="A65" s="3"/>
      <c r="B65" s="24"/>
      <c r="C65" s="297"/>
      <c r="D65" s="337"/>
      <c r="E65" s="337"/>
      <c r="F65" s="337"/>
      <c r="G65" s="337"/>
      <c r="H65" s="337"/>
      <c r="I65" s="337"/>
      <c r="J65" s="337"/>
      <c r="K65" s="337"/>
      <c r="L65" s="337"/>
      <c r="M65" s="337"/>
      <c r="N65" s="337"/>
      <c r="O65" s="337"/>
      <c r="P65" s="337"/>
      <c r="Q65" s="24"/>
      <c r="R65" s="24"/>
      <c r="S65" s="24"/>
      <c r="T65" s="24"/>
    </row>
    <row r="66" spans="1:20" s="107" customFormat="1" ht="15.95" customHeight="1">
      <c r="A66" s="3"/>
      <c r="B66" s="24"/>
      <c r="C66" s="297"/>
      <c r="D66" s="337"/>
      <c r="E66" s="337"/>
      <c r="F66" s="337"/>
      <c r="G66" s="337"/>
      <c r="H66" s="337"/>
      <c r="I66" s="337"/>
      <c r="J66" s="337"/>
      <c r="K66" s="337"/>
      <c r="L66" s="337"/>
      <c r="M66" s="337"/>
      <c r="N66" s="337"/>
      <c r="O66" s="337"/>
      <c r="P66" s="337"/>
      <c r="Q66" s="24"/>
      <c r="R66" s="24"/>
      <c r="S66" s="24"/>
      <c r="T66" s="24"/>
    </row>
    <row r="67" spans="1:20" s="107" customFormat="1" ht="15.95" customHeight="1">
      <c r="A67" s="3"/>
      <c r="B67" s="24"/>
      <c r="C67" s="297"/>
      <c r="D67" s="337"/>
      <c r="E67" s="337"/>
      <c r="F67" s="337"/>
      <c r="G67" s="337"/>
      <c r="H67" s="337"/>
      <c r="I67" s="337"/>
      <c r="J67" s="337"/>
      <c r="K67" s="337"/>
      <c r="L67" s="337"/>
      <c r="M67" s="337"/>
      <c r="N67" s="337"/>
      <c r="O67" s="337"/>
      <c r="P67" s="337"/>
      <c r="Q67" s="24"/>
      <c r="R67" s="24"/>
      <c r="S67" s="24"/>
      <c r="T67" s="24"/>
    </row>
    <row r="68" spans="1:20" s="107" customFormat="1" ht="15.95" customHeight="1">
      <c r="A68" s="3"/>
      <c r="B68" s="24"/>
      <c r="C68" s="297"/>
      <c r="D68" s="337"/>
      <c r="E68" s="337"/>
      <c r="F68" s="337"/>
      <c r="G68" s="337"/>
      <c r="H68" s="337"/>
      <c r="I68" s="337"/>
      <c r="J68" s="337"/>
      <c r="K68" s="337"/>
      <c r="L68" s="337"/>
      <c r="M68" s="337"/>
      <c r="N68" s="337"/>
      <c r="O68" s="337"/>
      <c r="P68" s="337"/>
      <c r="Q68" s="24"/>
      <c r="R68" s="24"/>
      <c r="S68" s="24"/>
      <c r="T68" s="24"/>
    </row>
    <row r="69" spans="1:20" s="107" customFormat="1" ht="15.95" customHeight="1">
      <c r="A69" s="3"/>
      <c r="B69" s="24"/>
      <c r="C69" s="297"/>
      <c r="D69" s="337"/>
      <c r="E69" s="337"/>
      <c r="F69" s="337"/>
      <c r="G69" s="337"/>
      <c r="H69" s="337"/>
      <c r="I69" s="337"/>
      <c r="J69" s="337"/>
      <c r="K69" s="337"/>
      <c r="L69" s="337"/>
      <c r="M69" s="337"/>
      <c r="N69" s="337"/>
      <c r="O69" s="337"/>
      <c r="P69" s="337"/>
      <c r="Q69" s="24"/>
      <c r="R69" s="24"/>
      <c r="S69" s="24"/>
      <c r="T69" s="24"/>
    </row>
    <row r="70" spans="1:20" s="107" customFormat="1" ht="15.95" customHeight="1">
      <c r="A70" s="3"/>
      <c r="B70" s="24"/>
      <c r="C70" s="297"/>
      <c r="D70" s="337"/>
      <c r="E70" s="337"/>
      <c r="F70" s="337"/>
      <c r="G70" s="337"/>
      <c r="H70" s="337"/>
      <c r="I70" s="337"/>
      <c r="J70" s="337"/>
      <c r="K70" s="337"/>
      <c r="L70" s="337"/>
      <c r="M70" s="337"/>
      <c r="N70" s="337"/>
      <c r="O70" s="337"/>
      <c r="P70" s="337"/>
      <c r="Q70" s="24"/>
      <c r="R70" s="24"/>
      <c r="S70" s="24"/>
      <c r="T70" s="24"/>
    </row>
    <row r="71" spans="1:20" s="107" customFormat="1" ht="15.95" customHeight="1">
      <c r="A71" s="3"/>
      <c r="B71" s="24"/>
      <c r="C71" s="297"/>
      <c r="D71" s="337"/>
      <c r="E71" s="337"/>
      <c r="F71" s="337"/>
      <c r="G71" s="337"/>
      <c r="H71" s="337"/>
      <c r="I71" s="337"/>
      <c r="J71" s="337"/>
      <c r="K71" s="337"/>
      <c r="L71" s="337"/>
      <c r="M71" s="337"/>
      <c r="N71" s="337"/>
      <c r="O71" s="337"/>
      <c r="P71" s="337"/>
      <c r="Q71" s="24"/>
      <c r="R71" s="24"/>
      <c r="S71" s="24"/>
      <c r="T71" s="24"/>
    </row>
    <row r="72" spans="1:20" s="107" customFormat="1" ht="15.95" customHeight="1">
      <c r="A72" s="3"/>
      <c r="B72" s="24"/>
      <c r="C72" s="297"/>
      <c r="D72" s="337"/>
      <c r="E72" s="337"/>
      <c r="F72" s="337"/>
      <c r="G72" s="337"/>
      <c r="H72" s="337"/>
      <c r="I72" s="337"/>
      <c r="J72" s="337"/>
      <c r="K72" s="337"/>
      <c r="L72" s="337"/>
      <c r="M72" s="337"/>
      <c r="N72" s="337"/>
      <c r="O72" s="337"/>
      <c r="P72" s="337"/>
      <c r="Q72" s="24"/>
      <c r="R72" s="24"/>
      <c r="S72" s="24"/>
      <c r="T72" s="24"/>
    </row>
    <row r="73" spans="1:20" s="107" customFormat="1" ht="15.95" customHeight="1">
      <c r="A73" s="3"/>
      <c r="B73" s="24"/>
      <c r="C73" s="297"/>
      <c r="D73" s="337"/>
      <c r="E73" s="337"/>
      <c r="F73" s="337"/>
      <c r="G73" s="337"/>
      <c r="H73" s="337"/>
      <c r="I73" s="337"/>
      <c r="J73" s="337"/>
      <c r="K73" s="337"/>
      <c r="L73" s="337"/>
      <c r="M73" s="337"/>
      <c r="N73" s="337"/>
      <c r="O73" s="337"/>
      <c r="P73" s="337"/>
      <c r="Q73" s="24"/>
      <c r="R73" s="24"/>
      <c r="S73" s="24"/>
      <c r="T73" s="24"/>
    </row>
    <row r="74" spans="1:20" s="107" customFormat="1" ht="15.95" customHeight="1">
      <c r="A74" s="3"/>
      <c r="B74" s="24"/>
      <c r="C74" s="297"/>
      <c r="D74" s="337"/>
      <c r="E74" s="337"/>
      <c r="F74" s="337"/>
      <c r="G74" s="337"/>
      <c r="H74" s="337"/>
      <c r="I74" s="337"/>
      <c r="J74" s="337"/>
      <c r="K74" s="337"/>
      <c r="L74" s="337"/>
      <c r="M74" s="337"/>
      <c r="N74" s="337"/>
      <c r="O74" s="337"/>
      <c r="P74" s="337"/>
      <c r="Q74" s="24"/>
      <c r="R74" s="24"/>
      <c r="S74" s="24"/>
      <c r="T74" s="24"/>
    </row>
    <row r="75" spans="1:20" s="107" customFormat="1" ht="15.95" customHeight="1">
      <c r="A75" s="3"/>
      <c r="B75" s="24"/>
      <c r="C75" s="297"/>
      <c r="D75" s="337"/>
      <c r="E75" s="337"/>
      <c r="F75" s="337"/>
      <c r="G75" s="337"/>
      <c r="H75" s="337"/>
      <c r="I75" s="337"/>
      <c r="J75" s="337"/>
      <c r="K75" s="337"/>
      <c r="L75" s="337"/>
      <c r="M75" s="337"/>
      <c r="N75" s="337"/>
      <c r="O75" s="337"/>
      <c r="P75" s="337"/>
      <c r="Q75" s="24"/>
      <c r="R75" s="24"/>
      <c r="S75" s="24"/>
      <c r="T75" s="24"/>
    </row>
    <row r="76" spans="1:20" s="107" customFormat="1" ht="15.95" customHeight="1">
      <c r="A76" s="3"/>
      <c r="B76" s="24"/>
      <c r="C76" s="297"/>
      <c r="D76" s="337"/>
      <c r="E76" s="337"/>
      <c r="F76" s="337"/>
      <c r="G76" s="337"/>
      <c r="H76" s="337"/>
      <c r="I76" s="337"/>
      <c r="J76" s="337"/>
      <c r="K76" s="337"/>
      <c r="L76" s="337"/>
      <c r="M76" s="337"/>
      <c r="N76" s="337"/>
      <c r="O76" s="337"/>
      <c r="P76" s="337"/>
      <c r="Q76" s="24"/>
      <c r="R76" s="24"/>
      <c r="S76" s="24"/>
      <c r="T76" s="24"/>
    </row>
    <row r="77" spans="1:20" s="107" customFormat="1" ht="15.95" customHeight="1">
      <c r="A77" s="3"/>
      <c r="B77" s="24"/>
      <c r="C77" s="297"/>
      <c r="D77" s="337"/>
      <c r="E77" s="337"/>
      <c r="F77" s="337"/>
      <c r="G77" s="337"/>
      <c r="H77" s="337"/>
      <c r="I77" s="337"/>
      <c r="J77" s="337"/>
      <c r="K77" s="337"/>
      <c r="L77" s="337"/>
      <c r="M77" s="337"/>
      <c r="N77" s="337"/>
      <c r="O77" s="337"/>
      <c r="P77" s="337"/>
      <c r="Q77" s="24"/>
      <c r="R77" s="24"/>
      <c r="S77" s="24"/>
      <c r="T77" s="24"/>
    </row>
    <row r="78" spans="1:20" s="107" customFormat="1" ht="15.95" customHeight="1">
      <c r="A78" s="3"/>
      <c r="B78" s="24"/>
      <c r="C78" s="297"/>
      <c r="D78" s="337"/>
      <c r="E78" s="337"/>
      <c r="F78" s="337"/>
      <c r="G78" s="337"/>
      <c r="H78" s="337"/>
      <c r="I78" s="337"/>
      <c r="J78" s="337"/>
      <c r="K78" s="337"/>
      <c r="L78" s="337"/>
      <c r="M78" s="337"/>
      <c r="N78" s="337"/>
      <c r="O78" s="337"/>
      <c r="P78" s="337"/>
      <c r="Q78" s="24"/>
      <c r="R78" s="24"/>
      <c r="S78" s="24"/>
      <c r="T78" s="24"/>
    </row>
    <row r="79" spans="1:20" s="107" customFormat="1" ht="15.95" customHeight="1">
      <c r="A79" s="3"/>
      <c r="B79" s="24"/>
      <c r="C79" s="297"/>
      <c r="D79" s="337"/>
      <c r="E79" s="337"/>
      <c r="F79" s="337"/>
      <c r="G79" s="337"/>
      <c r="H79" s="337"/>
      <c r="I79" s="337"/>
      <c r="J79" s="337"/>
      <c r="K79" s="337"/>
      <c r="L79" s="337"/>
      <c r="M79" s="337"/>
      <c r="N79" s="337"/>
      <c r="O79" s="337"/>
      <c r="P79" s="337"/>
      <c r="Q79" s="24"/>
      <c r="R79" s="24"/>
      <c r="S79" s="24"/>
      <c r="T79" s="24"/>
    </row>
    <row r="80" spans="1:20" s="107" customFormat="1" ht="15.95" customHeight="1">
      <c r="A80" s="3"/>
      <c r="B80" s="24"/>
      <c r="C80" s="297"/>
      <c r="D80" s="337"/>
      <c r="E80" s="337"/>
      <c r="F80" s="337"/>
      <c r="G80" s="337"/>
      <c r="H80" s="337"/>
      <c r="I80" s="337"/>
      <c r="J80" s="337"/>
      <c r="K80" s="337"/>
      <c r="L80" s="337"/>
      <c r="M80" s="337"/>
      <c r="N80" s="337"/>
      <c r="O80" s="337"/>
      <c r="P80" s="337"/>
      <c r="Q80" s="24"/>
      <c r="R80" s="24"/>
      <c r="S80" s="24"/>
      <c r="T80" s="24"/>
    </row>
    <row r="81" spans="1:20" s="107" customFormat="1" ht="15.95" customHeight="1">
      <c r="A81" s="3"/>
      <c r="B81" s="24"/>
      <c r="C81" s="297"/>
      <c r="D81" s="337"/>
      <c r="E81" s="337"/>
      <c r="F81" s="337"/>
      <c r="G81" s="337"/>
      <c r="H81" s="337"/>
      <c r="I81" s="337"/>
      <c r="J81" s="337"/>
      <c r="K81" s="337"/>
      <c r="L81" s="337"/>
      <c r="M81" s="337"/>
      <c r="N81" s="337"/>
      <c r="O81" s="337"/>
      <c r="P81" s="337"/>
      <c r="Q81" s="24"/>
      <c r="R81" s="24"/>
      <c r="S81" s="24"/>
      <c r="T81" s="24"/>
    </row>
    <row r="82" spans="1:20" s="107" customFormat="1" ht="15.95" customHeight="1">
      <c r="A82" s="3"/>
      <c r="B82" s="24"/>
      <c r="C82" s="297"/>
      <c r="D82" s="337"/>
      <c r="E82" s="337"/>
      <c r="F82" s="337"/>
      <c r="G82" s="337"/>
      <c r="H82" s="337"/>
      <c r="I82" s="337"/>
      <c r="J82" s="337"/>
      <c r="K82" s="337"/>
      <c r="L82" s="337"/>
      <c r="M82" s="337"/>
      <c r="N82" s="337"/>
      <c r="O82" s="337"/>
      <c r="P82" s="337"/>
      <c r="Q82" s="24"/>
      <c r="R82" s="24"/>
      <c r="S82" s="24"/>
      <c r="T82" s="24"/>
    </row>
    <row r="83" spans="1:20" s="107" customFormat="1" ht="15.95" customHeight="1">
      <c r="A83" s="3"/>
      <c r="B83" s="24"/>
      <c r="C83" s="297"/>
      <c r="D83" s="337"/>
      <c r="E83" s="337"/>
      <c r="F83" s="337"/>
      <c r="G83" s="337"/>
      <c r="H83" s="337"/>
      <c r="I83" s="337"/>
      <c r="J83" s="337"/>
      <c r="K83" s="337"/>
      <c r="L83" s="337"/>
      <c r="M83" s="337"/>
      <c r="N83" s="337"/>
      <c r="O83" s="337"/>
      <c r="P83" s="337"/>
      <c r="Q83" s="24"/>
      <c r="R83" s="24"/>
      <c r="S83" s="24"/>
      <c r="T83" s="24"/>
    </row>
    <row r="84" spans="1:20" s="107" customFormat="1" ht="15.95" customHeight="1">
      <c r="A84" s="3"/>
      <c r="B84" s="24"/>
      <c r="C84" s="297"/>
      <c r="D84" s="337"/>
      <c r="E84" s="337"/>
      <c r="F84" s="337"/>
      <c r="G84" s="337"/>
      <c r="H84" s="337"/>
      <c r="I84" s="337"/>
      <c r="J84" s="337"/>
      <c r="K84" s="337"/>
      <c r="L84" s="337"/>
      <c r="M84" s="337"/>
      <c r="N84" s="337"/>
      <c r="O84" s="337"/>
      <c r="P84" s="337"/>
      <c r="Q84" s="24"/>
      <c r="R84" s="24"/>
      <c r="S84" s="24"/>
      <c r="T84" s="24"/>
    </row>
    <row r="85" spans="1:20" s="107" customFormat="1" ht="15.95" customHeight="1">
      <c r="A85" s="3"/>
      <c r="B85" s="24"/>
      <c r="C85" s="297"/>
      <c r="D85" s="337"/>
      <c r="E85" s="337"/>
      <c r="F85" s="337"/>
      <c r="G85" s="337"/>
      <c r="H85" s="337"/>
      <c r="I85" s="337"/>
      <c r="J85" s="337"/>
      <c r="K85" s="337"/>
      <c r="L85" s="337"/>
      <c r="M85" s="337"/>
      <c r="N85" s="337"/>
      <c r="O85" s="337"/>
      <c r="P85" s="337"/>
      <c r="Q85" s="24"/>
      <c r="R85" s="24"/>
      <c r="S85" s="24"/>
      <c r="T85" s="24"/>
    </row>
    <row r="86" spans="1:20" s="107" customFormat="1" ht="15.95" customHeight="1">
      <c r="A86" s="3"/>
      <c r="B86" s="24"/>
      <c r="C86" s="297"/>
      <c r="D86" s="337"/>
      <c r="E86" s="337"/>
      <c r="F86" s="337"/>
      <c r="G86" s="337"/>
      <c r="H86" s="337"/>
      <c r="I86" s="337"/>
      <c r="J86" s="337"/>
      <c r="K86" s="337"/>
      <c r="L86" s="337"/>
      <c r="M86" s="337"/>
      <c r="N86" s="337"/>
      <c r="O86" s="337"/>
      <c r="P86" s="337"/>
      <c r="Q86" s="24"/>
      <c r="R86" s="24"/>
      <c r="S86" s="24"/>
      <c r="T86" s="24"/>
    </row>
    <row r="87" spans="1:20" s="107" customFormat="1" ht="15.95" customHeight="1">
      <c r="A87" s="3"/>
      <c r="B87" s="24"/>
      <c r="C87" s="297"/>
      <c r="D87" s="337"/>
      <c r="E87" s="337"/>
      <c r="F87" s="337"/>
      <c r="G87" s="337"/>
      <c r="H87" s="337"/>
      <c r="I87" s="337"/>
      <c r="J87" s="337"/>
      <c r="K87" s="337"/>
      <c r="L87" s="337"/>
      <c r="M87" s="337"/>
      <c r="N87" s="337"/>
      <c r="O87" s="337"/>
      <c r="P87" s="337"/>
      <c r="Q87" s="24"/>
      <c r="R87" s="24"/>
      <c r="S87" s="24"/>
      <c r="T87" s="24"/>
    </row>
    <row r="88" spans="1:20" s="107" customFormat="1" ht="15.95" customHeight="1">
      <c r="A88" s="3"/>
      <c r="B88" s="24"/>
      <c r="C88" s="297"/>
      <c r="D88" s="337"/>
      <c r="E88" s="337"/>
      <c r="F88" s="337"/>
      <c r="G88" s="337"/>
      <c r="H88" s="337"/>
      <c r="I88" s="337"/>
      <c r="J88" s="337"/>
      <c r="K88" s="337"/>
      <c r="L88" s="337"/>
      <c r="M88" s="337"/>
      <c r="N88" s="337"/>
      <c r="O88" s="337"/>
      <c r="P88" s="337"/>
      <c r="Q88" s="24"/>
      <c r="R88" s="24"/>
      <c r="S88" s="24"/>
      <c r="T88" s="24"/>
    </row>
    <row r="89" spans="1:20" s="107" customFormat="1" ht="15.95" customHeight="1">
      <c r="A89" s="3"/>
      <c r="B89" s="24"/>
      <c r="C89" s="297"/>
      <c r="D89" s="337"/>
      <c r="E89" s="337"/>
      <c r="F89" s="337"/>
      <c r="G89" s="337"/>
      <c r="H89" s="337"/>
      <c r="I89" s="337"/>
      <c r="J89" s="337"/>
      <c r="K89" s="337"/>
      <c r="L89" s="337"/>
      <c r="M89" s="337"/>
      <c r="N89" s="337"/>
      <c r="O89" s="337"/>
      <c r="P89" s="337"/>
      <c r="Q89" s="24"/>
      <c r="R89" s="24"/>
      <c r="S89" s="24"/>
      <c r="T89" s="24"/>
    </row>
    <row r="90" spans="1:20" s="107" customFormat="1" ht="15.95" customHeight="1">
      <c r="A90" s="3"/>
      <c r="B90" s="24"/>
      <c r="C90" s="297"/>
      <c r="D90" s="337"/>
      <c r="E90" s="337"/>
      <c r="F90" s="337"/>
      <c r="G90" s="337"/>
      <c r="H90" s="337"/>
      <c r="I90" s="337"/>
      <c r="J90" s="337"/>
      <c r="K90" s="337"/>
      <c r="L90" s="337"/>
      <c r="M90" s="337"/>
      <c r="N90" s="337"/>
      <c r="O90" s="337"/>
      <c r="P90" s="337"/>
      <c r="Q90" s="24"/>
      <c r="R90" s="24"/>
      <c r="S90" s="24"/>
      <c r="T90" s="24"/>
    </row>
    <row r="91" spans="1:20" s="107" customFormat="1" ht="15.95" customHeight="1">
      <c r="A91" s="3"/>
      <c r="B91" s="24"/>
      <c r="C91" s="297"/>
      <c r="D91" s="337"/>
      <c r="E91" s="337"/>
      <c r="F91" s="337"/>
      <c r="G91" s="337"/>
      <c r="H91" s="337"/>
      <c r="I91" s="337"/>
      <c r="J91" s="337"/>
      <c r="K91" s="337"/>
      <c r="L91" s="337"/>
      <c r="M91" s="337"/>
      <c r="N91" s="337"/>
      <c r="O91" s="337"/>
      <c r="P91" s="337"/>
      <c r="Q91" s="24"/>
      <c r="R91" s="24"/>
      <c r="S91" s="24"/>
      <c r="T91" s="24"/>
    </row>
    <row r="92" spans="1:20" s="107" customFormat="1" ht="15.95" customHeight="1">
      <c r="A92" s="3"/>
      <c r="B92" s="24"/>
      <c r="C92" s="297"/>
      <c r="D92" s="337"/>
      <c r="E92" s="337"/>
      <c r="F92" s="337"/>
      <c r="G92" s="337"/>
      <c r="H92" s="337"/>
      <c r="I92" s="337"/>
      <c r="J92" s="337"/>
      <c r="K92" s="337"/>
      <c r="L92" s="337"/>
      <c r="M92" s="337"/>
      <c r="N92" s="337"/>
      <c r="O92" s="337"/>
      <c r="P92" s="337"/>
      <c r="Q92" s="24"/>
      <c r="R92" s="24"/>
      <c r="S92" s="24"/>
      <c r="T92" s="24"/>
    </row>
    <row r="93" spans="1:20" s="107" customFormat="1" ht="15.95" customHeight="1">
      <c r="A93" s="3"/>
      <c r="B93" s="24"/>
      <c r="C93" s="297"/>
      <c r="D93" s="337"/>
      <c r="E93" s="337"/>
      <c r="F93" s="337"/>
      <c r="G93" s="337"/>
      <c r="H93" s="337"/>
      <c r="I93" s="337"/>
      <c r="J93" s="337"/>
      <c r="K93" s="337"/>
      <c r="L93" s="337"/>
      <c r="M93" s="337"/>
      <c r="N93" s="337"/>
      <c r="O93" s="337"/>
      <c r="P93" s="337"/>
      <c r="Q93" s="24"/>
      <c r="R93" s="24"/>
      <c r="S93" s="24"/>
      <c r="T93" s="24"/>
    </row>
    <row r="94" spans="1:20" s="107" customFormat="1" ht="15.95" customHeight="1">
      <c r="A94" s="3"/>
      <c r="B94" s="24"/>
      <c r="C94" s="297"/>
      <c r="D94" s="337"/>
      <c r="E94" s="337"/>
      <c r="F94" s="337"/>
      <c r="G94" s="337"/>
      <c r="H94" s="337"/>
      <c r="I94" s="337"/>
      <c r="J94" s="337"/>
      <c r="K94" s="337"/>
      <c r="L94" s="337"/>
      <c r="M94" s="337"/>
      <c r="N94" s="337"/>
      <c r="O94" s="337"/>
      <c r="P94" s="337"/>
      <c r="Q94" s="24"/>
      <c r="R94" s="24"/>
      <c r="S94" s="24"/>
      <c r="T94" s="24"/>
    </row>
    <row r="95" spans="1:20" s="107" customFormat="1" ht="15.95" customHeight="1">
      <c r="A95" s="3"/>
      <c r="B95" s="24"/>
      <c r="C95" s="297"/>
      <c r="D95" s="337"/>
      <c r="E95" s="337"/>
      <c r="F95" s="337"/>
      <c r="G95" s="337"/>
      <c r="H95" s="337"/>
      <c r="I95" s="337"/>
      <c r="J95" s="337"/>
      <c r="K95" s="337"/>
      <c r="L95" s="337"/>
      <c r="M95" s="337"/>
      <c r="N95" s="337"/>
      <c r="O95" s="337"/>
      <c r="P95" s="337"/>
      <c r="Q95" s="24"/>
      <c r="R95" s="24"/>
      <c r="S95" s="24"/>
      <c r="T95" s="24"/>
    </row>
    <row r="96" spans="1:20" s="107" customFormat="1" ht="15.95" customHeight="1">
      <c r="A96" s="3"/>
      <c r="B96" s="24"/>
      <c r="C96" s="297"/>
      <c r="D96" s="337"/>
      <c r="E96" s="337"/>
      <c r="F96" s="337"/>
      <c r="G96" s="337"/>
      <c r="H96" s="337"/>
      <c r="I96" s="337"/>
      <c r="J96" s="337"/>
      <c r="K96" s="337"/>
      <c r="L96" s="337"/>
      <c r="M96" s="337"/>
      <c r="N96" s="337"/>
      <c r="O96" s="337"/>
      <c r="P96" s="337"/>
      <c r="Q96" s="24"/>
      <c r="R96" s="24"/>
      <c r="S96" s="24"/>
      <c r="T96" s="24"/>
    </row>
    <row r="97" spans="1:20" s="107" customFormat="1" ht="15.95" customHeight="1">
      <c r="A97" s="3"/>
      <c r="B97" s="24"/>
      <c r="C97" s="297"/>
      <c r="D97" s="337"/>
      <c r="E97" s="337"/>
      <c r="F97" s="337"/>
      <c r="G97" s="337"/>
      <c r="H97" s="337"/>
      <c r="I97" s="337"/>
      <c r="J97" s="337"/>
      <c r="K97" s="337"/>
      <c r="L97" s="337"/>
      <c r="M97" s="337"/>
      <c r="N97" s="337"/>
      <c r="O97" s="337"/>
      <c r="P97" s="337"/>
      <c r="Q97" s="24"/>
      <c r="R97" s="24"/>
      <c r="S97" s="24"/>
      <c r="T97" s="24"/>
    </row>
    <row r="98" spans="1:20" s="107" customFormat="1" ht="15.95" customHeight="1">
      <c r="A98" s="3"/>
      <c r="B98" s="24"/>
      <c r="C98" s="297"/>
      <c r="D98" s="337"/>
      <c r="E98" s="337"/>
      <c r="F98" s="337"/>
      <c r="G98" s="337"/>
      <c r="H98" s="337"/>
      <c r="I98" s="337"/>
      <c r="J98" s="337"/>
      <c r="K98" s="337"/>
      <c r="L98" s="337"/>
      <c r="M98" s="337"/>
      <c r="N98" s="337"/>
      <c r="O98" s="337"/>
      <c r="P98" s="337"/>
      <c r="Q98" s="24"/>
      <c r="R98" s="24"/>
      <c r="S98" s="24"/>
      <c r="T98" s="24"/>
    </row>
    <row r="99" spans="1:20" s="107" customFormat="1" ht="15.95" customHeight="1">
      <c r="A99" s="3"/>
      <c r="B99" s="24"/>
      <c r="C99" s="297"/>
      <c r="D99" s="337"/>
      <c r="E99" s="337"/>
      <c r="F99" s="337"/>
      <c r="G99" s="337"/>
      <c r="H99" s="337"/>
      <c r="I99" s="337"/>
      <c r="J99" s="337"/>
      <c r="K99" s="337"/>
      <c r="L99" s="337"/>
      <c r="M99" s="337"/>
      <c r="N99" s="337"/>
      <c r="O99" s="337"/>
      <c r="P99" s="337"/>
      <c r="Q99" s="24"/>
      <c r="R99" s="24"/>
      <c r="S99" s="24"/>
      <c r="T99" s="24"/>
    </row>
    <row r="100" spans="1:20" s="107" customFormat="1" ht="15.95" customHeight="1">
      <c r="A100" s="3"/>
      <c r="B100" s="24"/>
      <c r="C100" s="297"/>
      <c r="D100" s="337"/>
      <c r="E100" s="337"/>
      <c r="F100" s="337"/>
      <c r="G100" s="337"/>
      <c r="H100" s="337"/>
      <c r="I100" s="337"/>
      <c r="J100" s="337"/>
      <c r="K100" s="337"/>
      <c r="L100" s="337"/>
      <c r="M100" s="337"/>
      <c r="N100" s="337"/>
      <c r="O100" s="337"/>
      <c r="P100" s="337"/>
      <c r="Q100" s="24"/>
      <c r="R100" s="24"/>
      <c r="S100" s="24"/>
      <c r="T100" s="24"/>
    </row>
    <row r="101" spans="1:20" s="107" customFormat="1" ht="15.95" customHeight="1">
      <c r="A101" s="3"/>
      <c r="B101" s="24"/>
      <c r="C101" s="297"/>
      <c r="D101" s="337"/>
      <c r="E101" s="337"/>
      <c r="F101" s="337"/>
      <c r="G101" s="337"/>
      <c r="H101" s="337"/>
      <c r="I101" s="337"/>
      <c r="J101" s="337"/>
      <c r="K101" s="337"/>
      <c r="M101" s="302"/>
      <c r="P101" s="138"/>
      <c r="Q101" s="24"/>
      <c r="R101" s="24"/>
      <c r="S101" s="24"/>
      <c r="T101" s="24"/>
    </row>
    <row r="102" spans="1:20" s="107" customFormat="1" ht="15.95" customHeight="1">
      <c r="A102" s="3"/>
      <c r="B102" s="24"/>
      <c r="C102" s="297"/>
      <c r="D102" s="337"/>
      <c r="E102" s="337"/>
      <c r="F102" s="337"/>
      <c r="G102" s="337"/>
      <c r="H102" s="337"/>
      <c r="I102" s="337"/>
      <c r="J102" s="337"/>
      <c r="K102" s="337"/>
      <c r="M102" s="302"/>
      <c r="P102" s="138"/>
      <c r="Q102" s="24"/>
      <c r="R102" s="24"/>
      <c r="S102" s="24"/>
      <c r="T102" s="24"/>
    </row>
    <row r="103" spans="1:20" s="107" customFormat="1" ht="15.95" customHeight="1">
      <c r="A103" s="3"/>
      <c r="B103" s="24"/>
      <c r="C103" s="297"/>
      <c r="D103" s="337"/>
      <c r="E103" s="337"/>
      <c r="F103" s="337"/>
      <c r="G103" s="337"/>
      <c r="H103" s="337"/>
      <c r="I103" s="337"/>
      <c r="J103" s="337"/>
      <c r="K103" s="337"/>
      <c r="M103" s="302"/>
      <c r="P103" s="138"/>
      <c r="Q103" s="24"/>
      <c r="R103" s="24"/>
      <c r="S103" s="24"/>
      <c r="T103" s="24"/>
    </row>
    <row r="104" spans="1:20" s="107" customFormat="1" ht="15.95" customHeight="1">
      <c r="A104" s="3"/>
      <c r="B104" s="24"/>
      <c r="C104" s="297"/>
      <c r="D104" s="337"/>
      <c r="E104" s="337"/>
      <c r="F104" s="337"/>
      <c r="G104" s="337"/>
      <c r="H104" s="337"/>
      <c r="I104" s="337"/>
      <c r="J104" s="337"/>
      <c r="K104" s="337"/>
      <c r="M104" s="302"/>
      <c r="P104" s="138"/>
      <c r="Q104" s="24"/>
      <c r="R104" s="24"/>
      <c r="S104" s="24"/>
      <c r="T104" s="24"/>
    </row>
    <row r="105" spans="1:20" s="107" customFormat="1" ht="15.95" customHeight="1">
      <c r="A105" s="3"/>
      <c r="B105" s="24"/>
      <c r="C105" s="297"/>
      <c r="D105" s="337"/>
      <c r="E105" s="337"/>
      <c r="F105" s="337"/>
      <c r="G105" s="337"/>
      <c r="H105" s="337"/>
      <c r="I105" s="337"/>
      <c r="J105" s="337"/>
      <c r="K105" s="337"/>
      <c r="M105" s="302"/>
      <c r="P105" s="138"/>
      <c r="Q105" s="24"/>
      <c r="R105" s="24"/>
      <c r="S105" s="24"/>
      <c r="T105" s="24"/>
    </row>
    <row r="106" spans="1:20" s="107" customFormat="1" ht="15.95" customHeight="1">
      <c r="A106" s="3"/>
      <c r="B106" s="24"/>
      <c r="C106" s="297"/>
      <c r="D106" s="337"/>
      <c r="E106" s="337"/>
      <c r="F106" s="337"/>
      <c r="G106" s="337"/>
      <c r="H106" s="337"/>
      <c r="I106" s="337"/>
      <c r="J106" s="337"/>
      <c r="K106" s="337"/>
      <c r="M106" s="302"/>
      <c r="P106" s="138"/>
      <c r="Q106" s="24"/>
      <c r="R106" s="24"/>
      <c r="S106" s="24"/>
      <c r="T106" s="24"/>
    </row>
    <row r="107" spans="1:20" s="107" customFormat="1" ht="15.95" customHeight="1">
      <c r="A107" s="3"/>
      <c r="B107" s="24"/>
      <c r="C107" s="297"/>
      <c r="D107" s="337"/>
      <c r="E107" s="337"/>
      <c r="F107" s="337"/>
      <c r="G107" s="337"/>
      <c r="H107" s="337"/>
      <c r="I107" s="337"/>
      <c r="J107" s="337"/>
      <c r="K107" s="337"/>
      <c r="M107" s="302"/>
      <c r="P107" s="138"/>
      <c r="Q107" s="24"/>
      <c r="R107" s="24"/>
      <c r="S107" s="24"/>
      <c r="T107" s="24"/>
    </row>
    <row r="108" spans="1:20" s="107" customFormat="1" ht="15.95" customHeight="1">
      <c r="A108" s="3"/>
      <c r="B108" s="24"/>
      <c r="C108" s="297"/>
      <c r="D108" s="337"/>
      <c r="E108" s="337"/>
      <c r="F108" s="337"/>
      <c r="G108" s="337"/>
      <c r="H108" s="337"/>
      <c r="I108" s="337"/>
      <c r="J108" s="337"/>
      <c r="K108" s="337"/>
      <c r="M108" s="302"/>
      <c r="P108" s="138"/>
      <c r="Q108" s="24"/>
      <c r="R108" s="24"/>
      <c r="S108" s="24"/>
      <c r="T108" s="24"/>
    </row>
    <row r="109" spans="1:20" s="107" customFormat="1" ht="15.95" customHeight="1">
      <c r="A109" s="3"/>
      <c r="B109" s="24"/>
      <c r="C109" s="297"/>
      <c r="D109" s="337"/>
      <c r="E109" s="337"/>
      <c r="F109" s="337"/>
      <c r="G109" s="337"/>
      <c r="H109" s="337"/>
      <c r="I109" s="337"/>
      <c r="J109" s="337"/>
      <c r="K109" s="337"/>
      <c r="M109" s="302"/>
      <c r="P109" s="138"/>
      <c r="Q109" s="24"/>
      <c r="R109" s="24"/>
      <c r="S109" s="24"/>
      <c r="T109" s="24"/>
    </row>
    <row r="110" spans="1:20" s="107" customFormat="1" ht="15.95" customHeight="1">
      <c r="A110" s="3"/>
      <c r="B110" s="24"/>
      <c r="C110" s="297"/>
      <c r="D110" s="337"/>
      <c r="E110" s="337"/>
      <c r="F110" s="337"/>
      <c r="G110" s="337"/>
      <c r="H110" s="337"/>
      <c r="I110" s="337"/>
      <c r="J110" s="337"/>
      <c r="K110" s="337"/>
      <c r="M110" s="302"/>
      <c r="P110" s="138"/>
      <c r="Q110" s="24"/>
      <c r="R110" s="24"/>
      <c r="S110" s="24"/>
      <c r="T110" s="24"/>
    </row>
    <row r="111" spans="1:20" s="107" customFormat="1" ht="15.95" customHeight="1">
      <c r="A111" s="3"/>
      <c r="B111" s="24"/>
      <c r="C111" s="297"/>
      <c r="D111" s="337"/>
      <c r="E111" s="337"/>
      <c r="F111" s="337"/>
      <c r="G111" s="337"/>
      <c r="H111" s="337"/>
      <c r="I111" s="337"/>
      <c r="J111" s="337"/>
      <c r="K111" s="337"/>
      <c r="M111" s="302"/>
      <c r="P111" s="138"/>
      <c r="Q111" s="24"/>
      <c r="R111" s="24"/>
      <c r="S111" s="24"/>
      <c r="T111" s="24"/>
    </row>
    <row r="112" spans="1:20" s="107" customFormat="1" ht="15.95" customHeight="1">
      <c r="A112" s="3"/>
      <c r="B112" s="24"/>
      <c r="C112" s="297"/>
      <c r="D112" s="337"/>
      <c r="E112" s="337"/>
      <c r="F112" s="337"/>
      <c r="G112" s="337"/>
      <c r="H112" s="337"/>
      <c r="I112" s="337"/>
      <c r="J112" s="337"/>
      <c r="K112" s="337"/>
      <c r="M112" s="302"/>
      <c r="P112" s="138"/>
      <c r="Q112" s="24"/>
      <c r="R112" s="24"/>
      <c r="S112" s="24"/>
      <c r="T112" s="24"/>
    </row>
    <row r="113" spans="1:20" s="107" customFormat="1" ht="15.95" customHeight="1">
      <c r="A113" s="3"/>
      <c r="B113" s="24"/>
      <c r="C113" s="297"/>
      <c r="D113" s="337"/>
      <c r="E113" s="337"/>
      <c r="F113" s="337"/>
      <c r="G113" s="337"/>
      <c r="H113" s="337"/>
      <c r="I113" s="337"/>
      <c r="J113" s="337"/>
      <c r="K113" s="337"/>
      <c r="M113" s="302"/>
      <c r="P113" s="138"/>
      <c r="Q113" s="24"/>
      <c r="R113" s="24"/>
      <c r="S113" s="24"/>
      <c r="T113" s="24"/>
    </row>
    <row r="114" spans="1:20" s="107" customFormat="1" ht="15.95" customHeight="1">
      <c r="A114" s="3"/>
      <c r="B114" s="24"/>
      <c r="C114" s="297"/>
      <c r="D114" s="337"/>
      <c r="E114" s="337"/>
      <c r="F114" s="337"/>
      <c r="G114" s="337"/>
      <c r="H114" s="337"/>
      <c r="I114" s="337"/>
      <c r="J114" s="337"/>
      <c r="K114" s="337"/>
      <c r="M114" s="302"/>
      <c r="P114" s="138"/>
      <c r="Q114" s="24"/>
      <c r="R114" s="24"/>
      <c r="S114" s="24"/>
      <c r="T114" s="24"/>
    </row>
    <row r="115" spans="1:20" s="107" customFormat="1" ht="15.95" customHeight="1">
      <c r="A115" s="3"/>
      <c r="B115" s="24"/>
      <c r="C115" s="297"/>
      <c r="D115" s="337"/>
      <c r="E115" s="337"/>
      <c r="F115" s="337"/>
      <c r="G115" s="337"/>
      <c r="H115" s="337"/>
      <c r="I115" s="337"/>
      <c r="J115" s="337"/>
      <c r="K115" s="337"/>
      <c r="M115" s="302"/>
      <c r="P115" s="138"/>
      <c r="Q115" s="24"/>
      <c r="R115" s="24"/>
      <c r="S115" s="24"/>
      <c r="T115" s="24"/>
    </row>
    <row r="116" spans="1:20" s="107" customFormat="1" ht="15.95" customHeight="1">
      <c r="A116" s="3"/>
      <c r="B116" s="24"/>
      <c r="C116" s="297"/>
      <c r="D116" s="337"/>
      <c r="E116" s="337"/>
      <c r="F116" s="337"/>
      <c r="G116" s="337"/>
      <c r="H116" s="337"/>
      <c r="I116" s="337"/>
      <c r="J116" s="337"/>
      <c r="K116" s="337"/>
      <c r="M116" s="302"/>
      <c r="P116" s="138"/>
      <c r="Q116" s="24"/>
      <c r="R116" s="24"/>
      <c r="S116" s="24"/>
      <c r="T116" s="24"/>
    </row>
    <row r="117" spans="1:20" s="107" customFormat="1" ht="15.95" customHeight="1">
      <c r="A117" s="3"/>
      <c r="B117" s="24"/>
      <c r="C117" s="297"/>
      <c r="D117" s="337"/>
      <c r="E117" s="337"/>
      <c r="F117" s="337"/>
      <c r="G117" s="337"/>
      <c r="H117" s="337"/>
      <c r="I117" s="337"/>
      <c r="J117" s="337"/>
      <c r="K117" s="337"/>
      <c r="M117" s="302"/>
      <c r="P117" s="138"/>
      <c r="Q117" s="24"/>
      <c r="R117" s="24"/>
      <c r="S117" s="24"/>
      <c r="T117" s="24"/>
    </row>
    <row r="118" spans="1:20" s="107" customFormat="1" ht="15.95" customHeight="1">
      <c r="A118" s="3"/>
      <c r="B118" s="24"/>
      <c r="C118" s="297"/>
      <c r="D118" s="337"/>
      <c r="E118" s="337"/>
      <c r="F118" s="337"/>
      <c r="G118" s="337"/>
      <c r="H118" s="337"/>
      <c r="I118" s="337"/>
      <c r="J118" s="337"/>
      <c r="K118" s="337"/>
      <c r="M118" s="302"/>
      <c r="P118" s="138"/>
      <c r="Q118" s="24"/>
      <c r="R118" s="24"/>
      <c r="S118" s="24"/>
      <c r="T118" s="24"/>
    </row>
    <row r="119" spans="1:20" s="107" customFormat="1" ht="15.95" customHeight="1">
      <c r="A119" s="3"/>
      <c r="B119" s="24"/>
      <c r="C119" s="297"/>
      <c r="D119" s="337"/>
      <c r="E119" s="337"/>
      <c r="F119" s="337"/>
      <c r="G119" s="337"/>
      <c r="H119" s="337"/>
      <c r="I119" s="337"/>
      <c r="J119" s="337"/>
      <c r="K119" s="337"/>
      <c r="M119" s="302"/>
      <c r="P119" s="138"/>
      <c r="Q119" s="24"/>
      <c r="R119" s="24"/>
      <c r="S119" s="24"/>
      <c r="T119" s="24"/>
    </row>
    <row r="120" spans="1:20" s="107" customFormat="1" ht="15.95" customHeight="1">
      <c r="A120" s="3"/>
      <c r="B120" s="24"/>
      <c r="C120" s="297"/>
      <c r="D120" s="337"/>
      <c r="E120" s="337"/>
      <c r="F120" s="337"/>
      <c r="G120" s="337"/>
      <c r="H120" s="337"/>
      <c r="I120" s="337"/>
      <c r="J120" s="337"/>
      <c r="K120" s="337"/>
      <c r="M120" s="302"/>
      <c r="P120" s="138"/>
      <c r="Q120" s="24"/>
      <c r="R120" s="24"/>
      <c r="S120" s="24"/>
      <c r="T120" s="24"/>
    </row>
    <row r="121" spans="1:20" s="107" customFormat="1" ht="15.95" customHeight="1">
      <c r="A121" s="3"/>
      <c r="B121" s="24"/>
      <c r="C121" s="297"/>
      <c r="D121" s="337"/>
      <c r="E121" s="337"/>
      <c r="F121" s="337"/>
      <c r="G121" s="337"/>
      <c r="H121" s="337"/>
      <c r="I121" s="337"/>
      <c r="J121" s="337"/>
      <c r="K121" s="337"/>
      <c r="M121" s="302"/>
      <c r="P121" s="138"/>
      <c r="Q121" s="24"/>
      <c r="R121" s="24"/>
      <c r="S121" s="24"/>
      <c r="T121" s="24"/>
    </row>
    <row r="122" spans="1:20" s="107" customFormat="1" ht="15.95" customHeight="1">
      <c r="A122" s="3"/>
      <c r="B122" s="24"/>
      <c r="C122" s="297"/>
      <c r="D122" s="337"/>
      <c r="E122" s="337"/>
      <c r="F122" s="337"/>
      <c r="G122" s="337"/>
      <c r="H122" s="337"/>
      <c r="I122" s="337"/>
      <c r="J122" s="337"/>
      <c r="K122" s="337"/>
      <c r="M122" s="302"/>
      <c r="P122" s="138"/>
      <c r="Q122" s="24"/>
      <c r="R122" s="24"/>
      <c r="S122" s="24"/>
      <c r="T122" s="24"/>
    </row>
    <row r="123" spans="1:20" s="107" customFormat="1" ht="15.95" customHeight="1">
      <c r="A123" s="3"/>
      <c r="B123" s="24"/>
      <c r="C123" s="297"/>
      <c r="D123" s="337"/>
      <c r="E123" s="337"/>
      <c r="F123" s="340"/>
      <c r="G123" s="337"/>
      <c r="H123" s="337"/>
      <c r="I123" s="337"/>
      <c r="J123" s="337"/>
      <c r="K123" s="337"/>
      <c r="M123" s="302"/>
      <c r="P123" s="138"/>
      <c r="Q123" s="24"/>
      <c r="R123" s="24"/>
      <c r="S123" s="24"/>
      <c r="T123" s="24"/>
    </row>
    <row r="124" spans="1:20" s="107" customFormat="1" ht="15.95" customHeight="1">
      <c r="A124" s="3"/>
      <c r="B124" s="24"/>
      <c r="C124" s="297"/>
      <c r="D124" s="337"/>
      <c r="E124" s="337"/>
      <c r="F124" s="337"/>
      <c r="G124" s="337"/>
      <c r="H124" s="337"/>
      <c r="I124" s="337"/>
      <c r="J124" s="337"/>
      <c r="K124" s="337"/>
      <c r="M124" s="302"/>
      <c r="P124" s="138"/>
      <c r="Q124" s="24"/>
      <c r="R124" s="24"/>
      <c r="S124" s="24"/>
      <c r="T124" s="24"/>
    </row>
    <row r="125" spans="1:20" s="107" customFormat="1" ht="15.95" customHeight="1">
      <c r="A125" s="3"/>
      <c r="B125" s="24"/>
      <c r="C125" s="297"/>
      <c r="D125" s="337"/>
      <c r="E125" s="337"/>
      <c r="F125" s="337"/>
      <c r="G125" s="337"/>
      <c r="H125" s="337"/>
      <c r="I125" s="337"/>
      <c r="J125" s="337"/>
      <c r="K125" s="337"/>
      <c r="M125" s="302"/>
      <c r="P125" s="138"/>
      <c r="Q125" s="24"/>
      <c r="R125" s="24"/>
      <c r="S125" s="24"/>
      <c r="T125" s="24"/>
    </row>
    <row r="126" spans="1:20" s="107" customFormat="1" ht="15.95" customHeight="1">
      <c r="A126" s="3"/>
      <c r="B126" s="24"/>
      <c r="C126" s="297"/>
      <c r="D126" s="337"/>
      <c r="E126" s="337"/>
      <c r="F126" s="337"/>
      <c r="G126" s="337"/>
      <c r="H126" s="337"/>
      <c r="I126" s="337"/>
      <c r="J126" s="337"/>
      <c r="K126" s="337"/>
      <c r="M126" s="302"/>
      <c r="P126" s="138"/>
      <c r="Q126" s="24"/>
      <c r="R126" s="24"/>
      <c r="S126" s="24"/>
      <c r="T126" s="24"/>
    </row>
    <row r="127" spans="1:20" s="107" customFormat="1" ht="15.95" customHeight="1">
      <c r="A127" s="3"/>
      <c r="B127" s="24"/>
      <c r="C127" s="297"/>
      <c r="D127" s="337"/>
      <c r="E127" s="337"/>
      <c r="F127" s="337"/>
      <c r="G127" s="337"/>
      <c r="H127" s="337"/>
      <c r="I127" s="337"/>
      <c r="J127" s="337"/>
      <c r="K127" s="337"/>
      <c r="M127" s="302"/>
      <c r="P127" s="138"/>
      <c r="Q127" s="24"/>
      <c r="R127" s="24"/>
      <c r="S127" s="24"/>
      <c r="T127" s="24"/>
    </row>
    <row r="128" spans="1:20" s="107" customFormat="1" ht="15.95" customHeight="1">
      <c r="A128" s="3"/>
      <c r="B128" s="24"/>
      <c r="C128" s="297"/>
      <c r="D128" s="337"/>
      <c r="E128" s="337"/>
      <c r="F128" s="341"/>
      <c r="G128" s="337"/>
      <c r="H128" s="337"/>
      <c r="I128" s="337"/>
      <c r="J128" s="337"/>
      <c r="K128" s="337"/>
      <c r="M128" s="302"/>
      <c r="P128" s="138"/>
      <c r="Q128" s="24"/>
      <c r="R128" s="24"/>
      <c r="S128" s="24"/>
      <c r="T128" s="24"/>
    </row>
    <row r="129" spans="1:20" s="107" customFormat="1" ht="15.95" customHeight="1">
      <c r="A129" s="3"/>
      <c r="B129" s="24"/>
      <c r="C129" s="297"/>
      <c r="D129" s="337"/>
      <c r="E129" s="337"/>
      <c r="F129" s="337"/>
      <c r="G129" s="337"/>
      <c r="H129" s="337"/>
      <c r="I129" s="337"/>
      <c r="J129" s="337"/>
      <c r="K129" s="337"/>
      <c r="M129" s="302"/>
      <c r="P129" s="138"/>
      <c r="Q129" s="24"/>
      <c r="R129" s="24"/>
      <c r="S129" s="24"/>
      <c r="T129" s="24"/>
    </row>
    <row r="130" spans="1:20" s="107" customFormat="1" ht="15.95" customHeight="1">
      <c r="A130" s="3"/>
      <c r="B130" s="24"/>
      <c r="C130" s="297"/>
      <c r="D130" s="337"/>
      <c r="E130" s="337"/>
      <c r="F130" s="337"/>
      <c r="G130" s="337"/>
      <c r="H130" s="337"/>
      <c r="I130" s="337"/>
      <c r="J130" s="337"/>
      <c r="K130" s="337"/>
      <c r="M130" s="302"/>
      <c r="P130" s="138"/>
      <c r="Q130" s="24"/>
      <c r="R130" s="24"/>
      <c r="S130" s="24"/>
      <c r="T130" s="24"/>
    </row>
    <row r="131" spans="1:20" s="107" customFormat="1" ht="15.95" customHeight="1">
      <c r="A131" s="3"/>
      <c r="B131" s="24"/>
      <c r="C131" s="297"/>
      <c r="D131" s="337"/>
      <c r="E131" s="337"/>
      <c r="F131" s="337"/>
      <c r="G131" s="337"/>
      <c r="H131" s="337"/>
      <c r="I131" s="337"/>
      <c r="J131" s="337"/>
      <c r="K131" s="337"/>
      <c r="M131" s="302"/>
      <c r="P131" s="138"/>
      <c r="Q131" s="24"/>
      <c r="R131" s="24"/>
      <c r="S131" s="24"/>
      <c r="T131" s="24"/>
    </row>
    <row r="132" spans="1:20" s="107" customFormat="1" ht="15.95" customHeight="1">
      <c r="A132" s="3"/>
      <c r="B132" s="24"/>
      <c r="C132" s="297"/>
      <c r="G132" s="337"/>
      <c r="H132" s="337"/>
      <c r="I132" s="337"/>
      <c r="J132" s="337"/>
      <c r="K132" s="337"/>
      <c r="M132" s="302"/>
      <c r="P132" s="138"/>
      <c r="Q132" s="24"/>
      <c r="R132" s="24"/>
      <c r="S132" s="24"/>
      <c r="T132" s="24"/>
    </row>
    <row r="133" spans="1:20" s="107" customFormat="1" ht="15.95" customHeight="1">
      <c r="A133" s="3"/>
      <c r="B133" s="24"/>
      <c r="C133" s="297"/>
      <c r="D133" s="337"/>
      <c r="E133" s="337"/>
      <c r="F133" s="337"/>
      <c r="G133" s="337"/>
      <c r="H133" s="337"/>
      <c r="I133" s="337"/>
      <c r="J133" s="337"/>
      <c r="K133" s="337"/>
      <c r="M133" s="302"/>
      <c r="P133" s="138"/>
      <c r="Q133" s="24"/>
      <c r="R133" s="24"/>
      <c r="S133" s="24"/>
      <c r="T133" s="24"/>
    </row>
    <row r="134" spans="1:20" s="107" customFormat="1" ht="15.95" customHeight="1">
      <c r="A134" s="3"/>
      <c r="B134" s="24"/>
      <c r="C134" s="297"/>
      <c r="D134" s="337"/>
      <c r="E134" s="337"/>
      <c r="F134" s="337"/>
      <c r="G134" s="337"/>
      <c r="H134" s="337"/>
      <c r="I134" s="337"/>
      <c r="J134" s="337"/>
      <c r="K134" s="337"/>
      <c r="M134" s="302"/>
      <c r="P134" s="138"/>
      <c r="Q134" s="24"/>
      <c r="R134" s="24"/>
      <c r="S134" s="24"/>
      <c r="T134" s="24"/>
    </row>
    <row r="135" spans="1:20" s="107" customFormat="1" ht="15.95" customHeight="1">
      <c r="A135" s="3"/>
      <c r="B135" s="24"/>
      <c r="C135" s="297"/>
      <c r="D135" s="337"/>
      <c r="E135" s="337"/>
      <c r="F135" s="337"/>
      <c r="G135" s="337"/>
      <c r="H135" s="337"/>
      <c r="I135" s="337"/>
      <c r="J135" s="337"/>
      <c r="K135" s="337"/>
      <c r="M135" s="302"/>
      <c r="P135" s="138"/>
      <c r="Q135" s="24"/>
      <c r="R135" s="24"/>
      <c r="S135" s="24"/>
      <c r="T135" s="24"/>
    </row>
    <row r="136" spans="1:20" s="107" customFormat="1" ht="15.95" customHeight="1">
      <c r="A136" s="3"/>
      <c r="B136" s="24"/>
      <c r="C136" s="297"/>
      <c r="D136" s="337"/>
      <c r="E136" s="337"/>
      <c r="F136" s="337"/>
      <c r="G136" s="337"/>
      <c r="H136" s="337"/>
      <c r="I136" s="337"/>
      <c r="J136" s="337"/>
      <c r="K136" s="337"/>
      <c r="M136" s="302"/>
      <c r="P136" s="138"/>
      <c r="Q136" s="24"/>
      <c r="R136" s="24"/>
      <c r="S136" s="24"/>
      <c r="T136" s="24"/>
    </row>
    <row r="137" spans="1:20" s="107" customFormat="1" ht="15.95" customHeight="1">
      <c r="A137" s="3"/>
      <c r="B137" s="24"/>
      <c r="C137" s="297"/>
      <c r="D137" s="337"/>
      <c r="E137" s="337"/>
      <c r="F137" s="337"/>
      <c r="G137" s="337"/>
      <c r="H137" s="337"/>
      <c r="I137" s="337"/>
      <c r="J137" s="337"/>
      <c r="K137" s="337"/>
      <c r="M137" s="302"/>
      <c r="P137" s="138"/>
      <c r="Q137" s="24"/>
      <c r="R137" s="24"/>
      <c r="S137" s="24"/>
      <c r="T137" s="24"/>
    </row>
    <row r="138" spans="1:20" s="107" customFormat="1" ht="15.95" customHeight="1">
      <c r="A138" s="3"/>
      <c r="B138" s="24"/>
      <c r="C138" s="297"/>
      <c r="D138" s="337"/>
      <c r="E138" s="337"/>
      <c r="F138" s="337"/>
      <c r="G138" s="337"/>
      <c r="H138" s="337"/>
      <c r="I138" s="337"/>
      <c r="J138" s="337"/>
      <c r="K138" s="337"/>
      <c r="M138" s="302"/>
      <c r="P138" s="138"/>
      <c r="Q138" s="24"/>
      <c r="R138" s="24"/>
      <c r="S138" s="24"/>
      <c r="T138" s="24"/>
    </row>
    <row r="139" spans="1:20" s="107" customFormat="1" ht="15.95" customHeight="1">
      <c r="A139" s="3"/>
      <c r="B139" s="24"/>
      <c r="C139" s="297"/>
      <c r="D139" s="337"/>
      <c r="E139" s="337"/>
      <c r="F139" s="337"/>
      <c r="G139" s="337"/>
      <c r="H139" s="337"/>
      <c r="I139" s="337"/>
      <c r="J139" s="337"/>
      <c r="K139" s="337"/>
      <c r="M139" s="302"/>
      <c r="P139" s="138"/>
      <c r="Q139" s="24"/>
      <c r="R139" s="24"/>
      <c r="S139" s="24"/>
      <c r="T139" s="24"/>
    </row>
    <row r="140" spans="1:20" s="107" customFormat="1" ht="15.95" customHeight="1">
      <c r="A140" s="3"/>
      <c r="B140" s="24"/>
      <c r="C140" s="297"/>
      <c r="D140" s="337"/>
      <c r="E140" s="337"/>
      <c r="F140" s="337"/>
      <c r="G140" s="337"/>
      <c r="H140" s="337"/>
      <c r="I140" s="337"/>
      <c r="J140" s="337"/>
      <c r="K140" s="337"/>
      <c r="M140" s="302"/>
      <c r="P140" s="138"/>
      <c r="Q140" s="24"/>
      <c r="R140" s="24"/>
      <c r="S140" s="24"/>
      <c r="T140" s="24"/>
    </row>
    <row r="141" spans="1:20" s="107" customFormat="1" ht="15.95" customHeight="1">
      <c r="A141" s="3"/>
      <c r="B141" s="24"/>
      <c r="C141" s="297"/>
      <c r="D141" s="337"/>
      <c r="E141" s="337"/>
      <c r="F141" s="337"/>
      <c r="G141" s="337"/>
      <c r="H141" s="337"/>
      <c r="I141" s="337"/>
      <c r="J141" s="337"/>
      <c r="K141" s="337"/>
      <c r="M141" s="302"/>
      <c r="P141" s="138"/>
      <c r="Q141" s="24"/>
      <c r="R141" s="24"/>
      <c r="S141" s="24"/>
      <c r="T141" s="24"/>
    </row>
    <row r="142" spans="1:20" s="107" customFormat="1" ht="15.95" customHeight="1">
      <c r="A142" s="3"/>
      <c r="B142" s="24"/>
      <c r="C142" s="297"/>
      <c r="D142" s="337"/>
      <c r="E142" s="337"/>
      <c r="F142" s="337"/>
      <c r="G142" s="337"/>
      <c r="H142" s="337"/>
      <c r="I142" s="337"/>
      <c r="J142" s="337"/>
      <c r="K142" s="337"/>
      <c r="M142" s="302"/>
      <c r="P142" s="138"/>
      <c r="Q142" s="24"/>
      <c r="R142" s="24"/>
      <c r="S142" s="24"/>
      <c r="T142" s="24"/>
    </row>
    <row r="143" spans="1:20" s="107" customFormat="1" ht="15.95" customHeight="1">
      <c r="A143" s="3"/>
      <c r="B143" s="24"/>
      <c r="C143" s="297"/>
      <c r="D143" s="337"/>
      <c r="E143" s="337"/>
      <c r="F143" s="337"/>
      <c r="G143" s="337"/>
      <c r="H143" s="337"/>
      <c r="I143" s="337"/>
      <c r="J143" s="337"/>
      <c r="K143" s="337"/>
      <c r="M143" s="302"/>
      <c r="P143" s="138"/>
      <c r="Q143" s="24"/>
      <c r="R143" s="24"/>
      <c r="S143" s="24"/>
      <c r="T143" s="24"/>
    </row>
    <row r="144" spans="1:20" s="107" customFormat="1" ht="15.95" customHeight="1">
      <c r="A144" s="3"/>
      <c r="B144" s="24"/>
      <c r="C144" s="297"/>
      <c r="D144" s="337"/>
      <c r="E144" s="337"/>
      <c r="F144" s="337"/>
      <c r="G144" s="337"/>
      <c r="H144" s="337"/>
      <c r="I144" s="337"/>
      <c r="J144" s="337"/>
      <c r="K144" s="337"/>
      <c r="M144" s="302"/>
      <c r="P144" s="138"/>
      <c r="Q144" s="24"/>
      <c r="R144" s="24"/>
      <c r="S144" s="24"/>
      <c r="T144" s="24"/>
    </row>
    <row r="145" spans="1:20" s="107" customFormat="1" ht="15.95" customHeight="1">
      <c r="A145" s="3"/>
      <c r="B145" s="24"/>
      <c r="C145" s="297"/>
      <c r="D145" s="337"/>
      <c r="E145" s="337"/>
      <c r="F145" s="337"/>
      <c r="G145" s="337"/>
      <c r="H145" s="337"/>
      <c r="I145" s="337"/>
      <c r="J145" s="337"/>
      <c r="K145" s="337"/>
      <c r="M145" s="302"/>
      <c r="P145" s="138"/>
      <c r="Q145" s="24"/>
      <c r="R145" s="24"/>
      <c r="S145" s="24"/>
      <c r="T145" s="24"/>
    </row>
    <row r="146" spans="1:20" s="107" customFormat="1" ht="15.95" customHeight="1">
      <c r="A146" s="3"/>
      <c r="B146" s="24"/>
      <c r="C146" s="297"/>
      <c r="D146" s="337"/>
      <c r="E146" s="337"/>
      <c r="F146" s="337"/>
      <c r="G146" s="337"/>
      <c r="H146" s="337"/>
      <c r="I146" s="337"/>
      <c r="J146" s="337"/>
      <c r="K146" s="337"/>
      <c r="M146" s="302"/>
      <c r="P146" s="138"/>
      <c r="Q146" s="24"/>
      <c r="R146" s="24"/>
      <c r="S146" s="24"/>
      <c r="T146" s="24"/>
    </row>
    <row r="147" spans="1:20" s="107" customFormat="1" ht="15.95" customHeight="1">
      <c r="A147" s="3"/>
      <c r="B147" s="24"/>
      <c r="C147" s="297"/>
      <c r="D147" s="337"/>
      <c r="E147" s="337"/>
      <c r="F147" s="337"/>
      <c r="G147" s="337"/>
      <c r="H147" s="337"/>
      <c r="I147" s="337"/>
      <c r="J147" s="337"/>
      <c r="K147" s="337"/>
      <c r="M147" s="302"/>
      <c r="P147" s="138"/>
      <c r="Q147" s="24"/>
      <c r="R147" s="24"/>
      <c r="S147" s="24"/>
      <c r="T147" s="24"/>
    </row>
    <row r="148" spans="1:20" s="107" customFormat="1" ht="15.95" customHeight="1">
      <c r="A148" s="3"/>
      <c r="B148" s="24"/>
      <c r="C148" s="297"/>
      <c r="D148" s="337"/>
      <c r="E148" s="337"/>
      <c r="F148" s="337"/>
      <c r="G148" s="337"/>
      <c r="H148" s="337"/>
      <c r="I148" s="337"/>
      <c r="J148" s="337"/>
      <c r="K148" s="337"/>
      <c r="M148" s="302"/>
      <c r="P148" s="138"/>
      <c r="Q148" s="24"/>
      <c r="R148" s="24"/>
      <c r="S148" s="24"/>
      <c r="T148" s="24"/>
    </row>
    <row r="149" spans="1:20" s="107" customFormat="1" ht="15.95" customHeight="1">
      <c r="A149" s="3"/>
      <c r="B149" s="24"/>
      <c r="C149" s="297"/>
      <c r="D149" s="337"/>
      <c r="E149" s="337"/>
      <c r="F149" s="337"/>
      <c r="G149" s="337"/>
      <c r="H149" s="337"/>
      <c r="I149" s="337"/>
      <c r="J149" s="337"/>
      <c r="K149" s="337"/>
      <c r="M149" s="302"/>
      <c r="P149" s="138"/>
      <c r="Q149" s="24"/>
      <c r="R149" s="24"/>
      <c r="S149" s="24"/>
      <c r="T149" s="24"/>
    </row>
    <row r="150" spans="1:20" s="107" customFormat="1" ht="15.95" customHeight="1">
      <c r="A150" s="3"/>
      <c r="B150" s="24"/>
      <c r="C150" s="297"/>
      <c r="D150" s="337"/>
      <c r="E150" s="337"/>
      <c r="F150" s="337"/>
      <c r="G150" s="337"/>
      <c r="H150" s="337"/>
      <c r="I150" s="337"/>
      <c r="J150" s="337"/>
      <c r="K150" s="337"/>
      <c r="M150" s="302"/>
      <c r="P150" s="138"/>
      <c r="Q150" s="24"/>
      <c r="R150" s="24"/>
      <c r="S150" s="24"/>
      <c r="T150" s="24"/>
    </row>
    <row r="151" spans="1:20" s="107" customFormat="1" ht="15.95" customHeight="1">
      <c r="A151" s="3"/>
      <c r="B151" s="24"/>
      <c r="C151" s="297"/>
      <c r="D151" s="337"/>
      <c r="E151" s="337"/>
      <c r="F151" s="337"/>
      <c r="G151" s="337"/>
      <c r="H151" s="337"/>
      <c r="I151" s="337"/>
      <c r="J151" s="337"/>
      <c r="K151" s="337"/>
      <c r="M151" s="302"/>
      <c r="P151" s="138"/>
      <c r="Q151" s="24"/>
      <c r="R151" s="24"/>
      <c r="S151" s="24"/>
      <c r="T151" s="24"/>
    </row>
    <row r="152" spans="1:20" s="107" customFormat="1" ht="15.95" customHeight="1">
      <c r="A152" s="3"/>
      <c r="B152" s="24"/>
      <c r="C152" s="297"/>
      <c r="D152" s="337"/>
      <c r="E152" s="337"/>
      <c r="F152" s="337"/>
      <c r="G152" s="337"/>
      <c r="H152" s="337"/>
      <c r="I152" s="337"/>
      <c r="J152" s="337"/>
      <c r="K152" s="337"/>
      <c r="M152" s="302"/>
      <c r="P152" s="138"/>
      <c r="Q152" s="24"/>
      <c r="R152" s="24"/>
      <c r="S152" s="24"/>
      <c r="T152" s="24"/>
    </row>
    <row r="153" spans="1:20" s="107" customFormat="1" ht="15.95" customHeight="1">
      <c r="A153" s="3"/>
      <c r="B153" s="24"/>
      <c r="C153" s="297"/>
      <c r="D153" s="337"/>
      <c r="E153" s="337"/>
      <c r="F153" s="337"/>
      <c r="G153" s="337"/>
      <c r="H153" s="337"/>
      <c r="I153" s="337"/>
      <c r="J153" s="337"/>
      <c r="K153" s="337"/>
      <c r="M153" s="302"/>
      <c r="P153" s="138"/>
      <c r="Q153" s="24"/>
      <c r="R153" s="24"/>
      <c r="S153" s="24"/>
      <c r="T153" s="24"/>
    </row>
    <row r="154" spans="1:20" s="107" customFormat="1" ht="15.95" customHeight="1">
      <c r="A154" s="3"/>
      <c r="B154" s="24"/>
      <c r="C154" s="297"/>
      <c r="D154" s="337"/>
      <c r="E154" s="337"/>
      <c r="F154" s="337"/>
      <c r="G154" s="337"/>
      <c r="H154" s="337"/>
      <c r="I154" s="337"/>
      <c r="J154" s="337"/>
      <c r="K154" s="337"/>
      <c r="M154" s="302"/>
      <c r="P154" s="138"/>
      <c r="Q154" s="24"/>
      <c r="R154" s="24"/>
      <c r="S154" s="24"/>
      <c r="T154" s="24"/>
    </row>
    <row r="155" spans="1:20" s="107" customFormat="1" ht="15.95" customHeight="1">
      <c r="A155" s="3"/>
      <c r="B155" s="24"/>
      <c r="C155" s="297"/>
      <c r="D155" s="337"/>
      <c r="E155" s="337"/>
      <c r="F155" s="337"/>
      <c r="G155" s="337"/>
      <c r="H155" s="337"/>
      <c r="I155" s="337"/>
      <c r="J155" s="337"/>
      <c r="K155" s="337"/>
      <c r="M155" s="302"/>
      <c r="P155" s="138"/>
      <c r="Q155" s="24"/>
      <c r="R155" s="24"/>
      <c r="S155" s="24"/>
      <c r="T155" s="24"/>
    </row>
    <row r="156" spans="1:20" s="107" customFormat="1" ht="15.95" customHeight="1">
      <c r="A156" s="3"/>
      <c r="B156" s="24"/>
      <c r="C156" s="297"/>
      <c r="D156" s="337"/>
      <c r="E156" s="337"/>
      <c r="F156" s="337"/>
      <c r="G156" s="337"/>
      <c r="H156" s="337"/>
      <c r="I156" s="337"/>
      <c r="J156" s="337"/>
      <c r="K156" s="337"/>
      <c r="M156" s="302"/>
      <c r="P156" s="138"/>
      <c r="Q156" s="24"/>
      <c r="R156" s="24"/>
      <c r="S156" s="24"/>
      <c r="T156" s="24"/>
    </row>
    <row r="157" spans="1:20" s="107" customFormat="1" ht="15.95" customHeight="1">
      <c r="A157" s="3"/>
      <c r="B157" s="24"/>
      <c r="C157" s="297"/>
      <c r="D157" s="337"/>
      <c r="E157" s="337"/>
      <c r="F157" s="337"/>
      <c r="G157" s="337"/>
      <c r="H157" s="337"/>
      <c r="I157" s="337"/>
      <c r="J157" s="337"/>
      <c r="K157" s="337"/>
      <c r="M157" s="302"/>
      <c r="P157" s="138"/>
      <c r="Q157" s="24"/>
      <c r="R157" s="24"/>
      <c r="S157" s="24"/>
      <c r="T157" s="24"/>
    </row>
    <row r="158" spans="1:20" s="107" customFormat="1" ht="15.95" customHeight="1">
      <c r="A158" s="3"/>
      <c r="B158" s="24"/>
      <c r="C158" s="297"/>
      <c r="D158" s="337"/>
      <c r="E158" s="337"/>
      <c r="F158" s="337"/>
      <c r="G158" s="337"/>
      <c r="H158" s="337"/>
      <c r="I158" s="337"/>
      <c r="J158" s="337"/>
      <c r="K158" s="337"/>
      <c r="M158" s="302"/>
      <c r="P158" s="138"/>
      <c r="Q158" s="24"/>
      <c r="R158" s="24"/>
      <c r="S158" s="24"/>
      <c r="T158" s="24"/>
    </row>
    <row r="159" spans="1:20" s="107" customFormat="1" ht="15.95" customHeight="1">
      <c r="A159" s="3"/>
      <c r="B159" s="24"/>
      <c r="C159" s="297"/>
      <c r="D159" s="337"/>
      <c r="E159" s="337"/>
      <c r="F159" s="337"/>
      <c r="G159" s="337"/>
      <c r="H159" s="337"/>
      <c r="I159" s="337"/>
      <c r="J159" s="337"/>
      <c r="K159" s="337"/>
      <c r="M159" s="302"/>
      <c r="P159" s="138"/>
      <c r="Q159" s="24"/>
      <c r="R159" s="24"/>
      <c r="S159" s="24"/>
      <c r="T159" s="24"/>
    </row>
    <row r="160" spans="1:20" s="107" customFormat="1" ht="15.95" customHeight="1">
      <c r="A160" s="3"/>
      <c r="B160" s="24"/>
      <c r="C160" s="297"/>
      <c r="D160" s="337"/>
      <c r="E160" s="337"/>
      <c r="F160" s="337"/>
      <c r="G160" s="337"/>
      <c r="H160" s="337"/>
      <c r="I160" s="337"/>
      <c r="J160" s="337"/>
      <c r="K160" s="337"/>
      <c r="M160" s="302"/>
      <c r="P160" s="138"/>
      <c r="Q160" s="24"/>
      <c r="R160" s="24"/>
      <c r="S160" s="24"/>
      <c r="T160" s="24"/>
    </row>
    <row r="161" spans="1:20" s="107" customFormat="1" ht="15.95" customHeight="1">
      <c r="A161" s="3"/>
      <c r="B161" s="24"/>
      <c r="C161" s="297"/>
      <c r="D161" s="337"/>
      <c r="E161" s="337"/>
      <c r="F161" s="337"/>
      <c r="G161" s="337"/>
      <c r="H161" s="337"/>
      <c r="I161" s="337"/>
      <c r="J161" s="337"/>
      <c r="K161" s="337"/>
      <c r="M161" s="302"/>
      <c r="P161" s="138"/>
      <c r="Q161" s="24"/>
      <c r="R161" s="24"/>
      <c r="S161" s="24"/>
      <c r="T161" s="24"/>
    </row>
    <row r="162" spans="1:20" s="107" customFormat="1" ht="15.95" customHeight="1">
      <c r="A162" s="3"/>
      <c r="B162" s="24"/>
      <c r="C162" s="297"/>
      <c r="D162" s="337"/>
      <c r="E162" s="337"/>
      <c r="F162" s="337"/>
      <c r="G162" s="337"/>
      <c r="H162" s="337"/>
      <c r="I162" s="337"/>
      <c r="J162" s="337"/>
      <c r="K162" s="337"/>
      <c r="M162" s="302"/>
      <c r="P162" s="138"/>
      <c r="Q162" s="24"/>
      <c r="R162" s="24"/>
      <c r="S162" s="24"/>
      <c r="T162" s="24"/>
    </row>
    <row r="163" spans="1:20" s="107" customFormat="1" ht="15.95" customHeight="1">
      <c r="A163" s="3"/>
      <c r="B163" s="24"/>
      <c r="C163" s="297"/>
      <c r="D163" s="337"/>
      <c r="E163" s="337"/>
      <c r="F163" s="337"/>
      <c r="G163" s="337"/>
      <c r="H163" s="337"/>
      <c r="I163" s="337"/>
      <c r="J163" s="337"/>
      <c r="K163" s="337"/>
      <c r="M163" s="302"/>
      <c r="P163" s="138"/>
      <c r="Q163" s="24"/>
      <c r="R163" s="24"/>
      <c r="S163" s="24"/>
      <c r="T163" s="24"/>
    </row>
    <row r="164" spans="1:20" s="107" customFormat="1" ht="15.95" customHeight="1">
      <c r="A164" s="3"/>
      <c r="B164" s="24"/>
      <c r="C164" s="297"/>
      <c r="D164" s="337"/>
      <c r="E164" s="337"/>
      <c r="F164" s="337"/>
      <c r="G164" s="337"/>
      <c r="H164" s="337"/>
      <c r="I164" s="337"/>
      <c r="J164" s="337"/>
      <c r="K164" s="337"/>
      <c r="M164" s="302"/>
      <c r="P164" s="138"/>
      <c r="Q164" s="24"/>
      <c r="R164" s="24"/>
      <c r="S164" s="24"/>
      <c r="T164" s="24"/>
    </row>
    <row r="165" spans="1:20" s="107" customFormat="1" ht="15.95" customHeight="1">
      <c r="A165" s="3"/>
      <c r="B165" s="24"/>
      <c r="C165" s="297"/>
      <c r="D165" s="337"/>
      <c r="E165" s="337"/>
      <c r="F165" s="337"/>
      <c r="G165" s="337"/>
      <c r="H165" s="337"/>
      <c r="I165" s="337"/>
      <c r="J165" s="337"/>
      <c r="K165" s="337"/>
      <c r="M165" s="302"/>
      <c r="P165" s="138"/>
      <c r="Q165" s="24"/>
      <c r="R165" s="24"/>
      <c r="S165" s="24"/>
      <c r="T165" s="24"/>
    </row>
    <row r="166" spans="1:20" s="107" customFormat="1" ht="15.95" customHeight="1">
      <c r="A166" s="3"/>
      <c r="B166" s="24"/>
      <c r="C166" s="297"/>
      <c r="D166" s="337"/>
      <c r="E166" s="337"/>
      <c r="F166" s="337"/>
      <c r="G166" s="337"/>
      <c r="H166" s="337"/>
      <c r="I166" s="337"/>
      <c r="J166" s="337"/>
      <c r="K166" s="337"/>
      <c r="M166" s="302"/>
      <c r="P166" s="138"/>
      <c r="Q166" s="24"/>
      <c r="R166" s="24"/>
      <c r="S166" s="24"/>
      <c r="T166" s="24"/>
    </row>
    <row r="167" spans="1:20" s="107" customFormat="1" ht="15.95" customHeight="1">
      <c r="A167" s="3"/>
      <c r="B167" s="24"/>
      <c r="C167" s="297"/>
      <c r="G167" s="337"/>
      <c r="H167" s="337"/>
      <c r="I167" s="337"/>
      <c r="J167" s="337"/>
      <c r="K167" s="337"/>
      <c r="M167" s="302"/>
      <c r="P167" s="138"/>
      <c r="Q167" s="24"/>
      <c r="R167" s="24"/>
      <c r="S167" s="24"/>
      <c r="T167" s="24"/>
    </row>
    <row r="168" spans="1:20" s="107" customFormat="1" ht="15.95" customHeight="1">
      <c r="A168" s="3"/>
      <c r="B168" s="24"/>
      <c r="C168" s="297"/>
      <c r="G168" s="337"/>
      <c r="H168" s="337"/>
      <c r="I168" s="337"/>
      <c r="J168" s="337"/>
      <c r="K168" s="337"/>
      <c r="M168" s="302"/>
      <c r="P168" s="138"/>
      <c r="Q168" s="24"/>
      <c r="R168" s="24"/>
      <c r="S168" s="24"/>
      <c r="T168" s="24"/>
    </row>
    <row r="169" spans="1:20" s="107" customFormat="1" ht="15.95" customHeight="1">
      <c r="A169" s="3"/>
      <c r="B169" s="24"/>
      <c r="C169" s="297"/>
      <c r="G169" s="337"/>
      <c r="H169" s="337"/>
      <c r="I169" s="337"/>
      <c r="J169" s="337"/>
      <c r="K169" s="337"/>
      <c r="M169" s="302"/>
      <c r="P169" s="138"/>
      <c r="Q169" s="24"/>
      <c r="R169" s="24"/>
      <c r="S169" s="24"/>
      <c r="T169" s="24"/>
    </row>
    <row r="170" spans="1:20" s="107" customFormat="1" ht="15.95" customHeight="1">
      <c r="A170" s="3"/>
      <c r="B170" s="24"/>
      <c r="C170" s="297"/>
      <c r="G170" s="337"/>
      <c r="H170" s="337"/>
      <c r="I170" s="337"/>
      <c r="J170" s="337"/>
      <c r="K170" s="337"/>
      <c r="M170" s="302"/>
      <c r="P170" s="138"/>
      <c r="Q170" s="24"/>
      <c r="R170" s="24"/>
      <c r="S170" s="24"/>
      <c r="T170" s="24"/>
    </row>
    <row r="171" spans="1:20" s="107" customFormat="1" ht="15.95" customHeight="1">
      <c r="A171" s="3"/>
      <c r="B171" s="24"/>
      <c r="C171" s="297"/>
      <c r="G171" s="337"/>
      <c r="H171" s="337"/>
      <c r="I171" s="337"/>
      <c r="J171" s="337"/>
      <c r="K171" s="337"/>
      <c r="M171" s="302"/>
      <c r="P171" s="138"/>
      <c r="Q171" s="24"/>
      <c r="R171" s="24"/>
      <c r="S171" s="24"/>
      <c r="T171" s="24"/>
    </row>
    <row r="172" spans="1:20" s="107" customFormat="1" ht="15.95" customHeight="1">
      <c r="A172" s="3"/>
      <c r="B172" s="24"/>
      <c r="C172" s="297"/>
      <c r="G172" s="337"/>
      <c r="H172" s="337"/>
      <c r="I172" s="337"/>
      <c r="J172" s="337"/>
      <c r="K172" s="337"/>
      <c r="M172" s="302"/>
      <c r="P172" s="138"/>
      <c r="Q172" s="24"/>
      <c r="R172" s="24"/>
      <c r="S172" s="24"/>
      <c r="T172" s="24"/>
    </row>
    <row r="173" spans="1:20" s="107" customFormat="1" ht="15.95" customHeight="1">
      <c r="A173" s="3"/>
      <c r="B173" s="24"/>
      <c r="C173" s="297"/>
      <c r="G173" s="337"/>
      <c r="H173" s="337"/>
      <c r="I173" s="337"/>
      <c r="J173" s="337"/>
      <c r="K173" s="337"/>
      <c r="M173" s="302"/>
      <c r="P173" s="138"/>
      <c r="Q173" s="24"/>
      <c r="R173" s="24"/>
      <c r="S173" s="24"/>
      <c r="T173" s="24"/>
    </row>
    <row r="174" spans="1:20" s="107" customFormat="1" ht="15.95" customHeight="1">
      <c r="A174" s="3"/>
      <c r="B174" s="24"/>
      <c r="C174" s="297"/>
      <c r="G174" s="337"/>
      <c r="H174" s="337"/>
      <c r="I174" s="337"/>
      <c r="J174" s="337"/>
      <c r="K174" s="337"/>
      <c r="M174" s="302"/>
      <c r="P174" s="138"/>
      <c r="Q174" s="24"/>
      <c r="R174" s="24"/>
      <c r="S174" s="24"/>
      <c r="T174" s="24"/>
    </row>
    <row r="175" spans="1:20" s="107" customFormat="1" ht="15.95" customHeight="1">
      <c r="A175" s="3"/>
      <c r="B175" s="24"/>
      <c r="C175" s="297"/>
      <c r="G175" s="337"/>
      <c r="H175" s="337"/>
      <c r="I175" s="337"/>
      <c r="J175" s="337"/>
      <c r="K175" s="337"/>
      <c r="M175" s="302"/>
      <c r="P175" s="138"/>
      <c r="Q175" s="24"/>
      <c r="R175" s="24"/>
      <c r="S175" s="24"/>
      <c r="T175" s="24"/>
    </row>
  </sheetData>
  <mergeCells count="21">
    <mergeCell ref="U11:U12"/>
    <mergeCell ref="G11:G12"/>
    <mergeCell ref="H11:H12"/>
    <mergeCell ref="I11:I12"/>
    <mergeCell ref="J11:J12"/>
    <mergeCell ref="K11:K12"/>
    <mergeCell ref="L11:L12"/>
    <mergeCell ref="M11:M12"/>
    <mergeCell ref="N11:N12"/>
    <mergeCell ref="O11:O12"/>
    <mergeCell ref="P11:P12"/>
    <mergeCell ref="Q11:Q12"/>
    <mergeCell ref="R11:R12"/>
    <mergeCell ref="S11:S12"/>
    <mergeCell ref="T11:T12"/>
    <mergeCell ref="B4:F9"/>
    <mergeCell ref="B11:B12"/>
    <mergeCell ref="C11:C12"/>
    <mergeCell ref="D11:D12"/>
    <mergeCell ref="E11:E12"/>
    <mergeCell ref="F11:F12"/>
  </mergeCells>
  <hyperlinks>
    <hyperlink ref="Q57" r:id="rId1" xr:uid="{5993DCC3-5018-4122-B6B5-51AD979B90A5}"/>
    <hyperlink ref="P57" r:id="rId2" xr:uid="{77F7697A-F46C-4BA9-9A8A-2F8033F089D8}"/>
    <hyperlink ref="O57" r:id="rId3" xr:uid="{68ACB7E0-29DF-4888-A949-E2199EEEAAF3}"/>
    <hyperlink ref="N57" r:id="rId4" xr:uid="{4CFA96B7-C389-488F-B79B-0EAB12327E3E}"/>
    <hyperlink ref="M57" r:id="rId5" xr:uid="{20957DCF-638B-433F-8718-B867DD885D3D}"/>
    <hyperlink ref="L57" r:id="rId6" xr:uid="{D3F54EE1-953C-4674-8FBB-E240A263812B}"/>
    <hyperlink ref="K57" r:id="rId7" xr:uid="{E1602673-C211-4D8B-A607-FC52A17ABBBD}"/>
    <hyperlink ref="J57" r:id="rId8" xr:uid="{23CA5F41-1D94-4B05-80CC-937C6A45DD7C}"/>
    <hyperlink ref="I57" r:id="rId9" xr:uid="{A438DD47-9695-4565-86E7-F3DC42F5CD1E}"/>
    <hyperlink ref="H57" r:id="rId10" xr:uid="{A79E9321-611D-4572-A9D8-212A4A8A36DC}"/>
    <hyperlink ref="G57" r:id="rId11" xr:uid="{1AB60713-279C-43A1-91E1-A18CAF7D3D67}"/>
    <hyperlink ref="R57" r:id="rId12" xr:uid="{BE3AA9ED-71C9-417B-A19D-0DD82AAF556E}"/>
    <hyperlink ref="S57" r:id="rId13" xr:uid="{43FD5A61-B29C-4786-B66B-66959A9D6790}"/>
    <hyperlink ref="T57" r:id="rId14" xr:uid="{32A80FC0-73AA-4D55-B5AC-D55719DC2594}"/>
  </hyperlinks>
  <pageMargins left="0.7" right="0.7" top="0.75" bottom="0.75" header="0.3" footer="0.3"/>
  <pageSetup paperSize="9" orientation="portrait" r:id="rId1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8CBAD"/>
  </sheetPr>
  <dimension ref="B1:X98"/>
  <sheetViews>
    <sheetView showGridLines="0" zoomScaleNormal="100" workbookViewId="0"/>
  </sheetViews>
  <sheetFormatPr defaultColWidth="9" defaultRowHeight="15.75" customHeight="1"/>
  <cols>
    <col min="1" max="1" width="8.625" style="582" customWidth="1"/>
    <col min="2" max="2" width="15.125" style="582" customWidth="1"/>
    <col min="3" max="3" width="21.125" style="582" bestFit="1" customWidth="1"/>
    <col min="4" max="4" width="15.125" style="582" bestFit="1" customWidth="1"/>
    <col min="5" max="6" width="28.375" style="582" bestFit="1" customWidth="1"/>
    <col min="7" max="7" width="14.625" style="582" bestFit="1" customWidth="1"/>
    <col min="8" max="8" width="14.375" style="582" bestFit="1" customWidth="1"/>
    <col min="9" max="9" width="28.375" style="582" bestFit="1" customWidth="1"/>
    <col min="10" max="10" width="14.375" style="596" bestFit="1" customWidth="1"/>
    <col min="11" max="11" width="28.625" style="582" bestFit="1" customWidth="1"/>
    <col min="12" max="13" width="9" style="582"/>
    <col min="14" max="14" width="9" style="582" customWidth="1"/>
    <col min="15" max="15" width="9" style="582"/>
    <col min="16" max="17" width="9" style="582" customWidth="1"/>
    <col min="18" max="18" width="9" style="595" customWidth="1"/>
    <col min="19" max="26" width="9" style="582" customWidth="1"/>
    <col min="27" max="16384" width="9" style="582"/>
  </cols>
  <sheetData>
    <row r="1" spans="2:24" ht="15.75" customHeight="1">
      <c r="K1" s="1331"/>
      <c r="L1" s="1331"/>
      <c r="M1" s="1331"/>
      <c r="N1" s="1331"/>
      <c r="O1" s="1331"/>
      <c r="P1" s="1331"/>
      <c r="Q1" s="1331"/>
      <c r="R1" s="1331"/>
    </row>
    <row r="2" spans="2:24" ht="24.75" customHeight="1">
      <c r="B2" s="605" t="s">
        <v>6668</v>
      </c>
      <c r="K2" s="1331"/>
      <c r="L2" s="1331"/>
      <c r="M2" s="1331"/>
      <c r="N2" s="1331"/>
      <c r="O2" s="1331"/>
      <c r="P2" s="1331"/>
      <c r="Q2" s="1331"/>
      <c r="R2" s="1331"/>
    </row>
    <row r="3" spans="2:24" ht="15.75" customHeight="1">
      <c r="K3" s="1331"/>
      <c r="L3" s="1331"/>
      <c r="M3" s="1331"/>
      <c r="N3" s="1331"/>
      <c r="O3" s="1331"/>
      <c r="P3" s="1331"/>
      <c r="Q3" s="1331"/>
      <c r="R3" s="1331"/>
    </row>
    <row r="4" spans="2:24" ht="15.75" customHeight="1">
      <c r="B4" s="1456" t="s">
        <v>6669</v>
      </c>
      <c r="C4" s="1456"/>
      <c r="D4" s="1456"/>
      <c r="E4" s="1456"/>
      <c r="F4" s="1456"/>
      <c r="K4" s="1331"/>
      <c r="L4" s="1331"/>
      <c r="M4" s="1331"/>
      <c r="N4" s="1331"/>
      <c r="O4" s="1331"/>
      <c r="P4" s="1331"/>
      <c r="Q4" s="1331"/>
      <c r="R4" s="1331"/>
    </row>
    <row r="5" spans="2:24" ht="15.75" customHeight="1">
      <c r="B5" s="1456"/>
      <c r="C5" s="1456"/>
      <c r="D5" s="1456"/>
      <c r="E5" s="1456"/>
      <c r="F5" s="1456"/>
      <c r="K5" s="1331"/>
      <c r="L5" s="1331"/>
      <c r="M5" s="1331"/>
      <c r="N5" s="1331"/>
      <c r="O5" s="1331"/>
      <c r="P5" s="1331"/>
      <c r="Q5" s="1331"/>
      <c r="R5" s="1331"/>
    </row>
    <row r="6" spans="2:24" ht="15.75" customHeight="1">
      <c r="B6" s="1456"/>
      <c r="C6" s="1456"/>
      <c r="D6" s="1456"/>
      <c r="E6" s="1456"/>
      <c r="F6" s="1456"/>
      <c r="L6" s="1331"/>
      <c r="M6" s="1331"/>
      <c r="N6" s="1331"/>
      <c r="O6" s="1331"/>
      <c r="P6" s="1331"/>
      <c r="Q6" s="1331"/>
      <c r="R6" s="1331"/>
    </row>
    <row r="7" spans="2:24" ht="15.75" customHeight="1">
      <c r="B7" s="1456"/>
      <c r="C7" s="1456"/>
      <c r="D7" s="1456"/>
      <c r="E7" s="1456"/>
      <c r="F7" s="1456"/>
      <c r="L7" s="1331"/>
      <c r="M7" s="1331"/>
      <c r="N7" s="1331"/>
      <c r="O7" s="1331"/>
      <c r="P7" s="1331"/>
      <c r="Q7" s="1331"/>
      <c r="R7" s="1331"/>
    </row>
    <row r="8" spans="2:24" ht="15.75" customHeight="1">
      <c r="B8" s="1456"/>
      <c r="C8" s="1456"/>
      <c r="D8" s="1456"/>
      <c r="E8" s="1456"/>
      <c r="F8" s="1456"/>
      <c r="L8" s="1331"/>
      <c r="M8" s="1331"/>
      <c r="N8" s="1331"/>
      <c r="O8" s="1331"/>
      <c r="P8" s="1331"/>
      <c r="Q8" s="1331"/>
      <c r="R8" s="1331"/>
      <c r="V8" s="593"/>
      <c r="W8" s="593"/>
      <c r="X8" s="593"/>
    </row>
    <row r="9" spans="2:24" ht="15.75" customHeight="1">
      <c r="B9" s="1456"/>
      <c r="C9" s="1456"/>
      <c r="D9" s="1456"/>
      <c r="E9" s="1456"/>
      <c r="F9" s="1456"/>
      <c r="L9" s="1331"/>
      <c r="M9" s="1331"/>
      <c r="N9" s="1331"/>
      <c r="O9" s="1331"/>
      <c r="P9" s="1331"/>
      <c r="Q9" s="1331"/>
      <c r="R9" s="1331"/>
      <c r="U9" s="594"/>
      <c r="V9" s="591"/>
      <c r="W9" s="591"/>
      <c r="X9" s="591"/>
    </row>
    <row r="10" spans="2:24" ht="15.75" customHeight="1">
      <c r="L10" s="1331"/>
      <c r="M10" s="1331"/>
      <c r="N10" s="1331"/>
      <c r="O10" s="1331"/>
      <c r="P10" s="1331"/>
      <c r="Q10" s="1331"/>
      <c r="R10" s="1331"/>
      <c r="U10" s="594"/>
      <c r="V10" s="584"/>
      <c r="W10" s="591"/>
      <c r="X10" s="591"/>
    </row>
    <row r="11" spans="2:24" ht="15.75" customHeight="1">
      <c r="B11" s="1501" t="s">
        <v>4512</v>
      </c>
      <c r="C11" s="1503" t="s">
        <v>4513</v>
      </c>
      <c r="D11" s="622" t="s">
        <v>6670</v>
      </c>
      <c r="E11" s="623" t="s">
        <v>6671</v>
      </c>
      <c r="F11" s="623" t="s">
        <v>6671</v>
      </c>
      <c r="G11" s="623" t="s">
        <v>6672</v>
      </c>
      <c r="H11" s="623" t="s">
        <v>6673</v>
      </c>
      <c r="I11" s="623" t="s">
        <v>6671</v>
      </c>
      <c r="J11" s="623" t="s">
        <v>6673</v>
      </c>
      <c r="K11" s="624" t="s">
        <v>6674</v>
      </c>
      <c r="L11" s="1331"/>
      <c r="M11" s="1331"/>
      <c r="N11" s="1331"/>
      <c r="O11" s="1331"/>
      <c r="P11" s="1331"/>
      <c r="Q11" s="1331"/>
      <c r="R11" s="1331"/>
      <c r="U11" s="594"/>
      <c r="V11" s="584"/>
      <c r="W11" s="591"/>
      <c r="X11" s="591"/>
    </row>
    <row r="12" spans="2:24" ht="15.75" customHeight="1">
      <c r="B12" s="1502"/>
      <c r="C12" s="1504"/>
      <c r="D12" s="625" t="s">
        <v>4527</v>
      </c>
      <c r="E12" s="625" t="s">
        <v>4527</v>
      </c>
      <c r="F12" s="625" t="s">
        <v>6675</v>
      </c>
      <c r="G12" s="625" t="s">
        <v>4529</v>
      </c>
      <c r="H12" s="625" t="s">
        <v>4529</v>
      </c>
      <c r="I12" s="625" t="s">
        <v>6676</v>
      </c>
      <c r="J12" s="626" t="s">
        <v>4527</v>
      </c>
      <c r="K12" s="625" t="s">
        <v>6675</v>
      </c>
      <c r="L12" s="1331"/>
      <c r="M12" s="1331"/>
      <c r="N12" s="1331"/>
      <c r="O12" s="1331"/>
      <c r="P12" s="1331"/>
      <c r="Q12" s="1331"/>
      <c r="R12" s="1331"/>
      <c r="U12" s="594"/>
      <c r="V12" s="591"/>
      <c r="W12" s="591"/>
      <c r="X12" s="591"/>
    </row>
    <row r="13" spans="2:24" ht="15.75" customHeight="1">
      <c r="B13" s="602" t="s">
        <v>454</v>
      </c>
      <c r="C13" s="611">
        <v>1</v>
      </c>
      <c r="D13" s="612">
        <v>8.8245730000000009</v>
      </c>
      <c r="E13" s="612">
        <f>VLOOKUP(B13,'Country Summary (€)'!B:P,15,0)</f>
        <v>1.8798214301989602</v>
      </c>
      <c r="F13" s="608">
        <f t="shared" ref="F13:F41" si="0">(E13/D13)</f>
        <v>0.21302123402446327</v>
      </c>
      <c r="G13" s="612">
        <f>100*(D13/(VLOOKUP(B13,'Country Summary (€)'!B:I, 8,0)))</f>
        <v>1.996498074950197</v>
      </c>
      <c r="H13" s="612">
        <f>VLOOKUP(B13,'Country Summary (€)'!B:J,9,0)</f>
        <v>0.19591954131756775</v>
      </c>
      <c r="I13" s="612">
        <f>VLOOKUP(B13,'Country Summary (€)'!B:Q,16,0)</f>
        <v>0.42529648365335637</v>
      </c>
      <c r="J13" s="612">
        <f>VLOOKUP(B13,'Country Summary (€)'!B:G,6,0)</f>
        <v>0.86596942725653303</v>
      </c>
      <c r="K13" s="613">
        <f>J13/D13</f>
        <v>9.8131595404846547E-2</v>
      </c>
      <c r="L13" s="1331"/>
      <c r="M13" s="1331"/>
      <c r="N13" s="1331"/>
      <c r="O13" s="1331"/>
      <c r="P13" s="1331"/>
      <c r="Q13" s="1331"/>
      <c r="R13" s="1331"/>
      <c r="U13" s="594"/>
      <c r="V13" s="591"/>
      <c r="W13" s="591"/>
      <c r="X13" s="591"/>
    </row>
    <row r="14" spans="2:24" ht="15.75" customHeight="1">
      <c r="B14" s="602" t="s">
        <v>558</v>
      </c>
      <c r="C14" s="611">
        <v>1</v>
      </c>
      <c r="D14" s="612">
        <v>4</v>
      </c>
      <c r="E14" s="612">
        <f>VLOOKUP(B14,'Country Summary (€)'!B:P,15,0)</f>
        <v>1.7466122736401002</v>
      </c>
      <c r="F14" s="608">
        <f t="shared" si="0"/>
        <v>0.43665306841002505</v>
      </c>
      <c r="G14" s="612">
        <f>100*(D14/(VLOOKUP(B14,'Country Summary (€)'!B:I, 8,0)))</f>
        <v>0.73172351993952889</v>
      </c>
      <c r="H14" s="612">
        <f>VLOOKUP(B14,'Country Summary (€)'!B:J,9,0)</f>
        <v>8.9771779635338056E-2</v>
      </c>
      <c r="I14" s="612">
        <f>VLOOKUP(B14,'Country Summary (€)'!B:Q,16,0)</f>
        <v>0.31950932020937944</v>
      </c>
      <c r="J14" s="612">
        <f>VLOOKUP(B14,'Country Summary (€)'!B:G,6,0)</f>
        <v>0.49074152839999996</v>
      </c>
      <c r="K14" s="613">
        <f t="shared" ref="K14:K43" si="1">J14/D14</f>
        <v>0.12268538209999999</v>
      </c>
      <c r="L14" s="1331"/>
      <c r="M14" s="1331"/>
      <c r="N14" s="1331"/>
      <c r="O14" s="1331"/>
      <c r="P14" s="1331"/>
      <c r="Q14" s="1331"/>
      <c r="R14" s="1331"/>
      <c r="U14" s="594"/>
      <c r="V14" s="584"/>
      <c r="W14" s="591"/>
      <c r="X14" s="591"/>
    </row>
    <row r="15" spans="2:24" ht="15.75" customHeight="1">
      <c r="B15" s="602" t="s">
        <v>673</v>
      </c>
      <c r="C15" s="611">
        <v>1</v>
      </c>
      <c r="D15" s="612">
        <v>3.423</v>
      </c>
      <c r="E15" s="612">
        <f>VLOOKUP(B15,'Country Summary (€)'!B:P,15,0)</f>
        <v>0.44079295649337658</v>
      </c>
      <c r="F15" s="608">
        <f t="shared" si="0"/>
        <v>0.12877386984907291</v>
      </c>
      <c r="G15" s="612">
        <f>100*(D15/(VLOOKUP(B15,'Country Summary (€)'!B:I, 8,0)))</f>
        <v>4.4257430274854022</v>
      </c>
      <c r="H15" s="612">
        <f>VLOOKUP(B15,'Country Summary (€)'!B:J,9,0)</f>
        <v>0.31029885204797214</v>
      </c>
      <c r="I15" s="612">
        <f>VLOOKUP(B15,'Country Summary (€)'!B:Q,16,0)</f>
        <v>0.56992005660684708</v>
      </c>
      <c r="J15" s="612">
        <f>VLOOKUP(B15,'Country Summary (€)'!B:G,6,0)</f>
        <v>0.23999427078433377</v>
      </c>
      <c r="K15" s="613">
        <f t="shared" si="1"/>
        <v>7.0112261403544776E-2</v>
      </c>
      <c r="U15" s="594"/>
      <c r="V15" s="591"/>
      <c r="W15" s="591"/>
      <c r="X15" s="591"/>
    </row>
    <row r="16" spans="2:24" ht="15.75" customHeight="1">
      <c r="B16" s="602" t="s">
        <v>918</v>
      </c>
      <c r="C16" s="611">
        <v>1</v>
      </c>
      <c r="D16" s="612">
        <v>2.4146999999999998</v>
      </c>
      <c r="E16" s="612">
        <f>VLOOKUP(B16,'Country Summary (€)'!B:P,15,0)</f>
        <v>0.33506236797167699</v>
      </c>
      <c r="F16" s="608">
        <f t="shared" si="0"/>
        <v>0.13875941854958257</v>
      </c>
      <c r="G16" s="612">
        <f>100*(D16/(VLOOKUP(B16,'Country Summary (€)'!B:I, 8,0)))</f>
        <v>3.8058049315036446</v>
      </c>
      <c r="H16" s="612">
        <f>VLOOKUP(B16,'Country Summary (€)'!B:J,9,0)</f>
        <v>0.29945870655314943</v>
      </c>
      <c r="I16" s="612">
        <f>VLOOKUP(B16,'Country Summary (€)'!B:Q,16,0)</f>
        <v>0.52809127940857958</v>
      </c>
      <c r="J16" s="612">
        <f>VLOOKUP(B16,'Country Summary (€)'!B:G,6,0)</f>
        <v>0.1900000004540951</v>
      </c>
      <c r="K16" s="613">
        <f t="shared" si="1"/>
        <v>7.8684722927939335E-2</v>
      </c>
      <c r="U16" s="594"/>
      <c r="V16" s="591"/>
      <c r="W16" s="591"/>
      <c r="X16" s="591"/>
    </row>
    <row r="17" spans="2:24" ht="15.75" customHeight="1">
      <c r="B17" s="602" t="s">
        <v>981</v>
      </c>
      <c r="C17" s="611">
        <v>1</v>
      </c>
      <c r="D17" s="612">
        <v>0.18590000000000001</v>
      </c>
      <c r="E17" s="612">
        <f>VLOOKUP(B17,'Country Summary (€)'!B:P,15,0)</f>
        <v>5.7286708984091154E-2</v>
      </c>
      <c r="F17" s="608">
        <f t="shared" si="0"/>
        <v>0.30815873579392766</v>
      </c>
      <c r="G17" s="612">
        <f>100*(D17/(VLOOKUP(B17,'Country Summary (€)'!B:I, 8,0)))</f>
        <v>0.7111977685694566</v>
      </c>
      <c r="H17" s="612">
        <f>VLOOKUP(B17,'Country Summary (€)'!B:J,9,0)</f>
        <v>1.147710223619349E-2</v>
      </c>
      <c r="I17" s="612">
        <f>VLOOKUP(B17,'Country Summary (€)'!B:Q,16,0)</f>
        <v>0.21916180526182608</v>
      </c>
      <c r="J17" s="612">
        <f>VLOOKUP(B17,'Country Summary (€)'!B:G,6,0)</f>
        <v>3.0000000000000001E-3</v>
      </c>
      <c r="K17" s="613">
        <f t="shared" si="1"/>
        <v>1.6137708445400752E-2</v>
      </c>
      <c r="U17" s="594"/>
      <c r="V17" s="584"/>
      <c r="W17" s="584"/>
      <c r="X17" s="584"/>
    </row>
    <row r="18" spans="2:24" ht="15.75" customHeight="1">
      <c r="B18" s="602" t="s">
        <v>1012</v>
      </c>
      <c r="C18" s="611">
        <v>1</v>
      </c>
      <c r="D18" s="612">
        <v>8.0289999999999999</v>
      </c>
      <c r="E18" s="612">
        <f>VLOOKUP(B18,'Country Summary (€)'!B:P,15,0)</f>
        <v>1.4426045497756144</v>
      </c>
      <c r="F18" s="608">
        <f t="shared" si="0"/>
        <v>0.17967424956727043</v>
      </c>
      <c r="G18" s="612">
        <f>100*(D18/(VLOOKUP(B18,'Country Summary (€)'!B:I, 8,0)))</f>
        <v>3.0967359749698824</v>
      </c>
      <c r="H18" s="612">
        <f>VLOOKUP(B18,'Country Summary (€)'!B:J,9,0)</f>
        <v>0.36084559731036259</v>
      </c>
      <c r="I18" s="612">
        <f>VLOOKUP(B18,'Country Summary (€)'!B:Q,16,0)</f>
        <v>0.5564037124106832</v>
      </c>
      <c r="J18" s="612">
        <f>VLOOKUP(B18,'Country Summary (€)'!B:G,6,0)</f>
        <v>0.93557517470732332</v>
      </c>
      <c r="K18" s="613">
        <f t="shared" si="1"/>
        <v>0.11652449554207539</v>
      </c>
      <c r="U18" s="594"/>
      <c r="V18" s="584"/>
      <c r="W18" s="584"/>
      <c r="X18" s="584"/>
    </row>
    <row r="19" spans="2:24" ht="15.75" customHeight="1">
      <c r="B19" s="602" t="s">
        <v>1194</v>
      </c>
      <c r="C19" s="611">
        <v>1</v>
      </c>
      <c r="D19" s="612">
        <v>7.2089999999999996</v>
      </c>
      <c r="E19" s="612">
        <f>VLOOKUP(B19,'Country Summary (€)'!B:P,15,0)</f>
        <v>2.7709432893238013</v>
      </c>
      <c r="F19" s="608">
        <f t="shared" si="0"/>
        <v>0.38437276866747144</v>
      </c>
      <c r="G19" s="612">
        <f>100*(D19/(VLOOKUP(B19,'Country Summary (€)'!B:I, 8,0)))</f>
        <v>1.9670290795308476</v>
      </c>
      <c r="H19" s="612">
        <f>VLOOKUP(B19,'Country Summary (€)'!B:J,9,0)</f>
        <v>0.5148332270620376</v>
      </c>
      <c r="I19" s="612">
        <f>VLOOKUP(B19,'Country Summary (€)'!B:Q,16,0)</f>
        <v>0.75607241334869979</v>
      </c>
      <c r="J19" s="612">
        <f>VLOOKUP(B19,'Country Summary (€)'!B:G,6,0)</f>
        <v>1.8868214875478282</v>
      </c>
      <c r="K19" s="613">
        <f t="shared" si="1"/>
        <v>0.26173137571755145</v>
      </c>
      <c r="U19" s="594"/>
      <c r="V19" s="584"/>
      <c r="W19" s="584"/>
      <c r="X19" s="584"/>
    </row>
    <row r="20" spans="2:24" ht="15.75" customHeight="1">
      <c r="B20" s="602" t="s">
        <v>1305</v>
      </c>
      <c r="C20" s="611">
        <v>1</v>
      </c>
      <c r="D20" s="612">
        <v>0.28000000000000003</v>
      </c>
      <c r="E20" s="612">
        <f>VLOOKUP(B20,'Country Summary (€)'!B:P,15,0)</f>
        <v>0.4989836795823076</v>
      </c>
      <c r="F20" s="608">
        <f t="shared" si="0"/>
        <v>1.7820845699368126</v>
      </c>
      <c r="G20" s="612">
        <f>100*(D20/(VLOOKUP(B20,'Country Summary (€)'!B:I, 8,0)))</f>
        <v>0.81821580629248236</v>
      </c>
      <c r="H20" s="612">
        <f>VLOOKUP(B20,'Country Summary (€)'!B:J,9,0)</f>
        <v>1.2606201250160036</v>
      </c>
      <c r="I20" s="612">
        <f>VLOOKUP(B20,'Country Summary (€)'!B:Q,16,0)</f>
        <v>1.458129763272241</v>
      </c>
      <c r="J20" s="612">
        <f>VLOOKUP(B20,'Country Summary (€)'!B:G,6,0)</f>
        <v>0.43139430000000001</v>
      </c>
      <c r="K20" s="613">
        <f t="shared" si="1"/>
        <v>1.5406939285714285</v>
      </c>
      <c r="L20" s="1331"/>
      <c r="M20" s="1331"/>
    </row>
    <row r="21" spans="2:24" ht="15.75" customHeight="1">
      <c r="B21" s="602" t="s">
        <v>1432</v>
      </c>
      <c r="C21" s="611">
        <v>1</v>
      </c>
      <c r="D21" s="612">
        <v>1.21</v>
      </c>
      <c r="E21" s="612">
        <f>VLOOKUP(B21,'Country Summary (€)'!B:P,15,0)</f>
        <v>1.8109213383594553</v>
      </c>
      <c r="F21" s="608">
        <f t="shared" si="0"/>
        <v>1.4966292052557482</v>
      </c>
      <c r="G21" s="612">
        <f>100*(D21/(VLOOKUP(B21,'Country Summary (€)'!B:I, 8,0)))</f>
        <v>0.44232077658436908</v>
      </c>
      <c r="H21" s="612">
        <f>VLOOKUP(B21,'Country Summary (€)'!B:J,9,0)</f>
        <v>0.44349055053897235</v>
      </c>
      <c r="I21" s="612">
        <f>VLOOKUP(B21,'Country Summary (€)'!B:Q,16,0)</f>
        <v>0.66199019232756962</v>
      </c>
      <c r="J21" s="612">
        <f>VLOOKUP(B21,'Country Summary (€)'!B:G,6,0)</f>
        <v>1.2132000000000001</v>
      </c>
      <c r="K21" s="613">
        <f t="shared" si="1"/>
        <v>1.0026446280991737</v>
      </c>
      <c r="L21" s="1331"/>
      <c r="M21" s="1331"/>
    </row>
    <row r="22" spans="2:24" ht="15.75" customHeight="1">
      <c r="B22" s="602" t="s">
        <v>1523</v>
      </c>
      <c r="C22" s="611">
        <v>1</v>
      </c>
      <c r="D22" s="612">
        <v>49.43</v>
      </c>
      <c r="E22" s="612">
        <f>VLOOKUP(B22,'Country Summary (€)'!B:P,15,0)</f>
        <v>7.461431852038908</v>
      </c>
      <c r="F22" s="608">
        <f t="shared" si="0"/>
        <v>0.15094946089498093</v>
      </c>
      <c r="G22" s="612">
        <f>100*(D22/(VLOOKUP(B22,'Country Summary (€)'!B:I, 8,0)))</f>
        <v>1.8161834953485678</v>
      </c>
      <c r="H22" s="612">
        <f>VLOOKUP(B22,'Country Summary (€)'!B:J,9,0)</f>
        <v>5.3695641016007399E-2</v>
      </c>
      <c r="I22" s="612">
        <f>VLOOKUP(B22,'Country Summary (€)'!B:Q,16,0)</f>
        <v>0.27415191950922846</v>
      </c>
      <c r="J22" s="612">
        <f>VLOOKUP(B22,'Country Summary (€)'!B:G,6,0)</f>
        <v>1.4614027394362197</v>
      </c>
      <c r="K22" s="613">
        <f t="shared" si="1"/>
        <v>2.9565096893308107E-2</v>
      </c>
      <c r="L22" s="1331"/>
      <c r="M22" s="1331"/>
    </row>
    <row r="23" spans="2:24" ht="15.75" customHeight="1">
      <c r="B23" s="602" t="s">
        <v>1711</v>
      </c>
      <c r="C23" s="611">
        <v>1</v>
      </c>
      <c r="D23" s="612">
        <v>264.2</v>
      </c>
      <c r="E23" s="612">
        <f>VLOOKUP(B23,'Country Summary (€)'!B:P,15,0)</f>
        <v>18.01197115919447</v>
      </c>
      <c r="F23" s="608">
        <f t="shared" si="0"/>
        <v>6.8175515364097161E-2</v>
      </c>
      <c r="G23" s="612">
        <f>100*(D23/(VLOOKUP(B23,'Country Summary (€)'!B:I, 8,0)))</f>
        <v>6.7403039234985833</v>
      </c>
      <c r="H23" s="612">
        <f>VLOOKUP(B23,'Country Summary (€)'!B:J,9,0)</f>
        <v>0.27250538647727673</v>
      </c>
      <c r="I23" s="612">
        <f>VLOOKUP(B23,'Country Summary (€)'!B:Q,16,0)</f>
        <v>0.45952369369516211</v>
      </c>
      <c r="J23" s="612">
        <f>VLOOKUP(B23,'Country Summary (€)'!B:G,6,0)</f>
        <v>10.68140605</v>
      </c>
      <c r="K23" s="613">
        <f t="shared" si="1"/>
        <v>4.042924318697956E-2</v>
      </c>
      <c r="L23" s="1331"/>
      <c r="M23" s="1331"/>
    </row>
    <row r="24" spans="2:24" ht="15.75" customHeight="1">
      <c r="B24" s="602" t="s">
        <v>1973</v>
      </c>
      <c r="C24" s="611">
        <v>1</v>
      </c>
      <c r="D24" s="612">
        <v>10.5</v>
      </c>
      <c r="E24" s="612">
        <f>VLOOKUP(B24,'Country Summary (€)'!B:P,15,0)</f>
        <v>0.67984446500517559</v>
      </c>
      <c r="F24" s="608">
        <f t="shared" si="0"/>
        <v>6.4747091905254822E-2</v>
      </c>
      <c r="G24" s="612">
        <f>100*(D24/(VLOOKUP(B24,'Country Summary (€)'!B:I, 8,0)))</f>
        <v>5.3107432177584952</v>
      </c>
      <c r="H24" s="612">
        <f>VLOOKUP(B24,'Country Summary (€)'!B:J,9,0)</f>
        <v>9.4505790632724782E-2</v>
      </c>
      <c r="I24" s="612">
        <f>VLOOKUP(B24,'Country Summary (€)'!B:Q,16,0)</f>
        <v>0.34385517920541797</v>
      </c>
      <c r="J24" s="612">
        <f>VLOOKUP(B24,'Country Summary (€)'!B:G,6,0)</f>
        <v>0.18684970463746781</v>
      </c>
      <c r="K24" s="613">
        <f t="shared" si="1"/>
        <v>1.7795209965473124E-2</v>
      </c>
      <c r="L24" s="1331"/>
      <c r="M24" s="1331"/>
      <c r="N24" s="1331"/>
      <c r="O24" s="1331"/>
    </row>
    <row r="25" spans="2:24" ht="15.75" customHeight="1">
      <c r="B25" s="602" t="s">
        <v>2028</v>
      </c>
      <c r="C25" s="611">
        <v>1</v>
      </c>
      <c r="D25" s="612">
        <v>2.36</v>
      </c>
      <c r="E25" s="612">
        <f>VLOOKUP(B25,'Country Summary (€)'!B:P,15,0)</f>
        <v>0.44540044466706213</v>
      </c>
      <c r="F25" s="608">
        <f t="shared" si="0"/>
        <v>0.1887290019775687</v>
      </c>
      <c r="G25" s="612">
        <f>100*(D25/(VLOOKUP(B25,'Country Summary (€)'!B:I, 8,0)))</f>
        <v>1.4104349161967422</v>
      </c>
      <c r="H25" s="612">
        <f>VLOOKUP(B25,'Country Summary (€)'!B:J,9,0)</f>
        <v>2.8154793100345764E-2</v>
      </c>
      <c r="I25" s="612">
        <f>VLOOKUP(B25,'Country Summary (€)'!B:Q,16,0)</f>
        <v>0.26618997408812695</v>
      </c>
      <c r="J25" s="612">
        <f>VLOOKUP(B25,'Country Summary (€)'!B:G,6,0)</f>
        <v>4.7109803475361152E-2</v>
      </c>
      <c r="K25" s="613">
        <f t="shared" si="1"/>
        <v>1.9961781133627607E-2</v>
      </c>
      <c r="L25" s="1331"/>
      <c r="M25" s="1331"/>
      <c r="N25" s="1331"/>
      <c r="O25" s="1331"/>
    </row>
    <row r="26" spans="2:24" ht="15.75" customHeight="1">
      <c r="B26" s="602" t="s">
        <v>2096</v>
      </c>
      <c r="C26" s="611">
        <v>1</v>
      </c>
      <c r="D26" s="612">
        <v>3.0270000000000001</v>
      </c>
      <c r="E26" s="612">
        <f>VLOOKUP(B26,'Country Summary (€)'!B:P,15,0)</f>
        <v>0.7770026792779513</v>
      </c>
      <c r="F26" s="608">
        <f t="shared" si="0"/>
        <v>0.25669067699965353</v>
      </c>
      <c r="G26" s="612">
        <f>100*(D26/(VLOOKUP(B26,'Country Summary (€)'!B:I, 8,0)))</f>
        <v>0.65249050217667171</v>
      </c>
      <c r="H26" s="612">
        <f>VLOOKUP(B26,'Country Summary (€)'!B:J,9,0)</f>
        <v>1.9488029726067776E-2</v>
      </c>
      <c r="I26" s="612">
        <f>VLOOKUP(B26,'Country Summary (€)'!B:Q,16,0)</f>
        <v>0.16748822873957375</v>
      </c>
      <c r="J26" s="612">
        <f>VLOOKUP(B26,'Country Summary (€)'!B:G,6,0)</f>
        <v>9.0407853882959147E-2</v>
      </c>
      <c r="K26" s="613">
        <f t="shared" si="1"/>
        <v>2.9867146971575536E-2</v>
      </c>
      <c r="L26" s="1331"/>
      <c r="M26" s="1331"/>
      <c r="N26" s="1331"/>
      <c r="O26" s="1331"/>
    </row>
    <row r="27" spans="2:24" ht="15.75" customHeight="1">
      <c r="B27" s="602" t="s">
        <v>2204</v>
      </c>
      <c r="C27" s="611">
        <v>1</v>
      </c>
      <c r="D27" s="612">
        <v>83.44</v>
      </c>
      <c r="E27" s="612">
        <f>VLOOKUP(B27,'Country Summary (€)'!B:P,15,0)</f>
        <v>5.7761019416531836</v>
      </c>
      <c r="F27" s="608">
        <f t="shared" si="0"/>
        <v>6.9224615791624922E-2</v>
      </c>
      <c r="G27" s="612">
        <f>100*(D27/(VLOOKUP(B27,'Country Summary (€)'!B:I, 8,0)))</f>
        <v>4.3024372394514847</v>
      </c>
      <c r="H27" s="612">
        <f>VLOOKUP(B27,'Country Summary (€)'!B:J,9,0)</f>
        <v>6.9317275513089985E-2</v>
      </c>
      <c r="I27" s="612">
        <f>VLOOKUP(B27,'Country Summary (€)'!B:Q,16,0)</f>
        <v>0.29783456486860843</v>
      </c>
      <c r="J27" s="612">
        <f>VLOOKUP(B27,'Country Summary (€)'!B:G,6,0)</f>
        <v>1.3443155929799468</v>
      </c>
      <c r="K27" s="613">
        <f t="shared" si="1"/>
        <v>1.6111164824783638E-2</v>
      </c>
      <c r="L27" s="1331"/>
      <c r="M27" s="1331"/>
      <c r="N27" s="1331"/>
      <c r="O27" s="1331"/>
    </row>
    <row r="28" spans="2:24" ht="15.75" customHeight="1">
      <c r="B28" s="602" t="s">
        <v>2392</v>
      </c>
      <c r="C28" s="611">
        <v>1</v>
      </c>
      <c r="D28" s="612">
        <v>1.0629999999999999</v>
      </c>
      <c r="E28" s="612">
        <f>VLOOKUP(B28,'Country Summary (€)'!B:P,15,0)</f>
        <v>0.47071547436493277</v>
      </c>
      <c r="F28" s="608">
        <f t="shared" si="0"/>
        <v>0.44281794389927825</v>
      </c>
      <c r="G28" s="612">
        <f>100*(D28/(VLOOKUP(B28,'Country Summary (€)'!B:I, 8,0)))</f>
        <v>2.8987876954454195</v>
      </c>
      <c r="H28" s="612">
        <f>VLOOKUP(B28,'Country Summary (€)'!B:J,9,0)</f>
        <v>1.0912278632551458</v>
      </c>
      <c r="I28" s="612">
        <f>VLOOKUP(B28,'Country Summary (€)'!B:Q,16,0)</f>
        <v>1.2836352070976678</v>
      </c>
      <c r="J28" s="612">
        <f>VLOOKUP(B28,'Country Summary (€)'!B:G,6,0)</f>
        <v>0.40015873548199998</v>
      </c>
      <c r="K28" s="613">
        <f t="shared" si="1"/>
        <v>0.37644283676575729</v>
      </c>
      <c r="L28" s="1331"/>
      <c r="M28" s="1331"/>
      <c r="N28" s="1331"/>
      <c r="O28" s="1331"/>
    </row>
    <row r="29" spans="2:24" ht="15.75" customHeight="1">
      <c r="B29" s="602" t="s">
        <v>2488</v>
      </c>
      <c r="C29" s="611">
        <v>1</v>
      </c>
      <c r="D29" s="612">
        <v>3.617</v>
      </c>
      <c r="E29" s="612">
        <f>VLOOKUP(B29,'Country Summary (€)'!B:P,15,0)</f>
        <v>0.69519522088093533</v>
      </c>
      <c r="F29" s="608">
        <f t="shared" si="0"/>
        <v>0.19220216225627187</v>
      </c>
      <c r="G29" s="612">
        <f>100*(D29/(VLOOKUP(B29,'Country Summary (€)'!B:I, 8,0)))</f>
        <v>5.9160816016258622</v>
      </c>
      <c r="H29" s="612">
        <f>VLOOKUP(B29,'Country Summary (€)'!B:J,9,0)</f>
        <v>0.95193792981649195</v>
      </c>
      <c r="I29" s="612">
        <f>VLOOKUP(B29,'Country Summary (€)'!B:Q,16,0)</f>
        <v>1.1370836759170386</v>
      </c>
      <c r="J29" s="612">
        <f>VLOOKUP(B29,'Country Summary (€)'!B:G,6,0)</f>
        <v>0.58199999999999996</v>
      </c>
      <c r="K29" s="613">
        <f t="shared" si="1"/>
        <v>0.1609068288636992</v>
      </c>
      <c r="L29" s="1331"/>
      <c r="M29" s="1331"/>
      <c r="N29" s="1331"/>
      <c r="O29" s="1331"/>
    </row>
    <row r="30" spans="2:24" ht="15.75" customHeight="1">
      <c r="B30" s="602" t="s">
        <v>2625</v>
      </c>
      <c r="C30" s="611">
        <v>1</v>
      </c>
      <c r="D30" s="612">
        <v>2.4301999999999997</v>
      </c>
      <c r="E30" s="612">
        <f>VLOOKUP(B30,'Country Summary (€)'!B:P,15,0)</f>
        <v>0.20482455818822248</v>
      </c>
      <c r="F30" s="608">
        <f t="shared" si="0"/>
        <v>8.4283004768423389E-2</v>
      </c>
      <c r="G30" s="612">
        <f>100*(D30/(VLOOKUP(B30,'Country Summary (€)'!B:I, 8,0)))</f>
        <v>3.0888286534188092</v>
      </c>
      <c r="H30" s="612">
        <f>VLOOKUP(B30,'Country Summary (€)'!B:J,9,0)</f>
        <v>0.12155002130843041</v>
      </c>
      <c r="I30" s="612">
        <f>VLOOKUP(B30,'Country Summary (€)'!B:Q,16,0)</f>
        <v>0.26033576012494031</v>
      </c>
      <c r="J30" s="612">
        <f>VLOOKUP(B30,'Country Summary (€)'!B:G,6,0)</f>
        <v>9.5631999999999995E-2</v>
      </c>
      <c r="K30" s="613">
        <f t="shared" si="1"/>
        <v>3.9351493704221877E-2</v>
      </c>
      <c r="L30" s="1331"/>
      <c r="M30" s="1331"/>
      <c r="N30" s="1331"/>
      <c r="O30" s="1331"/>
    </row>
    <row r="31" spans="2:24" ht="15.75" customHeight="1">
      <c r="B31" s="602" t="s">
        <v>2678</v>
      </c>
      <c r="C31" s="611">
        <v>1</v>
      </c>
      <c r="D31" s="612">
        <v>0.98050000000000004</v>
      </c>
      <c r="E31" s="612">
        <f>VLOOKUP(B31,'Country Summary (€)'!B:P,15,0)</f>
        <v>3.0799704686463283E-2</v>
      </c>
      <c r="F31" s="608">
        <f t="shared" si="0"/>
        <v>3.1412243433414873E-2</v>
      </c>
      <c r="G31" s="612">
        <f>100*(D31/(VLOOKUP(B31,'Country Summary (€)'!B:I, 8,0)))</f>
        <v>6.1368615633493038</v>
      </c>
      <c r="H31" s="612">
        <f>VLOOKUP(B31,'Country Summary (€)'!B:J,9,0)</f>
        <v>1.2955944350977111E-2</v>
      </c>
      <c r="I31" s="612">
        <f>VLOOKUP(B31,'Country Summary (€)'!B:Q,16,0)</f>
        <v>0.19277258934509528</v>
      </c>
      <c r="J31" s="612">
        <f>VLOOKUP(B31,'Country Summary (€)'!B:G,6,0)</f>
        <v>2.0699999999999998E-3</v>
      </c>
      <c r="K31" s="613">
        <f t="shared" si="1"/>
        <v>2.1111677715451296E-3</v>
      </c>
      <c r="L31" s="1331"/>
      <c r="M31" s="1331"/>
      <c r="N31" s="1331"/>
      <c r="O31" s="1331"/>
    </row>
    <row r="32" spans="2:24" ht="15.75" customHeight="1">
      <c r="B32" s="602" t="s">
        <v>2693</v>
      </c>
      <c r="C32" s="611">
        <v>1</v>
      </c>
      <c r="D32" s="612">
        <v>43.85</v>
      </c>
      <c r="E32" s="612">
        <f>VLOOKUP(B32,'Country Summary (€)'!B:P,15,0)</f>
        <v>6.6607531353210323</v>
      </c>
      <c r="F32" s="608">
        <f t="shared" si="0"/>
        <v>0.15189858917493801</v>
      </c>
      <c r="G32" s="612">
        <f>100*(D32/(VLOOKUP(B32,'Country Summary (€)'!B:I, 8,0)))</f>
        <v>4.7051717827525232</v>
      </c>
      <c r="H32" s="612">
        <f>VLOOKUP(B32,'Country Summary (€)'!B:J,9,0)</f>
        <v>0.43598129254435675</v>
      </c>
      <c r="I32" s="612">
        <f>VLOOKUP(B32,'Country Summary (€)'!B:Q,16,0)</f>
        <v>0.71470895562583625</v>
      </c>
      <c r="J32" s="612">
        <f>VLOOKUP(B32,'Country Summary (€)'!B:G,6,0)</f>
        <v>4.0631417004048576</v>
      </c>
      <c r="K32" s="613">
        <f t="shared" si="1"/>
        <v>9.2660015972744758E-2</v>
      </c>
      <c r="L32" s="1331"/>
      <c r="M32" s="1331"/>
      <c r="N32" s="1331"/>
      <c r="O32" s="1331"/>
    </row>
    <row r="33" spans="2:15" ht="15.75" customHeight="1">
      <c r="B33" s="602" t="s">
        <v>2882</v>
      </c>
      <c r="C33" s="611">
        <v>0</v>
      </c>
      <c r="D33" s="612">
        <v>8.0839999999999996</v>
      </c>
      <c r="E33" s="612">
        <f>VLOOKUP(B33,'Country Summary (€)'!B:P,15,0)</f>
        <v>2.0894267771243502</v>
      </c>
      <c r="F33" s="608">
        <f t="shared" si="0"/>
        <v>0.25846447020340801</v>
      </c>
      <c r="G33" s="612">
        <f>100*(D33/(VLOOKUP(B33,'Country Summary (€)'!B:I, 8,0)))</f>
        <v>1.8220965109097738</v>
      </c>
      <c r="H33" s="612">
        <f>VLOOKUP(B33,'Country Summary (€)'!B:J,9,0)</f>
        <v>0.47094720935177292</v>
      </c>
      <c r="I33" s="612">
        <f>VLOOKUP(B33,'Country Summary (€)'!B:Q,16,0)</f>
        <v>0.47094720935177292</v>
      </c>
      <c r="J33" s="612">
        <f>VLOOKUP(B33,'Country Summary (€)'!B:G,6,0)</f>
        <v>2.0894267771243502</v>
      </c>
      <c r="K33" s="613">
        <f t="shared" si="1"/>
        <v>0.25846447020340801</v>
      </c>
      <c r="L33" s="1331"/>
      <c r="M33" s="1331"/>
      <c r="N33" s="1331"/>
      <c r="O33" s="1331"/>
    </row>
    <row r="34" spans="2:15" ht="15.75" customHeight="1">
      <c r="B34" s="602" t="s">
        <v>2989</v>
      </c>
      <c r="C34" s="611">
        <v>1</v>
      </c>
      <c r="D34" s="612">
        <v>12.4</v>
      </c>
      <c r="E34" s="612">
        <f>VLOOKUP(B34,'Country Summary (€)'!B:P,15,0)</f>
        <v>5.7173497420335329</v>
      </c>
      <c r="F34" s="608">
        <f t="shared" si="0"/>
        <v>0.46107659209947843</v>
      </c>
      <c r="G34" s="612">
        <f>100*(D34/(VLOOKUP(B34,'Country Summary (€)'!B:I, 8,0)))</f>
        <v>1.9834310820183922</v>
      </c>
      <c r="H34" s="612">
        <f>VLOOKUP(B34,'Country Summary (€)'!B:J,9,0)</f>
        <v>0.68246360725370525</v>
      </c>
      <c r="I34" s="612">
        <f>VLOOKUP(B34,'Country Summary (€)'!B:Q,16,0)</f>
        <v>0.91451364396122126</v>
      </c>
      <c r="J34" s="612">
        <f>VLOOKUP(B34,'Country Summary (€)'!B:G,6,0)</f>
        <v>4.2666210117743191</v>
      </c>
      <c r="K34" s="613">
        <f t="shared" si="1"/>
        <v>0.34408233965921925</v>
      </c>
      <c r="L34" s="1331"/>
      <c r="M34" s="1331"/>
      <c r="N34" s="1331"/>
      <c r="O34" s="1331"/>
    </row>
    <row r="35" spans="2:15" ht="15.75" customHeight="1">
      <c r="B35" s="602" t="s">
        <v>3079</v>
      </c>
      <c r="C35" s="611">
        <v>1</v>
      </c>
      <c r="D35" s="612">
        <v>7.04</v>
      </c>
      <c r="E35" s="612">
        <f>VLOOKUP(B35,'Country Summary (€)'!B:P,15,0)</f>
        <v>0.82491126088034772</v>
      </c>
      <c r="F35" s="608">
        <f t="shared" si="0"/>
        <v>0.11717489501141302</v>
      </c>
      <c r="G35" s="612">
        <f>100*(D35/(VLOOKUP(B35,'Country Summary (€)'!B:I, 8,0)))</f>
        <v>3.016233206635766</v>
      </c>
      <c r="H35" s="612">
        <f>VLOOKUP(B35,'Country Summary (€)'!B:J,9,0)</f>
        <v>0.14018307955675754</v>
      </c>
      <c r="I35" s="612">
        <f>VLOOKUP(B35,'Country Summary (€)'!B:Q,16,0)</f>
        <v>0.35342680931748349</v>
      </c>
      <c r="J35" s="612">
        <f>VLOOKUP(B35,'Country Summary (€)'!B:G,6,0)</f>
        <v>0.32719249887853508</v>
      </c>
      <c r="K35" s="613">
        <f t="shared" si="1"/>
        <v>4.6476207227064643E-2</v>
      </c>
      <c r="L35" s="1331"/>
      <c r="M35" s="1331"/>
      <c r="N35" s="1331"/>
      <c r="O35" s="1331"/>
    </row>
    <row r="36" spans="2:15" ht="15.75" customHeight="1">
      <c r="B36" s="602" t="s">
        <v>3214</v>
      </c>
      <c r="C36" s="611">
        <v>1</v>
      </c>
      <c r="D36" s="612">
        <v>8.516</v>
      </c>
      <c r="E36" s="612">
        <f>VLOOKUP(B36,'Country Summary (€)'!B:P,15,0)</f>
        <v>0.68301438578593121</v>
      </c>
      <c r="F36" s="608">
        <f t="shared" si="0"/>
        <v>8.0203662022772571E-2</v>
      </c>
      <c r="G36" s="612">
        <f>100*(D36/(VLOOKUP(B36,'Country Summary (€)'!B:I, 8,0)))</f>
        <v>3.257864821534564</v>
      </c>
      <c r="H36" s="612">
        <f>VLOOKUP(B36,'Country Summary (€)'!B:J,9,0)</f>
        <v>4.8172137544917719E-2</v>
      </c>
      <c r="I36" s="612">
        <f>VLOOKUP(B36,'Country Summary (€)'!B:Q,16,0)</f>
        <v>0.2612926890622384</v>
      </c>
      <c r="J36" s="612">
        <f>VLOOKUP(B36,'Country Summary (€)'!B:G,6,0)</f>
        <v>0.12592110041548174</v>
      </c>
      <c r="K36" s="613">
        <f t="shared" si="1"/>
        <v>1.4786413858088508E-2</v>
      </c>
      <c r="L36" s="1331"/>
      <c r="M36" s="1331"/>
      <c r="N36" s="1331"/>
      <c r="O36" s="1331"/>
    </row>
    <row r="37" spans="2:15" ht="15.75" customHeight="1">
      <c r="B37" s="602" t="s">
        <v>3261</v>
      </c>
      <c r="C37" s="611">
        <v>1</v>
      </c>
      <c r="D37" s="612">
        <v>3.577</v>
      </c>
      <c r="E37" s="612">
        <f>VLOOKUP(B37,'Country Summary (€)'!B:P,15,0)</f>
        <v>0.97576165966905448</v>
      </c>
      <c r="F37" s="608">
        <f t="shared" si="0"/>
        <v>0.27278771587057715</v>
      </c>
      <c r="G37" s="612">
        <f>100*(D37/(VLOOKUP(B37,'Country Summary (€)'!B:I, 8,0)))</f>
        <v>3.3361197209742746</v>
      </c>
      <c r="H37" s="612">
        <f>VLOOKUP(B37,'Country Summary (€)'!B:J,9,0)</f>
        <v>0.63140985475637346</v>
      </c>
      <c r="I37" s="612">
        <f>VLOOKUP(B37,'Country Summary (€)'!B:Q,16,0)</f>
        <v>0.91005247855535953</v>
      </c>
      <c r="J37" s="612">
        <f>VLOOKUP(B37,'Country Summary (€)'!B:G,6,0)</f>
        <v>0.67699999980934855</v>
      </c>
      <c r="K37" s="613">
        <f t="shared" si="1"/>
        <v>0.18926474694138903</v>
      </c>
      <c r="L37" s="1331"/>
      <c r="M37" s="1331"/>
      <c r="N37" s="1331"/>
      <c r="O37" s="1331"/>
    </row>
    <row r="38" spans="2:15" ht="15.75" customHeight="1">
      <c r="B38" s="602" t="s">
        <v>3337</v>
      </c>
      <c r="C38" s="611">
        <v>1</v>
      </c>
      <c r="D38" s="612">
        <v>0.52300000000000002</v>
      </c>
      <c r="E38" s="612">
        <f>VLOOKUP(B38,'Country Summary (€)'!B:P,15,0)</f>
        <v>0.18501044607916323</v>
      </c>
      <c r="F38" s="608">
        <f t="shared" si="0"/>
        <v>0.35374846286646888</v>
      </c>
      <c r="G38" s="612">
        <f>100*(D38/(VLOOKUP(B38,'Country Summary (€)'!B:I, 8,0)))</f>
        <v>0.92050107038328255</v>
      </c>
      <c r="H38" s="612">
        <f>VLOOKUP(B38,'Country Summary (€)'!B:J,9,0)</f>
        <v>0.10758351857801417</v>
      </c>
      <c r="I38" s="612">
        <f>VLOOKUP(B38,'Country Summary (€)'!B:Q,16,0)</f>
        <v>0.32562583871502548</v>
      </c>
      <c r="J38" s="612">
        <f>VLOOKUP(B38,'Country Summary (€)'!B:G,6,0)</f>
        <v>6.1125599987486207E-2</v>
      </c>
      <c r="K38" s="613">
        <f t="shared" si="1"/>
        <v>0.11687495217492581</v>
      </c>
      <c r="L38" s="1331"/>
      <c r="M38" s="1331"/>
      <c r="N38" s="1331"/>
      <c r="O38" s="1331"/>
    </row>
    <row r="39" spans="2:15" ht="15.75" customHeight="1">
      <c r="B39" s="602" t="s">
        <v>3412</v>
      </c>
      <c r="C39" s="611">
        <v>1</v>
      </c>
      <c r="D39" s="612">
        <v>35.799999999999997</v>
      </c>
      <c r="E39" s="612">
        <f>VLOOKUP(B39,'Country Summary (€)'!B:P,15,0)</f>
        <v>4.7937834044636434</v>
      </c>
      <c r="F39" s="608">
        <f t="shared" si="0"/>
        <v>0.13390456437049283</v>
      </c>
      <c r="G39" s="612">
        <f>100*(D39/(VLOOKUP(B39,'Country Summary (€)'!B:I, 8,0)))</f>
        <v>2.7257928112571377</v>
      </c>
      <c r="H39" s="612">
        <f>VLOOKUP(B39,'Country Summary (€)'!B:J,9,0)</f>
        <v>6.361716780432565E-2</v>
      </c>
      <c r="I39" s="612">
        <f>VLOOKUP(B39,'Country Summary (€)'!B:Q,16,0)</f>
        <v>0.36499609895560808</v>
      </c>
      <c r="J39" s="612">
        <f>VLOOKUP(B39,'Country Summary (€)'!B:G,6,0)</f>
        <v>0.83553474717121867</v>
      </c>
      <c r="K39" s="613">
        <f t="shared" si="1"/>
        <v>2.3338959418190468E-2</v>
      </c>
      <c r="L39" s="1331"/>
      <c r="M39" s="1331"/>
      <c r="N39" s="1331"/>
      <c r="O39" s="1331"/>
    </row>
    <row r="40" spans="2:15" ht="15.75" customHeight="1">
      <c r="B40" s="602" t="s">
        <v>3548</v>
      </c>
      <c r="C40" s="611">
        <v>1</v>
      </c>
      <c r="D40" s="612">
        <v>1.55</v>
      </c>
      <c r="E40" s="612">
        <f>VLOOKUP(B40,'Country Summary (€)'!B:P,15,0)</f>
        <v>3.0180800353176771</v>
      </c>
      <c r="F40" s="608">
        <f t="shared" si="0"/>
        <v>1.9471484098823724</v>
      </c>
      <c r="G40" s="612">
        <f>100*(D40/(VLOOKUP(B40,'Country Summary (€)'!B:I, 8,0)))</f>
        <v>0.26500486527866846</v>
      </c>
      <c r="H40" s="612">
        <f>VLOOKUP(B40,'Country Summary (€)'!B:J,9,0)</f>
        <v>0.31251679022643342</v>
      </c>
      <c r="I40" s="612">
        <f>VLOOKUP(B40,'Country Summary (€)'!B:Q,16,0)</f>
        <v>0.51600380203845153</v>
      </c>
      <c r="J40" s="612">
        <f>VLOOKUP(B40,'Country Summary (€)'!B:G,6,0)</f>
        <v>1.82789483635176</v>
      </c>
      <c r="K40" s="613">
        <f t="shared" si="1"/>
        <v>1.1792869911946837</v>
      </c>
      <c r="L40" s="1331"/>
      <c r="M40" s="1331"/>
      <c r="N40" s="1331"/>
      <c r="O40" s="1331"/>
    </row>
    <row r="41" spans="2:15" ht="15.75" customHeight="1">
      <c r="B41" s="633" t="s">
        <v>3748</v>
      </c>
      <c r="C41" s="640">
        <v>0</v>
      </c>
      <c r="D41" s="641">
        <v>96.65</v>
      </c>
      <c r="E41" s="641">
        <f>VLOOKUP(B41,'Country Summary (€)'!B:P,15,0)</f>
        <v>10.735148612169851</v>
      </c>
      <c r="F41" s="635">
        <f t="shared" si="0"/>
        <v>0.11107241192105381</v>
      </c>
      <c r="G41" s="641">
        <f>100*(D41/(VLOOKUP(B41,'Country Summary (€)'!B:I, 8,0)))</f>
        <v>3.3544090797225201</v>
      </c>
      <c r="H41" s="641">
        <f>VLOOKUP(B41,'Country Summary (€)'!B:J,9,0)</f>
        <v>0.37258230705466278</v>
      </c>
      <c r="I41" s="641">
        <f>VLOOKUP(B41,'Country Summary (€)'!B:Q,16,0)</f>
        <v>0.37258230705466278</v>
      </c>
      <c r="J41" s="641">
        <f>VLOOKUP(B41,'Country Summary (€)'!B:G,6,0)</f>
        <v>10.735148612169851</v>
      </c>
      <c r="K41" s="636">
        <f t="shared" si="1"/>
        <v>0.11107241192105381</v>
      </c>
      <c r="L41" s="1331"/>
      <c r="M41" s="1331"/>
      <c r="N41" s="1331"/>
      <c r="O41" s="1331"/>
    </row>
    <row r="42" spans="2:15" ht="15.75" customHeight="1">
      <c r="B42" s="602"/>
      <c r="C42" s="611"/>
      <c r="D42" s="612"/>
      <c r="E42" s="612"/>
      <c r="F42" s="608"/>
      <c r="G42" s="612"/>
      <c r="H42" s="612"/>
      <c r="I42" s="612"/>
      <c r="J42" s="612"/>
      <c r="K42" s="613"/>
      <c r="L42" s="1331"/>
      <c r="M42" s="1331"/>
      <c r="N42" s="1331"/>
      <c r="O42" s="1331"/>
    </row>
    <row r="43" spans="2:15" ht="15.75" customHeight="1">
      <c r="B43" s="627" t="s">
        <v>6677</v>
      </c>
      <c r="C43" s="628"/>
      <c r="D43" s="629">
        <f>SUMIFS(D13:D41,C13:C41,1)</f>
        <v>569.87987299999986</v>
      </c>
      <c r="E43" s="629">
        <f>SUMIFS(J13:J41,C13:C41,1)+(29.92+3.1+2)</f>
        <v>68.352480163837072</v>
      </c>
      <c r="F43" s="630">
        <f t="shared" ref="F43" si="2">(E43/D43)</f>
        <v>0.1199419095185997</v>
      </c>
      <c r="G43" s="629">
        <f>(SUMIFS(D13:D41,C13:C41,1)/('Country Summary (€)'!I23))*100</f>
        <v>3.6055790721622709</v>
      </c>
      <c r="H43" s="629">
        <f>(J43/('Country Summary (€)'!I23))*100</f>
        <v>0.43246003883544376</v>
      </c>
      <c r="I43" s="629">
        <f>(J43/('Country Summary (€)'!I23))*100</f>
        <v>0.43246003883544376</v>
      </c>
      <c r="J43" s="629">
        <f>SUMIFS(J13:J41,C13:C41,1)+((29.92+3.1+2))</f>
        <v>68.352480163837072</v>
      </c>
      <c r="K43" s="631">
        <f t="shared" si="1"/>
        <v>0.1199419095185997</v>
      </c>
      <c r="L43" s="1331"/>
      <c r="M43" s="1331"/>
      <c r="N43" s="1331"/>
      <c r="O43" s="1331"/>
    </row>
    <row r="44" spans="2:15" ht="15.75" customHeight="1">
      <c r="B44" s="602" t="s">
        <v>6678</v>
      </c>
      <c r="C44" s="607"/>
      <c r="D44" s="607">
        <f>SUMIFS(D13:D41,C13:C41,1)/27</f>
        <v>21.106661962962956</v>
      </c>
      <c r="E44" s="607">
        <f>E43/27</f>
        <v>2.5315733394013731</v>
      </c>
      <c r="F44" s="608">
        <f>SUM(F13:F33,F35:F40)/27</f>
        <v>0.36787739284249571</v>
      </c>
      <c r="G44" s="607"/>
      <c r="H44" s="607"/>
      <c r="I44" s="607"/>
      <c r="J44" s="607"/>
      <c r="K44" s="613"/>
      <c r="L44" s="1331"/>
      <c r="M44" s="1331"/>
      <c r="N44" s="1331"/>
      <c r="O44" s="1331"/>
    </row>
    <row r="45" spans="2:15" ht="15.75" customHeight="1">
      <c r="B45" s="633" t="s">
        <v>6679</v>
      </c>
      <c r="C45" s="634"/>
      <c r="D45" s="634">
        <f>MEDIAN(D13:D32,D34:D40)</f>
        <v>3.617</v>
      </c>
      <c r="E45" s="634">
        <f>MEDIAN(E13:E32,E34:E40)</f>
        <v>0.82491126088034772</v>
      </c>
      <c r="F45" s="635">
        <f>MEDIAN(F13:F32,F34:F40)</f>
        <v>0.1887290019775687</v>
      </c>
      <c r="G45" s="634"/>
      <c r="H45" s="634"/>
      <c r="I45" s="634"/>
      <c r="J45" s="634"/>
      <c r="K45" s="636"/>
      <c r="L45" s="1331"/>
      <c r="M45" s="1331"/>
      <c r="N45" s="1331"/>
      <c r="O45" s="1331"/>
    </row>
    <row r="46" spans="2:15" ht="15.75" customHeight="1">
      <c r="C46" s="603"/>
      <c r="D46" s="603"/>
      <c r="E46" s="603"/>
      <c r="F46" s="603"/>
      <c r="G46" s="603"/>
      <c r="H46" s="603"/>
      <c r="I46" s="603"/>
      <c r="J46" s="613"/>
      <c r="K46" s="603"/>
      <c r="L46" s="1331"/>
      <c r="M46" s="1331"/>
      <c r="N46" s="1331"/>
      <c r="O46" s="1331"/>
    </row>
    <row r="47" spans="2:15" ht="15.75" customHeight="1">
      <c r="C47" s="1331"/>
      <c r="D47" s="1331"/>
      <c r="E47" s="1331"/>
      <c r="F47" s="1331"/>
      <c r="G47" s="1331"/>
      <c r="H47" s="1331"/>
      <c r="I47" s="1331"/>
      <c r="J47" s="592"/>
      <c r="K47" s="1331"/>
      <c r="L47" s="1331"/>
      <c r="M47" s="1331"/>
      <c r="N47" s="1331"/>
      <c r="O47" s="1331"/>
    </row>
    <row r="48" spans="2:15" ht="15.75" customHeight="1">
      <c r="C48" s="1331"/>
      <c r="D48" s="1331"/>
      <c r="E48" s="1331"/>
      <c r="F48" s="1331"/>
      <c r="G48" s="1331"/>
      <c r="H48" s="1331"/>
      <c r="I48" s="1331"/>
      <c r="J48" s="592"/>
      <c r="K48" s="1331"/>
      <c r="L48" s="1331"/>
      <c r="M48" s="1331"/>
      <c r="N48" s="1331"/>
      <c r="O48" s="1331"/>
    </row>
    <row r="49" spans="3:19" ht="15.75" customHeight="1">
      <c r="C49" s="1331"/>
      <c r="D49" s="1331"/>
      <c r="E49" s="1331"/>
      <c r="F49" s="1331"/>
      <c r="G49" s="1331"/>
      <c r="H49" s="1331"/>
      <c r="I49" s="1331"/>
      <c r="J49" s="592"/>
      <c r="K49" s="1331"/>
      <c r="L49" s="1331"/>
      <c r="M49" s="1331"/>
      <c r="N49" s="1331"/>
      <c r="O49" s="1331"/>
    </row>
    <row r="50" spans="3:19" ht="15.75" customHeight="1">
      <c r="C50" s="1331"/>
      <c r="D50" s="1331"/>
      <c r="E50" s="1331"/>
      <c r="F50" s="1331"/>
      <c r="G50" s="1331"/>
      <c r="H50" s="1331"/>
      <c r="I50" s="1331"/>
      <c r="J50" s="592"/>
      <c r="K50" s="1331"/>
      <c r="L50" s="1331"/>
      <c r="M50" s="1331"/>
      <c r="N50" s="1331"/>
      <c r="O50" s="1331"/>
    </row>
    <row r="51" spans="3:19" ht="15.75" customHeight="1">
      <c r="C51" s="1331"/>
      <c r="D51" s="1331"/>
      <c r="E51" s="1331"/>
      <c r="F51" s="1331"/>
      <c r="G51" s="1331"/>
      <c r="H51" s="1331"/>
      <c r="I51" s="1331"/>
      <c r="J51" s="592"/>
      <c r="K51" s="1331"/>
      <c r="L51" s="1331"/>
      <c r="M51" s="1331"/>
      <c r="N51" s="1331"/>
      <c r="O51" s="1331"/>
      <c r="S51" s="596">
        <f>'Table Aid vs Energy'!F20</f>
        <v>1.7820845699368126</v>
      </c>
    </row>
    <row r="52" spans="3:19" ht="15.75" customHeight="1">
      <c r="C52" s="1331"/>
      <c r="D52" s="1331"/>
      <c r="E52" s="1331"/>
      <c r="F52" s="1331"/>
      <c r="G52" s="1331"/>
      <c r="H52" s="1331"/>
      <c r="I52" s="1331"/>
      <c r="J52" s="592"/>
      <c r="K52" s="1331"/>
      <c r="L52" s="1331"/>
      <c r="M52" s="1331"/>
      <c r="N52" s="1331"/>
      <c r="O52" s="1331"/>
    </row>
    <row r="53" spans="3:19" ht="15.75" customHeight="1">
      <c r="C53" s="1331"/>
      <c r="D53" s="1331"/>
      <c r="E53" s="1331"/>
      <c r="F53" s="1331"/>
      <c r="G53" s="1331"/>
      <c r="H53" s="1331"/>
      <c r="I53" s="1331"/>
      <c r="J53" s="592"/>
      <c r="K53" s="1331"/>
      <c r="L53" s="1331"/>
      <c r="M53" s="1331"/>
      <c r="N53" s="1331"/>
      <c r="O53" s="1331"/>
    </row>
    <row r="54" spans="3:19" ht="15.75" customHeight="1">
      <c r="C54" s="1331"/>
      <c r="D54" s="1331"/>
      <c r="E54" s="1331"/>
      <c r="F54" s="1331"/>
      <c r="G54" s="1331"/>
      <c r="H54" s="1331"/>
      <c r="I54" s="1331"/>
      <c r="J54" s="592"/>
      <c r="K54" s="1331"/>
      <c r="L54" s="1331"/>
      <c r="M54" s="1331"/>
      <c r="N54" s="1331"/>
      <c r="O54" s="1331"/>
    </row>
    <row r="55" spans="3:19" ht="15.75" customHeight="1">
      <c r="C55" s="1331"/>
      <c r="D55" s="1331"/>
      <c r="E55" s="1331"/>
      <c r="F55" s="1331"/>
      <c r="G55" s="1331"/>
      <c r="H55" s="1331"/>
      <c r="I55" s="1331"/>
      <c r="J55" s="592"/>
      <c r="K55" s="1331"/>
      <c r="L55" s="1331"/>
      <c r="M55" s="1331"/>
      <c r="N55" s="1331"/>
      <c r="O55" s="1331"/>
    </row>
    <row r="56" spans="3:19" ht="15.75" customHeight="1">
      <c r="C56" s="1331"/>
      <c r="D56" s="1331"/>
      <c r="E56" s="1331"/>
      <c r="F56" s="1331"/>
      <c r="G56" s="1331"/>
      <c r="H56" s="1331"/>
      <c r="I56" s="1331"/>
      <c r="J56" s="592"/>
      <c r="K56" s="1331"/>
      <c r="L56" s="1331"/>
      <c r="M56" s="1331"/>
      <c r="N56" s="1331"/>
      <c r="O56" s="1331"/>
    </row>
    <row r="57" spans="3:19" ht="15.75" customHeight="1">
      <c r="C57" s="1331"/>
      <c r="D57" s="1331"/>
      <c r="E57" s="1331"/>
      <c r="F57" s="1331"/>
      <c r="G57" s="1331"/>
      <c r="H57" s="1331"/>
      <c r="I57" s="1331"/>
      <c r="J57" s="592"/>
      <c r="K57" s="1331"/>
      <c r="L57" s="1331"/>
      <c r="M57" s="1331"/>
      <c r="N57" s="1331"/>
      <c r="O57" s="1331"/>
    </row>
    <row r="58" spans="3:19" ht="15.75" customHeight="1">
      <c r="C58" s="1331"/>
      <c r="D58" s="1331"/>
      <c r="E58" s="1331"/>
      <c r="F58" s="1331"/>
      <c r="G58" s="1331"/>
      <c r="H58" s="1331"/>
      <c r="I58" s="1331"/>
      <c r="J58" s="592"/>
      <c r="K58" s="1331"/>
      <c r="L58" s="1331"/>
      <c r="M58" s="1331"/>
      <c r="N58" s="1331"/>
      <c r="O58" s="1331"/>
    </row>
    <row r="59" spans="3:19" ht="15.75" customHeight="1">
      <c r="C59" s="1331"/>
      <c r="D59" s="1331"/>
      <c r="E59" s="1331"/>
      <c r="F59" s="1331"/>
      <c r="G59" s="1331"/>
      <c r="H59" s="1331"/>
      <c r="I59" s="1331"/>
      <c r="J59" s="592"/>
      <c r="K59" s="1331"/>
      <c r="L59" s="1331"/>
      <c r="M59" s="1331"/>
      <c r="N59" s="1331"/>
      <c r="O59" s="1331"/>
    </row>
    <row r="60" spans="3:19" ht="15.75" customHeight="1">
      <c r="C60" s="1331"/>
      <c r="D60" s="1331"/>
      <c r="E60" s="1331"/>
      <c r="F60" s="1331"/>
      <c r="G60" s="1331"/>
      <c r="H60" s="1331"/>
      <c r="I60" s="1331"/>
      <c r="J60" s="592"/>
      <c r="K60" s="1331"/>
      <c r="L60" s="1331"/>
      <c r="M60" s="1331"/>
      <c r="N60" s="1331"/>
      <c r="O60" s="1331"/>
    </row>
    <row r="61" spans="3:19" ht="15.75" customHeight="1">
      <c r="C61" s="1331"/>
      <c r="D61" s="1331"/>
      <c r="E61" s="1331"/>
      <c r="F61" s="1331"/>
      <c r="G61" s="1331"/>
      <c r="H61" s="1331"/>
      <c r="I61" s="1331"/>
      <c r="J61" s="592"/>
      <c r="K61" s="1331"/>
      <c r="L61" s="1331"/>
      <c r="M61" s="1331"/>
      <c r="N61" s="1331"/>
      <c r="O61" s="1331"/>
    </row>
    <row r="62" spans="3:19" ht="15.75" customHeight="1">
      <c r="C62" s="1331"/>
      <c r="D62" s="1331"/>
      <c r="E62" s="1331"/>
      <c r="F62" s="1331"/>
      <c r="G62" s="1331"/>
      <c r="H62" s="1331"/>
      <c r="I62" s="1331"/>
      <c r="J62" s="592"/>
      <c r="K62" s="1331"/>
      <c r="L62" s="1331"/>
      <c r="M62" s="1331"/>
      <c r="N62" s="1331"/>
      <c r="O62" s="1331"/>
    </row>
    <row r="63" spans="3:19" ht="15.75" customHeight="1">
      <c r="C63" s="1331"/>
      <c r="D63" s="1331"/>
      <c r="E63" s="1331"/>
      <c r="F63" s="1331"/>
      <c r="G63" s="1331"/>
      <c r="H63" s="1331"/>
      <c r="I63" s="1331"/>
      <c r="J63" s="592"/>
      <c r="K63" s="1331"/>
      <c r="L63" s="1331"/>
      <c r="M63" s="1331"/>
      <c r="N63" s="1331"/>
      <c r="O63" s="1331"/>
    </row>
    <row r="64" spans="3:19" ht="15.75" customHeight="1">
      <c r="C64" s="1331"/>
      <c r="D64" s="1331"/>
      <c r="E64" s="1331"/>
      <c r="F64" s="1331"/>
      <c r="G64" s="1331"/>
      <c r="H64" s="1331"/>
      <c r="I64" s="1331"/>
      <c r="J64" s="592"/>
      <c r="K64" s="1331"/>
      <c r="L64" s="1331"/>
      <c r="M64" s="1331"/>
      <c r="N64" s="1331"/>
      <c r="O64" s="1331"/>
    </row>
    <row r="65" spans="3:21" ht="15.75" customHeight="1">
      <c r="C65" s="1331"/>
      <c r="D65" s="1331"/>
      <c r="E65" s="1331"/>
      <c r="F65" s="1331"/>
      <c r="G65" s="1331"/>
      <c r="H65" s="1331"/>
      <c r="I65" s="1331"/>
      <c r="J65" s="592"/>
      <c r="K65" s="1331"/>
      <c r="L65" s="1331"/>
      <c r="M65" s="1331"/>
    </row>
    <row r="66" spans="3:21" ht="15.75" customHeight="1">
      <c r="C66" s="1331"/>
      <c r="D66" s="1331"/>
      <c r="E66" s="1331"/>
      <c r="F66" s="1331"/>
      <c r="G66" s="1331"/>
      <c r="H66" s="1331"/>
      <c r="I66" s="1331"/>
      <c r="J66" s="592"/>
      <c r="K66" s="1331"/>
      <c r="L66" s="1331"/>
      <c r="M66" s="1331"/>
    </row>
    <row r="67" spans="3:21" ht="15.75" customHeight="1">
      <c r="C67" s="1331"/>
      <c r="D67" s="1331"/>
      <c r="E67" s="1331"/>
      <c r="F67" s="1331"/>
      <c r="G67" s="1331"/>
      <c r="H67" s="1331"/>
      <c r="I67" s="1331"/>
      <c r="J67" s="592"/>
      <c r="K67" s="1331"/>
      <c r="L67" s="1331"/>
      <c r="M67" s="1331"/>
    </row>
    <row r="68" spans="3:21" ht="15.75" customHeight="1">
      <c r="C68" s="1331"/>
      <c r="D68" s="1331"/>
      <c r="E68" s="1331"/>
      <c r="F68" s="1331"/>
      <c r="G68" s="1331"/>
      <c r="H68" s="1331"/>
      <c r="I68" s="1331"/>
      <c r="J68" s="592"/>
      <c r="K68" s="1331"/>
      <c r="L68" s="1331"/>
      <c r="M68" s="1331"/>
    </row>
    <row r="69" spans="3:21" ht="15.75" customHeight="1">
      <c r="C69" s="1331"/>
      <c r="D69" s="1331"/>
      <c r="E69" s="1331"/>
      <c r="F69" s="1331"/>
      <c r="G69" s="1331"/>
      <c r="H69" s="1331"/>
      <c r="I69" s="1331"/>
      <c r="J69" s="592"/>
      <c r="K69" s="1331"/>
      <c r="L69" s="1331"/>
      <c r="M69" s="1331"/>
    </row>
    <row r="70" spans="3:21" ht="15.75" customHeight="1">
      <c r="C70" s="1331"/>
      <c r="D70" s="1331"/>
      <c r="E70" s="1331"/>
      <c r="F70" s="1331"/>
      <c r="G70" s="1331"/>
      <c r="H70" s="1331"/>
      <c r="I70" s="1331"/>
      <c r="J70" s="592"/>
      <c r="K70" s="1331"/>
      <c r="L70" s="1331"/>
      <c r="M70" s="1331"/>
      <c r="S70" s="591"/>
      <c r="U70" s="584"/>
    </row>
    <row r="71" spans="3:21" ht="15.75" customHeight="1">
      <c r="C71" s="1331"/>
      <c r="D71" s="1331"/>
      <c r="E71" s="1331"/>
      <c r="F71" s="1331"/>
      <c r="G71" s="1331"/>
      <c r="H71" s="1331"/>
      <c r="I71" s="1331"/>
      <c r="J71" s="592"/>
      <c r="K71" s="1331"/>
      <c r="L71" s="1331"/>
      <c r="M71" s="1331"/>
      <c r="S71" s="591"/>
      <c r="U71" s="584"/>
    </row>
    <row r="72" spans="3:21" ht="15.75" customHeight="1">
      <c r="C72" s="1331"/>
      <c r="D72" s="1331"/>
      <c r="E72" s="1331"/>
      <c r="F72" s="1331"/>
      <c r="G72" s="1331"/>
      <c r="H72" s="1331"/>
      <c r="I72" s="1331"/>
      <c r="J72" s="592"/>
      <c r="K72" s="1331"/>
      <c r="L72" s="1331"/>
      <c r="M72" s="1331"/>
      <c r="S72" s="591"/>
      <c r="U72" s="584"/>
    </row>
    <row r="73" spans="3:21" ht="15.75" customHeight="1">
      <c r="C73" s="1331"/>
      <c r="D73" s="1331"/>
      <c r="E73" s="1331"/>
      <c r="F73" s="1331"/>
      <c r="G73" s="1331"/>
      <c r="H73" s="1331"/>
      <c r="I73" s="1331"/>
      <c r="J73" s="592"/>
      <c r="K73" s="1331"/>
      <c r="L73" s="1331"/>
      <c r="M73" s="1331"/>
      <c r="S73" s="591"/>
      <c r="U73" s="584"/>
    </row>
    <row r="74" spans="3:21" ht="15.75" customHeight="1">
      <c r="C74" s="1331"/>
      <c r="D74" s="1331"/>
      <c r="E74" s="1331"/>
      <c r="F74" s="1331"/>
      <c r="G74" s="1331"/>
      <c r="H74" s="1331"/>
      <c r="I74" s="1331"/>
      <c r="J74" s="592"/>
      <c r="K74" s="1331"/>
      <c r="L74" s="1331"/>
      <c r="M74" s="1331"/>
      <c r="S74" s="591"/>
      <c r="U74" s="584"/>
    </row>
    <row r="75" spans="3:21" ht="15.75" customHeight="1">
      <c r="C75" s="1331"/>
      <c r="D75" s="1331"/>
      <c r="E75" s="1331"/>
      <c r="F75" s="1331"/>
      <c r="G75" s="1331"/>
      <c r="H75" s="1331"/>
      <c r="I75" s="1331"/>
      <c r="J75" s="592"/>
      <c r="K75" s="1331"/>
      <c r="L75" s="1331"/>
      <c r="M75" s="1331"/>
      <c r="S75" s="591"/>
      <c r="U75" s="584"/>
    </row>
    <row r="76" spans="3:21" ht="15.75" customHeight="1">
      <c r="C76" s="1331"/>
      <c r="D76" s="1331"/>
      <c r="E76" s="1331"/>
      <c r="F76" s="1331"/>
      <c r="G76" s="1331"/>
      <c r="H76" s="1331"/>
      <c r="I76" s="1331"/>
      <c r="J76" s="592"/>
      <c r="K76" s="1331"/>
      <c r="L76" s="1331"/>
      <c r="M76" s="1331"/>
      <c r="S76" s="591"/>
      <c r="U76" s="584"/>
    </row>
    <row r="77" spans="3:21" ht="15.75" customHeight="1">
      <c r="C77" s="1331"/>
      <c r="D77" s="1331"/>
      <c r="E77" s="1331"/>
      <c r="F77" s="1331"/>
      <c r="G77" s="1331"/>
      <c r="H77" s="1331"/>
      <c r="I77" s="1331"/>
      <c r="J77" s="592"/>
      <c r="K77" s="1331"/>
      <c r="L77" s="1331"/>
      <c r="M77" s="1331"/>
      <c r="S77" s="591"/>
      <c r="U77" s="584"/>
    </row>
    <row r="78" spans="3:21" ht="15.75" customHeight="1">
      <c r="C78" s="1331"/>
      <c r="D78" s="1331"/>
      <c r="E78" s="1331"/>
      <c r="F78" s="1331"/>
      <c r="G78" s="1331"/>
      <c r="H78" s="1331"/>
      <c r="I78" s="1331"/>
      <c r="J78" s="592"/>
      <c r="K78" s="1331"/>
      <c r="L78" s="1331"/>
      <c r="M78" s="1331"/>
      <c r="S78" s="591"/>
      <c r="U78" s="584"/>
    </row>
    <row r="79" spans="3:21" ht="15.75" customHeight="1">
      <c r="C79" s="1331"/>
      <c r="D79" s="1331"/>
      <c r="E79" s="1331"/>
      <c r="F79" s="1331"/>
      <c r="G79" s="1331"/>
      <c r="H79" s="1331"/>
      <c r="I79" s="1331"/>
      <c r="J79" s="592"/>
      <c r="K79" s="1331"/>
      <c r="L79" s="1331"/>
      <c r="M79" s="1331"/>
      <c r="S79" s="591"/>
      <c r="U79" s="584"/>
    </row>
    <row r="80" spans="3:21" ht="15.75" customHeight="1">
      <c r="C80" s="1331"/>
      <c r="D80" s="1331"/>
      <c r="E80" s="1331"/>
      <c r="F80" s="1331"/>
      <c r="G80" s="1331"/>
      <c r="H80" s="1331"/>
      <c r="I80" s="1331"/>
      <c r="J80" s="592"/>
      <c r="K80" s="1331"/>
      <c r="L80" s="1331"/>
      <c r="M80" s="1331"/>
      <c r="S80" s="591"/>
      <c r="U80" s="584"/>
    </row>
    <row r="81" spans="3:21" ht="15.75" customHeight="1">
      <c r="C81" s="1331"/>
      <c r="D81" s="1331"/>
      <c r="E81" s="1331"/>
      <c r="F81" s="1331"/>
      <c r="G81" s="1331"/>
      <c r="H81" s="1331"/>
      <c r="I81" s="1331"/>
      <c r="J81" s="592"/>
      <c r="K81" s="1331"/>
      <c r="L81" s="1331"/>
      <c r="M81" s="1331"/>
      <c r="S81" s="591"/>
      <c r="U81" s="584"/>
    </row>
    <row r="82" spans="3:21" ht="15.75" customHeight="1">
      <c r="C82" s="1331"/>
      <c r="D82" s="1331"/>
      <c r="E82" s="1331"/>
      <c r="F82" s="1331"/>
      <c r="G82" s="1331"/>
      <c r="H82" s="1331"/>
      <c r="I82" s="1331"/>
      <c r="J82" s="592"/>
      <c r="K82" s="1331"/>
      <c r="L82" s="1331"/>
      <c r="M82" s="1331"/>
      <c r="S82" s="591"/>
      <c r="U82" s="584"/>
    </row>
    <row r="83" spans="3:21" ht="15.75" customHeight="1">
      <c r="C83" s="1331"/>
      <c r="D83" s="1331"/>
      <c r="E83" s="1331"/>
      <c r="F83" s="1331"/>
      <c r="G83" s="1331"/>
      <c r="H83" s="1331"/>
      <c r="I83" s="1331"/>
      <c r="J83" s="592"/>
      <c r="K83" s="1331"/>
      <c r="L83" s="1331"/>
      <c r="M83" s="1331"/>
      <c r="S83" s="591"/>
      <c r="U83" s="584"/>
    </row>
    <row r="84" spans="3:21" ht="15.75" customHeight="1">
      <c r="C84" s="1331"/>
      <c r="D84" s="1331"/>
      <c r="E84" s="1331"/>
      <c r="F84" s="1331"/>
      <c r="G84" s="1331"/>
      <c r="H84" s="1331"/>
      <c r="I84" s="1331"/>
      <c r="J84" s="592"/>
      <c r="K84" s="1331"/>
      <c r="L84" s="1331"/>
      <c r="M84" s="1331"/>
      <c r="S84" s="591"/>
      <c r="U84" s="584"/>
    </row>
    <row r="85" spans="3:21" ht="15.75" customHeight="1">
      <c r="C85" s="1331"/>
      <c r="D85" s="1331"/>
      <c r="E85" s="1331"/>
      <c r="F85" s="1331"/>
      <c r="G85" s="1331"/>
      <c r="H85" s="1331"/>
      <c r="I85" s="1331"/>
      <c r="J85" s="592"/>
      <c r="K85" s="1331"/>
      <c r="L85" s="1331"/>
      <c r="M85" s="1331"/>
      <c r="S85" s="591"/>
      <c r="U85" s="584"/>
    </row>
    <row r="86" spans="3:21" ht="15.75" customHeight="1">
      <c r="S86" s="591"/>
      <c r="U86" s="584"/>
    </row>
    <row r="87" spans="3:21" ht="15.75" customHeight="1">
      <c r="S87" s="591"/>
      <c r="U87" s="584"/>
    </row>
    <row r="88" spans="3:21" ht="15.75" customHeight="1">
      <c r="S88" s="591"/>
      <c r="U88" s="584"/>
    </row>
    <row r="89" spans="3:21" ht="15.75" customHeight="1">
      <c r="S89" s="591"/>
      <c r="U89" s="584"/>
    </row>
    <row r="90" spans="3:21" ht="15.75" customHeight="1">
      <c r="S90" s="591"/>
      <c r="U90" s="584"/>
    </row>
    <row r="91" spans="3:21" ht="15.75" customHeight="1">
      <c r="S91" s="591"/>
      <c r="U91" s="584"/>
    </row>
    <row r="92" spans="3:21" ht="15.75" customHeight="1">
      <c r="S92" s="591"/>
      <c r="U92" s="584"/>
    </row>
    <row r="93" spans="3:21" ht="15.75" customHeight="1">
      <c r="S93" s="591"/>
      <c r="U93" s="584"/>
    </row>
    <row r="94" spans="3:21" ht="15.75" customHeight="1">
      <c r="S94" s="591"/>
      <c r="U94" s="584"/>
    </row>
    <row r="95" spans="3:21" ht="15.75" customHeight="1">
      <c r="S95" s="591"/>
      <c r="U95" s="584"/>
    </row>
    <row r="96" spans="3:21" ht="15.75" customHeight="1">
      <c r="S96" s="591"/>
      <c r="U96" s="584"/>
    </row>
    <row r="97" spans="19:21" ht="15.75" customHeight="1">
      <c r="S97" s="591"/>
      <c r="U97" s="584"/>
    </row>
    <row r="98" spans="19:21" ht="15.75" customHeight="1">
      <c r="S98" s="591"/>
      <c r="U98" s="584"/>
    </row>
  </sheetData>
  <mergeCells count="3">
    <mergeCell ref="B11:B12"/>
    <mergeCell ref="C11:C12"/>
    <mergeCell ref="B4:F9"/>
  </mergeCells>
  <pageMargins left="0.7" right="0.7" top="0.78740157499999996" bottom="0.78740157499999996"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8CBAD"/>
  </sheetPr>
  <dimension ref="B2:V41"/>
  <sheetViews>
    <sheetView showGridLines="0" zoomScaleNormal="100" workbookViewId="0"/>
  </sheetViews>
  <sheetFormatPr defaultColWidth="11" defaultRowHeight="15.75" customHeight="1"/>
  <cols>
    <col min="1" max="1" width="8.625" style="582" customWidth="1"/>
    <col min="2" max="2" width="8.125" style="582" bestFit="1" customWidth="1"/>
    <col min="3" max="3" width="18.625" style="597" bestFit="1" customWidth="1"/>
    <col min="4" max="4" width="29.125" style="582" customWidth="1"/>
    <col min="5" max="5" width="25.125" style="582" bestFit="1" customWidth="1"/>
    <col min="6" max="6" width="98.875" style="582" bestFit="1" customWidth="1"/>
    <col min="7" max="7" width="60.5" style="582" bestFit="1" customWidth="1"/>
    <col min="8" max="8" width="9" style="582" customWidth="1"/>
    <col min="9" max="16384" width="11" style="582"/>
  </cols>
  <sheetData>
    <row r="2" spans="2:22" ht="24.75" customHeight="1">
      <c r="B2" s="605" t="s">
        <v>6680</v>
      </c>
    </row>
    <row r="3" spans="2:22" ht="15.75" customHeight="1">
      <c r="J3" s="1331"/>
      <c r="K3" s="1331"/>
      <c r="L3" s="1331"/>
      <c r="M3" s="1331"/>
      <c r="N3" s="1331"/>
      <c r="O3" s="1331"/>
      <c r="P3" s="1331"/>
      <c r="Q3" s="1331"/>
      <c r="R3" s="1331"/>
      <c r="S3" s="1331"/>
      <c r="T3" s="1331"/>
      <c r="U3" s="1331"/>
      <c r="V3" s="1331"/>
    </row>
    <row r="4" spans="2:22" ht="15.75" customHeight="1">
      <c r="B4" s="1456" t="s">
        <v>6681</v>
      </c>
      <c r="C4" s="1456"/>
      <c r="D4" s="1456"/>
      <c r="E4" s="1456"/>
      <c r="F4" s="1456"/>
      <c r="J4" s="1514"/>
      <c r="K4" s="1514"/>
      <c r="L4" s="1331"/>
      <c r="M4" s="1331"/>
      <c r="N4" s="1331"/>
      <c r="O4" s="1331"/>
      <c r="P4" s="1331"/>
      <c r="Q4" s="1331"/>
      <c r="R4" s="1331"/>
      <c r="S4" s="1331"/>
      <c r="T4" s="1331"/>
      <c r="U4" s="1331"/>
      <c r="V4" s="1331"/>
    </row>
    <row r="5" spans="2:22" ht="15.75" customHeight="1">
      <c r="B5" s="1456"/>
      <c r="C5" s="1456"/>
      <c r="D5" s="1456"/>
      <c r="E5" s="1456"/>
      <c r="F5" s="1456"/>
      <c r="J5" s="1514"/>
      <c r="K5" s="1514"/>
      <c r="L5" s="1331"/>
      <c r="M5" s="1331"/>
      <c r="N5" s="1331"/>
      <c r="O5" s="1331"/>
      <c r="P5" s="1331"/>
      <c r="Q5" s="1331"/>
      <c r="R5" s="1331"/>
      <c r="S5" s="1331"/>
      <c r="T5" s="1331"/>
      <c r="U5" s="1331"/>
      <c r="V5" s="1331"/>
    </row>
    <row r="6" spans="2:22" ht="15.75" customHeight="1">
      <c r="B6" s="1456"/>
      <c r="C6" s="1456"/>
      <c r="D6" s="1456"/>
      <c r="E6" s="1456"/>
      <c r="F6" s="1456"/>
      <c r="J6" s="1331"/>
      <c r="K6" s="1331"/>
      <c r="L6" s="1331"/>
      <c r="M6" s="1331"/>
      <c r="N6" s="1331"/>
      <c r="O6" s="1331"/>
      <c r="P6" s="1331"/>
      <c r="Q6" s="1331"/>
      <c r="R6" s="1331"/>
      <c r="S6" s="1331"/>
      <c r="T6" s="1331"/>
      <c r="U6" s="1331"/>
      <c r="V6" s="1331"/>
    </row>
    <row r="7" spans="2:22" ht="15.75" customHeight="1">
      <c r="B7" s="1456"/>
      <c r="C7" s="1456"/>
      <c r="D7" s="1456"/>
      <c r="E7" s="1456"/>
      <c r="F7" s="1456"/>
      <c r="J7" s="1331"/>
      <c r="K7" s="1331"/>
      <c r="L7" s="1331"/>
      <c r="M7" s="1331"/>
      <c r="N7" s="1331"/>
      <c r="O7" s="1331"/>
      <c r="P7" s="1331"/>
      <c r="Q7" s="1331"/>
      <c r="R7" s="1331"/>
      <c r="S7" s="1331"/>
      <c r="T7" s="1331"/>
      <c r="U7" s="1331"/>
      <c r="V7" s="1331"/>
    </row>
    <row r="8" spans="2:22" ht="15.75" customHeight="1">
      <c r="B8" s="1456"/>
      <c r="C8" s="1456"/>
      <c r="D8" s="1456"/>
      <c r="E8" s="1456"/>
      <c r="F8" s="1456"/>
      <c r="J8" s="1331"/>
      <c r="K8" s="1331"/>
      <c r="L8" s="1331"/>
      <c r="M8" s="1331"/>
      <c r="N8" s="1331"/>
      <c r="O8" s="1331"/>
      <c r="P8" s="1331"/>
      <c r="Q8" s="1331"/>
      <c r="R8" s="1331"/>
      <c r="S8" s="1331"/>
      <c r="T8" s="1331"/>
      <c r="U8" s="1331"/>
      <c r="V8" s="1331"/>
    </row>
    <row r="9" spans="2:22" ht="15.75" customHeight="1">
      <c r="B9" s="1456"/>
      <c r="C9" s="1456"/>
      <c r="D9" s="1456"/>
      <c r="E9" s="1456"/>
      <c r="F9" s="1456"/>
      <c r="J9" s="1331"/>
      <c r="K9" s="1331"/>
      <c r="L9" s="1331"/>
      <c r="M9" s="1331"/>
      <c r="N9" s="1331"/>
      <c r="O9" s="1331"/>
      <c r="P9" s="1331"/>
      <c r="Q9" s="1331"/>
      <c r="R9" s="1331"/>
      <c r="S9" s="1331"/>
      <c r="T9" s="1331"/>
      <c r="U9" s="1331"/>
      <c r="V9" s="1331"/>
    </row>
    <row r="10" spans="2:22" ht="15.75" customHeight="1">
      <c r="J10" s="1331"/>
      <c r="K10" s="1331"/>
      <c r="L10" s="1331"/>
      <c r="M10" s="1331"/>
      <c r="N10" s="1331"/>
      <c r="O10" s="1331"/>
      <c r="P10" s="1331"/>
      <c r="Q10" s="1331"/>
      <c r="R10" s="1331"/>
      <c r="S10" s="1331"/>
      <c r="T10" s="1331"/>
      <c r="U10" s="1331"/>
      <c r="V10" s="1331"/>
    </row>
    <row r="11" spans="2:22" s="601" customFormat="1" ht="24.75" customHeight="1">
      <c r="B11" s="617" t="s">
        <v>4512</v>
      </c>
      <c r="C11" s="632" t="s">
        <v>309</v>
      </c>
      <c r="D11" s="621" t="s">
        <v>6682</v>
      </c>
      <c r="E11" s="621" t="s">
        <v>6683</v>
      </c>
      <c r="F11" s="617" t="s">
        <v>4643</v>
      </c>
      <c r="G11" s="649"/>
      <c r="J11" s="610"/>
      <c r="K11" s="610"/>
      <c r="L11" s="610"/>
      <c r="M11" s="610"/>
      <c r="N11" s="610"/>
      <c r="O11" s="610"/>
      <c r="P11" s="610"/>
      <c r="Q11" s="610"/>
      <c r="R11" s="610"/>
      <c r="S11" s="610"/>
      <c r="T11" s="610"/>
      <c r="U11" s="610"/>
      <c r="V11" s="610"/>
    </row>
    <row r="12" spans="2:22" ht="15.75" customHeight="1">
      <c r="B12" s="606" t="s">
        <v>1973</v>
      </c>
      <c r="C12" s="614">
        <v>40300</v>
      </c>
      <c r="D12" s="615" t="s">
        <v>6684</v>
      </c>
      <c r="E12" s="603">
        <v>52.9</v>
      </c>
      <c r="F12" s="609" t="s">
        <v>6685</v>
      </c>
      <c r="G12" s="602"/>
      <c r="J12" s="1331"/>
      <c r="K12" s="1331"/>
      <c r="L12" s="1331"/>
      <c r="M12" s="1331"/>
      <c r="N12" s="1331"/>
      <c r="O12" s="1331"/>
      <c r="P12" s="1331"/>
      <c r="Q12" s="1331"/>
      <c r="R12" s="1331"/>
      <c r="S12" s="1331"/>
      <c r="T12" s="1331"/>
      <c r="U12" s="1331"/>
      <c r="V12" s="1331"/>
    </row>
    <row r="13" spans="2:22" ht="15.75" customHeight="1">
      <c r="B13" s="606" t="s">
        <v>1973</v>
      </c>
      <c r="C13" s="614">
        <v>40969</v>
      </c>
      <c r="D13" s="615" t="s">
        <v>6686</v>
      </c>
      <c r="E13" s="603">
        <v>144.69999999999999</v>
      </c>
      <c r="F13" s="609" t="s">
        <v>6687</v>
      </c>
      <c r="G13" s="602"/>
      <c r="J13" s="1331"/>
      <c r="K13" s="1331"/>
      <c r="L13" s="1331"/>
      <c r="M13" s="1331"/>
      <c r="N13" s="1331"/>
      <c r="O13" s="1331"/>
      <c r="P13" s="1331"/>
      <c r="Q13" s="1331"/>
      <c r="R13" s="1331"/>
      <c r="S13" s="1331"/>
      <c r="T13" s="1331"/>
      <c r="U13" s="1331"/>
      <c r="V13" s="1331"/>
    </row>
    <row r="14" spans="2:22" ht="15.75" customHeight="1">
      <c r="B14" s="606" t="s">
        <v>2096</v>
      </c>
      <c r="C14" s="614">
        <v>40878</v>
      </c>
      <c r="D14" s="615" t="s">
        <v>6686</v>
      </c>
      <c r="E14" s="603">
        <v>17.7</v>
      </c>
      <c r="F14" s="609" t="s">
        <v>6688</v>
      </c>
      <c r="G14" s="609"/>
      <c r="J14" s="1331"/>
      <c r="K14" s="1331"/>
      <c r="L14" s="1331"/>
      <c r="M14" s="1331"/>
      <c r="N14" s="1331"/>
      <c r="O14" s="1331"/>
      <c r="P14" s="1331"/>
      <c r="Q14" s="1331"/>
      <c r="R14" s="1331"/>
      <c r="S14" s="1331"/>
      <c r="T14" s="1331"/>
      <c r="U14" s="1331"/>
      <c r="V14" s="1331"/>
    </row>
    <row r="15" spans="2:22" ht="15.75" customHeight="1">
      <c r="B15" s="606" t="s">
        <v>2096</v>
      </c>
      <c r="C15" s="614">
        <v>40513</v>
      </c>
      <c r="D15" s="615" t="s">
        <v>6689</v>
      </c>
      <c r="E15" s="603">
        <v>22.5</v>
      </c>
      <c r="F15" s="609" t="s">
        <v>6688</v>
      </c>
      <c r="G15" s="602"/>
      <c r="J15" s="1331"/>
      <c r="K15" s="1331"/>
      <c r="L15" s="1331"/>
      <c r="M15" s="1331"/>
      <c r="N15" s="1331"/>
      <c r="O15" s="1331"/>
      <c r="P15" s="1331"/>
      <c r="Q15" s="1331"/>
      <c r="R15" s="1331"/>
      <c r="S15" s="1331"/>
      <c r="T15" s="1331"/>
      <c r="U15" s="1331"/>
      <c r="V15" s="1331"/>
    </row>
    <row r="16" spans="2:22" ht="15.75" customHeight="1">
      <c r="B16" s="606" t="s">
        <v>2096</v>
      </c>
      <c r="C16" s="614">
        <v>40513</v>
      </c>
      <c r="D16" s="615" t="s">
        <v>6690</v>
      </c>
      <c r="E16" s="603">
        <v>4.8</v>
      </c>
      <c r="F16" s="609" t="s">
        <v>6688</v>
      </c>
      <c r="G16" s="602"/>
      <c r="J16" s="1331"/>
      <c r="K16" s="1331"/>
      <c r="L16" s="1331"/>
      <c r="M16" s="1331"/>
      <c r="N16" s="1331"/>
      <c r="O16" s="1331"/>
      <c r="P16" s="1331"/>
      <c r="Q16" s="1331"/>
      <c r="R16" s="1331"/>
      <c r="S16" s="1331"/>
      <c r="T16" s="1331"/>
      <c r="U16" s="1331"/>
      <c r="V16" s="1331"/>
    </row>
    <row r="17" spans="2:22" ht="15.75" customHeight="1">
      <c r="B17" s="606" t="s">
        <v>3079</v>
      </c>
      <c r="C17" s="614">
        <v>40680</v>
      </c>
      <c r="D17" s="615" t="s">
        <v>6689</v>
      </c>
      <c r="E17" s="603">
        <v>26</v>
      </c>
      <c r="F17" s="609" t="s">
        <v>6691</v>
      </c>
      <c r="G17" s="602"/>
      <c r="J17" s="1331"/>
      <c r="K17" s="1331"/>
      <c r="L17" s="1331"/>
      <c r="M17" s="1331"/>
      <c r="N17" s="1331"/>
      <c r="O17" s="1331"/>
      <c r="P17" s="1331"/>
      <c r="Q17" s="1331"/>
      <c r="R17" s="1331"/>
      <c r="S17" s="1331"/>
      <c r="T17" s="1331"/>
      <c r="U17" s="1331"/>
      <c r="V17" s="1331"/>
    </row>
    <row r="18" spans="2:22" ht="15.75" customHeight="1">
      <c r="B18" s="606" t="s">
        <v>3079</v>
      </c>
      <c r="C18" s="614">
        <v>40680</v>
      </c>
      <c r="D18" s="615" t="s">
        <v>6686</v>
      </c>
      <c r="E18" s="603">
        <v>26</v>
      </c>
      <c r="F18" s="609" t="s">
        <v>6691</v>
      </c>
      <c r="G18" s="602"/>
      <c r="J18" s="1331"/>
      <c r="K18" s="1331"/>
      <c r="L18" s="1331"/>
      <c r="M18" s="1331"/>
      <c r="N18" s="1331"/>
      <c r="O18" s="1331"/>
      <c r="P18" s="1331"/>
      <c r="Q18" s="1331"/>
      <c r="R18" s="1331"/>
      <c r="S18" s="1331"/>
      <c r="T18" s="1331"/>
      <c r="U18" s="1331"/>
      <c r="V18" s="1331"/>
    </row>
    <row r="19" spans="2:22" ht="15.75" customHeight="1">
      <c r="B19" s="646" t="s">
        <v>3412</v>
      </c>
      <c r="C19" s="647">
        <v>41110</v>
      </c>
      <c r="D19" s="648" t="s">
        <v>6692</v>
      </c>
      <c r="E19" s="642">
        <v>100</v>
      </c>
      <c r="F19" s="869" t="s">
        <v>6693</v>
      </c>
      <c r="G19" s="602"/>
      <c r="J19" s="1331"/>
      <c r="K19" s="1331"/>
      <c r="L19" s="1331"/>
      <c r="M19" s="1331"/>
      <c r="N19" s="1331"/>
      <c r="O19" s="1331"/>
      <c r="P19" s="1331"/>
      <c r="Q19" s="1331"/>
      <c r="R19" s="1331"/>
      <c r="S19" s="1331"/>
      <c r="T19" s="1331"/>
      <c r="U19" s="1331"/>
      <c r="V19" s="1331"/>
    </row>
    <row r="20" spans="2:22" ht="15.75" customHeight="1">
      <c r="G20" s="602"/>
      <c r="J20" s="1331"/>
      <c r="K20" s="1331"/>
      <c r="L20" s="1331"/>
      <c r="M20" s="1331"/>
      <c r="N20" s="1331"/>
      <c r="O20" s="1331"/>
      <c r="P20" s="1331"/>
      <c r="Q20" s="1331"/>
      <c r="R20" s="1331"/>
      <c r="S20" s="1331"/>
      <c r="T20" s="1331"/>
      <c r="U20" s="1331"/>
      <c r="V20" s="1331"/>
    </row>
    <row r="21" spans="2:22" ht="15.75" customHeight="1">
      <c r="B21" s="645" t="s">
        <v>4530</v>
      </c>
      <c r="C21" s="637"/>
      <c r="D21" s="638"/>
      <c r="E21" s="639">
        <f>SUM(E12:E19)</f>
        <v>394.6</v>
      </c>
      <c r="F21" s="627"/>
      <c r="G21" s="602"/>
      <c r="J21" s="598"/>
      <c r="K21" s="598"/>
      <c r="L21" s="598"/>
      <c r="M21" s="598"/>
      <c r="N21" s="598"/>
      <c r="O21" s="598"/>
      <c r="P21" s="598"/>
      <c r="Q21" s="598"/>
      <c r="R21" s="598"/>
      <c r="S21" s="598"/>
      <c r="T21" s="598"/>
      <c r="U21" s="598"/>
    </row>
    <row r="22" spans="2:22" ht="15.75" customHeight="1">
      <c r="B22" s="606"/>
      <c r="C22" s="614"/>
      <c r="D22" s="615"/>
      <c r="E22" s="603"/>
      <c r="F22" s="602"/>
      <c r="G22" s="602"/>
      <c r="J22" s="598"/>
      <c r="K22" s="598"/>
      <c r="L22" s="598"/>
      <c r="M22" s="598"/>
      <c r="N22" s="598"/>
      <c r="O22" s="598"/>
      <c r="P22" s="598"/>
      <c r="Q22" s="598"/>
      <c r="R22" s="598"/>
      <c r="S22" s="598"/>
      <c r="T22" s="598"/>
      <c r="U22" s="598"/>
    </row>
    <row r="23" spans="2:22" ht="15.75" customHeight="1">
      <c r="B23" s="606"/>
      <c r="C23" s="614"/>
      <c r="D23" s="615"/>
      <c r="E23" s="603"/>
      <c r="F23" s="602"/>
      <c r="G23" s="602"/>
      <c r="N23" s="598"/>
      <c r="O23" s="598"/>
      <c r="P23" s="598"/>
      <c r="Q23" s="598"/>
      <c r="R23" s="598"/>
      <c r="S23" s="598"/>
      <c r="T23" s="598"/>
      <c r="U23" s="598"/>
    </row>
    <row r="24" spans="2:22" ht="15.75" customHeight="1">
      <c r="B24" s="606"/>
      <c r="C24" s="614"/>
      <c r="D24" s="615"/>
      <c r="E24" s="603"/>
      <c r="F24" s="602"/>
      <c r="G24" s="602"/>
      <c r="N24" s="598"/>
      <c r="O24" s="598"/>
      <c r="P24" s="598"/>
      <c r="Q24" s="598"/>
      <c r="R24" s="598"/>
      <c r="S24" s="598"/>
      <c r="T24" s="598"/>
      <c r="U24" s="598"/>
    </row>
    <row r="25" spans="2:22" ht="15.75" customHeight="1">
      <c r="B25" s="606"/>
      <c r="C25" s="614"/>
      <c r="D25" s="615"/>
      <c r="E25" s="603"/>
      <c r="F25" s="602"/>
      <c r="G25" s="602"/>
      <c r="N25" s="598"/>
      <c r="O25" s="598"/>
      <c r="P25" s="598"/>
      <c r="Q25" s="598"/>
      <c r="R25" s="598"/>
      <c r="S25" s="598"/>
      <c r="T25" s="598"/>
      <c r="U25" s="598"/>
    </row>
    <row r="26" spans="2:22" ht="15.75" customHeight="1">
      <c r="G26" s="602"/>
      <c r="N26" s="598"/>
      <c r="O26" s="598"/>
      <c r="P26" s="598"/>
      <c r="Q26" s="598"/>
      <c r="R26" s="598"/>
      <c r="S26" s="598"/>
      <c r="T26" s="598"/>
      <c r="U26" s="598"/>
    </row>
    <row r="27" spans="2:22" ht="15.75" customHeight="1">
      <c r="G27" s="602"/>
      <c r="N27" s="598"/>
      <c r="O27" s="598"/>
      <c r="P27" s="598"/>
      <c r="Q27" s="598"/>
      <c r="R27" s="598"/>
      <c r="S27" s="598"/>
      <c r="T27" s="598"/>
      <c r="U27" s="598"/>
    </row>
    <row r="28" spans="2:22" ht="15.75" customHeight="1">
      <c r="G28" s="602"/>
      <c r="N28" s="598"/>
      <c r="O28" s="598"/>
      <c r="P28" s="598"/>
      <c r="Q28" s="598"/>
      <c r="R28" s="598"/>
      <c r="S28" s="598"/>
      <c r="T28" s="598"/>
      <c r="U28" s="598"/>
    </row>
    <row r="29" spans="2:22" ht="15.75" customHeight="1">
      <c r="G29" s="602"/>
      <c r="N29" s="598"/>
      <c r="O29" s="598"/>
      <c r="P29" s="598"/>
      <c r="Q29" s="598"/>
      <c r="R29" s="598"/>
      <c r="S29" s="598"/>
      <c r="T29" s="598"/>
      <c r="U29" s="598"/>
    </row>
    <row r="30" spans="2:22" ht="15.75" customHeight="1">
      <c r="G30" s="602"/>
      <c r="N30" s="598"/>
      <c r="O30" s="598"/>
      <c r="P30" s="598"/>
      <c r="Q30" s="598"/>
      <c r="R30" s="598"/>
      <c r="S30" s="598"/>
      <c r="T30" s="598"/>
      <c r="U30" s="598"/>
    </row>
    <row r="32" spans="2:22" ht="15.75" customHeight="1">
      <c r="G32" s="602"/>
      <c r="N32" s="598"/>
      <c r="O32" s="598"/>
      <c r="P32" s="598"/>
      <c r="Q32" s="598"/>
      <c r="R32" s="598"/>
      <c r="S32" s="598"/>
      <c r="T32" s="598"/>
      <c r="U32" s="598"/>
    </row>
    <row r="33" spans="2:22" ht="15.75" customHeight="1">
      <c r="B33" s="598"/>
      <c r="C33" s="598"/>
    </row>
    <row r="34" spans="2:22" ht="15.75" customHeight="1">
      <c r="B34" s="599"/>
      <c r="C34" s="598"/>
      <c r="J34" s="1331"/>
      <c r="K34" s="1331"/>
      <c r="L34" s="1331"/>
      <c r="M34" s="1331"/>
      <c r="N34" s="1331"/>
      <c r="O34" s="1331"/>
      <c r="P34" s="1331"/>
      <c r="Q34" s="1331"/>
      <c r="R34" s="1331"/>
      <c r="S34" s="1331"/>
      <c r="T34" s="1331"/>
      <c r="U34" s="1331"/>
      <c r="V34" s="1331"/>
    </row>
    <row r="35" spans="2:22" ht="15.75" customHeight="1">
      <c r="B35" s="600"/>
      <c r="C35" s="598"/>
      <c r="J35" s="1331"/>
      <c r="K35" s="1331"/>
      <c r="L35" s="1331"/>
      <c r="M35" s="1331"/>
      <c r="N35" s="1331"/>
      <c r="O35" s="1331"/>
      <c r="P35" s="1331"/>
      <c r="Q35" s="1331"/>
      <c r="R35" s="1331"/>
      <c r="S35" s="1331"/>
      <c r="T35" s="1331"/>
      <c r="U35" s="1331"/>
      <c r="V35" s="1331"/>
    </row>
    <row r="36" spans="2:22" ht="15.75" customHeight="1">
      <c r="J36" s="1331"/>
      <c r="K36" s="1331"/>
      <c r="L36" s="1331"/>
      <c r="M36" s="1331"/>
      <c r="N36" s="1331"/>
      <c r="O36" s="1331"/>
      <c r="P36" s="1331"/>
      <c r="Q36" s="1331"/>
      <c r="R36" s="1331"/>
      <c r="S36" s="1331"/>
      <c r="T36" s="1331"/>
      <c r="U36" s="1331"/>
      <c r="V36" s="1331"/>
    </row>
    <row r="37" spans="2:22" ht="15.75" customHeight="1">
      <c r="J37" s="1331"/>
      <c r="K37" s="1331"/>
      <c r="L37" s="1331"/>
      <c r="M37" s="1331"/>
      <c r="N37" s="1331"/>
      <c r="O37" s="1331"/>
      <c r="P37" s="1331"/>
      <c r="Q37" s="1331"/>
      <c r="R37" s="1331"/>
      <c r="S37" s="1331"/>
      <c r="T37" s="1331"/>
      <c r="U37" s="1331"/>
      <c r="V37" s="1331"/>
    </row>
    <row r="38" spans="2:22" ht="15.75" customHeight="1">
      <c r="J38" s="1331"/>
      <c r="K38" s="1331"/>
      <c r="L38" s="1331"/>
      <c r="M38" s="1331"/>
      <c r="N38" s="1331"/>
      <c r="O38" s="1331"/>
      <c r="P38" s="1331"/>
      <c r="Q38" s="1331"/>
      <c r="R38" s="1331"/>
      <c r="S38" s="1331"/>
      <c r="T38" s="1331"/>
      <c r="U38" s="1331"/>
      <c r="V38" s="1331"/>
    </row>
    <row r="39" spans="2:22" ht="15.75" customHeight="1">
      <c r="J39" s="1331"/>
      <c r="K39" s="1331"/>
      <c r="L39" s="1331"/>
      <c r="M39" s="1331"/>
      <c r="N39" s="1331"/>
      <c r="O39" s="1331"/>
      <c r="P39" s="1331"/>
      <c r="Q39" s="1331"/>
      <c r="R39" s="1331"/>
      <c r="S39" s="1331"/>
      <c r="T39" s="1331"/>
      <c r="U39" s="1331"/>
      <c r="V39" s="1331"/>
    </row>
    <row r="40" spans="2:22" ht="15.75" customHeight="1">
      <c r="J40" s="1331"/>
      <c r="K40" s="1331"/>
      <c r="L40" s="1331"/>
      <c r="M40" s="1331"/>
      <c r="N40" s="1331"/>
      <c r="O40" s="1331"/>
      <c r="P40" s="1331"/>
      <c r="Q40" s="1331"/>
      <c r="R40" s="1331"/>
      <c r="S40" s="1331"/>
      <c r="T40" s="1331"/>
      <c r="U40" s="1331"/>
      <c r="V40" s="1331"/>
    </row>
    <row r="41" spans="2:22" ht="15.75" customHeight="1">
      <c r="J41" s="1331"/>
      <c r="K41" s="1331"/>
      <c r="L41" s="1331"/>
      <c r="M41" s="1331"/>
      <c r="N41" s="1331"/>
      <c r="O41" s="1331"/>
      <c r="P41" s="1331"/>
      <c r="Q41" s="1331"/>
      <c r="R41" s="1331"/>
      <c r="S41" s="1331"/>
      <c r="T41" s="1331"/>
      <c r="U41" s="1331"/>
      <c r="V41" s="1331"/>
    </row>
  </sheetData>
  <mergeCells count="3">
    <mergeCell ref="J4:J5"/>
    <mergeCell ref="K4:K5"/>
    <mergeCell ref="B4:F9"/>
  </mergeCells>
  <hyperlinks>
    <hyperlink ref="F12" r:id="rId1" xr:uid="{00000000-0004-0000-3400-000000000000}"/>
    <hyperlink ref="F13" r:id="rId2" xr:uid="{00000000-0004-0000-3400-000001000000}"/>
    <hyperlink ref="F15" r:id="rId3" xr:uid="{00000000-0004-0000-3400-000002000000}"/>
    <hyperlink ref="F16" r:id="rId4" xr:uid="{00000000-0004-0000-3400-000003000000}"/>
    <hyperlink ref="F17" r:id="rId5" xr:uid="{00000000-0004-0000-3400-000004000000}"/>
    <hyperlink ref="F18" r:id="rId6" xr:uid="{00000000-0004-0000-3400-000005000000}"/>
    <hyperlink ref="F19" r:id="rId7" xr:uid="{00000000-0004-0000-3400-000006000000}"/>
    <hyperlink ref="F14" r:id="rId8" xr:uid="{00000000-0004-0000-3400-000007000000}"/>
  </hyperlink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Q116"/>
  <sheetViews>
    <sheetView showGridLines="0" zoomScaleNormal="100" workbookViewId="0"/>
  </sheetViews>
  <sheetFormatPr defaultColWidth="8.625" defaultRowHeight="15.95" customHeight="1"/>
  <cols>
    <col min="1" max="1" width="8.625" style="2" customWidth="1"/>
    <col min="2" max="2" width="29" style="24" customWidth="1"/>
    <col min="3" max="3" width="21" style="138" customWidth="1"/>
    <col min="4" max="4" width="25.5" style="138" bestFit="1" customWidth="1"/>
    <col min="5" max="5" width="24.625" style="138" customWidth="1"/>
    <col min="6" max="6" width="25.5" style="138" bestFit="1" customWidth="1"/>
    <col min="7" max="8" width="8.625" style="138" customWidth="1"/>
    <col min="9" max="16" width="8.625" style="24" customWidth="1"/>
    <col min="17" max="17" width="8.625" style="13" customWidth="1"/>
    <col min="18" max="18" width="8.625" style="24" customWidth="1"/>
    <col min="19" max="16384" width="8.625" style="24"/>
  </cols>
  <sheetData>
    <row r="1" spans="1:15" s="35" customFormat="1" ht="15.95" customHeight="1">
      <c r="B1" s="166"/>
      <c r="C1" s="166"/>
      <c r="D1" s="166"/>
      <c r="E1" s="166"/>
      <c r="F1" s="166"/>
    </row>
    <row r="2" spans="1:15" s="162" customFormat="1" ht="24.75" customHeight="1">
      <c r="A2" s="35"/>
      <c r="B2" s="364" t="s">
        <v>4533</v>
      </c>
    </row>
    <row r="3" spans="1:15" s="162" customFormat="1" ht="15.95" customHeight="1">
      <c r="A3" s="35"/>
      <c r="B3" s="163"/>
      <c r="E3" s="164"/>
    </row>
    <row r="4" spans="1:15" s="162" customFormat="1" ht="15.95" customHeight="1">
      <c r="A4" s="35"/>
      <c r="B4" s="1433" t="s">
        <v>4534</v>
      </c>
      <c r="C4" s="1434"/>
      <c r="D4" s="1434"/>
      <c r="E4" s="1434"/>
      <c r="F4" s="1434"/>
    </row>
    <row r="5" spans="1:15" s="162" customFormat="1" ht="15.95" customHeight="1">
      <c r="A5" s="35"/>
      <c r="B5" s="1434"/>
      <c r="C5" s="1434"/>
      <c r="D5" s="1434"/>
      <c r="E5" s="1434"/>
      <c r="F5" s="1434"/>
    </row>
    <row r="6" spans="1:15" s="162" customFormat="1" ht="15.95" customHeight="1">
      <c r="A6" s="35"/>
      <c r="B6" s="1434"/>
      <c r="C6" s="1434"/>
      <c r="D6" s="1434"/>
      <c r="E6" s="1434"/>
      <c r="F6" s="1434"/>
    </row>
    <row r="7" spans="1:15" s="162" customFormat="1" ht="15.95" customHeight="1">
      <c r="A7" s="35"/>
      <c r="B7" s="1434"/>
      <c r="C7" s="1434"/>
      <c r="D7" s="1434"/>
      <c r="E7" s="1434"/>
      <c r="F7" s="1434"/>
    </row>
    <row r="8" spans="1:15" s="162" customFormat="1" ht="15.95" customHeight="1">
      <c r="A8" s="35"/>
      <c r="B8" s="1434"/>
      <c r="C8" s="1434"/>
      <c r="D8" s="1434"/>
      <c r="E8" s="1434"/>
      <c r="F8" s="1434"/>
    </row>
    <row r="9" spans="1:15" s="43" customFormat="1" ht="15.95" customHeight="1">
      <c r="A9" s="35"/>
      <c r="B9" s="1434"/>
      <c r="C9" s="1434"/>
      <c r="D9" s="1434"/>
      <c r="E9" s="1434"/>
      <c r="F9" s="1434"/>
      <c r="H9" s="165"/>
    </row>
    <row r="11" spans="1:15" s="22" customFormat="1" ht="15.95" customHeight="1">
      <c r="A11" s="2"/>
      <c r="B11" s="1435" t="s">
        <v>4535</v>
      </c>
      <c r="C11" s="251" t="s">
        <v>4514</v>
      </c>
      <c r="D11" s="251" t="s">
        <v>4515</v>
      </c>
      <c r="E11" s="251" t="s">
        <v>4516</v>
      </c>
      <c r="F11" s="251" t="s">
        <v>4517</v>
      </c>
      <c r="G11" s="139"/>
      <c r="H11" s="139"/>
      <c r="I11" s="21"/>
      <c r="J11" s="21"/>
      <c r="K11" s="21"/>
      <c r="L11" s="21"/>
      <c r="M11" s="21"/>
      <c r="N11" s="21"/>
      <c r="O11" s="21"/>
    </row>
    <row r="12" spans="1:15" s="22" customFormat="1" ht="15.95" customHeight="1">
      <c r="A12" s="2"/>
      <c r="B12" s="1436"/>
      <c r="C12" s="252" t="s">
        <v>4527</v>
      </c>
      <c r="D12" s="252" t="s">
        <v>4527</v>
      </c>
      <c r="E12" s="252" t="s">
        <v>4527</v>
      </c>
      <c r="F12" s="252" t="s">
        <v>4527</v>
      </c>
      <c r="G12" s="139"/>
      <c r="H12" s="139"/>
      <c r="I12" s="21"/>
      <c r="J12" s="21"/>
      <c r="K12" s="21"/>
      <c r="L12" s="21"/>
      <c r="M12" s="21"/>
      <c r="N12" s="21"/>
      <c r="O12" s="21"/>
    </row>
    <row r="13" spans="1:15" ht="15.95" customHeight="1">
      <c r="I13" s="2"/>
      <c r="J13" s="25"/>
      <c r="K13" s="2"/>
      <c r="L13" s="2"/>
      <c r="M13" s="2"/>
      <c r="N13" s="2"/>
      <c r="O13" s="2"/>
    </row>
    <row r="14" spans="1:15" ht="15.95" customHeight="1">
      <c r="B14" s="26" t="s">
        <v>4536</v>
      </c>
      <c r="C14" s="143">
        <f>C15+C16</f>
        <v>32.823799801467281</v>
      </c>
      <c r="D14" s="143">
        <f>D15+D16</f>
        <v>7.6137990891236154</v>
      </c>
      <c r="E14" s="143">
        <f>E15+E16</f>
        <v>27.957381273246185</v>
      </c>
      <c r="F14" s="143">
        <f>F15+F16</f>
        <v>68.394980163837076</v>
      </c>
      <c r="G14" s="125"/>
      <c r="H14" s="125"/>
    </row>
    <row r="15" spans="1:15" ht="15.95" customHeight="1">
      <c r="B15" s="22" t="s">
        <v>4537</v>
      </c>
      <c r="C15" s="144">
        <f>SUMIFS('Country Summary (€)'!D:D,'Country Summary (€)'!$C:$C,1)</f>
        <v>5.5012998014672796</v>
      </c>
      <c r="D15" s="144">
        <f>SUMIFS('Country Summary (€)'!E:E,'Country Summary (€)'!$C:$C,1)</f>
        <v>5.4737990891236157</v>
      </c>
      <c r="E15" s="144">
        <f>SUMIFS('Country Summary (€)'!F:F,'Country Summary (€)'!$C:$C,1)</f>
        <v>22.357381273246183</v>
      </c>
      <c r="F15" s="144">
        <f>SUMIFS('Country Summary (€)'!G:G,'Country Summary (€)'!$C:$C,1)</f>
        <v>33.332480163837076</v>
      </c>
      <c r="G15" s="140"/>
      <c r="H15" s="141"/>
      <c r="I15" s="2"/>
      <c r="J15" s="25"/>
      <c r="K15" s="2"/>
      <c r="L15" s="2"/>
      <c r="M15" s="2"/>
      <c r="N15" s="2"/>
      <c r="O15" s="2"/>
    </row>
    <row r="16" spans="1:15" ht="15.95" customHeight="1">
      <c r="B16" s="22" t="s">
        <v>4538</v>
      </c>
      <c r="C16" s="125">
        <f>SUM(C17:C19)</f>
        <v>27.322500000000002</v>
      </c>
      <c r="D16" s="125">
        <f t="shared" ref="D16:E16" si="0">SUM(D17:D19)</f>
        <v>2.14</v>
      </c>
      <c r="E16" s="125">
        <f t="shared" si="0"/>
        <v>5.6</v>
      </c>
      <c r="F16" s="126">
        <f t="shared" ref="F16:F19" si="1">SUM(C16:E16)</f>
        <v>35.0625</v>
      </c>
      <c r="G16" s="140"/>
      <c r="H16" s="141"/>
      <c r="I16" s="2"/>
      <c r="J16" s="25"/>
      <c r="K16" s="2"/>
      <c r="L16" s="2"/>
      <c r="M16" s="2"/>
      <c r="N16" s="2"/>
      <c r="O16" s="2"/>
    </row>
    <row r="17" spans="2:15" ht="15.95" customHeight="1">
      <c r="B17" s="123" t="s">
        <v>4468</v>
      </c>
      <c r="C17" s="127">
        <f>SUMIFS('Bilateral Assistance, MAIN DATA'!S:S,'Bilateral Assistance, MAIN DATA'!D:D,"Financial",'Bilateral Assistance, MAIN DATA'!B:B,'Aggregates by Country Group'!B17)/1000000000</f>
        <v>0</v>
      </c>
      <c r="D17" s="127">
        <f>SUMIFS('Bilateral Assistance, MAIN DATA'!S:S,'Bilateral Assistance, MAIN DATA'!D:D,"Humanitarian",'Bilateral Assistance, MAIN DATA'!B:B,'Aggregates by Country Group'!B17)/1000000000</f>
        <v>0</v>
      </c>
      <c r="E17" s="127">
        <f>SUMIFS('Bilateral Assistance, MAIN DATA'!S:S,'Bilateral Assistance, MAIN DATA'!D:D,"Military",'Bilateral Assistance, MAIN DATA'!B:B,'Aggregates by Country Group'!B17)/1000000000</f>
        <v>5.6</v>
      </c>
      <c r="F17" s="253">
        <f t="shared" si="1"/>
        <v>5.6</v>
      </c>
      <c r="G17" s="127"/>
      <c r="H17" s="125"/>
      <c r="K17" s="2"/>
      <c r="L17" s="2"/>
      <c r="M17" s="2"/>
      <c r="N17" s="2"/>
      <c r="O17" s="2"/>
    </row>
    <row r="18" spans="2:15" ht="15.95" customHeight="1">
      <c r="B18" s="123" t="s">
        <v>4501</v>
      </c>
      <c r="C18" s="127">
        <f>SUMIFS('Bilateral Assistance, MAIN DATA'!S:S,'Bilateral Assistance, MAIN DATA'!D:D,"Financial",'Bilateral Assistance, MAIN DATA'!B:B,'Aggregates by Country Group'!B18)/1000000000</f>
        <v>2.0024999999999999</v>
      </c>
      <c r="D18" s="127">
        <f>SUMIFS('Bilateral Assistance, MAIN DATA'!S:S,'Bilateral Assistance, MAIN DATA'!D:D,"Humanitarian",'Bilateral Assistance, MAIN DATA'!B:B,'Aggregates by Country Group'!B18)/1000000000</f>
        <v>0</v>
      </c>
      <c r="E18" s="127">
        <f>SUMIFS('Bilateral Assistance, MAIN DATA'!S:S,'Bilateral Assistance, MAIN DATA'!D:D,"Military",'Bilateral Assistance, MAIN DATA'!B:B,'Aggregates by Country Group'!B18)/1000000000</f>
        <v>0</v>
      </c>
      <c r="F18" s="253">
        <f t="shared" si="1"/>
        <v>2.0024999999999999</v>
      </c>
      <c r="G18" s="127"/>
      <c r="H18" s="125"/>
      <c r="I18" s="2"/>
      <c r="J18" s="25"/>
      <c r="K18" s="2"/>
      <c r="L18" s="2"/>
      <c r="M18" s="2"/>
      <c r="N18" s="2"/>
      <c r="O18" s="2"/>
    </row>
    <row r="19" spans="2:15" ht="15.95" customHeight="1">
      <c r="B19" s="123" t="s">
        <v>4406</v>
      </c>
      <c r="C19" s="127">
        <f>SUMIFS('Bilateral Assistance, MAIN DATA'!S:S,'Bilateral Assistance, MAIN DATA'!D:D,"Financial",'Bilateral Assistance, MAIN DATA'!B:B,'Aggregates by Country Group'!B19)/1000000000</f>
        <v>25.32</v>
      </c>
      <c r="D19" s="127">
        <f>SUMIFS('Bilateral Assistance, MAIN DATA'!S:S,'Bilateral Assistance, MAIN DATA'!D:D,"Humanitarian",'Bilateral Assistance, MAIN DATA'!B:B,'Aggregates by Country Group'!B19)/1000000000</f>
        <v>2.14</v>
      </c>
      <c r="E19" s="127">
        <f>SUMIFS('Bilateral Assistance, MAIN DATA'!S:S,'Bilateral Assistance, MAIN DATA'!D:D,"Military",'Bilateral Assistance, MAIN DATA'!B:B,'Aggregates by Country Group'!B19)/1000000000</f>
        <v>0</v>
      </c>
      <c r="F19" s="253">
        <f t="shared" si="1"/>
        <v>27.46</v>
      </c>
      <c r="G19" s="127"/>
      <c r="H19" s="127"/>
      <c r="I19" s="2"/>
      <c r="J19" s="25"/>
      <c r="K19" s="2"/>
      <c r="L19" s="2"/>
      <c r="M19" s="2"/>
      <c r="N19" s="2"/>
      <c r="O19" s="2"/>
    </row>
    <row r="20" spans="2:15" ht="15.95" customHeight="1">
      <c r="B20" s="123"/>
      <c r="C20" s="127"/>
      <c r="D20" s="127"/>
      <c r="E20" s="127"/>
      <c r="F20" s="127"/>
      <c r="G20" s="127"/>
      <c r="H20" s="127"/>
      <c r="I20" s="2"/>
      <c r="J20" s="25"/>
      <c r="K20" s="2"/>
      <c r="L20" s="2"/>
      <c r="M20" s="2"/>
      <c r="N20" s="2"/>
      <c r="O20" s="2"/>
    </row>
    <row r="21" spans="2:15" ht="15.95" customHeight="1">
      <c r="B21" s="149" t="s">
        <v>4539</v>
      </c>
      <c r="C21" s="150">
        <f>SUM(C22:C27)</f>
        <v>31.5687027987323</v>
      </c>
      <c r="D21" s="150">
        <f t="shared" ref="D21:F21" si="2">SUM(D22:D27)</f>
        <v>4.2904003071221943</v>
      </c>
      <c r="E21" s="150">
        <f t="shared" si="2"/>
        <v>51.293139690947733</v>
      </c>
      <c r="F21" s="150">
        <f t="shared" si="2"/>
        <v>87.152242796802241</v>
      </c>
      <c r="G21" s="127"/>
      <c r="H21" s="127"/>
      <c r="I21" s="2"/>
      <c r="J21" s="25"/>
      <c r="K21" s="2"/>
      <c r="L21" s="2"/>
      <c r="M21" s="2"/>
      <c r="N21" s="2"/>
      <c r="O21" s="2"/>
    </row>
    <row r="22" spans="2:15" ht="15.95" customHeight="1">
      <c r="B22" s="48" t="s">
        <v>3949</v>
      </c>
      <c r="C22" s="138">
        <f>VLOOKUP(B22,'Country Summary (€)'!B:G,3,0)</f>
        <v>24.263894000736109</v>
      </c>
      <c r="D22" s="138">
        <f>VLOOKUP(B22,'Country Summary (€)'!B:G,4,0)</f>
        <v>3.5981956128082446</v>
      </c>
      <c r="E22" s="138">
        <f>VLOOKUP(B22,'Country Summary (€)'!B:G,5,0)</f>
        <v>42.836768494663232</v>
      </c>
      <c r="F22" s="120">
        <f>VLOOKUP(B22,'Country Summary (€)'!B:G,6,0)</f>
        <v>70.698858108207588</v>
      </c>
      <c r="G22" s="127"/>
      <c r="H22" s="127"/>
      <c r="I22" s="2"/>
      <c r="J22" s="25"/>
      <c r="K22" s="2"/>
      <c r="L22" s="2"/>
      <c r="M22" s="2"/>
      <c r="N22" s="2"/>
      <c r="O22" s="2"/>
    </row>
    <row r="23" spans="2:15" ht="15.95" customHeight="1">
      <c r="B23" s="48" t="s">
        <v>3748</v>
      </c>
      <c r="C23" s="138">
        <f>VLOOKUP(B23,'Country Summary (€)'!B:G,3,0)</f>
        <v>3.8866162922313756</v>
      </c>
      <c r="D23" s="138">
        <f>VLOOKUP(B23,'Country Summary (€)'!B:G,4,0)</f>
        <v>0.26985659464374639</v>
      </c>
      <c r="E23" s="138">
        <f>VLOOKUP(B23,'Country Summary (€)'!B:G,5,0)</f>
        <v>6.5786757252947297</v>
      </c>
      <c r="F23" s="120">
        <f>VLOOKUP(B23,'Country Summary (€)'!B:G,6,0)</f>
        <v>10.735148612169851</v>
      </c>
      <c r="G23" s="127"/>
      <c r="H23" s="127"/>
      <c r="I23" s="2"/>
      <c r="J23" s="25"/>
      <c r="K23" s="2"/>
      <c r="L23" s="2"/>
      <c r="M23" s="2"/>
      <c r="N23" s="2"/>
      <c r="O23" s="2"/>
    </row>
    <row r="24" spans="2:15" ht="15.95" customHeight="1">
      <c r="B24" s="48" t="s">
        <v>713</v>
      </c>
      <c r="C24" s="138">
        <f>VLOOKUP(B24,'Country Summary (€)'!B:G,3,0)</f>
        <v>3.4181925057648148</v>
      </c>
      <c r="D24" s="138">
        <f>VLOOKUP(B24,'Country Summary (€)'!B:G,4,0)</f>
        <v>0.3511268468713829</v>
      </c>
      <c r="E24" s="138">
        <f>VLOOKUP(B24,'Country Summary (€)'!B:G,5,0)</f>
        <v>1.4998221822208855</v>
      </c>
      <c r="F24" s="120">
        <f>VLOOKUP(B24,'Country Summary (€)'!B:G,6,0)</f>
        <v>5.2691415348570834</v>
      </c>
      <c r="G24" s="127"/>
      <c r="H24" s="127"/>
      <c r="I24" s="2"/>
      <c r="J24" s="25"/>
      <c r="K24" s="2"/>
      <c r="L24" s="2"/>
      <c r="M24" s="2"/>
      <c r="N24" s="2"/>
      <c r="O24" s="2"/>
    </row>
    <row r="25" spans="2:15" ht="15.95" customHeight="1">
      <c r="B25" s="48" t="s">
        <v>359</v>
      </c>
      <c r="C25" s="138">
        <f>VLOOKUP(B25,'Country Summary (€)'!B:G,3,0)</f>
        <v>0</v>
      </c>
      <c r="D25" s="138">
        <f>VLOOKUP(B25,'Country Summary (€)'!B:G,4,0)</f>
        <v>6.5214731432766418E-2</v>
      </c>
      <c r="E25" s="138">
        <f>VLOOKUP(B25,'Country Summary (€)'!B:G,5,0)</f>
        <v>0.35868102288021536</v>
      </c>
      <c r="F25" s="120">
        <f>VLOOKUP(B25,'Country Summary (€)'!B:G,6,0)</f>
        <v>0.42389575431298177</v>
      </c>
      <c r="G25" s="127"/>
      <c r="H25" s="127"/>
      <c r="I25" s="2"/>
      <c r="J25" s="25"/>
      <c r="K25" s="2"/>
      <c r="L25" s="2"/>
      <c r="M25" s="2"/>
      <c r="N25" s="2"/>
      <c r="O25" s="2"/>
    </row>
    <row r="26" spans="2:15" ht="15.95" customHeight="1">
      <c r="B26" s="48" t="s">
        <v>2832</v>
      </c>
      <c r="C26" s="138">
        <f>VLOOKUP(B26,'Country Summary (€)'!B:G,3,0)</f>
        <v>0</v>
      </c>
      <c r="D26" s="138">
        <f>VLOOKUP(B26,'Country Summary (€)'!B:G,4,0)</f>
        <v>6.0065213660545728E-3</v>
      </c>
      <c r="E26" s="138">
        <f>VLOOKUP(B26,'Country Summary (€)'!B:G,5,0)</f>
        <v>1.9192265888679141E-2</v>
      </c>
      <c r="F26" s="120">
        <f>VLOOKUP(B26,'Country Summary (€)'!B:G,6,0)</f>
        <v>2.5198787254733714E-2</v>
      </c>
      <c r="G26" s="127"/>
      <c r="H26" s="127"/>
      <c r="I26" s="2"/>
      <c r="J26" s="25"/>
      <c r="K26" s="2"/>
      <c r="L26" s="2"/>
      <c r="M26" s="2"/>
      <c r="N26" s="2"/>
      <c r="O26" s="2"/>
    </row>
    <row r="27" spans="2:15" ht="15.95" customHeight="1">
      <c r="B27" s="48" t="s">
        <v>38</v>
      </c>
      <c r="G27" s="127"/>
      <c r="H27" s="127"/>
    </row>
    <row r="28" spans="2:15" ht="15.95" customHeight="1">
      <c r="B28" s="149" t="s">
        <v>4540</v>
      </c>
      <c r="C28" s="151">
        <f>SUM(C29:C37)</f>
        <v>6.917902794091904</v>
      </c>
      <c r="D28" s="151">
        <f t="shared" ref="D28:F28" si="3">SUM(D29:D37)</f>
        <v>1.8354013643474489</v>
      </c>
      <c r="E28" s="151">
        <f t="shared" si="3"/>
        <v>1.117420383733527</v>
      </c>
      <c r="F28" s="151">
        <f t="shared" si="3"/>
        <v>9.8707245421728782</v>
      </c>
      <c r="I28" s="2"/>
      <c r="J28" s="2"/>
      <c r="K28" s="2"/>
      <c r="L28" s="2"/>
      <c r="M28" s="2"/>
      <c r="N28" s="2"/>
      <c r="O28" s="2"/>
    </row>
    <row r="29" spans="2:15" ht="15.95" customHeight="1">
      <c r="B29" s="48" t="s">
        <v>905</v>
      </c>
      <c r="C29" s="120">
        <f>VLOOKUP(B29,'Country Summary (€)'!B:G,3,0)</f>
        <v>0</v>
      </c>
      <c r="D29" s="138">
        <f>VLOOKUP(B29,'Country Summary (€)'!B:G,4,0)</f>
        <v>2.1750355506399113E-3</v>
      </c>
      <c r="E29" s="138">
        <f>VLOOKUP(B29,'Country Summary (€)'!B:G,5,0)</f>
        <v>0</v>
      </c>
      <c r="F29" s="120">
        <f>VLOOKUP(B29,'Country Summary (€)'!B:G,6,0)</f>
        <v>2.1750355506399113E-3</v>
      </c>
      <c r="I29" s="2"/>
      <c r="J29" s="25"/>
      <c r="K29" s="2"/>
      <c r="L29" s="2"/>
      <c r="M29" s="2"/>
      <c r="N29" s="2"/>
      <c r="O29" s="2"/>
    </row>
    <row r="30" spans="2:15" ht="15.95" customHeight="1">
      <c r="B30" s="48" t="s">
        <v>2312</v>
      </c>
      <c r="C30" s="120">
        <f>VLOOKUP(B30,'Country Summary (€)'!B:G,3,0)</f>
        <v>5.5866304747883699</v>
      </c>
      <c r="D30" s="138">
        <f>VLOOKUP(B30,'Country Summary (€)'!B:G,4,0)</f>
        <v>1.0007732517482517</v>
      </c>
      <c r="E30" s="138">
        <f>VLOOKUP(B30,'Country Summary (€)'!B:G,5,0)</f>
        <v>2.9860139860139859E-2</v>
      </c>
      <c r="F30" s="120">
        <f>VLOOKUP(B30,'Country Summary (€)'!B:G,6,0)</f>
        <v>6.6172638663967609</v>
      </c>
      <c r="I30" s="2"/>
      <c r="J30" s="25"/>
      <c r="K30" s="2"/>
      <c r="L30" s="2"/>
      <c r="M30" s="2"/>
      <c r="N30" s="2"/>
      <c r="O30" s="2"/>
    </row>
    <row r="31" spans="2:15" ht="15.95" customHeight="1">
      <c r="B31" s="48" t="s">
        <v>2882</v>
      </c>
      <c r="C31" s="120">
        <f>VLOOKUP(B31,'Country Summary (€)'!B:G,3,0)</f>
        <v>0.88724111480439782</v>
      </c>
      <c r="D31" s="138">
        <f>VLOOKUP(B31,'Country Summary (€)'!B:G,4,0)</f>
        <v>0.1888046003579647</v>
      </c>
      <c r="E31" s="138">
        <f>VLOOKUP(B31,'Country Summary (€)'!B:G,5,0)</f>
        <v>1.0133810619619874</v>
      </c>
      <c r="F31" s="120">
        <f>VLOOKUP(B31,'Country Summary (€)'!B:G,6,0)</f>
        <v>2.0894267771243502</v>
      </c>
      <c r="I31" s="2"/>
      <c r="J31" s="25"/>
      <c r="K31" s="2"/>
      <c r="L31" s="2"/>
      <c r="M31" s="2"/>
      <c r="N31" s="2"/>
      <c r="O31" s="2"/>
    </row>
    <row r="32" spans="2:15" ht="15.95" customHeight="1">
      <c r="B32" s="48" t="s">
        <v>3162</v>
      </c>
      <c r="C32" s="120">
        <f>VLOOKUP(B32,'Country Summary (€)'!B:G,3,0)</f>
        <v>0.39565697460434307</v>
      </c>
      <c r="D32" s="138">
        <f>VLOOKUP(B32,'Country Summary (€)'!B:G,4,0)</f>
        <v>0.21163047478836949</v>
      </c>
      <c r="E32" s="138">
        <f>VLOOKUP(B32,'Country Summary (€)'!B:G,5,0)</f>
        <v>3.2940743467059263E-3</v>
      </c>
      <c r="F32" s="120">
        <f>VLOOKUP(B32,'Country Summary (€)'!B:G,6,0)</f>
        <v>0.61058152373941843</v>
      </c>
      <c r="I32" s="2"/>
      <c r="J32" s="25"/>
      <c r="K32" s="2"/>
      <c r="L32" s="2"/>
      <c r="M32" s="2"/>
      <c r="N32" s="2"/>
      <c r="O32" s="2"/>
    </row>
    <row r="33" spans="2:15" ht="15.95" customHeight="1">
      <c r="B33" s="48" t="s">
        <v>3649</v>
      </c>
      <c r="C33" s="120">
        <f>VLOOKUP(B33,'Country Summary (€)'!B:G,3,0)</f>
        <v>3.8970362014152396E-2</v>
      </c>
      <c r="D33" s="138">
        <f>VLOOKUP(B33,'Country Summary (€)'!B:G,4,0)</f>
        <v>0.35155368680135374</v>
      </c>
      <c r="E33" s="138">
        <f>VLOOKUP(B33,'Country Summary (€)'!B:G,5,0)</f>
        <v>0</v>
      </c>
      <c r="F33" s="120">
        <f>VLOOKUP(B33,'Country Summary (€)'!B:G,6,0)</f>
        <v>0.39052404881550612</v>
      </c>
      <c r="I33" s="2"/>
      <c r="J33" s="25"/>
      <c r="K33" s="2"/>
      <c r="L33" s="2"/>
      <c r="M33" s="2"/>
      <c r="N33" s="2"/>
      <c r="O33" s="2"/>
    </row>
    <row r="34" spans="2:15" ht="15.95" customHeight="1">
      <c r="B34" s="48" t="s">
        <v>3713</v>
      </c>
      <c r="C34" s="120">
        <f>VLOOKUP(B34,'Country Summary (€)'!B:G,3,0)</f>
        <v>0</v>
      </c>
      <c r="D34" s="138">
        <f>VLOOKUP(B34,'Country Summary (€)'!B:G,4,0)</f>
        <v>6.3029076186970928E-2</v>
      </c>
      <c r="E34" s="138">
        <f>VLOOKUP(B34,'Country Summary (€)'!B:G,5,0)</f>
        <v>0</v>
      </c>
      <c r="F34" s="120">
        <f>VLOOKUP(B34,'Country Summary (€)'!B:G,6,0)</f>
        <v>6.3029076186970928E-2</v>
      </c>
      <c r="I34" s="2"/>
      <c r="J34" s="25"/>
      <c r="K34" s="2"/>
      <c r="L34" s="2"/>
      <c r="M34" s="2"/>
      <c r="N34" s="2"/>
      <c r="O34" s="2"/>
    </row>
    <row r="35" spans="2:15" ht="15.95" customHeight="1">
      <c r="B35" s="48" t="s">
        <v>3685</v>
      </c>
      <c r="C35" s="120">
        <f>VLOOKUP(B35,'Country Summary (€)'!B:G,3,0)</f>
        <v>0</v>
      </c>
      <c r="D35" s="138">
        <f>VLOOKUP(B35,'Country Summary (€)'!B:G,4,0)</f>
        <v>4.6114114832535892E-3</v>
      </c>
      <c r="E35" s="138">
        <f>VLOOKUP(B35,'Country Summary (€)'!B:G,5,0)</f>
        <v>6.1735369893264627E-2</v>
      </c>
      <c r="F35" s="120">
        <f>VLOOKUP(B35,'Country Summary (€)'!B:G,6,0)</f>
        <v>6.6346781376518213E-2</v>
      </c>
      <c r="I35" s="2"/>
      <c r="J35" s="25"/>
      <c r="K35" s="2"/>
      <c r="L35" s="2"/>
      <c r="M35" s="2"/>
      <c r="N35" s="2"/>
      <c r="O35" s="2"/>
    </row>
    <row r="36" spans="2:15" ht="15.95" customHeight="1">
      <c r="B36" s="48" t="s">
        <v>2076</v>
      </c>
      <c r="C36" s="120">
        <f>VLOOKUP(B36,'Country Summary (€)'!B:G,3,0)</f>
        <v>0</v>
      </c>
      <c r="D36" s="138">
        <f>VLOOKUP(B36,'Country Summary (€)'!B:G,4,0)</f>
        <v>1.7917280088332722E-3</v>
      </c>
      <c r="E36" s="138">
        <f>VLOOKUP(B36,'Country Summary (€)'!B:G,5,0)</f>
        <v>0</v>
      </c>
      <c r="F36" s="120">
        <f>VLOOKUP(B36,'Country Summary (€)'!B:G,6,0)</f>
        <v>1.7917280088332722E-3</v>
      </c>
      <c r="I36" s="2"/>
      <c r="J36" s="25"/>
      <c r="K36" s="2"/>
      <c r="L36" s="2"/>
      <c r="M36" s="2"/>
      <c r="N36" s="2"/>
      <c r="O36" s="2"/>
    </row>
    <row r="37" spans="2:15" ht="15.95" customHeight="1">
      <c r="B37" s="48" t="s">
        <v>2139</v>
      </c>
      <c r="C37" s="120">
        <f>VLOOKUP(B37,'Country Summary (€)'!B:G,3,0)</f>
        <v>9.4038678806406591E-3</v>
      </c>
      <c r="D37" s="138">
        <f>VLOOKUP(B37,'Country Summary (€)'!B:G,4,0)</f>
        <v>1.1032099421811657E-2</v>
      </c>
      <c r="E37" s="138">
        <f>VLOOKUP(B37,'Country Summary (€)'!B:G,5,0)</f>
        <v>9.1497376714291794E-3</v>
      </c>
      <c r="F37" s="120">
        <f>VLOOKUP(B37,'Country Summary (€)'!B:G,6,0)</f>
        <v>2.9585704973881494E-2</v>
      </c>
      <c r="I37" s="2"/>
      <c r="J37" s="25"/>
      <c r="K37" s="2"/>
      <c r="L37" s="2"/>
      <c r="M37" s="2"/>
      <c r="N37" s="2"/>
      <c r="O37" s="2"/>
    </row>
    <row r="38" spans="2:15" ht="15.95" customHeight="1">
      <c r="I38" s="2"/>
      <c r="J38" s="25"/>
      <c r="K38" s="2"/>
      <c r="L38" s="2"/>
      <c r="M38" s="2"/>
      <c r="N38" s="2"/>
      <c r="O38" s="2"/>
    </row>
    <row r="39" spans="2:15" ht="15.95" customHeight="1">
      <c r="B39" s="26" t="s">
        <v>4541</v>
      </c>
      <c r="C39" s="124">
        <f>SUM(C40:C43)</f>
        <v>12.827543362880736</v>
      </c>
      <c r="D39" s="124">
        <f t="shared" ref="D39:F39" si="4">SUM(D40:D43)</f>
        <v>0</v>
      </c>
      <c r="E39" s="124">
        <f t="shared" si="4"/>
        <v>0</v>
      </c>
      <c r="F39" s="124">
        <f t="shared" si="4"/>
        <v>12.827543362880736</v>
      </c>
      <c r="I39" s="2"/>
      <c r="J39" s="25"/>
      <c r="K39" s="2"/>
      <c r="L39" s="2"/>
      <c r="M39" s="2"/>
      <c r="N39" s="2"/>
      <c r="O39" s="2"/>
    </row>
    <row r="40" spans="2:15" ht="15.95" customHeight="1">
      <c r="B40" s="23" t="s">
        <v>4542</v>
      </c>
      <c r="C40" s="127">
        <f>SUMIFS('Multilateral Assistance'!S:S,'Multilateral Assistance'!B:B,'Aggregates by Country Group'!B40,'Multilateral Assistance'!D:D,"Financial")/1000000000</f>
        <v>3.1652319900430474</v>
      </c>
      <c r="D40" s="127">
        <f>SUMIFS('Multilateral Assistance'!S:S,'Multilateral Assistance'!B:B,'Aggregates by Country Group'!B40,'Multilateral Assistance'!D:D,"Humanitarian")/1000000000</f>
        <v>0</v>
      </c>
      <c r="E40" s="127">
        <f>SUMIFS('Multilateral Assistance'!S:S,'Multilateral Assistance'!B:B,'Aggregates by Country Group'!B40,'Multilateral Assistance'!D:D,"Military")/1000000000</f>
        <v>0</v>
      </c>
      <c r="F40" s="128">
        <f>SUM(C40:E40)</f>
        <v>3.1652319900430474</v>
      </c>
      <c r="I40" s="2"/>
      <c r="J40" s="25"/>
      <c r="K40" s="2"/>
      <c r="L40" s="2"/>
      <c r="M40" s="2"/>
      <c r="N40" s="2"/>
      <c r="O40" s="2"/>
    </row>
    <row r="41" spans="2:15" ht="15.95" customHeight="1">
      <c r="B41" s="23" t="s">
        <v>4543</v>
      </c>
      <c r="C41" s="127">
        <f>SUMIFS('Multilateral Assistance'!S:S,'Multilateral Assistance'!B:B,'Aggregates by Country Group'!B41,'Multilateral Assistance'!D:D,"Financial")/1000000000</f>
        <v>2.7603974972396026</v>
      </c>
      <c r="D41" s="127">
        <f>SUMIFS('Multilateral Assistance'!S:S,'Multilateral Assistance'!B:B,'Aggregates by Country Group'!B41,'Multilateral Assistance'!D:D,"Humanitarian")/1000000000</f>
        <v>0</v>
      </c>
      <c r="E41" s="127">
        <f>SUMIFS('Multilateral Assistance'!S:S,'Multilateral Assistance'!B:B,'Aggregates by Country Group'!B41,'Multilateral Assistance'!D:D,"Military")/1000000000</f>
        <v>0</v>
      </c>
      <c r="F41" s="128">
        <f t="shared" ref="F41:F43" si="5">SUM(C41:E41)</f>
        <v>2.7603974972396026</v>
      </c>
      <c r="I41" s="2"/>
      <c r="J41" s="25"/>
      <c r="K41" s="2"/>
      <c r="L41" s="2"/>
      <c r="M41" s="2"/>
      <c r="N41" s="2"/>
      <c r="O41" s="2"/>
    </row>
    <row r="42" spans="2:15" ht="15.95" customHeight="1">
      <c r="B42" s="23" t="s">
        <v>4544</v>
      </c>
      <c r="C42" s="127">
        <f>SUMIFS('Multilateral Assistance'!S:S,'Multilateral Assistance'!B:B,'Aggregates by Country Group'!B42,'Multilateral Assistance'!D:D,"Financial")/1000000000</f>
        <v>5.3367684946632313E-2</v>
      </c>
      <c r="D42" s="127">
        <f>SUMIFS('Multilateral Assistance'!S:S,'Multilateral Assistance'!B:B,'Aggregates by Country Group'!B42,'Multilateral Assistance'!D:D,"Humanitarian")/1000000000</f>
        <v>0</v>
      </c>
      <c r="E42" s="127">
        <f>SUMIFS('Multilateral Assistance'!S:S,'Multilateral Assistance'!B:B,'Aggregates by Country Group'!B42,'Multilateral Assistance'!D:D,"Military")/1000000000</f>
        <v>0</v>
      </c>
      <c r="F42" s="128">
        <f t="shared" si="5"/>
        <v>5.3367684946632313E-2</v>
      </c>
      <c r="I42" s="2"/>
      <c r="J42" s="25"/>
      <c r="K42" s="2"/>
      <c r="L42" s="2"/>
      <c r="M42" s="2"/>
      <c r="N42" s="2"/>
      <c r="O42" s="2"/>
    </row>
    <row r="43" spans="2:15" ht="15.95" customHeight="1">
      <c r="B43" s="23" t="s">
        <v>4545</v>
      </c>
      <c r="C43" s="127">
        <f>SUMIFS('Multilateral Assistance'!S:S,'Multilateral Assistance'!B:B,'Aggregates by Country Group'!B43,'Multilateral Assistance'!D:D,"Financial")/1000000000</f>
        <v>6.8485461906514535</v>
      </c>
      <c r="D43" s="127">
        <f>SUMIFS('Multilateral Assistance'!S:S,'Multilateral Assistance'!B:B,'Aggregates by Country Group'!B43,'Multilateral Assistance'!D:D,"Humanitarian")/1000000000</f>
        <v>0</v>
      </c>
      <c r="E43" s="127">
        <f>SUMIFS('Multilateral Assistance'!S:S,'Multilateral Assistance'!B:B,'Aggregates by Country Group'!B43,'Multilateral Assistance'!D:D,"Military")/1000000000</f>
        <v>0</v>
      </c>
      <c r="F43" s="128">
        <f t="shared" si="5"/>
        <v>6.8485461906514535</v>
      </c>
      <c r="I43" s="2"/>
      <c r="J43" s="25"/>
      <c r="K43" s="2"/>
      <c r="L43" s="2"/>
      <c r="M43" s="2"/>
      <c r="N43" s="2"/>
      <c r="O43" s="2"/>
    </row>
    <row r="44" spans="2:15" ht="15.95" customHeight="1">
      <c r="I44" s="2"/>
      <c r="J44" s="25"/>
      <c r="K44" s="2"/>
      <c r="L44" s="2"/>
      <c r="M44" s="2"/>
      <c r="N44" s="2"/>
      <c r="O44" s="2"/>
    </row>
    <row r="45" spans="2:15" ht="15.95" customHeight="1">
      <c r="I45" s="2"/>
      <c r="J45" s="25"/>
      <c r="K45" s="2"/>
      <c r="L45" s="2"/>
      <c r="M45" s="2"/>
      <c r="N45" s="2"/>
      <c r="O45" s="2"/>
    </row>
    <row r="46" spans="2:15" ht="15.95" customHeight="1">
      <c r="F46" s="555"/>
      <c r="I46" s="2"/>
      <c r="J46" s="25"/>
      <c r="K46" s="2"/>
      <c r="L46" s="2"/>
      <c r="M46" s="2"/>
      <c r="N46" s="2"/>
      <c r="O46" s="2"/>
    </row>
    <row r="47" spans="2:15" ht="15.95" customHeight="1">
      <c r="I47" s="2"/>
      <c r="J47" s="25"/>
      <c r="K47" s="2"/>
      <c r="L47" s="2"/>
      <c r="M47" s="2"/>
      <c r="N47" s="2"/>
      <c r="O47" s="2"/>
    </row>
    <row r="48" spans="2:15" ht="15.95" customHeight="1">
      <c r="I48" s="2"/>
      <c r="J48" s="25"/>
      <c r="K48" s="2"/>
      <c r="L48" s="2"/>
      <c r="M48" s="2"/>
      <c r="N48" s="2"/>
      <c r="O48" s="2"/>
    </row>
    <row r="49" spans="9:15" ht="15.95" customHeight="1">
      <c r="I49" s="2"/>
      <c r="J49" s="25"/>
      <c r="K49" s="2"/>
      <c r="L49" s="2"/>
      <c r="M49" s="2"/>
      <c r="N49" s="2"/>
      <c r="O49" s="2"/>
    </row>
    <row r="50" spans="9:15" ht="15.95" customHeight="1">
      <c r="I50" s="2"/>
      <c r="J50" s="25"/>
      <c r="K50" s="2"/>
      <c r="L50" s="2"/>
      <c r="M50" s="2"/>
      <c r="N50" s="2"/>
      <c r="O50" s="2"/>
    </row>
    <row r="51" spans="9:15" ht="15.95" customHeight="1">
      <c r="I51" s="2"/>
      <c r="J51" s="25"/>
      <c r="K51" s="2"/>
      <c r="L51" s="2"/>
      <c r="M51" s="2"/>
      <c r="N51" s="2"/>
      <c r="O51" s="2"/>
    </row>
    <row r="52" spans="9:15" ht="15.95" customHeight="1">
      <c r="I52" s="2"/>
      <c r="J52" s="25"/>
      <c r="K52" s="2"/>
      <c r="L52" s="2"/>
      <c r="M52" s="2"/>
      <c r="N52" s="2"/>
      <c r="O52" s="2"/>
    </row>
    <row r="53" spans="9:15" ht="15.95" customHeight="1">
      <c r="I53" s="2"/>
      <c r="J53" s="25"/>
      <c r="K53" s="2"/>
      <c r="L53" s="2"/>
      <c r="M53" s="2"/>
      <c r="N53" s="2"/>
      <c r="O53" s="2"/>
    </row>
    <row r="54" spans="9:15" ht="15.95" customHeight="1">
      <c r="I54" s="2"/>
      <c r="J54" s="25"/>
      <c r="K54" s="2"/>
      <c r="L54" s="2"/>
      <c r="M54" s="2"/>
      <c r="N54" s="2"/>
      <c r="O54" s="2"/>
    </row>
    <row r="55" spans="9:15" ht="15.95" customHeight="1">
      <c r="I55" s="2"/>
      <c r="J55" s="25"/>
      <c r="K55" s="2"/>
      <c r="L55" s="2"/>
      <c r="M55" s="2"/>
      <c r="N55" s="2"/>
      <c r="O55" s="2"/>
    </row>
    <row r="56" spans="9:15" ht="15.95" customHeight="1">
      <c r="I56" s="2"/>
      <c r="J56" s="25"/>
      <c r="K56" s="2"/>
      <c r="L56" s="2"/>
      <c r="M56" s="2"/>
      <c r="N56" s="2"/>
      <c r="O56" s="2"/>
    </row>
    <row r="57" spans="9:15" ht="15.95" customHeight="1">
      <c r="I57" s="2"/>
      <c r="J57" s="25"/>
      <c r="K57" s="2"/>
      <c r="L57" s="2"/>
      <c r="M57" s="2"/>
      <c r="N57" s="2"/>
      <c r="O57" s="2"/>
    </row>
    <row r="58" spans="9:15" ht="15.95" customHeight="1">
      <c r="I58" s="2"/>
      <c r="J58" s="25"/>
      <c r="K58" s="2"/>
      <c r="L58" s="2"/>
      <c r="M58" s="2"/>
      <c r="N58" s="2"/>
      <c r="O58" s="2"/>
    </row>
    <row r="59" spans="9:15" ht="15.95" customHeight="1">
      <c r="I59" s="2"/>
      <c r="J59" s="25"/>
      <c r="K59" s="2"/>
      <c r="L59" s="2"/>
      <c r="M59" s="2"/>
      <c r="N59" s="2"/>
      <c r="O59" s="2"/>
    </row>
    <row r="60" spans="9:15" ht="15.95" customHeight="1">
      <c r="I60" s="2"/>
      <c r="J60" s="25"/>
      <c r="K60" s="2"/>
      <c r="L60" s="2"/>
      <c r="M60" s="2"/>
      <c r="N60" s="2"/>
      <c r="O60" s="2"/>
    </row>
    <row r="61" spans="9:15" ht="15.95" customHeight="1">
      <c r="I61" s="2"/>
      <c r="J61" s="25"/>
      <c r="K61" s="2"/>
      <c r="L61" s="2"/>
      <c r="M61" s="2"/>
      <c r="N61" s="2"/>
      <c r="O61" s="2"/>
    </row>
    <row r="62" spans="9:15" ht="15.95" customHeight="1">
      <c r="I62" s="2"/>
      <c r="J62" s="25"/>
      <c r="K62" s="2"/>
      <c r="L62" s="2"/>
      <c r="M62" s="2"/>
      <c r="N62" s="2"/>
      <c r="O62" s="2"/>
    </row>
    <row r="63" spans="9:15" ht="15.95" customHeight="1">
      <c r="I63" s="2"/>
      <c r="J63" s="2"/>
      <c r="K63" s="2"/>
      <c r="L63" s="2"/>
      <c r="M63" s="2"/>
      <c r="N63" s="2"/>
      <c r="O63" s="2"/>
    </row>
    <row r="64" spans="9:15" ht="15.95" customHeight="1">
      <c r="I64" s="2"/>
      <c r="J64" s="28"/>
      <c r="K64" s="2"/>
      <c r="L64" s="2"/>
      <c r="M64" s="2"/>
      <c r="N64" s="2"/>
      <c r="O64" s="2"/>
    </row>
    <row r="65" spans="9:15" ht="15.95" customHeight="1">
      <c r="I65" s="2"/>
      <c r="J65" s="25"/>
      <c r="K65" s="2"/>
      <c r="L65" s="2"/>
      <c r="M65" s="2"/>
      <c r="N65" s="2"/>
      <c r="O65" s="2"/>
    </row>
    <row r="66" spans="9:15" ht="15.95" customHeight="1">
      <c r="I66" s="2"/>
      <c r="J66" s="25"/>
      <c r="K66" s="2"/>
      <c r="L66" s="2"/>
      <c r="M66" s="2"/>
      <c r="N66" s="2"/>
      <c r="O66" s="2"/>
    </row>
    <row r="67" spans="9:15" ht="15.95" customHeight="1">
      <c r="I67" s="2"/>
      <c r="J67" s="25"/>
      <c r="K67" s="2"/>
      <c r="L67" s="2"/>
      <c r="M67" s="2"/>
      <c r="N67" s="2"/>
      <c r="O67" s="2"/>
    </row>
    <row r="68" spans="9:15" ht="15.95" customHeight="1">
      <c r="I68" s="2"/>
      <c r="J68" s="25"/>
      <c r="K68" s="2"/>
      <c r="L68" s="2"/>
      <c r="M68" s="2"/>
      <c r="N68" s="2"/>
      <c r="O68" s="2"/>
    </row>
    <row r="69" spans="9:15" ht="15.95" customHeight="1">
      <c r="I69" s="2"/>
      <c r="J69" s="29"/>
      <c r="K69" s="2"/>
      <c r="L69" s="2"/>
      <c r="M69" s="2"/>
      <c r="N69" s="2"/>
      <c r="O69" s="2"/>
    </row>
    <row r="70" spans="9:15" ht="15.95" customHeight="1">
      <c r="I70" s="2"/>
      <c r="J70" s="25"/>
      <c r="K70" s="2"/>
      <c r="L70" s="2"/>
      <c r="M70" s="2"/>
      <c r="N70" s="2"/>
      <c r="O70" s="2"/>
    </row>
    <row r="71" spans="9:15" ht="15.95" customHeight="1">
      <c r="I71" s="2"/>
      <c r="J71" s="25"/>
      <c r="K71" s="2"/>
      <c r="L71" s="2"/>
      <c r="M71" s="2"/>
      <c r="N71" s="2"/>
      <c r="O71" s="2"/>
    </row>
    <row r="72" spans="9:15" ht="15.95" customHeight="1">
      <c r="I72" s="2"/>
      <c r="J72" s="25"/>
      <c r="K72" s="2"/>
      <c r="L72" s="2"/>
      <c r="M72" s="2"/>
      <c r="N72" s="2"/>
      <c r="O72" s="2"/>
    </row>
    <row r="73" spans="9:15" ht="15.95" customHeight="1">
      <c r="K73" s="2"/>
      <c r="L73" s="2"/>
      <c r="M73" s="2"/>
      <c r="N73" s="2"/>
      <c r="O73" s="2"/>
    </row>
    <row r="74" spans="9:15" ht="15.95" customHeight="1">
      <c r="I74" s="2"/>
      <c r="J74" s="2"/>
      <c r="K74" s="2"/>
      <c r="L74" s="2"/>
      <c r="M74" s="2"/>
      <c r="N74" s="2"/>
      <c r="O74" s="2"/>
    </row>
    <row r="75" spans="9:15" ht="15.95" customHeight="1">
      <c r="I75" s="2"/>
      <c r="J75" s="2"/>
      <c r="K75" s="2"/>
      <c r="L75" s="2"/>
      <c r="M75" s="2"/>
      <c r="N75" s="2"/>
      <c r="O75" s="2"/>
    </row>
    <row r="76" spans="9:15" ht="15.95" customHeight="1">
      <c r="I76" s="2"/>
      <c r="J76" s="2"/>
      <c r="K76" s="2"/>
      <c r="L76" s="2"/>
      <c r="M76" s="2"/>
      <c r="N76" s="2"/>
      <c r="O76" s="2"/>
    </row>
    <row r="77" spans="9:15" ht="15.95" customHeight="1">
      <c r="I77" s="2"/>
      <c r="J77" s="2"/>
      <c r="K77" s="2"/>
      <c r="L77" s="2"/>
      <c r="M77" s="2"/>
      <c r="N77" s="2"/>
      <c r="O77" s="2"/>
    </row>
    <row r="78" spans="9:15" ht="15.95" customHeight="1">
      <c r="I78" s="2"/>
      <c r="J78" s="2"/>
      <c r="K78" s="2"/>
      <c r="L78" s="2"/>
      <c r="M78" s="2"/>
      <c r="N78" s="2"/>
      <c r="O78" s="2"/>
    </row>
    <row r="79" spans="9:15" ht="15.95" customHeight="1">
      <c r="I79" s="2"/>
      <c r="J79" s="2"/>
      <c r="K79" s="2"/>
      <c r="L79" s="2"/>
      <c r="M79" s="2"/>
      <c r="N79" s="2"/>
      <c r="O79" s="2"/>
    </row>
    <row r="80" spans="9:15" ht="15.95" customHeight="1">
      <c r="I80" s="2"/>
      <c r="J80" s="2"/>
      <c r="K80" s="2"/>
      <c r="L80" s="2"/>
      <c r="M80" s="2"/>
      <c r="N80" s="2"/>
      <c r="O80" s="2"/>
    </row>
    <row r="81" spans="9:15" ht="15.95" customHeight="1">
      <c r="I81" s="2"/>
      <c r="J81" s="2"/>
      <c r="K81" s="2"/>
      <c r="L81" s="2"/>
      <c r="M81" s="2"/>
      <c r="N81" s="2"/>
      <c r="O81" s="2"/>
    </row>
    <row r="82" spans="9:15" ht="15.95" customHeight="1">
      <c r="I82" s="2"/>
      <c r="J82" s="2"/>
      <c r="K82" s="2"/>
      <c r="L82" s="2"/>
      <c r="M82" s="2"/>
      <c r="N82" s="2"/>
      <c r="O82" s="2"/>
    </row>
    <row r="83" spans="9:15" ht="15.95" customHeight="1">
      <c r="I83" s="2"/>
      <c r="J83" s="2"/>
      <c r="K83" s="2"/>
      <c r="L83" s="2"/>
      <c r="M83" s="2"/>
      <c r="N83" s="2"/>
      <c r="O83" s="2"/>
    </row>
    <row r="84" spans="9:15" ht="15.95" customHeight="1">
      <c r="I84" s="2"/>
      <c r="J84" s="2"/>
      <c r="K84" s="2"/>
      <c r="L84" s="2"/>
      <c r="M84" s="2"/>
      <c r="N84" s="2"/>
      <c r="O84" s="2"/>
    </row>
    <row r="85" spans="9:15" ht="15.95" customHeight="1">
      <c r="I85" s="2"/>
      <c r="J85" s="2"/>
      <c r="K85" s="2"/>
      <c r="L85" s="2"/>
      <c r="M85" s="2"/>
      <c r="N85" s="2"/>
      <c r="O85" s="2"/>
    </row>
    <row r="86" spans="9:15" ht="15.95" customHeight="1">
      <c r="I86" s="2"/>
      <c r="J86" s="2"/>
      <c r="K86" s="2"/>
      <c r="L86" s="2"/>
      <c r="M86" s="2"/>
      <c r="N86" s="2"/>
      <c r="O86" s="2"/>
    </row>
    <row r="87" spans="9:15" ht="15.95" customHeight="1">
      <c r="I87" s="2"/>
      <c r="J87" s="2"/>
      <c r="K87" s="2"/>
      <c r="L87" s="2"/>
      <c r="M87" s="2"/>
      <c r="N87" s="2"/>
      <c r="O87" s="2"/>
    </row>
    <row r="88" spans="9:15" ht="15.95" customHeight="1">
      <c r="I88" s="2"/>
      <c r="J88" s="2"/>
      <c r="K88" s="2"/>
      <c r="L88" s="2"/>
      <c r="M88" s="2"/>
      <c r="N88" s="2"/>
      <c r="O88" s="2"/>
    </row>
    <row r="89" spans="9:15" ht="15.95" customHeight="1">
      <c r="I89" s="2"/>
      <c r="J89" s="2"/>
      <c r="K89" s="2"/>
      <c r="L89" s="2"/>
      <c r="M89" s="2"/>
      <c r="N89" s="2"/>
      <c r="O89" s="2"/>
    </row>
    <row r="90" spans="9:15" ht="15.95" customHeight="1">
      <c r="I90" s="2"/>
      <c r="J90" s="2"/>
      <c r="K90" s="2"/>
      <c r="L90" s="2"/>
      <c r="M90" s="2"/>
      <c r="N90" s="2"/>
      <c r="O90" s="2"/>
    </row>
    <row r="91" spans="9:15" ht="15.95" customHeight="1">
      <c r="I91" s="2"/>
      <c r="J91" s="2"/>
      <c r="K91" s="2"/>
      <c r="L91" s="2"/>
      <c r="M91" s="2"/>
      <c r="N91" s="2"/>
      <c r="O91" s="2"/>
    </row>
    <row r="92" spans="9:15" ht="15.95" customHeight="1">
      <c r="I92" s="2"/>
      <c r="J92" s="2"/>
      <c r="K92" s="2"/>
      <c r="L92" s="2"/>
      <c r="M92" s="2"/>
      <c r="N92" s="2"/>
      <c r="O92" s="2"/>
    </row>
    <row r="93" spans="9:15" ht="15.95" customHeight="1">
      <c r="I93" s="2"/>
      <c r="J93" s="2"/>
      <c r="K93" s="2"/>
      <c r="L93" s="2"/>
      <c r="M93" s="2"/>
      <c r="N93" s="2"/>
      <c r="O93" s="2"/>
    </row>
    <row r="94" spans="9:15" ht="15.95" customHeight="1">
      <c r="I94" s="2"/>
      <c r="J94" s="2"/>
      <c r="K94" s="2"/>
      <c r="L94" s="2"/>
      <c r="M94" s="2"/>
      <c r="N94" s="2"/>
      <c r="O94" s="2"/>
    </row>
    <row r="95" spans="9:15" ht="15.95" customHeight="1">
      <c r="I95" s="2"/>
      <c r="J95" s="2"/>
      <c r="K95" s="2"/>
      <c r="L95" s="2"/>
      <c r="M95" s="2"/>
      <c r="N95" s="2"/>
      <c r="O95" s="2"/>
    </row>
    <row r="96" spans="9:15" ht="15.95" customHeight="1">
      <c r="I96" s="2"/>
      <c r="J96" s="2"/>
      <c r="K96" s="2"/>
      <c r="L96" s="2"/>
      <c r="M96" s="2"/>
      <c r="N96" s="2"/>
      <c r="O96" s="2"/>
    </row>
    <row r="97" spans="9:15" ht="15.95" customHeight="1">
      <c r="I97" s="2"/>
      <c r="J97" s="2"/>
      <c r="K97" s="2"/>
      <c r="L97" s="2"/>
      <c r="M97" s="2"/>
      <c r="N97" s="2"/>
      <c r="O97" s="2"/>
    </row>
    <row r="98" spans="9:15" ht="15.95" customHeight="1">
      <c r="I98" s="2"/>
      <c r="J98" s="2"/>
      <c r="K98" s="2"/>
      <c r="L98" s="2"/>
      <c r="M98" s="2"/>
      <c r="N98" s="2"/>
      <c r="O98" s="2"/>
    </row>
    <row r="99" spans="9:15" ht="15.95" customHeight="1">
      <c r="I99" s="2"/>
      <c r="J99" s="2"/>
      <c r="K99" s="2"/>
      <c r="L99" s="2"/>
      <c r="M99" s="2"/>
      <c r="N99" s="2"/>
      <c r="O99" s="2"/>
    </row>
    <row r="100" spans="9:15" ht="15.95" customHeight="1">
      <c r="I100" s="2"/>
      <c r="J100" s="2"/>
      <c r="K100" s="2"/>
      <c r="L100" s="2"/>
      <c r="M100" s="2"/>
      <c r="N100" s="2"/>
      <c r="O100" s="2"/>
    </row>
    <row r="101" spans="9:15" ht="15.95" customHeight="1">
      <c r="I101" s="2"/>
      <c r="J101" s="2"/>
      <c r="K101" s="2"/>
      <c r="L101" s="2"/>
      <c r="M101" s="2"/>
      <c r="N101" s="2"/>
      <c r="O101" s="2"/>
    </row>
    <row r="102" spans="9:15" ht="15.95" customHeight="1">
      <c r="I102" s="2"/>
      <c r="J102" s="2"/>
      <c r="K102" s="2"/>
      <c r="L102" s="2"/>
      <c r="M102" s="2"/>
      <c r="N102" s="2"/>
      <c r="O102" s="2"/>
    </row>
    <row r="103" spans="9:15" ht="15.95" customHeight="1">
      <c r="I103" s="2"/>
      <c r="J103" s="2"/>
      <c r="K103" s="2"/>
      <c r="L103" s="2"/>
      <c r="M103" s="2"/>
      <c r="N103" s="2"/>
      <c r="O103" s="2"/>
    </row>
    <row r="104" spans="9:15" ht="15.95" customHeight="1">
      <c r="I104" s="2"/>
      <c r="J104" s="2"/>
      <c r="K104" s="2"/>
      <c r="L104" s="2"/>
      <c r="M104" s="2"/>
      <c r="N104" s="2"/>
      <c r="O104" s="2"/>
    </row>
    <row r="105" spans="9:15" ht="15.95" customHeight="1">
      <c r="I105" s="2"/>
      <c r="J105" s="2"/>
      <c r="K105" s="2"/>
      <c r="L105" s="2"/>
      <c r="M105" s="2"/>
      <c r="N105" s="2"/>
      <c r="O105" s="2"/>
    </row>
    <row r="106" spans="9:15" ht="15.95" customHeight="1">
      <c r="I106" s="2"/>
      <c r="J106" s="2"/>
      <c r="K106" s="2"/>
      <c r="L106" s="2"/>
      <c r="M106" s="2"/>
      <c r="N106" s="2"/>
      <c r="O106" s="2"/>
    </row>
    <row r="107" spans="9:15" ht="15.95" customHeight="1">
      <c r="I107" s="2"/>
      <c r="J107" s="2"/>
      <c r="K107" s="2"/>
      <c r="L107" s="2"/>
      <c r="M107" s="2"/>
      <c r="N107" s="2"/>
      <c r="O107" s="2"/>
    </row>
    <row r="108" spans="9:15" ht="15.95" customHeight="1">
      <c r="K108" s="2"/>
      <c r="L108" s="2"/>
      <c r="M108" s="2"/>
      <c r="N108" s="2"/>
      <c r="O108" s="2"/>
    </row>
    <row r="109" spans="9:15" ht="15.95" customHeight="1">
      <c r="K109" s="2"/>
      <c r="L109" s="2"/>
      <c r="M109" s="2"/>
      <c r="N109" s="2"/>
      <c r="O109" s="2"/>
    </row>
    <row r="110" spans="9:15" ht="15.95" customHeight="1">
      <c r="K110" s="2"/>
      <c r="L110" s="2"/>
      <c r="M110" s="2"/>
      <c r="N110" s="2"/>
      <c r="O110" s="2"/>
    </row>
    <row r="111" spans="9:15" ht="15.95" customHeight="1">
      <c r="K111" s="2"/>
      <c r="L111" s="2"/>
      <c r="M111" s="2"/>
      <c r="N111" s="2"/>
      <c r="O111" s="2"/>
    </row>
    <row r="112" spans="9:15" ht="15.95" customHeight="1">
      <c r="K112" s="2"/>
      <c r="L112" s="2"/>
      <c r="M112" s="2"/>
      <c r="N112" s="2"/>
      <c r="O112" s="2"/>
    </row>
    <row r="113" spans="11:15" ht="15.95" customHeight="1">
      <c r="K113" s="2"/>
      <c r="L113" s="2"/>
      <c r="M113" s="2"/>
      <c r="N113" s="2"/>
      <c r="O113" s="2"/>
    </row>
    <row r="114" spans="11:15" ht="15.95" customHeight="1">
      <c r="K114" s="2"/>
      <c r="L114" s="2"/>
      <c r="M114" s="2"/>
      <c r="N114" s="2"/>
      <c r="O114" s="2"/>
    </row>
    <row r="115" spans="11:15" ht="15.95" customHeight="1">
      <c r="K115" s="2"/>
      <c r="L115" s="2"/>
      <c r="M115" s="2"/>
      <c r="N115" s="2"/>
      <c r="O115" s="2"/>
    </row>
    <row r="116" spans="11:15" ht="15.95" customHeight="1">
      <c r="K116" s="2"/>
      <c r="L116" s="2"/>
      <c r="M116" s="2"/>
      <c r="N116" s="2"/>
      <c r="O116" s="2"/>
    </row>
  </sheetData>
  <sortState xmlns:xlrd2="http://schemas.microsoft.com/office/spreadsheetml/2017/richdata2" ref="B41:B43">
    <sortCondition ref="B40:B43"/>
  </sortState>
  <mergeCells count="2">
    <mergeCell ref="B11:B12"/>
    <mergeCell ref="B4:F9"/>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8CBAD"/>
  </sheetPr>
  <dimension ref="B2:W144"/>
  <sheetViews>
    <sheetView zoomScaleNormal="100" workbookViewId="0"/>
  </sheetViews>
  <sheetFormatPr defaultColWidth="8.125" defaultRowHeight="15.95" customHeight="1"/>
  <cols>
    <col min="1" max="1" width="8.125" style="665"/>
    <col min="2" max="2" width="32" style="665" customWidth="1"/>
    <col min="3" max="3" width="28.625" style="665" customWidth="1"/>
    <col min="4" max="4" width="42" style="665" customWidth="1"/>
    <col min="5" max="5" width="17.125" style="665" customWidth="1"/>
    <col min="6" max="6" width="18.625" style="665" customWidth="1"/>
    <col min="7" max="9" width="38.875" style="665" customWidth="1"/>
    <col min="10" max="10" width="42.125" style="671" customWidth="1"/>
    <col min="11" max="11" width="24.375" style="665" customWidth="1"/>
    <col min="12" max="12" width="25.625" style="665" customWidth="1"/>
    <col min="13" max="13" width="24.625" style="665" customWidth="1"/>
    <col min="14" max="14" width="9.5" style="665" customWidth="1"/>
    <col min="15" max="15" width="36.375" style="671" customWidth="1"/>
    <col min="16" max="17" width="45.125" style="665" customWidth="1"/>
    <col min="18" max="18" width="20.875" style="665" customWidth="1"/>
    <col min="19" max="19" width="26.625" style="665" customWidth="1"/>
    <col min="20" max="20" width="18" style="665" customWidth="1"/>
    <col min="21" max="22" width="25.375" style="665" customWidth="1"/>
    <col min="23" max="23" width="22.375" style="665" customWidth="1"/>
    <col min="24" max="16384" width="8.125" style="665"/>
  </cols>
  <sheetData>
    <row r="2" spans="2:23" ht="24.75" customHeight="1">
      <c r="B2" s="605" t="s">
        <v>6694</v>
      </c>
    </row>
    <row r="4" spans="2:23" ht="15.95" customHeight="1">
      <c r="B4" s="1505" t="s">
        <v>6695</v>
      </c>
      <c r="C4" s="1505"/>
      <c r="D4" s="1505"/>
      <c r="E4" s="1505"/>
      <c r="F4" s="1359"/>
      <c r="G4" s="701"/>
      <c r="H4" s="701"/>
      <c r="I4" s="701"/>
    </row>
    <row r="5" spans="2:23" ht="15.95" customHeight="1">
      <c r="B5" s="1505"/>
      <c r="C5" s="1505"/>
      <c r="D5" s="1505"/>
      <c r="E5" s="1505"/>
      <c r="F5" s="1359"/>
      <c r="G5" s="701"/>
      <c r="H5" s="701"/>
      <c r="I5" s="701"/>
    </row>
    <row r="6" spans="2:23" ht="15.95" customHeight="1">
      <c r="B6" s="1505"/>
      <c r="C6" s="1505"/>
      <c r="D6" s="1505"/>
      <c r="E6" s="1505"/>
      <c r="F6" s="1359"/>
      <c r="G6" s="701"/>
      <c r="H6" s="701"/>
      <c r="I6" s="701"/>
    </row>
    <row r="7" spans="2:23" ht="15.95" customHeight="1">
      <c r="B7" s="1505"/>
      <c r="C7" s="1505"/>
      <c r="D7" s="1505"/>
      <c r="E7" s="1505"/>
      <c r="F7" s="1359"/>
      <c r="G7" s="701"/>
      <c r="H7" s="701"/>
      <c r="I7" s="701"/>
    </row>
    <row r="8" spans="2:23" ht="15.95" customHeight="1">
      <c r="B8" s="1505"/>
      <c r="C8" s="1505"/>
      <c r="D8" s="1505"/>
      <c r="E8" s="1505"/>
      <c r="F8" s="1359"/>
      <c r="G8" s="701"/>
      <c r="H8" s="701"/>
      <c r="I8" s="701"/>
    </row>
    <row r="9" spans="2:23" ht="15.95" customHeight="1">
      <c r="B9" s="1505"/>
      <c r="C9" s="1505"/>
      <c r="D9" s="1505"/>
      <c r="E9" s="1505"/>
      <c r="F9" s="1359"/>
      <c r="G9" s="701"/>
      <c r="H9" s="701"/>
      <c r="I9" s="701"/>
    </row>
    <row r="11" spans="2:23" ht="24.75" customHeight="1">
      <c r="B11" s="669" t="s">
        <v>6696</v>
      </c>
      <c r="C11" s="670" t="s">
        <v>6697</v>
      </c>
      <c r="D11" s="670" t="s">
        <v>6698</v>
      </c>
      <c r="E11" s="670" t="s">
        <v>6699</v>
      </c>
      <c r="F11" s="670" t="s">
        <v>6700</v>
      </c>
      <c r="G11" s="670" t="s">
        <v>6701</v>
      </c>
      <c r="H11" s="670" t="s">
        <v>6702</v>
      </c>
      <c r="I11" s="670" t="s">
        <v>6703</v>
      </c>
      <c r="J11" s="672" t="s">
        <v>6704</v>
      </c>
      <c r="K11" s="670" t="s">
        <v>5045</v>
      </c>
      <c r="L11" s="670" t="s">
        <v>6705</v>
      </c>
      <c r="M11" s="670" t="s">
        <v>6706</v>
      </c>
      <c r="N11" s="670" t="s">
        <v>6123</v>
      </c>
      <c r="O11" s="672" t="s">
        <v>6707</v>
      </c>
      <c r="P11" s="670" t="s">
        <v>6708</v>
      </c>
      <c r="Q11" s="670" t="s">
        <v>6709</v>
      </c>
      <c r="R11" s="670" t="s">
        <v>6710</v>
      </c>
      <c r="S11" s="670" t="s">
        <v>6608</v>
      </c>
      <c r="T11" s="670" t="s">
        <v>6609</v>
      </c>
      <c r="U11" s="670" t="s">
        <v>6711</v>
      </c>
      <c r="V11" s="670" t="s">
        <v>6712</v>
      </c>
      <c r="W11" s="670" t="s">
        <v>6713</v>
      </c>
    </row>
    <row r="12" spans="2:23" ht="15.95" customHeight="1">
      <c r="B12" s="665" t="s">
        <v>6714</v>
      </c>
      <c r="C12" s="676" t="s">
        <v>3949</v>
      </c>
      <c r="D12" s="673">
        <f>G12/'Exchange Rates'!$C$13</f>
        <v>18.641189031889635</v>
      </c>
      <c r="E12" s="674">
        <f>(G12/(O12/1000000000))*100</f>
        <v>0.86135279859176905</v>
      </c>
      <c r="F12" s="674">
        <f t="shared" ref="F12:F31" si="0">(H12/(Q12/1000000000))*100</f>
        <v>1.0691258889130508</v>
      </c>
      <c r="G12" s="675">
        <f>((((J12)/(VLOOKUP(L12,deflator!$B:$D,3)))*deflator!$C$107)/(M12/12)/1000000000)</f>
        <v>20.259244239857654</v>
      </c>
      <c r="H12" s="675">
        <f t="shared" ref="H12:H27" si="1">J12/(M12/12)/1000000000</f>
        <v>1.3829784848623659</v>
      </c>
      <c r="I12" s="675" t="s">
        <v>364</v>
      </c>
      <c r="J12" s="675">
        <v>1037233863.6467744</v>
      </c>
      <c r="K12" s="676" t="s">
        <v>456</v>
      </c>
      <c r="L12" s="676">
        <v>1941</v>
      </c>
      <c r="M12" s="676">
        <v>9</v>
      </c>
      <c r="N12" s="676">
        <v>1941</v>
      </c>
      <c r="O12" s="675">
        <f>(((P12)/(VLOOKUP(R12,deflator!$B:$D,3)))*deflator!$D$107)</f>
        <v>2352026286206.9546</v>
      </c>
      <c r="P12" s="675">
        <v>1815098662467.4001</v>
      </c>
      <c r="Q12" s="675">
        <f>1000000*129356</f>
        <v>129356000000</v>
      </c>
      <c r="R12" s="676">
        <v>2011</v>
      </c>
      <c r="S12" s="676" t="s">
        <v>6715</v>
      </c>
      <c r="T12" s="676" t="s">
        <v>6716</v>
      </c>
      <c r="U12" s="676" t="s">
        <v>6717</v>
      </c>
      <c r="V12" s="676"/>
      <c r="W12" s="676" t="s">
        <v>6718</v>
      </c>
    </row>
    <row r="13" spans="2:23" ht="15.95" customHeight="1">
      <c r="B13" s="665" t="s">
        <v>6719</v>
      </c>
      <c r="C13" s="676" t="s">
        <v>3949</v>
      </c>
      <c r="D13" s="673">
        <f>G13/'Exchange Rates'!$C$13</f>
        <v>52.172222028962047</v>
      </c>
      <c r="E13" s="674">
        <f t="shared" ref="E13:E31" si="2">(G13/(O13/1000000000))*100</f>
        <v>2.1735335959952544</v>
      </c>
      <c r="F13" s="674">
        <f t="shared" si="0"/>
        <v>2.5261272789934881</v>
      </c>
      <c r="G13" s="675">
        <f>((((J13)/(VLOOKUP(L13,deflator!$B:$D,3)))*deflator!$C$107)/(M13/12)/1000000000)</f>
        <v>56.700770901075956</v>
      </c>
      <c r="H13" s="675">
        <f t="shared" si="1"/>
        <v>4.1932954993108211</v>
      </c>
      <c r="I13" s="675" t="s">
        <v>364</v>
      </c>
      <c r="J13" s="675">
        <v>4193295499.3108215</v>
      </c>
      <c r="K13" s="676" t="s">
        <v>456</v>
      </c>
      <c r="L13" s="676">
        <v>1942</v>
      </c>
      <c r="M13" s="676">
        <v>12</v>
      </c>
      <c r="N13" s="676">
        <v>1942</v>
      </c>
      <c r="O13" s="675">
        <f>(((P13)/(VLOOKUP(R13,deflator!$B:$D,3)))*deflator!$D$107)</f>
        <v>2608690797581.7524</v>
      </c>
      <c r="P13" s="675">
        <v>2013171028423.2</v>
      </c>
      <c r="Q13" s="675">
        <f>1000000*165997</f>
        <v>165997000000</v>
      </c>
      <c r="R13" s="676">
        <v>2011</v>
      </c>
      <c r="S13" s="676" t="s">
        <v>6715</v>
      </c>
      <c r="T13" s="676" t="s">
        <v>6716</v>
      </c>
      <c r="U13" s="676" t="s">
        <v>6717</v>
      </c>
      <c r="V13" s="676"/>
      <c r="W13" s="676" t="s">
        <v>6718</v>
      </c>
    </row>
    <row r="14" spans="2:23" ht="15.95" customHeight="1">
      <c r="B14" s="665" t="s">
        <v>6720</v>
      </c>
      <c r="C14" s="676" t="s">
        <v>3949</v>
      </c>
      <c r="D14" s="673">
        <f>G14/'Exchange Rates'!$C$13</f>
        <v>96.050726964361374</v>
      </c>
      <c r="E14" s="674">
        <f t="shared" si="2"/>
        <v>3.6563307175594675</v>
      </c>
      <c r="F14" s="674">
        <f t="shared" si="0"/>
        <v>3.9823841764994974</v>
      </c>
      <c r="G14" s="675">
        <f>((((J14)/(VLOOKUP(L14,deflator!$B:$D,3)))*deflator!$C$107)/(M14/12)/1000000000)</f>
        <v>104.38793006486794</v>
      </c>
      <c r="H14" s="675">
        <f t="shared" si="1"/>
        <v>8.0890983869893098</v>
      </c>
      <c r="I14" s="675" t="s">
        <v>364</v>
      </c>
      <c r="J14" s="675">
        <v>8089098386.9893103</v>
      </c>
      <c r="K14" s="676" t="s">
        <v>456</v>
      </c>
      <c r="L14" s="676">
        <v>1943</v>
      </c>
      <c r="M14" s="676">
        <v>12</v>
      </c>
      <c r="N14" s="676">
        <v>1943</v>
      </c>
      <c r="O14" s="675">
        <f>(((P14)/(VLOOKUP(R14,deflator!$B:$D,3)))*deflator!$D$107)</f>
        <v>2854991469003.2456</v>
      </c>
      <c r="P14" s="675">
        <v>2203245442932.7998</v>
      </c>
      <c r="Q14" s="675">
        <f>1000000*203122</f>
        <v>203122000000</v>
      </c>
      <c r="R14" s="676">
        <v>2011</v>
      </c>
      <c r="S14" s="676" t="s">
        <v>6715</v>
      </c>
      <c r="T14" s="676" t="s">
        <v>6716</v>
      </c>
      <c r="U14" s="676" t="s">
        <v>6717</v>
      </c>
      <c r="V14" s="676"/>
      <c r="W14" s="676" t="s">
        <v>6718</v>
      </c>
    </row>
    <row r="15" spans="2:23" ht="15.95" customHeight="1">
      <c r="B15" s="665" t="s">
        <v>6721</v>
      </c>
      <c r="C15" s="676" t="s">
        <v>3949</v>
      </c>
      <c r="D15" s="673">
        <f>G15/'Exchange Rates'!$C$13</f>
        <v>113.84437508517205</v>
      </c>
      <c r="E15" s="674">
        <f t="shared" si="2"/>
        <v>4.042682389081552</v>
      </c>
      <c r="F15" s="674">
        <f t="shared" si="0"/>
        <v>4.3714748933810119</v>
      </c>
      <c r="G15" s="675">
        <f>((((J15)/(VLOOKUP(L15,deflator!$B:$D,3)))*deflator!$C$107)/(M15/12)/1000000000)</f>
        <v>123.72606684256498</v>
      </c>
      <c r="H15" s="675">
        <f t="shared" si="1"/>
        <v>9.816146873087062</v>
      </c>
      <c r="I15" s="675" t="s">
        <v>364</v>
      </c>
      <c r="J15" s="675">
        <v>9816146873.0870628</v>
      </c>
      <c r="K15" s="676" t="s">
        <v>456</v>
      </c>
      <c r="L15" s="676">
        <v>1944</v>
      </c>
      <c r="M15" s="676">
        <v>12</v>
      </c>
      <c r="N15" s="676">
        <v>1944</v>
      </c>
      <c r="O15" s="675">
        <f>(((P15)/(VLOOKUP(R15,deflator!$B:$D,3)))*deflator!$D$107)</f>
        <v>3060494368212.6367</v>
      </c>
      <c r="P15" s="675">
        <v>2361835523186.3999</v>
      </c>
      <c r="Q15" s="675">
        <f>1000000*224550</f>
        <v>224550000000</v>
      </c>
      <c r="R15" s="676">
        <v>2011</v>
      </c>
      <c r="S15" s="676" t="s">
        <v>6715</v>
      </c>
      <c r="T15" s="676" t="s">
        <v>6716</v>
      </c>
      <c r="U15" s="676" t="s">
        <v>6717</v>
      </c>
      <c r="V15" s="676"/>
      <c r="W15" s="676" t="s">
        <v>6718</v>
      </c>
    </row>
    <row r="16" spans="2:23" ht="15.95" customHeight="1">
      <c r="B16" s="702" t="s">
        <v>6722</v>
      </c>
      <c r="C16" s="676" t="s">
        <v>3949</v>
      </c>
      <c r="D16" s="673">
        <f>G16/'Exchange Rates'!$C$13</f>
        <v>58.646607562846754</v>
      </c>
      <c r="E16" s="674">
        <f t="shared" si="2"/>
        <v>2.1250147843070621</v>
      </c>
      <c r="F16" s="674">
        <f t="shared" si="0"/>
        <v>2.271507658350481</v>
      </c>
      <c r="G16" s="675">
        <f>((((J16)/(VLOOKUP(L16,deflator!$B:$D,3)))*deflator!$C$107)/(M16/12)/1000000000)</f>
        <v>63.73713309930185</v>
      </c>
      <c r="H16" s="675">
        <f t="shared" si="1"/>
        <v>5.1829671692880428</v>
      </c>
      <c r="I16" s="675" t="s">
        <v>364</v>
      </c>
      <c r="J16" s="675">
        <v>3887225376.966032</v>
      </c>
      <c r="K16" s="676" t="s">
        <v>456</v>
      </c>
      <c r="L16" s="676">
        <v>1945</v>
      </c>
      <c r="M16" s="676">
        <v>9</v>
      </c>
      <c r="N16" s="676">
        <v>1945</v>
      </c>
      <c r="O16" s="675">
        <f>(((P16)/(VLOOKUP(R16,deflator!$B:$D,3)))*deflator!$D$107)</f>
        <v>2999373631185.6128</v>
      </c>
      <c r="P16" s="675">
        <v>2314667611553.2002</v>
      </c>
      <c r="Q16" s="675">
        <f>1000000*228173</f>
        <v>228173000000</v>
      </c>
      <c r="R16" s="676">
        <v>2011</v>
      </c>
      <c r="S16" s="676" t="s">
        <v>6715</v>
      </c>
      <c r="T16" s="676" t="s">
        <v>6716</v>
      </c>
      <c r="U16" s="676" t="s">
        <v>6717</v>
      </c>
      <c r="V16" s="676"/>
      <c r="W16" s="676" t="s">
        <v>6718</v>
      </c>
    </row>
    <row r="17" spans="2:23" ht="15.95" customHeight="1">
      <c r="B17" s="702" t="s">
        <v>4722</v>
      </c>
      <c r="C17" s="676" t="s">
        <v>3949</v>
      </c>
      <c r="D17" s="673">
        <f>G17/'Exchange Rates'!$C$13</f>
        <v>67.949377875955378</v>
      </c>
      <c r="E17" s="674">
        <f t="shared" ref="E17" si="3">(G17/(O17/1000000000))*100</f>
        <v>2.6610564108030452</v>
      </c>
      <c r="F17" s="674">
        <f t="shared" si="0"/>
        <v>3.1566041513497249</v>
      </c>
      <c r="G17" s="675">
        <f>((((J17)/(VLOOKUP(L17,deflator!$B:$D,3)))*deflator!$C$107)/(M17/12)/1000000000)</f>
        <v>73.847383875588307</v>
      </c>
      <c r="H17" s="675">
        <f t="shared" si="1"/>
        <v>6.0051111111111108</v>
      </c>
      <c r="I17" s="675" t="s">
        <v>364</v>
      </c>
      <c r="J17" s="675">
        <f>SUM(J12:J16)</f>
        <v>27023000000</v>
      </c>
      <c r="K17" s="676" t="s">
        <v>456</v>
      </c>
      <c r="L17" s="676">
        <v>1945</v>
      </c>
      <c r="M17" s="676">
        <f>SUM(M12:M16)</f>
        <v>54</v>
      </c>
      <c r="N17" s="676">
        <v>1945</v>
      </c>
      <c r="O17" s="675">
        <f>AVERAGE(O12:O16)</f>
        <v>2775115310438.0405</v>
      </c>
      <c r="P17" s="677">
        <f>AVERAGE(P12:P16)</f>
        <v>2141603653712.6001</v>
      </c>
      <c r="Q17" s="675">
        <f>AVERAGE(Q12:Q16)</f>
        <v>190239600000</v>
      </c>
      <c r="R17" s="676">
        <v>2011</v>
      </c>
      <c r="S17" s="676" t="s">
        <v>6715</v>
      </c>
      <c r="T17" s="676" t="s">
        <v>6716</v>
      </c>
      <c r="U17" s="676" t="s">
        <v>6717</v>
      </c>
      <c r="V17" s="676"/>
      <c r="W17" s="676" t="s">
        <v>6718</v>
      </c>
    </row>
    <row r="18" spans="2:23" ht="15.95" customHeight="1">
      <c r="B18" s="702" t="s">
        <v>6723</v>
      </c>
      <c r="C18" s="676" t="s">
        <v>3949</v>
      </c>
      <c r="D18" s="673">
        <f>G18/'Exchange Rates'!$C$13</f>
        <v>1.0783212746072361</v>
      </c>
      <c r="E18" s="674">
        <f t="shared" si="2"/>
        <v>4.9825955097341425E-2</v>
      </c>
      <c r="F18" s="674">
        <f t="shared" si="0"/>
        <v>6.184483131822259E-2</v>
      </c>
      <c r="G18" s="675">
        <f>((((J18)/(VLOOKUP(L18,deflator!$B:$D,3)))*deflator!$C$107)/(M18/12)/1000000000)</f>
        <v>1.1719195612431443</v>
      </c>
      <c r="H18" s="675">
        <f t="shared" si="1"/>
        <v>0.08</v>
      </c>
      <c r="I18" s="675" t="s">
        <v>364</v>
      </c>
      <c r="J18" s="675">
        <v>20000000</v>
      </c>
      <c r="K18" s="676" t="s">
        <v>456</v>
      </c>
      <c r="L18" s="676">
        <v>1941</v>
      </c>
      <c r="M18" s="676">
        <v>3</v>
      </c>
      <c r="N18" s="676">
        <v>1941</v>
      </c>
      <c r="O18" s="675">
        <f>(((P18)/(VLOOKUP(R18,deflator!$B:$D,3)))*deflator!$D$107)</f>
        <v>2352026286206.9546</v>
      </c>
      <c r="P18" s="675">
        <v>1815098662467.4001</v>
      </c>
      <c r="Q18" s="675">
        <v>129356000000</v>
      </c>
      <c r="R18" s="676">
        <v>2011</v>
      </c>
      <c r="S18" s="676" t="s">
        <v>6715</v>
      </c>
      <c r="T18" s="676" t="s">
        <v>6716</v>
      </c>
      <c r="U18" s="676" t="s">
        <v>6717</v>
      </c>
      <c r="V18" s="676"/>
      <c r="W18" s="676" t="s">
        <v>6718</v>
      </c>
    </row>
    <row r="19" spans="2:23" ht="15.95" customHeight="1">
      <c r="B19" s="702" t="s">
        <v>6724</v>
      </c>
      <c r="C19" s="676" t="s">
        <v>3949</v>
      </c>
      <c r="D19" s="673">
        <f>G19/'Exchange Rates'!$C$13</f>
        <v>17.119942423244552</v>
      </c>
      <c r="E19" s="674">
        <f t="shared" si="2"/>
        <v>0.71322954191542487</v>
      </c>
      <c r="F19" s="674">
        <f t="shared" si="0"/>
        <v>0.8289306433248792</v>
      </c>
      <c r="G19" s="675">
        <f>((((J19)/(VLOOKUP(L19,deflator!$B:$D,3)))*deflator!$C$107)/(M19/12)/1000000000)</f>
        <v>18.605953425582179</v>
      </c>
      <c r="H19" s="675">
        <f t="shared" si="1"/>
        <v>1.3759999999999999</v>
      </c>
      <c r="I19" s="675" t="s">
        <v>364</v>
      </c>
      <c r="J19" s="675">
        <v>1376000000</v>
      </c>
      <c r="K19" s="676" t="s">
        <v>456</v>
      </c>
      <c r="L19" s="676">
        <v>1942</v>
      </c>
      <c r="M19" s="676">
        <v>12</v>
      </c>
      <c r="N19" s="676">
        <v>1942</v>
      </c>
      <c r="O19" s="675">
        <f>(((P19)/(VLOOKUP(R19,deflator!$B:$D,3)))*deflator!$D$107)</f>
        <v>2608690797581.7524</v>
      </c>
      <c r="P19" s="675">
        <v>2013171028423.2</v>
      </c>
      <c r="Q19" s="675">
        <v>165997000000</v>
      </c>
      <c r="R19" s="676">
        <v>2011</v>
      </c>
      <c r="S19" s="676" t="s">
        <v>6715</v>
      </c>
      <c r="T19" s="676" t="s">
        <v>6716</v>
      </c>
      <c r="U19" s="676" t="s">
        <v>6717</v>
      </c>
      <c r="V19" s="676"/>
      <c r="W19" s="676" t="s">
        <v>6718</v>
      </c>
    </row>
    <row r="20" spans="2:23" ht="15.95" customHeight="1">
      <c r="B20" s="702" t="s">
        <v>6725</v>
      </c>
      <c r="C20" s="676" t="s">
        <v>3949</v>
      </c>
      <c r="D20" s="673">
        <f>G20/'Exchange Rates'!$C$13</f>
        <v>28.92529670074509</v>
      </c>
      <c r="E20" s="674">
        <f t="shared" si="2"/>
        <v>1.1010895407454553</v>
      </c>
      <c r="F20" s="674">
        <f t="shared" si="0"/>
        <v>1.1992792508935515</v>
      </c>
      <c r="G20" s="675">
        <f>((((J20)/(VLOOKUP(L20,deflator!$B:$D,3)))*deflator!$C$107)/(M20/12)/1000000000)</f>
        <v>31.436012454369763</v>
      </c>
      <c r="H20" s="675">
        <f t="shared" si="1"/>
        <v>2.4359999999999999</v>
      </c>
      <c r="I20" s="675" t="s">
        <v>364</v>
      </c>
      <c r="J20" s="675">
        <v>2436000000</v>
      </c>
      <c r="K20" s="676" t="s">
        <v>456</v>
      </c>
      <c r="L20" s="676">
        <v>1943</v>
      </c>
      <c r="M20" s="676">
        <v>12</v>
      </c>
      <c r="N20" s="676">
        <v>1943</v>
      </c>
      <c r="O20" s="675">
        <f>(((P20)/(VLOOKUP(R20,deflator!$B:$D,3)))*deflator!$D$107)</f>
        <v>2854991469003.2456</v>
      </c>
      <c r="P20" s="675">
        <v>2203245442932.7998</v>
      </c>
      <c r="Q20" s="675">
        <v>203122000000</v>
      </c>
      <c r="R20" s="676">
        <v>2011</v>
      </c>
      <c r="S20" s="676" t="s">
        <v>6715</v>
      </c>
      <c r="T20" s="676" t="s">
        <v>6716</v>
      </c>
      <c r="U20" s="676" t="s">
        <v>6717</v>
      </c>
      <c r="V20" s="676"/>
      <c r="W20" s="676" t="s">
        <v>6718</v>
      </c>
    </row>
    <row r="21" spans="2:23" ht="15.95" customHeight="1">
      <c r="B21" s="702" t="s">
        <v>6726</v>
      </c>
      <c r="C21" s="676" t="s">
        <v>3949</v>
      </c>
      <c r="D21" s="673">
        <f>G21/'Exchange Rates'!$C$13</f>
        <v>47.248883914787086</v>
      </c>
      <c r="E21" s="674">
        <f t="shared" si="2"/>
        <v>1.6778363512748313</v>
      </c>
      <c r="F21" s="674">
        <f t="shared" si="0"/>
        <v>1.8142952571810287</v>
      </c>
      <c r="G21" s="675">
        <f>((((J21)/(VLOOKUP(L21,deflator!$B:$D,3)))*deflator!$C$107)/(M21/12)/1000000000)</f>
        <v>51.350087038590608</v>
      </c>
      <c r="H21" s="675">
        <f t="shared" si="1"/>
        <v>4.0739999999999998</v>
      </c>
      <c r="I21" s="675" t="s">
        <v>364</v>
      </c>
      <c r="J21" s="675">
        <v>4074000000</v>
      </c>
      <c r="K21" s="676" t="s">
        <v>456</v>
      </c>
      <c r="L21" s="676">
        <v>1944</v>
      </c>
      <c r="M21" s="676">
        <v>12</v>
      </c>
      <c r="N21" s="676">
        <v>1944</v>
      </c>
      <c r="O21" s="675">
        <f>(((P21)/(VLOOKUP(R21,deflator!$B:$D,3)))*deflator!$D$107)</f>
        <v>3060494368212.6367</v>
      </c>
      <c r="P21" s="675">
        <v>2361835523186.3999</v>
      </c>
      <c r="Q21" s="675">
        <v>224550000000</v>
      </c>
      <c r="R21" s="676">
        <v>2011</v>
      </c>
      <c r="S21" s="676" t="s">
        <v>6715</v>
      </c>
      <c r="T21" s="676" t="s">
        <v>6716</v>
      </c>
      <c r="U21" s="676" t="s">
        <v>6717</v>
      </c>
      <c r="V21" s="676"/>
      <c r="W21" s="676" t="s">
        <v>6718</v>
      </c>
    </row>
    <row r="22" spans="2:23" ht="15.95" customHeight="1">
      <c r="B22" s="702" t="s">
        <v>6727</v>
      </c>
      <c r="C22" s="676" t="s">
        <v>3949</v>
      </c>
      <c r="D22" s="673">
        <f>G22/'Exchange Rates'!$C$13</f>
        <v>41.700495233499019</v>
      </c>
      <c r="E22" s="674">
        <f t="shared" si="2"/>
        <v>1.5109854187073151</v>
      </c>
      <c r="F22" s="674">
        <f t="shared" si="0"/>
        <v>1.6151487394798392</v>
      </c>
      <c r="G22" s="675">
        <f>((((J22)/(VLOOKUP(L22,deflator!$B:$D,3)))*deflator!$C$107)/(M22/12)/1000000000)</f>
        <v>45.320098219766734</v>
      </c>
      <c r="H22" s="675">
        <f t="shared" si="1"/>
        <v>3.6853333333333333</v>
      </c>
      <c r="I22" s="675" t="s">
        <v>364</v>
      </c>
      <c r="J22" s="675">
        <v>2764000000</v>
      </c>
      <c r="K22" s="676" t="s">
        <v>456</v>
      </c>
      <c r="L22" s="676">
        <v>1945</v>
      </c>
      <c r="M22" s="676">
        <v>9</v>
      </c>
      <c r="N22" s="676">
        <v>1945</v>
      </c>
      <c r="O22" s="675">
        <f>(((P22)/(VLOOKUP(R22,deflator!$B:$D,3)))*deflator!$D$107)</f>
        <v>2999373631185.6128</v>
      </c>
      <c r="P22" s="675">
        <v>2314667611553.2002</v>
      </c>
      <c r="Q22" s="675">
        <v>228173000000</v>
      </c>
      <c r="R22" s="676">
        <v>2011</v>
      </c>
      <c r="S22" s="676" t="s">
        <v>6715</v>
      </c>
      <c r="T22" s="676" t="s">
        <v>6716</v>
      </c>
      <c r="U22" s="676" t="s">
        <v>6717</v>
      </c>
      <c r="V22" s="676"/>
      <c r="W22" s="676" t="s">
        <v>6718</v>
      </c>
    </row>
    <row r="23" spans="2:23" ht="15.95" customHeight="1">
      <c r="B23" s="702" t="s">
        <v>4724</v>
      </c>
      <c r="C23" s="676" t="s">
        <v>3949</v>
      </c>
      <c r="D23" s="673">
        <f>G23/'Exchange Rates'!$C$13</f>
        <v>30.183449087018438</v>
      </c>
      <c r="E23" s="674">
        <f t="shared" si="2"/>
        <v>1.1820543940782684</v>
      </c>
      <c r="F23" s="674">
        <f t="shared" si="0"/>
        <v>1.4021791467181386</v>
      </c>
      <c r="G23" s="675">
        <f>((((J23)/(VLOOKUP(L23,deflator!$B:$D,3)))*deflator!$C$107)/(M23/12)/1000000000)</f>
        <v>32.803372467771638</v>
      </c>
      <c r="H23" s="675">
        <f t="shared" si="1"/>
        <v>2.6675</v>
      </c>
      <c r="I23" s="675" t="s">
        <v>364</v>
      </c>
      <c r="J23" s="675">
        <v>10670000000</v>
      </c>
      <c r="K23" s="676" t="s">
        <v>456</v>
      </c>
      <c r="L23" s="676">
        <v>1945</v>
      </c>
      <c r="M23" s="676">
        <f>SUM(M18:M22)</f>
        <v>48</v>
      </c>
      <c r="N23" s="676">
        <v>1945</v>
      </c>
      <c r="O23" s="675">
        <f>AVERAGE(O18:O22)</f>
        <v>2775115310438.0405</v>
      </c>
      <c r="P23" s="677">
        <f>AVERAGE(P18:P22)</f>
        <v>2141603653712.6001</v>
      </c>
      <c r="Q23" s="675">
        <f>AVERAGE(Q18:Q22)</f>
        <v>190239600000</v>
      </c>
      <c r="R23" s="676">
        <v>2011</v>
      </c>
      <c r="S23" s="676" t="s">
        <v>6715</v>
      </c>
      <c r="T23" s="676" t="s">
        <v>6716</v>
      </c>
      <c r="U23" s="676" t="s">
        <v>6717</v>
      </c>
      <c r="V23" s="676"/>
      <c r="W23" s="676" t="s">
        <v>6718</v>
      </c>
    </row>
    <row r="24" spans="2:23" ht="15.95" customHeight="1">
      <c r="B24" s="702" t="s">
        <v>6728</v>
      </c>
      <c r="C24" s="676" t="s">
        <v>3949</v>
      </c>
      <c r="D24" s="673">
        <f>G24/'Exchange Rates'!$C$13</f>
        <v>5.6374929513667285</v>
      </c>
      <c r="E24" s="674">
        <f t="shared" si="2"/>
        <v>0.20019077320254952</v>
      </c>
      <c r="F24" s="674">
        <f t="shared" si="0"/>
        <v>0.21647234551618982</v>
      </c>
      <c r="G24" s="675">
        <f>((((J24)/(VLOOKUP(L24,deflator!$B:$D,3)))*deflator!$C$107)/(M24/12)/1000000000)</f>
        <v>6.1268273395453603</v>
      </c>
      <c r="H24" s="675">
        <f t="shared" si="1"/>
        <v>0.48608865185660427</v>
      </c>
      <c r="I24" s="675" t="s">
        <v>364</v>
      </c>
      <c r="J24" s="675">
        <v>486088651.85660428</v>
      </c>
      <c r="K24" s="676" t="s">
        <v>456</v>
      </c>
      <c r="L24" s="676">
        <v>1944</v>
      </c>
      <c r="M24" s="676">
        <v>12</v>
      </c>
      <c r="N24" s="676">
        <v>1944</v>
      </c>
      <c r="O24" s="675">
        <f>(((P24)/(VLOOKUP(R24,deflator!$B:$D,3)))*deflator!$D$107)</f>
        <v>3060494368212.6367</v>
      </c>
      <c r="P24" s="675">
        <v>2361835523186.3999</v>
      </c>
      <c r="Q24" s="675">
        <f>1000000*224550</f>
        <v>224550000000</v>
      </c>
      <c r="R24" s="676">
        <v>2011</v>
      </c>
      <c r="S24" s="676" t="s">
        <v>6715</v>
      </c>
      <c r="T24" s="676" t="s">
        <v>6716</v>
      </c>
      <c r="U24" s="676" t="s">
        <v>6717</v>
      </c>
      <c r="V24" s="676"/>
      <c r="W24" s="676" t="s">
        <v>6718</v>
      </c>
    </row>
    <row r="25" spans="2:23" ht="15.95" customHeight="1">
      <c r="B25" s="702" t="s">
        <v>6729</v>
      </c>
      <c r="C25" s="676" t="s">
        <v>3949</v>
      </c>
      <c r="D25" s="673">
        <f>G25/'Exchange Rates'!$C$13</f>
        <v>13.887763779173451</v>
      </c>
      <c r="E25" s="674">
        <f t="shared" si="2"/>
        <v>0.5032124547030693</v>
      </c>
      <c r="F25" s="674">
        <f t="shared" si="0"/>
        <v>0.5379025845262998</v>
      </c>
      <c r="G25" s="675">
        <f>((((J25)/(VLOOKUP(L25,deflator!$B:$D,3)))*deflator!$C$107)/(M25/12)/1000000000)</f>
        <v>15.093221675205706</v>
      </c>
      <c r="H25" s="675">
        <f t="shared" si="1"/>
        <v>1.227348464191194</v>
      </c>
      <c r="I25" s="675" t="s">
        <v>364</v>
      </c>
      <c r="J25" s="675">
        <v>920511348.14339554</v>
      </c>
      <c r="K25" s="676" t="s">
        <v>456</v>
      </c>
      <c r="L25" s="676">
        <v>1945</v>
      </c>
      <c r="M25" s="676">
        <v>9</v>
      </c>
      <c r="N25" s="676">
        <v>1945</v>
      </c>
      <c r="O25" s="675">
        <f>(((P25)/(VLOOKUP(R25,deflator!$B:$D,3)))*deflator!$D$107)</f>
        <v>2999373631185.6128</v>
      </c>
      <c r="P25" s="675">
        <v>2314667611553.2002</v>
      </c>
      <c r="Q25" s="675">
        <f>1000000*228173</f>
        <v>228173000000</v>
      </c>
      <c r="R25" s="676">
        <v>2011</v>
      </c>
      <c r="S25" s="676" t="s">
        <v>6715</v>
      </c>
      <c r="T25" s="676" t="s">
        <v>6716</v>
      </c>
      <c r="U25" s="676" t="s">
        <v>6717</v>
      </c>
      <c r="V25" s="676"/>
      <c r="W25" s="676" t="s">
        <v>6718</v>
      </c>
    </row>
    <row r="26" spans="2:23" ht="15.95" customHeight="1">
      <c r="B26" s="702" t="s">
        <v>4730</v>
      </c>
      <c r="C26" s="676" t="s">
        <v>3949</v>
      </c>
      <c r="D26" s="673">
        <f>G26/'Exchange Rates'!$C$13</f>
        <v>9.0948805967706825</v>
      </c>
      <c r="E26" s="674">
        <f t="shared" si="2"/>
        <v>0.32954601353427376</v>
      </c>
      <c r="F26" s="674">
        <f t="shared" si="0"/>
        <v>0.35508309874754701</v>
      </c>
      <c r="G26" s="675">
        <f>((((J26)/(VLOOKUP(L26,deflator!$B:$D,3)))*deflator!$C$107)/(M26/12)/1000000000)</f>
        <v>9.8843162325703773</v>
      </c>
      <c r="H26" s="675">
        <f t="shared" si="1"/>
        <v>0.80377142857142858</v>
      </c>
      <c r="I26" s="675" t="s">
        <v>364</v>
      </c>
      <c r="J26" s="675">
        <v>1406600000</v>
      </c>
      <c r="K26" s="676" t="s">
        <v>456</v>
      </c>
      <c r="L26" s="676">
        <v>1945</v>
      </c>
      <c r="M26" s="676">
        <f>SUM(M24:M25)</f>
        <v>21</v>
      </c>
      <c r="N26" s="676" t="s">
        <v>6730</v>
      </c>
      <c r="O26" s="675">
        <f>AVERAGE(O25:O25)</f>
        <v>2999373631185.6128</v>
      </c>
      <c r="P26" s="677">
        <f>AVERAGE(P25:P25)</f>
        <v>2314667611553.2002</v>
      </c>
      <c r="Q26" s="675">
        <f>AVERAGE(Q24:Q25)</f>
        <v>226361500000</v>
      </c>
      <c r="R26" s="676">
        <v>2011</v>
      </c>
      <c r="S26" s="676" t="s">
        <v>6715</v>
      </c>
      <c r="T26" s="676" t="s">
        <v>6716</v>
      </c>
      <c r="U26" s="676" t="s">
        <v>6717</v>
      </c>
      <c r="V26" s="676"/>
      <c r="W26" s="676" t="s">
        <v>6718</v>
      </c>
    </row>
    <row r="27" spans="2:23" s="679" customFormat="1" ht="15.95" customHeight="1">
      <c r="B27" s="702" t="s">
        <v>4728</v>
      </c>
      <c r="C27" s="676" t="s">
        <v>4682</v>
      </c>
      <c r="D27" s="673">
        <f>G27/'Exchange Rates'!$C$13</f>
        <v>3.5112375205970729</v>
      </c>
      <c r="E27" s="674">
        <f t="shared" si="2"/>
        <v>0.5080396677433221</v>
      </c>
      <c r="F27" s="674">
        <f t="shared" si="0"/>
        <v>0.82428412049088873</v>
      </c>
      <c r="G27" s="675">
        <f>((((J27)/(VLOOKUP(L27,deflator!$B:$D,3)))*deflator!$C$107)/(M27/12)/1000000000)</f>
        <v>3.8160129373848988</v>
      </c>
      <c r="H27" s="675">
        <f t="shared" si="1"/>
        <v>0.31030999999999997</v>
      </c>
      <c r="I27" s="675" t="s">
        <v>364</v>
      </c>
      <c r="J27" s="674">
        <f>308000000*4.03</f>
        <v>1241240000</v>
      </c>
      <c r="K27" s="674" t="s">
        <v>456</v>
      </c>
      <c r="L27" s="676">
        <v>1945</v>
      </c>
      <c r="M27" s="678">
        <v>48</v>
      </c>
      <c r="N27" s="676" t="s">
        <v>6731</v>
      </c>
      <c r="O27" s="675">
        <f>(((P27)/(VLOOKUP(R27,deflator!$B:$D,3)))*deflator!$D$107)</f>
        <v>751124996663.22729</v>
      </c>
      <c r="P27" s="675">
        <v>579655926800</v>
      </c>
      <c r="Q27" s="675">
        <v>37646000000</v>
      </c>
      <c r="R27" s="676">
        <v>2011</v>
      </c>
      <c r="S27" s="674" t="s">
        <v>6732</v>
      </c>
      <c r="T27" s="674" t="s">
        <v>6733</v>
      </c>
      <c r="U27" s="676" t="s">
        <v>6717</v>
      </c>
      <c r="V27" s="676"/>
      <c r="W27" s="676" t="s">
        <v>6718</v>
      </c>
    </row>
    <row r="28" spans="2:23" ht="15.95" customHeight="1">
      <c r="B28" s="702" t="s">
        <v>4740</v>
      </c>
      <c r="C28" s="676" t="s">
        <v>3949</v>
      </c>
      <c r="D28" s="673">
        <f>G28/'Exchange Rates'!$C$13</f>
        <v>83.615206419623306</v>
      </c>
      <c r="E28" s="674">
        <f t="shared" si="2"/>
        <v>1.4036087319579968</v>
      </c>
      <c r="F28" s="674">
        <f t="shared" si="0"/>
        <v>0.95649177707132027</v>
      </c>
      <c r="G28" s="675">
        <f>((((I28)/(VLOOKUP(L28,deflator!$B:$D,3)))*deflator!$C$107)/(M28/12)/1000000000)</f>
        <v>90.873006336846615</v>
      </c>
      <c r="H28" s="675">
        <f t="shared" ref="H28:H31" si="4">J28/(M28/12)/1000000000</f>
        <v>10.935222672064777</v>
      </c>
      <c r="I28" s="675">
        <v>738000000000</v>
      </c>
      <c r="J28" s="671">
        <v>111000000000</v>
      </c>
      <c r="K28" s="676" t="s">
        <v>456</v>
      </c>
      <c r="L28" s="676">
        <v>2010</v>
      </c>
      <c r="M28" s="678">
        <v>121.80821917808218</v>
      </c>
      <c r="N28" s="676" t="s">
        <v>6734</v>
      </c>
      <c r="O28" s="675">
        <f>(((P28)/(VLOOKUP(R28,deflator!$B:$D,3)))*deflator!$D$107)</f>
        <v>6474240596243.7393</v>
      </c>
      <c r="P28" s="675">
        <v>4996281510818.1797</v>
      </c>
      <c r="Q28" s="675">
        <v>1143263636363.6399</v>
      </c>
      <c r="R28" s="676">
        <v>2011</v>
      </c>
      <c r="S28" s="676" t="s">
        <v>6735</v>
      </c>
      <c r="T28" s="676" t="s">
        <v>364</v>
      </c>
      <c r="U28" s="676" t="s">
        <v>6717</v>
      </c>
      <c r="V28" s="676"/>
      <c r="W28" s="676" t="s">
        <v>6736</v>
      </c>
    </row>
    <row r="29" spans="2:23" ht="15.95" customHeight="1">
      <c r="B29" s="702" t="s">
        <v>4744</v>
      </c>
      <c r="C29" s="676" t="s">
        <v>3949</v>
      </c>
      <c r="D29" s="673">
        <f>G29/'Exchange Rates'!$C$13</f>
        <v>39.96083764546308</v>
      </c>
      <c r="E29" s="674">
        <f t="shared" si="2"/>
        <v>0.23110707467450192</v>
      </c>
      <c r="F29" s="674">
        <f t="shared" si="0"/>
        <v>0.24557769851390659</v>
      </c>
      <c r="G29" s="675">
        <f>((((I29)/(VLOOKUP(L29,deflator!$B:$D,3)))*deflator!$C$107)/(M29/12)/1000000000)</f>
        <v>43.429438353089274</v>
      </c>
      <c r="H29" s="675">
        <f t="shared" si="4"/>
        <v>32.148576512455513</v>
      </c>
      <c r="I29" s="675">
        <v>321000000000</v>
      </c>
      <c r="J29" s="671">
        <v>297000000000</v>
      </c>
      <c r="K29" s="676" t="s">
        <v>456</v>
      </c>
      <c r="L29" s="676">
        <v>2010</v>
      </c>
      <c r="M29" s="678">
        <v>110.86027397260276</v>
      </c>
      <c r="N29" s="676" t="s">
        <v>6737</v>
      </c>
      <c r="O29" s="675">
        <f>(((P29)/(VLOOKUP(R29,deflator!$B:$D,3)))*deflator!$D$107)</f>
        <v>18791912110114.578</v>
      </c>
      <c r="P29" s="675">
        <v>14502037981591.1</v>
      </c>
      <c r="Q29" s="675">
        <v>13091000000000</v>
      </c>
      <c r="R29" s="676">
        <v>2011</v>
      </c>
      <c r="S29" s="676" t="s">
        <v>6735</v>
      </c>
      <c r="T29" s="676" t="s">
        <v>364</v>
      </c>
      <c r="U29" s="676" t="s">
        <v>6717</v>
      </c>
      <c r="V29" s="676"/>
      <c r="W29" s="676" t="s">
        <v>6738</v>
      </c>
    </row>
    <row r="30" spans="2:23" ht="15.95" customHeight="1">
      <c r="B30" s="702" t="s">
        <v>4738</v>
      </c>
      <c r="C30" s="676" t="s">
        <v>3949</v>
      </c>
      <c r="D30" s="673">
        <f>G30/'Exchange Rates'!$C$13</f>
        <v>127.19151878898714</v>
      </c>
      <c r="E30" s="674">
        <f t="shared" si="2"/>
        <v>4.2169958914760075</v>
      </c>
      <c r="F30" s="674">
        <f t="shared" si="0"/>
        <v>2.7702269854736219</v>
      </c>
      <c r="G30" s="675">
        <f>((((I30)/(VLOOKUP(L30,deflator!$B:$D,3)))*deflator!$C$107)/(M30/12)/1000000000)</f>
        <v>138.23174261987123</v>
      </c>
      <c r="H30" s="675">
        <f t="shared" si="4"/>
        <v>9.729729729729728</v>
      </c>
      <c r="I30" s="675">
        <v>341000000000</v>
      </c>
      <c r="J30" s="671">
        <v>30000000000</v>
      </c>
      <c r="K30" s="676" t="s">
        <v>456</v>
      </c>
      <c r="L30" s="676">
        <v>2010</v>
      </c>
      <c r="M30" s="678">
        <v>37</v>
      </c>
      <c r="N30" s="676" t="s">
        <v>6739</v>
      </c>
      <c r="O30" s="675">
        <f>(((P30)/(VLOOKUP(R30,deflator!$B:$D,3)))*deflator!$D$107)</f>
        <v>3277967211191.3818</v>
      </c>
      <c r="P30" s="675">
        <v>2529663012500</v>
      </c>
      <c r="Q30" s="675">
        <v>351225000000</v>
      </c>
      <c r="R30" s="676">
        <v>2011</v>
      </c>
      <c r="S30" s="676" t="s">
        <v>6735</v>
      </c>
      <c r="T30" s="676" t="s">
        <v>364</v>
      </c>
      <c r="U30" s="676" t="s">
        <v>6717</v>
      </c>
      <c r="V30" s="676"/>
      <c r="W30" s="676" t="s">
        <v>6740</v>
      </c>
    </row>
    <row r="31" spans="2:23" ht="15.95" customHeight="1">
      <c r="B31" s="702" t="s">
        <v>4742</v>
      </c>
      <c r="C31" s="676" t="s">
        <v>3949</v>
      </c>
      <c r="D31" s="673">
        <f>G31/'Exchange Rates'!$C$13</f>
        <v>115.1048723101934</v>
      </c>
      <c r="E31" s="674">
        <f t="shared" si="2"/>
        <v>0.65126854446317051</v>
      </c>
      <c r="F31" s="674">
        <f t="shared" si="0"/>
        <v>0.66802009510332705</v>
      </c>
      <c r="G31" s="675">
        <f>((((I31)/(VLOOKUP(L31,deflator!$B:$D,3)))*deflator!$C$107)/(M31/12)/1000000000)</f>
        <v>125.09597522671818</v>
      </c>
      <c r="H31" s="675">
        <f t="shared" si="4"/>
        <v>91.276595744680847</v>
      </c>
      <c r="I31" s="675">
        <v>784000000000</v>
      </c>
      <c r="J31" s="671">
        <v>715000000000</v>
      </c>
      <c r="K31" s="676" t="s">
        <v>456</v>
      </c>
      <c r="L31" s="676">
        <v>2010</v>
      </c>
      <c r="M31" s="678">
        <v>94</v>
      </c>
      <c r="N31" s="676" t="s">
        <v>6741</v>
      </c>
      <c r="O31" s="675">
        <f>(((P31)/(VLOOKUP(R31,deflator!$B:$D,3)))*deflator!$D$107)</f>
        <v>19208048091718.086</v>
      </c>
      <c r="P31" s="675">
        <v>14823177191659.699</v>
      </c>
      <c r="Q31" s="675">
        <v>13663750000000</v>
      </c>
      <c r="R31" s="676">
        <v>2011</v>
      </c>
      <c r="S31" s="676" t="s">
        <v>6735</v>
      </c>
      <c r="T31" s="676" t="s">
        <v>364</v>
      </c>
      <c r="U31" s="676" t="s">
        <v>6717</v>
      </c>
      <c r="V31" s="676"/>
      <c r="W31" s="676" t="s">
        <v>6740</v>
      </c>
    </row>
    <row r="32" spans="2:23" ht="15.95" customHeight="1">
      <c r="B32" s="702" t="s">
        <v>6742</v>
      </c>
      <c r="C32" s="676" t="s">
        <v>4682</v>
      </c>
      <c r="D32" s="673">
        <f>(J32/1000000000)</f>
        <v>6.5786757252947297</v>
      </c>
      <c r="E32" s="665" t="s">
        <v>364</v>
      </c>
      <c r="F32" s="674">
        <f>(D32/(O32/1000000000))*100</f>
        <v>0.21008885619560747</v>
      </c>
      <c r="G32" s="676" t="s">
        <v>364</v>
      </c>
      <c r="H32" s="675">
        <f>J32/(M32/12)/1000000000</f>
        <v>7.1767371548669781</v>
      </c>
      <c r="I32" s="675" t="s">
        <v>364</v>
      </c>
      <c r="J32" s="675">
        <f>SUMIFS('Bilateral Assistance, MAIN DATA'!S:S,'Bilateral Assistance, MAIN DATA'!B:B,"United Kingdom",'Bilateral Assistance, MAIN DATA'!D:D, "Military")</f>
        <v>6578675725.2947292</v>
      </c>
      <c r="K32" s="676" t="s">
        <v>483</v>
      </c>
      <c r="L32" s="676" t="s">
        <v>364</v>
      </c>
      <c r="M32" s="676">
        <v>11</v>
      </c>
      <c r="N32" s="676" t="s">
        <v>364</v>
      </c>
      <c r="O32" s="675">
        <f>'Country Summary (€)'!H50*1000000000</f>
        <v>3131377762925.9502</v>
      </c>
      <c r="P32" s="675" t="s">
        <v>364</v>
      </c>
      <c r="Q32" s="675" t="s">
        <v>364</v>
      </c>
      <c r="R32" s="676" t="s">
        <v>364</v>
      </c>
      <c r="S32" s="676" t="s">
        <v>6743</v>
      </c>
      <c r="T32" s="676" t="s">
        <v>364</v>
      </c>
      <c r="U32" s="676" t="s">
        <v>364</v>
      </c>
      <c r="V32" s="676"/>
      <c r="W32" s="676" t="s">
        <v>364</v>
      </c>
    </row>
    <row r="33" spans="2:23" ht="15.95" customHeight="1">
      <c r="B33" s="785" t="s">
        <v>6744</v>
      </c>
      <c r="C33" s="789" t="s">
        <v>3949</v>
      </c>
      <c r="D33" s="787">
        <f>(J33/1000000000)</f>
        <v>42.836768494663232</v>
      </c>
      <c r="E33" s="786" t="s">
        <v>364</v>
      </c>
      <c r="F33" s="788">
        <f>(D33/(O33/1000000000))*100</f>
        <v>0.18372987553881837</v>
      </c>
      <c r="G33" s="789" t="s">
        <v>364</v>
      </c>
      <c r="H33" s="784">
        <f>J33/(M33/12)/1000000000</f>
        <v>46.731020175996257</v>
      </c>
      <c r="I33" s="784" t="s">
        <v>364</v>
      </c>
      <c r="J33" s="790">
        <f>SUMIFS('Bilateral Assistance, MAIN DATA'!S:S,'Bilateral Assistance, MAIN DATA'!B:B,"United States",'Bilateral Assistance, MAIN DATA'!D:D, "Military")</f>
        <v>42836768494.663231</v>
      </c>
      <c r="K33" s="789" t="s">
        <v>483</v>
      </c>
      <c r="L33" s="789" t="s">
        <v>364</v>
      </c>
      <c r="M33" s="789">
        <v>11</v>
      </c>
      <c r="N33" s="789" t="s">
        <v>364</v>
      </c>
      <c r="O33" s="784">
        <f>'Country Summary (€)'!H51*1000000000</f>
        <v>23315080560000</v>
      </c>
      <c r="P33" s="789" t="s">
        <v>364</v>
      </c>
      <c r="Q33" s="789" t="s">
        <v>364</v>
      </c>
      <c r="R33" s="789" t="s">
        <v>364</v>
      </c>
      <c r="S33" s="789" t="s">
        <v>6743</v>
      </c>
      <c r="T33" s="789" t="s">
        <v>364</v>
      </c>
      <c r="U33" s="789" t="s">
        <v>364</v>
      </c>
      <c r="V33" s="789"/>
      <c r="W33" s="789" t="s">
        <v>364</v>
      </c>
    </row>
    <row r="34" spans="2:23" ht="15.95" customHeight="1">
      <c r="D34" s="676"/>
      <c r="E34" s="676"/>
      <c r="F34" s="676"/>
      <c r="G34" s="676"/>
      <c r="H34" s="676"/>
      <c r="I34" s="676"/>
      <c r="J34" s="675"/>
      <c r="K34" s="676"/>
      <c r="L34" s="676"/>
      <c r="M34" s="676"/>
      <c r="N34" s="676"/>
      <c r="O34" s="675"/>
      <c r="P34" s="676"/>
      <c r="Q34" s="676"/>
      <c r="R34" s="676"/>
      <c r="S34" s="676"/>
      <c r="T34" s="676"/>
      <c r="U34" s="676"/>
      <c r="V34" s="676"/>
      <c r="W34" s="676"/>
    </row>
    <row r="39" spans="2:23" ht="15.95" customHeight="1">
      <c r="C39" s="680"/>
      <c r="D39" s="681"/>
      <c r="E39" s="682"/>
      <c r="F39" s="682"/>
      <c r="K39" s="681"/>
      <c r="M39" s="681"/>
    </row>
    <row r="40" spans="2:23" ht="15.95" customHeight="1">
      <c r="D40" s="683"/>
      <c r="E40" s="684"/>
      <c r="F40" s="684"/>
      <c r="K40" s="683"/>
      <c r="M40" s="683"/>
    </row>
    <row r="41" spans="2:23" ht="15.95" customHeight="1">
      <c r="D41" s="683"/>
      <c r="E41" s="685"/>
      <c r="F41" s="685"/>
      <c r="K41" s="683"/>
      <c r="M41" s="683"/>
    </row>
    <row r="42" spans="2:23" ht="15.95" customHeight="1">
      <c r="D42" s="683"/>
      <c r="E42" s="682"/>
      <c r="F42" s="682"/>
      <c r="K42" s="683"/>
      <c r="M42" s="683"/>
    </row>
    <row r="43" spans="2:23" ht="15.95" customHeight="1">
      <c r="D43" s="686"/>
      <c r="E43" s="682"/>
      <c r="F43" s="682"/>
      <c r="K43" s="686"/>
      <c r="M43" s="686"/>
    </row>
    <row r="44" spans="2:23" ht="15.95" customHeight="1">
      <c r="D44" s="683"/>
      <c r="E44" s="682"/>
      <c r="F44" s="682"/>
      <c r="K44" s="683"/>
      <c r="M44" s="683"/>
    </row>
    <row r="45" spans="2:23" ht="15.95" customHeight="1">
      <c r="D45" s="683"/>
      <c r="E45" s="682"/>
      <c r="F45" s="682"/>
      <c r="K45" s="683"/>
      <c r="M45" s="683"/>
    </row>
    <row r="46" spans="2:23" ht="15.95" customHeight="1">
      <c r="D46" s="683"/>
      <c r="E46" s="684"/>
      <c r="F46" s="684"/>
      <c r="K46" s="683"/>
      <c r="M46" s="683"/>
    </row>
    <row r="53" spans="4:13" ht="15.95" customHeight="1">
      <c r="E53" s="687"/>
      <c r="F53" s="687"/>
    </row>
    <row r="55" spans="4:13" ht="15.95" customHeight="1">
      <c r="D55" s="682"/>
      <c r="E55" s="688"/>
      <c r="F55" s="688"/>
      <c r="G55" s="682"/>
      <c r="H55" s="682"/>
      <c r="I55" s="682"/>
      <c r="K55" s="682"/>
      <c r="M55" s="682"/>
    </row>
    <row r="56" spans="4:13" ht="15.95" customHeight="1">
      <c r="D56" s="682"/>
      <c r="E56" s="688"/>
      <c r="F56" s="688"/>
      <c r="G56" s="682"/>
      <c r="H56" s="682"/>
      <c r="I56" s="682"/>
      <c r="K56" s="682"/>
      <c r="M56" s="682"/>
    </row>
    <row r="57" spans="4:13" ht="15.95" customHeight="1">
      <c r="D57" s="682"/>
      <c r="E57" s="688"/>
      <c r="F57" s="688"/>
      <c r="G57" s="682"/>
      <c r="H57" s="682"/>
      <c r="I57" s="682"/>
      <c r="K57" s="682"/>
      <c r="M57" s="682"/>
    </row>
    <row r="58" spans="4:13" ht="15.95" customHeight="1">
      <c r="D58" s="682"/>
      <c r="E58" s="685"/>
      <c r="F58" s="685"/>
      <c r="K58" s="682"/>
      <c r="M58" s="682"/>
    </row>
    <row r="59" spans="4:13" ht="15.95" customHeight="1">
      <c r="D59" s="682"/>
      <c r="E59" s="685"/>
      <c r="F59" s="685"/>
      <c r="K59" s="682"/>
      <c r="M59" s="682"/>
    </row>
    <row r="60" spans="4:13" ht="15.95" customHeight="1">
      <c r="D60" s="682"/>
      <c r="E60" s="684"/>
      <c r="F60" s="684"/>
      <c r="K60" s="682"/>
      <c r="M60" s="682"/>
    </row>
    <row r="61" spans="4:13" ht="15.95" customHeight="1">
      <c r="D61" s="682"/>
      <c r="E61" s="684"/>
      <c r="F61" s="684"/>
      <c r="K61" s="682"/>
      <c r="M61" s="682"/>
    </row>
    <row r="62" spans="4:13" ht="15.95" customHeight="1">
      <c r="D62" s="682"/>
      <c r="E62" s="685"/>
      <c r="F62" s="685"/>
      <c r="K62" s="682"/>
      <c r="M62" s="682"/>
    </row>
    <row r="63" spans="4:13" ht="15.95" customHeight="1">
      <c r="D63" s="682"/>
      <c r="E63" s="685"/>
      <c r="F63" s="685"/>
      <c r="K63" s="682"/>
      <c r="M63" s="682"/>
    </row>
    <row r="65" spans="4:13" ht="15.95" customHeight="1">
      <c r="D65" s="682"/>
      <c r="E65" s="685"/>
      <c r="F65" s="685"/>
      <c r="K65" s="682"/>
      <c r="M65" s="682"/>
    </row>
    <row r="66" spans="4:13" ht="15.95" customHeight="1">
      <c r="D66" s="682"/>
      <c r="E66" s="684"/>
      <c r="F66" s="684"/>
      <c r="K66" s="682"/>
      <c r="M66" s="682"/>
    </row>
    <row r="67" spans="4:13" ht="15.95" customHeight="1">
      <c r="D67" s="682"/>
      <c r="E67" s="684"/>
      <c r="F67" s="684"/>
      <c r="K67" s="682"/>
      <c r="M67" s="682"/>
    </row>
    <row r="68" spans="4:13" ht="15.95" customHeight="1">
      <c r="D68" s="682"/>
      <c r="E68" s="685"/>
      <c r="F68" s="685"/>
      <c r="K68" s="682"/>
      <c r="M68" s="682"/>
    </row>
    <row r="69" spans="4:13" ht="15.95" customHeight="1">
      <c r="D69" s="682"/>
      <c r="E69" s="685"/>
      <c r="F69" s="685"/>
      <c r="K69" s="682"/>
      <c r="M69" s="682"/>
    </row>
    <row r="71" spans="4:13" ht="15.95" customHeight="1">
      <c r="D71" s="682"/>
      <c r="E71" s="682"/>
      <c r="F71" s="682"/>
      <c r="K71" s="682"/>
      <c r="M71" s="682"/>
    </row>
    <row r="72" spans="4:13" ht="15.95" customHeight="1">
      <c r="D72" s="682"/>
      <c r="E72" s="682"/>
      <c r="F72" s="682"/>
      <c r="K72" s="682"/>
      <c r="M72" s="682"/>
    </row>
    <row r="73" spans="4:13" ht="15.95" customHeight="1">
      <c r="D73" s="682"/>
      <c r="E73" s="682"/>
      <c r="F73" s="682"/>
      <c r="K73" s="682"/>
      <c r="M73" s="682"/>
    </row>
    <row r="74" spans="4:13" ht="15.95" customHeight="1">
      <c r="D74" s="685"/>
      <c r="E74" s="685"/>
      <c r="F74" s="685"/>
      <c r="K74" s="685"/>
      <c r="M74" s="685"/>
    </row>
    <row r="75" spans="4:13" ht="15.95" customHeight="1">
      <c r="E75" s="682"/>
      <c r="F75" s="682"/>
    </row>
    <row r="76" spans="4:13" ht="15.95" customHeight="1">
      <c r="D76" s="682"/>
      <c r="E76" s="682"/>
      <c r="F76" s="682"/>
      <c r="K76" s="682"/>
      <c r="M76" s="682"/>
    </row>
    <row r="77" spans="4:13" ht="15.95" customHeight="1">
      <c r="D77" s="682"/>
      <c r="E77" s="682"/>
      <c r="F77" s="682"/>
      <c r="K77" s="682"/>
      <c r="M77" s="682"/>
    </row>
    <row r="78" spans="4:13" ht="15.95" customHeight="1">
      <c r="D78" s="682"/>
      <c r="K78" s="682"/>
      <c r="M78" s="682"/>
    </row>
    <row r="83" spans="4:13" ht="15.95" customHeight="1">
      <c r="D83" s="682"/>
      <c r="G83" s="682"/>
      <c r="H83" s="682"/>
      <c r="I83" s="682"/>
      <c r="K83" s="682"/>
      <c r="M83" s="682"/>
    </row>
    <row r="84" spans="4:13" ht="15.95" customHeight="1">
      <c r="D84" s="682"/>
      <c r="G84" s="682"/>
      <c r="H84" s="682"/>
      <c r="I84" s="682"/>
      <c r="K84" s="682"/>
      <c r="M84" s="682"/>
    </row>
    <row r="85" spans="4:13" ht="15.95" customHeight="1">
      <c r="D85" s="682"/>
      <c r="G85" s="682"/>
      <c r="H85" s="682"/>
      <c r="I85" s="682"/>
      <c r="K85" s="682"/>
      <c r="M85" s="682"/>
    </row>
    <row r="86" spans="4:13" ht="15.95" customHeight="1">
      <c r="D86" s="682"/>
      <c r="G86" s="682"/>
      <c r="H86" s="682"/>
      <c r="I86" s="682"/>
      <c r="K86" s="682"/>
      <c r="M86" s="682"/>
    </row>
    <row r="87" spans="4:13" ht="15.95" customHeight="1">
      <c r="D87" s="682"/>
      <c r="G87" s="682"/>
      <c r="H87" s="682"/>
      <c r="I87" s="682"/>
      <c r="K87" s="682"/>
      <c r="M87" s="682"/>
    </row>
    <row r="88" spans="4:13" ht="15.95" customHeight="1">
      <c r="D88" s="682"/>
      <c r="G88" s="682"/>
      <c r="H88" s="682"/>
      <c r="I88" s="682"/>
      <c r="K88" s="682"/>
      <c r="M88" s="682"/>
    </row>
    <row r="89" spans="4:13" ht="15.95" customHeight="1">
      <c r="D89" s="682"/>
      <c r="G89" s="682"/>
      <c r="H89" s="682"/>
      <c r="I89" s="682"/>
      <c r="K89" s="682"/>
      <c r="M89" s="682"/>
    </row>
    <row r="90" spans="4:13" ht="15.95" customHeight="1">
      <c r="D90" s="682"/>
      <c r="G90" s="682"/>
      <c r="H90" s="682"/>
      <c r="I90" s="682"/>
      <c r="K90" s="682"/>
      <c r="M90" s="682"/>
    </row>
    <row r="91" spans="4:13" ht="15.95" customHeight="1">
      <c r="D91" s="682"/>
      <c r="G91" s="682"/>
      <c r="H91" s="682"/>
      <c r="I91" s="682"/>
      <c r="K91" s="682"/>
      <c r="M91" s="682"/>
    </row>
    <row r="92" spans="4:13" ht="15.95" customHeight="1">
      <c r="D92" s="682"/>
      <c r="E92" s="682"/>
      <c r="F92" s="682"/>
      <c r="G92" s="682"/>
      <c r="H92" s="682"/>
      <c r="I92" s="682"/>
      <c r="K92" s="682"/>
      <c r="M92" s="682"/>
    </row>
    <row r="93" spans="4:13" ht="15.95" customHeight="1">
      <c r="D93" s="682"/>
      <c r="G93" s="682"/>
      <c r="H93" s="682"/>
      <c r="I93" s="682"/>
      <c r="K93" s="682"/>
      <c r="M93" s="682"/>
    </row>
    <row r="94" spans="4:13" ht="15.95" customHeight="1">
      <c r="D94" s="682"/>
      <c r="G94" s="682"/>
      <c r="H94" s="682"/>
      <c r="I94" s="682"/>
      <c r="K94" s="682"/>
      <c r="M94" s="682"/>
    </row>
    <row r="95" spans="4:13" ht="15.95" customHeight="1">
      <c r="D95" s="682"/>
      <c r="E95" s="689"/>
      <c r="F95" s="689"/>
      <c r="G95" s="682"/>
      <c r="H95" s="682"/>
      <c r="I95" s="682"/>
      <c r="K95" s="682"/>
      <c r="M95" s="682"/>
    </row>
    <row r="96" spans="4:13" ht="15.95" customHeight="1">
      <c r="D96" s="682"/>
      <c r="K96" s="682"/>
      <c r="M96" s="682"/>
    </row>
    <row r="100" spans="5:6" ht="15.95" customHeight="1">
      <c r="E100" s="690"/>
      <c r="F100" s="690"/>
    </row>
    <row r="101" spans="5:6" ht="15.95" customHeight="1">
      <c r="E101" s="690"/>
      <c r="F101" s="690"/>
    </row>
    <row r="102" spans="5:6" ht="15.95" customHeight="1">
      <c r="E102" s="690"/>
      <c r="F102" s="690"/>
    </row>
    <row r="103" spans="5:6" ht="15.95" customHeight="1">
      <c r="E103" s="690"/>
      <c r="F103" s="690"/>
    </row>
    <row r="104" spans="5:6" ht="15.95" customHeight="1">
      <c r="E104" s="690"/>
      <c r="F104" s="690"/>
    </row>
    <row r="105" spans="5:6" ht="15.95" customHeight="1">
      <c r="E105" s="690"/>
      <c r="F105" s="690"/>
    </row>
    <row r="106" spans="5:6" ht="15.95" customHeight="1">
      <c r="E106" s="690"/>
      <c r="F106" s="690"/>
    </row>
    <row r="107" spans="5:6" ht="15.95" customHeight="1">
      <c r="E107" s="690"/>
      <c r="F107" s="690"/>
    </row>
    <row r="108" spans="5:6" ht="15.95" customHeight="1">
      <c r="E108" s="690"/>
      <c r="F108" s="690"/>
    </row>
    <row r="109" spans="5:6" ht="15.95" customHeight="1">
      <c r="E109" s="690"/>
      <c r="F109" s="690"/>
    </row>
    <row r="111" spans="5:6" ht="15.95" customHeight="1">
      <c r="E111" s="690"/>
      <c r="F111" s="690"/>
    </row>
    <row r="112" spans="5:6" ht="15.95" customHeight="1">
      <c r="E112" s="690"/>
      <c r="F112" s="690"/>
    </row>
    <row r="113" spans="4:13" ht="15.95" customHeight="1">
      <c r="E113" s="690"/>
      <c r="F113" s="690"/>
    </row>
    <row r="114" spans="4:13" ht="15.95" customHeight="1">
      <c r="D114" s="691"/>
      <c r="E114" s="690"/>
      <c r="F114" s="690"/>
      <c r="K114" s="691"/>
      <c r="M114" s="691"/>
    </row>
    <row r="115" spans="4:13" ht="15.95" customHeight="1">
      <c r="D115" s="691"/>
      <c r="E115" s="690"/>
      <c r="F115" s="690"/>
      <c r="K115" s="691"/>
      <c r="M115" s="691"/>
    </row>
    <row r="116" spans="4:13" ht="15.95" customHeight="1">
      <c r="E116" s="690"/>
      <c r="F116" s="690"/>
    </row>
    <row r="117" spans="4:13" ht="15.95" customHeight="1">
      <c r="E117" s="690"/>
      <c r="F117" s="690"/>
    </row>
    <row r="118" spans="4:13" ht="15.95" customHeight="1">
      <c r="E118" s="690"/>
      <c r="F118" s="690"/>
    </row>
    <row r="119" spans="4:13" ht="15.95" customHeight="1">
      <c r="E119" s="690"/>
      <c r="F119" s="690"/>
    </row>
    <row r="120" spans="4:13" ht="15.95" customHeight="1">
      <c r="E120" s="690"/>
      <c r="F120" s="690"/>
    </row>
    <row r="122" spans="4:13" ht="15.95" customHeight="1">
      <c r="E122" s="690"/>
      <c r="F122" s="690"/>
    </row>
    <row r="123" spans="4:13" ht="15.95" customHeight="1">
      <c r="E123" s="690"/>
      <c r="F123" s="690"/>
    </row>
    <row r="124" spans="4:13" ht="15.95" customHeight="1">
      <c r="E124" s="690"/>
      <c r="F124" s="690"/>
    </row>
    <row r="125" spans="4:13" ht="15.95" customHeight="1">
      <c r="E125" s="690"/>
      <c r="F125" s="690"/>
    </row>
    <row r="126" spans="4:13" ht="15.95" customHeight="1">
      <c r="E126" s="690"/>
      <c r="F126" s="690"/>
    </row>
    <row r="127" spans="4:13" ht="15.95" customHeight="1">
      <c r="E127" s="690"/>
      <c r="F127" s="690"/>
    </row>
    <row r="128" spans="4:13" ht="15.95" customHeight="1">
      <c r="E128" s="690"/>
      <c r="F128" s="690"/>
    </row>
    <row r="129" spans="2:13" ht="15.95" customHeight="1">
      <c r="E129" s="690"/>
      <c r="F129" s="690"/>
    </row>
    <row r="130" spans="2:13" ht="15.95" customHeight="1">
      <c r="E130" s="690"/>
      <c r="F130" s="690"/>
    </row>
    <row r="131" spans="2:13" ht="15.95" customHeight="1">
      <c r="E131" s="690"/>
      <c r="F131" s="690"/>
    </row>
    <row r="132" spans="2:13" ht="15.95" customHeight="1">
      <c r="E132" s="689"/>
      <c r="F132" s="689"/>
    </row>
    <row r="133" spans="2:13" ht="15.95" customHeight="1">
      <c r="E133" s="689"/>
      <c r="F133" s="689"/>
    </row>
    <row r="140" spans="2:13" ht="15.95" customHeight="1">
      <c r="D140" s="679"/>
      <c r="K140" s="679"/>
      <c r="M140" s="679"/>
    </row>
    <row r="144" spans="2:13" ht="15.95" customHeight="1">
      <c r="B144" s="665" t="s">
        <v>6745</v>
      </c>
      <c r="D144" s="665" t="s">
        <v>6746</v>
      </c>
    </row>
  </sheetData>
  <mergeCells count="1">
    <mergeCell ref="B4:E9"/>
  </mergeCells>
  <pageMargins left="0.7" right="0.7" top="0.75" bottom="0.75" header="0.3" footer="0.3"/>
  <legacy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8CBAD"/>
  </sheetPr>
  <dimension ref="B2:I109"/>
  <sheetViews>
    <sheetView zoomScaleNormal="100" workbookViewId="0"/>
  </sheetViews>
  <sheetFormatPr defaultColWidth="8.125" defaultRowHeight="15.95" customHeight="1"/>
  <cols>
    <col min="1" max="2" width="8.125" style="665"/>
    <col min="3" max="3" width="16.625" style="665" customWidth="1"/>
    <col min="4" max="4" width="10.625" style="665" customWidth="1"/>
    <col min="5" max="16384" width="8.125" style="665"/>
  </cols>
  <sheetData>
    <row r="2" spans="2:9" ht="24.75" customHeight="1">
      <c r="B2" s="693" t="s">
        <v>6747</v>
      </c>
    </row>
    <row r="4" spans="2:9" ht="15.95" customHeight="1">
      <c r="B4" s="1505" t="s">
        <v>6748</v>
      </c>
      <c r="C4" s="1505"/>
      <c r="D4" s="1505"/>
      <c r="E4" s="1505"/>
      <c r="F4" s="1505"/>
      <c r="G4" s="1505"/>
      <c r="H4" s="1505"/>
      <c r="I4" s="1505"/>
    </row>
    <row r="5" spans="2:9" ht="15.95" customHeight="1">
      <c r="B5" s="1505"/>
      <c r="C5" s="1505"/>
      <c r="D5" s="1505"/>
      <c r="E5" s="1505"/>
      <c r="F5" s="1505"/>
      <c r="G5" s="1505"/>
      <c r="H5" s="1505"/>
      <c r="I5" s="1505"/>
    </row>
    <row r="6" spans="2:9" ht="15.95" customHeight="1">
      <c r="B6" s="1505"/>
      <c r="C6" s="1505"/>
      <c r="D6" s="1505"/>
      <c r="E6" s="1505"/>
      <c r="F6" s="1505"/>
      <c r="G6" s="1505"/>
      <c r="H6" s="1505"/>
      <c r="I6" s="1505"/>
    </row>
    <row r="7" spans="2:9" ht="15.95" customHeight="1">
      <c r="B7" s="1505"/>
      <c r="C7" s="1505"/>
      <c r="D7" s="1505"/>
      <c r="E7" s="1505"/>
      <c r="F7" s="1505"/>
      <c r="G7" s="1505"/>
      <c r="H7" s="1505"/>
      <c r="I7" s="1505"/>
    </row>
    <row r="8" spans="2:9" ht="15.95" customHeight="1">
      <c r="B8" s="1505"/>
      <c r="C8" s="1505"/>
      <c r="D8" s="1505"/>
      <c r="E8" s="1505"/>
      <c r="F8" s="1505"/>
      <c r="G8" s="1505"/>
      <c r="H8" s="1505"/>
      <c r="I8" s="1505"/>
    </row>
    <row r="9" spans="2:9" ht="15.95" customHeight="1">
      <c r="B9" s="1505"/>
      <c r="C9" s="1505"/>
      <c r="D9" s="1505"/>
      <c r="E9" s="1505"/>
      <c r="F9" s="1505"/>
      <c r="G9" s="1505"/>
      <c r="H9" s="1505"/>
      <c r="I9" s="1505"/>
    </row>
    <row r="11" spans="2:9" ht="15.95" customHeight="1">
      <c r="B11" s="665" t="s">
        <v>4937</v>
      </c>
      <c r="C11" s="665" t="s">
        <v>6749</v>
      </c>
    </row>
    <row r="13" spans="2:9" ht="15.95" customHeight="1">
      <c r="B13" s="694" t="s">
        <v>6123</v>
      </c>
      <c r="C13" s="670" t="s">
        <v>6750</v>
      </c>
      <c r="D13" s="670" t="s">
        <v>6751</v>
      </c>
    </row>
    <row r="14" spans="2:9" ht="15.95" customHeight="1">
      <c r="B14" s="695">
        <v>1929</v>
      </c>
      <c r="C14" s="665">
        <v>6.3769999999999998</v>
      </c>
      <c r="D14" s="665">
        <v>9.391</v>
      </c>
    </row>
    <row r="15" spans="2:9" ht="15.95" customHeight="1">
      <c r="B15" s="695">
        <v>1930</v>
      </c>
      <c r="C15" s="665">
        <v>6.1790000000000003</v>
      </c>
      <c r="D15" s="665">
        <v>9.0280000000000005</v>
      </c>
    </row>
    <row r="16" spans="2:9" ht="15.95" customHeight="1">
      <c r="B16" s="695">
        <v>1931</v>
      </c>
      <c r="C16" s="665">
        <v>6.1</v>
      </c>
      <c r="D16" s="665">
        <v>8.1359999999999992</v>
      </c>
    </row>
    <row r="17" spans="2:4" ht="15.95" customHeight="1">
      <c r="B17" s="695">
        <v>1932</v>
      </c>
      <c r="C17" s="665">
        <v>5.9489999999999998</v>
      </c>
      <c r="D17" s="665">
        <v>7.2089999999999996</v>
      </c>
    </row>
    <row r="18" spans="2:4" ht="15.95" customHeight="1">
      <c r="B18" s="695">
        <v>1933</v>
      </c>
      <c r="C18" s="665">
        <v>5.91</v>
      </c>
      <c r="D18" s="665">
        <v>7.0140000000000002</v>
      </c>
    </row>
    <row r="19" spans="2:4" ht="15.95" customHeight="1">
      <c r="B19" s="695">
        <v>1934</v>
      </c>
      <c r="C19" s="665">
        <v>6.1760000000000002</v>
      </c>
      <c r="D19" s="665">
        <v>7.3550000000000004</v>
      </c>
    </row>
    <row r="20" spans="2:4" ht="15.95" customHeight="1">
      <c r="B20" s="695">
        <v>1935</v>
      </c>
      <c r="C20" s="665">
        <v>6.383</v>
      </c>
      <c r="D20" s="665">
        <v>7.5030000000000001</v>
      </c>
    </row>
    <row r="21" spans="2:4" ht="15.95" customHeight="1">
      <c r="B21" s="695">
        <v>1936</v>
      </c>
      <c r="C21" s="665">
        <v>6.5309999999999997</v>
      </c>
      <c r="D21" s="665">
        <v>7.5970000000000004</v>
      </c>
    </row>
    <row r="22" spans="2:4" ht="15.95" customHeight="1">
      <c r="B22" s="695">
        <v>1937</v>
      </c>
      <c r="C22" s="665">
        <v>6.6849999999999996</v>
      </c>
      <c r="D22" s="665">
        <v>7.8739999999999997</v>
      </c>
    </row>
    <row r="23" spans="2:4" ht="15.95" customHeight="1">
      <c r="B23" s="695">
        <v>1938</v>
      </c>
      <c r="C23" s="665">
        <v>6.6989999999999998</v>
      </c>
      <c r="D23" s="665">
        <v>7.7279999999999998</v>
      </c>
    </row>
    <row r="24" spans="2:4" ht="15.95" customHeight="1">
      <c r="B24" s="695">
        <v>1939</v>
      </c>
      <c r="C24" s="665">
        <v>6.6950000000000003</v>
      </c>
      <c r="D24" s="665">
        <v>7.6319999999999997</v>
      </c>
    </row>
    <row r="25" spans="2:4" ht="15.95" customHeight="1">
      <c r="B25" s="695">
        <v>1940</v>
      </c>
      <c r="C25" s="665">
        <v>6.4850000000000003</v>
      </c>
      <c r="D25" s="665">
        <v>7.7009999999999996</v>
      </c>
    </row>
    <row r="26" spans="2:4" ht="15.95" customHeight="1">
      <c r="B26" s="695">
        <v>1941</v>
      </c>
      <c r="C26" s="665">
        <v>6.8879999999999999</v>
      </c>
      <c r="D26" s="665">
        <v>8.2050000000000001</v>
      </c>
    </row>
    <row r="27" spans="2:4" ht="15.95" customHeight="1">
      <c r="B27" s="695">
        <v>1942</v>
      </c>
      <c r="C27" s="665">
        <v>6.734</v>
      </c>
      <c r="D27" s="665">
        <v>8.8889999999999993</v>
      </c>
    </row>
    <row r="28" spans="2:4" ht="15.95" customHeight="1">
      <c r="B28" s="695">
        <v>1943</v>
      </c>
      <c r="C28" s="665">
        <v>6.6529999999999996</v>
      </c>
      <c r="D28" s="665">
        <v>9.3140000000000001</v>
      </c>
    </row>
    <row r="29" spans="2:4" ht="15.95" customHeight="1">
      <c r="B29" s="695">
        <v>1944</v>
      </c>
      <c r="C29" s="665">
        <v>6.524</v>
      </c>
      <c r="D29" s="665">
        <v>9.5359999999999996</v>
      </c>
    </row>
    <row r="30" spans="2:4" ht="15.95" customHeight="1">
      <c r="B30" s="695">
        <v>1945</v>
      </c>
      <c r="C30" s="665">
        <v>6.5709999999999997</v>
      </c>
      <c r="D30" s="665">
        <v>9.7739999999999991</v>
      </c>
    </row>
    <row r="31" spans="2:4" ht="15.95" customHeight="1">
      <c r="B31" s="695">
        <v>1946</v>
      </c>
      <c r="C31" s="665">
        <v>8.7439999999999998</v>
      </c>
      <c r="D31" s="665">
        <v>11.005000000000001</v>
      </c>
    </row>
    <row r="32" spans="2:4" ht="15.95" customHeight="1">
      <c r="B32" s="695">
        <v>1947</v>
      </c>
      <c r="C32" s="665">
        <v>9.5730000000000004</v>
      </c>
      <c r="D32" s="665">
        <v>12.242000000000001</v>
      </c>
    </row>
    <row r="33" spans="2:4" ht="15.95" customHeight="1">
      <c r="B33" s="695">
        <v>1948</v>
      </c>
      <c r="C33" s="665">
        <v>9.6039999999999992</v>
      </c>
      <c r="D33" s="665">
        <v>12.936999999999999</v>
      </c>
    </row>
    <row r="34" spans="2:4" ht="15.95" customHeight="1">
      <c r="B34" s="695">
        <v>1949</v>
      </c>
      <c r="C34" s="665">
        <v>9.9239999999999995</v>
      </c>
      <c r="D34" s="665">
        <v>12.933</v>
      </c>
    </row>
    <row r="35" spans="2:4" ht="15.95" customHeight="1">
      <c r="B35" s="695">
        <v>1950</v>
      </c>
      <c r="C35" s="665">
        <v>10.137</v>
      </c>
      <c r="D35" s="665">
        <v>13.055</v>
      </c>
    </row>
    <row r="36" spans="2:4" ht="15.95" customHeight="1">
      <c r="B36" s="695">
        <v>1951</v>
      </c>
      <c r="C36" s="665">
        <v>10.449</v>
      </c>
      <c r="D36" s="665">
        <v>13.94</v>
      </c>
    </row>
    <row r="37" spans="2:4" ht="15.95" customHeight="1">
      <c r="B37" s="695">
        <v>1952</v>
      </c>
      <c r="C37" s="665">
        <v>10.506</v>
      </c>
      <c r="D37" s="665">
        <v>14.244</v>
      </c>
    </row>
    <row r="38" spans="2:4" ht="15.95" customHeight="1">
      <c r="B38" s="695">
        <v>1953</v>
      </c>
      <c r="C38" s="665">
        <v>10.545</v>
      </c>
      <c r="D38" s="665">
        <v>14.426</v>
      </c>
    </row>
    <row r="39" spans="2:4" ht="15.95" customHeight="1">
      <c r="B39" s="695">
        <v>1954</v>
      </c>
      <c r="C39" s="665">
        <v>10.82</v>
      </c>
      <c r="D39" s="665">
        <v>14.574</v>
      </c>
    </row>
    <row r="40" spans="2:4" ht="15.95" customHeight="1">
      <c r="B40" s="695">
        <v>1955</v>
      </c>
      <c r="C40" s="665">
        <v>11.366</v>
      </c>
      <c r="D40" s="665">
        <v>14.78</v>
      </c>
    </row>
    <row r="41" spans="2:4" ht="15.95" customHeight="1">
      <c r="B41" s="695">
        <v>1956</v>
      </c>
      <c r="C41" s="665">
        <v>11.984999999999999</v>
      </c>
      <c r="D41" s="665">
        <v>15.286</v>
      </c>
    </row>
    <row r="42" spans="2:4" ht="15.95" customHeight="1">
      <c r="B42" s="695">
        <v>1957</v>
      </c>
      <c r="C42" s="665">
        <v>12.510999999999999</v>
      </c>
      <c r="D42" s="665">
        <v>15.82</v>
      </c>
    </row>
    <row r="43" spans="2:4" ht="15.95" customHeight="1">
      <c r="B43" s="695">
        <v>1958</v>
      </c>
      <c r="C43" s="665">
        <v>12.981</v>
      </c>
      <c r="D43" s="665">
        <v>16.187999999999999</v>
      </c>
    </row>
    <row r="44" spans="2:4" ht="15.95" customHeight="1">
      <c r="B44" s="695">
        <v>1959</v>
      </c>
      <c r="C44" s="665">
        <v>13.071</v>
      </c>
      <c r="D44" s="665">
        <v>16.402000000000001</v>
      </c>
    </row>
    <row r="45" spans="2:4" ht="15.95" customHeight="1">
      <c r="B45" s="695">
        <v>1960</v>
      </c>
      <c r="C45" s="665">
        <v>13.162000000000001</v>
      </c>
      <c r="D45" s="665">
        <v>16.626000000000001</v>
      </c>
    </row>
    <row r="46" spans="2:4" ht="15.95" customHeight="1">
      <c r="B46" s="695">
        <v>1961</v>
      </c>
      <c r="C46" s="665">
        <v>13.275</v>
      </c>
      <c r="D46" s="665">
        <v>16.803000000000001</v>
      </c>
    </row>
    <row r="47" spans="2:4" ht="15.95" customHeight="1">
      <c r="B47" s="695">
        <v>1962</v>
      </c>
      <c r="C47" s="665">
        <v>13.436999999999999</v>
      </c>
      <c r="D47" s="665">
        <v>17.007999999999999</v>
      </c>
    </row>
    <row r="48" spans="2:4" ht="15.95" customHeight="1">
      <c r="B48" s="695">
        <v>1963</v>
      </c>
      <c r="C48" s="665">
        <v>13.794</v>
      </c>
      <c r="D48" s="665">
        <v>17.202999999999999</v>
      </c>
    </row>
    <row r="49" spans="2:4" ht="15.95" customHeight="1">
      <c r="B49" s="695">
        <v>1964</v>
      </c>
      <c r="C49" s="665">
        <v>14.185</v>
      </c>
      <c r="D49" s="665">
        <v>17.465</v>
      </c>
    </row>
    <row r="50" spans="2:4" ht="15.95" customHeight="1">
      <c r="B50" s="695">
        <v>1965</v>
      </c>
      <c r="C50" s="665">
        <v>14.555999999999999</v>
      </c>
      <c r="D50" s="665">
        <v>17.785</v>
      </c>
    </row>
    <row r="51" spans="2:4" ht="15.95" customHeight="1">
      <c r="B51" s="695">
        <v>1966</v>
      </c>
      <c r="C51" s="665">
        <v>15.065</v>
      </c>
      <c r="D51" s="665">
        <v>18.283000000000001</v>
      </c>
    </row>
    <row r="52" spans="2:4" ht="15.95" customHeight="1">
      <c r="B52" s="695">
        <v>1967</v>
      </c>
      <c r="C52" s="665">
        <v>15.425000000000001</v>
      </c>
      <c r="D52" s="665">
        <v>18.812999999999999</v>
      </c>
    </row>
    <row r="53" spans="2:4" ht="15.95" customHeight="1">
      <c r="B53" s="695">
        <v>1968</v>
      </c>
      <c r="C53" s="665">
        <v>16.195</v>
      </c>
      <c r="D53" s="665">
        <v>19.614000000000001</v>
      </c>
    </row>
    <row r="54" spans="2:4" ht="15.95" customHeight="1">
      <c r="B54" s="695">
        <v>1969</v>
      </c>
      <c r="C54" s="665">
        <v>17.018000000000001</v>
      </c>
      <c r="D54" s="665">
        <v>20.577000000000002</v>
      </c>
    </row>
    <row r="55" spans="2:4" ht="15.95" customHeight="1">
      <c r="B55" s="695">
        <v>1970</v>
      </c>
      <c r="C55" s="665">
        <v>18.292999999999999</v>
      </c>
      <c r="D55" s="665">
        <v>21.661999999999999</v>
      </c>
    </row>
    <row r="56" spans="2:4" ht="15.95" customHeight="1">
      <c r="B56" s="695">
        <v>1971</v>
      </c>
      <c r="C56" s="665">
        <v>19.815000000000001</v>
      </c>
      <c r="D56" s="665">
        <v>22.760999999999999</v>
      </c>
    </row>
    <row r="57" spans="2:4" ht="15.95" customHeight="1">
      <c r="B57" s="695">
        <v>1972</v>
      </c>
      <c r="C57" s="665">
        <v>21.881</v>
      </c>
      <c r="D57" s="665">
        <v>23.745000000000001</v>
      </c>
    </row>
    <row r="58" spans="2:4" ht="15.95" customHeight="1">
      <c r="B58" s="695">
        <v>1973</v>
      </c>
      <c r="C58" s="665">
        <v>23.484999999999999</v>
      </c>
      <c r="D58" s="665">
        <v>25.045000000000002</v>
      </c>
    </row>
    <row r="59" spans="2:4" ht="15.95" customHeight="1">
      <c r="B59" s="695">
        <v>1974</v>
      </c>
      <c r="C59" s="665">
        <v>25.4</v>
      </c>
      <c r="D59" s="665">
        <v>27.292000000000002</v>
      </c>
    </row>
    <row r="60" spans="2:4" ht="15.95" customHeight="1">
      <c r="B60" s="695">
        <v>1975</v>
      </c>
      <c r="C60" s="665">
        <v>27.545000000000002</v>
      </c>
      <c r="D60" s="665">
        <v>29.827000000000002</v>
      </c>
    </row>
    <row r="61" spans="2:4" ht="15.95" customHeight="1">
      <c r="B61" s="695">
        <v>1976</v>
      </c>
      <c r="C61" s="665">
        <v>29.344999999999999</v>
      </c>
      <c r="D61" s="665">
        <v>31.469000000000001</v>
      </c>
    </row>
    <row r="62" spans="2:4" ht="15.95" customHeight="1">
      <c r="B62" s="695">
        <v>1977</v>
      </c>
      <c r="C62" s="665">
        <v>31.266999999999999</v>
      </c>
      <c r="D62" s="665">
        <v>33.423999999999999</v>
      </c>
    </row>
    <row r="63" spans="2:4" ht="15.95" customHeight="1">
      <c r="B63" s="695">
        <v>1978</v>
      </c>
      <c r="C63" s="665">
        <v>33.561</v>
      </c>
      <c r="D63" s="665">
        <v>35.774999999999999</v>
      </c>
    </row>
    <row r="64" spans="2:4" ht="15.95" customHeight="1">
      <c r="B64" s="695">
        <v>1979</v>
      </c>
      <c r="C64" s="665">
        <v>36.213999999999999</v>
      </c>
      <c r="D64" s="665">
        <v>38.741</v>
      </c>
    </row>
    <row r="65" spans="2:4" ht="15.95" customHeight="1">
      <c r="B65" s="695">
        <v>1980</v>
      </c>
      <c r="C65" s="665">
        <v>39.918999999999997</v>
      </c>
      <c r="D65" s="665">
        <v>42.250999999999998</v>
      </c>
    </row>
    <row r="66" spans="2:4" ht="15.95" customHeight="1">
      <c r="B66" s="695">
        <v>1981</v>
      </c>
      <c r="C66" s="665">
        <v>43.747</v>
      </c>
      <c r="D66" s="665">
        <v>46.24</v>
      </c>
    </row>
    <row r="67" spans="2:4" ht="15.95" customHeight="1">
      <c r="B67" s="695">
        <v>1982</v>
      </c>
      <c r="C67" s="665">
        <v>47.039000000000001</v>
      </c>
      <c r="D67" s="665">
        <v>49.098999999999997</v>
      </c>
    </row>
    <row r="68" spans="2:4" ht="15.95" customHeight="1">
      <c r="B68" s="695">
        <v>1983</v>
      </c>
      <c r="C68" s="665">
        <v>48.777999999999999</v>
      </c>
      <c r="D68" s="665">
        <v>51.018000000000001</v>
      </c>
    </row>
    <row r="69" spans="2:4" ht="15.95" customHeight="1">
      <c r="B69" s="695">
        <v>1984</v>
      </c>
      <c r="C69" s="665">
        <v>51.012999999999998</v>
      </c>
      <c r="D69" s="665">
        <v>52.86</v>
      </c>
    </row>
    <row r="70" spans="2:4" ht="15.95" customHeight="1">
      <c r="B70" s="695">
        <v>1985</v>
      </c>
      <c r="C70" s="665">
        <v>51.872</v>
      </c>
      <c r="D70" s="665">
        <v>54.533000000000001</v>
      </c>
    </row>
    <row r="71" spans="2:4" ht="15.95" customHeight="1">
      <c r="B71" s="695">
        <v>1986</v>
      </c>
      <c r="C71" s="665">
        <v>51.893999999999998</v>
      </c>
      <c r="D71" s="665">
        <v>55.637999999999998</v>
      </c>
    </row>
    <row r="72" spans="2:4" ht="15.95" customHeight="1">
      <c r="B72" s="695">
        <v>1987</v>
      </c>
      <c r="C72" s="665">
        <v>52.267000000000003</v>
      </c>
      <c r="D72" s="665">
        <v>57.003999999999998</v>
      </c>
    </row>
    <row r="73" spans="2:4" ht="15.95" customHeight="1">
      <c r="B73" s="695">
        <v>1988</v>
      </c>
      <c r="C73" s="665">
        <v>53.904000000000003</v>
      </c>
      <c r="D73" s="665">
        <v>59.018000000000001</v>
      </c>
    </row>
    <row r="74" spans="2:4" ht="15.95" customHeight="1">
      <c r="B74" s="695">
        <v>1989</v>
      </c>
      <c r="C74" s="665">
        <v>55.365000000000002</v>
      </c>
      <c r="D74" s="665">
        <v>61.331000000000003</v>
      </c>
    </row>
    <row r="75" spans="2:4" ht="15.95" customHeight="1">
      <c r="B75" s="695">
        <v>1990</v>
      </c>
      <c r="C75" s="665">
        <v>57.161999999999999</v>
      </c>
      <c r="D75" s="665">
        <v>63.636000000000003</v>
      </c>
    </row>
    <row r="76" spans="2:4" ht="15.95" customHeight="1">
      <c r="B76" s="695">
        <v>1991</v>
      </c>
      <c r="C76" s="665">
        <v>58.963999999999999</v>
      </c>
      <c r="D76" s="665">
        <v>65.777000000000001</v>
      </c>
    </row>
    <row r="77" spans="2:4" ht="15.95" customHeight="1">
      <c r="B77" s="695">
        <v>1992</v>
      </c>
      <c r="C77" s="665">
        <v>60.677999999999997</v>
      </c>
      <c r="D77" s="665">
        <v>67.278000000000006</v>
      </c>
    </row>
    <row r="78" spans="2:4" ht="15.95" customHeight="1">
      <c r="B78" s="695">
        <v>1993</v>
      </c>
      <c r="C78" s="665">
        <v>61.615000000000002</v>
      </c>
      <c r="D78" s="665">
        <v>68.873999999999995</v>
      </c>
    </row>
    <row r="79" spans="2:4" ht="15.95" customHeight="1">
      <c r="B79" s="695">
        <v>1994</v>
      </c>
      <c r="C79" s="665">
        <v>63.228999999999999</v>
      </c>
      <c r="D79" s="665">
        <v>70.341999999999999</v>
      </c>
    </row>
    <row r="80" spans="2:4" ht="15.95" customHeight="1">
      <c r="B80" s="695">
        <v>1995</v>
      </c>
      <c r="C80" s="665">
        <v>65.027000000000001</v>
      </c>
      <c r="D80" s="665">
        <v>71.819000000000003</v>
      </c>
    </row>
    <row r="81" spans="2:4" ht="15.95" customHeight="1">
      <c r="B81" s="695">
        <v>1996</v>
      </c>
      <c r="C81" s="665">
        <v>66.114000000000004</v>
      </c>
      <c r="D81" s="665">
        <v>73.132000000000005</v>
      </c>
    </row>
    <row r="82" spans="2:4" ht="15.95" customHeight="1">
      <c r="B82" s="695">
        <v>1997</v>
      </c>
      <c r="C82" s="665">
        <v>67.034999999999997</v>
      </c>
      <c r="D82" s="665">
        <v>74.399000000000001</v>
      </c>
    </row>
    <row r="83" spans="2:4" ht="15.95" customHeight="1">
      <c r="B83" s="695">
        <v>1998</v>
      </c>
      <c r="C83" s="665">
        <v>67.870999999999995</v>
      </c>
      <c r="D83" s="665">
        <v>75.218999999999994</v>
      </c>
    </row>
    <row r="84" spans="2:4" ht="15.95" customHeight="1">
      <c r="B84" s="695">
        <v>1999</v>
      </c>
      <c r="C84" s="665">
        <v>69.558999999999997</v>
      </c>
      <c r="D84" s="665">
        <v>76.272000000000006</v>
      </c>
    </row>
    <row r="85" spans="2:4" ht="15.95" customHeight="1">
      <c r="B85" s="695">
        <v>2000</v>
      </c>
      <c r="C85" s="665">
        <v>71.908000000000001</v>
      </c>
      <c r="D85" s="665">
        <v>78.016000000000005</v>
      </c>
    </row>
    <row r="86" spans="2:4" ht="15.95" customHeight="1">
      <c r="B86" s="695">
        <v>2001</v>
      </c>
      <c r="C86" s="665">
        <v>73.27</v>
      </c>
      <c r="D86" s="665">
        <v>79.813999999999993</v>
      </c>
    </row>
    <row r="87" spans="2:4" ht="15.95" customHeight="1">
      <c r="B87" s="695">
        <v>2002</v>
      </c>
      <c r="C87" s="665">
        <v>75.713999999999999</v>
      </c>
      <c r="D87" s="665">
        <v>81.013000000000005</v>
      </c>
    </row>
    <row r="88" spans="2:4" ht="15.95" customHeight="1">
      <c r="B88" s="695">
        <v>2003</v>
      </c>
      <c r="C88" s="665">
        <v>79.504999999999995</v>
      </c>
      <c r="D88" s="665">
        <v>82.635000000000005</v>
      </c>
    </row>
    <row r="89" spans="2:4" ht="15.95" customHeight="1">
      <c r="B89" s="695">
        <v>2004</v>
      </c>
      <c r="C89" s="665">
        <v>82.263000000000005</v>
      </c>
      <c r="D89" s="665">
        <v>84.841999999999999</v>
      </c>
    </row>
    <row r="90" spans="2:4" ht="15.95" customHeight="1">
      <c r="B90" s="695">
        <v>2005</v>
      </c>
      <c r="C90" s="665">
        <v>86.010999999999996</v>
      </c>
      <c r="D90" s="665">
        <v>87.49</v>
      </c>
    </row>
    <row r="91" spans="2:4" ht="15.95" customHeight="1">
      <c r="B91" s="695">
        <v>2006</v>
      </c>
      <c r="C91" s="665">
        <v>89.022000000000006</v>
      </c>
      <c r="D91" s="665">
        <v>90.212000000000003</v>
      </c>
    </row>
    <row r="92" spans="2:4" ht="15.95" customHeight="1">
      <c r="B92" s="695">
        <v>2007</v>
      </c>
      <c r="C92" s="665">
        <v>91.75</v>
      </c>
      <c r="D92" s="665">
        <v>92.653000000000006</v>
      </c>
    </row>
    <row r="93" spans="2:4" ht="15.95" customHeight="1">
      <c r="B93" s="695">
        <v>2008</v>
      </c>
      <c r="C93" s="665">
        <v>94.801000000000002</v>
      </c>
      <c r="D93" s="665">
        <v>94.397000000000006</v>
      </c>
    </row>
    <row r="94" spans="2:4" ht="15.95" customHeight="1">
      <c r="B94" s="695">
        <v>2009</v>
      </c>
      <c r="C94" s="665">
        <v>94.126000000000005</v>
      </c>
      <c r="D94" s="665">
        <v>95.019000000000005</v>
      </c>
    </row>
    <row r="95" spans="2:4" ht="15.95" customHeight="1">
      <c r="B95" s="695">
        <v>2010</v>
      </c>
      <c r="C95" s="665">
        <v>96.128</v>
      </c>
      <c r="D95" s="665">
        <v>96.164000000000001</v>
      </c>
    </row>
    <row r="96" spans="2:4" ht="15.95" customHeight="1">
      <c r="B96" s="695">
        <v>2011</v>
      </c>
      <c r="C96" s="665">
        <v>98.945999999999998</v>
      </c>
      <c r="D96" s="665">
        <v>98.156999999999996</v>
      </c>
    </row>
    <row r="97" spans="2:4" ht="15.95" customHeight="1">
      <c r="B97" s="695">
        <v>2012</v>
      </c>
      <c r="C97" s="665">
        <v>100</v>
      </c>
      <c r="D97" s="665">
        <v>100</v>
      </c>
    </row>
    <row r="98" spans="2:4" ht="15.95" customHeight="1">
      <c r="B98" s="695">
        <v>2013</v>
      </c>
      <c r="C98" s="665">
        <v>100.60899999999999</v>
      </c>
      <c r="D98" s="665">
        <v>101.76900000000001</v>
      </c>
    </row>
    <row r="99" spans="2:4" ht="15.95" customHeight="1">
      <c r="B99" s="695">
        <v>2014</v>
      </c>
      <c r="C99" s="665">
        <v>102.056</v>
      </c>
      <c r="D99" s="665">
        <v>103.66200000000001</v>
      </c>
    </row>
    <row r="100" spans="2:4" ht="15.95" customHeight="1">
      <c r="B100" s="695">
        <v>2015</v>
      </c>
      <c r="C100" s="665">
        <v>102.334</v>
      </c>
      <c r="D100" s="665">
        <v>104.66200000000001</v>
      </c>
    </row>
    <row r="101" spans="2:4" ht="15.95" customHeight="1">
      <c r="B101" s="695">
        <v>2016</v>
      </c>
      <c r="C101" s="665">
        <v>102.65</v>
      </c>
      <c r="D101" s="665">
        <v>105.703</v>
      </c>
    </row>
    <row r="102" spans="2:4" ht="15.95" customHeight="1">
      <c r="B102" s="695">
        <v>2017</v>
      </c>
      <c r="C102" s="665">
        <v>104.306</v>
      </c>
      <c r="D102" s="665">
        <v>107.74299999999999</v>
      </c>
    </row>
    <row r="103" spans="2:4" ht="15.95" customHeight="1">
      <c r="B103" s="695">
        <v>2018</v>
      </c>
      <c r="C103" s="665">
        <v>107.149</v>
      </c>
      <c r="D103" s="665">
        <v>110.34399999999999</v>
      </c>
    </row>
    <row r="104" spans="2:4" ht="15.95" customHeight="1">
      <c r="B104" s="695">
        <v>2019</v>
      </c>
      <c r="C104" s="665">
        <v>108.86499999999999</v>
      </c>
      <c r="D104" s="665">
        <v>112.303</v>
      </c>
    </row>
    <row r="105" spans="2:4" ht="15.95" customHeight="1">
      <c r="B105" s="695">
        <v>2020</v>
      </c>
      <c r="C105" s="665">
        <v>110.039</v>
      </c>
      <c r="D105" s="665">
        <v>113.81399999999999</v>
      </c>
    </row>
    <row r="106" spans="2:4" ht="15.95" customHeight="1">
      <c r="B106" s="695">
        <v>2021</v>
      </c>
      <c r="C106" s="665">
        <v>114.086</v>
      </c>
      <c r="D106" s="665">
        <v>118.92400000000001</v>
      </c>
    </row>
    <row r="107" spans="2:4" ht="15.95" customHeight="1">
      <c r="B107" s="696">
        <v>2022</v>
      </c>
      <c r="C107" s="667">
        <v>120.19499999999999</v>
      </c>
      <c r="D107" s="667">
        <v>127.193</v>
      </c>
    </row>
    <row r="109" spans="2:4" ht="15.95" customHeight="1">
      <c r="D109" s="692"/>
    </row>
  </sheetData>
  <mergeCells count="1">
    <mergeCell ref="B4:I9"/>
  </mergeCell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8CBAD"/>
  </sheetPr>
  <dimension ref="B2:X27"/>
  <sheetViews>
    <sheetView showGridLines="0" workbookViewId="0"/>
  </sheetViews>
  <sheetFormatPr defaultColWidth="8.125" defaultRowHeight="15.95" customHeight="1"/>
  <cols>
    <col min="1" max="1" width="8.125" style="714"/>
    <col min="2" max="2" width="20.625" style="714" bestFit="1" customWidth="1"/>
    <col min="3" max="3" width="17.375" style="714" bestFit="1" customWidth="1"/>
    <col min="4" max="4" width="8.875" style="714" customWidth="1"/>
    <col min="5" max="5" width="25" style="714" bestFit="1" customWidth="1"/>
    <col min="6" max="6" width="9.5" style="714" bestFit="1" customWidth="1"/>
    <col min="7" max="7" width="9.375" style="714" customWidth="1"/>
    <col min="8" max="8" width="17.875" style="714" bestFit="1" customWidth="1"/>
    <col min="9" max="10" width="14.75" style="714" bestFit="1" customWidth="1"/>
    <col min="11" max="11" width="22.625" style="714" bestFit="1" customWidth="1"/>
    <col min="12" max="12" width="25" style="714" customWidth="1"/>
    <col min="13" max="13" width="17.125" style="714" customWidth="1"/>
    <col min="14" max="14" width="11.125" style="714" bestFit="1" customWidth="1"/>
    <col min="15" max="15" width="8.375" style="714" bestFit="1" customWidth="1"/>
    <col min="16" max="16" width="7" style="714" bestFit="1" customWidth="1"/>
    <col min="17" max="17" width="9.5" style="714" bestFit="1" customWidth="1"/>
    <col min="18" max="18" width="14.125" style="714" bestFit="1" customWidth="1"/>
    <col min="19" max="19" width="14.375" style="714" bestFit="1" customWidth="1"/>
    <col min="20" max="20" width="9.125" style="714" bestFit="1" customWidth="1"/>
    <col min="21" max="21" width="5" style="714" bestFit="1" customWidth="1"/>
    <col min="22" max="22" width="100.625" style="714" customWidth="1"/>
    <col min="23" max="23" width="152.625" style="714" bestFit="1" customWidth="1"/>
    <col min="24" max="24" width="11" style="714" bestFit="1" customWidth="1"/>
    <col min="25" max="16384" width="8.125" style="714"/>
  </cols>
  <sheetData>
    <row r="2" spans="2:24" ht="24.75" customHeight="1">
      <c r="B2" s="715" t="s">
        <v>6752</v>
      </c>
    </row>
    <row r="4" spans="2:24" ht="15.95" customHeight="1">
      <c r="B4" s="1506" t="s">
        <v>6753</v>
      </c>
      <c r="C4" s="1506"/>
      <c r="D4" s="1506"/>
      <c r="E4" s="1506"/>
      <c r="F4" s="1506"/>
      <c r="G4" s="728"/>
    </row>
    <row r="5" spans="2:24" ht="15.95" customHeight="1">
      <c r="B5" s="1506"/>
      <c r="C5" s="1506"/>
      <c r="D5" s="1506"/>
      <c r="E5" s="1506"/>
      <c r="F5" s="1506"/>
      <c r="G5" s="728"/>
    </row>
    <row r="6" spans="2:24" ht="15.95" customHeight="1">
      <c r="B6" s="1506"/>
      <c r="C6" s="1506"/>
      <c r="D6" s="1506"/>
      <c r="E6" s="1506"/>
      <c r="F6" s="1506"/>
      <c r="G6" s="728"/>
    </row>
    <row r="7" spans="2:24" ht="15.95" customHeight="1">
      <c r="B7" s="1506"/>
      <c r="C7" s="1506"/>
      <c r="D7" s="1506"/>
      <c r="E7" s="1506"/>
      <c r="F7" s="1506"/>
      <c r="G7" s="728"/>
    </row>
    <row r="8" spans="2:24" ht="15.95" customHeight="1">
      <c r="B8" s="1506"/>
      <c r="C8" s="1506"/>
      <c r="D8" s="1506"/>
      <c r="E8" s="1506"/>
      <c r="F8" s="1506"/>
      <c r="G8" s="728"/>
    </row>
    <row r="9" spans="2:24" ht="15.95" customHeight="1">
      <c r="B9" s="1506"/>
      <c r="C9" s="1506"/>
      <c r="D9" s="1506"/>
      <c r="E9" s="1506"/>
      <c r="F9" s="1506"/>
      <c r="G9" s="728"/>
    </row>
    <row r="11" spans="2:24" s="719" customFormat="1" ht="24.75" customHeight="1">
      <c r="B11" s="716" t="s">
        <v>6754</v>
      </c>
      <c r="C11" s="716" t="s">
        <v>308</v>
      </c>
      <c r="D11" s="717" t="s">
        <v>6755</v>
      </c>
      <c r="E11" s="717" t="s">
        <v>6756</v>
      </c>
      <c r="F11" s="717" t="s">
        <v>6757</v>
      </c>
      <c r="G11" s="717" t="s">
        <v>6758</v>
      </c>
      <c r="H11" s="717" t="s">
        <v>6759</v>
      </c>
      <c r="I11" s="717" t="s">
        <v>6760</v>
      </c>
      <c r="J11" s="717" t="s">
        <v>6761</v>
      </c>
      <c r="K11" s="717" t="s">
        <v>6762</v>
      </c>
      <c r="L11" s="717" t="s">
        <v>6763</v>
      </c>
      <c r="M11" s="717" t="s">
        <v>6764</v>
      </c>
      <c r="N11" s="717" t="s">
        <v>6765</v>
      </c>
      <c r="O11" s="717" t="s">
        <v>6766</v>
      </c>
      <c r="P11" s="717" t="s">
        <v>6767</v>
      </c>
      <c r="Q11" s="717" t="s">
        <v>6768</v>
      </c>
      <c r="R11" s="717" t="s">
        <v>6769</v>
      </c>
      <c r="S11" s="717" t="s">
        <v>6770</v>
      </c>
      <c r="T11" s="717" t="s">
        <v>6771</v>
      </c>
      <c r="U11" s="717" t="s">
        <v>6772</v>
      </c>
      <c r="V11" s="718" t="s">
        <v>6773</v>
      </c>
      <c r="W11" s="718" t="s">
        <v>6653</v>
      </c>
      <c r="X11" s="718" t="s">
        <v>6774</v>
      </c>
    </row>
    <row r="12" spans="2:24" ht="15.95" customHeight="1">
      <c r="B12" s="714" t="s">
        <v>6752</v>
      </c>
      <c r="C12" s="720" t="s">
        <v>3949</v>
      </c>
      <c r="D12" s="721">
        <f>F12/'Exchange Rates'!$C$13</f>
        <v>114.41413183198536</v>
      </c>
      <c r="E12" s="721"/>
      <c r="F12" s="721">
        <f>((G12)/(VLOOKUP(U12,deflator!$B:$C,2)))*deflator!$C$107</f>
        <v>124.34527847500169</v>
      </c>
      <c r="G12" s="721">
        <v>61</v>
      </c>
      <c r="H12" s="721"/>
      <c r="I12" s="721">
        <f>VLOOKUP(C12,'Country Summary (€)'!B:H,7,0)</f>
        <v>23315.080559999999</v>
      </c>
      <c r="J12" s="721">
        <f>K12/'Exchange Rates'!$C$13</f>
        <v>11550.442348268396</v>
      </c>
      <c r="K12" s="721">
        <f>((L12)/(VLOOKUP(U12,deflator!$B:$C,2)))*deflator!$C$107</f>
        <v>12553.020744098092</v>
      </c>
      <c r="L12" s="721">
        <v>6158.1289999999999</v>
      </c>
      <c r="M12" s="721"/>
      <c r="N12" s="721">
        <v>6.5720000000000001</v>
      </c>
      <c r="O12" s="721">
        <v>10.012</v>
      </c>
      <c r="P12" s="721">
        <v>4.0880000000000001</v>
      </c>
      <c r="Q12" s="721">
        <v>16.056999999999999</v>
      </c>
      <c r="R12" s="721">
        <v>0.35499999999999998</v>
      </c>
      <c r="S12" s="721">
        <v>16.838999999999999</v>
      </c>
      <c r="T12" s="721">
        <v>2.9000000000000001E-2</v>
      </c>
      <c r="U12" s="722">
        <v>1991</v>
      </c>
      <c r="V12" s="723" t="s">
        <v>6775</v>
      </c>
      <c r="W12" s="724" t="s">
        <v>6776</v>
      </c>
      <c r="X12" s="714" t="s">
        <v>6777</v>
      </c>
    </row>
    <row r="13" spans="2:24" ht="15.95" customHeight="1">
      <c r="B13" s="714" t="s">
        <v>6778</v>
      </c>
      <c r="C13" s="720" t="s">
        <v>3949</v>
      </c>
      <c r="D13" s="721">
        <f>VLOOKUP(C13,'Country Summary (€)'!B:G,6,0)</f>
        <v>70.698858108207588</v>
      </c>
      <c r="E13" s="721">
        <f>VLOOKUP(C13,'Country Summary (€)'!B:G,5,0)</f>
        <v>42.836768494663232</v>
      </c>
      <c r="F13" s="721"/>
      <c r="G13" s="721"/>
      <c r="H13" s="721"/>
      <c r="I13" s="721">
        <f>VLOOKUP(C13,'Country Summary (€)'!B:H,7,0)</f>
        <v>23315.080559999999</v>
      </c>
      <c r="J13" s="721">
        <f>K13/'Exchange Rates'!$C$13</f>
        <v>11550.442348268396</v>
      </c>
      <c r="K13" s="721">
        <f>((L13)/(VLOOKUP(U13,deflator!$B:$C,2)))*deflator!$C$107</f>
        <v>12553.020744098092</v>
      </c>
      <c r="L13" s="721">
        <v>6158.1289999999999</v>
      </c>
      <c r="M13" s="721"/>
      <c r="N13" s="721"/>
      <c r="O13" s="721"/>
      <c r="P13" s="721"/>
      <c r="Q13" s="721"/>
      <c r="R13" s="721"/>
      <c r="S13" s="721"/>
      <c r="T13" s="721"/>
      <c r="U13" s="722">
        <v>1991</v>
      </c>
      <c r="V13" s="725"/>
      <c r="X13" s="714" t="s">
        <v>6777</v>
      </c>
    </row>
    <row r="14" spans="2:24" ht="15.95" customHeight="1">
      <c r="B14" s="714" t="s">
        <v>6752</v>
      </c>
      <c r="C14" s="720" t="s">
        <v>1711</v>
      </c>
      <c r="D14" s="721">
        <f>F14/'Exchange Rates'!$C$13</f>
        <v>19.112368786708835</v>
      </c>
      <c r="E14" s="721"/>
      <c r="F14" s="721">
        <f>((G14)/(VLOOKUP(U14,deflator!$B:$C,2)))*deflator!$C$107</f>
        <v>20.77132239739516</v>
      </c>
      <c r="G14" s="721">
        <f>H14/1.658525</f>
        <v>10.189777060942705</v>
      </c>
      <c r="H14" s="721">
        <v>16.899999999999999</v>
      </c>
      <c r="I14" s="721">
        <f>VLOOKUP(C14,'Country Summary (€)'!B:H,7,0)</f>
        <v>4259.9349118216405</v>
      </c>
      <c r="J14" s="721">
        <f>K14/'Exchange Rates'!$C$13</f>
        <v>3505.4711836541337</v>
      </c>
      <c r="K14" s="721">
        <f>((L14)/(VLOOKUP(U14,deflator!$B:$C,2)))*deflator!$C$107</f>
        <v>3809.7460823953124</v>
      </c>
      <c r="L14" s="721">
        <v>1868.9451974071901</v>
      </c>
      <c r="M14" s="721"/>
      <c r="N14" s="721"/>
      <c r="O14" s="721"/>
      <c r="P14" s="721"/>
      <c r="Q14" s="721"/>
      <c r="R14" s="721"/>
      <c r="S14" s="721"/>
      <c r="T14" s="721"/>
      <c r="U14" s="722">
        <v>1991</v>
      </c>
      <c r="V14" s="725" t="s">
        <v>6779</v>
      </c>
      <c r="W14" s="724" t="s">
        <v>6780</v>
      </c>
      <c r="X14" s="714" t="s">
        <v>6777</v>
      </c>
    </row>
    <row r="15" spans="2:24" ht="15.95" customHeight="1">
      <c r="B15" s="714" t="s">
        <v>6778</v>
      </c>
      <c r="C15" s="720" t="s">
        <v>1711</v>
      </c>
      <c r="D15" s="721">
        <f>VLOOKUP(C15,'Country Summary (€)'!B:G,6,0)</f>
        <v>10.68140605</v>
      </c>
      <c r="E15" s="721">
        <f>VLOOKUP(C15,'Country Summary (€)'!B:G,5,0)</f>
        <v>7.5023</v>
      </c>
      <c r="F15" s="721"/>
      <c r="G15" s="721"/>
      <c r="H15" s="726"/>
      <c r="I15" s="721">
        <f>VLOOKUP(C15,'Country Summary (€)'!B:H,7,0)</f>
        <v>4259.9349118216405</v>
      </c>
      <c r="J15" s="721">
        <f>K15/'Exchange Rates'!$C$13</f>
        <v>3505.4711836541337</v>
      </c>
      <c r="K15" s="721">
        <f>((L15)/(VLOOKUP(U15,deflator!$B:$C,2)))*deflator!$C$107</f>
        <v>3809.7460823953124</v>
      </c>
      <c r="L15" s="721">
        <v>1868.9451974071901</v>
      </c>
      <c r="M15" s="721"/>
      <c r="N15" s="721"/>
      <c r="O15" s="721"/>
      <c r="P15" s="721"/>
      <c r="Q15" s="721"/>
      <c r="R15" s="721"/>
      <c r="S15" s="721"/>
      <c r="T15" s="721"/>
      <c r="U15" s="722">
        <v>1991</v>
      </c>
      <c r="V15" s="725"/>
      <c r="X15" s="714" t="s">
        <v>6777</v>
      </c>
    </row>
    <row r="16" spans="2:24" ht="15.95" customHeight="1">
      <c r="B16" s="714" t="s">
        <v>6752</v>
      </c>
      <c r="C16" s="720" t="s">
        <v>2312</v>
      </c>
      <c r="D16" s="721">
        <f>F16/'Exchange Rates'!$C$13</f>
        <v>21.588633727641827</v>
      </c>
      <c r="E16" s="721"/>
      <c r="F16" s="721">
        <f>((G16)/(VLOOKUP(U16,deflator!$B:$C,2)))*deflator!$C$107</f>
        <v>23.462527135201139</v>
      </c>
      <c r="G16" s="721">
        <v>11.51</v>
      </c>
      <c r="H16" s="721">
        <v>1507</v>
      </c>
      <c r="I16" s="721">
        <f>VLOOKUP(C16,'Country Summary (€)'!B:H,7,0)</f>
        <v>4940.8777807553297</v>
      </c>
      <c r="J16" s="721">
        <f>K16/'Exchange Rates'!$C$13</f>
        <v>6723.0870695513222</v>
      </c>
      <c r="K16" s="721">
        <f>((L16)/(VLOOKUP(U16,deflator!$B:$C,2)))*deflator!$C$107</f>
        <v>7306.6510271883772</v>
      </c>
      <c r="L16" s="721">
        <v>3584.42007710084</v>
      </c>
      <c r="M16" s="721"/>
      <c r="N16" s="721"/>
      <c r="O16" s="721"/>
      <c r="P16" s="721"/>
      <c r="Q16" s="721"/>
      <c r="R16" s="721"/>
      <c r="S16" s="721"/>
      <c r="T16" s="721"/>
      <c r="U16" s="722">
        <v>1991</v>
      </c>
      <c r="V16" s="725" t="s">
        <v>6781</v>
      </c>
      <c r="W16" s="724" t="s">
        <v>6782</v>
      </c>
      <c r="X16" s="714" t="s">
        <v>6777</v>
      </c>
    </row>
    <row r="17" spans="2:24" ht="15.95" customHeight="1">
      <c r="B17" s="714" t="s">
        <v>6778</v>
      </c>
      <c r="C17" s="720" t="s">
        <v>2312</v>
      </c>
      <c r="D17" s="721">
        <f>VLOOKUP(C17,'Country Summary (€)'!B:G,6,0)</f>
        <v>6.6172638663967609</v>
      </c>
      <c r="E17" s="721">
        <f>VLOOKUP(C17,'Country Summary (€)'!B:G,5,0)</f>
        <v>2.9860139860139859E-2</v>
      </c>
      <c r="F17" s="721"/>
      <c r="G17" s="721"/>
      <c r="H17" s="726"/>
      <c r="I17" s="721">
        <f>VLOOKUP(C17,'Country Summary (€)'!B:H,7,0)</f>
        <v>4940.8777807553297</v>
      </c>
      <c r="J17" s="721">
        <f>K17/'Exchange Rates'!$C$13</f>
        <v>6723.0870695513222</v>
      </c>
      <c r="K17" s="721">
        <f>((L17)/(VLOOKUP(U17,deflator!$B:$C,2)))*deflator!$C$107</f>
        <v>7306.6510271883772</v>
      </c>
      <c r="L17" s="721">
        <v>3584.42007710084</v>
      </c>
      <c r="M17" s="721"/>
      <c r="N17" s="721"/>
      <c r="O17" s="721"/>
      <c r="P17" s="721"/>
      <c r="Q17" s="721"/>
      <c r="R17" s="721"/>
      <c r="S17" s="721"/>
      <c r="T17" s="721"/>
      <c r="U17" s="722">
        <v>1991</v>
      </c>
      <c r="V17" s="725"/>
      <c r="X17" s="714" t="s">
        <v>6777</v>
      </c>
    </row>
    <row r="18" spans="2:24" ht="15.95" customHeight="1">
      <c r="B18" s="714" t="s">
        <v>6783</v>
      </c>
      <c r="C18" s="720" t="s">
        <v>3162</v>
      </c>
      <c r="D18" s="721">
        <f>F18/'Exchange Rates'!$C$13</f>
        <v>0.66585273443204596</v>
      </c>
      <c r="E18" s="721"/>
      <c r="F18" s="721">
        <f>((G18)/(VLOOKUP(U18,deflator!$B:$C,2)))*deflator!$C$107</f>
        <v>0.7236487517807475</v>
      </c>
      <c r="G18" s="721">
        <v>0.35499999999999998</v>
      </c>
      <c r="H18" s="721"/>
      <c r="I18" s="721">
        <f>VLOOKUP(C18,'Country Summary (€)'!B:H,7,0)</f>
        <v>1810.9558713809799</v>
      </c>
      <c r="J18" s="721">
        <f>K18/'Exchange Rates'!$C$13</f>
        <v>620.17810792299042</v>
      </c>
      <c r="K18" s="721">
        <f>((L18)/(VLOOKUP(U18,deflator!$B:$C,2)))*deflator!$C$107</f>
        <v>674.00956769070592</v>
      </c>
      <c r="L18" s="721">
        <v>330.648530715211</v>
      </c>
      <c r="M18" s="721"/>
      <c r="N18" s="721"/>
      <c r="O18" s="721"/>
      <c r="P18" s="721"/>
      <c r="Q18" s="721"/>
      <c r="R18" s="721"/>
      <c r="S18" s="721"/>
      <c r="T18" s="721"/>
      <c r="U18" s="722">
        <v>1991</v>
      </c>
      <c r="V18" s="725" t="s">
        <v>6784</v>
      </c>
      <c r="W18" s="724" t="s">
        <v>6776</v>
      </c>
      <c r="X18" s="714" t="s">
        <v>6777</v>
      </c>
    </row>
    <row r="19" spans="2:24" ht="15.95" customHeight="1">
      <c r="B19" s="714" t="s">
        <v>6778</v>
      </c>
      <c r="C19" s="720" t="s">
        <v>3162</v>
      </c>
      <c r="D19" s="721">
        <f>VLOOKUP(C19,'Country Summary (€)'!B:G,6,0)</f>
        <v>0.61058152373941843</v>
      </c>
      <c r="E19" s="721">
        <f>VLOOKUP(C19,'Country Summary (€)'!B:G,5,0)</f>
        <v>3.2940743467059263E-3</v>
      </c>
      <c r="F19" s="721"/>
      <c r="G19" s="721"/>
      <c r="H19" s="721"/>
      <c r="I19" s="721">
        <f>VLOOKUP(C19,'Country Summary (€)'!B:H,7,0)</f>
        <v>1810.9558713809799</v>
      </c>
      <c r="J19" s="721">
        <f>K19/'Exchange Rates'!$C$13</f>
        <v>620.17810792299042</v>
      </c>
      <c r="K19" s="721">
        <f>((L19)/(VLOOKUP(U19,deflator!$B:$C,2)))*deflator!$C$107</f>
        <v>674.00956769070592</v>
      </c>
      <c r="L19" s="721">
        <v>330.648530715211</v>
      </c>
      <c r="M19" s="721"/>
      <c r="N19" s="721"/>
      <c r="O19" s="721"/>
      <c r="P19" s="721"/>
      <c r="Q19" s="721"/>
      <c r="R19" s="721"/>
      <c r="S19" s="721"/>
      <c r="T19" s="721"/>
      <c r="U19" s="722">
        <v>1991</v>
      </c>
      <c r="V19" s="725"/>
    </row>
    <row r="20" spans="2:24" ht="15.95" customHeight="1">
      <c r="B20" s="714" t="s">
        <v>6783</v>
      </c>
      <c r="C20" s="720" t="s">
        <v>6785</v>
      </c>
      <c r="D20" s="721">
        <f>F20/'Exchange Rates'!$C$13</f>
        <v>7.6676224742484633</v>
      </c>
      <c r="E20" s="726"/>
      <c r="F20" s="721">
        <f>((G20)/(VLOOKUP(U20,deflator!$B:$C,2)))*deflator!$C$107</f>
        <v>8.3331721050132295</v>
      </c>
      <c r="G20" s="721">
        <v>4.0880000000000001</v>
      </c>
      <c r="H20" s="726"/>
      <c r="I20" s="726"/>
      <c r="J20" s="726"/>
      <c r="K20" s="726"/>
      <c r="L20" s="726"/>
      <c r="M20" s="726"/>
      <c r="N20" s="726"/>
      <c r="O20" s="726"/>
      <c r="P20" s="726"/>
      <c r="Q20" s="726"/>
      <c r="R20" s="726"/>
      <c r="S20" s="726"/>
      <c r="T20" s="726"/>
      <c r="U20" s="722">
        <v>1991</v>
      </c>
      <c r="V20" s="725" t="s">
        <v>6784</v>
      </c>
      <c r="W20" s="724" t="s">
        <v>6776</v>
      </c>
    </row>
    <row r="21" spans="2:24" ht="15.95" customHeight="1">
      <c r="B21" s="714" t="s">
        <v>6783</v>
      </c>
      <c r="C21" s="720" t="s">
        <v>6786</v>
      </c>
      <c r="D21" s="721">
        <f>F21/'Exchange Rates'!$C$13</f>
        <v>30.117175652888346</v>
      </c>
      <c r="E21" s="726"/>
      <c r="F21" s="721">
        <f>((G21)/(VLOOKUP(U21,deflator!$B:$C,2)))*deflator!$C$107</f>
        <v>32.731346499559052</v>
      </c>
      <c r="G21" s="721">
        <v>16.056999999999999</v>
      </c>
      <c r="H21" s="726"/>
      <c r="I21" s="726"/>
      <c r="J21" s="726"/>
      <c r="K21" s="726"/>
      <c r="L21" s="726"/>
      <c r="M21" s="726"/>
      <c r="N21" s="726"/>
      <c r="O21" s="726"/>
      <c r="P21" s="726"/>
      <c r="Q21" s="726"/>
      <c r="R21" s="726"/>
      <c r="S21" s="726"/>
      <c r="T21" s="726"/>
      <c r="U21" s="722">
        <v>1991</v>
      </c>
      <c r="V21" s="725" t="s">
        <v>6784</v>
      </c>
      <c r="W21" s="724" t="s">
        <v>6776</v>
      </c>
    </row>
    <row r="22" spans="2:24" ht="15.95" customHeight="1">
      <c r="B22" s="714" t="s">
        <v>6783</v>
      </c>
      <c r="C22" s="720" t="s">
        <v>6787</v>
      </c>
      <c r="D22" s="721">
        <f>F22/'Exchange Rates'!$C$13</f>
        <v>31.583927310144283</v>
      </c>
      <c r="E22" s="726"/>
      <c r="F22" s="721">
        <f>((G22)/(VLOOKUP(U22,deflator!$B:$C,2)))*deflator!$C$107</f>
        <v>34.325412200664807</v>
      </c>
      <c r="G22" s="721">
        <v>16.838999999999999</v>
      </c>
      <c r="H22" s="726"/>
      <c r="I22" s="726"/>
      <c r="J22" s="726"/>
      <c r="K22" s="726"/>
      <c r="L22" s="726"/>
      <c r="M22" s="726"/>
      <c r="N22" s="726"/>
      <c r="O22" s="726"/>
      <c r="P22" s="726"/>
      <c r="Q22" s="726"/>
      <c r="R22" s="726"/>
      <c r="S22" s="726"/>
      <c r="T22" s="726"/>
      <c r="U22" s="722">
        <v>1991</v>
      </c>
      <c r="V22" s="725" t="s">
        <v>6784</v>
      </c>
      <c r="W22" s="724" t="s">
        <v>6776</v>
      </c>
    </row>
    <row r="23" spans="2:24" ht="15.95" customHeight="1">
      <c r="B23" s="714" t="s">
        <v>6783</v>
      </c>
      <c r="C23" s="720" t="s">
        <v>6788</v>
      </c>
      <c r="D23" s="721">
        <f>F23/'Exchange Rates'!$C$13</f>
        <v>5.4393603657829116E-2</v>
      </c>
      <c r="E23" s="726"/>
      <c r="F23" s="721">
        <f>((G23)/(VLOOKUP(U23,deflator!$B:$C,2)))*deflator!$C$107</f>
        <v>5.9114968455328681E-2</v>
      </c>
      <c r="G23" s="721">
        <v>2.9000000000000001E-2</v>
      </c>
      <c r="H23" s="726"/>
      <c r="I23" s="726"/>
      <c r="J23" s="726"/>
      <c r="K23" s="726"/>
      <c r="L23" s="726"/>
      <c r="M23" s="726"/>
      <c r="N23" s="726"/>
      <c r="O23" s="726"/>
      <c r="P23" s="726"/>
      <c r="Q23" s="726"/>
      <c r="R23" s="726"/>
      <c r="S23" s="726"/>
      <c r="T23" s="726"/>
      <c r="U23" s="722">
        <v>1991</v>
      </c>
      <c r="V23" s="725" t="s">
        <v>6784</v>
      </c>
      <c r="W23" s="724" t="s">
        <v>6776</v>
      </c>
    </row>
    <row r="24" spans="2:24" ht="15.95" customHeight="1">
      <c r="B24" s="714" t="s">
        <v>6783</v>
      </c>
      <c r="C24" s="714" t="s">
        <v>1711</v>
      </c>
      <c r="D24" s="721">
        <f>F24/'Exchange Rates'!$C$13</f>
        <v>12.326715973767341</v>
      </c>
      <c r="F24" s="721">
        <f>((G24)/(VLOOKUP(U24,deflator!$B:$C,2)))*deflator!$C$107</f>
        <v>13.396674920290346</v>
      </c>
      <c r="G24" s="721">
        <v>6.5720000000000001</v>
      </c>
      <c r="U24" s="722">
        <v>1991</v>
      </c>
    </row>
    <row r="25" spans="2:24" ht="15.95" customHeight="1">
      <c r="B25" s="714" t="s">
        <v>6783</v>
      </c>
      <c r="C25" s="714" t="s">
        <v>2312</v>
      </c>
      <c r="D25" s="721">
        <f>F25/'Exchange Rates'!$C$13</f>
        <v>18.778922752489141</v>
      </c>
      <c r="F25" s="721">
        <f>((G25)/(VLOOKUP(U25,deflator!$B:$C,2)))*deflator!$C$107</f>
        <v>20.408933247405198</v>
      </c>
      <c r="G25" s="721">
        <v>10.012</v>
      </c>
      <c r="U25" s="722">
        <v>1991</v>
      </c>
    </row>
    <row r="27" spans="2:24" ht="15.95" customHeight="1">
      <c r="D27" s="727"/>
    </row>
  </sheetData>
  <mergeCells count="1">
    <mergeCell ref="B4:F9"/>
  </mergeCells>
  <hyperlinks>
    <hyperlink ref="W12" r:id="rId1" xr:uid="{00000000-0004-0000-3700-000000000000}"/>
    <hyperlink ref="W16" r:id="rId2" location=":~:text=On%20September%2021%2C%20Japan%20contributed,in%20transportation%20and%20medical%20services" xr:uid="{00000000-0004-0000-3700-000001000000}"/>
    <hyperlink ref="W14" r:id="rId3" xr:uid="{00000000-0004-0000-3700-000002000000}"/>
    <hyperlink ref="W20" r:id="rId4" xr:uid="{00000000-0004-0000-3700-000003000000}"/>
    <hyperlink ref="W21" r:id="rId5" xr:uid="{00000000-0004-0000-3700-000004000000}"/>
    <hyperlink ref="W22" r:id="rId6" xr:uid="{00000000-0004-0000-3700-000005000000}"/>
    <hyperlink ref="W23" r:id="rId7" xr:uid="{00000000-0004-0000-3700-000006000000}"/>
    <hyperlink ref="W18" r:id="rId8" xr:uid="{00000000-0004-0000-3700-000007000000}"/>
  </hyperlinks>
  <pageMargins left="0.7" right="0.7" top="0.78740157499999996" bottom="0.78740157499999996" header="0.3" footer="0.3"/>
  <pageSetup paperSize="9" orientation="portrait" r:id="rId9"/>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EF6F0-0052-4D80-8F66-145B0D89BA1D}">
  <sheetPr>
    <tabColor rgb="FFF8CBAD"/>
  </sheetPr>
  <dimension ref="A1:X173"/>
  <sheetViews>
    <sheetView showGridLines="0" workbookViewId="0"/>
  </sheetViews>
  <sheetFormatPr defaultColWidth="8.125" defaultRowHeight="15.95" customHeight="1"/>
  <cols>
    <col min="1" max="1" width="8.125" style="714"/>
    <col min="2" max="2" width="20.625" style="714" bestFit="1" customWidth="1"/>
    <col min="3" max="3" width="37.25" style="1095" customWidth="1"/>
    <col min="4" max="4" width="59.25" style="714" customWidth="1"/>
    <col min="5" max="5" width="72.125" style="714" customWidth="1"/>
    <col min="6" max="6" width="9.5" style="714" bestFit="1" customWidth="1"/>
    <col min="7" max="7" width="9.375" style="714" customWidth="1"/>
    <col min="8" max="8" width="17.875" style="714" bestFit="1" customWidth="1"/>
    <col min="9" max="10" width="14.75" style="714" bestFit="1" customWidth="1"/>
    <col min="11" max="11" width="22.625" style="714" bestFit="1" customWidth="1"/>
    <col min="12" max="12" width="25" style="714" customWidth="1"/>
    <col min="13" max="13" width="17.125" style="714" customWidth="1"/>
    <col min="14" max="14" width="11.125" style="714" bestFit="1" customWidth="1"/>
    <col min="15" max="15" width="8.375" style="714" bestFit="1" customWidth="1"/>
    <col min="16" max="16" width="7" style="714" bestFit="1" customWidth="1"/>
    <col min="17" max="17" width="9.5" style="714" bestFit="1" customWidth="1"/>
    <col min="18" max="18" width="14.125" style="714" bestFit="1" customWidth="1"/>
    <col min="19" max="19" width="14.375" style="714" bestFit="1" customWidth="1"/>
    <col min="20" max="20" width="9.125" style="714" bestFit="1" customWidth="1"/>
    <col min="21" max="21" width="5" style="714" bestFit="1" customWidth="1"/>
    <col min="22" max="22" width="100.625" style="714" customWidth="1"/>
    <col min="23" max="23" width="152.625" style="714" bestFit="1" customWidth="1"/>
    <col min="24" max="24" width="11" style="714" bestFit="1" customWidth="1"/>
    <col min="25" max="16384" width="8.125" style="714"/>
  </cols>
  <sheetData>
    <row r="1" spans="1:24" ht="15.95" customHeight="1">
      <c r="A1" s="1"/>
      <c r="B1" s="1"/>
      <c r="C1" s="196"/>
      <c r="D1" s="1"/>
      <c r="E1" s="1"/>
      <c r="F1" s="1"/>
      <c r="G1" s="1"/>
      <c r="H1" s="1"/>
      <c r="I1" s="1"/>
      <c r="J1" s="1"/>
      <c r="K1" s="1"/>
      <c r="L1" s="1"/>
      <c r="M1" s="1"/>
      <c r="N1" s="1"/>
      <c r="O1" s="1"/>
      <c r="P1" s="1"/>
      <c r="Q1" s="1"/>
      <c r="R1" s="1"/>
      <c r="S1" s="1"/>
      <c r="T1" s="1"/>
      <c r="U1" s="1"/>
      <c r="V1" s="1"/>
      <c r="W1" s="1"/>
      <c r="X1" s="1"/>
    </row>
    <row r="2" spans="1:24" ht="24.75" customHeight="1">
      <c r="A2" s="1"/>
      <c r="B2" s="1051" t="s">
        <v>6789</v>
      </c>
      <c r="C2" s="1082"/>
      <c r="D2" s="1"/>
      <c r="E2" s="1"/>
      <c r="F2" s="1"/>
      <c r="G2" s="1"/>
      <c r="H2" s="1"/>
      <c r="I2" s="1"/>
      <c r="J2" s="1"/>
      <c r="K2" s="1"/>
      <c r="L2" s="1"/>
      <c r="M2" s="1"/>
      <c r="N2" s="1"/>
      <c r="O2" s="1"/>
      <c r="P2" s="1"/>
      <c r="Q2" s="1"/>
      <c r="R2" s="1"/>
      <c r="S2" s="1"/>
      <c r="T2" s="1"/>
      <c r="U2" s="1"/>
      <c r="V2" s="1"/>
      <c r="W2" s="1"/>
      <c r="X2" s="1"/>
    </row>
    <row r="3" spans="1:24" ht="15.95" customHeight="1">
      <c r="A3" s="1"/>
      <c r="B3" s="1"/>
      <c r="C3" s="196"/>
      <c r="D3" s="1"/>
      <c r="E3" s="1"/>
      <c r="F3" s="1"/>
      <c r="G3" s="1"/>
      <c r="H3" s="1"/>
      <c r="I3" s="1"/>
      <c r="J3" s="1"/>
      <c r="K3" s="1"/>
      <c r="L3" s="1"/>
      <c r="M3" s="1"/>
      <c r="N3" s="1"/>
      <c r="O3" s="1"/>
      <c r="P3" s="1"/>
      <c r="Q3" s="1"/>
      <c r="R3" s="1"/>
      <c r="S3" s="1"/>
      <c r="T3" s="1"/>
      <c r="U3" s="1"/>
      <c r="V3" s="1"/>
      <c r="W3" s="1"/>
      <c r="X3" s="1"/>
    </row>
    <row r="4" spans="1:24" ht="15.95" customHeight="1">
      <c r="A4" s="1"/>
      <c r="B4" s="1507" t="s">
        <v>6790</v>
      </c>
      <c r="C4" s="1507"/>
      <c r="D4" s="1507"/>
      <c r="E4" s="1507"/>
      <c r="F4" s="1"/>
      <c r="G4" s="1"/>
      <c r="H4" s="1"/>
      <c r="I4" s="1"/>
      <c r="J4" s="1"/>
      <c r="K4" s="1"/>
      <c r="L4" s="1"/>
      <c r="M4" s="1"/>
      <c r="N4" s="1"/>
      <c r="O4" s="1"/>
      <c r="P4" s="1"/>
      <c r="Q4" s="1"/>
      <c r="R4" s="1"/>
      <c r="S4" s="1"/>
      <c r="T4" s="1"/>
      <c r="U4" s="1"/>
      <c r="V4" s="1"/>
      <c r="W4" s="1"/>
      <c r="X4" s="1"/>
    </row>
    <row r="5" spans="1:24" ht="15.95" customHeight="1">
      <c r="A5" s="1"/>
      <c r="B5" s="1507"/>
      <c r="C5" s="1507"/>
      <c r="D5" s="1507"/>
      <c r="E5" s="1507"/>
      <c r="F5" s="1"/>
      <c r="G5" s="1"/>
      <c r="H5" s="1"/>
      <c r="I5" s="1"/>
      <c r="J5" s="1"/>
      <c r="K5" s="1"/>
      <c r="L5" s="1"/>
      <c r="M5" s="1"/>
      <c r="N5" s="1"/>
      <c r="O5" s="1"/>
      <c r="P5" s="1"/>
      <c r="Q5" s="1"/>
      <c r="R5" s="1"/>
      <c r="S5" s="1"/>
      <c r="T5" s="1"/>
      <c r="U5" s="1"/>
      <c r="V5" s="1"/>
      <c r="W5" s="1"/>
      <c r="X5" s="1"/>
    </row>
    <row r="6" spans="1:24" ht="15.95" customHeight="1">
      <c r="A6" s="1"/>
      <c r="B6" s="1507"/>
      <c r="C6" s="1507"/>
      <c r="D6" s="1507"/>
      <c r="E6" s="1507"/>
      <c r="F6" s="1"/>
      <c r="G6" s="1"/>
      <c r="H6" s="1"/>
      <c r="I6" s="1"/>
      <c r="J6" s="1"/>
      <c r="K6" s="1"/>
      <c r="L6" s="1"/>
      <c r="M6" s="1"/>
      <c r="N6" s="1"/>
      <c r="O6" s="1"/>
      <c r="P6" s="1"/>
      <c r="Q6" s="1"/>
      <c r="R6" s="1"/>
      <c r="S6" s="1"/>
      <c r="T6" s="1"/>
      <c r="U6" s="1"/>
      <c r="V6" s="1"/>
      <c r="W6" s="1"/>
      <c r="X6" s="1"/>
    </row>
    <row r="7" spans="1:24" ht="15.95" customHeight="1">
      <c r="A7" s="1"/>
      <c r="B7" s="1507"/>
      <c r="C7" s="1507"/>
      <c r="D7" s="1507"/>
      <c r="E7" s="1507"/>
      <c r="F7" s="1"/>
      <c r="G7" s="1"/>
      <c r="H7" s="1"/>
      <c r="I7" s="1"/>
      <c r="J7" s="1"/>
      <c r="K7" s="1"/>
      <c r="L7" s="1"/>
      <c r="M7" s="1"/>
      <c r="N7" s="1"/>
      <c r="O7" s="1"/>
      <c r="P7" s="1"/>
      <c r="Q7" s="1"/>
      <c r="R7" s="1"/>
      <c r="S7" s="1"/>
      <c r="T7" s="1"/>
      <c r="U7" s="1"/>
      <c r="V7" s="1"/>
      <c r="W7" s="1"/>
      <c r="X7" s="1"/>
    </row>
    <row r="8" spans="1:24" ht="15.95" customHeight="1">
      <c r="A8" s="1"/>
      <c r="B8" s="1507"/>
      <c r="C8" s="1507"/>
      <c r="D8" s="1507"/>
      <c r="E8" s="1507"/>
      <c r="F8" s="1"/>
      <c r="G8" s="1"/>
      <c r="H8" s="1"/>
      <c r="I8" s="1"/>
      <c r="J8" s="1"/>
      <c r="K8" s="1"/>
      <c r="L8" s="1"/>
      <c r="M8" s="1"/>
      <c r="N8" s="1"/>
      <c r="O8" s="1"/>
      <c r="P8" s="1"/>
      <c r="Q8" s="1"/>
      <c r="R8" s="1"/>
      <c r="S8" s="1"/>
      <c r="T8" s="1"/>
      <c r="U8" s="1"/>
      <c r="V8" s="1"/>
      <c r="W8" s="1"/>
      <c r="X8" s="1"/>
    </row>
    <row r="9" spans="1:24" ht="20.45">
      <c r="A9" s="1"/>
      <c r="B9" s="1051" t="s">
        <v>6791</v>
      </c>
      <c r="C9" s="1082"/>
      <c r="D9" s="1051"/>
      <c r="E9" s="1"/>
      <c r="F9" s="1"/>
      <c r="G9" s="1"/>
      <c r="H9" s="1"/>
      <c r="I9" s="1"/>
      <c r="J9" s="1"/>
      <c r="K9" s="1"/>
      <c r="L9" s="1"/>
      <c r="M9" s="1"/>
      <c r="N9" s="1"/>
      <c r="O9" s="1"/>
      <c r="P9" s="1"/>
      <c r="Q9" s="1"/>
      <c r="R9" s="1"/>
      <c r="S9" s="1"/>
      <c r="T9" s="1"/>
      <c r="U9" s="1"/>
      <c r="V9" s="1"/>
      <c r="W9" s="1"/>
      <c r="X9" s="1"/>
    </row>
    <row r="10" spans="1:24" ht="15.95" customHeight="1">
      <c r="A10" s="1"/>
      <c r="B10" s="1051"/>
      <c r="C10" s="196"/>
      <c r="D10" s="1"/>
      <c r="E10" s="1"/>
      <c r="F10" s="1"/>
      <c r="G10" s="1"/>
      <c r="H10" s="1"/>
      <c r="I10" s="1"/>
      <c r="J10" s="1"/>
      <c r="K10" s="1"/>
      <c r="L10" s="1"/>
      <c r="M10" s="1"/>
      <c r="N10" s="1"/>
      <c r="O10" s="1"/>
      <c r="P10" s="1"/>
      <c r="Q10" s="1"/>
      <c r="R10" s="1"/>
      <c r="S10" s="1"/>
      <c r="T10" s="1"/>
      <c r="U10" s="1"/>
      <c r="V10" s="1"/>
      <c r="W10" s="1"/>
      <c r="X10" s="1"/>
    </row>
    <row r="11" spans="1:24" s="719" customFormat="1" ht="15.6">
      <c r="A11" s="1"/>
      <c r="B11" s="1052" t="s">
        <v>4937</v>
      </c>
      <c r="C11" s="1083" t="s">
        <v>3955</v>
      </c>
      <c r="D11" s="1053"/>
      <c r="E11" s="1"/>
      <c r="F11" s="1"/>
      <c r="G11" s="1"/>
      <c r="H11" s="1"/>
      <c r="I11" s="1"/>
      <c r="J11" s="1"/>
      <c r="K11" s="1"/>
      <c r="L11" s="1"/>
      <c r="M11" s="1"/>
      <c r="N11" s="1"/>
      <c r="O11" s="1"/>
      <c r="P11" s="1"/>
      <c r="Q11" s="1"/>
      <c r="R11" s="1"/>
      <c r="S11" s="1"/>
      <c r="T11" s="1"/>
      <c r="U11" s="1"/>
      <c r="V11" s="1"/>
      <c r="W11" s="1"/>
      <c r="X11" s="1"/>
    </row>
    <row r="12" spans="1:24" ht="15.95" customHeight="1">
      <c r="A12" s="1"/>
      <c r="B12" s="1053"/>
      <c r="C12" s="196"/>
      <c r="D12" s="1"/>
      <c r="E12" s="1"/>
      <c r="F12" s="1"/>
      <c r="G12" s="1"/>
      <c r="H12" s="1"/>
      <c r="I12" s="1"/>
      <c r="J12" s="1"/>
      <c r="K12" s="1"/>
      <c r="L12" s="1"/>
      <c r="M12" s="1"/>
      <c r="N12" s="1"/>
      <c r="O12" s="1"/>
      <c r="P12" s="1"/>
      <c r="Q12" s="1"/>
      <c r="R12" s="1"/>
      <c r="S12" s="1"/>
      <c r="T12" s="1"/>
      <c r="U12" s="1"/>
      <c r="V12" s="1"/>
      <c r="W12" s="1"/>
      <c r="X12" s="1"/>
    </row>
    <row r="13" spans="1:24" ht="15.95" customHeight="1">
      <c r="A13" s="1"/>
      <c r="B13" s="1054" t="s">
        <v>6792</v>
      </c>
      <c r="C13" s="1084" t="s">
        <v>6793</v>
      </c>
      <c r="D13" s="1054" t="s">
        <v>38</v>
      </c>
      <c r="E13" s="1054" t="s">
        <v>6794</v>
      </c>
      <c r="F13" s="1055" t="s">
        <v>38</v>
      </c>
      <c r="G13" s="1055" t="s">
        <v>38</v>
      </c>
      <c r="H13" s="1055" t="s">
        <v>38</v>
      </c>
      <c r="I13" s="1055" t="s">
        <v>38</v>
      </c>
      <c r="J13" s="1055" t="s">
        <v>38</v>
      </c>
      <c r="K13" s="1055" t="s">
        <v>38</v>
      </c>
      <c r="L13" s="1055" t="s">
        <v>38</v>
      </c>
      <c r="M13" s="1055" t="s">
        <v>38</v>
      </c>
      <c r="N13" s="1055" t="s">
        <v>38</v>
      </c>
      <c r="O13" s="1055" t="s">
        <v>38</v>
      </c>
      <c r="P13" s="1055" t="s">
        <v>38</v>
      </c>
      <c r="Q13" s="1055" t="s">
        <v>38</v>
      </c>
      <c r="R13" s="1055" t="s">
        <v>38</v>
      </c>
      <c r="S13" s="1"/>
      <c r="T13" s="1"/>
      <c r="U13" s="1"/>
      <c r="V13" s="1"/>
      <c r="W13" s="1"/>
      <c r="X13" s="1"/>
    </row>
    <row r="14" spans="1:24" ht="15.95" customHeight="1">
      <c r="A14" s="1"/>
      <c r="B14" s="1056"/>
      <c r="C14" s="196">
        <v>0.1</v>
      </c>
      <c r="D14" s="1056" t="s">
        <v>6795</v>
      </c>
      <c r="E14" s="1" t="s">
        <v>6796</v>
      </c>
      <c r="F14" s="1"/>
      <c r="G14" s="1"/>
      <c r="H14" s="1"/>
      <c r="I14" s="1"/>
      <c r="J14" s="1"/>
      <c r="K14" s="1"/>
      <c r="L14" s="1"/>
      <c r="M14" s="1"/>
      <c r="N14" s="1"/>
      <c r="O14" s="1"/>
      <c r="P14" s="1"/>
      <c r="Q14" s="1"/>
      <c r="R14" s="1"/>
      <c r="S14" s="1"/>
      <c r="T14" s="1"/>
      <c r="U14" s="1"/>
      <c r="V14" s="1"/>
      <c r="W14" s="1"/>
      <c r="X14" s="1"/>
    </row>
    <row r="15" spans="1:24" ht="15.95" customHeight="1">
      <c r="A15" s="1"/>
      <c r="B15" s="1056"/>
      <c r="C15" s="196">
        <v>0.03</v>
      </c>
      <c r="D15" s="1056" t="s">
        <v>6797</v>
      </c>
      <c r="E15" s="1" t="s">
        <v>6798</v>
      </c>
      <c r="F15" s="1"/>
      <c r="G15" s="1"/>
      <c r="H15" s="1"/>
      <c r="I15" s="1"/>
      <c r="J15" s="1"/>
      <c r="K15" s="1"/>
      <c r="L15" s="1"/>
      <c r="M15" s="1"/>
      <c r="N15" s="1"/>
      <c r="O15" s="1"/>
      <c r="P15" s="1"/>
      <c r="Q15" s="1"/>
      <c r="R15" s="1"/>
      <c r="S15" s="1"/>
      <c r="T15" s="1"/>
      <c r="U15" s="1"/>
      <c r="V15" s="1"/>
      <c r="W15" s="1"/>
      <c r="X15" s="1"/>
    </row>
    <row r="16" spans="1:24" ht="15.95" customHeight="1">
      <c r="A16" s="1"/>
      <c r="B16" s="1056"/>
      <c r="C16" s="196">
        <v>1.4</v>
      </c>
      <c r="D16" s="1056" t="s">
        <v>6799</v>
      </c>
      <c r="E16" s="1" t="s">
        <v>6800</v>
      </c>
      <c r="F16" s="1"/>
      <c r="G16" s="1"/>
      <c r="H16" s="1"/>
      <c r="I16" s="1"/>
      <c r="J16" s="1"/>
      <c r="K16" s="1"/>
      <c r="L16" s="1"/>
      <c r="M16" s="1"/>
      <c r="N16" s="1"/>
      <c r="O16" s="1"/>
      <c r="P16" s="1"/>
      <c r="Q16" s="1"/>
      <c r="R16" s="1"/>
      <c r="S16" s="1"/>
      <c r="T16" s="1"/>
      <c r="U16" s="1"/>
      <c r="V16" s="1"/>
      <c r="W16" s="1"/>
      <c r="X16" s="1"/>
    </row>
    <row r="17" spans="1:24" ht="15.95" customHeight="1">
      <c r="A17" s="1"/>
      <c r="B17" s="1056"/>
      <c r="C17" s="196">
        <v>1.1200000000000001</v>
      </c>
      <c r="D17" s="1056" t="s">
        <v>6799</v>
      </c>
      <c r="E17" s="1" t="s">
        <v>6801</v>
      </c>
      <c r="F17" s="1"/>
      <c r="G17" s="1"/>
      <c r="H17" s="1"/>
      <c r="I17" s="1"/>
      <c r="J17" s="1"/>
      <c r="K17" s="1"/>
      <c r="L17" s="1"/>
      <c r="M17" s="1"/>
      <c r="N17" s="1"/>
      <c r="O17" s="1"/>
      <c r="P17" s="1"/>
      <c r="Q17" s="1"/>
      <c r="R17" s="1"/>
      <c r="S17" s="1"/>
      <c r="T17" s="1"/>
      <c r="U17" s="1"/>
      <c r="V17" s="1"/>
      <c r="W17" s="1"/>
      <c r="X17" s="1"/>
    </row>
    <row r="18" spans="1:24" ht="15.95" customHeight="1">
      <c r="A18" s="1"/>
      <c r="B18" s="1056"/>
      <c r="C18" s="196">
        <v>0.65</v>
      </c>
      <c r="D18" s="1056" t="s">
        <v>6799</v>
      </c>
      <c r="E18" s="1" t="s">
        <v>6802</v>
      </c>
      <c r="F18" s="1"/>
      <c r="G18" s="1"/>
      <c r="H18" s="1"/>
      <c r="I18" s="1"/>
      <c r="J18" s="1"/>
      <c r="K18" s="1"/>
      <c r="L18" s="1"/>
      <c r="M18" s="1"/>
      <c r="N18" s="1"/>
      <c r="O18" s="1"/>
      <c r="P18" s="1"/>
      <c r="Q18" s="1"/>
      <c r="R18" s="1"/>
      <c r="S18" s="1"/>
      <c r="T18" s="1"/>
      <c r="U18" s="1"/>
      <c r="V18" s="1"/>
      <c r="W18" s="1"/>
      <c r="X18" s="1"/>
    </row>
    <row r="19" spans="1:24" ht="15.95" customHeight="1">
      <c r="A19" s="1"/>
      <c r="B19" s="1056"/>
      <c r="C19" s="196">
        <v>0.64700000000000002</v>
      </c>
      <c r="D19" s="1056" t="s">
        <v>6799</v>
      </c>
      <c r="E19" s="1" t="s">
        <v>6803</v>
      </c>
      <c r="F19" s="1"/>
      <c r="G19" s="1"/>
      <c r="H19" s="1"/>
      <c r="I19" s="1"/>
      <c r="J19" s="1"/>
      <c r="K19" s="1"/>
      <c r="L19" s="1"/>
      <c r="M19" s="1"/>
      <c r="N19" s="1"/>
      <c r="O19" s="1"/>
      <c r="P19" s="1"/>
      <c r="Q19" s="1"/>
      <c r="R19" s="1"/>
      <c r="S19" s="1"/>
      <c r="T19" s="1"/>
      <c r="U19" s="1"/>
      <c r="V19" s="1"/>
      <c r="W19" s="1"/>
      <c r="X19" s="1"/>
    </row>
    <row r="20" spans="1:24" ht="15.95" customHeight="1">
      <c r="A20" s="1"/>
      <c r="B20" s="1056"/>
      <c r="C20" s="196">
        <v>0.03</v>
      </c>
      <c r="D20" s="1056" t="s">
        <v>6799</v>
      </c>
      <c r="E20" s="1" t="s">
        <v>6804</v>
      </c>
      <c r="F20" s="1"/>
      <c r="G20" s="1"/>
      <c r="H20" s="1"/>
      <c r="I20" s="1"/>
      <c r="J20" s="1"/>
      <c r="K20" s="1"/>
      <c r="L20" s="1"/>
      <c r="M20" s="1"/>
      <c r="N20" s="1"/>
      <c r="O20" s="1"/>
      <c r="P20" s="1"/>
      <c r="Q20" s="1"/>
      <c r="R20" s="1"/>
      <c r="S20" s="1"/>
      <c r="T20" s="1"/>
      <c r="U20" s="1"/>
      <c r="V20" s="1"/>
      <c r="W20" s="1"/>
      <c r="X20" s="1"/>
    </row>
    <row r="21" spans="1:24" ht="15.95" customHeight="1">
      <c r="A21" s="1"/>
      <c r="B21" s="1056"/>
      <c r="C21" s="196">
        <v>2.65</v>
      </c>
      <c r="D21" s="1056" t="s">
        <v>6805</v>
      </c>
      <c r="E21" s="1" t="s">
        <v>6806</v>
      </c>
      <c r="F21" s="1"/>
      <c r="G21" s="1"/>
      <c r="H21" s="1"/>
      <c r="I21" s="1"/>
      <c r="J21" s="1"/>
      <c r="K21" s="1"/>
      <c r="L21" s="1"/>
      <c r="M21" s="1"/>
      <c r="N21" s="1"/>
      <c r="O21" s="1"/>
      <c r="P21" s="1"/>
      <c r="Q21" s="1"/>
      <c r="R21" s="1"/>
      <c r="S21" s="1"/>
      <c r="T21" s="1"/>
      <c r="U21" s="1"/>
      <c r="V21" s="1"/>
      <c r="W21" s="1"/>
      <c r="X21" s="1"/>
    </row>
    <row r="22" spans="1:24" ht="15.95" customHeight="1">
      <c r="A22" s="1"/>
      <c r="B22" s="1056"/>
      <c r="C22" s="196">
        <v>3</v>
      </c>
      <c r="D22" s="1056" t="s">
        <v>6807</v>
      </c>
      <c r="E22" s="1" t="s">
        <v>6808</v>
      </c>
      <c r="F22" s="1"/>
      <c r="G22" s="1"/>
      <c r="H22" s="1"/>
      <c r="I22" s="1"/>
      <c r="J22" s="1"/>
      <c r="K22" s="1"/>
      <c r="L22" s="1"/>
      <c r="M22" s="1"/>
      <c r="N22" s="1"/>
      <c r="O22" s="1"/>
      <c r="P22" s="1"/>
      <c r="Q22" s="1"/>
      <c r="R22" s="1"/>
      <c r="S22" s="1"/>
      <c r="T22" s="1"/>
      <c r="U22" s="1"/>
      <c r="V22" s="1"/>
      <c r="W22" s="1"/>
      <c r="X22" s="1"/>
    </row>
    <row r="23" spans="1:24" ht="15.95" customHeight="1">
      <c r="A23" s="1"/>
      <c r="B23" s="1"/>
      <c r="C23" s="196"/>
      <c r="D23" s="1"/>
      <c r="E23" s="1"/>
      <c r="F23" s="1"/>
      <c r="G23" s="1"/>
      <c r="H23" s="1"/>
      <c r="I23" s="1"/>
      <c r="J23" s="1"/>
      <c r="K23" s="1"/>
      <c r="L23" s="1"/>
      <c r="M23" s="1"/>
      <c r="N23" s="1"/>
      <c r="O23" s="1"/>
      <c r="P23" s="1"/>
      <c r="Q23" s="1"/>
      <c r="R23" s="1"/>
      <c r="S23" s="1"/>
      <c r="T23" s="1"/>
      <c r="U23" s="1"/>
      <c r="V23" s="1"/>
      <c r="W23" s="1"/>
      <c r="X23" s="1"/>
    </row>
    <row r="24" spans="1:24" ht="15.95" customHeight="1">
      <c r="A24" s="1"/>
      <c r="B24" s="1057" t="s">
        <v>6809</v>
      </c>
      <c r="C24" s="1085">
        <v>9.6300000000000008</v>
      </c>
      <c r="D24" s="1057" t="s">
        <v>38</v>
      </c>
      <c r="E24" s="1057" t="s">
        <v>38</v>
      </c>
      <c r="F24" s="1058" t="s">
        <v>38</v>
      </c>
      <c r="G24" s="1058" t="s">
        <v>38</v>
      </c>
      <c r="H24" s="1058" t="s">
        <v>38</v>
      </c>
      <c r="I24" s="1058" t="s">
        <v>38</v>
      </c>
      <c r="J24" s="1058" t="s">
        <v>38</v>
      </c>
      <c r="K24" s="1058" t="s">
        <v>38</v>
      </c>
      <c r="L24" s="1058" t="s">
        <v>38</v>
      </c>
      <c r="M24" s="1058" t="s">
        <v>38</v>
      </c>
      <c r="N24" s="1058" t="s">
        <v>38</v>
      </c>
      <c r="O24" s="1058" t="s">
        <v>38</v>
      </c>
      <c r="P24" s="1058" t="s">
        <v>38</v>
      </c>
      <c r="Q24" s="1058" t="s">
        <v>38</v>
      </c>
      <c r="R24" s="1058" t="s">
        <v>38</v>
      </c>
      <c r="S24" s="1"/>
      <c r="T24" s="1"/>
      <c r="U24" s="1"/>
      <c r="V24" s="1"/>
      <c r="W24" s="1"/>
      <c r="X24" s="1"/>
    </row>
    <row r="25" spans="1:24" ht="15.95" customHeight="1">
      <c r="A25" s="1"/>
      <c r="B25" s="1"/>
      <c r="C25" s="196"/>
      <c r="D25" s="1"/>
      <c r="E25" s="1"/>
      <c r="F25" s="1"/>
      <c r="G25" s="1"/>
      <c r="H25" s="1"/>
      <c r="I25" s="1"/>
      <c r="J25" s="1"/>
      <c r="K25" s="1"/>
      <c r="L25" s="1"/>
      <c r="M25" s="1"/>
      <c r="N25" s="1"/>
      <c r="O25" s="1"/>
      <c r="P25" s="1"/>
      <c r="Q25" s="1"/>
      <c r="R25" s="1"/>
      <c r="S25" s="1"/>
      <c r="T25" s="1"/>
      <c r="U25" s="1"/>
      <c r="V25" s="1"/>
      <c r="W25" s="1"/>
      <c r="X25" s="1"/>
    </row>
    <row r="26" spans="1:24" ht="15.95" customHeight="1">
      <c r="A26" s="1"/>
      <c r="B26" s="1054" t="s">
        <v>6810</v>
      </c>
      <c r="C26" s="1084" t="s">
        <v>6793</v>
      </c>
      <c r="D26" s="1054" t="s">
        <v>38</v>
      </c>
      <c r="E26" s="1054" t="s">
        <v>6794</v>
      </c>
      <c r="F26" s="1055" t="s">
        <v>38</v>
      </c>
      <c r="G26" s="1055" t="s">
        <v>38</v>
      </c>
      <c r="H26" s="1055" t="s">
        <v>38</v>
      </c>
      <c r="I26" s="1055" t="s">
        <v>38</v>
      </c>
      <c r="J26" s="1055" t="s">
        <v>38</v>
      </c>
      <c r="K26" s="1055" t="s">
        <v>38</v>
      </c>
      <c r="L26" s="1055" t="s">
        <v>38</v>
      </c>
      <c r="M26" s="1055" t="s">
        <v>38</v>
      </c>
      <c r="N26" s="1055" t="s">
        <v>38</v>
      </c>
      <c r="O26" s="1055" t="s">
        <v>38</v>
      </c>
      <c r="P26" s="1055" t="s">
        <v>38</v>
      </c>
      <c r="Q26" s="1055" t="s">
        <v>38</v>
      </c>
      <c r="R26" s="1055" t="s">
        <v>38</v>
      </c>
      <c r="S26" s="1"/>
      <c r="T26" s="1"/>
      <c r="U26" s="1"/>
      <c r="V26" s="1"/>
      <c r="W26" s="1"/>
      <c r="X26" s="1"/>
    </row>
    <row r="27" spans="1:24" ht="15.95" customHeight="1">
      <c r="A27" s="1"/>
      <c r="B27" s="1056"/>
      <c r="C27" s="196">
        <v>2.2100000000000002E-2</v>
      </c>
      <c r="D27" s="1056" t="s">
        <v>6811</v>
      </c>
      <c r="E27" s="1" t="s">
        <v>6812</v>
      </c>
      <c r="F27" s="1"/>
      <c r="G27" s="1"/>
      <c r="H27" s="1"/>
      <c r="I27" s="1"/>
      <c r="J27" s="1"/>
      <c r="K27" s="1"/>
      <c r="L27" s="1"/>
      <c r="M27" s="1"/>
      <c r="N27" s="1"/>
      <c r="O27" s="1"/>
      <c r="P27" s="1"/>
      <c r="Q27" s="1"/>
      <c r="R27" s="1"/>
      <c r="S27" s="1"/>
      <c r="T27" s="1"/>
      <c r="U27" s="1"/>
      <c r="V27" s="1"/>
      <c r="W27" s="1"/>
      <c r="X27" s="1"/>
    </row>
    <row r="28" spans="1:24" ht="15.95" customHeight="1">
      <c r="A28" s="1"/>
      <c r="B28" s="1056"/>
      <c r="C28" s="196">
        <v>5.9400000000000001E-2</v>
      </c>
      <c r="D28" s="1056" t="s">
        <v>6813</v>
      </c>
      <c r="E28" s="1" t="s">
        <v>6814</v>
      </c>
      <c r="F28" s="1"/>
      <c r="G28" s="1"/>
      <c r="H28" s="1"/>
      <c r="I28" s="1"/>
      <c r="J28" s="1"/>
      <c r="K28" s="1"/>
      <c r="L28" s="1"/>
      <c r="M28" s="1"/>
      <c r="N28" s="1"/>
      <c r="O28" s="1"/>
      <c r="P28" s="1"/>
      <c r="Q28" s="1"/>
      <c r="R28" s="1"/>
      <c r="S28" s="1"/>
      <c r="T28" s="1"/>
      <c r="U28" s="1"/>
      <c r="V28" s="1"/>
      <c r="W28" s="1"/>
      <c r="X28" s="1"/>
    </row>
    <row r="29" spans="1:24" ht="15.95" customHeight="1">
      <c r="A29" s="1"/>
      <c r="B29" s="1056"/>
      <c r="C29" s="196">
        <v>3.028</v>
      </c>
      <c r="D29" s="1056" t="s">
        <v>6815</v>
      </c>
      <c r="E29" s="1" t="s">
        <v>6816</v>
      </c>
      <c r="F29" s="1"/>
      <c r="G29" s="1"/>
      <c r="H29" s="1"/>
      <c r="I29" s="1"/>
      <c r="J29" s="1"/>
      <c r="K29" s="1"/>
      <c r="L29" s="1"/>
      <c r="M29" s="1"/>
      <c r="N29" s="1"/>
      <c r="O29" s="1"/>
      <c r="P29" s="1"/>
      <c r="Q29" s="1"/>
      <c r="R29" s="1"/>
      <c r="S29" s="1"/>
      <c r="T29" s="1"/>
      <c r="U29" s="1"/>
      <c r="V29" s="1"/>
      <c r="W29" s="1"/>
      <c r="X29" s="1"/>
    </row>
    <row r="30" spans="1:24" ht="15.95" customHeight="1">
      <c r="A30" s="1"/>
      <c r="B30" s="1056"/>
      <c r="C30" s="196">
        <v>6.0999999999999999E-2</v>
      </c>
      <c r="D30" s="1056" t="s">
        <v>6817</v>
      </c>
      <c r="E30" s="1" t="s">
        <v>6818</v>
      </c>
      <c r="F30" s="1"/>
      <c r="G30" s="1"/>
      <c r="H30" s="1"/>
      <c r="I30" s="1"/>
      <c r="J30" s="1"/>
      <c r="K30" s="1"/>
      <c r="L30" s="1"/>
      <c r="M30" s="1"/>
      <c r="N30" s="1"/>
      <c r="O30" s="1"/>
      <c r="P30" s="1"/>
      <c r="Q30" s="1"/>
      <c r="R30" s="1"/>
      <c r="S30" s="1"/>
      <c r="T30" s="1"/>
      <c r="U30" s="1"/>
      <c r="V30" s="1"/>
      <c r="W30" s="1"/>
      <c r="X30" s="1"/>
    </row>
    <row r="31" spans="1:24" ht="15.95" customHeight="1">
      <c r="A31" s="1"/>
      <c r="B31" s="1056"/>
      <c r="C31" s="196">
        <v>0.125</v>
      </c>
      <c r="D31" s="1056" t="s">
        <v>6799</v>
      </c>
      <c r="E31" s="1" t="s">
        <v>6819</v>
      </c>
      <c r="F31" s="1"/>
      <c r="G31" s="1"/>
      <c r="H31" s="1"/>
      <c r="I31" s="1"/>
      <c r="J31" s="1"/>
      <c r="K31" s="1"/>
      <c r="L31" s="1"/>
      <c r="M31" s="1"/>
      <c r="N31" s="1"/>
      <c r="O31" s="1"/>
      <c r="P31" s="1"/>
      <c r="Q31" s="1"/>
      <c r="R31" s="1"/>
      <c r="S31" s="1"/>
      <c r="T31" s="1"/>
      <c r="U31" s="1"/>
      <c r="V31" s="1"/>
      <c r="W31" s="1"/>
      <c r="X31" s="1"/>
    </row>
    <row r="32" spans="1:24" ht="15.95" customHeight="1">
      <c r="A32" s="1"/>
      <c r="B32" s="1056"/>
      <c r="C32" s="196">
        <v>0.12</v>
      </c>
      <c r="D32" s="1056" t="s">
        <v>6805</v>
      </c>
      <c r="E32" s="1" t="s">
        <v>6820</v>
      </c>
      <c r="F32" s="1"/>
      <c r="G32" s="1"/>
      <c r="H32" s="1"/>
      <c r="I32" s="1"/>
      <c r="J32" s="1"/>
      <c r="K32" s="1"/>
      <c r="L32" s="1"/>
      <c r="M32" s="1"/>
      <c r="N32" s="1"/>
      <c r="O32" s="1"/>
      <c r="P32" s="1"/>
      <c r="Q32" s="1"/>
      <c r="R32" s="1"/>
      <c r="S32" s="1"/>
      <c r="T32" s="1"/>
      <c r="U32" s="1"/>
      <c r="V32" s="1"/>
      <c r="W32" s="1"/>
      <c r="X32" s="1"/>
    </row>
    <row r="33" spans="1:24" ht="15.95" customHeight="1">
      <c r="A33" s="1"/>
      <c r="B33" s="1056"/>
      <c r="C33" s="196">
        <v>2.5000000000000001E-2</v>
      </c>
      <c r="D33" s="1056" t="s">
        <v>6805</v>
      </c>
      <c r="E33" s="1" t="s">
        <v>6821</v>
      </c>
      <c r="F33" s="1"/>
      <c r="G33" s="1"/>
      <c r="H33" s="1"/>
      <c r="I33" s="1"/>
      <c r="J33" s="1"/>
      <c r="K33" s="1"/>
      <c r="L33" s="1"/>
      <c r="M33" s="1"/>
      <c r="N33" s="1"/>
      <c r="O33" s="1"/>
      <c r="P33" s="1"/>
      <c r="Q33" s="1"/>
      <c r="R33" s="1"/>
      <c r="S33" s="1"/>
      <c r="T33" s="1"/>
      <c r="U33" s="1"/>
      <c r="V33" s="1"/>
      <c r="W33" s="1"/>
      <c r="X33" s="1"/>
    </row>
    <row r="34" spans="1:24" ht="15.95" customHeight="1">
      <c r="A34" s="1"/>
      <c r="B34" s="1056"/>
      <c r="C34" s="196">
        <v>2.5000000000000001E-2</v>
      </c>
      <c r="D34" s="1056" t="s">
        <v>6822</v>
      </c>
      <c r="E34" s="1" t="s">
        <v>6823</v>
      </c>
      <c r="F34" s="1"/>
      <c r="G34" s="1"/>
      <c r="H34" s="1"/>
      <c r="I34" s="1"/>
      <c r="J34" s="1"/>
      <c r="K34" s="1"/>
      <c r="L34" s="1"/>
      <c r="M34" s="1"/>
      <c r="N34" s="1"/>
      <c r="O34" s="1"/>
      <c r="P34" s="1"/>
      <c r="Q34" s="1"/>
      <c r="R34" s="1"/>
      <c r="S34" s="1"/>
      <c r="T34" s="1"/>
      <c r="U34" s="1"/>
      <c r="V34" s="1"/>
      <c r="W34" s="1"/>
      <c r="X34" s="1"/>
    </row>
    <row r="35" spans="1:24" ht="15.95" customHeight="1">
      <c r="A35" s="1"/>
      <c r="B35" s="1056"/>
      <c r="C35" s="196">
        <v>4.0000000000000001E-3</v>
      </c>
      <c r="D35" s="1056" t="s">
        <v>6824</v>
      </c>
      <c r="E35" s="1" t="s">
        <v>6825</v>
      </c>
      <c r="F35" s="1"/>
      <c r="G35" s="1"/>
      <c r="H35" s="1"/>
      <c r="I35" s="1"/>
      <c r="J35" s="1"/>
      <c r="K35" s="1"/>
      <c r="L35" s="1"/>
      <c r="M35" s="1"/>
      <c r="N35" s="1"/>
      <c r="O35" s="1"/>
      <c r="P35" s="1"/>
      <c r="Q35" s="1"/>
      <c r="R35" s="1"/>
      <c r="S35" s="1"/>
      <c r="T35" s="1"/>
      <c r="U35" s="1"/>
      <c r="V35" s="1"/>
      <c r="W35" s="1"/>
      <c r="X35" s="1"/>
    </row>
    <row r="36" spans="1:24" ht="15.95" customHeight="1">
      <c r="A36" s="1"/>
      <c r="B36" s="1056"/>
      <c r="C36" s="196">
        <v>4.0000000000000001E-3</v>
      </c>
      <c r="D36" s="1056" t="s">
        <v>6826</v>
      </c>
      <c r="E36" s="1" t="s">
        <v>6827</v>
      </c>
      <c r="F36" s="1"/>
      <c r="G36" s="1"/>
      <c r="H36" s="1"/>
      <c r="I36" s="1"/>
      <c r="J36" s="1"/>
      <c r="K36" s="1"/>
      <c r="L36" s="1"/>
      <c r="M36" s="1"/>
      <c r="N36" s="1"/>
      <c r="O36" s="1"/>
      <c r="P36" s="1"/>
      <c r="Q36" s="1"/>
      <c r="R36" s="1"/>
      <c r="S36" s="1"/>
      <c r="T36" s="1"/>
      <c r="U36" s="1"/>
      <c r="V36" s="1"/>
      <c r="W36" s="1"/>
      <c r="X36" s="1"/>
    </row>
    <row r="37" spans="1:24" ht="15.95" customHeight="1">
      <c r="A37" s="1"/>
      <c r="B37" s="1056"/>
      <c r="C37" s="196">
        <v>3.5</v>
      </c>
      <c r="D37" s="1056" t="s">
        <v>6815</v>
      </c>
      <c r="E37" s="1" t="s">
        <v>6828</v>
      </c>
      <c r="F37" s="1"/>
      <c r="G37" s="1"/>
      <c r="H37" s="1"/>
      <c r="I37" s="1"/>
      <c r="J37" s="1"/>
      <c r="K37" s="1"/>
      <c r="L37" s="1"/>
      <c r="M37" s="1"/>
      <c r="N37" s="1"/>
      <c r="O37" s="1"/>
      <c r="P37" s="1"/>
      <c r="Q37" s="1"/>
      <c r="R37" s="1"/>
      <c r="S37" s="1"/>
      <c r="T37" s="1"/>
      <c r="U37" s="1"/>
      <c r="V37" s="1"/>
      <c r="W37" s="1"/>
      <c r="X37" s="1"/>
    </row>
    <row r="38" spans="1:24" ht="15.95" customHeight="1">
      <c r="A38" s="1"/>
      <c r="B38" s="1"/>
      <c r="C38" s="196"/>
      <c r="D38" s="1"/>
      <c r="E38" s="1"/>
      <c r="F38" s="1"/>
      <c r="G38" s="1"/>
      <c r="H38" s="1"/>
      <c r="I38" s="1"/>
      <c r="J38" s="1"/>
      <c r="K38" s="1"/>
      <c r="L38" s="1"/>
      <c r="M38" s="1"/>
      <c r="N38" s="1"/>
      <c r="O38" s="1"/>
      <c r="P38" s="1"/>
      <c r="Q38" s="1"/>
      <c r="R38" s="1"/>
      <c r="S38" s="1"/>
      <c r="T38" s="1"/>
      <c r="U38" s="1"/>
      <c r="V38" s="1"/>
      <c r="W38" s="1"/>
      <c r="X38" s="1"/>
    </row>
    <row r="39" spans="1:24" ht="15.95" customHeight="1">
      <c r="A39" s="1"/>
      <c r="B39" s="1057" t="s">
        <v>6809</v>
      </c>
      <c r="C39" s="1085">
        <v>6.97</v>
      </c>
      <c r="D39" s="1057" t="s">
        <v>38</v>
      </c>
      <c r="E39" s="1057" t="s">
        <v>38</v>
      </c>
      <c r="F39" s="1058" t="s">
        <v>38</v>
      </c>
      <c r="G39" s="1058" t="s">
        <v>38</v>
      </c>
      <c r="H39" s="1058" t="s">
        <v>38</v>
      </c>
      <c r="I39" s="1058" t="s">
        <v>38</v>
      </c>
      <c r="J39" s="1058" t="s">
        <v>38</v>
      </c>
      <c r="K39" s="1058" t="s">
        <v>38</v>
      </c>
      <c r="L39" s="1058" t="s">
        <v>38</v>
      </c>
      <c r="M39" s="1058" t="s">
        <v>38</v>
      </c>
      <c r="N39" s="1058" t="s">
        <v>38</v>
      </c>
      <c r="O39" s="1058" t="s">
        <v>38</v>
      </c>
      <c r="P39" s="1058" t="s">
        <v>38</v>
      </c>
      <c r="Q39" s="1058" t="s">
        <v>38</v>
      </c>
      <c r="R39" s="1058" t="s">
        <v>38</v>
      </c>
      <c r="S39" s="1"/>
      <c r="T39" s="1"/>
      <c r="U39" s="1"/>
      <c r="V39" s="1"/>
      <c r="W39" s="1"/>
      <c r="X39" s="1"/>
    </row>
    <row r="40" spans="1:24" ht="15.95" customHeight="1">
      <c r="A40" s="1"/>
      <c r="B40" s="1059"/>
      <c r="C40" s="1086"/>
      <c r="D40" s="1059"/>
      <c r="E40" s="1059"/>
      <c r="F40" s="1"/>
      <c r="G40" s="1"/>
      <c r="H40" s="1"/>
      <c r="I40" s="1"/>
      <c r="J40" s="1"/>
      <c r="K40" s="1"/>
      <c r="L40" s="1"/>
      <c r="M40" s="1"/>
      <c r="N40" s="1"/>
      <c r="O40" s="1"/>
      <c r="P40" s="1"/>
      <c r="Q40" s="1"/>
      <c r="R40" s="1"/>
      <c r="S40" s="1"/>
      <c r="T40" s="1"/>
      <c r="U40" s="1"/>
      <c r="V40" s="1"/>
      <c r="W40" s="1"/>
      <c r="X40" s="1"/>
    </row>
    <row r="41" spans="1:24" ht="15.95" customHeight="1">
      <c r="A41" s="1"/>
      <c r="B41" s="1"/>
      <c r="C41" s="196"/>
      <c r="D41" s="1"/>
      <c r="E41" s="1"/>
      <c r="F41" s="1"/>
      <c r="G41" s="1"/>
      <c r="H41" s="1"/>
      <c r="I41" s="1"/>
      <c r="J41" s="1"/>
      <c r="K41" s="1"/>
      <c r="L41" s="1"/>
      <c r="M41" s="1"/>
      <c r="N41" s="1"/>
      <c r="O41" s="1"/>
      <c r="P41" s="1"/>
      <c r="Q41" s="1"/>
      <c r="R41" s="1"/>
      <c r="S41" s="1"/>
      <c r="T41" s="1"/>
      <c r="U41" s="1"/>
      <c r="V41" s="1"/>
      <c r="W41" s="1"/>
      <c r="X41" s="1"/>
    </row>
    <row r="42" spans="1:24" ht="15.95" customHeight="1">
      <c r="A42" s="1"/>
      <c r="B42" s="1051" t="s">
        <v>6829</v>
      </c>
      <c r="C42" s="1082"/>
      <c r="D42" s="1051"/>
      <c r="E42" s="1"/>
      <c r="F42" s="1"/>
      <c r="G42" s="1"/>
      <c r="H42" s="1"/>
      <c r="I42" s="1"/>
      <c r="J42" s="1"/>
      <c r="K42" s="1"/>
      <c r="L42" s="1"/>
      <c r="M42" s="1"/>
      <c r="N42" s="1"/>
      <c r="O42" s="1"/>
      <c r="P42" s="1"/>
      <c r="Q42" s="1"/>
      <c r="R42" s="1"/>
      <c r="S42" s="1"/>
      <c r="T42" s="1"/>
      <c r="U42" s="1"/>
      <c r="V42" s="1"/>
      <c r="W42" s="1"/>
      <c r="X42" s="1"/>
    </row>
    <row r="43" spans="1:24" ht="15.95" customHeight="1">
      <c r="A43" s="1"/>
      <c r="B43" s="1"/>
      <c r="C43" s="196"/>
      <c r="D43" s="1"/>
      <c r="E43" s="1"/>
      <c r="F43" s="1"/>
      <c r="G43" s="1"/>
      <c r="H43" s="1"/>
      <c r="I43" s="1"/>
      <c r="J43" s="1"/>
      <c r="K43" s="1"/>
      <c r="L43" s="1"/>
      <c r="M43" s="1"/>
      <c r="N43" s="1"/>
      <c r="O43" s="1"/>
      <c r="P43" s="1"/>
      <c r="Q43" s="1"/>
      <c r="R43" s="1"/>
      <c r="S43" s="1"/>
      <c r="T43" s="1"/>
      <c r="U43" s="1"/>
      <c r="V43" s="1"/>
      <c r="W43" s="1"/>
      <c r="X43" s="1"/>
    </row>
    <row r="44" spans="1:24" ht="15.95" customHeight="1">
      <c r="A44" s="1"/>
      <c r="B44" s="1052" t="s">
        <v>4937</v>
      </c>
      <c r="C44" s="1083" t="s">
        <v>3959</v>
      </c>
      <c r="D44" s="1053"/>
      <c r="E44" s="1053"/>
      <c r="F44" s="1"/>
      <c r="G44" s="1"/>
      <c r="H44" s="1"/>
      <c r="I44" s="1"/>
      <c r="J44" s="1"/>
      <c r="K44" s="1"/>
      <c r="L44" s="1"/>
      <c r="M44" s="1"/>
      <c r="N44" s="1"/>
      <c r="O44" s="1"/>
      <c r="P44" s="1"/>
      <c r="Q44" s="1"/>
      <c r="R44" s="1"/>
      <c r="S44" s="1"/>
      <c r="T44" s="1"/>
      <c r="U44" s="1"/>
      <c r="V44" s="1"/>
      <c r="W44" s="1"/>
      <c r="X44" s="1"/>
    </row>
    <row r="45" spans="1:24" ht="15.95" customHeight="1">
      <c r="A45" s="1053"/>
      <c r="B45" s="1"/>
      <c r="C45" s="196"/>
      <c r="D45" s="1"/>
      <c r="E45" s="1"/>
      <c r="F45" s="1"/>
      <c r="G45" s="1"/>
      <c r="H45" s="1"/>
      <c r="I45" s="1"/>
      <c r="J45" s="1"/>
      <c r="K45" s="1"/>
      <c r="L45" s="1"/>
      <c r="M45" s="1"/>
      <c r="N45" s="1"/>
      <c r="O45" s="1"/>
      <c r="P45" s="1"/>
      <c r="Q45" s="1"/>
      <c r="R45" s="1"/>
      <c r="S45" s="1"/>
      <c r="T45" s="1"/>
      <c r="U45" s="1"/>
      <c r="V45" s="1"/>
      <c r="W45" s="1"/>
      <c r="X45" s="1"/>
    </row>
    <row r="46" spans="1:24" ht="15.95" customHeight="1">
      <c r="A46" s="1"/>
      <c r="B46" s="1054" t="s">
        <v>6792</v>
      </c>
      <c r="C46" s="1084" t="s">
        <v>6793</v>
      </c>
      <c r="D46" s="1055" t="s">
        <v>38</v>
      </c>
      <c r="E46" s="1054" t="s">
        <v>6794</v>
      </c>
      <c r="F46" s="1055" t="s">
        <v>38</v>
      </c>
      <c r="G46" s="1055" t="s">
        <v>38</v>
      </c>
      <c r="H46" s="1055" t="s">
        <v>38</v>
      </c>
      <c r="I46" s="1055" t="s">
        <v>38</v>
      </c>
      <c r="J46" s="1055" t="s">
        <v>38</v>
      </c>
      <c r="K46" s="1055" t="s">
        <v>38</v>
      </c>
      <c r="L46" s="1055" t="s">
        <v>38</v>
      </c>
      <c r="M46" s="1055" t="s">
        <v>38</v>
      </c>
      <c r="N46" s="1055" t="s">
        <v>38</v>
      </c>
      <c r="O46" s="1055" t="s">
        <v>38</v>
      </c>
      <c r="P46" s="1055" t="s">
        <v>38</v>
      </c>
      <c r="Q46" s="1055" t="s">
        <v>38</v>
      </c>
      <c r="R46" s="1055" t="s">
        <v>38</v>
      </c>
      <c r="S46" s="1"/>
      <c r="T46" s="1"/>
      <c r="U46" s="1"/>
      <c r="V46" s="1"/>
      <c r="W46" s="1"/>
      <c r="X46" s="1"/>
    </row>
    <row r="47" spans="1:24" ht="15.95" customHeight="1">
      <c r="A47" s="1"/>
      <c r="B47" s="1"/>
      <c r="C47" s="196">
        <v>6</v>
      </c>
      <c r="D47" s="1056" t="s">
        <v>6830</v>
      </c>
      <c r="E47" s="1" t="s">
        <v>6831</v>
      </c>
      <c r="F47" s="1"/>
      <c r="G47" s="1"/>
      <c r="H47" s="1"/>
      <c r="I47" s="1"/>
      <c r="J47" s="1"/>
      <c r="K47" s="1"/>
      <c r="L47" s="1"/>
      <c r="M47" s="1"/>
      <c r="N47" s="1"/>
      <c r="O47" s="1"/>
      <c r="P47" s="1"/>
      <c r="Q47" s="1"/>
      <c r="R47" s="1"/>
      <c r="S47" s="1"/>
      <c r="T47" s="1"/>
      <c r="U47" s="1"/>
      <c r="V47" s="1"/>
      <c r="W47" s="1"/>
      <c r="X47" s="1"/>
    </row>
    <row r="48" spans="1:24" ht="15.95" customHeight="1">
      <c r="A48" s="1"/>
      <c r="B48" s="1"/>
      <c r="C48" s="196">
        <v>2E-3</v>
      </c>
      <c r="D48" s="1056" t="s">
        <v>6832</v>
      </c>
      <c r="E48" s="1" t="s">
        <v>6833</v>
      </c>
      <c r="F48" s="1"/>
      <c r="G48" s="1"/>
      <c r="H48" s="1"/>
      <c r="I48" s="1"/>
      <c r="J48" s="1"/>
      <c r="K48" s="1"/>
      <c r="L48" s="1"/>
      <c r="M48" s="1"/>
      <c r="N48" s="1"/>
      <c r="O48" s="1"/>
      <c r="P48" s="1"/>
      <c r="Q48" s="1"/>
      <c r="R48" s="1"/>
      <c r="S48" s="1"/>
      <c r="T48" s="1"/>
      <c r="U48" s="1"/>
      <c r="V48" s="1"/>
      <c r="W48" s="1"/>
      <c r="X48" s="1"/>
    </row>
    <row r="49" spans="1:24" ht="15.95" customHeight="1">
      <c r="A49" s="1"/>
      <c r="B49" s="1"/>
      <c r="C49" s="196">
        <v>0.35</v>
      </c>
      <c r="D49" s="1056" t="s">
        <v>6799</v>
      </c>
      <c r="E49" s="1" t="s">
        <v>6834</v>
      </c>
      <c r="F49" s="1"/>
      <c r="G49" s="1"/>
      <c r="H49" s="1"/>
      <c r="I49" s="1"/>
      <c r="J49" s="1"/>
      <c r="K49" s="1"/>
      <c r="L49" s="1"/>
      <c r="M49" s="1"/>
      <c r="N49" s="1"/>
      <c r="O49" s="1"/>
      <c r="P49" s="1"/>
      <c r="Q49" s="1"/>
      <c r="R49" s="1"/>
      <c r="S49" s="1"/>
      <c r="T49" s="1"/>
      <c r="U49" s="1"/>
      <c r="V49" s="1"/>
      <c r="W49" s="1"/>
      <c r="X49" s="1"/>
    </row>
    <row r="50" spans="1:24" ht="15.95" customHeight="1">
      <c r="A50" s="1"/>
      <c r="B50" s="1"/>
      <c r="C50" s="196">
        <v>4</v>
      </c>
      <c r="D50" s="1056" t="s">
        <v>6799</v>
      </c>
      <c r="E50" s="1" t="s">
        <v>6835</v>
      </c>
      <c r="F50" s="1"/>
      <c r="G50" s="1"/>
      <c r="H50" s="1"/>
      <c r="I50" s="1"/>
      <c r="J50" s="1"/>
      <c r="K50" s="1"/>
      <c r="L50" s="1"/>
      <c r="M50" s="1"/>
      <c r="N50" s="1"/>
      <c r="O50" s="1"/>
      <c r="P50" s="1"/>
      <c r="Q50" s="1"/>
      <c r="R50" s="1"/>
      <c r="S50" s="1"/>
      <c r="T50" s="1"/>
      <c r="U50" s="1"/>
      <c r="V50" s="1"/>
      <c r="W50" s="1"/>
      <c r="X50" s="1"/>
    </row>
    <row r="51" spans="1:24" ht="15.95" customHeight="1">
      <c r="A51" s="1"/>
      <c r="B51" s="1"/>
      <c r="C51" s="196">
        <v>8.0060000000000002</v>
      </c>
      <c r="D51" s="1056" t="s">
        <v>6799</v>
      </c>
      <c r="E51" s="1" t="s">
        <v>6836</v>
      </c>
      <c r="F51" s="1"/>
      <c r="G51" s="1"/>
      <c r="H51" s="1"/>
      <c r="I51" s="1"/>
      <c r="J51" s="1"/>
      <c r="K51" s="1"/>
      <c r="L51" s="1"/>
      <c r="M51" s="1"/>
      <c r="N51" s="1"/>
      <c r="O51" s="1"/>
      <c r="P51" s="1"/>
      <c r="Q51" s="1"/>
      <c r="R51" s="1"/>
      <c r="S51" s="1"/>
      <c r="T51" s="1"/>
      <c r="U51" s="1"/>
      <c r="V51" s="1"/>
      <c r="W51" s="1"/>
      <c r="X51" s="1"/>
    </row>
    <row r="52" spans="1:24" ht="15.95" customHeight="1">
      <c r="A52" s="1"/>
      <c r="B52" s="1"/>
      <c r="C52" s="196">
        <v>0.4</v>
      </c>
      <c r="D52" s="1056" t="s">
        <v>6799</v>
      </c>
      <c r="E52" s="1" t="s">
        <v>6837</v>
      </c>
      <c r="F52" s="1"/>
      <c r="G52" s="1"/>
      <c r="H52" s="1"/>
      <c r="I52" s="1"/>
      <c r="J52" s="1"/>
      <c r="K52" s="1"/>
      <c r="L52" s="1"/>
      <c r="M52" s="1"/>
      <c r="N52" s="1"/>
      <c r="O52" s="1"/>
      <c r="P52" s="1"/>
      <c r="Q52" s="1"/>
      <c r="R52" s="1"/>
      <c r="S52" s="1"/>
      <c r="T52" s="1"/>
      <c r="U52" s="1"/>
      <c r="V52" s="1"/>
      <c r="W52" s="1"/>
      <c r="X52" s="1"/>
    </row>
    <row r="53" spans="1:24" ht="15.95" customHeight="1">
      <c r="A53" s="1"/>
      <c r="B53" s="1"/>
      <c r="C53" s="196">
        <v>0.1</v>
      </c>
      <c r="D53" s="1056" t="s">
        <v>6799</v>
      </c>
      <c r="E53" s="1" t="s">
        <v>6838</v>
      </c>
      <c r="F53" s="1"/>
      <c r="G53" s="1"/>
      <c r="H53" s="1"/>
      <c r="I53" s="1"/>
      <c r="J53" s="1"/>
      <c r="K53" s="1"/>
      <c r="L53" s="1"/>
      <c r="M53" s="1"/>
      <c r="N53" s="1"/>
      <c r="O53" s="1"/>
      <c r="P53" s="1"/>
      <c r="Q53" s="1"/>
      <c r="R53" s="1"/>
      <c r="S53" s="1"/>
      <c r="T53" s="1"/>
      <c r="U53" s="1"/>
      <c r="V53" s="1"/>
      <c r="W53" s="1"/>
      <c r="X53" s="1"/>
    </row>
    <row r="54" spans="1:24" ht="15.95" customHeight="1">
      <c r="A54" s="1"/>
      <c r="B54" s="1"/>
      <c r="C54" s="196">
        <v>4.3499999999999996</v>
      </c>
      <c r="D54" s="1056" t="s">
        <v>6805</v>
      </c>
      <c r="E54" s="1" t="s">
        <v>6839</v>
      </c>
      <c r="F54" s="1"/>
      <c r="G54" s="1"/>
      <c r="H54" s="1"/>
      <c r="I54" s="1"/>
      <c r="J54" s="1"/>
      <c r="K54" s="1"/>
      <c r="L54" s="1"/>
      <c r="M54" s="1"/>
      <c r="N54" s="1"/>
      <c r="O54" s="1"/>
      <c r="P54" s="1"/>
      <c r="Q54" s="1"/>
      <c r="R54" s="1"/>
      <c r="S54" s="1"/>
      <c r="T54" s="1"/>
      <c r="U54" s="1"/>
      <c r="V54" s="1"/>
      <c r="W54" s="1"/>
      <c r="X54" s="1"/>
    </row>
    <row r="55" spans="1:24" ht="15.95" customHeight="1">
      <c r="A55" s="1"/>
      <c r="B55" s="1"/>
      <c r="C55" s="196">
        <v>0.65</v>
      </c>
      <c r="D55" s="1056" t="s">
        <v>6840</v>
      </c>
      <c r="E55" s="1" t="s">
        <v>6841</v>
      </c>
      <c r="F55" s="1"/>
      <c r="G55" s="1"/>
      <c r="H55" s="1"/>
      <c r="I55" s="1"/>
      <c r="J55" s="1"/>
      <c r="K55" s="1"/>
      <c r="L55" s="1"/>
      <c r="M55" s="1"/>
      <c r="N55" s="1"/>
      <c r="O55" s="1"/>
      <c r="P55" s="1"/>
      <c r="Q55" s="1"/>
      <c r="R55" s="1"/>
      <c r="S55" s="1"/>
      <c r="T55" s="1"/>
      <c r="U55" s="1"/>
      <c r="V55" s="1"/>
      <c r="W55" s="1"/>
      <c r="X55" s="1"/>
    </row>
    <row r="56" spans="1:24" ht="15.95" customHeight="1">
      <c r="A56" s="1"/>
      <c r="B56" s="1"/>
      <c r="C56" s="196">
        <v>11</v>
      </c>
      <c r="D56" s="1056" t="s">
        <v>6807</v>
      </c>
      <c r="E56" s="1060" t="s">
        <v>6842</v>
      </c>
      <c r="F56" s="1061"/>
      <c r="G56" s="1061"/>
      <c r="H56" s="1061"/>
      <c r="I56" s="1061"/>
      <c r="J56" s="1061"/>
      <c r="K56" s="1061"/>
      <c r="L56" s="1061"/>
      <c r="M56" s="1061"/>
      <c r="N56" s="1061"/>
      <c r="O56" s="1061"/>
      <c r="P56" s="1061"/>
      <c r="Q56" s="1061"/>
      <c r="R56" s="1061"/>
      <c r="S56" s="1061"/>
      <c r="T56" s="1061"/>
      <c r="U56" s="1061"/>
      <c r="V56" s="1061"/>
      <c r="W56" s="1061"/>
      <c r="X56" s="1061"/>
    </row>
    <row r="57" spans="1:24" ht="15.95" customHeight="1">
      <c r="A57" s="1"/>
      <c r="B57" s="1"/>
      <c r="C57" s="196"/>
      <c r="D57" s="1"/>
      <c r="E57" s="1"/>
      <c r="F57" s="1"/>
      <c r="G57" s="1"/>
      <c r="H57" s="1"/>
      <c r="I57" s="1"/>
      <c r="J57" s="1"/>
      <c r="K57" s="1"/>
      <c r="L57" s="1"/>
      <c r="M57" s="1"/>
      <c r="N57" s="1"/>
      <c r="O57" s="1"/>
      <c r="P57" s="1"/>
      <c r="Q57" s="1"/>
      <c r="R57" s="1"/>
      <c r="S57" s="1"/>
      <c r="T57" s="1"/>
      <c r="U57" s="1"/>
      <c r="V57" s="1"/>
      <c r="W57" s="1"/>
      <c r="X57" s="1"/>
    </row>
    <row r="58" spans="1:24" ht="15.95" customHeight="1">
      <c r="A58" s="1"/>
      <c r="B58" s="1057" t="s">
        <v>6809</v>
      </c>
      <c r="C58" s="1085">
        <v>34.86</v>
      </c>
      <c r="D58" s="1058" t="s">
        <v>38</v>
      </c>
      <c r="E58" s="1057" t="s">
        <v>38</v>
      </c>
      <c r="F58" s="1058" t="s">
        <v>38</v>
      </c>
      <c r="G58" s="1058" t="s">
        <v>38</v>
      </c>
      <c r="H58" s="1058" t="s">
        <v>38</v>
      </c>
      <c r="I58" s="1058" t="s">
        <v>38</v>
      </c>
      <c r="J58" s="1058" t="s">
        <v>38</v>
      </c>
      <c r="K58" s="1058" t="s">
        <v>38</v>
      </c>
      <c r="L58" s="1058" t="s">
        <v>38</v>
      </c>
      <c r="M58" s="1058" t="s">
        <v>38</v>
      </c>
      <c r="N58" s="1058" t="s">
        <v>38</v>
      </c>
      <c r="O58" s="1058" t="s">
        <v>38</v>
      </c>
      <c r="P58" s="1058" t="s">
        <v>38</v>
      </c>
      <c r="Q58" s="1058" t="s">
        <v>38</v>
      </c>
      <c r="R58" s="1058" t="s">
        <v>38</v>
      </c>
      <c r="S58" s="1"/>
      <c r="T58" s="1"/>
      <c r="U58" s="1"/>
      <c r="V58" s="1"/>
      <c r="W58" s="1"/>
      <c r="X58" s="1"/>
    </row>
    <row r="59" spans="1:24" ht="15.95" customHeight="1">
      <c r="A59" s="1"/>
      <c r="B59" s="1"/>
      <c r="C59" s="196"/>
      <c r="D59" s="1"/>
      <c r="E59" s="1"/>
      <c r="F59" s="1"/>
      <c r="G59" s="1"/>
      <c r="H59" s="1"/>
      <c r="I59" s="1"/>
      <c r="J59" s="1"/>
      <c r="K59" s="1"/>
      <c r="L59" s="1"/>
      <c r="M59" s="1"/>
      <c r="N59" s="1"/>
      <c r="O59" s="1"/>
      <c r="P59" s="1"/>
      <c r="Q59" s="1"/>
      <c r="R59" s="1"/>
      <c r="S59" s="1"/>
      <c r="T59" s="1"/>
      <c r="U59" s="1"/>
      <c r="V59" s="1"/>
      <c r="W59" s="1"/>
      <c r="X59" s="1"/>
    </row>
    <row r="60" spans="1:24" ht="15.95" customHeight="1">
      <c r="A60" s="1"/>
      <c r="B60" s="1054" t="s">
        <v>6810</v>
      </c>
      <c r="C60" s="1084" t="s">
        <v>6793</v>
      </c>
      <c r="D60" s="1055" t="s">
        <v>38</v>
      </c>
      <c r="E60" s="1054" t="s">
        <v>6794</v>
      </c>
      <c r="F60" s="1055" t="s">
        <v>38</v>
      </c>
      <c r="G60" s="1055" t="s">
        <v>38</v>
      </c>
      <c r="H60" s="1055" t="s">
        <v>38</v>
      </c>
      <c r="I60" s="1055" t="s">
        <v>38</v>
      </c>
      <c r="J60" s="1055" t="s">
        <v>38</v>
      </c>
      <c r="K60" s="1055" t="s">
        <v>38</v>
      </c>
      <c r="L60" s="1055" t="s">
        <v>38</v>
      </c>
      <c r="M60" s="1055" t="s">
        <v>38</v>
      </c>
      <c r="N60" s="1055" t="s">
        <v>38</v>
      </c>
      <c r="O60" s="1055" t="s">
        <v>38</v>
      </c>
      <c r="P60" s="1055" t="s">
        <v>38</v>
      </c>
      <c r="Q60" s="1055" t="s">
        <v>38</v>
      </c>
      <c r="R60" s="1055" t="s">
        <v>38</v>
      </c>
      <c r="S60" s="1"/>
      <c r="T60" s="1"/>
      <c r="U60" s="1"/>
      <c r="V60" s="1"/>
      <c r="W60" s="1"/>
      <c r="X60" s="1"/>
    </row>
    <row r="61" spans="1:24" ht="15.95" customHeight="1">
      <c r="A61" s="1"/>
      <c r="B61" s="1"/>
      <c r="C61" s="196">
        <v>6.7000000000000004E-2</v>
      </c>
      <c r="D61" s="1056" t="s">
        <v>6843</v>
      </c>
      <c r="E61" s="1" t="s">
        <v>6844</v>
      </c>
      <c r="F61" s="1"/>
      <c r="G61" s="1"/>
      <c r="H61" s="1"/>
      <c r="I61" s="1"/>
      <c r="J61" s="1"/>
      <c r="K61" s="1"/>
      <c r="L61" s="1"/>
      <c r="M61" s="1"/>
      <c r="N61" s="1"/>
      <c r="O61" s="1"/>
      <c r="P61" s="1"/>
      <c r="Q61" s="1"/>
      <c r="R61" s="1"/>
      <c r="S61" s="1"/>
      <c r="T61" s="1"/>
      <c r="U61" s="1"/>
      <c r="V61" s="1"/>
      <c r="W61" s="1"/>
      <c r="X61" s="1"/>
    </row>
    <row r="62" spans="1:24" ht="15.95" customHeight="1">
      <c r="A62" s="1"/>
      <c r="B62" s="1"/>
      <c r="C62" s="196">
        <v>9.0500000000000007</v>
      </c>
      <c r="D62" s="1056" t="s">
        <v>6845</v>
      </c>
      <c r="E62" s="1" t="s">
        <v>6846</v>
      </c>
      <c r="F62" s="1"/>
      <c r="G62" s="1"/>
      <c r="H62" s="1"/>
      <c r="I62" s="1"/>
      <c r="J62" s="1"/>
      <c r="K62" s="1"/>
      <c r="L62" s="1"/>
      <c r="M62" s="1"/>
      <c r="N62" s="1"/>
      <c r="O62" s="1"/>
      <c r="P62" s="1"/>
      <c r="Q62" s="1"/>
      <c r="R62" s="1"/>
      <c r="S62" s="1"/>
      <c r="T62" s="1"/>
      <c r="U62" s="1"/>
      <c r="V62" s="1"/>
      <c r="W62" s="1"/>
      <c r="X62" s="1"/>
    </row>
    <row r="63" spans="1:24" ht="15.95" customHeight="1">
      <c r="A63" s="1"/>
      <c r="B63" s="1"/>
      <c r="C63" s="196">
        <v>3.9</v>
      </c>
      <c r="D63" s="1056" t="s">
        <v>6847</v>
      </c>
      <c r="E63" s="1" t="s">
        <v>6848</v>
      </c>
      <c r="F63" s="1"/>
      <c r="G63" s="1"/>
      <c r="H63" s="1"/>
      <c r="I63" s="1"/>
      <c r="J63" s="1"/>
      <c r="K63" s="1"/>
      <c r="L63" s="1"/>
      <c r="M63" s="1"/>
      <c r="N63" s="1"/>
      <c r="O63" s="1"/>
      <c r="P63" s="1"/>
      <c r="Q63" s="1"/>
      <c r="R63" s="1"/>
      <c r="S63" s="1"/>
      <c r="T63" s="1"/>
      <c r="U63" s="1"/>
      <c r="V63" s="1"/>
      <c r="W63" s="1"/>
      <c r="X63" s="1"/>
    </row>
    <row r="64" spans="1:24" ht="15.95" customHeight="1">
      <c r="A64" s="1"/>
      <c r="B64" s="1"/>
      <c r="C64" s="196">
        <v>0.6</v>
      </c>
      <c r="D64" s="1056" t="s">
        <v>6849</v>
      </c>
      <c r="E64" s="1" t="s">
        <v>6850</v>
      </c>
      <c r="F64" s="1"/>
      <c r="G64" s="1"/>
      <c r="H64" s="1"/>
      <c r="I64" s="1"/>
      <c r="J64" s="1"/>
      <c r="K64" s="1"/>
      <c r="L64" s="1"/>
      <c r="M64" s="1"/>
      <c r="N64" s="1"/>
      <c r="O64" s="1"/>
      <c r="P64" s="1"/>
      <c r="Q64" s="1"/>
      <c r="R64" s="1"/>
      <c r="S64" s="1"/>
      <c r="T64" s="1"/>
      <c r="U64" s="1"/>
      <c r="V64" s="1"/>
      <c r="W64" s="1"/>
      <c r="X64" s="1"/>
    </row>
    <row r="65" spans="1:24" ht="15.95" customHeight="1">
      <c r="A65" s="1"/>
      <c r="B65" s="1"/>
      <c r="C65" s="196">
        <v>0.5</v>
      </c>
      <c r="D65" s="1056" t="s">
        <v>6851</v>
      </c>
      <c r="E65" s="1" t="s">
        <v>6852</v>
      </c>
      <c r="F65" s="1"/>
      <c r="G65" s="1"/>
      <c r="H65" s="1"/>
      <c r="I65" s="1"/>
      <c r="J65" s="1"/>
      <c r="K65" s="1"/>
      <c r="L65" s="1"/>
      <c r="M65" s="1"/>
      <c r="N65" s="1"/>
      <c r="O65" s="1"/>
      <c r="P65" s="1"/>
      <c r="Q65" s="1"/>
      <c r="R65" s="1"/>
      <c r="S65" s="1"/>
      <c r="T65" s="1"/>
      <c r="U65" s="1"/>
      <c r="V65" s="1"/>
      <c r="W65" s="1"/>
      <c r="X65" s="1"/>
    </row>
    <row r="66" spans="1:24" ht="15.95" customHeight="1">
      <c r="A66" s="1"/>
      <c r="B66" s="1"/>
      <c r="C66" s="196">
        <v>0.9</v>
      </c>
      <c r="D66" s="1056" t="s">
        <v>6853</v>
      </c>
      <c r="E66" s="1" t="s">
        <v>6854</v>
      </c>
      <c r="F66" s="1"/>
      <c r="G66" s="1"/>
      <c r="H66" s="1"/>
      <c r="I66" s="1"/>
      <c r="J66" s="1"/>
      <c r="K66" s="1"/>
      <c r="L66" s="1"/>
      <c r="M66" s="1"/>
      <c r="N66" s="1"/>
      <c r="O66" s="1"/>
      <c r="P66" s="1"/>
      <c r="Q66" s="1"/>
      <c r="R66" s="1"/>
      <c r="S66" s="1"/>
      <c r="T66" s="1"/>
      <c r="U66" s="1"/>
      <c r="V66" s="1"/>
      <c r="W66" s="1"/>
      <c r="X66" s="1"/>
    </row>
    <row r="67" spans="1:24" ht="15.95" customHeight="1">
      <c r="A67" s="1"/>
      <c r="B67" s="1"/>
      <c r="C67" s="196">
        <v>5.3999999999999999E-2</v>
      </c>
      <c r="D67" s="1056" t="s">
        <v>6855</v>
      </c>
      <c r="E67" s="1" t="s">
        <v>6856</v>
      </c>
      <c r="F67" s="1"/>
      <c r="G67" s="1"/>
      <c r="H67" s="1"/>
      <c r="I67" s="1"/>
      <c r="J67" s="1"/>
      <c r="K67" s="1"/>
      <c r="L67" s="1"/>
      <c r="M67" s="1"/>
      <c r="N67" s="1"/>
      <c r="O67" s="1"/>
      <c r="P67" s="1"/>
      <c r="Q67" s="1"/>
      <c r="R67" s="1"/>
      <c r="S67" s="1"/>
      <c r="T67" s="1"/>
      <c r="U67" s="1"/>
      <c r="V67" s="1"/>
      <c r="W67" s="1"/>
      <c r="X67" s="1"/>
    </row>
    <row r="68" spans="1:24" ht="15.95" customHeight="1">
      <c r="A68" s="1"/>
      <c r="B68" s="1"/>
      <c r="C68" s="196">
        <v>0.76</v>
      </c>
      <c r="D68" s="1056" t="s">
        <v>6799</v>
      </c>
      <c r="E68" s="1" t="s">
        <v>6857</v>
      </c>
      <c r="F68" s="1"/>
      <c r="G68" s="1"/>
      <c r="H68" s="1"/>
      <c r="I68" s="1"/>
      <c r="J68" s="1"/>
      <c r="K68" s="1"/>
      <c r="L68" s="1"/>
      <c r="M68" s="1"/>
      <c r="N68" s="1"/>
      <c r="O68" s="1"/>
      <c r="P68" s="1"/>
      <c r="Q68" s="1"/>
      <c r="R68" s="1"/>
      <c r="S68" s="1"/>
      <c r="T68" s="1"/>
      <c r="U68" s="1"/>
      <c r="V68" s="1"/>
      <c r="W68" s="1"/>
      <c r="X68" s="1"/>
    </row>
    <row r="69" spans="1:24" ht="15.95" customHeight="1">
      <c r="A69" s="1"/>
      <c r="B69" s="1"/>
      <c r="C69" s="196">
        <v>0.19</v>
      </c>
      <c r="D69" s="1056" t="s">
        <v>6799</v>
      </c>
      <c r="E69" s="1" t="s">
        <v>6858</v>
      </c>
      <c r="F69" s="1"/>
      <c r="G69" s="1"/>
      <c r="H69" s="1"/>
      <c r="I69" s="1"/>
      <c r="J69" s="1"/>
      <c r="K69" s="1"/>
      <c r="L69" s="1"/>
      <c r="M69" s="1"/>
      <c r="N69" s="1"/>
      <c r="O69" s="1"/>
      <c r="P69" s="1"/>
      <c r="Q69" s="1"/>
      <c r="R69" s="1"/>
      <c r="S69" s="1"/>
      <c r="T69" s="1"/>
      <c r="U69" s="1"/>
      <c r="V69" s="1"/>
      <c r="W69" s="1"/>
      <c r="X69" s="1"/>
    </row>
    <row r="70" spans="1:24" ht="15.95" customHeight="1">
      <c r="A70" s="1"/>
      <c r="B70" s="1"/>
      <c r="C70" s="196">
        <v>0.01</v>
      </c>
      <c r="D70" s="1056" t="s">
        <v>6799</v>
      </c>
      <c r="E70" s="1" t="s">
        <v>6859</v>
      </c>
      <c r="F70" s="1"/>
      <c r="G70" s="1"/>
      <c r="H70" s="1"/>
      <c r="I70" s="1"/>
      <c r="J70" s="1"/>
      <c r="K70" s="1"/>
      <c r="L70" s="1"/>
      <c r="M70" s="1"/>
      <c r="N70" s="1"/>
      <c r="O70" s="1"/>
      <c r="P70" s="1"/>
      <c r="Q70" s="1"/>
      <c r="R70" s="1"/>
      <c r="S70" s="1"/>
      <c r="T70" s="1"/>
      <c r="U70" s="1"/>
      <c r="V70" s="1"/>
      <c r="W70" s="1"/>
      <c r="X70" s="1"/>
    </row>
    <row r="71" spans="1:24" ht="15.95" customHeight="1">
      <c r="A71" s="1"/>
      <c r="B71" s="1"/>
      <c r="C71" s="196">
        <v>0.11</v>
      </c>
      <c r="D71" s="1056" t="s">
        <v>6799</v>
      </c>
      <c r="E71" s="1" t="s">
        <v>6860</v>
      </c>
      <c r="F71" s="1"/>
      <c r="G71" s="1"/>
      <c r="H71" s="1"/>
      <c r="I71" s="1"/>
      <c r="J71" s="1"/>
      <c r="K71" s="1"/>
      <c r="L71" s="1"/>
      <c r="M71" s="1"/>
      <c r="N71" s="1"/>
      <c r="O71" s="1"/>
      <c r="P71" s="1"/>
      <c r="Q71" s="1"/>
      <c r="R71" s="1"/>
      <c r="S71" s="1"/>
      <c r="T71" s="1"/>
      <c r="U71" s="1"/>
      <c r="V71" s="1"/>
      <c r="W71" s="1"/>
      <c r="X71" s="1"/>
    </row>
    <row r="72" spans="1:24" ht="15.95" customHeight="1">
      <c r="A72" s="1"/>
      <c r="B72" s="1"/>
      <c r="C72" s="196">
        <v>1.7000000000000001E-2</v>
      </c>
      <c r="D72" s="1056" t="s">
        <v>6805</v>
      </c>
      <c r="E72" s="1" t="s">
        <v>6861</v>
      </c>
      <c r="F72" s="1"/>
      <c r="G72" s="1"/>
      <c r="H72" s="1"/>
      <c r="I72" s="1"/>
      <c r="J72" s="1"/>
      <c r="K72" s="1"/>
      <c r="L72" s="1"/>
      <c r="M72" s="1"/>
      <c r="N72" s="1"/>
      <c r="O72" s="1"/>
      <c r="P72" s="1"/>
      <c r="Q72" s="1"/>
      <c r="R72" s="1"/>
      <c r="S72" s="1"/>
      <c r="T72" s="1"/>
      <c r="U72" s="1"/>
      <c r="V72" s="1"/>
      <c r="W72" s="1"/>
      <c r="X72" s="1"/>
    </row>
    <row r="73" spans="1:24" ht="15.95" customHeight="1">
      <c r="A73" s="1"/>
      <c r="B73" s="1"/>
      <c r="C73" s="196">
        <v>5.0000000000000001E-3</v>
      </c>
      <c r="D73" s="1056" t="s">
        <v>6862</v>
      </c>
      <c r="E73" s="1" t="s">
        <v>6863</v>
      </c>
      <c r="F73" s="1"/>
      <c r="G73" s="1"/>
      <c r="H73" s="1"/>
      <c r="I73" s="1"/>
      <c r="J73" s="1"/>
      <c r="K73" s="1"/>
      <c r="L73" s="1"/>
      <c r="M73" s="1"/>
      <c r="N73" s="1"/>
      <c r="O73" s="1"/>
      <c r="P73" s="1"/>
      <c r="Q73" s="1"/>
      <c r="R73" s="1"/>
      <c r="S73" s="1"/>
      <c r="T73" s="1"/>
      <c r="U73" s="1"/>
      <c r="V73" s="1"/>
      <c r="W73" s="1"/>
      <c r="X73" s="1"/>
    </row>
    <row r="74" spans="1:24" ht="15.95" customHeight="1">
      <c r="A74" s="1"/>
      <c r="B74" s="1"/>
      <c r="C74" s="196">
        <v>7.1999999999999995E-2</v>
      </c>
      <c r="D74" s="1056" t="s">
        <v>6864</v>
      </c>
      <c r="E74" s="1" t="s">
        <v>6865</v>
      </c>
      <c r="F74" s="1"/>
      <c r="G74" s="1"/>
      <c r="H74" s="1"/>
      <c r="I74" s="1"/>
      <c r="J74" s="1"/>
      <c r="K74" s="1"/>
      <c r="L74" s="1"/>
      <c r="M74" s="1"/>
      <c r="N74" s="1"/>
      <c r="O74" s="1"/>
      <c r="P74" s="1"/>
      <c r="Q74" s="1"/>
      <c r="R74" s="1"/>
      <c r="S74" s="1"/>
      <c r="T74" s="1"/>
      <c r="U74" s="1"/>
      <c r="V74" s="1"/>
      <c r="W74" s="1"/>
      <c r="X74" s="1"/>
    </row>
    <row r="75" spans="1:24" ht="15.95" customHeight="1">
      <c r="A75" s="1"/>
      <c r="B75" s="1"/>
      <c r="C75" s="196"/>
      <c r="D75" s="1"/>
      <c r="E75" s="1"/>
      <c r="F75" s="1"/>
      <c r="G75" s="1"/>
      <c r="H75" s="1"/>
      <c r="I75" s="1"/>
      <c r="J75" s="1"/>
      <c r="K75" s="1"/>
      <c r="L75" s="1"/>
      <c r="M75" s="1"/>
      <c r="N75" s="1"/>
      <c r="O75" s="1"/>
      <c r="P75" s="1"/>
      <c r="Q75" s="1"/>
      <c r="R75" s="1"/>
      <c r="S75" s="1"/>
      <c r="T75" s="1"/>
      <c r="U75" s="1"/>
      <c r="V75" s="1"/>
      <c r="W75" s="1"/>
      <c r="X75" s="1"/>
    </row>
    <row r="76" spans="1:24" ht="15.95" customHeight="1">
      <c r="A76" s="1"/>
      <c r="B76" s="1057" t="s">
        <v>6809</v>
      </c>
      <c r="C76" s="1085">
        <v>16.239999999999998</v>
      </c>
      <c r="D76" s="1057" t="s">
        <v>38</v>
      </c>
      <c r="E76" s="1058" t="s">
        <v>38</v>
      </c>
      <c r="F76" s="1058" t="s">
        <v>38</v>
      </c>
      <c r="G76" s="1058" t="s">
        <v>38</v>
      </c>
      <c r="H76" s="1058" t="s">
        <v>38</v>
      </c>
      <c r="I76" s="1058" t="s">
        <v>38</v>
      </c>
      <c r="J76" s="1058" t="s">
        <v>38</v>
      </c>
      <c r="K76" s="1058" t="s">
        <v>38</v>
      </c>
      <c r="L76" s="1058" t="s">
        <v>38</v>
      </c>
      <c r="M76" s="1058" t="s">
        <v>38</v>
      </c>
      <c r="N76" s="1058" t="s">
        <v>38</v>
      </c>
      <c r="O76" s="1058" t="s">
        <v>38</v>
      </c>
      <c r="P76" s="1058" t="s">
        <v>38</v>
      </c>
      <c r="Q76" s="1058" t="s">
        <v>38</v>
      </c>
      <c r="R76" s="1058" t="s">
        <v>38</v>
      </c>
      <c r="S76" s="1"/>
      <c r="T76" s="1"/>
      <c r="U76" s="1"/>
      <c r="V76" s="1"/>
      <c r="W76" s="1"/>
      <c r="X76" s="1"/>
    </row>
    <row r="77" spans="1:24" ht="15.95" customHeight="1">
      <c r="A77" s="1"/>
      <c r="B77" s="1059"/>
      <c r="C77" s="1086"/>
      <c r="D77" s="1059"/>
      <c r="E77" s="1"/>
      <c r="F77" s="1"/>
      <c r="G77" s="1"/>
      <c r="H77" s="1"/>
      <c r="I77" s="1"/>
      <c r="J77" s="1"/>
      <c r="K77" s="1"/>
      <c r="L77" s="1"/>
      <c r="M77" s="1"/>
      <c r="N77" s="1"/>
      <c r="O77" s="1"/>
      <c r="P77" s="1"/>
      <c r="Q77" s="1"/>
      <c r="R77" s="1"/>
      <c r="S77" s="1"/>
      <c r="T77" s="1"/>
      <c r="U77" s="1"/>
      <c r="V77" s="1"/>
      <c r="W77" s="1"/>
      <c r="X77" s="1"/>
    </row>
    <row r="78" spans="1:24" ht="15.95" customHeight="1">
      <c r="A78" s="1"/>
      <c r="B78" s="1059"/>
      <c r="C78" s="1086"/>
      <c r="D78" s="1059"/>
      <c r="E78" s="1"/>
      <c r="F78" s="1"/>
      <c r="G78" s="1"/>
      <c r="H78" s="1"/>
      <c r="I78" s="1"/>
      <c r="J78" s="1"/>
      <c r="K78" s="1"/>
      <c r="L78" s="1"/>
      <c r="M78" s="1"/>
      <c r="N78" s="1"/>
      <c r="O78" s="1"/>
      <c r="P78" s="1"/>
      <c r="Q78" s="1"/>
      <c r="R78" s="1"/>
      <c r="S78" s="1"/>
      <c r="T78" s="1"/>
      <c r="U78" s="1"/>
      <c r="V78" s="1"/>
      <c r="W78" s="1"/>
      <c r="X78" s="1"/>
    </row>
    <row r="79" spans="1:24" ht="15.95" customHeight="1">
      <c r="A79" s="1"/>
      <c r="B79" s="1051" t="s">
        <v>6866</v>
      </c>
      <c r="C79" s="1082"/>
      <c r="D79" s="1051"/>
      <c r="E79" s="1059"/>
      <c r="F79" s="1"/>
      <c r="G79" s="1"/>
      <c r="H79" s="1"/>
      <c r="I79" s="1"/>
      <c r="J79" s="1"/>
      <c r="K79" s="1"/>
      <c r="L79" s="1"/>
      <c r="M79" s="1"/>
      <c r="N79" s="1"/>
      <c r="O79" s="1"/>
      <c r="P79" s="1"/>
      <c r="Q79" s="1"/>
      <c r="R79" s="1"/>
      <c r="S79" s="1"/>
      <c r="T79" s="1"/>
      <c r="U79" s="1"/>
      <c r="V79" s="1"/>
      <c r="W79" s="1"/>
      <c r="X79" s="1"/>
    </row>
    <row r="80" spans="1:24" ht="15.95" customHeight="1">
      <c r="A80" s="1"/>
      <c r="B80" s="1"/>
      <c r="C80" s="1086"/>
      <c r="D80" s="1059"/>
      <c r="E80" s="1059"/>
      <c r="F80" s="1"/>
      <c r="G80" s="1"/>
      <c r="H80" s="1"/>
      <c r="I80" s="1"/>
      <c r="J80" s="1"/>
      <c r="K80" s="1"/>
      <c r="L80" s="1"/>
      <c r="M80" s="1"/>
      <c r="N80" s="1"/>
      <c r="O80" s="1"/>
      <c r="P80" s="1"/>
      <c r="Q80" s="1"/>
      <c r="R80" s="1"/>
      <c r="S80" s="1"/>
      <c r="T80" s="1"/>
      <c r="U80" s="1"/>
      <c r="V80" s="1"/>
      <c r="W80" s="1"/>
      <c r="X80" s="1"/>
    </row>
    <row r="81" spans="1:24" ht="15.95" customHeight="1">
      <c r="A81" s="1"/>
      <c r="B81" s="1052" t="s">
        <v>4937</v>
      </c>
      <c r="C81" s="1083" t="s">
        <v>3978</v>
      </c>
      <c r="D81" s="1053"/>
      <c r="E81" s="1053"/>
      <c r="F81" s="1"/>
      <c r="G81" s="1"/>
      <c r="H81" s="1"/>
      <c r="I81" s="1"/>
      <c r="J81" s="1"/>
      <c r="K81" s="1"/>
      <c r="L81" s="1"/>
      <c r="M81" s="1"/>
      <c r="N81" s="1"/>
      <c r="O81" s="1"/>
      <c r="P81" s="1"/>
      <c r="Q81" s="1"/>
      <c r="R81" s="1"/>
      <c r="S81" s="1"/>
      <c r="T81" s="1"/>
      <c r="U81" s="1"/>
      <c r="V81" s="1"/>
      <c r="W81" s="1"/>
      <c r="X81" s="1"/>
    </row>
    <row r="82" spans="1:24" ht="15.95" customHeight="1">
      <c r="A82" s="1053"/>
      <c r="B82" s="1059"/>
      <c r="C82" s="1086"/>
      <c r="D82" s="1059"/>
      <c r="E82" s="1"/>
      <c r="F82" s="1"/>
      <c r="G82" s="1"/>
      <c r="H82" s="1"/>
      <c r="I82" s="1"/>
      <c r="J82" s="1"/>
      <c r="K82" s="1"/>
      <c r="L82" s="1"/>
      <c r="M82" s="1"/>
      <c r="N82" s="1"/>
      <c r="O82" s="1"/>
      <c r="P82" s="1"/>
      <c r="Q82" s="1"/>
      <c r="R82" s="1"/>
      <c r="S82" s="1"/>
      <c r="T82" s="1"/>
      <c r="U82" s="1"/>
      <c r="V82" s="1"/>
      <c r="W82" s="1"/>
      <c r="X82" s="1"/>
    </row>
    <row r="83" spans="1:24" ht="15.95" customHeight="1">
      <c r="A83" s="1"/>
      <c r="B83" s="1054" t="s">
        <v>6792</v>
      </c>
      <c r="C83" s="1084" t="s">
        <v>6793</v>
      </c>
      <c r="D83" s="1055" t="s">
        <v>38</v>
      </c>
      <c r="E83" s="1054" t="s">
        <v>6794</v>
      </c>
      <c r="F83" s="1055" t="s">
        <v>38</v>
      </c>
      <c r="G83" s="1055" t="s">
        <v>38</v>
      </c>
      <c r="H83" s="1055" t="s">
        <v>38</v>
      </c>
      <c r="I83" s="1055" t="s">
        <v>38</v>
      </c>
      <c r="J83" s="1055" t="s">
        <v>38</v>
      </c>
      <c r="K83" s="1055" t="s">
        <v>38</v>
      </c>
      <c r="L83" s="1055" t="s">
        <v>38</v>
      </c>
      <c r="M83" s="1055" t="s">
        <v>38</v>
      </c>
      <c r="N83" s="1055" t="s">
        <v>38</v>
      </c>
      <c r="O83" s="1055" t="s">
        <v>38</v>
      </c>
      <c r="P83" s="1055" t="s">
        <v>38</v>
      </c>
      <c r="Q83" s="1055" t="s">
        <v>38</v>
      </c>
      <c r="R83" s="1055" t="s">
        <v>38</v>
      </c>
      <c r="S83" s="1"/>
      <c r="T83" s="1"/>
      <c r="U83" s="1"/>
      <c r="V83" s="1"/>
      <c r="W83" s="1"/>
      <c r="X83" s="1"/>
    </row>
    <row r="84" spans="1:24" ht="15.95" customHeight="1">
      <c r="A84" s="1"/>
      <c r="B84" s="1"/>
      <c r="C84" s="196">
        <v>3</v>
      </c>
      <c r="D84" s="1056" t="s">
        <v>6830</v>
      </c>
      <c r="E84" s="1" t="s">
        <v>6867</v>
      </c>
      <c r="F84" s="1"/>
      <c r="G84" s="1"/>
      <c r="H84" s="1"/>
      <c r="I84" s="1"/>
      <c r="J84" s="1"/>
      <c r="K84" s="1"/>
      <c r="L84" s="1"/>
      <c r="M84" s="1"/>
      <c r="N84" s="1"/>
      <c r="O84" s="1"/>
      <c r="P84" s="1"/>
      <c r="Q84" s="1"/>
      <c r="R84" s="1"/>
      <c r="S84" s="1"/>
      <c r="T84" s="1"/>
      <c r="U84" s="1"/>
      <c r="V84" s="1"/>
      <c r="W84" s="1"/>
      <c r="X84" s="1"/>
    </row>
    <row r="85" spans="1:24" ht="15.95" customHeight="1">
      <c r="A85" s="1"/>
      <c r="B85" s="1"/>
      <c r="C85" s="196">
        <v>3.5000000000000003E-2</v>
      </c>
      <c r="D85" s="1056" t="s">
        <v>6868</v>
      </c>
      <c r="E85" s="1" t="s">
        <v>6869</v>
      </c>
      <c r="F85" s="1"/>
      <c r="G85" s="1"/>
      <c r="H85" s="1"/>
      <c r="I85" s="1"/>
      <c r="J85" s="1"/>
      <c r="K85" s="1"/>
      <c r="L85" s="1"/>
      <c r="M85" s="1"/>
      <c r="N85" s="1"/>
      <c r="O85" s="1"/>
      <c r="P85" s="1"/>
      <c r="Q85" s="1"/>
      <c r="R85" s="1"/>
      <c r="S85" s="1"/>
      <c r="T85" s="1"/>
      <c r="U85" s="1"/>
      <c r="V85" s="1"/>
      <c r="W85" s="1"/>
      <c r="X85" s="1"/>
    </row>
    <row r="86" spans="1:24" ht="15.95" customHeight="1">
      <c r="A86" s="1"/>
      <c r="B86" s="1"/>
      <c r="C86" s="196">
        <v>4.5</v>
      </c>
      <c r="D86" s="1056" t="s">
        <v>6870</v>
      </c>
      <c r="E86" s="1" t="s">
        <v>6871</v>
      </c>
      <c r="F86" s="1"/>
      <c r="G86" s="1"/>
      <c r="H86" s="1"/>
      <c r="I86" s="1"/>
      <c r="J86" s="1"/>
      <c r="K86" s="1"/>
      <c r="L86" s="1"/>
      <c r="M86" s="1"/>
      <c r="N86" s="1"/>
      <c r="O86" s="1"/>
      <c r="P86" s="1"/>
      <c r="Q86" s="1"/>
      <c r="R86" s="1"/>
      <c r="S86" s="1"/>
      <c r="T86" s="1"/>
      <c r="U86" s="1"/>
      <c r="V86" s="1"/>
      <c r="W86" s="1"/>
      <c r="X86" s="1"/>
    </row>
    <row r="87" spans="1:24" ht="15.95" customHeight="1">
      <c r="A87" s="1"/>
      <c r="B87" s="1"/>
      <c r="C87" s="196">
        <v>3.7</v>
      </c>
      <c r="D87" s="1056" t="s">
        <v>6872</v>
      </c>
      <c r="E87" s="1" t="s">
        <v>6873</v>
      </c>
      <c r="F87" s="1"/>
      <c r="G87" s="1"/>
      <c r="H87" s="1"/>
      <c r="I87" s="1"/>
      <c r="J87" s="1"/>
      <c r="K87" s="1"/>
      <c r="L87" s="1"/>
      <c r="M87" s="1"/>
      <c r="N87" s="1"/>
      <c r="O87" s="1"/>
      <c r="P87" s="1"/>
      <c r="Q87" s="1"/>
      <c r="R87" s="1"/>
      <c r="S87" s="1"/>
      <c r="T87" s="1"/>
      <c r="U87" s="1"/>
      <c r="V87" s="1"/>
      <c r="W87" s="1"/>
      <c r="X87" s="1"/>
    </row>
    <row r="88" spans="1:24" ht="15.95" customHeight="1">
      <c r="A88" s="1"/>
      <c r="B88" s="1056"/>
      <c r="C88" s="196"/>
      <c r="D88" s="1"/>
      <c r="E88" s="1"/>
      <c r="F88" s="1"/>
      <c r="G88" s="1"/>
      <c r="H88" s="1"/>
      <c r="I88" s="1"/>
      <c r="J88" s="1"/>
      <c r="K88" s="1"/>
      <c r="L88" s="1"/>
      <c r="M88" s="1"/>
      <c r="N88" s="1"/>
      <c r="O88" s="1"/>
      <c r="P88" s="1"/>
      <c r="Q88" s="1"/>
      <c r="R88" s="1"/>
      <c r="S88" s="1"/>
      <c r="T88" s="1"/>
      <c r="U88" s="1"/>
      <c r="V88" s="1"/>
      <c r="W88" s="1"/>
      <c r="X88" s="1"/>
    </row>
    <row r="89" spans="1:24" ht="15.95" customHeight="1">
      <c r="A89" s="1"/>
      <c r="B89" s="1057" t="s">
        <v>6809</v>
      </c>
      <c r="C89" s="1085">
        <v>11.24</v>
      </c>
      <c r="D89" s="1058" t="s">
        <v>38</v>
      </c>
      <c r="E89" s="1057" t="s">
        <v>38</v>
      </c>
      <c r="F89" s="1058" t="s">
        <v>38</v>
      </c>
      <c r="G89" s="1058" t="s">
        <v>38</v>
      </c>
      <c r="H89" s="1058" t="s">
        <v>38</v>
      </c>
      <c r="I89" s="1058" t="s">
        <v>38</v>
      </c>
      <c r="J89" s="1058" t="s">
        <v>38</v>
      </c>
      <c r="K89" s="1058" t="s">
        <v>38</v>
      </c>
      <c r="L89" s="1058" t="s">
        <v>38</v>
      </c>
      <c r="M89" s="1058" t="s">
        <v>38</v>
      </c>
      <c r="N89" s="1058" t="s">
        <v>38</v>
      </c>
      <c r="O89" s="1058" t="s">
        <v>38</v>
      </c>
      <c r="P89" s="1058" t="s">
        <v>38</v>
      </c>
      <c r="Q89" s="1058" t="s">
        <v>38</v>
      </c>
      <c r="R89" s="1058" t="s">
        <v>38</v>
      </c>
      <c r="S89" s="1"/>
      <c r="T89" s="1"/>
      <c r="U89" s="1"/>
      <c r="V89" s="1"/>
      <c r="W89" s="1"/>
      <c r="X89" s="1"/>
    </row>
    <row r="90" spans="1:24" ht="15.95" customHeight="1">
      <c r="A90" s="1"/>
      <c r="B90" s="1"/>
      <c r="C90" s="196"/>
      <c r="D90" s="1"/>
      <c r="E90" s="1"/>
      <c r="F90" s="1"/>
      <c r="G90" s="1"/>
      <c r="H90" s="1"/>
      <c r="I90" s="1"/>
      <c r="J90" s="1"/>
      <c r="K90" s="1"/>
      <c r="L90" s="1"/>
      <c r="M90" s="1"/>
      <c r="N90" s="1"/>
      <c r="O90" s="1"/>
      <c r="P90" s="1"/>
      <c r="Q90" s="1"/>
      <c r="R90" s="1"/>
      <c r="S90" s="1"/>
      <c r="T90" s="1"/>
      <c r="U90" s="1"/>
      <c r="V90" s="1"/>
      <c r="W90" s="1"/>
      <c r="X90" s="1"/>
    </row>
    <row r="91" spans="1:24" ht="15.95" customHeight="1">
      <c r="A91" s="1"/>
      <c r="B91" s="1054" t="s">
        <v>6810</v>
      </c>
      <c r="C91" s="1084" t="s">
        <v>6793</v>
      </c>
      <c r="D91" s="1055" t="s">
        <v>38</v>
      </c>
      <c r="E91" s="1054" t="s">
        <v>6794</v>
      </c>
      <c r="F91" s="1055" t="s">
        <v>38</v>
      </c>
      <c r="G91" s="1055" t="s">
        <v>38</v>
      </c>
      <c r="H91" s="1055" t="s">
        <v>38</v>
      </c>
      <c r="I91" s="1055" t="s">
        <v>38</v>
      </c>
      <c r="J91" s="1055" t="s">
        <v>38</v>
      </c>
      <c r="K91" s="1055" t="s">
        <v>38</v>
      </c>
      <c r="L91" s="1055" t="s">
        <v>38</v>
      </c>
      <c r="M91" s="1055" t="s">
        <v>38</v>
      </c>
      <c r="N91" s="1055" t="s">
        <v>38</v>
      </c>
      <c r="O91" s="1055" t="s">
        <v>38</v>
      </c>
      <c r="P91" s="1055" t="s">
        <v>38</v>
      </c>
      <c r="Q91" s="1055" t="s">
        <v>38</v>
      </c>
      <c r="R91" s="1055" t="s">
        <v>38</v>
      </c>
      <c r="S91" s="1"/>
      <c r="T91" s="1"/>
      <c r="U91" s="1"/>
      <c r="V91" s="1"/>
      <c r="W91" s="1"/>
      <c r="X91" s="1"/>
    </row>
    <row r="92" spans="1:24" ht="15.95" customHeight="1">
      <c r="A92" s="1"/>
      <c r="B92" s="1"/>
      <c r="C92" s="196">
        <v>1.5</v>
      </c>
      <c r="D92" s="1056" t="s">
        <v>6845</v>
      </c>
      <c r="E92" s="1" t="s">
        <v>6874</v>
      </c>
      <c r="F92" s="1"/>
      <c r="G92" s="1"/>
      <c r="H92" s="1"/>
      <c r="I92" s="1"/>
      <c r="J92" s="1"/>
      <c r="K92" s="1"/>
      <c r="L92" s="1"/>
      <c r="M92" s="1"/>
      <c r="N92" s="1"/>
      <c r="O92" s="1"/>
      <c r="P92" s="1"/>
      <c r="Q92" s="1"/>
      <c r="R92" s="1"/>
      <c r="S92" s="1"/>
      <c r="T92" s="1"/>
      <c r="U92" s="1"/>
      <c r="V92" s="1"/>
      <c r="W92" s="1"/>
      <c r="X92" s="1"/>
    </row>
    <row r="93" spans="1:24" ht="15.95" customHeight="1">
      <c r="A93" s="1"/>
      <c r="B93" s="1"/>
      <c r="C93" s="196">
        <v>2.8</v>
      </c>
      <c r="D93" s="1056" t="s">
        <v>6875</v>
      </c>
      <c r="E93" s="1" t="s">
        <v>6876</v>
      </c>
      <c r="F93" s="1"/>
      <c r="G93" s="1"/>
      <c r="H93" s="1"/>
      <c r="I93" s="1"/>
      <c r="J93" s="1"/>
      <c r="K93" s="1"/>
      <c r="L93" s="1"/>
      <c r="M93" s="1"/>
      <c r="N93" s="1"/>
      <c r="O93" s="1"/>
      <c r="P93" s="1"/>
      <c r="Q93" s="1"/>
      <c r="R93" s="1"/>
      <c r="S93" s="1"/>
      <c r="T93" s="1"/>
      <c r="U93" s="1"/>
      <c r="V93" s="1"/>
      <c r="W93" s="1"/>
      <c r="X93" s="1"/>
    </row>
    <row r="94" spans="1:24" ht="15.95" customHeight="1">
      <c r="A94" s="1"/>
      <c r="B94" s="1"/>
      <c r="C94" s="196">
        <v>2E-3</v>
      </c>
      <c r="D94" s="1056" t="s">
        <v>6862</v>
      </c>
      <c r="E94" s="1" t="s">
        <v>6877</v>
      </c>
      <c r="F94" s="1"/>
      <c r="G94" s="1"/>
      <c r="H94" s="1"/>
      <c r="I94" s="1"/>
      <c r="J94" s="1"/>
      <c r="K94" s="1"/>
      <c r="L94" s="1"/>
      <c r="M94" s="1"/>
      <c r="N94" s="1"/>
      <c r="O94" s="1"/>
      <c r="P94" s="1"/>
      <c r="Q94" s="1"/>
      <c r="R94" s="1"/>
      <c r="S94" s="1"/>
      <c r="T94" s="1"/>
      <c r="U94" s="1"/>
      <c r="V94" s="1"/>
      <c r="W94" s="1"/>
      <c r="X94" s="1"/>
    </row>
    <row r="95" spans="1:24" ht="15.95" customHeight="1">
      <c r="A95" s="1"/>
      <c r="B95" s="1"/>
      <c r="C95" s="196"/>
      <c r="D95" s="1"/>
      <c r="E95" s="1"/>
      <c r="F95" s="1"/>
      <c r="G95" s="1"/>
      <c r="H95" s="1"/>
      <c r="I95" s="1"/>
      <c r="J95" s="1"/>
      <c r="K95" s="1"/>
      <c r="L95" s="1"/>
      <c r="M95" s="1"/>
      <c r="N95" s="1"/>
      <c r="O95" s="1"/>
      <c r="P95" s="1"/>
      <c r="Q95" s="1"/>
      <c r="R95" s="1"/>
      <c r="S95" s="1"/>
      <c r="T95" s="1"/>
      <c r="U95" s="1"/>
      <c r="V95" s="1"/>
      <c r="W95" s="1"/>
      <c r="X95" s="1"/>
    </row>
    <row r="96" spans="1:24" ht="15.95" customHeight="1">
      <c r="A96" s="1"/>
      <c r="B96" s="1057" t="s">
        <v>6809</v>
      </c>
      <c r="C96" s="1085">
        <v>4.3</v>
      </c>
      <c r="D96" s="1057" t="s">
        <v>38</v>
      </c>
      <c r="E96" s="1058" t="s">
        <v>38</v>
      </c>
      <c r="F96" s="1058" t="s">
        <v>38</v>
      </c>
      <c r="G96" s="1058" t="s">
        <v>38</v>
      </c>
      <c r="H96" s="1058" t="s">
        <v>38</v>
      </c>
      <c r="I96" s="1058" t="s">
        <v>38</v>
      </c>
      <c r="J96" s="1058" t="s">
        <v>38</v>
      </c>
      <c r="K96" s="1058" t="s">
        <v>38</v>
      </c>
      <c r="L96" s="1058" t="s">
        <v>38</v>
      </c>
      <c r="M96" s="1058" t="s">
        <v>38</v>
      </c>
      <c r="N96" s="1058" t="s">
        <v>38</v>
      </c>
      <c r="O96" s="1058" t="s">
        <v>38</v>
      </c>
      <c r="P96" s="1058" t="s">
        <v>38</v>
      </c>
      <c r="Q96" s="1058" t="s">
        <v>38</v>
      </c>
      <c r="R96" s="1058" t="s">
        <v>38</v>
      </c>
      <c r="S96" s="1"/>
      <c r="T96" s="1"/>
      <c r="U96" s="1"/>
      <c r="V96" s="1"/>
      <c r="W96" s="1"/>
      <c r="X96" s="1"/>
    </row>
    <row r="97" spans="1:24" ht="15.95" customHeight="1">
      <c r="A97" s="1"/>
      <c r="B97" s="1059"/>
      <c r="C97" s="1086"/>
      <c r="D97" s="1059"/>
      <c r="E97" s="1"/>
      <c r="F97" s="1"/>
      <c r="G97" s="1"/>
      <c r="H97" s="1"/>
      <c r="I97" s="1"/>
      <c r="J97" s="1"/>
      <c r="K97" s="1"/>
      <c r="L97" s="1"/>
      <c r="M97" s="1"/>
      <c r="N97" s="1"/>
      <c r="O97" s="1"/>
      <c r="P97" s="1"/>
      <c r="Q97" s="1"/>
      <c r="R97" s="1"/>
      <c r="S97" s="1"/>
      <c r="T97" s="1"/>
      <c r="U97" s="1"/>
      <c r="V97" s="1"/>
      <c r="W97" s="1"/>
      <c r="X97" s="1"/>
    </row>
    <row r="98" spans="1:24" ht="15.95" customHeight="1">
      <c r="A98" s="1"/>
      <c r="B98" s="1059"/>
      <c r="C98" s="1086"/>
      <c r="D98" s="1059"/>
      <c r="E98" s="1"/>
      <c r="F98" s="1"/>
      <c r="G98" s="1"/>
      <c r="H98" s="1"/>
      <c r="I98" s="1"/>
      <c r="J98" s="1"/>
      <c r="K98" s="1"/>
      <c r="L98" s="1"/>
      <c r="M98" s="1"/>
      <c r="N98" s="1"/>
      <c r="O98" s="1"/>
      <c r="P98" s="1"/>
      <c r="Q98" s="1"/>
      <c r="R98" s="1"/>
      <c r="S98" s="1"/>
      <c r="T98" s="1"/>
      <c r="U98" s="1"/>
      <c r="V98" s="1"/>
      <c r="W98" s="1"/>
      <c r="X98" s="1"/>
    </row>
    <row r="99" spans="1:24" ht="15.95" customHeight="1">
      <c r="A99" s="1"/>
      <c r="B99" s="1051" t="s">
        <v>6878</v>
      </c>
      <c r="C99" s="1082"/>
      <c r="D99" s="1051"/>
      <c r="E99" s="1059"/>
      <c r="F99" s="1"/>
      <c r="G99" s="1"/>
      <c r="H99" s="1"/>
      <c r="I99" s="1"/>
      <c r="J99" s="1"/>
      <c r="K99" s="1"/>
      <c r="L99" s="1"/>
      <c r="M99" s="1"/>
      <c r="N99" s="1"/>
      <c r="O99" s="1"/>
      <c r="P99" s="1"/>
      <c r="Q99" s="1"/>
      <c r="R99" s="1"/>
      <c r="S99" s="1"/>
      <c r="T99" s="1"/>
      <c r="U99" s="1"/>
      <c r="V99" s="1"/>
      <c r="W99" s="1"/>
      <c r="X99" s="1"/>
    </row>
    <row r="100" spans="1:24" ht="15.95" customHeight="1">
      <c r="A100" s="1"/>
      <c r="B100" s="1"/>
      <c r="C100" s="1086"/>
      <c r="D100" s="1059"/>
      <c r="E100" s="1059"/>
      <c r="F100" s="1"/>
      <c r="G100" s="1"/>
      <c r="H100" s="1"/>
      <c r="I100" s="1"/>
      <c r="J100" s="1"/>
      <c r="K100" s="1"/>
      <c r="L100" s="1"/>
      <c r="M100" s="1"/>
      <c r="N100" s="1"/>
      <c r="O100" s="1"/>
      <c r="P100" s="1"/>
      <c r="Q100" s="1"/>
      <c r="R100" s="1"/>
      <c r="S100" s="1"/>
      <c r="T100" s="1"/>
      <c r="U100" s="1"/>
      <c r="V100" s="1"/>
      <c r="W100" s="1"/>
      <c r="X100" s="1"/>
    </row>
    <row r="101" spans="1:24" ht="15.95" customHeight="1">
      <c r="A101" s="1"/>
      <c r="B101" s="1052" t="s">
        <v>4937</v>
      </c>
      <c r="C101" s="1083" t="s">
        <v>3982</v>
      </c>
      <c r="D101" s="1053"/>
      <c r="E101" s="1059"/>
      <c r="F101" s="1"/>
      <c r="G101" s="1"/>
      <c r="H101" s="1"/>
      <c r="I101" s="1"/>
      <c r="J101" s="1"/>
      <c r="K101" s="1"/>
      <c r="L101" s="1"/>
      <c r="M101" s="1"/>
      <c r="N101" s="1"/>
      <c r="O101" s="1"/>
      <c r="P101" s="1"/>
      <c r="Q101" s="1"/>
      <c r="R101" s="1"/>
      <c r="S101" s="1"/>
      <c r="T101" s="1"/>
      <c r="U101" s="1"/>
      <c r="V101" s="1"/>
      <c r="W101" s="1"/>
      <c r="X101" s="1"/>
    </row>
    <row r="102" spans="1:24" ht="15.95" customHeight="1">
      <c r="A102" s="1"/>
      <c r="B102" s="1059"/>
      <c r="C102" s="1086"/>
      <c r="D102" s="1059"/>
      <c r="E102" s="1"/>
      <c r="F102" s="1"/>
      <c r="G102" s="1"/>
      <c r="H102" s="1"/>
      <c r="I102" s="1"/>
      <c r="J102" s="1"/>
      <c r="K102" s="1"/>
      <c r="L102" s="1"/>
      <c r="M102" s="1"/>
      <c r="N102" s="1"/>
      <c r="O102" s="1"/>
      <c r="P102" s="1"/>
      <c r="Q102" s="1"/>
      <c r="R102" s="1"/>
      <c r="S102" s="1"/>
      <c r="T102" s="1"/>
      <c r="U102" s="1"/>
      <c r="V102" s="1"/>
      <c r="W102" s="1"/>
      <c r="X102" s="1"/>
    </row>
    <row r="103" spans="1:24" ht="15.95" customHeight="1">
      <c r="A103" s="1"/>
      <c r="B103" s="1054" t="s">
        <v>6792</v>
      </c>
      <c r="C103" s="1084" t="s">
        <v>6793</v>
      </c>
      <c r="D103" s="1054" t="s">
        <v>6794</v>
      </c>
      <c r="E103" s="1055" t="s">
        <v>38</v>
      </c>
      <c r="F103" s="1055" t="s">
        <v>38</v>
      </c>
      <c r="G103" s="1055" t="s">
        <v>38</v>
      </c>
      <c r="H103" s="1055" t="s">
        <v>38</v>
      </c>
      <c r="I103" s="1055" t="s">
        <v>38</v>
      </c>
      <c r="J103" s="1055" t="s">
        <v>38</v>
      </c>
      <c r="K103" s="1055" t="s">
        <v>38</v>
      </c>
      <c r="L103" s="1055" t="s">
        <v>38</v>
      </c>
      <c r="M103" s="1055" t="s">
        <v>38</v>
      </c>
      <c r="N103" s="1055" t="s">
        <v>38</v>
      </c>
      <c r="O103" s="1055" t="s">
        <v>38</v>
      </c>
      <c r="P103" s="1055" t="s">
        <v>38</v>
      </c>
      <c r="Q103" s="1055" t="s">
        <v>38</v>
      </c>
      <c r="R103" s="1055" t="s">
        <v>38</v>
      </c>
      <c r="S103" s="1"/>
      <c r="T103" s="1"/>
      <c r="U103" s="1"/>
      <c r="V103" s="1"/>
      <c r="W103" s="1"/>
      <c r="X103" s="1"/>
    </row>
    <row r="104" spans="1:24" ht="15.95" customHeight="1">
      <c r="A104" s="1"/>
      <c r="B104" s="1"/>
      <c r="C104" s="196">
        <v>9</v>
      </c>
      <c r="D104" s="1056" t="s">
        <v>6830</v>
      </c>
      <c r="E104" s="1" t="s">
        <v>6867</v>
      </c>
      <c r="F104" s="1"/>
      <c r="G104" s="1"/>
      <c r="H104" s="1"/>
      <c r="I104" s="1"/>
      <c r="J104" s="1"/>
      <c r="K104" s="1"/>
      <c r="L104" s="1"/>
      <c r="M104" s="1"/>
      <c r="N104" s="1"/>
      <c r="O104" s="1"/>
      <c r="P104" s="1"/>
      <c r="Q104" s="1"/>
      <c r="R104" s="1"/>
      <c r="S104" s="1"/>
      <c r="T104" s="1"/>
      <c r="U104" s="1"/>
      <c r="V104" s="1"/>
      <c r="W104" s="1"/>
      <c r="X104" s="1"/>
    </row>
    <row r="105" spans="1:24" ht="15.95" customHeight="1">
      <c r="A105" s="1"/>
      <c r="B105" s="1"/>
      <c r="C105" s="196">
        <v>0.1263</v>
      </c>
      <c r="D105" s="1056" t="s">
        <v>6868</v>
      </c>
      <c r="E105" s="1" t="s">
        <v>6869</v>
      </c>
      <c r="F105" s="1"/>
      <c r="G105" s="1"/>
      <c r="H105" s="1"/>
      <c r="I105" s="1"/>
      <c r="J105" s="1"/>
      <c r="K105" s="1"/>
      <c r="L105" s="1"/>
      <c r="M105" s="1"/>
      <c r="N105" s="1"/>
      <c r="O105" s="1"/>
      <c r="P105" s="1"/>
      <c r="Q105" s="1"/>
      <c r="R105" s="1"/>
      <c r="S105" s="1"/>
      <c r="T105" s="1"/>
      <c r="U105" s="1"/>
      <c r="V105" s="1"/>
      <c r="W105" s="1"/>
      <c r="X105" s="1"/>
    </row>
    <row r="106" spans="1:24" ht="15.95" customHeight="1">
      <c r="A106" s="1"/>
      <c r="B106" s="1"/>
      <c r="C106" s="196">
        <v>2.4700000000000002</v>
      </c>
      <c r="D106" s="1056" t="s">
        <v>6879</v>
      </c>
      <c r="E106" s="1" t="s">
        <v>6880</v>
      </c>
      <c r="F106" s="1"/>
      <c r="G106" s="1"/>
      <c r="H106" s="1"/>
      <c r="I106" s="1"/>
      <c r="J106" s="1"/>
      <c r="K106" s="1"/>
      <c r="L106" s="1"/>
      <c r="M106" s="1"/>
      <c r="N106" s="1"/>
      <c r="O106" s="1"/>
      <c r="P106" s="1"/>
      <c r="Q106" s="1"/>
      <c r="R106" s="1"/>
      <c r="S106" s="1"/>
      <c r="T106" s="1"/>
      <c r="U106" s="1"/>
      <c r="V106" s="1"/>
      <c r="W106" s="1"/>
      <c r="X106" s="1"/>
    </row>
    <row r="107" spans="1:24" ht="15.95" customHeight="1">
      <c r="A107" s="1"/>
      <c r="B107" s="1"/>
      <c r="C107" s="196">
        <v>13.37</v>
      </c>
      <c r="D107" s="1056" t="s">
        <v>6881</v>
      </c>
      <c r="E107" s="1" t="s">
        <v>6882</v>
      </c>
      <c r="F107" s="1"/>
      <c r="G107" s="1"/>
      <c r="H107" s="1"/>
      <c r="I107" s="1"/>
      <c r="J107" s="1"/>
      <c r="K107" s="1"/>
      <c r="L107" s="1"/>
      <c r="M107" s="1"/>
      <c r="N107" s="1"/>
      <c r="O107" s="1"/>
      <c r="P107" s="1"/>
      <c r="Q107" s="1"/>
      <c r="R107" s="1"/>
      <c r="S107" s="1"/>
      <c r="T107" s="1"/>
      <c r="U107" s="1"/>
      <c r="V107" s="1"/>
      <c r="W107" s="1"/>
      <c r="X107" s="1"/>
    </row>
    <row r="108" spans="1:24" ht="15.95" customHeight="1">
      <c r="A108" s="1"/>
      <c r="B108" s="1"/>
      <c r="C108" s="196">
        <v>14.5</v>
      </c>
      <c r="D108" s="1056" t="s">
        <v>6883</v>
      </c>
      <c r="E108" s="1059" t="s">
        <v>6884</v>
      </c>
      <c r="F108" s="1"/>
      <c r="G108" s="1"/>
      <c r="H108" s="1"/>
      <c r="I108" s="1"/>
      <c r="J108" s="1"/>
      <c r="K108" s="1"/>
      <c r="L108" s="1"/>
      <c r="M108" s="1"/>
      <c r="N108" s="1"/>
      <c r="O108" s="1"/>
      <c r="P108" s="1"/>
      <c r="Q108" s="1"/>
      <c r="R108" s="1"/>
      <c r="S108" s="1"/>
      <c r="T108" s="1"/>
      <c r="U108" s="1"/>
      <c r="V108" s="1"/>
      <c r="W108" s="1"/>
      <c r="X108" s="1"/>
    </row>
    <row r="109" spans="1:24" ht="15.95" customHeight="1">
      <c r="A109" s="1"/>
      <c r="B109" s="1"/>
      <c r="C109" s="196"/>
      <c r="D109" s="1"/>
      <c r="E109" s="1"/>
      <c r="F109" s="1"/>
      <c r="G109" s="1"/>
      <c r="H109" s="1"/>
      <c r="I109" s="1"/>
      <c r="J109" s="1"/>
      <c r="K109" s="1"/>
      <c r="L109" s="1"/>
      <c r="M109" s="1"/>
      <c r="N109" s="1"/>
      <c r="O109" s="1"/>
      <c r="P109" s="1"/>
      <c r="Q109" s="1"/>
      <c r="R109" s="1"/>
      <c r="S109" s="1"/>
      <c r="T109" s="1"/>
      <c r="U109" s="1"/>
      <c r="V109" s="1"/>
      <c r="W109" s="1"/>
      <c r="X109" s="1"/>
    </row>
    <row r="110" spans="1:24" ht="15.95" customHeight="1">
      <c r="A110" s="1"/>
      <c r="B110" s="1057" t="s">
        <v>6809</v>
      </c>
      <c r="C110" s="1085">
        <v>39.47</v>
      </c>
      <c r="D110" s="1057" t="s">
        <v>38</v>
      </c>
      <c r="E110" s="1058" t="s">
        <v>38</v>
      </c>
      <c r="F110" s="1058" t="s">
        <v>38</v>
      </c>
      <c r="G110" s="1058" t="s">
        <v>38</v>
      </c>
      <c r="H110" s="1058" t="s">
        <v>38</v>
      </c>
      <c r="I110" s="1058" t="s">
        <v>38</v>
      </c>
      <c r="J110" s="1058" t="s">
        <v>38</v>
      </c>
      <c r="K110" s="1058" t="s">
        <v>38</v>
      </c>
      <c r="L110" s="1058" t="s">
        <v>38</v>
      </c>
      <c r="M110" s="1058" t="s">
        <v>38</v>
      </c>
      <c r="N110" s="1058" t="s">
        <v>38</v>
      </c>
      <c r="O110" s="1058" t="s">
        <v>38</v>
      </c>
      <c r="P110" s="1058" t="s">
        <v>38</v>
      </c>
      <c r="Q110" s="1058" t="s">
        <v>38</v>
      </c>
      <c r="R110" s="1058" t="s">
        <v>38</v>
      </c>
      <c r="S110" s="1"/>
      <c r="T110" s="1"/>
      <c r="U110" s="1"/>
      <c r="V110" s="1"/>
      <c r="W110" s="1"/>
      <c r="X110" s="1"/>
    </row>
    <row r="111" spans="1:24" ht="15.95" customHeight="1">
      <c r="A111" s="1"/>
      <c r="B111" s="1"/>
      <c r="C111" s="196"/>
      <c r="D111" s="1"/>
      <c r="E111" s="1"/>
      <c r="F111" s="1"/>
      <c r="G111" s="1"/>
      <c r="H111" s="1"/>
      <c r="I111" s="1"/>
      <c r="J111" s="1"/>
      <c r="K111" s="1"/>
      <c r="L111" s="1"/>
      <c r="M111" s="1"/>
      <c r="N111" s="1"/>
      <c r="O111" s="1"/>
      <c r="P111" s="1"/>
      <c r="Q111" s="1"/>
      <c r="R111" s="1"/>
      <c r="S111" s="1"/>
      <c r="T111" s="1"/>
      <c r="U111" s="1"/>
      <c r="V111" s="1"/>
      <c r="W111" s="1"/>
      <c r="X111" s="1"/>
    </row>
    <row r="112" spans="1:24" ht="15.95" customHeight="1">
      <c r="A112" s="1"/>
      <c r="B112" s="1054" t="s">
        <v>6810</v>
      </c>
      <c r="C112" s="1084" t="s">
        <v>6793</v>
      </c>
      <c r="D112" s="1054" t="s">
        <v>6794</v>
      </c>
      <c r="E112" s="1055" t="s">
        <v>38</v>
      </c>
      <c r="F112" s="1055" t="s">
        <v>38</v>
      </c>
      <c r="G112" s="1055" t="s">
        <v>38</v>
      </c>
      <c r="H112" s="1055" t="s">
        <v>38</v>
      </c>
      <c r="I112" s="1055" t="s">
        <v>38</v>
      </c>
      <c r="J112" s="1055" t="s">
        <v>38</v>
      </c>
      <c r="K112" s="1055" t="s">
        <v>38</v>
      </c>
      <c r="L112" s="1055" t="s">
        <v>38</v>
      </c>
      <c r="M112" s="1055" t="s">
        <v>38</v>
      </c>
      <c r="N112" s="1055" t="s">
        <v>38</v>
      </c>
      <c r="O112" s="1055" t="s">
        <v>38</v>
      </c>
      <c r="P112" s="1055" t="s">
        <v>38</v>
      </c>
      <c r="Q112" s="1055" t="s">
        <v>38</v>
      </c>
      <c r="R112" s="1055" t="s">
        <v>38</v>
      </c>
      <c r="S112" s="1"/>
      <c r="T112" s="1"/>
      <c r="U112" s="1"/>
      <c r="V112" s="1"/>
      <c r="W112" s="1"/>
      <c r="X112" s="1"/>
    </row>
    <row r="113" spans="1:24" ht="15.95" customHeight="1">
      <c r="A113" s="1"/>
      <c r="B113" s="1"/>
      <c r="C113" s="196">
        <v>0.05</v>
      </c>
      <c r="D113" s="1056" t="s">
        <v>6885</v>
      </c>
      <c r="E113" s="1" t="s">
        <v>6886</v>
      </c>
      <c r="F113" s="1"/>
      <c r="G113" s="1"/>
      <c r="H113" s="1"/>
      <c r="I113" s="1"/>
      <c r="J113" s="1"/>
      <c r="K113" s="1"/>
      <c r="L113" s="1"/>
      <c r="M113" s="1"/>
      <c r="N113" s="1"/>
      <c r="O113" s="1"/>
      <c r="P113" s="1"/>
      <c r="Q113" s="1"/>
      <c r="R113" s="1"/>
      <c r="S113" s="1"/>
      <c r="T113" s="1"/>
      <c r="U113" s="1"/>
      <c r="V113" s="1"/>
      <c r="W113" s="1"/>
      <c r="X113" s="1"/>
    </row>
    <row r="114" spans="1:24" ht="15.95" customHeight="1">
      <c r="A114" s="1"/>
      <c r="B114" s="1"/>
      <c r="C114" s="196">
        <v>5.0000000000000001E-3</v>
      </c>
      <c r="D114" s="1056" t="s">
        <v>6887</v>
      </c>
      <c r="E114" s="1" t="s">
        <v>6888</v>
      </c>
      <c r="F114" s="1"/>
      <c r="G114" s="1"/>
      <c r="H114" s="1"/>
      <c r="I114" s="1"/>
      <c r="J114" s="1"/>
      <c r="K114" s="1"/>
      <c r="L114" s="1"/>
      <c r="M114" s="1"/>
      <c r="N114" s="1"/>
      <c r="O114" s="1"/>
      <c r="P114" s="1"/>
      <c r="Q114" s="1"/>
      <c r="R114" s="1"/>
      <c r="S114" s="1"/>
      <c r="T114" s="1"/>
      <c r="U114" s="1"/>
      <c r="V114" s="1"/>
      <c r="W114" s="1"/>
      <c r="X114" s="1"/>
    </row>
    <row r="115" spans="1:24" ht="15.95" customHeight="1">
      <c r="A115" s="1"/>
      <c r="B115" s="1"/>
      <c r="C115" s="196">
        <v>11.88</v>
      </c>
      <c r="D115" s="1056" t="s">
        <v>6845</v>
      </c>
      <c r="E115" s="1" t="s">
        <v>6889</v>
      </c>
      <c r="F115" s="1"/>
      <c r="G115" s="1"/>
      <c r="H115" s="1"/>
      <c r="I115" s="1"/>
      <c r="J115" s="1"/>
      <c r="K115" s="1"/>
      <c r="L115" s="1"/>
      <c r="M115" s="1"/>
      <c r="N115" s="1"/>
      <c r="O115" s="1"/>
      <c r="P115" s="1"/>
      <c r="Q115" s="1"/>
      <c r="R115" s="1"/>
      <c r="S115" s="1"/>
      <c r="T115" s="1"/>
      <c r="U115" s="1"/>
      <c r="V115" s="1"/>
      <c r="W115" s="1"/>
      <c r="X115" s="1"/>
    </row>
    <row r="116" spans="1:24" ht="15.95" customHeight="1">
      <c r="A116" s="1"/>
      <c r="B116" s="1"/>
      <c r="C116" s="196">
        <v>6.98</v>
      </c>
      <c r="D116" s="1056" t="s">
        <v>6890</v>
      </c>
      <c r="E116" s="1" t="s">
        <v>6891</v>
      </c>
      <c r="F116" s="1"/>
      <c r="G116" s="1"/>
      <c r="H116" s="1"/>
      <c r="I116" s="1"/>
      <c r="J116" s="1"/>
      <c r="K116" s="1"/>
      <c r="L116" s="1"/>
      <c r="M116" s="1"/>
      <c r="N116" s="1"/>
      <c r="O116" s="1"/>
      <c r="P116" s="1"/>
      <c r="Q116" s="1"/>
      <c r="R116" s="1"/>
      <c r="S116" s="1"/>
      <c r="T116" s="1"/>
      <c r="U116" s="1"/>
      <c r="V116" s="1"/>
      <c r="W116" s="1"/>
      <c r="X116" s="1"/>
    </row>
    <row r="117" spans="1:24" ht="15.95" customHeight="1">
      <c r="A117" s="1"/>
      <c r="B117" s="1"/>
      <c r="C117" s="196">
        <v>6.0000000000000001E-3</v>
      </c>
      <c r="D117" s="1056" t="s">
        <v>6862</v>
      </c>
      <c r="E117" s="1" t="s">
        <v>6892</v>
      </c>
      <c r="F117" s="1"/>
      <c r="G117" s="1"/>
      <c r="H117" s="1"/>
      <c r="I117" s="1"/>
      <c r="J117" s="1"/>
      <c r="K117" s="1"/>
      <c r="L117" s="1"/>
      <c r="M117" s="1"/>
      <c r="N117" s="1"/>
      <c r="O117" s="1"/>
      <c r="P117" s="1"/>
      <c r="Q117" s="1"/>
      <c r="R117" s="1"/>
      <c r="S117" s="1"/>
      <c r="T117" s="1"/>
      <c r="U117" s="1"/>
      <c r="V117" s="1"/>
      <c r="W117" s="1"/>
      <c r="X117" s="1"/>
    </row>
    <row r="118" spans="1:24" ht="15.95" customHeight="1">
      <c r="A118" s="1"/>
      <c r="B118" s="1"/>
      <c r="C118" s="196">
        <v>0.3</v>
      </c>
      <c r="D118" s="1056" t="s">
        <v>6893</v>
      </c>
      <c r="E118" s="1" t="s">
        <v>6894</v>
      </c>
      <c r="F118" s="1"/>
      <c r="G118" s="1"/>
      <c r="H118" s="1"/>
      <c r="I118" s="1"/>
      <c r="J118" s="1"/>
      <c r="K118" s="1"/>
      <c r="L118" s="1"/>
      <c r="M118" s="1"/>
      <c r="N118" s="1"/>
      <c r="O118" s="1"/>
      <c r="P118" s="1"/>
      <c r="Q118" s="1"/>
      <c r="R118" s="1"/>
      <c r="S118" s="1"/>
      <c r="T118" s="1"/>
      <c r="U118" s="1"/>
      <c r="V118" s="1"/>
      <c r="W118" s="1"/>
      <c r="X118" s="1"/>
    </row>
    <row r="119" spans="1:24" ht="15.95" customHeight="1">
      <c r="A119" s="1"/>
      <c r="B119" s="1"/>
      <c r="C119" s="196">
        <v>1E-3</v>
      </c>
      <c r="D119" s="1056" t="s">
        <v>6895</v>
      </c>
      <c r="E119" s="1" t="s">
        <v>6896</v>
      </c>
      <c r="F119" s="1"/>
      <c r="G119" s="1"/>
      <c r="H119" s="1"/>
      <c r="I119" s="1"/>
      <c r="J119" s="1"/>
      <c r="K119" s="1"/>
      <c r="L119" s="1"/>
      <c r="M119" s="1"/>
      <c r="N119" s="1"/>
      <c r="O119" s="1"/>
      <c r="P119" s="1"/>
      <c r="Q119" s="1"/>
      <c r="R119" s="1"/>
      <c r="S119" s="1"/>
      <c r="T119" s="1"/>
      <c r="U119" s="1"/>
      <c r="V119" s="1"/>
      <c r="W119" s="1"/>
      <c r="X119" s="1"/>
    </row>
    <row r="120" spans="1:24" ht="15.95" customHeight="1">
      <c r="A120" s="1"/>
      <c r="B120" s="1"/>
      <c r="C120" s="196">
        <v>2.4</v>
      </c>
      <c r="D120" s="1056" t="s">
        <v>6897</v>
      </c>
      <c r="E120" s="1" t="s">
        <v>6898</v>
      </c>
      <c r="F120" s="1"/>
      <c r="G120" s="1"/>
      <c r="H120" s="1"/>
      <c r="I120" s="1"/>
      <c r="J120" s="1"/>
      <c r="K120" s="1"/>
      <c r="L120" s="1"/>
      <c r="M120" s="1"/>
      <c r="N120" s="1"/>
      <c r="O120" s="1"/>
      <c r="P120" s="1"/>
      <c r="Q120" s="1"/>
      <c r="R120" s="1"/>
      <c r="S120" s="1"/>
      <c r="T120" s="1"/>
      <c r="U120" s="1"/>
      <c r="V120" s="1"/>
      <c r="W120" s="1"/>
      <c r="X120" s="1"/>
    </row>
    <row r="121" spans="1:24" ht="15.95" customHeight="1">
      <c r="A121" s="1"/>
      <c r="B121" s="1"/>
      <c r="C121" s="196">
        <v>7.4999999999999997E-3</v>
      </c>
      <c r="D121" s="1056" t="s">
        <v>6899</v>
      </c>
      <c r="E121" s="1" t="s">
        <v>6900</v>
      </c>
      <c r="F121" s="1"/>
      <c r="G121" s="1"/>
      <c r="H121" s="1"/>
      <c r="I121" s="1"/>
      <c r="J121" s="1"/>
      <c r="K121" s="1"/>
      <c r="L121" s="1"/>
      <c r="M121" s="1"/>
      <c r="N121" s="1"/>
      <c r="O121" s="1"/>
      <c r="P121" s="1"/>
      <c r="Q121" s="1"/>
      <c r="R121" s="1"/>
      <c r="S121" s="1"/>
      <c r="T121" s="1"/>
      <c r="U121" s="1"/>
      <c r="V121" s="1"/>
      <c r="W121" s="1"/>
      <c r="X121" s="1"/>
    </row>
    <row r="122" spans="1:24" ht="15.95" customHeight="1">
      <c r="A122" s="1"/>
      <c r="B122" s="1"/>
      <c r="C122" s="196">
        <v>0.16600000000000001</v>
      </c>
      <c r="D122" s="1056" t="s">
        <v>6901</v>
      </c>
      <c r="E122" s="1" t="s">
        <v>6902</v>
      </c>
      <c r="F122" s="1"/>
      <c r="G122" s="1"/>
      <c r="H122" s="1"/>
      <c r="I122" s="1"/>
      <c r="J122" s="1"/>
      <c r="K122" s="1"/>
      <c r="L122" s="1"/>
      <c r="M122" s="1"/>
      <c r="N122" s="1"/>
      <c r="O122" s="1"/>
      <c r="P122" s="1"/>
      <c r="Q122" s="1"/>
      <c r="R122" s="1"/>
      <c r="S122" s="1"/>
      <c r="T122" s="1"/>
      <c r="U122" s="1"/>
      <c r="V122" s="1"/>
      <c r="W122" s="1"/>
      <c r="X122" s="1"/>
    </row>
    <row r="123" spans="1:24" ht="15.95" customHeight="1">
      <c r="A123" s="1"/>
      <c r="B123" s="1"/>
      <c r="C123" s="196"/>
      <c r="D123" s="1"/>
      <c r="E123" s="1"/>
      <c r="F123" s="1"/>
      <c r="G123" s="1"/>
      <c r="H123" s="1"/>
      <c r="I123" s="1"/>
      <c r="J123" s="1"/>
      <c r="K123" s="1"/>
      <c r="L123" s="1"/>
      <c r="M123" s="1"/>
      <c r="N123" s="1"/>
      <c r="O123" s="1"/>
      <c r="P123" s="1"/>
      <c r="Q123" s="1"/>
      <c r="R123" s="1"/>
      <c r="S123" s="1"/>
      <c r="T123" s="1"/>
      <c r="U123" s="1"/>
      <c r="V123" s="1"/>
      <c r="W123" s="1"/>
      <c r="X123" s="1"/>
    </row>
    <row r="124" spans="1:24" ht="15.95" customHeight="1">
      <c r="A124" s="1"/>
      <c r="B124" s="1057" t="s">
        <v>6809</v>
      </c>
      <c r="C124" s="1085">
        <v>21.8</v>
      </c>
      <c r="D124" s="1057" t="s">
        <v>38</v>
      </c>
      <c r="E124" s="1058" t="s">
        <v>38</v>
      </c>
      <c r="F124" s="1058" t="s">
        <v>38</v>
      </c>
      <c r="G124" s="1058" t="s">
        <v>38</v>
      </c>
      <c r="H124" s="1058" t="s">
        <v>38</v>
      </c>
      <c r="I124" s="1058" t="s">
        <v>38</v>
      </c>
      <c r="J124" s="1058" t="s">
        <v>38</v>
      </c>
      <c r="K124" s="1058" t="s">
        <v>38</v>
      </c>
      <c r="L124" s="1058" t="s">
        <v>38</v>
      </c>
      <c r="M124" s="1058" t="s">
        <v>38</v>
      </c>
      <c r="N124" s="1058" t="s">
        <v>38</v>
      </c>
      <c r="O124" s="1058" t="s">
        <v>38</v>
      </c>
      <c r="P124" s="1058" t="s">
        <v>38</v>
      </c>
      <c r="Q124" s="1058" t="s">
        <v>38</v>
      </c>
      <c r="R124" s="1058" t="s">
        <v>38</v>
      </c>
      <c r="S124" s="1"/>
      <c r="T124" s="1"/>
      <c r="U124" s="1"/>
      <c r="V124" s="1"/>
      <c r="W124" s="1"/>
      <c r="X124" s="1"/>
    </row>
    <row r="125" spans="1:24" ht="15.95" customHeight="1">
      <c r="A125" s="1"/>
      <c r="B125" s="1059"/>
      <c r="C125" s="1086"/>
      <c r="D125" s="1059"/>
      <c r="E125" s="1"/>
      <c r="F125" s="1"/>
      <c r="G125" s="1"/>
      <c r="H125" s="1"/>
      <c r="I125" s="1"/>
      <c r="J125" s="1"/>
      <c r="K125" s="1"/>
      <c r="L125" s="1"/>
      <c r="M125" s="1"/>
      <c r="N125" s="1"/>
      <c r="O125" s="1"/>
      <c r="P125" s="1"/>
      <c r="Q125" s="1"/>
      <c r="R125" s="1"/>
      <c r="S125" s="1"/>
      <c r="T125" s="1"/>
      <c r="U125" s="1"/>
      <c r="V125" s="1"/>
      <c r="W125" s="1"/>
      <c r="X125" s="1"/>
    </row>
    <row r="126" spans="1:24" ht="15.95" customHeight="1">
      <c r="A126" s="1"/>
      <c r="B126" s="1059"/>
      <c r="C126" s="1086"/>
      <c r="D126" s="1059"/>
      <c r="E126" s="1"/>
      <c r="F126" s="1"/>
      <c r="G126" s="1"/>
      <c r="H126" s="1"/>
      <c r="I126" s="1"/>
      <c r="J126" s="1"/>
      <c r="K126" s="1"/>
      <c r="L126" s="1"/>
      <c r="M126" s="1"/>
      <c r="N126" s="1"/>
      <c r="O126" s="1"/>
      <c r="P126" s="1"/>
      <c r="Q126" s="1"/>
      <c r="R126" s="1"/>
      <c r="S126" s="1"/>
      <c r="T126" s="1"/>
      <c r="U126" s="1"/>
      <c r="V126" s="1"/>
      <c r="W126" s="1"/>
      <c r="X126" s="1"/>
    </row>
    <row r="127" spans="1:24" ht="15.95" customHeight="1">
      <c r="A127" s="1"/>
      <c r="B127" s="1059"/>
      <c r="C127" s="1086"/>
      <c r="D127" s="1059"/>
      <c r="E127" s="1"/>
      <c r="F127" s="1"/>
      <c r="G127" s="1"/>
      <c r="H127" s="1"/>
      <c r="I127" s="1"/>
      <c r="J127" s="1"/>
      <c r="K127" s="1"/>
      <c r="L127" s="1"/>
      <c r="M127" s="1"/>
      <c r="N127" s="1"/>
      <c r="O127" s="1"/>
      <c r="P127" s="1"/>
      <c r="Q127" s="1"/>
      <c r="R127" s="1"/>
      <c r="S127" s="1"/>
      <c r="T127" s="1"/>
      <c r="U127" s="1"/>
      <c r="V127" s="1"/>
      <c r="W127" s="1"/>
      <c r="X127" s="1"/>
    </row>
    <row r="128" spans="1:24" ht="15.95" customHeight="1">
      <c r="A128" s="1"/>
      <c r="B128" s="1062" t="s">
        <v>6903</v>
      </c>
      <c r="C128" s="1084" t="s">
        <v>38</v>
      </c>
      <c r="D128" s="1054" t="s">
        <v>38</v>
      </c>
      <c r="E128" s="1055" t="s">
        <v>38</v>
      </c>
      <c r="F128" s="1055" t="s">
        <v>38</v>
      </c>
      <c r="G128" s="1055" t="s">
        <v>38</v>
      </c>
      <c r="H128" s="1055" t="s">
        <v>38</v>
      </c>
      <c r="I128" s="1055" t="s">
        <v>38</v>
      </c>
      <c r="J128" s="1055" t="s">
        <v>38</v>
      </c>
      <c r="K128" s="1055" t="s">
        <v>38</v>
      </c>
      <c r="L128" s="1055" t="s">
        <v>38</v>
      </c>
      <c r="M128" s="1055" t="s">
        <v>38</v>
      </c>
      <c r="N128" s="1055" t="s">
        <v>38</v>
      </c>
      <c r="O128" s="1055" t="s">
        <v>38</v>
      </c>
      <c r="P128" s="1055" t="s">
        <v>38</v>
      </c>
      <c r="Q128" s="1055" t="s">
        <v>38</v>
      </c>
      <c r="R128" s="1055" t="s">
        <v>38</v>
      </c>
      <c r="S128" s="1"/>
      <c r="T128" s="1"/>
      <c r="U128" s="1"/>
      <c r="V128" s="1"/>
      <c r="W128" s="1"/>
      <c r="X128" s="1"/>
    </row>
    <row r="129" spans="1:24" ht="15.95" customHeight="1">
      <c r="A129" s="1"/>
      <c r="B129" s="1063" t="s">
        <v>6810</v>
      </c>
      <c r="C129" s="1087">
        <v>49.31</v>
      </c>
      <c r="D129" s="1063" t="s">
        <v>6904</v>
      </c>
      <c r="E129" s="1064" t="s">
        <v>38</v>
      </c>
      <c r="F129" s="1064" t="s">
        <v>38</v>
      </c>
      <c r="G129" s="1064" t="s">
        <v>38</v>
      </c>
      <c r="H129" s="1064" t="s">
        <v>38</v>
      </c>
      <c r="I129" s="1064" t="s">
        <v>38</v>
      </c>
      <c r="J129" s="1064" t="s">
        <v>38</v>
      </c>
      <c r="K129" s="1064" t="s">
        <v>38</v>
      </c>
      <c r="L129" s="1064" t="s">
        <v>38</v>
      </c>
      <c r="M129" s="1064" t="s">
        <v>38</v>
      </c>
      <c r="N129" s="1064" t="s">
        <v>38</v>
      </c>
      <c r="O129" s="1064" t="s">
        <v>38</v>
      </c>
      <c r="P129" s="1064" t="s">
        <v>38</v>
      </c>
      <c r="Q129" s="1064" t="s">
        <v>38</v>
      </c>
      <c r="R129" s="1064" t="s">
        <v>38</v>
      </c>
      <c r="S129" s="1"/>
      <c r="T129" s="1"/>
      <c r="U129" s="1"/>
      <c r="V129" s="1"/>
      <c r="W129" s="1"/>
      <c r="X129" s="1"/>
    </row>
    <row r="130" spans="1:24" ht="15.95" customHeight="1">
      <c r="A130" s="1"/>
      <c r="B130" s="1063" t="s">
        <v>6792</v>
      </c>
      <c r="C130" s="1087">
        <v>95.19</v>
      </c>
      <c r="D130" s="1063" t="s">
        <v>6905</v>
      </c>
      <c r="E130" s="1064" t="s">
        <v>38</v>
      </c>
      <c r="F130" s="1064" t="s">
        <v>38</v>
      </c>
      <c r="G130" s="1064" t="s">
        <v>38</v>
      </c>
      <c r="H130" s="1064" t="s">
        <v>38</v>
      </c>
      <c r="I130" s="1064" t="s">
        <v>38</v>
      </c>
      <c r="J130" s="1064" t="s">
        <v>38</v>
      </c>
      <c r="K130" s="1064" t="s">
        <v>38</v>
      </c>
      <c r="L130" s="1064" t="s">
        <v>38</v>
      </c>
      <c r="M130" s="1064" t="s">
        <v>38</v>
      </c>
      <c r="N130" s="1064" t="s">
        <v>38</v>
      </c>
      <c r="O130" s="1064" t="s">
        <v>38</v>
      </c>
      <c r="P130" s="1064" t="s">
        <v>38</v>
      </c>
      <c r="Q130" s="1064" t="s">
        <v>38</v>
      </c>
      <c r="R130" s="1064" t="s">
        <v>38</v>
      </c>
      <c r="S130" s="1"/>
      <c r="T130" s="1"/>
      <c r="U130" s="1"/>
      <c r="V130" s="1"/>
      <c r="W130" s="1"/>
      <c r="X130" s="1"/>
    </row>
    <row r="131" spans="1:24" ht="15.95" customHeight="1">
      <c r="A131" s="1"/>
      <c r="B131" s="1064" t="s">
        <v>38</v>
      </c>
      <c r="C131" s="1088" t="s">
        <v>38</v>
      </c>
      <c r="D131" s="1064" t="s">
        <v>38</v>
      </c>
      <c r="E131" s="1064" t="s">
        <v>38</v>
      </c>
      <c r="F131" s="1064" t="s">
        <v>38</v>
      </c>
      <c r="G131" s="1064" t="s">
        <v>38</v>
      </c>
      <c r="H131" s="1064" t="s">
        <v>38</v>
      </c>
      <c r="I131" s="1064" t="s">
        <v>38</v>
      </c>
      <c r="J131" s="1064" t="s">
        <v>38</v>
      </c>
      <c r="K131" s="1064" t="s">
        <v>38</v>
      </c>
      <c r="L131" s="1064" t="s">
        <v>38</v>
      </c>
      <c r="M131" s="1064" t="s">
        <v>38</v>
      </c>
      <c r="N131" s="1064" t="s">
        <v>38</v>
      </c>
      <c r="O131" s="1064" t="s">
        <v>38</v>
      </c>
      <c r="P131" s="1064" t="s">
        <v>38</v>
      </c>
      <c r="Q131" s="1064" t="s">
        <v>38</v>
      </c>
      <c r="R131" s="1064" t="s">
        <v>38</v>
      </c>
      <c r="S131" s="1"/>
      <c r="T131" s="1"/>
      <c r="U131" s="1"/>
      <c r="V131" s="1"/>
      <c r="W131" s="1"/>
      <c r="X131" s="1"/>
    </row>
    <row r="132" spans="1:24" ht="15.95" customHeight="1">
      <c r="A132" s="1"/>
      <c r="B132" s="1057" t="s">
        <v>6809</v>
      </c>
      <c r="C132" s="1085">
        <v>144.49</v>
      </c>
      <c r="D132" s="1058" t="s">
        <v>38</v>
      </c>
      <c r="E132" s="1058" t="s">
        <v>38</v>
      </c>
      <c r="F132" s="1058" t="s">
        <v>38</v>
      </c>
      <c r="G132" s="1058" t="s">
        <v>38</v>
      </c>
      <c r="H132" s="1058" t="s">
        <v>38</v>
      </c>
      <c r="I132" s="1058" t="s">
        <v>38</v>
      </c>
      <c r="J132" s="1058" t="s">
        <v>38</v>
      </c>
      <c r="K132" s="1058" t="s">
        <v>38</v>
      </c>
      <c r="L132" s="1058" t="s">
        <v>38</v>
      </c>
      <c r="M132" s="1058" t="s">
        <v>38</v>
      </c>
      <c r="N132" s="1058" t="s">
        <v>38</v>
      </c>
      <c r="O132" s="1058" t="s">
        <v>38</v>
      </c>
      <c r="P132" s="1058" t="s">
        <v>38</v>
      </c>
      <c r="Q132" s="1058" t="s">
        <v>38</v>
      </c>
      <c r="R132" s="1058" t="s">
        <v>38</v>
      </c>
      <c r="S132" s="1"/>
      <c r="T132" s="1"/>
      <c r="U132" s="1"/>
      <c r="V132" s="1"/>
      <c r="W132" s="1"/>
      <c r="X132" s="1"/>
    </row>
    <row r="133" spans="1:24" ht="15.95" customHeight="1">
      <c r="A133" s="1"/>
      <c r="B133" s="1059"/>
      <c r="C133" s="1086"/>
      <c r="D133" s="1059"/>
      <c r="E133" s="1"/>
      <c r="F133" s="1"/>
      <c r="G133" s="1"/>
      <c r="H133" s="1"/>
      <c r="I133" s="1"/>
      <c r="J133" s="1"/>
      <c r="K133" s="1"/>
      <c r="L133" s="1"/>
      <c r="M133" s="1"/>
      <c r="N133" s="1"/>
      <c r="O133" s="1"/>
      <c r="P133" s="1"/>
      <c r="Q133" s="1"/>
      <c r="R133" s="1"/>
      <c r="S133" s="1"/>
      <c r="T133" s="1"/>
      <c r="U133" s="1"/>
      <c r="V133" s="1"/>
      <c r="W133" s="1"/>
      <c r="X133" s="1"/>
    </row>
    <row r="134" spans="1:24" ht="15.95" customHeight="1">
      <c r="A134" s="1"/>
      <c r="B134" s="1059"/>
      <c r="C134" s="1086"/>
      <c r="D134" s="1059"/>
      <c r="E134" s="1"/>
      <c r="F134" s="1"/>
      <c r="G134" s="1"/>
      <c r="H134" s="1"/>
      <c r="I134" s="1"/>
      <c r="J134" s="1"/>
      <c r="K134" s="1"/>
      <c r="L134" s="1"/>
      <c r="M134" s="1"/>
      <c r="N134" s="1"/>
      <c r="O134" s="1"/>
      <c r="P134" s="1"/>
      <c r="Q134" s="1"/>
      <c r="R134" s="1"/>
      <c r="S134" s="1"/>
      <c r="T134" s="1"/>
      <c r="U134" s="1"/>
      <c r="V134" s="1"/>
      <c r="W134" s="1"/>
      <c r="X134" s="1"/>
    </row>
    <row r="135" spans="1:24" ht="15.95" customHeight="1">
      <c r="A135" s="1"/>
      <c r="B135" s="1065" t="s">
        <v>6906</v>
      </c>
      <c r="C135" s="1089"/>
      <c r="D135" s="1065"/>
      <c r="E135" s="1"/>
      <c r="F135" s="1"/>
      <c r="G135" s="1"/>
      <c r="H135" s="1"/>
      <c r="I135" s="1"/>
      <c r="J135" s="1"/>
      <c r="K135" s="1"/>
      <c r="L135" s="1"/>
      <c r="M135" s="1"/>
      <c r="N135" s="1"/>
      <c r="O135" s="1"/>
      <c r="P135" s="1"/>
      <c r="Q135" s="1"/>
      <c r="R135" s="1"/>
      <c r="S135" s="1"/>
      <c r="T135" s="1"/>
      <c r="U135" s="1"/>
      <c r="V135" s="1"/>
      <c r="W135" s="1"/>
      <c r="X135" s="1"/>
    </row>
    <row r="136" spans="1:24" ht="15.95" customHeight="1">
      <c r="A136" s="1"/>
      <c r="B136" s="1059"/>
      <c r="C136" s="1086"/>
      <c r="D136" s="1059"/>
      <c r="E136" s="1"/>
      <c r="F136" s="1"/>
      <c r="G136" s="1"/>
      <c r="H136" s="1"/>
      <c r="I136" s="1"/>
      <c r="J136" s="1"/>
      <c r="K136" s="1"/>
      <c r="L136" s="1"/>
      <c r="M136" s="1"/>
      <c r="N136" s="1"/>
      <c r="O136" s="1"/>
      <c r="P136" s="1"/>
      <c r="Q136" s="1"/>
      <c r="R136" s="1"/>
      <c r="S136" s="1"/>
      <c r="T136" s="1"/>
      <c r="U136" s="1"/>
      <c r="V136" s="1"/>
      <c r="W136" s="1"/>
      <c r="X136" s="1"/>
    </row>
    <row r="137" spans="1:24" ht="15.95" customHeight="1">
      <c r="A137" s="1"/>
      <c r="B137" s="1066" t="s">
        <v>6907</v>
      </c>
      <c r="C137" s="1090">
        <v>3</v>
      </c>
      <c r="D137" s="1067" t="s">
        <v>6807</v>
      </c>
      <c r="E137" s="1332" t="s">
        <v>6908</v>
      </c>
      <c r="F137" s="1332"/>
      <c r="G137" s="1332"/>
      <c r="H137" s="1332"/>
      <c r="I137" s="1332"/>
      <c r="J137" s="1332"/>
      <c r="K137" s="1332" t="s">
        <v>38</v>
      </c>
      <c r="L137" s="1332" t="s">
        <v>38</v>
      </c>
      <c r="M137" s="1332" t="s">
        <v>38</v>
      </c>
      <c r="N137" s="1332" t="s">
        <v>38</v>
      </c>
      <c r="O137" s="1332" t="s">
        <v>38</v>
      </c>
      <c r="P137" s="1332" t="s">
        <v>38</v>
      </c>
      <c r="Q137" s="1332" t="s">
        <v>38</v>
      </c>
      <c r="R137" s="1332" t="s">
        <v>38</v>
      </c>
      <c r="S137" s="1"/>
      <c r="T137" s="1"/>
      <c r="U137" s="1"/>
      <c r="V137" s="1"/>
      <c r="W137" s="1"/>
      <c r="X137" s="1"/>
    </row>
    <row r="138" spans="1:24" ht="15.95" customHeight="1">
      <c r="A138" s="1"/>
      <c r="B138" s="1059"/>
      <c r="C138" s="196">
        <v>3.7</v>
      </c>
      <c r="D138" s="1056" t="s">
        <v>6807</v>
      </c>
      <c r="E138" s="1" t="s">
        <v>6909</v>
      </c>
      <c r="F138" s="1"/>
      <c r="G138" s="1"/>
      <c r="H138" s="1"/>
      <c r="I138" s="1"/>
      <c r="J138" s="1"/>
      <c r="K138" s="1"/>
      <c r="L138" s="1"/>
      <c r="M138" s="1"/>
      <c r="N138" s="1"/>
      <c r="O138" s="1"/>
      <c r="P138" s="1"/>
      <c r="Q138" s="1"/>
      <c r="R138" s="1"/>
      <c r="S138" s="1"/>
      <c r="T138" s="1"/>
      <c r="U138" s="1"/>
      <c r="V138" s="1"/>
      <c r="W138" s="1"/>
      <c r="X138" s="1"/>
    </row>
    <row r="139" spans="1:24" ht="15.95" customHeight="1">
      <c r="A139" s="1"/>
      <c r="B139" s="1333" t="s">
        <v>38</v>
      </c>
      <c r="C139" s="1091">
        <v>0.26</v>
      </c>
      <c r="D139" s="1068" t="s">
        <v>6872</v>
      </c>
      <c r="E139" s="1333" t="s">
        <v>6910</v>
      </c>
      <c r="F139" s="1"/>
      <c r="G139" s="1"/>
      <c r="H139" s="1"/>
      <c r="I139" s="1"/>
      <c r="J139" s="1"/>
      <c r="K139" s="1333"/>
      <c r="L139" s="1333" t="s">
        <v>38</v>
      </c>
      <c r="M139" s="1333" t="s">
        <v>38</v>
      </c>
      <c r="N139" s="1333" t="s">
        <v>38</v>
      </c>
      <c r="O139" s="1333" t="s">
        <v>38</v>
      </c>
      <c r="P139" s="1333" t="s">
        <v>38</v>
      </c>
      <c r="Q139" s="1333" t="s">
        <v>38</v>
      </c>
      <c r="R139" s="1333"/>
      <c r="S139" s="1"/>
      <c r="T139" s="1"/>
      <c r="U139" s="1"/>
      <c r="V139" s="1"/>
      <c r="W139" s="1"/>
      <c r="X139" s="1"/>
    </row>
    <row r="140" spans="1:24" ht="15.95" customHeight="1">
      <c r="A140" s="1"/>
      <c r="B140" s="1"/>
      <c r="C140" s="196"/>
      <c r="D140" s="1056"/>
      <c r="E140" s="1"/>
      <c r="F140" s="1332"/>
      <c r="G140" s="1332"/>
      <c r="H140" s="1332"/>
      <c r="I140" s="1332"/>
      <c r="J140" s="1332"/>
      <c r="K140" s="1"/>
      <c r="L140" s="1"/>
      <c r="M140" s="1"/>
      <c r="N140" s="1"/>
      <c r="O140" s="1"/>
      <c r="P140" s="1"/>
      <c r="Q140" s="1"/>
      <c r="R140" s="1"/>
      <c r="S140" s="1"/>
      <c r="T140" s="1"/>
      <c r="U140" s="1"/>
      <c r="V140" s="1"/>
      <c r="W140" s="1"/>
      <c r="X140" s="1"/>
    </row>
    <row r="141" spans="1:24" ht="15.95" customHeight="1">
      <c r="A141" s="1"/>
      <c r="B141" s="1065" t="s">
        <v>6911</v>
      </c>
      <c r="C141" s="1089"/>
      <c r="D141" s="1065"/>
      <c r="E141" s="1065"/>
      <c r="F141" s="1"/>
      <c r="G141" s="1"/>
      <c r="H141" s="1"/>
      <c r="I141" s="1"/>
      <c r="J141" s="1"/>
      <c r="K141" s="1"/>
      <c r="L141" s="1"/>
      <c r="M141" s="1"/>
      <c r="N141" s="1"/>
      <c r="O141" s="1"/>
      <c r="P141" s="1"/>
      <c r="Q141" s="1"/>
      <c r="R141" s="1"/>
      <c r="S141" s="1"/>
      <c r="T141" s="1"/>
      <c r="U141" s="1"/>
      <c r="V141" s="1"/>
      <c r="W141" s="1"/>
      <c r="X141" s="1"/>
    </row>
    <row r="142" spans="1:24" ht="15.95" customHeight="1">
      <c r="A142" s="1"/>
      <c r="B142" s="1"/>
      <c r="C142" s="196"/>
      <c r="D142" s="1"/>
      <c r="E142" s="1"/>
      <c r="F142" s="1"/>
      <c r="G142" s="1"/>
      <c r="H142" s="1"/>
      <c r="I142" s="1"/>
      <c r="J142" s="1"/>
      <c r="K142" s="1"/>
      <c r="L142" s="1"/>
      <c r="M142" s="1"/>
      <c r="N142" s="1"/>
      <c r="O142" s="1"/>
      <c r="P142" s="1"/>
      <c r="Q142" s="1"/>
      <c r="R142" s="1"/>
      <c r="S142" s="1"/>
      <c r="T142" s="1"/>
      <c r="U142" s="1"/>
      <c r="V142" s="1"/>
      <c r="W142" s="1"/>
      <c r="X142" s="1"/>
    </row>
    <row r="143" spans="1:24" ht="15.95" customHeight="1">
      <c r="A143" s="1"/>
      <c r="B143" s="1508" t="s">
        <v>6912</v>
      </c>
      <c r="C143" s="1090">
        <v>3.1030000000000002</v>
      </c>
      <c r="D143" s="1067" t="s">
        <v>6799</v>
      </c>
      <c r="E143" s="1332" t="s">
        <v>6913</v>
      </c>
      <c r="F143" s="1332"/>
      <c r="G143" s="1332"/>
      <c r="H143" s="1332"/>
      <c r="I143" s="1332"/>
      <c r="J143" s="1332"/>
      <c r="K143" s="1332"/>
      <c r="L143" s="1332"/>
      <c r="M143" s="1332"/>
      <c r="N143" s="1332"/>
      <c r="O143" s="1332" t="s">
        <v>38</v>
      </c>
      <c r="P143" s="1332" t="s">
        <v>38</v>
      </c>
      <c r="Q143" s="1332" t="s">
        <v>38</v>
      </c>
      <c r="R143" s="1332" t="s">
        <v>38</v>
      </c>
      <c r="S143" s="1"/>
      <c r="T143" s="1"/>
      <c r="U143" s="1"/>
      <c r="V143" s="1"/>
      <c r="W143" s="1"/>
      <c r="X143" s="1"/>
    </row>
    <row r="144" spans="1:24" ht="15.95" customHeight="1">
      <c r="A144" s="1059"/>
      <c r="B144" s="1509"/>
      <c r="C144" s="196">
        <v>1.7749999999999999</v>
      </c>
      <c r="D144" s="1056" t="s">
        <v>6807</v>
      </c>
      <c r="E144" s="1" t="s">
        <v>6914</v>
      </c>
      <c r="F144" s="1"/>
      <c r="G144" s="1"/>
      <c r="H144" s="1"/>
      <c r="I144" s="1"/>
      <c r="J144" s="1"/>
      <c r="K144" s="1"/>
      <c r="L144" s="1"/>
      <c r="M144" s="1"/>
      <c r="N144" s="1"/>
      <c r="O144" s="1"/>
      <c r="P144" s="1"/>
      <c r="Q144" s="1"/>
      <c r="R144" s="1"/>
      <c r="S144" s="1"/>
      <c r="T144" s="1"/>
      <c r="U144" s="1"/>
      <c r="V144" s="1"/>
      <c r="W144" s="1"/>
      <c r="X144" s="1"/>
    </row>
    <row r="145" spans="1:24" ht="15.95" customHeight="1">
      <c r="A145" s="1"/>
      <c r="B145" s="1333" t="s">
        <v>38</v>
      </c>
      <c r="C145" s="1091">
        <v>7.1</v>
      </c>
      <c r="D145" s="1069" t="s">
        <v>6915</v>
      </c>
      <c r="E145" s="1333" t="s">
        <v>6916</v>
      </c>
      <c r="F145" s="1"/>
      <c r="G145" s="1"/>
      <c r="H145" s="1"/>
      <c r="I145" s="1333" t="s">
        <v>38</v>
      </c>
      <c r="J145" s="1333" t="s">
        <v>38</v>
      </c>
      <c r="K145" s="1333" t="s">
        <v>38</v>
      </c>
      <c r="L145" s="1333" t="s">
        <v>38</v>
      </c>
      <c r="M145" s="1333" t="s">
        <v>38</v>
      </c>
      <c r="N145" s="1333" t="s">
        <v>38</v>
      </c>
      <c r="O145" s="1333" t="s">
        <v>38</v>
      </c>
      <c r="P145" s="1333" t="s">
        <v>38</v>
      </c>
      <c r="Q145" s="1333" t="s">
        <v>38</v>
      </c>
      <c r="R145" s="1333" t="s">
        <v>38</v>
      </c>
      <c r="S145" s="1"/>
      <c r="T145" s="1"/>
      <c r="U145" s="1"/>
      <c r="V145" s="1"/>
      <c r="W145" s="1"/>
      <c r="X145" s="1"/>
    </row>
    <row r="146" spans="1:24" ht="15.95" customHeight="1">
      <c r="A146" s="1"/>
      <c r="B146" s="1"/>
      <c r="C146" s="196"/>
      <c r="D146" s="1070"/>
      <c r="E146" s="1"/>
      <c r="F146" s="1332"/>
      <c r="G146" s="1332"/>
      <c r="H146" s="1332"/>
      <c r="I146" s="1"/>
      <c r="J146" s="1"/>
      <c r="K146" s="1"/>
      <c r="L146" s="1"/>
      <c r="M146" s="1"/>
      <c r="N146" s="1"/>
      <c r="O146" s="1"/>
      <c r="P146" s="1"/>
      <c r="Q146" s="1"/>
      <c r="R146" s="1"/>
      <c r="S146" s="1"/>
      <c r="T146" s="1"/>
      <c r="U146" s="1"/>
      <c r="V146" s="1"/>
      <c r="W146" s="1"/>
      <c r="X146" s="1"/>
    </row>
    <row r="147" spans="1:24" ht="15.95" customHeight="1">
      <c r="A147" s="1"/>
      <c r="B147" s="1"/>
      <c r="C147" s="196"/>
      <c r="D147" s="1070"/>
      <c r="E147" s="1"/>
      <c r="F147" s="1"/>
      <c r="G147" s="1"/>
      <c r="H147" s="1"/>
      <c r="I147" s="1"/>
      <c r="J147" s="1"/>
      <c r="K147" s="1"/>
      <c r="L147" s="1"/>
      <c r="M147" s="1"/>
      <c r="N147" s="1"/>
      <c r="O147" s="1"/>
      <c r="P147" s="1"/>
      <c r="Q147" s="1"/>
      <c r="R147" s="1"/>
      <c r="S147" s="1"/>
      <c r="T147" s="1"/>
      <c r="U147" s="1"/>
      <c r="V147" s="1"/>
      <c r="W147" s="1"/>
      <c r="X147" s="1"/>
    </row>
    <row r="148" spans="1:24" ht="15.95" customHeight="1">
      <c r="A148" s="1"/>
      <c r="B148" s="1071" t="s">
        <v>6917</v>
      </c>
      <c r="C148" s="1092"/>
      <c r="D148" s="1071"/>
      <c r="E148" s="1"/>
      <c r="F148" s="1"/>
      <c r="G148" s="1"/>
      <c r="H148" s="1"/>
      <c r="I148" s="1"/>
      <c r="J148" s="1"/>
      <c r="K148" s="1"/>
      <c r="L148" s="1"/>
      <c r="M148" s="1"/>
      <c r="N148" s="1"/>
      <c r="O148" s="1"/>
      <c r="P148" s="1"/>
      <c r="Q148" s="1"/>
      <c r="R148" s="1"/>
      <c r="S148" s="1"/>
      <c r="T148" s="1"/>
      <c r="U148" s="1"/>
      <c r="V148" s="1"/>
      <c r="W148" s="1"/>
      <c r="X148" s="1"/>
    </row>
    <row r="149" spans="1:24" ht="15.95" customHeight="1">
      <c r="A149" s="1"/>
      <c r="B149" s="1"/>
      <c r="C149" s="196"/>
      <c r="D149" s="1"/>
      <c r="E149" s="1"/>
      <c r="F149" s="1"/>
      <c r="G149" s="1"/>
      <c r="H149" s="1"/>
      <c r="I149" s="1"/>
      <c r="J149" s="1"/>
      <c r="K149" s="1"/>
      <c r="L149" s="1"/>
      <c r="M149" s="1"/>
      <c r="N149" s="1"/>
      <c r="O149" s="1"/>
      <c r="P149" s="1"/>
      <c r="Q149" s="1"/>
      <c r="R149" s="1"/>
      <c r="S149" s="1"/>
      <c r="T149" s="1"/>
      <c r="U149" s="1"/>
      <c r="V149" s="1"/>
      <c r="W149" s="1"/>
      <c r="X149" s="1"/>
    </row>
    <row r="150" spans="1:24" ht="15.95" customHeight="1">
      <c r="A150" s="1"/>
      <c r="B150" s="1510" t="s">
        <v>6918</v>
      </c>
      <c r="C150" s="1512">
        <v>76.25</v>
      </c>
      <c r="D150" s="1515" t="s">
        <v>6919</v>
      </c>
      <c r="E150" s="1515"/>
      <c r="F150" s="1515"/>
      <c r="G150" s="1515"/>
      <c r="H150" s="1332" t="s">
        <v>38</v>
      </c>
      <c r="I150" s="1332" t="s">
        <v>38</v>
      </c>
      <c r="J150" s="1332" t="s">
        <v>38</v>
      </c>
      <c r="K150" s="1332" t="s">
        <v>38</v>
      </c>
      <c r="L150" s="1332" t="s">
        <v>38</v>
      </c>
      <c r="M150" s="1332" t="s">
        <v>38</v>
      </c>
      <c r="N150" s="1332" t="s">
        <v>38</v>
      </c>
      <c r="O150" s="1332" t="s">
        <v>38</v>
      </c>
      <c r="P150" s="1332" t="s">
        <v>38</v>
      </c>
      <c r="Q150" s="1332" t="s">
        <v>38</v>
      </c>
      <c r="R150" s="1332" t="s">
        <v>38</v>
      </c>
      <c r="S150" s="1"/>
      <c r="T150" s="1"/>
      <c r="U150" s="1"/>
      <c r="V150" s="1"/>
      <c r="W150" s="1"/>
      <c r="X150" s="1"/>
    </row>
    <row r="151" spans="1:24" ht="15.95" customHeight="1">
      <c r="A151" s="1"/>
      <c r="B151" s="1511"/>
      <c r="C151" s="1513"/>
      <c r="D151" s="1516"/>
      <c r="E151" s="1516"/>
      <c r="F151" s="1516"/>
      <c r="G151" s="1516"/>
      <c r="H151" s="1333" t="s">
        <v>38</v>
      </c>
      <c r="I151" s="1333" t="s">
        <v>38</v>
      </c>
      <c r="J151" s="1333" t="s">
        <v>38</v>
      </c>
      <c r="K151" s="1333" t="s">
        <v>38</v>
      </c>
      <c r="L151" s="1333" t="s">
        <v>38</v>
      </c>
      <c r="M151" s="1333" t="s">
        <v>38</v>
      </c>
      <c r="N151" s="1333" t="s">
        <v>38</v>
      </c>
      <c r="O151" s="1333" t="s">
        <v>38</v>
      </c>
      <c r="P151" s="1333" t="s">
        <v>38</v>
      </c>
      <c r="Q151" s="1333" t="s">
        <v>38</v>
      </c>
      <c r="R151" s="1333" t="s">
        <v>38</v>
      </c>
      <c r="S151" s="1"/>
      <c r="T151" s="1"/>
      <c r="U151" s="1"/>
      <c r="V151" s="1"/>
      <c r="W151" s="1"/>
      <c r="X151" s="1"/>
    </row>
    <row r="152" spans="1:24" ht="15.95" customHeight="1">
      <c r="A152" s="1"/>
      <c r="B152" s="1"/>
      <c r="C152" s="196"/>
      <c r="D152" s="1"/>
      <c r="E152" s="1"/>
      <c r="F152" s="1"/>
      <c r="G152" s="1"/>
      <c r="H152" s="1"/>
      <c r="I152" s="1"/>
      <c r="J152" s="1"/>
      <c r="K152" s="1"/>
      <c r="L152" s="1"/>
      <c r="M152" s="1"/>
      <c r="N152" s="1"/>
      <c r="O152" s="1"/>
      <c r="P152" s="1"/>
      <c r="Q152" s="1"/>
      <c r="R152" s="1"/>
      <c r="S152" s="1"/>
      <c r="T152" s="1"/>
      <c r="U152" s="1"/>
      <c r="V152" s="1"/>
      <c r="W152" s="1"/>
      <c r="X152" s="1"/>
    </row>
    <row r="153" spans="1:24" ht="15.95" customHeight="1">
      <c r="A153" s="1"/>
      <c r="B153" s="1"/>
      <c r="C153" s="196"/>
      <c r="D153" s="1"/>
      <c r="E153" s="1"/>
      <c r="F153" s="1"/>
      <c r="G153" s="1"/>
      <c r="H153" s="1"/>
      <c r="I153" s="1"/>
      <c r="J153" s="1"/>
      <c r="K153" s="1"/>
      <c r="L153" s="1"/>
      <c r="M153" s="1"/>
      <c r="N153" s="1"/>
      <c r="O153" s="1"/>
      <c r="P153" s="1"/>
      <c r="Q153" s="1"/>
      <c r="R153" s="1"/>
      <c r="S153" s="1"/>
      <c r="T153" s="1"/>
      <c r="U153" s="1"/>
      <c r="V153" s="1"/>
      <c r="W153" s="1"/>
      <c r="X153" s="1"/>
    </row>
    <row r="154" spans="1:24" ht="15.95" customHeight="1">
      <c r="A154" s="1"/>
      <c r="B154" s="1072" t="s">
        <v>6920</v>
      </c>
      <c r="C154" s="1096"/>
      <c r="D154" s="1073" t="s">
        <v>38</v>
      </c>
      <c r="E154" s="1074" t="s">
        <v>38</v>
      </c>
      <c r="F154" s="1"/>
      <c r="G154" s="1"/>
      <c r="H154" s="1"/>
      <c r="I154" s="1"/>
      <c r="J154" s="1"/>
      <c r="K154" s="1"/>
      <c r="L154" s="1"/>
      <c r="M154" s="1"/>
      <c r="N154" s="1"/>
      <c r="O154" s="1"/>
      <c r="P154" s="1"/>
      <c r="Q154" s="1"/>
      <c r="R154" s="1"/>
      <c r="S154" s="1"/>
      <c r="T154" s="1"/>
      <c r="U154" s="1"/>
      <c r="V154" s="1"/>
      <c r="W154" s="1"/>
      <c r="X154" s="1"/>
    </row>
    <row r="155" spans="1:24" ht="15.95" customHeight="1">
      <c r="A155" s="1"/>
      <c r="B155" s="1075" t="s">
        <v>38</v>
      </c>
      <c r="C155" s="196"/>
      <c r="D155" s="1"/>
      <c r="E155" s="1076" t="s">
        <v>38</v>
      </c>
      <c r="F155" s="1"/>
      <c r="G155" s="1"/>
      <c r="H155" s="1"/>
      <c r="I155" s="1"/>
      <c r="J155" s="1"/>
      <c r="K155" s="1"/>
      <c r="L155" s="1"/>
      <c r="M155" s="1"/>
      <c r="N155" s="1"/>
      <c r="O155" s="1"/>
      <c r="P155" s="1"/>
      <c r="Q155" s="1"/>
      <c r="R155" s="1"/>
      <c r="S155" s="1"/>
      <c r="T155" s="1"/>
      <c r="U155" s="1"/>
      <c r="V155" s="1"/>
      <c r="W155" s="1"/>
      <c r="X155" s="1"/>
    </row>
    <row r="156" spans="1:24" ht="15.95" customHeight="1">
      <c r="A156" s="1"/>
      <c r="B156" s="1075" t="s">
        <v>6921</v>
      </c>
      <c r="C156" s="196"/>
      <c r="D156" s="1"/>
      <c r="E156" s="1076" t="s">
        <v>38</v>
      </c>
      <c r="F156" s="1"/>
      <c r="G156" s="1"/>
      <c r="H156" s="1"/>
      <c r="I156" s="1"/>
      <c r="J156" s="1"/>
      <c r="K156" s="1"/>
      <c r="L156" s="1"/>
      <c r="M156" s="1"/>
      <c r="N156" s="1"/>
      <c r="O156" s="1"/>
      <c r="P156" s="1"/>
      <c r="Q156" s="1"/>
      <c r="R156" s="1"/>
      <c r="S156" s="1"/>
      <c r="T156" s="1"/>
      <c r="U156" s="1"/>
      <c r="V156" s="1"/>
      <c r="W156" s="1"/>
      <c r="X156" s="1"/>
    </row>
    <row r="157" spans="1:24" ht="15.95" customHeight="1">
      <c r="A157" s="1"/>
      <c r="B157" s="1077" t="s">
        <v>6922</v>
      </c>
      <c r="C157" s="196"/>
      <c r="D157" s="1"/>
      <c r="E157" s="1076"/>
      <c r="F157" s="1"/>
      <c r="G157" s="1"/>
      <c r="H157" s="1"/>
      <c r="I157" s="1"/>
      <c r="J157" s="1"/>
      <c r="K157" s="1"/>
      <c r="L157" s="1"/>
      <c r="M157" s="1"/>
      <c r="N157" s="1"/>
      <c r="O157" s="1"/>
      <c r="P157" s="1"/>
      <c r="Q157" s="1"/>
      <c r="R157" s="1"/>
      <c r="S157" s="1"/>
      <c r="T157" s="1"/>
      <c r="U157" s="1"/>
      <c r="V157" s="1"/>
      <c r="W157" s="1"/>
      <c r="X157" s="1"/>
    </row>
    <row r="158" spans="1:24" ht="15.95" customHeight="1">
      <c r="A158" s="1"/>
      <c r="B158" s="1078" t="s">
        <v>6923</v>
      </c>
      <c r="C158" s="1097"/>
      <c r="D158" s="1098"/>
      <c r="E158" s="1099"/>
      <c r="F158" s="1"/>
      <c r="G158" s="1"/>
      <c r="H158" s="1"/>
      <c r="I158" s="1"/>
      <c r="J158" s="1"/>
      <c r="K158" s="1"/>
      <c r="L158" s="1"/>
      <c r="M158" s="1"/>
      <c r="N158" s="1"/>
      <c r="O158" s="1"/>
      <c r="P158" s="1"/>
      <c r="Q158" s="1"/>
      <c r="R158" s="1"/>
      <c r="S158" s="1"/>
      <c r="T158" s="1"/>
      <c r="U158" s="1"/>
      <c r="V158" s="1"/>
      <c r="W158" s="1"/>
      <c r="X158" s="1"/>
    </row>
    <row r="159" spans="1:24" ht="15.95" customHeight="1">
      <c r="A159" s="1"/>
      <c r="B159" s="1"/>
      <c r="C159" s="196"/>
      <c r="D159" s="1"/>
      <c r="E159" s="1"/>
      <c r="F159" s="1"/>
      <c r="G159" s="1"/>
      <c r="H159" s="1"/>
      <c r="I159" s="1"/>
      <c r="J159" s="1"/>
      <c r="K159" s="1"/>
      <c r="L159" s="1"/>
      <c r="M159" s="1"/>
      <c r="N159" s="1"/>
      <c r="O159" s="1"/>
      <c r="P159" s="1"/>
      <c r="Q159" s="1"/>
      <c r="R159" s="1"/>
      <c r="S159" s="1"/>
      <c r="T159" s="1"/>
      <c r="U159" s="1"/>
      <c r="V159" s="1"/>
      <c r="W159" s="1"/>
      <c r="X159" s="1"/>
    </row>
    <row r="160" spans="1:24" ht="15.95" customHeight="1">
      <c r="A160" s="1"/>
      <c r="B160" s="1"/>
      <c r="C160" s="196"/>
      <c r="D160" s="1"/>
      <c r="E160" s="1"/>
      <c r="F160" s="1"/>
      <c r="G160" s="1"/>
      <c r="H160" s="1"/>
      <c r="I160" s="1"/>
      <c r="J160" s="1"/>
      <c r="K160" s="1"/>
      <c r="L160" s="1"/>
      <c r="M160" s="1"/>
      <c r="N160" s="1"/>
      <c r="O160" s="1"/>
      <c r="P160" s="1"/>
      <c r="Q160" s="1"/>
      <c r="R160" s="1"/>
      <c r="S160" s="1"/>
      <c r="T160" s="1"/>
      <c r="U160" s="1"/>
      <c r="V160" s="1"/>
      <c r="W160" s="1"/>
      <c r="X160" s="1"/>
    </row>
    <row r="161" spans="1:24" ht="15.95" customHeight="1">
      <c r="A161" s="1"/>
      <c r="B161" s="1079" t="s">
        <v>6924</v>
      </c>
      <c r="C161" s="1093" t="s">
        <v>38</v>
      </c>
      <c r="D161" s="1073" t="s">
        <v>38</v>
      </c>
      <c r="E161" s="1074" t="s">
        <v>38</v>
      </c>
      <c r="F161" s="1"/>
      <c r="G161" s="1"/>
      <c r="H161" s="1"/>
      <c r="I161" s="1"/>
      <c r="J161" s="1"/>
      <c r="K161" s="1"/>
      <c r="L161" s="1"/>
      <c r="M161" s="1"/>
      <c r="N161" s="1"/>
      <c r="O161" s="1"/>
      <c r="P161" s="1"/>
      <c r="Q161" s="1"/>
      <c r="R161" s="1"/>
      <c r="S161" s="1"/>
      <c r="T161" s="1"/>
      <c r="U161" s="1"/>
      <c r="V161" s="1"/>
      <c r="W161" s="1"/>
      <c r="X161" s="1"/>
    </row>
    <row r="162" spans="1:24" ht="15.95" customHeight="1">
      <c r="A162" s="1"/>
      <c r="B162" s="1075" t="s">
        <v>38</v>
      </c>
      <c r="C162" s="196"/>
      <c r="D162" s="1"/>
      <c r="E162" s="1076" t="s">
        <v>38</v>
      </c>
      <c r="F162" s="1"/>
      <c r="G162" s="1"/>
      <c r="H162" s="1"/>
      <c r="I162" s="1"/>
      <c r="J162" s="1"/>
      <c r="K162" s="1"/>
      <c r="L162" s="1"/>
      <c r="M162" s="1"/>
      <c r="N162" s="1"/>
      <c r="O162" s="1"/>
      <c r="P162" s="1"/>
      <c r="Q162" s="1"/>
      <c r="R162" s="1"/>
      <c r="S162" s="1"/>
      <c r="T162" s="1"/>
      <c r="U162" s="1"/>
      <c r="V162" s="1"/>
      <c r="W162" s="1"/>
      <c r="X162" s="1"/>
    </row>
    <row r="163" spans="1:24" ht="15.95" customHeight="1">
      <c r="A163" s="1"/>
      <c r="B163" s="1075" t="s">
        <v>6925</v>
      </c>
      <c r="C163" s="196"/>
      <c r="D163" s="1"/>
      <c r="E163" s="1076" t="s">
        <v>38</v>
      </c>
      <c r="F163" s="1"/>
      <c r="G163" s="1"/>
      <c r="H163" s="1"/>
      <c r="I163" s="1"/>
      <c r="J163" s="1"/>
      <c r="K163" s="1"/>
      <c r="L163" s="1"/>
      <c r="M163" s="1"/>
      <c r="N163" s="1"/>
      <c r="O163" s="1"/>
      <c r="P163" s="1"/>
      <c r="Q163" s="1"/>
      <c r="R163" s="1"/>
      <c r="S163" s="1"/>
      <c r="T163" s="1"/>
      <c r="U163" s="1"/>
      <c r="V163" s="1"/>
      <c r="W163" s="1"/>
      <c r="X163" s="1"/>
    </row>
    <row r="164" spans="1:24" ht="15.95" customHeight="1">
      <c r="A164" s="1"/>
      <c r="B164" s="1075" t="s">
        <v>38</v>
      </c>
      <c r="C164" s="196"/>
      <c r="D164" s="1"/>
      <c r="E164" s="1076" t="s">
        <v>38</v>
      </c>
      <c r="F164" s="1"/>
      <c r="G164" s="1"/>
      <c r="H164" s="1"/>
      <c r="I164" s="1"/>
      <c r="J164" s="1"/>
      <c r="K164" s="1"/>
      <c r="L164" s="1"/>
      <c r="M164" s="1"/>
      <c r="N164" s="1"/>
      <c r="O164" s="1"/>
      <c r="P164" s="1"/>
      <c r="Q164" s="1"/>
      <c r="R164" s="1"/>
      <c r="S164" s="1"/>
      <c r="T164" s="1"/>
      <c r="U164" s="1"/>
      <c r="V164" s="1"/>
      <c r="W164" s="1"/>
      <c r="X164" s="1"/>
    </row>
    <row r="165" spans="1:24" ht="15.95" customHeight="1">
      <c r="A165" s="1"/>
      <c r="B165" s="1080" t="s">
        <v>6926</v>
      </c>
      <c r="C165" s="1094"/>
      <c r="D165" s="1061"/>
      <c r="E165" s="1076" t="s">
        <v>38</v>
      </c>
      <c r="F165" s="1"/>
      <c r="G165" s="1"/>
      <c r="H165" s="1"/>
      <c r="I165" s="1"/>
      <c r="J165" s="1"/>
      <c r="K165" s="1"/>
      <c r="L165" s="1"/>
      <c r="M165" s="1"/>
      <c r="N165" s="1"/>
      <c r="O165" s="1"/>
      <c r="P165" s="1"/>
      <c r="Q165" s="1"/>
      <c r="R165" s="1"/>
      <c r="S165" s="1"/>
      <c r="T165" s="1"/>
      <c r="U165" s="1"/>
      <c r="V165" s="1"/>
      <c r="W165" s="1"/>
      <c r="X165" s="1"/>
    </row>
    <row r="166" spans="1:24" ht="15.95" customHeight="1">
      <c r="A166" s="1"/>
      <c r="B166" s="1077" t="s">
        <v>6927</v>
      </c>
      <c r="C166" s="196"/>
      <c r="D166" s="1"/>
      <c r="E166" s="1076"/>
      <c r="F166" s="1"/>
      <c r="G166" s="1"/>
      <c r="H166" s="1"/>
      <c r="I166" s="1"/>
      <c r="J166" s="1"/>
      <c r="K166" s="1"/>
      <c r="L166" s="1"/>
      <c r="M166" s="1"/>
      <c r="N166" s="1"/>
      <c r="O166" s="1"/>
      <c r="P166" s="1"/>
      <c r="Q166" s="1"/>
      <c r="R166" s="1"/>
      <c r="S166" s="1"/>
      <c r="T166" s="1"/>
      <c r="U166" s="1"/>
      <c r="V166" s="1"/>
      <c r="W166" s="1"/>
      <c r="X166" s="1"/>
    </row>
    <row r="167" spans="1:24" ht="15.95" customHeight="1">
      <c r="A167" s="1"/>
      <c r="B167" s="1075" t="s">
        <v>6928</v>
      </c>
      <c r="C167" s="196"/>
      <c r="D167" s="1"/>
      <c r="E167" s="1076" t="s">
        <v>38</v>
      </c>
      <c r="F167" s="1"/>
      <c r="G167" s="1"/>
      <c r="H167" s="1"/>
      <c r="I167" s="1"/>
      <c r="J167" s="1"/>
      <c r="K167" s="1"/>
      <c r="L167" s="1"/>
      <c r="M167" s="1"/>
      <c r="N167" s="1"/>
      <c r="O167" s="1"/>
      <c r="P167" s="1"/>
      <c r="Q167" s="1"/>
      <c r="R167" s="1"/>
      <c r="S167" s="1"/>
      <c r="T167" s="1"/>
      <c r="U167" s="1"/>
      <c r="V167" s="1"/>
      <c r="W167" s="1"/>
      <c r="X167" s="1"/>
    </row>
    <row r="168" spans="1:24" ht="15.95" customHeight="1">
      <c r="A168" s="1"/>
      <c r="B168" s="1075" t="s">
        <v>38</v>
      </c>
      <c r="C168" s="196"/>
      <c r="D168" s="1"/>
      <c r="E168" s="1076" t="s">
        <v>38</v>
      </c>
      <c r="F168" s="1"/>
      <c r="G168" s="1"/>
      <c r="H168" s="1"/>
      <c r="I168" s="1"/>
      <c r="J168" s="1"/>
      <c r="K168" s="1"/>
      <c r="L168" s="1"/>
      <c r="M168" s="1"/>
      <c r="N168" s="1"/>
      <c r="O168" s="1"/>
      <c r="P168" s="1"/>
      <c r="Q168" s="1"/>
      <c r="R168" s="1"/>
      <c r="S168" s="1"/>
      <c r="T168" s="1"/>
      <c r="U168" s="1"/>
      <c r="V168" s="1"/>
      <c r="W168" s="1"/>
      <c r="X168" s="1"/>
    </row>
    <row r="169" spans="1:24" ht="15.95" customHeight="1">
      <c r="A169" s="1"/>
      <c r="B169" s="1081" t="s">
        <v>6929</v>
      </c>
      <c r="C169" s="196"/>
      <c r="D169" s="1"/>
      <c r="E169" s="1076" t="s">
        <v>38</v>
      </c>
      <c r="F169" s="1"/>
      <c r="G169" s="1"/>
      <c r="H169" s="1"/>
      <c r="I169" s="1"/>
      <c r="J169" s="1"/>
      <c r="K169" s="1"/>
      <c r="L169" s="1"/>
      <c r="M169" s="1"/>
      <c r="N169" s="1"/>
      <c r="O169" s="1"/>
      <c r="P169" s="1"/>
      <c r="Q169" s="1"/>
      <c r="R169" s="1"/>
      <c r="S169" s="1"/>
      <c r="T169" s="1"/>
      <c r="U169" s="1"/>
      <c r="V169" s="1"/>
      <c r="W169" s="1"/>
      <c r="X169" s="1"/>
    </row>
    <row r="170" spans="1:24" ht="15.95" customHeight="1">
      <c r="A170" s="1"/>
      <c r="B170" s="1075" t="s">
        <v>6930</v>
      </c>
      <c r="C170" s="196"/>
      <c r="D170" s="1"/>
      <c r="E170" s="1076" t="s">
        <v>38</v>
      </c>
      <c r="F170" s="1"/>
      <c r="G170" s="1"/>
      <c r="H170" s="1"/>
      <c r="I170" s="1"/>
      <c r="J170" s="1"/>
      <c r="K170" s="1"/>
      <c r="L170" s="1"/>
      <c r="M170" s="1"/>
      <c r="N170" s="1"/>
      <c r="O170" s="1"/>
      <c r="P170" s="1"/>
      <c r="Q170" s="1"/>
      <c r="R170" s="1"/>
      <c r="S170" s="1"/>
      <c r="T170" s="1"/>
      <c r="U170" s="1"/>
      <c r="V170" s="1"/>
      <c r="W170" s="1"/>
      <c r="X170" s="1"/>
    </row>
    <row r="171" spans="1:24" ht="15.95" customHeight="1">
      <c r="A171" s="1"/>
      <c r="B171" s="1075" t="s">
        <v>6931</v>
      </c>
      <c r="C171" s="196"/>
      <c r="D171" s="1"/>
      <c r="E171" s="1076" t="s">
        <v>38</v>
      </c>
      <c r="F171" s="1"/>
      <c r="G171" s="1"/>
      <c r="H171" s="1"/>
      <c r="I171" s="1"/>
      <c r="J171" s="1"/>
      <c r="K171" s="1"/>
      <c r="L171" s="1"/>
      <c r="M171" s="1"/>
      <c r="N171" s="1"/>
      <c r="O171" s="1"/>
      <c r="P171" s="1"/>
      <c r="Q171" s="1"/>
      <c r="R171" s="1"/>
      <c r="S171" s="1"/>
      <c r="T171" s="1"/>
      <c r="U171" s="1"/>
      <c r="V171" s="1"/>
      <c r="W171" s="1"/>
      <c r="X171" s="1"/>
    </row>
    <row r="172" spans="1:24" ht="15.95" customHeight="1">
      <c r="A172" s="1"/>
      <c r="B172" s="1078" t="s">
        <v>6932</v>
      </c>
      <c r="C172" s="1097"/>
      <c r="D172" s="1098"/>
      <c r="E172" s="1099"/>
      <c r="F172" s="1"/>
      <c r="G172" s="1"/>
      <c r="H172" s="1"/>
      <c r="I172" s="1"/>
      <c r="J172" s="1"/>
      <c r="K172" s="1"/>
      <c r="L172" s="1"/>
      <c r="M172" s="1"/>
      <c r="N172" s="1"/>
      <c r="O172" s="1"/>
      <c r="P172" s="1"/>
      <c r="Q172" s="1"/>
      <c r="R172" s="1"/>
      <c r="S172" s="1"/>
      <c r="T172" s="1"/>
      <c r="U172" s="1"/>
      <c r="V172" s="1"/>
      <c r="W172" s="1"/>
      <c r="X172" s="1"/>
    </row>
    <row r="173" spans="1:24" ht="15.95" customHeight="1">
      <c r="A173" s="1"/>
      <c r="B173" s="1"/>
      <c r="C173" s="196"/>
      <c r="D173" s="1"/>
      <c r="E173" s="1"/>
      <c r="F173" s="1"/>
      <c r="G173" s="1"/>
      <c r="H173" s="1"/>
      <c r="I173" s="1"/>
      <c r="J173" s="1"/>
      <c r="K173" s="1"/>
      <c r="L173" s="1"/>
      <c r="M173" s="1"/>
      <c r="N173" s="1"/>
      <c r="O173" s="1"/>
      <c r="P173" s="1"/>
      <c r="Q173" s="1"/>
      <c r="R173" s="1"/>
      <c r="S173" s="1"/>
      <c r="T173" s="1"/>
      <c r="U173" s="1"/>
      <c r="V173" s="1"/>
      <c r="W173" s="1"/>
      <c r="X173" s="1"/>
    </row>
  </sheetData>
  <mergeCells count="5">
    <mergeCell ref="B4:E8"/>
    <mergeCell ref="B143:B144"/>
    <mergeCell ref="B150:B151"/>
    <mergeCell ref="C150:C151"/>
    <mergeCell ref="D150:G151"/>
  </mergeCells>
  <hyperlinks>
    <hyperlink ref="C11" r:id="rId1" xr:uid="{A268E385-D729-4F2F-BBCE-2D5C472DD814}"/>
    <hyperlink ref="C44" r:id="rId2" xr:uid="{B26F34B4-ADD1-4D8D-AA3E-21C5A71EFFA3}"/>
    <hyperlink ref="C81" r:id="rId3" xr:uid="{85AB143E-14EA-4237-8B7E-C890B584BC84}"/>
    <hyperlink ref="C101" r:id="rId4" xr:uid="{DD624550-AFB3-4E27-ADA3-9967D5A286D0}"/>
  </hyperlinks>
  <pageMargins left="0.7" right="0.7" top="0.78740157499999996" bottom="0.78740157499999996"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sheetPr>
  <dimension ref="A1:W60"/>
  <sheetViews>
    <sheetView showGridLines="0" zoomScaleNormal="100" workbookViewId="0"/>
  </sheetViews>
  <sheetFormatPr defaultColWidth="8.625" defaultRowHeight="15.95" customHeight="1"/>
  <cols>
    <col min="1" max="1" width="8.625" style="2" customWidth="1"/>
    <col min="2" max="2" width="37.625" style="24" customWidth="1"/>
    <col min="3" max="3" width="19" style="170" customWidth="1"/>
    <col min="4" max="4" width="13.625" style="170" customWidth="1"/>
    <col min="5" max="5" width="19" style="170" customWidth="1"/>
    <col min="6" max="6" width="8.625" style="24" customWidth="1"/>
    <col min="7" max="16384" width="8.625" style="24"/>
  </cols>
  <sheetData>
    <row r="1" spans="1:23" s="35" customFormat="1" ht="15.95" customHeight="1">
      <c r="B1" s="24"/>
      <c r="C1" s="170"/>
      <c r="D1" s="170"/>
      <c r="E1" s="170"/>
    </row>
    <row r="2" spans="1:23" ht="24.75" customHeight="1">
      <c r="A2" s="35"/>
      <c r="B2" s="464" t="s">
        <v>4546</v>
      </c>
    </row>
    <row r="4" spans="1:23" ht="15.95" customHeight="1">
      <c r="B4" s="1437" t="s">
        <v>4547</v>
      </c>
      <c r="C4" s="1437"/>
      <c r="D4" s="1437"/>
      <c r="E4" s="1437"/>
      <c r="F4" s="1437"/>
      <c r="G4" s="1437"/>
      <c r="H4" s="1437"/>
      <c r="I4" s="1437"/>
      <c r="J4" s="393"/>
      <c r="K4" s="393"/>
      <c r="L4" s="393"/>
      <c r="M4" s="393"/>
      <c r="N4" s="393"/>
      <c r="O4" s="393"/>
      <c r="P4" s="393"/>
      <c r="Q4" s="393"/>
      <c r="R4" s="393"/>
      <c r="S4" s="393"/>
      <c r="T4" s="393"/>
      <c r="U4" s="393"/>
      <c r="V4" s="393"/>
      <c r="W4" s="393"/>
    </row>
    <row r="5" spans="1:23" ht="15.95" customHeight="1">
      <c r="B5" s="1437"/>
      <c r="C5" s="1437"/>
      <c r="D5" s="1437"/>
      <c r="E5" s="1437"/>
      <c r="F5" s="1437"/>
      <c r="G5" s="1437"/>
      <c r="H5" s="1437"/>
      <c r="I5" s="1437"/>
      <c r="J5" s="393"/>
      <c r="K5" s="393"/>
      <c r="L5" s="393"/>
      <c r="M5" s="393"/>
      <c r="N5" s="393"/>
      <c r="O5" s="393"/>
      <c r="P5" s="393"/>
      <c r="Q5" s="393"/>
      <c r="R5" s="393"/>
      <c r="S5" s="393"/>
      <c r="T5" s="393"/>
      <c r="U5" s="393"/>
      <c r="V5" s="393"/>
      <c r="W5" s="393"/>
    </row>
    <row r="6" spans="1:23" ht="15.95" customHeight="1">
      <c r="B6" s="1437"/>
      <c r="C6" s="1437"/>
      <c r="D6" s="1437"/>
      <c r="E6" s="1437"/>
      <c r="F6" s="1437"/>
      <c r="G6" s="1437"/>
      <c r="H6" s="1437"/>
      <c r="I6" s="1437"/>
      <c r="J6" s="393"/>
      <c r="K6" s="393"/>
      <c r="L6" s="393"/>
      <c r="M6" s="393"/>
      <c r="N6" s="393"/>
      <c r="O6" s="393"/>
      <c r="P6" s="393"/>
      <c r="Q6" s="393"/>
      <c r="R6" s="393"/>
      <c r="S6" s="393"/>
      <c r="T6" s="393"/>
      <c r="U6" s="393"/>
      <c r="V6" s="393"/>
      <c r="W6" s="393"/>
    </row>
    <row r="7" spans="1:23" ht="15.95" customHeight="1">
      <c r="B7" s="1437"/>
      <c r="C7" s="1437"/>
      <c r="D7" s="1437"/>
      <c r="E7" s="1437"/>
      <c r="F7" s="1437"/>
      <c r="G7" s="1437"/>
      <c r="H7" s="1437"/>
      <c r="I7" s="1437"/>
      <c r="J7" s="393"/>
      <c r="K7" s="393"/>
      <c r="L7" s="393"/>
      <c r="M7" s="393"/>
      <c r="N7" s="393"/>
      <c r="O7" s="393"/>
      <c r="P7" s="393"/>
      <c r="Q7" s="393"/>
      <c r="R7" s="393"/>
      <c r="S7" s="393"/>
      <c r="T7" s="393"/>
      <c r="U7" s="393"/>
      <c r="V7" s="393"/>
      <c r="W7" s="393"/>
    </row>
    <row r="8" spans="1:23" ht="15.95" customHeight="1">
      <c r="B8" s="1437"/>
      <c r="C8" s="1437"/>
      <c r="D8" s="1437"/>
      <c r="E8" s="1437"/>
      <c r="F8" s="1437"/>
      <c r="G8" s="1437"/>
      <c r="H8" s="1437"/>
      <c r="I8" s="1437"/>
      <c r="J8" s="393"/>
      <c r="K8" s="393"/>
      <c r="L8" s="393"/>
      <c r="M8" s="393"/>
      <c r="N8" s="393"/>
      <c r="O8" s="393"/>
      <c r="P8" s="393"/>
      <c r="Q8" s="393"/>
      <c r="R8" s="393"/>
      <c r="S8" s="393"/>
      <c r="T8" s="393"/>
      <c r="U8" s="393"/>
      <c r="V8" s="393"/>
      <c r="W8" s="393"/>
    </row>
    <row r="9" spans="1:23" ht="15.95" customHeight="1">
      <c r="B9" s="1437"/>
      <c r="C9" s="1437"/>
      <c r="D9" s="1437"/>
      <c r="E9" s="1437"/>
      <c r="F9" s="1437"/>
      <c r="G9" s="1437"/>
      <c r="H9" s="1437"/>
      <c r="I9" s="1437"/>
      <c r="J9" s="393"/>
      <c r="K9" s="393"/>
      <c r="L9" s="393"/>
      <c r="M9" s="393"/>
      <c r="N9" s="393"/>
      <c r="O9" s="393"/>
    </row>
    <row r="11" spans="1:23" s="310" customFormat="1" ht="24.75" customHeight="1">
      <c r="A11" s="2"/>
      <c r="B11" s="396" t="s">
        <v>4512</v>
      </c>
      <c r="C11" s="397" t="s">
        <v>4548</v>
      </c>
      <c r="E11" s="366" t="s">
        <v>4549</v>
      </c>
    </row>
    <row r="12" spans="1:23" ht="15.95" customHeight="1">
      <c r="B12" s="2" t="s">
        <v>3649</v>
      </c>
      <c r="C12" s="171">
        <f>VLOOKUP(B12,'Data Transparency Index'!B:H,COLUMN('Data Transparency Index'!H14)-1,FALSE)</f>
        <v>5</v>
      </c>
      <c r="D12" s="171"/>
      <c r="E12" s="171"/>
    </row>
    <row r="13" spans="1:23" ht="15.95" customHeight="1">
      <c r="B13" s="24" t="s">
        <v>2139</v>
      </c>
      <c r="C13" s="171">
        <f>VLOOKUP(B13,'Data Transparency Index'!B:H,COLUMN('Data Transparency Index'!H18)-1,FALSE)</f>
        <v>4.8947368421052637</v>
      </c>
      <c r="D13" s="171"/>
      <c r="E13" s="171"/>
      <c r="F13" s="398"/>
      <c r="G13" s="398"/>
      <c r="H13" s="398"/>
      <c r="I13" s="398"/>
    </row>
    <row r="14" spans="1:23" ht="15.95" customHeight="1">
      <c r="B14" s="24" t="s">
        <v>1711</v>
      </c>
      <c r="C14" s="171">
        <f>VLOOKUP(B14,'Data Transparency Index'!B:H,COLUMN('Data Transparency Index'!H26)-1,FALSE)</f>
        <v>4.8892395982783361</v>
      </c>
      <c r="D14" s="171"/>
      <c r="E14" s="171"/>
    </row>
    <row r="15" spans="1:23" ht="15.95" customHeight="1">
      <c r="B15" s="37" t="s">
        <v>4406</v>
      </c>
      <c r="C15" s="171">
        <f>VLOOKUP(B15,'Data Transparency Index'!B:H,COLUMN('Data Transparency Index'!H27)-1,FALSE)</f>
        <v>4.875</v>
      </c>
      <c r="D15" s="171"/>
      <c r="E15" s="171"/>
      <c r="F15" s="398"/>
      <c r="G15" s="398"/>
      <c r="H15" s="398"/>
      <c r="I15" s="398"/>
    </row>
    <row r="16" spans="1:23" ht="15.95" customHeight="1">
      <c r="B16" s="24" t="s">
        <v>2693</v>
      </c>
      <c r="C16" s="171">
        <f>VLOOKUP(B16,'Data Transparency Index'!B:H,COLUMN('Data Transparency Index'!H20)-1,FALSE)</f>
        <v>4.7009803921568629</v>
      </c>
      <c r="D16" s="171"/>
      <c r="E16" s="171"/>
      <c r="F16" s="398"/>
      <c r="G16" s="398"/>
      <c r="H16" s="398"/>
      <c r="I16" s="398"/>
    </row>
    <row r="17" spans="2:9" ht="15.95" customHeight="1">
      <c r="B17" s="24" t="s">
        <v>1194</v>
      </c>
      <c r="C17" s="171">
        <f>VLOOKUP(B17,'Data Transparency Index'!B:H,COLUMN('Data Transparency Index'!H17)-1,FALSE)</f>
        <v>4.6319648093841641</v>
      </c>
      <c r="D17" s="171"/>
      <c r="E17" s="171"/>
      <c r="F17" s="398"/>
      <c r="G17" s="398"/>
      <c r="H17" s="398"/>
      <c r="I17" s="398"/>
    </row>
    <row r="18" spans="2:9" ht="15.95" customHeight="1">
      <c r="B18" s="24" t="s">
        <v>1432</v>
      </c>
      <c r="C18" s="171">
        <f>VLOOKUP(B18,'Data Transparency Index'!B:H,COLUMN('Data Transparency Index'!H18)-1,FALSE)</f>
        <v>4.6396396396396398</v>
      </c>
      <c r="D18" s="171"/>
      <c r="E18" s="171"/>
      <c r="F18" s="398"/>
      <c r="G18" s="398"/>
      <c r="H18" s="398"/>
      <c r="I18" s="398"/>
    </row>
    <row r="19" spans="2:9" ht="15.95" customHeight="1">
      <c r="B19" s="24" t="s">
        <v>3548</v>
      </c>
      <c r="C19" s="171">
        <f>VLOOKUP(B19,'Data Transparency Index'!B:H,COLUMN('Data Transparency Index'!H15)-1,FALSE)</f>
        <v>4.5555555555555554</v>
      </c>
      <c r="D19" s="171"/>
      <c r="E19" s="171"/>
    </row>
    <row r="20" spans="2:9" ht="15.95" customHeight="1">
      <c r="B20" s="2" t="s">
        <v>2832</v>
      </c>
      <c r="C20" s="171">
        <f>VLOOKUP(B20,'Data Transparency Index'!B:H,COLUMN('Data Transparency Index'!H21)-1,FALSE)</f>
        <v>4.4196428571428577</v>
      </c>
      <c r="D20" s="171"/>
      <c r="E20" s="171"/>
    </row>
    <row r="21" spans="2:9" ht="15.95" customHeight="1">
      <c r="B21" s="2" t="s">
        <v>2882</v>
      </c>
      <c r="C21" s="171">
        <f>VLOOKUP(B21,'Data Transparency Index'!B:H,COLUMN('Data Transparency Index'!H23)-1,FALSE)</f>
        <v>4.1782531194295904</v>
      </c>
      <c r="D21" s="171"/>
      <c r="E21" s="171"/>
    </row>
    <row r="22" spans="2:9" ht="15.95" customHeight="1">
      <c r="B22" s="24" t="s">
        <v>2625</v>
      </c>
      <c r="C22" s="171">
        <f>VLOOKUP(B22,'Data Transparency Index'!B:H,COLUMN('Data Transparency Index'!H44)-1,FALSE)</f>
        <v>3.935483870967742</v>
      </c>
      <c r="D22" s="171"/>
      <c r="E22" s="171"/>
    </row>
    <row r="23" spans="2:9" ht="15.95" customHeight="1">
      <c r="B23" s="24" t="s">
        <v>1305</v>
      </c>
      <c r="C23" s="171">
        <f>VLOOKUP(B23,'Data Transparency Index'!B:H,COLUMN('Data Transparency Index'!H28)-1,FALSE)</f>
        <v>3.8782493368700264</v>
      </c>
      <c r="D23" s="171"/>
      <c r="E23" s="171"/>
    </row>
    <row r="24" spans="2:9" ht="15.95" customHeight="1">
      <c r="B24" s="24" t="s">
        <v>2392</v>
      </c>
      <c r="C24" s="171">
        <f>VLOOKUP(B24,'Data Transparency Index'!B:H,COLUMN('Data Transparency Index'!H39)-1,FALSE)</f>
        <v>3.344771241830065</v>
      </c>
      <c r="D24" s="171"/>
      <c r="E24" s="171"/>
    </row>
    <row r="25" spans="2:9" ht="15.95" customHeight="1">
      <c r="B25" s="24" t="s">
        <v>3261</v>
      </c>
      <c r="C25" s="171">
        <f>VLOOKUP(B25,'Data Transparency Index'!B:H,COLUMN('Data Transparency Index'!H38)-1,FALSE)</f>
        <v>3.2910135841170325</v>
      </c>
      <c r="D25" s="171"/>
      <c r="E25" s="171"/>
    </row>
    <row r="26" spans="2:9" ht="15.95" customHeight="1">
      <c r="B26" s="24" t="s">
        <v>1523</v>
      </c>
      <c r="C26" s="171">
        <f>VLOOKUP(B26,'Data Transparency Index'!B:H,COLUMN('Data Transparency Index'!H45)-1,FALSE)</f>
        <v>3.1066252587991721</v>
      </c>
      <c r="D26" s="171"/>
      <c r="E26" s="171"/>
    </row>
    <row r="27" spans="2:9" ht="15.95" customHeight="1">
      <c r="B27" s="24" t="s">
        <v>3748</v>
      </c>
      <c r="C27" s="171">
        <f>VLOOKUP(B27,'Data Transparency Index'!B:H,COLUMN('Data Transparency Index'!H32)-1,FALSE)</f>
        <v>3.0141700404858298</v>
      </c>
      <c r="D27" s="171"/>
      <c r="E27" s="171"/>
    </row>
    <row r="28" spans="2:9" ht="15.95" customHeight="1">
      <c r="B28" s="24" t="s">
        <v>3713</v>
      </c>
      <c r="C28" s="171">
        <f>VLOOKUP(B28,'Data Transparency Index'!B:H,COLUMN('Data Transparency Index'!H42)-1,FALSE)</f>
        <v>3</v>
      </c>
      <c r="D28" s="171"/>
      <c r="E28" s="171"/>
    </row>
    <row r="29" spans="2:9" ht="15.95" customHeight="1">
      <c r="B29" s="24" t="s">
        <v>905</v>
      </c>
      <c r="C29" s="171">
        <f>VLOOKUP(B29,'Data Transparency Index'!B:H,COLUMN('Data Transparency Index'!H46)-1,FALSE)</f>
        <v>3</v>
      </c>
      <c r="D29" s="171"/>
      <c r="E29" s="171"/>
    </row>
    <row r="30" spans="2:9" ht="15.95" customHeight="1">
      <c r="B30" s="24" t="s">
        <v>3949</v>
      </c>
      <c r="C30" s="171">
        <f>VLOOKUP(B30,'Data Transparency Index'!B:H,COLUMN('Data Transparency Index'!H25)-1,FALSE)</f>
        <v>2.8188265635074146</v>
      </c>
      <c r="D30" s="171"/>
      <c r="E30" s="171"/>
    </row>
    <row r="31" spans="2:9" ht="15.95" customHeight="1">
      <c r="B31" s="24" t="s">
        <v>454</v>
      </c>
      <c r="C31" s="171">
        <f>VLOOKUP(B31,'Data Transparency Index'!B:H,COLUMN('Data Transparency Index'!H30)-1,FALSE)</f>
        <v>2.8020833333333335</v>
      </c>
      <c r="D31" s="171"/>
      <c r="E31" s="171"/>
    </row>
    <row r="32" spans="2:9" ht="15.95" customHeight="1">
      <c r="B32" s="24" t="s">
        <v>2312</v>
      </c>
      <c r="C32" s="171">
        <f>VLOOKUP(B32,'Data Transparency Index'!B:H,COLUMN('Data Transparency Index'!H31)-1,FALSE)</f>
        <v>2.8249336870026527</v>
      </c>
      <c r="D32" s="171"/>
      <c r="E32" s="171"/>
    </row>
    <row r="33" spans="2:5" ht="15.95" customHeight="1">
      <c r="B33" s="24" t="s">
        <v>713</v>
      </c>
      <c r="C33" s="171">
        <f>VLOOKUP(B33,'Data Transparency Index'!B:H,COLUMN('Data Transparency Index'!H19)-1,FALSE)</f>
        <v>2.7341417910447765</v>
      </c>
      <c r="D33" s="171"/>
      <c r="E33" s="171"/>
    </row>
    <row r="34" spans="2:5" ht="15.95" customHeight="1">
      <c r="B34" s="24" t="s">
        <v>1012</v>
      </c>
      <c r="C34" s="171">
        <f>VLOOKUP(B34,'Data Transparency Index'!B:H,COLUMN('Data Transparency Index'!H40)-1,FALSE)</f>
        <v>2.6231884057971016</v>
      </c>
      <c r="D34" s="171"/>
      <c r="E34" s="171"/>
    </row>
    <row r="35" spans="2:5" ht="15.95" customHeight="1">
      <c r="B35" s="24" t="s">
        <v>981</v>
      </c>
      <c r="C35" s="171">
        <f>VLOOKUP(B35,'Data Transparency Index'!B:H,COLUMN('Data Transparency Index'!H33)-1,FALSE)</f>
        <v>2.6</v>
      </c>
      <c r="D35" s="171"/>
      <c r="E35" s="171"/>
    </row>
    <row r="36" spans="2:5" ht="15.95" customHeight="1">
      <c r="B36" s="24" t="s">
        <v>673</v>
      </c>
      <c r="C36" s="171">
        <f>VLOOKUP(B36,'Data Transparency Index'!B:H,COLUMN('Data Transparency Index'!H54)-1,FALSE)</f>
        <v>2.5</v>
      </c>
      <c r="D36" s="171"/>
      <c r="E36" s="171"/>
    </row>
    <row r="37" spans="2:5" ht="15.95" customHeight="1">
      <c r="B37" s="24" t="s">
        <v>2096</v>
      </c>
      <c r="C37" s="171">
        <f>VLOOKUP(B37,'Data Transparency Index'!B:H,COLUMN('Data Transparency Index'!H22)-1,FALSE)</f>
        <v>2.5</v>
      </c>
      <c r="D37" s="171"/>
      <c r="E37" s="171"/>
    </row>
    <row r="38" spans="2:5" ht="15.95" customHeight="1">
      <c r="B38" s="2" t="s">
        <v>359</v>
      </c>
      <c r="C38" s="171">
        <f>VLOOKUP(B38,'Data Transparency Index'!B:H,COLUMN('Data Transparency Index'!H16)-1,FALSE)</f>
        <v>2.437728937728938</v>
      </c>
      <c r="D38" s="171"/>
      <c r="E38" s="171"/>
    </row>
    <row r="39" spans="2:5" ht="15.95" customHeight="1">
      <c r="B39" s="24" t="s">
        <v>558</v>
      </c>
      <c r="C39" s="171">
        <f>VLOOKUP(B39,'Data Transparency Index'!B:H,COLUMN('Data Transparency Index'!H34)-1,FALSE)</f>
        <v>2.3760278304870335</v>
      </c>
      <c r="D39" s="171"/>
      <c r="E39" s="171"/>
    </row>
    <row r="40" spans="2:5" ht="15.95" customHeight="1">
      <c r="B40" s="24" t="s">
        <v>2204</v>
      </c>
      <c r="C40" s="171">
        <f>VLOOKUP(B40,'Data Transparency Index'!B:H,COLUMN('Data Transparency Index'!H37)-1,FALSE)</f>
        <v>2.3431372549019605</v>
      </c>
      <c r="D40" s="171"/>
      <c r="E40" s="171"/>
    </row>
    <row r="41" spans="2:5" ht="15.95" customHeight="1">
      <c r="B41" s="24" t="s">
        <v>2678</v>
      </c>
      <c r="C41" s="171">
        <f>VLOOKUP(B41,'Data Transparency Index'!B:H,COLUMN('Data Transparency Index'!H24)-1,FALSE)</f>
        <v>2.25</v>
      </c>
      <c r="D41" s="171"/>
      <c r="E41" s="171"/>
    </row>
    <row r="42" spans="2:5" ht="15.95" customHeight="1">
      <c r="B42" s="24" t="s">
        <v>2028</v>
      </c>
      <c r="C42" s="171">
        <f>VLOOKUP(B42,'Data Transparency Index'!B:H,COLUMN('Data Transparency Index'!H47)-1,FALSE)</f>
        <v>2.125</v>
      </c>
      <c r="D42" s="171"/>
      <c r="E42" s="171"/>
    </row>
    <row r="43" spans="2:5" ht="15.95" customHeight="1">
      <c r="B43" s="24" t="s">
        <v>918</v>
      </c>
      <c r="C43" s="171">
        <f>VLOOKUP(B43,'Data Transparency Index'!B:H,COLUMN('Data Transparency Index'!H35)-1,FALSE)</f>
        <v>2</v>
      </c>
      <c r="D43" s="171"/>
      <c r="E43" s="171"/>
    </row>
    <row r="44" spans="2:5" ht="15.95" customHeight="1">
      <c r="B44" s="24" t="s">
        <v>2488</v>
      </c>
      <c r="C44" s="171">
        <f>VLOOKUP(B44,'Data Transparency Index'!B:H,COLUMN('Data Transparency Index'!H29)-1,FALSE)</f>
        <v>1.9945978391356542</v>
      </c>
      <c r="D44" s="171"/>
      <c r="E44" s="171"/>
    </row>
    <row r="45" spans="2:5" ht="15.95" customHeight="1">
      <c r="B45" s="24" t="s">
        <v>3412</v>
      </c>
      <c r="C45" s="171">
        <f>VLOOKUP(B45,'Data Transparency Index'!B:H,COLUMN('Data Transparency Index'!H53)-1,FALSE)</f>
        <v>1.9942528735632186</v>
      </c>
      <c r="D45" s="171"/>
      <c r="E45" s="171"/>
    </row>
    <row r="46" spans="2:5" ht="15.95" customHeight="1">
      <c r="B46" s="24" t="s">
        <v>2989</v>
      </c>
      <c r="C46" s="171">
        <f>VLOOKUP(B46,'Data Transparency Index'!B:H,COLUMN('Data Transparency Index'!H51)-1,FALSE)</f>
        <v>1.9438990182328189</v>
      </c>
      <c r="D46" s="171"/>
      <c r="E46" s="171"/>
    </row>
    <row r="47" spans="2:5" ht="15.95" customHeight="1">
      <c r="B47" s="2" t="s">
        <v>3162</v>
      </c>
      <c r="C47" s="171">
        <f>VLOOKUP(B47,'Data Transparency Index'!B:H,COLUMN('Data Transparency Index'!H36)-1,FALSE)</f>
        <v>1.9047619047619047</v>
      </c>
      <c r="D47" s="171"/>
      <c r="E47" s="171"/>
    </row>
    <row r="48" spans="2:5" ht="15.95" customHeight="1">
      <c r="B48" s="2" t="s">
        <v>3685</v>
      </c>
      <c r="C48" s="171">
        <f>VLOOKUP(B48,'Data Transparency Index'!B:H,COLUMN('Data Transparency Index'!H49)-1,FALSE)</f>
        <v>1.8947368421052633</v>
      </c>
      <c r="D48" s="171"/>
      <c r="E48" s="171"/>
    </row>
    <row r="49" spans="2:5" ht="15.95" customHeight="1">
      <c r="B49" s="24" t="s">
        <v>3079</v>
      </c>
      <c r="C49" s="138">
        <f>VLOOKUP(B49,'Data Transparency Index'!B:H,COLUMN('Data Transparency Index'!H55)-1,FALSE)</f>
        <v>1.9178981937602628</v>
      </c>
      <c r="D49" s="171"/>
      <c r="E49" s="171"/>
    </row>
    <row r="50" spans="2:5" ht="15.95" customHeight="1">
      <c r="B50" s="24" t="s">
        <v>3337</v>
      </c>
      <c r="C50" s="171">
        <f>VLOOKUP(B50,'Data Transparency Index'!B:H,COLUMN('Data Transparency Index'!H50)-1,FALSE)</f>
        <v>1.7037037037037037</v>
      </c>
      <c r="D50" s="171"/>
      <c r="E50" s="171"/>
    </row>
    <row r="51" spans="2:5" ht="15.95" customHeight="1">
      <c r="B51" s="24" t="s">
        <v>3214</v>
      </c>
      <c r="C51" s="171">
        <f>VLOOKUP(B51,'Data Transparency Index'!B:H,COLUMN('Data Transparency Index'!H41)-1,FALSE)</f>
        <v>1.75</v>
      </c>
      <c r="D51" s="171"/>
      <c r="E51" s="171"/>
    </row>
    <row r="52" spans="2:5" ht="15.95" customHeight="1">
      <c r="B52" s="24" t="s">
        <v>2076</v>
      </c>
      <c r="C52" s="171">
        <f>VLOOKUP(B52,'Data Transparency Index'!B:H,COLUMN('Data Transparency Index'!H48)-1,FALSE)</f>
        <v>1.6666666666666665</v>
      </c>
      <c r="D52" s="171"/>
      <c r="E52" s="171"/>
    </row>
    <row r="53" spans="2:5" ht="15.95" customHeight="1">
      <c r="B53" s="258" t="s">
        <v>1973</v>
      </c>
      <c r="C53" s="965">
        <f>VLOOKUP(B53,'Data Transparency Index'!B:H,COLUMN('Data Transparency Index'!H52)-1,FALSE)</f>
        <v>1.0833333333333333</v>
      </c>
      <c r="D53" s="171"/>
      <c r="E53" s="171"/>
    </row>
    <row r="54" spans="2:5" ht="15.95" customHeight="1">
      <c r="D54" s="346"/>
      <c r="E54" s="346"/>
    </row>
    <row r="55" spans="2:5" ht="15.95" customHeight="1">
      <c r="B55" s="399" t="s">
        <v>4550</v>
      </c>
      <c r="C55" s="400">
        <f>SUM(C12:C53)/COUNT(C12:C53)</f>
        <v>3.0034343887101942</v>
      </c>
    </row>
    <row r="56" spans="2:5" ht="15.95" customHeight="1">
      <c r="C56" s="24"/>
    </row>
    <row r="60" spans="2:5" ht="15.95" customHeight="1">
      <c r="B60" s="138"/>
    </row>
  </sheetData>
  <autoFilter ref="B11:C11" xr:uid="{00000000-0001-0000-0500-000000000000}">
    <sortState xmlns:xlrd2="http://schemas.microsoft.com/office/spreadsheetml/2017/richdata2" ref="B12:C53">
      <sortCondition descending="1" ref="C11"/>
    </sortState>
  </autoFilter>
  <sortState xmlns:xlrd2="http://schemas.microsoft.com/office/spreadsheetml/2017/richdata2" ref="B12:C53">
    <sortCondition descending="1" ref="C12:C53"/>
  </sortState>
  <mergeCells count="1">
    <mergeCell ref="B4:I9"/>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4C6E7"/>
  </sheetPr>
  <dimension ref="B1:G55"/>
  <sheetViews>
    <sheetView showGridLines="0" zoomScaleNormal="100" workbookViewId="0"/>
  </sheetViews>
  <sheetFormatPr defaultColWidth="8.625" defaultRowHeight="15.95" customHeight="1"/>
  <cols>
    <col min="1" max="1" width="8.625" style="13" customWidth="1"/>
    <col min="2" max="2" width="25.5" style="13" customWidth="1"/>
    <col min="3" max="3" width="48.25" style="13" bestFit="1" customWidth="1"/>
    <col min="4" max="4" width="39.375" style="110" customWidth="1"/>
    <col min="5" max="5" width="32.375" style="95" customWidth="1"/>
    <col min="6" max="6" width="13.625" style="13" customWidth="1"/>
    <col min="7" max="16384" width="8.625" style="13"/>
  </cols>
  <sheetData>
    <row r="1" spans="2:7" s="35" customFormat="1" ht="15.95" customHeight="1">
      <c r="B1" s="39"/>
      <c r="C1" s="39"/>
      <c r="D1" s="579"/>
      <c r="E1" s="146"/>
    </row>
    <row r="2" spans="2:7" s="473" customFormat="1" ht="24.75" customHeight="1">
      <c r="B2" s="472" t="s">
        <v>4551</v>
      </c>
      <c r="C2" s="472"/>
      <c r="D2" s="580"/>
    </row>
    <row r="3" spans="2:7" s="114" customFormat="1" ht="15.95" customHeight="1">
      <c r="D3" s="581"/>
    </row>
    <row r="4" spans="2:7" s="114" customFormat="1" ht="15.95" customHeight="1">
      <c r="B4" s="1438" t="s">
        <v>4552</v>
      </c>
      <c r="C4" s="1438"/>
      <c r="D4" s="1437"/>
      <c r="E4" s="393"/>
      <c r="F4" s="393"/>
      <c r="G4" s="393"/>
    </row>
    <row r="5" spans="2:7" s="114" customFormat="1" ht="15.95" customHeight="1">
      <c r="B5" s="1437"/>
      <c r="C5" s="1437"/>
      <c r="D5" s="1437"/>
      <c r="E5" s="393"/>
      <c r="F5" s="393"/>
      <c r="G5" s="393"/>
    </row>
    <row r="6" spans="2:7" s="114" customFormat="1" ht="15.95" customHeight="1">
      <c r="B6" s="1437"/>
      <c r="C6" s="1437"/>
      <c r="D6" s="1437"/>
      <c r="E6" s="393"/>
      <c r="F6" s="393"/>
      <c r="G6" s="393"/>
    </row>
    <row r="7" spans="2:7" s="114" customFormat="1" ht="15.95" customHeight="1">
      <c r="B7" s="1437"/>
      <c r="C7" s="1437"/>
      <c r="D7" s="1437"/>
      <c r="E7" s="393"/>
      <c r="F7" s="393"/>
      <c r="G7" s="393"/>
    </row>
    <row r="8" spans="2:7" s="114" customFormat="1" ht="15.95" customHeight="1">
      <c r="B8" s="1437"/>
      <c r="C8" s="1437"/>
      <c r="D8" s="1437"/>
      <c r="E8" s="393"/>
      <c r="F8" s="393"/>
      <c r="G8" s="393"/>
    </row>
    <row r="9" spans="2:7" s="114" customFormat="1" ht="15.95" customHeight="1">
      <c r="B9" s="1437"/>
      <c r="C9" s="1437"/>
      <c r="D9" s="1437"/>
      <c r="E9" s="393"/>
      <c r="F9" s="393"/>
      <c r="G9" s="393"/>
    </row>
    <row r="10" spans="2:7" ht="15.95" customHeight="1">
      <c r="B10" s="24"/>
      <c r="C10" s="24"/>
    </row>
    <row r="11" spans="2:7" s="3" customFormat="1" ht="24.75" customHeight="1">
      <c r="B11" s="367" t="s">
        <v>4512</v>
      </c>
      <c r="C11" s="435" t="s">
        <v>4553</v>
      </c>
      <c r="D11" s="435" t="s">
        <v>4554</v>
      </c>
      <c r="E11" s="434" t="s">
        <v>4555</v>
      </c>
      <c r="G11" s="390" t="s">
        <v>4556</v>
      </c>
    </row>
    <row r="12" spans="2:7" ht="15.95" customHeight="1">
      <c r="B12" s="19" t="s">
        <v>2989</v>
      </c>
      <c r="C12" s="70">
        <f>VLOOKUP(B12,'Refugees Recorded'!$B:$J,9,0)</f>
        <v>1605738</v>
      </c>
      <c r="D12" s="577">
        <v>37950802</v>
      </c>
      <c r="E12" s="62">
        <f t="shared" ref="E12:E55" si="0">(C12/D12)*100</f>
        <v>4.2311042596675552</v>
      </c>
    </row>
    <row r="13" spans="2:7" ht="15.95" customHeight="1">
      <c r="B13" s="19" t="s">
        <v>1711</v>
      </c>
      <c r="C13" s="70">
        <f>VLOOKUP(B13,'Refugees Recorded'!$B:$J,9,0)</f>
        <v>1067856</v>
      </c>
      <c r="D13" s="577">
        <v>83240525</v>
      </c>
      <c r="E13" s="62">
        <f t="shared" si="0"/>
        <v>1.2828559166343556</v>
      </c>
    </row>
    <row r="14" spans="2:7" ht="15.95" customHeight="1">
      <c r="B14" s="19" t="s">
        <v>1012</v>
      </c>
      <c r="C14" s="70">
        <f>VLOOKUP(B14,'Refugees Recorded'!$B:$J,9,0)</f>
        <v>520234</v>
      </c>
      <c r="D14" s="577">
        <v>10698896</v>
      </c>
      <c r="E14" s="62">
        <f t="shared" si="0"/>
        <v>4.8625017011100962</v>
      </c>
    </row>
    <row r="15" spans="2:7" ht="15.95" customHeight="1">
      <c r="B15" s="19" t="s">
        <v>3748</v>
      </c>
      <c r="C15" s="70">
        <f>VLOOKUP(B15,'Refugees Recorded'!$B:$J,9,0)</f>
        <v>202999</v>
      </c>
      <c r="D15" s="577">
        <v>67215293</v>
      </c>
      <c r="E15" s="62">
        <f t="shared" si="0"/>
        <v>0.30201311478326814</v>
      </c>
    </row>
    <row r="16" spans="2:7" ht="15.95" customHeight="1">
      <c r="B16" s="19" t="s">
        <v>2204</v>
      </c>
      <c r="C16" s="70">
        <f>VLOOKUP(B16,'Refugees Recorded'!$B:$J,9,0)</f>
        <v>181534</v>
      </c>
      <c r="D16" s="577">
        <v>59554023</v>
      </c>
      <c r="E16" s="62">
        <f t="shared" si="0"/>
        <v>0.30482239629722413</v>
      </c>
    </row>
    <row r="17" spans="2:6" ht="15.95" customHeight="1">
      <c r="B17" s="19" t="s">
        <v>3412</v>
      </c>
      <c r="C17" s="70">
        <f>VLOOKUP(B17,'Refugees Recorded'!$B:$J,9,0)</f>
        <v>177228</v>
      </c>
      <c r="D17" s="577">
        <v>47351567</v>
      </c>
      <c r="E17" s="62">
        <f t="shared" si="0"/>
        <v>0.37428117215212747</v>
      </c>
    </row>
    <row r="18" spans="2:6" ht="15.95" customHeight="1">
      <c r="B18" s="19" t="s">
        <v>1523</v>
      </c>
      <c r="C18" s="70">
        <f>VLOOKUP(B18,'Refugees Recorded'!$B:$J,9,0)</f>
        <v>118994</v>
      </c>
      <c r="D18" s="577">
        <v>67391582</v>
      </c>
      <c r="E18" s="62">
        <f t="shared" si="0"/>
        <v>0.1765710144629043</v>
      </c>
      <c r="F18" s="109"/>
    </row>
    <row r="19" spans="2:6" ht="15.95" customHeight="1">
      <c r="B19" s="19" t="s">
        <v>4557</v>
      </c>
      <c r="C19" s="845">
        <v>108889</v>
      </c>
      <c r="D19" s="577">
        <v>2620495</v>
      </c>
      <c r="E19" s="62">
        <f t="shared" si="0"/>
        <v>4.1552836391597774</v>
      </c>
      <c r="F19" s="109"/>
    </row>
    <row r="20" spans="2:6" ht="15.95" customHeight="1">
      <c r="B20" s="19" t="s">
        <v>3261</v>
      </c>
      <c r="C20" s="70">
        <f>VLOOKUP(B20,'Refugees Recorded'!$B:$J,9,0)</f>
        <v>102091</v>
      </c>
      <c r="D20" s="577">
        <v>5458827</v>
      </c>
      <c r="E20" s="62">
        <f t="shared" si="0"/>
        <v>1.8702003195924692</v>
      </c>
    </row>
    <row r="21" spans="2:6" ht="15.95" customHeight="1">
      <c r="B21" s="19" t="s">
        <v>454</v>
      </c>
      <c r="C21" s="70">
        <f>VLOOKUP(B21,'Refugees Recorded'!$B:$J,9,0)</f>
        <v>97047</v>
      </c>
      <c r="D21" s="577">
        <v>8916864</v>
      </c>
      <c r="E21" s="62">
        <f t="shared" si="0"/>
        <v>1.0883534839154214</v>
      </c>
    </row>
    <row r="22" spans="2:6" ht="15.95" customHeight="1">
      <c r="B22" s="19" t="s">
        <v>2693</v>
      </c>
      <c r="C22" s="70">
        <f>VLOOKUP(B22,'Refugees Recorded'!$B:$J,9,0)</f>
        <v>94417</v>
      </c>
      <c r="D22" s="577">
        <v>17441139</v>
      </c>
      <c r="E22" s="62">
        <f t="shared" si="0"/>
        <v>0.54134652559101781</v>
      </c>
    </row>
    <row r="23" spans="2:6" ht="15.95" customHeight="1">
      <c r="B23" s="19" t="s">
        <v>3214</v>
      </c>
      <c r="C23" s="70">
        <f>VLOOKUP(B23,'Refugees Recorded'!$B:$J,9,0)</f>
        <v>94179</v>
      </c>
      <c r="D23" s="577">
        <v>19286123</v>
      </c>
      <c r="E23" s="62">
        <f t="shared" si="0"/>
        <v>0.48832520667839768</v>
      </c>
    </row>
    <row r="24" spans="2:6" ht="15.95" customHeight="1">
      <c r="B24" s="19" t="s">
        <v>2096</v>
      </c>
      <c r="C24" s="70">
        <f>VLOOKUP(B24,'Refugees Recorded'!$B:$J,9,0)</f>
        <v>84392</v>
      </c>
      <c r="D24" s="577">
        <v>4994724</v>
      </c>
      <c r="E24" s="62">
        <f t="shared" si="0"/>
        <v>1.6896228900736059</v>
      </c>
    </row>
    <row r="25" spans="2:6" ht="15.95" customHeight="1">
      <c r="B25" s="19" t="s">
        <v>2488</v>
      </c>
      <c r="C25" s="70">
        <f>VLOOKUP(B25,'Refugees Recorded'!$B:$J,9,0)</f>
        <v>77545</v>
      </c>
      <c r="D25" s="577">
        <v>2794700</v>
      </c>
      <c r="E25" s="62">
        <f t="shared" si="0"/>
        <v>2.7747164275235265</v>
      </c>
    </row>
    <row r="26" spans="2:6" ht="15.95" customHeight="1">
      <c r="B26" s="19" t="s">
        <v>558</v>
      </c>
      <c r="C26" s="70">
        <f>VLOOKUP(B26,'Refugees Recorded'!$B:$J,9,0)</f>
        <v>72397</v>
      </c>
      <c r="D26" s="577">
        <v>11555997</v>
      </c>
      <c r="E26" s="62">
        <f t="shared" si="0"/>
        <v>0.62648856693195754</v>
      </c>
    </row>
    <row r="27" spans="2:6" ht="15.95" customHeight="1">
      <c r="B27" s="19" t="s">
        <v>1305</v>
      </c>
      <c r="C27" s="70">
        <f>VLOOKUP(B27,'Refugees Recorded'!$B:$J,9,0)</f>
        <v>71215</v>
      </c>
      <c r="D27" s="577">
        <v>1331057</v>
      </c>
      <c r="E27" s="62">
        <f t="shared" si="0"/>
        <v>5.3502592300705381</v>
      </c>
    </row>
    <row r="28" spans="2:6" ht="15.95" customHeight="1">
      <c r="B28" s="19" t="s">
        <v>3649</v>
      </c>
      <c r="C28" s="70">
        <f>VLOOKUP(B28,'Refugees Recorded'!$B:$J,9,0)</f>
        <v>65823</v>
      </c>
      <c r="D28" s="577">
        <v>8636896</v>
      </c>
      <c r="E28" s="62">
        <f t="shared" si="0"/>
        <v>0.76211407431558742</v>
      </c>
    </row>
    <row r="29" spans="2:6" ht="15.95" customHeight="1">
      <c r="B29" s="19" t="s">
        <v>3079</v>
      </c>
      <c r="C29" s="70">
        <f>VLOOKUP(B29,'Refugees Recorded'!$B:$J,9,0)</f>
        <v>58242</v>
      </c>
      <c r="D29" s="577">
        <v>10305564</v>
      </c>
      <c r="E29" s="62">
        <f t="shared" si="0"/>
        <v>0.56515101939107848</v>
      </c>
    </row>
    <row r="30" spans="2:6" ht="15.95" customHeight="1">
      <c r="B30" s="19" t="s">
        <v>1432</v>
      </c>
      <c r="C30" s="70">
        <f>VLOOKUP(B30,'Refugees Recorded'!$B:$J,9,0)</f>
        <v>55602</v>
      </c>
      <c r="D30" s="577">
        <v>5530719</v>
      </c>
      <c r="E30" s="62">
        <f t="shared" si="0"/>
        <v>1.0053304100244471</v>
      </c>
    </row>
    <row r="31" spans="2:6" ht="15.95" customHeight="1">
      <c r="B31" s="19" t="s">
        <v>2028</v>
      </c>
      <c r="C31" s="70">
        <f>VLOOKUP(B31,'Refugees Recorded'!$B:$J,9,0)</f>
        <v>52336</v>
      </c>
      <c r="D31" s="577">
        <v>9749763</v>
      </c>
      <c r="E31" s="62">
        <f t="shared" si="0"/>
        <v>0.53679253536727001</v>
      </c>
    </row>
    <row r="32" spans="2:6" ht="15.95" customHeight="1">
      <c r="B32" s="19" t="s">
        <v>3548</v>
      </c>
      <c r="C32" s="70">
        <f>VLOOKUP(B32,'Refugees Recorded'!$B:$J,9,0)</f>
        <v>52325</v>
      </c>
      <c r="D32" s="577">
        <v>10353442</v>
      </c>
      <c r="E32" s="62">
        <f t="shared" si="0"/>
        <v>0.50538748369865794</v>
      </c>
    </row>
    <row r="33" spans="2:5" ht="15.95" customHeight="1">
      <c r="B33" s="19" t="s">
        <v>673</v>
      </c>
      <c r="C33" s="70">
        <f>VLOOKUP(B33,'Refugees Recorded'!$B:$J,9,0)</f>
        <v>51365</v>
      </c>
      <c r="D33" s="577">
        <v>6934015</v>
      </c>
      <c r="E33" s="62">
        <f t="shared" si="0"/>
        <v>0.74076851578775071</v>
      </c>
    </row>
    <row r="34" spans="2:5" ht="15.95" customHeight="1">
      <c r="B34" s="19" t="s">
        <v>2882</v>
      </c>
      <c r="C34" s="70">
        <f>VLOOKUP(B34,'Refugees Recorded'!$B:$J,9,0)</f>
        <v>47873</v>
      </c>
      <c r="D34" s="577">
        <v>5379475</v>
      </c>
      <c r="E34" s="62">
        <f t="shared" si="0"/>
        <v>0.88991955534694378</v>
      </c>
    </row>
    <row r="35" spans="2:5" ht="15.95" customHeight="1">
      <c r="B35" s="19" t="s">
        <v>3685</v>
      </c>
      <c r="C35" s="70">
        <f>VLOOKUP(B35,'Refugees Recorded'!$B:$J,9,0)</f>
        <v>46563</v>
      </c>
      <c r="D35" s="577">
        <v>84339067</v>
      </c>
      <c r="E35" s="62">
        <f t="shared" si="0"/>
        <v>5.5209289901203204E-2</v>
      </c>
    </row>
    <row r="36" spans="2:5" ht="15.95" customHeight="1">
      <c r="B36" s="19" t="s">
        <v>1194</v>
      </c>
      <c r="C36" s="70">
        <f>VLOOKUP(B36,'Refugees Recorded'!$B:$J,9,0)</f>
        <v>41157</v>
      </c>
      <c r="D36" s="577">
        <v>5831404</v>
      </c>
      <c r="E36" s="62">
        <f t="shared" si="0"/>
        <v>0.70578200378502332</v>
      </c>
    </row>
    <row r="37" spans="2:5" ht="15.95" customHeight="1">
      <c r="B37" s="19" t="s">
        <v>2392</v>
      </c>
      <c r="C37" s="70">
        <f>VLOOKUP(B37,'Refugees Recorded'!$B:$J,9,0)</f>
        <v>35243</v>
      </c>
      <c r="D37" s="577">
        <v>1901548</v>
      </c>
      <c r="E37" s="62">
        <f t="shared" si="0"/>
        <v>1.8533847160313599</v>
      </c>
    </row>
    <row r="38" spans="2:5" ht="15.95" customHeight="1">
      <c r="B38" s="19" t="s">
        <v>4558</v>
      </c>
      <c r="C38" s="846">
        <v>33541</v>
      </c>
      <c r="D38" s="577">
        <v>621306</v>
      </c>
      <c r="E38" s="62">
        <f t="shared" si="0"/>
        <v>5.3984670999475304</v>
      </c>
    </row>
    <row r="39" spans="2:5" ht="15.95" customHeight="1">
      <c r="B39" s="19" t="s">
        <v>4559</v>
      </c>
      <c r="C39" s="845">
        <v>27673</v>
      </c>
      <c r="D39" s="577">
        <v>9379952</v>
      </c>
      <c r="E39" s="62">
        <f t="shared" si="0"/>
        <v>0.29502283167333904</v>
      </c>
    </row>
    <row r="40" spans="2:5" ht="15.95" customHeight="1">
      <c r="B40" s="19" t="s">
        <v>1973</v>
      </c>
      <c r="C40" s="70">
        <f>VLOOKUP(B40,'Refugees Recorded'!$B:$J,9,0)</f>
        <v>23778</v>
      </c>
      <c r="D40" s="577">
        <v>10715549</v>
      </c>
      <c r="E40" s="62">
        <f t="shared" si="0"/>
        <v>0.22190183629415533</v>
      </c>
    </row>
    <row r="41" spans="2:5" ht="15.95" customHeight="1">
      <c r="B41" s="19" t="s">
        <v>918</v>
      </c>
      <c r="C41" s="70">
        <f>VLOOKUP(B41,'Refugees Recorded'!$B:$J,9,0)</f>
        <v>22829</v>
      </c>
      <c r="D41" s="577">
        <v>4047200</v>
      </c>
      <c r="E41" s="62">
        <f t="shared" si="0"/>
        <v>0.56406898596560584</v>
      </c>
    </row>
    <row r="42" spans="2:5" ht="15.95" customHeight="1">
      <c r="B42" s="37" t="s">
        <v>981</v>
      </c>
      <c r="C42" s="70">
        <f>VLOOKUP(B42,'Refugees Recorded'!$B:$J,9,0)</f>
        <v>18187</v>
      </c>
      <c r="D42" s="577">
        <v>1207361</v>
      </c>
      <c r="E42" s="62">
        <f t="shared" si="0"/>
        <v>1.5063431732514136</v>
      </c>
    </row>
    <row r="43" spans="2:5" ht="15.95" customHeight="1">
      <c r="B43" s="19" t="s">
        <v>3337</v>
      </c>
      <c r="C43" s="70">
        <f>VLOOKUP(B43,'Refugees Recorded'!$B:$J,9,0)</f>
        <v>9477</v>
      </c>
      <c r="D43" s="577">
        <v>2100126</v>
      </c>
      <c r="E43" s="62">
        <f t="shared" si="0"/>
        <v>0.45125863876738825</v>
      </c>
    </row>
    <row r="44" spans="2:5" ht="15.95" customHeight="1">
      <c r="B44" s="37" t="s">
        <v>2625</v>
      </c>
      <c r="C44" s="70">
        <f>VLOOKUP(B44,'Refugees Recorded'!$B:$J,9,0)</f>
        <v>5830</v>
      </c>
      <c r="D44" s="577">
        <v>632275</v>
      </c>
      <c r="E44" s="62">
        <f t="shared" si="0"/>
        <v>0.92206713850776956</v>
      </c>
    </row>
    <row r="45" spans="2:5" ht="15.95" customHeight="1">
      <c r="B45" s="19" t="s">
        <v>2139</v>
      </c>
      <c r="C45" s="70">
        <f>VLOOKUP(B45,'Refugees Recorded'!$B:$J,9,0)</f>
        <v>3010</v>
      </c>
      <c r="D45" s="577">
        <v>366463</v>
      </c>
      <c r="E45" s="62">
        <f t="shared" si="0"/>
        <v>0.82136532201068058</v>
      </c>
    </row>
    <row r="46" spans="2:5" ht="15.95" customHeight="1">
      <c r="B46" s="37" t="s">
        <v>2678</v>
      </c>
      <c r="C46" s="70">
        <f>VLOOKUP(B46,'Refugees Recorded'!$B:$J,9,0)</f>
        <v>1744</v>
      </c>
      <c r="D46" s="577">
        <v>525285</v>
      </c>
      <c r="E46" s="62">
        <f t="shared" si="0"/>
        <v>0.3320102420590727</v>
      </c>
    </row>
    <row r="47" spans="2:5" ht="15.95" customHeight="1">
      <c r="B47" s="37" t="s">
        <v>359</v>
      </c>
      <c r="C47" s="70">
        <f>VLOOKUP(B47,'Refugees Recorded'!$B:$J,9,0)</f>
        <v>0</v>
      </c>
      <c r="D47" s="577">
        <v>25687041</v>
      </c>
      <c r="E47" s="62">
        <f t="shared" si="0"/>
        <v>0</v>
      </c>
    </row>
    <row r="48" spans="2:5" ht="15.95" customHeight="1">
      <c r="B48" s="37" t="s">
        <v>713</v>
      </c>
      <c r="C48" s="70">
        <f>VLOOKUP(B48,'Refugees Recorded'!$B:$J,9,0)</f>
        <v>0</v>
      </c>
      <c r="D48" s="577">
        <v>38005238</v>
      </c>
      <c r="E48" s="62">
        <f t="shared" si="0"/>
        <v>0</v>
      </c>
    </row>
    <row r="49" spans="2:5" ht="15.95" customHeight="1">
      <c r="B49" s="13" t="s">
        <v>905</v>
      </c>
      <c r="C49" s="70">
        <f>VLOOKUP(B49,'Refugees Recorded'!$B:$J,9,0)</f>
        <v>0</v>
      </c>
      <c r="D49" s="577">
        <v>1410929362</v>
      </c>
      <c r="E49" s="62">
        <f t="shared" si="0"/>
        <v>0</v>
      </c>
    </row>
    <row r="50" spans="2:5" ht="15.95" customHeight="1">
      <c r="B50" s="13" t="s">
        <v>2076</v>
      </c>
      <c r="C50" s="70">
        <f>VLOOKUP(B50,'Refugees Recorded'!$B:$J,9,0)</f>
        <v>0</v>
      </c>
      <c r="D50" s="577">
        <v>1380004385</v>
      </c>
      <c r="E50" s="62">
        <f t="shared" si="0"/>
        <v>0</v>
      </c>
    </row>
    <row r="51" spans="2:5" ht="15.95" customHeight="1">
      <c r="B51" s="37" t="s">
        <v>2312</v>
      </c>
      <c r="C51" s="70">
        <f>VLOOKUP(B51,'Refugees Recorded'!$B:$J,9,0)</f>
        <v>0</v>
      </c>
      <c r="D51" s="577">
        <v>125836021</v>
      </c>
      <c r="E51" s="62">
        <f t="shared" si="0"/>
        <v>0</v>
      </c>
    </row>
    <row r="52" spans="2:5" ht="15.95" customHeight="1">
      <c r="B52" s="13" t="s">
        <v>2832</v>
      </c>
      <c r="C52" s="70">
        <f>VLOOKUP(B52,'Refugees Recorded'!$B:$J,9,0)</f>
        <v>0</v>
      </c>
      <c r="D52" s="577">
        <v>5084300</v>
      </c>
      <c r="E52" s="62">
        <f t="shared" si="0"/>
        <v>0</v>
      </c>
    </row>
    <row r="53" spans="2:5" ht="15.95" customHeight="1">
      <c r="B53" s="13" t="s">
        <v>3162</v>
      </c>
      <c r="C53" s="70">
        <f>VLOOKUP(B53,'Refugees Recorded'!$B:$J,9,0)</f>
        <v>0</v>
      </c>
      <c r="D53" s="577">
        <v>51780579</v>
      </c>
      <c r="E53" s="62">
        <f t="shared" si="0"/>
        <v>0</v>
      </c>
    </row>
    <row r="54" spans="2:5" ht="15.95" customHeight="1">
      <c r="B54" s="13" t="s">
        <v>3713</v>
      </c>
      <c r="C54" s="70">
        <f>VLOOKUP(B54,'Refugees Recorded'!$B:$J,9,0)</f>
        <v>0</v>
      </c>
      <c r="D54" s="577">
        <v>23816775</v>
      </c>
      <c r="E54" s="62">
        <f t="shared" si="0"/>
        <v>0</v>
      </c>
    </row>
    <row r="55" spans="2:5" ht="15.95" customHeight="1">
      <c r="B55" s="1338" t="s">
        <v>3949</v>
      </c>
      <c r="C55" s="1339">
        <f>VLOOKUP(B55,'Refugees Recorded'!$B:$J,9,0)</f>
        <v>0</v>
      </c>
      <c r="D55" s="1340">
        <v>329484123</v>
      </c>
      <c r="E55" s="1204">
        <f t="shared" si="0"/>
        <v>0</v>
      </c>
    </row>
  </sheetData>
  <sortState xmlns:xlrd2="http://schemas.microsoft.com/office/spreadsheetml/2017/richdata2" ref="B12:E55">
    <sortCondition descending="1" ref="C12:C55"/>
  </sortState>
  <mergeCells count="1">
    <mergeCell ref="B4:D9"/>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A1:AB54"/>
  <sheetViews>
    <sheetView showGridLines="0" zoomScaleNormal="100" workbookViewId="0"/>
  </sheetViews>
  <sheetFormatPr defaultColWidth="8.625" defaultRowHeight="15.95" customHeight="1"/>
  <cols>
    <col min="1" max="1" width="8.625" style="2" customWidth="1"/>
    <col min="2" max="2" width="58.5" style="158" bestFit="1" customWidth="1"/>
    <col min="3" max="3" width="21.5" style="158" bestFit="1" customWidth="1"/>
    <col min="4" max="4" width="13.625" style="158" customWidth="1"/>
    <col min="5" max="16384" width="8.625" style="158"/>
  </cols>
  <sheetData>
    <row r="1" spans="1:17" s="35" customFormat="1" ht="15.95" customHeight="1">
      <c r="B1" s="158"/>
      <c r="C1" s="158"/>
    </row>
    <row r="2" spans="1:17" s="162" customFormat="1" ht="24.75" customHeight="1">
      <c r="A2" s="35"/>
      <c r="B2" s="466" t="s">
        <v>4560</v>
      </c>
    </row>
    <row r="3" spans="1:17" s="162" customFormat="1" ht="15.95" customHeight="1">
      <c r="A3" s="35"/>
      <c r="B3" s="163"/>
      <c r="E3" s="164"/>
    </row>
    <row r="4" spans="1:17" s="162" customFormat="1" ht="15.95" customHeight="1">
      <c r="A4" s="35"/>
      <c r="B4" s="1433" t="s">
        <v>4561</v>
      </c>
      <c r="C4" s="1433"/>
      <c r="D4" s="1433"/>
      <c r="E4" s="1433"/>
      <c r="F4" s="1433"/>
      <c r="G4" s="1433"/>
      <c r="H4" s="1433"/>
    </row>
    <row r="5" spans="1:17" s="162" customFormat="1" ht="15.95" customHeight="1">
      <c r="A5" s="35"/>
      <c r="B5" s="1433"/>
      <c r="C5" s="1433"/>
      <c r="D5" s="1433"/>
      <c r="E5" s="1433"/>
      <c r="F5" s="1433"/>
      <c r="G5" s="1433"/>
      <c r="H5" s="1433"/>
    </row>
    <row r="6" spans="1:17" s="162" customFormat="1" ht="15.95" customHeight="1">
      <c r="A6" s="35"/>
      <c r="B6" s="1433"/>
      <c r="C6" s="1433"/>
      <c r="D6" s="1433"/>
      <c r="E6" s="1433"/>
      <c r="F6" s="1433"/>
      <c r="G6" s="1433"/>
      <c r="H6" s="1433"/>
    </row>
    <row r="7" spans="1:17" s="162" customFormat="1" ht="15.95" customHeight="1">
      <c r="A7" s="35"/>
      <c r="B7" s="1433"/>
      <c r="C7" s="1433"/>
      <c r="D7" s="1433"/>
      <c r="E7" s="1433"/>
      <c r="F7" s="1433"/>
      <c r="G7" s="1433"/>
      <c r="H7" s="1433"/>
    </row>
    <row r="8" spans="1:17" s="162" customFormat="1" ht="15.95" customHeight="1">
      <c r="A8" s="35"/>
      <c r="B8" s="1433"/>
      <c r="C8" s="1433"/>
      <c r="D8" s="1433"/>
      <c r="E8" s="1433"/>
      <c r="F8" s="1433"/>
      <c r="G8" s="1433"/>
      <c r="H8" s="1433"/>
    </row>
    <row r="9" spans="1:17" s="43" customFormat="1" ht="15.95" customHeight="1">
      <c r="A9" s="35"/>
      <c r="B9" s="1433"/>
      <c r="C9" s="1433"/>
      <c r="D9" s="1433"/>
      <c r="E9" s="1433"/>
      <c r="F9" s="1433"/>
      <c r="G9" s="1433"/>
      <c r="H9" s="1433"/>
    </row>
    <row r="11" spans="1:17" ht="24.75" customHeight="1">
      <c r="B11" s="362" t="s">
        <v>4562</v>
      </c>
      <c r="C11" s="363" t="s">
        <v>4563</v>
      </c>
      <c r="E11" s="474" t="s">
        <v>4564</v>
      </c>
      <c r="H11" s="159"/>
      <c r="I11" s="159"/>
      <c r="J11" s="159"/>
      <c r="K11" s="159"/>
      <c r="L11" s="159"/>
      <c r="M11" s="159"/>
      <c r="N11" s="159"/>
      <c r="O11" s="159"/>
      <c r="P11" s="159"/>
      <c r="Q11" s="159"/>
    </row>
    <row r="12" spans="1:17" ht="15.95" customHeight="1">
      <c r="B12" s="37" t="s">
        <v>3949</v>
      </c>
      <c r="C12" s="254">
        <f>VLOOKUP(B12,'Aggregates by Country Group'!B:F,5,0)</f>
        <v>70.698858108207588</v>
      </c>
      <c r="D12" s="159"/>
      <c r="F12" s="159"/>
      <c r="G12" s="159"/>
      <c r="N12" s="159"/>
      <c r="O12" s="159"/>
      <c r="P12" s="160"/>
    </row>
    <row r="13" spans="1:17" ht="15.95" customHeight="1">
      <c r="B13" s="37" t="s">
        <v>4536</v>
      </c>
      <c r="C13" s="254">
        <f>VLOOKUP(B13,'Aggregates by Country Group'!B:F,5,0)</f>
        <v>68.394980163837076</v>
      </c>
    </row>
    <row r="14" spans="1:17" ht="15.95" customHeight="1">
      <c r="B14" s="108" t="s">
        <v>4565</v>
      </c>
      <c r="C14" s="254">
        <f>VLOOKUP("Other donor countries", 'Aggregates by Country Group'!B:F,5,0)+VLOOKUP("United Kingdom", 'Aggregates by Country Group'!B:F,5,0)+VLOOKUP("Canada", 'Aggregates by Country Group'!B:F,5,0)+VLOOKUP("Australia", 'Aggregates by Country Group'!B:F,5,0)+VLOOKUP("New Zealand", 'Aggregates by Country Group'!B:F,5,0)</f>
        <v>26.32410923076753</v>
      </c>
      <c r="D14" s="161"/>
      <c r="E14" s="161"/>
      <c r="F14" s="161"/>
      <c r="G14" s="161"/>
      <c r="H14" s="161"/>
      <c r="I14" s="161"/>
    </row>
    <row r="15" spans="1:17" ht="15.95" customHeight="1">
      <c r="B15" s="247" t="s">
        <v>4530</v>
      </c>
      <c r="C15" s="255">
        <f>SUM(C12:C14)</f>
        <v>165.41794750281218</v>
      </c>
      <c r="G15" s="30"/>
    </row>
    <row r="16" spans="1:17" ht="15.95" customHeight="1">
      <c r="G16" s="30"/>
    </row>
    <row r="17" spans="2:3" ht="15.95" customHeight="1">
      <c r="B17" s="1440"/>
      <c r="C17" s="1440"/>
    </row>
    <row r="18" spans="2:3" ht="15.95" customHeight="1">
      <c r="B18" s="1440"/>
      <c r="C18" s="1440"/>
    </row>
    <row r="19" spans="2:3" ht="15.95" customHeight="1">
      <c r="B19" s="256"/>
      <c r="C19" s="256"/>
    </row>
    <row r="22" spans="2:3" ht="15.95" customHeight="1">
      <c r="B22" s="37"/>
    </row>
    <row r="23" spans="2:3" ht="15.95" customHeight="1">
      <c r="B23" s="37"/>
    </row>
    <row r="25" spans="2:3" ht="15.95" customHeight="1">
      <c r="B25" s="37"/>
    </row>
    <row r="26" spans="2:3" ht="15.95" customHeight="1">
      <c r="B26" s="37"/>
    </row>
    <row r="27" spans="2:3" ht="15.95" customHeight="1">
      <c r="B27" s="37"/>
    </row>
    <row r="28" spans="2:3" ht="15.95" customHeight="1">
      <c r="B28" s="37"/>
    </row>
    <row r="29" spans="2:3" ht="15.95" customHeight="1">
      <c r="B29" s="37"/>
    </row>
    <row r="30" spans="2:3" ht="15.95" customHeight="1">
      <c r="B30" s="37"/>
    </row>
    <row r="31" spans="2:3" ht="15.95" customHeight="1">
      <c r="B31" s="37"/>
    </row>
    <row r="32" spans="2:3" ht="15.95" customHeight="1">
      <c r="B32" s="37"/>
    </row>
    <row r="33" spans="2:28" ht="15.95" customHeight="1">
      <c r="B33" s="37"/>
    </row>
    <row r="34" spans="2:28" ht="15.95" customHeight="1">
      <c r="B34" s="37"/>
    </row>
    <row r="35" spans="2:28" ht="15.95" customHeight="1">
      <c r="B35" s="37"/>
    </row>
    <row r="36" spans="2:28" ht="15.95" customHeight="1">
      <c r="B36" s="37"/>
    </row>
    <row r="37" spans="2:28" ht="15.95" customHeight="1">
      <c r="B37" s="37"/>
    </row>
    <row r="38" spans="2:28" ht="15.95" customHeight="1">
      <c r="B38" s="37"/>
      <c r="J38" s="578"/>
      <c r="K38" s="578"/>
      <c r="L38" s="578"/>
      <c r="M38" s="578"/>
      <c r="N38" s="578"/>
      <c r="O38" s="578"/>
      <c r="P38" s="578"/>
      <c r="Q38" s="578"/>
      <c r="R38" s="578"/>
      <c r="S38" s="578"/>
      <c r="T38" s="578"/>
      <c r="U38" s="578"/>
      <c r="V38" s="578"/>
      <c r="W38" s="578"/>
      <c r="X38" s="578"/>
    </row>
    <row r="39" spans="2:28" ht="15.95" customHeight="1">
      <c r="J39" s="578"/>
      <c r="K39" s="578"/>
      <c r="L39" s="578"/>
      <c r="M39" s="578"/>
      <c r="N39" s="578"/>
      <c r="O39" s="578"/>
      <c r="P39" s="578"/>
      <c r="Q39" s="578"/>
      <c r="R39" s="578"/>
      <c r="S39" s="578"/>
      <c r="T39" s="578"/>
      <c r="U39" s="578"/>
      <c r="V39" s="578"/>
      <c r="W39" s="578"/>
      <c r="X39" s="578"/>
    </row>
    <row r="40" spans="2:28" ht="15.95" customHeight="1">
      <c r="J40" s="578"/>
      <c r="K40" s="578"/>
      <c r="L40" s="578"/>
      <c r="M40" s="578"/>
      <c r="N40" s="578"/>
      <c r="O40" s="578"/>
      <c r="P40" s="578"/>
      <c r="Q40" s="578"/>
      <c r="R40" s="578"/>
      <c r="S40" s="578"/>
      <c r="T40" s="578"/>
      <c r="U40" s="578"/>
      <c r="V40" s="578"/>
      <c r="W40" s="578"/>
      <c r="X40" s="578"/>
    </row>
    <row r="41" spans="2:28" ht="15.95" customHeight="1">
      <c r="J41" s="578"/>
      <c r="K41" s="578"/>
      <c r="L41" s="578"/>
      <c r="M41" s="578"/>
      <c r="N41" s="578"/>
      <c r="O41" s="578"/>
      <c r="P41" s="578"/>
      <c r="Q41" s="578"/>
      <c r="R41" s="578"/>
      <c r="S41" s="578"/>
      <c r="T41" s="578"/>
      <c r="U41" s="578"/>
      <c r="V41" s="578"/>
      <c r="W41" s="578"/>
      <c r="X41" s="578"/>
    </row>
    <row r="42" spans="2:28" ht="15.95" customHeight="1">
      <c r="J42" s="578"/>
      <c r="K42" s="578"/>
      <c r="L42" s="578"/>
      <c r="M42" s="578"/>
      <c r="N42" s="578"/>
      <c r="O42" s="578"/>
      <c r="P42" s="578"/>
      <c r="Q42" s="578"/>
      <c r="R42" s="578"/>
      <c r="S42" s="578"/>
      <c r="T42" s="578"/>
      <c r="U42" s="578"/>
      <c r="V42" s="578"/>
      <c r="W42" s="578"/>
      <c r="X42" s="578"/>
    </row>
    <row r="43" spans="2:28" ht="15.95" customHeight="1">
      <c r="J43" s="578"/>
      <c r="K43" s="578"/>
      <c r="L43" s="578"/>
      <c r="M43" s="578"/>
      <c r="N43" s="578"/>
      <c r="O43" s="578"/>
      <c r="P43" s="578"/>
      <c r="Q43" s="578"/>
      <c r="R43" s="578"/>
      <c r="S43" s="578"/>
      <c r="T43" s="578"/>
      <c r="U43" s="578"/>
      <c r="V43" s="578"/>
      <c r="W43" s="578"/>
      <c r="X43" s="578"/>
    </row>
    <row r="48" spans="2:28" ht="15.95" customHeight="1">
      <c r="R48" s="1439"/>
      <c r="S48" s="1439"/>
      <c r="T48" s="1439"/>
      <c r="U48" s="1439"/>
      <c r="V48" s="1439"/>
      <c r="W48" s="1439"/>
      <c r="X48" s="1439"/>
      <c r="Y48" s="1439"/>
      <c r="Z48" s="1439"/>
      <c r="AA48" s="1439"/>
      <c r="AB48" s="1439"/>
    </row>
    <row r="49" spans="18:28" ht="15.95" customHeight="1">
      <c r="R49" s="1439"/>
      <c r="S49" s="1439"/>
      <c r="T49" s="1439"/>
      <c r="U49" s="1439"/>
      <c r="V49" s="1439"/>
      <c r="W49" s="1439"/>
      <c r="X49" s="1439"/>
      <c r="Y49" s="1439"/>
      <c r="Z49" s="1439"/>
      <c r="AA49" s="1439"/>
      <c r="AB49" s="1439"/>
    </row>
    <row r="50" spans="18:28" ht="15.95" customHeight="1">
      <c r="R50" s="1439"/>
      <c r="S50" s="1439"/>
      <c r="T50" s="1439"/>
      <c r="U50" s="1439"/>
      <c r="V50" s="1439"/>
      <c r="W50" s="1439"/>
      <c r="X50" s="1439"/>
      <c r="Y50" s="1439"/>
      <c r="Z50" s="1439"/>
      <c r="AA50" s="1439"/>
      <c r="AB50" s="1439"/>
    </row>
    <row r="51" spans="18:28" ht="15.95" customHeight="1">
      <c r="R51" s="1439"/>
      <c r="S51" s="1439"/>
      <c r="T51" s="1439"/>
      <c r="U51" s="1439"/>
      <c r="V51" s="1439"/>
      <c r="W51" s="1439"/>
      <c r="X51" s="1439"/>
      <c r="Y51" s="1439"/>
      <c r="Z51" s="1439"/>
      <c r="AA51" s="1439"/>
      <c r="AB51" s="1439"/>
    </row>
    <row r="52" spans="18:28" ht="15.95" customHeight="1">
      <c r="R52" s="1439"/>
      <c r="S52" s="1439"/>
      <c r="T52" s="1439"/>
      <c r="U52" s="1439"/>
      <c r="V52" s="1439"/>
      <c r="W52" s="1439"/>
      <c r="X52" s="1439"/>
      <c r="Y52" s="1439"/>
      <c r="Z52" s="1439"/>
      <c r="AA52" s="1439"/>
      <c r="AB52" s="1439"/>
    </row>
    <row r="53" spans="18:28" ht="15.95" customHeight="1">
      <c r="R53" s="1439"/>
      <c r="S53" s="1439"/>
      <c r="T53" s="1439"/>
      <c r="U53" s="1439"/>
      <c r="V53" s="1439"/>
      <c r="W53" s="1439"/>
      <c r="X53" s="1439"/>
      <c r="Y53" s="1439"/>
      <c r="Z53" s="1439"/>
      <c r="AA53" s="1439"/>
      <c r="AB53" s="1439"/>
    </row>
    <row r="54" spans="18:28" ht="15.95" customHeight="1">
      <c r="R54" s="1439"/>
      <c r="S54" s="1439"/>
      <c r="T54" s="1439"/>
      <c r="U54" s="1439"/>
      <c r="V54" s="1439"/>
      <c r="W54" s="1439"/>
      <c r="X54" s="1439"/>
      <c r="Y54" s="1439"/>
      <c r="Z54" s="1439"/>
      <c r="AA54" s="1439"/>
      <c r="AB54" s="1439"/>
    </row>
  </sheetData>
  <sortState xmlns:xlrd2="http://schemas.microsoft.com/office/spreadsheetml/2017/richdata2" ref="B12:C14">
    <sortCondition descending="1" ref="C12:C14"/>
  </sortState>
  <mergeCells count="3">
    <mergeCell ref="R48:AB54"/>
    <mergeCell ref="B17:C18"/>
    <mergeCell ref="B4:H9"/>
  </mergeCells>
  <pageMargins left="0.7" right="0.7" top="0.78740157499999996" bottom="0.78740157499999996"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AE423B73903DF54CA2C6660B97686D42" ma:contentTypeVersion="14" ma:contentTypeDescription="Ein neues Dokument erstellen." ma:contentTypeScope="" ma:versionID="3429abca57378634a8580ec28ae55484">
  <xsd:schema xmlns:xsd="http://www.w3.org/2001/XMLSchema" xmlns:xs="http://www.w3.org/2001/XMLSchema" xmlns:p="http://schemas.microsoft.com/office/2006/metadata/properties" xmlns:ns2="97730362-28ea-416b-a6a1-dc9545e4b212" xmlns:ns3="84ceb42c-ffa3-4866-bebc-19e83969e0fb" targetNamespace="http://schemas.microsoft.com/office/2006/metadata/properties" ma:root="true" ma:fieldsID="12150061d724a162be6e6b27b126a791" ns2:_="" ns3:_="">
    <xsd:import namespace="97730362-28ea-416b-a6a1-dc9545e4b212"/>
    <xsd:import namespace="84ceb42c-ffa3-4866-bebc-19e83969e0f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730362-28ea-416b-a6a1-dc9545e4b2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markierungen" ma:readOnly="false" ma:fieldId="{5cf76f15-5ced-4ddc-b409-7134ff3c332f}" ma:taxonomyMulti="true" ma:sspId="5fb31c55-fb86-43d7-9681-5a6ace919588"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4ceb42c-ffa3-4866-bebc-19e83969e0fb" elementFormDefault="qualified">
    <xsd:import namespace="http://schemas.microsoft.com/office/2006/documentManagement/types"/>
    <xsd:import namespace="http://schemas.microsoft.com/office/infopath/2007/PartnerControls"/>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element name="TaxCatchAll" ma:index="20" nillable="true" ma:displayName="Taxonomy Catch All Column" ma:hidden="true" ma:list="{48aa6bb4-92c8-4904-ae77-739708c830e5}" ma:internalName="TaxCatchAll" ma:showField="CatchAllData" ma:web="84ceb42c-ffa3-4866-bebc-19e83969e0f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84ceb42c-ffa3-4866-bebc-19e83969e0fb">
      <UserInfo>
        <DisplayName>Mitglieder von Ukraine Support Tracker</DisplayName>
        <AccountId>7</AccountId>
        <AccountType/>
      </UserInfo>
      <UserInfo>
        <DisplayName>Mitglieder von Kommunikation</DisplayName>
        <AccountId>28</AccountId>
        <AccountType/>
      </UserInfo>
    </SharedWithUsers>
    <lcf76f155ced4ddcb4097134ff3c332f xmlns="97730362-28ea-416b-a6a1-dc9545e4b212">
      <Terms xmlns="http://schemas.microsoft.com/office/infopath/2007/PartnerControls"/>
    </lcf76f155ced4ddcb4097134ff3c332f>
    <TaxCatchAll xmlns="84ceb42c-ffa3-4866-bebc-19e83969e0fb" xsi:nil="true"/>
  </documentManagement>
</p:properties>
</file>

<file path=customXml/itemProps1.xml><?xml version="1.0" encoding="utf-8"?>
<ds:datastoreItem xmlns:ds="http://schemas.openxmlformats.org/officeDocument/2006/customXml" ds:itemID="{AC767CF3-F8F6-4A1A-A4C7-1C4F1907EAE5}"/>
</file>

<file path=customXml/itemProps2.xml><?xml version="1.0" encoding="utf-8"?>
<ds:datastoreItem xmlns:ds="http://schemas.openxmlformats.org/officeDocument/2006/customXml" ds:itemID="{48E40424-D9DB-4C3A-86D5-9681E3E1F5F8}"/>
</file>

<file path=customXml/itemProps3.xml><?xml version="1.0" encoding="utf-8"?>
<ds:datastoreItem xmlns:ds="http://schemas.openxmlformats.org/officeDocument/2006/customXml" ds:itemID="{60022D83-8D9A-45B7-829F-82C666CEC7D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Frank, Andre</cp:lastModifiedBy>
  <cp:revision/>
  <dcterms:created xsi:type="dcterms:W3CDTF">2022-03-23T09:04:55Z</dcterms:created>
  <dcterms:modified xsi:type="dcterms:W3CDTF">2023-07-05T13:34:42Z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0x010100AE423B73903DF54CA2C6660B97686D42</vt:lpwstr>
  </property>
  <property fmtid="{D5CDD505-2E9C-101B-9397-08002B2CF9AE}" pid="3" name="MediaServiceImageTags">
    <vt:lpwstr/>
  </property>
</Properties>
</file>